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Stefan\AppData\Roaming\Claude\scratch-workspaces\fb4d9259-2b05-43d7-8cd0-9ca4c9fd4a09\7627125b-5081-4a17-a8f2-3c15664940db\scratch-2026-10-08-981938\"/>
    </mc:Choice>
  </mc:AlternateContent>
  <xr:revisionPtr revIDLastSave="0" documentId="8_{B76A652D-1B64-4D85-AA98-C8BC7ECFDF33}" xr6:coauthVersionLast="47" xr6:coauthVersionMax="47" xr10:uidLastSave="{00000000-0000-0000-0000-000000000000}"/>
  <bookViews>
    <workbookView xWindow="25650" yWindow="240" windowWidth="25485" windowHeight="20505" xr2:uid="{D108871F-410C-416E-95C9-FEDC009199A2}"/>
  </bookViews>
  <sheets>
    <sheet name="Leia-me" sheetId="1" r:id="rId1"/>
    <sheet name="Premissas" sheetId="2" r:id="rId2"/>
    <sheet name="Projeção" sheetId="3" r:id="rId3"/>
    <sheet name="Metas" sheetId="4" r:id="rId4"/>
    <sheet name="Produtos" sheetId="5" r:id="rId5"/>
    <sheet name="Editais" sheetId="6" r:id="rId6"/>
    <sheet name="Itens" sheetId="7" r:id="rId7"/>
    <sheet name="Palavras-chave" sheetId="8" r:id="rId8"/>
  </sheets>
  <definedNames>
    <definedName name="CockpitCards">Premissas!$B$17</definedName>
    <definedName name="CockpitDias">Premissas!$B$18</definedName>
    <definedName name="CompraDireta1">Premissas!$B$16</definedName>
    <definedName name="DescontoPadrao">Premissas!$B$10</definedName>
    <definedName name="DiasJanela">Premissas!$B$5</definedName>
    <definedName name="DiasMes">Premissas!$B$6</definedName>
    <definedName name="FaixaA_Min">Premissas!$B$11</definedName>
    <definedName name="FaixaB_Min">Premissas!$B$12</definedName>
    <definedName name="MargemMin">Premissas!$B$7</definedName>
    <definedName name="MargemTop">Projeção!$I$29</definedName>
    <definedName name="MercadoTop">Projeção!$H$29</definedName>
    <definedName name="MinEditais">Premissas!$B$8</definedName>
    <definedName name="ModoFoco">Premissas!$B$4</definedName>
    <definedName name="PesoDez">Premissas!$B$15</definedName>
    <definedName name="PesoNov">Premissas!$B$14</definedName>
    <definedName name="PesoOut">Premissas!$B$13</definedName>
    <definedName name="SRPTop">Projeção!$J$29</definedName>
    <definedName name="TopN">Premissas!$B$9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B13" i="4" l="1"/>
  <c r="S2" i="5"/>
  <c r="S3" i="5"/>
  <c r="S4" i="5"/>
  <c r="S5" i="5"/>
  <c r="S6" i="5"/>
  <c r="S7" i="5"/>
  <c r="S8" i="5"/>
  <c r="S9" i="5"/>
  <c r="S10" i="5"/>
  <c r="S11" i="5"/>
  <c r="S12" i="5"/>
  <c r="S13" i="5"/>
  <c r="S14" i="5"/>
  <c r="S15" i="5"/>
  <c r="S16" i="5"/>
  <c r="S17" i="5"/>
  <c r="S18" i="5"/>
  <c r="S19" i="5"/>
  <c r="S20" i="5"/>
  <c r="S21" i="5"/>
  <c r="S22" i="5"/>
  <c r="S23" i="5"/>
  <c r="S24" i="5"/>
  <c r="S25" i="5"/>
  <c r="S26" i="5"/>
  <c r="S27" i="5"/>
  <c r="S28" i="5"/>
  <c r="S29" i="5"/>
  <c r="S30" i="5"/>
  <c r="S31" i="5"/>
  <c r="S32" i="5"/>
  <c r="S33" i="5"/>
  <c r="S34" i="5"/>
  <c r="S35" i="5"/>
  <c r="S36" i="5"/>
  <c r="S37" i="5"/>
  <c r="S38" i="5"/>
  <c r="S39" i="5"/>
  <c r="S40" i="5"/>
  <c r="S41" i="5"/>
  <c r="S42" i="5"/>
  <c r="S43" i="5"/>
  <c r="S44" i="5"/>
  <c r="S45" i="5"/>
  <c r="S46" i="5"/>
  <c r="S47" i="5"/>
  <c r="S48" i="5"/>
  <c r="S49" i="5"/>
  <c r="S50"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0" i="5"/>
  <c r="S101" i="5"/>
  <c r="S102" i="5"/>
  <c r="S103" i="5"/>
  <c r="S104" i="5"/>
  <c r="S105" i="5"/>
  <c r="S106" i="5"/>
  <c r="S107" i="5"/>
  <c r="S108" i="5"/>
  <c r="S109" i="5"/>
  <c r="S110" i="5"/>
  <c r="S111" i="5"/>
  <c r="S112" i="5"/>
  <c r="S113" i="5"/>
  <c r="S114" i="5"/>
  <c r="S115" i="5"/>
  <c r="S116" i="5"/>
  <c r="S117" i="5"/>
  <c r="S118" i="5"/>
  <c r="S119" i="5"/>
  <c r="S120" i="5"/>
  <c r="S121" i="5"/>
  <c r="S122" i="5"/>
  <c r="S123" i="5"/>
  <c r="S124" i="5"/>
  <c r="S125" i="5"/>
  <c r="S126" i="5"/>
  <c r="S127" i="5"/>
  <c r="S128" i="5"/>
  <c r="S129" i="5"/>
  <c r="S130" i="5"/>
  <c r="S131" i="5"/>
  <c r="S132" i="5"/>
  <c r="S133" i="5"/>
  <c r="S134" i="5"/>
  <c r="S135" i="5"/>
  <c r="S136" i="5"/>
  <c r="S137" i="5"/>
  <c r="S138" i="5"/>
  <c r="S139" i="5"/>
  <c r="S140" i="5"/>
  <c r="S141" i="5"/>
  <c r="S142" i="5"/>
  <c r="S143" i="5"/>
  <c r="S144" i="5"/>
  <c r="S145" i="5"/>
  <c r="S146" i="5"/>
  <c r="S147" i="5"/>
  <c r="S148" i="5"/>
  <c r="S149" i="5"/>
  <c r="S150" i="5"/>
  <c r="S151" i="5"/>
  <c r="S152" i="5"/>
  <c r="S153" i="5"/>
  <c r="S154" i="5"/>
  <c r="S155" i="5"/>
  <c r="S156" i="5"/>
  <c r="S157" i="5"/>
  <c r="S158" i="5"/>
  <c r="S159" i="5"/>
  <c r="S160" i="5"/>
  <c r="S161" i="5"/>
  <c r="S162" i="5"/>
  <c r="S163" i="5"/>
  <c r="S164" i="5"/>
  <c r="S165" i="5"/>
  <c r="S166" i="5"/>
  <c r="S167" i="5"/>
  <c r="S168" i="5"/>
  <c r="S169" i="5"/>
  <c r="S170" i="5"/>
  <c r="S171" i="5"/>
  <c r="S172" i="5"/>
  <c r="S173" i="5"/>
  <c r="S174" i="5"/>
  <c r="S175" i="5"/>
  <c r="S176" i="5"/>
  <c r="S177" i="5"/>
  <c r="S178" i="5"/>
  <c r="S179" i="5"/>
  <c r="S180" i="5"/>
  <c r="S181" i="5"/>
  <c r="S182" i="5"/>
  <c r="S183" i="5"/>
  <c r="S184" i="5"/>
  <c r="S185" i="5"/>
  <c r="S186" i="5"/>
  <c r="S187" i="5"/>
  <c r="S188" i="5"/>
  <c r="S189" i="5"/>
  <c r="S190" i="5"/>
  <c r="S191" i="5"/>
  <c r="S192" i="5"/>
  <c r="S193" i="5"/>
  <c r="S194" i="5"/>
  <c r="S195" i="5"/>
  <c r="S196" i="5"/>
  <c r="S197" i="5"/>
  <c r="S198" i="5"/>
  <c r="S199" i="5"/>
  <c r="S200" i="5"/>
  <c r="S201" i="5"/>
  <c r="S202" i="5"/>
  <c r="S203" i="5"/>
  <c r="S204" i="5"/>
  <c r="S205" i="5"/>
  <c r="S206" i="5"/>
  <c r="S207" i="5"/>
  <c r="S208" i="5"/>
  <c r="S209" i="5"/>
  <c r="S210" i="5"/>
  <c r="S211" i="5"/>
  <c r="S212" i="5"/>
  <c r="S213" i="5"/>
  <c r="S214" i="5"/>
  <c r="S215" i="5"/>
  <c r="S216" i="5"/>
  <c r="S217" i="5"/>
  <c r="S218" i="5"/>
  <c r="S219" i="5"/>
  <c r="S220" i="5"/>
  <c r="S221" i="5"/>
  <c r="S222" i="5"/>
  <c r="S223" i="5"/>
  <c r="S224" i="5"/>
  <c r="S225" i="5"/>
  <c r="S226" i="5"/>
  <c r="S227" i="5"/>
  <c r="S228" i="5"/>
  <c r="S229" i="5"/>
  <c r="S230" i="5"/>
  <c r="S231" i="5"/>
  <c r="S232" i="5"/>
  <c r="S233" i="5"/>
  <c r="S234" i="5"/>
  <c r="S235" i="5"/>
  <c r="S236" i="5"/>
  <c r="S237" i="5"/>
  <c r="S238" i="5"/>
  <c r="S239" i="5"/>
  <c r="S240" i="5"/>
  <c r="S241" i="5"/>
  <c r="S242" i="5"/>
  <c r="S243" i="5"/>
  <c r="S244" i="5"/>
  <c r="S245" i="5"/>
  <c r="S246" i="5"/>
  <c r="S247" i="5"/>
  <c r="S248" i="5"/>
  <c r="S249" i="5"/>
  <c r="S250" i="5"/>
  <c r="S251" i="5"/>
  <c r="S252" i="5"/>
  <c r="S253" i="5"/>
  <c r="S254" i="5"/>
  <c r="S255" i="5"/>
  <c r="S256" i="5"/>
  <c r="S257" i="5"/>
  <c r="S258" i="5"/>
  <c r="S259" i="5"/>
  <c r="S260" i="5"/>
  <c r="S261" i="5"/>
  <c r="S262" i="5"/>
  <c r="S263" i="5"/>
  <c r="S264" i="5"/>
  <c r="S265" i="5"/>
  <c r="S266" i="5"/>
  <c r="S267" i="5"/>
  <c r="S268" i="5"/>
  <c r="S269" i="5"/>
  <c r="S270" i="5"/>
  <c r="S271" i="5"/>
  <c r="S272" i="5"/>
  <c r="S273" i="5"/>
  <c r="S274" i="5"/>
  <c r="O14" i="5"/>
  <c r="O30" i="5"/>
  <c r="O36" i="5"/>
  <c r="O46" i="5"/>
  <c r="O55" i="5"/>
  <c r="O56" i="5"/>
  <c r="O71" i="5"/>
  <c r="O73" i="5"/>
  <c r="O75" i="5"/>
  <c r="O77" i="5"/>
  <c r="O81" i="5"/>
  <c r="O87" i="5"/>
  <c r="O103" i="5"/>
  <c r="O114" i="5"/>
  <c r="O124" i="5"/>
  <c r="O125" i="5"/>
  <c r="O140" i="5"/>
  <c r="O152" i="5"/>
  <c r="O155" i="5"/>
  <c r="O167" i="5"/>
  <c r="O169" i="5"/>
  <c r="O186" i="5"/>
  <c r="O187" i="5"/>
  <c r="O189" i="5"/>
  <c r="O190" i="5"/>
  <c r="O191" i="5"/>
  <c r="O192" i="5"/>
  <c r="O193" i="5"/>
  <c r="O200" i="5"/>
  <c r="O206" i="5"/>
  <c r="O208" i="5"/>
  <c r="O218" i="5"/>
  <c r="O224" i="5"/>
  <c r="O225" i="5"/>
  <c r="O228" i="5"/>
  <c r="O229" i="5"/>
  <c r="O230" i="5"/>
  <c r="O236" i="5"/>
  <c r="O239" i="5"/>
  <c r="O240" i="5"/>
  <c r="O242" i="5"/>
  <c r="O243" i="5"/>
  <c r="O244" i="5"/>
  <c r="O245" i="5"/>
  <c r="O247" i="5"/>
  <c r="O248" i="5"/>
  <c r="O250" i="5"/>
  <c r="O251" i="5"/>
  <c r="O252" i="5"/>
  <c r="O253" i="5"/>
  <c r="O254" i="5"/>
  <c r="O257" i="5"/>
  <c r="O259" i="5"/>
  <c r="O261" i="5"/>
  <c r="O262" i="5"/>
  <c r="O263" i="5"/>
  <c r="O264" i="5"/>
  <c r="O265" i="5"/>
  <c r="O268" i="5"/>
  <c r="O271" i="5"/>
  <c r="O273" i="5"/>
  <c r="N3" i="5"/>
  <c r="N4" i="5"/>
  <c r="N5" i="5"/>
  <c r="N6" i="5"/>
  <c r="N7" i="5"/>
  <c r="N9" i="5"/>
  <c r="N14" i="5"/>
  <c r="N16" i="5"/>
  <c r="N18" i="5"/>
  <c r="N19" i="5"/>
  <c r="N20" i="5"/>
  <c r="N21" i="5"/>
  <c r="N22" i="5"/>
  <c r="N23" i="5"/>
  <c r="N24" i="5"/>
  <c r="N25" i="5"/>
  <c r="N26" i="5"/>
  <c r="N28" i="5"/>
  <c r="N30" i="5"/>
  <c r="N31" i="5"/>
  <c r="N33" i="5"/>
  <c r="N34" i="5"/>
  <c r="N35" i="5"/>
  <c r="N36" i="5"/>
  <c r="N37" i="5"/>
  <c r="N38" i="5"/>
  <c r="N39" i="5"/>
  <c r="N40" i="5"/>
  <c r="N41" i="5"/>
  <c r="N42" i="5"/>
  <c r="N45" i="5"/>
  <c r="N46" i="5"/>
  <c r="N47" i="5"/>
  <c r="N48" i="5"/>
  <c r="N49" i="5"/>
  <c r="N50" i="5"/>
  <c r="N51" i="5"/>
  <c r="N53" i="5"/>
  <c r="N54" i="5"/>
  <c r="N55" i="5"/>
  <c r="N56" i="5"/>
  <c r="N59" i="5"/>
  <c r="N60" i="5"/>
  <c r="N61" i="5"/>
  <c r="N62" i="5"/>
  <c r="N63" i="5"/>
  <c r="N66" i="5"/>
  <c r="N68" i="5"/>
  <c r="N69" i="5"/>
  <c r="N71" i="5"/>
  <c r="N73" i="5"/>
  <c r="N74" i="5"/>
  <c r="N75" i="5"/>
  <c r="N77" i="5"/>
  <c r="N78" i="5"/>
  <c r="N79" i="5"/>
  <c r="N80" i="5"/>
  <c r="N81" i="5"/>
  <c r="N83" i="5"/>
  <c r="N84" i="5"/>
  <c r="N85" i="5"/>
  <c r="N87" i="5"/>
  <c r="N88" i="5"/>
  <c r="N89" i="5"/>
  <c r="N90" i="5"/>
  <c r="N91" i="5"/>
  <c r="N93" i="5"/>
  <c r="N97" i="5"/>
  <c r="N101" i="5"/>
  <c r="N102" i="5"/>
  <c r="N103" i="5"/>
  <c r="N106" i="5"/>
  <c r="N107" i="5"/>
  <c r="N108" i="5"/>
  <c r="N114" i="5"/>
  <c r="N117" i="5"/>
  <c r="N118" i="5"/>
  <c r="N120" i="5"/>
  <c r="N122" i="5"/>
  <c r="N124" i="5"/>
  <c r="N125" i="5"/>
  <c r="N126" i="5"/>
  <c r="N130" i="5"/>
  <c r="N131" i="5"/>
  <c r="N132" i="5"/>
  <c r="N133" i="5"/>
  <c r="N134" i="5"/>
  <c r="N135" i="5"/>
  <c r="N137" i="5"/>
  <c r="N140" i="5"/>
  <c r="N145" i="5"/>
  <c r="N146" i="5"/>
  <c r="N148" i="5"/>
  <c r="N149" i="5"/>
  <c r="N150" i="5"/>
  <c r="N151" i="5"/>
  <c r="N152" i="5"/>
  <c r="N153" i="5"/>
  <c r="N155" i="5"/>
  <c r="N156" i="5"/>
  <c r="N158" i="5"/>
  <c r="N160" i="5"/>
  <c r="N162" i="5"/>
  <c r="N163" i="5"/>
  <c r="N166" i="5"/>
  <c r="N167" i="5"/>
  <c r="N168" i="5"/>
  <c r="N169" i="5"/>
  <c r="N170" i="5"/>
  <c r="N171" i="5"/>
  <c r="N172" i="5"/>
  <c r="N174" i="5"/>
  <c r="N175" i="5"/>
  <c r="N176" i="5"/>
  <c r="N179" i="5"/>
  <c r="N180" i="5"/>
  <c r="N181" i="5"/>
  <c r="N182" i="5"/>
  <c r="N184" i="5"/>
  <c r="N185" i="5"/>
  <c r="N186" i="5"/>
  <c r="N187" i="5"/>
  <c r="N189" i="5"/>
  <c r="N190" i="5"/>
  <c r="N191" i="5"/>
  <c r="N192" i="5"/>
  <c r="N193" i="5"/>
  <c r="N195" i="5"/>
  <c r="N197" i="5"/>
  <c r="N199" i="5"/>
  <c r="N200" i="5"/>
  <c r="N201" i="5"/>
  <c r="N203" i="5"/>
  <c r="N204" i="5"/>
  <c r="N205" i="5"/>
  <c r="N206" i="5"/>
  <c r="N208" i="5"/>
  <c r="N209" i="5"/>
  <c r="N210" i="5"/>
  <c r="N211" i="5"/>
  <c r="N212" i="5"/>
  <c r="N213" i="5"/>
  <c r="N214" i="5"/>
  <c r="N215" i="5"/>
  <c r="N216" i="5"/>
  <c r="N217" i="5"/>
  <c r="N218" i="5"/>
  <c r="N219" i="5"/>
  <c r="N220" i="5"/>
  <c r="N221" i="5"/>
  <c r="N222" i="5"/>
  <c r="N223" i="5"/>
  <c r="N224" i="5"/>
  <c r="N225" i="5"/>
  <c r="N226" i="5"/>
  <c r="N227" i="5"/>
  <c r="N228" i="5"/>
  <c r="N229" i="5"/>
  <c r="N230" i="5"/>
  <c r="N231" i="5"/>
  <c r="N233" i="5"/>
  <c r="N234" i="5"/>
  <c r="N236" i="5"/>
  <c r="N237" i="5"/>
  <c r="N238" i="5"/>
  <c r="N239" i="5"/>
  <c r="N240" i="5"/>
  <c r="N241" i="5"/>
  <c r="N242" i="5"/>
  <c r="N243" i="5"/>
  <c r="N244" i="5"/>
  <c r="N245" i="5"/>
  <c r="N247" i="5"/>
  <c r="N248" i="5"/>
  <c r="N249" i="5"/>
  <c r="N250" i="5"/>
  <c r="N251" i="5"/>
  <c r="N252" i="5"/>
  <c r="N253" i="5"/>
  <c r="N254" i="5"/>
  <c r="N257" i="5"/>
  <c r="N258" i="5"/>
  <c r="N259" i="5"/>
  <c r="N260" i="5"/>
  <c r="N261" i="5"/>
  <c r="N262" i="5"/>
  <c r="N263" i="5"/>
  <c r="N264" i="5"/>
  <c r="N265" i="5"/>
  <c r="N267" i="5"/>
  <c r="N268" i="5"/>
  <c r="N269" i="5"/>
  <c r="N270" i="5"/>
  <c r="N271" i="5"/>
  <c r="N272" i="5"/>
  <c r="N273" i="5"/>
  <c r="N274" i="5"/>
  <c r="M14" i="5"/>
  <c r="M30" i="5"/>
  <c r="M36" i="5"/>
  <c r="M46" i="5"/>
  <c r="M55" i="5"/>
  <c r="M56" i="5"/>
  <c r="M71" i="5"/>
  <c r="M73" i="5"/>
  <c r="M75" i="5"/>
  <c r="M77" i="5"/>
  <c r="M81" i="5"/>
  <c r="M87" i="5"/>
  <c r="M103" i="5"/>
  <c r="M114" i="5"/>
  <c r="M124" i="5"/>
  <c r="M125" i="5"/>
  <c r="M140" i="5"/>
  <c r="M152" i="5"/>
  <c r="M155" i="5"/>
  <c r="M167" i="5"/>
  <c r="M169" i="5"/>
  <c r="M186" i="5"/>
  <c r="M187" i="5"/>
  <c r="M189" i="5"/>
  <c r="M190" i="5"/>
  <c r="M191" i="5"/>
  <c r="M192" i="5"/>
  <c r="M193" i="5"/>
  <c r="M200" i="5"/>
  <c r="M206" i="5"/>
  <c r="M208" i="5"/>
  <c r="M218" i="5"/>
  <c r="M224" i="5"/>
  <c r="M225" i="5"/>
  <c r="M228" i="5"/>
  <c r="M229" i="5"/>
  <c r="M230" i="5"/>
  <c r="M236" i="5"/>
  <c r="M239" i="5"/>
  <c r="M240" i="5"/>
  <c r="M242" i="5"/>
  <c r="M243" i="5"/>
  <c r="M244" i="5"/>
  <c r="M245" i="5"/>
  <c r="M247" i="5"/>
  <c r="M248" i="5"/>
  <c r="M250" i="5"/>
  <c r="M251" i="5"/>
  <c r="M252" i="5"/>
  <c r="M253" i="5"/>
  <c r="M254" i="5"/>
  <c r="M257" i="5"/>
  <c r="M259" i="5"/>
  <c r="M261" i="5"/>
  <c r="M262" i="5"/>
  <c r="M263" i="5"/>
  <c r="M264" i="5"/>
  <c r="M265" i="5"/>
  <c r="M268" i="5"/>
  <c r="M271" i="5"/>
  <c r="M273" i="5"/>
  <c r="L2" i="5"/>
  <c r="L3" i="5"/>
  <c r="L4" i="5"/>
  <c r="L5" i="5"/>
  <c r="L6" i="5"/>
  <c r="L7" i="5"/>
  <c r="L8" i="5"/>
  <c r="L9" i="5"/>
  <c r="L10" i="5"/>
  <c r="L11" i="5"/>
  <c r="L12" i="5"/>
  <c r="L13" i="5"/>
  <c r="L14" i="5"/>
  <c r="L15" i="5"/>
  <c r="L16" i="5"/>
  <c r="L17" i="5"/>
  <c r="L18" i="5"/>
  <c r="L19" i="5"/>
  <c r="L20" i="5"/>
  <c r="L21" i="5"/>
  <c r="L22" i="5"/>
  <c r="L23" i="5"/>
  <c r="L24" i="5"/>
  <c r="L25" i="5"/>
  <c r="L26" i="5"/>
  <c r="L27" i="5"/>
  <c r="L28" i="5"/>
  <c r="L29" i="5"/>
  <c r="L30" i="5"/>
  <c r="L31" i="5"/>
  <c r="L32" i="5"/>
  <c r="L33" i="5"/>
  <c r="L34" i="5"/>
  <c r="L35" i="5"/>
  <c r="L36" i="5"/>
  <c r="L37" i="5"/>
  <c r="L38" i="5"/>
  <c r="L39" i="5"/>
  <c r="L40" i="5"/>
  <c r="L41" i="5"/>
  <c r="L42" i="5"/>
  <c r="L43" i="5"/>
  <c r="L44" i="5"/>
  <c r="L45" i="5"/>
  <c r="L46" i="5"/>
  <c r="L47" i="5"/>
  <c r="L48" i="5"/>
  <c r="L49" i="5"/>
  <c r="L50" i="5"/>
  <c r="L51" i="5"/>
  <c r="L52" i="5"/>
  <c r="L53" i="5"/>
  <c r="L54" i="5"/>
  <c r="L55" i="5"/>
  <c r="L56" i="5"/>
  <c r="L57" i="5"/>
  <c r="L58" i="5"/>
  <c r="L59" i="5"/>
  <c r="L60" i="5"/>
  <c r="L61" i="5"/>
  <c r="L62" i="5"/>
  <c r="L63" i="5"/>
  <c r="L64" i="5"/>
  <c r="L65" i="5"/>
  <c r="L66" i="5"/>
  <c r="L67" i="5"/>
  <c r="L68" i="5"/>
  <c r="L69" i="5"/>
  <c r="L70" i="5"/>
  <c r="L71" i="5"/>
  <c r="L72" i="5"/>
  <c r="L73" i="5"/>
  <c r="L74" i="5"/>
  <c r="L75" i="5"/>
  <c r="L76" i="5"/>
  <c r="L77" i="5"/>
  <c r="L78" i="5"/>
  <c r="L79" i="5"/>
  <c r="L80" i="5"/>
  <c r="L81" i="5"/>
  <c r="L82" i="5"/>
  <c r="L83" i="5"/>
  <c r="L84" i="5"/>
  <c r="L85" i="5"/>
  <c r="L86" i="5"/>
  <c r="L87" i="5"/>
  <c r="L88" i="5"/>
  <c r="L89" i="5"/>
  <c r="L90" i="5"/>
  <c r="L91" i="5"/>
  <c r="L92" i="5"/>
  <c r="L93" i="5"/>
  <c r="L94" i="5"/>
  <c r="L95" i="5"/>
  <c r="L96" i="5"/>
  <c r="L97" i="5"/>
  <c r="L98" i="5"/>
  <c r="L99" i="5"/>
  <c r="L100" i="5"/>
  <c r="L101" i="5"/>
  <c r="L102" i="5"/>
  <c r="L103" i="5"/>
  <c r="L104" i="5"/>
  <c r="L105" i="5"/>
  <c r="L106" i="5"/>
  <c r="L107" i="5"/>
  <c r="L108" i="5"/>
  <c r="L109" i="5"/>
  <c r="L110" i="5"/>
  <c r="L111" i="5"/>
  <c r="L112" i="5"/>
  <c r="L113" i="5"/>
  <c r="L114" i="5"/>
  <c r="L115" i="5"/>
  <c r="L116" i="5"/>
  <c r="L117" i="5"/>
  <c r="L118" i="5"/>
  <c r="L119" i="5"/>
  <c r="L120" i="5"/>
  <c r="L121" i="5"/>
  <c r="L122" i="5"/>
  <c r="L123" i="5"/>
  <c r="L124" i="5"/>
  <c r="L125" i="5"/>
  <c r="L126" i="5"/>
  <c r="L127" i="5"/>
  <c r="L128" i="5"/>
  <c r="L129" i="5"/>
  <c r="L130" i="5"/>
  <c r="L131" i="5"/>
  <c r="L132" i="5"/>
  <c r="L133" i="5"/>
  <c r="L134" i="5"/>
  <c r="L135" i="5"/>
  <c r="L136" i="5"/>
  <c r="L137" i="5"/>
  <c r="L138" i="5"/>
  <c r="L139" i="5"/>
  <c r="L140" i="5"/>
  <c r="L141" i="5"/>
  <c r="L142" i="5"/>
  <c r="L143" i="5"/>
  <c r="L144" i="5"/>
  <c r="L145" i="5"/>
  <c r="L146" i="5"/>
  <c r="L147" i="5"/>
  <c r="L148" i="5"/>
  <c r="L149" i="5"/>
  <c r="L150" i="5"/>
  <c r="L151" i="5"/>
  <c r="L152" i="5"/>
  <c r="L153" i="5"/>
  <c r="L154" i="5"/>
  <c r="L155" i="5"/>
  <c r="L156" i="5"/>
  <c r="L157" i="5"/>
  <c r="L158" i="5"/>
  <c r="L159" i="5"/>
  <c r="L160" i="5"/>
  <c r="L161" i="5"/>
  <c r="L162" i="5"/>
  <c r="L163" i="5"/>
  <c r="L164" i="5"/>
  <c r="L165" i="5"/>
  <c r="L166" i="5"/>
  <c r="L167" i="5"/>
  <c r="L168" i="5"/>
  <c r="L169" i="5"/>
  <c r="L170" i="5"/>
  <c r="L171" i="5"/>
  <c r="L172" i="5"/>
  <c r="L173" i="5"/>
  <c r="L174" i="5"/>
  <c r="L175" i="5"/>
  <c r="L176" i="5"/>
  <c r="L177" i="5"/>
  <c r="L178" i="5"/>
  <c r="L179" i="5"/>
  <c r="L180" i="5"/>
  <c r="L181" i="5"/>
  <c r="L182" i="5"/>
  <c r="L183" i="5"/>
  <c r="L184" i="5"/>
  <c r="L185" i="5"/>
  <c r="L186" i="5"/>
  <c r="L187" i="5"/>
  <c r="L188" i="5"/>
  <c r="L189" i="5"/>
  <c r="L190" i="5"/>
  <c r="L191" i="5"/>
  <c r="L192" i="5"/>
  <c r="L193" i="5"/>
  <c r="L194" i="5"/>
  <c r="L195" i="5"/>
  <c r="L196" i="5"/>
  <c r="L197" i="5"/>
  <c r="L198" i="5"/>
  <c r="L199" i="5"/>
  <c r="L200" i="5"/>
  <c r="L201" i="5"/>
  <c r="L202" i="5"/>
  <c r="L203" i="5"/>
  <c r="L204" i="5"/>
  <c r="L205" i="5"/>
  <c r="L206" i="5"/>
  <c r="L207" i="5"/>
  <c r="L208" i="5"/>
  <c r="L209" i="5"/>
  <c r="L210" i="5"/>
  <c r="L211" i="5"/>
  <c r="L212" i="5"/>
  <c r="L213" i="5"/>
  <c r="L214" i="5"/>
  <c r="L215" i="5"/>
  <c r="L216" i="5"/>
  <c r="L217" i="5"/>
  <c r="L218" i="5"/>
  <c r="L219" i="5"/>
  <c r="L220" i="5"/>
  <c r="L221" i="5"/>
  <c r="L222" i="5"/>
  <c r="L223" i="5"/>
  <c r="L224" i="5"/>
  <c r="L225" i="5"/>
  <c r="L226" i="5"/>
  <c r="L227" i="5"/>
  <c r="L228" i="5"/>
  <c r="L229" i="5"/>
  <c r="L230" i="5"/>
  <c r="L231" i="5"/>
  <c r="L232" i="5"/>
  <c r="L233" i="5"/>
  <c r="L234" i="5"/>
  <c r="L235" i="5"/>
  <c r="L236" i="5"/>
  <c r="L237" i="5"/>
  <c r="L238" i="5"/>
  <c r="L239" i="5"/>
  <c r="L240" i="5"/>
  <c r="L241" i="5"/>
  <c r="L242" i="5"/>
  <c r="L243" i="5"/>
  <c r="L244" i="5"/>
  <c r="L245" i="5"/>
  <c r="L246" i="5"/>
  <c r="L247" i="5"/>
  <c r="L248" i="5"/>
  <c r="L249" i="5"/>
  <c r="L250" i="5"/>
  <c r="L251" i="5"/>
  <c r="L252" i="5"/>
  <c r="L253" i="5"/>
  <c r="L254" i="5"/>
  <c r="L255" i="5"/>
  <c r="L256" i="5"/>
  <c r="L257" i="5"/>
  <c r="L258" i="5"/>
  <c r="L259" i="5"/>
  <c r="L260" i="5"/>
  <c r="L261" i="5"/>
  <c r="L262" i="5"/>
  <c r="L263" i="5"/>
  <c r="L264" i="5"/>
  <c r="L265" i="5"/>
  <c r="L266" i="5"/>
  <c r="L267" i="5"/>
  <c r="L268" i="5"/>
  <c r="L269" i="5"/>
  <c r="L270" i="5"/>
  <c r="L271" i="5"/>
  <c r="L272" i="5"/>
  <c r="L273" i="5"/>
  <c r="L274" i="5"/>
  <c r="P2" i="6"/>
  <c r="P3" i="6"/>
  <c r="P4" i="6"/>
  <c r="P5" i="6"/>
  <c r="P6" i="6"/>
  <c r="P7" i="6"/>
  <c r="P8" i="6"/>
  <c r="P9" i="6"/>
  <c r="P10" i="6"/>
  <c r="P11" i="6"/>
  <c r="P12" i="6"/>
  <c r="P13" i="6"/>
  <c r="P14" i="6"/>
  <c r="P15" i="6"/>
  <c r="P16" i="6"/>
  <c r="P17" i="6"/>
  <c r="P18" i="6"/>
  <c r="P19" i="6"/>
  <c r="P20" i="6"/>
  <c r="P21" i="6"/>
  <c r="P22" i="6"/>
  <c r="P23" i="6"/>
  <c r="P24" i="6"/>
  <c r="P25" i="6"/>
  <c r="P26" i="6"/>
  <c r="P27" i="6"/>
  <c r="P28" i="6"/>
  <c r="P29" i="6"/>
  <c r="P30" i="6"/>
  <c r="P31" i="6"/>
  <c r="P32" i="6"/>
  <c r="P33" i="6"/>
  <c r="P34" i="6"/>
  <c r="P35" i="6"/>
  <c r="P36" i="6"/>
  <c r="P37" i="6"/>
  <c r="P38" i="6"/>
  <c r="P39" i="6"/>
  <c r="P40" i="6"/>
  <c r="P41" i="6"/>
  <c r="P42" i="6"/>
  <c r="P43" i="6"/>
  <c r="P44" i="6"/>
  <c r="P45" i="6"/>
  <c r="P46" i="6"/>
  <c r="P47" i="6"/>
  <c r="P48" i="6"/>
  <c r="P49" i="6"/>
  <c r="P50" i="6"/>
  <c r="P51" i="6"/>
  <c r="P52" i="6"/>
  <c r="P53" i="6"/>
  <c r="P54" i="6"/>
  <c r="P55" i="6"/>
  <c r="P56" i="6"/>
  <c r="P57" i="6"/>
  <c r="P58" i="6"/>
  <c r="P59" i="6"/>
  <c r="P60" i="6"/>
  <c r="P61" i="6"/>
  <c r="P62" i="6"/>
  <c r="P63" i="6"/>
  <c r="P64" i="6"/>
  <c r="P65" i="6"/>
  <c r="P66" i="6"/>
  <c r="P67" i="6"/>
  <c r="P68" i="6"/>
  <c r="P69" i="6"/>
  <c r="P70" i="6"/>
  <c r="P71" i="6"/>
  <c r="P72" i="6"/>
  <c r="P73" i="6"/>
  <c r="P74" i="6"/>
  <c r="P75" i="6"/>
  <c r="P76" i="6"/>
  <c r="P77" i="6"/>
  <c r="P78" i="6"/>
  <c r="P79" i="6"/>
  <c r="P80" i="6"/>
  <c r="P81" i="6"/>
  <c r="P82" i="6"/>
  <c r="P83" i="6"/>
  <c r="P84" i="6"/>
  <c r="P85" i="6"/>
  <c r="P86" i="6"/>
  <c r="P87" i="6"/>
  <c r="P88" i="6"/>
  <c r="P89" i="6"/>
  <c r="P90" i="6"/>
  <c r="P91" i="6"/>
  <c r="P92" i="6"/>
  <c r="P93" i="6"/>
  <c r="P94" i="6"/>
  <c r="P95" i="6"/>
  <c r="P96" i="6"/>
  <c r="P97" i="6"/>
  <c r="P98" i="6"/>
  <c r="P99" i="6"/>
  <c r="P100" i="6"/>
  <c r="P101" i="6"/>
  <c r="P102" i="6"/>
  <c r="P103" i="6"/>
  <c r="P104" i="6"/>
  <c r="P105" i="6"/>
  <c r="P106" i="6"/>
  <c r="P107" i="6"/>
  <c r="P108" i="6"/>
  <c r="P109" i="6"/>
  <c r="P110" i="6"/>
  <c r="P111" i="6"/>
  <c r="P112" i="6"/>
  <c r="P113" i="6"/>
  <c r="P114" i="6"/>
  <c r="P115" i="6"/>
  <c r="P116" i="6"/>
  <c r="P117" i="6"/>
  <c r="P118" i="6"/>
  <c r="P119" i="6"/>
  <c r="P120" i="6"/>
  <c r="P121" i="6"/>
  <c r="P122" i="6"/>
  <c r="P123" i="6"/>
  <c r="P124" i="6"/>
  <c r="P125" i="6"/>
  <c r="P126" i="6"/>
  <c r="P127" i="6"/>
  <c r="P128" i="6"/>
  <c r="P129" i="6"/>
  <c r="P130" i="6"/>
  <c r="P131" i="6"/>
  <c r="P132" i="6"/>
  <c r="P133" i="6"/>
  <c r="P134" i="6"/>
  <c r="P135" i="6"/>
  <c r="P136" i="6"/>
  <c r="P137" i="6"/>
  <c r="P138" i="6"/>
  <c r="P139" i="6"/>
  <c r="P140" i="6"/>
  <c r="P141" i="6"/>
  <c r="P142" i="6"/>
  <c r="P143" i="6"/>
  <c r="P144" i="6"/>
  <c r="P145" i="6"/>
  <c r="P146" i="6"/>
  <c r="P147" i="6"/>
  <c r="P148" i="6"/>
  <c r="P149" i="6"/>
  <c r="P150" i="6"/>
  <c r="P151" i="6"/>
  <c r="P152" i="6"/>
  <c r="P153" i="6"/>
  <c r="P154" i="6"/>
  <c r="P155" i="6"/>
  <c r="P156" i="6"/>
  <c r="P157" i="6"/>
  <c r="P158" i="6"/>
  <c r="P159" i="6"/>
  <c r="P160" i="6"/>
  <c r="P161" i="6"/>
  <c r="P162" i="6"/>
  <c r="P163" i="6"/>
  <c r="P164" i="6"/>
  <c r="P165" i="6"/>
  <c r="P166" i="6"/>
  <c r="P167" i="6"/>
  <c r="P168" i="6"/>
  <c r="P169" i="6"/>
  <c r="P170" i="6"/>
  <c r="P171" i="6"/>
  <c r="P172" i="6"/>
  <c r="P173" i="6"/>
  <c r="P174" i="6"/>
  <c r="P175" i="6"/>
  <c r="P176" i="6"/>
  <c r="P177" i="6"/>
  <c r="P178" i="6"/>
  <c r="P179" i="6"/>
  <c r="P180" i="6"/>
  <c r="P181" i="6"/>
  <c r="P182" i="6"/>
  <c r="P183" i="6"/>
  <c r="P184" i="6"/>
  <c r="P185" i="6"/>
  <c r="P186" i="6"/>
  <c r="P187" i="6"/>
  <c r="P188" i="6"/>
  <c r="P189" i="6"/>
  <c r="P190" i="6"/>
  <c r="P191" i="6"/>
  <c r="P192" i="6"/>
  <c r="P193" i="6"/>
  <c r="P194" i="6"/>
  <c r="P195" i="6"/>
  <c r="P196" i="6"/>
  <c r="P197" i="6"/>
  <c r="P198" i="6"/>
  <c r="P199" i="6"/>
  <c r="P200" i="6"/>
  <c r="P201" i="6"/>
  <c r="P202" i="6"/>
  <c r="P203" i="6"/>
  <c r="P204" i="6"/>
  <c r="P205" i="6"/>
  <c r="P206" i="6"/>
  <c r="P207" i="6"/>
  <c r="P208" i="6"/>
  <c r="P209" i="6"/>
  <c r="P210" i="6"/>
  <c r="P211" i="6"/>
  <c r="P212" i="6"/>
  <c r="P213" i="6"/>
  <c r="P214" i="6"/>
  <c r="P215" i="6"/>
  <c r="P216" i="6"/>
  <c r="P217" i="6"/>
  <c r="P218" i="6"/>
  <c r="P219" i="6"/>
  <c r="P220" i="6"/>
  <c r="P221" i="6"/>
  <c r="P222" i="6"/>
  <c r="P223" i="6"/>
  <c r="P224" i="6"/>
  <c r="P225" i="6"/>
  <c r="P226" i="6"/>
  <c r="P227" i="6"/>
  <c r="P228" i="6"/>
  <c r="P229" i="6"/>
  <c r="P230" i="6"/>
  <c r="P231" i="6"/>
  <c r="P232" i="6"/>
  <c r="P233" i="6"/>
  <c r="P234" i="6"/>
  <c r="P235" i="6"/>
  <c r="P236" i="6"/>
  <c r="P237" i="6"/>
  <c r="P238" i="6"/>
  <c r="P239" i="6"/>
  <c r="P240" i="6"/>
  <c r="P241" i="6"/>
  <c r="P242" i="6"/>
  <c r="P243" i="6"/>
  <c r="P244" i="6"/>
  <c r="P245" i="6"/>
  <c r="P246" i="6"/>
  <c r="P247" i="6"/>
  <c r="P248" i="6"/>
  <c r="P249" i="6"/>
  <c r="P250" i="6"/>
  <c r="P251" i="6"/>
  <c r="P252" i="6"/>
  <c r="P253" i="6"/>
  <c r="P254" i="6"/>
  <c r="P255" i="6"/>
  <c r="P256" i="6"/>
  <c r="P257" i="6"/>
  <c r="P258" i="6"/>
  <c r="P259" i="6"/>
  <c r="P260" i="6"/>
  <c r="P261" i="6"/>
  <c r="P262" i="6"/>
  <c r="P263" i="6"/>
  <c r="P264" i="6"/>
  <c r="P265" i="6"/>
  <c r="P266" i="6"/>
  <c r="P267" i="6"/>
  <c r="P268" i="6"/>
  <c r="P269" i="6"/>
  <c r="P270" i="6"/>
  <c r="P271" i="6"/>
  <c r="P272" i="6"/>
  <c r="P273" i="6"/>
  <c r="P274" i="6"/>
  <c r="P275" i="6"/>
  <c r="P276" i="6"/>
  <c r="P277" i="6"/>
  <c r="P278" i="6"/>
  <c r="P279" i="6"/>
  <c r="P280" i="6"/>
  <c r="P281" i="6"/>
  <c r="P282" i="6"/>
  <c r="P283" i="6"/>
  <c r="P284" i="6"/>
  <c r="P285" i="6"/>
  <c r="P286" i="6"/>
  <c r="P287" i="6"/>
  <c r="P288" i="6"/>
  <c r="P289" i="6"/>
  <c r="P290" i="6"/>
  <c r="P291" i="6"/>
  <c r="P292" i="6"/>
  <c r="P293" i="6"/>
  <c r="P294" i="6"/>
  <c r="P295" i="6"/>
  <c r="P296" i="6"/>
  <c r="P297" i="6"/>
  <c r="P298" i="6"/>
  <c r="P299" i="6"/>
  <c r="P300" i="6"/>
  <c r="P301" i="6"/>
  <c r="P302" i="6"/>
  <c r="P303" i="6"/>
  <c r="P304" i="6"/>
  <c r="P305" i="6"/>
  <c r="P306" i="6"/>
  <c r="P307" i="6"/>
  <c r="P308" i="6"/>
  <c r="P309" i="6"/>
  <c r="P310" i="6"/>
  <c r="P311" i="6"/>
  <c r="P312" i="6"/>
  <c r="P313" i="6"/>
  <c r="P314" i="6"/>
  <c r="P315" i="6"/>
  <c r="P316" i="6"/>
  <c r="P317" i="6"/>
  <c r="P318" i="6"/>
  <c r="P319" i="6"/>
  <c r="P320" i="6"/>
  <c r="P321" i="6"/>
  <c r="P322" i="6"/>
  <c r="P323" i="6"/>
  <c r="P324" i="6"/>
  <c r="P325" i="6"/>
  <c r="P326" i="6"/>
  <c r="P327" i="6"/>
  <c r="P328" i="6"/>
  <c r="P329" i="6"/>
  <c r="P330" i="6"/>
  <c r="P331" i="6"/>
  <c r="P332" i="6"/>
  <c r="P333" i="6"/>
  <c r="P334" i="6"/>
  <c r="P335" i="6"/>
  <c r="P336" i="6"/>
  <c r="P337" i="6"/>
  <c r="P338" i="6"/>
  <c r="P339" i="6"/>
  <c r="P340" i="6"/>
  <c r="P341" i="6"/>
  <c r="P342" i="6"/>
  <c r="P343" i="6"/>
  <c r="P344" i="6"/>
  <c r="P345" i="6"/>
  <c r="P346" i="6"/>
  <c r="P347" i="6"/>
  <c r="P348" i="6"/>
  <c r="P349" i="6"/>
  <c r="P350" i="6"/>
  <c r="P351" i="6"/>
  <c r="P352" i="6"/>
  <c r="P353" i="6"/>
  <c r="P354" i="6"/>
  <c r="P355" i="6"/>
  <c r="P356" i="6"/>
  <c r="P357" i="6"/>
  <c r="P358" i="6"/>
  <c r="P359" i="6"/>
  <c r="P360" i="6"/>
  <c r="P361" i="6"/>
  <c r="P362" i="6"/>
  <c r="P363" i="6"/>
  <c r="P364" i="6"/>
  <c r="P365" i="6"/>
  <c r="P366" i="6"/>
  <c r="P367" i="6"/>
  <c r="P368" i="6"/>
  <c r="P369" i="6"/>
  <c r="P370" i="6"/>
  <c r="P371" i="6"/>
  <c r="P372" i="6"/>
  <c r="P373" i="6"/>
  <c r="P374" i="6"/>
  <c r="P375" i="6"/>
  <c r="P376" i="6"/>
  <c r="P377" i="6"/>
  <c r="P378" i="6"/>
  <c r="P379" i="6"/>
  <c r="P380" i="6"/>
  <c r="P381" i="6"/>
  <c r="P382" i="6"/>
  <c r="P383" i="6"/>
  <c r="P384" i="6"/>
  <c r="P385" i="6"/>
  <c r="P386" i="6"/>
  <c r="P387" i="6"/>
  <c r="P388" i="6"/>
  <c r="P389" i="6"/>
  <c r="P390" i="6"/>
  <c r="P391" i="6"/>
  <c r="P392" i="6"/>
  <c r="P393" i="6"/>
  <c r="P394" i="6"/>
  <c r="P395" i="6"/>
  <c r="P396" i="6"/>
  <c r="P397" i="6"/>
  <c r="P398" i="6"/>
  <c r="P399" i="6"/>
  <c r="P400" i="6"/>
  <c r="P401" i="6"/>
  <c r="P402" i="6"/>
  <c r="P403" i="6"/>
  <c r="P404" i="6"/>
  <c r="P405" i="6"/>
  <c r="P406" i="6"/>
  <c r="P407" i="6"/>
  <c r="P408" i="6"/>
  <c r="P409" i="6"/>
  <c r="P410" i="6"/>
  <c r="P411" i="6"/>
  <c r="P412" i="6"/>
  <c r="P413" i="6"/>
  <c r="P414" i="6"/>
  <c r="P415" i="6"/>
  <c r="P416" i="6"/>
  <c r="P417" i="6"/>
  <c r="P418" i="6"/>
  <c r="P419" i="6"/>
  <c r="P420" i="6"/>
  <c r="P421" i="6"/>
  <c r="P422" i="6"/>
  <c r="P423" i="6"/>
  <c r="P424" i="6"/>
  <c r="P425" i="6"/>
  <c r="P426" i="6"/>
  <c r="P427" i="6"/>
  <c r="P428" i="6"/>
  <c r="P429" i="6"/>
  <c r="P430" i="6"/>
  <c r="P431" i="6"/>
  <c r="P432" i="6"/>
  <c r="P433" i="6"/>
  <c r="P434" i="6"/>
  <c r="P435" i="6"/>
  <c r="P436" i="6"/>
  <c r="P437" i="6"/>
  <c r="P438" i="6"/>
  <c r="P439" i="6"/>
  <c r="P440" i="6"/>
  <c r="P441" i="6"/>
  <c r="P442" i="6"/>
  <c r="P443" i="6"/>
  <c r="P444" i="6"/>
  <c r="P445" i="6"/>
  <c r="P446" i="6"/>
  <c r="P447" i="6"/>
  <c r="P448" i="6"/>
  <c r="P449" i="6"/>
  <c r="P450" i="6"/>
  <c r="P451" i="6"/>
  <c r="P452" i="6"/>
  <c r="P453" i="6"/>
  <c r="P454" i="6"/>
  <c r="P455" i="6"/>
  <c r="P456" i="6"/>
  <c r="P457" i="6"/>
  <c r="P458" i="6"/>
  <c r="P459" i="6"/>
  <c r="P460" i="6"/>
  <c r="P461" i="6"/>
  <c r="P462" i="6"/>
  <c r="P463" i="6"/>
  <c r="P464" i="6"/>
  <c r="P465" i="6"/>
  <c r="P466" i="6"/>
  <c r="P467" i="6"/>
  <c r="P468" i="6"/>
  <c r="P469" i="6"/>
  <c r="P470" i="6"/>
  <c r="P471" i="6"/>
  <c r="P472" i="6"/>
  <c r="P473" i="6"/>
  <c r="P474" i="6"/>
  <c r="P475" i="6"/>
  <c r="P476" i="6"/>
  <c r="P477" i="6"/>
  <c r="P478" i="6"/>
  <c r="P479" i="6"/>
  <c r="P480" i="6"/>
  <c r="P481" i="6"/>
  <c r="P482" i="6"/>
  <c r="P483" i="6"/>
  <c r="P484" i="6"/>
  <c r="P485" i="6"/>
  <c r="P486" i="6"/>
  <c r="P487" i="6"/>
  <c r="P488" i="6"/>
  <c r="P489" i="6"/>
  <c r="P490" i="6"/>
  <c r="P491" i="6"/>
  <c r="P492" i="6"/>
  <c r="P493" i="6"/>
  <c r="P494" i="6"/>
  <c r="P495" i="6"/>
  <c r="P496" i="6"/>
  <c r="P497" i="6"/>
  <c r="P498" i="6"/>
  <c r="P499" i="6"/>
  <c r="P500" i="6"/>
  <c r="P501" i="6"/>
  <c r="P502" i="6"/>
  <c r="P503" i="6"/>
  <c r="P504" i="6"/>
  <c r="P505" i="6"/>
  <c r="P506" i="6"/>
  <c r="P507" i="6"/>
  <c r="P508" i="6"/>
  <c r="P509" i="6"/>
  <c r="P510" i="6"/>
  <c r="P511" i="6"/>
  <c r="P512" i="6"/>
  <c r="P513" i="6"/>
  <c r="P514" i="6"/>
  <c r="P515" i="6"/>
  <c r="P516" i="6"/>
  <c r="P517" i="6"/>
  <c r="P518" i="6"/>
  <c r="P519" i="6"/>
  <c r="P520" i="6"/>
  <c r="P521" i="6"/>
  <c r="P522" i="6"/>
  <c r="P523" i="6"/>
  <c r="P524" i="6"/>
  <c r="P525" i="6"/>
  <c r="P526" i="6"/>
  <c r="P527" i="6"/>
  <c r="P528" i="6"/>
  <c r="P529" i="6"/>
  <c r="P530" i="6"/>
  <c r="P531" i="6"/>
  <c r="P532" i="6"/>
  <c r="P533" i="6"/>
  <c r="P534" i="6"/>
  <c r="P535" i="6"/>
  <c r="P536" i="6"/>
  <c r="P537" i="6"/>
  <c r="P538" i="6"/>
  <c r="P539" i="6"/>
  <c r="P540" i="6"/>
  <c r="P541" i="6"/>
  <c r="P542" i="6"/>
  <c r="P543" i="6"/>
  <c r="P544" i="6"/>
  <c r="P545" i="6"/>
  <c r="P546" i="6"/>
  <c r="P547" i="6"/>
  <c r="P548" i="6"/>
  <c r="P549" i="6"/>
  <c r="P550" i="6"/>
  <c r="P551" i="6"/>
  <c r="P552" i="6"/>
  <c r="P553" i="6"/>
  <c r="P554" i="6"/>
  <c r="P555" i="6"/>
  <c r="P556" i="6"/>
  <c r="P557" i="6"/>
  <c r="P558" i="6"/>
  <c r="P559" i="6"/>
  <c r="P560" i="6"/>
  <c r="P561" i="6"/>
  <c r="P562" i="6"/>
  <c r="P563" i="6"/>
  <c r="P564" i="6"/>
  <c r="P565" i="6"/>
  <c r="P566" i="6"/>
  <c r="P567" i="6"/>
  <c r="P568" i="6"/>
  <c r="P569" i="6"/>
  <c r="P570" i="6"/>
  <c r="P571" i="6"/>
  <c r="P572" i="6"/>
  <c r="P573" i="6"/>
  <c r="P574" i="6"/>
  <c r="P575" i="6"/>
  <c r="P576" i="6"/>
  <c r="P577" i="6"/>
  <c r="P578" i="6"/>
  <c r="P579" i="6"/>
  <c r="P580" i="6"/>
  <c r="P581" i="6"/>
  <c r="P582" i="6"/>
  <c r="P583" i="6"/>
  <c r="P584" i="6"/>
  <c r="P585" i="6"/>
  <c r="P586" i="6"/>
  <c r="P587" i="6"/>
  <c r="P588" i="6"/>
  <c r="P589" i="6"/>
  <c r="P590" i="6"/>
  <c r="P591" i="6"/>
  <c r="P592" i="6"/>
  <c r="P593" i="6"/>
  <c r="P594" i="6"/>
  <c r="P595" i="6"/>
  <c r="P596" i="6"/>
  <c r="P597" i="6"/>
  <c r="P598" i="6"/>
  <c r="P599" i="6"/>
  <c r="P600" i="6"/>
  <c r="P601" i="6"/>
  <c r="P602" i="6"/>
  <c r="P603" i="6"/>
  <c r="P604" i="6"/>
  <c r="P605" i="6"/>
  <c r="P606" i="6"/>
  <c r="P607" i="6"/>
  <c r="P608" i="6"/>
  <c r="P609" i="6"/>
  <c r="P610" i="6"/>
  <c r="P611" i="6"/>
  <c r="P612" i="6"/>
  <c r="P613" i="6"/>
  <c r="P614" i="6"/>
  <c r="P615" i="6"/>
  <c r="P616" i="6"/>
  <c r="P617" i="6"/>
  <c r="P618" i="6"/>
  <c r="P619" i="6"/>
  <c r="P620" i="6"/>
  <c r="P621" i="6"/>
  <c r="P622" i="6"/>
  <c r="P623" i="6"/>
  <c r="P624" i="6"/>
  <c r="P625" i="6"/>
  <c r="P626" i="6"/>
  <c r="P627" i="6"/>
  <c r="P628" i="6"/>
  <c r="P629" i="6"/>
  <c r="P630" i="6"/>
  <c r="P631" i="6"/>
  <c r="P632" i="6"/>
  <c r="P633" i="6"/>
  <c r="P634" i="6"/>
  <c r="P635" i="6"/>
  <c r="P636" i="6"/>
  <c r="P637" i="6"/>
  <c r="P638" i="6"/>
  <c r="P639" i="6"/>
  <c r="P640" i="6"/>
  <c r="P641" i="6"/>
  <c r="P642" i="6"/>
  <c r="P643" i="6"/>
  <c r="P644" i="6"/>
  <c r="P645" i="6"/>
  <c r="P646" i="6"/>
  <c r="P647" i="6"/>
  <c r="P648" i="6"/>
  <c r="P649" i="6"/>
  <c r="P650" i="6"/>
  <c r="P651" i="6"/>
  <c r="P652" i="6"/>
  <c r="P653" i="6"/>
  <c r="P654" i="6"/>
  <c r="P655" i="6"/>
  <c r="P656" i="6"/>
  <c r="P657" i="6"/>
  <c r="M5" i="6"/>
  <c r="M21" i="6"/>
  <c r="M22" i="6"/>
  <c r="M23" i="6"/>
  <c r="M24" i="6"/>
  <c r="M25" i="6"/>
  <c r="M26" i="6"/>
  <c r="M27" i="6"/>
  <c r="M28" i="6"/>
  <c r="M29" i="6"/>
  <c r="M30" i="6"/>
  <c r="M31" i="6"/>
  <c r="M32" i="6"/>
  <c r="M33" i="6"/>
  <c r="M34" i="6"/>
  <c r="M35" i="6"/>
  <c r="M36" i="6"/>
  <c r="M37" i="6"/>
  <c r="M38" i="6"/>
  <c r="M39" i="6"/>
  <c r="M40" i="6"/>
  <c r="M41" i="6"/>
  <c r="M42" i="6"/>
  <c r="M43" i="6"/>
  <c r="M44" i="6"/>
  <c r="M45" i="6"/>
  <c r="M46" i="6"/>
  <c r="M47" i="6"/>
  <c r="M48" i="6"/>
  <c r="M49" i="6"/>
  <c r="M50" i="6"/>
  <c r="M51" i="6"/>
  <c r="M52" i="6"/>
  <c r="M53" i="6"/>
  <c r="M54" i="6"/>
  <c r="M55" i="6"/>
  <c r="M56" i="6"/>
  <c r="M57" i="6"/>
  <c r="M58" i="6"/>
  <c r="M59" i="6"/>
  <c r="M60" i="6"/>
  <c r="M61" i="6"/>
  <c r="M62" i="6"/>
  <c r="M63" i="6"/>
  <c r="M64" i="6"/>
  <c r="M65" i="6"/>
  <c r="M66" i="6"/>
  <c r="M67" i="6"/>
  <c r="M68" i="6"/>
  <c r="M69" i="6"/>
  <c r="M70" i="6"/>
  <c r="M71" i="6"/>
  <c r="M72" i="6"/>
  <c r="M73" i="6"/>
  <c r="M74" i="6"/>
  <c r="M75" i="6"/>
  <c r="M76" i="6"/>
  <c r="M77" i="6"/>
  <c r="M78" i="6"/>
  <c r="M79" i="6"/>
  <c r="M80" i="6"/>
  <c r="M81" i="6"/>
  <c r="M82" i="6"/>
  <c r="M83" i="6"/>
  <c r="M84" i="6"/>
  <c r="M85" i="6"/>
  <c r="M86" i="6"/>
  <c r="M87" i="6"/>
  <c r="M88" i="6"/>
  <c r="M89" i="6"/>
  <c r="M90" i="6"/>
  <c r="M91" i="6"/>
  <c r="M92" i="6"/>
  <c r="M93" i="6"/>
  <c r="M94" i="6"/>
  <c r="M95" i="6"/>
  <c r="M96" i="6"/>
  <c r="M97" i="6"/>
  <c r="M98" i="6"/>
  <c r="M99" i="6"/>
  <c r="M100" i="6"/>
  <c r="M101" i="6"/>
  <c r="M102" i="6"/>
  <c r="M103" i="6"/>
  <c r="M104" i="6"/>
  <c r="M105" i="6"/>
  <c r="M106" i="6"/>
  <c r="M107" i="6"/>
  <c r="M108" i="6"/>
  <c r="M109" i="6"/>
  <c r="M110" i="6"/>
  <c r="M111" i="6"/>
  <c r="M112" i="6"/>
  <c r="M113" i="6"/>
  <c r="M114" i="6"/>
  <c r="M115" i="6"/>
  <c r="M116" i="6"/>
  <c r="M117" i="6"/>
  <c r="M118" i="6"/>
  <c r="M119" i="6"/>
  <c r="M120" i="6"/>
  <c r="M121" i="6"/>
  <c r="M122" i="6"/>
  <c r="M123" i="6"/>
  <c r="M124" i="6"/>
  <c r="M125" i="6"/>
  <c r="M126" i="6"/>
  <c r="M127" i="6"/>
  <c r="M128" i="6"/>
  <c r="M129" i="6"/>
  <c r="M130" i="6"/>
  <c r="M131" i="6"/>
  <c r="M132" i="6"/>
  <c r="M133" i="6"/>
  <c r="M134" i="6"/>
  <c r="M135" i="6"/>
  <c r="M136" i="6"/>
  <c r="M137" i="6"/>
  <c r="M138" i="6"/>
  <c r="M139" i="6"/>
  <c r="M140" i="6"/>
  <c r="M141" i="6"/>
  <c r="M142" i="6"/>
  <c r="M143" i="6"/>
  <c r="M144" i="6"/>
  <c r="M145" i="6"/>
  <c r="M146" i="6"/>
  <c r="M147" i="6"/>
  <c r="M148" i="6"/>
  <c r="M149" i="6"/>
  <c r="M150" i="6"/>
  <c r="M151" i="6"/>
  <c r="M152" i="6"/>
  <c r="M153" i="6"/>
  <c r="M154" i="6"/>
  <c r="M155" i="6"/>
  <c r="M156" i="6"/>
  <c r="M157" i="6"/>
  <c r="M158" i="6"/>
  <c r="M159" i="6"/>
  <c r="M160" i="6"/>
  <c r="M161" i="6"/>
  <c r="M162" i="6"/>
  <c r="M163" i="6"/>
  <c r="M164" i="6"/>
  <c r="M165" i="6"/>
  <c r="M166" i="6"/>
  <c r="M167" i="6"/>
  <c r="M168" i="6"/>
  <c r="M169" i="6"/>
  <c r="M170" i="6"/>
  <c r="M171" i="6"/>
  <c r="M172" i="6"/>
  <c r="M173" i="6"/>
  <c r="M174" i="6"/>
  <c r="M175" i="6"/>
  <c r="M176" i="6"/>
  <c r="M177" i="6"/>
  <c r="M178" i="6"/>
  <c r="M179" i="6"/>
  <c r="M180" i="6"/>
  <c r="M181" i="6"/>
  <c r="M182" i="6"/>
  <c r="M183" i="6"/>
  <c r="M184" i="6"/>
  <c r="M185" i="6"/>
  <c r="M186" i="6"/>
  <c r="M187" i="6"/>
  <c r="M188" i="6"/>
  <c r="M189" i="6"/>
  <c r="M190" i="6"/>
  <c r="M191" i="6"/>
  <c r="M192" i="6"/>
  <c r="M193" i="6"/>
  <c r="M194" i="6"/>
  <c r="M195" i="6"/>
  <c r="M196" i="6"/>
  <c r="M197" i="6"/>
  <c r="M198" i="6"/>
  <c r="M199" i="6"/>
  <c r="M200" i="6"/>
  <c r="M201" i="6"/>
  <c r="M202" i="6"/>
  <c r="M203" i="6"/>
  <c r="M204" i="6"/>
  <c r="M205" i="6"/>
  <c r="M206" i="6"/>
  <c r="M207" i="6"/>
  <c r="M208" i="6"/>
  <c r="M209" i="6"/>
  <c r="M210" i="6"/>
  <c r="M211" i="6"/>
  <c r="M212" i="6"/>
  <c r="M213" i="6"/>
  <c r="M214" i="6"/>
  <c r="M215" i="6"/>
  <c r="M216" i="6"/>
  <c r="M217" i="6"/>
  <c r="M218" i="6"/>
  <c r="M219" i="6"/>
  <c r="M220" i="6"/>
  <c r="M221" i="6"/>
  <c r="M222" i="6"/>
  <c r="M223" i="6"/>
  <c r="M224" i="6"/>
  <c r="M225" i="6"/>
  <c r="M226" i="6"/>
  <c r="M227" i="6"/>
  <c r="M228" i="6"/>
  <c r="M229" i="6"/>
  <c r="M230" i="6"/>
  <c r="M231" i="6"/>
  <c r="M232" i="6"/>
  <c r="M233" i="6"/>
  <c r="M234" i="6"/>
  <c r="M235" i="6"/>
  <c r="M236" i="6"/>
  <c r="M237" i="6"/>
  <c r="M238" i="6"/>
  <c r="M239" i="6"/>
  <c r="M240" i="6"/>
  <c r="M241" i="6"/>
  <c r="M242" i="6"/>
  <c r="M243" i="6"/>
  <c r="M244" i="6"/>
  <c r="M245" i="6"/>
  <c r="M246" i="6"/>
  <c r="M247" i="6"/>
  <c r="M248" i="6"/>
  <c r="M249" i="6"/>
  <c r="M250" i="6"/>
  <c r="M251" i="6"/>
  <c r="M252" i="6"/>
  <c r="M253" i="6"/>
  <c r="M254" i="6"/>
  <c r="M255" i="6"/>
  <c r="M256" i="6"/>
  <c r="M257" i="6"/>
  <c r="M258" i="6"/>
  <c r="M259" i="6"/>
  <c r="M260" i="6"/>
  <c r="M261" i="6"/>
  <c r="M262" i="6"/>
  <c r="M263" i="6"/>
  <c r="M264" i="6"/>
  <c r="M265" i="6"/>
  <c r="M266" i="6"/>
  <c r="M267" i="6"/>
  <c r="M268" i="6"/>
  <c r="M269" i="6"/>
  <c r="M270" i="6"/>
  <c r="M271" i="6"/>
  <c r="M272" i="6"/>
  <c r="M273" i="6"/>
  <c r="M274" i="6"/>
  <c r="M275" i="6"/>
  <c r="M276" i="6"/>
  <c r="M277" i="6"/>
  <c r="M278" i="6"/>
  <c r="M279" i="6"/>
  <c r="M280" i="6"/>
  <c r="M281" i="6"/>
  <c r="M282" i="6"/>
  <c r="M283" i="6"/>
  <c r="M284" i="6"/>
  <c r="M285" i="6"/>
  <c r="M286" i="6"/>
  <c r="M287" i="6"/>
  <c r="M288" i="6"/>
  <c r="M289" i="6"/>
  <c r="M290" i="6"/>
  <c r="M291" i="6"/>
  <c r="M292" i="6"/>
  <c r="M293" i="6"/>
  <c r="M294" i="6"/>
  <c r="M295" i="6"/>
  <c r="M296" i="6"/>
  <c r="M297" i="6"/>
  <c r="M298" i="6"/>
  <c r="M299" i="6"/>
  <c r="M300" i="6"/>
  <c r="M301" i="6"/>
  <c r="M302" i="6"/>
  <c r="M303" i="6"/>
  <c r="M304" i="6"/>
  <c r="M305" i="6"/>
  <c r="M306" i="6"/>
  <c r="M307" i="6"/>
  <c r="M308" i="6"/>
  <c r="M309" i="6"/>
  <c r="M310" i="6"/>
  <c r="M311" i="6"/>
  <c r="M312" i="6"/>
  <c r="M313" i="6"/>
  <c r="M314" i="6"/>
  <c r="M315" i="6"/>
  <c r="M316" i="6"/>
  <c r="M317" i="6"/>
  <c r="M318" i="6"/>
  <c r="M319" i="6"/>
  <c r="M320" i="6"/>
  <c r="M321" i="6"/>
  <c r="M322" i="6"/>
  <c r="M323" i="6"/>
  <c r="M324" i="6"/>
  <c r="M325" i="6"/>
  <c r="M326" i="6"/>
  <c r="M327" i="6"/>
  <c r="M328" i="6"/>
  <c r="M329" i="6"/>
  <c r="M330" i="6"/>
  <c r="M331" i="6"/>
  <c r="M332" i="6"/>
  <c r="M333" i="6"/>
  <c r="M334" i="6"/>
  <c r="M335" i="6"/>
  <c r="M336" i="6"/>
  <c r="M337" i="6"/>
  <c r="M338" i="6"/>
  <c r="M339" i="6"/>
  <c r="M340" i="6"/>
  <c r="M341" i="6"/>
  <c r="M342" i="6"/>
  <c r="M343" i="6"/>
  <c r="M344" i="6"/>
  <c r="M345" i="6"/>
  <c r="M346" i="6"/>
  <c r="M347" i="6"/>
  <c r="M348" i="6"/>
  <c r="M349" i="6"/>
  <c r="M350" i="6"/>
  <c r="M351" i="6"/>
  <c r="M352" i="6"/>
  <c r="M353" i="6"/>
  <c r="M354" i="6"/>
  <c r="M355" i="6"/>
  <c r="M356" i="6"/>
  <c r="M357" i="6"/>
  <c r="M358" i="6"/>
  <c r="M359" i="6"/>
  <c r="M360" i="6"/>
  <c r="M361" i="6"/>
  <c r="M362" i="6"/>
  <c r="M363" i="6"/>
  <c r="M364" i="6"/>
  <c r="M365" i="6"/>
  <c r="M366" i="6"/>
  <c r="M367" i="6"/>
  <c r="M368" i="6"/>
  <c r="M369" i="6"/>
  <c r="M370" i="6"/>
  <c r="M371" i="6"/>
  <c r="M372" i="6"/>
  <c r="M373" i="6"/>
  <c r="M374" i="6"/>
  <c r="M375" i="6"/>
  <c r="M376" i="6"/>
  <c r="M377" i="6"/>
  <c r="M378" i="6"/>
  <c r="M379" i="6"/>
  <c r="M380" i="6"/>
  <c r="M381" i="6"/>
  <c r="M382" i="6"/>
  <c r="M383" i="6"/>
  <c r="M384" i="6"/>
  <c r="M385" i="6"/>
  <c r="M386" i="6"/>
  <c r="M387" i="6"/>
  <c r="M388" i="6"/>
  <c r="M389" i="6"/>
  <c r="M390" i="6"/>
  <c r="M391" i="6"/>
  <c r="M392" i="6"/>
  <c r="M393" i="6"/>
  <c r="M394" i="6"/>
  <c r="M395" i="6"/>
  <c r="M396" i="6"/>
  <c r="M397" i="6"/>
  <c r="M398" i="6"/>
  <c r="M399" i="6"/>
  <c r="M400" i="6"/>
  <c r="M401" i="6"/>
  <c r="M402" i="6"/>
  <c r="M403" i="6"/>
  <c r="M404" i="6"/>
  <c r="M405" i="6"/>
  <c r="M406" i="6"/>
  <c r="M407" i="6"/>
  <c r="M408" i="6"/>
  <c r="M409" i="6"/>
  <c r="M410" i="6"/>
  <c r="M411" i="6"/>
  <c r="M412" i="6"/>
  <c r="M413" i="6"/>
  <c r="M414" i="6"/>
  <c r="M415" i="6"/>
  <c r="M416" i="6"/>
  <c r="M417" i="6"/>
  <c r="M418" i="6"/>
  <c r="M419" i="6"/>
  <c r="M420" i="6"/>
  <c r="M421" i="6"/>
  <c r="M422" i="6"/>
  <c r="M423" i="6"/>
  <c r="M424" i="6"/>
  <c r="M425" i="6"/>
  <c r="M426" i="6"/>
  <c r="M427" i="6"/>
  <c r="M428" i="6"/>
  <c r="M429" i="6"/>
  <c r="M430" i="6"/>
  <c r="M431" i="6"/>
  <c r="M432" i="6"/>
  <c r="M433" i="6"/>
  <c r="M434" i="6"/>
  <c r="M435" i="6"/>
  <c r="M436" i="6"/>
  <c r="M437" i="6"/>
  <c r="M438" i="6"/>
  <c r="M439" i="6"/>
  <c r="M440" i="6"/>
  <c r="M441" i="6"/>
  <c r="M442" i="6"/>
  <c r="M443" i="6"/>
  <c r="M444" i="6"/>
  <c r="M445" i="6"/>
  <c r="M446" i="6"/>
  <c r="M447" i="6"/>
  <c r="M448" i="6"/>
  <c r="M449" i="6"/>
  <c r="M450" i="6"/>
  <c r="M451" i="6"/>
  <c r="M452" i="6"/>
  <c r="M453" i="6"/>
  <c r="M454" i="6"/>
  <c r="M455" i="6"/>
  <c r="M456" i="6"/>
  <c r="M457" i="6"/>
  <c r="M458" i="6"/>
  <c r="M459" i="6"/>
  <c r="M460" i="6"/>
  <c r="M461" i="6"/>
  <c r="M462" i="6"/>
  <c r="M463" i="6"/>
  <c r="M464" i="6"/>
  <c r="M465" i="6"/>
  <c r="M466" i="6"/>
  <c r="M467" i="6"/>
  <c r="M468" i="6"/>
  <c r="M469" i="6"/>
  <c r="M470" i="6"/>
  <c r="M471" i="6"/>
  <c r="M472" i="6"/>
  <c r="M473" i="6"/>
  <c r="M474" i="6"/>
  <c r="M475" i="6"/>
  <c r="M476" i="6"/>
  <c r="M477" i="6"/>
  <c r="M478" i="6"/>
  <c r="M479" i="6"/>
  <c r="M480" i="6"/>
  <c r="M481" i="6"/>
  <c r="M482" i="6"/>
  <c r="M483" i="6"/>
  <c r="M484" i="6"/>
  <c r="M485" i="6"/>
  <c r="M486" i="6"/>
  <c r="M487" i="6"/>
  <c r="M488" i="6"/>
  <c r="M489" i="6"/>
  <c r="M490" i="6"/>
  <c r="M491" i="6"/>
  <c r="M492" i="6"/>
  <c r="M493" i="6"/>
  <c r="M494" i="6"/>
  <c r="M495" i="6"/>
  <c r="M496" i="6"/>
  <c r="M497" i="6"/>
  <c r="M498" i="6"/>
  <c r="M499" i="6"/>
  <c r="M500" i="6"/>
  <c r="M501" i="6"/>
  <c r="M502" i="6"/>
  <c r="M503" i="6"/>
  <c r="M504" i="6"/>
  <c r="M505" i="6"/>
  <c r="M506" i="6"/>
  <c r="M507" i="6"/>
  <c r="M508" i="6"/>
  <c r="M509" i="6"/>
  <c r="M510" i="6"/>
  <c r="M511" i="6"/>
  <c r="M512" i="6"/>
  <c r="M513" i="6"/>
  <c r="M514" i="6"/>
  <c r="M515" i="6"/>
  <c r="M516" i="6"/>
  <c r="M517" i="6"/>
  <c r="M518" i="6"/>
  <c r="M519" i="6"/>
  <c r="M520" i="6"/>
  <c r="M521" i="6"/>
  <c r="M522" i="6"/>
  <c r="M523" i="6"/>
  <c r="M524" i="6"/>
  <c r="M525" i="6"/>
  <c r="M526" i="6"/>
  <c r="M527" i="6"/>
  <c r="M528" i="6"/>
  <c r="M529" i="6"/>
  <c r="M530" i="6"/>
  <c r="M531" i="6"/>
  <c r="M532" i="6"/>
  <c r="M533" i="6"/>
  <c r="M534" i="6"/>
  <c r="M535" i="6"/>
  <c r="M536" i="6"/>
  <c r="M537" i="6"/>
  <c r="M538" i="6"/>
  <c r="M539" i="6"/>
  <c r="M540" i="6"/>
  <c r="M541" i="6"/>
  <c r="M542" i="6"/>
  <c r="M543" i="6"/>
  <c r="M544" i="6"/>
  <c r="M545" i="6"/>
  <c r="M546" i="6"/>
  <c r="M547" i="6"/>
  <c r="M548" i="6"/>
  <c r="M549" i="6"/>
  <c r="M550" i="6"/>
  <c r="M551" i="6"/>
  <c r="M552" i="6"/>
  <c r="M553" i="6"/>
  <c r="M554" i="6"/>
  <c r="M555" i="6"/>
  <c r="M556" i="6"/>
  <c r="M557" i="6"/>
  <c r="M558" i="6"/>
  <c r="M559" i="6"/>
  <c r="M560" i="6"/>
  <c r="M561" i="6"/>
  <c r="M562" i="6"/>
  <c r="M563" i="6"/>
  <c r="M564" i="6"/>
  <c r="M565" i="6"/>
  <c r="M566" i="6"/>
  <c r="M567" i="6"/>
  <c r="M568" i="6"/>
  <c r="M569" i="6"/>
  <c r="M570" i="6"/>
  <c r="M571" i="6"/>
  <c r="M572" i="6"/>
  <c r="M573" i="6"/>
  <c r="M574" i="6"/>
  <c r="M575" i="6"/>
  <c r="M576" i="6"/>
  <c r="M577" i="6"/>
  <c r="M578" i="6"/>
  <c r="M579" i="6"/>
  <c r="M580" i="6"/>
  <c r="M581" i="6"/>
  <c r="M582" i="6"/>
  <c r="M583" i="6"/>
  <c r="M584" i="6"/>
  <c r="M585" i="6"/>
  <c r="M586" i="6"/>
  <c r="M587" i="6"/>
  <c r="M588" i="6"/>
  <c r="M589" i="6"/>
  <c r="M590" i="6"/>
  <c r="M591" i="6"/>
  <c r="M592" i="6"/>
  <c r="M593" i="6"/>
  <c r="M594" i="6"/>
  <c r="M595" i="6"/>
  <c r="M596" i="6"/>
  <c r="M597" i="6"/>
  <c r="M598" i="6"/>
  <c r="M599" i="6"/>
  <c r="M600" i="6"/>
  <c r="M601" i="6"/>
  <c r="M602" i="6"/>
  <c r="M603" i="6"/>
  <c r="M604" i="6"/>
  <c r="M605" i="6"/>
  <c r="M606" i="6"/>
  <c r="M607" i="6"/>
  <c r="M608" i="6"/>
  <c r="M609" i="6"/>
  <c r="M610" i="6"/>
  <c r="M611" i="6"/>
  <c r="M612" i="6"/>
  <c r="M613" i="6"/>
  <c r="M614" i="6"/>
  <c r="M615" i="6"/>
  <c r="M616" i="6"/>
  <c r="M617" i="6"/>
  <c r="M618" i="6"/>
  <c r="M619" i="6"/>
  <c r="M620" i="6"/>
  <c r="M621" i="6"/>
  <c r="M622" i="6"/>
  <c r="M623" i="6"/>
  <c r="M624" i="6"/>
  <c r="M625" i="6"/>
  <c r="M626" i="6"/>
  <c r="M627" i="6"/>
  <c r="M628" i="6"/>
  <c r="M629" i="6"/>
  <c r="M630" i="6"/>
  <c r="M631" i="6"/>
  <c r="M632" i="6"/>
  <c r="M633" i="6"/>
  <c r="M634" i="6"/>
  <c r="M635" i="6"/>
  <c r="M636" i="6"/>
  <c r="M637" i="6"/>
  <c r="M638" i="6"/>
  <c r="M639" i="6"/>
  <c r="M640" i="6"/>
  <c r="M641" i="6"/>
  <c r="M642" i="6"/>
  <c r="M643" i="6"/>
  <c r="M644" i="6"/>
  <c r="M645" i="6"/>
  <c r="M646" i="6"/>
  <c r="M647" i="6"/>
  <c r="M648" i="6"/>
  <c r="M649" i="6"/>
  <c r="M650" i="6"/>
  <c r="M651" i="6"/>
  <c r="M652" i="6"/>
  <c r="M653" i="6"/>
  <c r="M654" i="6"/>
  <c r="M655" i="6"/>
  <c r="M656" i="6"/>
  <c r="M657" i="6"/>
  <c r="K2" i="6"/>
  <c r="K3" i="6"/>
  <c r="K4" i="6"/>
  <c r="K5" i="6"/>
  <c r="K6" i="6"/>
  <c r="K7" i="6"/>
  <c r="K8" i="6"/>
  <c r="K9" i="6"/>
  <c r="K10" i="6"/>
  <c r="K11" i="6"/>
  <c r="K12" i="6"/>
  <c r="K13" i="6"/>
  <c r="K14" i="6"/>
  <c r="K15" i="6"/>
  <c r="K16" i="6"/>
  <c r="K17" i="6"/>
  <c r="K18" i="6"/>
  <c r="K19" i="6"/>
  <c r="K20" i="6"/>
  <c r="K21" i="6"/>
  <c r="K22" i="6"/>
  <c r="K23" i="6"/>
  <c r="K24" i="6"/>
  <c r="K25" i="6"/>
  <c r="K26" i="6"/>
  <c r="K27" i="6"/>
  <c r="K28" i="6"/>
  <c r="K29" i="6"/>
  <c r="K30" i="6"/>
  <c r="K31" i="6"/>
  <c r="K32" i="6"/>
  <c r="K33" i="6"/>
  <c r="K34" i="6"/>
  <c r="K35" i="6"/>
  <c r="K36" i="6"/>
  <c r="K37" i="6"/>
  <c r="K38" i="6"/>
  <c r="K39" i="6"/>
  <c r="K40" i="6"/>
  <c r="K41" i="6"/>
  <c r="K42" i="6"/>
  <c r="K43" i="6"/>
  <c r="K44" i="6"/>
  <c r="K45" i="6"/>
  <c r="K46" i="6"/>
  <c r="K47" i="6"/>
  <c r="K48" i="6"/>
  <c r="K49" i="6"/>
  <c r="K50" i="6"/>
  <c r="K51" i="6"/>
  <c r="K52" i="6"/>
  <c r="K53" i="6"/>
  <c r="K54" i="6"/>
  <c r="K55" i="6"/>
  <c r="K56" i="6"/>
  <c r="K57" i="6"/>
  <c r="K58" i="6"/>
  <c r="K59" i="6"/>
  <c r="K60" i="6"/>
  <c r="K61" i="6"/>
  <c r="K62" i="6"/>
  <c r="K63" i="6"/>
  <c r="K64" i="6"/>
  <c r="K65" i="6"/>
  <c r="K66" i="6"/>
  <c r="K67" i="6"/>
  <c r="K68" i="6"/>
  <c r="K69" i="6"/>
  <c r="K70" i="6"/>
  <c r="K71" i="6"/>
  <c r="K72" i="6"/>
  <c r="K73" i="6"/>
  <c r="K74" i="6"/>
  <c r="K75" i="6"/>
  <c r="K76" i="6"/>
  <c r="K77" i="6"/>
  <c r="K78" i="6"/>
  <c r="K79" i="6"/>
  <c r="K80" i="6"/>
  <c r="K81" i="6"/>
  <c r="K82" i="6"/>
  <c r="K83" i="6"/>
  <c r="K84" i="6"/>
  <c r="K85" i="6"/>
  <c r="K86" i="6"/>
  <c r="K87" i="6"/>
  <c r="K88" i="6"/>
  <c r="K89" i="6"/>
  <c r="K90" i="6"/>
  <c r="K91" i="6"/>
  <c r="K92" i="6"/>
  <c r="K93" i="6"/>
  <c r="K94" i="6"/>
  <c r="K95" i="6"/>
  <c r="K96" i="6"/>
  <c r="K97" i="6"/>
  <c r="K98" i="6"/>
  <c r="K99" i="6"/>
  <c r="K100" i="6"/>
  <c r="K101" i="6"/>
  <c r="K102" i="6"/>
  <c r="K103" i="6"/>
  <c r="K104" i="6"/>
  <c r="K105" i="6"/>
  <c r="K106" i="6"/>
  <c r="K107" i="6"/>
  <c r="K108" i="6"/>
  <c r="K109" i="6"/>
  <c r="K110" i="6"/>
  <c r="K111" i="6"/>
  <c r="K112" i="6"/>
  <c r="K113" i="6"/>
  <c r="K114" i="6"/>
  <c r="K115" i="6"/>
  <c r="K116" i="6"/>
  <c r="K117" i="6"/>
  <c r="K118" i="6"/>
  <c r="K119" i="6"/>
  <c r="K120" i="6"/>
  <c r="K121" i="6"/>
  <c r="K122" i="6"/>
  <c r="K123" i="6"/>
  <c r="K124" i="6"/>
  <c r="K125" i="6"/>
  <c r="K126" i="6"/>
  <c r="K127" i="6"/>
  <c r="K128" i="6"/>
  <c r="K129" i="6"/>
  <c r="K130" i="6"/>
  <c r="K131" i="6"/>
  <c r="K132" i="6"/>
  <c r="K133" i="6"/>
  <c r="K134" i="6"/>
  <c r="K135" i="6"/>
  <c r="K136" i="6"/>
  <c r="K137" i="6"/>
  <c r="K138" i="6"/>
  <c r="K139" i="6"/>
  <c r="K140" i="6"/>
  <c r="K141" i="6"/>
  <c r="K142" i="6"/>
  <c r="K143" i="6"/>
  <c r="K144" i="6"/>
  <c r="K145" i="6"/>
  <c r="K146" i="6"/>
  <c r="K147" i="6"/>
  <c r="K148" i="6"/>
  <c r="K149" i="6"/>
  <c r="K150" i="6"/>
  <c r="K151" i="6"/>
  <c r="K152" i="6"/>
  <c r="K153" i="6"/>
  <c r="K154" i="6"/>
  <c r="K155" i="6"/>
  <c r="K156" i="6"/>
  <c r="K157" i="6"/>
  <c r="K158" i="6"/>
  <c r="K159" i="6"/>
  <c r="K160" i="6"/>
  <c r="K161" i="6"/>
  <c r="K162" i="6"/>
  <c r="K163" i="6"/>
  <c r="K164" i="6"/>
  <c r="K165" i="6"/>
  <c r="K166" i="6"/>
  <c r="K167" i="6"/>
  <c r="K168" i="6"/>
  <c r="K169" i="6"/>
  <c r="K170" i="6"/>
  <c r="K171" i="6"/>
  <c r="K172" i="6"/>
  <c r="K173" i="6"/>
  <c r="K174" i="6"/>
  <c r="K175" i="6"/>
  <c r="K176" i="6"/>
  <c r="K177" i="6"/>
  <c r="K178" i="6"/>
  <c r="K179" i="6"/>
  <c r="K180" i="6"/>
  <c r="K181" i="6"/>
  <c r="K182" i="6"/>
  <c r="K183" i="6"/>
  <c r="K184" i="6"/>
  <c r="K185" i="6"/>
  <c r="K186" i="6"/>
  <c r="K187" i="6"/>
  <c r="K188" i="6"/>
  <c r="K189" i="6"/>
  <c r="K190" i="6"/>
  <c r="K191" i="6"/>
  <c r="K192" i="6"/>
  <c r="K193" i="6"/>
  <c r="K194" i="6"/>
  <c r="K195" i="6"/>
  <c r="K196" i="6"/>
  <c r="K197" i="6"/>
  <c r="K198" i="6"/>
  <c r="K199" i="6"/>
  <c r="K200" i="6"/>
  <c r="K201" i="6"/>
  <c r="K202" i="6"/>
  <c r="K203" i="6"/>
  <c r="K204" i="6"/>
  <c r="K205" i="6"/>
  <c r="K206" i="6"/>
  <c r="K207" i="6"/>
  <c r="K208" i="6"/>
  <c r="K209" i="6"/>
  <c r="K210" i="6"/>
  <c r="K211" i="6"/>
  <c r="K212" i="6"/>
  <c r="K213" i="6"/>
  <c r="K214" i="6"/>
  <c r="K215" i="6"/>
  <c r="K216" i="6"/>
  <c r="K217" i="6"/>
  <c r="K218" i="6"/>
  <c r="K219" i="6"/>
  <c r="K220" i="6"/>
  <c r="K221" i="6"/>
  <c r="K222" i="6"/>
  <c r="K223" i="6"/>
  <c r="K224" i="6"/>
  <c r="K225" i="6"/>
  <c r="K226" i="6"/>
  <c r="K227" i="6"/>
  <c r="K228" i="6"/>
  <c r="K229" i="6"/>
  <c r="K230" i="6"/>
  <c r="K231" i="6"/>
  <c r="K232" i="6"/>
  <c r="K233" i="6"/>
  <c r="K234" i="6"/>
  <c r="K235" i="6"/>
  <c r="K236" i="6"/>
  <c r="K237" i="6"/>
  <c r="K238" i="6"/>
  <c r="K239" i="6"/>
  <c r="K240" i="6"/>
  <c r="K241" i="6"/>
  <c r="K242" i="6"/>
  <c r="K243" i="6"/>
  <c r="K244" i="6"/>
  <c r="K245" i="6"/>
  <c r="K246" i="6"/>
  <c r="K247" i="6"/>
  <c r="K248" i="6"/>
  <c r="K249" i="6"/>
  <c r="K250" i="6"/>
  <c r="K251" i="6"/>
  <c r="K252" i="6"/>
  <c r="K253" i="6"/>
  <c r="K254" i="6"/>
  <c r="K255" i="6"/>
  <c r="K256" i="6"/>
  <c r="K257" i="6"/>
  <c r="K258" i="6"/>
  <c r="K259" i="6"/>
  <c r="K260" i="6"/>
  <c r="K261" i="6"/>
  <c r="K262" i="6"/>
  <c r="K263" i="6"/>
  <c r="K264" i="6"/>
  <c r="K265" i="6"/>
  <c r="K266" i="6"/>
  <c r="K267" i="6"/>
  <c r="K268" i="6"/>
  <c r="K269" i="6"/>
  <c r="K270" i="6"/>
  <c r="K271" i="6"/>
  <c r="K272" i="6"/>
  <c r="K273" i="6"/>
  <c r="K274" i="6"/>
  <c r="K275" i="6"/>
  <c r="K276" i="6"/>
  <c r="K277" i="6"/>
  <c r="K278" i="6"/>
  <c r="K279" i="6"/>
  <c r="K280" i="6"/>
  <c r="K281" i="6"/>
  <c r="K282" i="6"/>
  <c r="K283" i="6"/>
  <c r="K284" i="6"/>
  <c r="K285" i="6"/>
  <c r="K286" i="6"/>
  <c r="K287" i="6"/>
  <c r="K288" i="6"/>
  <c r="K289" i="6"/>
  <c r="K290" i="6"/>
  <c r="K291" i="6"/>
  <c r="K292" i="6"/>
  <c r="K293" i="6"/>
  <c r="K294" i="6"/>
  <c r="K295" i="6"/>
  <c r="K296" i="6"/>
  <c r="K297" i="6"/>
  <c r="K298" i="6"/>
  <c r="K299" i="6"/>
  <c r="K300" i="6"/>
  <c r="K301" i="6"/>
  <c r="K302" i="6"/>
  <c r="K303" i="6"/>
  <c r="K304" i="6"/>
  <c r="K305" i="6"/>
  <c r="K306" i="6"/>
  <c r="K307" i="6"/>
  <c r="K308" i="6"/>
  <c r="K309" i="6"/>
  <c r="K310" i="6"/>
  <c r="K311" i="6"/>
  <c r="K312" i="6"/>
  <c r="K313" i="6"/>
  <c r="K314" i="6"/>
  <c r="K315" i="6"/>
  <c r="K316" i="6"/>
  <c r="K317" i="6"/>
  <c r="K318" i="6"/>
  <c r="K319" i="6"/>
  <c r="K320" i="6"/>
  <c r="K321" i="6"/>
  <c r="K322" i="6"/>
  <c r="K323" i="6"/>
  <c r="K324" i="6"/>
  <c r="K325" i="6"/>
  <c r="K326" i="6"/>
  <c r="K327" i="6"/>
  <c r="K328" i="6"/>
  <c r="K329" i="6"/>
  <c r="K330" i="6"/>
  <c r="K331" i="6"/>
  <c r="K332" i="6"/>
  <c r="K333" i="6"/>
  <c r="K334" i="6"/>
  <c r="K335" i="6"/>
  <c r="K336" i="6"/>
  <c r="K337" i="6"/>
  <c r="K338" i="6"/>
  <c r="K339" i="6"/>
  <c r="K340" i="6"/>
  <c r="K341" i="6"/>
  <c r="K342" i="6"/>
  <c r="K343" i="6"/>
  <c r="K344" i="6"/>
  <c r="K345" i="6"/>
  <c r="K346" i="6"/>
  <c r="K347" i="6"/>
  <c r="K348" i="6"/>
  <c r="K349" i="6"/>
  <c r="K350" i="6"/>
  <c r="K351" i="6"/>
  <c r="K352" i="6"/>
  <c r="K353" i="6"/>
  <c r="K354" i="6"/>
  <c r="K355" i="6"/>
  <c r="K356" i="6"/>
  <c r="K357" i="6"/>
  <c r="K358" i="6"/>
  <c r="K359" i="6"/>
  <c r="K360" i="6"/>
  <c r="K361" i="6"/>
  <c r="K362" i="6"/>
  <c r="K363" i="6"/>
  <c r="K364" i="6"/>
  <c r="K365" i="6"/>
  <c r="K366" i="6"/>
  <c r="K367" i="6"/>
  <c r="K368" i="6"/>
  <c r="K369" i="6"/>
  <c r="K370" i="6"/>
  <c r="K371" i="6"/>
  <c r="K372" i="6"/>
  <c r="K373" i="6"/>
  <c r="K374" i="6"/>
  <c r="K375" i="6"/>
  <c r="K376" i="6"/>
  <c r="K377" i="6"/>
  <c r="K378" i="6"/>
  <c r="K379" i="6"/>
  <c r="K380" i="6"/>
  <c r="K381" i="6"/>
  <c r="K382" i="6"/>
  <c r="K383" i="6"/>
  <c r="K384" i="6"/>
  <c r="K385" i="6"/>
  <c r="K386" i="6"/>
  <c r="K387" i="6"/>
  <c r="K388" i="6"/>
  <c r="K389" i="6"/>
  <c r="K390" i="6"/>
  <c r="K391" i="6"/>
  <c r="K392" i="6"/>
  <c r="K393" i="6"/>
  <c r="K394" i="6"/>
  <c r="K395" i="6"/>
  <c r="K396" i="6"/>
  <c r="K397" i="6"/>
  <c r="K398" i="6"/>
  <c r="K399" i="6"/>
  <c r="K400" i="6"/>
  <c r="K401" i="6"/>
  <c r="K402" i="6"/>
  <c r="K403" i="6"/>
  <c r="K404" i="6"/>
  <c r="K405" i="6"/>
  <c r="K406" i="6"/>
  <c r="K407" i="6"/>
  <c r="K408" i="6"/>
  <c r="K409" i="6"/>
  <c r="K410" i="6"/>
  <c r="K411" i="6"/>
  <c r="K412" i="6"/>
  <c r="K413" i="6"/>
  <c r="K414" i="6"/>
  <c r="K415" i="6"/>
  <c r="K416" i="6"/>
  <c r="K417" i="6"/>
  <c r="K418" i="6"/>
  <c r="K419" i="6"/>
  <c r="K420" i="6"/>
  <c r="K421" i="6"/>
  <c r="K422" i="6"/>
  <c r="K423" i="6"/>
  <c r="K424" i="6"/>
  <c r="K425" i="6"/>
  <c r="K426" i="6"/>
  <c r="K427" i="6"/>
  <c r="K428" i="6"/>
  <c r="K429" i="6"/>
  <c r="K430" i="6"/>
  <c r="K431" i="6"/>
  <c r="K432" i="6"/>
  <c r="K433" i="6"/>
  <c r="K434" i="6"/>
  <c r="K435" i="6"/>
  <c r="K436" i="6"/>
  <c r="K437" i="6"/>
  <c r="K438" i="6"/>
  <c r="K439" i="6"/>
  <c r="K440" i="6"/>
  <c r="K441" i="6"/>
  <c r="K442" i="6"/>
  <c r="K443" i="6"/>
  <c r="K444" i="6"/>
  <c r="K445" i="6"/>
  <c r="K446" i="6"/>
  <c r="K447" i="6"/>
  <c r="K448" i="6"/>
  <c r="K449" i="6"/>
  <c r="K450" i="6"/>
  <c r="K451" i="6"/>
  <c r="K452" i="6"/>
  <c r="K453" i="6"/>
  <c r="K454" i="6"/>
  <c r="K455" i="6"/>
  <c r="K456" i="6"/>
  <c r="K457" i="6"/>
  <c r="K458" i="6"/>
  <c r="K459" i="6"/>
  <c r="K460" i="6"/>
  <c r="K461" i="6"/>
  <c r="K462" i="6"/>
  <c r="K463" i="6"/>
  <c r="K464" i="6"/>
  <c r="K465" i="6"/>
  <c r="K466" i="6"/>
  <c r="K467" i="6"/>
  <c r="K468" i="6"/>
  <c r="K469" i="6"/>
  <c r="K470" i="6"/>
  <c r="K471" i="6"/>
  <c r="K472" i="6"/>
  <c r="K473" i="6"/>
  <c r="K474" i="6"/>
  <c r="K475" i="6"/>
  <c r="K476" i="6"/>
  <c r="K477" i="6"/>
  <c r="K478" i="6"/>
  <c r="K479" i="6"/>
  <c r="K480" i="6"/>
  <c r="K481" i="6"/>
  <c r="K482" i="6"/>
  <c r="K483" i="6"/>
  <c r="K484" i="6"/>
  <c r="K485" i="6"/>
  <c r="K486" i="6"/>
  <c r="K487" i="6"/>
  <c r="K488" i="6"/>
  <c r="K489" i="6"/>
  <c r="K490" i="6"/>
  <c r="K491" i="6"/>
  <c r="K492" i="6"/>
  <c r="K493" i="6"/>
  <c r="K494" i="6"/>
  <c r="K495" i="6"/>
  <c r="K496" i="6"/>
  <c r="K497" i="6"/>
  <c r="K498" i="6"/>
  <c r="K499" i="6"/>
  <c r="K500" i="6"/>
  <c r="K501" i="6"/>
  <c r="K502" i="6"/>
  <c r="K503" i="6"/>
  <c r="K504" i="6"/>
  <c r="K505" i="6"/>
  <c r="K506" i="6"/>
  <c r="K507" i="6"/>
  <c r="K508" i="6"/>
  <c r="K509" i="6"/>
  <c r="K510" i="6"/>
  <c r="K511" i="6"/>
  <c r="K512" i="6"/>
  <c r="K513" i="6"/>
  <c r="K514" i="6"/>
  <c r="K515" i="6"/>
  <c r="K516" i="6"/>
  <c r="K517" i="6"/>
  <c r="K518" i="6"/>
  <c r="K519" i="6"/>
  <c r="K520" i="6"/>
  <c r="K521" i="6"/>
  <c r="K522" i="6"/>
  <c r="K523" i="6"/>
  <c r="K524" i="6"/>
  <c r="K525" i="6"/>
  <c r="K526" i="6"/>
  <c r="K527" i="6"/>
  <c r="K528" i="6"/>
  <c r="K529" i="6"/>
  <c r="K530" i="6"/>
  <c r="K531" i="6"/>
  <c r="K532" i="6"/>
  <c r="K533" i="6"/>
  <c r="K534" i="6"/>
  <c r="K535" i="6"/>
  <c r="K536" i="6"/>
  <c r="K537" i="6"/>
  <c r="K538" i="6"/>
  <c r="K539" i="6"/>
  <c r="K540" i="6"/>
  <c r="K541" i="6"/>
  <c r="K542" i="6"/>
  <c r="K543" i="6"/>
  <c r="K544" i="6"/>
  <c r="K545" i="6"/>
  <c r="K546" i="6"/>
  <c r="K547" i="6"/>
  <c r="K548" i="6"/>
  <c r="K549" i="6"/>
  <c r="K550" i="6"/>
  <c r="K551" i="6"/>
  <c r="K552" i="6"/>
  <c r="K553" i="6"/>
  <c r="K554" i="6"/>
  <c r="K555" i="6"/>
  <c r="K556" i="6"/>
  <c r="K557" i="6"/>
  <c r="K558" i="6"/>
  <c r="K559" i="6"/>
  <c r="K560" i="6"/>
  <c r="K561" i="6"/>
  <c r="K562" i="6"/>
  <c r="K563" i="6"/>
  <c r="K564" i="6"/>
  <c r="K565" i="6"/>
  <c r="K566" i="6"/>
  <c r="K567" i="6"/>
  <c r="K568" i="6"/>
  <c r="K569" i="6"/>
  <c r="K570" i="6"/>
  <c r="K571" i="6"/>
  <c r="K572" i="6"/>
  <c r="K573" i="6"/>
  <c r="K574" i="6"/>
  <c r="K575" i="6"/>
  <c r="K576" i="6"/>
  <c r="K577" i="6"/>
  <c r="K578" i="6"/>
  <c r="K579" i="6"/>
  <c r="K580" i="6"/>
  <c r="K581" i="6"/>
  <c r="K582" i="6"/>
  <c r="K583" i="6"/>
  <c r="K584" i="6"/>
  <c r="K585" i="6"/>
  <c r="K586" i="6"/>
  <c r="K587" i="6"/>
  <c r="K588" i="6"/>
  <c r="K589" i="6"/>
  <c r="K590" i="6"/>
  <c r="K591" i="6"/>
  <c r="K592" i="6"/>
  <c r="K593" i="6"/>
  <c r="K594" i="6"/>
  <c r="K595" i="6"/>
  <c r="K596" i="6"/>
  <c r="K597" i="6"/>
  <c r="K598" i="6"/>
  <c r="K599" i="6"/>
  <c r="K600" i="6"/>
  <c r="K601" i="6"/>
  <c r="K602" i="6"/>
  <c r="K603" i="6"/>
  <c r="K604" i="6"/>
  <c r="K605" i="6"/>
  <c r="K606" i="6"/>
  <c r="K607" i="6"/>
  <c r="K608" i="6"/>
  <c r="K609" i="6"/>
  <c r="K610" i="6"/>
  <c r="K611" i="6"/>
  <c r="K612" i="6"/>
  <c r="K613" i="6"/>
  <c r="K614" i="6"/>
  <c r="K615" i="6"/>
  <c r="K616" i="6"/>
  <c r="K617" i="6"/>
  <c r="K618" i="6"/>
  <c r="K619" i="6"/>
  <c r="K620" i="6"/>
  <c r="K621" i="6"/>
  <c r="K622" i="6"/>
  <c r="K623" i="6"/>
  <c r="K624" i="6"/>
  <c r="K625" i="6"/>
  <c r="K626" i="6"/>
  <c r="K627" i="6"/>
  <c r="K628" i="6"/>
  <c r="K629" i="6"/>
  <c r="K630" i="6"/>
  <c r="K631" i="6"/>
  <c r="K632" i="6"/>
  <c r="K633" i="6"/>
  <c r="K634" i="6"/>
  <c r="K635" i="6"/>
  <c r="K636" i="6"/>
  <c r="K637" i="6"/>
  <c r="K638" i="6"/>
  <c r="K639" i="6"/>
  <c r="K640" i="6"/>
  <c r="K641" i="6"/>
  <c r="K642" i="6"/>
  <c r="K643" i="6"/>
  <c r="K644" i="6"/>
  <c r="K645" i="6"/>
  <c r="K646" i="6"/>
  <c r="K647" i="6"/>
  <c r="K648" i="6"/>
  <c r="K649" i="6"/>
  <c r="K650" i="6"/>
  <c r="K651" i="6"/>
  <c r="K652" i="6"/>
  <c r="K653" i="6"/>
  <c r="K654" i="6"/>
  <c r="K655" i="6"/>
  <c r="K656" i="6"/>
  <c r="K657" i="6"/>
  <c r="J2" i="6"/>
  <c r="J3" i="6"/>
  <c r="J4" i="6"/>
  <c r="J5" i="6"/>
  <c r="J6" i="6"/>
  <c r="J7" i="6"/>
  <c r="J8" i="6"/>
  <c r="J9" i="6"/>
  <c r="J10" i="6"/>
  <c r="J11" i="6"/>
  <c r="J12" i="6"/>
  <c r="J13" i="6"/>
  <c r="J14" i="6"/>
  <c r="J15" i="6"/>
  <c r="J16" i="6"/>
  <c r="J17" i="6"/>
  <c r="J18" i="6"/>
  <c r="J19" i="6"/>
  <c r="J20" i="6"/>
  <c r="J21" i="6"/>
  <c r="J22" i="6"/>
  <c r="J23" i="6"/>
  <c r="J24" i="6"/>
  <c r="J25" i="6"/>
  <c r="J26" i="6"/>
  <c r="J27" i="6"/>
  <c r="J28" i="6"/>
  <c r="J29" i="6"/>
  <c r="J30" i="6"/>
  <c r="J31" i="6"/>
  <c r="J32" i="6"/>
  <c r="J33" i="6"/>
  <c r="J34" i="6"/>
  <c r="J35" i="6"/>
  <c r="J36" i="6"/>
  <c r="J37" i="6"/>
  <c r="J38" i="6"/>
  <c r="J39" i="6"/>
  <c r="J40" i="6"/>
  <c r="J41" i="6"/>
  <c r="J42" i="6"/>
  <c r="J43" i="6"/>
  <c r="J44" i="6"/>
  <c r="J45" i="6"/>
  <c r="J46" i="6"/>
  <c r="J47" i="6"/>
  <c r="J48" i="6"/>
  <c r="J49" i="6"/>
  <c r="J50" i="6"/>
  <c r="J51" i="6"/>
  <c r="J52" i="6"/>
  <c r="J53" i="6"/>
  <c r="J54" i="6"/>
  <c r="J55" i="6"/>
  <c r="J56" i="6"/>
  <c r="J57" i="6"/>
  <c r="J58" i="6"/>
  <c r="J59" i="6"/>
  <c r="J60" i="6"/>
  <c r="J61" i="6"/>
  <c r="J62" i="6"/>
  <c r="J63" i="6"/>
  <c r="J64" i="6"/>
  <c r="J65" i="6"/>
  <c r="J66" i="6"/>
  <c r="J67" i="6"/>
  <c r="J68" i="6"/>
  <c r="J69" i="6"/>
  <c r="J70" i="6"/>
  <c r="J71" i="6"/>
  <c r="J72" i="6"/>
  <c r="J73" i="6"/>
  <c r="J74" i="6"/>
  <c r="J75" i="6"/>
  <c r="J76" i="6"/>
  <c r="J77" i="6"/>
  <c r="J78" i="6"/>
  <c r="J79" i="6"/>
  <c r="J80" i="6"/>
  <c r="J81" i="6"/>
  <c r="J82" i="6"/>
  <c r="J83" i="6"/>
  <c r="J84" i="6"/>
  <c r="J85" i="6"/>
  <c r="J86" i="6"/>
  <c r="J87" i="6"/>
  <c r="J88" i="6"/>
  <c r="J89" i="6"/>
  <c r="J90" i="6"/>
  <c r="J91" i="6"/>
  <c r="J92" i="6"/>
  <c r="J93" i="6"/>
  <c r="J94" i="6"/>
  <c r="J95" i="6"/>
  <c r="J96" i="6"/>
  <c r="J97" i="6"/>
  <c r="J98" i="6"/>
  <c r="J99" i="6"/>
  <c r="J100" i="6"/>
  <c r="J101" i="6"/>
  <c r="J102" i="6"/>
  <c r="J103" i="6"/>
  <c r="J104" i="6"/>
  <c r="J105" i="6"/>
  <c r="J106" i="6"/>
  <c r="J107" i="6"/>
  <c r="J108" i="6"/>
  <c r="J109" i="6"/>
  <c r="J110" i="6"/>
  <c r="J111" i="6"/>
  <c r="J112" i="6"/>
  <c r="J113" i="6"/>
  <c r="J114" i="6"/>
  <c r="J115" i="6"/>
  <c r="J116" i="6"/>
  <c r="J117" i="6"/>
  <c r="J118" i="6"/>
  <c r="J119" i="6"/>
  <c r="J120" i="6"/>
  <c r="J121" i="6"/>
  <c r="J122" i="6"/>
  <c r="J123" i="6"/>
  <c r="J124" i="6"/>
  <c r="J125" i="6"/>
  <c r="O1210" i="7" s="1"/>
  <c r="J126" i="6"/>
  <c r="J127" i="6"/>
  <c r="J128" i="6"/>
  <c r="J129" i="6"/>
  <c r="J130" i="6"/>
  <c r="J131" i="6"/>
  <c r="J132" i="6"/>
  <c r="J133" i="6"/>
  <c r="J134" i="6"/>
  <c r="J135" i="6"/>
  <c r="J136" i="6"/>
  <c r="J137" i="6"/>
  <c r="J138" i="6"/>
  <c r="J139" i="6"/>
  <c r="J140" i="6"/>
  <c r="J141" i="6"/>
  <c r="J142" i="6"/>
  <c r="J143" i="6"/>
  <c r="J144" i="6"/>
  <c r="J145" i="6"/>
  <c r="J146" i="6"/>
  <c r="J147" i="6"/>
  <c r="J148" i="6"/>
  <c r="J149" i="6"/>
  <c r="J150" i="6"/>
  <c r="O2179" i="7" s="1"/>
  <c r="J151" i="6"/>
  <c r="J152" i="6"/>
  <c r="J153" i="6"/>
  <c r="J154" i="6"/>
  <c r="J155" i="6"/>
  <c r="J156" i="6"/>
  <c r="J157" i="6"/>
  <c r="J158" i="6"/>
  <c r="O2443" i="7" s="1"/>
  <c r="J159" i="6"/>
  <c r="J160" i="6"/>
  <c r="J161" i="6"/>
  <c r="J162" i="6"/>
  <c r="J163" i="6"/>
  <c r="J164" i="6"/>
  <c r="J165" i="6"/>
  <c r="J166" i="6"/>
  <c r="J167" i="6"/>
  <c r="J168" i="6"/>
  <c r="J169" i="6"/>
  <c r="O2794" i="7" s="1"/>
  <c r="J170" i="6"/>
  <c r="J171" i="6"/>
  <c r="J172" i="6"/>
  <c r="J173" i="6"/>
  <c r="J174" i="6"/>
  <c r="J175" i="6"/>
  <c r="J176" i="6"/>
  <c r="J177" i="6"/>
  <c r="J178" i="6"/>
  <c r="O2889" i="7" s="1"/>
  <c r="J179" i="6"/>
  <c r="J180" i="6"/>
  <c r="J181" i="6"/>
  <c r="J182" i="6"/>
  <c r="O2913" i="7" s="1"/>
  <c r="J183" i="6"/>
  <c r="J184" i="6"/>
  <c r="O2927" i="7" s="1"/>
  <c r="J185" i="6"/>
  <c r="J186" i="6"/>
  <c r="J187" i="6"/>
  <c r="J188" i="6"/>
  <c r="J189" i="6"/>
  <c r="O2960" i="7" s="1"/>
  <c r="J190" i="6"/>
  <c r="J191" i="6"/>
  <c r="J192" i="6"/>
  <c r="J193" i="6"/>
  <c r="J194" i="6"/>
  <c r="J195" i="6"/>
  <c r="J196" i="6"/>
  <c r="J197" i="6"/>
  <c r="J198" i="6"/>
  <c r="J199" i="6"/>
  <c r="J200" i="6"/>
  <c r="J201" i="6"/>
  <c r="J202" i="6"/>
  <c r="J203" i="6"/>
  <c r="J204" i="6"/>
  <c r="J205" i="6"/>
  <c r="O3371" i="7" s="1"/>
  <c r="J206" i="6"/>
  <c r="J207" i="6"/>
  <c r="J208" i="6"/>
  <c r="O3386" i="7" s="1"/>
  <c r="J209" i="6"/>
  <c r="J210" i="6"/>
  <c r="O3389" i="7" s="1"/>
  <c r="J211" i="6"/>
  <c r="O3390" i="7" s="1"/>
  <c r="J212" i="6"/>
  <c r="J213" i="6"/>
  <c r="J214" i="6"/>
  <c r="O3503" i="7" s="1"/>
  <c r="J215" i="6"/>
  <c r="J216" i="6"/>
  <c r="J217" i="6"/>
  <c r="J218" i="6"/>
  <c r="J219" i="6"/>
  <c r="J220" i="6"/>
  <c r="J221" i="6"/>
  <c r="J222" i="6"/>
  <c r="O3711" i="7" s="1"/>
  <c r="J223" i="6"/>
  <c r="J224" i="6"/>
  <c r="J225" i="6"/>
  <c r="J226" i="6"/>
  <c r="J227" i="6"/>
  <c r="J228" i="6"/>
  <c r="O3753" i="7" s="1"/>
  <c r="J229" i="6"/>
  <c r="O3754" i="7" s="1"/>
  <c r="J230" i="6"/>
  <c r="O3755" i="7" s="1"/>
  <c r="J231" i="6"/>
  <c r="J232" i="6"/>
  <c r="J233" i="6"/>
  <c r="J234" i="6"/>
  <c r="O3765" i="7" s="1"/>
  <c r="J235" i="6"/>
  <c r="J236" i="6"/>
  <c r="O3768" i="7" s="1"/>
  <c r="J237" i="6"/>
  <c r="O3769" i="7" s="1"/>
  <c r="J238" i="6"/>
  <c r="J239" i="6"/>
  <c r="J240" i="6"/>
  <c r="J241" i="6"/>
  <c r="J242" i="6"/>
  <c r="J243" i="6"/>
  <c r="J244" i="6"/>
  <c r="J245" i="6"/>
  <c r="J246" i="6"/>
  <c r="J247" i="6"/>
  <c r="J248" i="6"/>
  <c r="O3956" i="7" s="1"/>
  <c r="J249" i="6"/>
  <c r="J250" i="6"/>
  <c r="J251" i="6"/>
  <c r="J252" i="6"/>
  <c r="J253" i="6"/>
  <c r="J254" i="6"/>
  <c r="J255" i="6"/>
  <c r="O4120" i="7" s="1"/>
  <c r="J256" i="6"/>
  <c r="J257" i="6"/>
  <c r="J258" i="6"/>
  <c r="J259" i="6"/>
  <c r="J260" i="6"/>
  <c r="J261" i="6"/>
  <c r="J262" i="6"/>
  <c r="J263" i="6"/>
  <c r="J264" i="6"/>
  <c r="J265" i="6"/>
  <c r="J266" i="6"/>
  <c r="O4326" i="7" s="1"/>
  <c r="J267" i="6"/>
  <c r="J268" i="6"/>
  <c r="J269" i="6"/>
  <c r="O4333" i="7" s="1"/>
  <c r="J270" i="6"/>
  <c r="O4334" i="7" s="1"/>
  <c r="J271" i="6"/>
  <c r="O4335" i="7" s="1"/>
  <c r="J272" i="6"/>
  <c r="J273" i="6"/>
  <c r="J274" i="6"/>
  <c r="J275" i="6"/>
  <c r="O4389" i="7" s="1"/>
  <c r="J276" i="6"/>
  <c r="J277" i="6"/>
  <c r="J278" i="6"/>
  <c r="O4397" i="7" s="1"/>
  <c r="J279" i="6"/>
  <c r="J280" i="6"/>
  <c r="O4403" i="7" s="1"/>
  <c r="J281" i="6"/>
  <c r="O4404" i="7" s="1"/>
  <c r="J282" i="6"/>
  <c r="O4405" i="7" s="1"/>
  <c r="J283" i="6"/>
  <c r="O4406" i="7" s="1"/>
  <c r="J284" i="6"/>
  <c r="O4407" i="7" s="1"/>
  <c r="J285" i="6"/>
  <c r="O4408" i="7" s="1"/>
  <c r="J286" i="6"/>
  <c r="J287" i="6"/>
  <c r="J288" i="6"/>
  <c r="J289" i="6"/>
  <c r="J290" i="6"/>
  <c r="J291" i="6"/>
  <c r="O4525" i="7" s="1"/>
  <c r="J292" i="6"/>
  <c r="O4526" i="7" s="1"/>
  <c r="J293" i="6"/>
  <c r="J294" i="6"/>
  <c r="O4532" i="7" s="1"/>
  <c r="J295" i="6"/>
  <c r="J296" i="6"/>
  <c r="J297" i="6"/>
  <c r="J298" i="6"/>
  <c r="J299" i="6"/>
  <c r="O4562" i="7" s="1"/>
  <c r="J300" i="6"/>
  <c r="O4563" i="7" s="1"/>
  <c r="J301" i="6"/>
  <c r="J302" i="6"/>
  <c r="J303" i="6"/>
  <c r="J304" i="6"/>
  <c r="J305" i="6"/>
  <c r="J306" i="6"/>
  <c r="J307" i="6"/>
  <c r="J308" i="6"/>
  <c r="O4823" i="7" s="1"/>
  <c r="J309" i="6"/>
  <c r="O4824" i="7" s="1"/>
  <c r="J310" i="6"/>
  <c r="J311" i="6"/>
  <c r="J312" i="6"/>
  <c r="O4831" i="7" s="1"/>
  <c r="J313" i="6"/>
  <c r="J314" i="6"/>
  <c r="J315" i="6"/>
  <c r="J316" i="6"/>
  <c r="J317" i="6"/>
  <c r="J318" i="6"/>
  <c r="O4908" i="7" s="1"/>
  <c r="J319" i="6"/>
  <c r="J320" i="6"/>
  <c r="J321" i="6"/>
  <c r="J322" i="6"/>
  <c r="J323" i="6"/>
  <c r="J324" i="6"/>
  <c r="J325" i="6"/>
  <c r="J326" i="6"/>
  <c r="J327" i="6"/>
  <c r="J328" i="6"/>
  <c r="J329" i="6"/>
  <c r="J330" i="6"/>
  <c r="J331" i="6"/>
  <c r="J332" i="6"/>
  <c r="J333" i="6"/>
  <c r="J334" i="6"/>
  <c r="J335" i="6"/>
  <c r="J336" i="6"/>
  <c r="J337" i="6"/>
  <c r="J338" i="6"/>
  <c r="J339" i="6"/>
  <c r="J340" i="6"/>
  <c r="J341" i="6"/>
  <c r="J342" i="6"/>
  <c r="J343" i="6"/>
  <c r="J344" i="6"/>
  <c r="J345" i="6"/>
  <c r="J346" i="6"/>
  <c r="J347" i="6"/>
  <c r="J348" i="6"/>
  <c r="J349" i="6"/>
  <c r="J350" i="6"/>
  <c r="J351" i="6"/>
  <c r="J352" i="6"/>
  <c r="J353" i="6"/>
  <c r="O5849" i="7" s="1"/>
  <c r="J354" i="6"/>
  <c r="J355" i="6"/>
  <c r="J356" i="6"/>
  <c r="J357" i="6"/>
  <c r="J358" i="6"/>
  <c r="O5914" i="7" s="1"/>
  <c r="J359" i="6"/>
  <c r="J360" i="6"/>
  <c r="J361" i="6"/>
  <c r="J362" i="6"/>
  <c r="J363" i="6"/>
  <c r="J364" i="6"/>
  <c r="O5981" i="7" s="1"/>
  <c r="J365" i="6"/>
  <c r="J366" i="6"/>
  <c r="J367" i="6"/>
  <c r="J368" i="6"/>
  <c r="J369" i="6"/>
  <c r="O6005" i="7" s="1"/>
  <c r="J370" i="6"/>
  <c r="J371" i="6"/>
  <c r="O6009" i="7" s="1"/>
  <c r="J372" i="6"/>
  <c r="J373" i="6"/>
  <c r="J374" i="6"/>
  <c r="J375" i="6"/>
  <c r="J376" i="6"/>
  <c r="J377" i="6"/>
  <c r="J378" i="6"/>
  <c r="J379" i="6"/>
  <c r="J380" i="6"/>
  <c r="J381" i="6"/>
  <c r="J382" i="6"/>
  <c r="J383" i="6"/>
  <c r="J384" i="6"/>
  <c r="J385" i="6"/>
  <c r="J386" i="6"/>
  <c r="J387" i="6"/>
  <c r="J388" i="6"/>
  <c r="J389" i="6"/>
  <c r="J390" i="6"/>
  <c r="J391" i="6"/>
  <c r="J392" i="6"/>
  <c r="J393" i="6"/>
  <c r="J394" i="6"/>
  <c r="J395" i="6"/>
  <c r="J396" i="6"/>
  <c r="J397" i="6"/>
  <c r="J398" i="6"/>
  <c r="J399" i="6"/>
  <c r="J400" i="6"/>
  <c r="J401" i="6"/>
  <c r="J402" i="6"/>
  <c r="J403" i="6"/>
  <c r="J404" i="6"/>
  <c r="J405" i="6"/>
  <c r="J406" i="6"/>
  <c r="J407" i="6"/>
  <c r="J408" i="6"/>
  <c r="J409" i="6"/>
  <c r="J410" i="6"/>
  <c r="J411" i="6"/>
  <c r="J412" i="6"/>
  <c r="J413" i="6"/>
  <c r="J414" i="6"/>
  <c r="J415" i="6"/>
  <c r="J416" i="6"/>
  <c r="J417" i="6"/>
  <c r="J418" i="6"/>
  <c r="J419" i="6"/>
  <c r="J420" i="6"/>
  <c r="J421" i="6"/>
  <c r="J422" i="6"/>
  <c r="J423" i="6"/>
  <c r="J424" i="6"/>
  <c r="J425" i="6"/>
  <c r="J426" i="6"/>
  <c r="J427" i="6"/>
  <c r="J428" i="6"/>
  <c r="J429" i="6"/>
  <c r="J430" i="6"/>
  <c r="J431" i="6"/>
  <c r="J432" i="6"/>
  <c r="J433" i="6"/>
  <c r="J434" i="6"/>
  <c r="J435" i="6"/>
  <c r="J436" i="6"/>
  <c r="J437" i="6"/>
  <c r="J438" i="6"/>
  <c r="J439" i="6"/>
  <c r="J440" i="6"/>
  <c r="J441" i="6"/>
  <c r="J442" i="6"/>
  <c r="J443" i="6"/>
  <c r="J444" i="6"/>
  <c r="J445" i="6"/>
  <c r="J446" i="6"/>
  <c r="J447" i="6"/>
  <c r="J448" i="6"/>
  <c r="J449" i="6"/>
  <c r="J450" i="6"/>
  <c r="J451" i="6"/>
  <c r="J452" i="6"/>
  <c r="J453" i="6"/>
  <c r="J454" i="6"/>
  <c r="J455" i="6"/>
  <c r="J456" i="6"/>
  <c r="J457" i="6"/>
  <c r="J458" i="6"/>
  <c r="J459" i="6"/>
  <c r="J460" i="6"/>
  <c r="J461" i="6"/>
  <c r="J462" i="6"/>
  <c r="J463" i="6"/>
  <c r="J464" i="6"/>
  <c r="J465" i="6"/>
  <c r="J466" i="6"/>
  <c r="J467" i="6"/>
  <c r="J468" i="6"/>
  <c r="J469" i="6"/>
  <c r="J470" i="6"/>
  <c r="J471" i="6"/>
  <c r="J472" i="6"/>
  <c r="J473" i="6"/>
  <c r="J474" i="6"/>
  <c r="J475" i="6"/>
  <c r="J476" i="6"/>
  <c r="J477" i="6"/>
  <c r="J478" i="6"/>
  <c r="J479" i="6"/>
  <c r="J480" i="6"/>
  <c r="J481" i="6"/>
  <c r="J482" i="6"/>
  <c r="J483" i="6"/>
  <c r="J484" i="6"/>
  <c r="J485" i="6"/>
  <c r="J486" i="6"/>
  <c r="J487" i="6"/>
  <c r="J488" i="6"/>
  <c r="J489" i="6"/>
  <c r="J490" i="6"/>
  <c r="J491" i="6"/>
  <c r="J492" i="6"/>
  <c r="J493" i="6"/>
  <c r="J494" i="6"/>
  <c r="J495" i="6"/>
  <c r="J496" i="6"/>
  <c r="J497" i="6"/>
  <c r="J498" i="6"/>
  <c r="J499" i="6"/>
  <c r="J500" i="6"/>
  <c r="J501" i="6"/>
  <c r="J502" i="6"/>
  <c r="J503" i="6"/>
  <c r="J504" i="6"/>
  <c r="J505" i="6"/>
  <c r="J506" i="6"/>
  <c r="J507" i="6"/>
  <c r="J508" i="6"/>
  <c r="J509" i="6"/>
  <c r="J510" i="6"/>
  <c r="J511" i="6"/>
  <c r="J512" i="6"/>
  <c r="J513" i="6"/>
  <c r="J514" i="6"/>
  <c r="J515" i="6"/>
  <c r="J516" i="6"/>
  <c r="J517" i="6"/>
  <c r="J518" i="6"/>
  <c r="J519" i="6"/>
  <c r="J520" i="6"/>
  <c r="J521" i="6"/>
  <c r="J522" i="6"/>
  <c r="J523" i="6"/>
  <c r="J524" i="6"/>
  <c r="J525" i="6"/>
  <c r="J526" i="6"/>
  <c r="J527" i="6"/>
  <c r="J528" i="6"/>
  <c r="J529" i="6"/>
  <c r="J530" i="6"/>
  <c r="J531" i="6"/>
  <c r="J532" i="6"/>
  <c r="J533" i="6"/>
  <c r="J534" i="6"/>
  <c r="J535" i="6"/>
  <c r="J536" i="6"/>
  <c r="J537" i="6"/>
  <c r="J538" i="6"/>
  <c r="J539" i="6"/>
  <c r="J540" i="6"/>
  <c r="J541" i="6"/>
  <c r="J542" i="6"/>
  <c r="J543" i="6"/>
  <c r="J544" i="6"/>
  <c r="J545" i="6"/>
  <c r="J546" i="6"/>
  <c r="J547" i="6"/>
  <c r="J548" i="6"/>
  <c r="J549" i="6"/>
  <c r="J550" i="6"/>
  <c r="J551" i="6"/>
  <c r="J552" i="6"/>
  <c r="J553" i="6"/>
  <c r="J554" i="6"/>
  <c r="J555" i="6"/>
  <c r="J556" i="6"/>
  <c r="J557" i="6"/>
  <c r="J558" i="6"/>
  <c r="J559" i="6"/>
  <c r="J560" i="6"/>
  <c r="J561" i="6"/>
  <c r="J562" i="6"/>
  <c r="J563" i="6"/>
  <c r="J564" i="6"/>
  <c r="J565" i="6"/>
  <c r="J566" i="6"/>
  <c r="J567" i="6"/>
  <c r="J568" i="6"/>
  <c r="J569" i="6"/>
  <c r="J570" i="6"/>
  <c r="J571" i="6"/>
  <c r="J572" i="6"/>
  <c r="J573" i="6"/>
  <c r="J574" i="6"/>
  <c r="J575" i="6"/>
  <c r="J576" i="6"/>
  <c r="J577" i="6"/>
  <c r="J578" i="6"/>
  <c r="J579" i="6"/>
  <c r="J580" i="6"/>
  <c r="J581" i="6"/>
  <c r="J582" i="6"/>
  <c r="J583" i="6"/>
  <c r="J584" i="6"/>
  <c r="J585" i="6"/>
  <c r="J586" i="6"/>
  <c r="J587" i="6"/>
  <c r="J588" i="6"/>
  <c r="J589" i="6"/>
  <c r="J590" i="6"/>
  <c r="J591" i="6"/>
  <c r="J592" i="6"/>
  <c r="J593" i="6"/>
  <c r="J594" i="6"/>
  <c r="J595" i="6"/>
  <c r="J596" i="6"/>
  <c r="J597" i="6"/>
  <c r="J598" i="6"/>
  <c r="J599" i="6"/>
  <c r="J600" i="6"/>
  <c r="J601" i="6"/>
  <c r="J602" i="6"/>
  <c r="J603" i="6"/>
  <c r="J604" i="6"/>
  <c r="J605" i="6"/>
  <c r="J606" i="6"/>
  <c r="J607" i="6"/>
  <c r="J608" i="6"/>
  <c r="J609" i="6"/>
  <c r="O8875" i="7" s="1"/>
  <c r="J610" i="6"/>
  <c r="J611" i="6"/>
  <c r="J612" i="6"/>
  <c r="O9004" i="7" s="1"/>
  <c r="J613" i="6"/>
  <c r="J614" i="6"/>
  <c r="J615" i="6"/>
  <c r="J616" i="6"/>
  <c r="J617" i="6"/>
  <c r="O9093" i="7" s="1"/>
  <c r="J618" i="6"/>
  <c r="J619" i="6"/>
  <c r="J620" i="6"/>
  <c r="O9100" i="7" s="1"/>
  <c r="J621" i="6"/>
  <c r="J622" i="6"/>
  <c r="O9107" i="7" s="1"/>
  <c r="J623" i="6"/>
  <c r="J624" i="6"/>
  <c r="O9111" i="7" s="1"/>
  <c r="J625" i="6"/>
  <c r="J626" i="6"/>
  <c r="J627" i="6"/>
  <c r="O9121" i="7" s="1"/>
  <c r="J628" i="6"/>
  <c r="J629" i="6"/>
  <c r="J630" i="6"/>
  <c r="O9207" i="7" s="1"/>
  <c r="J631" i="6"/>
  <c r="O9208" i="7" s="1"/>
  <c r="J632" i="6"/>
  <c r="O9209" i="7" s="1"/>
  <c r="J633" i="6"/>
  <c r="J634" i="6"/>
  <c r="J635" i="6"/>
  <c r="J636" i="6"/>
  <c r="O9219" i="7" s="1"/>
  <c r="J637" i="6"/>
  <c r="J638" i="6"/>
  <c r="J639" i="6"/>
  <c r="O9241" i="7" s="1"/>
  <c r="J640" i="6"/>
  <c r="J641" i="6"/>
  <c r="J642" i="6"/>
  <c r="J643" i="6"/>
  <c r="O9255" i="7" s="1"/>
  <c r="J644" i="6"/>
  <c r="O9256" i="7" s="1"/>
  <c r="J645" i="6"/>
  <c r="O9257" i="7" s="1"/>
  <c r="J646" i="6"/>
  <c r="J647" i="6"/>
  <c r="J648" i="6"/>
  <c r="J649" i="6"/>
  <c r="J650" i="6"/>
  <c r="J651" i="6"/>
  <c r="O9385" i="7" s="1"/>
  <c r="J652" i="6"/>
  <c r="J653" i="6"/>
  <c r="J654" i="6"/>
  <c r="O9403" i="7" s="1"/>
  <c r="J655" i="6"/>
  <c r="J656" i="6"/>
  <c r="O9409" i="7" s="1"/>
  <c r="J657" i="6"/>
  <c r="P2" i="7"/>
  <c r="P3" i="7"/>
  <c r="P4" i="7"/>
  <c r="P5" i="7"/>
  <c r="P6" i="7"/>
  <c r="P7" i="7"/>
  <c r="P8" i="7"/>
  <c r="P9" i="7"/>
  <c r="P10" i="7"/>
  <c r="P11" i="7"/>
  <c r="P12" i="7"/>
  <c r="P13" i="7"/>
  <c r="P14" i="7"/>
  <c r="P15" i="7"/>
  <c r="P16" i="7"/>
  <c r="P17" i="7"/>
  <c r="P18" i="7"/>
  <c r="P19" i="7"/>
  <c r="P20" i="7"/>
  <c r="P21" i="7"/>
  <c r="P22" i="7"/>
  <c r="P23" i="7"/>
  <c r="P24" i="7"/>
  <c r="P25" i="7"/>
  <c r="P26" i="7"/>
  <c r="P27" i="7"/>
  <c r="P28" i="7"/>
  <c r="P29" i="7"/>
  <c r="P30" i="7"/>
  <c r="P31" i="7"/>
  <c r="P32" i="7"/>
  <c r="P33" i="7"/>
  <c r="P34" i="7"/>
  <c r="P35" i="7"/>
  <c r="P36" i="7"/>
  <c r="P37" i="7"/>
  <c r="P38" i="7"/>
  <c r="P39" i="7"/>
  <c r="P40" i="7"/>
  <c r="P41" i="7"/>
  <c r="P42" i="7"/>
  <c r="P43" i="7"/>
  <c r="P44" i="7"/>
  <c r="P45" i="7"/>
  <c r="P46" i="7"/>
  <c r="P47" i="7"/>
  <c r="P48" i="7"/>
  <c r="P49" i="7"/>
  <c r="P50" i="7"/>
  <c r="P51" i="7"/>
  <c r="P52" i="7"/>
  <c r="P53" i="7"/>
  <c r="P54" i="7"/>
  <c r="P55" i="7"/>
  <c r="P56" i="7"/>
  <c r="P57" i="7"/>
  <c r="P58" i="7"/>
  <c r="P59" i="7"/>
  <c r="P60" i="7"/>
  <c r="P61" i="7"/>
  <c r="P62" i="7"/>
  <c r="P63" i="7"/>
  <c r="P64" i="7"/>
  <c r="P65" i="7"/>
  <c r="P66" i="7"/>
  <c r="P67" i="7"/>
  <c r="P68" i="7"/>
  <c r="P69" i="7"/>
  <c r="P70" i="7"/>
  <c r="P71" i="7"/>
  <c r="P72" i="7"/>
  <c r="P73" i="7"/>
  <c r="P74" i="7"/>
  <c r="P75" i="7"/>
  <c r="P76" i="7"/>
  <c r="P77" i="7"/>
  <c r="P78" i="7"/>
  <c r="P79" i="7"/>
  <c r="P80" i="7"/>
  <c r="P81" i="7"/>
  <c r="P82" i="7"/>
  <c r="P83" i="7"/>
  <c r="P84" i="7"/>
  <c r="P85" i="7"/>
  <c r="P86" i="7"/>
  <c r="P87" i="7"/>
  <c r="P88" i="7"/>
  <c r="P89" i="7"/>
  <c r="P90" i="7"/>
  <c r="P91" i="7"/>
  <c r="P92" i="7"/>
  <c r="P93" i="7"/>
  <c r="P94" i="7"/>
  <c r="P95" i="7"/>
  <c r="P96" i="7"/>
  <c r="P97" i="7"/>
  <c r="P98" i="7"/>
  <c r="P99" i="7"/>
  <c r="P100" i="7"/>
  <c r="P101" i="7"/>
  <c r="P102" i="7"/>
  <c r="P103" i="7"/>
  <c r="P104" i="7"/>
  <c r="P105" i="7"/>
  <c r="P106" i="7"/>
  <c r="P107" i="7"/>
  <c r="P108" i="7"/>
  <c r="P109" i="7"/>
  <c r="P110" i="7"/>
  <c r="P111" i="7"/>
  <c r="P112" i="7"/>
  <c r="P113" i="7"/>
  <c r="P114" i="7"/>
  <c r="P115" i="7"/>
  <c r="P116" i="7"/>
  <c r="P117" i="7"/>
  <c r="P118" i="7"/>
  <c r="P119" i="7"/>
  <c r="P120" i="7"/>
  <c r="P121" i="7"/>
  <c r="P122" i="7"/>
  <c r="P123" i="7"/>
  <c r="P124" i="7"/>
  <c r="P125" i="7"/>
  <c r="P126" i="7"/>
  <c r="P127" i="7"/>
  <c r="P128" i="7"/>
  <c r="P129" i="7"/>
  <c r="P130" i="7"/>
  <c r="P131" i="7"/>
  <c r="P132" i="7"/>
  <c r="P133" i="7"/>
  <c r="P134" i="7"/>
  <c r="P135" i="7"/>
  <c r="P136" i="7"/>
  <c r="P137" i="7"/>
  <c r="P138" i="7"/>
  <c r="P139" i="7"/>
  <c r="P140" i="7"/>
  <c r="P141" i="7"/>
  <c r="P142" i="7"/>
  <c r="P143" i="7"/>
  <c r="P144" i="7"/>
  <c r="P145" i="7"/>
  <c r="P146" i="7"/>
  <c r="P147" i="7"/>
  <c r="P148" i="7"/>
  <c r="P149" i="7"/>
  <c r="P150" i="7"/>
  <c r="P151" i="7"/>
  <c r="P152" i="7"/>
  <c r="P153" i="7"/>
  <c r="P154" i="7"/>
  <c r="P155" i="7"/>
  <c r="P156" i="7"/>
  <c r="P157" i="7"/>
  <c r="P158" i="7"/>
  <c r="P159" i="7"/>
  <c r="P160" i="7"/>
  <c r="P161" i="7"/>
  <c r="P162" i="7"/>
  <c r="P163" i="7"/>
  <c r="P164" i="7"/>
  <c r="P165" i="7"/>
  <c r="P166" i="7"/>
  <c r="P167" i="7"/>
  <c r="P168" i="7"/>
  <c r="P169" i="7"/>
  <c r="P170" i="7"/>
  <c r="P171" i="7"/>
  <c r="P172" i="7"/>
  <c r="P173" i="7"/>
  <c r="P174" i="7"/>
  <c r="P175" i="7"/>
  <c r="P176" i="7"/>
  <c r="P177" i="7"/>
  <c r="P178" i="7"/>
  <c r="P179" i="7"/>
  <c r="P180" i="7"/>
  <c r="P181" i="7"/>
  <c r="P182" i="7"/>
  <c r="P183" i="7"/>
  <c r="P184" i="7"/>
  <c r="P185" i="7"/>
  <c r="P186" i="7"/>
  <c r="P187" i="7"/>
  <c r="P188" i="7"/>
  <c r="P189" i="7"/>
  <c r="P190" i="7"/>
  <c r="P191" i="7"/>
  <c r="P192" i="7"/>
  <c r="P193" i="7"/>
  <c r="P194" i="7"/>
  <c r="P195" i="7"/>
  <c r="P196" i="7"/>
  <c r="P197" i="7"/>
  <c r="P198" i="7"/>
  <c r="P199" i="7"/>
  <c r="P200" i="7"/>
  <c r="P201" i="7"/>
  <c r="P202" i="7"/>
  <c r="P203" i="7"/>
  <c r="P204" i="7"/>
  <c r="P205" i="7"/>
  <c r="P206" i="7"/>
  <c r="P207" i="7"/>
  <c r="P208" i="7"/>
  <c r="P209" i="7"/>
  <c r="P210" i="7"/>
  <c r="P211" i="7"/>
  <c r="P212" i="7"/>
  <c r="P213" i="7"/>
  <c r="P214" i="7"/>
  <c r="P215" i="7"/>
  <c r="P216" i="7"/>
  <c r="P217" i="7"/>
  <c r="P218" i="7"/>
  <c r="P219" i="7"/>
  <c r="P220" i="7"/>
  <c r="P221" i="7"/>
  <c r="P222" i="7"/>
  <c r="P223" i="7"/>
  <c r="P224" i="7"/>
  <c r="P225" i="7"/>
  <c r="P226" i="7"/>
  <c r="P227" i="7"/>
  <c r="P228" i="7"/>
  <c r="P229" i="7"/>
  <c r="P230" i="7"/>
  <c r="P231" i="7"/>
  <c r="P232" i="7"/>
  <c r="P233" i="7"/>
  <c r="P234" i="7"/>
  <c r="P235" i="7"/>
  <c r="P236" i="7"/>
  <c r="P237" i="7"/>
  <c r="P238" i="7"/>
  <c r="P239" i="7"/>
  <c r="P240" i="7"/>
  <c r="P241" i="7"/>
  <c r="P242" i="7"/>
  <c r="P243" i="7"/>
  <c r="P244" i="7"/>
  <c r="P245" i="7"/>
  <c r="P246" i="7"/>
  <c r="P247" i="7"/>
  <c r="P248" i="7"/>
  <c r="P249" i="7"/>
  <c r="P250" i="7"/>
  <c r="P251" i="7"/>
  <c r="P252" i="7"/>
  <c r="P253" i="7"/>
  <c r="P254" i="7"/>
  <c r="P255" i="7"/>
  <c r="P256" i="7"/>
  <c r="P257" i="7"/>
  <c r="P258" i="7"/>
  <c r="P259" i="7"/>
  <c r="P260" i="7"/>
  <c r="P261" i="7"/>
  <c r="P262" i="7"/>
  <c r="P263" i="7"/>
  <c r="P264" i="7"/>
  <c r="P265" i="7"/>
  <c r="P266" i="7"/>
  <c r="P267" i="7"/>
  <c r="P268" i="7"/>
  <c r="P269" i="7"/>
  <c r="P270" i="7"/>
  <c r="P271" i="7"/>
  <c r="P272" i="7"/>
  <c r="P273" i="7"/>
  <c r="P274" i="7"/>
  <c r="P275" i="7"/>
  <c r="P276" i="7"/>
  <c r="P277" i="7"/>
  <c r="P278" i="7"/>
  <c r="P279" i="7"/>
  <c r="P280" i="7"/>
  <c r="P281" i="7"/>
  <c r="P282" i="7"/>
  <c r="P283" i="7"/>
  <c r="P284" i="7"/>
  <c r="P285" i="7"/>
  <c r="P286" i="7"/>
  <c r="P287" i="7"/>
  <c r="P288" i="7"/>
  <c r="P289" i="7"/>
  <c r="P290" i="7"/>
  <c r="P291" i="7"/>
  <c r="P292" i="7"/>
  <c r="P293" i="7"/>
  <c r="P294" i="7"/>
  <c r="P295" i="7"/>
  <c r="P296" i="7"/>
  <c r="P297" i="7"/>
  <c r="P298" i="7"/>
  <c r="P299" i="7"/>
  <c r="P300" i="7"/>
  <c r="P301" i="7"/>
  <c r="P302" i="7"/>
  <c r="P303" i="7"/>
  <c r="P304" i="7"/>
  <c r="P305" i="7"/>
  <c r="P306" i="7"/>
  <c r="P307" i="7"/>
  <c r="P308" i="7"/>
  <c r="P309" i="7"/>
  <c r="P310" i="7"/>
  <c r="P311" i="7"/>
  <c r="P312" i="7"/>
  <c r="P313" i="7"/>
  <c r="P314" i="7"/>
  <c r="P315" i="7"/>
  <c r="P316" i="7"/>
  <c r="P317" i="7"/>
  <c r="P318" i="7"/>
  <c r="P319" i="7"/>
  <c r="P320" i="7"/>
  <c r="P321" i="7"/>
  <c r="P322" i="7"/>
  <c r="P323" i="7"/>
  <c r="P324" i="7"/>
  <c r="P325" i="7"/>
  <c r="P326" i="7"/>
  <c r="P327" i="7"/>
  <c r="P328" i="7"/>
  <c r="P329" i="7"/>
  <c r="P330" i="7"/>
  <c r="P331" i="7"/>
  <c r="P332" i="7"/>
  <c r="P333" i="7"/>
  <c r="P334" i="7"/>
  <c r="P335" i="7"/>
  <c r="P336" i="7"/>
  <c r="P337" i="7"/>
  <c r="P338" i="7"/>
  <c r="P339" i="7"/>
  <c r="P340" i="7"/>
  <c r="P341" i="7"/>
  <c r="P342" i="7"/>
  <c r="P343" i="7"/>
  <c r="P344" i="7"/>
  <c r="P345" i="7"/>
  <c r="P346" i="7"/>
  <c r="P347" i="7"/>
  <c r="P348" i="7"/>
  <c r="P349" i="7"/>
  <c r="P350" i="7"/>
  <c r="P351" i="7"/>
  <c r="P352" i="7"/>
  <c r="P353" i="7"/>
  <c r="P354" i="7"/>
  <c r="P355" i="7"/>
  <c r="P356" i="7"/>
  <c r="P357" i="7"/>
  <c r="P358" i="7"/>
  <c r="P359" i="7"/>
  <c r="P360" i="7"/>
  <c r="P361" i="7"/>
  <c r="P362" i="7"/>
  <c r="P363" i="7"/>
  <c r="P364" i="7"/>
  <c r="P365" i="7"/>
  <c r="P366" i="7"/>
  <c r="P367" i="7"/>
  <c r="P368" i="7"/>
  <c r="P369" i="7"/>
  <c r="P370" i="7"/>
  <c r="P371" i="7"/>
  <c r="P372" i="7"/>
  <c r="P373" i="7"/>
  <c r="P374" i="7"/>
  <c r="P375" i="7"/>
  <c r="P376" i="7"/>
  <c r="P377" i="7"/>
  <c r="P378" i="7"/>
  <c r="P379" i="7"/>
  <c r="P380" i="7"/>
  <c r="P381" i="7"/>
  <c r="P382" i="7"/>
  <c r="P383" i="7"/>
  <c r="P384" i="7"/>
  <c r="P385" i="7"/>
  <c r="P386" i="7"/>
  <c r="P387" i="7"/>
  <c r="P388" i="7"/>
  <c r="P389" i="7"/>
  <c r="P390" i="7"/>
  <c r="P391" i="7"/>
  <c r="P392" i="7"/>
  <c r="P393" i="7"/>
  <c r="P394" i="7"/>
  <c r="P395" i="7"/>
  <c r="P396" i="7"/>
  <c r="P397" i="7"/>
  <c r="P398" i="7"/>
  <c r="P399" i="7"/>
  <c r="P400" i="7"/>
  <c r="P401" i="7"/>
  <c r="P402" i="7"/>
  <c r="P403" i="7"/>
  <c r="P404" i="7"/>
  <c r="P405" i="7"/>
  <c r="P406" i="7"/>
  <c r="P407" i="7"/>
  <c r="P408" i="7"/>
  <c r="P409" i="7"/>
  <c r="P410" i="7"/>
  <c r="P411" i="7"/>
  <c r="P412" i="7"/>
  <c r="P413" i="7"/>
  <c r="P414" i="7"/>
  <c r="P415" i="7"/>
  <c r="P416" i="7"/>
  <c r="P417" i="7"/>
  <c r="P418" i="7"/>
  <c r="P419" i="7"/>
  <c r="P420" i="7"/>
  <c r="P421" i="7"/>
  <c r="P422" i="7"/>
  <c r="P423" i="7"/>
  <c r="P424" i="7"/>
  <c r="P425" i="7"/>
  <c r="P426" i="7"/>
  <c r="P427" i="7"/>
  <c r="P428" i="7"/>
  <c r="P429" i="7"/>
  <c r="P430" i="7"/>
  <c r="P431" i="7"/>
  <c r="P432" i="7"/>
  <c r="P433" i="7"/>
  <c r="P434" i="7"/>
  <c r="P435" i="7"/>
  <c r="P436" i="7"/>
  <c r="P437" i="7"/>
  <c r="P438" i="7"/>
  <c r="P439" i="7"/>
  <c r="P440" i="7"/>
  <c r="P441" i="7"/>
  <c r="P442" i="7"/>
  <c r="P443" i="7"/>
  <c r="P444" i="7"/>
  <c r="P445" i="7"/>
  <c r="P446" i="7"/>
  <c r="P447" i="7"/>
  <c r="P448" i="7"/>
  <c r="P449" i="7"/>
  <c r="P450" i="7"/>
  <c r="P451" i="7"/>
  <c r="P452" i="7"/>
  <c r="P453" i="7"/>
  <c r="P454" i="7"/>
  <c r="P455" i="7"/>
  <c r="P456" i="7"/>
  <c r="P457" i="7"/>
  <c r="P458" i="7"/>
  <c r="P459" i="7"/>
  <c r="P460" i="7"/>
  <c r="P461" i="7"/>
  <c r="P462" i="7"/>
  <c r="P463" i="7"/>
  <c r="P464" i="7"/>
  <c r="P465" i="7"/>
  <c r="P466" i="7"/>
  <c r="P467" i="7"/>
  <c r="P468" i="7"/>
  <c r="P469" i="7"/>
  <c r="P470" i="7"/>
  <c r="P471" i="7"/>
  <c r="P472" i="7"/>
  <c r="P473" i="7"/>
  <c r="P474" i="7"/>
  <c r="P475" i="7"/>
  <c r="P476" i="7"/>
  <c r="P477" i="7"/>
  <c r="P478" i="7"/>
  <c r="P479" i="7"/>
  <c r="P480" i="7"/>
  <c r="P481" i="7"/>
  <c r="P482" i="7"/>
  <c r="P483" i="7"/>
  <c r="P484" i="7"/>
  <c r="P485" i="7"/>
  <c r="P486" i="7"/>
  <c r="P487" i="7"/>
  <c r="P488" i="7"/>
  <c r="P489" i="7"/>
  <c r="P490" i="7"/>
  <c r="P491" i="7"/>
  <c r="P492" i="7"/>
  <c r="P493" i="7"/>
  <c r="P494" i="7"/>
  <c r="P495" i="7"/>
  <c r="P496" i="7"/>
  <c r="P497" i="7"/>
  <c r="P498" i="7"/>
  <c r="P499" i="7"/>
  <c r="P500" i="7"/>
  <c r="P501" i="7"/>
  <c r="P502" i="7"/>
  <c r="P503" i="7"/>
  <c r="P504" i="7"/>
  <c r="P505" i="7"/>
  <c r="P506" i="7"/>
  <c r="P507" i="7"/>
  <c r="P508" i="7"/>
  <c r="P509" i="7"/>
  <c r="P510" i="7"/>
  <c r="P511" i="7"/>
  <c r="P512" i="7"/>
  <c r="P513" i="7"/>
  <c r="P514" i="7"/>
  <c r="P515" i="7"/>
  <c r="P516" i="7"/>
  <c r="P517" i="7"/>
  <c r="P518" i="7"/>
  <c r="P519" i="7"/>
  <c r="P520" i="7"/>
  <c r="P521" i="7"/>
  <c r="P522" i="7"/>
  <c r="P523" i="7"/>
  <c r="P524" i="7"/>
  <c r="P525" i="7"/>
  <c r="P526" i="7"/>
  <c r="P527" i="7"/>
  <c r="P528" i="7"/>
  <c r="P529" i="7"/>
  <c r="P530" i="7"/>
  <c r="P531" i="7"/>
  <c r="P532" i="7"/>
  <c r="P533" i="7"/>
  <c r="P534" i="7"/>
  <c r="P535" i="7"/>
  <c r="P536" i="7"/>
  <c r="P537" i="7"/>
  <c r="P538" i="7"/>
  <c r="P539" i="7"/>
  <c r="P540" i="7"/>
  <c r="P541" i="7"/>
  <c r="P542" i="7"/>
  <c r="P543" i="7"/>
  <c r="P544" i="7"/>
  <c r="P545" i="7"/>
  <c r="P546" i="7"/>
  <c r="P547" i="7"/>
  <c r="P548" i="7"/>
  <c r="P549" i="7"/>
  <c r="P550" i="7"/>
  <c r="P551" i="7"/>
  <c r="P552" i="7"/>
  <c r="P553" i="7"/>
  <c r="P554" i="7"/>
  <c r="P555" i="7"/>
  <c r="P556" i="7"/>
  <c r="P557" i="7"/>
  <c r="P558" i="7"/>
  <c r="P559" i="7"/>
  <c r="P560" i="7"/>
  <c r="P561" i="7"/>
  <c r="P562" i="7"/>
  <c r="P563" i="7"/>
  <c r="P564" i="7"/>
  <c r="P565" i="7"/>
  <c r="P566" i="7"/>
  <c r="P567" i="7"/>
  <c r="P568" i="7"/>
  <c r="P569" i="7"/>
  <c r="P570" i="7"/>
  <c r="P571" i="7"/>
  <c r="P572" i="7"/>
  <c r="P573" i="7"/>
  <c r="P574" i="7"/>
  <c r="P575" i="7"/>
  <c r="P576" i="7"/>
  <c r="P577" i="7"/>
  <c r="P578" i="7"/>
  <c r="P579" i="7"/>
  <c r="P580" i="7"/>
  <c r="P581" i="7"/>
  <c r="P582" i="7"/>
  <c r="P583" i="7"/>
  <c r="P584" i="7"/>
  <c r="P585" i="7"/>
  <c r="P586" i="7"/>
  <c r="P587" i="7"/>
  <c r="P588" i="7"/>
  <c r="M63" i="5" s="1"/>
  <c r="P589" i="7"/>
  <c r="P590" i="7"/>
  <c r="P591" i="7"/>
  <c r="P592" i="7"/>
  <c r="P593" i="7"/>
  <c r="P594" i="7"/>
  <c r="P595" i="7"/>
  <c r="P596" i="7"/>
  <c r="P597" i="7"/>
  <c r="P598" i="7"/>
  <c r="P599" i="7"/>
  <c r="P600" i="7"/>
  <c r="P601" i="7"/>
  <c r="P602" i="7"/>
  <c r="P603" i="7"/>
  <c r="P604" i="7"/>
  <c r="P605" i="7"/>
  <c r="P606" i="7"/>
  <c r="P607" i="7"/>
  <c r="P608" i="7"/>
  <c r="P609" i="7"/>
  <c r="P610" i="7"/>
  <c r="P611" i="7"/>
  <c r="P612" i="7"/>
  <c r="P613" i="7"/>
  <c r="P614" i="7"/>
  <c r="P615" i="7"/>
  <c r="P616" i="7"/>
  <c r="P617" i="7"/>
  <c r="P618" i="7"/>
  <c r="P619" i="7"/>
  <c r="P620" i="7"/>
  <c r="P621" i="7"/>
  <c r="P622" i="7"/>
  <c r="P623" i="7"/>
  <c r="P624" i="7"/>
  <c r="P625" i="7"/>
  <c r="P626" i="7"/>
  <c r="P627" i="7"/>
  <c r="P628" i="7"/>
  <c r="P629" i="7"/>
  <c r="P630" i="7"/>
  <c r="P631" i="7"/>
  <c r="P632" i="7"/>
  <c r="P633" i="7"/>
  <c r="P634" i="7"/>
  <c r="P635" i="7"/>
  <c r="P636" i="7"/>
  <c r="P637" i="7"/>
  <c r="P638" i="7"/>
  <c r="P639" i="7"/>
  <c r="P640" i="7"/>
  <c r="P641" i="7"/>
  <c r="P642" i="7"/>
  <c r="P643" i="7"/>
  <c r="P644" i="7"/>
  <c r="P645" i="7"/>
  <c r="P646" i="7"/>
  <c r="P647" i="7"/>
  <c r="P648" i="7"/>
  <c r="P649" i="7"/>
  <c r="P650" i="7"/>
  <c r="P651" i="7"/>
  <c r="P652" i="7"/>
  <c r="P653" i="7"/>
  <c r="P654" i="7"/>
  <c r="P655" i="7"/>
  <c r="P656" i="7"/>
  <c r="P657" i="7"/>
  <c r="P658" i="7"/>
  <c r="P659" i="7"/>
  <c r="P660" i="7"/>
  <c r="P661" i="7"/>
  <c r="P662" i="7"/>
  <c r="P663" i="7"/>
  <c r="P664" i="7"/>
  <c r="P665" i="7"/>
  <c r="P666" i="7"/>
  <c r="P667" i="7"/>
  <c r="P668" i="7"/>
  <c r="P669" i="7"/>
  <c r="P670" i="7"/>
  <c r="P671" i="7"/>
  <c r="P672" i="7"/>
  <c r="P673" i="7"/>
  <c r="P674" i="7"/>
  <c r="P675" i="7"/>
  <c r="P676" i="7"/>
  <c r="P677" i="7"/>
  <c r="P678" i="7"/>
  <c r="P679" i="7"/>
  <c r="P680" i="7"/>
  <c r="P681" i="7"/>
  <c r="P682" i="7"/>
  <c r="P683" i="7"/>
  <c r="P684" i="7"/>
  <c r="P685" i="7"/>
  <c r="P686" i="7"/>
  <c r="P687" i="7"/>
  <c r="P688" i="7"/>
  <c r="P689" i="7"/>
  <c r="P690" i="7"/>
  <c r="P691" i="7"/>
  <c r="P692" i="7"/>
  <c r="P693" i="7"/>
  <c r="P694" i="7"/>
  <c r="P695" i="7"/>
  <c r="P696" i="7"/>
  <c r="P697" i="7"/>
  <c r="P698" i="7"/>
  <c r="P699" i="7"/>
  <c r="P700" i="7"/>
  <c r="P701" i="7"/>
  <c r="P702" i="7"/>
  <c r="P703" i="7"/>
  <c r="P704" i="7"/>
  <c r="P705" i="7"/>
  <c r="P706" i="7"/>
  <c r="P707" i="7"/>
  <c r="P708" i="7"/>
  <c r="P709" i="7"/>
  <c r="P710" i="7"/>
  <c r="P711" i="7"/>
  <c r="P712" i="7"/>
  <c r="P713" i="7"/>
  <c r="P714" i="7"/>
  <c r="P715" i="7"/>
  <c r="P716" i="7"/>
  <c r="P717" i="7"/>
  <c r="P718" i="7"/>
  <c r="P719" i="7"/>
  <c r="P720" i="7"/>
  <c r="P721" i="7"/>
  <c r="P722" i="7"/>
  <c r="P723" i="7"/>
  <c r="P724" i="7"/>
  <c r="P725" i="7"/>
  <c r="P726" i="7"/>
  <c r="P727" i="7"/>
  <c r="P728" i="7"/>
  <c r="P729" i="7"/>
  <c r="P730" i="7"/>
  <c r="P731" i="7"/>
  <c r="P732" i="7"/>
  <c r="P733" i="7"/>
  <c r="P734" i="7"/>
  <c r="P735" i="7"/>
  <c r="P736" i="7"/>
  <c r="P737" i="7"/>
  <c r="P738" i="7"/>
  <c r="P739" i="7"/>
  <c r="P740" i="7"/>
  <c r="P741" i="7"/>
  <c r="P742" i="7"/>
  <c r="P743" i="7"/>
  <c r="P744" i="7"/>
  <c r="P745" i="7"/>
  <c r="P746" i="7"/>
  <c r="P747" i="7"/>
  <c r="P748" i="7"/>
  <c r="P749" i="7"/>
  <c r="P750" i="7"/>
  <c r="P751" i="7"/>
  <c r="P752" i="7"/>
  <c r="P753" i="7"/>
  <c r="P754" i="7"/>
  <c r="P755" i="7"/>
  <c r="P756" i="7"/>
  <c r="P757" i="7"/>
  <c r="P758" i="7"/>
  <c r="P759" i="7"/>
  <c r="P760" i="7"/>
  <c r="P761" i="7"/>
  <c r="P762" i="7"/>
  <c r="P763" i="7"/>
  <c r="P764" i="7"/>
  <c r="P765" i="7"/>
  <c r="P766" i="7"/>
  <c r="P767" i="7"/>
  <c r="P768" i="7"/>
  <c r="P769" i="7"/>
  <c r="P770" i="7"/>
  <c r="P771" i="7"/>
  <c r="P772" i="7"/>
  <c r="P773" i="7"/>
  <c r="P774" i="7"/>
  <c r="P775" i="7"/>
  <c r="P776" i="7"/>
  <c r="P777" i="7"/>
  <c r="P778" i="7"/>
  <c r="P779" i="7"/>
  <c r="P780" i="7"/>
  <c r="P781" i="7"/>
  <c r="P782" i="7"/>
  <c r="P783" i="7"/>
  <c r="P784" i="7"/>
  <c r="P785" i="7"/>
  <c r="P786" i="7"/>
  <c r="P787" i="7"/>
  <c r="P788" i="7"/>
  <c r="P789" i="7"/>
  <c r="P790" i="7"/>
  <c r="P791" i="7"/>
  <c r="P792" i="7"/>
  <c r="P793" i="7"/>
  <c r="P794" i="7"/>
  <c r="P795" i="7"/>
  <c r="P796" i="7"/>
  <c r="P797" i="7"/>
  <c r="P798" i="7"/>
  <c r="P799" i="7"/>
  <c r="P800" i="7"/>
  <c r="P801" i="7"/>
  <c r="P802" i="7"/>
  <c r="P803" i="7"/>
  <c r="P804" i="7"/>
  <c r="P805" i="7"/>
  <c r="P806" i="7"/>
  <c r="P807" i="7"/>
  <c r="P808" i="7"/>
  <c r="P809" i="7"/>
  <c r="P810" i="7"/>
  <c r="P811" i="7"/>
  <c r="P812" i="7"/>
  <c r="P813" i="7"/>
  <c r="P814" i="7"/>
  <c r="P815" i="7"/>
  <c r="P816" i="7"/>
  <c r="P817" i="7"/>
  <c r="P818" i="7"/>
  <c r="P819" i="7"/>
  <c r="P820" i="7"/>
  <c r="P821" i="7"/>
  <c r="P822" i="7"/>
  <c r="P823" i="7"/>
  <c r="P824" i="7"/>
  <c r="P825" i="7"/>
  <c r="P826" i="7"/>
  <c r="P827" i="7"/>
  <c r="P828" i="7"/>
  <c r="P829" i="7"/>
  <c r="P830" i="7"/>
  <c r="P831" i="7"/>
  <c r="P832" i="7"/>
  <c r="P833" i="7"/>
  <c r="P834" i="7"/>
  <c r="P835" i="7"/>
  <c r="P836" i="7"/>
  <c r="P837" i="7"/>
  <c r="P838" i="7"/>
  <c r="P839" i="7"/>
  <c r="P840" i="7"/>
  <c r="P841" i="7"/>
  <c r="P842" i="7"/>
  <c r="P843" i="7"/>
  <c r="P844" i="7"/>
  <c r="P845" i="7"/>
  <c r="P846" i="7"/>
  <c r="P847" i="7"/>
  <c r="P848" i="7"/>
  <c r="P849" i="7"/>
  <c r="P850" i="7"/>
  <c r="P851" i="7"/>
  <c r="P852" i="7"/>
  <c r="P853" i="7"/>
  <c r="P854" i="7"/>
  <c r="P855" i="7"/>
  <c r="P856" i="7"/>
  <c r="P857" i="7"/>
  <c r="P858" i="7"/>
  <c r="P859" i="7"/>
  <c r="P860" i="7"/>
  <c r="P861" i="7"/>
  <c r="P862" i="7"/>
  <c r="P863" i="7"/>
  <c r="P864" i="7"/>
  <c r="P865" i="7"/>
  <c r="P866" i="7"/>
  <c r="P867" i="7"/>
  <c r="P868" i="7"/>
  <c r="P869" i="7"/>
  <c r="P870" i="7"/>
  <c r="P871" i="7"/>
  <c r="P872" i="7"/>
  <c r="P873" i="7"/>
  <c r="P874" i="7"/>
  <c r="P875" i="7"/>
  <c r="P876" i="7"/>
  <c r="P877" i="7"/>
  <c r="P878" i="7"/>
  <c r="P879" i="7"/>
  <c r="P880" i="7"/>
  <c r="P881" i="7"/>
  <c r="P882" i="7"/>
  <c r="P883" i="7"/>
  <c r="P884" i="7"/>
  <c r="P885" i="7"/>
  <c r="P886" i="7"/>
  <c r="P887" i="7"/>
  <c r="P888" i="7"/>
  <c r="P889" i="7"/>
  <c r="P890" i="7"/>
  <c r="P891" i="7"/>
  <c r="P892" i="7"/>
  <c r="P893" i="7"/>
  <c r="P894" i="7"/>
  <c r="P895" i="7"/>
  <c r="P896" i="7"/>
  <c r="P897" i="7"/>
  <c r="P898" i="7"/>
  <c r="P899" i="7"/>
  <c r="P900" i="7"/>
  <c r="P901" i="7"/>
  <c r="P902" i="7"/>
  <c r="P903" i="7"/>
  <c r="P904" i="7"/>
  <c r="P905" i="7"/>
  <c r="P906" i="7"/>
  <c r="P907" i="7"/>
  <c r="P908" i="7"/>
  <c r="P909" i="7"/>
  <c r="P910" i="7"/>
  <c r="P911" i="7"/>
  <c r="P912" i="7"/>
  <c r="P913" i="7"/>
  <c r="P914" i="7"/>
  <c r="P915" i="7"/>
  <c r="P916" i="7"/>
  <c r="P917" i="7"/>
  <c r="P918" i="7"/>
  <c r="P919" i="7"/>
  <c r="P920" i="7"/>
  <c r="P921" i="7"/>
  <c r="P922" i="7"/>
  <c r="P923" i="7"/>
  <c r="P924" i="7"/>
  <c r="P925" i="7"/>
  <c r="P926" i="7"/>
  <c r="P927" i="7"/>
  <c r="P928" i="7"/>
  <c r="P929" i="7"/>
  <c r="P930" i="7"/>
  <c r="P931" i="7"/>
  <c r="P932" i="7"/>
  <c r="P933" i="7"/>
  <c r="P934" i="7"/>
  <c r="P935" i="7"/>
  <c r="P936" i="7"/>
  <c r="P937" i="7"/>
  <c r="P938" i="7"/>
  <c r="P939" i="7"/>
  <c r="P940" i="7"/>
  <c r="P941" i="7"/>
  <c r="P942" i="7"/>
  <c r="P943" i="7"/>
  <c r="P944" i="7"/>
  <c r="P945" i="7"/>
  <c r="P946" i="7"/>
  <c r="P947" i="7"/>
  <c r="P948" i="7"/>
  <c r="P949" i="7"/>
  <c r="P950" i="7"/>
  <c r="P951" i="7"/>
  <c r="P952" i="7"/>
  <c r="P953" i="7"/>
  <c r="P954" i="7"/>
  <c r="P955" i="7"/>
  <c r="P956" i="7"/>
  <c r="P957" i="7"/>
  <c r="P958" i="7"/>
  <c r="P959" i="7"/>
  <c r="P960" i="7"/>
  <c r="P961" i="7"/>
  <c r="P962" i="7"/>
  <c r="P963" i="7"/>
  <c r="P964" i="7"/>
  <c r="P965" i="7"/>
  <c r="P966" i="7"/>
  <c r="P967" i="7"/>
  <c r="P968" i="7"/>
  <c r="P969" i="7"/>
  <c r="P970" i="7"/>
  <c r="P971" i="7"/>
  <c r="P972" i="7"/>
  <c r="P973" i="7"/>
  <c r="P974" i="7"/>
  <c r="P975" i="7"/>
  <c r="P976" i="7"/>
  <c r="P977" i="7"/>
  <c r="P978" i="7"/>
  <c r="P979" i="7"/>
  <c r="P980" i="7"/>
  <c r="P981" i="7"/>
  <c r="P982" i="7"/>
  <c r="P983" i="7"/>
  <c r="P984" i="7"/>
  <c r="P985" i="7"/>
  <c r="P986" i="7"/>
  <c r="P987" i="7"/>
  <c r="P988" i="7"/>
  <c r="P989" i="7"/>
  <c r="P990" i="7"/>
  <c r="P991" i="7"/>
  <c r="P992" i="7"/>
  <c r="P993" i="7"/>
  <c r="P994" i="7"/>
  <c r="P995" i="7"/>
  <c r="P996" i="7"/>
  <c r="P997" i="7"/>
  <c r="P998" i="7"/>
  <c r="P999" i="7"/>
  <c r="P1000" i="7"/>
  <c r="P1001" i="7"/>
  <c r="P1002" i="7"/>
  <c r="P1003" i="7"/>
  <c r="P1004" i="7"/>
  <c r="P1005" i="7"/>
  <c r="P1006" i="7"/>
  <c r="P1007" i="7"/>
  <c r="P1008" i="7"/>
  <c r="P1009" i="7"/>
  <c r="P1010" i="7"/>
  <c r="P1011" i="7"/>
  <c r="P1012" i="7"/>
  <c r="P1013" i="7"/>
  <c r="P1014" i="7"/>
  <c r="P1015" i="7"/>
  <c r="P1016" i="7"/>
  <c r="P1017" i="7"/>
  <c r="P1018" i="7"/>
  <c r="P1019" i="7"/>
  <c r="P1020" i="7"/>
  <c r="P1021" i="7"/>
  <c r="P1022" i="7"/>
  <c r="P1023" i="7"/>
  <c r="P1024" i="7"/>
  <c r="P1025" i="7"/>
  <c r="P1026" i="7"/>
  <c r="P1027" i="7"/>
  <c r="P1028" i="7"/>
  <c r="P1029" i="7"/>
  <c r="P1030" i="7"/>
  <c r="P1031" i="7"/>
  <c r="P1032" i="7"/>
  <c r="P1033" i="7"/>
  <c r="P1034" i="7"/>
  <c r="P1035" i="7"/>
  <c r="P1036" i="7"/>
  <c r="P1037" i="7"/>
  <c r="P1038" i="7"/>
  <c r="P1039" i="7"/>
  <c r="P1040" i="7"/>
  <c r="P1041" i="7"/>
  <c r="P1042" i="7"/>
  <c r="P1043" i="7"/>
  <c r="P1044" i="7"/>
  <c r="P1045" i="7"/>
  <c r="P1046" i="7"/>
  <c r="P1047" i="7"/>
  <c r="P1048" i="7"/>
  <c r="P1049" i="7"/>
  <c r="P1050" i="7"/>
  <c r="P1051" i="7"/>
  <c r="P1052" i="7"/>
  <c r="P1053" i="7"/>
  <c r="P1054" i="7"/>
  <c r="P1055" i="7"/>
  <c r="P1056" i="7"/>
  <c r="P1057" i="7"/>
  <c r="P1058" i="7"/>
  <c r="P1059" i="7"/>
  <c r="P1060" i="7"/>
  <c r="P1061" i="7"/>
  <c r="P1062" i="7"/>
  <c r="P1063" i="7"/>
  <c r="P1064" i="7"/>
  <c r="P1065" i="7"/>
  <c r="P1066" i="7"/>
  <c r="P1067" i="7"/>
  <c r="P1068" i="7"/>
  <c r="P1069" i="7"/>
  <c r="P1070" i="7"/>
  <c r="P1071" i="7"/>
  <c r="P1072" i="7"/>
  <c r="P1073" i="7"/>
  <c r="P1074" i="7"/>
  <c r="P1075" i="7"/>
  <c r="P1076" i="7"/>
  <c r="P1077" i="7"/>
  <c r="P1078" i="7"/>
  <c r="P1079" i="7"/>
  <c r="P1080" i="7"/>
  <c r="P1081" i="7"/>
  <c r="P1082" i="7"/>
  <c r="P1083" i="7"/>
  <c r="P1084" i="7"/>
  <c r="P1085" i="7"/>
  <c r="P1086" i="7"/>
  <c r="P1087" i="7"/>
  <c r="P1088" i="7"/>
  <c r="P1089" i="7"/>
  <c r="P1090" i="7"/>
  <c r="P1091" i="7"/>
  <c r="P1092" i="7"/>
  <c r="P1093" i="7"/>
  <c r="P1094" i="7"/>
  <c r="P1095" i="7"/>
  <c r="P1096" i="7"/>
  <c r="P1097" i="7"/>
  <c r="P1098" i="7"/>
  <c r="P1099" i="7"/>
  <c r="P1100" i="7"/>
  <c r="P1101" i="7"/>
  <c r="P1102" i="7"/>
  <c r="P1103" i="7"/>
  <c r="P1104" i="7"/>
  <c r="P1105" i="7"/>
  <c r="P1106" i="7"/>
  <c r="P1107" i="7"/>
  <c r="P1108" i="7"/>
  <c r="P1109" i="7"/>
  <c r="P1110" i="7"/>
  <c r="P1111" i="7"/>
  <c r="P1112" i="7"/>
  <c r="P1113" i="7"/>
  <c r="P1114" i="7"/>
  <c r="P1115" i="7"/>
  <c r="P1116" i="7"/>
  <c r="P1117" i="7"/>
  <c r="P1118" i="7"/>
  <c r="P1119" i="7"/>
  <c r="P1120" i="7"/>
  <c r="P1121" i="7"/>
  <c r="P1122" i="7"/>
  <c r="P1123" i="7"/>
  <c r="P1124" i="7"/>
  <c r="P1125" i="7"/>
  <c r="P1126" i="7"/>
  <c r="P1127" i="7"/>
  <c r="P1128" i="7"/>
  <c r="P1129" i="7"/>
  <c r="P1130" i="7"/>
  <c r="P1131" i="7"/>
  <c r="P1132" i="7"/>
  <c r="P1133" i="7"/>
  <c r="P1134" i="7"/>
  <c r="P1135" i="7"/>
  <c r="P1136" i="7"/>
  <c r="P1137" i="7"/>
  <c r="P1138" i="7"/>
  <c r="P1139" i="7"/>
  <c r="P1140" i="7"/>
  <c r="P1141" i="7"/>
  <c r="P1142" i="7"/>
  <c r="P1143" i="7"/>
  <c r="P1144" i="7"/>
  <c r="P1145" i="7"/>
  <c r="P1146" i="7"/>
  <c r="P1147" i="7"/>
  <c r="P1148" i="7"/>
  <c r="P1149" i="7"/>
  <c r="P1150" i="7"/>
  <c r="P1151" i="7"/>
  <c r="P1152" i="7"/>
  <c r="P1153" i="7"/>
  <c r="P1154" i="7"/>
  <c r="P1155" i="7"/>
  <c r="P1156" i="7"/>
  <c r="P1157" i="7"/>
  <c r="P1158" i="7"/>
  <c r="P1159" i="7"/>
  <c r="P1160" i="7"/>
  <c r="P1161" i="7"/>
  <c r="P1162" i="7"/>
  <c r="P1163" i="7"/>
  <c r="P1164" i="7"/>
  <c r="P1165" i="7"/>
  <c r="P1166" i="7"/>
  <c r="P1167" i="7"/>
  <c r="P1168" i="7"/>
  <c r="P1169" i="7"/>
  <c r="P1170" i="7"/>
  <c r="P1171" i="7"/>
  <c r="P1172" i="7"/>
  <c r="P1173" i="7"/>
  <c r="P1174" i="7"/>
  <c r="P1175" i="7"/>
  <c r="P1176" i="7"/>
  <c r="P1177" i="7"/>
  <c r="P1178" i="7"/>
  <c r="P1179" i="7"/>
  <c r="P1180" i="7"/>
  <c r="P1181" i="7"/>
  <c r="P1182" i="7"/>
  <c r="P1183" i="7"/>
  <c r="P1184" i="7"/>
  <c r="P1185" i="7"/>
  <c r="P1186" i="7"/>
  <c r="P1187" i="7"/>
  <c r="P1188" i="7"/>
  <c r="P1189" i="7"/>
  <c r="P1190" i="7"/>
  <c r="P1191" i="7"/>
  <c r="P1192" i="7"/>
  <c r="P1193" i="7"/>
  <c r="P1194" i="7"/>
  <c r="P1195" i="7"/>
  <c r="P1196" i="7"/>
  <c r="P1197" i="7"/>
  <c r="P1198" i="7"/>
  <c r="P1199" i="7"/>
  <c r="P1200" i="7"/>
  <c r="P1201" i="7"/>
  <c r="P1202" i="7"/>
  <c r="P1203" i="7"/>
  <c r="P1204" i="7"/>
  <c r="P1205" i="7"/>
  <c r="P1206" i="7"/>
  <c r="P1207" i="7"/>
  <c r="P1208" i="7"/>
  <c r="P1209" i="7"/>
  <c r="P1210" i="7"/>
  <c r="P1211" i="7"/>
  <c r="P1212" i="7"/>
  <c r="P1213" i="7"/>
  <c r="P1214" i="7"/>
  <c r="P1215" i="7"/>
  <c r="P1216" i="7"/>
  <c r="P1217" i="7"/>
  <c r="P1218" i="7"/>
  <c r="P1219" i="7"/>
  <c r="P1220" i="7"/>
  <c r="P1221" i="7"/>
  <c r="P1222" i="7"/>
  <c r="P1223" i="7"/>
  <c r="P1224" i="7"/>
  <c r="P1225" i="7"/>
  <c r="P1226" i="7"/>
  <c r="P1227" i="7"/>
  <c r="P1228" i="7"/>
  <c r="P1229" i="7"/>
  <c r="P1230" i="7"/>
  <c r="P1231" i="7"/>
  <c r="P1232" i="7"/>
  <c r="P1233" i="7"/>
  <c r="P1234" i="7"/>
  <c r="P1235" i="7"/>
  <c r="P1236" i="7"/>
  <c r="P1237" i="7"/>
  <c r="P1238" i="7"/>
  <c r="P1239" i="7"/>
  <c r="P1240" i="7"/>
  <c r="P1241" i="7"/>
  <c r="P1242" i="7"/>
  <c r="P1243" i="7"/>
  <c r="P1244" i="7"/>
  <c r="P1245" i="7"/>
  <c r="P1246" i="7"/>
  <c r="P1247" i="7"/>
  <c r="P1248" i="7"/>
  <c r="P1249" i="7"/>
  <c r="P1250" i="7"/>
  <c r="P1251" i="7"/>
  <c r="P1252" i="7"/>
  <c r="P1253" i="7"/>
  <c r="P1254" i="7"/>
  <c r="P1255" i="7"/>
  <c r="P1256" i="7"/>
  <c r="P1257" i="7"/>
  <c r="P1258" i="7"/>
  <c r="P1259" i="7"/>
  <c r="P1260" i="7"/>
  <c r="P1261" i="7"/>
  <c r="P1262" i="7"/>
  <c r="P1263" i="7"/>
  <c r="P1264" i="7"/>
  <c r="P1265" i="7"/>
  <c r="P1266" i="7"/>
  <c r="P1267" i="7"/>
  <c r="P1268" i="7"/>
  <c r="P1269" i="7"/>
  <c r="P1270" i="7"/>
  <c r="P1271" i="7"/>
  <c r="P1272" i="7"/>
  <c r="P1273" i="7"/>
  <c r="P1274" i="7"/>
  <c r="P1275" i="7"/>
  <c r="P1276" i="7"/>
  <c r="P1277" i="7"/>
  <c r="P1278" i="7"/>
  <c r="P1279" i="7"/>
  <c r="P1280" i="7"/>
  <c r="P1281" i="7"/>
  <c r="P1282" i="7"/>
  <c r="P1283" i="7"/>
  <c r="P1284" i="7"/>
  <c r="P1285" i="7"/>
  <c r="P1286" i="7"/>
  <c r="P1287" i="7"/>
  <c r="P1288" i="7"/>
  <c r="P1289" i="7"/>
  <c r="P1290" i="7"/>
  <c r="P1291" i="7"/>
  <c r="P1292" i="7"/>
  <c r="P1293" i="7"/>
  <c r="P1294" i="7"/>
  <c r="P1295" i="7"/>
  <c r="P1296" i="7"/>
  <c r="P1297" i="7"/>
  <c r="P1298" i="7"/>
  <c r="P1299" i="7"/>
  <c r="P1300" i="7"/>
  <c r="P1301" i="7"/>
  <c r="P1302" i="7"/>
  <c r="P1303" i="7"/>
  <c r="P1304" i="7"/>
  <c r="P1305" i="7"/>
  <c r="P1306" i="7"/>
  <c r="P1307" i="7"/>
  <c r="P1308" i="7"/>
  <c r="P1309" i="7"/>
  <c r="P1310" i="7"/>
  <c r="P1311" i="7"/>
  <c r="P1312" i="7"/>
  <c r="P1313" i="7"/>
  <c r="P1314" i="7"/>
  <c r="P1315" i="7"/>
  <c r="P1316" i="7"/>
  <c r="P1317" i="7"/>
  <c r="P1318" i="7"/>
  <c r="P1319" i="7"/>
  <c r="P1320" i="7"/>
  <c r="P1321" i="7"/>
  <c r="P1322" i="7"/>
  <c r="P1323" i="7"/>
  <c r="P1324" i="7"/>
  <c r="P1325" i="7"/>
  <c r="P1326" i="7"/>
  <c r="P1327" i="7"/>
  <c r="P1328" i="7"/>
  <c r="P1329" i="7"/>
  <c r="P1330" i="7"/>
  <c r="P1331" i="7"/>
  <c r="P1332" i="7"/>
  <c r="P1333" i="7"/>
  <c r="P1334" i="7"/>
  <c r="P1335" i="7"/>
  <c r="P1336" i="7"/>
  <c r="P1337" i="7"/>
  <c r="P1338" i="7"/>
  <c r="P1339" i="7"/>
  <c r="P1340" i="7"/>
  <c r="P1341" i="7"/>
  <c r="P1342" i="7"/>
  <c r="P1343" i="7"/>
  <c r="P1344" i="7"/>
  <c r="P1345" i="7"/>
  <c r="P1346" i="7"/>
  <c r="P1347" i="7"/>
  <c r="P1348" i="7"/>
  <c r="P1349" i="7"/>
  <c r="P1350" i="7"/>
  <c r="P1351" i="7"/>
  <c r="P1352" i="7"/>
  <c r="P1353" i="7"/>
  <c r="P1354" i="7"/>
  <c r="P1355" i="7"/>
  <c r="P1356" i="7"/>
  <c r="P1357" i="7"/>
  <c r="P1358" i="7"/>
  <c r="P1359" i="7"/>
  <c r="P1360" i="7"/>
  <c r="P1361" i="7"/>
  <c r="P1362" i="7"/>
  <c r="P1363" i="7"/>
  <c r="P1364" i="7"/>
  <c r="P1365" i="7"/>
  <c r="P1366" i="7"/>
  <c r="P1367" i="7"/>
  <c r="P1368" i="7"/>
  <c r="P1369" i="7"/>
  <c r="P1370" i="7"/>
  <c r="P1371" i="7"/>
  <c r="P1372" i="7"/>
  <c r="P1373" i="7"/>
  <c r="P1374" i="7"/>
  <c r="P1375" i="7"/>
  <c r="P1376" i="7"/>
  <c r="P1377" i="7"/>
  <c r="P1378" i="7"/>
  <c r="P1379" i="7"/>
  <c r="P1380" i="7"/>
  <c r="P1381" i="7"/>
  <c r="P1382" i="7"/>
  <c r="P1383" i="7"/>
  <c r="P1384" i="7"/>
  <c r="P1385" i="7"/>
  <c r="P1386" i="7"/>
  <c r="P1387" i="7"/>
  <c r="P1388" i="7"/>
  <c r="P1389" i="7"/>
  <c r="P1390" i="7"/>
  <c r="P1391" i="7"/>
  <c r="P1392" i="7"/>
  <c r="P1393" i="7"/>
  <c r="P1394" i="7"/>
  <c r="P1395" i="7"/>
  <c r="P1396" i="7"/>
  <c r="P1397" i="7"/>
  <c r="P1398" i="7"/>
  <c r="P1399" i="7"/>
  <c r="P1400" i="7"/>
  <c r="P1401" i="7"/>
  <c r="P1402" i="7"/>
  <c r="P1403" i="7"/>
  <c r="P1404" i="7"/>
  <c r="P1405" i="7"/>
  <c r="P1406" i="7"/>
  <c r="P1407" i="7"/>
  <c r="P1408" i="7"/>
  <c r="P1409" i="7"/>
  <c r="P1410" i="7"/>
  <c r="P1411" i="7"/>
  <c r="P1412" i="7"/>
  <c r="P1413" i="7"/>
  <c r="P1414" i="7"/>
  <c r="P1415" i="7"/>
  <c r="P1416" i="7"/>
  <c r="P1417" i="7"/>
  <c r="P1418" i="7"/>
  <c r="P1419" i="7"/>
  <c r="P1420" i="7"/>
  <c r="P1421" i="7"/>
  <c r="P1422" i="7"/>
  <c r="P1423" i="7"/>
  <c r="P1424" i="7"/>
  <c r="P1425" i="7"/>
  <c r="P1426" i="7"/>
  <c r="P1427" i="7"/>
  <c r="P1428" i="7"/>
  <c r="P1429" i="7"/>
  <c r="P1430" i="7"/>
  <c r="P1431" i="7"/>
  <c r="P1432" i="7"/>
  <c r="P1433" i="7"/>
  <c r="P1434" i="7"/>
  <c r="P1435" i="7"/>
  <c r="P1436" i="7"/>
  <c r="P1437" i="7"/>
  <c r="P1438" i="7"/>
  <c r="P1439" i="7"/>
  <c r="P1440" i="7"/>
  <c r="P1441" i="7"/>
  <c r="P1442" i="7"/>
  <c r="P1443" i="7"/>
  <c r="P1444" i="7"/>
  <c r="P1445" i="7"/>
  <c r="P1446" i="7"/>
  <c r="P1447" i="7"/>
  <c r="P1448" i="7"/>
  <c r="P1449" i="7"/>
  <c r="P1450" i="7"/>
  <c r="P1451" i="7"/>
  <c r="P1452" i="7"/>
  <c r="P1453" i="7"/>
  <c r="P1454" i="7"/>
  <c r="P1455" i="7"/>
  <c r="P1456" i="7"/>
  <c r="P1457" i="7"/>
  <c r="P1458" i="7"/>
  <c r="P1459" i="7"/>
  <c r="P1460" i="7"/>
  <c r="P1461" i="7"/>
  <c r="P1462" i="7"/>
  <c r="P1463" i="7"/>
  <c r="P1464" i="7"/>
  <c r="P1465" i="7"/>
  <c r="P1466" i="7"/>
  <c r="P1467" i="7"/>
  <c r="P1468" i="7"/>
  <c r="P1469" i="7"/>
  <c r="P1470" i="7"/>
  <c r="P1471" i="7"/>
  <c r="P1472" i="7"/>
  <c r="P1473" i="7"/>
  <c r="P1474" i="7"/>
  <c r="P1475" i="7"/>
  <c r="P1476" i="7"/>
  <c r="P1477" i="7"/>
  <c r="P1478" i="7"/>
  <c r="P1479" i="7"/>
  <c r="P1480" i="7"/>
  <c r="P1481" i="7"/>
  <c r="P1482" i="7"/>
  <c r="P1483" i="7"/>
  <c r="P1484" i="7"/>
  <c r="P1485" i="7"/>
  <c r="P1486" i="7"/>
  <c r="P1487" i="7"/>
  <c r="P1488" i="7"/>
  <c r="P1489" i="7"/>
  <c r="P1490" i="7"/>
  <c r="M205" i="5" s="1"/>
  <c r="P1491" i="7"/>
  <c r="P1492" i="7"/>
  <c r="P1493" i="7"/>
  <c r="P1494" i="7"/>
  <c r="P1495" i="7"/>
  <c r="P1496" i="7"/>
  <c r="P1497" i="7"/>
  <c r="P1498" i="7"/>
  <c r="P1499" i="7"/>
  <c r="P1500" i="7"/>
  <c r="P1501" i="7"/>
  <c r="P1502" i="7"/>
  <c r="P1503" i="7"/>
  <c r="P1504" i="7"/>
  <c r="P1505" i="7"/>
  <c r="P1506" i="7"/>
  <c r="P1507" i="7"/>
  <c r="P1508" i="7"/>
  <c r="P1509" i="7"/>
  <c r="P1510" i="7"/>
  <c r="P1511" i="7"/>
  <c r="P1512" i="7"/>
  <c r="P1513" i="7"/>
  <c r="P1514" i="7"/>
  <c r="P1515" i="7"/>
  <c r="P1516" i="7"/>
  <c r="P1517" i="7"/>
  <c r="P1518" i="7"/>
  <c r="P1519" i="7"/>
  <c r="P1520" i="7"/>
  <c r="P1521" i="7"/>
  <c r="P1522" i="7"/>
  <c r="P1523" i="7"/>
  <c r="P1524" i="7"/>
  <c r="P1525" i="7"/>
  <c r="P1526" i="7"/>
  <c r="P1527" i="7"/>
  <c r="P1528" i="7"/>
  <c r="P1529" i="7"/>
  <c r="P1530" i="7"/>
  <c r="P1531" i="7"/>
  <c r="P1532" i="7"/>
  <c r="P1533" i="7"/>
  <c r="P1534" i="7"/>
  <c r="P1535" i="7"/>
  <c r="P1536" i="7"/>
  <c r="P1537" i="7"/>
  <c r="P1538" i="7"/>
  <c r="P1539" i="7"/>
  <c r="P1540" i="7"/>
  <c r="P1541" i="7"/>
  <c r="P1542" i="7"/>
  <c r="P1543" i="7"/>
  <c r="P1544" i="7"/>
  <c r="P1545" i="7"/>
  <c r="P1546" i="7"/>
  <c r="P1547" i="7"/>
  <c r="P1548" i="7"/>
  <c r="P1549" i="7"/>
  <c r="P1550" i="7"/>
  <c r="P1551" i="7"/>
  <c r="P1552" i="7"/>
  <c r="P1553" i="7"/>
  <c r="P1554" i="7"/>
  <c r="P1555" i="7"/>
  <c r="P1556" i="7"/>
  <c r="P1557" i="7"/>
  <c r="P1558" i="7"/>
  <c r="P1559" i="7"/>
  <c r="P1560" i="7"/>
  <c r="P1561" i="7"/>
  <c r="P1562" i="7"/>
  <c r="P1563" i="7"/>
  <c r="P1564" i="7"/>
  <c r="P1565" i="7"/>
  <c r="P1566" i="7"/>
  <c r="P1567" i="7"/>
  <c r="P1568" i="7"/>
  <c r="P1569" i="7"/>
  <c r="P1570" i="7"/>
  <c r="P1571" i="7"/>
  <c r="P1572" i="7"/>
  <c r="P1573" i="7"/>
  <c r="P1574" i="7"/>
  <c r="P1575" i="7"/>
  <c r="P1576" i="7"/>
  <c r="P1577" i="7"/>
  <c r="P1578" i="7"/>
  <c r="P1579" i="7"/>
  <c r="P1580" i="7"/>
  <c r="M151" i="5" s="1"/>
  <c r="P1581" i="7"/>
  <c r="P1582" i="7"/>
  <c r="P1583" i="7"/>
  <c r="P1584" i="7"/>
  <c r="P1585" i="7"/>
  <c r="P1586" i="7"/>
  <c r="P1587" i="7"/>
  <c r="P1588" i="7"/>
  <c r="P1589" i="7"/>
  <c r="P1590" i="7"/>
  <c r="P1591" i="7"/>
  <c r="P1592" i="7"/>
  <c r="P1593" i="7"/>
  <c r="P1594" i="7"/>
  <c r="P1595" i="7"/>
  <c r="P1596" i="7"/>
  <c r="P1597" i="7"/>
  <c r="P1598" i="7"/>
  <c r="P1599" i="7"/>
  <c r="P1600" i="7"/>
  <c r="P1601" i="7"/>
  <c r="P1602" i="7"/>
  <c r="P1603" i="7"/>
  <c r="P1604" i="7"/>
  <c r="P1605" i="7"/>
  <c r="P1606" i="7"/>
  <c r="P1607" i="7"/>
  <c r="P1608" i="7"/>
  <c r="P1609" i="7"/>
  <c r="P1610" i="7"/>
  <c r="P1611" i="7"/>
  <c r="P1612" i="7"/>
  <c r="P1613" i="7"/>
  <c r="P1614" i="7"/>
  <c r="P1615" i="7"/>
  <c r="P1616" i="7"/>
  <c r="P1617" i="7"/>
  <c r="P1618" i="7"/>
  <c r="P1619" i="7"/>
  <c r="P1620" i="7"/>
  <c r="P1621" i="7"/>
  <c r="P1622" i="7"/>
  <c r="P1623" i="7"/>
  <c r="P1624" i="7"/>
  <c r="P1625" i="7"/>
  <c r="P1626" i="7"/>
  <c r="P1627" i="7"/>
  <c r="P1628" i="7"/>
  <c r="P1629" i="7"/>
  <c r="P1630" i="7"/>
  <c r="P1631" i="7"/>
  <c r="P1632" i="7"/>
  <c r="P1633" i="7"/>
  <c r="P1634" i="7"/>
  <c r="P1635" i="7"/>
  <c r="P1636" i="7"/>
  <c r="P1637" i="7"/>
  <c r="P1638" i="7"/>
  <c r="P1639" i="7"/>
  <c r="P1640" i="7"/>
  <c r="P1641" i="7"/>
  <c r="P1642" i="7"/>
  <c r="P1643" i="7"/>
  <c r="P1644" i="7"/>
  <c r="P1645" i="7"/>
  <c r="P1646" i="7"/>
  <c r="P1647" i="7"/>
  <c r="P1648" i="7"/>
  <c r="P1649" i="7"/>
  <c r="P1650" i="7"/>
  <c r="P1651" i="7"/>
  <c r="P1652" i="7"/>
  <c r="P1653" i="7"/>
  <c r="P1654" i="7"/>
  <c r="P1655" i="7"/>
  <c r="P1656" i="7"/>
  <c r="P1657" i="7"/>
  <c r="P1658" i="7"/>
  <c r="P1659" i="7"/>
  <c r="P1660" i="7"/>
  <c r="P1661" i="7"/>
  <c r="P1662" i="7"/>
  <c r="P1663" i="7"/>
  <c r="P1664" i="7"/>
  <c r="P1665" i="7"/>
  <c r="P1666" i="7"/>
  <c r="P1667" i="7"/>
  <c r="P1668" i="7"/>
  <c r="P1669" i="7"/>
  <c r="P1670" i="7"/>
  <c r="P1671" i="7"/>
  <c r="P1672" i="7"/>
  <c r="P1673" i="7"/>
  <c r="P1674" i="7"/>
  <c r="P1675" i="7"/>
  <c r="P1676" i="7"/>
  <c r="P1677" i="7"/>
  <c r="P1678" i="7"/>
  <c r="P1679" i="7"/>
  <c r="P1680" i="7"/>
  <c r="P1681" i="7"/>
  <c r="P1682" i="7"/>
  <c r="P1683" i="7"/>
  <c r="P1684" i="7"/>
  <c r="P1685" i="7"/>
  <c r="P1686" i="7"/>
  <c r="P1687" i="7"/>
  <c r="P1688" i="7"/>
  <c r="P1689" i="7"/>
  <c r="P1690" i="7"/>
  <c r="P1691" i="7"/>
  <c r="P1692" i="7"/>
  <c r="P1693" i="7"/>
  <c r="P1694" i="7"/>
  <c r="P1695" i="7"/>
  <c r="P1696" i="7"/>
  <c r="P1697" i="7"/>
  <c r="P1698" i="7"/>
  <c r="P1699" i="7"/>
  <c r="P1700" i="7"/>
  <c r="P1701" i="7"/>
  <c r="P1702" i="7"/>
  <c r="P1703" i="7"/>
  <c r="P1704" i="7"/>
  <c r="P1705" i="7"/>
  <c r="P1706" i="7"/>
  <c r="P1707" i="7"/>
  <c r="P1708" i="7"/>
  <c r="P1709" i="7"/>
  <c r="P1710" i="7"/>
  <c r="P1711" i="7"/>
  <c r="P1712" i="7"/>
  <c r="P1713" i="7"/>
  <c r="P1714" i="7"/>
  <c r="P1715" i="7"/>
  <c r="P1716" i="7"/>
  <c r="P1717" i="7"/>
  <c r="P1718" i="7"/>
  <c r="P1719" i="7"/>
  <c r="P1720" i="7"/>
  <c r="P1721" i="7"/>
  <c r="P1722" i="7"/>
  <c r="P1723" i="7"/>
  <c r="P1724" i="7"/>
  <c r="P1725" i="7"/>
  <c r="P1726" i="7"/>
  <c r="P1727" i="7"/>
  <c r="P1728" i="7"/>
  <c r="P1729" i="7"/>
  <c r="P1730" i="7"/>
  <c r="P1731" i="7"/>
  <c r="P1732" i="7"/>
  <c r="P1733" i="7"/>
  <c r="P1734" i="7"/>
  <c r="P1735" i="7"/>
  <c r="P1736" i="7"/>
  <c r="P1737" i="7"/>
  <c r="P1738" i="7"/>
  <c r="P1739" i="7"/>
  <c r="P1740" i="7"/>
  <c r="P1741" i="7"/>
  <c r="P1742" i="7"/>
  <c r="P1743" i="7"/>
  <c r="P1744" i="7"/>
  <c r="P1745" i="7"/>
  <c r="P1746" i="7"/>
  <c r="P1747" i="7"/>
  <c r="P1748" i="7"/>
  <c r="P1749" i="7"/>
  <c r="P1750" i="7"/>
  <c r="P1751" i="7"/>
  <c r="P1752" i="7"/>
  <c r="P1753" i="7"/>
  <c r="P1754" i="7"/>
  <c r="P1755" i="7"/>
  <c r="P1756" i="7"/>
  <c r="P1757" i="7"/>
  <c r="P1758" i="7"/>
  <c r="P1759" i="7"/>
  <c r="P1760" i="7"/>
  <c r="P1761" i="7"/>
  <c r="P1762" i="7"/>
  <c r="P1763" i="7"/>
  <c r="P1764" i="7"/>
  <c r="P1765" i="7"/>
  <c r="P1766" i="7"/>
  <c r="P1767" i="7"/>
  <c r="P1768" i="7"/>
  <c r="P1769" i="7"/>
  <c r="P1770" i="7"/>
  <c r="P1771" i="7"/>
  <c r="P1772" i="7"/>
  <c r="P1773" i="7"/>
  <c r="P1774" i="7"/>
  <c r="P1775" i="7"/>
  <c r="P1776" i="7"/>
  <c r="P1777" i="7"/>
  <c r="P1778" i="7"/>
  <c r="P1779" i="7"/>
  <c r="P1780" i="7"/>
  <c r="P1781" i="7"/>
  <c r="P1782" i="7"/>
  <c r="P1783" i="7"/>
  <c r="P1784" i="7"/>
  <c r="P1785" i="7"/>
  <c r="P1786" i="7"/>
  <c r="P1787" i="7"/>
  <c r="P1788" i="7"/>
  <c r="P1789" i="7"/>
  <c r="P1790" i="7"/>
  <c r="P1791" i="7"/>
  <c r="P1792" i="7"/>
  <c r="P1793" i="7"/>
  <c r="P1794" i="7"/>
  <c r="P1795" i="7"/>
  <c r="P1796" i="7"/>
  <c r="P1797" i="7"/>
  <c r="P1798" i="7"/>
  <c r="P1799" i="7"/>
  <c r="P1800" i="7"/>
  <c r="P1801" i="7"/>
  <c r="P1802" i="7"/>
  <c r="P1803" i="7"/>
  <c r="P1804" i="7"/>
  <c r="P1805" i="7"/>
  <c r="P1806" i="7"/>
  <c r="P1807" i="7"/>
  <c r="P1808" i="7"/>
  <c r="P1809" i="7"/>
  <c r="P1810" i="7"/>
  <c r="P1811" i="7"/>
  <c r="P1812" i="7"/>
  <c r="P1813" i="7"/>
  <c r="P1814" i="7"/>
  <c r="P1815" i="7"/>
  <c r="P1816" i="7"/>
  <c r="P1817" i="7"/>
  <c r="P1818" i="7"/>
  <c r="P1819" i="7"/>
  <c r="P1820" i="7"/>
  <c r="P1821" i="7"/>
  <c r="P1822" i="7"/>
  <c r="P1823" i="7"/>
  <c r="P1824" i="7"/>
  <c r="P1825" i="7"/>
  <c r="P1826" i="7"/>
  <c r="P1827" i="7"/>
  <c r="P1828" i="7"/>
  <c r="P1829" i="7"/>
  <c r="P1830" i="7"/>
  <c r="P1831" i="7"/>
  <c r="P1832" i="7"/>
  <c r="P1833" i="7"/>
  <c r="P1834" i="7"/>
  <c r="P1835" i="7"/>
  <c r="P1836" i="7"/>
  <c r="P1837" i="7"/>
  <c r="P1838" i="7"/>
  <c r="P1839" i="7"/>
  <c r="P1840" i="7"/>
  <c r="P1841" i="7"/>
  <c r="P1842" i="7"/>
  <c r="P1843" i="7"/>
  <c r="P1844" i="7"/>
  <c r="P1845" i="7"/>
  <c r="P1846" i="7"/>
  <c r="P1847" i="7"/>
  <c r="P1848" i="7"/>
  <c r="P1849" i="7"/>
  <c r="P1850" i="7"/>
  <c r="P1851" i="7"/>
  <c r="P1852" i="7"/>
  <c r="P1853" i="7"/>
  <c r="P1854" i="7"/>
  <c r="P1855" i="7"/>
  <c r="P1856" i="7"/>
  <c r="P1857" i="7"/>
  <c r="P1858" i="7"/>
  <c r="P1859" i="7"/>
  <c r="P1860" i="7"/>
  <c r="P1861" i="7"/>
  <c r="P1862" i="7"/>
  <c r="P1863" i="7"/>
  <c r="P1864" i="7"/>
  <c r="P1865" i="7"/>
  <c r="P1866" i="7"/>
  <c r="P1867" i="7"/>
  <c r="P1868" i="7"/>
  <c r="P1869" i="7"/>
  <c r="P1870" i="7"/>
  <c r="P1871" i="7"/>
  <c r="P1872" i="7"/>
  <c r="P1873" i="7"/>
  <c r="P1874" i="7"/>
  <c r="P1875" i="7"/>
  <c r="P1876" i="7"/>
  <c r="P1877" i="7"/>
  <c r="P1878" i="7"/>
  <c r="P1879" i="7"/>
  <c r="P1880" i="7"/>
  <c r="P1881" i="7"/>
  <c r="P1882" i="7"/>
  <c r="P1883" i="7"/>
  <c r="P1884" i="7"/>
  <c r="P1885" i="7"/>
  <c r="P1886" i="7"/>
  <c r="P1887" i="7"/>
  <c r="P1888" i="7"/>
  <c r="P1889" i="7"/>
  <c r="P1890" i="7"/>
  <c r="P1891" i="7"/>
  <c r="P1892" i="7"/>
  <c r="P1893" i="7"/>
  <c r="P1894" i="7"/>
  <c r="P1895" i="7"/>
  <c r="P1896" i="7"/>
  <c r="P1897" i="7"/>
  <c r="P1898" i="7"/>
  <c r="P1899" i="7"/>
  <c r="P1900" i="7"/>
  <c r="P1901" i="7"/>
  <c r="P1902" i="7"/>
  <c r="P1903" i="7"/>
  <c r="P1904" i="7"/>
  <c r="P1905" i="7"/>
  <c r="P1906" i="7"/>
  <c r="P1907" i="7"/>
  <c r="P1908" i="7"/>
  <c r="P1909" i="7"/>
  <c r="P1910" i="7"/>
  <c r="P1911" i="7"/>
  <c r="P1912" i="7"/>
  <c r="P1913" i="7"/>
  <c r="P1914" i="7"/>
  <c r="P1915" i="7"/>
  <c r="P1916" i="7"/>
  <c r="P1917" i="7"/>
  <c r="P1918" i="7"/>
  <c r="P1919" i="7"/>
  <c r="P1920" i="7"/>
  <c r="P1921" i="7"/>
  <c r="P1922" i="7"/>
  <c r="P1923" i="7"/>
  <c r="P1924" i="7"/>
  <c r="P1925" i="7"/>
  <c r="P1926" i="7"/>
  <c r="P1927" i="7"/>
  <c r="P1928" i="7"/>
  <c r="P1929" i="7"/>
  <c r="P1930" i="7"/>
  <c r="P1931" i="7"/>
  <c r="P1932" i="7"/>
  <c r="P1933" i="7"/>
  <c r="P1934" i="7"/>
  <c r="P1935" i="7"/>
  <c r="P1936" i="7"/>
  <c r="P1937" i="7"/>
  <c r="P1938" i="7"/>
  <c r="P1939" i="7"/>
  <c r="P1940" i="7"/>
  <c r="P1941" i="7"/>
  <c r="P1942" i="7"/>
  <c r="P1943" i="7"/>
  <c r="P1944" i="7"/>
  <c r="P1945" i="7"/>
  <c r="P1946" i="7"/>
  <c r="P1947" i="7"/>
  <c r="P1948" i="7"/>
  <c r="P1949" i="7"/>
  <c r="P1950" i="7"/>
  <c r="P1951" i="7"/>
  <c r="P1952" i="7"/>
  <c r="P1953" i="7"/>
  <c r="P1954" i="7"/>
  <c r="P1955" i="7"/>
  <c r="P1956" i="7"/>
  <c r="P1957" i="7"/>
  <c r="P1958" i="7"/>
  <c r="P1959" i="7"/>
  <c r="P1960" i="7"/>
  <c r="P1961" i="7"/>
  <c r="P1962" i="7"/>
  <c r="P1963" i="7"/>
  <c r="P1964" i="7"/>
  <c r="P1965" i="7"/>
  <c r="P1966" i="7"/>
  <c r="P1967" i="7"/>
  <c r="P1968" i="7"/>
  <c r="P1969" i="7"/>
  <c r="P1970" i="7"/>
  <c r="P1971" i="7"/>
  <c r="P1972" i="7"/>
  <c r="P1973" i="7"/>
  <c r="P1974" i="7"/>
  <c r="P1975" i="7"/>
  <c r="P1976" i="7"/>
  <c r="P1977" i="7"/>
  <c r="P1978" i="7"/>
  <c r="P1979" i="7"/>
  <c r="P1980" i="7"/>
  <c r="P1981" i="7"/>
  <c r="P1982" i="7"/>
  <c r="P1983" i="7"/>
  <c r="P1984" i="7"/>
  <c r="P1985" i="7"/>
  <c r="P1986" i="7"/>
  <c r="P1987" i="7"/>
  <c r="P1988" i="7"/>
  <c r="P1989" i="7"/>
  <c r="P1990" i="7"/>
  <c r="P1991" i="7"/>
  <c r="P1992" i="7"/>
  <c r="P1993" i="7"/>
  <c r="P1994" i="7"/>
  <c r="P1995" i="7"/>
  <c r="P1996" i="7"/>
  <c r="P1997" i="7"/>
  <c r="P1998" i="7"/>
  <c r="P1999" i="7"/>
  <c r="P2000" i="7"/>
  <c r="P2001" i="7"/>
  <c r="P2002" i="7"/>
  <c r="P2003" i="7"/>
  <c r="P2004" i="7"/>
  <c r="P2005" i="7"/>
  <c r="P2006" i="7"/>
  <c r="P2007" i="7"/>
  <c r="P2008" i="7"/>
  <c r="P2009" i="7"/>
  <c r="P2010" i="7"/>
  <c r="P2011" i="7"/>
  <c r="P2012" i="7"/>
  <c r="P2013" i="7"/>
  <c r="P2014" i="7"/>
  <c r="P2015" i="7"/>
  <c r="P2016" i="7"/>
  <c r="P2017" i="7"/>
  <c r="P2018" i="7"/>
  <c r="P2019" i="7"/>
  <c r="P2020" i="7"/>
  <c r="P2021" i="7"/>
  <c r="P2022" i="7"/>
  <c r="P2023" i="7"/>
  <c r="P2024" i="7"/>
  <c r="P2025" i="7"/>
  <c r="P2026" i="7"/>
  <c r="P2027" i="7"/>
  <c r="P2028" i="7"/>
  <c r="P2029" i="7"/>
  <c r="P2030" i="7"/>
  <c r="P2031" i="7"/>
  <c r="P2032" i="7"/>
  <c r="P2033" i="7"/>
  <c r="P2034" i="7"/>
  <c r="P2035" i="7"/>
  <c r="P2036" i="7"/>
  <c r="P2037" i="7"/>
  <c r="P2038" i="7"/>
  <c r="P2039" i="7"/>
  <c r="P2040" i="7"/>
  <c r="P2041" i="7"/>
  <c r="P2042" i="7"/>
  <c r="P2043" i="7"/>
  <c r="P2044" i="7"/>
  <c r="P2045" i="7"/>
  <c r="P2046" i="7"/>
  <c r="P2047" i="7"/>
  <c r="P2048" i="7"/>
  <c r="P2049" i="7"/>
  <c r="P2050" i="7"/>
  <c r="P2051" i="7"/>
  <c r="P2052" i="7"/>
  <c r="P2053" i="7"/>
  <c r="P2054" i="7"/>
  <c r="P2055" i="7"/>
  <c r="P2056" i="7"/>
  <c r="P2057" i="7"/>
  <c r="P2058" i="7"/>
  <c r="P2059" i="7"/>
  <c r="P2060" i="7"/>
  <c r="P2061" i="7"/>
  <c r="P2062" i="7"/>
  <c r="P2063" i="7"/>
  <c r="P2064" i="7"/>
  <c r="P2065" i="7"/>
  <c r="P2066" i="7"/>
  <c r="P2067" i="7"/>
  <c r="P2068" i="7"/>
  <c r="P2069" i="7"/>
  <c r="P2070" i="7"/>
  <c r="P2071" i="7"/>
  <c r="P2072" i="7"/>
  <c r="P2073" i="7"/>
  <c r="P2074" i="7"/>
  <c r="P2075" i="7"/>
  <c r="P2076" i="7"/>
  <c r="P2077" i="7"/>
  <c r="P2078" i="7"/>
  <c r="P2079" i="7"/>
  <c r="P2080" i="7"/>
  <c r="P2081" i="7"/>
  <c r="P2082" i="7"/>
  <c r="P2083" i="7"/>
  <c r="P2084" i="7"/>
  <c r="P2085" i="7"/>
  <c r="P2086" i="7"/>
  <c r="P2087" i="7"/>
  <c r="P2088" i="7"/>
  <c r="P2089" i="7"/>
  <c r="P2090" i="7"/>
  <c r="P2091" i="7"/>
  <c r="P2092" i="7"/>
  <c r="P2093" i="7"/>
  <c r="P2094" i="7"/>
  <c r="P2095" i="7"/>
  <c r="P2096" i="7"/>
  <c r="P2097" i="7"/>
  <c r="P2098" i="7"/>
  <c r="P2099" i="7"/>
  <c r="P2100" i="7"/>
  <c r="P2101" i="7"/>
  <c r="P2102" i="7"/>
  <c r="P2103" i="7"/>
  <c r="P2104" i="7"/>
  <c r="P2105" i="7"/>
  <c r="P2106" i="7"/>
  <c r="P2107" i="7"/>
  <c r="P2108" i="7"/>
  <c r="P2109" i="7"/>
  <c r="P2110" i="7"/>
  <c r="P2111" i="7"/>
  <c r="P2112" i="7"/>
  <c r="P2113" i="7"/>
  <c r="P2114" i="7"/>
  <c r="P2115" i="7"/>
  <c r="P2116" i="7"/>
  <c r="P2117" i="7"/>
  <c r="P2118" i="7"/>
  <c r="P2119" i="7"/>
  <c r="P2120" i="7"/>
  <c r="P2121" i="7"/>
  <c r="P2122" i="7"/>
  <c r="P2123" i="7"/>
  <c r="P2124" i="7"/>
  <c r="P2125" i="7"/>
  <c r="P2126" i="7"/>
  <c r="P2127" i="7"/>
  <c r="P2128" i="7"/>
  <c r="P2129" i="7"/>
  <c r="P2130" i="7"/>
  <c r="P2131" i="7"/>
  <c r="P2132" i="7"/>
  <c r="P2133" i="7"/>
  <c r="P2134" i="7"/>
  <c r="P2135" i="7"/>
  <c r="P2136" i="7"/>
  <c r="P2137" i="7"/>
  <c r="P2138" i="7"/>
  <c r="P2139" i="7"/>
  <c r="P2140" i="7"/>
  <c r="P2141" i="7"/>
  <c r="P2142" i="7"/>
  <c r="P2143" i="7"/>
  <c r="P2144" i="7"/>
  <c r="P2145" i="7"/>
  <c r="P2146" i="7"/>
  <c r="P2147" i="7"/>
  <c r="P2148" i="7"/>
  <c r="P2149" i="7"/>
  <c r="P2150" i="7"/>
  <c r="P2151" i="7"/>
  <c r="P2152" i="7"/>
  <c r="P2153" i="7"/>
  <c r="P2154" i="7"/>
  <c r="P2155" i="7"/>
  <c r="P2156" i="7"/>
  <c r="P2157" i="7"/>
  <c r="P2158" i="7"/>
  <c r="P2159" i="7"/>
  <c r="P2160" i="7"/>
  <c r="P2161" i="7"/>
  <c r="P2162" i="7"/>
  <c r="P2163" i="7"/>
  <c r="P2164" i="7"/>
  <c r="P2165" i="7"/>
  <c r="P2166" i="7"/>
  <c r="P2167" i="7"/>
  <c r="P2168" i="7"/>
  <c r="P2169" i="7"/>
  <c r="P2170" i="7"/>
  <c r="P2171" i="7"/>
  <c r="P2172" i="7"/>
  <c r="P2173" i="7"/>
  <c r="P2174" i="7"/>
  <c r="P2175" i="7"/>
  <c r="P2176" i="7"/>
  <c r="P2177" i="7"/>
  <c r="P2178" i="7"/>
  <c r="P2179" i="7"/>
  <c r="P2180" i="7"/>
  <c r="P2181" i="7"/>
  <c r="P2182" i="7"/>
  <c r="P2183" i="7"/>
  <c r="P2184" i="7"/>
  <c r="P2185" i="7"/>
  <c r="P2186" i="7"/>
  <c r="P2187" i="7"/>
  <c r="P2188" i="7"/>
  <c r="P2189" i="7"/>
  <c r="P2190" i="7"/>
  <c r="P2191" i="7"/>
  <c r="P2192" i="7"/>
  <c r="P2193" i="7"/>
  <c r="P2194" i="7"/>
  <c r="P2195" i="7"/>
  <c r="P2196" i="7"/>
  <c r="P2197" i="7"/>
  <c r="P2198" i="7"/>
  <c r="P2199" i="7"/>
  <c r="P2200" i="7"/>
  <c r="M272" i="5" s="1"/>
  <c r="P2201" i="7"/>
  <c r="P2202" i="7"/>
  <c r="P2203" i="7"/>
  <c r="P2204" i="7"/>
  <c r="P2205" i="7"/>
  <c r="P2206" i="7"/>
  <c r="P2207" i="7"/>
  <c r="P2208" i="7"/>
  <c r="P2209" i="7"/>
  <c r="P2210" i="7"/>
  <c r="P2211" i="7"/>
  <c r="P2212" i="7"/>
  <c r="P2213" i="7"/>
  <c r="P2214" i="7"/>
  <c r="P2215" i="7"/>
  <c r="P2216" i="7"/>
  <c r="P2217" i="7"/>
  <c r="P2218" i="7"/>
  <c r="P2219" i="7"/>
  <c r="P2220" i="7"/>
  <c r="P2221" i="7"/>
  <c r="P2222" i="7"/>
  <c r="P2223" i="7"/>
  <c r="P2224" i="7"/>
  <c r="P2225" i="7"/>
  <c r="P2226" i="7"/>
  <c r="P2227" i="7"/>
  <c r="P2228" i="7"/>
  <c r="P2229" i="7"/>
  <c r="P2230" i="7"/>
  <c r="P2231" i="7"/>
  <c r="P2232" i="7"/>
  <c r="P2233" i="7"/>
  <c r="P2234" i="7"/>
  <c r="P2235" i="7"/>
  <c r="P2236" i="7"/>
  <c r="P2237" i="7"/>
  <c r="P2238" i="7"/>
  <c r="P2239" i="7"/>
  <c r="P2240" i="7"/>
  <c r="P2241" i="7"/>
  <c r="P2242" i="7"/>
  <c r="P2243" i="7"/>
  <c r="P2244" i="7"/>
  <c r="P2245" i="7"/>
  <c r="P2246" i="7"/>
  <c r="P2247" i="7"/>
  <c r="P2248" i="7"/>
  <c r="P2249" i="7"/>
  <c r="P2250" i="7"/>
  <c r="P2251" i="7"/>
  <c r="P2252" i="7"/>
  <c r="P2253" i="7"/>
  <c r="P2254" i="7"/>
  <c r="P2255" i="7"/>
  <c r="P2256" i="7"/>
  <c r="P2257" i="7"/>
  <c r="P2258" i="7"/>
  <c r="P2259" i="7"/>
  <c r="P2260" i="7"/>
  <c r="P2261" i="7"/>
  <c r="P2262" i="7"/>
  <c r="M199" i="5" s="1"/>
  <c r="P2263" i="7"/>
  <c r="P2264" i="7"/>
  <c r="P2265" i="7"/>
  <c r="P2266" i="7"/>
  <c r="P2267" i="7"/>
  <c r="P2268" i="7"/>
  <c r="P2269" i="7"/>
  <c r="P2270" i="7"/>
  <c r="P2271" i="7"/>
  <c r="P2272" i="7"/>
  <c r="P2273" i="7"/>
  <c r="P2274" i="7"/>
  <c r="P2275" i="7"/>
  <c r="P2276" i="7"/>
  <c r="P2277" i="7"/>
  <c r="P2278" i="7"/>
  <c r="P2279" i="7"/>
  <c r="P2280" i="7"/>
  <c r="P2281" i="7"/>
  <c r="P2282" i="7"/>
  <c r="P2283" i="7"/>
  <c r="P2284" i="7"/>
  <c r="P2285" i="7"/>
  <c r="P2286" i="7"/>
  <c r="P2287" i="7"/>
  <c r="P2288" i="7"/>
  <c r="P2289" i="7"/>
  <c r="P2290" i="7"/>
  <c r="P2291" i="7"/>
  <c r="P2292" i="7"/>
  <c r="P2293" i="7"/>
  <c r="P2294" i="7"/>
  <c r="P2295" i="7"/>
  <c r="P2296" i="7"/>
  <c r="P2297" i="7"/>
  <c r="P2298" i="7"/>
  <c r="P2299" i="7"/>
  <c r="P2300" i="7"/>
  <c r="P2301" i="7"/>
  <c r="P2302" i="7"/>
  <c r="P2303" i="7"/>
  <c r="P2304" i="7"/>
  <c r="P2305" i="7"/>
  <c r="P2306" i="7"/>
  <c r="P2307" i="7"/>
  <c r="P2308" i="7"/>
  <c r="P2309" i="7"/>
  <c r="P2310" i="7"/>
  <c r="P2311" i="7"/>
  <c r="P2312" i="7"/>
  <c r="P2313" i="7"/>
  <c r="P2314" i="7"/>
  <c r="P2315" i="7"/>
  <c r="P2316" i="7"/>
  <c r="P2317" i="7"/>
  <c r="P2318" i="7"/>
  <c r="P2319" i="7"/>
  <c r="P2320" i="7"/>
  <c r="P2321" i="7"/>
  <c r="P2322" i="7"/>
  <c r="P2323" i="7"/>
  <c r="P2324" i="7"/>
  <c r="P2325" i="7"/>
  <c r="P2326" i="7"/>
  <c r="P2327" i="7"/>
  <c r="P2328" i="7"/>
  <c r="P2329" i="7"/>
  <c r="P2330" i="7"/>
  <c r="P2331" i="7"/>
  <c r="P2332" i="7"/>
  <c r="P2333" i="7"/>
  <c r="P2334" i="7"/>
  <c r="P2335" i="7"/>
  <c r="P2336" i="7"/>
  <c r="P2337" i="7"/>
  <c r="P2338" i="7"/>
  <c r="P2339" i="7"/>
  <c r="P2340" i="7"/>
  <c r="P2341" i="7"/>
  <c r="P2342" i="7"/>
  <c r="P2343" i="7"/>
  <c r="P2344" i="7"/>
  <c r="P2345" i="7"/>
  <c r="P2346" i="7"/>
  <c r="P2347" i="7"/>
  <c r="P2348" i="7"/>
  <c r="P2349" i="7"/>
  <c r="P2350" i="7"/>
  <c r="P2351" i="7"/>
  <c r="P2352" i="7"/>
  <c r="P2353" i="7"/>
  <c r="P2354" i="7"/>
  <c r="P2355" i="7"/>
  <c r="P2356" i="7"/>
  <c r="P2357" i="7"/>
  <c r="P2358" i="7"/>
  <c r="P2359" i="7"/>
  <c r="P2360" i="7"/>
  <c r="P2361" i="7"/>
  <c r="P2362" i="7"/>
  <c r="P2363" i="7"/>
  <c r="P2364" i="7"/>
  <c r="P2365" i="7"/>
  <c r="P2366" i="7"/>
  <c r="P2367" i="7"/>
  <c r="P2368" i="7"/>
  <c r="P2369" i="7"/>
  <c r="P2370" i="7"/>
  <c r="P2371" i="7"/>
  <c r="P2372" i="7"/>
  <c r="P2373" i="7"/>
  <c r="P2374" i="7"/>
  <c r="P2375" i="7"/>
  <c r="P2376" i="7"/>
  <c r="P2377" i="7"/>
  <c r="P2378" i="7"/>
  <c r="P2379" i="7"/>
  <c r="P2380" i="7"/>
  <c r="P2381" i="7"/>
  <c r="P2382" i="7"/>
  <c r="P2383" i="7"/>
  <c r="P2384" i="7"/>
  <c r="P2385" i="7"/>
  <c r="P2386" i="7"/>
  <c r="P2387" i="7"/>
  <c r="P2388" i="7"/>
  <c r="P2389" i="7"/>
  <c r="P2390" i="7"/>
  <c r="P2391" i="7"/>
  <c r="P2392" i="7"/>
  <c r="P2393" i="7"/>
  <c r="P2394" i="7"/>
  <c r="P2395" i="7"/>
  <c r="P2396" i="7"/>
  <c r="P2397" i="7"/>
  <c r="P2398" i="7"/>
  <c r="P2399" i="7"/>
  <c r="P2400" i="7"/>
  <c r="P2401" i="7"/>
  <c r="P2402" i="7"/>
  <c r="P2403" i="7"/>
  <c r="P2404" i="7"/>
  <c r="P2405" i="7"/>
  <c r="P2406" i="7"/>
  <c r="P2407" i="7"/>
  <c r="P2408" i="7"/>
  <c r="P2409" i="7"/>
  <c r="P2410" i="7"/>
  <c r="P2411" i="7"/>
  <c r="P2412" i="7"/>
  <c r="P2413" i="7"/>
  <c r="P2414" i="7"/>
  <c r="P2415" i="7"/>
  <c r="P2416" i="7"/>
  <c r="P2417" i="7"/>
  <c r="P2418" i="7"/>
  <c r="P2419" i="7"/>
  <c r="P2420" i="7"/>
  <c r="P2421" i="7"/>
  <c r="P2422" i="7"/>
  <c r="P2423" i="7"/>
  <c r="P2424" i="7"/>
  <c r="P2425" i="7"/>
  <c r="P2426" i="7"/>
  <c r="P2427" i="7"/>
  <c r="P2428" i="7"/>
  <c r="P2429" i="7"/>
  <c r="P2430" i="7"/>
  <c r="P2431" i="7"/>
  <c r="P2432" i="7"/>
  <c r="P2433" i="7"/>
  <c r="P2434" i="7"/>
  <c r="P2435" i="7"/>
  <c r="P2436" i="7"/>
  <c r="P2437" i="7"/>
  <c r="P2438" i="7"/>
  <c r="P2439" i="7"/>
  <c r="P2440" i="7"/>
  <c r="P2441" i="7"/>
  <c r="P2442" i="7"/>
  <c r="P2443" i="7"/>
  <c r="P2444" i="7"/>
  <c r="P2445" i="7"/>
  <c r="P2446" i="7"/>
  <c r="P2447" i="7"/>
  <c r="P2448" i="7"/>
  <c r="P2449" i="7"/>
  <c r="P2450" i="7"/>
  <c r="P2451" i="7"/>
  <c r="P2452" i="7"/>
  <c r="P2453" i="7"/>
  <c r="P2454" i="7"/>
  <c r="P2455" i="7"/>
  <c r="P2456" i="7"/>
  <c r="P2457" i="7"/>
  <c r="P2458" i="7"/>
  <c r="P2459" i="7"/>
  <c r="P2460" i="7"/>
  <c r="P2461" i="7"/>
  <c r="P2462" i="7"/>
  <c r="P2463" i="7"/>
  <c r="P2464" i="7"/>
  <c r="P2465" i="7"/>
  <c r="P2466" i="7"/>
  <c r="P2467" i="7"/>
  <c r="P2468" i="7"/>
  <c r="P2469" i="7"/>
  <c r="P2470" i="7"/>
  <c r="P2471" i="7"/>
  <c r="P2472" i="7"/>
  <c r="P2473" i="7"/>
  <c r="P2474" i="7"/>
  <c r="P2475" i="7"/>
  <c r="P2476" i="7"/>
  <c r="P2477" i="7"/>
  <c r="P2478" i="7"/>
  <c r="P2479" i="7"/>
  <c r="P2480" i="7"/>
  <c r="P2481" i="7"/>
  <c r="P2482" i="7"/>
  <c r="P2483" i="7"/>
  <c r="P2484" i="7"/>
  <c r="P2485" i="7"/>
  <c r="P2486" i="7"/>
  <c r="P2487" i="7"/>
  <c r="P2488" i="7"/>
  <c r="P2489" i="7"/>
  <c r="P2490" i="7"/>
  <c r="P2491" i="7"/>
  <c r="P2492" i="7"/>
  <c r="P2493" i="7"/>
  <c r="P2494" i="7"/>
  <c r="P2495" i="7"/>
  <c r="P2496" i="7"/>
  <c r="P2497" i="7"/>
  <c r="P2498" i="7"/>
  <c r="P2499" i="7"/>
  <c r="P2500" i="7"/>
  <c r="P2501" i="7"/>
  <c r="P2502" i="7"/>
  <c r="P2503" i="7"/>
  <c r="P2504" i="7"/>
  <c r="P2505" i="7"/>
  <c r="P2506" i="7"/>
  <c r="P2507" i="7"/>
  <c r="P2508" i="7"/>
  <c r="P2509" i="7"/>
  <c r="P2510" i="7"/>
  <c r="P2511" i="7"/>
  <c r="P2512" i="7"/>
  <c r="P2513" i="7"/>
  <c r="P2514" i="7"/>
  <c r="P2515" i="7"/>
  <c r="P2516" i="7"/>
  <c r="P2517" i="7"/>
  <c r="P2518" i="7"/>
  <c r="P2519" i="7"/>
  <c r="P2520" i="7"/>
  <c r="P2521" i="7"/>
  <c r="P2522" i="7"/>
  <c r="P2523" i="7"/>
  <c r="P2524" i="7"/>
  <c r="P2525" i="7"/>
  <c r="P2526" i="7"/>
  <c r="P2527" i="7"/>
  <c r="P2528" i="7"/>
  <c r="P2529" i="7"/>
  <c r="P2530" i="7"/>
  <c r="P2531" i="7"/>
  <c r="P2532" i="7"/>
  <c r="P2533" i="7"/>
  <c r="P2534" i="7"/>
  <c r="P2535" i="7"/>
  <c r="P2536" i="7"/>
  <c r="P2537" i="7"/>
  <c r="P2538" i="7"/>
  <c r="P2539" i="7"/>
  <c r="P2540" i="7"/>
  <c r="P2541" i="7"/>
  <c r="P2542" i="7"/>
  <c r="P2543" i="7"/>
  <c r="P2544" i="7"/>
  <c r="P2545" i="7"/>
  <c r="P2546" i="7"/>
  <c r="P2547" i="7"/>
  <c r="P2548" i="7"/>
  <c r="P2549" i="7"/>
  <c r="P2550" i="7"/>
  <c r="P2551" i="7"/>
  <c r="P2552" i="7"/>
  <c r="P2553" i="7"/>
  <c r="P2554" i="7"/>
  <c r="P2555" i="7"/>
  <c r="P2556" i="7"/>
  <c r="P2557" i="7"/>
  <c r="P2558" i="7"/>
  <c r="P2559" i="7"/>
  <c r="P2560" i="7"/>
  <c r="P2561" i="7"/>
  <c r="P2562" i="7"/>
  <c r="P2563" i="7"/>
  <c r="P2564" i="7"/>
  <c r="P2565" i="7"/>
  <c r="P2566" i="7"/>
  <c r="P2567" i="7"/>
  <c r="P2568" i="7"/>
  <c r="P2569" i="7"/>
  <c r="P2570" i="7"/>
  <c r="P2571" i="7"/>
  <c r="P2572" i="7"/>
  <c r="P2573" i="7"/>
  <c r="P2574" i="7"/>
  <c r="P2575" i="7"/>
  <c r="P2576" i="7"/>
  <c r="P2577" i="7"/>
  <c r="P2578" i="7"/>
  <c r="P2579" i="7"/>
  <c r="P2580" i="7"/>
  <c r="P2581" i="7"/>
  <c r="P2582" i="7"/>
  <c r="P2583" i="7"/>
  <c r="P2584" i="7"/>
  <c r="P2585" i="7"/>
  <c r="P2586" i="7"/>
  <c r="P2587" i="7"/>
  <c r="P2588" i="7"/>
  <c r="P2589" i="7"/>
  <c r="P2590" i="7"/>
  <c r="P2591" i="7"/>
  <c r="P2592" i="7"/>
  <c r="P2593" i="7"/>
  <c r="P2594" i="7"/>
  <c r="P2595" i="7"/>
  <c r="P2596" i="7"/>
  <c r="P2597" i="7"/>
  <c r="P2598" i="7"/>
  <c r="P2599" i="7"/>
  <c r="P2600" i="7"/>
  <c r="P2601" i="7"/>
  <c r="P2602" i="7"/>
  <c r="P2603" i="7"/>
  <c r="P2604" i="7"/>
  <c r="P2605" i="7"/>
  <c r="P2606" i="7"/>
  <c r="P2607" i="7"/>
  <c r="P2608" i="7"/>
  <c r="P2609" i="7"/>
  <c r="P2610" i="7"/>
  <c r="P2611" i="7"/>
  <c r="P2612" i="7"/>
  <c r="P2613" i="7"/>
  <c r="P2614" i="7"/>
  <c r="P2615" i="7"/>
  <c r="P2616" i="7"/>
  <c r="P2617" i="7"/>
  <c r="P2618" i="7"/>
  <c r="P2619" i="7"/>
  <c r="P2620" i="7"/>
  <c r="P2621" i="7"/>
  <c r="P2622" i="7"/>
  <c r="P2623" i="7"/>
  <c r="P2624" i="7"/>
  <c r="P2625" i="7"/>
  <c r="P2626" i="7"/>
  <c r="P2627" i="7"/>
  <c r="P2628" i="7"/>
  <c r="P2629" i="7"/>
  <c r="P2630" i="7"/>
  <c r="P2631" i="7"/>
  <c r="P2632" i="7"/>
  <c r="P2633" i="7"/>
  <c r="P2634" i="7"/>
  <c r="P2635" i="7"/>
  <c r="P2636" i="7"/>
  <c r="P2637" i="7"/>
  <c r="P2638" i="7"/>
  <c r="P2639" i="7"/>
  <c r="P2640" i="7"/>
  <c r="P2641" i="7"/>
  <c r="P2642" i="7"/>
  <c r="P2643" i="7"/>
  <c r="P2644" i="7"/>
  <c r="P2645" i="7"/>
  <c r="P2646" i="7"/>
  <c r="P2647" i="7"/>
  <c r="P2648" i="7"/>
  <c r="P2649" i="7"/>
  <c r="P2650" i="7"/>
  <c r="P2651" i="7"/>
  <c r="P2652" i="7"/>
  <c r="P2653" i="7"/>
  <c r="P2654" i="7"/>
  <c r="P2655" i="7"/>
  <c r="P2656" i="7"/>
  <c r="P2657" i="7"/>
  <c r="P2658" i="7"/>
  <c r="P2659" i="7"/>
  <c r="P2660" i="7"/>
  <c r="P2661" i="7"/>
  <c r="P2662" i="7"/>
  <c r="P2663" i="7"/>
  <c r="P2664" i="7"/>
  <c r="P2665" i="7"/>
  <c r="P2666" i="7"/>
  <c r="P2667" i="7"/>
  <c r="P2668" i="7"/>
  <c r="P2669" i="7"/>
  <c r="P2670" i="7"/>
  <c r="P2671" i="7"/>
  <c r="P2672" i="7"/>
  <c r="P2673" i="7"/>
  <c r="P2674" i="7"/>
  <c r="P2675" i="7"/>
  <c r="P2676" i="7"/>
  <c r="P2677" i="7"/>
  <c r="P2678" i="7"/>
  <c r="P2679" i="7"/>
  <c r="P2680" i="7"/>
  <c r="P2681" i="7"/>
  <c r="P2682" i="7"/>
  <c r="P2683" i="7"/>
  <c r="P2684" i="7"/>
  <c r="P2685" i="7"/>
  <c r="P2686" i="7"/>
  <c r="P2687" i="7"/>
  <c r="P2688" i="7"/>
  <c r="P2689" i="7"/>
  <c r="P2690" i="7"/>
  <c r="P2691" i="7"/>
  <c r="P2692" i="7"/>
  <c r="P2693" i="7"/>
  <c r="P2694" i="7"/>
  <c r="P2695" i="7"/>
  <c r="P2696" i="7"/>
  <c r="P2697" i="7"/>
  <c r="P2698" i="7"/>
  <c r="P2699" i="7"/>
  <c r="P2700" i="7"/>
  <c r="P2701" i="7"/>
  <c r="P2702" i="7"/>
  <c r="P2703" i="7"/>
  <c r="P2704" i="7"/>
  <c r="P2705" i="7"/>
  <c r="P2706" i="7"/>
  <c r="P2707" i="7"/>
  <c r="P2708" i="7"/>
  <c r="P2709" i="7"/>
  <c r="P2710" i="7"/>
  <c r="P2711" i="7"/>
  <c r="P2712" i="7"/>
  <c r="P2713" i="7"/>
  <c r="P2714" i="7"/>
  <c r="P2715" i="7"/>
  <c r="P2716" i="7"/>
  <c r="P2717" i="7"/>
  <c r="P2718" i="7"/>
  <c r="P2719" i="7"/>
  <c r="P2720" i="7"/>
  <c r="P2721" i="7"/>
  <c r="P2722" i="7"/>
  <c r="P2723" i="7"/>
  <c r="P2724" i="7"/>
  <c r="P2725" i="7"/>
  <c r="P2726" i="7"/>
  <c r="P2727" i="7"/>
  <c r="P2728" i="7"/>
  <c r="P2729" i="7"/>
  <c r="P2730" i="7"/>
  <c r="P2731" i="7"/>
  <c r="P2732" i="7"/>
  <c r="P2733" i="7"/>
  <c r="P2734" i="7"/>
  <c r="P2735" i="7"/>
  <c r="P2736" i="7"/>
  <c r="P2737" i="7"/>
  <c r="P2738" i="7"/>
  <c r="P2739" i="7"/>
  <c r="P2740" i="7"/>
  <c r="P2741" i="7"/>
  <c r="P2742" i="7"/>
  <c r="P2743" i="7"/>
  <c r="P2744" i="7"/>
  <c r="P2745" i="7"/>
  <c r="P2746" i="7"/>
  <c r="P2747" i="7"/>
  <c r="P2748" i="7"/>
  <c r="P2749" i="7"/>
  <c r="P2750" i="7"/>
  <c r="P2751" i="7"/>
  <c r="P2752" i="7"/>
  <c r="P2753" i="7"/>
  <c r="P2754" i="7"/>
  <c r="P2755" i="7"/>
  <c r="P2756" i="7"/>
  <c r="P2757" i="7"/>
  <c r="P2758" i="7"/>
  <c r="P2759" i="7"/>
  <c r="P2760" i="7"/>
  <c r="P2761" i="7"/>
  <c r="P2762" i="7"/>
  <c r="P2763" i="7"/>
  <c r="P2764" i="7"/>
  <c r="P2765" i="7"/>
  <c r="P2766" i="7"/>
  <c r="P2767" i="7"/>
  <c r="P2768" i="7"/>
  <c r="P2769" i="7"/>
  <c r="P2770" i="7"/>
  <c r="P2771" i="7"/>
  <c r="P2772" i="7"/>
  <c r="P2773" i="7"/>
  <c r="P2774" i="7"/>
  <c r="P2775" i="7"/>
  <c r="P2776" i="7"/>
  <c r="P2777" i="7"/>
  <c r="P2778" i="7"/>
  <c r="P2779" i="7"/>
  <c r="P2780" i="7"/>
  <c r="P2781" i="7"/>
  <c r="P2782" i="7"/>
  <c r="P2783" i="7"/>
  <c r="P2784" i="7"/>
  <c r="P2785" i="7"/>
  <c r="P2786" i="7"/>
  <c r="P2787" i="7"/>
  <c r="P2788" i="7"/>
  <c r="P2789" i="7"/>
  <c r="P2790" i="7"/>
  <c r="P2791" i="7"/>
  <c r="P2792" i="7"/>
  <c r="P2793" i="7"/>
  <c r="P2794" i="7"/>
  <c r="P2795" i="7"/>
  <c r="P2796" i="7"/>
  <c r="P2797" i="7"/>
  <c r="P2798" i="7"/>
  <c r="P2799" i="7"/>
  <c r="P2800" i="7"/>
  <c r="P2801" i="7"/>
  <c r="P2802" i="7"/>
  <c r="P2803" i="7"/>
  <c r="P2804" i="7"/>
  <c r="P2805" i="7"/>
  <c r="P2806" i="7"/>
  <c r="P2807" i="7"/>
  <c r="P2808" i="7"/>
  <c r="P2809" i="7"/>
  <c r="P2810" i="7"/>
  <c r="P2811" i="7"/>
  <c r="P2812" i="7"/>
  <c r="P2813" i="7"/>
  <c r="P2814" i="7"/>
  <c r="P2815" i="7"/>
  <c r="P2816" i="7"/>
  <c r="P2817" i="7"/>
  <c r="P2818" i="7"/>
  <c r="P2819" i="7"/>
  <c r="P2820" i="7"/>
  <c r="P2821" i="7"/>
  <c r="P2822" i="7"/>
  <c r="P2823" i="7"/>
  <c r="P2824" i="7"/>
  <c r="P2825" i="7"/>
  <c r="P2826" i="7"/>
  <c r="P2827" i="7"/>
  <c r="P2828" i="7"/>
  <c r="P2829" i="7"/>
  <c r="P2830" i="7"/>
  <c r="P2831" i="7"/>
  <c r="P2832" i="7"/>
  <c r="P2833" i="7"/>
  <c r="P2834" i="7"/>
  <c r="P2835" i="7"/>
  <c r="P2836" i="7"/>
  <c r="P2837" i="7"/>
  <c r="P2838" i="7"/>
  <c r="P2839" i="7"/>
  <c r="P2840" i="7"/>
  <c r="P2841" i="7"/>
  <c r="P2842" i="7"/>
  <c r="P2843" i="7"/>
  <c r="P2844" i="7"/>
  <c r="P2845" i="7"/>
  <c r="P2846" i="7"/>
  <c r="P2847" i="7"/>
  <c r="P2848" i="7"/>
  <c r="P2849" i="7"/>
  <c r="P2850" i="7"/>
  <c r="P2851" i="7"/>
  <c r="P2852" i="7"/>
  <c r="P2853" i="7"/>
  <c r="P2854" i="7"/>
  <c r="P2855" i="7"/>
  <c r="P2856" i="7"/>
  <c r="P2857" i="7"/>
  <c r="P2858" i="7"/>
  <c r="P2859" i="7"/>
  <c r="P2860" i="7"/>
  <c r="P2861" i="7"/>
  <c r="P2862" i="7"/>
  <c r="P2863" i="7"/>
  <c r="P2864" i="7"/>
  <c r="P2865" i="7"/>
  <c r="P2866" i="7"/>
  <c r="P2867" i="7"/>
  <c r="P2868" i="7"/>
  <c r="P2869" i="7"/>
  <c r="P2870" i="7"/>
  <c r="P2871" i="7"/>
  <c r="P2872" i="7"/>
  <c r="P2873" i="7"/>
  <c r="P2874" i="7"/>
  <c r="P2875" i="7"/>
  <c r="P2876" i="7"/>
  <c r="P2877" i="7"/>
  <c r="P2878" i="7"/>
  <c r="P2879" i="7"/>
  <c r="P2880" i="7"/>
  <c r="P2881" i="7"/>
  <c r="P2882" i="7"/>
  <c r="P2883" i="7"/>
  <c r="P2884" i="7"/>
  <c r="P2885" i="7"/>
  <c r="P2886" i="7"/>
  <c r="P2887" i="7"/>
  <c r="P2888" i="7"/>
  <c r="P2889" i="7"/>
  <c r="P2890" i="7"/>
  <c r="P2891" i="7"/>
  <c r="P2892" i="7"/>
  <c r="P2893" i="7"/>
  <c r="P2894" i="7"/>
  <c r="P2895" i="7"/>
  <c r="P2896" i="7"/>
  <c r="P2897" i="7"/>
  <c r="P2898" i="7"/>
  <c r="P2899" i="7"/>
  <c r="P2900" i="7"/>
  <c r="P2901" i="7"/>
  <c r="P2902" i="7"/>
  <c r="P2903" i="7"/>
  <c r="P2904" i="7"/>
  <c r="P2905" i="7"/>
  <c r="P2906" i="7"/>
  <c r="P2907" i="7"/>
  <c r="P2908" i="7"/>
  <c r="M222" i="5" s="1"/>
  <c r="P2909" i="7"/>
  <c r="P2910" i="7"/>
  <c r="P2911" i="7"/>
  <c r="P2912" i="7"/>
  <c r="P2913" i="7"/>
  <c r="P2914" i="7"/>
  <c r="P2915" i="7"/>
  <c r="P2916" i="7"/>
  <c r="P2917" i="7"/>
  <c r="P2918" i="7"/>
  <c r="P2919" i="7"/>
  <c r="P2920" i="7"/>
  <c r="P2921" i="7"/>
  <c r="P2922" i="7"/>
  <c r="P2923" i="7"/>
  <c r="P2924" i="7"/>
  <c r="P2925" i="7"/>
  <c r="P2926" i="7"/>
  <c r="M249" i="5" s="1"/>
  <c r="P2927" i="7"/>
  <c r="P2928" i="7"/>
  <c r="P2929" i="7"/>
  <c r="P2930" i="7"/>
  <c r="P2931" i="7"/>
  <c r="P2932" i="7"/>
  <c r="P2933" i="7"/>
  <c r="P2934" i="7"/>
  <c r="P2935" i="7"/>
  <c r="P2936" i="7"/>
  <c r="P2937" i="7"/>
  <c r="P2938" i="7"/>
  <c r="P2939" i="7"/>
  <c r="P2940" i="7"/>
  <c r="P2941" i="7"/>
  <c r="P2942" i="7"/>
  <c r="P2943" i="7"/>
  <c r="P2944" i="7"/>
  <c r="P2945" i="7"/>
  <c r="P2946" i="7"/>
  <c r="P2947" i="7"/>
  <c r="P2948" i="7"/>
  <c r="P2949" i="7"/>
  <c r="P2950" i="7"/>
  <c r="P2951" i="7"/>
  <c r="P2952" i="7"/>
  <c r="P2953" i="7"/>
  <c r="P2954" i="7"/>
  <c r="P2955" i="7"/>
  <c r="P2956" i="7"/>
  <c r="P2957" i="7"/>
  <c r="P2958" i="7"/>
  <c r="P2959" i="7"/>
  <c r="P2960" i="7"/>
  <c r="P2961" i="7"/>
  <c r="P2962" i="7"/>
  <c r="P2963" i="7"/>
  <c r="P2964" i="7"/>
  <c r="P2965" i="7"/>
  <c r="P2966" i="7"/>
  <c r="P2967" i="7"/>
  <c r="P2968" i="7"/>
  <c r="P2969" i="7"/>
  <c r="P2970" i="7"/>
  <c r="P2971" i="7"/>
  <c r="P2972" i="7"/>
  <c r="P2973" i="7"/>
  <c r="P2974" i="7"/>
  <c r="P2975" i="7"/>
  <c r="P2976" i="7"/>
  <c r="P2977" i="7"/>
  <c r="P2978" i="7"/>
  <c r="P2979" i="7"/>
  <c r="P2980" i="7"/>
  <c r="P2981" i="7"/>
  <c r="P2982" i="7"/>
  <c r="P2983" i="7"/>
  <c r="P2984" i="7"/>
  <c r="P2985" i="7"/>
  <c r="P2986" i="7"/>
  <c r="P2987" i="7"/>
  <c r="P2988" i="7"/>
  <c r="P2989" i="7"/>
  <c r="P2990" i="7"/>
  <c r="P2991" i="7"/>
  <c r="P2992" i="7"/>
  <c r="P2993" i="7"/>
  <c r="P2994" i="7"/>
  <c r="P2995" i="7"/>
  <c r="P2996" i="7"/>
  <c r="P2997" i="7"/>
  <c r="P2998" i="7"/>
  <c r="P2999" i="7"/>
  <c r="P3000" i="7"/>
  <c r="P3001" i="7"/>
  <c r="P3002" i="7"/>
  <c r="P3003" i="7"/>
  <c r="P3004" i="7"/>
  <c r="P3005" i="7"/>
  <c r="P3006" i="7"/>
  <c r="P3007" i="7"/>
  <c r="P3008" i="7"/>
  <c r="P3009" i="7"/>
  <c r="P3010" i="7"/>
  <c r="P3011" i="7"/>
  <c r="P3012" i="7"/>
  <c r="P3013" i="7"/>
  <c r="P3014" i="7"/>
  <c r="P3015" i="7"/>
  <c r="P3016" i="7"/>
  <c r="P3017" i="7"/>
  <c r="P3018" i="7"/>
  <c r="P3019" i="7"/>
  <c r="P3020" i="7"/>
  <c r="P3021" i="7"/>
  <c r="P3022" i="7"/>
  <c r="P3023" i="7"/>
  <c r="P3024" i="7"/>
  <c r="P3025" i="7"/>
  <c r="P3026" i="7"/>
  <c r="P3027" i="7"/>
  <c r="P3028" i="7"/>
  <c r="P3029" i="7"/>
  <c r="P3030" i="7"/>
  <c r="P3031" i="7"/>
  <c r="P3032" i="7"/>
  <c r="P3033" i="7"/>
  <c r="P3034" i="7"/>
  <c r="P3035" i="7"/>
  <c r="P3036" i="7"/>
  <c r="P3037" i="7"/>
  <c r="P3038" i="7"/>
  <c r="P3039" i="7"/>
  <c r="P3040" i="7"/>
  <c r="P3041" i="7"/>
  <c r="P3042" i="7"/>
  <c r="P3043" i="7"/>
  <c r="P3044" i="7"/>
  <c r="P3045" i="7"/>
  <c r="P3046" i="7"/>
  <c r="P3047" i="7"/>
  <c r="P3048" i="7"/>
  <c r="P3049" i="7"/>
  <c r="P3050" i="7"/>
  <c r="P3051" i="7"/>
  <c r="P3052" i="7"/>
  <c r="P3053" i="7"/>
  <c r="P3054" i="7"/>
  <c r="P3055" i="7"/>
  <c r="P3056" i="7"/>
  <c r="P3057" i="7"/>
  <c r="P3058" i="7"/>
  <c r="P3059" i="7"/>
  <c r="P3060" i="7"/>
  <c r="P3061" i="7"/>
  <c r="P3062" i="7"/>
  <c r="P3063" i="7"/>
  <c r="P3064" i="7"/>
  <c r="P3065" i="7"/>
  <c r="P3066" i="7"/>
  <c r="P3067" i="7"/>
  <c r="P3068" i="7"/>
  <c r="P3069" i="7"/>
  <c r="P3070" i="7"/>
  <c r="P3071" i="7"/>
  <c r="P3072" i="7"/>
  <c r="P3073" i="7"/>
  <c r="P3074" i="7"/>
  <c r="P3075" i="7"/>
  <c r="M233" i="5" s="1"/>
  <c r="P3076" i="7"/>
  <c r="P3077" i="7"/>
  <c r="P3078" i="7"/>
  <c r="P3079" i="7"/>
  <c r="P3080" i="7"/>
  <c r="P3081" i="7"/>
  <c r="P3082" i="7"/>
  <c r="P3083" i="7"/>
  <c r="P3084" i="7"/>
  <c r="P3085" i="7"/>
  <c r="P3086" i="7"/>
  <c r="P3087" i="7"/>
  <c r="P3088" i="7"/>
  <c r="P3089" i="7"/>
  <c r="P3090" i="7"/>
  <c r="P3091" i="7"/>
  <c r="P3092" i="7"/>
  <c r="P3093" i="7"/>
  <c r="P3094" i="7"/>
  <c r="P3095" i="7"/>
  <c r="P3096" i="7"/>
  <c r="P3097" i="7"/>
  <c r="P3098" i="7"/>
  <c r="P3099" i="7"/>
  <c r="P3100" i="7"/>
  <c r="P3101" i="7"/>
  <c r="P3102" i="7"/>
  <c r="P3103" i="7"/>
  <c r="P3104" i="7"/>
  <c r="P3105" i="7"/>
  <c r="P3106" i="7"/>
  <c r="P3107" i="7"/>
  <c r="P3108" i="7"/>
  <c r="P3109" i="7"/>
  <c r="P3110" i="7"/>
  <c r="P3111" i="7"/>
  <c r="P3112" i="7"/>
  <c r="P3113" i="7"/>
  <c r="P3114" i="7"/>
  <c r="P3115" i="7"/>
  <c r="P3116" i="7"/>
  <c r="P3117" i="7"/>
  <c r="P3118" i="7"/>
  <c r="P3119" i="7"/>
  <c r="P3120" i="7"/>
  <c r="P3121" i="7"/>
  <c r="P3122" i="7"/>
  <c r="P3123" i="7"/>
  <c r="P3124" i="7"/>
  <c r="P3125" i="7"/>
  <c r="P3126" i="7"/>
  <c r="P3127" i="7"/>
  <c r="P3128" i="7"/>
  <c r="P3129" i="7"/>
  <c r="P3130" i="7"/>
  <c r="P3131" i="7"/>
  <c r="P3132" i="7"/>
  <c r="P3133" i="7"/>
  <c r="P3134" i="7"/>
  <c r="P3135" i="7"/>
  <c r="P3136" i="7"/>
  <c r="P3137" i="7"/>
  <c r="P3138" i="7"/>
  <c r="P3139" i="7"/>
  <c r="P3140" i="7"/>
  <c r="P3141" i="7"/>
  <c r="P3142" i="7"/>
  <c r="P3143" i="7"/>
  <c r="P3144" i="7"/>
  <c r="P3145" i="7"/>
  <c r="P3146" i="7"/>
  <c r="P3147" i="7"/>
  <c r="P3148" i="7"/>
  <c r="P3149" i="7"/>
  <c r="P3150" i="7"/>
  <c r="P3151" i="7"/>
  <c r="P3152" i="7"/>
  <c r="P3153" i="7"/>
  <c r="P3154" i="7"/>
  <c r="P3155" i="7"/>
  <c r="P3156" i="7"/>
  <c r="P3157" i="7"/>
  <c r="P3158" i="7"/>
  <c r="P3159" i="7"/>
  <c r="P3160" i="7"/>
  <c r="P3161" i="7"/>
  <c r="P3162" i="7"/>
  <c r="P3163" i="7"/>
  <c r="P3164" i="7"/>
  <c r="P3165" i="7"/>
  <c r="P3166" i="7"/>
  <c r="P3167" i="7"/>
  <c r="P3168" i="7"/>
  <c r="P3169" i="7"/>
  <c r="P3170" i="7"/>
  <c r="P3171" i="7"/>
  <c r="P3172" i="7"/>
  <c r="P3173" i="7"/>
  <c r="P3174" i="7"/>
  <c r="P3175" i="7"/>
  <c r="P3176" i="7"/>
  <c r="P3177" i="7"/>
  <c r="P3178" i="7"/>
  <c r="P3179" i="7"/>
  <c r="P3180" i="7"/>
  <c r="P3181" i="7"/>
  <c r="P3182" i="7"/>
  <c r="P3183" i="7"/>
  <c r="P3184" i="7"/>
  <c r="P3185" i="7"/>
  <c r="P3186" i="7"/>
  <c r="P3187" i="7"/>
  <c r="P3188" i="7"/>
  <c r="P3189" i="7"/>
  <c r="P3190" i="7"/>
  <c r="P3191" i="7"/>
  <c r="P3192" i="7"/>
  <c r="P3193" i="7"/>
  <c r="P3194" i="7"/>
  <c r="P3195" i="7"/>
  <c r="P3196" i="7"/>
  <c r="P3197" i="7"/>
  <c r="P3198" i="7"/>
  <c r="P3199" i="7"/>
  <c r="P3200" i="7"/>
  <c r="P3201" i="7"/>
  <c r="P3202" i="7"/>
  <c r="P3203" i="7"/>
  <c r="P3204" i="7"/>
  <c r="P3205" i="7"/>
  <c r="P3206" i="7"/>
  <c r="P3207" i="7"/>
  <c r="P3208" i="7"/>
  <c r="P3209" i="7"/>
  <c r="P3210" i="7"/>
  <c r="P3211" i="7"/>
  <c r="P3212" i="7"/>
  <c r="P3213" i="7"/>
  <c r="P3214" i="7"/>
  <c r="P3215" i="7"/>
  <c r="P3216" i="7"/>
  <c r="P3217" i="7"/>
  <c r="P3218" i="7"/>
  <c r="P3219" i="7"/>
  <c r="P3220" i="7"/>
  <c r="P3221" i="7"/>
  <c r="P3222" i="7"/>
  <c r="P3223" i="7"/>
  <c r="P3224" i="7"/>
  <c r="P3225" i="7"/>
  <c r="P3226" i="7"/>
  <c r="P3227" i="7"/>
  <c r="P3228" i="7"/>
  <c r="P3229" i="7"/>
  <c r="P3230" i="7"/>
  <c r="P3231" i="7"/>
  <c r="P3232" i="7"/>
  <c r="P3233" i="7"/>
  <c r="P3234" i="7"/>
  <c r="P3235" i="7"/>
  <c r="P3236" i="7"/>
  <c r="P3237" i="7"/>
  <c r="P3238" i="7"/>
  <c r="P3239" i="7"/>
  <c r="P3240" i="7"/>
  <c r="P3241" i="7"/>
  <c r="P3242" i="7"/>
  <c r="P3243" i="7"/>
  <c r="P3244" i="7"/>
  <c r="P3245" i="7"/>
  <c r="P3246" i="7"/>
  <c r="P3247" i="7"/>
  <c r="P3248" i="7"/>
  <c r="P3249" i="7"/>
  <c r="P3250" i="7"/>
  <c r="P3251" i="7"/>
  <c r="P3252" i="7"/>
  <c r="P3253" i="7"/>
  <c r="P3254" i="7"/>
  <c r="P3255" i="7"/>
  <c r="P3256" i="7"/>
  <c r="P3257" i="7"/>
  <c r="P3258" i="7"/>
  <c r="P3259" i="7"/>
  <c r="P3260" i="7"/>
  <c r="P3261" i="7"/>
  <c r="P3262" i="7"/>
  <c r="P3263" i="7"/>
  <c r="P3264" i="7"/>
  <c r="P3265" i="7"/>
  <c r="P3266" i="7"/>
  <c r="P3267" i="7"/>
  <c r="P3268" i="7"/>
  <c r="P3269" i="7"/>
  <c r="P3270" i="7"/>
  <c r="P3271" i="7"/>
  <c r="P3272" i="7"/>
  <c r="P3273" i="7"/>
  <c r="P3274" i="7"/>
  <c r="P3275" i="7"/>
  <c r="P3276" i="7"/>
  <c r="P3277" i="7"/>
  <c r="P3278" i="7"/>
  <c r="P3279" i="7"/>
  <c r="P3280" i="7"/>
  <c r="P3281" i="7"/>
  <c r="P3282" i="7"/>
  <c r="P3283" i="7"/>
  <c r="P3284" i="7"/>
  <c r="P3285" i="7"/>
  <c r="P3286" i="7"/>
  <c r="P3287" i="7"/>
  <c r="P3288" i="7"/>
  <c r="P3289" i="7"/>
  <c r="P3290" i="7"/>
  <c r="P3291" i="7"/>
  <c r="P3292" i="7"/>
  <c r="P3293" i="7"/>
  <c r="P3294" i="7"/>
  <c r="P3295" i="7"/>
  <c r="P3296" i="7"/>
  <c r="P3297" i="7"/>
  <c r="P3298" i="7"/>
  <c r="P3299" i="7"/>
  <c r="P3300" i="7"/>
  <c r="P3301" i="7"/>
  <c r="P3302" i="7"/>
  <c r="P3303" i="7"/>
  <c r="P3304" i="7"/>
  <c r="P3305" i="7"/>
  <c r="P3306" i="7"/>
  <c r="P3307" i="7"/>
  <c r="P3308" i="7"/>
  <c r="P3309" i="7"/>
  <c r="P3310" i="7"/>
  <c r="P3311" i="7"/>
  <c r="P3312" i="7"/>
  <c r="M220" i="5" s="1"/>
  <c r="P3313" i="7"/>
  <c r="P3314" i="7"/>
  <c r="P3315" i="7"/>
  <c r="P3316" i="7"/>
  <c r="P3317" i="7"/>
  <c r="P3318" i="7"/>
  <c r="P3319" i="7"/>
  <c r="P3320" i="7"/>
  <c r="P3321" i="7"/>
  <c r="P3322" i="7"/>
  <c r="P3323" i="7"/>
  <c r="P3324" i="7"/>
  <c r="P3325" i="7"/>
  <c r="P3326" i="7"/>
  <c r="P3327" i="7"/>
  <c r="P3328" i="7"/>
  <c r="P3329" i="7"/>
  <c r="P3330" i="7"/>
  <c r="P3331" i="7"/>
  <c r="P3332" i="7"/>
  <c r="P3333" i="7"/>
  <c r="P3334" i="7"/>
  <c r="P3335" i="7"/>
  <c r="P3336" i="7"/>
  <c r="P3337" i="7"/>
  <c r="P3338" i="7"/>
  <c r="P3339" i="7"/>
  <c r="P3340" i="7"/>
  <c r="P3341" i="7"/>
  <c r="P3342" i="7"/>
  <c r="P3343" i="7"/>
  <c r="P3344" i="7"/>
  <c r="P3345" i="7"/>
  <c r="P3346" i="7"/>
  <c r="P3347" i="7"/>
  <c r="P3348" i="7"/>
  <c r="P3349" i="7"/>
  <c r="P3350" i="7"/>
  <c r="P3351" i="7"/>
  <c r="P3352" i="7"/>
  <c r="P3353" i="7"/>
  <c r="P3354" i="7"/>
  <c r="P3355" i="7"/>
  <c r="P3356" i="7"/>
  <c r="P3357" i="7"/>
  <c r="P3358" i="7"/>
  <c r="P3359" i="7"/>
  <c r="P3360" i="7"/>
  <c r="P3361" i="7"/>
  <c r="P3362" i="7"/>
  <c r="P3363" i="7"/>
  <c r="P3364" i="7"/>
  <c r="P3365" i="7"/>
  <c r="P3366" i="7"/>
  <c r="P3367" i="7"/>
  <c r="P3368" i="7"/>
  <c r="P3369" i="7"/>
  <c r="P3370" i="7"/>
  <c r="P3371" i="7"/>
  <c r="P3372" i="7"/>
  <c r="P3373" i="7"/>
  <c r="P3374" i="7"/>
  <c r="P3375" i="7"/>
  <c r="P3376" i="7"/>
  <c r="P3377" i="7"/>
  <c r="P3378" i="7"/>
  <c r="P3379" i="7"/>
  <c r="P3380" i="7"/>
  <c r="P3381" i="7"/>
  <c r="P3382" i="7"/>
  <c r="P3383" i="7"/>
  <c r="P3384" i="7"/>
  <c r="P3385" i="7"/>
  <c r="P3386" i="7"/>
  <c r="P3387" i="7"/>
  <c r="P3388" i="7"/>
  <c r="P3389" i="7"/>
  <c r="P3390" i="7"/>
  <c r="P3391" i="7"/>
  <c r="P3392" i="7"/>
  <c r="P3393" i="7"/>
  <c r="P3394" i="7"/>
  <c r="P3395" i="7"/>
  <c r="P3396" i="7"/>
  <c r="P3397" i="7"/>
  <c r="P3398" i="7"/>
  <c r="P3399" i="7"/>
  <c r="P3400" i="7"/>
  <c r="P3401" i="7"/>
  <c r="P3402" i="7"/>
  <c r="P3403" i="7"/>
  <c r="P3404" i="7"/>
  <c r="P3405" i="7"/>
  <c r="P3406" i="7"/>
  <c r="P3407" i="7"/>
  <c r="P3408" i="7"/>
  <c r="P3409" i="7"/>
  <c r="P3410" i="7"/>
  <c r="P3411" i="7"/>
  <c r="P3412" i="7"/>
  <c r="P3413" i="7"/>
  <c r="P3414" i="7"/>
  <c r="P3415" i="7"/>
  <c r="P3416" i="7"/>
  <c r="P3417" i="7"/>
  <c r="P3418" i="7"/>
  <c r="P3419" i="7"/>
  <c r="P3420" i="7"/>
  <c r="P3421" i="7"/>
  <c r="P3422" i="7"/>
  <c r="P3423" i="7"/>
  <c r="P3424" i="7"/>
  <c r="P3425" i="7"/>
  <c r="P3426" i="7"/>
  <c r="P3427" i="7"/>
  <c r="P3428" i="7"/>
  <c r="P3429" i="7"/>
  <c r="P3430" i="7"/>
  <c r="P3431" i="7"/>
  <c r="P3432" i="7"/>
  <c r="P3433" i="7"/>
  <c r="P3434" i="7"/>
  <c r="P3435" i="7"/>
  <c r="P3436" i="7"/>
  <c r="P3437" i="7"/>
  <c r="P3438" i="7"/>
  <c r="P3439" i="7"/>
  <c r="P3440" i="7"/>
  <c r="P3441" i="7"/>
  <c r="P3442" i="7"/>
  <c r="P3443" i="7"/>
  <c r="P3444" i="7"/>
  <c r="P3445" i="7"/>
  <c r="P3446" i="7"/>
  <c r="P3447" i="7"/>
  <c r="P3448" i="7"/>
  <c r="P3449" i="7"/>
  <c r="P3450" i="7"/>
  <c r="P3451" i="7"/>
  <c r="P3452" i="7"/>
  <c r="P3453" i="7"/>
  <c r="P3454" i="7"/>
  <c r="P3455" i="7"/>
  <c r="P3456" i="7"/>
  <c r="P3457" i="7"/>
  <c r="P3458" i="7"/>
  <c r="P3459" i="7"/>
  <c r="P3460" i="7"/>
  <c r="P3461" i="7"/>
  <c r="P3462" i="7"/>
  <c r="P3463" i="7"/>
  <c r="P3464" i="7"/>
  <c r="P3465" i="7"/>
  <c r="P3466" i="7"/>
  <c r="P3467" i="7"/>
  <c r="P3468" i="7"/>
  <c r="P3469" i="7"/>
  <c r="P3470" i="7"/>
  <c r="P3471" i="7"/>
  <c r="P3472" i="7"/>
  <c r="P3473" i="7"/>
  <c r="P3474" i="7"/>
  <c r="P3475" i="7"/>
  <c r="P3476" i="7"/>
  <c r="P3477" i="7"/>
  <c r="P3478" i="7"/>
  <c r="P3479" i="7"/>
  <c r="P3480" i="7"/>
  <c r="P3481" i="7"/>
  <c r="P3482" i="7"/>
  <c r="P3483" i="7"/>
  <c r="P3484" i="7"/>
  <c r="P3485" i="7"/>
  <c r="P3486" i="7"/>
  <c r="P3487" i="7"/>
  <c r="P3488" i="7"/>
  <c r="P3489" i="7"/>
  <c r="P3490" i="7"/>
  <c r="P3491" i="7"/>
  <c r="P3492" i="7"/>
  <c r="P3493" i="7"/>
  <c r="P3494" i="7"/>
  <c r="P3495" i="7"/>
  <c r="P3496" i="7"/>
  <c r="P3497" i="7"/>
  <c r="P3498" i="7"/>
  <c r="P3499" i="7"/>
  <c r="P3500" i="7"/>
  <c r="P3501" i="7"/>
  <c r="P3502" i="7"/>
  <c r="P3503" i="7"/>
  <c r="P3504" i="7"/>
  <c r="P3505" i="7"/>
  <c r="P3506" i="7"/>
  <c r="P3507" i="7"/>
  <c r="P3508" i="7"/>
  <c r="P3509" i="7"/>
  <c r="P3510" i="7"/>
  <c r="P3511" i="7"/>
  <c r="P3512" i="7"/>
  <c r="P3513" i="7"/>
  <c r="P3514" i="7"/>
  <c r="P3515" i="7"/>
  <c r="P3516" i="7"/>
  <c r="P3517" i="7"/>
  <c r="P3518" i="7"/>
  <c r="P3519" i="7"/>
  <c r="P3520" i="7"/>
  <c r="P3521" i="7"/>
  <c r="P3522" i="7"/>
  <c r="P3523" i="7"/>
  <c r="P3524" i="7"/>
  <c r="P3525" i="7"/>
  <c r="P3526" i="7"/>
  <c r="P3527" i="7"/>
  <c r="P3528" i="7"/>
  <c r="P3529" i="7"/>
  <c r="P3530" i="7"/>
  <c r="P3531" i="7"/>
  <c r="P3532" i="7"/>
  <c r="P3533" i="7"/>
  <c r="P3534" i="7"/>
  <c r="P3535" i="7"/>
  <c r="P3536" i="7"/>
  <c r="P3537" i="7"/>
  <c r="P3538" i="7"/>
  <c r="P3539" i="7"/>
  <c r="P3540" i="7"/>
  <c r="P3541" i="7"/>
  <c r="P3542" i="7"/>
  <c r="P3543" i="7"/>
  <c r="P3544" i="7"/>
  <c r="P3545" i="7"/>
  <c r="P3546" i="7"/>
  <c r="P3547" i="7"/>
  <c r="P3548" i="7"/>
  <c r="P3549" i="7"/>
  <c r="P3550" i="7"/>
  <c r="P3551" i="7"/>
  <c r="P3552" i="7"/>
  <c r="P3553" i="7"/>
  <c r="P3554" i="7"/>
  <c r="P3555" i="7"/>
  <c r="P3556" i="7"/>
  <c r="P3557" i="7"/>
  <c r="P3558" i="7"/>
  <c r="P3559" i="7"/>
  <c r="P3560" i="7"/>
  <c r="P3561" i="7"/>
  <c r="P3562" i="7"/>
  <c r="P3563" i="7"/>
  <c r="P3564" i="7"/>
  <c r="P3565" i="7"/>
  <c r="P3566" i="7"/>
  <c r="P3567" i="7"/>
  <c r="P3568" i="7"/>
  <c r="P3569" i="7"/>
  <c r="P3570" i="7"/>
  <c r="P3571" i="7"/>
  <c r="P3572" i="7"/>
  <c r="P3573" i="7"/>
  <c r="P3574" i="7"/>
  <c r="P3575" i="7"/>
  <c r="P3576" i="7"/>
  <c r="P3577" i="7"/>
  <c r="P3578" i="7"/>
  <c r="P3579" i="7"/>
  <c r="P3580" i="7"/>
  <c r="P3581" i="7"/>
  <c r="P3582" i="7"/>
  <c r="P3583" i="7"/>
  <c r="P3584" i="7"/>
  <c r="P3585" i="7"/>
  <c r="P3586" i="7"/>
  <c r="P3587" i="7"/>
  <c r="P3588" i="7"/>
  <c r="P3589" i="7"/>
  <c r="P3590" i="7"/>
  <c r="P3591" i="7"/>
  <c r="P3592" i="7"/>
  <c r="P3593" i="7"/>
  <c r="P3594" i="7"/>
  <c r="P3595" i="7"/>
  <c r="P3596" i="7"/>
  <c r="P3597" i="7"/>
  <c r="P3598" i="7"/>
  <c r="P3599" i="7"/>
  <c r="P3600" i="7"/>
  <c r="P3601" i="7"/>
  <c r="P3602" i="7"/>
  <c r="P3603" i="7"/>
  <c r="P3604" i="7"/>
  <c r="P3605" i="7"/>
  <c r="P3606" i="7"/>
  <c r="P3607" i="7"/>
  <c r="P3608" i="7"/>
  <c r="P3609" i="7"/>
  <c r="P3610" i="7"/>
  <c r="P3611" i="7"/>
  <c r="P3612" i="7"/>
  <c r="P3613" i="7"/>
  <c r="P3614" i="7"/>
  <c r="P3615" i="7"/>
  <c r="P3616" i="7"/>
  <c r="P3617" i="7"/>
  <c r="P3618" i="7"/>
  <c r="P3619" i="7"/>
  <c r="P3620" i="7"/>
  <c r="P3621" i="7"/>
  <c r="P3622" i="7"/>
  <c r="P3623" i="7"/>
  <c r="P3624" i="7"/>
  <c r="P3625" i="7"/>
  <c r="P3626" i="7"/>
  <c r="P3627" i="7"/>
  <c r="P3628" i="7"/>
  <c r="P3629" i="7"/>
  <c r="P3630" i="7"/>
  <c r="P3631" i="7"/>
  <c r="P3632" i="7"/>
  <c r="P3633" i="7"/>
  <c r="P3634" i="7"/>
  <c r="P3635" i="7"/>
  <c r="P3636" i="7"/>
  <c r="P3637" i="7"/>
  <c r="P3638" i="7"/>
  <c r="P3639" i="7"/>
  <c r="P3640" i="7"/>
  <c r="P3641" i="7"/>
  <c r="P3642" i="7"/>
  <c r="P3643" i="7"/>
  <c r="P3644" i="7"/>
  <c r="P3645" i="7"/>
  <c r="P3646" i="7"/>
  <c r="P3647" i="7"/>
  <c r="P3648" i="7"/>
  <c r="P3649" i="7"/>
  <c r="P3650" i="7"/>
  <c r="P3651" i="7"/>
  <c r="P3652" i="7"/>
  <c r="P3653" i="7"/>
  <c r="P3654" i="7"/>
  <c r="P3655" i="7"/>
  <c r="P3656" i="7"/>
  <c r="P3657" i="7"/>
  <c r="P3658" i="7"/>
  <c r="P3659" i="7"/>
  <c r="P3660" i="7"/>
  <c r="P3661" i="7"/>
  <c r="P3662" i="7"/>
  <c r="P3663" i="7"/>
  <c r="P3664" i="7"/>
  <c r="P3665" i="7"/>
  <c r="P3666" i="7"/>
  <c r="P3667" i="7"/>
  <c r="P3668" i="7"/>
  <c r="P3669" i="7"/>
  <c r="P3670" i="7"/>
  <c r="P3671" i="7"/>
  <c r="P3672" i="7"/>
  <c r="P3673" i="7"/>
  <c r="P3674" i="7"/>
  <c r="P3675" i="7"/>
  <c r="P3676" i="7"/>
  <c r="P3677" i="7"/>
  <c r="P3678" i="7"/>
  <c r="P3679" i="7"/>
  <c r="P3680" i="7"/>
  <c r="P3681" i="7"/>
  <c r="P3682" i="7"/>
  <c r="P3683" i="7"/>
  <c r="P3684" i="7"/>
  <c r="P3685" i="7"/>
  <c r="P3686" i="7"/>
  <c r="P3687" i="7"/>
  <c r="P3688" i="7"/>
  <c r="P3689" i="7"/>
  <c r="P3690" i="7"/>
  <c r="P3691" i="7"/>
  <c r="P3692" i="7"/>
  <c r="P3693" i="7"/>
  <c r="P3694" i="7"/>
  <c r="P3695" i="7"/>
  <c r="P3696" i="7"/>
  <c r="P3697" i="7"/>
  <c r="P3698" i="7"/>
  <c r="P3699" i="7"/>
  <c r="P3700" i="7"/>
  <c r="P3701" i="7"/>
  <c r="P3702" i="7"/>
  <c r="P3703" i="7"/>
  <c r="P3704" i="7"/>
  <c r="P3705" i="7"/>
  <c r="P3706" i="7"/>
  <c r="P3707" i="7"/>
  <c r="P3708" i="7"/>
  <c r="P3709" i="7"/>
  <c r="P3710" i="7"/>
  <c r="P3711" i="7"/>
  <c r="P3712" i="7"/>
  <c r="P3713" i="7"/>
  <c r="P3714" i="7"/>
  <c r="P3715" i="7"/>
  <c r="P3716" i="7"/>
  <c r="P3717" i="7"/>
  <c r="P3718" i="7"/>
  <c r="P3719" i="7"/>
  <c r="P3720" i="7"/>
  <c r="P3721" i="7"/>
  <c r="P3722" i="7"/>
  <c r="P3723" i="7"/>
  <c r="P3724" i="7"/>
  <c r="P3725" i="7"/>
  <c r="P3726" i="7"/>
  <c r="P3727" i="7"/>
  <c r="P3728" i="7"/>
  <c r="P3729" i="7"/>
  <c r="P3730" i="7"/>
  <c r="P3731" i="7"/>
  <c r="P3732" i="7"/>
  <c r="P3733" i="7"/>
  <c r="P3734" i="7"/>
  <c r="P3735" i="7"/>
  <c r="P3736" i="7"/>
  <c r="P3737" i="7"/>
  <c r="P3738" i="7"/>
  <c r="P3739" i="7"/>
  <c r="P3740" i="7"/>
  <c r="P3741" i="7"/>
  <c r="P3742" i="7"/>
  <c r="P3743" i="7"/>
  <c r="P3744" i="7"/>
  <c r="P3745" i="7"/>
  <c r="P3746" i="7"/>
  <c r="P3747" i="7"/>
  <c r="P3748" i="7"/>
  <c r="P3749" i="7"/>
  <c r="P3750" i="7"/>
  <c r="P3751" i="7"/>
  <c r="P3752" i="7"/>
  <c r="P3753" i="7"/>
  <c r="P3754" i="7"/>
  <c r="P3755" i="7"/>
  <c r="P3756" i="7"/>
  <c r="P3757" i="7"/>
  <c r="P3758" i="7"/>
  <c r="P3759" i="7"/>
  <c r="P3760" i="7"/>
  <c r="P3761" i="7"/>
  <c r="P3762" i="7"/>
  <c r="P3763" i="7"/>
  <c r="P3764" i="7"/>
  <c r="P3765" i="7"/>
  <c r="P3766" i="7"/>
  <c r="P3767" i="7"/>
  <c r="P3768" i="7"/>
  <c r="P3769" i="7"/>
  <c r="P3770" i="7"/>
  <c r="P3771" i="7"/>
  <c r="P3772" i="7"/>
  <c r="P3773" i="7"/>
  <c r="P3774" i="7"/>
  <c r="P3775" i="7"/>
  <c r="P3776" i="7"/>
  <c r="P3777" i="7"/>
  <c r="P3778" i="7"/>
  <c r="P3779" i="7"/>
  <c r="P3780" i="7"/>
  <c r="P3781" i="7"/>
  <c r="P3782" i="7"/>
  <c r="P3783" i="7"/>
  <c r="P3784" i="7"/>
  <c r="P3785" i="7"/>
  <c r="P3786" i="7"/>
  <c r="P3787" i="7"/>
  <c r="P3788" i="7"/>
  <c r="P3789" i="7"/>
  <c r="P3790" i="7"/>
  <c r="P3791" i="7"/>
  <c r="P3792" i="7"/>
  <c r="P3793" i="7"/>
  <c r="P3794" i="7"/>
  <c r="P3795" i="7"/>
  <c r="M117" i="5" s="1"/>
  <c r="P3796" i="7"/>
  <c r="P3797" i="7"/>
  <c r="P3798" i="7"/>
  <c r="P3799" i="7"/>
  <c r="P3800" i="7"/>
  <c r="P3801" i="7"/>
  <c r="P3802" i="7"/>
  <c r="P3803" i="7"/>
  <c r="P3804" i="7"/>
  <c r="P3805" i="7"/>
  <c r="P3806" i="7"/>
  <c r="P3807" i="7"/>
  <c r="P3808" i="7"/>
  <c r="P3809" i="7"/>
  <c r="P3810" i="7"/>
  <c r="P3811" i="7"/>
  <c r="P3812" i="7"/>
  <c r="P3813" i="7"/>
  <c r="P3814" i="7"/>
  <c r="P3815" i="7"/>
  <c r="P3816" i="7"/>
  <c r="P3817" i="7"/>
  <c r="P3818" i="7"/>
  <c r="P3819" i="7"/>
  <c r="P3820" i="7"/>
  <c r="P3821" i="7"/>
  <c r="P3822" i="7"/>
  <c r="P3823" i="7"/>
  <c r="P3824" i="7"/>
  <c r="P3825" i="7"/>
  <c r="P3826" i="7"/>
  <c r="P3827" i="7"/>
  <c r="P3828" i="7"/>
  <c r="P3829" i="7"/>
  <c r="P3830" i="7"/>
  <c r="P3831" i="7"/>
  <c r="P3832" i="7"/>
  <c r="P3833" i="7"/>
  <c r="P3834" i="7"/>
  <c r="P3835" i="7"/>
  <c r="P3836" i="7"/>
  <c r="P3837" i="7"/>
  <c r="P3838" i="7"/>
  <c r="P3839" i="7"/>
  <c r="P3840" i="7"/>
  <c r="P3841" i="7"/>
  <c r="P3842" i="7"/>
  <c r="P3843" i="7"/>
  <c r="P3844" i="7"/>
  <c r="P3845" i="7"/>
  <c r="P3846" i="7"/>
  <c r="P3847" i="7"/>
  <c r="P3848" i="7"/>
  <c r="P3849" i="7"/>
  <c r="P3850" i="7"/>
  <c r="P3851" i="7"/>
  <c r="P3852" i="7"/>
  <c r="P3853" i="7"/>
  <c r="P3854" i="7"/>
  <c r="P3855" i="7"/>
  <c r="P3856" i="7"/>
  <c r="P3857" i="7"/>
  <c r="P3858" i="7"/>
  <c r="P3859" i="7"/>
  <c r="P3860" i="7"/>
  <c r="P3861" i="7"/>
  <c r="P3862" i="7"/>
  <c r="P3863" i="7"/>
  <c r="P3864" i="7"/>
  <c r="P3865" i="7"/>
  <c r="P3866" i="7"/>
  <c r="P3867" i="7"/>
  <c r="P3868" i="7"/>
  <c r="P3869" i="7"/>
  <c r="P3870" i="7"/>
  <c r="P3871" i="7"/>
  <c r="P3872" i="7"/>
  <c r="P3873" i="7"/>
  <c r="P3874" i="7"/>
  <c r="P3875" i="7"/>
  <c r="P3876" i="7"/>
  <c r="P3877" i="7"/>
  <c r="P3878" i="7"/>
  <c r="P3879" i="7"/>
  <c r="P3880" i="7"/>
  <c r="P3881" i="7"/>
  <c r="P3882" i="7"/>
  <c r="P3883" i="7"/>
  <c r="P3884" i="7"/>
  <c r="P3885" i="7"/>
  <c r="P3886" i="7"/>
  <c r="P3887" i="7"/>
  <c r="P3888" i="7"/>
  <c r="P3889" i="7"/>
  <c r="P3890" i="7"/>
  <c r="P3891" i="7"/>
  <c r="P3892" i="7"/>
  <c r="P3893" i="7"/>
  <c r="P3894" i="7"/>
  <c r="P3895" i="7"/>
  <c r="P3896" i="7"/>
  <c r="P3897" i="7"/>
  <c r="P3898" i="7"/>
  <c r="P3899" i="7"/>
  <c r="P3900" i="7"/>
  <c r="P3901" i="7"/>
  <c r="P3902" i="7"/>
  <c r="P3903" i="7"/>
  <c r="P3904" i="7"/>
  <c r="P3905" i="7"/>
  <c r="P3906" i="7"/>
  <c r="P3907" i="7"/>
  <c r="P3908" i="7"/>
  <c r="P3909" i="7"/>
  <c r="P3910" i="7"/>
  <c r="P3911" i="7"/>
  <c r="P3912" i="7"/>
  <c r="P3913" i="7"/>
  <c r="P3914" i="7"/>
  <c r="P3915" i="7"/>
  <c r="P3916" i="7"/>
  <c r="P3917" i="7"/>
  <c r="P3918" i="7"/>
  <c r="P3919" i="7"/>
  <c r="P3920" i="7"/>
  <c r="P3921" i="7"/>
  <c r="P3922" i="7"/>
  <c r="P3923" i="7"/>
  <c r="P3924" i="7"/>
  <c r="P3925" i="7"/>
  <c r="P3926" i="7"/>
  <c r="P3927" i="7"/>
  <c r="P3928" i="7"/>
  <c r="P3929" i="7"/>
  <c r="P3930" i="7"/>
  <c r="P3931" i="7"/>
  <c r="P3932" i="7"/>
  <c r="P3933" i="7"/>
  <c r="P3934" i="7"/>
  <c r="P3935" i="7"/>
  <c r="P3936" i="7"/>
  <c r="P3937" i="7"/>
  <c r="P3938" i="7"/>
  <c r="P3939" i="7"/>
  <c r="P3940" i="7"/>
  <c r="P3941" i="7"/>
  <c r="P3942" i="7"/>
  <c r="P3943" i="7"/>
  <c r="P3944" i="7"/>
  <c r="P3945" i="7"/>
  <c r="P3946" i="7"/>
  <c r="P3947" i="7"/>
  <c r="P3948" i="7"/>
  <c r="P3949" i="7"/>
  <c r="P3950" i="7"/>
  <c r="P3951" i="7"/>
  <c r="P3952" i="7"/>
  <c r="P3953" i="7"/>
  <c r="P3954" i="7"/>
  <c r="P3955" i="7"/>
  <c r="P3956" i="7"/>
  <c r="P3957" i="7"/>
  <c r="P3958" i="7"/>
  <c r="P3959" i="7"/>
  <c r="P3960" i="7"/>
  <c r="P3961" i="7"/>
  <c r="P3962" i="7"/>
  <c r="P3963" i="7"/>
  <c r="P3964" i="7"/>
  <c r="P3965" i="7"/>
  <c r="P3966" i="7"/>
  <c r="P3967" i="7"/>
  <c r="P3968" i="7"/>
  <c r="P3969" i="7"/>
  <c r="P3970" i="7"/>
  <c r="P3971" i="7"/>
  <c r="P3972" i="7"/>
  <c r="P3973" i="7"/>
  <c r="P3974" i="7"/>
  <c r="P3975" i="7"/>
  <c r="P3976" i="7"/>
  <c r="P3977" i="7"/>
  <c r="P3978" i="7"/>
  <c r="P3979" i="7"/>
  <c r="P3980" i="7"/>
  <c r="P3981" i="7"/>
  <c r="P3982" i="7"/>
  <c r="P3983" i="7"/>
  <c r="P3984" i="7"/>
  <c r="P3985" i="7"/>
  <c r="P3986" i="7"/>
  <c r="P3987" i="7"/>
  <c r="P3988" i="7"/>
  <c r="P3989" i="7"/>
  <c r="P3990" i="7"/>
  <c r="P3991" i="7"/>
  <c r="P3992" i="7"/>
  <c r="P3993" i="7"/>
  <c r="P3994" i="7"/>
  <c r="P3995" i="7"/>
  <c r="P3996" i="7"/>
  <c r="P3997" i="7"/>
  <c r="P3998" i="7"/>
  <c r="P3999" i="7"/>
  <c r="P4000" i="7"/>
  <c r="P4001" i="7"/>
  <c r="P4002" i="7"/>
  <c r="P4003" i="7"/>
  <c r="P4004" i="7"/>
  <c r="P4005" i="7"/>
  <c r="P4006" i="7"/>
  <c r="P4007" i="7"/>
  <c r="P4008" i="7"/>
  <c r="P4009" i="7"/>
  <c r="P4010" i="7"/>
  <c r="P4011" i="7"/>
  <c r="P4012" i="7"/>
  <c r="P4013" i="7"/>
  <c r="P4014" i="7"/>
  <c r="P4015" i="7"/>
  <c r="P4016" i="7"/>
  <c r="P4017" i="7"/>
  <c r="P4018" i="7"/>
  <c r="P4019" i="7"/>
  <c r="P4020" i="7"/>
  <c r="P4021" i="7"/>
  <c r="P4022" i="7"/>
  <c r="P4023" i="7"/>
  <c r="P4024" i="7"/>
  <c r="P4025" i="7"/>
  <c r="P4026" i="7"/>
  <c r="P4027" i="7"/>
  <c r="P4028" i="7"/>
  <c r="P4029" i="7"/>
  <c r="P4030" i="7"/>
  <c r="P4031" i="7"/>
  <c r="P4032" i="7"/>
  <c r="P4033" i="7"/>
  <c r="P4034" i="7"/>
  <c r="P4035" i="7"/>
  <c r="P4036" i="7"/>
  <c r="P4037" i="7"/>
  <c r="P4038" i="7"/>
  <c r="P4039" i="7"/>
  <c r="P4040" i="7"/>
  <c r="P4041" i="7"/>
  <c r="P4042" i="7"/>
  <c r="P4043" i="7"/>
  <c r="P4044" i="7"/>
  <c r="P4045" i="7"/>
  <c r="P4046" i="7"/>
  <c r="P4047" i="7"/>
  <c r="P4048" i="7"/>
  <c r="P4049" i="7"/>
  <c r="P4050" i="7"/>
  <c r="P4051" i="7"/>
  <c r="P4052" i="7"/>
  <c r="P4053" i="7"/>
  <c r="P4054" i="7"/>
  <c r="P4055" i="7"/>
  <c r="P4056" i="7"/>
  <c r="P4057" i="7"/>
  <c r="P4058" i="7"/>
  <c r="P4059" i="7"/>
  <c r="P4060" i="7"/>
  <c r="P4061" i="7"/>
  <c r="P4062" i="7"/>
  <c r="P4063" i="7"/>
  <c r="P4064" i="7"/>
  <c r="P4065" i="7"/>
  <c r="P4066" i="7"/>
  <c r="P4067" i="7"/>
  <c r="P4068" i="7"/>
  <c r="P4069" i="7"/>
  <c r="P4070" i="7"/>
  <c r="P4071" i="7"/>
  <c r="P4072" i="7"/>
  <c r="P4073" i="7"/>
  <c r="P4074" i="7"/>
  <c r="P4075" i="7"/>
  <c r="P4076" i="7"/>
  <c r="P4077" i="7"/>
  <c r="P4078" i="7"/>
  <c r="P4079" i="7"/>
  <c r="P4080" i="7"/>
  <c r="P4081" i="7"/>
  <c r="P4082" i="7"/>
  <c r="P4083" i="7"/>
  <c r="P4084" i="7"/>
  <c r="P4085" i="7"/>
  <c r="P4086" i="7"/>
  <c r="P4087" i="7"/>
  <c r="P4088" i="7"/>
  <c r="P4089" i="7"/>
  <c r="P4090" i="7"/>
  <c r="P4091" i="7"/>
  <c r="P4092" i="7"/>
  <c r="P4093" i="7"/>
  <c r="P4094" i="7"/>
  <c r="P4095" i="7"/>
  <c r="P4096" i="7"/>
  <c r="P4097" i="7"/>
  <c r="P4098" i="7"/>
  <c r="P4099" i="7"/>
  <c r="P4100" i="7"/>
  <c r="P4101" i="7"/>
  <c r="P4102" i="7"/>
  <c r="P4103" i="7"/>
  <c r="P4104" i="7"/>
  <c r="P4105" i="7"/>
  <c r="P4106" i="7"/>
  <c r="P4107" i="7"/>
  <c r="P4108" i="7"/>
  <c r="P4109" i="7"/>
  <c r="P4110" i="7"/>
  <c r="P4111" i="7"/>
  <c r="P4112" i="7"/>
  <c r="P4113" i="7"/>
  <c r="P4114" i="7"/>
  <c r="P4115" i="7"/>
  <c r="P4116" i="7"/>
  <c r="P4117" i="7"/>
  <c r="P4118" i="7"/>
  <c r="P4119" i="7"/>
  <c r="P4120" i="7"/>
  <c r="P4121" i="7"/>
  <c r="P4122" i="7"/>
  <c r="P4123" i="7"/>
  <c r="P4124" i="7"/>
  <c r="P4125" i="7"/>
  <c r="P4126" i="7"/>
  <c r="P4127" i="7"/>
  <c r="P4128" i="7"/>
  <c r="P4129" i="7"/>
  <c r="P4130" i="7"/>
  <c r="P4131" i="7"/>
  <c r="P4132" i="7"/>
  <c r="P4133" i="7"/>
  <c r="P4134" i="7"/>
  <c r="P4135" i="7"/>
  <c r="P4136" i="7"/>
  <c r="P4137" i="7"/>
  <c r="P4138" i="7"/>
  <c r="P4139" i="7"/>
  <c r="P4140" i="7"/>
  <c r="P4141" i="7"/>
  <c r="P4142" i="7"/>
  <c r="P4143" i="7"/>
  <c r="P4144" i="7"/>
  <c r="P4145" i="7"/>
  <c r="P4146" i="7"/>
  <c r="P4147" i="7"/>
  <c r="P4148" i="7"/>
  <c r="P4149" i="7"/>
  <c r="P4150" i="7"/>
  <c r="P4151" i="7"/>
  <c r="P4152" i="7"/>
  <c r="P4153" i="7"/>
  <c r="P4154" i="7"/>
  <c r="P4155" i="7"/>
  <c r="P4156" i="7"/>
  <c r="P4157" i="7"/>
  <c r="P4158" i="7"/>
  <c r="P4159" i="7"/>
  <c r="P4160" i="7"/>
  <c r="P4161" i="7"/>
  <c r="P4162" i="7"/>
  <c r="P4163" i="7"/>
  <c r="P4164" i="7"/>
  <c r="P4165" i="7"/>
  <c r="P4166" i="7"/>
  <c r="P4167" i="7"/>
  <c r="P4168" i="7"/>
  <c r="P4169" i="7"/>
  <c r="P4170" i="7"/>
  <c r="P4171" i="7"/>
  <c r="P4172" i="7"/>
  <c r="P4173" i="7"/>
  <c r="P4174" i="7"/>
  <c r="P4175" i="7"/>
  <c r="P4176" i="7"/>
  <c r="P4177" i="7"/>
  <c r="P4178" i="7"/>
  <c r="P4179" i="7"/>
  <c r="P4180" i="7"/>
  <c r="P4181" i="7"/>
  <c r="P4182" i="7"/>
  <c r="P4183" i="7"/>
  <c r="P4184" i="7"/>
  <c r="P4185" i="7"/>
  <c r="P4186" i="7"/>
  <c r="P4187" i="7"/>
  <c r="P4188" i="7"/>
  <c r="P4189" i="7"/>
  <c r="P4190" i="7"/>
  <c r="P4191" i="7"/>
  <c r="P4192" i="7"/>
  <c r="P4193" i="7"/>
  <c r="P4194" i="7"/>
  <c r="P4195" i="7"/>
  <c r="P4196" i="7"/>
  <c r="P4197" i="7"/>
  <c r="P4198" i="7"/>
  <c r="P4199" i="7"/>
  <c r="P4200" i="7"/>
  <c r="P4201" i="7"/>
  <c r="P4202" i="7"/>
  <c r="P4203" i="7"/>
  <c r="P4204" i="7"/>
  <c r="P4205" i="7"/>
  <c r="P4206" i="7"/>
  <c r="P4207" i="7"/>
  <c r="P4208" i="7"/>
  <c r="P4209" i="7"/>
  <c r="P4210" i="7"/>
  <c r="P4211" i="7"/>
  <c r="P4212" i="7"/>
  <c r="P4213" i="7"/>
  <c r="P4214" i="7"/>
  <c r="P4215" i="7"/>
  <c r="P4216" i="7"/>
  <c r="P4217" i="7"/>
  <c r="P4218" i="7"/>
  <c r="P4219" i="7"/>
  <c r="P4220" i="7"/>
  <c r="P4221" i="7"/>
  <c r="P4222" i="7"/>
  <c r="P4223" i="7"/>
  <c r="P4224" i="7"/>
  <c r="P4225" i="7"/>
  <c r="P4226" i="7"/>
  <c r="P4227" i="7"/>
  <c r="P4228" i="7"/>
  <c r="P4229" i="7"/>
  <c r="P4230" i="7"/>
  <c r="P4231" i="7"/>
  <c r="P4232" i="7"/>
  <c r="P4233" i="7"/>
  <c r="P4234" i="7"/>
  <c r="P4235" i="7"/>
  <c r="P4236" i="7"/>
  <c r="P4237" i="7"/>
  <c r="P4238" i="7"/>
  <c r="P4239" i="7"/>
  <c r="P4240" i="7"/>
  <c r="P4241" i="7"/>
  <c r="P4242" i="7"/>
  <c r="P4243" i="7"/>
  <c r="P4244" i="7"/>
  <c r="P4245" i="7"/>
  <c r="P4246" i="7"/>
  <c r="P4247" i="7"/>
  <c r="P4248" i="7"/>
  <c r="P4249" i="7"/>
  <c r="P4250" i="7"/>
  <c r="P4251" i="7"/>
  <c r="P4252" i="7"/>
  <c r="P4253" i="7"/>
  <c r="P4254" i="7"/>
  <c r="P4255" i="7"/>
  <c r="P4256" i="7"/>
  <c r="P4257" i="7"/>
  <c r="P4258" i="7"/>
  <c r="P4259" i="7"/>
  <c r="P4260" i="7"/>
  <c r="P4261" i="7"/>
  <c r="P4262" i="7"/>
  <c r="P4263" i="7"/>
  <c r="P4264" i="7"/>
  <c r="P4265" i="7"/>
  <c r="P4266" i="7"/>
  <c r="P4267" i="7"/>
  <c r="P4268" i="7"/>
  <c r="P4269" i="7"/>
  <c r="P4270" i="7"/>
  <c r="P4271" i="7"/>
  <c r="P4272" i="7"/>
  <c r="P4273" i="7"/>
  <c r="P4274" i="7"/>
  <c r="P4275" i="7"/>
  <c r="P4276" i="7"/>
  <c r="P4277" i="7"/>
  <c r="P4278" i="7"/>
  <c r="P4279" i="7"/>
  <c r="P4280" i="7"/>
  <c r="P4281" i="7"/>
  <c r="P4282" i="7"/>
  <c r="P4283" i="7"/>
  <c r="P4284" i="7"/>
  <c r="P4285" i="7"/>
  <c r="P4286" i="7"/>
  <c r="P4287" i="7"/>
  <c r="P4288" i="7"/>
  <c r="P4289" i="7"/>
  <c r="P4290" i="7"/>
  <c r="P4291" i="7"/>
  <c r="P4292" i="7"/>
  <c r="P4293" i="7"/>
  <c r="P4294" i="7"/>
  <c r="P4295" i="7"/>
  <c r="P4296" i="7"/>
  <c r="P4297" i="7"/>
  <c r="P4298" i="7"/>
  <c r="P4299" i="7"/>
  <c r="P4300" i="7"/>
  <c r="P4301" i="7"/>
  <c r="P4302" i="7"/>
  <c r="P4303" i="7"/>
  <c r="P4304" i="7"/>
  <c r="P4305" i="7"/>
  <c r="P4306" i="7"/>
  <c r="P4307" i="7"/>
  <c r="P4308" i="7"/>
  <c r="P4309" i="7"/>
  <c r="P4310" i="7"/>
  <c r="P4311" i="7"/>
  <c r="P4312" i="7"/>
  <c r="P4313" i="7"/>
  <c r="P4314" i="7"/>
  <c r="P4315" i="7"/>
  <c r="P4316" i="7"/>
  <c r="P4317" i="7"/>
  <c r="P4318" i="7"/>
  <c r="P4319" i="7"/>
  <c r="P4320" i="7"/>
  <c r="P4321" i="7"/>
  <c r="P4322" i="7"/>
  <c r="P4323" i="7"/>
  <c r="P4324" i="7"/>
  <c r="P4325" i="7"/>
  <c r="P4326" i="7"/>
  <c r="P4327" i="7"/>
  <c r="P4328" i="7"/>
  <c r="P4329" i="7"/>
  <c r="P4330" i="7"/>
  <c r="P4331" i="7"/>
  <c r="P4332" i="7"/>
  <c r="P4333" i="7"/>
  <c r="P4334" i="7"/>
  <c r="P4335" i="7"/>
  <c r="P4336" i="7"/>
  <c r="P4337" i="7"/>
  <c r="P4338" i="7"/>
  <c r="P4339" i="7"/>
  <c r="P4340" i="7"/>
  <c r="P4341" i="7"/>
  <c r="P4342" i="7"/>
  <c r="P4343" i="7"/>
  <c r="P4344" i="7"/>
  <c r="P4345" i="7"/>
  <c r="P4346" i="7"/>
  <c r="P4347" i="7"/>
  <c r="P4348" i="7"/>
  <c r="P4349" i="7"/>
  <c r="P4350" i="7"/>
  <c r="P4351" i="7"/>
  <c r="P4352" i="7"/>
  <c r="P4353" i="7"/>
  <c r="P4354" i="7"/>
  <c r="P4355" i="7"/>
  <c r="P4356" i="7"/>
  <c r="P4357" i="7"/>
  <c r="P4358" i="7"/>
  <c r="P4359" i="7"/>
  <c r="P4360" i="7"/>
  <c r="P4361" i="7"/>
  <c r="P4362" i="7"/>
  <c r="P4363" i="7"/>
  <c r="P4364" i="7"/>
  <c r="P4365" i="7"/>
  <c r="P4366" i="7"/>
  <c r="P4367" i="7"/>
  <c r="P4368" i="7"/>
  <c r="P4369" i="7"/>
  <c r="P4370" i="7"/>
  <c r="P4371" i="7"/>
  <c r="P4372" i="7"/>
  <c r="P4373" i="7"/>
  <c r="P4374" i="7"/>
  <c r="P4375" i="7"/>
  <c r="P4376" i="7"/>
  <c r="P4377" i="7"/>
  <c r="P4378" i="7"/>
  <c r="P4379" i="7"/>
  <c r="P4380" i="7"/>
  <c r="P4381" i="7"/>
  <c r="P4382" i="7"/>
  <c r="P4383" i="7"/>
  <c r="P4384" i="7"/>
  <c r="P4385" i="7"/>
  <c r="P4386" i="7"/>
  <c r="P4387" i="7"/>
  <c r="P4388" i="7"/>
  <c r="P4389" i="7"/>
  <c r="P4390" i="7"/>
  <c r="P4391" i="7"/>
  <c r="P4392" i="7"/>
  <c r="P4393" i="7"/>
  <c r="P4394" i="7"/>
  <c r="P4395" i="7"/>
  <c r="P4396" i="7"/>
  <c r="P4397" i="7"/>
  <c r="P4398" i="7"/>
  <c r="P4399" i="7"/>
  <c r="P4400" i="7"/>
  <c r="P4401" i="7"/>
  <c r="P4402" i="7"/>
  <c r="P4403" i="7"/>
  <c r="P4404" i="7"/>
  <c r="P4405" i="7"/>
  <c r="P4406" i="7"/>
  <c r="P4407" i="7"/>
  <c r="P4408" i="7"/>
  <c r="P4409" i="7"/>
  <c r="P4410" i="7"/>
  <c r="P4411" i="7"/>
  <c r="P4412" i="7"/>
  <c r="P4413" i="7"/>
  <c r="P4414" i="7"/>
  <c r="P4415" i="7"/>
  <c r="P4416" i="7"/>
  <c r="P4417" i="7"/>
  <c r="P4418" i="7"/>
  <c r="P4419" i="7"/>
  <c r="P4420" i="7"/>
  <c r="P4421" i="7"/>
  <c r="P4422" i="7"/>
  <c r="P4423" i="7"/>
  <c r="P4424" i="7"/>
  <c r="P4425" i="7"/>
  <c r="P4426" i="7"/>
  <c r="P4427" i="7"/>
  <c r="P4428" i="7"/>
  <c r="P4429" i="7"/>
  <c r="P4430" i="7"/>
  <c r="P4431" i="7"/>
  <c r="P4432" i="7"/>
  <c r="P4433" i="7"/>
  <c r="P4434" i="7"/>
  <c r="P4435" i="7"/>
  <c r="P4436" i="7"/>
  <c r="P4437" i="7"/>
  <c r="P4438" i="7"/>
  <c r="P4439" i="7"/>
  <c r="P4440" i="7"/>
  <c r="P4441" i="7"/>
  <c r="P4442" i="7"/>
  <c r="P4443" i="7"/>
  <c r="P4444" i="7"/>
  <c r="P4445" i="7"/>
  <c r="P4446" i="7"/>
  <c r="P4447" i="7"/>
  <c r="P4448" i="7"/>
  <c r="P4449" i="7"/>
  <c r="P4450" i="7"/>
  <c r="P4451" i="7"/>
  <c r="P4452" i="7"/>
  <c r="P4453" i="7"/>
  <c r="P4454" i="7"/>
  <c r="P4455" i="7"/>
  <c r="P4456" i="7"/>
  <c r="P4457" i="7"/>
  <c r="P4458" i="7"/>
  <c r="P4459" i="7"/>
  <c r="P4460" i="7"/>
  <c r="P4461" i="7"/>
  <c r="P4462" i="7"/>
  <c r="P4463" i="7"/>
  <c r="P4464" i="7"/>
  <c r="P4465" i="7"/>
  <c r="P4466" i="7"/>
  <c r="P4467" i="7"/>
  <c r="P4468" i="7"/>
  <c r="P4469" i="7"/>
  <c r="P4470" i="7"/>
  <c r="P4471" i="7"/>
  <c r="P4472" i="7"/>
  <c r="P4473" i="7"/>
  <c r="P4474" i="7"/>
  <c r="P4475" i="7"/>
  <c r="P4476" i="7"/>
  <c r="P4477" i="7"/>
  <c r="P4478" i="7"/>
  <c r="P4479" i="7"/>
  <c r="P4480" i="7"/>
  <c r="P4481" i="7"/>
  <c r="P4482" i="7"/>
  <c r="P4483" i="7"/>
  <c r="P4484" i="7"/>
  <c r="P4485" i="7"/>
  <c r="P4486" i="7"/>
  <c r="P4487" i="7"/>
  <c r="P4488" i="7"/>
  <c r="P4489" i="7"/>
  <c r="P4490" i="7"/>
  <c r="P4491" i="7"/>
  <c r="P4492" i="7"/>
  <c r="P4493" i="7"/>
  <c r="P4494" i="7"/>
  <c r="P4495" i="7"/>
  <c r="P4496" i="7"/>
  <c r="P4497" i="7"/>
  <c r="P4498" i="7"/>
  <c r="P4499" i="7"/>
  <c r="P4500" i="7"/>
  <c r="P4501" i="7"/>
  <c r="P4502" i="7"/>
  <c r="P4503" i="7"/>
  <c r="P4504" i="7"/>
  <c r="P4505" i="7"/>
  <c r="P4506" i="7"/>
  <c r="P4507" i="7"/>
  <c r="P4508" i="7"/>
  <c r="P4509" i="7"/>
  <c r="P4510" i="7"/>
  <c r="P4511" i="7"/>
  <c r="P4512" i="7"/>
  <c r="P4513" i="7"/>
  <c r="P4514" i="7"/>
  <c r="P4515" i="7"/>
  <c r="P4516" i="7"/>
  <c r="P4517" i="7"/>
  <c r="P4518" i="7"/>
  <c r="P4519" i="7"/>
  <c r="P4520" i="7"/>
  <c r="P4521" i="7"/>
  <c r="P4522" i="7"/>
  <c r="P4523" i="7"/>
  <c r="P4524" i="7"/>
  <c r="P4525" i="7"/>
  <c r="P4526" i="7"/>
  <c r="P4527" i="7"/>
  <c r="P4528" i="7"/>
  <c r="P4529" i="7"/>
  <c r="P4530" i="7"/>
  <c r="P4531" i="7"/>
  <c r="P4532" i="7"/>
  <c r="P4533" i="7"/>
  <c r="P4534" i="7"/>
  <c r="P4535" i="7"/>
  <c r="P4536" i="7"/>
  <c r="P4537" i="7"/>
  <c r="P4538" i="7"/>
  <c r="P4539" i="7"/>
  <c r="P4540" i="7"/>
  <c r="P4541" i="7"/>
  <c r="P4542" i="7"/>
  <c r="P4543" i="7"/>
  <c r="P4544" i="7"/>
  <c r="P4545" i="7"/>
  <c r="P4546" i="7"/>
  <c r="P4547" i="7"/>
  <c r="P4548" i="7"/>
  <c r="P4549" i="7"/>
  <c r="P4550" i="7"/>
  <c r="P4551" i="7"/>
  <c r="P4552" i="7"/>
  <c r="P4553" i="7"/>
  <c r="P4554" i="7"/>
  <c r="P4555" i="7"/>
  <c r="P4556" i="7"/>
  <c r="P4557" i="7"/>
  <c r="P4558" i="7"/>
  <c r="P4559" i="7"/>
  <c r="P4560" i="7"/>
  <c r="P4561" i="7"/>
  <c r="P4562" i="7"/>
  <c r="P4563" i="7"/>
  <c r="P4564" i="7"/>
  <c r="P4565" i="7"/>
  <c r="P4566" i="7"/>
  <c r="P4567" i="7"/>
  <c r="P4568" i="7"/>
  <c r="P4569" i="7"/>
  <c r="P4570" i="7"/>
  <c r="P4571" i="7"/>
  <c r="P4572" i="7"/>
  <c r="P4573" i="7"/>
  <c r="P4574" i="7"/>
  <c r="P4575" i="7"/>
  <c r="P4576" i="7"/>
  <c r="P4577" i="7"/>
  <c r="P4578" i="7"/>
  <c r="P4579" i="7"/>
  <c r="P4580" i="7"/>
  <c r="P4581" i="7"/>
  <c r="P4582" i="7"/>
  <c r="P4583" i="7"/>
  <c r="P4584" i="7"/>
  <c r="P4585" i="7"/>
  <c r="P4586" i="7"/>
  <c r="P4587" i="7"/>
  <c r="P4588" i="7"/>
  <c r="P4589" i="7"/>
  <c r="P4590" i="7"/>
  <c r="P4591" i="7"/>
  <c r="P4592" i="7"/>
  <c r="P4593" i="7"/>
  <c r="P4594" i="7"/>
  <c r="P4595" i="7"/>
  <c r="P4596" i="7"/>
  <c r="P4597" i="7"/>
  <c r="P4598" i="7"/>
  <c r="P4599" i="7"/>
  <c r="P4600" i="7"/>
  <c r="P4601" i="7"/>
  <c r="P4602" i="7"/>
  <c r="P4603" i="7"/>
  <c r="P4604" i="7"/>
  <c r="P4605" i="7"/>
  <c r="P4606" i="7"/>
  <c r="P4607" i="7"/>
  <c r="P4608" i="7"/>
  <c r="P4609" i="7"/>
  <c r="P4610" i="7"/>
  <c r="P4611" i="7"/>
  <c r="P4612" i="7"/>
  <c r="P4613" i="7"/>
  <c r="P4614" i="7"/>
  <c r="P4615" i="7"/>
  <c r="P4616" i="7"/>
  <c r="P4617" i="7"/>
  <c r="P4618" i="7"/>
  <c r="P4619" i="7"/>
  <c r="P4620" i="7"/>
  <c r="P4621" i="7"/>
  <c r="P4622" i="7"/>
  <c r="P4623" i="7"/>
  <c r="P4624" i="7"/>
  <c r="P4625" i="7"/>
  <c r="P4626" i="7"/>
  <c r="P4627" i="7"/>
  <c r="P4628" i="7"/>
  <c r="P4629" i="7"/>
  <c r="P4630" i="7"/>
  <c r="P4631" i="7"/>
  <c r="P4632" i="7"/>
  <c r="P4633" i="7"/>
  <c r="P4634" i="7"/>
  <c r="P4635" i="7"/>
  <c r="P4636" i="7"/>
  <c r="P4637" i="7"/>
  <c r="P4638" i="7"/>
  <c r="P4639" i="7"/>
  <c r="P4640" i="7"/>
  <c r="P4641" i="7"/>
  <c r="P4642" i="7"/>
  <c r="P4643" i="7"/>
  <c r="P4644" i="7"/>
  <c r="P4645" i="7"/>
  <c r="P4646" i="7"/>
  <c r="P4647" i="7"/>
  <c r="P4648" i="7"/>
  <c r="P4649" i="7"/>
  <c r="P4650" i="7"/>
  <c r="P4651" i="7"/>
  <c r="P4652" i="7"/>
  <c r="P4653" i="7"/>
  <c r="P4654" i="7"/>
  <c r="P4655" i="7"/>
  <c r="P4656" i="7"/>
  <c r="P4657" i="7"/>
  <c r="P4658" i="7"/>
  <c r="P4659" i="7"/>
  <c r="P4660" i="7"/>
  <c r="P4661" i="7"/>
  <c r="P4662" i="7"/>
  <c r="P4663" i="7"/>
  <c r="P4664" i="7"/>
  <c r="P4665" i="7"/>
  <c r="P4666" i="7"/>
  <c r="P4667" i="7"/>
  <c r="P4668" i="7"/>
  <c r="P4669" i="7"/>
  <c r="P4670" i="7"/>
  <c r="P4671" i="7"/>
  <c r="P4672" i="7"/>
  <c r="P4673" i="7"/>
  <c r="P4674" i="7"/>
  <c r="P4675" i="7"/>
  <c r="P4676" i="7"/>
  <c r="P4677" i="7"/>
  <c r="P4678" i="7"/>
  <c r="P4679" i="7"/>
  <c r="P4680" i="7"/>
  <c r="P4681" i="7"/>
  <c r="P4682" i="7"/>
  <c r="P4683" i="7"/>
  <c r="P4684" i="7"/>
  <c r="P4685" i="7"/>
  <c r="P4686" i="7"/>
  <c r="P4687" i="7"/>
  <c r="P4688" i="7"/>
  <c r="P4689" i="7"/>
  <c r="P4690" i="7"/>
  <c r="P4691" i="7"/>
  <c r="P4692" i="7"/>
  <c r="P4693" i="7"/>
  <c r="P4694" i="7"/>
  <c r="P4695" i="7"/>
  <c r="P4696" i="7"/>
  <c r="P4697" i="7"/>
  <c r="P4698" i="7"/>
  <c r="P4699" i="7"/>
  <c r="P4700" i="7"/>
  <c r="P4701" i="7"/>
  <c r="P4702" i="7"/>
  <c r="P4703" i="7"/>
  <c r="P4704" i="7"/>
  <c r="P4705" i="7"/>
  <c r="P4706" i="7"/>
  <c r="P4707" i="7"/>
  <c r="P4708" i="7"/>
  <c r="P4709" i="7"/>
  <c r="P4710" i="7"/>
  <c r="P4711" i="7"/>
  <c r="P4712" i="7"/>
  <c r="P4713" i="7"/>
  <c r="P4714" i="7"/>
  <c r="P4715" i="7"/>
  <c r="P4716" i="7"/>
  <c r="P4717" i="7"/>
  <c r="P4718" i="7"/>
  <c r="P4719" i="7"/>
  <c r="P4720" i="7"/>
  <c r="P4721" i="7"/>
  <c r="P4722" i="7"/>
  <c r="P4723" i="7"/>
  <c r="P4724" i="7"/>
  <c r="P4725" i="7"/>
  <c r="P4726" i="7"/>
  <c r="P4727" i="7"/>
  <c r="P4728" i="7"/>
  <c r="P4729" i="7"/>
  <c r="P4730" i="7"/>
  <c r="P4731" i="7"/>
  <c r="P4732" i="7"/>
  <c r="P4733" i="7"/>
  <c r="P4734" i="7"/>
  <c r="P4735" i="7"/>
  <c r="P4736" i="7"/>
  <c r="P4737" i="7"/>
  <c r="P4738" i="7"/>
  <c r="P4739" i="7"/>
  <c r="P4740" i="7"/>
  <c r="P4741" i="7"/>
  <c r="P4742" i="7"/>
  <c r="P4743" i="7"/>
  <c r="P4744" i="7"/>
  <c r="P4745" i="7"/>
  <c r="P4746" i="7"/>
  <c r="P4747" i="7"/>
  <c r="P4748" i="7"/>
  <c r="P4749" i="7"/>
  <c r="P4750" i="7"/>
  <c r="P4751" i="7"/>
  <c r="P4752" i="7"/>
  <c r="P4753" i="7"/>
  <c r="P4754" i="7"/>
  <c r="P4755" i="7"/>
  <c r="P4756" i="7"/>
  <c r="P4757" i="7"/>
  <c r="P4758" i="7"/>
  <c r="P4759" i="7"/>
  <c r="P4760" i="7"/>
  <c r="P4761" i="7"/>
  <c r="P4762" i="7"/>
  <c r="P4763" i="7"/>
  <c r="P4764" i="7"/>
  <c r="P4765" i="7"/>
  <c r="P4766" i="7"/>
  <c r="P4767" i="7"/>
  <c r="P4768" i="7"/>
  <c r="P4769" i="7"/>
  <c r="P4770" i="7"/>
  <c r="P4771" i="7"/>
  <c r="P4772" i="7"/>
  <c r="P4773" i="7"/>
  <c r="P4774" i="7"/>
  <c r="P4775" i="7"/>
  <c r="P4776" i="7"/>
  <c r="P4777" i="7"/>
  <c r="P4778" i="7"/>
  <c r="P4779" i="7"/>
  <c r="P4780" i="7"/>
  <c r="P4781" i="7"/>
  <c r="P4782" i="7"/>
  <c r="P4783" i="7"/>
  <c r="P4784" i="7"/>
  <c r="P4785" i="7"/>
  <c r="P4786" i="7"/>
  <c r="P4787" i="7"/>
  <c r="P4788" i="7"/>
  <c r="P4789" i="7"/>
  <c r="P4790" i="7"/>
  <c r="P4791" i="7"/>
  <c r="P4792" i="7"/>
  <c r="P4793" i="7"/>
  <c r="P4794" i="7"/>
  <c r="P4795" i="7"/>
  <c r="P4796" i="7"/>
  <c r="P4797" i="7"/>
  <c r="P4798" i="7"/>
  <c r="P4799" i="7"/>
  <c r="P4800" i="7"/>
  <c r="P4801" i="7"/>
  <c r="P4802" i="7"/>
  <c r="P4803" i="7"/>
  <c r="P4804" i="7"/>
  <c r="P4805" i="7"/>
  <c r="P4806" i="7"/>
  <c r="P4807" i="7"/>
  <c r="P4808" i="7"/>
  <c r="P4809" i="7"/>
  <c r="P4810" i="7"/>
  <c r="P4811" i="7"/>
  <c r="P4812" i="7"/>
  <c r="P4813" i="7"/>
  <c r="P4814" i="7"/>
  <c r="P4815" i="7"/>
  <c r="P4816" i="7"/>
  <c r="P4817" i="7"/>
  <c r="P4818" i="7"/>
  <c r="P4819" i="7"/>
  <c r="P4820" i="7"/>
  <c r="P4821" i="7"/>
  <c r="P4822" i="7"/>
  <c r="P4823" i="7"/>
  <c r="P4824" i="7"/>
  <c r="P4825" i="7"/>
  <c r="P4826" i="7"/>
  <c r="P4827" i="7"/>
  <c r="P4828" i="7"/>
  <c r="P4829" i="7"/>
  <c r="P4830" i="7"/>
  <c r="P4831" i="7"/>
  <c r="P4832" i="7"/>
  <c r="P4833" i="7"/>
  <c r="P4834" i="7"/>
  <c r="P4835" i="7"/>
  <c r="P4836" i="7"/>
  <c r="P4837" i="7"/>
  <c r="P4838" i="7"/>
  <c r="P4839" i="7"/>
  <c r="P4840" i="7"/>
  <c r="P4841" i="7"/>
  <c r="P4842" i="7"/>
  <c r="P4843" i="7"/>
  <c r="P4844" i="7"/>
  <c r="P4845" i="7"/>
  <c r="P4846" i="7"/>
  <c r="P4847" i="7"/>
  <c r="P4848" i="7"/>
  <c r="P4849" i="7"/>
  <c r="P4850" i="7"/>
  <c r="P4851" i="7"/>
  <c r="P4852" i="7"/>
  <c r="P4853" i="7"/>
  <c r="P4854" i="7"/>
  <c r="P4855" i="7"/>
  <c r="P4856" i="7"/>
  <c r="P4857" i="7"/>
  <c r="P4858" i="7"/>
  <c r="P4859" i="7"/>
  <c r="P4860" i="7"/>
  <c r="P4861" i="7"/>
  <c r="P4862" i="7"/>
  <c r="P4863" i="7"/>
  <c r="P4864" i="7"/>
  <c r="P4865" i="7"/>
  <c r="P4866" i="7"/>
  <c r="P4867" i="7"/>
  <c r="P4868" i="7"/>
  <c r="P4869" i="7"/>
  <c r="P4870" i="7"/>
  <c r="P4871" i="7"/>
  <c r="P4872" i="7"/>
  <c r="P4873" i="7"/>
  <c r="P4874" i="7"/>
  <c r="P4875" i="7"/>
  <c r="P4876" i="7"/>
  <c r="P4877" i="7"/>
  <c r="P4878" i="7"/>
  <c r="P4879" i="7"/>
  <c r="P4880" i="7"/>
  <c r="P4881" i="7"/>
  <c r="P4882" i="7"/>
  <c r="P4883" i="7"/>
  <c r="P4884" i="7"/>
  <c r="P4885" i="7"/>
  <c r="P4886" i="7"/>
  <c r="P4887" i="7"/>
  <c r="P4888" i="7"/>
  <c r="P4889" i="7"/>
  <c r="P4890" i="7"/>
  <c r="P4891" i="7"/>
  <c r="P4892" i="7"/>
  <c r="P4893" i="7"/>
  <c r="P4894" i="7"/>
  <c r="P4895" i="7"/>
  <c r="P4896" i="7"/>
  <c r="P4897" i="7"/>
  <c r="P4898" i="7"/>
  <c r="P4899" i="7"/>
  <c r="P4900" i="7"/>
  <c r="P4901" i="7"/>
  <c r="P4902" i="7"/>
  <c r="P4903" i="7"/>
  <c r="P4904" i="7"/>
  <c r="P4905" i="7"/>
  <c r="P4906" i="7"/>
  <c r="P4907" i="7"/>
  <c r="P4908" i="7"/>
  <c r="P4909" i="7"/>
  <c r="P4910" i="7"/>
  <c r="P4911" i="7"/>
  <c r="P4912" i="7"/>
  <c r="P4913" i="7"/>
  <c r="P4914" i="7"/>
  <c r="P4915" i="7"/>
  <c r="P4916" i="7"/>
  <c r="P4917" i="7"/>
  <c r="P4918" i="7"/>
  <c r="P4919" i="7"/>
  <c r="P4920" i="7"/>
  <c r="P4921" i="7"/>
  <c r="P4922" i="7"/>
  <c r="P4923" i="7"/>
  <c r="P4924" i="7"/>
  <c r="P4925" i="7"/>
  <c r="P4926" i="7"/>
  <c r="P4927" i="7"/>
  <c r="P4928" i="7"/>
  <c r="P4929" i="7"/>
  <c r="P4930" i="7"/>
  <c r="P4931" i="7"/>
  <c r="P4932" i="7"/>
  <c r="P4933" i="7"/>
  <c r="P4934" i="7"/>
  <c r="P4935" i="7"/>
  <c r="P4936" i="7"/>
  <c r="P4937" i="7"/>
  <c r="P4938" i="7"/>
  <c r="P4939" i="7"/>
  <c r="P4940" i="7"/>
  <c r="P4941" i="7"/>
  <c r="P4942" i="7"/>
  <c r="P4943" i="7"/>
  <c r="P4944" i="7"/>
  <c r="P4945" i="7"/>
  <c r="P4946" i="7"/>
  <c r="P4947" i="7"/>
  <c r="P4948" i="7"/>
  <c r="P4949" i="7"/>
  <c r="P4950" i="7"/>
  <c r="P4951" i="7"/>
  <c r="P4952" i="7"/>
  <c r="P4953" i="7"/>
  <c r="P4954" i="7"/>
  <c r="P4955" i="7"/>
  <c r="P4956" i="7"/>
  <c r="P4957" i="7"/>
  <c r="P4958" i="7"/>
  <c r="P4959" i="7"/>
  <c r="P4960" i="7"/>
  <c r="P4961" i="7"/>
  <c r="P4962" i="7"/>
  <c r="P4963" i="7"/>
  <c r="P4964" i="7"/>
  <c r="P4965" i="7"/>
  <c r="P4966" i="7"/>
  <c r="P4967" i="7"/>
  <c r="P4968" i="7"/>
  <c r="P4969" i="7"/>
  <c r="P4970" i="7"/>
  <c r="P4971" i="7"/>
  <c r="P4972" i="7"/>
  <c r="P4973" i="7"/>
  <c r="P4974" i="7"/>
  <c r="P4975" i="7"/>
  <c r="P4976" i="7"/>
  <c r="P4977" i="7"/>
  <c r="P4978" i="7"/>
  <c r="P4979" i="7"/>
  <c r="P4980" i="7"/>
  <c r="P4981" i="7"/>
  <c r="P4982" i="7"/>
  <c r="P4983" i="7"/>
  <c r="P4984" i="7"/>
  <c r="P4985" i="7"/>
  <c r="P4986" i="7"/>
  <c r="P4987" i="7"/>
  <c r="P4988" i="7"/>
  <c r="P4989" i="7"/>
  <c r="P4990" i="7"/>
  <c r="P4991" i="7"/>
  <c r="P4992" i="7"/>
  <c r="P4993" i="7"/>
  <c r="P4994" i="7"/>
  <c r="P4995" i="7"/>
  <c r="P4996" i="7"/>
  <c r="P4997" i="7"/>
  <c r="P4998" i="7"/>
  <c r="P4999" i="7"/>
  <c r="P5000" i="7"/>
  <c r="P5001" i="7"/>
  <c r="P5002" i="7"/>
  <c r="P5003" i="7"/>
  <c r="P5004" i="7"/>
  <c r="P5005" i="7"/>
  <c r="P5006" i="7"/>
  <c r="P5007" i="7"/>
  <c r="P5008" i="7"/>
  <c r="P5009" i="7"/>
  <c r="P5010" i="7"/>
  <c r="P5011" i="7"/>
  <c r="P5012" i="7"/>
  <c r="P5013" i="7"/>
  <c r="P5014" i="7"/>
  <c r="P5015" i="7"/>
  <c r="P5016" i="7"/>
  <c r="P5017" i="7"/>
  <c r="P5018" i="7"/>
  <c r="P5019" i="7"/>
  <c r="P5020" i="7"/>
  <c r="P5021" i="7"/>
  <c r="P5022" i="7"/>
  <c r="P5023" i="7"/>
  <c r="P5024" i="7"/>
  <c r="P5025" i="7"/>
  <c r="P5026" i="7"/>
  <c r="P5027" i="7"/>
  <c r="P5028" i="7"/>
  <c r="P5029" i="7"/>
  <c r="P5030" i="7"/>
  <c r="P5031" i="7"/>
  <c r="P5032" i="7"/>
  <c r="P5033" i="7"/>
  <c r="P5034" i="7"/>
  <c r="P5035" i="7"/>
  <c r="P5036" i="7"/>
  <c r="P5037" i="7"/>
  <c r="P5038" i="7"/>
  <c r="P5039" i="7"/>
  <c r="P5040" i="7"/>
  <c r="P5041" i="7"/>
  <c r="P5042" i="7"/>
  <c r="P5043" i="7"/>
  <c r="P5044" i="7"/>
  <c r="P5045" i="7"/>
  <c r="P5046" i="7"/>
  <c r="P5047" i="7"/>
  <c r="P5048" i="7"/>
  <c r="P5049" i="7"/>
  <c r="P5050" i="7"/>
  <c r="P5051" i="7"/>
  <c r="P5052" i="7"/>
  <c r="P5053" i="7"/>
  <c r="P5054" i="7"/>
  <c r="P5055" i="7"/>
  <c r="P5056" i="7"/>
  <c r="P5057" i="7"/>
  <c r="P5058" i="7"/>
  <c r="P5059" i="7"/>
  <c r="P5060" i="7"/>
  <c r="P5061" i="7"/>
  <c r="P5062" i="7"/>
  <c r="P5063" i="7"/>
  <c r="P5064" i="7"/>
  <c r="P5065" i="7"/>
  <c r="P5066" i="7"/>
  <c r="P5067" i="7"/>
  <c r="P5068" i="7"/>
  <c r="P5069" i="7"/>
  <c r="P5070" i="7"/>
  <c r="P5071" i="7"/>
  <c r="P5072" i="7"/>
  <c r="P5073" i="7"/>
  <c r="P5074" i="7"/>
  <c r="P5075" i="7"/>
  <c r="P5076" i="7"/>
  <c r="P5077" i="7"/>
  <c r="P5078" i="7"/>
  <c r="P5079" i="7"/>
  <c r="P5080" i="7"/>
  <c r="P5081" i="7"/>
  <c r="P5082" i="7"/>
  <c r="P5083" i="7"/>
  <c r="P5084" i="7"/>
  <c r="P5085" i="7"/>
  <c r="P5086" i="7"/>
  <c r="P5087" i="7"/>
  <c r="P5088" i="7"/>
  <c r="P5089" i="7"/>
  <c r="P5090" i="7"/>
  <c r="P5091" i="7"/>
  <c r="P5092" i="7"/>
  <c r="P5093" i="7"/>
  <c r="P5094" i="7"/>
  <c r="P5095" i="7"/>
  <c r="P5096" i="7"/>
  <c r="P5097" i="7"/>
  <c r="P5098" i="7"/>
  <c r="P5099" i="7"/>
  <c r="P5100" i="7"/>
  <c r="P5101" i="7"/>
  <c r="P5102" i="7"/>
  <c r="P5103" i="7"/>
  <c r="P5104" i="7"/>
  <c r="P5105" i="7"/>
  <c r="P5106" i="7"/>
  <c r="P5107" i="7"/>
  <c r="P5108" i="7"/>
  <c r="P5109" i="7"/>
  <c r="P5110" i="7"/>
  <c r="P5111" i="7"/>
  <c r="P5112" i="7"/>
  <c r="P5113" i="7"/>
  <c r="P5114" i="7"/>
  <c r="P5115" i="7"/>
  <c r="P5116" i="7"/>
  <c r="P5117" i="7"/>
  <c r="P5118" i="7"/>
  <c r="P5119" i="7"/>
  <c r="P5120" i="7"/>
  <c r="P5121" i="7"/>
  <c r="P5122" i="7"/>
  <c r="P5123" i="7"/>
  <c r="P5124" i="7"/>
  <c r="P5125" i="7"/>
  <c r="P5126" i="7"/>
  <c r="P5127" i="7"/>
  <c r="P5128" i="7"/>
  <c r="P5129" i="7"/>
  <c r="P5130" i="7"/>
  <c r="P5131" i="7"/>
  <c r="P5132" i="7"/>
  <c r="P5133" i="7"/>
  <c r="P5134" i="7"/>
  <c r="P5135" i="7"/>
  <c r="P5136" i="7"/>
  <c r="P5137" i="7"/>
  <c r="P5138" i="7"/>
  <c r="P5139" i="7"/>
  <c r="P5140" i="7"/>
  <c r="P5141" i="7"/>
  <c r="P5142" i="7"/>
  <c r="P5143" i="7"/>
  <c r="P5144" i="7"/>
  <c r="P5145" i="7"/>
  <c r="P5146" i="7"/>
  <c r="P5147" i="7"/>
  <c r="P5148" i="7"/>
  <c r="P5149" i="7"/>
  <c r="P5150" i="7"/>
  <c r="P5151" i="7"/>
  <c r="P5152" i="7"/>
  <c r="P5153" i="7"/>
  <c r="P5154" i="7"/>
  <c r="P5155" i="7"/>
  <c r="P5156" i="7"/>
  <c r="P5157" i="7"/>
  <c r="P5158" i="7"/>
  <c r="P5159" i="7"/>
  <c r="P5160" i="7"/>
  <c r="P5161" i="7"/>
  <c r="P5162" i="7"/>
  <c r="M89" i="5" s="1"/>
  <c r="P5163" i="7"/>
  <c r="P5164" i="7"/>
  <c r="P5165" i="7"/>
  <c r="P5166" i="7"/>
  <c r="P5167" i="7"/>
  <c r="P5168" i="7"/>
  <c r="P5169" i="7"/>
  <c r="P5170" i="7"/>
  <c r="P5171" i="7"/>
  <c r="P5172" i="7"/>
  <c r="P5173" i="7"/>
  <c r="P5174" i="7"/>
  <c r="P5175" i="7"/>
  <c r="P5176" i="7"/>
  <c r="P5177" i="7"/>
  <c r="P5178" i="7"/>
  <c r="P5179" i="7"/>
  <c r="P5180" i="7"/>
  <c r="P5181" i="7"/>
  <c r="P5182" i="7"/>
  <c r="P5183" i="7"/>
  <c r="P5184" i="7"/>
  <c r="P5185" i="7"/>
  <c r="P5186" i="7"/>
  <c r="P5187" i="7"/>
  <c r="P5188" i="7"/>
  <c r="P5189" i="7"/>
  <c r="P5190" i="7"/>
  <c r="P5191" i="7"/>
  <c r="P5192" i="7"/>
  <c r="P5193" i="7"/>
  <c r="P5194" i="7"/>
  <c r="P5195" i="7"/>
  <c r="P5196" i="7"/>
  <c r="P5197" i="7"/>
  <c r="P5198" i="7"/>
  <c r="P5199" i="7"/>
  <c r="P5200" i="7"/>
  <c r="P5201" i="7"/>
  <c r="P5202" i="7"/>
  <c r="P5203" i="7"/>
  <c r="P5204" i="7"/>
  <c r="P5205" i="7"/>
  <c r="P5206" i="7"/>
  <c r="P5207" i="7"/>
  <c r="P5208" i="7"/>
  <c r="P5209" i="7"/>
  <c r="P5210" i="7"/>
  <c r="P5211" i="7"/>
  <c r="P5212" i="7"/>
  <c r="P5213" i="7"/>
  <c r="P5214" i="7"/>
  <c r="P5215" i="7"/>
  <c r="P5216" i="7"/>
  <c r="P5217" i="7"/>
  <c r="P5218" i="7"/>
  <c r="P5219" i="7"/>
  <c r="P5220" i="7"/>
  <c r="P5221" i="7"/>
  <c r="P5222" i="7"/>
  <c r="P5223" i="7"/>
  <c r="P5224" i="7"/>
  <c r="P5225" i="7"/>
  <c r="P5226" i="7"/>
  <c r="P5227" i="7"/>
  <c r="P5228" i="7"/>
  <c r="P5229" i="7"/>
  <c r="P5230" i="7"/>
  <c r="P5231" i="7"/>
  <c r="P5232" i="7"/>
  <c r="P5233" i="7"/>
  <c r="P5234" i="7"/>
  <c r="P5235" i="7"/>
  <c r="P5236" i="7"/>
  <c r="P5237" i="7"/>
  <c r="P5238" i="7"/>
  <c r="P5239" i="7"/>
  <c r="P5240" i="7"/>
  <c r="P5241" i="7"/>
  <c r="P5242" i="7"/>
  <c r="P5243" i="7"/>
  <c r="P5244" i="7"/>
  <c r="P5245" i="7"/>
  <c r="P5246" i="7"/>
  <c r="P5247" i="7"/>
  <c r="P5248" i="7"/>
  <c r="P5249" i="7"/>
  <c r="P5250" i="7"/>
  <c r="P5251" i="7"/>
  <c r="P5252" i="7"/>
  <c r="P5253" i="7"/>
  <c r="P5254" i="7"/>
  <c r="P5255" i="7"/>
  <c r="P5256" i="7"/>
  <c r="P5257" i="7"/>
  <c r="P5258" i="7"/>
  <c r="P5259" i="7"/>
  <c r="P5260" i="7"/>
  <c r="P5261" i="7"/>
  <c r="P5262" i="7"/>
  <c r="P5263" i="7"/>
  <c r="P5264" i="7"/>
  <c r="P5265" i="7"/>
  <c r="P5266" i="7"/>
  <c r="P5267" i="7"/>
  <c r="P5268" i="7"/>
  <c r="P5269" i="7"/>
  <c r="P5270" i="7"/>
  <c r="P5271" i="7"/>
  <c r="P5272" i="7"/>
  <c r="P5273" i="7"/>
  <c r="P5274" i="7"/>
  <c r="P5275" i="7"/>
  <c r="P5276" i="7"/>
  <c r="P5277" i="7"/>
  <c r="P5278" i="7"/>
  <c r="P5279" i="7"/>
  <c r="P5280" i="7"/>
  <c r="P5281" i="7"/>
  <c r="P5282" i="7"/>
  <c r="P5283" i="7"/>
  <c r="P5284" i="7"/>
  <c r="P5285" i="7"/>
  <c r="P5286" i="7"/>
  <c r="P5287" i="7"/>
  <c r="P5288" i="7"/>
  <c r="P5289" i="7"/>
  <c r="P5290" i="7"/>
  <c r="P5291" i="7"/>
  <c r="P5292" i="7"/>
  <c r="P5293" i="7"/>
  <c r="P5294" i="7"/>
  <c r="P5295" i="7"/>
  <c r="P5296" i="7"/>
  <c r="P5297" i="7"/>
  <c r="P5298" i="7"/>
  <c r="P5299" i="7"/>
  <c r="P5300" i="7"/>
  <c r="P5301" i="7"/>
  <c r="P5302" i="7"/>
  <c r="P5303" i="7"/>
  <c r="P5304" i="7"/>
  <c r="P5305" i="7"/>
  <c r="P5306" i="7"/>
  <c r="P5307" i="7"/>
  <c r="P5308" i="7"/>
  <c r="P5309" i="7"/>
  <c r="P5310" i="7"/>
  <c r="P5311" i="7"/>
  <c r="P5312" i="7"/>
  <c r="P5313" i="7"/>
  <c r="P5314" i="7"/>
  <c r="P5315" i="7"/>
  <c r="P5316" i="7"/>
  <c r="P5317" i="7"/>
  <c r="P5318" i="7"/>
  <c r="P5319" i="7"/>
  <c r="P5320" i="7"/>
  <c r="P5321" i="7"/>
  <c r="P5322" i="7"/>
  <c r="P5323" i="7"/>
  <c r="P5324" i="7"/>
  <c r="P5325" i="7"/>
  <c r="P5326" i="7"/>
  <c r="P5327" i="7"/>
  <c r="P5328" i="7"/>
  <c r="P5329" i="7"/>
  <c r="P5330" i="7"/>
  <c r="P5331" i="7"/>
  <c r="P5332" i="7"/>
  <c r="P5333" i="7"/>
  <c r="P5334" i="7"/>
  <c r="P5335" i="7"/>
  <c r="P5336" i="7"/>
  <c r="P5337" i="7"/>
  <c r="P5338" i="7"/>
  <c r="P5339" i="7"/>
  <c r="P5340" i="7"/>
  <c r="P5341" i="7"/>
  <c r="P5342" i="7"/>
  <c r="P5343" i="7"/>
  <c r="P5344" i="7"/>
  <c r="P5345" i="7"/>
  <c r="P5346" i="7"/>
  <c r="P5347" i="7"/>
  <c r="P5348" i="7"/>
  <c r="P5349" i="7"/>
  <c r="P5350" i="7"/>
  <c r="P5351" i="7"/>
  <c r="P5352" i="7"/>
  <c r="P5353" i="7"/>
  <c r="P5354" i="7"/>
  <c r="P5355" i="7"/>
  <c r="P5356" i="7"/>
  <c r="P5357" i="7"/>
  <c r="P5358" i="7"/>
  <c r="P5359" i="7"/>
  <c r="P5360" i="7"/>
  <c r="P5361" i="7"/>
  <c r="P5362" i="7"/>
  <c r="P5363" i="7"/>
  <c r="P5364" i="7"/>
  <c r="P5365" i="7"/>
  <c r="P5366" i="7"/>
  <c r="P5367" i="7"/>
  <c r="P5368" i="7"/>
  <c r="P5369" i="7"/>
  <c r="P5370" i="7"/>
  <c r="P5371" i="7"/>
  <c r="P5372" i="7"/>
  <c r="P5373" i="7"/>
  <c r="P5374" i="7"/>
  <c r="P5375" i="7"/>
  <c r="P5376" i="7"/>
  <c r="P5377" i="7"/>
  <c r="P5378" i="7"/>
  <c r="P5379" i="7"/>
  <c r="P5380" i="7"/>
  <c r="P5381" i="7"/>
  <c r="P5382" i="7"/>
  <c r="P5383" i="7"/>
  <c r="P5384" i="7"/>
  <c r="P5385" i="7"/>
  <c r="P5386" i="7"/>
  <c r="P5387" i="7"/>
  <c r="P5388" i="7"/>
  <c r="P5389" i="7"/>
  <c r="P5390" i="7"/>
  <c r="P5391" i="7"/>
  <c r="P5392" i="7"/>
  <c r="P5393" i="7"/>
  <c r="P5394" i="7"/>
  <c r="P5395" i="7"/>
  <c r="P5396" i="7"/>
  <c r="P5397" i="7"/>
  <c r="P5398" i="7"/>
  <c r="P5399" i="7"/>
  <c r="P5400" i="7"/>
  <c r="P5401" i="7"/>
  <c r="P5402" i="7"/>
  <c r="P5403" i="7"/>
  <c r="P5404" i="7"/>
  <c r="P5405" i="7"/>
  <c r="P5406" i="7"/>
  <c r="P5407" i="7"/>
  <c r="P5408" i="7"/>
  <c r="P5409" i="7"/>
  <c r="P5410" i="7"/>
  <c r="P5411" i="7"/>
  <c r="P5412" i="7"/>
  <c r="P5413" i="7"/>
  <c r="P5414" i="7"/>
  <c r="P5415" i="7"/>
  <c r="P5416" i="7"/>
  <c r="P5417" i="7"/>
  <c r="P5418" i="7"/>
  <c r="P5419" i="7"/>
  <c r="P5420" i="7"/>
  <c r="P5421" i="7"/>
  <c r="P5422" i="7"/>
  <c r="P5423" i="7"/>
  <c r="P5424" i="7"/>
  <c r="P5425" i="7"/>
  <c r="P5426" i="7"/>
  <c r="P5427" i="7"/>
  <c r="P5428" i="7"/>
  <c r="P5429" i="7"/>
  <c r="P5430" i="7"/>
  <c r="P5431" i="7"/>
  <c r="P5432" i="7"/>
  <c r="P5433" i="7"/>
  <c r="P5434" i="7"/>
  <c r="P5435" i="7"/>
  <c r="P5436" i="7"/>
  <c r="P5437" i="7"/>
  <c r="P5438" i="7"/>
  <c r="P5439" i="7"/>
  <c r="P5440" i="7"/>
  <c r="P5441" i="7"/>
  <c r="P5442" i="7"/>
  <c r="P5443" i="7"/>
  <c r="P5444" i="7"/>
  <c r="P5445" i="7"/>
  <c r="P5446" i="7"/>
  <c r="P5447" i="7"/>
  <c r="P5448" i="7"/>
  <c r="P5449" i="7"/>
  <c r="P5450" i="7"/>
  <c r="P5451" i="7"/>
  <c r="P5452" i="7"/>
  <c r="P5453" i="7"/>
  <c r="P5454" i="7"/>
  <c r="P5455" i="7"/>
  <c r="P5456" i="7"/>
  <c r="P5457" i="7"/>
  <c r="P5458" i="7"/>
  <c r="P5459" i="7"/>
  <c r="P5460" i="7"/>
  <c r="P5461" i="7"/>
  <c r="P5462" i="7"/>
  <c r="P5463" i="7"/>
  <c r="P5464" i="7"/>
  <c r="P5465" i="7"/>
  <c r="P5466" i="7"/>
  <c r="P5467" i="7"/>
  <c r="P5468" i="7"/>
  <c r="P5469" i="7"/>
  <c r="P5470" i="7"/>
  <c r="P5471" i="7"/>
  <c r="P5472" i="7"/>
  <c r="P5473" i="7"/>
  <c r="P5474" i="7"/>
  <c r="P5475" i="7"/>
  <c r="P5476" i="7"/>
  <c r="P5477" i="7"/>
  <c r="P5478" i="7"/>
  <c r="P5479" i="7"/>
  <c r="P5480" i="7"/>
  <c r="P5481" i="7"/>
  <c r="P5482" i="7"/>
  <c r="P5483" i="7"/>
  <c r="P5484" i="7"/>
  <c r="P5485" i="7"/>
  <c r="P5486" i="7"/>
  <c r="P5487" i="7"/>
  <c r="P5488" i="7"/>
  <c r="P5489" i="7"/>
  <c r="P5490" i="7"/>
  <c r="P5491" i="7"/>
  <c r="P5492" i="7"/>
  <c r="P5493" i="7"/>
  <c r="P5494" i="7"/>
  <c r="P5495" i="7"/>
  <c r="P5496" i="7"/>
  <c r="P5497" i="7"/>
  <c r="P5498" i="7"/>
  <c r="P5499" i="7"/>
  <c r="P5500" i="7"/>
  <c r="P5501" i="7"/>
  <c r="P5502" i="7"/>
  <c r="P5503" i="7"/>
  <c r="P5504" i="7"/>
  <c r="P5505" i="7"/>
  <c r="P5506" i="7"/>
  <c r="P5507" i="7"/>
  <c r="P5508" i="7"/>
  <c r="P5509" i="7"/>
  <c r="P5510" i="7"/>
  <c r="P5511" i="7"/>
  <c r="P5512" i="7"/>
  <c r="P5513" i="7"/>
  <c r="P5514" i="7"/>
  <c r="P5515" i="7"/>
  <c r="P5516" i="7"/>
  <c r="P5517" i="7"/>
  <c r="P5518" i="7"/>
  <c r="P5519" i="7"/>
  <c r="P5520" i="7"/>
  <c r="P5521" i="7"/>
  <c r="P5522" i="7"/>
  <c r="P5523" i="7"/>
  <c r="P5524" i="7"/>
  <c r="P5525" i="7"/>
  <c r="P5526" i="7"/>
  <c r="P5527" i="7"/>
  <c r="P5528" i="7"/>
  <c r="P5529" i="7"/>
  <c r="P5530" i="7"/>
  <c r="P5531" i="7"/>
  <c r="P5532" i="7"/>
  <c r="P5533" i="7"/>
  <c r="P5534" i="7"/>
  <c r="P5535" i="7"/>
  <c r="P5536" i="7"/>
  <c r="P5537" i="7"/>
  <c r="P5538" i="7"/>
  <c r="P5539" i="7"/>
  <c r="P5540" i="7"/>
  <c r="P5541" i="7"/>
  <c r="P5542" i="7"/>
  <c r="P5543" i="7"/>
  <c r="P5544" i="7"/>
  <c r="P5545" i="7"/>
  <c r="P5546" i="7"/>
  <c r="P5547" i="7"/>
  <c r="P5548" i="7"/>
  <c r="P5549" i="7"/>
  <c r="P5550" i="7"/>
  <c r="P5551" i="7"/>
  <c r="P5552" i="7"/>
  <c r="P5553" i="7"/>
  <c r="P5554" i="7"/>
  <c r="P5555" i="7"/>
  <c r="P5556" i="7"/>
  <c r="P5557" i="7"/>
  <c r="P5558" i="7"/>
  <c r="P5559" i="7"/>
  <c r="P5560" i="7"/>
  <c r="P5561" i="7"/>
  <c r="P5562" i="7"/>
  <c r="P5563" i="7"/>
  <c r="P5564" i="7"/>
  <c r="P5565" i="7"/>
  <c r="P5566" i="7"/>
  <c r="P5567" i="7"/>
  <c r="P5568" i="7"/>
  <c r="P5569" i="7"/>
  <c r="P5570" i="7"/>
  <c r="P5571" i="7"/>
  <c r="P5572" i="7"/>
  <c r="P5573" i="7"/>
  <c r="P5574" i="7"/>
  <c r="P5575" i="7"/>
  <c r="P5576" i="7"/>
  <c r="P5577" i="7"/>
  <c r="P5578" i="7"/>
  <c r="P5579" i="7"/>
  <c r="P5580" i="7"/>
  <c r="P5581" i="7"/>
  <c r="P5582" i="7"/>
  <c r="P5583" i="7"/>
  <c r="P5584" i="7"/>
  <c r="P5585" i="7"/>
  <c r="P5586" i="7"/>
  <c r="P5587" i="7"/>
  <c r="P5588" i="7"/>
  <c r="P5589" i="7"/>
  <c r="P5590" i="7"/>
  <c r="P5591" i="7"/>
  <c r="P5592" i="7"/>
  <c r="P5593" i="7"/>
  <c r="P5594" i="7"/>
  <c r="P5595" i="7"/>
  <c r="P5596" i="7"/>
  <c r="P5597" i="7"/>
  <c r="P5598" i="7"/>
  <c r="P5599" i="7"/>
  <c r="P5600" i="7"/>
  <c r="P5601" i="7"/>
  <c r="P5602" i="7"/>
  <c r="P5603" i="7"/>
  <c r="P5604" i="7"/>
  <c r="P5605" i="7"/>
  <c r="P5606" i="7"/>
  <c r="P5607" i="7"/>
  <c r="P5608" i="7"/>
  <c r="P5609" i="7"/>
  <c r="P5610" i="7"/>
  <c r="P5611" i="7"/>
  <c r="P5612" i="7"/>
  <c r="P5613" i="7"/>
  <c r="P5614" i="7"/>
  <c r="P5615" i="7"/>
  <c r="P5616" i="7"/>
  <c r="P5617" i="7"/>
  <c r="P5618" i="7"/>
  <c r="P5619" i="7"/>
  <c r="P5620" i="7"/>
  <c r="P5621" i="7"/>
  <c r="P5622" i="7"/>
  <c r="P5623" i="7"/>
  <c r="P5624" i="7"/>
  <c r="P5625" i="7"/>
  <c r="P5626" i="7"/>
  <c r="P5627" i="7"/>
  <c r="P5628" i="7"/>
  <c r="P5629" i="7"/>
  <c r="P5630" i="7"/>
  <c r="P5631" i="7"/>
  <c r="P5632" i="7"/>
  <c r="P5633" i="7"/>
  <c r="P5634" i="7"/>
  <c r="P5635" i="7"/>
  <c r="P5636" i="7"/>
  <c r="P5637" i="7"/>
  <c r="P5638" i="7"/>
  <c r="P5639" i="7"/>
  <c r="P5640" i="7"/>
  <c r="P5641" i="7"/>
  <c r="P5642" i="7"/>
  <c r="P5643" i="7"/>
  <c r="P5644" i="7"/>
  <c r="P5645" i="7"/>
  <c r="P5646" i="7"/>
  <c r="P5647" i="7"/>
  <c r="P5648" i="7"/>
  <c r="P5649" i="7"/>
  <c r="P5650" i="7"/>
  <c r="P5651" i="7"/>
  <c r="P5652" i="7"/>
  <c r="P5653" i="7"/>
  <c r="P5654" i="7"/>
  <c r="P5655" i="7"/>
  <c r="P5656" i="7"/>
  <c r="P5657" i="7"/>
  <c r="P5658" i="7"/>
  <c r="P5659" i="7"/>
  <c r="P5660" i="7"/>
  <c r="P5661" i="7"/>
  <c r="P5662" i="7"/>
  <c r="P5663" i="7"/>
  <c r="P5664" i="7"/>
  <c r="P5665" i="7"/>
  <c r="P5666" i="7"/>
  <c r="P5667" i="7"/>
  <c r="P5668" i="7"/>
  <c r="P5669" i="7"/>
  <c r="P5670" i="7"/>
  <c r="P5671" i="7"/>
  <c r="P5672" i="7"/>
  <c r="P5673" i="7"/>
  <c r="P5674" i="7"/>
  <c r="P5675" i="7"/>
  <c r="P5676" i="7"/>
  <c r="P5677" i="7"/>
  <c r="P5678" i="7"/>
  <c r="P5679" i="7"/>
  <c r="P5680" i="7"/>
  <c r="P5681" i="7"/>
  <c r="P5682" i="7"/>
  <c r="P5683" i="7"/>
  <c r="P5684" i="7"/>
  <c r="P5685" i="7"/>
  <c r="P5686" i="7"/>
  <c r="P5687" i="7"/>
  <c r="P5688" i="7"/>
  <c r="P5689" i="7"/>
  <c r="P5690" i="7"/>
  <c r="P5691" i="7"/>
  <c r="P5692" i="7"/>
  <c r="P5693" i="7"/>
  <c r="P5694" i="7"/>
  <c r="P5695" i="7"/>
  <c r="P5696" i="7"/>
  <c r="P5697" i="7"/>
  <c r="P5698" i="7"/>
  <c r="P5699" i="7"/>
  <c r="P5700" i="7"/>
  <c r="P5701" i="7"/>
  <c r="P5702" i="7"/>
  <c r="P5703" i="7"/>
  <c r="P5704" i="7"/>
  <c r="P5705" i="7"/>
  <c r="P5706" i="7"/>
  <c r="P5707" i="7"/>
  <c r="P5708" i="7"/>
  <c r="P5709" i="7"/>
  <c r="P5710" i="7"/>
  <c r="P5711" i="7"/>
  <c r="P5712" i="7"/>
  <c r="P5713" i="7"/>
  <c r="P5714" i="7"/>
  <c r="P5715" i="7"/>
  <c r="P5716" i="7"/>
  <c r="P5717" i="7"/>
  <c r="P5718" i="7"/>
  <c r="P5719" i="7"/>
  <c r="P5720" i="7"/>
  <c r="P5721" i="7"/>
  <c r="P5722" i="7"/>
  <c r="P5723" i="7"/>
  <c r="P5724" i="7"/>
  <c r="P5725" i="7"/>
  <c r="P5726" i="7"/>
  <c r="P5727" i="7"/>
  <c r="P5728" i="7"/>
  <c r="P5729" i="7"/>
  <c r="P5730" i="7"/>
  <c r="P5731" i="7"/>
  <c r="P5732" i="7"/>
  <c r="P5733" i="7"/>
  <c r="P5734" i="7"/>
  <c r="P5735" i="7"/>
  <c r="P5736" i="7"/>
  <c r="P5737" i="7"/>
  <c r="P5738" i="7"/>
  <c r="P5739" i="7"/>
  <c r="P5740" i="7"/>
  <c r="P5741" i="7"/>
  <c r="P5742" i="7"/>
  <c r="P5743" i="7"/>
  <c r="P5744" i="7"/>
  <c r="P5745" i="7"/>
  <c r="P5746" i="7"/>
  <c r="P5747" i="7"/>
  <c r="P5748" i="7"/>
  <c r="P5749" i="7"/>
  <c r="P5750" i="7"/>
  <c r="P5751" i="7"/>
  <c r="P5752" i="7"/>
  <c r="P5753" i="7"/>
  <c r="P5754" i="7"/>
  <c r="P5755" i="7"/>
  <c r="P5756" i="7"/>
  <c r="P5757" i="7"/>
  <c r="P5758" i="7"/>
  <c r="P5759" i="7"/>
  <c r="P5760" i="7"/>
  <c r="P5761" i="7"/>
  <c r="P5762" i="7"/>
  <c r="P5763" i="7"/>
  <c r="P5764" i="7"/>
  <c r="P5765" i="7"/>
  <c r="P5766" i="7"/>
  <c r="P5767" i="7"/>
  <c r="P5768" i="7"/>
  <c r="P5769" i="7"/>
  <c r="P5770" i="7"/>
  <c r="P5771" i="7"/>
  <c r="P5772" i="7"/>
  <c r="P5773" i="7"/>
  <c r="P5774" i="7"/>
  <c r="P5775" i="7"/>
  <c r="P5776" i="7"/>
  <c r="P5777" i="7"/>
  <c r="P5778" i="7"/>
  <c r="P5779" i="7"/>
  <c r="P5780" i="7"/>
  <c r="P5781" i="7"/>
  <c r="P5782" i="7"/>
  <c r="P5783" i="7"/>
  <c r="P5784" i="7"/>
  <c r="P5785" i="7"/>
  <c r="P5786" i="7"/>
  <c r="P5787" i="7"/>
  <c r="P5788" i="7"/>
  <c r="P5789" i="7"/>
  <c r="P5790" i="7"/>
  <c r="P5791" i="7"/>
  <c r="P5792" i="7"/>
  <c r="P5793" i="7"/>
  <c r="P5794" i="7"/>
  <c r="P5795" i="7"/>
  <c r="P5796" i="7"/>
  <c r="P5797" i="7"/>
  <c r="P5798" i="7"/>
  <c r="P5799" i="7"/>
  <c r="P5800" i="7"/>
  <c r="P5801" i="7"/>
  <c r="P5802" i="7"/>
  <c r="P5803" i="7"/>
  <c r="P5804" i="7"/>
  <c r="P5805" i="7"/>
  <c r="P5806" i="7"/>
  <c r="P5807" i="7"/>
  <c r="P5808" i="7"/>
  <c r="P5809" i="7"/>
  <c r="P5810" i="7"/>
  <c r="P5811" i="7"/>
  <c r="P5812" i="7"/>
  <c r="P5813" i="7"/>
  <c r="P5814" i="7"/>
  <c r="P5815" i="7"/>
  <c r="P5816" i="7"/>
  <c r="P5817" i="7"/>
  <c r="P5818" i="7"/>
  <c r="P5819" i="7"/>
  <c r="P5820" i="7"/>
  <c r="P5821" i="7"/>
  <c r="P5822" i="7"/>
  <c r="P5823" i="7"/>
  <c r="P5824" i="7"/>
  <c r="P5825" i="7"/>
  <c r="P5826" i="7"/>
  <c r="P5827" i="7"/>
  <c r="P5828" i="7"/>
  <c r="P5829" i="7"/>
  <c r="P5830" i="7"/>
  <c r="P5831" i="7"/>
  <c r="P5832" i="7"/>
  <c r="P5833" i="7"/>
  <c r="P5834" i="7"/>
  <c r="P5835" i="7"/>
  <c r="P5836" i="7"/>
  <c r="P5837" i="7"/>
  <c r="P5838" i="7"/>
  <c r="P5839" i="7"/>
  <c r="P5840" i="7"/>
  <c r="P5841" i="7"/>
  <c r="P5842" i="7"/>
  <c r="P5843" i="7"/>
  <c r="P5844" i="7"/>
  <c r="P5845" i="7"/>
  <c r="P5846" i="7"/>
  <c r="P5847" i="7"/>
  <c r="P5848" i="7"/>
  <c r="P5849" i="7"/>
  <c r="P5850" i="7"/>
  <c r="P5851" i="7"/>
  <c r="P5852" i="7"/>
  <c r="P5853" i="7"/>
  <c r="P5854" i="7"/>
  <c r="P5855" i="7"/>
  <c r="P5856" i="7"/>
  <c r="P5857" i="7"/>
  <c r="P5858" i="7"/>
  <c r="P5859" i="7"/>
  <c r="P5860" i="7"/>
  <c r="P5861" i="7"/>
  <c r="P5862" i="7"/>
  <c r="P5863" i="7"/>
  <c r="P5864" i="7"/>
  <c r="P5865" i="7"/>
  <c r="P5866" i="7"/>
  <c r="P5867" i="7"/>
  <c r="P5868" i="7"/>
  <c r="P5869" i="7"/>
  <c r="P5870" i="7"/>
  <c r="P5871" i="7"/>
  <c r="P5872" i="7"/>
  <c r="P5873" i="7"/>
  <c r="P5874" i="7"/>
  <c r="P5875" i="7"/>
  <c r="P5876" i="7"/>
  <c r="P5877" i="7"/>
  <c r="P5878" i="7"/>
  <c r="P5879" i="7"/>
  <c r="P5880" i="7"/>
  <c r="P5881" i="7"/>
  <c r="P5882" i="7"/>
  <c r="P5883" i="7"/>
  <c r="P5884" i="7"/>
  <c r="P5885" i="7"/>
  <c r="P5886" i="7"/>
  <c r="P5887" i="7"/>
  <c r="P5888" i="7"/>
  <c r="P5889" i="7"/>
  <c r="P5890" i="7"/>
  <c r="P5891" i="7"/>
  <c r="P5892" i="7"/>
  <c r="P5893" i="7"/>
  <c r="P5894" i="7"/>
  <c r="P5895" i="7"/>
  <c r="P5896" i="7"/>
  <c r="P5897" i="7"/>
  <c r="P5898" i="7"/>
  <c r="P5899" i="7"/>
  <c r="P5900" i="7"/>
  <c r="P5901" i="7"/>
  <c r="P5902" i="7"/>
  <c r="P5903" i="7"/>
  <c r="P5904" i="7"/>
  <c r="P5905" i="7"/>
  <c r="P5906" i="7"/>
  <c r="P5907" i="7"/>
  <c r="P5908" i="7"/>
  <c r="P5909" i="7"/>
  <c r="P5910" i="7"/>
  <c r="P5911" i="7"/>
  <c r="P5912" i="7"/>
  <c r="P5913" i="7"/>
  <c r="P5914" i="7"/>
  <c r="P5915" i="7"/>
  <c r="P5916" i="7"/>
  <c r="P5917" i="7"/>
  <c r="P5918" i="7"/>
  <c r="P5919" i="7"/>
  <c r="P5920" i="7"/>
  <c r="P5921" i="7"/>
  <c r="P5922" i="7"/>
  <c r="P5923" i="7"/>
  <c r="P5924" i="7"/>
  <c r="P5925" i="7"/>
  <c r="P5926" i="7"/>
  <c r="P5927" i="7"/>
  <c r="P5928" i="7"/>
  <c r="P5929" i="7"/>
  <c r="P5930" i="7"/>
  <c r="P5931" i="7"/>
  <c r="P5932" i="7"/>
  <c r="P5933" i="7"/>
  <c r="P5934" i="7"/>
  <c r="P5935" i="7"/>
  <c r="P5936" i="7"/>
  <c r="P5937" i="7"/>
  <c r="P5938" i="7"/>
  <c r="P5939" i="7"/>
  <c r="P5940" i="7"/>
  <c r="P5941" i="7"/>
  <c r="P5942" i="7"/>
  <c r="P5943" i="7"/>
  <c r="P5944" i="7"/>
  <c r="P5945" i="7"/>
  <c r="P5946" i="7"/>
  <c r="P5947" i="7"/>
  <c r="P5948" i="7"/>
  <c r="P5949" i="7"/>
  <c r="P5950" i="7"/>
  <c r="P5951" i="7"/>
  <c r="P5952" i="7"/>
  <c r="P5953" i="7"/>
  <c r="P5954" i="7"/>
  <c r="P5955" i="7"/>
  <c r="P5956" i="7"/>
  <c r="P5957" i="7"/>
  <c r="P5958" i="7"/>
  <c r="P5959" i="7"/>
  <c r="P5960" i="7"/>
  <c r="P5961" i="7"/>
  <c r="P5962" i="7"/>
  <c r="P5963" i="7"/>
  <c r="P5964" i="7"/>
  <c r="P5965" i="7"/>
  <c r="P5966" i="7"/>
  <c r="P5967" i="7"/>
  <c r="P5968" i="7"/>
  <c r="P5969" i="7"/>
  <c r="P5970" i="7"/>
  <c r="P5971" i="7"/>
  <c r="P5972" i="7"/>
  <c r="P5973" i="7"/>
  <c r="P5974" i="7"/>
  <c r="P5975" i="7"/>
  <c r="P5976" i="7"/>
  <c r="P5977" i="7"/>
  <c r="P5978" i="7"/>
  <c r="P5979" i="7"/>
  <c r="P5980" i="7"/>
  <c r="P5981" i="7"/>
  <c r="P5982" i="7"/>
  <c r="P5983" i="7"/>
  <c r="P5984" i="7"/>
  <c r="P5985" i="7"/>
  <c r="P5986" i="7"/>
  <c r="P5987" i="7"/>
  <c r="P5988" i="7"/>
  <c r="P5989" i="7"/>
  <c r="P5990" i="7"/>
  <c r="P5991" i="7"/>
  <c r="P5992" i="7"/>
  <c r="P5993" i="7"/>
  <c r="P5994" i="7"/>
  <c r="P5995" i="7"/>
  <c r="P5996" i="7"/>
  <c r="P5997" i="7"/>
  <c r="P5998" i="7"/>
  <c r="M93" i="5" s="1"/>
  <c r="P5999" i="7"/>
  <c r="P6000" i="7"/>
  <c r="P6001" i="7"/>
  <c r="P6002" i="7"/>
  <c r="P6003" i="7"/>
  <c r="P6004" i="7"/>
  <c r="P6005" i="7"/>
  <c r="P6006" i="7"/>
  <c r="P6007" i="7"/>
  <c r="P6008" i="7"/>
  <c r="P6009" i="7"/>
  <c r="P6010" i="7"/>
  <c r="P6011" i="7"/>
  <c r="P6012" i="7"/>
  <c r="P6013" i="7"/>
  <c r="P6014" i="7"/>
  <c r="P6015" i="7"/>
  <c r="P6016" i="7"/>
  <c r="P6017" i="7"/>
  <c r="P6018" i="7"/>
  <c r="P6019" i="7"/>
  <c r="P6020" i="7"/>
  <c r="P6021" i="7"/>
  <c r="P6022" i="7"/>
  <c r="P6023" i="7"/>
  <c r="P6024" i="7"/>
  <c r="P6025" i="7"/>
  <c r="P6026" i="7"/>
  <c r="P6027" i="7"/>
  <c r="P6028" i="7"/>
  <c r="P6029" i="7"/>
  <c r="P6030" i="7"/>
  <c r="P6031" i="7"/>
  <c r="P6032" i="7"/>
  <c r="P6033" i="7"/>
  <c r="P6034" i="7"/>
  <c r="P6035" i="7"/>
  <c r="P6036" i="7"/>
  <c r="P6037" i="7"/>
  <c r="P6038" i="7"/>
  <c r="P6039" i="7"/>
  <c r="P6040" i="7"/>
  <c r="P6041" i="7"/>
  <c r="P6042" i="7"/>
  <c r="P6043" i="7"/>
  <c r="P6044" i="7"/>
  <c r="P6045" i="7"/>
  <c r="P6046" i="7"/>
  <c r="P6047" i="7"/>
  <c r="P6048" i="7"/>
  <c r="P6049" i="7"/>
  <c r="P6050" i="7"/>
  <c r="P6051" i="7"/>
  <c r="P6052" i="7"/>
  <c r="P6053" i="7"/>
  <c r="P6054" i="7"/>
  <c r="P6055" i="7"/>
  <c r="P6056" i="7"/>
  <c r="P6057" i="7"/>
  <c r="P6058" i="7"/>
  <c r="P6059" i="7"/>
  <c r="P6060" i="7"/>
  <c r="P6061" i="7"/>
  <c r="P6062" i="7"/>
  <c r="P6063" i="7"/>
  <c r="P6064" i="7"/>
  <c r="P6065" i="7"/>
  <c r="P6066" i="7"/>
  <c r="P6067" i="7"/>
  <c r="P6068" i="7"/>
  <c r="P6069" i="7"/>
  <c r="P6070" i="7"/>
  <c r="P6071" i="7"/>
  <c r="P6072" i="7"/>
  <c r="P6073" i="7"/>
  <c r="P6074" i="7"/>
  <c r="P6075" i="7"/>
  <c r="P6076" i="7"/>
  <c r="P6077" i="7"/>
  <c r="P6078" i="7"/>
  <c r="P6079" i="7"/>
  <c r="P6080" i="7"/>
  <c r="P6081" i="7"/>
  <c r="P6082" i="7"/>
  <c r="P6083" i="7"/>
  <c r="P6084" i="7"/>
  <c r="P6085" i="7"/>
  <c r="P6086" i="7"/>
  <c r="P6087" i="7"/>
  <c r="P6088" i="7"/>
  <c r="P6089" i="7"/>
  <c r="P6090" i="7"/>
  <c r="P6091" i="7"/>
  <c r="P6092" i="7"/>
  <c r="P6093" i="7"/>
  <c r="P6094" i="7"/>
  <c r="P6095" i="7"/>
  <c r="P6096" i="7"/>
  <c r="P6097" i="7"/>
  <c r="P6098" i="7"/>
  <c r="P6099" i="7"/>
  <c r="P6100" i="7"/>
  <c r="P6101" i="7"/>
  <c r="P6102" i="7"/>
  <c r="P6103" i="7"/>
  <c r="P6104" i="7"/>
  <c r="P6105" i="7"/>
  <c r="P6106" i="7"/>
  <c r="P6107" i="7"/>
  <c r="P6108" i="7"/>
  <c r="P6109" i="7"/>
  <c r="P6110" i="7"/>
  <c r="P6111" i="7"/>
  <c r="P6112" i="7"/>
  <c r="P6113" i="7"/>
  <c r="P6114" i="7"/>
  <c r="P6115" i="7"/>
  <c r="P6116" i="7"/>
  <c r="P6117" i="7"/>
  <c r="P6118" i="7"/>
  <c r="P6119" i="7"/>
  <c r="P6120" i="7"/>
  <c r="P6121" i="7"/>
  <c r="P6122" i="7"/>
  <c r="P6123" i="7"/>
  <c r="P6124" i="7"/>
  <c r="P6125" i="7"/>
  <c r="P6126" i="7"/>
  <c r="P6127" i="7"/>
  <c r="P6128" i="7"/>
  <c r="P6129" i="7"/>
  <c r="P6130" i="7"/>
  <c r="P6131" i="7"/>
  <c r="P6132" i="7"/>
  <c r="P6133" i="7"/>
  <c r="P6134" i="7"/>
  <c r="P6135" i="7"/>
  <c r="P6136" i="7"/>
  <c r="P6137" i="7"/>
  <c r="P6138" i="7"/>
  <c r="P6139" i="7"/>
  <c r="P6140" i="7"/>
  <c r="P6141" i="7"/>
  <c r="P6142" i="7"/>
  <c r="P6143" i="7"/>
  <c r="P6144" i="7"/>
  <c r="P6145" i="7"/>
  <c r="P6146" i="7"/>
  <c r="P6147" i="7"/>
  <c r="P6148" i="7"/>
  <c r="P6149" i="7"/>
  <c r="P6150" i="7"/>
  <c r="P6151" i="7"/>
  <c r="P6152" i="7"/>
  <c r="P6153" i="7"/>
  <c r="P6154" i="7"/>
  <c r="P6155" i="7"/>
  <c r="P6156" i="7"/>
  <c r="P6157" i="7"/>
  <c r="P6158" i="7"/>
  <c r="P6159" i="7"/>
  <c r="P6160" i="7"/>
  <c r="P6161" i="7"/>
  <c r="P6162" i="7"/>
  <c r="P6163" i="7"/>
  <c r="P6164" i="7"/>
  <c r="P6165" i="7"/>
  <c r="P6166" i="7"/>
  <c r="P6167" i="7"/>
  <c r="P6168" i="7"/>
  <c r="P6169" i="7"/>
  <c r="P6170" i="7"/>
  <c r="P6171" i="7"/>
  <c r="P6172" i="7"/>
  <c r="P6173" i="7"/>
  <c r="P6174" i="7"/>
  <c r="P6175" i="7"/>
  <c r="P6176" i="7"/>
  <c r="P6177" i="7"/>
  <c r="P6178" i="7"/>
  <c r="P6179" i="7"/>
  <c r="P6180" i="7"/>
  <c r="P6181" i="7"/>
  <c r="P6182" i="7"/>
  <c r="P6183" i="7"/>
  <c r="P6184" i="7"/>
  <c r="P6185" i="7"/>
  <c r="P6186" i="7"/>
  <c r="P6187" i="7"/>
  <c r="P6188" i="7"/>
  <c r="P6189" i="7"/>
  <c r="P6190" i="7"/>
  <c r="P6191" i="7"/>
  <c r="P6192" i="7"/>
  <c r="P6193" i="7"/>
  <c r="P6194" i="7"/>
  <c r="P6195" i="7"/>
  <c r="P6196" i="7"/>
  <c r="P6197" i="7"/>
  <c r="P6198" i="7"/>
  <c r="P6199" i="7"/>
  <c r="P6200" i="7"/>
  <c r="P6201" i="7"/>
  <c r="P6202" i="7"/>
  <c r="P6203" i="7"/>
  <c r="P6204" i="7"/>
  <c r="P6205" i="7"/>
  <c r="P6206" i="7"/>
  <c r="P6207" i="7"/>
  <c r="P6208" i="7"/>
  <c r="P6209" i="7"/>
  <c r="P6210" i="7"/>
  <c r="P6211" i="7"/>
  <c r="P6212" i="7"/>
  <c r="P6213" i="7"/>
  <c r="P6214" i="7"/>
  <c r="P6215" i="7"/>
  <c r="P6216" i="7"/>
  <c r="P6217" i="7"/>
  <c r="P6218" i="7"/>
  <c r="P6219" i="7"/>
  <c r="P6220" i="7"/>
  <c r="P6221" i="7"/>
  <c r="P6222" i="7"/>
  <c r="P6223" i="7"/>
  <c r="P6224" i="7"/>
  <c r="P6225" i="7"/>
  <c r="P6226" i="7"/>
  <c r="P6227" i="7"/>
  <c r="P6228" i="7"/>
  <c r="P6229" i="7"/>
  <c r="P6230" i="7"/>
  <c r="P6231" i="7"/>
  <c r="P6232" i="7"/>
  <c r="P6233" i="7"/>
  <c r="P6234" i="7"/>
  <c r="P6235" i="7"/>
  <c r="P6236" i="7"/>
  <c r="P6237" i="7"/>
  <c r="P6238" i="7"/>
  <c r="P6239" i="7"/>
  <c r="P6240" i="7"/>
  <c r="P6241" i="7"/>
  <c r="P6242" i="7"/>
  <c r="P6243" i="7"/>
  <c r="P6244" i="7"/>
  <c r="P6245" i="7"/>
  <c r="P6246" i="7"/>
  <c r="P6247" i="7"/>
  <c r="P6248" i="7"/>
  <c r="P6249" i="7"/>
  <c r="P6250" i="7"/>
  <c r="P6251" i="7"/>
  <c r="P6252" i="7"/>
  <c r="P6253" i="7"/>
  <c r="P6254" i="7"/>
  <c r="P6255" i="7"/>
  <c r="P6256" i="7"/>
  <c r="P6257" i="7"/>
  <c r="P6258" i="7"/>
  <c r="P6259" i="7"/>
  <c r="P6260" i="7"/>
  <c r="P6261" i="7"/>
  <c r="P6262" i="7"/>
  <c r="P6263" i="7"/>
  <c r="P6264" i="7"/>
  <c r="P6265" i="7"/>
  <c r="P6266" i="7"/>
  <c r="P6267" i="7"/>
  <c r="P6268" i="7"/>
  <c r="P6269" i="7"/>
  <c r="P6270" i="7"/>
  <c r="P6271" i="7"/>
  <c r="P6272" i="7"/>
  <c r="P6273" i="7"/>
  <c r="P6274" i="7"/>
  <c r="P6275" i="7"/>
  <c r="P6276" i="7"/>
  <c r="P6277" i="7"/>
  <c r="P6278" i="7"/>
  <c r="P6279" i="7"/>
  <c r="P6280" i="7"/>
  <c r="P6281" i="7"/>
  <c r="P6282" i="7"/>
  <c r="P6283" i="7"/>
  <c r="P6284" i="7"/>
  <c r="P6285" i="7"/>
  <c r="P6286" i="7"/>
  <c r="P6287" i="7"/>
  <c r="P6288" i="7"/>
  <c r="P6289" i="7"/>
  <c r="P6290" i="7"/>
  <c r="P6291" i="7"/>
  <c r="P6292" i="7"/>
  <c r="P6293" i="7"/>
  <c r="P6294" i="7"/>
  <c r="P6295" i="7"/>
  <c r="P6296" i="7"/>
  <c r="P6297" i="7"/>
  <c r="P6298" i="7"/>
  <c r="P6299" i="7"/>
  <c r="P6300" i="7"/>
  <c r="P6301" i="7"/>
  <c r="P6302" i="7"/>
  <c r="P6303" i="7"/>
  <c r="P6304" i="7"/>
  <c r="P6305" i="7"/>
  <c r="P6306" i="7"/>
  <c r="P6307" i="7"/>
  <c r="P6308" i="7"/>
  <c r="P6309" i="7"/>
  <c r="P6310" i="7"/>
  <c r="P6311" i="7"/>
  <c r="P6312" i="7"/>
  <c r="P6313" i="7"/>
  <c r="P6314" i="7"/>
  <c r="P6315" i="7"/>
  <c r="P6316" i="7"/>
  <c r="P6317" i="7"/>
  <c r="P6318" i="7"/>
  <c r="P6319" i="7"/>
  <c r="P6320" i="7"/>
  <c r="P6321" i="7"/>
  <c r="P6322" i="7"/>
  <c r="P6323" i="7"/>
  <c r="P6324" i="7"/>
  <c r="P6325" i="7"/>
  <c r="P6326" i="7"/>
  <c r="P6327" i="7"/>
  <c r="P6328" i="7"/>
  <c r="P6329" i="7"/>
  <c r="P6330" i="7"/>
  <c r="P6331" i="7"/>
  <c r="P6332" i="7"/>
  <c r="P6333" i="7"/>
  <c r="P6334" i="7"/>
  <c r="P6335" i="7"/>
  <c r="P6336" i="7"/>
  <c r="P6337" i="7"/>
  <c r="P6338" i="7"/>
  <c r="P6339" i="7"/>
  <c r="P6340" i="7"/>
  <c r="P6341" i="7"/>
  <c r="P6342" i="7"/>
  <c r="P6343" i="7"/>
  <c r="P6344" i="7"/>
  <c r="P6345" i="7"/>
  <c r="P6346" i="7"/>
  <c r="P6347" i="7"/>
  <c r="P6348" i="7"/>
  <c r="P6349" i="7"/>
  <c r="P6350" i="7"/>
  <c r="P6351" i="7"/>
  <c r="P6352" i="7"/>
  <c r="P6353" i="7"/>
  <c r="P6354" i="7"/>
  <c r="P6355" i="7"/>
  <c r="P6356" i="7"/>
  <c r="P6357" i="7"/>
  <c r="P6358" i="7"/>
  <c r="P6359" i="7"/>
  <c r="P6360" i="7"/>
  <c r="P6361" i="7"/>
  <c r="P6362" i="7"/>
  <c r="P6363" i="7"/>
  <c r="P6364" i="7"/>
  <c r="P6365" i="7"/>
  <c r="P6366" i="7"/>
  <c r="P6367" i="7"/>
  <c r="P6368" i="7"/>
  <c r="P6369" i="7"/>
  <c r="P6370" i="7"/>
  <c r="P6371" i="7"/>
  <c r="P6372" i="7"/>
  <c r="P6373" i="7"/>
  <c r="P6374" i="7"/>
  <c r="P6375" i="7"/>
  <c r="P6376" i="7"/>
  <c r="P6377" i="7"/>
  <c r="P6378" i="7"/>
  <c r="P6379" i="7"/>
  <c r="P6380" i="7"/>
  <c r="P6381" i="7"/>
  <c r="P6382" i="7"/>
  <c r="P6383" i="7"/>
  <c r="P6384" i="7"/>
  <c r="P6385" i="7"/>
  <c r="P6386" i="7"/>
  <c r="P6387" i="7"/>
  <c r="P6388" i="7"/>
  <c r="P6389" i="7"/>
  <c r="P6390" i="7"/>
  <c r="P6391" i="7"/>
  <c r="P6392" i="7"/>
  <c r="P6393" i="7"/>
  <c r="P6394" i="7"/>
  <c r="P6395" i="7"/>
  <c r="P6396" i="7"/>
  <c r="P6397" i="7"/>
  <c r="P6398" i="7"/>
  <c r="P6399" i="7"/>
  <c r="P6400" i="7"/>
  <c r="P6401" i="7"/>
  <c r="P6402" i="7"/>
  <c r="P6403" i="7"/>
  <c r="P6404" i="7"/>
  <c r="P6405" i="7"/>
  <c r="P6406" i="7"/>
  <c r="P6407" i="7"/>
  <c r="P6408" i="7"/>
  <c r="P6409" i="7"/>
  <c r="P6410" i="7"/>
  <c r="P6411" i="7"/>
  <c r="P6412" i="7"/>
  <c r="P6413" i="7"/>
  <c r="P6414" i="7"/>
  <c r="P6415" i="7"/>
  <c r="P6416" i="7"/>
  <c r="P6417" i="7"/>
  <c r="P6418" i="7"/>
  <c r="P6419" i="7"/>
  <c r="P6420" i="7"/>
  <c r="P6421" i="7"/>
  <c r="P6422" i="7"/>
  <c r="P6423" i="7"/>
  <c r="P6424" i="7"/>
  <c r="P6425" i="7"/>
  <c r="P6426" i="7"/>
  <c r="P6427" i="7"/>
  <c r="P6428" i="7"/>
  <c r="P6429" i="7"/>
  <c r="P6430" i="7"/>
  <c r="P6431" i="7"/>
  <c r="P6432" i="7"/>
  <c r="P6433" i="7"/>
  <c r="P6434" i="7"/>
  <c r="P6435" i="7"/>
  <c r="P6436" i="7"/>
  <c r="P6437" i="7"/>
  <c r="P6438" i="7"/>
  <c r="P6439" i="7"/>
  <c r="P6440" i="7"/>
  <c r="P6441" i="7"/>
  <c r="P6442" i="7"/>
  <c r="P6443" i="7"/>
  <c r="P6444" i="7"/>
  <c r="P6445" i="7"/>
  <c r="P6446" i="7"/>
  <c r="P6447" i="7"/>
  <c r="P6448" i="7"/>
  <c r="P6449" i="7"/>
  <c r="P6450" i="7"/>
  <c r="P6451" i="7"/>
  <c r="P6452" i="7"/>
  <c r="P6453" i="7"/>
  <c r="P6454" i="7"/>
  <c r="P6455" i="7"/>
  <c r="P6456" i="7"/>
  <c r="P6457" i="7"/>
  <c r="P6458" i="7"/>
  <c r="P6459" i="7"/>
  <c r="P6460" i="7"/>
  <c r="P6461" i="7"/>
  <c r="P6462" i="7"/>
  <c r="P6463" i="7"/>
  <c r="P6464" i="7"/>
  <c r="P6465" i="7"/>
  <c r="P6466" i="7"/>
  <c r="P6467" i="7"/>
  <c r="P6468" i="7"/>
  <c r="P6469" i="7"/>
  <c r="P6470" i="7"/>
  <c r="P6471" i="7"/>
  <c r="P6472" i="7"/>
  <c r="P6473" i="7"/>
  <c r="P6474" i="7"/>
  <c r="P6475" i="7"/>
  <c r="P6476" i="7"/>
  <c r="P6477" i="7"/>
  <c r="P6478" i="7"/>
  <c r="P6479" i="7"/>
  <c r="P6480" i="7"/>
  <c r="P6481" i="7"/>
  <c r="P6482" i="7"/>
  <c r="P6483" i="7"/>
  <c r="P6484" i="7"/>
  <c r="P6485" i="7"/>
  <c r="P6486" i="7"/>
  <c r="P6487" i="7"/>
  <c r="P6488" i="7"/>
  <c r="P6489" i="7"/>
  <c r="P6490" i="7"/>
  <c r="P6491" i="7"/>
  <c r="P6492" i="7"/>
  <c r="P6493" i="7"/>
  <c r="P6494" i="7"/>
  <c r="P6495" i="7"/>
  <c r="P6496" i="7"/>
  <c r="P6497" i="7"/>
  <c r="P6498" i="7"/>
  <c r="P6499" i="7"/>
  <c r="P6500" i="7"/>
  <c r="P6501" i="7"/>
  <c r="P6502" i="7"/>
  <c r="P6503" i="7"/>
  <c r="P6504" i="7"/>
  <c r="P6505" i="7"/>
  <c r="P6506" i="7"/>
  <c r="P6507" i="7"/>
  <c r="P6508" i="7"/>
  <c r="P6509" i="7"/>
  <c r="P6510" i="7"/>
  <c r="P6511" i="7"/>
  <c r="P6512" i="7"/>
  <c r="P6513" i="7"/>
  <c r="P6514" i="7"/>
  <c r="P6515" i="7"/>
  <c r="P6516" i="7"/>
  <c r="P6517" i="7"/>
  <c r="P6518" i="7"/>
  <c r="P6519" i="7"/>
  <c r="P6520" i="7"/>
  <c r="P6521" i="7"/>
  <c r="P6522" i="7"/>
  <c r="P6523" i="7"/>
  <c r="P6524" i="7"/>
  <c r="P6525" i="7"/>
  <c r="P6526" i="7"/>
  <c r="P6527" i="7"/>
  <c r="P6528" i="7"/>
  <c r="P6529" i="7"/>
  <c r="P6530" i="7"/>
  <c r="P6531" i="7"/>
  <c r="P6532" i="7"/>
  <c r="P6533" i="7"/>
  <c r="P6534" i="7"/>
  <c r="P6535" i="7"/>
  <c r="P6536" i="7"/>
  <c r="P6537" i="7"/>
  <c r="P6538" i="7"/>
  <c r="P6539" i="7"/>
  <c r="P6540" i="7"/>
  <c r="P6541" i="7"/>
  <c r="P6542" i="7"/>
  <c r="P6543" i="7"/>
  <c r="P6544" i="7"/>
  <c r="P6545" i="7"/>
  <c r="P6546" i="7"/>
  <c r="P6547" i="7"/>
  <c r="P6548" i="7"/>
  <c r="P6549" i="7"/>
  <c r="P6550" i="7"/>
  <c r="P6551" i="7"/>
  <c r="P6552" i="7"/>
  <c r="P6553" i="7"/>
  <c r="P6554" i="7"/>
  <c r="P6555" i="7"/>
  <c r="P6556" i="7"/>
  <c r="P6557" i="7"/>
  <c r="P6558" i="7"/>
  <c r="M269" i="5" s="1"/>
  <c r="P6559" i="7"/>
  <c r="P6560" i="7"/>
  <c r="P6561" i="7"/>
  <c r="P6562" i="7"/>
  <c r="P6563" i="7"/>
  <c r="P6564" i="7"/>
  <c r="P6565" i="7"/>
  <c r="P6566" i="7"/>
  <c r="P6567" i="7"/>
  <c r="P6568" i="7"/>
  <c r="P6569" i="7"/>
  <c r="P6570" i="7"/>
  <c r="P6571" i="7"/>
  <c r="P6572" i="7"/>
  <c r="P6573" i="7"/>
  <c r="P6574" i="7"/>
  <c r="P6575" i="7"/>
  <c r="P6576" i="7"/>
  <c r="P6577" i="7"/>
  <c r="P6578" i="7"/>
  <c r="P6579" i="7"/>
  <c r="P6580" i="7"/>
  <c r="P6581" i="7"/>
  <c r="P6582" i="7"/>
  <c r="P6583" i="7"/>
  <c r="P6584" i="7"/>
  <c r="P6585" i="7"/>
  <c r="P6586" i="7"/>
  <c r="P6587" i="7"/>
  <c r="P6588" i="7"/>
  <c r="P6589" i="7"/>
  <c r="P6590" i="7"/>
  <c r="P6591" i="7"/>
  <c r="P6592" i="7"/>
  <c r="P6593" i="7"/>
  <c r="P6594" i="7"/>
  <c r="P6595" i="7"/>
  <c r="P6596" i="7"/>
  <c r="P6597" i="7"/>
  <c r="P6598" i="7"/>
  <c r="P6599" i="7"/>
  <c r="P6600" i="7"/>
  <c r="P6601" i="7"/>
  <c r="P6602" i="7"/>
  <c r="P6603" i="7"/>
  <c r="P6604" i="7"/>
  <c r="P6605" i="7"/>
  <c r="P6606" i="7"/>
  <c r="P6607" i="7"/>
  <c r="P6608" i="7"/>
  <c r="P6609" i="7"/>
  <c r="P6610" i="7"/>
  <c r="P6611" i="7"/>
  <c r="P6612" i="7"/>
  <c r="P6613" i="7"/>
  <c r="P6614" i="7"/>
  <c r="P6615" i="7"/>
  <c r="P6616" i="7"/>
  <c r="P6617" i="7"/>
  <c r="P6618" i="7"/>
  <c r="P6619" i="7"/>
  <c r="P6620" i="7"/>
  <c r="P6621" i="7"/>
  <c r="P6622" i="7"/>
  <c r="P6623" i="7"/>
  <c r="P6624" i="7"/>
  <c r="P6625" i="7"/>
  <c r="P6626" i="7"/>
  <c r="P6627" i="7"/>
  <c r="P6628" i="7"/>
  <c r="P6629" i="7"/>
  <c r="P6630" i="7"/>
  <c r="P6631" i="7"/>
  <c r="P6632" i="7"/>
  <c r="P6633" i="7"/>
  <c r="P6634" i="7"/>
  <c r="P6635" i="7"/>
  <c r="P6636" i="7"/>
  <c r="P6637" i="7"/>
  <c r="P6638" i="7"/>
  <c r="P6639" i="7"/>
  <c r="P6640" i="7"/>
  <c r="P6641" i="7"/>
  <c r="P6642" i="7"/>
  <c r="P6643" i="7"/>
  <c r="P6644" i="7"/>
  <c r="P6645" i="7"/>
  <c r="P6646" i="7"/>
  <c r="P6647" i="7"/>
  <c r="P6648" i="7"/>
  <c r="P6649" i="7"/>
  <c r="P6650" i="7"/>
  <c r="P6651" i="7"/>
  <c r="P6652" i="7"/>
  <c r="P6653" i="7"/>
  <c r="P6654" i="7"/>
  <c r="P6655" i="7"/>
  <c r="P6656" i="7"/>
  <c r="P6657" i="7"/>
  <c r="P6658" i="7"/>
  <c r="P6659" i="7"/>
  <c r="P6660" i="7"/>
  <c r="P6661" i="7"/>
  <c r="P6662" i="7"/>
  <c r="P6663" i="7"/>
  <c r="P6664" i="7"/>
  <c r="P6665" i="7"/>
  <c r="P6666" i="7"/>
  <c r="P6667" i="7"/>
  <c r="P6668" i="7"/>
  <c r="P6669" i="7"/>
  <c r="P6670" i="7"/>
  <c r="P6671" i="7"/>
  <c r="P6672" i="7"/>
  <c r="P6673" i="7"/>
  <c r="P6674" i="7"/>
  <c r="P6675" i="7"/>
  <c r="P6676" i="7"/>
  <c r="P6677" i="7"/>
  <c r="P6678" i="7"/>
  <c r="P6679" i="7"/>
  <c r="P6680" i="7"/>
  <c r="P6681" i="7"/>
  <c r="P6682" i="7"/>
  <c r="P6683" i="7"/>
  <c r="P6684" i="7"/>
  <c r="P6685" i="7"/>
  <c r="P6686" i="7"/>
  <c r="P6687" i="7"/>
  <c r="P6688" i="7"/>
  <c r="P6689" i="7"/>
  <c r="P6690" i="7"/>
  <c r="P6691" i="7"/>
  <c r="P6692" i="7"/>
  <c r="P6693" i="7"/>
  <c r="P6694" i="7"/>
  <c r="P6695" i="7"/>
  <c r="P6696" i="7"/>
  <c r="P6697" i="7"/>
  <c r="P6698" i="7"/>
  <c r="P6699" i="7"/>
  <c r="P6700" i="7"/>
  <c r="P6701" i="7"/>
  <c r="P6702" i="7"/>
  <c r="P6703" i="7"/>
  <c r="P6704" i="7"/>
  <c r="P6705" i="7"/>
  <c r="P6706" i="7"/>
  <c r="P6707" i="7"/>
  <c r="P6708" i="7"/>
  <c r="P6709" i="7"/>
  <c r="P6710" i="7"/>
  <c r="P6711" i="7"/>
  <c r="P6712" i="7"/>
  <c r="P6713" i="7"/>
  <c r="P6714" i="7"/>
  <c r="P6715" i="7"/>
  <c r="P6716" i="7"/>
  <c r="P6717" i="7"/>
  <c r="P6718" i="7"/>
  <c r="P6719" i="7"/>
  <c r="P6720" i="7"/>
  <c r="P6721" i="7"/>
  <c r="P6722" i="7"/>
  <c r="P6723" i="7"/>
  <c r="P6724" i="7"/>
  <c r="P6725" i="7"/>
  <c r="P6726" i="7"/>
  <c r="P6727" i="7"/>
  <c r="P6728" i="7"/>
  <c r="P6729" i="7"/>
  <c r="P6730" i="7"/>
  <c r="P6731" i="7"/>
  <c r="P6732" i="7"/>
  <c r="P6733" i="7"/>
  <c r="P6734" i="7"/>
  <c r="P6735" i="7"/>
  <c r="P6736" i="7"/>
  <c r="P6737" i="7"/>
  <c r="P6738" i="7"/>
  <c r="P6739" i="7"/>
  <c r="P6740" i="7"/>
  <c r="P6741" i="7"/>
  <c r="P6742" i="7"/>
  <c r="P6743" i="7"/>
  <c r="P6744" i="7"/>
  <c r="P6745" i="7"/>
  <c r="P6746" i="7"/>
  <c r="P6747" i="7"/>
  <c r="P6748" i="7"/>
  <c r="P6749" i="7"/>
  <c r="P6750" i="7"/>
  <c r="P6751" i="7"/>
  <c r="P6752" i="7"/>
  <c r="P6753" i="7"/>
  <c r="P6754" i="7"/>
  <c r="P6755" i="7"/>
  <c r="P6756" i="7"/>
  <c r="P6757" i="7"/>
  <c r="P6758" i="7"/>
  <c r="P6759" i="7"/>
  <c r="P6760" i="7"/>
  <c r="P6761" i="7"/>
  <c r="P6762" i="7"/>
  <c r="P6763" i="7"/>
  <c r="P6764" i="7"/>
  <c r="P6765" i="7"/>
  <c r="P6766" i="7"/>
  <c r="P6767" i="7"/>
  <c r="P6768" i="7"/>
  <c r="P6769" i="7"/>
  <c r="P6770" i="7"/>
  <c r="P6771" i="7"/>
  <c r="P6772" i="7"/>
  <c r="P6773" i="7"/>
  <c r="P6774" i="7"/>
  <c r="P6775" i="7"/>
  <c r="P6776" i="7"/>
  <c r="P6777" i="7"/>
  <c r="P6778" i="7"/>
  <c r="P6779" i="7"/>
  <c r="P6780" i="7"/>
  <c r="P6781" i="7"/>
  <c r="P6782" i="7"/>
  <c r="P6783" i="7"/>
  <c r="P6784" i="7"/>
  <c r="P6785" i="7"/>
  <c r="P6786" i="7"/>
  <c r="P6787" i="7"/>
  <c r="P6788" i="7"/>
  <c r="P6789" i="7"/>
  <c r="P6790" i="7"/>
  <c r="P6791" i="7"/>
  <c r="P6792" i="7"/>
  <c r="P6793" i="7"/>
  <c r="P6794" i="7"/>
  <c r="P6795" i="7"/>
  <c r="P6796" i="7"/>
  <c r="P6797" i="7"/>
  <c r="P6798" i="7"/>
  <c r="P6799" i="7"/>
  <c r="P6800" i="7"/>
  <c r="P6801" i="7"/>
  <c r="P6802" i="7"/>
  <c r="P6803" i="7"/>
  <c r="P6804" i="7"/>
  <c r="P6805" i="7"/>
  <c r="P6806" i="7"/>
  <c r="P6807" i="7"/>
  <c r="P6808" i="7"/>
  <c r="P6809" i="7"/>
  <c r="P6810" i="7"/>
  <c r="P6811" i="7"/>
  <c r="P6812" i="7"/>
  <c r="P6813" i="7"/>
  <c r="P6814" i="7"/>
  <c r="P6815" i="7"/>
  <c r="P6816" i="7"/>
  <c r="P6817" i="7"/>
  <c r="P6818" i="7"/>
  <c r="P6819" i="7"/>
  <c r="P6820" i="7"/>
  <c r="P6821" i="7"/>
  <c r="P6822" i="7"/>
  <c r="P6823" i="7"/>
  <c r="P6824" i="7"/>
  <c r="P6825" i="7"/>
  <c r="P6826" i="7"/>
  <c r="P6827" i="7"/>
  <c r="P6828" i="7"/>
  <c r="P6829" i="7"/>
  <c r="P6830" i="7"/>
  <c r="P6831" i="7"/>
  <c r="P6832" i="7"/>
  <c r="P6833" i="7"/>
  <c r="P6834" i="7"/>
  <c r="P6835" i="7"/>
  <c r="P6836" i="7"/>
  <c r="P6837" i="7"/>
  <c r="P6838" i="7"/>
  <c r="P6839" i="7"/>
  <c r="P6840" i="7"/>
  <c r="P6841" i="7"/>
  <c r="P6842" i="7"/>
  <c r="P6843" i="7"/>
  <c r="P6844" i="7"/>
  <c r="P6845" i="7"/>
  <c r="P6846" i="7"/>
  <c r="P6847" i="7"/>
  <c r="P6848" i="7"/>
  <c r="P6849" i="7"/>
  <c r="P6850" i="7"/>
  <c r="P6851" i="7"/>
  <c r="P6852" i="7"/>
  <c r="P6853" i="7"/>
  <c r="P6854" i="7"/>
  <c r="P6855" i="7"/>
  <c r="P6856" i="7"/>
  <c r="P6857" i="7"/>
  <c r="P6858" i="7"/>
  <c r="P6859" i="7"/>
  <c r="P6860" i="7"/>
  <c r="M238" i="5" s="1"/>
  <c r="P6861" i="7"/>
  <c r="P6862" i="7"/>
  <c r="P6863" i="7"/>
  <c r="P6864" i="7"/>
  <c r="P6865" i="7"/>
  <c r="P6866" i="7"/>
  <c r="P6867" i="7"/>
  <c r="P6868" i="7"/>
  <c r="P6869" i="7"/>
  <c r="P6870" i="7"/>
  <c r="P6871" i="7"/>
  <c r="P6872" i="7"/>
  <c r="P6873" i="7"/>
  <c r="P6874" i="7"/>
  <c r="P6875" i="7"/>
  <c r="P6876" i="7"/>
  <c r="P6877" i="7"/>
  <c r="P6878" i="7"/>
  <c r="P6879" i="7"/>
  <c r="P6880" i="7"/>
  <c r="M234" i="5" s="1"/>
  <c r="P6881" i="7"/>
  <c r="P6882" i="7"/>
  <c r="P6883" i="7"/>
  <c r="P6884" i="7"/>
  <c r="P6885" i="7"/>
  <c r="P6886" i="7"/>
  <c r="P6887" i="7"/>
  <c r="P6888" i="7"/>
  <c r="P6889" i="7"/>
  <c r="P6890" i="7"/>
  <c r="P6891" i="7"/>
  <c r="P6892" i="7"/>
  <c r="P6893" i="7"/>
  <c r="P6894" i="7"/>
  <c r="P6895" i="7"/>
  <c r="P6896" i="7"/>
  <c r="P6897" i="7"/>
  <c r="P6898" i="7"/>
  <c r="P6899" i="7"/>
  <c r="P6900" i="7"/>
  <c r="P6901" i="7"/>
  <c r="P6902" i="7"/>
  <c r="P6903" i="7"/>
  <c r="P6904" i="7"/>
  <c r="P6905" i="7"/>
  <c r="P6906" i="7"/>
  <c r="P6907" i="7"/>
  <c r="P6908" i="7"/>
  <c r="P6909" i="7"/>
  <c r="P6910" i="7"/>
  <c r="P6911" i="7"/>
  <c r="P6912" i="7"/>
  <c r="P6913" i="7"/>
  <c r="P6914" i="7"/>
  <c r="P6915" i="7"/>
  <c r="P6916" i="7"/>
  <c r="P6917" i="7"/>
  <c r="P6918" i="7"/>
  <c r="P6919" i="7"/>
  <c r="P6920" i="7"/>
  <c r="P6921" i="7"/>
  <c r="P6922" i="7"/>
  <c r="P6923" i="7"/>
  <c r="P6924" i="7"/>
  <c r="P6925" i="7"/>
  <c r="P6926" i="7"/>
  <c r="P6927" i="7"/>
  <c r="P6928" i="7"/>
  <c r="P6929" i="7"/>
  <c r="P6930" i="7"/>
  <c r="P6931" i="7"/>
  <c r="P6932" i="7"/>
  <c r="P6933" i="7"/>
  <c r="P6934" i="7"/>
  <c r="P6935" i="7"/>
  <c r="P6936" i="7"/>
  <c r="P6937" i="7"/>
  <c r="P6938" i="7"/>
  <c r="P6939" i="7"/>
  <c r="P6940" i="7"/>
  <c r="P6941" i="7"/>
  <c r="P6942" i="7"/>
  <c r="P6943" i="7"/>
  <c r="P6944" i="7"/>
  <c r="P6945" i="7"/>
  <c r="P6946" i="7"/>
  <c r="P6947" i="7"/>
  <c r="P6948" i="7"/>
  <c r="P6949" i="7"/>
  <c r="P6950" i="7"/>
  <c r="P6951" i="7"/>
  <c r="P6952" i="7"/>
  <c r="P6953" i="7"/>
  <c r="P6954" i="7"/>
  <c r="P6955" i="7"/>
  <c r="P6956" i="7"/>
  <c r="P6957" i="7"/>
  <c r="P6958" i="7"/>
  <c r="P6959" i="7"/>
  <c r="P6960" i="7"/>
  <c r="P6961" i="7"/>
  <c r="P6962" i="7"/>
  <c r="P6963" i="7"/>
  <c r="P6964" i="7"/>
  <c r="P6965" i="7"/>
  <c r="P6966" i="7"/>
  <c r="P6967" i="7"/>
  <c r="P6968" i="7"/>
  <c r="P6969" i="7"/>
  <c r="P6970" i="7"/>
  <c r="P6971" i="7"/>
  <c r="P6972" i="7"/>
  <c r="P6973" i="7"/>
  <c r="P6974" i="7"/>
  <c r="P6975" i="7"/>
  <c r="P6976" i="7"/>
  <c r="P6977" i="7"/>
  <c r="P6978" i="7"/>
  <c r="P6979" i="7"/>
  <c r="P6980" i="7"/>
  <c r="P6981" i="7"/>
  <c r="P6982" i="7"/>
  <c r="P6983" i="7"/>
  <c r="P6984" i="7"/>
  <c r="P6985" i="7"/>
  <c r="P6986" i="7"/>
  <c r="P6987" i="7"/>
  <c r="P6988" i="7"/>
  <c r="P6989" i="7"/>
  <c r="P6990" i="7"/>
  <c r="P6991" i="7"/>
  <c r="P6992" i="7"/>
  <c r="P6993" i="7"/>
  <c r="P6994" i="7"/>
  <c r="P6995" i="7"/>
  <c r="P6996" i="7"/>
  <c r="P6997" i="7"/>
  <c r="P6998" i="7"/>
  <c r="P6999" i="7"/>
  <c r="P7000" i="7"/>
  <c r="P7001" i="7"/>
  <c r="P7002" i="7"/>
  <c r="P7003" i="7"/>
  <c r="P7004" i="7"/>
  <c r="P7005" i="7"/>
  <c r="P7006" i="7"/>
  <c r="P7007" i="7"/>
  <c r="P7008" i="7"/>
  <c r="P7009" i="7"/>
  <c r="P7010" i="7"/>
  <c r="P7011" i="7"/>
  <c r="P7012" i="7"/>
  <c r="P7013" i="7"/>
  <c r="P7014" i="7"/>
  <c r="P7015" i="7"/>
  <c r="P7016" i="7"/>
  <c r="P7017" i="7"/>
  <c r="P7018" i="7"/>
  <c r="P7019" i="7"/>
  <c r="P7020" i="7"/>
  <c r="P7021" i="7"/>
  <c r="P7022" i="7"/>
  <c r="P7023" i="7"/>
  <c r="P7024" i="7"/>
  <c r="P7025" i="7"/>
  <c r="P7026" i="7"/>
  <c r="P7027" i="7"/>
  <c r="P7028" i="7"/>
  <c r="P7029" i="7"/>
  <c r="P7030" i="7"/>
  <c r="P7031" i="7"/>
  <c r="P7032" i="7"/>
  <c r="P7033" i="7"/>
  <c r="P7034" i="7"/>
  <c r="P7035" i="7"/>
  <c r="P7036" i="7"/>
  <c r="P7037" i="7"/>
  <c r="P7038" i="7"/>
  <c r="P7039" i="7"/>
  <c r="P7040" i="7"/>
  <c r="P7041" i="7"/>
  <c r="P7042" i="7"/>
  <c r="P7043" i="7"/>
  <c r="P7044" i="7"/>
  <c r="P7045" i="7"/>
  <c r="P7046" i="7"/>
  <c r="P7047" i="7"/>
  <c r="P7048" i="7"/>
  <c r="P7049" i="7"/>
  <c r="P7050" i="7"/>
  <c r="P7051" i="7"/>
  <c r="P7052" i="7"/>
  <c r="P7053" i="7"/>
  <c r="P7054" i="7"/>
  <c r="P7055" i="7"/>
  <c r="P7056" i="7"/>
  <c r="P7057" i="7"/>
  <c r="P7058" i="7"/>
  <c r="P7059" i="7"/>
  <c r="P7060" i="7"/>
  <c r="P7061" i="7"/>
  <c r="P7062" i="7"/>
  <c r="P7063" i="7"/>
  <c r="P7064" i="7"/>
  <c r="P7065" i="7"/>
  <c r="P7066" i="7"/>
  <c r="P7067" i="7"/>
  <c r="P7068" i="7"/>
  <c r="P7069" i="7"/>
  <c r="P7070" i="7"/>
  <c r="P7071" i="7"/>
  <c r="P7072" i="7"/>
  <c r="P7073" i="7"/>
  <c r="P7074" i="7"/>
  <c r="P7075" i="7"/>
  <c r="P7076" i="7"/>
  <c r="P7077" i="7"/>
  <c r="P7078" i="7"/>
  <c r="P7079" i="7"/>
  <c r="P7080" i="7"/>
  <c r="P7081" i="7"/>
  <c r="P7082" i="7"/>
  <c r="P7083" i="7"/>
  <c r="P7084" i="7"/>
  <c r="P7085" i="7"/>
  <c r="P7086" i="7"/>
  <c r="P7087" i="7"/>
  <c r="P7088" i="7"/>
  <c r="P7089" i="7"/>
  <c r="P7090" i="7"/>
  <c r="P7091" i="7"/>
  <c r="P7092" i="7"/>
  <c r="P7093" i="7"/>
  <c r="P7094" i="7"/>
  <c r="P7095" i="7"/>
  <c r="P7096" i="7"/>
  <c r="P7097" i="7"/>
  <c r="P7098" i="7"/>
  <c r="P7099" i="7"/>
  <c r="P7100" i="7"/>
  <c r="P7101" i="7"/>
  <c r="P7102" i="7"/>
  <c r="P7103" i="7"/>
  <c r="P7104" i="7"/>
  <c r="P7105" i="7"/>
  <c r="P7106" i="7"/>
  <c r="P7107" i="7"/>
  <c r="P7108" i="7"/>
  <c r="P7109" i="7"/>
  <c r="P7110" i="7"/>
  <c r="P7111" i="7"/>
  <c r="P7112" i="7"/>
  <c r="P7113" i="7"/>
  <c r="P7114" i="7"/>
  <c r="P7115" i="7"/>
  <c r="P7116" i="7"/>
  <c r="P7117" i="7"/>
  <c r="P7118" i="7"/>
  <c r="P7119" i="7"/>
  <c r="P7120" i="7"/>
  <c r="P7121" i="7"/>
  <c r="P7122" i="7"/>
  <c r="P7123" i="7"/>
  <c r="P7124" i="7"/>
  <c r="P7125" i="7"/>
  <c r="P7126" i="7"/>
  <c r="P7127" i="7"/>
  <c r="P7128" i="7"/>
  <c r="P7129" i="7"/>
  <c r="P7130" i="7"/>
  <c r="P7131" i="7"/>
  <c r="P7132" i="7"/>
  <c r="P7133" i="7"/>
  <c r="P7134" i="7"/>
  <c r="P7135" i="7"/>
  <c r="P7136" i="7"/>
  <c r="P7137" i="7"/>
  <c r="P7138" i="7"/>
  <c r="P7139" i="7"/>
  <c r="P7140" i="7"/>
  <c r="P7141" i="7"/>
  <c r="P7142" i="7"/>
  <c r="P7143" i="7"/>
  <c r="P7144" i="7"/>
  <c r="P7145" i="7"/>
  <c r="P7146" i="7"/>
  <c r="P7147" i="7"/>
  <c r="P7148" i="7"/>
  <c r="P7149" i="7"/>
  <c r="P7150" i="7"/>
  <c r="P7151" i="7"/>
  <c r="P7152" i="7"/>
  <c r="P7153" i="7"/>
  <c r="P7154" i="7"/>
  <c r="P7155" i="7"/>
  <c r="P7156" i="7"/>
  <c r="P7157" i="7"/>
  <c r="P7158" i="7"/>
  <c r="P7159" i="7"/>
  <c r="P7160" i="7"/>
  <c r="P7161" i="7"/>
  <c r="P7162" i="7"/>
  <c r="P7163" i="7"/>
  <c r="P7164" i="7"/>
  <c r="P7165" i="7"/>
  <c r="P7166" i="7"/>
  <c r="P7167" i="7"/>
  <c r="P7168" i="7"/>
  <c r="P7169" i="7"/>
  <c r="P7170" i="7"/>
  <c r="P7171" i="7"/>
  <c r="P7172" i="7"/>
  <c r="P7173" i="7"/>
  <c r="P7174" i="7"/>
  <c r="P7175" i="7"/>
  <c r="P7176" i="7"/>
  <c r="P7177" i="7"/>
  <c r="P7178" i="7"/>
  <c r="P7179" i="7"/>
  <c r="P7180" i="7"/>
  <c r="P7181" i="7"/>
  <c r="P7182" i="7"/>
  <c r="P7183" i="7"/>
  <c r="P7184" i="7"/>
  <c r="P7185" i="7"/>
  <c r="P7186" i="7"/>
  <c r="P7187" i="7"/>
  <c r="P7188" i="7"/>
  <c r="P7189" i="7"/>
  <c r="P7190" i="7"/>
  <c r="P7191" i="7"/>
  <c r="P7192" i="7"/>
  <c r="P7193" i="7"/>
  <c r="P7194" i="7"/>
  <c r="P7195" i="7"/>
  <c r="P7196" i="7"/>
  <c r="P7197" i="7"/>
  <c r="P7198" i="7"/>
  <c r="P7199" i="7"/>
  <c r="P7200" i="7"/>
  <c r="P7201" i="7"/>
  <c r="P7202" i="7"/>
  <c r="P7203" i="7"/>
  <c r="P7204" i="7"/>
  <c r="P7205" i="7"/>
  <c r="P7206" i="7"/>
  <c r="P7207" i="7"/>
  <c r="P7208" i="7"/>
  <c r="P7209" i="7"/>
  <c r="P7210" i="7"/>
  <c r="P7211" i="7"/>
  <c r="P7212" i="7"/>
  <c r="P7213" i="7"/>
  <c r="P7214" i="7"/>
  <c r="P7215" i="7"/>
  <c r="P7216" i="7"/>
  <c r="P7217" i="7"/>
  <c r="P7218" i="7"/>
  <c r="P7219" i="7"/>
  <c r="P7220" i="7"/>
  <c r="P7221" i="7"/>
  <c r="P7222" i="7"/>
  <c r="P7223" i="7"/>
  <c r="P7224" i="7"/>
  <c r="P7225" i="7"/>
  <c r="P7226" i="7"/>
  <c r="P7227" i="7"/>
  <c r="P7228" i="7"/>
  <c r="P7229" i="7"/>
  <c r="P7230" i="7"/>
  <c r="P7231" i="7"/>
  <c r="P7232" i="7"/>
  <c r="P7233" i="7"/>
  <c r="P7234" i="7"/>
  <c r="P7235" i="7"/>
  <c r="P7236" i="7"/>
  <c r="P7237" i="7"/>
  <c r="P7238" i="7"/>
  <c r="P7239" i="7"/>
  <c r="P7240" i="7"/>
  <c r="P7241" i="7"/>
  <c r="P7242" i="7"/>
  <c r="P7243" i="7"/>
  <c r="P7244" i="7"/>
  <c r="P7245" i="7"/>
  <c r="P7246" i="7"/>
  <c r="P7247" i="7"/>
  <c r="P7248" i="7"/>
  <c r="P7249" i="7"/>
  <c r="P7250" i="7"/>
  <c r="P7251" i="7"/>
  <c r="P7252" i="7"/>
  <c r="P7253" i="7"/>
  <c r="P7254" i="7"/>
  <c r="P7255" i="7"/>
  <c r="P7256" i="7"/>
  <c r="P7257" i="7"/>
  <c r="P7258" i="7"/>
  <c r="P7259" i="7"/>
  <c r="P7260" i="7"/>
  <c r="P7261" i="7"/>
  <c r="P7262" i="7"/>
  <c r="P7263" i="7"/>
  <c r="P7264" i="7"/>
  <c r="P7265" i="7"/>
  <c r="P7266" i="7"/>
  <c r="P7267" i="7"/>
  <c r="P7268" i="7"/>
  <c r="P7269" i="7"/>
  <c r="P7270" i="7"/>
  <c r="P7271" i="7"/>
  <c r="P7272" i="7"/>
  <c r="P7273" i="7"/>
  <c r="P7274" i="7"/>
  <c r="P7275" i="7"/>
  <c r="P7276" i="7"/>
  <c r="P7277" i="7"/>
  <c r="P7278" i="7"/>
  <c r="P7279" i="7"/>
  <c r="P7280" i="7"/>
  <c r="P7281" i="7"/>
  <c r="P7282" i="7"/>
  <c r="P7283" i="7"/>
  <c r="P7284" i="7"/>
  <c r="P7285" i="7"/>
  <c r="P7286" i="7"/>
  <c r="P7287" i="7"/>
  <c r="P7288" i="7"/>
  <c r="P7289" i="7"/>
  <c r="P7290" i="7"/>
  <c r="P7291" i="7"/>
  <c r="P7292" i="7"/>
  <c r="P7293" i="7"/>
  <c r="P7294" i="7"/>
  <c r="P7295" i="7"/>
  <c r="P7296" i="7"/>
  <c r="P7297" i="7"/>
  <c r="P7298" i="7"/>
  <c r="P7299" i="7"/>
  <c r="P7300" i="7"/>
  <c r="P7301" i="7"/>
  <c r="P7302" i="7"/>
  <c r="P7303" i="7"/>
  <c r="P7304" i="7"/>
  <c r="P7305" i="7"/>
  <c r="P7306" i="7"/>
  <c r="P7307" i="7"/>
  <c r="P7308" i="7"/>
  <c r="P7309" i="7"/>
  <c r="P7310" i="7"/>
  <c r="P7311" i="7"/>
  <c r="P7312" i="7"/>
  <c r="P7313" i="7"/>
  <c r="P7314" i="7"/>
  <c r="P7315" i="7"/>
  <c r="P7316" i="7"/>
  <c r="P7317" i="7"/>
  <c r="P7318" i="7"/>
  <c r="P7319" i="7"/>
  <c r="P7320" i="7"/>
  <c r="P7321" i="7"/>
  <c r="P7322" i="7"/>
  <c r="P7323" i="7"/>
  <c r="P7324" i="7"/>
  <c r="P7325" i="7"/>
  <c r="P7326" i="7"/>
  <c r="P7327" i="7"/>
  <c r="P7328" i="7"/>
  <c r="P7329" i="7"/>
  <c r="P7330" i="7"/>
  <c r="P7331" i="7"/>
  <c r="P7332" i="7"/>
  <c r="P7333" i="7"/>
  <c r="P7334" i="7"/>
  <c r="P7335" i="7"/>
  <c r="P7336" i="7"/>
  <c r="P7337" i="7"/>
  <c r="P7338" i="7"/>
  <c r="P7339" i="7"/>
  <c r="P7340" i="7"/>
  <c r="P7341" i="7"/>
  <c r="P7342" i="7"/>
  <c r="P7343" i="7"/>
  <c r="P7344" i="7"/>
  <c r="P7345" i="7"/>
  <c r="P7346" i="7"/>
  <c r="P7347" i="7"/>
  <c r="P7348" i="7"/>
  <c r="P7349" i="7"/>
  <c r="P7350" i="7"/>
  <c r="P7351" i="7"/>
  <c r="P7352" i="7"/>
  <c r="P7353" i="7"/>
  <c r="P7354" i="7"/>
  <c r="P7355" i="7"/>
  <c r="P7356" i="7"/>
  <c r="P7357" i="7"/>
  <c r="P7358" i="7"/>
  <c r="P7359" i="7"/>
  <c r="P7360" i="7"/>
  <c r="P7361" i="7"/>
  <c r="P7362" i="7"/>
  <c r="P7363" i="7"/>
  <c r="P7364" i="7"/>
  <c r="P7365" i="7"/>
  <c r="P7366" i="7"/>
  <c r="P7367" i="7"/>
  <c r="P7368" i="7"/>
  <c r="P7369" i="7"/>
  <c r="P7370" i="7"/>
  <c r="P7371" i="7"/>
  <c r="P7372" i="7"/>
  <c r="P7373" i="7"/>
  <c r="P7374" i="7"/>
  <c r="P7375" i="7"/>
  <c r="P7376" i="7"/>
  <c r="P7377" i="7"/>
  <c r="P7378" i="7"/>
  <c r="P7379" i="7"/>
  <c r="P7380" i="7"/>
  <c r="P7381" i="7"/>
  <c r="P7382" i="7"/>
  <c r="P7383" i="7"/>
  <c r="P7384" i="7"/>
  <c r="P7385" i="7"/>
  <c r="P7386" i="7"/>
  <c r="P7387" i="7"/>
  <c r="P7388" i="7"/>
  <c r="P7389" i="7"/>
  <c r="P7390" i="7"/>
  <c r="P7391" i="7"/>
  <c r="P7392" i="7"/>
  <c r="P7393" i="7"/>
  <c r="P7394" i="7"/>
  <c r="P7395" i="7"/>
  <c r="P7396" i="7"/>
  <c r="P7397" i="7"/>
  <c r="P7398" i="7"/>
  <c r="P7399" i="7"/>
  <c r="P7400" i="7"/>
  <c r="P7401" i="7"/>
  <c r="P7402" i="7"/>
  <c r="P7403" i="7"/>
  <c r="P7404" i="7"/>
  <c r="P7405" i="7"/>
  <c r="P7406" i="7"/>
  <c r="P7407" i="7"/>
  <c r="P7408" i="7"/>
  <c r="P7409" i="7"/>
  <c r="P7410" i="7"/>
  <c r="P7411" i="7"/>
  <c r="P7412" i="7"/>
  <c r="P7413" i="7"/>
  <c r="P7414" i="7"/>
  <c r="P7415" i="7"/>
  <c r="P7416" i="7"/>
  <c r="P7417" i="7"/>
  <c r="P7418" i="7"/>
  <c r="P7419" i="7"/>
  <c r="P7420" i="7"/>
  <c r="P7421" i="7"/>
  <c r="P7422" i="7"/>
  <c r="P7423" i="7"/>
  <c r="P7424" i="7"/>
  <c r="P7425" i="7"/>
  <c r="P7426" i="7"/>
  <c r="P7427" i="7"/>
  <c r="P7428" i="7"/>
  <c r="P7429" i="7"/>
  <c r="P7430" i="7"/>
  <c r="P7431" i="7"/>
  <c r="P7432" i="7"/>
  <c r="P7433" i="7"/>
  <c r="P7434" i="7"/>
  <c r="P7435" i="7"/>
  <c r="P7436" i="7"/>
  <c r="P7437" i="7"/>
  <c r="P7438" i="7"/>
  <c r="P7439" i="7"/>
  <c r="P7440" i="7"/>
  <c r="P7441" i="7"/>
  <c r="P7442" i="7"/>
  <c r="P7443" i="7"/>
  <c r="P7444" i="7"/>
  <c r="P7445" i="7"/>
  <c r="P7446" i="7"/>
  <c r="P7447" i="7"/>
  <c r="P7448" i="7"/>
  <c r="P7449" i="7"/>
  <c r="P7450" i="7"/>
  <c r="P7451" i="7"/>
  <c r="P7452" i="7"/>
  <c r="P7453" i="7"/>
  <c r="P7454" i="7"/>
  <c r="P7455" i="7"/>
  <c r="P7456" i="7"/>
  <c r="P7457" i="7"/>
  <c r="P7458" i="7"/>
  <c r="P7459" i="7"/>
  <c r="P7460" i="7"/>
  <c r="P7461" i="7"/>
  <c r="P7462" i="7"/>
  <c r="P7463" i="7"/>
  <c r="P7464" i="7"/>
  <c r="P7465" i="7"/>
  <c r="P7466" i="7"/>
  <c r="P7467" i="7"/>
  <c r="P7468" i="7"/>
  <c r="P7469" i="7"/>
  <c r="P7470" i="7"/>
  <c r="P7471" i="7"/>
  <c r="P7472" i="7"/>
  <c r="P7473" i="7"/>
  <c r="P7474" i="7"/>
  <c r="P7475" i="7"/>
  <c r="P7476" i="7"/>
  <c r="P7477" i="7"/>
  <c r="P7478" i="7"/>
  <c r="P7479" i="7"/>
  <c r="P7480" i="7"/>
  <c r="P7481" i="7"/>
  <c r="P7482" i="7"/>
  <c r="P7483" i="7"/>
  <c r="P7484" i="7"/>
  <c r="P7485" i="7"/>
  <c r="P7486" i="7"/>
  <c r="P7487" i="7"/>
  <c r="P7488" i="7"/>
  <c r="P7489" i="7"/>
  <c r="P7490" i="7"/>
  <c r="P7491" i="7"/>
  <c r="P7492" i="7"/>
  <c r="P7493" i="7"/>
  <c r="P7494" i="7"/>
  <c r="P7495" i="7"/>
  <c r="P7496" i="7"/>
  <c r="P7497" i="7"/>
  <c r="P7498" i="7"/>
  <c r="P7499" i="7"/>
  <c r="P7500" i="7"/>
  <c r="P7501" i="7"/>
  <c r="P7502" i="7"/>
  <c r="P7503" i="7"/>
  <c r="P7504" i="7"/>
  <c r="P7505" i="7"/>
  <c r="P7506" i="7"/>
  <c r="P7507" i="7"/>
  <c r="P7508" i="7"/>
  <c r="P7509" i="7"/>
  <c r="P7510" i="7"/>
  <c r="P7511" i="7"/>
  <c r="P7512" i="7"/>
  <c r="P7513" i="7"/>
  <c r="P7514" i="7"/>
  <c r="P7515" i="7"/>
  <c r="P7516" i="7"/>
  <c r="P7517" i="7"/>
  <c r="P7518" i="7"/>
  <c r="P7519" i="7"/>
  <c r="P7520" i="7"/>
  <c r="P7521" i="7"/>
  <c r="M80" i="5" s="1"/>
  <c r="P7522" i="7"/>
  <c r="P7523" i="7"/>
  <c r="P7524" i="7"/>
  <c r="P7525" i="7"/>
  <c r="P7526" i="7"/>
  <c r="P7527" i="7"/>
  <c r="P7528" i="7"/>
  <c r="P7529" i="7"/>
  <c r="P7530" i="7"/>
  <c r="P7531" i="7"/>
  <c r="P7532" i="7"/>
  <c r="P7533" i="7"/>
  <c r="P7534" i="7"/>
  <c r="P7535" i="7"/>
  <c r="P7536" i="7"/>
  <c r="P7537" i="7"/>
  <c r="P7538" i="7"/>
  <c r="P7539" i="7"/>
  <c r="P7540" i="7"/>
  <c r="P7541" i="7"/>
  <c r="P7542" i="7"/>
  <c r="P7543" i="7"/>
  <c r="P7544" i="7"/>
  <c r="P7545" i="7"/>
  <c r="P7546" i="7"/>
  <c r="P7547" i="7"/>
  <c r="P7548" i="7"/>
  <c r="P7549" i="7"/>
  <c r="P7550" i="7"/>
  <c r="P7551" i="7"/>
  <c r="P7552" i="7"/>
  <c r="P7553" i="7"/>
  <c r="P7554" i="7"/>
  <c r="P7555" i="7"/>
  <c r="P7556" i="7"/>
  <c r="P7557" i="7"/>
  <c r="P7558" i="7"/>
  <c r="P7559" i="7"/>
  <c r="P7560" i="7"/>
  <c r="P7561" i="7"/>
  <c r="P7562" i="7"/>
  <c r="P7563" i="7"/>
  <c r="P7564" i="7"/>
  <c r="P7565" i="7"/>
  <c r="P7566" i="7"/>
  <c r="P7567" i="7"/>
  <c r="P7568" i="7"/>
  <c r="P7569" i="7"/>
  <c r="P7570" i="7"/>
  <c r="P7571" i="7"/>
  <c r="P7572" i="7"/>
  <c r="P7573" i="7"/>
  <c r="P7574" i="7"/>
  <c r="P7575" i="7"/>
  <c r="P7576" i="7"/>
  <c r="P7577" i="7"/>
  <c r="P7578" i="7"/>
  <c r="P7579" i="7"/>
  <c r="P7580" i="7"/>
  <c r="P7581" i="7"/>
  <c r="P7582" i="7"/>
  <c r="P7583" i="7"/>
  <c r="P7584" i="7"/>
  <c r="P7585" i="7"/>
  <c r="P7586" i="7"/>
  <c r="P7587" i="7"/>
  <c r="P7588" i="7"/>
  <c r="P7589" i="7"/>
  <c r="P7590" i="7"/>
  <c r="P7591" i="7"/>
  <c r="P7592" i="7"/>
  <c r="P7593" i="7"/>
  <c r="P7594" i="7"/>
  <c r="P7595" i="7"/>
  <c r="P7596" i="7"/>
  <c r="P7597" i="7"/>
  <c r="P7598" i="7"/>
  <c r="P7599" i="7"/>
  <c r="P7600" i="7"/>
  <c r="P7601" i="7"/>
  <c r="P7602" i="7"/>
  <c r="P7603" i="7"/>
  <c r="P7604" i="7"/>
  <c r="P7605" i="7"/>
  <c r="P7606" i="7"/>
  <c r="P7607" i="7"/>
  <c r="P7608" i="7"/>
  <c r="P7609" i="7"/>
  <c r="P7610" i="7"/>
  <c r="P7611" i="7"/>
  <c r="P7612" i="7"/>
  <c r="P7613" i="7"/>
  <c r="P7614" i="7"/>
  <c r="P7615" i="7"/>
  <c r="P7616" i="7"/>
  <c r="P7617" i="7"/>
  <c r="P7618" i="7"/>
  <c r="P7619" i="7"/>
  <c r="P7620" i="7"/>
  <c r="P7621" i="7"/>
  <c r="P7622" i="7"/>
  <c r="P7623" i="7"/>
  <c r="P7624" i="7"/>
  <c r="P7625" i="7"/>
  <c r="P7626" i="7"/>
  <c r="P7627" i="7"/>
  <c r="P7628" i="7"/>
  <c r="P7629" i="7"/>
  <c r="P7630" i="7"/>
  <c r="P7631" i="7"/>
  <c r="P7632" i="7"/>
  <c r="P7633" i="7"/>
  <c r="P7634" i="7"/>
  <c r="P7635" i="7"/>
  <c r="P7636" i="7"/>
  <c r="P7637" i="7"/>
  <c r="P7638" i="7"/>
  <c r="P7639" i="7"/>
  <c r="P7640" i="7"/>
  <c r="P7641" i="7"/>
  <c r="P7642" i="7"/>
  <c r="P7643" i="7"/>
  <c r="P7644" i="7"/>
  <c r="P7645" i="7"/>
  <c r="P7646" i="7"/>
  <c r="P7647" i="7"/>
  <c r="P7648" i="7"/>
  <c r="P7649" i="7"/>
  <c r="P7650" i="7"/>
  <c r="P7651" i="7"/>
  <c r="P7652" i="7"/>
  <c r="P7653" i="7"/>
  <c r="P7654" i="7"/>
  <c r="P7655" i="7"/>
  <c r="P7656" i="7"/>
  <c r="P7657" i="7"/>
  <c r="P7658" i="7"/>
  <c r="P7659" i="7"/>
  <c r="P7660" i="7"/>
  <c r="P7661" i="7"/>
  <c r="P7662" i="7"/>
  <c r="P7663" i="7"/>
  <c r="P7664" i="7"/>
  <c r="P7665" i="7"/>
  <c r="P7666" i="7"/>
  <c r="P7667" i="7"/>
  <c r="P7668" i="7"/>
  <c r="P7669" i="7"/>
  <c r="P7670" i="7"/>
  <c r="P7671" i="7"/>
  <c r="P7672" i="7"/>
  <c r="P7673" i="7"/>
  <c r="P7674" i="7"/>
  <c r="P7675" i="7"/>
  <c r="P7676" i="7"/>
  <c r="P7677" i="7"/>
  <c r="P7678" i="7"/>
  <c r="P7679" i="7"/>
  <c r="P7680" i="7"/>
  <c r="P7681" i="7"/>
  <c r="P7682" i="7"/>
  <c r="P7683" i="7"/>
  <c r="P7684" i="7"/>
  <c r="P7685" i="7"/>
  <c r="P7686" i="7"/>
  <c r="P7687" i="7"/>
  <c r="P7688" i="7"/>
  <c r="P7689" i="7"/>
  <c r="P7690" i="7"/>
  <c r="P7691" i="7"/>
  <c r="P7692" i="7"/>
  <c r="P7693" i="7"/>
  <c r="P7694" i="7"/>
  <c r="P7695" i="7"/>
  <c r="P7696" i="7"/>
  <c r="P7697" i="7"/>
  <c r="P7698" i="7"/>
  <c r="P7699" i="7"/>
  <c r="P7700" i="7"/>
  <c r="P7701" i="7"/>
  <c r="P7702" i="7"/>
  <c r="P7703" i="7"/>
  <c r="P7704" i="7"/>
  <c r="P7705" i="7"/>
  <c r="P7706" i="7"/>
  <c r="P7707" i="7"/>
  <c r="P7708" i="7"/>
  <c r="P7709" i="7"/>
  <c r="P7710" i="7"/>
  <c r="P7711" i="7"/>
  <c r="P7712" i="7"/>
  <c r="P7713" i="7"/>
  <c r="P7714" i="7"/>
  <c r="P7715" i="7"/>
  <c r="P7716" i="7"/>
  <c r="P7717" i="7"/>
  <c r="P7718" i="7"/>
  <c r="P7719" i="7"/>
  <c r="P7720" i="7"/>
  <c r="P7721" i="7"/>
  <c r="P7722" i="7"/>
  <c r="P7723" i="7"/>
  <c r="P7724" i="7"/>
  <c r="P7725" i="7"/>
  <c r="P7726" i="7"/>
  <c r="P7727" i="7"/>
  <c r="P7728" i="7"/>
  <c r="P7729" i="7"/>
  <c r="P7730" i="7"/>
  <c r="P7731" i="7"/>
  <c r="P7732" i="7"/>
  <c r="P7733" i="7"/>
  <c r="P7734" i="7"/>
  <c r="P7735" i="7"/>
  <c r="P7736" i="7"/>
  <c r="P7737" i="7"/>
  <c r="P7738" i="7"/>
  <c r="P7739" i="7"/>
  <c r="P7740" i="7"/>
  <c r="P7741" i="7"/>
  <c r="P7742" i="7"/>
  <c r="P7743" i="7"/>
  <c r="P7744" i="7"/>
  <c r="P7745" i="7"/>
  <c r="P7746" i="7"/>
  <c r="P7747" i="7"/>
  <c r="P7748" i="7"/>
  <c r="P7749" i="7"/>
  <c r="P7750" i="7"/>
  <c r="P7751" i="7"/>
  <c r="P7752" i="7"/>
  <c r="P7753" i="7"/>
  <c r="P7754" i="7"/>
  <c r="P7755" i="7"/>
  <c r="P7756" i="7"/>
  <c r="P7757" i="7"/>
  <c r="P7758" i="7"/>
  <c r="P7759" i="7"/>
  <c r="P7760" i="7"/>
  <c r="P7761" i="7"/>
  <c r="P7762" i="7"/>
  <c r="P7763" i="7"/>
  <c r="P7764" i="7"/>
  <c r="P7765" i="7"/>
  <c r="P7766" i="7"/>
  <c r="P7767" i="7"/>
  <c r="P7768" i="7"/>
  <c r="P7769" i="7"/>
  <c r="P7770" i="7"/>
  <c r="P7771" i="7"/>
  <c r="P7772" i="7"/>
  <c r="P7773" i="7"/>
  <c r="P7774" i="7"/>
  <c r="P7775" i="7"/>
  <c r="M102" i="5" s="1"/>
  <c r="P7776" i="7"/>
  <c r="P7777" i="7"/>
  <c r="P7778" i="7"/>
  <c r="P7779" i="7"/>
  <c r="P7780" i="7"/>
  <c r="P7781" i="7"/>
  <c r="P7782" i="7"/>
  <c r="P7783" i="7"/>
  <c r="P7784" i="7"/>
  <c r="P7785" i="7"/>
  <c r="P7786" i="7"/>
  <c r="P7787" i="7"/>
  <c r="P7788" i="7"/>
  <c r="P7789" i="7"/>
  <c r="P7790" i="7"/>
  <c r="P7791" i="7"/>
  <c r="P7792" i="7"/>
  <c r="P7793" i="7"/>
  <c r="P7794" i="7"/>
  <c r="P7795" i="7"/>
  <c r="P7796" i="7"/>
  <c r="P7797" i="7"/>
  <c r="P7798" i="7"/>
  <c r="P7799" i="7"/>
  <c r="P7800" i="7"/>
  <c r="P7801" i="7"/>
  <c r="P7802" i="7"/>
  <c r="P7803" i="7"/>
  <c r="P7804" i="7"/>
  <c r="P7805" i="7"/>
  <c r="P7806" i="7"/>
  <c r="P7807" i="7"/>
  <c r="P7808" i="7"/>
  <c r="P7809" i="7"/>
  <c r="P7810" i="7"/>
  <c r="P7811" i="7"/>
  <c r="P7812" i="7"/>
  <c r="P7813" i="7"/>
  <c r="P7814" i="7"/>
  <c r="P7815" i="7"/>
  <c r="P7816" i="7"/>
  <c r="P7817" i="7"/>
  <c r="P7818" i="7"/>
  <c r="P7819" i="7"/>
  <c r="P7820" i="7"/>
  <c r="P7821" i="7"/>
  <c r="P7822" i="7"/>
  <c r="P7823" i="7"/>
  <c r="P7824" i="7"/>
  <c r="P7825" i="7"/>
  <c r="P7826" i="7"/>
  <c r="P7827" i="7"/>
  <c r="P7828" i="7"/>
  <c r="P7829" i="7"/>
  <c r="P7830" i="7"/>
  <c r="P7831" i="7"/>
  <c r="P7832" i="7"/>
  <c r="P7833" i="7"/>
  <c r="P7834" i="7"/>
  <c r="P7835" i="7"/>
  <c r="P7836" i="7"/>
  <c r="P7837" i="7"/>
  <c r="P7838" i="7"/>
  <c r="P7839" i="7"/>
  <c r="P7840" i="7"/>
  <c r="P7841" i="7"/>
  <c r="P7842" i="7"/>
  <c r="P7843" i="7"/>
  <c r="P7844" i="7"/>
  <c r="P7845" i="7"/>
  <c r="P7846" i="7"/>
  <c r="P7847" i="7"/>
  <c r="P7848" i="7"/>
  <c r="P7849" i="7"/>
  <c r="P7850" i="7"/>
  <c r="P7851" i="7"/>
  <c r="P7852" i="7"/>
  <c r="P7853" i="7"/>
  <c r="P7854" i="7"/>
  <c r="P7855" i="7"/>
  <c r="P7856" i="7"/>
  <c r="P7857" i="7"/>
  <c r="P7858" i="7"/>
  <c r="P7859" i="7"/>
  <c r="P7860" i="7"/>
  <c r="P7861" i="7"/>
  <c r="P7862" i="7"/>
  <c r="P7863" i="7"/>
  <c r="P7864" i="7"/>
  <c r="P7865" i="7"/>
  <c r="P7866" i="7"/>
  <c r="P7867" i="7"/>
  <c r="P7868" i="7"/>
  <c r="P7869" i="7"/>
  <c r="P7870" i="7"/>
  <c r="P7871" i="7"/>
  <c r="P7872" i="7"/>
  <c r="P7873" i="7"/>
  <c r="P7874" i="7"/>
  <c r="P7875" i="7"/>
  <c r="P7876" i="7"/>
  <c r="P7877" i="7"/>
  <c r="P7878" i="7"/>
  <c r="P7879" i="7"/>
  <c r="P7880" i="7"/>
  <c r="P7881" i="7"/>
  <c r="P7882" i="7"/>
  <c r="P7883" i="7"/>
  <c r="P7884" i="7"/>
  <c r="P7885" i="7"/>
  <c r="P7886" i="7"/>
  <c r="P7887" i="7"/>
  <c r="P7888" i="7"/>
  <c r="P7889" i="7"/>
  <c r="P7890" i="7"/>
  <c r="P7891" i="7"/>
  <c r="P7892" i="7"/>
  <c r="P7893" i="7"/>
  <c r="P7894" i="7"/>
  <c r="P7895" i="7"/>
  <c r="P7896" i="7"/>
  <c r="P7897" i="7"/>
  <c r="P7898" i="7"/>
  <c r="P7899" i="7"/>
  <c r="P7900" i="7"/>
  <c r="P7901" i="7"/>
  <c r="P7902" i="7"/>
  <c r="P7903" i="7"/>
  <c r="P7904" i="7"/>
  <c r="P7905" i="7"/>
  <c r="P7906" i="7"/>
  <c r="P7907" i="7"/>
  <c r="P7908" i="7"/>
  <c r="P7909" i="7"/>
  <c r="P7910" i="7"/>
  <c r="P7911" i="7"/>
  <c r="P7912" i="7"/>
  <c r="P7913" i="7"/>
  <c r="P7914" i="7"/>
  <c r="P7915" i="7"/>
  <c r="P7916" i="7"/>
  <c r="P7917" i="7"/>
  <c r="P7918" i="7"/>
  <c r="P7919" i="7"/>
  <c r="P7920" i="7"/>
  <c r="P7921" i="7"/>
  <c r="M267" i="5" s="1"/>
  <c r="P7922" i="7"/>
  <c r="P7923" i="7"/>
  <c r="P7924" i="7"/>
  <c r="P7925" i="7"/>
  <c r="P7926" i="7"/>
  <c r="P7927" i="7"/>
  <c r="P7928" i="7"/>
  <c r="P7929" i="7"/>
  <c r="P7930" i="7"/>
  <c r="P7931" i="7"/>
  <c r="P7932" i="7"/>
  <c r="P7933" i="7"/>
  <c r="P7934" i="7"/>
  <c r="P7935" i="7"/>
  <c r="P7936" i="7"/>
  <c r="P7937" i="7"/>
  <c r="P7938" i="7"/>
  <c r="P7939" i="7"/>
  <c r="P7940" i="7"/>
  <c r="P7941" i="7"/>
  <c r="P7942" i="7"/>
  <c r="P7943" i="7"/>
  <c r="P7944" i="7"/>
  <c r="P7945" i="7"/>
  <c r="P7946" i="7"/>
  <c r="P7947" i="7"/>
  <c r="P7948" i="7"/>
  <c r="P7949" i="7"/>
  <c r="P7950" i="7"/>
  <c r="P7951" i="7"/>
  <c r="P7952" i="7"/>
  <c r="P7953" i="7"/>
  <c r="P7954" i="7"/>
  <c r="P7955" i="7"/>
  <c r="P7956" i="7"/>
  <c r="P7957" i="7"/>
  <c r="P7958" i="7"/>
  <c r="P7959" i="7"/>
  <c r="P7960" i="7"/>
  <c r="P7961" i="7"/>
  <c r="P7962" i="7"/>
  <c r="P7963" i="7"/>
  <c r="P7964" i="7"/>
  <c r="P7965" i="7"/>
  <c r="P7966" i="7"/>
  <c r="P7967" i="7"/>
  <c r="P7968" i="7"/>
  <c r="P7969" i="7"/>
  <c r="P7970" i="7"/>
  <c r="P7971" i="7"/>
  <c r="P7972" i="7"/>
  <c r="P7973" i="7"/>
  <c r="P7974" i="7"/>
  <c r="P7975" i="7"/>
  <c r="P7976" i="7"/>
  <c r="P7977" i="7"/>
  <c r="P7978" i="7"/>
  <c r="P7979" i="7"/>
  <c r="P7980" i="7"/>
  <c r="P7981" i="7"/>
  <c r="P7982" i="7"/>
  <c r="P7983" i="7"/>
  <c r="P7984" i="7"/>
  <c r="P7985" i="7"/>
  <c r="P7986" i="7"/>
  <c r="P7987" i="7"/>
  <c r="P7988" i="7"/>
  <c r="P7989" i="7"/>
  <c r="P7990" i="7"/>
  <c r="P7991" i="7"/>
  <c r="P7992" i="7"/>
  <c r="P7993" i="7"/>
  <c r="P7994" i="7"/>
  <c r="P7995" i="7"/>
  <c r="P7996" i="7"/>
  <c r="P7997" i="7"/>
  <c r="P7998" i="7"/>
  <c r="P7999" i="7"/>
  <c r="P8000" i="7"/>
  <c r="P8001" i="7"/>
  <c r="P8002" i="7"/>
  <c r="P8003" i="7"/>
  <c r="P8004" i="7"/>
  <c r="P8005" i="7"/>
  <c r="P8006" i="7"/>
  <c r="P8007" i="7"/>
  <c r="P8008" i="7"/>
  <c r="P8009" i="7"/>
  <c r="P8010" i="7"/>
  <c r="P8011" i="7"/>
  <c r="P8012" i="7"/>
  <c r="P8013" i="7"/>
  <c r="P8014" i="7"/>
  <c r="P8015" i="7"/>
  <c r="P8016" i="7"/>
  <c r="P8017" i="7"/>
  <c r="P8018" i="7"/>
  <c r="P8019" i="7"/>
  <c r="P8020" i="7"/>
  <c r="P8021" i="7"/>
  <c r="P8022" i="7"/>
  <c r="P8023" i="7"/>
  <c r="P8024" i="7"/>
  <c r="P8025" i="7"/>
  <c r="P8026" i="7"/>
  <c r="P8027" i="7"/>
  <c r="P8028" i="7"/>
  <c r="P8029" i="7"/>
  <c r="P8030" i="7"/>
  <c r="P8031" i="7"/>
  <c r="P8032" i="7"/>
  <c r="P8033" i="7"/>
  <c r="P8034" i="7"/>
  <c r="P8035" i="7"/>
  <c r="P8036" i="7"/>
  <c r="P8037" i="7"/>
  <c r="P8038" i="7"/>
  <c r="P8039" i="7"/>
  <c r="P8040" i="7"/>
  <c r="P8041" i="7"/>
  <c r="P8042" i="7"/>
  <c r="P8043" i="7"/>
  <c r="P8044" i="7"/>
  <c r="P8045" i="7"/>
  <c r="P8046" i="7"/>
  <c r="P8047" i="7"/>
  <c r="P8048" i="7"/>
  <c r="P8049" i="7"/>
  <c r="P8050" i="7"/>
  <c r="P8051" i="7"/>
  <c r="P8052" i="7"/>
  <c r="P8053" i="7"/>
  <c r="P8054" i="7"/>
  <c r="P8055" i="7"/>
  <c r="P8056" i="7"/>
  <c r="P8057" i="7"/>
  <c r="P8058" i="7"/>
  <c r="P8059" i="7"/>
  <c r="P8060" i="7"/>
  <c r="P8061" i="7"/>
  <c r="P8062" i="7"/>
  <c r="P8063" i="7"/>
  <c r="P8064" i="7"/>
  <c r="P8065" i="7"/>
  <c r="P8066" i="7"/>
  <c r="P8067" i="7"/>
  <c r="P8068" i="7"/>
  <c r="P8069" i="7"/>
  <c r="P8070" i="7"/>
  <c r="P8071" i="7"/>
  <c r="P8072" i="7"/>
  <c r="P8073" i="7"/>
  <c r="P8074" i="7"/>
  <c r="P8075" i="7"/>
  <c r="P8076" i="7"/>
  <c r="P8077" i="7"/>
  <c r="P8078" i="7"/>
  <c r="P8079" i="7"/>
  <c r="P8080" i="7"/>
  <c r="P8081" i="7"/>
  <c r="P8082" i="7"/>
  <c r="P8083" i="7"/>
  <c r="P8084" i="7"/>
  <c r="P8085" i="7"/>
  <c r="P8086" i="7"/>
  <c r="P8087" i="7"/>
  <c r="P8088" i="7"/>
  <c r="P8089" i="7"/>
  <c r="P8090" i="7"/>
  <c r="P8091" i="7"/>
  <c r="P8092" i="7"/>
  <c r="P8093" i="7"/>
  <c r="P8094" i="7"/>
  <c r="P8095" i="7"/>
  <c r="P8096" i="7"/>
  <c r="P8097" i="7"/>
  <c r="P8098" i="7"/>
  <c r="P8099" i="7"/>
  <c r="P8100" i="7"/>
  <c r="P8101" i="7"/>
  <c r="P8102" i="7"/>
  <c r="P8103" i="7"/>
  <c r="P8104" i="7"/>
  <c r="P8105" i="7"/>
  <c r="P8106" i="7"/>
  <c r="P8107" i="7"/>
  <c r="P8108" i="7"/>
  <c r="P8109" i="7"/>
  <c r="P8110" i="7"/>
  <c r="P8111" i="7"/>
  <c r="P8112" i="7"/>
  <c r="P8113" i="7"/>
  <c r="P8114" i="7"/>
  <c r="P8115" i="7"/>
  <c r="P8116" i="7"/>
  <c r="P8117" i="7"/>
  <c r="P8118" i="7"/>
  <c r="P8119" i="7"/>
  <c r="P8120" i="7"/>
  <c r="P8121" i="7"/>
  <c r="P8122" i="7"/>
  <c r="P8123" i="7"/>
  <c r="P8124" i="7"/>
  <c r="P8125" i="7"/>
  <c r="P8126" i="7"/>
  <c r="P8127" i="7"/>
  <c r="P8128" i="7"/>
  <c r="P8129" i="7"/>
  <c r="P8130" i="7"/>
  <c r="P8131" i="7"/>
  <c r="P8132" i="7"/>
  <c r="P8133" i="7"/>
  <c r="P8134" i="7"/>
  <c r="P8135" i="7"/>
  <c r="P8136" i="7"/>
  <c r="P8137" i="7"/>
  <c r="P8138" i="7"/>
  <c r="P8139" i="7"/>
  <c r="P8140" i="7"/>
  <c r="P8141" i="7"/>
  <c r="P8142" i="7"/>
  <c r="P8143" i="7"/>
  <c r="P8144" i="7"/>
  <c r="P8145" i="7"/>
  <c r="P8146" i="7"/>
  <c r="P8147" i="7"/>
  <c r="P8148" i="7"/>
  <c r="P8149" i="7"/>
  <c r="P8150" i="7"/>
  <c r="P8151" i="7"/>
  <c r="P8152" i="7"/>
  <c r="P8153" i="7"/>
  <c r="P8154" i="7"/>
  <c r="P8155" i="7"/>
  <c r="P8156" i="7"/>
  <c r="P8157" i="7"/>
  <c r="P8158" i="7"/>
  <c r="P8159" i="7"/>
  <c r="P8160" i="7"/>
  <c r="P8161" i="7"/>
  <c r="P8162" i="7"/>
  <c r="P8163" i="7"/>
  <c r="P8164" i="7"/>
  <c r="P8165" i="7"/>
  <c r="P8166" i="7"/>
  <c r="P8167" i="7"/>
  <c r="P8168" i="7"/>
  <c r="P8169" i="7"/>
  <c r="P8170" i="7"/>
  <c r="P8171" i="7"/>
  <c r="P8172" i="7"/>
  <c r="P8173" i="7"/>
  <c r="P8174" i="7"/>
  <c r="P8175" i="7"/>
  <c r="P8176" i="7"/>
  <c r="P8177" i="7"/>
  <c r="P8178" i="7"/>
  <c r="P8179" i="7"/>
  <c r="P8180" i="7"/>
  <c r="P8181" i="7"/>
  <c r="P8182" i="7"/>
  <c r="P8183" i="7"/>
  <c r="P8184" i="7"/>
  <c r="P8185" i="7"/>
  <c r="P8186" i="7"/>
  <c r="P8187" i="7"/>
  <c r="P8188" i="7"/>
  <c r="P8189" i="7"/>
  <c r="P8190" i="7"/>
  <c r="P8191" i="7"/>
  <c r="P8192" i="7"/>
  <c r="P8193" i="7"/>
  <c r="P8194" i="7"/>
  <c r="P8195" i="7"/>
  <c r="P8196" i="7"/>
  <c r="P8197" i="7"/>
  <c r="P8198" i="7"/>
  <c r="M33" i="5" s="1"/>
  <c r="P8199" i="7"/>
  <c r="P8200" i="7"/>
  <c r="P8201" i="7"/>
  <c r="P8202" i="7"/>
  <c r="P8203" i="7"/>
  <c r="P8204" i="7"/>
  <c r="P8205" i="7"/>
  <c r="P8206" i="7"/>
  <c r="P8207" i="7"/>
  <c r="P8208" i="7"/>
  <c r="P8209" i="7"/>
  <c r="P8210" i="7"/>
  <c r="P8211" i="7"/>
  <c r="P8212" i="7"/>
  <c r="P8213" i="7"/>
  <c r="P8214" i="7"/>
  <c r="P8215" i="7"/>
  <c r="P8216" i="7"/>
  <c r="P8217" i="7"/>
  <c r="P8218" i="7"/>
  <c r="P8219" i="7"/>
  <c r="P8220" i="7"/>
  <c r="P8221" i="7"/>
  <c r="P8222" i="7"/>
  <c r="P8223" i="7"/>
  <c r="P8224" i="7"/>
  <c r="P8225" i="7"/>
  <c r="P8226" i="7"/>
  <c r="P8227" i="7"/>
  <c r="P8228" i="7"/>
  <c r="P8229" i="7"/>
  <c r="P8230" i="7"/>
  <c r="P8231" i="7"/>
  <c r="P8232" i="7"/>
  <c r="P8233" i="7"/>
  <c r="P8234" i="7"/>
  <c r="P8235" i="7"/>
  <c r="P8236" i="7"/>
  <c r="P8237" i="7"/>
  <c r="P8238" i="7"/>
  <c r="P8239" i="7"/>
  <c r="P8240" i="7"/>
  <c r="P8241" i="7"/>
  <c r="P8242" i="7"/>
  <c r="P8243" i="7"/>
  <c r="P8244" i="7"/>
  <c r="P8245" i="7"/>
  <c r="P8246" i="7"/>
  <c r="P8247" i="7"/>
  <c r="P8248" i="7"/>
  <c r="P8249" i="7"/>
  <c r="P8250" i="7"/>
  <c r="P8251" i="7"/>
  <c r="P8252" i="7"/>
  <c r="P8253" i="7"/>
  <c r="P8254" i="7"/>
  <c r="P8255" i="7"/>
  <c r="P8256" i="7"/>
  <c r="P8257" i="7"/>
  <c r="P8258" i="7"/>
  <c r="P8259" i="7"/>
  <c r="P8260" i="7"/>
  <c r="P8261" i="7"/>
  <c r="P8262" i="7"/>
  <c r="P8263" i="7"/>
  <c r="P8264" i="7"/>
  <c r="P8265" i="7"/>
  <c r="P8266" i="7"/>
  <c r="P8267" i="7"/>
  <c r="P8268" i="7"/>
  <c r="P8269" i="7"/>
  <c r="P8270" i="7"/>
  <c r="P8271" i="7"/>
  <c r="P8272" i="7"/>
  <c r="P8273" i="7"/>
  <c r="P8274" i="7"/>
  <c r="P8275" i="7"/>
  <c r="P8276" i="7"/>
  <c r="P8277" i="7"/>
  <c r="P8278" i="7"/>
  <c r="P8279" i="7"/>
  <c r="P8280" i="7"/>
  <c r="P8281" i="7"/>
  <c r="P8282" i="7"/>
  <c r="P8283" i="7"/>
  <c r="P8284" i="7"/>
  <c r="P8285" i="7"/>
  <c r="P8286" i="7"/>
  <c r="P8287" i="7"/>
  <c r="P8288" i="7"/>
  <c r="P8289" i="7"/>
  <c r="P8290" i="7"/>
  <c r="P8291" i="7"/>
  <c r="P8292" i="7"/>
  <c r="M221" i="5" s="1"/>
  <c r="P8293" i="7"/>
  <c r="P8294" i="7"/>
  <c r="P8295" i="7"/>
  <c r="P8296" i="7"/>
  <c r="P8297" i="7"/>
  <c r="P8298" i="7"/>
  <c r="P8299" i="7"/>
  <c r="P8300" i="7"/>
  <c r="P8301" i="7"/>
  <c r="P8302" i="7"/>
  <c r="P8303" i="7"/>
  <c r="P8304" i="7"/>
  <c r="P8305" i="7"/>
  <c r="P8306" i="7"/>
  <c r="P8307" i="7"/>
  <c r="P8308" i="7"/>
  <c r="P8309" i="7"/>
  <c r="P8310" i="7"/>
  <c r="P8311" i="7"/>
  <c r="P8312" i="7"/>
  <c r="P8313" i="7"/>
  <c r="P8314" i="7"/>
  <c r="P8315" i="7"/>
  <c r="P8316" i="7"/>
  <c r="P8317" i="7"/>
  <c r="P8318" i="7"/>
  <c r="P8319" i="7"/>
  <c r="P8320" i="7"/>
  <c r="P8321" i="7"/>
  <c r="P8322" i="7"/>
  <c r="P8323" i="7"/>
  <c r="P8324" i="7"/>
  <c r="P8325" i="7"/>
  <c r="P8326" i="7"/>
  <c r="P8327" i="7"/>
  <c r="P8328" i="7"/>
  <c r="P8329" i="7"/>
  <c r="P8330" i="7"/>
  <c r="P8331" i="7"/>
  <c r="P8332" i="7"/>
  <c r="P8333" i="7"/>
  <c r="P8334" i="7"/>
  <c r="P8335" i="7"/>
  <c r="P8336" i="7"/>
  <c r="P8337" i="7"/>
  <c r="P8338" i="7"/>
  <c r="P8339" i="7"/>
  <c r="P8340" i="7"/>
  <c r="P8341" i="7"/>
  <c r="P8342" i="7"/>
  <c r="P8343" i="7"/>
  <c r="P8344" i="7"/>
  <c r="P8345" i="7"/>
  <c r="P8346" i="7"/>
  <c r="P8347" i="7"/>
  <c r="P8348" i="7"/>
  <c r="P8349" i="7"/>
  <c r="P8350" i="7"/>
  <c r="P8351" i="7"/>
  <c r="P8352" i="7"/>
  <c r="P8353" i="7"/>
  <c r="P8354" i="7"/>
  <c r="P8355" i="7"/>
  <c r="P8356" i="7"/>
  <c r="P8357" i="7"/>
  <c r="P8358" i="7"/>
  <c r="P8359" i="7"/>
  <c r="P8360" i="7"/>
  <c r="P8361" i="7"/>
  <c r="P8362" i="7"/>
  <c r="P8363" i="7"/>
  <c r="P8364" i="7"/>
  <c r="P8365" i="7"/>
  <c r="P8366" i="7"/>
  <c r="P8367" i="7"/>
  <c r="P8368" i="7"/>
  <c r="P8369" i="7"/>
  <c r="P8370" i="7"/>
  <c r="P8371" i="7"/>
  <c r="P8372" i="7"/>
  <c r="P8373" i="7"/>
  <c r="P8374" i="7"/>
  <c r="P8375" i="7"/>
  <c r="P8376" i="7"/>
  <c r="P8377" i="7"/>
  <c r="P8378" i="7"/>
  <c r="P8379" i="7"/>
  <c r="P8380" i="7"/>
  <c r="P8381" i="7"/>
  <c r="P8382" i="7"/>
  <c r="P8383" i="7"/>
  <c r="P8384" i="7"/>
  <c r="P8385" i="7"/>
  <c r="P8386" i="7"/>
  <c r="P8387" i="7"/>
  <c r="P8388" i="7"/>
  <c r="P8389" i="7"/>
  <c r="P8390" i="7"/>
  <c r="P8391" i="7"/>
  <c r="P8392" i="7"/>
  <c r="P8393" i="7"/>
  <c r="P8394" i="7"/>
  <c r="P8395" i="7"/>
  <c r="P8396" i="7"/>
  <c r="P8397" i="7"/>
  <c r="P8398" i="7"/>
  <c r="P8399" i="7"/>
  <c r="P8400" i="7"/>
  <c r="P8401" i="7"/>
  <c r="P8402" i="7"/>
  <c r="P8403" i="7"/>
  <c r="P8404" i="7"/>
  <c r="P8405" i="7"/>
  <c r="P8406" i="7"/>
  <c r="P8407" i="7"/>
  <c r="P8408" i="7"/>
  <c r="P8409" i="7"/>
  <c r="P8410" i="7"/>
  <c r="P8411" i="7"/>
  <c r="P8412" i="7"/>
  <c r="P8413" i="7"/>
  <c r="P8414" i="7"/>
  <c r="P8415" i="7"/>
  <c r="P8416" i="7"/>
  <c r="P8417" i="7"/>
  <c r="P8418" i="7"/>
  <c r="P8419" i="7"/>
  <c r="P8420" i="7"/>
  <c r="P8421" i="7"/>
  <c r="P8422" i="7"/>
  <c r="P8423" i="7"/>
  <c r="P8424" i="7"/>
  <c r="P8425" i="7"/>
  <c r="P8426" i="7"/>
  <c r="P8427" i="7"/>
  <c r="P8428" i="7"/>
  <c r="P8429" i="7"/>
  <c r="P8430" i="7"/>
  <c r="P8431" i="7"/>
  <c r="P8432" i="7"/>
  <c r="P8433" i="7"/>
  <c r="P8434" i="7"/>
  <c r="P8435" i="7"/>
  <c r="P8436" i="7"/>
  <c r="P8437" i="7"/>
  <c r="P8438" i="7"/>
  <c r="P8439" i="7"/>
  <c r="P8440" i="7"/>
  <c r="P8441" i="7"/>
  <c r="P8442" i="7"/>
  <c r="P8443" i="7"/>
  <c r="P8444" i="7"/>
  <c r="P8445" i="7"/>
  <c r="P8446" i="7"/>
  <c r="P8447" i="7"/>
  <c r="P8448" i="7"/>
  <c r="P8449" i="7"/>
  <c r="P8450" i="7"/>
  <c r="P8451" i="7"/>
  <c r="P8452" i="7"/>
  <c r="P8453" i="7"/>
  <c r="P8454" i="7"/>
  <c r="P8455" i="7"/>
  <c r="P8456" i="7"/>
  <c r="P8457" i="7"/>
  <c r="P8458" i="7"/>
  <c r="P8459" i="7"/>
  <c r="P8460" i="7"/>
  <c r="P8461" i="7"/>
  <c r="P8462" i="7"/>
  <c r="P8463" i="7"/>
  <c r="P8464" i="7"/>
  <c r="P8465" i="7"/>
  <c r="P8466" i="7"/>
  <c r="P8467" i="7"/>
  <c r="P8468" i="7"/>
  <c r="P8469" i="7"/>
  <c r="P8470" i="7"/>
  <c r="P8471" i="7"/>
  <c r="P8472" i="7"/>
  <c r="P8473" i="7"/>
  <c r="P8474" i="7"/>
  <c r="P8475" i="7"/>
  <c r="P8476" i="7"/>
  <c r="P8477" i="7"/>
  <c r="P8478" i="7"/>
  <c r="P8479" i="7"/>
  <c r="P8480" i="7"/>
  <c r="P8481" i="7"/>
  <c r="P8482" i="7"/>
  <c r="P8483" i="7"/>
  <c r="P8484" i="7"/>
  <c r="P8485" i="7"/>
  <c r="P8486" i="7"/>
  <c r="P8487" i="7"/>
  <c r="P8488" i="7"/>
  <c r="P8489" i="7"/>
  <c r="P8490" i="7"/>
  <c r="P8491" i="7"/>
  <c r="P8492" i="7"/>
  <c r="P8493" i="7"/>
  <c r="P8494" i="7"/>
  <c r="P8495" i="7"/>
  <c r="P8496" i="7"/>
  <c r="P8497" i="7"/>
  <c r="P8498" i="7"/>
  <c r="P8499" i="7"/>
  <c r="P8500" i="7"/>
  <c r="P8501" i="7"/>
  <c r="P8502" i="7"/>
  <c r="P8503" i="7"/>
  <c r="P8504" i="7"/>
  <c r="P8505" i="7"/>
  <c r="P8506" i="7"/>
  <c r="P8507" i="7"/>
  <c r="P8508" i="7"/>
  <c r="P8509" i="7"/>
  <c r="P8510" i="7"/>
  <c r="P8511" i="7"/>
  <c r="P8512" i="7"/>
  <c r="P8513" i="7"/>
  <c r="P8514" i="7"/>
  <c r="P8515" i="7"/>
  <c r="P8516" i="7"/>
  <c r="P8517" i="7"/>
  <c r="P8518" i="7"/>
  <c r="P8519" i="7"/>
  <c r="P8520" i="7"/>
  <c r="P8521" i="7"/>
  <c r="P8522" i="7"/>
  <c r="P8523" i="7"/>
  <c r="P8524" i="7"/>
  <c r="P8525" i="7"/>
  <c r="P8526" i="7"/>
  <c r="P8527" i="7"/>
  <c r="P8528" i="7"/>
  <c r="P8529" i="7"/>
  <c r="P8530" i="7"/>
  <c r="P8531" i="7"/>
  <c r="P8532" i="7"/>
  <c r="P8533" i="7"/>
  <c r="P8534" i="7"/>
  <c r="P8535" i="7"/>
  <c r="P8536" i="7"/>
  <c r="P8537" i="7"/>
  <c r="P8538" i="7"/>
  <c r="P8539" i="7"/>
  <c r="P8540" i="7"/>
  <c r="P8541" i="7"/>
  <c r="P8542" i="7"/>
  <c r="P8543" i="7"/>
  <c r="P8544" i="7"/>
  <c r="P8545" i="7"/>
  <c r="P8546" i="7"/>
  <c r="P8547" i="7"/>
  <c r="P8548" i="7"/>
  <c r="P8549" i="7"/>
  <c r="P8550" i="7"/>
  <c r="P8551" i="7"/>
  <c r="P8552" i="7"/>
  <c r="P8553" i="7"/>
  <c r="P8554" i="7"/>
  <c r="P8555" i="7"/>
  <c r="P8556" i="7"/>
  <c r="P8557" i="7"/>
  <c r="P8558" i="7"/>
  <c r="P8559" i="7"/>
  <c r="P8560" i="7"/>
  <c r="P8561" i="7"/>
  <c r="P8562" i="7"/>
  <c r="P8563" i="7"/>
  <c r="P8564" i="7"/>
  <c r="P8565" i="7"/>
  <c r="P8566" i="7"/>
  <c r="P8567" i="7"/>
  <c r="P8568" i="7"/>
  <c r="P8569" i="7"/>
  <c r="P8570" i="7"/>
  <c r="P8571" i="7"/>
  <c r="P8572" i="7"/>
  <c r="P8573" i="7"/>
  <c r="P8574" i="7"/>
  <c r="P8575" i="7"/>
  <c r="P8576" i="7"/>
  <c r="P8577" i="7"/>
  <c r="P8578" i="7"/>
  <c r="P8579" i="7"/>
  <c r="P8580" i="7"/>
  <c r="P8581" i="7"/>
  <c r="P8582" i="7"/>
  <c r="P8583" i="7"/>
  <c r="P8584" i="7"/>
  <c r="P8585" i="7"/>
  <c r="P8586" i="7"/>
  <c r="P8587" i="7"/>
  <c r="P8588" i="7"/>
  <c r="P8589" i="7"/>
  <c r="P8590" i="7"/>
  <c r="P8591" i="7"/>
  <c r="P8592" i="7"/>
  <c r="P8593" i="7"/>
  <c r="P8594" i="7"/>
  <c r="P8595" i="7"/>
  <c r="P8596" i="7"/>
  <c r="P8597" i="7"/>
  <c r="P8598" i="7"/>
  <c r="P8599" i="7"/>
  <c r="P8600" i="7"/>
  <c r="P8601" i="7"/>
  <c r="P8602" i="7"/>
  <c r="P8603" i="7"/>
  <c r="P8604" i="7"/>
  <c r="P8605" i="7"/>
  <c r="P8606" i="7"/>
  <c r="P8607" i="7"/>
  <c r="P8608" i="7"/>
  <c r="P8609" i="7"/>
  <c r="P8610" i="7"/>
  <c r="P8611" i="7"/>
  <c r="P8612" i="7"/>
  <c r="P8613" i="7"/>
  <c r="P8614" i="7"/>
  <c r="P8615" i="7"/>
  <c r="P8616" i="7"/>
  <c r="P8617" i="7"/>
  <c r="P8618" i="7"/>
  <c r="P8619" i="7"/>
  <c r="P8620" i="7"/>
  <c r="P8621" i="7"/>
  <c r="P8622" i="7"/>
  <c r="P8623" i="7"/>
  <c r="P8624" i="7"/>
  <c r="P8625" i="7"/>
  <c r="P8626" i="7"/>
  <c r="P8627" i="7"/>
  <c r="P8628" i="7"/>
  <c r="P8629" i="7"/>
  <c r="P8630" i="7"/>
  <c r="P8631" i="7"/>
  <c r="P8632" i="7"/>
  <c r="P8633" i="7"/>
  <c r="P8634" i="7"/>
  <c r="P8635" i="7"/>
  <c r="P8636" i="7"/>
  <c r="P8637" i="7"/>
  <c r="P8638" i="7"/>
  <c r="P8639" i="7"/>
  <c r="P8640" i="7"/>
  <c r="P8641" i="7"/>
  <c r="P8642" i="7"/>
  <c r="P8643" i="7"/>
  <c r="P8644" i="7"/>
  <c r="P8645" i="7"/>
  <c r="P8646" i="7"/>
  <c r="P8647" i="7"/>
  <c r="P8648" i="7"/>
  <c r="P8649" i="7"/>
  <c r="P8650" i="7"/>
  <c r="P8651" i="7"/>
  <c r="P8652" i="7"/>
  <c r="P8653" i="7"/>
  <c r="P8654" i="7"/>
  <c r="P8655" i="7"/>
  <c r="P8656" i="7"/>
  <c r="P8657" i="7"/>
  <c r="P8658" i="7"/>
  <c r="P8659" i="7"/>
  <c r="P8660" i="7"/>
  <c r="P8661" i="7"/>
  <c r="P8662" i="7"/>
  <c r="P8663" i="7"/>
  <c r="P8664" i="7"/>
  <c r="P8665" i="7"/>
  <c r="P8666" i="7"/>
  <c r="P8667" i="7"/>
  <c r="P8668" i="7"/>
  <c r="P8669" i="7"/>
  <c r="P8670" i="7"/>
  <c r="P8671" i="7"/>
  <c r="P8672" i="7"/>
  <c r="P8673" i="7"/>
  <c r="P8674" i="7"/>
  <c r="P8675" i="7"/>
  <c r="P8676" i="7"/>
  <c r="P8677" i="7"/>
  <c r="P8678" i="7"/>
  <c r="P8679" i="7"/>
  <c r="P8680" i="7"/>
  <c r="P8681" i="7"/>
  <c r="P8682" i="7"/>
  <c r="P8683" i="7"/>
  <c r="P8684" i="7"/>
  <c r="P8685" i="7"/>
  <c r="P8686" i="7"/>
  <c r="P8687" i="7"/>
  <c r="P8688" i="7"/>
  <c r="P8689" i="7"/>
  <c r="P8690" i="7"/>
  <c r="P8691" i="7"/>
  <c r="P8692" i="7"/>
  <c r="P8693" i="7"/>
  <c r="P8694" i="7"/>
  <c r="P8695" i="7"/>
  <c r="P8696" i="7"/>
  <c r="P8697" i="7"/>
  <c r="P8698" i="7"/>
  <c r="P8699" i="7"/>
  <c r="P8700" i="7"/>
  <c r="P8701" i="7"/>
  <c r="P8702" i="7"/>
  <c r="P8703" i="7"/>
  <c r="P8704" i="7"/>
  <c r="P8705" i="7"/>
  <c r="P8706" i="7"/>
  <c r="P8707" i="7"/>
  <c r="P8708" i="7"/>
  <c r="P8709" i="7"/>
  <c r="P8710" i="7"/>
  <c r="P8711" i="7"/>
  <c r="P8712" i="7"/>
  <c r="P8713" i="7"/>
  <c r="P8714" i="7"/>
  <c r="P8715" i="7"/>
  <c r="P8716" i="7"/>
  <c r="P8717" i="7"/>
  <c r="P8718" i="7"/>
  <c r="P8719" i="7"/>
  <c r="P8720" i="7"/>
  <c r="P8721" i="7"/>
  <c r="P8722" i="7"/>
  <c r="P8723" i="7"/>
  <c r="P8724" i="7"/>
  <c r="P8725" i="7"/>
  <c r="P8726" i="7"/>
  <c r="P8727" i="7"/>
  <c r="P8728" i="7"/>
  <c r="P8729" i="7"/>
  <c r="P8730" i="7"/>
  <c r="P8731" i="7"/>
  <c r="P8732" i="7"/>
  <c r="P8733" i="7"/>
  <c r="P8734" i="7"/>
  <c r="P8735" i="7"/>
  <c r="P8736" i="7"/>
  <c r="P8737" i="7"/>
  <c r="P8738" i="7"/>
  <c r="P8739" i="7"/>
  <c r="P8740" i="7"/>
  <c r="P8741" i="7"/>
  <c r="P8742" i="7"/>
  <c r="P8743" i="7"/>
  <c r="P8744" i="7"/>
  <c r="P8745" i="7"/>
  <c r="P8746" i="7"/>
  <c r="P8747" i="7"/>
  <c r="P8748" i="7"/>
  <c r="P8749" i="7"/>
  <c r="P8750" i="7"/>
  <c r="P8751" i="7"/>
  <c r="P8752" i="7"/>
  <c r="P8753" i="7"/>
  <c r="P8754" i="7"/>
  <c r="P8755" i="7"/>
  <c r="P8756" i="7"/>
  <c r="P8757" i="7"/>
  <c r="P8758" i="7"/>
  <c r="P8759" i="7"/>
  <c r="P8760" i="7"/>
  <c r="P8761" i="7"/>
  <c r="P8762" i="7"/>
  <c r="P8763" i="7"/>
  <c r="P8764" i="7"/>
  <c r="P8765" i="7"/>
  <c r="P8766" i="7"/>
  <c r="P8767" i="7"/>
  <c r="P8768" i="7"/>
  <c r="P8769" i="7"/>
  <c r="P8770" i="7"/>
  <c r="P8771" i="7"/>
  <c r="P8772" i="7"/>
  <c r="P8773" i="7"/>
  <c r="P8774" i="7"/>
  <c r="P8775" i="7"/>
  <c r="P8776" i="7"/>
  <c r="P8777" i="7"/>
  <c r="P8778" i="7"/>
  <c r="P8779" i="7"/>
  <c r="P8780" i="7"/>
  <c r="P8781" i="7"/>
  <c r="P8782" i="7"/>
  <c r="P8783" i="7"/>
  <c r="P8784" i="7"/>
  <c r="P8785" i="7"/>
  <c r="P8786" i="7"/>
  <c r="P8787" i="7"/>
  <c r="P8788" i="7"/>
  <c r="P8789" i="7"/>
  <c r="P8790" i="7"/>
  <c r="P8791" i="7"/>
  <c r="P8792" i="7"/>
  <c r="P8793" i="7"/>
  <c r="P8794" i="7"/>
  <c r="P8795" i="7"/>
  <c r="P8796" i="7"/>
  <c r="P8797" i="7"/>
  <c r="P8798" i="7"/>
  <c r="P8799" i="7"/>
  <c r="P8800" i="7"/>
  <c r="P8801" i="7"/>
  <c r="P8802" i="7"/>
  <c r="P8803" i="7"/>
  <c r="P8804" i="7"/>
  <c r="P8805" i="7"/>
  <c r="P8806" i="7"/>
  <c r="P8807" i="7"/>
  <c r="P8808" i="7"/>
  <c r="P8809" i="7"/>
  <c r="P8810" i="7"/>
  <c r="P8811" i="7"/>
  <c r="P8812" i="7"/>
  <c r="P8813" i="7"/>
  <c r="P8814" i="7"/>
  <c r="P8815" i="7"/>
  <c r="P8816" i="7"/>
  <c r="P8817" i="7"/>
  <c r="P8818" i="7"/>
  <c r="P8819" i="7"/>
  <c r="P8820" i="7"/>
  <c r="P8821" i="7"/>
  <c r="P8822" i="7"/>
  <c r="P8823" i="7"/>
  <c r="P8824" i="7"/>
  <c r="P8825" i="7"/>
  <c r="P8826" i="7"/>
  <c r="P8827" i="7"/>
  <c r="P8828" i="7"/>
  <c r="P8829" i="7"/>
  <c r="P8830" i="7"/>
  <c r="P8831" i="7"/>
  <c r="P8832" i="7"/>
  <c r="P8833" i="7"/>
  <c r="P8834" i="7"/>
  <c r="P8835" i="7"/>
  <c r="P8836" i="7"/>
  <c r="P8837" i="7"/>
  <c r="P8838" i="7"/>
  <c r="P8839" i="7"/>
  <c r="P8840" i="7"/>
  <c r="P8841" i="7"/>
  <c r="P8842" i="7"/>
  <c r="P8843" i="7"/>
  <c r="P8844" i="7"/>
  <c r="P8845" i="7"/>
  <c r="P8846" i="7"/>
  <c r="P8847" i="7"/>
  <c r="P8848" i="7"/>
  <c r="P8849" i="7"/>
  <c r="P8850" i="7"/>
  <c r="P8851" i="7"/>
  <c r="P8852" i="7"/>
  <c r="P8853" i="7"/>
  <c r="P8854" i="7"/>
  <c r="P8855" i="7"/>
  <c r="P8856" i="7"/>
  <c r="P8857" i="7"/>
  <c r="P8858" i="7"/>
  <c r="P8859" i="7"/>
  <c r="P8860" i="7"/>
  <c r="P8861" i="7"/>
  <c r="P8862" i="7"/>
  <c r="P8863" i="7"/>
  <c r="P8864" i="7"/>
  <c r="P8865" i="7"/>
  <c r="P8866" i="7"/>
  <c r="P8867" i="7"/>
  <c r="P8868" i="7"/>
  <c r="P8869" i="7"/>
  <c r="P8870" i="7"/>
  <c r="P8871" i="7"/>
  <c r="P8872" i="7"/>
  <c r="P8873" i="7"/>
  <c r="P8874" i="7"/>
  <c r="P8875" i="7"/>
  <c r="P8876" i="7"/>
  <c r="P8877" i="7"/>
  <c r="P8878" i="7"/>
  <c r="P8879" i="7"/>
  <c r="P8880" i="7"/>
  <c r="P8881" i="7"/>
  <c r="P8882" i="7"/>
  <c r="P8883" i="7"/>
  <c r="P8884" i="7"/>
  <c r="P8885" i="7"/>
  <c r="P8886" i="7"/>
  <c r="P8887" i="7"/>
  <c r="P8888" i="7"/>
  <c r="P8889" i="7"/>
  <c r="P8890" i="7"/>
  <c r="P8891" i="7"/>
  <c r="P8892" i="7"/>
  <c r="P8893" i="7"/>
  <c r="P8894" i="7"/>
  <c r="P8895" i="7"/>
  <c r="P8896" i="7"/>
  <c r="P8897" i="7"/>
  <c r="P8898" i="7"/>
  <c r="P8899" i="7"/>
  <c r="P8900" i="7"/>
  <c r="P8901" i="7"/>
  <c r="P8902" i="7"/>
  <c r="P8903" i="7"/>
  <c r="P8904" i="7"/>
  <c r="P8905" i="7"/>
  <c r="P8906" i="7"/>
  <c r="P8907" i="7"/>
  <c r="P8908" i="7"/>
  <c r="P8909" i="7"/>
  <c r="P8910" i="7"/>
  <c r="P8911" i="7"/>
  <c r="P8912" i="7"/>
  <c r="P8913" i="7"/>
  <c r="P8914" i="7"/>
  <c r="P8915" i="7"/>
  <c r="P8916" i="7"/>
  <c r="P8917" i="7"/>
  <c r="P8918" i="7"/>
  <c r="M158" i="5" s="1"/>
  <c r="P8919" i="7"/>
  <c r="P8920" i="7"/>
  <c r="P8921" i="7"/>
  <c r="P8922" i="7"/>
  <c r="P8923" i="7"/>
  <c r="P8924" i="7"/>
  <c r="P8925" i="7"/>
  <c r="P8926" i="7"/>
  <c r="P8927" i="7"/>
  <c r="P8928" i="7"/>
  <c r="P8929" i="7"/>
  <c r="P8930" i="7"/>
  <c r="P8931" i="7"/>
  <c r="P8932" i="7"/>
  <c r="P8933" i="7"/>
  <c r="P8934" i="7"/>
  <c r="P8935" i="7"/>
  <c r="P8936" i="7"/>
  <c r="P8937" i="7"/>
  <c r="P8938" i="7"/>
  <c r="P8939" i="7"/>
  <c r="P8940" i="7"/>
  <c r="P8941" i="7"/>
  <c r="P8942" i="7"/>
  <c r="P8943" i="7"/>
  <c r="P8944" i="7"/>
  <c r="P8945" i="7"/>
  <c r="P8946" i="7"/>
  <c r="P8947" i="7"/>
  <c r="P8948" i="7"/>
  <c r="P8949" i="7"/>
  <c r="P8950" i="7"/>
  <c r="P8951" i="7"/>
  <c r="P8952" i="7"/>
  <c r="P8953" i="7"/>
  <c r="P8954" i="7"/>
  <c r="P8955" i="7"/>
  <c r="P8956" i="7"/>
  <c r="P8957" i="7"/>
  <c r="P8958" i="7"/>
  <c r="P8959" i="7"/>
  <c r="P8960" i="7"/>
  <c r="P8961" i="7"/>
  <c r="P8962" i="7"/>
  <c r="P8963" i="7"/>
  <c r="P8964" i="7"/>
  <c r="P8965" i="7"/>
  <c r="P8966" i="7"/>
  <c r="P8967" i="7"/>
  <c r="P8968" i="7"/>
  <c r="P8969" i="7"/>
  <c r="P8970" i="7"/>
  <c r="P8971" i="7"/>
  <c r="P8972" i="7"/>
  <c r="P8973" i="7"/>
  <c r="P8974" i="7"/>
  <c r="P8975" i="7"/>
  <c r="P8976" i="7"/>
  <c r="P8977" i="7"/>
  <c r="P8978" i="7"/>
  <c r="P8979" i="7"/>
  <c r="P8980" i="7"/>
  <c r="P8981" i="7"/>
  <c r="P8982" i="7"/>
  <c r="P8983" i="7"/>
  <c r="P8984" i="7"/>
  <c r="P8985" i="7"/>
  <c r="P8986" i="7"/>
  <c r="P8987" i="7"/>
  <c r="P8988" i="7"/>
  <c r="P8989" i="7"/>
  <c r="P8990" i="7"/>
  <c r="P8991" i="7"/>
  <c r="P8992" i="7"/>
  <c r="P8993" i="7"/>
  <c r="P8994" i="7"/>
  <c r="P8995" i="7"/>
  <c r="P8996" i="7"/>
  <c r="P8997" i="7"/>
  <c r="P8998" i="7"/>
  <c r="P8999" i="7"/>
  <c r="P9000" i="7"/>
  <c r="P9001" i="7"/>
  <c r="P9002" i="7"/>
  <c r="P9003" i="7"/>
  <c r="P9004" i="7"/>
  <c r="P9005" i="7"/>
  <c r="P9006" i="7"/>
  <c r="P9007" i="7"/>
  <c r="P9008" i="7"/>
  <c r="P9009" i="7"/>
  <c r="P9010" i="7"/>
  <c r="P9011" i="7"/>
  <c r="P9012" i="7"/>
  <c r="P9013" i="7"/>
  <c r="P9014" i="7"/>
  <c r="P9015" i="7"/>
  <c r="P9016" i="7"/>
  <c r="P9017" i="7"/>
  <c r="P9018" i="7"/>
  <c r="P9019" i="7"/>
  <c r="P9020" i="7"/>
  <c r="P9021" i="7"/>
  <c r="P9022" i="7"/>
  <c r="P9023" i="7"/>
  <c r="P9024" i="7"/>
  <c r="P9025" i="7"/>
  <c r="P9026" i="7"/>
  <c r="P9027" i="7"/>
  <c r="P9028" i="7"/>
  <c r="P9029" i="7"/>
  <c r="P9030" i="7"/>
  <c r="P9031" i="7"/>
  <c r="M258" i="5" s="1"/>
  <c r="P9032" i="7"/>
  <c r="P9033" i="7"/>
  <c r="P9034" i="7"/>
  <c r="P9035" i="7"/>
  <c r="P9036" i="7"/>
  <c r="P9037" i="7"/>
  <c r="P9038" i="7"/>
  <c r="P9039" i="7"/>
  <c r="P9040" i="7"/>
  <c r="P9041" i="7"/>
  <c r="P9042" i="7"/>
  <c r="P9043" i="7"/>
  <c r="P9044" i="7"/>
  <c r="P9045" i="7"/>
  <c r="P9046" i="7"/>
  <c r="P9047" i="7"/>
  <c r="P9048" i="7"/>
  <c r="P9049" i="7"/>
  <c r="P9050" i="7"/>
  <c r="P9051" i="7"/>
  <c r="P9052" i="7"/>
  <c r="P9053" i="7"/>
  <c r="P9054" i="7"/>
  <c r="P9055" i="7"/>
  <c r="P9056" i="7"/>
  <c r="P9057" i="7"/>
  <c r="P9058" i="7"/>
  <c r="P9059" i="7"/>
  <c r="P9060" i="7"/>
  <c r="P9061" i="7"/>
  <c r="P9062" i="7"/>
  <c r="P9063" i="7"/>
  <c r="P9064" i="7"/>
  <c r="P9065" i="7"/>
  <c r="P9066" i="7"/>
  <c r="P9067" i="7"/>
  <c r="P9068" i="7"/>
  <c r="P9069" i="7"/>
  <c r="P9070" i="7"/>
  <c r="P9071" i="7"/>
  <c r="P9072" i="7"/>
  <c r="P9073" i="7"/>
  <c r="P9074" i="7"/>
  <c r="P9075" i="7"/>
  <c r="P9076" i="7"/>
  <c r="P9077" i="7"/>
  <c r="P9078" i="7"/>
  <c r="P9079" i="7"/>
  <c r="P9080" i="7"/>
  <c r="P9081" i="7"/>
  <c r="P9082" i="7"/>
  <c r="P9083" i="7"/>
  <c r="P9084" i="7"/>
  <c r="P9085" i="7"/>
  <c r="P9086" i="7"/>
  <c r="P9087" i="7"/>
  <c r="P9088" i="7"/>
  <c r="P9089" i="7"/>
  <c r="P9090" i="7"/>
  <c r="P9091" i="7"/>
  <c r="P9092" i="7"/>
  <c r="P9093" i="7"/>
  <c r="P9094" i="7"/>
  <c r="P9095" i="7"/>
  <c r="P9096" i="7"/>
  <c r="P9097" i="7"/>
  <c r="P9098" i="7"/>
  <c r="P9099" i="7"/>
  <c r="P9100" i="7"/>
  <c r="P9101" i="7"/>
  <c r="P9102" i="7"/>
  <c r="P9103" i="7"/>
  <c r="P9104" i="7"/>
  <c r="P9105" i="7"/>
  <c r="P9106" i="7"/>
  <c r="P9107" i="7"/>
  <c r="P9108" i="7"/>
  <c r="P9109" i="7"/>
  <c r="P9110" i="7"/>
  <c r="P9111" i="7"/>
  <c r="P9112" i="7"/>
  <c r="P9113" i="7"/>
  <c r="P9114" i="7"/>
  <c r="P9115" i="7"/>
  <c r="P9116" i="7"/>
  <c r="P9117" i="7"/>
  <c r="P9118" i="7"/>
  <c r="P9119" i="7"/>
  <c r="P9120" i="7"/>
  <c r="P9121" i="7"/>
  <c r="P9122" i="7"/>
  <c r="P9123" i="7"/>
  <c r="P9124" i="7"/>
  <c r="P9125" i="7"/>
  <c r="P9126" i="7"/>
  <c r="P9127" i="7"/>
  <c r="P9128" i="7"/>
  <c r="P9129" i="7"/>
  <c r="P9130" i="7"/>
  <c r="P9131" i="7"/>
  <c r="P9132" i="7"/>
  <c r="P9133" i="7"/>
  <c r="P9134" i="7"/>
  <c r="P9135" i="7"/>
  <c r="P9136" i="7"/>
  <c r="P9137" i="7"/>
  <c r="P9138" i="7"/>
  <c r="P9139" i="7"/>
  <c r="P9140" i="7"/>
  <c r="P9141" i="7"/>
  <c r="P9142" i="7"/>
  <c r="P9143" i="7"/>
  <c r="P9144" i="7"/>
  <c r="P9145" i="7"/>
  <c r="P9146" i="7"/>
  <c r="P9147" i="7"/>
  <c r="P9148" i="7"/>
  <c r="P9149" i="7"/>
  <c r="P9150" i="7"/>
  <c r="P9151" i="7"/>
  <c r="P9152" i="7"/>
  <c r="P9153" i="7"/>
  <c r="P9154" i="7"/>
  <c r="P9155" i="7"/>
  <c r="P9156" i="7"/>
  <c r="P9157" i="7"/>
  <c r="P9158" i="7"/>
  <c r="P9159" i="7"/>
  <c r="P9160" i="7"/>
  <c r="P9161" i="7"/>
  <c r="P9162" i="7"/>
  <c r="P9163" i="7"/>
  <c r="P9164" i="7"/>
  <c r="P9165" i="7"/>
  <c r="P9166" i="7"/>
  <c r="P9167" i="7"/>
  <c r="P9168" i="7"/>
  <c r="P9169" i="7"/>
  <c r="P9170" i="7"/>
  <c r="P9171" i="7"/>
  <c r="P9172" i="7"/>
  <c r="P9173" i="7"/>
  <c r="P9174" i="7"/>
  <c r="P9175" i="7"/>
  <c r="P9176" i="7"/>
  <c r="P9177" i="7"/>
  <c r="P9178" i="7"/>
  <c r="P9179" i="7"/>
  <c r="P9180" i="7"/>
  <c r="P9181" i="7"/>
  <c r="P9182" i="7"/>
  <c r="P9183" i="7"/>
  <c r="P9184" i="7"/>
  <c r="P9185" i="7"/>
  <c r="P9186" i="7"/>
  <c r="P9187" i="7"/>
  <c r="P9188" i="7"/>
  <c r="P9189" i="7"/>
  <c r="P9190" i="7"/>
  <c r="P9191" i="7"/>
  <c r="P9192" i="7"/>
  <c r="P9193" i="7"/>
  <c r="P9194" i="7"/>
  <c r="P9195" i="7"/>
  <c r="P9196" i="7"/>
  <c r="P9197" i="7"/>
  <c r="P9198" i="7"/>
  <c r="P9199" i="7"/>
  <c r="P9200" i="7"/>
  <c r="P9201" i="7"/>
  <c r="P9202" i="7"/>
  <c r="P9203" i="7"/>
  <c r="P9204" i="7"/>
  <c r="P9205" i="7"/>
  <c r="P9206" i="7"/>
  <c r="P9207" i="7"/>
  <c r="P9208" i="7"/>
  <c r="P9209" i="7"/>
  <c r="P9210" i="7"/>
  <c r="P9211" i="7"/>
  <c r="P9212" i="7"/>
  <c r="P9213" i="7"/>
  <c r="P9214" i="7"/>
  <c r="P9215" i="7"/>
  <c r="P9216" i="7"/>
  <c r="P9217" i="7"/>
  <c r="P9218" i="7"/>
  <c r="P9219" i="7"/>
  <c r="P9220" i="7"/>
  <c r="P9221" i="7"/>
  <c r="P9222" i="7"/>
  <c r="P9223" i="7"/>
  <c r="P9224" i="7"/>
  <c r="P9225" i="7"/>
  <c r="P9226" i="7"/>
  <c r="P9227" i="7"/>
  <c r="P9228" i="7"/>
  <c r="P9229" i="7"/>
  <c r="P9230" i="7"/>
  <c r="P9231" i="7"/>
  <c r="P9232" i="7"/>
  <c r="P9233" i="7"/>
  <c r="P9234" i="7"/>
  <c r="P9235" i="7"/>
  <c r="P9236" i="7"/>
  <c r="P9237" i="7"/>
  <c r="P9238" i="7"/>
  <c r="P9239" i="7"/>
  <c r="P9240" i="7"/>
  <c r="P9241" i="7"/>
  <c r="P9242" i="7"/>
  <c r="P9243" i="7"/>
  <c r="P9244" i="7"/>
  <c r="P9245" i="7"/>
  <c r="P9246" i="7"/>
  <c r="P9247" i="7"/>
  <c r="P9248" i="7"/>
  <c r="P9249" i="7"/>
  <c r="P9250" i="7"/>
  <c r="P9251" i="7"/>
  <c r="P9252" i="7"/>
  <c r="P9253" i="7"/>
  <c r="P9254" i="7"/>
  <c r="P9255" i="7"/>
  <c r="P9256" i="7"/>
  <c r="P9257" i="7"/>
  <c r="P9258" i="7"/>
  <c r="P9259" i="7"/>
  <c r="P9260" i="7"/>
  <c r="P9261" i="7"/>
  <c r="P9262" i="7"/>
  <c r="P9263" i="7"/>
  <c r="P9264" i="7"/>
  <c r="P9265" i="7"/>
  <c r="P9266" i="7"/>
  <c r="P9267" i="7"/>
  <c r="P9268" i="7"/>
  <c r="P9269" i="7"/>
  <c r="P9270" i="7"/>
  <c r="P9271" i="7"/>
  <c r="P9272" i="7"/>
  <c r="P9273" i="7"/>
  <c r="P9274" i="7"/>
  <c r="P9275" i="7"/>
  <c r="P9276" i="7"/>
  <c r="P9277" i="7"/>
  <c r="P9278" i="7"/>
  <c r="P9279" i="7"/>
  <c r="P9280" i="7"/>
  <c r="P9281" i="7"/>
  <c r="P9282" i="7"/>
  <c r="P9283" i="7"/>
  <c r="P9284" i="7"/>
  <c r="P9285" i="7"/>
  <c r="P9286" i="7"/>
  <c r="P9287" i="7"/>
  <c r="P9288" i="7"/>
  <c r="P9289" i="7"/>
  <c r="P9290" i="7"/>
  <c r="P9291" i="7"/>
  <c r="P9292" i="7"/>
  <c r="P9293" i="7"/>
  <c r="P9294" i="7"/>
  <c r="P9295" i="7"/>
  <c r="P9296" i="7"/>
  <c r="P9297" i="7"/>
  <c r="P9298" i="7"/>
  <c r="P9299" i="7"/>
  <c r="P9300" i="7"/>
  <c r="P9301" i="7"/>
  <c r="P9302" i="7"/>
  <c r="P9303" i="7"/>
  <c r="P9304" i="7"/>
  <c r="P9305" i="7"/>
  <c r="P9306" i="7"/>
  <c r="P9307" i="7"/>
  <c r="P9308" i="7"/>
  <c r="P9309" i="7"/>
  <c r="P9310" i="7"/>
  <c r="P9311" i="7"/>
  <c r="P9312" i="7"/>
  <c r="P9313" i="7"/>
  <c r="P9314" i="7"/>
  <c r="P9315" i="7"/>
  <c r="P9316" i="7"/>
  <c r="P9317" i="7"/>
  <c r="P9318" i="7"/>
  <c r="P9319" i="7"/>
  <c r="P9320" i="7"/>
  <c r="P9321" i="7"/>
  <c r="P9322" i="7"/>
  <c r="P9323" i="7"/>
  <c r="P9324" i="7"/>
  <c r="P9325" i="7"/>
  <c r="P9326" i="7"/>
  <c r="P9327" i="7"/>
  <c r="P9328" i="7"/>
  <c r="P9329" i="7"/>
  <c r="P9330" i="7"/>
  <c r="P9331" i="7"/>
  <c r="P9332" i="7"/>
  <c r="P9333" i="7"/>
  <c r="P9334" i="7"/>
  <c r="P9335" i="7"/>
  <c r="P9336" i="7"/>
  <c r="P9337" i="7"/>
  <c r="P9338" i="7"/>
  <c r="P9339" i="7"/>
  <c r="P9340" i="7"/>
  <c r="P9341" i="7"/>
  <c r="P9342" i="7"/>
  <c r="P9343" i="7"/>
  <c r="P9344" i="7"/>
  <c r="P9345" i="7"/>
  <c r="P9346" i="7"/>
  <c r="P9347" i="7"/>
  <c r="P9348" i="7"/>
  <c r="P9349" i="7"/>
  <c r="P9350" i="7"/>
  <c r="P9351" i="7"/>
  <c r="P9352" i="7"/>
  <c r="P9353" i="7"/>
  <c r="P9354" i="7"/>
  <c r="P9355" i="7"/>
  <c r="P9356" i="7"/>
  <c r="P9357" i="7"/>
  <c r="P9358" i="7"/>
  <c r="P9359" i="7"/>
  <c r="P9360" i="7"/>
  <c r="P9361" i="7"/>
  <c r="P9362" i="7"/>
  <c r="P9363" i="7"/>
  <c r="P9364" i="7"/>
  <c r="P9365" i="7"/>
  <c r="P9366" i="7"/>
  <c r="P9367" i="7"/>
  <c r="P9368" i="7"/>
  <c r="P9369" i="7"/>
  <c r="P9370" i="7"/>
  <c r="P9371" i="7"/>
  <c r="P9372" i="7"/>
  <c r="P9373" i="7"/>
  <c r="P9374" i="7"/>
  <c r="P9375" i="7"/>
  <c r="P9376" i="7"/>
  <c r="P9377" i="7"/>
  <c r="P9378" i="7"/>
  <c r="P9379" i="7"/>
  <c r="P9380" i="7"/>
  <c r="P9381" i="7"/>
  <c r="P9382" i="7"/>
  <c r="P9383" i="7"/>
  <c r="P9384" i="7"/>
  <c r="P9385" i="7"/>
  <c r="P9386" i="7"/>
  <c r="P9387" i="7"/>
  <c r="P9388" i="7"/>
  <c r="P9389" i="7"/>
  <c r="P9390" i="7"/>
  <c r="P9391" i="7"/>
  <c r="P9392" i="7"/>
  <c r="P9393" i="7"/>
  <c r="P9394" i="7"/>
  <c r="P9395" i="7"/>
  <c r="P9396" i="7"/>
  <c r="P9397" i="7"/>
  <c r="P9398" i="7"/>
  <c r="P9399" i="7"/>
  <c r="P9400" i="7"/>
  <c r="P9401" i="7"/>
  <c r="P9402" i="7"/>
  <c r="P9403" i="7"/>
  <c r="P9404" i="7"/>
  <c r="P9405" i="7"/>
  <c r="P9406" i="7"/>
  <c r="P9407" i="7"/>
  <c r="P9408" i="7"/>
  <c r="P9409" i="7"/>
  <c r="P9410" i="7"/>
  <c r="P9411" i="7"/>
  <c r="P9412" i="7"/>
  <c r="P9413" i="7"/>
  <c r="P9414" i="7"/>
  <c r="P9415" i="7"/>
  <c r="P9416" i="7"/>
  <c r="P9417" i="7"/>
  <c r="P9418" i="7"/>
  <c r="P9419" i="7"/>
  <c r="P9420" i="7"/>
  <c r="P9421" i="7"/>
  <c r="P9422" i="7"/>
  <c r="P9423" i="7"/>
  <c r="P9424" i="7"/>
  <c r="P9425" i="7"/>
  <c r="P9426" i="7"/>
  <c r="P9427" i="7"/>
  <c r="P9428" i="7"/>
  <c r="P9429" i="7"/>
  <c r="P9430" i="7"/>
  <c r="P9431" i="7"/>
  <c r="P9432" i="7"/>
  <c r="P9433" i="7"/>
  <c r="P9434" i="7"/>
  <c r="P9435" i="7"/>
  <c r="P9436" i="7"/>
  <c r="P9437" i="7"/>
  <c r="P9438" i="7"/>
  <c r="P9439" i="7"/>
  <c r="P9440" i="7"/>
  <c r="P9441" i="7"/>
  <c r="P9442" i="7"/>
  <c r="P9443" i="7"/>
  <c r="P9444" i="7"/>
  <c r="P9445" i="7"/>
  <c r="P9446" i="7"/>
  <c r="P9447" i="7"/>
  <c r="P9448" i="7"/>
  <c r="P9449" i="7"/>
  <c r="P9450" i="7"/>
  <c r="P9451" i="7"/>
  <c r="P9452" i="7"/>
  <c r="P9453" i="7"/>
  <c r="P9454" i="7"/>
  <c r="P9455" i="7"/>
  <c r="P9456" i="7"/>
  <c r="P9457" i="7"/>
  <c r="P9458" i="7"/>
  <c r="P9459" i="7"/>
  <c r="P9460" i="7"/>
  <c r="P9461" i="7"/>
  <c r="P9462" i="7"/>
  <c r="P9463" i="7"/>
  <c r="P9464" i="7"/>
  <c r="P9465" i="7"/>
  <c r="O2" i="7"/>
  <c r="O3" i="7"/>
  <c r="O4" i="7"/>
  <c r="O5" i="7"/>
  <c r="O6" i="7"/>
  <c r="O7" i="7"/>
  <c r="O8" i="7"/>
  <c r="O9" i="7"/>
  <c r="O10" i="7"/>
  <c r="O11" i="7"/>
  <c r="O12" i="7"/>
  <c r="O13" i="7"/>
  <c r="O14" i="7"/>
  <c r="O15" i="7"/>
  <c r="O16" i="7"/>
  <c r="O17" i="7"/>
  <c r="O18" i="7"/>
  <c r="O19" i="7"/>
  <c r="O20" i="7"/>
  <c r="O21" i="7"/>
  <c r="O22" i="7"/>
  <c r="O23" i="7"/>
  <c r="O24" i="7"/>
  <c r="O25" i="7"/>
  <c r="O26" i="7"/>
  <c r="O27" i="7"/>
  <c r="O28" i="7"/>
  <c r="O29" i="7"/>
  <c r="O30" i="7"/>
  <c r="O31" i="7"/>
  <c r="O32" i="7"/>
  <c r="O33" i="7"/>
  <c r="O34" i="7"/>
  <c r="O35" i="7"/>
  <c r="O36" i="7"/>
  <c r="O37" i="7"/>
  <c r="O38" i="7"/>
  <c r="O39" i="7"/>
  <c r="O40" i="7"/>
  <c r="O41" i="7"/>
  <c r="O42" i="7"/>
  <c r="O43" i="7"/>
  <c r="O44" i="7"/>
  <c r="O45" i="7"/>
  <c r="O46" i="7"/>
  <c r="O47" i="7"/>
  <c r="O48" i="7"/>
  <c r="O49" i="7"/>
  <c r="O50" i="7"/>
  <c r="O51" i="7"/>
  <c r="O52" i="7"/>
  <c r="O53" i="7"/>
  <c r="O54" i="7"/>
  <c r="O55" i="7"/>
  <c r="O56" i="7"/>
  <c r="O57" i="7"/>
  <c r="O58" i="7"/>
  <c r="O59" i="7"/>
  <c r="O60" i="7"/>
  <c r="O61" i="7"/>
  <c r="O62" i="7"/>
  <c r="O63" i="7"/>
  <c r="O64" i="7"/>
  <c r="O65" i="7"/>
  <c r="O66" i="7"/>
  <c r="O67" i="7"/>
  <c r="O68" i="7"/>
  <c r="O69" i="7"/>
  <c r="O70" i="7"/>
  <c r="O71" i="7"/>
  <c r="O72" i="7"/>
  <c r="O73" i="7"/>
  <c r="O74" i="7"/>
  <c r="O75" i="7"/>
  <c r="O76" i="7"/>
  <c r="O77" i="7"/>
  <c r="O78" i="7"/>
  <c r="O79" i="7"/>
  <c r="O80" i="7"/>
  <c r="O81" i="7"/>
  <c r="O82" i="7"/>
  <c r="O83" i="7"/>
  <c r="O84" i="7"/>
  <c r="O85" i="7"/>
  <c r="O86" i="7"/>
  <c r="O87" i="7"/>
  <c r="O88" i="7"/>
  <c r="O89" i="7"/>
  <c r="O90" i="7"/>
  <c r="O91" i="7"/>
  <c r="O92" i="7"/>
  <c r="O93" i="7"/>
  <c r="O94" i="7"/>
  <c r="O95" i="7"/>
  <c r="O96" i="7"/>
  <c r="O97" i="7"/>
  <c r="O98" i="7"/>
  <c r="O99" i="7"/>
  <c r="O100" i="7"/>
  <c r="O101" i="7"/>
  <c r="O102" i="7"/>
  <c r="O103" i="7"/>
  <c r="O104" i="7"/>
  <c r="O105" i="7"/>
  <c r="O106" i="7"/>
  <c r="O107" i="7"/>
  <c r="O108" i="7"/>
  <c r="O109" i="7"/>
  <c r="O110" i="7"/>
  <c r="O111" i="7"/>
  <c r="O112" i="7"/>
  <c r="O113" i="7"/>
  <c r="O114" i="7"/>
  <c r="O115" i="7"/>
  <c r="O116" i="7"/>
  <c r="O117" i="7"/>
  <c r="O118" i="7"/>
  <c r="O119" i="7"/>
  <c r="O120" i="7"/>
  <c r="O121" i="7"/>
  <c r="O122" i="7"/>
  <c r="O123" i="7"/>
  <c r="O124" i="7"/>
  <c r="O125" i="7"/>
  <c r="O126" i="7"/>
  <c r="O127" i="7"/>
  <c r="O128" i="7"/>
  <c r="O129" i="7"/>
  <c r="O130" i="7"/>
  <c r="O131" i="7"/>
  <c r="O132" i="7"/>
  <c r="O133" i="7"/>
  <c r="O134" i="7"/>
  <c r="O135" i="7"/>
  <c r="O136" i="7"/>
  <c r="O137" i="7"/>
  <c r="O138" i="7"/>
  <c r="O139" i="7"/>
  <c r="O140" i="7"/>
  <c r="O141" i="7"/>
  <c r="O142" i="7"/>
  <c r="O143" i="7"/>
  <c r="O144" i="7"/>
  <c r="O145" i="7"/>
  <c r="O146" i="7"/>
  <c r="O147" i="7"/>
  <c r="O148" i="7"/>
  <c r="O149" i="7"/>
  <c r="O150" i="7"/>
  <c r="O151" i="7"/>
  <c r="O152" i="7"/>
  <c r="O153" i="7"/>
  <c r="O154" i="7"/>
  <c r="O155" i="7"/>
  <c r="O156" i="7"/>
  <c r="O157" i="7"/>
  <c r="O158" i="7"/>
  <c r="O159" i="7"/>
  <c r="O160" i="7"/>
  <c r="O161" i="7"/>
  <c r="O162" i="7"/>
  <c r="O163" i="7"/>
  <c r="O164" i="7"/>
  <c r="O165" i="7"/>
  <c r="O166" i="7"/>
  <c r="O167" i="7"/>
  <c r="O168" i="7"/>
  <c r="O169" i="7"/>
  <c r="O170" i="7"/>
  <c r="O171" i="7"/>
  <c r="O172" i="7"/>
  <c r="O173" i="7"/>
  <c r="O174" i="7"/>
  <c r="O175" i="7"/>
  <c r="O176" i="7"/>
  <c r="O177" i="7"/>
  <c r="O178" i="7"/>
  <c r="O179" i="7"/>
  <c r="O180" i="7"/>
  <c r="O181" i="7"/>
  <c r="O182" i="7"/>
  <c r="O183" i="7"/>
  <c r="O184" i="7"/>
  <c r="O185" i="7"/>
  <c r="O186" i="7"/>
  <c r="O187" i="7"/>
  <c r="O188" i="7"/>
  <c r="O189" i="7"/>
  <c r="O190" i="7"/>
  <c r="O191" i="7"/>
  <c r="O192" i="7"/>
  <c r="O193" i="7"/>
  <c r="O194" i="7"/>
  <c r="O195" i="7"/>
  <c r="O196" i="7"/>
  <c r="O197" i="7"/>
  <c r="O198" i="7"/>
  <c r="O199" i="7"/>
  <c r="O200" i="7"/>
  <c r="O201" i="7"/>
  <c r="O202" i="7"/>
  <c r="O203" i="7"/>
  <c r="O204" i="7"/>
  <c r="O205" i="7"/>
  <c r="O206" i="7"/>
  <c r="O207" i="7"/>
  <c r="O208" i="7"/>
  <c r="O209" i="7"/>
  <c r="O210" i="7"/>
  <c r="O211" i="7"/>
  <c r="O212" i="7"/>
  <c r="O213" i="7"/>
  <c r="O214" i="7"/>
  <c r="O215" i="7"/>
  <c r="O216" i="7"/>
  <c r="O217" i="7"/>
  <c r="O218" i="7"/>
  <c r="O219" i="7"/>
  <c r="O220" i="7"/>
  <c r="O221" i="7"/>
  <c r="O222" i="7"/>
  <c r="O223" i="7"/>
  <c r="O224" i="7"/>
  <c r="O225" i="7"/>
  <c r="O226" i="7"/>
  <c r="O227" i="7"/>
  <c r="O228" i="7"/>
  <c r="O229" i="7"/>
  <c r="O230" i="7"/>
  <c r="O231" i="7"/>
  <c r="O232" i="7"/>
  <c r="O233" i="7"/>
  <c r="O234" i="7"/>
  <c r="O235" i="7"/>
  <c r="O236" i="7"/>
  <c r="O237" i="7"/>
  <c r="O238" i="7"/>
  <c r="O239" i="7"/>
  <c r="O240" i="7"/>
  <c r="O241" i="7"/>
  <c r="O242" i="7"/>
  <c r="O243" i="7"/>
  <c r="O244" i="7"/>
  <c r="O245" i="7"/>
  <c r="O246" i="7"/>
  <c r="O247" i="7"/>
  <c r="O248" i="7"/>
  <c r="O249" i="7"/>
  <c r="O250" i="7"/>
  <c r="O251" i="7"/>
  <c r="O252" i="7"/>
  <c r="O253" i="7"/>
  <c r="O254" i="7"/>
  <c r="O255" i="7"/>
  <c r="O256" i="7"/>
  <c r="O257" i="7"/>
  <c r="O258" i="7"/>
  <c r="O259" i="7"/>
  <c r="O260" i="7"/>
  <c r="O261" i="7"/>
  <c r="O262" i="7"/>
  <c r="O263" i="7"/>
  <c r="O264" i="7"/>
  <c r="O265" i="7"/>
  <c r="O266" i="7"/>
  <c r="O267" i="7"/>
  <c r="O268" i="7"/>
  <c r="O269" i="7"/>
  <c r="O270" i="7"/>
  <c r="O271" i="7"/>
  <c r="O272" i="7"/>
  <c r="O273" i="7"/>
  <c r="O274" i="7"/>
  <c r="O275" i="7"/>
  <c r="O276" i="7"/>
  <c r="O277" i="7"/>
  <c r="O278" i="7"/>
  <c r="O279" i="7"/>
  <c r="O280" i="7"/>
  <c r="O281" i="7"/>
  <c r="O282" i="7"/>
  <c r="O283" i="7"/>
  <c r="O284" i="7"/>
  <c r="O285" i="7"/>
  <c r="O286" i="7"/>
  <c r="O287" i="7"/>
  <c r="O288" i="7"/>
  <c r="O289" i="7"/>
  <c r="O290" i="7"/>
  <c r="O291" i="7"/>
  <c r="O292" i="7"/>
  <c r="O293" i="7"/>
  <c r="O294" i="7"/>
  <c r="O295" i="7"/>
  <c r="O296" i="7"/>
  <c r="O297" i="7"/>
  <c r="O298" i="7"/>
  <c r="O299" i="7"/>
  <c r="O300" i="7"/>
  <c r="O301" i="7"/>
  <c r="O302" i="7"/>
  <c r="O303" i="7"/>
  <c r="O304" i="7"/>
  <c r="O305" i="7"/>
  <c r="O306" i="7"/>
  <c r="O307" i="7"/>
  <c r="O308" i="7"/>
  <c r="O309" i="7"/>
  <c r="O310" i="7"/>
  <c r="O311" i="7"/>
  <c r="O312" i="7"/>
  <c r="O313" i="7"/>
  <c r="O314" i="7"/>
  <c r="O315" i="7"/>
  <c r="O316" i="7"/>
  <c r="O317" i="7"/>
  <c r="O318" i="7"/>
  <c r="O319" i="7"/>
  <c r="O320" i="7"/>
  <c r="O321" i="7"/>
  <c r="O322" i="7"/>
  <c r="O323" i="7"/>
  <c r="O324" i="7"/>
  <c r="O325" i="7"/>
  <c r="O326" i="7"/>
  <c r="O327" i="7"/>
  <c r="O328" i="7"/>
  <c r="O329" i="7"/>
  <c r="O330" i="7"/>
  <c r="O331" i="7"/>
  <c r="O332" i="7"/>
  <c r="O333" i="7"/>
  <c r="O334" i="7"/>
  <c r="O335" i="7"/>
  <c r="O336" i="7"/>
  <c r="O337" i="7"/>
  <c r="O338" i="7"/>
  <c r="O339" i="7"/>
  <c r="O340" i="7"/>
  <c r="O341" i="7"/>
  <c r="O342" i="7"/>
  <c r="O343" i="7"/>
  <c r="O344" i="7"/>
  <c r="O345" i="7"/>
  <c r="O346" i="7"/>
  <c r="O347" i="7"/>
  <c r="O348" i="7"/>
  <c r="O349" i="7"/>
  <c r="O350" i="7"/>
  <c r="O351" i="7"/>
  <c r="O352" i="7"/>
  <c r="O353" i="7"/>
  <c r="O354" i="7"/>
  <c r="O355" i="7"/>
  <c r="O356" i="7"/>
  <c r="O357" i="7"/>
  <c r="O358" i="7"/>
  <c r="O359" i="7"/>
  <c r="O360" i="7"/>
  <c r="O361" i="7"/>
  <c r="O362" i="7"/>
  <c r="O363" i="7"/>
  <c r="O364" i="7"/>
  <c r="O365" i="7"/>
  <c r="O366" i="7"/>
  <c r="O367" i="7"/>
  <c r="O368" i="7"/>
  <c r="O369" i="7"/>
  <c r="O370" i="7"/>
  <c r="O371" i="7"/>
  <c r="O372" i="7"/>
  <c r="O373" i="7"/>
  <c r="O374" i="7"/>
  <c r="O375" i="7"/>
  <c r="O376" i="7"/>
  <c r="O377" i="7"/>
  <c r="O378" i="7"/>
  <c r="O379" i="7"/>
  <c r="O380" i="7"/>
  <c r="O381" i="7"/>
  <c r="O382" i="7"/>
  <c r="O383" i="7"/>
  <c r="O384" i="7"/>
  <c r="O385" i="7"/>
  <c r="O386" i="7"/>
  <c r="O387" i="7"/>
  <c r="O388" i="7"/>
  <c r="O389" i="7"/>
  <c r="O390" i="7"/>
  <c r="O391" i="7"/>
  <c r="O392" i="7"/>
  <c r="O393" i="7"/>
  <c r="O394" i="7"/>
  <c r="O395" i="7"/>
  <c r="O396" i="7"/>
  <c r="O397" i="7"/>
  <c r="O398" i="7"/>
  <c r="O399" i="7"/>
  <c r="O400" i="7"/>
  <c r="O401" i="7"/>
  <c r="O402" i="7"/>
  <c r="O403" i="7"/>
  <c r="O404" i="7"/>
  <c r="O405" i="7"/>
  <c r="O406" i="7"/>
  <c r="O407" i="7"/>
  <c r="O408" i="7"/>
  <c r="O409" i="7"/>
  <c r="O410" i="7"/>
  <c r="O411" i="7"/>
  <c r="O412" i="7"/>
  <c r="O413" i="7"/>
  <c r="O414" i="7"/>
  <c r="O415" i="7"/>
  <c r="O416" i="7"/>
  <c r="O417" i="7"/>
  <c r="O418" i="7"/>
  <c r="O419" i="7"/>
  <c r="O420" i="7"/>
  <c r="O421" i="7"/>
  <c r="O422" i="7"/>
  <c r="O423" i="7"/>
  <c r="O424" i="7"/>
  <c r="O425" i="7"/>
  <c r="O426" i="7"/>
  <c r="O427" i="7"/>
  <c r="O428" i="7"/>
  <c r="O429" i="7"/>
  <c r="O430" i="7"/>
  <c r="O431" i="7"/>
  <c r="O432" i="7"/>
  <c r="O433" i="7"/>
  <c r="O434" i="7"/>
  <c r="O435" i="7"/>
  <c r="O436" i="7"/>
  <c r="O437" i="7"/>
  <c r="O438" i="7"/>
  <c r="O439" i="7"/>
  <c r="O440" i="7"/>
  <c r="O441" i="7"/>
  <c r="O442" i="7"/>
  <c r="O443" i="7"/>
  <c r="O444" i="7"/>
  <c r="O445" i="7"/>
  <c r="O446" i="7"/>
  <c r="O447" i="7"/>
  <c r="O448" i="7"/>
  <c r="O449" i="7"/>
  <c r="O450" i="7"/>
  <c r="O451" i="7"/>
  <c r="O452" i="7"/>
  <c r="O453" i="7"/>
  <c r="O454" i="7"/>
  <c r="O455" i="7"/>
  <c r="O456" i="7"/>
  <c r="O457" i="7"/>
  <c r="O458" i="7"/>
  <c r="O459" i="7"/>
  <c r="O460" i="7"/>
  <c r="O461" i="7"/>
  <c r="O462" i="7"/>
  <c r="O463" i="7"/>
  <c r="O464" i="7"/>
  <c r="O465" i="7"/>
  <c r="O466" i="7"/>
  <c r="O467" i="7"/>
  <c r="O468" i="7"/>
  <c r="O469" i="7"/>
  <c r="O470" i="7"/>
  <c r="O471" i="7"/>
  <c r="O472" i="7"/>
  <c r="O473" i="7"/>
  <c r="O474" i="7"/>
  <c r="O475" i="7"/>
  <c r="O476" i="7"/>
  <c r="O477" i="7"/>
  <c r="O478" i="7"/>
  <c r="O479" i="7"/>
  <c r="O480" i="7"/>
  <c r="O481" i="7"/>
  <c r="O482" i="7"/>
  <c r="O483" i="7"/>
  <c r="O484" i="7"/>
  <c r="O485" i="7"/>
  <c r="O486" i="7"/>
  <c r="O487" i="7"/>
  <c r="O488" i="7"/>
  <c r="O489" i="7"/>
  <c r="O490" i="7"/>
  <c r="O491" i="7"/>
  <c r="O492" i="7"/>
  <c r="O493" i="7"/>
  <c r="O494" i="7"/>
  <c r="O495" i="7"/>
  <c r="O496" i="7"/>
  <c r="O497" i="7"/>
  <c r="O498" i="7"/>
  <c r="O499" i="7"/>
  <c r="O500" i="7"/>
  <c r="O501" i="7"/>
  <c r="O502" i="7"/>
  <c r="O503" i="7"/>
  <c r="O504" i="7"/>
  <c r="O505" i="7"/>
  <c r="O506" i="7"/>
  <c r="O507" i="7"/>
  <c r="O508" i="7"/>
  <c r="O509" i="7"/>
  <c r="O510" i="7"/>
  <c r="O511" i="7"/>
  <c r="O512" i="7"/>
  <c r="O513" i="7"/>
  <c r="O514" i="7"/>
  <c r="O515" i="7"/>
  <c r="O516" i="7"/>
  <c r="O517" i="7"/>
  <c r="O518" i="7"/>
  <c r="O519" i="7"/>
  <c r="O520" i="7"/>
  <c r="O521" i="7"/>
  <c r="O522" i="7"/>
  <c r="O523" i="7"/>
  <c r="O524" i="7"/>
  <c r="O525" i="7"/>
  <c r="O526" i="7"/>
  <c r="O527" i="7"/>
  <c r="O528" i="7"/>
  <c r="O529" i="7"/>
  <c r="O530" i="7"/>
  <c r="O531" i="7"/>
  <c r="O532" i="7"/>
  <c r="O533" i="7"/>
  <c r="O534" i="7"/>
  <c r="O535" i="7"/>
  <c r="O536" i="7"/>
  <c r="O537" i="7"/>
  <c r="O538" i="7"/>
  <c r="O539" i="7"/>
  <c r="O540" i="7"/>
  <c r="O541" i="7"/>
  <c r="O542" i="7"/>
  <c r="O543" i="7"/>
  <c r="O544" i="7"/>
  <c r="O545" i="7"/>
  <c r="O546" i="7"/>
  <c r="O547" i="7"/>
  <c r="O548" i="7"/>
  <c r="O549" i="7"/>
  <c r="O550" i="7"/>
  <c r="O551" i="7"/>
  <c r="O552" i="7"/>
  <c r="O553" i="7"/>
  <c r="O554" i="7"/>
  <c r="O555" i="7"/>
  <c r="O556" i="7"/>
  <c r="O557" i="7"/>
  <c r="O558" i="7"/>
  <c r="O559" i="7"/>
  <c r="O560" i="7"/>
  <c r="O561" i="7"/>
  <c r="O562" i="7"/>
  <c r="O563" i="7"/>
  <c r="O564" i="7"/>
  <c r="O565" i="7"/>
  <c r="O566" i="7"/>
  <c r="O567" i="7"/>
  <c r="O568" i="7"/>
  <c r="O569" i="7"/>
  <c r="O570" i="7"/>
  <c r="O571" i="7"/>
  <c r="O572" i="7"/>
  <c r="O573" i="7"/>
  <c r="O574" i="7"/>
  <c r="O575" i="7"/>
  <c r="O576" i="7"/>
  <c r="O577" i="7"/>
  <c r="O578" i="7"/>
  <c r="O579" i="7"/>
  <c r="O580" i="7"/>
  <c r="O581" i="7"/>
  <c r="O582" i="7"/>
  <c r="O583" i="7"/>
  <c r="O584" i="7"/>
  <c r="O585" i="7"/>
  <c r="O586" i="7"/>
  <c r="O587" i="7"/>
  <c r="O588" i="7"/>
  <c r="O63" i="5" s="1"/>
  <c r="O589" i="7"/>
  <c r="O590" i="7"/>
  <c r="O591" i="7"/>
  <c r="O592" i="7"/>
  <c r="O593" i="7"/>
  <c r="O594" i="7"/>
  <c r="O595" i="7"/>
  <c r="O596" i="7"/>
  <c r="O597" i="7"/>
  <c r="O598" i="7"/>
  <c r="O599" i="7"/>
  <c r="O600" i="7"/>
  <c r="O601" i="7"/>
  <c r="O602" i="7"/>
  <c r="O603" i="7"/>
  <c r="O604" i="7"/>
  <c r="O605" i="7"/>
  <c r="O606" i="7"/>
  <c r="O607" i="7"/>
  <c r="O608" i="7"/>
  <c r="O609" i="7"/>
  <c r="O610" i="7"/>
  <c r="O611" i="7"/>
  <c r="O612" i="7"/>
  <c r="O613" i="7"/>
  <c r="O614" i="7"/>
  <c r="O615" i="7"/>
  <c r="O616" i="7"/>
  <c r="O617" i="7"/>
  <c r="O618" i="7"/>
  <c r="O619" i="7"/>
  <c r="O620" i="7"/>
  <c r="O621" i="7"/>
  <c r="O622" i="7"/>
  <c r="O623" i="7"/>
  <c r="O624" i="7"/>
  <c r="O625" i="7"/>
  <c r="O626" i="7"/>
  <c r="O627" i="7"/>
  <c r="O628" i="7"/>
  <c r="O629" i="7"/>
  <c r="O630" i="7"/>
  <c r="O631" i="7"/>
  <c r="O632" i="7"/>
  <c r="O633" i="7"/>
  <c r="O634" i="7"/>
  <c r="O635" i="7"/>
  <c r="O636" i="7"/>
  <c r="O637" i="7"/>
  <c r="O638" i="7"/>
  <c r="O639" i="7"/>
  <c r="O640" i="7"/>
  <c r="O641" i="7"/>
  <c r="O642" i="7"/>
  <c r="O643" i="7"/>
  <c r="O644" i="7"/>
  <c r="O645" i="7"/>
  <c r="O646" i="7"/>
  <c r="O647" i="7"/>
  <c r="O648" i="7"/>
  <c r="O649" i="7"/>
  <c r="O650" i="7"/>
  <c r="O651" i="7"/>
  <c r="O652" i="7"/>
  <c r="O653" i="7"/>
  <c r="O654" i="7"/>
  <c r="O655" i="7"/>
  <c r="O656" i="7"/>
  <c r="O657" i="7"/>
  <c r="O658" i="7"/>
  <c r="O659" i="7"/>
  <c r="O660" i="7"/>
  <c r="O661" i="7"/>
  <c r="O662" i="7"/>
  <c r="O663" i="7"/>
  <c r="O664" i="7"/>
  <c r="O665" i="7"/>
  <c r="O666" i="7"/>
  <c r="O667" i="7"/>
  <c r="O668" i="7"/>
  <c r="O669" i="7"/>
  <c r="O670" i="7"/>
  <c r="O671" i="7"/>
  <c r="O672" i="7"/>
  <c r="O673" i="7"/>
  <c r="O674" i="7"/>
  <c r="O675" i="7"/>
  <c r="O676" i="7"/>
  <c r="O677" i="7"/>
  <c r="O678" i="7"/>
  <c r="O679" i="7"/>
  <c r="O680" i="7"/>
  <c r="O681" i="7"/>
  <c r="O682" i="7"/>
  <c r="O683" i="7"/>
  <c r="O684" i="7"/>
  <c r="O685" i="7"/>
  <c r="O686" i="7"/>
  <c r="O687" i="7"/>
  <c r="O688" i="7"/>
  <c r="O689" i="7"/>
  <c r="O690" i="7"/>
  <c r="O691" i="7"/>
  <c r="O692" i="7"/>
  <c r="O693" i="7"/>
  <c r="O694" i="7"/>
  <c r="O695" i="7"/>
  <c r="O696" i="7"/>
  <c r="O697" i="7"/>
  <c r="O698" i="7"/>
  <c r="O699" i="7"/>
  <c r="O700" i="7"/>
  <c r="O701" i="7"/>
  <c r="O702" i="7"/>
  <c r="O703" i="7"/>
  <c r="O704" i="7"/>
  <c r="O705" i="7"/>
  <c r="O706" i="7"/>
  <c r="O707" i="7"/>
  <c r="O708" i="7"/>
  <c r="O709" i="7"/>
  <c r="O710" i="7"/>
  <c r="O711" i="7"/>
  <c r="O712" i="7"/>
  <c r="O713" i="7"/>
  <c r="O714" i="7"/>
  <c r="O715" i="7"/>
  <c r="O716" i="7"/>
  <c r="O717" i="7"/>
  <c r="O718" i="7"/>
  <c r="O719" i="7"/>
  <c r="O720" i="7"/>
  <c r="O721" i="7"/>
  <c r="O722" i="7"/>
  <c r="O723" i="7"/>
  <c r="O724" i="7"/>
  <c r="O725" i="7"/>
  <c r="O726" i="7"/>
  <c r="O727" i="7"/>
  <c r="O728" i="7"/>
  <c r="O729" i="7"/>
  <c r="O730" i="7"/>
  <c r="O731" i="7"/>
  <c r="O732" i="7"/>
  <c r="O733" i="7"/>
  <c r="O734" i="7"/>
  <c r="O735" i="7"/>
  <c r="O736" i="7"/>
  <c r="O737" i="7"/>
  <c r="O738" i="7"/>
  <c r="O739" i="7"/>
  <c r="O740" i="7"/>
  <c r="O741" i="7"/>
  <c r="O742" i="7"/>
  <c r="O743" i="7"/>
  <c r="O744" i="7"/>
  <c r="O745" i="7"/>
  <c r="O746" i="7"/>
  <c r="O747" i="7"/>
  <c r="O748" i="7"/>
  <c r="O749" i="7"/>
  <c r="O750" i="7"/>
  <c r="O751" i="7"/>
  <c r="O752" i="7"/>
  <c r="O753" i="7"/>
  <c r="O754" i="7"/>
  <c r="O755" i="7"/>
  <c r="O756" i="7"/>
  <c r="O757" i="7"/>
  <c r="O758" i="7"/>
  <c r="O759" i="7"/>
  <c r="O760" i="7"/>
  <c r="O761" i="7"/>
  <c r="O762" i="7"/>
  <c r="O763" i="7"/>
  <c r="O764" i="7"/>
  <c r="O765" i="7"/>
  <c r="O766" i="7"/>
  <c r="O767" i="7"/>
  <c r="O768" i="7"/>
  <c r="O769" i="7"/>
  <c r="O770" i="7"/>
  <c r="O771" i="7"/>
  <c r="O772" i="7"/>
  <c r="O773" i="7"/>
  <c r="O774" i="7"/>
  <c r="O775" i="7"/>
  <c r="O776" i="7"/>
  <c r="O777" i="7"/>
  <c r="O778" i="7"/>
  <c r="O779" i="7"/>
  <c r="O780" i="7"/>
  <c r="O781" i="7"/>
  <c r="O782" i="7"/>
  <c r="O783" i="7"/>
  <c r="O784" i="7"/>
  <c r="O785" i="7"/>
  <c r="O786" i="7"/>
  <c r="O787" i="7"/>
  <c r="O788" i="7"/>
  <c r="O789" i="7"/>
  <c r="O790" i="7"/>
  <c r="O791" i="7"/>
  <c r="O792" i="7"/>
  <c r="O793" i="7"/>
  <c r="O794" i="7"/>
  <c r="O795" i="7"/>
  <c r="O796" i="7"/>
  <c r="O797" i="7"/>
  <c r="O798" i="7"/>
  <c r="O799" i="7"/>
  <c r="O800" i="7"/>
  <c r="O801" i="7"/>
  <c r="O802" i="7"/>
  <c r="O803" i="7"/>
  <c r="O804" i="7"/>
  <c r="O805" i="7"/>
  <c r="O806" i="7"/>
  <c r="O807" i="7"/>
  <c r="O808" i="7"/>
  <c r="O809" i="7"/>
  <c r="O810" i="7"/>
  <c r="O811" i="7"/>
  <c r="O812" i="7"/>
  <c r="O813" i="7"/>
  <c r="O814" i="7"/>
  <c r="O815" i="7"/>
  <c r="O816" i="7"/>
  <c r="O817" i="7"/>
  <c r="O818" i="7"/>
  <c r="O819" i="7"/>
  <c r="O820" i="7"/>
  <c r="O821" i="7"/>
  <c r="O822" i="7"/>
  <c r="O823" i="7"/>
  <c r="O824" i="7"/>
  <c r="O825" i="7"/>
  <c r="O826" i="7"/>
  <c r="O827" i="7"/>
  <c r="O828" i="7"/>
  <c r="O829" i="7"/>
  <c r="O830" i="7"/>
  <c r="O831" i="7"/>
  <c r="O832" i="7"/>
  <c r="O833" i="7"/>
  <c r="O834" i="7"/>
  <c r="O835" i="7"/>
  <c r="O836" i="7"/>
  <c r="O837" i="7"/>
  <c r="O838" i="7"/>
  <c r="O839" i="7"/>
  <c r="O840" i="7"/>
  <c r="O841" i="7"/>
  <c r="O842" i="7"/>
  <c r="O843" i="7"/>
  <c r="O844" i="7"/>
  <c r="O845" i="7"/>
  <c r="O846" i="7"/>
  <c r="O847" i="7"/>
  <c r="O848" i="7"/>
  <c r="O849" i="7"/>
  <c r="O850" i="7"/>
  <c r="O851" i="7"/>
  <c r="O852" i="7"/>
  <c r="O853" i="7"/>
  <c r="O854" i="7"/>
  <c r="O855" i="7"/>
  <c r="O856" i="7"/>
  <c r="O857" i="7"/>
  <c r="O858" i="7"/>
  <c r="O859" i="7"/>
  <c r="O860" i="7"/>
  <c r="O861" i="7"/>
  <c r="O862" i="7"/>
  <c r="O863" i="7"/>
  <c r="O864" i="7"/>
  <c r="O865" i="7"/>
  <c r="O866" i="7"/>
  <c r="O867" i="7"/>
  <c r="O868" i="7"/>
  <c r="O869" i="7"/>
  <c r="O870" i="7"/>
  <c r="O871" i="7"/>
  <c r="O872" i="7"/>
  <c r="O873" i="7"/>
  <c r="O874" i="7"/>
  <c r="O875" i="7"/>
  <c r="O876" i="7"/>
  <c r="O877" i="7"/>
  <c r="O878" i="7"/>
  <c r="O879" i="7"/>
  <c r="O880" i="7"/>
  <c r="O881" i="7"/>
  <c r="O882" i="7"/>
  <c r="O883" i="7"/>
  <c r="O884" i="7"/>
  <c r="O885" i="7"/>
  <c r="O886" i="7"/>
  <c r="O887" i="7"/>
  <c r="O888" i="7"/>
  <c r="O889" i="7"/>
  <c r="O890" i="7"/>
  <c r="O891" i="7"/>
  <c r="O892" i="7"/>
  <c r="O893" i="7"/>
  <c r="O894" i="7"/>
  <c r="O895" i="7"/>
  <c r="O896" i="7"/>
  <c r="O897" i="7"/>
  <c r="O898" i="7"/>
  <c r="O899" i="7"/>
  <c r="O900" i="7"/>
  <c r="O901" i="7"/>
  <c r="O902" i="7"/>
  <c r="O903" i="7"/>
  <c r="O904" i="7"/>
  <c r="O905" i="7"/>
  <c r="O906" i="7"/>
  <c r="O907" i="7"/>
  <c r="O908" i="7"/>
  <c r="O909" i="7"/>
  <c r="O910" i="7"/>
  <c r="O911" i="7"/>
  <c r="O912" i="7"/>
  <c r="O913" i="7"/>
  <c r="O914" i="7"/>
  <c r="O915" i="7"/>
  <c r="O916" i="7"/>
  <c r="O917" i="7"/>
  <c r="O918" i="7"/>
  <c r="O919" i="7"/>
  <c r="O920" i="7"/>
  <c r="O921" i="7"/>
  <c r="O922" i="7"/>
  <c r="O923" i="7"/>
  <c r="O924" i="7"/>
  <c r="O925" i="7"/>
  <c r="O926" i="7"/>
  <c r="O927" i="7"/>
  <c r="O928" i="7"/>
  <c r="O929" i="7"/>
  <c r="O930" i="7"/>
  <c r="O931" i="7"/>
  <c r="O932" i="7"/>
  <c r="O933" i="7"/>
  <c r="O934" i="7"/>
  <c r="O935" i="7"/>
  <c r="O936" i="7"/>
  <c r="O937" i="7"/>
  <c r="O938" i="7"/>
  <c r="O939" i="7"/>
  <c r="O940" i="7"/>
  <c r="O941" i="7"/>
  <c r="O942" i="7"/>
  <c r="O943" i="7"/>
  <c r="O944" i="7"/>
  <c r="O945" i="7"/>
  <c r="O946" i="7"/>
  <c r="O947" i="7"/>
  <c r="O948" i="7"/>
  <c r="O949" i="7"/>
  <c r="O950" i="7"/>
  <c r="O951" i="7"/>
  <c r="O952" i="7"/>
  <c r="O953" i="7"/>
  <c r="O954" i="7"/>
  <c r="O955" i="7"/>
  <c r="O956" i="7"/>
  <c r="O957" i="7"/>
  <c r="O958" i="7"/>
  <c r="O959" i="7"/>
  <c r="O960" i="7"/>
  <c r="O961" i="7"/>
  <c r="O962" i="7"/>
  <c r="O963" i="7"/>
  <c r="O964" i="7"/>
  <c r="O965" i="7"/>
  <c r="O966" i="7"/>
  <c r="O967" i="7"/>
  <c r="O968" i="7"/>
  <c r="O969" i="7"/>
  <c r="O970" i="7"/>
  <c r="O971" i="7"/>
  <c r="O972" i="7"/>
  <c r="O973" i="7"/>
  <c r="O974" i="7"/>
  <c r="O975" i="7"/>
  <c r="O976" i="7"/>
  <c r="O977" i="7"/>
  <c r="O978" i="7"/>
  <c r="O979" i="7"/>
  <c r="O980" i="7"/>
  <c r="O981" i="7"/>
  <c r="O982" i="7"/>
  <c r="O983" i="7"/>
  <c r="O984" i="7"/>
  <c r="O985" i="7"/>
  <c r="O986" i="7"/>
  <c r="O987" i="7"/>
  <c r="O988" i="7"/>
  <c r="O989" i="7"/>
  <c r="O990" i="7"/>
  <c r="O991" i="7"/>
  <c r="O992" i="7"/>
  <c r="O993" i="7"/>
  <c r="O994" i="7"/>
  <c r="O995" i="7"/>
  <c r="O996" i="7"/>
  <c r="O997" i="7"/>
  <c r="O998" i="7"/>
  <c r="O999" i="7"/>
  <c r="O1000" i="7"/>
  <c r="O1001" i="7"/>
  <c r="O1002" i="7"/>
  <c r="O1003" i="7"/>
  <c r="O1004" i="7"/>
  <c r="O1005" i="7"/>
  <c r="O1006" i="7"/>
  <c r="O1007" i="7"/>
  <c r="O1008" i="7"/>
  <c r="O1009" i="7"/>
  <c r="O1010" i="7"/>
  <c r="O1011" i="7"/>
  <c r="O1012" i="7"/>
  <c r="O1013" i="7"/>
  <c r="O1014" i="7"/>
  <c r="O1015" i="7"/>
  <c r="O1016" i="7"/>
  <c r="O1017" i="7"/>
  <c r="O1018" i="7"/>
  <c r="O1019" i="7"/>
  <c r="O1020" i="7"/>
  <c r="O1021" i="7"/>
  <c r="O1022" i="7"/>
  <c r="O1023" i="7"/>
  <c r="O1024" i="7"/>
  <c r="O1025" i="7"/>
  <c r="O1026" i="7"/>
  <c r="O1027" i="7"/>
  <c r="O1028" i="7"/>
  <c r="O1029" i="7"/>
  <c r="O1030" i="7"/>
  <c r="O1031" i="7"/>
  <c r="O1032" i="7"/>
  <c r="O1033" i="7"/>
  <c r="O1034" i="7"/>
  <c r="O1035" i="7"/>
  <c r="O1036" i="7"/>
  <c r="O1037" i="7"/>
  <c r="O1038" i="7"/>
  <c r="O1039" i="7"/>
  <c r="O1040" i="7"/>
  <c r="O1041" i="7"/>
  <c r="O1042" i="7"/>
  <c r="O1043" i="7"/>
  <c r="O1044" i="7"/>
  <c r="O1045" i="7"/>
  <c r="O1046" i="7"/>
  <c r="O1047" i="7"/>
  <c r="O1048" i="7"/>
  <c r="O1049" i="7"/>
  <c r="O1050" i="7"/>
  <c r="O1051" i="7"/>
  <c r="O1052" i="7"/>
  <c r="O1053" i="7"/>
  <c r="O1054" i="7"/>
  <c r="O1055" i="7"/>
  <c r="O1056" i="7"/>
  <c r="O1057" i="7"/>
  <c r="O1058" i="7"/>
  <c r="O1059" i="7"/>
  <c r="O1060" i="7"/>
  <c r="O1061" i="7"/>
  <c r="O1062" i="7"/>
  <c r="O1063" i="7"/>
  <c r="O1064" i="7"/>
  <c r="O1065" i="7"/>
  <c r="O1066" i="7"/>
  <c r="O1067" i="7"/>
  <c r="O1068" i="7"/>
  <c r="O1069" i="7"/>
  <c r="O1070" i="7"/>
  <c r="O1071" i="7"/>
  <c r="O1072" i="7"/>
  <c r="O1073" i="7"/>
  <c r="O1074" i="7"/>
  <c r="O1075" i="7"/>
  <c r="O1076" i="7"/>
  <c r="O1077" i="7"/>
  <c r="O1078" i="7"/>
  <c r="O1079" i="7"/>
  <c r="O1080" i="7"/>
  <c r="O1081" i="7"/>
  <c r="O1082" i="7"/>
  <c r="O1083" i="7"/>
  <c r="O1084" i="7"/>
  <c r="O1085" i="7"/>
  <c r="O1086" i="7"/>
  <c r="O1087" i="7"/>
  <c r="O1088" i="7"/>
  <c r="O1089" i="7"/>
  <c r="O1090" i="7"/>
  <c r="O1091" i="7"/>
  <c r="O1092" i="7"/>
  <c r="O1093" i="7"/>
  <c r="O1094" i="7"/>
  <c r="O1095" i="7"/>
  <c r="O1096" i="7"/>
  <c r="O1097" i="7"/>
  <c r="O1098" i="7"/>
  <c r="O1099" i="7"/>
  <c r="O1100" i="7"/>
  <c r="O1101" i="7"/>
  <c r="O1102" i="7"/>
  <c r="O1103" i="7"/>
  <c r="O1104" i="7"/>
  <c r="O1105" i="7"/>
  <c r="O1106" i="7"/>
  <c r="O1107" i="7"/>
  <c r="O1108" i="7"/>
  <c r="O1109" i="7"/>
  <c r="O1110" i="7"/>
  <c r="O1111" i="7"/>
  <c r="O1112" i="7"/>
  <c r="O1113" i="7"/>
  <c r="O1114" i="7"/>
  <c r="O1115" i="7"/>
  <c r="O1116" i="7"/>
  <c r="O1117" i="7"/>
  <c r="O1118" i="7"/>
  <c r="O1119" i="7"/>
  <c r="O1120" i="7"/>
  <c r="O1121" i="7"/>
  <c r="O1122" i="7"/>
  <c r="O1123" i="7"/>
  <c r="O1124" i="7"/>
  <c r="O1125" i="7"/>
  <c r="O1126" i="7"/>
  <c r="O1127" i="7"/>
  <c r="O1128" i="7"/>
  <c r="O1129" i="7"/>
  <c r="O1130" i="7"/>
  <c r="O1131" i="7"/>
  <c r="O1132" i="7"/>
  <c r="O1133" i="7"/>
  <c r="O1134" i="7"/>
  <c r="O1135" i="7"/>
  <c r="O1136" i="7"/>
  <c r="O1137" i="7"/>
  <c r="O1138" i="7"/>
  <c r="O1139" i="7"/>
  <c r="O1140" i="7"/>
  <c r="O1141" i="7"/>
  <c r="O1142" i="7"/>
  <c r="O1143" i="7"/>
  <c r="O1144" i="7"/>
  <c r="O1145" i="7"/>
  <c r="O1146" i="7"/>
  <c r="O1147" i="7"/>
  <c r="O1148" i="7"/>
  <c r="O1149" i="7"/>
  <c r="O1150" i="7"/>
  <c r="O1151" i="7"/>
  <c r="O1152" i="7"/>
  <c r="O1153" i="7"/>
  <c r="O1154" i="7"/>
  <c r="O1155" i="7"/>
  <c r="O1156" i="7"/>
  <c r="O1157" i="7"/>
  <c r="O1158" i="7"/>
  <c r="O1159" i="7"/>
  <c r="O1160" i="7"/>
  <c r="O1161" i="7"/>
  <c r="O1162" i="7"/>
  <c r="O1163" i="7"/>
  <c r="O1164" i="7"/>
  <c r="O5065" i="7"/>
  <c r="O5066" i="7"/>
  <c r="O5067" i="7"/>
  <c r="O5068" i="7"/>
  <c r="O5069" i="7"/>
  <c r="O5070" i="7"/>
  <c r="O5071" i="7"/>
  <c r="O5072" i="7"/>
  <c r="O5073" i="7"/>
  <c r="O5074" i="7"/>
  <c r="O5075" i="7"/>
  <c r="O5076" i="7"/>
  <c r="O5077" i="7"/>
  <c r="O5078" i="7"/>
  <c r="O5079" i="7"/>
  <c r="O5080" i="7"/>
  <c r="O5081" i="7"/>
  <c r="O5082" i="7"/>
  <c r="O5083" i="7"/>
  <c r="O5084" i="7"/>
  <c r="O5085" i="7"/>
  <c r="O5086" i="7"/>
  <c r="O5087" i="7"/>
  <c r="O5088" i="7"/>
  <c r="O5089" i="7"/>
  <c r="O5090" i="7"/>
  <c r="O5091" i="7"/>
  <c r="O5092" i="7"/>
  <c r="O5093" i="7"/>
  <c r="O5094" i="7"/>
  <c r="O5095" i="7"/>
  <c r="O5096" i="7"/>
  <c r="O5097" i="7"/>
  <c r="O5098" i="7"/>
  <c r="O5099" i="7"/>
  <c r="O5100" i="7"/>
  <c r="O5101" i="7"/>
  <c r="O5102" i="7"/>
  <c r="O5103" i="7"/>
  <c r="O5104" i="7"/>
  <c r="O5105" i="7"/>
  <c r="O5106" i="7"/>
  <c r="O5107" i="7"/>
  <c r="O5108" i="7"/>
  <c r="O5109" i="7"/>
  <c r="O5110" i="7"/>
  <c r="O5111" i="7"/>
  <c r="O5112" i="7"/>
  <c r="O5113" i="7"/>
  <c r="O5114" i="7"/>
  <c r="O5115" i="7"/>
  <c r="O5116" i="7"/>
  <c r="O5117" i="7"/>
  <c r="O5118" i="7"/>
  <c r="O5119" i="7"/>
  <c r="O5120" i="7"/>
  <c r="O5121" i="7"/>
  <c r="O5122" i="7"/>
  <c r="O5123" i="7"/>
  <c r="O5124" i="7"/>
  <c r="O5125" i="7"/>
  <c r="O5126" i="7"/>
  <c r="O5127" i="7"/>
  <c r="O5128" i="7"/>
  <c r="O5129" i="7"/>
  <c r="O5130" i="7"/>
  <c r="O5131" i="7"/>
  <c r="O5132" i="7"/>
  <c r="O5133" i="7"/>
  <c r="O5134" i="7"/>
  <c r="O5135" i="7"/>
  <c r="O5136" i="7"/>
  <c r="O5137" i="7"/>
  <c r="O5138" i="7"/>
  <c r="O5139" i="7"/>
  <c r="O5140" i="7"/>
  <c r="O5141" i="7"/>
  <c r="O5142" i="7"/>
  <c r="O5143" i="7"/>
  <c r="O5144" i="7"/>
  <c r="O5145" i="7"/>
  <c r="O5146" i="7"/>
  <c r="O5147" i="7"/>
  <c r="O5148" i="7"/>
  <c r="O5149" i="7"/>
  <c r="O5150" i="7"/>
  <c r="O5151" i="7"/>
  <c r="O5152" i="7"/>
  <c r="O5153" i="7"/>
  <c r="O5154" i="7"/>
  <c r="O5155" i="7"/>
  <c r="O5156" i="7"/>
  <c r="O5157" i="7"/>
  <c r="O5158" i="7"/>
  <c r="O5159" i="7"/>
  <c r="O5160" i="7"/>
  <c r="O5161" i="7"/>
  <c r="O5162" i="7"/>
  <c r="O5163" i="7"/>
  <c r="O5164" i="7"/>
  <c r="O5165" i="7"/>
  <c r="O5166" i="7"/>
  <c r="O5167" i="7"/>
  <c r="O5168" i="7"/>
  <c r="O5169" i="7"/>
  <c r="O5170" i="7"/>
  <c r="O5171" i="7"/>
  <c r="O5172" i="7"/>
  <c r="O5173" i="7"/>
  <c r="O5174" i="7"/>
  <c r="O5175" i="7"/>
  <c r="O5176" i="7"/>
  <c r="O5177" i="7"/>
  <c r="O5178" i="7"/>
  <c r="O5179" i="7"/>
  <c r="O5180" i="7"/>
  <c r="O5181" i="7"/>
  <c r="O5182" i="7"/>
  <c r="O5183" i="7"/>
  <c r="O5184" i="7"/>
  <c r="O5185" i="7"/>
  <c r="O5186" i="7"/>
  <c r="O5187" i="7"/>
  <c r="O5188" i="7"/>
  <c r="O5189" i="7"/>
  <c r="O5190" i="7"/>
  <c r="O5191" i="7"/>
  <c r="O5192" i="7"/>
  <c r="O5193" i="7"/>
  <c r="O5194" i="7"/>
  <c r="O5195" i="7"/>
  <c r="O5196" i="7"/>
  <c r="O5197" i="7"/>
  <c r="O5198" i="7"/>
  <c r="O5199" i="7"/>
  <c r="O5200" i="7"/>
  <c r="O5201" i="7"/>
  <c r="O5202" i="7"/>
  <c r="O5203" i="7"/>
  <c r="O5204" i="7"/>
  <c r="O5205" i="7"/>
  <c r="O5206" i="7"/>
  <c r="O5207" i="7"/>
  <c r="O5208" i="7"/>
  <c r="O5209" i="7"/>
  <c r="O5210" i="7"/>
  <c r="O5211" i="7"/>
  <c r="O5212" i="7"/>
  <c r="O5213" i="7"/>
  <c r="O5214" i="7"/>
  <c r="O5215" i="7"/>
  <c r="O5216" i="7"/>
  <c r="O5217" i="7"/>
  <c r="O5218" i="7"/>
  <c r="O5219" i="7"/>
  <c r="O5220" i="7"/>
  <c r="O5221" i="7"/>
  <c r="O5222" i="7"/>
  <c r="O5223" i="7"/>
  <c r="O5224" i="7"/>
  <c r="O5225" i="7"/>
  <c r="O5226" i="7"/>
  <c r="O5227" i="7"/>
  <c r="O5228" i="7"/>
  <c r="O5229" i="7"/>
  <c r="O5230" i="7"/>
  <c r="O5231" i="7"/>
  <c r="O5232" i="7"/>
  <c r="O5233" i="7"/>
  <c r="O5234" i="7"/>
  <c r="O5235" i="7"/>
  <c r="O5236" i="7"/>
  <c r="O5237" i="7"/>
  <c r="O5238" i="7"/>
  <c r="O5239" i="7"/>
  <c r="O5240" i="7"/>
  <c r="O5241" i="7"/>
  <c r="O5242" i="7"/>
  <c r="O5243" i="7"/>
  <c r="O5244" i="7"/>
  <c r="O5245" i="7"/>
  <c r="O5246" i="7"/>
  <c r="O5247" i="7"/>
  <c r="O5248" i="7"/>
  <c r="O5249" i="7"/>
  <c r="O5250" i="7"/>
  <c r="O5251" i="7"/>
  <c r="O5252" i="7"/>
  <c r="O5253" i="7"/>
  <c r="O5254" i="7"/>
  <c r="O5255" i="7"/>
  <c r="O5256" i="7"/>
  <c r="O5257" i="7"/>
  <c r="O5258" i="7"/>
  <c r="O5259" i="7"/>
  <c r="O5260" i="7"/>
  <c r="O5261" i="7"/>
  <c r="O5262" i="7"/>
  <c r="O5263" i="7"/>
  <c r="O5264" i="7"/>
  <c r="O5265" i="7"/>
  <c r="O5266" i="7"/>
  <c r="O5267" i="7"/>
  <c r="O5268" i="7"/>
  <c r="O5269" i="7"/>
  <c r="O5270" i="7"/>
  <c r="O5271" i="7"/>
  <c r="O5272" i="7"/>
  <c r="O5273" i="7"/>
  <c r="O5274" i="7"/>
  <c r="O5275" i="7"/>
  <c r="O5276" i="7"/>
  <c r="O5277" i="7"/>
  <c r="O5278" i="7"/>
  <c r="O5279" i="7"/>
  <c r="O5280" i="7"/>
  <c r="O5281" i="7"/>
  <c r="O5282" i="7"/>
  <c r="O5283" i="7"/>
  <c r="O5284" i="7"/>
  <c r="O5285" i="7"/>
  <c r="O5286" i="7"/>
  <c r="O5287" i="7"/>
  <c r="O5288" i="7"/>
  <c r="O5289" i="7"/>
  <c r="O5290" i="7"/>
  <c r="O5291" i="7"/>
  <c r="O5292" i="7"/>
  <c r="O5293" i="7"/>
  <c r="O5294" i="7"/>
  <c r="O5295" i="7"/>
  <c r="O5296" i="7"/>
  <c r="O5297" i="7"/>
  <c r="O5298" i="7"/>
  <c r="O5299" i="7"/>
  <c r="O5300" i="7"/>
  <c r="O5301" i="7"/>
  <c r="O5302" i="7"/>
  <c r="O5303" i="7"/>
  <c r="O5304" i="7"/>
  <c r="O5305" i="7"/>
  <c r="O5306" i="7"/>
  <c r="O5307" i="7"/>
  <c r="O5308" i="7"/>
  <c r="O5309" i="7"/>
  <c r="O5310" i="7"/>
  <c r="O5311" i="7"/>
  <c r="O5312" i="7"/>
  <c r="O5313" i="7"/>
  <c r="O5314" i="7"/>
  <c r="O5315" i="7"/>
  <c r="O5316" i="7"/>
  <c r="O5317" i="7"/>
  <c r="O5318" i="7"/>
  <c r="O5319" i="7"/>
  <c r="O5320" i="7"/>
  <c r="O5321" i="7"/>
  <c r="O5322" i="7"/>
  <c r="O5323" i="7"/>
  <c r="O5324" i="7"/>
  <c r="O5325" i="7"/>
  <c r="O5326" i="7"/>
  <c r="O5327" i="7"/>
  <c r="O5328" i="7"/>
  <c r="O5329" i="7"/>
  <c r="O5330" i="7"/>
  <c r="O5331" i="7"/>
  <c r="O5332" i="7"/>
  <c r="O5333" i="7"/>
  <c r="O5334" i="7"/>
  <c r="O5335" i="7"/>
  <c r="O5336" i="7"/>
  <c r="O5337" i="7"/>
  <c r="O5338" i="7"/>
  <c r="O5339" i="7"/>
  <c r="O5340" i="7"/>
  <c r="O5341" i="7"/>
  <c r="O5342" i="7"/>
  <c r="O5343" i="7"/>
  <c r="O5344" i="7"/>
  <c r="O5345" i="7"/>
  <c r="O5346" i="7"/>
  <c r="O5347" i="7"/>
  <c r="O5348" i="7"/>
  <c r="O5349" i="7"/>
  <c r="O5350" i="7"/>
  <c r="O5351" i="7"/>
  <c r="O5352" i="7"/>
  <c r="O5353" i="7"/>
  <c r="O5354" i="7"/>
  <c r="O5355" i="7"/>
  <c r="O5356" i="7"/>
  <c r="O5357" i="7"/>
  <c r="O5358" i="7"/>
  <c r="O5359" i="7"/>
  <c r="O5360" i="7"/>
  <c r="O5361" i="7"/>
  <c r="O5362" i="7"/>
  <c r="O5363" i="7"/>
  <c r="O5364" i="7"/>
  <c r="O5365" i="7"/>
  <c r="O5366" i="7"/>
  <c r="O5367" i="7"/>
  <c r="O5368" i="7"/>
  <c r="O5369" i="7"/>
  <c r="O5370" i="7"/>
  <c r="O5371" i="7"/>
  <c r="O5372" i="7"/>
  <c r="O5373" i="7"/>
  <c r="O5374" i="7"/>
  <c r="O5375" i="7"/>
  <c r="O5376" i="7"/>
  <c r="O5377" i="7"/>
  <c r="O5378" i="7"/>
  <c r="O5379" i="7"/>
  <c r="O5380" i="7"/>
  <c r="O5381" i="7"/>
  <c r="O5382" i="7"/>
  <c r="O5383" i="7"/>
  <c r="O5384" i="7"/>
  <c r="O5385" i="7"/>
  <c r="O5386" i="7"/>
  <c r="O5387" i="7"/>
  <c r="O5388" i="7"/>
  <c r="O5389" i="7"/>
  <c r="O5390" i="7"/>
  <c r="O5391" i="7"/>
  <c r="O5392" i="7"/>
  <c r="O5393" i="7"/>
  <c r="O5394" i="7"/>
  <c r="O5395" i="7"/>
  <c r="O5396" i="7"/>
  <c r="O5397" i="7"/>
  <c r="O5398" i="7"/>
  <c r="O5399" i="7"/>
  <c r="O5400" i="7"/>
  <c r="O5401" i="7"/>
  <c r="O5402" i="7"/>
  <c r="O5403" i="7"/>
  <c r="O5404" i="7"/>
  <c r="O5405" i="7"/>
  <c r="O5406" i="7"/>
  <c r="O5407" i="7"/>
  <c r="O5408" i="7"/>
  <c r="O5409" i="7"/>
  <c r="O5410" i="7"/>
  <c r="O5411" i="7"/>
  <c r="O5412" i="7"/>
  <c r="O5413" i="7"/>
  <c r="O5414" i="7"/>
  <c r="O5415" i="7"/>
  <c r="O5416" i="7"/>
  <c r="O5417" i="7"/>
  <c r="O5418" i="7"/>
  <c r="O5419" i="7"/>
  <c r="O5420" i="7"/>
  <c r="O5421" i="7"/>
  <c r="O5422" i="7"/>
  <c r="O5423" i="7"/>
  <c r="O5424" i="7"/>
  <c r="O5425" i="7"/>
  <c r="O5426" i="7"/>
  <c r="O5427" i="7"/>
  <c r="O5428" i="7"/>
  <c r="O5429" i="7"/>
  <c r="O5430" i="7"/>
  <c r="O5431" i="7"/>
  <c r="O5432" i="7"/>
  <c r="O5433" i="7"/>
  <c r="O5434" i="7"/>
  <c r="O5435" i="7"/>
  <c r="O5436" i="7"/>
  <c r="O5437" i="7"/>
  <c r="O5438" i="7"/>
  <c r="O5439" i="7"/>
  <c r="O5440" i="7"/>
  <c r="O5441" i="7"/>
  <c r="O5442" i="7"/>
  <c r="O5443" i="7"/>
  <c r="O5444" i="7"/>
  <c r="O5445" i="7"/>
  <c r="O5446" i="7"/>
  <c r="O5447" i="7"/>
  <c r="O5448" i="7"/>
  <c r="O5449" i="7"/>
  <c r="O5450" i="7"/>
  <c r="O5451" i="7"/>
  <c r="O5452" i="7"/>
  <c r="O5453" i="7"/>
  <c r="O5454" i="7"/>
  <c r="O5455" i="7"/>
  <c r="O5456" i="7"/>
  <c r="O5457" i="7"/>
  <c r="O5458" i="7"/>
  <c r="O5459" i="7"/>
  <c r="O5460" i="7"/>
  <c r="O5461" i="7"/>
  <c r="O5462" i="7"/>
  <c r="O5463" i="7"/>
  <c r="O5464" i="7"/>
  <c r="O5465" i="7"/>
  <c r="O5466" i="7"/>
  <c r="O5467" i="7"/>
  <c r="O5468" i="7"/>
  <c r="O5469" i="7"/>
  <c r="O5470" i="7"/>
  <c r="O5471" i="7"/>
  <c r="O5472" i="7"/>
  <c r="O5473" i="7"/>
  <c r="O5474" i="7"/>
  <c r="O5475" i="7"/>
  <c r="O5476" i="7"/>
  <c r="O5477" i="7"/>
  <c r="O5478" i="7"/>
  <c r="O5479" i="7"/>
  <c r="O5480" i="7"/>
  <c r="O5481" i="7"/>
  <c r="O5482" i="7"/>
  <c r="O5483" i="7"/>
  <c r="O5484" i="7"/>
  <c r="O5485" i="7"/>
  <c r="O5486" i="7"/>
  <c r="O5487" i="7"/>
  <c r="O5488" i="7"/>
  <c r="O5489" i="7"/>
  <c r="O5490" i="7"/>
  <c r="O5491" i="7"/>
  <c r="O5492" i="7"/>
  <c r="O5493" i="7"/>
  <c r="O5494" i="7"/>
  <c r="O5495" i="7"/>
  <c r="O5496" i="7"/>
  <c r="O5497" i="7"/>
  <c r="O5498" i="7"/>
  <c r="O5499" i="7"/>
  <c r="O5500" i="7"/>
  <c r="O5501" i="7"/>
  <c r="O5502" i="7"/>
  <c r="O5503" i="7"/>
  <c r="O5504" i="7"/>
  <c r="O5505" i="7"/>
  <c r="O5506" i="7"/>
  <c r="O5507" i="7"/>
  <c r="O5508" i="7"/>
  <c r="O5509" i="7"/>
  <c r="O5510" i="7"/>
  <c r="O5511" i="7"/>
  <c r="O5512" i="7"/>
  <c r="O5513" i="7"/>
  <c r="O5514" i="7"/>
  <c r="O5515" i="7"/>
  <c r="O5516" i="7"/>
  <c r="O5517" i="7"/>
  <c r="O5518" i="7"/>
  <c r="O5519" i="7"/>
  <c r="O5520" i="7"/>
  <c r="O5521" i="7"/>
  <c r="O5522" i="7"/>
  <c r="O5523" i="7"/>
  <c r="O5524" i="7"/>
  <c r="O5525" i="7"/>
  <c r="O5526" i="7"/>
  <c r="O5527" i="7"/>
  <c r="O5528" i="7"/>
  <c r="O5529" i="7"/>
  <c r="O5530" i="7"/>
  <c r="O5531" i="7"/>
  <c r="O5532" i="7"/>
  <c r="O5533" i="7"/>
  <c r="O5534" i="7"/>
  <c r="O5535" i="7"/>
  <c r="O5536" i="7"/>
  <c r="O5537" i="7"/>
  <c r="O5538" i="7"/>
  <c r="O5539" i="7"/>
  <c r="O5540" i="7"/>
  <c r="O5541" i="7"/>
  <c r="O5542" i="7"/>
  <c r="O5543" i="7"/>
  <c r="O5544" i="7"/>
  <c r="O5545" i="7"/>
  <c r="O5546" i="7"/>
  <c r="O5547" i="7"/>
  <c r="O5548" i="7"/>
  <c r="O5549" i="7"/>
  <c r="O5550" i="7"/>
  <c r="O5551" i="7"/>
  <c r="O5552" i="7"/>
  <c r="O5553" i="7"/>
  <c r="O5554" i="7"/>
  <c r="O5555" i="7"/>
  <c r="O5556" i="7"/>
  <c r="O5557" i="7"/>
  <c r="O5558" i="7"/>
  <c r="O5559" i="7"/>
  <c r="O5560" i="7"/>
  <c r="O5561" i="7"/>
  <c r="O5562" i="7"/>
  <c r="O5563" i="7"/>
  <c r="O5564" i="7"/>
  <c r="O5565" i="7"/>
  <c r="O5566" i="7"/>
  <c r="O5567" i="7"/>
  <c r="O5568" i="7"/>
  <c r="O5569" i="7"/>
  <c r="O5570" i="7"/>
  <c r="O5571" i="7"/>
  <c r="O5572" i="7"/>
  <c r="O5573" i="7"/>
  <c r="O5574" i="7"/>
  <c r="O5575" i="7"/>
  <c r="O5576" i="7"/>
  <c r="O5577" i="7"/>
  <c r="O5578" i="7"/>
  <c r="O5579" i="7"/>
  <c r="O5580" i="7"/>
  <c r="O5581" i="7"/>
  <c r="O5582" i="7"/>
  <c r="O5583" i="7"/>
  <c r="O5584" i="7"/>
  <c r="O5585" i="7"/>
  <c r="O5586" i="7"/>
  <c r="O5587" i="7"/>
  <c r="O5588" i="7"/>
  <c r="O5589" i="7"/>
  <c r="O5590" i="7"/>
  <c r="O5591" i="7"/>
  <c r="O5592" i="7"/>
  <c r="O5593" i="7"/>
  <c r="O5594" i="7"/>
  <c r="O5595" i="7"/>
  <c r="O5596" i="7"/>
  <c r="O5597" i="7"/>
  <c r="O5598" i="7"/>
  <c r="O5599" i="7"/>
  <c r="O5600" i="7"/>
  <c r="O5601" i="7"/>
  <c r="O5602" i="7"/>
  <c r="O5603" i="7"/>
  <c r="O5604" i="7"/>
  <c r="O5605" i="7"/>
  <c r="O5606" i="7"/>
  <c r="O5607" i="7"/>
  <c r="O5608" i="7"/>
  <c r="O5609" i="7"/>
  <c r="O5610" i="7"/>
  <c r="O5611" i="7"/>
  <c r="O5612" i="7"/>
  <c r="O5613" i="7"/>
  <c r="O5614" i="7"/>
  <c r="O5615" i="7"/>
  <c r="O5616" i="7"/>
  <c r="O5617" i="7"/>
  <c r="O5618" i="7"/>
  <c r="O5619" i="7"/>
  <c r="O5620" i="7"/>
  <c r="O5621" i="7"/>
  <c r="O5622" i="7"/>
  <c r="O5623" i="7"/>
  <c r="O5624" i="7"/>
  <c r="O5625" i="7"/>
  <c r="O5626" i="7"/>
  <c r="O5627" i="7"/>
  <c r="O5628" i="7"/>
  <c r="O5629" i="7"/>
  <c r="O5630" i="7"/>
  <c r="O5631" i="7"/>
  <c r="O5632" i="7"/>
  <c r="O5633" i="7"/>
  <c r="O5634" i="7"/>
  <c r="O5635" i="7"/>
  <c r="O5636" i="7"/>
  <c r="O5637" i="7"/>
  <c r="O5638" i="7"/>
  <c r="O5639" i="7"/>
  <c r="O5640" i="7"/>
  <c r="O5641" i="7"/>
  <c r="O5642" i="7"/>
  <c r="O5643" i="7"/>
  <c r="O5644" i="7"/>
  <c r="O5645" i="7"/>
  <c r="O5646" i="7"/>
  <c r="O5647" i="7"/>
  <c r="O5648" i="7"/>
  <c r="O5649" i="7"/>
  <c r="O5650" i="7"/>
  <c r="O5651" i="7"/>
  <c r="O5652" i="7"/>
  <c r="O5653" i="7"/>
  <c r="O5654" i="7"/>
  <c r="O5655" i="7"/>
  <c r="O5656" i="7"/>
  <c r="O5657" i="7"/>
  <c r="O5658" i="7"/>
  <c r="O5659" i="7"/>
  <c r="O5660" i="7"/>
  <c r="O5661" i="7"/>
  <c r="O5662" i="7"/>
  <c r="O5663" i="7"/>
  <c r="O5664" i="7"/>
  <c r="O5665" i="7"/>
  <c r="O5666" i="7"/>
  <c r="O5667" i="7"/>
  <c r="O5668" i="7"/>
  <c r="O5669" i="7"/>
  <c r="O5670" i="7"/>
  <c r="O5671" i="7"/>
  <c r="O5672" i="7"/>
  <c r="O5673" i="7"/>
  <c r="O5674" i="7"/>
  <c r="O5675" i="7"/>
  <c r="O5676" i="7"/>
  <c r="O5677" i="7"/>
  <c r="O5678" i="7"/>
  <c r="O5679" i="7"/>
  <c r="O5680" i="7"/>
  <c r="O5681" i="7"/>
  <c r="O5682" i="7"/>
  <c r="O5683" i="7"/>
  <c r="O5684" i="7"/>
  <c r="O5685" i="7"/>
  <c r="O5686" i="7"/>
  <c r="O5687" i="7"/>
  <c r="O5688" i="7"/>
  <c r="O5689" i="7"/>
  <c r="O5690" i="7"/>
  <c r="O5691" i="7"/>
  <c r="O5692" i="7"/>
  <c r="O5693" i="7"/>
  <c r="O5694" i="7"/>
  <c r="O5695" i="7"/>
  <c r="O5696" i="7"/>
  <c r="O5697" i="7"/>
  <c r="O5698" i="7"/>
  <c r="O5699" i="7"/>
  <c r="O5700" i="7"/>
  <c r="O5701" i="7"/>
  <c r="O5702" i="7"/>
  <c r="O5703" i="7"/>
  <c r="O5704" i="7"/>
  <c r="O5705" i="7"/>
  <c r="O5706" i="7"/>
  <c r="O5707" i="7"/>
  <c r="O5708" i="7"/>
  <c r="O5709" i="7"/>
  <c r="O5710" i="7"/>
  <c r="O5711" i="7"/>
  <c r="O5712" i="7"/>
  <c r="O5713" i="7"/>
  <c r="O5714" i="7"/>
  <c r="O5715" i="7"/>
  <c r="O5716" i="7"/>
  <c r="O5717" i="7"/>
  <c r="O5718" i="7"/>
  <c r="O5719" i="7"/>
  <c r="O5720" i="7"/>
  <c r="O5721" i="7"/>
  <c r="O5722" i="7"/>
  <c r="O5723" i="7"/>
  <c r="O5724" i="7"/>
  <c r="O5725" i="7"/>
  <c r="O5726" i="7"/>
  <c r="O5727" i="7"/>
  <c r="O5728" i="7"/>
  <c r="O5729" i="7"/>
  <c r="O5730" i="7"/>
  <c r="O5731" i="7"/>
  <c r="O5732" i="7"/>
  <c r="O5733" i="7"/>
  <c r="O5734" i="7"/>
  <c r="O5735" i="7"/>
  <c r="O5736" i="7"/>
  <c r="O5737" i="7"/>
  <c r="O5738" i="7"/>
  <c r="O5739" i="7"/>
  <c r="O5740" i="7"/>
  <c r="O5741" i="7"/>
  <c r="O5742" i="7"/>
  <c r="O5743" i="7"/>
  <c r="O5744" i="7"/>
  <c r="O5745" i="7"/>
  <c r="O5746" i="7"/>
  <c r="O5747" i="7"/>
  <c r="O5748" i="7"/>
  <c r="O5749" i="7"/>
  <c r="O5750" i="7"/>
  <c r="O5751" i="7"/>
  <c r="O5752" i="7"/>
  <c r="O5753" i="7"/>
  <c r="O5754" i="7"/>
  <c r="O5755" i="7"/>
  <c r="O5756" i="7"/>
  <c r="O5757" i="7"/>
  <c r="O5758" i="7"/>
  <c r="O5759" i="7"/>
  <c r="O5760" i="7"/>
  <c r="O5761" i="7"/>
  <c r="O5762" i="7"/>
  <c r="O5763" i="7"/>
  <c r="O5764" i="7"/>
  <c r="O5765" i="7"/>
  <c r="O5766" i="7"/>
  <c r="O5767" i="7"/>
  <c r="O5768" i="7"/>
  <c r="O5769" i="7"/>
  <c r="O5770" i="7"/>
  <c r="O5771" i="7"/>
  <c r="O5772" i="7"/>
  <c r="O5773" i="7"/>
  <c r="O5774" i="7"/>
  <c r="O5775" i="7"/>
  <c r="O5776" i="7"/>
  <c r="O5777" i="7"/>
  <c r="O5778" i="7"/>
  <c r="O5779" i="7"/>
  <c r="O5780" i="7"/>
  <c r="O5781" i="7"/>
  <c r="O5782" i="7"/>
  <c r="O5783" i="7"/>
  <c r="O5784" i="7"/>
  <c r="O5785" i="7"/>
  <c r="O5786" i="7"/>
  <c r="O5787" i="7"/>
  <c r="O5788" i="7"/>
  <c r="O5789" i="7"/>
  <c r="O5790" i="7"/>
  <c r="O5791" i="7"/>
  <c r="O5792" i="7"/>
  <c r="O5793" i="7"/>
  <c r="O5794" i="7"/>
  <c r="O5795" i="7"/>
  <c r="O5796" i="7"/>
  <c r="O5797" i="7"/>
  <c r="O5798" i="7"/>
  <c r="O5799" i="7"/>
  <c r="O5800" i="7"/>
  <c r="O5801" i="7"/>
  <c r="O5802" i="7"/>
  <c r="O5803" i="7"/>
  <c r="O5804" i="7"/>
  <c r="O6057" i="7"/>
  <c r="O6058" i="7"/>
  <c r="O6059" i="7"/>
  <c r="O6060" i="7"/>
  <c r="O6061" i="7"/>
  <c r="O6062" i="7"/>
  <c r="O6063" i="7"/>
  <c r="O6064" i="7"/>
  <c r="O6065" i="7"/>
  <c r="O6066" i="7"/>
  <c r="O6067" i="7"/>
  <c r="O6068" i="7"/>
  <c r="O6069" i="7"/>
  <c r="O6070" i="7"/>
  <c r="O6071" i="7"/>
  <c r="O6072" i="7"/>
  <c r="O6073" i="7"/>
  <c r="O6074" i="7"/>
  <c r="O6075" i="7"/>
  <c r="O6076" i="7"/>
  <c r="O6077" i="7"/>
  <c r="O6078" i="7"/>
  <c r="O6079" i="7"/>
  <c r="O6080" i="7"/>
  <c r="O6081" i="7"/>
  <c r="O6082" i="7"/>
  <c r="O6083" i="7"/>
  <c r="O6084" i="7"/>
  <c r="O6085" i="7"/>
  <c r="O6086" i="7"/>
  <c r="O6087" i="7"/>
  <c r="O6088" i="7"/>
  <c r="O6089" i="7"/>
  <c r="O6090" i="7"/>
  <c r="O6091" i="7"/>
  <c r="O6092" i="7"/>
  <c r="O6093" i="7"/>
  <c r="O6094" i="7"/>
  <c r="O6095" i="7"/>
  <c r="O6096" i="7"/>
  <c r="O6097" i="7"/>
  <c r="O6098" i="7"/>
  <c r="O6099" i="7"/>
  <c r="O6100" i="7"/>
  <c r="O6101" i="7"/>
  <c r="O6102" i="7"/>
  <c r="O6103" i="7"/>
  <c r="O6104" i="7"/>
  <c r="O6105" i="7"/>
  <c r="O6106" i="7"/>
  <c r="O6107" i="7"/>
  <c r="O6108" i="7"/>
  <c r="O6109" i="7"/>
  <c r="O6110" i="7"/>
  <c r="O6111" i="7"/>
  <c r="O6112" i="7"/>
  <c r="O6113" i="7"/>
  <c r="O6114" i="7"/>
  <c r="O6115" i="7"/>
  <c r="O6116" i="7"/>
  <c r="O6117" i="7"/>
  <c r="O6118" i="7"/>
  <c r="O6119" i="7"/>
  <c r="O6120" i="7"/>
  <c r="O6121" i="7"/>
  <c r="O6122" i="7"/>
  <c r="O6123" i="7"/>
  <c r="O6124" i="7"/>
  <c r="O6125" i="7"/>
  <c r="O6126" i="7"/>
  <c r="O6127" i="7"/>
  <c r="O6128" i="7"/>
  <c r="O6129" i="7"/>
  <c r="O6130" i="7"/>
  <c r="O6131" i="7"/>
  <c r="O6132" i="7"/>
  <c r="O6133" i="7"/>
  <c r="O6134" i="7"/>
  <c r="O6135" i="7"/>
  <c r="O6136" i="7"/>
  <c r="O6137" i="7"/>
  <c r="O6138" i="7"/>
  <c r="O6139" i="7"/>
  <c r="O6140" i="7"/>
  <c r="O6141" i="7"/>
  <c r="O6142" i="7"/>
  <c r="O6143" i="7"/>
  <c r="O6144" i="7"/>
  <c r="O6145" i="7"/>
  <c r="O6146" i="7"/>
  <c r="O6147" i="7"/>
  <c r="O6148" i="7"/>
  <c r="O6149" i="7"/>
  <c r="O6150" i="7"/>
  <c r="O6151" i="7"/>
  <c r="O6152" i="7"/>
  <c r="O6153" i="7"/>
  <c r="O6154" i="7"/>
  <c r="O6155" i="7"/>
  <c r="O6156" i="7"/>
  <c r="O6157" i="7"/>
  <c r="O6158" i="7"/>
  <c r="O6159" i="7"/>
  <c r="O6160" i="7"/>
  <c r="O6161" i="7"/>
  <c r="O6162" i="7"/>
  <c r="O6163" i="7"/>
  <c r="O6164" i="7"/>
  <c r="O6165" i="7"/>
  <c r="O6166" i="7"/>
  <c r="O6167" i="7"/>
  <c r="O6168" i="7"/>
  <c r="O6169" i="7"/>
  <c r="O6170" i="7"/>
  <c r="O6171" i="7"/>
  <c r="O6172" i="7"/>
  <c r="O6173" i="7"/>
  <c r="O6174" i="7"/>
  <c r="O6175" i="7"/>
  <c r="O6176" i="7"/>
  <c r="O6177" i="7"/>
  <c r="O6178" i="7"/>
  <c r="O6179" i="7"/>
  <c r="O6180" i="7"/>
  <c r="O6181" i="7"/>
  <c r="O6182" i="7"/>
  <c r="O6183" i="7"/>
  <c r="O6184" i="7"/>
  <c r="O6185" i="7"/>
  <c r="O6186" i="7"/>
  <c r="O6187" i="7"/>
  <c r="O6188" i="7"/>
  <c r="O6189" i="7"/>
  <c r="O6190" i="7"/>
  <c r="O6191" i="7"/>
  <c r="O6192" i="7"/>
  <c r="O6193" i="7"/>
  <c r="O6194" i="7"/>
  <c r="O6195" i="7"/>
  <c r="O6196" i="7"/>
  <c r="O6197" i="7"/>
  <c r="O6198" i="7"/>
  <c r="O6199" i="7"/>
  <c r="O6200" i="7"/>
  <c r="O6201" i="7"/>
  <c r="O6202" i="7"/>
  <c r="O6203" i="7"/>
  <c r="O6204" i="7"/>
  <c r="O6205" i="7"/>
  <c r="O6206" i="7"/>
  <c r="O6207" i="7"/>
  <c r="O6208" i="7"/>
  <c r="O6209" i="7"/>
  <c r="O6210" i="7"/>
  <c r="O6211" i="7"/>
  <c r="O6212" i="7"/>
  <c r="O6213" i="7"/>
  <c r="O6214" i="7"/>
  <c r="O6215" i="7"/>
  <c r="O6216" i="7"/>
  <c r="O6217" i="7"/>
  <c r="O6218" i="7"/>
  <c r="O6219" i="7"/>
  <c r="O6220" i="7"/>
  <c r="O6221" i="7"/>
  <c r="O6222" i="7"/>
  <c r="O6223" i="7"/>
  <c r="O6224" i="7"/>
  <c r="O6225" i="7"/>
  <c r="O6226" i="7"/>
  <c r="O6227" i="7"/>
  <c r="O6228" i="7"/>
  <c r="O6229" i="7"/>
  <c r="O6230" i="7"/>
  <c r="O6231" i="7"/>
  <c r="O6232" i="7"/>
  <c r="O6233" i="7"/>
  <c r="O6234" i="7"/>
  <c r="O6235" i="7"/>
  <c r="O6236" i="7"/>
  <c r="O6237" i="7"/>
  <c r="O6238" i="7"/>
  <c r="O6239" i="7"/>
  <c r="O6240" i="7"/>
  <c r="O6241" i="7"/>
  <c r="O6242" i="7"/>
  <c r="O6243" i="7"/>
  <c r="O6244" i="7"/>
  <c r="O6245" i="7"/>
  <c r="O6246" i="7"/>
  <c r="O6247" i="7"/>
  <c r="O6248" i="7"/>
  <c r="O6249" i="7"/>
  <c r="O6250" i="7"/>
  <c r="O6251" i="7"/>
  <c r="O6252" i="7"/>
  <c r="O6253" i="7"/>
  <c r="O6254" i="7"/>
  <c r="O6255" i="7"/>
  <c r="O6256" i="7"/>
  <c r="O6257" i="7"/>
  <c r="O6258" i="7"/>
  <c r="O6259" i="7"/>
  <c r="O6260" i="7"/>
  <c r="O6261" i="7"/>
  <c r="O6262" i="7"/>
  <c r="O6263" i="7"/>
  <c r="O6264" i="7"/>
  <c r="O6265" i="7"/>
  <c r="O6266" i="7"/>
  <c r="O6267" i="7"/>
  <c r="O6268" i="7"/>
  <c r="O6269" i="7"/>
  <c r="O6270" i="7"/>
  <c r="O6271" i="7"/>
  <c r="O6272" i="7"/>
  <c r="O6273" i="7"/>
  <c r="O6274" i="7"/>
  <c r="O6275" i="7"/>
  <c r="O6276" i="7"/>
  <c r="O6277" i="7"/>
  <c r="O6278" i="7"/>
  <c r="O6279" i="7"/>
  <c r="O6280" i="7"/>
  <c r="O6281" i="7"/>
  <c r="O6282" i="7"/>
  <c r="O6283" i="7"/>
  <c r="O6284" i="7"/>
  <c r="O6285" i="7"/>
  <c r="O6286" i="7"/>
  <c r="O6287" i="7"/>
  <c r="O6288" i="7"/>
  <c r="O6289" i="7"/>
  <c r="O6290" i="7"/>
  <c r="O6291" i="7"/>
  <c r="O6292" i="7"/>
  <c r="O6293" i="7"/>
  <c r="O6294" i="7"/>
  <c r="O6295" i="7"/>
  <c r="O6296" i="7"/>
  <c r="O6297" i="7"/>
  <c r="O6298" i="7"/>
  <c r="O6299" i="7"/>
  <c r="O6300" i="7"/>
  <c r="O6301" i="7"/>
  <c r="O6302" i="7"/>
  <c r="O6303" i="7"/>
  <c r="O6304" i="7"/>
  <c r="O6305" i="7"/>
  <c r="O6306" i="7"/>
  <c r="O6307" i="7"/>
  <c r="O6308" i="7"/>
  <c r="O6309" i="7"/>
  <c r="O6310" i="7"/>
  <c r="O6311" i="7"/>
  <c r="O6312" i="7"/>
  <c r="O6313" i="7"/>
  <c r="O6314" i="7"/>
  <c r="O6315" i="7"/>
  <c r="O6316" i="7"/>
  <c r="O6317" i="7"/>
  <c r="O6318" i="7"/>
  <c r="O6319" i="7"/>
  <c r="O6320" i="7"/>
  <c r="O6321" i="7"/>
  <c r="O6322" i="7"/>
  <c r="O6323" i="7"/>
  <c r="O6324" i="7"/>
  <c r="O6325" i="7"/>
  <c r="O6326" i="7"/>
  <c r="O6327" i="7"/>
  <c r="O6328" i="7"/>
  <c r="O6329" i="7"/>
  <c r="O6330" i="7"/>
  <c r="O6331" i="7"/>
  <c r="O6332" i="7"/>
  <c r="O6333" i="7"/>
  <c r="O6334" i="7"/>
  <c r="O6335" i="7"/>
  <c r="O6336" i="7"/>
  <c r="O6337" i="7"/>
  <c r="O6338" i="7"/>
  <c r="O6339" i="7"/>
  <c r="O6340" i="7"/>
  <c r="O6341" i="7"/>
  <c r="O6342" i="7"/>
  <c r="O6343" i="7"/>
  <c r="O6344" i="7"/>
  <c r="O6345" i="7"/>
  <c r="O6346" i="7"/>
  <c r="O6347" i="7"/>
  <c r="O6348" i="7"/>
  <c r="O6349" i="7"/>
  <c r="O6350" i="7"/>
  <c r="O6351" i="7"/>
  <c r="O6352" i="7"/>
  <c r="O6353" i="7"/>
  <c r="O6354" i="7"/>
  <c r="O6355" i="7"/>
  <c r="O6356" i="7"/>
  <c r="O6357" i="7"/>
  <c r="O6358" i="7"/>
  <c r="O6359" i="7"/>
  <c r="O6360" i="7"/>
  <c r="O6361" i="7"/>
  <c r="O6362" i="7"/>
  <c r="O6363" i="7"/>
  <c r="O6364" i="7"/>
  <c r="O6365" i="7"/>
  <c r="O6366" i="7"/>
  <c r="O6367" i="7"/>
  <c r="O6368" i="7"/>
  <c r="O6369" i="7"/>
  <c r="O6370" i="7"/>
  <c r="O6371" i="7"/>
  <c r="O6372" i="7"/>
  <c r="O6373" i="7"/>
  <c r="O6374" i="7"/>
  <c r="O6375" i="7"/>
  <c r="O6376" i="7"/>
  <c r="O6377" i="7"/>
  <c r="O6378" i="7"/>
  <c r="O6379" i="7"/>
  <c r="O6380" i="7"/>
  <c r="O6381" i="7"/>
  <c r="O6382" i="7"/>
  <c r="O6383" i="7"/>
  <c r="O6384" i="7"/>
  <c r="O6385" i="7"/>
  <c r="O6386" i="7"/>
  <c r="O6387" i="7"/>
  <c r="O6388" i="7"/>
  <c r="O6389" i="7"/>
  <c r="O6390" i="7"/>
  <c r="O6391" i="7"/>
  <c r="O6392" i="7"/>
  <c r="O6393" i="7"/>
  <c r="O6394" i="7"/>
  <c r="O6395" i="7"/>
  <c r="O6396" i="7"/>
  <c r="O6397" i="7"/>
  <c r="O6398" i="7"/>
  <c r="O6399" i="7"/>
  <c r="O6400" i="7"/>
  <c r="O6401" i="7"/>
  <c r="O6402" i="7"/>
  <c r="O6403" i="7"/>
  <c r="O6404" i="7"/>
  <c r="O6405" i="7"/>
  <c r="O6406" i="7"/>
  <c r="O6407" i="7"/>
  <c r="O6408" i="7"/>
  <c r="O6409" i="7"/>
  <c r="O6410" i="7"/>
  <c r="O6411" i="7"/>
  <c r="O6412" i="7"/>
  <c r="O6413" i="7"/>
  <c r="O6414" i="7"/>
  <c r="O6415" i="7"/>
  <c r="O6416" i="7"/>
  <c r="O6417" i="7"/>
  <c r="O6418" i="7"/>
  <c r="O6419" i="7"/>
  <c r="O6420" i="7"/>
  <c r="O6421" i="7"/>
  <c r="O6422" i="7"/>
  <c r="O6423" i="7"/>
  <c r="O6424" i="7"/>
  <c r="O6425" i="7"/>
  <c r="O6426" i="7"/>
  <c r="O6427" i="7"/>
  <c r="O6428" i="7"/>
  <c r="O6429" i="7"/>
  <c r="O6430" i="7"/>
  <c r="O6431" i="7"/>
  <c r="O6432" i="7"/>
  <c r="O6433" i="7"/>
  <c r="O6434" i="7"/>
  <c r="O6435" i="7"/>
  <c r="O6436" i="7"/>
  <c r="O6437" i="7"/>
  <c r="O6438" i="7"/>
  <c r="O6439" i="7"/>
  <c r="O6440" i="7"/>
  <c r="O6441" i="7"/>
  <c r="O6442" i="7"/>
  <c r="O6443" i="7"/>
  <c r="O6444" i="7"/>
  <c r="O6445" i="7"/>
  <c r="O6446" i="7"/>
  <c r="O6447" i="7"/>
  <c r="O6448" i="7"/>
  <c r="O6449" i="7"/>
  <c r="O6450" i="7"/>
  <c r="O6451" i="7"/>
  <c r="O6452" i="7"/>
  <c r="O6453" i="7"/>
  <c r="O6454" i="7"/>
  <c r="O6455" i="7"/>
  <c r="O6456" i="7"/>
  <c r="O6457" i="7"/>
  <c r="O6458" i="7"/>
  <c r="O6459" i="7"/>
  <c r="O6460" i="7"/>
  <c r="O6461" i="7"/>
  <c r="O6462" i="7"/>
  <c r="O6463" i="7"/>
  <c r="O6464" i="7"/>
  <c r="O6465" i="7"/>
  <c r="O6466" i="7"/>
  <c r="O6467" i="7"/>
  <c r="O6468" i="7"/>
  <c r="O6469" i="7"/>
  <c r="O6470" i="7"/>
  <c r="O6471" i="7"/>
  <c r="O6472" i="7"/>
  <c r="O6473" i="7"/>
  <c r="O6474" i="7"/>
  <c r="O6475" i="7"/>
  <c r="O6476" i="7"/>
  <c r="O6477" i="7"/>
  <c r="O6478" i="7"/>
  <c r="O6479" i="7"/>
  <c r="O6480" i="7"/>
  <c r="O6481" i="7"/>
  <c r="O6482" i="7"/>
  <c r="O6483" i="7"/>
  <c r="O6484" i="7"/>
  <c r="O6485" i="7"/>
  <c r="O6486" i="7"/>
  <c r="O6487" i="7"/>
  <c r="O6488" i="7"/>
  <c r="O6489" i="7"/>
  <c r="O6490" i="7"/>
  <c r="O6491" i="7"/>
  <c r="O6492" i="7"/>
  <c r="O6493" i="7"/>
  <c r="O6494" i="7"/>
  <c r="O6495" i="7"/>
  <c r="O6496" i="7"/>
  <c r="O6497" i="7"/>
  <c r="O6498" i="7"/>
  <c r="O6499" i="7"/>
  <c r="O6500" i="7"/>
  <c r="O6501" i="7"/>
  <c r="O6502" i="7"/>
  <c r="O6503" i="7"/>
  <c r="O6504" i="7"/>
  <c r="O6505" i="7"/>
  <c r="O6506" i="7"/>
  <c r="O6507" i="7"/>
  <c r="O6508" i="7"/>
  <c r="O6509" i="7"/>
  <c r="O6510" i="7"/>
  <c r="O6511" i="7"/>
  <c r="O6512" i="7"/>
  <c r="O6513" i="7"/>
  <c r="O6514" i="7"/>
  <c r="O6515" i="7"/>
  <c r="O6516" i="7"/>
  <c r="O6517" i="7"/>
  <c r="O6518" i="7"/>
  <c r="O6519" i="7"/>
  <c r="O6520" i="7"/>
  <c r="O6521" i="7"/>
  <c r="O6522" i="7"/>
  <c r="O6523" i="7"/>
  <c r="O6524" i="7"/>
  <c r="O6525" i="7"/>
  <c r="O6526" i="7"/>
  <c r="O6527" i="7"/>
  <c r="O6528" i="7"/>
  <c r="O6529" i="7"/>
  <c r="O6530" i="7"/>
  <c r="O6531" i="7"/>
  <c r="O6532" i="7"/>
  <c r="O6533" i="7"/>
  <c r="O6534" i="7"/>
  <c r="O6535" i="7"/>
  <c r="O6536" i="7"/>
  <c r="O6537" i="7"/>
  <c r="O6538" i="7"/>
  <c r="O6539" i="7"/>
  <c r="O6540" i="7"/>
  <c r="O6541" i="7"/>
  <c r="O6542" i="7"/>
  <c r="O6543" i="7"/>
  <c r="O6544" i="7"/>
  <c r="O6545" i="7"/>
  <c r="O6546" i="7"/>
  <c r="O6547" i="7"/>
  <c r="O6548" i="7"/>
  <c r="O6549" i="7"/>
  <c r="O6550" i="7"/>
  <c r="O6551" i="7"/>
  <c r="O6552" i="7"/>
  <c r="O6553" i="7"/>
  <c r="O6554" i="7"/>
  <c r="O6555" i="7"/>
  <c r="O6556" i="7"/>
  <c r="O6557" i="7"/>
  <c r="O6558" i="7"/>
  <c r="O269" i="5" s="1"/>
  <c r="O6559" i="7"/>
  <c r="O6560" i="7"/>
  <c r="O6561" i="7"/>
  <c r="O6562" i="7"/>
  <c r="O6563" i="7"/>
  <c r="O6564" i="7"/>
  <c r="O6565" i="7"/>
  <c r="O6566" i="7"/>
  <c r="O6567" i="7"/>
  <c r="O6568" i="7"/>
  <c r="O6569" i="7"/>
  <c r="O6570" i="7"/>
  <c r="O6571" i="7"/>
  <c r="O6572" i="7"/>
  <c r="O6573" i="7"/>
  <c r="O6574" i="7"/>
  <c r="O6575" i="7"/>
  <c r="O6576" i="7"/>
  <c r="O6577" i="7"/>
  <c r="O6578" i="7"/>
  <c r="O6579" i="7"/>
  <c r="O6580" i="7"/>
  <c r="O6581" i="7"/>
  <c r="O6582" i="7"/>
  <c r="O6583" i="7"/>
  <c r="O6584" i="7"/>
  <c r="O6585" i="7"/>
  <c r="O6586" i="7"/>
  <c r="O6587" i="7"/>
  <c r="O6588" i="7"/>
  <c r="O6589" i="7"/>
  <c r="O6590" i="7"/>
  <c r="O6591" i="7"/>
  <c r="O6592" i="7"/>
  <c r="O6593" i="7"/>
  <c r="O6594" i="7"/>
  <c r="O6595" i="7"/>
  <c r="O6596" i="7"/>
  <c r="O6597" i="7"/>
  <c r="O6598" i="7"/>
  <c r="O6599" i="7"/>
  <c r="O6600" i="7"/>
  <c r="O6601" i="7"/>
  <c r="O6602" i="7"/>
  <c r="O6603" i="7"/>
  <c r="O6604" i="7"/>
  <c r="O6605" i="7"/>
  <c r="O6606" i="7"/>
  <c r="O6607" i="7"/>
  <c r="O6608" i="7"/>
  <c r="O6609" i="7"/>
  <c r="O6610" i="7"/>
  <c r="O6611" i="7"/>
  <c r="O6612" i="7"/>
  <c r="O6613" i="7"/>
  <c r="O6614" i="7"/>
  <c r="O6615" i="7"/>
  <c r="O6616" i="7"/>
  <c r="O6617" i="7"/>
  <c r="O6618" i="7"/>
  <c r="O6619" i="7"/>
  <c r="O6620" i="7"/>
  <c r="O6621" i="7"/>
  <c r="O6622" i="7"/>
  <c r="O6623" i="7"/>
  <c r="O6624" i="7"/>
  <c r="O6625" i="7"/>
  <c r="O6626" i="7"/>
  <c r="O6627" i="7"/>
  <c r="O6628" i="7"/>
  <c r="O6629" i="7"/>
  <c r="O6630" i="7"/>
  <c r="O6631" i="7"/>
  <c r="O6632" i="7"/>
  <c r="O6633" i="7"/>
  <c r="O6634" i="7"/>
  <c r="O6635" i="7"/>
  <c r="O6636" i="7"/>
  <c r="O6637" i="7"/>
  <c r="O6638" i="7"/>
  <c r="O6639" i="7"/>
  <c r="O6640" i="7"/>
  <c r="O6641" i="7"/>
  <c r="O6642" i="7"/>
  <c r="O6643" i="7"/>
  <c r="O6644" i="7"/>
  <c r="O6645" i="7"/>
  <c r="O6646" i="7"/>
  <c r="O6647" i="7"/>
  <c r="O6648" i="7"/>
  <c r="O6649" i="7"/>
  <c r="O6650" i="7"/>
  <c r="O6651" i="7"/>
  <c r="O6652" i="7"/>
  <c r="O6653" i="7"/>
  <c r="O6654" i="7"/>
  <c r="O6655" i="7"/>
  <c r="O6656" i="7"/>
  <c r="O6657" i="7"/>
  <c r="O6658" i="7"/>
  <c r="O6659" i="7"/>
  <c r="O6660" i="7"/>
  <c r="O6661" i="7"/>
  <c r="O6662" i="7"/>
  <c r="O6663" i="7"/>
  <c r="O6664" i="7"/>
  <c r="O6665" i="7"/>
  <c r="O6666" i="7"/>
  <c r="O6667" i="7"/>
  <c r="O6668" i="7"/>
  <c r="O6669" i="7"/>
  <c r="O6670" i="7"/>
  <c r="O6671" i="7"/>
  <c r="O6672" i="7"/>
  <c r="O6673" i="7"/>
  <c r="O6674" i="7"/>
  <c r="O6675" i="7"/>
  <c r="O6676" i="7"/>
  <c r="O6677" i="7"/>
  <c r="O6678" i="7"/>
  <c r="O6679" i="7"/>
  <c r="O6680" i="7"/>
  <c r="O6681" i="7"/>
  <c r="O6682" i="7"/>
  <c r="O6683" i="7"/>
  <c r="O6684" i="7"/>
  <c r="O6685" i="7"/>
  <c r="O6686" i="7"/>
  <c r="O6687" i="7"/>
  <c r="O6688" i="7"/>
  <c r="O6689" i="7"/>
  <c r="O6690" i="7"/>
  <c r="O6691" i="7"/>
  <c r="O6692" i="7"/>
  <c r="O6693" i="7"/>
  <c r="O6694" i="7"/>
  <c r="O6695" i="7"/>
  <c r="O6696" i="7"/>
  <c r="O6697" i="7"/>
  <c r="O6698" i="7"/>
  <c r="O6699" i="7"/>
  <c r="O6700" i="7"/>
  <c r="O6701" i="7"/>
  <c r="O6702" i="7"/>
  <c r="O6703" i="7"/>
  <c r="O6704" i="7"/>
  <c r="O6705" i="7"/>
  <c r="O6706" i="7"/>
  <c r="O6707" i="7"/>
  <c r="O6708" i="7"/>
  <c r="O6709" i="7"/>
  <c r="O6710" i="7"/>
  <c r="O6711" i="7"/>
  <c r="O6712" i="7"/>
  <c r="O6713" i="7"/>
  <c r="O6714" i="7"/>
  <c r="O6715" i="7"/>
  <c r="O6716" i="7"/>
  <c r="O6717" i="7"/>
  <c r="O6718" i="7"/>
  <c r="O6719" i="7"/>
  <c r="O6720" i="7"/>
  <c r="O6721" i="7"/>
  <c r="O6722" i="7"/>
  <c r="O6723" i="7"/>
  <c r="O6724" i="7"/>
  <c r="O6725" i="7"/>
  <c r="O6726" i="7"/>
  <c r="O6727" i="7"/>
  <c r="O6728" i="7"/>
  <c r="O6729" i="7"/>
  <c r="O6730" i="7"/>
  <c r="O6731" i="7"/>
  <c r="O6732" i="7"/>
  <c r="O6733" i="7"/>
  <c r="O6734" i="7"/>
  <c r="O6735" i="7"/>
  <c r="O6736" i="7"/>
  <c r="O6737" i="7"/>
  <c r="O6738" i="7"/>
  <c r="O6739" i="7"/>
  <c r="O6740" i="7"/>
  <c r="O6741" i="7"/>
  <c r="O6742" i="7"/>
  <c r="O6743" i="7"/>
  <c r="O6744" i="7"/>
  <c r="O6745" i="7"/>
  <c r="O6746" i="7"/>
  <c r="O6747" i="7"/>
  <c r="O6748" i="7"/>
  <c r="O6749" i="7"/>
  <c r="O6750" i="7"/>
  <c r="O6751" i="7"/>
  <c r="O6752" i="7"/>
  <c r="O6753" i="7"/>
  <c r="O6754" i="7"/>
  <c r="O6755" i="7"/>
  <c r="O6756" i="7"/>
  <c r="O6757" i="7"/>
  <c r="O6758" i="7"/>
  <c r="O6759" i="7"/>
  <c r="O6760" i="7"/>
  <c r="O6761" i="7"/>
  <c r="O6762" i="7"/>
  <c r="O6763" i="7"/>
  <c r="O6764" i="7"/>
  <c r="O6765" i="7"/>
  <c r="O6766" i="7"/>
  <c r="O6767" i="7"/>
  <c r="O6768" i="7"/>
  <c r="O6769" i="7"/>
  <c r="O6770" i="7"/>
  <c r="O6771" i="7"/>
  <c r="O6772" i="7"/>
  <c r="O6773" i="7"/>
  <c r="O6774" i="7"/>
  <c r="O6775" i="7"/>
  <c r="O6776" i="7"/>
  <c r="O6777" i="7"/>
  <c r="O6778" i="7"/>
  <c r="O6779" i="7"/>
  <c r="O6780" i="7"/>
  <c r="O6781" i="7"/>
  <c r="O6782" i="7"/>
  <c r="O6783" i="7"/>
  <c r="O6784" i="7"/>
  <c r="O6785" i="7"/>
  <c r="O6786" i="7"/>
  <c r="O6787" i="7"/>
  <c r="O6788" i="7"/>
  <c r="O6789" i="7"/>
  <c r="O6790" i="7"/>
  <c r="O6791" i="7"/>
  <c r="O6792" i="7"/>
  <c r="O6793" i="7"/>
  <c r="O6794" i="7"/>
  <c r="O6795" i="7"/>
  <c r="O6796" i="7"/>
  <c r="O6797" i="7"/>
  <c r="O6798" i="7"/>
  <c r="O6799" i="7"/>
  <c r="O6800" i="7"/>
  <c r="O6801" i="7"/>
  <c r="O6802" i="7"/>
  <c r="O6803" i="7"/>
  <c r="O6804" i="7"/>
  <c r="O6805" i="7"/>
  <c r="O6806" i="7"/>
  <c r="O6807" i="7"/>
  <c r="O6808" i="7"/>
  <c r="O6809" i="7"/>
  <c r="O6810" i="7"/>
  <c r="O6811" i="7"/>
  <c r="O6812" i="7"/>
  <c r="O6813" i="7"/>
  <c r="O6814" i="7"/>
  <c r="O6815" i="7"/>
  <c r="O6816" i="7"/>
  <c r="O6817" i="7"/>
  <c r="O6818" i="7"/>
  <c r="O6819" i="7"/>
  <c r="O6820" i="7"/>
  <c r="O6821" i="7"/>
  <c r="O6822" i="7"/>
  <c r="O6823" i="7"/>
  <c r="O6824" i="7"/>
  <c r="O6825" i="7"/>
  <c r="O6826" i="7"/>
  <c r="O6827" i="7"/>
  <c r="O6828" i="7"/>
  <c r="O6829" i="7"/>
  <c r="O6830" i="7"/>
  <c r="O6831" i="7"/>
  <c r="O6832" i="7"/>
  <c r="O6833" i="7"/>
  <c r="O6834" i="7"/>
  <c r="O6835" i="7"/>
  <c r="O6836" i="7"/>
  <c r="O6837" i="7"/>
  <c r="O6838" i="7"/>
  <c r="O6839" i="7"/>
  <c r="O6840" i="7"/>
  <c r="O6841" i="7"/>
  <c r="O6842" i="7"/>
  <c r="O6843" i="7"/>
  <c r="O6844" i="7"/>
  <c r="O6845" i="7"/>
  <c r="O6846" i="7"/>
  <c r="O6847" i="7"/>
  <c r="O6848" i="7"/>
  <c r="O6849" i="7"/>
  <c r="O6850" i="7"/>
  <c r="O6851" i="7"/>
  <c r="O6852" i="7"/>
  <c r="O6853" i="7"/>
  <c r="O6854" i="7"/>
  <c r="O6855" i="7"/>
  <c r="O6856" i="7"/>
  <c r="O6857" i="7"/>
  <c r="O6858" i="7"/>
  <c r="O6859" i="7"/>
  <c r="O6860" i="7"/>
  <c r="O6861" i="7"/>
  <c r="O6862" i="7"/>
  <c r="O6863" i="7"/>
  <c r="O6864" i="7"/>
  <c r="O6865" i="7"/>
  <c r="O6866" i="7"/>
  <c r="O6867" i="7"/>
  <c r="O6868" i="7"/>
  <c r="O6869" i="7"/>
  <c r="O6870" i="7"/>
  <c r="O6871" i="7"/>
  <c r="O6872" i="7"/>
  <c r="O6873" i="7"/>
  <c r="O6874" i="7"/>
  <c r="O6875" i="7"/>
  <c r="O6876" i="7"/>
  <c r="O6877" i="7"/>
  <c r="O6878" i="7"/>
  <c r="O6879" i="7"/>
  <c r="O6880" i="7"/>
  <c r="O234" i="5" s="1"/>
  <c r="O6881" i="7"/>
  <c r="O6882" i="7"/>
  <c r="O6883" i="7"/>
  <c r="O6884" i="7"/>
  <c r="O6885" i="7"/>
  <c r="O6886" i="7"/>
  <c r="O6887" i="7"/>
  <c r="O6888" i="7"/>
  <c r="O6889" i="7"/>
  <c r="O6890" i="7"/>
  <c r="O6891" i="7"/>
  <c r="O6892" i="7"/>
  <c r="O6893" i="7"/>
  <c r="O6894" i="7"/>
  <c r="O6895" i="7"/>
  <c r="O6896" i="7"/>
  <c r="O6897" i="7"/>
  <c r="O6898" i="7"/>
  <c r="O6899" i="7"/>
  <c r="O6900" i="7"/>
  <c r="O6901" i="7"/>
  <c r="O6902" i="7"/>
  <c r="O6903" i="7"/>
  <c r="O6904" i="7"/>
  <c r="O6905" i="7"/>
  <c r="O6906" i="7"/>
  <c r="O6907" i="7"/>
  <c r="O6908" i="7"/>
  <c r="O6909" i="7"/>
  <c r="O6910" i="7"/>
  <c r="O6911" i="7"/>
  <c r="O6912" i="7"/>
  <c r="O6913" i="7"/>
  <c r="O6914" i="7"/>
  <c r="O6915" i="7"/>
  <c r="O6916" i="7"/>
  <c r="O6917" i="7"/>
  <c r="O6918" i="7"/>
  <c r="O6919" i="7"/>
  <c r="O6920" i="7"/>
  <c r="O6921" i="7"/>
  <c r="O6922" i="7"/>
  <c r="O6923" i="7"/>
  <c r="O6924" i="7"/>
  <c r="O6925" i="7"/>
  <c r="O6926" i="7"/>
  <c r="O6927" i="7"/>
  <c r="O6928" i="7"/>
  <c r="O6929" i="7"/>
  <c r="O6930" i="7"/>
  <c r="O6931" i="7"/>
  <c r="O6932" i="7"/>
  <c r="O6933" i="7"/>
  <c r="O6934" i="7"/>
  <c r="O6935" i="7"/>
  <c r="O6936" i="7"/>
  <c r="O6937" i="7"/>
  <c r="O6938" i="7"/>
  <c r="O6939" i="7"/>
  <c r="O6940" i="7"/>
  <c r="O6941" i="7"/>
  <c r="O6942" i="7"/>
  <c r="O6943" i="7"/>
  <c r="O6944" i="7"/>
  <c r="O6945" i="7"/>
  <c r="O6946" i="7"/>
  <c r="O6947" i="7"/>
  <c r="O6948" i="7"/>
  <c r="O6949" i="7"/>
  <c r="O6950" i="7"/>
  <c r="O6951" i="7"/>
  <c r="O6952" i="7"/>
  <c r="O6953" i="7"/>
  <c r="O6954" i="7"/>
  <c r="O6955" i="7"/>
  <c r="O6956" i="7"/>
  <c r="O6957" i="7"/>
  <c r="O6958" i="7"/>
  <c r="O6959" i="7"/>
  <c r="O6960" i="7"/>
  <c r="O6961" i="7"/>
  <c r="O6962" i="7"/>
  <c r="O6963" i="7"/>
  <c r="O6964" i="7"/>
  <c r="O6965" i="7"/>
  <c r="O6966" i="7"/>
  <c r="O6967" i="7"/>
  <c r="O6968" i="7"/>
  <c r="O6969" i="7"/>
  <c r="O6970" i="7"/>
  <c r="O6971" i="7"/>
  <c r="O6972" i="7"/>
  <c r="O6973" i="7"/>
  <c r="O6974" i="7"/>
  <c r="O6975" i="7"/>
  <c r="O6976" i="7"/>
  <c r="O6977" i="7"/>
  <c r="O6978" i="7"/>
  <c r="O6979" i="7"/>
  <c r="O6980" i="7"/>
  <c r="O6981" i="7"/>
  <c r="O6982" i="7"/>
  <c r="O6983" i="7"/>
  <c r="O6984" i="7"/>
  <c r="O6985" i="7"/>
  <c r="O6986" i="7"/>
  <c r="O6987" i="7"/>
  <c r="O6988" i="7"/>
  <c r="O6989" i="7"/>
  <c r="O6990" i="7"/>
  <c r="O6991" i="7"/>
  <c r="O6992" i="7"/>
  <c r="O6993" i="7"/>
  <c r="O6994" i="7"/>
  <c r="O6995" i="7"/>
  <c r="O6996" i="7"/>
  <c r="O6997" i="7"/>
  <c r="O6998" i="7"/>
  <c r="O6999" i="7"/>
  <c r="O7000" i="7"/>
  <c r="O7001" i="7"/>
  <c r="O7002" i="7"/>
  <c r="O7003" i="7"/>
  <c r="O7004" i="7"/>
  <c r="O7005" i="7"/>
  <c r="O7006" i="7"/>
  <c r="O7007" i="7"/>
  <c r="O7008" i="7"/>
  <c r="O7009" i="7"/>
  <c r="O7010" i="7"/>
  <c r="O7011" i="7"/>
  <c r="O7012" i="7"/>
  <c r="O7013" i="7"/>
  <c r="O7014" i="7"/>
  <c r="O7015" i="7"/>
  <c r="O7016" i="7"/>
  <c r="O7017" i="7"/>
  <c r="O7018" i="7"/>
  <c r="O7019" i="7"/>
  <c r="O7020" i="7"/>
  <c r="O7021" i="7"/>
  <c r="O7022" i="7"/>
  <c r="O7023" i="7"/>
  <c r="O7024" i="7"/>
  <c r="O7025" i="7"/>
  <c r="O7026" i="7"/>
  <c r="O7027" i="7"/>
  <c r="O7028" i="7"/>
  <c r="O7029" i="7"/>
  <c r="O7030" i="7"/>
  <c r="O7031" i="7"/>
  <c r="O7032" i="7"/>
  <c r="O7033" i="7"/>
  <c r="O7034" i="7"/>
  <c r="O7035" i="7"/>
  <c r="O7036" i="7"/>
  <c r="O7037" i="7"/>
  <c r="O7038" i="7"/>
  <c r="O7039" i="7"/>
  <c r="O7040" i="7"/>
  <c r="O7041" i="7"/>
  <c r="O7042" i="7"/>
  <c r="O7043" i="7"/>
  <c r="O7044" i="7"/>
  <c r="O7045" i="7"/>
  <c r="O7046" i="7"/>
  <c r="O7047" i="7"/>
  <c r="O7048" i="7"/>
  <c r="O7049" i="7"/>
  <c r="O7050" i="7"/>
  <c r="O7051" i="7"/>
  <c r="O7052" i="7"/>
  <c r="O7053" i="7"/>
  <c r="O7054" i="7"/>
  <c r="O7055" i="7"/>
  <c r="O7056" i="7"/>
  <c r="O7057" i="7"/>
  <c r="O7058" i="7"/>
  <c r="O7059" i="7"/>
  <c r="O7060" i="7"/>
  <c r="O7061" i="7"/>
  <c r="O7062" i="7"/>
  <c r="O7063" i="7"/>
  <c r="O7064" i="7"/>
  <c r="O7065" i="7"/>
  <c r="O7066" i="7"/>
  <c r="O7067" i="7"/>
  <c r="O7068" i="7"/>
  <c r="O7069" i="7"/>
  <c r="O7070" i="7"/>
  <c r="O7071" i="7"/>
  <c r="O7072" i="7"/>
  <c r="O7073" i="7"/>
  <c r="O7074" i="7"/>
  <c r="O7075" i="7"/>
  <c r="O7076" i="7"/>
  <c r="O7077" i="7"/>
  <c r="O7078" i="7"/>
  <c r="O7079" i="7"/>
  <c r="O7080" i="7"/>
  <c r="O7081" i="7"/>
  <c r="O7082" i="7"/>
  <c r="O7083" i="7"/>
  <c r="O7084" i="7"/>
  <c r="O7085" i="7"/>
  <c r="O7086" i="7"/>
  <c r="O7087" i="7"/>
  <c r="O7088" i="7"/>
  <c r="O7089" i="7"/>
  <c r="O7090" i="7"/>
  <c r="O7091" i="7"/>
  <c r="O7092" i="7"/>
  <c r="O7093" i="7"/>
  <c r="O7094" i="7"/>
  <c r="O7095" i="7"/>
  <c r="O7096" i="7"/>
  <c r="O7097" i="7"/>
  <c r="O7098" i="7"/>
  <c r="O7099" i="7"/>
  <c r="O7100" i="7"/>
  <c r="O7101" i="7"/>
  <c r="O7102" i="7"/>
  <c r="O7103" i="7"/>
  <c r="O7104" i="7"/>
  <c r="O7105" i="7"/>
  <c r="O7106" i="7"/>
  <c r="O7107" i="7"/>
  <c r="O7108" i="7"/>
  <c r="O7109" i="7"/>
  <c r="O7110" i="7"/>
  <c r="O7111" i="7"/>
  <c r="O7112" i="7"/>
  <c r="O7113" i="7"/>
  <c r="O7114" i="7"/>
  <c r="O7115" i="7"/>
  <c r="O7116" i="7"/>
  <c r="O7117" i="7"/>
  <c r="O7118" i="7"/>
  <c r="O7119" i="7"/>
  <c r="O7120" i="7"/>
  <c r="O7121" i="7"/>
  <c r="O7122" i="7"/>
  <c r="O7123" i="7"/>
  <c r="O7124" i="7"/>
  <c r="O7125" i="7"/>
  <c r="O7126" i="7"/>
  <c r="O7127" i="7"/>
  <c r="O7128" i="7"/>
  <c r="O7129" i="7"/>
  <c r="O7130" i="7"/>
  <c r="O7131" i="7"/>
  <c r="O7132" i="7"/>
  <c r="O7133" i="7"/>
  <c r="O7134" i="7"/>
  <c r="O7135" i="7"/>
  <c r="O7136" i="7"/>
  <c r="O7137" i="7"/>
  <c r="O7138" i="7"/>
  <c r="O7139" i="7"/>
  <c r="O7140" i="7"/>
  <c r="O7141" i="7"/>
  <c r="O7142" i="7"/>
  <c r="O7143" i="7"/>
  <c r="O7144" i="7"/>
  <c r="O7145" i="7"/>
  <c r="O7146" i="7"/>
  <c r="O7147" i="7"/>
  <c r="O7148" i="7"/>
  <c r="O7149" i="7"/>
  <c r="O7150" i="7"/>
  <c r="O7151" i="7"/>
  <c r="O7152" i="7"/>
  <c r="O7153" i="7"/>
  <c r="O7154" i="7"/>
  <c r="O7155" i="7"/>
  <c r="O7156" i="7"/>
  <c r="O7157" i="7"/>
  <c r="O7158" i="7"/>
  <c r="O7159" i="7"/>
  <c r="O7160" i="7"/>
  <c r="O7161" i="7"/>
  <c r="O7162" i="7"/>
  <c r="O7163" i="7"/>
  <c r="O7164" i="7"/>
  <c r="O7165" i="7"/>
  <c r="O7166" i="7"/>
  <c r="O7167" i="7"/>
  <c r="O7168" i="7"/>
  <c r="O7169" i="7"/>
  <c r="O7170" i="7"/>
  <c r="O7171" i="7"/>
  <c r="O7172" i="7"/>
  <c r="O7173" i="7"/>
  <c r="O7174" i="7"/>
  <c r="O7175" i="7"/>
  <c r="O7176" i="7"/>
  <c r="O7177" i="7"/>
  <c r="O7178" i="7"/>
  <c r="O7179" i="7"/>
  <c r="O7180" i="7"/>
  <c r="O7181" i="7"/>
  <c r="O7182" i="7"/>
  <c r="O7183" i="7"/>
  <c r="O7184" i="7"/>
  <c r="O7185" i="7"/>
  <c r="O7186" i="7"/>
  <c r="O7187" i="7"/>
  <c r="O7188" i="7"/>
  <c r="O7189" i="7"/>
  <c r="O7190" i="7"/>
  <c r="O7191" i="7"/>
  <c r="O7192" i="7"/>
  <c r="O7193" i="7"/>
  <c r="O7194" i="7"/>
  <c r="O7195" i="7"/>
  <c r="O7196" i="7"/>
  <c r="O7197" i="7"/>
  <c r="O7198" i="7"/>
  <c r="O7199" i="7"/>
  <c r="O7200" i="7"/>
  <c r="O7201" i="7"/>
  <c r="O7202" i="7"/>
  <c r="O7203" i="7"/>
  <c r="O7204" i="7"/>
  <c r="O7205" i="7"/>
  <c r="O7206" i="7"/>
  <c r="O7207" i="7"/>
  <c r="O7208" i="7"/>
  <c r="O7209" i="7"/>
  <c r="O7210" i="7"/>
  <c r="O7211" i="7"/>
  <c r="O7212" i="7"/>
  <c r="O7213" i="7"/>
  <c r="O7214" i="7"/>
  <c r="O7215" i="7"/>
  <c r="O7216" i="7"/>
  <c r="O7217" i="7"/>
  <c r="O7218" i="7"/>
  <c r="O7219" i="7"/>
  <c r="O7220" i="7"/>
  <c r="O7221" i="7"/>
  <c r="O7222" i="7"/>
  <c r="O7223" i="7"/>
  <c r="O7224" i="7"/>
  <c r="O7225" i="7"/>
  <c r="O7226" i="7"/>
  <c r="O7227" i="7"/>
  <c r="O7228" i="7"/>
  <c r="O7229" i="7"/>
  <c r="O7230" i="7"/>
  <c r="O7231" i="7"/>
  <c r="O7232" i="7"/>
  <c r="O7233" i="7"/>
  <c r="O7234" i="7"/>
  <c r="O7235" i="7"/>
  <c r="O7236" i="7"/>
  <c r="O7237" i="7"/>
  <c r="O7238" i="7"/>
  <c r="O7239" i="7"/>
  <c r="O7240" i="7"/>
  <c r="O7241" i="7"/>
  <c r="O7242" i="7"/>
  <c r="O7243" i="7"/>
  <c r="O7244" i="7"/>
  <c r="O7245" i="7"/>
  <c r="O7246" i="7"/>
  <c r="O7247" i="7"/>
  <c r="O7248" i="7"/>
  <c r="O7249" i="7"/>
  <c r="O7250" i="7"/>
  <c r="O7251" i="7"/>
  <c r="O7252" i="7"/>
  <c r="O7253" i="7"/>
  <c r="O7254" i="7"/>
  <c r="O7255" i="7"/>
  <c r="O7256" i="7"/>
  <c r="O7257" i="7"/>
  <c r="O7258" i="7"/>
  <c r="O7259" i="7"/>
  <c r="O7260" i="7"/>
  <c r="O7261" i="7"/>
  <c r="O7262" i="7"/>
  <c r="O7263" i="7"/>
  <c r="O7264" i="7"/>
  <c r="O7265" i="7"/>
  <c r="O7266" i="7"/>
  <c r="O7267" i="7"/>
  <c r="O7268" i="7"/>
  <c r="O7269" i="7"/>
  <c r="O7270" i="7"/>
  <c r="O7271" i="7"/>
  <c r="O7272" i="7"/>
  <c r="O7273" i="7"/>
  <c r="O7274" i="7"/>
  <c r="O7275" i="7"/>
  <c r="O7276" i="7"/>
  <c r="O7277" i="7"/>
  <c r="O7278" i="7"/>
  <c r="O7279" i="7"/>
  <c r="O7280" i="7"/>
  <c r="O7281" i="7"/>
  <c r="O7282" i="7"/>
  <c r="O7283" i="7"/>
  <c r="O7284" i="7"/>
  <c r="O7285" i="7"/>
  <c r="O7286" i="7"/>
  <c r="O7287" i="7"/>
  <c r="O7288" i="7"/>
  <c r="O7289" i="7"/>
  <c r="O7290" i="7"/>
  <c r="O7291" i="7"/>
  <c r="O7292" i="7"/>
  <c r="O7293" i="7"/>
  <c r="O7294" i="7"/>
  <c r="O7295" i="7"/>
  <c r="O7296" i="7"/>
  <c r="O7297" i="7"/>
  <c r="O7298" i="7"/>
  <c r="O7299" i="7"/>
  <c r="O7300" i="7"/>
  <c r="O7301" i="7"/>
  <c r="O7302" i="7"/>
  <c r="O7303" i="7"/>
  <c r="O7304" i="7"/>
  <c r="O7305" i="7"/>
  <c r="O7306" i="7"/>
  <c r="O7307" i="7"/>
  <c r="O7308" i="7"/>
  <c r="O7309" i="7"/>
  <c r="O7310" i="7"/>
  <c r="O7311" i="7"/>
  <c r="O7312" i="7"/>
  <c r="O7313" i="7"/>
  <c r="O7314" i="7"/>
  <c r="O7315" i="7"/>
  <c r="O7316" i="7"/>
  <c r="O7317" i="7"/>
  <c r="O7318" i="7"/>
  <c r="O7319" i="7"/>
  <c r="O7320" i="7"/>
  <c r="O7321" i="7"/>
  <c r="O7322" i="7"/>
  <c r="O7323" i="7"/>
  <c r="O7324" i="7"/>
  <c r="O7325" i="7"/>
  <c r="O7326" i="7"/>
  <c r="O7327" i="7"/>
  <c r="O7328" i="7"/>
  <c r="O7329" i="7"/>
  <c r="O7330" i="7"/>
  <c r="O7331" i="7"/>
  <c r="O7332" i="7"/>
  <c r="O7333" i="7"/>
  <c r="O7334" i="7"/>
  <c r="O7335" i="7"/>
  <c r="O7336" i="7"/>
  <c r="O7337" i="7"/>
  <c r="O7338" i="7"/>
  <c r="O7339" i="7"/>
  <c r="O7340" i="7"/>
  <c r="O7341" i="7"/>
  <c r="O7342" i="7"/>
  <c r="O7343" i="7"/>
  <c r="O7344" i="7"/>
  <c r="O7345" i="7"/>
  <c r="O7346" i="7"/>
  <c r="O7347" i="7"/>
  <c r="O7348" i="7"/>
  <c r="O7349" i="7"/>
  <c r="O7350" i="7"/>
  <c r="O7351" i="7"/>
  <c r="O7352" i="7"/>
  <c r="O7353" i="7"/>
  <c r="O7354" i="7"/>
  <c r="O7355" i="7"/>
  <c r="O7356" i="7"/>
  <c r="O7357" i="7"/>
  <c r="O7358" i="7"/>
  <c r="O7359" i="7"/>
  <c r="O7360" i="7"/>
  <c r="O7361" i="7"/>
  <c r="O7362" i="7"/>
  <c r="O7363" i="7"/>
  <c r="O7364" i="7"/>
  <c r="O7365" i="7"/>
  <c r="O7366" i="7"/>
  <c r="O7367" i="7"/>
  <c r="O7368" i="7"/>
  <c r="O7369" i="7"/>
  <c r="O7370" i="7"/>
  <c r="O7371" i="7"/>
  <c r="O7372" i="7"/>
  <c r="O7373" i="7"/>
  <c r="O7374" i="7"/>
  <c r="O7375" i="7"/>
  <c r="O7376" i="7"/>
  <c r="O7377" i="7"/>
  <c r="O7378" i="7"/>
  <c r="O7379" i="7"/>
  <c r="O7380" i="7"/>
  <c r="O7381" i="7"/>
  <c r="O7382" i="7"/>
  <c r="O7383" i="7"/>
  <c r="O7384" i="7"/>
  <c r="O7385" i="7"/>
  <c r="O7386" i="7"/>
  <c r="O7387" i="7"/>
  <c r="O7388" i="7"/>
  <c r="O7389" i="7"/>
  <c r="O7390" i="7"/>
  <c r="O7391" i="7"/>
  <c r="O7392" i="7"/>
  <c r="O7393" i="7"/>
  <c r="O7394" i="7"/>
  <c r="O7395" i="7"/>
  <c r="O7396" i="7"/>
  <c r="O7397" i="7"/>
  <c r="O7398" i="7"/>
  <c r="O7399" i="7"/>
  <c r="O7400" i="7"/>
  <c r="O7401" i="7"/>
  <c r="O7402" i="7"/>
  <c r="O7403" i="7"/>
  <c r="O7404" i="7"/>
  <c r="O7405" i="7"/>
  <c r="O7406" i="7"/>
  <c r="O7407" i="7"/>
  <c r="O7408" i="7"/>
  <c r="O7409" i="7"/>
  <c r="O7410" i="7"/>
  <c r="O7411" i="7"/>
  <c r="O7412" i="7"/>
  <c r="O7413" i="7"/>
  <c r="O7414" i="7"/>
  <c r="O7415" i="7"/>
  <c r="O7416" i="7"/>
  <c r="O7417" i="7"/>
  <c r="O7418" i="7"/>
  <c r="O7419" i="7"/>
  <c r="O7420" i="7"/>
  <c r="O7421" i="7"/>
  <c r="O7422" i="7"/>
  <c r="O7423" i="7"/>
  <c r="O7424" i="7"/>
  <c r="O7425" i="7"/>
  <c r="O7426" i="7"/>
  <c r="O7427" i="7"/>
  <c r="O7428" i="7"/>
  <c r="O7429" i="7"/>
  <c r="O7430" i="7"/>
  <c r="O7431" i="7"/>
  <c r="O7432" i="7"/>
  <c r="O7433" i="7"/>
  <c r="O7434" i="7"/>
  <c r="O7435" i="7"/>
  <c r="O7436" i="7"/>
  <c r="O7437" i="7"/>
  <c r="O7438" i="7"/>
  <c r="O7439" i="7"/>
  <c r="O7440" i="7"/>
  <c r="O7441" i="7"/>
  <c r="O7442" i="7"/>
  <c r="O7443" i="7"/>
  <c r="O7444" i="7"/>
  <c r="O7445" i="7"/>
  <c r="O7446" i="7"/>
  <c r="O7447" i="7"/>
  <c r="O7448" i="7"/>
  <c r="O7449" i="7"/>
  <c r="O7450" i="7"/>
  <c r="O7451" i="7"/>
  <c r="O7452" i="7"/>
  <c r="O7453" i="7"/>
  <c r="O7454" i="7"/>
  <c r="O7455" i="7"/>
  <c r="O7456" i="7"/>
  <c r="O7457" i="7"/>
  <c r="O7458" i="7"/>
  <c r="O7459" i="7"/>
  <c r="O7460" i="7"/>
  <c r="O7461" i="7"/>
  <c r="O7462" i="7"/>
  <c r="O7463" i="7"/>
  <c r="O7464" i="7"/>
  <c r="O7465" i="7"/>
  <c r="O7466" i="7"/>
  <c r="O7467" i="7"/>
  <c r="O7468" i="7"/>
  <c r="O7469" i="7"/>
  <c r="O7470" i="7"/>
  <c r="O7471" i="7"/>
  <c r="O7472" i="7"/>
  <c r="O7473" i="7"/>
  <c r="O7474" i="7"/>
  <c r="O7475" i="7"/>
  <c r="O7476" i="7"/>
  <c r="O7477" i="7"/>
  <c r="O7478" i="7"/>
  <c r="O7479" i="7"/>
  <c r="O7480" i="7"/>
  <c r="O7481" i="7"/>
  <c r="O7482" i="7"/>
  <c r="O7483" i="7"/>
  <c r="O7484" i="7"/>
  <c r="O7485" i="7"/>
  <c r="O7486" i="7"/>
  <c r="O7487" i="7"/>
  <c r="O7488" i="7"/>
  <c r="O7489" i="7"/>
  <c r="O7490" i="7"/>
  <c r="O7491" i="7"/>
  <c r="O7492" i="7"/>
  <c r="O7493" i="7"/>
  <c r="O7494" i="7"/>
  <c r="O7495" i="7"/>
  <c r="O7496" i="7"/>
  <c r="O7497" i="7"/>
  <c r="O7498" i="7"/>
  <c r="O7499" i="7"/>
  <c r="O7500" i="7"/>
  <c r="O7501" i="7"/>
  <c r="O7502" i="7"/>
  <c r="O7503" i="7"/>
  <c r="O7504" i="7"/>
  <c r="O7505" i="7"/>
  <c r="O7506" i="7"/>
  <c r="O7507" i="7"/>
  <c r="O7508" i="7"/>
  <c r="O7509" i="7"/>
  <c r="O7510" i="7"/>
  <c r="O7511" i="7"/>
  <c r="O7512" i="7"/>
  <c r="O7513" i="7"/>
  <c r="O7514" i="7"/>
  <c r="O7515" i="7"/>
  <c r="O7516" i="7"/>
  <c r="O7517" i="7"/>
  <c r="O7518" i="7"/>
  <c r="O7519" i="7"/>
  <c r="O7520" i="7"/>
  <c r="O7521" i="7"/>
  <c r="O80" i="5" s="1"/>
  <c r="O7522" i="7"/>
  <c r="O7523" i="7"/>
  <c r="O7524" i="7"/>
  <c r="O7525" i="7"/>
  <c r="O7526" i="7"/>
  <c r="O7527" i="7"/>
  <c r="O7528" i="7"/>
  <c r="O7529" i="7"/>
  <c r="O7530" i="7"/>
  <c r="O7531" i="7"/>
  <c r="O7532" i="7"/>
  <c r="O7533" i="7"/>
  <c r="O7534" i="7"/>
  <c r="O7535" i="7"/>
  <c r="O7536" i="7"/>
  <c r="O7537" i="7"/>
  <c r="O7538" i="7"/>
  <c r="O7539" i="7"/>
  <c r="O7540" i="7"/>
  <c r="O7541" i="7"/>
  <c r="O7542" i="7"/>
  <c r="O7543" i="7"/>
  <c r="O7544" i="7"/>
  <c r="O7545" i="7"/>
  <c r="O7546" i="7"/>
  <c r="O7547" i="7"/>
  <c r="O7548" i="7"/>
  <c r="O7549" i="7"/>
  <c r="O7550" i="7"/>
  <c r="O7551" i="7"/>
  <c r="O7552" i="7"/>
  <c r="O7553" i="7"/>
  <c r="O7554" i="7"/>
  <c r="O7555" i="7"/>
  <c r="O7556" i="7"/>
  <c r="O7557" i="7"/>
  <c r="O7558" i="7"/>
  <c r="O7559" i="7"/>
  <c r="O7560" i="7"/>
  <c r="O7561" i="7"/>
  <c r="O7562" i="7"/>
  <c r="O7563" i="7"/>
  <c r="O7564" i="7"/>
  <c r="O7565" i="7"/>
  <c r="O7566" i="7"/>
  <c r="O7567" i="7"/>
  <c r="O7568" i="7"/>
  <c r="O7569" i="7"/>
  <c r="O7570" i="7"/>
  <c r="O7571" i="7"/>
  <c r="O7572" i="7"/>
  <c r="O7573" i="7"/>
  <c r="O7574" i="7"/>
  <c r="O7575" i="7"/>
  <c r="O7576" i="7"/>
  <c r="O7577" i="7"/>
  <c r="O7578" i="7"/>
  <c r="O7579" i="7"/>
  <c r="O7580" i="7"/>
  <c r="O7581" i="7"/>
  <c r="O7582" i="7"/>
  <c r="O7583" i="7"/>
  <c r="O7584" i="7"/>
  <c r="O7585" i="7"/>
  <c r="O7586" i="7"/>
  <c r="O7587" i="7"/>
  <c r="O7588" i="7"/>
  <c r="O7589" i="7"/>
  <c r="O7590" i="7"/>
  <c r="O7591" i="7"/>
  <c r="O7592" i="7"/>
  <c r="O7593" i="7"/>
  <c r="O7594" i="7"/>
  <c r="O7595" i="7"/>
  <c r="O7596" i="7"/>
  <c r="O7597" i="7"/>
  <c r="O7598" i="7"/>
  <c r="O7599" i="7"/>
  <c r="O7600" i="7"/>
  <c r="O7601" i="7"/>
  <c r="O7602" i="7"/>
  <c r="O7603" i="7"/>
  <c r="O7604" i="7"/>
  <c r="O7605" i="7"/>
  <c r="O7606" i="7"/>
  <c r="O7607" i="7"/>
  <c r="O7608" i="7"/>
  <c r="O7609" i="7"/>
  <c r="O7610" i="7"/>
  <c r="O7611" i="7"/>
  <c r="O7612" i="7"/>
  <c r="O7613" i="7"/>
  <c r="O7614" i="7"/>
  <c r="O7615" i="7"/>
  <c r="O7616" i="7"/>
  <c r="O7617" i="7"/>
  <c r="O7618" i="7"/>
  <c r="O7619" i="7"/>
  <c r="O7620" i="7"/>
  <c r="O7621" i="7"/>
  <c r="O7622" i="7"/>
  <c r="O7623" i="7"/>
  <c r="O7624" i="7"/>
  <c r="O7625" i="7"/>
  <c r="O7626" i="7"/>
  <c r="O7627" i="7"/>
  <c r="O7628" i="7"/>
  <c r="O7629" i="7"/>
  <c r="O7630" i="7"/>
  <c r="O7631" i="7"/>
  <c r="O7632" i="7"/>
  <c r="O7633" i="7"/>
  <c r="O7634" i="7"/>
  <c r="O7635" i="7"/>
  <c r="O7636" i="7"/>
  <c r="O7637" i="7"/>
  <c r="O7638" i="7"/>
  <c r="O7639" i="7"/>
  <c r="O7640" i="7"/>
  <c r="O7641" i="7"/>
  <c r="O7642" i="7"/>
  <c r="O7643" i="7"/>
  <c r="O7644" i="7"/>
  <c r="O7645" i="7"/>
  <c r="O7646" i="7"/>
  <c r="O7647" i="7"/>
  <c r="O7648" i="7"/>
  <c r="O7649" i="7"/>
  <c r="O7650" i="7"/>
  <c r="O7651" i="7"/>
  <c r="O7652" i="7"/>
  <c r="O7653" i="7"/>
  <c r="O7654" i="7"/>
  <c r="O7655" i="7"/>
  <c r="O7656" i="7"/>
  <c r="O7657" i="7"/>
  <c r="O7658" i="7"/>
  <c r="O7659" i="7"/>
  <c r="O7660" i="7"/>
  <c r="O7661" i="7"/>
  <c r="O7662" i="7"/>
  <c r="O7663" i="7"/>
  <c r="O7664" i="7"/>
  <c r="O7665" i="7"/>
  <c r="O7666" i="7"/>
  <c r="O7667" i="7"/>
  <c r="O7668" i="7"/>
  <c r="O7669" i="7"/>
  <c r="O7670" i="7"/>
  <c r="O7671" i="7"/>
  <c r="O7672" i="7"/>
  <c r="O7673" i="7"/>
  <c r="O7674" i="7"/>
  <c r="O7675" i="7"/>
  <c r="O7676" i="7"/>
  <c r="O7677" i="7"/>
  <c r="O7678" i="7"/>
  <c r="O7679" i="7"/>
  <c r="O7680" i="7"/>
  <c r="O7681" i="7"/>
  <c r="O7682" i="7"/>
  <c r="O7683" i="7"/>
  <c r="O7684" i="7"/>
  <c r="O7685" i="7"/>
  <c r="O7686" i="7"/>
  <c r="O7687" i="7"/>
  <c r="O7688" i="7"/>
  <c r="O7689" i="7"/>
  <c r="O7690" i="7"/>
  <c r="O7691" i="7"/>
  <c r="O7692" i="7"/>
  <c r="O7693" i="7"/>
  <c r="O7694" i="7"/>
  <c r="O7695" i="7"/>
  <c r="O7696" i="7"/>
  <c r="O7697" i="7"/>
  <c r="O7698" i="7"/>
  <c r="O7699" i="7"/>
  <c r="O7700" i="7"/>
  <c r="O7701" i="7"/>
  <c r="O7702" i="7"/>
  <c r="O7703" i="7"/>
  <c r="O7704" i="7"/>
  <c r="O7705" i="7"/>
  <c r="O7706" i="7"/>
  <c r="O7707" i="7"/>
  <c r="O7708" i="7"/>
  <c r="O7709" i="7"/>
  <c r="O7710" i="7"/>
  <c r="O7711" i="7"/>
  <c r="O7712" i="7"/>
  <c r="O7713" i="7"/>
  <c r="O7714" i="7"/>
  <c r="O7715" i="7"/>
  <c r="O7716" i="7"/>
  <c r="O7717" i="7"/>
  <c r="O7718" i="7"/>
  <c r="O7719" i="7"/>
  <c r="O7720" i="7"/>
  <c r="O7721" i="7"/>
  <c r="O7722" i="7"/>
  <c r="O7723" i="7"/>
  <c r="O7724" i="7"/>
  <c r="O7725" i="7"/>
  <c r="O7726" i="7"/>
  <c r="O7727" i="7"/>
  <c r="O7728" i="7"/>
  <c r="O7729" i="7"/>
  <c r="O7730" i="7"/>
  <c r="O7731" i="7"/>
  <c r="O7732" i="7"/>
  <c r="O7733" i="7"/>
  <c r="O7734" i="7"/>
  <c r="O7735" i="7"/>
  <c r="O7736" i="7"/>
  <c r="O7737" i="7"/>
  <c r="O7738" i="7"/>
  <c r="O7739" i="7"/>
  <c r="O7740" i="7"/>
  <c r="O7741" i="7"/>
  <c r="O7742" i="7"/>
  <c r="O7743" i="7"/>
  <c r="O7744" i="7"/>
  <c r="O7745" i="7"/>
  <c r="O7746" i="7"/>
  <c r="O7747" i="7"/>
  <c r="O7748" i="7"/>
  <c r="O7749" i="7"/>
  <c r="O7750" i="7"/>
  <c r="O7751" i="7"/>
  <c r="O7752" i="7"/>
  <c r="O7753" i="7"/>
  <c r="O7754" i="7"/>
  <c r="O7755" i="7"/>
  <c r="O7756" i="7"/>
  <c r="O7757" i="7"/>
  <c r="O7758" i="7"/>
  <c r="O7759" i="7"/>
  <c r="O7760" i="7"/>
  <c r="O7761" i="7"/>
  <c r="O7762" i="7"/>
  <c r="O7763" i="7"/>
  <c r="O7764" i="7"/>
  <c r="O7765" i="7"/>
  <c r="O7766" i="7"/>
  <c r="O7767" i="7"/>
  <c r="O7768" i="7"/>
  <c r="O7769" i="7"/>
  <c r="O7770" i="7"/>
  <c r="O7771" i="7"/>
  <c r="O7772" i="7"/>
  <c r="O7773" i="7"/>
  <c r="O7774" i="7"/>
  <c r="O7775" i="7"/>
  <c r="O7776" i="7"/>
  <c r="O7777" i="7"/>
  <c r="O7778" i="7"/>
  <c r="O7779" i="7"/>
  <c r="O7780" i="7"/>
  <c r="O7781" i="7"/>
  <c r="O7782" i="7"/>
  <c r="O7783" i="7"/>
  <c r="O7784" i="7"/>
  <c r="O7785" i="7"/>
  <c r="O7786" i="7"/>
  <c r="O7787" i="7"/>
  <c r="O7788" i="7"/>
  <c r="O7789" i="7"/>
  <c r="O7790" i="7"/>
  <c r="O7791" i="7"/>
  <c r="O7792" i="7"/>
  <c r="O7793" i="7"/>
  <c r="O7794" i="7"/>
  <c r="O7795" i="7"/>
  <c r="O7796" i="7"/>
  <c r="O7797" i="7"/>
  <c r="O7798" i="7"/>
  <c r="O7799" i="7"/>
  <c r="O7800" i="7"/>
  <c r="O7801" i="7"/>
  <c r="O7802" i="7"/>
  <c r="O7803" i="7"/>
  <c r="O7804" i="7"/>
  <c r="O7805" i="7"/>
  <c r="O7806" i="7"/>
  <c r="O7807" i="7"/>
  <c r="O7808" i="7"/>
  <c r="O7809" i="7"/>
  <c r="O7810" i="7"/>
  <c r="O7811" i="7"/>
  <c r="O7812" i="7"/>
  <c r="O7813" i="7"/>
  <c r="O7814" i="7"/>
  <c r="O7815" i="7"/>
  <c r="O7816" i="7"/>
  <c r="O7817" i="7"/>
  <c r="O7818" i="7"/>
  <c r="O7819" i="7"/>
  <c r="O7820" i="7"/>
  <c r="O7821" i="7"/>
  <c r="O7822" i="7"/>
  <c r="O7823" i="7"/>
  <c r="O7824" i="7"/>
  <c r="O7825" i="7"/>
  <c r="O7826" i="7"/>
  <c r="O7827" i="7"/>
  <c r="O7828" i="7"/>
  <c r="O7829" i="7"/>
  <c r="O7830" i="7"/>
  <c r="O7831" i="7"/>
  <c r="O7832" i="7"/>
  <c r="O7833" i="7"/>
  <c r="O7834" i="7"/>
  <c r="O7835" i="7"/>
  <c r="O7836" i="7"/>
  <c r="O7837" i="7"/>
  <c r="O7838" i="7"/>
  <c r="O7839" i="7"/>
  <c r="O7840" i="7"/>
  <c r="O7841" i="7"/>
  <c r="O7842" i="7"/>
  <c r="O7843" i="7"/>
  <c r="O7844" i="7"/>
  <c r="O7845" i="7"/>
  <c r="O7846" i="7"/>
  <c r="O7847" i="7"/>
  <c r="O7848" i="7"/>
  <c r="O7849" i="7"/>
  <c r="O7850" i="7"/>
  <c r="O7851" i="7"/>
  <c r="O7852" i="7"/>
  <c r="O7853" i="7"/>
  <c r="O7854" i="7"/>
  <c r="O7855" i="7"/>
  <c r="O7856" i="7"/>
  <c r="O7857" i="7"/>
  <c r="O7858" i="7"/>
  <c r="O7859" i="7"/>
  <c r="O7860" i="7"/>
  <c r="O7861" i="7"/>
  <c r="O7862" i="7"/>
  <c r="O7863" i="7"/>
  <c r="O7864" i="7"/>
  <c r="O7865" i="7"/>
  <c r="O7866" i="7"/>
  <c r="O7867" i="7"/>
  <c r="O7868" i="7"/>
  <c r="O7869" i="7"/>
  <c r="O7870" i="7"/>
  <c r="O7871" i="7"/>
  <c r="O7872" i="7"/>
  <c r="O7873" i="7"/>
  <c r="O7874" i="7"/>
  <c r="O7875" i="7"/>
  <c r="O7876" i="7"/>
  <c r="O7877" i="7"/>
  <c r="O7878" i="7"/>
  <c r="O7879" i="7"/>
  <c r="O7880" i="7"/>
  <c r="O7881" i="7"/>
  <c r="O7882" i="7"/>
  <c r="O7883" i="7"/>
  <c r="O7884" i="7"/>
  <c r="O7885" i="7"/>
  <c r="O7886" i="7"/>
  <c r="O7887" i="7"/>
  <c r="O7888" i="7"/>
  <c r="O7889" i="7"/>
  <c r="O7890" i="7"/>
  <c r="O7891" i="7"/>
  <c r="O7892" i="7"/>
  <c r="O7893" i="7"/>
  <c r="O7894" i="7"/>
  <c r="O7895" i="7"/>
  <c r="O7896" i="7"/>
  <c r="O7897" i="7"/>
  <c r="O7898" i="7"/>
  <c r="O7899" i="7"/>
  <c r="O7900" i="7"/>
  <c r="O7901" i="7"/>
  <c r="O7902" i="7"/>
  <c r="O7903" i="7"/>
  <c r="O7904" i="7"/>
  <c r="O7905" i="7"/>
  <c r="O7906" i="7"/>
  <c r="O7907" i="7"/>
  <c r="O7908" i="7"/>
  <c r="O7909" i="7"/>
  <c r="O7910" i="7"/>
  <c r="O7911" i="7"/>
  <c r="O7912" i="7"/>
  <c r="O7913" i="7"/>
  <c r="O7914" i="7"/>
  <c r="O7915" i="7"/>
  <c r="O7916" i="7"/>
  <c r="O7917" i="7"/>
  <c r="O7918" i="7"/>
  <c r="O7919" i="7"/>
  <c r="O7920" i="7"/>
  <c r="O7921" i="7"/>
  <c r="O267" i="5" s="1"/>
  <c r="O7922" i="7"/>
  <c r="O7923" i="7"/>
  <c r="O7924" i="7"/>
  <c r="O7925" i="7"/>
  <c r="O7926" i="7"/>
  <c r="O7927" i="7"/>
  <c r="O7928" i="7"/>
  <c r="O7929" i="7"/>
  <c r="O7930" i="7"/>
  <c r="O7931" i="7"/>
  <c r="O7932" i="7"/>
  <c r="O7933" i="7"/>
  <c r="O7934" i="7"/>
  <c r="O7935" i="7"/>
  <c r="O7936" i="7"/>
  <c r="O7937" i="7"/>
  <c r="O7938" i="7"/>
  <c r="O7939" i="7"/>
  <c r="O7940" i="7"/>
  <c r="O7941" i="7"/>
  <c r="O7942" i="7"/>
  <c r="O7943" i="7"/>
  <c r="O7944" i="7"/>
  <c r="O7945" i="7"/>
  <c r="O7946" i="7"/>
  <c r="O7947" i="7"/>
  <c r="O7948" i="7"/>
  <c r="O7949" i="7"/>
  <c r="O7950" i="7"/>
  <c r="O7951" i="7"/>
  <c r="O7952" i="7"/>
  <c r="O7953" i="7"/>
  <c r="O7954" i="7"/>
  <c r="O7955" i="7"/>
  <c r="O7956" i="7"/>
  <c r="O7957" i="7"/>
  <c r="O7958" i="7"/>
  <c r="O7959" i="7"/>
  <c r="O7960" i="7"/>
  <c r="O7961" i="7"/>
  <c r="O7962" i="7"/>
  <c r="O7963" i="7"/>
  <c r="O7964" i="7"/>
  <c r="O7965" i="7"/>
  <c r="O7966" i="7"/>
  <c r="O7967" i="7"/>
  <c r="O7968" i="7"/>
  <c r="O7969" i="7"/>
  <c r="O7970" i="7"/>
  <c r="O7971" i="7"/>
  <c r="O7972" i="7"/>
  <c r="O7973" i="7"/>
  <c r="O7974" i="7"/>
  <c r="O7975" i="7"/>
  <c r="O7976" i="7"/>
  <c r="O7977" i="7"/>
  <c r="O7978" i="7"/>
  <c r="O7979" i="7"/>
  <c r="O7980" i="7"/>
  <c r="O7981" i="7"/>
  <c r="O7982" i="7"/>
  <c r="O7983" i="7"/>
  <c r="O7984" i="7"/>
  <c r="O7985" i="7"/>
  <c r="O7986" i="7"/>
  <c r="O7987" i="7"/>
  <c r="O7988" i="7"/>
  <c r="O7989" i="7"/>
  <c r="O7990" i="7"/>
  <c r="O7991" i="7"/>
  <c r="O7992" i="7"/>
  <c r="O7993" i="7"/>
  <c r="O7994" i="7"/>
  <c r="O7995" i="7"/>
  <c r="O7996" i="7"/>
  <c r="O7997" i="7"/>
  <c r="O7998" i="7"/>
  <c r="O7999" i="7"/>
  <c r="O8000" i="7"/>
  <c r="O8001" i="7"/>
  <c r="O8002" i="7"/>
  <c r="O8003" i="7"/>
  <c r="O8004" i="7"/>
  <c r="O8005" i="7"/>
  <c r="O8006" i="7"/>
  <c r="O8007" i="7"/>
  <c r="O8008" i="7"/>
  <c r="O8009" i="7"/>
  <c r="O8010" i="7"/>
  <c r="O8011" i="7"/>
  <c r="O8012" i="7"/>
  <c r="O8013" i="7"/>
  <c r="O8014" i="7"/>
  <c r="O8015" i="7"/>
  <c r="O8016" i="7"/>
  <c r="O8017" i="7"/>
  <c r="O8018" i="7"/>
  <c r="O8019" i="7"/>
  <c r="O8020" i="7"/>
  <c r="O8021" i="7"/>
  <c r="O8022" i="7"/>
  <c r="O8023" i="7"/>
  <c r="O8024" i="7"/>
  <c r="O8025" i="7"/>
  <c r="O8026" i="7"/>
  <c r="O8027" i="7"/>
  <c r="O8028" i="7"/>
  <c r="O8029" i="7"/>
  <c r="O8030" i="7"/>
  <c r="O8031" i="7"/>
  <c r="O8032" i="7"/>
  <c r="O8033" i="7"/>
  <c r="O8034" i="7"/>
  <c r="O8035" i="7"/>
  <c r="O8036" i="7"/>
  <c r="O8037" i="7"/>
  <c r="O8038" i="7"/>
  <c r="O8039" i="7"/>
  <c r="O8040" i="7"/>
  <c r="O8041" i="7"/>
  <c r="O8042" i="7"/>
  <c r="O8043" i="7"/>
  <c r="O8044" i="7"/>
  <c r="O8045" i="7"/>
  <c r="O8046" i="7"/>
  <c r="O8047" i="7"/>
  <c r="O8048" i="7"/>
  <c r="O8049" i="7"/>
  <c r="O8050" i="7"/>
  <c r="O8051" i="7"/>
  <c r="O8052" i="7"/>
  <c r="O8053" i="7"/>
  <c r="O8054" i="7"/>
  <c r="O8055" i="7"/>
  <c r="O8056" i="7"/>
  <c r="O8057" i="7"/>
  <c r="O8058" i="7"/>
  <c r="O8059" i="7"/>
  <c r="O8060" i="7"/>
  <c r="O8061" i="7"/>
  <c r="O8062" i="7"/>
  <c r="O8063" i="7"/>
  <c r="O8064" i="7"/>
  <c r="O8065" i="7"/>
  <c r="O8066" i="7"/>
  <c r="O8067" i="7"/>
  <c r="O8068" i="7"/>
  <c r="O8069" i="7"/>
  <c r="O8070" i="7"/>
  <c r="O8071" i="7"/>
  <c r="O8072" i="7"/>
  <c r="O8073" i="7"/>
  <c r="O8074" i="7"/>
  <c r="O8075" i="7"/>
  <c r="O8076" i="7"/>
  <c r="O8077" i="7"/>
  <c r="O8078" i="7"/>
  <c r="O8079" i="7"/>
  <c r="O8080" i="7"/>
  <c r="O8081" i="7"/>
  <c r="O8082" i="7"/>
  <c r="O8083" i="7"/>
  <c r="O8084" i="7"/>
  <c r="O8085" i="7"/>
  <c r="O8086" i="7"/>
  <c r="O8087" i="7"/>
  <c r="O8088" i="7"/>
  <c r="O8089" i="7"/>
  <c r="O8090" i="7"/>
  <c r="O8091" i="7"/>
  <c r="O8092" i="7"/>
  <c r="O8093" i="7"/>
  <c r="O8094" i="7"/>
  <c r="O8095" i="7"/>
  <c r="O8096" i="7"/>
  <c r="O8097" i="7"/>
  <c r="O8098" i="7"/>
  <c r="O8099" i="7"/>
  <c r="O8100" i="7"/>
  <c r="O8101" i="7"/>
  <c r="O8102" i="7"/>
  <c r="O8103" i="7"/>
  <c r="O8104" i="7"/>
  <c r="O8105" i="7"/>
  <c r="O8106" i="7"/>
  <c r="O8107" i="7"/>
  <c r="O8108" i="7"/>
  <c r="O8109" i="7"/>
  <c r="O8110" i="7"/>
  <c r="O8111" i="7"/>
  <c r="O8112" i="7"/>
  <c r="O8113" i="7"/>
  <c r="O8114" i="7"/>
  <c r="O8115" i="7"/>
  <c r="O8116" i="7"/>
  <c r="O8117" i="7"/>
  <c r="O8118" i="7"/>
  <c r="O8119" i="7"/>
  <c r="O8120" i="7"/>
  <c r="O8121" i="7"/>
  <c r="O8122" i="7"/>
  <c r="O8123" i="7"/>
  <c r="O8124" i="7"/>
  <c r="O8125" i="7"/>
  <c r="O8126" i="7"/>
  <c r="O8127" i="7"/>
  <c r="O8128" i="7"/>
  <c r="O8129" i="7"/>
  <c r="O8130" i="7"/>
  <c r="O8131" i="7"/>
  <c r="O8132" i="7"/>
  <c r="O8133" i="7"/>
  <c r="O8134" i="7"/>
  <c r="O8135" i="7"/>
  <c r="O8136" i="7"/>
  <c r="O8137" i="7"/>
  <c r="O8138" i="7"/>
  <c r="O8139" i="7"/>
  <c r="O8140" i="7"/>
  <c r="O8141" i="7"/>
  <c r="O8142" i="7"/>
  <c r="O8143" i="7"/>
  <c r="O8144" i="7"/>
  <c r="O8145" i="7"/>
  <c r="O8146" i="7"/>
  <c r="O8147" i="7"/>
  <c r="O8148" i="7"/>
  <c r="O8149" i="7"/>
  <c r="O8150" i="7"/>
  <c r="O8151" i="7"/>
  <c r="O8152" i="7"/>
  <c r="O8153" i="7"/>
  <c r="O8154" i="7"/>
  <c r="O8155" i="7"/>
  <c r="O8156" i="7"/>
  <c r="O8157" i="7"/>
  <c r="O8158" i="7"/>
  <c r="O8159" i="7"/>
  <c r="O8160" i="7"/>
  <c r="O8161" i="7"/>
  <c r="O8162" i="7"/>
  <c r="O8163" i="7"/>
  <c r="O8164" i="7"/>
  <c r="O8165" i="7"/>
  <c r="O8166" i="7"/>
  <c r="O8167" i="7"/>
  <c r="O8168" i="7"/>
  <c r="O8169" i="7"/>
  <c r="O8170" i="7"/>
  <c r="O8171" i="7"/>
  <c r="O8172" i="7"/>
  <c r="O8173" i="7"/>
  <c r="O8174" i="7"/>
  <c r="O8175" i="7"/>
  <c r="O8176" i="7"/>
  <c r="O8177" i="7"/>
  <c r="O8178" i="7"/>
  <c r="O8179" i="7"/>
  <c r="O8180" i="7"/>
  <c r="O8181" i="7"/>
  <c r="O8182" i="7"/>
  <c r="O8183" i="7"/>
  <c r="O8184" i="7"/>
  <c r="O8185" i="7"/>
  <c r="O8186" i="7"/>
  <c r="O8187" i="7"/>
  <c r="O8188" i="7"/>
  <c r="O8189" i="7"/>
  <c r="O8190" i="7"/>
  <c r="O8191" i="7"/>
  <c r="O8192" i="7"/>
  <c r="O8193" i="7"/>
  <c r="O8194" i="7"/>
  <c r="O8195" i="7"/>
  <c r="O8196" i="7"/>
  <c r="O8197" i="7"/>
  <c r="O8198" i="7"/>
  <c r="O33" i="5" s="1"/>
  <c r="O8199" i="7"/>
  <c r="O8200" i="7"/>
  <c r="O8201" i="7"/>
  <c r="O8202" i="7"/>
  <c r="O8203" i="7"/>
  <c r="O8204" i="7"/>
  <c r="O8205" i="7"/>
  <c r="O8206" i="7"/>
  <c r="O8207" i="7"/>
  <c r="O8208" i="7"/>
  <c r="O8209" i="7"/>
  <c r="O8210" i="7"/>
  <c r="O8211" i="7"/>
  <c r="O8212" i="7"/>
  <c r="O8213" i="7"/>
  <c r="O8214" i="7"/>
  <c r="O8215" i="7"/>
  <c r="O8216" i="7"/>
  <c r="O8217" i="7"/>
  <c r="O8218" i="7"/>
  <c r="O8219" i="7"/>
  <c r="O8220" i="7"/>
  <c r="O8221" i="7"/>
  <c r="O8222" i="7"/>
  <c r="O8223" i="7"/>
  <c r="O8224" i="7"/>
  <c r="O8225" i="7"/>
  <c r="O8226" i="7"/>
  <c r="O8227" i="7"/>
  <c r="O8228" i="7"/>
  <c r="O8229" i="7"/>
  <c r="O8230" i="7"/>
  <c r="O8231" i="7"/>
  <c r="O8232" i="7"/>
  <c r="O8233" i="7"/>
  <c r="O8234" i="7"/>
  <c r="O8235" i="7"/>
  <c r="O8236" i="7"/>
  <c r="O8237" i="7"/>
  <c r="O8238" i="7"/>
  <c r="O8239" i="7"/>
  <c r="O8240" i="7"/>
  <c r="O8241" i="7"/>
  <c r="O8242" i="7"/>
  <c r="O8243" i="7"/>
  <c r="O8244" i="7"/>
  <c r="O8245" i="7"/>
  <c r="O8246" i="7"/>
  <c r="O8247" i="7"/>
  <c r="O8248" i="7"/>
  <c r="O8249" i="7"/>
  <c r="O8250" i="7"/>
  <c r="O8251" i="7"/>
  <c r="O8252" i="7"/>
  <c r="O8253" i="7"/>
  <c r="O8254" i="7"/>
  <c r="O8255" i="7"/>
  <c r="O8256" i="7"/>
  <c r="O8257" i="7"/>
  <c r="O8258" i="7"/>
  <c r="O8259" i="7"/>
  <c r="O8260" i="7"/>
  <c r="O8261" i="7"/>
  <c r="O8262" i="7"/>
  <c r="O8263" i="7"/>
  <c r="O8264" i="7"/>
  <c r="O8265" i="7"/>
  <c r="O8266" i="7"/>
  <c r="O8267" i="7"/>
  <c r="O8268" i="7"/>
  <c r="O8269" i="7"/>
  <c r="O8270" i="7"/>
  <c r="O8271" i="7"/>
  <c r="O8272" i="7"/>
  <c r="O8273" i="7"/>
  <c r="O8274" i="7"/>
  <c r="O8275" i="7"/>
  <c r="O8276" i="7"/>
  <c r="O8277" i="7"/>
  <c r="O8278" i="7"/>
  <c r="O8279" i="7"/>
  <c r="O8280" i="7"/>
  <c r="O8281" i="7"/>
  <c r="O8282" i="7"/>
  <c r="O8283" i="7"/>
  <c r="O8284" i="7"/>
  <c r="O8285" i="7"/>
  <c r="O8286" i="7"/>
  <c r="O8287" i="7"/>
  <c r="O8288" i="7"/>
  <c r="O8289" i="7"/>
  <c r="O8290" i="7"/>
  <c r="O8291" i="7"/>
  <c r="O8292" i="7"/>
  <c r="O221" i="5" s="1"/>
  <c r="O8293" i="7"/>
  <c r="O8294" i="7"/>
  <c r="O8295" i="7"/>
  <c r="O8296" i="7"/>
  <c r="O8297" i="7"/>
  <c r="O8298" i="7"/>
  <c r="O8299" i="7"/>
  <c r="O8300" i="7"/>
  <c r="O8301" i="7"/>
  <c r="O8302" i="7"/>
  <c r="O8303" i="7"/>
  <c r="O8304" i="7"/>
  <c r="O8305" i="7"/>
  <c r="O8306" i="7"/>
  <c r="O8307" i="7"/>
  <c r="O8308" i="7"/>
  <c r="O8309" i="7"/>
  <c r="O8310" i="7"/>
  <c r="O8311" i="7"/>
  <c r="O8312" i="7"/>
  <c r="O8313" i="7"/>
  <c r="O8314" i="7"/>
  <c r="O8315" i="7"/>
  <c r="O8316" i="7"/>
  <c r="O8317" i="7"/>
  <c r="O8318" i="7"/>
  <c r="O8319" i="7"/>
  <c r="O8320" i="7"/>
  <c r="O8321" i="7"/>
  <c r="O8322" i="7"/>
  <c r="O8323" i="7"/>
  <c r="O8324" i="7"/>
  <c r="O8325" i="7"/>
  <c r="O8326" i="7"/>
  <c r="O8327" i="7"/>
  <c r="O8328" i="7"/>
  <c r="O8329" i="7"/>
  <c r="O8330" i="7"/>
  <c r="O8331" i="7"/>
  <c r="O8332" i="7"/>
  <c r="O8333" i="7"/>
  <c r="O8334" i="7"/>
  <c r="O8335" i="7"/>
  <c r="O8336" i="7"/>
  <c r="O8337" i="7"/>
  <c r="O8338" i="7"/>
  <c r="O8339" i="7"/>
  <c r="O8340" i="7"/>
  <c r="O8341" i="7"/>
  <c r="O8342" i="7"/>
  <c r="O8343" i="7"/>
  <c r="O8344" i="7"/>
  <c r="O8345" i="7"/>
  <c r="O8346" i="7"/>
  <c r="O8347" i="7"/>
  <c r="O8348" i="7"/>
  <c r="O8349" i="7"/>
  <c r="O8350" i="7"/>
  <c r="O8351" i="7"/>
  <c r="O8352" i="7"/>
  <c r="O8353" i="7"/>
  <c r="O8354" i="7"/>
  <c r="O8355" i="7"/>
  <c r="O8356" i="7"/>
  <c r="O8357" i="7"/>
  <c r="O8358" i="7"/>
  <c r="O8359" i="7"/>
  <c r="O8360" i="7"/>
  <c r="O8361" i="7"/>
  <c r="O8362" i="7"/>
  <c r="O8363" i="7"/>
  <c r="O8364" i="7"/>
  <c r="O8365" i="7"/>
  <c r="O8366" i="7"/>
  <c r="O8367" i="7"/>
  <c r="O8368" i="7"/>
  <c r="O8369" i="7"/>
  <c r="O8370" i="7"/>
  <c r="O8371" i="7"/>
  <c r="O8372" i="7"/>
  <c r="O8373" i="7"/>
  <c r="O8374" i="7"/>
  <c r="O8375" i="7"/>
  <c r="O8376" i="7"/>
  <c r="O8377" i="7"/>
  <c r="O8378" i="7"/>
  <c r="O8379" i="7"/>
  <c r="O8380" i="7"/>
  <c r="O8381" i="7"/>
  <c r="O8382" i="7"/>
  <c r="O8383" i="7"/>
  <c r="O8384" i="7"/>
  <c r="O8385" i="7"/>
  <c r="O8386" i="7"/>
  <c r="O8387" i="7"/>
  <c r="O8388" i="7"/>
  <c r="O8389" i="7"/>
  <c r="O8390" i="7"/>
  <c r="O8391" i="7"/>
  <c r="O8392" i="7"/>
  <c r="O8393" i="7"/>
  <c r="O8394" i="7"/>
  <c r="O8395" i="7"/>
  <c r="O8396" i="7"/>
  <c r="O8397" i="7"/>
  <c r="O8398" i="7"/>
  <c r="O8399" i="7"/>
  <c r="O8400" i="7"/>
  <c r="O8401" i="7"/>
  <c r="O8402" i="7"/>
  <c r="O8403" i="7"/>
  <c r="O8404" i="7"/>
  <c r="O8405" i="7"/>
  <c r="O8406" i="7"/>
  <c r="O8407" i="7"/>
  <c r="O8408" i="7"/>
  <c r="O8409" i="7"/>
  <c r="O8410" i="7"/>
  <c r="O8411" i="7"/>
  <c r="O8412" i="7"/>
  <c r="O8413" i="7"/>
  <c r="O8414" i="7"/>
  <c r="O8415" i="7"/>
  <c r="O8416" i="7"/>
  <c r="O8417" i="7"/>
  <c r="O8418" i="7"/>
  <c r="O8419" i="7"/>
  <c r="O8420" i="7"/>
  <c r="O8421" i="7"/>
  <c r="O8422" i="7"/>
  <c r="O8423" i="7"/>
  <c r="O8424" i="7"/>
  <c r="O8425" i="7"/>
  <c r="O8426" i="7"/>
  <c r="O8427" i="7"/>
  <c r="O8428" i="7"/>
  <c r="O8429" i="7"/>
  <c r="O8430" i="7"/>
  <c r="O8431" i="7"/>
  <c r="O8432" i="7"/>
  <c r="O8433" i="7"/>
  <c r="O8434" i="7"/>
  <c r="O8435" i="7"/>
  <c r="O8436" i="7"/>
  <c r="O8437" i="7"/>
  <c r="O8438" i="7"/>
  <c r="O8439" i="7"/>
  <c r="O8440" i="7"/>
  <c r="O8441" i="7"/>
  <c r="O8442" i="7"/>
  <c r="O8443" i="7"/>
  <c r="O8444" i="7"/>
  <c r="O8445" i="7"/>
  <c r="O8446" i="7"/>
  <c r="O8447" i="7"/>
  <c r="O8448" i="7"/>
  <c r="O8449" i="7"/>
  <c r="O8450" i="7"/>
  <c r="O8451" i="7"/>
  <c r="O8452" i="7"/>
  <c r="O8453" i="7"/>
  <c r="O8454" i="7"/>
  <c r="O8455" i="7"/>
  <c r="O8456" i="7"/>
  <c r="O8457" i="7"/>
  <c r="O8458" i="7"/>
  <c r="O8459" i="7"/>
  <c r="O8460" i="7"/>
  <c r="O8461" i="7"/>
  <c r="O8462" i="7"/>
  <c r="O8463" i="7"/>
  <c r="O8464" i="7"/>
  <c r="O8465" i="7"/>
  <c r="O8466" i="7"/>
  <c r="O8467" i="7"/>
  <c r="O8468" i="7"/>
  <c r="O8469" i="7"/>
  <c r="O8470" i="7"/>
  <c r="O8482" i="7"/>
  <c r="O8483" i="7"/>
  <c r="O8484" i="7"/>
  <c r="O8485" i="7"/>
  <c r="O8486" i="7"/>
  <c r="O8487" i="7"/>
  <c r="O8488" i="7"/>
  <c r="O8489" i="7"/>
  <c r="O8490" i="7"/>
  <c r="O8491" i="7"/>
  <c r="O8492" i="7"/>
  <c r="O8493" i="7"/>
  <c r="O8494" i="7"/>
  <c r="O8495" i="7"/>
  <c r="O8496" i="7"/>
  <c r="O8497" i="7"/>
  <c r="O8498" i="7"/>
  <c r="O8499" i="7"/>
  <c r="O8500" i="7"/>
  <c r="O8501" i="7"/>
  <c r="O8502" i="7"/>
  <c r="O8503" i="7"/>
  <c r="O8504" i="7"/>
  <c r="O8505" i="7"/>
  <c r="O8506" i="7"/>
  <c r="O8507" i="7"/>
  <c r="O8508" i="7"/>
  <c r="O8509" i="7"/>
  <c r="O8510" i="7"/>
  <c r="O8511" i="7"/>
  <c r="O8512" i="7"/>
  <c r="O8513" i="7"/>
  <c r="O8514" i="7"/>
  <c r="O8515" i="7"/>
  <c r="O8516" i="7"/>
  <c r="O8517" i="7"/>
  <c r="O8518" i="7"/>
  <c r="O8519" i="7"/>
  <c r="O8520" i="7"/>
  <c r="O8521" i="7"/>
  <c r="O8522" i="7"/>
  <c r="O8523" i="7"/>
  <c r="O8524" i="7"/>
  <c r="O8525" i="7"/>
  <c r="O8526" i="7"/>
  <c r="O8527" i="7"/>
  <c r="O8528" i="7"/>
  <c r="O8529" i="7"/>
  <c r="O8530" i="7"/>
  <c r="O8531" i="7"/>
  <c r="O8532" i="7"/>
  <c r="O8533" i="7"/>
  <c r="O8534" i="7"/>
  <c r="O8535" i="7"/>
  <c r="O8536" i="7"/>
  <c r="O8537" i="7"/>
  <c r="O8538" i="7"/>
  <c r="O8539" i="7"/>
  <c r="O8540" i="7"/>
  <c r="O8541" i="7"/>
  <c r="O8542" i="7"/>
  <c r="O8543" i="7"/>
  <c r="O8544" i="7"/>
  <c r="O8545" i="7"/>
  <c r="O8546" i="7"/>
  <c r="O8547" i="7"/>
  <c r="O8548" i="7"/>
  <c r="O8549" i="7"/>
  <c r="O8550" i="7"/>
  <c r="O8551" i="7"/>
  <c r="O8552" i="7"/>
  <c r="O8553" i="7"/>
  <c r="O8554" i="7"/>
  <c r="O8555" i="7"/>
  <c r="O8556" i="7"/>
  <c r="O8557" i="7"/>
  <c r="O8558" i="7"/>
  <c r="O8559" i="7"/>
  <c r="O8560" i="7"/>
  <c r="O8561" i="7"/>
  <c r="O8562" i="7"/>
  <c r="O8563" i="7"/>
  <c r="O8564" i="7"/>
  <c r="O8565" i="7"/>
  <c r="O8566" i="7"/>
  <c r="O8567" i="7"/>
  <c r="O8568" i="7"/>
  <c r="O8569" i="7"/>
  <c r="O8570" i="7"/>
  <c r="O8571" i="7"/>
  <c r="O8572" i="7"/>
  <c r="O8573" i="7"/>
  <c r="O8574" i="7"/>
  <c r="O8575" i="7"/>
  <c r="O8576" i="7"/>
  <c r="O8577" i="7"/>
  <c r="O8578" i="7"/>
  <c r="O8579" i="7"/>
  <c r="O8580" i="7"/>
  <c r="O8581" i="7"/>
  <c r="O8582" i="7"/>
  <c r="O8583" i="7"/>
  <c r="O8584" i="7"/>
  <c r="O8585" i="7"/>
  <c r="O8586" i="7"/>
  <c r="O8587" i="7"/>
  <c r="O8588" i="7"/>
  <c r="O8589" i="7"/>
  <c r="O8590" i="7"/>
  <c r="O8591" i="7"/>
  <c r="O8592" i="7"/>
  <c r="O8593" i="7"/>
  <c r="O8594" i="7"/>
  <c r="O8595" i="7"/>
  <c r="O8596" i="7"/>
  <c r="O8597" i="7"/>
  <c r="O8598" i="7"/>
  <c r="O8599" i="7"/>
  <c r="O8600" i="7"/>
  <c r="O8601" i="7"/>
  <c r="O8602" i="7"/>
  <c r="O8603" i="7"/>
  <c r="O8604" i="7"/>
  <c r="O8605" i="7"/>
  <c r="O8606" i="7"/>
  <c r="O8607" i="7"/>
  <c r="O8608" i="7"/>
  <c r="O8609" i="7"/>
  <c r="O8610" i="7"/>
  <c r="O8611" i="7"/>
  <c r="O8612" i="7"/>
  <c r="O8613" i="7"/>
  <c r="O8614" i="7"/>
  <c r="O8615" i="7"/>
  <c r="O8616" i="7"/>
  <c r="O8617" i="7"/>
  <c r="O8618" i="7"/>
  <c r="O8619" i="7"/>
  <c r="O8620" i="7"/>
  <c r="O8621" i="7"/>
  <c r="O8622" i="7"/>
  <c r="O8623" i="7"/>
  <c r="O8624" i="7"/>
  <c r="O8625" i="7"/>
  <c r="O8626" i="7"/>
  <c r="O8627" i="7"/>
  <c r="O8628" i="7"/>
  <c r="O8629" i="7"/>
  <c r="O8630" i="7"/>
  <c r="O8631" i="7"/>
  <c r="O8632" i="7"/>
  <c r="O8633" i="7"/>
  <c r="O8634" i="7"/>
  <c r="O8635" i="7"/>
  <c r="O8636" i="7"/>
  <c r="O8637" i="7"/>
  <c r="O8638" i="7"/>
  <c r="O8639" i="7"/>
  <c r="O8640" i="7"/>
  <c r="O8641" i="7"/>
  <c r="O8642" i="7"/>
  <c r="O8643" i="7"/>
  <c r="O8644" i="7"/>
  <c r="O8645" i="7"/>
  <c r="O8646" i="7"/>
  <c r="O8647" i="7"/>
  <c r="O8648" i="7"/>
  <c r="O8649" i="7"/>
  <c r="O8650" i="7"/>
  <c r="O8651" i="7"/>
  <c r="O8652" i="7"/>
  <c r="O8653" i="7"/>
  <c r="O8654" i="7"/>
  <c r="O8655" i="7"/>
  <c r="O8656" i="7"/>
  <c r="O8657" i="7"/>
  <c r="O8658" i="7"/>
  <c r="O8659" i="7"/>
  <c r="O8660" i="7"/>
  <c r="O8661" i="7"/>
  <c r="O8662" i="7"/>
  <c r="O8663" i="7"/>
  <c r="O8664" i="7"/>
  <c r="O8665" i="7"/>
  <c r="O8666" i="7"/>
  <c r="O8667" i="7"/>
  <c r="O8668" i="7"/>
  <c r="O8669" i="7"/>
  <c r="O8670" i="7"/>
  <c r="O8671" i="7"/>
  <c r="O8672" i="7"/>
  <c r="O8673" i="7"/>
  <c r="O8674" i="7"/>
  <c r="O8675" i="7"/>
  <c r="O8676" i="7"/>
  <c r="O8677" i="7"/>
  <c r="O8678" i="7"/>
  <c r="O8679" i="7"/>
  <c r="O8680" i="7"/>
  <c r="O8681" i="7"/>
  <c r="O8682" i="7"/>
  <c r="O8683" i="7"/>
  <c r="O8684" i="7"/>
  <c r="O8685" i="7"/>
  <c r="O8686" i="7"/>
  <c r="O8687" i="7"/>
  <c r="O8688" i="7"/>
  <c r="O8689" i="7"/>
  <c r="O8690" i="7"/>
  <c r="O8691" i="7"/>
  <c r="O8692" i="7"/>
  <c r="O8693" i="7"/>
  <c r="O8694" i="7"/>
  <c r="O8695" i="7"/>
  <c r="O8696" i="7"/>
  <c r="O8697" i="7"/>
  <c r="O8698" i="7"/>
  <c r="O8699" i="7"/>
  <c r="O8700" i="7"/>
  <c r="O8701" i="7"/>
  <c r="O8702" i="7"/>
  <c r="O8703" i="7"/>
  <c r="O8704" i="7"/>
  <c r="O8705" i="7"/>
  <c r="O8706" i="7"/>
  <c r="O8707" i="7"/>
  <c r="O8708" i="7"/>
  <c r="O8709" i="7"/>
  <c r="O8710" i="7"/>
  <c r="O8711" i="7"/>
  <c r="O8712" i="7"/>
  <c r="O8713" i="7"/>
  <c r="O8714" i="7"/>
  <c r="O8715" i="7"/>
  <c r="O8716" i="7"/>
  <c r="O8717" i="7"/>
  <c r="O8718" i="7"/>
  <c r="O8719" i="7"/>
  <c r="O8720" i="7"/>
  <c r="O8721" i="7"/>
  <c r="O8722" i="7"/>
  <c r="O8723" i="7"/>
  <c r="O8724" i="7"/>
  <c r="O8725" i="7"/>
  <c r="O8726" i="7"/>
  <c r="O8727" i="7"/>
  <c r="O8728" i="7"/>
  <c r="O8729" i="7"/>
  <c r="O8730" i="7"/>
  <c r="O8731" i="7"/>
  <c r="O8732" i="7"/>
  <c r="O8733" i="7"/>
  <c r="O8734" i="7"/>
  <c r="O8735" i="7"/>
  <c r="O8736" i="7"/>
  <c r="O8737" i="7"/>
  <c r="O8738" i="7"/>
  <c r="O8739" i="7"/>
  <c r="O8740" i="7"/>
  <c r="O8741" i="7"/>
  <c r="O8742" i="7"/>
  <c r="O8743" i="7"/>
  <c r="O8744" i="7"/>
  <c r="O8745" i="7"/>
  <c r="O8746" i="7"/>
  <c r="O8747" i="7"/>
  <c r="O8748" i="7"/>
  <c r="O8749" i="7"/>
  <c r="O8750" i="7"/>
  <c r="O8751" i="7"/>
  <c r="O8752" i="7"/>
  <c r="O8753" i="7"/>
  <c r="O8754" i="7"/>
  <c r="O8755" i="7"/>
  <c r="O8756" i="7"/>
  <c r="O8757" i="7"/>
  <c r="O8758" i="7"/>
  <c r="O8759" i="7"/>
  <c r="O8760" i="7"/>
  <c r="O8761" i="7"/>
  <c r="O8762" i="7"/>
  <c r="O8763" i="7"/>
  <c r="O8764" i="7"/>
  <c r="O8765" i="7"/>
  <c r="O8766" i="7"/>
  <c r="O8767" i="7"/>
  <c r="O8768" i="7"/>
  <c r="O8769" i="7"/>
  <c r="O8770" i="7"/>
  <c r="O8771" i="7"/>
  <c r="O8772" i="7"/>
  <c r="O8773" i="7"/>
  <c r="O8774" i="7"/>
  <c r="O8775" i="7"/>
  <c r="O8776" i="7"/>
  <c r="O8777" i="7"/>
  <c r="O8778" i="7"/>
  <c r="O8779" i="7"/>
  <c r="O8780" i="7"/>
  <c r="O8781" i="7"/>
  <c r="O8782" i="7"/>
  <c r="O8783" i="7"/>
  <c r="O8784" i="7"/>
  <c r="O8785" i="7"/>
  <c r="O8786" i="7"/>
  <c r="O8787" i="7"/>
  <c r="O8788" i="7"/>
  <c r="O8789" i="7"/>
  <c r="O8790" i="7"/>
  <c r="O8791" i="7"/>
  <c r="O8792" i="7"/>
  <c r="O8793" i="7"/>
  <c r="O8794" i="7"/>
  <c r="O8795" i="7"/>
  <c r="O8796" i="7"/>
  <c r="O8797" i="7"/>
  <c r="O8798" i="7"/>
  <c r="O8799" i="7"/>
  <c r="O8800" i="7"/>
  <c r="O8801" i="7"/>
  <c r="O8802" i="7"/>
  <c r="O8803" i="7"/>
  <c r="O8804" i="7"/>
  <c r="O8805" i="7"/>
  <c r="O8806" i="7"/>
  <c r="O8807" i="7"/>
  <c r="O8808" i="7"/>
  <c r="O8809" i="7"/>
  <c r="O8810" i="7"/>
  <c r="O8811" i="7"/>
  <c r="O8812" i="7"/>
  <c r="O8813" i="7"/>
  <c r="O8814" i="7"/>
  <c r="O8815" i="7"/>
  <c r="O8816" i="7"/>
  <c r="O8817" i="7"/>
  <c r="O8818" i="7"/>
  <c r="O8819" i="7"/>
  <c r="O8820" i="7"/>
  <c r="O8821" i="7"/>
  <c r="O8822" i="7"/>
  <c r="O8823" i="7"/>
  <c r="O8824" i="7"/>
  <c r="O8825" i="7"/>
  <c r="O8826" i="7"/>
  <c r="O8827" i="7"/>
  <c r="O8828" i="7"/>
  <c r="O8829" i="7"/>
  <c r="O8830" i="7"/>
  <c r="O8831" i="7"/>
  <c r="O8832" i="7"/>
  <c r="O8833" i="7"/>
  <c r="O8834" i="7"/>
  <c r="O8835" i="7"/>
  <c r="O8836" i="7"/>
  <c r="O8837" i="7"/>
  <c r="O8838" i="7"/>
  <c r="O8839" i="7"/>
  <c r="O8840" i="7"/>
  <c r="O8841" i="7"/>
  <c r="O8842" i="7"/>
  <c r="O8843" i="7"/>
  <c r="O8844" i="7"/>
  <c r="O8845" i="7"/>
  <c r="L2" i="7"/>
  <c r="L3" i="7"/>
  <c r="L4" i="7"/>
  <c r="L5" i="7"/>
  <c r="L6" i="7"/>
  <c r="L7" i="7"/>
  <c r="L8" i="7"/>
  <c r="L9" i="7"/>
  <c r="L10" i="7"/>
  <c r="L11" i="7"/>
  <c r="L12" i="7"/>
  <c r="L13" i="7"/>
  <c r="L14" i="7"/>
  <c r="L15" i="7"/>
  <c r="L16" i="7"/>
  <c r="L17" i="7"/>
  <c r="L18" i="7"/>
  <c r="L19" i="7"/>
  <c r="L20" i="7"/>
  <c r="L21" i="7"/>
  <c r="L22" i="7"/>
  <c r="L23" i="7"/>
  <c r="L24" i="7"/>
  <c r="L25" i="7"/>
  <c r="L26" i="7"/>
  <c r="L27" i="7"/>
  <c r="L28" i="7"/>
  <c r="L29" i="7"/>
  <c r="L30" i="7"/>
  <c r="L31" i="7"/>
  <c r="L32" i="7"/>
  <c r="L33" i="7"/>
  <c r="L34" i="7"/>
  <c r="L35" i="7"/>
  <c r="L36" i="7"/>
  <c r="L37" i="7"/>
  <c r="L38" i="7"/>
  <c r="L39" i="7"/>
  <c r="L40" i="7"/>
  <c r="L41" i="7"/>
  <c r="L42" i="7"/>
  <c r="L43" i="7"/>
  <c r="L44" i="7"/>
  <c r="L45" i="7"/>
  <c r="L46" i="7"/>
  <c r="L47" i="7"/>
  <c r="L48" i="7"/>
  <c r="L49" i="7"/>
  <c r="L50" i="7"/>
  <c r="L51" i="7"/>
  <c r="L52" i="7"/>
  <c r="L53" i="7"/>
  <c r="L54" i="7"/>
  <c r="L55" i="7"/>
  <c r="L56" i="7"/>
  <c r="L57" i="7"/>
  <c r="L58" i="7"/>
  <c r="L59" i="7"/>
  <c r="L60" i="7"/>
  <c r="L61" i="7"/>
  <c r="L62" i="7"/>
  <c r="L63" i="7"/>
  <c r="L64" i="7"/>
  <c r="L65" i="7"/>
  <c r="L66" i="7"/>
  <c r="L67" i="7"/>
  <c r="L68" i="7"/>
  <c r="L69" i="7"/>
  <c r="L70" i="7"/>
  <c r="L71" i="7"/>
  <c r="L72" i="7"/>
  <c r="L73" i="7"/>
  <c r="L74" i="7"/>
  <c r="L75" i="7"/>
  <c r="L76" i="7"/>
  <c r="L77" i="7"/>
  <c r="L78" i="7"/>
  <c r="L79" i="7"/>
  <c r="L80" i="7"/>
  <c r="L81" i="7"/>
  <c r="L82" i="7"/>
  <c r="L83" i="7"/>
  <c r="L84" i="7"/>
  <c r="L85" i="7"/>
  <c r="L86" i="7"/>
  <c r="L87" i="7"/>
  <c r="L88" i="7"/>
  <c r="L89" i="7"/>
  <c r="L90" i="7"/>
  <c r="L91" i="7"/>
  <c r="L92" i="7"/>
  <c r="L93" i="7"/>
  <c r="L94" i="7"/>
  <c r="L95" i="7"/>
  <c r="L96" i="7"/>
  <c r="L97" i="7"/>
  <c r="L98" i="7"/>
  <c r="L99" i="7"/>
  <c r="L100" i="7"/>
  <c r="L101" i="7"/>
  <c r="L102" i="7"/>
  <c r="L103" i="7"/>
  <c r="L104" i="7"/>
  <c r="L105" i="7"/>
  <c r="L106" i="7"/>
  <c r="L107" i="7"/>
  <c r="L108" i="7"/>
  <c r="L109" i="7"/>
  <c r="L110" i="7"/>
  <c r="L111" i="7"/>
  <c r="L112" i="7"/>
  <c r="L113" i="7"/>
  <c r="L114" i="7"/>
  <c r="L115" i="7"/>
  <c r="L116" i="7"/>
  <c r="L117" i="7"/>
  <c r="L118" i="7"/>
  <c r="L119" i="7"/>
  <c r="L120" i="7"/>
  <c r="L121" i="7"/>
  <c r="L122" i="7"/>
  <c r="L123" i="7"/>
  <c r="L124" i="7"/>
  <c r="L125" i="7"/>
  <c r="L126" i="7"/>
  <c r="L127" i="7"/>
  <c r="L128" i="7"/>
  <c r="L129" i="7"/>
  <c r="L130" i="7"/>
  <c r="L131" i="7"/>
  <c r="L132" i="7"/>
  <c r="L133" i="7"/>
  <c r="L134" i="7"/>
  <c r="L135" i="7"/>
  <c r="L136" i="7"/>
  <c r="L137" i="7"/>
  <c r="L138" i="7"/>
  <c r="L139" i="7"/>
  <c r="L140" i="7"/>
  <c r="L141" i="7"/>
  <c r="L142" i="7"/>
  <c r="L143" i="7"/>
  <c r="L144" i="7"/>
  <c r="L145" i="7"/>
  <c r="L146" i="7"/>
  <c r="L147" i="7"/>
  <c r="L148" i="7"/>
  <c r="L149" i="7"/>
  <c r="L150" i="7"/>
  <c r="L151" i="7"/>
  <c r="L152" i="7"/>
  <c r="L153" i="7"/>
  <c r="L154" i="7"/>
  <c r="L155" i="7"/>
  <c r="L156" i="7"/>
  <c r="L157" i="7"/>
  <c r="L158" i="7"/>
  <c r="L159" i="7"/>
  <c r="L160" i="7"/>
  <c r="L161" i="7"/>
  <c r="L162" i="7"/>
  <c r="L163" i="7"/>
  <c r="L164" i="7"/>
  <c r="L165" i="7"/>
  <c r="L166" i="7"/>
  <c r="L167" i="7"/>
  <c r="L168" i="7"/>
  <c r="L169" i="7"/>
  <c r="L170" i="7"/>
  <c r="L171" i="7"/>
  <c r="L172" i="7"/>
  <c r="L173" i="7"/>
  <c r="L174" i="7"/>
  <c r="L175" i="7"/>
  <c r="L176" i="7"/>
  <c r="L177" i="7"/>
  <c r="L178" i="7"/>
  <c r="L179" i="7"/>
  <c r="L180" i="7"/>
  <c r="L181" i="7"/>
  <c r="L182" i="7"/>
  <c r="L183" i="7"/>
  <c r="L184" i="7"/>
  <c r="L185" i="7"/>
  <c r="L186" i="7"/>
  <c r="L187" i="7"/>
  <c r="L188" i="7"/>
  <c r="L189" i="7"/>
  <c r="L190" i="7"/>
  <c r="L191" i="7"/>
  <c r="L192" i="7"/>
  <c r="L193" i="7"/>
  <c r="L194" i="7"/>
  <c r="L195" i="7"/>
  <c r="L196" i="7"/>
  <c r="L197" i="7"/>
  <c r="L198" i="7"/>
  <c r="L199" i="7"/>
  <c r="L200" i="7"/>
  <c r="L201" i="7"/>
  <c r="L202" i="7"/>
  <c r="L203" i="7"/>
  <c r="L204" i="7"/>
  <c r="L205" i="7"/>
  <c r="L206" i="7"/>
  <c r="L207" i="7"/>
  <c r="L208" i="7"/>
  <c r="L209" i="7"/>
  <c r="L210" i="7"/>
  <c r="L211" i="7"/>
  <c r="L212" i="7"/>
  <c r="L213" i="7"/>
  <c r="L214" i="7"/>
  <c r="L215" i="7"/>
  <c r="L216" i="7"/>
  <c r="L217" i="7"/>
  <c r="L218" i="7"/>
  <c r="L219" i="7"/>
  <c r="L220" i="7"/>
  <c r="L221" i="7"/>
  <c r="L222" i="7"/>
  <c r="L223" i="7"/>
  <c r="L224" i="7"/>
  <c r="L225" i="7"/>
  <c r="L226" i="7"/>
  <c r="L227" i="7"/>
  <c r="L228" i="7"/>
  <c r="L229" i="7"/>
  <c r="L230" i="7"/>
  <c r="L231" i="7"/>
  <c r="L232" i="7"/>
  <c r="L233" i="7"/>
  <c r="L234" i="7"/>
  <c r="L235" i="7"/>
  <c r="L236" i="7"/>
  <c r="L237" i="7"/>
  <c r="L238" i="7"/>
  <c r="L239" i="7"/>
  <c r="L240" i="7"/>
  <c r="L241" i="7"/>
  <c r="L242" i="7"/>
  <c r="L243" i="7"/>
  <c r="L244" i="7"/>
  <c r="L245" i="7"/>
  <c r="L246" i="7"/>
  <c r="L247" i="7"/>
  <c r="L248" i="7"/>
  <c r="L249" i="7"/>
  <c r="M249" i="7" s="1"/>
  <c r="L250" i="7"/>
  <c r="M250" i="7" s="1"/>
  <c r="L251" i="7"/>
  <c r="M251" i="7" s="1"/>
  <c r="L252" i="7"/>
  <c r="M252" i="7" s="1"/>
  <c r="L253" i="7"/>
  <c r="M253" i="7" s="1"/>
  <c r="L254" i="7"/>
  <c r="M254" i="7" s="1"/>
  <c r="L255" i="7"/>
  <c r="M255" i="7" s="1"/>
  <c r="L256" i="7"/>
  <c r="M256" i="7" s="1"/>
  <c r="L257" i="7"/>
  <c r="M257" i="7" s="1"/>
  <c r="L258" i="7"/>
  <c r="M258" i="7" s="1"/>
  <c r="L259" i="7"/>
  <c r="M259" i="7" s="1"/>
  <c r="L260" i="7"/>
  <c r="M260" i="7" s="1"/>
  <c r="L261" i="7"/>
  <c r="M261" i="7" s="1"/>
  <c r="L262" i="7"/>
  <c r="M262" i="7" s="1"/>
  <c r="L263" i="7"/>
  <c r="M263" i="7" s="1"/>
  <c r="L264" i="7"/>
  <c r="M264" i="7" s="1"/>
  <c r="L265" i="7"/>
  <c r="M265" i="7" s="1"/>
  <c r="L266" i="7"/>
  <c r="M266" i="7" s="1"/>
  <c r="L267" i="7"/>
  <c r="M267" i="7" s="1"/>
  <c r="L268" i="7"/>
  <c r="M268" i="7" s="1"/>
  <c r="L269" i="7"/>
  <c r="M269" i="7" s="1"/>
  <c r="L270" i="7"/>
  <c r="M270" i="7" s="1"/>
  <c r="L271" i="7"/>
  <c r="M271" i="7" s="1"/>
  <c r="L272" i="7"/>
  <c r="M272" i="7" s="1"/>
  <c r="L273" i="7"/>
  <c r="M273" i="7" s="1"/>
  <c r="L274" i="7"/>
  <c r="M274" i="7" s="1"/>
  <c r="L275" i="7"/>
  <c r="M275" i="7" s="1"/>
  <c r="L276" i="7"/>
  <c r="M276" i="7" s="1"/>
  <c r="L277" i="7"/>
  <c r="M277" i="7" s="1"/>
  <c r="L278" i="7"/>
  <c r="M278" i="7" s="1"/>
  <c r="L279" i="7"/>
  <c r="M279" i="7" s="1"/>
  <c r="L280" i="7"/>
  <c r="M280" i="7" s="1"/>
  <c r="L281" i="7"/>
  <c r="M281" i="7" s="1"/>
  <c r="L282" i="7"/>
  <c r="M282" i="7" s="1"/>
  <c r="L283" i="7"/>
  <c r="M283" i="7" s="1"/>
  <c r="L284" i="7"/>
  <c r="M284" i="7" s="1"/>
  <c r="L285" i="7"/>
  <c r="M285" i="7" s="1"/>
  <c r="L286" i="7"/>
  <c r="M286" i="7" s="1"/>
  <c r="L287" i="7"/>
  <c r="M287" i="7" s="1"/>
  <c r="L288" i="7"/>
  <c r="M288" i="7" s="1"/>
  <c r="L289" i="7"/>
  <c r="M289" i="7" s="1"/>
  <c r="L290" i="7"/>
  <c r="M290" i="7" s="1"/>
  <c r="L291" i="7"/>
  <c r="M291" i="7" s="1"/>
  <c r="L292" i="7"/>
  <c r="M292" i="7" s="1"/>
  <c r="L293" i="7"/>
  <c r="M293" i="7" s="1"/>
  <c r="L294" i="7"/>
  <c r="M294" i="7" s="1"/>
  <c r="L295" i="7"/>
  <c r="M295" i="7" s="1"/>
  <c r="L296" i="7"/>
  <c r="M296" i="7" s="1"/>
  <c r="L297" i="7"/>
  <c r="M297" i="7" s="1"/>
  <c r="L298" i="7"/>
  <c r="M298" i="7" s="1"/>
  <c r="L299" i="7"/>
  <c r="M299" i="7" s="1"/>
  <c r="L300" i="7"/>
  <c r="M300" i="7" s="1"/>
  <c r="L301" i="7"/>
  <c r="M301" i="7" s="1"/>
  <c r="L302" i="7"/>
  <c r="M302" i="7" s="1"/>
  <c r="L303" i="7"/>
  <c r="M303" i="7" s="1"/>
  <c r="L304" i="7"/>
  <c r="M304" i="7" s="1"/>
  <c r="L305" i="7"/>
  <c r="M305" i="7" s="1"/>
  <c r="L306" i="7"/>
  <c r="M306" i="7" s="1"/>
  <c r="L307" i="7"/>
  <c r="M307" i="7" s="1"/>
  <c r="L308" i="7"/>
  <c r="M308" i="7" s="1"/>
  <c r="L309" i="7"/>
  <c r="M309" i="7" s="1"/>
  <c r="L310" i="7"/>
  <c r="M310" i="7" s="1"/>
  <c r="L311" i="7"/>
  <c r="M311" i="7" s="1"/>
  <c r="L312" i="7"/>
  <c r="M312" i="7" s="1"/>
  <c r="L313" i="7"/>
  <c r="M313" i="7" s="1"/>
  <c r="L314" i="7"/>
  <c r="M314" i="7" s="1"/>
  <c r="L315" i="7"/>
  <c r="M315" i="7" s="1"/>
  <c r="L316" i="7"/>
  <c r="M316" i="7" s="1"/>
  <c r="L317" i="7"/>
  <c r="M317" i="7" s="1"/>
  <c r="L318" i="7"/>
  <c r="M318" i="7" s="1"/>
  <c r="L319" i="7"/>
  <c r="M319" i="7" s="1"/>
  <c r="L320" i="7"/>
  <c r="M320" i="7" s="1"/>
  <c r="L321" i="7"/>
  <c r="M321" i="7" s="1"/>
  <c r="L322" i="7"/>
  <c r="M322" i="7" s="1"/>
  <c r="L323" i="7"/>
  <c r="M323" i="7" s="1"/>
  <c r="L324" i="7"/>
  <c r="M324" i="7" s="1"/>
  <c r="L325" i="7"/>
  <c r="M325" i="7" s="1"/>
  <c r="L326" i="7"/>
  <c r="M326" i="7" s="1"/>
  <c r="L327" i="7"/>
  <c r="M327" i="7" s="1"/>
  <c r="L328" i="7"/>
  <c r="M328" i="7" s="1"/>
  <c r="L329" i="7"/>
  <c r="M329" i="7" s="1"/>
  <c r="L330" i="7"/>
  <c r="M330" i="7" s="1"/>
  <c r="L331" i="7"/>
  <c r="M331" i="7" s="1"/>
  <c r="L332" i="7"/>
  <c r="M332" i="7" s="1"/>
  <c r="L333" i="7"/>
  <c r="M333" i="7" s="1"/>
  <c r="L334" i="7"/>
  <c r="M334" i="7" s="1"/>
  <c r="L335" i="7"/>
  <c r="M335" i="7" s="1"/>
  <c r="L336" i="7"/>
  <c r="M336" i="7" s="1"/>
  <c r="L337" i="7"/>
  <c r="M337" i="7" s="1"/>
  <c r="L338" i="7"/>
  <c r="M338" i="7" s="1"/>
  <c r="L339" i="7"/>
  <c r="M339" i="7" s="1"/>
  <c r="L340" i="7"/>
  <c r="M340" i="7" s="1"/>
  <c r="L341" i="7"/>
  <c r="M341" i="7" s="1"/>
  <c r="L342" i="7"/>
  <c r="M342" i="7" s="1"/>
  <c r="L343" i="7"/>
  <c r="M343" i="7" s="1"/>
  <c r="L344" i="7"/>
  <c r="M344" i="7" s="1"/>
  <c r="L345" i="7"/>
  <c r="M345" i="7" s="1"/>
  <c r="L346" i="7"/>
  <c r="M346" i="7" s="1"/>
  <c r="L347" i="7"/>
  <c r="M347" i="7" s="1"/>
  <c r="L348" i="7"/>
  <c r="M348" i="7" s="1"/>
  <c r="L349" i="7"/>
  <c r="M349" i="7" s="1"/>
  <c r="L350" i="7"/>
  <c r="M350" i="7" s="1"/>
  <c r="L351" i="7"/>
  <c r="M351" i="7" s="1"/>
  <c r="L352" i="7"/>
  <c r="M352" i="7" s="1"/>
  <c r="L353" i="7"/>
  <c r="M353" i="7" s="1"/>
  <c r="L354" i="7"/>
  <c r="M354" i="7" s="1"/>
  <c r="L355" i="7"/>
  <c r="M355" i="7" s="1"/>
  <c r="L356" i="7"/>
  <c r="M356" i="7" s="1"/>
  <c r="L357" i="7"/>
  <c r="M357" i="7" s="1"/>
  <c r="L358" i="7"/>
  <c r="M358" i="7" s="1"/>
  <c r="L359" i="7"/>
  <c r="M359" i="7" s="1"/>
  <c r="L360" i="7"/>
  <c r="M360" i="7" s="1"/>
  <c r="L361" i="7"/>
  <c r="M361" i="7" s="1"/>
  <c r="L362" i="7"/>
  <c r="M362" i="7" s="1"/>
  <c r="L363" i="7"/>
  <c r="M363" i="7" s="1"/>
  <c r="L364" i="7"/>
  <c r="M364" i="7" s="1"/>
  <c r="L365" i="7"/>
  <c r="M365" i="7" s="1"/>
  <c r="L366" i="7"/>
  <c r="M366" i="7" s="1"/>
  <c r="L367" i="7"/>
  <c r="M367" i="7" s="1"/>
  <c r="L368" i="7"/>
  <c r="M368" i="7" s="1"/>
  <c r="L369" i="7"/>
  <c r="M369" i="7" s="1"/>
  <c r="L370" i="7"/>
  <c r="M370" i="7" s="1"/>
  <c r="L371" i="7"/>
  <c r="M371" i="7" s="1"/>
  <c r="L372" i="7"/>
  <c r="M372" i="7" s="1"/>
  <c r="L373" i="7"/>
  <c r="M373" i="7" s="1"/>
  <c r="L374" i="7"/>
  <c r="M374" i="7" s="1"/>
  <c r="L375" i="7"/>
  <c r="M375" i="7" s="1"/>
  <c r="L376" i="7"/>
  <c r="M376" i="7" s="1"/>
  <c r="L377" i="7"/>
  <c r="M377" i="7" s="1"/>
  <c r="L378" i="7"/>
  <c r="M378" i="7" s="1"/>
  <c r="L379" i="7"/>
  <c r="M379" i="7" s="1"/>
  <c r="L380" i="7"/>
  <c r="M380" i="7" s="1"/>
  <c r="L381" i="7"/>
  <c r="M381" i="7" s="1"/>
  <c r="L382" i="7"/>
  <c r="M382" i="7" s="1"/>
  <c r="L383" i="7"/>
  <c r="M383" i="7" s="1"/>
  <c r="L384" i="7"/>
  <c r="M384" i="7" s="1"/>
  <c r="L385" i="7"/>
  <c r="M385" i="7" s="1"/>
  <c r="L386" i="7"/>
  <c r="M386" i="7" s="1"/>
  <c r="L387" i="7"/>
  <c r="M387" i="7" s="1"/>
  <c r="L388" i="7"/>
  <c r="M388" i="7" s="1"/>
  <c r="L389" i="7"/>
  <c r="M389" i="7" s="1"/>
  <c r="L390" i="7"/>
  <c r="M390" i="7" s="1"/>
  <c r="L391" i="7"/>
  <c r="M391" i="7" s="1"/>
  <c r="L392" i="7"/>
  <c r="M392" i="7" s="1"/>
  <c r="L393" i="7"/>
  <c r="M393" i="7" s="1"/>
  <c r="L394" i="7"/>
  <c r="M394" i="7" s="1"/>
  <c r="L395" i="7"/>
  <c r="M395" i="7" s="1"/>
  <c r="L396" i="7"/>
  <c r="M396" i="7" s="1"/>
  <c r="L397" i="7"/>
  <c r="M397" i="7" s="1"/>
  <c r="L398" i="7"/>
  <c r="M398" i="7" s="1"/>
  <c r="L399" i="7"/>
  <c r="M399" i="7" s="1"/>
  <c r="L400" i="7"/>
  <c r="M400" i="7" s="1"/>
  <c r="L401" i="7"/>
  <c r="M401" i="7" s="1"/>
  <c r="L402" i="7"/>
  <c r="M402" i="7" s="1"/>
  <c r="L403" i="7"/>
  <c r="M403" i="7" s="1"/>
  <c r="L404" i="7"/>
  <c r="M404" i="7" s="1"/>
  <c r="L405" i="7"/>
  <c r="M405" i="7" s="1"/>
  <c r="L406" i="7"/>
  <c r="M406" i="7" s="1"/>
  <c r="L407" i="7"/>
  <c r="M407" i="7" s="1"/>
  <c r="L408" i="7"/>
  <c r="M408" i="7" s="1"/>
  <c r="L409" i="7"/>
  <c r="M409" i="7" s="1"/>
  <c r="L410" i="7"/>
  <c r="M410" i="7" s="1"/>
  <c r="L411" i="7"/>
  <c r="M411" i="7" s="1"/>
  <c r="L412" i="7"/>
  <c r="M412" i="7" s="1"/>
  <c r="L413" i="7"/>
  <c r="M413" i="7" s="1"/>
  <c r="L414" i="7"/>
  <c r="M414" i="7" s="1"/>
  <c r="L415" i="7"/>
  <c r="M415" i="7" s="1"/>
  <c r="L416" i="7"/>
  <c r="M416" i="7" s="1"/>
  <c r="L417" i="7"/>
  <c r="M417" i="7" s="1"/>
  <c r="L418" i="7"/>
  <c r="M418" i="7" s="1"/>
  <c r="L419" i="7"/>
  <c r="M419" i="7" s="1"/>
  <c r="L420" i="7"/>
  <c r="M420" i="7" s="1"/>
  <c r="L421" i="7"/>
  <c r="M421" i="7" s="1"/>
  <c r="L422" i="7"/>
  <c r="M422" i="7" s="1"/>
  <c r="L423" i="7"/>
  <c r="M423" i="7" s="1"/>
  <c r="L424" i="7"/>
  <c r="M424" i="7" s="1"/>
  <c r="L425" i="7"/>
  <c r="M425" i="7" s="1"/>
  <c r="L426" i="7"/>
  <c r="M426" i="7" s="1"/>
  <c r="L427" i="7"/>
  <c r="M427" i="7" s="1"/>
  <c r="L428" i="7"/>
  <c r="M428" i="7" s="1"/>
  <c r="L429" i="7"/>
  <c r="M429" i="7" s="1"/>
  <c r="L430" i="7"/>
  <c r="M430" i="7" s="1"/>
  <c r="L431" i="7"/>
  <c r="M431" i="7" s="1"/>
  <c r="L432" i="7"/>
  <c r="M432" i="7" s="1"/>
  <c r="L433" i="7"/>
  <c r="M433" i="7" s="1"/>
  <c r="L434" i="7"/>
  <c r="M434" i="7" s="1"/>
  <c r="L435" i="7"/>
  <c r="M435" i="7" s="1"/>
  <c r="L436" i="7"/>
  <c r="M436" i="7" s="1"/>
  <c r="L437" i="7"/>
  <c r="M437" i="7" s="1"/>
  <c r="L438" i="7"/>
  <c r="M438" i="7" s="1"/>
  <c r="L439" i="7"/>
  <c r="M439" i="7" s="1"/>
  <c r="L440" i="7"/>
  <c r="M440" i="7" s="1"/>
  <c r="L441" i="7"/>
  <c r="M441" i="7" s="1"/>
  <c r="L442" i="7"/>
  <c r="M442" i="7" s="1"/>
  <c r="L443" i="7"/>
  <c r="M443" i="7" s="1"/>
  <c r="L444" i="7"/>
  <c r="M444" i="7" s="1"/>
  <c r="L445" i="7"/>
  <c r="M445" i="7" s="1"/>
  <c r="L446" i="7"/>
  <c r="M446" i="7" s="1"/>
  <c r="L447" i="7"/>
  <c r="M447" i="7" s="1"/>
  <c r="L448" i="7"/>
  <c r="M448" i="7" s="1"/>
  <c r="L449" i="7"/>
  <c r="M449" i="7" s="1"/>
  <c r="L450" i="7"/>
  <c r="M450" i="7" s="1"/>
  <c r="L451" i="7"/>
  <c r="M451" i="7" s="1"/>
  <c r="L452" i="7"/>
  <c r="M452" i="7" s="1"/>
  <c r="L453" i="7"/>
  <c r="M453" i="7" s="1"/>
  <c r="L454" i="7"/>
  <c r="M454" i="7" s="1"/>
  <c r="L455" i="7"/>
  <c r="M455" i="7" s="1"/>
  <c r="L456" i="7"/>
  <c r="M456" i="7" s="1"/>
  <c r="L457" i="7"/>
  <c r="M457" i="7" s="1"/>
  <c r="L458" i="7"/>
  <c r="M458" i="7" s="1"/>
  <c r="L459" i="7"/>
  <c r="M459" i="7" s="1"/>
  <c r="L460" i="7"/>
  <c r="M460" i="7" s="1"/>
  <c r="L461" i="7"/>
  <c r="M461" i="7" s="1"/>
  <c r="L462" i="7"/>
  <c r="M462" i="7" s="1"/>
  <c r="L463" i="7"/>
  <c r="M463" i="7" s="1"/>
  <c r="L464" i="7"/>
  <c r="M464" i="7" s="1"/>
  <c r="L465" i="7"/>
  <c r="M465" i="7" s="1"/>
  <c r="L466" i="7"/>
  <c r="M466" i="7" s="1"/>
  <c r="L467" i="7"/>
  <c r="M467" i="7" s="1"/>
  <c r="L468" i="7"/>
  <c r="M468" i="7" s="1"/>
  <c r="L469" i="7"/>
  <c r="M469" i="7" s="1"/>
  <c r="L470" i="7"/>
  <c r="M470" i="7" s="1"/>
  <c r="L471" i="7"/>
  <c r="M471" i="7" s="1"/>
  <c r="L472" i="7"/>
  <c r="M472" i="7" s="1"/>
  <c r="L473" i="7"/>
  <c r="M473" i="7" s="1"/>
  <c r="L474" i="7"/>
  <c r="M474" i="7" s="1"/>
  <c r="L475" i="7"/>
  <c r="M475" i="7" s="1"/>
  <c r="L476" i="7"/>
  <c r="M476" i="7" s="1"/>
  <c r="L477" i="7"/>
  <c r="M477" i="7" s="1"/>
  <c r="L478" i="7"/>
  <c r="M478" i="7" s="1"/>
  <c r="L479" i="7"/>
  <c r="M479" i="7" s="1"/>
  <c r="L480" i="7"/>
  <c r="M480" i="7" s="1"/>
  <c r="L481" i="7"/>
  <c r="M481" i="7" s="1"/>
  <c r="L482" i="7"/>
  <c r="M482" i="7" s="1"/>
  <c r="L483" i="7"/>
  <c r="M483" i="7" s="1"/>
  <c r="L484" i="7"/>
  <c r="M484" i="7" s="1"/>
  <c r="L485" i="7"/>
  <c r="M485" i="7" s="1"/>
  <c r="L486" i="7"/>
  <c r="M486" i="7" s="1"/>
  <c r="L487" i="7"/>
  <c r="M487" i="7" s="1"/>
  <c r="L488" i="7"/>
  <c r="M488" i="7" s="1"/>
  <c r="L489" i="7"/>
  <c r="M489" i="7" s="1"/>
  <c r="L490" i="7"/>
  <c r="M490" i="7" s="1"/>
  <c r="L491" i="7"/>
  <c r="M491" i="7" s="1"/>
  <c r="L492" i="7"/>
  <c r="M492" i="7" s="1"/>
  <c r="L493" i="7"/>
  <c r="M493" i="7" s="1"/>
  <c r="L494" i="7"/>
  <c r="M494" i="7" s="1"/>
  <c r="L495" i="7"/>
  <c r="M495" i="7" s="1"/>
  <c r="L496" i="7"/>
  <c r="M496" i="7" s="1"/>
  <c r="L497" i="7"/>
  <c r="M497" i="7" s="1"/>
  <c r="L498" i="7"/>
  <c r="M498" i="7" s="1"/>
  <c r="L499" i="7"/>
  <c r="M499" i="7" s="1"/>
  <c r="L500" i="7"/>
  <c r="M500" i="7" s="1"/>
  <c r="L501" i="7"/>
  <c r="L502" i="7"/>
  <c r="L503" i="7"/>
  <c r="L504" i="7"/>
  <c r="L505" i="7"/>
  <c r="L506" i="7"/>
  <c r="L507" i="7"/>
  <c r="L508" i="7"/>
  <c r="L509" i="7"/>
  <c r="L510" i="7"/>
  <c r="L511" i="7"/>
  <c r="L512" i="7"/>
  <c r="L513" i="7"/>
  <c r="L514" i="7"/>
  <c r="L515" i="7"/>
  <c r="L516" i="7"/>
  <c r="L517" i="7"/>
  <c r="L518" i="7"/>
  <c r="L519" i="7"/>
  <c r="L520" i="7"/>
  <c r="L521" i="7"/>
  <c r="L522" i="7"/>
  <c r="L523" i="7"/>
  <c r="L524" i="7"/>
  <c r="L525" i="7"/>
  <c r="L526" i="7"/>
  <c r="L527" i="7"/>
  <c r="L528" i="7"/>
  <c r="L529" i="7"/>
  <c r="L530" i="7"/>
  <c r="L531" i="7"/>
  <c r="L532" i="7"/>
  <c r="L533" i="7"/>
  <c r="L534" i="7"/>
  <c r="L535" i="7"/>
  <c r="L536" i="7"/>
  <c r="L537" i="7"/>
  <c r="L538" i="7"/>
  <c r="L539" i="7"/>
  <c r="L540" i="7"/>
  <c r="L541" i="7"/>
  <c r="L542" i="7"/>
  <c r="L543" i="7"/>
  <c r="L544" i="7"/>
  <c r="L545" i="7"/>
  <c r="L546" i="7"/>
  <c r="L547" i="7"/>
  <c r="L548" i="7"/>
  <c r="L549" i="7"/>
  <c r="L550" i="7"/>
  <c r="L551" i="7"/>
  <c r="L552" i="7"/>
  <c r="L553" i="7"/>
  <c r="L554" i="7"/>
  <c r="L555" i="7"/>
  <c r="L556" i="7"/>
  <c r="L557" i="7"/>
  <c r="L558" i="7"/>
  <c r="L559" i="7"/>
  <c r="L560" i="7"/>
  <c r="L561" i="7"/>
  <c r="L562" i="7"/>
  <c r="L563" i="7"/>
  <c r="L564" i="7"/>
  <c r="L565" i="7"/>
  <c r="L566" i="7"/>
  <c r="L567" i="7"/>
  <c r="L568" i="7"/>
  <c r="L569" i="7"/>
  <c r="L570" i="7"/>
  <c r="L571" i="7"/>
  <c r="L572" i="7"/>
  <c r="L573" i="7"/>
  <c r="L574" i="7"/>
  <c r="L575" i="7"/>
  <c r="L576" i="7"/>
  <c r="L577" i="7"/>
  <c r="L578" i="7"/>
  <c r="L579" i="7"/>
  <c r="L580" i="7"/>
  <c r="L581" i="7"/>
  <c r="L582" i="7"/>
  <c r="L583" i="7"/>
  <c r="L584" i="7"/>
  <c r="L585" i="7"/>
  <c r="L586" i="7"/>
  <c r="L587" i="7"/>
  <c r="L588" i="7"/>
  <c r="L589" i="7"/>
  <c r="L590" i="7"/>
  <c r="L591" i="7"/>
  <c r="L592" i="7"/>
  <c r="L593" i="7"/>
  <c r="L594" i="7"/>
  <c r="L595" i="7"/>
  <c r="L596" i="7"/>
  <c r="L597" i="7"/>
  <c r="L598" i="7"/>
  <c r="L599" i="7"/>
  <c r="L600" i="7"/>
  <c r="L601" i="7"/>
  <c r="L602" i="7"/>
  <c r="L603" i="7"/>
  <c r="L604" i="7"/>
  <c r="L605" i="7"/>
  <c r="L606" i="7"/>
  <c r="L607" i="7"/>
  <c r="L608" i="7"/>
  <c r="L609" i="7"/>
  <c r="L610" i="7"/>
  <c r="L611" i="7"/>
  <c r="L612" i="7"/>
  <c r="L613" i="7"/>
  <c r="L614" i="7"/>
  <c r="L615" i="7"/>
  <c r="L616" i="7"/>
  <c r="L617" i="7"/>
  <c r="L618" i="7"/>
  <c r="L619" i="7"/>
  <c r="L620" i="7"/>
  <c r="L621" i="7"/>
  <c r="L622" i="7"/>
  <c r="L623" i="7"/>
  <c r="L624" i="7"/>
  <c r="L625" i="7"/>
  <c r="L626" i="7"/>
  <c r="L627" i="7"/>
  <c r="L628" i="7"/>
  <c r="L629" i="7"/>
  <c r="L630" i="7"/>
  <c r="L631" i="7"/>
  <c r="L632" i="7"/>
  <c r="L633" i="7"/>
  <c r="L634" i="7"/>
  <c r="L635" i="7"/>
  <c r="L636" i="7"/>
  <c r="L637" i="7"/>
  <c r="L638" i="7"/>
  <c r="L639" i="7"/>
  <c r="L640" i="7"/>
  <c r="L641" i="7"/>
  <c r="L642" i="7"/>
  <c r="L643" i="7"/>
  <c r="L644" i="7"/>
  <c r="L645" i="7"/>
  <c r="L646" i="7"/>
  <c r="L647" i="7"/>
  <c r="L648" i="7"/>
  <c r="L649" i="7"/>
  <c r="L650" i="7"/>
  <c r="L651" i="7"/>
  <c r="L652" i="7"/>
  <c r="L653" i="7"/>
  <c r="L654" i="7"/>
  <c r="L655" i="7"/>
  <c r="L656" i="7"/>
  <c r="L657" i="7"/>
  <c r="L658" i="7"/>
  <c r="L659" i="7"/>
  <c r="L660" i="7"/>
  <c r="L661" i="7"/>
  <c r="L662" i="7"/>
  <c r="L663" i="7"/>
  <c r="L664" i="7"/>
  <c r="L665" i="7"/>
  <c r="L666" i="7"/>
  <c r="L667" i="7"/>
  <c r="L668" i="7"/>
  <c r="L669" i="7"/>
  <c r="L670" i="7"/>
  <c r="L671" i="7"/>
  <c r="L672" i="7"/>
  <c r="L673" i="7"/>
  <c r="L674" i="7"/>
  <c r="L675" i="7"/>
  <c r="L676" i="7"/>
  <c r="L677" i="7"/>
  <c r="L678" i="7"/>
  <c r="L679" i="7"/>
  <c r="L680" i="7"/>
  <c r="L681" i="7"/>
  <c r="L682" i="7"/>
  <c r="L683" i="7"/>
  <c r="L684" i="7"/>
  <c r="L685" i="7"/>
  <c r="L686" i="7"/>
  <c r="L687" i="7"/>
  <c r="L688" i="7"/>
  <c r="L689" i="7"/>
  <c r="L690" i="7"/>
  <c r="L691" i="7"/>
  <c r="L692" i="7"/>
  <c r="L693" i="7"/>
  <c r="L694" i="7"/>
  <c r="L695" i="7"/>
  <c r="L696" i="7"/>
  <c r="L697" i="7"/>
  <c r="L698" i="7"/>
  <c r="L699" i="7"/>
  <c r="L700" i="7"/>
  <c r="L701" i="7"/>
  <c r="L702" i="7"/>
  <c r="L703" i="7"/>
  <c r="L704" i="7"/>
  <c r="L705" i="7"/>
  <c r="L706" i="7"/>
  <c r="L707" i="7"/>
  <c r="L708" i="7"/>
  <c r="L709" i="7"/>
  <c r="L710" i="7"/>
  <c r="L711" i="7"/>
  <c r="L712" i="7"/>
  <c r="L713" i="7"/>
  <c r="L714" i="7"/>
  <c r="L715" i="7"/>
  <c r="L716" i="7"/>
  <c r="L717" i="7"/>
  <c r="L718" i="7"/>
  <c r="L719" i="7"/>
  <c r="L720" i="7"/>
  <c r="L721" i="7"/>
  <c r="L722" i="7"/>
  <c r="L723" i="7"/>
  <c r="L724" i="7"/>
  <c r="L725" i="7"/>
  <c r="L726" i="7"/>
  <c r="L727" i="7"/>
  <c r="L728" i="7"/>
  <c r="L729" i="7"/>
  <c r="L730" i="7"/>
  <c r="L731" i="7"/>
  <c r="L732" i="7"/>
  <c r="L733" i="7"/>
  <c r="L734" i="7"/>
  <c r="L735" i="7"/>
  <c r="L736" i="7"/>
  <c r="L737" i="7"/>
  <c r="L738" i="7"/>
  <c r="L739" i="7"/>
  <c r="L740" i="7"/>
  <c r="L741" i="7"/>
  <c r="L742" i="7"/>
  <c r="L743" i="7"/>
  <c r="L744" i="7"/>
  <c r="L745" i="7"/>
  <c r="L746" i="7"/>
  <c r="L747" i="7"/>
  <c r="L748" i="7"/>
  <c r="L749" i="7"/>
  <c r="L750" i="7"/>
  <c r="L751" i="7"/>
  <c r="L752" i="7"/>
  <c r="L753" i="7"/>
  <c r="L754" i="7"/>
  <c r="L755" i="7"/>
  <c r="L756" i="7"/>
  <c r="L757" i="7"/>
  <c r="L758" i="7"/>
  <c r="L759" i="7"/>
  <c r="L760" i="7"/>
  <c r="L761" i="7"/>
  <c r="L762" i="7"/>
  <c r="L763" i="7"/>
  <c r="L764" i="7"/>
  <c r="L765" i="7"/>
  <c r="L766" i="7"/>
  <c r="L767" i="7"/>
  <c r="L768" i="7"/>
  <c r="L769" i="7"/>
  <c r="L770" i="7"/>
  <c r="L771" i="7"/>
  <c r="L772" i="7"/>
  <c r="L773" i="7"/>
  <c r="L774" i="7"/>
  <c r="L775" i="7"/>
  <c r="L776" i="7"/>
  <c r="L777" i="7"/>
  <c r="L778" i="7"/>
  <c r="L779" i="7"/>
  <c r="L780" i="7"/>
  <c r="L781" i="7"/>
  <c r="L782" i="7"/>
  <c r="L783" i="7"/>
  <c r="L784" i="7"/>
  <c r="L785" i="7"/>
  <c r="L786" i="7"/>
  <c r="L787" i="7"/>
  <c r="L788" i="7"/>
  <c r="L789" i="7"/>
  <c r="L790" i="7"/>
  <c r="L791" i="7"/>
  <c r="L792" i="7"/>
  <c r="L793" i="7"/>
  <c r="L794" i="7"/>
  <c r="L795" i="7"/>
  <c r="L796" i="7"/>
  <c r="L797" i="7"/>
  <c r="L798" i="7"/>
  <c r="L799" i="7"/>
  <c r="L800" i="7"/>
  <c r="L801" i="7"/>
  <c r="L802" i="7"/>
  <c r="L803" i="7"/>
  <c r="L804" i="7"/>
  <c r="L805" i="7"/>
  <c r="L806" i="7"/>
  <c r="L807" i="7"/>
  <c r="L808" i="7"/>
  <c r="L809" i="7"/>
  <c r="L810" i="7"/>
  <c r="L811" i="7"/>
  <c r="L812" i="7"/>
  <c r="L813" i="7"/>
  <c r="L814" i="7"/>
  <c r="L815" i="7"/>
  <c r="L816" i="7"/>
  <c r="L817" i="7"/>
  <c r="L818" i="7"/>
  <c r="L819" i="7"/>
  <c r="L820" i="7"/>
  <c r="L821" i="7"/>
  <c r="L822" i="7"/>
  <c r="L823" i="7"/>
  <c r="L824" i="7"/>
  <c r="L825" i="7"/>
  <c r="L826" i="7"/>
  <c r="L827" i="7"/>
  <c r="L828" i="7"/>
  <c r="L829" i="7"/>
  <c r="L830" i="7"/>
  <c r="L831" i="7"/>
  <c r="L832" i="7"/>
  <c r="L833" i="7"/>
  <c r="L834" i="7"/>
  <c r="L835" i="7"/>
  <c r="L836" i="7"/>
  <c r="L837" i="7"/>
  <c r="L838" i="7"/>
  <c r="L839" i="7"/>
  <c r="L840" i="7"/>
  <c r="L841" i="7"/>
  <c r="L842" i="7"/>
  <c r="L843" i="7"/>
  <c r="L844" i="7"/>
  <c r="L845" i="7"/>
  <c r="L846" i="7"/>
  <c r="L847" i="7"/>
  <c r="L848" i="7"/>
  <c r="L849" i="7"/>
  <c r="L850" i="7"/>
  <c r="L851" i="7"/>
  <c r="L852" i="7"/>
  <c r="L853" i="7"/>
  <c r="L854" i="7"/>
  <c r="L855" i="7"/>
  <c r="L856" i="7"/>
  <c r="L857" i="7"/>
  <c r="L858" i="7"/>
  <c r="L859" i="7"/>
  <c r="L860" i="7"/>
  <c r="L861" i="7"/>
  <c r="L862" i="7"/>
  <c r="L863" i="7"/>
  <c r="L864" i="7"/>
  <c r="L865" i="7"/>
  <c r="L866" i="7"/>
  <c r="L867" i="7"/>
  <c r="L868" i="7"/>
  <c r="L869" i="7"/>
  <c r="L870" i="7"/>
  <c r="L871" i="7"/>
  <c r="L872" i="7"/>
  <c r="L873" i="7"/>
  <c r="L874" i="7"/>
  <c r="L875" i="7"/>
  <c r="L876" i="7"/>
  <c r="L877" i="7"/>
  <c r="L878" i="7"/>
  <c r="L879" i="7"/>
  <c r="L880" i="7"/>
  <c r="L881" i="7"/>
  <c r="L882" i="7"/>
  <c r="L883" i="7"/>
  <c r="L884" i="7"/>
  <c r="L885" i="7"/>
  <c r="L886" i="7"/>
  <c r="L887" i="7"/>
  <c r="L888" i="7"/>
  <c r="L889" i="7"/>
  <c r="L890" i="7"/>
  <c r="L891" i="7"/>
  <c r="L892" i="7"/>
  <c r="L893" i="7"/>
  <c r="L894" i="7"/>
  <c r="L895" i="7"/>
  <c r="L896" i="7"/>
  <c r="L897" i="7"/>
  <c r="L898" i="7"/>
  <c r="L899" i="7"/>
  <c r="L900" i="7"/>
  <c r="L901" i="7"/>
  <c r="L902" i="7"/>
  <c r="L903" i="7"/>
  <c r="L904" i="7"/>
  <c r="L905" i="7"/>
  <c r="L906" i="7"/>
  <c r="L907" i="7"/>
  <c r="L908" i="7"/>
  <c r="L909" i="7"/>
  <c r="L910" i="7"/>
  <c r="L911" i="7"/>
  <c r="L912" i="7"/>
  <c r="L913" i="7"/>
  <c r="L914" i="7"/>
  <c r="L915" i="7"/>
  <c r="L916" i="7"/>
  <c r="L917" i="7"/>
  <c r="L918" i="7"/>
  <c r="L919" i="7"/>
  <c r="L920" i="7"/>
  <c r="L921" i="7"/>
  <c r="L922" i="7"/>
  <c r="L923" i="7"/>
  <c r="L924" i="7"/>
  <c r="L925" i="7"/>
  <c r="L926" i="7"/>
  <c r="L927" i="7"/>
  <c r="L928" i="7"/>
  <c r="L929" i="7"/>
  <c r="L930" i="7"/>
  <c r="L931" i="7"/>
  <c r="L932" i="7"/>
  <c r="L933" i="7"/>
  <c r="L934" i="7"/>
  <c r="L935" i="7"/>
  <c r="L936" i="7"/>
  <c r="L937" i="7"/>
  <c r="L938" i="7"/>
  <c r="L939" i="7"/>
  <c r="L940" i="7"/>
  <c r="L941" i="7"/>
  <c r="L942" i="7"/>
  <c r="L943" i="7"/>
  <c r="L944" i="7"/>
  <c r="L945" i="7"/>
  <c r="L946" i="7"/>
  <c r="L947" i="7"/>
  <c r="L948" i="7"/>
  <c r="L949" i="7"/>
  <c r="L950" i="7"/>
  <c r="L951" i="7"/>
  <c r="L952" i="7"/>
  <c r="L953" i="7"/>
  <c r="L954" i="7"/>
  <c r="L955" i="7"/>
  <c r="L956" i="7"/>
  <c r="L957" i="7"/>
  <c r="L958" i="7"/>
  <c r="L959" i="7"/>
  <c r="L960" i="7"/>
  <c r="L961" i="7"/>
  <c r="L962" i="7"/>
  <c r="L963" i="7"/>
  <c r="L964" i="7"/>
  <c r="L965" i="7"/>
  <c r="L966" i="7"/>
  <c r="L967" i="7"/>
  <c r="L968" i="7"/>
  <c r="L969" i="7"/>
  <c r="L970" i="7"/>
  <c r="L971" i="7"/>
  <c r="L972" i="7"/>
  <c r="L973" i="7"/>
  <c r="L974" i="7"/>
  <c r="L975" i="7"/>
  <c r="L976" i="7"/>
  <c r="L977" i="7"/>
  <c r="L978" i="7"/>
  <c r="L979" i="7"/>
  <c r="L980" i="7"/>
  <c r="L981" i="7"/>
  <c r="L982" i="7"/>
  <c r="L983" i="7"/>
  <c r="L984" i="7"/>
  <c r="L985" i="7"/>
  <c r="L986" i="7"/>
  <c r="L987" i="7"/>
  <c r="L988" i="7"/>
  <c r="L989" i="7"/>
  <c r="L990" i="7"/>
  <c r="L991" i="7"/>
  <c r="L992" i="7"/>
  <c r="L993" i="7"/>
  <c r="L994" i="7"/>
  <c r="L995" i="7"/>
  <c r="L996" i="7"/>
  <c r="L997" i="7"/>
  <c r="L998" i="7"/>
  <c r="L999" i="7"/>
  <c r="L1000" i="7"/>
  <c r="L1001" i="7"/>
  <c r="L1002" i="7"/>
  <c r="L1003" i="7"/>
  <c r="L1004" i="7"/>
  <c r="L1005" i="7"/>
  <c r="L1006" i="7"/>
  <c r="L1007" i="7"/>
  <c r="L1008" i="7"/>
  <c r="L1009" i="7"/>
  <c r="L1010" i="7"/>
  <c r="L1011" i="7"/>
  <c r="L1012" i="7"/>
  <c r="L1013" i="7"/>
  <c r="L1014" i="7"/>
  <c r="L1015" i="7"/>
  <c r="L1016" i="7"/>
  <c r="L1017" i="7"/>
  <c r="L1018" i="7"/>
  <c r="L1019" i="7"/>
  <c r="L1020" i="7"/>
  <c r="L1021" i="7"/>
  <c r="L1022" i="7"/>
  <c r="L1023" i="7"/>
  <c r="L1024" i="7"/>
  <c r="L1025" i="7"/>
  <c r="L1026" i="7"/>
  <c r="L1027" i="7"/>
  <c r="L1028" i="7"/>
  <c r="L1029" i="7"/>
  <c r="L1030" i="7"/>
  <c r="L1031" i="7"/>
  <c r="L1032" i="7"/>
  <c r="L1033" i="7"/>
  <c r="L1034" i="7"/>
  <c r="L1035" i="7"/>
  <c r="L1036" i="7"/>
  <c r="L1037" i="7"/>
  <c r="L1038" i="7"/>
  <c r="L1039" i="7"/>
  <c r="L1040" i="7"/>
  <c r="L1041" i="7"/>
  <c r="L1042" i="7"/>
  <c r="L1043" i="7"/>
  <c r="L1044" i="7"/>
  <c r="L1045" i="7"/>
  <c r="L1046" i="7"/>
  <c r="L1047" i="7"/>
  <c r="L1048" i="7"/>
  <c r="L1049" i="7"/>
  <c r="L1050" i="7"/>
  <c r="L1051" i="7"/>
  <c r="L1052" i="7"/>
  <c r="L1053" i="7"/>
  <c r="L1054" i="7"/>
  <c r="L1055" i="7"/>
  <c r="L1056" i="7"/>
  <c r="L1057" i="7"/>
  <c r="L1058" i="7"/>
  <c r="L1059" i="7"/>
  <c r="L1060" i="7"/>
  <c r="L1061" i="7"/>
  <c r="L1062" i="7"/>
  <c r="L1063" i="7"/>
  <c r="L1064" i="7"/>
  <c r="L1065" i="7"/>
  <c r="L1066" i="7"/>
  <c r="L1067" i="7"/>
  <c r="L1068" i="7"/>
  <c r="L1069" i="7"/>
  <c r="L1070" i="7"/>
  <c r="L1071" i="7"/>
  <c r="L1072" i="7"/>
  <c r="L1073" i="7"/>
  <c r="L1074" i="7"/>
  <c r="L1075" i="7"/>
  <c r="L1076" i="7"/>
  <c r="L1077" i="7"/>
  <c r="L1078" i="7"/>
  <c r="L1079" i="7"/>
  <c r="L1080" i="7"/>
  <c r="L1081" i="7"/>
  <c r="L1082" i="7"/>
  <c r="L1083" i="7"/>
  <c r="L1084" i="7"/>
  <c r="L1085" i="7"/>
  <c r="L1086" i="7"/>
  <c r="L1087" i="7"/>
  <c r="L1088" i="7"/>
  <c r="L1089" i="7"/>
  <c r="L1090" i="7"/>
  <c r="L1091" i="7"/>
  <c r="L1092" i="7"/>
  <c r="L1093" i="7"/>
  <c r="L1094" i="7"/>
  <c r="L1095" i="7"/>
  <c r="L1096" i="7"/>
  <c r="L1097" i="7"/>
  <c r="L1098" i="7"/>
  <c r="L1099" i="7"/>
  <c r="L1100" i="7"/>
  <c r="L1101" i="7"/>
  <c r="L1102" i="7"/>
  <c r="L1103" i="7"/>
  <c r="L1104" i="7"/>
  <c r="L1105" i="7"/>
  <c r="L1106" i="7"/>
  <c r="L1107" i="7"/>
  <c r="L1108" i="7"/>
  <c r="L1109" i="7"/>
  <c r="L1110" i="7"/>
  <c r="L1111" i="7"/>
  <c r="L1112" i="7"/>
  <c r="L1113" i="7"/>
  <c r="L1114" i="7"/>
  <c r="L1115" i="7"/>
  <c r="L1116" i="7"/>
  <c r="L1117" i="7"/>
  <c r="L1118" i="7"/>
  <c r="L1119" i="7"/>
  <c r="L1120" i="7"/>
  <c r="L1121" i="7"/>
  <c r="L1122" i="7"/>
  <c r="L1123" i="7"/>
  <c r="L1124" i="7"/>
  <c r="L1125" i="7"/>
  <c r="L1126" i="7"/>
  <c r="L1127" i="7"/>
  <c r="L1128" i="7"/>
  <c r="L1129" i="7"/>
  <c r="L1130" i="7"/>
  <c r="L1131" i="7"/>
  <c r="L1132" i="7"/>
  <c r="L1133" i="7"/>
  <c r="L1134" i="7"/>
  <c r="L1135" i="7"/>
  <c r="L1136" i="7"/>
  <c r="L1137" i="7"/>
  <c r="L1138" i="7"/>
  <c r="L1139" i="7"/>
  <c r="L1140" i="7"/>
  <c r="L1141" i="7"/>
  <c r="L1142" i="7"/>
  <c r="L1143" i="7"/>
  <c r="L1144" i="7"/>
  <c r="L1145" i="7"/>
  <c r="L1146" i="7"/>
  <c r="L1147" i="7"/>
  <c r="L1148" i="7"/>
  <c r="L1149" i="7"/>
  <c r="L1150" i="7"/>
  <c r="L1151" i="7"/>
  <c r="L1152" i="7"/>
  <c r="L1153" i="7"/>
  <c r="L1154" i="7"/>
  <c r="L1155" i="7"/>
  <c r="L1156" i="7"/>
  <c r="L1157" i="7"/>
  <c r="L1158" i="7"/>
  <c r="L1159" i="7"/>
  <c r="L1160" i="7"/>
  <c r="L1161" i="7"/>
  <c r="L1162" i="7"/>
  <c r="L1163" i="7"/>
  <c r="L1164" i="7"/>
  <c r="L1165" i="7"/>
  <c r="L1166" i="7"/>
  <c r="L1167" i="7"/>
  <c r="L1168" i="7"/>
  <c r="L1169" i="7"/>
  <c r="L1170" i="7"/>
  <c r="L1171" i="7"/>
  <c r="L1172" i="7"/>
  <c r="L1173" i="7"/>
  <c r="L1174" i="7"/>
  <c r="L1175" i="7"/>
  <c r="L1176" i="7"/>
  <c r="L1177" i="7"/>
  <c r="L1178" i="7"/>
  <c r="L1179" i="7"/>
  <c r="L1180" i="7"/>
  <c r="L1181" i="7"/>
  <c r="L1182" i="7"/>
  <c r="L1183" i="7"/>
  <c r="L1184" i="7"/>
  <c r="L1185" i="7"/>
  <c r="L1186" i="7"/>
  <c r="L1187" i="7"/>
  <c r="L1188" i="7"/>
  <c r="L1189" i="7"/>
  <c r="L1190" i="7"/>
  <c r="L1191" i="7"/>
  <c r="L1192" i="7"/>
  <c r="L1193" i="7"/>
  <c r="L1194" i="7"/>
  <c r="L1195" i="7"/>
  <c r="L1196" i="7"/>
  <c r="L1197" i="7"/>
  <c r="L1198" i="7"/>
  <c r="L1199" i="7"/>
  <c r="L1200" i="7"/>
  <c r="L1201" i="7"/>
  <c r="L1202" i="7"/>
  <c r="L1203" i="7"/>
  <c r="L1204" i="7"/>
  <c r="L1205" i="7"/>
  <c r="L1206" i="7"/>
  <c r="L1207" i="7"/>
  <c r="L1208" i="7"/>
  <c r="L1209" i="7"/>
  <c r="L1210" i="7"/>
  <c r="L1211" i="7"/>
  <c r="L1212" i="7"/>
  <c r="L1213" i="7"/>
  <c r="L1214" i="7"/>
  <c r="L1215" i="7"/>
  <c r="L1216" i="7"/>
  <c r="L1217" i="7"/>
  <c r="L1218" i="7"/>
  <c r="L1219" i="7"/>
  <c r="L1220" i="7"/>
  <c r="L1221" i="7"/>
  <c r="L1222" i="7"/>
  <c r="L1223" i="7"/>
  <c r="L1224" i="7"/>
  <c r="L1225" i="7"/>
  <c r="L1226" i="7"/>
  <c r="L1227" i="7"/>
  <c r="L1228" i="7"/>
  <c r="L1229" i="7"/>
  <c r="L1230" i="7"/>
  <c r="L1231" i="7"/>
  <c r="L1232" i="7"/>
  <c r="L1233" i="7"/>
  <c r="L1234" i="7"/>
  <c r="L1235" i="7"/>
  <c r="L1236" i="7"/>
  <c r="L1237" i="7"/>
  <c r="L1238" i="7"/>
  <c r="L1239" i="7"/>
  <c r="L1240" i="7"/>
  <c r="L1241" i="7"/>
  <c r="L1242" i="7"/>
  <c r="L1243" i="7"/>
  <c r="L1244" i="7"/>
  <c r="L1245" i="7"/>
  <c r="L1246" i="7"/>
  <c r="L1247" i="7"/>
  <c r="L1248" i="7"/>
  <c r="L1249" i="7"/>
  <c r="L1250" i="7"/>
  <c r="L1251" i="7"/>
  <c r="L1252" i="7"/>
  <c r="L1253" i="7"/>
  <c r="L1254" i="7"/>
  <c r="L1255" i="7"/>
  <c r="L1256" i="7"/>
  <c r="L1257" i="7"/>
  <c r="L1258" i="7"/>
  <c r="L1259" i="7"/>
  <c r="L1260" i="7"/>
  <c r="L1261" i="7"/>
  <c r="L1262" i="7"/>
  <c r="L1263" i="7"/>
  <c r="L1264" i="7"/>
  <c r="L1265" i="7"/>
  <c r="L1266" i="7"/>
  <c r="L1267" i="7"/>
  <c r="L1268" i="7"/>
  <c r="L1269" i="7"/>
  <c r="L1270" i="7"/>
  <c r="L1271" i="7"/>
  <c r="L1272" i="7"/>
  <c r="L1273" i="7"/>
  <c r="L1274" i="7"/>
  <c r="L1275" i="7"/>
  <c r="L1276" i="7"/>
  <c r="L1277" i="7"/>
  <c r="L1278" i="7"/>
  <c r="L1279" i="7"/>
  <c r="L1280" i="7"/>
  <c r="L1281" i="7"/>
  <c r="L1282" i="7"/>
  <c r="L1283" i="7"/>
  <c r="L1284" i="7"/>
  <c r="L1285" i="7"/>
  <c r="L1286" i="7"/>
  <c r="L1287" i="7"/>
  <c r="L1288" i="7"/>
  <c r="L1289" i="7"/>
  <c r="L1290" i="7"/>
  <c r="L1291" i="7"/>
  <c r="L1292" i="7"/>
  <c r="L1293" i="7"/>
  <c r="L1294" i="7"/>
  <c r="L1295" i="7"/>
  <c r="L1296" i="7"/>
  <c r="L1297" i="7"/>
  <c r="L1298" i="7"/>
  <c r="L1299" i="7"/>
  <c r="L1300" i="7"/>
  <c r="L1301" i="7"/>
  <c r="L1302" i="7"/>
  <c r="L1303" i="7"/>
  <c r="L1304" i="7"/>
  <c r="L1305" i="7"/>
  <c r="L1306" i="7"/>
  <c r="L1307" i="7"/>
  <c r="L1308" i="7"/>
  <c r="L1309" i="7"/>
  <c r="L1310" i="7"/>
  <c r="L1311" i="7"/>
  <c r="L1312" i="7"/>
  <c r="L1313" i="7"/>
  <c r="L1314" i="7"/>
  <c r="L1315" i="7"/>
  <c r="L1316" i="7"/>
  <c r="L1317" i="7"/>
  <c r="L1318" i="7"/>
  <c r="L1319" i="7"/>
  <c r="L1320" i="7"/>
  <c r="L1321" i="7"/>
  <c r="L1322" i="7"/>
  <c r="L1323" i="7"/>
  <c r="L1324" i="7"/>
  <c r="L1325" i="7"/>
  <c r="L1326" i="7"/>
  <c r="L1327" i="7"/>
  <c r="L1328" i="7"/>
  <c r="L1329" i="7"/>
  <c r="L1330" i="7"/>
  <c r="L1331" i="7"/>
  <c r="L1332" i="7"/>
  <c r="L1333" i="7"/>
  <c r="L1334" i="7"/>
  <c r="L1335" i="7"/>
  <c r="L1336" i="7"/>
  <c r="L1337" i="7"/>
  <c r="L1338" i="7"/>
  <c r="L1339" i="7"/>
  <c r="L1340" i="7"/>
  <c r="L1341" i="7"/>
  <c r="L1342" i="7"/>
  <c r="L1343" i="7"/>
  <c r="L1344" i="7"/>
  <c r="L1345" i="7"/>
  <c r="L1346" i="7"/>
  <c r="L1347" i="7"/>
  <c r="L1348" i="7"/>
  <c r="L1349" i="7"/>
  <c r="L1350" i="7"/>
  <c r="L1351" i="7"/>
  <c r="L1352" i="7"/>
  <c r="L1353" i="7"/>
  <c r="L1354" i="7"/>
  <c r="L1355" i="7"/>
  <c r="L1356" i="7"/>
  <c r="L1357" i="7"/>
  <c r="L1358" i="7"/>
  <c r="L1359" i="7"/>
  <c r="L1360" i="7"/>
  <c r="L1361" i="7"/>
  <c r="L1362" i="7"/>
  <c r="L1363" i="7"/>
  <c r="L1364" i="7"/>
  <c r="L1365" i="7"/>
  <c r="L1366" i="7"/>
  <c r="L1367" i="7"/>
  <c r="L1368" i="7"/>
  <c r="L1369" i="7"/>
  <c r="L1370" i="7"/>
  <c r="L1371" i="7"/>
  <c r="L1372" i="7"/>
  <c r="L1373" i="7"/>
  <c r="L1374" i="7"/>
  <c r="L1375" i="7"/>
  <c r="L1376" i="7"/>
  <c r="L1377" i="7"/>
  <c r="L1378" i="7"/>
  <c r="L1379" i="7"/>
  <c r="L1380" i="7"/>
  <c r="L1381" i="7"/>
  <c r="L1382" i="7"/>
  <c r="L1383" i="7"/>
  <c r="L1384" i="7"/>
  <c r="L1385" i="7"/>
  <c r="L1386" i="7"/>
  <c r="L1387" i="7"/>
  <c r="L1388" i="7"/>
  <c r="L1389" i="7"/>
  <c r="L1390" i="7"/>
  <c r="L1391" i="7"/>
  <c r="L1392" i="7"/>
  <c r="L1393" i="7"/>
  <c r="L1394" i="7"/>
  <c r="L1395" i="7"/>
  <c r="L1396" i="7"/>
  <c r="L1397" i="7"/>
  <c r="L1398" i="7"/>
  <c r="L1399" i="7"/>
  <c r="L1400" i="7"/>
  <c r="L1401" i="7"/>
  <c r="L1402" i="7"/>
  <c r="L1403" i="7"/>
  <c r="L1404" i="7"/>
  <c r="L1405" i="7"/>
  <c r="L1406" i="7"/>
  <c r="L1407" i="7"/>
  <c r="L1408" i="7"/>
  <c r="L1409" i="7"/>
  <c r="L1410" i="7"/>
  <c r="L1411" i="7"/>
  <c r="L1412" i="7"/>
  <c r="L1413" i="7"/>
  <c r="L1414" i="7"/>
  <c r="L1415" i="7"/>
  <c r="L1416" i="7"/>
  <c r="L1417" i="7"/>
  <c r="L1418" i="7"/>
  <c r="L1419" i="7"/>
  <c r="L1420" i="7"/>
  <c r="L1421" i="7"/>
  <c r="L1422" i="7"/>
  <c r="L1423" i="7"/>
  <c r="L1424" i="7"/>
  <c r="L1425" i="7"/>
  <c r="L1426" i="7"/>
  <c r="L1427" i="7"/>
  <c r="L1428" i="7"/>
  <c r="L1429" i="7"/>
  <c r="L1430" i="7"/>
  <c r="L1431" i="7"/>
  <c r="L1432" i="7"/>
  <c r="L1433" i="7"/>
  <c r="L1434" i="7"/>
  <c r="L1435" i="7"/>
  <c r="L1436" i="7"/>
  <c r="L1437" i="7"/>
  <c r="L1438" i="7"/>
  <c r="L1439" i="7"/>
  <c r="L1440" i="7"/>
  <c r="L1441" i="7"/>
  <c r="L1442" i="7"/>
  <c r="L1443" i="7"/>
  <c r="L1444" i="7"/>
  <c r="L1445" i="7"/>
  <c r="L1446" i="7"/>
  <c r="L1447" i="7"/>
  <c r="L1448" i="7"/>
  <c r="L1449" i="7"/>
  <c r="L1450" i="7"/>
  <c r="L1451" i="7"/>
  <c r="L1452" i="7"/>
  <c r="L1453" i="7"/>
  <c r="L1454" i="7"/>
  <c r="L1455" i="7"/>
  <c r="L1456" i="7"/>
  <c r="L1457" i="7"/>
  <c r="L1458" i="7"/>
  <c r="L1459" i="7"/>
  <c r="L1460" i="7"/>
  <c r="L1461" i="7"/>
  <c r="L1462" i="7"/>
  <c r="L1463" i="7"/>
  <c r="L1464" i="7"/>
  <c r="L1465" i="7"/>
  <c r="L1466" i="7"/>
  <c r="L1467" i="7"/>
  <c r="L1468" i="7"/>
  <c r="L1469" i="7"/>
  <c r="L1470" i="7"/>
  <c r="L1471" i="7"/>
  <c r="L1472" i="7"/>
  <c r="L1473" i="7"/>
  <c r="L1474" i="7"/>
  <c r="L1475" i="7"/>
  <c r="L1476" i="7"/>
  <c r="L1477" i="7"/>
  <c r="L1478" i="7"/>
  <c r="L1479" i="7"/>
  <c r="L1480" i="7"/>
  <c r="L1481" i="7"/>
  <c r="L1482" i="7"/>
  <c r="L1483" i="7"/>
  <c r="L1484" i="7"/>
  <c r="L1485" i="7"/>
  <c r="L1486" i="7"/>
  <c r="L1487" i="7"/>
  <c r="L1488" i="7"/>
  <c r="L1489" i="7"/>
  <c r="L1490" i="7"/>
  <c r="L1491" i="7"/>
  <c r="L1492" i="7"/>
  <c r="L1493" i="7"/>
  <c r="L1494" i="7"/>
  <c r="L1495" i="7"/>
  <c r="L1496" i="7"/>
  <c r="L1497" i="7"/>
  <c r="L1498" i="7"/>
  <c r="L1499" i="7"/>
  <c r="L1500" i="7"/>
  <c r="L1501" i="7"/>
  <c r="L1502" i="7"/>
  <c r="L1503" i="7"/>
  <c r="L1504" i="7"/>
  <c r="L1505" i="7"/>
  <c r="L1506" i="7"/>
  <c r="L1507" i="7"/>
  <c r="L1508" i="7"/>
  <c r="L1509" i="7"/>
  <c r="L1510" i="7"/>
  <c r="L1511" i="7"/>
  <c r="L1512" i="7"/>
  <c r="L1513" i="7"/>
  <c r="L1514" i="7"/>
  <c r="L1515" i="7"/>
  <c r="L1516" i="7"/>
  <c r="L1517" i="7"/>
  <c r="L1518" i="7"/>
  <c r="L1519" i="7"/>
  <c r="L1520" i="7"/>
  <c r="L1521" i="7"/>
  <c r="L1522" i="7"/>
  <c r="L1523" i="7"/>
  <c r="L1524" i="7"/>
  <c r="L1525" i="7"/>
  <c r="L1526" i="7"/>
  <c r="L1527" i="7"/>
  <c r="L1528" i="7"/>
  <c r="L1529" i="7"/>
  <c r="L1530" i="7"/>
  <c r="L1531" i="7"/>
  <c r="L1532" i="7"/>
  <c r="L1533" i="7"/>
  <c r="L1534" i="7"/>
  <c r="L1535" i="7"/>
  <c r="L1536" i="7"/>
  <c r="L1537" i="7"/>
  <c r="L1538" i="7"/>
  <c r="L1539" i="7"/>
  <c r="L1540" i="7"/>
  <c r="L1541" i="7"/>
  <c r="L1542" i="7"/>
  <c r="L1543" i="7"/>
  <c r="L1544" i="7"/>
  <c r="L1545" i="7"/>
  <c r="L1546" i="7"/>
  <c r="L1547" i="7"/>
  <c r="L1548" i="7"/>
  <c r="L1549" i="7"/>
  <c r="L1550" i="7"/>
  <c r="L1551" i="7"/>
  <c r="L1552" i="7"/>
  <c r="L1553" i="7"/>
  <c r="L1554" i="7"/>
  <c r="L1555" i="7"/>
  <c r="L1556" i="7"/>
  <c r="L1557" i="7"/>
  <c r="L1558" i="7"/>
  <c r="L1559" i="7"/>
  <c r="L1560" i="7"/>
  <c r="L1561" i="7"/>
  <c r="L1562" i="7"/>
  <c r="L1563" i="7"/>
  <c r="L1564" i="7"/>
  <c r="L1565" i="7"/>
  <c r="L1566" i="7"/>
  <c r="L1567" i="7"/>
  <c r="L1568" i="7"/>
  <c r="L1569" i="7"/>
  <c r="L1570" i="7"/>
  <c r="L1571" i="7"/>
  <c r="L1572" i="7"/>
  <c r="L1573" i="7"/>
  <c r="L1574" i="7"/>
  <c r="L1575" i="7"/>
  <c r="L1576" i="7"/>
  <c r="L1577" i="7"/>
  <c r="L1578" i="7"/>
  <c r="L1579" i="7"/>
  <c r="L1580" i="7"/>
  <c r="L1581" i="7"/>
  <c r="L1582" i="7"/>
  <c r="L1583" i="7"/>
  <c r="L1584" i="7"/>
  <c r="L1585" i="7"/>
  <c r="L1586" i="7"/>
  <c r="L1587" i="7"/>
  <c r="L1588" i="7"/>
  <c r="L1589" i="7"/>
  <c r="L1590" i="7"/>
  <c r="L1591" i="7"/>
  <c r="L1592" i="7"/>
  <c r="L1593" i="7"/>
  <c r="L1594" i="7"/>
  <c r="L1595" i="7"/>
  <c r="L1596" i="7"/>
  <c r="L1597" i="7"/>
  <c r="L1598" i="7"/>
  <c r="L1599" i="7"/>
  <c r="L1600" i="7"/>
  <c r="L1601" i="7"/>
  <c r="L1602" i="7"/>
  <c r="L1603" i="7"/>
  <c r="L1604" i="7"/>
  <c r="L1605" i="7"/>
  <c r="L1606" i="7"/>
  <c r="L1607" i="7"/>
  <c r="L1608" i="7"/>
  <c r="L1609" i="7"/>
  <c r="L1610" i="7"/>
  <c r="L1611" i="7"/>
  <c r="L1612" i="7"/>
  <c r="L1613" i="7"/>
  <c r="L1614" i="7"/>
  <c r="L1615" i="7"/>
  <c r="L1616" i="7"/>
  <c r="L1617" i="7"/>
  <c r="L1618" i="7"/>
  <c r="L1619" i="7"/>
  <c r="L1620" i="7"/>
  <c r="L1621" i="7"/>
  <c r="L1622" i="7"/>
  <c r="L1623" i="7"/>
  <c r="L1624" i="7"/>
  <c r="L1625" i="7"/>
  <c r="L1626" i="7"/>
  <c r="L1627" i="7"/>
  <c r="L1628" i="7"/>
  <c r="L1629" i="7"/>
  <c r="L1630" i="7"/>
  <c r="L1631" i="7"/>
  <c r="L1632" i="7"/>
  <c r="L1633" i="7"/>
  <c r="L1634" i="7"/>
  <c r="L1635" i="7"/>
  <c r="L1636" i="7"/>
  <c r="L1637" i="7"/>
  <c r="L1638" i="7"/>
  <c r="L1639" i="7"/>
  <c r="L1640" i="7"/>
  <c r="L1641" i="7"/>
  <c r="L1642" i="7"/>
  <c r="L1643" i="7"/>
  <c r="L1644" i="7"/>
  <c r="L1645" i="7"/>
  <c r="L1646" i="7"/>
  <c r="L1647" i="7"/>
  <c r="L1648" i="7"/>
  <c r="L1649" i="7"/>
  <c r="L1650" i="7"/>
  <c r="L1651" i="7"/>
  <c r="L1652" i="7"/>
  <c r="L1653" i="7"/>
  <c r="L1654" i="7"/>
  <c r="L1655" i="7"/>
  <c r="L1656" i="7"/>
  <c r="L1657" i="7"/>
  <c r="L1658" i="7"/>
  <c r="L1659" i="7"/>
  <c r="L1660" i="7"/>
  <c r="L1661" i="7"/>
  <c r="L1662" i="7"/>
  <c r="L1663" i="7"/>
  <c r="L1664" i="7"/>
  <c r="L1665" i="7"/>
  <c r="L1666" i="7"/>
  <c r="L1667" i="7"/>
  <c r="L1668" i="7"/>
  <c r="L1669" i="7"/>
  <c r="L1670" i="7"/>
  <c r="L1671" i="7"/>
  <c r="L1672" i="7"/>
  <c r="L1673" i="7"/>
  <c r="L1674" i="7"/>
  <c r="L1675" i="7"/>
  <c r="L1676" i="7"/>
  <c r="L1677" i="7"/>
  <c r="L1678" i="7"/>
  <c r="L1679" i="7"/>
  <c r="L1680" i="7"/>
  <c r="L1681" i="7"/>
  <c r="L1682" i="7"/>
  <c r="L1683" i="7"/>
  <c r="L1684" i="7"/>
  <c r="L1685" i="7"/>
  <c r="L1686" i="7"/>
  <c r="L1687" i="7"/>
  <c r="L1688" i="7"/>
  <c r="L1689" i="7"/>
  <c r="L1690" i="7"/>
  <c r="L1691" i="7"/>
  <c r="L1692" i="7"/>
  <c r="L1693" i="7"/>
  <c r="L1694" i="7"/>
  <c r="L1695" i="7"/>
  <c r="L1696" i="7"/>
  <c r="L1697" i="7"/>
  <c r="L1698" i="7"/>
  <c r="L1699" i="7"/>
  <c r="L1700" i="7"/>
  <c r="L1701" i="7"/>
  <c r="L1702" i="7"/>
  <c r="L1703" i="7"/>
  <c r="L1704" i="7"/>
  <c r="L1705" i="7"/>
  <c r="L1706" i="7"/>
  <c r="L1707" i="7"/>
  <c r="L1708" i="7"/>
  <c r="L1709" i="7"/>
  <c r="L1710" i="7"/>
  <c r="L1711" i="7"/>
  <c r="L1712" i="7"/>
  <c r="L1713" i="7"/>
  <c r="L1714" i="7"/>
  <c r="L1715" i="7"/>
  <c r="L1716" i="7"/>
  <c r="L1717" i="7"/>
  <c r="L1718" i="7"/>
  <c r="L1719" i="7"/>
  <c r="L1720" i="7"/>
  <c r="L1721" i="7"/>
  <c r="L1722" i="7"/>
  <c r="L1723" i="7"/>
  <c r="L1724" i="7"/>
  <c r="L1725" i="7"/>
  <c r="L1726" i="7"/>
  <c r="L1727" i="7"/>
  <c r="L1728" i="7"/>
  <c r="L1729" i="7"/>
  <c r="L1730" i="7"/>
  <c r="L1731" i="7"/>
  <c r="L1732" i="7"/>
  <c r="L1733" i="7"/>
  <c r="L1734" i="7"/>
  <c r="L1735" i="7"/>
  <c r="L1736" i="7"/>
  <c r="L1737" i="7"/>
  <c r="L1738" i="7"/>
  <c r="L1739" i="7"/>
  <c r="L1740" i="7"/>
  <c r="L1741" i="7"/>
  <c r="L1742" i="7"/>
  <c r="L1743" i="7"/>
  <c r="L1744" i="7"/>
  <c r="L1745" i="7"/>
  <c r="L1746" i="7"/>
  <c r="L1747" i="7"/>
  <c r="L1748" i="7"/>
  <c r="L1749" i="7"/>
  <c r="L1750" i="7"/>
  <c r="L1751" i="7"/>
  <c r="L1752" i="7"/>
  <c r="L1753" i="7"/>
  <c r="L1754" i="7"/>
  <c r="L1755" i="7"/>
  <c r="L1756" i="7"/>
  <c r="L1757" i="7"/>
  <c r="L1758" i="7"/>
  <c r="L1759" i="7"/>
  <c r="L1760" i="7"/>
  <c r="L1761" i="7"/>
  <c r="L1762" i="7"/>
  <c r="L1763" i="7"/>
  <c r="L1764" i="7"/>
  <c r="L1765" i="7"/>
  <c r="L1766" i="7"/>
  <c r="L1767" i="7"/>
  <c r="L1768" i="7"/>
  <c r="L1769" i="7"/>
  <c r="L1770" i="7"/>
  <c r="L1771" i="7"/>
  <c r="L1772" i="7"/>
  <c r="L1773" i="7"/>
  <c r="L1774" i="7"/>
  <c r="L1775" i="7"/>
  <c r="L1776" i="7"/>
  <c r="L1777" i="7"/>
  <c r="L1778" i="7"/>
  <c r="L1779" i="7"/>
  <c r="L1780" i="7"/>
  <c r="L1781" i="7"/>
  <c r="L1782" i="7"/>
  <c r="L1783" i="7"/>
  <c r="L1784" i="7"/>
  <c r="L1785" i="7"/>
  <c r="L1786" i="7"/>
  <c r="L1787" i="7"/>
  <c r="L1788" i="7"/>
  <c r="L1789" i="7"/>
  <c r="L1790" i="7"/>
  <c r="L1791" i="7"/>
  <c r="L1792" i="7"/>
  <c r="L1793" i="7"/>
  <c r="L1794" i="7"/>
  <c r="L1795" i="7"/>
  <c r="L1796" i="7"/>
  <c r="L1797" i="7"/>
  <c r="L1798" i="7"/>
  <c r="L1799" i="7"/>
  <c r="L1800" i="7"/>
  <c r="L1801" i="7"/>
  <c r="L1802" i="7"/>
  <c r="L1803" i="7"/>
  <c r="L1804" i="7"/>
  <c r="L1805" i="7"/>
  <c r="L1806" i="7"/>
  <c r="L1807" i="7"/>
  <c r="L1808" i="7"/>
  <c r="L1809" i="7"/>
  <c r="L1810" i="7"/>
  <c r="L1811" i="7"/>
  <c r="L1812" i="7"/>
  <c r="L1813" i="7"/>
  <c r="L1814" i="7"/>
  <c r="L1815" i="7"/>
  <c r="L1816" i="7"/>
  <c r="L1817" i="7"/>
  <c r="L1818" i="7"/>
  <c r="L1819" i="7"/>
  <c r="L1820" i="7"/>
  <c r="L1821" i="7"/>
  <c r="L1822" i="7"/>
  <c r="L1823" i="7"/>
  <c r="L1824" i="7"/>
  <c r="L1825" i="7"/>
  <c r="L1826" i="7"/>
  <c r="L1827" i="7"/>
  <c r="L1828" i="7"/>
  <c r="L1829" i="7"/>
  <c r="L1830" i="7"/>
  <c r="L1831" i="7"/>
  <c r="L1832" i="7"/>
  <c r="L1833" i="7"/>
  <c r="L1834" i="7"/>
  <c r="L1835" i="7"/>
  <c r="L1836" i="7"/>
  <c r="L1837" i="7"/>
  <c r="L1838" i="7"/>
  <c r="L1839" i="7"/>
  <c r="L1840" i="7"/>
  <c r="L1841" i="7"/>
  <c r="L1842" i="7"/>
  <c r="L1843" i="7"/>
  <c r="L1844" i="7"/>
  <c r="L1845" i="7"/>
  <c r="L1846" i="7"/>
  <c r="L1847" i="7"/>
  <c r="L1848" i="7"/>
  <c r="L1849" i="7"/>
  <c r="L1850" i="7"/>
  <c r="L1851" i="7"/>
  <c r="L1852" i="7"/>
  <c r="L1853" i="7"/>
  <c r="L1854" i="7"/>
  <c r="L1855" i="7"/>
  <c r="L1856" i="7"/>
  <c r="L1857" i="7"/>
  <c r="L1858" i="7"/>
  <c r="L1859" i="7"/>
  <c r="L1860" i="7"/>
  <c r="L1861" i="7"/>
  <c r="L1862" i="7"/>
  <c r="L1863" i="7"/>
  <c r="L1864" i="7"/>
  <c r="L1865" i="7"/>
  <c r="L1866" i="7"/>
  <c r="L1867" i="7"/>
  <c r="L1868" i="7"/>
  <c r="L1869" i="7"/>
  <c r="L1870" i="7"/>
  <c r="L1871" i="7"/>
  <c r="L1872" i="7"/>
  <c r="L1873" i="7"/>
  <c r="L1874" i="7"/>
  <c r="L1875" i="7"/>
  <c r="L1876" i="7"/>
  <c r="L1877" i="7"/>
  <c r="L1878" i="7"/>
  <c r="L1879" i="7"/>
  <c r="L1880" i="7"/>
  <c r="L1881" i="7"/>
  <c r="L1882" i="7"/>
  <c r="L1883" i="7"/>
  <c r="L1884" i="7"/>
  <c r="L1885" i="7"/>
  <c r="L1886" i="7"/>
  <c r="L1887" i="7"/>
  <c r="L1888" i="7"/>
  <c r="L1889" i="7"/>
  <c r="L1890" i="7"/>
  <c r="L1891" i="7"/>
  <c r="L1892" i="7"/>
  <c r="L1893" i="7"/>
  <c r="L1894" i="7"/>
  <c r="L1895" i="7"/>
  <c r="L1896" i="7"/>
  <c r="L1897" i="7"/>
  <c r="L1898" i="7"/>
  <c r="L1899" i="7"/>
  <c r="L1900" i="7"/>
  <c r="L1901" i="7"/>
  <c r="L1902" i="7"/>
  <c r="L1903" i="7"/>
  <c r="L1904" i="7"/>
  <c r="L1905" i="7"/>
  <c r="L1906" i="7"/>
  <c r="L1907" i="7"/>
  <c r="L1908" i="7"/>
  <c r="L1909" i="7"/>
  <c r="L1910" i="7"/>
  <c r="L1911" i="7"/>
  <c r="L1912" i="7"/>
  <c r="L1913" i="7"/>
  <c r="L1914" i="7"/>
  <c r="L1915" i="7"/>
  <c r="L1916" i="7"/>
  <c r="L1917" i="7"/>
  <c r="L1918" i="7"/>
  <c r="L1919" i="7"/>
  <c r="L1920" i="7"/>
  <c r="L1921" i="7"/>
  <c r="L1922" i="7"/>
  <c r="L1923" i="7"/>
  <c r="L1924" i="7"/>
  <c r="L1925" i="7"/>
  <c r="L1926" i="7"/>
  <c r="L1927" i="7"/>
  <c r="L1928" i="7"/>
  <c r="L1929" i="7"/>
  <c r="L1930" i="7"/>
  <c r="L1931" i="7"/>
  <c r="L1932" i="7"/>
  <c r="L1933" i="7"/>
  <c r="L1934" i="7"/>
  <c r="L1935" i="7"/>
  <c r="L1936" i="7"/>
  <c r="L1937" i="7"/>
  <c r="L1938" i="7"/>
  <c r="L1939" i="7"/>
  <c r="L1940" i="7"/>
  <c r="L1941" i="7"/>
  <c r="L1942" i="7"/>
  <c r="L1943" i="7"/>
  <c r="L1944" i="7"/>
  <c r="L1945" i="7"/>
  <c r="L1946" i="7"/>
  <c r="L1947" i="7"/>
  <c r="L1948" i="7"/>
  <c r="L1949" i="7"/>
  <c r="L1950" i="7"/>
  <c r="L1951" i="7"/>
  <c r="L1952" i="7"/>
  <c r="L1953" i="7"/>
  <c r="L1954" i="7"/>
  <c r="L1955" i="7"/>
  <c r="L1956" i="7"/>
  <c r="L1957" i="7"/>
  <c r="L1958" i="7"/>
  <c r="L1959" i="7"/>
  <c r="L1960" i="7"/>
  <c r="L1961" i="7"/>
  <c r="L1962" i="7"/>
  <c r="L1963" i="7"/>
  <c r="L1964" i="7"/>
  <c r="L1965" i="7"/>
  <c r="L1966" i="7"/>
  <c r="L1967" i="7"/>
  <c r="L1968" i="7"/>
  <c r="L1969" i="7"/>
  <c r="L1970" i="7"/>
  <c r="L1971" i="7"/>
  <c r="L1972" i="7"/>
  <c r="L1973" i="7"/>
  <c r="L1974" i="7"/>
  <c r="L1975" i="7"/>
  <c r="L1976" i="7"/>
  <c r="L1977" i="7"/>
  <c r="L1978" i="7"/>
  <c r="L1979" i="7"/>
  <c r="L1980" i="7"/>
  <c r="L1981" i="7"/>
  <c r="L1982" i="7"/>
  <c r="L1983" i="7"/>
  <c r="L1984" i="7"/>
  <c r="L1985" i="7"/>
  <c r="L1986" i="7"/>
  <c r="L1987" i="7"/>
  <c r="L1988" i="7"/>
  <c r="L1989" i="7"/>
  <c r="L1990" i="7"/>
  <c r="L1991" i="7"/>
  <c r="L1992" i="7"/>
  <c r="L1993" i="7"/>
  <c r="L1994" i="7"/>
  <c r="L1995" i="7"/>
  <c r="L1996" i="7"/>
  <c r="L1997" i="7"/>
  <c r="L1998" i="7"/>
  <c r="L1999" i="7"/>
  <c r="L2000" i="7"/>
  <c r="L2001" i="7"/>
  <c r="L2002" i="7"/>
  <c r="L2003" i="7"/>
  <c r="L2004" i="7"/>
  <c r="L2005" i="7"/>
  <c r="L2006" i="7"/>
  <c r="L2007" i="7"/>
  <c r="L2008" i="7"/>
  <c r="L2009" i="7"/>
  <c r="L2010" i="7"/>
  <c r="L2011" i="7"/>
  <c r="L2012" i="7"/>
  <c r="L2013" i="7"/>
  <c r="L2014" i="7"/>
  <c r="L2015" i="7"/>
  <c r="L2016" i="7"/>
  <c r="L2017" i="7"/>
  <c r="L2018" i="7"/>
  <c r="L2019" i="7"/>
  <c r="L2020" i="7"/>
  <c r="L2021" i="7"/>
  <c r="L2022" i="7"/>
  <c r="L2023" i="7"/>
  <c r="L2024" i="7"/>
  <c r="L2025" i="7"/>
  <c r="L2026" i="7"/>
  <c r="L2027" i="7"/>
  <c r="L2028" i="7"/>
  <c r="L2029" i="7"/>
  <c r="L2030" i="7"/>
  <c r="L2031" i="7"/>
  <c r="L2032" i="7"/>
  <c r="L2033" i="7"/>
  <c r="L2034" i="7"/>
  <c r="L2035" i="7"/>
  <c r="L2036" i="7"/>
  <c r="L2037" i="7"/>
  <c r="L2038" i="7"/>
  <c r="L2039" i="7"/>
  <c r="L2040" i="7"/>
  <c r="L2041" i="7"/>
  <c r="L2042" i="7"/>
  <c r="L2043" i="7"/>
  <c r="L2044" i="7"/>
  <c r="L2045" i="7"/>
  <c r="L2046" i="7"/>
  <c r="L2047" i="7"/>
  <c r="L2048" i="7"/>
  <c r="L2049" i="7"/>
  <c r="L2050" i="7"/>
  <c r="L2051" i="7"/>
  <c r="L2052" i="7"/>
  <c r="L2053" i="7"/>
  <c r="L2054" i="7"/>
  <c r="L2055" i="7"/>
  <c r="L2056" i="7"/>
  <c r="L2057" i="7"/>
  <c r="L2058" i="7"/>
  <c r="L2059" i="7"/>
  <c r="L2060" i="7"/>
  <c r="L2061" i="7"/>
  <c r="L2062" i="7"/>
  <c r="L2063" i="7"/>
  <c r="L2064" i="7"/>
  <c r="L2065" i="7"/>
  <c r="L2066" i="7"/>
  <c r="L2067" i="7"/>
  <c r="L2068" i="7"/>
  <c r="L2069" i="7"/>
  <c r="L2070" i="7"/>
  <c r="L2071" i="7"/>
  <c r="L2072" i="7"/>
  <c r="L2073" i="7"/>
  <c r="L2074" i="7"/>
  <c r="L2075" i="7"/>
  <c r="L2076" i="7"/>
  <c r="L2077" i="7"/>
  <c r="L2078" i="7"/>
  <c r="L2079" i="7"/>
  <c r="L2080" i="7"/>
  <c r="L2081" i="7"/>
  <c r="L2082" i="7"/>
  <c r="L2083" i="7"/>
  <c r="L2084" i="7"/>
  <c r="L2085" i="7"/>
  <c r="L2086" i="7"/>
  <c r="L2087" i="7"/>
  <c r="L2088" i="7"/>
  <c r="L2089" i="7"/>
  <c r="L2090" i="7"/>
  <c r="L2091" i="7"/>
  <c r="L2092" i="7"/>
  <c r="L2093" i="7"/>
  <c r="L2094" i="7"/>
  <c r="L2095" i="7"/>
  <c r="L2096" i="7"/>
  <c r="L2097" i="7"/>
  <c r="L2098" i="7"/>
  <c r="L2099" i="7"/>
  <c r="L2100" i="7"/>
  <c r="L2101" i="7"/>
  <c r="L2102" i="7"/>
  <c r="L2103" i="7"/>
  <c r="L2104" i="7"/>
  <c r="L2105" i="7"/>
  <c r="L2106" i="7"/>
  <c r="L2107" i="7"/>
  <c r="L2108" i="7"/>
  <c r="L2109" i="7"/>
  <c r="L2110" i="7"/>
  <c r="L2111" i="7"/>
  <c r="L2112" i="7"/>
  <c r="L2113" i="7"/>
  <c r="L2114" i="7"/>
  <c r="L2115" i="7"/>
  <c r="L2116" i="7"/>
  <c r="L2117" i="7"/>
  <c r="L2118" i="7"/>
  <c r="L2119" i="7"/>
  <c r="L2120" i="7"/>
  <c r="L2121" i="7"/>
  <c r="L2122" i="7"/>
  <c r="L2123" i="7"/>
  <c r="L2124" i="7"/>
  <c r="L2125" i="7"/>
  <c r="L2126" i="7"/>
  <c r="L2127" i="7"/>
  <c r="L2128" i="7"/>
  <c r="L2129" i="7"/>
  <c r="L2130" i="7"/>
  <c r="L2131" i="7"/>
  <c r="L2132" i="7"/>
  <c r="L2133" i="7"/>
  <c r="L2134" i="7"/>
  <c r="L2135" i="7"/>
  <c r="L2136" i="7"/>
  <c r="L2137" i="7"/>
  <c r="L2138" i="7"/>
  <c r="L2139" i="7"/>
  <c r="L2140" i="7"/>
  <c r="L2141" i="7"/>
  <c r="L2142" i="7"/>
  <c r="L2143" i="7"/>
  <c r="L2144" i="7"/>
  <c r="L2145" i="7"/>
  <c r="L2146" i="7"/>
  <c r="L2147" i="7"/>
  <c r="L2148" i="7"/>
  <c r="L2149" i="7"/>
  <c r="L2150" i="7"/>
  <c r="L2151" i="7"/>
  <c r="L2152" i="7"/>
  <c r="L2153" i="7"/>
  <c r="L2154" i="7"/>
  <c r="L2155" i="7"/>
  <c r="L2156" i="7"/>
  <c r="L2157" i="7"/>
  <c r="L2158" i="7"/>
  <c r="L2159" i="7"/>
  <c r="L2160" i="7"/>
  <c r="L2161" i="7"/>
  <c r="L2162" i="7"/>
  <c r="L2163" i="7"/>
  <c r="L2164" i="7"/>
  <c r="L2165" i="7"/>
  <c r="L2166" i="7"/>
  <c r="L2167" i="7"/>
  <c r="L2168" i="7"/>
  <c r="L2169" i="7"/>
  <c r="L2170" i="7"/>
  <c r="L2171" i="7"/>
  <c r="L2172" i="7"/>
  <c r="L2173" i="7"/>
  <c r="L2174" i="7"/>
  <c r="L2175" i="7"/>
  <c r="L2176" i="7"/>
  <c r="L2177" i="7"/>
  <c r="L2178" i="7"/>
  <c r="L2179" i="7"/>
  <c r="L2180" i="7"/>
  <c r="L2181" i="7"/>
  <c r="L2182" i="7"/>
  <c r="L2183" i="7"/>
  <c r="L2184" i="7"/>
  <c r="L2185" i="7"/>
  <c r="L2186" i="7"/>
  <c r="L2187" i="7"/>
  <c r="L2188" i="7"/>
  <c r="L2189" i="7"/>
  <c r="L2190" i="7"/>
  <c r="L2191" i="7"/>
  <c r="L2192" i="7"/>
  <c r="L2193" i="7"/>
  <c r="L2194" i="7"/>
  <c r="L2195" i="7"/>
  <c r="L2196" i="7"/>
  <c r="L2197" i="7"/>
  <c r="L2198" i="7"/>
  <c r="L2199" i="7"/>
  <c r="L2200" i="7"/>
  <c r="L2201" i="7"/>
  <c r="L2202" i="7"/>
  <c r="L2203" i="7"/>
  <c r="L2204" i="7"/>
  <c r="L2205" i="7"/>
  <c r="L2206" i="7"/>
  <c r="L2207" i="7"/>
  <c r="L2208" i="7"/>
  <c r="L2209" i="7"/>
  <c r="L2210" i="7"/>
  <c r="L2211" i="7"/>
  <c r="L2212" i="7"/>
  <c r="L2213" i="7"/>
  <c r="L2214" i="7"/>
  <c r="L2215" i="7"/>
  <c r="L2216" i="7"/>
  <c r="L2217" i="7"/>
  <c r="L2218" i="7"/>
  <c r="L2219" i="7"/>
  <c r="L2220" i="7"/>
  <c r="L2221" i="7"/>
  <c r="L2222" i="7"/>
  <c r="L2223" i="7"/>
  <c r="L2224" i="7"/>
  <c r="L2225" i="7"/>
  <c r="L2226" i="7"/>
  <c r="L2227" i="7"/>
  <c r="L2228" i="7"/>
  <c r="L2229" i="7"/>
  <c r="L2230" i="7"/>
  <c r="L2231" i="7"/>
  <c r="L2232" i="7"/>
  <c r="L2233" i="7"/>
  <c r="L2234" i="7"/>
  <c r="L2235" i="7"/>
  <c r="L2236" i="7"/>
  <c r="L2237" i="7"/>
  <c r="L2238" i="7"/>
  <c r="L2239" i="7"/>
  <c r="L2240" i="7"/>
  <c r="L2241" i="7"/>
  <c r="L2242" i="7"/>
  <c r="L2243" i="7"/>
  <c r="L2244" i="7"/>
  <c r="L2245" i="7"/>
  <c r="L2246" i="7"/>
  <c r="L2247" i="7"/>
  <c r="L2248" i="7"/>
  <c r="L2249" i="7"/>
  <c r="L2250" i="7"/>
  <c r="L2251" i="7"/>
  <c r="L2252" i="7"/>
  <c r="L2253" i="7"/>
  <c r="L2254" i="7"/>
  <c r="L2255" i="7"/>
  <c r="L2256" i="7"/>
  <c r="L2257" i="7"/>
  <c r="L2258" i="7"/>
  <c r="L2259" i="7"/>
  <c r="L2260" i="7"/>
  <c r="L2261" i="7"/>
  <c r="L2262" i="7"/>
  <c r="L2263" i="7"/>
  <c r="L2264" i="7"/>
  <c r="L2265" i="7"/>
  <c r="L2266" i="7"/>
  <c r="L2267" i="7"/>
  <c r="L2268" i="7"/>
  <c r="L2269" i="7"/>
  <c r="L2270" i="7"/>
  <c r="L2271" i="7"/>
  <c r="L2272" i="7"/>
  <c r="L2273" i="7"/>
  <c r="L2274" i="7"/>
  <c r="L2275" i="7"/>
  <c r="L2276" i="7"/>
  <c r="L2277" i="7"/>
  <c r="L2278" i="7"/>
  <c r="L2279" i="7"/>
  <c r="L2280" i="7"/>
  <c r="L2281" i="7"/>
  <c r="L2282" i="7"/>
  <c r="L2283" i="7"/>
  <c r="L2284" i="7"/>
  <c r="L2285" i="7"/>
  <c r="L2286" i="7"/>
  <c r="L2287" i="7"/>
  <c r="L2288" i="7"/>
  <c r="L2289" i="7"/>
  <c r="L2290" i="7"/>
  <c r="L2291" i="7"/>
  <c r="L2292" i="7"/>
  <c r="L2293" i="7"/>
  <c r="L2294" i="7"/>
  <c r="L2295" i="7"/>
  <c r="L2296" i="7"/>
  <c r="L2297" i="7"/>
  <c r="L2298" i="7"/>
  <c r="L2299" i="7"/>
  <c r="L2300" i="7"/>
  <c r="L2301" i="7"/>
  <c r="L2302" i="7"/>
  <c r="L2303" i="7"/>
  <c r="L2304" i="7"/>
  <c r="L2305" i="7"/>
  <c r="L2306" i="7"/>
  <c r="L2307" i="7"/>
  <c r="L2308" i="7"/>
  <c r="L2309" i="7"/>
  <c r="L2310" i="7"/>
  <c r="L2311" i="7"/>
  <c r="L2312" i="7"/>
  <c r="L2313" i="7"/>
  <c r="L2314" i="7"/>
  <c r="L2315" i="7"/>
  <c r="L2316" i="7"/>
  <c r="L2317" i="7"/>
  <c r="L2318" i="7"/>
  <c r="L2319" i="7"/>
  <c r="L2320" i="7"/>
  <c r="L2321" i="7"/>
  <c r="L2322" i="7"/>
  <c r="L2323" i="7"/>
  <c r="L2324" i="7"/>
  <c r="L2325" i="7"/>
  <c r="L2326" i="7"/>
  <c r="L2327" i="7"/>
  <c r="L2328" i="7"/>
  <c r="L2329" i="7"/>
  <c r="L2330" i="7"/>
  <c r="L2331" i="7"/>
  <c r="L2332" i="7"/>
  <c r="L2333" i="7"/>
  <c r="L2334" i="7"/>
  <c r="L2335" i="7"/>
  <c r="L2336" i="7"/>
  <c r="L2337" i="7"/>
  <c r="L2338" i="7"/>
  <c r="L2339" i="7"/>
  <c r="L2340" i="7"/>
  <c r="L2341" i="7"/>
  <c r="L2342" i="7"/>
  <c r="L2343" i="7"/>
  <c r="L2344" i="7"/>
  <c r="L2345" i="7"/>
  <c r="L2346" i="7"/>
  <c r="L2347" i="7"/>
  <c r="L2348" i="7"/>
  <c r="L2349" i="7"/>
  <c r="L2350" i="7"/>
  <c r="L2351" i="7"/>
  <c r="L2352" i="7"/>
  <c r="L2353" i="7"/>
  <c r="L2354" i="7"/>
  <c r="L2355" i="7"/>
  <c r="L2356" i="7"/>
  <c r="L2357" i="7"/>
  <c r="L2358" i="7"/>
  <c r="L2359" i="7"/>
  <c r="L2360" i="7"/>
  <c r="L2361" i="7"/>
  <c r="L2362" i="7"/>
  <c r="L2363" i="7"/>
  <c r="L2364" i="7"/>
  <c r="L2365" i="7"/>
  <c r="L2366" i="7"/>
  <c r="L2367" i="7"/>
  <c r="L2368" i="7"/>
  <c r="L2369" i="7"/>
  <c r="L2370" i="7"/>
  <c r="L2371" i="7"/>
  <c r="L2372" i="7"/>
  <c r="L2373" i="7"/>
  <c r="L2374" i="7"/>
  <c r="L2375" i="7"/>
  <c r="L2376" i="7"/>
  <c r="L2377" i="7"/>
  <c r="L2378" i="7"/>
  <c r="L2379" i="7"/>
  <c r="L2380" i="7"/>
  <c r="L2381" i="7"/>
  <c r="L2382" i="7"/>
  <c r="L2383" i="7"/>
  <c r="L2384" i="7"/>
  <c r="L2385" i="7"/>
  <c r="L2386" i="7"/>
  <c r="L2387" i="7"/>
  <c r="L2388" i="7"/>
  <c r="L2389" i="7"/>
  <c r="L2390" i="7"/>
  <c r="L2391" i="7"/>
  <c r="L2392" i="7"/>
  <c r="L2393" i="7"/>
  <c r="L2394" i="7"/>
  <c r="L2395" i="7"/>
  <c r="L2396" i="7"/>
  <c r="L2397" i="7"/>
  <c r="L2398" i="7"/>
  <c r="L2399" i="7"/>
  <c r="L2400" i="7"/>
  <c r="L2401" i="7"/>
  <c r="L2402" i="7"/>
  <c r="L2403" i="7"/>
  <c r="L2404" i="7"/>
  <c r="L2405" i="7"/>
  <c r="L2406" i="7"/>
  <c r="L2407" i="7"/>
  <c r="L2408" i="7"/>
  <c r="L2409" i="7"/>
  <c r="L2410" i="7"/>
  <c r="L2411" i="7"/>
  <c r="L2412" i="7"/>
  <c r="L2413" i="7"/>
  <c r="L2414" i="7"/>
  <c r="L2415" i="7"/>
  <c r="L2416" i="7"/>
  <c r="L2417" i="7"/>
  <c r="L2418" i="7"/>
  <c r="L2419" i="7"/>
  <c r="L2420" i="7"/>
  <c r="L2421" i="7"/>
  <c r="L2422" i="7"/>
  <c r="L2423" i="7"/>
  <c r="L2424" i="7"/>
  <c r="L2425" i="7"/>
  <c r="L2426" i="7"/>
  <c r="L2427" i="7"/>
  <c r="L2428" i="7"/>
  <c r="L2429" i="7"/>
  <c r="L2430" i="7"/>
  <c r="L2431" i="7"/>
  <c r="L2432" i="7"/>
  <c r="L2433" i="7"/>
  <c r="L2434" i="7"/>
  <c r="L2435" i="7"/>
  <c r="L2436" i="7"/>
  <c r="L2437" i="7"/>
  <c r="L2438" i="7"/>
  <c r="L2439" i="7"/>
  <c r="L2440" i="7"/>
  <c r="L2441" i="7"/>
  <c r="L2442" i="7"/>
  <c r="L2443" i="7"/>
  <c r="L2444" i="7"/>
  <c r="L2445" i="7"/>
  <c r="L2446" i="7"/>
  <c r="L2447" i="7"/>
  <c r="L2448" i="7"/>
  <c r="L2449" i="7"/>
  <c r="L2450" i="7"/>
  <c r="L2451" i="7"/>
  <c r="L2452" i="7"/>
  <c r="L2453" i="7"/>
  <c r="L2454" i="7"/>
  <c r="L2455" i="7"/>
  <c r="L2456" i="7"/>
  <c r="L2457" i="7"/>
  <c r="L2458" i="7"/>
  <c r="L2459" i="7"/>
  <c r="L2460" i="7"/>
  <c r="L2461" i="7"/>
  <c r="L2462" i="7"/>
  <c r="L2463" i="7"/>
  <c r="L2464" i="7"/>
  <c r="L2465" i="7"/>
  <c r="L2466" i="7"/>
  <c r="L2467" i="7"/>
  <c r="L2468" i="7"/>
  <c r="L2469" i="7"/>
  <c r="L2470" i="7"/>
  <c r="L2471" i="7"/>
  <c r="L2472" i="7"/>
  <c r="L2473" i="7"/>
  <c r="L2474" i="7"/>
  <c r="L2475" i="7"/>
  <c r="L2476" i="7"/>
  <c r="L2477" i="7"/>
  <c r="L2478" i="7"/>
  <c r="L2479" i="7"/>
  <c r="L2480" i="7"/>
  <c r="L2481" i="7"/>
  <c r="L2482" i="7"/>
  <c r="L2483" i="7"/>
  <c r="L2484" i="7"/>
  <c r="L2485" i="7"/>
  <c r="L2486" i="7"/>
  <c r="L2487" i="7"/>
  <c r="L2488" i="7"/>
  <c r="L2489" i="7"/>
  <c r="L2490" i="7"/>
  <c r="L2491" i="7"/>
  <c r="L2492" i="7"/>
  <c r="L2493" i="7"/>
  <c r="L2494" i="7"/>
  <c r="L2495" i="7"/>
  <c r="L2496" i="7"/>
  <c r="L2497" i="7"/>
  <c r="L2498" i="7"/>
  <c r="L2499" i="7"/>
  <c r="L2500" i="7"/>
  <c r="L2501" i="7"/>
  <c r="L2502" i="7"/>
  <c r="L2503" i="7"/>
  <c r="L2504" i="7"/>
  <c r="L2505" i="7"/>
  <c r="L2506" i="7"/>
  <c r="L2507" i="7"/>
  <c r="L2508" i="7"/>
  <c r="L2509" i="7"/>
  <c r="L2510" i="7"/>
  <c r="L2511" i="7"/>
  <c r="L2512" i="7"/>
  <c r="L2513" i="7"/>
  <c r="L2514" i="7"/>
  <c r="L2515" i="7"/>
  <c r="L2516" i="7"/>
  <c r="L2517" i="7"/>
  <c r="L2518" i="7"/>
  <c r="L2519" i="7"/>
  <c r="L2520" i="7"/>
  <c r="L2521" i="7"/>
  <c r="L2522" i="7"/>
  <c r="L2523" i="7"/>
  <c r="L2524" i="7"/>
  <c r="L2525" i="7"/>
  <c r="L2526" i="7"/>
  <c r="L2527" i="7"/>
  <c r="L2528" i="7"/>
  <c r="L2529" i="7"/>
  <c r="L2530" i="7"/>
  <c r="L2531" i="7"/>
  <c r="L2532" i="7"/>
  <c r="L2533" i="7"/>
  <c r="L2534" i="7"/>
  <c r="L2535" i="7"/>
  <c r="L2536" i="7"/>
  <c r="L2537" i="7"/>
  <c r="L2538" i="7"/>
  <c r="L2539" i="7"/>
  <c r="L2540" i="7"/>
  <c r="L2541" i="7"/>
  <c r="L2542" i="7"/>
  <c r="L2543" i="7"/>
  <c r="L2544" i="7"/>
  <c r="L2545" i="7"/>
  <c r="L2546" i="7"/>
  <c r="L2547" i="7"/>
  <c r="L2548" i="7"/>
  <c r="L2549" i="7"/>
  <c r="L2550" i="7"/>
  <c r="L2551" i="7"/>
  <c r="L2552" i="7"/>
  <c r="L2553" i="7"/>
  <c r="L2554" i="7"/>
  <c r="L2555" i="7"/>
  <c r="L2556" i="7"/>
  <c r="L2557" i="7"/>
  <c r="L2558" i="7"/>
  <c r="L2559" i="7"/>
  <c r="L2560" i="7"/>
  <c r="L2561" i="7"/>
  <c r="L2562" i="7"/>
  <c r="L2563" i="7"/>
  <c r="L2564" i="7"/>
  <c r="L2565" i="7"/>
  <c r="L2566" i="7"/>
  <c r="L2567" i="7"/>
  <c r="L2568" i="7"/>
  <c r="L2569" i="7"/>
  <c r="L2570" i="7"/>
  <c r="L2571" i="7"/>
  <c r="L2572" i="7"/>
  <c r="L2573" i="7"/>
  <c r="L2574" i="7"/>
  <c r="L2575" i="7"/>
  <c r="L2576" i="7"/>
  <c r="L2577" i="7"/>
  <c r="L2578" i="7"/>
  <c r="L2579" i="7"/>
  <c r="L2580" i="7"/>
  <c r="L2581" i="7"/>
  <c r="L2582" i="7"/>
  <c r="L2583" i="7"/>
  <c r="L2584" i="7"/>
  <c r="L2585" i="7"/>
  <c r="L2586" i="7"/>
  <c r="L2587" i="7"/>
  <c r="L2588" i="7"/>
  <c r="L2589" i="7"/>
  <c r="L2590" i="7"/>
  <c r="L2591" i="7"/>
  <c r="L2592" i="7"/>
  <c r="L2593" i="7"/>
  <c r="L2594" i="7"/>
  <c r="L2595" i="7"/>
  <c r="L2596" i="7"/>
  <c r="L2597" i="7"/>
  <c r="L2598" i="7"/>
  <c r="L2599" i="7"/>
  <c r="L2600" i="7"/>
  <c r="L2601" i="7"/>
  <c r="L2602" i="7"/>
  <c r="L2603" i="7"/>
  <c r="L2604" i="7"/>
  <c r="L2605" i="7"/>
  <c r="L2606" i="7"/>
  <c r="L2607" i="7"/>
  <c r="L2608" i="7"/>
  <c r="L2609" i="7"/>
  <c r="L2610" i="7"/>
  <c r="L2611" i="7"/>
  <c r="L2612" i="7"/>
  <c r="L2613" i="7"/>
  <c r="L2614" i="7"/>
  <c r="L2615" i="7"/>
  <c r="L2616" i="7"/>
  <c r="L2617" i="7"/>
  <c r="L2618" i="7"/>
  <c r="L2619" i="7"/>
  <c r="L2620" i="7"/>
  <c r="L2621" i="7"/>
  <c r="L2622" i="7"/>
  <c r="L2623" i="7"/>
  <c r="L2624" i="7"/>
  <c r="L2625" i="7"/>
  <c r="L2626" i="7"/>
  <c r="L2627" i="7"/>
  <c r="L2628" i="7"/>
  <c r="L2629" i="7"/>
  <c r="L2630" i="7"/>
  <c r="L2631" i="7"/>
  <c r="L2632" i="7"/>
  <c r="L2633" i="7"/>
  <c r="L2634" i="7"/>
  <c r="L2635" i="7"/>
  <c r="L2636" i="7"/>
  <c r="L2637" i="7"/>
  <c r="L2638" i="7"/>
  <c r="L2639" i="7"/>
  <c r="L2640" i="7"/>
  <c r="L2641" i="7"/>
  <c r="L2642" i="7"/>
  <c r="L2643" i="7"/>
  <c r="L2644" i="7"/>
  <c r="L2645" i="7"/>
  <c r="L2646" i="7"/>
  <c r="L2647" i="7"/>
  <c r="L2648" i="7"/>
  <c r="L2649" i="7"/>
  <c r="L2650" i="7"/>
  <c r="L2651" i="7"/>
  <c r="L2652" i="7"/>
  <c r="L2653" i="7"/>
  <c r="L2654" i="7"/>
  <c r="L2655" i="7"/>
  <c r="L2656" i="7"/>
  <c r="L2657" i="7"/>
  <c r="L2658" i="7"/>
  <c r="L2659" i="7"/>
  <c r="L2660" i="7"/>
  <c r="L2661" i="7"/>
  <c r="L2662" i="7"/>
  <c r="L2663" i="7"/>
  <c r="L2664" i="7"/>
  <c r="L2665" i="7"/>
  <c r="L2666" i="7"/>
  <c r="L2667" i="7"/>
  <c r="L2668" i="7"/>
  <c r="L2669" i="7"/>
  <c r="L2670" i="7"/>
  <c r="L2671" i="7"/>
  <c r="L2672" i="7"/>
  <c r="L2673" i="7"/>
  <c r="L2674" i="7"/>
  <c r="L2675" i="7"/>
  <c r="L2676" i="7"/>
  <c r="L2677" i="7"/>
  <c r="L2678" i="7"/>
  <c r="L2679" i="7"/>
  <c r="L2680" i="7"/>
  <c r="L2681" i="7"/>
  <c r="L2682" i="7"/>
  <c r="L2683" i="7"/>
  <c r="L2684" i="7"/>
  <c r="L2685" i="7"/>
  <c r="L2686" i="7"/>
  <c r="L2687" i="7"/>
  <c r="L2688" i="7"/>
  <c r="L2689" i="7"/>
  <c r="L2690" i="7"/>
  <c r="L2691" i="7"/>
  <c r="L2692" i="7"/>
  <c r="L2693" i="7"/>
  <c r="L2694" i="7"/>
  <c r="L2695" i="7"/>
  <c r="L2696" i="7"/>
  <c r="L2697" i="7"/>
  <c r="L2698" i="7"/>
  <c r="L2699" i="7"/>
  <c r="L2700" i="7"/>
  <c r="L2701" i="7"/>
  <c r="L2702" i="7"/>
  <c r="L2703" i="7"/>
  <c r="L2704" i="7"/>
  <c r="L2705" i="7"/>
  <c r="L2706" i="7"/>
  <c r="L2707" i="7"/>
  <c r="L2708" i="7"/>
  <c r="L2709" i="7"/>
  <c r="L2710" i="7"/>
  <c r="L2711" i="7"/>
  <c r="L2712" i="7"/>
  <c r="L2713" i="7"/>
  <c r="L2714" i="7"/>
  <c r="L2715" i="7"/>
  <c r="L2716" i="7"/>
  <c r="L2717" i="7"/>
  <c r="L2718" i="7"/>
  <c r="L2719" i="7"/>
  <c r="L2720" i="7"/>
  <c r="L2721" i="7"/>
  <c r="L2722" i="7"/>
  <c r="L2723" i="7"/>
  <c r="L2724" i="7"/>
  <c r="L2725" i="7"/>
  <c r="L2726" i="7"/>
  <c r="L2727" i="7"/>
  <c r="L2728" i="7"/>
  <c r="L2729" i="7"/>
  <c r="L2730" i="7"/>
  <c r="L2731" i="7"/>
  <c r="L2732" i="7"/>
  <c r="L2733" i="7"/>
  <c r="L2734" i="7"/>
  <c r="L2735" i="7"/>
  <c r="L2736" i="7"/>
  <c r="L2737" i="7"/>
  <c r="L2738" i="7"/>
  <c r="L2739" i="7"/>
  <c r="L2740" i="7"/>
  <c r="L2741" i="7"/>
  <c r="L2742" i="7"/>
  <c r="L2743" i="7"/>
  <c r="L2744" i="7"/>
  <c r="L2745" i="7"/>
  <c r="L2746" i="7"/>
  <c r="L2747" i="7"/>
  <c r="L2748" i="7"/>
  <c r="L2749" i="7"/>
  <c r="L2750" i="7"/>
  <c r="L2751" i="7"/>
  <c r="L2752" i="7"/>
  <c r="L2753" i="7"/>
  <c r="L2754" i="7"/>
  <c r="L2755" i="7"/>
  <c r="L2756" i="7"/>
  <c r="L2757" i="7"/>
  <c r="L2758" i="7"/>
  <c r="L2759" i="7"/>
  <c r="L2760" i="7"/>
  <c r="L2761" i="7"/>
  <c r="L2762" i="7"/>
  <c r="L2763" i="7"/>
  <c r="L2764" i="7"/>
  <c r="L2765" i="7"/>
  <c r="L2766" i="7"/>
  <c r="L2767" i="7"/>
  <c r="L2768" i="7"/>
  <c r="L2769" i="7"/>
  <c r="L2770" i="7"/>
  <c r="L2771" i="7"/>
  <c r="L2772" i="7"/>
  <c r="L2773" i="7"/>
  <c r="L2774" i="7"/>
  <c r="L2775" i="7"/>
  <c r="L2776" i="7"/>
  <c r="L2777" i="7"/>
  <c r="L2778" i="7"/>
  <c r="L2779" i="7"/>
  <c r="L2780" i="7"/>
  <c r="L2781" i="7"/>
  <c r="L2782" i="7"/>
  <c r="L2783" i="7"/>
  <c r="L2784" i="7"/>
  <c r="L2785" i="7"/>
  <c r="L2786" i="7"/>
  <c r="L2787" i="7"/>
  <c r="L2788" i="7"/>
  <c r="L2789" i="7"/>
  <c r="L2790" i="7"/>
  <c r="L2791" i="7"/>
  <c r="L2792" i="7"/>
  <c r="L2793" i="7"/>
  <c r="L2794" i="7"/>
  <c r="L2795" i="7"/>
  <c r="L2796" i="7"/>
  <c r="L2797" i="7"/>
  <c r="L2798" i="7"/>
  <c r="L2799" i="7"/>
  <c r="L2800" i="7"/>
  <c r="L2801" i="7"/>
  <c r="L2802" i="7"/>
  <c r="L2803" i="7"/>
  <c r="L2804" i="7"/>
  <c r="L2805" i="7"/>
  <c r="L2806" i="7"/>
  <c r="L2807" i="7"/>
  <c r="L2808" i="7"/>
  <c r="L2809" i="7"/>
  <c r="L2810" i="7"/>
  <c r="L2811" i="7"/>
  <c r="L2812" i="7"/>
  <c r="L2813" i="7"/>
  <c r="L2814" i="7"/>
  <c r="L2815" i="7"/>
  <c r="L2816" i="7"/>
  <c r="L2817" i="7"/>
  <c r="L2818" i="7"/>
  <c r="L2819" i="7"/>
  <c r="L2820" i="7"/>
  <c r="L2821" i="7"/>
  <c r="L2822" i="7"/>
  <c r="L2823" i="7"/>
  <c r="L2824" i="7"/>
  <c r="L2825" i="7"/>
  <c r="L2826" i="7"/>
  <c r="L2827" i="7"/>
  <c r="L2828" i="7"/>
  <c r="L2829" i="7"/>
  <c r="L2830" i="7"/>
  <c r="L2831" i="7"/>
  <c r="L2832" i="7"/>
  <c r="L2833" i="7"/>
  <c r="L2834" i="7"/>
  <c r="L2835" i="7"/>
  <c r="L2836" i="7"/>
  <c r="L2837" i="7"/>
  <c r="L2838" i="7"/>
  <c r="L2839" i="7"/>
  <c r="L2840" i="7"/>
  <c r="L2841" i="7"/>
  <c r="L2842" i="7"/>
  <c r="L2843" i="7"/>
  <c r="L2844" i="7"/>
  <c r="L2845" i="7"/>
  <c r="L2846" i="7"/>
  <c r="L2847" i="7"/>
  <c r="L2848" i="7"/>
  <c r="L2849" i="7"/>
  <c r="L2850" i="7"/>
  <c r="L2851" i="7"/>
  <c r="L2852" i="7"/>
  <c r="L2853" i="7"/>
  <c r="L2854" i="7"/>
  <c r="L2855" i="7"/>
  <c r="L2856" i="7"/>
  <c r="L2857" i="7"/>
  <c r="L2858" i="7"/>
  <c r="L2859" i="7"/>
  <c r="L2860" i="7"/>
  <c r="L2861" i="7"/>
  <c r="L2862" i="7"/>
  <c r="L2863" i="7"/>
  <c r="L2864" i="7"/>
  <c r="L2865" i="7"/>
  <c r="L2866" i="7"/>
  <c r="L2867" i="7"/>
  <c r="L2868" i="7"/>
  <c r="L2869" i="7"/>
  <c r="L2870" i="7"/>
  <c r="L2871" i="7"/>
  <c r="L2872" i="7"/>
  <c r="L2873" i="7"/>
  <c r="L2874" i="7"/>
  <c r="L2875" i="7"/>
  <c r="L2876" i="7"/>
  <c r="L2877" i="7"/>
  <c r="L2878" i="7"/>
  <c r="L2879" i="7"/>
  <c r="L2880" i="7"/>
  <c r="L2881" i="7"/>
  <c r="L2882" i="7"/>
  <c r="L2883" i="7"/>
  <c r="L2884" i="7"/>
  <c r="L2885" i="7"/>
  <c r="L2886" i="7"/>
  <c r="L2887" i="7"/>
  <c r="L2888" i="7"/>
  <c r="L2889" i="7"/>
  <c r="L2890" i="7"/>
  <c r="L2891" i="7"/>
  <c r="L2892" i="7"/>
  <c r="L2893" i="7"/>
  <c r="L2894" i="7"/>
  <c r="L2895" i="7"/>
  <c r="L2896" i="7"/>
  <c r="L2897" i="7"/>
  <c r="L2898" i="7"/>
  <c r="L2899" i="7"/>
  <c r="L2900" i="7"/>
  <c r="L2901" i="7"/>
  <c r="L2902" i="7"/>
  <c r="L2903" i="7"/>
  <c r="L2904" i="7"/>
  <c r="L2905" i="7"/>
  <c r="L2906" i="7"/>
  <c r="L2907" i="7"/>
  <c r="L2908" i="7"/>
  <c r="L2909" i="7"/>
  <c r="L2910" i="7"/>
  <c r="L2911" i="7"/>
  <c r="L2912" i="7"/>
  <c r="L2913" i="7"/>
  <c r="L2914" i="7"/>
  <c r="L2915" i="7"/>
  <c r="L2916" i="7"/>
  <c r="L2917" i="7"/>
  <c r="L2918" i="7"/>
  <c r="L2919" i="7"/>
  <c r="L2920" i="7"/>
  <c r="L2921" i="7"/>
  <c r="L2922" i="7"/>
  <c r="L2923" i="7"/>
  <c r="L2924" i="7"/>
  <c r="L2925" i="7"/>
  <c r="L2926" i="7"/>
  <c r="L2927" i="7"/>
  <c r="L2928" i="7"/>
  <c r="L2929" i="7"/>
  <c r="L2930" i="7"/>
  <c r="L2931" i="7"/>
  <c r="L2932" i="7"/>
  <c r="L2933" i="7"/>
  <c r="L2934" i="7"/>
  <c r="L2935" i="7"/>
  <c r="L2936" i="7"/>
  <c r="L2937" i="7"/>
  <c r="L2938" i="7"/>
  <c r="L2939" i="7"/>
  <c r="L2940" i="7"/>
  <c r="L2941" i="7"/>
  <c r="L2942" i="7"/>
  <c r="L2943" i="7"/>
  <c r="L2944" i="7"/>
  <c r="L2945" i="7"/>
  <c r="L2946" i="7"/>
  <c r="L2947" i="7"/>
  <c r="L2948" i="7"/>
  <c r="L2949" i="7"/>
  <c r="L2950" i="7"/>
  <c r="L2951" i="7"/>
  <c r="L2952" i="7"/>
  <c r="L2953" i="7"/>
  <c r="L2954" i="7"/>
  <c r="L2955" i="7"/>
  <c r="L2956" i="7"/>
  <c r="L2957" i="7"/>
  <c r="L2958" i="7"/>
  <c r="L2959" i="7"/>
  <c r="L2960" i="7"/>
  <c r="L2961" i="7"/>
  <c r="L2962" i="7"/>
  <c r="L2963" i="7"/>
  <c r="L2964" i="7"/>
  <c r="L2965" i="7"/>
  <c r="L2966" i="7"/>
  <c r="L2967" i="7"/>
  <c r="L2968" i="7"/>
  <c r="L2969" i="7"/>
  <c r="L2970" i="7"/>
  <c r="L2971" i="7"/>
  <c r="L2972" i="7"/>
  <c r="L2973" i="7"/>
  <c r="L2974" i="7"/>
  <c r="L2975" i="7"/>
  <c r="L2976" i="7"/>
  <c r="L2977" i="7"/>
  <c r="L2978" i="7"/>
  <c r="L2979" i="7"/>
  <c r="L2980" i="7"/>
  <c r="L2981" i="7"/>
  <c r="L2982" i="7"/>
  <c r="L2983" i="7"/>
  <c r="L2984" i="7"/>
  <c r="L2985" i="7"/>
  <c r="L2986" i="7"/>
  <c r="L2987" i="7"/>
  <c r="L2988" i="7"/>
  <c r="L2989" i="7"/>
  <c r="L2990" i="7"/>
  <c r="L2991" i="7"/>
  <c r="L2992" i="7"/>
  <c r="L2993" i="7"/>
  <c r="L2994" i="7"/>
  <c r="L2995" i="7"/>
  <c r="L2996" i="7"/>
  <c r="L2997" i="7"/>
  <c r="L2998" i="7"/>
  <c r="L2999" i="7"/>
  <c r="L3000" i="7"/>
  <c r="L3001" i="7"/>
  <c r="L3002" i="7"/>
  <c r="L3003" i="7"/>
  <c r="L3004" i="7"/>
  <c r="L3005" i="7"/>
  <c r="L3006" i="7"/>
  <c r="L3007" i="7"/>
  <c r="L3008" i="7"/>
  <c r="L3009" i="7"/>
  <c r="L3010" i="7"/>
  <c r="L3011" i="7"/>
  <c r="L3012" i="7"/>
  <c r="L3013" i="7"/>
  <c r="L3014" i="7"/>
  <c r="L3015" i="7"/>
  <c r="L3016" i="7"/>
  <c r="L3017" i="7"/>
  <c r="L3018" i="7"/>
  <c r="L3019" i="7"/>
  <c r="L3020" i="7"/>
  <c r="L3021" i="7"/>
  <c r="L3022" i="7"/>
  <c r="L3023" i="7"/>
  <c r="L3024" i="7"/>
  <c r="L3025" i="7"/>
  <c r="L3026" i="7"/>
  <c r="L3027" i="7"/>
  <c r="L3028" i="7"/>
  <c r="L3029" i="7"/>
  <c r="L3030" i="7"/>
  <c r="L3031" i="7"/>
  <c r="L3032" i="7"/>
  <c r="L3033" i="7"/>
  <c r="L3034" i="7"/>
  <c r="L3035" i="7"/>
  <c r="L3036" i="7"/>
  <c r="L3037" i="7"/>
  <c r="L3038" i="7"/>
  <c r="L3039" i="7"/>
  <c r="L3040" i="7"/>
  <c r="L3041" i="7"/>
  <c r="L3042" i="7"/>
  <c r="L3043" i="7"/>
  <c r="L3044" i="7"/>
  <c r="L3045" i="7"/>
  <c r="L3046" i="7"/>
  <c r="L3047" i="7"/>
  <c r="L3048" i="7"/>
  <c r="L3049" i="7"/>
  <c r="L3050" i="7"/>
  <c r="L3051" i="7"/>
  <c r="L3052" i="7"/>
  <c r="L3053" i="7"/>
  <c r="L3054" i="7"/>
  <c r="L3055" i="7"/>
  <c r="L3056" i="7"/>
  <c r="L3057" i="7"/>
  <c r="L3058" i="7"/>
  <c r="L3059" i="7"/>
  <c r="L3060" i="7"/>
  <c r="L3061" i="7"/>
  <c r="L3062" i="7"/>
  <c r="L3063" i="7"/>
  <c r="L3064" i="7"/>
  <c r="L3065" i="7"/>
  <c r="L3066" i="7"/>
  <c r="L3067" i="7"/>
  <c r="L3068" i="7"/>
  <c r="L3069" i="7"/>
  <c r="L3070" i="7"/>
  <c r="L3071" i="7"/>
  <c r="L3072" i="7"/>
  <c r="L3073" i="7"/>
  <c r="L3074" i="7"/>
  <c r="L3075" i="7"/>
  <c r="L3076" i="7"/>
  <c r="L3077" i="7"/>
  <c r="L3078" i="7"/>
  <c r="L3079" i="7"/>
  <c r="L3080" i="7"/>
  <c r="L3081" i="7"/>
  <c r="L3082" i="7"/>
  <c r="L3083" i="7"/>
  <c r="L3084" i="7"/>
  <c r="L3085" i="7"/>
  <c r="L3086" i="7"/>
  <c r="L3087" i="7"/>
  <c r="L3088" i="7"/>
  <c r="L3089" i="7"/>
  <c r="L3090" i="7"/>
  <c r="L3091" i="7"/>
  <c r="L3092" i="7"/>
  <c r="L3093" i="7"/>
  <c r="L3094" i="7"/>
  <c r="L3095" i="7"/>
  <c r="L3096" i="7"/>
  <c r="L3097" i="7"/>
  <c r="L3098" i="7"/>
  <c r="L3099" i="7"/>
  <c r="L3100" i="7"/>
  <c r="L3101" i="7"/>
  <c r="L3102" i="7"/>
  <c r="L3103" i="7"/>
  <c r="L3104" i="7"/>
  <c r="L3105" i="7"/>
  <c r="L3106" i="7"/>
  <c r="L3107" i="7"/>
  <c r="L3108" i="7"/>
  <c r="L3109" i="7"/>
  <c r="L3110" i="7"/>
  <c r="L3111" i="7"/>
  <c r="L3112" i="7"/>
  <c r="L3113" i="7"/>
  <c r="L3114" i="7"/>
  <c r="L3115" i="7"/>
  <c r="L3116" i="7"/>
  <c r="L3117" i="7"/>
  <c r="L3118" i="7"/>
  <c r="L3119" i="7"/>
  <c r="L3120" i="7"/>
  <c r="L3121" i="7"/>
  <c r="L3122" i="7"/>
  <c r="L3123" i="7"/>
  <c r="L3124" i="7"/>
  <c r="L3125" i="7"/>
  <c r="L3126" i="7"/>
  <c r="L3127" i="7"/>
  <c r="L3128" i="7"/>
  <c r="L3129" i="7"/>
  <c r="L3130" i="7"/>
  <c r="L3131" i="7"/>
  <c r="L3132" i="7"/>
  <c r="L3133" i="7"/>
  <c r="L3134" i="7"/>
  <c r="L3135" i="7"/>
  <c r="L3136" i="7"/>
  <c r="L3137" i="7"/>
  <c r="L3138" i="7"/>
  <c r="L3139" i="7"/>
  <c r="L3140" i="7"/>
  <c r="L3141" i="7"/>
  <c r="L3142" i="7"/>
  <c r="L3143" i="7"/>
  <c r="L3144" i="7"/>
  <c r="L3145" i="7"/>
  <c r="L3146" i="7"/>
  <c r="L3147" i="7"/>
  <c r="L3148" i="7"/>
  <c r="L3149" i="7"/>
  <c r="L3150" i="7"/>
  <c r="L3151" i="7"/>
  <c r="L3152" i="7"/>
  <c r="L3153" i="7"/>
  <c r="L3154" i="7"/>
  <c r="L3155" i="7"/>
  <c r="L3156" i="7"/>
  <c r="L3157" i="7"/>
  <c r="L3158" i="7"/>
  <c r="L3159" i="7"/>
  <c r="L3160" i="7"/>
  <c r="L3161" i="7"/>
  <c r="L3162" i="7"/>
  <c r="L3163" i="7"/>
  <c r="L3164" i="7"/>
  <c r="L3165" i="7"/>
  <c r="L3166" i="7"/>
  <c r="L3167" i="7"/>
  <c r="L3168" i="7"/>
  <c r="L3169" i="7"/>
  <c r="L3170" i="7"/>
  <c r="L3171" i="7"/>
  <c r="L3172" i="7"/>
  <c r="L3173" i="7"/>
  <c r="L3174" i="7"/>
  <c r="L3175" i="7"/>
  <c r="L3176" i="7"/>
  <c r="L3177" i="7"/>
  <c r="L3178" i="7"/>
  <c r="L3179" i="7"/>
  <c r="L3180" i="7"/>
  <c r="L3181" i="7"/>
  <c r="L3182" i="7"/>
  <c r="L3183" i="7"/>
  <c r="L3184" i="7"/>
  <c r="L3185" i="7"/>
  <c r="L3186" i="7"/>
  <c r="L3187" i="7"/>
  <c r="L3188" i="7"/>
  <c r="L3189" i="7"/>
  <c r="L3190" i="7"/>
  <c r="L3191" i="7"/>
  <c r="L3192" i="7"/>
  <c r="L3193" i="7"/>
  <c r="L3194" i="7"/>
  <c r="L3195" i="7"/>
  <c r="L3196" i="7"/>
  <c r="L3197" i="7"/>
  <c r="L3198" i="7"/>
  <c r="L3199" i="7"/>
  <c r="L3200" i="7"/>
  <c r="L3201" i="7"/>
  <c r="L3202" i="7"/>
  <c r="L3203" i="7"/>
  <c r="L3204" i="7"/>
  <c r="L3205" i="7"/>
  <c r="L3206" i="7"/>
  <c r="L3207" i="7"/>
  <c r="L3208" i="7"/>
  <c r="L3209" i="7"/>
  <c r="L3210" i="7"/>
  <c r="L3211" i="7"/>
  <c r="L3212" i="7"/>
  <c r="L3213" i="7"/>
  <c r="L3214" i="7"/>
  <c r="L3215" i="7"/>
  <c r="L3216" i="7"/>
  <c r="L3217" i="7"/>
  <c r="L3218" i="7"/>
  <c r="L3219" i="7"/>
  <c r="L3220" i="7"/>
  <c r="L3221" i="7"/>
  <c r="L3222" i="7"/>
  <c r="L3223" i="7"/>
  <c r="L3224" i="7"/>
  <c r="L3225" i="7"/>
  <c r="L3226" i="7"/>
  <c r="L3227" i="7"/>
  <c r="L3228" i="7"/>
  <c r="L3229" i="7"/>
  <c r="L3230" i="7"/>
  <c r="L3231" i="7"/>
  <c r="L3232" i="7"/>
  <c r="L3233" i="7"/>
  <c r="L3234" i="7"/>
  <c r="L3235" i="7"/>
  <c r="L3236" i="7"/>
  <c r="L3237" i="7"/>
  <c r="L3238" i="7"/>
  <c r="L3239" i="7"/>
  <c r="L3240" i="7"/>
  <c r="L3241" i="7"/>
  <c r="L3242" i="7"/>
  <c r="L3243" i="7"/>
  <c r="L3244" i="7"/>
  <c r="L3245" i="7"/>
  <c r="L3246" i="7"/>
  <c r="L3247" i="7"/>
  <c r="L3248" i="7"/>
  <c r="L3249" i="7"/>
  <c r="L3250" i="7"/>
  <c r="L3251" i="7"/>
  <c r="L3252" i="7"/>
  <c r="L3253" i="7"/>
  <c r="L3254" i="7"/>
  <c r="L3255" i="7"/>
  <c r="L3256" i="7"/>
  <c r="L3257" i="7"/>
  <c r="L3258" i="7"/>
  <c r="L3259" i="7"/>
  <c r="L3260" i="7"/>
  <c r="L3261" i="7"/>
  <c r="L3262" i="7"/>
  <c r="L3263" i="7"/>
  <c r="L3264" i="7"/>
  <c r="L3265" i="7"/>
  <c r="L3266" i="7"/>
  <c r="L3267" i="7"/>
  <c r="L3268" i="7"/>
  <c r="L3269" i="7"/>
  <c r="L3270" i="7"/>
  <c r="L3271" i="7"/>
  <c r="L3272" i="7"/>
  <c r="L3273" i="7"/>
  <c r="L3274" i="7"/>
  <c r="L3275" i="7"/>
  <c r="L3276" i="7"/>
  <c r="L3277" i="7"/>
  <c r="L3278" i="7"/>
  <c r="L3279" i="7"/>
  <c r="L3280" i="7"/>
  <c r="L3281" i="7"/>
  <c r="L3282" i="7"/>
  <c r="L3283" i="7"/>
  <c r="L3284" i="7"/>
  <c r="L3285" i="7"/>
  <c r="L3286" i="7"/>
  <c r="L3287" i="7"/>
  <c r="L3288" i="7"/>
  <c r="L3289" i="7"/>
  <c r="L3290" i="7"/>
  <c r="L3291" i="7"/>
  <c r="L3292" i="7"/>
  <c r="L3293" i="7"/>
  <c r="L3294" i="7"/>
  <c r="L3295" i="7"/>
  <c r="L3296" i="7"/>
  <c r="L3297" i="7"/>
  <c r="L3298" i="7"/>
  <c r="L3299" i="7"/>
  <c r="L3300" i="7"/>
  <c r="L3301" i="7"/>
  <c r="L3302" i="7"/>
  <c r="L3303" i="7"/>
  <c r="L3304" i="7"/>
  <c r="L3305" i="7"/>
  <c r="L3306" i="7"/>
  <c r="L3307" i="7"/>
  <c r="L3308" i="7"/>
  <c r="L3309" i="7"/>
  <c r="L3310" i="7"/>
  <c r="L3311" i="7"/>
  <c r="L3312" i="7"/>
  <c r="L3313" i="7"/>
  <c r="L3314" i="7"/>
  <c r="L3315" i="7"/>
  <c r="L3316" i="7"/>
  <c r="L3317" i="7"/>
  <c r="L3318" i="7"/>
  <c r="L3319" i="7"/>
  <c r="L3320" i="7"/>
  <c r="L3321" i="7"/>
  <c r="L3322" i="7"/>
  <c r="L3323" i="7"/>
  <c r="L3324" i="7"/>
  <c r="L3325" i="7"/>
  <c r="L3326" i="7"/>
  <c r="L3327" i="7"/>
  <c r="L3328" i="7"/>
  <c r="L3329" i="7"/>
  <c r="L3330" i="7"/>
  <c r="L3331" i="7"/>
  <c r="L3332" i="7"/>
  <c r="L3333" i="7"/>
  <c r="L3334" i="7"/>
  <c r="L3335" i="7"/>
  <c r="L3336" i="7"/>
  <c r="L3337" i="7"/>
  <c r="L3338" i="7"/>
  <c r="L3339" i="7"/>
  <c r="L3340" i="7"/>
  <c r="L3341" i="7"/>
  <c r="L3342" i="7"/>
  <c r="L3343" i="7"/>
  <c r="L3344" i="7"/>
  <c r="L3345" i="7"/>
  <c r="L3346" i="7"/>
  <c r="L3347" i="7"/>
  <c r="L3348" i="7"/>
  <c r="L3349" i="7"/>
  <c r="L3350" i="7"/>
  <c r="L3351" i="7"/>
  <c r="L3352" i="7"/>
  <c r="L3353" i="7"/>
  <c r="L3354" i="7"/>
  <c r="L3355" i="7"/>
  <c r="L3356" i="7"/>
  <c r="L3357" i="7"/>
  <c r="L3358" i="7"/>
  <c r="L3359" i="7"/>
  <c r="L3360" i="7"/>
  <c r="L3361" i="7"/>
  <c r="L3362" i="7"/>
  <c r="L3363" i="7"/>
  <c r="L3364" i="7"/>
  <c r="L3365" i="7"/>
  <c r="L3366" i="7"/>
  <c r="L3367" i="7"/>
  <c r="L3368" i="7"/>
  <c r="L3369" i="7"/>
  <c r="L3370" i="7"/>
  <c r="L3371" i="7"/>
  <c r="L3372" i="7"/>
  <c r="L3373" i="7"/>
  <c r="L3374" i="7"/>
  <c r="L3375" i="7"/>
  <c r="L3376" i="7"/>
  <c r="L3377" i="7"/>
  <c r="L3378" i="7"/>
  <c r="L3379" i="7"/>
  <c r="L3380" i="7"/>
  <c r="L3381" i="7"/>
  <c r="L3382" i="7"/>
  <c r="L3383" i="7"/>
  <c r="L3384" i="7"/>
  <c r="L3385" i="7"/>
  <c r="L3386" i="7"/>
  <c r="L3387" i="7"/>
  <c r="L3388" i="7"/>
  <c r="L3389" i="7"/>
  <c r="L3390" i="7"/>
  <c r="L3391" i="7"/>
  <c r="L3392" i="7"/>
  <c r="L3393" i="7"/>
  <c r="L3394" i="7"/>
  <c r="L3395" i="7"/>
  <c r="L3396" i="7"/>
  <c r="L3397" i="7"/>
  <c r="L3398" i="7"/>
  <c r="L3399" i="7"/>
  <c r="L3400" i="7"/>
  <c r="L3401" i="7"/>
  <c r="L3402" i="7"/>
  <c r="L3403" i="7"/>
  <c r="L3404" i="7"/>
  <c r="L3405" i="7"/>
  <c r="L3406" i="7"/>
  <c r="L3407" i="7"/>
  <c r="L3408" i="7"/>
  <c r="L3409" i="7"/>
  <c r="L3410" i="7"/>
  <c r="L3411" i="7"/>
  <c r="L3412" i="7"/>
  <c r="L3413" i="7"/>
  <c r="L3414" i="7"/>
  <c r="L3415" i="7"/>
  <c r="L3416" i="7"/>
  <c r="L3417" i="7"/>
  <c r="L3418" i="7"/>
  <c r="L3419" i="7"/>
  <c r="L3420" i="7"/>
  <c r="L3421" i="7"/>
  <c r="L3422" i="7"/>
  <c r="L3423" i="7"/>
  <c r="L3424" i="7"/>
  <c r="L3425" i="7"/>
  <c r="L3426" i="7"/>
  <c r="L3427" i="7"/>
  <c r="L3428" i="7"/>
  <c r="L3429" i="7"/>
  <c r="L3430" i="7"/>
  <c r="L3431" i="7"/>
  <c r="L3432" i="7"/>
  <c r="L3433" i="7"/>
  <c r="L3434" i="7"/>
  <c r="L3435" i="7"/>
  <c r="L3436" i="7"/>
  <c r="L3437" i="7"/>
  <c r="L3438" i="7"/>
  <c r="L3439" i="7"/>
  <c r="L3440" i="7"/>
  <c r="L3441" i="7"/>
  <c r="L3442" i="7"/>
  <c r="L3443" i="7"/>
  <c r="L3444" i="7"/>
  <c r="L3445" i="7"/>
  <c r="L3446" i="7"/>
  <c r="L3447" i="7"/>
  <c r="L3448" i="7"/>
  <c r="L3449" i="7"/>
  <c r="L3450" i="7"/>
  <c r="L3451" i="7"/>
  <c r="L3452" i="7"/>
  <c r="L3453" i="7"/>
  <c r="L3454" i="7"/>
  <c r="L3455" i="7"/>
  <c r="L3456" i="7"/>
  <c r="L3457" i="7"/>
  <c r="L3458" i="7"/>
  <c r="L3459" i="7"/>
  <c r="L3460" i="7"/>
  <c r="L3461" i="7"/>
  <c r="L3462" i="7"/>
  <c r="L3463" i="7"/>
  <c r="L3464" i="7"/>
  <c r="L3465" i="7"/>
  <c r="L3466" i="7"/>
  <c r="L3467" i="7"/>
  <c r="L3468" i="7"/>
  <c r="L3469" i="7"/>
  <c r="L3470" i="7"/>
  <c r="L3471" i="7"/>
  <c r="L3472" i="7"/>
  <c r="L3473" i="7"/>
  <c r="L3474" i="7"/>
  <c r="L3475" i="7"/>
  <c r="L3476" i="7"/>
  <c r="L3477" i="7"/>
  <c r="L3478" i="7"/>
  <c r="L3479" i="7"/>
  <c r="L3480" i="7"/>
  <c r="L3481" i="7"/>
  <c r="L3482" i="7"/>
  <c r="L3483" i="7"/>
  <c r="L3484" i="7"/>
  <c r="L3485" i="7"/>
  <c r="L3486" i="7"/>
  <c r="L3487" i="7"/>
  <c r="L3488" i="7"/>
  <c r="L3489" i="7"/>
  <c r="M3489" i="7" s="1"/>
  <c r="L3490" i="7"/>
  <c r="M3490" i="7" s="1"/>
  <c r="L3491" i="7"/>
  <c r="M3491" i="7" s="1"/>
  <c r="L3492" i="7"/>
  <c r="M3492" i="7" s="1"/>
  <c r="L3493" i="7"/>
  <c r="M3493" i="7" s="1"/>
  <c r="L3494" i="7"/>
  <c r="M3494" i="7" s="1"/>
  <c r="L3495" i="7"/>
  <c r="M3495" i="7" s="1"/>
  <c r="L3496" i="7"/>
  <c r="M3496" i="7" s="1"/>
  <c r="L3497" i="7"/>
  <c r="M3497" i="7" s="1"/>
  <c r="L3498" i="7"/>
  <c r="M3498" i="7" s="1"/>
  <c r="L3499" i="7"/>
  <c r="M3499" i="7" s="1"/>
  <c r="L3500" i="7"/>
  <c r="M3500" i="7" s="1"/>
  <c r="L3501" i="7"/>
  <c r="M3501" i="7" s="1"/>
  <c r="L3502" i="7"/>
  <c r="M3502" i="7" s="1"/>
  <c r="L3503" i="7"/>
  <c r="M3503" i="7" s="1"/>
  <c r="L3504" i="7"/>
  <c r="M3504" i="7" s="1"/>
  <c r="L3505" i="7"/>
  <c r="M3505" i="7" s="1"/>
  <c r="L3506" i="7"/>
  <c r="M3506" i="7" s="1"/>
  <c r="L3507" i="7"/>
  <c r="M3507" i="7" s="1"/>
  <c r="L3508" i="7"/>
  <c r="M3508" i="7" s="1"/>
  <c r="L3509" i="7"/>
  <c r="M3509" i="7" s="1"/>
  <c r="L3510" i="7"/>
  <c r="M3510" i="7" s="1"/>
  <c r="L3511" i="7"/>
  <c r="M3511" i="7" s="1"/>
  <c r="L3512" i="7"/>
  <c r="M3512" i="7" s="1"/>
  <c r="L3513" i="7"/>
  <c r="M3513" i="7" s="1"/>
  <c r="L3514" i="7"/>
  <c r="M3514" i="7" s="1"/>
  <c r="L3515" i="7"/>
  <c r="M3515" i="7" s="1"/>
  <c r="L3516" i="7"/>
  <c r="M3516" i="7" s="1"/>
  <c r="L3517" i="7"/>
  <c r="M3517" i="7" s="1"/>
  <c r="L3518" i="7"/>
  <c r="M3518" i="7" s="1"/>
  <c r="L3519" i="7"/>
  <c r="M3519" i="7" s="1"/>
  <c r="L3520" i="7"/>
  <c r="M3520" i="7" s="1"/>
  <c r="L3521" i="7"/>
  <c r="M3521" i="7" s="1"/>
  <c r="L3522" i="7"/>
  <c r="M3522" i="7" s="1"/>
  <c r="L3523" i="7"/>
  <c r="M3523" i="7" s="1"/>
  <c r="L3524" i="7"/>
  <c r="M3524" i="7" s="1"/>
  <c r="L3525" i="7"/>
  <c r="M3525" i="7" s="1"/>
  <c r="L3526" i="7"/>
  <c r="M3526" i="7" s="1"/>
  <c r="L3527" i="7"/>
  <c r="M3527" i="7" s="1"/>
  <c r="L3528" i="7"/>
  <c r="M3528" i="7" s="1"/>
  <c r="L3529" i="7"/>
  <c r="M3529" i="7" s="1"/>
  <c r="L3530" i="7"/>
  <c r="M3530" i="7" s="1"/>
  <c r="L3531" i="7"/>
  <c r="M3531" i="7" s="1"/>
  <c r="L3532" i="7"/>
  <c r="M3532" i="7" s="1"/>
  <c r="L3533" i="7"/>
  <c r="M3533" i="7" s="1"/>
  <c r="L3534" i="7"/>
  <c r="M3534" i="7" s="1"/>
  <c r="L3535" i="7"/>
  <c r="M3535" i="7" s="1"/>
  <c r="L3536" i="7"/>
  <c r="M3536" i="7" s="1"/>
  <c r="L3537" i="7"/>
  <c r="M3537" i="7" s="1"/>
  <c r="L3538" i="7"/>
  <c r="M3538" i="7" s="1"/>
  <c r="L3539" i="7"/>
  <c r="M3539" i="7" s="1"/>
  <c r="L3540" i="7"/>
  <c r="M3540" i="7" s="1"/>
  <c r="L3541" i="7"/>
  <c r="M3541" i="7" s="1"/>
  <c r="L3542" i="7"/>
  <c r="M3542" i="7" s="1"/>
  <c r="L3543" i="7"/>
  <c r="M3543" i="7" s="1"/>
  <c r="L3544" i="7"/>
  <c r="M3544" i="7" s="1"/>
  <c r="L3545" i="7"/>
  <c r="M3545" i="7" s="1"/>
  <c r="L3546" i="7"/>
  <c r="M3546" i="7" s="1"/>
  <c r="L3547" i="7"/>
  <c r="M3547" i="7" s="1"/>
  <c r="L3548" i="7"/>
  <c r="M3548" i="7" s="1"/>
  <c r="L3549" i="7"/>
  <c r="M3549" i="7" s="1"/>
  <c r="L3550" i="7"/>
  <c r="M3550" i="7" s="1"/>
  <c r="L3551" i="7"/>
  <c r="M3551" i="7" s="1"/>
  <c r="L3552" i="7"/>
  <c r="M3552" i="7" s="1"/>
  <c r="L3553" i="7"/>
  <c r="M3553" i="7" s="1"/>
  <c r="L3554" i="7"/>
  <c r="M3554" i="7" s="1"/>
  <c r="L3555" i="7"/>
  <c r="M3555" i="7" s="1"/>
  <c r="L3556" i="7"/>
  <c r="M3556" i="7" s="1"/>
  <c r="L3557" i="7"/>
  <c r="M3557" i="7" s="1"/>
  <c r="L3558" i="7"/>
  <c r="M3558" i="7" s="1"/>
  <c r="L3559" i="7"/>
  <c r="M3559" i="7" s="1"/>
  <c r="L3560" i="7"/>
  <c r="M3560" i="7" s="1"/>
  <c r="L3561" i="7"/>
  <c r="M3561" i="7" s="1"/>
  <c r="L3562" i="7"/>
  <c r="M3562" i="7" s="1"/>
  <c r="L3563" i="7"/>
  <c r="M3563" i="7" s="1"/>
  <c r="L3564" i="7"/>
  <c r="M3564" i="7" s="1"/>
  <c r="L3565" i="7"/>
  <c r="M3565" i="7" s="1"/>
  <c r="L3566" i="7"/>
  <c r="M3566" i="7" s="1"/>
  <c r="L3567" i="7"/>
  <c r="M3567" i="7" s="1"/>
  <c r="L3568" i="7"/>
  <c r="M3568" i="7" s="1"/>
  <c r="L3569" i="7"/>
  <c r="M3569" i="7" s="1"/>
  <c r="L3570" i="7"/>
  <c r="M3570" i="7" s="1"/>
  <c r="L3571" i="7"/>
  <c r="M3571" i="7" s="1"/>
  <c r="L3572" i="7"/>
  <c r="M3572" i="7" s="1"/>
  <c r="L3573" i="7"/>
  <c r="M3573" i="7" s="1"/>
  <c r="L3574" i="7"/>
  <c r="M3574" i="7" s="1"/>
  <c r="L3575" i="7"/>
  <c r="M3575" i="7" s="1"/>
  <c r="L3576" i="7"/>
  <c r="M3576" i="7" s="1"/>
  <c r="L3577" i="7"/>
  <c r="M3577" i="7" s="1"/>
  <c r="L3578" i="7"/>
  <c r="M3578" i="7" s="1"/>
  <c r="L3579" i="7"/>
  <c r="M3579" i="7" s="1"/>
  <c r="L3580" i="7"/>
  <c r="M3580" i="7" s="1"/>
  <c r="L3581" i="7"/>
  <c r="M3581" i="7" s="1"/>
  <c r="L3582" i="7"/>
  <c r="M3582" i="7" s="1"/>
  <c r="L3583" i="7"/>
  <c r="M3583" i="7" s="1"/>
  <c r="L3584" i="7"/>
  <c r="M3584" i="7" s="1"/>
  <c r="L3585" i="7"/>
  <c r="M3585" i="7" s="1"/>
  <c r="L3586" i="7"/>
  <c r="M3586" i="7" s="1"/>
  <c r="L3587" i="7"/>
  <c r="M3587" i="7" s="1"/>
  <c r="L3588" i="7"/>
  <c r="M3588" i="7" s="1"/>
  <c r="L3589" i="7"/>
  <c r="M3589" i="7" s="1"/>
  <c r="L3590" i="7"/>
  <c r="M3590" i="7" s="1"/>
  <c r="L3591" i="7"/>
  <c r="M3591" i="7" s="1"/>
  <c r="L3592" i="7"/>
  <c r="M3592" i="7" s="1"/>
  <c r="L3593" i="7"/>
  <c r="M3593" i="7" s="1"/>
  <c r="L3594" i="7"/>
  <c r="M3594" i="7" s="1"/>
  <c r="L3595" i="7"/>
  <c r="M3595" i="7" s="1"/>
  <c r="L3596" i="7"/>
  <c r="M3596" i="7" s="1"/>
  <c r="L3597" i="7"/>
  <c r="M3597" i="7" s="1"/>
  <c r="L3598" i="7"/>
  <c r="M3598" i="7" s="1"/>
  <c r="L3599" i="7"/>
  <c r="M3599" i="7" s="1"/>
  <c r="L3600" i="7"/>
  <c r="M3600" i="7" s="1"/>
  <c r="L3601" i="7"/>
  <c r="M3601" i="7" s="1"/>
  <c r="L3602" i="7"/>
  <c r="M3602" i="7" s="1"/>
  <c r="L3603" i="7"/>
  <c r="M3603" i="7" s="1"/>
  <c r="L3604" i="7"/>
  <c r="M3604" i="7" s="1"/>
  <c r="L3605" i="7"/>
  <c r="M3605" i="7" s="1"/>
  <c r="L3606" i="7"/>
  <c r="M3606" i="7" s="1"/>
  <c r="L3607" i="7"/>
  <c r="M3607" i="7" s="1"/>
  <c r="L3608" i="7"/>
  <c r="M3608" i="7" s="1"/>
  <c r="L3609" i="7"/>
  <c r="M3609" i="7" s="1"/>
  <c r="L3610" i="7"/>
  <c r="M3610" i="7" s="1"/>
  <c r="L3611" i="7"/>
  <c r="M3611" i="7" s="1"/>
  <c r="L3612" i="7"/>
  <c r="M3612" i="7" s="1"/>
  <c r="L3613" i="7"/>
  <c r="M3613" i="7" s="1"/>
  <c r="L3614" i="7"/>
  <c r="M3614" i="7" s="1"/>
  <c r="L3615" i="7"/>
  <c r="M3615" i="7" s="1"/>
  <c r="L3616" i="7"/>
  <c r="L3617" i="7"/>
  <c r="L3618" i="7"/>
  <c r="L3619" i="7"/>
  <c r="L3620" i="7"/>
  <c r="L3621" i="7"/>
  <c r="L3622" i="7"/>
  <c r="L3623" i="7"/>
  <c r="L3624" i="7"/>
  <c r="L3625" i="7"/>
  <c r="L3626" i="7"/>
  <c r="L3627" i="7"/>
  <c r="L3628" i="7"/>
  <c r="L3629" i="7"/>
  <c r="L3630" i="7"/>
  <c r="L3631" i="7"/>
  <c r="L3632" i="7"/>
  <c r="L3633" i="7"/>
  <c r="L3634" i="7"/>
  <c r="L3635" i="7"/>
  <c r="L3636" i="7"/>
  <c r="L3637" i="7"/>
  <c r="L3638" i="7"/>
  <c r="L3639" i="7"/>
  <c r="L3640" i="7"/>
  <c r="L3641" i="7"/>
  <c r="L3642" i="7"/>
  <c r="L3643" i="7"/>
  <c r="L3644" i="7"/>
  <c r="L3645" i="7"/>
  <c r="L3646" i="7"/>
  <c r="L3647" i="7"/>
  <c r="L3648" i="7"/>
  <c r="L3649" i="7"/>
  <c r="L3650" i="7"/>
  <c r="L3651" i="7"/>
  <c r="L3652" i="7"/>
  <c r="L3653" i="7"/>
  <c r="L3654" i="7"/>
  <c r="L3655" i="7"/>
  <c r="L3656" i="7"/>
  <c r="L3657" i="7"/>
  <c r="L3658" i="7"/>
  <c r="L3659" i="7"/>
  <c r="L3660" i="7"/>
  <c r="L3661" i="7"/>
  <c r="L3662" i="7"/>
  <c r="L3663" i="7"/>
  <c r="L3664" i="7"/>
  <c r="L3665" i="7"/>
  <c r="L3666" i="7"/>
  <c r="L3667" i="7"/>
  <c r="L3668" i="7"/>
  <c r="L3669" i="7"/>
  <c r="L3670" i="7"/>
  <c r="L3671" i="7"/>
  <c r="L3672" i="7"/>
  <c r="L3673" i="7"/>
  <c r="L3674" i="7"/>
  <c r="L3675" i="7"/>
  <c r="L3676" i="7"/>
  <c r="L3677" i="7"/>
  <c r="L3678" i="7"/>
  <c r="L3679" i="7"/>
  <c r="L3680" i="7"/>
  <c r="L3681" i="7"/>
  <c r="L3682" i="7"/>
  <c r="L3683" i="7"/>
  <c r="L3684" i="7"/>
  <c r="L3685" i="7"/>
  <c r="L3686" i="7"/>
  <c r="L3687" i="7"/>
  <c r="L3688" i="7"/>
  <c r="L3689" i="7"/>
  <c r="L3690" i="7"/>
  <c r="L3691" i="7"/>
  <c r="L3692" i="7"/>
  <c r="L3693" i="7"/>
  <c r="L3694" i="7"/>
  <c r="L3695" i="7"/>
  <c r="L3696" i="7"/>
  <c r="L3697" i="7"/>
  <c r="L3698" i="7"/>
  <c r="L3699" i="7"/>
  <c r="L3700" i="7"/>
  <c r="L3701" i="7"/>
  <c r="L3702" i="7"/>
  <c r="L3703" i="7"/>
  <c r="L3704" i="7"/>
  <c r="L3705" i="7"/>
  <c r="L3706" i="7"/>
  <c r="L3707" i="7"/>
  <c r="L3708" i="7"/>
  <c r="L3709" i="7"/>
  <c r="L3710" i="7"/>
  <c r="L3711" i="7"/>
  <c r="L3712" i="7"/>
  <c r="L3713" i="7"/>
  <c r="L3714" i="7"/>
  <c r="L3715" i="7"/>
  <c r="L3716" i="7"/>
  <c r="L3717" i="7"/>
  <c r="L3718" i="7"/>
  <c r="L3719" i="7"/>
  <c r="L3720" i="7"/>
  <c r="L3721" i="7"/>
  <c r="L3722" i="7"/>
  <c r="L3723" i="7"/>
  <c r="L3724" i="7"/>
  <c r="L3725" i="7"/>
  <c r="L3726" i="7"/>
  <c r="L3727" i="7"/>
  <c r="L3728" i="7"/>
  <c r="L3729" i="7"/>
  <c r="L3730" i="7"/>
  <c r="L3731" i="7"/>
  <c r="L3732" i="7"/>
  <c r="L3733" i="7"/>
  <c r="L3734" i="7"/>
  <c r="L3735" i="7"/>
  <c r="L3736" i="7"/>
  <c r="L3737" i="7"/>
  <c r="L3738" i="7"/>
  <c r="L3739" i="7"/>
  <c r="L3740" i="7"/>
  <c r="L3741" i="7"/>
  <c r="L3742" i="7"/>
  <c r="L3743" i="7"/>
  <c r="L3744" i="7"/>
  <c r="L3745" i="7"/>
  <c r="L3746" i="7"/>
  <c r="M3746" i="7" s="1"/>
  <c r="L3747" i="7"/>
  <c r="M3747" i="7" s="1"/>
  <c r="L3748" i="7"/>
  <c r="M3748" i="7" s="1"/>
  <c r="L3749" i="7"/>
  <c r="M3749" i="7" s="1"/>
  <c r="L3750" i="7"/>
  <c r="M3750" i="7" s="1"/>
  <c r="L3751" i="7"/>
  <c r="M3751" i="7" s="1"/>
  <c r="L3752" i="7"/>
  <c r="M3752" i="7" s="1"/>
  <c r="L3753" i="7"/>
  <c r="M3753" i="7" s="1"/>
  <c r="L3754" i="7"/>
  <c r="M3754" i="7" s="1"/>
  <c r="L3755" i="7"/>
  <c r="M3755" i="7" s="1"/>
  <c r="L3756" i="7"/>
  <c r="M3756" i="7" s="1"/>
  <c r="L3757" i="7"/>
  <c r="M3757" i="7" s="1"/>
  <c r="L3758" i="7"/>
  <c r="M3758" i="7" s="1"/>
  <c r="L3759" i="7"/>
  <c r="M3759" i="7" s="1"/>
  <c r="L3760" i="7"/>
  <c r="M3760" i="7" s="1"/>
  <c r="L3761" i="7"/>
  <c r="M3761" i="7" s="1"/>
  <c r="L3762" i="7"/>
  <c r="M3762" i="7" s="1"/>
  <c r="L3763" i="7"/>
  <c r="M3763" i="7" s="1"/>
  <c r="L3764" i="7"/>
  <c r="M3764" i="7" s="1"/>
  <c r="L3765" i="7"/>
  <c r="M3765" i="7" s="1"/>
  <c r="L3766" i="7"/>
  <c r="M3766" i="7" s="1"/>
  <c r="L3767" i="7"/>
  <c r="M3767" i="7" s="1"/>
  <c r="L3768" i="7"/>
  <c r="M3768" i="7" s="1"/>
  <c r="L3769" i="7"/>
  <c r="M3769" i="7" s="1"/>
  <c r="L3770" i="7"/>
  <c r="M3770" i="7" s="1"/>
  <c r="L3771" i="7"/>
  <c r="M3771" i="7" s="1"/>
  <c r="L3772" i="7"/>
  <c r="M3772" i="7" s="1"/>
  <c r="L3773" i="7"/>
  <c r="M3773" i="7" s="1"/>
  <c r="L3774" i="7"/>
  <c r="M3774" i="7" s="1"/>
  <c r="L3775" i="7"/>
  <c r="M3775" i="7" s="1"/>
  <c r="L3776" i="7"/>
  <c r="M3776" i="7" s="1"/>
  <c r="L3777" i="7"/>
  <c r="M3777" i="7" s="1"/>
  <c r="L3778" i="7"/>
  <c r="M3778" i="7" s="1"/>
  <c r="L3779" i="7"/>
  <c r="M3779" i="7" s="1"/>
  <c r="L3780" i="7"/>
  <c r="M3780" i="7" s="1"/>
  <c r="L3781" i="7"/>
  <c r="M3781" i="7" s="1"/>
  <c r="L3782" i="7"/>
  <c r="M3782" i="7" s="1"/>
  <c r="L3783" i="7"/>
  <c r="M3783" i="7" s="1"/>
  <c r="L3784" i="7"/>
  <c r="M3784" i="7" s="1"/>
  <c r="L3785" i="7"/>
  <c r="M3785" i="7" s="1"/>
  <c r="L3786" i="7"/>
  <c r="M3786" i="7" s="1"/>
  <c r="L3787" i="7"/>
  <c r="M3787" i="7" s="1"/>
  <c r="L3788" i="7"/>
  <c r="M3788" i="7" s="1"/>
  <c r="L3789" i="7"/>
  <c r="M3789" i="7" s="1"/>
  <c r="L3790" i="7"/>
  <c r="M3790" i="7" s="1"/>
  <c r="L3791" i="7"/>
  <c r="M3791" i="7" s="1"/>
  <c r="L3792" i="7"/>
  <c r="M3792" i="7" s="1"/>
  <c r="L3793" i="7"/>
  <c r="M3793" i="7" s="1"/>
  <c r="L3794" i="7"/>
  <c r="M3794" i="7" s="1"/>
  <c r="L3795" i="7"/>
  <c r="M3795" i="7" s="1"/>
  <c r="L3796" i="7"/>
  <c r="M3796" i="7" s="1"/>
  <c r="L3797" i="7"/>
  <c r="M3797" i="7" s="1"/>
  <c r="L3798" i="7"/>
  <c r="M3798" i="7" s="1"/>
  <c r="L3799" i="7"/>
  <c r="M3799" i="7" s="1"/>
  <c r="L3800" i="7"/>
  <c r="M3800" i="7" s="1"/>
  <c r="L3801" i="7"/>
  <c r="M3801" i="7" s="1"/>
  <c r="L3802" i="7"/>
  <c r="M3802" i="7" s="1"/>
  <c r="L3803" i="7"/>
  <c r="M3803" i="7" s="1"/>
  <c r="L3804" i="7"/>
  <c r="M3804" i="7" s="1"/>
  <c r="L3805" i="7"/>
  <c r="M3805" i="7" s="1"/>
  <c r="L3806" i="7"/>
  <c r="M3806" i="7" s="1"/>
  <c r="L3807" i="7"/>
  <c r="M3807" i="7" s="1"/>
  <c r="L3808" i="7"/>
  <c r="M3808" i="7" s="1"/>
  <c r="L3809" i="7"/>
  <c r="M3809" i="7" s="1"/>
  <c r="L3810" i="7"/>
  <c r="M3810" i="7" s="1"/>
  <c r="L3811" i="7"/>
  <c r="M3811" i="7" s="1"/>
  <c r="L3812" i="7"/>
  <c r="M3812" i="7" s="1"/>
  <c r="L3813" i="7"/>
  <c r="M3813" i="7" s="1"/>
  <c r="L3814" i="7"/>
  <c r="M3814" i="7" s="1"/>
  <c r="L3815" i="7"/>
  <c r="M3815" i="7" s="1"/>
  <c r="L3816" i="7"/>
  <c r="M3816" i="7" s="1"/>
  <c r="L3817" i="7"/>
  <c r="M3817" i="7" s="1"/>
  <c r="L3818" i="7"/>
  <c r="M3818" i="7" s="1"/>
  <c r="L3819" i="7"/>
  <c r="M3819" i="7" s="1"/>
  <c r="L3820" i="7"/>
  <c r="M3820" i="7" s="1"/>
  <c r="L3821" i="7"/>
  <c r="M3821" i="7" s="1"/>
  <c r="L3822" i="7"/>
  <c r="M3822" i="7" s="1"/>
  <c r="L3823" i="7"/>
  <c r="M3823" i="7" s="1"/>
  <c r="L3824" i="7"/>
  <c r="M3824" i="7" s="1"/>
  <c r="L3825" i="7"/>
  <c r="M3825" i="7" s="1"/>
  <c r="L3826" i="7"/>
  <c r="M3826" i="7" s="1"/>
  <c r="L3827" i="7"/>
  <c r="M3827" i="7" s="1"/>
  <c r="L3828" i="7"/>
  <c r="M3828" i="7" s="1"/>
  <c r="L3829" i="7"/>
  <c r="M3829" i="7" s="1"/>
  <c r="L3830" i="7"/>
  <c r="M3830" i="7" s="1"/>
  <c r="L3831" i="7"/>
  <c r="M3831" i="7" s="1"/>
  <c r="L3832" i="7"/>
  <c r="M3832" i="7" s="1"/>
  <c r="L3833" i="7"/>
  <c r="M3833" i="7" s="1"/>
  <c r="L3834" i="7"/>
  <c r="M3834" i="7" s="1"/>
  <c r="L3835" i="7"/>
  <c r="M3835" i="7" s="1"/>
  <c r="L3836" i="7"/>
  <c r="M3836" i="7" s="1"/>
  <c r="L3837" i="7"/>
  <c r="M3837" i="7" s="1"/>
  <c r="L3838" i="7"/>
  <c r="M3838" i="7" s="1"/>
  <c r="L3839" i="7"/>
  <c r="M3839" i="7" s="1"/>
  <c r="L3840" i="7"/>
  <c r="M3840" i="7" s="1"/>
  <c r="L3841" i="7"/>
  <c r="M3841" i="7" s="1"/>
  <c r="L3842" i="7"/>
  <c r="M3842" i="7" s="1"/>
  <c r="L3843" i="7"/>
  <c r="M3843" i="7" s="1"/>
  <c r="L3844" i="7"/>
  <c r="M3844" i="7" s="1"/>
  <c r="L3845" i="7"/>
  <c r="M3845" i="7" s="1"/>
  <c r="L3846" i="7"/>
  <c r="M3846" i="7" s="1"/>
  <c r="L3847" i="7"/>
  <c r="M3847" i="7" s="1"/>
  <c r="L3848" i="7"/>
  <c r="M3848" i="7" s="1"/>
  <c r="L3849" i="7"/>
  <c r="M3849" i="7" s="1"/>
  <c r="L3850" i="7"/>
  <c r="M3850" i="7" s="1"/>
  <c r="L3851" i="7"/>
  <c r="M3851" i="7" s="1"/>
  <c r="L3852" i="7"/>
  <c r="M3852" i="7" s="1"/>
  <c r="L3853" i="7"/>
  <c r="M3853" i="7" s="1"/>
  <c r="L3854" i="7"/>
  <c r="M3854" i="7" s="1"/>
  <c r="L3855" i="7"/>
  <c r="M3855" i="7" s="1"/>
  <c r="L3856" i="7"/>
  <c r="M3856" i="7" s="1"/>
  <c r="L3857" i="7"/>
  <c r="M3857" i="7" s="1"/>
  <c r="L3858" i="7"/>
  <c r="M3858" i="7" s="1"/>
  <c r="L3859" i="7"/>
  <c r="M3859" i="7" s="1"/>
  <c r="L3860" i="7"/>
  <c r="M3860" i="7" s="1"/>
  <c r="L3861" i="7"/>
  <c r="M3861" i="7" s="1"/>
  <c r="L3862" i="7"/>
  <c r="M3862" i="7" s="1"/>
  <c r="L3863" i="7"/>
  <c r="M3863" i="7" s="1"/>
  <c r="L3864" i="7"/>
  <c r="M3864" i="7" s="1"/>
  <c r="L3865" i="7"/>
  <c r="M3865" i="7" s="1"/>
  <c r="L3866" i="7"/>
  <c r="M3866" i="7" s="1"/>
  <c r="L3867" i="7"/>
  <c r="M3867" i="7" s="1"/>
  <c r="L3868" i="7"/>
  <c r="M3868" i="7" s="1"/>
  <c r="L3869" i="7"/>
  <c r="M3869" i="7" s="1"/>
  <c r="L3870" i="7"/>
  <c r="M3870" i="7" s="1"/>
  <c r="L3871" i="7"/>
  <c r="M3871" i="7" s="1"/>
  <c r="L3872" i="7"/>
  <c r="M3872" i="7" s="1"/>
  <c r="L3873" i="7"/>
  <c r="M3873" i="7" s="1"/>
  <c r="L3874" i="7"/>
  <c r="M3874" i="7" s="1"/>
  <c r="L3875" i="7"/>
  <c r="M3875" i="7" s="1"/>
  <c r="L3876" i="7"/>
  <c r="M3876" i="7" s="1"/>
  <c r="L3877" i="7"/>
  <c r="M3877" i="7" s="1"/>
  <c r="L3878" i="7"/>
  <c r="M3878" i="7" s="1"/>
  <c r="L3879" i="7"/>
  <c r="M3879" i="7" s="1"/>
  <c r="L3880" i="7"/>
  <c r="M3880" i="7" s="1"/>
  <c r="L3881" i="7"/>
  <c r="M3881" i="7" s="1"/>
  <c r="L3882" i="7"/>
  <c r="M3882" i="7" s="1"/>
  <c r="L3883" i="7"/>
  <c r="M3883" i="7" s="1"/>
  <c r="L3884" i="7"/>
  <c r="M3884" i="7" s="1"/>
  <c r="L3885" i="7"/>
  <c r="M3885" i="7" s="1"/>
  <c r="L3886" i="7"/>
  <c r="M3886" i="7" s="1"/>
  <c r="L3887" i="7"/>
  <c r="M3887" i="7" s="1"/>
  <c r="L3888" i="7"/>
  <c r="M3888" i="7" s="1"/>
  <c r="L3889" i="7"/>
  <c r="M3889" i="7" s="1"/>
  <c r="L3890" i="7"/>
  <c r="M3890" i="7" s="1"/>
  <c r="L3891" i="7"/>
  <c r="M3891" i="7" s="1"/>
  <c r="L3892" i="7"/>
  <c r="M3892" i="7" s="1"/>
  <c r="L3893" i="7"/>
  <c r="M3893" i="7" s="1"/>
  <c r="L3894" i="7"/>
  <c r="M3894" i="7" s="1"/>
  <c r="L3895" i="7"/>
  <c r="M3895" i="7" s="1"/>
  <c r="L3896" i="7"/>
  <c r="M3896" i="7" s="1"/>
  <c r="L3897" i="7"/>
  <c r="M3897" i="7" s="1"/>
  <c r="L3898" i="7"/>
  <c r="M3898" i="7" s="1"/>
  <c r="L3899" i="7"/>
  <c r="M3899" i="7" s="1"/>
  <c r="L3900" i="7"/>
  <c r="M3900" i="7" s="1"/>
  <c r="L3901" i="7"/>
  <c r="M3901" i="7" s="1"/>
  <c r="L3902" i="7"/>
  <c r="M3902" i="7" s="1"/>
  <c r="L3903" i="7"/>
  <c r="M3903" i="7" s="1"/>
  <c r="L3904" i="7"/>
  <c r="M3904" i="7" s="1"/>
  <c r="L3905" i="7"/>
  <c r="M3905" i="7" s="1"/>
  <c r="L3906" i="7"/>
  <c r="M3906" i="7" s="1"/>
  <c r="L3907" i="7"/>
  <c r="M3907" i="7" s="1"/>
  <c r="L3908" i="7"/>
  <c r="M3908" i="7" s="1"/>
  <c r="L3909" i="7"/>
  <c r="M3909" i="7" s="1"/>
  <c r="L3910" i="7"/>
  <c r="M3910" i="7" s="1"/>
  <c r="L3911" i="7"/>
  <c r="M3911" i="7" s="1"/>
  <c r="L3912" i="7"/>
  <c r="M3912" i="7" s="1"/>
  <c r="L3913" i="7"/>
  <c r="M3913" i="7" s="1"/>
  <c r="L3914" i="7"/>
  <c r="M3914" i="7" s="1"/>
  <c r="L3915" i="7"/>
  <c r="M3915" i="7" s="1"/>
  <c r="L3916" i="7"/>
  <c r="M3916" i="7" s="1"/>
  <c r="L3917" i="7"/>
  <c r="M3917" i="7" s="1"/>
  <c r="L3918" i="7"/>
  <c r="M3918" i="7" s="1"/>
  <c r="L3919" i="7"/>
  <c r="M3919" i="7" s="1"/>
  <c r="L3920" i="7"/>
  <c r="M3920" i="7" s="1"/>
  <c r="L3921" i="7"/>
  <c r="M3921" i="7" s="1"/>
  <c r="L3922" i="7"/>
  <c r="M3922" i="7" s="1"/>
  <c r="L3923" i="7"/>
  <c r="M3923" i="7" s="1"/>
  <c r="L3924" i="7"/>
  <c r="M3924" i="7" s="1"/>
  <c r="L3925" i="7"/>
  <c r="M3925" i="7" s="1"/>
  <c r="L3926" i="7"/>
  <c r="M3926" i="7" s="1"/>
  <c r="L3927" i="7"/>
  <c r="M3927" i="7" s="1"/>
  <c r="L3928" i="7"/>
  <c r="M3928" i="7" s="1"/>
  <c r="L3929" i="7"/>
  <c r="M3929" i="7" s="1"/>
  <c r="L3930" i="7"/>
  <c r="M3930" i="7" s="1"/>
  <c r="L3931" i="7"/>
  <c r="M3931" i="7" s="1"/>
  <c r="L3932" i="7"/>
  <c r="M3932" i="7" s="1"/>
  <c r="L3933" i="7"/>
  <c r="M3933" i="7" s="1"/>
  <c r="L3934" i="7"/>
  <c r="M3934" i="7" s="1"/>
  <c r="L3935" i="7"/>
  <c r="M3935" i="7" s="1"/>
  <c r="L3936" i="7"/>
  <c r="M3936" i="7" s="1"/>
  <c r="L3937" i="7"/>
  <c r="M3937" i="7" s="1"/>
  <c r="L3938" i="7"/>
  <c r="M3938" i="7" s="1"/>
  <c r="L3939" i="7"/>
  <c r="M3939" i="7" s="1"/>
  <c r="L3940" i="7"/>
  <c r="M3940" i="7" s="1"/>
  <c r="L3941" i="7"/>
  <c r="M3941" i="7" s="1"/>
  <c r="L3942" i="7"/>
  <c r="M3942" i="7" s="1"/>
  <c r="L3943" i="7"/>
  <c r="M3943" i="7" s="1"/>
  <c r="L3944" i="7"/>
  <c r="M3944" i="7" s="1"/>
  <c r="L3945" i="7"/>
  <c r="M3945" i="7" s="1"/>
  <c r="L3946" i="7"/>
  <c r="M3946" i="7" s="1"/>
  <c r="L3947" i="7"/>
  <c r="M3947" i="7" s="1"/>
  <c r="L3948" i="7"/>
  <c r="M3948" i="7" s="1"/>
  <c r="L3949" i="7"/>
  <c r="M3949" i="7" s="1"/>
  <c r="L3950" i="7"/>
  <c r="M3950" i="7" s="1"/>
  <c r="L3951" i="7"/>
  <c r="M3951" i="7" s="1"/>
  <c r="L3952" i="7"/>
  <c r="M3952" i="7" s="1"/>
  <c r="L3953" i="7"/>
  <c r="M3953" i="7" s="1"/>
  <c r="L3954" i="7"/>
  <c r="M3954" i="7" s="1"/>
  <c r="L3955" i="7"/>
  <c r="M3955" i="7" s="1"/>
  <c r="L3956" i="7"/>
  <c r="M3956" i="7" s="1"/>
  <c r="L3957" i="7"/>
  <c r="M3957" i="7" s="1"/>
  <c r="L3958" i="7"/>
  <c r="M3958" i="7" s="1"/>
  <c r="L3959" i="7"/>
  <c r="M3959" i="7" s="1"/>
  <c r="L3960" i="7"/>
  <c r="M3960" i="7" s="1"/>
  <c r="L3961" i="7"/>
  <c r="M3961" i="7" s="1"/>
  <c r="L3962" i="7"/>
  <c r="M3962" i="7" s="1"/>
  <c r="L3963" i="7"/>
  <c r="M3963" i="7" s="1"/>
  <c r="L3964" i="7"/>
  <c r="M3964" i="7" s="1"/>
  <c r="L3965" i="7"/>
  <c r="M3965" i="7" s="1"/>
  <c r="L3966" i="7"/>
  <c r="M3966" i="7" s="1"/>
  <c r="L3967" i="7"/>
  <c r="M3967" i="7" s="1"/>
  <c r="L3968" i="7"/>
  <c r="M3968" i="7" s="1"/>
  <c r="L3969" i="7"/>
  <c r="M3969" i="7" s="1"/>
  <c r="L3970" i="7"/>
  <c r="M3970" i="7" s="1"/>
  <c r="L3971" i="7"/>
  <c r="M3971" i="7" s="1"/>
  <c r="L3972" i="7"/>
  <c r="M3972" i="7" s="1"/>
  <c r="L3973" i="7"/>
  <c r="M3973" i="7" s="1"/>
  <c r="L3974" i="7"/>
  <c r="M3974" i="7" s="1"/>
  <c r="L3975" i="7"/>
  <c r="M3975" i="7" s="1"/>
  <c r="L3976" i="7"/>
  <c r="M3976" i="7" s="1"/>
  <c r="L3977" i="7"/>
  <c r="M3977" i="7" s="1"/>
  <c r="L3978" i="7"/>
  <c r="M3978" i="7" s="1"/>
  <c r="L3979" i="7"/>
  <c r="M3979" i="7" s="1"/>
  <c r="L3980" i="7"/>
  <c r="M3980" i="7" s="1"/>
  <c r="L3981" i="7"/>
  <c r="M3981" i="7" s="1"/>
  <c r="L3982" i="7"/>
  <c r="M3982" i="7" s="1"/>
  <c r="L3983" i="7"/>
  <c r="M3983" i="7" s="1"/>
  <c r="L3984" i="7"/>
  <c r="M3984" i="7" s="1"/>
  <c r="L3985" i="7"/>
  <c r="M3985" i="7" s="1"/>
  <c r="L3986" i="7"/>
  <c r="M3986" i="7" s="1"/>
  <c r="L3987" i="7"/>
  <c r="M3987" i="7" s="1"/>
  <c r="L3988" i="7"/>
  <c r="M3988" i="7" s="1"/>
  <c r="L3989" i="7"/>
  <c r="M3989" i="7" s="1"/>
  <c r="L3990" i="7"/>
  <c r="M3990" i="7" s="1"/>
  <c r="L3991" i="7"/>
  <c r="M3991" i="7" s="1"/>
  <c r="L3992" i="7"/>
  <c r="M3992" i="7" s="1"/>
  <c r="L3993" i="7"/>
  <c r="M3993" i="7" s="1"/>
  <c r="L3994" i="7"/>
  <c r="M3994" i="7" s="1"/>
  <c r="L3995" i="7"/>
  <c r="M3995" i="7" s="1"/>
  <c r="L3996" i="7"/>
  <c r="M3996" i="7" s="1"/>
  <c r="L3997" i="7"/>
  <c r="M3997" i="7" s="1"/>
  <c r="L3998" i="7"/>
  <c r="M3998" i="7" s="1"/>
  <c r="L3999" i="7"/>
  <c r="M3999" i="7" s="1"/>
  <c r="L4000" i="7"/>
  <c r="M4000" i="7" s="1"/>
  <c r="L4001" i="7"/>
  <c r="M4001" i="7" s="1"/>
  <c r="L4002" i="7"/>
  <c r="M4002" i="7" s="1"/>
  <c r="L4003" i="7"/>
  <c r="M4003" i="7" s="1"/>
  <c r="L4004" i="7"/>
  <c r="M4004" i="7" s="1"/>
  <c r="L4005" i="7"/>
  <c r="M4005" i="7" s="1"/>
  <c r="L4006" i="7"/>
  <c r="M4006" i="7" s="1"/>
  <c r="L4007" i="7"/>
  <c r="M4007" i="7" s="1"/>
  <c r="L4008" i="7"/>
  <c r="M4008" i="7" s="1"/>
  <c r="L4009" i="7"/>
  <c r="M4009" i="7" s="1"/>
  <c r="L4010" i="7"/>
  <c r="M4010" i="7" s="1"/>
  <c r="L4011" i="7"/>
  <c r="M4011" i="7" s="1"/>
  <c r="L4012" i="7"/>
  <c r="M4012" i="7" s="1"/>
  <c r="L4013" i="7"/>
  <c r="M4013" i="7" s="1"/>
  <c r="L4014" i="7"/>
  <c r="M4014" i="7" s="1"/>
  <c r="L4015" i="7"/>
  <c r="M4015" i="7" s="1"/>
  <c r="L4016" i="7"/>
  <c r="M4016" i="7" s="1"/>
  <c r="L4017" i="7"/>
  <c r="M4017" i="7" s="1"/>
  <c r="L4018" i="7"/>
  <c r="M4018" i="7" s="1"/>
  <c r="L4019" i="7"/>
  <c r="M4019" i="7" s="1"/>
  <c r="L4020" i="7"/>
  <c r="M4020" i="7" s="1"/>
  <c r="L4021" i="7"/>
  <c r="M4021" i="7" s="1"/>
  <c r="L4022" i="7"/>
  <c r="M4022" i="7" s="1"/>
  <c r="L4023" i="7"/>
  <c r="M4023" i="7" s="1"/>
  <c r="L4024" i="7"/>
  <c r="M4024" i="7" s="1"/>
  <c r="L4025" i="7"/>
  <c r="M4025" i="7" s="1"/>
  <c r="L4026" i="7"/>
  <c r="M4026" i="7" s="1"/>
  <c r="L4027" i="7"/>
  <c r="M4027" i="7" s="1"/>
  <c r="L4028" i="7"/>
  <c r="M4028" i="7" s="1"/>
  <c r="L4029" i="7"/>
  <c r="M4029" i="7" s="1"/>
  <c r="L4030" i="7"/>
  <c r="M4030" i="7" s="1"/>
  <c r="L4031" i="7"/>
  <c r="M4031" i="7" s="1"/>
  <c r="L4032" i="7"/>
  <c r="M4032" i="7" s="1"/>
  <c r="L4033" i="7"/>
  <c r="M4033" i="7" s="1"/>
  <c r="L4034" i="7"/>
  <c r="M4034" i="7" s="1"/>
  <c r="L4035" i="7"/>
  <c r="M4035" i="7" s="1"/>
  <c r="L4036" i="7"/>
  <c r="M4036" i="7" s="1"/>
  <c r="L4037" i="7"/>
  <c r="M4037" i="7" s="1"/>
  <c r="L4038" i="7"/>
  <c r="M4038" i="7" s="1"/>
  <c r="L4039" i="7"/>
  <c r="M4039" i="7" s="1"/>
  <c r="L4040" i="7"/>
  <c r="M4040" i="7" s="1"/>
  <c r="L4041" i="7"/>
  <c r="M4041" i="7" s="1"/>
  <c r="L4042" i="7"/>
  <c r="M4042" i="7" s="1"/>
  <c r="L4043" i="7"/>
  <c r="M4043" i="7" s="1"/>
  <c r="L4044" i="7"/>
  <c r="M4044" i="7" s="1"/>
  <c r="L4045" i="7"/>
  <c r="M4045" i="7" s="1"/>
  <c r="L4046" i="7"/>
  <c r="M4046" i="7" s="1"/>
  <c r="L4047" i="7"/>
  <c r="M4047" i="7" s="1"/>
  <c r="L4048" i="7"/>
  <c r="M4048" i="7" s="1"/>
  <c r="L4049" i="7"/>
  <c r="M4049" i="7" s="1"/>
  <c r="L4050" i="7"/>
  <c r="M4050" i="7" s="1"/>
  <c r="L4051" i="7"/>
  <c r="M4051" i="7" s="1"/>
  <c r="L4052" i="7"/>
  <c r="M4052" i="7" s="1"/>
  <c r="L4053" i="7"/>
  <c r="M4053" i="7" s="1"/>
  <c r="L4054" i="7"/>
  <c r="M4054" i="7" s="1"/>
  <c r="L4055" i="7"/>
  <c r="M4055" i="7" s="1"/>
  <c r="L4056" i="7"/>
  <c r="M4056" i="7" s="1"/>
  <c r="L4057" i="7"/>
  <c r="M4057" i="7" s="1"/>
  <c r="L4058" i="7"/>
  <c r="M4058" i="7" s="1"/>
  <c r="L4059" i="7"/>
  <c r="M4059" i="7" s="1"/>
  <c r="L4060" i="7"/>
  <c r="M4060" i="7" s="1"/>
  <c r="L4061" i="7"/>
  <c r="M4061" i="7" s="1"/>
  <c r="L4062" i="7"/>
  <c r="M4062" i="7" s="1"/>
  <c r="L4063" i="7"/>
  <c r="M4063" i="7" s="1"/>
  <c r="L4064" i="7"/>
  <c r="M4064" i="7" s="1"/>
  <c r="L4065" i="7"/>
  <c r="M4065" i="7" s="1"/>
  <c r="L4066" i="7"/>
  <c r="M4066" i="7" s="1"/>
  <c r="L4067" i="7"/>
  <c r="M4067" i="7" s="1"/>
  <c r="L4068" i="7"/>
  <c r="M4068" i="7" s="1"/>
  <c r="L4069" i="7"/>
  <c r="M4069" i="7" s="1"/>
  <c r="L4070" i="7"/>
  <c r="M4070" i="7" s="1"/>
  <c r="L4071" i="7"/>
  <c r="M4071" i="7" s="1"/>
  <c r="L4072" i="7"/>
  <c r="M4072" i="7" s="1"/>
  <c r="L4073" i="7"/>
  <c r="M4073" i="7" s="1"/>
  <c r="L4074" i="7"/>
  <c r="M4074" i="7" s="1"/>
  <c r="L4075" i="7"/>
  <c r="M4075" i="7" s="1"/>
  <c r="L4076" i="7"/>
  <c r="M4076" i="7" s="1"/>
  <c r="L4077" i="7"/>
  <c r="M4077" i="7" s="1"/>
  <c r="L4078" i="7"/>
  <c r="M4078" i="7" s="1"/>
  <c r="L4079" i="7"/>
  <c r="M4079" i="7" s="1"/>
  <c r="L4080" i="7"/>
  <c r="M4080" i="7" s="1"/>
  <c r="L4081" i="7"/>
  <c r="M4081" i="7" s="1"/>
  <c r="L4082" i="7"/>
  <c r="M4082" i="7" s="1"/>
  <c r="L4083" i="7"/>
  <c r="M4083" i="7" s="1"/>
  <c r="L4084" i="7"/>
  <c r="M4084" i="7" s="1"/>
  <c r="L4085" i="7"/>
  <c r="M4085" i="7" s="1"/>
  <c r="L4086" i="7"/>
  <c r="M4086" i="7" s="1"/>
  <c r="L4087" i="7"/>
  <c r="M4087" i="7" s="1"/>
  <c r="L4088" i="7"/>
  <c r="M4088" i="7" s="1"/>
  <c r="L4089" i="7"/>
  <c r="M4089" i="7" s="1"/>
  <c r="L4090" i="7"/>
  <c r="M4090" i="7" s="1"/>
  <c r="L4091" i="7"/>
  <c r="M4091" i="7" s="1"/>
  <c r="L4092" i="7"/>
  <c r="M4092" i="7" s="1"/>
  <c r="L4093" i="7"/>
  <c r="M4093" i="7" s="1"/>
  <c r="L4094" i="7"/>
  <c r="M4094" i="7" s="1"/>
  <c r="L4095" i="7"/>
  <c r="M4095" i="7" s="1"/>
  <c r="L4096" i="7"/>
  <c r="M4096" i="7" s="1"/>
  <c r="L4097" i="7"/>
  <c r="M4097" i="7" s="1"/>
  <c r="L4098" i="7"/>
  <c r="M4098" i="7" s="1"/>
  <c r="L4099" i="7"/>
  <c r="M4099" i="7" s="1"/>
  <c r="L4100" i="7"/>
  <c r="M4100" i="7" s="1"/>
  <c r="L4101" i="7"/>
  <c r="M4101" i="7" s="1"/>
  <c r="L4102" i="7"/>
  <c r="M4102" i="7" s="1"/>
  <c r="L4103" i="7"/>
  <c r="M4103" i="7" s="1"/>
  <c r="L4104" i="7"/>
  <c r="M4104" i="7" s="1"/>
  <c r="L4105" i="7"/>
  <c r="M4105" i="7" s="1"/>
  <c r="L4106" i="7"/>
  <c r="M4106" i="7" s="1"/>
  <c r="L4107" i="7"/>
  <c r="M4107" i="7" s="1"/>
  <c r="L4108" i="7"/>
  <c r="M4108" i="7" s="1"/>
  <c r="L4109" i="7"/>
  <c r="M4109" i="7" s="1"/>
  <c r="L4110" i="7"/>
  <c r="M4110" i="7" s="1"/>
  <c r="L4111" i="7"/>
  <c r="M4111" i="7" s="1"/>
  <c r="L4112" i="7"/>
  <c r="M4112" i="7" s="1"/>
  <c r="L4113" i="7"/>
  <c r="M4113" i="7" s="1"/>
  <c r="L4114" i="7"/>
  <c r="M4114" i="7" s="1"/>
  <c r="L4115" i="7"/>
  <c r="M4115" i="7" s="1"/>
  <c r="L4116" i="7"/>
  <c r="M4116" i="7" s="1"/>
  <c r="L4117" i="7"/>
  <c r="M4117" i="7" s="1"/>
  <c r="L4118" i="7"/>
  <c r="M4118" i="7" s="1"/>
  <c r="L4119" i="7"/>
  <c r="M4119" i="7" s="1"/>
  <c r="L4120" i="7"/>
  <c r="M4120" i="7" s="1"/>
  <c r="L4121" i="7"/>
  <c r="M4121" i="7" s="1"/>
  <c r="L4122" i="7"/>
  <c r="M4122" i="7" s="1"/>
  <c r="L4123" i="7"/>
  <c r="M4123" i="7" s="1"/>
  <c r="L4124" i="7"/>
  <c r="M4124" i="7" s="1"/>
  <c r="L4125" i="7"/>
  <c r="M4125" i="7" s="1"/>
  <c r="L4126" i="7"/>
  <c r="M4126" i="7" s="1"/>
  <c r="L4127" i="7"/>
  <c r="M4127" i="7" s="1"/>
  <c r="L4128" i="7"/>
  <c r="M4128" i="7" s="1"/>
  <c r="L4129" i="7"/>
  <c r="M4129" i="7" s="1"/>
  <c r="L4130" i="7"/>
  <c r="M4130" i="7" s="1"/>
  <c r="L4131" i="7"/>
  <c r="M4131" i="7" s="1"/>
  <c r="L4132" i="7"/>
  <c r="M4132" i="7" s="1"/>
  <c r="L4133" i="7"/>
  <c r="M4133" i="7" s="1"/>
  <c r="L4134" i="7"/>
  <c r="M4134" i="7" s="1"/>
  <c r="L4135" i="7"/>
  <c r="M4135" i="7" s="1"/>
  <c r="L4136" i="7"/>
  <c r="M4136" i="7" s="1"/>
  <c r="L4137" i="7"/>
  <c r="M4137" i="7" s="1"/>
  <c r="L4138" i="7"/>
  <c r="M4138" i="7" s="1"/>
  <c r="L4139" i="7"/>
  <c r="M4139" i="7" s="1"/>
  <c r="L4140" i="7"/>
  <c r="M4140" i="7" s="1"/>
  <c r="L4141" i="7"/>
  <c r="M4141" i="7" s="1"/>
  <c r="L4142" i="7"/>
  <c r="M4142" i="7" s="1"/>
  <c r="L4143" i="7"/>
  <c r="M4143" i="7" s="1"/>
  <c r="L4144" i="7"/>
  <c r="M4144" i="7" s="1"/>
  <c r="L4145" i="7"/>
  <c r="M4145" i="7" s="1"/>
  <c r="L4146" i="7"/>
  <c r="M4146" i="7" s="1"/>
  <c r="L4147" i="7"/>
  <c r="M4147" i="7" s="1"/>
  <c r="L4148" i="7"/>
  <c r="M4148" i="7" s="1"/>
  <c r="L4149" i="7"/>
  <c r="M4149" i="7" s="1"/>
  <c r="L4150" i="7"/>
  <c r="M4150" i="7" s="1"/>
  <c r="L4151" i="7"/>
  <c r="M4151" i="7" s="1"/>
  <c r="L4152" i="7"/>
  <c r="M4152" i="7" s="1"/>
  <c r="L4153" i="7"/>
  <c r="L4154" i="7"/>
  <c r="L4155" i="7"/>
  <c r="L4156" i="7"/>
  <c r="L4157" i="7"/>
  <c r="L4158" i="7"/>
  <c r="L4159" i="7"/>
  <c r="L4160" i="7"/>
  <c r="L4161" i="7"/>
  <c r="L4162" i="7"/>
  <c r="L4163" i="7"/>
  <c r="L4164" i="7"/>
  <c r="L4165" i="7"/>
  <c r="L4166" i="7"/>
  <c r="L4167" i="7"/>
  <c r="L4168" i="7"/>
  <c r="L4169" i="7"/>
  <c r="L4170" i="7"/>
  <c r="L4171" i="7"/>
  <c r="L4172" i="7"/>
  <c r="L4173" i="7"/>
  <c r="L4174" i="7"/>
  <c r="L4175" i="7"/>
  <c r="L4176" i="7"/>
  <c r="L4177" i="7"/>
  <c r="L4178" i="7"/>
  <c r="L4179" i="7"/>
  <c r="L4180" i="7"/>
  <c r="L4181" i="7"/>
  <c r="L4182" i="7"/>
  <c r="L4183" i="7"/>
  <c r="L4184" i="7"/>
  <c r="L4185" i="7"/>
  <c r="L4186" i="7"/>
  <c r="L4187" i="7"/>
  <c r="L4188" i="7"/>
  <c r="L4189" i="7"/>
  <c r="L4190" i="7"/>
  <c r="L4191" i="7"/>
  <c r="L4192" i="7"/>
  <c r="L4193" i="7"/>
  <c r="L4194" i="7"/>
  <c r="L4195" i="7"/>
  <c r="L4196" i="7"/>
  <c r="L4197" i="7"/>
  <c r="L4198" i="7"/>
  <c r="L4199" i="7"/>
  <c r="L4200" i="7"/>
  <c r="L4201" i="7"/>
  <c r="L4202" i="7"/>
  <c r="L4203" i="7"/>
  <c r="L4204" i="7"/>
  <c r="L4205" i="7"/>
  <c r="L4206" i="7"/>
  <c r="L4207" i="7"/>
  <c r="L4208" i="7"/>
  <c r="L4209" i="7"/>
  <c r="L4210" i="7"/>
  <c r="L4211" i="7"/>
  <c r="L4212" i="7"/>
  <c r="L4213" i="7"/>
  <c r="L4214" i="7"/>
  <c r="L4215" i="7"/>
  <c r="L4216" i="7"/>
  <c r="L4217" i="7"/>
  <c r="L4218" i="7"/>
  <c r="L4219" i="7"/>
  <c r="L4220" i="7"/>
  <c r="L4221" i="7"/>
  <c r="L4222" i="7"/>
  <c r="L4223" i="7"/>
  <c r="L4224" i="7"/>
  <c r="L4225" i="7"/>
  <c r="L4226" i="7"/>
  <c r="L4227" i="7"/>
  <c r="L4228" i="7"/>
  <c r="L4229" i="7"/>
  <c r="L4230" i="7"/>
  <c r="L4231" i="7"/>
  <c r="L4232" i="7"/>
  <c r="L4233" i="7"/>
  <c r="L4234" i="7"/>
  <c r="L4235" i="7"/>
  <c r="L4236" i="7"/>
  <c r="L4237" i="7"/>
  <c r="L4238" i="7"/>
  <c r="L4239" i="7"/>
  <c r="L4240" i="7"/>
  <c r="L4241" i="7"/>
  <c r="L4242" i="7"/>
  <c r="L4243" i="7"/>
  <c r="L4244" i="7"/>
  <c r="L4245" i="7"/>
  <c r="L4246" i="7"/>
  <c r="L4247" i="7"/>
  <c r="L4248" i="7"/>
  <c r="L4249" i="7"/>
  <c r="L4250" i="7"/>
  <c r="L4251" i="7"/>
  <c r="L4252" i="7"/>
  <c r="L4253" i="7"/>
  <c r="L4254" i="7"/>
  <c r="L4255" i="7"/>
  <c r="L4256" i="7"/>
  <c r="L4257" i="7"/>
  <c r="L4258" i="7"/>
  <c r="L4259" i="7"/>
  <c r="L4260" i="7"/>
  <c r="L4261" i="7"/>
  <c r="L4262" i="7"/>
  <c r="L4263" i="7"/>
  <c r="L4264" i="7"/>
  <c r="L4265" i="7"/>
  <c r="L4266" i="7"/>
  <c r="L4267" i="7"/>
  <c r="L4268" i="7"/>
  <c r="L4269" i="7"/>
  <c r="L4270" i="7"/>
  <c r="L4271" i="7"/>
  <c r="L4272" i="7"/>
  <c r="L4273" i="7"/>
  <c r="L4274" i="7"/>
  <c r="L4275" i="7"/>
  <c r="L4276" i="7"/>
  <c r="L4277" i="7"/>
  <c r="L4278" i="7"/>
  <c r="L4279" i="7"/>
  <c r="L4280" i="7"/>
  <c r="L4281" i="7"/>
  <c r="L4282" i="7"/>
  <c r="L4283" i="7"/>
  <c r="L4284" i="7"/>
  <c r="L4285" i="7"/>
  <c r="L4286" i="7"/>
  <c r="L4287" i="7"/>
  <c r="L4288" i="7"/>
  <c r="L4289" i="7"/>
  <c r="L4290" i="7"/>
  <c r="L4291" i="7"/>
  <c r="L4292" i="7"/>
  <c r="L4293" i="7"/>
  <c r="L4294" i="7"/>
  <c r="L4295" i="7"/>
  <c r="L4296" i="7"/>
  <c r="L4297" i="7"/>
  <c r="L4298" i="7"/>
  <c r="L4299" i="7"/>
  <c r="L4300" i="7"/>
  <c r="L4301" i="7"/>
  <c r="L4302" i="7"/>
  <c r="L4303" i="7"/>
  <c r="L4304" i="7"/>
  <c r="L4305" i="7"/>
  <c r="L4306" i="7"/>
  <c r="L4307" i="7"/>
  <c r="L4308" i="7"/>
  <c r="L4309" i="7"/>
  <c r="L4310" i="7"/>
  <c r="L4311" i="7"/>
  <c r="L4312" i="7"/>
  <c r="L4313" i="7"/>
  <c r="L4314" i="7"/>
  <c r="L4315" i="7"/>
  <c r="L4316" i="7"/>
  <c r="L4317" i="7"/>
  <c r="L4318" i="7"/>
  <c r="L4319" i="7"/>
  <c r="L4320" i="7"/>
  <c r="L4321" i="7"/>
  <c r="L4322" i="7"/>
  <c r="L4323" i="7"/>
  <c r="L4324" i="7"/>
  <c r="L4325" i="7"/>
  <c r="L4326" i="7"/>
  <c r="L4327" i="7"/>
  <c r="L4328" i="7"/>
  <c r="L4329" i="7"/>
  <c r="L4330" i="7"/>
  <c r="L4331" i="7"/>
  <c r="L4332" i="7"/>
  <c r="L4333" i="7"/>
  <c r="L4334" i="7"/>
  <c r="L4335" i="7"/>
  <c r="L4336" i="7"/>
  <c r="L4337" i="7"/>
  <c r="L4338" i="7"/>
  <c r="L4339" i="7"/>
  <c r="L4340" i="7"/>
  <c r="L4341" i="7"/>
  <c r="L4342" i="7"/>
  <c r="L4343" i="7"/>
  <c r="L4344" i="7"/>
  <c r="L4345" i="7"/>
  <c r="L4346" i="7"/>
  <c r="L4347" i="7"/>
  <c r="L4348" i="7"/>
  <c r="L4349" i="7"/>
  <c r="L4350" i="7"/>
  <c r="L4351" i="7"/>
  <c r="L4352" i="7"/>
  <c r="L4353" i="7"/>
  <c r="L4354" i="7"/>
  <c r="L4355" i="7"/>
  <c r="L4356" i="7"/>
  <c r="L4357" i="7"/>
  <c r="L4358" i="7"/>
  <c r="L4359" i="7"/>
  <c r="L4360" i="7"/>
  <c r="L4361" i="7"/>
  <c r="L4362" i="7"/>
  <c r="L4363" i="7"/>
  <c r="L4364" i="7"/>
  <c r="L4365" i="7"/>
  <c r="L4366" i="7"/>
  <c r="L4367" i="7"/>
  <c r="L4368" i="7"/>
  <c r="L4369" i="7"/>
  <c r="L4370" i="7"/>
  <c r="L4371" i="7"/>
  <c r="L4372" i="7"/>
  <c r="L4373" i="7"/>
  <c r="L4374" i="7"/>
  <c r="L4375" i="7"/>
  <c r="L4376" i="7"/>
  <c r="L4377" i="7"/>
  <c r="L4378" i="7"/>
  <c r="L4379" i="7"/>
  <c r="L4380" i="7"/>
  <c r="L4381" i="7"/>
  <c r="L4382" i="7"/>
  <c r="L4383" i="7"/>
  <c r="L4384" i="7"/>
  <c r="L4385" i="7"/>
  <c r="L4386" i="7"/>
  <c r="L4387" i="7"/>
  <c r="L4388" i="7"/>
  <c r="L4389" i="7"/>
  <c r="L4390" i="7"/>
  <c r="L4391" i="7"/>
  <c r="L4392" i="7"/>
  <c r="L4393" i="7"/>
  <c r="L4394" i="7"/>
  <c r="L4395" i="7"/>
  <c r="L4396" i="7"/>
  <c r="L4397" i="7"/>
  <c r="L4398" i="7"/>
  <c r="L4399" i="7"/>
  <c r="L4400" i="7"/>
  <c r="L4401" i="7"/>
  <c r="L4402" i="7"/>
  <c r="L4403" i="7"/>
  <c r="L4404" i="7"/>
  <c r="L4405" i="7"/>
  <c r="L4406" i="7"/>
  <c r="L4407" i="7"/>
  <c r="L4408" i="7"/>
  <c r="L4409" i="7"/>
  <c r="L4410" i="7"/>
  <c r="L4411" i="7"/>
  <c r="L4412" i="7"/>
  <c r="L4413" i="7"/>
  <c r="L4414" i="7"/>
  <c r="L4415" i="7"/>
  <c r="L4416" i="7"/>
  <c r="L4417" i="7"/>
  <c r="L4418" i="7"/>
  <c r="L4419" i="7"/>
  <c r="L4420" i="7"/>
  <c r="L4421" i="7"/>
  <c r="L4422" i="7"/>
  <c r="L4423" i="7"/>
  <c r="L4424" i="7"/>
  <c r="L4425" i="7"/>
  <c r="L4426" i="7"/>
  <c r="L4427" i="7"/>
  <c r="L4428" i="7"/>
  <c r="L4429" i="7"/>
  <c r="L4430" i="7"/>
  <c r="L4431" i="7"/>
  <c r="L4432" i="7"/>
  <c r="L4433" i="7"/>
  <c r="L4434" i="7"/>
  <c r="L4435" i="7"/>
  <c r="L4436" i="7"/>
  <c r="L4437" i="7"/>
  <c r="L4438" i="7"/>
  <c r="L4439" i="7"/>
  <c r="L4440" i="7"/>
  <c r="L4441" i="7"/>
  <c r="L4442" i="7"/>
  <c r="L4443" i="7"/>
  <c r="L4444" i="7"/>
  <c r="L4445" i="7"/>
  <c r="L4446" i="7"/>
  <c r="L4447" i="7"/>
  <c r="L4448" i="7"/>
  <c r="L4449" i="7"/>
  <c r="L4450" i="7"/>
  <c r="L4451" i="7"/>
  <c r="L4452" i="7"/>
  <c r="L4453" i="7"/>
  <c r="L4454" i="7"/>
  <c r="L4455" i="7"/>
  <c r="L4456" i="7"/>
  <c r="L4457" i="7"/>
  <c r="L4458" i="7"/>
  <c r="L4459" i="7"/>
  <c r="L4460" i="7"/>
  <c r="L4461" i="7"/>
  <c r="L4462" i="7"/>
  <c r="L4463" i="7"/>
  <c r="L4464" i="7"/>
  <c r="L4465" i="7"/>
  <c r="L4466" i="7"/>
  <c r="L4467" i="7"/>
  <c r="L4468" i="7"/>
  <c r="L4469" i="7"/>
  <c r="L4470" i="7"/>
  <c r="L4471" i="7"/>
  <c r="L4472" i="7"/>
  <c r="L4473" i="7"/>
  <c r="L4474" i="7"/>
  <c r="L4475" i="7"/>
  <c r="L4476" i="7"/>
  <c r="L4477" i="7"/>
  <c r="L4478" i="7"/>
  <c r="L4479" i="7"/>
  <c r="L4480" i="7"/>
  <c r="L4481" i="7"/>
  <c r="L4482" i="7"/>
  <c r="L4483" i="7"/>
  <c r="L4484" i="7"/>
  <c r="L4485" i="7"/>
  <c r="L4486" i="7"/>
  <c r="L4487" i="7"/>
  <c r="L4488" i="7"/>
  <c r="L4489" i="7"/>
  <c r="L4490" i="7"/>
  <c r="L4491" i="7"/>
  <c r="L4492" i="7"/>
  <c r="L4493" i="7"/>
  <c r="L4494" i="7"/>
  <c r="L4495" i="7"/>
  <c r="L4496" i="7"/>
  <c r="L4497" i="7"/>
  <c r="L4498" i="7"/>
  <c r="L4499" i="7"/>
  <c r="L4500" i="7"/>
  <c r="L4501" i="7"/>
  <c r="L4502" i="7"/>
  <c r="L4503" i="7"/>
  <c r="L4504" i="7"/>
  <c r="L4505" i="7"/>
  <c r="L4506" i="7"/>
  <c r="L4507" i="7"/>
  <c r="L4508" i="7"/>
  <c r="L4509" i="7"/>
  <c r="L4510" i="7"/>
  <c r="L4511" i="7"/>
  <c r="L4512" i="7"/>
  <c r="L4513" i="7"/>
  <c r="L4514" i="7"/>
  <c r="L4515" i="7"/>
  <c r="L4516" i="7"/>
  <c r="L4517" i="7"/>
  <c r="L4518" i="7"/>
  <c r="L4519" i="7"/>
  <c r="L4520" i="7"/>
  <c r="L4521" i="7"/>
  <c r="L4522" i="7"/>
  <c r="L4523" i="7"/>
  <c r="L4524" i="7"/>
  <c r="L4525" i="7"/>
  <c r="L4526" i="7"/>
  <c r="L4527" i="7"/>
  <c r="L4528" i="7"/>
  <c r="L4529" i="7"/>
  <c r="L4530" i="7"/>
  <c r="L4531" i="7"/>
  <c r="L4532" i="7"/>
  <c r="L4533" i="7"/>
  <c r="L4534" i="7"/>
  <c r="L4535" i="7"/>
  <c r="L4536" i="7"/>
  <c r="L4537" i="7"/>
  <c r="L4538" i="7"/>
  <c r="L4539" i="7"/>
  <c r="L4540" i="7"/>
  <c r="L4541" i="7"/>
  <c r="L4542" i="7"/>
  <c r="L4543" i="7"/>
  <c r="L4544" i="7"/>
  <c r="L4545" i="7"/>
  <c r="L4546" i="7"/>
  <c r="L4547" i="7"/>
  <c r="L4548" i="7"/>
  <c r="L4549" i="7"/>
  <c r="L4550" i="7"/>
  <c r="L4551" i="7"/>
  <c r="L4552" i="7"/>
  <c r="L4553" i="7"/>
  <c r="L4554" i="7"/>
  <c r="L4555" i="7"/>
  <c r="L4556" i="7"/>
  <c r="L4557" i="7"/>
  <c r="L4558" i="7"/>
  <c r="L4559" i="7"/>
  <c r="L4560" i="7"/>
  <c r="L4561" i="7"/>
  <c r="L4562" i="7"/>
  <c r="L4563" i="7"/>
  <c r="L4564" i="7"/>
  <c r="L4565" i="7"/>
  <c r="L4566" i="7"/>
  <c r="L4567" i="7"/>
  <c r="L4568" i="7"/>
  <c r="L4569" i="7"/>
  <c r="L4570" i="7"/>
  <c r="L4571" i="7"/>
  <c r="L4572" i="7"/>
  <c r="L4573" i="7"/>
  <c r="L4574" i="7"/>
  <c r="L4575" i="7"/>
  <c r="L4576" i="7"/>
  <c r="L4577" i="7"/>
  <c r="L4578" i="7"/>
  <c r="L4579" i="7"/>
  <c r="L4580" i="7"/>
  <c r="L4581" i="7"/>
  <c r="L4582" i="7"/>
  <c r="L4583" i="7"/>
  <c r="L4584" i="7"/>
  <c r="L4585" i="7"/>
  <c r="L4586" i="7"/>
  <c r="L4587" i="7"/>
  <c r="L4588" i="7"/>
  <c r="L4589" i="7"/>
  <c r="L4590" i="7"/>
  <c r="L4591" i="7"/>
  <c r="L4592" i="7"/>
  <c r="L4593" i="7"/>
  <c r="L4594" i="7"/>
  <c r="L4595" i="7"/>
  <c r="L4596" i="7"/>
  <c r="L4597" i="7"/>
  <c r="L4598" i="7"/>
  <c r="L4599" i="7"/>
  <c r="L4600" i="7"/>
  <c r="L4601" i="7"/>
  <c r="L4602" i="7"/>
  <c r="L4603" i="7"/>
  <c r="L4604" i="7"/>
  <c r="L4605" i="7"/>
  <c r="L4606" i="7"/>
  <c r="L4607" i="7"/>
  <c r="L4608" i="7"/>
  <c r="L4609" i="7"/>
  <c r="L4610" i="7"/>
  <c r="L4611" i="7"/>
  <c r="L4612" i="7"/>
  <c r="L4613" i="7"/>
  <c r="L4614" i="7"/>
  <c r="L4615" i="7"/>
  <c r="L4616" i="7"/>
  <c r="L4617" i="7"/>
  <c r="L4618" i="7"/>
  <c r="L4619" i="7"/>
  <c r="L4620" i="7"/>
  <c r="L4621" i="7"/>
  <c r="L4622" i="7"/>
  <c r="L4623" i="7"/>
  <c r="L4624" i="7"/>
  <c r="L4625" i="7"/>
  <c r="L4626" i="7"/>
  <c r="L4627" i="7"/>
  <c r="L4628" i="7"/>
  <c r="L4629" i="7"/>
  <c r="L4630" i="7"/>
  <c r="L4631" i="7"/>
  <c r="L4632" i="7"/>
  <c r="L4633" i="7"/>
  <c r="L4634" i="7"/>
  <c r="L4635" i="7"/>
  <c r="L4636" i="7"/>
  <c r="L4637" i="7"/>
  <c r="L4638" i="7"/>
  <c r="L4639" i="7"/>
  <c r="L4640" i="7"/>
  <c r="L4641" i="7"/>
  <c r="L4642" i="7"/>
  <c r="L4643" i="7"/>
  <c r="L4644" i="7"/>
  <c r="L4645" i="7"/>
  <c r="L4646" i="7"/>
  <c r="L4647" i="7"/>
  <c r="L4648" i="7"/>
  <c r="L4649" i="7"/>
  <c r="L4650" i="7"/>
  <c r="L4651" i="7"/>
  <c r="L4652" i="7"/>
  <c r="L4653" i="7"/>
  <c r="L4654" i="7"/>
  <c r="L4655" i="7"/>
  <c r="L4656" i="7"/>
  <c r="L4657" i="7"/>
  <c r="L4658" i="7"/>
  <c r="L4659" i="7"/>
  <c r="L4660" i="7"/>
  <c r="L4661" i="7"/>
  <c r="L4662" i="7"/>
  <c r="L4663" i="7"/>
  <c r="L4664" i="7"/>
  <c r="L4665" i="7"/>
  <c r="L4666" i="7"/>
  <c r="L4667" i="7"/>
  <c r="L4668" i="7"/>
  <c r="L4669" i="7"/>
  <c r="L4670" i="7"/>
  <c r="L4671" i="7"/>
  <c r="L4672" i="7"/>
  <c r="L4673" i="7"/>
  <c r="L4674" i="7"/>
  <c r="L4675" i="7"/>
  <c r="L4676" i="7"/>
  <c r="L4677" i="7"/>
  <c r="L4678" i="7"/>
  <c r="L4679" i="7"/>
  <c r="L4680" i="7"/>
  <c r="L4681" i="7"/>
  <c r="L4682" i="7"/>
  <c r="L4683" i="7"/>
  <c r="L4684" i="7"/>
  <c r="L4685" i="7"/>
  <c r="L4686" i="7"/>
  <c r="L4687" i="7"/>
  <c r="L4688" i="7"/>
  <c r="L4689" i="7"/>
  <c r="L4690" i="7"/>
  <c r="L4691" i="7"/>
  <c r="L4692" i="7"/>
  <c r="L4693" i="7"/>
  <c r="L4694" i="7"/>
  <c r="L4695" i="7"/>
  <c r="L4696" i="7"/>
  <c r="L4697" i="7"/>
  <c r="L4698" i="7"/>
  <c r="L4699" i="7"/>
  <c r="L4700" i="7"/>
  <c r="L4701" i="7"/>
  <c r="L4702" i="7"/>
  <c r="L4703" i="7"/>
  <c r="L4704" i="7"/>
  <c r="L4705" i="7"/>
  <c r="L4706" i="7"/>
  <c r="L4707" i="7"/>
  <c r="L4708" i="7"/>
  <c r="L4709" i="7"/>
  <c r="L4710" i="7"/>
  <c r="L4711" i="7"/>
  <c r="L4712" i="7"/>
  <c r="L4713" i="7"/>
  <c r="L4714" i="7"/>
  <c r="L4715" i="7"/>
  <c r="L4716" i="7"/>
  <c r="L4717" i="7"/>
  <c r="L4718" i="7"/>
  <c r="L4719" i="7"/>
  <c r="L4720" i="7"/>
  <c r="L4721" i="7"/>
  <c r="L4722" i="7"/>
  <c r="L4723" i="7"/>
  <c r="L4724" i="7"/>
  <c r="L4725" i="7"/>
  <c r="L4726" i="7"/>
  <c r="L4727" i="7"/>
  <c r="L4728" i="7"/>
  <c r="L4729" i="7"/>
  <c r="L4730" i="7"/>
  <c r="L4731" i="7"/>
  <c r="L4732" i="7"/>
  <c r="L4733" i="7"/>
  <c r="L4734" i="7"/>
  <c r="L4735" i="7"/>
  <c r="L4736" i="7"/>
  <c r="L4737" i="7"/>
  <c r="L4738" i="7"/>
  <c r="L4739" i="7"/>
  <c r="L4740" i="7"/>
  <c r="L4741" i="7"/>
  <c r="L4742" i="7"/>
  <c r="L4743" i="7"/>
  <c r="L4744" i="7"/>
  <c r="L4745" i="7"/>
  <c r="L4746" i="7"/>
  <c r="L4747" i="7"/>
  <c r="L4748" i="7"/>
  <c r="L4749" i="7"/>
  <c r="L4750" i="7"/>
  <c r="L4751" i="7"/>
  <c r="L4752" i="7"/>
  <c r="L4753" i="7"/>
  <c r="L4754" i="7"/>
  <c r="L4755" i="7"/>
  <c r="L4756" i="7"/>
  <c r="L4757" i="7"/>
  <c r="L4758" i="7"/>
  <c r="L4759" i="7"/>
  <c r="L4760" i="7"/>
  <c r="L4761" i="7"/>
  <c r="L4762" i="7"/>
  <c r="L4763" i="7"/>
  <c r="L4764" i="7"/>
  <c r="L4765" i="7"/>
  <c r="L4766" i="7"/>
  <c r="L4767" i="7"/>
  <c r="L4768" i="7"/>
  <c r="L4769" i="7"/>
  <c r="L4770" i="7"/>
  <c r="L4771" i="7"/>
  <c r="L4772" i="7"/>
  <c r="L4773" i="7"/>
  <c r="L4774" i="7"/>
  <c r="L4775" i="7"/>
  <c r="L4776" i="7"/>
  <c r="L4777" i="7"/>
  <c r="L4778" i="7"/>
  <c r="L4779" i="7"/>
  <c r="L4780" i="7"/>
  <c r="L4781" i="7"/>
  <c r="L4782" i="7"/>
  <c r="L4783" i="7"/>
  <c r="L4784" i="7"/>
  <c r="L4785" i="7"/>
  <c r="L4786" i="7"/>
  <c r="L4787" i="7"/>
  <c r="L4788" i="7"/>
  <c r="L4789" i="7"/>
  <c r="L4790" i="7"/>
  <c r="L4791" i="7"/>
  <c r="L4792" i="7"/>
  <c r="L4793" i="7"/>
  <c r="L4794" i="7"/>
  <c r="L4795" i="7"/>
  <c r="L4796" i="7"/>
  <c r="L4797" i="7"/>
  <c r="L4798" i="7"/>
  <c r="L4799" i="7"/>
  <c r="L4800" i="7"/>
  <c r="L4801" i="7"/>
  <c r="L4802" i="7"/>
  <c r="L4803" i="7"/>
  <c r="L4804" i="7"/>
  <c r="L4805" i="7"/>
  <c r="L4806" i="7"/>
  <c r="L4807" i="7"/>
  <c r="L4808" i="7"/>
  <c r="L4809" i="7"/>
  <c r="L4810" i="7"/>
  <c r="L4811" i="7"/>
  <c r="L4812" i="7"/>
  <c r="L4813" i="7"/>
  <c r="L4814" i="7"/>
  <c r="L4815" i="7"/>
  <c r="L4816" i="7"/>
  <c r="L4817" i="7"/>
  <c r="L4818" i="7"/>
  <c r="L4819" i="7"/>
  <c r="L4820" i="7"/>
  <c r="L4821" i="7"/>
  <c r="L4822" i="7"/>
  <c r="L4823" i="7"/>
  <c r="L4824" i="7"/>
  <c r="L4825" i="7"/>
  <c r="L4826" i="7"/>
  <c r="L4827" i="7"/>
  <c r="L4828" i="7"/>
  <c r="L4829" i="7"/>
  <c r="L4830" i="7"/>
  <c r="L4831" i="7"/>
  <c r="L4832" i="7"/>
  <c r="L4833" i="7"/>
  <c r="L4834" i="7"/>
  <c r="L4835" i="7"/>
  <c r="L4836" i="7"/>
  <c r="L4837" i="7"/>
  <c r="L4838" i="7"/>
  <c r="L4839" i="7"/>
  <c r="L4840" i="7"/>
  <c r="L4841" i="7"/>
  <c r="L4842" i="7"/>
  <c r="L4843" i="7"/>
  <c r="L4844" i="7"/>
  <c r="L4845" i="7"/>
  <c r="L4846" i="7"/>
  <c r="L4847" i="7"/>
  <c r="L4848" i="7"/>
  <c r="L4849" i="7"/>
  <c r="L4850" i="7"/>
  <c r="L4851" i="7"/>
  <c r="L4852" i="7"/>
  <c r="L4853" i="7"/>
  <c r="L4854" i="7"/>
  <c r="L4855" i="7"/>
  <c r="L4856" i="7"/>
  <c r="L4857" i="7"/>
  <c r="L4858" i="7"/>
  <c r="L4859" i="7"/>
  <c r="L4860" i="7"/>
  <c r="L4861" i="7"/>
  <c r="L4862" i="7"/>
  <c r="L4863" i="7"/>
  <c r="L4864" i="7"/>
  <c r="L4865" i="7"/>
  <c r="L4866" i="7"/>
  <c r="L4867" i="7"/>
  <c r="L4868" i="7"/>
  <c r="L4869" i="7"/>
  <c r="L4870" i="7"/>
  <c r="L4871" i="7"/>
  <c r="L4872" i="7"/>
  <c r="L4873" i="7"/>
  <c r="L4874" i="7"/>
  <c r="L4875" i="7"/>
  <c r="L4876" i="7"/>
  <c r="L4877" i="7"/>
  <c r="L4878" i="7"/>
  <c r="L4879" i="7"/>
  <c r="L4880" i="7"/>
  <c r="L4881" i="7"/>
  <c r="L4882" i="7"/>
  <c r="L4883" i="7"/>
  <c r="L4884" i="7"/>
  <c r="L4885" i="7"/>
  <c r="L4886" i="7"/>
  <c r="L4887" i="7"/>
  <c r="L4888" i="7"/>
  <c r="L4889" i="7"/>
  <c r="L4890" i="7"/>
  <c r="L4891" i="7"/>
  <c r="L4892" i="7"/>
  <c r="L4893" i="7"/>
  <c r="L4894" i="7"/>
  <c r="L4895" i="7"/>
  <c r="L4896" i="7"/>
  <c r="L4897" i="7"/>
  <c r="L4898" i="7"/>
  <c r="L4899" i="7"/>
  <c r="L4900" i="7"/>
  <c r="L4901" i="7"/>
  <c r="L4902" i="7"/>
  <c r="L4903" i="7"/>
  <c r="L4904" i="7"/>
  <c r="L4905" i="7"/>
  <c r="L4906" i="7"/>
  <c r="L4907" i="7"/>
  <c r="L4908" i="7"/>
  <c r="L4909" i="7"/>
  <c r="L4910" i="7"/>
  <c r="L4911" i="7"/>
  <c r="L4912" i="7"/>
  <c r="L4913" i="7"/>
  <c r="L4914" i="7"/>
  <c r="L4915" i="7"/>
  <c r="L4916" i="7"/>
  <c r="L4917" i="7"/>
  <c r="L4918" i="7"/>
  <c r="L4919" i="7"/>
  <c r="L4920" i="7"/>
  <c r="L4921" i="7"/>
  <c r="L4922" i="7"/>
  <c r="L4923" i="7"/>
  <c r="L4924" i="7"/>
  <c r="L4925" i="7"/>
  <c r="L4926" i="7"/>
  <c r="L4927" i="7"/>
  <c r="L4928" i="7"/>
  <c r="L4929" i="7"/>
  <c r="L4930" i="7"/>
  <c r="L4931" i="7"/>
  <c r="L4932" i="7"/>
  <c r="L4933" i="7"/>
  <c r="L4934" i="7"/>
  <c r="L4935" i="7"/>
  <c r="L4936" i="7"/>
  <c r="L4937" i="7"/>
  <c r="L4938" i="7"/>
  <c r="L4939" i="7"/>
  <c r="L4940" i="7"/>
  <c r="L4941" i="7"/>
  <c r="L4942" i="7"/>
  <c r="L4943" i="7"/>
  <c r="L4944" i="7"/>
  <c r="L4945" i="7"/>
  <c r="L4946" i="7"/>
  <c r="L4947" i="7"/>
  <c r="L4948" i="7"/>
  <c r="L4949" i="7"/>
  <c r="L4950" i="7"/>
  <c r="L4951" i="7"/>
  <c r="L4952" i="7"/>
  <c r="L4953" i="7"/>
  <c r="L4954" i="7"/>
  <c r="L4955" i="7"/>
  <c r="L4956" i="7"/>
  <c r="L4957" i="7"/>
  <c r="L4958" i="7"/>
  <c r="L4959" i="7"/>
  <c r="L4960" i="7"/>
  <c r="L4961" i="7"/>
  <c r="L4962" i="7"/>
  <c r="L4963" i="7"/>
  <c r="L4964" i="7"/>
  <c r="L4965" i="7"/>
  <c r="L4966" i="7"/>
  <c r="L4967" i="7"/>
  <c r="L4968" i="7"/>
  <c r="L4969" i="7"/>
  <c r="L4970" i="7"/>
  <c r="L4971" i="7"/>
  <c r="L4972" i="7"/>
  <c r="L4973" i="7"/>
  <c r="L4974" i="7"/>
  <c r="L4975" i="7"/>
  <c r="L4976" i="7"/>
  <c r="L4977" i="7"/>
  <c r="L4978" i="7"/>
  <c r="L4979" i="7"/>
  <c r="L4980" i="7"/>
  <c r="L4981" i="7"/>
  <c r="L4982" i="7"/>
  <c r="L4983" i="7"/>
  <c r="L4984" i="7"/>
  <c r="L4985" i="7"/>
  <c r="L4986" i="7"/>
  <c r="L4987" i="7"/>
  <c r="L4988" i="7"/>
  <c r="L4989" i="7"/>
  <c r="L4990" i="7"/>
  <c r="L4991" i="7"/>
  <c r="L4992" i="7"/>
  <c r="L4993" i="7"/>
  <c r="L4994" i="7"/>
  <c r="L4995" i="7"/>
  <c r="L4996" i="7"/>
  <c r="L4997" i="7"/>
  <c r="L4998" i="7"/>
  <c r="L4999" i="7"/>
  <c r="L5000" i="7"/>
  <c r="L5001" i="7"/>
  <c r="L5002" i="7"/>
  <c r="L5003" i="7"/>
  <c r="L5004" i="7"/>
  <c r="L5005" i="7"/>
  <c r="L5006" i="7"/>
  <c r="L5007" i="7"/>
  <c r="L5008" i="7"/>
  <c r="L5009" i="7"/>
  <c r="L5010" i="7"/>
  <c r="L5011" i="7"/>
  <c r="L5012" i="7"/>
  <c r="L5013" i="7"/>
  <c r="L5014" i="7"/>
  <c r="L5015" i="7"/>
  <c r="L5016" i="7"/>
  <c r="L5017" i="7"/>
  <c r="L5018" i="7"/>
  <c r="L5019" i="7"/>
  <c r="L5020" i="7"/>
  <c r="L5021" i="7"/>
  <c r="L5022" i="7"/>
  <c r="L5023" i="7"/>
  <c r="L5024" i="7"/>
  <c r="L5025" i="7"/>
  <c r="L5026" i="7"/>
  <c r="L5027" i="7"/>
  <c r="L5028" i="7"/>
  <c r="L5029" i="7"/>
  <c r="L5030" i="7"/>
  <c r="L5031" i="7"/>
  <c r="L5032" i="7"/>
  <c r="L5033" i="7"/>
  <c r="L5034" i="7"/>
  <c r="L5035" i="7"/>
  <c r="L5036" i="7"/>
  <c r="L5037" i="7"/>
  <c r="L5038" i="7"/>
  <c r="L5039" i="7"/>
  <c r="L5040" i="7"/>
  <c r="L5041" i="7"/>
  <c r="L5042" i="7"/>
  <c r="L5043" i="7"/>
  <c r="L5044" i="7"/>
  <c r="L5045" i="7"/>
  <c r="L5046" i="7"/>
  <c r="L5047" i="7"/>
  <c r="L5048" i="7"/>
  <c r="L5049" i="7"/>
  <c r="L5050" i="7"/>
  <c r="L5051" i="7"/>
  <c r="L5052" i="7"/>
  <c r="L5053" i="7"/>
  <c r="L5054" i="7"/>
  <c r="L5055" i="7"/>
  <c r="L5056" i="7"/>
  <c r="L5057" i="7"/>
  <c r="L5058" i="7"/>
  <c r="L5059" i="7"/>
  <c r="L5060" i="7"/>
  <c r="L5061" i="7"/>
  <c r="L5062" i="7"/>
  <c r="L5063" i="7"/>
  <c r="L5064" i="7"/>
  <c r="L5065" i="7"/>
  <c r="L5066" i="7"/>
  <c r="L5067" i="7"/>
  <c r="L5068" i="7"/>
  <c r="L5069" i="7"/>
  <c r="L5070" i="7"/>
  <c r="L5071" i="7"/>
  <c r="L5072" i="7"/>
  <c r="L5073" i="7"/>
  <c r="L5074" i="7"/>
  <c r="L5075" i="7"/>
  <c r="L5076" i="7"/>
  <c r="L5077" i="7"/>
  <c r="L5078" i="7"/>
  <c r="L5079" i="7"/>
  <c r="L5080" i="7"/>
  <c r="L5081" i="7"/>
  <c r="L5082" i="7"/>
  <c r="L5083" i="7"/>
  <c r="L5084" i="7"/>
  <c r="L5085" i="7"/>
  <c r="L5086" i="7"/>
  <c r="L5087" i="7"/>
  <c r="L5088" i="7"/>
  <c r="L5089" i="7"/>
  <c r="L5090" i="7"/>
  <c r="L5091" i="7"/>
  <c r="L5092" i="7"/>
  <c r="L5093" i="7"/>
  <c r="L5094" i="7"/>
  <c r="L5095" i="7"/>
  <c r="L5096" i="7"/>
  <c r="L5097" i="7"/>
  <c r="L5098" i="7"/>
  <c r="L5099" i="7"/>
  <c r="L5100" i="7"/>
  <c r="L5101" i="7"/>
  <c r="L5102" i="7"/>
  <c r="L5103" i="7"/>
  <c r="L5104" i="7"/>
  <c r="L5105" i="7"/>
  <c r="L5106" i="7"/>
  <c r="L5107" i="7"/>
  <c r="L5108" i="7"/>
  <c r="L5109" i="7"/>
  <c r="L5110" i="7"/>
  <c r="L5111" i="7"/>
  <c r="L5112" i="7"/>
  <c r="L5113" i="7"/>
  <c r="L5114" i="7"/>
  <c r="L5115" i="7"/>
  <c r="L5116" i="7"/>
  <c r="L5117" i="7"/>
  <c r="L5118" i="7"/>
  <c r="L5119" i="7"/>
  <c r="L5120" i="7"/>
  <c r="L5121" i="7"/>
  <c r="L5122" i="7"/>
  <c r="L5123" i="7"/>
  <c r="L5124" i="7"/>
  <c r="L5125" i="7"/>
  <c r="L5126" i="7"/>
  <c r="L5127" i="7"/>
  <c r="L5128" i="7"/>
  <c r="L5129" i="7"/>
  <c r="L5130" i="7"/>
  <c r="L5131" i="7"/>
  <c r="L5132" i="7"/>
  <c r="L5133" i="7"/>
  <c r="L5134" i="7"/>
  <c r="L5135" i="7"/>
  <c r="L5136" i="7"/>
  <c r="L5137" i="7"/>
  <c r="L5138" i="7"/>
  <c r="L5139" i="7"/>
  <c r="L5140" i="7"/>
  <c r="L5141" i="7"/>
  <c r="L5142" i="7"/>
  <c r="L5143" i="7"/>
  <c r="L5144" i="7"/>
  <c r="L5145" i="7"/>
  <c r="L5146" i="7"/>
  <c r="L5147" i="7"/>
  <c r="L5148" i="7"/>
  <c r="L5149" i="7"/>
  <c r="L5150" i="7"/>
  <c r="L5151" i="7"/>
  <c r="L5152" i="7"/>
  <c r="L5153" i="7"/>
  <c r="L5154" i="7"/>
  <c r="L5155" i="7"/>
  <c r="L5156" i="7"/>
  <c r="L5157" i="7"/>
  <c r="L5158" i="7"/>
  <c r="L5159" i="7"/>
  <c r="L5160" i="7"/>
  <c r="L5161" i="7"/>
  <c r="L5162" i="7"/>
  <c r="L5163" i="7"/>
  <c r="L5164" i="7"/>
  <c r="L5165" i="7"/>
  <c r="L5166" i="7"/>
  <c r="L5167" i="7"/>
  <c r="L5168" i="7"/>
  <c r="L5169" i="7"/>
  <c r="L5170" i="7"/>
  <c r="L5171" i="7"/>
  <c r="L5172" i="7"/>
  <c r="L5173" i="7"/>
  <c r="L5174" i="7"/>
  <c r="L5175" i="7"/>
  <c r="L5176" i="7"/>
  <c r="L5177" i="7"/>
  <c r="L5178" i="7"/>
  <c r="L5179" i="7"/>
  <c r="L5180" i="7"/>
  <c r="L5181" i="7"/>
  <c r="L5182" i="7"/>
  <c r="L5183" i="7"/>
  <c r="L5184" i="7"/>
  <c r="L5185" i="7"/>
  <c r="L5186" i="7"/>
  <c r="L5187" i="7"/>
  <c r="L5188" i="7"/>
  <c r="L5189" i="7"/>
  <c r="L5190" i="7"/>
  <c r="L5191" i="7"/>
  <c r="L5192" i="7"/>
  <c r="L5193" i="7"/>
  <c r="L5194" i="7"/>
  <c r="L5195" i="7"/>
  <c r="L5196" i="7"/>
  <c r="L5197" i="7"/>
  <c r="L5198" i="7"/>
  <c r="L5199" i="7"/>
  <c r="L5200" i="7"/>
  <c r="L5201" i="7"/>
  <c r="L5202" i="7"/>
  <c r="L5203" i="7"/>
  <c r="L5204" i="7"/>
  <c r="L5205" i="7"/>
  <c r="L5206" i="7"/>
  <c r="L5207" i="7"/>
  <c r="L5208" i="7"/>
  <c r="L5209" i="7"/>
  <c r="L5210" i="7"/>
  <c r="L5211" i="7"/>
  <c r="L5212" i="7"/>
  <c r="L5213" i="7"/>
  <c r="L5214" i="7"/>
  <c r="L5215" i="7"/>
  <c r="L5216" i="7"/>
  <c r="L5217" i="7"/>
  <c r="L5218" i="7"/>
  <c r="L5219" i="7"/>
  <c r="L5220" i="7"/>
  <c r="L5221" i="7"/>
  <c r="L5222" i="7"/>
  <c r="L5223" i="7"/>
  <c r="L5224" i="7"/>
  <c r="L5225" i="7"/>
  <c r="L5226" i="7"/>
  <c r="L5227" i="7"/>
  <c r="L5228" i="7"/>
  <c r="L5229" i="7"/>
  <c r="L5230" i="7"/>
  <c r="L5231" i="7"/>
  <c r="L5232" i="7"/>
  <c r="L5233" i="7"/>
  <c r="L5234" i="7"/>
  <c r="L5235" i="7"/>
  <c r="L5236" i="7"/>
  <c r="L5237" i="7"/>
  <c r="L5238" i="7"/>
  <c r="L5239" i="7"/>
  <c r="L5240" i="7"/>
  <c r="L5241" i="7"/>
  <c r="L5242" i="7"/>
  <c r="L5243" i="7"/>
  <c r="L5244" i="7"/>
  <c r="L5245" i="7"/>
  <c r="L5246" i="7"/>
  <c r="L5247" i="7"/>
  <c r="L5248" i="7"/>
  <c r="L5249" i="7"/>
  <c r="L5250" i="7"/>
  <c r="L5251" i="7"/>
  <c r="L5252" i="7"/>
  <c r="L5253" i="7"/>
  <c r="L5254" i="7"/>
  <c r="L5255" i="7"/>
  <c r="L5256" i="7"/>
  <c r="L5257" i="7"/>
  <c r="L5258" i="7"/>
  <c r="L5259" i="7"/>
  <c r="L5260" i="7"/>
  <c r="L5261" i="7"/>
  <c r="L5262" i="7"/>
  <c r="L5263" i="7"/>
  <c r="L5264" i="7"/>
  <c r="L5265" i="7"/>
  <c r="L5266" i="7"/>
  <c r="L5267" i="7"/>
  <c r="L5268" i="7"/>
  <c r="L5269" i="7"/>
  <c r="L5270" i="7"/>
  <c r="L5271" i="7"/>
  <c r="L5272" i="7"/>
  <c r="L5273" i="7"/>
  <c r="L5274" i="7"/>
  <c r="L5275" i="7"/>
  <c r="L5276" i="7"/>
  <c r="L5277" i="7"/>
  <c r="L5278" i="7"/>
  <c r="L5279" i="7"/>
  <c r="L5280" i="7"/>
  <c r="L5281" i="7"/>
  <c r="L5282" i="7"/>
  <c r="L5283" i="7"/>
  <c r="L5284" i="7"/>
  <c r="L5285" i="7"/>
  <c r="L5286" i="7"/>
  <c r="L5287" i="7"/>
  <c r="L5288" i="7"/>
  <c r="L5289" i="7"/>
  <c r="L5290" i="7"/>
  <c r="L5291" i="7"/>
  <c r="L5292" i="7"/>
  <c r="L5293" i="7"/>
  <c r="L5294" i="7"/>
  <c r="L5295" i="7"/>
  <c r="L5296" i="7"/>
  <c r="L5297" i="7"/>
  <c r="L5298" i="7"/>
  <c r="L5299" i="7"/>
  <c r="L5300" i="7"/>
  <c r="L5301" i="7"/>
  <c r="L5302" i="7"/>
  <c r="L5303" i="7"/>
  <c r="L5304" i="7"/>
  <c r="L5305" i="7"/>
  <c r="L5306" i="7"/>
  <c r="L5307" i="7"/>
  <c r="L5308" i="7"/>
  <c r="L5309" i="7"/>
  <c r="L5310" i="7"/>
  <c r="L5311" i="7"/>
  <c r="L5312" i="7"/>
  <c r="L5313" i="7"/>
  <c r="L5314" i="7"/>
  <c r="L5315" i="7"/>
  <c r="L5316" i="7"/>
  <c r="L5317" i="7"/>
  <c r="L5318" i="7"/>
  <c r="L5319" i="7"/>
  <c r="L5320" i="7"/>
  <c r="L5321" i="7"/>
  <c r="L5322" i="7"/>
  <c r="L5323" i="7"/>
  <c r="L5324" i="7"/>
  <c r="L5325" i="7"/>
  <c r="L5326" i="7"/>
  <c r="L5327" i="7"/>
  <c r="L5328" i="7"/>
  <c r="L5329" i="7"/>
  <c r="L5330" i="7"/>
  <c r="L5331" i="7"/>
  <c r="L5332" i="7"/>
  <c r="L5333" i="7"/>
  <c r="L5334" i="7"/>
  <c r="L5335" i="7"/>
  <c r="L5336" i="7"/>
  <c r="L5337" i="7"/>
  <c r="L5338" i="7"/>
  <c r="L5339" i="7"/>
  <c r="L5340" i="7"/>
  <c r="L5341" i="7"/>
  <c r="L5342" i="7"/>
  <c r="L5343" i="7"/>
  <c r="L5344" i="7"/>
  <c r="L5345" i="7"/>
  <c r="L5346" i="7"/>
  <c r="L5347" i="7"/>
  <c r="L5348" i="7"/>
  <c r="L5349" i="7"/>
  <c r="L5350" i="7"/>
  <c r="L5351" i="7"/>
  <c r="L5352" i="7"/>
  <c r="L5353" i="7"/>
  <c r="L5354" i="7"/>
  <c r="L5355" i="7"/>
  <c r="L5356" i="7"/>
  <c r="L5357" i="7"/>
  <c r="L5358" i="7"/>
  <c r="L5359" i="7"/>
  <c r="L5360" i="7"/>
  <c r="L5361" i="7"/>
  <c r="L5362" i="7"/>
  <c r="L5363" i="7"/>
  <c r="L5364" i="7"/>
  <c r="L5365" i="7"/>
  <c r="L5366" i="7"/>
  <c r="L5367" i="7"/>
  <c r="L5368" i="7"/>
  <c r="L5369" i="7"/>
  <c r="L5370" i="7"/>
  <c r="L5371" i="7"/>
  <c r="L5372" i="7"/>
  <c r="L5373" i="7"/>
  <c r="L5374" i="7"/>
  <c r="L5375" i="7"/>
  <c r="L5376" i="7"/>
  <c r="L5377" i="7"/>
  <c r="L5378" i="7"/>
  <c r="L5379" i="7"/>
  <c r="L5380" i="7"/>
  <c r="L5381" i="7"/>
  <c r="L5382" i="7"/>
  <c r="L5383" i="7"/>
  <c r="L5384" i="7"/>
  <c r="L5385" i="7"/>
  <c r="L5386" i="7"/>
  <c r="L5387" i="7"/>
  <c r="L5388" i="7"/>
  <c r="L5389" i="7"/>
  <c r="L5390" i="7"/>
  <c r="L5391" i="7"/>
  <c r="L5392" i="7"/>
  <c r="L5393" i="7"/>
  <c r="L5394" i="7"/>
  <c r="L5395" i="7"/>
  <c r="L5396" i="7"/>
  <c r="L5397" i="7"/>
  <c r="L5398" i="7"/>
  <c r="L5399" i="7"/>
  <c r="L5400" i="7"/>
  <c r="L5401" i="7"/>
  <c r="L5402" i="7"/>
  <c r="L5403" i="7"/>
  <c r="L5404" i="7"/>
  <c r="L5405" i="7"/>
  <c r="L5406" i="7"/>
  <c r="L5407" i="7"/>
  <c r="L5408" i="7"/>
  <c r="L5409" i="7"/>
  <c r="L5410" i="7"/>
  <c r="L5411" i="7"/>
  <c r="L5412" i="7"/>
  <c r="L5413" i="7"/>
  <c r="L5414" i="7"/>
  <c r="L5415" i="7"/>
  <c r="L5416" i="7"/>
  <c r="L5417" i="7"/>
  <c r="L5418" i="7"/>
  <c r="L5419" i="7"/>
  <c r="L5420" i="7"/>
  <c r="L5421" i="7"/>
  <c r="L5422" i="7"/>
  <c r="L5423" i="7"/>
  <c r="L5424" i="7"/>
  <c r="L5425" i="7"/>
  <c r="L5426" i="7"/>
  <c r="L5427" i="7"/>
  <c r="L5428" i="7"/>
  <c r="L5429" i="7"/>
  <c r="L5430" i="7"/>
  <c r="L5431" i="7"/>
  <c r="L5432" i="7"/>
  <c r="L5433" i="7"/>
  <c r="L5434" i="7"/>
  <c r="L5435" i="7"/>
  <c r="L5436" i="7"/>
  <c r="L5437" i="7"/>
  <c r="L5438" i="7"/>
  <c r="L5439" i="7"/>
  <c r="L5440" i="7"/>
  <c r="L5441" i="7"/>
  <c r="L5442" i="7"/>
  <c r="L5443" i="7"/>
  <c r="L5444" i="7"/>
  <c r="L5445" i="7"/>
  <c r="L5446" i="7"/>
  <c r="L5447" i="7"/>
  <c r="L5448" i="7"/>
  <c r="L5449" i="7"/>
  <c r="L5450" i="7"/>
  <c r="L5451" i="7"/>
  <c r="L5452" i="7"/>
  <c r="L5453" i="7"/>
  <c r="L5454" i="7"/>
  <c r="L5455" i="7"/>
  <c r="L5456" i="7"/>
  <c r="L5457" i="7"/>
  <c r="L5458" i="7"/>
  <c r="L5459" i="7"/>
  <c r="L5460" i="7"/>
  <c r="L5461" i="7"/>
  <c r="L5462" i="7"/>
  <c r="L5463" i="7"/>
  <c r="L5464" i="7"/>
  <c r="L5465" i="7"/>
  <c r="L5466" i="7"/>
  <c r="L5467" i="7"/>
  <c r="L5468" i="7"/>
  <c r="L5469" i="7"/>
  <c r="L5470" i="7"/>
  <c r="L5471" i="7"/>
  <c r="L5472" i="7"/>
  <c r="L5473" i="7"/>
  <c r="L5474" i="7"/>
  <c r="L5475" i="7"/>
  <c r="L5476" i="7"/>
  <c r="L5477" i="7"/>
  <c r="L5478" i="7"/>
  <c r="L5479" i="7"/>
  <c r="L5480" i="7"/>
  <c r="L5481" i="7"/>
  <c r="L5482" i="7"/>
  <c r="L5483" i="7"/>
  <c r="L5484" i="7"/>
  <c r="L5485" i="7"/>
  <c r="L5486" i="7"/>
  <c r="L5487" i="7"/>
  <c r="L5488" i="7"/>
  <c r="L5489" i="7"/>
  <c r="L5490" i="7"/>
  <c r="L5491" i="7"/>
  <c r="L5492" i="7"/>
  <c r="L5493" i="7"/>
  <c r="L5494" i="7"/>
  <c r="L5495" i="7"/>
  <c r="L5496" i="7"/>
  <c r="L5497" i="7"/>
  <c r="L5498" i="7"/>
  <c r="L5499" i="7"/>
  <c r="L5500" i="7"/>
  <c r="L5501" i="7"/>
  <c r="L5502" i="7"/>
  <c r="L5503" i="7"/>
  <c r="L5504" i="7"/>
  <c r="L5505" i="7"/>
  <c r="L5506" i="7"/>
  <c r="L5507" i="7"/>
  <c r="L5508" i="7"/>
  <c r="L5509" i="7"/>
  <c r="L5510" i="7"/>
  <c r="L5511" i="7"/>
  <c r="L5512" i="7"/>
  <c r="L5513" i="7"/>
  <c r="L5514" i="7"/>
  <c r="L5515" i="7"/>
  <c r="L5516" i="7"/>
  <c r="L5517" i="7"/>
  <c r="L5518" i="7"/>
  <c r="L5519" i="7"/>
  <c r="L5520" i="7"/>
  <c r="L5521" i="7"/>
  <c r="L5522" i="7"/>
  <c r="L5523" i="7"/>
  <c r="L5524" i="7"/>
  <c r="L5525" i="7"/>
  <c r="L5526" i="7"/>
  <c r="L5527" i="7"/>
  <c r="L5528" i="7"/>
  <c r="L5529" i="7"/>
  <c r="L5530" i="7"/>
  <c r="L5531" i="7"/>
  <c r="L5532" i="7"/>
  <c r="L5533" i="7"/>
  <c r="L5534" i="7"/>
  <c r="L5535" i="7"/>
  <c r="L5536" i="7"/>
  <c r="L5537" i="7"/>
  <c r="L5538" i="7"/>
  <c r="L5539" i="7"/>
  <c r="L5540" i="7"/>
  <c r="L5541" i="7"/>
  <c r="L5542" i="7"/>
  <c r="L5543" i="7"/>
  <c r="L5544" i="7"/>
  <c r="L5545" i="7"/>
  <c r="L5546" i="7"/>
  <c r="L5547" i="7"/>
  <c r="L5548" i="7"/>
  <c r="L5549" i="7"/>
  <c r="L5550" i="7"/>
  <c r="L5551" i="7"/>
  <c r="L5552" i="7"/>
  <c r="L5553" i="7"/>
  <c r="L5554" i="7"/>
  <c r="L5555" i="7"/>
  <c r="L5556" i="7"/>
  <c r="L5557" i="7"/>
  <c r="L5558" i="7"/>
  <c r="L5559" i="7"/>
  <c r="L5560" i="7"/>
  <c r="L5561" i="7"/>
  <c r="L5562" i="7"/>
  <c r="L5563" i="7"/>
  <c r="L5564" i="7"/>
  <c r="L5565" i="7"/>
  <c r="L5566" i="7"/>
  <c r="L5567" i="7"/>
  <c r="L5568" i="7"/>
  <c r="L5569" i="7"/>
  <c r="L5570" i="7"/>
  <c r="L5571" i="7"/>
  <c r="L5572" i="7"/>
  <c r="L5573" i="7"/>
  <c r="L5574" i="7"/>
  <c r="L5575" i="7"/>
  <c r="L5576" i="7"/>
  <c r="L5577" i="7"/>
  <c r="L5578" i="7"/>
  <c r="L5579" i="7"/>
  <c r="L5580" i="7"/>
  <c r="L5581" i="7"/>
  <c r="L5582" i="7"/>
  <c r="L5583" i="7"/>
  <c r="L5584" i="7"/>
  <c r="L5585" i="7"/>
  <c r="L5586" i="7"/>
  <c r="L5587" i="7"/>
  <c r="L5588" i="7"/>
  <c r="L5589" i="7"/>
  <c r="L5590" i="7"/>
  <c r="L5591" i="7"/>
  <c r="L5592" i="7"/>
  <c r="L5593" i="7"/>
  <c r="L5594" i="7"/>
  <c r="L5595" i="7"/>
  <c r="L5596" i="7"/>
  <c r="L5597" i="7"/>
  <c r="L5598" i="7"/>
  <c r="L5599" i="7"/>
  <c r="L5600" i="7"/>
  <c r="L5601" i="7"/>
  <c r="L5602" i="7"/>
  <c r="L5603" i="7"/>
  <c r="L5604" i="7"/>
  <c r="L5605" i="7"/>
  <c r="L5606" i="7"/>
  <c r="L5607" i="7"/>
  <c r="L5608" i="7"/>
  <c r="L5609" i="7"/>
  <c r="L5610" i="7"/>
  <c r="L5611" i="7"/>
  <c r="L5612" i="7"/>
  <c r="L5613" i="7"/>
  <c r="L5614" i="7"/>
  <c r="L5615" i="7"/>
  <c r="L5616" i="7"/>
  <c r="L5617" i="7"/>
  <c r="L5618" i="7"/>
  <c r="L5619" i="7"/>
  <c r="L5620" i="7"/>
  <c r="L5621" i="7"/>
  <c r="L5622" i="7"/>
  <c r="L5623" i="7"/>
  <c r="L5624" i="7"/>
  <c r="L5625" i="7"/>
  <c r="L5626" i="7"/>
  <c r="L5627" i="7"/>
  <c r="L5628" i="7"/>
  <c r="L5629" i="7"/>
  <c r="L5630" i="7"/>
  <c r="L5631" i="7"/>
  <c r="L5632" i="7"/>
  <c r="L5633" i="7"/>
  <c r="L5634" i="7"/>
  <c r="L5635" i="7"/>
  <c r="L5636" i="7"/>
  <c r="L5637" i="7"/>
  <c r="L5638" i="7"/>
  <c r="L5639" i="7"/>
  <c r="L5640" i="7"/>
  <c r="L5641" i="7"/>
  <c r="L5642" i="7"/>
  <c r="L5643" i="7"/>
  <c r="L5644" i="7"/>
  <c r="L5645" i="7"/>
  <c r="L5646" i="7"/>
  <c r="L5647" i="7"/>
  <c r="L5648" i="7"/>
  <c r="L5649" i="7"/>
  <c r="L5650" i="7"/>
  <c r="L5651" i="7"/>
  <c r="L5652" i="7"/>
  <c r="L5653" i="7"/>
  <c r="L5654" i="7"/>
  <c r="L5655" i="7"/>
  <c r="L5656" i="7"/>
  <c r="L5657" i="7"/>
  <c r="L5658" i="7"/>
  <c r="L5659" i="7"/>
  <c r="L5660" i="7"/>
  <c r="L5661" i="7"/>
  <c r="L5662" i="7"/>
  <c r="L5663" i="7"/>
  <c r="L5664" i="7"/>
  <c r="L5665" i="7"/>
  <c r="L5666" i="7"/>
  <c r="L5667" i="7"/>
  <c r="L5668" i="7"/>
  <c r="L5669" i="7"/>
  <c r="L5670" i="7"/>
  <c r="L5671" i="7"/>
  <c r="L5672" i="7"/>
  <c r="L5673" i="7"/>
  <c r="L5674" i="7"/>
  <c r="L5675" i="7"/>
  <c r="L5676" i="7"/>
  <c r="L5677" i="7"/>
  <c r="L5678" i="7"/>
  <c r="L5679" i="7"/>
  <c r="L5680" i="7"/>
  <c r="L5681" i="7"/>
  <c r="L5682" i="7"/>
  <c r="L5683" i="7"/>
  <c r="L5684" i="7"/>
  <c r="L5685" i="7"/>
  <c r="L5686" i="7"/>
  <c r="L5687" i="7"/>
  <c r="L5688" i="7"/>
  <c r="L5689" i="7"/>
  <c r="L5690" i="7"/>
  <c r="L5691" i="7"/>
  <c r="L5692" i="7"/>
  <c r="L5693" i="7"/>
  <c r="L5694" i="7"/>
  <c r="L5695" i="7"/>
  <c r="L5696" i="7"/>
  <c r="L5697" i="7"/>
  <c r="L5698" i="7"/>
  <c r="L5699" i="7"/>
  <c r="L5700" i="7"/>
  <c r="L5701" i="7"/>
  <c r="L5702" i="7"/>
  <c r="L5703" i="7"/>
  <c r="L5704" i="7"/>
  <c r="L5705" i="7"/>
  <c r="L5706" i="7"/>
  <c r="L5707" i="7"/>
  <c r="L5708" i="7"/>
  <c r="L5709" i="7"/>
  <c r="L5710" i="7"/>
  <c r="L5711" i="7"/>
  <c r="L5712" i="7"/>
  <c r="L5713" i="7"/>
  <c r="L5714" i="7"/>
  <c r="L5715" i="7"/>
  <c r="L5716" i="7"/>
  <c r="L5717" i="7"/>
  <c r="L5718" i="7"/>
  <c r="L5719" i="7"/>
  <c r="L5720" i="7"/>
  <c r="L5721" i="7"/>
  <c r="L5722" i="7"/>
  <c r="L5723" i="7"/>
  <c r="L5724" i="7"/>
  <c r="L5725" i="7"/>
  <c r="L5726" i="7"/>
  <c r="L5727" i="7"/>
  <c r="L5728" i="7"/>
  <c r="L5729" i="7"/>
  <c r="L5730" i="7"/>
  <c r="L5731" i="7"/>
  <c r="L5732" i="7"/>
  <c r="L5733" i="7"/>
  <c r="L5734" i="7"/>
  <c r="L5735" i="7"/>
  <c r="L5736" i="7"/>
  <c r="L5737" i="7"/>
  <c r="L5738" i="7"/>
  <c r="L5739" i="7"/>
  <c r="L5740" i="7"/>
  <c r="L5741" i="7"/>
  <c r="L5742" i="7"/>
  <c r="L5743" i="7"/>
  <c r="L5744" i="7"/>
  <c r="L5745" i="7"/>
  <c r="L5746" i="7"/>
  <c r="L5747" i="7"/>
  <c r="L5748" i="7"/>
  <c r="L5749" i="7"/>
  <c r="L5750" i="7"/>
  <c r="L5751" i="7"/>
  <c r="L5752" i="7"/>
  <c r="L5753" i="7"/>
  <c r="L5754" i="7"/>
  <c r="L5755" i="7"/>
  <c r="L5756" i="7"/>
  <c r="L5757" i="7"/>
  <c r="L5758" i="7"/>
  <c r="L5759" i="7"/>
  <c r="L5760" i="7"/>
  <c r="L5761" i="7"/>
  <c r="L5762" i="7"/>
  <c r="L5763" i="7"/>
  <c r="L5764" i="7"/>
  <c r="L5765" i="7"/>
  <c r="L5766" i="7"/>
  <c r="L5767" i="7"/>
  <c r="L5768" i="7"/>
  <c r="L5769" i="7"/>
  <c r="L5770" i="7"/>
  <c r="L5771" i="7"/>
  <c r="L5772" i="7"/>
  <c r="L5773" i="7"/>
  <c r="L5774" i="7"/>
  <c r="L5775" i="7"/>
  <c r="L5776" i="7"/>
  <c r="L5777" i="7"/>
  <c r="L5778" i="7"/>
  <c r="L5779" i="7"/>
  <c r="L5780" i="7"/>
  <c r="L5781" i="7"/>
  <c r="L5782" i="7"/>
  <c r="L5783" i="7"/>
  <c r="L5784" i="7"/>
  <c r="L5785" i="7"/>
  <c r="L5786" i="7"/>
  <c r="L5787" i="7"/>
  <c r="L5788" i="7"/>
  <c r="L5789" i="7"/>
  <c r="L5790" i="7"/>
  <c r="L5791" i="7"/>
  <c r="L5792" i="7"/>
  <c r="L5793" i="7"/>
  <c r="L5794" i="7"/>
  <c r="L5795" i="7"/>
  <c r="L5796" i="7"/>
  <c r="L5797" i="7"/>
  <c r="L5798" i="7"/>
  <c r="L5799" i="7"/>
  <c r="L5800" i="7"/>
  <c r="L5801" i="7"/>
  <c r="L5802" i="7"/>
  <c r="L5803" i="7"/>
  <c r="L5804" i="7"/>
  <c r="L5805" i="7"/>
  <c r="L5806" i="7"/>
  <c r="L5807" i="7"/>
  <c r="L5808" i="7"/>
  <c r="L5809" i="7"/>
  <c r="L5810" i="7"/>
  <c r="L5811" i="7"/>
  <c r="L5812" i="7"/>
  <c r="L5813" i="7"/>
  <c r="L5814" i="7"/>
  <c r="L5815" i="7"/>
  <c r="L5816" i="7"/>
  <c r="L5817" i="7"/>
  <c r="L5818" i="7"/>
  <c r="L5819" i="7"/>
  <c r="L5820" i="7"/>
  <c r="L5821" i="7"/>
  <c r="L5822" i="7"/>
  <c r="L5823" i="7"/>
  <c r="L5824" i="7"/>
  <c r="L5825" i="7"/>
  <c r="L5826" i="7"/>
  <c r="L5827" i="7"/>
  <c r="L5828" i="7"/>
  <c r="L5829" i="7"/>
  <c r="L5830" i="7"/>
  <c r="L5831" i="7"/>
  <c r="L5832" i="7"/>
  <c r="L5833" i="7"/>
  <c r="L5834" i="7"/>
  <c r="L5835" i="7"/>
  <c r="L5836" i="7"/>
  <c r="L5837" i="7"/>
  <c r="L5838" i="7"/>
  <c r="L5839" i="7"/>
  <c r="L5840" i="7"/>
  <c r="L5841" i="7"/>
  <c r="L5842" i="7"/>
  <c r="L5843" i="7"/>
  <c r="L5844" i="7"/>
  <c r="L5845" i="7"/>
  <c r="L5846" i="7"/>
  <c r="L5847" i="7"/>
  <c r="L5848" i="7"/>
  <c r="L5849" i="7"/>
  <c r="L5850" i="7"/>
  <c r="L5851" i="7"/>
  <c r="L5852" i="7"/>
  <c r="L5853" i="7"/>
  <c r="L5854" i="7"/>
  <c r="L5855" i="7"/>
  <c r="L5856" i="7"/>
  <c r="L5857" i="7"/>
  <c r="L5858" i="7"/>
  <c r="L5859" i="7"/>
  <c r="L5860" i="7"/>
  <c r="L5861" i="7"/>
  <c r="L5862" i="7"/>
  <c r="L5863" i="7"/>
  <c r="L5864" i="7"/>
  <c r="L5865" i="7"/>
  <c r="L5866" i="7"/>
  <c r="L5867" i="7"/>
  <c r="L5868" i="7"/>
  <c r="L5869" i="7"/>
  <c r="L5870" i="7"/>
  <c r="L5871" i="7"/>
  <c r="L5872" i="7"/>
  <c r="L5873" i="7"/>
  <c r="L5874" i="7"/>
  <c r="L5875" i="7"/>
  <c r="L5876" i="7"/>
  <c r="L5877" i="7"/>
  <c r="L5878" i="7"/>
  <c r="L5879" i="7"/>
  <c r="L5880" i="7"/>
  <c r="L5881" i="7"/>
  <c r="L5882" i="7"/>
  <c r="L5883" i="7"/>
  <c r="L5884" i="7"/>
  <c r="L5885" i="7"/>
  <c r="L5886" i="7"/>
  <c r="L5887" i="7"/>
  <c r="L5888" i="7"/>
  <c r="L5889" i="7"/>
  <c r="L5890" i="7"/>
  <c r="L5891" i="7"/>
  <c r="L5892" i="7"/>
  <c r="L5893" i="7"/>
  <c r="L5894" i="7"/>
  <c r="L5895" i="7"/>
  <c r="L5896" i="7"/>
  <c r="L5897" i="7"/>
  <c r="L5898" i="7"/>
  <c r="L5899" i="7"/>
  <c r="L5900" i="7"/>
  <c r="L5901" i="7"/>
  <c r="L5902" i="7"/>
  <c r="L5903" i="7"/>
  <c r="L5904" i="7"/>
  <c r="L5905" i="7"/>
  <c r="L5906" i="7"/>
  <c r="L5907" i="7"/>
  <c r="L5908" i="7"/>
  <c r="L5909" i="7"/>
  <c r="L5910" i="7"/>
  <c r="L5911" i="7"/>
  <c r="L5912" i="7"/>
  <c r="L5913" i="7"/>
  <c r="L5914" i="7"/>
  <c r="L5915" i="7"/>
  <c r="L5916" i="7"/>
  <c r="L5917" i="7"/>
  <c r="L5918" i="7"/>
  <c r="L5919" i="7"/>
  <c r="L5920" i="7"/>
  <c r="L5921" i="7"/>
  <c r="L5922" i="7"/>
  <c r="L5923" i="7"/>
  <c r="L5924" i="7"/>
  <c r="L5925" i="7"/>
  <c r="L5926" i="7"/>
  <c r="L5927" i="7"/>
  <c r="L5928" i="7"/>
  <c r="L5929" i="7"/>
  <c r="L5930" i="7"/>
  <c r="L5931" i="7"/>
  <c r="L5932" i="7"/>
  <c r="L5933" i="7"/>
  <c r="L5934" i="7"/>
  <c r="L5935" i="7"/>
  <c r="L5936" i="7"/>
  <c r="L5937" i="7"/>
  <c r="L5938" i="7"/>
  <c r="L5939" i="7"/>
  <c r="L5940" i="7"/>
  <c r="L5941" i="7"/>
  <c r="L5942" i="7"/>
  <c r="L5943" i="7"/>
  <c r="L5944" i="7"/>
  <c r="L5945" i="7"/>
  <c r="L5946" i="7"/>
  <c r="L5947" i="7"/>
  <c r="L5948" i="7"/>
  <c r="L5949" i="7"/>
  <c r="L5950" i="7"/>
  <c r="L5951" i="7"/>
  <c r="L5952" i="7"/>
  <c r="L5953" i="7"/>
  <c r="L5954" i="7"/>
  <c r="L5955" i="7"/>
  <c r="L5956" i="7"/>
  <c r="L5957" i="7"/>
  <c r="L5958" i="7"/>
  <c r="L5959" i="7"/>
  <c r="L5960" i="7"/>
  <c r="L5961" i="7"/>
  <c r="L5962" i="7"/>
  <c r="L5963" i="7"/>
  <c r="L5964" i="7"/>
  <c r="L5965" i="7"/>
  <c r="L5966" i="7"/>
  <c r="L5967" i="7"/>
  <c r="L5968" i="7"/>
  <c r="L5969" i="7"/>
  <c r="L5970" i="7"/>
  <c r="L5971" i="7"/>
  <c r="L5972" i="7"/>
  <c r="L5973" i="7"/>
  <c r="L5974" i="7"/>
  <c r="L5975" i="7"/>
  <c r="L5976" i="7"/>
  <c r="L5977" i="7"/>
  <c r="L5978" i="7"/>
  <c r="L5979" i="7"/>
  <c r="L5980" i="7"/>
  <c r="L5981" i="7"/>
  <c r="L5982" i="7"/>
  <c r="L5983" i="7"/>
  <c r="L5984" i="7"/>
  <c r="L5985" i="7"/>
  <c r="L5986" i="7"/>
  <c r="L5987" i="7"/>
  <c r="L5988" i="7"/>
  <c r="L5989" i="7"/>
  <c r="L5990" i="7"/>
  <c r="L5991" i="7"/>
  <c r="L5992" i="7"/>
  <c r="L5993" i="7"/>
  <c r="L5994" i="7"/>
  <c r="L5995" i="7"/>
  <c r="L5996" i="7"/>
  <c r="L5997" i="7"/>
  <c r="L5998" i="7"/>
  <c r="L5999" i="7"/>
  <c r="L6000" i="7"/>
  <c r="L6001" i="7"/>
  <c r="L6002" i="7"/>
  <c r="L6003" i="7"/>
  <c r="L6004" i="7"/>
  <c r="L6005" i="7"/>
  <c r="L6006" i="7"/>
  <c r="L6007" i="7"/>
  <c r="L6008" i="7"/>
  <c r="L6009" i="7"/>
  <c r="L6010" i="7"/>
  <c r="L6011" i="7"/>
  <c r="L6012" i="7"/>
  <c r="L6013" i="7"/>
  <c r="L6014" i="7"/>
  <c r="L6015" i="7"/>
  <c r="L6016" i="7"/>
  <c r="L6017" i="7"/>
  <c r="L6018" i="7"/>
  <c r="L6019" i="7"/>
  <c r="L6020" i="7"/>
  <c r="L6021" i="7"/>
  <c r="L6022" i="7"/>
  <c r="L6023" i="7"/>
  <c r="L6024" i="7"/>
  <c r="L6025" i="7"/>
  <c r="L6026" i="7"/>
  <c r="L6027" i="7"/>
  <c r="L6028" i="7"/>
  <c r="L6029" i="7"/>
  <c r="L6030" i="7"/>
  <c r="L6031" i="7"/>
  <c r="L6032" i="7"/>
  <c r="L6033" i="7"/>
  <c r="L6034" i="7"/>
  <c r="L6035" i="7"/>
  <c r="L6036" i="7"/>
  <c r="L6037" i="7"/>
  <c r="L6038" i="7"/>
  <c r="L6039" i="7"/>
  <c r="L6040" i="7"/>
  <c r="L6041" i="7"/>
  <c r="L6042" i="7"/>
  <c r="L6043" i="7"/>
  <c r="L6044" i="7"/>
  <c r="L6045" i="7"/>
  <c r="L6046" i="7"/>
  <c r="L6047" i="7"/>
  <c r="L6048" i="7"/>
  <c r="L6049" i="7"/>
  <c r="L6050" i="7"/>
  <c r="L6051" i="7"/>
  <c r="L6052" i="7"/>
  <c r="L6053" i="7"/>
  <c r="L6054" i="7"/>
  <c r="L6055" i="7"/>
  <c r="L6056" i="7"/>
  <c r="L6057" i="7"/>
  <c r="L6058" i="7"/>
  <c r="L6059" i="7"/>
  <c r="L6060" i="7"/>
  <c r="L6061" i="7"/>
  <c r="L6062" i="7"/>
  <c r="L6063" i="7"/>
  <c r="L6064" i="7"/>
  <c r="L6065" i="7"/>
  <c r="L6066" i="7"/>
  <c r="L6067" i="7"/>
  <c r="L6068" i="7"/>
  <c r="L6069" i="7"/>
  <c r="L6070" i="7"/>
  <c r="L6071" i="7"/>
  <c r="L6072" i="7"/>
  <c r="L6073" i="7"/>
  <c r="L6074" i="7"/>
  <c r="L6075" i="7"/>
  <c r="L6076" i="7"/>
  <c r="L6077" i="7"/>
  <c r="L6078" i="7"/>
  <c r="L6079" i="7"/>
  <c r="L6080" i="7"/>
  <c r="L6081" i="7"/>
  <c r="L6082" i="7"/>
  <c r="L6083" i="7"/>
  <c r="L6084" i="7"/>
  <c r="L6085" i="7"/>
  <c r="L6086" i="7"/>
  <c r="L6087" i="7"/>
  <c r="L6088" i="7"/>
  <c r="L6089" i="7"/>
  <c r="L6090" i="7"/>
  <c r="L6091" i="7"/>
  <c r="L6092" i="7"/>
  <c r="L6093" i="7"/>
  <c r="L6094" i="7"/>
  <c r="L6095" i="7"/>
  <c r="L6096" i="7"/>
  <c r="L6097" i="7"/>
  <c r="L6098" i="7"/>
  <c r="L6099" i="7"/>
  <c r="L6100" i="7"/>
  <c r="L6101" i="7"/>
  <c r="L6102" i="7"/>
  <c r="L6103" i="7"/>
  <c r="L6104" i="7"/>
  <c r="L6105" i="7"/>
  <c r="L6106" i="7"/>
  <c r="L6107" i="7"/>
  <c r="L6108" i="7"/>
  <c r="L6109" i="7"/>
  <c r="L6110" i="7"/>
  <c r="L6111" i="7"/>
  <c r="L6112" i="7"/>
  <c r="L6113" i="7"/>
  <c r="L6114" i="7"/>
  <c r="L6115" i="7"/>
  <c r="L6116" i="7"/>
  <c r="L6117" i="7"/>
  <c r="L6118" i="7"/>
  <c r="L6119" i="7"/>
  <c r="L6120" i="7"/>
  <c r="L6121" i="7"/>
  <c r="L6122" i="7"/>
  <c r="L6123" i="7"/>
  <c r="L6124" i="7"/>
  <c r="L6125" i="7"/>
  <c r="L6126" i="7"/>
  <c r="L6127" i="7"/>
  <c r="L6128" i="7"/>
  <c r="L6129" i="7"/>
  <c r="L6130" i="7"/>
  <c r="L6131" i="7"/>
  <c r="L6132" i="7"/>
  <c r="L6133" i="7"/>
  <c r="L6134" i="7"/>
  <c r="L6135" i="7"/>
  <c r="L6136" i="7"/>
  <c r="L6137" i="7"/>
  <c r="L6138" i="7"/>
  <c r="L6139" i="7"/>
  <c r="L6140" i="7"/>
  <c r="L6141" i="7"/>
  <c r="L6142" i="7"/>
  <c r="L6143" i="7"/>
  <c r="L6144" i="7"/>
  <c r="L6145" i="7"/>
  <c r="L6146" i="7"/>
  <c r="L6147" i="7"/>
  <c r="L6148" i="7"/>
  <c r="L6149" i="7"/>
  <c r="L6150" i="7"/>
  <c r="L6151" i="7"/>
  <c r="L6152" i="7"/>
  <c r="L6153" i="7"/>
  <c r="L6154" i="7"/>
  <c r="L6155" i="7"/>
  <c r="L6156" i="7"/>
  <c r="L6157" i="7"/>
  <c r="L6158" i="7"/>
  <c r="L6159" i="7"/>
  <c r="L6160" i="7"/>
  <c r="L6161" i="7"/>
  <c r="L6162" i="7"/>
  <c r="L6163" i="7"/>
  <c r="L6164" i="7"/>
  <c r="L6165" i="7"/>
  <c r="L6166" i="7"/>
  <c r="L6167" i="7"/>
  <c r="L6168" i="7"/>
  <c r="L6169" i="7"/>
  <c r="L6170" i="7"/>
  <c r="L6171" i="7"/>
  <c r="L6172" i="7"/>
  <c r="L6173" i="7"/>
  <c r="L6174" i="7"/>
  <c r="L6175" i="7"/>
  <c r="L6176" i="7"/>
  <c r="L6177" i="7"/>
  <c r="L6178" i="7"/>
  <c r="L6179" i="7"/>
  <c r="L6180" i="7"/>
  <c r="L6181" i="7"/>
  <c r="L6182" i="7"/>
  <c r="L6183" i="7"/>
  <c r="L6184" i="7"/>
  <c r="L6185" i="7"/>
  <c r="L6186" i="7"/>
  <c r="L6187" i="7"/>
  <c r="L6188" i="7"/>
  <c r="L6189" i="7"/>
  <c r="L6190" i="7"/>
  <c r="L6191" i="7"/>
  <c r="L6192" i="7"/>
  <c r="L6193" i="7"/>
  <c r="L6194" i="7"/>
  <c r="L6195" i="7"/>
  <c r="L6196" i="7"/>
  <c r="L6197" i="7"/>
  <c r="L6198" i="7"/>
  <c r="L6199" i="7"/>
  <c r="L6200" i="7"/>
  <c r="L6201" i="7"/>
  <c r="L6202" i="7"/>
  <c r="L6203" i="7"/>
  <c r="L6204" i="7"/>
  <c r="L6205" i="7"/>
  <c r="L6206" i="7"/>
  <c r="L6207" i="7"/>
  <c r="L6208" i="7"/>
  <c r="L6209" i="7"/>
  <c r="L6210" i="7"/>
  <c r="L6211" i="7"/>
  <c r="L6212" i="7"/>
  <c r="L6213" i="7"/>
  <c r="L6214" i="7"/>
  <c r="L6215" i="7"/>
  <c r="L6216" i="7"/>
  <c r="L6217" i="7"/>
  <c r="L6218" i="7"/>
  <c r="L6219" i="7"/>
  <c r="L6220" i="7"/>
  <c r="L6221" i="7"/>
  <c r="L6222" i="7"/>
  <c r="L6223" i="7"/>
  <c r="L6224" i="7"/>
  <c r="L6225" i="7"/>
  <c r="L6226" i="7"/>
  <c r="L6227" i="7"/>
  <c r="L6228" i="7"/>
  <c r="L6229" i="7"/>
  <c r="L6230" i="7"/>
  <c r="L6231" i="7"/>
  <c r="L6232" i="7"/>
  <c r="L6233" i="7"/>
  <c r="L6234" i="7"/>
  <c r="L6235" i="7"/>
  <c r="L6236" i="7"/>
  <c r="L6237" i="7"/>
  <c r="L6238" i="7"/>
  <c r="L6239" i="7"/>
  <c r="L6240" i="7"/>
  <c r="L6241" i="7"/>
  <c r="L6242" i="7"/>
  <c r="L6243" i="7"/>
  <c r="L6244" i="7"/>
  <c r="L6245" i="7"/>
  <c r="L6246" i="7"/>
  <c r="L6247" i="7"/>
  <c r="L6248" i="7"/>
  <c r="L6249" i="7"/>
  <c r="L6250" i="7"/>
  <c r="L6251" i="7"/>
  <c r="L6252" i="7"/>
  <c r="L6253" i="7"/>
  <c r="L6254" i="7"/>
  <c r="L6255" i="7"/>
  <c r="L6256" i="7"/>
  <c r="L6257" i="7"/>
  <c r="L6258" i="7"/>
  <c r="L6259" i="7"/>
  <c r="L6260" i="7"/>
  <c r="L6261" i="7"/>
  <c r="L6262" i="7"/>
  <c r="L6263" i="7"/>
  <c r="L6264" i="7"/>
  <c r="L6265" i="7"/>
  <c r="L6266" i="7"/>
  <c r="L6267" i="7"/>
  <c r="L6268" i="7"/>
  <c r="L6269" i="7"/>
  <c r="L6270" i="7"/>
  <c r="L6271" i="7"/>
  <c r="L6272" i="7"/>
  <c r="L6273" i="7"/>
  <c r="L6274" i="7"/>
  <c r="L6275" i="7"/>
  <c r="L6276" i="7"/>
  <c r="L6277" i="7"/>
  <c r="L6278" i="7"/>
  <c r="L6279" i="7"/>
  <c r="L6280" i="7"/>
  <c r="L6281" i="7"/>
  <c r="L6282" i="7"/>
  <c r="L6283" i="7"/>
  <c r="L6284" i="7"/>
  <c r="L6285" i="7"/>
  <c r="L6286" i="7"/>
  <c r="L6287" i="7"/>
  <c r="L6288" i="7"/>
  <c r="L6289" i="7"/>
  <c r="L6290" i="7"/>
  <c r="L6291" i="7"/>
  <c r="L6292" i="7"/>
  <c r="L6293" i="7"/>
  <c r="L6294" i="7"/>
  <c r="L6295" i="7"/>
  <c r="L6296" i="7"/>
  <c r="L6297" i="7"/>
  <c r="L6298" i="7"/>
  <c r="L6299" i="7"/>
  <c r="L6300" i="7"/>
  <c r="L6301" i="7"/>
  <c r="L6302" i="7"/>
  <c r="L6303" i="7"/>
  <c r="L6304" i="7"/>
  <c r="L6305" i="7"/>
  <c r="L6306" i="7"/>
  <c r="L6307" i="7"/>
  <c r="L6308" i="7"/>
  <c r="L6309" i="7"/>
  <c r="L6310" i="7"/>
  <c r="L6311" i="7"/>
  <c r="L6312" i="7"/>
  <c r="L6313" i="7"/>
  <c r="L6314" i="7"/>
  <c r="L6315" i="7"/>
  <c r="L6316" i="7"/>
  <c r="L6317" i="7"/>
  <c r="L6318" i="7"/>
  <c r="L6319" i="7"/>
  <c r="L6320" i="7"/>
  <c r="L6321" i="7"/>
  <c r="L6322" i="7"/>
  <c r="L6323" i="7"/>
  <c r="L6324" i="7"/>
  <c r="L6325" i="7"/>
  <c r="L6326" i="7"/>
  <c r="L6327" i="7"/>
  <c r="L6328" i="7"/>
  <c r="L6329" i="7"/>
  <c r="L6330" i="7"/>
  <c r="L6331" i="7"/>
  <c r="L6332" i="7"/>
  <c r="L6333" i="7"/>
  <c r="L6334" i="7"/>
  <c r="L6335" i="7"/>
  <c r="L6336" i="7"/>
  <c r="L6337" i="7"/>
  <c r="L6338" i="7"/>
  <c r="L6339" i="7"/>
  <c r="L6340" i="7"/>
  <c r="L6341" i="7"/>
  <c r="L6342" i="7"/>
  <c r="L6343" i="7"/>
  <c r="L6344" i="7"/>
  <c r="L6345" i="7"/>
  <c r="L6346" i="7"/>
  <c r="L6347" i="7"/>
  <c r="L6348" i="7"/>
  <c r="L6349" i="7"/>
  <c r="L6350" i="7"/>
  <c r="L6351" i="7"/>
  <c r="L6352" i="7"/>
  <c r="L6353" i="7"/>
  <c r="L6354" i="7"/>
  <c r="L6355" i="7"/>
  <c r="L6356" i="7"/>
  <c r="L6357" i="7"/>
  <c r="L6358" i="7"/>
  <c r="L6359" i="7"/>
  <c r="L6360" i="7"/>
  <c r="L6361" i="7"/>
  <c r="L6362" i="7"/>
  <c r="L6363" i="7"/>
  <c r="L6364" i="7"/>
  <c r="L6365" i="7"/>
  <c r="L6366" i="7"/>
  <c r="L6367" i="7"/>
  <c r="L6368" i="7"/>
  <c r="L6369" i="7"/>
  <c r="L6370" i="7"/>
  <c r="L6371" i="7"/>
  <c r="L6372" i="7"/>
  <c r="L6373" i="7"/>
  <c r="L6374" i="7"/>
  <c r="L6375" i="7"/>
  <c r="L6376" i="7"/>
  <c r="L6377" i="7"/>
  <c r="L6378" i="7"/>
  <c r="L6379" i="7"/>
  <c r="L6380" i="7"/>
  <c r="L6381" i="7"/>
  <c r="L6382" i="7"/>
  <c r="L6383" i="7"/>
  <c r="L6384" i="7"/>
  <c r="L6385" i="7"/>
  <c r="L6386" i="7"/>
  <c r="L6387" i="7"/>
  <c r="L6388" i="7"/>
  <c r="L6389" i="7"/>
  <c r="L6390" i="7"/>
  <c r="L6391" i="7"/>
  <c r="L6392" i="7"/>
  <c r="L6393" i="7"/>
  <c r="L6394" i="7"/>
  <c r="L6395" i="7"/>
  <c r="L6396" i="7"/>
  <c r="L6397" i="7"/>
  <c r="L6398" i="7"/>
  <c r="L6399" i="7"/>
  <c r="L6400" i="7"/>
  <c r="L6401" i="7"/>
  <c r="L6402" i="7"/>
  <c r="L6403" i="7"/>
  <c r="L6404" i="7"/>
  <c r="L6405" i="7"/>
  <c r="L6406" i="7"/>
  <c r="L6407" i="7"/>
  <c r="L6408" i="7"/>
  <c r="L6409" i="7"/>
  <c r="L6410" i="7"/>
  <c r="L6411" i="7"/>
  <c r="L6412" i="7"/>
  <c r="L6413" i="7"/>
  <c r="L6414" i="7"/>
  <c r="L6415" i="7"/>
  <c r="L6416" i="7"/>
  <c r="L6417" i="7"/>
  <c r="L6418" i="7"/>
  <c r="L6419" i="7"/>
  <c r="L6420" i="7"/>
  <c r="L6421" i="7"/>
  <c r="L6422" i="7"/>
  <c r="L6423" i="7"/>
  <c r="L6424" i="7"/>
  <c r="L6425" i="7"/>
  <c r="L6426" i="7"/>
  <c r="L6427" i="7"/>
  <c r="L6428" i="7"/>
  <c r="L6429" i="7"/>
  <c r="L6430" i="7"/>
  <c r="L6431" i="7"/>
  <c r="L6432" i="7"/>
  <c r="L6433" i="7"/>
  <c r="L6434" i="7"/>
  <c r="L6435" i="7"/>
  <c r="L6436" i="7"/>
  <c r="L6437" i="7"/>
  <c r="L6438" i="7"/>
  <c r="L6439" i="7"/>
  <c r="L6440" i="7"/>
  <c r="L6441" i="7"/>
  <c r="L6442" i="7"/>
  <c r="L6443" i="7"/>
  <c r="L6444" i="7"/>
  <c r="L6445" i="7"/>
  <c r="L6446" i="7"/>
  <c r="L6447" i="7"/>
  <c r="L6448" i="7"/>
  <c r="L6449" i="7"/>
  <c r="L6450" i="7"/>
  <c r="L6451" i="7"/>
  <c r="L6452" i="7"/>
  <c r="L6453" i="7"/>
  <c r="L6454" i="7"/>
  <c r="L6455" i="7"/>
  <c r="L6456" i="7"/>
  <c r="L6457" i="7"/>
  <c r="L6458" i="7"/>
  <c r="L6459" i="7"/>
  <c r="L6460" i="7"/>
  <c r="L6461" i="7"/>
  <c r="L6462" i="7"/>
  <c r="L6463" i="7"/>
  <c r="L6464" i="7"/>
  <c r="L6465" i="7"/>
  <c r="L6466" i="7"/>
  <c r="L6467" i="7"/>
  <c r="L6468" i="7"/>
  <c r="L6469" i="7"/>
  <c r="L6470" i="7"/>
  <c r="L6471" i="7"/>
  <c r="L6472" i="7"/>
  <c r="L6473" i="7"/>
  <c r="L6474" i="7"/>
  <c r="L6475" i="7"/>
  <c r="L6476" i="7"/>
  <c r="L6477" i="7"/>
  <c r="L6478" i="7"/>
  <c r="L6479" i="7"/>
  <c r="L6480" i="7"/>
  <c r="L6481" i="7"/>
  <c r="L6482" i="7"/>
  <c r="L6483" i="7"/>
  <c r="L6484" i="7"/>
  <c r="L6485" i="7"/>
  <c r="L6486" i="7"/>
  <c r="L6487" i="7"/>
  <c r="L6488" i="7"/>
  <c r="L6489" i="7"/>
  <c r="L6490" i="7"/>
  <c r="L6491" i="7"/>
  <c r="L6492" i="7"/>
  <c r="L6493" i="7"/>
  <c r="L6494" i="7"/>
  <c r="L6495" i="7"/>
  <c r="L6496" i="7"/>
  <c r="L6497" i="7"/>
  <c r="L6498" i="7"/>
  <c r="L6499" i="7"/>
  <c r="L6500" i="7"/>
  <c r="L6501" i="7"/>
  <c r="L6502" i="7"/>
  <c r="L6503" i="7"/>
  <c r="L6504" i="7"/>
  <c r="L6505" i="7"/>
  <c r="L6506" i="7"/>
  <c r="L6507" i="7"/>
  <c r="L6508" i="7"/>
  <c r="L6509" i="7"/>
  <c r="L6510" i="7"/>
  <c r="L6511" i="7"/>
  <c r="L6512" i="7"/>
  <c r="L6513" i="7"/>
  <c r="L6514" i="7"/>
  <c r="L6515" i="7"/>
  <c r="L6516" i="7"/>
  <c r="L6517" i="7"/>
  <c r="L6518" i="7"/>
  <c r="L6519" i="7"/>
  <c r="L6520" i="7"/>
  <c r="L6521" i="7"/>
  <c r="L6522" i="7"/>
  <c r="L6523" i="7"/>
  <c r="L6524" i="7"/>
  <c r="L6525" i="7"/>
  <c r="L6526" i="7"/>
  <c r="L6527" i="7"/>
  <c r="L6528" i="7"/>
  <c r="L6529" i="7"/>
  <c r="L6530" i="7"/>
  <c r="L6531" i="7"/>
  <c r="L6532" i="7"/>
  <c r="L6533" i="7"/>
  <c r="L6534" i="7"/>
  <c r="L6535" i="7"/>
  <c r="L6536" i="7"/>
  <c r="L6537" i="7"/>
  <c r="L6538" i="7"/>
  <c r="L6539" i="7"/>
  <c r="L6540" i="7"/>
  <c r="L6541" i="7"/>
  <c r="L6542" i="7"/>
  <c r="L6543" i="7"/>
  <c r="L6544" i="7"/>
  <c r="L6545" i="7"/>
  <c r="L6546" i="7"/>
  <c r="L6547" i="7"/>
  <c r="L6548" i="7"/>
  <c r="L6549" i="7"/>
  <c r="L6550" i="7"/>
  <c r="L6551" i="7"/>
  <c r="L6552" i="7"/>
  <c r="L6553" i="7"/>
  <c r="L6554" i="7"/>
  <c r="L6555" i="7"/>
  <c r="L6556" i="7"/>
  <c r="L6557" i="7"/>
  <c r="L6558" i="7"/>
  <c r="L6559" i="7"/>
  <c r="L6560" i="7"/>
  <c r="L6561" i="7"/>
  <c r="L6562" i="7"/>
  <c r="L6563" i="7"/>
  <c r="L6564" i="7"/>
  <c r="L6565" i="7"/>
  <c r="L6566" i="7"/>
  <c r="L6567" i="7"/>
  <c r="L6568" i="7"/>
  <c r="L6569" i="7"/>
  <c r="L6570" i="7"/>
  <c r="L6571" i="7"/>
  <c r="L6572" i="7"/>
  <c r="L6573" i="7"/>
  <c r="L6574" i="7"/>
  <c r="L6575" i="7"/>
  <c r="L6576" i="7"/>
  <c r="L6577" i="7"/>
  <c r="L6578" i="7"/>
  <c r="L6579" i="7"/>
  <c r="L6580" i="7"/>
  <c r="L6581" i="7"/>
  <c r="L6582" i="7"/>
  <c r="L6583" i="7"/>
  <c r="L6584" i="7"/>
  <c r="L6585" i="7"/>
  <c r="L6586" i="7"/>
  <c r="L6587" i="7"/>
  <c r="L6588" i="7"/>
  <c r="L6589" i="7"/>
  <c r="L6590" i="7"/>
  <c r="L6591" i="7"/>
  <c r="L6592" i="7"/>
  <c r="L6593" i="7"/>
  <c r="L6594" i="7"/>
  <c r="L6595" i="7"/>
  <c r="L6596" i="7"/>
  <c r="L6597" i="7"/>
  <c r="L6598" i="7"/>
  <c r="L6599" i="7"/>
  <c r="L6600" i="7"/>
  <c r="L6601" i="7"/>
  <c r="L6602" i="7"/>
  <c r="L6603" i="7"/>
  <c r="L6604" i="7"/>
  <c r="L6605" i="7"/>
  <c r="L6606" i="7"/>
  <c r="L6607" i="7"/>
  <c r="L6608" i="7"/>
  <c r="L6609" i="7"/>
  <c r="L6610" i="7"/>
  <c r="L6611" i="7"/>
  <c r="L6612" i="7"/>
  <c r="L6613" i="7"/>
  <c r="L6614" i="7"/>
  <c r="L6615" i="7"/>
  <c r="L6616" i="7"/>
  <c r="L6617" i="7"/>
  <c r="L6618" i="7"/>
  <c r="L6619" i="7"/>
  <c r="L6620" i="7"/>
  <c r="L6621" i="7"/>
  <c r="L6622" i="7"/>
  <c r="L6623" i="7"/>
  <c r="L6624" i="7"/>
  <c r="L6625" i="7"/>
  <c r="L6626" i="7"/>
  <c r="L6627" i="7"/>
  <c r="L6628" i="7"/>
  <c r="L6629" i="7"/>
  <c r="L6630" i="7"/>
  <c r="L6631" i="7"/>
  <c r="L6632" i="7"/>
  <c r="L6633" i="7"/>
  <c r="L6634" i="7"/>
  <c r="L6635" i="7"/>
  <c r="L6636" i="7"/>
  <c r="L6637" i="7"/>
  <c r="L6638" i="7"/>
  <c r="L6639" i="7"/>
  <c r="L6640" i="7"/>
  <c r="L6641" i="7"/>
  <c r="L6642" i="7"/>
  <c r="L6643" i="7"/>
  <c r="L6644" i="7"/>
  <c r="L6645" i="7"/>
  <c r="L6646" i="7"/>
  <c r="L6647" i="7"/>
  <c r="L6648" i="7"/>
  <c r="L6649" i="7"/>
  <c r="L6650" i="7"/>
  <c r="L6651" i="7"/>
  <c r="L6652" i="7"/>
  <c r="L6653" i="7"/>
  <c r="L6654" i="7"/>
  <c r="L6655" i="7"/>
  <c r="L6656" i="7"/>
  <c r="L6657" i="7"/>
  <c r="L6658" i="7"/>
  <c r="L6659" i="7"/>
  <c r="L6660" i="7"/>
  <c r="L6661" i="7"/>
  <c r="L6662" i="7"/>
  <c r="L6663" i="7"/>
  <c r="L6664" i="7"/>
  <c r="L6665" i="7"/>
  <c r="L6666" i="7"/>
  <c r="L6667" i="7"/>
  <c r="L6668" i="7"/>
  <c r="L6669" i="7"/>
  <c r="L6670" i="7"/>
  <c r="L6671" i="7"/>
  <c r="L6672" i="7"/>
  <c r="L6673" i="7"/>
  <c r="L6674" i="7"/>
  <c r="L6675" i="7"/>
  <c r="L6676" i="7"/>
  <c r="L6677" i="7"/>
  <c r="L6678" i="7"/>
  <c r="L6679" i="7"/>
  <c r="L6680" i="7"/>
  <c r="L6681" i="7"/>
  <c r="L6682" i="7"/>
  <c r="L6683" i="7"/>
  <c r="L6684" i="7"/>
  <c r="L6685" i="7"/>
  <c r="L6686" i="7"/>
  <c r="L6687" i="7"/>
  <c r="L6688" i="7"/>
  <c r="L6689" i="7"/>
  <c r="L6690" i="7"/>
  <c r="L6691" i="7"/>
  <c r="L6692" i="7"/>
  <c r="L6693" i="7"/>
  <c r="L6694" i="7"/>
  <c r="L6695" i="7"/>
  <c r="L6696" i="7"/>
  <c r="L6697" i="7"/>
  <c r="L6698" i="7"/>
  <c r="L6699" i="7"/>
  <c r="L6700" i="7"/>
  <c r="L6701" i="7"/>
  <c r="L6702" i="7"/>
  <c r="L6703" i="7"/>
  <c r="L6704" i="7"/>
  <c r="L6705" i="7"/>
  <c r="L6706" i="7"/>
  <c r="L6707" i="7"/>
  <c r="L6708" i="7"/>
  <c r="L6709" i="7"/>
  <c r="L6710" i="7"/>
  <c r="L6711" i="7"/>
  <c r="L6712" i="7"/>
  <c r="L6713" i="7"/>
  <c r="L6714" i="7"/>
  <c r="L6715" i="7"/>
  <c r="L6716" i="7"/>
  <c r="L6717" i="7"/>
  <c r="L6718" i="7"/>
  <c r="L6719" i="7"/>
  <c r="L6720" i="7"/>
  <c r="L6721" i="7"/>
  <c r="L6722" i="7"/>
  <c r="L6723" i="7"/>
  <c r="L6724" i="7"/>
  <c r="L6725" i="7"/>
  <c r="L6726" i="7"/>
  <c r="L6727" i="7"/>
  <c r="L6728" i="7"/>
  <c r="L6729" i="7"/>
  <c r="L6730" i="7"/>
  <c r="L6731" i="7"/>
  <c r="L6732" i="7"/>
  <c r="L6733" i="7"/>
  <c r="L6734" i="7"/>
  <c r="L6735" i="7"/>
  <c r="L6736" i="7"/>
  <c r="L6737" i="7"/>
  <c r="L6738" i="7"/>
  <c r="L6739" i="7"/>
  <c r="L6740" i="7"/>
  <c r="L6741" i="7"/>
  <c r="L6742" i="7"/>
  <c r="L6743" i="7"/>
  <c r="L6744" i="7"/>
  <c r="L6745" i="7"/>
  <c r="L6746" i="7"/>
  <c r="L6747" i="7"/>
  <c r="L6748" i="7"/>
  <c r="L6749" i="7"/>
  <c r="L6750" i="7"/>
  <c r="L6751" i="7"/>
  <c r="L6752" i="7"/>
  <c r="L6753" i="7"/>
  <c r="L6754" i="7"/>
  <c r="L6755" i="7"/>
  <c r="L6756" i="7"/>
  <c r="L6757" i="7"/>
  <c r="L6758" i="7"/>
  <c r="L6759" i="7"/>
  <c r="L6760" i="7"/>
  <c r="L6761" i="7"/>
  <c r="L6762" i="7"/>
  <c r="L6763" i="7"/>
  <c r="L6764" i="7"/>
  <c r="L6765" i="7"/>
  <c r="L6766" i="7"/>
  <c r="L6767" i="7"/>
  <c r="L6768" i="7"/>
  <c r="L6769" i="7"/>
  <c r="L6770" i="7"/>
  <c r="L6771" i="7"/>
  <c r="L6772" i="7"/>
  <c r="L6773" i="7"/>
  <c r="L6774" i="7"/>
  <c r="L6775" i="7"/>
  <c r="L6776" i="7"/>
  <c r="L6777" i="7"/>
  <c r="L6778" i="7"/>
  <c r="L6779" i="7"/>
  <c r="L6780" i="7"/>
  <c r="L6781" i="7"/>
  <c r="L6782" i="7"/>
  <c r="L6783" i="7"/>
  <c r="L6784" i="7"/>
  <c r="L6785" i="7"/>
  <c r="L6786" i="7"/>
  <c r="L6787" i="7"/>
  <c r="L6788" i="7"/>
  <c r="L6789" i="7"/>
  <c r="L6790" i="7"/>
  <c r="L6791" i="7"/>
  <c r="L6792" i="7"/>
  <c r="L6793" i="7"/>
  <c r="L6794" i="7"/>
  <c r="L6795" i="7"/>
  <c r="L6796" i="7"/>
  <c r="L6797" i="7"/>
  <c r="L6798" i="7"/>
  <c r="L6799" i="7"/>
  <c r="L6800" i="7"/>
  <c r="L6801" i="7"/>
  <c r="L6802" i="7"/>
  <c r="L6803" i="7"/>
  <c r="L6804" i="7"/>
  <c r="L6805" i="7"/>
  <c r="L6806" i="7"/>
  <c r="L6807" i="7"/>
  <c r="L6808" i="7"/>
  <c r="L6809" i="7"/>
  <c r="L6810" i="7"/>
  <c r="L6811" i="7"/>
  <c r="L6812" i="7"/>
  <c r="L6813" i="7"/>
  <c r="L6814" i="7"/>
  <c r="L6815" i="7"/>
  <c r="L6816" i="7"/>
  <c r="L6817" i="7"/>
  <c r="L6818" i="7"/>
  <c r="L6819" i="7"/>
  <c r="L6820" i="7"/>
  <c r="L6821" i="7"/>
  <c r="L6822" i="7"/>
  <c r="L6823" i="7"/>
  <c r="L6824" i="7"/>
  <c r="L6825" i="7"/>
  <c r="L6826" i="7"/>
  <c r="L6827" i="7"/>
  <c r="L6828" i="7"/>
  <c r="L6829" i="7"/>
  <c r="L6830" i="7"/>
  <c r="L6831" i="7"/>
  <c r="L6832" i="7"/>
  <c r="L6833" i="7"/>
  <c r="L6834" i="7"/>
  <c r="L6835" i="7"/>
  <c r="L6836" i="7"/>
  <c r="L6837" i="7"/>
  <c r="L6838" i="7"/>
  <c r="L6839" i="7"/>
  <c r="L6840" i="7"/>
  <c r="L6841" i="7"/>
  <c r="L6842" i="7"/>
  <c r="L6843" i="7"/>
  <c r="L6844" i="7"/>
  <c r="L6845" i="7"/>
  <c r="L6846" i="7"/>
  <c r="L6847" i="7"/>
  <c r="L6848" i="7"/>
  <c r="L6849" i="7"/>
  <c r="L6850" i="7"/>
  <c r="L6851" i="7"/>
  <c r="L6852" i="7"/>
  <c r="L6853" i="7"/>
  <c r="L6854" i="7"/>
  <c r="L6855" i="7"/>
  <c r="L6856" i="7"/>
  <c r="L6857" i="7"/>
  <c r="L6858" i="7"/>
  <c r="L6859" i="7"/>
  <c r="L6860" i="7"/>
  <c r="L6861" i="7"/>
  <c r="L6862" i="7"/>
  <c r="L6863" i="7"/>
  <c r="L6864" i="7"/>
  <c r="L6865" i="7"/>
  <c r="L6866" i="7"/>
  <c r="L6867" i="7"/>
  <c r="L6868" i="7"/>
  <c r="L6869" i="7"/>
  <c r="L6870" i="7"/>
  <c r="L6871" i="7"/>
  <c r="L6872" i="7"/>
  <c r="L6873" i="7"/>
  <c r="L6874" i="7"/>
  <c r="L6875" i="7"/>
  <c r="L6876" i="7"/>
  <c r="L6877" i="7"/>
  <c r="L6878" i="7"/>
  <c r="L6879" i="7"/>
  <c r="L6880" i="7"/>
  <c r="L6881" i="7"/>
  <c r="L6882" i="7"/>
  <c r="L6883" i="7"/>
  <c r="L6884" i="7"/>
  <c r="L6885" i="7"/>
  <c r="L6886" i="7"/>
  <c r="L6887" i="7"/>
  <c r="L6888" i="7"/>
  <c r="L6889" i="7"/>
  <c r="L6890" i="7"/>
  <c r="L6891" i="7"/>
  <c r="L6892" i="7"/>
  <c r="L6893" i="7"/>
  <c r="L6894" i="7"/>
  <c r="L6895" i="7"/>
  <c r="L6896" i="7"/>
  <c r="L6897" i="7"/>
  <c r="L6898" i="7"/>
  <c r="L6899" i="7"/>
  <c r="L6900" i="7"/>
  <c r="L6901" i="7"/>
  <c r="L6902" i="7"/>
  <c r="L6903" i="7"/>
  <c r="L6904" i="7"/>
  <c r="L6905" i="7"/>
  <c r="L6906" i="7"/>
  <c r="L6907" i="7"/>
  <c r="L6908" i="7"/>
  <c r="L6909" i="7"/>
  <c r="L6910" i="7"/>
  <c r="L6911" i="7"/>
  <c r="L6912" i="7"/>
  <c r="L6913" i="7"/>
  <c r="L6914" i="7"/>
  <c r="L6915" i="7"/>
  <c r="L6916" i="7"/>
  <c r="L6917" i="7"/>
  <c r="L6918" i="7"/>
  <c r="L6919" i="7"/>
  <c r="L6920" i="7"/>
  <c r="L6921" i="7"/>
  <c r="L6922" i="7"/>
  <c r="L6923" i="7"/>
  <c r="L6924" i="7"/>
  <c r="L6925" i="7"/>
  <c r="L6926" i="7"/>
  <c r="L6927" i="7"/>
  <c r="L6928" i="7"/>
  <c r="L6929" i="7"/>
  <c r="L6930" i="7"/>
  <c r="L6931" i="7"/>
  <c r="L6932" i="7"/>
  <c r="L6933" i="7"/>
  <c r="L6934" i="7"/>
  <c r="L6935" i="7"/>
  <c r="L6936" i="7"/>
  <c r="L6937" i="7"/>
  <c r="L6938" i="7"/>
  <c r="L6939" i="7"/>
  <c r="L6940" i="7"/>
  <c r="L6941" i="7"/>
  <c r="L6942" i="7"/>
  <c r="L6943" i="7"/>
  <c r="L6944" i="7"/>
  <c r="L6945" i="7"/>
  <c r="L6946" i="7"/>
  <c r="L6947" i="7"/>
  <c r="L6948" i="7"/>
  <c r="L6949" i="7"/>
  <c r="L6950" i="7"/>
  <c r="L6951" i="7"/>
  <c r="L6952" i="7"/>
  <c r="L6953" i="7"/>
  <c r="L6954" i="7"/>
  <c r="L6955" i="7"/>
  <c r="L6956" i="7"/>
  <c r="L6957" i="7"/>
  <c r="L6958" i="7"/>
  <c r="L6959" i="7"/>
  <c r="L6960" i="7"/>
  <c r="L6961" i="7"/>
  <c r="L6962" i="7"/>
  <c r="L6963" i="7"/>
  <c r="L6964" i="7"/>
  <c r="L6965" i="7"/>
  <c r="L6966" i="7"/>
  <c r="L6967" i="7"/>
  <c r="L6968" i="7"/>
  <c r="L6969" i="7"/>
  <c r="L6970" i="7"/>
  <c r="L6971" i="7"/>
  <c r="L6972" i="7"/>
  <c r="L6973" i="7"/>
  <c r="L6974" i="7"/>
  <c r="L6975" i="7"/>
  <c r="L6976" i="7"/>
  <c r="L6977" i="7"/>
  <c r="L6978" i="7"/>
  <c r="L6979" i="7"/>
  <c r="L6980" i="7"/>
  <c r="L6981" i="7"/>
  <c r="L6982" i="7"/>
  <c r="L6983" i="7"/>
  <c r="L6984" i="7"/>
  <c r="L6985" i="7"/>
  <c r="L6986" i="7"/>
  <c r="L6987" i="7"/>
  <c r="L6988" i="7"/>
  <c r="L6989" i="7"/>
  <c r="L6990" i="7"/>
  <c r="L6991" i="7"/>
  <c r="L6992" i="7"/>
  <c r="L6993" i="7"/>
  <c r="L6994" i="7"/>
  <c r="L6995" i="7"/>
  <c r="L6996" i="7"/>
  <c r="L6997" i="7"/>
  <c r="L6998" i="7"/>
  <c r="L6999" i="7"/>
  <c r="L7000" i="7"/>
  <c r="L7001" i="7"/>
  <c r="L7002" i="7"/>
  <c r="L7003" i="7"/>
  <c r="L7004" i="7"/>
  <c r="L7005" i="7"/>
  <c r="L7006" i="7"/>
  <c r="L7007" i="7"/>
  <c r="L7008" i="7"/>
  <c r="L7009" i="7"/>
  <c r="L7010" i="7"/>
  <c r="L7011" i="7"/>
  <c r="L7012" i="7"/>
  <c r="L7013" i="7"/>
  <c r="L7014" i="7"/>
  <c r="L7015" i="7"/>
  <c r="L7016" i="7"/>
  <c r="L7017" i="7"/>
  <c r="L7018" i="7"/>
  <c r="L7019" i="7"/>
  <c r="L7020" i="7"/>
  <c r="L7021" i="7"/>
  <c r="L7022" i="7"/>
  <c r="L7023" i="7"/>
  <c r="L7024" i="7"/>
  <c r="L7025" i="7"/>
  <c r="L7026" i="7"/>
  <c r="L7027" i="7"/>
  <c r="L7028" i="7"/>
  <c r="L7029" i="7"/>
  <c r="L7030" i="7"/>
  <c r="L7031" i="7"/>
  <c r="L7032" i="7"/>
  <c r="L7033" i="7"/>
  <c r="L7034" i="7"/>
  <c r="L7035" i="7"/>
  <c r="L7036" i="7"/>
  <c r="L7037" i="7"/>
  <c r="L7038" i="7"/>
  <c r="L7039" i="7"/>
  <c r="L7040" i="7"/>
  <c r="L7041" i="7"/>
  <c r="L7042" i="7"/>
  <c r="L7043" i="7"/>
  <c r="L7044" i="7"/>
  <c r="L7045" i="7"/>
  <c r="L7046" i="7"/>
  <c r="L7047" i="7"/>
  <c r="L7048" i="7"/>
  <c r="L7049" i="7"/>
  <c r="L7050" i="7"/>
  <c r="L7051" i="7"/>
  <c r="L7052" i="7"/>
  <c r="L7053" i="7"/>
  <c r="L7054" i="7"/>
  <c r="L7055" i="7"/>
  <c r="L7056" i="7"/>
  <c r="L7057" i="7"/>
  <c r="L7058" i="7"/>
  <c r="L7059" i="7"/>
  <c r="L7060" i="7"/>
  <c r="L7061" i="7"/>
  <c r="L7062" i="7"/>
  <c r="L7063" i="7"/>
  <c r="L7064" i="7"/>
  <c r="L7065" i="7"/>
  <c r="L7066" i="7"/>
  <c r="L7067" i="7"/>
  <c r="L7068" i="7"/>
  <c r="L7069" i="7"/>
  <c r="L7070" i="7"/>
  <c r="L7071" i="7"/>
  <c r="L7072" i="7"/>
  <c r="L7073" i="7"/>
  <c r="L7074" i="7"/>
  <c r="L7075" i="7"/>
  <c r="L7076" i="7"/>
  <c r="L7077" i="7"/>
  <c r="L7078" i="7"/>
  <c r="L7079" i="7"/>
  <c r="L7080" i="7"/>
  <c r="L7081" i="7"/>
  <c r="L7082" i="7"/>
  <c r="L7083" i="7"/>
  <c r="L7084" i="7"/>
  <c r="L7085" i="7"/>
  <c r="L7086" i="7"/>
  <c r="L7087" i="7"/>
  <c r="L7088" i="7"/>
  <c r="L7089" i="7"/>
  <c r="L7090" i="7"/>
  <c r="L7091" i="7"/>
  <c r="L7092" i="7"/>
  <c r="L7093" i="7"/>
  <c r="L7094" i="7"/>
  <c r="L7095" i="7"/>
  <c r="L7096" i="7"/>
  <c r="L7097" i="7"/>
  <c r="L7098" i="7"/>
  <c r="L7099" i="7"/>
  <c r="L7100" i="7"/>
  <c r="L7101" i="7"/>
  <c r="L7102" i="7"/>
  <c r="L7103" i="7"/>
  <c r="L7104" i="7"/>
  <c r="L7105" i="7"/>
  <c r="L7106" i="7"/>
  <c r="L7107" i="7"/>
  <c r="L7108" i="7"/>
  <c r="L7109" i="7"/>
  <c r="L7110" i="7"/>
  <c r="L7111" i="7"/>
  <c r="L7112" i="7"/>
  <c r="L7113" i="7"/>
  <c r="L7114" i="7"/>
  <c r="L7115" i="7"/>
  <c r="L7116" i="7"/>
  <c r="L7117" i="7"/>
  <c r="L7118" i="7"/>
  <c r="L7119" i="7"/>
  <c r="L7120" i="7"/>
  <c r="L7121" i="7"/>
  <c r="L7122" i="7"/>
  <c r="L7123" i="7"/>
  <c r="L7124" i="7"/>
  <c r="L7125" i="7"/>
  <c r="L7126" i="7"/>
  <c r="L7127" i="7"/>
  <c r="L7128" i="7"/>
  <c r="L7129" i="7"/>
  <c r="L7130" i="7"/>
  <c r="L7131" i="7"/>
  <c r="L7132" i="7"/>
  <c r="L7133" i="7"/>
  <c r="L7134" i="7"/>
  <c r="L7135" i="7"/>
  <c r="L7136" i="7"/>
  <c r="L7137" i="7"/>
  <c r="L7138" i="7"/>
  <c r="L7139" i="7"/>
  <c r="L7140" i="7"/>
  <c r="L7141" i="7"/>
  <c r="L7142" i="7"/>
  <c r="M7142" i="7" s="1"/>
  <c r="L7143" i="7"/>
  <c r="M7143" i="7" s="1"/>
  <c r="L7144" i="7"/>
  <c r="M7144" i="7" s="1"/>
  <c r="L7145" i="7"/>
  <c r="M7145" i="7" s="1"/>
  <c r="L7146" i="7"/>
  <c r="M7146" i="7" s="1"/>
  <c r="L7147" i="7"/>
  <c r="M7147" i="7" s="1"/>
  <c r="L7148" i="7"/>
  <c r="M7148" i="7" s="1"/>
  <c r="L7149" i="7"/>
  <c r="M7149" i="7" s="1"/>
  <c r="L7150" i="7"/>
  <c r="M7150" i="7" s="1"/>
  <c r="L7151" i="7"/>
  <c r="M7151" i="7" s="1"/>
  <c r="L7152" i="7"/>
  <c r="M7152" i="7" s="1"/>
  <c r="L7153" i="7"/>
  <c r="M7153" i="7" s="1"/>
  <c r="L7154" i="7"/>
  <c r="M7154" i="7" s="1"/>
  <c r="L7155" i="7"/>
  <c r="M7155" i="7" s="1"/>
  <c r="L7156" i="7"/>
  <c r="M7156" i="7" s="1"/>
  <c r="L7157" i="7"/>
  <c r="M7157" i="7" s="1"/>
  <c r="L7158" i="7"/>
  <c r="M7158" i="7" s="1"/>
  <c r="L7159" i="7"/>
  <c r="M7159" i="7" s="1"/>
  <c r="L7160" i="7"/>
  <c r="M7160" i="7" s="1"/>
  <c r="L7161" i="7"/>
  <c r="M7161" i="7" s="1"/>
  <c r="L7162" i="7"/>
  <c r="M7162" i="7" s="1"/>
  <c r="L7163" i="7"/>
  <c r="M7163" i="7" s="1"/>
  <c r="L7164" i="7"/>
  <c r="M7164" i="7" s="1"/>
  <c r="L7165" i="7"/>
  <c r="M7165" i="7" s="1"/>
  <c r="L7166" i="7"/>
  <c r="M7166" i="7" s="1"/>
  <c r="L7167" i="7"/>
  <c r="M7167" i="7" s="1"/>
  <c r="L7168" i="7"/>
  <c r="M7168" i="7" s="1"/>
  <c r="L7169" i="7"/>
  <c r="M7169" i="7" s="1"/>
  <c r="L7170" i="7"/>
  <c r="M7170" i="7" s="1"/>
  <c r="L7171" i="7"/>
  <c r="M7171" i="7" s="1"/>
  <c r="L7172" i="7"/>
  <c r="M7172" i="7" s="1"/>
  <c r="L7173" i="7"/>
  <c r="M7173" i="7" s="1"/>
  <c r="L7174" i="7"/>
  <c r="M7174" i="7" s="1"/>
  <c r="L7175" i="7"/>
  <c r="M7175" i="7" s="1"/>
  <c r="L7176" i="7"/>
  <c r="M7176" i="7" s="1"/>
  <c r="L7177" i="7"/>
  <c r="M7177" i="7" s="1"/>
  <c r="L7178" i="7"/>
  <c r="M7178" i="7" s="1"/>
  <c r="L7179" i="7"/>
  <c r="M7179" i="7" s="1"/>
  <c r="L7180" i="7"/>
  <c r="M7180" i="7" s="1"/>
  <c r="L7181" i="7"/>
  <c r="M7181" i="7" s="1"/>
  <c r="L7182" i="7"/>
  <c r="M7182" i="7" s="1"/>
  <c r="L7183" i="7"/>
  <c r="M7183" i="7" s="1"/>
  <c r="L7184" i="7"/>
  <c r="M7184" i="7" s="1"/>
  <c r="L7185" i="7"/>
  <c r="M7185" i="7" s="1"/>
  <c r="L7186" i="7"/>
  <c r="M7186" i="7" s="1"/>
  <c r="L7187" i="7"/>
  <c r="M7187" i="7" s="1"/>
  <c r="L7188" i="7"/>
  <c r="M7188" i="7" s="1"/>
  <c r="L7189" i="7"/>
  <c r="M7189" i="7" s="1"/>
  <c r="L7190" i="7"/>
  <c r="M7190" i="7" s="1"/>
  <c r="L7191" i="7"/>
  <c r="M7191" i="7" s="1"/>
  <c r="L7192" i="7"/>
  <c r="M7192" i="7" s="1"/>
  <c r="L7193" i="7"/>
  <c r="M7193" i="7" s="1"/>
  <c r="L7194" i="7"/>
  <c r="M7194" i="7" s="1"/>
  <c r="L7195" i="7"/>
  <c r="M7195" i="7" s="1"/>
  <c r="L7196" i="7"/>
  <c r="M7196" i="7" s="1"/>
  <c r="L7197" i="7"/>
  <c r="M7197" i="7" s="1"/>
  <c r="L7198" i="7"/>
  <c r="M7198" i="7" s="1"/>
  <c r="L7199" i="7"/>
  <c r="M7199" i="7" s="1"/>
  <c r="L7200" i="7"/>
  <c r="M7200" i="7" s="1"/>
  <c r="L7201" i="7"/>
  <c r="M7201" i="7" s="1"/>
  <c r="L7202" i="7"/>
  <c r="M7202" i="7" s="1"/>
  <c r="L7203" i="7"/>
  <c r="M7203" i="7" s="1"/>
  <c r="L7204" i="7"/>
  <c r="M7204" i="7" s="1"/>
  <c r="L7205" i="7"/>
  <c r="M7205" i="7" s="1"/>
  <c r="L7206" i="7"/>
  <c r="M7206" i="7" s="1"/>
  <c r="L7207" i="7"/>
  <c r="M7207" i="7" s="1"/>
  <c r="L7208" i="7"/>
  <c r="M7208" i="7" s="1"/>
  <c r="L7209" i="7"/>
  <c r="M7209" i="7" s="1"/>
  <c r="L7210" i="7"/>
  <c r="M7210" i="7" s="1"/>
  <c r="L7211" i="7"/>
  <c r="M7211" i="7" s="1"/>
  <c r="L7212" i="7"/>
  <c r="M7212" i="7" s="1"/>
  <c r="L7213" i="7"/>
  <c r="M7213" i="7" s="1"/>
  <c r="L7214" i="7"/>
  <c r="M7214" i="7" s="1"/>
  <c r="L7215" i="7"/>
  <c r="M7215" i="7" s="1"/>
  <c r="L7216" i="7"/>
  <c r="M7216" i="7" s="1"/>
  <c r="L7217" i="7"/>
  <c r="M7217" i="7" s="1"/>
  <c r="L7218" i="7"/>
  <c r="M7218" i="7" s="1"/>
  <c r="L7219" i="7"/>
  <c r="M7219" i="7" s="1"/>
  <c r="L7220" i="7"/>
  <c r="M7220" i="7" s="1"/>
  <c r="L7221" i="7"/>
  <c r="M7221" i="7" s="1"/>
  <c r="L7222" i="7"/>
  <c r="M7222" i="7" s="1"/>
  <c r="L7223" i="7"/>
  <c r="M7223" i="7" s="1"/>
  <c r="L7224" i="7"/>
  <c r="M7224" i="7" s="1"/>
  <c r="L7225" i="7"/>
  <c r="M7225" i="7" s="1"/>
  <c r="L7226" i="7"/>
  <c r="M7226" i="7" s="1"/>
  <c r="L7227" i="7"/>
  <c r="M7227" i="7" s="1"/>
  <c r="L7228" i="7"/>
  <c r="M7228" i="7" s="1"/>
  <c r="L7229" i="7"/>
  <c r="M7229" i="7" s="1"/>
  <c r="L7230" i="7"/>
  <c r="M7230" i="7" s="1"/>
  <c r="L7231" i="7"/>
  <c r="M7231" i="7" s="1"/>
  <c r="L7232" i="7"/>
  <c r="M7232" i="7" s="1"/>
  <c r="L7233" i="7"/>
  <c r="M7233" i="7" s="1"/>
  <c r="L7234" i="7"/>
  <c r="M7234" i="7" s="1"/>
  <c r="L7235" i="7"/>
  <c r="M7235" i="7" s="1"/>
  <c r="L7236" i="7"/>
  <c r="M7236" i="7" s="1"/>
  <c r="L7237" i="7"/>
  <c r="M7237" i="7" s="1"/>
  <c r="L7238" i="7"/>
  <c r="M7238" i="7" s="1"/>
  <c r="L7239" i="7"/>
  <c r="M7239" i="7" s="1"/>
  <c r="L7240" i="7"/>
  <c r="L7241" i="7"/>
  <c r="L7242" i="7"/>
  <c r="L7243" i="7"/>
  <c r="L7244" i="7"/>
  <c r="L7245" i="7"/>
  <c r="L7246" i="7"/>
  <c r="L7247" i="7"/>
  <c r="L7248" i="7"/>
  <c r="L7249" i="7"/>
  <c r="L7250" i="7"/>
  <c r="L7251" i="7"/>
  <c r="L7252" i="7"/>
  <c r="L7253" i="7"/>
  <c r="L7254" i="7"/>
  <c r="L7255" i="7"/>
  <c r="L7256" i="7"/>
  <c r="L7257" i="7"/>
  <c r="L7258" i="7"/>
  <c r="L7259" i="7"/>
  <c r="L7260" i="7"/>
  <c r="L7261" i="7"/>
  <c r="L7262" i="7"/>
  <c r="L7263" i="7"/>
  <c r="M7263" i="7" s="1"/>
  <c r="L7264" i="7"/>
  <c r="M7264" i="7" s="1"/>
  <c r="L7265" i="7"/>
  <c r="M7265" i="7" s="1"/>
  <c r="L7266" i="7"/>
  <c r="M7266" i="7" s="1"/>
  <c r="L7267" i="7"/>
  <c r="M7267" i="7" s="1"/>
  <c r="L7268" i="7"/>
  <c r="M7268" i="7" s="1"/>
  <c r="L7269" i="7"/>
  <c r="M7269" i="7" s="1"/>
  <c r="L7270" i="7"/>
  <c r="M7270" i="7" s="1"/>
  <c r="L7271" i="7"/>
  <c r="M7271" i="7" s="1"/>
  <c r="L7272" i="7"/>
  <c r="M7272" i="7" s="1"/>
  <c r="L7273" i="7"/>
  <c r="M7273" i="7" s="1"/>
  <c r="L7274" i="7"/>
  <c r="M7274" i="7" s="1"/>
  <c r="L7275" i="7"/>
  <c r="M7275" i="7" s="1"/>
  <c r="L7276" i="7"/>
  <c r="M7276" i="7" s="1"/>
  <c r="L7277" i="7"/>
  <c r="M7277" i="7" s="1"/>
  <c r="L7278" i="7"/>
  <c r="M7278" i="7" s="1"/>
  <c r="L7279" i="7"/>
  <c r="M7279" i="7" s="1"/>
  <c r="L7280" i="7"/>
  <c r="M7280" i="7" s="1"/>
  <c r="L7281" i="7"/>
  <c r="M7281" i="7" s="1"/>
  <c r="L7282" i="7"/>
  <c r="M7282" i="7" s="1"/>
  <c r="L7283" i="7"/>
  <c r="M7283" i="7" s="1"/>
  <c r="L7284" i="7"/>
  <c r="M7284" i="7" s="1"/>
  <c r="L7285" i="7"/>
  <c r="M7285" i="7" s="1"/>
  <c r="L7286" i="7"/>
  <c r="M7286" i="7" s="1"/>
  <c r="L7287" i="7"/>
  <c r="M7287" i="7" s="1"/>
  <c r="L7288" i="7"/>
  <c r="M7288" i="7" s="1"/>
  <c r="L7289" i="7"/>
  <c r="M7289" i="7" s="1"/>
  <c r="L7290" i="7"/>
  <c r="M7290" i="7" s="1"/>
  <c r="L7291" i="7"/>
  <c r="M7291" i="7" s="1"/>
  <c r="L7292" i="7"/>
  <c r="M7292" i="7" s="1"/>
  <c r="L7293" i="7"/>
  <c r="M7293" i="7" s="1"/>
  <c r="L7294" i="7"/>
  <c r="M7294" i="7" s="1"/>
  <c r="L7295" i="7"/>
  <c r="M7295" i="7" s="1"/>
  <c r="L7296" i="7"/>
  <c r="M7296" i="7" s="1"/>
  <c r="L7297" i="7"/>
  <c r="M7297" i="7" s="1"/>
  <c r="L7298" i="7"/>
  <c r="M7298" i="7" s="1"/>
  <c r="L7299" i="7"/>
  <c r="M7299" i="7" s="1"/>
  <c r="L7300" i="7"/>
  <c r="M7300" i="7" s="1"/>
  <c r="L7301" i="7"/>
  <c r="M7301" i="7" s="1"/>
  <c r="L7302" i="7"/>
  <c r="M7302" i="7" s="1"/>
  <c r="L7303" i="7"/>
  <c r="M7303" i="7" s="1"/>
  <c r="L7304" i="7"/>
  <c r="M7304" i="7" s="1"/>
  <c r="L7305" i="7"/>
  <c r="M7305" i="7" s="1"/>
  <c r="L7306" i="7"/>
  <c r="M7306" i="7" s="1"/>
  <c r="L7307" i="7"/>
  <c r="M7307" i="7" s="1"/>
  <c r="L7308" i="7"/>
  <c r="M7308" i="7" s="1"/>
  <c r="L7309" i="7"/>
  <c r="M7309" i="7" s="1"/>
  <c r="L7310" i="7"/>
  <c r="M7310" i="7" s="1"/>
  <c r="L7311" i="7"/>
  <c r="M7311" i="7" s="1"/>
  <c r="L7312" i="7"/>
  <c r="M7312" i="7" s="1"/>
  <c r="L7313" i="7"/>
  <c r="M7313" i="7" s="1"/>
  <c r="L7314" i="7"/>
  <c r="M7314" i="7" s="1"/>
  <c r="L7315" i="7"/>
  <c r="M7315" i="7" s="1"/>
  <c r="L7316" i="7"/>
  <c r="M7316" i="7" s="1"/>
  <c r="L7317" i="7"/>
  <c r="M7317" i="7" s="1"/>
  <c r="L7318" i="7"/>
  <c r="M7318" i="7" s="1"/>
  <c r="L7319" i="7"/>
  <c r="M7319" i="7" s="1"/>
  <c r="L7320" i="7"/>
  <c r="M7320" i="7" s="1"/>
  <c r="L7321" i="7"/>
  <c r="M7321" i="7" s="1"/>
  <c r="L7322" i="7"/>
  <c r="M7322" i="7" s="1"/>
  <c r="L7323" i="7"/>
  <c r="M7323" i="7" s="1"/>
  <c r="L7324" i="7"/>
  <c r="M7324" i="7" s="1"/>
  <c r="L7325" i="7"/>
  <c r="M7325" i="7" s="1"/>
  <c r="L7326" i="7"/>
  <c r="M7326" i="7" s="1"/>
  <c r="L7327" i="7"/>
  <c r="M7327" i="7" s="1"/>
  <c r="L7328" i="7"/>
  <c r="M7328" i="7" s="1"/>
  <c r="L7329" i="7"/>
  <c r="M7329" i="7" s="1"/>
  <c r="L7330" i="7"/>
  <c r="M7330" i="7" s="1"/>
  <c r="L7331" i="7"/>
  <c r="M7331" i="7" s="1"/>
  <c r="L7332" i="7"/>
  <c r="M7332" i="7" s="1"/>
  <c r="L7333" i="7"/>
  <c r="M7333" i="7" s="1"/>
  <c r="L7334" i="7"/>
  <c r="M7334" i="7" s="1"/>
  <c r="L7335" i="7"/>
  <c r="M7335" i="7" s="1"/>
  <c r="L7336" i="7"/>
  <c r="M7336" i="7" s="1"/>
  <c r="L7337" i="7"/>
  <c r="M7337" i="7" s="1"/>
  <c r="L7338" i="7"/>
  <c r="M7338" i="7" s="1"/>
  <c r="L7339" i="7"/>
  <c r="M7339" i="7" s="1"/>
  <c r="L7340" i="7"/>
  <c r="M7340" i="7" s="1"/>
  <c r="L7341" i="7"/>
  <c r="M7341" i="7" s="1"/>
  <c r="L7342" i="7"/>
  <c r="M7342" i="7" s="1"/>
  <c r="L7343" i="7"/>
  <c r="M7343" i="7" s="1"/>
  <c r="L7344" i="7"/>
  <c r="M7344" i="7" s="1"/>
  <c r="L7345" i="7"/>
  <c r="M7345" i="7" s="1"/>
  <c r="L7346" i="7"/>
  <c r="M7346" i="7" s="1"/>
  <c r="L7347" i="7"/>
  <c r="M7347" i="7" s="1"/>
  <c r="L7348" i="7"/>
  <c r="M7348" i="7" s="1"/>
  <c r="L7349" i="7"/>
  <c r="M7349" i="7" s="1"/>
  <c r="L7350" i="7"/>
  <c r="M7350" i="7" s="1"/>
  <c r="L7351" i="7"/>
  <c r="M7351" i="7" s="1"/>
  <c r="L7352" i="7"/>
  <c r="M7352" i="7" s="1"/>
  <c r="L7353" i="7"/>
  <c r="M7353" i="7" s="1"/>
  <c r="L7354" i="7"/>
  <c r="M7354" i="7" s="1"/>
  <c r="L7355" i="7"/>
  <c r="M7355" i="7" s="1"/>
  <c r="L7356" i="7"/>
  <c r="M7356" i="7" s="1"/>
  <c r="L7357" i="7"/>
  <c r="M7357" i="7" s="1"/>
  <c r="L7358" i="7"/>
  <c r="M7358" i="7" s="1"/>
  <c r="L7359" i="7"/>
  <c r="M7359" i="7" s="1"/>
  <c r="L7360" i="7"/>
  <c r="M7360" i="7" s="1"/>
  <c r="L7361" i="7"/>
  <c r="M7361" i="7" s="1"/>
  <c r="L7362" i="7"/>
  <c r="M7362" i="7" s="1"/>
  <c r="L7363" i="7"/>
  <c r="M7363" i="7" s="1"/>
  <c r="L7364" i="7"/>
  <c r="M7364" i="7" s="1"/>
  <c r="L7365" i="7"/>
  <c r="M7365" i="7" s="1"/>
  <c r="L7366" i="7"/>
  <c r="M7366" i="7" s="1"/>
  <c r="L7367" i="7"/>
  <c r="M7367" i="7" s="1"/>
  <c r="L7368" i="7"/>
  <c r="M7368" i="7" s="1"/>
  <c r="L7369" i="7"/>
  <c r="M7369" i="7" s="1"/>
  <c r="L7370" i="7"/>
  <c r="M7370" i="7" s="1"/>
  <c r="L7371" i="7"/>
  <c r="M7371" i="7" s="1"/>
  <c r="L7372" i="7"/>
  <c r="M7372" i="7" s="1"/>
  <c r="L7373" i="7"/>
  <c r="M7373" i="7" s="1"/>
  <c r="L7374" i="7"/>
  <c r="M7374" i="7" s="1"/>
  <c r="L7375" i="7"/>
  <c r="M7375" i="7" s="1"/>
  <c r="L7376" i="7"/>
  <c r="M7376" i="7" s="1"/>
  <c r="L7377" i="7"/>
  <c r="M7377" i="7" s="1"/>
  <c r="L7378" i="7"/>
  <c r="M7378" i="7" s="1"/>
  <c r="L7379" i="7"/>
  <c r="M7379" i="7" s="1"/>
  <c r="L7380" i="7"/>
  <c r="M7380" i="7" s="1"/>
  <c r="L7381" i="7"/>
  <c r="M7381" i="7" s="1"/>
  <c r="L7382" i="7"/>
  <c r="M7382" i="7" s="1"/>
  <c r="L7383" i="7"/>
  <c r="M7383" i="7" s="1"/>
  <c r="L7384" i="7"/>
  <c r="M7384" i="7" s="1"/>
  <c r="L7385" i="7"/>
  <c r="M7385" i="7" s="1"/>
  <c r="L7386" i="7"/>
  <c r="M7386" i="7" s="1"/>
  <c r="L7387" i="7"/>
  <c r="M7387" i="7" s="1"/>
  <c r="L7388" i="7"/>
  <c r="M7388" i="7" s="1"/>
  <c r="L7389" i="7"/>
  <c r="M7389" i="7" s="1"/>
  <c r="L7390" i="7"/>
  <c r="M7390" i="7" s="1"/>
  <c r="L7391" i="7"/>
  <c r="M7391" i="7" s="1"/>
  <c r="L7392" i="7"/>
  <c r="M7392" i="7" s="1"/>
  <c r="L7393" i="7"/>
  <c r="M7393" i="7" s="1"/>
  <c r="L7394" i="7"/>
  <c r="M7394" i="7" s="1"/>
  <c r="L7395" i="7"/>
  <c r="M7395" i="7" s="1"/>
  <c r="L7396" i="7"/>
  <c r="M7396" i="7" s="1"/>
  <c r="L7397" i="7"/>
  <c r="M7397" i="7" s="1"/>
  <c r="L7398" i="7"/>
  <c r="M7398" i="7" s="1"/>
  <c r="L7399" i="7"/>
  <c r="M7399" i="7" s="1"/>
  <c r="L7400" i="7"/>
  <c r="M7400" i="7" s="1"/>
  <c r="L7401" i="7"/>
  <c r="M7401" i="7" s="1"/>
  <c r="L7402" i="7"/>
  <c r="M7402" i="7" s="1"/>
  <c r="L7403" i="7"/>
  <c r="M7403" i="7" s="1"/>
  <c r="L7404" i="7"/>
  <c r="M7404" i="7" s="1"/>
  <c r="L7405" i="7"/>
  <c r="M7405" i="7" s="1"/>
  <c r="L7406" i="7"/>
  <c r="M7406" i="7" s="1"/>
  <c r="L7407" i="7"/>
  <c r="M7407" i="7" s="1"/>
  <c r="L7408" i="7"/>
  <c r="M7408" i="7" s="1"/>
  <c r="L7409" i="7"/>
  <c r="M7409" i="7" s="1"/>
  <c r="L7410" i="7"/>
  <c r="M7410" i="7" s="1"/>
  <c r="L7411" i="7"/>
  <c r="M7411" i="7" s="1"/>
  <c r="L7412" i="7"/>
  <c r="M7412" i="7" s="1"/>
  <c r="L7413" i="7"/>
  <c r="M7413" i="7" s="1"/>
  <c r="L7414" i="7"/>
  <c r="M7414" i="7" s="1"/>
  <c r="L7415" i="7"/>
  <c r="M7415" i="7" s="1"/>
  <c r="L7416" i="7"/>
  <c r="M7416" i="7" s="1"/>
  <c r="L7417" i="7"/>
  <c r="M7417" i="7" s="1"/>
  <c r="L7418" i="7"/>
  <c r="M7418" i="7" s="1"/>
  <c r="L7419" i="7"/>
  <c r="M7419" i="7" s="1"/>
  <c r="L7420" i="7"/>
  <c r="M7420" i="7" s="1"/>
  <c r="L7421" i="7"/>
  <c r="M7421" i="7" s="1"/>
  <c r="L7422" i="7"/>
  <c r="M7422" i="7" s="1"/>
  <c r="L7423" i="7"/>
  <c r="M7423" i="7" s="1"/>
  <c r="L7424" i="7"/>
  <c r="M7424" i="7" s="1"/>
  <c r="L7425" i="7"/>
  <c r="M7425" i="7" s="1"/>
  <c r="L7426" i="7"/>
  <c r="M7426" i="7" s="1"/>
  <c r="L7427" i="7"/>
  <c r="M7427" i="7" s="1"/>
  <c r="L7428" i="7"/>
  <c r="M7428" i="7" s="1"/>
  <c r="L7429" i="7"/>
  <c r="M7429" i="7" s="1"/>
  <c r="L7430" i="7"/>
  <c r="M7430" i="7" s="1"/>
  <c r="L7431" i="7"/>
  <c r="M7431" i="7" s="1"/>
  <c r="L7432" i="7"/>
  <c r="M7432" i="7" s="1"/>
  <c r="L7433" i="7"/>
  <c r="M7433" i="7" s="1"/>
  <c r="L7434" i="7"/>
  <c r="M7434" i="7" s="1"/>
  <c r="L7435" i="7"/>
  <c r="M7435" i="7" s="1"/>
  <c r="L7436" i="7"/>
  <c r="M7436" i="7" s="1"/>
  <c r="L7437" i="7"/>
  <c r="M7437" i="7" s="1"/>
  <c r="L7438" i="7"/>
  <c r="M7438" i="7" s="1"/>
  <c r="L7439" i="7"/>
  <c r="M7439" i="7" s="1"/>
  <c r="L7440" i="7"/>
  <c r="M7440" i="7" s="1"/>
  <c r="L7441" i="7"/>
  <c r="M7441" i="7" s="1"/>
  <c r="L7442" i="7"/>
  <c r="M7442" i="7" s="1"/>
  <c r="L7443" i="7"/>
  <c r="M7443" i="7" s="1"/>
  <c r="L7444" i="7"/>
  <c r="M7444" i="7" s="1"/>
  <c r="L7445" i="7"/>
  <c r="M7445" i="7" s="1"/>
  <c r="L7446" i="7"/>
  <c r="M7446" i="7" s="1"/>
  <c r="L7447" i="7"/>
  <c r="M7447" i="7" s="1"/>
  <c r="L7448" i="7"/>
  <c r="M7448" i="7" s="1"/>
  <c r="L7449" i="7"/>
  <c r="M7449" i="7" s="1"/>
  <c r="L7450" i="7"/>
  <c r="M7450" i="7" s="1"/>
  <c r="L7451" i="7"/>
  <c r="M7451" i="7" s="1"/>
  <c r="L7452" i="7"/>
  <c r="M7452" i="7" s="1"/>
  <c r="L7453" i="7"/>
  <c r="M7453" i="7" s="1"/>
  <c r="L7454" i="7"/>
  <c r="M7454" i="7" s="1"/>
  <c r="L7455" i="7"/>
  <c r="M7455" i="7" s="1"/>
  <c r="L7456" i="7"/>
  <c r="M7456" i="7" s="1"/>
  <c r="L7457" i="7"/>
  <c r="M7457" i="7" s="1"/>
  <c r="L7458" i="7"/>
  <c r="M7458" i="7" s="1"/>
  <c r="L7459" i="7"/>
  <c r="M7459" i="7" s="1"/>
  <c r="L7460" i="7"/>
  <c r="M7460" i="7" s="1"/>
  <c r="L7461" i="7"/>
  <c r="M7461" i="7" s="1"/>
  <c r="L7462" i="7"/>
  <c r="M7462" i="7" s="1"/>
  <c r="L7463" i="7"/>
  <c r="M7463" i="7" s="1"/>
  <c r="L7464" i="7"/>
  <c r="M7464" i="7" s="1"/>
  <c r="L7465" i="7"/>
  <c r="M7465" i="7" s="1"/>
  <c r="L7466" i="7"/>
  <c r="M7466" i="7" s="1"/>
  <c r="L7467" i="7"/>
  <c r="M7467" i="7" s="1"/>
  <c r="L7468" i="7"/>
  <c r="M7468" i="7" s="1"/>
  <c r="L7469" i="7"/>
  <c r="M7469" i="7" s="1"/>
  <c r="L7470" i="7"/>
  <c r="M7470" i="7" s="1"/>
  <c r="L7471" i="7"/>
  <c r="M7471" i="7" s="1"/>
  <c r="L7472" i="7"/>
  <c r="M7472" i="7" s="1"/>
  <c r="L7473" i="7"/>
  <c r="M7473" i="7" s="1"/>
  <c r="L7474" i="7"/>
  <c r="M7474" i="7" s="1"/>
  <c r="L7475" i="7"/>
  <c r="M7475" i="7" s="1"/>
  <c r="L7476" i="7"/>
  <c r="M7476" i="7" s="1"/>
  <c r="L7477" i="7"/>
  <c r="M7477" i="7" s="1"/>
  <c r="L7478" i="7"/>
  <c r="M7478" i="7" s="1"/>
  <c r="L7479" i="7"/>
  <c r="M7479" i="7" s="1"/>
  <c r="L7480" i="7"/>
  <c r="M7480" i="7" s="1"/>
  <c r="L7481" i="7"/>
  <c r="M7481" i="7" s="1"/>
  <c r="L7482" i="7"/>
  <c r="M7482" i="7" s="1"/>
  <c r="L7483" i="7"/>
  <c r="M7483" i="7" s="1"/>
  <c r="L7484" i="7"/>
  <c r="M7484" i="7" s="1"/>
  <c r="L7485" i="7"/>
  <c r="M7485" i="7" s="1"/>
  <c r="L7486" i="7"/>
  <c r="M7486" i="7" s="1"/>
  <c r="L7487" i="7"/>
  <c r="M7487" i="7" s="1"/>
  <c r="L7488" i="7"/>
  <c r="M7488" i="7" s="1"/>
  <c r="L7489" i="7"/>
  <c r="M7489" i="7" s="1"/>
  <c r="L7490" i="7"/>
  <c r="M7490" i="7" s="1"/>
  <c r="L7491" i="7"/>
  <c r="M7491" i="7" s="1"/>
  <c r="L7492" i="7"/>
  <c r="M7492" i="7" s="1"/>
  <c r="L7493" i="7"/>
  <c r="M7493" i="7" s="1"/>
  <c r="L7494" i="7"/>
  <c r="M7494" i="7" s="1"/>
  <c r="L7495" i="7"/>
  <c r="M7495" i="7" s="1"/>
  <c r="L7496" i="7"/>
  <c r="M7496" i="7" s="1"/>
  <c r="L7497" i="7"/>
  <c r="M7497" i="7" s="1"/>
  <c r="L7498" i="7"/>
  <c r="M7498" i="7" s="1"/>
  <c r="L7499" i="7"/>
  <c r="M7499" i="7" s="1"/>
  <c r="L7500" i="7"/>
  <c r="M7500" i="7" s="1"/>
  <c r="L7501" i="7"/>
  <c r="M7501" i="7" s="1"/>
  <c r="L7502" i="7"/>
  <c r="M7502" i="7" s="1"/>
  <c r="L7503" i="7"/>
  <c r="M7503" i="7" s="1"/>
  <c r="L7504" i="7"/>
  <c r="M7504" i="7" s="1"/>
  <c r="L7505" i="7"/>
  <c r="M7505" i="7" s="1"/>
  <c r="L7506" i="7"/>
  <c r="M7506" i="7" s="1"/>
  <c r="L7507" i="7"/>
  <c r="M7507" i="7" s="1"/>
  <c r="L7508" i="7"/>
  <c r="M7508" i="7" s="1"/>
  <c r="L7509" i="7"/>
  <c r="M7509" i="7" s="1"/>
  <c r="L7510" i="7"/>
  <c r="M7510" i="7" s="1"/>
  <c r="L7511" i="7"/>
  <c r="M7511" i="7" s="1"/>
  <c r="L7512" i="7"/>
  <c r="M7512" i="7" s="1"/>
  <c r="L7513" i="7"/>
  <c r="M7513" i="7" s="1"/>
  <c r="L7514" i="7"/>
  <c r="M7514" i="7" s="1"/>
  <c r="L7515" i="7"/>
  <c r="M7515" i="7" s="1"/>
  <c r="L7516" i="7"/>
  <c r="M7516" i="7" s="1"/>
  <c r="L7517" i="7"/>
  <c r="M7517" i="7" s="1"/>
  <c r="L7518" i="7"/>
  <c r="M7518" i="7" s="1"/>
  <c r="L7519" i="7"/>
  <c r="M7519" i="7" s="1"/>
  <c r="L7520" i="7"/>
  <c r="M7520" i="7" s="1"/>
  <c r="L7521" i="7"/>
  <c r="M7521" i="7" s="1"/>
  <c r="L7522" i="7"/>
  <c r="M7522" i="7" s="1"/>
  <c r="L7523" i="7"/>
  <c r="M7523" i="7" s="1"/>
  <c r="L7524" i="7"/>
  <c r="M7524" i="7" s="1"/>
  <c r="L7525" i="7"/>
  <c r="M7525" i="7" s="1"/>
  <c r="L7526" i="7"/>
  <c r="M7526" i="7" s="1"/>
  <c r="L7527" i="7"/>
  <c r="M7527" i="7" s="1"/>
  <c r="L7528" i="7"/>
  <c r="M7528" i="7" s="1"/>
  <c r="L7529" i="7"/>
  <c r="M7529" i="7" s="1"/>
  <c r="L7530" i="7"/>
  <c r="M7530" i="7" s="1"/>
  <c r="L7531" i="7"/>
  <c r="M7531" i="7" s="1"/>
  <c r="L7532" i="7"/>
  <c r="M7532" i="7" s="1"/>
  <c r="L7533" i="7"/>
  <c r="M7533" i="7" s="1"/>
  <c r="L7534" i="7"/>
  <c r="M7534" i="7" s="1"/>
  <c r="L7535" i="7"/>
  <c r="M7535" i="7" s="1"/>
  <c r="L7536" i="7"/>
  <c r="M7536" i="7" s="1"/>
  <c r="L7537" i="7"/>
  <c r="M7537" i="7" s="1"/>
  <c r="L7538" i="7"/>
  <c r="M7538" i="7" s="1"/>
  <c r="L7539" i="7"/>
  <c r="M7539" i="7" s="1"/>
  <c r="L7540" i="7"/>
  <c r="M7540" i="7" s="1"/>
  <c r="L7541" i="7"/>
  <c r="M7541" i="7" s="1"/>
  <c r="L7542" i="7"/>
  <c r="M7542" i="7" s="1"/>
  <c r="L7543" i="7"/>
  <c r="M7543" i="7" s="1"/>
  <c r="L7544" i="7"/>
  <c r="M7544" i="7" s="1"/>
  <c r="L7545" i="7"/>
  <c r="M7545" i="7" s="1"/>
  <c r="L7546" i="7"/>
  <c r="M7546" i="7" s="1"/>
  <c r="L7547" i="7"/>
  <c r="M7547" i="7" s="1"/>
  <c r="L7548" i="7"/>
  <c r="M7548" i="7" s="1"/>
  <c r="L7549" i="7"/>
  <c r="M7549" i="7" s="1"/>
  <c r="L7550" i="7"/>
  <c r="M7550" i="7" s="1"/>
  <c r="L7551" i="7"/>
  <c r="M7551" i="7" s="1"/>
  <c r="L7552" i="7"/>
  <c r="M7552" i="7" s="1"/>
  <c r="L7553" i="7"/>
  <c r="M7553" i="7" s="1"/>
  <c r="L7554" i="7"/>
  <c r="M7554" i="7" s="1"/>
  <c r="L7555" i="7"/>
  <c r="M7555" i="7" s="1"/>
  <c r="L7556" i="7"/>
  <c r="M7556" i="7" s="1"/>
  <c r="L7557" i="7"/>
  <c r="M7557" i="7" s="1"/>
  <c r="L7558" i="7"/>
  <c r="M7558" i="7" s="1"/>
  <c r="L7559" i="7"/>
  <c r="M7559" i="7" s="1"/>
  <c r="L7560" i="7"/>
  <c r="M7560" i="7" s="1"/>
  <c r="L7561" i="7"/>
  <c r="M7561" i="7" s="1"/>
  <c r="L7562" i="7"/>
  <c r="M7562" i="7" s="1"/>
  <c r="L7563" i="7"/>
  <c r="M7563" i="7" s="1"/>
  <c r="L7564" i="7"/>
  <c r="M7564" i="7" s="1"/>
  <c r="L7565" i="7"/>
  <c r="M7565" i="7" s="1"/>
  <c r="L7566" i="7"/>
  <c r="M7566" i="7" s="1"/>
  <c r="L7567" i="7"/>
  <c r="M7567" i="7" s="1"/>
  <c r="L7568" i="7"/>
  <c r="M7568" i="7" s="1"/>
  <c r="L7569" i="7"/>
  <c r="M7569" i="7" s="1"/>
  <c r="L7570" i="7"/>
  <c r="M7570" i="7" s="1"/>
  <c r="L7571" i="7"/>
  <c r="M7571" i="7" s="1"/>
  <c r="L7572" i="7"/>
  <c r="M7572" i="7" s="1"/>
  <c r="L7573" i="7"/>
  <c r="M7573" i="7" s="1"/>
  <c r="L7574" i="7"/>
  <c r="M7574" i="7" s="1"/>
  <c r="L7575" i="7"/>
  <c r="M7575" i="7" s="1"/>
  <c r="L7576" i="7"/>
  <c r="M7576" i="7" s="1"/>
  <c r="L7577" i="7"/>
  <c r="M7577" i="7" s="1"/>
  <c r="L7578" i="7"/>
  <c r="M7578" i="7" s="1"/>
  <c r="L7579" i="7"/>
  <c r="M7579" i="7" s="1"/>
  <c r="L7580" i="7"/>
  <c r="M7580" i="7" s="1"/>
  <c r="L7581" i="7"/>
  <c r="M7581" i="7" s="1"/>
  <c r="L7582" i="7"/>
  <c r="M7582" i="7" s="1"/>
  <c r="L7583" i="7"/>
  <c r="M7583" i="7" s="1"/>
  <c r="L7584" i="7"/>
  <c r="M7584" i="7" s="1"/>
  <c r="L7585" i="7"/>
  <c r="M7585" i="7" s="1"/>
  <c r="L7586" i="7"/>
  <c r="M7586" i="7" s="1"/>
  <c r="L7587" i="7"/>
  <c r="M7587" i="7" s="1"/>
  <c r="L7588" i="7"/>
  <c r="M7588" i="7" s="1"/>
  <c r="L7589" i="7"/>
  <c r="M7589" i="7" s="1"/>
  <c r="L7590" i="7"/>
  <c r="M7590" i="7" s="1"/>
  <c r="L7591" i="7"/>
  <c r="M7591" i="7" s="1"/>
  <c r="L7592" i="7"/>
  <c r="M7592" i="7" s="1"/>
  <c r="L7593" i="7"/>
  <c r="M7593" i="7" s="1"/>
  <c r="L7594" i="7"/>
  <c r="M7594" i="7" s="1"/>
  <c r="L7595" i="7"/>
  <c r="M7595" i="7" s="1"/>
  <c r="L7596" i="7"/>
  <c r="M7596" i="7" s="1"/>
  <c r="L7597" i="7"/>
  <c r="M7597" i="7" s="1"/>
  <c r="L7598" i="7"/>
  <c r="M7598" i="7" s="1"/>
  <c r="L7599" i="7"/>
  <c r="M7599" i="7" s="1"/>
  <c r="L7600" i="7"/>
  <c r="M7600" i="7" s="1"/>
  <c r="L7601" i="7"/>
  <c r="M7601" i="7" s="1"/>
  <c r="L7602" i="7"/>
  <c r="M7602" i="7" s="1"/>
  <c r="L7603" i="7"/>
  <c r="M7603" i="7" s="1"/>
  <c r="L7604" i="7"/>
  <c r="M7604" i="7" s="1"/>
  <c r="L7605" i="7"/>
  <c r="M7605" i="7" s="1"/>
  <c r="L7606" i="7"/>
  <c r="M7606" i="7" s="1"/>
  <c r="L7607" i="7"/>
  <c r="M7607" i="7" s="1"/>
  <c r="L7608" i="7"/>
  <c r="M7608" i="7" s="1"/>
  <c r="L7609" i="7"/>
  <c r="M7609" i="7" s="1"/>
  <c r="L7610" i="7"/>
  <c r="M7610" i="7" s="1"/>
  <c r="L7611" i="7"/>
  <c r="M7611" i="7" s="1"/>
  <c r="L7612" i="7"/>
  <c r="M7612" i="7" s="1"/>
  <c r="L7613" i="7"/>
  <c r="M7613" i="7" s="1"/>
  <c r="L7614" i="7"/>
  <c r="M7614" i="7" s="1"/>
  <c r="L7615" i="7"/>
  <c r="M7615" i="7" s="1"/>
  <c r="L7616" i="7"/>
  <c r="M7616" i="7" s="1"/>
  <c r="L7617" i="7"/>
  <c r="M7617" i="7" s="1"/>
  <c r="L7618" i="7"/>
  <c r="M7618" i="7" s="1"/>
  <c r="L7619" i="7"/>
  <c r="M7619" i="7" s="1"/>
  <c r="L7620" i="7"/>
  <c r="M7620" i="7" s="1"/>
  <c r="L7621" i="7"/>
  <c r="M7621" i="7" s="1"/>
  <c r="L7622" i="7"/>
  <c r="M7622" i="7" s="1"/>
  <c r="L7623" i="7"/>
  <c r="M7623" i="7" s="1"/>
  <c r="L7624" i="7"/>
  <c r="M7624" i="7" s="1"/>
  <c r="L7625" i="7"/>
  <c r="M7625" i="7" s="1"/>
  <c r="L7626" i="7"/>
  <c r="M7626" i="7" s="1"/>
  <c r="L7627" i="7"/>
  <c r="M7627" i="7" s="1"/>
  <c r="L7628" i="7"/>
  <c r="M7628" i="7" s="1"/>
  <c r="L7629" i="7"/>
  <c r="M7629" i="7" s="1"/>
  <c r="L7630" i="7"/>
  <c r="M7630" i="7" s="1"/>
  <c r="L7631" i="7"/>
  <c r="M7631" i="7" s="1"/>
  <c r="L7632" i="7"/>
  <c r="M7632" i="7" s="1"/>
  <c r="L7633" i="7"/>
  <c r="M7633" i="7" s="1"/>
  <c r="L7634" i="7"/>
  <c r="M7634" i="7" s="1"/>
  <c r="L7635" i="7"/>
  <c r="M7635" i="7" s="1"/>
  <c r="L7636" i="7"/>
  <c r="M7636" i="7" s="1"/>
  <c r="L7637" i="7"/>
  <c r="M7637" i="7" s="1"/>
  <c r="L7638" i="7"/>
  <c r="M7638" i="7" s="1"/>
  <c r="L7639" i="7"/>
  <c r="M7639" i="7" s="1"/>
  <c r="L7640" i="7"/>
  <c r="M7640" i="7" s="1"/>
  <c r="L7641" i="7"/>
  <c r="M7641" i="7" s="1"/>
  <c r="L7642" i="7"/>
  <c r="M7642" i="7" s="1"/>
  <c r="L7643" i="7"/>
  <c r="M7643" i="7" s="1"/>
  <c r="L7644" i="7"/>
  <c r="M7644" i="7" s="1"/>
  <c r="L7645" i="7"/>
  <c r="M7645" i="7" s="1"/>
  <c r="L7646" i="7"/>
  <c r="M7646" i="7" s="1"/>
  <c r="L7647" i="7"/>
  <c r="M7647" i="7" s="1"/>
  <c r="L7648" i="7"/>
  <c r="M7648" i="7" s="1"/>
  <c r="L7649" i="7"/>
  <c r="M7649" i="7" s="1"/>
  <c r="L7650" i="7"/>
  <c r="M7650" i="7" s="1"/>
  <c r="L7651" i="7"/>
  <c r="M7651" i="7" s="1"/>
  <c r="L7652" i="7"/>
  <c r="M7652" i="7" s="1"/>
  <c r="L7653" i="7"/>
  <c r="M7653" i="7" s="1"/>
  <c r="L7654" i="7"/>
  <c r="M7654" i="7" s="1"/>
  <c r="L7655" i="7"/>
  <c r="M7655" i="7" s="1"/>
  <c r="L7656" i="7"/>
  <c r="M7656" i="7" s="1"/>
  <c r="L7657" i="7"/>
  <c r="M7657" i="7" s="1"/>
  <c r="L7658" i="7"/>
  <c r="M7658" i="7" s="1"/>
  <c r="L7659" i="7"/>
  <c r="M7659" i="7" s="1"/>
  <c r="L7660" i="7"/>
  <c r="M7660" i="7" s="1"/>
  <c r="L7661" i="7"/>
  <c r="M7661" i="7" s="1"/>
  <c r="L7662" i="7"/>
  <c r="M7662" i="7" s="1"/>
  <c r="L7663" i="7"/>
  <c r="M7663" i="7" s="1"/>
  <c r="L7664" i="7"/>
  <c r="M7664" i="7" s="1"/>
  <c r="L7665" i="7"/>
  <c r="M7665" i="7" s="1"/>
  <c r="L7666" i="7"/>
  <c r="M7666" i="7" s="1"/>
  <c r="L7667" i="7"/>
  <c r="M7667" i="7" s="1"/>
  <c r="L7668" i="7"/>
  <c r="M7668" i="7" s="1"/>
  <c r="L7669" i="7"/>
  <c r="M7669" i="7" s="1"/>
  <c r="L7670" i="7"/>
  <c r="M7670" i="7" s="1"/>
  <c r="L7671" i="7"/>
  <c r="M7671" i="7" s="1"/>
  <c r="L7672" i="7"/>
  <c r="M7672" i="7" s="1"/>
  <c r="L7673" i="7"/>
  <c r="M7673" i="7" s="1"/>
  <c r="L7674" i="7"/>
  <c r="M7674" i="7" s="1"/>
  <c r="L7675" i="7"/>
  <c r="M7675" i="7" s="1"/>
  <c r="L7676" i="7"/>
  <c r="M7676" i="7" s="1"/>
  <c r="L7677" i="7"/>
  <c r="M7677" i="7" s="1"/>
  <c r="L7678" i="7"/>
  <c r="M7678" i="7" s="1"/>
  <c r="L7679" i="7"/>
  <c r="M7679" i="7" s="1"/>
  <c r="L7680" i="7"/>
  <c r="M7680" i="7" s="1"/>
  <c r="L7681" i="7"/>
  <c r="M7681" i="7" s="1"/>
  <c r="L7682" i="7"/>
  <c r="M7682" i="7" s="1"/>
  <c r="L7683" i="7"/>
  <c r="M7683" i="7" s="1"/>
  <c r="L7684" i="7"/>
  <c r="M7684" i="7" s="1"/>
  <c r="L7685" i="7"/>
  <c r="M7685" i="7" s="1"/>
  <c r="L7686" i="7"/>
  <c r="M7686" i="7" s="1"/>
  <c r="L7687" i="7"/>
  <c r="M7687" i="7" s="1"/>
  <c r="L7688" i="7"/>
  <c r="M7688" i="7" s="1"/>
  <c r="L7689" i="7"/>
  <c r="M7689" i="7" s="1"/>
  <c r="L7690" i="7"/>
  <c r="M7690" i="7" s="1"/>
  <c r="L7691" i="7"/>
  <c r="M7691" i="7" s="1"/>
  <c r="L7692" i="7"/>
  <c r="M7692" i="7" s="1"/>
  <c r="L7693" i="7"/>
  <c r="M7693" i="7" s="1"/>
  <c r="L7694" i="7"/>
  <c r="M7694" i="7" s="1"/>
  <c r="L7695" i="7"/>
  <c r="M7695" i="7" s="1"/>
  <c r="L7696" i="7"/>
  <c r="M7696" i="7" s="1"/>
  <c r="L7697" i="7"/>
  <c r="M7697" i="7" s="1"/>
  <c r="L7698" i="7"/>
  <c r="M7698" i="7" s="1"/>
  <c r="L7699" i="7"/>
  <c r="M7699" i="7" s="1"/>
  <c r="L7700" i="7"/>
  <c r="M7700" i="7" s="1"/>
  <c r="L7701" i="7"/>
  <c r="M7701" i="7" s="1"/>
  <c r="L7702" i="7"/>
  <c r="M7702" i="7" s="1"/>
  <c r="L7703" i="7"/>
  <c r="M7703" i="7" s="1"/>
  <c r="L7704" i="7"/>
  <c r="M7704" i="7" s="1"/>
  <c r="L7705" i="7"/>
  <c r="M7705" i="7" s="1"/>
  <c r="L7706" i="7"/>
  <c r="M7706" i="7" s="1"/>
  <c r="L7707" i="7"/>
  <c r="M7707" i="7" s="1"/>
  <c r="L7708" i="7"/>
  <c r="M7708" i="7" s="1"/>
  <c r="L7709" i="7"/>
  <c r="M7709" i="7" s="1"/>
  <c r="L7710" i="7"/>
  <c r="M7710" i="7" s="1"/>
  <c r="L7711" i="7"/>
  <c r="M7711" i="7" s="1"/>
  <c r="L7712" i="7"/>
  <c r="M7712" i="7" s="1"/>
  <c r="L7713" i="7"/>
  <c r="M7713" i="7" s="1"/>
  <c r="L7714" i="7"/>
  <c r="M7714" i="7" s="1"/>
  <c r="L7715" i="7"/>
  <c r="M7715" i="7" s="1"/>
  <c r="L7716" i="7"/>
  <c r="M7716" i="7" s="1"/>
  <c r="L7717" i="7"/>
  <c r="M7717" i="7" s="1"/>
  <c r="L7718" i="7"/>
  <c r="M7718" i="7" s="1"/>
  <c r="L7719" i="7"/>
  <c r="M7719" i="7" s="1"/>
  <c r="L7720" i="7"/>
  <c r="M7720" i="7" s="1"/>
  <c r="L7721" i="7"/>
  <c r="M7721" i="7" s="1"/>
  <c r="L7722" i="7"/>
  <c r="M7722" i="7" s="1"/>
  <c r="L7723" i="7"/>
  <c r="M7723" i="7" s="1"/>
  <c r="L7724" i="7"/>
  <c r="M7724" i="7" s="1"/>
  <c r="L7725" i="7"/>
  <c r="M7725" i="7" s="1"/>
  <c r="L7726" i="7"/>
  <c r="M7726" i="7" s="1"/>
  <c r="L7727" i="7"/>
  <c r="M7727" i="7" s="1"/>
  <c r="L7728" i="7"/>
  <c r="M7728" i="7" s="1"/>
  <c r="L7729" i="7"/>
  <c r="M7729" i="7" s="1"/>
  <c r="L7730" i="7"/>
  <c r="M7730" i="7" s="1"/>
  <c r="L7731" i="7"/>
  <c r="M7731" i="7" s="1"/>
  <c r="L7732" i="7"/>
  <c r="M7732" i="7" s="1"/>
  <c r="L7733" i="7"/>
  <c r="M7733" i="7" s="1"/>
  <c r="L7734" i="7"/>
  <c r="M7734" i="7" s="1"/>
  <c r="L7735" i="7"/>
  <c r="M7735" i="7" s="1"/>
  <c r="L7736" i="7"/>
  <c r="M7736" i="7" s="1"/>
  <c r="L7737" i="7"/>
  <c r="M7737" i="7" s="1"/>
  <c r="L7738" i="7"/>
  <c r="M7738" i="7" s="1"/>
  <c r="L7739" i="7"/>
  <c r="M7739" i="7" s="1"/>
  <c r="L7740" i="7"/>
  <c r="M7740" i="7" s="1"/>
  <c r="L7741" i="7"/>
  <c r="M7741" i="7" s="1"/>
  <c r="L7742" i="7"/>
  <c r="M7742" i="7" s="1"/>
  <c r="L7743" i="7"/>
  <c r="M7743" i="7" s="1"/>
  <c r="L7744" i="7"/>
  <c r="M7744" i="7" s="1"/>
  <c r="L7745" i="7"/>
  <c r="M7745" i="7" s="1"/>
  <c r="L7746" i="7"/>
  <c r="M7746" i="7" s="1"/>
  <c r="L7747" i="7"/>
  <c r="M7747" i="7" s="1"/>
  <c r="L7748" i="7"/>
  <c r="M7748" i="7" s="1"/>
  <c r="L7749" i="7"/>
  <c r="M7749" i="7" s="1"/>
  <c r="L7750" i="7"/>
  <c r="M7750" i="7" s="1"/>
  <c r="L7751" i="7"/>
  <c r="M7751" i="7" s="1"/>
  <c r="L7752" i="7"/>
  <c r="M7752" i="7" s="1"/>
  <c r="L7753" i="7"/>
  <c r="M7753" i="7" s="1"/>
  <c r="L7754" i="7"/>
  <c r="M7754" i="7" s="1"/>
  <c r="L7755" i="7"/>
  <c r="M7755" i="7" s="1"/>
  <c r="L7756" i="7"/>
  <c r="M7756" i="7" s="1"/>
  <c r="L7757" i="7"/>
  <c r="M7757" i="7" s="1"/>
  <c r="L7758" i="7"/>
  <c r="M7758" i="7" s="1"/>
  <c r="L7759" i="7"/>
  <c r="M7759" i="7" s="1"/>
  <c r="L7760" i="7"/>
  <c r="M7760" i="7" s="1"/>
  <c r="L7761" i="7"/>
  <c r="M7761" i="7" s="1"/>
  <c r="L7762" i="7"/>
  <c r="M7762" i="7" s="1"/>
  <c r="L7763" i="7"/>
  <c r="M7763" i="7" s="1"/>
  <c r="L7764" i="7"/>
  <c r="M7764" i="7" s="1"/>
  <c r="L7765" i="7"/>
  <c r="M7765" i="7" s="1"/>
  <c r="L7766" i="7"/>
  <c r="M7766" i="7" s="1"/>
  <c r="L7767" i="7"/>
  <c r="M7767" i="7" s="1"/>
  <c r="L7768" i="7"/>
  <c r="M7768" i="7" s="1"/>
  <c r="L7769" i="7"/>
  <c r="M7769" i="7" s="1"/>
  <c r="L7770" i="7"/>
  <c r="M7770" i="7" s="1"/>
  <c r="L7771" i="7"/>
  <c r="M7771" i="7" s="1"/>
  <c r="L7772" i="7"/>
  <c r="M7772" i="7" s="1"/>
  <c r="L7773" i="7"/>
  <c r="M7773" i="7" s="1"/>
  <c r="L7774" i="7"/>
  <c r="M7774" i="7" s="1"/>
  <c r="L7775" i="7"/>
  <c r="M7775" i="7" s="1"/>
  <c r="L7776" i="7"/>
  <c r="M7776" i="7" s="1"/>
  <c r="L7777" i="7"/>
  <c r="M7777" i="7" s="1"/>
  <c r="L7778" i="7"/>
  <c r="M7778" i="7" s="1"/>
  <c r="L7779" i="7"/>
  <c r="M7779" i="7" s="1"/>
  <c r="L7780" i="7"/>
  <c r="M7780" i="7" s="1"/>
  <c r="L7781" i="7"/>
  <c r="M7781" i="7" s="1"/>
  <c r="L7782" i="7"/>
  <c r="M7782" i="7" s="1"/>
  <c r="L7783" i="7"/>
  <c r="M7783" i="7" s="1"/>
  <c r="L7784" i="7"/>
  <c r="M7784" i="7" s="1"/>
  <c r="L7785" i="7"/>
  <c r="M7785" i="7" s="1"/>
  <c r="L7786" i="7"/>
  <c r="M7786" i="7" s="1"/>
  <c r="L7787" i="7"/>
  <c r="M7787" i="7" s="1"/>
  <c r="L7788" i="7"/>
  <c r="M7788" i="7" s="1"/>
  <c r="L7789" i="7"/>
  <c r="M7789" i="7" s="1"/>
  <c r="L7790" i="7"/>
  <c r="M7790" i="7" s="1"/>
  <c r="L7791" i="7"/>
  <c r="M7791" i="7" s="1"/>
  <c r="L7792" i="7"/>
  <c r="M7792" i="7" s="1"/>
  <c r="L7793" i="7"/>
  <c r="M7793" i="7" s="1"/>
  <c r="L7794" i="7"/>
  <c r="M7794" i="7" s="1"/>
  <c r="L7795" i="7"/>
  <c r="M7795" i="7" s="1"/>
  <c r="L7796" i="7"/>
  <c r="M7796" i="7" s="1"/>
  <c r="L7797" i="7"/>
  <c r="M7797" i="7" s="1"/>
  <c r="L7798" i="7"/>
  <c r="M7798" i="7" s="1"/>
  <c r="L7799" i="7"/>
  <c r="M7799" i="7" s="1"/>
  <c r="L7800" i="7"/>
  <c r="M7800" i="7" s="1"/>
  <c r="L7801" i="7"/>
  <c r="M7801" i="7" s="1"/>
  <c r="L7802" i="7"/>
  <c r="M7802" i="7" s="1"/>
  <c r="L7803" i="7"/>
  <c r="M7803" i="7" s="1"/>
  <c r="L7804" i="7"/>
  <c r="M7804" i="7" s="1"/>
  <c r="L7805" i="7"/>
  <c r="M7805" i="7" s="1"/>
  <c r="L7806" i="7"/>
  <c r="L7807" i="7"/>
  <c r="L7808" i="7"/>
  <c r="L7809" i="7"/>
  <c r="L7810" i="7"/>
  <c r="L7811" i="7"/>
  <c r="L7812" i="7"/>
  <c r="L7813" i="7"/>
  <c r="L7814" i="7"/>
  <c r="L7815" i="7"/>
  <c r="L7816" i="7"/>
  <c r="L7817" i="7"/>
  <c r="L7818" i="7"/>
  <c r="L7819" i="7"/>
  <c r="L7820" i="7"/>
  <c r="L7821" i="7"/>
  <c r="L7822" i="7"/>
  <c r="L7823" i="7"/>
  <c r="L7824" i="7"/>
  <c r="L7825" i="7"/>
  <c r="L7826" i="7"/>
  <c r="L7827" i="7"/>
  <c r="L7828" i="7"/>
  <c r="L7829" i="7"/>
  <c r="L7830" i="7"/>
  <c r="L7831" i="7"/>
  <c r="L7832" i="7"/>
  <c r="L7833" i="7"/>
  <c r="L7834" i="7"/>
  <c r="L7835" i="7"/>
  <c r="L7836" i="7"/>
  <c r="L7837" i="7"/>
  <c r="L7838" i="7"/>
  <c r="L7839" i="7"/>
  <c r="L7840" i="7"/>
  <c r="L7841" i="7"/>
  <c r="L7842" i="7"/>
  <c r="L7843" i="7"/>
  <c r="L7844" i="7"/>
  <c r="L7845" i="7"/>
  <c r="L7846" i="7"/>
  <c r="L7847" i="7"/>
  <c r="L7848" i="7"/>
  <c r="L7849" i="7"/>
  <c r="L7850" i="7"/>
  <c r="L7851" i="7"/>
  <c r="L7852" i="7"/>
  <c r="L7853" i="7"/>
  <c r="L7854" i="7"/>
  <c r="L7855" i="7"/>
  <c r="L7856" i="7"/>
  <c r="L7857" i="7"/>
  <c r="L7858" i="7"/>
  <c r="L7859" i="7"/>
  <c r="L7860" i="7"/>
  <c r="L7861" i="7"/>
  <c r="L7862" i="7"/>
  <c r="L7863" i="7"/>
  <c r="L7864" i="7"/>
  <c r="L7865" i="7"/>
  <c r="L7866" i="7"/>
  <c r="L7867" i="7"/>
  <c r="L7868" i="7"/>
  <c r="L7869" i="7"/>
  <c r="L7870" i="7"/>
  <c r="L7871" i="7"/>
  <c r="L7872" i="7"/>
  <c r="L7873" i="7"/>
  <c r="L7874" i="7"/>
  <c r="L7875" i="7"/>
  <c r="L7876" i="7"/>
  <c r="L7877" i="7"/>
  <c r="L7878" i="7"/>
  <c r="L7879" i="7"/>
  <c r="L7880" i="7"/>
  <c r="L7881" i="7"/>
  <c r="L7882" i="7"/>
  <c r="L7883" i="7"/>
  <c r="L7884" i="7"/>
  <c r="L7885" i="7"/>
  <c r="L7886" i="7"/>
  <c r="L7887" i="7"/>
  <c r="L7888" i="7"/>
  <c r="L7889" i="7"/>
  <c r="L7890" i="7"/>
  <c r="L7891" i="7"/>
  <c r="L7892" i="7"/>
  <c r="L7893" i="7"/>
  <c r="L7894" i="7"/>
  <c r="L7895" i="7"/>
  <c r="L7896" i="7"/>
  <c r="L7897" i="7"/>
  <c r="L7898" i="7"/>
  <c r="L7899" i="7"/>
  <c r="L7900" i="7"/>
  <c r="L7901" i="7"/>
  <c r="L7902" i="7"/>
  <c r="L7903" i="7"/>
  <c r="L7904" i="7"/>
  <c r="L7905" i="7"/>
  <c r="L7906" i="7"/>
  <c r="L7907" i="7"/>
  <c r="L7908" i="7"/>
  <c r="L7909" i="7"/>
  <c r="L7910" i="7"/>
  <c r="L7911" i="7"/>
  <c r="L7912" i="7"/>
  <c r="L7913" i="7"/>
  <c r="L7914" i="7"/>
  <c r="L7915" i="7"/>
  <c r="L7916" i="7"/>
  <c r="L7917" i="7"/>
  <c r="L7918" i="7"/>
  <c r="L7919" i="7"/>
  <c r="L7920" i="7"/>
  <c r="L7921" i="7"/>
  <c r="L7922" i="7"/>
  <c r="L7923" i="7"/>
  <c r="L7924" i="7"/>
  <c r="L7925" i="7"/>
  <c r="L7926" i="7"/>
  <c r="L7927" i="7"/>
  <c r="L7928" i="7"/>
  <c r="L7929" i="7"/>
  <c r="L7930" i="7"/>
  <c r="L7931" i="7"/>
  <c r="L7932" i="7"/>
  <c r="L7933" i="7"/>
  <c r="L7934" i="7"/>
  <c r="L7935" i="7"/>
  <c r="L7936" i="7"/>
  <c r="L7937" i="7"/>
  <c r="L7938" i="7"/>
  <c r="L7939" i="7"/>
  <c r="L7940" i="7"/>
  <c r="L7941" i="7"/>
  <c r="L7942" i="7"/>
  <c r="L7943" i="7"/>
  <c r="L7944" i="7"/>
  <c r="L7945" i="7"/>
  <c r="L7946" i="7"/>
  <c r="L7947" i="7"/>
  <c r="L7948" i="7"/>
  <c r="L7949" i="7"/>
  <c r="L7950" i="7"/>
  <c r="L7951" i="7"/>
  <c r="L7952" i="7"/>
  <c r="L7953" i="7"/>
  <c r="L7954" i="7"/>
  <c r="L7955" i="7"/>
  <c r="L7956" i="7"/>
  <c r="L7957" i="7"/>
  <c r="L7958" i="7"/>
  <c r="L7959" i="7"/>
  <c r="L7960" i="7"/>
  <c r="L7961" i="7"/>
  <c r="L7962" i="7"/>
  <c r="L7963" i="7"/>
  <c r="L7964" i="7"/>
  <c r="L7965" i="7"/>
  <c r="L7966" i="7"/>
  <c r="L7967" i="7"/>
  <c r="L7968" i="7"/>
  <c r="L7969" i="7"/>
  <c r="L7970" i="7"/>
  <c r="L7971" i="7"/>
  <c r="L7972" i="7"/>
  <c r="L7973" i="7"/>
  <c r="L7974" i="7"/>
  <c r="L7975" i="7"/>
  <c r="L7976" i="7"/>
  <c r="L7977" i="7"/>
  <c r="L7978" i="7"/>
  <c r="L7979" i="7"/>
  <c r="L7980" i="7"/>
  <c r="L7981" i="7"/>
  <c r="L7982" i="7"/>
  <c r="L7983" i="7"/>
  <c r="L7984" i="7"/>
  <c r="L7985" i="7"/>
  <c r="L7986" i="7"/>
  <c r="L7987" i="7"/>
  <c r="L7988" i="7"/>
  <c r="L7989" i="7"/>
  <c r="L7990" i="7"/>
  <c r="L7991" i="7"/>
  <c r="L7992" i="7"/>
  <c r="L7993" i="7"/>
  <c r="L7994" i="7"/>
  <c r="L7995" i="7"/>
  <c r="L7996" i="7"/>
  <c r="L7997" i="7"/>
  <c r="L7998" i="7"/>
  <c r="L7999" i="7"/>
  <c r="L8000" i="7"/>
  <c r="L8001" i="7"/>
  <c r="L8002" i="7"/>
  <c r="L8003" i="7"/>
  <c r="L8004" i="7"/>
  <c r="L8005" i="7"/>
  <c r="L8006" i="7"/>
  <c r="L8007" i="7"/>
  <c r="L8008" i="7"/>
  <c r="L8009" i="7"/>
  <c r="L8010" i="7"/>
  <c r="L8011" i="7"/>
  <c r="L8012" i="7"/>
  <c r="L8013" i="7"/>
  <c r="L8014" i="7"/>
  <c r="L8015" i="7"/>
  <c r="L8016" i="7"/>
  <c r="L8017" i="7"/>
  <c r="L8018" i="7"/>
  <c r="L8019" i="7"/>
  <c r="L8020" i="7"/>
  <c r="L8021" i="7"/>
  <c r="L8022" i="7"/>
  <c r="L8023" i="7"/>
  <c r="L8024" i="7"/>
  <c r="L8025" i="7"/>
  <c r="L8026" i="7"/>
  <c r="L8027" i="7"/>
  <c r="L8028" i="7"/>
  <c r="L8029" i="7"/>
  <c r="L8030" i="7"/>
  <c r="L8031" i="7"/>
  <c r="L8032" i="7"/>
  <c r="L8033" i="7"/>
  <c r="L8034" i="7"/>
  <c r="L8035" i="7"/>
  <c r="L8036" i="7"/>
  <c r="L8037" i="7"/>
  <c r="L8038" i="7"/>
  <c r="L8039" i="7"/>
  <c r="L8040" i="7"/>
  <c r="L8041" i="7"/>
  <c r="L8042" i="7"/>
  <c r="L8043" i="7"/>
  <c r="L8044" i="7"/>
  <c r="L8045" i="7"/>
  <c r="L8046" i="7"/>
  <c r="L8047" i="7"/>
  <c r="L8048" i="7"/>
  <c r="L8049" i="7"/>
  <c r="L8050" i="7"/>
  <c r="L8051" i="7"/>
  <c r="L8052" i="7"/>
  <c r="L8053" i="7"/>
  <c r="L8054" i="7"/>
  <c r="L8055" i="7"/>
  <c r="L8056" i="7"/>
  <c r="L8057" i="7"/>
  <c r="L8058" i="7"/>
  <c r="L8059" i="7"/>
  <c r="L8060" i="7"/>
  <c r="L8061" i="7"/>
  <c r="L8062" i="7"/>
  <c r="L8063" i="7"/>
  <c r="L8064" i="7"/>
  <c r="L8065" i="7"/>
  <c r="L8066" i="7"/>
  <c r="L8067" i="7"/>
  <c r="L8068" i="7"/>
  <c r="L8069" i="7"/>
  <c r="L8070" i="7"/>
  <c r="L8071" i="7"/>
  <c r="L8072" i="7"/>
  <c r="L8073" i="7"/>
  <c r="L8074" i="7"/>
  <c r="L8075" i="7"/>
  <c r="L8076" i="7"/>
  <c r="L8077" i="7"/>
  <c r="L8078" i="7"/>
  <c r="L8079" i="7"/>
  <c r="L8080" i="7"/>
  <c r="L8081" i="7"/>
  <c r="L8082" i="7"/>
  <c r="L8083" i="7"/>
  <c r="L8084" i="7"/>
  <c r="L8085" i="7"/>
  <c r="L8086" i="7"/>
  <c r="L8087" i="7"/>
  <c r="L8088" i="7"/>
  <c r="L8089" i="7"/>
  <c r="L8090" i="7"/>
  <c r="L8091" i="7"/>
  <c r="L8092" i="7"/>
  <c r="L8093" i="7"/>
  <c r="L8094" i="7"/>
  <c r="L8095" i="7"/>
  <c r="L8096" i="7"/>
  <c r="L8097" i="7"/>
  <c r="L8098" i="7"/>
  <c r="L8099" i="7"/>
  <c r="L8100" i="7"/>
  <c r="L8101" i="7"/>
  <c r="L8102" i="7"/>
  <c r="L8103" i="7"/>
  <c r="L8104" i="7"/>
  <c r="L8105" i="7"/>
  <c r="L8106" i="7"/>
  <c r="L8107" i="7"/>
  <c r="L8108" i="7"/>
  <c r="L8109" i="7"/>
  <c r="L8110" i="7"/>
  <c r="L8111" i="7"/>
  <c r="L8112" i="7"/>
  <c r="L8113" i="7"/>
  <c r="L8114" i="7"/>
  <c r="L8115" i="7"/>
  <c r="L8116" i="7"/>
  <c r="L8117" i="7"/>
  <c r="L8118" i="7"/>
  <c r="L8119" i="7"/>
  <c r="L8120" i="7"/>
  <c r="L8121" i="7"/>
  <c r="L8122" i="7"/>
  <c r="L8123" i="7"/>
  <c r="L8124" i="7"/>
  <c r="L8125" i="7"/>
  <c r="L8126" i="7"/>
  <c r="L8127" i="7"/>
  <c r="L8128" i="7"/>
  <c r="L8129" i="7"/>
  <c r="L8130" i="7"/>
  <c r="L8131" i="7"/>
  <c r="L8132" i="7"/>
  <c r="L8133" i="7"/>
  <c r="L8134" i="7"/>
  <c r="L8135" i="7"/>
  <c r="L8136" i="7"/>
  <c r="L8137" i="7"/>
  <c r="L8138" i="7"/>
  <c r="L8139" i="7"/>
  <c r="L8140" i="7"/>
  <c r="L8141" i="7"/>
  <c r="L8142" i="7"/>
  <c r="L8143" i="7"/>
  <c r="L8144" i="7"/>
  <c r="L8145" i="7"/>
  <c r="L8146" i="7"/>
  <c r="L8147" i="7"/>
  <c r="L8148" i="7"/>
  <c r="L8149" i="7"/>
  <c r="L8150" i="7"/>
  <c r="L8151" i="7"/>
  <c r="L8152" i="7"/>
  <c r="L8153" i="7"/>
  <c r="L8154" i="7"/>
  <c r="L8155" i="7"/>
  <c r="L8156" i="7"/>
  <c r="L8157" i="7"/>
  <c r="L8158" i="7"/>
  <c r="L8159" i="7"/>
  <c r="L8160" i="7"/>
  <c r="L8161" i="7"/>
  <c r="L8162" i="7"/>
  <c r="L8163" i="7"/>
  <c r="L8164" i="7"/>
  <c r="L8165" i="7"/>
  <c r="L8166" i="7"/>
  <c r="L8167" i="7"/>
  <c r="L8168" i="7"/>
  <c r="L8169" i="7"/>
  <c r="L8170" i="7"/>
  <c r="L8171" i="7"/>
  <c r="L8172" i="7"/>
  <c r="L8173" i="7"/>
  <c r="L8174" i="7"/>
  <c r="L8175" i="7"/>
  <c r="L8176" i="7"/>
  <c r="L8177" i="7"/>
  <c r="L8178" i="7"/>
  <c r="L8179" i="7"/>
  <c r="L8180" i="7"/>
  <c r="L8181" i="7"/>
  <c r="L8182" i="7"/>
  <c r="L8183" i="7"/>
  <c r="L8184" i="7"/>
  <c r="L8185" i="7"/>
  <c r="L8186" i="7"/>
  <c r="L8187" i="7"/>
  <c r="L8188" i="7"/>
  <c r="L8189" i="7"/>
  <c r="L8190" i="7"/>
  <c r="L8191" i="7"/>
  <c r="L8192" i="7"/>
  <c r="L8193" i="7"/>
  <c r="L8194" i="7"/>
  <c r="L8195" i="7"/>
  <c r="L8196" i="7"/>
  <c r="L8197" i="7"/>
  <c r="L8198" i="7"/>
  <c r="L8199" i="7"/>
  <c r="L8200" i="7"/>
  <c r="L8201" i="7"/>
  <c r="L8202" i="7"/>
  <c r="L8203" i="7"/>
  <c r="L8204" i="7"/>
  <c r="L8205" i="7"/>
  <c r="L8206" i="7"/>
  <c r="L8207" i="7"/>
  <c r="L8208" i="7"/>
  <c r="L8209" i="7"/>
  <c r="L8210" i="7"/>
  <c r="L8211" i="7"/>
  <c r="L8212" i="7"/>
  <c r="L8213" i="7"/>
  <c r="L8214" i="7"/>
  <c r="L8215" i="7"/>
  <c r="L8216" i="7"/>
  <c r="L8217" i="7"/>
  <c r="L8218" i="7"/>
  <c r="L8219" i="7"/>
  <c r="L8220" i="7"/>
  <c r="L8221" i="7"/>
  <c r="L8222" i="7"/>
  <c r="L8223" i="7"/>
  <c r="L8224" i="7"/>
  <c r="L8225" i="7"/>
  <c r="L8226" i="7"/>
  <c r="L8227" i="7"/>
  <c r="L8228" i="7"/>
  <c r="L8229" i="7"/>
  <c r="L8230" i="7"/>
  <c r="L8231" i="7"/>
  <c r="L8232" i="7"/>
  <c r="L8233" i="7"/>
  <c r="L8234" i="7"/>
  <c r="L8235" i="7"/>
  <c r="L8236" i="7"/>
  <c r="L8237" i="7"/>
  <c r="L8238" i="7"/>
  <c r="L8239" i="7"/>
  <c r="L8240" i="7"/>
  <c r="L8241" i="7"/>
  <c r="L8242" i="7"/>
  <c r="L8243" i="7"/>
  <c r="L8244" i="7"/>
  <c r="L8245" i="7"/>
  <c r="L8246" i="7"/>
  <c r="L8247" i="7"/>
  <c r="L8248" i="7"/>
  <c r="L8249" i="7"/>
  <c r="L8250" i="7"/>
  <c r="L8251" i="7"/>
  <c r="L8252" i="7"/>
  <c r="L8253" i="7"/>
  <c r="L8254" i="7"/>
  <c r="L8255" i="7"/>
  <c r="L8256" i="7"/>
  <c r="L8257" i="7"/>
  <c r="L8258" i="7"/>
  <c r="L8259" i="7"/>
  <c r="L8260" i="7"/>
  <c r="L8261" i="7"/>
  <c r="L8262" i="7"/>
  <c r="L8263" i="7"/>
  <c r="L8264" i="7"/>
  <c r="L8265" i="7"/>
  <c r="L8266" i="7"/>
  <c r="L8267" i="7"/>
  <c r="L8268" i="7"/>
  <c r="L8269" i="7"/>
  <c r="L8270" i="7"/>
  <c r="L8271" i="7"/>
  <c r="L8272" i="7"/>
  <c r="L8273" i="7"/>
  <c r="L8274" i="7"/>
  <c r="L8275" i="7"/>
  <c r="L8276" i="7"/>
  <c r="L8277" i="7"/>
  <c r="L8278" i="7"/>
  <c r="L8279" i="7"/>
  <c r="L8280" i="7"/>
  <c r="L8281" i="7"/>
  <c r="L8282" i="7"/>
  <c r="L8283" i="7"/>
  <c r="L8284" i="7"/>
  <c r="L8285" i="7"/>
  <c r="L8286" i="7"/>
  <c r="L8287" i="7"/>
  <c r="L8288" i="7"/>
  <c r="L8289" i="7"/>
  <c r="L8290" i="7"/>
  <c r="L8291" i="7"/>
  <c r="L8292" i="7"/>
  <c r="L8293" i="7"/>
  <c r="L8294" i="7"/>
  <c r="L8295" i="7"/>
  <c r="L8296" i="7"/>
  <c r="L8297" i="7"/>
  <c r="L8298" i="7"/>
  <c r="L8299" i="7"/>
  <c r="L8300" i="7"/>
  <c r="L8301" i="7"/>
  <c r="L8302" i="7"/>
  <c r="L8303" i="7"/>
  <c r="L8304" i="7"/>
  <c r="L8305" i="7"/>
  <c r="L8306" i="7"/>
  <c r="L8307" i="7"/>
  <c r="L8308" i="7"/>
  <c r="L8309" i="7"/>
  <c r="L8310" i="7"/>
  <c r="L8311" i="7"/>
  <c r="L8312" i="7"/>
  <c r="L8313" i="7"/>
  <c r="L8314" i="7"/>
  <c r="L8315" i="7"/>
  <c r="L8316" i="7"/>
  <c r="L8317" i="7"/>
  <c r="L8318" i="7"/>
  <c r="L8319" i="7"/>
  <c r="L8320" i="7"/>
  <c r="L8321" i="7"/>
  <c r="L8322" i="7"/>
  <c r="L8323" i="7"/>
  <c r="L8324" i="7"/>
  <c r="L8325" i="7"/>
  <c r="L8326" i="7"/>
  <c r="L8327" i="7"/>
  <c r="L8328" i="7"/>
  <c r="L8329" i="7"/>
  <c r="L8330" i="7"/>
  <c r="L8331" i="7"/>
  <c r="L8332" i="7"/>
  <c r="L8333" i="7"/>
  <c r="L8334" i="7"/>
  <c r="L8335" i="7"/>
  <c r="L8336" i="7"/>
  <c r="L8337" i="7"/>
  <c r="L8338" i="7"/>
  <c r="L8339" i="7"/>
  <c r="L8340" i="7"/>
  <c r="L8341" i="7"/>
  <c r="L8342" i="7"/>
  <c r="L8343" i="7"/>
  <c r="L8344" i="7"/>
  <c r="L8345" i="7"/>
  <c r="L8346" i="7"/>
  <c r="L8347" i="7"/>
  <c r="L8348" i="7"/>
  <c r="L8349" i="7"/>
  <c r="L8350" i="7"/>
  <c r="L8351" i="7"/>
  <c r="L8352" i="7"/>
  <c r="L8353" i="7"/>
  <c r="L8354" i="7"/>
  <c r="L8355" i="7"/>
  <c r="L8356" i="7"/>
  <c r="L8357" i="7"/>
  <c r="L8358" i="7"/>
  <c r="L8359" i="7"/>
  <c r="L8360" i="7"/>
  <c r="L8361" i="7"/>
  <c r="L8362" i="7"/>
  <c r="L8363" i="7"/>
  <c r="L8364" i="7"/>
  <c r="L8365" i="7"/>
  <c r="L8366" i="7"/>
  <c r="L8367" i="7"/>
  <c r="L8368" i="7"/>
  <c r="L8369" i="7"/>
  <c r="L8370" i="7"/>
  <c r="L8371" i="7"/>
  <c r="L8372" i="7"/>
  <c r="L8373" i="7"/>
  <c r="L8374" i="7"/>
  <c r="L8375" i="7"/>
  <c r="L8376" i="7"/>
  <c r="L8377" i="7"/>
  <c r="L8378" i="7"/>
  <c r="L8379" i="7"/>
  <c r="L8380" i="7"/>
  <c r="L8381" i="7"/>
  <c r="L8382" i="7"/>
  <c r="L8383" i="7"/>
  <c r="L8384" i="7"/>
  <c r="L8385" i="7"/>
  <c r="L8386" i="7"/>
  <c r="L8387" i="7"/>
  <c r="L8388" i="7"/>
  <c r="L8389" i="7"/>
  <c r="L8390" i="7"/>
  <c r="L8391" i="7"/>
  <c r="L8392" i="7"/>
  <c r="L8393" i="7"/>
  <c r="L8394" i="7"/>
  <c r="L8395" i="7"/>
  <c r="L8396" i="7"/>
  <c r="L8397" i="7"/>
  <c r="L8398" i="7"/>
  <c r="L8399" i="7"/>
  <c r="L8400" i="7"/>
  <c r="L8401" i="7"/>
  <c r="L8402" i="7"/>
  <c r="L8403" i="7"/>
  <c r="L8404" i="7"/>
  <c r="L8405" i="7"/>
  <c r="L8406" i="7"/>
  <c r="L8407" i="7"/>
  <c r="L8408" i="7"/>
  <c r="L8409" i="7"/>
  <c r="L8410" i="7"/>
  <c r="L8411" i="7"/>
  <c r="L8412" i="7"/>
  <c r="L8413" i="7"/>
  <c r="L8414" i="7"/>
  <c r="L8415" i="7"/>
  <c r="L8416" i="7"/>
  <c r="L8417" i="7"/>
  <c r="L8418" i="7"/>
  <c r="L8419" i="7"/>
  <c r="L8420" i="7"/>
  <c r="L8421" i="7"/>
  <c r="L8422" i="7"/>
  <c r="L8423" i="7"/>
  <c r="L8424" i="7"/>
  <c r="L8425" i="7"/>
  <c r="L8426" i="7"/>
  <c r="L8427" i="7"/>
  <c r="L8428" i="7"/>
  <c r="L8429" i="7"/>
  <c r="L8430" i="7"/>
  <c r="L8431" i="7"/>
  <c r="L8432" i="7"/>
  <c r="L8433" i="7"/>
  <c r="L8434" i="7"/>
  <c r="L8435" i="7"/>
  <c r="L8436" i="7"/>
  <c r="L8437" i="7"/>
  <c r="L8438" i="7"/>
  <c r="L8439" i="7"/>
  <c r="L8440" i="7"/>
  <c r="L8441" i="7"/>
  <c r="L8442" i="7"/>
  <c r="L8443" i="7"/>
  <c r="L8444" i="7"/>
  <c r="L8445" i="7"/>
  <c r="L8446" i="7"/>
  <c r="L8447" i="7"/>
  <c r="L8448" i="7"/>
  <c r="L8449" i="7"/>
  <c r="L8450" i="7"/>
  <c r="L8451" i="7"/>
  <c r="L8452" i="7"/>
  <c r="L8453" i="7"/>
  <c r="L8454" i="7"/>
  <c r="L8455" i="7"/>
  <c r="L8456" i="7"/>
  <c r="L8457" i="7"/>
  <c r="L8458" i="7"/>
  <c r="L8459" i="7"/>
  <c r="L8460" i="7"/>
  <c r="L8461" i="7"/>
  <c r="L8462" i="7"/>
  <c r="L8463" i="7"/>
  <c r="L8464" i="7"/>
  <c r="L8465" i="7"/>
  <c r="L8466" i="7"/>
  <c r="L8467" i="7"/>
  <c r="L8468" i="7"/>
  <c r="L8469" i="7"/>
  <c r="L8470" i="7"/>
  <c r="L8471" i="7"/>
  <c r="L8472" i="7"/>
  <c r="L8473" i="7"/>
  <c r="L8474" i="7"/>
  <c r="L8475" i="7"/>
  <c r="L8476" i="7"/>
  <c r="L8477" i="7"/>
  <c r="L8478" i="7"/>
  <c r="L8479" i="7"/>
  <c r="L8480" i="7"/>
  <c r="L8481" i="7"/>
  <c r="L8482" i="7"/>
  <c r="L8483" i="7"/>
  <c r="L8484" i="7"/>
  <c r="L8485" i="7"/>
  <c r="L8486" i="7"/>
  <c r="L8487" i="7"/>
  <c r="L8488" i="7"/>
  <c r="L8489" i="7"/>
  <c r="L8490" i="7"/>
  <c r="L8491" i="7"/>
  <c r="L8492" i="7"/>
  <c r="L8493" i="7"/>
  <c r="L8494" i="7"/>
  <c r="L8495" i="7"/>
  <c r="L8496" i="7"/>
  <c r="L8497" i="7"/>
  <c r="L8498" i="7"/>
  <c r="L8499" i="7"/>
  <c r="L8500" i="7"/>
  <c r="L8501" i="7"/>
  <c r="L8502" i="7"/>
  <c r="L8503" i="7"/>
  <c r="L8504" i="7"/>
  <c r="L8505" i="7"/>
  <c r="L8506" i="7"/>
  <c r="L8507" i="7"/>
  <c r="L8508" i="7"/>
  <c r="L8509" i="7"/>
  <c r="L8510" i="7"/>
  <c r="L8511" i="7"/>
  <c r="L8512" i="7"/>
  <c r="L8513" i="7"/>
  <c r="L8514" i="7"/>
  <c r="L8515" i="7"/>
  <c r="L8516" i="7"/>
  <c r="L8517" i="7"/>
  <c r="L8518" i="7"/>
  <c r="L8519" i="7"/>
  <c r="L8520" i="7"/>
  <c r="L8521" i="7"/>
  <c r="L8522" i="7"/>
  <c r="L8523" i="7"/>
  <c r="L8524" i="7"/>
  <c r="L8525" i="7"/>
  <c r="L8526" i="7"/>
  <c r="L8527" i="7"/>
  <c r="L8528" i="7"/>
  <c r="L8529" i="7"/>
  <c r="L8530" i="7"/>
  <c r="L8531" i="7"/>
  <c r="L8532" i="7"/>
  <c r="L8533" i="7"/>
  <c r="L8534" i="7"/>
  <c r="L8535" i="7"/>
  <c r="L8536" i="7"/>
  <c r="L8537" i="7"/>
  <c r="L8538" i="7"/>
  <c r="L8539" i="7"/>
  <c r="L8540" i="7"/>
  <c r="L8541" i="7"/>
  <c r="L8542" i="7"/>
  <c r="L8543" i="7"/>
  <c r="L8544" i="7"/>
  <c r="L8545" i="7"/>
  <c r="L8546" i="7"/>
  <c r="L8547" i="7"/>
  <c r="L8548" i="7"/>
  <c r="L8549" i="7"/>
  <c r="L8550" i="7"/>
  <c r="L8551" i="7"/>
  <c r="L8552" i="7"/>
  <c r="L8553" i="7"/>
  <c r="L8554" i="7"/>
  <c r="L8555" i="7"/>
  <c r="L8556" i="7"/>
  <c r="L8557" i="7"/>
  <c r="L8558" i="7"/>
  <c r="L8559" i="7"/>
  <c r="L8560" i="7"/>
  <c r="L8561" i="7"/>
  <c r="L8562" i="7"/>
  <c r="L8563" i="7"/>
  <c r="L8564" i="7"/>
  <c r="L8565" i="7"/>
  <c r="L8566" i="7"/>
  <c r="L8567" i="7"/>
  <c r="L8568" i="7"/>
  <c r="L8569" i="7"/>
  <c r="L8570" i="7"/>
  <c r="L8571" i="7"/>
  <c r="L8572" i="7"/>
  <c r="L8573" i="7"/>
  <c r="L8574" i="7"/>
  <c r="L8575" i="7"/>
  <c r="L8576" i="7"/>
  <c r="L8577" i="7"/>
  <c r="L8578" i="7"/>
  <c r="L8579" i="7"/>
  <c r="L8580" i="7"/>
  <c r="L8581" i="7"/>
  <c r="L8582" i="7"/>
  <c r="L8583" i="7"/>
  <c r="L8584" i="7"/>
  <c r="L8585" i="7"/>
  <c r="L8586" i="7"/>
  <c r="L8587" i="7"/>
  <c r="L8588" i="7"/>
  <c r="L8589" i="7"/>
  <c r="L8590" i="7"/>
  <c r="L8591" i="7"/>
  <c r="L8592" i="7"/>
  <c r="L8593" i="7"/>
  <c r="L8594" i="7"/>
  <c r="L8595" i="7"/>
  <c r="L8596" i="7"/>
  <c r="L8597" i="7"/>
  <c r="L8598" i="7"/>
  <c r="L8599" i="7"/>
  <c r="L8600" i="7"/>
  <c r="L8601" i="7"/>
  <c r="L8602" i="7"/>
  <c r="L8603" i="7"/>
  <c r="L8604" i="7"/>
  <c r="L8605" i="7"/>
  <c r="L8606" i="7"/>
  <c r="L8607" i="7"/>
  <c r="L8608" i="7"/>
  <c r="L8609" i="7"/>
  <c r="L8610" i="7"/>
  <c r="L8611" i="7"/>
  <c r="L8612" i="7"/>
  <c r="L8613" i="7"/>
  <c r="L8614" i="7"/>
  <c r="L8615" i="7"/>
  <c r="L8616" i="7"/>
  <c r="L8617" i="7"/>
  <c r="L8618" i="7"/>
  <c r="L8619" i="7"/>
  <c r="L8620" i="7"/>
  <c r="L8621" i="7"/>
  <c r="L8622" i="7"/>
  <c r="L8623" i="7"/>
  <c r="L8624" i="7"/>
  <c r="L8625" i="7"/>
  <c r="L8626" i="7"/>
  <c r="L8627" i="7"/>
  <c r="L8628" i="7"/>
  <c r="L8629" i="7"/>
  <c r="L8630" i="7"/>
  <c r="L8631" i="7"/>
  <c r="L8632" i="7"/>
  <c r="L8633" i="7"/>
  <c r="L8634" i="7"/>
  <c r="L8635" i="7"/>
  <c r="L8636" i="7"/>
  <c r="L8637" i="7"/>
  <c r="L8638" i="7"/>
  <c r="L8639" i="7"/>
  <c r="L8640" i="7"/>
  <c r="L8641" i="7"/>
  <c r="L8642" i="7"/>
  <c r="L8643" i="7"/>
  <c r="L8644" i="7"/>
  <c r="L8645" i="7"/>
  <c r="L8646" i="7"/>
  <c r="L8647" i="7"/>
  <c r="L8648" i="7"/>
  <c r="L8649" i="7"/>
  <c r="L8650" i="7"/>
  <c r="L8651" i="7"/>
  <c r="L8652" i="7"/>
  <c r="L8653" i="7"/>
  <c r="L8654" i="7"/>
  <c r="L8655" i="7"/>
  <c r="L8656" i="7"/>
  <c r="L8657" i="7"/>
  <c r="L8658" i="7"/>
  <c r="L8659" i="7"/>
  <c r="L8660" i="7"/>
  <c r="L8661" i="7"/>
  <c r="L8662" i="7"/>
  <c r="L8663" i="7"/>
  <c r="L8664" i="7"/>
  <c r="L8665" i="7"/>
  <c r="L8666" i="7"/>
  <c r="L8667" i="7"/>
  <c r="L8668" i="7"/>
  <c r="L8669" i="7"/>
  <c r="L8670" i="7"/>
  <c r="L8671" i="7"/>
  <c r="L8672" i="7"/>
  <c r="L8673" i="7"/>
  <c r="L8674" i="7"/>
  <c r="L8675" i="7"/>
  <c r="L8676" i="7"/>
  <c r="L8677" i="7"/>
  <c r="L8678" i="7"/>
  <c r="L8679" i="7"/>
  <c r="L8680" i="7"/>
  <c r="L8681" i="7"/>
  <c r="L8682" i="7"/>
  <c r="L8683" i="7"/>
  <c r="L8684" i="7"/>
  <c r="L8685" i="7"/>
  <c r="L8686" i="7"/>
  <c r="L8687" i="7"/>
  <c r="L8688" i="7"/>
  <c r="L8689" i="7"/>
  <c r="L8690" i="7"/>
  <c r="L8691" i="7"/>
  <c r="L8692" i="7"/>
  <c r="L8693" i="7"/>
  <c r="L8694" i="7"/>
  <c r="L8695" i="7"/>
  <c r="L8696" i="7"/>
  <c r="L8697" i="7"/>
  <c r="L8698" i="7"/>
  <c r="L8699" i="7"/>
  <c r="L8700" i="7"/>
  <c r="L8701" i="7"/>
  <c r="L8702" i="7"/>
  <c r="L8703" i="7"/>
  <c r="L8704" i="7"/>
  <c r="L8705" i="7"/>
  <c r="L8706" i="7"/>
  <c r="L8707" i="7"/>
  <c r="L8708" i="7"/>
  <c r="L8709" i="7"/>
  <c r="L8710" i="7"/>
  <c r="L8711" i="7"/>
  <c r="L8712" i="7"/>
  <c r="L8713" i="7"/>
  <c r="L8714" i="7"/>
  <c r="L8715" i="7"/>
  <c r="L8716" i="7"/>
  <c r="L8717" i="7"/>
  <c r="L8718" i="7"/>
  <c r="L8719" i="7"/>
  <c r="L8720" i="7"/>
  <c r="L8721" i="7"/>
  <c r="L8722" i="7"/>
  <c r="L8723" i="7"/>
  <c r="L8724" i="7"/>
  <c r="L8725" i="7"/>
  <c r="L8726" i="7"/>
  <c r="L8727" i="7"/>
  <c r="L8728" i="7"/>
  <c r="L8729" i="7"/>
  <c r="L8730" i="7"/>
  <c r="L8731" i="7"/>
  <c r="L8732" i="7"/>
  <c r="L8733" i="7"/>
  <c r="L8734" i="7"/>
  <c r="L8735" i="7"/>
  <c r="L8736" i="7"/>
  <c r="L8737" i="7"/>
  <c r="L8738" i="7"/>
  <c r="L8739" i="7"/>
  <c r="L8740" i="7"/>
  <c r="L8741" i="7"/>
  <c r="L8742" i="7"/>
  <c r="L8743" i="7"/>
  <c r="L8744" i="7"/>
  <c r="L8745" i="7"/>
  <c r="L8746" i="7"/>
  <c r="L8747" i="7"/>
  <c r="L8748" i="7"/>
  <c r="L8749" i="7"/>
  <c r="L8750" i="7"/>
  <c r="L8751" i="7"/>
  <c r="L8752" i="7"/>
  <c r="L8753" i="7"/>
  <c r="L8754" i="7"/>
  <c r="L8755" i="7"/>
  <c r="L8756" i="7"/>
  <c r="L8757" i="7"/>
  <c r="L8758" i="7"/>
  <c r="L8759" i="7"/>
  <c r="L8760" i="7"/>
  <c r="L8761" i="7"/>
  <c r="L8762" i="7"/>
  <c r="L8763" i="7"/>
  <c r="L8764" i="7"/>
  <c r="L8765" i="7"/>
  <c r="L8766" i="7"/>
  <c r="L8767" i="7"/>
  <c r="L8768" i="7"/>
  <c r="L8769" i="7"/>
  <c r="L8770" i="7"/>
  <c r="L8771" i="7"/>
  <c r="L8772" i="7"/>
  <c r="L8773" i="7"/>
  <c r="L8774" i="7"/>
  <c r="L8775" i="7"/>
  <c r="L8776" i="7"/>
  <c r="L8777" i="7"/>
  <c r="L8778" i="7"/>
  <c r="L8779" i="7"/>
  <c r="L8780" i="7"/>
  <c r="L8781" i="7"/>
  <c r="L8782" i="7"/>
  <c r="L8783" i="7"/>
  <c r="L8784" i="7"/>
  <c r="L8785" i="7"/>
  <c r="L8786" i="7"/>
  <c r="L8787" i="7"/>
  <c r="L8788" i="7"/>
  <c r="L8789" i="7"/>
  <c r="L8790" i="7"/>
  <c r="L8791" i="7"/>
  <c r="L8792" i="7"/>
  <c r="L8793" i="7"/>
  <c r="L8794" i="7"/>
  <c r="L8795" i="7"/>
  <c r="L8796" i="7"/>
  <c r="L8797" i="7"/>
  <c r="L8798" i="7"/>
  <c r="L8799" i="7"/>
  <c r="L8800" i="7"/>
  <c r="L8801" i="7"/>
  <c r="L8802" i="7"/>
  <c r="L8803" i="7"/>
  <c r="L8804" i="7"/>
  <c r="L8805" i="7"/>
  <c r="L8806" i="7"/>
  <c r="L8807" i="7"/>
  <c r="L8808" i="7"/>
  <c r="L8809" i="7"/>
  <c r="L8810" i="7"/>
  <c r="L8811" i="7"/>
  <c r="L8812" i="7"/>
  <c r="L8813" i="7"/>
  <c r="L8814" i="7"/>
  <c r="L8815" i="7"/>
  <c r="L8816" i="7"/>
  <c r="L8817" i="7"/>
  <c r="L8818" i="7"/>
  <c r="L8819" i="7"/>
  <c r="L8820" i="7"/>
  <c r="L8821" i="7"/>
  <c r="L8822" i="7"/>
  <c r="L8823" i="7"/>
  <c r="L8824" i="7"/>
  <c r="L8825" i="7"/>
  <c r="L8826" i="7"/>
  <c r="L8827" i="7"/>
  <c r="L8828" i="7"/>
  <c r="L8829" i="7"/>
  <c r="L8830" i="7"/>
  <c r="L8831" i="7"/>
  <c r="L8832" i="7"/>
  <c r="L8833" i="7"/>
  <c r="L8834" i="7"/>
  <c r="L8835" i="7"/>
  <c r="L8836" i="7"/>
  <c r="L8837" i="7"/>
  <c r="L8838" i="7"/>
  <c r="L8839" i="7"/>
  <c r="L8840" i="7"/>
  <c r="L8841" i="7"/>
  <c r="L8842" i="7"/>
  <c r="L8843" i="7"/>
  <c r="L8844" i="7"/>
  <c r="L8845" i="7"/>
  <c r="L8846" i="7"/>
  <c r="L8847" i="7"/>
  <c r="L8848" i="7"/>
  <c r="L8849" i="7"/>
  <c r="L8850" i="7"/>
  <c r="L8851" i="7"/>
  <c r="L8852" i="7"/>
  <c r="L8853" i="7"/>
  <c r="L8854" i="7"/>
  <c r="L8855" i="7"/>
  <c r="L8856" i="7"/>
  <c r="L8857" i="7"/>
  <c r="L8858" i="7"/>
  <c r="L8859" i="7"/>
  <c r="L8860" i="7"/>
  <c r="L8861" i="7"/>
  <c r="L8862" i="7"/>
  <c r="L8863" i="7"/>
  <c r="L8864" i="7"/>
  <c r="L8865" i="7"/>
  <c r="L8866" i="7"/>
  <c r="L8867" i="7"/>
  <c r="L8868" i="7"/>
  <c r="L8869" i="7"/>
  <c r="L8870" i="7"/>
  <c r="L8871" i="7"/>
  <c r="L8872" i="7"/>
  <c r="L8873" i="7"/>
  <c r="L8874" i="7"/>
  <c r="L8875" i="7"/>
  <c r="L8876" i="7"/>
  <c r="L8877" i="7"/>
  <c r="L8878" i="7"/>
  <c r="L8879" i="7"/>
  <c r="L8880" i="7"/>
  <c r="L8881" i="7"/>
  <c r="L8882" i="7"/>
  <c r="L8883" i="7"/>
  <c r="L8884" i="7"/>
  <c r="L8885" i="7"/>
  <c r="L8886" i="7"/>
  <c r="L8887" i="7"/>
  <c r="L8888" i="7"/>
  <c r="L8889" i="7"/>
  <c r="L8890" i="7"/>
  <c r="L8891" i="7"/>
  <c r="L8892" i="7"/>
  <c r="L8893" i="7"/>
  <c r="L8894" i="7"/>
  <c r="L8895" i="7"/>
  <c r="L8896" i="7"/>
  <c r="L8897" i="7"/>
  <c r="L8898" i="7"/>
  <c r="L8899" i="7"/>
  <c r="L8900" i="7"/>
  <c r="L8901" i="7"/>
  <c r="L8902" i="7"/>
  <c r="L8903" i="7"/>
  <c r="L8904" i="7"/>
  <c r="L8905" i="7"/>
  <c r="L8906" i="7"/>
  <c r="L8907" i="7"/>
  <c r="L8908" i="7"/>
  <c r="L8909" i="7"/>
  <c r="L8910" i="7"/>
  <c r="L8911" i="7"/>
  <c r="L8912" i="7"/>
  <c r="L8913" i="7"/>
  <c r="L8914" i="7"/>
  <c r="L8915" i="7"/>
  <c r="L8916" i="7"/>
  <c r="L8917" i="7"/>
  <c r="L8918" i="7"/>
  <c r="L8919" i="7"/>
  <c r="L8920" i="7"/>
  <c r="L8921" i="7"/>
  <c r="L8922" i="7"/>
  <c r="L8923" i="7"/>
  <c r="L8924" i="7"/>
  <c r="L8925" i="7"/>
  <c r="L8926" i="7"/>
  <c r="L8927" i="7"/>
  <c r="L8928" i="7"/>
  <c r="L8929" i="7"/>
  <c r="L8930" i="7"/>
  <c r="L8931" i="7"/>
  <c r="L8932" i="7"/>
  <c r="L8933" i="7"/>
  <c r="L8934" i="7"/>
  <c r="L8935" i="7"/>
  <c r="L8936" i="7"/>
  <c r="L8937" i="7"/>
  <c r="L8938" i="7"/>
  <c r="L8939" i="7"/>
  <c r="L8940" i="7"/>
  <c r="L8941" i="7"/>
  <c r="L8942" i="7"/>
  <c r="L8943" i="7"/>
  <c r="L8944" i="7"/>
  <c r="L8945" i="7"/>
  <c r="L8946" i="7"/>
  <c r="L8947" i="7"/>
  <c r="L8948" i="7"/>
  <c r="L8949" i="7"/>
  <c r="L8950" i="7"/>
  <c r="L8951" i="7"/>
  <c r="L8952" i="7"/>
  <c r="L8953" i="7"/>
  <c r="L8954" i="7"/>
  <c r="L8955" i="7"/>
  <c r="L8956" i="7"/>
  <c r="L8957" i="7"/>
  <c r="L8958" i="7"/>
  <c r="L8959" i="7"/>
  <c r="L8960" i="7"/>
  <c r="L8961" i="7"/>
  <c r="L8962" i="7"/>
  <c r="L8963" i="7"/>
  <c r="L8964" i="7"/>
  <c r="L8965" i="7"/>
  <c r="L8966" i="7"/>
  <c r="L8967" i="7"/>
  <c r="L8968" i="7"/>
  <c r="L8969" i="7"/>
  <c r="L8970" i="7"/>
  <c r="L8971" i="7"/>
  <c r="L8972" i="7"/>
  <c r="L8973" i="7"/>
  <c r="L8974" i="7"/>
  <c r="L8975" i="7"/>
  <c r="L8976" i="7"/>
  <c r="L8977" i="7"/>
  <c r="L8978" i="7"/>
  <c r="L8979" i="7"/>
  <c r="L8980" i="7"/>
  <c r="L8981" i="7"/>
  <c r="L8982" i="7"/>
  <c r="L8983" i="7"/>
  <c r="L8984" i="7"/>
  <c r="L8985" i="7"/>
  <c r="L8986" i="7"/>
  <c r="L8987" i="7"/>
  <c r="L8988" i="7"/>
  <c r="L8989" i="7"/>
  <c r="L8990" i="7"/>
  <c r="L8991" i="7"/>
  <c r="L8992" i="7"/>
  <c r="L8993" i="7"/>
  <c r="L8994" i="7"/>
  <c r="L8995" i="7"/>
  <c r="L8996" i="7"/>
  <c r="L8997" i="7"/>
  <c r="L8998" i="7"/>
  <c r="L8999" i="7"/>
  <c r="L9000" i="7"/>
  <c r="L9001" i="7"/>
  <c r="L9002" i="7"/>
  <c r="L9003" i="7"/>
  <c r="L9004" i="7"/>
  <c r="L9005" i="7"/>
  <c r="L9006" i="7"/>
  <c r="L9007" i="7"/>
  <c r="L9008" i="7"/>
  <c r="L9009" i="7"/>
  <c r="L9010" i="7"/>
  <c r="L9011" i="7"/>
  <c r="L9012" i="7"/>
  <c r="L9013" i="7"/>
  <c r="L9014" i="7"/>
  <c r="L9015" i="7"/>
  <c r="L9016" i="7"/>
  <c r="L9017" i="7"/>
  <c r="L9018" i="7"/>
  <c r="L9019" i="7"/>
  <c r="L9020" i="7"/>
  <c r="L9021" i="7"/>
  <c r="L9022" i="7"/>
  <c r="L9023" i="7"/>
  <c r="L9024" i="7"/>
  <c r="L9025" i="7"/>
  <c r="L9026" i="7"/>
  <c r="L9027" i="7"/>
  <c r="L9028" i="7"/>
  <c r="L9029" i="7"/>
  <c r="L9030" i="7"/>
  <c r="L9031" i="7"/>
  <c r="L9032" i="7"/>
  <c r="L9033" i="7"/>
  <c r="L9034" i="7"/>
  <c r="L9035" i="7"/>
  <c r="L9036" i="7"/>
  <c r="L9037" i="7"/>
  <c r="L9038" i="7"/>
  <c r="L9039" i="7"/>
  <c r="L9040" i="7"/>
  <c r="L9041" i="7"/>
  <c r="L9042" i="7"/>
  <c r="L9043" i="7"/>
  <c r="L9044" i="7"/>
  <c r="L9045" i="7"/>
  <c r="L9046" i="7"/>
  <c r="L9047" i="7"/>
  <c r="L9048" i="7"/>
  <c r="L9049" i="7"/>
  <c r="L9050" i="7"/>
  <c r="L9051" i="7"/>
  <c r="L9052" i="7"/>
  <c r="L9053" i="7"/>
  <c r="L9054" i="7"/>
  <c r="L9055" i="7"/>
  <c r="L9056" i="7"/>
  <c r="L9057" i="7"/>
  <c r="L9058" i="7"/>
  <c r="L9059" i="7"/>
  <c r="L9060" i="7"/>
  <c r="L9061" i="7"/>
  <c r="L9062" i="7"/>
  <c r="L9063" i="7"/>
  <c r="L9064" i="7"/>
  <c r="L9065" i="7"/>
  <c r="L9066" i="7"/>
  <c r="L9067" i="7"/>
  <c r="L9068" i="7"/>
  <c r="L9069" i="7"/>
  <c r="L9070" i="7"/>
  <c r="L9071" i="7"/>
  <c r="L9072" i="7"/>
  <c r="L9073" i="7"/>
  <c r="L9074" i="7"/>
  <c r="L9075" i="7"/>
  <c r="L9076" i="7"/>
  <c r="L9077" i="7"/>
  <c r="L9078" i="7"/>
  <c r="L9079" i="7"/>
  <c r="L9080" i="7"/>
  <c r="L9081" i="7"/>
  <c r="L9082" i="7"/>
  <c r="L9083" i="7"/>
  <c r="L9084" i="7"/>
  <c r="L9085" i="7"/>
  <c r="L9086" i="7"/>
  <c r="L9087" i="7"/>
  <c r="L9088" i="7"/>
  <c r="L9089" i="7"/>
  <c r="L9090" i="7"/>
  <c r="L9091" i="7"/>
  <c r="L9092" i="7"/>
  <c r="L9093" i="7"/>
  <c r="L9094" i="7"/>
  <c r="L9095" i="7"/>
  <c r="L9096" i="7"/>
  <c r="L9097" i="7"/>
  <c r="L9098" i="7"/>
  <c r="L9099" i="7"/>
  <c r="L9100" i="7"/>
  <c r="L9101" i="7"/>
  <c r="L9102" i="7"/>
  <c r="L9103" i="7"/>
  <c r="L9104" i="7"/>
  <c r="L9105" i="7"/>
  <c r="L9106" i="7"/>
  <c r="L9107" i="7"/>
  <c r="L9108" i="7"/>
  <c r="L9109" i="7"/>
  <c r="L9110" i="7"/>
  <c r="L9111" i="7"/>
  <c r="L9112" i="7"/>
  <c r="L9113" i="7"/>
  <c r="L9114" i="7"/>
  <c r="L9115" i="7"/>
  <c r="L9116" i="7"/>
  <c r="L9117" i="7"/>
  <c r="L9118" i="7"/>
  <c r="L9119" i="7"/>
  <c r="L9120" i="7"/>
  <c r="L9121" i="7"/>
  <c r="L9122" i="7"/>
  <c r="L9123" i="7"/>
  <c r="L9124" i="7"/>
  <c r="L9125" i="7"/>
  <c r="L9126" i="7"/>
  <c r="L9127" i="7"/>
  <c r="L9128" i="7"/>
  <c r="L9129" i="7"/>
  <c r="L9130" i="7"/>
  <c r="L9131" i="7"/>
  <c r="L9132" i="7"/>
  <c r="L9133" i="7"/>
  <c r="L9134" i="7"/>
  <c r="L9135" i="7"/>
  <c r="L9136" i="7"/>
  <c r="L9137" i="7"/>
  <c r="L9138" i="7"/>
  <c r="L9139" i="7"/>
  <c r="L9140" i="7"/>
  <c r="L9141" i="7"/>
  <c r="L9142" i="7"/>
  <c r="L9143" i="7"/>
  <c r="L9144" i="7"/>
  <c r="L9145" i="7"/>
  <c r="L9146" i="7"/>
  <c r="L9147" i="7"/>
  <c r="L9148" i="7"/>
  <c r="L9149" i="7"/>
  <c r="L9150" i="7"/>
  <c r="L9151" i="7"/>
  <c r="L9152" i="7"/>
  <c r="L9153" i="7"/>
  <c r="L9154" i="7"/>
  <c r="L9155" i="7"/>
  <c r="L9156" i="7"/>
  <c r="L9157" i="7"/>
  <c r="L9158" i="7"/>
  <c r="L9159" i="7"/>
  <c r="L9160" i="7"/>
  <c r="L9161" i="7"/>
  <c r="L9162" i="7"/>
  <c r="L9163" i="7"/>
  <c r="L9164" i="7"/>
  <c r="L9165" i="7"/>
  <c r="L9166" i="7"/>
  <c r="L9167" i="7"/>
  <c r="L9168" i="7"/>
  <c r="L9169" i="7"/>
  <c r="L9170" i="7"/>
  <c r="L9171" i="7"/>
  <c r="L9172" i="7"/>
  <c r="L9173" i="7"/>
  <c r="L9174" i="7"/>
  <c r="L9175" i="7"/>
  <c r="L9176" i="7"/>
  <c r="L9177" i="7"/>
  <c r="L9178" i="7"/>
  <c r="L9179" i="7"/>
  <c r="L9180" i="7"/>
  <c r="L9181" i="7"/>
  <c r="L9182" i="7"/>
  <c r="L9183" i="7"/>
  <c r="L9184" i="7"/>
  <c r="L9185" i="7"/>
  <c r="L9186" i="7"/>
  <c r="L9187" i="7"/>
  <c r="L9188" i="7"/>
  <c r="L9189" i="7"/>
  <c r="L9190" i="7"/>
  <c r="L9191" i="7"/>
  <c r="L9192" i="7"/>
  <c r="L9193" i="7"/>
  <c r="L9194" i="7"/>
  <c r="L9195" i="7"/>
  <c r="L9196" i="7"/>
  <c r="L9197" i="7"/>
  <c r="L9198" i="7"/>
  <c r="L9199" i="7"/>
  <c r="L9200" i="7"/>
  <c r="L9201" i="7"/>
  <c r="L9202" i="7"/>
  <c r="L9203" i="7"/>
  <c r="L9204" i="7"/>
  <c r="L9205" i="7"/>
  <c r="L9206" i="7"/>
  <c r="L9207" i="7"/>
  <c r="L9208" i="7"/>
  <c r="L9209" i="7"/>
  <c r="L9210" i="7"/>
  <c r="L9211" i="7"/>
  <c r="L9212" i="7"/>
  <c r="L9213" i="7"/>
  <c r="L9214" i="7"/>
  <c r="L9215" i="7"/>
  <c r="L9216" i="7"/>
  <c r="L9217" i="7"/>
  <c r="L9218" i="7"/>
  <c r="L9219" i="7"/>
  <c r="L9220" i="7"/>
  <c r="L9221" i="7"/>
  <c r="L9222" i="7"/>
  <c r="L9223" i="7"/>
  <c r="L9224" i="7"/>
  <c r="L9225" i="7"/>
  <c r="L9226" i="7"/>
  <c r="L9227" i="7"/>
  <c r="L9228" i="7"/>
  <c r="L9229" i="7"/>
  <c r="L9230" i="7"/>
  <c r="L9231" i="7"/>
  <c r="L9232" i="7"/>
  <c r="L9233" i="7"/>
  <c r="L9234" i="7"/>
  <c r="L9235" i="7"/>
  <c r="L9236" i="7"/>
  <c r="L9237" i="7"/>
  <c r="L9238" i="7"/>
  <c r="L9239" i="7"/>
  <c r="L9240" i="7"/>
  <c r="L9241" i="7"/>
  <c r="L9242" i="7"/>
  <c r="L9243" i="7"/>
  <c r="L9244" i="7"/>
  <c r="L9245" i="7"/>
  <c r="L9246" i="7"/>
  <c r="L9247" i="7"/>
  <c r="L9248" i="7"/>
  <c r="L9249" i="7"/>
  <c r="L9250" i="7"/>
  <c r="L9251" i="7"/>
  <c r="L9252" i="7"/>
  <c r="L9253" i="7"/>
  <c r="L9254" i="7"/>
  <c r="L9255" i="7"/>
  <c r="L9256" i="7"/>
  <c r="L9257" i="7"/>
  <c r="L9258" i="7"/>
  <c r="L9259" i="7"/>
  <c r="L9260" i="7"/>
  <c r="L9261" i="7"/>
  <c r="L9262" i="7"/>
  <c r="L9263" i="7"/>
  <c r="L9264" i="7"/>
  <c r="L9265" i="7"/>
  <c r="L9266" i="7"/>
  <c r="L9267" i="7"/>
  <c r="L9268" i="7"/>
  <c r="L9269" i="7"/>
  <c r="L9270" i="7"/>
  <c r="L9271" i="7"/>
  <c r="L9272" i="7"/>
  <c r="L9273" i="7"/>
  <c r="L9274" i="7"/>
  <c r="L9275" i="7"/>
  <c r="L9276" i="7"/>
  <c r="L9277" i="7"/>
  <c r="L9278" i="7"/>
  <c r="L9279" i="7"/>
  <c r="L9280" i="7"/>
  <c r="L9281" i="7"/>
  <c r="L9282" i="7"/>
  <c r="L9283" i="7"/>
  <c r="L9284" i="7"/>
  <c r="L9285" i="7"/>
  <c r="L9286" i="7"/>
  <c r="L9287" i="7"/>
  <c r="L9288" i="7"/>
  <c r="L9289" i="7"/>
  <c r="L9290" i="7"/>
  <c r="L9291" i="7"/>
  <c r="L9292" i="7"/>
  <c r="L9293" i="7"/>
  <c r="L9294" i="7"/>
  <c r="L9295" i="7"/>
  <c r="L9296" i="7"/>
  <c r="L9297" i="7"/>
  <c r="L9298" i="7"/>
  <c r="L9299" i="7"/>
  <c r="L9300" i="7"/>
  <c r="L9301" i="7"/>
  <c r="L9302" i="7"/>
  <c r="L9303" i="7"/>
  <c r="L9304" i="7"/>
  <c r="L9305" i="7"/>
  <c r="L9306" i="7"/>
  <c r="L9307" i="7"/>
  <c r="L9308" i="7"/>
  <c r="L9309" i="7"/>
  <c r="L9310" i="7"/>
  <c r="L9311" i="7"/>
  <c r="L9312" i="7"/>
  <c r="L9313" i="7"/>
  <c r="L9314" i="7"/>
  <c r="L9315" i="7"/>
  <c r="L9316" i="7"/>
  <c r="L9317" i="7"/>
  <c r="L9318" i="7"/>
  <c r="L9319" i="7"/>
  <c r="L9320" i="7"/>
  <c r="L9321" i="7"/>
  <c r="L9322" i="7"/>
  <c r="L9323" i="7"/>
  <c r="L9324" i="7"/>
  <c r="L9325" i="7"/>
  <c r="L9326" i="7"/>
  <c r="L9327" i="7"/>
  <c r="L9328" i="7"/>
  <c r="L9329" i="7"/>
  <c r="L9330" i="7"/>
  <c r="L9331" i="7"/>
  <c r="L9332" i="7"/>
  <c r="L9333" i="7"/>
  <c r="L9334" i="7"/>
  <c r="L9335" i="7"/>
  <c r="L9336" i="7"/>
  <c r="L9337" i="7"/>
  <c r="L9338" i="7"/>
  <c r="L9339" i="7"/>
  <c r="L9340" i="7"/>
  <c r="L9341" i="7"/>
  <c r="L9342" i="7"/>
  <c r="L9343" i="7"/>
  <c r="L9344" i="7"/>
  <c r="L9345" i="7"/>
  <c r="L9346" i="7"/>
  <c r="L9347" i="7"/>
  <c r="L9348" i="7"/>
  <c r="L9349" i="7"/>
  <c r="L9350" i="7"/>
  <c r="L9351" i="7"/>
  <c r="L9352" i="7"/>
  <c r="L9353" i="7"/>
  <c r="L9354" i="7"/>
  <c r="L9355" i="7"/>
  <c r="L9356" i="7"/>
  <c r="L9357" i="7"/>
  <c r="L9358" i="7"/>
  <c r="L9359" i="7"/>
  <c r="L9360" i="7"/>
  <c r="L9361" i="7"/>
  <c r="L9362" i="7"/>
  <c r="L9363" i="7"/>
  <c r="L9364" i="7"/>
  <c r="L9365" i="7"/>
  <c r="L9366" i="7"/>
  <c r="L9367" i="7"/>
  <c r="L9368" i="7"/>
  <c r="L9369" i="7"/>
  <c r="L9370" i="7"/>
  <c r="L9371" i="7"/>
  <c r="L9372" i="7"/>
  <c r="L9373" i="7"/>
  <c r="L9374" i="7"/>
  <c r="L9375" i="7"/>
  <c r="L9376" i="7"/>
  <c r="L9377" i="7"/>
  <c r="L9378" i="7"/>
  <c r="L9379" i="7"/>
  <c r="L9380" i="7"/>
  <c r="L9381" i="7"/>
  <c r="L9382" i="7"/>
  <c r="L9383" i="7"/>
  <c r="L9384" i="7"/>
  <c r="L9385" i="7"/>
  <c r="L9386" i="7"/>
  <c r="L9387" i="7"/>
  <c r="L9388" i="7"/>
  <c r="L9389" i="7"/>
  <c r="L9390" i="7"/>
  <c r="L9391" i="7"/>
  <c r="L9392" i="7"/>
  <c r="L9393" i="7"/>
  <c r="L9394" i="7"/>
  <c r="L9395" i="7"/>
  <c r="L9396" i="7"/>
  <c r="L9397" i="7"/>
  <c r="L9398" i="7"/>
  <c r="L9399" i="7"/>
  <c r="L9400" i="7"/>
  <c r="L9401" i="7"/>
  <c r="L9402" i="7"/>
  <c r="L9403" i="7"/>
  <c r="L9404" i="7"/>
  <c r="L9405" i="7"/>
  <c r="L9406" i="7"/>
  <c r="L9407" i="7"/>
  <c r="L9408" i="7"/>
  <c r="L9409" i="7"/>
  <c r="L9410" i="7"/>
  <c r="L9411" i="7"/>
  <c r="L9412" i="7"/>
  <c r="L9413" i="7"/>
  <c r="L9414" i="7"/>
  <c r="L9415" i="7"/>
  <c r="L9416" i="7"/>
  <c r="L9417" i="7"/>
  <c r="L9418" i="7"/>
  <c r="L9419" i="7"/>
  <c r="L9420" i="7"/>
  <c r="L9421" i="7"/>
  <c r="L9422" i="7"/>
  <c r="L9423" i="7"/>
  <c r="L9424" i="7"/>
  <c r="L9425" i="7"/>
  <c r="L9426" i="7"/>
  <c r="L9427" i="7"/>
  <c r="L9428" i="7"/>
  <c r="L9429" i="7"/>
  <c r="L9430" i="7"/>
  <c r="L9431" i="7"/>
  <c r="L9432" i="7"/>
  <c r="L9433" i="7"/>
  <c r="L9434" i="7"/>
  <c r="L9435" i="7"/>
  <c r="L9436" i="7"/>
  <c r="L9437" i="7"/>
  <c r="L9438" i="7"/>
  <c r="L9439" i="7"/>
  <c r="L9440" i="7"/>
  <c r="L9441" i="7"/>
  <c r="L9442" i="7"/>
  <c r="L9443" i="7"/>
  <c r="L9444" i="7"/>
  <c r="L9445" i="7"/>
  <c r="L9446" i="7"/>
  <c r="L9447" i="7"/>
  <c r="L9448" i="7"/>
  <c r="L9449" i="7"/>
  <c r="L9450" i="7"/>
  <c r="L9451" i="7"/>
  <c r="L9452" i="7"/>
  <c r="L9453" i="7"/>
  <c r="L9454" i="7"/>
  <c r="L9455" i="7"/>
  <c r="L9456" i="7"/>
  <c r="L9457" i="7"/>
  <c r="L9458" i="7"/>
  <c r="L9459" i="7"/>
  <c r="L9460" i="7"/>
  <c r="L9461" i="7"/>
  <c r="L9462" i="7"/>
  <c r="L9463" i="7"/>
  <c r="L9464" i="7"/>
  <c r="L9465" i="7"/>
  <c r="K2" i="7"/>
  <c r="K3" i="7"/>
  <c r="K4" i="7"/>
  <c r="K5" i="7"/>
  <c r="K6" i="7"/>
  <c r="K7" i="7"/>
  <c r="K8" i="7"/>
  <c r="K9" i="7"/>
  <c r="K10" i="7"/>
  <c r="K11" i="7"/>
  <c r="K12" i="7"/>
  <c r="K13" i="7"/>
  <c r="K14" i="7"/>
  <c r="K15" i="7"/>
  <c r="K16" i="7"/>
  <c r="K17" i="7"/>
  <c r="K18" i="7"/>
  <c r="K19" i="7"/>
  <c r="K20" i="7"/>
  <c r="K21" i="7"/>
  <c r="K22" i="7"/>
  <c r="K23" i="7"/>
  <c r="K24" i="7"/>
  <c r="K25" i="7"/>
  <c r="K26" i="7"/>
  <c r="K27" i="7"/>
  <c r="K28" i="7"/>
  <c r="K29" i="7"/>
  <c r="K30" i="7"/>
  <c r="K31" i="7"/>
  <c r="K32" i="7"/>
  <c r="K33" i="7"/>
  <c r="K34" i="7"/>
  <c r="K35" i="7"/>
  <c r="K36" i="7"/>
  <c r="K37" i="7"/>
  <c r="K38" i="7"/>
  <c r="K39" i="7"/>
  <c r="K40" i="7"/>
  <c r="K41" i="7"/>
  <c r="K42" i="7"/>
  <c r="K43" i="7"/>
  <c r="K44" i="7"/>
  <c r="K45" i="7"/>
  <c r="K46" i="7"/>
  <c r="K47" i="7"/>
  <c r="K48" i="7"/>
  <c r="K49" i="7"/>
  <c r="K50" i="7"/>
  <c r="K51" i="7"/>
  <c r="K52" i="7"/>
  <c r="K53" i="7"/>
  <c r="K54" i="7"/>
  <c r="K55" i="7"/>
  <c r="K56" i="7"/>
  <c r="K57" i="7"/>
  <c r="K58" i="7"/>
  <c r="K59" i="7"/>
  <c r="K60" i="7"/>
  <c r="K61" i="7"/>
  <c r="K62" i="7"/>
  <c r="K63" i="7"/>
  <c r="K64" i="7"/>
  <c r="K65" i="7"/>
  <c r="K66" i="7"/>
  <c r="K67" i="7"/>
  <c r="K68" i="7"/>
  <c r="K69" i="7"/>
  <c r="K70" i="7"/>
  <c r="K71" i="7"/>
  <c r="K72" i="7"/>
  <c r="K73" i="7"/>
  <c r="K74" i="7"/>
  <c r="K75" i="7"/>
  <c r="K76" i="7"/>
  <c r="K77" i="7"/>
  <c r="K78" i="7"/>
  <c r="K79" i="7"/>
  <c r="K80" i="7"/>
  <c r="K81" i="7"/>
  <c r="K82" i="7"/>
  <c r="K83" i="7"/>
  <c r="K84" i="7"/>
  <c r="K85" i="7"/>
  <c r="K86" i="7"/>
  <c r="K87" i="7"/>
  <c r="K88" i="7"/>
  <c r="K89" i="7"/>
  <c r="K90" i="7"/>
  <c r="K91" i="7"/>
  <c r="K92" i="7"/>
  <c r="K93" i="7"/>
  <c r="K94" i="7"/>
  <c r="K95" i="7"/>
  <c r="K96" i="7"/>
  <c r="K97" i="7"/>
  <c r="K98" i="7"/>
  <c r="K99" i="7"/>
  <c r="K100" i="7"/>
  <c r="K101" i="7"/>
  <c r="K102" i="7"/>
  <c r="K103" i="7"/>
  <c r="K104" i="7"/>
  <c r="K105" i="7"/>
  <c r="K106" i="7"/>
  <c r="K107" i="7"/>
  <c r="K108" i="7"/>
  <c r="K109" i="7"/>
  <c r="K110" i="7"/>
  <c r="K111" i="7"/>
  <c r="K112" i="7"/>
  <c r="K113" i="7"/>
  <c r="K114" i="7"/>
  <c r="K115" i="7"/>
  <c r="K116" i="7"/>
  <c r="K117" i="7"/>
  <c r="K118" i="7"/>
  <c r="K119" i="7"/>
  <c r="K120" i="7"/>
  <c r="K121" i="7"/>
  <c r="K122" i="7"/>
  <c r="K123" i="7"/>
  <c r="K124" i="7"/>
  <c r="K125" i="7"/>
  <c r="K126" i="7"/>
  <c r="K127" i="7"/>
  <c r="K128" i="7"/>
  <c r="K129" i="7"/>
  <c r="K130" i="7"/>
  <c r="K131" i="7"/>
  <c r="K132" i="7"/>
  <c r="K133" i="7"/>
  <c r="K134" i="7"/>
  <c r="K135" i="7"/>
  <c r="K136" i="7"/>
  <c r="K137" i="7"/>
  <c r="K138" i="7"/>
  <c r="K139" i="7"/>
  <c r="K140" i="7"/>
  <c r="K141" i="7"/>
  <c r="K142" i="7"/>
  <c r="K143" i="7"/>
  <c r="K144" i="7"/>
  <c r="K145" i="7"/>
  <c r="K146" i="7"/>
  <c r="K147" i="7"/>
  <c r="K148" i="7"/>
  <c r="K149" i="7"/>
  <c r="K150" i="7"/>
  <c r="K151" i="7"/>
  <c r="K152" i="7"/>
  <c r="K153" i="7"/>
  <c r="K154" i="7"/>
  <c r="K155" i="7"/>
  <c r="K156" i="7"/>
  <c r="K157" i="7"/>
  <c r="K158" i="7"/>
  <c r="K159" i="7"/>
  <c r="K160" i="7"/>
  <c r="K161" i="7"/>
  <c r="K162" i="7"/>
  <c r="K163" i="7"/>
  <c r="K164" i="7"/>
  <c r="K165" i="7"/>
  <c r="K166" i="7"/>
  <c r="K167" i="7"/>
  <c r="K168" i="7"/>
  <c r="K169" i="7"/>
  <c r="K170" i="7"/>
  <c r="K171" i="7"/>
  <c r="K172" i="7"/>
  <c r="K173" i="7"/>
  <c r="K174" i="7"/>
  <c r="K175" i="7"/>
  <c r="K176" i="7"/>
  <c r="K177" i="7"/>
  <c r="K178" i="7"/>
  <c r="K179" i="7"/>
  <c r="K180" i="7"/>
  <c r="K181" i="7"/>
  <c r="K182" i="7"/>
  <c r="K183" i="7"/>
  <c r="K184" i="7"/>
  <c r="K185" i="7"/>
  <c r="K186" i="7"/>
  <c r="K187" i="7"/>
  <c r="K188" i="7"/>
  <c r="K189" i="7"/>
  <c r="K190" i="7"/>
  <c r="K191" i="7"/>
  <c r="K192" i="7"/>
  <c r="K193" i="7"/>
  <c r="K194" i="7"/>
  <c r="K195" i="7"/>
  <c r="K196" i="7"/>
  <c r="K197" i="7"/>
  <c r="K198" i="7"/>
  <c r="K199" i="7"/>
  <c r="K200" i="7"/>
  <c r="K201" i="7"/>
  <c r="K202" i="7"/>
  <c r="K203" i="7"/>
  <c r="K204" i="7"/>
  <c r="K205" i="7"/>
  <c r="K206" i="7"/>
  <c r="K207" i="7"/>
  <c r="K208" i="7"/>
  <c r="K209" i="7"/>
  <c r="K210" i="7"/>
  <c r="K211" i="7"/>
  <c r="K212" i="7"/>
  <c r="K213" i="7"/>
  <c r="K214" i="7"/>
  <c r="K215" i="7"/>
  <c r="K216" i="7"/>
  <c r="K217" i="7"/>
  <c r="K218" i="7"/>
  <c r="K219" i="7"/>
  <c r="K220" i="7"/>
  <c r="K221" i="7"/>
  <c r="K222" i="7"/>
  <c r="K223" i="7"/>
  <c r="K224" i="7"/>
  <c r="K225" i="7"/>
  <c r="K226" i="7"/>
  <c r="K227" i="7"/>
  <c r="K228" i="7"/>
  <c r="K229" i="7"/>
  <c r="K230" i="7"/>
  <c r="K231" i="7"/>
  <c r="K232" i="7"/>
  <c r="K233" i="7"/>
  <c r="K234" i="7"/>
  <c r="K235" i="7"/>
  <c r="K236" i="7"/>
  <c r="K237" i="7"/>
  <c r="K238" i="7"/>
  <c r="K239" i="7"/>
  <c r="K240" i="7"/>
  <c r="K241" i="7"/>
  <c r="K242" i="7"/>
  <c r="K243" i="7"/>
  <c r="K244" i="7"/>
  <c r="K245" i="7"/>
  <c r="K246" i="7"/>
  <c r="K247" i="7"/>
  <c r="K248" i="7"/>
  <c r="K249" i="7"/>
  <c r="K250" i="7"/>
  <c r="K251" i="7"/>
  <c r="K252" i="7"/>
  <c r="K253" i="7"/>
  <c r="K254" i="7"/>
  <c r="K255" i="7"/>
  <c r="K256" i="7"/>
  <c r="K257" i="7"/>
  <c r="K258" i="7"/>
  <c r="K259" i="7"/>
  <c r="K260" i="7"/>
  <c r="K261" i="7"/>
  <c r="K262" i="7"/>
  <c r="K263" i="7"/>
  <c r="K264" i="7"/>
  <c r="K265" i="7"/>
  <c r="K266" i="7"/>
  <c r="K267" i="7"/>
  <c r="K268" i="7"/>
  <c r="K269" i="7"/>
  <c r="K270" i="7"/>
  <c r="K271" i="7"/>
  <c r="K272" i="7"/>
  <c r="K273" i="7"/>
  <c r="K274" i="7"/>
  <c r="K275" i="7"/>
  <c r="K276" i="7"/>
  <c r="K277" i="7"/>
  <c r="K278" i="7"/>
  <c r="K279" i="7"/>
  <c r="K280" i="7"/>
  <c r="K281" i="7"/>
  <c r="K282" i="7"/>
  <c r="K283" i="7"/>
  <c r="K284" i="7"/>
  <c r="K285" i="7"/>
  <c r="K286" i="7"/>
  <c r="K287" i="7"/>
  <c r="K288" i="7"/>
  <c r="K289" i="7"/>
  <c r="K290" i="7"/>
  <c r="K291" i="7"/>
  <c r="K292" i="7"/>
  <c r="K293" i="7"/>
  <c r="K294" i="7"/>
  <c r="K295" i="7"/>
  <c r="K296" i="7"/>
  <c r="K297" i="7"/>
  <c r="K298" i="7"/>
  <c r="K299" i="7"/>
  <c r="K300" i="7"/>
  <c r="K301" i="7"/>
  <c r="K302" i="7"/>
  <c r="K303" i="7"/>
  <c r="K304" i="7"/>
  <c r="K305" i="7"/>
  <c r="K306" i="7"/>
  <c r="K307" i="7"/>
  <c r="K308" i="7"/>
  <c r="K309" i="7"/>
  <c r="K310" i="7"/>
  <c r="K311" i="7"/>
  <c r="K312" i="7"/>
  <c r="K313" i="7"/>
  <c r="K314" i="7"/>
  <c r="K315" i="7"/>
  <c r="K316" i="7"/>
  <c r="K317" i="7"/>
  <c r="K318" i="7"/>
  <c r="K319" i="7"/>
  <c r="K320" i="7"/>
  <c r="K321" i="7"/>
  <c r="K322" i="7"/>
  <c r="K323" i="7"/>
  <c r="K324" i="7"/>
  <c r="K325" i="7"/>
  <c r="K326" i="7"/>
  <c r="K327" i="7"/>
  <c r="K328" i="7"/>
  <c r="K329" i="7"/>
  <c r="K330" i="7"/>
  <c r="K331" i="7"/>
  <c r="K332" i="7"/>
  <c r="K333" i="7"/>
  <c r="K334" i="7"/>
  <c r="K335" i="7"/>
  <c r="K336" i="7"/>
  <c r="K337" i="7"/>
  <c r="K338" i="7"/>
  <c r="K339" i="7"/>
  <c r="K340" i="7"/>
  <c r="K341" i="7"/>
  <c r="K342" i="7"/>
  <c r="K343" i="7"/>
  <c r="K344" i="7"/>
  <c r="K345" i="7"/>
  <c r="K346" i="7"/>
  <c r="K347" i="7"/>
  <c r="K348" i="7"/>
  <c r="K349" i="7"/>
  <c r="K350" i="7"/>
  <c r="K351" i="7"/>
  <c r="K352" i="7"/>
  <c r="K353" i="7"/>
  <c r="K354" i="7"/>
  <c r="K355" i="7"/>
  <c r="K356" i="7"/>
  <c r="K357" i="7"/>
  <c r="K358" i="7"/>
  <c r="K359" i="7"/>
  <c r="K360" i="7"/>
  <c r="K361" i="7"/>
  <c r="K362" i="7"/>
  <c r="K363" i="7"/>
  <c r="K364" i="7"/>
  <c r="K365" i="7"/>
  <c r="K366" i="7"/>
  <c r="K367" i="7"/>
  <c r="K368" i="7"/>
  <c r="K369" i="7"/>
  <c r="K370" i="7"/>
  <c r="K371" i="7"/>
  <c r="K372" i="7"/>
  <c r="K373" i="7"/>
  <c r="K374" i="7"/>
  <c r="K375" i="7"/>
  <c r="K376" i="7"/>
  <c r="K377" i="7"/>
  <c r="K378" i="7"/>
  <c r="K379" i="7"/>
  <c r="K380" i="7"/>
  <c r="K381" i="7"/>
  <c r="K382" i="7"/>
  <c r="K383" i="7"/>
  <c r="K384" i="7"/>
  <c r="K385" i="7"/>
  <c r="K386" i="7"/>
  <c r="K387" i="7"/>
  <c r="K388" i="7"/>
  <c r="K389" i="7"/>
  <c r="K390" i="7"/>
  <c r="K391" i="7"/>
  <c r="K392" i="7"/>
  <c r="K393" i="7"/>
  <c r="K394" i="7"/>
  <c r="K395" i="7"/>
  <c r="K396" i="7"/>
  <c r="K397" i="7"/>
  <c r="K398" i="7"/>
  <c r="K399" i="7"/>
  <c r="K400" i="7"/>
  <c r="K401" i="7"/>
  <c r="K402" i="7"/>
  <c r="K403" i="7"/>
  <c r="K404" i="7"/>
  <c r="K405" i="7"/>
  <c r="K406" i="7"/>
  <c r="K407" i="7"/>
  <c r="K408" i="7"/>
  <c r="K409" i="7"/>
  <c r="K410" i="7"/>
  <c r="K411" i="7"/>
  <c r="K412" i="7"/>
  <c r="K413" i="7"/>
  <c r="K414" i="7"/>
  <c r="K415" i="7"/>
  <c r="K416" i="7"/>
  <c r="K417" i="7"/>
  <c r="K418" i="7"/>
  <c r="K419" i="7"/>
  <c r="K420" i="7"/>
  <c r="K421" i="7"/>
  <c r="K422" i="7"/>
  <c r="K423" i="7"/>
  <c r="K424" i="7"/>
  <c r="K425" i="7"/>
  <c r="K426" i="7"/>
  <c r="K427" i="7"/>
  <c r="K428" i="7"/>
  <c r="K429" i="7"/>
  <c r="K430" i="7"/>
  <c r="K431" i="7"/>
  <c r="K432" i="7"/>
  <c r="K433" i="7"/>
  <c r="K434" i="7"/>
  <c r="K435" i="7"/>
  <c r="K436" i="7"/>
  <c r="K437" i="7"/>
  <c r="K438" i="7"/>
  <c r="K439" i="7"/>
  <c r="K440" i="7"/>
  <c r="K441" i="7"/>
  <c r="K442" i="7"/>
  <c r="K443" i="7"/>
  <c r="K444" i="7"/>
  <c r="K445" i="7"/>
  <c r="K446" i="7"/>
  <c r="K447" i="7"/>
  <c r="K448" i="7"/>
  <c r="K449" i="7"/>
  <c r="K450" i="7"/>
  <c r="K451" i="7"/>
  <c r="K452" i="7"/>
  <c r="K453" i="7"/>
  <c r="K454" i="7"/>
  <c r="K455" i="7"/>
  <c r="K456" i="7"/>
  <c r="K457" i="7"/>
  <c r="K458" i="7"/>
  <c r="K459" i="7"/>
  <c r="K460" i="7"/>
  <c r="K461" i="7"/>
  <c r="K462" i="7"/>
  <c r="K463" i="7"/>
  <c r="K464" i="7"/>
  <c r="K465" i="7"/>
  <c r="K466" i="7"/>
  <c r="K467" i="7"/>
  <c r="K468" i="7"/>
  <c r="K469" i="7"/>
  <c r="K470" i="7"/>
  <c r="K471" i="7"/>
  <c r="K472" i="7"/>
  <c r="K473" i="7"/>
  <c r="K474" i="7"/>
  <c r="K475" i="7"/>
  <c r="K476" i="7"/>
  <c r="K477" i="7"/>
  <c r="K478" i="7"/>
  <c r="K479" i="7"/>
  <c r="K480" i="7"/>
  <c r="K481" i="7"/>
  <c r="K482" i="7"/>
  <c r="K483" i="7"/>
  <c r="K484" i="7"/>
  <c r="K485" i="7"/>
  <c r="K486" i="7"/>
  <c r="K487" i="7"/>
  <c r="K488" i="7"/>
  <c r="K489" i="7"/>
  <c r="K490" i="7"/>
  <c r="K491" i="7"/>
  <c r="K492" i="7"/>
  <c r="K493" i="7"/>
  <c r="K494" i="7"/>
  <c r="K495" i="7"/>
  <c r="K496" i="7"/>
  <c r="K497" i="7"/>
  <c r="K498" i="7"/>
  <c r="K499" i="7"/>
  <c r="K500" i="7"/>
  <c r="K501" i="7"/>
  <c r="K502" i="7"/>
  <c r="K503" i="7"/>
  <c r="K504" i="7"/>
  <c r="K505" i="7"/>
  <c r="K506" i="7"/>
  <c r="K507" i="7"/>
  <c r="K508" i="7"/>
  <c r="K509" i="7"/>
  <c r="K510" i="7"/>
  <c r="K511" i="7"/>
  <c r="K512" i="7"/>
  <c r="K513" i="7"/>
  <c r="K514" i="7"/>
  <c r="K515" i="7"/>
  <c r="K516" i="7"/>
  <c r="K517" i="7"/>
  <c r="K518" i="7"/>
  <c r="K519" i="7"/>
  <c r="K520" i="7"/>
  <c r="K521" i="7"/>
  <c r="K522" i="7"/>
  <c r="K523" i="7"/>
  <c r="K524" i="7"/>
  <c r="K525" i="7"/>
  <c r="K526" i="7"/>
  <c r="K527" i="7"/>
  <c r="K528" i="7"/>
  <c r="K529" i="7"/>
  <c r="K530" i="7"/>
  <c r="K531" i="7"/>
  <c r="K532" i="7"/>
  <c r="K533" i="7"/>
  <c r="K534" i="7"/>
  <c r="K535" i="7"/>
  <c r="K536" i="7"/>
  <c r="K537" i="7"/>
  <c r="K538" i="7"/>
  <c r="K539" i="7"/>
  <c r="K540" i="7"/>
  <c r="K541" i="7"/>
  <c r="K542" i="7"/>
  <c r="K543" i="7"/>
  <c r="K544" i="7"/>
  <c r="K545" i="7"/>
  <c r="K546" i="7"/>
  <c r="K547" i="7"/>
  <c r="K548" i="7"/>
  <c r="K549" i="7"/>
  <c r="K550" i="7"/>
  <c r="K551" i="7"/>
  <c r="K552" i="7"/>
  <c r="K553" i="7"/>
  <c r="K554" i="7"/>
  <c r="K555" i="7"/>
  <c r="K556" i="7"/>
  <c r="K557" i="7"/>
  <c r="K558" i="7"/>
  <c r="K559" i="7"/>
  <c r="K560" i="7"/>
  <c r="K561" i="7"/>
  <c r="K562" i="7"/>
  <c r="K563" i="7"/>
  <c r="K564" i="7"/>
  <c r="K565" i="7"/>
  <c r="K566" i="7"/>
  <c r="K567" i="7"/>
  <c r="K568" i="7"/>
  <c r="K569" i="7"/>
  <c r="K570" i="7"/>
  <c r="K571" i="7"/>
  <c r="K572" i="7"/>
  <c r="K573" i="7"/>
  <c r="K574" i="7"/>
  <c r="K575" i="7"/>
  <c r="K576" i="7"/>
  <c r="K577" i="7"/>
  <c r="K578" i="7"/>
  <c r="K579" i="7"/>
  <c r="K580" i="7"/>
  <c r="K581" i="7"/>
  <c r="K582" i="7"/>
  <c r="K583" i="7"/>
  <c r="K584" i="7"/>
  <c r="K585" i="7"/>
  <c r="K586" i="7"/>
  <c r="K587" i="7"/>
  <c r="K588" i="7"/>
  <c r="K589" i="7"/>
  <c r="K590" i="7"/>
  <c r="K591" i="7"/>
  <c r="K592" i="7"/>
  <c r="K593" i="7"/>
  <c r="K594" i="7"/>
  <c r="K595" i="7"/>
  <c r="K596" i="7"/>
  <c r="K597" i="7"/>
  <c r="K598" i="7"/>
  <c r="K599" i="7"/>
  <c r="K600" i="7"/>
  <c r="K601" i="7"/>
  <c r="K602" i="7"/>
  <c r="K603" i="7"/>
  <c r="K604" i="7"/>
  <c r="K605" i="7"/>
  <c r="K606" i="7"/>
  <c r="K607" i="7"/>
  <c r="K608" i="7"/>
  <c r="K609" i="7"/>
  <c r="K610" i="7"/>
  <c r="K611" i="7"/>
  <c r="K612" i="7"/>
  <c r="K613" i="7"/>
  <c r="K614" i="7"/>
  <c r="K615" i="7"/>
  <c r="K616" i="7"/>
  <c r="K617" i="7"/>
  <c r="K618" i="7"/>
  <c r="K619" i="7"/>
  <c r="K620" i="7"/>
  <c r="K621" i="7"/>
  <c r="K622" i="7"/>
  <c r="K623" i="7"/>
  <c r="K624" i="7"/>
  <c r="K625" i="7"/>
  <c r="K626" i="7"/>
  <c r="K627" i="7"/>
  <c r="K628" i="7"/>
  <c r="K629" i="7"/>
  <c r="K630" i="7"/>
  <c r="K631" i="7"/>
  <c r="K632" i="7"/>
  <c r="K633" i="7"/>
  <c r="K634" i="7"/>
  <c r="K635" i="7"/>
  <c r="K636" i="7"/>
  <c r="K637" i="7"/>
  <c r="K638" i="7"/>
  <c r="K639" i="7"/>
  <c r="K640" i="7"/>
  <c r="K641" i="7"/>
  <c r="K642" i="7"/>
  <c r="K643" i="7"/>
  <c r="K644" i="7"/>
  <c r="K645" i="7"/>
  <c r="K646" i="7"/>
  <c r="K647" i="7"/>
  <c r="K648" i="7"/>
  <c r="K649" i="7"/>
  <c r="K650" i="7"/>
  <c r="K651" i="7"/>
  <c r="K652" i="7"/>
  <c r="K653" i="7"/>
  <c r="K654" i="7"/>
  <c r="K655" i="7"/>
  <c r="K656" i="7"/>
  <c r="K657" i="7"/>
  <c r="K658" i="7"/>
  <c r="K659" i="7"/>
  <c r="K660" i="7"/>
  <c r="K661" i="7"/>
  <c r="K662" i="7"/>
  <c r="K663" i="7"/>
  <c r="K664" i="7"/>
  <c r="K665" i="7"/>
  <c r="K666" i="7"/>
  <c r="K667" i="7"/>
  <c r="K668" i="7"/>
  <c r="K669" i="7"/>
  <c r="K670" i="7"/>
  <c r="K671" i="7"/>
  <c r="K672" i="7"/>
  <c r="K673" i="7"/>
  <c r="K674" i="7"/>
  <c r="K675" i="7"/>
  <c r="K676" i="7"/>
  <c r="K677" i="7"/>
  <c r="K678" i="7"/>
  <c r="K679" i="7"/>
  <c r="K680" i="7"/>
  <c r="K681" i="7"/>
  <c r="K682" i="7"/>
  <c r="K683" i="7"/>
  <c r="K684" i="7"/>
  <c r="K685" i="7"/>
  <c r="K686" i="7"/>
  <c r="K687" i="7"/>
  <c r="K688" i="7"/>
  <c r="K689" i="7"/>
  <c r="K690" i="7"/>
  <c r="K691" i="7"/>
  <c r="K692" i="7"/>
  <c r="K693" i="7"/>
  <c r="K694" i="7"/>
  <c r="K695" i="7"/>
  <c r="K696" i="7"/>
  <c r="K697" i="7"/>
  <c r="K698" i="7"/>
  <c r="K699" i="7"/>
  <c r="K700" i="7"/>
  <c r="K701" i="7"/>
  <c r="K702" i="7"/>
  <c r="K703" i="7"/>
  <c r="K704" i="7"/>
  <c r="K705" i="7"/>
  <c r="K706" i="7"/>
  <c r="K707" i="7"/>
  <c r="K708" i="7"/>
  <c r="K709" i="7"/>
  <c r="K710" i="7"/>
  <c r="K711" i="7"/>
  <c r="K712" i="7"/>
  <c r="K713" i="7"/>
  <c r="K714" i="7"/>
  <c r="K715" i="7"/>
  <c r="K716" i="7"/>
  <c r="K717" i="7"/>
  <c r="K718" i="7"/>
  <c r="K719" i="7"/>
  <c r="K720" i="7"/>
  <c r="K721" i="7"/>
  <c r="K722" i="7"/>
  <c r="K723" i="7"/>
  <c r="K724" i="7"/>
  <c r="K725" i="7"/>
  <c r="K726" i="7"/>
  <c r="K727" i="7"/>
  <c r="K728" i="7"/>
  <c r="K729" i="7"/>
  <c r="K730" i="7"/>
  <c r="K731" i="7"/>
  <c r="K732" i="7"/>
  <c r="K733" i="7"/>
  <c r="K734" i="7"/>
  <c r="K735" i="7"/>
  <c r="K736" i="7"/>
  <c r="K737" i="7"/>
  <c r="K738" i="7"/>
  <c r="K739" i="7"/>
  <c r="K740" i="7"/>
  <c r="K741" i="7"/>
  <c r="K742" i="7"/>
  <c r="K743" i="7"/>
  <c r="K744" i="7"/>
  <c r="K745" i="7"/>
  <c r="K746" i="7"/>
  <c r="K747" i="7"/>
  <c r="K748" i="7"/>
  <c r="K749" i="7"/>
  <c r="K750" i="7"/>
  <c r="K751" i="7"/>
  <c r="K752" i="7"/>
  <c r="K753" i="7"/>
  <c r="K754" i="7"/>
  <c r="K755" i="7"/>
  <c r="K756" i="7"/>
  <c r="K757" i="7"/>
  <c r="K758" i="7"/>
  <c r="K759" i="7"/>
  <c r="K760" i="7"/>
  <c r="K761" i="7"/>
  <c r="K762" i="7"/>
  <c r="K763" i="7"/>
  <c r="K764" i="7"/>
  <c r="K765" i="7"/>
  <c r="K766" i="7"/>
  <c r="K767" i="7"/>
  <c r="K768" i="7"/>
  <c r="K769" i="7"/>
  <c r="K770" i="7"/>
  <c r="K771" i="7"/>
  <c r="K772" i="7"/>
  <c r="K773" i="7"/>
  <c r="K774" i="7"/>
  <c r="K775" i="7"/>
  <c r="K776" i="7"/>
  <c r="K777" i="7"/>
  <c r="K778" i="7"/>
  <c r="K779" i="7"/>
  <c r="K780" i="7"/>
  <c r="K781" i="7"/>
  <c r="K782" i="7"/>
  <c r="K783" i="7"/>
  <c r="K784" i="7"/>
  <c r="K785" i="7"/>
  <c r="K786" i="7"/>
  <c r="K787" i="7"/>
  <c r="K788" i="7"/>
  <c r="K789" i="7"/>
  <c r="K790" i="7"/>
  <c r="K791" i="7"/>
  <c r="K792" i="7"/>
  <c r="K793" i="7"/>
  <c r="K794" i="7"/>
  <c r="K795" i="7"/>
  <c r="K796" i="7"/>
  <c r="K797" i="7"/>
  <c r="K798" i="7"/>
  <c r="K799" i="7"/>
  <c r="K800" i="7"/>
  <c r="K801" i="7"/>
  <c r="K802" i="7"/>
  <c r="K803" i="7"/>
  <c r="K804" i="7"/>
  <c r="K805" i="7"/>
  <c r="K806" i="7"/>
  <c r="K807" i="7"/>
  <c r="K808" i="7"/>
  <c r="K809" i="7"/>
  <c r="K810" i="7"/>
  <c r="K811" i="7"/>
  <c r="K812" i="7"/>
  <c r="K813" i="7"/>
  <c r="K814" i="7"/>
  <c r="K815" i="7"/>
  <c r="K816" i="7"/>
  <c r="K817" i="7"/>
  <c r="K818" i="7"/>
  <c r="K819" i="7"/>
  <c r="K820" i="7"/>
  <c r="K821" i="7"/>
  <c r="K822" i="7"/>
  <c r="K823" i="7"/>
  <c r="K824" i="7"/>
  <c r="K825" i="7"/>
  <c r="K826" i="7"/>
  <c r="K827" i="7"/>
  <c r="K828" i="7"/>
  <c r="K829" i="7"/>
  <c r="K830" i="7"/>
  <c r="K831" i="7"/>
  <c r="K832" i="7"/>
  <c r="K833" i="7"/>
  <c r="K834" i="7"/>
  <c r="K835" i="7"/>
  <c r="K836" i="7"/>
  <c r="K837" i="7"/>
  <c r="K838" i="7"/>
  <c r="K839" i="7"/>
  <c r="K840" i="7"/>
  <c r="K841" i="7"/>
  <c r="K842" i="7"/>
  <c r="K843" i="7"/>
  <c r="K844" i="7"/>
  <c r="K845" i="7"/>
  <c r="K846" i="7"/>
  <c r="K847" i="7"/>
  <c r="K848" i="7"/>
  <c r="K849" i="7"/>
  <c r="K850" i="7"/>
  <c r="K851" i="7"/>
  <c r="K852" i="7"/>
  <c r="K853" i="7"/>
  <c r="K854" i="7"/>
  <c r="K855" i="7"/>
  <c r="K856" i="7"/>
  <c r="K857" i="7"/>
  <c r="K858" i="7"/>
  <c r="K859" i="7"/>
  <c r="K860" i="7"/>
  <c r="K861" i="7"/>
  <c r="K862" i="7"/>
  <c r="K863" i="7"/>
  <c r="K864" i="7"/>
  <c r="K865" i="7"/>
  <c r="K866" i="7"/>
  <c r="K867" i="7"/>
  <c r="K868" i="7"/>
  <c r="K869" i="7"/>
  <c r="K870" i="7"/>
  <c r="K871" i="7"/>
  <c r="K872" i="7"/>
  <c r="K873" i="7"/>
  <c r="K874" i="7"/>
  <c r="K875" i="7"/>
  <c r="K876" i="7"/>
  <c r="K877" i="7"/>
  <c r="K878" i="7"/>
  <c r="K879" i="7"/>
  <c r="K880" i="7"/>
  <c r="K881" i="7"/>
  <c r="K882" i="7"/>
  <c r="K883" i="7"/>
  <c r="K884" i="7"/>
  <c r="K885" i="7"/>
  <c r="K886" i="7"/>
  <c r="K887" i="7"/>
  <c r="K888" i="7"/>
  <c r="K889" i="7"/>
  <c r="K890" i="7"/>
  <c r="K891" i="7"/>
  <c r="K892" i="7"/>
  <c r="K893" i="7"/>
  <c r="K894" i="7"/>
  <c r="K895" i="7"/>
  <c r="K896" i="7"/>
  <c r="K897" i="7"/>
  <c r="K898" i="7"/>
  <c r="K899" i="7"/>
  <c r="K900" i="7"/>
  <c r="K901" i="7"/>
  <c r="K902" i="7"/>
  <c r="K903" i="7"/>
  <c r="K904" i="7"/>
  <c r="K905" i="7"/>
  <c r="K906" i="7"/>
  <c r="K907" i="7"/>
  <c r="K908" i="7"/>
  <c r="K909" i="7"/>
  <c r="K910" i="7"/>
  <c r="K911" i="7"/>
  <c r="K912" i="7"/>
  <c r="K913" i="7"/>
  <c r="K914" i="7"/>
  <c r="K915" i="7"/>
  <c r="K916" i="7"/>
  <c r="K917" i="7"/>
  <c r="K918" i="7"/>
  <c r="K919" i="7"/>
  <c r="K920" i="7"/>
  <c r="K921" i="7"/>
  <c r="K922" i="7"/>
  <c r="K923" i="7"/>
  <c r="K924" i="7"/>
  <c r="K925" i="7"/>
  <c r="K926" i="7"/>
  <c r="K927" i="7"/>
  <c r="K928" i="7"/>
  <c r="K929" i="7"/>
  <c r="K930" i="7"/>
  <c r="K931" i="7"/>
  <c r="K932" i="7"/>
  <c r="K933" i="7"/>
  <c r="K934" i="7"/>
  <c r="K935" i="7"/>
  <c r="K936" i="7"/>
  <c r="K937" i="7"/>
  <c r="K938" i="7"/>
  <c r="K939" i="7"/>
  <c r="K940" i="7"/>
  <c r="K941" i="7"/>
  <c r="K942" i="7"/>
  <c r="K943" i="7"/>
  <c r="K944" i="7"/>
  <c r="K945" i="7"/>
  <c r="K946" i="7"/>
  <c r="K947" i="7"/>
  <c r="K948" i="7"/>
  <c r="K949" i="7"/>
  <c r="K950" i="7"/>
  <c r="K951" i="7"/>
  <c r="K952" i="7"/>
  <c r="K953" i="7"/>
  <c r="K954" i="7"/>
  <c r="K955" i="7"/>
  <c r="K956" i="7"/>
  <c r="K957" i="7"/>
  <c r="K958" i="7"/>
  <c r="K959" i="7"/>
  <c r="K960" i="7"/>
  <c r="K961" i="7"/>
  <c r="K962" i="7"/>
  <c r="K963" i="7"/>
  <c r="K964" i="7"/>
  <c r="K965" i="7"/>
  <c r="K966" i="7"/>
  <c r="K967" i="7"/>
  <c r="K968" i="7"/>
  <c r="K969" i="7"/>
  <c r="K970" i="7"/>
  <c r="K971" i="7"/>
  <c r="K972" i="7"/>
  <c r="K973" i="7"/>
  <c r="K974" i="7"/>
  <c r="K975" i="7"/>
  <c r="K976" i="7"/>
  <c r="K977" i="7"/>
  <c r="K978" i="7"/>
  <c r="K979" i="7"/>
  <c r="K980" i="7"/>
  <c r="K981" i="7"/>
  <c r="K982" i="7"/>
  <c r="K983" i="7"/>
  <c r="K984" i="7"/>
  <c r="K985" i="7"/>
  <c r="K986" i="7"/>
  <c r="K987" i="7"/>
  <c r="K988" i="7"/>
  <c r="K989" i="7"/>
  <c r="K990" i="7"/>
  <c r="K991" i="7"/>
  <c r="K992" i="7"/>
  <c r="K993" i="7"/>
  <c r="K994" i="7"/>
  <c r="K995" i="7"/>
  <c r="K996" i="7"/>
  <c r="K997" i="7"/>
  <c r="K998" i="7"/>
  <c r="K999" i="7"/>
  <c r="K1000" i="7"/>
  <c r="K1001" i="7"/>
  <c r="K1002" i="7"/>
  <c r="K1003" i="7"/>
  <c r="K1004" i="7"/>
  <c r="K1005" i="7"/>
  <c r="K1006" i="7"/>
  <c r="K1007" i="7"/>
  <c r="K1008" i="7"/>
  <c r="K1009" i="7"/>
  <c r="K1010" i="7"/>
  <c r="K1011" i="7"/>
  <c r="K1012" i="7"/>
  <c r="K1013" i="7"/>
  <c r="K1014" i="7"/>
  <c r="K1015" i="7"/>
  <c r="K1016" i="7"/>
  <c r="K1017" i="7"/>
  <c r="K1018" i="7"/>
  <c r="K1019" i="7"/>
  <c r="K1020" i="7"/>
  <c r="K1021" i="7"/>
  <c r="K1022" i="7"/>
  <c r="K1023" i="7"/>
  <c r="K1024" i="7"/>
  <c r="K1025" i="7"/>
  <c r="K1026" i="7"/>
  <c r="K1027" i="7"/>
  <c r="K1028" i="7"/>
  <c r="K1029" i="7"/>
  <c r="K1030" i="7"/>
  <c r="K1031" i="7"/>
  <c r="K1032" i="7"/>
  <c r="K1033" i="7"/>
  <c r="K1034" i="7"/>
  <c r="K1035" i="7"/>
  <c r="K1036" i="7"/>
  <c r="K1037" i="7"/>
  <c r="K1038" i="7"/>
  <c r="K1039" i="7"/>
  <c r="K1040" i="7"/>
  <c r="K1041" i="7"/>
  <c r="K1042" i="7"/>
  <c r="K1043" i="7"/>
  <c r="K1044" i="7"/>
  <c r="K1045" i="7"/>
  <c r="K1046" i="7"/>
  <c r="K1047" i="7"/>
  <c r="K1048" i="7"/>
  <c r="K1049" i="7"/>
  <c r="K1050" i="7"/>
  <c r="K1051" i="7"/>
  <c r="K1052" i="7"/>
  <c r="K1053" i="7"/>
  <c r="K1054" i="7"/>
  <c r="K1055" i="7"/>
  <c r="K1056" i="7"/>
  <c r="K1057" i="7"/>
  <c r="K1058" i="7"/>
  <c r="K1059" i="7"/>
  <c r="K1060" i="7"/>
  <c r="K1061" i="7"/>
  <c r="K1062" i="7"/>
  <c r="K1063" i="7"/>
  <c r="K1064" i="7"/>
  <c r="K1065" i="7"/>
  <c r="K1066" i="7"/>
  <c r="K1067" i="7"/>
  <c r="K1068" i="7"/>
  <c r="K1069" i="7"/>
  <c r="K1070" i="7"/>
  <c r="K1071" i="7"/>
  <c r="K1072" i="7"/>
  <c r="K1073" i="7"/>
  <c r="K1074" i="7"/>
  <c r="K1075" i="7"/>
  <c r="K1076" i="7"/>
  <c r="K1077" i="7"/>
  <c r="K1078" i="7"/>
  <c r="K1079" i="7"/>
  <c r="K1080" i="7"/>
  <c r="K1081" i="7"/>
  <c r="K1082" i="7"/>
  <c r="K1083" i="7"/>
  <c r="K1084" i="7"/>
  <c r="K1085" i="7"/>
  <c r="K1086" i="7"/>
  <c r="K1087" i="7"/>
  <c r="K1088" i="7"/>
  <c r="K1089" i="7"/>
  <c r="K1090" i="7"/>
  <c r="K1091" i="7"/>
  <c r="K1092" i="7"/>
  <c r="K1093" i="7"/>
  <c r="K1094" i="7"/>
  <c r="K1095" i="7"/>
  <c r="K1096" i="7"/>
  <c r="K1097" i="7"/>
  <c r="K1098" i="7"/>
  <c r="K1099" i="7"/>
  <c r="K1100" i="7"/>
  <c r="K1101" i="7"/>
  <c r="K1102" i="7"/>
  <c r="K1103" i="7"/>
  <c r="K1104" i="7"/>
  <c r="K1105" i="7"/>
  <c r="K1106" i="7"/>
  <c r="K1107" i="7"/>
  <c r="K1108" i="7"/>
  <c r="K1109" i="7"/>
  <c r="K1110" i="7"/>
  <c r="K1111" i="7"/>
  <c r="K1112" i="7"/>
  <c r="K1113" i="7"/>
  <c r="K1114" i="7"/>
  <c r="K1115" i="7"/>
  <c r="K1116" i="7"/>
  <c r="K1117" i="7"/>
  <c r="K1118" i="7"/>
  <c r="K1119" i="7"/>
  <c r="K1120" i="7"/>
  <c r="K1121" i="7"/>
  <c r="K1122" i="7"/>
  <c r="K1123" i="7"/>
  <c r="K1124" i="7"/>
  <c r="K1125" i="7"/>
  <c r="K1126" i="7"/>
  <c r="K1127" i="7"/>
  <c r="K1128" i="7"/>
  <c r="K1129" i="7"/>
  <c r="K1130" i="7"/>
  <c r="K1131" i="7"/>
  <c r="K1132" i="7"/>
  <c r="K1133" i="7"/>
  <c r="K1134" i="7"/>
  <c r="K1135" i="7"/>
  <c r="K1136" i="7"/>
  <c r="K1137" i="7"/>
  <c r="K1138" i="7"/>
  <c r="K1139" i="7"/>
  <c r="K1140" i="7"/>
  <c r="K1141" i="7"/>
  <c r="K1142" i="7"/>
  <c r="K1143" i="7"/>
  <c r="K1144" i="7"/>
  <c r="K1145" i="7"/>
  <c r="K1146" i="7"/>
  <c r="K1147" i="7"/>
  <c r="K1148" i="7"/>
  <c r="K1149" i="7"/>
  <c r="K1150" i="7"/>
  <c r="K1151" i="7"/>
  <c r="K1152" i="7"/>
  <c r="K1153" i="7"/>
  <c r="K1154" i="7"/>
  <c r="K1155" i="7"/>
  <c r="K1156" i="7"/>
  <c r="K1157" i="7"/>
  <c r="K1158" i="7"/>
  <c r="K1159" i="7"/>
  <c r="K1160" i="7"/>
  <c r="K1161" i="7"/>
  <c r="K1162" i="7"/>
  <c r="K1163" i="7"/>
  <c r="K1164" i="7"/>
  <c r="K1165" i="7"/>
  <c r="K1166" i="7"/>
  <c r="K1167" i="7"/>
  <c r="K1168" i="7"/>
  <c r="K1169" i="7"/>
  <c r="K1170" i="7"/>
  <c r="K1171" i="7"/>
  <c r="K1172" i="7"/>
  <c r="K1173" i="7"/>
  <c r="K1174" i="7"/>
  <c r="K1175" i="7"/>
  <c r="K1176" i="7"/>
  <c r="K1177" i="7"/>
  <c r="K1178" i="7"/>
  <c r="K1179" i="7"/>
  <c r="K1180" i="7"/>
  <c r="K1181" i="7"/>
  <c r="K1182" i="7"/>
  <c r="K1183" i="7"/>
  <c r="K1184" i="7"/>
  <c r="K1185" i="7"/>
  <c r="K1186" i="7"/>
  <c r="K1187" i="7"/>
  <c r="K1188" i="7"/>
  <c r="K1189" i="7"/>
  <c r="K1190" i="7"/>
  <c r="K1191" i="7"/>
  <c r="K1192" i="7"/>
  <c r="K1193" i="7"/>
  <c r="K1194" i="7"/>
  <c r="K1195" i="7"/>
  <c r="K1196" i="7"/>
  <c r="K1197" i="7"/>
  <c r="K1198" i="7"/>
  <c r="K1199" i="7"/>
  <c r="K1200" i="7"/>
  <c r="K1201" i="7"/>
  <c r="K1202" i="7"/>
  <c r="K1203" i="7"/>
  <c r="K1204" i="7"/>
  <c r="K1205" i="7"/>
  <c r="K1206" i="7"/>
  <c r="K1207" i="7"/>
  <c r="K1208" i="7"/>
  <c r="K1209" i="7"/>
  <c r="K1210" i="7"/>
  <c r="K1211" i="7"/>
  <c r="K1212" i="7"/>
  <c r="K1213" i="7"/>
  <c r="K1214" i="7"/>
  <c r="K1215" i="7"/>
  <c r="K1216" i="7"/>
  <c r="K1217" i="7"/>
  <c r="K1218" i="7"/>
  <c r="K1219" i="7"/>
  <c r="K1220" i="7"/>
  <c r="K1221" i="7"/>
  <c r="K1222" i="7"/>
  <c r="K1223" i="7"/>
  <c r="K1224" i="7"/>
  <c r="K1225" i="7"/>
  <c r="K1226" i="7"/>
  <c r="K1227" i="7"/>
  <c r="K1228" i="7"/>
  <c r="K1229" i="7"/>
  <c r="K1230" i="7"/>
  <c r="K1231" i="7"/>
  <c r="K1232" i="7"/>
  <c r="K1233" i="7"/>
  <c r="K1234" i="7"/>
  <c r="K1235" i="7"/>
  <c r="K1236" i="7"/>
  <c r="K1237" i="7"/>
  <c r="K1238" i="7"/>
  <c r="K1239" i="7"/>
  <c r="K1240" i="7"/>
  <c r="K1241" i="7"/>
  <c r="K1242" i="7"/>
  <c r="K1243" i="7"/>
  <c r="K1244" i="7"/>
  <c r="K1245" i="7"/>
  <c r="K1246" i="7"/>
  <c r="K1247" i="7"/>
  <c r="K1248" i="7"/>
  <c r="K1249" i="7"/>
  <c r="K1250" i="7"/>
  <c r="K1251" i="7"/>
  <c r="K1252" i="7"/>
  <c r="K1253" i="7"/>
  <c r="K1254" i="7"/>
  <c r="K1255" i="7"/>
  <c r="K1256" i="7"/>
  <c r="K1257" i="7"/>
  <c r="K1258" i="7"/>
  <c r="K1259" i="7"/>
  <c r="K1260" i="7"/>
  <c r="K1261" i="7"/>
  <c r="K1262" i="7"/>
  <c r="K1263" i="7"/>
  <c r="K1264" i="7"/>
  <c r="K1265" i="7"/>
  <c r="K1266" i="7"/>
  <c r="K1267" i="7"/>
  <c r="K1268" i="7"/>
  <c r="K1269" i="7"/>
  <c r="K1270" i="7"/>
  <c r="K1271" i="7"/>
  <c r="K1272" i="7"/>
  <c r="K1273" i="7"/>
  <c r="K1274" i="7"/>
  <c r="K1275" i="7"/>
  <c r="K1276" i="7"/>
  <c r="K1277" i="7"/>
  <c r="K1278" i="7"/>
  <c r="K1279" i="7"/>
  <c r="K1280" i="7"/>
  <c r="K1281" i="7"/>
  <c r="K1282" i="7"/>
  <c r="K1283" i="7"/>
  <c r="K1284" i="7"/>
  <c r="K1285" i="7"/>
  <c r="K1286" i="7"/>
  <c r="K1287" i="7"/>
  <c r="K1288" i="7"/>
  <c r="K1289" i="7"/>
  <c r="K1290" i="7"/>
  <c r="K1291" i="7"/>
  <c r="K1292" i="7"/>
  <c r="K1293" i="7"/>
  <c r="K1294" i="7"/>
  <c r="K1295" i="7"/>
  <c r="K1296" i="7"/>
  <c r="K1297" i="7"/>
  <c r="K1298" i="7"/>
  <c r="K1299" i="7"/>
  <c r="K1300" i="7"/>
  <c r="K1301" i="7"/>
  <c r="K1302" i="7"/>
  <c r="K1303" i="7"/>
  <c r="K1304" i="7"/>
  <c r="K1305" i="7"/>
  <c r="K1306" i="7"/>
  <c r="K1307" i="7"/>
  <c r="K1308" i="7"/>
  <c r="K1309" i="7"/>
  <c r="K1310" i="7"/>
  <c r="K1311" i="7"/>
  <c r="K1312" i="7"/>
  <c r="K1313" i="7"/>
  <c r="K1314" i="7"/>
  <c r="K1315" i="7"/>
  <c r="K1316" i="7"/>
  <c r="K1317" i="7"/>
  <c r="K1318" i="7"/>
  <c r="K1319" i="7"/>
  <c r="K1320" i="7"/>
  <c r="K1321" i="7"/>
  <c r="K1322" i="7"/>
  <c r="K1323" i="7"/>
  <c r="K1324" i="7"/>
  <c r="K1325" i="7"/>
  <c r="K1326" i="7"/>
  <c r="K1327" i="7"/>
  <c r="K1328" i="7"/>
  <c r="K1329" i="7"/>
  <c r="K1330" i="7"/>
  <c r="K1331" i="7"/>
  <c r="K1332" i="7"/>
  <c r="K1333" i="7"/>
  <c r="K1334" i="7"/>
  <c r="K1335" i="7"/>
  <c r="K1336" i="7"/>
  <c r="K1337" i="7"/>
  <c r="K1338" i="7"/>
  <c r="K1339" i="7"/>
  <c r="K1340" i="7"/>
  <c r="K1341" i="7"/>
  <c r="K1342" i="7"/>
  <c r="K1343" i="7"/>
  <c r="K1344" i="7"/>
  <c r="K1345" i="7"/>
  <c r="K1346" i="7"/>
  <c r="K1347" i="7"/>
  <c r="K1348" i="7"/>
  <c r="K1349" i="7"/>
  <c r="K1350" i="7"/>
  <c r="K1351" i="7"/>
  <c r="K1352" i="7"/>
  <c r="K1353" i="7"/>
  <c r="K1354" i="7"/>
  <c r="K1355" i="7"/>
  <c r="K1356" i="7"/>
  <c r="K1357" i="7"/>
  <c r="K1358" i="7"/>
  <c r="K1359" i="7"/>
  <c r="K1360" i="7"/>
  <c r="K1361" i="7"/>
  <c r="K1362" i="7"/>
  <c r="K1363" i="7"/>
  <c r="K1364" i="7"/>
  <c r="K1365" i="7"/>
  <c r="K1366" i="7"/>
  <c r="K1367" i="7"/>
  <c r="K1368" i="7"/>
  <c r="K1369" i="7"/>
  <c r="K1370" i="7"/>
  <c r="K1371" i="7"/>
  <c r="K1372" i="7"/>
  <c r="K1373" i="7"/>
  <c r="K1374" i="7"/>
  <c r="K1375" i="7"/>
  <c r="K1376" i="7"/>
  <c r="K1377" i="7"/>
  <c r="K1378" i="7"/>
  <c r="K1379" i="7"/>
  <c r="K1380" i="7"/>
  <c r="K1381" i="7"/>
  <c r="K1382" i="7"/>
  <c r="K1383" i="7"/>
  <c r="K1384" i="7"/>
  <c r="K1385" i="7"/>
  <c r="K1386" i="7"/>
  <c r="K1387" i="7"/>
  <c r="K1388" i="7"/>
  <c r="K1389" i="7"/>
  <c r="K1390" i="7"/>
  <c r="K1391" i="7"/>
  <c r="K1392" i="7"/>
  <c r="K1393" i="7"/>
  <c r="K1394" i="7"/>
  <c r="K1395" i="7"/>
  <c r="K1396" i="7"/>
  <c r="K1397" i="7"/>
  <c r="K1398" i="7"/>
  <c r="K1399" i="7"/>
  <c r="K1400" i="7"/>
  <c r="K1401" i="7"/>
  <c r="K1402" i="7"/>
  <c r="K1403" i="7"/>
  <c r="K1404" i="7"/>
  <c r="K1405" i="7"/>
  <c r="K1406" i="7"/>
  <c r="K1407" i="7"/>
  <c r="K1408" i="7"/>
  <c r="K1409" i="7"/>
  <c r="K1410" i="7"/>
  <c r="K1411" i="7"/>
  <c r="K1412" i="7"/>
  <c r="K1413" i="7"/>
  <c r="K1414" i="7"/>
  <c r="K1415" i="7"/>
  <c r="K1416" i="7"/>
  <c r="K1417" i="7"/>
  <c r="K1418" i="7"/>
  <c r="K1419" i="7"/>
  <c r="K1420" i="7"/>
  <c r="K1421" i="7"/>
  <c r="K1422" i="7"/>
  <c r="K1423" i="7"/>
  <c r="K1424" i="7"/>
  <c r="K1425" i="7"/>
  <c r="K1426" i="7"/>
  <c r="K1427" i="7"/>
  <c r="K1428" i="7"/>
  <c r="K1429" i="7"/>
  <c r="K1430" i="7"/>
  <c r="K1431" i="7"/>
  <c r="K1432" i="7"/>
  <c r="K1433" i="7"/>
  <c r="K1434" i="7"/>
  <c r="K1435" i="7"/>
  <c r="K1436" i="7"/>
  <c r="K1437" i="7"/>
  <c r="K1438" i="7"/>
  <c r="K1439" i="7"/>
  <c r="K1440" i="7"/>
  <c r="K1441" i="7"/>
  <c r="K1442" i="7"/>
  <c r="K1443" i="7"/>
  <c r="K1444" i="7"/>
  <c r="K1445" i="7"/>
  <c r="K1446" i="7"/>
  <c r="K1447" i="7"/>
  <c r="K1448" i="7"/>
  <c r="K1449" i="7"/>
  <c r="K1450" i="7"/>
  <c r="K1451" i="7"/>
  <c r="K1452" i="7"/>
  <c r="K1453" i="7"/>
  <c r="K1454" i="7"/>
  <c r="K1455" i="7"/>
  <c r="K1456" i="7"/>
  <c r="K1457" i="7"/>
  <c r="K1458" i="7"/>
  <c r="K1459" i="7"/>
  <c r="K1460" i="7"/>
  <c r="K1461" i="7"/>
  <c r="K1462" i="7"/>
  <c r="K1463" i="7"/>
  <c r="K1464" i="7"/>
  <c r="K1465" i="7"/>
  <c r="K1466" i="7"/>
  <c r="K1467" i="7"/>
  <c r="K1468" i="7"/>
  <c r="K1469" i="7"/>
  <c r="K1470" i="7"/>
  <c r="K1471" i="7"/>
  <c r="K1472" i="7"/>
  <c r="K1473" i="7"/>
  <c r="K1474" i="7"/>
  <c r="K1475" i="7"/>
  <c r="K1476" i="7"/>
  <c r="K1477" i="7"/>
  <c r="K1478" i="7"/>
  <c r="K1479" i="7"/>
  <c r="K1480" i="7"/>
  <c r="K1481" i="7"/>
  <c r="K1482" i="7"/>
  <c r="K1483" i="7"/>
  <c r="K1484" i="7"/>
  <c r="K1485" i="7"/>
  <c r="K1486" i="7"/>
  <c r="K1487" i="7"/>
  <c r="K1488" i="7"/>
  <c r="K1489" i="7"/>
  <c r="K1490" i="7"/>
  <c r="K1491" i="7"/>
  <c r="K1492" i="7"/>
  <c r="K1493" i="7"/>
  <c r="K1494" i="7"/>
  <c r="K1495" i="7"/>
  <c r="K1496" i="7"/>
  <c r="K1497" i="7"/>
  <c r="K1498" i="7"/>
  <c r="K1499" i="7"/>
  <c r="K1500" i="7"/>
  <c r="K1501" i="7"/>
  <c r="K1502" i="7"/>
  <c r="K1503" i="7"/>
  <c r="K1504" i="7"/>
  <c r="K1505" i="7"/>
  <c r="K1506" i="7"/>
  <c r="K1507" i="7"/>
  <c r="K1508" i="7"/>
  <c r="K1509" i="7"/>
  <c r="K1510" i="7"/>
  <c r="K1511" i="7"/>
  <c r="K1512" i="7"/>
  <c r="K1513" i="7"/>
  <c r="K1514" i="7"/>
  <c r="K1515" i="7"/>
  <c r="K1516" i="7"/>
  <c r="K1517" i="7"/>
  <c r="K1518" i="7"/>
  <c r="K1519" i="7"/>
  <c r="K1520" i="7"/>
  <c r="K1521" i="7"/>
  <c r="K1522" i="7"/>
  <c r="K1523" i="7"/>
  <c r="K1524" i="7"/>
  <c r="K1525" i="7"/>
  <c r="K1526" i="7"/>
  <c r="K1527" i="7"/>
  <c r="K1528" i="7"/>
  <c r="K1529" i="7"/>
  <c r="K1530" i="7"/>
  <c r="K1531" i="7"/>
  <c r="K1532" i="7"/>
  <c r="K1533" i="7"/>
  <c r="K1534" i="7"/>
  <c r="K1535" i="7"/>
  <c r="K1536" i="7"/>
  <c r="K1537" i="7"/>
  <c r="K1538" i="7"/>
  <c r="K1539" i="7"/>
  <c r="K1540" i="7"/>
  <c r="K1541" i="7"/>
  <c r="K1542" i="7"/>
  <c r="K1543" i="7"/>
  <c r="K1544" i="7"/>
  <c r="K1545" i="7"/>
  <c r="K1546" i="7"/>
  <c r="K1547" i="7"/>
  <c r="K1548" i="7"/>
  <c r="K1549" i="7"/>
  <c r="K1550" i="7"/>
  <c r="K1551" i="7"/>
  <c r="K1552" i="7"/>
  <c r="K1553" i="7"/>
  <c r="K1554" i="7"/>
  <c r="K1555" i="7"/>
  <c r="K1556" i="7"/>
  <c r="K1557" i="7"/>
  <c r="K1558" i="7"/>
  <c r="K1559" i="7"/>
  <c r="K1560" i="7"/>
  <c r="K1561" i="7"/>
  <c r="K1562" i="7"/>
  <c r="K1563" i="7"/>
  <c r="K1564" i="7"/>
  <c r="K1565" i="7"/>
  <c r="K1566" i="7"/>
  <c r="K1567" i="7"/>
  <c r="K1568" i="7"/>
  <c r="K1569" i="7"/>
  <c r="K1570" i="7"/>
  <c r="K1571" i="7"/>
  <c r="K1572" i="7"/>
  <c r="K1573" i="7"/>
  <c r="K1574" i="7"/>
  <c r="K1575" i="7"/>
  <c r="K1576" i="7"/>
  <c r="K1577" i="7"/>
  <c r="K1578" i="7"/>
  <c r="K1579" i="7"/>
  <c r="K1580" i="7"/>
  <c r="K1581" i="7"/>
  <c r="K1582" i="7"/>
  <c r="K1583" i="7"/>
  <c r="K1584" i="7"/>
  <c r="K1585" i="7"/>
  <c r="K1586" i="7"/>
  <c r="K1587" i="7"/>
  <c r="K1588" i="7"/>
  <c r="K1589" i="7"/>
  <c r="K1590" i="7"/>
  <c r="K1591" i="7"/>
  <c r="K1592" i="7"/>
  <c r="K1593" i="7"/>
  <c r="K1594" i="7"/>
  <c r="K1595" i="7"/>
  <c r="K1596" i="7"/>
  <c r="K1597" i="7"/>
  <c r="K1598" i="7"/>
  <c r="K1599" i="7"/>
  <c r="K1600" i="7"/>
  <c r="K1601" i="7"/>
  <c r="K1602" i="7"/>
  <c r="K1603" i="7"/>
  <c r="K1604" i="7"/>
  <c r="K1605" i="7"/>
  <c r="K1606" i="7"/>
  <c r="K1607" i="7"/>
  <c r="K1608" i="7"/>
  <c r="K1609" i="7"/>
  <c r="K1610" i="7"/>
  <c r="K1611" i="7"/>
  <c r="K1612" i="7"/>
  <c r="K1613" i="7"/>
  <c r="K1614" i="7"/>
  <c r="K1615" i="7"/>
  <c r="K1616" i="7"/>
  <c r="K1617" i="7"/>
  <c r="K1618" i="7"/>
  <c r="K1619" i="7"/>
  <c r="K1620" i="7"/>
  <c r="K1621" i="7"/>
  <c r="K1622" i="7"/>
  <c r="K1623" i="7"/>
  <c r="K1624" i="7"/>
  <c r="K1625" i="7"/>
  <c r="K1626" i="7"/>
  <c r="K1627" i="7"/>
  <c r="K1628" i="7"/>
  <c r="K1629" i="7"/>
  <c r="K1630" i="7"/>
  <c r="K1631" i="7"/>
  <c r="K1632" i="7"/>
  <c r="K1633" i="7"/>
  <c r="K1634" i="7"/>
  <c r="K1635" i="7"/>
  <c r="K1636" i="7"/>
  <c r="K1637" i="7"/>
  <c r="K1638" i="7"/>
  <c r="K1639" i="7"/>
  <c r="K1640" i="7"/>
  <c r="K1641" i="7"/>
  <c r="K1642" i="7"/>
  <c r="K1643" i="7"/>
  <c r="K1644" i="7"/>
  <c r="K1645" i="7"/>
  <c r="K1646" i="7"/>
  <c r="K1647" i="7"/>
  <c r="K1648" i="7"/>
  <c r="K1649" i="7"/>
  <c r="K1650" i="7"/>
  <c r="K1651" i="7"/>
  <c r="K1652" i="7"/>
  <c r="K1653" i="7"/>
  <c r="K1654" i="7"/>
  <c r="K1655" i="7"/>
  <c r="K1656" i="7"/>
  <c r="K1657" i="7"/>
  <c r="K1658" i="7"/>
  <c r="K1659" i="7"/>
  <c r="K1660" i="7"/>
  <c r="K1661" i="7"/>
  <c r="K1662" i="7"/>
  <c r="K1663" i="7"/>
  <c r="K1664" i="7"/>
  <c r="K1665" i="7"/>
  <c r="K1666" i="7"/>
  <c r="K1667" i="7"/>
  <c r="K1668" i="7"/>
  <c r="K1669" i="7"/>
  <c r="K1670" i="7"/>
  <c r="K1671" i="7"/>
  <c r="K1672" i="7"/>
  <c r="K1673" i="7"/>
  <c r="K1674" i="7"/>
  <c r="K1675" i="7"/>
  <c r="K1676" i="7"/>
  <c r="K1677" i="7"/>
  <c r="K1678" i="7"/>
  <c r="K1679" i="7"/>
  <c r="K1680" i="7"/>
  <c r="K1681" i="7"/>
  <c r="K1682" i="7"/>
  <c r="K1683" i="7"/>
  <c r="K1684" i="7"/>
  <c r="K1685" i="7"/>
  <c r="K1686" i="7"/>
  <c r="K1687" i="7"/>
  <c r="K1688" i="7"/>
  <c r="K1689" i="7"/>
  <c r="K1690" i="7"/>
  <c r="K1691" i="7"/>
  <c r="K1692" i="7"/>
  <c r="K1693" i="7"/>
  <c r="K1694" i="7"/>
  <c r="K1695" i="7"/>
  <c r="K1696" i="7"/>
  <c r="K1697" i="7"/>
  <c r="K1698" i="7"/>
  <c r="K1699" i="7"/>
  <c r="K1700" i="7"/>
  <c r="K1701" i="7"/>
  <c r="K1702" i="7"/>
  <c r="K1703" i="7"/>
  <c r="K1704" i="7"/>
  <c r="K1705" i="7"/>
  <c r="K1706" i="7"/>
  <c r="K1707" i="7"/>
  <c r="K1708" i="7"/>
  <c r="K1709" i="7"/>
  <c r="K1710" i="7"/>
  <c r="K1711" i="7"/>
  <c r="K1712" i="7"/>
  <c r="K1713" i="7"/>
  <c r="K1714" i="7"/>
  <c r="K1715" i="7"/>
  <c r="K1716" i="7"/>
  <c r="K1717" i="7"/>
  <c r="K1718" i="7"/>
  <c r="K1719" i="7"/>
  <c r="K1720" i="7"/>
  <c r="K1721" i="7"/>
  <c r="K1722" i="7"/>
  <c r="K1723" i="7"/>
  <c r="K1724" i="7"/>
  <c r="K1725" i="7"/>
  <c r="K1726" i="7"/>
  <c r="K1727" i="7"/>
  <c r="K1728" i="7"/>
  <c r="K1729" i="7"/>
  <c r="K1730" i="7"/>
  <c r="K1731" i="7"/>
  <c r="K1732" i="7"/>
  <c r="K1733" i="7"/>
  <c r="K1734" i="7"/>
  <c r="K1735" i="7"/>
  <c r="K1736" i="7"/>
  <c r="K1737" i="7"/>
  <c r="K1738" i="7"/>
  <c r="K1739" i="7"/>
  <c r="K1740" i="7"/>
  <c r="K1741" i="7"/>
  <c r="K1742" i="7"/>
  <c r="K1743" i="7"/>
  <c r="K1744" i="7"/>
  <c r="K1745" i="7"/>
  <c r="K1746" i="7"/>
  <c r="K1747" i="7"/>
  <c r="K1748" i="7"/>
  <c r="K1749" i="7"/>
  <c r="K1750" i="7"/>
  <c r="K1751" i="7"/>
  <c r="K1752" i="7"/>
  <c r="K1753" i="7"/>
  <c r="K1754" i="7"/>
  <c r="K1755" i="7"/>
  <c r="K1756" i="7"/>
  <c r="K1757" i="7"/>
  <c r="K1758" i="7"/>
  <c r="K1759" i="7"/>
  <c r="K1760" i="7"/>
  <c r="K1761" i="7"/>
  <c r="K1762" i="7"/>
  <c r="K1763" i="7"/>
  <c r="K1764" i="7"/>
  <c r="K1765" i="7"/>
  <c r="K1766" i="7"/>
  <c r="K1767" i="7"/>
  <c r="K1768" i="7"/>
  <c r="K1769" i="7"/>
  <c r="K1770" i="7"/>
  <c r="K1771" i="7"/>
  <c r="K1772" i="7"/>
  <c r="K1773" i="7"/>
  <c r="K1774" i="7"/>
  <c r="K1775" i="7"/>
  <c r="K1776" i="7"/>
  <c r="K1777" i="7"/>
  <c r="K1778" i="7"/>
  <c r="K1779" i="7"/>
  <c r="K1780" i="7"/>
  <c r="K1781" i="7"/>
  <c r="K1782" i="7"/>
  <c r="K1783" i="7"/>
  <c r="K1784" i="7"/>
  <c r="K1785" i="7"/>
  <c r="K1786" i="7"/>
  <c r="K1787" i="7"/>
  <c r="K1788" i="7"/>
  <c r="K1789" i="7"/>
  <c r="K1790" i="7"/>
  <c r="K1791" i="7"/>
  <c r="K1792" i="7"/>
  <c r="K1793" i="7"/>
  <c r="K1794" i="7"/>
  <c r="K1795" i="7"/>
  <c r="K1796" i="7"/>
  <c r="K1797" i="7"/>
  <c r="K1798" i="7"/>
  <c r="K1799" i="7"/>
  <c r="K1800" i="7"/>
  <c r="K1801" i="7"/>
  <c r="K1802" i="7"/>
  <c r="K1803" i="7"/>
  <c r="K1804" i="7"/>
  <c r="K1805" i="7"/>
  <c r="K1806" i="7"/>
  <c r="K1807" i="7"/>
  <c r="K1808" i="7"/>
  <c r="K1809" i="7"/>
  <c r="K1810" i="7"/>
  <c r="K1811" i="7"/>
  <c r="K1812" i="7"/>
  <c r="K1813" i="7"/>
  <c r="K1814" i="7"/>
  <c r="K1815" i="7"/>
  <c r="K1816" i="7"/>
  <c r="K1817" i="7"/>
  <c r="K1818" i="7"/>
  <c r="K1819" i="7"/>
  <c r="K1820" i="7"/>
  <c r="K1821" i="7"/>
  <c r="K1822" i="7"/>
  <c r="K1823" i="7"/>
  <c r="K1824" i="7"/>
  <c r="K1825" i="7"/>
  <c r="K1826" i="7"/>
  <c r="K1827" i="7"/>
  <c r="K1828" i="7"/>
  <c r="K1829" i="7"/>
  <c r="K1830" i="7"/>
  <c r="K1831" i="7"/>
  <c r="K1832" i="7"/>
  <c r="K1833" i="7"/>
  <c r="K1834" i="7"/>
  <c r="K1835" i="7"/>
  <c r="K1836" i="7"/>
  <c r="K1837" i="7"/>
  <c r="K1838" i="7"/>
  <c r="K1839" i="7"/>
  <c r="K1840" i="7"/>
  <c r="K1841" i="7"/>
  <c r="K1842" i="7"/>
  <c r="K1843" i="7"/>
  <c r="K1844" i="7"/>
  <c r="K1845" i="7"/>
  <c r="K1846" i="7"/>
  <c r="K1847" i="7"/>
  <c r="K1848" i="7"/>
  <c r="K1849" i="7"/>
  <c r="K1850" i="7"/>
  <c r="K1851" i="7"/>
  <c r="K1852" i="7"/>
  <c r="K1853" i="7"/>
  <c r="K1854" i="7"/>
  <c r="K1855" i="7"/>
  <c r="K1856" i="7"/>
  <c r="K1857" i="7"/>
  <c r="K1858" i="7"/>
  <c r="K1859" i="7"/>
  <c r="K1860" i="7"/>
  <c r="K1861" i="7"/>
  <c r="K1862" i="7"/>
  <c r="K1863" i="7"/>
  <c r="K1864" i="7"/>
  <c r="K1865" i="7"/>
  <c r="K1866" i="7"/>
  <c r="K1867" i="7"/>
  <c r="K1868" i="7"/>
  <c r="K1869" i="7"/>
  <c r="K1870" i="7"/>
  <c r="K1871" i="7"/>
  <c r="K1872" i="7"/>
  <c r="K1873" i="7"/>
  <c r="K1874" i="7"/>
  <c r="K1875" i="7"/>
  <c r="K1876" i="7"/>
  <c r="K1877" i="7"/>
  <c r="K1878" i="7"/>
  <c r="K1879" i="7"/>
  <c r="K1880" i="7"/>
  <c r="K1881" i="7"/>
  <c r="K1882" i="7"/>
  <c r="K1883" i="7"/>
  <c r="K1884" i="7"/>
  <c r="K1885" i="7"/>
  <c r="K1886" i="7"/>
  <c r="K1887" i="7"/>
  <c r="K1888" i="7"/>
  <c r="K1889" i="7"/>
  <c r="K1890" i="7"/>
  <c r="K1891" i="7"/>
  <c r="K1892" i="7"/>
  <c r="K1893" i="7"/>
  <c r="K1894" i="7"/>
  <c r="K1895" i="7"/>
  <c r="K1896" i="7"/>
  <c r="K1897" i="7"/>
  <c r="K1898" i="7"/>
  <c r="K1899" i="7"/>
  <c r="K1900" i="7"/>
  <c r="K1901" i="7"/>
  <c r="K1902" i="7"/>
  <c r="K1903" i="7"/>
  <c r="K1904" i="7"/>
  <c r="K1905" i="7"/>
  <c r="K1906" i="7"/>
  <c r="K1907" i="7"/>
  <c r="K1908" i="7"/>
  <c r="K1909" i="7"/>
  <c r="K1910" i="7"/>
  <c r="K1911" i="7"/>
  <c r="K1912" i="7"/>
  <c r="K1913" i="7"/>
  <c r="K1914" i="7"/>
  <c r="K1915" i="7"/>
  <c r="K1916" i="7"/>
  <c r="K1917" i="7"/>
  <c r="K1918" i="7"/>
  <c r="K1919" i="7"/>
  <c r="K1920" i="7"/>
  <c r="K1921" i="7"/>
  <c r="K1922" i="7"/>
  <c r="K1923" i="7"/>
  <c r="K1924" i="7"/>
  <c r="K1925" i="7"/>
  <c r="K1926" i="7"/>
  <c r="K1927" i="7"/>
  <c r="K1928" i="7"/>
  <c r="K1929" i="7"/>
  <c r="K1930" i="7"/>
  <c r="K1931" i="7"/>
  <c r="K1932" i="7"/>
  <c r="K1933" i="7"/>
  <c r="K1934" i="7"/>
  <c r="K1935" i="7"/>
  <c r="K1936" i="7"/>
  <c r="K1937" i="7"/>
  <c r="K1938" i="7"/>
  <c r="K1939" i="7"/>
  <c r="K1940" i="7"/>
  <c r="K1941" i="7"/>
  <c r="K1942" i="7"/>
  <c r="K1943" i="7"/>
  <c r="K1944" i="7"/>
  <c r="K1945" i="7"/>
  <c r="K1946" i="7"/>
  <c r="K1947" i="7"/>
  <c r="K1948" i="7"/>
  <c r="K1949" i="7"/>
  <c r="K1950" i="7"/>
  <c r="K1951" i="7"/>
  <c r="K1952" i="7"/>
  <c r="K1953" i="7"/>
  <c r="K1954" i="7"/>
  <c r="K1955" i="7"/>
  <c r="K1956" i="7"/>
  <c r="K1957" i="7"/>
  <c r="K1958" i="7"/>
  <c r="K1959" i="7"/>
  <c r="K1960" i="7"/>
  <c r="K1961" i="7"/>
  <c r="K1962" i="7"/>
  <c r="K1963" i="7"/>
  <c r="K1964" i="7"/>
  <c r="K1965" i="7"/>
  <c r="K1966" i="7"/>
  <c r="K1967" i="7"/>
  <c r="K1968" i="7"/>
  <c r="K1969" i="7"/>
  <c r="K1970" i="7"/>
  <c r="K1971" i="7"/>
  <c r="K1972" i="7"/>
  <c r="K1973" i="7"/>
  <c r="K1974" i="7"/>
  <c r="K1975" i="7"/>
  <c r="K1976" i="7"/>
  <c r="K1977" i="7"/>
  <c r="K1978" i="7"/>
  <c r="K1979" i="7"/>
  <c r="K1980" i="7"/>
  <c r="K1981" i="7"/>
  <c r="K1982" i="7"/>
  <c r="K1983" i="7"/>
  <c r="K1984" i="7"/>
  <c r="K1985" i="7"/>
  <c r="K1986" i="7"/>
  <c r="K1987" i="7"/>
  <c r="K1988" i="7"/>
  <c r="K1989" i="7"/>
  <c r="K1990" i="7"/>
  <c r="K1991" i="7"/>
  <c r="K1992" i="7"/>
  <c r="K1993" i="7"/>
  <c r="K1994" i="7"/>
  <c r="K1995" i="7"/>
  <c r="K1996" i="7"/>
  <c r="K1997" i="7"/>
  <c r="K1998" i="7"/>
  <c r="K1999" i="7"/>
  <c r="K2000" i="7"/>
  <c r="K2001" i="7"/>
  <c r="K2002" i="7"/>
  <c r="K2003" i="7"/>
  <c r="K2004" i="7"/>
  <c r="K2005" i="7"/>
  <c r="K2006" i="7"/>
  <c r="K2007" i="7"/>
  <c r="K2008" i="7"/>
  <c r="K2009" i="7"/>
  <c r="K2010" i="7"/>
  <c r="K2011" i="7"/>
  <c r="K2012" i="7"/>
  <c r="K2013" i="7"/>
  <c r="K2014" i="7"/>
  <c r="K2015" i="7"/>
  <c r="K2016" i="7"/>
  <c r="K2017" i="7"/>
  <c r="K2018" i="7"/>
  <c r="K2019" i="7"/>
  <c r="K2020" i="7"/>
  <c r="K2021" i="7"/>
  <c r="K2022" i="7"/>
  <c r="K2023" i="7"/>
  <c r="K2024" i="7"/>
  <c r="K2025" i="7"/>
  <c r="K2026" i="7"/>
  <c r="K2027" i="7"/>
  <c r="K2028" i="7"/>
  <c r="K2029" i="7"/>
  <c r="K2030" i="7"/>
  <c r="K2031" i="7"/>
  <c r="K2032" i="7"/>
  <c r="K2033" i="7"/>
  <c r="K2034" i="7"/>
  <c r="K2035" i="7"/>
  <c r="K2036" i="7"/>
  <c r="K2037" i="7"/>
  <c r="K2038" i="7"/>
  <c r="K2039" i="7"/>
  <c r="K2040" i="7"/>
  <c r="K2041" i="7"/>
  <c r="K2042" i="7"/>
  <c r="K2043" i="7"/>
  <c r="K2044" i="7"/>
  <c r="K2045" i="7"/>
  <c r="K2046" i="7"/>
  <c r="K2047" i="7"/>
  <c r="K2048" i="7"/>
  <c r="K2049" i="7"/>
  <c r="K2050" i="7"/>
  <c r="K2051" i="7"/>
  <c r="K2052" i="7"/>
  <c r="K2053" i="7"/>
  <c r="K2054" i="7"/>
  <c r="K2055" i="7"/>
  <c r="K2056" i="7"/>
  <c r="K2057" i="7"/>
  <c r="K2058" i="7"/>
  <c r="K2059" i="7"/>
  <c r="K2060" i="7"/>
  <c r="K2061" i="7"/>
  <c r="K2062" i="7"/>
  <c r="K2063" i="7"/>
  <c r="K2064" i="7"/>
  <c r="K2065" i="7"/>
  <c r="K2066" i="7"/>
  <c r="K2067" i="7"/>
  <c r="K2068" i="7"/>
  <c r="K2069" i="7"/>
  <c r="K2070" i="7"/>
  <c r="K2071" i="7"/>
  <c r="K2072" i="7"/>
  <c r="K2073" i="7"/>
  <c r="K2074" i="7"/>
  <c r="K2075" i="7"/>
  <c r="K2076" i="7"/>
  <c r="K2077" i="7"/>
  <c r="K2078" i="7"/>
  <c r="K2079" i="7"/>
  <c r="K2080" i="7"/>
  <c r="K2081" i="7"/>
  <c r="K2082" i="7"/>
  <c r="K2083" i="7"/>
  <c r="K2084" i="7"/>
  <c r="K2085" i="7"/>
  <c r="K2086" i="7"/>
  <c r="K2087" i="7"/>
  <c r="K2088" i="7"/>
  <c r="K2089" i="7"/>
  <c r="K2090" i="7"/>
  <c r="K2091" i="7"/>
  <c r="K2092" i="7"/>
  <c r="K2093" i="7"/>
  <c r="K2094" i="7"/>
  <c r="K2095" i="7"/>
  <c r="K2096" i="7"/>
  <c r="K2097" i="7"/>
  <c r="K2098" i="7"/>
  <c r="K2099" i="7"/>
  <c r="K2100" i="7"/>
  <c r="K2101" i="7"/>
  <c r="K2102" i="7"/>
  <c r="K2103" i="7"/>
  <c r="K2104" i="7"/>
  <c r="K2105" i="7"/>
  <c r="K2106" i="7"/>
  <c r="K2107" i="7"/>
  <c r="K2108" i="7"/>
  <c r="K2109" i="7"/>
  <c r="K2110" i="7"/>
  <c r="K2111" i="7"/>
  <c r="K2112" i="7"/>
  <c r="K2113" i="7"/>
  <c r="K2114" i="7"/>
  <c r="K2115" i="7"/>
  <c r="K2116" i="7"/>
  <c r="K2117" i="7"/>
  <c r="K2118" i="7"/>
  <c r="K2119" i="7"/>
  <c r="K2120" i="7"/>
  <c r="K2121" i="7"/>
  <c r="K2122" i="7"/>
  <c r="K2123" i="7"/>
  <c r="K2124" i="7"/>
  <c r="K2125" i="7"/>
  <c r="K2126" i="7"/>
  <c r="K2127" i="7"/>
  <c r="K2128" i="7"/>
  <c r="K2129" i="7"/>
  <c r="K2130" i="7"/>
  <c r="K2131" i="7"/>
  <c r="K2132" i="7"/>
  <c r="K2133" i="7"/>
  <c r="K2134" i="7"/>
  <c r="K2135" i="7"/>
  <c r="K2136" i="7"/>
  <c r="K2137" i="7"/>
  <c r="K2138" i="7"/>
  <c r="K2139" i="7"/>
  <c r="K2140" i="7"/>
  <c r="K2141" i="7"/>
  <c r="K2142" i="7"/>
  <c r="K2143" i="7"/>
  <c r="K2144" i="7"/>
  <c r="K2145" i="7"/>
  <c r="K2146" i="7"/>
  <c r="K2147" i="7"/>
  <c r="K2148" i="7"/>
  <c r="K2149" i="7"/>
  <c r="K2150" i="7"/>
  <c r="K2151" i="7"/>
  <c r="K2152" i="7"/>
  <c r="K2153" i="7"/>
  <c r="K2154" i="7"/>
  <c r="K2155" i="7"/>
  <c r="K2156" i="7"/>
  <c r="K2157" i="7"/>
  <c r="K2158" i="7"/>
  <c r="K2159" i="7"/>
  <c r="K2160" i="7"/>
  <c r="K2161" i="7"/>
  <c r="K2162" i="7"/>
  <c r="K2163" i="7"/>
  <c r="K2164" i="7"/>
  <c r="K2165" i="7"/>
  <c r="K2166" i="7"/>
  <c r="K2167" i="7"/>
  <c r="K2168" i="7"/>
  <c r="K2169" i="7"/>
  <c r="K2170" i="7"/>
  <c r="K2171" i="7"/>
  <c r="K2172" i="7"/>
  <c r="K2173" i="7"/>
  <c r="K2174" i="7"/>
  <c r="K2175" i="7"/>
  <c r="K2176" i="7"/>
  <c r="K2177" i="7"/>
  <c r="K2178" i="7"/>
  <c r="K2179" i="7"/>
  <c r="K2180" i="7"/>
  <c r="K2181" i="7"/>
  <c r="K2182" i="7"/>
  <c r="K2183" i="7"/>
  <c r="K2184" i="7"/>
  <c r="K2185" i="7"/>
  <c r="K2186" i="7"/>
  <c r="K2187" i="7"/>
  <c r="K2188" i="7"/>
  <c r="K2189" i="7"/>
  <c r="K2190" i="7"/>
  <c r="K2191" i="7"/>
  <c r="K2192" i="7"/>
  <c r="K2193" i="7"/>
  <c r="K2194" i="7"/>
  <c r="K2195" i="7"/>
  <c r="K2196" i="7"/>
  <c r="K2197" i="7"/>
  <c r="K2198" i="7"/>
  <c r="K2199" i="7"/>
  <c r="K2200" i="7"/>
  <c r="K2201" i="7"/>
  <c r="K2202" i="7"/>
  <c r="K2203" i="7"/>
  <c r="K2204" i="7"/>
  <c r="K2205" i="7"/>
  <c r="K2206" i="7"/>
  <c r="K2207" i="7"/>
  <c r="K2208" i="7"/>
  <c r="K2209" i="7"/>
  <c r="K2210" i="7"/>
  <c r="K2211" i="7"/>
  <c r="K2212" i="7"/>
  <c r="K2213" i="7"/>
  <c r="K2214" i="7"/>
  <c r="K2215" i="7"/>
  <c r="K2216" i="7"/>
  <c r="K2217" i="7"/>
  <c r="K2218" i="7"/>
  <c r="K2219" i="7"/>
  <c r="K2220" i="7"/>
  <c r="K2221" i="7"/>
  <c r="K2222" i="7"/>
  <c r="K2223" i="7"/>
  <c r="K2224" i="7"/>
  <c r="K2225" i="7"/>
  <c r="K2226" i="7"/>
  <c r="K2227" i="7"/>
  <c r="K2228" i="7"/>
  <c r="K2229" i="7"/>
  <c r="K2230" i="7"/>
  <c r="K2231" i="7"/>
  <c r="K2232" i="7"/>
  <c r="K2233" i="7"/>
  <c r="K2234" i="7"/>
  <c r="K2235" i="7"/>
  <c r="K2236" i="7"/>
  <c r="K2237" i="7"/>
  <c r="K2238" i="7"/>
  <c r="K2239" i="7"/>
  <c r="K2240" i="7"/>
  <c r="K2241" i="7"/>
  <c r="K2242" i="7"/>
  <c r="K2243" i="7"/>
  <c r="K2244" i="7"/>
  <c r="K2245" i="7"/>
  <c r="K2246" i="7"/>
  <c r="K2247" i="7"/>
  <c r="K2248" i="7"/>
  <c r="K2249" i="7"/>
  <c r="K2250" i="7"/>
  <c r="K2251" i="7"/>
  <c r="K2252" i="7"/>
  <c r="K2253" i="7"/>
  <c r="K2254" i="7"/>
  <c r="K2255" i="7"/>
  <c r="K2256" i="7"/>
  <c r="K2257" i="7"/>
  <c r="K2258" i="7"/>
  <c r="K2259" i="7"/>
  <c r="K2260" i="7"/>
  <c r="K2261" i="7"/>
  <c r="K2262" i="7"/>
  <c r="K2263" i="7"/>
  <c r="K2264" i="7"/>
  <c r="K2265" i="7"/>
  <c r="K2266" i="7"/>
  <c r="K2267" i="7"/>
  <c r="K2268" i="7"/>
  <c r="K2269" i="7"/>
  <c r="K2270" i="7"/>
  <c r="K2271" i="7"/>
  <c r="K2272" i="7"/>
  <c r="K2273" i="7"/>
  <c r="K2274" i="7"/>
  <c r="K2275" i="7"/>
  <c r="K2276" i="7"/>
  <c r="K2277" i="7"/>
  <c r="K2278" i="7"/>
  <c r="K2279" i="7"/>
  <c r="K2280" i="7"/>
  <c r="K2281" i="7"/>
  <c r="K2282" i="7"/>
  <c r="K2283" i="7"/>
  <c r="K2284" i="7"/>
  <c r="K2285" i="7"/>
  <c r="K2286" i="7"/>
  <c r="K2287" i="7"/>
  <c r="K2288" i="7"/>
  <c r="K2289" i="7"/>
  <c r="K2290" i="7"/>
  <c r="K2291" i="7"/>
  <c r="K2292" i="7"/>
  <c r="K2293" i="7"/>
  <c r="K2294" i="7"/>
  <c r="K2295" i="7"/>
  <c r="K2296" i="7"/>
  <c r="K2297" i="7"/>
  <c r="K2298" i="7"/>
  <c r="K2299" i="7"/>
  <c r="K2300" i="7"/>
  <c r="K2301" i="7"/>
  <c r="K2302" i="7"/>
  <c r="K2303" i="7"/>
  <c r="K2304" i="7"/>
  <c r="K2305" i="7"/>
  <c r="K2306" i="7"/>
  <c r="K2307" i="7"/>
  <c r="K2308" i="7"/>
  <c r="K2309" i="7"/>
  <c r="K2310" i="7"/>
  <c r="K2311" i="7"/>
  <c r="K2312" i="7"/>
  <c r="K2313" i="7"/>
  <c r="K2314" i="7"/>
  <c r="K2315" i="7"/>
  <c r="K2316" i="7"/>
  <c r="K2317" i="7"/>
  <c r="K2318" i="7"/>
  <c r="K2319" i="7"/>
  <c r="K2320" i="7"/>
  <c r="K2321" i="7"/>
  <c r="K2322" i="7"/>
  <c r="K2323" i="7"/>
  <c r="K2324" i="7"/>
  <c r="K2325" i="7"/>
  <c r="K2326" i="7"/>
  <c r="K2327" i="7"/>
  <c r="K2328" i="7"/>
  <c r="K2329" i="7"/>
  <c r="K2330" i="7"/>
  <c r="K2331" i="7"/>
  <c r="K2332" i="7"/>
  <c r="K2333" i="7"/>
  <c r="K2334" i="7"/>
  <c r="K2335" i="7"/>
  <c r="K2336" i="7"/>
  <c r="K2337" i="7"/>
  <c r="K2338" i="7"/>
  <c r="K2339" i="7"/>
  <c r="K2340" i="7"/>
  <c r="K2341" i="7"/>
  <c r="K2342" i="7"/>
  <c r="K2343" i="7"/>
  <c r="K2344" i="7"/>
  <c r="K2345" i="7"/>
  <c r="K2346" i="7"/>
  <c r="K2347" i="7"/>
  <c r="K2348" i="7"/>
  <c r="K2349" i="7"/>
  <c r="K2350" i="7"/>
  <c r="K2351" i="7"/>
  <c r="K2352" i="7"/>
  <c r="K2353" i="7"/>
  <c r="K2354" i="7"/>
  <c r="K2355" i="7"/>
  <c r="K2356" i="7"/>
  <c r="K2357" i="7"/>
  <c r="K2358" i="7"/>
  <c r="K2359" i="7"/>
  <c r="K2360" i="7"/>
  <c r="K2361" i="7"/>
  <c r="K2362" i="7"/>
  <c r="K2363" i="7"/>
  <c r="K2364" i="7"/>
  <c r="K2365" i="7"/>
  <c r="K2366" i="7"/>
  <c r="K2367" i="7"/>
  <c r="K2368" i="7"/>
  <c r="K2369" i="7"/>
  <c r="K2370" i="7"/>
  <c r="K2371" i="7"/>
  <c r="K2372" i="7"/>
  <c r="K2373" i="7"/>
  <c r="K2374" i="7"/>
  <c r="K2375" i="7"/>
  <c r="K2376" i="7"/>
  <c r="K2377" i="7"/>
  <c r="K2378" i="7"/>
  <c r="K2379" i="7"/>
  <c r="K2380" i="7"/>
  <c r="K2381" i="7"/>
  <c r="K2382" i="7"/>
  <c r="K2383" i="7"/>
  <c r="K2384" i="7"/>
  <c r="K2385" i="7"/>
  <c r="K2386" i="7"/>
  <c r="K2387" i="7"/>
  <c r="K2388" i="7"/>
  <c r="K2389" i="7"/>
  <c r="K2390" i="7"/>
  <c r="K2391" i="7"/>
  <c r="K2392" i="7"/>
  <c r="K2393" i="7"/>
  <c r="K2394" i="7"/>
  <c r="K2395" i="7"/>
  <c r="K2396" i="7"/>
  <c r="K2397" i="7"/>
  <c r="K2398" i="7"/>
  <c r="K2399" i="7"/>
  <c r="K2400" i="7"/>
  <c r="K2401" i="7"/>
  <c r="K2402" i="7"/>
  <c r="K2403" i="7"/>
  <c r="K2404" i="7"/>
  <c r="K2405" i="7"/>
  <c r="K2406" i="7"/>
  <c r="K2407" i="7"/>
  <c r="K2408" i="7"/>
  <c r="K2409" i="7"/>
  <c r="K2410" i="7"/>
  <c r="K2411" i="7"/>
  <c r="K2412" i="7"/>
  <c r="K2413" i="7"/>
  <c r="K2414" i="7"/>
  <c r="K2415" i="7"/>
  <c r="K2416" i="7"/>
  <c r="K2417" i="7"/>
  <c r="K2418" i="7"/>
  <c r="K2419" i="7"/>
  <c r="K2420" i="7"/>
  <c r="K2421" i="7"/>
  <c r="K2422" i="7"/>
  <c r="K2423" i="7"/>
  <c r="K2424" i="7"/>
  <c r="K2425" i="7"/>
  <c r="K2426" i="7"/>
  <c r="K2427" i="7"/>
  <c r="K2428" i="7"/>
  <c r="K2429" i="7"/>
  <c r="K2430" i="7"/>
  <c r="K2431" i="7"/>
  <c r="K2432" i="7"/>
  <c r="K2433" i="7"/>
  <c r="K2434" i="7"/>
  <c r="K2435" i="7"/>
  <c r="K2436" i="7"/>
  <c r="K2437" i="7"/>
  <c r="K2438" i="7"/>
  <c r="K2439" i="7"/>
  <c r="K2440" i="7"/>
  <c r="K2441" i="7"/>
  <c r="K2442" i="7"/>
  <c r="K2443" i="7"/>
  <c r="K2444" i="7"/>
  <c r="K2445" i="7"/>
  <c r="K2446" i="7"/>
  <c r="K2447" i="7"/>
  <c r="K2448" i="7"/>
  <c r="K2449" i="7"/>
  <c r="K2450" i="7"/>
  <c r="K2451" i="7"/>
  <c r="K2452" i="7"/>
  <c r="K2453" i="7"/>
  <c r="K2454" i="7"/>
  <c r="K2455" i="7"/>
  <c r="K2456" i="7"/>
  <c r="K2457" i="7"/>
  <c r="K2458" i="7"/>
  <c r="K2459" i="7"/>
  <c r="K2460" i="7"/>
  <c r="K2461" i="7"/>
  <c r="K2462" i="7"/>
  <c r="K2463" i="7"/>
  <c r="K2464" i="7"/>
  <c r="K2465" i="7"/>
  <c r="K2466" i="7"/>
  <c r="K2467" i="7"/>
  <c r="K2468" i="7"/>
  <c r="K2469" i="7"/>
  <c r="K2470" i="7"/>
  <c r="K2471" i="7"/>
  <c r="K2472" i="7"/>
  <c r="K2473" i="7"/>
  <c r="K2474" i="7"/>
  <c r="K2475" i="7"/>
  <c r="K2476" i="7"/>
  <c r="K2477" i="7"/>
  <c r="K2478" i="7"/>
  <c r="K2479" i="7"/>
  <c r="K2480" i="7"/>
  <c r="K2481" i="7"/>
  <c r="K2482" i="7"/>
  <c r="K2483" i="7"/>
  <c r="K2484" i="7"/>
  <c r="K2485" i="7"/>
  <c r="K2486" i="7"/>
  <c r="K2487" i="7"/>
  <c r="K2488" i="7"/>
  <c r="K2489" i="7"/>
  <c r="K2490" i="7"/>
  <c r="K2491" i="7"/>
  <c r="K2492" i="7"/>
  <c r="K2493" i="7"/>
  <c r="K2494" i="7"/>
  <c r="K2495" i="7"/>
  <c r="K2496" i="7"/>
  <c r="K2497" i="7"/>
  <c r="K2498" i="7"/>
  <c r="K2499" i="7"/>
  <c r="K2500" i="7"/>
  <c r="K2501" i="7"/>
  <c r="K2502" i="7"/>
  <c r="K2503" i="7"/>
  <c r="K2504" i="7"/>
  <c r="K2505" i="7"/>
  <c r="K2506" i="7"/>
  <c r="K2507" i="7"/>
  <c r="K2508" i="7"/>
  <c r="K2509" i="7"/>
  <c r="K2510" i="7"/>
  <c r="K2511" i="7"/>
  <c r="K2512" i="7"/>
  <c r="K2513" i="7"/>
  <c r="K2514" i="7"/>
  <c r="K2515" i="7"/>
  <c r="K2516" i="7"/>
  <c r="K2517" i="7"/>
  <c r="K2518" i="7"/>
  <c r="K2519" i="7"/>
  <c r="K2520" i="7"/>
  <c r="K2521" i="7"/>
  <c r="K2522" i="7"/>
  <c r="K2523" i="7"/>
  <c r="K2524" i="7"/>
  <c r="K2525" i="7"/>
  <c r="K2526" i="7"/>
  <c r="K2527" i="7"/>
  <c r="K2528" i="7"/>
  <c r="K2529" i="7"/>
  <c r="K2530" i="7"/>
  <c r="K2531" i="7"/>
  <c r="K2532" i="7"/>
  <c r="K2533" i="7"/>
  <c r="K2534" i="7"/>
  <c r="K2535" i="7"/>
  <c r="K2536" i="7"/>
  <c r="K2537" i="7"/>
  <c r="K2538" i="7"/>
  <c r="K2539" i="7"/>
  <c r="K2540" i="7"/>
  <c r="K2541" i="7"/>
  <c r="K2542" i="7"/>
  <c r="K2543" i="7"/>
  <c r="K2544" i="7"/>
  <c r="K2545" i="7"/>
  <c r="K2546" i="7"/>
  <c r="K2547" i="7"/>
  <c r="K2548" i="7"/>
  <c r="K2549" i="7"/>
  <c r="K2550" i="7"/>
  <c r="K2551" i="7"/>
  <c r="K2552" i="7"/>
  <c r="K2553" i="7"/>
  <c r="K2554" i="7"/>
  <c r="K2555" i="7"/>
  <c r="K2556" i="7"/>
  <c r="K2557" i="7"/>
  <c r="K2558" i="7"/>
  <c r="K2559" i="7"/>
  <c r="K2560" i="7"/>
  <c r="K2561" i="7"/>
  <c r="K2562" i="7"/>
  <c r="K2563" i="7"/>
  <c r="K2564" i="7"/>
  <c r="K2565" i="7"/>
  <c r="K2566" i="7"/>
  <c r="K2567" i="7"/>
  <c r="K2568" i="7"/>
  <c r="K2569" i="7"/>
  <c r="K2570" i="7"/>
  <c r="K2571" i="7"/>
  <c r="K2572" i="7"/>
  <c r="K2573" i="7"/>
  <c r="K2574" i="7"/>
  <c r="K2575" i="7"/>
  <c r="K2576" i="7"/>
  <c r="K2577" i="7"/>
  <c r="K2578" i="7"/>
  <c r="K2579" i="7"/>
  <c r="K2580" i="7"/>
  <c r="K2581" i="7"/>
  <c r="K2582" i="7"/>
  <c r="K2583" i="7"/>
  <c r="K2584" i="7"/>
  <c r="K2585" i="7"/>
  <c r="K2586" i="7"/>
  <c r="K2587" i="7"/>
  <c r="K2588" i="7"/>
  <c r="K2589" i="7"/>
  <c r="K2590" i="7"/>
  <c r="K2591" i="7"/>
  <c r="K2592" i="7"/>
  <c r="K2593" i="7"/>
  <c r="K2594" i="7"/>
  <c r="K2595" i="7"/>
  <c r="K2596" i="7"/>
  <c r="K2597" i="7"/>
  <c r="K2598" i="7"/>
  <c r="K2599" i="7"/>
  <c r="K2600" i="7"/>
  <c r="K2601" i="7"/>
  <c r="K2602" i="7"/>
  <c r="K2603" i="7"/>
  <c r="K2604" i="7"/>
  <c r="K2605" i="7"/>
  <c r="K2606" i="7"/>
  <c r="K2607" i="7"/>
  <c r="K2608" i="7"/>
  <c r="K2609" i="7"/>
  <c r="K2610" i="7"/>
  <c r="K2611" i="7"/>
  <c r="K2612" i="7"/>
  <c r="K2613" i="7"/>
  <c r="K2614" i="7"/>
  <c r="K2615" i="7"/>
  <c r="K2616" i="7"/>
  <c r="K2617" i="7"/>
  <c r="K2618" i="7"/>
  <c r="K2619" i="7"/>
  <c r="K2620" i="7"/>
  <c r="K2621" i="7"/>
  <c r="K2622" i="7"/>
  <c r="K2623" i="7"/>
  <c r="K2624" i="7"/>
  <c r="K2625" i="7"/>
  <c r="K2626" i="7"/>
  <c r="K2627" i="7"/>
  <c r="K2628" i="7"/>
  <c r="K2629" i="7"/>
  <c r="K2630" i="7"/>
  <c r="K2631" i="7"/>
  <c r="K2632" i="7"/>
  <c r="K2633" i="7"/>
  <c r="K2634" i="7"/>
  <c r="K2635" i="7"/>
  <c r="K2636" i="7"/>
  <c r="K2637" i="7"/>
  <c r="K2638" i="7"/>
  <c r="K2639" i="7"/>
  <c r="K2640" i="7"/>
  <c r="K2641" i="7"/>
  <c r="K2642" i="7"/>
  <c r="K2643" i="7"/>
  <c r="K2644" i="7"/>
  <c r="K2645" i="7"/>
  <c r="K2646" i="7"/>
  <c r="K2647" i="7"/>
  <c r="K2648" i="7"/>
  <c r="K2649" i="7"/>
  <c r="K2650" i="7"/>
  <c r="K2651" i="7"/>
  <c r="K2652" i="7"/>
  <c r="K2653" i="7"/>
  <c r="K2654" i="7"/>
  <c r="K2655" i="7"/>
  <c r="K2656" i="7"/>
  <c r="K2657" i="7"/>
  <c r="K2658" i="7"/>
  <c r="K2659" i="7"/>
  <c r="K2660" i="7"/>
  <c r="K2661" i="7"/>
  <c r="K2662" i="7"/>
  <c r="K2663" i="7"/>
  <c r="K2664" i="7"/>
  <c r="K2665" i="7"/>
  <c r="K2666" i="7"/>
  <c r="K2667" i="7"/>
  <c r="K2668" i="7"/>
  <c r="K2669" i="7"/>
  <c r="K2670" i="7"/>
  <c r="K2671" i="7"/>
  <c r="K2672" i="7"/>
  <c r="K2673" i="7"/>
  <c r="K2674" i="7"/>
  <c r="K2675" i="7"/>
  <c r="K2676" i="7"/>
  <c r="K2677" i="7"/>
  <c r="K2678" i="7"/>
  <c r="K2679" i="7"/>
  <c r="K2680" i="7"/>
  <c r="K2681" i="7"/>
  <c r="K2682" i="7"/>
  <c r="K2683" i="7"/>
  <c r="K2684" i="7"/>
  <c r="K2685" i="7"/>
  <c r="K2686" i="7"/>
  <c r="K2687" i="7"/>
  <c r="K2688" i="7"/>
  <c r="K2689" i="7"/>
  <c r="K2690" i="7"/>
  <c r="K2691" i="7"/>
  <c r="K2692" i="7"/>
  <c r="K2693" i="7"/>
  <c r="K2694" i="7"/>
  <c r="K2695" i="7"/>
  <c r="K2696" i="7"/>
  <c r="K2697" i="7"/>
  <c r="K2698" i="7"/>
  <c r="K2699" i="7"/>
  <c r="K2700" i="7"/>
  <c r="K2701" i="7"/>
  <c r="K2702" i="7"/>
  <c r="K2703" i="7"/>
  <c r="K2704" i="7"/>
  <c r="K2705" i="7"/>
  <c r="K2706" i="7"/>
  <c r="K2707" i="7"/>
  <c r="K2708" i="7"/>
  <c r="K2709" i="7"/>
  <c r="K2710" i="7"/>
  <c r="K2711" i="7"/>
  <c r="K2712" i="7"/>
  <c r="K2713" i="7"/>
  <c r="K2714" i="7"/>
  <c r="K2715" i="7"/>
  <c r="K2716" i="7"/>
  <c r="K2717" i="7"/>
  <c r="K2718" i="7"/>
  <c r="K2719" i="7"/>
  <c r="K2720" i="7"/>
  <c r="K2721" i="7"/>
  <c r="K2722" i="7"/>
  <c r="K2723" i="7"/>
  <c r="K2724" i="7"/>
  <c r="K2725" i="7"/>
  <c r="K2726" i="7"/>
  <c r="K2727" i="7"/>
  <c r="K2728" i="7"/>
  <c r="K2729" i="7"/>
  <c r="K2730" i="7"/>
  <c r="K2731" i="7"/>
  <c r="K2732" i="7"/>
  <c r="K2733" i="7"/>
  <c r="K2734" i="7"/>
  <c r="K2735" i="7"/>
  <c r="K2736" i="7"/>
  <c r="K2737" i="7"/>
  <c r="K2738" i="7"/>
  <c r="K2739" i="7"/>
  <c r="K2740" i="7"/>
  <c r="K2741" i="7"/>
  <c r="K2742" i="7"/>
  <c r="K2743" i="7"/>
  <c r="K2744" i="7"/>
  <c r="K2745" i="7"/>
  <c r="K2746" i="7"/>
  <c r="K2747" i="7"/>
  <c r="K2748" i="7"/>
  <c r="K2749" i="7"/>
  <c r="K2750" i="7"/>
  <c r="K2751" i="7"/>
  <c r="K2752" i="7"/>
  <c r="K2753" i="7"/>
  <c r="K2754" i="7"/>
  <c r="K2755" i="7"/>
  <c r="K2756" i="7"/>
  <c r="K2757" i="7"/>
  <c r="K2758" i="7"/>
  <c r="K2759" i="7"/>
  <c r="K2760" i="7"/>
  <c r="K2761" i="7"/>
  <c r="K2762" i="7"/>
  <c r="K2763" i="7"/>
  <c r="K2764" i="7"/>
  <c r="K2765" i="7"/>
  <c r="K2766" i="7"/>
  <c r="K2767" i="7"/>
  <c r="K2768" i="7"/>
  <c r="K2769" i="7"/>
  <c r="K2770" i="7"/>
  <c r="K2771" i="7"/>
  <c r="K2772" i="7"/>
  <c r="K2773" i="7"/>
  <c r="K2774" i="7"/>
  <c r="K2775" i="7"/>
  <c r="K2776" i="7"/>
  <c r="K2777" i="7"/>
  <c r="K2778" i="7"/>
  <c r="K2779" i="7"/>
  <c r="K2780" i="7"/>
  <c r="K2781" i="7"/>
  <c r="K2782" i="7"/>
  <c r="K2783" i="7"/>
  <c r="K2784" i="7"/>
  <c r="K2785" i="7"/>
  <c r="K2786" i="7"/>
  <c r="K2787" i="7"/>
  <c r="K2788" i="7"/>
  <c r="K2789" i="7"/>
  <c r="K2790" i="7"/>
  <c r="K2791" i="7"/>
  <c r="K2792" i="7"/>
  <c r="K2793" i="7"/>
  <c r="K2794" i="7"/>
  <c r="K2795" i="7"/>
  <c r="K2796" i="7"/>
  <c r="K2797" i="7"/>
  <c r="K2798" i="7"/>
  <c r="K2799" i="7"/>
  <c r="K2800" i="7"/>
  <c r="K2801" i="7"/>
  <c r="K2802" i="7"/>
  <c r="K2803" i="7"/>
  <c r="K2804" i="7"/>
  <c r="K2805" i="7"/>
  <c r="K2806" i="7"/>
  <c r="K2807" i="7"/>
  <c r="K2808" i="7"/>
  <c r="K2809" i="7"/>
  <c r="K2810" i="7"/>
  <c r="K2811" i="7"/>
  <c r="K2812" i="7"/>
  <c r="K2813" i="7"/>
  <c r="K2814" i="7"/>
  <c r="K2815" i="7"/>
  <c r="K2816" i="7"/>
  <c r="K2817" i="7"/>
  <c r="K2818" i="7"/>
  <c r="K2819" i="7"/>
  <c r="K2820" i="7"/>
  <c r="K2821" i="7"/>
  <c r="K2822" i="7"/>
  <c r="K2823" i="7"/>
  <c r="K2824" i="7"/>
  <c r="K2825" i="7"/>
  <c r="K2826" i="7"/>
  <c r="K2827" i="7"/>
  <c r="K2828" i="7"/>
  <c r="K2829" i="7"/>
  <c r="K2830" i="7"/>
  <c r="K2831" i="7"/>
  <c r="K2832" i="7"/>
  <c r="K2833" i="7"/>
  <c r="K2834" i="7"/>
  <c r="K2835" i="7"/>
  <c r="K2836" i="7"/>
  <c r="K2837" i="7"/>
  <c r="K2838" i="7"/>
  <c r="K2839" i="7"/>
  <c r="K2840" i="7"/>
  <c r="K2841" i="7"/>
  <c r="K2842" i="7"/>
  <c r="K2843" i="7"/>
  <c r="K2844" i="7"/>
  <c r="K2845" i="7"/>
  <c r="K2846" i="7"/>
  <c r="K2847" i="7"/>
  <c r="K2848" i="7"/>
  <c r="K2849" i="7"/>
  <c r="K2850" i="7"/>
  <c r="K2851" i="7"/>
  <c r="K2852" i="7"/>
  <c r="K2853" i="7"/>
  <c r="K2854" i="7"/>
  <c r="K2855" i="7"/>
  <c r="K2856" i="7"/>
  <c r="K2857" i="7"/>
  <c r="K2858" i="7"/>
  <c r="K2859" i="7"/>
  <c r="K2860" i="7"/>
  <c r="K2861" i="7"/>
  <c r="K2862" i="7"/>
  <c r="K2863" i="7"/>
  <c r="K2864" i="7"/>
  <c r="K2865" i="7"/>
  <c r="K2866" i="7"/>
  <c r="K2867" i="7"/>
  <c r="K2868" i="7"/>
  <c r="K2869" i="7"/>
  <c r="K2870" i="7"/>
  <c r="K2871" i="7"/>
  <c r="K2872" i="7"/>
  <c r="K2873" i="7"/>
  <c r="K2874" i="7"/>
  <c r="K2875" i="7"/>
  <c r="K2876" i="7"/>
  <c r="K2877" i="7"/>
  <c r="K2878" i="7"/>
  <c r="K2879" i="7"/>
  <c r="K2880" i="7"/>
  <c r="K2881" i="7"/>
  <c r="K2882" i="7"/>
  <c r="K2883" i="7"/>
  <c r="K2884" i="7"/>
  <c r="K2885" i="7"/>
  <c r="K2886" i="7"/>
  <c r="K2887" i="7"/>
  <c r="K2888" i="7"/>
  <c r="K2889" i="7"/>
  <c r="K2890" i="7"/>
  <c r="K2891" i="7"/>
  <c r="K2892" i="7"/>
  <c r="K2893" i="7"/>
  <c r="K2894" i="7"/>
  <c r="K2895" i="7"/>
  <c r="K2896" i="7"/>
  <c r="K2897" i="7"/>
  <c r="K2898" i="7"/>
  <c r="K2899" i="7"/>
  <c r="K2900" i="7"/>
  <c r="K2901" i="7"/>
  <c r="K2902" i="7"/>
  <c r="K2903" i="7"/>
  <c r="K2904" i="7"/>
  <c r="K2905" i="7"/>
  <c r="K2906" i="7"/>
  <c r="K2907" i="7"/>
  <c r="K2908" i="7"/>
  <c r="K2909" i="7"/>
  <c r="K2910" i="7"/>
  <c r="K2911" i="7"/>
  <c r="K2912" i="7"/>
  <c r="K2913" i="7"/>
  <c r="K2914" i="7"/>
  <c r="K2915" i="7"/>
  <c r="K2916" i="7"/>
  <c r="K2917" i="7"/>
  <c r="K2918" i="7"/>
  <c r="K2919" i="7"/>
  <c r="K2920" i="7"/>
  <c r="K2921" i="7"/>
  <c r="K2922" i="7"/>
  <c r="K2923" i="7"/>
  <c r="K2924" i="7"/>
  <c r="K2925" i="7"/>
  <c r="K2926" i="7"/>
  <c r="K2927" i="7"/>
  <c r="K2928" i="7"/>
  <c r="K2929" i="7"/>
  <c r="K2930" i="7"/>
  <c r="K2931" i="7"/>
  <c r="K2932" i="7"/>
  <c r="K2933" i="7"/>
  <c r="K2934" i="7"/>
  <c r="K2935" i="7"/>
  <c r="K2936" i="7"/>
  <c r="K2937" i="7"/>
  <c r="K2938" i="7"/>
  <c r="K2939" i="7"/>
  <c r="K2940" i="7"/>
  <c r="K2941" i="7"/>
  <c r="K2942" i="7"/>
  <c r="K2943" i="7"/>
  <c r="K2944" i="7"/>
  <c r="K2945" i="7"/>
  <c r="K2946" i="7"/>
  <c r="K2947" i="7"/>
  <c r="K2948" i="7"/>
  <c r="K2949" i="7"/>
  <c r="K2950" i="7"/>
  <c r="K2951" i="7"/>
  <c r="K2952" i="7"/>
  <c r="K2953" i="7"/>
  <c r="K2954" i="7"/>
  <c r="K2955" i="7"/>
  <c r="K2956" i="7"/>
  <c r="K2957" i="7"/>
  <c r="K2958" i="7"/>
  <c r="K2959" i="7"/>
  <c r="K2960" i="7"/>
  <c r="K2961" i="7"/>
  <c r="K2962" i="7"/>
  <c r="K2963" i="7"/>
  <c r="K2964" i="7"/>
  <c r="K2965" i="7"/>
  <c r="K2966" i="7"/>
  <c r="K2967" i="7"/>
  <c r="K2968" i="7"/>
  <c r="K2969" i="7"/>
  <c r="K2970" i="7"/>
  <c r="K2971" i="7"/>
  <c r="K2972" i="7"/>
  <c r="K2973" i="7"/>
  <c r="K2974" i="7"/>
  <c r="K2975" i="7"/>
  <c r="K2976" i="7"/>
  <c r="K2977" i="7"/>
  <c r="K2978" i="7"/>
  <c r="K2979" i="7"/>
  <c r="K2980" i="7"/>
  <c r="K2981" i="7"/>
  <c r="K2982" i="7"/>
  <c r="K2983" i="7"/>
  <c r="K2984" i="7"/>
  <c r="K2985" i="7"/>
  <c r="K2986" i="7"/>
  <c r="K2987" i="7"/>
  <c r="K2988" i="7"/>
  <c r="K2989" i="7"/>
  <c r="K2990" i="7"/>
  <c r="K2991" i="7"/>
  <c r="K2992" i="7"/>
  <c r="K2993" i="7"/>
  <c r="K2994" i="7"/>
  <c r="K2995" i="7"/>
  <c r="K2996" i="7"/>
  <c r="K2997" i="7"/>
  <c r="K2998" i="7"/>
  <c r="K2999" i="7"/>
  <c r="K3000" i="7"/>
  <c r="K3001" i="7"/>
  <c r="K3002" i="7"/>
  <c r="K3003" i="7"/>
  <c r="K3004" i="7"/>
  <c r="K3005" i="7"/>
  <c r="K3006" i="7"/>
  <c r="K3007" i="7"/>
  <c r="K3008" i="7"/>
  <c r="K3009" i="7"/>
  <c r="K3010" i="7"/>
  <c r="K3011" i="7"/>
  <c r="K3012" i="7"/>
  <c r="K3013" i="7"/>
  <c r="K3014" i="7"/>
  <c r="K3015" i="7"/>
  <c r="K3016" i="7"/>
  <c r="K3017" i="7"/>
  <c r="K3018" i="7"/>
  <c r="K3019" i="7"/>
  <c r="K3020" i="7"/>
  <c r="K3021" i="7"/>
  <c r="K3022" i="7"/>
  <c r="K3023" i="7"/>
  <c r="K3024" i="7"/>
  <c r="K3025" i="7"/>
  <c r="K3026" i="7"/>
  <c r="K3027" i="7"/>
  <c r="K3028" i="7"/>
  <c r="K3029" i="7"/>
  <c r="K3030" i="7"/>
  <c r="K3031" i="7"/>
  <c r="K3032" i="7"/>
  <c r="K3033" i="7"/>
  <c r="K3034" i="7"/>
  <c r="K3035" i="7"/>
  <c r="K3036" i="7"/>
  <c r="K3037" i="7"/>
  <c r="K3038" i="7"/>
  <c r="K3039" i="7"/>
  <c r="K3040" i="7"/>
  <c r="K3041" i="7"/>
  <c r="K3042" i="7"/>
  <c r="K3043" i="7"/>
  <c r="K3044" i="7"/>
  <c r="K3045" i="7"/>
  <c r="K3046" i="7"/>
  <c r="K3047" i="7"/>
  <c r="K3048" i="7"/>
  <c r="K3049" i="7"/>
  <c r="K3050" i="7"/>
  <c r="K3051" i="7"/>
  <c r="K3052" i="7"/>
  <c r="K3053" i="7"/>
  <c r="K3054" i="7"/>
  <c r="K3055" i="7"/>
  <c r="K3056" i="7"/>
  <c r="K3057" i="7"/>
  <c r="K3058" i="7"/>
  <c r="K3059" i="7"/>
  <c r="K3060" i="7"/>
  <c r="K3061" i="7"/>
  <c r="K3062" i="7"/>
  <c r="K3063" i="7"/>
  <c r="K3064" i="7"/>
  <c r="K3065" i="7"/>
  <c r="K3066" i="7"/>
  <c r="K3067" i="7"/>
  <c r="K3068" i="7"/>
  <c r="K3069" i="7"/>
  <c r="K3070" i="7"/>
  <c r="K3071" i="7"/>
  <c r="K3072" i="7"/>
  <c r="K3073" i="7"/>
  <c r="K3074" i="7"/>
  <c r="K3075" i="7"/>
  <c r="K3076" i="7"/>
  <c r="K3077" i="7"/>
  <c r="K3078" i="7"/>
  <c r="K3079" i="7"/>
  <c r="K3080" i="7"/>
  <c r="K3081" i="7"/>
  <c r="K3082" i="7"/>
  <c r="K3083" i="7"/>
  <c r="K3084" i="7"/>
  <c r="K3085" i="7"/>
  <c r="K3086" i="7"/>
  <c r="K3087" i="7"/>
  <c r="K3088" i="7"/>
  <c r="K3089" i="7"/>
  <c r="K3090" i="7"/>
  <c r="K3091" i="7"/>
  <c r="K3092" i="7"/>
  <c r="K3093" i="7"/>
  <c r="K3094" i="7"/>
  <c r="K3095" i="7"/>
  <c r="K3096" i="7"/>
  <c r="K3097" i="7"/>
  <c r="K3098" i="7"/>
  <c r="K3099" i="7"/>
  <c r="K3100" i="7"/>
  <c r="K3101" i="7"/>
  <c r="K3102" i="7"/>
  <c r="K3103" i="7"/>
  <c r="K3104" i="7"/>
  <c r="K3105" i="7"/>
  <c r="K3106" i="7"/>
  <c r="K3107" i="7"/>
  <c r="K3108" i="7"/>
  <c r="K3109" i="7"/>
  <c r="K3110" i="7"/>
  <c r="K3111" i="7"/>
  <c r="K3112" i="7"/>
  <c r="K3113" i="7"/>
  <c r="K3114" i="7"/>
  <c r="K3115" i="7"/>
  <c r="K3116" i="7"/>
  <c r="K3117" i="7"/>
  <c r="K3118" i="7"/>
  <c r="K3119" i="7"/>
  <c r="K3120" i="7"/>
  <c r="K3121" i="7"/>
  <c r="K3122" i="7"/>
  <c r="K3123" i="7"/>
  <c r="K3124" i="7"/>
  <c r="K3125" i="7"/>
  <c r="K3126" i="7"/>
  <c r="K3127" i="7"/>
  <c r="K3128" i="7"/>
  <c r="K3129" i="7"/>
  <c r="K3130" i="7"/>
  <c r="K3131" i="7"/>
  <c r="K3132" i="7"/>
  <c r="K3133" i="7"/>
  <c r="K3134" i="7"/>
  <c r="K3135" i="7"/>
  <c r="K3136" i="7"/>
  <c r="K3137" i="7"/>
  <c r="K3138" i="7"/>
  <c r="K3139" i="7"/>
  <c r="K3140" i="7"/>
  <c r="K3141" i="7"/>
  <c r="K3142" i="7"/>
  <c r="K3143" i="7"/>
  <c r="K3144" i="7"/>
  <c r="K3145" i="7"/>
  <c r="K3146" i="7"/>
  <c r="K3147" i="7"/>
  <c r="K3148" i="7"/>
  <c r="K3149" i="7"/>
  <c r="K3150" i="7"/>
  <c r="K3151" i="7"/>
  <c r="K3152" i="7"/>
  <c r="K3153" i="7"/>
  <c r="K3154" i="7"/>
  <c r="K3155" i="7"/>
  <c r="K3156" i="7"/>
  <c r="K3157" i="7"/>
  <c r="K3158" i="7"/>
  <c r="K3159" i="7"/>
  <c r="K3160" i="7"/>
  <c r="K3161" i="7"/>
  <c r="K3162" i="7"/>
  <c r="K3163" i="7"/>
  <c r="K3164" i="7"/>
  <c r="K3165" i="7"/>
  <c r="K3166" i="7"/>
  <c r="K3167" i="7"/>
  <c r="K3168" i="7"/>
  <c r="K3169" i="7"/>
  <c r="K3170" i="7"/>
  <c r="K3171" i="7"/>
  <c r="K3172" i="7"/>
  <c r="K3173" i="7"/>
  <c r="K3174" i="7"/>
  <c r="K3175" i="7"/>
  <c r="K3176" i="7"/>
  <c r="K3177" i="7"/>
  <c r="K3178" i="7"/>
  <c r="K3179" i="7"/>
  <c r="K3180" i="7"/>
  <c r="K3181" i="7"/>
  <c r="K3182" i="7"/>
  <c r="K3183" i="7"/>
  <c r="K3184" i="7"/>
  <c r="K3185" i="7"/>
  <c r="K3186" i="7"/>
  <c r="K3187" i="7"/>
  <c r="K3188" i="7"/>
  <c r="K3189" i="7"/>
  <c r="K3190" i="7"/>
  <c r="K3191" i="7"/>
  <c r="K3192" i="7"/>
  <c r="K3193" i="7"/>
  <c r="K3194" i="7"/>
  <c r="K3195" i="7"/>
  <c r="K3196" i="7"/>
  <c r="K3197" i="7"/>
  <c r="K3198" i="7"/>
  <c r="K3199" i="7"/>
  <c r="K3200" i="7"/>
  <c r="K3201" i="7"/>
  <c r="K3202" i="7"/>
  <c r="K3203" i="7"/>
  <c r="K3204" i="7"/>
  <c r="K3205" i="7"/>
  <c r="K3206" i="7"/>
  <c r="K3207" i="7"/>
  <c r="K3208" i="7"/>
  <c r="K3209" i="7"/>
  <c r="K3210" i="7"/>
  <c r="K3211" i="7"/>
  <c r="K3212" i="7"/>
  <c r="K3213" i="7"/>
  <c r="K3214" i="7"/>
  <c r="K3215" i="7"/>
  <c r="K3216" i="7"/>
  <c r="K3217" i="7"/>
  <c r="K3218" i="7"/>
  <c r="K3219" i="7"/>
  <c r="K3220" i="7"/>
  <c r="K3221" i="7"/>
  <c r="K3222" i="7"/>
  <c r="K3223" i="7"/>
  <c r="K3224" i="7"/>
  <c r="K3225" i="7"/>
  <c r="K3226" i="7"/>
  <c r="K3227" i="7"/>
  <c r="K3228" i="7"/>
  <c r="K3229" i="7"/>
  <c r="K3230" i="7"/>
  <c r="K3231" i="7"/>
  <c r="K3232" i="7"/>
  <c r="K3233" i="7"/>
  <c r="K3234" i="7"/>
  <c r="K3235" i="7"/>
  <c r="K3236" i="7"/>
  <c r="K3237" i="7"/>
  <c r="K3238" i="7"/>
  <c r="K3239" i="7"/>
  <c r="K3240" i="7"/>
  <c r="K3241" i="7"/>
  <c r="K3242" i="7"/>
  <c r="K3243" i="7"/>
  <c r="K3244" i="7"/>
  <c r="K3245" i="7"/>
  <c r="K3246" i="7"/>
  <c r="K3247" i="7"/>
  <c r="K3248" i="7"/>
  <c r="K3249" i="7"/>
  <c r="K3250" i="7"/>
  <c r="K3251" i="7"/>
  <c r="K3252" i="7"/>
  <c r="K3253" i="7"/>
  <c r="K3254" i="7"/>
  <c r="K3255" i="7"/>
  <c r="K3256" i="7"/>
  <c r="K3257" i="7"/>
  <c r="K3258" i="7"/>
  <c r="K3259" i="7"/>
  <c r="K3260" i="7"/>
  <c r="K3261" i="7"/>
  <c r="K3262" i="7"/>
  <c r="K3263" i="7"/>
  <c r="K3264" i="7"/>
  <c r="K3265" i="7"/>
  <c r="K3266" i="7"/>
  <c r="K3267" i="7"/>
  <c r="K3268" i="7"/>
  <c r="K3269" i="7"/>
  <c r="K3270" i="7"/>
  <c r="K3271" i="7"/>
  <c r="K3272" i="7"/>
  <c r="K3273" i="7"/>
  <c r="K3274" i="7"/>
  <c r="K3275" i="7"/>
  <c r="K3276" i="7"/>
  <c r="K3277" i="7"/>
  <c r="K3278" i="7"/>
  <c r="K3279" i="7"/>
  <c r="K3280" i="7"/>
  <c r="K3281" i="7"/>
  <c r="K3282" i="7"/>
  <c r="K3283" i="7"/>
  <c r="K3284" i="7"/>
  <c r="K3285" i="7"/>
  <c r="K3286" i="7"/>
  <c r="K3287" i="7"/>
  <c r="K3288" i="7"/>
  <c r="K3289" i="7"/>
  <c r="K3290" i="7"/>
  <c r="K3291" i="7"/>
  <c r="K3292" i="7"/>
  <c r="K3293" i="7"/>
  <c r="K3294" i="7"/>
  <c r="K3295" i="7"/>
  <c r="K3296" i="7"/>
  <c r="K3297" i="7"/>
  <c r="K3298" i="7"/>
  <c r="K3299" i="7"/>
  <c r="K3300" i="7"/>
  <c r="K3301" i="7"/>
  <c r="K3302" i="7"/>
  <c r="K3303" i="7"/>
  <c r="K3304" i="7"/>
  <c r="K3305" i="7"/>
  <c r="K3306" i="7"/>
  <c r="K3307" i="7"/>
  <c r="K3308" i="7"/>
  <c r="K3309" i="7"/>
  <c r="K3310" i="7"/>
  <c r="K3311" i="7"/>
  <c r="K3312" i="7"/>
  <c r="K3313" i="7"/>
  <c r="K3314" i="7"/>
  <c r="K3315" i="7"/>
  <c r="K3316" i="7"/>
  <c r="K3317" i="7"/>
  <c r="K3318" i="7"/>
  <c r="K3319" i="7"/>
  <c r="K3320" i="7"/>
  <c r="K3321" i="7"/>
  <c r="K3322" i="7"/>
  <c r="K3323" i="7"/>
  <c r="K3324" i="7"/>
  <c r="K3325" i="7"/>
  <c r="K3326" i="7"/>
  <c r="K3327" i="7"/>
  <c r="K3328" i="7"/>
  <c r="K3329" i="7"/>
  <c r="K3330" i="7"/>
  <c r="K3331" i="7"/>
  <c r="K3332" i="7"/>
  <c r="K3333" i="7"/>
  <c r="K3334" i="7"/>
  <c r="K3335" i="7"/>
  <c r="K3336" i="7"/>
  <c r="K3337" i="7"/>
  <c r="K3338" i="7"/>
  <c r="K3339" i="7"/>
  <c r="K3340" i="7"/>
  <c r="K3341" i="7"/>
  <c r="K3342" i="7"/>
  <c r="K3343" i="7"/>
  <c r="K3344" i="7"/>
  <c r="K3345" i="7"/>
  <c r="K3346" i="7"/>
  <c r="K3347" i="7"/>
  <c r="K3348" i="7"/>
  <c r="K3349" i="7"/>
  <c r="K3350" i="7"/>
  <c r="K3351" i="7"/>
  <c r="K3352" i="7"/>
  <c r="K3353" i="7"/>
  <c r="K3354" i="7"/>
  <c r="K3355" i="7"/>
  <c r="K3356" i="7"/>
  <c r="K3357" i="7"/>
  <c r="K3358" i="7"/>
  <c r="K3359" i="7"/>
  <c r="K3360" i="7"/>
  <c r="K3361" i="7"/>
  <c r="K3362" i="7"/>
  <c r="K3363" i="7"/>
  <c r="K3364" i="7"/>
  <c r="K3365" i="7"/>
  <c r="K3366" i="7"/>
  <c r="K3367" i="7"/>
  <c r="K3368" i="7"/>
  <c r="K3369" i="7"/>
  <c r="K3370" i="7"/>
  <c r="K3371" i="7"/>
  <c r="K3372" i="7"/>
  <c r="K3373" i="7"/>
  <c r="K3374" i="7"/>
  <c r="K3375" i="7"/>
  <c r="K3376" i="7"/>
  <c r="K3377" i="7"/>
  <c r="K3378" i="7"/>
  <c r="K3379" i="7"/>
  <c r="K3380" i="7"/>
  <c r="K3381" i="7"/>
  <c r="K3382" i="7"/>
  <c r="K3383" i="7"/>
  <c r="K3384" i="7"/>
  <c r="K3385" i="7"/>
  <c r="K3386" i="7"/>
  <c r="K3387" i="7"/>
  <c r="K3388" i="7"/>
  <c r="K3389" i="7"/>
  <c r="K3390" i="7"/>
  <c r="K3391" i="7"/>
  <c r="K3392" i="7"/>
  <c r="K3393" i="7"/>
  <c r="K3394" i="7"/>
  <c r="K3395" i="7"/>
  <c r="K3396" i="7"/>
  <c r="K3397" i="7"/>
  <c r="K3398" i="7"/>
  <c r="K3399" i="7"/>
  <c r="K3400" i="7"/>
  <c r="K3401" i="7"/>
  <c r="K3402" i="7"/>
  <c r="K3403" i="7"/>
  <c r="K3404" i="7"/>
  <c r="K3405" i="7"/>
  <c r="K3406" i="7"/>
  <c r="K3407" i="7"/>
  <c r="K3408" i="7"/>
  <c r="K3409" i="7"/>
  <c r="K3410" i="7"/>
  <c r="K3411" i="7"/>
  <c r="K3412" i="7"/>
  <c r="K3413" i="7"/>
  <c r="K3414" i="7"/>
  <c r="K3415" i="7"/>
  <c r="K3416" i="7"/>
  <c r="K3417" i="7"/>
  <c r="K3418" i="7"/>
  <c r="K3419" i="7"/>
  <c r="K3420" i="7"/>
  <c r="K3421" i="7"/>
  <c r="K3422" i="7"/>
  <c r="K3423" i="7"/>
  <c r="K3424" i="7"/>
  <c r="K3425" i="7"/>
  <c r="K3426" i="7"/>
  <c r="K3427" i="7"/>
  <c r="K3428" i="7"/>
  <c r="K3429" i="7"/>
  <c r="K3430" i="7"/>
  <c r="K3431" i="7"/>
  <c r="K3432" i="7"/>
  <c r="K3433" i="7"/>
  <c r="K3434" i="7"/>
  <c r="K3435" i="7"/>
  <c r="K3436" i="7"/>
  <c r="K3437" i="7"/>
  <c r="K3438" i="7"/>
  <c r="K3439" i="7"/>
  <c r="K3440" i="7"/>
  <c r="K3441" i="7"/>
  <c r="K3442" i="7"/>
  <c r="K3443" i="7"/>
  <c r="K3444" i="7"/>
  <c r="K3445" i="7"/>
  <c r="K3446" i="7"/>
  <c r="K3447" i="7"/>
  <c r="K3448" i="7"/>
  <c r="K3449" i="7"/>
  <c r="K3450" i="7"/>
  <c r="K3451" i="7"/>
  <c r="K3452" i="7"/>
  <c r="K3453" i="7"/>
  <c r="K3454" i="7"/>
  <c r="K3455" i="7"/>
  <c r="K3456" i="7"/>
  <c r="K3457" i="7"/>
  <c r="K3458" i="7"/>
  <c r="K3459" i="7"/>
  <c r="K3460" i="7"/>
  <c r="K3461" i="7"/>
  <c r="K3462" i="7"/>
  <c r="K3463" i="7"/>
  <c r="K3464" i="7"/>
  <c r="K3465" i="7"/>
  <c r="K3466" i="7"/>
  <c r="K3467" i="7"/>
  <c r="K3468" i="7"/>
  <c r="K3469" i="7"/>
  <c r="K3470" i="7"/>
  <c r="K3471" i="7"/>
  <c r="K3472" i="7"/>
  <c r="K3473" i="7"/>
  <c r="K3474" i="7"/>
  <c r="K3475" i="7"/>
  <c r="K3476" i="7"/>
  <c r="K3477" i="7"/>
  <c r="K3478" i="7"/>
  <c r="K3479" i="7"/>
  <c r="K3480" i="7"/>
  <c r="K3481" i="7"/>
  <c r="K3482" i="7"/>
  <c r="K3483" i="7"/>
  <c r="K3484" i="7"/>
  <c r="K3485" i="7"/>
  <c r="K3486" i="7"/>
  <c r="K3487" i="7"/>
  <c r="K3488" i="7"/>
  <c r="K3489" i="7"/>
  <c r="K3490" i="7"/>
  <c r="K3491" i="7"/>
  <c r="K3492" i="7"/>
  <c r="K3493" i="7"/>
  <c r="K3494" i="7"/>
  <c r="K3495" i="7"/>
  <c r="K3496" i="7"/>
  <c r="K3497" i="7"/>
  <c r="K3498" i="7"/>
  <c r="K3499" i="7"/>
  <c r="K3500" i="7"/>
  <c r="K3501" i="7"/>
  <c r="K3502" i="7"/>
  <c r="K3503" i="7"/>
  <c r="K3504" i="7"/>
  <c r="K3505" i="7"/>
  <c r="K3506" i="7"/>
  <c r="K3507" i="7"/>
  <c r="K3508" i="7"/>
  <c r="K3509" i="7"/>
  <c r="K3510" i="7"/>
  <c r="K3511" i="7"/>
  <c r="K3512" i="7"/>
  <c r="K3513" i="7"/>
  <c r="K3514" i="7"/>
  <c r="K3515" i="7"/>
  <c r="K3516" i="7"/>
  <c r="K3517" i="7"/>
  <c r="K3518" i="7"/>
  <c r="K3519" i="7"/>
  <c r="K3520" i="7"/>
  <c r="K3521" i="7"/>
  <c r="K3522" i="7"/>
  <c r="K3523" i="7"/>
  <c r="K3524" i="7"/>
  <c r="K3525" i="7"/>
  <c r="K3526" i="7"/>
  <c r="K3527" i="7"/>
  <c r="K3528" i="7"/>
  <c r="K3529" i="7"/>
  <c r="K3530" i="7"/>
  <c r="K3531" i="7"/>
  <c r="K3532" i="7"/>
  <c r="K3533" i="7"/>
  <c r="K3534" i="7"/>
  <c r="K3535" i="7"/>
  <c r="K3536" i="7"/>
  <c r="K3537" i="7"/>
  <c r="K3538" i="7"/>
  <c r="K3539" i="7"/>
  <c r="K3540" i="7"/>
  <c r="K3541" i="7"/>
  <c r="K3542" i="7"/>
  <c r="K3543" i="7"/>
  <c r="K3544" i="7"/>
  <c r="K3545" i="7"/>
  <c r="K3546" i="7"/>
  <c r="K3547" i="7"/>
  <c r="K3548" i="7"/>
  <c r="K3549" i="7"/>
  <c r="K3550" i="7"/>
  <c r="K3551" i="7"/>
  <c r="K3552" i="7"/>
  <c r="K3553" i="7"/>
  <c r="K3554" i="7"/>
  <c r="K3555" i="7"/>
  <c r="K3556" i="7"/>
  <c r="K3557" i="7"/>
  <c r="K3558" i="7"/>
  <c r="K3559" i="7"/>
  <c r="K3560" i="7"/>
  <c r="K3561" i="7"/>
  <c r="K3562" i="7"/>
  <c r="K3563" i="7"/>
  <c r="K3564" i="7"/>
  <c r="K3565" i="7"/>
  <c r="K3566" i="7"/>
  <c r="K3567" i="7"/>
  <c r="K3568" i="7"/>
  <c r="K3569" i="7"/>
  <c r="K3570" i="7"/>
  <c r="K3571" i="7"/>
  <c r="K3572" i="7"/>
  <c r="K3573" i="7"/>
  <c r="K3574" i="7"/>
  <c r="K3575" i="7"/>
  <c r="K3576" i="7"/>
  <c r="K3577" i="7"/>
  <c r="K3578" i="7"/>
  <c r="K3579" i="7"/>
  <c r="K3580" i="7"/>
  <c r="K3581" i="7"/>
  <c r="K3582" i="7"/>
  <c r="K3583" i="7"/>
  <c r="K3584" i="7"/>
  <c r="K3585" i="7"/>
  <c r="K3586" i="7"/>
  <c r="K3587" i="7"/>
  <c r="K3588" i="7"/>
  <c r="K3589" i="7"/>
  <c r="K3590" i="7"/>
  <c r="K3591" i="7"/>
  <c r="K3592" i="7"/>
  <c r="K3593" i="7"/>
  <c r="K3594" i="7"/>
  <c r="K3595" i="7"/>
  <c r="K3596" i="7"/>
  <c r="K3597" i="7"/>
  <c r="K3598" i="7"/>
  <c r="K3599" i="7"/>
  <c r="K3600" i="7"/>
  <c r="K3601" i="7"/>
  <c r="K3602" i="7"/>
  <c r="K3603" i="7"/>
  <c r="K3604" i="7"/>
  <c r="K3605" i="7"/>
  <c r="K3606" i="7"/>
  <c r="K3607" i="7"/>
  <c r="K3608" i="7"/>
  <c r="K3609" i="7"/>
  <c r="K3610" i="7"/>
  <c r="K3611" i="7"/>
  <c r="K3612" i="7"/>
  <c r="K3613" i="7"/>
  <c r="K3614" i="7"/>
  <c r="K3615" i="7"/>
  <c r="K3616" i="7"/>
  <c r="K3617" i="7"/>
  <c r="K3618" i="7"/>
  <c r="K3619" i="7"/>
  <c r="K3620" i="7"/>
  <c r="K3621" i="7"/>
  <c r="K3622" i="7"/>
  <c r="K3623" i="7"/>
  <c r="K3624" i="7"/>
  <c r="K3625" i="7"/>
  <c r="K3626" i="7"/>
  <c r="K3627" i="7"/>
  <c r="K3628" i="7"/>
  <c r="K3629" i="7"/>
  <c r="K3630" i="7"/>
  <c r="K3631" i="7"/>
  <c r="K3632" i="7"/>
  <c r="K3633" i="7"/>
  <c r="K3634" i="7"/>
  <c r="K3635" i="7"/>
  <c r="K3636" i="7"/>
  <c r="K3637" i="7"/>
  <c r="K3638" i="7"/>
  <c r="K3639" i="7"/>
  <c r="K3640" i="7"/>
  <c r="K3641" i="7"/>
  <c r="K3642" i="7"/>
  <c r="K3643" i="7"/>
  <c r="K3644" i="7"/>
  <c r="K3645" i="7"/>
  <c r="K3646" i="7"/>
  <c r="K3647" i="7"/>
  <c r="K3648" i="7"/>
  <c r="K3649" i="7"/>
  <c r="K3650" i="7"/>
  <c r="K3651" i="7"/>
  <c r="K3652" i="7"/>
  <c r="K3653" i="7"/>
  <c r="K3654" i="7"/>
  <c r="K3655" i="7"/>
  <c r="K3656" i="7"/>
  <c r="K3657" i="7"/>
  <c r="K3658" i="7"/>
  <c r="K3659" i="7"/>
  <c r="K3660" i="7"/>
  <c r="K3661" i="7"/>
  <c r="K3662" i="7"/>
  <c r="K3663" i="7"/>
  <c r="K3664" i="7"/>
  <c r="K3665" i="7"/>
  <c r="K3666" i="7"/>
  <c r="K3667" i="7"/>
  <c r="K3668" i="7"/>
  <c r="K3669" i="7"/>
  <c r="K3670" i="7"/>
  <c r="K3671" i="7"/>
  <c r="K3672" i="7"/>
  <c r="K3673" i="7"/>
  <c r="K3674" i="7"/>
  <c r="K3675" i="7"/>
  <c r="K3676" i="7"/>
  <c r="K3677" i="7"/>
  <c r="K3678" i="7"/>
  <c r="K3679" i="7"/>
  <c r="K3680" i="7"/>
  <c r="K3681" i="7"/>
  <c r="K3682" i="7"/>
  <c r="K3683" i="7"/>
  <c r="K3684" i="7"/>
  <c r="K3685" i="7"/>
  <c r="K3686" i="7"/>
  <c r="K3687" i="7"/>
  <c r="K3688" i="7"/>
  <c r="K3689" i="7"/>
  <c r="K3690" i="7"/>
  <c r="K3691" i="7"/>
  <c r="K3692" i="7"/>
  <c r="K3693" i="7"/>
  <c r="K3694" i="7"/>
  <c r="K3695" i="7"/>
  <c r="K3696" i="7"/>
  <c r="K3697" i="7"/>
  <c r="K3698" i="7"/>
  <c r="K3699" i="7"/>
  <c r="K3700" i="7"/>
  <c r="K3701" i="7"/>
  <c r="K3702" i="7"/>
  <c r="K3703" i="7"/>
  <c r="K3704" i="7"/>
  <c r="K3705" i="7"/>
  <c r="K3706" i="7"/>
  <c r="K3707" i="7"/>
  <c r="K3708" i="7"/>
  <c r="K3709" i="7"/>
  <c r="K3710" i="7"/>
  <c r="K3711" i="7"/>
  <c r="K3712" i="7"/>
  <c r="K3713" i="7"/>
  <c r="K3714" i="7"/>
  <c r="K3715" i="7"/>
  <c r="K3716" i="7"/>
  <c r="K3717" i="7"/>
  <c r="K3718" i="7"/>
  <c r="K3719" i="7"/>
  <c r="K3720" i="7"/>
  <c r="K3721" i="7"/>
  <c r="K3722" i="7"/>
  <c r="K3723" i="7"/>
  <c r="K3724" i="7"/>
  <c r="K3725" i="7"/>
  <c r="K3726" i="7"/>
  <c r="K3727" i="7"/>
  <c r="K3728" i="7"/>
  <c r="K3729" i="7"/>
  <c r="K3730" i="7"/>
  <c r="K3731" i="7"/>
  <c r="K3732" i="7"/>
  <c r="K3733" i="7"/>
  <c r="K3734" i="7"/>
  <c r="K3735" i="7"/>
  <c r="K3736" i="7"/>
  <c r="K3737" i="7"/>
  <c r="K3738" i="7"/>
  <c r="K3739" i="7"/>
  <c r="K3740" i="7"/>
  <c r="K3741" i="7"/>
  <c r="K3742" i="7"/>
  <c r="K3743" i="7"/>
  <c r="K3744" i="7"/>
  <c r="K3745" i="7"/>
  <c r="K3746" i="7"/>
  <c r="K3747" i="7"/>
  <c r="K3748" i="7"/>
  <c r="K3749" i="7"/>
  <c r="K3750" i="7"/>
  <c r="K3751" i="7"/>
  <c r="K3752" i="7"/>
  <c r="K3753" i="7"/>
  <c r="K3754" i="7"/>
  <c r="K3755" i="7"/>
  <c r="K3756" i="7"/>
  <c r="K3757" i="7"/>
  <c r="K3758" i="7"/>
  <c r="K3759" i="7"/>
  <c r="K3760" i="7"/>
  <c r="K3761" i="7"/>
  <c r="K3762" i="7"/>
  <c r="K3763" i="7"/>
  <c r="K3764" i="7"/>
  <c r="K3765" i="7"/>
  <c r="K3766" i="7"/>
  <c r="K3767" i="7"/>
  <c r="K3768" i="7"/>
  <c r="K3769" i="7"/>
  <c r="K3770" i="7"/>
  <c r="K3771" i="7"/>
  <c r="K3772" i="7"/>
  <c r="K3773" i="7"/>
  <c r="K3774" i="7"/>
  <c r="K3775" i="7"/>
  <c r="K3776" i="7"/>
  <c r="K3777" i="7"/>
  <c r="K3778" i="7"/>
  <c r="K3779" i="7"/>
  <c r="K3780" i="7"/>
  <c r="K3781" i="7"/>
  <c r="K3782" i="7"/>
  <c r="K3783" i="7"/>
  <c r="K3784" i="7"/>
  <c r="K3785" i="7"/>
  <c r="K3786" i="7"/>
  <c r="K3787" i="7"/>
  <c r="K3788" i="7"/>
  <c r="K3789" i="7"/>
  <c r="K3790" i="7"/>
  <c r="K3791" i="7"/>
  <c r="K3792" i="7"/>
  <c r="K3793" i="7"/>
  <c r="K3794" i="7"/>
  <c r="K3795" i="7"/>
  <c r="K3796" i="7"/>
  <c r="K3797" i="7"/>
  <c r="K3798" i="7"/>
  <c r="K3799" i="7"/>
  <c r="K3800" i="7"/>
  <c r="K3801" i="7"/>
  <c r="K3802" i="7"/>
  <c r="K3803" i="7"/>
  <c r="K3804" i="7"/>
  <c r="K3805" i="7"/>
  <c r="K3806" i="7"/>
  <c r="K3807" i="7"/>
  <c r="K3808" i="7"/>
  <c r="K3809" i="7"/>
  <c r="K3810" i="7"/>
  <c r="K3811" i="7"/>
  <c r="K3812" i="7"/>
  <c r="K3813" i="7"/>
  <c r="K3814" i="7"/>
  <c r="K3815" i="7"/>
  <c r="K3816" i="7"/>
  <c r="K3817" i="7"/>
  <c r="K3818" i="7"/>
  <c r="K3819" i="7"/>
  <c r="K3820" i="7"/>
  <c r="K3821" i="7"/>
  <c r="K3822" i="7"/>
  <c r="K3823" i="7"/>
  <c r="K3824" i="7"/>
  <c r="K3825" i="7"/>
  <c r="K3826" i="7"/>
  <c r="K3827" i="7"/>
  <c r="K3828" i="7"/>
  <c r="K3829" i="7"/>
  <c r="K3830" i="7"/>
  <c r="K3831" i="7"/>
  <c r="K3832" i="7"/>
  <c r="K3833" i="7"/>
  <c r="K3834" i="7"/>
  <c r="K3835" i="7"/>
  <c r="K3836" i="7"/>
  <c r="K3837" i="7"/>
  <c r="K3838" i="7"/>
  <c r="K3839" i="7"/>
  <c r="K3840" i="7"/>
  <c r="K3841" i="7"/>
  <c r="K3842" i="7"/>
  <c r="K3843" i="7"/>
  <c r="K3844" i="7"/>
  <c r="K3845" i="7"/>
  <c r="K3846" i="7"/>
  <c r="K3847" i="7"/>
  <c r="K3848" i="7"/>
  <c r="K3849" i="7"/>
  <c r="K3850" i="7"/>
  <c r="K3851" i="7"/>
  <c r="K3852" i="7"/>
  <c r="K3853" i="7"/>
  <c r="K3854" i="7"/>
  <c r="K3855" i="7"/>
  <c r="K3856" i="7"/>
  <c r="K3857" i="7"/>
  <c r="K3858" i="7"/>
  <c r="K3859" i="7"/>
  <c r="K3860" i="7"/>
  <c r="K3861" i="7"/>
  <c r="K3862" i="7"/>
  <c r="K3863" i="7"/>
  <c r="K3864" i="7"/>
  <c r="K3865" i="7"/>
  <c r="K3866" i="7"/>
  <c r="K3867" i="7"/>
  <c r="K3868" i="7"/>
  <c r="K3869" i="7"/>
  <c r="K3870" i="7"/>
  <c r="K3871" i="7"/>
  <c r="K3872" i="7"/>
  <c r="K3873" i="7"/>
  <c r="K3874" i="7"/>
  <c r="K3875" i="7"/>
  <c r="K3876" i="7"/>
  <c r="K3877" i="7"/>
  <c r="K3878" i="7"/>
  <c r="K3879" i="7"/>
  <c r="K3880" i="7"/>
  <c r="K3881" i="7"/>
  <c r="K3882" i="7"/>
  <c r="K3883" i="7"/>
  <c r="K3884" i="7"/>
  <c r="K3885" i="7"/>
  <c r="K3886" i="7"/>
  <c r="K3887" i="7"/>
  <c r="K3888" i="7"/>
  <c r="K3889" i="7"/>
  <c r="K3890" i="7"/>
  <c r="K3891" i="7"/>
  <c r="K3892" i="7"/>
  <c r="K3893" i="7"/>
  <c r="K3894" i="7"/>
  <c r="K3895" i="7"/>
  <c r="K3896" i="7"/>
  <c r="K3897" i="7"/>
  <c r="K3898" i="7"/>
  <c r="K3899" i="7"/>
  <c r="K3900" i="7"/>
  <c r="K3901" i="7"/>
  <c r="K3902" i="7"/>
  <c r="K3903" i="7"/>
  <c r="K3904" i="7"/>
  <c r="K3905" i="7"/>
  <c r="K3906" i="7"/>
  <c r="K3907" i="7"/>
  <c r="K3908" i="7"/>
  <c r="K3909" i="7"/>
  <c r="K3910" i="7"/>
  <c r="K3911" i="7"/>
  <c r="K3912" i="7"/>
  <c r="K3913" i="7"/>
  <c r="K3914" i="7"/>
  <c r="K3915" i="7"/>
  <c r="K3916" i="7"/>
  <c r="K3917" i="7"/>
  <c r="K3918" i="7"/>
  <c r="K3919" i="7"/>
  <c r="K3920" i="7"/>
  <c r="K3921" i="7"/>
  <c r="K3922" i="7"/>
  <c r="K3923" i="7"/>
  <c r="K3924" i="7"/>
  <c r="K3925" i="7"/>
  <c r="K3926" i="7"/>
  <c r="K3927" i="7"/>
  <c r="K3928" i="7"/>
  <c r="K3929" i="7"/>
  <c r="K3930" i="7"/>
  <c r="K3931" i="7"/>
  <c r="K3932" i="7"/>
  <c r="K3933" i="7"/>
  <c r="K3934" i="7"/>
  <c r="K3935" i="7"/>
  <c r="K3936" i="7"/>
  <c r="K3937" i="7"/>
  <c r="K3938" i="7"/>
  <c r="K3939" i="7"/>
  <c r="K3940" i="7"/>
  <c r="K3941" i="7"/>
  <c r="K3942" i="7"/>
  <c r="K3943" i="7"/>
  <c r="K3944" i="7"/>
  <c r="K3945" i="7"/>
  <c r="K3946" i="7"/>
  <c r="K3947" i="7"/>
  <c r="K3948" i="7"/>
  <c r="K3949" i="7"/>
  <c r="K3950" i="7"/>
  <c r="K3951" i="7"/>
  <c r="K3952" i="7"/>
  <c r="K3953" i="7"/>
  <c r="K3954" i="7"/>
  <c r="K3955" i="7"/>
  <c r="K3956" i="7"/>
  <c r="K3957" i="7"/>
  <c r="K3958" i="7"/>
  <c r="K3959" i="7"/>
  <c r="K3960" i="7"/>
  <c r="K3961" i="7"/>
  <c r="K3962" i="7"/>
  <c r="K3963" i="7"/>
  <c r="K3964" i="7"/>
  <c r="K3965" i="7"/>
  <c r="K3966" i="7"/>
  <c r="K3967" i="7"/>
  <c r="K3968" i="7"/>
  <c r="K3969" i="7"/>
  <c r="K3970" i="7"/>
  <c r="K3971" i="7"/>
  <c r="K3972" i="7"/>
  <c r="K3973" i="7"/>
  <c r="K3974" i="7"/>
  <c r="K3975" i="7"/>
  <c r="K3976" i="7"/>
  <c r="K3977" i="7"/>
  <c r="K3978" i="7"/>
  <c r="K3979" i="7"/>
  <c r="K3980" i="7"/>
  <c r="K3981" i="7"/>
  <c r="K3982" i="7"/>
  <c r="K3983" i="7"/>
  <c r="K3984" i="7"/>
  <c r="K3985" i="7"/>
  <c r="K3986" i="7"/>
  <c r="K3987" i="7"/>
  <c r="K3988" i="7"/>
  <c r="K3989" i="7"/>
  <c r="K3990" i="7"/>
  <c r="K3991" i="7"/>
  <c r="K3992" i="7"/>
  <c r="K3993" i="7"/>
  <c r="K3994" i="7"/>
  <c r="K3995" i="7"/>
  <c r="K3996" i="7"/>
  <c r="K3997" i="7"/>
  <c r="K3998" i="7"/>
  <c r="K3999" i="7"/>
  <c r="K4000" i="7"/>
  <c r="K4001" i="7"/>
  <c r="K4002" i="7"/>
  <c r="K4003" i="7"/>
  <c r="K4004" i="7"/>
  <c r="K4005" i="7"/>
  <c r="K4006" i="7"/>
  <c r="K4007" i="7"/>
  <c r="K4008" i="7"/>
  <c r="K4009" i="7"/>
  <c r="K4010" i="7"/>
  <c r="K4011" i="7"/>
  <c r="K4012" i="7"/>
  <c r="K4013" i="7"/>
  <c r="K4014" i="7"/>
  <c r="K4015" i="7"/>
  <c r="K4016" i="7"/>
  <c r="K4017" i="7"/>
  <c r="K4018" i="7"/>
  <c r="K4019" i="7"/>
  <c r="K4020" i="7"/>
  <c r="K4021" i="7"/>
  <c r="K4022" i="7"/>
  <c r="K4023" i="7"/>
  <c r="K4024" i="7"/>
  <c r="K4025" i="7"/>
  <c r="K4026" i="7"/>
  <c r="K4027" i="7"/>
  <c r="K4028" i="7"/>
  <c r="K4029" i="7"/>
  <c r="K4030" i="7"/>
  <c r="K4031" i="7"/>
  <c r="K4032" i="7"/>
  <c r="K4033" i="7"/>
  <c r="K4034" i="7"/>
  <c r="K4035" i="7"/>
  <c r="K4036" i="7"/>
  <c r="K4037" i="7"/>
  <c r="K4038" i="7"/>
  <c r="K4039" i="7"/>
  <c r="K4040" i="7"/>
  <c r="K4041" i="7"/>
  <c r="K4042" i="7"/>
  <c r="K4043" i="7"/>
  <c r="K4044" i="7"/>
  <c r="K4045" i="7"/>
  <c r="K4046" i="7"/>
  <c r="K4047" i="7"/>
  <c r="K4048" i="7"/>
  <c r="K4049" i="7"/>
  <c r="K4050" i="7"/>
  <c r="K4051" i="7"/>
  <c r="K4052" i="7"/>
  <c r="K4053" i="7"/>
  <c r="K4054" i="7"/>
  <c r="K4055" i="7"/>
  <c r="K4056" i="7"/>
  <c r="K4057" i="7"/>
  <c r="K4058" i="7"/>
  <c r="K4059" i="7"/>
  <c r="K4060" i="7"/>
  <c r="K4061" i="7"/>
  <c r="K4062" i="7"/>
  <c r="K4063" i="7"/>
  <c r="K4064" i="7"/>
  <c r="K4065" i="7"/>
  <c r="K4066" i="7"/>
  <c r="K4067" i="7"/>
  <c r="K4068" i="7"/>
  <c r="K4069" i="7"/>
  <c r="K4070" i="7"/>
  <c r="K4071" i="7"/>
  <c r="K4072" i="7"/>
  <c r="K4073" i="7"/>
  <c r="K4074" i="7"/>
  <c r="K4075" i="7"/>
  <c r="K4076" i="7"/>
  <c r="K4077" i="7"/>
  <c r="K4078" i="7"/>
  <c r="K4079" i="7"/>
  <c r="K4080" i="7"/>
  <c r="K4081" i="7"/>
  <c r="K4082" i="7"/>
  <c r="K4083" i="7"/>
  <c r="K4084" i="7"/>
  <c r="K4085" i="7"/>
  <c r="K4086" i="7"/>
  <c r="K4087" i="7"/>
  <c r="K4088" i="7"/>
  <c r="K4089" i="7"/>
  <c r="K4090" i="7"/>
  <c r="K4091" i="7"/>
  <c r="K4092" i="7"/>
  <c r="K4093" i="7"/>
  <c r="K4094" i="7"/>
  <c r="K4095" i="7"/>
  <c r="K4096" i="7"/>
  <c r="K4097" i="7"/>
  <c r="K4098" i="7"/>
  <c r="K4099" i="7"/>
  <c r="K4100" i="7"/>
  <c r="K4101" i="7"/>
  <c r="K4102" i="7"/>
  <c r="K4103" i="7"/>
  <c r="K4104" i="7"/>
  <c r="K4105" i="7"/>
  <c r="K4106" i="7"/>
  <c r="K4107" i="7"/>
  <c r="K4108" i="7"/>
  <c r="K4109" i="7"/>
  <c r="K4110" i="7"/>
  <c r="K4111" i="7"/>
  <c r="K4112" i="7"/>
  <c r="K4113" i="7"/>
  <c r="K4114" i="7"/>
  <c r="K4115" i="7"/>
  <c r="K4116" i="7"/>
  <c r="K4117" i="7"/>
  <c r="K4118" i="7"/>
  <c r="K4119" i="7"/>
  <c r="K4120" i="7"/>
  <c r="K4121" i="7"/>
  <c r="K4122" i="7"/>
  <c r="K4123" i="7"/>
  <c r="K4124" i="7"/>
  <c r="K4125" i="7"/>
  <c r="K4126" i="7"/>
  <c r="K4127" i="7"/>
  <c r="K4128" i="7"/>
  <c r="K4129" i="7"/>
  <c r="K4130" i="7"/>
  <c r="K4131" i="7"/>
  <c r="K4132" i="7"/>
  <c r="K4133" i="7"/>
  <c r="K4134" i="7"/>
  <c r="K4135" i="7"/>
  <c r="K4136" i="7"/>
  <c r="K4137" i="7"/>
  <c r="K4138" i="7"/>
  <c r="K4139" i="7"/>
  <c r="K4140" i="7"/>
  <c r="K4141" i="7"/>
  <c r="K4142" i="7"/>
  <c r="K4143" i="7"/>
  <c r="K4144" i="7"/>
  <c r="K4145" i="7"/>
  <c r="K4146" i="7"/>
  <c r="K4147" i="7"/>
  <c r="K4148" i="7"/>
  <c r="K4149" i="7"/>
  <c r="K4150" i="7"/>
  <c r="K4151" i="7"/>
  <c r="K4152" i="7"/>
  <c r="K4153" i="7"/>
  <c r="K4154" i="7"/>
  <c r="K4155" i="7"/>
  <c r="K4156" i="7"/>
  <c r="K4157" i="7"/>
  <c r="K4158" i="7"/>
  <c r="K4159" i="7"/>
  <c r="K4160" i="7"/>
  <c r="K4161" i="7"/>
  <c r="K4162" i="7"/>
  <c r="K4163" i="7"/>
  <c r="K4164" i="7"/>
  <c r="K4165" i="7"/>
  <c r="K4166" i="7"/>
  <c r="K4167" i="7"/>
  <c r="K4168" i="7"/>
  <c r="K4169" i="7"/>
  <c r="K4170" i="7"/>
  <c r="K4171" i="7"/>
  <c r="K4172" i="7"/>
  <c r="K4173" i="7"/>
  <c r="K4174" i="7"/>
  <c r="K4175" i="7"/>
  <c r="K4176" i="7"/>
  <c r="K4177" i="7"/>
  <c r="K4178" i="7"/>
  <c r="K4179" i="7"/>
  <c r="K4180" i="7"/>
  <c r="K4181" i="7"/>
  <c r="K4182" i="7"/>
  <c r="K4183" i="7"/>
  <c r="K4184" i="7"/>
  <c r="K4185" i="7"/>
  <c r="K4186" i="7"/>
  <c r="K4187" i="7"/>
  <c r="K4188" i="7"/>
  <c r="K4189" i="7"/>
  <c r="K4190" i="7"/>
  <c r="K4191" i="7"/>
  <c r="K4192" i="7"/>
  <c r="K4193" i="7"/>
  <c r="K4194" i="7"/>
  <c r="K4195" i="7"/>
  <c r="K4196" i="7"/>
  <c r="K4197" i="7"/>
  <c r="K4198" i="7"/>
  <c r="K4199" i="7"/>
  <c r="K4200" i="7"/>
  <c r="K4201" i="7"/>
  <c r="K4202" i="7"/>
  <c r="K4203" i="7"/>
  <c r="K4204" i="7"/>
  <c r="K4205" i="7"/>
  <c r="K4206" i="7"/>
  <c r="K4207" i="7"/>
  <c r="K4208" i="7"/>
  <c r="K4209" i="7"/>
  <c r="K4210" i="7"/>
  <c r="K4211" i="7"/>
  <c r="K4212" i="7"/>
  <c r="K4213" i="7"/>
  <c r="K4214" i="7"/>
  <c r="K4215" i="7"/>
  <c r="K4216" i="7"/>
  <c r="K4217" i="7"/>
  <c r="K4218" i="7"/>
  <c r="K4219" i="7"/>
  <c r="K4220" i="7"/>
  <c r="K4221" i="7"/>
  <c r="K4222" i="7"/>
  <c r="K4223" i="7"/>
  <c r="K4224" i="7"/>
  <c r="K4225" i="7"/>
  <c r="K4226" i="7"/>
  <c r="K4227" i="7"/>
  <c r="K4228" i="7"/>
  <c r="K4229" i="7"/>
  <c r="K4230" i="7"/>
  <c r="K4231" i="7"/>
  <c r="K4232" i="7"/>
  <c r="K4233" i="7"/>
  <c r="K4234" i="7"/>
  <c r="K4235" i="7"/>
  <c r="K4236" i="7"/>
  <c r="K4237" i="7"/>
  <c r="K4238" i="7"/>
  <c r="K4239" i="7"/>
  <c r="K4240" i="7"/>
  <c r="K4241" i="7"/>
  <c r="K4242" i="7"/>
  <c r="K4243" i="7"/>
  <c r="K4244" i="7"/>
  <c r="K4245" i="7"/>
  <c r="K4246" i="7"/>
  <c r="K4247" i="7"/>
  <c r="K4248" i="7"/>
  <c r="K4249" i="7"/>
  <c r="K4250" i="7"/>
  <c r="K4251" i="7"/>
  <c r="K4252" i="7"/>
  <c r="K4253" i="7"/>
  <c r="K4254" i="7"/>
  <c r="K4255" i="7"/>
  <c r="K4256" i="7"/>
  <c r="K4257" i="7"/>
  <c r="K4258" i="7"/>
  <c r="K4259" i="7"/>
  <c r="K4260" i="7"/>
  <c r="K4261" i="7"/>
  <c r="K4262" i="7"/>
  <c r="K4263" i="7"/>
  <c r="K4264" i="7"/>
  <c r="K4265" i="7"/>
  <c r="K4266" i="7"/>
  <c r="K4267" i="7"/>
  <c r="K4268" i="7"/>
  <c r="K4269" i="7"/>
  <c r="K4270" i="7"/>
  <c r="K4271" i="7"/>
  <c r="K4272" i="7"/>
  <c r="K4273" i="7"/>
  <c r="K4274" i="7"/>
  <c r="K4275" i="7"/>
  <c r="K4276" i="7"/>
  <c r="K4277" i="7"/>
  <c r="K4278" i="7"/>
  <c r="K4279" i="7"/>
  <c r="K4280" i="7"/>
  <c r="K4281" i="7"/>
  <c r="K4282" i="7"/>
  <c r="K4283" i="7"/>
  <c r="K4284" i="7"/>
  <c r="K4285" i="7"/>
  <c r="K4286" i="7"/>
  <c r="K4287" i="7"/>
  <c r="K4288" i="7"/>
  <c r="K4289" i="7"/>
  <c r="K4290" i="7"/>
  <c r="K4291" i="7"/>
  <c r="K4292" i="7"/>
  <c r="K4293" i="7"/>
  <c r="K4294" i="7"/>
  <c r="K4295" i="7"/>
  <c r="K4296" i="7"/>
  <c r="K4297" i="7"/>
  <c r="K4298" i="7"/>
  <c r="K4299" i="7"/>
  <c r="K4300" i="7"/>
  <c r="K4301" i="7"/>
  <c r="K4302" i="7"/>
  <c r="K4303" i="7"/>
  <c r="K4304" i="7"/>
  <c r="K4305" i="7"/>
  <c r="K4306" i="7"/>
  <c r="K4307" i="7"/>
  <c r="K4308" i="7"/>
  <c r="K4309" i="7"/>
  <c r="K4310" i="7"/>
  <c r="K4311" i="7"/>
  <c r="K4312" i="7"/>
  <c r="K4313" i="7"/>
  <c r="K4314" i="7"/>
  <c r="K4315" i="7"/>
  <c r="K4316" i="7"/>
  <c r="K4317" i="7"/>
  <c r="K4318" i="7"/>
  <c r="K4319" i="7"/>
  <c r="K4320" i="7"/>
  <c r="K4321" i="7"/>
  <c r="K4322" i="7"/>
  <c r="K4323" i="7"/>
  <c r="K4324" i="7"/>
  <c r="K4325" i="7"/>
  <c r="K4326" i="7"/>
  <c r="K4327" i="7"/>
  <c r="K4328" i="7"/>
  <c r="K4329" i="7"/>
  <c r="K4330" i="7"/>
  <c r="K4331" i="7"/>
  <c r="K4332" i="7"/>
  <c r="K4333" i="7"/>
  <c r="K4334" i="7"/>
  <c r="K4335" i="7"/>
  <c r="K4336" i="7"/>
  <c r="K4337" i="7"/>
  <c r="K4338" i="7"/>
  <c r="K4339" i="7"/>
  <c r="K4340" i="7"/>
  <c r="K4341" i="7"/>
  <c r="K4342" i="7"/>
  <c r="K4343" i="7"/>
  <c r="K4344" i="7"/>
  <c r="K4345" i="7"/>
  <c r="K4346" i="7"/>
  <c r="K4347" i="7"/>
  <c r="K4348" i="7"/>
  <c r="K4349" i="7"/>
  <c r="K4350" i="7"/>
  <c r="K4351" i="7"/>
  <c r="K4352" i="7"/>
  <c r="K4353" i="7"/>
  <c r="K4354" i="7"/>
  <c r="K4355" i="7"/>
  <c r="K4356" i="7"/>
  <c r="K4357" i="7"/>
  <c r="K4358" i="7"/>
  <c r="K4359" i="7"/>
  <c r="K4360" i="7"/>
  <c r="K4361" i="7"/>
  <c r="K4362" i="7"/>
  <c r="K4363" i="7"/>
  <c r="K4364" i="7"/>
  <c r="K4365" i="7"/>
  <c r="K4366" i="7"/>
  <c r="K4367" i="7"/>
  <c r="K4368" i="7"/>
  <c r="K4369" i="7"/>
  <c r="K4370" i="7"/>
  <c r="K4371" i="7"/>
  <c r="K4372" i="7"/>
  <c r="K4373" i="7"/>
  <c r="K4374" i="7"/>
  <c r="K4375" i="7"/>
  <c r="K4376" i="7"/>
  <c r="K4377" i="7"/>
  <c r="K4378" i="7"/>
  <c r="K4379" i="7"/>
  <c r="K4380" i="7"/>
  <c r="K4381" i="7"/>
  <c r="K4382" i="7"/>
  <c r="K4383" i="7"/>
  <c r="K4384" i="7"/>
  <c r="K4385" i="7"/>
  <c r="K4386" i="7"/>
  <c r="K4387" i="7"/>
  <c r="K4388" i="7"/>
  <c r="K4389" i="7"/>
  <c r="K4390" i="7"/>
  <c r="K4391" i="7"/>
  <c r="K4392" i="7"/>
  <c r="K4393" i="7"/>
  <c r="K4394" i="7"/>
  <c r="K4395" i="7"/>
  <c r="K4396" i="7"/>
  <c r="K4397" i="7"/>
  <c r="K4398" i="7"/>
  <c r="K4399" i="7"/>
  <c r="K4400" i="7"/>
  <c r="K4401" i="7"/>
  <c r="K4402" i="7"/>
  <c r="K4403" i="7"/>
  <c r="K4404" i="7"/>
  <c r="K4405" i="7"/>
  <c r="K4406" i="7"/>
  <c r="K4407" i="7"/>
  <c r="K4408" i="7"/>
  <c r="K4409" i="7"/>
  <c r="K4410" i="7"/>
  <c r="K4411" i="7"/>
  <c r="K4412" i="7"/>
  <c r="K4413" i="7"/>
  <c r="K4414" i="7"/>
  <c r="K4415" i="7"/>
  <c r="K4416" i="7"/>
  <c r="K4417" i="7"/>
  <c r="K4418" i="7"/>
  <c r="K4419" i="7"/>
  <c r="K4420" i="7"/>
  <c r="K4421" i="7"/>
  <c r="K4422" i="7"/>
  <c r="K4423" i="7"/>
  <c r="K4424" i="7"/>
  <c r="K4425" i="7"/>
  <c r="K4426" i="7"/>
  <c r="K4427" i="7"/>
  <c r="K4428" i="7"/>
  <c r="K4429" i="7"/>
  <c r="K4430" i="7"/>
  <c r="K4431" i="7"/>
  <c r="K4432" i="7"/>
  <c r="K4433" i="7"/>
  <c r="K4434" i="7"/>
  <c r="K4435" i="7"/>
  <c r="K4436" i="7"/>
  <c r="K4437" i="7"/>
  <c r="K4438" i="7"/>
  <c r="K4439" i="7"/>
  <c r="K4440" i="7"/>
  <c r="K4441" i="7"/>
  <c r="K4442" i="7"/>
  <c r="K4443" i="7"/>
  <c r="K4444" i="7"/>
  <c r="K4445" i="7"/>
  <c r="K4446" i="7"/>
  <c r="K4447" i="7"/>
  <c r="K4448" i="7"/>
  <c r="K4449" i="7"/>
  <c r="K4450" i="7"/>
  <c r="K4451" i="7"/>
  <c r="K4452" i="7"/>
  <c r="K4453" i="7"/>
  <c r="K4454" i="7"/>
  <c r="K4455" i="7"/>
  <c r="K4456" i="7"/>
  <c r="K4457" i="7"/>
  <c r="K4458" i="7"/>
  <c r="K4459" i="7"/>
  <c r="K4460" i="7"/>
  <c r="K4461" i="7"/>
  <c r="K4462" i="7"/>
  <c r="K4463" i="7"/>
  <c r="K4464" i="7"/>
  <c r="K4465" i="7"/>
  <c r="K4466" i="7"/>
  <c r="K4467" i="7"/>
  <c r="K4468" i="7"/>
  <c r="K4469" i="7"/>
  <c r="K4470" i="7"/>
  <c r="K4471" i="7"/>
  <c r="K4472" i="7"/>
  <c r="K4473" i="7"/>
  <c r="K4474" i="7"/>
  <c r="K4475" i="7"/>
  <c r="K4476" i="7"/>
  <c r="K4477" i="7"/>
  <c r="K4478" i="7"/>
  <c r="K4479" i="7"/>
  <c r="K4480" i="7"/>
  <c r="K4481" i="7"/>
  <c r="K4482" i="7"/>
  <c r="K4483" i="7"/>
  <c r="K4484" i="7"/>
  <c r="K4485" i="7"/>
  <c r="K4486" i="7"/>
  <c r="K4487" i="7"/>
  <c r="K4488" i="7"/>
  <c r="K4489" i="7"/>
  <c r="K4490" i="7"/>
  <c r="K4491" i="7"/>
  <c r="K4492" i="7"/>
  <c r="K4493" i="7"/>
  <c r="K4494" i="7"/>
  <c r="K4495" i="7"/>
  <c r="K4496" i="7"/>
  <c r="K4497" i="7"/>
  <c r="K4498" i="7"/>
  <c r="K4499" i="7"/>
  <c r="K4500" i="7"/>
  <c r="K4501" i="7"/>
  <c r="K4502" i="7"/>
  <c r="K4503" i="7"/>
  <c r="K4504" i="7"/>
  <c r="K4505" i="7"/>
  <c r="K4506" i="7"/>
  <c r="K4507" i="7"/>
  <c r="K4508" i="7"/>
  <c r="K4509" i="7"/>
  <c r="K4510" i="7"/>
  <c r="K4511" i="7"/>
  <c r="K4512" i="7"/>
  <c r="K4513" i="7"/>
  <c r="K4514" i="7"/>
  <c r="K4515" i="7"/>
  <c r="K4516" i="7"/>
  <c r="K4517" i="7"/>
  <c r="K4518" i="7"/>
  <c r="K4519" i="7"/>
  <c r="K4520" i="7"/>
  <c r="K4521" i="7"/>
  <c r="K4522" i="7"/>
  <c r="K4523" i="7"/>
  <c r="K4524" i="7"/>
  <c r="K4525" i="7"/>
  <c r="K4526" i="7"/>
  <c r="K4527" i="7"/>
  <c r="K4528" i="7"/>
  <c r="K4529" i="7"/>
  <c r="K4530" i="7"/>
  <c r="K4531" i="7"/>
  <c r="K4532" i="7"/>
  <c r="K4533" i="7"/>
  <c r="K4534" i="7"/>
  <c r="K4535" i="7"/>
  <c r="K4536" i="7"/>
  <c r="K4537" i="7"/>
  <c r="K4538" i="7"/>
  <c r="K4539" i="7"/>
  <c r="K4540" i="7"/>
  <c r="K4541" i="7"/>
  <c r="K4542" i="7"/>
  <c r="K4543" i="7"/>
  <c r="K4544" i="7"/>
  <c r="K4545" i="7"/>
  <c r="K4546" i="7"/>
  <c r="K4547" i="7"/>
  <c r="K4548" i="7"/>
  <c r="K4549" i="7"/>
  <c r="K4550" i="7"/>
  <c r="K4551" i="7"/>
  <c r="K4552" i="7"/>
  <c r="K4553" i="7"/>
  <c r="K4554" i="7"/>
  <c r="K4555" i="7"/>
  <c r="K4556" i="7"/>
  <c r="K4557" i="7"/>
  <c r="K4558" i="7"/>
  <c r="K4559" i="7"/>
  <c r="K4560" i="7"/>
  <c r="K4561" i="7"/>
  <c r="K4562" i="7"/>
  <c r="K4563" i="7"/>
  <c r="K4564" i="7"/>
  <c r="K4565" i="7"/>
  <c r="K4566" i="7"/>
  <c r="K4567" i="7"/>
  <c r="K4568" i="7"/>
  <c r="K4569" i="7"/>
  <c r="K4570" i="7"/>
  <c r="K4571" i="7"/>
  <c r="K4572" i="7"/>
  <c r="K4573" i="7"/>
  <c r="K4574" i="7"/>
  <c r="K4575" i="7"/>
  <c r="K4576" i="7"/>
  <c r="K4577" i="7"/>
  <c r="K4578" i="7"/>
  <c r="K4579" i="7"/>
  <c r="K4580" i="7"/>
  <c r="K4581" i="7"/>
  <c r="K4582" i="7"/>
  <c r="K4583" i="7"/>
  <c r="K4584" i="7"/>
  <c r="K4585" i="7"/>
  <c r="K4586" i="7"/>
  <c r="K4587" i="7"/>
  <c r="K4588" i="7"/>
  <c r="K4589" i="7"/>
  <c r="K4590" i="7"/>
  <c r="K4591" i="7"/>
  <c r="K4592" i="7"/>
  <c r="K4593" i="7"/>
  <c r="K4594" i="7"/>
  <c r="K4595" i="7"/>
  <c r="K4596" i="7"/>
  <c r="K4597" i="7"/>
  <c r="K4598" i="7"/>
  <c r="K4599" i="7"/>
  <c r="K4600" i="7"/>
  <c r="K4601" i="7"/>
  <c r="K4602" i="7"/>
  <c r="K4603" i="7"/>
  <c r="K4604" i="7"/>
  <c r="K4605" i="7"/>
  <c r="K4606" i="7"/>
  <c r="K4607" i="7"/>
  <c r="K4608" i="7"/>
  <c r="K4609" i="7"/>
  <c r="K4610" i="7"/>
  <c r="K4611" i="7"/>
  <c r="K4612" i="7"/>
  <c r="K4613" i="7"/>
  <c r="K4614" i="7"/>
  <c r="K4615" i="7"/>
  <c r="K4616" i="7"/>
  <c r="K4617" i="7"/>
  <c r="K4618" i="7"/>
  <c r="K4619" i="7"/>
  <c r="K4620" i="7"/>
  <c r="K4621" i="7"/>
  <c r="K4622" i="7"/>
  <c r="K4623" i="7"/>
  <c r="K4624" i="7"/>
  <c r="K4625" i="7"/>
  <c r="K4626" i="7"/>
  <c r="K4627" i="7"/>
  <c r="K4628" i="7"/>
  <c r="K4629" i="7"/>
  <c r="K4630" i="7"/>
  <c r="K4631" i="7"/>
  <c r="K4632" i="7"/>
  <c r="K4633" i="7"/>
  <c r="K4634" i="7"/>
  <c r="K4635" i="7"/>
  <c r="K4636" i="7"/>
  <c r="K4637" i="7"/>
  <c r="K4638" i="7"/>
  <c r="K4639" i="7"/>
  <c r="K4640" i="7"/>
  <c r="K4641" i="7"/>
  <c r="K4642" i="7"/>
  <c r="K4643" i="7"/>
  <c r="K4644" i="7"/>
  <c r="K4645" i="7"/>
  <c r="K4646" i="7"/>
  <c r="K4647" i="7"/>
  <c r="K4648" i="7"/>
  <c r="K4649" i="7"/>
  <c r="K4650" i="7"/>
  <c r="K4651" i="7"/>
  <c r="K4652" i="7"/>
  <c r="K4653" i="7"/>
  <c r="K4654" i="7"/>
  <c r="K4655" i="7"/>
  <c r="K4656" i="7"/>
  <c r="K4657" i="7"/>
  <c r="K4658" i="7"/>
  <c r="K4659" i="7"/>
  <c r="K4660" i="7"/>
  <c r="K4661" i="7"/>
  <c r="K4662" i="7"/>
  <c r="K4663" i="7"/>
  <c r="K4664" i="7"/>
  <c r="K4665" i="7"/>
  <c r="K4666" i="7"/>
  <c r="K4667" i="7"/>
  <c r="K4668" i="7"/>
  <c r="K4669" i="7"/>
  <c r="K4670" i="7"/>
  <c r="K4671" i="7"/>
  <c r="K4672" i="7"/>
  <c r="K4673" i="7"/>
  <c r="K4674" i="7"/>
  <c r="K4675" i="7"/>
  <c r="K4676" i="7"/>
  <c r="K4677" i="7"/>
  <c r="K4678" i="7"/>
  <c r="K4679" i="7"/>
  <c r="K4680" i="7"/>
  <c r="K4681" i="7"/>
  <c r="K4682" i="7"/>
  <c r="K4683" i="7"/>
  <c r="K4684" i="7"/>
  <c r="K4685" i="7"/>
  <c r="K4686" i="7"/>
  <c r="K4687" i="7"/>
  <c r="K4688" i="7"/>
  <c r="K4689" i="7"/>
  <c r="K4690" i="7"/>
  <c r="K4691" i="7"/>
  <c r="K4692" i="7"/>
  <c r="K4693" i="7"/>
  <c r="K4694" i="7"/>
  <c r="K4695" i="7"/>
  <c r="K4696" i="7"/>
  <c r="K4697" i="7"/>
  <c r="K4698" i="7"/>
  <c r="K4699" i="7"/>
  <c r="K4700" i="7"/>
  <c r="K4701" i="7"/>
  <c r="K4702" i="7"/>
  <c r="K4703" i="7"/>
  <c r="K4704" i="7"/>
  <c r="K4705" i="7"/>
  <c r="K4706" i="7"/>
  <c r="K4707" i="7"/>
  <c r="K4708" i="7"/>
  <c r="K4709" i="7"/>
  <c r="K4710" i="7"/>
  <c r="K4711" i="7"/>
  <c r="K4712" i="7"/>
  <c r="K4713" i="7"/>
  <c r="K4714" i="7"/>
  <c r="K4715" i="7"/>
  <c r="K4716" i="7"/>
  <c r="K4717" i="7"/>
  <c r="K4718" i="7"/>
  <c r="K4719" i="7"/>
  <c r="K4720" i="7"/>
  <c r="K4721" i="7"/>
  <c r="K4722" i="7"/>
  <c r="K4723" i="7"/>
  <c r="K4724" i="7"/>
  <c r="K4725" i="7"/>
  <c r="K4726" i="7"/>
  <c r="K4727" i="7"/>
  <c r="K4728" i="7"/>
  <c r="K4729" i="7"/>
  <c r="K4730" i="7"/>
  <c r="K4731" i="7"/>
  <c r="K4732" i="7"/>
  <c r="K4733" i="7"/>
  <c r="K4734" i="7"/>
  <c r="K4735" i="7"/>
  <c r="K4736" i="7"/>
  <c r="K4737" i="7"/>
  <c r="K4738" i="7"/>
  <c r="K4739" i="7"/>
  <c r="K4740" i="7"/>
  <c r="K4741" i="7"/>
  <c r="K4742" i="7"/>
  <c r="K4743" i="7"/>
  <c r="K4744" i="7"/>
  <c r="K4745" i="7"/>
  <c r="K4746" i="7"/>
  <c r="K4747" i="7"/>
  <c r="K4748" i="7"/>
  <c r="K4749" i="7"/>
  <c r="K4750" i="7"/>
  <c r="K4751" i="7"/>
  <c r="K4752" i="7"/>
  <c r="K4753" i="7"/>
  <c r="K4754" i="7"/>
  <c r="K4755" i="7"/>
  <c r="K4756" i="7"/>
  <c r="K4757" i="7"/>
  <c r="K4758" i="7"/>
  <c r="K4759" i="7"/>
  <c r="K4760" i="7"/>
  <c r="K4761" i="7"/>
  <c r="K4762" i="7"/>
  <c r="K4763" i="7"/>
  <c r="K4764" i="7"/>
  <c r="K4765" i="7"/>
  <c r="K4766" i="7"/>
  <c r="K4767" i="7"/>
  <c r="K4768" i="7"/>
  <c r="K4769" i="7"/>
  <c r="K4770" i="7"/>
  <c r="K4771" i="7"/>
  <c r="K4772" i="7"/>
  <c r="K4773" i="7"/>
  <c r="K4774" i="7"/>
  <c r="K4775" i="7"/>
  <c r="K4776" i="7"/>
  <c r="K4777" i="7"/>
  <c r="K4778" i="7"/>
  <c r="K4779" i="7"/>
  <c r="K4780" i="7"/>
  <c r="K4781" i="7"/>
  <c r="K4782" i="7"/>
  <c r="K4783" i="7"/>
  <c r="K4784" i="7"/>
  <c r="K4785" i="7"/>
  <c r="K4786" i="7"/>
  <c r="K4787" i="7"/>
  <c r="K4788" i="7"/>
  <c r="K4789" i="7"/>
  <c r="K4790" i="7"/>
  <c r="K4791" i="7"/>
  <c r="K4792" i="7"/>
  <c r="K4793" i="7"/>
  <c r="K4794" i="7"/>
  <c r="K4795" i="7"/>
  <c r="K4796" i="7"/>
  <c r="K4797" i="7"/>
  <c r="K4798" i="7"/>
  <c r="K4799" i="7"/>
  <c r="K4800" i="7"/>
  <c r="K4801" i="7"/>
  <c r="K4802" i="7"/>
  <c r="K4803" i="7"/>
  <c r="K4804" i="7"/>
  <c r="K4805" i="7"/>
  <c r="K4806" i="7"/>
  <c r="K4807" i="7"/>
  <c r="K4808" i="7"/>
  <c r="K4809" i="7"/>
  <c r="K4810" i="7"/>
  <c r="K4811" i="7"/>
  <c r="K4812" i="7"/>
  <c r="K4813" i="7"/>
  <c r="K4814" i="7"/>
  <c r="K4815" i="7"/>
  <c r="K4816" i="7"/>
  <c r="K4817" i="7"/>
  <c r="K4818" i="7"/>
  <c r="K4819" i="7"/>
  <c r="K4820" i="7"/>
  <c r="K4821" i="7"/>
  <c r="K4822" i="7"/>
  <c r="K4823" i="7"/>
  <c r="K4824" i="7"/>
  <c r="K4825" i="7"/>
  <c r="K4826" i="7"/>
  <c r="K4827" i="7"/>
  <c r="K4828" i="7"/>
  <c r="K4829" i="7"/>
  <c r="K4830" i="7"/>
  <c r="K4831" i="7"/>
  <c r="K4832" i="7"/>
  <c r="K4833" i="7"/>
  <c r="K4834" i="7"/>
  <c r="K4835" i="7"/>
  <c r="K4836" i="7"/>
  <c r="K4837" i="7"/>
  <c r="K4838" i="7"/>
  <c r="K4839" i="7"/>
  <c r="K4840" i="7"/>
  <c r="K4841" i="7"/>
  <c r="K4842" i="7"/>
  <c r="K4843" i="7"/>
  <c r="K4844" i="7"/>
  <c r="K4845" i="7"/>
  <c r="K4846" i="7"/>
  <c r="K4847" i="7"/>
  <c r="K4848" i="7"/>
  <c r="K4849" i="7"/>
  <c r="K4850" i="7"/>
  <c r="K4851" i="7"/>
  <c r="K4852" i="7"/>
  <c r="K4853" i="7"/>
  <c r="K4854" i="7"/>
  <c r="K4855" i="7"/>
  <c r="K4856" i="7"/>
  <c r="K4857" i="7"/>
  <c r="K4858" i="7"/>
  <c r="K4859" i="7"/>
  <c r="K4860" i="7"/>
  <c r="K4861" i="7"/>
  <c r="K4862" i="7"/>
  <c r="K4863" i="7"/>
  <c r="K4864" i="7"/>
  <c r="K4865" i="7"/>
  <c r="K4866" i="7"/>
  <c r="K4867" i="7"/>
  <c r="K4868" i="7"/>
  <c r="K4869" i="7"/>
  <c r="K4870" i="7"/>
  <c r="K4871" i="7"/>
  <c r="K4872" i="7"/>
  <c r="K4873" i="7"/>
  <c r="K4874" i="7"/>
  <c r="K4875" i="7"/>
  <c r="K4876" i="7"/>
  <c r="K4877" i="7"/>
  <c r="K4878" i="7"/>
  <c r="K4879" i="7"/>
  <c r="K4880" i="7"/>
  <c r="K4881" i="7"/>
  <c r="K4882" i="7"/>
  <c r="K4883" i="7"/>
  <c r="K4884" i="7"/>
  <c r="K4885" i="7"/>
  <c r="K4886" i="7"/>
  <c r="K4887" i="7"/>
  <c r="K4888" i="7"/>
  <c r="K4889" i="7"/>
  <c r="K4890" i="7"/>
  <c r="K4891" i="7"/>
  <c r="K4892" i="7"/>
  <c r="K4893" i="7"/>
  <c r="K4894" i="7"/>
  <c r="K4895" i="7"/>
  <c r="K4896" i="7"/>
  <c r="K4897" i="7"/>
  <c r="K4898" i="7"/>
  <c r="K4899" i="7"/>
  <c r="K4900" i="7"/>
  <c r="K4901" i="7"/>
  <c r="K4902" i="7"/>
  <c r="K4903" i="7"/>
  <c r="K4904" i="7"/>
  <c r="K4905" i="7"/>
  <c r="K4906" i="7"/>
  <c r="K4907" i="7"/>
  <c r="K4908" i="7"/>
  <c r="K4909" i="7"/>
  <c r="K4910" i="7"/>
  <c r="K4911" i="7"/>
  <c r="K4912" i="7"/>
  <c r="K4913" i="7"/>
  <c r="K4914" i="7"/>
  <c r="K4915" i="7"/>
  <c r="K4916" i="7"/>
  <c r="K4917" i="7"/>
  <c r="K4918" i="7"/>
  <c r="K4919" i="7"/>
  <c r="K4920" i="7"/>
  <c r="K4921" i="7"/>
  <c r="K4922" i="7"/>
  <c r="K4923" i="7"/>
  <c r="K4924" i="7"/>
  <c r="K4925" i="7"/>
  <c r="K4926" i="7"/>
  <c r="K4927" i="7"/>
  <c r="K4928" i="7"/>
  <c r="K4929" i="7"/>
  <c r="K4930" i="7"/>
  <c r="K4931" i="7"/>
  <c r="K4932" i="7"/>
  <c r="K4933" i="7"/>
  <c r="K4934" i="7"/>
  <c r="K4935" i="7"/>
  <c r="K4936" i="7"/>
  <c r="K4937" i="7"/>
  <c r="K4938" i="7"/>
  <c r="K4939" i="7"/>
  <c r="K4940" i="7"/>
  <c r="K4941" i="7"/>
  <c r="K4942" i="7"/>
  <c r="K4943" i="7"/>
  <c r="K4944" i="7"/>
  <c r="K4945" i="7"/>
  <c r="K4946" i="7"/>
  <c r="K4947" i="7"/>
  <c r="K4948" i="7"/>
  <c r="K4949" i="7"/>
  <c r="K4950" i="7"/>
  <c r="K4951" i="7"/>
  <c r="K4952" i="7"/>
  <c r="K4953" i="7"/>
  <c r="K4954" i="7"/>
  <c r="K4955" i="7"/>
  <c r="K4956" i="7"/>
  <c r="K4957" i="7"/>
  <c r="K4958" i="7"/>
  <c r="K4959" i="7"/>
  <c r="K4960" i="7"/>
  <c r="K4961" i="7"/>
  <c r="K4962" i="7"/>
  <c r="K4963" i="7"/>
  <c r="K4964" i="7"/>
  <c r="K4965" i="7"/>
  <c r="K4966" i="7"/>
  <c r="K4967" i="7"/>
  <c r="K4968" i="7"/>
  <c r="K4969" i="7"/>
  <c r="K4970" i="7"/>
  <c r="K4971" i="7"/>
  <c r="K4972" i="7"/>
  <c r="K4973" i="7"/>
  <c r="K4974" i="7"/>
  <c r="K4975" i="7"/>
  <c r="K4976" i="7"/>
  <c r="K4977" i="7"/>
  <c r="K4978" i="7"/>
  <c r="K4979" i="7"/>
  <c r="K4980" i="7"/>
  <c r="K4981" i="7"/>
  <c r="K4982" i="7"/>
  <c r="K4983" i="7"/>
  <c r="K4984" i="7"/>
  <c r="K4985" i="7"/>
  <c r="K4986" i="7"/>
  <c r="K4987" i="7"/>
  <c r="K4988" i="7"/>
  <c r="K4989" i="7"/>
  <c r="K4990" i="7"/>
  <c r="K4991" i="7"/>
  <c r="K4992" i="7"/>
  <c r="K4993" i="7"/>
  <c r="K4994" i="7"/>
  <c r="K4995" i="7"/>
  <c r="K4996" i="7"/>
  <c r="K4997" i="7"/>
  <c r="K4998" i="7"/>
  <c r="K4999" i="7"/>
  <c r="K5000" i="7"/>
  <c r="K5001" i="7"/>
  <c r="K5002" i="7"/>
  <c r="K5003" i="7"/>
  <c r="K5004" i="7"/>
  <c r="K5005" i="7"/>
  <c r="K5006" i="7"/>
  <c r="K5007" i="7"/>
  <c r="K5008" i="7"/>
  <c r="K5009" i="7"/>
  <c r="K5010" i="7"/>
  <c r="K5011" i="7"/>
  <c r="K5012" i="7"/>
  <c r="K5013" i="7"/>
  <c r="K5014" i="7"/>
  <c r="K5015" i="7"/>
  <c r="K5016" i="7"/>
  <c r="K5017" i="7"/>
  <c r="K5018" i="7"/>
  <c r="K5019" i="7"/>
  <c r="K5020" i="7"/>
  <c r="K5021" i="7"/>
  <c r="K5022" i="7"/>
  <c r="K5023" i="7"/>
  <c r="K5024" i="7"/>
  <c r="K5025" i="7"/>
  <c r="K5026" i="7"/>
  <c r="K5027" i="7"/>
  <c r="K5028" i="7"/>
  <c r="K5029" i="7"/>
  <c r="K5030" i="7"/>
  <c r="K5031" i="7"/>
  <c r="K5032" i="7"/>
  <c r="K5033" i="7"/>
  <c r="K5034" i="7"/>
  <c r="K5035" i="7"/>
  <c r="K5036" i="7"/>
  <c r="K5037" i="7"/>
  <c r="K5038" i="7"/>
  <c r="K5039" i="7"/>
  <c r="K5040" i="7"/>
  <c r="K5041" i="7"/>
  <c r="K5042" i="7"/>
  <c r="K5043" i="7"/>
  <c r="K5044" i="7"/>
  <c r="K5045" i="7"/>
  <c r="K5046" i="7"/>
  <c r="K5047" i="7"/>
  <c r="K5048" i="7"/>
  <c r="K5049" i="7"/>
  <c r="K5050" i="7"/>
  <c r="K5051" i="7"/>
  <c r="K5052" i="7"/>
  <c r="K5053" i="7"/>
  <c r="K5054" i="7"/>
  <c r="K5055" i="7"/>
  <c r="K5056" i="7"/>
  <c r="K5057" i="7"/>
  <c r="K5058" i="7"/>
  <c r="K5059" i="7"/>
  <c r="K5060" i="7"/>
  <c r="K5061" i="7"/>
  <c r="K5062" i="7"/>
  <c r="K5063" i="7"/>
  <c r="K5064" i="7"/>
  <c r="K5065" i="7"/>
  <c r="K5066" i="7"/>
  <c r="K5067" i="7"/>
  <c r="K5068" i="7"/>
  <c r="K5069" i="7"/>
  <c r="K5070" i="7"/>
  <c r="K5071" i="7"/>
  <c r="K5072" i="7"/>
  <c r="K5073" i="7"/>
  <c r="K5074" i="7"/>
  <c r="K5075" i="7"/>
  <c r="K5076" i="7"/>
  <c r="K5077" i="7"/>
  <c r="K5078" i="7"/>
  <c r="K5079" i="7"/>
  <c r="K5080" i="7"/>
  <c r="K5081" i="7"/>
  <c r="K5082" i="7"/>
  <c r="K5083" i="7"/>
  <c r="K5084" i="7"/>
  <c r="K5085" i="7"/>
  <c r="K5086" i="7"/>
  <c r="K5087" i="7"/>
  <c r="K5088" i="7"/>
  <c r="K5089" i="7"/>
  <c r="K5090" i="7"/>
  <c r="K5091" i="7"/>
  <c r="K5092" i="7"/>
  <c r="K5093" i="7"/>
  <c r="K5094" i="7"/>
  <c r="K5095" i="7"/>
  <c r="K5096" i="7"/>
  <c r="K5097" i="7"/>
  <c r="K5098" i="7"/>
  <c r="K5099" i="7"/>
  <c r="K5100" i="7"/>
  <c r="K5101" i="7"/>
  <c r="K5102" i="7"/>
  <c r="K5103" i="7"/>
  <c r="K5104" i="7"/>
  <c r="K5105" i="7"/>
  <c r="K5106" i="7"/>
  <c r="K5107" i="7"/>
  <c r="K5108" i="7"/>
  <c r="K5109" i="7"/>
  <c r="K5110" i="7"/>
  <c r="K5111" i="7"/>
  <c r="K5112" i="7"/>
  <c r="K5113" i="7"/>
  <c r="K5114" i="7"/>
  <c r="K5115" i="7"/>
  <c r="K5116" i="7"/>
  <c r="K5117" i="7"/>
  <c r="K5118" i="7"/>
  <c r="K5119" i="7"/>
  <c r="K5120" i="7"/>
  <c r="K5121" i="7"/>
  <c r="K5122" i="7"/>
  <c r="K5123" i="7"/>
  <c r="K5124" i="7"/>
  <c r="K5125" i="7"/>
  <c r="K5126" i="7"/>
  <c r="K5127" i="7"/>
  <c r="K5128" i="7"/>
  <c r="K5129" i="7"/>
  <c r="K5130" i="7"/>
  <c r="K5131" i="7"/>
  <c r="K5132" i="7"/>
  <c r="K5133" i="7"/>
  <c r="K5134" i="7"/>
  <c r="K5135" i="7"/>
  <c r="K5136" i="7"/>
  <c r="K5137" i="7"/>
  <c r="K5138" i="7"/>
  <c r="K5139" i="7"/>
  <c r="K5140" i="7"/>
  <c r="K5141" i="7"/>
  <c r="K5142" i="7"/>
  <c r="K5143" i="7"/>
  <c r="K5144" i="7"/>
  <c r="K5145" i="7"/>
  <c r="K5146" i="7"/>
  <c r="K5147" i="7"/>
  <c r="K5148" i="7"/>
  <c r="K5149" i="7"/>
  <c r="K5150" i="7"/>
  <c r="K5151" i="7"/>
  <c r="K5152" i="7"/>
  <c r="K5153" i="7"/>
  <c r="K5154" i="7"/>
  <c r="K5155" i="7"/>
  <c r="K5156" i="7"/>
  <c r="K5157" i="7"/>
  <c r="K5158" i="7"/>
  <c r="K5159" i="7"/>
  <c r="K5160" i="7"/>
  <c r="K5161" i="7"/>
  <c r="K5162" i="7"/>
  <c r="K5163" i="7"/>
  <c r="K5164" i="7"/>
  <c r="K5165" i="7"/>
  <c r="K5166" i="7"/>
  <c r="K5167" i="7"/>
  <c r="K5168" i="7"/>
  <c r="K5169" i="7"/>
  <c r="K5170" i="7"/>
  <c r="K5171" i="7"/>
  <c r="K5172" i="7"/>
  <c r="K5173" i="7"/>
  <c r="K5174" i="7"/>
  <c r="K5175" i="7"/>
  <c r="K5176" i="7"/>
  <c r="K5177" i="7"/>
  <c r="K5178" i="7"/>
  <c r="K5179" i="7"/>
  <c r="K5180" i="7"/>
  <c r="K5181" i="7"/>
  <c r="K5182" i="7"/>
  <c r="K5183" i="7"/>
  <c r="K5184" i="7"/>
  <c r="K5185" i="7"/>
  <c r="K5186" i="7"/>
  <c r="K5187" i="7"/>
  <c r="K5188" i="7"/>
  <c r="K5189" i="7"/>
  <c r="K5190" i="7"/>
  <c r="K5191" i="7"/>
  <c r="K5192" i="7"/>
  <c r="K5193" i="7"/>
  <c r="K5194" i="7"/>
  <c r="K5195" i="7"/>
  <c r="K5196" i="7"/>
  <c r="K5197" i="7"/>
  <c r="K5198" i="7"/>
  <c r="K5199" i="7"/>
  <c r="K5200" i="7"/>
  <c r="K5201" i="7"/>
  <c r="K5202" i="7"/>
  <c r="K5203" i="7"/>
  <c r="K5204" i="7"/>
  <c r="K5205" i="7"/>
  <c r="K5206" i="7"/>
  <c r="K5207" i="7"/>
  <c r="K5208" i="7"/>
  <c r="K5209" i="7"/>
  <c r="K5210" i="7"/>
  <c r="K5211" i="7"/>
  <c r="K5212" i="7"/>
  <c r="K5213" i="7"/>
  <c r="K5214" i="7"/>
  <c r="K5215" i="7"/>
  <c r="K5216" i="7"/>
  <c r="K5217" i="7"/>
  <c r="K5218" i="7"/>
  <c r="K5219" i="7"/>
  <c r="K5220" i="7"/>
  <c r="K5221" i="7"/>
  <c r="K5222" i="7"/>
  <c r="K5223" i="7"/>
  <c r="K5224" i="7"/>
  <c r="K5225" i="7"/>
  <c r="K5226" i="7"/>
  <c r="K5227" i="7"/>
  <c r="K5228" i="7"/>
  <c r="K5229" i="7"/>
  <c r="K5230" i="7"/>
  <c r="K5231" i="7"/>
  <c r="K5232" i="7"/>
  <c r="K5233" i="7"/>
  <c r="K5234" i="7"/>
  <c r="K5235" i="7"/>
  <c r="K5236" i="7"/>
  <c r="K5237" i="7"/>
  <c r="K5238" i="7"/>
  <c r="K5239" i="7"/>
  <c r="K5240" i="7"/>
  <c r="K5241" i="7"/>
  <c r="K5242" i="7"/>
  <c r="K5243" i="7"/>
  <c r="K5244" i="7"/>
  <c r="K5245" i="7"/>
  <c r="K5246" i="7"/>
  <c r="K5247" i="7"/>
  <c r="K5248" i="7"/>
  <c r="K5249" i="7"/>
  <c r="K5250" i="7"/>
  <c r="K5251" i="7"/>
  <c r="K5252" i="7"/>
  <c r="K5253" i="7"/>
  <c r="K5254" i="7"/>
  <c r="K5255" i="7"/>
  <c r="K5256" i="7"/>
  <c r="K5257" i="7"/>
  <c r="K5258" i="7"/>
  <c r="K5259" i="7"/>
  <c r="K5260" i="7"/>
  <c r="K5261" i="7"/>
  <c r="K5262" i="7"/>
  <c r="K5263" i="7"/>
  <c r="K5264" i="7"/>
  <c r="K5265" i="7"/>
  <c r="K5266" i="7"/>
  <c r="K5267" i="7"/>
  <c r="K5268" i="7"/>
  <c r="K5269" i="7"/>
  <c r="K5270" i="7"/>
  <c r="K5271" i="7"/>
  <c r="K5272" i="7"/>
  <c r="K5273" i="7"/>
  <c r="K5274" i="7"/>
  <c r="K5275" i="7"/>
  <c r="K5276" i="7"/>
  <c r="K5277" i="7"/>
  <c r="K5278" i="7"/>
  <c r="K5279" i="7"/>
  <c r="K5280" i="7"/>
  <c r="K5281" i="7"/>
  <c r="K5282" i="7"/>
  <c r="K5283" i="7"/>
  <c r="K5284" i="7"/>
  <c r="K5285" i="7"/>
  <c r="K5286" i="7"/>
  <c r="K5287" i="7"/>
  <c r="K5288" i="7"/>
  <c r="K5289" i="7"/>
  <c r="K5290" i="7"/>
  <c r="K5291" i="7"/>
  <c r="K5292" i="7"/>
  <c r="K5293" i="7"/>
  <c r="K5294" i="7"/>
  <c r="K5295" i="7"/>
  <c r="K5296" i="7"/>
  <c r="K5297" i="7"/>
  <c r="K5298" i="7"/>
  <c r="K5299" i="7"/>
  <c r="K5300" i="7"/>
  <c r="K5301" i="7"/>
  <c r="K5302" i="7"/>
  <c r="K5303" i="7"/>
  <c r="K5304" i="7"/>
  <c r="K5305" i="7"/>
  <c r="K5306" i="7"/>
  <c r="K5307" i="7"/>
  <c r="K5308" i="7"/>
  <c r="K5309" i="7"/>
  <c r="K5310" i="7"/>
  <c r="K5311" i="7"/>
  <c r="K5312" i="7"/>
  <c r="K5313" i="7"/>
  <c r="K5314" i="7"/>
  <c r="K5315" i="7"/>
  <c r="K5316" i="7"/>
  <c r="K5317" i="7"/>
  <c r="K5318" i="7"/>
  <c r="K5319" i="7"/>
  <c r="K5320" i="7"/>
  <c r="K5321" i="7"/>
  <c r="K5322" i="7"/>
  <c r="K5323" i="7"/>
  <c r="K5324" i="7"/>
  <c r="K5325" i="7"/>
  <c r="K5326" i="7"/>
  <c r="K5327" i="7"/>
  <c r="K5328" i="7"/>
  <c r="K5329" i="7"/>
  <c r="K5330" i="7"/>
  <c r="K5331" i="7"/>
  <c r="K5332" i="7"/>
  <c r="K5333" i="7"/>
  <c r="K5334" i="7"/>
  <c r="K5335" i="7"/>
  <c r="K5336" i="7"/>
  <c r="K5337" i="7"/>
  <c r="K5338" i="7"/>
  <c r="K5339" i="7"/>
  <c r="K5340" i="7"/>
  <c r="K5341" i="7"/>
  <c r="K5342" i="7"/>
  <c r="K5343" i="7"/>
  <c r="K5344" i="7"/>
  <c r="K5345" i="7"/>
  <c r="K5346" i="7"/>
  <c r="K5347" i="7"/>
  <c r="K5348" i="7"/>
  <c r="K5349" i="7"/>
  <c r="K5350" i="7"/>
  <c r="K5351" i="7"/>
  <c r="K5352" i="7"/>
  <c r="K5353" i="7"/>
  <c r="K5354" i="7"/>
  <c r="K5355" i="7"/>
  <c r="K5356" i="7"/>
  <c r="K5357" i="7"/>
  <c r="K5358" i="7"/>
  <c r="K5359" i="7"/>
  <c r="K5360" i="7"/>
  <c r="K5361" i="7"/>
  <c r="K5362" i="7"/>
  <c r="K5363" i="7"/>
  <c r="K5364" i="7"/>
  <c r="K5365" i="7"/>
  <c r="K5366" i="7"/>
  <c r="K5367" i="7"/>
  <c r="K5368" i="7"/>
  <c r="K5369" i="7"/>
  <c r="K5370" i="7"/>
  <c r="K5371" i="7"/>
  <c r="K5372" i="7"/>
  <c r="K5373" i="7"/>
  <c r="K5374" i="7"/>
  <c r="K5375" i="7"/>
  <c r="K5376" i="7"/>
  <c r="K5377" i="7"/>
  <c r="K5378" i="7"/>
  <c r="K5379" i="7"/>
  <c r="K5380" i="7"/>
  <c r="K5381" i="7"/>
  <c r="K5382" i="7"/>
  <c r="K5383" i="7"/>
  <c r="K5384" i="7"/>
  <c r="K5385" i="7"/>
  <c r="K5386" i="7"/>
  <c r="K5387" i="7"/>
  <c r="K5388" i="7"/>
  <c r="K5389" i="7"/>
  <c r="K5390" i="7"/>
  <c r="K5391" i="7"/>
  <c r="K5392" i="7"/>
  <c r="K5393" i="7"/>
  <c r="K5394" i="7"/>
  <c r="K5395" i="7"/>
  <c r="K5396" i="7"/>
  <c r="K5397" i="7"/>
  <c r="K5398" i="7"/>
  <c r="K5399" i="7"/>
  <c r="K5400" i="7"/>
  <c r="K5401" i="7"/>
  <c r="K5402" i="7"/>
  <c r="K5403" i="7"/>
  <c r="K5404" i="7"/>
  <c r="K5405" i="7"/>
  <c r="K5406" i="7"/>
  <c r="K5407" i="7"/>
  <c r="K5408" i="7"/>
  <c r="K5409" i="7"/>
  <c r="K5410" i="7"/>
  <c r="K5411" i="7"/>
  <c r="K5412" i="7"/>
  <c r="K5413" i="7"/>
  <c r="K5414" i="7"/>
  <c r="K5415" i="7"/>
  <c r="K5416" i="7"/>
  <c r="K5417" i="7"/>
  <c r="K5418" i="7"/>
  <c r="K5419" i="7"/>
  <c r="K5420" i="7"/>
  <c r="K5421" i="7"/>
  <c r="K5422" i="7"/>
  <c r="K5423" i="7"/>
  <c r="K5424" i="7"/>
  <c r="K5425" i="7"/>
  <c r="K5426" i="7"/>
  <c r="K5427" i="7"/>
  <c r="K5428" i="7"/>
  <c r="K5429" i="7"/>
  <c r="K5430" i="7"/>
  <c r="K5431" i="7"/>
  <c r="K5432" i="7"/>
  <c r="K5433" i="7"/>
  <c r="K5434" i="7"/>
  <c r="K5435" i="7"/>
  <c r="K5436" i="7"/>
  <c r="K5437" i="7"/>
  <c r="K5438" i="7"/>
  <c r="K5439" i="7"/>
  <c r="K5440" i="7"/>
  <c r="K5441" i="7"/>
  <c r="K5442" i="7"/>
  <c r="K5443" i="7"/>
  <c r="K5444" i="7"/>
  <c r="K5445" i="7"/>
  <c r="K5446" i="7"/>
  <c r="K5447" i="7"/>
  <c r="K5448" i="7"/>
  <c r="K5449" i="7"/>
  <c r="K5450" i="7"/>
  <c r="K5451" i="7"/>
  <c r="K5452" i="7"/>
  <c r="K5453" i="7"/>
  <c r="K5454" i="7"/>
  <c r="K5455" i="7"/>
  <c r="K5456" i="7"/>
  <c r="K5457" i="7"/>
  <c r="K5458" i="7"/>
  <c r="K5459" i="7"/>
  <c r="K5460" i="7"/>
  <c r="K5461" i="7"/>
  <c r="K5462" i="7"/>
  <c r="K5463" i="7"/>
  <c r="K5464" i="7"/>
  <c r="K5465" i="7"/>
  <c r="K5466" i="7"/>
  <c r="K5467" i="7"/>
  <c r="K5468" i="7"/>
  <c r="K5469" i="7"/>
  <c r="K5470" i="7"/>
  <c r="K5471" i="7"/>
  <c r="K5472" i="7"/>
  <c r="K5473" i="7"/>
  <c r="K5474" i="7"/>
  <c r="K5475" i="7"/>
  <c r="K5476" i="7"/>
  <c r="K5477" i="7"/>
  <c r="K5478" i="7"/>
  <c r="K5479" i="7"/>
  <c r="K5480" i="7"/>
  <c r="K5481" i="7"/>
  <c r="K5482" i="7"/>
  <c r="K5483" i="7"/>
  <c r="K5484" i="7"/>
  <c r="K5485" i="7"/>
  <c r="K5486" i="7"/>
  <c r="K5487" i="7"/>
  <c r="K5488" i="7"/>
  <c r="K5489" i="7"/>
  <c r="K5490" i="7"/>
  <c r="K5491" i="7"/>
  <c r="K5492" i="7"/>
  <c r="K5493" i="7"/>
  <c r="K5494" i="7"/>
  <c r="K5495" i="7"/>
  <c r="K5496" i="7"/>
  <c r="K5497" i="7"/>
  <c r="K5498" i="7"/>
  <c r="K5499" i="7"/>
  <c r="K5500" i="7"/>
  <c r="K5501" i="7"/>
  <c r="K5502" i="7"/>
  <c r="K5503" i="7"/>
  <c r="K5504" i="7"/>
  <c r="K5505" i="7"/>
  <c r="K5506" i="7"/>
  <c r="K5507" i="7"/>
  <c r="K5508" i="7"/>
  <c r="K5509" i="7"/>
  <c r="K5510" i="7"/>
  <c r="K5511" i="7"/>
  <c r="K5512" i="7"/>
  <c r="K5513" i="7"/>
  <c r="K5514" i="7"/>
  <c r="K5515" i="7"/>
  <c r="K5516" i="7"/>
  <c r="K5517" i="7"/>
  <c r="K5518" i="7"/>
  <c r="K5519" i="7"/>
  <c r="K5520" i="7"/>
  <c r="K5521" i="7"/>
  <c r="K5522" i="7"/>
  <c r="K5523" i="7"/>
  <c r="K5524" i="7"/>
  <c r="K5525" i="7"/>
  <c r="K5526" i="7"/>
  <c r="K5527" i="7"/>
  <c r="K5528" i="7"/>
  <c r="K5529" i="7"/>
  <c r="K5530" i="7"/>
  <c r="K5531" i="7"/>
  <c r="K5532" i="7"/>
  <c r="K5533" i="7"/>
  <c r="K5534" i="7"/>
  <c r="K5535" i="7"/>
  <c r="K5536" i="7"/>
  <c r="K5537" i="7"/>
  <c r="K5538" i="7"/>
  <c r="K5539" i="7"/>
  <c r="K5540" i="7"/>
  <c r="K5541" i="7"/>
  <c r="K5542" i="7"/>
  <c r="K5543" i="7"/>
  <c r="K5544" i="7"/>
  <c r="K5545" i="7"/>
  <c r="K5546" i="7"/>
  <c r="K5547" i="7"/>
  <c r="K5548" i="7"/>
  <c r="K5549" i="7"/>
  <c r="K5550" i="7"/>
  <c r="K5551" i="7"/>
  <c r="K5552" i="7"/>
  <c r="K5553" i="7"/>
  <c r="K5554" i="7"/>
  <c r="K5555" i="7"/>
  <c r="K5556" i="7"/>
  <c r="K5557" i="7"/>
  <c r="K5558" i="7"/>
  <c r="K5559" i="7"/>
  <c r="K5560" i="7"/>
  <c r="K5561" i="7"/>
  <c r="K5562" i="7"/>
  <c r="K5563" i="7"/>
  <c r="K5564" i="7"/>
  <c r="K5565" i="7"/>
  <c r="K5566" i="7"/>
  <c r="K5567" i="7"/>
  <c r="K5568" i="7"/>
  <c r="K5569" i="7"/>
  <c r="K5570" i="7"/>
  <c r="K5571" i="7"/>
  <c r="K5572" i="7"/>
  <c r="K5573" i="7"/>
  <c r="K5574" i="7"/>
  <c r="K5575" i="7"/>
  <c r="K5576" i="7"/>
  <c r="K5577" i="7"/>
  <c r="K5578" i="7"/>
  <c r="K5579" i="7"/>
  <c r="K5580" i="7"/>
  <c r="K5581" i="7"/>
  <c r="K5582" i="7"/>
  <c r="K5583" i="7"/>
  <c r="K5584" i="7"/>
  <c r="K5585" i="7"/>
  <c r="K5586" i="7"/>
  <c r="K5587" i="7"/>
  <c r="K5588" i="7"/>
  <c r="K5589" i="7"/>
  <c r="K5590" i="7"/>
  <c r="K5591" i="7"/>
  <c r="K5592" i="7"/>
  <c r="K5593" i="7"/>
  <c r="K5594" i="7"/>
  <c r="K5595" i="7"/>
  <c r="K5596" i="7"/>
  <c r="K5597" i="7"/>
  <c r="K5598" i="7"/>
  <c r="K5599" i="7"/>
  <c r="K5600" i="7"/>
  <c r="K5601" i="7"/>
  <c r="K5602" i="7"/>
  <c r="K5603" i="7"/>
  <c r="K5604" i="7"/>
  <c r="K5605" i="7"/>
  <c r="K5606" i="7"/>
  <c r="K5607" i="7"/>
  <c r="K5608" i="7"/>
  <c r="K5609" i="7"/>
  <c r="K5610" i="7"/>
  <c r="K5611" i="7"/>
  <c r="K5612" i="7"/>
  <c r="K5613" i="7"/>
  <c r="K5614" i="7"/>
  <c r="K5615" i="7"/>
  <c r="K5616" i="7"/>
  <c r="K5617" i="7"/>
  <c r="K5618" i="7"/>
  <c r="K5619" i="7"/>
  <c r="K5620" i="7"/>
  <c r="K5621" i="7"/>
  <c r="K5622" i="7"/>
  <c r="K5623" i="7"/>
  <c r="K5624" i="7"/>
  <c r="K5625" i="7"/>
  <c r="K5626" i="7"/>
  <c r="K5627" i="7"/>
  <c r="K5628" i="7"/>
  <c r="K5629" i="7"/>
  <c r="K5630" i="7"/>
  <c r="K5631" i="7"/>
  <c r="K5632" i="7"/>
  <c r="K5633" i="7"/>
  <c r="K5634" i="7"/>
  <c r="K5635" i="7"/>
  <c r="K5636" i="7"/>
  <c r="K5637" i="7"/>
  <c r="K5638" i="7"/>
  <c r="K5639" i="7"/>
  <c r="K5640" i="7"/>
  <c r="K5641" i="7"/>
  <c r="K5642" i="7"/>
  <c r="K5643" i="7"/>
  <c r="K5644" i="7"/>
  <c r="K5645" i="7"/>
  <c r="K5646" i="7"/>
  <c r="K5647" i="7"/>
  <c r="K5648" i="7"/>
  <c r="K5649" i="7"/>
  <c r="K5650" i="7"/>
  <c r="K5651" i="7"/>
  <c r="K5652" i="7"/>
  <c r="K5653" i="7"/>
  <c r="K5654" i="7"/>
  <c r="K5655" i="7"/>
  <c r="K5656" i="7"/>
  <c r="K5657" i="7"/>
  <c r="K5658" i="7"/>
  <c r="K5659" i="7"/>
  <c r="K5660" i="7"/>
  <c r="K5661" i="7"/>
  <c r="K5662" i="7"/>
  <c r="K5663" i="7"/>
  <c r="K5664" i="7"/>
  <c r="K5665" i="7"/>
  <c r="K5666" i="7"/>
  <c r="K5667" i="7"/>
  <c r="K5668" i="7"/>
  <c r="K5669" i="7"/>
  <c r="K5670" i="7"/>
  <c r="K5671" i="7"/>
  <c r="K5672" i="7"/>
  <c r="K5673" i="7"/>
  <c r="K5674" i="7"/>
  <c r="K5675" i="7"/>
  <c r="K5676" i="7"/>
  <c r="K5677" i="7"/>
  <c r="K5678" i="7"/>
  <c r="K5679" i="7"/>
  <c r="K5680" i="7"/>
  <c r="K5681" i="7"/>
  <c r="K5682" i="7"/>
  <c r="K5683" i="7"/>
  <c r="K5684" i="7"/>
  <c r="K5685" i="7"/>
  <c r="K5686" i="7"/>
  <c r="K5687" i="7"/>
  <c r="K5688" i="7"/>
  <c r="K5689" i="7"/>
  <c r="K5690" i="7"/>
  <c r="K5691" i="7"/>
  <c r="K5692" i="7"/>
  <c r="K5693" i="7"/>
  <c r="K5694" i="7"/>
  <c r="K5695" i="7"/>
  <c r="K5696" i="7"/>
  <c r="K5697" i="7"/>
  <c r="K5698" i="7"/>
  <c r="K5699" i="7"/>
  <c r="K5700" i="7"/>
  <c r="K5701" i="7"/>
  <c r="K5702" i="7"/>
  <c r="K5703" i="7"/>
  <c r="K5704" i="7"/>
  <c r="K5705" i="7"/>
  <c r="K5706" i="7"/>
  <c r="K5707" i="7"/>
  <c r="K5708" i="7"/>
  <c r="K5709" i="7"/>
  <c r="K5710" i="7"/>
  <c r="K5711" i="7"/>
  <c r="K5712" i="7"/>
  <c r="K5713" i="7"/>
  <c r="K5714" i="7"/>
  <c r="K5715" i="7"/>
  <c r="K5716" i="7"/>
  <c r="K5717" i="7"/>
  <c r="K5718" i="7"/>
  <c r="K5719" i="7"/>
  <c r="K5720" i="7"/>
  <c r="K5721" i="7"/>
  <c r="K5722" i="7"/>
  <c r="K5723" i="7"/>
  <c r="K5724" i="7"/>
  <c r="K5725" i="7"/>
  <c r="K5726" i="7"/>
  <c r="K5727" i="7"/>
  <c r="K5728" i="7"/>
  <c r="K5729" i="7"/>
  <c r="K5730" i="7"/>
  <c r="K5731" i="7"/>
  <c r="K5732" i="7"/>
  <c r="K5733" i="7"/>
  <c r="K5734" i="7"/>
  <c r="K5735" i="7"/>
  <c r="K5736" i="7"/>
  <c r="K5737" i="7"/>
  <c r="K5738" i="7"/>
  <c r="K5739" i="7"/>
  <c r="K5740" i="7"/>
  <c r="K5741" i="7"/>
  <c r="K5742" i="7"/>
  <c r="K5743" i="7"/>
  <c r="K5744" i="7"/>
  <c r="K5745" i="7"/>
  <c r="K5746" i="7"/>
  <c r="K5747" i="7"/>
  <c r="K5748" i="7"/>
  <c r="K5749" i="7"/>
  <c r="K5750" i="7"/>
  <c r="K5751" i="7"/>
  <c r="K5752" i="7"/>
  <c r="K5753" i="7"/>
  <c r="K5754" i="7"/>
  <c r="K5755" i="7"/>
  <c r="K5756" i="7"/>
  <c r="K5757" i="7"/>
  <c r="K5758" i="7"/>
  <c r="K5759" i="7"/>
  <c r="K5760" i="7"/>
  <c r="K5761" i="7"/>
  <c r="K5762" i="7"/>
  <c r="K5763" i="7"/>
  <c r="K5764" i="7"/>
  <c r="K5765" i="7"/>
  <c r="K5766" i="7"/>
  <c r="K5767" i="7"/>
  <c r="K5768" i="7"/>
  <c r="K5769" i="7"/>
  <c r="K5770" i="7"/>
  <c r="K5771" i="7"/>
  <c r="K5772" i="7"/>
  <c r="K5773" i="7"/>
  <c r="K5774" i="7"/>
  <c r="K5775" i="7"/>
  <c r="K5776" i="7"/>
  <c r="K5777" i="7"/>
  <c r="K5778" i="7"/>
  <c r="K5779" i="7"/>
  <c r="K5780" i="7"/>
  <c r="K5781" i="7"/>
  <c r="K5782" i="7"/>
  <c r="K5783" i="7"/>
  <c r="K5784" i="7"/>
  <c r="K5785" i="7"/>
  <c r="K5786" i="7"/>
  <c r="K5787" i="7"/>
  <c r="K5788" i="7"/>
  <c r="K5789" i="7"/>
  <c r="K5790" i="7"/>
  <c r="K5791" i="7"/>
  <c r="K5792" i="7"/>
  <c r="K5793" i="7"/>
  <c r="K5794" i="7"/>
  <c r="K5795" i="7"/>
  <c r="K5796" i="7"/>
  <c r="K5797" i="7"/>
  <c r="K5798" i="7"/>
  <c r="K5799" i="7"/>
  <c r="K5800" i="7"/>
  <c r="K5801" i="7"/>
  <c r="K5802" i="7"/>
  <c r="K5803" i="7"/>
  <c r="K5804" i="7"/>
  <c r="K5805" i="7"/>
  <c r="K5806" i="7"/>
  <c r="K5807" i="7"/>
  <c r="K5808" i="7"/>
  <c r="K5809" i="7"/>
  <c r="K5810" i="7"/>
  <c r="K5811" i="7"/>
  <c r="K5812" i="7"/>
  <c r="K5813" i="7"/>
  <c r="K5814" i="7"/>
  <c r="K5815" i="7"/>
  <c r="K5816" i="7"/>
  <c r="K5817" i="7"/>
  <c r="K5818" i="7"/>
  <c r="K5819" i="7"/>
  <c r="K5820" i="7"/>
  <c r="K5821" i="7"/>
  <c r="K5822" i="7"/>
  <c r="K5823" i="7"/>
  <c r="K5824" i="7"/>
  <c r="K5825" i="7"/>
  <c r="K5826" i="7"/>
  <c r="K5827" i="7"/>
  <c r="K5828" i="7"/>
  <c r="K5829" i="7"/>
  <c r="K5830" i="7"/>
  <c r="K5831" i="7"/>
  <c r="K5832" i="7"/>
  <c r="K5833" i="7"/>
  <c r="K5834" i="7"/>
  <c r="K5835" i="7"/>
  <c r="K5836" i="7"/>
  <c r="K5837" i="7"/>
  <c r="K5838" i="7"/>
  <c r="K5839" i="7"/>
  <c r="K5840" i="7"/>
  <c r="K5841" i="7"/>
  <c r="K5842" i="7"/>
  <c r="K5843" i="7"/>
  <c r="K5844" i="7"/>
  <c r="K5845" i="7"/>
  <c r="K5846" i="7"/>
  <c r="K5847" i="7"/>
  <c r="K5848" i="7"/>
  <c r="K5849" i="7"/>
  <c r="K5850" i="7"/>
  <c r="K5851" i="7"/>
  <c r="K5852" i="7"/>
  <c r="K5853" i="7"/>
  <c r="K5854" i="7"/>
  <c r="K5855" i="7"/>
  <c r="K5856" i="7"/>
  <c r="K5857" i="7"/>
  <c r="K5858" i="7"/>
  <c r="K5859" i="7"/>
  <c r="K5860" i="7"/>
  <c r="K5861" i="7"/>
  <c r="K5862" i="7"/>
  <c r="K5863" i="7"/>
  <c r="K5864" i="7"/>
  <c r="K5865" i="7"/>
  <c r="K5866" i="7"/>
  <c r="K5867" i="7"/>
  <c r="K5868" i="7"/>
  <c r="K5869" i="7"/>
  <c r="K5870" i="7"/>
  <c r="K5871" i="7"/>
  <c r="K5872" i="7"/>
  <c r="K5873" i="7"/>
  <c r="K5874" i="7"/>
  <c r="K5875" i="7"/>
  <c r="K5876" i="7"/>
  <c r="K5877" i="7"/>
  <c r="K5878" i="7"/>
  <c r="K5879" i="7"/>
  <c r="K5880" i="7"/>
  <c r="K5881" i="7"/>
  <c r="K5882" i="7"/>
  <c r="K5883" i="7"/>
  <c r="K5884" i="7"/>
  <c r="K5885" i="7"/>
  <c r="K5886" i="7"/>
  <c r="K5887" i="7"/>
  <c r="K5888" i="7"/>
  <c r="K5889" i="7"/>
  <c r="K5890" i="7"/>
  <c r="K5891" i="7"/>
  <c r="K5892" i="7"/>
  <c r="K5893" i="7"/>
  <c r="K5894" i="7"/>
  <c r="K5895" i="7"/>
  <c r="K5896" i="7"/>
  <c r="K5897" i="7"/>
  <c r="K5898" i="7"/>
  <c r="K5899" i="7"/>
  <c r="K5900" i="7"/>
  <c r="K5901" i="7"/>
  <c r="K5902" i="7"/>
  <c r="K5903" i="7"/>
  <c r="K5904" i="7"/>
  <c r="K5905" i="7"/>
  <c r="K5906" i="7"/>
  <c r="K5907" i="7"/>
  <c r="K5908" i="7"/>
  <c r="K5909" i="7"/>
  <c r="K5910" i="7"/>
  <c r="K5911" i="7"/>
  <c r="K5912" i="7"/>
  <c r="K5913" i="7"/>
  <c r="K5914" i="7"/>
  <c r="K5915" i="7"/>
  <c r="K5916" i="7"/>
  <c r="K5917" i="7"/>
  <c r="K5918" i="7"/>
  <c r="K5919" i="7"/>
  <c r="K5920" i="7"/>
  <c r="K5921" i="7"/>
  <c r="K5922" i="7"/>
  <c r="K5923" i="7"/>
  <c r="K5924" i="7"/>
  <c r="K5925" i="7"/>
  <c r="K5926" i="7"/>
  <c r="K5927" i="7"/>
  <c r="K5928" i="7"/>
  <c r="K5929" i="7"/>
  <c r="K5930" i="7"/>
  <c r="K5931" i="7"/>
  <c r="K5932" i="7"/>
  <c r="K5933" i="7"/>
  <c r="K5934" i="7"/>
  <c r="K5935" i="7"/>
  <c r="K5936" i="7"/>
  <c r="K5937" i="7"/>
  <c r="K5938" i="7"/>
  <c r="K5939" i="7"/>
  <c r="K5940" i="7"/>
  <c r="K5941" i="7"/>
  <c r="K5942" i="7"/>
  <c r="K5943" i="7"/>
  <c r="K5944" i="7"/>
  <c r="K5945" i="7"/>
  <c r="K5946" i="7"/>
  <c r="K5947" i="7"/>
  <c r="K5948" i="7"/>
  <c r="K5949" i="7"/>
  <c r="K5950" i="7"/>
  <c r="K5951" i="7"/>
  <c r="K5952" i="7"/>
  <c r="K5953" i="7"/>
  <c r="K5954" i="7"/>
  <c r="K5955" i="7"/>
  <c r="K5956" i="7"/>
  <c r="K5957" i="7"/>
  <c r="K5958" i="7"/>
  <c r="K5959" i="7"/>
  <c r="K5960" i="7"/>
  <c r="K5961" i="7"/>
  <c r="K5962" i="7"/>
  <c r="K5963" i="7"/>
  <c r="K5964" i="7"/>
  <c r="K5965" i="7"/>
  <c r="K5966" i="7"/>
  <c r="K5967" i="7"/>
  <c r="K5968" i="7"/>
  <c r="K5969" i="7"/>
  <c r="K5970" i="7"/>
  <c r="K5971" i="7"/>
  <c r="K5972" i="7"/>
  <c r="K5973" i="7"/>
  <c r="K5974" i="7"/>
  <c r="K5975" i="7"/>
  <c r="K5976" i="7"/>
  <c r="K5977" i="7"/>
  <c r="K5978" i="7"/>
  <c r="K5979" i="7"/>
  <c r="K5980" i="7"/>
  <c r="K5981" i="7"/>
  <c r="K5982" i="7"/>
  <c r="K5983" i="7"/>
  <c r="K5984" i="7"/>
  <c r="K5985" i="7"/>
  <c r="K5986" i="7"/>
  <c r="K5987" i="7"/>
  <c r="K5988" i="7"/>
  <c r="K5989" i="7"/>
  <c r="K5990" i="7"/>
  <c r="K5991" i="7"/>
  <c r="K5992" i="7"/>
  <c r="K5993" i="7"/>
  <c r="K5994" i="7"/>
  <c r="K5995" i="7"/>
  <c r="K5996" i="7"/>
  <c r="K5997" i="7"/>
  <c r="K5998" i="7"/>
  <c r="K5999" i="7"/>
  <c r="K6000" i="7"/>
  <c r="K6001" i="7"/>
  <c r="K6002" i="7"/>
  <c r="K6003" i="7"/>
  <c r="K6004" i="7"/>
  <c r="K6005" i="7"/>
  <c r="K6006" i="7"/>
  <c r="K6007" i="7"/>
  <c r="K6008" i="7"/>
  <c r="K6009" i="7"/>
  <c r="K6010" i="7"/>
  <c r="K6011" i="7"/>
  <c r="K6012" i="7"/>
  <c r="K6013" i="7"/>
  <c r="K6014" i="7"/>
  <c r="K6015" i="7"/>
  <c r="K6016" i="7"/>
  <c r="K6017" i="7"/>
  <c r="K6018" i="7"/>
  <c r="K6019" i="7"/>
  <c r="K6020" i="7"/>
  <c r="K6021" i="7"/>
  <c r="K6022" i="7"/>
  <c r="K6023" i="7"/>
  <c r="K6024" i="7"/>
  <c r="K6025" i="7"/>
  <c r="K6026" i="7"/>
  <c r="K6027" i="7"/>
  <c r="K6028" i="7"/>
  <c r="K6029" i="7"/>
  <c r="K6030" i="7"/>
  <c r="K6031" i="7"/>
  <c r="K6032" i="7"/>
  <c r="K6033" i="7"/>
  <c r="K6034" i="7"/>
  <c r="K6035" i="7"/>
  <c r="K6036" i="7"/>
  <c r="K6037" i="7"/>
  <c r="K6038" i="7"/>
  <c r="K6039" i="7"/>
  <c r="K6040" i="7"/>
  <c r="K6041" i="7"/>
  <c r="K6042" i="7"/>
  <c r="K6043" i="7"/>
  <c r="K6044" i="7"/>
  <c r="K6045" i="7"/>
  <c r="K6046" i="7"/>
  <c r="K6047" i="7"/>
  <c r="K6048" i="7"/>
  <c r="K6049" i="7"/>
  <c r="K6050" i="7"/>
  <c r="K6051" i="7"/>
  <c r="K6052" i="7"/>
  <c r="K6053" i="7"/>
  <c r="K6054" i="7"/>
  <c r="K6055" i="7"/>
  <c r="K6056" i="7"/>
  <c r="K6057" i="7"/>
  <c r="K6058" i="7"/>
  <c r="K6059" i="7"/>
  <c r="K6060" i="7"/>
  <c r="K6061" i="7"/>
  <c r="K6062" i="7"/>
  <c r="K6063" i="7"/>
  <c r="K6064" i="7"/>
  <c r="K6065" i="7"/>
  <c r="K6066" i="7"/>
  <c r="K6067" i="7"/>
  <c r="K6068" i="7"/>
  <c r="K6069" i="7"/>
  <c r="K6070" i="7"/>
  <c r="K6071" i="7"/>
  <c r="K6072" i="7"/>
  <c r="K6073" i="7"/>
  <c r="K6074" i="7"/>
  <c r="K6075" i="7"/>
  <c r="K6076" i="7"/>
  <c r="K6077" i="7"/>
  <c r="K6078" i="7"/>
  <c r="K6079" i="7"/>
  <c r="K6080" i="7"/>
  <c r="K6081" i="7"/>
  <c r="K6082" i="7"/>
  <c r="K6083" i="7"/>
  <c r="K6084" i="7"/>
  <c r="K6085" i="7"/>
  <c r="K6086" i="7"/>
  <c r="K6087" i="7"/>
  <c r="K6088" i="7"/>
  <c r="K6089" i="7"/>
  <c r="K6090" i="7"/>
  <c r="K6091" i="7"/>
  <c r="K6092" i="7"/>
  <c r="K6093" i="7"/>
  <c r="K6094" i="7"/>
  <c r="K6095" i="7"/>
  <c r="K6096" i="7"/>
  <c r="K6097" i="7"/>
  <c r="K6098" i="7"/>
  <c r="K6099" i="7"/>
  <c r="K6100" i="7"/>
  <c r="K6101" i="7"/>
  <c r="K6102" i="7"/>
  <c r="K6103" i="7"/>
  <c r="K6104" i="7"/>
  <c r="K6105" i="7"/>
  <c r="K6106" i="7"/>
  <c r="K6107" i="7"/>
  <c r="K6108" i="7"/>
  <c r="K6109" i="7"/>
  <c r="K6110" i="7"/>
  <c r="K6111" i="7"/>
  <c r="K6112" i="7"/>
  <c r="K6113" i="7"/>
  <c r="K6114" i="7"/>
  <c r="K6115" i="7"/>
  <c r="K6116" i="7"/>
  <c r="K6117" i="7"/>
  <c r="K6118" i="7"/>
  <c r="K6119" i="7"/>
  <c r="K6120" i="7"/>
  <c r="K6121" i="7"/>
  <c r="K6122" i="7"/>
  <c r="K6123" i="7"/>
  <c r="K6124" i="7"/>
  <c r="K6125" i="7"/>
  <c r="K6126" i="7"/>
  <c r="K6127" i="7"/>
  <c r="K6128" i="7"/>
  <c r="K6129" i="7"/>
  <c r="K6130" i="7"/>
  <c r="K6131" i="7"/>
  <c r="K6132" i="7"/>
  <c r="K6133" i="7"/>
  <c r="K6134" i="7"/>
  <c r="K6135" i="7"/>
  <c r="K6136" i="7"/>
  <c r="K6137" i="7"/>
  <c r="K6138" i="7"/>
  <c r="K6139" i="7"/>
  <c r="K6140" i="7"/>
  <c r="K6141" i="7"/>
  <c r="K6142" i="7"/>
  <c r="K6143" i="7"/>
  <c r="K6144" i="7"/>
  <c r="K6145" i="7"/>
  <c r="K6146" i="7"/>
  <c r="K6147" i="7"/>
  <c r="K6148" i="7"/>
  <c r="K6149" i="7"/>
  <c r="K6150" i="7"/>
  <c r="K6151" i="7"/>
  <c r="K6152" i="7"/>
  <c r="K6153" i="7"/>
  <c r="K6154" i="7"/>
  <c r="K6155" i="7"/>
  <c r="K6156" i="7"/>
  <c r="K6157" i="7"/>
  <c r="K6158" i="7"/>
  <c r="K6159" i="7"/>
  <c r="K6160" i="7"/>
  <c r="K6161" i="7"/>
  <c r="K6162" i="7"/>
  <c r="K6163" i="7"/>
  <c r="K6164" i="7"/>
  <c r="K6165" i="7"/>
  <c r="K6166" i="7"/>
  <c r="K6167" i="7"/>
  <c r="K6168" i="7"/>
  <c r="K6169" i="7"/>
  <c r="K6170" i="7"/>
  <c r="K6171" i="7"/>
  <c r="K6172" i="7"/>
  <c r="K6173" i="7"/>
  <c r="K6174" i="7"/>
  <c r="K6175" i="7"/>
  <c r="K6176" i="7"/>
  <c r="K6177" i="7"/>
  <c r="K6178" i="7"/>
  <c r="K6179" i="7"/>
  <c r="K6180" i="7"/>
  <c r="K6181" i="7"/>
  <c r="K6182" i="7"/>
  <c r="K6183" i="7"/>
  <c r="K6184" i="7"/>
  <c r="K6185" i="7"/>
  <c r="K6186" i="7"/>
  <c r="K6187" i="7"/>
  <c r="K6188" i="7"/>
  <c r="K6189" i="7"/>
  <c r="K6190" i="7"/>
  <c r="K6191" i="7"/>
  <c r="K6192" i="7"/>
  <c r="K6193" i="7"/>
  <c r="K6194" i="7"/>
  <c r="K6195" i="7"/>
  <c r="K6196" i="7"/>
  <c r="K6197" i="7"/>
  <c r="K6198" i="7"/>
  <c r="K6199" i="7"/>
  <c r="K6200" i="7"/>
  <c r="K6201" i="7"/>
  <c r="K6202" i="7"/>
  <c r="K6203" i="7"/>
  <c r="K6204" i="7"/>
  <c r="K6205" i="7"/>
  <c r="K6206" i="7"/>
  <c r="K6207" i="7"/>
  <c r="K6208" i="7"/>
  <c r="K6209" i="7"/>
  <c r="K6210" i="7"/>
  <c r="K6211" i="7"/>
  <c r="K6212" i="7"/>
  <c r="K6213" i="7"/>
  <c r="K6214" i="7"/>
  <c r="K6215" i="7"/>
  <c r="K6216" i="7"/>
  <c r="K6217" i="7"/>
  <c r="K6218" i="7"/>
  <c r="K6219" i="7"/>
  <c r="K6220" i="7"/>
  <c r="K6221" i="7"/>
  <c r="K6222" i="7"/>
  <c r="K6223" i="7"/>
  <c r="K6224" i="7"/>
  <c r="K6225" i="7"/>
  <c r="K6226" i="7"/>
  <c r="K6227" i="7"/>
  <c r="K6228" i="7"/>
  <c r="K6229" i="7"/>
  <c r="K6230" i="7"/>
  <c r="K6231" i="7"/>
  <c r="K6232" i="7"/>
  <c r="K6233" i="7"/>
  <c r="K6234" i="7"/>
  <c r="K6235" i="7"/>
  <c r="K6236" i="7"/>
  <c r="K6237" i="7"/>
  <c r="K6238" i="7"/>
  <c r="K6239" i="7"/>
  <c r="K6240" i="7"/>
  <c r="K6241" i="7"/>
  <c r="K6242" i="7"/>
  <c r="K6243" i="7"/>
  <c r="K6244" i="7"/>
  <c r="K6245" i="7"/>
  <c r="K6246" i="7"/>
  <c r="K6247" i="7"/>
  <c r="K6248" i="7"/>
  <c r="K6249" i="7"/>
  <c r="K6250" i="7"/>
  <c r="K6251" i="7"/>
  <c r="K6252" i="7"/>
  <c r="K6253" i="7"/>
  <c r="K6254" i="7"/>
  <c r="K6255" i="7"/>
  <c r="K6256" i="7"/>
  <c r="K6257" i="7"/>
  <c r="K6258" i="7"/>
  <c r="K6259" i="7"/>
  <c r="K6260" i="7"/>
  <c r="K6261" i="7"/>
  <c r="K6262" i="7"/>
  <c r="K6263" i="7"/>
  <c r="K6264" i="7"/>
  <c r="K6265" i="7"/>
  <c r="K6266" i="7"/>
  <c r="K6267" i="7"/>
  <c r="K6268" i="7"/>
  <c r="K6269" i="7"/>
  <c r="K6270" i="7"/>
  <c r="K6271" i="7"/>
  <c r="K6272" i="7"/>
  <c r="K6273" i="7"/>
  <c r="K6274" i="7"/>
  <c r="K6275" i="7"/>
  <c r="K6276" i="7"/>
  <c r="K6277" i="7"/>
  <c r="K6278" i="7"/>
  <c r="K6279" i="7"/>
  <c r="K6280" i="7"/>
  <c r="K6281" i="7"/>
  <c r="K6282" i="7"/>
  <c r="K6283" i="7"/>
  <c r="K6284" i="7"/>
  <c r="K6285" i="7"/>
  <c r="K6286" i="7"/>
  <c r="K6287" i="7"/>
  <c r="K6288" i="7"/>
  <c r="K6289" i="7"/>
  <c r="K6290" i="7"/>
  <c r="K6291" i="7"/>
  <c r="K6292" i="7"/>
  <c r="K6293" i="7"/>
  <c r="K6294" i="7"/>
  <c r="K6295" i="7"/>
  <c r="K6296" i="7"/>
  <c r="K6297" i="7"/>
  <c r="K6298" i="7"/>
  <c r="K6299" i="7"/>
  <c r="K6300" i="7"/>
  <c r="K6301" i="7"/>
  <c r="K6302" i="7"/>
  <c r="K6303" i="7"/>
  <c r="K6304" i="7"/>
  <c r="K6305" i="7"/>
  <c r="K6306" i="7"/>
  <c r="K6307" i="7"/>
  <c r="K6308" i="7"/>
  <c r="K6309" i="7"/>
  <c r="K6310" i="7"/>
  <c r="K6311" i="7"/>
  <c r="K6312" i="7"/>
  <c r="K6313" i="7"/>
  <c r="K6314" i="7"/>
  <c r="K6315" i="7"/>
  <c r="K6316" i="7"/>
  <c r="K6317" i="7"/>
  <c r="K6318" i="7"/>
  <c r="K6319" i="7"/>
  <c r="K6320" i="7"/>
  <c r="K6321" i="7"/>
  <c r="K6322" i="7"/>
  <c r="K6323" i="7"/>
  <c r="K6324" i="7"/>
  <c r="K6325" i="7"/>
  <c r="K6326" i="7"/>
  <c r="K6327" i="7"/>
  <c r="K6328" i="7"/>
  <c r="K6329" i="7"/>
  <c r="K6330" i="7"/>
  <c r="K6331" i="7"/>
  <c r="K6332" i="7"/>
  <c r="K6333" i="7"/>
  <c r="K6334" i="7"/>
  <c r="K6335" i="7"/>
  <c r="K6336" i="7"/>
  <c r="K6337" i="7"/>
  <c r="K6338" i="7"/>
  <c r="K6339" i="7"/>
  <c r="K6340" i="7"/>
  <c r="K6341" i="7"/>
  <c r="K6342" i="7"/>
  <c r="K6343" i="7"/>
  <c r="K6344" i="7"/>
  <c r="K6345" i="7"/>
  <c r="K6346" i="7"/>
  <c r="K6347" i="7"/>
  <c r="K6348" i="7"/>
  <c r="K6349" i="7"/>
  <c r="K6350" i="7"/>
  <c r="K6351" i="7"/>
  <c r="K6352" i="7"/>
  <c r="K6353" i="7"/>
  <c r="K6354" i="7"/>
  <c r="K6355" i="7"/>
  <c r="K6356" i="7"/>
  <c r="K6357" i="7"/>
  <c r="K6358" i="7"/>
  <c r="K6359" i="7"/>
  <c r="K6360" i="7"/>
  <c r="K6361" i="7"/>
  <c r="K6362" i="7"/>
  <c r="K6363" i="7"/>
  <c r="K6364" i="7"/>
  <c r="K6365" i="7"/>
  <c r="K6366" i="7"/>
  <c r="K6367" i="7"/>
  <c r="K6368" i="7"/>
  <c r="K6369" i="7"/>
  <c r="K6370" i="7"/>
  <c r="K6371" i="7"/>
  <c r="K6372" i="7"/>
  <c r="K6373" i="7"/>
  <c r="K6374" i="7"/>
  <c r="K6375" i="7"/>
  <c r="K6376" i="7"/>
  <c r="K6377" i="7"/>
  <c r="K6378" i="7"/>
  <c r="K6379" i="7"/>
  <c r="K6380" i="7"/>
  <c r="K6381" i="7"/>
  <c r="K6382" i="7"/>
  <c r="K6383" i="7"/>
  <c r="K6384" i="7"/>
  <c r="K6385" i="7"/>
  <c r="K6386" i="7"/>
  <c r="K6387" i="7"/>
  <c r="K6388" i="7"/>
  <c r="K6389" i="7"/>
  <c r="K6390" i="7"/>
  <c r="K6391" i="7"/>
  <c r="K6392" i="7"/>
  <c r="K6393" i="7"/>
  <c r="K6394" i="7"/>
  <c r="K6395" i="7"/>
  <c r="K6396" i="7"/>
  <c r="K6397" i="7"/>
  <c r="K6398" i="7"/>
  <c r="K6399" i="7"/>
  <c r="K6400" i="7"/>
  <c r="K6401" i="7"/>
  <c r="K6402" i="7"/>
  <c r="K6403" i="7"/>
  <c r="K6404" i="7"/>
  <c r="K6405" i="7"/>
  <c r="K6406" i="7"/>
  <c r="K6407" i="7"/>
  <c r="K6408" i="7"/>
  <c r="K6409" i="7"/>
  <c r="K6410" i="7"/>
  <c r="K6411" i="7"/>
  <c r="K6412" i="7"/>
  <c r="K6413" i="7"/>
  <c r="K6414" i="7"/>
  <c r="K6415" i="7"/>
  <c r="K6416" i="7"/>
  <c r="K6417" i="7"/>
  <c r="K6418" i="7"/>
  <c r="K6419" i="7"/>
  <c r="K6420" i="7"/>
  <c r="K6421" i="7"/>
  <c r="K6422" i="7"/>
  <c r="K6423" i="7"/>
  <c r="K6424" i="7"/>
  <c r="K6425" i="7"/>
  <c r="K6426" i="7"/>
  <c r="K6427" i="7"/>
  <c r="K6428" i="7"/>
  <c r="K6429" i="7"/>
  <c r="K6430" i="7"/>
  <c r="K6431" i="7"/>
  <c r="K6432" i="7"/>
  <c r="K6433" i="7"/>
  <c r="K6434" i="7"/>
  <c r="K6435" i="7"/>
  <c r="K6436" i="7"/>
  <c r="K6437" i="7"/>
  <c r="K6438" i="7"/>
  <c r="K6439" i="7"/>
  <c r="K6440" i="7"/>
  <c r="K6441" i="7"/>
  <c r="K6442" i="7"/>
  <c r="K6443" i="7"/>
  <c r="K6444" i="7"/>
  <c r="K6445" i="7"/>
  <c r="K6446" i="7"/>
  <c r="K6447" i="7"/>
  <c r="K6448" i="7"/>
  <c r="K6449" i="7"/>
  <c r="K6450" i="7"/>
  <c r="K6451" i="7"/>
  <c r="K6452" i="7"/>
  <c r="K6453" i="7"/>
  <c r="K6454" i="7"/>
  <c r="K6455" i="7"/>
  <c r="K6456" i="7"/>
  <c r="K6457" i="7"/>
  <c r="K6458" i="7"/>
  <c r="K6459" i="7"/>
  <c r="K6460" i="7"/>
  <c r="K6461" i="7"/>
  <c r="K6462" i="7"/>
  <c r="K6463" i="7"/>
  <c r="K6464" i="7"/>
  <c r="K6465" i="7"/>
  <c r="K6466" i="7"/>
  <c r="K6467" i="7"/>
  <c r="K6468" i="7"/>
  <c r="K6469" i="7"/>
  <c r="K6470" i="7"/>
  <c r="K6471" i="7"/>
  <c r="K6472" i="7"/>
  <c r="K6473" i="7"/>
  <c r="K6474" i="7"/>
  <c r="K6475" i="7"/>
  <c r="K6476" i="7"/>
  <c r="K6477" i="7"/>
  <c r="K6478" i="7"/>
  <c r="K6479" i="7"/>
  <c r="K6480" i="7"/>
  <c r="K6481" i="7"/>
  <c r="K6482" i="7"/>
  <c r="K6483" i="7"/>
  <c r="K6484" i="7"/>
  <c r="K6485" i="7"/>
  <c r="K6486" i="7"/>
  <c r="K6487" i="7"/>
  <c r="K6488" i="7"/>
  <c r="K6489" i="7"/>
  <c r="K6490" i="7"/>
  <c r="K6491" i="7"/>
  <c r="K6492" i="7"/>
  <c r="K6493" i="7"/>
  <c r="K6494" i="7"/>
  <c r="K6495" i="7"/>
  <c r="K6496" i="7"/>
  <c r="K6497" i="7"/>
  <c r="K6498" i="7"/>
  <c r="K6499" i="7"/>
  <c r="K6500" i="7"/>
  <c r="K6501" i="7"/>
  <c r="K6502" i="7"/>
  <c r="K6503" i="7"/>
  <c r="K6504" i="7"/>
  <c r="K6505" i="7"/>
  <c r="K6506" i="7"/>
  <c r="K6507" i="7"/>
  <c r="K6508" i="7"/>
  <c r="K6509" i="7"/>
  <c r="K6510" i="7"/>
  <c r="K6511" i="7"/>
  <c r="K6512" i="7"/>
  <c r="K6513" i="7"/>
  <c r="K6514" i="7"/>
  <c r="K6515" i="7"/>
  <c r="K6516" i="7"/>
  <c r="K6517" i="7"/>
  <c r="K6518" i="7"/>
  <c r="K6519" i="7"/>
  <c r="K6520" i="7"/>
  <c r="K6521" i="7"/>
  <c r="K6522" i="7"/>
  <c r="K6523" i="7"/>
  <c r="K6524" i="7"/>
  <c r="K6525" i="7"/>
  <c r="K6526" i="7"/>
  <c r="K6527" i="7"/>
  <c r="K6528" i="7"/>
  <c r="K6529" i="7"/>
  <c r="K6530" i="7"/>
  <c r="K6531" i="7"/>
  <c r="K6532" i="7"/>
  <c r="K6533" i="7"/>
  <c r="K6534" i="7"/>
  <c r="K6535" i="7"/>
  <c r="K6536" i="7"/>
  <c r="K6537" i="7"/>
  <c r="K6538" i="7"/>
  <c r="K6539" i="7"/>
  <c r="K6540" i="7"/>
  <c r="K6541" i="7"/>
  <c r="K6542" i="7"/>
  <c r="K6543" i="7"/>
  <c r="K6544" i="7"/>
  <c r="K6545" i="7"/>
  <c r="K6546" i="7"/>
  <c r="K6547" i="7"/>
  <c r="K6548" i="7"/>
  <c r="K6549" i="7"/>
  <c r="K6550" i="7"/>
  <c r="K6551" i="7"/>
  <c r="K6552" i="7"/>
  <c r="K6553" i="7"/>
  <c r="K6554" i="7"/>
  <c r="K6555" i="7"/>
  <c r="K6556" i="7"/>
  <c r="K6557" i="7"/>
  <c r="K6558" i="7"/>
  <c r="K6559" i="7"/>
  <c r="K6560" i="7"/>
  <c r="K6561" i="7"/>
  <c r="K6562" i="7"/>
  <c r="K6563" i="7"/>
  <c r="K6564" i="7"/>
  <c r="K6565" i="7"/>
  <c r="K6566" i="7"/>
  <c r="K6567" i="7"/>
  <c r="K6568" i="7"/>
  <c r="K6569" i="7"/>
  <c r="K6570" i="7"/>
  <c r="K6571" i="7"/>
  <c r="K6572" i="7"/>
  <c r="K6573" i="7"/>
  <c r="K6574" i="7"/>
  <c r="K6575" i="7"/>
  <c r="K6576" i="7"/>
  <c r="K6577" i="7"/>
  <c r="K6578" i="7"/>
  <c r="K6579" i="7"/>
  <c r="K6580" i="7"/>
  <c r="K6581" i="7"/>
  <c r="K6582" i="7"/>
  <c r="K6583" i="7"/>
  <c r="K6584" i="7"/>
  <c r="K6585" i="7"/>
  <c r="K6586" i="7"/>
  <c r="K6587" i="7"/>
  <c r="K6588" i="7"/>
  <c r="K6589" i="7"/>
  <c r="K6590" i="7"/>
  <c r="K6591" i="7"/>
  <c r="K6592" i="7"/>
  <c r="K6593" i="7"/>
  <c r="K6594" i="7"/>
  <c r="K6595" i="7"/>
  <c r="K6596" i="7"/>
  <c r="K6597" i="7"/>
  <c r="K6598" i="7"/>
  <c r="K6599" i="7"/>
  <c r="K6600" i="7"/>
  <c r="K6601" i="7"/>
  <c r="K6602" i="7"/>
  <c r="K6603" i="7"/>
  <c r="K6604" i="7"/>
  <c r="K6605" i="7"/>
  <c r="K6606" i="7"/>
  <c r="K6607" i="7"/>
  <c r="K6608" i="7"/>
  <c r="K6609" i="7"/>
  <c r="K6610" i="7"/>
  <c r="K6611" i="7"/>
  <c r="K6612" i="7"/>
  <c r="K6613" i="7"/>
  <c r="K6614" i="7"/>
  <c r="K6615" i="7"/>
  <c r="K6616" i="7"/>
  <c r="K6617" i="7"/>
  <c r="K6618" i="7"/>
  <c r="K6619" i="7"/>
  <c r="K6620" i="7"/>
  <c r="K6621" i="7"/>
  <c r="K6622" i="7"/>
  <c r="K6623" i="7"/>
  <c r="K6624" i="7"/>
  <c r="K6625" i="7"/>
  <c r="K6626" i="7"/>
  <c r="K6627" i="7"/>
  <c r="K6628" i="7"/>
  <c r="K6629" i="7"/>
  <c r="K6630" i="7"/>
  <c r="K6631" i="7"/>
  <c r="K6632" i="7"/>
  <c r="K6633" i="7"/>
  <c r="K6634" i="7"/>
  <c r="K6635" i="7"/>
  <c r="K6636" i="7"/>
  <c r="K6637" i="7"/>
  <c r="K6638" i="7"/>
  <c r="K6639" i="7"/>
  <c r="K6640" i="7"/>
  <c r="K6641" i="7"/>
  <c r="K6642" i="7"/>
  <c r="K6643" i="7"/>
  <c r="K6644" i="7"/>
  <c r="K6645" i="7"/>
  <c r="K6646" i="7"/>
  <c r="K6647" i="7"/>
  <c r="K6648" i="7"/>
  <c r="K6649" i="7"/>
  <c r="K6650" i="7"/>
  <c r="K6651" i="7"/>
  <c r="K6652" i="7"/>
  <c r="K6653" i="7"/>
  <c r="K6654" i="7"/>
  <c r="K6655" i="7"/>
  <c r="K6656" i="7"/>
  <c r="K6657" i="7"/>
  <c r="K6658" i="7"/>
  <c r="K6659" i="7"/>
  <c r="K6660" i="7"/>
  <c r="K6661" i="7"/>
  <c r="K6662" i="7"/>
  <c r="K6663" i="7"/>
  <c r="K6664" i="7"/>
  <c r="K6665" i="7"/>
  <c r="K6666" i="7"/>
  <c r="K6667" i="7"/>
  <c r="K6668" i="7"/>
  <c r="K6669" i="7"/>
  <c r="K6670" i="7"/>
  <c r="K6671" i="7"/>
  <c r="K6672" i="7"/>
  <c r="K6673" i="7"/>
  <c r="K6674" i="7"/>
  <c r="K6675" i="7"/>
  <c r="K6676" i="7"/>
  <c r="K6677" i="7"/>
  <c r="K6678" i="7"/>
  <c r="K6679" i="7"/>
  <c r="K6680" i="7"/>
  <c r="K6681" i="7"/>
  <c r="K6682" i="7"/>
  <c r="K6683" i="7"/>
  <c r="K6684" i="7"/>
  <c r="K6685" i="7"/>
  <c r="K6686" i="7"/>
  <c r="K6687" i="7"/>
  <c r="K6688" i="7"/>
  <c r="K6689" i="7"/>
  <c r="K6690" i="7"/>
  <c r="K6691" i="7"/>
  <c r="K6692" i="7"/>
  <c r="K6693" i="7"/>
  <c r="K6694" i="7"/>
  <c r="K6695" i="7"/>
  <c r="K6696" i="7"/>
  <c r="K6697" i="7"/>
  <c r="K6698" i="7"/>
  <c r="K6699" i="7"/>
  <c r="K6700" i="7"/>
  <c r="K6701" i="7"/>
  <c r="K6702" i="7"/>
  <c r="K6703" i="7"/>
  <c r="K6704" i="7"/>
  <c r="K6705" i="7"/>
  <c r="K6706" i="7"/>
  <c r="K6707" i="7"/>
  <c r="K6708" i="7"/>
  <c r="K6709" i="7"/>
  <c r="K6710" i="7"/>
  <c r="K6711" i="7"/>
  <c r="K6712" i="7"/>
  <c r="K6713" i="7"/>
  <c r="K6714" i="7"/>
  <c r="K6715" i="7"/>
  <c r="K6716" i="7"/>
  <c r="K6717" i="7"/>
  <c r="K6718" i="7"/>
  <c r="K6719" i="7"/>
  <c r="K6720" i="7"/>
  <c r="K6721" i="7"/>
  <c r="K6722" i="7"/>
  <c r="K6723" i="7"/>
  <c r="K6724" i="7"/>
  <c r="K6725" i="7"/>
  <c r="K6726" i="7"/>
  <c r="K6727" i="7"/>
  <c r="K6728" i="7"/>
  <c r="K6729" i="7"/>
  <c r="K6730" i="7"/>
  <c r="K6731" i="7"/>
  <c r="K6732" i="7"/>
  <c r="K6733" i="7"/>
  <c r="K6734" i="7"/>
  <c r="K6735" i="7"/>
  <c r="K6736" i="7"/>
  <c r="K6737" i="7"/>
  <c r="K6738" i="7"/>
  <c r="K6739" i="7"/>
  <c r="K6740" i="7"/>
  <c r="K6741" i="7"/>
  <c r="K6742" i="7"/>
  <c r="K6743" i="7"/>
  <c r="K6744" i="7"/>
  <c r="K6745" i="7"/>
  <c r="K6746" i="7"/>
  <c r="K6747" i="7"/>
  <c r="K6748" i="7"/>
  <c r="K6749" i="7"/>
  <c r="K6750" i="7"/>
  <c r="K6751" i="7"/>
  <c r="K6752" i="7"/>
  <c r="K6753" i="7"/>
  <c r="K6754" i="7"/>
  <c r="K6755" i="7"/>
  <c r="K6756" i="7"/>
  <c r="K6757" i="7"/>
  <c r="K6758" i="7"/>
  <c r="K6759" i="7"/>
  <c r="K6760" i="7"/>
  <c r="K6761" i="7"/>
  <c r="K6762" i="7"/>
  <c r="K6763" i="7"/>
  <c r="K6764" i="7"/>
  <c r="K6765" i="7"/>
  <c r="K6766" i="7"/>
  <c r="K6767" i="7"/>
  <c r="K6768" i="7"/>
  <c r="K6769" i="7"/>
  <c r="K6770" i="7"/>
  <c r="K6771" i="7"/>
  <c r="K6772" i="7"/>
  <c r="K6773" i="7"/>
  <c r="K6774" i="7"/>
  <c r="K6775" i="7"/>
  <c r="K6776" i="7"/>
  <c r="K6777" i="7"/>
  <c r="K6778" i="7"/>
  <c r="K6779" i="7"/>
  <c r="K6780" i="7"/>
  <c r="K6781" i="7"/>
  <c r="K6782" i="7"/>
  <c r="K6783" i="7"/>
  <c r="K6784" i="7"/>
  <c r="K6785" i="7"/>
  <c r="K6786" i="7"/>
  <c r="K6787" i="7"/>
  <c r="K6788" i="7"/>
  <c r="K6789" i="7"/>
  <c r="K6790" i="7"/>
  <c r="K6791" i="7"/>
  <c r="K6792" i="7"/>
  <c r="K6793" i="7"/>
  <c r="K6794" i="7"/>
  <c r="K6795" i="7"/>
  <c r="K6796" i="7"/>
  <c r="K6797" i="7"/>
  <c r="K6798" i="7"/>
  <c r="K6799" i="7"/>
  <c r="K6800" i="7"/>
  <c r="K6801" i="7"/>
  <c r="K6802" i="7"/>
  <c r="K6803" i="7"/>
  <c r="K6804" i="7"/>
  <c r="K6805" i="7"/>
  <c r="K6806" i="7"/>
  <c r="K6807" i="7"/>
  <c r="K6808" i="7"/>
  <c r="K6809" i="7"/>
  <c r="K6810" i="7"/>
  <c r="K6811" i="7"/>
  <c r="K6812" i="7"/>
  <c r="K6813" i="7"/>
  <c r="K6814" i="7"/>
  <c r="K6815" i="7"/>
  <c r="K6816" i="7"/>
  <c r="K6817" i="7"/>
  <c r="K6818" i="7"/>
  <c r="K6819" i="7"/>
  <c r="K6820" i="7"/>
  <c r="K6821" i="7"/>
  <c r="K6822" i="7"/>
  <c r="K6823" i="7"/>
  <c r="K6824" i="7"/>
  <c r="K6825" i="7"/>
  <c r="K6826" i="7"/>
  <c r="K6827" i="7"/>
  <c r="K6828" i="7"/>
  <c r="K6829" i="7"/>
  <c r="K6830" i="7"/>
  <c r="K6831" i="7"/>
  <c r="K6832" i="7"/>
  <c r="K6833" i="7"/>
  <c r="K6834" i="7"/>
  <c r="K6835" i="7"/>
  <c r="K6836" i="7"/>
  <c r="K6837" i="7"/>
  <c r="K6838" i="7"/>
  <c r="K6839" i="7"/>
  <c r="K6840" i="7"/>
  <c r="K6841" i="7"/>
  <c r="K6842" i="7"/>
  <c r="K6843" i="7"/>
  <c r="K6844" i="7"/>
  <c r="K6845" i="7"/>
  <c r="K6846" i="7"/>
  <c r="K6847" i="7"/>
  <c r="K6848" i="7"/>
  <c r="K6849" i="7"/>
  <c r="K6850" i="7"/>
  <c r="K6851" i="7"/>
  <c r="K6852" i="7"/>
  <c r="K6853" i="7"/>
  <c r="K6854" i="7"/>
  <c r="K6855" i="7"/>
  <c r="K6856" i="7"/>
  <c r="K6857" i="7"/>
  <c r="K6858" i="7"/>
  <c r="K6859" i="7"/>
  <c r="K6860" i="7"/>
  <c r="K6861" i="7"/>
  <c r="K6862" i="7"/>
  <c r="K6863" i="7"/>
  <c r="K6864" i="7"/>
  <c r="K6865" i="7"/>
  <c r="K6866" i="7"/>
  <c r="K6867" i="7"/>
  <c r="K6868" i="7"/>
  <c r="K6869" i="7"/>
  <c r="K6870" i="7"/>
  <c r="K6871" i="7"/>
  <c r="K6872" i="7"/>
  <c r="K6873" i="7"/>
  <c r="K6874" i="7"/>
  <c r="K6875" i="7"/>
  <c r="K6876" i="7"/>
  <c r="K6877" i="7"/>
  <c r="K6878" i="7"/>
  <c r="K6879" i="7"/>
  <c r="K6880" i="7"/>
  <c r="K6881" i="7"/>
  <c r="K6882" i="7"/>
  <c r="K6883" i="7"/>
  <c r="K6884" i="7"/>
  <c r="K6885" i="7"/>
  <c r="K6886" i="7"/>
  <c r="K6887" i="7"/>
  <c r="K6888" i="7"/>
  <c r="K6889" i="7"/>
  <c r="K6890" i="7"/>
  <c r="K6891" i="7"/>
  <c r="K6892" i="7"/>
  <c r="K6893" i="7"/>
  <c r="K6894" i="7"/>
  <c r="K6895" i="7"/>
  <c r="K6896" i="7"/>
  <c r="K6897" i="7"/>
  <c r="K6898" i="7"/>
  <c r="K6899" i="7"/>
  <c r="K6900" i="7"/>
  <c r="K6901" i="7"/>
  <c r="K6902" i="7"/>
  <c r="K6903" i="7"/>
  <c r="K6904" i="7"/>
  <c r="K6905" i="7"/>
  <c r="K6906" i="7"/>
  <c r="K6907" i="7"/>
  <c r="K6908" i="7"/>
  <c r="K6909" i="7"/>
  <c r="K6910" i="7"/>
  <c r="K6911" i="7"/>
  <c r="K6912" i="7"/>
  <c r="K6913" i="7"/>
  <c r="K6914" i="7"/>
  <c r="K6915" i="7"/>
  <c r="K6916" i="7"/>
  <c r="K6917" i="7"/>
  <c r="K6918" i="7"/>
  <c r="K6919" i="7"/>
  <c r="K6920" i="7"/>
  <c r="K6921" i="7"/>
  <c r="K6922" i="7"/>
  <c r="K6923" i="7"/>
  <c r="K6924" i="7"/>
  <c r="K6925" i="7"/>
  <c r="K6926" i="7"/>
  <c r="K6927" i="7"/>
  <c r="K6928" i="7"/>
  <c r="K6929" i="7"/>
  <c r="K6930" i="7"/>
  <c r="K6931" i="7"/>
  <c r="K6932" i="7"/>
  <c r="K6933" i="7"/>
  <c r="K6934" i="7"/>
  <c r="K6935" i="7"/>
  <c r="K6936" i="7"/>
  <c r="K6937" i="7"/>
  <c r="K6938" i="7"/>
  <c r="K6939" i="7"/>
  <c r="K6940" i="7"/>
  <c r="K6941" i="7"/>
  <c r="K6942" i="7"/>
  <c r="K6943" i="7"/>
  <c r="K6944" i="7"/>
  <c r="K6945" i="7"/>
  <c r="K6946" i="7"/>
  <c r="K6947" i="7"/>
  <c r="K6948" i="7"/>
  <c r="K6949" i="7"/>
  <c r="K6950" i="7"/>
  <c r="K6951" i="7"/>
  <c r="K6952" i="7"/>
  <c r="K6953" i="7"/>
  <c r="K6954" i="7"/>
  <c r="K6955" i="7"/>
  <c r="K6956" i="7"/>
  <c r="K6957" i="7"/>
  <c r="K6958" i="7"/>
  <c r="K6959" i="7"/>
  <c r="K6960" i="7"/>
  <c r="K6961" i="7"/>
  <c r="K6962" i="7"/>
  <c r="K6963" i="7"/>
  <c r="K6964" i="7"/>
  <c r="K6965" i="7"/>
  <c r="K6966" i="7"/>
  <c r="K6967" i="7"/>
  <c r="K6968" i="7"/>
  <c r="K6969" i="7"/>
  <c r="K6970" i="7"/>
  <c r="K6971" i="7"/>
  <c r="K6972" i="7"/>
  <c r="K6973" i="7"/>
  <c r="K6974" i="7"/>
  <c r="K6975" i="7"/>
  <c r="K6976" i="7"/>
  <c r="K6977" i="7"/>
  <c r="K6978" i="7"/>
  <c r="K6979" i="7"/>
  <c r="K6980" i="7"/>
  <c r="K6981" i="7"/>
  <c r="K6982" i="7"/>
  <c r="K6983" i="7"/>
  <c r="K6984" i="7"/>
  <c r="K6985" i="7"/>
  <c r="K6986" i="7"/>
  <c r="K6987" i="7"/>
  <c r="K6988" i="7"/>
  <c r="K6989" i="7"/>
  <c r="K6990" i="7"/>
  <c r="K6991" i="7"/>
  <c r="K6992" i="7"/>
  <c r="K6993" i="7"/>
  <c r="K6994" i="7"/>
  <c r="K6995" i="7"/>
  <c r="K6996" i="7"/>
  <c r="K6997" i="7"/>
  <c r="K6998" i="7"/>
  <c r="K6999" i="7"/>
  <c r="K7000" i="7"/>
  <c r="K7001" i="7"/>
  <c r="K7002" i="7"/>
  <c r="K7003" i="7"/>
  <c r="K7004" i="7"/>
  <c r="K7005" i="7"/>
  <c r="K7006" i="7"/>
  <c r="K7007" i="7"/>
  <c r="K7008" i="7"/>
  <c r="K7009" i="7"/>
  <c r="K7010" i="7"/>
  <c r="K7011" i="7"/>
  <c r="K7012" i="7"/>
  <c r="K7013" i="7"/>
  <c r="K7014" i="7"/>
  <c r="K7015" i="7"/>
  <c r="K7016" i="7"/>
  <c r="K7017" i="7"/>
  <c r="K7018" i="7"/>
  <c r="K7019" i="7"/>
  <c r="K7020" i="7"/>
  <c r="K7021" i="7"/>
  <c r="K7022" i="7"/>
  <c r="K7023" i="7"/>
  <c r="K7024" i="7"/>
  <c r="K7025" i="7"/>
  <c r="K7026" i="7"/>
  <c r="K7027" i="7"/>
  <c r="K7028" i="7"/>
  <c r="K7029" i="7"/>
  <c r="K7030" i="7"/>
  <c r="K7031" i="7"/>
  <c r="K7032" i="7"/>
  <c r="K7033" i="7"/>
  <c r="K7034" i="7"/>
  <c r="K7035" i="7"/>
  <c r="K7036" i="7"/>
  <c r="K7037" i="7"/>
  <c r="K7038" i="7"/>
  <c r="K7039" i="7"/>
  <c r="K7040" i="7"/>
  <c r="K7041" i="7"/>
  <c r="K7042" i="7"/>
  <c r="K7043" i="7"/>
  <c r="K7044" i="7"/>
  <c r="K7045" i="7"/>
  <c r="K7046" i="7"/>
  <c r="K7047" i="7"/>
  <c r="K7048" i="7"/>
  <c r="K7049" i="7"/>
  <c r="K7050" i="7"/>
  <c r="K7051" i="7"/>
  <c r="K7052" i="7"/>
  <c r="K7053" i="7"/>
  <c r="K7054" i="7"/>
  <c r="K7055" i="7"/>
  <c r="K7056" i="7"/>
  <c r="K7057" i="7"/>
  <c r="K7058" i="7"/>
  <c r="K7059" i="7"/>
  <c r="K7060" i="7"/>
  <c r="K7061" i="7"/>
  <c r="K7062" i="7"/>
  <c r="K7063" i="7"/>
  <c r="K7064" i="7"/>
  <c r="K7065" i="7"/>
  <c r="K7066" i="7"/>
  <c r="K7067" i="7"/>
  <c r="K7068" i="7"/>
  <c r="K7069" i="7"/>
  <c r="K7070" i="7"/>
  <c r="K7071" i="7"/>
  <c r="K7072" i="7"/>
  <c r="K7073" i="7"/>
  <c r="K7074" i="7"/>
  <c r="K7075" i="7"/>
  <c r="K7076" i="7"/>
  <c r="K7077" i="7"/>
  <c r="K7078" i="7"/>
  <c r="K7079" i="7"/>
  <c r="K7080" i="7"/>
  <c r="K7081" i="7"/>
  <c r="K7082" i="7"/>
  <c r="K7083" i="7"/>
  <c r="K7084" i="7"/>
  <c r="K7085" i="7"/>
  <c r="K7086" i="7"/>
  <c r="K7087" i="7"/>
  <c r="K7088" i="7"/>
  <c r="K7089" i="7"/>
  <c r="K7090" i="7"/>
  <c r="K7091" i="7"/>
  <c r="K7092" i="7"/>
  <c r="K7093" i="7"/>
  <c r="K7094" i="7"/>
  <c r="K7095" i="7"/>
  <c r="K7096" i="7"/>
  <c r="K7097" i="7"/>
  <c r="K7098" i="7"/>
  <c r="K7099" i="7"/>
  <c r="K7100" i="7"/>
  <c r="K7101" i="7"/>
  <c r="K7102" i="7"/>
  <c r="K7103" i="7"/>
  <c r="K7104" i="7"/>
  <c r="K7105" i="7"/>
  <c r="K7106" i="7"/>
  <c r="K7107" i="7"/>
  <c r="K7108" i="7"/>
  <c r="K7109" i="7"/>
  <c r="K7110" i="7"/>
  <c r="K7111" i="7"/>
  <c r="K7112" i="7"/>
  <c r="K7113" i="7"/>
  <c r="K7114" i="7"/>
  <c r="K7115" i="7"/>
  <c r="K7116" i="7"/>
  <c r="K7117" i="7"/>
  <c r="K7118" i="7"/>
  <c r="K7119" i="7"/>
  <c r="K7120" i="7"/>
  <c r="K7121" i="7"/>
  <c r="K7122" i="7"/>
  <c r="K7123" i="7"/>
  <c r="K7124" i="7"/>
  <c r="K7125" i="7"/>
  <c r="K7126" i="7"/>
  <c r="K7127" i="7"/>
  <c r="K7128" i="7"/>
  <c r="K7129" i="7"/>
  <c r="K7130" i="7"/>
  <c r="K7131" i="7"/>
  <c r="K7132" i="7"/>
  <c r="K7133" i="7"/>
  <c r="K7134" i="7"/>
  <c r="K7135" i="7"/>
  <c r="K7136" i="7"/>
  <c r="K7137" i="7"/>
  <c r="K7138" i="7"/>
  <c r="K7139" i="7"/>
  <c r="K7140" i="7"/>
  <c r="K7141" i="7"/>
  <c r="K7142" i="7"/>
  <c r="K7143" i="7"/>
  <c r="K7144" i="7"/>
  <c r="K7145" i="7"/>
  <c r="K7146" i="7"/>
  <c r="K7147" i="7"/>
  <c r="K7148" i="7"/>
  <c r="K7149" i="7"/>
  <c r="K7150" i="7"/>
  <c r="K7151" i="7"/>
  <c r="K7152" i="7"/>
  <c r="K7153" i="7"/>
  <c r="K7154" i="7"/>
  <c r="K7155" i="7"/>
  <c r="K7156" i="7"/>
  <c r="K7157" i="7"/>
  <c r="K7158" i="7"/>
  <c r="K7159" i="7"/>
  <c r="K7160" i="7"/>
  <c r="K7161" i="7"/>
  <c r="K7162" i="7"/>
  <c r="K7163" i="7"/>
  <c r="K7164" i="7"/>
  <c r="K7165" i="7"/>
  <c r="K7166" i="7"/>
  <c r="K7167" i="7"/>
  <c r="K7168" i="7"/>
  <c r="K7169" i="7"/>
  <c r="K7170" i="7"/>
  <c r="K7171" i="7"/>
  <c r="K7172" i="7"/>
  <c r="K7173" i="7"/>
  <c r="K7174" i="7"/>
  <c r="K7175" i="7"/>
  <c r="K7176" i="7"/>
  <c r="K7177" i="7"/>
  <c r="K7178" i="7"/>
  <c r="K7179" i="7"/>
  <c r="K7180" i="7"/>
  <c r="K7181" i="7"/>
  <c r="K7182" i="7"/>
  <c r="K7183" i="7"/>
  <c r="K7184" i="7"/>
  <c r="K7185" i="7"/>
  <c r="K7186" i="7"/>
  <c r="K7187" i="7"/>
  <c r="K7188" i="7"/>
  <c r="K7189" i="7"/>
  <c r="K7190" i="7"/>
  <c r="K7191" i="7"/>
  <c r="K7192" i="7"/>
  <c r="K7193" i="7"/>
  <c r="K7194" i="7"/>
  <c r="K7195" i="7"/>
  <c r="K7196" i="7"/>
  <c r="K7197" i="7"/>
  <c r="K7198" i="7"/>
  <c r="K7199" i="7"/>
  <c r="K7200" i="7"/>
  <c r="K7201" i="7"/>
  <c r="K7202" i="7"/>
  <c r="K7203" i="7"/>
  <c r="K7204" i="7"/>
  <c r="K7205" i="7"/>
  <c r="K7206" i="7"/>
  <c r="K7207" i="7"/>
  <c r="K7208" i="7"/>
  <c r="K7209" i="7"/>
  <c r="K7210" i="7"/>
  <c r="K7211" i="7"/>
  <c r="K7212" i="7"/>
  <c r="K7213" i="7"/>
  <c r="K7214" i="7"/>
  <c r="K7215" i="7"/>
  <c r="K7216" i="7"/>
  <c r="K7217" i="7"/>
  <c r="K7218" i="7"/>
  <c r="K7219" i="7"/>
  <c r="K7220" i="7"/>
  <c r="K7221" i="7"/>
  <c r="K7222" i="7"/>
  <c r="K7223" i="7"/>
  <c r="K7224" i="7"/>
  <c r="K7225" i="7"/>
  <c r="K7226" i="7"/>
  <c r="K7227" i="7"/>
  <c r="K7228" i="7"/>
  <c r="K7229" i="7"/>
  <c r="K7230" i="7"/>
  <c r="K7231" i="7"/>
  <c r="K7232" i="7"/>
  <c r="K7233" i="7"/>
  <c r="K7234" i="7"/>
  <c r="K7235" i="7"/>
  <c r="K7236" i="7"/>
  <c r="K7237" i="7"/>
  <c r="K7238" i="7"/>
  <c r="K7239" i="7"/>
  <c r="K7240" i="7"/>
  <c r="K7241" i="7"/>
  <c r="K7242" i="7"/>
  <c r="K7243" i="7"/>
  <c r="K7244" i="7"/>
  <c r="K7245" i="7"/>
  <c r="K7246" i="7"/>
  <c r="K7247" i="7"/>
  <c r="K7248" i="7"/>
  <c r="K7249" i="7"/>
  <c r="K7250" i="7"/>
  <c r="K7251" i="7"/>
  <c r="K7252" i="7"/>
  <c r="K7253" i="7"/>
  <c r="K7254" i="7"/>
  <c r="K7255" i="7"/>
  <c r="K7256" i="7"/>
  <c r="K7257" i="7"/>
  <c r="K7258" i="7"/>
  <c r="K7259" i="7"/>
  <c r="K7260" i="7"/>
  <c r="K7261" i="7"/>
  <c r="K7262" i="7"/>
  <c r="K7263" i="7"/>
  <c r="K7264" i="7"/>
  <c r="K7265" i="7"/>
  <c r="K7266" i="7"/>
  <c r="K7267" i="7"/>
  <c r="K7268" i="7"/>
  <c r="K7269" i="7"/>
  <c r="K7270" i="7"/>
  <c r="K7271" i="7"/>
  <c r="K7272" i="7"/>
  <c r="K7273" i="7"/>
  <c r="K7274" i="7"/>
  <c r="K7275" i="7"/>
  <c r="K7276" i="7"/>
  <c r="K7277" i="7"/>
  <c r="K7278" i="7"/>
  <c r="K7279" i="7"/>
  <c r="K7280" i="7"/>
  <c r="K7281" i="7"/>
  <c r="K7282" i="7"/>
  <c r="K7283" i="7"/>
  <c r="K7284" i="7"/>
  <c r="K7285" i="7"/>
  <c r="K7286" i="7"/>
  <c r="K7287" i="7"/>
  <c r="K7288" i="7"/>
  <c r="K7289" i="7"/>
  <c r="K7290" i="7"/>
  <c r="K7291" i="7"/>
  <c r="K7292" i="7"/>
  <c r="K7293" i="7"/>
  <c r="K7294" i="7"/>
  <c r="K7295" i="7"/>
  <c r="K7296" i="7"/>
  <c r="K7297" i="7"/>
  <c r="K7298" i="7"/>
  <c r="K7299" i="7"/>
  <c r="K7300" i="7"/>
  <c r="K7301" i="7"/>
  <c r="K7302" i="7"/>
  <c r="K7303" i="7"/>
  <c r="K7304" i="7"/>
  <c r="K7305" i="7"/>
  <c r="K7306" i="7"/>
  <c r="K7307" i="7"/>
  <c r="K7308" i="7"/>
  <c r="K7309" i="7"/>
  <c r="K7310" i="7"/>
  <c r="K7311" i="7"/>
  <c r="K7312" i="7"/>
  <c r="K7313" i="7"/>
  <c r="K7314" i="7"/>
  <c r="K7315" i="7"/>
  <c r="K7316" i="7"/>
  <c r="K7317" i="7"/>
  <c r="K7318" i="7"/>
  <c r="K7319" i="7"/>
  <c r="K7320" i="7"/>
  <c r="K7321" i="7"/>
  <c r="K7322" i="7"/>
  <c r="K7323" i="7"/>
  <c r="K7324" i="7"/>
  <c r="K7325" i="7"/>
  <c r="K7326" i="7"/>
  <c r="K7327" i="7"/>
  <c r="K7328" i="7"/>
  <c r="K7329" i="7"/>
  <c r="K7330" i="7"/>
  <c r="K7331" i="7"/>
  <c r="K7332" i="7"/>
  <c r="K7333" i="7"/>
  <c r="K7334" i="7"/>
  <c r="K7335" i="7"/>
  <c r="K7336" i="7"/>
  <c r="K7337" i="7"/>
  <c r="K7338" i="7"/>
  <c r="K7339" i="7"/>
  <c r="K7340" i="7"/>
  <c r="K7341" i="7"/>
  <c r="K7342" i="7"/>
  <c r="K7343" i="7"/>
  <c r="K7344" i="7"/>
  <c r="K7345" i="7"/>
  <c r="K7346" i="7"/>
  <c r="K7347" i="7"/>
  <c r="K7348" i="7"/>
  <c r="K7349" i="7"/>
  <c r="K7350" i="7"/>
  <c r="K7351" i="7"/>
  <c r="K7352" i="7"/>
  <c r="K7353" i="7"/>
  <c r="K7354" i="7"/>
  <c r="K7355" i="7"/>
  <c r="K7356" i="7"/>
  <c r="K7357" i="7"/>
  <c r="K7358" i="7"/>
  <c r="K7359" i="7"/>
  <c r="K7360" i="7"/>
  <c r="K7361" i="7"/>
  <c r="K7362" i="7"/>
  <c r="K7363" i="7"/>
  <c r="K7364" i="7"/>
  <c r="K7365" i="7"/>
  <c r="K7366" i="7"/>
  <c r="K7367" i="7"/>
  <c r="K7368" i="7"/>
  <c r="K7369" i="7"/>
  <c r="K7370" i="7"/>
  <c r="K7371" i="7"/>
  <c r="K7372" i="7"/>
  <c r="K7373" i="7"/>
  <c r="K7374" i="7"/>
  <c r="K7375" i="7"/>
  <c r="K7376" i="7"/>
  <c r="K7377" i="7"/>
  <c r="K7378" i="7"/>
  <c r="K7379" i="7"/>
  <c r="K7380" i="7"/>
  <c r="K7381" i="7"/>
  <c r="K7382" i="7"/>
  <c r="K7383" i="7"/>
  <c r="K7384" i="7"/>
  <c r="K7385" i="7"/>
  <c r="K7386" i="7"/>
  <c r="K7387" i="7"/>
  <c r="K7388" i="7"/>
  <c r="K7389" i="7"/>
  <c r="K7390" i="7"/>
  <c r="K7391" i="7"/>
  <c r="K7392" i="7"/>
  <c r="K7393" i="7"/>
  <c r="K7394" i="7"/>
  <c r="K7395" i="7"/>
  <c r="K7396" i="7"/>
  <c r="K7397" i="7"/>
  <c r="K7398" i="7"/>
  <c r="K7399" i="7"/>
  <c r="K7400" i="7"/>
  <c r="K7401" i="7"/>
  <c r="K7402" i="7"/>
  <c r="K7403" i="7"/>
  <c r="K7404" i="7"/>
  <c r="K7405" i="7"/>
  <c r="K7406" i="7"/>
  <c r="K7407" i="7"/>
  <c r="K7408" i="7"/>
  <c r="K7409" i="7"/>
  <c r="K7410" i="7"/>
  <c r="K7411" i="7"/>
  <c r="K7412" i="7"/>
  <c r="K7413" i="7"/>
  <c r="K7414" i="7"/>
  <c r="K7415" i="7"/>
  <c r="K7416" i="7"/>
  <c r="K7417" i="7"/>
  <c r="K7418" i="7"/>
  <c r="K7419" i="7"/>
  <c r="K7420" i="7"/>
  <c r="K7421" i="7"/>
  <c r="K7422" i="7"/>
  <c r="K7423" i="7"/>
  <c r="K7424" i="7"/>
  <c r="K7425" i="7"/>
  <c r="K7426" i="7"/>
  <c r="K7427" i="7"/>
  <c r="K7428" i="7"/>
  <c r="K7429" i="7"/>
  <c r="K7430" i="7"/>
  <c r="K7431" i="7"/>
  <c r="K7432" i="7"/>
  <c r="K7433" i="7"/>
  <c r="K7434" i="7"/>
  <c r="K7435" i="7"/>
  <c r="K7436" i="7"/>
  <c r="K7437" i="7"/>
  <c r="K7438" i="7"/>
  <c r="K7439" i="7"/>
  <c r="K7440" i="7"/>
  <c r="K7441" i="7"/>
  <c r="K7442" i="7"/>
  <c r="K7443" i="7"/>
  <c r="K7444" i="7"/>
  <c r="K7445" i="7"/>
  <c r="K7446" i="7"/>
  <c r="K7447" i="7"/>
  <c r="K7448" i="7"/>
  <c r="K7449" i="7"/>
  <c r="K7450" i="7"/>
  <c r="K7451" i="7"/>
  <c r="K7452" i="7"/>
  <c r="K7453" i="7"/>
  <c r="K7454" i="7"/>
  <c r="K7455" i="7"/>
  <c r="K7456" i="7"/>
  <c r="K7457" i="7"/>
  <c r="K7458" i="7"/>
  <c r="K7459" i="7"/>
  <c r="K7460" i="7"/>
  <c r="K7461" i="7"/>
  <c r="K7462" i="7"/>
  <c r="K7463" i="7"/>
  <c r="K7464" i="7"/>
  <c r="K7465" i="7"/>
  <c r="K7466" i="7"/>
  <c r="K7467" i="7"/>
  <c r="K7468" i="7"/>
  <c r="K7469" i="7"/>
  <c r="K7470" i="7"/>
  <c r="K7471" i="7"/>
  <c r="K7472" i="7"/>
  <c r="K7473" i="7"/>
  <c r="K7474" i="7"/>
  <c r="K7475" i="7"/>
  <c r="K7476" i="7"/>
  <c r="K7477" i="7"/>
  <c r="K7478" i="7"/>
  <c r="K7479" i="7"/>
  <c r="K7480" i="7"/>
  <c r="K7481" i="7"/>
  <c r="K7482" i="7"/>
  <c r="K7483" i="7"/>
  <c r="K7484" i="7"/>
  <c r="K7485" i="7"/>
  <c r="K7486" i="7"/>
  <c r="K7487" i="7"/>
  <c r="K7488" i="7"/>
  <c r="K7489" i="7"/>
  <c r="K7490" i="7"/>
  <c r="K7491" i="7"/>
  <c r="K7492" i="7"/>
  <c r="K7493" i="7"/>
  <c r="K7494" i="7"/>
  <c r="K7495" i="7"/>
  <c r="K7496" i="7"/>
  <c r="K7497" i="7"/>
  <c r="K7498" i="7"/>
  <c r="K7499" i="7"/>
  <c r="K7500" i="7"/>
  <c r="K7501" i="7"/>
  <c r="K7502" i="7"/>
  <c r="K7503" i="7"/>
  <c r="K7504" i="7"/>
  <c r="K7505" i="7"/>
  <c r="K7506" i="7"/>
  <c r="K7507" i="7"/>
  <c r="K7508" i="7"/>
  <c r="K7509" i="7"/>
  <c r="K7510" i="7"/>
  <c r="K7511" i="7"/>
  <c r="K7512" i="7"/>
  <c r="K7513" i="7"/>
  <c r="K7514" i="7"/>
  <c r="K7515" i="7"/>
  <c r="K7516" i="7"/>
  <c r="K7517" i="7"/>
  <c r="K7518" i="7"/>
  <c r="K7519" i="7"/>
  <c r="K7520" i="7"/>
  <c r="K7521" i="7"/>
  <c r="K7522" i="7"/>
  <c r="K7523" i="7"/>
  <c r="K7524" i="7"/>
  <c r="K7525" i="7"/>
  <c r="K7526" i="7"/>
  <c r="K7527" i="7"/>
  <c r="K7528" i="7"/>
  <c r="K7529" i="7"/>
  <c r="K7530" i="7"/>
  <c r="K7531" i="7"/>
  <c r="K7532" i="7"/>
  <c r="K7533" i="7"/>
  <c r="K7534" i="7"/>
  <c r="K7535" i="7"/>
  <c r="K7536" i="7"/>
  <c r="K7537" i="7"/>
  <c r="K7538" i="7"/>
  <c r="K7539" i="7"/>
  <c r="K7540" i="7"/>
  <c r="K7541" i="7"/>
  <c r="K7542" i="7"/>
  <c r="K7543" i="7"/>
  <c r="K7544" i="7"/>
  <c r="K7545" i="7"/>
  <c r="K7546" i="7"/>
  <c r="K7547" i="7"/>
  <c r="K7548" i="7"/>
  <c r="K7549" i="7"/>
  <c r="K7550" i="7"/>
  <c r="K7551" i="7"/>
  <c r="K7552" i="7"/>
  <c r="K7553" i="7"/>
  <c r="K7554" i="7"/>
  <c r="K7555" i="7"/>
  <c r="K7556" i="7"/>
  <c r="K7557" i="7"/>
  <c r="K7558" i="7"/>
  <c r="K7559" i="7"/>
  <c r="K7560" i="7"/>
  <c r="K7561" i="7"/>
  <c r="K7562" i="7"/>
  <c r="K7563" i="7"/>
  <c r="K7564" i="7"/>
  <c r="K7565" i="7"/>
  <c r="K7566" i="7"/>
  <c r="K7567" i="7"/>
  <c r="K7568" i="7"/>
  <c r="K7569" i="7"/>
  <c r="K7570" i="7"/>
  <c r="K7571" i="7"/>
  <c r="K7572" i="7"/>
  <c r="K7573" i="7"/>
  <c r="K7574" i="7"/>
  <c r="K7575" i="7"/>
  <c r="K7576" i="7"/>
  <c r="K7577" i="7"/>
  <c r="K7578" i="7"/>
  <c r="K7579" i="7"/>
  <c r="K7580" i="7"/>
  <c r="K7581" i="7"/>
  <c r="K7582" i="7"/>
  <c r="K7583" i="7"/>
  <c r="K7584" i="7"/>
  <c r="K7585" i="7"/>
  <c r="K7586" i="7"/>
  <c r="K7587" i="7"/>
  <c r="K7588" i="7"/>
  <c r="K7589" i="7"/>
  <c r="K7590" i="7"/>
  <c r="K7591" i="7"/>
  <c r="K7592" i="7"/>
  <c r="K7593" i="7"/>
  <c r="K7594" i="7"/>
  <c r="K7595" i="7"/>
  <c r="K7596" i="7"/>
  <c r="K7597" i="7"/>
  <c r="K7598" i="7"/>
  <c r="K7599" i="7"/>
  <c r="K7600" i="7"/>
  <c r="K7601" i="7"/>
  <c r="K7602" i="7"/>
  <c r="K7603" i="7"/>
  <c r="K7604" i="7"/>
  <c r="K7605" i="7"/>
  <c r="K7606" i="7"/>
  <c r="K7607" i="7"/>
  <c r="K7608" i="7"/>
  <c r="K7609" i="7"/>
  <c r="K7610" i="7"/>
  <c r="K7611" i="7"/>
  <c r="K7612" i="7"/>
  <c r="K7613" i="7"/>
  <c r="K7614" i="7"/>
  <c r="K7615" i="7"/>
  <c r="K7616" i="7"/>
  <c r="K7617" i="7"/>
  <c r="K7618" i="7"/>
  <c r="K7619" i="7"/>
  <c r="K7620" i="7"/>
  <c r="K7621" i="7"/>
  <c r="K7622" i="7"/>
  <c r="K7623" i="7"/>
  <c r="K7624" i="7"/>
  <c r="K7625" i="7"/>
  <c r="K7626" i="7"/>
  <c r="K7627" i="7"/>
  <c r="K7628" i="7"/>
  <c r="K7629" i="7"/>
  <c r="K7630" i="7"/>
  <c r="K7631" i="7"/>
  <c r="K7632" i="7"/>
  <c r="K7633" i="7"/>
  <c r="K7634" i="7"/>
  <c r="K7635" i="7"/>
  <c r="K7636" i="7"/>
  <c r="K7637" i="7"/>
  <c r="K7638" i="7"/>
  <c r="K7639" i="7"/>
  <c r="K7640" i="7"/>
  <c r="K7641" i="7"/>
  <c r="K7642" i="7"/>
  <c r="K7643" i="7"/>
  <c r="K7644" i="7"/>
  <c r="K7645" i="7"/>
  <c r="K7646" i="7"/>
  <c r="K7647" i="7"/>
  <c r="K7648" i="7"/>
  <c r="K7649" i="7"/>
  <c r="K7650" i="7"/>
  <c r="K7651" i="7"/>
  <c r="K7652" i="7"/>
  <c r="K7653" i="7"/>
  <c r="K7654" i="7"/>
  <c r="K7655" i="7"/>
  <c r="K7656" i="7"/>
  <c r="K7657" i="7"/>
  <c r="K7658" i="7"/>
  <c r="K7659" i="7"/>
  <c r="K7660" i="7"/>
  <c r="K7661" i="7"/>
  <c r="K7662" i="7"/>
  <c r="K7663" i="7"/>
  <c r="K7664" i="7"/>
  <c r="K7665" i="7"/>
  <c r="K7666" i="7"/>
  <c r="K7667" i="7"/>
  <c r="K7668" i="7"/>
  <c r="K7669" i="7"/>
  <c r="K7670" i="7"/>
  <c r="K7671" i="7"/>
  <c r="K7672" i="7"/>
  <c r="K7673" i="7"/>
  <c r="K7674" i="7"/>
  <c r="K7675" i="7"/>
  <c r="K7676" i="7"/>
  <c r="K7677" i="7"/>
  <c r="K7678" i="7"/>
  <c r="K7679" i="7"/>
  <c r="K7680" i="7"/>
  <c r="K7681" i="7"/>
  <c r="K7682" i="7"/>
  <c r="K7683" i="7"/>
  <c r="K7684" i="7"/>
  <c r="K7685" i="7"/>
  <c r="K7686" i="7"/>
  <c r="K7687" i="7"/>
  <c r="K7688" i="7"/>
  <c r="K7689" i="7"/>
  <c r="K7690" i="7"/>
  <c r="K7691" i="7"/>
  <c r="K7692" i="7"/>
  <c r="K7693" i="7"/>
  <c r="K7694" i="7"/>
  <c r="K7695" i="7"/>
  <c r="K7696" i="7"/>
  <c r="K7697" i="7"/>
  <c r="K7698" i="7"/>
  <c r="K7699" i="7"/>
  <c r="K7700" i="7"/>
  <c r="K7701" i="7"/>
  <c r="K7702" i="7"/>
  <c r="K7703" i="7"/>
  <c r="K7704" i="7"/>
  <c r="K7705" i="7"/>
  <c r="K7706" i="7"/>
  <c r="K7707" i="7"/>
  <c r="K7708" i="7"/>
  <c r="K7709" i="7"/>
  <c r="K7710" i="7"/>
  <c r="K7711" i="7"/>
  <c r="K7712" i="7"/>
  <c r="K7713" i="7"/>
  <c r="K7714" i="7"/>
  <c r="K7715" i="7"/>
  <c r="K7716" i="7"/>
  <c r="K7717" i="7"/>
  <c r="K7718" i="7"/>
  <c r="K7719" i="7"/>
  <c r="K7720" i="7"/>
  <c r="K7721" i="7"/>
  <c r="K7722" i="7"/>
  <c r="K7723" i="7"/>
  <c r="K7724" i="7"/>
  <c r="K7725" i="7"/>
  <c r="K7726" i="7"/>
  <c r="K7727" i="7"/>
  <c r="K7728" i="7"/>
  <c r="K7729" i="7"/>
  <c r="K7730" i="7"/>
  <c r="K7731" i="7"/>
  <c r="K7732" i="7"/>
  <c r="K7733" i="7"/>
  <c r="K7734" i="7"/>
  <c r="K7735" i="7"/>
  <c r="K7736" i="7"/>
  <c r="K7737" i="7"/>
  <c r="K7738" i="7"/>
  <c r="K7739" i="7"/>
  <c r="K7740" i="7"/>
  <c r="K7741" i="7"/>
  <c r="K7742" i="7"/>
  <c r="K7743" i="7"/>
  <c r="K7744" i="7"/>
  <c r="K7745" i="7"/>
  <c r="K7746" i="7"/>
  <c r="K7747" i="7"/>
  <c r="K7748" i="7"/>
  <c r="K7749" i="7"/>
  <c r="K7750" i="7"/>
  <c r="K7751" i="7"/>
  <c r="K7752" i="7"/>
  <c r="K7753" i="7"/>
  <c r="K7754" i="7"/>
  <c r="K7755" i="7"/>
  <c r="K7756" i="7"/>
  <c r="K7757" i="7"/>
  <c r="K7758" i="7"/>
  <c r="K7759" i="7"/>
  <c r="K7760" i="7"/>
  <c r="K7761" i="7"/>
  <c r="K7762" i="7"/>
  <c r="K7763" i="7"/>
  <c r="K7764" i="7"/>
  <c r="K7765" i="7"/>
  <c r="K7766" i="7"/>
  <c r="K7767" i="7"/>
  <c r="K7768" i="7"/>
  <c r="K7769" i="7"/>
  <c r="K7770" i="7"/>
  <c r="K7771" i="7"/>
  <c r="K7772" i="7"/>
  <c r="K7773" i="7"/>
  <c r="K7774" i="7"/>
  <c r="K7775" i="7"/>
  <c r="K7776" i="7"/>
  <c r="K7777" i="7"/>
  <c r="K7778" i="7"/>
  <c r="K7779" i="7"/>
  <c r="K7780" i="7"/>
  <c r="K7781" i="7"/>
  <c r="K7782" i="7"/>
  <c r="K7783" i="7"/>
  <c r="K7784" i="7"/>
  <c r="K7785" i="7"/>
  <c r="K7786" i="7"/>
  <c r="K7787" i="7"/>
  <c r="K7788" i="7"/>
  <c r="K7789" i="7"/>
  <c r="K7790" i="7"/>
  <c r="K7791" i="7"/>
  <c r="K7792" i="7"/>
  <c r="K7793" i="7"/>
  <c r="K7794" i="7"/>
  <c r="K7795" i="7"/>
  <c r="K7796" i="7"/>
  <c r="K7797" i="7"/>
  <c r="K7798" i="7"/>
  <c r="K7799" i="7"/>
  <c r="K7800" i="7"/>
  <c r="K7801" i="7"/>
  <c r="K7802" i="7"/>
  <c r="K7803" i="7"/>
  <c r="K7804" i="7"/>
  <c r="K7805" i="7"/>
  <c r="K7806" i="7"/>
  <c r="K7807" i="7"/>
  <c r="K7808" i="7"/>
  <c r="K7809" i="7"/>
  <c r="K7810" i="7"/>
  <c r="K7811" i="7"/>
  <c r="K7812" i="7"/>
  <c r="K7813" i="7"/>
  <c r="K7814" i="7"/>
  <c r="K7815" i="7"/>
  <c r="K7816" i="7"/>
  <c r="K7817" i="7"/>
  <c r="K7818" i="7"/>
  <c r="K7819" i="7"/>
  <c r="K7820" i="7"/>
  <c r="K7821" i="7"/>
  <c r="K7822" i="7"/>
  <c r="K7823" i="7"/>
  <c r="K7824" i="7"/>
  <c r="K7825" i="7"/>
  <c r="K7826" i="7"/>
  <c r="K7827" i="7"/>
  <c r="K7828" i="7"/>
  <c r="K7829" i="7"/>
  <c r="K7830" i="7"/>
  <c r="K7831" i="7"/>
  <c r="K7832" i="7"/>
  <c r="K7833" i="7"/>
  <c r="K7834" i="7"/>
  <c r="K7835" i="7"/>
  <c r="K7836" i="7"/>
  <c r="K7837" i="7"/>
  <c r="K7838" i="7"/>
  <c r="K7839" i="7"/>
  <c r="K7840" i="7"/>
  <c r="K7841" i="7"/>
  <c r="K7842" i="7"/>
  <c r="K7843" i="7"/>
  <c r="K7844" i="7"/>
  <c r="K7845" i="7"/>
  <c r="K7846" i="7"/>
  <c r="K7847" i="7"/>
  <c r="K7848" i="7"/>
  <c r="K7849" i="7"/>
  <c r="K7850" i="7"/>
  <c r="K7851" i="7"/>
  <c r="K7852" i="7"/>
  <c r="K7853" i="7"/>
  <c r="K7854" i="7"/>
  <c r="K7855" i="7"/>
  <c r="K7856" i="7"/>
  <c r="K7857" i="7"/>
  <c r="K7858" i="7"/>
  <c r="K7859" i="7"/>
  <c r="K7860" i="7"/>
  <c r="K7861" i="7"/>
  <c r="K7862" i="7"/>
  <c r="K7863" i="7"/>
  <c r="K7864" i="7"/>
  <c r="K7865" i="7"/>
  <c r="K7866" i="7"/>
  <c r="K7867" i="7"/>
  <c r="K7868" i="7"/>
  <c r="K7869" i="7"/>
  <c r="K7870" i="7"/>
  <c r="K7871" i="7"/>
  <c r="K7872" i="7"/>
  <c r="K7873" i="7"/>
  <c r="K7874" i="7"/>
  <c r="K7875" i="7"/>
  <c r="K7876" i="7"/>
  <c r="K7877" i="7"/>
  <c r="K7878" i="7"/>
  <c r="K7879" i="7"/>
  <c r="K7880" i="7"/>
  <c r="K7881" i="7"/>
  <c r="K7882" i="7"/>
  <c r="K7883" i="7"/>
  <c r="K7884" i="7"/>
  <c r="K7885" i="7"/>
  <c r="K7886" i="7"/>
  <c r="K7887" i="7"/>
  <c r="K7888" i="7"/>
  <c r="K7889" i="7"/>
  <c r="K7890" i="7"/>
  <c r="K7891" i="7"/>
  <c r="K7892" i="7"/>
  <c r="K7893" i="7"/>
  <c r="K7894" i="7"/>
  <c r="K7895" i="7"/>
  <c r="K7896" i="7"/>
  <c r="K7897" i="7"/>
  <c r="K7898" i="7"/>
  <c r="K7899" i="7"/>
  <c r="K7900" i="7"/>
  <c r="K7901" i="7"/>
  <c r="K7902" i="7"/>
  <c r="K7903" i="7"/>
  <c r="K7904" i="7"/>
  <c r="K7905" i="7"/>
  <c r="K7906" i="7"/>
  <c r="K7907" i="7"/>
  <c r="K7908" i="7"/>
  <c r="K7909" i="7"/>
  <c r="K7910" i="7"/>
  <c r="K7911" i="7"/>
  <c r="K7912" i="7"/>
  <c r="K7913" i="7"/>
  <c r="K7914" i="7"/>
  <c r="K7915" i="7"/>
  <c r="K7916" i="7"/>
  <c r="K7917" i="7"/>
  <c r="K7918" i="7"/>
  <c r="K7919" i="7"/>
  <c r="K7920" i="7"/>
  <c r="K7921" i="7"/>
  <c r="K7922" i="7"/>
  <c r="K7923" i="7"/>
  <c r="K7924" i="7"/>
  <c r="K7925" i="7"/>
  <c r="K7926" i="7"/>
  <c r="K7927" i="7"/>
  <c r="K7928" i="7"/>
  <c r="K7929" i="7"/>
  <c r="K7930" i="7"/>
  <c r="K7931" i="7"/>
  <c r="K7932" i="7"/>
  <c r="K7933" i="7"/>
  <c r="K7934" i="7"/>
  <c r="K7935" i="7"/>
  <c r="K7936" i="7"/>
  <c r="K7937" i="7"/>
  <c r="K7938" i="7"/>
  <c r="K7939" i="7"/>
  <c r="K7940" i="7"/>
  <c r="K7941" i="7"/>
  <c r="K7942" i="7"/>
  <c r="K7943" i="7"/>
  <c r="K7944" i="7"/>
  <c r="K7945" i="7"/>
  <c r="K7946" i="7"/>
  <c r="K7947" i="7"/>
  <c r="K7948" i="7"/>
  <c r="K7949" i="7"/>
  <c r="K7950" i="7"/>
  <c r="K7951" i="7"/>
  <c r="K7952" i="7"/>
  <c r="K7953" i="7"/>
  <c r="K7954" i="7"/>
  <c r="K7955" i="7"/>
  <c r="K7956" i="7"/>
  <c r="K7957" i="7"/>
  <c r="K7958" i="7"/>
  <c r="K7959" i="7"/>
  <c r="K7960" i="7"/>
  <c r="K7961" i="7"/>
  <c r="K7962" i="7"/>
  <c r="K7963" i="7"/>
  <c r="K7964" i="7"/>
  <c r="K7965" i="7"/>
  <c r="K7966" i="7"/>
  <c r="K7967" i="7"/>
  <c r="K7968" i="7"/>
  <c r="K7969" i="7"/>
  <c r="K7970" i="7"/>
  <c r="K7971" i="7"/>
  <c r="K7972" i="7"/>
  <c r="K7973" i="7"/>
  <c r="K7974" i="7"/>
  <c r="K7975" i="7"/>
  <c r="K7976" i="7"/>
  <c r="K7977" i="7"/>
  <c r="K7978" i="7"/>
  <c r="K7979" i="7"/>
  <c r="K7980" i="7"/>
  <c r="K7981" i="7"/>
  <c r="K7982" i="7"/>
  <c r="K7983" i="7"/>
  <c r="K7984" i="7"/>
  <c r="K7985" i="7"/>
  <c r="K7986" i="7"/>
  <c r="K7987" i="7"/>
  <c r="K7988" i="7"/>
  <c r="K7989" i="7"/>
  <c r="K7990" i="7"/>
  <c r="K7991" i="7"/>
  <c r="K7992" i="7"/>
  <c r="K7993" i="7"/>
  <c r="K7994" i="7"/>
  <c r="K7995" i="7"/>
  <c r="K7996" i="7"/>
  <c r="K7997" i="7"/>
  <c r="K7998" i="7"/>
  <c r="K7999" i="7"/>
  <c r="K8000" i="7"/>
  <c r="K8001" i="7"/>
  <c r="K8002" i="7"/>
  <c r="K8003" i="7"/>
  <c r="K8004" i="7"/>
  <c r="K8005" i="7"/>
  <c r="K8006" i="7"/>
  <c r="K8007" i="7"/>
  <c r="K8008" i="7"/>
  <c r="K8009" i="7"/>
  <c r="K8010" i="7"/>
  <c r="K8011" i="7"/>
  <c r="K8012" i="7"/>
  <c r="K8013" i="7"/>
  <c r="K8014" i="7"/>
  <c r="K8015" i="7"/>
  <c r="K8016" i="7"/>
  <c r="K8017" i="7"/>
  <c r="K8018" i="7"/>
  <c r="K8019" i="7"/>
  <c r="K8020" i="7"/>
  <c r="K8021" i="7"/>
  <c r="K8022" i="7"/>
  <c r="K8023" i="7"/>
  <c r="K8024" i="7"/>
  <c r="K8025" i="7"/>
  <c r="K8026" i="7"/>
  <c r="K8027" i="7"/>
  <c r="K8028" i="7"/>
  <c r="K8029" i="7"/>
  <c r="K8030" i="7"/>
  <c r="K8031" i="7"/>
  <c r="K8032" i="7"/>
  <c r="K8033" i="7"/>
  <c r="K8034" i="7"/>
  <c r="K8035" i="7"/>
  <c r="K8036" i="7"/>
  <c r="K8037" i="7"/>
  <c r="K8038" i="7"/>
  <c r="K8039" i="7"/>
  <c r="K8040" i="7"/>
  <c r="K8041" i="7"/>
  <c r="K8042" i="7"/>
  <c r="K8043" i="7"/>
  <c r="K8044" i="7"/>
  <c r="K8045" i="7"/>
  <c r="K8046" i="7"/>
  <c r="K8047" i="7"/>
  <c r="K8048" i="7"/>
  <c r="K8049" i="7"/>
  <c r="K8050" i="7"/>
  <c r="K8051" i="7"/>
  <c r="K8052" i="7"/>
  <c r="K8053" i="7"/>
  <c r="K8054" i="7"/>
  <c r="K8055" i="7"/>
  <c r="K8056" i="7"/>
  <c r="K8057" i="7"/>
  <c r="K8058" i="7"/>
  <c r="K8059" i="7"/>
  <c r="K8060" i="7"/>
  <c r="K8061" i="7"/>
  <c r="K8062" i="7"/>
  <c r="K8063" i="7"/>
  <c r="K8064" i="7"/>
  <c r="K8065" i="7"/>
  <c r="K8066" i="7"/>
  <c r="K8067" i="7"/>
  <c r="K8068" i="7"/>
  <c r="K8069" i="7"/>
  <c r="K8070" i="7"/>
  <c r="K8071" i="7"/>
  <c r="K8072" i="7"/>
  <c r="K8073" i="7"/>
  <c r="K8074" i="7"/>
  <c r="K8075" i="7"/>
  <c r="K8076" i="7"/>
  <c r="K8077" i="7"/>
  <c r="K8078" i="7"/>
  <c r="K8079" i="7"/>
  <c r="K8080" i="7"/>
  <c r="K8081" i="7"/>
  <c r="K8082" i="7"/>
  <c r="K8083" i="7"/>
  <c r="K8084" i="7"/>
  <c r="K8085" i="7"/>
  <c r="K8086" i="7"/>
  <c r="K8087" i="7"/>
  <c r="K8088" i="7"/>
  <c r="K8089" i="7"/>
  <c r="K8090" i="7"/>
  <c r="K8091" i="7"/>
  <c r="K8092" i="7"/>
  <c r="K8093" i="7"/>
  <c r="K8094" i="7"/>
  <c r="K8095" i="7"/>
  <c r="K8096" i="7"/>
  <c r="K8097" i="7"/>
  <c r="K8098" i="7"/>
  <c r="K8099" i="7"/>
  <c r="K8100" i="7"/>
  <c r="K8101" i="7"/>
  <c r="K8102" i="7"/>
  <c r="K8103" i="7"/>
  <c r="K8104" i="7"/>
  <c r="K8105" i="7"/>
  <c r="K8106" i="7"/>
  <c r="K8107" i="7"/>
  <c r="K8108" i="7"/>
  <c r="K8109" i="7"/>
  <c r="K8110" i="7"/>
  <c r="K8111" i="7"/>
  <c r="K8112" i="7"/>
  <c r="K8113" i="7"/>
  <c r="K8114" i="7"/>
  <c r="K8115" i="7"/>
  <c r="K8116" i="7"/>
  <c r="K8117" i="7"/>
  <c r="K8118" i="7"/>
  <c r="K8119" i="7"/>
  <c r="K8120" i="7"/>
  <c r="K8121" i="7"/>
  <c r="K8122" i="7"/>
  <c r="K8123" i="7"/>
  <c r="K8124" i="7"/>
  <c r="K8125" i="7"/>
  <c r="K8126" i="7"/>
  <c r="K8127" i="7"/>
  <c r="K8128" i="7"/>
  <c r="K8129" i="7"/>
  <c r="K8130" i="7"/>
  <c r="K8131" i="7"/>
  <c r="K8132" i="7"/>
  <c r="K8133" i="7"/>
  <c r="K8134" i="7"/>
  <c r="K8135" i="7"/>
  <c r="K8136" i="7"/>
  <c r="K8137" i="7"/>
  <c r="K8138" i="7"/>
  <c r="K8139" i="7"/>
  <c r="K8140" i="7"/>
  <c r="K8141" i="7"/>
  <c r="K8142" i="7"/>
  <c r="K8143" i="7"/>
  <c r="K8144" i="7"/>
  <c r="K8145" i="7"/>
  <c r="K8146" i="7"/>
  <c r="K8147" i="7"/>
  <c r="K8148" i="7"/>
  <c r="K8149" i="7"/>
  <c r="K8150" i="7"/>
  <c r="K8151" i="7"/>
  <c r="K8152" i="7"/>
  <c r="K8153" i="7"/>
  <c r="K8154" i="7"/>
  <c r="K8155" i="7"/>
  <c r="K8156" i="7"/>
  <c r="K8157" i="7"/>
  <c r="K8158" i="7"/>
  <c r="K8159" i="7"/>
  <c r="K8160" i="7"/>
  <c r="K8161" i="7"/>
  <c r="K8162" i="7"/>
  <c r="K8163" i="7"/>
  <c r="K8164" i="7"/>
  <c r="K8165" i="7"/>
  <c r="K8166" i="7"/>
  <c r="K8167" i="7"/>
  <c r="K8168" i="7"/>
  <c r="K8169" i="7"/>
  <c r="K8170" i="7"/>
  <c r="K8171" i="7"/>
  <c r="K8172" i="7"/>
  <c r="K8173" i="7"/>
  <c r="K8174" i="7"/>
  <c r="K8175" i="7"/>
  <c r="K8176" i="7"/>
  <c r="K8177" i="7"/>
  <c r="K8178" i="7"/>
  <c r="K8179" i="7"/>
  <c r="K8180" i="7"/>
  <c r="K8181" i="7"/>
  <c r="K8182" i="7"/>
  <c r="K8183" i="7"/>
  <c r="K8184" i="7"/>
  <c r="K8185" i="7"/>
  <c r="K8186" i="7"/>
  <c r="K8187" i="7"/>
  <c r="K8188" i="7"/>
  <c r="K8189" i="7"/>
  <c r="K8190" i="7"/>
  <c r="K8191" i="7"/>
  <c r="K8192" i="7"/>
  <c r="K8193" i="7"/>
  <c r="K8194" i="7"/>
  <c r="K8195" i="7"/>
  <c r="K8196" i="7"/>
  <c r="K8197" i="7"/>
  <c r="K8198" i="7"/>
  <c r="K8199" i="7"/>
  <c r="K8200" i="7"/>
  <c r="K8201" i="7"/>
  <c r="K8202" i="7"/>
  <c r="K8203" i="7"/>
  <c r="K8204" i="7"/>
  <c r="K8205" i="7"/>
  <c r="K8206" i="7"/>
  <c r="K8207" i="7"/>
  <c r="K8208" i="7"/>
  <c r="K8209" i="7"/>
  <c r="K8210" i="7"/>
  <c r="K8211" i="7"/>
  <c r="K8212" i="7"/>
  <c r="K8213" i="7"/>
  <c r="K8214" i="7"/>
  <c r="K8215" i="7"/>
  <c r="K8216" i="7"/>
  <c r="K8217" i="7"/>
  <c r="K8218" i="7"/>
  <c r="K8219" i="7"/>
  <c r="K8220" i="7"/>
  <c r="K8221" i="7"/>
  <c r="K8222" i="7"/>
  <c r="K8223" i="7"/>
  <c r="K8224" i="7"/>
  <c r="K8225" i="7"/>
  <c r="K8226" i="7"/>
  <c r="K8227" i="7"/>
  <c r="K8228" i="7"/>
  <c r="K8229" i="7"/>
  <c r="K8230" i="7"/>
  <c r="K8231" i="7"/>
  <c r="K8232" i="7"/>
  <c r="K8233" i="7"/>
  <c r="K8234" i="7"/>
  <c r="K8235" i="7"/>
  <c r="K8236" i="7"/>
  <c r="K8237" i="7"/>
  <c r="K8238" i="7"/>
  <c r="K8239" i="7"/>
  <c r="K8240" i="7"/>
  <c r="K8241" i="7"/>
  <c r="K8242" i="7"/>
  <c r="K8243" i="7"/>
  <c r="K8244" i="7"/>
  <c r="K8245" i="7"/>
  <c r="K8246" i="7"/>
  <c r="K8247" i="7"/>
  <c r="K8248" i="7"/>
  <c r="K8249" i="7"/>
  <c r="K8250" i="7"/>
  <c r="K8251" i="7"/>
  <c r="K8252" i="7"/>
  <c r="K8253" i="7"/>
  <c r="K8254" i="7"/>
  <c r="K8255" i="7"/>
  <c r="K8256" i="7"/>
  <c r="K8257" i="7"/>
  <c r="K8258" i="7"/>
  <c r="K8259" i="7"/>
  <c r="K8260" i="7"/>
  <c r="K8261" i="7"/>
  <c r="K8262" i="7"/>
  <c r="K8263" i="7"/>
  <c r="K8264" i="7"/>
  <c r="K8265" i="7"/>
  <c r="K8266" i="7"/>
  <c r="K8267" i="7"/>
  <c r="K8268" i="7"/>
  <c r="K8269" i="7"/>
  <c r="K8270" i="7"/>
  <c r="K8271" i="7"/>
  <c r="K8272" i="7"/>
  <c r="K8273" i="7"/>
  <c r="K8274" i="7"/>
  <c r="K8275" i="7"/>
  <c r="K8276" i="7"/>
  <c r="K8277" i="7"/>
  <c r="K8278" i="7"/>
  <c r="K8279" i="7"/>
  <c r="K8280" i="7"/>
  <c r="K8281" i="7"/>
  <c r="K8282" i="7"/>
  <c r="K8283" i="7"/>
  <c r="K8284" i="7"/>
  <c r="K8285" i="7"/>
  <c r="K8286" i="7"/>
  <c r="K8287" i="7"/>
  <c r="K8288" i="7"/>
  <c r="K8289" i="7"/>
  <c r="K8290" i="7"/>
  <c r="K8291" i="7"/>
  <c r="K8292" i="7"/>
  <c r="K8293" i="7"/>
  <c r="K8294" i="7"/>
  <c r="K8295" i="7"/>
  <c r="K8296" i="7"/>
  <c r="K8297" i="7"/>
  <c r="K8298" i="7"/>
  <c r="K8299" i="7"/>
  <c r="K8300" i="7"/>
  <c r="K8301" i="7"/>
  <c r="K8302" i="7"/>
  <c r="K8303" i="7"/>
  <c r="K8304" i="7"/>
  <c r="K8305" i="7"/>
  <c r="K8306" i="7"/>
  <c r="K8307" i="7"/>
  <c r="K8308" i="7"/>
  <c r="K8309" i="7"/>
  <c r="K8310" i="7"/>
  <c r="K8311" i="7"/>
  <c r="K8312" i="7"/>
  <c r="K8313" i="7"/>
  <c r="K8314" i="7"/>
  <c r="K8315" i="7"/>
  <c r="K8316" i="7"/>
  <c r="K8317" i="7"/>
  <c r="K8318" i="7"/>
  <c r="K8319" i="7"/>
  <c r="K8320" i="7"/>
  <c r="K8321" i="7"/>
  <c r="K8322" i="7"/>
  <c r="K8323" i="7"/>
  <c r="K8324" i="7"/>
  <c r="K8325" i="7"/>
  <c r="K8326" i="7"/>
  <c r="K8327" i="7"/>
  <c r="K8328" i="7"/>
  <c r="K8329" i="7"/>
  <c r="K8330" i="7"/>
  <c r="K8331" i="7"/>
  <c r="K8332" i="7"/>
  <c r="K8333" i="7"/>
  <c r="K8334" i="7"/>
  <c r="K8335" i="7"/>
  <c r="K8336" i="7"/>
  <c r="K8337" i="7"/>
  <c r="K8338" i="7"/>
  <c r="K8339" i="7"/>
  <c r="K8340" i="7"/>
  <c r="K8341" i="7"/>
  <c r="K8342" i="7"/>
  <c r="K8343" i="7"/>
  <c r="K8344" i="7"/>
  <c r="K8345" i="7"/>
  <c r="K8346" i="7"/>
  <c r="K8347" i="7"/>
  <c r="K8348" i="7"/>
  <c r="K8349" i="7"/>
  <c r="K8350" i="7"/>
  <c r="K8351" i="7"/>
  <c r="K8352" i="7"/>
  <c r="K8353" i="7"/>
  <c r="K8354" i="7"/>
  <c r="K8355" i="7"/>
  <c r="K8356" i="7"/>
  <c r="K8357" i="7"/>
  <c r="K8358" i="7"/>
  <c r="K8359" i="7"/>
  <c r="K8360" i="7"/>
  <c r="K8361" i="7"/>
  <c r="K8362" i="7"/>
  <c r="K8363" i="7"/>
  <c r="K8364" i="7"/>
  <c r="K8365" i="7"/>
  <c r="K8366" i="7"/>
  <c r="K8367" i="7"/>
  <c r="K8368" i="7"/>
  <c r="K8369" i="7"/>
  <c r="K8370" i="7"/>
  <c r="K8371" i="7"/>
  <c r="K8372" i="7"/>
  <c r="K8373" i="7"/>
  <c r="K8374" i="7"/>
  <c r="K8375" i="7"/>
  <c r="K8376" i="7"/>
  <c r="K8377" i="7"/>
  <c r="K8378" i="7"/>
  <c r="K8379" i="7"/>
  <c r="K8380" i="7"/>
  <c r="K8381" i="7"/>
  <c r="K8382" i="7"/>
  <c r="K8383" i="7"/>
  <c r="K8384" i="7"/>
  <c r="K8385" i="7"/>
  <c r="K8386" i="7"/>
  <c r="K8387" i="7"/>
  <c r="K8388" i="7"/>
  <c r="K8389" i="7"/>
  <c r="K8390" i="7"/>
  <c r="K8391" i="7"/>
  <c r="K8392" i="7"/>
  <c r="K8393" i="7"/>
  <c r="K8394" i="7"/>
  <c r="K8395" i="7"/>
  <c r="K8396" i="7"/>
  <c r="K8397" i="7"/>
  <c r="K8398" i="7"/>
  <c r="K8399" i="7"/>
  <c r="K8400" i="7"/>
  <c r="K8401" i="7"/>
  <c r="K8402" i="7"/>
  <c r="K8403" i="7"/>
  <c r="K8404" i="7"/>
  <c r="K8405" i="7"/>
  <c r="K8406" i="7"/>
  <c r="K8407" i="7"/>
  <c r="K8408" i="7"/>
  <c r="K8409" i="7"/>
  <c r="K8410" i="7"/>
  <c r="K8411" i="7"/>
  <c r="K8412" i="7"/>
  <c r="K8413" i="7"/>
  <c r="K8414" i="7"/>
  <c r="K8415" i="7"/>
  <c r="K8416" i="7"/>
  <c r="K8417" i="7"/>
  <c r="K8418" i="7"/>
  <c r="K8419" i="7"/>
  <c r="K8420" i="7"/>
  <c r="K8421" i="7"/>
  <c r="K8422" i="7"/>
  <c r="K8423" i="7"/>
  <c r="K8424" i="7"/>
  <c r="K8425" i="7"/>
  <c r="K8426" i="7"/>
  <c r="K8427" i="7"/>
  <c r="K8428" i="7"/>
  <c r="K8429" i="7"/>
  <c r="K8430" i="7"/>
  <c r="K8431" i="7"/>
  <c r="K8432" i="7"/>
  <c r="K8433" i="7"/>
  <c r="K8434" i="7"/>
  <c r="K8435" i="7"/>
  <c r="K8436" i="7"/>
  <c r="K8437" i="7"/>
  <c r="K8438" i="7"/>
  <c r="K8439" i="7"/>
  <c r="K8440" i="7"/>
  <c r="K8441" i="7"/>
  <c r="K8442" i="7"/>
  <c r="K8443" i="7"/>
  <c r="K8444" i="7"/>
  <c r="K8445" i="7"/>
  <c r="K8446" i="7"/>
  <c r="K8447" i="7"/>
  <c r="K8448" i="7"/>
  <c r="K8449" i="7"/>
  <c r="K8450" i="7"/>
  <c r="K8451" i="7"/>
  <c r="K8452" i="7"/>
  <c r="K8453" i="7"/>
  <c r="K8454" i="7"/>
  <c r="K8455" i="7"/>
  <c r="K8456" i="7"/>
  <c r="K8457" i="7"/>
  <c r="K8458" i="7"/>
  <c r="K8459" i="7"/>
  <c r="K8460" i="7"/>
  <c r="K8461" i="7"/>
  <c r="K8462" i="7"/>
  <c r="K8463" i="7"/>
  <c r="K8464" i="7"/>
  <c r="K8465" i="7"/>
  <c r="K8466" i="7"/>
  <c r="K8467" i="7"/>
  <c r="K8468" i="7"/>
  <c r="K8469" i="7"/>
  <c r="K8470" i="7"/>
  <c r="K8471" i="7"/>
  <c r="K8472" i="7"/>
  <c r="K8473" i="7"/>
  <c r="K8474" i="7"/>
  <c r="K8475" i="7"/>
  <c r="K8476" i="7"/>
  <c r="K8477" i="7"/>
  <c r="K8478" i="7"/>
  <c r="K8479" i="7"/>
  <c r="K8480" i="7"/>
  <c r="K8481" i="7"/>
  <c r="K8482" i="7"/>
  <c r="K8483" i="7"/>
  <c r="K8484" i="7"/>
  <c r="K8485" i="7"/>
  <c r="K8486" i="7"/>
  <c r="K8487" i="7"/>
  <c r="K8488" i="7"/>
  <c r="K8489" i="7"/>
  <c r="K8490" i="7"/>
  <c r="K8491" i="7"/>
  <c r="K8492" i="7"/>
  <c r="K8493" i="7"/>
  <c r="K8494" i="7"/>
  <c r="K8495" i="7"/>
  <c r="K8496" i="7"/>
  <c r="K8497" i="7"/>
  <c r="K8498" i="7"/>
  <c r="K8499" i="7"/>
  <c r="K8500" i="7"/>
  <c r="K8501" i="7"/>
  <c r="K8502" i="7"/>
  <c r="K8503" i="7"/>
  <c r="K8504" i="7"/>
  <c r="K8505" i="7"/>
  <c r="K8506" i="7"/>
  <c r="K8507" i="7"/>
  <c r="K8508" i="7"/>
  <c r="K8509" i="7"/>
  <c r="K8510" i="7"/>
  <c r="K8511" i="7"/>
  <c r="K8512" i="7"/>
  <c r="K8513" i="7"/>
  <c r="K8514" i="7"/>
  <c r="K8515" i="7"/>
  <c r="K8516" i="7"/>
  <c r="K8517" i="7"/>
  <c r="K8518" i="7"/>
  <c r="K8519" i="7"/>
  <c r="K8520" i="7"/>
  <c r="K8521" i="7"/>
  <c r="K8522" i="7"/>
  <c r="K8523" i="7"/>
  <c r="K8524" i="7"/>
  <c r="K8525" i="7"/>
  <c r="K8526" i="7"/>
  <c r="K8527" i="7"/>
  <c r="K8528" i="7"/>
  <c r="K8529" i="7"/>
  <c r="K8530" i="7"/>
  <c r="K8531" i="7"/>
  <c r="K8532" i="7"/>
  <c r="K8533" i="7"/>
  <c r="K8534" i="7"/>
  <c r="K8535" i="7"/>
  <c r="K8536" i="7"/>
  <c r="K8537" i="7"/>
  <c r="K8538" i="7"/>
  <c r="K8539" i="7"/>
  <c r="K8540" i="7"/>
  <c r="K8541" i="7"/>
  <c r="K8542" i="7"/>
  <c r="K8543" i="7"/>
  <c r="K8544" i="7"/>
  <c r="K8545" i="7"/>
  <c r="K8546" i="7"/>
  <c r="K8547" i="7"/>
  <c r="K8548" i="7"/>
  <c r="K8549" i="7"/>
  <c r="K8550" i="7"/>
  <c r="K8551" i="7"/>
  <c r="K8552" i="7"/>
  <c r="K8553" i="7"/>
  <c r="K8554" i="7"/>
  <c r="K8555" i="7"/>
  <c r="K8556" i="7"/>
  <c r="K8557" i="7"/>
  <c r="K8558" i="7"/>
  <c r="K8559" i="7"/>
  <c r="K8560" i="7"/>
  <c r="K8561" i="7"/>
  <c r="K8562" i="7"/>
  <c r="K8563" i="7"/>
  <c r="K8564" i="7"/>
  <c r="K8565" i="7"/>
  <c r="K8566" i="7"/>
  <c r="K8567" i="7"/>
  <c r="K8568" i="7"/>
  <c r="K8569" i="7"/>
  <c r="K8570" i="7"/>
  <c r="K8571" i="7"/>
  <c r="K8572" i="7"/>
  <c r="K8573" i="7"/>
  <c r="K8574" i="7"/>
  <c r="K8575" i="7"/>
  <c r="K8576" i="7"/>
  <c r="K8577" i="7"/>
  <c r="K8578" i="7"/>
  <c r="K8579" i="7"/>
  <c r="K8580" i="7"/>
  <c r="K8581" i="7"/>
  <c r="K8582" i="7"/>
  <c r="K8583" i="7"/>
  <c r="K8584" i="7"/>
  <c r="K8585" i="7"/>
  <c r="K8586" i="7"/>
  <c r="K8587" i="7"/>
  <c r="K8588" i="7"/>
  <c r="K8589" i="7"/>
  <c r="K8590" i="7"/>
  <c r="K8591" i="7"/>
  <c r="K8592" i="7"/>
  <c r="K8593" i="7"/>
  <c r="K8594" i="7"/>
  <c r="K8595" i="7"/>
  <c r="K8596" i="7"/>
  <c r="K8597" i="7"/>
  <c r="K8598" i="7"/>
  <c r="K8599" i="7"/>
  <c r="K8600" i="7"/>
  <c r="K8601" i="7"/>
  <c r="K8602" i="7"/>
  <c r="K8603" i="7"/>
  <c r="K8604" i="7"/>
  <c r="K8605" i="7"/>
  <c r="K8606" i="7"/>
  <c r="K8607" i="7"/>
  <c r="K8608" i="7"/>
  <c r="K8609" i="7"/>
  <c r="K8610" i="7"/>
  <c r="K8611" i="7"/>
  <c r="K8612" i="7"/>
  <c r="K8613" i="7"/>
  <c r="K8614" i="7"/>
  <c r="K8615" i="7"/>
  <c r="K8616" i="7"/>
  <c r="K8617" i="7"/>
  <c r="K8618" i="7"/>
  <c r="K8619" i="7"/>
  <c r="K8620" i="7"/>
  <c r="K8621" i="7"/>
  <c r="K8622" i="7"/>
  <c r="K8623" i="7"/>
  <c r="K8624" i="7"/>
  <c r="K8625" i="7"/>
  <c r="K8626" i="7"/>
  <c r="K8627" i="7"/>
  <c r="K8628" i="7"/>
  <c r="K8629" i="7"/>
  <c r="K8630" i="7"/>
  <c r="K8631" i="7"/>
  <c r="K8632" i="7"/>
  <c r="K8633" i="7"/>
  <c r="K8634" i="7"/>
  <c r="K8635" i="7"/>
  <c r="K8636" i="7"/>
  <c r="K8637" i="7"/>
  <c r="K8638" i="7"/>
  <c r="K8639" i="7"/>
  <c r="K8640" i="7"/>
  <c r="K8641" i="7"/>
  <c r="K8642" i="7"/>
  <c r="K8643" i="7"/>
  <c r="K8644" i="7"/>
  <c r="K8645" i="7"/>
  <c r="K8646" i="7"/>
  <c r="K8647" i="7"/>
  <c r="K8648" i="7"/>
  <c r="K8649" i="7"/>
  <c r="K8650" i="7"/>
  <c r="K8651" i="7"/>
  <c r="K8652" i="7"/>
  <c r="K8653" i="7"/>
  <c r="K8654" i="7"/>
  <c r="K8655" i="7"/>
  <c r="K8656" i="7"/>
  <c r="K8657" i="7"/>
  <c r="K8658" i="7"/>
  <c r="K8659" i="7"/>
  <c r="K8660" i="7"/>
  <c r="K8661" i="7"/>
  <c r="K8662" i="7"/>
  <c r="K8663" i="7"/>
  <c r="K8664" i="7"/>
  <c r="K8665" i="7"/>
  <c r="K8666" i="7"/>
  <c r="K8667" i="7"/>
  <c r="K8668" i="7"/>
  <c r="K8669" i="7"/>
  <c r="K8670" i="7"/>
  <c r="K8671" i="7"/>
  <c r="K8672" i="7"/>
  <c r="K8673" i="7"/>
  <c r="K8674" i="7"/>
  <c r="K8675" i="7"/>
  <c r="K8676" i="7"/>
  <c r="K8677" i="7"/>
  <c r="K8678" i="7"/>
  <c r="K8679" i="7"/>
  <c r="K8680" i="7"/>
  <c r="K8681" i="7"/>
  <c r="K8682" i="7"/>
  <c r="K8683" i="7"/>
  <c r="K8684" i="7"/>
  <c r="K8685" i="7"/>
  <c r="K8686" i="7"/>
  <c r="K8687" i="7"/>
  <c r="K8688" i="7"/>
  <c r="K8689" i="7"/>
  <c r="K8690" i="7"/>
  <c r="K8691" i="7"/>
  <c r="K8692" i="7"/>
  <c r="K8693" i="7"/>
  <c r="K8694" i="7"/>
  <c r="K8695" i="7"/>
  <c r="K8696" i="7"/>
  <c r="K8697" i="7"/>
  <c r="K8698" i="7"/>
  <c r="K8699" i="7"/>
  <c r="K8700" i="7"/>
  <c r="K8701" i="7"/>
  <c r="K8702" i="7"/>
  <c r="K8703" i="7"/>
  <c r="K8704" i="7"/>
  <c r="K8705" i="7"/>
  <c r="K8706" i="7"/>
  <c r="K8707" i="7"/>
  <c r="K8708" i="7"/>
  <c r="K8709" i="7"/>
  <c r="K8710" i="7"/>
  <c r="K8711" i="7"/>
  <c r="K8712" i="7"/>
  <c r="K8713" i="7"/>
  <c r="K8714" i="7"/>
  <c r="K8715" i="7"/>
  <c r="K8716" i="7"/>
  <c r="K8717" i="7"/>
  <c r="K8718" i="7"/>
  <c r="K8719" i="7"/>
  <c r="K8720" i="7"/>
  <c r="K8721" i="7"/>
  <c r="K8722" i="7"/>
  <c r="K8723" i="7"/>
  <c r="K8724" i="7"/>
  <c r="K8725" i="7"/>
  <c r="K8726" i="7"/>
  <c r="K8727" i="7"/>
  <c r="K8728" i="7"/>
  <c r="K8729" i="7"/>
  <c r="K8730" i="7"/>
  <c r="K8731" i="7"/>
  <c r="K8732" i="7"/>
  <c r="K8733" i="7"/>
  <c r="K8734" i="7"/>
  <c r="K8735" i="7"/>
  <c r="K8736" i="7"/>
  <c r="K8737" i="7"/>
  <c r="K8738" i="7"/>
  <c r="K8739" i="7"/>
  <c r="K8740" i="7"/>
  <c r="K8741" i="7"/>
  <c r="K8742" i="7"/>
  <c r="K8743" i="7"/>
  <c r="K8744" i="7"/>
  <c r="K8745" i="7"/>
  <c r="K8746" i="7"/>
  <c r="K8747" i="7"/>
  <c r="K8748" i="7"/>
  <c r="K8749" i="7"/>
  <c r="K8750" i="7"/>
  <c r="K8751" i="7"/>
  <c r="K8752" i="7"/>
  <c r="K8753" i="7"/>
  <c r="K8754" i="7"/>
  <c r="K8755" i="7"/>
  <c r="K8756" i="7"/>
  <c r="K8757" i="7"/>
  <c r="K8758" i="7"/>
  <c r="K8759" i="7"/>
  <c r="K8760" i="7"/>
  <c r="K8761" i="7"/>
  <c r="K8762" i="7"/>
  <c r="K8763" i="7"/>
  <c r="K8764" i="7"/>
  <c r="K8765" i="7"/>
  <c r="K8766" i="7"/>
  <c r="K8767" i="7"/>
  <c r="K8768" i="7"/>
  <c r="K8769" i="7"/>
  <c r="K8770" i="7"/>
  <c r="K8771" i="7"/>
  <c r="K8772" i="7"/>
  <c r="K8773" i="7"/>
  <c r="K8774" i="7"/>
  <c r="K8775" i="7"/>
  <c r="K8776" i="7"/>
  <c r="K8777" i="7"/>
  <c r="K8778" i="7"/>
  <c r="K8779" i="7"/>
  <c r="K8780" i="7"/>
  <c r="K8781" i="7"/>
  <c r="K8782" i="7"/>
  <c r="K8783" i="7"/>
  <c r="K8784" i="7"/>
  <c r="K8785" i="7"/>
  <c r="K8786" i="7"/>
  <c r="K8787" i="7"/>
  <c r="K8788" i="7"/>
  <c r="K8789" i="7"/>
  <c r="K8790" i="7"/>
  <c r="K8791" i="7"/>
  <c r="K8792" i="7"/>
  <c r="K8793" i="7"/>
  <c r="K8794" i="7"/>
  <c r="K8795" i="7"/>
  <c r="K8796" i="7"/>
  <c r="K8797" i="7"/>
  <c r="K8798" i="7"/>
  <c r="K8799" i="7"/>
  <c r="K8800" i="7"/>
  <c r="K8801" i="7"/>
  <c r="K8802" i="7"/>
  <c r="K8803" i="7"/>
  <c r="K8804" i="7"/>
  <c r="K8805" i="7"/>
  <c r="K8806" i="7"/>
  <c r="K8807" i="7"/>
  <c r="K8808" i="7"/>
  <c r="K8809" i="7"/>
  <c r="K8810" i="7"/>
  <c r="K8811" i="7"/>
  <c r="K8812" i="7"/>
  <c r="K8813" i="7"/>
  <c r="K8814" i="7"/>
  <c r="K8815" i="7"/>
  <c r="K8816" i="7"/>
  <c r="K8817" i="7"/>
  <c r="K8818" i="7"/>
  <c r="K8819" i="7"/>
  <c r="K8820" i="7"/>
  <c r="K8821" i="7"/>
  <c r="K8822" i="7"/>
  <c r="K8823" i="7"/>
  <c r="K8824" i="7"/>
  <c r="K8825" i="7"/>
  <c r="K8826" i="7"/>
  <c r="K8827" i="7"/>
  <c r="K8828" i="7"/>
  <c r="K8829" i="7"/>
  <c r="K8830" i="7"/>
  <c r="K8831" i="7"/>
  <c r="K8832" i="7"/>
  <c r="K8833" i="7"/>
  <c r="K8834" i="7"/>
  <c r="K8835" i="7"/>
  <c r="K8836" i="7"/>
  <c r="K8837" i="7"/>
  <c r="K8838" i="7"/>
  <c r="K8839" i="7"/>
  <c r="K8840" i="7"/>
  <c r="K8841" i="7"/>
  <c r="K8842" i="7"/>
  <c r="K8843" i="7"/>
  <c r="K8844" i="7"/>
  <c r="K8845" i="7"/>
  <c r="K8846" i="7"/>
  <c r="K8847" i="7"/>
  <c r="K8848" i="7"/>
  <c r="K8849" i="7"/>
  <c r="K8850" i="7"/>
  <c r="K8851" i="7"/>
  <c r="K8852" i="7"/>
  <c r="K8853" i="7"/>
  <c r="K8854" i="7"/>
  <c r="K8855" i="7"/>
  <c r="K8856" i="7"/>
  <c r="K8857" i="7"/>
  <c r="K8858" i="7"/>
  <c r="K8859" i="7"/>
  <c r="K8860" i="7"/>
  <c r="K8861" i="7"/>
  <c r="K8862" i="7"/>
  <c r="K8863" i="7"/>
  <c r="K8864" i="7"/>
  <c r="K8865" i="7"/>
  <c r="K8866" i="7"/>
  <c r="K8867" i="7"/>
  <c r="K8868" i="7"/>
  <c r="K8869" i="7"/>
  <c r="K8870" i="7"/>
  <c r="K8871" i="7"/>
  <c r="K8872" i="7"/>
  <c r="K8873" i="7"/>
  <c r="K8874" i="7"/>
  <c r="K8875" i="7"/>
  <c r="K8876" i="7"/>
  <c r="K8877" i="7"/>
  <c r="K8878" i="7"/>
  <c r="K8879" i="7"/>
  <c r="K8880" i="7"/>
  <c r="K8881" i="7"/>
  <c r="K8882" i="7"/>
  <c r="K8883" i="7"/>
  <c r="K8884" i="7"/>
  <c r="K8885" i="7"/>
  <c r="K8886" i="7"/>
  <c r="K8887" i="7"/>
  <c r="K8888" i="7"/>
  <c r="K8889" i="7"/>
  <c r="K8890" i="7"/>
  <c r="K8891" i="7"/>
  <c r="K8892" i="7"/>
  <c r="K8893" i="7"/>
  <c r="K8894" i="7"/>
  <c r="K8895" i="7"/>
  <c r="K8896" i="7"/>
  <c r="K8897" i="7"/>
  <c r="K8898" i="7"/>
  <c r="K8899" i="7"/>
  <c r="K8900" i="7"/>
  <c r="K8901" i="7"/>
  <c r="K8902" i="7"/>
  <c r="K8903" i="7"/>
  <c r="K8904" i="7"/>
  <c r="K8905" i="7"/>
  <c r="K8906" i="7"/>
  <c r="K8907" i="7"/>
  <c r="K8908" i="7"/>
  <c r="K8909" i="7"/>
  <c r="K8910" i="7"/>
  <c r="K8911" i="7"/>
  <c r="K8912" i="7"/>
  <c r="K8913" i="7"/>
  <c r="K8914" i="7"/>
  <c r="K8915" i="7"/>
  <c r="K8916" i="7"/>
  <c r="K8917" i="7"/>
  <c r="K8918" i="7"/>
  <c r="K8919" i="7"/>
  <c r="K8920" i="7"/>
  <c r="K8921" i="7"/>
  <c r="K8922" i="7"/>
  <c r="K8923" i="7"/>
  <c r="K8924" i="7"/>
  <c r="K8925" i="7"/>
  <c r="K8926" i="7"/>
  <c r="K8927" i="7"/>
  <c r="K8928" i="7"/>
  <c r="K8929" i="7"/>
  <c r="K8930" i="7"/>
  <c r="K8931" i="7"/>
  <c r="K8932" i="7"/>
  <c r="K8933" i="7"/>
  <c r="K8934" i="7"/>
  <c r="K8935" i="7"/>
  <c r="K8936" i="7"/>
  <c r="K8937" i="7"/>
  <c r="K8938" i="7"/>
  <c r="K8939" i="7"/>
  <c r="K8940" i="7"/>
  <c r="K8941" i="7"/>
  <c r="K8942" i="7"/>
  <c r="K8943" i="7"/>
  <c r="K8944" i="7"/>
  <c r="K8945" i="7"/>
  <c r="K8946" i="7"/>
  <c r="K8947" i="7"/>
  <c r="K8948" i="7"/>
  <c r="K8949" i="7"/>
  <c r="K8950" i="7"/>
  <c r="K8951" i="7"/>
  <c r="K8952" i="7"/>
  <c r="K8953" i="7"/>
  <c r="K8954" i="7"/>
  <c r="K8955" i="7"/>
  <c r="K8956" i="7"/>
  <c r="K8957" i="7"/>
  <c r="K8958" i="7"/>
  <c r="K8959" i="7"/>
  <c r="K8960" i="7"/>
  <c r="K8961" i="7"/>
  <c r="K8962" i="7"/>
  <c r="K8963" i="7"/>
  <c r="K8964" i="7"/>
  <c r="K8965" i="7"/>
  <c r="K8966" i="7"/>
  <c r="K8967" i="7"/>
  <c r="K8968" i="7"/>
  <c r="K8969" i="7"/>
  <c r="K8970" i="7"/>
  <c r="K8971" i="7"/>
  <c r="K8972" i="7"/>
  <c r="K8973" i="7"/>
  <c r="K8974" i="7"/>
  <c r="K8975" i="7"/>
  <c r="K8976" i="7"/>
  <c r="K8977" i="7"/>
  <c r="K8978" i="7"/>
  <c r="K8979" i="7"/>
  <c r="K8980" i="7"/>
  <c r="K8981" i="7"/>
  <c r="K8982" i="7"/>
  <c r="K8983" i="7"/>
  <c r="K8984" i="7"/>
  <c r="K8985" i="7"/>
  <c r="K8986" i="7"/>
  <c r="K8987" i="7"/>
  <c r="K8988" i="7"/>
  <c r="K8989" i="7"/>
  <c r="K8990" i="7"/>
  <c r="K8991" i="7"/>
  <c r="K8992" i="7"/>
  <c r="K8993" i="7"/>
  <c r="K8994" i="7"/>
  <c r="K8995" i="7"/>
  <c r="K8996" i="7"/>
  <c r="K8997" i="7"/>
  <c r="K8998" i="7"/>
  <c r="K8999" i="7"/>
  <c r="K9000" i="7"/>
  <c r="K9001" i="7"/>
  <c r="K9002" i="7"/>
  <c r="K9003" i="7"/>
  <c r="K9004" i="7"/>
  <c r="K9005" i="7"/>
  <c r="K9006" i="7"/>
  <c r="K9007" i="7"/>
  <c r="K9008" i="7"/>
  <c r="K9009" i="7"/>
  <c r="K9010" i="7"/>
  <c r="K9011" i="7"/>
  <c r="K9012" i="7"/>
  <c r="K9013" i="7"/>
  <c r="K9014" i="7"/>
  <c r="K9015" i="7"/>
  <c r="K9016" i="7"/>
  <c r="K9017" i="7"/>
  <c r="K9018" i="7"/>
  <c r="K9019" i="7"/>
  <c r="K9020" i="7"/>
  <c r="K9021" i="7"/>
  <c r="K9022" i="7"/>
  <c r="K9023" i="7"/>
  <c r="K9024" i="7"/>
  <c r="K9025" i="7"/>
  <c r="K9026" i="7"/>
  <c r="K9027" i="7"/>
  <c r="K9028" i="7"/>
  <c r="K9029" i="7"/>
  <c r="K9030" i="7"/>
  <c r="K9031" i="7"/>
  <c r="K9032" i="7"/>
  <c r="K9033" i="7"/>
  <c r="K9034" i="7"/>
  <c r="K9035" i="7"/>
  <c r="K9036" i="7"/>
  <c r="K9037" i="7"/>
  <c r="K9038" i="7"/>
  <c r="K9039" i="7"/>
  <c r="K9040" i="7"/>
  <c r="K9041" i="7"/>
  <c r="K9042" i="7"/>
  <c r="K9043" i="7"/>
  <c r="K9044" i="7"/>
  <c r="K9045" i="7"/>
  <c r="K9046" i="7"/>
  <c r="K9047" i="7"/>
  <c r="K9048" i="7"/>
  <c r="K9049" i="7"/>
  <c r="K9050" i="7"/>
  <c r="K9051" i="7"/>
  <c r="K9052" i="7"/>
  <c r="K9053" i="7"/>
  <c r="K9054" i="7"/>
  <c r="K9055" i="7"/>
  <c r="K9056" i="7"/>
  <c r="K9057" i="7"/>
  <c r="K9058" i="7"/>
  <c r="K9059" i="7"/>
  <c r="K9060" i="7"/>
  <c r="K9061" i="7"/>
  <c r="K9062" i="7"/>
  <c r="K9063" i="7"/>
  <c r="K9064" i="7"/>
  <c r="K9065" i="7"/>
  <c r="K9066" i="7"/>
  <c r="K9067" i="7"/>
  <c r="K9068" i="7"/>
  <c r="K9069" i="7"/>
  <c r="K9070" i="7"/>
  <c r="K9071" i="7"/>
  <c r="K9072" i="7"/>
  <c r="K9073" i="7"/>
  <c r="K9074" i="7"/>
  <c r="K9075" i="7"/>
  <c r="K9076" i="7"/>
  <c r="K9077" i="7"/>
  <c r="K9078" i="7"/>
  <c r="K9079" i="7"/>
  <c r="K9080" i="7"/>
  <c r="K9081" i="7"/>
  <c r="K9082" i="7"/>
  <c r="K9083" i="7"/>
  <c r="K9084" i="7"/>
  <c r="K9085" i="7"/>
  <c r="K9086" i="7"/>
  <c r="K9087" i="7"/>
  <c r="K9088" i="7"/>
  <c r="K9089" i="7"/>
  <c r="K9090" i="7"/>
  <c r="K9091" i="7"/>
  <c r="K9092" i="7"/>
  <c r="K9093" i="7"/>
  <c r="K9094" i="7"/>
  <c r="K9095" i="7"/>
  <c r="K9096" i="7"/>
  <c r="K9097" i="7"/>
  <c r="K9098" i="7"/>
  <c r="K9099" i="7"/>
  <c r="K9100" i="7"/>
  <c r="K9101" i="7"/>
  <c r="K9102" i="7"/>
  <c r="K9103" i="7"/>
  <c r="K9104" i="7"/>
  <c r="K9105" i="7"/>
  <c r="K9106" i="7"/>
  <c r="K9107" i="7"/>
  <c r="K9108" i="7"/>
  <c r="K9109" i="7"/>
  <c r="K9110" i="7"/>
  <c r="K9111" i="7"/>
  <c r="K9112" i="7"/>
  <c r="K9113" i="7"/>
  <c r="K9114" i="7"/>
  <c r="K9115" i="7"/>
  <c r="K9116" i="7"/>
  <c r="K9117" i="7"/>
  <c r="K9118" i="7"/>
  <c r="K9119" i="7"/>
  <c r="K9120" i="7"/>
  <c r="K9121" i="7"/>
  <c r="K9122" i="7"/>
  <c r="K9123" i="7"/>
  <c r="K9124" i="7"/>
  <c r="K9125" i="7"/>
  <c r="K9126" i="7"/>
  <c r="K9127" i="7"/>
  <c r="K9128" i="7"/>
  <c r="K9129" i="7"/>
  <c r="K9130" i="7"/>
  <c r="K9131" i="7"/>
  <c r="K9132" i="7"/>
  <c r="K9133" i="7"/>
  <c r="K9134" i="7"/>
  <c r="K9135" i="7"/>
  <c r="K9136" i="7"/>
  <c r="K9137" i="7"/>
  <c r="K9138" i="7"/>
  <c r="K9139" i="7"/>
  <c r="K9140" i="7"/>
  <c r="K9141" i="7"/>
  <c r="K9142" i="7"/>
  <c r="K9143" i="7"/>
  <c r="K9144" i="7"/>
  <c r="K9145" i="7"/>
  <c r="K9146" i="7"/>
  <c r="K9147" i="7"/>
  <c r="K9148" i="7"/>
  <c r="K9149" i="7"/>
  <c r="K9150" i="7"/>
  <c r="K9151" i="7"/>
  <c r="K9152" i="7"/>
  <c r="K9153" i="7"/>
  <c r="K9154" i="7"/>
  <c r="K9155" i="7"/>
  <c r="K9156" i="7"/>
  <c r="K9157" i="7"/>
  <c r="K9158" i="7"/>
  <c r="K9159" i="7"/>
  <c r="K9160" i="7"/>
  <c r="K9161" i="7"/>
  <c r="K9162" i="7"/>
  <c r="K9163" i="7"/>
  <c r="K9164" i="7"/>
  <c r="K9165" i="7"/>
  <c r="K9166" i="7"/>
  <c r="K9167" i="7"/>
  <c r="K9168" i="7"/>
  <c r="K9169" i="7"/>
  <c r="K9170" i="7"/>
  <c r="K9171" i="7"/>
  <c r="K9172" i="7"/>
  <c r="K9173" i="7"/>
  <c r="K9174" i="7"/>
  <c r="K9175" i="7"/>
  <c r="K9176" i="7"/>
  <c r="K9177" i="7"/>
  <c r="K9178" i="7"/>
  <c r="K9179" i="7"/>
  <c r="K9180" i="7"/>
  <c r="K9181" i="7"/>
  <c r="K9182" i="7"/>
  <c r="K9183" i="7"/>
  <c r="K9184" i="7"/>
  <c r="K9185" i="7"/>
  <c r="K9186" i="7"/>
  <c r="K9187" i="7"/>
  <c r="K9188" i="7"/>
  <c r="K9189" i="7"/>
  <c r="K9190" i="7"/>
  <c r="K9191" i="7"/>
  <c r="K9192" i="7"/>
  <c r="K9193" i="7"/>
  <c r="K9194" i="7"/>
  <c r="K9195" i="7"/>
  <c r="K9196" i="7"/>
  <c r="K9197" i="7"/>
  <c r="K9198" i="7"/>
  <c r="K9199" i="7"/>
  <c r="K9200" i="7"/>
  <c r="K9201" i="7"/>
  <c r="K9202" i="7"/>
  <c r="K9203" i="7"/>
  <c r="K9204" i="7"/>
  <c r="K9205" i="7"/>
  <c r="K9206" i="7"/>
  <c r="K9207" i="7"/>
  <c r="K9208" i="7"/>
  <c r="K9209" i="7"/>
  <c r="K9210" i="7"/>
  <c r="K9211" i="7"/>
  <c r="K9212" i="7"/>
  <c r="K9213" i="7"/>
  <c r="K9214" i="7"/>
  <c r="K9215" i="7"/>
  <c r="K9216" i="7"/>
  <c r="K9217" i="7"/>
  <c r="K9218" i="7"/>
  <c r="K9219" i="7"/>
  <c r="K9220" i="7"/>
  <c r="K9221" i="7"/>
  <c r="K9222" i="7"/>
  <c r="K9223" i="7"/>
  <c r="K9224" i="7"/>
  <c r="K9225" i="7"/>
  <c r="K9226" i="7"/>
  <c r="K9227" i="7"/>
  <c r="K9228" i="7"/>
  <c r="K9229" i="7"/>
  <c r="K9230" i="7"/>
  <c r="K9231" i="7"/>
  <c r="K9232" i="7"/>
  <c r="K9233" i="7"/>
  <c r="K9234" i="7"/>
  <c r="K9235" i="7"/>
  <c r="K9236" i="7"/>
  <c r="K9237" i="7"/>
  <c r="K9238" i="7"/>
  <c r="K9239" i="7"/>
  <c r="K9240" i="7"/>
  <c r="K9241" i="7"/>
  <c r="K9242" i="7"/>
  <c r="K9243" i="7"/>
  <c r="K9244" i="7"/>
  <c r="K9245" i="7"/>
  <c r="K9246" i="7"/>
  <c r="K9247" i="7"/>
  <c r="K9248" i="7"/>
  <c r="K9249" i="7"/>
  <c r="K9250" i="7"/>
  <c r="K9251" i="7"/>
  <c r="K9252" i="7"/>
  <c r="K9253" i="7"/>
  <c r="K9254" i="7"/>
  <c r="K9255" i="7"/>
  <c r="K9256" i="7"/>
  <c r="K9257" i="7"/>
  <c r="K9258" i="7"/>
  <c r="K9259" i="7"/>
  <c r="K9260" i="7"/>
  <c r="K9261" i="7"/>
  <c r="K9262" i="7"/>
  <c r="K9263" i="7"/>
  <c r="K9264" i="7"/>
  <c r="K9265" i="7"/>
  <c r="K9266" i="7"/>
  <c r="K9267" i="7"/>
  <c r="K9268" i="7"/>
  <c r="K9269" i="7"/>
  <c r="K9270" i="7"/>
  <c r="K9271" i="7"/>
  <c r="K9272" i="7"/>
  <c r="K9273" i="7"/>
  <c r="K9274" i="7"/>
  <c r="K9275" i="7"/>
  <c r="K9276" i="7"/>
  <c r="K9277" i="7"/>
  <c r="K9278" i="7"/>
  <c r="K9279" i="7"/>
  <c r="K9280" i="7"/>
  <c r="K9281" i="7"/>
  <c r="K9282" i="7"/>
  <c r="K9283" i="7"/>
  <c r="K9284" i="7"/>
  <c r="K9285" i="7"/>
  <c r="K9286" i="7"/>
  <c r="K9287" i="7"/>
  <c r="K9288" i="7"/>
  <c r="K9289" i="7"/>
  <c r="K9290" i="7"/>
  <c r="K9291" i="7"/>
  <c r="K9292" i="7"/>
  <c r="K9293" i="7"/>
  <c r="K9294" i="7"/>
  <c r="K9295" i="7"/>
  <c r="K9296" i="7"/>
  <c r="K9297" i="7"/>
  <c r="K9298" i="7"/>
  <c r="K9299" i="7"/>
  <c r="K9300" i="7"/>
  <c r="K9301" i="7"/>
  <c r="K9302" i="7"/>
  <c r="K9303" i="7"/>
  <c r="K9304" i="7"/>
  <c r="K9305" i="7"/>
  <c r="K9306" i="7"/>
  <c r="K9307" i="7"/>
  <c r="K9308" i="7"/>
  <c r="K9309" i="7"/>
  <c r="K9310" i="7"/>
  <c r="K9311" i="7"/>
  <c r="K9312" i="7"/>
  <c r="K9313" i="7"/>
  <c r="K9314" i="7"/>
  <c r="K9315" i="7"/>
  <c r="K9316" i="7"/>
  <c r="K9317" i="7"/>
  <c r="K9318" i="7"/>
  <c r="K9319" i="7"/>
  <c r="K9320" i="7"/>
  <c r="K9321" i="7"/>
  <c r="K9322" i="7"/>
  <c r="K9323" i="7"/>
  <c r="K9324" i="7"/>
  <c r="K9325" i="7"/>
  <c r="K9326" i="7"/>
  <c r="K9327" i="7"/>
  <c r="K9328" i="7"/>
  <c r="K9329" i="7"/>
  <c r="K9330" i="7"/>
  <c r="K9331" i="7"/>
  <c r="K9332" i="7"/>
  <c r="K9333" i="7"/>
  <c r="K9334" i="7"/>
  <c r="K9335" i="7"/>
  <c r="K9336" i="7"/>
  <c r="K9337" i="7"/>
  <c r="K9338" i="7"/>
  <c r="K9339" i="7"/>
  <c r="K9340" i="7"/>
  <c r="K9341" i="7"/>
  <c r="K9342" i="7"/>
  <c r="K9343" i="7"/>
  <c r="K9344" i="7"/>
  <c r="K9345" i="7"/>
  <c r="K9346" i="7"/>
  <c r="K9347" i="7"/>
  <c r="K9348" i="7"/>
  <c r="K9349" i="7"/>
  <c r="K9350" i="7"/>
  <c r="K9351" i="7"/>
  <c r="K9352" i="7"/>
  <c r="K9353" i="7"/>
  <c r="K9354" i="7"/>
  <c r="K9355" i="7"/>
  <c r="K9356" i="7"/>
  <c r="K9357" i="7"/>
  <c r="K9358" i="7"/>
  <c r="K9359" i="7"/>
  <c r="K9360" i="7"/>
  <c r="K9361" i="7"/>
  <c r="K9362" i="7"/>
  <c r="K9363" i="7"/>
  <c r="K9364" i="7"/>
  <c r="K9365" i="7"/>
  <c r="K9366" i="7"/>
  <c r="K9367" i="7"/>
  <c r="K9368" i="7"/>
  <c r="K9369" i="7"/>
  <c r="K9370" i="7"/>
  <c r="K9371" i="7"/>
  <c r="K9372" i="7"/>
  <c r="K9373" i="7"/>
  <c r="K9374" i="7"/>
  <c r="K9375" i="7"/>
  <c r="K9376" i="7"/>
  <c r="K9377" i="7"/>
  <c r="K9378" i="7"/>
  <c r="K9379" i="7"/>
  <c r="K9380" i="7"/>
  <c r="K9381" i="7"/>
  <c r="K9382" i="7"/>
  <c r="K9383" i="7"/>
  <c r="K9384" i="7"/>
  <c r="K9385" i="7"/>
  <c r="K9386" i="7"/>
  <c r="K9387" i="7"/>
  <c r="K9388" i="7"/>
  <c r="K9389" i="7"/>
  <c r="K9390" i="7"/>
  <c r="K9391" i="7"/>
  <c r="K9392" i="7"/>
  <c r="K9393" i="7"/>
  <c r="K9394" i="7"/>
  <c r="K9395" i="7"/>
  <c r="K9396" i="7"/>
  <c r="K9397" i="7"/>
  <c r="K9398" i="7"/>
  <c r="K9399" i="7"/>
  <c r="K9400" i="7"/>
  <c r="K9401" i="7"/>
  <c r="K9402" i="7"/>
  <c r="K9403" i="7"/>
  <c r="K9404" i="7"/>
  <c r="K9405" i="7"/>
  <c r="K9406" i="7"/>
  <c r="K9407" i="7"/>
  <c r="K9408" i="7"/>
  <c r="K9409" i="7"/>
  <c r="K9410" i="7"/>
  <c r="K9411" i="7"/>
  <c r="K9412" i="7"/>
  <c r="K9413" i="7"/>
  <c r="K9414" i="7"/>
  <c r="K9415" i="7"/>
  <c r="K9416" i="7"/>
  <c r="K9417" i="7"/>
  <c r="K9418" i="7"/>
  <c r="K9419" i="7"/>
  <c r="K9420" i="7"/>
  <c r="K9421" i="7"/>
  <c r="K9422" i="7"/>
  <c r="K9423" i="7"/>
  <c r="K9424" i="7"/>
  <c r="K9425" i="7"/>
  <c r="K9426" i="7"/>
  <c r="K9427" i="7"/>
  <c r="K9428" i="7"/>
  <c r="K9429" i="7"/>
  <c r="K9430" i="7"/>
  <c r="K9431" i="7"/>
  <c r="K9432" i="7"/>
  <c r="K9433" i="7"/>
  <c r="K9434" i="7"/>
  <c r="K9435" i="7"/>
  <c r="K9436" i="7"/>
  <c r="K9437" i="7"/>
  <c r="K9438" i="7"/>
  <c r="K9439" i="7"/>
  <c r="K9440" i="7"/>
  <c r="K9441" i="7"/>
  <c r="K9442" i="7"/>
  <c r="K9443" i="7"/>
  <c r="K9444" i="7"/>
  <c r="K9445" i="7"/>
  <c r="K9446" i="7"/>
  <c r="K9447" i="7"/>
  <c r="K9448" i="7"/>
  <c r="K9449" i="7"/>
  <c r="K9450" i="7"/>
  <c r="K9451" i="7"/>
  <c r="K9452" i="7"/>
  <c r="K9453" i="7"/>
  <c r="K9454" i="7"/>
  <c r="K9455" i="7"/>
  <c r="K9456" i="7"/>
  <c r="K9457" i="7"/>
  <c r="K9458" i="7"/>
  <c r="K9459" i="7"/>
  <c r="K9460" i="7"/>
  <c r="K9461" i="7"/>
  <c r="K9462" i="7"/>
  <c r="K9463" i="7"/>
  <c r="K9464" i="7"/>
  <c r="K9465" i="7"/>
  <c r="J2" i="7"/>
  <c r="J3" i="7"/>
  <c r="J4" i="7"/>
  <c r="J5" i="7"/>
  <c r="J6" i="7"/>
  <c r="J7" i="7"/>
  <c r="J8" i="7"/>
  <c r="J9" i="7"/>
  <c r="J10" i="7"/>
  <c r="J11" i="7"/>
  <c r="J12" i="7"/>
  <c r="J13" i="7"/>
  <c r="J14" i="7"/>
  <c r="J15" i="7"/>
  <c r="J16" i="7"/>
  <c r="J17" i="7"/>
  <c r="J18" i="7"/>
  <c r="J19" i="7"/>
  <c r="J20" i="7"/>
  <c r="J21" i="7"/>
  <c r="J22" i="7"/>
  <c r="J23" i="7"/>
  <c r="J24" i="7"/>
  <c r="J25" i="7"/>
  <c r="J26" i="7"/>
  <c r="J27" i="7"/>
  <c r="J28" i="7"/>
  <c r="J29" i="7"/>
  <c r="J30" i="7"/>
  <c r="J31" i="7"/>
  <c r="J32" i="7"/>
  <c r="J33" i="7"/>
  <c r="J34" i="7"/>
  <c r="J35" i="7"/>
  <c r="J36" i="7"/>
  <c r="J37" i="7"/>
  <c r="J38" i="7"/>
  <c r="J39" i="7"/>
  <c r="J40" i="7"/>
  <c r="J41" i="7"/>
  <c r="J42" i="7"/>
  <c r="J43" i="7"/>
  <c r="J44" i="7"/>
  <c r="J45" i="7"/>
  <c r="J46" i="7"/>
  <c r="J47" i="7"/>
  <c r="J48" i="7"/>
  <c r="J49" i="7"/>
  <c r="J50" i="7"/>
  <c r="J51" i="7"/>
  <c r="J52" i="7"/>
  <c r="J53" i="7"/>
  <c r="J54" i="7"/>
  <c r="J55" i="7"/>
  <c r="J56" i="7"/>
  <c r="J57" i="7"/>
  <c r="J58" i="7"/>
  <c r="J59" i="7"/>
  <c r="J60" i="7"/>
  <c r="J61" i="7"/>
  <c r="J62" i="7"/>
  <c r="J63" i="7"/>
  <c r="J64" i="7"/>
  <c r="J65" i="7"/>
  <c r="J66" i="7"/>
  <c r="J67" i="7"/>
  <c r="J68" i="7"/>
  <c r="J69" i="7"/>
  <c r="J70" i="7"/>
  <c r="J71" i="7"/>
  <c r="J72" i="7"/>
  <c r="J73" i="7"/>
  <c r="J74" i="7"/>
  <c r="J75" i="7"/>
  <c r="J76" i="7"/>
  <c r="J77" i="7"/>
  <c r="J78" i="7"/>
  <c r="J79" i="7"/>
  <c r="J80" i="7"/>
  <c r="J81" i="7"/>
  <c r="J82" i="7"/>
  <c r="J83" i="7"/>
  <c r="J84" i="7"/>
  <c r="J85" i="7"/>
  <c r="J86" i="7"/>
  <c r="J87" i="7"/>
  <c r="J88" i="7"/>
  <c r="J89" i="7"/>
  <c r="J90" i="7"/>
  <c r="J91" i="7"/>
  <c r="J92" i="7"/>
  <c r="J93" i="7"/>
  <c r="J94" i="7"/>
  <c r="J95" i="7"/>
  <c r="J96" i="7"/>
  <c r="J97" i="7"/>
  <c r="J98" i="7"/>
  <c r="J99" i="7"/>
  <c r="J100" i="7"/>
  <c r="J101" i="7"/>
  <c r="J102" i="7"/>
  <c r="J103" i="7"/>
  <c r="J104" i="7"/>
  <c r="J105" i="7"/>
  <c r="J106" i="7"/>
  <c r="J107" i="7"/>
  <c r="J108" i="7"/>
  <c r="J109" i="7"/>
  <c r="J110" i="7"/>
  <c r="J111" i="7"/>
  <c r="J112" i="7"/>
  <c r="J113" i="7"/>
  <c r="J114" i="7"/>
  <c r="J115" i="7"/>
  <c r="J116" i="7"/>
  <c r="J117" i="7"/>
  <c r="J118" i="7"/>
  <c r="J119" i="7"/>
  <c r="J120" i="7"/>
  <c r="J121" i="7"/>
  <c r="J122" i="7"/>
  <c r="J123" i="7"/>
  <c r="J124" i="7"/>
  <c r="J125" i="7"/>
  <c r="J126" i="7"/>
  <c r="J127" i="7"/>
  <c r="J128" i="7"/>
  <c r="J129" i="7"/>
  <c r="J130" i="7"/>
  <c r="J131" i="7"/>
  <c r="J132" i="7"/>
  <c r="J133" i="7"/>
  <c r="J134" i="7"/>
  <c r="J135" i="7"/>
  <c r="J136" i="7"/>
  <c r="J137" i="7"/>
  <c r="J138" i="7"/>
  <c r="J139" i="7"/>
  <c r="J140" i="7"/>
  <c r="J141" i="7"/>
  <c r="J142" i="7"/>
  <c r="J143" i="7"/>
  <c r="J144" i="7"/>
  <c r="J145" i="7"/>
  <c r="J146" i="7"/>
  <c r="J147" i="7"/>
  <c r="J148" i="7"/>
  <c r="J149" i="7"/>
  <c r="J150" i="7"/>
  <c r="J151" i="7"/>
  <c r="J152" i="7"/>
  <c r="J153" i="7"/>
  <c r="J154" i="7"/>
  <c r="J155" i="7"/>
  <c r="J156" i="7"/>
  <c r="J157" i="7"/>
  <c r="J158" i="7"/>
  <c r="J159" i="7"/>
  <c r="J160" i="7"/>
  <c r="J161" i="7"/>
  <c r="J162" i="7"/>
  <c r="J163" i="7"/>
  <c r="J164" i="7"/>
  <c r="J165" i="7"/>
  <c r="J166" i="7"/>
  <c r="J167" i="7"/>
  <c r="J168" i="7"/>
  <c r="J169" i="7"/>
  <c r="J170" i="7"/>
  <c r="J171" i="7"/>
  <c r="J172" i="7"/>
  <c r="J173" i="7"/>
  <c r="J174" i="7"/>
  <c r="J175" i="7"/>
  <c r="J176" i="7"/>
  <c r="J177" i="7"/>
  <c r="J178" i="7"/>
  <c r="J179" i="7"/>
  <c r="J180" i="7"/>
  <c r="J181" i="7"/>
  <c r="J182" i="7"/>
  <c r="J183" i="7"/>
  <c r="J184" i="7"/>
  <c r="J185" i="7"/>
  <c r="J186" i="7"/>
  <c r="J187" i="7"/>
  <c r="J188" i="7"/>
  <c r="J189" i="7"/>
  <c r="J190" i="7"/>
  <c r="J191" i="7"/>
  <c r="J192" i="7"/>
  <c r="J193" i="7"/>
  <c r="J194" i="7"/>
  <c r="J195" i="7"/>
  <c r="J196" i="7"/>
  <c r="J197" i="7"/>
  <c r="J198" i="7"/>
  <c r="J199" i="7"/>
  <c r="J200" i="7"/>
  <c r="J201" i="7"/>
  <c r="J202" i="7"/>
  <c r="J203" i="7"/>
  <c r="J204" i="7"/>
  <c r="J205" i="7"/>
  <c r="J206" i="7"/>
  <c r="J207" i="7"/>
  <c r="J208" i="7"/>
  <c r="J209" i="7"/>
  <c r="J210" i="7"/>
  <c r="J211" i="7"/>
  <c r="J212" i="7"/>
  <c r="J213" i="7"/>
  <c r="J214" i="7"/>
  <c r="J215" i="7"/>
  <c r="J216" i="7"/>
  <c r="J217" i="7"/>
  <c r="J218" i="7"/>
  <c r="J219" i="7"/>
  <c r="J220" i="7"/>
  <c r="J221" i="7"/>
  <c r="J222" i="7"/>
  <c r="J223" i="7"/>
  <c r="J224" i="7"/>
  <c r="J225" i="7"/>
  <c r="J226" i="7"/>
  <c r="J227" i="7"/>
  <c r="J228" i="7"/>
  <c r="J229" i="7"/>
  <c r="J230" i="7"/>
  <c r="J231" i="7"/>
  <c r="J232" i="7"/>
  <c r="J233" i="7"/>
  <c r="J234" i="7"/>
  <c r="J235" i="7"/>
  <c r="J236" i="7"/>
  <c r="J237" i="7"/>
  <c r="J238" i="7"/>
  <c r="J239" i="7"/>
  <c r="J240" i="7"/>
  <c r="J241" i="7"/>
  <c r="J242" i="7"/>
  <c r="J243" i="7"/>
  <c r="J244" i="7"/>
  <c r="J245" i="7"/>
  <c r="J246" i="7"/>
  <c r="J247" i="7"/>
  <c r="J248" i="7"/>
  <c r="J249" i="7"/>
  <c r="J250" i="7"/>
  <c r="J251" i="7"/>
  <c r="J252" i="7"/>
  <c r="J253" i="7"/>
  <c r="J254" i="7"/>
  <c r="J255" i="7"/>
  <c r="J256" i="7"/>
  <c r="J257" i="7"/>
  <c r="J258" i="7"/>
  <c r="J259" i="7"/>
  <c r="J260" i="7"/>
  <c r="J261" i="7"/>
  <c r="J262" i="7"/>
  <c r="J263" i="7"/>
  <c r="J264" i="7"/>
  <c r="J265" i="7"/>
  <c r="J266" i="7"/>
  <c r="J267" i="7"/>
  <c r="J268" i="7"/>
  <c r="J269" i="7"/>
  <c r="J270" i="7"/>
  <c r="J271" i="7"/>
  <c r="J272" i="7"/>
  <c r="J273" i="7"/>
  <c r="J274" i="7"/>
  <c r="J275" i="7"/>
  <c r="J276" i="7"/>
  <c r="J277" i="7"/>
  <c r="J278" i="7"/>
  <c r="J279" i="7"/>
  <c r="J280" i="7"/>
  <c r="J281" i="7"/>
  <c r="J282" i="7"/>
  <c r="J283" i="7"/>
  <c r="J284" i="7"/>
  <c r="J285" i="7"/>
  <c r="J286" i="7"/>
  <c r="J287" i="7"/>
  <c r="J288" i="7"/>
  <c r="J289" i="7"/>
  <c r="J290" i="7"/>
  <c r="J291" i="7"/>
  <c r="J292" i="7"/>
  <c r="J293" i="7"/>
  <c r="J294" i="7"/>
  <c r="J295" i="7"/>
  <c r="J296" i="7"/>
  <c r="J297" i="7"/>
  <c r="J298" i="7"/>
  <c r="J299" i="7"/>
  <c r="J300" i="7"/>
  <c r="J301" i="7"/>
  <c r="J302" i="7"/>
  <c r="J303" i="7"/>
  <c r="J304" i="7"/>
  <c r="J305" i="7"/>
  <c r="J306" i="7"/>
  <c r="J307" i="7"/>
  <c r="J308" i="7"/>
  <c r="J309" i="7"/>
  <c r="J310" i="7"/>
  <c r="J311" i="7"/>
  <c r="J312" i="7"/>
  <c r="J313" i="7"/>
  <c r="J314" i="7"/>
  <c r="J315" i="7"/>
  <c r="J316" i="7"/>
  <c r="J317" i="7"/>
  <c r="J318" i="7"/>
  <c r="J319" i="7"/>
  <c r="J320" i="7"/>
  <c r="J321" i="7"/>
  <c r="J322" i="7"/>
  <c r="J323" i="7"/>
  <c r="J324" i="7"/>
  <c r="J325" i="7"/>
  <c r="J326" i="7"/>
  <c r="J327" i="7"/>
  <c r="J328" i="7"/>
  <c r="J329" i="7"/>
  <c r="J330" i="7"/>
  <c r="J331" i="7"/>
  <c r="J332" i="7"/>
  <c r="J333" i="7"/>
  <c r="J334" i="7"/>
  <c r="J335" i="7"/>
  <c r="J336" i="7"/>
  <c r="J337" i="7"/>
  <c r="J338" i="7"/>
  <c r="J339" i="7"/>
  <c r="J340" i="7"/>
  <c r="J341" i="7"/>
  <c r="J342" i="7"/>
  <c r="J343" i="7"/>
  <c r="J344" i="7"/>
  <c r="J345" i="7"/>
  <c r="J346" i="7"/>
  <c r="J347" i="7"/>
  <c r="J348" i="7"/>
  <c r="J349" i="7"/>
  <c r="J350" i="7"/>
  <c r="J351" i="7"/>
  <c r="J352" i="7"/>
  <c r="J353" i="7"/>
  <c r="J354" i="7"/>
  <c r="J355" i="7"/>
  <c r="J356" i="7"/>
  <c r="J357" i="7"/>
  <c r="J358" i="7"/>
  <c r="J359" i="7"/>
  <c r="J360" i="7"/>
  <c r="J361" i="7"/>
  <c r="J362" i="7"/>
  <c r="J363" i="7"/>
  <c r="J364" i="7"/>
  <c r="J365" i="7"/>
  <c r="J366" i="7"/>
  <c r="J367" i="7"/>
  <c r="J368" i="7"/>
  <c r="J369" i="7"/>
  <c r="J370" i="7"/>
  <c r="J371" i="7"/>
  <c r="J372" i="7"/>
  <c r="J373" i="7"/>
  <c r="J374" i="7"/>
  <c r="J375" i="7"/>
  <c r="J376" i="7"/>
  <c r="J377" i="7"/>
  <c r="J378" i="7"/>
  <c r="J379" i="7"/>
  <c r="J380" i="7"/>
  <c r="J381" i="7"/>
  <c r="J382" i="7"/>
  <c r="J383" i="7"/>
  <c r="J384" i="7"/>
  <c r="J385" i="7"/>
  <c r="J386" i="7"/>
  <c r="J387" i="7"/>
  <c r="J388" i="7"/>
  <c r="J389" i="7"/>
  <c r="J390" i="7"/>
  <c r="J391" i="7"/>
  <c r="J392" i="7"/>
  <c r="J393" i="7"/>
  <c r="J394" i="7"/>
  <c r="J395" i="7"/>
  <c r="J396" i="7"/>
  <c r="J397" i="7"/>
  <c r="J398" i="7"/>
  <c r="J399" i="7"/>
  <c r="J400" i="7"/>
  <c r="J401" i="7"/>
  <c r="J402" i="7"/>
  <c r="J403" i="7"/>
  <c r="J404" i="7"/>
  <c r="J405" i="7"/>
  <c r="J406" i="7"/>
  <c r="J407" i="7"/>
  <c r="J408" i="7"/>
  <c r="J409" i="7"/>
  <c r="J410" i="7"/>
  <c r="J411" i="7"/>
  <c r="J412" i="7"/>
  <c r="J413" i="7"/>
  <c r="J414" i="7"/>
  <c r="J415" i="7"/>
  <c r="J416" i="7"/>
  <c r="J417" i="7"/>
  <c r="J418" i="7"/>
  <c r="J419" i="7"/>
  <c r="J420" i="7"/>
  <c r="J421" i="7"/>
  <c r="J422" i="7"/>
  <c r="J423" i="7"/>
  <c r="J424" i="7"/>
  <c r="J425" i="7"/>
  <c r="J426" i="7"/>
  <c r="J427" i="7"/>
  <c r="J428" i="7"/>
  <c r="J429" i="7"/>
  <c r="J430" i="7"/>
  <c r="J431" i="7"/>
  <c r="J432" i="7"/>
  <c r="J433" i="7"/>
  <c r="J434" i="7"/>
  <c r="J435" i="7"/>
  <c r="J436" i="7"/>
  <c r="J437" i="7"/>
  <c r="J438" i="7"/>
  <c r="J439" i="7"/>
  <c r="J440" i="7"/>
  <c r="J441" i="7"/>
  <c r="J442" i="7"/>
  <c r="J443" i="7"/>
  <c r="J444" i="7"/>
  <c r="J445" i="7"/>
  <c r="J446" i="7"/>
  <c r="J447" i="7"/>
  <c r="J448" i="7"/>
  <c r="J449" i="7"/>
  <c r="J450" i="7"/>
  <c r="J451" i="7"/>
  <c r="J452" i="7"/>
  <c r="J453" i="7"/>
  <c r="J454" i="7"/>
  <c r="J455" i="7"/>
  <c r="J456" i="7"/>
  <c r="J457" i="7"/>
  <c r="J458" i="7"/>
  <c r="J459" i="7"/>
  <c r="J460" i="7"/>
  <c r="J461" i="7"/>
  <c r="J462" i="7"/>
  <c r="J463" i="7"/>
  <c r="J464" i="7"/>
  <c r="J465" i="7"/>
  <c r="J466" i="7"/>
  <c r="J467" i="7"/>
  <c r="J468" i="7"/>
  <c r="J469" i="7"/>
  <c r="J470" i="7"/>
  <c r="J471" i="7"/>
  <c r="J472" i="7"/>
  <c r="J473" i="7"/>
  <c r="J474" i="7"/>
  <c r="J475" i="7"/>
  <c r="J476" i="7"/>
  <c r="J477" i="7"/>
  <c r="J478" i="7"/>
  <c r="J479" i="7"/>
  <c r="J480" i="7"/>
  <c r="J481" i="7"/>
  <c r="J482" i="7"/>
  <c r="J483" i="7"/>
  <c r="J484" i="7"/>
  <c r="J485" i="7"/>
  <c r="J486" i="7"/>
  <c r="J487" i="7"/>
  <c r="J488" i="7"/>
  <c r="J489" i="7"/>
  <c r="J490" i="7"/>
  <c r="J491" i="7"/>
  <c r="J492" i="7"/>
  <c r="J493" i="7"/>
  <c r="J494" i="7"/>
  <c r="J495" i="7"/>
  <c r="J496" i="7"/>
  <c r="J497" i="7"/>
  <c r="J498" i="7"/>
  <c r="J499" i="7"/>
  <c r="J500" i="7"/>
  <c r="J501" i="7"/>
  <c r="J502" i="7"/>
  <c r="J503" i="7"/>
  <c r="J504" i="7"/>
  <c r="J505" i="7"/>
  <c r="J506" i="7"/>
  <c r="J507" i="7"/>
  <c r="J508" i="7"/>
  <c r="J509" i="7"/>
  <c r="J510" i="7"/>
  <c r="J511" i="7"/>
  <c r="J512" i="7"/>
  <c r="J513" i="7"/>
  <c r="J514" i="7"/>
  <c r="J515" i="7"/>
  <c r="J516" i="7"/>
  <c r="J517" i="7"/>
  <c r="J518" i="7"/>
  <c r="J519" i="7"/>
  <c r="J520" i="7"/>
  <c r="J521" i="7"/>
  <c r="J522" i="7"/>
  <c r="J523" i="7"/>
  <c r="J524" i="7"/>
  <c r="J525" i="7"/>
  <c r="J526" i="7"/>
  <c r="J527" i="7"/>
  <c r="J528" i="7"/>
  <c r="J529" i="7"/>
  <c r="J530" i="7"/>
  <c r="J531" i="7"/>
  <c r="J532" i="7"/>
  <c r="J533" i="7"/>
  <c r="J534" i="7"/>
  <c r="J535" i="7"/>
  <c r="J536" i="7"/>
  <c r="J537" i="7"/>
  <c r="J538" i="7"/>
  <c r="J539" i="7"/>
  <c r="J540" i="7"/>
  <c r="J541" i="7"/>
  <c r="J542" i="7"/>
  <c r="J543" i="7"/>
  <c r="J544" i="7"/>
  <c r="J545" i="7"/>
  <c r="J546" i="7"/>
  <c r="J547" i="7"/>
  <c r="J548" i="7"/>
  <c r="J549" i="7"/>
  <c r="J550" i="7"/>
  <c r="J551" i="7"/>
  <c r="J552" i="7"/>
  <c r="J553" i="7"/>
  <c r="J554" i="7"/>
  <c r="J555" i="7"/>
  <c r="J556" i="7"/>
  <c r="J557" i="7"/>
  <c r="J558" i="7"/>
  <c r="J559" i="7"/>
  <c r="J560" i="7"/>
  <c r="J561" i="7"/>
  <c r="J562" i="7"/>
  <c r="J563" i="7"/>
  <c r="J564" i="7"/>
  <c r="J565" i="7"/>
  <c r="J566" i="7"/>
  <c r="J567" i="7"/>
  <c r="J568" i="7"/>
  <c r="J569" i="7"/>
  <c r="J570" i="7"/>
  <c r="J571" i="7"/>
  <c r="J572" i="7"/>
  <c r="J573" i="7"/>
  <c r="J574" i="7"/>
  <c r="J575" i="7"/>
  <c r="J576" i="7"/>
  <c r="J577" i="7"/>
  <c r="J578" i="7"/>
  <c r="J579" i="7"/>
  <c r="J580" i="7"/>
  <c r="J581" i="7"/>
  <c r="J582" i="7"/>
  <c r="J583" i="7"/>
  <c r="J584" i="7"/>
  <c r="J585" i="7"/>
  <c r="J586" i="7"/>
  <c r="J587" i="7"/>
  <c r="J588" i="7"/>
  <c r="J589" i="7"/>
  <c r="J590" i="7"/>
  <c r="J591" i="7"/>
  <c r="J592" i="7"/>
  <c r="J593" i="7"/>
  <c r="J594" i="7"/>
  <c r="J595" i="7"/>
  <c r="J596" i="7"/>
  <c r="J597" i="7"/>
  <c r="J598" i="7"/>
  <c r="J599" i="7"/>
  <c r="J600" i="7"/>
  <c r="J601" i="7"/>
  <c r="J602" i="7"/>
  <c r="J603" i="7"/>
  <c r="J604" i="7"/>
  <c r="J605" i="7"/>
  <c r="J606" i="7"/>
  <c r="J607" i="7"/>
  <c r="J608" i="7"/>
  <c r="J609" i="7"/>
  <c r="J610" i="7"/>
  <c r="J611" i="7"/>
  <c r="J612" i="7"/>
  <c r="J613" i="7"/>
  <c r="J614" i="7"/>
  <c r="J615" i="7"/>
  <c r="J616" i="7"/>
  <c r="J617" i="7"/>
  <c r="J618" i="7"/>
  <c r="J619" i="7"/>
  <c r="J620" i="7"/>
  <c r="J621" i="7"/>
  <c r="J622" i="7"/>
  <c r="J623" i="7"/>
  <c r="J624" i="7"/>
  <c r="J625" i="7"/>
  <c r="J626" i="7"/>
  <c r="J627" i="7"/>
  <c r="J628" i="7"/>
  <c r="J629" i="7"/>
  <c r="J630" i="7"/>
  <c r="J631" i="7"/>
  <c r="J632" i="7"/>
  <c r="J633" i="7"/>
  <c r="J634" i="7"/>
  <c r="J635" i="7"/>
  <c r="J636" i="7"/>
  <c r="J637" i="7"/>
  <c r="J638" i="7"/>
  <c r="J639" i="7"/>
  <c r="J640" i="7"/>
  <c r="J641" i="7"/>
  <c r="J642" i="7"/>
  <c r="J643" i="7"/>
  <c r="J644" i="7"/>
  <c r="J645" i="7"/>
  <c r="J646" i="7"/>
  <c r="J647" i="7"/>
  <c r="J648" i="7"/>
  <c r="J649" i="7"/>
  <c r="J650" i="7"/>
  <c r="J651" i="7"/>
  <c r="J652" i="7"/>
  <c r="J653" i="7"/>
  <c r="J654" i="7"/>
  <c r="J655" i="7"/>
  <c r="J656" i="7"/>
  <c r="J657" i="7"/>
  <c r="J658" i="7"/>
  <c r="J659" i="7"/>
  <c r="J660" i="7"/>
  <c r="J661" i="7"/>
  <c r="J662" i="7"/>
  <c r="J663" i="7"/>
  <c r="J664" i="7"/>
  <c r="J665" i="7"/>
  <c r="J666" i="7"/>
  <c r="J667" i="7"/>
  <c r="J668" i="7"/>
  <c r="J669" i="7"/>
  <c r="J670" i="7"/>
  <c r="J671" i="7"/>
  <c r="J672" i="7"/>
  <c r="J673" i="7"/>
  <c r="J674" i="7"/>
  <c r="J675" i="7"/>
  <c r="J676" i="7"/>
  <c r="J677" i="7"/>
  <c r="J678" i="7"/>
  <c r="J679" i="7"/>
  <c r="J680" i="7"/>
  <c r="J681" i="7"/>
  <c r="J682" i="7"/>
  <c r="J683" i="7"/>
  <c r="J684" i="7"/>
  <c r="J685" i="7"/>
  <c r="J686" i="7"/>
  <c r="J687" i="7"/>
  <c r="J688" i="7"/>
  <c r="J689" i="7"/>
  <c r="J690" i="7"/>
  <c r="J691" i="7"/>
  <c r="J692" i="7"/>
  <c r="J693" i="7"/>
  <c r="J694" i="7"/>
  <c r="J695" i="7"/>
  <c r="J696" i="7"/>
  <c r="J697" i="7"/>
  <c r="J698" i="7"/>
  <c r="J699" i="7"/>
  <c r="J700" i="7"/>
  <c r="J701" i="7"/>
  <c r="J702" i="7"/>
  <c r="J703" i="7"/>
  <c r="J704" i="7"/>
  <c r="J705" i="7"/>
  <c r="J706" i="7"/>
  <c r="J707" i="7"/>
  <c r="J708" i="7"/>
  <c r="J709" i="7"/>
  <c r="J710" i="7"/>
  <c r="J711" i="7"/>
  <c r="J712" i="7"/>
  <c r="J713" i="7"/>
  <c r="J714" i="7"/>
  <c r="J715" i="7"/>
  <c r="J716" i="7"/>
  <c r="J717" i="7"/>
  <c r="J718" i="7"/>
  <c r="J719" i="7"/>
  <c r="J720" i="7"/>
  <c r="J721" i="7"/>
  <c r="J722" i="7"/>
  <c r="J723" i="7"/>
  <c r="J724" i="7"/>
  <c r="J725" i="7"/>
  <c r="J726" i="7"/>
  <c r="J727" i="7"/>
  <c r="J728" i="7"/>
  <c r="J729" i="7"/>
  <c r="J730" i="7"/>
  <c r="J731" i="7"/>
  <c r="J732" i="7"/>
  <c r="J733" i="7"/>
  <c r="J734" i="7"/>
  <c r="J735" i="7"/>
  <c r="J736" i="7"/>
  <c r="J737" i="7"/>
  <c r="J738" i="7"/>
  <c r="J739" i="7"/>
  <c r="J740" i="7"/>
  <c r="J741" i="7"/>
  <c r="J742" i="7"/>
  <c r="J743" i="7"/>
  <c r="J744" i="7"/>
  <c r="J745" i="7"/>
  <c r="J746" i="7"/>
  <c r="J747" i="7"/>
  <c r="J748" i="7"/>
  <c r="J749" i="7"/>
  <c r="J750" i="7"/>
  <c r="J751" i="7"/>
  <c r="J752" i="7"/>
  <c r="J753" i="7"/>
  <c r="J754" i="7"/>
  <c r="J755" i="7"/>
  <c r="J756" i="7"/>
  <c r="J757" i="7"/>
  <c r="J758" i="7"/>
  <c r="J759" i="7"/>
  <c r="J760" i="7"/>
  <c r="J761" i="7"/>
  <c r="J762" i="7"/>
  <c r="J763" i="7"/>
  <c r="J764" i="7"/>
  <c r="J765" i="7"/>
  <c r="J766" i="7"/>
  <c r="J767" i="7"/>
  <c r="J768" i="7"/>
  <c r="J769" i="7"/>
  <c r="J770" i="7"/>
  <c r="J771" i="7"/>
  <c r="J772" i="7"/>
  <c r="J773" i="7"/>
  <c r="J774" i="7"/>
  <c r="J775" i="7"/>
  <c r="J776" i="7"/>
  <c r="J777" i="7"/>
  <c r="J778" i="7"/>
  <c r="J779" i="7"/>
  <c r="J780" i="7"/>
  <c r="J781" i="7"/>
  <c r="J782" i="7"/>
  <c r="J783" i="7"/>
  <c r="J784" i="7"/>
  <c r="J785" i="7"/>
  <c r="J786" i="7"/>
  <c r="J787" i="7"/>
  <c r="J788" i="7"/>
  <c r="J789" i="7"/>
  <c r="J790" i="7"/>
  <c r="J791" i="7"/>
  <c r="J792" i="7"/>
  <c r="J793" i="7"/>
  <c r="J794" i="7"/>
  <c r="J795" i="7"/>
  <c r="J796" i="7"/>
  <c r="J797" i="7"/>
  <c r="J798" i="7"/>
  <c r="J799" i="7"/>
  <c r="J800" i="7"/>
  <c r="J801" i="7"/>
  <c r="J802" i="7"/>
  <c r="J803" i="7"/>
  <c r="J804" i="7"/>
  <c r="J805" i="7"/>
  <c r="J806" i="7"/>
  <c r="J807" i="7"/>
  <c r="J808" i="7"/>
  <c r="J809" i="7"/>
  <c r="J810" i="7"/>
  <c r="J811" i="7"/>
  <c r="J812" i="7"/>
  <c r="J813" i="7"/>
  <c r="J814" i="7"/>
  <c r="J815" i="7"/>
  <c r="J816" i="7"/>
  <c r="J817" i="7"/>
  <c r="J818" i="7"/>
  <c r="J819" i="7"/>
  <c r="J820" i="7"/>
  <c r="J821" i="7"/>
  <c r="J822" i="7"/>
  <c r="J823" i="7"/>
  <c r="J824" i="7"/>
  <c r="J825" i="7"/>
  <c r="J826" i="7"/>
  <c r="J827" i="7"/>
  <c r="J828" i="7"/>
  <c r="J829" i="7"/>
  <c r="J830" i="7"/>
  <c r="J831" i="7"/>
  <c r="J832" i="7"/>
  <c r="J833" i="7"/>
  <c r="J834" i="7"/>
  <c r="J835" i="7"/>
  <c r="J836" i="7"/>
  <c r="J837" i="7"/>
  <c r="J838" i="7"/>
  <c r="J839" i="7"/>
  <c r="J840" i="7"/>
  <c r="J841" i="7"/>
  <c r="J842" i="7"/>
  <c r="J843" i="7"/>
  <c r="J844" i="7"/>
  <c r="J845" i="7"/>
  <c r="J846" i="7"/>
  <c r="J847" i="7"/>
  <c r="J848" i="7"/>
  <c r="J849" i="7"/>
  <c r="J850" i="7"/>
  <c r="J851" i="7"/>
  <c r="J852" i="7"/>
  <c r="J853" i="7"/>
  <c r="J854" i="7"/>
  <c r="J855" i="7"/>
  <c r="J856" i="7"/>
  <c r="J857" i="7"/>
  <c r="J858" i="7"/>
  <c r="J859" i="7"/>
  <c r="J860" i="7"/>
  <c r="J861" i="7"/>
  <c r="J862" i="7"/>
  <c r="J863" i="7"/>
  <c r="J864" i="7"/>
  <c r="J865" i="7"/>
  <c r="J866" i="7"/>
  <c r="J867" i="7"/>
  <c r="J868" i="7"/>
  <c r="J869" i="7"/>
  <c r="J870" i="7"/>
  <c r="J871" i="7"/>
  <c r="J872" i="7"/>
  <c r="J873" i="7"/>
  <c r="J874" i="7"/>
  <c r="J875" i="7"/>
  <c r="J876" i="7"/>
  <c r="J877" i="7"/>
  <c r="J878" i="7"/>
  <c r="J879" i="7"/>
  <c r="J880" i="7"/>
  <c r="J881" i="7"/>
  <c r="J882" i="7"/>
  <c r="J883" i="7"/>
  <c r="J884" i="7"/>
  <c r="J885" i="7"/>
  <c r="J886" i="7"/>
  <c r="J887" i="7"/>
  <c r="J888" i="7"/>
  <c r="J889" i="7"/>
  <c r="J890" i="7"/>
  <c r="J891" i="7"/>
  <c r="J892" i="7"/>
  <c r="J893" i="7"/>
  <c r="J894" i="7"/>
  <c r="J895" i="7"/>
  <c r="J896" i="7"/>
  <c r="J897" i="7"/>
  <c r="J898" i="7"/>
  <c r="J899" i="7"/>
  <c r="J900" i="7"/>
  <c r="J901" i="7"/>
  <c r="J902" i="7"/>
  <c r="J903" i="7"/>
  <c r="J904" i="7"/>
  <c r="J905" i="7"/>
  <c r="J906" i="7"/>
  <c r="J907" i="7"/>
  <c r="J908" i="7"/>
  <c r="J909" i="7"/>
  <c r="J910" i="7"/>
  <c r="J911" i="7"/>
  <c r="J912" i="7"/>
  <c r="J913" i="7"/>
  <c r="J914" i="7"/>
  <c r="J915" i="7"/>
  <c r="J916" i="7"/>
  <c r="J917" i="7"/>
  <c r="J918" i="7"/>
  <c r="J919" i="7"/>
  <c r="J920" i="7"/>
  <c r="J921" i="7"/>
  <c r="J922" i="7"/>
  <c r="J923" i="7"/>
  <c r="J924" i="7"/>
  <c r="J925" i="7"/>
  <c r="J926" i="7"/>
  <c r="J927" i="7"/>
  <c r="J928" i="7"/>
  <c r="J929" i="7"/>
  <c r="J930" i="7"/>
  <c r="J931" i="7"/>
  <c r="J932" i="7"/>
  <c r="J933" i="7"/>
  <c r="J934" i="7"/>
  <c r="J935" i="7"/>
  <c r="J936" i="7"/>
  <c r="J937" i="7"/>
  <c r="J938" i="7"/>
  <c r="J939" i="7"/>
  <c r="J940" i="7"/>
  <c r="J941" i="7"/>
  <c r="J942" i="7"/>
  <c r="J943" i="7"/>
  <c r="J944" i="7"/>
  <c r="J945" i="7"/>
  <c r="J946" i="7"/>
  <c r="J947" i="7"/>
  <c r="J948" i="7"/>
  <c r="J949" i="7"/>
  <c r="J950" i="7"/>
  <c r="J951" i="7"/>
  <c r="J952" i="7"/>
  <c r="J953" i="7"/>
  <c r="J954" i="7"/>
  <c r="J955" i="7"/>
  <c r="J956" i="7"/>
  <c r="J957" i="7"/>
  <c r="J958" i="7"/>
  <c r="J959" i="7"/>
  <c r="J960" i="7"/>
  <c r="J961" i="7"/>
  <c r="J962" i="7"/>
  <c r="J963" i="7"/>
  <c r="J964" i="7"/>
  <c r="J965" i="7"/>
  <c r="J966" i="7"/>
  <c r="J967" i="7"/>
  <c r="J968" i="7"/>
  <c r="J969" i="7"/>
  <c r="J970" i="7"/>
  <c r="J971" i="7"/>
  <c r="J972" i="7"/>
  <c r="J973" i="7"/>
  <c r="J974" i="7"/>
  <c r="J975" i="7"/>
  <c r="J976" i="7"/>
  <c r="J977" i="7"/>
  <c r="J978" i="7"/>
  <c r="J979" i="7"/>
  <c r="J980" i="7"/>
  <c r="J981" i="7"/>
  <c r="J982" i="7"/>
  <c r="J983" i="7"/>
  <c r="J984" i="7"/>
  <c r="J985" i="7"/>
  <c r="J986" i="7"/>
  <c r="J987" i="7"/>
  <c r="J988" i="7"/>
  <c r="J989" i="7"/>
  <c r="J990" i="7"/>
  <c r="J991" i="7"/>
  <c r="J992" i="7"/>
  <c r="J993" i="7"/>
  <c r="J994" i="7"/>
  <c r="J995" i="7"/>
  <c r="J996" i="7"/>
  <c r="J997" i="7"/>
  <c r="J998" i="7"/>
  <c r="J999" i="7"/>
  <c r="J1000" i="7"/>
  <c r="J1001" i="7"/>
  <c r="J1002" i="7"/>
  <c r="J1003" i="7"/>
  <c r="J1004" i="7"/>
  <c r="J1005" i="7"/>
  <c r="J1006" i="7"/>
  <c r="J1007" i="7"/>
  <c r="J1008" i="7"/>
  <c r="J1009" i="7"/>
  <c r="J1010" i="7"/>
  <c r="J1011" i="7"/>
  <c r="J1012" i="7"/>
  <c r="J1013" i="7"/>
  <c r="J1014" i="7"/>
  <c r="J1015" i="7"/>
  <c r="J1016" i="7"/>
  <c r="J1017" i="7"/>
  <c r="J1018" i="7"/>
  <c r="J1019" i="7"/>
  <c r="J1020" i="7"/>
  <c r="J1021" i="7"/>
  <c r="J1022" i="7"/>
  <c r="J1023" i="7"/>
  <c r="J1024" i="7"/>
  <c r="J1025" i="7"/>
  <c r="J1026" i="7"/>
  <c r="J1027" i="7"/>
  <c r="J1028" i="7"/>
  <c r="J1029" i="7"/>
  <c r="J1030" i="7"/>
  <c r="J1031" i="7"/>
  <c r="J1032" i="7"/>
  <c r="J1033" i="7"/>
  <c r="J1034" i="7"/>
  <c r="J1035" i="7"/>
  <c r="J1036" i="7"/>
  <c r="J1037" i="7"/>
  <c r="J1038" i="7"/>
  <c r="J1039" i="7"/>
  <c r="J1040" i="7"/>
  <c r="J1041" i="7"/>
  <c r="J1042" i="7"/>
  <c r="J1043" i="7"/>
  <c r="J1044" i="7"/>
  <c r="J1045" i="7"/>
  <c r="J1046" i="7"/>
  <c r="J1047" i="7"/>
  <c r="J1048" i="7"/>
  <c r="J1049" i="7"/>
  <c r="J1050" i="7"/>
  <c r="J1051" i="7"/>
  <c r="J1052" i="7"/>
  <c r="J1053" i="7"/>
  <c r="J1054" i="7"/>
  <c r="J1055" i="7"/>
  <c r="J1056" i="7"/>
  <c r="J1057" i="7"/>
  <c r="J1058" i="7"/>
  <c r="J1059" i="7"/>
  <c r="J1060" i="7"/>
  <c r="J1061" i="7"/>
  <c r="J1062" i="7"/>
  <c r="J1063" i="7"/>
  <c r="J1064" i="7"/>
  <c r="J1065" i="7"/>
  <c r="J1066" i="7"/>
  <c r="J1067" i="7"/>
  <c r="J1068" i="7"/>
  <c r="J1069" i="7"/>
  <c r="J1070" i="7"/>
  <c r="J1071" i="7"/>
  <c r="J1072" i="7"/>
  <c r="J1073" i="7"/>
  <c r="J1074" i="7"/>
  <c r="J1075" i="7"/>
  <c r="J1076" i="7"/>
  <c r="J1077" i="7"/>
  <c r="J1078" i="7"/>
  <c r="J1079" i="7"/>
  <c r="J1080" i="7"/>
  <c r="J1081" i="7"/>
  <c r="J1082" i="7"/>
  <c r="J1083" i="7"/>
  <c r="J1084" i="7"/>
  <c r="J1085" i="7"/>
  <c r="J1086" i="7"/>
  <c r="J1087" i="7"/>
  <c r="J1088" i="7"/>
  <c r="J1089" i="7"/>
  <c r="J1090" i="7"/>
  <c r="J1091" i="7"/>
  <c r="J1092" i="7"/>
  <c r="J1093" i="7"/>
  <c r="J1094" i="7"/>
  <c r="J1095" i="7"/>
  <c r="J1096" i="7"/>
  <c r="J1097" i="7"/>
  <c r="J1098" i="7"/>
  <c r="J1099" i="7"/>
  <c r="J1100" i="7"/>
  <c r="J1101" i="7"/>
  <c r="J1102" i="7"/>
  <c r="J1103" i="7"/>
  <c r="J1104" i="7"/>
  <c r="J1105" i="7"/>
  <c r="J1106" i="7"/>
  <c r="J1107" i="7"/>
  <c r="J1108" i="7"/>
  <c r="J1109" i="7"/>
  <c r="J1110" i="7"/>
  <c r="J1111" i="7"/>
  <c r="J1112" i="7"/>
  <c r="J1113" i="7"/>
  <c r="J1114" i="7"/>
  <c r="J1115" i="7"/>
  <c r="J1116" i="7"/>
  <c r="J1117" i="7"/>
  <c r="J1118" i="7"/>
  <c r="J1119" i="7"/>
  <c r="J1120" i="7"/>
  <c r="J1121" i="7"/>
  <c r="J1122" i="7"/>
  <c r="J1123" i="7"/>
  <c r="J1124" i="7"/>
  <c r="J1125" i="7"/>
  <c r="J1126" i="7"/>
  <c r="J1127" i="7"/>
  <c r="J1128" i="7"/>
  <c r="J1129" i="7"/>
  <c r="J1130" i="7"/>
  <c r="J1131" i="7"/>
  <c r="J1132" i="7"/>
  <c r="J1133" i="7"/>
  <c r="J1134" i="7"/>
  <c r="J1135" i="7"/>
  <c r="J1136" i="7"/>
  <c r="J1137" i="7"/>
  <c r="J1138" i="7"/>
  <c r="J1139" i="7"/>
  <c r="J1140" i="7"/>
  <c r="J1141" i="7"/>
  <c r="J1142" i="7"/>
  <c r="J1143" i="7"/>
  <c r="J1144" i="7"/>
  <c r="J1145" i="7"/>
  <c r="J1146" i="7"/>
  <c r="J1147" i="7"/>
  <c r="J1148" i="7"/>
  <c r="J1149" i="7"/>
  <c r="J1150" i="7"/>
  <c r="J1151" i="7"/>
  <c r="J1152" i="7"/>
  <c r="J1153" i="7"/>
  <c r="J1154" i="7"/>
  <c r="J1155" i="7"/>
  <c r="J1156" i="7"/>
  <c r="J1157" i="7"/>
  <c r="J1158" i="7"/>
  <c r="J1159" i="7"/>
  <c r="J1160" i="7"/>
  <c r="J1161" i="7"/>
  <c r="J1162" i="7"/>
  <c r="J1163" i="7"/>
  <c r="J1164" i="7"/>
  <c r="J1165" i="7"/>
  <c r="J1166" i="7"/>
  <c r="J1167" i="7"/>
  <c r="J1168" i="7"/>
  <c r="J1169" i="7"/>
  <c r="J1170" i="7"/>
  <c r="J1171" i="7"/>
  <c r="J1172" i="7"/>
  <c r="J1173" i="7"/>
  <c r="J1174" i="7"/>
  <c r="J1175" i="7"/>
  <c r="J1176" i="7"/>
  <c r="J1177" i="7"/>
  <c r="J1178" i="7"/>
  <c r="J1179" i="7"/>
  <c r="J1180" i="7"/>
  <c r="J1181" i="7"/>
  <c r="J1182" i="7"/>
  <c r="J1183" i="7"/>
  <c r="J1184" i="7"/>
  <c r="J1185" i="7"/>
  <c r="J1186" i="7"/>
  <c r="J1187" i="7"/>
  <c r="J1188" i="7"/>
  <c r="J1189" i="7"/>
  <c r="J1190" i="7"/>
  <c r="J1191" i="7"/>
  <c r="J1192" i="7"/>
  <c r="J1193" i="7"/>
  <c r="J1194" i="7"/>
  <c r="J1195" i="7"/>
  <c r="J1196" i="7"/>
  <c r="J1197" i="7"/>
  <c r="J1198" i="7"/>
  <c r="J1199" i="7"/>
  <c r="J1200" i="7"/>
  <c r="J1201" i="7"/>
  <c r="J1202" i="7"/>
  <c r="J1203" i="7"/>
  <c r="J1204" i="7"/>
  <c r="J1205" i="7"/>
  <c r="J1206" i="7"/>
  <c r="J1207" i="7"/>
  <c r="J1208" i="7"/>
  <c r="J1209" i="7"/>
  <c r="J1210" i="7"/>
  <c r="J1211" i="7"/>
  <c r="J1212" i="7"/>
  <c r="J1213" i="7"/>
  <c r="J1214" i="7"/>
  <c r="J1215" i="7"/>
  <c r="J1216" i="7"/>
  <c r="J1217" i="7"/>
  <c r="J1218" i="7"/>
  <c r="J1219" i="7"/>
  <c r="J1220" i="7"/>
  <c r="J1221" i="7"/>
  <c r="J1222" i="7"/>
  <c r="J1223" i="7"/>
  <c r="J1224" i="7"/>
  <c r="J1225" i="7"/>
  <c r="J1226" i="7"/>
  <c r="J1227" i="7"/>
  <c r="J1228" i="7"/>
  <c r="J1229" i="7"/>
  <c r="J1230" i="7"/>
  <c r="J1231" i="7"/>
  <c r="J1232" i="7"/>
  <c r="J1233" i="7"/>
  <c r="J1234" i="7"/>
  <c r="J1235" i="7"/>
  <c r="J1236" i="7"/>
  <c r="J1237" i="7"/>
  <c r="J1238" i="7"/>
  <c r="J1239" i="7"/>
  <c r="J1240" i="7"/>
  <c r="J1241" i="7"/>
  <c r="J1242" i="7"/>
  <c r="J1243" i="7"/>
  <c r="J1244" i="7"/>
  <c r="J1245" i="7"/>
  <c r="J1246" i="7"/>
  <c r="J1247" i="7"/>
  <c r="J1248" i="7"/>
  <c r="J1249" i="7"/>
  <c r="J1250" i="7"/>
  <c r="J1251" i="7"/>
  <c r="J1252" i="7"/>
  <c r="J1253" i="7"/>
  <c r="J1254" i="7"/>
  <c r="J1255" i="7"/>
  <c r="J1256" i="7"/>
  <c r="J1257" i="7"/>
  <c r="J1258" i="7"/>
  <c r="J1259" i="7"/>
  <c r="J1260" i="7"/>
  <c r="J1261" i="7"/>
  <c r="J1262" i="7"/>
  <c r="J1263" i="7"/>
  <c r="J1264" i="7"/>
  <c r="J1265" i="7"/>
  <c r="J1266" i="7"/>
  <c r="J1267" i="7"/>
  <c r="J1268" i="7"/>
  <c r="J1269" i="7"/>
  <c r="J1270" i="7"/>
  <c r="J1271" i="7"/>
  <c r="J1272" i="7"/>
  <c r="J1273" i="7"/>
  <c r="J1274" i="7"/>
  <c r="J1275" i="7"/>
  <c r="J1276" i="7"/>
  <c r="J1277" i="7"/>
  <c r="J1278" i="7"/>
  <c r="J1279" i="7"/>
  <c r="J1280" i="7"/>
  <c r="J1281" i="7"/>
  <c r="J1282" i="7"/>
  <c r="J1283" i="7"/>
  <c r="J1284" i="7"/>
  <c r="J1285" i="7"/>
  <c r="J1286" i="7"/>
  <c r="J1287" i="7"/>
  <c r="J1288" i="7"/>
  <c r="J1289" i="7"/>
  <c r="J1290" i="7"/>
  <c r="J1291" i="7"/>
  <c r="J1292" i="7"/>
  <c r="J1293" i="7"/>
  <c r="J1294" i="7"/>
  <c r="J1295" i="7"/>
  <c r="J1296" i="7"/>
  <c r="J1297" i="7"/>
  <c r="J1298" i="7"/>
  <c r="J1299" i="7"/>
  <c r="J1300" i="7"/>
  <c r="J1301" i="7"/>
  <c r="J1302" i="7"/>
  <c r="J1303" i="7"/>
  <c r="J1304" i="7"/>
  <c r="J1305" i="7"/>
  <c r="J1306" i="7"/>
  <c r="J1307" i="7"/>
  <c r="J1308" i="7"/>
  <c r="J1309" i="7"/>
  <c r="J1310" i="7"/>
  <c r="J1311" i="7"/>
  <c r="J1312" i="7"/>
  <c r="J1313" i="7"/>
  <c r="J1314" i="7"/>
  <c r="J1315" i="7"/>
  <c r="J1316" i="7"/>
  <c r="J1317" i="7"/>
  <c r="J1318" i="7"/>
  <c r="J1319" i="7"/>
  <c r="J1320" i="7"/>
  <c r="J1321" i="7"/>
  <c r="J1322" i="7"/>
  <c r="J1323" i="7"/>
  <c r="J1324" i="7"/>
  <c r="J1325" i="7"/>
  <c r="J1326" i="7"/>
  <c r="J1327" i="7"/>
  <c r="J1328" i="7"/>
  <c r="J1329" i="7"/>
  <c r="J1330" i="7"/>
  <c r="J1331" i="7"/>
  <c r="J1332" i="7"/>
  <c r="J1333" i="7"/>
  <c r="J1334" i="7"/>
  <c r="J1335" i="7"/>
  <c r="J1336" i="7"/>
  <c r="J1337" i="7"/>
  <c r="J1338" i="7"/>
  <c r="J1339" i="7"/>
  <c r="J1340" i="7"/>
  <c r="J1341" i="7"/>
  <c r="J1342" i="7"/>
  <c r="J1343" i="7"/>
  <c r="J1344" i="7"/>
  <c r="J1345" i="7"/>
  <c r="J1346" i="7"/>
  <c r="J1347" i="7"/>
  <c r="J1348" i="7"/>
  <c r="J1349" i="7"/>
  <c r="J1350" i="7"/>
  <c r="J1351" i="7"/>
  <c r="J1352" i="7"/>
  <c r="J1353" i="7"/>
  <c r="J1354" i="7"/>
  <c r="J1355" i="7"/>
  <c r="J1356" i="7"/>
  <c r="J1357" i="7"/>
  <c r="J1358" i="7"/>
  <c r="J1359" i="7"/>
  <c r="J1360" i="7"/>
  <c r="J1361" i="7"/>
  <c r="J1362" i="7"/>
  <c r="J1363" i="7"/>
  <c r="J1364" i="7"/>
  <c r="J1365" i="7"/>
  <c r="J1366" i="7"/>
  <c r="J1367" i="7"/>
  <c r="J1368" i="7"/>
  <c r="J1369" i="7"/>
  <c r="J1370" i="7"/>
  <c r="J1371" i="7"/>
  <c r="J1372" i="7"/>
  <c r="J1373" i="7"/>
  <c r="J1374" i="7"/>
  <c r="J1375" i="7"/>
  <c r="J1376" i="7"/>
  <c r="J1377" i="7"/>
  <c r="J1378" i="7"/>
  <c r="J1379" i="7"/>
  <c r="J1380" i="7"/>
  <c r="J1381" i="7"/>
  <c r="J1382" i="7"/>
  <c r="J1383" i="7"/>
  <c r="J1384" i="7"/>
  <c r="J1385" i="7"/>
  <c r="J1386" i="7"/>
  <c r="J1387" i="7"/>
  <c r="J1388" i="7"/>
  <c r="J1389" i="7"/>
  <c r="J1390" i="7"/>
  <c r="J1391" i="7"/>
  <c r="J1392" i="7"/>
  <c r="J1393" i="7"/>
  <c r="J1394" i="7"/>
  <c r="J1395" i="7"/>
  <c r="J1396" i="7"/>
  <c r="J1397" i="7"/>
  <c r="J1398" i="7"/>
  <c r="J1399" i="7"/>
  <c r="J1400" i="7"/>
  <c r="J1401" i="7"/>
  <c r="J1402" i="7"/>
  <c r="J1403" i="7"/>
  <c r="J1404" i="7"/>
  <c r="J1405" i="7"/>
  <c r="J1406" i="7"/>
  <c r="J1407" i="7"/>
  <c r="J1408" i="7"/>
  <c r="J1409" i="7"/>
  <c r="J1410" i="7"/>
  <c r="J1411" i="7"/>
  <c r="J1412" i="7"/>
  <c r="J1413" i="7"/>
  <c r="J1414" i="7"/>
  <c r="J1415" i="7"/>
  <c r="J1416" i="7"/>
  <c r="J1417" i="7"/>
  <c r="J1418" i="7"/>
  <c r="J1419" i="7"/>
  <c r="J1420" i="7"/>
  <c r="J1421" i="7"/>
  <c r="J1422" i="7"/>
  <c r="J1423" i="7"/>
  <c r="J1424" i="7"/>
  <c r="J1425" i="7"/>
  <c r="J1426" i="7"/>
  <c r="J1427" i="7"/>
  <c r="J1428" i="7"/>
  <c r="J1429" i="7"/>
  <c r="J1430" i="7"/>
  <c r="J1431" i="7"/>
  <c r="J1432" i="7"/>
  <c r="J1433" i="7"/>
  <c r="J1434" i="7"/>
  <c r="J1435" i="7"/>
  <c r="J1436" i="7"/>
  <c r="J1437" i="7"/>
  <c r="J1438" i="7"/>
  <c r="J1439" i="7"/>
  <c r="J1440" i="7"/>
  <c r="J1441" i="7"/>
  <c r="J1442" i="7"/>
  <c r="J1443" i="7"/>
  <c r="J1444" i="7"/>
  <c r="J1445" i="7"/>
  <c r="J1446" i="7"/>
  <c r="J1447" i="7"/>
  <c r="J1448" i="7"/>
  <c r="J1449" i="7"/>
  <c r="J1450" i="7"/>
  <c r="J1451" i="7"/>
  <c r="J1452" i="7"/>
  <c r="J1453" i="7"/>
  <c r="J1454" i="7"/>
  <c r="J1455" i="7"/>
  <c r="J1456" i="7"/>
  <c r="J1457" i="7"/>
  <c r="J1458" i="7"/>
  <c r="J1459" i="7"/>
  <c r="J1460" i="7"/>
  <c r="J1461" i="7"/>
  <c r="J1462" i="7"/>
  <c r="J1463" i="7"/>
  <c r="J1464" i="7"/>
  <c r="J1465" i="7"/>
  <c r="J1466" i="7"/>
  <c r="J1467" i="7"/>
  <c r="J1468" i="7"/>
  <c r="J1469" i="7"/>
  <c r="J1470" i="7"/>
  <c r="J1471" i="7"/>
  <c r="J1472" i="7"/>
  <c r="J1473" i="7"/>
  <c r="J1474" i="7"/>
  <c r="J1475" i="7"/>
  <c r="J1476" i="7"/>
  <c r="J1477" i="7"/>
  <c r="J1478" i="7"/>
  <c r="J1479" i="7"/>
  <c r="J1480" i="7"/>
  <c r="J1481" i="7"/>
  <c r="J1482" i="7"/>
  <c r="J1483" i="7"/>
  <c r="J1484" i="7"/>
  <c r="J1485" i="7"/>
  <c r="J1486" i="7"/>
  <c r="J1487" i="7"/>
  <c r="J1488" i="7"/>
  <c r="J1489" i="7"/>
  <c r="J1490" i="7"/>
  <c r="J1491" i="7"/>
  <c r="J1492" i="7"/>
  <c r="J1493" i="7"/>
  <c r="J1494" i="7"/>
  <c r="J1495" i="7"/>
  <c r="J1496" i="7"/>
  <c r="J1497" i="7"/>
  <c r="J1498" i="7"/>
  <c r="J1499" i="7"/>
  <c r="J1500" i="7"/>
  <c r="J1501" i="7"/>
  <c r="J1502" i="7"/>
  <c r="J1503" i="7"/>
  <c r="J1504" i="7"/>
  <c r="J1505" i="7"/>
  <c r="J1506" i="7"/>
  <c r="J1507" i="7"/>
  <c r="J1508" i="7"/>
  <c r="J1509" i="7"/>
  <c r="J1510" i="7"/>
  <c r="J1511" i="7"/>
  <c r="J1512" i="7"/>
  <c r="J1513" i="7"/>
  <c r="J1514" i="7"/>
  <c r="J1515" i="7"/>
  <c r="J1516" i="7"/>
  <c r="J1517" i="7"/>
  <c r="J1518" i="7"/>
  <c r="J1519" i="7"/>
  <c r="J1520" i="7"/>
  <c r="J1521" i="7"/>
  <c r="J1522" i="7"/>
  <c r="J1523" i="7"/>
  <c r="J1524" i="7"/>
  <c r="J1525" i="7"/>
  <c r="J1526" i="7"/>
  <c r="J1527" i="7"/>
  <c r="J1528" i="7"/>
  <c r="J1529" i="7"/>
  <c r="J1530" i="7"/>
  <c r="J1531" i="7"/>
  <c r="J1532" i="7"/>
  <c r="J1533" i="7"/>
  <c r="J1534" i="7"/>
  <c r="J1535" i="7"/>
  <c r="J1536" i="7"/>
  <c r="J1537" i="7"/>
  <c r="J1538" i="7"/>
  <c r="J1539" i="7"/>
  <c r="J1540" i="7"/>
  <c r="J1541" i="7"/>
  <c r="J1542" i="7"/>
  <c r="J1543" i="7"/>
  <c r="J1544" i="7"/>
  <c r="J1545" i="7"/>
  <c r="J1546" i="7"/>
  <c r="J1547" i="7"/>
  <c r="J1548" i="7"/>
  <c r="J1549" i="7"/>
  <c r="J1550" i="7"/>
  <c r="J1551" i="7"/>
  <c r="J1552" i="7"/>
  <c r="J1553" i="7"/>
  <c r="J1554" i="7"/>
  <c r="J1555" i="7"/>
  <c r="J1556" i="7"/>
  <c r="J1557" i="7"/>
  <c r="J1558" i="7"/>
  <c r="J1559" i="7"/>
  <c r="J1560" i="7"/>
  <c r="J1561" i="7"/>
  <c r="J1562" i="7"/>
  <c r="J1563" i="7"/>
  <c r="J1564" i="7"/>
  <c r="J1565" i="7"/>
  <c r="J1566" i="7"/>
  <c r="J1567" i="7"/>
  <c r="J1568" i="7"/>
  <c r="J1569" i="7"/>
  <c r="J1570" i="7"/>
  <c r="J1571" i="7"/>
  <c r="J1572" i="7"/>
  <c r="J1573" i="7"/>
  <c r="J1574" i="7"/>
  <c r="J1575" i="7"/>
  <c r="J1576" i="7"/>
  <c r="J1577" i="7"/>
  <c r="J1578" i="7"/>
  <c r="J1579" i="7"/>
  <c r="J1580" i="7"/>
  <c r="J1581" i="7"/>
  <c r="J1582" i="7"/>
  <c r="J1583" i="7"/>
  <c r="J1584" i="7"/>
  <c r="J1585" i="7"/>
  <c r="J1586" i="7"/>
  <c r="J1587" i="7"/>
  <c r="J1588" i="7"/>
  <c r="J1589" i="7"/>
  <c r="J1590" i="7"/>
  <c r="J1591" i="7"/>
  <c r="J1592" i="7"/>
  <c r="J1593" i="7"/>
  <c r="J1594" i="7"/>
  <c r="J1595" i="7"/>
  <c r="J1596" i="7"/>
  <c r="J1597" i="7"/>
  <c r="J1598" i="7"/>
  <c r="J1599" i="7"/>
  <c r="J1600" i="7"/>
  <c r="J1601" i="7"/>
  <c r="J1602" i="7"/>
  <c r="J1603" i="7"/>
  <c r="J1604" i="7"/>
  <c r="J1605" i="7"/>
  <c r="J1606" i="7"/>
  <c r="J1607" i="7"/>
  <c r="J1608" i="7"/>
  <c r="J1609" i="7"/>
  <c r="J1610" i="7"/>
  <c r="J1611" i="7"/>
  <c r="J1612" i="7"/>
  <c r="J1613" i="7"/>
  <c r="J1614" i="7"/>
  <c r="J1615" i="7"/>
  <c r="J1616" i="7"/>
  <c r="J1617" i="7"/>
  <c r="J1618" i="7"/>
  <c r="J1619" i="7"/>
  <c r="J1620" i="7"/>
  <c r="J1621" i="7"/>
  <c r="J1622" i="7"/>
  <c r="J1623" i="7"/>
  <c r="J1624" i="7"/>
  <c r="J1625" i="7"/>
  <c r="J1626" i="7"/>
  <c r="J1627" i="7"/>
  <c r="J1628" i="7"/>
  <c r="J1629" i="7"/>
  <c r="J1630" i="7"/>
  <c r="J1631" i="7"/>
  <c r="J1632" i="7"/>
  <c r="J1633" i="7"/>
  <c r="J1634" i="7"/>
  <c r="J1635" i="7"/>
  <c r="J1636" i="7"/>
  <c r="J1637" i="7"/>
  <c r="J1638" i="7"/>
  <c r="J1639" i="7"/>
  <c r="J1640" i="7"/>
  <c r="J1641" i="7"/>
  <c r="J1642" i="7"/>
  <c r="J1643" i="7"/>
  <c r="J1644" i="7"/>
  <c r="J1645" i="7"/>
  <c r="J1646" i="7"/>
  <c r="J1647" i="7"/>
  <c r="J1648" i="7"/>
  <c r="J1649" i="7"/>
  <c r="J1650" i="7"/>
  <c r="J1651" i="7"/>
  <c r="J1652" i="7"/>
  <c r="J1653" i="7"/>
  <c r="J1654" i="7"/>
  <c r="J1655" i="7"/>
  <c r="J1656" i="7"/>
  <c r="J1657" i="7"/>
  <c r="J1658" i="7"/>
  <c r="J1659" i="7"/>
  <c r="J1660" i="7"/>
  <c r="J1661" i="7"/>
  <c r="J1662" i="7"/>
  <c r="J1663" i="7"/>
  <c r="J1664" i="7"/>
  <c r="J1665" i="7"/>
  <c r="J1666" i="7"/>
  <c r="J1667" i="7"/>
  <c r="J1668" i="7"/>
  <c r="J1669" i="7"/>
  <c r="J1670" i="7"/>
  <c r="J1671" i="7"/>
  <c r="J1672" i="7"/>
  <c r="J1673" i="7"/>
  <c r="J1674" i="7"/>
  <c r="J1675" i="7"/>
  <c r="J1676" i="7"/>
  <c r="J1677" i="7"/>
  <c r="J1678" i="7"/>
  <c r="J1679" i="7"/>
  <c r="J1680" i="7"/>
  <c r="J1681" i="7"/>
  <c r="J1682" i="7"/>
  <c r="J1683" i="7"/>
  <c r="J1684" i="7"/>
  <c r="J1685" i="7"/>
  <c r="J1686" i="7"/>
  <c r="J1687" i="7"/>
  <c r="J1688" i="7"/>
  <c r="J1689" i="7"/>
  <c r="J1690" i="7"/>
  <c r="J1691" i="7"/>
  <c r="J1692" i="7"/>
  <c r="J1693" i="7"/>
  <c r="J1694" i="7"/>
  <c r="J1695" i="7"/>
  <c r="J1696" i="7"/>
  <c r="J1697" i="7"/>
  <c r="J1698" i="7"/>
  <c r="J1699" i="7"/>
  <c r="J1700" i="7"/>
  <c r="J1701" i="7"/>
  <c r="J1702" i="7"/>
  <c r="J1703" i="7"/>
  <c r="J1704" i="7"/>
  <c r="J1705" i="7"/>
  <c r="J1706" i="7"/>
  <c r="J1707" i="7"/>
  <c r="J1708" i="7"/>
  <c r="J1709" i="7"/>
  <c r="J1710" i="7"/>
  <c r="J1711" i="7"/>
  <c r="J1712" i="7"/>
  <c r="J1713" i="7"/>
  <c r="J1714" i="7"/>
  <c r="J1715" i="7"/>
  <c r="J1716" i="7"/>
  <c r="J1717" i="7"/>
  <c r="J1718" i="7"/>
  <c r="J1719" i="7"/>
  <c r="J1720" i="7"/>
  <c r="J1721" i="7"/>
  <c r="J1722" i="7"/>
  <c r="J1723" i="7"/>
  <c r="J1724" i="7"/>
  <c r="J1725" i="7"/>
  <c r="J1726" i="7"/>
  <c r="J1727" i="7"/>
  <c r="J1728" i="7"/>
  <c r="J1729" i="7"/>
  <c r="J1730" i="7"/>
  <c r="J1731" i="7"/>
  <c r="J1732" i="7"/>
  <c r="J1733" i="7"/>
  <c r="J1734" i="7"/>
  <c r="J1735" i="7"/>
  <c r="J1736" i="7"/>
  <c r="J1737" i="7"/>
  <c r="J1738" i="7"/>
  <c r="J1739" i="7"/>
  <c r="J1740" i="7"/>
  <c r="J1741" i="7"/>
  <c r="J1742" i="7"/>
  <c r="J1743" i="7"/>
  <c r="J1744" i="7"/>
  <c r="J1745" i="7"/>
  <c r="J1746" i="7"/>
  <c r="J1747" i="7"/>
  <c r="J1748" i="7"/>
  <c r="J1749" i="7"/>
  <c r="J1750" i="7"/>
  <c r="J1751" i="7"/>
  <c r="J1752" i="7"/>
  <c r="J1753" i="7"/>
  <c r="J1754" i="7"/>
  <c r="J1755" i="7"/>
  <c r="J1756" i="7"/>
  <c r="J1757" i="7"/>
  <c r="J1758" i="7"/>
  <c r="J1759" i="7"/>
  <c r="J1760" i="7"/>
  <c r="J1761" i="7"/>
  <c r="J1762" i="7"/>
  <c r="J1763" i="7"/>
  <c r="J1764" i="7"/>
  <c r="J1765" i="7"/>
  <c r="J1766" i="7"/>
  <c r="J1767" i="7"/>
  <c r="J1768" i="7"/>
  <c r="J1769" i="7"/>
  <c r="J1770" i="7"/>
  <c r="J1771" i="7"/>
  <c r="J1772" i="7"/>
  <c r="J1773" i="7"/>
  <c r="J1774" i="7"/>
  <c r="J1775" i="7"/>
  <c r="J1776" i="7"/>
  <c r="J1777" i="7"/>
  <c r="J1778" i="7"/>
  <c r="J1779" i="7"/>
  <c r="J1780" i="7"/>
  <c r="J1781" i="7"/>
  <c r="J1782" i="7"/>
  <c r="J1783" i="7"/>
  <c r="J1784" i="7"/>
  <c r="J1785" i="7"/>
  <c r="J1786" i="7"/>
  <c r="J1787" i="7"/>
  <c r="J1788" i="7"/>
  <c r="J1789" i="7"/>
  <c r="J1790" i="7"/>
  <c r="J1791" i="7"/>
  <c r="J1792" i="7"/>
  <c r="J1793" i="7"/>
  <c r="J1794" i="7"/>
  <c r="J1795" i="7"/>
  <c r="J1796" i="7"/>
  <c r="J1797" i="7"/>
  <c r="J1798" i="7"/>
  <c r="J1799" i="7"/>
  <c r="J1800" i="7"/>
  <c r="J1801" i="7"/>
  <c r="J1802" i="7"/>
  <c r="J1803" i="7"/>
  <c r="J1804" i="7"/>
  <c r="J1805" i="7"/>
  <c r="J1806" i="7"/>
  <c r="J1807" i="7"/>
  <c r="J1808" i="7"/>
  <c r="J1809" i="7"/>
  <c r="J1810" i="7"/>
  <c r="J1811" i="7"/>
  <c r="J1812" i="7"/>
  <c r="J1813" i="7"/>
  <c r="J1814" i="7"/>
  <c r="J1815" i="7"/>
  <c r="J1816" i="7"/>
  <c r="J1817" i="7"/>
  <c r="J1818" i="7"/>
  <c r="J1819" i="7"/>
  <c r="J1820" i="7"/>
  <c r="J1821" i="7"/>
  <c r="J1822" i="7"/>
  <c r="J1823" i="7"/>
  <c r="J1824" i="7"/>
  <c r="J1825" i="7"/>
  <c r="J1826" i="7"/>
  <c r="J1827" i="7"/>
  <c r="J1828" i="7"/>
  <c r="J1829" i="7"/>
  <c r="J1830" i="7"/>
  <c r="J1831" i="7"/>
  <c r="J1832" i="7"/>
  <c r="J1833" i="7"/>
  <c r="J1834" i="7"/>
  <c r="J1835" i="7"/>
  <c r="J1836" i="7"/>
  <c r="J1837" i="7"/>
  <c r="J1838" i="7"/>
  <c r="J1839" i="7"/>
  <c r="J1840" i="7"/>
  <c r="J1841" i="7"/>
  <c r="J1842" i="7"/>
  <c r="J1843" i="7"/>
  <c r="J1844" i="7"/>
  <c r="J1845" i="7"/>
  <c r="J1846" i="7"/>
  <c r="J1847" i="7"/>
  <c r="J1848" i="7"/>
  <c r="J1849" i="7"/>
  <c r="J1850" i="7"/>
  <c r="J1851" i="7"/>
  <c r="J1852" i="7"/>
  <c r="J1853" i="7"/>
  <c r="J1854" i="7"/>
  <c r="J1855" i="7"/>
  <c r="J1856" i="7"/>
  <c r="J1857" i="7"/>
  <c r="J1858" i="7"/>
  <c r="J1859" i="7"/>
  <c r="J1860" i="7"/>
  <c r="J1861" i="7"/>
  <c r="J1862" i="7"/>
  <c r="J1863" i="7"/>
  <c r="J1864" i="7"/>
  <c r="J1865" i="7"/>
  <c r="J1866" i="7"/>
  <c r="J1867" i="7"/>
  <c r="J1868" i="7"/>
  <c r="J1869" i="7"/>
  <c r="J1870" i="7"/>
  <c r="J1871" i="7"/>
  <c r="J1872" i="7"/>
  <c r="J1873" i="7"/>
  <c r="J1874" i="7"/>
  <c r="J1875" i="7"/>
  <c r="J1876" i="7"/>
  <c r="J1877" i="7"/>
  <c r="J1878" i="7"/>
  <c r="J1879" i="7"/>
  <c r="J1880" i="7"/>
  <c r="J1881" i="7"/>
  <c r="J1882" i="7"/>
  <c r="J1883" i="7"/>
  <c r="J1884" i="7"/>
  <c r="J1885" i="7"/>
  <c r="J1886" i="7"/>
  <c r="J1887" i="7"/>
  <c r="J1888" i="7"/>
  <c r="J1889" i="7"/>
  <c r="J1890" i="7"/>
  <c r="J1891" i="7"/>
  <c r="J1892" i="7"/>
  <c r="J1893" i="7"/>
  <c r="J1894" i="7"/>
  <c r="J1895" i="7"/>
  <c r="J1896" i="7"/>
  <c r="J1897" i="7"/>
  <c r="J1898" i="7"/>
  <c r="J1899" i="7"/>
  <c r="J1900" i="7"/>
  <c r="J1901" i="7"/>
  <c r="J1902" i="7"/>
  <c r="J1903" i="7"/>
  <c r="J1904" i="7"/>
  <c r="J1905" i="7"/>
  <c r="J1906" i="7"/>
  <c r="J1907" i="7"/>
  <c r="J1908" i="7"/>
  <c r="J1909" i="7"/>
  <c r="J1910" i="7"/>
  <c r="J1911" i="7"/>
  <c r="J1912" i="7"/>
  <c r="J1913" i="7"/>
  <c r="J1914" i="7"/>
  <c r="J1915" i="7"/>
  <c r="J1916" i="7"/>
  <c r="J1917" i="7"/>
  <c r="J1918" i="7"/>
  <c r="J1919" i="7"/>
  <c r="J1920" i="7"/>
  <c r="J1921" i="7"/>
  <c r="J1922" i="7"/>
  <c r="J1923" i="7"/>
  <c r="J1924" i="7"/>
  <c r="J1925" i="7"/>
  <c r="J1926" i="7"/>
  <c r="J1927" i="7"/>
  <c r="J1928" i="7"/>
  <c r="J1929" i="7"/>
  <c r="J1930" i="7"/>
  <c r="J1931" i="7"/>
  <c r="J1932" i="7"/>
  <c r="J1933" i="7"/>
  <c r="J1934" i="7"/>
  <c r="J1935" i="7"/>
  <c r="J1936" i="7"/>
  <c r="J1937" i="7"/>
  <c r="J1938" i="7"/>
  <c r="J1939" i="7"/>
  <c r="J1940" i="7"/>
  <c r="J1941" i="7"/>
  <c r="J1942" i="7"/>
  <c r="J1943" i="7"/>
  <c r="J1944" i="7"/>
  <c r="J1945" i="7"/>
  <c r="J1946" i="7"/>
  <c r="J1947" i="7"/>
  <c r="J1948" i="7"/>
  <c r="J1949" i="7"/>
  <c r="J1950" i="7"/>
  <c r="J1951" i="7"/>
  <c r="J1952" i="7"/>
  <c r="J1953" i="7"/>
  <c r="J1954" i="7"/>
  <c r="J1955" i="7"/>
  <c r="J1956" i="7"/>
  <c r="J1957" i="7"/>
  <c r="J1958" i="7"/>
  <c r="J1959" i="7"/>
  <c r="J1960" i="7"/>
  <c r="J1961" i="7"/>
  <c r="J1962" i="7"/>
  <c r="J1963" i="7"/>
  <c r="J1964" i="7"/>
  <c r="J1965" i="7"/>
  <c r="J1966" i="7"/>
  <c r="J1967" i="7"/>
  <c r="J1968" i="7"/>
  <c r="J1969" i="7"/>
  <c r="J1970" i="7"/>
  <c r="J1971" i="7"/>
  <c r="J1972" i="7"/>
  <c r="J1973" i="7"/>
  <c r="J1974" i="7"/>
  <c r="J1975" i="7"/>
  <c r="J1976" i="7"/>
  <c r="J1977" i="7"/>
  <c r="J1978" i="7"/>
  <c r="J1979" i="7"/>
  <c r="J1980" i="7"/>
  <c r="J1981" i="7"/>
  <c r="J1982" i="7"/>
  <c r="J1983" i="7"/>
  <c r="J1984" i="7"/>
  <c r="J1985" i="7"/>
  <c r="J1986" i="7"/>
  <c r="J1987" i="7"/>
  <c r="J1988" i="7"/>
  <c r="J1989" i="7"/>
  <c r="J1990" i="7"/>
  <c r="J1991" i="7"/>
  <c r="J1992" i="7"/>
  <c r="J1993" i="7"/>
  <c r="J1994" i="7"/>
  <c r="J1995" i="7"/>
  <c r="J1996" i="7"/>
  <c r="J1997" i="7"/>
  <c r="J1998" i="7"/>
  <c r="J1999" i="7"/>
  <c r="J2000" i="7"/>
  <c r="J2001" i="7"/>
  <c r="J2002" i="7"/>
  <c r="J2003" i="7"/>
  <c r="J2004" i="7"/>
  <c r="J2005" i="7"/>
  <c r="J2006" i="7"/>
  <c r="J2007" i="7"/>
  <c r="J2008" i="7"/>
  <c r="J2009" i="7"/>
  <c r="J2010" i="7"/>
  <c r="J2011" i="7"/>
  <c r="J2012" i="7"/>
  <c r="J2013" i="7"/>
  <c r="J2014" i="7"/>
  <c r="J2015" i="7"/>
  <c r="J2016" i="7"/>
  <c r="J2017" i="7"/>
  <c r="J2018" i="7"/>
  <c r="J2019" i="7"/>
  <c r="J2020" i="7"/>
  <c r="J2021" i="7"/>
  <c r="J2022" i="7"/>
  <c r="J2023" i="7"/>
  <c r="J2024" i="7"/>
  <c r="J2025" i="7"/>
  <c r="J2026" i="7"/>
  <c r="J2027" i="7"/>
  <c r="J2028" i="7"/>
  <c r="J2029" i="7"/>
  <c r="J2030" i="7"/>
  <c r="J2031" i="7"/>
  <c r="J2032" i="7"/>
  <c r="J2033" i="7"/>
  <c r="J2034" i="7"/>
  <c r="J2035" i="7"/>
  <c r="J2036" i="7"/>
  <c r="J2037" i="7"/>
  <c r="J2038" i="7"/>
  <c r="J2039" i="7"/>
  <c r="J2040" i="7"/>
  <c r="J2041" i="7"/>
  <c r="J2042" i="7"/>
  <c r="J2043" i="7"/>
  <c r="J2044" i="7"/>
  <c r="J2045" i="7"/>
  <c r="J2046" i="7"/>
  <c r="J2047" i="7"/>
  <c r="J2048" i="7"/>
  <c r="J2049" i="7"/>
  <c r="J2050" i="7"/>
  <c r="J2051" i="7"/>
  <c r="J2052" i="7"/>
  <c r="J2053" i="7"/>
  <c r="J2054" i="7"/>
  <c r="J2055" i="7"/>
  <c r="J2056" i="7"/>
  <c r="J2057" i="7"/>
  <c r="J2058" i="7"/>
  <c r="J2059" i="7"/>
  <c r="J2060" i="7"/>
  <c r="J2061" i="7"/>
  <c r="J2062" i="7"/>
  <c r="J2063" i="7"/>
  <c r="J2064" i="7"/>
  <c r="J2065" i="7"/>
  <c r="J2066" i="7"/>
  <c r="J2067" i="7"/>
  <c r="J2068" i="7"/>
  <c r="J2069" i="7"/>
  <c r="J2070" i="7"/>
  <c r="J2071" i="7"/>
  <c r="J2072" i="7"/>
  <c r="J2073" i="7"/>
  <c r="J2074" i="7"/>
  <c r="J2075" i="7"/>
  <c r="J2076" i="7"/>
  <c r="J2077" i="7"/>
  <c r="J2078" i="7"/>
  <c r="J2079" i="7"/>
  <c r="J2080" i="7"/>
  <c r="J2081" i="7"/>
  <c r="J2082" i="7"/>
  <c r="J2083" i="7"/>
  <c r="J2084" i="7"/>
  <c r="J2085" i="7"/>
  <c r="J2086" i="7"/>
  <c r="J2087" i="7"/>
  <c r="J2088" i="7"/>
  <c r="J2089" i="7"/>
  <c r="J2090" i="7"/>
  <c r="J2091" i="7"/>
  <c r="J2092" i="7"/>
  <c r="J2093" i="7"/>
  <c r="J2094" i="7"/>
  <c r="J2095" i="7"/>
  <c r="J2096" i="7"/>
  <c r="J2097" i="7"/>
  <c r="J2098" i="7"/>
  <c r="J2099" i="7"/>
  <c r="J2100" i="7"/>
  <c r="J2101" i="7"/>
  <c r="J2102" i="7"/>
  <c r="J2103" i="7"/>
  <c r="J2104" i="7"/>
  <c r="J2105" i="7"/>
  <c r="J2106" i="7"/>
  <c r="J2107" i="7"/>
  <c r="J2108" i="7"/>
  <c r="J2109" i="7"/>
  <c r="J2110" i="7"/>
  <c r="J2111" i="7"/>
  <c r="J2112" i="7"/>
  <c r="J2113" i="7"/>
  <c r="J2114" i="7"/>
  <c r="J2115" i="7"/>
  <c r="J2116" i="7"/>
  <c r="J2117" i="7"/>
  <c r="J2118" i="7"/>
  <c r="J2119" i="7"/>
  <c r="J2120" i="7"/>
  <c r="J2121" i="7"/>
  <c r="J2122" i="7"/>
  <c r="J2123" i="7"/>
  <c r="J2124" i="7"/>
  <c r="J2125" i="7"/>
  <c r="J2126" i="7"/>
  <c r="J2127" i="7"/>
  <c r="J2128" i="7"/>
  <c r="J2129" i="7"/>
  <c r="J2130" i="7"/>
  <c r="J2131" i="7"/>
  <c r="J2132" i="7"/>
  <c r="J2133" i="7"/>
  <c r="J2134" i="7"/>
  <c r="J2135" i="7"/>
  <c r="J2136" i="7"/>
  <c r="J2137" i="7"/>
  <c r="J2138" i="7"/>
  <c r="J2139" i="7"/>
  <c r="J2140" i="7"/>
  <c r="J2141" i="7"/>
  <c r="J2142" i="7"/>
  <c r="J2143" i="7"/>
  <c r="J2144" i="7"/>
  <c r="J2145" i="7"/>
  <c r="J2146" i="7"/>
  <c r="J2147" i="7"/>
  <c r="J2148" i="7"/>
  <c r="J2149" i="7"/>
  <c r="J2150" i="7"/>
  <c r="J2151" i="7"/>
  <c r="J2152" i="7"/>
  <c r="J2153" i="7"/>
  <c r="J2154" i="7"/>
  <c r="J2155" i="7"/>
  <c r="J2156" i="7"/>
  <c r="J2157" i="7"/>
  <c r="J2158" i="7"/>
  <c r="J2159" i="7"/>
  <c r="J2160" i="7"/>
  <c r="J2161" i="7"/>
  <c r="J2162" i="7"/>
  <c r="J2163" i="7"/>
  <c r="J2164" i="7"/>
  <c r="J2165" i="7"/>
  <c r="J2166" i="7"/>
  <c r="J2167" i="7"/>
  <c r="J2168" i="7"/>
  <c r="J2169" i="7"/>
  <c r="J2170" i="7"/>
  <c r="J2171" i="7"/>
  <c r="J2172" i="7"/>
  <c r="J2173" i="7"/>
  <c r="J2174" i="7"/>
  <c r="J2175" i="7"/>
  <c r="J2176" i="7"/>
  <c r="J2177" i="7"/>
  <c r="J2178" i="7"/>
  <c r="J2179" i="7"/>
  <c r="J2180" i="7"/>
  <c r="J2181" i="7"/>
  <c r="J2182" i="7"/>
  <c r="J2183" i="7"/>
  <c r="J2184" i="7"/>
  <c r="J2185" i="7"/>
  <c r="J2186" i="7"/>
  <c r="J2187" i="7"/>
  <c r="J2188" i="7"/>
  <c r="J2189" i="7"/>
  <c r="J2190" i="7"/>
  <c r="J2191" i="7"/>
  <c r="J2192" i="7"/>
  <c r="J2193" i="7"/>
  <c r="J2194" i="7"/>
  <c r="J2195" i="7"/>
  <c r="J2196" i="7"/>
  <c r="J2197" i="7"/>
  <c r="J2198" i="7"/>
  <c r="J2199" i="7"/>
  <c r="J2200" i="7"/>
  <c r="J2201" i="7"/>
  <c r="J2202" i="7"/>
  <c r="J2203" i="7"/>
  <c r="J2204" i="7"/>
  <c r="J2205" i="7"/>
  <c r="J2206" i="7"/>
  <c r="J2207" i="7"/>
  <c r="J2208" i="7"/>
  <c r="J2209" i="7"/>
  <c r="J2210" i="7"/>
  <c r="J2211" i="7"/>
  <c r="J2212" i="7"/>
  <c r="J2213" i="7"/>
  <c r="J2214" i="7"/>
  <c r="J2215" i="7"/>
  <c r="J2216" i="7"/>
  <c r="J2217" i="7"/>
  <c r="J2218" i="7"/>
  <c r="J2219" i="7"/>
  <c r="J2220" i="7"/>
  <c r="J2221" i="7"/>
  <c r="J2222" i="7"/>
  <c r="J2223" i="7"/>
  <c r="J2224" i="7"/>
  <c r="J2225" i="7"/>
  <c r="J2226" i="7"/>
  <c r="J2227" i="7"/>
  <c r="J2228" i="7"/>
  <c r="J2229" i="7"/>
  <c r="J2230" i="7"/>
  <c r="J2231" i="7"/>
  <c r="J2232" i="7"/>
  <c r="J2233" i="7"/>
  <c r="J2234" i="7"/>
  <c r="J2235" i="7"/>
  <c r="J2236" i="7"/>
  <c r="J2237" i="7"/>
  <c r="J2238" i="7"/>
  <c r="J2239" i="7"/>
  <c r="J2240" i="7"/>
  <c r="J2241" i="7"/>
  <c r="J2242" i="7"/>
  <c r="J2243" i="7"/>
  <c r="J2244" i="7"/>
  <c r="J2245" i="7"/>
  <c r="J2246" i="7"/>
  <c r="J2247" i="7"/>
  <c r="J2248" i="7"/>
  <c r="J2249" i="7"/>
  <c r="J2250" i="7"/>
  <c r="J2251" i="7"/>
  <c r="J2252" i="7"/>
  <c r="J2253" i="7"/>
  <c r="J2254" i="7"/>
  <c r="J2255" i="7"/>
  <c r="J2256" i="7"/>
  <c r="J2257" i="7"/>
  <c r="J2258" i="7"/>
  <c r="J2259" i="7"/>
  <c r="J2260" i="7"/>
  <c r="J2261" i="7"/>
  <c r="J2262" i="7"/>
  <c r="J2263" i="7"/>
  <c r="J2264" i="7"/>
  <c r="J2265" i="7"/>
  <c r="J2266" i="7"/>
  <c r="J2267" i="7"/>
  <c r="J2268" i="7"/>
  <c r="J2269" i="7"/>
  <c r="J2270" i="7"/>
  <c r="J2271" i="7"/>
  <c r="J2272" i="7"/>
  <c r="J2273" i="7"/>
  <c r="J2274" i="7"/>
  <c r="J2275" i="7"/>
  <c r="J2276" i="7"/>
  <c r="J2277" i="7"/>
  <c r="J2278" i="7"/>
  <c r="J2279" i="7"/>
  <c r="J2280" i="7"/>
  <c r="J2281" i="7"/>
  <c r="J2282" i="7"/>
  <c r="J2283" i="7"/>
  <c r="J2284" i="7"/>
  <c r="J2285" i="7"/>
  <c r="J2286" i="7"/>
  <c r="J2287" i="7"/>
  <c r="J2288" i="7"/>
  <c r="J2289" i="7"/>
  <c r="J2290" i="7"/>
  <c r="J2291" i="7"/>
  <c r="J2292" i="7"/>
  <c r="J2293" i="7"/>
  <c r="J2294" i="7"/>
  <c r="J2295" i="7"/>
  <c r="J2296" i="7"/>
  <c r="J2297" i="7"/>
  <c r="J2298" i="7"/>
  <c r="J2299" i="7"/>
  <c r="J2300" i="7"/>
  <c r="J2301" i="7"/>
  <c r="J2302" i="7"/>
  <c r="J2303" i="7"/>
  <c r="J2304" i="7"/>
  <c r="J2305" i="7"/>
  <c r="J2306" i="7"/>
  <c r="J2307" i="7"/>
  <c r="J2308" i="7"/>
  <c r="J2309" i="7"/>
  <c r="J2310" i="7"/>
  <c r="J2311" i="7"/>
  <c r="J2312" i="7"/>
  <c r="J2313" i="7"/>
  <c r="J2314" i="7"/>
  <c r="J2315" i="7"/>
  <c r="J2316" i="7"/>
  <c r="J2317" i="7"/>
  <c r="J2318" i="7"/>
  <c r="J2319" i="7"/>
  <c r="J2320" i="7"/>
  <c r="J2321" i="7"/>
  <c r="J2322" i="7"/>
  <c r="J2323" i="7"/>
  <c r="J2324" i="7"/>
  <c r="J2325" i="7"/>
  <c r="J2326" i="7"/>
  <c r="J2327" i="7"/>
  <c r="J2328" i="7"/>
  <c r="J2329" i="7"/>
  <c r="J2330" i="7"/>
  <c r="J2331" i="7"/>
  <c r="J2332" i="7"/>
  <c r="J2333" i="7"/>
  <c r="J2334" i="7"/>
  <c r="J2335" i="7"/>
  <c r="J2336" i="7"/>
  <c r="J2337" i="7"/>
  <c r="J2338" i="7"/>
  <c r="J2339" i="7"/>
  <c r="J2340" i="7"/>
  <c r="J2341" i="7"/>
  <c r="J2342" i="7"/>
  <c r="J2343" i="7"/>
  <c r="J2344" i="7"/>
  <c r="J2345" i="7"/>
  <c r="J2346" i="7"/>
  <c r="J2347" i="7"/>
  <c r="J2348" i="7"/>
  <c r="J2349" i="7"/>
  <c r="J2350" i="7"/>
  <c r="J2351" i="7"/>
  <c r="J2352" i="7"/>
  <c r="J2353" i="7"/>
  <c r="J2354" i="7"/>
  <c r="J2355" i="7"/>
  <c r="J2356" i="7"/>
  <c r="J2357" i="7"/>
  <c r="J2358" i="7"/>
  <c r="J2359" i="7"/>
  <c r="J2360" i="7"/>
  <c r="J2361" i="7"/>
  <c r="J2362" i="7"/>
  <c r="J2363" i="7"/>
  <c r="J2364" i="7"/>
  <c r="J2365" i="7"/>
  <c r="J2366" i="7"/>
  <c r="J2367" i="7"/>
  <c r="J2368" i="7"/>
  <c r="J2369" i="7"/>
  <c r="J2370" i="7"/>
  <c r="J2371" i="7"/>
  <c r="J2372" i="7"/>
  <c r="J2373" i="7"/>
  <c r="J2374" i="7"/>
  <c r="J2375" i="7"/>
  <c r="J2376" i="7"/>
  <c r="J2377" i="7"/>
  <c r="J2378" i="7"/>
  <c r="J2379" i="7"/>
  <c r="J2380" i="7"/>
  <c r="J2381" i="7"/>
  <c r="J2382" i="7"/>
  <c r="J2383" i="7"/>
  <c r="J2384" i="7"/>
  <c r="J2385" i="7"/>
  <c r="J2386" i="7"/>
  <c r="J2387" i="7"/>
  <c r="J2388" i="7"/>
  <c r="J2389" i="7"/>
  <c r="J2390" i="7"/>
  <c r="J2391" i="7"/>
  <c r="J2392" i="7"/>
  <c r="J2393" i="7"/>
  <c r="J2394" i="7"/>
  <c r="J2395" i="7"/>
  <c r="J2396" i="7"/>
  <c r="J2397" i="7"/>
  <c r="J2398" i="7"/>
  <c r="J2399" i="7"/>
  <c r="J2400" i="7"/>
  <c r="J2401" i="7"/>
  <c r="J2402" i="7"/>
  <c r="J2403" i="7"/>
  <c r="J2404" i="7"/>
  <c r="J2405" i="7"/>
  <c r="J2406" i="7"/>
  <c r="J2407" i="7"/>
  <c r="J2408" i="7"/>
  <c r="J2409" i="7"/>
  <c r="J2410" i="7"/>
  <c r="J2411" i="7"/>
  <c r="J2412" i="7"/>
  <c r="J2413" i="7"/>
  <c r="J2414" i="7"/>
  <c r="J2415" i="7"/>
  <c r="J2416" i="7"/>
  <c r="J2417" i="7"/>
  <c r="J2418" i="7"/>
  <c r="J2419" i="7"/>
  <c r="J2420" i="7"/>
  <c r="J2421" i="7"/>
  <c r="J2422" i="7"/>
  <c r="J2423" i="7"/>
  <c r="J2424" i="7"/>
  <c r="J2425" i="7"/>
  <c r="J2426" i="7"/>
  <c r="J2427" i="7"/>
  <c r="J2428" i="7"/>
  <c r="J2429" i="7"/>
  <c r="J2430" i="7"/>
  <c r="J2431" i="7"/>
  <c r="J2432" i="7"/>
  <c r="J2433" i="7"/>
  <c r="J2434" i="7"/>
  <c r="J2435" i="7"/>
  <c r="J2436" i="7"/>
  <c r="J2437" i="7"/>
  <c r="J2438" i="7"/>
  <c r="J2439" i="7"/>
  <c r="J2440" i="7"/>
  <c r="J2441" i="7"/>
  <c r="J2442" i="7"/>
  <c r="J2443" i="7"/>
  <c r="J2444" i="7"/>
  <c r="J2445" i="7"/>
  <c r="J2446" i="7"/>
  <c r="J2447" i="7"/>
  <c r="J2448" i="7"/>
  <c r="J2449" i="7"/>
  <c r="J2450" i="7"/>
  <c r="J2451" i="7"/>
  <c r="J2452" i="7"/>
  <c r="J2453" i="7"/>
  <c r="J2454" i="7"/>
  <c r="J2455" i="7"/>
  <c r="J2456" i="7"/>
  <c r="J2457" i="7"/>
  <c r="J2458" i="7"/>
  <c r="J2459" i="7"/>
  <c r="J2460" i="7"/>
  <c r="J2461" i="7"/>
  <c r="J2462" i="7"/>
  <c r="J2463" i="7"/>
  <c r="J2464" i="7"/>
  <c r="J2465" i="7"/>
  <c r="J2466" i="7"/>
  <c r="J2467" i="7"/>
  <c r="J2468" i="7"/>
  <c r="J2469" i="7"/>
  <c r="J2470" i="7"/>
  <c r="J2471" i="7"/>
  <c r="J2472" i="7"/>
  <c r="J2473" i="7"/>
  <c r="J2474" i="7"/>
  <c r="J2475" i="7"/>
  <c r="J2476" i="7"/>
  <c r="J2477" i="7"/>
  <c r="J2478" i="7"/>
  <c r="J2479" i="7"/>
  <c r="J2480" i="7"/>
  <c r="J2481" i="7"/>
  <c r="J2482" i="7"/>
  <c r="J2483" i="7"/>
  <c r="J2484" i="7"/>
  <c r="J2485" i="7"/>
  <c r="J2486" i="7"/>
  <c r="J2487" i="7"/>
  <c r="J2488" i="7"/>
  <c r="J2489" i="7"/>
  <c r="J2490" i="7"/>
  <c r="J2491" i="7"/>
  <c r="J2492" i="7"/>
  <c r="J2493" i="7"/>
  <c r="J2494" i="7"/>
  <c r="J2495" i="7"/>
  <c r="J2496" i="7"/>
  <c r="J2497" i="7"/>
  <c r="J2498" i="7"/>
  <c r="J2499" i="7"/>
  <c r="J2500" i="7"/>
  <c r="J2501" i="7"/>
  <c r="J2502" i="7"/>
  <c r="J2503" i="7"/>
  <c r="J2504" i="7"/>
  <c r="J2505" i="7"/>
  <c r="J2506" i="7"/>
  <c r="J2507" i="7"/>
  <c r="J2508" i="7"/>
  <c r="J2509" i="7"/>
  <c r="J2510" i="7"/>
  <c r="J2511" i="7"/>
  <c r="J2512" i="7"/>
  <c r="J2513" i="7"/>
  <c r="J2514" i="7"/>
  <c r="J2515" i="7"/>
  <c r="J2516" i="7"/>
  <c r="J2517" i="7"/>
  <c r="J2518" i="7"/>
  <c r="J2519" i="7"/>
  <c r="J2520" i="7"/>
  <c r="J2521" i="7"/>
  <c r="J2522" i="7"/>
  <c r="J2523" i="7"/>
  <c r="J2524" i="7"/>
  <c r="J2525" i="7"/>
  <c r="J2526" i="7"/>
  <c r="J2527" i="7"/>
  <c r="J2528" i="7"/>
  <c r="J2529" i="7"/>
  <c r="J2530" i="7"/>
  <c r="J2531" i="7"/>
  <c r="J2532" i="7"/>
  <c r="J2533" i="7"/>
  <c r="J2534" i="7"/>
  <c r="J2535" i="7"/>
  <c r="J2536" i="7"/>
  <c r="J2537" i="7"/>
  <c r="J2538" i="7"/>
  <c r="J2539" i="7"/>
  <c r="J2540" i="7"/>
  <c r="J2541" i="7"/>
  <c r="J2542" i="7"/>
  <c r="J2543" i="7"/>
  <c r="J2544" i="7"/>
  <c r="J2545" i="7"/>
  <c r="J2546" i="7"/>
  <c r="J2547" i="7"/>
  <c r="J2548" i="7"/>
  <c r="J2549" i="7"/>
  <c r="J2550" i="7"/>
  <c r="J2551" i="7"/>
  <c r="J2552" i="7"/>
  <c r="J2553" i="7"/>
  <c r="J2554" i="7"/>
  <c r="J2555" i="7"/>
  <c r="J2556" i="7"/>
  <c r="J2557" i="7"/>
  <c r="J2558" i="7"/>
  <c r="J2559" i="7"/>
  <c r="J2560" i="7"/>
  <c r="J2561" i="7"/>
  <c r="J2562" i="7"/>
  <c r="J2563" i="7"/>
  <c r="J2564" i="7"/>
  <c r="J2565" i="7"/>
  <c r="J2566" i="7"/>
  <c r="J2567" i="7"/>
  <c r="J2568" i="7"/>
  <c r="J2569" i="7"/>
  <c r="J2570" i="7"/>
  <c r="J2571" i="7"/>
  <c r="J2572" i="7"/>
  <c r="J2573" i="7"/>
  <c r="J2574" i="7"/>
  <c r="J2575" i="7"/>
  <c r="J2576" i="7"/>
  <c r="J2577" i="7"/>
  <c r="J2578" i="7"/>
  <c r="J2579" i="7"/>
  <c r="J2580" i="7"/>
  <c r="J2581" i="7"/>
  <c r="J2582" i="7"/>
  <c r="J2583" i="7"/>
  <c r="J2584" i="7"/>
  <c r="J2585" i="7"/>
  <c r="J2586" i="7"/>
  <c r="J2587" i="7"/>
  <c r="J2588" i="7"/>
  <c r="J2589" i="7"/>
  <c r="J2590" i="7"/>
  <c r="J2591" i="7"/>
  <c r="J2592" i="7"/>
  <c r="J2593" i="7"/>
  <c r="J2594" i="7"/>
  <c r="J2595" i="7"/>
  <c r="J2596" i="7"/>
  <c r="J2597" i="7"/>
  <c r="J2598" i="7"/>
  <c r="J2599" i="7"/>
  <c r="J2600" i="7"/>
  <c r="J2601" i="7"/>
  <c r="J2602" i="7"/>
  <c r="J2603" i="7"/>
  <c r="J2604" i="7"/>
  <c r="J2605" i="7"/>
  <c r="J2606" i="7"/>
  <c r="J2607" i="7"/>
  <c r="J2608" i="7"/>
  <c r="J2609" i="7"/>
  <c r="J2610" i="7"/>
  <c r="J2611" i="7"/>
  <c r="J2612" i="7"/>
  <c r="J2613" i="7"/>
  <c r="J2614" i="7"/>
  <c r="J2615" i="7"/>
  <c r="J2616" i="7"/>
  <c r="J2617" i="7"/>
  <c r="J2618" i="7"/>
  <c r="J2619" i="7"/>
  <c r="J2620" i="7"/>
  <c r="J2621" i="7"/>
  <c r="J2622" i="7"/>
  <c r="J2623" i="7"/>
  <c r="J2624" i="7"/>
  <c r="J2625" i="7"/>
  <c r="J2626" i="7"/>
  <c r="J2627" i="7"/>
  <c r="J2628" i="7"/>
  <c r="J2629" i="7"/>
  <c r="J2630" i="7"/>
  <c r="J2631" i="7"/>
  <c r="J2632" i="7"/>
  <c r="J2633" i="7"/>
  <c r="J2634" i="7"/>
  <c r="J2635" i="7"/>
  <c r="J2636" i="7"/>
  <c r="J2637" i="7"/>
  <c r="J2638" i="7"/>
  <c r="J2639" i="7"/>
  <c r="J2640" i="7"/>
  <c r="J2641" i="7"/>
  <c r="J2642" i="7"/>
  <c r="J2643" i="7"/>
  <c r="J2644" i="7"/>
  <c r="J2645" i="7"/>
  <c r="J2646" i="7"/>
  <c r="J2647" i="7"/>
  <c r="J2648" i="7"/>
  <c r="J2649" i="7"/>
  <c r="J2650" i="7"/>
  <c r="J2651" i="7"/>
  <c r="J2652" i="7"/>
  <c r="J2653" i="7"/>
  <c r="J2654" i="7"/>
  <c r="J2655" i="7"/>
  <c r="J2656" i="7"/>
  <c r="J2657" i="7"/>
  <c r="J2658" i="7"/>
  <c r="J2659" i="7"/>
  <c r="J2660" i="7"/>
  <c r="J2661" i="7"/>
  <c r="J2662" i="7"/>
  <c r="J2663" i="7"/>
  <c r="J2664" i="7"/>
  <c r="J2665" i="7"/>
  <c r="J2666" i="7"/>
  <c r="J2667" i="7"/>
  <c r="J2668" i="7"/>
  <c r="J2669" i="7"/>
  <c r="J2670" i="7"/>
  <c r="J2671" i="7"/>
  <c r="J2672" i="7"/>
  <c r="J2673" i="7"/>
  <c r="J2674" i="7"/>
  <c r="J2675" i="7"/>
  <c r="J2676" i="7"/>
  <c r="J2677" i="7"/>
  <c r="J2678" i="7"/>
  <c r="J2679" i="7"/>
  <c r="J2680" i="7"/>
  <c r="J2681" i="7"/>
  <c r="J2682" i="7"/>
  <c r="J2683" i="7"/>
  <c r="J2684" i="7"/>
  <c r="J2685" i="7"/>
  <c r="J2686" i="7"/>
  <c r="J2687" i="7"/>
  <c r="J2688" i="7"/>
  <c r="J2689" i="7"/>
  <c r="J2690" i="7"/>
  <c r="J2691" i="7"/>
  <c r="J2692" i="7"/>
  <c r="J2693" i="7"/>
  <c r="J2694" i="7"/>
  <c r="J2695" i="7"/>
  <c r="J2696" i="7"/>
  <c r="J2697" i="7"/>
  <c r="J2698" i="7"/>
  <c r="J2699" i="7"/>
  <c r="J2700" i="7"/>
  <c r="J2701" i="7"/>
  <c r="J2702" i="7"/>
  <c r="J2703" i="7"/>
  <c r="J2704" i="7"/>
  <c r="J2705" i="7"/>
  <c r="J2706" i="7"/>
  <c r="J2707" i="7"/>
  <c r="J2708" i="7"/>
  <c r="J2709" i="7"/>
  <c r="J2710" i="7"/>
  <c r="J2711" i="7"/>
  <c r="J2712" i="7"/>
  <c r="J2713" i="7"/>
  <c r="J2714" i="7"/>
  <c r="J2715" i="7"/>
  <c r="J2716" i="7"/>
  <c r="J2717" i="7"/>
  <c r="J2718" i="7"/>
  <c r="J2719" i="7"/>
  <c r="J2720" i="7"/>
  <c r="J2721" i="7"/>
  <c r="J2722" i="7"/>
  <c r="J2723" i="7"/>
  <c r="J2724" i="7"/>
  <c r="J2725" i="7"/>
  <c r="J2726" i="7"/>
  <c r="J2727" i="7"/>
  <c r="J2728" i="7"/>
  <c r="J2729" i="7"/>
  <c r="J2730" i="7"/>
  <c r="J2731" i="7"/>
  <c r="J2732" i="7"/>
  <c r="J2733" i="7"/>
  <c r="J2734" i="7"/>
  <c r="J2735" i="7"/>
  <c r="J2736" i="7"/>
  <c r="J2737" i="7"/>
  <c r="J2738" i="7"/>
  <c r="J2739" i="7"/>
  <c r="J2740" i="7"/>
  <c r="J2741" i="7"/>
  <c r="J2742" i="7"/>
  <c r="J2743" i="7"/>
  <c r="J2744" i="7"/>
  <c r="J2745" i="7"/>
  <c r="J2746" i="7"/>
  <c r="J2747" i="7"/>
  <c r="J2748" i="7"/>
  <c r="J2749" i="7"/>
  <c r="J2750" i="7"/>
  <c r="J2751" i="7"/>
  <c r="J2752" i="7"/>
  <c r="J2753" i="7"/>
  <c r="J2754" i="7"/>
  <c r="J2755" i="7"/>
  <c r="J2756" i="7"/>
  <c r="J2757" i="7"/>
  <c r="J2758" i="7"/>
  <c r="J2759" i="7"/>
  <c r="J2760" i="7"/>
  <c r="J2761" i="7"/>
  <c r="J2762" i="7"/>
  <c r="J2763" i="7"/>
  <c r="J2764" i="7"/>
  <c r="J2765" i="7"/>
  <c r="J2766" i="7"/>
  <c r="J2767" i="7"/>
  <c r="J2768" i="7"/>
  <c r="J2769" i="7"/>
  <c r="J2770" i="7"/>
  <c r="J2771" i="7"/>
  <c r="J2772" i="7"/>
  <c r="J2773" i="7"/>
  <c r="J2774" i="7"/>
  <c r="J2775" i="7"/>
  <c r="J2776" i="7"/>
  <c r="J2777" i="7"/>
  <c r="J2778" i="7"/>
  <c r="J2779" i="7"/>
  <c r="J2780" i="7"/>
  <c r="J2781" i="7"/>
  <c r="J2782" i="7"/>
  <c r="J2783" i="7"/>
  <c r="J2784" i="7"/>
  <c r="J2785" i="7"/>
  <c r="J2786" i="7"/>
  <c r="J2787" i="7"/>
  <c r="J2788" i="7"/>
  <c r="J2789" i="7"/>
  <c r="J2790" i="7"/>
  <c r="J2791" i="7"/>
  <c r="J2792" i="7"/>
  <c r="J2793" i="7"/>
  <c r="J2794" i="7"/>
  <c r="J2795" i="7"/>
  <c r="J2796" i="7"/>
  <c r="J2797" i="7"/>
  <c r="J2798" i="7"/>
  <c r="J2799" i="7"/>
  <c r="J2800" i="7"/>
  <c r="J2801" i="7"/>
  <c r="J2802" i="7"/>
  <c r="J2803" i="7"/>
  <c r="J2804" i="7"/>
  <c r="J2805" i="7"/>
  <c r="J2806" i="7"/>
  <c r="J2807" i="7"/>
  <c r="J2808" i="7"/>
  <c r="J2809" i="7"/>
  <c r="J2810" i="7"/>
  <c r="J2811" i="7"/>
  <c r="J2812" i="7"/>
  <c r="J2813" i="7"/>
  <c r="J2814" i="7"/>
  <c r="J2815" i="7"/>
  <c r="J2816" i="7"/>
  <c r="J2817" i="7"/>
  <c r="J2818" i="7"/>
  <c r="J2819" i="7"/>
  <c r="J2820" i="7"/>
  <c r="J2821" i="7"/>
  <c r="J2822" i="7"/>
  <c r="J2823" i="7"/>
  <c r="J2824" i="7"/>
  <c r="J2825" i="7"/>
  <c r="J2826" i="7"/>
  <c r="J2827" i="7"/>
  <c r="J2828" i="7"/>
  <c r="J2829" i="7"/>
  <c r="J2830" i="7"/>
  <c r="J2831" i="7"/>
  <c r="J2832" i="7"/>
  <c r="J2833" i="7"/>
  <c r="J2834" i="7"/>
  <c r="J2835" i="7"/>
  <c r="J2836" i="7"/>
  <c r="J2837" i="7"/>
  <c r="J2838" i="7"/>
  <c r="J2839" i="7"/>
  <c r="J2840" i="7"/>
  <c r="J2841" i="7"/>
  <c r="J2842" i="7"/>
  <c r="J2843" i="7"/>
  <c r="J2844" i="7"/>
  <c r="J2845" i="7"/>
  <c r="J2846" i="7"/>
  <c r="J2847" i="7"/>
  <c r="J2848" i="7"/>
  <c r="J2849" i="7"/>
  <c r="J2850" i="7"/>
  <c r="J2851" i="7"/>
  <c r="J2852" i="7"/>
  <c r="J2853" i="7"/>
  <c r="J2854" i="7"/>
  <c r="J2855" i="7"/>
  <c r="J2856" i="7"/>
  <c r="J2857" i="7"/>
  <c r="J2858" i="7"/>
  <c r="J2859" i="7"/>
  <c r="J2860" i="7"/>
  <c r="J2861" i="7"/>
  <c r="J2862" i="7"/>
  <c r="J2863" i="7"/>
  <c r="J2864" i="7"/>
  <c r="J2865" i="7"/>
  <c r="J2866" i="7"/>
  <c r="J2867" i="7"/>
  <c r="J2868" i="7"/>
  <c r="J2869" i="7"/>
  <c r="J2870" i="7"/>
  <c r="J2871" i="7"/>
  <c r="J2872" i="7"/>
  <c r="J2873" i="7"/>
  <c r="J2874" i="7"/>
  <c r="J2875" i="7"/>
  <c r="J2876" i="7"/>
  <c r="J2877" i="7"/>
  <c r="J2878" i="7"/>
  <c r="J2879" i="7"/>
  <c r="J2880" i="7"/>
  <c r="J2881" i="7"/>
  <c r="J2882" i="7"/>
  <c r="J2883" i="7"/>
  <c r="J2884" i="7"/>
  <c r="J2885" i="7"/>
  <c r="J2886" i="7"/>
  <c r="J2887" i="7"/>
  <c r="J2888" i="7"/>
  <c r="J2889" i="7"/>
  <c r="J2890" i="7"/>
  <c r="J2891" i="7"/>
  <c r="J2892" i="7"/>
  <c r="J2893" i="7"/>
  <c r="J2894" i="7"/>
  <c r="J2895" i="7"/>
  <c r="J2896" i="7"/>
  <c r="J2897" i="7"/>
  <c r="J2898" i="7"/>
  <c r="J2899" i="7"/>
  <c r="J2900" i="7"/>
  <c r="J2901" i="7"/>
  <c r="J2902" i="7"/>
  <c r="J2903" i="7"/>
  <c r="J2904" i="7"/>
  <c r="J2905" i="7"/>
  <c r="J2906" i="7"/>
  <c r="J2907" i="7"/>
  <c r="J2908" i="7"/>
  <c r="J2909" i="7"/>
  <c r="J2910" i="7"/>
  <c r="J2911" i="7"/>
  <c r="J2912" i="7"/>
  <c r="J2913" i="7"/>
  <c r="J2914" i="7"/>
  <c r="J2915" i="7"/>
  <c r="J2916" i="7"/>
  <c r="J2917" i="7"/>
  <c r="J2918" i="7"/>
  <c r="J2919" i="7"/>
  <c r="J2920" i="7"/>
  <c r="J2921" i="7"/>
  <c r="J2922" i="7"/>
  <c r="J2923" i="7"/>
  <c r="J2924" i="7"/>
  <c r="J2925" i="7"/>
  <c r="J2926" i="7"/>
  <c r="J2927" i="7"/>
  <c r="J2928" i="7"/>
  <c r="J2929" i="7"/>
  <c r="J2930" i="7"/>
  <c r="J2931" i="7"/>
  <c r="J2932" i="7"/>
  <c r="J2933" i="7"/>
  <c r="J2934" i="7"/>
  <c r="J2935" i="7"/>
  <c r="J2936" i="7"/>
  <c r="J2937" i="7"/>
  <c r="J2938" i="7"/>
  <c r="J2939" i="7"/>
  <c r="J2940" i="7"/>
  <c r="J2941" i="7"/>
  <c r="J2942" i="7"/>
  <c r="J2943" i="7"/>
  <c r="J2944" i="7"/>
  <c r="J2945" i="7"/>
  <c r="J2946" i="7"/>
  <c r="J2947" i="7"/>
  <c r="J2948" i="7"/>
  <c r="J2949" i="7"/>
  <c r="J2950" i="7"/>
  <c r="J2951" i="7"/>
  <c r="J2952" i="7"/>
  <c r="J2953" i="7"/>
  <c r="J2954" i="7"/>
  <c r="J2955" i="7"/>
  <c r="J2956" i="7"/>
  <c r="J2957" i="7"/>
  <c r="J2958" i="7"/>
  <c r="J2959" i="7"/>
  <c r="J2960" i="7"/>
  <c r="J2961" i="7"/>
  <c r="J2962" i="7"/>
  <c r="J2963" i="7"/>
  <c r="J2964" i="7"/>
  <c r="J2965" i="7"/>
  <c r="J2966" i="7"/>
  <c r="J2967" i="7"/>
  <c r="J2968" i="7"/>
  <c r="J2969" i="7"/>
  <c r="J2970" i="7"/>
  <c r="J2971" i="7"/>
  <c r="J2972" i="7"/>
  <c r="J2973" i="7"/>
  <c r="J2974" i="7"/>
  <c r="J2975" i="7"/>
  <c r="J2976" i="7"/>
  <c r="J2977" i="7"/>
  <c r="J2978" i="7"/>
  <c r="J2979" i="7"/>
  <c r="J2980" i="7"/>
  <c r="J2981" i="7"/>
  <c r="J2982" i="7"/>
  <c r="J2983" i="7"/>
  <c r="J2984" i="7"/>
  <c r="J2985" i="7"/>
  <c r="J2986" i="7"/>
  <c r="J2987" i="7"/>
  <c r="J2988" i="7"/>
  <c r="J2989" i="7"/>
  <c r="J2990" i="7"/>
  <c r="J2991" i="7"/>
  <c r="J2992" i="7"/>
  <c r="J2993" i="7"/>
  <c r="J2994" i="7"/>
  <c r="J2995" i="7"/>
  <c r="J2996" i="7"/>
  <c r="J2997" i="7"/>
  <c r="J2998" i="7"/>
  <c r="J2999" i="7"/>
  <c r="J3000" i="7"/>
  <c r="J3001" i="7"/>
  <c r="J3002" i="7"/>
  <c r="J3003" i="7"/>
  <c r="J3004" i="7"/>
  <c r="J3005" i="7"/>
  <c r="J3006" i="7"/>
  <c r="J3007" i="7"/>
  <c r="J3008" i="7"/>
  <c r="J3009" i="7"/>
  <c r="J3010" i="7"/>
  <c r="J3011" i="7"/>
  <c r="J3012" i="7"/>
  <c r="J3013" i="7"/>
  <c r="J3014" i="7"/>
  <c r="J3015" i="7"/>
  <c r="J3016" i="7"/>
  <c r="J3017" i="7"/>
  <c r="J3018" i="7"/>
  <c r="J3019" i="7"/>
  <c r="J3020" i="7"/>
  <c r="J3021" i="7"/>
  <c r="J3022" i="7"/>
  <c r="J3023" i="7"/>
  <c r="J3024" i="7"/>
  <c r="J3025" i="7"/>
  <c r="J3026" i="7"/>
  <c r="J3027" i="7"/>
  <c r="J3028" i="7"/>
  <c r="J3029" i="7"/>
  <c r="J3030" i="7"/>
  <c r="J3031" i="7"/>
  <c r="J3032" i="7"/>
  <c r="J3033" i="7"/>
  <c r="J3034" i="7"/>
  <c r="J3035" i="7"/>
  <c r="J3036" i="7"/>
  <c r="J3037" i="7"/>
  <c r="J3038" i="7"/>
  <c r="J3039" i="7"/>
  <c r="J3040" i="7"/>
  <c r="J3041" i="7"/>
  <c r="J3042" i="7"/>
  <c r="J3043" i="7"/>
  <c r="J3044" i="7"/>
  <c r="J3045" i="7"/>
  <c r="J3046" i="7"/>
  <c r="J3047" i="7"/>
  <c r="J3048" i="7"/>
  <c r="J3049" i="7"/>
  <c r="J3050" i="7"/>
  <c r="J3051" i="7"/>
  <c r="J3052" i="7"/>
  <c r="J3053" i="7"/>
  <c r="J3054" i="7"/>
  <c r="J3055" i="7"/>
  <c r="J3056" i="7"/>
  <c r="J3057" i="7"/>
  <c r="J3058" i="7"/>
  <c r="J3059" i="7"/>
  <c r="J3060" i="7"/>
  <c r="J3061" i="7"/>
  <c r="J3062" i="7"/>
  <c r="J3063" i="7"/>
  <c r="J3064" i="7"/>
  <c r="J3065" i="7"/>
  <c r="J3066" i="7"/>
  <c r="J3067" i="7"/>
  <c r="J3068" i="7"/>
  <c r="J3069" i="7"/>
  <c r="J3070" i="7"/>
  <c r="J3071" i="7"/>
  <c r="J3072" i="7"/>
  <c r="J3073" i="7"/>
  <c r="J3074" i="7"/>
  <c r="J3075" i="7"/>
  <c r="J3076" i="7"/>
  <c r="J3077" i="7"/>
  <c r="J3078" i="7"/>
  <c r="J3079" i="7"/>
  <c r="J3080" i="7"/>
  <c r="J3081" i="7"/>
  <c r="J3082" i="7"/>
  <c r="J3083" i="7"/>
  <c r="J3084" i="7"/>
  <c r="J3085" i="7"/>
  <c r="J3086" i="7"/>
  <c r="J3087" i="7"/>
  <c r="J3088" i="7"/>
  <c r="J3089" i="7"/>
  <c r="J3090" i="7"/>
  <c r="J3091" i="7"/>
  <c r="J3092" i="7"/>
  <c r="J3093" i="7"/>
  <c r="J3094" i="7"/>
  <c r="J3095" i="7"/>
  <c r="J3096" i="7"/>
  <c r="J3097" i="7"/>
  <c r="J3098" i="7"/>
  <c r="J3099" i="7"/>
  <c r="J3100" i="7"/>
  <c r="J3101" i="7"/>
  <c r="J3102" i="7"/>
  <c r="J3103" i="7"/>
  <c r="J3104" i="7"/>
  <c r="J3105" i="7"/>
  <c r="J3106" i="7"/>
  <c r="J3107" i="7"/>
  <c r="J3108" i="7"/>
  <c r="J3109" i="7"/>
  <c r="J3110" i="7"/>
  <c r="J3111" i="7"/>
  <c r="J3112" i="7"/>
  <c r="J3113" i="7"/>
  <c r="J3114" i="7"/>
  <c r="J3115" i="7"/>
  <c r="J3116" i="7"/>
  <c r="J3117" i="7"/>
  <c r="J3118" i="7"/>
  <c r="J3119" i="7"/>
  <c r="J3120" i="7"/>
  <c r="J3121" i="7"/>
  <c r="J3122" i="7"/>
  <c r="J3123" i="7"/>
  <c r="J3124" i="7"/>
  <c r="J3125" i="7"/>
  <c r="J3126" i="7"/>
  <c r="J3127" i="7"/>
  <c r="J3128" i="7"/>
  <c r="J3129" i="7"/>
  <c r="J3130" i="7"/>
  <c r="J3131" i="7"/>
  <c r="J3132" i="7"/>
  <c r="J3133" i="7"/>
  <c r="J3134" i="7"/>
  <c r="J3135" i="7"/>
  <c r="J3136" i="7"/>
  <c r="J3137" i="7"/>
  <c r="J3138" i="7"/>
  <c r="J3139" i="7"/>
  <c r="J3140" i="7"/>
  <c r="J3141" i="7"/>
  <c r="J3142" i="7"/>
  <c r="J3143" i="7"/>
  <c r="J3144" i="7"/>
  <c r="J3145" i="7"/>
  <c r="J3146" i="7"/>
  <c r="J3147" i="7"/>
  <c r="J3148" i="7"/>
  <c r="J3149" i="7"/>
  <c r="J3150" i="7"/>
  <c r="J3151" i="7"/>
  <c r="J3152" i="7"/>
  <c r="J3153" i="7"/>
  <c r="J3154" i="7"/>
  <c r="J3155" i="7"/>
  <c r="J3156" i="7"/>
  <c r="J3157" i="7"/>
  <c r="J3158" i="7"/>
  <c r="J3159" i="7"/>
  <c r="J3160" i="7"/>
  <c r="J3161" i="7"/>
  <c r="J3162" i="7"/>
  <c r="J3163" i="7"/>
  <c r="J3164" i="7"/>
  <c r="J3165" i="7"/>
  <c r="J3166" i="7"/>
  <c r="J3167" i="7"/>
  <c r="J3168" i="7"/>
  <c r="J3169" i="7"/>
  <c r="J3170" i="7"/>
  <c r="J3171" i="7"/>
  <c r="J3172" i="7"/>
  <c r="J3173" i="7"/>
  <c r="J3174" i="7"/>
  <c r="J3175" i="7"/>
  <c r="J3176" i="7"/>
  <c r="J3177" i="7"/>
  <c r="J3178" i="7"/>
  <c r="J3179" i="7"/>
  <c r="J3180" i="7"/>
  <c r="J3181" i="7"/>
  <c r="J3182" i="7"/>
  <c r="J3183" i="7"/>
  <c r="J3184" i="7"/>
  <c r="J3185" i="7"/>
  <c r="J3186" i="7"/>
  <c r="J3187" i="7"/>
  <c r="J3188" i="7"/>
  <c r="J3189" i="7"/>
  <c r="J3190" i="7"/>
  <c r="J3191" i="7"/>
  <c r="J3192" i="7"/>
  <c r="J3193" i="7"/>
  <c r="J3194" i="7"/>
  <c r="J3195" i="7"/>
  <c r="J3196" i="7"/>
  <c r="J3197" i="7"/>
  <c r="J3198" i="7"/>
  <c r="J3199" i="7"/>
  <c r="J3200" i="7"/>
  <c r="J3201" i="7"/>
  <c r="J3202" i="7"/>
  <c r="J3203" i="7"/>
  <c r="J3204" i="7"/>
  <c r="J3205" i="7"/>
  <c r="J3206" i="7"/>
  <c r="J3207" i="7"/>
  <c r="J3208" i="7"/>
  <c r="J3209" i="7"/>
  <c r="J3210" i="7"/>
  <c r="J3211" i="7"/>
  <c r="J3212" i="7"/>
  <c r="J3213" i="7"/>
  <c r="J3214" i="7"/>
  <c r="J3215" i="7"/>
  <c r="J3216" i="7"/>
  <c r="J3217" i="7"/>
  <c r="J3218" i="7"/>
  <c r="J3219" i="7"/>
  <c r="J3220" i="7"/>
  <c r="J3221" i="7"/>
  <c r="J3222" i="7"/>
  <c r="J3223" i="7"/>
  <c r="J3224" i="7"/>
  <c r="J3225" i="7"/>
  <c r="J3226" i="7"/>
  <c r="J3227" i="7"/>
  <c r="J3228" i="7"/>
  <c r="J3229" i="7"/>
  <c r="J3230" i="7"/>
  <c r="J3231" i="7"/>
  <c r="J3232" i="7"/>
  <c r="J3233" i="7"/>
  <c r="J3234" i="7"/>
  <c r="J3235" i="7"/>
  <c r="J3236" i="7"/>
  <c r="J3237" i="7"/>
  <c r="J3238" i="7"/>
  <c r="J3239" i="7"/>
  <c r="J3240" i="7"/>
  <c r="J3241" i="7"/>
  <c r="J3242" i="7"/>
  <c r="J3243" i="7"/>
  <c r="J3244" i="7"/>
  <c r="J3245" i="7"/>
  <c r="J3246" i="7"/>
  <c r="J3247" i="7"/>
  <c r="J3248" i="7"/>
  <c r="J3249" i="7"/>
  <c r="J3250" i="7"/>
  <c r="J3251" i="7"/>
  <c r="J3252" i="7"/>
  <c r="J3253" i="7"/>
  <c r="J3254" i="7"/>
  <c r="J3255" i="7"/>
  <c r="J3256" i="7"/>
  <c r="J3257" i="7"/>
  <c r="J3258" i="7"/>
  <c r="J3259" i="7"/>
  <c r="J3260" i="7"/>
  <c r="J3261" i="7"/>
  <c r="J3262" i="7"/>
  <c r="J3263" i="7"/>
  <c r="J3264" i="7"/>
  <c r="J3265" i="7"/>
  <c r="J3266" i="7"/>
  <c r="J3267" i="7"/>
  <c r="J3268" i="7"/>
  <c r="J3269" i="7"/>
  <c r="J3270" i="7"/>
  <c r="J3271" i="7"/>
  <c r="J3272" i="7"/>
  <c r="J3273" i="7"/>
  <c r="J3274" i="7"/>
  <c r="J3275" i="7"/>
  <c r="J3276" i="7"/>
  <c r="J3277" i="7"/>
  <c r="J3278" i="7"/>
  <c r="J3279" i="7"/>
  <c r="J3280" i="7"/>
  <c r="J3281" i="7"/>
  <c r="J3282" i="7"/>
  <c r="J3283" i="7"/>
  <c r="J3284" i="7"/>
  <c r="J3285" i="7"/>
  <c r="J3286" i="7"/>
  <c r="J3287" i="7"/>
  <c r="J3288" i="7"/>
  <c r="J3289" i="7"/>
  <c r="J3290" i="7"/>
  <c r="J3291" i="7"/>
  <c r="J3292" i="7"/>
  <c r="J3293" i="7"/>
  <c r="J3294" i="7"/>
  <c r="J3295" i="7"/>
  <c r="J3296" i="7"/>
  <c r="J3297" i="7"/>
  <c r="J3298" i="7"/>
  <c r="J3299" i="7"/>
  <c r="J3300" i="7"/>
  <c r="J3301" i="7"/>
  <c r="J3302" i="7"/>
  <c r="J3303" i="7"/>
  <c r="J3304" i="7"/>
  <c r="J3305" i="7"/>
  <c r="J3306" i="7"/>
  <c r="J3307" i="7"/>
  <c r="J3308" i="7"/>
  <c r="J3309" i="7"/>
  <c r="J3310" i="7"/>
  <c r="J3311" i="7"/>
  <c r="J3312" i="7"/>
  <c r="J3313" i="7"/>
  <c r="J3314" i="7"/>
  <c r="J3315" i="7"/>
  <c r="J3316" i="7"/>
  <c r="J3317" i="7"/>
  <c r="J3318" i="7"/>
  <c r="J3319" i="7"/>
  <c r="J3320" i="7"/>
  <c r="J3321" i="7"/>
  <c r="J3322" i="7"/>
  <c r="J3323" i="7"/>
  <c r="J3324" i="7"/>
  <c r="J3325" i="7"/>
  <c r="J3326" i="7"/>
  <c r="J3327" i="7"/>
  <c r="J3328" i="7"/>
  <c r="J3329" i="7"/>
  <c r="J3330" i="7"/>
  <c r="J3331" i="7"/>
  <c r="J3332" i="7"/>
  <c r="J3333" i="7"/>
  <c r="J3334" i="7"/>
  <c r="J3335" i="7"/>
  <c r="J3336" i="7"/>
  <c r="J3337" i="7"/>
  <c r="J3338" i="7"/>
  <c r="J3339" i="7"/>
  <c r="J3340" i="7"/>
  <c r="J3341" i="7"/>
  <c r="J3342" i="7"/>
  <c r="J3343" i="7"/>
  <c r="J3344" i="7"/>
  <c r="J3345" i="7"/>
  <c r="J3346" i="7"/>
  <c r="J3347" i="7"/>
  <c r="J3348" i="7"/>
  <c r="J3349" i="7"/>
  <c r="J3350" i="7"/>
  <c r="J3351" i="7"/>
  <c r="J3352" i="7"/>
  <c r="J3353" i="7"/>
  <c r="J3354" i="7"/>
  <c r="J3355" i="7"/>
  <c r="J3356" i="7"/>
  <c r="J3357" i="7"/>
  <c r="J3358" i="7"/>
  <c r="J3359" i="7"/>
  <c r="J3360" i="7"/>
  <c r="J3361" i="7"/>
  <c r="J3362" i="7"/>
  <c r="J3363" i="7"/>
  <c r="J3364" i="7"/>
  <c r="J3365" i="7"/>
  <c r="J3366" i="7"/>
  <c r="J3367" i="7"/>
  <c r="J3368" i="7"/>
  <c r="J3369" i="7"/>
  <c r="J3370" i="7"/>
  <c r="J3371" i="7"/>
  <c r="J3372" i="7"/>
  <c r="J3373" i="7"/>
  <c r="J3374" i="7"/>
  <c r="J3375" i="7"/>
  <c r="J3376" i="7"/>
  <c r="J3377" i="7"/>
  <c r="J3378" i="7"/>
  <c r="J3379" i="7"/>
  <c r="J3380" i="7"/>
  <c r="J3381" i="7"/>
  <c r="J3382" i="7"/>
  <c r="J3383" i="7"/>
  <c r="J3384" i="7"/>
  <c r="J3385" i="7"/>
  <c r="J3386" i="7"/>
  <c r="J3387" i="7"/>
  <c r="J3388" i="7"/>
  <c r="J3389" i="7"/>
  <c r="J3390" i="7"/>
  <c r="J3391" i="7"/>
  <c r="J3392" i="7"/>
  <c r="J3393" i="7"/>
  <c r="J3394" i="7"/>
  <c r="J3395" i="7"/>
  <c r="J3396" i="7"/>
  <c r="J3397" i="7"/>
  <c r="J3398" i="7"/>
  <c r="J3399" i="7"/>
  <c r="J3400" i="7"/>
  <c r="J3401" i="7"/>
  <c r="J3402" i="7"/>
  <c r="J3403" i="7"/>
  <c r="J3404" i="7"/>
  <c r="J3405" i="7"/>
  <c r="J3406" i="7"/>
  <c r="J3407" i="7"/>
  <c r="J3408" i="7"/>
  <c r="J3409" i="7"/>
  <c r="J3410" i="7"/>
  <c r="J3411" i="7"/>
  <c r="J3412" i="7"/>
  <c r="J3413" i="7"/>
  <c r="J3414" i="7"/>
  <c r="J3415" i="7"/>
  <c r="J3416" i="7"/>
  <c r="J3417" i="7"/>
  <c r="J3418" i="7"/>
  <c r="J3419" i="7"/>
  <c r="J3420" i="7"/>
  <c r="J3421" i="7"/>
  <c r="J3422" i="7"/>
  <c r="J3423" i="7"/>
  <c r="J3424" i="7"/>
  <c r="J3425" i="7"/>
  <c r="J3426" i="7"/>
  <c r="J3427" i="7"/>
  <c r="J3428" i="7"/>
  <c r="J3429" i="7"/>
  <c r="J3430" i="7"/>
  <c r="J3431" i="7"/>
  <c r="J3432" i="7"/>
  <c r="J3433" i="7"/>
  <c r="J3434" i="7"/>
  <c r="J3435" i="7"/>
  <c r="J3436" i="7"/>
  <c r="J3437" i="7"/>
  <c r="J3438" i="7"/>
  <c r="J3439" i="7"/>
  <c r="J3440" i="7"/>
  <c r="J3441" i="7"/>
  <c r="J3442" i="7"/>
  <c r="J3443" i="7"/>
  <c r="J3444" i="7"/>
  <c r="J3445" i="7"/>
  <c r="J3446" i="7"/>
  <c r="J3447" i="7"/>
  <c r="J3448" i="7"/>
  <c r="J3449" i="7"/>
  <c r="J3450" i="7"/>
  <c r="J3451" i="7"/>
  <c r="J3452" i="7"/>
  <c r="J3453" i="7"/>
  <c r="J3454" i="7"/>
  <c r="J3455" i="7"/>
  <c r="J3456" i="7"/>
  <c r="J3457" i="7"/>
  <c r="J3458" i="7"/>
  <c r="J3459" i="7"/>
  <c r="J3460" i="7"/>
  <c r="J3461" i="7"/>
  <c r="J3462" i="7"/>
  <c r="J3463" i="7"/>
  <c r="J3464" i="7"/>
  <c r="J3465" i="7"/>
  <c r="J3466" i="7"/>
  <c r="J3467" i="7"/>
  <c r="J3468" i="7"/>
  <c r="J3469" i="7"/>
  <c r="J3470" i="7"/>
  <c r="J3471" i="7"/>
  <c r="J3472" i="7"/>
  <c r="J3473" i="7"/>
  <c r="J3474" i="7"/>
  <c r="J3475" i="7"/>
  <c r="J3476" i="7"/>
  <c r="J3477" i="7"/>
  <c r="J3478" i="7"/>
  <c r="J3479" i="7"/>
  <c r="J3480" i="7"/>
  <c r="J3481" i="7"/>
  <c r="J3482" i="7"/>
  <c r="J3483" i="7"/>
  <c r="J3484" i="7"/>
  <c r="J3485" i="7"/>
  <c r="J3486" i="7"/>
  <c r="J3487" i="7"/>
  <c r="J3488" i="7"/>
  <c r="J3489" i="7"/>
  <c r="J3490" i="7"/>
  <c r="J3491" i="7"/>
  <c r="J3492" i="7"/>
  <c r="J3493" i="7"/>
  <c r="J3494" i="7"/>
  <c r="J3495" i="7"/>
  <c r="J3496" i="7"/>
  <c r="J3497" i="7"/>
  <c r="J3498" i="7"/>
  <c r="J3499" i="7"/>
  <c r="J3500" i="7"/>
  <c r="J3501" i="7"/>
  <c r="J3502" i="7"/>
  <c r="J3503" i="7"/>
  <c r="J3504" i="7"/>
  <c r="J3505" i="7"/>
  <c r="J3506" i="7"/>
  <c r="J3507" i="7"/>
  <c r="J3508" i="7"/>
  <c r="J3509" i="7"/>
  <c r="J3510" i="7"/>
  <c r="J3511" i="7"/>
  <c r="J3512" i="7"/>
  <c r="J3513" i="7"/>
  <c r="J3514" i="7"/>
  <c r="J3515" i="7"/>
  <c r="J3516" i="7"/>
  <c r="J3517" i="7"/>
  <c r="J3518" i="7"/>
  <c r="J3519" i="7"/>
  <c r="J3520" i="7"/>
  <c r="J3521" i="7"/>
  <c r="J3522" i="7"/>
  <c r="J3523" i="7"/>
  <c r="J3524" i="7"/>
  <c r="J3525" i="7"/>
  <c r="J3526" i="7"/>
  <c r="J3527" i="7"/>
  <c r="J3528" i="7"/>
  <c r="J3529" i="7"/>
  <c r="J3530" i="7"/>
  <c r="J3531" i="7"/>
  <c r="J3532" i="7"/>
  <c r="J3533" i="7"/>
  <c r="J3534" i="7"/>
  <c r="J3535" i="7"/>
  <c r="J3536" i="7"/>
  <c r="J3537" i="7"/>
  <c r="J3538" i="7"/>
  <c r="J3539" i="7"/>
  <c r="J3540" i="7"/>
  <c r="J3541" i="7"/>
  <c r="J3542" i="7"/>
  <c r="J3543" i="7"/>
  <c r="J3544" i="7"/>
  <c r="J3545" i="7"/>
  <c r="J3546" i="7"/>
  <c r="J3547" i="7"/>
  <c r="J3548" i="7"/>
  <c r="J3549" i="7"/>
  <c r="J3550" i="7"/>
  <c r="J3551" i="7"/>
  <c r="J3552" i="7"/>
  <c r="J3553" i="7"/>
  <c r="J3554" i="7"/>
  <c r="J3555" i="7"/>
  <c r="J3556" i="7"/>
  <c r="J3557" i="7"/>
  <c r="J3558" i="7"/>
  <c r="J3559" i="7"/>
  <c r="J3560" i="7"/>
  <c r="J3561" i="7"/>
  <c r="J3562" i="7"/>
  <c r="J3563" i="7"/>
  <c r="J3564" i="7"/>
  <c r="J3565" i="7"/>
  <c r="J3566" i="7"/>
  <c r="J3567" i="7"/>
  <c r="J3568" i="7"/>
  <c r="J3569" i="7"/>
  <c r="J3570" i="7"/>
  <c r="J3571" i="7"/>
  <c r="J3572" i="7"/>
  <c r="J3573" i="7"/>
  <c r="J3574" i="7"/>
  <c r="J3575" i="7"/>
  <c r="J3576" i="7"/>
  <c r="J3577" i="7"/>
  <c r="J3578" i="7"/>
  <c r="J3579" i="7"/>
  <c r="J3580" i="7"/>
  <c r="J3581" i="7"/>
  <c r="J3582" i="7"/>
  <c r="J3583" i="7"/>
  <c r="J3584" i="7"/>
  <c r="J3585" i="7"/>
  <c r="J3586" i="7"/>
  <c r="J3587" i="7"/>
  <c r="J3588" i="7"/>
  <c r="J3589" i="7"/>
  <c r="J3590" i="7"/>
  <c r="J3591" i="7"/>
  <c r="J3592" i="7"/>
  <c r="J3593" i="7"/>
  <c r="J3594" i="7"/>
  <c r="J3595" i="7"/>
  <c r="J3596" i="7"/>
  <c r="J3597" i="7"/>
  <c r="J3598" i="7"/>
  <c r="J3599" i="7"/>
  <c r="J3600" i="7"/>
  <c r="J3601" i="7"/>
  <c r="J3602" i="7"/>
  <c r="J3603" i="7"/>
  <c r="J3604" i="7"/>
  <c r="J3605" i="7"/>
  <c r="J3606" i="7"/>
  <c r="J3607" i="7"/>
  <c r="J3608" i="7"/>
  <c r="J3609" i="7"/>
  <c r="J3610" i="7"/>
  <c r="J3611" i="7"/>
  <c r="J3612" i="7"/>
  <c r="J3613" i="7"/>
  <c r="J3614" i="7"/>
  <c r="J3615" i="7"/>
  <c r="J3616" i="7"/>
  <c r="J3617" i="7"/>
  <c r="J3618" i="7"/>
  <c r="J3619" i="7"/>
  <c r="J3620" i="7"/>
  <c r="J3621" i="7"/>
  <c r="J3622" i="7"/>
  <c r="J3623" i="7"/>
  <c r="J3624" i="7"/>
  <c r="J3625" i="7"/>
  <c r="J3626" i="7"/>
  <c r="J3627" i="7"/>
  <c r="J3628" i="7"/>
  <c r="J3629" i="7"/>
  <c r="J3630" i="7"/>
  <c r="J3631" i="7"/>
  <c r="J3632" i="7"/>
  <c r="J3633" i="7"/>
  <c r="J3634" i="7"/>
  <c r="J3635" i="7"/>
  <c r="J3636" i="7"/>
  <c r="J3637" i="7"/>
  <c r="J3638" i="7"/>
  <c r="J3639" i="7"/>
  <c r="J3640" i="7"/>
  <c r="J3641" i="7"/>
  <c r="J3642" i="7"/>
  <c r="J3643" i="7"/>
  <c r="J3644" i="7"/>
  <c r="J3645" i="7"/>
  <c r="J3646" i="7"/>
  <c r="J3647" i="7"/>
  <c r="J3648" i="7"/>
  <c r="J3649" i="7"/>
  <c r="J3650" i="7"/>
  <c r="J3651" i="7"/>
  <c r="J3652" i="7"/>
  <c r="J3653" i="7"/>
  <c r="J3654" i="7"/>
  <c r="J3655" i="7"/>
  <c r="J3656" i="7"/>
  <c r="J3657" i="7"/>
  <c r="J3658" i="7"/>
  <c r="J3659" i="7"/>
  <c r="J3660" i="7"/>
  <c r="J3661" i="7"/>
  <c r="J3662" i="7"/>
  <c r="J3663" i="7"/>
  <c r="J3664" i="7"/>
  <c r="J3665" i="7"/>
  <c r="J3666" i="7"/>
  <c r="J3667" i="7"/>
  <c r="J3668" i="7"/>
  <c r="J3669" i="7"/>
  <c r="J3670" i="7"/>
  <c r="J3671" i="7"/>
  <c r="J3672" i="7"/>
  <c r="J3673" i="7"/>
  <c r="J3674" i="7"/>
  <c r="J3675" i="7"/>
  <c r="J3676" i="7"/>
  <c r="J3677" i="7"/>
  <c r="J3678" i="7"/>
  <c r="J3679" i="7"/>
  <c r="J3680" i="7"/>
  <c r="J3681" i="7"/>
  <c r="J3682" i="7"/>
  <c r="J3683" i="7"/>
  <c r="J3684" i="7"/>
  <c r="J3685" i="7"/>
  <c r="J3686" i="7"/>
  <c r="J3687" i="7"/>
  <c r="J3688" i="7"/>
  <c r="J3689" i="7"/>
  <c r="J3690" i="7"/>
  <c r="J3691" i="7"/>
  <c r="J3692" i="7"/>
  <c r="J3693" i="7"/>
  <c r="J3694" i="7"/>
  <c r="J3695" i="7"/>
  <c r="J3696" i="7"/>
  <c r="J3697" i="7"/>
  <c r="J3698" i="7"/>
  <c r="J3699" i="7"/>
  <c r="J3700" i="7"/>
  <c r="J3701" i="7"/>
  <c r="J3702" i="7"/>
  <c r="J3703" i="7"/>
  <c r="J3704" i="7"/>
  <c r="J3705" i="7"/>
  <c r="J3706" i="7"/>
  <c r="J3707" i="7"/>
  <c r="J3708" i="7"/>
  <c r="J3709" i="7"/>
  <c r="J3710" i="7"/>
  <c r="J3711" i="7"/>
  <c r="J3712" i="7"/>
  <c r="J3713" i="7"/>
  <c r="J3714" i="7"/>
  <c r="J3715" i="7"/>
  <c r="J3716" i="7"/>
  <c r="J3717" i="7"/>
  <c r="J3718" i="7"/>
  <c r="J3719" i="7"/>
  <c r="J3720" i="7"/>
  <c r="J3721" i="7"/>
  <c r="J3722" i="7"/>
  <c r="J3723" i="7"/>
  <c r="J3724" i="7"/>
  <c r="J3725" i="7"/>
  <c r="J3726" i="7"/>
  <c r="J3727" i="7"/>
  <c r="J3728" i="7"/>
  <c r="J3729" i="7"/>
  <c r="J3730" i="7"/>
  <c r="J3731" i="7"/>
  <c r="J3732" i="7"/>
  <c r="J3733" i="7"/>
  <c r="J3734" i="7"/>
  <c r="J3735" i="7"/>
  <c r="J3736" i="7"/>
  <c r="J3737" i="7"/>
  <c r="J3738" i="7"/>
  <c r="J3739" i="7"/>
  <c r="J3740" i="7"/>
  <c r="J3741" i="7"/>
  <c r="J3742" i="7"/>
  <c r="J3743" i="7"/>
  <c r="J3744" i="7"/>
  <c r="J3745" i="7"/>
  <c r="J3746" i="7"/>
  <c r="J3747" i="7"/>
  <c r="J3748" i="7"/>
  <c r="J3749" i="7"/>
  <c r="J3750" i="7"/>
  <c r="J3751" i="7"/>
  <c r="J3752" i="7"/>
  <c r="J3753" i="7"/>
  <c r="J3754" i="7"/>
  <c r="J3755" i="7"/>
  <c r="J3756" i="7"/>
  <c r="J3757" i="7"/>
  <c r="J3758" i="7"/>
  <c r="J3759" i="7"/>
  <c r="J3760" i="7"/>
  <c r="J3761" i="7"/>
  <c r="J3762" i="7"/>
  <c r="J3763" i="7"/>
  <c r="J3764" i="7"/>
  <c r="J3765" i="7"/>
  <c r="J3766" i="7"/>
  <c r="J3767" i="7"/>
  <c r="J3768" i="7"/>
  <c r="J3769" i="7"/>
  <c r="J3770" i="7"/>
  <c r="J3771" i="7"/>
  <c r="J3772" i="7"/>
  <c r="J3773" i="7"/>
  <c r="J3774" i="7"/>
  <c r="J3775" i="7"/>
  <c r="J3776" i="7"/>
  <c r="J3777" i="7"/>
  <c r="J3778" i="7"/>
  <c r="J3779" i="7"/>
  <c r="J3780" i="7"/>
  <c r="J3781" i="7"/>
  <c r="J3782" i="7"/>
  <c r="J3783" i="7"/>
  <c r="J3784" i="7"/>
  <c r="J3785" i="7"/>
  <c r="J3786" i="7"/>
  <c r="J3787" i="7"/>
  <c r="J3788" i="7"/>
  <c r="J3789" i="7"/>
  <c r="J3790" i="7"/>
  <c r="J3791" i="7"/>
  <c r="J3792" i="7"/>
  <c r="J3793" i="7"/>
  <c r="J3794" i="7"/>
  <c r="J3795" i="7"/>
  <c r="J3796" i="7"/>
  <c r="J3797" i="7"/>
  <c r="J3798" i="7"/>
  <c r="J3799" i="7"/>
  <c r="J3800" i="7"/>
  <c r="J3801" i="7"/>
  <c r="J3802" i="7"/>
  <c r="J3803" i="7"/>
  <c r="J3804" i="7"/>
  <c r="J3805" i="7"/>
  <c r="J3806" i="7"/>
  <c r="J3807" i="7"/>
  <c r="J3808" i="7"/>
  <c r="J3809" i="7"/>
  <c r="J3810" i="7"/>
  <c r="J3811" i="7"/>
  <c r="J3812" i="7"/>
  <c r="J3813" i="7"/>
  <c r="J3814" i="7"/>
  <c r="J3815" i="7"/>
  <c r="J3816" i="7"/>
  <c r="J3817" i="7"/>
  <c r="J3818" i="7"/>
  <c r="J3819" i="7"/>
  <c r="J3820" i="7"/>
  <c r="J3821" i="7"/>
  <c r="J3822" i="7"/>
  <c r="J3823" i="7"/>
  <c r="J3824" i="7"/>
  <c r="J3825" i="7"/>
  <c r="J3826" i="7"/>
  <c r="J3827" i="7"/>
  <c r="J3828" i="7"/>
  <c r="J3829" i="7"/>
  <c r="J3830" i="7"/>
  <c r="J3831" i="7"/>
  <c r="J3832" i="7"/>
  <c r="J3833" i="7"/>
  <c r="J3834" i="7"/>
  <c r="J3835" i="7"/>
  <c r="J3836" i="7"/>
  <c r="J3837" i="7"/>
  <c r="J3838" i="7"/>
  <c r="J3839" i="7"/>
  <c r="J3840" i="7"/>
  <c r="J3841" i="7"/>
  <c r="J3842" i="7"/>
  <c r="J3843" i="7"/>
  <c r="J3844" i="7"/>
  <c r="J3845" i="7"/>
  <c r="J3846" i="7"/>
  <c r="J3847" i="7"/>
  <c r="J3848" i="7"/>
  <c r="J3849" i="7"/>
  <c r="J3850" i="7"/>
  <c r="J3851" i="7"/>
  <c r="J3852" i="7"/>
  <c r="J3853" i="7"/>
  <c r="J3854" i="7"/>
  <c r="J3855" i="7"/>
  <c r="J3856" i="7"/>
  <c r="J3857" i="7"/>
  <c r="J3858" i="7"/>
  <c r="J3859" i="7"/>
  <c r="J3860" i="7"/>
  <c r="J3861" i="7"/>
  <c r="J3862" i="7"/>
  <c r="J3863" i="7"/>
  <c r="J3864" i="7"/>
  <c r="J3865" i="7"/>
  <c r="J3866" i="7"/>
  <c r="J3867" i="7"/>
  <c r="J3868" i="7"/>
  <c r="J3869" i="7"/>
  <c r="J3870" i="7"/>
  <c r="J3871" i="7"/>
  <c r="J3872" i="7"/>
  <c r="J3873" i="7"/>
  <c r="J3874" i="7"/>
  <c r="J3875" i="7"/>
  <c r="J3876" i="7"/>
  <c r="J3877" i="7"/>
  <c r="J3878" i="7"/>
  <c r="J3879" i="7"/>
  <c r="J3880" i="7"/>
  <c r="J3881" i="7"/>
  <c r="J3882" i="7"/>
  <c r="J3883" i="7"/>
  <c r="J3884" i="7"/>
  <c r="J3885" i="7"/>
  <c r="J3886" i="7"/>
  <c r="J3887" i="7"/>
  <c r="J3888" i="7"/>
  <c r="J3889" i="7"/>
  <c r="J3890" i="7"/>
  <c r="J3891" i="7"/>
  <c r="J3892" i="7"/>
  <c r="J3893" i="7"/>
  <c r="J3894" i="7"/>
  <c r="J3895" i="7"/>
  <c r="J3896" i="7"/>
  <c r="J3897" i="7"/>
  <c r="J3898" i="7"/>
  <c r="J3899" i="7"/>
  <c r="J3900" i="7"/>
  <c r="J3901" i="7"/>
  <c r="J3902" i="7"/>
  <c r="J3903" i="7"/>
  <c r="J3904" i="7"/>
  <c r="J3905" i="7"/>
  <c r="J3906" i="7"/>
  <c r="J3907" i="7"/>
  <c r="J3908" i="7"/>
  <c r="J3909" i="7"/>
  <c r="J3910" i="7"/>
  <c r="J3911" i="7"/>
  <c r="J3912" i="7"/>
  <c r="J3913" i="7"/>
  <c r="J3914" i="7"/>
  <c r="J3915" i="7"/>
  <c r="J3916" i="7"/>
  <c r="J3917" i="7"/>
  <c r="J3918" i="7"/>
  <c r="J3919" i="7"/>
  <c r="J3920" i="7"/>
  <c r="J3921" i="7"/>
  <c r="J3922" i="7"/>
  <c r="J3923" i="7"/>
  <c r="J3924" i="7"/>
  <c r="J3925" i="7"/>
  <c r="J3926" i="7"/>
  <c r="J3927" i="7"/>
  <c r="J3928" i="7"/>
  <c r="J3929" i="7"/>
  <c r="J3930" i="7"/>
  <c r="J3931" i="7"/>
  <c r="J3932" i="7"/>
  <c r="J3933" i="7"/>
  <c r="J3934" i="7"/>
  <c r="J3935" i="7"/>
  <c r="J3936" i="7"/>
  <c r="J3937" i="7"/>
  <c r="J3938" i="7"/>
  <c r="J3939" i="7"/>
  <c r="J3940" i="7"/>
  <c r="J3941" i="7"/>
  <c r="J3942" i="7"/>
  <c r="J3943" i="7"/>
  <c r="J3944" i="7"/>
  <c r="J3945" i="7"/>
  <c r="J3946" i="7"/>
  <c r="J3947" i="7"/>
  <c r="J3948" i="7"/>
  <c r="J3949" i="7"/>
  <c r="J3950" i="7"/>
  <c r="J3951" i="7"/>
  <c r="J3952" i="7"/>
  <c r="J3953" i="7"/>
  <c r="J3954" i="7"/>
  <c r="J3955" i="7"/>
  <c r="J3956" i="7"/>
  <c r="J3957" i="7"/>
  <c r="J3958" i="7"/>
  <c r="J3959" i="7"/>
  <c r="J3960" i="7"/>
  <c r="J3961" i="7"/>
  <c r="J3962" i="7"/>
  <c r="J3963" i="7"/>
  <c r="J3964" i="7"/>
  <c r="J3965" i="7"/>
  <c r="J3966" i="7"/>
  <c r="J3967" i="7"/>
  <c r="J3968" i="7"/>
  <c r="J3969" i="7"/>
  <c r="J3970" i="7"/>
  <c r="J3971" i="7"/>
  <c r="J3972" i="7"/>
  <c r="J3973" i="7"/>
  <c r="J3974" i="7"/>
  <c r="J3975" i="7"/>
  <c r="J3976" i="7"/>
  <c r="J3977" i="7"/>
  <c r="J3978" i="7"/>
  <c r="J3979" i="7"/>
  <c r="J3980" i="7"/>
  <c r="J3981" i="7"/>
  <c r="J3982" i="7"/>
  <c r="J3983" i="7"/>
  <c r="J3984" i="7"/>
  <c r="J3985" i="7"/>
  <c r="J3986" i="7"/>
  <c r="J3987" i="7"/>
  <c r="J3988" i="7"/>
  <c r="J3989" i="7"/>
  <c r="J3990" i="7"/>
  <c r="J3991" i="7"/>
  <c r="J3992" i="7"/>
  <c r="J3993" i="7"/>
  <c r="J3994" i="7"/>
  <c r="J3995" i="7"/>
  <c r="J3996" i="7"/>
  <c r="J3997" i="7"/>
  <c r="J3998" i="7"/>
  <c r="J3999" i="7"/>
  <c r="J4000" i="7"/>
  <c r="J4001" i="7"/>
  <c r="J4002" i="7"/>
  <c r="J4003" i="7"/>
  <c r="J4004" i="7"/>
  <c r="J4005" i="7"/>
  <c r="J4006" i="7"/>
  <c r="J4007" i="7"/>
  <c r="J4008" i="7"/>
  <c r="J4009" i="7"/>
  <c r="J4010" i="7"/>
  <c r="J4011" i="7"/>
  <c r="J4012" i="7"/>
  <c r="J4013" i="7"/>
  <c r="J4014" i="7"/>
  <c r="J4015" i="7"/>
  <c r="J4016" i="7"/>
  <c r="J4017" i="7"/>
  <c r="J4018" i="7"/>
  <c r="J4019" i="7"/>
  <c r="J4020" i="7"/>
  <c r="J4021" i="7"/>
  <c r="J4022" i="7"/>
  <c r="J4023" i="7"/>
  <c r="J4024" i="7"/>
  <c r="J4025" i="7"/>
  <c r="J4026" i="7"/>
  <c r="J4027" i="7"/>
  <c r="J4028" i="7"/>
  <c r="J4029" i="7"/>
  <c r="J4030" i="7"/>
  <c r="J4031" i="7"/>
  <c r="J4032" i="7"/>
  <c r="J4033" i="7"/>
  <c r="J4034" i="7"/>
  <c r="J4035" i="7"/>
  <c r="J4036" i="7"/>
  <c r="J4037" i="7"/>
  <c r="J4038" i="7"/>
  <c r="J4039" i="7"/>
  <c r="J4040" i="7"/>
  <c r="J4041" i="7"/>
  <c r="J4042" i="7"/>
  <c r="J4043" i="7"/>
  <c r="J4044" i="7"/>
  <c r="J4045" i="7"/>
  <c r="J4046" i="7"/>
  <c r="J4047" i="7"/>
  <c r="J4048" i="7"/>
  <c r="J4049" i="7"/>
  <c r="J4050" i="7"/>
  <c r="J4051" i="7"/>
  <c r="J4052" i="7"/>
  <c r="J4053" i="7"/>
  <c r="J4054" i="7"/>
  <c r="J4055" i="7"/>
  <c r="J4056" i="7"/>
  <c r="J4057" i="7"/>
  <c r="J4058" i="7"/>
  <c r="J4059" i="7"/>
  <c r="J4060" i="7"/>
  <c r="J4061" i="7"/>
  <c r="J4062" i="7"/>
  <c r="J4063" i="7"/>
  <c r="J4064" i="7"/>
  <c r="J4065" i="7"/>
  <c r="J4066" i="7"/>
  <c r="J4067" i="7"/>
  <c r="J4068" i="7"/>
  <c r="J4069" i="7"/>
  <c r="J4070" i="7"/>
  <c r="J4071" i="7"/>
  <c r="J4072" i="7"/>
  <c r="J4073" i="7"/>
  <c r="J4074" i="7"/>
  <c r="J4075" i="7"/>
  <c r="J4076" i="7"/>
  <c r="J4077" i="7"/>
  <c r="J4078" i="7"/>
  <c r="J4079" i="7"/>
  <c r="J4080" i="7"/>
  <c r="J4081" i="7"/>
  <c r="J4082" i="7"/>
  <c r="J4083" i="7"/>
  <c r="J4084" i="7"/>
  <c r="J4085" i="7"/>
  <c r="J4086" i="7"/>
  <c r="J4087" i="7"/>
  <c r="J4088" i="7"/>
  <c r="J4089" i="7"/>
  <c r="J4090" i="7"/>
  <c r="J4091" i="7"/>
  <c r="J4092" i="7"/>
  <c r="J4093" i="7"/>
  <c r="J4094" i="7"/>
  <c r="J4095" i="7"/>
  <c r="J4096" i="7"/>
  <c r="J4097" i="7"/>
  <c r="J4098" i="7"/>
  <c r="J4099" i="7"/>
  <c r="J4100" i="7"/>
  <c r="J4101" i="7"/>
  <c r="J4102" i="7"/>
  <c r="J4103" i="7"/>
  <c r="J4104" i="7"/>
  <c r="J4105" i="7"/>
  <c r="J4106" i="7"/>
  <c r="J4107" i="7"/>
  <c r="J4108" i="7"/>
  <c r="J4109" i="7"/>
  <c r="J4110" i="7"/>
  <c r="J4111" i="7"/>
  <c r="J4112" i="7"/>
  <c r="J4113" i="7"/>
  <c r="J4114" i="7"/>
  <c r="J4115" i="7"/>
  <c r="J4116" i="7"/>
  <c r="J4117" i="7"/>
  <c r="J4118" i="7"/>
  <c r="J4119" i="7"/>
  <c r="J4120" i="7"/>
  <c r="J4121" i="7"/>
  <c r="J4122" i="7"/>
  <c r="J4123" i="7"/>
  <c r="J4124" i="7"/>
  <c r="J4125" i="7"/>
  <c r="J4126" i="7"/>
  <c r="J4127" i="7"/>
  <c r="J4128" i="7"/>
  <c r="J4129" i="7"/>
  <c r="J4130" i="7"/>
  <c r="J4131" i="7"/>
  <c r="J4132" i="7"/>
  <c r="J4133" i="7"/>
  <c r="J4134" i="7"/>
  <c r="J4135" i="7"/>
  <c r="J4136" i="7"/>
  <c r="J4137" i="7"/>
  <c r="J4138" i="7"/>
  <c r="J4139" i="7"/>
  <c r="J4140" i="7"/>
  <c r="J4141" i="7"/>
  <c r="J4142" i="7"/>
  <c r="J4143" i="7"/>
  <c r="J4144" i="7"/>
  <c r="J4145" i="7"/>
  <c r="J4146" i="7"/>
  <c r="J4147" i="7"/>
  <c r="J4148" i="7"/>
  <c r="J4149" i="7"/>
  <c r="J4150" i="7"/>
  <c r="J4151" i="7"/>
  <c r="J4152" i="7"/>
  <c r="J4153" i="7"/>
  <c r="J4154" i="7"/>
  <c r="J4155" i="7"/>
  <c r="J4156" i="7"/>
  <c r="J4157" i="7"/>
  <c r="J4158" i="7"/>
  <c r="J4159" i="7"/>
  <c r="J4160" i="7"/>
  <c r="J4161" i="7"/>
  <c r="J4162" i="7"/>
  <c r="J4163" i="7"/>
  <c r="J4164" i="7"/>
  <c r="J4165" i="7"/>
  <c r="J4166" i="7"/>
  <c r="J4167" i="7"/>
  <c r="J4168" i="7"/>
  <c r="J4169" i="7"/>
  <c r="J4170" i="7"/>
  <c r="J4171" i="7"/>
  <c r="J4172" i="7"/>
  <c r="J4173" i="7"/>
  <c r="J4174" i="7"/>
  <c r="J4175" i="7"/>
  <c r="J4176" i="7"/>
  <c r="J4177" i="7"/>
  <c r="J4178" i="7"/>
  <c r="J4179" i="7"/>
  <c r="J4180" i="7"/>
  <c r="J4181" i="7"/>
  <c r="J4182" i="7"/>
  <c r="J4183" i="7"/>
  <c r="J4184" i="7"/>
  <c r="J4185" i="7"/>
  <c r="J4186" i="7"/>
  <c r="J4187" i="7"/>
  <c r="J4188" i="7"/>
  <c r="J4189" i="7"/>
  <c r="J4190" i="7"/>
  <c r="J4191" i="7"/>
  <c r="J4192" i="7"/>
  <c r="J4193" i="7"/>
  <c r="J4194" i="7"/>
  <c r="J4195" i="7"/>
  <c r="J4196" i="7"/>
  <c r="J4197" i="7"/>
  <c r="J4198" i="7"/>
  <c r="J4199" i="7"/>
  <c r="J4200" i="7"/>
  <c r="J4201" i="7"/>
  <c r="J4202" i="7"/>
  <c r="J4203" i="7"/>
  <c r="J4204" i="7"/>
  <c r="J4205" i="7"/>
  <c r="J4206" i="7"/>
  <c r="J4207" i="7"/>
  <c r="J4208" i="7"/>
  <c r="J4209" i="7"/>
  <c r="J4210" i="7"/>
  <c r="J4211" i="7"/>
  <c r="J4212" i="7"/>
  <c r="J4213" i="7"/>
  <c r="J4214" i="7"/>
  <c r="J4215" i="7"/>
  <c r="J4216" i="7"/>
  <c r="J4217" i="7"/>
  <c r="J4218" i="7"/>
  <c r="J4219" i="7"/>
  <c r="J4220" i="7"/>
  <c r="J4221" i="7"/>
  <c r="J4222" i="7"/>
  <c r="J4223" i="7"/>
  <c r="J4224" i="7"/>
  <c r="J4225" i="7"/>
  <c r="J4226" i="7"/>
  <c r="J4227" i="7"/>
  <c r="J4228" i="7"/>
  <c r="J4229" i="7"/>
  <c r="J4230" i="7"/>
  <c r="J4231" i="7"/>
  <c r="J4232" i="7"/>
  <c r="J4233" i="7"/>
  <c r="J4234" i="7"/>
  <c r="J4235" i="7"/>
  <c r="J4236" i="7"/>
  <c r="J4237" i="7"/>
  <c r="J4238" i="7"/>
  <c r="J4239" i="7"/>
  <c r="J4240" i="7"/>
  <c r="J4241" i="7"/>
  <c r="J4242" i="7"/>
  <c r="J4243" i="7"/>
  <c r="J4244" i="7"/>
  <c r="J4245" i="7"/>
  <c r="J4246" i="7"/>
  <c r="J4247" i="7"/>
  <c r="J4248" i="7"/>
  <c r="J4249" i="7"/>
  <c r="J4250" i="7"/>
  <c r="J4251" i="7"/>
  <c r="J4252" i="7"/>
  <c r="J4253" i="7"/>
  <c r="J4254" i="7"/>
  <c r="J4255" i="7"/>
  <c r="J4256" i="7"/>
  <c r="J4257" i="7"/>
  <c r="J4258" i="7"/>
  <c r="J4259" i="7"/>
  <c r="J4260" i="7"/>
  <c r="J4261" i="7"/>
  <c r="J4262" i="7"/>
  <c r="J4263" i="7"/>
  <c r="J4264" i="7"/>
  <c r="J4265" i="7"/>
  <c r="J4266" i="7"/>
  <c r="J4267" i="7"/>
  <c r="J4268" i="7"/>
  <c r="J4269" i="7"/>
  <c r="J4270" i="7"/>
  <c r="J4271" i="7"/>
  <c r="J4272" i="7"/>
  <c r="J4273" i="7"/>
  <c r="J4274" i="7"/>
  <c r="J4275" i="7"/>
  <c r="J4276" i="7"/>
  <c r="J4277" i="7"/>
  <c r="J4278" i="7"/>
  <c r="J4279" i="7"/>
  <c r="J4280" i="7"/>
  <c r="J4281" i="7"/>
  <c r="J4282" i="7"/>
  <c r="J4283" i="7"/>
  <c r="J4284" i="7"/>
  <c r="J4285" i="7"/>
  <c r="J4286" i="7"/>
  <c r="J4287" i="7"/>
  <c r="J4288" i="7"/>
  <c r="J4289" i="7"/>
  <c r="J4290" i="7"/>
  <c r="J4291" i="7"/>
  <c r="J4292" i="7"/>
  <c r="J4293" i="7"/>
  <c r="J4294" i="7"/>
  <c r="J4295" i="7"/>
  <c r="J4296" i="7"/>
  <c r="J4297" i="7"/>
  <c r="J4298" i="7"/>
  <c r="J4299" i="7"/>
  <c r="J4300" i="7"/>
  <c r="J4301" i="7"/>
  <c r="J4302" i="7"/>
  <c r="J4303" i="7"/>
  <c r="J4304" i="7"/>
  <c r="J4305" i="7"/>
  <c r="J4306" i="7"/>
  <c r="J4307" i="7"/>
  <c r="J4308" i="7"/>
  <c r="J4309" i="7"/>
  <c r="J4310" i="7"/>
  <c r="J4311" i="7"/>
  <c r="J4312" i="7"/>
  <c r="J4313" i="7"/>
  <c r="J4314" i="7"/>
  <c r="J4315" i="7"/>
  <c r="J4316" i="7"/>
  <c r="J4317" i="7"/>
  <c r="J4318" i="7"/>
  <c r="J4319" i="7"/>
  <c r="J4320" i="7"/>
  <c r="J4321" i="7"/>
  <c r="J4322" i="7"/>
  <c r="J4323" i="7"/>
  <c r="J4324" i="7"/>
  <c r="J4325" i="7"/>
  <c r="J4326" i="7"/>
  <c r="J4327" i="7"/>
  <c r="J4328" i="7"/>
  <c r="J4329" i="7"/>
  <c r="J4330" i="7"/>
  <c r="J4331" i="7"/>
  <c r="J4332" i="7"/>
  <c r="J4333" i="7"/>
  <c r="J4334" i="7"/>
  <c r="J4335" i="7"/>
  <c r="J4336" i="7"/>
  <c r="J4337" i="7"/>
  <c r="J4338" i="7"/>
  <c r="J4339" i="7"/>
  <c r="J4340" i="7"/>
  <c r="J4341" i="7"/>
  <c r="J4342" i="7"/>
  <c r="J4343" i="7"/>
  <c r="J4344" i="7"/>
  <c r="J4345" i="7"/>
  <c r="J4346" i="7"/>
  <c r="J4347" i="7"/>
  <c r="J4348" i="7"/>
  <c r="J4349" i="7"/>
  <c r="J4350" i="7"/>
  <c r="J4351" i="7"/>
  <c r="J4352" i="7"/>
  <c r="J4353" i="7"/>
  <c r="J4354" i="7"/>
  <c r="J4355" i="7"/>
  <c r="J4356" i="7"/>
  <c r="J4357" i="7"/>
  <c r="J4358" i="7"/>
  <c r="J4359" i="7"/>
  <c r="J4360" i="7"/>
  <c r="J4361" i="7"/>
  <c r="J4362" i="7"/>
  <c r="J4363" i="7"/>
  <c r="J4364" i="7"/>
  <c r="J4365" i="7"/>
  <c r="J4366" i="7"/>
  <c r="J4367" i="7"/>
  <c r="J4368" i="7"/>
  <c r="J4369" i="7"/>
  <c r="J4370" i="7"/>
  <c r="J4371" i="7"/>
  <c r="J4372" i="7"/>
  <c r="J4373" i="7"/>
  <c r="J4374" i="7"/>
  <c r="J4375" i="7"/>
  <c r="J4376" i="7"/>
  <c r="J4377" i="7"/>
  <c r="J4378" i="7"/>
  <c r="J4379" i="7"/>
  <c r="J4380" i="7"/>
  <c r="J4381" i="7"/>
  <c r="J4382" i="7"/>
  <c r="J4383" i="7"/>
  <c r="J4384" i="7"/>
  <c r="J4385" i="7"/>
  <c r="J4386" i="7"/>
  <c r="J4387" i="7"/>
  <c r="J4388" i="7"/>
  <c r="J4389" i="7"/>
  <c r="J4390" i="7"/>
  <c r="J4391" i="7"/>
  <c r="J4392" i="7"/>
  <c r="J4393" i="7"/>
  <c r="J4394" i="7"/>
  <c r="J4395" i="7"/>
  <c r="J4396" i="7"/>
  <c r="J4397" i="7"/>
  <c r="J4398" i="7"/>
  <c r="J4399" i="7"/>
  <c r="J4400" i="7"/>
  <c r="J4401" i="7"/>
  <c r="J4402" i="7"/>
  <c r="J4403" i="7"/>
  <c r="J4404" i="7"/>
  <c r="J4405" i="7"/>
  <c r="J4406" i="7"/>
  <c r="J4407" i="7"/>
  <c r="J4408" i="7"/>
  <c r="J4409" i="7"/>
  <c r="J4410" i="7"/>
  <c r="J4411" i="7"/>
  <c r="J4412" i="7"/>
  <c r="J4413" i="7"/>
  <c r="J4414" i="7"/>
  <c r="J4415" i="7"/>
  <c r="J4416" i="7"/>
  <c r="J4417" i="7"/>
  <c r="J4418" i="7"/>
  <c r="J4419" i="7"/>
  <c r="J4420" i="7"/>
  <c r="J4421" i="7"/>
  <c r="J4422" i="7"/>
  <c r="J4423" i="7"/>
  <c r="J4424" i="7"/>
  <c r="J4425" i="7"/>
  <c r="J4426" i="7"/>
  <c r="J4427" i="7"/>
  <c r="J4428" i="7"/>
  <c r="J4429" i="7"/>
  <c r="J4430" i="7"/>
  <c r="J4431" i="7"/>
  <c r="J4432" i="7"/>
  <c r="J4433" i="7"/>
  <c r="J4434" i="7"/>
  <c r="J4435" i="7"/>
  <c r="J4436" i="7"/>
  <c r="J4437" i="7"/>
  <c r="J4438" i="7"/>
  <c r="J4439" i="7"/>
  <c r="J4440" i="7"/>
  <c r="J4441" i="7"/>
  <c r="J4442" i="7"/>
  <c r="J4443" i="7"/>
  <c r="J4444" i="7"/>
  <c r="J4445" i="7"/>
  <c r="J4446" i="7"/>
  <c r="J4447" i="7"/>
  <c r="J4448" i="7"/>
  <c r="J4449" i="7"/>
  <c r="J4450" i="7"/>
  <c r="J4451" i="7"/>
  <c r="J4452" i="7"/>
  <c r="J4453" i="7"/>
  <c r="J4454" i="7"/>
  <c r="J4455" i="7"/>
  <c r="J4456" i="7"/>
  <c r="J4457" i="7"/>
  <c r="J4458" i="7"/>
  <c r="J4459" i="7"/>
  <c r="J4460" i="7"/>
  <c r="J4461" i="7"/>
  <c r="J4462" i="7"/>
  <c r="J4463" i="7"/>
  <c r="J4464" i="7"/>
  <c r="J4465" i="7"/>
  <c r="J4466" i="7"/>
  <c r="J4467" i="7"/>
  <c r="J4468" i="7"/>
  <c r="J4469" i="7"/>
  <c r="J4470" i="7"/>
  <c r="J4471" i="7"/>
  <c r="J4472" i="7"/>
  <c r="J4473" i="7"/>
  <c r="J4474" i="7"/>
  <c r="J4475" i="7"/>
  <c r="J4476" i="7"/>
  <c r="J4477" i="7"/>
  <c r="J4478" i="7"/>
  <c r="J4479" i="7"/>
  <c r="J4480" i="7"/>
  <c r="J4481" i="7"/>
  <c r="J4482" i="7"/>
  <c r="J4483" i="7"/>
  <c r="J4484" i="7"/>
  <c r="J4485" i="7"/>
  <c r="J4486" i="7"/>
  <c r="J4487" i="7"/>
  <c r="J4488" i="7"/>
  <c r="J4489" i="7"/>
  <c r="J4490" i="7"/>
  <c r="J4491" i="7"/>
  <c r="J4492" i="7"/>
  <c r="J4493" i="7"/>
  <c r="J4494" i="7"/>
  <c r="J4495" i="7"/>
  <c r="J4496" i="7"/>
  <c r="J4497" i="7"/>
  <c r="J4498" i="7"/>
  <c r="J4499" i="7"/>
  <c r="J4500" i="7"/>
  <c r="J4501" i="7"/>
  <c r="J4502" i="7"/>
  <c r="J4503" i="7"/>
  <c r="J4504" i="7"/>
  <c r="J4505" i="7"/>
  <c r="J4506" i="7"/>
  <c r="J4507" i="7"/>
  <c r="J4508" i="7"/>
  <c r="J4509" i="7"/>
  <c r="J4510" i="7"/>
  <c r="J4511" i="7"/>
  <c r="J4512" i="7"/>
  <c r="J4513" i="7"/>
  <c r="J4514" i="7"/>
  <c r="J4515" i="7"/>
  <c r="J4516" i="7"/>
  <c r="J4517" i="7"/>
  <c r="J4518" i="7"/>
  <c r="J4519" i="7"/>
  <c r="J4520" i="7"/>
  <c r="J4521" i="7"/>
  <c r="J4522" i="7"/>
  <c r="J4523" i="7"/>
  <c r="J4524" i="7"/>
  <c r="J4525" i="7"/>
  <c r="J4526" i="7"/>
  <c r="J4527" i="7"/>
  <c r="J4528" i="7"/>
  <c r="J4529" i="7"/>
  <c r="J4530" i="7"/>
  <c r="J4531" i="7"/>
  <c r="J4532" i="7"/>
  <c r="J4533" i="7"/>
  <c r="J4534" i="7"/>
  <c r="J4535" i="7"/>
  <c r="J4536" i="7"/>
  <c r="J4537" i="7"/>
  <c r="J4538" i="7"/>
  <c r="J4539" i="7"/>
  <c r="J4540" i="7"/>
  <c r="J4541" i="7"/>
  <c r="J4542" i="7"/>
  <c r="J4543" i="7"/>
  <c r="J4544" i="7"/>
  <c r="J4545" i="7"/>
  <c r="J4546" i="7"/>
  <c r="J4547" i="7"/>
  <c r="J4548" i="7"/>
  <c r="J4549" i="7"/>
  <c r="J4550" i="7"/>
  <c r="J4551" i="7"/>
  <c r="J4552" i="7"/>
  <c r="J4553" i="7"/>
  <c r="J4554" i="7"/>
  <c r="J4555" i="7"/>
  <c r="J4556" i="7"/>
  <c r="J4557" i="7"/>
  <c r="J4558" i="7"/>
  <c r="J4559" i="7"/>
  <c r="J4560" i="7"/>
  <c r="J4561" i="7"/>
  <c r="J4562" i="7"/>
  <c r="J4563" i="7"/>
  <c r="J4564" i="7"/>
  <c r="J4565" i="7"/>
  <c r="J4566" i="7"/>
  <c r="J4567" i="7"/>
  <c r="J4568" i="7"/>
  <c r="J4569" i="7"/>
  <c r="J4570" i="7"/>
  <c r="J4571" i="7"/>
  <c r="J4572" i="7"/>
  <c r="J4573" i="7"/>
  <c r="J4574" i="7"/>
  <c r="J4575" i="7"/>
  <c r="J4576" i="7"/>
  <c r="J4577" i="7"/>
  <c r="J4578" i="7"/>
  <c r="J4579" i="7"/>
  <c r="J4580" i="7"/>
  <c r="J4581" i="7"/>
  <c r="J4582" i="7"/>
  <c r="J4583" i="7"/>
  <c r="J4584" i="7"/>
  <c r="J4585" i="7"/>
  <c r="J4586" i="7"/>
  <c r="J4587" i="7"/>
  <c r="J4588" i="7"/>
  <c r="J4589" i="7"/>
  <c r="J4590" i="7"/>
  <c r="J4591" i="7"/>
  <c r="J4592" i="7"/>
  <c r="J4593" i="7"/>
  <c r="J4594" i="7"/>
  <c r="J4595" i="7"/>
  <c r="J4596" i="7"/>
  <c r="J4597" i="7"/>
  <c r="J4598" i="7"/>
  <c r="J4599" i="7"/>
  <c r="J4600" i="7"/>
  <c r="J4601" i="7"/>
  <c r="J4602" i="7"/>
  <c r="J4603" i="7"/>
  <c r="J4604" i="7"/>
  <c r="J4605" i="7"/>
  <c r="J4606" i="7"/>
  <c r="J4607" i="7"/>
  <c r="J4608" i="7"/>
  <c r="J4609" i="7"/>
  <c r="J4610" i="7"/>
  <c r="J4611" i="7"/>
  <c r="J4612" i="7"/>
  <c r="J4613" i="7"/>
  <c r="J4614" i="7"/>
  <c r="J4615" i="7"/>
  <c r="J4616" i="7"/>
  <c r="J4617" i="7"/>
  <c r="J4618" i="7"/>
  <c r="J4619" i="7"/>
  <c r="J4620" i="7"/>
  <c r="J4621" i="7"/>
  <c r="J4622" i="7"/>
  <c r="J4623" i="7"/>
  <c r="J4624" i="7"/>
  <c r="J4625" i="7"/>
  <c r="J4626" i="7"/>
  <c r="J4627" i="7"/>
  <c r="J4628" i="7"/>
  <c r="J4629" i="7"/>
  <c r="J4630" i="7"/>
  <c r="J4631" i="7"/>
  <c r="J4632" i="7"/>
  <c r="J4633" i="7"/>
  <c r="J4634" i="7"/>
  <c r="J4635" i="7"/>
  <c r="J4636" i="7"/>
  <c r="J4637" i="7"/>
  <c r="J4638" i="7"/>
  <c r="J4639" i="7"/>
  <c r="J4640" i="7"/>
  <c r="J4641" i="7"/>
  <c r="J4642" i="7"/>
  <c r="J4643" i="7"/>
  <c r="J4644" i="7"/>
  <c r="J4645" i="7"/>
  <c r="J4646" i="7"/>
  <c r="J4647" i="7"/>
  <c r="J4648" i="7"/>
  <c r="J4649" i="7"/>
  <c r="J4650" i="7"/>
  <c r="J4651" i="7"/>
  <c r="J4652" i="7"/>
  <c r="J4653" i="7"/>
  <c r="J4654" i="7"/>
  <c r="J4655" i="7"/>
  <c r="J4656" i="7"/>
  <c r="J4657" i="7"/>
  <c r="J4658" i="7"/>
  <c r="J4659" i="7"/>
  <c r="J4660" i="7"/>
  <c r="J4661" i="7"/>
  <c r="J4662" i="7"/>
  <c r="J4663" i="7"/>
  <c r="J4664" i="7"/>
  <c r="J4665" i="7"/>
  <c r="J4666" i="7"/>
  <c r="J4667" i="7"/>
  <c r="J4668" i="7"/>
  <c r="J4669" i="7"/>
  <c r="J4670" i="7"/>
  <c r="J4671" i="7"/>
  <c r="J4672" i="7"/>
  <c r="J4673" i="7"/>
  <c r="J4674" i="7"/>
  <c r="J4675" i="7"/>
  <c r="J4676" i="7"/>
  <c r="J4677" i="7"/>
  <c r="J4678" i="7"/>
  <c r="J4679" i="7"/>
  <c r="J4680" i="7"/>
  <c r="J4681" i="7"/>
  <c r="J4682" i="7"/>
  <c r="J4683" i="7"/>
  <c r="J4684" i="7"/>
  <c r="J4685" i="7"/>
  <c r="J4686" i="7"/>
  <c r="J4687" i="7"/>
  <c r="J4688" i="7"/>
  <c r="J4689" i="7"/>
  <c r="J4690" i="7"/>
  <c r="J4691" i="7"/>
  <c r="J4692" i="7"/>
  <c r="J4693" i="7"/>
  <c r="J4694" i="7"/>
  <c r="J4695" i="7"/>
  <c r="J4696" i="7"/>
  <c r="J4697" i="7"/>
  <c r="J4698" i="7"/>
  <c r="J4699" i="7"/>
  <c r="J4700" i="7"/>
  <c r="J4701" i="7"/>
  <c r="J4702" i="7"/>
  <c r="J4703" i="7"/>
  <c r="J4704" i="7"/>
  <c r="J4705" i="7"/>
  <c r="J4706" i="7"/>
  <c r="J4707" i="7"/>
  <c r="J4708" i="7"/>
  <c r="J4709" i="7"/>
  <c r="J4710" i="7"/>
  <c r="J4711" i="7"/>
  <c r="J4712" i="7"/>
  <c r="J4713" i="7"/>
  <c r="J4714" i="7"/>
  <c r="J4715" i="7"/>
  <c r="J4716" i="7"/>
  <c r="J4717" i="7"/>
  <c r="J4718" i="7"/>
  <c r="J4719" i="7"/>
  <c r="J4720" i="7"/>
  <c r="J4721" i="7"/>
  <c r="J4722" i="7"/>
  <c r="J4723" i="7"/>
  <c r="J4724" i="7"/>
  <c r="J4725" i="7"/>
  <c r="J4726" i="7"/>
  <c r="J4727" i="7"/>
  <c r="J4728" i="7"/>
  <c r="J4729" i="7"/>
  <c r="J4730" i="7"/>
  <c r="J4731" i="7"/>
  <c r="J4732" i="7"/>
  <c r="J4733" i="7"/>
  <c r="J4734" i="7"/>
  <c r="J4735" i="7"/>
  <c r="J4736" i="7"/>
  <c r="J4737" i="7"/>
  <c r="J4738" i="7"/>
  <c r="J4739" i="7"/>
  <c r="J4740" i="7"/>
  <c r="J4741" i="7"/>
  <c r="J4742" i="7"/>
  <c r="J4743" i="7"/>
  <c r="J4744" i="7"/>
  <c r="J4745" i="7"/>
  <c r="J4746" i="7"/>
  <c r="J4747" i="7"/>
  <c r="J4748" i="7"/>
  <c r="J4749" i="7"/>
  <c r="J4750" i="7"/>
  <c r="J4751" i="7"/>
  <c r="J4752" i="7"/>
  <c r="J4753" i="7"/>
  <c r="J4754" i="7"/>
  <c r="J4755" i="7"/>
  <c r="J4756" i="7"/>
  <c r="J4757" i="7"/>
  <c r="J4758" i="7"/>
  <c r="J4759" i="7"/>
  <c r="J4760" i="7"/>
  <c r="J4761" i="7"/>
  <c r="J4762" i="7"/>
  <c r="J4763" i="7"/>
  <c r="J4764" i="7"/>
  <c r="J4765" i="7"/>
  <c r="J4766" i="7"/>
  <c r="J4767" i="7"/>
  <c r="J4768" i="7"/>
  <c r="J4769" i="7"/>
  <c r="J4770" i="7"/>
  <c r="J4771" i="7"/>
  <c r="J4772" i="7"/>
  <c r="J4773" i="7"/>
  <c r="J4774" i="7"/>
  <c r="J4775" i="7"/>
  <c r="J4776" i="7"/>
  <c r="J4777" i="7"/>
  <c r="J4778" i="7"/>
  <c r="J4779" i="7"/>
  <c r="J4780" i="7"/>
  <c r="J4781" i="7"/>
  <c r="J4782" i="7"/>
  <c r="J4783" i="7"/>
  <c r="J4784" i="7"/>
  <c r="J4785" i="7"/>
  <c r="J4786" i="7"/>
  <c r="J4787" i="7"/>
  <c r="J4788" i="7"/>
  <c r="J4789" i="7"/>
  <c r="J4790" i="7"/>
  <c r="J4791" i="7"/>
  <c r="J4792" i="7"/>
  <c r="J4793" i="7"/>
  <c r="J4794" i="7"/>
  <c r="J4795" i="7"/>
  <c r="J4796" i="7"/>
  <c r="J4797" i="7"/>
  <c r="J4798" i="7"/>
  <c r="J4799" i="7"/>
  <c r="J4800" i="7"/>
  <c r="J4801" i="7"/>
  <c r="J4802" i="7"/>
  <c r="J4803" i="7"/>
  <c r="J4804" i="7"/>
  <c r="J4805" i="7"/>
  <c r="J4806" i="7"/>
  <c r="J4807" i="7"/>
  <c r="J4808" i="7"/>
  <c r="J4809" i="7"/>
  <c r="J4810" i="7"/>
  <c r="J4811" i="7"/>
  <c r="J4812" i="7"/>
  <c r="J4813" i="7"/>
  <c r="J4814" i="7"/>
  <c r="J4815" i="7"/>
  <c r="J4816" i="7"/>
  <c r="J4817" i="7"/>
  <c r="J4818" i="7"/>
  <c r="J4819" i="7"/>
  <c r="J4820" i="7"/>
  <c r="J4821" i="7"/>
  <c r="J4822" i="7"/>
  <c r="J4823" i="7"/>
  <c r="J4824" i="7"/>
  <c r="J4825" i="7"/>
  <c r="J4826" i="7"/>
  <c r="J4827" i="7"/>
  <c r="J4828" i="7"/>
  <c r="J4829" i="7"/>
  <c r="J4830" i="7"/>
  <c r="J4831" i="7"/>
  <c r="J4832" i="7"/>
  <c r="J4833" i="7"/>
  <c r="J4834" i="7"/>
  <c r="J4835" i="7"/>
  <c r="J4836" i="7"/>
  <c r="J4837" i="7"/>
  <c r="J4838" i="7"/>
  <c r="J4839" i="7"/>
  <c r="J4840" i="7"/>
  <c r="J4841" i="7"/>
  <c r="J4842" i="7"/>
  <c r="J4843" i="7"/>
  <c r="J4844" i="7"/>
  <c r="J4845" i="7"/>
  <c r="J4846" i="7"/>
  <c r="J4847" i="7"/>
  <c r="J4848" i="7"/>
  <c r="J4849" i="7"/>
  <c r="J4850" i="7"/>
  <c r="J4851" i="7"/>
  <c r="J4852" i="7"/>
  <c r="J4853" i="7"/>
  <c r="J4854" i="7"/>
  <c r="J4855" i="7"/>
  <c r="J4856" i="7"/>
  <c r="J4857" i="7"/>
  <c r="J4858" i="7"/>
  <c r="J4859" i="7"/>
  <c r="J4860" i="7"/>
  <c r="J4861" i="7"/>
  <c r="J4862" i="7"/>
  <c r="J4863" i="7"/>
  <c r="J4864" i="7"/>
  <c r="J4865" i="7"/>
  <c r="J4866" i="7"/>
  <c r="J4867" i="7"/>
  <c r="J4868" i="7"/>
  <c r="J4869" i="7"/>
  <c r="J4870" i="7"/>
  <c r="J4871" i="7"/>
  <c r="J4872" i="7"/>
  <c r="J4873" i="7"/>
  <c r="J4874" i="7"/>
  <c r="J4875" i="7"/>
  <c r="J4876" i="7"/>
  <c r="J4877" i="7"/>
  <c r="J4878" i="7"/>
  <c r="J4879" i="7"/>
  <c r="J4880" i="7"/>
  <c r="J4881" i="7"/>
  <c r="J4882" i="7"/>
  <c r="J4883" i="7"/>
  <c r="J4884" i="7"/>
  <c r="J4885" i="7"/>
  <c r="J4886" i="7"/>
  <c r="J4887" i="7"/>
  <c r="J4888" i="7"/>
  <c r="J4889" i="7"/>
  <c r="J4890" i="7"/>
  <c r="J4891" i="7"/>
  <c r="J4892" i="7"/>
  <c r="J4893" i="7"/>
  <c r="J4894" i="7"/>
  <c r="J4895" i="7"/>
  <c r="J4896" i="7"/>
  <c r="J4897" i="7"/>
  <c r="J4898" i="7"/>
  <c r="J4899" i="7"/>
  <c r="J4900" i="7"/>
  <c r="J4901" i="7"/>
  <c r="J4902" i="7"/>
  <c r="J4903" i="7"/>
  <c r="J4904" i="7"/>
  <c r="J4905" i="7"/>
  <c r="J4906" i="7"/>
  <c r="J4907" i="7"/>
  <c r="J4908" i="7"/>
  <c r="J4909" i="7"/>
  <c r="J4910" i="7"/>
  <c r="J4911" i="7"/>
  <c r="J4912" i="7"/>
  <c r="J4913" i="7"/>
  <c r="J4914" i="7"/>
  <c r="J4915" i="7"/>
  <c r="J4916" i="7"/>
  <c r="J4917" i="7"/>
  <c r="J4918" i="7"/>
  <c r="J4919" i="7"/>
  <c r="J4920" i="7"/>
  <c r="J4921" i="7"/>
  <c r="J4922" i="7"/>
  <c r="J4923" i="7"/>
  <c r="J4924" i="7"/>
  <c r="J4925" i="7"/>
  <c r="J4926" i="7"/>
  <c r="J4927" i="7"/>
  <c r="J4928" i="7"/>
  <c r="J4929" i="7"/>
  <c r="J4930" i="7"/>
  <c r="J4931" i="7"/>
  <c r="J4932" i="7"/>
  <c r="J4933" i="7"/>
  <c r="J4934" i="7"/>
  <c r="J4935" i="7"/>
  <c r="J4936" i="7"/>
  <c r="J4937" i="7"/>
  <c r="J4938" i="7"/>
  <c r="J4939" i="7"/>
  <c r="J4940" i="7"/>
  <c r="J4941" i="7"/>
  <c r="J4942" i="7"/>
  <c r="J4943" i="7"/>
  <c r="J4944" i="7"/>
  <c r="J4945" i="7"/>
  <c r="J4946" i="7"/>
  <c r="J4947" i="7"/>
  <c r="J4948" i="7"/>
  <c r="J4949" i="7"/>
  <c r="J4950" i="7"/>
  <c r="J4951" i="7"/>
  <c r="J4952" i="7"/>
  <c r="J4953" i="7"/>
  <c r="J4954" i="7"/>
  <c r="J4955" i="7"/>
  <c r="J4956" i="7"/>
  <c r="J4957" i="7"/>
  <c r="J4958" i="7"/>
  <c r="J4959" i="7"/>
  <c r="J4960" i="7"/>
  <c r="J4961" i="7"/>
  <c r="J4962" i="7"/>
  <c r="J4963" i="7"/>
  <c r="J4964" i="7"/>
  <c r="J4965" i="7"/>
  <c r="J4966" i="7"/>
  <c r="J4967" i="7"/>
  <c r="J4968" i="7"/>
  <c r="J4969" i="7"/>
  <c r="J4970" i="7"/>
  <c r="J4971" i="7"/>
  <c r="J4972" i="7"/>
  <c r="J4973" i="7"/>
  <c r="J4974" i="7"/>
  <c r="J4975" i="7"/>
  <c r="J4976" i="7"/>
  <c r="J4977" i="7"/>
  <c r="J4978" i="7"/>
  <c r="J4979" i="7"/>
  <c r="J4980" i="7"/>
  <c r="J4981" i="7"/>
  <c r="J4982" i="7"/>
  <c r="J4983" i="7"/>
  <c r="J4984" i="7"/>
  <c r="J4985" i="7"/>
  <c r="J4986" i="7"/>
  <c r="J4987" i="7"/>
  <c r="J4988" i="7"/>
  <c r="J4989" i="7"/>
  <c r="J4990" i="7"/>
  <c r="J4991" i="7"/>
  <c r="J4992" i="7"/>
  <c r="J4993" i="7"/>
  <c r="J4994" i="7"/>
  <c r="J4995" i="7"/>
  <c r="J4996" i="7"/>
  <c r="J4997" i="7"/>
  <c r="J4998" i="7"/>
  <c r="J4999" i="7"/>
  <c r="J5000" i="7"/>
  <c r="J5001" i="7"/>
  <c r="J5002" i="7"/>
  <c r="J5003" i="7"/>
  <c r="J5004" i="7"/>
  <c r="J5005" i="7"/>
  <c r="J5006" i="7"/>
  <c r="J5007" i="7"/>
  <c r="J5008" i="7"/>
  <c r="J5009" i="7"/>
  <c r="J5010" i="7"/>
  <c r="J5011" i="7"/>
  <c r="J5012" i="7"/>
  <c r="J5013" i="7"/>
  <c r="J5014" i="7"/>
  <c r="J5015" i="7"/>
  <c r="J5016" i="7"/>
  <c r="J5017" i="7"/>
  <c r="J5018" i="7"/>
  <c r="J5019" i="7"/>
  <c r="J5020" i="7"/>
  <c r="J5021" i="7"/>
  <c r="J5022" i="7"/>
  <c r="J5023" i="7"/>
  <c r="J5024" i="7"/>
  <c r="J5025" i="7"/>
  <c r="J5026" i="7"/>
  <c r="J5027" i="7"/>
  <c r="J5028" i="7"/>
  <c r="J5029" i="7"/>
  <c r="J5030" i="7"/>
  <c r="J5031" i="7"/>
  <c r="J5032" i="7"/>
  <c r="J5033" i="7"/>
  <c r="J5034" i="7"/>
  <c r="J5035" i="7"/>
  <c r="J5036" i="7"/>
  <c r="J5037" i="7"/>
  <c r="J5038" i="7"/>
  <c r="J5039" i="7"/>
  <c r="J5040" i="7"/>
  <c r="J5041" i="7"/>
  <c r="J5042" i="7"/>
  <c r="J5043" i="7"/>
  <c r="J5044" i="7"/>
  <c r="J5045" i="7"/>
  <c r="J5046" i="7"/>
  <c r="J5047" i="7"/>
  <c r="J5048" i="7"/>
  <c r="J5049" i="7"/>
  <c r="J5050" i="7"/>
  <c r="J5051" i="7"/>
  <c r="J5052" i="7"/>
  <c r="J5053" i="7"/>
  <c r="J5054" i="7"/>
  <c r="J5055" i="7"/>
  <c r="J5056" i="7"/>
  <c r="J5057" i="7"/>
  <c r="J5058" i="7"/>
  <c r="J5059" i="7"/>
  <c r="J5060" i="7"/>
  <c r="J5061" i="7"/>
  <c r="J5062" i="7"/>
  <c r="J5063" i="7"/>
  <c r="J5064" i="7"/>
  <c r="J5065" i="7"/>
  <c r="J5066" i="7"/>
  <c r="J5067" i="7"/>
  <c r="J5068" i="7"/>
  <c r="J5069" i="7"/>
  <c r="J5070" i="7"/>
  <c r="J5071" i="7"/>
  <c r="J5072" i="7"/>
  <c r="J5073" i="7"/>
  <c r="J5074" i="7"/>
  <c r="J5075" i="7"/>
  <c r="J5076" i="7"/>
  <c r="J5077" i="7"/>
  <c r="J5078" i="7"/>
  <c r="J5079" i="7"/>
  <c r="J5080" i="7"/>
  <c r="J5081" i="7"/>
  <c r="J5082" i="7"/>
  <c r="J5083" i="7"/>
  <c r="J5084" i="7"/>
  <c r="J5085" i="7"/>
  <c r="J5086" i="7"/>
  <c r="J5087" i="7"/>
  <c r="J5088" i="7"/>
  <c r="J5089" i="7"/>
  <c r="J5090" i="7"/>
  <c r="J5091" i="7"/>
  <c r="J5092" i="7"/>
  <c r="J5093" i="7"/>
  <c r="J5094" i="7"/>
  <c r="J5095" i="7"/>
  <c r="J5096" i="7"/>
  <c r="J5097" i="7"/>
  <c r="J5098" i="7"/>
  <c r="J5099" i="7"/>
  <c r="J5100" i="7"/>
  <c r="J5101" i="7"/>
  <c r="J5102" i="7"/>
  <c r="J5103" i="7"/>
  <c r="J5104" i="7"/>
  <c r="J5105" i="7"/>
  <c r="J5106" i="7"/>
  <c r="J5107" i="7"/>
  <c r="J5108" i="7"/>
  <c r="J5109" i="7"/>
  <c r="J5110" i="7"/>
  <c r="J5111" i="7"/>
  <c r="J5112" i="7"/>
  <c r="J5113" i="7"/>
  <c r="J5114" i="7"/>
  <c r="J5115" i="7"/>
  <c r="J5116" i="7"/>
  <c r="J5117" i="7"/>
  <c r="J5118" i="7"/>
  <c r="J5119" i="7"/>
  <c r="J5120" i="7"/>
  <c r="J5121" i="7"/>
  <c r="J5122" i="7"/>
  <c r="J5123" i="7"/>
  <c r="J5124" i="7"/>
  <c r="J5125" i="7"/>
  <c r="J5126" i="7"/>
  <c r="J5127" i="7"/>
  <c r="J5128" i="7"/>
  <c r="J5129" i="7"/>
  <c r="J5130" i="7"/>
  <c r="J5131" i="7"/>
  <c r="J5132" i="7"/>
  <c r="J5133" i="7"/>
  <c r="J5134" i="7"/>
  <c r="J5135" i="7"/>
  <c r="J5136" i="7"/>
  <c r="J5137" i="7"/>
  <c r="J5138" i="7"/>
  <c r="J5139" i="7"/>
  <c r="J5140" i="7"/>
  <c r="J5141" i="7"/>
  <c r="J5142" i="7"/>
  <c r="J5143" i="7"/>
  <c r="J5144" i="7"/>
  <c r="J5145" i="7"/>
  <c r="J5146" i="7"/>
  <c r="J5147" i="7"/>
  <c r="J5148" i="7"/>
  <c r="J5149" i="7"/>
  <c r="J5150" i="7"/>
  <c r="J5151" i="7"/>
  <c r="J5152" i="7"/>
  <c r="J5153" i="7"/>
  <c r="J5154" i="7"/>
  <c r="J5155" i="7"/>
  <c r="J5156" i="7"/>
  <c r="J5157" i="7"/>
  <c r="J5158" i="7"/>
  <c r="J5159" i="7"/>
  <c r="J5160" i="7"/>
  <c r="J5161" i="7"/>
  <c r="J5162" i="7"/>
  <c r="J5163" i="7"/>
  <c r="J5164" i="7"/>
  <c r="J5165" i="7"/>
  <c r="J5166" i="7"/>
  <c r="J5167" i="7"/>
  <c r="J5168" i="7"/>
  <c r="J5169" i="7"/>
  <c r="J5170" i="7"/>
  <c r="J5171" i="7"/>
  <c r="J5172" i="7"/>
  <c r="J5173" i="7"/>
  <c r="J5174" i="7"/>
  <c r="J5175" i="7"/>
  <c r="J5176" i="7"/>
  <c r="J5177" i="7"/>
  <c r="J5178" i="7"/>
  <c r="J5179" i="7"/>
  <c r="J5180" i="7"/>
  <c r="J5181" i="7"/>
  <c r="J5182" i="7"/>
  <c r="J5183" i="7"/>
  <c r="J5184" i="7"/>
  <c r="J5185" i="7"/>
  <c r="J5186" i="7"/>
  <c r="J5187" i="7"/>
  <c r="J5188" i="7"/>
  <c r="J5189" i="7"/>
  <c r="J5190" i="7"/>
  <c r="J5191" i="7"/>
  <c r="J5192" i="7"/>
  <c r="J5193" i="7"/>
  <c r="J5194" i="7"/>
  <c r="J5195" i="7"/>
  <c r="J5196" i="7"/>
  <c r="J5197" i="7"/>
  <c r="J5198" i="7"/>
  <c r="J5199" i="7"/>
  <c r="J5200" i="7"/>
  <c r="J5201" i="7"/>
  <c r="J5202" i="7"/>
  <c r="J5203" i="7"/>
  <c r="J5204" i="7"/>
  <c r="J5205" i="7"/>
  <c r="J5206" i="7"/>
  <c r="J5207" i="7"/>
  <c r="J5208" i="7"/>
  <c r="J5209" i="7"/>
  <c r="J5210" i="7"/>
  <c r="J5211" i="7"/>
  <c r="J5212" i="7"/>
  <c r="J5213" i="7"/>
  <c r="J5214" i="7"/>
  <c r="J5215" i="7"/>
  <c r="J5216" i="7"/>
  <c r="J5217" i="7"/>
  <c r="J5218" i="7"/>
  <c r="J5219" i="7"/>
  <c r="J5220" i="7"/>
  <c r="J5221" i="7"/>
  <c r="J5222" i="7"/>
  <c r="J5223" i="7"/>
  <c r="J5224" i="7"/>
  <c r="J5225" i="7"/>
  <c r="J5226" i="7"/>
  <c r="J5227" i="7"/>
  <c r="J5228" i="7"/>
  <c r="J5229" i="7"/>
  <c r="J5230" i="7"/>
  <c r="J5231" i="7"/>
  <c r="J5232" i="7"/>
  <c r="J5233" i="7"/>
  <c r="J5234" i="7"/>
  <c r="J5235" i="7"/>
  <c r="J5236" i="7"/>
  <c r="J5237" i="7"/>
  <c r="J5238" i="7"/>
  <c r="J5239" i="7"/>
  <c r="J5240" i="7"/>
  <c r="J5241" i="7"/>
  <c r="J5242" i="7"/>
  <c r="J5243" i="7"/>
  <c r="J5244" i="7"/>
  <c r="J5245" i="7"/>
  <c r="J5246" i="7"/>
  <c r="J5247" i="7"/>
  <c r="J5248" i="7"/>
  <c r="J5249" i="7"/>
  <c r="J5250" i="7"/>
  <c r="J5251" i="7"/>
  <c r="J5252" i="7"/>
  <c r="J5253" i="7"/>
  <c r="J5254" i="7"/>
  <c r="J5255" i="7"/>
  <c r="J5256" i="7"/>
  <c r="J5257" i="7"/>
  <c r="J5258" i="7"/>
  <c r="J5259" i="7"/>
  <c r="J5260" i="7"/>
  <c r="J5261" i="7"/>
  <c r="J5262" i="7"/>
  <c r="J5263" i="7"/>
  <c r="J5264" i="7"/>
  <c r="J5265" i="7"/>
  <c r="J5266" i="7"/>
  <c r="J5267" i="7"/>
  <c r="J5268" i="7"/>
  <c r="J5269" i="7"/>
  <c r="J5270" i="7"/>
  <c r="J5271" i="7"/>
  <c r="J5272" i="7"/>
  <c r="J5273" i="7"/>
  <c r="J5274" i="7"/>
  <c r="J5275" i="7"/>
  <c r="J5276" i="7"/>
  <c r="J5277" i="7"/>
  <c r="J5278" i="7"/>
  <c r="J5279" i="7"/>
  <c r="J5280" i="7"/>
  <c r="J5281" i="7"/>
  <c r="J5282" i="7"/>
  <c r="J5283" i="7"/>
  <c r="J5284" i="7"/>
  <c r="J5285" i="7"/>
  <c r="J5286" i="7"/>
  <c r="J5287" i="7"/>
  <c r="J5288" i="7"/>
  <c r="J5289" i="7"/>
  <c r="J5290" i="7"/>
  <c r="J5291" i="7"/>
  <c r="J5292" i="7"/>
  <c r="J5293" i="7"/>
  <c r="J5294" i="7"/>
  <c r="J5295" i="7"/>
  <c r="J5296" i="7"/>
  <c r="J5297" i="7"/>
  <c r="J5298" i="7"/>
  <c r="J5299" i="7"/>
  <c r="J5300" i="7"/>
  <c r="J5301" i="7"/>
  <c r="J5302" i="7"/>
  <c r="J5303" i="7"/>
  <c r="J5304" i="7"/>
  <c r="J5305" i="7"/>
  <c r="J5306" i="7"/>
  <c r="J5307" i="7"/>
  <c r="J5308" i="7"/>
  <c r="J5309" i="7"/>
  <c r="J5310" i="7"/>
  <c r="J5311" i="7"/>
  <c r="J5312" i="7"/>
  <c r="J5313" i="7"/>
  <c r="J5314" i="7"/>
  <c r="J5315" i="7"/>
  <c r="J5316" i="7"/>
  <c r="J5317" i="7"/>
  <c r="J5318" i="7"/>
  <c r="J5319" i="7"/>
  <c r="J5320" i="7"/>
  <c r="J5321" i="7"/>
  <c r="J5322" i="7"/>
  <c r="J5323" i="7"/>
  <c r="J5324" i="7"/>
  <c r="J5325" i="7"/>
  <c r="J5326" i="7"/>
  <c r="J5327" i="7"/>
  <c r="J5328" i="7"/>
  <c r="J5329" i="7"/>
  <c r="J5330" i="7"/>
  <c r="J5331" i="7"/>
  <c r="J5332" i="7"/>
  <c r="J5333" i="7"/>
  <c r="J5334" i="7"/>
  <c r="J5335" i="7"/>
  <c r="J5336" i="7"/>
  <c r="J5337" i="7"/>
  <c r="J5338" i="7"/>
  <c r="J5339" i="7"/>
  <c r="J5340" i="7"/>
  <c r="J5341" i="7"/>
  <c r="J5342" i="7"/>
  <c r="J5343" i="7"/>
  <c r="J5344" i="7"/>
  <c r="J5345" i="7"/>
  <c r="J5346" i="7"/>
  <c r="J5347" i="7"/>
  <c r="J5348" i="7"/>
  <c r="J5349" i="7"/>
  <c r="J5350" i="7"/>
  <c r="J5351" i="7"/>
  <c r="J5352" i="7"/>
  <c r="J5353" i="7"/>
  <c r="J5354" i="7"/>
  <c r="J5355" i="7"/>
  <c r="J5356" i="7"/>
  <c r="J5357" i="7"/>
  <c r="J5358" i="7"/>
  <c r="J5359" i="7"/>
  <c r="J5360" i="7"/>
  <c r="J5361" i="7"/>
  <c r="J5362" i="7"/>
  <c r="J5363" i="7"/>
  <c r="J5364" i="7"/>
  <c r="J5365" i="7"/>
  <c r="J5366" i="7"/>
  <c r="J5367" i="7"/>
  <c r="J5368" i="7"/>
  <c r="J5369" i="7"/>
  <c r="J5370" i="7"/>
  <c r="J5371" i="7"/>
  <c r="J5372" i="7"/>
  <c r="J5373" i="7"/>
  <c r="J5374" i="7"/>
  <c r="J5375" i="7"/>
  <c r="J5376" i="7"/>
  <c r="J5377" i="7"/>
  <c r="J5378" i="7"/>
  <c r="J5379" i="7"/>
  <c r="J5380" i="7"/>
  <c r="J5381" i="7"/>
  <c r="J5382" i="7"/>
  <c r="J5383" i="7"/>
  <c r="J5384" i="7"/>
  <c r="J5385" i="7"/>
  <c r="J5386" i="7"/>
  <c r="J5387" i="7"/>
  <c r="J5388" i="7"/>
  <c r="J5389" i="7"/>
  <c r="J5390" i="7"/>
  <c r="J5391" i="7"/>
  <c r="J5392" i="7"/>
  <c r="J5393" i="7"/>
  <c r="J5394" i="7"/>
  <c r="J5395" i="7"/>
  <c r="J5396" i="7"/>
  <c r="J5397" i="7"/>
  <c r="J5398" i="7"/>
  <c r="J5399" i="7"/>
  <c r="J5400" i="7"/>
  <c r="J5401" i="7"/>
  <c r="J5402" i="7"/>
  <c r="J5403" i="7"/>
  <c r="J5404" i="7"/>
  <c r="J5405" i="7"/>
  <c r="J5406" i="7"/>
  <c r="J5407" i="7"/>
  <c r="J5408" i="7"/>
  <c r="J5409" i="7"/>
  <c r="J5410" i="7"/>
  <c r="J5411" i="7"/>
  <c r="J5412" i="7"/>
  <c r="J5413" i="7"/>
  <c r="J5414" i="7"/>
  <c r="J5415" i="7"/>
  <c r="J5416" i="7"/>
  <c r="J5417" i="7"/>
  <c r="J5418" i="7"/>
  <c r="J5419" i="7"/>
  <c r="J5420" i="7"/>
  <c r="J5421" i="7"/>
  <c r="J5422" i="7"/>
  <c r="J5423" i="7"/>
  <c r="J5424" i="7"/>
  <c r="J5425" i="7"/>
  <c r="J5426" i="7"/>
  <c r="J5427" i="7"/>
  <c r="J5428" i="7"/>
  <c r="J5429" i="7"/>
  <c r="J5430" i="7"/>
  <c r="J5431" i="7"/>
  <c r="J5432" i="7"/>
  <c r="J5433" i="7"/>
  <c r="J5434" i="7"/>
  <c r="J5435" i="7"/>
  <c r="J5436" i="7"/>
  <c r="J5437" i="7"/>
  <c r="J5438" i="7"/>
  <c r="J5439" i="7"/>
  <c r="J5440" i="7"/>
  <c r="J5441" i="7"/>
  <c r="J5442" i="7"/>
  <c r="J5443" i="7"/>
  <c r="J5444" i="7"/>
  <c r="J5445" i="7"/>
  <c r="J5446" i="7"/>
  <c r="J5447" i="7"/>
  <c r="J5448" i="7"/>
  <c r="J5449" i="7"/>
  <c r="J5450" i="7"/>
  <c r="J5451" i="7"/>
  <c r="J5452" i="7"/>
  <c r="J5453" i="7"/>
  <c r="J5454" i="7"/>
  <c r="J5455" i="7"/>
  <c r="J5456" i="7"/>
  <c r="J5457" i="7"/>
  <c r="J5458" i="7"/>
  <c r="J5459" i="7"/>
  <c r="J5460" i="7"/>
  <c r="J5461" i="7"/>
  <c r="J5462" i="7"/>
  <c r="J5463" i="7"/>
  <c r="J5464" i="7"/>
  <c r="J5465" i="7"/>
  <c r="J5466" i="7"/>
  <c r="J5467" i="7"/>
  <c r="J5468" i="7"/>
  <c r="J5469" i="7"/>
  <c r="J5470" i="7"/>
  <c r="J5471" i="7"/>
  <c r="J5472" i="7"/>
  <c r="J5473" i="7"/>
  <c r="J5474" i="7"/>
  <c r="J5475" i="7"/>
  <c r="J5476" i="7"/>
  <c r="J5477" i="7"/>
  <c r="J5478" i="7"/>
  <c r="J5479" i="7"/>
  <c r="J5480" i="7"/>
  <c r="J5481" i="7"/>
  <c r="J5482" i="7"/>
  <c r="J5483" i="7"/>
  <c r="J5484" i="7"/>
  <c r="J5485" i="7"/>
  <c r="J5486" i="7"/>
  <c r="J5487" i="7"/>
  <c r="J5488" i="7"/>
  <c r="J5489" i="7"/>
  <c r="J5490" i="7"/>
  <c r="J5491" i="7"/>
  <c r="J5492" i="7"/>
  <c r="J5493" i="7"/>
  <c r="J5494" i="7"/>
  <c r="J5495" i="7"/>
  <c r="J5496" i="7"/>
  <c r="J5497" i="7"/>
  <c r="J5498" i="7"/>
  <c r="J5499" i="7"/>
  <c r="J5500" i="7"/>
  <c r="J5501" i="7"/>
  <c r="J5502" i="7"/>
  <c r="J5503" i="7"/>
  <c r="J5504" i="7"/>
  <c r="J5505" i="7"/>
  <c r="J5506" i="7"/>
  <c r="J5507" i="7"/>
  <c r="J5508" i="7"/>
  <c r="J5509" i="7"/>
  <c r="J5510" i="7"/>
  <c r="J5511" i="7"/>
  <c r="J5512" i="7"/>
  <c r="J5513" i="7"/>
  <c r="J5514" i="7"/>
  <c r="J5515" i="7"/>
  <c r="J5516" i="7"/>
  <c r="J5517" i="7"/>
  <c r="J5518" i="7"/>
  <c r="J5519" i="7"/>
  <c r="J5520" i="7"/>
  <c r="J5521" i="7"/>
  <c r="J5522" i="7"/>
  <c r="J5523" i="7"/>
  <c r="J5524" i="7"/>
  <c r="J5525" i="7"/>
  <c r="J5526" i="7"/>
  <c r="J5527" i="7"/>
  <c r="J5528" i="7"/>
  <c r="J5529" i="7"/>
  <c r="J5530" i="7"/>
  <c r="J5531" i="7"/>
  <c r="J5532" i="7"/>
  <c r="J5533" i="7"/>
  <c r="J5534" i="7"/>
  <c r="J5535" i="7"/>
  <c r="J5536" i="7"/>
  <c r="J5537" i="7"/>
  <c r="J5538" i="7"/>
  <c r="J5539" i="7"/>
  <c r="J5540" i="7"/>
  <c r="J5541" i="7"/>
  <c r="J5542" i="7"/>
  <c r="J5543" i="7"/>
  <c r="J5544" i="7"/>
  <c r="J5545" i="7"/>
  <c r="J5546" i="7"/>
  <c r="J5547" i="7"/>
  <c r="J5548" i="7"/>
  <c r="J5549" i="7"/>
  <c r="J5550" i="7"/>
  <c r="J5551" i="7"/>
  <c r="J5552" i="7"/>
  <c r="J5553" i="7"/>
  <c r="J5554" i="7"/>
  <c r="J5555" i="7"/>
  <c r="J5556" i="7"/>
  <c r="J5557" i="7"/>
  <c r="J5558" i="7"/>
  <c r="J5559" i="7"/>
  <c r="J5560" i="7"/>
  <c r="J5561" i="7"/>
  <c r="J5562" i="7"/>
  <c r="J5563" i="7"/>
  <c r="J5564" i="7"/>
  <c r="J5565" i="7"/>
  <c r="J5566" i="7"/>
  <c r="J5567" i="7"/>
  <c r="J5568" i="7"/>
  <c r="J5569" i="7"/>
  <c r="J5570" i="7"/>
  <c r="J5571" i="7"/>
  <c r="J5572" i="7"/>
  <c r="J5573" i="7"/>
  <c r="J5574" i="7"/>
  <c r="J5575" i="7"/>
  <c r="J5576" i="7"/>
  <c r="J5577" i="7"/>
  <c r="J5578" i="7"/>
  <c r="J5579" i="7"/>
  <c r="J5580" i="7"/>
  <c r="J5581" i="7"/>
  <c r="J5582" i="7"/>
  <c r="J5583" i="7"/>
  <c r="J5584" i="7"/>
  <c r="J5585" i="7"/>
  <c r="J5586" i="7"/>
  <c r="J5587" i="7"/>
  <c r="J5588" i="7"/>
  <c r="J5589" i="7"/>
  <c r="J5590" i="7"/>
  <c r="J5591" i="7"/>
  <c r="J5592" i="7"/>
  <c r="J5593" i="7"/>
  <c r="J5594" i="7"/>
  <c r="J5595" i="7"/>
  <c r="J5596" i="7"/>
  <c r="J5597" i="7"/>
  <c r="J5598" i="7"/>
  <c r="J5599" i="7"/>
  <c r="J5600" i="7"/>
  <c r="J5601" i="7"/>
  <c r="J5602" i="7"/>
  <c r="J5603" i="7"/>
  <c r="J5604" i="7"/>
  <c r="J5605" i="7"/>
  <c r="J5606" i="7"/>
  <c r="J5607" i="7"/>
  <c r="J5608" i="7"/>
  <c r="J5609" i="7"/>
  <c r="J5610" i="7"/>
  <c r="J5611" i="7"/>
  <c r="J5612" i="7"/>
  <c r="J5613" i="7"/>
  <c r="J5614" i="7"/>
  <c r="J5615" i="7"/>
  <c r="J5616" i="7"/>
  <c r="J5617" i="7"/>
  <c r="J5618" i="7"/>
  <c r="J5619" i="7"/>
  <c r="J5620" i="7"/>
  <c r="J5621" i="7"/>
  <c r="J5622" i="7"/>
  <c r="J5623" i="7"/>
  <c r="J5624" i="7"/>
  <c r="J5625" i="7"/>
  <c r="J5626" i="7"/>
  <c r="J5627" i="7"/>
  <c r="J5628" i="7"/>
  <c r="J5629" i="7"/>
  <c r="J5630" i="7"/>
  <c r="J5631" i="7"/>
  <c r="J5632" i="7"/>
  <c r="J5633" i="7"/>
  <c r="J5634" i="7"/>
  <c r="J5635" i="7"/>
  <c r="J5636" i="7"/>
  <c r="J5637" i="7"/>
  <c r="J5638" i="7"/>
  <c r="J5639" i="7"/>
  <c r="J5640" i="7"/>
  <c r="J5641" i="7"/>
  <c r="J5642" i="7"/>
  <c r="J5643" i="7"/>
  <c r="J5644" i="7"/>
  <c r="J5645" i="7"/>
  <c r="J5646" i="7"/>
  <c r="J5647" i="7"/>
  <c r="J5648" i="7"/>
  <c r="J5649" i="7"/>
  <c r="J5650" i="7"/>
  <c r="J5651" i="7"/>
  <c r="J5652" i="7"/>
  <c r="J5653" i="7"/>
  <c r="J5654" i="7"/>
  <c r="J5655" i="7"/>
  <c r="J5656" i="7"/>
  <c r="J5657" i="7"/>
  <c r="J5658" i="7"/>
  <c r="J5659" i="7"/>
  <c r="J5660" i="7"/>
  <c r="J5661" i="7"/>
  <c r="J5662" i="7"/>
  <c r="J5663" i="7"/>
  <c r="J5664" i="7"/>
  <c r="J5665" i="7"/>
  <c r="J5666" i="7"/>
  <c r="J5667" i="7"/>
  <c r="J5668" i="7"/>
  <c r="J5669" i="7"/>
  <c r="J5670" i="7"/>
  <c r="J5671" i="7"/>
  <c r="J5672" i="7"/>
  <c r="J5673" i="7"/>
  <c r="J5674" i="7"/>
  <c r="J5675" i="7"/>
  <c r="J5676" i="7"/>
  <c r="J5677" i="7"/>
  <c r="J5678" i="7"/>
  <c r="J5679" i="7"/>
  <c r="J5680" i="7"/>
  <c r="J5681" i="7"/>
  <c r="J5682" i="7"/>
  <c r="J5683" i="7"/>
  <c r="J5684" i="7"/>
  <c r="J5685" i="7"/>
  <c r="J5686" i="7"/>
  <c r="J5687" i="7"/>
  <c r="J5688" i="7"/>
  <c r="J5689" i="7"/>
  <c r="J5690" i="7"/>
  <c r="J5691" i="7"/>
  <c r="J5692" i="7"/>
  <c r="J5693" i="7"/>
  <c r="J5694" i="7"/>
  <c r="J5695" i="7"/>
  <c r="J5696" i="7"/>
  <c r="J5697" i="7"/>
  <c r="J5698" i="7"/>
  <c r="J5699" i="7"/>
  <c r="J5700" i="7"/>
  <c r="J5701" i="7"/>
  <c r="J5702" i="7"/>
  <c r="J5703" i="7"/>
  <c r="J5704" i="7"/>
  <c r="J5705" i="7"/>
  <c r="J5706" i="7"/>
  <c r="J5707" i="7"/>
  <c r="J5708" i="7"/>
  <c r="J5709" i="7"/>
  <c r="J5710" i="7"/>
  <c r="J5711" i="7"/>
  <c r="J5712" i="7"/>
  <c r="J5713" i="7"/>
  <c r="J5714" i="7"/>
  <c r="J5715" i="7"/>
  <c r="J5716" i="7"/>
  <c r="J5717" i="7"/>
  <c r="J5718" i="7"/>
  <c r="J5719" i="7"/>
  <c r="J5720" i="7"/>
  <c r="J5721" i="7"/>
  <c r="J5722" i="7"/>
  <c r="J5723" i="7"/>
  <c r="J5724" i="7"/>
  <c r="J5725" i="7"/>
  <c r="J5726" i="7"/>
  <c r="J5727" i="7"/>
  <c r="J5728" i="7"/>
  <c r="J5729" i="7"/>
  <c r="J5730" i="7"/>
  <c r="J5731" i="7"/>
  <c r="J5732" i="7"/>
  <c r="J5733" i="7"/>
  <c r="J5734" i="7"/>
  <c r="J5735" i="7"/>
  <c r="J5736" i="7"/>
  <c r="J5737" i="7"/>
  <c r="J5738" i="7"/>
  <c r="J5739" i="7"/>
  <c r="J5740" i="7"/>
  <c r="J5741" i="7"/>
  <c r="J5742" i="7"/>
  <c r="J5743" i="7"/>
  <c r="J5744" i="7"/>
  <c r="J5745" i="7"/>
  <c r="J5746" i="7"/>
  <c r="J5747" i="7"/>
  <c r="J5748" i="7"/>
  <c r="J5749" i="7"/>
  <c r="J5750" i="7"/>
  <c r="J5751" i="7"/>
  <c r="J5752" i="7"/>
  <c r="J5753" i="7"/>
  <c r="J5754" i="7"/>
  <c r="J5755" i="7"/>
  <c r="J5756" i="7"/>
  <c r="J5757" i="7"/>
  <c r="J5758" i="7"/>
  <c r="J5759" i="7"/>
  <c r="J5760" i="7"/>
  <c r="J5761" i="7"/>
  <c r="J5762" i="7"/>
  <c r="J5763" i="7"/>
  <c r="J5764" i="7"/>
  <c r="J5765" i="7"/>
  <c r="J5766" i="7"/>
  <c r="J5767" i="7"/>
  <c r="J5768" i="7"/>
  <c r="J5769" i="7"/>
  <c r="J5770" i="7"/>
  <c r="J5771" i="7"/>
  <c r="J5772" i="7"/>
  <c r="J5773" i="7"/>
  <c r="J5774" i="7"/>
  <c r="J5775" i="7"/>
  <c r="J5776" i="7"/>
  <c r="J5777" i="7"/>
  <c r="J5778" i="7"/>
  <c r="J5779" i="7"/>
  <c r="J5780" i="7"/>
  <c r="J5781" i="7"/>
  <c r="J5782" i="7"/>
  <c r="J5783" i="7"/>
  <c r="J5784" i="7"/>
  <c r="J5785" i="7"/>
  <c r="J5786" i="7"/>
  <c r="J5787" i="7"/>
  <c r="J5788" i="7"/>
  <c r="J5789" i="7"/>
  <c r="J5790" i="7"/>
  <c r="J5791" i="7"/>
  <c r="J5792" i="7"/>
  <c r="J5793" i="7"/>
  <c r="J5794" i="7"/>
  <c r="J5795" i="7"/>
  <c r="J5796" i="7"/>
  <c r="J5797" i="7"/>
  <c r="J5798" i="7"/>
  <c r="J5799" i="7"/>
  <c r="J5800" i="7"/>
  <c r="J5801" i="7"/>
  <c r="J5802" i="7"/>
  <c r="J5803" i="7"/>
  <c r="J5804" i="7"/>
  <c r="J5805" i="7"/>
  <c r="J5806" i="7"/>
  <c r="J5807" i="7"/>
  <c r="J5808" i="7"/>
  <c r="J5809" i="7"/>
  <c r="J5810" i="7"/>
  <c r="J5811" i="7"/>
  <c r="J5812" i="7"/>
  <c r="J5813" i="7"/>
  <c r="J5814" i="7"/>
  <c r="J5815" i="7"/>
  <c r="J5816" i="7"/>
  <c r="J5817" i="7"/>
  <c r="J5818" i="7"/>
  <c r="J5819" i="7"/>
  <c r="J5820" i="7"/>
  <c r="J5821" i="7"/>
  <c r="J5822" i="7"/>
  <c r="J5823" i="7"/>
  <c r="J5824" i="7"/>
  <c r="J5825" i="7"/>
  <c r="J5826" i="7"/>
  <c r="J5827" i="7"/>
  <c r="J5828" i="7"/>
  <c r="J5829" i="7"/>
  <c r="J5830" i="7"/>
  <c r="J5831" i="7"/>
  <c r="J5832" i="7"/>
  <c r="J5833" i="7"/>
  <c r="J5834" i="7"/>
  <c r="J5835" i="7"/>
  <c r="J5836" i="7"/>
  <c r="J5837" i="7"/>
  <c r="J5838" i="7"/>
  <c r="J5839" i="7"/>
  <c r="J5840" i="7"/>
  <c r="J5841" i="7"/>
  <c r="J5842" i="7"/>
  <c r="J5843" i="7"/>
  <c r="J5844" i="7"/>
  <c r="J5845" i="7"/>
  <c r="J5846" i="7"/>
  <c r="J5847" i="7"/>
  <c r="J5848" i="7"/>
  <c r="J5849" i="7"/>
  <c r="J5850" i="7"/>
  <c r="J5851" i="7"/>
  <c r="J5852" i="7"/>
  <c r="J5853" i="7"/>
  <c r="J5854" i="7"/>
  <c r="J5855" i="7"/>
  <c r="J5856" i="7"/>
  <c r="J5857" i="7"/>
  <c r="J5858" i="7"/>
  <c r="J5859" i="7"/>
  <c r="J5860" i="7"/>
  <c r="J5861" i="7"/>
  <c r="J5862" i="7"/>
  <c r="J5863" i="7"/>
  <c r="J5864" i="7"/>
  <c r="J5865" i="7"/>
  <c r="J5866" i="7"/>
  <c r="J5867" i="7"/>
  <c r="J5868" i="7"/>
  <c r="J5869" i="7"/>
  <c r="J5870" i="7"/>
  <c r="J5871" i="7"/>
  <c r="J5872" i="7"/>
  <c r="J5873" i="7"/>
  <c r="J5874" i="7"/>
  <c r="J5875" i="7"/>
  <c r="J5876" i="7"/>
  <c r="J5877" i="7"/>
  <c r="J5878" i="7"/>
  <c r="J5879" i="7"/>
  <c r="J5880" i="7"/>
  <c r="J5881" i="7"/>
  <c r="J5882" i="7"/>
  <c r="J5883" i="7"/>
  <c r="J5884" i="7"/>
  <c r="J5885" i="7"/>
  <c r="J5886" i="7"/>
  <c r="J5887" i="7"/>
  <c r="J5888" i="7"/>
  <c r="J5889" i="7"/>
  <c r="J5890" i="7"/>
  <c r="J5891" i="7"/>
  <c r="J5892" i="7"/>
  <c r="J5893" i="7"/>
  <c r="J5894" i="7"/>
  <c r="J5895" i="7"/>
  <c r="J5896" i="7"/>
  <c r="J5897" i="7"/>
  <c r="J5898" i="7"/>
  <c r="J5899" i="7"/>
  <c r="J5900" i="7"/>
  <c r="J5901" i="7"/>
  <c r="J5902" i="7"/>
  <c r="J5903" i="7"/>
  <c r="J5904" i="7"/>
  <c r="J5905" i="7"/>
  <c r="J5906" i="7"/>
  <c r="J5907" i="7"/>
  <c r="J5908" i="7"/>
  <c r="J5909" i="7"/>
  <c r="J5910" i="7"/>
  <c r="J5911" i="7"/>
  <c r="J5912" i="7"/>
  <c r="J5913" i="7"/>
  <c r="J5914" i="7"/>
  <c r="J5915" i="7"/>
  <c r="J5916" i="7"/>
  <c r="J5917" i="7"/>
  <c r="J5918" i="7"/>
  <c r="J5919" i="7"/>
  <c r="J5920" i="7"/>
  <c r="J5921" i="7"/>
  <c r="J5922" i="7"/>
  <c r="J5923" i="7"/>
  <c r="J5924" i="7"/>
  <c r="J5925" i="7"/>
  <c r="J5926" i="7"/>
  <c r="J5927" i="7"/>
  <c r="J5928" i="7"/>
  <c r="J5929" i="7"/>
  <c r="J5930" i="7"/>
  <c r="J5931" i="7"/>
  <c r="J5932" i="7"/>
  <c r="J5933" i="7"/>
  <c r="J5934" i="7"/>
  <c r="J5935" i="7"/>
  <c r="J5936" i="7"/>
  <c r="J5937" i="7"/>
  <c r="J5938" i="7"/>
  <c r="J5939" i="7"/>
  <c r="J5940" i="7"/>
  <c r="J5941" i="7"/>
  <c r="J5942" i="7"/>
  <c r="J5943" i="7"/>
  <c r="J5944" i="7"/>
  <c r="J5945" i="7"/>
  <c r="J5946" i="7"/>
  <c r="J5947" i="7"/>
  <c r="J5948" i="7"/>
  <c r="J5949" i="7"/>
  <c r="J5950" i="7"/>
  <c r="J5951" i="7"/>
  <c r="J5952" i="7"/>
  <c r="J5953" i="7"/>
  <c r="J5954" i="7"/>
  <c r="J5955" i="7"/>
  <c r="J5956" i="7"/>
  <c r="J5957" i="7"/>
  <c r="J5958" i="7"/>
  <c r="J5959" i="7"/>
  <c r="J5960" i="7"/>
  <c r="J5961" i="7"/>
  <c r="J5962" i="7"/>
  <c r="J5963" i="7"/>
  <c r="J5964" i="7"/>
  <c r="J5965" i="7"/>
  <c r="J5966" i="7"/>
  <c r="J5967" i="7"/>
  <c r="J5968" i="7"/>
  <c r="J5969" i="7"/>
  <c r="J5970" i="7"/>
  <c r="J5971" i="7"/>
  <c r="J5972" i="7"/>
  <c r="J5973" i="7"/>
  <c r="J5974" i="7"/>
  <c r="J5975" i="7"/>
  <c r="J5976" i="7"/>
  <c r="J5977" i="7"/>
  <c r="J5978" i="7"/>
  <c r="J5979" i="7"/>
  <c r="J5980" i="7"/>
  <c r="J5981" i="7"/>
  <c r="J5982" i="7"/>
  <c r="J5983" i="7"/>
  <c r="J5984" i="7"/>
  <c r="J5985" i="7"/>
  <c r="J5986" i="7"/>
  <c r="J5987" i="7"/>
  <c r="J5988" i="7"/>
  <c r="J5989" i="7"/>
  <c r="J5990" i="7"/>
  <c r="J5991" i="7"/>
  <c r="J5992" i="7"/>
  <c r="J5993" i="7"/>
  <c r="J5994" i="7"/>
  <c r="J5995" i="7"/>
  <c r="J5996" i="7"/>
  <c r="J5997" i="7"/>
  <c r="J5998" i="7"/>
  <c r="J5999" i="7"/>
  <c r="J6000" i="7"/>
  <c r="J6001" i="7"/>
  <c r="J6002" i="7"/>
  <c r="J6003" i="7"/>
  <c r="J6004" i="7"/>
  <c r="J6005" i="7"/>
  <c r="J6006" i="7"/>
  <c r="J6007" i="7"/>
  <c r="J6008" i="7"/>
  <c r="J6009" i="7"/>
  <c r="J6010" i="7"/>
  <c r="J6011" i="7"/>
  <c r="J6012" i="7"/>
  <c r="J6013" i="7"/>
  <c r="J6014" i="7"/>
  <c r="J6015" i="7"/>
  <c r="J6016" i="7"/>
  <c r="J6017" i="7"/>
  <c r="J6018" i="7"/>
  <c r="J6019" i="7"/>
  <c r="J6020" i="7"/>
  <c r="J6021" i="7"/>
  <c r="J6022" i="7"/>
  <c r="J6023" i="7"/>
  <c r="J6024" i="7"/>
  <c r="J6025" i="7"/>
  <c r="J6026" i="7"/>
  <c r="J6027" i="7"/>
  <c r="J6028" i="7"/>
  <c r="J6029" i="7"/>
  <c r="J6030" i="7"/>
  <c r="J6031" i="7"/>
  <c r="J6032" i="7"/>
  <c r="J6033" i="7"/>
  <c r="J6034" i="7"/>
  <c r="J6035" i="7"/>
  <c r="J6036" i="7"/>
  <c r="J6037" i="7"/>
  <c r="J6038" i="7"/>
  <c r="J6039" i="7"/>
  <c r="J6040" i="7"/>
  <c r="J6041" i="7"/>
  <c r="J6042" i="7"/>
  <c r="J6043" i="7"/>
  <c r="J6044" i="7"/>
  <c r="J6045" i="7"/>
  <c r="J6046" i="7"/>
  <c r="J6047" i="7"/>
  <c r="J6048" i="7"/>
  <c r="J6049" i="7"/>
  <c r="J6050" i="7"/>
  <c r="J6051" i="7"/>
  <c r="J6052" i="7"/>
  <c r="J6053" i="7"/>
  <c r="J6054" i="7"/>
  <c r="J6055" i="7"/>
  <c r="J6056" i="7"/>
  <c r="J6057" i="7"/>
  <c r="J6058" i="7"/>
  <c r="J6059" i="7"/>
  <c r="J6060" i="7"/>
  <c r="J6061" i="7"/>
  <c r="J6062" i="7"/>
  <c r="J6063" i="7"/>
  <c r="J6064" i="7"/>
  <c r="J6065" i="7"/>
  <c r="J6066" i="7"/>
  <c r="J6067" i="7"/>
  <c r="J6068" i="7"/>
  <c r="J6069" i="7"/>
  <c r="J6070" i="7"/>
  <c r="J6071" i="7"/>
  <c r="J6072" i="7"/>
  <c r="J6073" i="7"/>
  <c r="J6074" i="7"/>
  <c r="J6075" i="7"/>
  <c r="J6076" i="7"/>
  <c r="J6077" i="7"/>
  <c r="J6078" i="7"/>
  <c r="J6079" i="7"/>
  <c r="J6080" i="7"/>
  <c r="J6081" i="7"/>
  <c r="J6082" i="7"/>
  <c r="J6083" i="7"/>
  <c r="J6084" i="7"/>
  <c r="J6085" i="7"/>
  <c r="J6086" i="7"/>
  <c r="J6087" i="7"/>
  <c r="J6088" i="7"/>
  <c r="J6089" i="7"/>
  <c r="J6090" i="7"/>
  <c r="J6091" i="7"/>
  <c r="J6092" i="7"/>
  <c r="J6093" i="7"/>
  <c r="J6094" i="7"/>
  <c r="J6095" i="7"/>
  <c r="J6096" i="7"/>
  <c r="J6097" i="7"/>
  <c r="J6098" i="7"/>
  <c r="J6099" i="7"/>
  <c r="J6100" i="7"/>
  <c r="J6101" i="7"/>
  <c r="J6102" i="7"/>
  <c r="J6103" i="7"/>
  <c r="J6104" i="7"/>
  <c r="J6105" i="7"/>
  <c r="J6106" i="7"/>
  <c r="J6107" i="7"/>
  <c r="J6108" i="7"/>
  <c r="J6109" i="7"/>
  <c r="J6110" i="7"/>
  <c r="J6111" i="7"/>
  <c r="J6112" i="7"/>
  <c r="J6113" i="7"/>
  <c r="J6114" i="7"/>
  <c r="J6115" i="7"/>
  <c r="J6116" i="7"/>
  <c r="J6117" i="7"/>
  <c r="J6118" i="7"/>
  <c r="J6119" i="7"/>
  <c r="J6120" i="7"/>
  <c r="J6121" i="7"/>
  <c r="J6122" i="7"/>
  <c r="J6123" i="7"/>
  <c r="J6124" i="7"/>
  <c r="J6125" i="7"/>
  <c r="J6126" i="7"/>
  <c r="J6127" i="7"/>
  <c r="J6128" i="7"/>
  <c r="J6129" i="7"/>
  <c r="J6130" i="7"/>
  <c r="J6131" i="7"/>
  <c r="J6132" i="7"/>
  <c r="J6133" i="7"/>
  <c r="J6134" i="7"/>
  <c r="J6135" i="7"/>
  <c r="J6136" i="7"/>
  <c r="J6137" i="7"/>
  <c r="J6138" i="7"/>
  <c r="J6139" i="7"/>
  <c r="J6140" i="7"/>
  <c r="J6141" i="7"/>
  <c r="J6142" i="7"/>
  <c r="J6143" i="7"/>
  <c r="J6144" i="7"/>
  <c r="J6145" i="7"/>
  <c r="J6146" i="7"/>
  <c r="J6147" i="7"/>
  <c r="J6148" i="7"/>
  <c r="J6149" i="7"/>
  <c r="J6150" i="7"/>
  <c r="J6151" i="7"/>
  <c r="J6152" i="7"/>
  <c r="J6153" i="7"/>
  <c r="J6154" i="7"/>
  <c r="J6155" i="7"/>
  <c r="J6156" i="7"/>
  <c r="J6157" i="7"/>
  <c r="J6158" i="7"/>
  <c r="J6159" i="7"/>
  <c r="J6160" i="7"/>
  <c r="J6161" i="7"/>
  <c r="J6162" i="7"/>
  <c r="J6163" i="7"/>
  <c r="J6164" i="7"/>
  <c r="J6165" i="7"/>
  <c r="J6166" i="7"/>
  <c r="J6167" i="7"/>
  <c r="J6168" i="7"/>
  <c r="J6169" i="7"/>
  <c r="J6170" i="7"/>
  <c r="J6171" i="7"/>
  <c r="J6172" i="7"/>
  <c r="J6173" i="7"/>
  <c r="J6174" i="7"/>
  <c r="J6175" i="7"/>
  <c r="J6176" i="7"/>
  <c r="J6177" i="7"/>
  <c r="J6178" i="7"/>
  <c r="J6179" i="7"/>
  <c r="J6180" i="7"/>
  <c r="J6181" i="7"/>
  <c r="J6182" i="7"/>
  <c r="J6183" i="7"/>
  <c r="J6184" i="7"/>
  <c r="J6185" i="7"/>
  <c r="J6186" i="7"/>
  <c r="J6187" i="7"/>
  <c r="J6188" i="7"/>
  <c r="J6189" i="7"/>
  <c r="J6190" i="7"/>
  <c r="J6191" i="7"/>
  <c r="J6192" i="7"/>
  <c r="J6193" i="7"/>
  <c r="J6194" i="7"/>
  <c r="J6195" i="7"/>
  <c r="J6196" i="7"/>
  <c r="J6197" i="7"/>
  <c r="J6198" i="7"/>
  <c r="J6199" i="7"/>
  <c r="J6200" i="7"/>
  <c r="J6201" i="7"/>
  <c r="J6202" i="7"/>
  <c r="J6203" i="7"/>
  <c r="J6204" i="7"/>
  <c r="J6205" i="7"/>
  <c r="J6206" i="7"/>
  <c r="J6207" i="7"/>
  <c r="J6208" i="7"/>
  <c r="J6209" i="7"/>
  <c r="J6210" i="7"/>
  <c r="J6211" i="7"/>
  <c r="J6212" i="7"/>
  <c r="J6213" i="7"/>
  <c r="J6214" i="7"/>
  <c r="J6215" i="7"/>
  <c r="J6216" i="7"/>
  <c r="J6217" i="7"/>
  <c r="J6218" i="7"/>
  <c r="J6219" i="7"/>
  <c r="J6220" i="7"/>
  <c r="J6221" i="7"/>
  <c r="J6222" i="7"/>
  <c r="J6223" i="7"/>
  <c r="J6224" i="7"/>
  <c r="J6225" i="7"/>
  <c r="J6226" i="7"/>
  <c r="J6227" i="7"/>
  <c r="J6228" i="7"/>
  <c r="J6229" i="7"/>
  <c r="J6230" i="7"/>
  <c r="J6231" i="7"/>
  <c r="J6232" i="7"/>
  <c r="J6233" i="7"/>
  <c r="J6234" i="7"/>
  <c r="J6235" i="7"/>
  <c r="J6236" i="7"/>
  <c r="J6237" i="7"/>
  <c r="J6238" i="7"/>
  <c r="J6239" i="7"/>
  <c r="J6240" i="7"/>
  <c r="J6241" i="7"/>
  <c r="J6242" i="7"/>
  <c r="J6243" i="7"/>
  <c r="J6244" i="7"/>
  <c r="J6245" i="7"/>
  <c r="J6246" i="7"/>
  <c r="J6247" i="7"/>
  <c r="J6248" i="7"/>
  <c r="J6249" i="7"/>
  <c r="J6250" i="7"/>
  <c r="J6251" i="7"/>
  <c r="J6252" i="7"/>
  <c r="J6253" i="7"/>
  <c r="J6254" i="7"/>
  <c r="J6255" i="7"/>
  <c r="J6256" i="7"/>
  <c r="J6257" i="7"/>
  <c r="J6258" i="7"/>
  <c r="J6259" i="7"/>
  <c r="J6260" i="7"/>
  <c r="J6261" i="7"/>
  <c r="J6262" i="7"/>
  <c r="J6263" i="7"/>
  <c r="J6264" i="7"/>
  <c r="J6265" i="7"/>
  <c r="J6266" i="7"/>
  <c r="J6267" i="7"/>
  <c r="J6268" i="7"/>
  <c r="J6269" i="7"/>
  <c r="J6270" i="7"/>
  <c r="J6271" i="7"/>
  <c r="J6272" i="7"/>
  <c r="J6273" i="7"/>
  <c r="J6274" i="7"/>
  <c r="J6275" i="7"/>
  <c r="J6276" i="7"/>
  <c r="J6277" i="7"/>
  <c r="J6278" i="7"/>
  <c r="J6279" i="7"/>
  <c r="J6280" i="7"/>
  <c r="J6281" i="7"/>
  <c r="J6282" i="7"/>
  <c r="J6283" i="7"/>
  <c r="J6284" i="7"/>
  <c r="J6285" i="7"/>
  <c r="J6286" i="7"/>
  <c r="J6287" i="7"/>
  <c r="J6288" i="7"/>
  <c r="J6289" i="7"/>
  <c r="J6290" i="7"/>
  <c r="J6291" i="7"/>
  <c r="J6292" i="7"/>
  <c r="J6293" i="7"/>
  <c r="J6294" i="7"/>
  <c r="J6295" i="7"/>
  <c r="J6296" i="7"/>
  <c r="J6297" i="7"/>
  <c r="J6298" i="7"/>
  <c r="J6299" i="7"/>
  <c r="J6300" i="7"/>
  <c r="J6301" i="7"/>
  <c r="J6302" i="7"/>
  <c r="J6303" i="7"/>
  <c r="J6304" i="7"/>
  <c r="J6305" i="7"/>
  <c r="J6306" i="7"/>
  <c r="J6307" i="7"/>
  <c r="J6308" i="7"/>
  <c r="J6309" i="7"/>
  <c r="J6310" i="7"/>
  <c r="J6311" i="7"/>
  <c r="J6312" i="7"/>
  <c r="J6313" i="7"/>
  <c r="J6314" i="7"/>
  <c r="J6315" i="7"/>
  <c r="J6316" i="7"/>
  <c r="J6317" i="7"/>
  <c r="J6318" i="7"/>
  <c r="J6319" i="7"/>
  <c r="J6320" i="7"/>
  <c r="J6321" i="7"/>
  <c r="J6322" i="7"/>
  <c r="J6323" i="7"/>
  <c r="J6324" i="7"/>
  <c r="J6325" i="7"/>
  <c r="J6326" i="7"/>
  <c r="J6327" i="7"/>
  <c r="J6328" i="7"/>
  <c r="J6329" i="7"/>
  <c r="J6330" i="7"/>
  <c r="J6331" i="7"/>
  <c r="J6332" i="7"/>
  <c r="J6333" i="7"/>
  <c r="J6334" i="7"/>
  <c r="J6335" i="7"/>
  <c r="J6336" i="7"/>
  <c r="J6337" i="7"/>
  <c r="J6338" i="7"/>
  <c r="J6339" i="7"/>
  <c r="J6340" i="7"/>
  <c r="J6341" i="7"/>
  <c r="J6342" i="7"/>
  <c r="J6343" i="7"/>
  <c r="J6344" i="7"/>
  <c r="J6345" i="7"/>
  <c r="J6346" i="7"/>
  <c r="J6347" i="7"/>
  <c r="J6348" i="7"/>
  <c r="J6349" i="7"/>
  <c r="J6350" i="7"/>
  <c r="J6351" i="7"/>
  <c r="J6352" i="7"/>
  <c r="J6353" i="7"/>
  <c r="J6354" i="7"/>
  <c r="J6355" i="7"/>
  <c r="J6356" i="7"/>
  <c r="J6357" i="7"/>
  <c r="J6358" i="7"/>
  <c r="J6359" i="7"/>
  <c r="J6360" i="7"/>
  <c r="J6361" i="7"/>
  <c r="J6362" i="7"/>
  <c r="J6363" i="7"/>
  <c r="J6364" i="7"/>
  <c r="J6365" i="7"/>
  <c r="J6366" i="7"/>
  <c r="J6367" i="7"/>
  <c r="J6368" i="7"/>
  <c r="J6369" i="7"/>
  <c r="J6370" i="7"/>
  <c r="J6371" i="7"/>
  <c r="J6372" i="7"/>
  <c r="J6373" i="7"/>
  <c r="J6374" i="7"/>
  <c r="J6375" i="7"/>
  <c r="J6376" i="7"/>
  <c r="J6377" i="7"/>
  <c r="J6378" i="7"/>
  <c r="J6379" i="7"/>
  <c r="J6380" i="7"/>
  <c r="J6381" i="7"/>
  <c r="J6382" i="7"/>
  <c r="J6383" i="7"/>
  <c r="J6384" i="7"/>
  <c r="J6385" i="7"/>
  <c r="J6386" i="7"/>
  <c r="J6387" i="7"/>
  <c r="J6388" i="7"/>
  <c r="J6389" i="7"/>
  <c r="J6390" i="7"/>
  <c r="J6391" i="7"/>
  <c r="J6392" i="7"/>
  <c r="J6393" i="7"/>
  <c r="J6394" i="7"/>
  <c r="J6395" i="7"/>
  <c r="J6396" i="7"/>
  <c r="J6397" i="7"/>
  <c r="J6398" i="7"/>
  <c r="J6399" i="7"/>
  <c r="J6400" i="7"/>
  <c r="J6401" i="7"/>
  <c r="J6402" i="7"/>
  <c r="J6403" i="7"/>
  <c r="J6404" i="7"/>
  <c r="J6405" i="7"/>
  <c r="J6406" i="7"/>
  <c r="J6407" i="7"/>
  <c r="J6408" i="7"/>
  <c r="J6409" i="7"/>
  <c r="J6410" i="7"/>
  <c r="J6411" i="7"/>
  <c r="J6412" i="7"/>
  <c r="J6413" i="7"/>
  <c r="J6414" i="7"/>
  <c r="J6415" i="7"/>
  <c r="J6416" i="7"/>
  <c r="J6417" i="7"/>
  <c r="J6418" i="7"/>
  <c r="J6419" i="7"/>
  <c r="J6420" i="7"/>
  <c r="J6421" i="7"/>
  <c r="J6422" i="7"/>
  <c r="J6423" i="7"/>
  <c r="J6424" i="7"/>
  <c r="J6425" i="7"/>
  <c r="J6426" i="7"/>
  <c r="J6427" i="7"/>
  <c r="J6428" i="7"/>
  <c r="J6429" i="7"/>
  <c r="J6430" i="7"/>
  <c r="J6431" i="7"/>
  <c r="J6432" i="7"/>
  <c r="J6433" i="7"/>
  <c r="J6434" i="7"/>
  <c r="J6435" i="7"/>
  <c r="J6436" i="7"/>
  <c r="J6437" i="7"/>
  <c r="J6438" i="7"/>
  <c r="J6439" i="7"/>
  <c r="J6440" i="7"/>
  <c r="J6441" i="7"/>
  <c r="J6442" i="7"/>
  <c r="J6443" i="7"/>
  <c r="J6444" i="7"/>
  <c r="J6445" i="7"/>
  <c r="J6446" i="7"/>
  <c r="J6447" i="7"/>
  <c r="J6448" i="7"/>
  <c r="J6449" i="7"/>
  <c r="J6450" i="7"/>
  <c r="J6451" i="7"/>
  <c r="J6452" i="7"/>
  <c r="J6453" i="7"/>
  <c r="J6454" i="7"/>
  <c r="J6455" i="7"/>
  <c r="J6456" i="7"/>
  <c r="J6457" i="7"/>
  <c r="J6458" i="7"/>
  <c r="J6459" i="7"/>
  <c r="J6460" i="7"/>
  <c r="J6461" i="7"/>
  <c r="J6462" i="7"/>
  <c r="J6463" i="7"/>
  <c r="J6464" i="7"/>
  <c r="J6465" i="7"/>
  <c r="J6466" i="7"/>
  <c r="J6467" i="7"/>
  <c r="J6468" i="7"/>
  <c r="J6469" i="7"/>
  <c r="J6470" i="7"/>
  <c r="J6471" i="7"/>
  <c r="J6472" i="7"/>
  <c r="J6473" i="7"/>
  <c r="J6474" i="7"/>
  <c r="J6475" i="7"/>
  <c r="J6476" i="7"/>
  <c r="J6477" i="7"/>
  <c r="J6478" i="7"/>
  <c r="J6479" i="7"/>
  <c r="J6480" i="7"/>
  <c r="J6481" i="7"/>
  <c r="J6482" i="7"/>
  <c r="J6483" i="7"/>
  <c r="J6484" i="7"/>
  <c r="J6485" i="7"/>
  <c r="J6486" i="7"/>
  <c r="J6487" i="7"/>
  <c r="J6488" i="7"/>
  <c r="J6489" i="7"/>
  <c r="J6490" i="7"/>
  <c r="J6491" i="7"/>
  <c r="J6492" i="7"/>
  <c r="J6493" i="7"/>
  <c r="J6494" i="7"/>
  <c r="J6495" i="7"/>
  <c r="J6496" i="7"/>
  <c r="J6497" i="7"/>
  <c r="J6498" i="7"/>
  <c r="J6499" i="7"/>
  <c r="J6500" i="7"/>
  <c r="J6501" i="7"/>
  <c r="J6502" i="7"/>
  <c r="J6503" i="7"/>
  <c r="J6504" i="7"/>
  <c r="J6505" i="7"/>
  <c r="J6506" i="7"/>
  <c r="J6507" i="7"/>
  <c r="J6508" i="7"/>
  <c r="J6509" i="7"/>
  <c r="J6510" i="7"/>
  <c r="J6511" i="7"/>
  <c r="J6512" i="7"/>
  <c r="J6513" i="7"/>
  <c r="J6514" i="7"/>
  <c r="J6515" i="7"/>
  <c r="J6516" i="7"/>
  <c r="J6517" i="7"/>
  <c r="J6518" i="7"/>
  <c r="J6519" i="7"/>
  <c r="J6520" i="7"/>
  <c r="J6521" i="7"/>
  <c r="J6522" i="7"/>
  <c r="J6523" i="7"/>
  <c r="J6524" i="7"/>
  <c r="J6525" i="7"/>
  <c r="J6526" i="7"/>
  <c r="J6527" i="7"/>
  <c r="J6528" i="7"/>
  <c r="J6529" i="7"/>
  <c r="J6530" i="7"/>
  <c r="J6531" i="7"/>
  <c r="J6532" i="7"/>
  <c r="J6533" i="7"/>
  <c r="J6534" i="7"/>
  <c r="J6535" i="7"/>
  <c r="J6536" i="7"/>
  <c r="J6537" i="7"/>
  <c r="J6538" i="7"/>
  <c r="J6539" i="7"/>
  <c r="J6540" i="7"/>
  <c r="J6541" i="7"/>
  <c r="J6542" i="7"/>
  <c r="J6543" i="7"/>
  <c r="J6544" i="7"/>
  <c r="J6545" i="7"/>
  <c r="J6546" i="7"/>
  <c r="J6547" i="7"/>
  <c r="J6548" i="7"/>
  <c r="J6549" i="7"/>
  <c r="J6550" i="7"/>
  <c r="J6551" i="7"/>
  <c r="J6552" i="7"/>
  <c r="J6553" i="7"/>
  <c r="J6554" i="7"/>
  <c r="J6555" i="7"/>
  <c r="J6556" i="7"/>
  <c r="J6557" i="7"/>
  <c r="J6558" i="7"/>
  <c r="J6559" i="7"/>
  <c r="J6560" i="7"/>
  <c r="J6561" i="7"/>
  <c r="J6562" i="7"/>
  <c r="J6563" i="7"/>
  <c r="J6564" i="7"/>
  <c r="J6565" i="7"/>
  <c r="J6566" i="7"/>
  <c r="J6567" i="7"/>
  <c r="J6568" i="7"/>
  <c r="J6569" i="7"/>
  <c r="J6570" i="7"/>
  <c r="J6571" i="7"/>
  <c r="J6572" i="7"/>
  <c r="J6573" i="7"/>
  <c r="J6574" i="7"/>
  <c r="J6575" i="7"/>
  <c r="J6576" i="7"/>
  <c r="J6577" i="7"/>
  <c r="J6578" i="7"/>
  <c r="J6579" i="7"/>
  <c r="J6580" i="7"/>
  <c r="J6581" i="7"/>
  <c r="J6582" i="7"/>
  <c r="J6583" i="7"/>
  <c r="J6584" i="7"/>
  <c r="J6585" i="7"/>
  <c r="J6586" i="7"/>
  <c r="J6587" i="7"/>
  <c r="J6588" i="7"/>
  <c r="J6589" i="7"/>
  <c r="J6590" i="7"/>
  <c r="J6591" i="7"/>
  <c r="J6592" i="7"/>
  <c r="J6593" i="7"/>
  <c r="J6594" i="7"/>
  <c r="J6595" i="7"/>
  <c r="J6596" i="7"/>
  <c r="J6597" i="7"/>
  <c r="J6598" i="7"/>
  <c r="J6599" i="7"/>
  <c r="J6600" i="7"/>
  <c r="J6601" i="7"/>
  <c r="J6602" i="7"/>
  <c r="J6603" i="7"/>
  <c r="J6604" i="7"/>
  <c r="J6605" i="7"/>
  <c r="J6606" i="7"/>
  <c r="J6607" i="7"/>
  <c r="J6608" i="7"/>
  <c r="J6609" i="7"/>
  <c r="J6610" i="7"/>
  <c r="J6611" i="7"/>
  <c r="J6612" i="7"/>
  <c r="J6613" i="7"/>
  <c r="J6614" i="7"/>
  <c r="J6615" i="7"/>
  <c r="J6616" i="7"/>
  <c r="J6617" i="7"/>
  <c r="J6618" i="7"/>
  <c r="J6619" i="7"/>
  <c r="J6620" i="7"/>
  <c r="J6621" i="7"/>
  <c r="J6622" i="7"/>
  <c r="J6623" i="7"/>
  <c r="J6624" i="7"/>
  <c r="J6625" i="7"/>
  <c r="J6626" i="7"/>
  <c r="J6627" i="7"/>
  <c r="J6628" i="7"/>
  <c r="J6629" i="7"/>
  <c r="J6630" i="7"/>
  <c r="J6631" i="7"/>
  <c r="J6632" i="7"/>
  <c r="J6633" i="7"/>
  <c r="J6634" i="7"/>
  <c r="J6635" i="7"/>
  <c r="J6636" i="7"/>
  <c r="J6637" i="7"/>
  <c r="J6638" i="7"/>
  <c r="J6639" i="7"/>
  <c r="J6640" i="7"/>
  <c r="J6641" i="7"/>
  <c r="J6642" i="7"/>
  <c r="J6643" i="7"/>
  <c r="J6644" i="7"/>
  <c r="J6645" i="7"/>
  <c r="J6646" i="7"/>
  <c r="J6647" i="7"/>
  <c r="J6648" i="7"/>
  <c r="J6649" i="7"/>
  <c r="J6650" i="7"/>
  <c r="J6651" i="7"/>
  <c r="J6652" i="7"/>
  <c r="J6653" i="7"/>
  <c r="J6654" i="7"/>
  <c r="J6655" i="7"/>
  <c r="J6656" i="7"/>
  <c r="J6657" i="7"/>
  <c r="J6658" i="7"/>
  <c r="J6659" i="7"/>
  <c r="J6660" i="7"/>
  <c r="J6661" i="7"/>
  <c r="J6662" i="7"/>
  <c r="J6663" i="7"/>
  <c r="J6664" i="7"/>
  <c r="J6665" i="7"/>
  <c r="J6666" i="7"/>
  <c r="J6667" i="7"/>
  <c r="J6668" i="7"/>
  <c r="J6669" i="7"/>
  <c r="J6670" i="7"/>
  <c r="J6671" i="7"/>
  <c r="J6672" i="7"/>
  <c r="J6673" i="7"/>
  <c r="J6674" i="7"/>
  <c r="J6675" i="7"/>
  <c r="J6676" i="7"/>
  <c r="J6677" i="7"/>
  <c r="J6678" i="7"/>
  <c r="J6679" i="7"/>
  <c r="J6680" i="7"/>
  <c r="J6681" i="7"/>
  <c r="J6682" i="7"/>
  <c r="J6683" i="7"/>
  <c r="J6684" i="7"/>
  <c r="J6685" i="7"/>
  <c r="J6686" i="7"/>
  <c r="J6687" i="7"/>
  <c r="J6688" i="7"/>
  <c r="J6689" i="7"/>
  <c r="J6690" i="7"/>
  <c r="J6691" i="7"/>
  <c r="J6692" i="7"/>
  <c r="J6693" i="7"/>
  <c r="J6694" i="7"/>
  <c r="J6695" i="7"/>
  <c r="J6696" i="7"/>
  <c r="J6697" i="7"/>
  <c r="J6698" i="7"/>
  <c r="J6699" i="7"/>
  <c r="J6700" i="7"/>
  <c r="J6701" i="7"/>
  <c r="J6702" i="7"/>
  <c r="J6703" i="7"/>
  <c r="J6704" i="7"/>
  <c r="J6705" i="7"/>
  <c r="J6706" i="7"/>
  <c r="J6707" i="7"/>
  <c r="J6708" i="7"/>
  <c r="J6709" i="7"/>
  <c r="J6710" i="7"/>
  <c r="J6711" i="7"/>
  <c r="J6712" i="7"/>
  <c r="J6713" i="7"/>
  <c r="J6714" i="7"/>
  <c r="J6715" i="7"/>
  <c r="J6716" i="7"/>
  <c r="J6717" i="7"/>
  <c r="J6718" i="7"/>
  <c r="J6719" i="7"/>
  <c r="J6720" i="7"/>
  <c r="J6721" i="7"/>
  <c r="J6722" i="7"/>
  <c r="J6723" i="7"/>
  <c r="J6724" i="7"/>
  <c r="J6725" i="7"/>
  <c r="J6726" i="7"/>
  <c r="J6727" i="7"/>
  <c r="J6728" i="7"/>
  <c r="J6729" i="7"/>
  <c r="J6730" i="7"/>
  <c r="J6731" i="7"/>
  <c r="J6732" i="7"/>
  <c r="J6733" i="7"/>
  <c r="J6734" i="7"/>
  <c r="J6735" i="7"/>
  <c r="J6736" i="7"/>
  <c r="J6737" i="7"/>
  <c r="J6738" i="7"/>
  <c r="J6739" i="7"/>
  <c r="J6740" i="7"/>
  <c r="J6741" i="7"/>
  <c r="J6742" i="7"/>
  <c r="J6743" i="7"/>
  <c r="J6744" i="7"/>
  <c r="J6745" i="7"/>
  <c r="J6746" i="7"/>
  <c r="J6747" i="7"/>
  <c r="J6748" i="7"/>
  <c r="J6749" i="7"/>
  <c r="J6750" i="7"/>
  <c r="J6751" i="7"/>
  <c r="J6752" i="7"/>
  <c r="J6753" i="7"/>
  <c r="J6754" i="7"/>
  <c r="J6755" i="7"/>
  <c r="J6756" i="7"/>
  <c r="J6757" i="7"/>
  <c r="J6758" i="7"/>
  <c r="J6759" i="7"/>
  <c r="J6760" i="7"/>
  <c r="J6761" i="7"/>
  <c r="J6762" i="7"/>
  <c r="J6763" i="7"/>
  <c r="J6764" i="7"/>
  <c r="J6765" i="7"/>
  <c r="J6766" i="7"/>
  <c r="J6767" i="7"/>
  <c r="J6768" i="7"/>
  <c r="J6769" i="7"/>
  <c r="J6770" i="7"/>
  <c r="J6771" i="7"/>
  <c r="J6772" i="7"/>
  <c r="J6773" i="7"/>
  <c r="J6774" i="7"/>
  <c r="J6775" i="7"/>
  <c r="J6776" i="7"/>
  <c r="J6777" i="7"/>
  <c r="J6778" i="7"/>
  <c r="J6779" i="7"/>
  <c r="J6780" i="7"/>
  <c r="J6781" i="7"/>
  <c r="J6782" i="7"/>
  <c r="J6783" i="7"/>
  <c r="J6784" i="7"/>
  <c r="J6785" i="7"/>
  <c r="J6786" i="7"/>
  <c r="J6787" i="7"/>
  <c r="J6788" i="7"/>
  <c r="J6789" i="7"/>
  <c r="J6790" i="7"/>
  <c r="J6791" i="7"/>
  <c r="J6792" i="7"/>
  <c r="J6793" i="7"/>
  <c r="J6794" i="7"/>
  <c r="J6795" i="7"/>
  <c r="J6796" i="7"/>
  <c r="J6797" i="7"/>
  <c r="J6798" i="7"/>
  <c r="J6799" i="7"/>
  <c r="J6800" i="7"/>
  <c r="J6801" i="7"/>
  <c r="J6802" i="7"/>
  <c r="J6803" i="7"/>
  <c r="J6804" i="7"/>
  <c r="J6805" i="7"/>
  <c r="J6806" i="7"/>
  <c r="J6807" i="7"/>
  <c r="J6808" i="7"/>
  <c r="J6809" i="7"/>
  <c r="J6810" i="7"/>
  <c r="J6811" i="7"/>
  <c r="J6812" i="7"/>
  <c r="J6813" i="7"/>
  <c r="J6814" i="7"/>
  <c r="J6815" i="7"/>
  <c r="J6816" i="7"/>
  <c r="J6817" i="7"/>
  <c r="J6818" i="7"/>
  <c r="J6819" i="7"/>
  <c r="J6820" i="7"/>
  <c r="J6821" i="7"/>
  <c r="J6822" i="7"/>
  <c r="J6823" i="7"/>
  <c r="J6824" i="7"/>
  <c r="J6825" i="7"/>
  <c r="J6826" i="7"/>
  <c r="J6827" i="7"/>
  <c r="J6828" i="7"/>
  <c r="J6829" i="7"/>
  <c r="J6830" i="7"/>
  <c r="J6831" i="7"/>
  <c r="J6832" i="7"/>
  <c r="J6833" i="7"/>
  <c r="J6834" i="7"/>
  <c r="J6835" i="7"/>
  <c r="J6836" i="7"/>
  <c r="J6837" i="7"/>
  <c r="J6838" i="7"/>
  <c r="J6839" i="7"/>
  <c r="J6840" i="7"/>
  <c r="J6841" i="7"/>
  <c r="J6842" i="7"/>
  <c r="J6843" i="7"/>
  <c r="J6844" i="7"/>
  <c r="J6845" i="7"/>
  <c r="J6846" i="7"/>
  <c r="J6847" i="7"/>
  <c r="J6848" i="7"/>
  <c r="J6849" i="7"/>
  <c r="J6850" i="7"/>
  <c r="J6851" i="7"/>
  <c r="J6852" i="7"/>
  <c r="J6853" i="7"/>
  <c r="J6854" i="7"/>
  <c r="J6855" i="7"/>
  <c r="J6856" i="7"/>
  <c r="J6857" i="7"/>
  <c r="J6858" i="7"/>
  <c r="J6859" i="7"/>
  <c r="J6860" i="7"/>
  <c r="J6861" i="7"/>
  <c r="J6862" i="7"/>
  <c r="J6863" i="7"/>
  <c r="J6864" i="7"/>
  <c r="J6865" i="7"/>
  <c r="J6866" i="7"/>
  <c r="J6867" i="7"/>
  <c r="J6868" i="7"/>
  <c r="J6869" i="7"/>
  <c r="J6870" i="7"/>
  <c r="J6871" i="7"/>
  <c r="J6872" i="7"/>
  <c r="J6873" i="7"/>
  <c r="J6874" i="7"/>
  <c r="J6875" i="7"/>
  <c r="J6876" i="7"/>
  <c r="J6877" i="7"/>
  <c r="J6878" i="7"/>
  <c r="J6879" i="7"/>
  <c r="J6880" i="7"/>
  <c r="J6881" i="7"/>
  <c r="J6882" i="7"/>
  <c r="J6883" i="7"/>
  <c r="J6884" i="7"/>
  <c r="J6885" i="7"/>
  <c r="J6886" i="7"/>
  <c r="J6887" i="7"/>
  <c r="J6888" i="7"/>
  <c r="J6889" i="7"/>
  <c r="J6890" i="7"/>
  <c r="J6891" i="7"/>
  <c r="J6892" i="7"/>
  <c r="J6893" i="7"/>
  <c r="J6894" i="7"/>
  <c r="J6895" i="7"/>
  <c r="J6896" i="7"/>
  <c r="J6897" i="7"/>
  <c r="J6898" i="7"/>
  <c r="J6899" i="7"/>
  <c r="J6900" i="7"/>
  <c r="J6901" i="7"/>
  <c r="J6902" i="7"/>
  <c r="J6903" i="7"/>
  <c r="J6904" i="7"/>
  <c r="J6905" i="7"/>
  <c r="J6906" i="7"/>
  <c r="J6907" i="7"/>
  <c r="J6908" i="7"/>
  <c r="J6909" i="7"/>
  <c r="J6910" i="7"/>
  <c r="J6911" i="7"/>
  <c r="J6912" i="7"/>
  <c r="J6913" i="7"/>
  <c r="J6914" i="7"/>
  <c r="J6915" i="7"/>
  <c r="J6916" i="7"/>
  <c r="J6917" i="7"/>
  <c r="J6918" i="7"/>
  <c r="J6919" i="7"/>
  <c r="J6920" i="7"/>
  <c r="J6921" i="7"/>
  <c r="J6922" i="7"/>
  <c r="J6923" i="7"/>
  <c r="J6924" i="7"/>
  <c r="J6925" i="7"/>
  <c r="J6926" i="7"/>
  <c r="J6927" i="7"/>
  <c r="J6928" i="7"/>
  <c r="J6929" i="7"/>
  <c r="J6930" i="7"/>
  <c r="J6931" i="7"/>
  <c r="J6932" i="7"/>
  <c r="J6933" i="7"/>
  <c r="J6934" i="7"/>
  <c r="J6935" i="7"/>
  <c r="J6936" i="7"/>
  <c r="J6937" i="7"/>
  <c r="J6938" i="7"/>
  <c r="J6939" i="7"/>
  <c r="J6940" i="7"/>
  <c r="J6941" i="7"/>
  <c r="J6942" i="7"/>
  <c r="J6943" i="7"/>
  <c r="J6944" i="7"/>
  <c r="J6945" i="7"/>
  <c r="J6946" i="7"/>
  <c r="J6947" i="7"/>
  <c r="J6948" i="7"/>
  <c r="J6949" i="7"/>
  <c r="J6950" i="7"/>
  <c r="J6951" i="7"/>
  <c r="J6952" i="7"/>
  <c r="J6953" i="7"/>
  <c r="J6954" i="7"/>
  <c r="J6955" i="7"/>
  <c r="J6956" i="7"/>
  <c r="J6957" i="7"/>
  <c r="J6958" i="7"/>
  <c r="J6959" i="7"/>
  <c r="J6960" i="7"/>
  <c r="J6961" i="7"/>
  <c r="J6962" i="7"/>
  <c r="J6963" i="7"/>
  <c r="J6964" i="7"/>
  <c r="J6965" i="7"/>
  <c r="J6966" i="7"/>
  <c r="J6967" i="7"/>
  <c r="J6968" i="7"/>
  <c r="J6969" i="7"/>
  <c r="J6970" i="7"/>
  <c r="J6971" i="7"/>
  <c r="J6972" i="7"/>
  <c r="J6973" i="7"/>
  <c r="J6974" i="7"/>
  <c r="J6975" i="7"/>
  <c r="J6976" i="7"/>
  <c r="J6977" i="7"/>
  <c r="J6978" i="7"/>
  <c r="J6979" i="7"/>
  <c r="J6980" i="7"/>
  <c r="J6981" i="7"/>
  <c r="J6982" i="7"/>
  <c r="J6983" i="7"/>
  <c r="J6984" i="7"/>
  <c r="J6985" i="7"/>
  <c r="J6986" i="7"/>
  <c r="J6987" i="7"/>
  <c r="J6988" i="7"/>
  <c r="J6989" i="7"/>
  <c r="J6990" i="7"/>
  <c r="J6991" i="7"/>
  <c r="J6992" i="7"/>
  <c r="J6993" i="7"/>
  <c r="J6994" i="7"/>
  <c r="J6995" i="7"/>
  <c r="J6996" i="7"/>
  <c r="J6997" i="7"/>
  <c r="J6998" i="7"/>
  <c r="J6999" i="7"/>
  <c r="J7000" i="7"/>
  <c r="J7001" i="7"/>
  <c r="J7002" i="7"/>
  <c r="J7003" i="7"/>
  <c r="J7004" i="7"/>
  <c r="J7005" i="7"/>
  <c r="J7006" i="7"/>
  <c r="J7007" i="7"/>
  <c r="J7008" i="7"/>
  <c r="J7009" i="7"/>
  <c r="J7010" i="7"/>
  <c r="J7011" i="7"/>
  <c r="J7012" i="7"/>
  <c r="J7013" i="7"/>
  <c r="J7014" i="7"/>
  <c r="J7015" i="7"/>
  <c r="J7016" i="7"/>
  <c r="J7017" i="7"/>
  <c r="J7018" i="7"/>
  <c r="J7019" i="7"/>
  <c r="J7020" i="7"/>
  <c r="J7021" i="7"/>
  <c r="J7022" i="7"/>
  <c r="J7023" i="7"/>
  <c r="J7024" i="7"/>
  <c r="J7025" i="7"/>
  <c r="J7026" i="7"/>
  <c r="J7027" i="7"/>
  <c r="J7028" i="7"/>
  <c r="J7029" i="7"/>
  <c r="J7030" i="7"/>
  <c r="J7031" i="7"/>
  <c r="J7032" i="7"/>
  <c r="J7033" i="7"/>
  <c r="J7034" i="7"/>
  <c r="J7035" i="7"/>
  <c r="J7036" i="7"/>
  <c r="J7037" i="7"/>
  <c r="J7038" i="7"/>
  <c r="J7039" i="7"/>
  <c r="J7040" i="7"/>
  <c r="J7041" i="7"/>
  <c r="J7042" i="7"/>
  <c r="J7043" i="7"/>
  <c r="J7044" i="7"/>
  <c r="J7045" i="7"/>
  <c r="J7046" i="7"/>
  <c r="J7047" i="7"/>
  <c r="J7048" i="7"/>
  <c r="J7049" i="7"/>
  <c r="J7050" i="7"/>
  <c r="J7051" i="7"/>
  <c r="J7052" i="7"/>
  <c r="J7053" i="7"/>
  <c r="J7054" i="7"/>
  <c r="J7055" i="7"/>
  <c r="J7056" i="7"/>
  <c r="J7057" i="7"/>
  <c r="J7058" i="7"/>
  <c r="J7059" i="7"/>
  <c r="J7060" i="7"/>
  <c r="J7061" i="7"/>
  <c r="J7062" i="7"/>
  <c r="J7063" i="7"/>
  <c r="J7064" i="7"/>
  <c r="J7065" i="7"/>
  <c r="J7066" i="7"/>
  <c r="J7067" i="7"/>
  <c r="J7068" i="7"/>
  <c r="J7069" i="7"/>
  <c r="J7070" i="7"/>
  <c r="J7071" i="7"/>
  <c r="J7072" i="7"/>
  <c r="J7073" i="7"/>
  <c r="J7074" i="7"/>
  <c r="J7075" i="7"/>
  <c r="J7076" i="7"/>
  <c r="J7077" i="7"/>
  <c r="J7078" i="7"/>
  <c r="J7079" i="7"/>
  <c r="J7080" i="7"/>
  <c r="J7081" i="7"/>
  <c r="J7082" i="7"/>
  <c r="J7083" i="7"/>
  <c r="J7084" i="7"/>
  <c r="J7085" i="7"/>
  <c r="J7086" i="7"/>
  <c r="J7087" i="7"/>
  <c r="J7088" i="7"/>
  <c r="J7089" i="7"/>
  <c r="J7090" i="7"/>
  <c r="J7091" i="7"/>
  <c r="J7092" i="7"/>
  <c r="J7093" i="7"/>
  <c r="J7094" i="7"/>
  <c r="J7095" i="7"/>
  <c r="J7096" i="7"/>
  <c r="J7097" i="7"/>
  <c r="J7098" i="7"/>
  <c r="J7099" i="7"/>
  <c r="J7100" i="7"/>
  <c r="J7101" i="7"/>
  <c r="J7102" i="7"/>
  <c r="J7103" i="7"/>
  <c r="J7104" i="7"/>
  <c r="J7105" i="7"/>
  <c r="J7106" i="7"/>
  <c r="J7107" i="7"/>
  <c r="J7108" i="7"/>
  <c r="J7109" i="7"/>
  <c r="J7110" i="7"/>
  <c r="J7111" i="7"/>
  <c r="J7112" i="7"/>
  <c r="J7113" i="7"/>
  <c r="J7114" i="7"/>
  <c r="J7115" i="7"/>
  <c r="J7116" i="7"/>
  <c r="J7117" i="7"/>
  <c r="J7118" i="7"/>
  <c r="J7119" i="7"/>
  <c r="J7120" i="7"/>
  <c r="J7121" i="7"/>
  <c r="J7122" i="7"/>
  <c r="J7123" i="7"/>
  <c r="J7124" i="7"/>
  <c r="J7125" i="7"/>
  <c r="J7126" i="7"/>
  <c r="J7127" i="7"/>
  <c r="J7128" i="7"/>
  <c r="J7129" i="7"/>
  <c r="J7130" i="7"/>
  <c r="J7131" i="7"/>
  <c r="J7132" i="7"/>
  <c r="J7133" i="7"/>
  <c r="J7134" i="7"/>
  <c r="J7135" i="7"/>
  <c r="J7136" i="7"/>
  <c r="J7137" i="7"/>
  <c r="J7138" i="7"/>
  <c r="J7139" i="7"/>
  <c r="J7140" i="7"/>
  <c r="J7141" i="7"/>
  <c r="J7142" i="7"/>
  <c r="J7143" i="7"/>
  <c r="J7144" i="7"/>
  <c r="J7145" i="7"/>
  <c r="J7146" i="7"/>
  <c r="J7147" i="7"/>
  <c r="J7148" i="7"/>
  <c r="J7149" i="7"/>
  <c r="J7150" i="7"/>
  <c r="J7151" i="7"/>
  <c r="J7152" i="7"/>
  <c r="J7153" i="7"/>
  <c r="J7154" i="7"/>
  <c r="J7155" i="7"/>
  <c r="J7156" i="7"/>
  <c r="J7157" i="7"/>
  <c r="J7158" i="7"/>
  <c r="J7159" i="7"/>
  <c r="J7160" i="7"/>
  <c r="J7161" i="7"/>
  <c r="J7162" i="7"/>
  <c r="J7163" i="7"/>
  <c r="J7164" i="7"/>
  <c r="J7165" i="7"/>
  <c r="J7166" i="7"/>
  <c r="J7167" i="7"/>
  <c r="J7168" i="7"/>
  <c r="J7169" i="7"/>
  <c r="J7170" i="7"/>
  <c r="J7171" i="7"/>
  <c r="J7172" i="7"/>
  <c r="J7173" i="7"/>
  <c r="J7174" i="7"/>
  <c r="J7175" i="7"/>
  <c r="J7176" i="7"/>
  <c r="J7177" i="7"/>
  <c r="J7178" i="7"/>
  <c r="J7179" i="7"/>
  <c r="J7180" i="7"/>
  <c r="J7181" i="7"/>
  <c r="J7182" i="7"/>
  <c r="J7183" i="7"/>
  <c r="J7184" i="7"/>
  <c r="J7185" i="7"/>
  <c r="J7186" i="7"/>
  <c r="J7187" i="7"/>
  <c r="J7188" i="7"/>
  <c r="J7189" i="7"/>
  <c r="J7190" i="7"/>
  <c r="J7191" i="7"/>
  <c r="J7192" i="7"/>
  <c r="J7193" i="7"/>
  <c r="J7194" i="7"/>
  <c r="J7195" i="7"/>
  <c r="J7196" i="7"/>
  <c r="J7197" i="7"/>
  <c r="J7198" i="7"/>
  <c r="J7199" i="7"/>
  <c r="J7200" i="7"/>
  <c r="J7201" i="7"/>
  <c r="J7202" i="7"/>
  <c r="J7203" i="7"/>
  <c r="J7204" i="7"/>
  <c r="J7205" i="7"/>
  <c r="J7206" i="7"/>
  <c r="J7207" i="7"/>
  <c r="J7208" i="7"/>
  <c r="J7209" i="7"/>
  <c r="J7210" i="7"/>
  <c r="J7211" i="7"/>
  <c r="J7212" i="7"/>
  <c r="J7213" i="7"/>
  <c r="J7214" i="7"/>
  <c r="J7215" i="7"/>
  <c r="J7216" i="7"/>
  <c r="J7217" i="7"/>
  <c r="J7218" i="7"/>
  <c r="J7219" i="7"/>
  <c r="J7220" i="7"/>
  <c r="J7221" i="7"/>
  <c r="J7222" i="7"/>
  <c r="J7223" i="7"/>
  <c r="J7224" i="7"/>
  <c r="J7225" i="7"/>
  <c r="J7226" i="7"/>
  <c r="J7227" i="7"/>
  <c r="J7228" i="7"/>
  <c r="J7229" i="7"/>
  <c r="J7230" i="7"/>
  <c r="J7231" i="7"/>
  <c r="J7232" i="7"/>
  <c r="J7233" i="7"/>
  <c r="J7234" i="7"/>
  <c r="J7235" i="7"/>
  <c r="J7236" i="7"/>
  <c r="J7237" i="7"/>
  <c r="J7238" i="7"/>
  <c r="J7239" i="7"/>
  <c r="J7240" i="7"/>
  <c r="J7241" i="7"/>
  <c r="J7242" i="7"/>
  <c r="J7243" i="7"/>
  <c r="J7244" i="7"/>
  <c r="J7245" i="7"/>
  <c r="J7246" i="7"/>
  <c r="J7247" i="7"/>
  <c r="J7248" i="7"/>
  <c r="J7249" i="7"/>
  <c r="J7250" i="7"/>
  <c r="J7251" i="7"/>
  <c r="J7252" i="7"/>
  <c r="J7253" i="7"/>
  <c r="J7254" i="7"/>
  <c r="J7255" i="7"/>
  <c r="J7256" i="7"/>
  <c r="J7257" i="7"/>
  <c r="J7258" i="7"/>
  <c r="J7259" i="7"/>
  <c r="J7260" i="7"/>
  <c r="J7261" i="7"/>
  <c r="J7262" i="7"/>
  <c r="J7263" i="7"/>
  <c r="J7264" i="7"/>
  <c r="J7265" i="7"/>
  <c r="J7266" i="7"/>
  <c r="J7267" i="7"/>
  <c r="J7268" i="7"/>
  <c r="J7269" i="7"/>
  <c r="J7270" i="7"/>
  <c r="J7271" i="7"/>
  <c r="J7272" i="7"/>
  <c r="J7273" i="7"/>
  <c r="J7274" i="7"/>
  <c r="J7275" i="7"/>
  <c r="J7276" i="7"/>
  <c r="J7277" i="7"/>
  <c r="J7278" i="7"/>
  <c r="J7279" i="7"/>
  <c r="J7280" i="7"/>
  <c r="J7281" i="7"/>
  <c r="J7282" i="7"/>
  <c r="J7283" i="7"/>
  <c r="J7284" i="7"/>
  <c r="J7285" i="7"/>
  <c r="J7286" i="7"/>
  <c r="J7287" i="7"/>
  <c r="J7288" i="7"/>
  <c r="J7289" i="7"/>
  <c r="J7290" i="7"/>
  <c r="J7291" i="7"/>
  <c r="J7292" i="7"/>
  <c r="J7293" i="7"/>
  <c r="J7294" i="7"/>
  <c r="J7295" i="7"/>
  <c r="J7296" i="7"/>
  <c r="J7297" i="7"/>
  <c r="J7298" i="7"/>
  <c r="J7299" i="7"/>
  <c r="J7300" i="7"/>
  <c r="J7301" i="7"/>
  <c r="J7302" i="7"/>
  <c r="J7303" i="7"/>
  <c r="J7304" i="7"/>
  <c r="J7305" i="7"/>
  <c r="J7306" i="7"/>
  <c r="J7307" i="7"/>
  <c r="J7308" i="7"/>
  <c r="J7309" i="7"/>
  <c r="J7310" i="7"/>
  <c r="J7311" i="7"/>
  <c r="J7312" i="7"/>
  <c r="J7313" i="7"/>
  <c r="J7314" i="7"/>
  <c r="J7315" i="7"/>
  <c r="J7316" i="7"/>
  <c r="J7317" i="7"/>
  <c r="J7318" i="7"/>
  <c r="J7319" i="7"/>
  <c r="J7320" i="7"/>
  <c r="J7321" i="7"/>
  <c r="J7322" i="7"/>
  <c r="J7323" i="7"/>
  <c r="J7324" i="7"/>
  <c r="J7325" i="7"/>
  <c r="J7326" i="7"/>
  <c r="J7327" i="7"/>
  <c r="J7328" i="7"/>
  <c r="J7329" i="7"/>
  <c r="J7330" i="7"/>
  <c r="J7331" i="7"/>
  <c r="J7332" i="7"/>
  <c r="J7333" i="7"/>
  <c r="J7334" i="7"/>
  <c r="J7335" i="7"/>
  <c r="J7336" i="7"/>
  <c r="J7337" i="7"/>
  <c r="J7338" i="7"/>
  <c r="J7339" i="7"/>
  <c r="J7340" i="7"/>
  <c r="J7341" i="7"/>
  <c r="J7342" i="7"/>
  <c r="J7343" i="7"/>
  <c r="J7344" i="7"/>
  <c r="J7345" i="7"/>
  <c r="J7346" i="7"/>
  <c r="J7347" i="7"/>
  <c r="J7348" i="7"/>
  <c r="J7349" i="7"/>
  <c r="J7350" i="7"/>
  <c r="J7351" i="7"/>
  <c r="J7352" i="7"/>
  <c r="J7353" i="7"/>
  <c r="J7354" i="7"/>
  <c r="J7355" i="7"/>
  <c r="J7356" i="7"/>
  <c r="J7357" i="7"/>
  <c r="J7358" i="7"/>
  <c r="J7359" i="7"/>
  <c r="J7360" i="7"/>
  <c r="J7361" i="7"/>
  <c r="J7362" i="7"/>
  <c r="J7363" i="7"/>
  <c r="J7364" i="7"/>
  <c r="J7365" i="7"/>
  <c r="J7366" i="7"/>
  <c r="J7367" i="7"/>
  <c r="J7368" i="7"/>
  <c r="J7369" i="7"/>
  <c r="J7370" i="7"/>
  <c r="J7371" i="7"/>
  <c r="J7372" i="7"/>
  <c r="J7373" i="7"/>
  <c r="J7374" i="7"/>
  <c r="J7375" i="7"/>
  <c r="J7376" i="7"/>
  <c r="J7377" i="7"/>
  <c r="J7378" i="7"/>
  <c r="J7379" i="7"/>
  <c r="J7380" i="7"/>
  <c r="J7381" i="7"/>
  <c r="J7382" i="7"/>
  <c r="J7383" i="7"/>
  <c r="J7384" i="7"/>
  <c r="J7385" i="7"/>
  <c r="J7386" i="7"/>
  <c r="J7387" i="7"/>
  <c r="J7388" i="7"/>
  <c r="J7389" i="7"/>
  <c r="J7390" i="7"/>
  <c r="J7391" i="7"/>
  <c r="J7392" i="7"/>
  <c r="J7393" i="7"/>
  <c r="J7394" i="7"/>
  <c r="J7395" i="7"/>
  <c r="J7396" i="7"/>
  <c r="J7397" i="7"/>
  <c r="J7398" i="7"/>
  <c r="J7399" i="7"/>
  <c r="J7400" i="7"/>
  <c r="J7401" i="7"/>
  <c r="J7402" i="7"/>
  <c r="J7403" i="7"/>
  <c r="J7404" i="7"/>
  <c r="J7405" i="7"/>
  <c r="J7406" i="7"/>
  <c r="J7407" i="7"/>
  <c r="J7408" i="7"/>
  <c r="J7409" i="7"/>
  <c r="J7410" i="7"/>
  <c r="J7411" i="7"/>
  <c r="J7412" i="7"/>
  <c r="J7413" i="7"/>
  <c r="J7414" i="7"/>
  <c r="J7415" i="7"/>
  <c r="J7416" i="7"/>
  <c r="J7417" i="7"/>
  <c r="J7418" i="7"/>
  <c r="J7419" i="7"/>
  <c r="J7420" i="7"/>
  <c r="J7421" i="7"/>
  <c r="J7422" i="7"/>
  <c r="J7423" i="7"/>
  <c r="J7424" i="7"/>
  <c r="J7425" i="7"/>
  <c r="J7426" i="7"/>
  <c r="J7427" i="7"/>
  <c r="J7428" i="7"/>
  <c r="J7429" i="7"/>
  <c r="J7430" i="7"/>
  <c r="J7431" i="7"/>
  <c r="J7432" i="7"/>
  <c r="J7433" i="7"/>
  <c r="J7434" i="7"/>
  <c r="J7435" i="7"/>
  <c r="J7436" i="7"/>
  <c r="J7437" i="7"/>
  <c r="J7438" i="7"/>
  <c r="J7439" i="7"/>
  <c r="J7440" i="7"/>
  <c r="J7441" i="7"/>
  <c r="J7442" i="7"/>
  <c r="J7443" i="7"/>
  <c r="J7444" i="7"/>
  <c r="J7445" i="7"/>
  <c r="J7446" i="7"/>
  <c r="J7447" i="7"/>
  <c r="J7448" i="7"/>
  <c r="J7449" i="7"/>
  <c r="J7450" i="7"/>
  <c r="J7451" i="7"/>
  <c r="J7452" i="7"/>
  <c r="J7453" i="7"/>
  <c r="J7454" i="7"/>
  <c r="J7455" i="7"/>
  <c r="J7456" i="7"/>
  <c r="J7457" i="7"/>
  <c r="J7458" i="7"/>
  <c r="J7459" i="7"/>
  <c r="J7460" i="7"/>
  <c r="J7461" i="7"/>
  <c r="J7462" i="7"/>
  <c r="J7463" i="7"/>
  <c r="J7464" i="7"/>
  <c r="J7465" i="7"/>
  <c r="J7466" i="7"/>
  <c r="J7467" i="7"/>
  <c r="J7468" i="7"/>
  <c r="J7469" i="7"/>
  <c r="J7470" i="7"/>
  <c r="J7471" i="7"/>
  <c r="J7472" i="7"/>
  <c r="J7473" i="7"/>
  <c r="J7474" i="7"/>
  <c r="J7475" i="7"/>
  <c r="J7476" i="7"/>
  <c r="J7477" i="7"/>
  <c r="J7478" i="7"/>
  <c r="J7479" i="7"/>
  <c r="J7480" i="7"/>
  <c r="J7481" i="7"/>
  <c r="J7482" i="7"/>
  <c r="J7483" i="7"/>
  <c r="J7484" i="7"/>
  <c r="J7485" i="7"/>
  <c r="J7486" i="7"/>
  <c r="J7487" i="7"/>
  <c r="J7488" i="7"/>
  <c r="J7489" i="7"/>
  <c r="J7490" i="7"/>
  <c r="J7491" i="7"/>
  <c r="J7492" i="7"/>
  <c r="J7493" i="7"/>
  <c r="J7494" i="7"/>
  <c r="J7495" i="7"/>
  <c r="J7496" i="7"/>
  <c r="J7497" i="7"/>
  <c r="J7498" i="7"/>
  <c r="J7499" i="7"/>
  <c r="J7500" i="7"/>
  <c r="J7501" i="7"/>
  <c r="J7502" i="7"/>
  <c r="J7503" i="7"/>
  <c r="J7504" i="7"/>
  <c r="J7505" i="7"/>
  <c r="J7506" i="7"/>
  <c r="J7507" i="7"/>
  <c r="J7508" i="7"/>
  <c r="J7509" i="7"/>
  <c r="J7510" i="7"/>
  <c r="J7511" i="7"/>
  <c r="J7512" i="7"/>
  <c r="J7513" i="7"/>
  <c r="J7514" i="7"/>
  <c r="J7515" i="7"/>
  <c r="J7516" i="7"/>
  <c r="J7517" i="7"/>
  <c r="J7518" i="7"/>
  <c r="J7519" i="7"/>
  <c r="J7520" i="7"/>
  <c r="J7521" i="7"/>
  <c r="J7522" i="7"/>
  <c r="J7523" i="7"/>
  <c r="J7524" i="7"/>
  <c r="J7525" i="7"/>
  <c r="J7526" i="7"/>
  <c r="J7527" i="7"/>
  <c r="J7528" i="7"/>
  <c r="J7529" i="7"/>
  <c r="J7530" i="7"/>
  <c r="J7531" i="7"/>
  <c r="J7532" i="7"/>
  <c r="J7533" i="7"/>
  <c r="J7534" i="7"/>
  <c r="J7535" i="7"/>
  <c r="J7536" i="7"/>
  <c r="J7537" i="7"/>
  <c r="J7538" i="7"/>
  <c r="J7539" i="7"/>
  <c r="J7540" i="7"/>
  <c r="J7541" i="7"/>
  <c r="J7542" i="7"/>
  <c r="J7543" i="7"/>
  <c r="J7544" i="7"/>
  <c r="J7545" i="7"/>
  <c r="J7546" i="7"/>
  <c r="J7547" i="7"/>
  <c r="J7548" i="7"/>
  <c r="J7549" i="7"/>
  <c r="J7550" i="7"/>
  <c r="J7551" i="7"/>
  <c r="J7552" i="7"/>
  <c r="J7553" i="7"/>
  <c r="J7554" i="7"/>
  <c r="J7555" i="7"/>
  <c r="J7556" i="7"/>
  <c r="J7557" i="7"/>
  <c r="J7558" i="7"/>
  <c r="J7559" i="7"/>
  <c r="J7560" i="7"/>
  <c r="J7561" i="7"/>
  <c r="J7562" i="7"/>
  <c r="J7563" i="7"/>
  <c r="J7564" i="7"/>
  <c r="J7565" i="7"/>
  <c r="J7566" i="7"/>
  <c r="J7567" i="7"/>
  <c r="J7568" i="7"/>
  <c r="J7569" i="7"/>
  <c r="J7570" i="7"/>
  <c r="J7571" i="7"/>
  <c r="J7572" i="7"/>
  <c r="J7573" i="7"/>
  <c r="J7574" i="7"/>
  <c r="J7575" i="7"/>
  <c r="J7576" i="7"/>
  <c r="J7577" i="7"/>
  <c r="J7578" i="7"/>
  <c r="J7579" i="7"/>
  <c r="J7580" i="7"/>
  <c r="J7581" i="7"/>
  <c r="J7582" i="7"/>
  <c r="J7583" i="7"/>
  <c r="J7584" i="7"/>
  <c r="J7585" i="7"/>
  <c r="J7586" i="7"/>
  <c r="J7587" i="7"/>
  <c r="J7588" i="7"/>
  <c r="J7589" i="7"/>
  <c r="J7590" i="7"/>
  <c r="J7591" i="7"/>
  <c r="J7592" i="7"/>
  <c r="J7593" i="7"/>
  <c r="J7594" i="7"/>
  <c r="J7595" i="7"/>
  <c r="J7596" i="7"/>
  <c r="J7597" i="7"/>
  <c r="J7598" i="7"/>
  <c r="J7599" i="7"/>
  <c r="J7600" i="7"/>
  <c r="J7601" i="7"/>
  <c r="J7602" i="7"/>
  <c r="J7603" i="7"/>
  <c r="J7604" i="7"/>
  <c r="J7605" i="7"/>
  <c r="J7606" i="7"/>
  <c r="J7607" i="7"/>
  <c r="J7608" i="7"/>
  <c r="J7609" i="7"/>
  <c r="J7610" i="7"/>
  <c r="J7611" i="7"/>
  <c r="J7612" i="7"/>
  <c r="J7613" i="7"/>
  <c r="J7614" i="7"/>
  <c r="J7615" i="7"/>
  <c r="J7616" i="7"/>
  <c r="J7617" i="7"/>
  <c r="J7618" i="7"/>
  <c r="J7619" i="7"/>
  <c r="J7620" i="7"/>
  <c r="J7621" i="7"/>
  <c r="J7622" i="7"/>
  <c r="J7623" i="7"/>
  <c r="J7624" i="7"/>
  <c r="J7625" i="7"/>
  <c r="J7626" i="7"/>
  <c r="J7627" i="7"/>
  <c r="J7628" i="7"/>
  <c r="J7629" i="7"/>
  <c r="J7630" i="7"/>
  <c r="J7631" i="7"/>
  <c r="J7632" i="7"/>
  <c r="J7633" i="7"/>
  <c r="J7634" i="7"/>
  <c r="J7635" i="7"/>
  <c r="J7636" i="7"/>
  <c r="J7637" i="7"/>
  <c r="J7638" i="7"/>
  <c r="J7639" i="7"/>
  <c r="J7640" i="7"/>
  <c r="J7641" i="7"/>
  <c r="J7642" i="7"/>
  <c r="J7643" i="7"/>
  <c r="J7644" i="7"/>
  <c r="J7645" i="7"/>
  <c r="J7646" i="7"/>
  <c r="J7647" i="7"/>
  <c r="J7648" i="7"/>
  <c r="J7649" i="7"/>
  <c r="J7650" i="7"/>
  <c r="J7651" i="7"/>
  <c r="J7652" i="7"/>
  <c r="J7653" i="7"/>
  <c r="J7654" i="7"/>
  <c r="J7655" i="7"/>
  <c r="J7656" i="7"/>
  <c r="J7657" i="7"/>
  <c r="J7658" i="7"/>
  <c r="J7659" i="7"/>
  <c r="J7660" i="7"/>
  <c r="J7661" i="7"/>
  <c r="J7662" i="7"/>
  <c r="J7663" i="7"/>
  <c r="J7664" i="7"/>
  <c r="J7665" i="7"/>
  <c r="J7666" i="7"/>
  <c r="J7667" i="7"/>
  <c r="J7668" i="7"/>
  <c r="J7669" i="7"/>
  <c r="J7670" i="7"/>
  <c r="J7671" i="7"/>
  <c r="J7672" i="7"/>
  <c r="J7673" i="7"/>
  <c r="J7674" i="7"/>
  <c r="J7675" i="7"/>
  <c r="J7676" i="7"/>
  <c r="J7677" i="7"/>
  <c r="J7678" i="7"/>
  <c r="J7679" i="7"/>
  <c r="J7680" i="7"/>
  <c r="J7681" i="7"/>
  <c r="J7682" i="7"/>
  <c r="J7683" i="7"/>
  <c r="J7684" i="7"/>
  <c r="J7685" i="7"/>
  <c r="J7686" i="7"/>
  <c r="J7687" i="7"/>
  <c r="J7688" i="7"/>
  <c r="J7689" i="7"/>
  <c r="J7690" i="7"/>
  <c r="J7691" i="7"/>
  <c r="J7692" i="7"/>
  <c r="J7693" i="7"/>
  <c r="J7694" i="7"/>
  <c r="J7695" i="7"/>
  <c r="J7696" i="7"/>
  <c r="J7697" i="7"/>
  <c r="J7698" i="7"/>
  <c r="J7699" i="7"/>
  <c r="J7700" i="7"/>
  <c r="J7701" i="7"/>
  <c r="J7702" i="7"/>
  <c r="J7703" i="7"/>
  <c r="J7704" i="7"/>
  <c r="J7705" i="7"/>
  <c r="J7706" i="7"/>
  <c r="J7707" i="7"/>
  <c r="J7708" i="7"/>
  <c r="J7709" i="7"/>
  <c r="J7710" i="7"/>
  <c r="J7711" i="7"/>
  <c r="J7712" i="7"/>
  <c r="J7713" i="7"/>
  <c r="J7714" i="7"/>
  <c r="J7715" i="7"/>
  <c r="J7716" i="7"/>
  <c r="J7717" i="7"/>
  <c r="J7718" i="7"/>
  <c r="J7719" i="7"/>
  <c r="J7720" i="7"/>
  <c r="J7721" i="7"/>
  <c r="J7722" i="7"/>
  <c r="J7723" i="7"/>
  <c r="J7724" i="7"/>
  <c r="J7725" i="7"/>
  <c r="J7726" i="7"/>
  <c r="J7727" i="7"/>
  <c r="J7728" i="7"/>
  <c r="J7729" i="7"/>
  <c r="J7730" i="7"/>
  <c r="J7731" i="7"/>
  <c r="J7732" i="7"/>
  <c r="J7733" i="7"/>
  <c r="J7734" i="7"/>
  <c r="J7735" i="7"/>
  <c r="J7736" i="7"/>
  <c r="J7737" i="7"/>
  <c r="J7738" i="7"/>
  <c r="J7739" i="7"/>
  <c r="J7740" i="7"/>
  <c r="J7741" i="7"/>
  <c r="J7742" i="7"/>
  <c r="J7743" i="7"/>
  <c r="J7744" i="7"/>
  <c r="J7745" i="7"/>
  <c r="J7746" i="7"/>
  <c r="J7747" i="7"/>
  <c r="J7748" i="7"/>
  <c r="J7749" i="7"/>
  <c r="J7750" i="7"/>
  <c r="J7751" i="7"/>
  <c r="J7752" i="7"/>
  <c r="J7753" i="7"/>
  <c r="J7754" i="7"/>
  <c r="J7755" i="7"/>
  <c r="J7756" i="7"/>
  <c r="J7757" i="7"/>
  <c r="J7758" i="7"/>
  <c r="J7759" i="7"/>
  <c r="J7760" i="7"/>
  <c r="J7761" i="7"/>
  <c r="J7762" i="7"/>
  <c r="J7763" i="7"/>
  <c r="J7764" i="7"/>
  <c r="J7765" i="7"/>
  <c r="J7766" i="7"/>
  <c r="J7767" i="7"/>
  <c r="J7768" i="7"/>
  <c r="J7769" i="7"/>
  <c r="J7770" i="7"/>
  <c r="J7771" i="7"/>
  <c r="J7772" i="7"/>
  <c r="J7773" i="7"/>
  <c r="J7774" i="7"/>
  <c r="J7775" i="7"/>
  <c r="J7776" i="7"/>
  <c r="J7777" i="7"/>
  <c r="J7778" i="7"/>
  <c r="J7779" i="7"/>
  <c r="J7780" i="7"/>
  <c r="J7781" i="7"/>
  <c r="J7782" i="7"/>
  <c r="J7783" i="7"/>
  <c r="J7784" i="7"/>
  <c r="J7785" i="7"/>
  <c r="J7786" i="7"/>
  <c r="J7787" i="7"/>
  <c r="J7788" i="7"/>
  <c r="J7789" i="7"/>
  <c r="J7790" i="7"/>
  <c r="J7791" i="7"/>
  <c r="J7792" i="7"/>
  <c r="J7793" i="7"/>
  <c r="J7794" i="7"/>
  <c r="J7795" i="7"/>
  <c r="J7796" i="7"/>
  <c r="J7797" i="7"/>
  <c r="J7798" i="7"/>
  <c r="J7799" i="7"/>
  <c r="J7800" i="7"/>
  <c r="J7801" i="7"/>
  <c r="J7802" i="7"/>
  <c r="J7803" i="7"/>
  <c r="J7804" i="7"/>
  <c r="J7805" i="7"/>
  <c r="J7806" i="7"/>
  <c r="J7807" i="7"/>
  <c r="J7808" i="7"/>
  <c r="J7809" i="7"/>
  <c r="J7810" i="7"/>
  <c r="J7811" i="7"/>
  <c r="J7812" i="7"/>
  <c r="J7813" i="7"/>
  <c r="J7814" i="7"/>
  <c r="J7815" i="7"/>
  <c r="J7816" i="7"/>
  <c r="J7817" i="7"/>
  <c r="J7818" i="7"/>
  <c r="J7819" i="7"/>
  <c r="J7820" i="7"/>
  <c r="J7821" i="7"/>
  <c r="J7822" i="7"/>
  <c r="J7823" i="7"/>
  <c r="J7824" i="7"/>
  <c r="J7825" i="7"/>
  <c r="J7826" i="7"/>
  <c r="J7827" i="7"/>
  <c r="J7828" i="7"/>
  <c r="J7829" i="7"/>
  <c r="J7830" i="7"/>
  <c r="J7831" i="7"/>
  <c r="J7832" i="7"/>
  <c r="J7833" i="7"/>
  <c r="J7834" i="7"/>
  <c r="J7835" i="7"/>
  <c r="J7836" i="7"/>
  <c r="J7837" i="7"/>
  <c r="J7838" i="7"/>
  <c r="J7839" i="7"/>
  <c r="J7840" i="7"/>
  <c r="J7841" i="7"/>
  <c r="J7842" i="7"/>
  <c r="J7843" i="7"/>
  <c r="J7844" i="7"/>
  <c r="J7845" i="7"/>
  <c r="J7846" i="7"/>
  <c r="J7847" i="7"/>
  <c r="J7848" i="7"/>
  <c r="J7849" i="7"/>
  <c r="J7850" i="7"/>
  <c r="J7851" i="7"/>
  <c r="J7852" i="7"/>
  <c r="J7853" i="7"/>
  <c r="J7854" i="7"/>
  <c r="J7855" i="7"/>
  <c r="J7856" i="7"/>
  <c r="J7857" i="7"/>
  <c r="J7858" i="7"/>
  <c r="J7859" i="7"/>
  <c r="J7860" i="7"/>
  <c r="J7861" i="7"/>
  <c r="J7862" i="7"/>
  <c r="J7863" i="7"/>
  <c r="J7864" i="7"/>
  <c r="J7865" i="7"/>
  <c r="J7866" i="7"/>
  <c r="J7867" i="7"/>
  <c r="J7868" i="7"/>
  <c r="J7869" i="7"/>
  <c r="J7870" i="7"/>
  <c r="J7871" i="7"/>
  <c r="J7872" i="7"/>
  <c r="J7873" i="7"/>
  <c r="J7874" i="7"/>
  <c r="J7875" i="7"/>
  <c r="J7876" i="7"/>
  <c r="J7877" i="7"/>
  <c r="J7878" i="7"/>
  <c r="J7879" i="7"/>
  <c r="J7880" i="7"/>
  <c r="J7881" i="7"/>
  <c r="J7882" i="7"/>
  <c r="J7883" i="7"/>
  <c r="J7884" i="7"/>
  <c r="J7885" i="7"/>
  <c r="J7886" i="7"/>
  <c r="J7887" i="7"/>
  <c r="J7888" i="7"/>
  <c r="J7889" i="7"/>
  <c r="J7890" i="7"/>
  <c r="J7891" i="7"/>
  <c r="J7892" i="7"/>
  <c r="J7893" i="7"/>
  <c r="J7894" i="7"/>
  <c r="J7895" i="7"/>
  <c r="J7896" i="7"/>
  <c r="J7897" i="7"/>
  <c r="J7898" i="7"/>
  <c r="J7899" i="7"/>
  <c r="J7900" i="7"/>
  <c r="J7901" i="7"/>
  <c r="J7902" i="7"/>
  <c r="J7903" i="7"/>
  <c r="J7904" i="7"/>
  <c r="J7905" i="7"/>
  <c r="J7906" i="7"/>
  <c r="J7907" i="7"/>
  <c r="J7908" i="7"/>
  <c r="J7909" i="7"/>
  <c r="J7910" i="7"/>
  <c r="J7911" i="7"/>
  <c r="J7912" i="7"/>
  <c r="J7913" i="7"/>
  <c r="J7914" i="7"/>
  <c r="J7915" i="7"/>
  <c r="J7916" i="7"/>
  <c r="J7917" i="7"/>
  <c r="J7918" i="7"/>
  <c r="J7919" i="7"/>
  <c r="J7920" i="7"/>
  <c r="J7921" i="7"/>
  <c r="J7922" i="7"/>
  <c r="J7923" i="7"/>
  <c r="J7924" i="7"/>
  <c r="J7925" i="7"/>
  <c r="J7926" i="7"/>
  <c r="J7927" i="7"/>
  <c r="J7928" i="7"/>
  <c r="J7929" i="7"/>
  <c r="J7930" i="7"/>
  <c r="J7931" i="7"/>
  <c r="J7932" i="7"/>
  <c r="J7933" i="7"/>
  <c r="J7934" i="7"/>
  <c r="J7935" i="7"/>
  <c r="J7936" i="7"/>
  <c r="J7937" i="7"/>
  <c r="J7938" i="7"/>
  <c r="J7939" i="7"/>
  <c r="J7940" i="7"/>
  <c r="J7941" i="7"/>
  <c r="J7942" i="7"/>
  <c r="J7943" i="7"/>
  <c r="J7944" i="7"/>
  <c r="J7945" i="7"/>
  <c r="J7946" i="7"/>
  <c r="J7947" i="7"/>
  <c r="J7948" i="7"/>
  <c r="J7949" i="7"/>
  <c r="J7950" i="7"/>
  <c r="J7951" i="7"/>
  <c r="J7952" i="7"/>
  <c r="J7953" i="7"/>
  <c r="J7954" i="7"/>
  <c r="J7955" i="7"/>
  <c r="J7956" i="7"/>
  <c r="J7957" i="7"/>
  <c r="J7958" i="7"/>
  <c r="J7959" i="7"/>
  <c r="J7960" i="7"/>
  <c r="J7961" i="7"/>
  <c r="J7962" i="7"/>
  <c r="J7963" i="7"/>
  <c r="J7964" i="7"/>
  <c r="J7965" i="7"/>
  <c r="J7966" i="7"/>
  <c r="J7967" i="7"/>
  <c r="J7968" i="7"/>
  <c r="J7969" i="7"/>
  <c r="J7970" i="7"/>
  <c r="J7971" i="7"/>
  <c r="J7972" i="7"/>
  <c r="J7973" i="7"/>
  <c r="J7974" i="7"/>
  <c r="J7975" i="7"/>
  <c r="J7976" i="7"/>
  <c r="J7977" i="7"/>
  <c r="J7978" i="7"/>
  <c r="J7979" i="7"/>
  <c r="J7980" i="7"/>
  <c r="J7981" i="7"/>
  <c r="J7982" i="7"/>
  <c r="J7983" i="7"/>
  <c r="J7984" i="7"/>
  <c r="J7985" i="7"/>
  <c r="J7986" i="7"/>
  <c r="J7987" i="7"/>
  <c r="J7988" i="7"/>
  <c r="J7989" i="7"/>
  <c r="J7990" i="7"/>
  <c r="J7991" i="7"/>
  <c r="J7992" i="7"/>
  <c r="J7993" i="7"/>
  <c r="J7994" i="7"/>
  <c r="J7995" i="7"/>
  <c r="J7996" i="7"/>
  <c r="J7997" i="7"/>
  <c r="J7998" i="7"/>
  <c r="J7999" i="7"/>
  <c r="J8000" i="7"/>
  <c r="J8001" i="7"/>
  <c r="J8002" i="7"/>
  <c r="J8003" i="7"/>
  <c r="J8004" i="7"/>
  <c r="J8005" i="7"/>
  <c r="J8006" i="7"/>
  <c r="J8007" i="7"/>
  <c r="J8008" i="7"/>
  <c r="J8009" i="7"/>
  <c r="J8010" i="7"/>
  <c r="J8011" i="7"/>
  <c r="J8012" i="7"/>
  <c r="J8013" i="7"/>
  <c r="J8014" i="7"/>
  <c r="J8015" i="7"/>
  <c r="J8016" i="7"/>
  <c r="J8017" i="7"/>
  <c r="J8018" i="7"/>
  <c r="J8019" i="7"/>
  <c r="J8020" i="7"/>
  <c r="J8021" i="7"/>
  <c r="J8022" i="7"/>
  <c r="J8023" i="7"/>
  <c r="J8024" i="7"/>
  <c r="J8025" i="7"/>
  <c r="J8026" i="7"/>
  <c r="J8027" i="7"/>
  <c r="J8028" i="7"/>
  <c r="J8029" i="7"/>
  <c r="J8030" i="7"/>
  <c r="J8031" i="7"/>
  <c r="J8032" i="7"/>
  <c r="J8033" i="7"/>
  <c r="J8034" i="7"/>
  <c r="J8035" i="7"/>
  <c r="J8036" i="7"/>
  <c r="J8037" i="7"/>
  <c r="J8038" i="7"/>
  <c r="J8039" i="7"/>
  <c r="J8040" i="7"/>
  <c r="J8041" i="7"/>
  <c r="J8042" i="7"/>
  <c r="J8043" i="7"/>
  <c r="J8044" i="7"/>
  <c r="J8045" i="7"/>
  <c r="J8046" i="7"/>
  <c r="J8047" i="7"/>
  <c r="J8048" i="7"/>
  <c r="J8049" i="7"/>
  <c r="J8050" i="7"/>
  <c r="J8051" i="7"/>
  <c r="J8052" i="7"/>
  <c r="J8053" i="7"/>
  <c r="J8054" i="7"/>
  <c r="J8055" i="7"/>
  <c r="J8056" i="7"/>
  <c r="J8057" i="7"/>
  <c r="J8058" i="7"/>
  <c r="J8059" i="7"/>
  <c r="J8060" i="7"/>
  <c r="J8061" i="7"/>
  <c r="J8062" i="7"/>
  <c r="J8063" i="7"/>
  <c r="J8064" i="7"/>
  <c r="J8065" i="7"/>
  <c r="J8066" i="7"/>
  <c r="J8067" i="7"/>
  <c r="J8068" i="7"/>
  <c r="J8069" i="7"/>
  <c r="J8070" i="7"/>
  <c r="J8071" i="7"/>
  <c r="J8072" i="7"/>
  <c r="J8073" i="7"/>
  <c r="J8074" i="7"/>
  <c r="J8075" i="7"/>
  <c r="J8076" i="7"/>
  <c r="J8077" i="7"/>
  <c r="J8078" i="7"/>
  <c r="J8079" i="7"/>
  <c r="J8080" i="7"/>
  <c r="J8081" i="7"/>
  <c r="J8082" i="7"/>
  <c r="J8083" i="7"/>
  <c r="J8084" i="7"/>
  <c r="J8085" i="7"/>
  <c r="J8086" i="7"/>
  <c r="J8087" i="7"/>
  <c r="J8088" i="7"/>
  <c r="J8089" i="7"/>
  <c r="J8090" i="7"/>
  <c r="J8091" i="7"/>
  <c r="J8092" i="7"/>
  <c r="J8093" i="7"/>
  <c r="J8094" i="7"/>
  <c r="J8095" i="7"/>
  <c r="J8096" i="7"/>
  <c r="J8097" i="7"/>
  <c r="J8098" i="7"/>
  <c r="J8099" i="7"/>
  <c r="J8100" i="7"/>
  <c r="J8101" i="7"/>
  <c r="J8102" i="7"/>
  <c r="J8103" i="7"/>
  <c r="J8104" i="7"/>
  <c r="J8105" i="7"/>
  <c r="J8106" i="7"/>
  <c r="J8107" i="7"/>
  <c r="J8108" i="7"/>
  <c r="J8109" i="7"/>
  <c r="J8110" i="7"/>
  <c r="J8111" i="7"/>
  <c r="J8112" i="7"/>
  <c r="J8113" i="7"/>
  <c r="J8114" i="7"/>
  <c r="J8115" i="7"/>
  <c r="J8116" i="7"/>
  <c r="J8117" i="7"/>
  <c r="J8118" i="7"/>
  <c r="J8119" i="7"/>
  <c r="J8120" i="7"/>
  <c r="J8121" i="7"/>
  <c r="J8122" i="7"/>
  <c r="J8123" i="7"/>
  <c r="J8124" i="7"/>
  <c r="J8125" i="7"/>
  <c r="J8126" i="7"/>
  <c r="J8127" i="7"/>
  <c r="J8128" i="7"/>
  <c r="J8129" i="7"/>
  <c r="J8130" i="7"/>
  <c r="J8131" i="7"/>
  <c r="J8132" i="7"/>
  <c r="J8133" i="7"/>
  <c r="J8134" i="7"/>
  <c r="J8135" i="7"/>
  <c r="J8136" i="7"/>
  <c r="J8137" i="7"/>
  <c r="J8138" i="7"/>
  <c r="J8139" i="7"/>
  <c r="J8140" i="7"/>
  <c r="J8141" i="7"/>
  <c r="J8142" i="7"/>
  <c r="J8143" i="7"/>
  <c r="J8144" i="7"/>
  <c r="J8145" i="7"/>
  <c r="J8146" i="7"/>
  <c r="J8147" i="7"/>
  <c r="J8148" i="7"/>
  <c r="J8149" i="7"/>
  <c r="J8150" i="7"/>
  <c r="J8151" i="7"/>
  <c r="J8152" i="7"/>
  <c r="J8153" i="7"/>
  <c r="J8154" i="7"/>
  <c r="J8155" i="7"/>
  <c r="J8156" i="7"/>
  <c r="J8157" i="7"/>
  <c r="J8158" i="7"/>
  <c r="J8159" i="7"/>
  <c r="J8160" i="7"/>
  <c r="J8161" i="7"/>
  <c r="J8162" i="7"/>
  <c r="J8163" i="7"/>
  <c r="J8164" i="7"/>
  <c r="J8165" i="7"/>
  <c r="J8166" i="7"/>
  <c r="J8167" i="7"/>
  <c r="J8168" i="7"/>
  <c r="J8169" i="7"/>
  <c r="J8170" i="7"/>
  <c r="J8171" i="7"/>
  <c r="J8172" i="7"/>
  <c r="J8173" i="7"/>
  <c r="J8174" i="7"/>
  <c r="J8175" i="7"/>
  <c r="J8176" i="7"/>
  <c r="J8177" i="7"/>
  <c r="J8178" i="7"/>
  <c r="J8179" i="7"/>
  <c r="J8180" i="7"/>
  <c r="J8181" i="7"/>
  <c r="J8182" i="7"/>
  <c r="J8183" i="7"/>
  <c r="J8184" i="7"/>
  <c r="J8185" i="7"/>
  <c r="J8186" i="7"/>
  <c r="J8187" i="7"/>
  <c r="J8188" i="7"/>
  <c r="J8189" i="7"/>
  <c r="J8190" i="7"/>
  <c r="J8191" i="7"/>
  <c r="J8192" i="7"/>
  <c r="J8193" i="7"/>
  <c r="J8194" i="7"/>
  <c r="J8195" i="7"/>
  <c r="J8196" i="7"/>
  <c r="J8197" i="7"/>
  <c r="J8198" i="7"/>
  <c r="J8199" i="7"/>
  <c r="J8200" i="7"/>
  <c r="J8201" i="7"/>
  <c r="J8202" i="7"/>
  <c r="J8203" i="7"/>
  <c r="J8204" i="7"/>
  <c r="J8205" i="7"/>
  <c r="J8206" i="7"/>
  <c r="J8207" i="7"/>
  <c r="J8208" i="7"/>
  <c r="J8209" i="7"/>
  <c r="J8210" i="7"/>
  <c r="J8211" i="7"/>
  <c r="J8212" i="7"/>
  <c r="J8213" i="7"/>
  <c r="J8214" i="7"/>
  <c r="J8215" i="7"/>
  <c r="J8216" i="7"/>
  <c r="J8217" i="7"/>
  <c r="J8218" i="7"/>
  <c r="J8219" i="7"/>
  <c r="J8220" i="7"/>
  <c r="J8221" i="7"/>
  <c r="J8222" i="7"/>
  <c r="J8223" i="7"/>
  <c r="J8224" i="7"/>
  <c r="J8225" i="7"/>
  <c r="J8226" i="7"/>
  <c r="J8227" i="7"/>
  <c r="J8228" i="7"/>
  <c r="J8229" i="7"/>
  <c r="J8230" i="7"/>
  <c r="J8231" i="7"/>
  <c r="J8232" i="7"/>
  <c r="J8233" i="7"/>
  <c r="J8234" i="7"/>
  <c r="J8235" i="7"/>
  <c r="J8236" i="7"/>
  <c r="J8237" i="7"/>
  <c r="J8238" i="7"/>
  <c r="J8239" i="7"/>
  <c r="J8240" i="7"/>
  <c r="J8241" i="7"/>
  <c r="J8242" i="7"/>
  <c r="J8243" i="7"/>
  <c r="J8244" i="7"/>
  <c r="J8245" i="7"/>
  <c r="J8246" i="7"/>
  <c r="J8247" i="7"/>
  <c r="J8248" i="7"/>
  <c r="J8249" i="7"/>
  <c r="J8250" i="7"/>
  <c r="J8251" i="7"/>
  <c r="J8252" i="7"/>
  <c r="J8253" i="7"/>
  <c r="J8254" i="7"/>
  <c r="J8255" i="7"/>
  <c r="J8256" i="7"/>
  <c r="J8257" i="7"/>
  <c r="J8258" i="7"/>
  <c r="J8259" i="7"/>
  <c r="J8260" i="7"/>
  <c r="J8261" i="7"/>
  <c r="J8262" i="7"/>
  <c r="J8263" i="7"/>
  <c r="J8264" i="7"/>
  <c r="J8265" i="7"/>
  <c r="J8266" i="7"/>
  <c r="J8267" i="7"/>
  <c r="J8268" i="7"/>
  <c r="J8269" i="7"/>
  <c r="J8270" i="7"/>
  <c r="J8271" i="7"/>
  <c r="J8272" i="7"/>
  <c r="J8273" i="7"/>
  <c r="J8274" i="7"/>
  <c r="J8275" i="7"/>
  <c r="J8276" i="7"/>
  <c r="J8277" i="7"/>
  <c r="J8278" i="7"/>
  <c r="J8279" i="7"/>
  <c r="J8280" i="7"/>
  <c r="J8281" i="7"/>
  <c r="J8282" i="7"/>
  <c r="J8283" i="7"/>
  <c r="J8284" i="7"/>
  <c r="J8285" i="7"/>
  <c r="J8286" i="7"/>
  <c r="J8287" i="7"/>
  <c r="J8288" i="7"/>
  <c r="J8289" i="7"/>
  <c r="J8290" i="7"/>
  <c r="J8291" i="7"/>
  <c r="J8292" i="7"/>
  <c r="J8293" i="7"/>
  <c r="J8294" i="7"/>
  <c r="J8295" i="7"/>
  <c r="J8296" i="7"/>
  <c r="J8297" i="7"/>
  <c r="J8298" i="7"/>
  <c r="J8299" i="7"/>
  <c r="J8300" i="7"/>
  <c r="J8301" i="7"/>
  <c r="J8302" i="7"/>
  <c r="J8303" i="7"/>
  <c r="J8304" i="7"/>
  <c r="J8305" i="7"/>
  <c r="J8306" i="7"/>
  <c r="J8307" i="7"/>
  <c r="J8308" i="7"/>
  <c r="J8309" i="7"/>
  <c r="J8310" i="7"/>
  <c r="J8311" i="7"/>
  <c r="J8312" i="7"/>
  <c r="J8313" i="7"/>
  <c r="J8314" i="7"/>
  <c r="J8315" i="7"/>
  <c r="J8316" i="7"/>
  <c r="J8317" i="7"/>
  <c r="J8318" i="7"/>
  <c r="J8319" i="7"/>
  <c r="J8320" i="7"/>
  <c r="J8321" i="7"/>
  <c r="J8322" i="7"/>
  <c r="J8323" i="7"/>
  <c r="J8324" i="7"/>
  <c r="J8325" i="7"/>
  <c r="J8326" i="7"/>
  <c r="J8327" i="7"/>
  <c r="J8328" i="7"/>
  <c r="J8329" i="7"/>
  <c r="J8330" i="7"/>
  <c r="J8331" i="7"/>
  <c r="J8332" i="7"/>
  <c r="J8333" i="7"/>
  <c r="J8334" i="7"/>
  <c r="J8335" i="7"/>
  <c r="J8336" i="7"/>
  <c r="J8337" i="7"/>
  <c r="J8338" i="7"/>
  <c r="J8339" i="7"/>
  <c r="J8340" i="7"/>
  <c r="J8341" i="7"/>
  <c r="J8342" i="7"/>
  <c r="J8343" i="7"/>
  <c r="J8344" i="7"/>
  <c r="J8345" i="7"/>
  <c r="J8346" i="7"/>
  <c r="J8347" i="7"/>
  <c r="J8348" i="7"/>
  <c r="J8349" i="7"/>
  <c r="J8350" i="7"/>
  <c r="J8351" i="7"/>
  <c r="J8352" i="7"/>
  <c r="J8353" i="7"/>
  <c r="J8354" i="7"/>
  <c r="J8355" i="7"/>
  <c r="J8356" i="7"/>
  <c r="J8357" i="7"/>
  <c r="J8358" i="7"/>
  <c r="J8359" i="7"/>
  <c r="J8360" i="7"/>
  <c r="J8361" i="7"/>
  <c r="J8362" i="7"/>
  <c r="J8363" i="7"/>
  <c r="J8364" i="7"/>
  <c r="J8365" i="7"/>
  <c r="J8366" i="7"/>
  <c r="J8367" i="7"/>
  <c r="J8368" i="7"/>
  <c r="J8369" i="7"/>
  <c r="J8370" i="7"/>
  <c r="J8371" i="7"/>
  <c r="J8372" i="7"/>
  <c r="J8373" i="7"/>
  <c r="J8374" i="7"/>
  <c r="J8375" i="7"/>
  <c r="J8376" i="7"/>
  <c r="J8377" i="7"/>
  <c r="J8378" i="7"/>
  <c r="J8379" i="7"/>
  <c r="J8380" i="7"/>
  <c r="J8381" i="7"/>
  <c r="J8382" i="7"/>
  <c r="J8383" i="7"/>
  <c r="J8384" i="7"/>
  <c r="J8385" i="7"/>
  <c r="J8386" i="7"/>
  <c r="J8387" i="7"/>
  <c r="J8388" i="7"/>
  <c r="J8389" i="7"/>
  <c r="J8390" i="7"/>
  <c r="J8391" i="7"/>
  <c r="J8392" i="7"/>
  <c r="J8393" i="7"/>
  <c r="J8394" i="7"/>
  <c r="J8395" i="7"/>
  <c r="J8396" i="7"/>
  <c r="J8397" i="7"/>
  <c r="J8398" i="7"/>
  <c r="J8399" i="7"/>
  <c r="J8400" i="7"/>
  <c r="J8401" i="7"/>
  <c r="J8402" i="7"/>
  <c r="J8403" i="7"/>
  <c r="J8404" i="7"/>
  <c r="J8405" i="7"/>
  <c r="J8406" i="7"/>
  <c r="J8407" i="7"/>
  <c r="J8408" i="7"/>
  <c r="J8409" i="7"/>
  <c r="J8410" i="7"/>
  <c r="J8411" i="7"/>
  <c r="J8412" i="7"/>
  <c r="J8413" i="7"/>
  <c r="J8414" i="7"/>
  <c r="J8415" i="7"/>
  <c r="J8416" i="7"/>
  <c r="J8417" i="7"/>
  <c r="J8418" i="7"/>
  <c r="J8419" i="7"/>
  <c r="J8420" i="7"/>
  <c r="J8421" i="7"/>
  <c r="J8422" i="7"/>
  <c r="J8423" i="7"/>
  <c r="J8424" i="7"/>
  <c r="J8425" i="7"/>
  <c r="J8426" i="7"/>
  <c r="J8427" i="7"/>
  <c r="J8428" i="7"/>
  <c r="J8429" i="7"/>
  <c r="J8430" i="7"/>
  <c r="J8431" i="7"/>
  <c r="J8432" i="7"/>
  <c r="J8433" i="7"/>
  <c r="J8434" i="7"/>
  <c r="J8435" i="7"/>
  <c r="J8436" i="7"/>
  <c r="J8437" i="7"/>
  <c r="J8438" i="7"/>
  <c r="J8439" i="7"/>
  <c r="J8440" i="7"/>
  <c r="J8441" i="7"/>
  <c r="J8442" i="7"/>
  <c r="J8443" i="7"/>
  <c r="J8444" i="7"/>
  <c r="J8445" i="7"/>
  <c r="J8446" i="7"/>
  <c r="J8447" i="7"/>
  <c r="J8448" i="7"/>
  <c r="J8449" i="7"/>
  <c r="J8450" i="7"/>
  <c r="J8451" i="7"/>
  <c r="J8452" i="7"/>
  <c r="J8453" i="7"/>
  <c r="J8454" i="7"/>
  <c r="J8455" i="7"/>
  <c r="J8456" i="7"/>
  <c r="J8457" i="7"/>
  <c r="J8458" i="7"/>
  <c r="J8459" i="7"/>
  <c r="J8460" i="7"/>
  <c r="J8461" i="7"/>
  <c r="J8462" i="7"/>
  <c r="J8463" i="7"/>
  <c r="J8464" i="7"/>
  <c r="J8465" i="7"/>
  <c r="J8466" i="7"/>
  <c r="J8467" i="7"/>
  <c r="J8468" i="7"/>
  <c r="J8469" i="7"/>
  <c r="J8470" i="7"/>
  <c r="J8471" i="7"/>
  <c r="J8472" i="7"/>
  <c r="J8473" i="7"/>
  <c r="J8474" i="7"/>
  <c r="J8475" i="7"/>
  <c r="J8476" i="7"/>
  <c r="J8477" i="7"/>
  <c r="J8478" i="7"/>
  <c r="J8479" i="7"/>
  <c r="J8480" i="7"/>
  <c r="J8481" i="7"/>
  <c r="J8482" i="7"/>
  <c r="J8483" i="7"/>
  <c r="J8484" i="7"/>
  <c r="J8485" i="7"/>
  <c r="J8486" i="7"/>
  <c r="J8487" i="7"/>
  <c r="J8488" i="7"/>
  <c r="J8489" i="7"/>
  <c r="J8490" i="7"/>
  <c r="J8491" i="7"/>
  <c r="J8492" i="7"/>
  <c r="J8493" i="7"/>
  <c r="J8494" i="7"/>
  <c r="J8495" i="7"/>
  <c r="J8496" i="7"/>
  <c r="J8497" i="7"/>
  <c r="J8498" i="7"/>
  <c r="J8499" i="7"/>
  <c r="J8500" i="7"/>
  <c r="J8501" i="7"/>
  <c r="J8502" i="7"/>
  <c r="J8503" i="7"/>
  <c r="J8504" i="7"/>
  <c r="J8505" i="7"/>
  <c r="J8506" i="7"/>
  <c r="J8507" i="7"/>
  <c r="J8508" i="7"/>
  <c r="J8509" i="7"/>
  <c r="J8510" i="7"/>
  <c r="J8511" i="7"/>
  <c r="J8512" i="7"/>
  <c r="J8513" i="7"/>
  <c r="J8514" i="7"/>
  <c r="J8515" i="7"/>
  <c r="J8516" i="7"/>
  <c r="J8517" i="7"/>
  <c r="J8518" i="7"/>
  <c r="J8519" i="7"/>
  <c r="J8520" i="7"/>
  <c r="J8521" i="7"/>
  <c r="J8522" i="7"/>
  <c r="J8523" i="7"/>
  <c r="J8524" i="7"/>
  <c r="J8525" i="7"/>
  <c r="J8526" i="7"/>
  <c r="J8527" i="7"/>
  <c r="J8528" i="7"/>
  <c r="J8529" i="7"/>
  <c r="J8530" i="7"/>
  <c r="J8531" i="7"/>
  <c r="J8532" i="7"/>
  <c r="J8533" i="7"/>
  <c r="J8534" i="7"/>
  <c r="J8535" i="7"/>
  <c r="J8536" i="7"/>
  <c r="J8537" i="7"/>
  <c r="J8538" i="7"/>
  <c r="J8539" i="7"/>
  <c r="J8540" i="7"/>
  <c r="J8541" i="7"/>
  <c r="J8542" i="7"/>
  <c r="J8543" i="7"/>
  <c r="J8544" i="7"/>
  <c r="J8545" i="7"/>
  <c r="J8546" i="7"/>
  <c r="J8547" i="7"/>
  <c r="J8548" i="7"/>
  <c r="J8549" i="7"/>
  <c r="J8550" i="7"/>
  <c r="J8551" i="7"/>
  <c r="J8552" i="7"/>
  <c r="J8553" i="7"/>
  <c r="J8554" i="7"/>
  <c r="J8555" i="7"/>
  <c r="J8556" i="7"/>
  <c r="J8557" i="7"/>
  <c r="J8558" i="7"/>
  <c r="J8559" i="7"/>
  <c r="J8560" i="7"/>
  <c r="J8561" i="7"/>
  <c r="J8562" i="7"/>
  <c r="J8563" i="7"/>
  <c r="J8564" i="7"/>
  <c r="J8565" i="7"/>
  <c r="J8566" i="7"/>
  <c r="J8567" i="7"/>
  <c r="J8568" i="7"/>
  <c r="J8569" i="7"/>
  <c r="J8570" i="7"/>
  <c r="J8571" i="7"/>
  <c r="J8572" i="7"/>
  <c r="J8573" i="7"/>
  <c r="J8574" i="7"/>
  <c r="J8575" i="7"/>
  <c r="J8576" i="7"/>
  <c r="J8577" i="7"/>
  <c r="J8578" i="7"/>
  <c r="J8579" i="7"/>
  <c r="J8580" i="7"/>
  <c r="J8581" i="7"/>
  <c r="J8582" i="7"/>
  <c r="J8583" i="7"/>
  <c r="J8584" i="7"/>
  <c r="J8585" i="7"/>
  <c r="J8586" i="7"/>
  <c r="J8587" i="7"/>
  <c r="J8588" i="7"/>
  <c r="J8589" i="7"/>
  <c r="J8590" i="7"/>
  <c r="J8591" i="7"/>
  <c r="J8592" i="7"/>
  <c r="J8593" i="7"/>
  <c r="J8594" i="7"/>
  <c r="J8595" i="7"/>
  <c r="J8596" i="7"/>
  <c r="J8597" i="7"/>
  <c r="J8598" i="7"/>
  <c r="J8599" i="7"/>
  <c r="J8600" i="7"/>
  <c r="J8601" i="7"/>
  <c r="J8602" i="7"/>
  <c r="J8603" i="7"/>
  <c r="J8604" i="7"/>
  <c r="J8605" i="7"/>
  <c r="J8606" i="7"/>
  <c r="J8607" i="7"/>
  <c r="J8608" i="7"/>
  <c r="J8609" i="7"/>
  <c r="J8610" i="7"/>
  <c r="J8611" i="7"/>
  <c r="J8612" i="7"/>
  <c r="J8613" i="7"/>
  <c r="J8614" i="7"/>
  <c r="J8615" i="7"/>
  <c r="J8616" i="7"/>
  <c r="J8617" i="7"/>
  <c r="J8618" i="7"/>
  <c r="J8619" i="7"/>
  <c r="J8620" i="7"/>
  <c r="J8621" i="7"/>
  <c r="J8622" i="7"/>
  <c r="J8623" i="7"/>
  <c r="J8624" i="7"/>
  <c r="J8625" i="7"/>
  <c r="J8626" i="7"/>
  <c r="J8627" i="7"/>
  <c r="J8628" i="7"/>
  <c r="J8629" i="7"/>
  <c r="J8630" i="7"/>
  <c r="J8631" i="7"/>
  <c r="J8632" i="7"/>
  <c r="J8633" i="7"/>
  <c r="J8634" i="7"/>
  <c r="J8635" i="7"/>
  <c r="J8636" i="7"/>
  <c r="J8637" i="7"/>
  <c r="J8638" i="7"/>
  <c r="J8639" i="7"/>
  <c r="J8640" i="7"/>
  <c r="J8641" i="7"/>
  <c r="J8642" i="7"/>
  <c r="J8643" i="7"/>
  <c r="J8644" i="7"/>
  <c r="J8645" i="7"/>
  <c r="J8646" i="7"/>
  <c r="J8647" i="7"/>
  <c r="J8648" i="7"/>
  <c r="J8649" i="7"/>
  <c r="J8650" i="7"/>
  <c r="J8651" i="7"/>
  <c r="J8652" i="7"/>
  <c r="J8653" i="7"/>
  <c r="J8654" i="7"/>
  <c r="J8655" i="7"/>
  <c r="J8656" i="7"/>
  <c r="J8657" i="7"/>
  <c r="J8658" i="7"/>
  <c r="J8659" i="7"/>
  <c r="J8660" i="7"/>
  <c r="J8661" i="7"/>
  <c r="J8662" i="7"/>
  <c r="J8663" i="7"/>
  <c r="J8664" i="7"/>
  <c r="J8665" i="7"/>
  <c r="J8666" i="7"/>
  <c r="J8667" i="7"/>
  <c r="J8668" i="7"/>
  <c r="J8669" i="7"/>
  <c r="J8670" i="7"/>
  <c r="J8671" i="7"/>
  <c r="J8672" i="7"/>
  <c r="J8673" i="7"/>
  <c r="J8674" i="7"/>
  <c r="J8675" i="7"/>
  <c r="J8676" i="7"/>
  <c r="J8677" i="7"/>
  <c r="J8678" i="7"/>
  <c r="J8679" i="7"/>
  <c r="J8680" i="7"/>
  <c r="J8681" i="7"/>
  <c r="J8682" i="7"/>
  <c r="J8683" i="7"/>
  <c r="J8684" i="7"/>
  <c r="J8685" i="7"/>
  <c r="J8686" i="7"/>
  <c r="J8687" i="7"/>
  <c r="J8688" i="7"/>
  <c r="J8689" i="7"/>
  <c r="J8690" i="7"/>
  <c r="J8691" i="7"/>
  <c r="J8692" i="7"/>
  <c r="J8693" i="7"/>
  <c r="J8694" i="7"/>
  <c r="J8695" i="7"/>
  <c r="J8696" i="7"/>
  <c r="J8697" i="7"/>
  <c r="J8698" i="7"/>
  <c r="J8699" i="7"/>
  <c r="J8700" i="7"/>
  <c r="J8701" i="7"/>
  <c r="J8702" i="7"/>
  <c r="J8703" i="7"/>
  <c r="J8704" i="7"/>
  <c r="J8705" i="7"/>
  <c r="J8706" i="7"/>
  <c r="J8707" i="7"/>
  <c r="J8708" i="7"/>
  <c r="J8709" i="7"/>
  <c r="J8710" i="7"/>
  <c r="J8711" i="7"/>
  <c r="J8712" i="7"/>
  <c r="J8713" i="7"/>
  <c r="J8714" i="7"/>
  <c r="J8715" i="7"/>
  <c r="J8716" i="7"/>
  <c r="J8717" i="7"/>
  <c r="J8718" i="7"/>
  <c r="J8719" i="7"/>
  <c r="J8720" i="7"/>
  <c r="J8721" i="7"/>
  <c r="J8722" i="7"/>
  <c r="J8723" i="7"/>
  <c r="J8724" i="7"/>
  <c r="J8725" i="7"/>
  <c r="J8726" i="7"/>
  <c r="J8727" i="7"/>
  <c r="J8728" i="7"/>
  <c r="J8729" i="7"/>
  <c r="J8730" i="7"/>
  <c r="J8731" i="7"/>
  <c r="J8732" i="7"/>
  <c r="J8733" i="7"/>
  <c r="J8734" i="7"/>
  <c r="J8735" i="7"/>
  <c r="J8736" i="7"/>
  <c r="J8737" i="7"/>
  <c r="J8738" i="7"/>
  <c r="J8739" i="7"/>
  <c r="J8740" i="7"/>
  <c r="J8741" i="7"/>
  <c r="J8742" i="7"/>
  <c r="J8743" i="7"/>
  <c r="J8744" i="7"/>
  <c r="J8745" i="7"/>
  <c r="J8746" i="7"/>
  <c r="J8747" i="7"/>
  <c r="J8748" i="7"/>
  <c r="J8749" i="7"/>
  <c r="J8750" i="7"/>
  <c r="J8751" i="7"/>
  <c r="J8752" i="7"/>
  <c r="J8753" i="7"/>
  <c r="J8754" i="7"/>
  <c r="J8755" i="7"/>
  <c r="J8756" i="7"/>
  <c r="J8757" i="7"/>
  <c r="J8758" i="7"/>
  <c r="J8759" i="7"/>
  <c r="J8760" i="7"/>
  <c r="J8761" i="7"/>
  <c r="J8762" i="7"/>
  <c r="J8763" i="7"/>
  <c r="J8764" i="7"/>
  <c r="J8765" i="7"/>
  <c r="J8766" i="7"/>
  <c r="J8767" i="7"/>
  <c r="J8768" i="7"/>
  <c r="J8769" i="7"/>
  <c r="J8770" i="7"/>
  <c r="J8771" i="7"/>
  <c r="J8772" i="7"/>
  <c r="J8773" i="7"/>
  <c r="J8774" i="7"/>
  <c r="J8775" i="7"/>
  <c r="J8776" i="7"/>
  <c r="J8777" i="7"/>
  <c r="J8778" i="7"/>
  <c r="J8779" i="7"/>
  <c r="J8780" i="7"/>
  <c r="J8781" i="7"/>
  <c r="J8782" i="7"/>
  <c r="J8783" i="7"/>
  <c r="J8784" i="7"/>
  <c r="J8785" i="7"/>
  <c r="J8786" i="7"/>
  <c r="J8787" i="7"/>
  <c r="J8788" i="7"/>
  <c r="J8789" i="7"/>
  <c r="J8790" i="7"/>
  <c r="J8791" i="7"/>
  <c r="J8792" i="7"/>
  <c r="J8793" i="7"/>
  <c r="J8794" i="7"/>
  <c r="J8795" i="7"/>
  <c r="J8796" i="7"/>
  <c r="J8797" i="7"/>
  <c r="J8798" i="7"/>
  <c r="J8799" i="7"/>
  <c r="J8800" i="7"/>
  <c r="J8801" i="7"/>
  <c r="J8802" i="7"/>
  <c r="J8803" i="7"/>
  <c r="J8804" i="7"/>
  <c r="J8805" i="7"/>
  <c r="J8806" i="7"/>
  <c r="J8807" i="7"/>
  <c r="J8808" i="7"/>
  <c r="J8809" i="7"/>
  <c r="J8810" i="7"/>
  <c r="J8811" i="7"/>
  <c r="J8812" i="7"/>
  <c r="J8813" i="7"/>
  <c r="J8814" i="7"/>
  <c r="J8815" i="7"/>
  <c r="J8816" i="7"/>
  <c r="J8817" i="7"/>
  <c r="J8818" i="7"/>
  <c r="J8819" i="7"/>
  <c r="J8820" i="7"/>
  <c r="J8821" i="7"/>
  <c r="J8822" i="7"/>
  <c r="J8823" i="7"/>
  <c r="J8824" i="7"/>
  <c r="J8825" i="7"/>
  <c r="J8826" i="7"/>
  <c r="J8827" i="7"/>
  <c r="J8828" i="7"/>
  <c r="J8829" i="7"/>
  <c r="J8830" i="7"/>
  <c r="J8831" i="7"/>
  <c r="J8832" i="7"/>
  <c r="J8833" i="7"/>
  <c r="J8834" i="7"/>
  <c r="J8835" i="7"/>
  <c r="J8836" i="7"/>
  <c r="J8837" i="7"/>
  <c r="J8838" i="7"/>
  <c r="J8839" i="7"/>
  <c r="J8840" i="7"/>
  <c r="J8841" i="7"/>
  <c r="J8842" i="7"/>
  <c r="J8843" i="7"/>
  <c r="J8844" i="7"/>
  <c r="J8845" i="7"/>
  <c r="J8846" i="7"/>
  <c r="J8847" i="7"/>
  <c r="J8848" i="7"/>
  <c r="J8849" i="7"/>
  <c r="J8850" i="7"/>
  <c r="J8851" i="7"/>
  <c r="J8852" i="7"/>
  <c r="J8853" i="7"/>
  <c r="J8854" i="7"/>
  <c r="J8855" i="7"/>
  <c r="J8856" i="7"/>
  <c r="J8857" i="7"/>
  <c r="J8858" i="7"/>
  <c r="J8859" i="7"/>
  <c r="J8860" i="7"/>
  <c r="J8861" i="7"/>
  <c r="J8862" i="7"/>
  <c r="J8863" i="7"/>
  <c r="J8864" i="7"/>
  <c r="J8865" i="7"/>
  <c r="J8866" i="7"/>
  <c r="J8867" i="7"/>
  <c r="J8868" i="7"/>
  <c r="J8869" i="7"/>
  <c r="J8870" i="7"/>
  <c r="J8871" i="7"/>
  <c r="J8872" i="7"/>
  <c r="J8873" i="7"/>
  <c r="J8874" i="7"/>
  <c r="J8875" i="7"/>
  <c r="J8876" i="7"/>
  <c r="J8877" i="7"/>
  <c r="J8878" i="7"/>
  <c r="J8879" i="7"/>
  <c r="J8880" i="7"/>
  <c r="J8881" i="7"/>
  <c r="J8882" i="7"/>
  <c r="J8883" i="7"/>
  <c r="J8884" i="7"/>
  <c r="J8885" i="7"/>
  <c r="J8886" i="7"/>
  <c r="J8887" i="7"/>
  <c r="J8888" i="7"/>
  <c r="J8889" i="7"/>
  <c r="J8890" i="7"/>
  <c r="J8891" i="7"/>
  <c r="J8892" i="7"/>
  <c r="J8893" i="7"/>
  <c r="J8894" i="7"/>
  <c r="J8895" i="7"/>
  <c r="J8896" i="7"/>
  <c r="J8897" i="7"/>
  <c r="J8898" i="7"/>
  <c r="J8899" i="7"/>
  <c r="J8900" i="7"/>
  <c r="J8901" i="7"/>
  <c r="J8902" i="7"/>
  <c r="J8903" i="7"/>
  <c r="J8904" i="7"/>
  <c r="J8905" i="7"/>
  <c r="J8906" i="7"/>
  <c r="J8907" i="7"/>
  <c r="J8908" i="7"/>
  <c r="J8909" i="7"/>
  <c r="J8910" i="7"/>
  <c r="J8911" i="7"/>
  <c r="J8912" i="7"/>
  <c r="J8913" i="7"/>
  <c r="J8914" i="7"/>
  <c r="J8915" i="7"/>
  <c r="J8916" i="7"/>
  <c r="J8917" i="7"/>
  <c r="J8918" i="7"/>
  <c r="J8919" i="7"/>
  <c r="J8920" i="7"/>
  <c r="J8921" i="7"/>
  <c r="J8922" i="7"/>
  <c r="J8923" i="7"/>
  <c r="J8924" i="7"/>
  <c r="J8925" i="7"/>
  <c r="J8926" i="7"/>
  <c r="J8927" i="7"/>
  <c r="J8928" i="7"/>
  <c r="J8929" i="7"/>
  <c r="J8930" i="7"/>
  <c r="J8931" i="7"/>
  <c r="J8932" i="7"/>
  <c r="J8933" i="7"/>
  <c r="J8934" i="7"/>
  <c r="J8935" i="7"/>
  <c r="J8936" i="7"/>
  <c r="J8937" i="7"/>
  <c r="J8938" i="7"/>
  <c r="J8939" i="7"/>
  <c r="J8940" i="7"/>
  <c r="J8941" i="7"/>
  <c r="J8942" i="7"/>
  <c r="J8943" i="7"/>
  <c r="J8944" i="7"/>
  <c r="J8945" i="7"/>
  <c r="J8946" i="7"/>
  <c r="J8947" i="7"/>
  <c r="J8948" i="7"/>
  <c r="J8949" i="7"/>
  <c r="J8950" i="7"/>
  <c r="J8951" i="7"/>
  <c r="J8952" i="7"/>
  <c r="J8953" i="7"/>
  <c r="J8954" i="7"/>
  <c r="J8955" i="7"/>
  <c r="J8956" i="7"/>
  <c r="J8957" i="7"/>
  <c r="J8958" i="7"/>
  <c r="J8959" i="7"/>
  <c r="J8960" i="7"/>
  <c r="J8961" i="7"/>
  <c r="J8962" i="7"/>
  <c r="J8963" i="7"/>
  <c r="J8964" i="7"/>
  <c r="J8965" i="7"/>
  <c r="J8966" i="7"/>
  <c r="J8967" i="7"/>
  <c r="J8968" i="7"/>
  <c r="J8969" i="7"/>
  <c r="J8970" i="7"/>
  <c r="J8971" i="7"/>
  <c r="J8972" i="7"/>
  <c r="J8973" i="7"/>
  <c r="J8974" i="7"/>
  <c r="J8975" i="7"/>
  <c r="J8976" i="7"/>
  <c r="J8977" i="7"/>
  <c r="J8978" i="7"/>
  <c r="J8979" i="7"/>
  <c r="J8980" i="7"/>
  <c r="J8981" i="7"/>
  <c r="J8982" i="7"/>
  <c r="J8983" i="7"/>
  <c r="J8984" i="7"/>
  <c r="J8985" i="7"/>
  <c r="J8986" i="7"/>
  <c r="J8987" i="7"/>
  <c r="J8988" i="7"/>
  <c r="J8989" i="7"/>
  <c r="J8990" i="7"/>
  <c r="J8991" i="7"/>
  <c r="J8992" i="7"/>
  <c r="J8993" i="7"/>
  <c r="J8994" i="7"/>
  <c r="J8995" i="7"/>
  <c r="J8996" i="7"/>
  <c r="J8997" i="7"/>
  <c r="J8998" i="7"/>
  <c r="J8999" i="7"/>
  <c r="J9000" i="7"/>
  <c r="J9001" i="7"/>
  <c r="J9002" i="7"/>
  <c r="J9003" i="7"/>
  <c r="J9004" i="7"/>
  <c r="J9005" i="7"/>
  <c r="J9006" i="7"/>
  <c r="J9007" i="7"/>
  <c r="J9008" i="7"/>
  <c r="J9009" i="7"/>
  <c r="J9010" i="7"/>
  <c r="J9011" i="7"/>
  <c r="J9012" i="7"/>
  <c r="J9013" i="7"/>
  <c r="J9014" i="7"/>
  <c r="J9015" i="7"/>
  <c r="J9016" i="7"/>
  <c r="J9017" i="7"/>
  <c r="J9018" i="7"/>
  <c r="J9019" i="7"/>
  <c r="J9020" i="7"/>
  <c r="J9021" i="7"/>
  <c r="J9022" i="7"/>
  <c r="J9023" i="7"/>
  <c r="J9024" i="7"/>
  <c r="J9025" i="7"/>
  <c r="J9026" i="7"/>
  <c r="J9027" i="7"/>
  <c r="J9028" i="7"/>
  <c r="J9029" i="7"/>
  <c r="J9030" i="7"/>
  <c r="J9031" i="7"/>
  <c r="J9032" i="7"/>
  <c r="J9033" i="7"/>
  <c r="J9034" i="7"/>
  <c r="J9035" i="7"/>
  <c r="J9036" i="7"/>
  <c r="J9037" i="7"/>
  <c r="J9038" i="7"/>
  <c r="J9039" i="7"/>
  <c r="J9040" i="7"/>
  <c r="J9041" i="7"/>
  <c r="J9042" i="7"/>
  <c r="J9043" i="7"/>
  <c r="J9044" i="7"/>
  <c r="J9045" i="7"/>
  <c r="J9046" i="7"/>
  <c r="J9047" i="7"/>
  <c r="J9048" i="7"/>
  <c r="J9049" i="7"/>
  <c r="J9050" i="7"/>
  <c r="J9051" i="7"/>
  <c r="J9052" i="7"/>
  <c r="J9053" i="7"/>
  <c r="J9054" i="7"/>
  <c r="J9055" i="7"/>
  <c r="J9056" i="7"/>
  <c r="J9057" i="7"/>
  <c r="J9058" i="7"/>
  <c r="J9059" i="7"/>
  <c r="J9060" i="7"/>
  <c r="J9061" i="7"/>
  <c r="J9062" i="7"/>
  <c r="J9063" i="7"/>
  <c r="J9064" i="7"/>
  <c r="J9065" i="7"/>
  <c r="J9066" i="7"/>
  <c r="J9067" i="7"/>
  <c r="J9068" i="7"/>
  <c r="J9069" i="7"/>
  <c r="J9070" i="7"/>
  <c r="J9071" i="7"/>
  <c r="J9072" i="7"/>
  <c r="J9073" i="7"/>
  <c r="J9074" i="7"/>
  <c r="J9075" i="7"/>
  <c r="J9076" i="7"/>
  <c r="J9077" i="7"/>
  <c r="J9078" i="7"/>
  <c r="J9079" i="7"/>
  <c r="J9080" i="7"/>
  <c r="J9081" i="7"/>
  <c r="J9082" i="7"/>
  <c r="J9083" i="7"/>
  <c r="J9084" i="7"/>
  <c r="J9085" i="7"/>
  <c r="J9086" i="7"/>
  <c r="J9087" i="7"/>
  <c r="J9088" i="7"/>
  <c r="J9089" i="7"/>
  <c r="J9090" i="7"/>
  <c r="J9091" i="7"/>
  <c r="J9092" i="7"/>
  <c r="J9093" i="7"/>
  <c r="J9094" i="7"/>
  <c r="J9095" i="7"/>
  <c r="J9096" i="7"/>
  <c r="J9097" i="7"/>
  <c r="J9098" i="7"/>
  <c r="J9099" i="7"/>
  <c r="J9100" i="7"/>
  <c r="J9101" i="7"/>
  <c r="J9102" i="7"/>
  <c r="J9103" i="7"/>
  <c r="J9104" i="7"/>
  <c r="J9105" i="7"/>
  <c r="J9106" i="7"/>
  <c r="J9107" i="7"/>
  <c r="J9108" i="7"/>
  <c r="J9109" i="7"/>
  <c r="J9110" i="7"/>
  <c r="J9111" i="7"/>
  <c r="J9112" i="7"/>
  <c r="J9113" i="7"/>
  <c r="J9114" i="7"/>
  <c r="J9115" i="7"/>
  <c r="J9116" i="7"/>
  <c r="J9117" i="7"/>
  <c r="J9118" i="7"/>
  <c r="J9119" i="7"/>
  <c r="J9120" i="7"/>
  <c r="J9121" i="7"/>
  <c r="J9122" i="7"/>
  <c r="J9123" i="7"/>
  <c r="J9124" i="7"/>
  <c r="J9125" i="7"/>
  <c r="J9126" i="7"/>
  <c r="J9127" i="7"/>
  <c r="J9128" i="7"/>
  <c r="J9129" i="7"/>
  <c r="J9130" i="7"/>
  <c r="J9131" i="7"/>
  <c r="J9132" i="7"/>
  <c r="J9133" i="7"/>
  <c r="J9134" i="7"/>
  <c r="J9135" i="7"/>
  <c r="J9136" i="7"/>
  <c r="J9137" i="7"/>
  <c r="J9138" i="7"/>
  <c r="J9139" i="7"/>
  <c r="J9140" i="7"/>
  <c r="J9141" i="7"/>
  <c r="J9142" i="7"/>
  <c r="J9143" i="7"/>
  <c r="J9144" i="7"/>
  <c r="J9145" i="7"/>
  <c r="J9146" i="7"/>
  <c r="J9147" i="7"/>
  <c r="J9148" i="7"/>
  <c r="J9149" i="7"/>
  <c r="J9150" i="7"/>
  <c r="J9151" i="7"/>
  <c r="J9152" i="7"/>
  <c r="J9153" i="7"/>
  <c r="J9154" i="7"/>
  <c r="J9155" i="7"/>
  <c r="J9156" i="7"/>
  <c r="J9157" i="7"/>
  <c r="J9158" i="7"/>
  <c r="J9159" i="7"/>
  <c r="J9160" i="7"/>
  <c r="J9161" i="7"/>
  <c r="J9162" i="7"/>
  <c r="J9163" i="7"/>
  <c r="J9164" i="7"/>
  <c r="J9165" i="7"/>
  <c r="J9166" i="7"/>
  <c r="J9167" i="7"/>
  <c r="J9168" i="7"/>
  <c r="J9169" i="7"/>
  <c r="J9170" i="7"/>
  <c r="J9171" i="7"/>
  <c r="J9172" i="7"/>
  <c r="J9173" i="7"/>
  <c r="J9174" i="7"/>
  <c r="J9175" i="7"/>
  <c r="J9176" i="7"/>
  <c r="J9177" i="7"/>
  <c r="J9178" i="7"/>
  <c r="J9179" i="7"/>
  <c r="J9180" i="7"/>
  <c r="J9181" i="7"/>
  <c r="J9182" i="7"/>
  <c r="J9183" i="7"/>
  <c r="J9184" i="7"/>
  <c r="J9185" i="7"/>
  <c r="J9186" i="7"/>
  <c r="J9187" i="7"/>
  <c r="J9188" i="7"/>
  <c r="J9189" i="7"/>
  <c r="J9190" i="7"/>
  <c r="J9191" i="7"/>
  <c r="J9192" i="7"/>
  <c r="J9193" i="7"/>
  <c r="J9194" i="7"/>
  <c r="J9195" i="7"/>
  <c r="J9196" i="7"/>
  <c r="J9197" i="7"/>
  <c r="J9198" i="7"/>
  <c r="J9199" i="7"/>
  <c r="J9200" i="7"/>
  <c r="J9201" i="7"/>
  <c r="J9202" i="7"/>
  <c r="J9203" i="7"/>
  <c r="J9204" i="7"/>
  <c r="J9205" i="7"/>
  <c r="J9206" i="7"/>
  <c r="J9207" i="7"/>
  <c r="J9208" i="7"/>
  <c r="J9209" i="7"/>
  <c r="J9210" i="7"/>
  <c r="J9211" i="7"/>
  <c r="J9212" i="7"/>
  <c r="J9213" i="7"/>
  <c r="J9214" i="7"/>
  <c r="J9215" i="7"/>
  <c r="J9216" i="7"/>
  <c r="J9217" i="7"/>
  <c r="J9218" i="7"/>
  <c r="J9219" i="7"/>
  <c r="J9220" i="7"/>
  <c r="J9221" i="7"/>
  <c r="J9222" i="7"/>
  <c r="J9223" i="7"/>
  <c r="J9224" i="7"/>
  <c r="J9225" i="7"/>
  <c r="J9226" i="7"/>
  <c r="J9227" i="7"/>
  <c r="J9228" i="7"/>
  <c r="J9229" i="7"/>
  <c r="J9230" i="7"/>
  <c r="J9231" i="7"/>
  <c r="J9232" i="7"/>
  <c r="J9233" i="7"/>
  <c r="J9234" i="7"/>
  <c r="J9235" i="7"/>
  <c r="J9236" i="7"/>
  <c r="J9237" i="7"/>
  <c r="J9238" i="7"/>
  <c r="J9239" i="7"/>
  <c r="J9240" i="7"/>
  <c r="J9241" i="7"/>
  <c r="J9242" i="7"/>
  <c r="J9243" i="7"/>
  <c r="J9244" i="7"/>
  <c r="J9245" i="7"/>
  <c r="J9246" i="7"/>
  <c r="J9247" i="7"/>
  <c r="J9248" i="7"/>
  <c r="J9249" i="7"/>
  <c r="J9250" i="7"/>
  <c r="J9251" i="7"/>
  <c r="J9252" i="7"/>
  <c r="J9253" i="7"/>
  <c r="J9254" i="7"/>
  <c r="J9255" i="7"/>
  <c r="J9256" i="7"/>
  <c r="J9257" i="7"/>
  <c r="J9258" i="7"/>
  <c r="J9259" i="7"/>
  <c r="J9260" i="7"/>
  <c r="J9261" i="7"/>
  <c r="J9262" i="7"/>
  <c r="J9263" i="7"/>
  <c r="J9264" i="7"/>
  <c r="J9265" i="7"/>
  <c r="J9266" i="7"/>
  <c r="J9267" i="7"/>
  <c r="J9268" i="7"/>
  <c r="J9269" i="7"/>
  <c r="J9270" i="7"/>
  <c r="J9271" i="7"/>
  <c r="J9272" i="7"/>
  <c r="J9273" i="7"/>
  <c r="J9274" i="7"/>
  <c r="J9275" i="7"/>
  <c r="J9276" i="7"/>
  <c r="J9277" i="7"/>
  <c r="J9278" i="7"/>
  <c r="J9279" i="7"/>
  <c r="J9280" i="7"/>
  <c r="J9281" i="7"/>
  <c r="J9282" i="7"/>
  <c r="J9283" i="7"/>
  <c r="J9284" i="7"/>
  <c r="J9285" i="7"/>
  <c r="J9286" i="7"/>
  <c r="J9287" i="7"/>
  <c r="J9288" i="7"/>
  <c r="J9289" i="7"/>
  <c r="J9290" i="7"/>
  <c r="J9291" i="7"/>
  <c r="J9292" i="7"/>
  <c r="J9293" i="7"/>
  <c r="J9294" i="7"/>
  <c r="J9295" i="7"/>
  <c r="J9296" i="7"/>
  <c r="J9297" i="7"/>
  <c r="J9298" i="7"/>
  <c r="J9299" i="7"/>
  <c r="J9300" i="7"/>
  <c r="J9301" i="7"/>
  <c r="J9302" i="7"/>
  <c r="J9303" i="7"/>
  <c r="J9304" i="7"/>
  <c r="J9305" i="7"/>
  <c r="J9306" i="7"/>
  <c r="J9307" i="7"/>
  <c r="J9308" i="7"/>
  <c r="J9309" i="7"/>
  <c r="J9310" i="7"/>
  <c r="J9311" i="7"/>
  <c r="J9312" i="7"/>
  <c r="J9313" i="7"/>
  <c r="J9314" i="7"/>
  <c r="J9315" i="7"/>
  <c r="J9316" i="7"/>
  <c r="J9317" i="7"/>
  <c r="J9318" i="7"/>
  <c r="J9319" i="7"/>
  <c r="J9320" i="7"/>
  <c r="J9321" i="7"/>
  <c r="J9322" i="7"/>
  <c r="J9323" i="7"/>
  <c r="J9324" i="7"/>
  <c r="J9325" i="7"/>
  <c r="J9326" i="7"/>
  <c r="J9327" i="7"/>
  <c r="J9328" i="7"/>
  <c r="J9329" i="7"/>
  <c r="J9330" i="7"/>
  <c r="J9331" i="7"/>
  <c r="J9332" i="7"/>
  <c r="J9333" i="7"/>
  <c r="J9334" i="7"/>
  <c r="J9335" i="7"/>
  <c r="J9336" i="7"/>
  <c r="J9337" i="7"/>
  <c r="J9338" i="7"/>
  <c r="J9339" i="7"/>
  <c r="J9340" i="7"/>
  <c r="J9341" i="7"/>
  <c r="J9342" i="7"/>
  <c r="J9343" i="7"/>
  <c r="J9344" i="7"/>
  <c r="J9345" i="7"/>
  <c r="J9346" i="7"/>
  <c r="J9347" i="7"/>
  <c r="J9348" i="7"/>
  <c r="J9349" i="7"/>
  <c r="J9350" i="7"/>
  <c r="J9351" i="7"/>
  <c r="J9352" i="7"/>
  <c r="J9353" i="7"/>
  <c r="J9354" i="7"/>
  <c r="J9355" i="7"/>
  <c r="J9356" i="7"/>
  <c r="J9357" i="7"/>
  <c r="J9358" i="7"/>
  <c r="J9359" i="7"/>
  <c r="J9360" i="7"/>
  <c r="J9361" i="7"/>
  <c r="J9362" i="7"/>
  <c r="J9363" i="7"/>
  <c r="J9364" i="7"/>
  <c r="J9365" i="7"/>
  <c r="J9366" i="7"/>
  <c r="J9367" i="7"/>
  <c r="J9368" i="7"/>
  <c r="J9369" i="7"/>
  <c r="J9370" i="7"/>
  <c r="J9371" i="7"/>
  <c r="J9372" i="7"/>
  <c r="J9373" i="7"/>
  <c r="J9374" i="7"/>
  <c r="J9375" i="7"/>
  <c r="J9376" i="7"/>
  <c r="J9377" i="7"/>
  <c r="J9378" i="7"/>
  <c r="J9379" i="7"/>
  <c r="J9380" i="7"/>
  <c r="J9381" i="7"/>
  <c r="J9382" i="7"/>
  <c r="J9383" i="7"/>
  <c r="J9384" i="7"/>
  <c r="J9385" i="7"/>
  <c r="J9386" i="7"/>
  <c r="J9387" i="7"/>
  <c r="J9388" i="7"/>
  <c r="J9389" i="7"/>
  <c r="J9390" i="7"/>
  <c r="J9391" i="7"/>
  <c r="J9392" i="7"/>
  <c r="J9393" i="7"/>
  <c r="J9394" i="7"/>
  <c r="J9395" i="7"/>
  <c r="J9396" i="7"/>
  <c r="J9397" i="7"/>
  <c r="J9398" i="7"/>
  <c r="J9399" i="7"/>
  <c r="J9400" i="7"/>
  <c r="J9401" i="7"/>
  <c r="J9402" i="7"/>
  <c r="J9403" i="7"/>
  <c r="J9404" i="7"/>
  <c r="J9405" i="7"/>
  <c r="J9406" i="7"/>
  <c r="J9407" i="7"/>
  <c r="J9408" i="7"/>
  <c r="J9409" i="7"/>
  <c r="J9410" i="7"/>
  <c r="J9411" i="7"/>
  <c r="J9412" i="7"/>
  <c r="J9413" i="7"/>
  <c r="J9414" i="7"/>
  <c r="J9415" i="7"/>
  <c r="J9416" i="7"/>
  <c r="J9417" i="7"/>
  <c r="J9418" i="7"/>
  <c r="J9419" i="7"/>
  <c r="J9420" i="7"/>
  <c r="J9421" i="7"/>
  <c r="J9422" i="7"/>
  <c r="J9423" i="7"/>
  <c r="J9424" i="7"/>
  <c r="J9425" i="7"/>
  <c r="J9426" i="7"/>
  <c r="J9427" i="7"/>
  <c r="J9428" i="7"/>
  <c r="J9429" i="7"/>
  <c r="J9430" i="7"/>
  <c r="J9431" i="7"/>
  <c r="J9432" i="7"/>
  <c r="J9433" i="7"/>
  <c r="J9434" i="7"/>
  <c r="J9435" i="7"/>
  <c r="J9436" i="7"/>
  <c r="J9437" i="7"/>
  <c r="J9438" i="7"/>
  <c r="J9439" i="7"/>
  <c r="J9440" i="7"/>
  <c r="J9441" i="7"/>
  <c r="J9442" i="7"/>
  <c r="J9443" i="7"/>
  <c r="J9444" i="7"/>
  <c r="J9445" i="7"/>
  <c r="J9446" i="7"/>
  <c r="J9447" i="7"/>
  <c r="J9448" i="7"/>
  <c r="J9449" i="7"/>
  <c r="J9450" i="7"/>
  <c r="J9451" i="7"/>
  <c r="J9452" i="7"/>
  <c r="J9453" i="7"/>
  <c r="J9454" i="7"/>
  <c r="J9455" i="7"/>
  <c r="J9456" i="7"/>
  <c r="J9457" i="7"/>
  <c r="J9458" i="7"/>
  <c r="J9459" i="7"/>
  <c r="J9460" i="7"/>
  <c r="J9461" i="7"/>
  <c r="J9462" i="7"/>
  <c r="J9463" i="7"/>
  <c r="J9464" i="7"/>
  <c r="J9465" i="7"/>
  <c r="I2" i="7"/>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46" i="7"/>
  <c r="I47" i="7"/>
  <c r="I48" i="7"/>
  <c r="I49" i="7"/>
  <c r="I50" i="7"/>
  <c r="I51" i="7"/>
  <c r="I52" i="7"/>
  <c r="I53" i="7"/>
  <c r="I54" i="7"/>
  <c r="I55" i="7"/>
  <c r="I56" i="7"/>
  <c r="I57" i="7"/>
  <c r="I58" i="7"/>
  <c r="I59" i="7"/>
  <c r="I60" i="7"/>
  <c r="I61" i="7"/>
  <c r="I62" i="7"/>
  <c r="I63" i="7"/>
  <c r="I64" i="7"/>
  <c r="I65" i="7"/>
  <c r="I66" i="7"/>
  <c r="I67" i="7"/>
  <c r="I68" i="7"/>
  <c r="I69" i="7"/>
  <c r="I70" i="7"/>
  <c r="I71" i="7"/>
  <c r="I72" i="7"/>
  <c r="I73" i="7"/>
  <c r="I74" i="7"/>
  <c r="I75" i="7"/>
  <c r="I76" i="7"/>
  <c r="I77" i="7"/>
  <c r="I78" i="7"/>
  <c r="I79" i="7"/>
  <c r="I80" i="7"/>
  <c r="I81" i="7"/>
  <c r="I82" i="7"/>
  <c r="I83" i="7"/>
  <c r="I84" i="7"/>
  <c r="I85" i="7"/>
  <c r="I86" i="7"/>
  <c r="I87" i="7"/>
  <c r="I88" i="7"/>
  <c r="I89" i="7"/>
  <c r="I90" i="7"/>
  <c r="I91" i="7"/>
  <c r="I92" i="7"/>
  <c r="I93" i="7"/>
  <c r="I94" i="7"/>
  <c r="I95" i="7"/>
  <c r="I96" i="7"/>
  <c r="I97" i="7"/>
  <c r="I98" i="7"/>
  <c r="I99" i="7"/>
  <c r="I100" i="7"/>
  <c r="I101" i="7"/>
  <c r="I102" i="7"/>
  <c r="I103" i="7"/>
  <c r="I104" i="7"/>
  <c r="I105" i="7"/>
  <c r="I106" i="7"/>
  <c r="I107" i="7"/>
  <c r="I108" i="7"/>
  <c r="I109" i="7"/>
  <c r="I110" i="7"/>
  <c r="I111" i="7"/>
  <c r="I112" i="7"/>
  <c r="I113" i="7"/>
  <c r="I114" i="7"/>
  <c r="I115" i="7"/>
  <c r="I116" i="7"/>
  <c r="I117" i="7"/>
  <c r="I118" i="7"/>
  <c r="I119" i="7"/>
  <c r="I120" i="7"/>
  <c r="I121" i="7"/>
  <c r="I122" i="7"/>
  <c r="I123" i="7"/>
  <c r="I124" i="7"/>
  <c r="I125" i="7"/>
  <c r="I126" i="7"/>
  <c r="I127" i="7"/>
  <c r="I128" i="7"/>
  <c r="I129" i="7"/>
  <c r="I130" i="7"/>
  <c r="I131" i="7"/>
  <c r="I132" i="7"/>
  <c r="I133" i="7"/>
  <c r="I134" i="7"/>
  <c r="I135" i="7"/>
  <c r="I136" i="7"/>
  <c r="I137" i="7"/>
  <c r="I138" i="7"/>
  <c r="I139" i="7"/>
  <c r="I140" i="7"/>
  <c r="I141" i="7"/>
  <c r="I142" i="7"/>
  <c r="I143" i="7"/>
  <c r="I144" i="7"/>
  <c r="I145" i="7"/>
  <c r="I146" i="7"/>
  <c r="I147" i="7"/>
  <c r="I148" i="7"/>
  <c r="I149" i="7"/>
  <c r="I150" i="7"/>
  <c r="I151" i="7"/>
  <c r="I152" i="7"/>
  <c r="I153" i="7"/>
  <c r="I154" i="7"/>
  <c r="I155" i="7"/>
  <c r="I156" i="7"/>
  <c r="I157" i="7"/>
  <c r="I158" i="7"/>
  <c r="I159" i="7"/>
  <c r="I160" i="7"/>
  <c r="I161" i="7"/>
  <c r="I162" i="7"/>
  <c r="I163" i="7"/>
  <c r="I164" i="7"/>
  <c r="I165" i="7"/>
  <c r="I166" i="7"/>
  <c r="I167" i="7"/>
  <c r="I168" i="7"/>
  <c r="I169" i="7"/>
  <c r="I170" i="7"/>
  <c r="I171" i="7"/>
  <c r="I172" i="7"/>
  <c r="I173" i="7"/>
  <c r="I174" i="7"/>
  <c r="I175" i="7"/>
  <c r="I176" i="7"/>
  <c r="I177" i="7"/>
  <c r="I178" i="7"/>
  <c r="I179" i="7"/>
  <c r="I180" i="7"/>
  <c r="I181" i="7"/>
  <c r="I182" i="7"/>
  <c r="I183" i="7"/>
  <c r="I184" i="7"/>
  <c r="I185" i="7"/>
  <c r="I186" i="7"/>
  <c r="I187" i="7"/>
  <c r="I188" i="7"/>
  <c r="I189" i="7"/>
  <c r="I190" i="7"/>
  <c r="I191" i="7"/>
  <c r="I192" i="7"/>
  <c r="I193" i="7"/>
  <c r="I194" i="7"/>
  <c r="I195" i="7"/>
  <c r="I196" i="7"/>
  <c r="I197" i="7"/>
  <c r="I198" i="7"/>
  <c r="I199" i="7"/>
  <c r="I200" i="7"/>
  <c r="I201" i="7"/>
  <c r="I202" i="7"/>
  <c r="I203" i="7"/>
  <c r="I204" i="7"/>
  <c r="I205" i="7"/>
  <c r="I206" i="7"/>
  <c r="I207" i="7"/>
  <c r="I208" i="7"/>
  <c r="I209" i="7"/>
  <c r="I210" i="7"/>
  <c r="I211" i="7"/>
  <c r="I212" i="7"/>
  <c r="I213" i="7"/>
  <c r="I214" i="7"/>
  <c r="I215" i="7"/>
  <c r="I216" i="7"/>
  <c r="I217" i="7"/>
  <c r="I218" i="7"/>
  <c r="I219" i="7"/>
  <c r="I220" i="7"/>
  <c r="I221" i="7"/>
  <c r="I222" i="7"/>
  <c r="I223" i="7"/>
  <c r="I224" i="7"/>
  <c r="I225" i="7"/>
  <c r="I226" i="7"/>
  <c r="I227" i="7"/>
  <c r="I228" i="7"/>
  <c r="I229" i="7"/>
  <c r="I230" i="7"/>
  <c r="I231" i="7"/>
  <c r="I232" i="7"/>
  <c r="I233" i="7"/>
  <c r="I234" i="7"/>
  <c r="I235" i="7"/>
  <c r="I236" i="7"/>
  <c r="I237" i="7"/>
  <c r="I238" i="7"/>
  <c r="I239" i="7"/>
  <c r="I240" i="7"/>
  <c r="I241" i="7"/>
  <c r="I242" i="7"/>
  <c r="I243" i="7"/>
  <c r="I244" i="7"/>
  <c r="I245" i="7"/>
  <c r="I246" i="7"/>
  <c r="I247" i="7"/>
  <c r="I248" i="7"/>
  <c r="I249" i="7"/>
  <c r="I250" i="7"/>
  <c r="I251" i="7"/>
  <c r="I252" i="7"/>
  <c r="I253" i="7"/>
  <c r="I254" i="7"/>
  <c r="I255" i="7"/>
  <c r="I256" i="7"/>
  <c r="I257" i="7"/>
  <c r="I258" i="7"/>
  <c r="I259" i="7"/>
  <c r="I260" i="7"/>
  <c r="I261" i="7"/>
  <c r="I262" i="7"/>
  <c r="I263" i="7"/>
  <c r="I264" i="7"/>
  <c r="I265" i="7"/>
  <c r="I266" i="7"/>
  <c r="I267" i="7"/>
  <c r="I268" i="7"/>
  <c r="I269" i="7"/>
  <c r="I270" i="7"/>
  <c r="I271" i="7"/>
  <c r="I272" i="7"/>
  <c r="I273" i="7"/>
  <c r="I274" i="7"/>
  <c r="I275" i="7"/>
  <c r="I276" i="7"/>
  <c r="I277" i="7"/>
  <c r="I278" i="7"/>
  <c r="I279" i="7"/>
  <c r="I280" i="7"/>
  <c r="I281" i="7"/>
  <c r="I282" i="7"/>
  <c r="I283" i="7"/>
  <c r="I284" i="7"/>
  <c r="I285" i="7"/>
  <c r="I286" i="7"/>
  <c r="I287" i="7"/>
  <c r="I288" i="7"/>
  <c r="I289" i="7"/>
  <c r="I290" i="7"/>
  <c r="I291" i="7"/>
  <c r="I292" i="7"/>
  <c r="I293" i="7"/>
  <c r="I294" i="7"/>
  <c r="I295" i="7"/>
  <c r="I296" i="7"/>
  <c r="I297" i="7"/>
  <c r="I298" i="7"/>
  <c r="I299" i="7"/>
  <c r="I300" i="7"/>
  <c r="I301" i="7"/>
  <c r="I302" i="7"/>
  <c r="I303" i="7"/>
  <c r="I304" i="7"/>
  <c r="I305" i="7"/>
  <c r="I306" i="7"/>
  <c r="I307" i="7"/>
  <c r="I308" i="7"/>
  <c r="I309" i="7"/>
  <c r="I310" i="7"/>
  <c r="I311" i="7"/>
  <c r="I312" i="7"/>
  <c r="I313" i="7"/>
  <c r="I314" i="7"/>
  <c r="I315" i="7"/>
  <c r="I316" i="7"/>
  <c r="I317" i="7"/>
  <c r="I318" i="7"/>
  <c r="I319" i="7"/>
  <c r="I320" i="7"/>
  <c r="I321" i="7"/>
  <c r="I322" i="7"/>
  <c r="I323" i="7"/>
  <c r="I324" i="7"/>
  <c r="I325" i="7"/>
  <c r="I326" i="7"/>
  <c r="I327" i="7"/>
  <c r="I328" i="7"/>
  <c r="I329" i="7"/>
  <c r="I330" i="7"/>
  <c r="I331" i="7"/>
  <c r="I332" i="7"/>
  <c r="I333" i="7"/>
  <c r="I334" i="7"/>
  <c r="I335" i="7"/>
  <c r="I336" i="7"/>
  <c r="I337" i="7"/>
  <c r="I338" i="7"/>
  <c r="I339" i="7"/>
  <c r="I340" i="7"/>
  <c r="I341" i="7"/>
  <c r="I342" i="7"/>
  <c r="I343" i="7"/>
  <c r="I344" i="7"/>
  <c r="I345" i="7"/>
  <c r="I346" i="7"/>
  <c r="I347" i="7"/>
  <c r="I348" i="7"/>
  <c r="I349" i="7"/>
  <c r="I350" i="7"/>
  <c r="I351" i="7"/>
  <c r="I352" i="7"/>
  <c r="I353" i="7"/>
  <c r="I354" i="7"/>
  <c r="I355" i="7"/>
  <c r="I356" i="7"/>
  <c r="I357" i="7"/>
  <c r="I358" i="7"/>
  <c r="I359" i="7"/>
  <c r="I360" i="7"/>
  <c r="I361" i="7"/>
  <c r="I362" i="7"/>
  <c r="I363" i="7"/>
  <c r="I364" i="7"/>
  <c r="I365" i="7"/>
  <c r="I366" i="7"/>
  <c r="I367" i="7"/>
  <c r="I368" i="7"/>
  <c r="I369" i="7"/>
  <c r="I370" i="7"/>
  <c r="I371" i="7"/>
  <c r="I372" i="7"/>
  <c r="I373" i="7"/>
  <c r="I374" i="7"/>
  <c r="I375" i="7"/>
  <c r="I376" i="7"/>
  <c r="I377" i="7"/>
  <c r="I378" i="7"/>
  <c r="I379" i="7"/>
  <c r="I380" i="7"/>
  <c r="I381" i="7"/>
  <c r="I382" i="7"/>
  <c r="I383" i="7"/>
  <c r="I384" i="7"/>
  <c r="I385" i="7"/>
  <c r="I386" i="7"/>
  <c r="I387" i="7"/>
  <c r="I388" i="7"/>
  <c r="I389" i="7"/>
  <c r="I390" i="7"/>
  <c r="I391" i="7"/>
  <c r="I392" i="7"/>
  <c r="I393" i="7"/>
  <c r="I394" i="7"/>
  <c r="I395" i="7"/>
  <c r="I396" i="7"/>
  <c r="I397" i="7"/>
  <c r="I398" i="7"/>
  <c r="I399" i="7"/>
  <c r="I400" i="7"/>
  <c r="I401" i="7"/>
  <c r="I402" i="7"/>
  <c r="I403" i="7"/>
  <c r="I404" i="7"/>
  <c r="I405" i="7"/>
  <c r="I406" i="7"/>
  <c r="I407" i="7"/>
  <c r="I408" i="7"/>
  <c r="I409" i="7"/>
  <c r="I410" i="7"/>
  <c r="I411" i="7"/>
  <c r="I412" i="7"/>
  <c r="I413" i="7"/>
  <c r="I414" i="7"/>
  <c r="I415" i="7"/>
  <c r="I416" i="7"/>
  <c r="I417" i="7"/>
  <c r="I418" i="7"/>
  <c r="I419" i="7"/>
  <c r="I420" i="7"/>
  <c r="I421" i="7"/>
  <c r="I422" i="7"/>
  <c r="I423" i="7"/>
  <c r="I424" i="7"/>
  <c r="I425" i="7"/>
  <c r="I426" i="7"/>
  <c r="I427" i="7"/>
  <c r="I428" i="7"/>
  <c r="I429" i="7"/>
  <c r="I430" i="7"/>
  <c r="I431" i="7"/>
  <c r="I432" i="7"/>
  <c r="I433" i="7"/>
  <c r="I434" i="7"/>
  <c r="I435" i="7"/>
  <c r="I436" i="7"/>
  <c r="I437" i="7"/>
  <c r="I438" i="7"/>
  <c r="I439" i="7"/>
  <c r="I440" i="7"/>
  <c r="I441" i="7"/>
  <c r="I442" i="7"/>
  <c r="I443" i="7"/>
  <c r="I444" i="7"/>
  <c r="I445" i="7"/>
  <c r="I446" i="7"/>
  <c r="I447" i="7"/>
  <c r="I448" i="7"/>
  <c r="I449" i="7"/>
  <c r="I450" i="7"/>
  <c r="I451" i="7"/>
  <c r="I452" i="7"/>
  <c r="I453" i="7"/>
  <c r="I454" i="7"/>
  <c r="I455" i="7"/>
  <c r="I456" i="7"/>
  <c r="I457" i="7"/>
  <c r="I458" i="7"/>
  <c r="I459" i="7"/>
  <c r="I460" i="7"/>
  <c r="I461" i="7"/>
  <c r="I462" i="7"/>
  <c r="I463" i="7"/>
  <c r="I464" i="7"/>
  <c r="I465" i="7"/>
  <c r="I466" i="7"/>
  <c r="I467" i="7"/>
  <c r="I468" i="7"/>
  <c r="I469" i="7"/>
  <c r="I470" i="7"/>
  <c r="I471" i="7"/>
  <c r="I472" i="7"/>
  <c r="I473" i="7"/>
  <c r="I474" i="7"/>
  <c r="I475" i="7"/>
  <c r="I476" i="7"/>
  <c r="I477" i="7"/>
  <c r="I478" i="7"/>
  <c r="I479" i="7"/>
  <c r="I480" i="7"/>
  <c r="I481" i="7"/>
  <c r="I482" i="7"/>
  <c r="I483" i="7"/>
  <c r="I484" i="7"/>
  <c r="I485" i="7"/>
  <c r="I486" i="7"/>
  <c r="I487" i="7"/>
  <c r="I488" i="7"/>
  <c r="I489" i="7"/>
  <c r="I490" i="7"/>
  <c r="I491" i="7"/>
  <c r="I492" i="7"/>
  <c r="I493" i="7"/>
  <c r="I494" i="7"/>
  <c r="I495" i="7"/>
  <c r="I496" i="7"/>
  <c r="I497" i="7"/>
  <c r="I498" i="7"/>
  <c r="I499" i="7"/>
  <c r="I500" i="7"/>
  <c r="I501" i="7"/>
  <c r="I502" i="7"/>
  <c r="I503" i="7"/>
  <c r="I504" i="7"/>
  <c r="I505" i="7"/>
  <c r="I506" i="7"/>
  <c r="I507" i="7"/>
  <c r="I508" i="7"/>
  <c r="I509" i="7"/>
  <c r="I510" i="7"/>
  <c r="I511" i="7"/>
  <c r="I512" i="7"/>
  <c r="I513" i="7"/>
  <c r="I514" i="7"/>
  <c r="I515" i="7"/>
  <c r="I516" i="7"/>
  <c r="I517" i="7"/>
  <c r="I518" i="7"/>
  <c r="I519" i="7"/>
  <c r="I520" i="7"/>
  <c r="I521" i="7"/>
  <c r="I522" i="7"/>
  <c r="I523" i="7"/>
  <c r="I524" i="7"/>
  <c r="I525" i="7"/>
  <c r="I526" i="7"/>
  <c r="I527" i="7"/>
  <c r="I528" i="7"/>
  <c r="I529" i="7"/>
  <c r="I530" i="7"/>
  <c r="I531" i="7"/>
  <c r="I532" i="7"/>
  <c r="I533" i="7"/>
  <c r="I534" i="7"/>
  <c r="I535" i="7"/>
  <c r="I536" i="7"/>
  <c r="I537" i="7"/>
  <c r="I538" i="7"/>
  <c r="I539" i="7"/>
  <c r="I540" i="7"/>
  <c r="I541" i="7"/>
  <c r="I542" i="7"/>
  <c r="I543" i="7"/>
  <c r="I544" i="7"/>
  <c r="I545" i="7"/>
  <c r="I546" i="7"/>
  <c r="I547" i="7"/>
  <c r="I548" i="7"/>
  <c r="I549" i="7"/>
  <c r="I550" i="7"/>
  <c r="I551" i="7"/>
  <c r="I552" i="7"/>
  <c r="I553" i="7"/>
  <c r="I554" i="7"/>
  <c r="I555" i="7"/>
  <c r="I556" i="7"/>
  <c r="I557" i="7"/>
  <c r="I558" i="7"/>
  <c r="I559" i="7"/>
  <c r="I560" i="7"/>
  <c r="I561" i="7"/>
  <c r="I562" i="7"/>
  <c r="I563" i="7"/>
  <c r="I564" i="7"/>
  <c r="I565" i="7"/>
  <c r="I566" i="7"/>
  <c r="I567" i="7"/>
  <c r="I568" i="7"/>
  <c r="I569" i="7"/>
  <c r="I570" i="7"/>
  <c r="I571" i="7"/>
  <c r="I572" i="7"/>
  <c r="I573" i="7"/>
  <c r="I574" i="7"/>
  <c r="I575" i="7"/>
  <c r="I576" i="7"/>
  <c r="I577" i="7"/>
  <c r="I578" i="7"/>
  <c r="I579" i="7"/>
  <c r="I580" i="7"/>
  <c r="I581" i="7"/>
  <c r="I582" i="7"/>
  <c r="I583" i="7"/>
  <c r="I584" i="7"/>
  <c r="I585" i="7"/>
  <c r="I586" i="7"/>
  <c r="I587" i="7"/>
  <c r="I588" i="7"/>
  <c r="I589" i="7"/>
  <c r="I590" i="7"/>
  <c r="I591" i="7"/>
  <c r="I592" i="7"/>
  <c r="I593" i="7"/>
  <c r="I594" i="7"/>
  <c r="I595" i="7"/>
  <c r="I596" i="7"/>
  <c r="I597" i="7"/>
  <c r="I598" i="7"/>
  <c r="I599" i="7"/>
  <c r="I600" i="7"/>
  <c r="I601" i="7"/>
  <c r="I602" i="7"/>
  <c r="I603" i="7"/>
  <c r="I604" i="7"/>
  <c r="I605" i="7"/>
  <c r="I606" i="7"/>
  <c r="I607" i="7"/>
  <c r="I608" i="7"/>
  <c r="I609" i="7"/>
  <c r="I610" i="7"/>
  <c r="I611" i="7"/>
  <c r="I612" i="7"/>
  <c r="I613" i="7"/>
  <c r="I614" i="7"/>
  <c r="I615" i="7"/>
  <c r="I616" i="7"/>
  <c r="I617" i="7"/>
  <c r="I618" i="7"/>
  <c r="I619" i="7"/>
  <c r="I620" i="7"/>
  <c r="I621" i="7"/>
  <c r="I622" i="7"/>
  <c r="I623" i="7"/>
  <c r="I624" i="7"/>
  <c r="I625" i="7"/>
  <c r="I626" i="7"/>
  <c r="I627" i="7"/>
  <c r="I628" i="7"/>
  <c r="I629" i="7"/>
  <c r="I630" i="7"/>
  <c r="I631" i="7"/>
  <c r="I632" i="7"/>
  <c r="I633" i="7"/>
  <c r="I634" i="7"/>
  <c r="I635" i="7"/>
  <c r="I636" i="7"/>
  <c r="I637" i="7"/>
  <c r="I638" i="7"/>
  <c r="I639" i="7"/>
  <c r="I640" i="7"/>
  <c r="I641" i="7"/>
  <c r="I642" i="7"/>
  <c r="I643" i="7"/>
  <c r="I644" i="7"/>
  <c r="I645" i="7"/>
  <c r="I646" i="7"/>
  <c r="I647" i="7"/>
  <c r="I648" i="7"/>
  <c r="I649" i="7"/>
  <c r="I650" i="7"/>
  <c r="I651" i="7"/>
  <c r="I652" i="7"/>
  <c r="I653" i="7"/>
  <c r="I654" i="7"/>
  <c r="I655" i="7"/>
  <c r="I656" i="7"/>
  <c r="I657" i="7"/>
  <c r="I658" i="7"/>
  <c r="I659" i="7"/>
  <c r="I660" i="7"/>
  <c r="I661" i="7"/>
  <c r="I662" i="7"/>
  <c r="I663" i="7"/>
  <c r="I664" i="7"/>
  <c r="I665" i="7"/>
  <c r="I666" i="7"/>
  <c r="I667" i="7"/>
  <c r="I668" i="7"/>
  <c r="I669" i="7"/>
  <c r="I670" i="7"/>
  <c r="I671" i="7"/>
  <c r="I672" i="7"/>
  <c r="I673" i="7"/>
  <c r="I674" i="7"/>
  <c r="I675" i="7"/>
  <c r="I676" i="7"/>
  <c r="I677" i="7"/>
  <c r="I678" i="7"/>
  <c r="I679" i="7"/>
  <c r="I680" i="7"/>
  <c r="I681" i="7"/>
  <c r="I682" i="7"/>
  <c r="I683" i="7"/>
  <c r="I684" i="7"/>
  <c r="I685" i="7"/>
  <c r="I686" i="7"/>
  <c r="I687" i="7"/>
  <c r="I688" i="7"/>
  <c r="I689" i="7"/>
  <c r="I690" i="7"/>
  <c r="I691" i="7"/>
  <c r="I692" i="7"/>
  <c r="I693" i="7"/>
  <c r="I694" i="7"/>
  <c r="I695" i="7"/>
  <c r="I696" i="7"/>
  <c r="I697" i="7"/>
  <c r="I698" i="7"/>
  <c r="I699" i="7"/>
  <c r="I700" i="7"/>
  <c r="I701" i="7"/>
  <c r="I702" i="7"/>
  <c r="I703" i="7"/>
  <c r="I704" i="7"/>
  <c r="I705" i="7"/>
  <c r="I706" i="7"/>
  <c r="I707" i="7"/>
  <c r="I708" i="7"/>
  <c r="I709" i="7"/>
  <c r="I710" i="7"/>
  <c r="I711" i="7"/>
  <c r="I712" i="7"/>
  <c r="I713" i="7"/>
  <c r="I714" i="7"/>
  <c r="I715" i="7"/>
  <c r="I716" i="7"/>
  <c r="I717" i="7"/>
  <c r="I718" i="7"/>
  <c r="I719" i="7"/>
  <c r="I720" i="7"/>
  <c r="I721" i="7"/>
  <c r="I722" i="7"/>
  <c r="I723" i="7"/>
  <c r="I724" i="7"/>
  <c r="I725" i="7"/>
  <c r="I726" i="7"/>
  <c r="I727" i="7"/>
  <c r="I728" i="7"/>
  <c r="I729" i="7"/>
  <c r="I730" i="7"/>
  <c r="I731" i="7"/>
  <c r="I732" i="7"/>
  <c r="I733" i="7"/>
  <c r="I734" i="7"/>
  <c r="I735" i="7"/>
  <c r="I736" i="7"/>
  <c r="I737" i="7"/>
  <c r="I738" i="7"/>
  <c r="I739" i="7"/>
  <c r="I740" i="7"/>
  <c r="I741" i="7"/>
  <c r="I742" i="7"/>
  <c r="I743" i="7"/>
  <c r="I744" i="7"/>
  <c r="I745" i="7"/>
  <c r="I746" i="7"/>
  <c r="I747" i="7"/>
  <c r="I748" i="7"/>
  <c r="I749" i="7"/>
  <c r="I750" i="7"/>
  <c r="I751" i="7"/>
  <c r="I752" i="7"/>
  <c r="I753" i="7"/>
  <c r="I754" i="7"/>
  <c r="I755" i="7"/>
  <c r="I756" i="7"/>
  <c r="I757" i="7"/>
  <c r="I758" i="7"/>
  <c r="I759" i="7"/>
  <c r="I760" i="7"/>
  <c r="I761" i="7"/>
  <c r="I762" i="7"/>
  <c r="I763" i="7"/>
  <c r="I764" i="7"/>
  <c r="I765" i="7"/>
  <c r="I766" i="7"/>
  <c r="I767" i="7"/>
  <c r="I768" i="7"/>
  <c r="I769" i="7"/>
  <c r="I770" i="7"/>
  <c r="I771" i="7"/>
  <c r="I772" i="7"/>
  <c r="I773" i="7"/>
  <c r="I774" i="7"/>
  <c r="I775" i="7"/>
  <c r="I776" i="7"/>
  <c r="I777" i="7"/>
  <c r="I778" i="7"/>
  <c r="I779" i="7"/>
  <c r="I780" i="7"/>
  <c r="I781" i="7"/>
  <c r="I782" i="7"/>
  <c r="I783" i="7"/>
  <c r="I784" i="7"/>
  <c r="I785" i="7"/>
  <c r="I786" i="7"/>
  <c r="I787" i="7"/>
  <c r="I788" i="7"/>
  <c r="I789" i="7"/>
  <c r="I790" i="7"/>
  <c r="I791" i="7"/>
  <c r="I792" i="7"/>
  <c r="I793" i="7"/>
  <c r="I794" i="7"/>
  <c r="I795" i="7"/>
  <c r="I796" i="7"/>
  <c r="I797" i="7"/>
  <c r="I798" i="7"/>
  <c r="I799" i="7"/>
  <c r="I800" i="7"/>
  <c r="I801" i="7"/>
  <c r="I802" i="7"/>
  <c r="I803" i="7"/>
  <c r="I804" i="7"/>
  <c r="I805" i="7"/>
  <c r="I806" i="7"/>
  <c r="I807" i="7"/>
  <c r="I808" i="7"/>
  <c r="I809" i="7"/>
  <c r="I810" i="7"/>
  <c r="I811" i="7"/>
  <c r="I812" i="7"/>
  <c r="I813" i="7"/>
  <c r="I814" i="7"/>
  <c r="I815" i="7"/>
  <c r="I816" i="7"/>
  <c r="I817" i="7"/>
  <c r="I818" i="7"/>
  <c r="I819" i="7"/>
  <c r="I820" i="7"/>
  <c r="I821" i="7"/>
  <c r="I822" i="7"/>
  <c r="I823" i="7"/>
  <c r="I824" i="7"/>
  <c r="I825" i="7"/>
  <c r="I826" i="7"/>
  <c r="I827" i="7"/>
  <c r="I828" i="7"/>
  <c r="I829" i="7"/>
  <c r="I830" i="7"/>
  <c r="I831" i="7"/>
  <c r="I832" i="7"/>
  <c r="I833" i="7"/>
  <c r="I834" i="7"/>
  <c r="I835" i="7"/>
  <c r="I836" i="7"/>
  <c r="I837" i="7"/>
  <c r="I838" i="7"/>
  <c r="I839" i="7"/>
  <c r="I840" i="7"/>
  <c r="I841" i="7"/>
  <c r="I842" i="7"/>
  <c r="I843" i="7"/>
  <c r="I844" i="7"/>
  <c r="I845" i="7"/>
  <c r="I846" i="7"/>
  <c r="I847" i="7"/>
  <c r="I848" i="7"/>
  <c r="I849" i="7"/>
  <c r="I850" i="7"/>
  <c r="I851" i="7"/>
  <c r="I852" i="7"/>
  <c r="I853" i="7"/>
  <c r="I854" i="7"/>
  <c r="I855" i="7"/>
  <c r="I856" i="7"/>
  <c r="I857" i="7"/>
  <c r="I858" i="7"/>
  <c r="I859" i="7"/>
  <c r="I860" i="7"/>
  <c r="I861" i="7"/>
  <c r="I862" i="7"/>
  <c r="I863" i="7"/>
  <c r="I864" i="7"/>
  <c r="I865" i="7"/>
  <c r="I866" i="7"/>
  <c r="I867" i="7"/>
  <c r="I868" i="7"/>
  <c r="I869" i="7"/>
  <c r="I870" i="7"/>
  <c r="I871" i="7"/>
  <c r="I872" i="7"/>
  <c r="I873" i="7"/>
  <c r="I874" i="7"/>
  <c r="I875" i="7"/>
  <c r="I876" i="7"/>
  <c r="I877" i="7"/>
  <c r="I878" i="7"/>
  <c r="I879" i="7"/>
  <c r="I880" i="7"/>
  <c r="I881" i="7"/>
  <c r="I882" i="7"/>
  <c r="I883" i="7"/>
  <c r="I884" i="7"/>
  <c r="I885" i="7"/>
  <c r="I886" i="7"/>
  <c r="I887" i="7"/>
  <c r="I888" i="7"/>
  <c r="I889" i="7"/>
  <c r="I890" i="7"/>
  <c r="I891" i="7"/>
  <c r="I892" i="7"/>
  <c r="I893" i="7"/>
  <c r="I894" i="7"/>
  <c r="I895" i="7"/>
  <c r="I896" i="7"/>
  <c r="I897" i="7"/>
  <c r="I898" i="7"/>
  <c r="I899" i="7"/>
  <c r="I900" i="7"/>
  <c r="I901" i="7"/>
  <c r="I902" i="7"/>
  <c r="I903" i="7"/>
  <c r="I904" i="7"/>
  <c r="I905" i="7"/>
  <c r="I906" i="7"/>
  <c r="I907" i="7"/>
  <c r="I908" i="7"/>
  <c r="I909" i="7"/>
  <c r="I910" i="7"/>
  <c r="I911" i="7"/>
  <c r="I912" i="7"/>
  <c r="I913" i="7"/>
  <c r="I914" i="7"/>
  <c r="I915" i="7"/>
  <c r="I916" i="7"/>
  <c r="I917" i="7"/>
  <c r="I918" i="7"/>
  <c r="I919" i="7"/>
  <c r="I920" i="7"/>
  <c r="I921" i="7"/>
  <c r="I922" i="7"/>
  <c r="I923" i="7"/>
  <c r="I924" i="7"/>
  <c r="I925" i="7"/>
  <c r="I926" i="7"/>
  <c r="I927" i="7"/>
  <c r="I928" i="7"/>
  <c r="I929" i="7"/>
  <c r="I930" i="7"/>
  <c r="I931" i="7"/>
  <c r="I932" i="7"/>
  <c r="I933" i="7"/>
  <c r="I934" i="7"/>
  <c r="I935" i="7"/>
  <c r="I936" i="7"/>
  <c r="I937" i="7"/>
  <c r="I938" i="7"/>
  <c r="I939" i="7"/>
  <c r="I940" i="7"/>
  <c r="I941" i="7"/>
  <c r="I942" i="7"/>
  <c r="I943" i="7"/>
  <c r="I944" i="7"/>
  <c r="I945" i="7"/>
  <c r="I946" i="7"/>
  <c r="I947" i="7"/>
  <c r="I948" i="7"/>
  <c r="I949" i="7"/>
  <c r="I950" i="7"/>
  <c r="I951" i="7"/>
  <c r="I952" i="7"/>
  <c r="I953" i="7"/>
  <c r="I954" i="7"/>
  <c r="I955" i="7"/>
  <c r="I956" i="7"/>
  <c r="I957" i="7"/>
  <c r="I958" i="7"/>
  <c r="I959" i="7"/>
  <c r="I960" i="7"/>
  <c r="I961" i="7"/>
  <c r="I962" i="7"/>
  <c r="I963" i="7"/>
  <c r="I964" i="7"/>
  <c r="I965" i="7"/>
  <c r="I966" i="7"/>
  <c r="I967" i="7"/>
  <c r="I968" i="7"/>
  <c r="I969" i="7"/>
  <c r="I970" i="7"/>
  <c r="I971" i="7"/>
  <c r="I972" i="7"/>
  <c r="I973" i="7"/>
  <c r="I974" i="7"/>
  <c r="I975" i="7"/>
  <c r="I976" i="7"/>
  <c r="I977" i="7"/>
  <c r="I978" i="7"/>
  <c r="I979" i="7"/>
  <c r="I980" i="7"/>
  <c r="I981" i="7"/>
  <c r="I982" i="7"/>
  <c r="I983" i="7"/>
  <c r="I984" i="7"/>
  <c r="I985" i="7"/>
  <c r="I986" i="7"/>
  <c r="I987" i="7"/>
  <c r="I988" i="7"/>
  <c r="I989" i="7"/>
  <c r="I990" i="7"/>
  <c r="I991" i="7"/>
  <c r="I992" i="7"/>
  <c r="I993" i="7"/>
  <c r="I994" i="7"/>
  <c r="I995" i="7"/>
  <c r="I996" i="7"/>
  <c r="I997" i="7"/>
  <c r="I998" i="7"/>
  <c r="I999" i="7"/>
  <c r="I1000" i="7"/>
  <c r="I1001" i="7"/>
  <c r="I1002" i="7"/>
  <c r="I1003" i="7"/>
  <c r="I1004" i="7"/>
  <c r="I1005" i="7"/>
  <c r="I1006" i="7"/>
  <c r="I1007" i="7"/>
  <c r="I1008" i="7"/>
  <c r="I1009" i="7"/>
  <c r="I1010" i="7"/>
  <c r="I1011" i="7"/>
  <c r="I1012" i="7"/>
  <c r="I1013" i="7"/>
  <c r="I1014" i="7"/>
  <c r="I1015" i="7"/>
  <c r="I1016" i="7"/>
  <c r="I1017" i="7"/>
  <c r="I1018" i="7"/>
  <c r="I1019" i="7"/>
  <c r="I1020" i="7"/>
  <c r="I1021" i="7"/>
  <c r="I1022" i="7"/>
  <c r="I1023" i="7"/>
  <c r="I1024" i="7"/>
  <c r="I1025" i="7"/>
  <c r="I1026" i="7"/>
  <c r="I1027" i="7"/>
  <c r="I1028" i="7"/>
  <c r="I1029" i="7"/>
  <c r="I1030" i="7"/>
  <c r="I1031" i="7"/>
  <c r="I1032" i="7"/>
  <c r="I1033" i="7"/>
  <c r="I1034" i="7"/>
  <c r="I1035" i="7"/>
  <c r="I1036" i="7"/>
  <c r="I1037" i="7"/>
  <c r="I1038" i="7"/>
  <c r="I1039" i="7"/>
  <c r="I1040" i="7"/>
  <c r="I1041" i="7"/>
  <c r="I1042" i="7"/>
  <c r="I1043" i="7"/>
  <c r="I1044" i="7"/>
  <c r="I1045" i="7"/>
  <c r="I1046" i="7"/>
  <c r="I1047" i="7"/>
  <c r="I1048" i="7"/>
  <c r="I1049" i="7"/>
  <c r="I1050" i="7"/>
  <c r="I1051" i="7"/>
  <c r="I1052" i="7"/>
  <c r="I1053" i="7"/>
  <c r="I1054" i="7"/>
  <c r="I1055" i="7"/>
  <c r="I1056" i="7"/>
  <c r="I1057" i="7"/>
  <c r="I1058" i="7"/>
  <c r="I1059" i="7"/>
  <c r="I1060" i="7"/>
  <c r="I1061" i="7"/>
  <c r="I1062" i="7"/>
  <c r="I1063" i="7"/>
  <c r="I1064" i="7"/>
  <c r="I1065" i="7"/>
  <c r="I1066" i="7"/>
  <c r="I1067" i="7"/>
  <c r="I1068" i="7"/>
  <c r="I1069" i="7"/>
  <c r="I1070" i="7"/>
  <c r="I1071" i="7"/>
  <c r="I1072" i="7"/>
  <c r="I1073" i="7"/>
  <c r="I1074" i="7"/>
  <c r="I1075" i="7"/>
  <c r="I1076" i="7"/>
  <c r="I1077" i="7"/>
  <c r="I1078" i="7"/>
  <c r="I1079" i="7"/>
  <c r="I1080" i="7"/>
  <c r="I1081" i="7"/>
  <c r="I1082" i="7"/>
  <c r="I1083" i="7"/>
  <c r="I1084" i="7"/>
  <c r="I1085" i="7"/>
  <c r="I1086" i="7"/>
  <c r="I1087" i="7"/>
  <c r="I1088" i="7"/>
  <c r="I1089" i="7"/>
  <c r="I1090" i="7"/>
  <c r="I1091" i="7"/>
  <c r="I1092" i="7"/>
  <c r="I1093" i="7"/>
  <c r="I1094" i="7"/>
  <c r="I1095" i="7"/>
  <c r="I1096" i="7"/>
  <c r="I1097" i="7"/>
  <c r="I1098" i="7"/>
  <c r="I1099" i="7"/>
  <c r="I1100" i="7"/>
  <c r="I1101" i="7"/>
  <c r="I1102" i="7"/>
  <c r="I1103" i="7"/>
  <c r="I1104" i="7"/>
  <c r="I1105" i="7"/>
  <c r="I1106" i="7"/>
  <c r="I1107" i="7"/>
  <c r="I1108" i="7"/>
  <c r="I1109" i="7"/>
  <c r="I1110" i="7"/>
  <c r="I1111" i="7"/>
  <c r="I1112" i="7"/>
  <c r="I1113" i="7"/>
  <c r="I1114" i="7"/>
  <c r="I1115" i="7"/>
  <c r="I1116" i="7"/>
  <c r="I1117" i="7"/>
  <c r="I1118" i="7"/>
  <c r="I1119" i="7"/>
  <c r="I1120" i="7"/>
  <c r="I1121" i="7"/>
  <c r="I1122" i="7"/>
  <c r="I1123" i="7"/>
  <c r="I1124" i="7"/>
  <c r="I1125" i="7"/>
  <c r="I1126" i="7"/>
  <c r="I1127" i="7"/>
  <c r="I1128" i="7"/>
  <c r="I1129" i="7"/>
  <c r="I1130" i="7"/>
  <c r="I1131" i="7"/>
  <c r="I1132" i="7"/>
  <c r="I1133" i="7"/>
  <c r="I1134" i="7"/>
  <c r="I1135" i="7"/>
  <c r="I1136" i="7"/>
  <c r="I1137" i="7"/>
  <c r="I1138" i="7"/>
  <c r="I1139" i="7"/>
  <c r="I1140" i="7"/>
  <c r="I1141" i="7"/>
  <c r="I1142" i="7"/>
  <c r="I1143" i="7"/>
  <c r="I1144" i="7"/>
  <c r="I1145" i="7"/>
  <c r="I1146" i="7"/>
  <c r="I1147" i="7"/>
  <c r="I1148" i="7"/>
  <c r="I1149" i="7"/>
  <c r="I1150" i="7"/>
  <c r="I1151" i="7"/>
  <c r="I1152" i="7"/>
  <c r="I1153" i="7"/>
  <c r="I1154" i="7"/>
  <c r="I1155" i="7"/>
  <c r="I1156" i="7"/>
  <c r="I1157" i="7"/>
  <c r="I1158" i="7"/>
  <c r="I1159" i="7"/>
  <c r="I1160" i="7"/>
  <c r="I1161" i="7"/>
  <c r="I1162" i="7"/>
  <c r="I1163" i="7"/>
  <c r="I1164" i="7"/>
  <c r="I1165" i="7"/>
  <c r="I1166" i="7"/>
  <c r="I1167" i="7"/>
  <c r="I1168" i="7"/>
  <c r="I1169" i="7"/>
  <c r="I1170" i="7"/>
  <c r="I1171" i="7"/>
  <c r="I1172" i="7"/>
  <c r="I1173" i="7"/>
  <c r="I1174" i="7"/>
  <c r="I1175" i="7"/>
  <c r="I1176" i="7"/>
  <c r="I1177" i="7"/>
  <c r="I1178" i="7"/>
  <c r="I1179" i="7"/>
  <c r="I1180" i="7"/>
  <c r="I1181" i="7"/>
  <c r="I1182" i="7"/>
  <c r="I1183" i="7"/>
  <c r="I1184" i="7"/>
  <c r="I1185" i="7"/>
  <c r="I1186" i="7"/>
  <c r="I1187" i="7"/>
  <c r="I1188" i="7"/>
  <c r="I1189" i="7"/>
  <c r="I1190" i="7"/>
  <c r="I1191" i="7"/>
  <c r="I1192" i="7"/>
  <c r="I1193" i="7"/>
  <c r="I1194" i="7"/>
  <c r="I1195" i="7"/>
  <c r="I1196" i="7"/>
  <c r="I1197" i="7"/>
  <c r="I1198" i="7"/>
  <c r="I1199" i="7"/>
  <c r="I1200" i="7"/>
  <c r="I1201" i="7"/>
  <c r="I1202" i="7"/>
  <c r="I1203" i="7"/>
  <c r="I1204" i="7"/>
  <c r="I1205" i="7"/>
  <c r="I1206" i="7"/>
  <c r="I1207" i="7"/>
  <c r="I1208" i="7"/>
  <c r="I1209" i="7"/>
  <c r="I1210" i="7"/>
  <c r="I1211" i="7"/>
  <c r="I1212" i="7"/>
  <c r="I1213" i="7"/>
  <c r="I1214" i="7"/>
  <c r="I1215" i="7"/>
  <c r="I1216" i="7"/>
  <c r="I1217" i="7"/>
  <c r="I1218" i="7"/>
  <c r="I1219" i="7"/>
  <c r="I1220" i="7"/>
  <c r="I1221" i="7"/>
  <c r="I1222" i="7"/>
  <c r="I1223" i="7"/>
  <c r="I1224" i="7"/>
  <c r="I1225" i="7"/>
  <c r="I1226" i="7"/>
  <c r="I1227" i="7"/>
  <c r="I1228" i="7"/>
  <c r="I1229" i="7"/>
  <c r="I1230" i="7"/>
  <c r="I1231" i="7"/>
  <c r="I1232" i="7"/>
  <c r="I1233" i="7"/>
  <c r="I1234" i="7"/>
  <c r="I1235" i="7"/>
  <c r="I1236" i="7"/>
  <c r="I1237" i="7"/>
  <c r="I1238" i="7"/>
  <c r="I1239" i="7"/>
  <c r="I1240" i="7"/>
  <c r="I1241" i="7"/>
  <c r="I1242" i="7"/>
  <c r="I1243" i="7"/>
  <c r="I1244" i="7"/>
  <c r="I1245" i="7"/>
  <c r="I1246" i="7"/>
  <c r="I1247" i="7"/>
  <c r="I1248" i="7"/>
  <c r="I1249" i="7"/>
  <c r="I1250" i="7"/>
  <c r="I1251" i="7"/>
  <c r="I1252" i="7"/>
  <c r="I1253" i="7"/>
  <c r="I1254" i="7"/>
  <c r="I1255" i="7"/>
  <c r="I1256" i="7"/>
  <c r="I1257" i="7"/>
  <c r="I1258" i="7"/>
  <c r="I1259" i="7"/>
  <c r="I1260" i="7"/>
  <c r="I1261" i="7"/>
  <c r="I1262" i="7"/>
  <c r="I1263" i="7"/>
  <c r="I1264" i="7"/>
  <c r="I1265" i="7"/>
  <c r="I1266" i="7"/>
  <c r="I1267" i="7"/>
  <c r="I1268" i="7"/>
  <c r="I1269" i="7"/>
  <c r="I1270" i="7"/>
  <c r="I1271" i="7"/>
  <c r="I1272" i="7"/>
  <c r="I1273" i="7"/>
  <c r="I1274" i="7"/>
  <c r="I1275" i="7"/>
  <c r="I1276" i="7"/>
  <c r="I1277" i="7"/>
  <c r="I1278" i="7"/>
  <c r="I1279" i="7"/>
  <c r="I1280" i="7"/>
  <c r="I1281" i="7"/>
  <c r="I1282" i="7"/>
  <c r="I1283" i="7"/>
  <c r="I1284" i="7"/>
  <c r="I1285" i="7"/>
  <c r="I1286" i="7"/>
  <c r="I1287" i="7"/>
  <c r="I1288" i="7"/>
  <c r="I1289" i="7"/>
  <c r="I1290" i="7"/>
  <c r="I1291" i="7"/>
  <c r="I1292" i="7"/>
  <c r="I1293" i="7"/>
  <c r="I1294" i="7"/>
  <c r="I1295" i="7"/>
  <c r="I1296" i="7"/>
  <c r="I1297" i="7"/>
  <c r="I1298" i="7"/>
  <c r="I1299" i="7"/>
  <c r="I1300" i="7"/>
  <c r="I1301" i="7"/>
  <c r="I1302" i="7"/>
  <c r="I1303" i="7"/>
  <c r="I1304" i="7"/>
  <c r="I1305" i="7"/>
  <c r="I1306" i="7"/>
  <c r="I1307" i="7"/>
  <c r="I1308" i="7"/>
  <c r="I1309" i="7"/>
  <c r="I1310" i="7"/>
  <c r="I1311" i="7"/>
  <c r="I1312" i="7"/>
  <c r="I1313" i="7"/>
  <c r="I1314" i="7"/>
  <c r="I1315" i="7"/>
  <c r="I1316" i="7"/>
  <c r="I1317" i="7"/>
  <c r="I1318" i="7"/>
  <c r="I1319" i="7"/>
  <c r="I1320" i="7"/>
  <c r="I1321" i="7"/>
  <c r="I1322" i="7"/>
  <c r="I1323" i="7"/>
  <c r="I1324" i="7"/>
  <c r="I1325" i="7"/>
  <c r="I1326" i="7"/>
  <c r="I1327" i="7"/>
  <c r="I1328" i="7"/>
  <c r="I1329" i="7"/>
  <c r="I1330" i="7"/>
  <c r="I1331" i="7"/>
  <c r="I1332" i="7"/>
  <c r="I1333" i="7"/>
  <c r="I1334" i="7"/>
  <c r="I1335" i="7"/>
  <c r="I1336" i="7"/>
  <c r="I1337" i="7"/>
  <c r="I1338" i="7"/>
  <c r="I1339" i="7"/>
  <c r="I1340" i="7"/>
  <c r="I1341" i="7"/>
  <c r="I1342" i="7"/>
  <c r="I1343" i="7"/>
  <c r="I1344" i="7"/>
  <c r="I1345" i="7"/>
  <c r="I1346" i="7"/>
  <c r="I1347" i="7"/>
  <c r="I1348" i="7"/>
  <c r="I1349" i="7"/>
  <c r="I1350" i="7"/>
  <c r="I1351" i="7"/>
  <c r="I1352" i="7"/>
  <c r="I1353" i="7"/>
  <c r="I1354" i="7"/>
  <c r="I1355" i="7"/>
  <c r="I1356" i="7"/>
  <c r="I1357" i="7"/>
  <c r="I1358" i="7"/>
  <c r="I1359" i="7"/>
  <c r="I1360" i="7"/>
  <c r="I1361" i="7"/>
  <c r="I1362" i="7"/>
  <c r="I1363" i="7"/>
  <c r="I1364" i="7"/>
  <c r="I1365" i="7"/>
  <c r="I1366" i="7"/>
  <c r="I1367" i="7"/>
  <c r="I1368" i="7"/>
  <c r="I1369" i="7"/>
  <c r="I1370" i="7"/>
  <c r="I1371" i="7"/>
  <c r="I1372" i="7"/>
  <c r="I1373" i="7"/>
  <c r="I1374" i="7"/>
  <c r="I1375" i="7"/>
  <c r="I1376" i="7"/>
  <c r="I1377" i="7"/>
  <c r="I1378" i="7"/>
  <c r="I1379" i="7"/>
  <c r="I1380" i="7"/>
  <c r="I1381" i="7"/>
  <c r="I1382" i="7"/>
  <c r="I1383" i="7"/>
  <c r="I1384" i="7"/>
  <c r="I1385" i="7"/>
  <c r="I1386" i="7"/>
  <c r="I1387" i="7"/>
  <c r="I1388" i="7"/>
  <c r="I1389" i="7"/>
  <c r="I1390" i="7"/>
  <c r="I1391" i="7"/>
  <c r="I1392" i="7"/>
  <c r="I1393" i="7"/>
  <c r="I1394" i="7"/>
  <c r="I1395" i="7"/>
  <c r="I1396" i="7"/>
  <c r="I1397" i="7"/>
  <c r="I1398" i="7"/>
  <c r="I1399" i="7"/>
  <c r="I1400" i="7"/>
  <c r="I1401" i="7"/>
  <c r="I1402" i="7"/>
  <c r="I1403" i="7"/>
  <c r="I1404" i="7"/>
  <c r="I1405" i="7"/>
  <c r="I1406" i="7"/>
  <c r="I1407" i="7"/>
  <c r="I1408" i="7"/>
  <c r="I1409" i="7"/>
  <c r="I1410" i="7"/>
  <c r="I1411" i="7"/>
  <c r="I1412" i="7"/>
  <c r="I1413" i="7"/>
  <c r="I1414" i="7"/>
  <c r="I1415" i="7"/>
  <c r="I1416" i="7"/>
  <c r="I1417" i="7"/>
  <c r="I1418" i="7"/>
  <c r="I1419" i="7"/>
  <c r="I1420" i="7"/>
  <c r="I1421" i="7"/>
  <c r="I1422" i="7"/>
  <c r="I1423" i="7"/>
  <c r="I1424" i="7"/>
  <c r="I1425" i="7"/>
  <c r="I1426" i="7"/>
  <c r="I1427" i="7"/>
  <c r="I1428" i="7"/>
  <c r="I1429" i="7"/>
  <c r="I1430" i="7"/>
  <c r="I1431" i="7"/>
  <c r="I1432" i="7"/>
  <c r="I1433" i="7"/>
  <c r="I1434" i="7"/>
  <c r="I1435" i="7"/>
  <c r="I1436" i="7"/>
  <c r="I1437" i="7"/>
  <c r="I1438" i="7"/>
  <c r="I1439" i="7"/>
  <c r="I1440" i="7"/>
  <c r="I1441" i="7"/>
  <c r="I1442" i="7"/>
  <c r="I1443" i="7"/>
  <c r="I1444" i="7"/>
  <c r="I1445" i="7"/>
  <c r="I1446" i="7"/>
  <c r="I1447" i="7"/>
  <c r="I1448" i="7"/>
  <c r="I1449" i="7"/>
  <c r="I1450" i="7"/>
  <c r="I1451" i="7"/>
  <c r="I1452" i="7"/>
  <c r="I1453" i="7"/>
  <c r="I1454" i="7"/>
  <c r="I1455" i="7"/>
  <c r="I1456" i="7"/>
  <c r="I1457" i="7"/>
  <c r="I1458" i="7"/>
  <c r="I1459" i="7"/>
  <c r="I1460" i="7"/>
  <c r="I1461" i="7"/>
  <c r="I1462" i="7"/>
  <c r="I1463" i="7"/>
  <c r="I1464" i="7"/>
  <c r="I1465" i="7"/>
  <c r="I1466" i="7"/>
  <c r="I1467" i="7"/>
  <c r="I1468" i="7"/>
  <c r="I1469" i="7"/>
  <c r="I1470" i="7"/>
  <c r="I1471" i="7"/>
  <c r="I1472" i="7"/>
  <c r="I1473" i="7"/>
  <c r="I1474" i="7"/>
  <c r="I1475" i="7"/>
  <c r="I1476" i="7"/>
  <c r="I1477" i="7"/>
  <c r="I1478" i="7"/>
  <c r="I1479" i="7"/>
  <c r="I1480" i="7"/>
  <c r="I1481" i="7"/>
  <c r="I1482" i="7"/>
  <c r="I1483" i="7"/>
  <c r="I1484" i="7"/>
  <c r="I1485" i="7"/>
  <c r="I1486" i="7"/>
  <c r="I1487" i="7"/>
  <c r="I1488" i="7"/>
  <c r="I1489" i="7"/>
  <c r="I1490" i="7"/>
  <c r="I1491" i="7"/>
  <c r="I1492" i="7"/>
  <c r="I1493" i="7"/>
  <c r="I1494" i="7"/>
  <c r="I1495" i="7"/>
  <c r="I1496" i="7"/>
  <c r="I1497" i="7"/>
  <c r="I1498" i="7"/>
  <c r="I1499" i="7"/>
  <c r="I1500" i="7"/>
  <c r="I1501" i="7"/>
  <c r="I1502" i="7"/>
  <c r="I1503" i="7"/>
  <c r="I1504" i="7"/>
  <c r="I1505" i="7"/>
  <c r="I1506" i="7"/>
  <c r="I1507" i="7"/>
  <c r="I1508" i="7"/>
  <c r="I1509" i="7"/>
  <c r="I1510" i="7"/>
  <c r="I1511" i="7"/>
  <c r="I1512" i="7"/>
  <c r="I1513" i="7"/>
  <c r="I1514" i="7"/>
  <c r="I1515" i="7"/>
  <c r="I1516" i="7"/>
  <c r="I1517" i="7"/>
  <c r="I1518" i="7"/>
  <c r="I1519" i="7"/>
  <c r="I1520" i="7"/>
  <c r="I1521" i="7"/>
  <c r="I1522" i="7"/>
  <c r="I1523" i="7"/>
  <c r="I1524" i="7"/>
  <c r="I1525" i="7"/>
  <c r="I1526" i="7"/>
  <c r="I1527" i="7"/>
  <c r="I1528" i="7"/>
  <c r="I1529" i="7"/>
  <c r="I1530" i="7"/>
  <c r="I1531" i="7"/>
  <c r="I1532" i="7"/>
  <c r="I1533" i="7"/>
  <c r="I1534" i="7"/>
  <c r="I1535" i="7"/>
  <c r="I1536" i="7"/>
  <c r="I1537" i="7"/>
  <c r="I1538" i="7"/>
  <c r="I1539" i="7"/>
  <c r="I1540" i="7"/>
  <c r="I1541" i="7"/>
  <c r="I1542" i="7"/>
  <c r="I1543" i="7"/>
  <c r="I1544" i="7"/>
  <c r="I1545" i="7"/>
  <c r="I1546" i="7"/>
  <c r="I1547" i="7"/>
  <c r="I1548" i="7"/>
  <c r="I1549" i="7"/>
  <c r="I1550" i="7"/>
  <c r="I1551" i="7"/>
  <c r="I1552" i="7"/>
  <c r="I1553" i="7"/>
  <c r="I1554" i="7"/>
  <c r="I1555" i="7"/>
  <c r="I1556" i="7"/>
  <c r="I1557" i="7"/>
  <c r="I1558" i="7"/>
  <c r="I1559" i="7"/>
  <c r="I1560" i="7"/>
  <c r="I1561" i="7"/>
  <c r="I1562" i="7"/>
  <c r="I1563" i="7"/>
  <c r="I1564" i="7"/>
  <c r="I1565" i="7"/>
  <c r="I1566" i="7"/>
  <c r="I1567" i="7"/>
  <c r="I1568" i="7"/>
  <c r="I1569" i="7"/>
  <c r="I1570" i="7"/>
  <c r="I1571" i="7"/>
  <c r="I1572" i="7"/>
  <c r="I1573" i="7"/>
  <c r="I1574" i="7"/>
  <c r="I1575" i="7"/>
  <c r="I1576" i="7"/>
  <c r="I1577" i="7"/>
  <c r="I1578" i="7"/>
  <c r="I1579" i="7"/>
  <c r="I1580" i="7"/>
  <c r="I1581" i="7"/>
  <c r="I1582" i="7"/>
  <c r="I1583" i="7"/>
  <c r="I1584" i="7"/>
  <c r="I1585" i="7"/>
  <c r="I1586" i="7"/>
  <c r="I1587" i="7"/>
  <c r="I1588" i="7"/>
  <c r="I1589" i="7"/>
  <c r="I1590" i="7"/>
  <c r="I1591" i="7"/>
  <c r="I1592" i="7"/>
  <c r="I1593" i="7"/>
  <c r="I1594" i="7"/>
  <c r="I1595" i="7"/>
  <c r="I1596" i="7"/>
  <c r="I1597" i="7"/>
  <c r="I1598" i="7"/>
  <c r="I1599" i="7"/>
  <c r="I1600" i="7"/>
  <c r="I1601" i="7"/>
  <c r="I1602" i="7"/>
  <c r="I1603" i="7"/>
  <c r="I1604" i="7"/>
  <c r="I1605" i="7"/>
  <c r="I1606" i="7"/>
  <c r="I1607" i="7"/>
  <c r="I1608" i="7"/>
  <c r="I1609" i="7"/>
  <c r="I1610" i="7"/>
  <c r="I1611" i="7"/>
  <c r="I1612" i="7"/>
  <c r="I1613" i="7"/>
  <c r="I1614" i="7"/>
  <c r="I1615" i="7"/>
  <c r="I1616" i="7"/>
  <c r="I1617" i="7"/>
  <c r="I1618" i="7"/>
  <c r="I1619" i="7"/>
  <c r="I1620" i="7"/>
  <c r="I1621" i="7"/>
  <c r="I1622" i="7"/>
  <c r="I1623" i="7"/>
  <c r="I1624" i="7"/>
  <c r="I1625" i="7"/>
  <c r="I1626" i="7"/>
  <c r="I1627" i="7"/>
  <c r="I1628" i="7"/>
  <c r="I1629" i="7"/>
  <c r="I1630" i="7"/>
  <c r="I1631" i="7"/>
  <c r="I1632" i="7"/>
  <c r="I1633" i="7"/>
  <c r="I1634" i="7"/>
  <c r="I1635" i="7"/>
  <c r="I1636" i="7"/>
  <c r="I1637" i="7"/>
  <c r="I1638" i="7"/>
  <c r="I1639" i="7"/>
  <c r="I1640" i="7"/>
  <c r="I1641" i="7"/>
  <c r="I1642" i="7"/>
  <c r="I1643" i="7"/>
  <c r="I1644" i="7"/>
  <c r="I1645" i="7"/>
  <c r="I1646" i="7"/>
  <c r="I1647" i="7"/>
  <c r="I1648" i="7"/>
  <c r="I1649" i="7"/>
  <c r="I1650" i="7"/>
  <c r="I1651" i="7"/>
  <c r="I1652" i="7"/>
  <c r="I1653" i="7"/>
  <c r="I1654" i="7"/>
  <c r="I1655" i="7"/>
  <c r="I1656" i="7"/>
  <c r="I1657" i="7"/>
  <c r="I1658" i="7"/>
  <c r="I1659" i="7"/>
  <c r="I1660" i="7"/>
  <c r="I1661" i="7"/>
  <c r="I1662" i="7"/>
  <c r="I1663" i="7"/>
  <c r="I1664" i="7"/>
  <c r="I1665" i="7"/>
  <c r="I1666" i="7"/>
  <c r="I1667" i="7"/>
  <c r="I1668" i="7"/>
  <c r="I1669" i="7"/>
  <c r="I1670" i="7"/>
  <c r="I1671" i="7"/>
  <c r="I1672" i="7"/>
  <c r="I1673" i="7"/>
  <c r="I1674" i="7"/>
  <c r="I1675" i="7"/>
  <c r="I1676" i="7"/>
  <c r="I1677" i="7"/>
  <c r="I1678" i="7"/>
  <c r="I1679" i="7"/>
  <c r="I1680" i="7"/>
  <c r="I1681" i="7"/>
  <c r="I1682" i="7"/>
  <c r="I1683" i="7"/>
  <c r="I1684" i="7"/>
  <c r="I1685" i="7"/>
  <c r="I1686" i="7"/>
  <c r="I1687" i="7"/>
  <c r="I1688" i="7"/>
  <c r="I1689" i="7"/>
  <c r="I1690" i="7"/>
  <c r="I1691" i="7"/>
  <c r="I1692" i="7"/>
  <c r="I1693" i="7"/>
  <c r="I1694" i="7"/>
  <c r="I1695" i="7"/>
  <c r="I1696" i="7"/>
  <c r="I1697" i="7"/>
  <c r="I1698" i="7"/>
  <c r="I1699" i="7"/>
  <c r="I1700" i="7"/>
  <c r="I1701" i="7"/>
  <c r="I1702" i="7"/>
  <c r="I1703" i="7"/>
  <c r="I1704" i="7"/>
  <c r="I1705" i="7"/>
  <c r="I1706" i="7"/>
  <c r="I1707" i="7"/>
  <c r="I1708" i="7"/>
  <c r="I1709" i="7"/>
  <c r="I1710" i="7"/>
  <c r="I1711" i="7"/>
  <c r="I1712" i="7"/>
  <c r="I1713" i="7"/>
  <c r="I1714" i="7"/>
  <c r="I1715" i="7"/>
  <c r="I1716" i="7"/>
  <c r="I1717" i="7"/>
  <c r="I1718" i="7"/>
  <c r="I1719" i="7"/>
  <c r="I1720" i="7"/>
  <c r="I1721" i="7"/>
  <c r="I1722" i="7"/>
  <c r="I1723" i="7"/>
  <c r="I1724" i="7"/>
  <c r="I1725" i="7"/>
  <c r="I1726" i="7"/>
  <c r="I1727" i="7"/>
  <c r="I1728" i="7"/>
  <c r="I1729" i="7"/>
  <c r="I1730" i="7"/>
  <c r="I1731" i="7"/>
  <c r="I1732" i="7"/>
  <c r="I1733" i="7"/>
  <c r="I1734" i="7"/>
  <c r="I1735" i="7"/>
  <c r="I1736" i="7"/>
  <c r="I1737" i="7"/>
  <c r="I1738" i="7"/>
  <c r="I1739" i="7"/>
  <c r="I1740" i="7"/>
  <c r="I1741" i="7"/>
  <c r="I1742" i="7"/>
  <c r="I1743" i="7"/>
  <c r="I1744" i="7"/>
  <c r="I1745" i="7"/>
  <c r="I1746" i="7"/>
  <c r="I1747" i="7"/>
  <c r="I1748" i="7"/>
  <c r="I1749" i="7"/>
  <c r="I1750" i="7"/>
  <c r="I1751" i="7"/>
  <c r="I1752" i="7"/>
  <c r="I1753" i="7"/>
  <c r="I1754" i="7"/>
  <c r="I1755" i="7"/>
  <c r="I1756" i="7"/>
  <c r="I1757" i="7"/>
  <c r="I1758" i="7"/>
  <c r="I1759" i="7"/>
  <c r="I1760" i="7"/>
  <c r="I1761" i="7"/>
  <c r="I1762" i="7"/>
  <c r="I1763" i="7"/>
  <c r="I1764" i="7"/>
  <c r="I1765" i="7"/>
  <c r="I1766" i="7"/>
  <c r="I1767" i="7"/>
  <c r="I1768" i="7"/>
  <c r="I1769" i="7"/>
  <c r="I1770" i="7"/>
  <c r="I1771" i="7"/>
  <c r="I1772" i="7"/>
  <c r="I1773" i="7"/>
  <c r="I1774" i="7"/>
  <c r="I1775" i="7"/>
  <c r="I1776" i="7"/>
  <c r="I1777" i="7"/>
  <c r="I1778" i="7"/>
  <c r="I1779" i="7"/>
  <c r="I1780" i="7"/>
  <c r="I1781" i="7"/>
  <c r="I1782" i="7"/>
  <c r="I1783" i="7"/>
  <c r="I1784" i="7"/>
  <c r="I1785" i="7"/>
  <c r="I1786" i="7"/>
  <c r="I1787" i="7"/>
  <c r="I1788" i="7"/>
  <c r="I1789" i="7"/>
  <c r="I1790" i="7"/>
  <c r="I1791" i="7"/>
  <c r="I1792" i="7"/>
  <c r="I1793" i="7"/>
  <c r="I1794" i="7"/>
  <c r="I1795" i="7"/>
  <c r="I1796" i="7"/>
  <c r="I1797" i="7"/>
  <c r="I1798" i="7"/>
  <c r="I1799" i="7"/>
  <c r="I1800" i="7"/>
  <c r="I1801" i="7"/>
  <c r="I1802" i="7"/>
  <c r="I1803" i="7"/>
  <c r="I1804" i="7"/>
  <c r="I1805" i="7"/>
  <c r="I1806" i="7"/>
  <c r="I1807" i="7"/>
  <c r="I1808" i="7"/>
  <c r="I1809" i="7"/>
  <c r="I1810" i="7"/>
  <c r="I1811" i="7"/>
  <c r="I1812" i="7"/>
  <c r="I1813" i="7"/>
  <c r="I1814" i="7"/>
  <c r="I1815" i="7"/>
  <c r="I1816" i="7"/>
  <c r="I1817" i="7"/>
  <c r="I1818" i="7"/>
  <c r="I1819" i="7"/>
  <c r="I1820" i="7"/>
  <c r="I1821" i="7"/>
  <c r="I1822" i="7"/>
  <c r="I1823" i="7"/>
  <c r="I1824" i="7"/>
  <c r="I1825" i="7"/>
  <c r="I1826" i="7"/>
  <c r="I1827" i="7"/>
  <c r="I1828" i="7"/>
  <c r="I1829" i="7"/>
  <c r="I1830" i="7"/>
  <c r="I1831" i="7"/>
  <c r="I1832" i="7"/>
  <c r="I1833" i="7"/>
  <c r="I1834" i="7"/>
  <c r="I1835" i="7"/>
  <c r="I1836" i="7"/>
  <c r="I1837" i="7"/>
  <c r="I1838" i="7"/>
  <c r="I1839" i="7"/>
  <c r="I1840" i="7"/>
  <c r="I1841" i="7"/>
  <c r="I1842" i="7"/>
  <c r="I1843" i="7"/>
  <c r="I1844" i="7"/>
  <c r="I1845" i="7"/>
  <c r="I1846" i="7"/>
  <c r="I1847" i="7"/>
  <c r="I1848" i="7"/>
  <c r="I1849" i="7"/>
  <c r="I1850" i="7"/>
  <c r="I1851" i="7"/>
  <c r="I1852" i="7"/>
  <c r="I1853" i="7"/>
  <c r="I1854" i="7"/>
  <c r="I1855" i="7"/>
  <c r="I1856" i="7"/>
  <c r="I1857" i="7"/>
  <c r="I1858" i="7"/>
  <c r="I1859" i="7"/>
  <c r="I1860" i="7"/>
  <c r="I1861" i="7"/>
  <c r="I1862" i="7"/>
  <c r="I1863" i="7"/>
  <c r="I1864" i="7"/>
  <c r="I1865" i="7"/>
  <c r="I1866" i="7"/>
  <c r="I1867" i="7"/>
  <c r="I1868" i="7"/>
  <c r="I1869" i="7"/>
  <c r="I1870" i="7"/>
  <c r="I1871" i="7"/>
  <c r="I1872" i="7"/>
  <c r="I1873" i="7"/>
  <c r="I1874" i="7"/>
  <c r="I1875" i="7"/>
  <c r="I1876" i="7"/>
  <c r="I1877" i="7"/>
  <c r="I1878" i="7"/>
  <c r="I1879" i="7"/>
  <c r="I1880" i="7"/>
  <c r="I1881" i="7"/>
  <c r="I1882" i="7"/>
  <c r="I1883" i="7"/>
  <c r="I1884" i="7"/>
  <c r="I1885" i="7"/>
  <c r="I1886" i="7"/>
  <c r="I1887" i="7"/>
  <c r="I1888" i="7"/>
  <c r="I1889" i="7"/>
  <c r="I1890" i="7"/>
  <c r="I1891" i="7"/>
  <c r="I1892" i="7"/>
  <c r="I1893" i="7"/>
  <c r="I1894" i="7"/>
  <c r="I1895" i="7"/>
  <c r="I1896" i="7"/>
  <c r="I1897" i="7"/>
  <c r="I1898" i="7"/>
  <c r="I1899" i="7"/>
  <c r="I1900" i="7"/>
  <c r="I1901" i="7"/>
  <c r="I1902" i="7"/>
  <c r="I1903" i="7"/>
  <c r="I1904" i="7"/>
  <c r="I1905" i="7"/>
  <c r="I1906" i="7"/>
  <c r="I1907" i="7"/>
  <c r="I1908" i="7"/>
  <c r="I1909" i="7"/>
  <c r="I1910" i="7"/>
  <c r="I1911" i="7"/>
  <c r="I1912" i="7"/>
  <c r="I1913" i="7"/>
  <c r="I1914" i="7"/>
  <c r="I1915" i="7"/>
  <c r="I1916" i="7"/>
  <c r="I1917" i="7"/>
  <c r="I1918" i="7"/>
  <c r="I1919" i="7"/>
  <c r="I1920" i="7"/>
  <c r="I1921" i="7"/>
  <c r="I1922" i="7"/>
  <c r="I1923" i="7"/>
  <c r="I1924" i="7"/>
  <c r="I1925" i="7"/>
  <c r="I1926" i="7"/>
  <c r="I1927" i="7"/>
  <c r="I1928" i="7"/>
  <c r="I1929" i="7"/>
  <c r="I1930" i="7"/>
  <c r="I1931" i="7"/>
  <c r="I1932" i="7"/>
  <c r="I1933" i="7"/>
  <c r="I1934" i="7"/>
  <c r="I1935" i="7"/>
  <c r="I1936" i="7"/>
  <c r="I1937" i="7"/>
  <c r="I1938" i="7"/>
  <c r="I1939" i="7"/>
  <c r="I1940" i="7"/>
  <c r="I1941" i="7"/>
  <c r="I1942" i="7"/>
  <c r="I1943" i="7"/>
  <c r="I1944" i="7"/>
  <c r="I1945" i="7"/>
  <c r="I1946" i="7"/>
  <c r="I1947" i="7"/>
  <c r="I1948" i="7"/>
  <c r="I1949" i="7"/>
  <c r="I1950" i="7"/>
  <c r="I1951" i="7"/>
  <c r="I1952" i="7"/>
  <c r="I1953" i="7"/>
  <c r="I1954" i="7"/>
  <c r="I1955" i="7"/>
  <c r="I1956" i="7"/>
  <c r="I1957" i="7"/>
  <c r="I1958" i="7"/>
  <c r="I1959" i="7"/>
  <c r="I1960" i="7"/>
  <c r="I1961" i="7"/>
  <c r="I1962" i="7"/>
  <c r="I1963" i="7"/>
  <c r="I1964" i="7"/>
  <c r="I1965" i="7"/>
  <c r="I1966" i="7"/>
  <c r="I1967" i="7"/>
  <c r="I1968" i="7"/>
  <c r="I1969" i="7"/>
  <c r="I1970" i="7"/>
  <c r="I1971" i="7"/>
  <c r="I1972" i="7"/>
  <c r="I1973" i="7"/>
  <c r="I1974" i="7"/>
  <c r="I1975" i="7"/>
  <c r="I1976" i="7"/>
  <c r="I1977" i="7"/>
  <c r="I1978" i="7"/>
  <c r="I1979" i="7"/>
  <c r="I1980" i="7"/>
  <c r="I1981" i="7"/>
  <c r="I1982" i="7"/>
  <c r="I1983" i="7"/>
  <c r="I1984" i="7"/>
  <c r="I1985" i="7"/>
  <c r="I1986" i="7"/>
  <c r="I1987" i="7"/>
  <c r="I1988" i="7"/>
  <c r="I1989" i="7"/>
  <c r="I1990" i="7"/>
  <c r="I1991" i="7"/>
  <c r="I1992" i="7"/>
  <c r="I1993" i="7"/>
  <c r="I1994" i="7"/>
  <c r="I1995" i="7"/>
  <c r="I1996" i="7"/>
  <c r="I1997" i="7"/>
  <c r="I1998" i="7"/>
  <c r="I1999" i="7"/>
  <c r="I2000" i="7"/>
  <c r="I2001" i="7"/>
  <c r="I2002" i="7"/>
  <c r="I2003" i="7"/>
  <c r="I2004" i="7"/>
  <c r="I2005" i="7"/>
  <c r="I2006" i="7"/>
  <c r="I2007" i="7"/>
  <c r="I2008" i="7"/>
  <c r="I2009" i="7"/>
  <c r="I2010" i="7"/>
  <c r="I2011" i="7"/>
  <c r="I2012" i="7"/>
  <c r="I2013" i="7"/>
  <c r="I2014" i="7"/>
  <c r="I2015" i="7"/>
  <c r="I2016" i="7"/>
  <c r="I2017" i="7"/>
  <c r="I2018" i="7"/>
  <c r="I2019" i="7"/>
  <c r="I2020" i="7"/>
  <c r="I2021" i="7"/>
  <c r="I2022" i="7"/>
  <c r="I2023" i="7"/>
  <c r="I2024" i="7"/>
  <c r="I2025" i="7"/>
  <c r="I2026" i="7"/>
  <c r="I2027" i="7"/>
  <c r="I2028" i="7"/>
  <c r="I2029" i="7"/>
  <c r="I2030" i="7"/>
  <c r="I2031" i="7"/>
  <c r="I2032" i="7"/>
  <c r="I2033" i="7"/>
  <c r="I2034" i="7"/>
  <c r="I2035" i="7"/>
  <c r="I2036" i="7"/>
  <c r="I2037" i="7"/>
  <c r="I2038" i="7"/>
  <c r="I2039" i="7"/>
  <c r="I2040" i="7"/>
  <c r="I2041" i="7"/>
  <c r="I2042" i="7"/>
  <c r="I2043" i="7"/>
  <c r="I2044" i="7"/>
  <c r="I2045" i="7"/>
  <c r="I2046" i="7"/>
  <c r="I2047" i="7"/>
  <c r="I2048" i="7"/>
  <c r="I2049" i="7"/>
  <c r="I2050" i="7"/>
  <c r="I2051" i="7"/>
  <c r="I2052" i="7"/>
  <c r="I2053" i="7"/>
  <c r="I2054" i="7"/>
  <c r="I2055" i="7"/>
  <c r="I2056" i="7"/>
  <c r="I2057" i="7"/>
  <c r="I2058" i="7"/>
  <c r="I2059" i="7"/>
  <c r="I2060" i="7"/>
  <c r="I2061" i="7"/>
  <c r="I2062" i="7"/>
  <c r="I2063" i="7"/>
  <c r="I2064" i="7"/>
  <c r="I2065" i="7"/>
  <c r="I2066" i="7"/>
  <c r="I2067" i="7"/>
  <c r="I2068" i="7"/>
  <c r="I2069" i="7"/>
  <c r="I2070" i="7"/>
  <c r="I2071" i="7"/>
  <c r="I2072" i="7"/>
  <c r="I2073" i="7"/>
  <c r="I2074" i="7"/>
  <c r="I2075" i="7"/>
  <c r="I2076" i="7"/>
  <c r="I2077" i="7"/>
  <c r="I2078" i="7"/>
  <c r="I2079" i="7"/>
  <c r="I2080" i="7"/>
  <c r="I2081" i="7"/>
  <c r="I2082" i="7"/>
  <c r="I2083" i="7"/>
  <c r="I2084" i="7"/>
  <c r="I2085" i="7"/>
  <c r="I2086" i="7"/>
  <c r="I2087" i="7"/>
  <c r="I2088" i="7"/>
  <c r="I2089" i="7"/>
  <c r="I2090" i="7"/>
  <c r="I2091" i="7"/>
  <c r="I2092" i="7"/>
  <c r="I2093" i="7"/>
  <c r="I2094" i="7"/>
  <c r="I2095" i="7"/>
  <c r="I2096" i="7"/>
  <c r="I2097" i="7"/>
  <c r="I2098" i="7"/>
  <c r="I2099" i="7"/>
  <c r="I2100" i="7"/>
  <c r="I2101" i="7"/>
  <c r="I2102" i="7"/>
  <c r="I2103" i="7"/>
  <c r="I2104" i="7"/>
  <c r="I2105" i="7"/>
  <c r="I2106" i="7"/>
  <c r="I2107" i="7"/>
  <c r="I2108" i="7"/>
  <c r="I2109" i="7"/>
  <c r="I2110" i="7"/>
  <c r="I2111" i="7"/>
  <c r="I2112" i="7"/>
  <c r="I2113" i="7"/>
  <c r="I2114" i="7"/>
  <c r="I2115" i="7"/>
  <c r="I2116" i="7"/>
  <c r="I2117" i="7"/>
  <c r="I2118" i="7"/>
  <c r="I2119" i="7"/>
  <c r="I2120" i="7"/>
  <c r="I2121" i="7"/>
  <c r="I2122" i="7"/>
  <c r="I2123" i="7"/>
  <c r="I2124" i="7"/>
  <c r="I2125" i="7"/>
  <c r="I2126" i="7"/>
  <c r="I2127" i="7"/>
  <c r="I2128" i="7"/>
  <c r="I2129" i="7"/>
  <c r="I2130" i="7"/>
  <c r="I2131" i="7"/>
  <c r="I2132" i="7"/>
  <c r="I2133" i="7"/>
  <c r="I2134" i="7"/>
  <c r="I2135" i="7"/>
  <c r="I2136" i="7"/>
  <c r="I2137" i="7"/>
  <c r="I2138" i="7"/>
  <c r="I2139" i="7"/>
  <c r="I2140" i="7"/>
  <c r="I2141" i="7"/>
  <c r="I2142" i="7"/>
  <c r="I2143" i="7"/>
  <c r="I2144" i="7"/>
  <c r="I2145" i="7"/>
  <c r="I2146" i="7"/>
  <c r="I2147" i="7"/>
  <c r="I2148" i="7"/>
  <c r="I2149" i="7"/>
  <c r="I2150" i="7"/>
  <c r="I2151" i="7"/>
  <c r="I2152" i="7"/>
  <c r="I2153" i="7"/>
  <c r="I2154" i="7"/>
  <c r="I2155" i="7"/>
  <c r="I2156" i="7"/>
  <c r="I2157" i="7"/>
  <c r="I2158" i="7"/>
  <c r="I2159" i="7"/>
  <c r="I2160" i="7"/>
  <c r="I2161" i="7"/>
  <c r="I2162" i="7"/>
  <c r="I2163" i="7"/>
  <c r="I2164" i="7"/>
  <c r="I2165" i="7"/>
  <c r="I2166" i="7"/>
  <c r="I2167" i="7"/>
  <c r="I2168" i="7"/>
  <c r="I2169" i="7"/>
  <c r="I2170" i="7"/>
  <c r="I2171" i="7"/>
  <c r="I2172" i="7"/>
  <c r="I2173" i="7"/>
  <c r="I2174" i="7"/>
  <c r="I2175" i="7"/>
  <c r="I2176" i="7"/>
  <c r="I2177" i="7"/>
  <c r="I2178" i="7"/>
  <c r="I2179" i="7"/>
  <c r="I2180" i="7"/>
  <c r="I2181" i="7"/>
  <c r="I2182" i="7"/>
  <c r="I2183" i="7"/>
  <c r="I2184" i="7"/>
  <c r="I2185" i="7"/>
  <c r="I2186" i="7"/>
  <c r="I2187" i="7"/>
  <c r="I2188" i="7"/>
  <c r="I2189" i="7"/>
  <c r="I2190" i="7"/>
  <c r="I2191" i="7"/>
  <c r="I2192" i="7"/>
  <c r="I2193" i="7"/>
  <c r="I2194" i="7"/>
  <c r="I2195" i="7"/>
  <c r="I2196" i="7"/>
  <c r="I2197" i="7"/>
  <c r="I2198" i="7"/>
  <c r="I2199" i="7"/>
  <c r="I2200" i="7"/>
  <c r="I2201" i="7"/>
  <c r="I2202" i="7"/>
  <c r="I2203" i="7"/>
  <c r="I2204" i="7"/>
  <c r="I2205" i="7"/>
  <c r="I2206" i="7"/>
  <c r="I2207" i="7"/>
  <c r="I2208" i="7"/>
  <c r="I2209" i="7"/>
  <c r="I2210" i="7"/>
  <c r="I2211" i="7"/>
  <c r="I2212" i="7"/>
  <c r="I2213" i="7"/>
  <c r="I2214" i="7"/>
  <c r="I2215" i="7"/>
  <c r="I2216" i="7"/>
  <c r="I2217" i="7"/>
  <c r="I2218" i="7"/>
  <c r="I2219" i="7"/>
  <c r="I2220" i="7"/>
  <c r="I2221" i="7"/>
  <c r="I2222" i="7"/>
  <c r="I2223" i="7"/>
  <c r="I2224" i="7"/>
  <c r="I2225" i="7"/>
  <c r="I2226" i="7"/>
  <c r="I2227" i="7"/>
  <c r="I2228" i="7"/>
  <c r="I2229" i="7"/>
  <c r="I2230" i="7"/>
  <c r="I2231" i="7"/>
  <c r="I2232" i="7"/>
  <c r="I2233" i="7"/>
  <c r="I2234" i="7"/>
  <c r="I2235" i="7"/>
  <c r="I2236" i="7"/>
  <c r="I2237" i="7"/>
  <c r="I2238" i="7"/>
  <c r="I2239" i="7"/>
  <c r="I2240" i="7"/>
  <c r="I2241" i="7"/>
  <c r="I2242" i="7"/>
  <c r="I2243" i="7"/>
  <c r="I2244" i="7"/>
  <c r="I2245" i="7"/>
  <c r="I2246" i="7"/>
  <c r="I2247" i="7"/>
  <c r="I2248" i="7"/>
  <c r="I2249" i="7"/>
  <c r="I2250" i="7"/>
  <c r="I2251" i="7"/>
  <c r="I2252" i="7"/>
  <c r="I2253" i="7"/>
  <c r="I2254" i="7"/>
  <c r="I2255" i="7"/>
  <c r="I2256" i="7"/>
  <c r="I2257" i="7"/>
  <c r="I2258" i="7"/>
  <c r="I2259" i="7"/>
  <c r="I2260" i="7"/>
  <c r="I2261" i="7"/>
  <c r="I2262" i="7"/>
  <c r="I2263" i="7"/>
  <c r="I2264" i="7"/>
  <c r="I2265" i="7"/>
  <c r="I2266" i="7"/>
  <c r="I2267" i="7"/>
  <c r="I2268" i="7"/>
  <c r="I2269" i="7"/>
  <c r="I2270" i="7"/>
  <c r="I2271" i="7"/>
  <c r="I2272" i="7"/>
  <c r="I2273" i="7"/>
  <c r="I2274" i="7"/>
  <c r="I2275" i="7"/>
  <c r="I2276" i="7"/>
  <c r="I2277" i="7"/>
  <c r="I2278" i="7"/>
  <c r="I2279" i="7"/>
  <c r="I2280" i="7"/>
  <c r="I2281" i="7"/>
  <c r="I2282" i="7"/>
  <c r="I2283" i="7"/>
  <c r="I2284" i="7"/>
  <c r="I2285" i="7"/>
  <c r="I2286" i="7"/>
  <c r="I2287" i="7"/>
  <c r="I2288" i="7"/>
  <c r="I2289" i="7"/>
  <c r="I2290" i="7"/>
  <c r="I2291" i="7"/>
  <c r="I2292" i="7"/>
  <c r="I2293" i="7"/>
  <c r="I2294" i="7"/>
  <c r="I2295" i="7"/>
  <c r="I2296" i="7"/>
  <c r="I2297" i="7"/>
  <c r="I2298" i="7"/>
  <c r="I2299" i="7"/>
  <c r="I2300" i="7"/>
  <c r="I2301" i="7"/>
  <c r="I2302" i="7"/>
  <c r="I2303" i="7"/>
  <c r="I2304" i="7"/>
  <c r="I2305" i="7"/>
  <c r="I2306" i="7"/>
  <c r="I2307" i="7"/>
  <c r="I2308" i="7"/>
  <c r="I2309" i="7"/>
  <c r="I2310" i="7"/>
  <c r="I2311" i="7"/>
  <c r="I2312" i="7"/>
  <c r="I2313" i="7"/>
  <c r="I2314" i="7"/>
  <c r="I2315" i="7"/>
  <c r="I2316" i="7"/>
  <c r="I2317" i="7"/>
  <c r="I2318" i="7"/>
  <c r="I2319" i="7"/>
  <c r="I2320" i="7"/>
  <c r="I2321" i="7"/>
  <c r="I2322" i="7"/>
  <c r="I2323" i="7"/>
  <c r="I2324" i="7"/>
  <c r="I2325" i="7"/>
  <c r="I2326" i="7"/>
  <c r="I2327" i="7"/>
  <c r="I2328" i="7"/>
  <c r="I2329" i="7"/>
  <c r="I2330" i="7"/>
  <c r="I2331" i="7"/>
  <c r="I2332" i="7"/>
  <c r="I2333" i="7"/>
  <c r="I2334" i="7"/>
  <c r="I2335" i="7"/>
  <c r="I2336" i="7"/>
  <c r="I2337" i="7"/>
  <c r="I2338" i="7"/>
  <c r="I2339" i="7"/>
  <c r="I2340" i="7"/>
  <c r="I2341" i="7"/>
  <c r="I2342" i="7"/>
  <c r="I2343" i="7"/>
  <c r="I2344" i="7"/>
  <c r="I2345" i="7"/>
  <c r="I2346" i="7"/>
  <c r="I2347" i="7"/>
  <c r="I2348" i="7"/>
  <c r="I2349" i="7"/>
  <c r="I2350" i="7"/>
  <c r="I2351" i="7"/>
  <c r="I2352" i="7"/>
  <c r="I2353" i="7"/>
  <c r="I2354" i="7"/>
  <c r="I2355" i="7"/>
  <c r="I2356" i="7"/>
  <c r="I2357" i="7"/>
  <c r="I2358" i="7"/>
  <c r="I2359" i="7"/>
  <c r="I2360" i="7"/>
  <c r="I2361" i="7"/>
  <c r="I2362" i="7"/>
  <c r="I2363" i="7"/>
  <c r="I2364" i="7"/>
  <c r="I2365" i="7"/>
  <c r="I2366" i="7"/>
  <c r="I2367" i="7"/>
  <c r="I2368" i="7"/>
  <c r="I2369" i="7"/>
  <c r="I2370" i="7"/>
  <c r="I2371" i="7"/>
  <c r="I2372" i="7"/>
  <c r="I2373" i="7"/>
  <c r="I2374" i="7"/>
  <c r="I2375" i="7"/>
  <c r="I2376" i="7"/>
  <c r="I2377" i="7"/>
  <c r="I2378" i="7"/>
  <c r="I2379" i="7"/>
  <c r="I2380" i="7"/>
  <c r="I2381" i="7"/>
  <c r="I2382" i="7"/>
  <c r="I2383" i="7"/>
  <c r="I2384" i="7"/>
  <c r="I2385" i="7"/>
  <c r="I2386" i="7"/>
  <c r="I2387" i="7"/>
  <c r="I2388" i="7"/>
  <c r="I2389" i="7"/>
  <c r="I2390" i="7"/>
  <c r="I2391" i="7"/>
  <c r="I2392" i="7"/>
  <c r="I2393" i="7"/>
  <c r="I2394" i="7"/>
  <c r="I2395" i="7"/>
  <c r="I2396" i="7"/>
  <c r="I2397" i="7"/>
  <c r="I2398" i="7"/>
  <c r="I2399" i="7"/>
  <c r="I2400" i="7"/>
  <c r="I2401" i="7"/>
  <c r="I2402" i="7"/>
  <c r="I2403" i="7"/>
  <c r="I2404" i="7"/>
  <c r="I2405" i="7"/>
  <c r="I2406" i="7"/>
  <c r="I2407" i="7"/>
  <c r="I2408" i="7"/>
  <c r="I2409" i="7"/>
  <c r="I2410" i="7"/>
  <c r="I2411" i="7"/>
  <c r="I2412" i="7"/>
  <c r="I2413" i="7"/>
  <c r="I2414" i="7"/>
  <c r="I2415" i="7"/>
  <c r="I2416" i="7"/>
  <c r="I2417" i="7"/>
  <c r="I2418" i="7"/>
  <c r="I2419" i="7"/>
  <c r="I2420" i="7"/>
  <c r="I2421" i="7"/>
  <c r="I2422" i="7"/>
  <c r="I2423" i="7"/>
  <c r="I2424" i="7"/>
  <c r="I2425" i="7"/>
  <c r="I2426" i="7"/>
  <c r="I2427" i="7"/>
  <c r="I2428" i="7"/>
  <c r="I2429" i="7"/>
  <c r="I2430" i="7"/>
  <c r="I2431" i="7"/>
  <c r="I2432" i="7"/>
  <c r="I2433" i="7"/>
  <c r="I2434" i="7"/>
  <c r="I2435" i="7"/>
  <c r="I2436" i="7"/>
  <c r="I2437" i="7"/>
  <c r="I2438" i="7"/>
  <c r="I2439" i="7"/>
  <c r="I2440" i="7"/>
  <c r="I2441" i="7"/>
  <c r="I2442" i="7"/>
  <c r="I2443" i="7"/>
  <c r="I2444" i="7"/>
  <c r="I2445" i="7"/>
  <c r="I2446" i="7"/>
  <c r="I2447" i="7"/>
  <c r="I2448" i="7"/>
  <c r="I2449" i="7"/>
  <c r="I2450" i="7"/>
  <c r="I2451" i="7"/>
  <c r="I2452" i="7"/>
  <c r="I2453" i="7"/>
  <c r="I2454" i="7"/>
  <c r="I2455" i="7"/>
  <c r="I2456" i="7"/>
  <c r="I2457" i="7"/>
  <c r="I2458" i="7"/>
  <c r="I2459" i="7"/>
  <c r="I2460" i="7"/>
  <c r="I2461" i="7"/>
  <c r="I2462" i="7"/>
  <c r="I2463" i="7"/>
  <c r="I2464" i="7"/>
  <c r="I2465" i="7"/>
  <c r="I2466" i="7"/>
  <c r="I2467" i="7"/>
  <c r="I2468" i="7"/>
  <c r="I2469" i="7"/>
  <c r="I2470" i="7"/>
  <c r="I2471" i="7"/>
  <c r="I2472" i="7"/>
  <c r="I2473" i="7"/>
  <c r="I2474" i="7"/>
  <c r="I2475" i="7"/>
  <c r="I2476" i="7"/>
  <c r="I2477" i="7"/>
  <c r="I2478" i="7"/>
  <c r="I2479" i="7"/>
  <c r="I2480" i="7"/>
  <c r="I2481" i="7"/>
  <c r="I2482" i="7"/>
  <c r="I2483" i="7"/>
  <c r="I2484" i="7"/>
  <c r="I2485" i="7"/>
  <c r="I2486" i="7"/>
  <c r="I2487" i="7"/>
  <c r="I2488" i="7"/>
  <c r="I2489" i="7"/>
  <c r="I2490" i="7"/>
  <c r="I2491" i="7"/>
  <c r="I2492" i="7"/>
  <c r="I2493" i="7"/>
  <c r="I2494" i="7"/>
  <c r="I2495" i="7"/>
  <c r="I2496" i="7"/>
  <c r="I2497" i="7"/>
  <c r="I2498" i="7"/>
  <c r="I2499" i="7"/>
  <c r="I2500" i="7"/>
  <c r="I2501" i="7"/>
  <c r="I2502" i="7"/>
  <c r="I2503" i="7"/>
  <c r="I2504" i="7"/>
  <c r="I2505" i="7"/>
  <c r="I2506" i="7"/>
  <c r="I2507" i="7"/>
  <c r="I2508" i="7"/>
  <c r="I2509" i="7"/>
  <c r="I2510" i="7"/>
  <c r="I2511" i="7"/>
  <c r="I2512" i="7"/>
  <c r="I2513" i="7"/>
  <c r="I2514" i="7"/>
  <c r="I2515" i="7"/>
  <c r="I2516" i="7"/>
  <c r="I2517" i="7"/>
  <c r="I2518" i="7"/>
  <c r="I2519" i="7"/>
  <c r="I2520" i="7"/>
  <c r="I2521" i="7"/>
  <c r="I2522" i="7"/>
  <c r="I2523" i="7"/>
  <c r="I2524" i="7"/>
  <c r="I2525" i="7"/>
  <c r="I2526" i="7"/>
  <c r="I2527" i="7"/>
  <c r="I2528" i="7"/>
  <c r="I2529" i="7"/>
  <c r="I2530" i="7"/>
  <c r="I2531" i="7"/>
  <c r="I2532" i="7"/>
  <c r="I2533" i="7"/>
  <c r="I2534" i="7"/>
  <c r="I2535" i="7"/>
  <c r="I2536" i="7"/>
  <c r="I2537" i="7"/>
  <c r="I2538" i="7"/>
  <c r="I2539" i="7"/>
  <c r="I2540" i="7"/>
  <c r="I2541" i="7"/>
  <c r="I2542" i="7"/>
  <c r="I2543" i="7"/>
  <c r="I2544" i="7"/>
  <c r="I2545" i="7"/>
  <c r="I2546" i="7"/>
  <c r="I2547" i="7"/>
  <c r="I2548" i="7"/>
  <c r="I2549" i="7"/>
  <c r="I2550" i="7"/>
  <c r="I2551" i="7"/>
  <c r="I2552" i="7"/>
  <c r="I2553" i="7"/>
  <c r="I2554" i="7"/>
  <c r="I2555" i="7"/>
  <c r="I2556" i="7"/>
  <c r="I2557" i="7"/>
  <c r="I2558" i="7"/>
  <c r="I2559" i="7"/>
  <c r="I2560" i="7"/>
  <c r="I2561" i="7"/>
  <c r="I2562" i="7"/>
  <c r="I2563" i="7"/>
  <c r="I2564" i="7"/>
  <c r="I2565" i="7"/>
  <c r="I2566" i="7"/>
  <c r="I2567" i="7"/>
  <c r="I2568" i="7"/>
  <c r="I2569" i="7"/>
  <c r="I2570" i="7"/>
  <c r="I2571" i="7"/>
  <c r="I2572" i="7"/>
  <c r="I2573" i="7"/>
  <c r="I2574" i="7"/>
  <c r="I2575" i="7"/>
  <c r="I2576" i="7"/>
  <c r="I2577" i="7"/>
  <c r="I2578" i="7"/>
  <c r="I2579" i="7"/>
  <c r="I2580" i="7"/>
  <c r="I2581" i="7"/>
  <c r="I2582" i="7"/>
  <c r="I2583" i="7"/>
  <c r="I2584" i="7"/>
  <c r="I2585" i="7"/>
  <c r="I2586" i="7"/>
  <c r="I2587" i="7"/>
  <c r="I2588" i="7"/>
  <c r="I2589" i="7"/>
  <c r="I2590" i="7"/>
  <c r="I2591" i="7"/>
  <c r="I2592" i="7"/>
  <c r="I2593" i="7"/>
  <c r="I2594" i="7"/>
  <c r="I2595" i="7"/>
  <c r="I2596" i="7"/>
  <c r="I2597" i="7"/>
  <c r="I2598" i="7"/>
  <c r="I2599" i="7"/>
  <c r="I2600" i="7"/>
  <c r="I2601" i="7"/>
  <c r="I2602" i="7"/>
  <c r="I2603" i="7"/>
  <c r="I2604" i="7"/>
  <c r="I2605" i="7"/>
  <c r="I2606" i="7"/>
  <c r="I2607" i="7"/>
  <c r="I2608" i="7"/>
  <c r="I2609" i="7"/>
  <c r="I2610" i="7"/>
  <c r="I2611" i="7"/>
  <c r="I2612" i="7"/>
  <c r="I2613" i="7"/>
  <c r="I2614" i="7"/>
  <c r="I2615" i="7"/>
  <c r="I2616" i="7"/>
  <c r="I2617" i="7"/>
  <c r="I2618" i="7"/>
  <c r="I2619" i="7"/>
  <c r="I2620" i="7"/>
  <c r="I2621" i="7"/>
  <c r="I2622" i="7"/>
  <c r="I2623" i="7"/>
  <c r="I2624" i="7"/>
  <c r="I2625" i="7"/>
  <c r="I2626" i="7"/>
  <c r="I2627" i="7"/>
  <c r="I2628" i="7"/>
  <c r="I2629" i="7"/>
  <c r="I2630" i="7"/>
  <c r="I2631" i="7"/>
  <c r="I2632" i="7"/>
  <c r="I2633" i="7"/>
  <c r="I2634" i="7"/>
  <c r="I2635" i="7"/>
  <c r="I2636" i="7"/>
  <c r="I2637" i="7"/>
  <c r="I2638" i="7"/>
  <c r="I2639" i="7"/>
  <c r="I2640" i="7"/>
  <c r="I2641" i="7"/>
  <c r="I2642" i="7"/>
  <c r="I2643" i="7"/>
  <c r="I2644" i="7"/>
  <c r="I2645" i="7"/>
  <c r="I2646" i="7"/>
  <c r="I2647" i="7"/>
  <c r="I2648" i="7"/>
  <c r="I2649" i="7"/>
  <c r="I2650" i="7"/>
  <c r="I2651" i="7"/>
  <c r="I2652" i="7"/>
  <c r="I2653" i="7"/>
  <c r="I2654" i="7"/>
  <c r="I2655" i="7"/>
  <c r="I2656" i="7"/>
  <c r="I2657" i="7"/>
  <c r="I2658" i="7"/>
  <c r="I2659" i="7"/>
  <c r="I2660" i="7"/>
  <c r="I2661" i="7"/>
  <c r="I2662" i="7"/>
  <c r="I2663" i="7"/>
  <c r="I2664" i="7"/>
  <c r="I2665" i="7"/>
  <c r="I2666" i="7"/>
  <c r="I2667" i="7"/>
  <c r="I2668" i="7"/>
  <c r="I2669" i="7"/>
  <c r="I2670" i="7"/>
  <c r="I2671" i="7"/>
  <c r="I2672" i="7"/>
  <c r="I2673" i="7"/>
  <c r="I2674" i="7"/>
  <c r="I2675" i="7"/>
  <c r="I2676" i="7"/>
  <c r="I2677" i="7"/>
  <c r="I2678" i="7"/>
  <c r="I2679" i="7"/>
  <c r="I2680" i="7"/>
  <c r="I2681" i="7"/>
  <c r="I2682" i="7"/>
  <c r="I2683" i="7"/>
  <c r="I2684" i="7"/>
  <c r="I2685" i="7"/>
  <c r="I2686" i="7"/>
  <c r="I2687" i="7"/>
  <c r="I2688" i="7"/>
  <c r="I2689" i="7"/>
  <c r="I2690" i="7"/>
  <c r="I2691" i="7"/>
  <c r="I2692" i="7"/>
  <c r="I2693" i="7"/>
  <c r="I2694" i="7"/>
  <c r="I2695" i="7"/>
  <c r="I2696" i="7"/>
  <c r="I2697" i="7"/>
  <c r="I2698" i="7"/>
  <c r="I2699" i="7"/>
  <c r="I2700" i="7"/>
  <c r="I2701" i="7"/>
  <c r="I2702" i="7"/>
  <c r="I2703" i="7"/>
  <c r="I2704" i="7"/>
  <c r="I2705" i="7"/>
  <c r="I2706" i="7"/>
  <c r="I2707" i="7"/>
  <c r="I2708" i="7"/>
  <c r="I2709" i="7"/>
  <c r="I2710" i="7"/>
  <c r="I2711" i="7"/>
  <c r="I2712" i="7"/>
  <c r="I2713" i="7"/>
  <c r="I2714" i="7"/>
  <c r="I2715" i="7"/>
  <c r="I2716" i="7"/>
  <c r="I2717" i="7"/>
  <c r="I2718" i="7"/>
  <c r="I2719" i="7"/>
  <c r="I2720" i="7"/>
  <c r="I2721" i="7"/>
  <c r="I2722" i="7"/>
  <c r="I2723" i="7"/>
  <c r="I2724" i="7"/>
  <c r="I2725" i="7"/>
  <c r="I2726" i="7"/>
  <c r="I2727" i="7"/>
  <c r="I2728" i="7"/>
  <c r="I2729" i="7"/>
  <c r="I2730" i="7"/>
  <c r="I2731" i="7"/>
  <c r="I2732" i="7"/>
  <c r="I2733" i="7"/>
  <c r="I2734" i="7"/>
  <c r="I2735" i="7"/>
  <c r="I2736" i="7"/>
  <c r="I2737" i="7"/>
  <c r="I2738" i="7"/>
  <c r="I2739" i="7"/>
  <c r="I2740" i="7"/>
  <c r="I2741" i="7"/>
  <c r="I2742" i="7"/>
  <c r="I2743" i="7"/>
  <c r="I2744" i="7"/>
  <c r="I2745" i="7"/>
  <c r="I2746" i="7"/>
  <c r="I2747" i="7"/>
  <c r="I2748" i="7"/>
  <c r="I2749" i="7"/>
  <c r="I2750" i="7"/>
  <c r="I2751" i="7"/>
  <c r="I2752" i="7"/>
  <c r="I2753" i="7"/>
  <c r="I2754" i="7"/>
  <c r="I2755" i="7"/>
  <c r="I2756" i="7"/>
  <c r="I2757" i="7"/>
  <c r="I2758" i="7"/>
  <c r="I2759" i="7"/>
  <c r="I2760" i="7"/>
  <c r="I2761" i="7"/>
  <c r="I2762" i="7"/>
  <c r="I2763" i="7"/>
  <c r="I2764" i="7"/>
  <c r="I2765" i="7"/>
  <c r="I2766" i="7"/>
  <c r="I2767" i="7"/>
  <c r="I2768" i="7"/>
  <c r="I2769" i="7"/>
  <c r="I2770" i="7"/>
  <c r="I2771" i="7"/>
  <c r="I2772" i="7"/>
  <c r="I2773" i="7"/>
  <c r="I2774" i="7"/>
  <c r="I2775" i="7"/>
  <c r="I2776" i="7"/>
  <c r="I2777" i="7"/>
  <c r="I2778" i="7"/>
  <c r="I2779" i="7"/>
  <c r="I2780" i="7"/>
  <c r="I2781" i="7"/>
  <c r="I2782" i="7"/>
  <c r="I2783" i="7"/>
  <c r="I2784" i="7"/>
  <c r="I2785" i="7"/>
  <c r="I2786" i="7"/>
  <c r="I2787" i="7"/>
  <c r="I2788" i="7"/>
  <c r="I2789" i="7"/>
  <c r="I2790" i="7"/>
  <c r="I2791" i="7"/>
  <c r="I2792" i="7"/>
  <c r="I2793" i="7"/>
  <c r="I2794" i="7"/>
  <c r="I2795" i="7"/>
  <c r="I2796" i="7"/>
  <c r="I2797" i="7"/>
  <c r="I2798" i="7"/>
  <c r="I2799" i="7"/>
  <c r="I2800" i="7"/>
  <c r="I2801" i="7"/>
  <c r="I2802" i="7"/>
  <c r="I2803" i="7"/>
  <c r="I2804" i="7"/>
  <c r="I2805" i="7"/>
  <c r="I2806" i="7"/>
  <c r="I2807" i="7"/>
  <c r="I2808" i="7"/>
  <c r="I2809" i="7"/>
  <c r="I2810" i="7"/>
  <c r="I2811" i="7"/>
  <c r="I2812" i="7"/>
  <c r="I2813" i="7"/>
  <c r="I2814" i="7"/>
  <c r="I2815" i="7"/>
  <c r="I2816" i="7"/>
  <c r="I2817" i="7"/>
  <c r="I2818" i="7"/>
  <c r="I2819" i="7"/>
  <c r="I2820" i="7"/>
  <c r="I2821" i="7"/>
  <c r="I2822" i="7"/>
  <c r="I2823" i="7"/>
  <c r="I2824" i="7"/>
  <c r="I2825" i="7"/>
  <c r="I2826" i="7"/>
  <c r="I2827" i="7"/>
  <c r="I2828" i="7"/>
  <c r="I2829" i="7"/>
  <c r="I2830" i="7"/>
  <c r="I2831" i="7"/>
  <c r="I2832" i="7"/>
  <c r="I2833" i="7"/>
  <c r="I2834" i="7"/>
  <c r="I2835" i="7"/>
  <c r="I2836" i="7"/>
  <c r="I2837" i="7"/>
  <c r="I2838" i="7"/>
  <c r="I2839" i="7"/>
  <c r="I2840" i="7"/>
  <c r="I2841" i="7"/>
  <c r="I2842" i="7"/>
  <c r="I2843" i="7"/>
  <c r="I2844" i="7"/>
  <c r="I2845" i="7"/>
  <c r="I2846" i="7"/>
  <c r="I2847" i="7"/>
  <c r="I2848" i="7"/>
  <c r="I2849" i="7"/>
  <c r="I2850" i="7"/>
  <c r="I2851" i="7"/>
  <c r="I2852" i="7"/>
  <c r="I2853" i="7"/>
  <c r="I2854" i="7"/>
  <c r="I2855" i="7"/>
  <c r="I2856" i="7"/>
  <c r="I2857" i="7"/>
  <c r="I2858" i="7"/>
  <c r="I2859" i="7"/>
  <c r="I2860" i="7"/>
  <c r="I2861" i="7"/>
  <c r="I2862" i="7"/>
  <c r="I2863" i="7"/>
  <c r="I2864" i="7"/>
  <c r="I2865" i="7"/>
  <c r="I2866" i="7"/>
  <c r="I2867" i="7"/>
  <c r="I2868" i="7"/>
  <c r="I2869" i="7"/>
  <c r="I2870" i="7"/>
  <c r="I2871" i="7"/>
  <c r="I2872" i="7"/>
  <c r="I2873" i="7"/>
  <c r="I2874" i="7"/>
  <c r="I2875" i="7"/>
  <c r="I2876" i="7"/>
  <c r="I2877" i="7"/>
  <c r="I2878" i="7"/>
  <c r="I2879" i="7"/>
  <c r="I2880" i="7"/>
  <c r="I2881" i="7"/>
  <c r="I2882" i="7"/>
  <c r="I2883" i="7"/>
  <c r="I2884" i="7"/>
  <c r="I2885" i="7"/>
  <c r="I2886" i="7"/>
  <c r="I2887" i="7"/>
  <c r="I2888" i="7"/>
  <c r="I2889" i="7"/>
  <c r="I2890" i="7"/>
  <c r="I2891" i="7"/>
  <c r="I2892" i="7"/>
  <c r="I2893" i="7"/>
  <c r="I2894" i="7"/>
  <c r="I2895" i="7"/>
  <c r="I2896" i="7"/>
  <c r="I2897" i="7"/>
  <c r="I2898" i="7"/>
  <c r="I2899" i="7"/>
  <c r="I2900" i="7"/>
  <c r="I2901" i="7"/>
  <c r="I2902" i="7"/>
  <c r="I2903" i="7"/>
  <c r="I2904" i="7"/>
  <c r="I2905" i="7"/>
  <c r="I2906" i="7"/>
  <c r="I2907" i="7"/>
  <c r="I2908" i="7"/>
  <c r="I2909" i="7"/>
  <c r="I2910" i="7"/>
  <c r="I2911" i="7"/>
  <c r="I2912" i="7"/>
  <c r="I2913" i="7"/>
  <c r="I2914" i="7"/>
  <c r="I2915" i="7"/>
  <c r="I2916" i="7"/>
  <c r="I2917" i="7"/>
  <c r="I2918" i="7"/>
  <c r="I2919" i="7"/>
  <c r="I2920" i="7"/>
  <c r="I2921" i="7"/>
  <c r="I2922" i="7"/>
  <c r="I2923" i="7"/>
  <c r="I2924" i="7"/>
  <c r="I2925" i="7"/>
  <c r="I2926" i="7"/>
  <c r="I2927" i="7"/>
  <c r="I2928" i="7"/>
  <c r="I2929" i="7"/>
  <c r="I2930" i="7"/>
  <c r="I2931" i="7"/>
  <c r="I2932" i="7"/>
  <c r="I2933" i="7"/>
  <c r="I2934" i="7"/>
  <c r="I2935" i="7"/>
  <c r="I2936" i="7"/>
  <c r="I2937" i="7"/>
  <c r="I2938" i="7"/>
  <c r="I2939" i="7"/>
  <c r="I2940" i="7"/>
  <c r="I2941" i="7"/>
  <c r="I2942" i="7"/>
  <c r="I2943" i="7"/>
  <c r="I2944" i="7"/>
  <c r="I2945" i="7"/>
  <c r="I2946" i="7"/>
  <c r="I2947" i="7"/>
  <c r="I2948" i="7"/>
  <c r="I2949" i="7"/>
  <c r="I2950" i="7"/>
  <c r="I2951" i="7"/>
  <c r="I2952" i="7"/>
  <c r="I2953" i="7"/>
  <c r="I2954" i="7"/>
  <c r="I2955" i="7"/>
  <c r="I2956" i="7"/>
  <c r="I2957" i="7"/>
  <c r="I2958" i="7"/>
  <c r="I2959" i="7"/>
  <c r="I2960" i="7"/>
  <c r="I2961" i="7"/>
  <c r="I2962" i="7"/>
  <c r="I2963" i="7"/>
  <c r="I2964" i="7"/>
  <c r="I2965" i="7"/>
  <c r="I2966" i="7"/>
  <c r="I2967" i="7"/>
  <c r="I2968" i="7"/>
  <c r="I2969" i="7"/>
  <c r="I2970" i="7"/>
  <c r="I2971" i="7"/>
  <c r="I2972" i="7"/>
  <c r="I2973" i="7"/>
  <c r="I2974" i="7"/>
  <c r="I2975" i="7"/>
  <c r="I2976" i="7"/>
  <c r="I2977" i="7"/>
  <c r="I2978" i="7"/>
  <c r="I2979" i="7"/>
  <c r="I2980" i="7"/>
  <c r="I2981" i="7"/>
  <c r="I2982" i="7"/>
  <c r="I2983" i="7"/>
  <c r="I2984" i="7"/>
  <c r="I2985" i="7"/>
  <c r="I2986" i="7"/>
  <c r="I2987" i="7"/>
  <c r="I2988" i="7"/>
  <c r="I2989" i="7"/>
  <c r="I2990" i="7"/>
  <c r="I2991" i="7"/>
  <c r="I2992" i="7"/>
  <c r="I2993" i="7"/>
  <c r="I2994" i="7"/>
  <c r="I2995" i="7"/>
  <c r="I2996" i="7"/>
  <c r="I2997" i="7"/>
  <c r="I2998" i="7"/>
  <c r="I2999" i="7"/>
  <c r="I3000" i="7"/>
  <c r="I3001" i="7"/>
  <c r="I3002" i="7"/>
  <c r="I3003" i="7"/>
  <c r="I3004" i="7"/>
  <c r="I3005" i="7"/>
  <c r="I3006" i="7"/>
  <c r="I3007" i="7"/>
  <c r="I3008" i="7"/>
  <c r="I3009" i="7"/>
  <c r="I3010" i="7"/>
  <c r="I3011" i="7"/>
  <c r="I3012" i="7"/>
  <c r="I3013" i="7"/>
  <c r="I3014" i="7"/>
  <c r="I3015" i="7"/>
  <c r="I3016" i="7"/>
  <c r="I3017" i="7"/>
  <c r="I3018" i="7"/>
  <c r="I3019" i="7"/>
  <c r="I3020" i="7"/>
  <c r="I3021" i="7"/>
  <c r="I3022" i="7"/>
  <c r="I3023" i="7"/>
  <c r="I3024" i="7"/>
  <c r="I3025" i="7"/>
  <c r="I3026" i="7"/>
  <c r="I3027" i="7"/>
  <c r="I3028" i="7"/>
  <c r="I3029" i="7"/>
  <c r="I3030" i="7"/>
  <c r="I3031" i="7"/>
  <c r="I3032" i="7"/>
  <c r="I3033" i="7"/>
  <c r="I3034" i="7"/>
  <c r="I3035" i="7"/>
  <c r="I3036" i="7"/>
  <c r="I3037" i="7"/>
  <c r="I3038" i="7"/>
  <c r="I3039" i="7"/>
  <c r="I3040" i="7"/>
  <c r="I3041" i="7"/>
  <c r="I3042" i="7"/>
  <c r="I3043" i="7"/>
  <c r="I3044" i="7"/>
  <c r="I3045" i="7"/>
  <c r="I3046" i="7"/>
  <c r="I3047" i="7"/>
  <c r="I3048" i="7"/>
  <c r="I3049" i="7"/>
  <c r="I3050" i="7"/>
  <c r="I3051" i="7"/>
  <c r="I3052" i="7"/>
  <c r="I3053" i="7"/>
  <c r="I3054" i="7"/>
  <c r="I3055" i="7"/>
  <c r="I3056" i="7"/>
  <c r="I3057" i="7"/>
  <c r="I3058" i="7"/>
  <c r="I3059" i="7"/>
  <c r="I3060" i="7"/>
  <c r="I3061" i="7"/>
  <c r="I3062" i="7"/>
  <c r="I3063" i="7"/>
  <c r="I3064" i="7"/>
  <c r="I3065" i="7"/>
  <c r="I3066" i="7"/>
  <c r="I3067" i="7"/>
  <c r="I3068" i="7"/>
  <c r="I3069" i="7"/>
  <c r="I3070" i="7"/>
  <c r="I3071" i="7"/>
  <c r="I3072" i="7"/>
  <c r="I3073" i="7"/>
  <c r="I3074" i="7"/>
  <c r="I3075" i="7"/>
  <c r="I3076" i="7"/>
  <c r="I3077" i="7"/>
  <c r="I3078" i="7"/>
  <c r="I3079" i="7"/>
  <c r="I3080" i="7"/>
  <c r="I3081" i="7"/>
  <c r="I3082" i="7"/>
  <c r="I3083" i="7"/>
  <c r="I3084" i="7"/>
  <c r="I3085" i="7"/>
  <c r="I3086" i="7"/>
  <c r="I3087" i="7"/>
  <c r="I3088" i="7"/>
  <c r="I3089" i="7"/>
  <c r="I3090" i="7"/>
  <c r="I3091" i="7"/>
  <c r="I3092" i="7"/>
  <c r="I3093" i="7"/>
  <c r="I3094" i="7"/>
  <c r="I3095" i="7"/>
  <c r="I3096" i="7"/>
  <c r="I3097" i="7"/>
  <c r="I3098" i="7"/>
  <c r="I3099" i="7"/>
  <c r="I3100" i="7"/>
  <c r="I3101" i="7"/>
  <c r="I3102" i="7"/>
  <c r="I3103" i="7"/>
  <c r="I3104" i="7"/>
  <c r="I3105" i="7"/>
  <c r="I3106" i="7"/>
  <c r="I3107" i="7"/>
  <c r="I3108" i="7"/>
  <c r="I3109" i="7"/>
  <c r="I3110" i="7"/>
  <c r="I3111" i="7"/>
  <c r="I3112" i="7"/>
  <c r="I3113" i="7"/>
  <c r="I3114" i="7"/>
  <c r="I3115" i="7"/>
  <c r="I3116" i="7"/>
  <c r="I3117" i="7"/>
  <c r="I3118" i="7"/>
  <c r="I3119" i="7"/>
  <c r="I3120" i="7"/>
  <c r="I3121" i="7"/>
  <c r="I3122" i="7"/>
  <c r="I3123" i="7"/>
  <c r="I3124" i="7"/>
  <c r="I3125" i="7"/>
  <c r="I3126" i="7"/>
  <c r="I3127" i="7"/>
  <c r="I3128" i="7"/>
  <c r="I3129" i="7"/>
  <c r="I3130" i="7"/>
  <c r="I3131" i="7"/>
  <c r="I3132" i="7"/>
  <c r="I3133" i="7"/>
  <c r="I3134" i="7"/>
  <c r="I3135" i="7"/>
  <c r="I3136" i="7"/>
  <c r="I3137" i="7"/>
  <c r="I3138" i="7"/>
  <c r="I3139" i="7"/>
  <c r="I3140" i="7"/>
  <c r="I3141" i="7"/>
  <c r="I3142" i="7"/>
  <c r="I3143" i="7"/>
  <c r="I3144" i="7"/>
  <c r="I3145" i="7"/>
  <c r="I3146" i="7"/>
  <c r="I3147" i="7"/>
  <c r="I3148" i="7"/>
  <c r="I3149" i="7"/>
  <c r="I3150" i="7"/>
  <c r="I3151" i="7"/>
  <c r="I3152" i="7"/>
  <c r="I3153" i="7"/>
  <c r="I3154" i="7"/>
  <c r="I3155" i="7"/>
  <c r="I3156" i="7"/>
  <c r="I3157" i="7"/>
  <c r="I3158" i="7"/>
  <c r="I3159" i="7"/>
  <c r="I3160" i="7"/>
  <c r="I3161" i="7"/>
  <c r="I3162" i="7"/>
  <c r="I3163" i="7"/>
  <c r="I3164" i="7"/>
  <c r="I3165" i="7"/>
  <c r="I3166" i="7"/>
  <c r="I3167" i="7"/>
  <c r="I3168" i="7"/>
  <c r="I3169" i="7"/>
  <c r="I3170" i="7"/>
  <c r="I3171" i="7"/>
  <c r="I3172" i="7"/>
  <c r="I3173" i="7"/>
  <c r="I3174" i="7"/>
  <c r="I3175" i="7"/>
  <c r="I3176" i="7"/>
  <c r="I3177" i="7"/>
  <c r="I3178" i="7"/>
  <c r="I3179" i="7"/>
  <c r="I3180" i="7"/>
  <c r="I3181" i="7"/>
  <c r="I3182" i="7"/>
  <c r="I3183" i="7"/>
  <c r="I3184" i="7"/>
  <c r="I3185" i="7"/>
  <c r="I3186" i="7"/>
  <c r="I3187" i="7"/>
  <c r="I3188" i="7"/>
  <c r="I3189" i="7"/>
  <c r="I3190" i="7"/>
  <c r="I3191" i="7"/>
  <c r="I3192" i="7"/>
  <c r="I3193" i="7"/>
  <c r="I3194" i="7"/>
  <c r="I3195" i="7"/>
  <c r="I3196" i="7"/>
  <c r="I3197" i="7"/>
  <c r="I3198" i="7"/>
  <c r="I3199" i="7"/>
  <c r="I3200" i="7"/>
  <c r="I3201" i="7"/>
  <c r="I3202" i="7"/>
  <c r="I3203" i="7"/>
  <c r="I3204" i="7"/>
  <c r="I3205" i="7"/>
  <c r="I3206" i="7"/>
  <c r="I3207" i="7"/>
  <c r="I3208" i="7"/>
  <c r="I3209" i="7"/>
  <c r="I3210" i="7"/>
  <c r="I3211" i="7"/>
  <c r="I3212" i="7"/>
  <c r="I3213" i="7"/>
  <c r="I3214" i="7"/>
  <c r="I3215" i="7"/>
  <c r="I3216" i="7"/>
  <c r="I3217" i="7"/>
  <c r="I3218" i="7"/>
  <c r="I3219" i="7"/>
  <c r="I3220" i="7"/>
  <c r="I3221" i="7"/>
  <c r="I3222" i="7"/>
  <c r="I3223" i="7"/>
  <c r="I3224" i="7"/>
  <c r="I3225" i="7"/>
  <c r="I3226" i="7"/>
  <c r="I3227" i="7"/>
  <c r="I3228" i="7"/>
  <c r="I3229" i="7"/>
  <c r="I3230" i="7"/>
  <c r="I3231" i="7"/>
  <c r="I3232" i="7"/>
  <c r="I3233" i="7"/>
  <c r="I3234" i="7"/>
  <c r="I3235" i="7"/>
  <c r="I3236" i="7"/>
  <c r="I3237" i="7"/>
  <c r="I3238" i="7"/>
  <c r="I3239" i="7"/>
  <c r="I3240" i="7"/>
  <c r="I3241" i="7"/>
  <c r="I3242" i="7"/>
  <c r="I3243" i="7"/>
  <c r="I3244" i="7"/>
  <c r="I3245" i="7"/>
  <c r="I3246" i="7"/>
  <c r="I3247" i="7"/>
  <c r="I3248" i="7"/>
  <c r="I3249" i="7"/>
  <c r="I3250" i="7"/>
  <c r="I3251" i="7"/>
  <c r="I3252" i="7"/>
  <c r="I3253" i="7"/>
  <c r="I3254" i="7"/>
  <c r="I3255" i="7"/>
  <c r="I3256" i="7"/>
  <c r="I3257" i="7"/>
  <c r="I3258" i="7"/>
  <c r="I3259" i="7"/>
  <c r="I3260" i="7"/>
  <c r="I3261" i="7"/>
  <c r="I3262" i="7"/>
  <c r="I3263" i="7"/>
  <c r="I3264" i="7"/>
  <c r="I3265" i="7"/>
  <c r="I3266" i="7"/>
  <c r="I3267" i="7"/>
  <c r="I3268" i="7"/>
  <c r="I3269" i="7"/>
  <c r="I3270" i="7"/>
  <c r="I3271" i="7"/>
  <c r="I3272" i="7"/>
  <c r="I3273" i="7"/>
  <c r="I3274" i="7"/>
  <c r="I3275" i="7"/>
  <c r="I3276" i="7"/>
  <c r="I3277" i="7"/>
  <c r="I3278" i="7"/>
  <c r="I3279" i="7"/>
  <c r="I3280" i="7"/>
  <c r="I3281" i="7"/>
  <c r="I3282" i="7"/>
  <c r="I3283" i="7"/>
  <c r="I3284" i="7"/>
  <c r="I3285" i="7"/>
  <c r="I3286" i="7"/>
  <c r="I3287" i="7"/>
  <c r="I3288" i="7"/>
  <c r="I3289" i="7"/>
  <c r="I3290" i="7"/>
  <c r="I3291" i="7"/>
  <c r="I3292" i="7"/>
  <c r="I3293" i="7"/>
  <c r="I3294" i="7"/>
  <c r="I3295" i="7"/>
  <c r="I3296" i="7"/>
  <c r="I3297" i="7"/>
  <c r="I3298" i="7"/>
  <c r="I3299" i="7"/>
  <c r="I3300" i="7"/>
  <c r="I3301" i="7"/>
  <c r="I3302" i="7"/>
  <c r="I3303" i="7"/>
  <c r="I3304" i="7"/>
  <c r="I3305" i="7"/>
  <c r="I3306" i="7"/>
  <c r="I3307" i="7"/>
  <c r="I3308" i="7"/>
  <c r="I3309" i="7"/>
  <c r="I3310" i="7"/>
  <c r="I3311" i="7"/>
  <c r="I3312" i="7"/>
  <c r="I3313" i="7"/>
  <c r="I3314" i="7"/>
  <c r="I3315" i="7"/>
  <c r="I3316" i="7"/>
  <c r="I3317" i="7"/>
  <c r="I3318" i="7"/>
  <c r="I3319" i="7"/>
  <c r="I3320" i="7"/>
  <c r="I3321" i="7"/>
  <c r="I3322" i="7"/>
  <c r="I3323" i="7"/>
  <c r="I3324" i="7"/>
  <c r="I3325" i="7"/>
  <c r="I3326" i="7"/>
  <c r="I3327" i="7"/>
  <c r="I3328" i="7"/>
  <c r="I3329" i="7"/>
  <c r="I3330" i="7"/>
  <c r="I3331" i="7"/>
  <c r="I3332" i="7"/>
  <c r="I3333" i="7"/>
  <c r="I3334" i="7"/>
  <c r="I3335" i="7"/>
  <c r="I3336" i="7"/>
  <c r="I3337" i="7"/>
  <c r="I3338" i="7"/>
  <c r="I3339" i="7"/>
  <c r="I3340" i="7"/>
  <c r="I3341" i="7"/>
  <c r="I3342" i="7"/>
  <c r="I3343" i="7"/>
  <c r="I3344" i="7"/>
  <c r="I3345" i="7"/>
  <c r="I3346" i="7"/>
  <c r="I3347" i="7"/>
  <c r="I3348" i="7"/>
  <c r="I3349" i="7"/>
  <c r="I3350" i="7"/>
  <c r="I3351" i="7"/>
  <c r="I3352" i="7"/>
  <c r="I3353" i="7"/>
  <c r="I3354" i="7"/>
  <c r="I3355" i="7"/>
  <c r="I3356" i="7"/>
  <c r="I3357" i="7"/>
  <c r="I3358" i="7"/>
  <c r="I3359" i="7"/>
  <c r="I3360" i="7"/>
  <c r="I3361" i="7"/>
  <c r="I3362" i="7"/>
  <c r="I3363" i="7"/>
  <c r="I3364" i="7"/>
  <c r="I3365" i="7"/>
  <c r="I3366" i="7"/>
  <c r="I3367" i="7"/>
  <c r="I3368" i="7"/>
  <c r="I3369" i="7"/>
  <c r="I3370" i="7"/>
  <c r="I3371" i="7"/>
  <c r="I3372" i="7"/>
  <c r="I3373" i="7"/>
  <c r="I3374" i="7"/>
  <c r="I3375" i="7"/>
  <c r="I3376" i="7"/>
  <c r="I3377" i="7"/>
  <c r="I3378" i="7"/>
  <c r="I3379" i="7"/>
  <c r="I3380" i="7"/>
  <c r="I3381" i="7"/>
  <c r="I3382" i="7"/>
  <c r="I3383" i="7"/>
  <c r="I3384" i="7"/>
  <c r="I3385" i="7"/>
  <c r="I3386" i="7"/>
  <c r="I3387" i="7"/>
  <c r="I3388" i="7"/>
  <c r="I3389" i="7"/>
  <c r="I3390" i="7"/>
  <c r="I3391" i="7"/>
  <c r="I3392" i="7"/>
  <c r="I3393" i="7"/>
  <c r="I3394" i="7"/>
  <c r="I3395" i="7"/>
  <c r="I3396" i="7"/>
  <c r="I3397" i="7"/>
  <c r="I3398" i="7"/>
  <c r="I3399" i="7"/>
  <c r="I3400" i="7"/>
  <c r="I3401" i="7"/>
  <c r="I3402" i="7"/>
  <c r="I3403" i="7"/>
  <c r="I3404" i="7"/>
  <c r="I3405" i="7"/>
  <c r="I3406" i="7"/>
  <c r="I3407" i="7"/>
  <c r="I3408" i="7"/>
  <c r="I3409" i="7"/>
  <c r="I3410" i="7"/>
  <c r="I3411" i="7"/>
  <c r="I3412" i="7"/>
  <c r="I3413" i="7"/>
  <c r="I3414" i="7"/>
  <c r="I3415" i="7"/>
  <c r="I3416" i="7"/>
  <c r="I3417" i="7"/>
  <c r="I3418" i="7"/>
  <c r="I3419" i="7"/>
  <c r="I3420" i="7"/>
  <c r="I3421" i="7"/>
  <c r="I3422" i="7"/>
  <c r="I3423" i="7"/>
  <c r="I3424" i="7"/>
  <c r="I3425" i="7"/>
  <c r="I3426" i="7"/>
  <c r="I3427" i="7"/>
  <c r="I3428" i="7"/>
  <c r="I3429" i="7"/>
  <c r="I3430" i="7"/>
  <c r="I3431" i="7"/>
  <c r="I3432" i="7"/>
  <c r="I3433" i="7"/>
  <c r="I3434" i="7"/>
  <c r="I3435" i="7"/>
  <c r="I3436" i="7"/>
  <c r="I3437" i="7"/>
  <c r="I3438" i="7"/>
  <c r="I3439" i="7"/>
  <c r="I3440" i="7"/>
  <c r="I3441" i="7"/>
  <c r="I3442" i="7"/>
  <c r="I3443" i="7"/>
  <c r="I3444" i="7"/>
  <c r="I3445" i="7"/>
  <c r="I3446" i="7"/>
  <c r="I3447" i="7"/>
  <c r="I3448" i="7"/>
  <c r="I3449" i="7"/>
  <c r="I3450" i="7"/>
  <c r="I3451" i="7"/>
  <c r="I3452" i="7"/>
  <c r="I3453" i="7"/>
  <c r="I3454" i="7"/>
  <c r="I3455" i="7"/>
  <c r="I3456" i="7"/>
  <c r="I3457" i="7"/>
  <c r="I3458" i="7"/>
  <c r="I3459" i="7"/>
  <c r="I3460" i="7"/>
  <c r="I3461" i="7"/>
  <c r="I3462" i="7"/>
  <c r="I3463" i="7"/>
  <c r="I3464" i="7"/>
  <c r="I3465" i="7"/>
  <c r="I3466" i="7"/>
  <c r="I3467" i="7"/>
  <c r="I3468" i="7"/>
  <c r="I3469" i="7"/>
  <c r="I3470" i="7"/>
  <c r="I3471" i="7"/>
  <c r="I3472" i="7"/>
  <c r="I3473" i="7"/>
  <c r="I3474" i="7"/>
  <c r="I3475" i="7"/>
  <c r="I3476" i="7"/>
  <c r="I3477" i="7"/>
  <c r="I3478" i="7"/>
  <c r="I3479" i="7"/>
  <c r="I3480" i="7"/>
  <c r="I3481" i="7"/>
  <c r="I3482" i="7"/>
  <c r="I3483" i="7"/>
  <c r="I3484" i="7"/>
  <c r="I3485" i="7"/>
  <c r="I3486" i="7"/>
  <c r="I3487" i="7"/>
  <c r="I3488" i="7"/>
  <c r="I3489" i="7"/>
  <c r="I3490" i="7"/>
  <c r="I3491" i="7"/>
  <c r="I3492" i="7"/>
  <c r="I3493" i="7"/>
  <c r="I3494" i="7"/>
  <c r="I3495" i="7"/>
  <c r="I3496" i="7"/>
  <c r="I3497" i="7"/>
  <c r="I3498" i="7"/>
  <c r="I3499" i="7"/>
  <c r="I3500" i="7"/>
  <c r="I3501" i="7"/>
  <c r="I3502" i="7"/>
  <c r="I3503" i="7"/>
  <c r="I3504" i="7"/>
  <c r="I3505" i="7"/>
  <c r="I3506" i="7"/>
  <c r="I3507" i="7"/>
  <c r="I3508" i="7"/>
  <c r="I3509" i="7"/>
  <c r="I3510" i="7"/>
  <c r="I3511" i="7"/>
  <c r="I3512" i="7"/>
  <c r="I3513" i="7"/>
  <c r="I3514" i="7"/>
  <c r="I3515" i="7"/>
  <c r="I3516" i="7"/>
  <c r="I3517" i="7"/>
  <c r="I3518" i="7"/>
  <c r="I3519" i="7"/>
  <c r="I3520" i="7"/>
  <c r="I3521" i="7"/>
  <c r="I3522" i="7"/>
  <c r="I3523" i="7"/>
  <c r="I3524" i="7"/>
  <c r="I3525" i="7"/>
  <c r="I3526" i="7"/>
  <c r="I3527" i="7"/>
  <c r="I3528" i="7"/>
  <c r="I3529" i="7"/>
  <c r="I3530" i="7"/>
  <c r="I3531" i="7"/>
  <c r="I3532" i="7"/>
  <c r="I3533" i="7"/>
  <c r="I3534" i="7"/>
  <c r="I3535" i="7"/>
  <c r="I3536" i="7"/>
  <c r="I3537" i="7"/>
  <c r="I3538" i="7"/>
  <c r="I3539" i="7"/>
  <c r="I3540" i="7"/>
  <c r="I3541" i="7"/>
  <c r="I3542" i="7"/>
  <c r="I3543" i="7"/>
  <c r="I3544" i="7"/>
  <c r="I3545" i="7"/>
  <c r="I3546" i="7"/>
  <c r="I3547" i="7"/>
  <c r="I3548" i="7"/>
  <c r="I3549" i="7"/>
  <c r="I3550" i="7"/>
  <c r="I3551" i="7"/>
  <c r="I3552" i="7"/>
  <c r="I3553" i="7"/>
  <c r="I3554" i="7"/>
  <c r="I3555" i="7"/>
  <c r="I3556" i="7"/>
  <c r="I3557" i="7"/>
  <c r="I3558" i="7"/>
  <c r="I3559" i="7"/>
  <c r="I3560" i="7"/>
  <c r="I3561" i="7"/>
  <c r="I3562" i="7"/>
  <c r="I3563" i="7"/>
  <c r="I3564" i="7"/>
  <c r="I3565" i="7"/>
  <c r="I3566" i="7"/>
  <c r="I3567" i="7"/>
  <c r="I3568" i="7"/>
  <c r="I3569" i="7"/>
  <c r="I3570" i="7"/>
  <c r="I3571" i="7"/>
  <c r="I3572" i="7"/>
  <c r="I3573" i="7"/>
  <c r="I3574" i="7"/>
  <c r="I3575" i="7"/>
  <c r="I3576" i="7"/>
  <c r="I3577" i="7"/>
  <c r="I3578" i="7"/>
  <c r="I3579" i="7"/>
  <c r="I3580" i="7"/>
  <c r="I3581" i="7"/>
  <c r="I3582" i="7"/>
  <c r="I3583" i="7"/>
  <c r="I3584" i="7"/>
  <c r="I3585" i="7"/>
  <c r="I3586" i="7"/>
  <c r="I3587" i="7"/>
  <c r="I3588" i="7"/>
  <c r="I3589" i="7"/>
  <c r="I3590" i="7"/>
  <c r="I3591" i="7"/>
  <c r="I3592" i="7"/>
  <c r="I3593" i="7"/>
  <c r="I3594" i="7"/>
  <c r="I3595" i="7"/>
  <c r="I3596" i="7"/>
  <c r="I3597" i="7"/>
  <c r="I3598" i="7"/>
  <c r="I3599" i="7"/>
  <c r="I3600" i="7"/>
  <c r="I3601" i="7"/>
  <c r="I3602" i="7"/>
  <c r="I3603" i="7"/>
  <c r="I3604" i="7"/>
  <c r="I3605" i="7"/>
  <c r="I3606" i="7"/>
  <c r="I3607" i="7"/>
  <c r="I3608" i="7"/>
  <c r="I3609" i="7"/>
  <c r="I3610" i="7"/>
  <c r="I3611" i="7"/>
  <c r="I3612" i="7"/>
  <c r="I3613" i="7"/>
  <c r="I3614" i="7"/>
  <c r="I3615" i="7"/>
  <c r="I3616" i="7"/>
  <c r="I3617" i="7"/>
  <c r="I3618" i="7"/>
  <c r="I3619" i="7"/>
  <c r="I3620" i="7"/>
  <c r="I3621" i="7"/>
  <c r="I3622" i="7"/>
  <c r="I3623" i="7"/>
  <c r="I3624" i="7"/>
  <c r="I3625" i="7"/>
  <c r="I3626" i="7"/>
  <c r="I3627" i="7"/>
  <c r="I3628" i="7"/>
  <c r="I3629" i="7"/>
  <c r="I3630" i="7"/>
  <c r="I3631" i="7"/>
  <c r="I3632" i="7"/>
  <c r="I3633" i="7"/>
  <c r="I3634" i="7"/>
  <c r="I3635" i="7"/>
  <c r="I3636" i="7"/>
  <c r="I3637" i="7"/>
  <c r="I3638" i="7"/>
  <c r="I3639" i="7"/>
  <c r="I3640" i="7"/>
  <c r="I3641" i="7"/>
  <c r="I3642" i="7"/>
  <c r="I3643" i="7"/>
  <c r="I3644" i="7"/>
  <c r="I3645" i="7"/>
  <c r="I3646" i="7"/>
  <c r="I3647" i="7"/>
  <c r="I3648" i="7"/>
  <c r="I3649" i="7"/>
  <c r="I3650" i="7"/>
  <c r="I3651" i="7"/>
  <c r="I3652" i="7"/>
  <c r="I3653" i="7"/>
  <c r="I3654" i="7"/>
  <c r="I3655" i="7"/>
  <c r="I3656" i="7"/>
  <c r="I3657" i="7"/>
  <c r="I3658" i="7"/>
  <c r="I3659" i="7"/>
  <c r="I3660" i="7"/>
  <c r="I3661" i="7"/>
  <c r="I3662" i="7"/>
  <c r="I3663" i="7"/>
  <c r="I3664" i="7"/>
  <c r="I3665" i="7"/>
  <c r="I3666" i="7"/>
  <c r="I3667" i="7"/>
  <c r="I3668" i="7"/>
  <c r="I3669" i="7"/>
  <c r="I3670" i="7"/>
  <c r="I3671" i="7"/>
  <c r="I3672" i="7"/>
  <c r="I3673" i="7"/>
  <c r="I3674" i="7"/>
  <c r="I3675" i="7"/>
  <c r="I3676" i="7"/>
  <c r="I3677" i="7"/>
  <c r="I3678" i="7"/>
  <c r="I3679" i="7"/>
  <c r="I3680" i="7"/>
  <c r="I3681" i="7"/>
  <c r="I3682" i="7"/>
  <c r="I3683" i="7"/>
  <c r="I3684" i="7"/>
  <c r="I3685" i="7"/>
  <c r="I3686" i="7"/>
  <c r="I3687" i="7"/>
  <c r="I3688" i="7"/>
  <c r="I3689" i="7"/>
  <c r="I3690" i="7"/>
  <c r="I3691" i="7"/>
  <c r="I3692" i="7"/>
  <c r="I3693" i="7"/>
  <c r="I3694" i="7"/>
  <c r="I3695" i="7"/>
  <c r="I3696" i="7"/>
  <c r="I3697" i="7"/>
  <c r="I3698" i="7"/>
  <c r="I3699" i="7"/>
  <c r="I3700" i="7"/>
  <c r="I3701" i="7"/>
  <c r="I3702" i="7"/>
  <c r="I3703" i="7"/>
  <c r="I3704" i="7"/>
  <c r="I3705" i="7"/>
  <c r="I3706" i="7"/>
  <c r="I3707" i="7"/>
  <c r="I3708" i="7"/>
  <c r="I3709" i="7"/>
  <c r="I3710" i="7"/>
  <c r="I3711" i="7"/>
  <c r="I3712" i="7"/>
  <c r="I3713" i="7"/>
  <c r="I3714" i="7"/>
  <c r="I3715" i="7"/>
  <c r="I3716" i="7"/>
  <c r="I3717" i="7"/>
  <c r="I3718" i="7"/>
  <c r="I3719" i="7"/>
  <c r="I3720" i="7"/>
  <c r="I3721" i="7"/>
  <c r="I3722" i="7"/>
  <c r="I3723" i="7"/>
  <c r="I3724" i="7"/>
  <c r="I3725" i="7"/>
  <c r="I3726" i="7"/>
  <c r="I3727" i="7"/>
  <c r="I3728" i="7"/>
  <c r="I3729" i="7"/>
  <c r="I3730" i="7"/>
  <c r="I3731" i="7"/>
  <c r="I3732" i="7"/>
  <c r="I3733" i="7"/>
  <c r="I3734" i="7"/>
  <c r="I3735" i="7"/>
  <c r="I3736" i="7"/>
  <c r="I3737" i="7"/>
  <c r="I3738" i="7"/>
  <c r="I3739" i="7"/>
  <c r="I3740" i="7"/>
  <c r="I3741" i="7"/>
  <c r="I3742" i="7"/>
  <c r="I3743" i="7"/>
  <c r="I3744" i="7"/>
  <c r="I3745" i="7"/>
  <c r="I3746" i="7"/>
  <c r="I3747" i="7"/>
  <c r="I3748" i="7"/>
  <c r="I3749" i="7"/>
  <c r="I3750" i="7"/>
  <c r="I3751" i="7"/>
  <c r="I3752" i="7"/>
  <c r="I3753" i="7"/>
  <c r="I3754" i="7"/>
  <c r="I3755" i="7"/>
  <c r="I3756" i="7"/>
  <c r="I3757" i="7"/>
  <c r="I3758" i="7"/>
  <c r="I3759" i="7"/>
  <c r="I3760" i="7"/>
  <c r="I3761" i="7"/>
  <c r="I3762" i="7"/>
  <c r="I3763" i="7"/>
  <c r="I3764" i="7"/>
  <c r="I3765" i="7"/>
  <c r="I3766" i="7"/>
  <c r="I3767" i="7"/>
  <c r="I3768" i="7"/>
  <c r="I3769" i="7"/>
  <c r="I3770" i="7"/>
  <c r="I3771" i="7"/>
  <c r="I3772" i="7"/>
  <c r="I3773" i="7"/>
  <c r="I3774" i="7"/>
  <c r="I3775" i="7"/>
  <c r="I3776" i="7"/>
  <c r="I3777" i="7"/>
  <c r="I3778" i="7"/>
  <c r="I3779" i="7"/>
  <c r="I3780" i="7"/>
  <c r="I3781" i="7"/>
  <c r="I3782" i="7"/>
  <c r="I3783" i="7"/>
  <c r="I3784" i="7"/>
  <c r="I3785" i="7"/>
  <c r="I3786" i="7"/>
  <c r="I3787" i="7"/>
  <c r="I3788" i="7"/>
  <c r="I3789" i="7"/>
  <c r="I3790" i="7"/>
  <c r="I3791" i="7"/>
  <c r="I3792" i="7"/>
  <c r="I3793" i="7"/>
  <c r="I3794" i="7"/>
  <c r="I3795" i="7"/>
  <c r="I3796" i="7"/>
  <c r="I3797" i="7"/>
  <c r="I3798" i="7"/>
  <c r="I3799" i="7"/>
  <c r="I3800" i="7"/>
  <c r="I3801" i="7"/>
  <c r="I3802" i="7"/>
  <c r="I3803" i="7"/>
  <c r="I3804" i="7"/>
  <c r="I3805" i="7"/>
  <c r="I3806" i="7"/>
  <c r="I3807" i="7"/>
  <c r="I3808" i="7"/>
  <c r="I3809" i="7"/>
  <c r="I3810" i="7"/>
  <c r="I3811" i="7"/>
  <c r="I3812" i="7"/>
  <c r="I3813" i="7"/>
  <c r="I3814" i="7"/>
  <c r="I3815" i="7"/>
  <c r="I3816" i="7"/>
  <c r="I3817" i="7"/>
  <c r="I3818" i="7"/>
  <c r="I3819" i="7"/>
  <c r="I3820" i="7"/>
  <c r="I3821" i="7"/>
  <c r="I3822" i="7"/>
  <c r="I3823" i="7"/>
  <c r="I3824" i="7"/>
  <c r="I3825" i="7"/>
  <c r="I3826" i="7"/>
  <c r="I3827" i="7"/>
  <c r="I3828" i="7"/>
  <c r="I3829" i="7"/>
  <c r="I3830" i="7"/>
  <c r="I3831" i="7"/>
  <c r="I3832" i="7"/>
  <c r="I3833" i="7"/>
  <c r="I3834" i="7"/>
  <c r="I3835" i="7"/>
  <c r="I3836" i="7"/>
  <c r="I3837" i="7"/>
  <c r="I3838" i="7"/>
  <c r="I3839" i="7"/>
  <c r="I3840" i="7"/>
  <c r="I3841" i="7"/>
  <c r="I3842" i="7"/>
  <c r="I3843" i="7"/>
  <c r="I3844" i="7"/>
  <c r="I3845" i="7"/>
  <c r="I3846" i="7"/>
  <c r="I3847" i="7"/>
  <c r="I3848" i="7"/>
  <c r="I3849" i="7"/>
  <c r="I3850" i="7"/>
  <c r="I3851" i="7"/>
  <c r="I3852" i="7"/>
  <c r="I3853" i="7"/>
  <c r="I3854" i="7"/>
  <c r="I3855" i="7"/>
  <c r="I3856" i="7"/>
  <c r="I3857" i="7"/>
  <c r="I3858" i="7"/>
  <c r="I3859" i="7"/>
  <c r="I3860" i="7"/>
  <c r="I3861" i="7"/>
  <c r="I3862" i="7"/>
  <c r="I3863" i="7"/>
  <c r="I3864" i="7"/>
  <c r="I3865" i="7"/>
  <c r="I3866" i="7"/>
  <c r="I3867" i="7"/>
  <c r="I3868" i="7"/>
  <c r="I3869" i="7"/>
  <c r="I3870" i="7"/>
  <c r="I3871" i="7"/>
  <c r="I3872" i="7"/>
  <c r="I3873" i="7"/>
  <c r="I3874" i="7"/>
  <c r="I3875" i="7"/>
  <c r="I3876" i="7"/>
  <c r="I3877" i="7"/>
  <c r="I3878" i="7"/>
  <c r="I3879" i="7"/>
  <c r="I3880" i="7"/>
  <c r="I3881" i="7"/>
  <c r="I3882" i="7"/>
  <c r="I3883" i="7"/>
  <c r="I3884" i="7"/>
  <c r="I3885" i="7"/>
  <c r="I3886" i="7"/>
  <c r="I3887" i="7"/>
  <c r="I3888" i="7"/>
  <c r="I3889" i="7"/>
  <c r="I3890" i="7"/>
  <c r="I3891" i="7"/>
  <c r="I3892" i="7"/>
  <c r="I3893" i="7"/>
  <c r="I3894" i="7"/>
  <c r="I3895" i="7"/>
  <c r="I3896" i="7"/>
  <c r="I3897" i="7"/>
  <c r="I3898" i="7"/>
  <c r="I3899" i="7"/>
  <c r="I3900" i="7"/>
  <c r="I3901" i="7"/>
  <c r="I3902" i="7"/>
  <c r="I3903" i="7"/>
  <c r="I3904" i="7"/>
  <c r="I3905" i="7"/>
  <c r="I3906" i="7"/>
  <c r="I3907" i="7"/>
  <c r="I3908" i="7"/>
  <c r="I3909" i="7"/>
  <c r="I3910" i="7"/>
  <c r="I3911" i="7"/>
  <c r="I3912" i="7"/>
  <c r="I3913" i="7"/>
  <c r="I3914" i="7"/>
  <c r="I3915" i="7"/>
  <c r="I3916" i="7"/>
  <c r="I3917" i="7"/>
  <c r="I3918" i="7"/>
  <c r="I3919" i="7"/>
  <c r="I3920" i="7"/>
  <c r="I3921" i="7"/>
  <c r="I3922" i="7"/>
  <c r="I3923" i="7"/>
  <c r="I3924" i="7"/>
  <c r="I3925" i="7"/>
  <c r="I3926" i="7"/>
  <c r="I3927" i="7"/>
  <c r="I3928" i="7"/>
  <c r="I3929" i="7"/>
  <c r="I3930" i="7"/>
  <c r="I3931" i="7"/>
  <c r="I3932" i="7"/>
  <c r="I3933" i="7"/>
  <c r="I3934" i="7"/>
  <c r="I3935" i="7"/>
  <c r="I3936" i="7"/>
  <c r="I3937" i="7"/>
  <c r="I3938" i="7"/>
  <c r="I3939" i="7"/>
  <c r="I3940" i="7"/>
  <c r="I3941" i="7"/>
  <c r="I3942" i="7"/>
  <c r="I3943" i="7"/>
  <c r="I3944" i="7"/>
  <c r="I3945" i="7"/>
  <c r="I3946" i="7"/>
  <c r="I3947" i="7"/>
  <c r="I3948" i="7"/>
  <c r="I3949" i="7"/>
  <c r="I3950" i="7"/>
  <c r="I3951" i="7"/>
  <c r="I3952" i="7"/>
  <c r="I3953" i="7"/>
  <c r="I3954" i="7"/>
  <c r="I3955" i="7"/>
  <c r="I3956" i="7"/>
  <c r="I3957" i="7"/>
  <c r="I3958" i="7"/>
  <c r="I3959" i="7"/>
  <c r="I3960" i="7"/>
  <c r="I3961" i="7"/>
  <c r="I3962" i="7"/>
  <c r="I3963" i="7"/>
  <c r="I3964" i="7"/>
  <c r="I3965" i="7"/>
  <c r="I3966" i="7"/>
  <c r="I3967" i="7"/>
  <c r="I3968" i="7"/>
  <c r="I3969" i="7"/>
  <c r="I3970" i="7"/>
  <c r="I3971" i="7"/>
  <c r="I3972" i="7"/>
  <c r="I3973" i="7"/>
  <c r="I3974" i="7"/>
  <c r="I3975" i="7"/>
  <c r="I3976" i="7"/>
  <c r="I3977" i="7"/>
  <c r="I3978" i="7"/>
  <c r="I3979" i="7"/>
  <c r="I3980" i="7"/>
  <c r="I3981" i="7"/>
  <c r="I3982" i="7"/>
  <c r="I3983" i="7"/>
  <c r="I3984" i="7"/>
  <c r="I3985" i="7"/>
  <c r="I3986" i="7"/>
  <c r="I3987" i="7"/>
  <c r="I3988" i="7"/>
  <c r="I3989" i="7"/>
  <c r="I3990" i="7"/>
  <c r="I3991" i="7"/>
  <c r="I3992" i="7"/>
  <c r="I3993" i="7"/>
  <c r="I3994" i="7"/>
  <c r="I3995" i="7"/>
  <c r="I3996" i="7"/>
  <c r="I3997" i="7"/>
  <c r="I3998" i="7"/>
  <c r="I3999" i="7"/>
  <c r="I4000" i="7"/>
  <c r="I4001" i="7"/>
  <c r="I4002" i="7"/>
  <c r="I4003" i="7"/>
  <c r="I4004" i="7"/>
  <c r="I4005" i="7"/>
  <c r="I4006" i="7"/>
  <c r="I4007" i="7"/>
  <c r="I4008" i="7"/>
  <c r="I4009" i="7"/>
  <c r="I4010" i="7"/>
  <c r="I4011" i="7"/>
  <c r="I4012" i="7"/>
  <c r="I4013" i="7"/>
  <c r="I4014" i="7"/>
  <c r="I4015" i="7"/>
  <c r="I4016" i="7"/>
  <c r="I4017" i="7"/>
  <c r="I4018" i="7"/>
  <c r="I4019" i="7"/>
  <c r="I4020" i="7"/>
  <c r="I4021" i="7"/>
  <c r="I4022" i="7"/>
  <c r="I4023" i="7"/>
  <c r="I4024" i="7"/>
  <c r="I4025" i="7"/>
  <c r="I4026" i="7"/>
  <c r="I4027" i="7"/>
  <c r="I4028" i="7"/>
  <c r="I4029" i="7"/>
  <c r="I4030" i="7"/>
  <c r="I4031" i="7"/>
  <c r="I4032" i="7"/>
  <c r="I4033" i="7"/>
  <c r="I4034" i="7"/>
  <c r="I4035" i="7"/>
  <c r="I4036" i="7"/>
  <c r="I4037" i="7"/>
  <c r="I4038" i="7"/>
  <c r="I4039" i="7"/>
  <c r="I4040" i="7"/>
  <c r="I4041" i="7"/>
  <c r="I4042" i="7"/>
  <c r="I4043" i="7"/>
  <c r="I4044" i="7"/>
  <c r="I4045" i="7"/>
  <c r="I4046" i="7"/>
  <c r="I4047" i="7"/>
  <c r="I4048" i="7"/>
  <c r="I4049" i="7"/>
  <c r="I4050" i="7"/>
  <c r="I4051" i="7"/>
  <c r="I4052" i="7"/>
  <c r="I4053" i="7"/>
  <c r="I4054" i="7"/>
  <c r="I4055" i="7"/>
  <c r="I4056" i="7"/>
  <c r="I4057" i="7"/>
  <c r="I4058" i="7"/>
  <c r="I4059" i="7"/>
  <c r="I4060" i="7"/>
  <c r="I4061" i="7"/>
  <c r="I4062" i="7"/>
  <c r="I4063" i="7"/>
  <c r="I4064" i="7"/>
  <c r="I4065" i="7"/>
  <c r="I4066" i="7"/>
  <c r="I4067" i="7"/>
  <c r="I4068" i="7"/>
  <c r="I4069" i="7"/>
  <c r="I4070" i="7"/>
  <c r="I4071" i="7"/>
  <c r="I4072" i="7"/>
  <c r="I4073" i="7"/>
  <c r="I4074" i="7"/>
  <c r="I4075" i="7"/>
  <c r="I4076" i="7"/>
  <c r="I4077" i="7"/>
  <c r="I4078" i="7"/>
  <c r="I4079" i="7"/>
  <c r="I4080" i="7"/>
  <c r="I4081" i="7"/>
  <c r="I4082" i="7"/>
  <c r="I4083" i="7"/>
  <c r="I4084" i="7"/>
  <c r="I4085" i="7"/>
  <c r="I4086" i="7"/>
  <c r="I4087" i="7"/>
  <c r="I4088" i="7"/>
  <c r="I4089" i="7"/>
  <c r="I4090" i="7"/>
  <c r="I4091" i="7"/>
  <c r="I4092" i="7"/>
  <c r="I4093" i="7"/>
  <c r="I4094" i="7"/>
  <c r="I4095" i="7"/>
  <c r="I4096" i="7"/>
  <c r="I4097" i="7"/>
  <c r="I4098" i="7"/>
  <c r="I4099" i="7"/>
  <c r="I4100" i="7"/>
  <c r="I4101" i="7"/>
  <c r="I4102" i="7"/>
  <c r="I4103" i="7"/>
  <c r="I4104" i="7"/>
  <c r="I4105" i="7"/>
  <c r="I4106" i="7"/>
  <c r="I4107" i="7"/>
  <c r="I4108" i="7"/>
  <c r="I4109" i="7"/>
  <c r="I4110" i="7"/>
  <c r="I4111" i="7"/>
  <c r="I4112" i="7"/>
  <c r="I4113" i="7"/>
  <c r="I4114" i="7"/>
  <c r="I4115" i="7"/>
  <c r="I4116" i="7"/>
  <c r="I4117" i="7"/>
  <c r="I4118" i="7"/>
  <c r="I4119" i="7"/>
  <c r="I4120" i="7"/>
  <c r="I4121" i="7"/>
  <c r="I4122" i="7"/>
  <c r="I4123" i="7"/>
  <c r="I4124" i="7"/>
  <c r="I4125" i="7"/>
  <c r="I4126" i="7"/>
  <c r="I4127" i="7"/>
  <c r="I4128" i="7"/>
  <c r="I4129" i="7"/>
  <c r="I4130" i="7"/>
  <c r="I4131" i="7"/>
  <c r="I4132" i="7"/>
  <c r="I4133" i="7"/>
  <c r="I4134" i="7"/>
  <c r="I4135" i="7"/>
  <c r="I4136" i="7"/>
  <c r="I4137" i="7"/>
  <c r="I4138" i="7"/>
  <c r="I4139" i="7"/>
  <c r="I4140" i="7"/>
  <c r="I4141" i="7"/>
  <c r="I4142" i="7"/>
  <c r="I4143" i="7"/>
  <c r="I4144" i="7"/>
  <c r="I4145" i="7"/>
  <c r="I4146" i="7"/>
  <c r="I4147" i="7"/>
  <c r="I4148" i="7"/>
  <c r="I4149" i="7"/>
  <c r="I4150" i="7"/>
  <c r="I4151" i="7"/>
  <c r="I4152" i="7"/>
  <c r="I4153" i="7"/>
  <c r="I4154" i="7"/>
  <c r="I4155" i="7"/>
  <c r="I4156" i="7"/>
  <c r="I4157" i="7"/>
  <c r="I4158" i="7"/>
  <c r="I4159" i="7"/>
  <c r="I4160" i="7"/>
  <c r="I4161" i="7"/>
  <c r="I4162" i="7"/>
  <c r="I4163" i="7"/>
  <c r="I4164" i="7"/>
  <c r="I4165" i="7"/>
  <c r="I4166" i="7"/>
  <c r="I4167" i="7"/>
  <c r="I4168" i="7"/>
  <c r="I4169" i="7"/>
  <c r="I4170" i="7"/>
  <c r="I4171" i="7"/>
  <c r="I4172" i="7"/>
  <c r="I4173" i="7"/>
  <c r="I4174" i="7"/>
  <c r="I4175" i="7"/>
  <c r="I4176" i="7"/>
  <c r="I4177" i="7"/>
  <c r="I4178" i="7"/>
  <c r="I4179" i="7"/>
  <c r="I4180" i="7"/>
  <c r="I4181" i="7"/>
  <c r="I4182" i="7"/>
  <c r="I4183" i="7"/>
  <c r="I4184" i="7"/>
  <c r="I4185" i="7"/>
  <c r="I4186" i="7"/>
  <c r="I4187" i="7"/>
  <c r="I4188" i="7"/>
  <c r="I4189" i="7"/>
  <c r="I4190" i="7"/>
  <c r="I4191" i="7"/>
  <c r="I4192" i="7"/>
  <c r="I4193" i="7"/>
  <c r="I4194" i="7"/>
  <c r="I4195" i="7"/>
  <c r="I4196" i="7"/>
  <c r="I4197" i="7"/>
  <c r="I4198" i="7"/>
  <c r="I4199" i="7"/>
  <c r="I4200" i="7"/>
  <c r="I4201" i="7"/>
  <c r="I4202" i="7"/>
  <c r="I4203" i="7"/>
  <c r="I4204" i="7"/>
  <c r="I4205" i="7"/>
  <c r="I4206" i="7"/>
  <c r="I4207" i="7"/>
  <c r="I4208" i="7"/>
  <c r="I4209" i="7"/>
  <c r="I4210" i="7"/>
  <c r="I4211" i="7"/>
  <c r="I4212" i="7"/>
  <c r="I4213" i="7"/>
  <c r="I4214" i="7"/>
  <c r="I4215" i="7"/>
  <c r="I4216" i="7"/>
  <c r="I4217" i="7"/>
  <c r="I4218" i="7"/>
  <c r="I4219" i="7"/>
  <c r="I4220" i="7"/>
  <c r="I4221" i="7"/>
  <c r="I4222" i="7"/>
  <c r="I4223" i="7"/>
  <c r="I4224" i="7"/>
  <c r="I4225" i="7"/>
  <c r="I4226" i="7"/>
  <c r="I4227" i="7"/>
  <c r="I4228" i="7"/>
  <c r="I4229" i="7"/>
  <c r="I4230" i="7"/>
  <c r="I4231" i="7"/>
  <c r="I4232" i="7"/>
  <c r="I4233" i="7"/>
  <c r="I4234" i="7"/>
  <c r="I4235" i="7"/>
  <c r="I4236" i="7"/>
  <c r="I4237" i="7"/>
  <c r="I4238" i="7"/>
  <c r="I4239" i="7"/>
  <c r="I4240" i="7"/>
  <c r="I4241" i="7"/>
  <c r="I4242" i="7"/>
  <c r="I4243" i="7"/>
  <c r="I4244" i="7"/>
  <c r="I4245" i="7"/>
  <c r="I4246" i="7"/>
  <c r="I4247" i="7"/>
  <c r="I4248" i="7"/>
  <c r="I4249" i="7"/>
  <c r="I4250" i="7"/>
  <c r="I4251" i="7"/>
  <c r="I4252" i="7"/>
  <c r="I4253" i="7"/>
  <c r="I4254" i="7"/>
  <c r="I4255" i="7"/>
  <c r="I4256" i="7"/>
  <c r="I4257" i="7"/>
  <c r="I4258" i="7"/>
  <c r="I4259" i="7"/>
  <c r="I4260" i="7"/>
  <c r="I4261" i="7"/>
  <c r="I4262" i="7"/>
  <c r="I4263" i="7"/>
  <c r="I4264" i="7"/>
  <c r="I4265" i="7"/>
  <c r="I4266" i="7"/>
  <c r="I4267" i="7"/>
  <c r="I4268" i="7"/>
  <c r="I4269" i="7"/>
  <c r="I4270" i="7"/>
  <c r="I4271" i="7"/>
  <c r="I4272" i="7"/>
  <c r="I4273" i="7"/>
  <c r="I4274" i="7"/>
  <c r="I4275" i="7"/>
  <c r="I4276" i="7"/>
  <c r="I4277" i="7"/>
  <c r="I4278" i="7"/>
  <c r="I4279" i="7"/>
  <c r="I4280" i="7"/>
  <c r="I4281" i="7"/>
  <c r="I4282" i="7"/>
  <c r="I4283" i="7"/>
  <c r="I4284" i="7"/>
  <c r="I4285" i="7"/>
  <c r="I4286" i="7"/>
  <c r="I4287" i="7"/>
  <c r="I4288" i="7"/>
  <c r="I4289" i="7"/>
  <c r="I4290" i="7"/>
  <c r="I4291" i="7"/>
  <c r="I4292" i="7"/>
  <c r="I4293" i="7"/>
  <c r="I4294" i="7"/>
  <c r="I4295" i="7"/>
  <c r="I4296" i="7"/>
  <c r="I4297" i="7"/>
  <c r="I4298" i="7"/>
  <c r="I4299" i="7"/>
  <c r="I4300" i="7"/>
  <c r="I4301" i="7"/>
  <c r="I4302" i="7"/>
  <c r="I4303" i="7"/>
  <c r="I4304" i="7"/>
  <c r="I4305" i="7"/>
  <c r="I4306" i="7"/>
  <c r="I4307" i="7"/>
  <c r="I4308" i="7"/>
  <c r="I4309" i="7"/>
  <c r="I4310" i="7"/>
  <c r="I4311" i="7"/>
  <c r="I4312" i="7"/>
  <c r="I4313" i="7"/>
  <c r="I4314" i="7"/>
  <c r="I4315" i="7"/>
  <c r="I4316" i="7"/>
  <c r="I4317" i="7"/>
  <c r="I4318" i="7"/>
  <c r="I4319" i="7"/>
  <c r="I4320" i="7"/>
  <c r="I4321" i="7"/>
  <c r="I4322" i="7"/>
  <c r="I4323" i="7"/>
  <c r="I4324" i="7"/>
  <c r="I4325" i="7"/>
  <c r="I4326" i="7"/>
  <c r="I4327" i="7"/>
  <c r="I4328" i="7"/>
  <c r="I4329" i="7"/>
  <c r="I4330" i="7"/>
  <c r="I4331" i="7"/>
  <c r="I4332" i="7"/>
  <c r="I4333" i="7"/>
  <c r="I4334" i="7"/>
  <c r="I4335" i="7"/>
  <c r="I4336" i="7"/>
  <c r="I4337" i="7"/>
  <c r="I4338" i="7"/>
  <c r="I4339" i="7"/>
  <c r="I4340" i="7"/>
  <c r="I4341" i="7"/>
  <c r="I4342" i="7"/>
  <c r="I4343" i="7"/>
  <c r="I4344" i="7"/>
  <c r="I4345" i="7"/>
  <c r="I4346" i="7"/>
  <c r="I4347" i="7"/>
  <c r="I4348" i="7"/>
  <c r="I4349" i="7"/>
  <c r="I4350" i="7"/>
  <c r="I4351" i="7"/>
  <c r="I4352" i="7"/>
  <c r="I4353" i="7"/>
  <c r="I4354" i="7"/>
  <c r="I4355" i="7"/>
  <c r="I4356" i="7"/>
  <c r="I4357" i="7"/>
  <c r="I4358" i="7"/>
  <c r="I4359" i="7"/>
  <c r="I4360" i="7"/>
  <c r="I4361" i="7"/>
  <c r="I4362" i="7"/>
  <c r="I4363" i="7"/>
  <c r="I4364" i="7"/>
  <c r="I4365" i="7"/>
  <c r="I4366" i="7"/>
  <c r="I4367" i="7"/>
  <c r="I4368" i="7"/>
  <c r="I4369" i="7"/>
  <c r="I4370" i="7"/>
  <c r="I4371" i="7"/>
  <c r="I4372" i="7"/>
  <c r="I4373" i="7"/>
  <c r="I4374" i="7"/>
  <c r="I4375" i="7"/>
  <c r="I4376" i="7"/>
  <c r="I4377" i="7"/>
  <c r="I4378" i="7"/>
  <c r="I4379" i="7"/>
  <c r="I4380" i="7"/>
  <c r="I4381" i="7"/>
  <c r="I4382" i="7"/>
  <c r="I4383" i="7"/>
  <c r="I4384" i="7"/>
  <c r="I4385" i="7"/>
  <c r="I4386" i="7"/>
  <c r="I4387" i="7"/>
  <c r="I4388" i="7"/>
  <c r="I4389" i="7"/>
  <c r="I4390" i="7"/>
  <c r="I4391" i="7"/>
  <c r="I4392" i="7"/>
  <c r="I4393" i="7"/>
  <c r="I4394" i="7"/>
  <c r="I4395" i="7"/>
  <c r="I4396" i="7"/>
  <c r="I4397" i="7"/>
  <c r="I4398" i="7"/>
  <c r="I4399" i="7"/>
  <c r="I4400" i="7"/>
  <c r="I4401" i="7"/>
  <c r="I4402" i="7"/>
  <c r="I4403" i="7"/>
  <c r="I4404" i="7"/>
  <c r="I4405" i="7"/>
  <c r="I4406" i="7"/>
  <c r="I4407" i="7"/>
  <c r="I4408" i="7"/>
  <c r="I4409" i="7"/>
  <c r="I4410" i="7"/>
  <c r="I4411" i="7"/>
  <c r="I4412" i="7"/>
  <c r="I4413" i="7"/>
  <c r="I4414" i="7"/>
  <c r="I4415" i="7"/>
  <c r="I4416" i="7"/>
  <c r="I4417" i="7"/>
  <c r="I4418" i="7"/>
  <c r="I4419" i="7"/>
  <c r="I4420" i="7"/>
  <c r="I4421" i="7"/>
  <c r="I4422" i="7"/>
  <c r="I4423" i="7"/>
  <c r="I4424" i="7"/>
  <c r="I4425" i="7"/>
  <c r="I4426" i="7"/>
  <c r="I4427" i="7"/>
  <c r="I4428" i="7"/>
  <c r="I4429" i="7"/>
  <c r="I4430" i="7"/>
  <c r="I4431" i="7"/>
  <c r="I4432" i="7"/>
  <c r="I4433" i="7"/>
  <c r="I4434" i="7"/>
  <c r="I4435" i="7"/>
  <c r="I4436" i="7"/>
  <c r="I4437" i="7"/>
  <c r="I4438" i="7"/>
  <c r="I4439" i="7"/>
  <c r="I4440" i="7"/>
  <c r="I4441" i="7"/>
  <c r="I4442" i="7"/>
  <c r="I4443" i="7"/>
  <c r="I4444" i="7"/>
  <c r="I4445" i="7"/>
  <c r="I4446" i="7"/>
  <c r="I4447" i="7"/>
  <c r="I4448" i="7"/>
  <c r="I4449" i="7"/>
  <c r="I4450" i="7"/>
  <c r="I4451" i="7"/>
  <c r="I4452" i="7"/>
  <c r="I4453" i="7"/>
  <c r="I4454" i="7"/>
  <c r="I4455" i="7"/>
  <c r="I4456" i="7"/>
  <c r="I4457" i="7"/>
  <c r="I4458" i="7"/>
  <c r="I4459" i="7"/>
  <c r="I4460" i="7"/>
  <c r="I4461" i="7"/>
  <c r="I4462" i="7"/>
  <c r="I4463" i="7"/>
  <c r="I4464" i="7"/>
  <c r="I4465" i="7"/>
  <c r="I4466" i="7"/>
  <c r="I4467" i="7"/>
  <c r="I4468" i="7"/>
  <c r="I4469" i="7"/>
  <c r="I4470" i="7"/>
  <c r="I4471" i="7"/>
  <c r="I4472" i="7"/>
  <c r="I4473" i="7"/>
  <c r="I4474" i="7"/>
  <c r="I4475" i="7"/>
  <c r="I4476" i="7"/>
  <c r="I4477" i="7"/>
  <c r="I4478" i="7"/>
  <c r="I4479" i="7"/>
  <c r="I4480" i="7"/>
  <c r="I4481" i="7"/>
  <c r="I4482" i="7"/>
  <c r="I4483" i="7"/>
  <c r="I4484" i="7"/>
  <c r="I4485" i="7"/>
  <c r="I4486" i="7"/>
  <c r="I4487" i="7"/>
  <c r="I4488" i="7"/>
  <c r="I4489" i="7"/>
  <c r="I4490" i="7"/>
  <c r="I4491" i="7"/>
  <c r="I4492" i="7"/>
  <c r="I4493" i="7"/>
  <c r="I4494" i="7"/>
  <c r="I4495" i="7"/>
  <c r="I4496" i="7"/>
  <c r="I4497" i="7"/>
  <c r="I4498" i="7"/>
  <c r="I4499" i="7"/>
  <c r="I4500" i="7"/>
  <c r="I4501" i="7"/>
  <c r="I4502" i="7"/>
  <c r="I4503" i="7"/>
  <c r="I4504" i="7"/>
  <c r="I4505" i="7"/>
  <c r="I4506" i="7"/>
  <c r="I4507" i="7"/>
  <c r="I4508" i="7"/>
  <c r="I4509" i="7"/>
  <c r="I4510" i="7"/>
  <c r="I4511" i="7"/>
  <c r="I4512" i="7"/>
  <c r="I4513" i="7"/>
  <c r="I4514" i="7"/>
  <c r="I4515" i="7"/>
  <c r="I4516" i="7"/>
  <c r="I4517" i="7"/>
  <c r="I4518" i="7"/>
  <c r="I4519" i="7"/>
  <c r="I4520" i="7"/>
  <c r="I4521" i="7"/>
  <c r="I4522" i="7"/>
  <c r="I4523" i="7"/>
  <c r="I4524" i="7"/>
  <c r="I4525" i="7"/>
  <c r="I4526" i="7"/>
  <c r="I4527" i="7"/>
  <c r="I4528" i="7"/>
  <c r="I4529" i="7"/>
  <c r="I4530" i="7"/>
  <c r="I4531" i="7"/>
  <c r="I4532" i="7"/>
  <c r="I4533" i="7"/>
  <c r="I4534" i="7"/>
  <c r="I4535" i="7"/>
  <c r="I4536" i="7"/>
  <c r="I4537" i="7"/>
  <c r="I4538" i="7"/>
  <c r="I4539" i="7"/>
  <c r="I4540" i="7"/>
  <c r="I4541" i="7"/>
  <c r="I4542" i="7"/>
  <c r="I4543" i="7"/>
  <c r="I4544" i="7"/>
  <c r="I4545" i="7"/>
  <c r="I4546" i="7"/>
  <c r="I4547" i="7"/>
  <c r="I4548" i="7"/>
  <c r="I4549" i="7"/>
  <c r="I4550" i="7"/>
  <c r="I4551" i="7"/>
  <c r="I4552" i="7"/>
  <c r="I4553" i="7"/>
  <c r="I4554" i="7"/>
  <c r="I4555" i="7"/>
  <c r="I4556" i="7"/>
  <c r="I4557" i="7"/>
  <c r="I4558" i="7"/>
  <c r="I4559" i="7"/>
  <c r="I4560" i="7"/>
  <c r="I4561" i="7"/>
  <c r="I4562" i="7"/>
  <c r="I4563" i="7"/>
  <c r="I4564" i="7"/>
  <c r="I4565" i="7"/>
  <c r="I4566" i="7"/>
  <c r="I4567" i="7"/>
  <c r="I4568" i="7"/>
  <c r="I4569" i="7"/>
  <c r="I4570" i="7"/>
  <c r="I4571" i="7"/>
  <c r="I4572" i="7"/>
  <c r="I4573" i="7"/>
  <c r="I4574" i="7"/>
  <c r="I4575" i="7"/>
  <c r="I4576" i="7"/>
  <c r="I4577" i="7"/>
  <c r="I4578" i="7"/>
  <c r="I4579" i="7"/>
  <c r="I4580" i="7"/>
  <c r="I4581" i="7"/>
  <c r="I4582" i="7"/>
  <c r="I4583" i="7"/>
  <c r="I4584" i="7"/>
  <c r="I4585" i="7"/>
  <c r="I4586" i="7"/>
  <c r="I4587" i="7"/>
  <c r="I4588" i="7"/>
  <c r="I4589" i="7"/>
  <c r="I4590" i="7"/>
  <c r="I4591" i="7"/>
  <c r="I4592" i="7"/>
  <c r="I4593" i="7"/>
  <c r="I4594" i="7"/>
  <c r="I4595" i="7"/>
  <c r="I4596" i="7"/>
  <c r="I4597" i="7"/>
  <c r="I4598" i="7"/>
  <c r="I4599" i="7"/>
  <c r="I4600" i="7"/>
  <c r="I4601" i="7"/>
  <c r="I4602" i="7"/>
  <c r="I4603" i="7"/>
  <c r="I4604" i="7"/>
  <c r="I4605" i="7"/>
  <c r="I4606" i="7"/>
  <c r="I4607" i="7"/>
  <c r="I4608" i="7"/>
  <c r="I4609" i="7"/>
  <c r="I4610" i="7"/>
  <c r="I4611" i="7"/>
  <c r="I4612" i="7"/>
  <c r="I4613" i="7"/>
  <c r="I4614" i="7"/>
  <c r="I4615" i="7"/>
  <c r="I4616" i="7"/>
  <c r="I4617" i="7"/>
  <c r="I4618" i="7"/>
  <c r="I4619" i="7"/>
  <c r="I4620" i="7"/>
  <c r="I4621" i="7"/>
  <c r="I4622" i="7"/>
  <c r="I4623" i="7"/>
  <c r="I4624" i="7"/>
  <c r="I4625" i="7"/>
  <c r="I4626" i="7"/>
  <c r="I4627" i="7"/>
  <c r="I4628" i="7"/>
  <c r="I4629" i="7"/>
  <c r="I4630" i="7"/>
  <c r="I4631" i="7"/>
  <c r="I4632" i="7"/>
  <c r="I4633" i="7"/>
  <c r="I4634" i="7"/>
  <c r="I4635" i="7"/>
  <c r="I4636" i="7"/>
  <c r="I4637" i="7"/>
  <c r="I4638" i="7"/>
  <c r="I4639" i="7"/>
  <c r="I4640" i="7"/>
  <c r="I4641" i="7"/>
  <c r="I4642" i="7"/>
  <c r="I4643" i="7"/>
  <c r="I4644" i="7"/>
  <c r="I4645" i="7"/>
  <c r="I4646" i="7"/>
  <c r="I4647" i="7"/>
  <c r="I4648" i="7"/>
  <c r="I4649" i="7"/>
  <c r="I4650" i="7"/>
  <c r="I4651" i="7"/>
  <c r="I4652" i="7"/>
  <c r="I4653" i="7"/>
  <c r="I4654" i="7"/>
  <c r="I4655" i="7"/>
  <c r="I4656" i="7"/>
  <c r="I4657" i="7"/>
  <c r="I4658" i="7"/>
  <c r="I4659" i="7"/>
  <c r="I4660" i="7"/>
  <c r="I4661" i="7"/>
  <c r="I4662" i="7"/>
  <c r="I4663" i="7"/>
  <c r="I4664" i="7"/>
  <c r="I4665" i="7"/>
  <c r="I4666" i="7"/>
  <c r="I4667" i="7"/>
  <c r="I4668" i="7"/>
  <c r="I4669" i="7"/>
  <c r="I4670" i="7"/>
  <c r="I4671" i="7"/>
  <c r="I4672" i="7"/>
  <c r="I4673" i="7"/>
  <c r="I4674" i="7"/>
  <c r="I4675" i="7"/>
  <c r="I4676" i="7"/>
  <c r="I4677" i="7"/>
  <c r="I4678" i="7"/>
  <c r="I4679" i="7"/>
  <c r="I4680" i="7"/>
  <c r="I4681" i="7"/>
  <c r="I4682" i="7"/>
  <c r="I4683" i="7"/>
  <c r="I4684" i="7"/>
  <c r="I4685" i="7"/>
  <c r="I4686" i="7"/>
  <c r="I4687" i="7"/>
  <c r="I4688" i="7"/>
  <c r="I4689" i="7"/>
  <c r="I4690" i="7"/>
  <c r="I4691" i="7"/>
  <c r="I4692" i="7"/>
  <c r="I4693" i="7"/>
  <c r="I4694" i="7"/>
  <c r="I4695" i="7"/>
  <c r="I4696" i="7"/>
  <c r="I4697" i="7"/>
  <c r="I4698" i="7"/>
  <c r="I4699" i="7"/>
  <c r="I4700" i="7"/>
  <c r="I4701" i="7"/>
  <c r="I4702" i="7"/>
  <c r="I4703" i="7"/>
  <c r="I4704" i="7"/>
  <c r="I4705" i="7"/>
  <c r="I4706" i="7"/>
  <c r="I4707" i="7"/>
  <c r="I4708" i="7"/>
  <c r="I4709" i="7"/>
  <c r="I4710" i="7"/>
  <c r="I4711" i="7"/>
  <c r="I4712" i="7"/>
  <c r="I4713" i="7"/>
  <c r="I4714" i="7"/>
  <c r="I4715" i="7"/>
  <c r="I4716" i="7"/>
  <c r="I4717" i="7"/>
  <c r="I4718" i="7"/>
  <c r="I4719" i="7"/>
  <c r="I4720" i="7"/>
  <c r="I4721" i="7"/>
  <c r="I4722" i="7"/>
  <c r="I4723" i="7"/>
  <c r="I4724" i="7"/>
  <c r="I4725" i="7"/>
  <c r="I4726" i="7"/>
  <c r="I4727" i="7"/>
  <c r="I4728" i="7"/>
  <c r="I4729" i="7"/>
  <c r="I4730" i="7"/>
  <c r="I4731" i="7"/>
  <c r="I4732" i="7"/>
  <c r="I4733" i="7"/>
  <c r="I4734" i="7"/>
  <c r="I4735" i="7"/>
  <c r="I4736" i="7"/>
  <c r="I4737" i="7"/>
  <c r="I4738" i="7"/>
  <c r="I4739" i="7"/>
  <c r="I4740" i="7"/>
  <c r="I4741" i="7"/>
  <c r="I4742" i="7"/>
  <c r="I4743" i="7"/>
  <c r="I4744" i="7"/>
  <c r="I4745" i="7"/>
  <c r="I4746" i="7"/>
  <c r="I4747" i="7"/>
  <c r="I4748" i="7"/>
  <c r="I4749" i="7"/>
  <c r="I4750" i="7"/>
  <c r="I4751" i="7"/>
  <c r="I4752" i="7"/>
  <c r="I4753" i="7"/>
  <c r="I4754" i="7"/>
  <c r="I4755" i="7"/>
  <c r="I4756" i="7"/>
  <c r="I4757" i="7"/>
  <c r="I4758" i="7"/>
  <c r="I4759" i="7"/>
  <c r="I4760" i="7"/>
  <c r="I4761" i="7"/>
  <c r="I4762" i="7"/>
  <c r="I4763" i="7"/>
  <c r="I4764" i="7"/>
  <c r="I4765" i="7"/>
  <c r="I4766" i="7"/>
  <c r="I4767" i="7"/>
  <c r="I4768" i="7"/>
  <c r="I4769" i="7"/>
  <c r="I4770" i="7"/>
  <c r="I4771" i="7"/>
  <c r="I4772" i="7"/>
  <c r="I4773" i="7"/>
  <c r="I4774" i="7"/>
  <c r="I4775" i="7"/>
  <c r="I4776" i="7"/>
  <c r="I4777" i="7"/>
  <c r="I4778" i="7"/>
  <c r="I4779" i="7"/>
  <c r="I4780" i="7"/>
  <c r="I4781" i="7"/>
  <c r="I4782" i="7"/>
  <c r="I4783" i="7"/>
  <c r="I4784" i="7"/>
  <c r="I4785" i="7"/>
  <c r="I4786" i="7"/>
  <c r="I4787" i="7"/>
  <c r="I4788" i="7"/>
  <c r="I4789" i="7"/>
  <c r="I4790" i="7"/>
  <c r="I4791" i="7"/>
  <c r="I4792" i="7"/>
  <c r="I4793" i="7"/>
  <c r="I4794" i="7"/>
  <c r="I4795" i="7"/>
  <c r="I4796" i="7"/>
  <c r="I4797" i="7"/>
  <c r="I4798" i="7"/>
  <c r="I4799" i="7"/>
  <c r="I4800" i="7"/>
  <c r="I4801" i="7"/>
  <c r="I4802" i="7"/>
  <c r="I4803" i="7"/>
  <c r="I4804" i="7"/>
  <c r="I4805" i="7"/>
  <c r="I4806" i="7"/>
  <c r="I4807" i="7"/>
  <c r="I4808" i="7"/>
  <c r="I4809" i="7"/>
  <c r="I4810" i="7"/>
  <c r="I4811" i="7"/>
  <c r="I4812" i="7"/>
  <c r="I4813" i="7"/>
  <c r="I4814" i="7"/>
  <c r="I4815" i="7"/>
  <c r="I4816" i="7"/>
  <c r="I4817" i="7"/>
  <c r="I4818" i="7"/>
  <c r="I4819" i="7"/>
  <c r="I4820" i="7"/>
  <c r="I4821" i="7"/>
  <c r="I4822" i="7"/>
  <c r="I4823" i="7"/>
  <c r="I4824" i="7"/>
  <c r="I4825" i="7"/>
  <c r="I4826" i="7"/>
  <c r="I4827" i="7"/>
  <c r="I4828" i="7"/>
  <c r="I4829" i="7"/>
  <c r="I4830" i="7"/>
  <c r="I4831" i="7"/>
  <c r="I4832" i="7"/>
  <c r="I4833" i="7"/>
  <c r="I4834" i="7"/>
  <c r="I4835" i="7"/>
  <c r="I4836" i="7"/>
  <c r="I4837" i="7"/>
  <c r="I4838" i="7"/>
  <c r="I4839" i="7"/>
  <c r="I4840" i="7"/>
  <c r="I4841" i="7"/>
  <c r="I4842" i="7"/>
  <c r="I4843" i="7"/>
  <c r="I4844" i="7"/>
  <c r="I4845" i="7"/>
  <c r="I4846" i="7"/>
  <c r="I4847" i="7"/>
  <c r="I4848" i="7"/>
  <c r="I4849" i="7"/>
  <c r="I4850" i="7"/>
  <c r="I4851" i="7"/>
  <c r="I4852" i="7"/>
  <c r="I4853" i="7"/>
  <c r="I4854" i="7"/>
  <c r="I4855" i="7"/>
  <c r="I4856" i="7"/>
  <c r="I4857" i="7"/>
  <c r="I4858" i="7"/>
  <c r="I4859" i="7"/>
  <c r="I4860" i="7"/>
  <c r="I4861" i="7"/>
  <c r="I4862" i="7"/>
  <c r="I4863" i="7"/>
  <c r="I4864" i="7"/>
  <c r="I4865" i="7"/>
  <c r="I4866" i="7"/>
  <c r="I4867" i="7"/>
  <c r="I4868" i="7"/>
  <c r="I4869" i="7"/>
  <c r="I4870" i="7"/>
  <c r="I4871" i="7"/>
  <c r="I4872" i="7"/>
  <c r="I4873" i="7"/>
  <c r="I4874" i="7"/>
  <c r="I4875" i="7"/>
  <c r="I4876" i="7"/>
  <c r="I4877" i="7"/>
  <c r="I4878" i="7"/>
  <c r="I4879" i="7"/>
  <c r="I4880" i="7"/>
  <c r="I4881" i="7"/>
  <c r="I4882" i="7"/>
  <c r="I4883" i="7"/>
  <c r="I4884" i="7"/>
  <c r="I4885" i="7"/>
  <c r="I4886" i="7"/>
  <c r="I4887" i="7"/>
  <c r="I4888" i="7"/>
  <c r="I4889" i="7"/>
  <c r="I4890" i="7"/>
  <c r="I4891" i="7"/>
  <c r="I4892" i="7"/>
  <c r="I4893" i="7"/>
  <c r="I4894" i="7"/>
  <c r="I4895" i="7"/>
  <c r="I4896" i="7"/>
  <c r="I4897" i="7"/>
  <c r="I4898" i="7"/>
  <c r="I4899" i="7"/>
  <c r="I4900" i="7"/>
  <c r="I4901" i="7"/>
  <c r="I4902" i="7"/>
  <c r="I4903" i="7"/>
  <c r="I4904" i="7"/>
  <c r="I4905" i="7"/>
  <c r="I4906" i="7"/>
  <c r="I4907" i="7"/>
  <c r="I4908" i="7"/>
  <c r="I4909" i="7"/>
  <c r="I4910" i="7"/>
  <c r="I4911" i="7"/>
  <c r="I4912" i="7"/>
  <c r="I4913" i="7"/>
  <c r="I4914" i="7"/>
  <c r="I4915" i="7"/>
  <c r="I4916" i="7"/>
  <c r="I4917" i="7"/>
  <c r="I4918" i="7"/>
  <c r="I4919" i="7"/>
  <c r="I4920" i="7"/>
  <c r="I4921" i="7"/>
  <c r="I4922" i="7"/>
  <c r="I4923" i="7"/>
  <c r="I4924" i="7"/>
  <c r="I4925" i="7"/>
  <c r="I4926" i="7"/>
  <c r="I4927" i="7"/>
  <c r="I4928" i="7"/>
  <c r="I4929" i="7"/>
  <c r="I4930" i="7"/>
  <c r="I4931" i="7"/>
  <c r="I4932" i="7"/>
  <c r="I4933" i="7"/>
  <c r="I4934" i="7"/>
  <c r="I4935" i="7"/>
  <c r="I4936" i="7"/>
  <c r="I4937" i="7"/>
  <c r="I4938" i="7"/>
  <c r="I4939" i="7"/>
  <c r="I4940" i="7"/>
  <c r="I4941" i="7"/>
  <c r="I4942" i="7"/>
  <c r="I4943" i="7"/>
  <c r="I4944" i="7"/>
  <c r="I4945" i="7"/>
  <c r="I4946" i="7"/>
  <c r="I4947" i="7"/>
  <c r="I4948" i="7"/>
  <c r="I4949" i="7"/>
  <c r="I4950" i="7"/>
  <c r="I4951" i="7"/>
  <c r="I4952" i="7"/>
  <c r="I4953" i="7"/>
  <c r="I4954" i="7"/>
  <c r="I4955" i="7"/>
  <c r="I4956" i="7"/>
  <c r="I4957" i="7"/>
  <c r="I4958" i="7"/>
  <c r="I4959" i="7"/>
  <c r="I4960" i="7"/>
  <c r="I4961" i="7"/>
  <c r="I4962" i="7"/>
  <c r="I4963" i="7"/>
  <c r="I4964" i="7"/>
  <c r="I4965" i="7"/>
  <c r="I4966" i="7"/>
  <c r="I4967" i="7"/>
  <c r="I4968" i="7"/>
  <c r="I4969" i="7"/>
  <c r="I4970" i="7"/>
  <c r="I4971" i="7"/>
  <c r="I4972" i="7"/>
  <c r="I4973" i="7"/>
  <c r="I4974" i="7"/>
  <c r="I4975" i="7"/>
  <c r="I4976" i="7"/>
  <c r="I4977" i="7"/>
  <c r="I4978" i="7"/>
  <c r="I4979" i="7"/>
  <c r="I4980" i="7"/>
  <c r="I4981" i="7"/>
  <c r="I4982" i="7"/>
  <c r="I4983" i="7"/>
  <c r="I4984" i="7"/>
  <c r="I4985" i="7"/>
  <c r="I4986" i="7"/>
  <c r="I4987" i="7"/>
  <c r="I4988" i="7"/>
  <c r="I4989" i="7"/>
  <c r="I4990" i="7"/>
  <c r="I4991" i="7"/>
  <c r="I4992" i="7"/>
  <c r="I4993" i="7"/>
  <c r="I4994" i="7"/>
  <c r="I4995" i="7"/>
  <c r="I4996" i="7"/>
  <c r="I4997" i="7"/>
  <c r="I4998" i="7"/>
  <c r="I4999" i="7"/>
  <c r="I5000" i="7"/>
  <c r="I5001" i="7"/>
  <c r="I5002" i="7"/>
  <c r="I5003" i="7"/>
  <c r="I5004" i="7"/>
  <c r="I5005" i="7"/>
  <c r="I5006" i="7"/>
  <c r="I5007" i="7"/>
  <c r="I5008" i="7"/>
  <c r="I5009" i="7"/>
  <c r="I5010" i="7"/>
  <c r="I5011" i="7"/>
  <c r="I5012" i="7"/>
  <c r="I5013" i="7"/>
  <c r="I5014" i="7"/>
  <c r="I5015" i="7"/>
  <c r="I5016" i="7"/>
  <c r="I5017" i="7"/>
  <c r="I5018" i="7"/>
  <c r="I5019" i="7"/>
  <c r="I5020" i="7"/>
  <c r="I5021" i="7"/>
  <c r="I5022" i="7"/>
  <c r="I5023" i="7"/>
  <c r="I5024" i="7"/>
  <c r="I5025" i="7"/>
  <c r="I5026" i="7"/>
  <c r="I5027" i="7"/>
  <c r="I5028" i="7"/>
  <c r="I5029" i="7"/>
  <c r="I5030" i="7"/>
  <c r="I5031" i="7"/>
  <c r="I5032" i="7"/>
  <c r="I5033" i="7"/>
  <c r="I5034" i="7"/>
  <c r="I5035" i="7"/>
  <c r="I5036" i="7"/>
  <c r="I5037" i="7"/>
  <c r="I5038" i="7"/>
  <c r="I5039" i="7"/>
  <c r="I5040" i="7"/>
  <c r="I5041" i="7"/>
  <c r="I5042" i="7"/>
  <c r="I5043" i="7"/>
  <c r="I5044" i="7"/>
  <c r="I5045" i="7"/>
  <c r="I5046" i="7"/>
  <c r="I5047" i="7"/>
  <c r="I5048" i="7"/>
  <c r="I5049" i="7"/>
  <c r="I5050" i="7"/>
  <c r="I5051" i="7"/>
  <c r="I5052" i="7"/>
  <c r="I5053" i="7"/>
  <c r="I5054" i="7"/>
  <c r="I5055" i="7"/>
  <c r="I5056" i="7"/>
  <c r="I5057" i="7"/>
  <c r="I5058" i="7"/>
  <c r="I5059" i="7"/>
  <c r="I5060" i="7"/>
  <c r="I5061" i="7"/>
  <c r="I5062" i="7"/>
  <c r="I5063" i="7"/>
  <c r="I5064" i="7"/>
  <c r="I5065" i="7"/>
  <c r="I5066" i="7"/>
  <c r="I5067" i="7"/>
  <c r="I5068" i="7"/>
  <c r="I5069" i="7"/>
  <c r="I5070" i="7"/>
  <c r="I5071" i="7"/>
  <c r="I5072" i="7"/>
  <c r="I5073" i="7"/>
  <c r="I5074" i="7"/>
  <c r="I5075" i="7"/>
  <c r="I5076" i="7"/>
  <c r="I5077" i="7"/>
  <c r="I5078" i="7"/>
  <c r="I5079" i="7"/>
  <c r="I5080" i="7"/>
  <c r="I5081" i="7"/>
  <c r="I5082" i="7"/>
  <c r="I5083" i="7"/>
  <c r="I5084" i="7"/>
  <c r="I5085" i="7"/>
  <c r="I5086" i="7"/>
  <c r="I5087" i="7"/>
  <c r="I5088" i="7"/>
  <c r="I5089" i="7"/>
  <c r="I5090" i="7"/>
  <c r="I5091" i="7"/>
  <c r="I5092" i="7"/>
  <c r="I5093" i="7"/>
  <c r="I5094" i="7"/>
  <c r="I5095" i="7"/>
  <c r="I5096" i="7"/>
  <c r="I5097" i="7"/>
  <c r="I5098" i="7"/>
  <c r="I5099" i="7"/>
  <c r="I5100" i="7"/>
  <c r="I5101" i="7"/>
  <c r="I5102" i="7"/>
  <c r="I5103" i="7"/>
  <c r="I5104" i="7"/>
  <c r="I5105" i="7"/>
  <c r="I5106" i="7"/>
  <c r="I5107" i="7"/>
  <c r="I5108" i="7"/>
  <c r="I5109" i="7"/>
  <c r="I5110" i="7"/>
  <c r="I5111" i="7"/>
  <c r="I5112" i="7"/>
  <c r="I5113" i="7"/>
  <c r="I5114" i="7"/>
  <c r="I5115" i="7"/>
  <c r="I5116" i="7"/>
  <c r="I5117" i="7"/>
  <c r="I5118" i="7"/>
  <c r="I5119" i="7"/>
  <c r="I5120" i="7"/>
  <c r="I5121" i="7"/>
  <c r="I5122" i="7"/>
  <c r="I5123" i="7"/>
  <c r="I5124" i="7"/>
  <c r="I5125" i="7"/>
  <c r="I5126" i="7"/>
  <c r="I5127" i="7"/>
  <c r="I5128" i="7"/>
  <c r="I5129" i="7"/>
  <c r="I5130" i="7"/>
  <c r="I5131" i="7"/>
  <c r="I5132" i="7"/>
  <c r="I5133" i="7"/>
  <c r="I5134" i="7"/>
  <c r="I5135" i="7"/>
  <c r="I5136" i="7"/>
  <c r="I5137" i="7"/>
  <c r="I5138" i="7"/>
  <c r="I5139" i="7"/>
  <c r="I5140" i="7"/>
  <c r="I5141" i="7"/>
  <c r="I5142" i="7"/>
  <c r="I5143" i="7"/>
  <c r="I5144" i="7"/>
  <c r="I5145" i="7"/>
  <c r="I5146" i="7"/>
  <c r="I5147" i="7"/>
  <c r="I5148" i="7"/>
  <c r="I5149" i="7"/>
  <c r="I5150" i="7"/>
  <c r="I5151" i="7"/>
  <c r="I5152" i="7"/>
  <c r="I5153" i="7"/>
  <c r="I5154" i="7"/>
  <c r="I5155" i="7"/>
  <c r="I5156" i="7"/>
  <c r="I5157" i="7"/>
  <c r="I5158" i="7"/>
  <c r="I5159" i="7"/>
  <c r="I5160" i="7"/>
  <c r="I5161" i="7"/>
  <c r="I5162" i="7"/>
  <c r="I5163" i="7"/>
  <c r="I5164" i="7"/>
  <c r="I5165" i="7"/>
  <c r="I5166" i="7"/>
  <c r="I5167" i="7"/>
  <c r="I5168" i="7"/>
  <c r="I5169" i="7"/>
  <c r="I5170" i="7"/>
  <c r="I5171" i="7"/>
  <c r="I5172" i="7"/>
  <c r="I5173" i="7"/>
  <c r="I5174" i="7"/>
  <c r="I5175" i="7"/>
  <c r="I5176" i="7"/>
  <c r="I5177" i="7"/>
  <c r="I5178" i="7"/>
  <c r="I5179" i="7"/>
  <c r="I5180" i="7"/>
  <c r="I5181" i="7"/>
  <c r="I5182" i="7"/>
  <c r="I5183" i="7"/>
  <c r="I5184" i="7"/>
  <c r="I5185" i="7"/>
  <c r="I5186" i="7"/>
  <c r="I5187" i="7"/>
  <c r="I5188" i="7"/>
  <c r="I5189" i="7"/>
  <c r="I5190" i="7"/>
  <c r="I5191" i="7"/>
  <c r="I5192" i="7"/>
  <c r="I5193" i="7"/>
  <c r="I5194" i="7"/>
  <c r="I5195" i="7"/>
  <c r="I5196" i="7"/>
  <c r="I5197" i="7"/>
  <c r="I5198" i="7"/>
  <c r="I5199" i="7"/>
  <c r="I5200" i="7"/>
  <c r="I5201" i="7"/>
  <c r="I5202" i="7"/>
  <c r="I5203" i="7"/>
  <c r="I5204" i="7"/>
  <c r="I5205" i="7"/>
  <c r="I5206" i="7"/>
  <c r="I5207" i="7"/>
  <c r="I5208" i="7"/>
  <c r="I5209" i="7"/>
  <c r="I5210" i="7"/>
  <c r="I5211" i="7"/>
  <c r="I5212" i="7"/>
  <c r="I5213" i="7"/>
  <c r="I5214" i="7"/>
  <c r="I5215" i="7"/>
  <c r="I5216" i="7"/>
  <c r="I5217" i="7"/>
  <c r="I5218" i="7"/>
  <c r="I5219" i="7"/>
  <c r="I5220" i="7"/>
  <c r="I5221" i="7"/>
  <c r="I5222" i="7"/>
  <c r="I5223" i="7"/>
  <c r="I5224" i="7"/>
  <c r="I5225" i="7"/>
  <c r="I5226" i="7"/>
  <c r="I5227" i="7"/>
  <c r="I5228" i="7"/>
  <c r="I5229" i="7"/>
  <c r="I5230" i="7"/>
  <c r="I5231" i="7"/>
  <c r="I5232" i="7"/>
  <c r="I5233" i="7"/>
  <c r="I5234" i="7"/>
  <c r="I5235" i="7"/>
  <c r="I5236" i="7"/>
  <c r="I5237" i="7"/>
  <c r="I5238" i="7"/>
  <c r="I5239" i="7"/>
  <c r="I5240" i="7"/>
  <c r="I5241" i="7"/>
  <c r="I5242" i="7"/>
  <c r="I5243" i="7"/>
  <c r="I5244" i="7"/>
  <c r="I5245" i="7"/>
  <c r="I5246" i="7"/>
  <c r="I5247" i="7"/>
  <c r="I5248" i="7"/>
  <c r="I5249" i="7"/>
  <c r="I5250" i="7"/>
  <c r="I5251" i="7"/>
  <c r="I5252" i="7"/>
  <c r="I5253" i="7"/>
  <c r="I5254" i="7"/>
  <c r="I5255" i="7"/>
  <c r="I5256" i="7"/>
  <c r="I5257" i="7"/>
  <c r="I5258" i="7"/>
  <c r="I5259" i="7"/>
  <c r="I5260" i="7"/>
  <c r="I5261" i="7"/>
  <c r="I5262" i="7"/>
  <c r="I5263" i="7"/>
  <c r="I5264" i="7"/>
  <c r="I5265" i="7"/>
  <c r="I5266" i="7"/>
  <c r="I5267" i="7"/>
  <c r="I5268" i="7"/>
  <c r="I5269" i="7"/>
  <c r="I5270" i="7"/>
  <c r="I5271" i="7"/>
  <c r="I5272" i="7"/>
  <c r="I5273" i="7"/>
  <c r="I5274" i="7"/>
  <c r="I5275" i="7"/>
  <c r="I5276" i="7"/>
  <c r="I5277" i="7"/>
  <c r="I5278" i="7"/>
  <c r="I5279" i="7"/>
  <c r="I5280" i="7"/>
  <c r="I5281" i="7"/>
  <c r="I5282" i="7"/>
  <c r="I5283" i="7"/>
  <c r="I5284" i="7"/>
  <c r="I5285" i="7"/>
  <c r="I5286" i="7"/>
  <c r="I5287" i="7"/>
  <c r="I5288" i="7"/>
  <c r="I5289" i="7"/>
  <c r="I5290" i="7"/>
  <c r="I5291" i="7"/>
  <c r="I5292" i="7"/>
  <c r="I5293" i="7"/>
  <c r="I5294" i="7"/>
  <c r="I5295" i="7"/>
  <c r="I5296" i="7"/>
  <c r="I5297" i="7"/>
  <c r="I5298" i="7"/>
  <c r="I5299" i="7"/>
  <c r="I5300" i="7"/>
  <c r="I5301" i="7"/>
  <c r="I5302" i="7"/>
  <c r="I5303" i="7"/>
  <c r="I5304" i="7"/>
  <c r="I5305" i="7"/>
  <c r="I5306" i="7"/>
  <c r="I5307" i="7"/>
  <c r="I5308" i="7"/>
  <c r="I5309" i="7"/>
  <c r="I5310" i="7"/>
  <c r="I5311" i="7"/>
  <c r="I5312" i="7"/>
  <c r="I5313" i="7"/>
  <c r="I5314" i="7"/>
  <c r="I5315" i="7"/>
  <c r="I5316" i="7"/>
  <c r="I5317" i="7"/>
  <c r="I5318" i="7"/>
  <c r="I5319" i="7"/>
  <c r="I5320" i="7"/>
  <c r="I5321" i="7"/>
  <c r="I5322" i="7"/>
  <c r="I5323" i="7"/>
  <c r="I5324" i="7"/>
  <c r="I5325" i="7"/>
  <c r="I5326" i="7"/>
  <c r="I5327" i="7"/>
  <c r="I5328" i="7"/>
  <c r="I5329" i="7"/>
  <c r="I5330" i="7"/>
  <c r="I5331" i="7"/>
  <c r="I5332" i="7"/>
  <c r="I5333" i="7"/>
  <c r="I5334" i="7"/>
  <c r="I5335" i="7"/>
  <c r="I5336" i="7"/>
  <c r="I5337" i="7"/>
  <c r="I5338" i="7"/>
  <c r="I5339" i="7"/>
  <c r="I5340" i="7"/>
  <c r="I5341" i="7"/>
  <c r="I5342" i="7"/>
  <c r="I5343" i="7"/>
  <c r="I5344" i="7"/>
  <c r="I5345" i="7"/>
  <c r="I5346" i="7"/>
  <c r="I5347" i="7"/>
  <c r="I5348" i="7"/>
  <c r="I5349" i="7"/>
  <c r="I5350" i="7"/>
  <c r="I5351" i="7"/>
  <c r="I5352" i="7"/>
  <c r="I5353" i="7"/>
  <c r="I5354" i="7"/>
  <c r="I5355" i="7"/>
  <c r="I5356" i="7"/>
  <c r="I5357" i="7"/>
  <c r="I5358" i="7"/>
  <c r="I5359" i="7"/>
  <c r="I5360" i="7"/>
  <c r="I5361" i="7"/>
  <c r="I5362" i="7"/>
  <c r="I5363" i="7"/>
  <c r="I5364" i="7"/>
  <c r="I5365" i="7"/>
  <c r="I5366" i="7"/>
  <c r="I5367" i="7"/>
  <c r="I5368" i="7"/>
  <c r="I5369" i="7"/>
  <c r="I5370" i="7"/>
  <c r="I5371" i="7"/>
  <c r="I5372" i="7"/>
  <c r="I5373" i="7"/>
  <c r="I5374" i="7"/>
  <c r="I5375" i="7"/>
  <c r="I5376" i="7"/>
  <c r="I5377" i="7"/>
  <c r="I5378" i="7"/>
  <c r="I5379" i="7"/>
  <c r="I5380" i="7"/>
  <c r="I5381" i="7"/>
  <c r="I5382" i="7"/>
  <c r="I5383" i="7"/>
  <c r="I5384" i="7"/>
  <c r="I5385" i="7"/>
  <c r="I5386" i="7"/>
  <c r="I5387" i="7"/>
  <c r="I5388" i="7"/>
  <c r="I5389" i="7"/>
  <c r="I5390" i="7"/>
  <c r="I5391" i="7"/>
  <c r="I5392" i="7"/>
  <c r="I5393" i="7"/>
  <c r="I5394" i="7"/>
  <c r="I5395" i="7"/>
  <c r="I5396" i="7"/>
  <c r="I5397" i="7"/>
  <c r="I5398" i="7"/>
  <c r="I5399" i="7"/>
  <c r="I5400" i="7"/>
  <c r="I5401" i="7"/>
  <c r="I5402" i="7"/>
  <c r="I5403" i="7"/>
  <c r="I5404" i="7"/>
  <c r="I5405" i="7"/>
  <c r="I5406" i="7"/>
  <c r="I5407" i="7"/>
  <c r="I5408" i="7"/>
  <c r="I5409" i="7"/>
  <c r="I5410" i="7"/>
  <c r="I5411" i="7"/>
  <c r="I5412" i="7"/>
  <c r="I5413" i="7"/>
  <c r="I5414" i="7"/>
  <c r="I5415" i="7"/>
  <c r="I5416" i="7"/>
  <c r="I5417" i="7"/>
  <c r="I5418" i="7"/>
  <c r="I5419" i="7"/>
  <c r="I5420" i="7"/>
  <c r="I5421" i="7"/>
  <c r="I5422" i="7"/>
  <c r="I5423" i="7"/>
  <c r="I5424" i="7"/>
  <c r="I5425" i="7"/>
  <c r="I5426" i="7"/>
  <c r="I5427" i="7"/>
  <c r="I5428" i="7"/>
  <c r="I5429" i="7"/>
  <c r="I5430" i="7"/>
  <c r="I5431" i="7"/>
  <c r="I5432" i="7"/>
  <c r="I5433" i="7"/>
  <c r="I5434" i="7"/>
  <c r="I5435" i="7"/>
  <c r="I5436" i="7"/>
  <c r="I5437" i="7"/>
  <c r="I5438" i="7"/>
  <c r="I5439" i="7"/>
  <c r="I5440" i="7"/>
  <c r="I5441" i="7"/>
  <c r="I5442" i="7"/>
  <c r="I5443" i="7"/>
  <c r="I5444" i="7"/>
  <c r="I5445" i="7"/>
  <c r="I5446" i="7"/>
  <c r="I5447" i="7"/>
  <c r="I5448" i="7"/>
  <c r="I5449" i="7"/>
  <c r="I5450" i="7"/>
  <c r="I5451" i="7"/>
  <c r="I5452" i="7"/>
  <c r="I5453" i="7"/>
  <c r="I5454" i="7"/>
  <c r="I5455" i="7"/>
  <c r="I5456" i="7"/>
  <c r="I5457" i="7"/>
  <c r="I5458" i="7"/>
  <c r="I5459" i="7"/>
  <c r="I5460" i="7"/>
  <c r="I5461" i="7"/>
  <c r="I5462" i="7"/>
  <c r="I5463" i="7"/>
  <c r="I5464" i="7"/>
  <c r="I5465" i="7"/>
  <c r="I5466" i="7"/>
  <c r="I5467" i="7"/>
  <c r="I5468" i="7"/>
  <c r="I5469" i="7"/>
  <c r="I5470" i="7"/>
  <c r="I5471" i="7"/>
  <c r="I5472" i="7"/>
  <c r="I5473" i="7"/>
  <c r="I5474" i="7"/>
  <c r="I5475" i="7"/>
  <c r="I5476" i="7"/>
  <c r="I5477" i="7"/>
  <c r="I5478" i="7"/>
  <c r="I5479" i="7"/>
  <c r="I5480" i="7"/>
  <c r="I5481" i="7"/>
  <c r="I5482" i="7"/>
  <c r="I5483" i="7"/>
  <c r="I5484" i="7"/>
  <c r="I5485" i="7"/>
  <c r="I5486" i="7"/>
  <c r="I5487" i="7"/>
  <c r="I5488" i="7"/>
  <c r="I5489" i="7"/>
  <c r="I5490" i="7"/>
  <c r="I5491" i="7"/>
  <c r="I5492" i="7"/>
  <c r="I5493" i="7"/>
  <c r="I5494" i="7"/>
  <c r="I5495" i="7"/>
  <c r="I5496" i="7"/>
  <c r="I5497" i="7"/>
  <c r="I5498" i="7"/>
  <c r="I5499" i="7"/>
  <c r="I5500" i="7"/>
  <c r="I5501" i="7"/>
  <c r="I5502" i="7"/>
  <c r="I5503" i="7"/>
  <c r="I5504" i="7"/>
  <c r="I5505" i="7"/>
  <c r="I5506" i="7"/>
  <c r="I5507" i="7"/>
  <c r="I5508" i="7"/>
  <c r="I5509" i="7"/>
  <c r="I5510" i="7"/>
  <c r="I5511" i="7"/>
  <c r="I5512" i="7"/>
  <c r="I5513" i="7"/>
  <c r="I5514" i="7"/>
  <c r="I5515" i="7"/>
  <c r="I5516" i="7"/>
  <c r="I5517" i="7"/>
  <c r="I5518" i="7"/>
  <c r="I5519" i="7"/>
  <c r="I5520" i="7"/>
  <c r="I5521" i="7"/>
  <c r="I5522" i="7"/>
  <c r="I5523" i="7"/>
  <c r="I5524" i="7"/>
  <c r="I5525" i="7"/>
  <c r="I5526" i="7"/>
  <c r="I5527" i="7"/>
  <c r="I5528" i="7"/>
  <c r="I5529" i="7"/>
  <c r="I5530" i="7"/>
  <c r="I5531" i="7"/>
  <c r="I5532" i="7"/>
  <c r="I5533" i="7"/>
  <c r="I5534" i="7"/>
  <c r="I5535" i="7"/>
  <c r="I5536" i="7"/>
  <c r="I5537" i="7"/>
  <c r="I5538" i="7"/>
  <c r="I5539" i="7"/>
  <c r="I5540" i="7"/>
  <c r="I5541" i="7"/>
  <c r="I5542" i="7"/>
  <c r="I5543" i="7"/>
  <c r="I5544" i="7"/>
  <c r="I5545" i="7"/>
  <c r="I5546" i="7"/>
  <c r="I5547" i="7"/>
  <c r="I5548" i="7"/>
  <c r="I5549" i="7"/>
  <c r="I5550" i="7"/>
  <c r="I5551" i="7"/>
  <c r="I5552" i="7"/>
  <c r="I5553" i="7"/>
  <c r="I5554" i="7"/>
  <c r="I5555" i="7"/>
  <c r="I5556" i="7"/>
  <c r="I5557" i="7"/>
  <c r="I5558" i="7"/>
  <c r="I5559" i="7"/>
  <c r="I5560" i="7"/>
  <c r="I5561" i="7"/>
  <c r="I5562" i="7"/>
  <c r="I5563" i="7"/>
  <c r="I5564" i="7"/>
  <c r="I5565" i="7"/>
  <c r="I5566" i="7"/>
  <c r="I5567" i="7"/>
  <c r="I5568" i="7"/>
  <c r="I5569" i="7"/>
  <c r="I5570" i="7"/>
  <c r="I5571" i="7"/>
  <c r="I5572" i="7"/>
  <c r="I5573" i="7"/>
  <c r="I5574" i="7"/>
  <c r="I5575" i="7"/>
  <c r="I5576" i="7"/>
  <c r="I5577" i="7"/>
  <c r="I5578" i="7"/>
  <c r="I5579" i="7"/>
  <c r="I5580" i="7"/>
  <c r="I5581" i="7"/>
  <c r="I5582" i="7"/>
  <c r="I5583" i="7"/>
  <c r="I5584" i="7"/>
  <c r="I5585" i="7"/>
  <c r="I5586" i="7"/>
  <c r="I5587" i="7"/>
  <c r="I5588" i="7"/>
  <c r="I5589" i="7"/>
  <c r="I5590" i="7"/>
  <c r="I5591" i="7"/>
  <c r="I5592" i="7"/>
  <c r="I5593" i="7"/>
  <c r="I5594" i="7"/>
  <c r="I5595" i="7"/>
  <c r="I5596" i="7"/>
  <c r="I5597" i="7"/>
  <c r="I5598" i="7"/>
  <c r="I5599" i="7"/>
  <c r="I5600" i="7"/>
  <c r="I5601" i="7"/>
  <c r="I5602" i="7"/>
  <c r="I5603" i="7"/>
  <c r="I5604" i="7"/>
  <c r="I5605" i="7"/>
  <c r="I5606" i="7"/>
  <c r="I5607" i="7"/>
  <c r="I5608" i="7"/>
  <c r="I5609" i="7"/>
  <c r="I5610" i="7"/>
  <c r="I5611" i="7"/>
  <c r="I5612" i="7"/>
  <c r="I5613" i="7"/>
  <c r="I5614" i="7"/>
  <c r="I5615" i="7"/>
  <c r="I5616" i="7"/>
  <c r="I5617" i="7"/>
  <c r="I5618" i="7"/>
  <c r="I5619" i="7"/>
  <c r="I5620" i="7"/>
  <c r="I5621" i="7"/>
  <c r="I5622" i="7"/>
  <c r="I5623" i="7"/>
  <c r="I5624" i="7"/>
  <c r="I5625" i="7"/>
  <c r="I5626" i="7"/>
  <c r="I5627" i="7"/>
  <c r="I5628" i="7"/>
  <c r="I5629" i="7"/>
  <c r="I5630" i="7"/>
  <c r="I5631" i="7"/>
  <c r="I5632" i="7"/>
  <c r="I5633" i="7"/>
  <c r="I5634" i="7"/>
  <c r="I5635" i="7"/>
  <c r="I5636" i="7"/>
  <c r="I5637" i="7"/>
  <c r="I5638" i="7"/>
  <c r="I5639" i="7"/>
  <c r="I5640" i="7"/>
  <c r="I5641" i="7"/>
  <c r="I5642" i="7"/>
  <c r="I5643" i="7"/>
  <c r="I5644" i="7"/>
  <c r="I5645" i="7"/>
  <c r="I5646" i="7"/>
  <c r="I5647" i="7"/>
  <c r="I5648" i="7"/>
  <c r="I5649" i="7"/>
  <c r="I5650" i="7"/>
  <c r="I5651" i="7"/>
  <c r="I5652" i="7"/>
  <c r="I5653" i="7"/>
  <c r="I5654" i="7"/>
  <c r="I5655" i="7"/>
  <c r="I5656" i="7"/>
  <c r="I5657" i="7"/>
  <c r="I5658" i="7"/>
  <c r="I5659" i="7"/>
  <c r="I5660" i="7"/>
  <c r="I5661" i="7"/>
  <c r="I5662" i="7"/>
  <c r="I5663" i="7"/>
  <c r="I5664" i="7"/>
  <c r="I5665" i="7"/>
  <c r="I5666" i="7"/>
  <c r="I5667" i="7"/>
  <c r="I5668" i="7"/>
  <c r="I5669" i="7"/>
  <c r="I5670" i="7"/>
  <c r="I5671" i="7"/>
  <c r="I5672" i="7"/>
  <c r="I5673" i="7"/>
  <c r="I5674" i="7"/>
  <c r="I5675" i="7"/>
  <c r="I5676" i="7"/>
  <c r="I5677" i="7"/>
  <c r="I5678" i="7"/>
  <c r="I5679" i="7"/>
  <c r="I5680" i="7"/>
  <c r="I5681" i="7"/>
  <c r="I5682" i="7"/>
  <c r="I5683" i="7"/>
  <c r="I5684" i="7"/>
  <c r="I5685" i="7"/>
  <c r="I5686" i="7"/>
  <c r="I5687" i="7"/>
  <c r="I5688" i="7"/>
  <c r="I5689" i="7"/>
  <c r="I5690" i="7"/>
  <c r="I5691" i="7"/>
  <c r="I5692" i="7"/>
  <c r="I5693" i="7"/>
  <c r="I5694" i="7"/>
  <c r="I5695" i="7"/>
  <c r="I5696" i="7"/>
  <c r="I5697" i="7"/>
  <c r="I5698" i="7"/>
  <c r="I5699" i="7"/>
  <c r="I5700" i="7"/>
  <c r="I5701" i="7"/>
  <c r="I5702" i="7"/>
  <c r="I5703" i="7"/>
  <c r="I5704" i="7"/>
  <c r="I5705" i="7"/>
  <c r="I5706" i="7"/>
  <c r="I5707" i="7"/>
  <c r="I5708" i="7"/>
  <c r="I5709" i="7"/>
  <c r="I5710" i="7"/>
  <c r="I5711" i="7"/>
  <c r="I5712" i="7"/>
  <c r="I5713" i="7"/>
  <c r="I5714" i="7"/>
  <c r="I5715" i="7"/>
  <c r="I5716" i="7"/>
  <c r="I5717" i="7"/>
  <c r="I5718" i="7"/>
  <c r="I5719" i="7"/>
  <c r="I5720" i="7"/>
  <c r="I5721" i="7"/>
  <c r="I5722" i="7"/>
  <c r="I5723" i="7"/>
  <c r="I5724" i="7"/>
  <c r="I5725" i="7"/>
  <c r="I5726" i="7"/>
  <c r="I5727" i="7"/>
  <c r="I5728" i="7"/>
  <c r="I5729" i="7"/>
  <c r="I5730" i="7"/>
  <c r="I5731" i="7"/>
  <c r="I5732" i="7"/>
  <c r="I5733" i="7"/>
  <c r="I5734" i="7"/>
  <c r="I5735" i="7"/>
  <c r="I5736" i="7"/>
  <c r="I5737" i="7"/>
  <c r="I5738" i="7"/>
  <c r="I5739" i="7"/>
  <c r="I5740" i="7"/>
  <c r="I5741" i="7"/>
  <c r="I5742" i="7"/>
  <c r="I5743" i="7"/>
  <c r="I5744" i="7"/>
  <c r="I5745" i="7"/>
  <c r="I5746" i="7"/>
  <c r="I5747" i="7"/>
  <c r="I5748" i="7"/>
  <c r="I5749" i="7"/>
  <c r="I5750" i="7"/>
  <c r="I5751" i="7"/>
  <c r="I5752" i="7"/>
  <c r="I5753" i="7"/>
  <c r="I5754" i="7"/>
  <c r="I5755" i="7"/>
  <c r="I5756" i="7"/>
  <c r="I5757" i="7"/>
  <c r="I5758" i="7"/>
  <c r="I5759" i="7"/>
  <c r="I5760" i="7"/>
  <c r="I5761" i="7"/>
  <c r="I5762" i="7"/>
  <c r="I5763" i="7"/>
  <c r="I5764" i="7"/>
  <c r="I5765" i="7"/>
  <c r="I5766" i="7"/>
  <c r="I5767" i="7"/>
  <c r="I5768" i="7"/>
  <c r="I5769" i="7"/>
  <c r="I5770" i="7"/>
  <c r="I5771" i="7"/>
  <c r="I5772" i="7"/>
  <c r="I5773" i="7"/>
  <c r="I5774" i="7"/>
  <c r="I5775" i="7"/>
  <c r="I5776" i="7"/>
  <c r="I5777" i="7"/>
  <c r="I5778" i="7"/>
  <c r="I5779" i="7"/>
  <c r="I5780" i="7"/>
  <c r="I5781" i="7"/>
  <c r="I5782" i="7"/>
  <c r="I5783" i="7"/>
  <c r="I5784" i="7"/>
  <c r="I5785" i="7"/>
  <c r="I5786" i="7"/>
  <c r="I5787" i="7"/>
  <c r="I5788" i="7"/>
  <c r="I5789" i="7"/>
  <c r="I5790" i="7"/>
  <c r="I5791" i="7"/>
  <c r="I5792" i="7"/>
  <c r="I5793" i="7"/>
  <c r="I5794" i="7"/>
  <c r="I5795" i="7"/>
  <c r="I5796" i="7"/>
  <c r="I5797" i="7"/>
  <c r="I5798" i="7"/>
  <c r="I5799" i="7"/>
  <c r="I5800" i="7"/>
  <c r="I5801" i="7"/>
  <c r="I5802" i="7"/>
  <c r="I5803" i="7"/>
  <c r="I5804" i="7"/>
  <c r="I5805" i="7"/>
  <c r="I5806" i="7"/>
  <c r="I5807" i="7"/>
  <c r="I5808" i="7"/>
  <c r="I5809" i="7"/>
  <c r="I5810" i="7"/>
  <c r="I5811" i="7"/>
  <c r="I5812" i="7"/>
  <c r="I5813" i="7"/>
  <c r="I5814" i="7"/>
  <c r="I5815" i="7"/>
  <c r="I5816" i="7"/>
  <c r="I5817" i="7"/>
  <c r="I5818" i="7"/>
  <c r="I5819" i="7"/>
  <c r="I5820" i="7"/>
  <c r="I5821" i="7"/>
  <c r="I5822" i="7"/>
  <c r="I5823" i="7"/>
  <c r="I5824" i="7"/>
  <c r="I5825" i="7"/>
  <c r="I5826" i="7"/>
  <c r="I5827" i="7"/>
  <c r="I5828" i="7"/>
  <c r="I5829" i="7"/>
  <c r="I5830" i="7"/>
  <c r="I5831" i="7"/>
  <c r="I5832" i="7"/>
  <c r="I5833" i="7"/>
  <c r="I5834" i="7"/>
  <c r="I5835" i="7"/>
  <c r="I5836" i="7"/>
  <c r="I5837" i="7"/>
  <c r="I5838" i="7"/>
  <c r="I5839" i="7"/>
  <c r="I5840" i="7"/>
  <c r="I5841" i="7"/>
  <c r="I5842" i="7"/>
  <c r="I5843" i="7"/>
  <c r="I5844" i="7"/>
  <c r="I5845" i="7"/>
  <c r="I5846" i="7"/>
  <c r="I5847" i="7"/>
  <c r="I5848" i="7"/>
  <c r="I5849" i="7"/>
  <c r="I5850" i="7"/>
  <c r="I5851" i="7"/>
  <c r="I5852" i="7"/>
  <c r="I5853" i="7"/>
  <c r="I5854" i="7"/>
  <c r="I5855" i="7"/>
  <c r="I5856" i="7"/>
  <c r="I5857" i="7"/>
  <c r="I5858" i="7"/>
  <c r="I5859" i="7"/>
  <c r="I5860" i="7"/>
  <c r="I5861" i="7"/>
  <c r="I5862" i="7"/>
  <c r="I5863" i="7"/>
  <c r="I5864" i="7"/>
  <c r="I5865" i="7"/>
  <c r="I5866" i="7"/>
  <c r="I5867" i="7"/>
  <c r="I5868" i="7"/>
  <c r="I5869" i="7"/>
  <c r="I5870" i="7"/>
  <c r="I5871" i="7"/>
  <c r="I5872" i="7"/>
  <c r="I5873" i="7"/>
  <c r="I5874" i="7"/>
  <c r="I5875" i="7"/>
  <c r="I5876" i="7"/>
  <c r="I5877" i="7"/>
  <c r="I5878" i="7"/>
  <c r="I5879" i="7"/>
  <c r="I5880" i="7"/>
  <c r="I5881" i="7"/>
  <c r="I5882" i="7"/>
  <c r="I5883" i="7"/>
  <c r="I5884" i="7"/>
  <c r="I5885" i="7"/>
  <c r="I5886" i="7"/>
  <c r="I5887" i="7"/>
  <c r="I5888" i="7"/>
  <c r="I5889" i="7"/>
  <c r="I5890" i="7"/>
  <c r="I5891" i="7"/>
  <c r="I5892" i="7"/>
  <c r="I5893" i="7"/>
  <c r="I5894" i="7"/>
  <c r="I5895" i="7"/>
  <c r="I5896" i="7"/>
  <c r="I5897" i="7"/>
  <c r="I5898" i="7"/>
  <c r="I5899" i="7"/>
  <c r="I5900" i="7"/>
  <c r="I5901" i="7"/>
  <c r="I5902" i="7"/>
  <c r="I5903" i="7"/>
  <c r="I5904" i="7"/>
  <c r="I5905" i="7"/>
  <c r="I5906" i="7"/>
  <c r="I5907" i="7"/>
  <c r="I5908" i="7"/>
  <c r="I5909" i="7"/>
  <c r="I5910" i="7"/>
  <c r="I5911" i="7"/>
  <c r="I5912" i="7"/>
  <c r="I5913" i="7"/>
  <c r="I5914" i="7"/>
  <c r="I5915" i="7"/>
  <c r="I5916" i="7"/>
  <c r="I5917" i="7"/>
  <c r="I5918" i="7"/>
  <c r="I5919" i="7"/>
  <c r="I5920" i="7"/>
  <c r="I5921" i="7"/>
  <c r="I5922" i="7"/>
  <c r="I5923" i="7"/>
  <c r="I5924" i="7"/>
  <c r="I5925" i="7"/>
  <c r="I5926" i="7"/>
  <c r="I5927" i="7"/>
  <c r="I5928" i="7"/>
  <c r="I5929" i="7"/>
  <c r="I5930" i="7"/>
  <c r="I5931" i="7"/>
  <c r="I5932" i="7"/>
  <c r="I5933" i="7"/>
  <c r="I5934" i="7"/>
  <c r="I5935" i="7"/>
  <c r="I5936" i="7"/>
  <c r="I5937" i="7"/>
  <c r="I5938" i="7"/>
  <c r="I5939" i="7"/>
  <c r="I5940" i="7"/>
  <c r="I5941" i="7"/>
  <c r="I5942" i="7"/>
  <c r="I5943" i="7"/>
  <c r="I5944" i="7"/>
  <c r="I5945" i="7"/>
  <c r="I5946" i="7"/>
  <c r="I5947" i="7"/>
  <c r="I5948" i="7"/>
  <c r="I5949" i="7"/>
  <c r="I5950" i="7"/>
  <c r="I5951" i="7"/>
  <c r="I5952" i="7"/>
  <c r="I5953" i="7"/>
  <c r="I5954" i="7"/>
  <c r="I5955" i="7"/>
  <c r="I5956" i="7"/>
  <c r="I5957" i="7"/>
  <c r="I5958" i="7"/>
  <c r="I5959" i="7"/>
  <c r="I5960" i="7"/>
  <c r="I5961" i="7"/>
  <c r="I5962" i="7"/>
  <c r="I5963" i="7"/>
  <c r="I5964" i="7"/>
  <c r="I5965" i="7"/>
  <c r="I5966" i="7"/>
  <c r="I5967" i="7"/>
  <c r="I5968" i="7"/>
  <c r="I5969" i="7"/>
  <c r="I5970" i="7"/>
  <c r="I5971" i="7"/>
  <c r="I5972" i="7"/>
  <c r="I5973" i="7"/>
  <c r="I5974" i="7"/>
  <c r="I5975" i="7"/>
  <c r="I5976" i="7"/>
  <c r="I5977" i="7"/>
  <c r="I5978" i="7"/>
  <c r="I5979" i="7"/>
  <c r="I5980" i="7"/>
  <c r="I5981" i="7"/>
  <c r="I5982" i="7"/>
  <c r="I5983" i="7"/>
  <c r="I5984" i="7"/>
  <c r="I5985" i="7"/>
  <c r="I5986" i="7"/>
  <c r="I5987" i="7"/>
  <c r="I5988" i="7"/>
  <c r="I5989" i="7"/>
  <c r="I5990" i="7"/>
  <c r="I5991" i="7"/>
  <c r="I5992" i="7"/>
  <c r="I5993" i="7"/>
  <c r="I5994" i="7"/>
  <c r="I5995" i="7"/>
  <c r="I5996" i="7"/>
  <c r="I5997" i="7"/>
  <c r="I5998" i="7"/>
  <c r="I5999" i="7"/>
  <c r="I6000" i="7"/>
  <c r="I6001" i="7"/>
  <c r="I6002" i="7"/>
  <c r="I6003" i="7"/>
  <c r="I6004" i="7"/>
  <c r="I6005" i="7"/>
  <c r="I6006" i="7"/>
  <c r="I6007" i="7"/>
  <c r="I6008" i="7"/>
  <c r="I6009" i="7"/>
  <c r="I6010" i="7"/>
  <c r="I6011" i="7"/>
  <c r="I6012" i="7"/>
  <c r="I6013" i="7"/>
  <c r="I6014" i="7"/>
  <c r="I6015" i="7"/>
  <c r="I6016" i="7"/>
  <c r="I6017" i="7"/>
  <c r="I6018" i="7"/>
  <c r="I6019" i="7"/>
  <c r="I6020" i="7"/>
  <c r="I6021" i="7"/>
  <c r="I6022" i="7"/>
  <c r="I6023" i="7"/>
  <c r="I6024" i="7"/>
  <c r="I6025" i="7"/>
  <c r="I6026" i="7"/>
  <c r="I6027" i="7"/>
  <c r="I6028" i="7"/>
  <c r="I6029" i="7"/>
  <c r="I6030" i="7"/>
  <c r="I6031" i="7"/>
  <c r="I6032" i="7"/>
  <c r="I6033" i="7"/>
  <c r="I6034" i="7"/>
  <c r="I6035" i="7"/>
  <c r="I6036" i="7"/>
  <c r="I6037" i="7"/>
  <c r="I6038" i="7"/>
  <c r="I6039" i="7"/>
  <c r="I6040" i="7"/>
  <c r="I6041" i="7"/>
  <c r="I6042" i="7"/>
  <c r="I6043" i="7"/>
  <c r="I6044" i="7"/>
  <c r="I6045" i="7"/>
  <c r="I6046" i="7"/>
  <c r="I6047" i="7"/>
  <c r="I6048" i="7"/>
  <c r="I6049" i="7"/>
  <c r="I6050" i="7"/>
  <c r="I6051" i="7"/>
  <c r="I6052" i="7"/>
  <c r="I6053" i="7"/>
  <c r="I6054" i="7"/>
  <c r="I6055" i="7"/>
  <c r="I6056" i="7"/>
  <c r="I6057" i="7"/>
  <c r="I6058" i="7"/>
  <c r="I6059" i="7"/>
  <c r="I6060" i="7"/>
  <c r="I6061" i="7"/>
  <c r="I6062" i="7"/>
  <c r="I6063" i="7"/>
  <c r="I6064" i="7"/>
  <c r="I6065" i="7"/>
  <c r="I6066" i="7"/>
  <c r="I6067" i="7"/>
  <c r="I6068" i="7"/>
  <c r="I6069" i="7"/>
  <c r="I6070" i="7"/>
  <c r="I6071" i="7"/>
  <c r="I6072" i="7"/>
  <c r="I6073" i="7"/>
  <c r="I6074" i="7"/>
  <c r="I6075" i="7"/>
  <c r="I6076" i="7"/>
  <c r="I6077" i="7"/>
  <c r="I6078" i="7"/>
  <c r="I6079" i="7"/>
  <c r="I6080" i="7"/>
  <c r="I6081" i="7"/>
  <c r="I6082" i="7"/>
  <c r="I6083" i="7"/>
  <c r="I6084" i="7"/>
  <c r="I6085" i="7"/>
  <c r="I6086" i="7"/>
  <c r="I6087" i="7"/>
  <c r="I6088" i="7"/>
  <c r="I6089" i="7"/>
  <c r="I6090" i="7"/>
  <c r="I6091" i="7"/>
  <c r="I6092" i="7"/>
  <c r="I6093" i="7"/>
  <c r="I6094" i="7"/>
  <c r="I6095" i="7"/>
  <c r="I6096" i="7"/>
  <c r="I6097" i="7"/>
  <c r="I6098" i="7"/>
  <c r="I6099" i="7"/>
  <c r="I6100" i="7"/>
  <c r="I6101" i="7"/>
  <c r="I6102" i="7"/>
  <c r="I6103" i="7"/>
  <c r="I6104" i="7"/>
  <c r="I6105" i="7"/>
  <c r="I6106" i="7"/>
  <c r="I6107" i="7"/>
  <c r="I6108" i="7"/>
  <c r="I6109" i="7"/>
  <c r="I6110" i="7"/>
  <c r="I6111" i="7"/>
  <c r="I6112" i="7"/>
  <c r="I6113" i="7"/>
  <c r="I6114" i="7"/>
  <c r="I6115" i="7"/>
  <c r="I6116" i="7"/>
  <c r="I6117" i="7"/>
  <c r="I6118" i="7"/>
  <c r="I6119" i="7"/>
  <c r="I6120" i="7"/>
  <c r="I6121" i="7"/>
  <c r="I6122" i="7"/>
  <c r="I6123" i="7"/>
  <c r="I6124" i="7"/>
  <c r="I6125" i="7"/>
  <c r="I6126" i="7"/>
  <c r="I6127" i="7"/>
  <c r="I6128" i="7"/>
  <c r="I6129" i="7"/>
  <c r="I6130" i="7"/>
  <c r="I6131" i="7"/>
  <c r="I6132" i="7"/>
  <c r="I6133" i="7"/>
  <c r="I6134" i="7"/>
  <c r="I6135" i="7"/>
  <c r="I6136" i="7"/>
  <c r="I6137" i="7"/>
  <c r="I6138" i="7"/>
  <c r="I6139" i="7"/>
  <c r="I6140" i="7"/>
  <c r="I6141" i="7"/>
  <c r="I6142" i="7"/>
  <c r="I6143" i="7"/>
  <c r="I6144" i="7"/>
  <c r="I6145" i="7"/>
  <c r="I6146" i="7"/>
  <c r="I6147" i="7"/>
  <c r="I6148" i="7"/>
  <c r="I6149" i="7"/>
  <c r="I6150" i="7"/>
  <c r="I6151" i="7"/>
  <c r="I6152" i="7"/>
  <c r="I6153" i="7"/>
  <c r="I6154" i="7"/>
  <c r="I6155" i="7"/>
  <c r="I6156" i="7"/>
  <c r="I6157" i="7"/>
  <c r="I6158" i="7"/>
  <c r="I6159" i="7"/>
  <c r="I6160" i="7"/>
  <c r="I6161" i="7"/>
  <c r="I6162" i="7"/>
  <c r="I6163" i="7"/>
  <c r="I6164" i="7"/>
  <c r="I6165" i="7"/>
  <c r="I6166" i="7"/>
  <c r="I6167" i="7"/>
  <c r="I6168" i="7"/>
  <c r="I6169" i="7"/>
  <c r="I6170" i="7"/>
  <c r="I6171" i="7"/>
  <c r="I6172" i="7"/>
  <c r="I6173" i="7"/>
  <c r="I6174" i="7"/>
  <c r="I6175" i="7"/>
  <c r="I6176" i="7"/>
  <c r="I6177" i="7"/>
  <c r="I6178" i="7"/>
  <c r="I6179" i="7"/>
  <c r="I6180" i="7"/>
  <c r="I6181" i="7"/>
  <c r="I6182" i="7"/>
  <c r="I6183" i="7"/>
  <c r="I6184" i="7"/>
  <c r="I6185" i="7"/>
  <c r="I6186" i="7"/>
  <c r="I6187" i="7"/>
  <c r="I6188" i="7"/>
  <c r="I6189" i="7"/>
  <c r="I6190" i="7"/>
  <c r="I6191" i="7"/>
  <c r="I6192" i="7"/>
  <c r="I6193" i="7"/>
  <c r="I6194" i="7"/>
  <c r="I6195" i="7"/>
  <c r="I6196" i="7"/>
  <c r="I6197" i="7"/>
  <c r="I6198" i="7"/>
  <c r="I6199" i="7"/>
  <c r="I6200" i="7"/>
  <c r="I6201" i="7"/>
  <c r="I6202" i="7"/>
  <c r="I6203" i="7"/>
  <c r="I6204" i="7"/>
  <c r="I6205" i="7"/>
  <c r="I6206" i="7"/>
  <c r="I6207" i="7"/>
  <c r="I6208" i="7"/>
  <c r="I6209" i="7"/>
  <c r="I6210" i="7"/>
  <c r="I6211" i="7"/>
  <c r="I6212" i="7"/>
  <c r="I6213" i="7"/>
  <c r="I6214" i="7"/>
  <c r="I6215" i="7"/>
  <c r="I6216" i="7"/>
  <c r="I6217" i="7"/>
  <c r="I6218" i="7"/>
  <c r="I6219" i="7"/>
  <c r="I6220" i="7"/>
  <c r="I6221" i="7"/>
  <c r="I6222" i="7"/>
  <c r="I6223" i="7"/>
  <c r="I6224" i="7"/>
  <c r="I6225" i="7"/>
  <c r="I6226" i="7"/>
  <c r="I6227" i="7"/>
  <c r="I6228" i="7"/>
  <c r="I6229" i="7"/>
  <c r="I6230" i="7"/>
  <c r="I6231" i="7"/>
  <c r="I6232" i="7"/>
  <c r="I6233" i="7"/>
  <c r="I6234" i="7"/>
  <c r="I6235" i="7"/>
  <c r="I6236" i="7"/>
  <c r="I6237" i="7"/>
  <c r="I6238" i="7"/>
  <c r="I6239" i="7"/>
  <c r="I6240" i="7"/>
  <c r="I6241" i="7"/>
  <c r="I6242" i="7"/>
  <c r="I6243" i="7"/>
  <c r="I6244" i="7"/>
  <c r="I6245" i="7"/>
  <c r="I6246" i="7"/>
  <c r="I6247" i="7"/>
  <c r="I6248" i="7"/>
  <c r="I6249" i="7"/>
  <c r="I6250" i="7"/>
  <c r="I6251" i="7"/>
  <c r="I6252" i="7"/>
  <c r="I6253" i="7"/>
  <c r="I6254" i="7"/>
  <c r="I6255" i="7"/>
  <c r="I6256" i="7"/>
  <c r="I6257" i="7"/>
  <c r="I6258" i="7"/>
  <c r="I6259" i="7"/>
  <c r="I6260" i="7"/>
  <c r="I6261" i="7"/>
  <c r="I6262" i="7"/>
  <c r="I6263" i="7"/>
  <c r="I6264" i="7"/>
  <c r="I6265" i="7"/>
  <c r="I6266" i="7"/>
  <c r="I6267" i="7"/>
  <c r="I6268" i="7"/>
  <c r="I6269" i="7"/>
  <c r="I6270" i="7"/>
  <c r="I6271" i="7"/>
  <c r="I6272" i="7"/>
  <c r="I6273" i="7"/>
  <c r="I6274" i="7"/>
  <c r="I6275" i="7"/>
  <c r="I6276" i="7"/>
  <c r="I6277" i="7"/>
  <c r="I6278" i="7"/>
  <c r="I6279" i="7"/>
  <c r="I6280" i="7"/>
  <c r="I6281" i="7"/>
  <c r="I6282" i="7"/>
  <c r="I6283" i="7"/>
  <c r="I6284" i="7"/>
  <c r="I6285" i="7"/>
  <c r="I6286" i="7"/>
  <c r="I6287" i="7"/>
  <c r="I6288" i="7"/>
  <c r="I6289" i="7"/>
  <c r="I6290" i="7"/>
  <c r="I6291" i="7"/>
  <c r="I6292" i="7"/>
  <c r="I6293" i="7"/>
  <c r="I6294" i="7"/>
  <c r="I6295" i="7"/>
  <c r="I6296" i="7"/>
  <c r="I6297" i="7"/>
  <c r="I6298" i="7"/>
  <c r="I6299" i="7"/>
  <c r="I6300" i="7"/>
  <c r="I6301" i="7"/>
  <c r="I6302" i="7"/>
  <c r="I6303" i="7"/>
  <c r="I6304" i="7"/>
  <c r="I6305" i="7"/>
  <c r="I6306" i="7"/>
  <c r="I6307" i="7"/>
  <c r="I6308" i="7"/>
  <c r="I6309" i="7"/>
  <c r="I6310" i="7"/>
  <c r="I6311" i="7"/>
  <c r="I6312" i="7"/>
  <c r="I6313" i="7"/>
  <c r="I6314" i="7"/>
  <c r="I6315" i="7"/>
  <c r="I6316" i="7"/>
  <c r="I6317" i="7"/>
  <c r="I6318" i="7"/>
  <c r="I6319" i="7"/>
  <c r="I6320" i="7"/>
  <c r="I6321" i="7"/>
  <c r="I6322" i="7"/>
  <c r="I6323" i="7"/>
  <c r="I6324" i="7"/>
  <c r="I6325" i="7"/>
  <c r="I6326" i="7"/>
  <c r="I6327" i="7"/>
  <c r="I6328" i="7"/>
  <c r="I6329" i="7"/>
  <c r="I6330" i="7"/>
  <c r="I6331" i="7"/>
  <c r="I6332" i="7"/>
  <c r="I6333" i="7"/>
  <c r="I6334" i="7"/>
  <c r="I6335" i="7"/>
  <c r="I6336" i="7"/>
  <c r="I6337" i="7"/>
  <c r="I6338" i="7"/>
  <c r="I6339" i="7"/>
  <c r="I6340" i="7"/>
  <c r="I6341" i="7"/>
  <c r="I6342" i="7"/>
  <c r="I6343" i="7"/>
  <c r="I6344" i="7"/>
  <c r="I6345" i="7"/>
  <c r="I6346" i="7"/>
  <c r="I6347" i="7"/>
  <c r="I6348" i="7"/>
  <c r="I6349" i="7"/>
  <c r="I6350" i="7"/>
  <c r="I6351" i="7"/>
  <c r="I6352" i="7"/>
  <c r="I6353" i="7"/>
  <c r="I6354" i="7"/>
  <c r="I6355" i="7"/>
  <c r="I6356" i="7"/>
  <c r="I6357" i="7"/>
  <c r="I6358" i="7"/>
  <c r="I6359" i="7"/>
  <c r="I6360" i="7"/>
  <c r="I6361" i="7"/>
  <c r="I6362" i="7"/>
  <c r="I6363" i="7"/>
  <c r="I6364" i="7"/>
  <c r="I6365" i="7"/>
  <c r="I6366" i="7"/>
  <c r="I6367" i="7"/>
  <c r="I6368" i="7"/>
  <c r="I6369" i="7"/>
  <c r="I6370" i="7"/>
  <c r="I6371" i="7"/>
  <c r="I6372" i="7"/>
  <c r="I6373" i="7"/>
  <c r="I6374" i="7"/>
  <c r="I6375" i="7"/>
  <c r="I6376" i="7"/>
  <c r="I6377" i="7"/>
  <c r="I6378" i="7"/>
  <c r="I6379" i="7"/>
  <c r="I6380" i="7"/>
  <c r="I6381" i="7"/>
  <c r="I6382" i="7"/>
  <c r="I6383" i="7"/>
  <c r="I6384" i="7"/>
  <c r="I6385" i="7"/>
  <c r="I6386" i="7"/>
  <c r="I6387" i="7"/>
  <c r="I6388" i="7"/>
  <c r="I6389" i="7"/>
  <c r="I6390" i="7"/>
  <c r="I6391" i="7"/>
  <c r="I6392" i="7"/>
  <c r="I6393" i="7"/>
  <c r="I6394" i="7"/>
  <c r="I6395" i="7"/>
  <c r="I6396" i="7"/>
  <c r="I6397" i="7"/>
  <c r="I6398" i="7"/>
  <c r="I6399" i="7"/>
  <c r="I6400" i="7"/>
  <c r="I6401" i="7"/>
  <c r="I6402" i="7"/>
  <c r="I6403" i="7"/>
  <c r="I6404" i="7"/>
  <c r="I6405" i="7"/>
  <c r="I6406" i="7"/>
  <c r="I6407" i="7"/>
  <c r="I6408" i="7"/>
  <c r="I6409" i="7"/>
  <c r="I6410" i="7"/>
  <c r="I6411" i="7"/>
  <c r="I6412" i="7"/>
  <c r="I6413" i="7"/>
  <c r="I6414" i="7"/>
  <c r="I6415" i="7"/>
  <c r="I6416" i="7"/>
  <c r="I6417" i="7"/>
  <c r="I6418" i="7"/>
  <c r="I6419" i="7"/>
  <c r="I6420" i="7"/>
  <c r="I6421" i="7"/>
  <c r="I6422" i="7"/>
  <c r="I6423" i="7"/>
  <c r="I6424" i="7"/>
  <c r="I6425" i="7"/>
  <c r="I6426" i="7"/>
  <c r="I6427" i="7"/>
  <c r="I6428" i="7"/>
  <c r="I6429" i="7"/>
  <c r="I6430" i="7"/>
  <c r="I6431" i="7"/>
  <c r="I6432" i="7"/>
  <c r="I6433" i="7"/>
  <c r="I6434" i="7"/>
  <c r="I6435" i="7"/>
  <c r="I6436" i="7"/>
  <c r="I6437" i="7"/>
  <c r="I6438" i="7"/>
  <c r="I6439" i="7"/>
  <c r="I6440" i="7"/>
  <c r="I6441" i="7"/>
  <c r="I6442" i="7"/>
  <c r="I6443" i="7"/>
  <c r="I6444" i="7"/>
  <c r="I6445" i="7"/>
  <c r="I6446" i="7"/>
  <c r="I6447" i="7"/>
  <c r="I6448" i="7"/>
  <c r="I6449" i="7"/>
  <c r="I6450" i="7"/>
  <c r="I6451" i="7"/>
  <c r="I6452" i="7"/>
  <c r="I6453" i="7"/>
  <c r="I6454" i="7"/>
  <c r="I6455" i="7"/>
  <c r="I6456" i="7"/>
  <c r="I6457" i="7"/>
  <c r="I6458" i="7"/>
  <c r="I6459" i="7"/>
  <c r="I6460" i="7"/>
  <c r="I6461" i="7"/>
  <c r="I6462" i="7"/>
  <c r="I6463" i="7"/>
  <c r="I6464" i="7"/>
  <c r="I6465" i="7"/>
  <c r="I6466" i="7"/>
  <c r="I6467" i="7"/>
  <c r="I6468" i="7"/>
  <c r="I6469" i="7"/>
  <c r="I6470" i="7"/>
  <c r="I6471" i="7"/>
  <c r="I6472" i="7"/>
  <c r="I6473" i="7"/>
  <c r="I6474" i="7"/>
  <c r="I6475" i="7"/>
  <c r="I6476" i="7"/>
  <c r="I6477" i="7"/>
  <c r="I6478" i="7"/>
  <c r="I6479" i="7"/>
  <c r="I6480" i="7"/>
  <c r="I6481" i="7"/>
  <c r="I6482" i="7"/>
  <c r="I6483" i="7"/>
  <c r="I6484" i="7"/>
  <c r="I6485" i="7"/>
  <c r="I6486" i="7"/>
  <c r="I6487" i="7"/>
  <c r="I6488" i="7"/>
  <c r="I6489" i="7"/>
  <c r="I6490" i="7"/>
  <c r="I6491" i="7"/>
  <c r="I6492" i="7"/>
  <c r="I6493" i="7"/>
  <c r="I6494" i="7"/>
  <c r="I6495" i="7"/>
  <c r="I6496" i="7"/>
  <c r="I6497" i="7"/>
  <c r="I6498" i="7"/>
  <c r="I6499" i="7"/>
  <c r="I6500" i="7"/>
  <c r="I6501" i="7"/>
  <c r="I6502" i="7"/>
  <c r="I6503" i="7"/>
  <c r="I6504" i="7"/>
  <c r="I6505" i="7"/>
  <c r="I6506" i="7"/>
  <c r="I6507" i="7"/>
  <c r="I6508" i="7"/>
  <c r="I6509" i="7"/>
  <c r="I6510" i="7"/>
  <c r="I6511" i="7"/>
  <c r="I6512" i="7"/>
  <c r="I6513" i="7"/>
  <c r="I6514" i="7"/>
  <c r="I6515" i="7"/>
  <c r="I6516" i="7"/>
  <c r="I6517" i="7"/>
  <c r="I6518" i="7"/>
  <c r="I6519" i="7"/>
  <c r="I6520" i="7"/>
  <c r="I6521" i="7"/>
  <c r="I6522" i="7"/>
  <c r="I6523" i="7"/>
  <c r="I6524" i="7"/>
  <c r="I6525" i="7"/>
  <c r="I6526" i="7"/>
  <c r="I6527" i="7"/>
  <c r="I6528" i="7"/>
  <c r="I6529" i="7"/>
  <c r="I6530" i="7"/>
  <c r="I6531" i="7"/>
  <c r="I6532" i="7"/>
  <c r="I6533" i="7"/>
  <c r="I6534" i="7"/>
  <c r="I6535" i="7"/>
  <c r="I6536" i="7"/>
  <c r="I6537" i="7"/>
  <c r="I6538" i="7"/>
  <c r="I6539" i="7"/>
  <c r="I6540" i="7"/>
  <c r="I6541" i="7"/>
  <c r="I6542" i="7"/>
  <c r="I6543" i="7"/>
  <c r="I6544" i="7"/>
  <c r="I6545" i="7"/>
  <c r="I6546" i="7"/>
  <c r="I6547" i="7"/>
  <c r="I6548" i="7"/>
  <c r="I6549" i="7"/>
  <c r="I6550" i="7"/>
  <c r="I6551" i="7"/>
  <c r="I6552" i="7"/>
  <c r="I6553" i="7"/>
  <c r="I6554" i="7"/>
  <c r="I6555" i="7"/>
  <c r="I6556" i="7"/>
  <c r="I6557" i="7"/>
  <c r="I6558" i="7"/>
  <c r="I6559" i="7"/>
  <c r="I6560" i="7"/>
  <c r="I6561" i="7"/>
  <c r="I6562" i="7"/>
  <c r="I6563" i="7"/>
  <c r="I6564" i="7"/>
  <c r="I6565" i="7"/>
  <c r="I6566" i="7"/>
  <c r="I6567" i="7"/>
  <c r="I6568" i="7"/>
  <c r="I6569" i="7"/>
  <c r="I6570" i="7"/>
  <c r="I6571" i="7"/>
  <c r="I6572" i="7"/>
  <c r="I6573" i="7"/>
  <c r="I6574" i="7"/>
  <c r="I6575" i="7"/>
  <c r="I6576" i="7"/>
  <c r="I6577" i="7"/>
  <c r="I6578" i="7"/>
  <c r="I6579" i="7"/>
  <c r="I6580" i="7"/>
  <c r="I6581" i="7"/>
  <c r="I6582" i="7"/>
  <c r="I6583" i="7"/>
  <c r="I6584" i="7"/>
  <c r="I6585" i="7"/>
  <c r="I6586" i="7"/>
  <c r="I6587" i="7"/>
  <c r="I6588" i="7"/>
  <c r="I6589" i="7"/>
  <c r="I6590" i="7"/>
  <c r="I6591" i="7"/>
  <c r="I6592" i="7"/>
  <c r="I6593" i="7"/>
  <c r="I6594" i="7"/>
  <c r="I6595" i="7"/>
  <c r="I6596" i="7"/>
  <c r="I6597" i="7"/>
  <c r="I6598" i="7"/>
  <c r="I6599" i="7"/>
  <c r="I6600" i="7"/>
  <c r="I6601" i="7"/>
  <c r="I6602" i="7"/>
  <c r="I6603" i="7"/>
  <c r="I6604" i="7"/>
  <c r="I6605" i="7"/>
  <c r="I6606" i="7"/>
  <c r="I6607" i="7"/>
  <c r="I6608" i="7"/>
  <c r="I6609" i="7"/>
  <c r="I6610" i="7"/>
  <c r="I6611" i="7"/>
  <c r="I6612" i="7"/>
  <c r="I6613" i="7"/>
  <c r="I6614" i="7"/>
  <c r="I6615" i="7"/>
  <c r="I6616" i="7"/>
  <c r="I6617" i="7"/>
  <c r="I6618" i="7"/>
  <c r="I6619" i="7"/>
  <c r="I6620" i="7"/>
  <c r="I6621" i="7"/>
  <c r="I6622" i="7"/>
  <c r="I6623" i="7"/>
  <c r="I6624" i="7"/>
  <c r="I6625" i="7"/>
  <c r="I6626" i="7"/>
  <c r="I6627" i="7"/>
  <c r="I6628" i="7"/>
  <c r="I6629" i="7"/>
  <c r="I6630" i="7"/>
  <c r="I6631" i="7"/>
  <c r="I6632" i="7"/>
  <c r="I6633" i="7"/>
  <c r="I6634" i="7"/>
  <c r="I6635" i="7"/>
  <c r="I6636" i="7"/>
  <c r="I6637" i="7"/>
  <c r="I6638" i="7"/>
  <c r="I6639" i="7"/>
  <c r="I6640" i="7"/>
  <c r="I6641" i="7"/>
  <c r="I6642" i="7"/>
  <c r="I6643" i="7"/>
  <c r="I6644" i="7"/>
  <c r="I6645" i="7"/>
  <c r="I6646" i="7"/>
  <c r="I6647" i="7"/>
  <c r="I6648" i="7"/>
  <c r="I6649" i="7"/>
  <c r="I6650" i="7"/>
  <c r="I6651" i="7"/>
  <c r="I6652" i="7"/>
  <c r="I6653" i="7"/>
  <c r="I6654" i="7"/>
  <c r="I6655" i="7"/>
  <c r="I6656" i="7"/>
  <c r="I6657" i="7"/>
  <c r="I6658" i="7"/>
  <c r="I6659" i="7"/>
  <c r="I6660" i="7"/>
  <c r="I6661" i="7"/>
  <c r="I6662" i="7"/>
  <c r="I6663" i="7"/>
  <c r="I6664" i="7"/>
  <c r="I6665" i="7"/>
  <c r="I6666" i="7"/>
  <c r="I6667" i="7"/>
  <c r="I6668" i="7"/>
  <c r="I6669" i="7"/>
  <c r="I6670" i="7"/>
  <c r="I6671" i="7"/>
  <c r="I6672" i="7"/>
  <c r="I6673" i="7"/>
  <c r="I6674" i="7"/>
  <c r="I6675" i="7"/>
  <c r="I6676" i="7"/>
  <c r="I6677" i="7"/>
  <c r="I6678" i="7"/>
  <c r="I6679" i="7"/>
  <c r="I6680" i="7"/>
  <c r="I6681" i="7"/>
  <c r="I6682" i="7"/>
  <c r="I6683" i="7"/>
  <c r="I6684" i="7"/>
  <c r="I6685" i="7"/>
  <c r="I6686" i="7"/>
  <c r="I6687" i="7"/>
  <c r="I6688" i="7"/>
  <c r="I6689" i="7"/>
  <c r="I6690" i="7"/>
  <c r="I6691" i="7"/>
  <c r="I6692" i="7"/>
  <c r="I6693" i="7"/>
  <c r="I6694" i="7"/>
  <c r="I6695" i="7"/>
  <c r="I6696" i="7"/>
  <c r="I6697" i="7"/>
  <c r="I6698" i="7"/>
  <c r="I6699" i="7"/>
  <c r="I6700" i="7"/>
  <c r="I6701" i="7"/>
  <c r="I6702" i="7"/>
  <c r="I6703" i="7"/>
  <c r="I6704" i="7"/>
  <c r="I6705" i="7"/>
  <c r="I6706" i="7"/>
  <c r="I6707" i="7"/>
  <c r="I6708" i="7"/>
  <c r="I6709" i="7"/>
  <c r="I6710" i="7"/>
  <c r="I6711" i="7"/>
  <c r="I6712" i="7"/>
  <c r="I6713" i="7"/>
  <c r="I6714" i="7"/>
  <c r="I6715" i="7"/>
  <c r="I6716" i="7"/>
  <c r="I6717" i="7"/>
  <c r="I6718" i="7"/>
  <c r="I6719" i="7"/>
  <c r="I6720" i="7"/>
  <c r="I6721" i="7"/>
  <c r="I6722" i="7"/>
  <c r="I6723" i="7"/>
  <c r="I6724" i="7"/>
  <c r="I6725" i="7"/>
  <c r="I6726" i="7"/>
  <c r="I6727" i="7"/>
  <c r="I6728" i="7"/>
  <c r="I6729" i="7"/>
  <c r="I6730" i="7"/>
  <c r="I6731" i="7"/>
  <c r="I6732" i="7"/>
  <c r="I6733" i="7"/>
  <c r="I6734" i="7"/>
  <c r="I6735" i="7"/>
  <c r="I6736" i="7"/>
  <c r="I6737" i="7"/>
  <c r="I6738" i="7"/>
  <c r="I6739" i="7"/>
  <c r="I6740" i="7"/>
  <c r="I6741" i="7"/>
  <c r="I6742" i="7"/>
  <c r="I6743" i="7"/>
  <c r="I6744" i="7"/>
  <c r="I6745" i="7"/>
  <c r="I6746" i="7"/>
  <c r="I6747" i="7"/>
  <c r="I6748" i="7"/>
  <c r="I6749" i="7"/>
  <c r="I6750" i="7"/>
  <c r="I6751" i="7"/>
  <c r="I6752" i="7"/>
  <c r="I6753" i="7"/>
  <c r="I6754" i="7"/>
  <c r="I6755" i="7"/>
  <c r="I6756" i="7"/>
  <c r="I6757" i="7"/>
  <c r="I6758" i="7"/>
  <c r="I6759" i="7"/>
  <c r="I6760" i="7"/>
  <c r="I6761" i="7"/>
  <c r="I6762" i="7"/>
  <c r="I6763" i="7"/>
  <c r="I6764" i="7"/>
  <c r="I6765" i="7"/>
  <c r="I6766" i="7"/>
  <c r="I6767" i="7"/>
  <c r="I6768" i="7"/>
  <c r="I6769" i="7"/>
  <c r="I6770" i="7"/>
  <c r="I6771" i="7"/>
  <c r="I6772" i="7"/>
  <c r="I6773" i="7"/>
  <c r="I6774" i="7"/>
  <c r="I6775" i="7"/>
  <c r="I6776" i="7"/>
  <c r="I6777" i="7"/>
  <c r="I6778" i="7"/>
  <c r="I6779" i="7"/>
  <c r="I6780" i="7"/>
  <c r="I6781" i="7"/>
  <c r="I6782" i="7"/>
  <c r="I6783" i="7"/>
  <c r="I6784" i="7"/>
  <c r="I6785" i="7"/>
  <c r="I6786" i="7"/>
  <c r="I6787" i="7"/>
  <c r="I6788" i="7"/>
  <c r="I6789" i="7"/>
  <c r="I6790" i="7"/>
  <c r="I6791" i="7"/>
  <c r="I6792" i="7"/>
  <c r="I6793" i="7"/>
  <c r="I6794" i="7"/>
  <c r="I6795" i="7"/>
  <c r="I6796" i="7"/>
  <c r="I6797" i="7"/>
  <c r="I6798" i="7"/>
  <c r="I6799" i="7"/>
  <c r="I6800" i="7"/>
  <c r="I6801" i="7"/>
  <c r="I6802" i="7"/>
  <c r="I6803" i="7"/>
  <c r="I6804" i="7"/>
  <c r="I6805" i="7"/>
  <c r="I6806" i="7"/>
  <c r="I6807" i="7"/>
  <c r="I6808" i="7"/>
  <c r="I6809" i="7"/>
  <c r="I6810" i="7"/>
  <c r="I6811" i="7"/>
  <c r="I6812" i="7"/>
  <c r="I6813" i="7"/>
  <c r="I6814" i="7"/>
  <c r="I6815" i="7"/>
  <c r="I6816" i="7"/>
  <c r="I6817" i="7"/>
  <c r="I6818" i="7"/>
  <c r="I6819" i="7"/>
  <c r="I6820" i="7"/>
  <c r="I6821" i="7"/>
  <c r="I6822" i="7"/>
  <c r="I6823" i="7"/>
  <c r="I6824" i="7"/>
  <c r="I6825" i="7"/>
  <c r="I6826" i="7"/>
  <c r="I6827" i="7"/>
  <c r="I6828" i="7"/>
  <c r="I6829" i="7"/>
  <c r="I6830" i="7"/>
  <c r="I6831" i="7"/>
  <c r="I6832" i="7"/>
  <c r="I6833" i="7"/>
  <c r="I6834" i="7"/>
  <c r="I6835" i="7"/>
  <c r="I6836" i="7"/>
  <c r="I6837" i="7"/>
  <c r="I6838" i="7"/>
  <c r="I6839" i="7"/>
  <c r="I6840" i="7"/>
  <c r="I6841" i="7"/>
  <c r="I6842" i="7"/>
  <c r="I6843" i="7"/>
  <c r="I6844" i="7"/>
  <c r="I6845" i="7"/>
  <c r="I6846" i="7"/>
  <c r="I6847" i="7"/>
  <c r="I6848" i="7"/>
  <c r="I6849" i="7"/>
  <c r="I6850" i="7"/>
  <c r="I6851" i="7"/>
  <c r="I6852" i="7"/>
  <c r="I6853" i="7"/>
  <c r="I6854" i="7"/>
  <c r="I6855" i="7"/>
  <c r="I6856" i="7"/>
  <c r="I6857" i="7"/>
  <c r="I6858" i="7"/>
  <c r="I6859" i="7"/>
  <c r="I6860" i="7"/>
  <c r="I6861" i="7"/>
  <c r="I6862" i="7"/>
  <c r="I6863" i="7"/>
  <c r="I6864" i="7"/>
  <c r="I6865" i="7"/>
  <c r="I6866" i="7"/>
  <c r="I6867" i="7"/>
  <c r="I6868" i="7"/>
  <c r="I6869" i="7"/>
  <c r="I6870" i="7"/>
  <c r="I6871" i="7"/>
  <c r="I6872" i="7"/>
  <c r="I6873" i="7"/>
  <c r="I6874" i="7"/>
  <c r="I6875" i="7"/>
  <c r="I6876" i="7"/>
  <c r="I6877" i="7"/>
  <c r="I6878" i="7"/>
  <c r="I6879" i="7"/>
  <c r="I6880" i="7"/>
  <c r="I6881" i="7"/>
  <c r="I6882" i="7"/>
  <c r="I6883" i="7"/>
  <c r="I6884" i="7"/>
  <c r="I6885" i="7"/>
  <c r="I6886" i="7"/>
  <c r="I6887" i="7"/>
  <c r="I6888" i="7"/>
  <c r="I6889" i="7"/>
  <c r="I6890" i="7"/>
  <c r="I6891" i="7"/>
  <c r="I6892" i="7"/>
  <c r="I6893" i="7"/>
  <c r="I6894" i="7"/>
  <c r="I6895" i="7"/>
  <c r="I6896" i="7"/>
  <c r="I6897" i="7"/>
  <c r="I6898" i="7"/>
  <c r="I6899" i="7"/>
  <c r="I6900" i="7"/>
  <c r="I6901" i="7"/>
  <c r="I6902" i="7"/>
  <c r="I6903" i="7"/>
  <c r="I6904" i="7"/>
  <c r="I6905" i="7"/>
  <c r="I6906" i="7"/>
  <c r="I6907" i="7"/>
  <c r="I6908" i="7"/>
  <c r="I6909" i="7"/>
  <c r="I6910" i="7"/>
  <c r="I6911" i="7"/>
  <c r="I6912" i="7"/>
  <c r="I6913" i="7"/>
  <c r="I6914" i="7"/>
  <c r="I6915" i="7"/>
  <c r="I6916" i="7"/>
  <c r="I6917" i="7"/>
  <c r="I6918" i="7"/>
  <c r="I6919" i="7"/>
  <c r="I6920" i="7"/>
  <c r="I6921" i="7"/>
  <c r="I6922" i="7"/>
  <c r="I6923" i="7"/>
  <c r="I6924" i="7"/>
  <c r="I6925" i="7"/>
  <c r="I6926" i="7"/>
  <c r="I6927" i="7"/>
  <c r="I6928" i="7"/>
  <c r="I6929" i="7"/>
  <c r="I6930" i="7"/>
  <c r="I6931" i="7"/>
  <c r="I6932" i="7"/>
  <c r="I6933" i="7"/>
  <c r="I6934" i="7"/>
  <c r="I6935" i="7"/>
  <c r="I6936" i="7"/>
  <c r="I6937" i="7"/>
  <c r="I6938" i="7"/>
  <c r="I6939" i="7"/>
  <c r="I6940" i="7"/>
  <c r="I6941" i="7"/>
  <c r="I6942" i="7"/>
  <c r="I6943" i="7"/>
  <c r="I6944" i="7"/>
  <c r="I6945" i="7"/>
  <c r="I6946" i="7"/>
  <c r="I6947" i="7"/>
  <c r="I6948" i="7"/>
  <c r="I6949" i="7"/>
  <c r="I6950" i="7"/>
  <c r="I6951" i="7"/>
  <c r="I6952" i="7"/>
  <c r="I6953" i="7"/>
  <c r="I6954" i="7"/>
  <c r="I6955" i="7"/>
  <c r="I6956" i="7"/>
  <c r="I6957" i="7"/>
  <c r="I6958" i="7"/>
  <c r="I6959" i="7"/>
  <c r="I6960" i="7"/>
  <c r="I6961" i="7"/>
  <c r="I6962" i="7"/>
  <c r="I6963" i="7"/>
  <c r="I6964" i="7"/>
  <c r="I6965" i="7"/>
  <c r="I6966" i="7"/>
  <c r="I6967" i="7"/>
  <c r="I6968" i="7"/>
  <c r="I6969" i="7"/>
  <c r="I6970" i="7"/>
  <c r="I6971" i="7"/>
  <c r="I6972" i="7"/>
  <c r="I6973" i="7"/>
  <c r="I6974" i="7"/>
  <c r="I6975" i="7"/>
  <c r="I6976" i="7"/>
  <c r="I6977" i="7"/>
  <c r="I6978" i="7"/>
  <c r="I6979" i="7"/>
  <c r="I6980" i="7"/>
  <c r="I6981" i="7"/>
  <c r="I6982" i="7"/>
  <c r="I6983" i="7"/>
  <c r="I6984" i="7"/>
  <c r="I6985" i="7"/>
  <c r="I6986" i="7"/>
  <c r="I6987" i="7"/>
  <c r="I6988" i="7"/>
  <c r="I6989" i="7"/>
  <c r="I6990" i="7"/>
  <c r="I6991" i="7"/>
  <c r="I6992" i="7"/>
  <c r="I6993" i="7"/>
  <c r="I6994" i="7"/>
  <c r="I6995" i="7"/>
  <c r="I6996" i="7"/>
  <c r="I6997" i="7"/>
  <c r="I6998" i="7"/>
  <c r="I6999" i="7"/>
  <c r="I7000" i="7"/>
  <c r="I7001" i="7"/>
  <c r="I7002" i="7"/>
  <c r="I7003" i="7"/>
  <c r="I7004" i="7"/>
  <c r="I7005" i="7"/>
  <c r="I7006" i="7"/>
  <c r="I7007" i="7"/>
  <c r="I7008" i="7"/>
  <c r="I7009" i="7"/>
  <c r="I7010" i="7"/>
  <c r="I7011" i="7"/>
  <c r="I7012" i="7"/>
  <c r="I7013" i="7"/>
  <c r="I7014" i="7"/>
  <c r="I7015" i="7"/>
  <c r="I7016" i="7"/>
  <c r="I7017" i="7"/>
  <c r="I7018" i="7"/>
  <c r="I7019" i="7"/>
  <c r="I7020" i="7"/>
  <c r="I7021" i="7"/>
  <c r="I7022" i="7"/>
  <c r="I7023" i="7"/>
  <c r="I7024" i="7"/>
  <c r="I7025" i="7"/>
  <c r="I7026" i="7"/>
  <c r="I7027" i="7"/>
  <c r="I7028" i="7"/>
  <c r="I7029" i="7"/>
  <c r="I7030" i="7"/>
  <c r="I7031" i="7"/>
  <c r="I7032" i="7"/>
  <c r="I7033" i="7"/>
  <c r="I7034" i="7"/>
  <c r="I7035" i="7"/>
  <c r="I7036" i="7"/>
  <c r="I7037" i="7"/>
  <c r="I7038" i="7"/>
  <c r="I7039" i="7"/>
  <c r="I7040" i="7"/>
  <c r="I7041" i="7"/>
  <c r="I7042" i="7"/>
  <c r="I7043" i="7"/>
  <c r="I7044" i="7"/>
  <c r="I7045" i="7"/>
  <c r="I7046" i="7"/>
  <c r="I7047" i="7"/>
  <c r="I7048" i="7"/>
  <c r="I7049" i="7"/>
  <c r="I7050" i="7"/>
  <c r="I7051" i="7"/>
  <c r="I7052" i="7"/>
  <c r="I7053" i="7"/>
  <c r="I7054" i="7"/>
  <c r="I7055" i="7"/>
  <c r="I7056" i="7"/>
  <c r="I7057" i="7"/>
  <c r="I7058" i="7"/>
  <c r="I7059" i="7"/>
  <c r="I7060" i="7"/>
  <c r="I7061" i="7"/>
  <c r="I7062" i="7"/>
  <c r="I7063" i="7"/>
  <c r="I7064" i="7"/>
  <c r="I7065" i="7"/>
  <c r="I7066" i="7"/>
  <c r="I7067" i="7"/>
  <c r="I7068" i="7"/>
  <c r="I7069" i="7"/>
  <c r="I7070" i="7"/>
  <c r="I7071" i="7"/>
  <c r="I7072" i="7"/>
  <c r="I7073" i="7"/>
  <c r="I7074" i="7"/>
  <c r="I7075" i="7"/>
  <c r="I7076" i="7"/>
  <c r="I7077" i="7"/>
  <c r="I7078" i="7"/>
  <c r="I7079" i="7"/>
  <c r="I7080" i="7"/>
  <c r="I7081" i="7"/>
  <c r="I7082" i="7"/>
  <c r="I7083" i="7"/>
  <c r="I7084" i="7"/>
  <c r="I7085" i="7"/>
  <c r="I7086" i="7"/>
  <c r="I7087" i="7"/>
  <c r="I7088" i="7"/>
  <c r="I7089" i="7"/>
  <c r="I7090" i="7"/>
  <c r="I7091" i="7"/>
  <c r="I7092" i="7"/>
  <c r="I7093" i="7"/>
  <c r="I7094" i="7"/>
  <c r="I7095" i="7"/>
  <c r="I7096" i="7"/>
  <c r="I7097" i="7"/>
  <c r="I7098" i="7"/>
  <c r="I7099" i="7"/>
  <c r="I7100" i="7"/>
  <c r="I7101" i="7"/>
  <c r="I7102" i="7"/>
  <c r="I7103" i="7"/>
  <c r="I7104" i="7"/>
  <c r="I7105" i="7"/>
  <c r="I7106" i="7"/>
  <c r="I7107" i="7"/>
  <c r="I7108" i="7"/>
  <c r="I7109" i="7"/>
  <c r="I7110" i="7"/>
  <c r="I7111" i="7"/>
  <c r="I7112" i="7"/>
  <c r="I7113" i="7"/>
  <c r="I7114" i="7"/>
  <c r="I7115" i="7"/>
  <c r="I7116" i="7"/>
  <c r="I7117" i="7"/>
  <c r="I7118" i="7"/>
  <c r="I7119" i="7"/>
  <c r="I7120" i="7"/>
  <c r="I7121" i="7"/>
  <c r="I7122" i="7"/>
  <c r="I7123" i="7"/>
  <c r="I7124" i="7"/>
  <c r="I7125" i="7"/>
  <c r="I7126" i="7"/>
  <c r="I7127" i="7"/>
  <c r="I7128" i="7"/>
  <c r="I7129" i="7"/>
  <c r="I7130" i="7"/>
  <c r="I7131" i="7"/>
  <c r="I7132" i="7"/>
  <c r="I7133" i="7"/>
  <c r="I7134" i="7"/>
  <c r="I7135" i="7"/>
  <c r="I7136" i="7"/>
  <c r="I7137" i="7"/>
  <c r="I7138" i="7"/>
  <c r="I7139" i="7"/>
  <c r="I7140" i="7"/>
  <c r="I7141" i="7"/>
  <c r="I7142" i="7"/>
  <c r="I7143" i="7"/>
  <c r="I7144" i="7"/>
  <c r="I7145" i="7"/>
  <c r="I7146" i="7"/>
  <c r="I7147" i="7"/>
  <c r="I7148" i="7"/>
  <c r="I7149" i="7"/>
  <c r="I7150" i="7"/>
  <c r="I7151" i="7"/>
  <c r="I7152" i="7"/>
  <c r="I7153" i="7"/>
  <c r="I7154" i="7"/>
  <c r="I7155" i="7"/>
  <c r="I7156" i="7"/>
  <c r="I7157" i="7"/>
  <c r="I7158" i="7"/>
  <c r="I7159" i="7"/>
  <c r="I7160" i="7"/>
  <c r="I7161" i="7"/>
  <c r="I7162" i="7"/>
  <c r="I7163" i="7"/>
  <c r="I7164" i="7"/>
  <c r="I7165" i="7"/>
  <c r="I7166" i="7"/>
  <c r="I7167" i="7"/>
  <c r="I7168" i="7"/>
  <c r="I7169" i="7"/>
  <c r="I7170" i="7"/>
  <c r="I7171" i="7"/>
  <c r="I7172" i="7"/>
  <c r="I7173" i="7"/>
  <c r="I7174" i="7"/>
  <c r="I7175" i="7"/>
  <c r="I7176" i="7"/>
  <c r="I7177" i="7"/>
  <c r="I7178" i="7"/>
  <c r="I7179" i="7"/>
  <c r="I7180" i="7"/>
  <c r="I7181" i="7"/>
  <c r="I7182" i="7"/>
  <c r="I7183" i="7"/>
  <c r="I7184" i="7"/>
  <c r="I7185" i="7"/>
  <c r="I7186" i="7"/>
  <c r="I7187" i="7"/>
  <c r="I7188" i="7"/>
  <c r="I7189" i="7"/>
  <c r="I7190" i="7"/>
  <c r="I7191" i="7"/>
  <c r="I7192" i="7"/>
  <c r="I7193" i="7"/>
  <c r="I7194" i="7"/>
  <c r="I7195" i="7"/>
  <c r="I7196" i="7"/>
  <c r="I7197" i="7"/>
  <c r="I7198" i="7"/>
  <c r="I7199" i="7"/>
  <c r="I7200" i="7"/>
  <c r="I7201" i="7"/>
  <c r="I7202" i="7"/>
  <c r="I7203" i="7"/>
  <c r="I7204" i="7"/>
  <c r="I7205" i="7"/>
  <c r="I7206" i="7"/>
  <c r="I7207" i="7"/>
  <c r="I7208" i="7"/>
  <c r="I7209" i="7"/>
  <c r="I7210" i="7"/>
  <c r="I7211" i="7"/>
  <c r="I7212" i="7"/>
  <c r="I7213" i="7"/>
  <c r="I7214" i="7"/>
  <c r="I7215" i="7"/>
  <c r="I7216" i="7"/>
  <c r="I7217" i="7"/>
  <c r="I7218" i="7"/>
  <c r="I7219" i="7"/>
  <c r="I7220" i="7"/>
  <c r="I7221" i="7"/>
  <c r="I7222" i="7"/>
  <c r="I7223" i="7"/>
  <c r="I7224" i="7"/>
  <c r="I7225" i="7"/>
  <c r="I7226" i="7"/>
  <c r="I7227" i="7"/>
  <c r="I7228" i="7"/>
  <c r="I7229" i="7"/>
  <c r="I7230" i="7"/>
  <c r="I7231" i="7"/>
  <c r="I7232" i="7"/>
  <c r="I7233" i="7"/>
  <c r="I7234" i="7"/>
  <c r="I7235" i="7"/>
  <c r="I7236" i="7"/>
  <c r="I7237" i="7"/>
  <c r="I7238" i="7"/>
  <c r="I7239" i="7"/>
  <c r="I7240" i="7"/>
  <c r="I7241" i="7"/>
  <c r="I7242" i="7"/>
  <c r="I7243" i="7"/>
  <c r="I7244" i="7"/>
  <c r="I7245" i="7"/>
  <c r="I7246" i="7"/>
  <c r="I7247" i="7"/>
  <c r="I7248" i="7"/>
  <c r="I7249" i="7"/>
  <c r="I7250" i="7"/>
  <c r="I7251" i="7"/>
  <c r="I7252" i="7"/>
  <c r="I7253" i="7"/>
  <c r="I7254" i="7"/>
  <c r="I7255" i="7"/>
  <c r="I7256" i="7"/>
  <c r="I7257" i="7"/>
  <c r="I7258" i="7"/>
  <c r="I7259" i="7"/>
  <c r="I7260" i="7"/>
  <c r="I7261" i="7"/>
  <c r="I7262" i="7"/>
  <c r="I7263" i="7"/>
  <c r="I7264" i="7"/>
  <c r="I7265" i="7"/>
  <c r="I7266" i="7"/>
  <c r="I7267" i="7"/>
  <c r="I7268" i="7"/>
  <c r="I7269" i="7"/>
  <c r="I7270" i="7"/>
  <c r="I7271" i="7"/>
  <c r="I7272" i="7"/>
  <c r="I7273" i="7"/>
  <c r="I7274" i="7"/>
  <c r="I7275" i="7"/>
  <c r="I7276" i="7"/>
  <c r="I7277" i="7"/>
  <c r="I7278" i="7"/>
  <c r="I7279" i="7"/>
  <c r="I7280" i="7"/>
  <c r="I7281" i="7"/>
  <c r="I7282" i="7"/>
  <c r="I7283" i="7"/>
  <c r="I7284" i="7"/>
  <c r="I7285" i="7"/>
  <c r="I7286" i="7"/>
  <c r="I7287" i="7"/>
  <c r="I7288" i="7"/>
  <c r="I7289" i="7"/>
  <c r="I7290" i="7"/>
  <c r="I7291" i="7"/>
  <c r="I7292" i="7"/>
  <c r="I7293" i="7"/>
  <c r="I7294" i="7"/>
  <c r="I7295" i="7"/>
  <c r="I7296" i="7"/>
  <c r="I7297" i="7"/>
  <c r="I7298" i="7"/>
  <c r="I7299" i="7"/>
  <c r="I7300" i="7"/>
  <c r="I7301" i="7"/>
  <c r="I7302" i="7"/>
  <c r="I7303" i="7"/>
  <c r="I7304" i="7"/>
  <c r="I7305" i="7"/>
  <c r="I7306" i="7"/>
  <c r="I7307" i="7"/>
  <c r="I7308" i="7"/>
  <c r="I7309" i="7"/>
  <c r="I7310" i="7"/>
  <c r="I7311" i="7"/>
  <c r="I7312" i="7"/>
  <c r="I7313" i="7"/>
  <c r="I7314" i="7"/>
  <c r="I7315" i="7"/>
  <c r="I7316" i="7"/>
  <c r="I7317" i="7"/>
  <c r="I7318" i="7"/>
  <c r="I7319" i="7"/>
  <c r="I7320" i="7"/>
  <c r="I7321" i="7"/>
  <c r="I7322" i="7"/>
  <c r="I7323" i="7"/>
  <c r="I7324" i="7"/>
  <c r="I7325" i="7"/>
  <c r="I7326" i="7"/>
  <c r="I7327" i="7"/>
  <c r="I7328" i="7"/>
  <c r="I7329" i="7"/>
  <c r="I7330" i="7"/>
  <c r="I7331" i="7"/>
  <c r="I7332" i="7"/>
  <c r="I7333" i="7"/>
  <c r="I7334" i="7"/>
  <c r="I7335" i="7"/>
  <c r="I7336" i="7"/>
  <c r="I7337" i="7"/>
  <c r="I7338" i="7"/>
  <c r="I7339" i="7"/>
  <c r="I7340" i="7"/>
  <c r="I7341" i="7"/>
  <c r="I7342" i="7"/>
  <c r="I7343" i="7"/>
  <c r="I7344" i="7"/>
  <c r="I7345" i="7"/>
  <c r="I7346" i="7"/>
  <c r="I7347" i="7"/>
  <c r="I7348" i="7"/>
  <c r="I7349" i="7"/>
  <c r="I7350" i="7"/>
  <c r="I7351" i="7"/>
  <c r="I7352" i="7"/>
  <c r="I7353" i="7"/>
  <c r="I7354" i="7"/>
  <c r="I7355" i="7"/>
  <c r="I7356" i="7"/>
  <c r="I7357" i="7"/>
  <c r="I7358" i="7"/>
  <c r="I7359" i="7"/>
  <c r="I7360" i="7"/>
  <c r="I7361" i="7"/>
  <c r="I7362" i="7"/>
  <c r="I7363" i="7"/>
  <c r="I7364" i="7"/>
  <c r="I7365" i="7"/>
  <c r="I7366" i="7"/>
  <c r="I7367" i="7"/>
  <c r="I7368" i="7"/>
  <c r="I7369" i="7"/>
  <c r="I7370" i="7"/>
  <c r="I7371" i="7"/>
  <c r="I7372" i="7"/>
  <c r="I7373" i="7"/>
  <c r="I7374" i="7"/>
  <c r="I7375" i="7"/>
  <c r="I7376" i="7"/>
  <c r="I7377" i="7"/>
  <c r="I7378" i="7"/>
  <c r="I7379" i="7"/>
  <c r="I7380" i="7"/>
  <c r="I7381" i="7"/>
  <c r="I7382" i="7"/>
  <c r="I7383" i="7"/>
  <c r="I7384" i="7"/>
  <c r="I7385" i="7"/>
  <c r="I7386" i="7"/>
  <c r="I7387" i="7"/>
  <c r="I7388" i="7"/>
  <c r="I7389" i="7"/>
  <c r="I7390" i="7"/>
  <c r="I7391" i="7"/>
  <c r="I7392" i="7"/>
  <c r="I7393" i="7"/>
  <c r="I7394" i="7"/>
  <c r="I7395" i="7"/>
  <c r="I7396" i="7"/>
  <c r="I7397" i="7"/>
  <c r="I7398" i="7"/>
  <c r="I7399" i="7"/>
  <c r="I7400" i="7"/>
  <c r="I7401" i="7"/>
  <c r="I7402" i="7"/>
  <c r="I7403" i="7"/>
  <c r="I7404" i="7"/>
  <c r="I7405" i="7"/>
  <c r="I7406" i="7"/>
  <c r="I7407" i="7"/>
  <c r="I7408" i="7"/>
  <c r="I7409" i="7"/>
  <c r="I7410" i="7"/>
  <c r="I7411" i="7"/>
  <c r="I7412" i="7"/>
  <c r="I7413" i="7"/>
  <c r="I7414" i="7"/>
  <c r="I7415" i="7"/>
  <c r="I7416" i="7"/>
  <c r="I7417" i="7"/>
  <c r="I7418" i="7"/>
  <c r="I7419" i="7"/>
  <c r="I7420" i="7"/>
  <c r="I7421" i="7"/>
  <c r="I7422" i="7"/>
  <c r="I7423" i="7"/>
  <c r="I7424" i="7"/>
  <c r="I7425" i="7"/>
  <c r="I7426" i="7"/>
  <c r="I7427" i="7"/>
  <c r="I7428" i="7"/>
  <c r="I7429" i="7"/>
  <c r="I7430" i="7"/>
  <c r="I7431" i="7"/>
  <c r="I7432" i="7"/>
  <c r="I7433" i="7"/>
  <c r="I7434" i="7"/>
  <c r="I7435" i="7"/>
  <c r="I7436" i="7"/>
  <c r="I7437" i="7"/>
  <c r="I7438" i="7"/>
  <c r="I7439" i="7"/>
  <c r="I7440" i="7"/>
  <c r="I7441" i="7"/>
  <c r="I7442" i="7"/>
  <c r="I7443" i="7"/>
  <c r="I7444" i="7"/>
  <c r="I7445" i="7"/>
  <c r="I7446" i="7"/>
  <c r="I7447" i="7"/>
  <c r="I7448" i="7"/>
  <c r="I7449" i="7"/>
  <c r="I7450" i="7"/>
  <c r="I7451" i="7"/>
  <c r="I7452" i="7"/>
  <c r="I7453" i="7"/>
  <c r="I7454" i="7"/>
  <c r="I7455" i="7"/>
  <c r="I7456" i="7"/>
  <c r="I7457" i="7"/>
  <c r="I7458" i="7"/>
  <c r="I7459" i="7"/>
  <c r="I7460" i="7"/>
  <c r="I7461" i="7"/>
  <c r="I7462" i="7"/>
  <c r="I7463" i="7"/>
  <c r="I7464" i="7"/>
  <c r="I7465" i="7"/>
  <c r="I7466" i="7"/>
  <c r="I7467" i="7"/>
  <c r="I7468" i="7"/>
  <c r="I7469" i="7"/>
  <c r="I7470" i="7"/>
  <c r="I7471" i="7"/>
  <c r="I7472" i="7"/>
  <c r="I7473" i="7"/>
  <c r="I7474" i="7"/>
  <c r="I7475" i="7"/>
  <c r="I7476" i="7"/>
  <c r="I7477" i="7"/>
  <c r="I7478" i="7"/>
  <c r="I7479" i="7"/>
  <c r="I7480" i="7"/>
  <c r="I7481" i="7"/>
  <c r="I7482" i="7"/>
  <c r="I7483" i="7"/>
  <c r="I7484" i="7"/>
  <c r="I7485" i="7"/>
  <c r="I7486" i="7"/>
  <c r="I7487" i="7"/>
  <c r="I7488" i="7"/>
  <c r="I7489" i="7"/>
  <c r="I7490" i="7"/>
  <c r="I7491" i="7"/>
  <c r="I7492" i="7"/>
  <c r="I7493" i="7"/>
  <c r="I7494" i="7"/>
  <c r="I7495" i="7"/>
  <c r="I7496" i="7"/>
  <c r="I7497" i="7"/>
  <c r="I7498" i="7"/>
  <c r="I7499" i="7"/>
  <c r="I7500" i="7"/>
  <c r="I7501" i="7"/>
  <c r="I7502" i="7"/>
  <c r="I7503" i="7"/>
  <c r="I7504" i="7"/>
  <c r="I7505" i="7"/>
  <c r="I7506" i="7"/>
  <c r="I7507" i="7"/>
  <c r="I7508" i="7"/>
  <c r="I7509" i="7"/>
  <c r="I7510" i="7"/>
  <c r="I7511" i="7"/>
  <c r="I7512" i="7"/>
  <c r="I7513" i="7"/>
  <c r="I7514" i="7"/>
  <c r="I7515" i="7"/>
  <c r="I7516" i="7"/>
  <c r="I7517" i="7"/>
  <c r="I7518" i="7"/>
  <c r="I7519" i="7"/>
  <c r="I7520" i="7"/>
  <c r="I7521" i="7"/>
  <c r="I7522" i="7"/>
  <c r="I7523" i="7"/>
  <c r="I7524" i="7"/>
  <c r="I7525" i="7"/>
  <c r="I7526" i="7"/>
  <c r="I7527" i="7"/>
  <c r="I7528" i="7"/>
  <c r="I7529" i="7"/>
  <c r="I7530" i="7"/>
  <c r="I7531" i="7"/>
  <c r="I7532" i="7"/>
  <c r="I7533" i="7"/>
  <c r="I7534" i="7"/>
  <c r="I7535" i="7"/>
  <c r="I7536" i="7"/>
  <c r="I7537" i="7"/>
  <c r="I7538" i="7"/>
  <c r="I7539" i="7"/>
  <c r="I7540" i="7"/>
  <c r="I7541" i="7"/>
  <c r="I7542" i="7"/>
  <c r="I7543" i="7"/>
  <c r="I7544" i="7"/>
  <c r="I7545" i="7"/>
  <c r="I7546" i="7"/>
  <c r="I7547" i="7"/>
  <c r="I7548" i="7"/>
  <c r="I7549" i="7"/>
  <c r="I7550" i="7"/>
  <c r="I7551" i="7"/>
  <c r="I7552" i="7"/>
  <c r="I7553" i="7"/>
  <c r="I7554" i="7"/>
  <c r="I7555" i="7"/>
  <c r="I7556" i="7"/>
  <c r="I7557" i="7"/>
  <c r="I7558" i="7"/>
  <c r="I7559" i="7"/>
  <c r="I7560" i="7"/>
  <c r="I7561" i="7"/>
  <c r="I7562" i="7"/>
  <c r="I7563" i="7"/>
  <c r="I7564" i="7"/>
  <c r="I7565" i="7"/>
  <c r="I7566" i="7"/>
  <c r="I7567" i="7"/>
  <c r="I7568" i="7"/>
  <c r="I7569" i="7"/>
  <c r="I7570" i="7"/>
  <c r="I7571" i="7"/>
  <c r="I7572" i="7"/>
  <c r="I7573" i="7"/>
  <c r="I7574" i="7"/>
  <c r="I7575" i="7"/>
  <c r="I7576" i="7"/>
  <c r="I7577" i="7"/>
  <c r="I7578" i="7"/>
  <c r="I7579" i="7"/>
  <c r="I7580" i="7"/>
  <c r="I7581" i="7"/>
  <c r="I7582" i="7"/>
  <c r="I7583" i="7"/>
  <c r="I7584" i="7"/>
  <c r="I7585" i="7"/>
  <c r="I7586" i="7"/>
  <c r="I7587" i="7"/>
  <c r="I7588" i="7"/>
  <c r="I7589" i="7"/>
  <c r="I7590" i="7"/>
  <c r="I7591" i="7"/>
  <c r="I7592" i="7"/>
  <c r="I7593" i="7"/>
  <c r="I7594" i="7"/>
  <c r="I7595" i="7"/>
  <c r="I7596" i="7"/>
  <c r="I7597" i="7"/>
  <c r="I7598" i="7"/>
  <c r="I7599" i="7"/>
  <c r="I7600" i="7"/>
  <c r="I7601" i="7"/>
  <c r="I7602" i="7"/>
  <c r="I7603" i="7"/>
  <c r="I7604" i="7"/>
  <c r="I7605" i="7"/>
  <c r="I7606" i="7"/>
  <c r="I7607" i="7"/>
  <c r="I7608" i="7"/>
  <c r="I7609" i="7"/>
  <c r="I7610" i="7"/>
  <c r="I7611" i="7"/>
  <c r="I7612" i="7"/>
  <c r="I7613" i="7"/>
  <c r="I7614" i="7"/>
  <c r="I7615" i="7"/>
  <c r="I7616" i="7"/>
  <c r="I7617" i="7"/>
  <c r="I7618" i="7"/>
  <c r="I7619" i="7"/>
  <c r="I7620" i="7"/>
  <c r="I7621" i="7"/>
  <c r="I7622" i="7"/>
  <c r="I7623" i="7"/>
  <c r="I7624" i="7"/>
  <c r="I7625" i="7"/>
  <c r="I7626" i="7"/>
  <c r="I7627" i="7"/>
  <c r="I7628" i="7"/>
  <c r="I7629" i="7"/>
  <c r="I7630" i="7"/>
  <c r="I7631" i="7"/>
  <c r="I7632" i="7"/>
  <c r="I7633" i="7"/>
  <c r="I7634" i="7"/>
  <c r="I7635" i="7"/>
  <c r="I7636" i="7"/>
  <c r="I7637" i="7"/>
  <c r="I7638" i="7"/>
  <c r="I7639" i="7"/>
  <c r="I7640" i="7"/>
  <c r="I7641" i="7"/>
  <c r="I7642" i="7"/>
  <c r="I7643" i="7"/>
  <c r="I7644" i="7"/>
  <c r="I7645" i="7"/>
  <c r="I7646" i="7"/>
  <c r="I7647" i="7"/>
  <c r="I7648" i="7"/>
  <c r="I7649" i="7"/>
  <c r="I7650" i="7"/>
  <c r="I7651" i="7"/>
  <c r="I7652" i="7"/>
  <c r="I7653" i="7"/>
  <c r="I7654" i="7"/>
  <c r="I7655" i="7"/>
  <c r="I7656" i="7"/>
  <c r="I7657" i="7"/>
  <c r="I7658" i="7"/>
  <c r="I7659" i="7"/>
  <c r="I7660" i="7"/>
  <c r="I7661" i="7"/>
  <c r="I7662" i="7"/>
  <c r="I7663" i="7"/>
  <c r="I7664" i="7"/>
  <c r="I7665" i="7"/>
  <c r="I7666" i="7"/>
  <c r="I7667" i="7"/>
  <c r="I7668" i="7"/>
  <c r="I7669" i="7"/>
  <c r="I7670" i="7"/>
  <c r="I7671" i="7"/>
  <c r="I7672" i="7"/>
  <c r="I7673" i="7"/>
  <c r="I7674" i="7"/>
  <c r="I7675" i="7"/>
  <c r="I7676" i="7"/>
  <c r="I7677" i="7"/>
  <c r="I7678" i="7"/>
  <c r="I7679" i="7"/>
  <c r="I7680" i="7"/>
  <c r="I7681" i="7"/>
  <c r="I7682" i="7"/>
  <c r="I7683" i="7"/>
  <c r="I7684" i="7"/>
  <c r="I7685" i="7"/>
  <c r="I7686" i="7"/>
  <c r="I7687" i="7"/>
  <c r="I7688" i="7"/>
  <c r="I7689" i="7"/>
  <c r="I7690" i="7"/>
  <c r="I7691" i="7"/>
  <c r="I7692" i="7"/>
  <c r="I7693" i="7"/>
  <c r="I7694" i="7"/>
  <c r="I7695" i="7"/>
  <c r="I7696" i="7"/>
  <c r="I7697" i="7"/>
  <c r="I7698" i="7"/>
  <c r="I7699" i="7"/>
  <c r="I7700" i="7"/>
  <c r="I7701" i="7"/>
  <c r="I7702" i="7"/>
  <c r="I7703" i="7"/>
  <c r="I7704" i="7"/>
  <c r="I7705" i="7"/>
  <c r="I7706" i="7"/>
  <c r="I7707" i="7"/>
  <c r="I7708" i="7"/>
  <c r="I7709" i="7"/>
  <c r="I7710" i="7"/>
  <c r="I7711" i="7"/>
  <c r="I7712" i="7"/>
  <c r="I7713" i="7"/>
  <c r="I7714" i="7"/>
  <c r="I7715" i="7"/>
  <c r="I7716" i="7"/>
  <c r="I7717" i="7"/>
  <c r="I7718" i="7"/>
  <c r="I7719" i="7"/>
  <c r="I7720" i="7"/>
  <c r="I7721" i="7"/>
  <c r="I7722" i="7"/>
  <c r="I7723" i="7"/>
  <c r="I7724" i="7"/>
  <c r="I7725" i="7"/>
  <c r="I7726" i="7"/>
  <c r="I7727" i="7"/>
  <c r="I7728" i="7"/>
  <c r="I7729" i="7"/>
  <c r="I7730" i="7"/>
  <c r="I7731" i="7"/>
  <c r="I7732" i="7"/>
  <c r="I7733" i="7"/>
  <c r="I7734" i="7"/>
  <c r="I7735" i="7"/>
  <c r="I7736" i="7"/>
  <c r="I7737" i="7"/>
  <c r="I7738" i="7"/>
  <c r="I7739" i="7"/>
  <c r="I7740" i="7"/>
  <c r="I7741" i="7"/>
  <c r="I7742" i="7"/>
  <c r="I7743" i="7"/>
  <c r="I7744" i="7"/>
  <c r="I7745" i="7"/>
  <c r="I7746" i="7"/>
  <c r="I7747" i="7"/>
  <c r="I7748" i="7"/>
  <c r="I7749" i="7"/>
  <c r="I7750" i="7"/>
  <c r="I7751" i="7"/>
  <c r="I7752" i="7"/>
  <c r="I7753" i="7"/>
  <c r="I7754" i="7"/>
  <c r="I7755" i="7"/>
  <c r="I7756" i="7"/>
  <c r="I7757" i="7"/>
  <c r="I7758" i="7"/>
  <c r="I7759" i="7"/>
  <c r="I7760" i="7"/>
  <c r="I7761" i="7"/>
  <c r="I7762" i="7"/>
  <c r="I7763" i="7"/>
  <c r="I7764" i="7"/>
  <c r="I7765" i="7"/>
  <c r="I7766" i="7"/>
  <c r="I7767" i="7"/>
  <c r="I7768" i="7"/>
  <c r="I7769" i="7"/>
  <c r="I7770" i="7"/>
  <c r="I7771" i="7"/>
  <c r="I7772" i="7"/>
  <c r="I7773" i="7"/>
  <c r="I7774" i="7"/>
  <c r="I7775" i="7"/>
  <c r="I7776" i="7"/>
  <c r="I7777" i="7"/>
  <c r="I7778" i="7"/>
  <c r="I7779" i="7"/>
  <c r="I7780" i="7"/>
  <c r="I7781" i="7"/>
  <c r="I7782" i="7"/>
  <c r="I7783" i="7"/>
  <c r="I7784" i="7"/>
  <c r="I7785" i="7"/>
  <c r="I7786" i="7"/>
  <c r="I7787" i="7"/>
  <c r="I7788" i="7"/>
  <c r="I7789" i="7"/>
  <c r="I7790" i="7"/>
  <c r="I7791" i="7"/>
  <c r="I7792" i="7"/>
  <c r="I7793" i="7"/>
  <c r="I7794" i="7"/>
  <c r="I7795" i="7"/>
  <c r="I7796" i="7"/>
  <c r="I7797" i="7"/>
  <c r="I7798" i="7"/>
  <c r="I7799" i="7"/>
  <c r="I7800" i="7"/>
  <c r="I7801" i="7"/>
  <c r="I7802" i="7"/>
  <c r="I7803" i="7"/>
  <c r="I7804" i="7"/>
  <c r="I7805" i="7"/>
  <c r="I7806" i="7"/>
  <c r="I7807" i="7"/>
  <c r="I7808" i="7"/>
  <c r="I7809" i="7"/>
  <c r="I7810" i="7"/>
  <c r="I7811" i="7"/>
  <c r="I7812" i="7"/>
  <c r="I7813" i="7"/>
  <c r="I7814" i="7"/>
  <c r="I7815" i="7"/>
  <c r="I7816" i="7"/>
  <c r="I7817" i="7"/>
  <c r="I7818" i="7"/>
  <c r="I7819" i="7"/>
  <c r="I7820" i="7"/>
  <c r="I7821" i="7"/>
  <c r="I7822" i="7"/>
  <c r="I7823" i="7"/>
  <c r="I7824" i="7"/>
  <c r="I7825" i="7"/>
  <c r="I7826" i="7"/>
  <c r="I7827" i="7"/>
  <c r="I7828" i="7"/>
  <c r="I7829" i="7"/>
  <c r="I7830" i="7"/>
  <c r="I7831" i="7"/>
  <c r="I7832" i="7"/>
  <c r="I7833" i="7"/>
  <c r="I7834" i="7"/>
  <c r="I7835" i="7"/>
  <c r="I7836" i="7"/>
  <c r="I7837" i="7"/>
  <c r="I7838" i="7"/>
  <c r="I7839" i="7"/>
  <c r="I7840" i="7"/>
  <c r="I7841" i="7"/>
  <c r="I7842" i="7"/>
  <c r="I7843" i="7"/>
  <c r="I7844" i="7"/>
  <c r="I7845" i="7"/>
  <c r="I7846" i="7"/>
  <c r="I7847" i="7"/>
  <c r="I7848" i="7"/>
  <c r="I7849" i="7"/>
  <c r="I7850" i="7"/>
  <c r="I7851" i="7"/>
  <c r="I7852" i="7"/>
  <c r="I7853" i="7"/>
  <c r="I7854" i="7"/>
  <c r="I7855" i="7"/>
  <c r="I7856" i="7"/>
  <c r="I7857" i="7"/>
  <c r="I7858" i="7"/>
  <c r="I7859" i="7"/>
  <c r="I7860" i="7"/>
  <c r="I7861" i="7"/>
  <c r="I7862" i="7"/>
  <c r="I7863" i="7"/>
  <c r="I7864" i="7"/>
  <c r="I7865" i="7"/>
  <c r="I7866" i="7"/>
  <c r="I7867" i="7"/>
  <c r="I7868" i="7"/>
  <c r="I7869" i="7"/>
  <c r="I7870" i="7"/>
  <c r="I7871" i="7"/>
  <c r="I7872" i="7"/>
  <c r="I7873" i="7"/>
  <c r="I7874" i="7"/>
  <c r="I7875" i="7"/>
  <c r="I7876" i="7"/>
  <c r="I7877" i="7"/>
  <c r="I7878" i="7"/>
  <c r="I7879" i="7"/>
  <c r="I7880" i="7"/>
  <c r="I7881" i="7"/>
  <c r="I7882" i="7"/>
  <c r="I7883" i="7"/>
  <c r="I7884" i="7"/>
  <c r="I7885" i="7"/>
  <c r="I7886" i="7"/>
  <c r="I7887" i="7"/>
  <c r="I7888" i="7"/>
  <c r="I7889" i="7"/>
  <c r="I7890" i="7"/>
  <c r="I7891" i="7"/>
  <c r="I7892" i="7"/>
  <c r="I7893" i="7"/>
  <c r="I7894" i="7"/>
  <c r="I7895" i="7"/>
  <c r="I7896" i="7"/>
  <c r="I7897" i="7"/>
  <c r="I7898" i="7"/>
  <c r="I7899" i="7"/>
  <c r="I7900" i="7"/>
  <c r="I7901" i="7"/>
  <c r="I7902" i="7"/>
  <c r="I7903" i="7"/>
  <c r="I7904" i="7"/>
  <c r="I7905" i="7"/>
  <c r="I7906" i="7"/>
  <c r="I7907" i="7"/>
  <c r="I7908" i="7"/>
  <c r="I7909" i="7"/>
  <c r="I7910" i="7"/>
  <c r="I7911" i="7"/>
  <c r="I7912" i="7"/>
  <c r="I7913" i="7"/>
  <c r="I7914" i="7"/>
  <c r="I7915" i="7"/>
  <c r="I7916" i="7"/>
  <c r="I7917" i="7"/>
  <c r="I7918" i="7"/>
  <c r="I7919" i="7"/>
  <c r="I7920" i="7"/>
  <c r="I7921" i="7"/>
  <c r="I7922" i="7"/>
  <c r="I7923" i="7"/>
  <c r="I7924" i="7"/>
  <c r="I7925" i="7"/>
  <c r="I7926" i="7"/>
  <c r="I7927" i="7"/>
  <c r="I7928" i="7"/>
  <c r="I7929" i="7"/>
  <c r="I7930" i="7"/>
  <c r="I7931" i="7"/>
  <c r="I7932" i="7"/>
  <c r="I7933" i="7"/>
  <c r="I7934" i="7"/>
  <c r="I7935" i="7"/>
  <c r="I7936" i="7"/>
  <c r="I7937" i="7"/>
  <c r="I7938" i="7"/>
  <c r="I7939" i="7"/>
  <c r="I7940" i="7"/>
  <c r="I7941" i="7"/>
  <c r="I7942" i="7"/>
  <c r="I7943" i="7"/>
  <c r="I7944" i="7"/>
  <c r="I7945" i="7"/>
  <c r="I7946" i="7"/>
  <c r="I7947" i="7"/>
  <c r="I7948" i="7"/>
  <c r="I7949" i="7"/>
  <c r="I7950" i="7"/>
  <c r="I7951" i="7"/>
  <c r="I7952" i="7"/>
  <c r="I7953" i="7"/>
  <c r="I7954" i="7"/>
  <c r="I7955" i="7"/>
  <c r="I7956" i="7"/>
  <c r="I7957" i="7"/>
  <c r="I7958" i="7"/>
  <c r="I7959" i="7"/>
  <c r="I7960" i="7"/>
  <c r="I7961" i="7"/>
  <c r="I7962" i="7"/>
  <c r="I7963" i="7"/>
  <c r="I7964" i="7"/>
  <c r="I7965" i="7"/>
  <c r="I7966" i="7"/>
  <c r="I7967" i="7"/>
  <c r="I7968" i="7"/>
  <c r="I7969" i="7"/>
  <c r="I7970" i="7"/>
  <c r="I7971" i="7"/>
  <c r="I7972" i="7"/>
  <c r="I7973" i="7"/>
  <c r="I7974" i="7"/>
  <c r="I7975" i="7"/>
  <c r="I7976" i="7"/>
  <c r="I7977" i="7"/>
  <c r="I7978" i="7"/>
  <c r="I7979" i="7"/>
  <c r="I7980" i="7"/>
  <c r="I7981" i="7"/>
  <c r="I7982" i="7"/>
  <c r="I7983" i="7"/>
  <c r="I7984" i="7"/>
  <c r="I7985" i="7"/>
  <c r="I7986" i="7"/>
  <c r="I7987" i="7"/>
  <c r="I7988" i="7"/>
  <c r="I7989" i="7"/>
  <c r="I7990" i="7"/>
  <c r="I7991" i="7"/>
  <c r="I7992" i="7"/>
  <c r="I7993" i="7"/>
  <c r="I7994" i="7"/>
  <c r="I7995" i="7"/>
  <c r="I7996" i="7"/>
  <c r="I7997" i="7"/>
  <c r="I7998" i="7"/>
  <c r="I7999" i="7"/>
  <c r="I8000" i="7"/>
  <c r="I8001" i="7"/>
  <c r="I8002" i="7"/>
  <c r="I8003" i="7"/>
  <c r="I8004" i="7"/>
  <c r="I8005" i="7"/>
  <c r="I8006" i="7"/>
  <c r="I8007" i="7"/>
  <c r="I8008" i="7"/>
  <c r="I8009" i="7"/>
  <c r="I8010" i="7"/>
  <c r="I8011" i="7"/>
  <c r="I8012" i="7"/>
  <c r="I8013" i="7"/>
  <c r="I8014" i="7"/>
  <c r="I8015" i="7"/>
  <c r="I8016" i="7"/>
  <c r="I8017" i="7"/>
  <c r="I8018" i="7"/>
  <c r="I8019" i="7"/>
  <c r="I8020" i="7"/>
  <c r="I8021" i="7"/>
  <c r="I8022" i="7"/>
  <c r="I8023" i="7"/>
  <c r="I8024" i="7"/>
  <c r="I8025" i="7"/>
  <c r="I8026" i="7"/>
  <c r="I8027" i="7"/>
  <c r="I8028" i="7"/>
  <c r="I8029" i="7"/>
  <c r="I8030" i="7"/>
  <c r="I8031" i="7"/>
  <c r="I8032" i="7"/>
  <c r="I8033" i="7"/>
  <c r="I8034" i="7"/>
  <c r="I8035" i="7"/>
  <c r="I8036" i="7"/>
  <c r="I8037" i="7"/>
  <c r="I8038" i="7"/>
  <c r="I8039" i="7"/>
  <c r="I8040" i="7"/>
  <c r="I8041" i="7"/>
  <c r="I8042" i="7"/>
  <c r="I8043" i="7"/>
  <c r="I8044" i="7"/>
  <c r="I8045" i="7"/>
  <c r="I8046" i="7"/>
  <c r="I8047" i="7"/>
  <c r="I8048" i="7"/>
  <c r="I8049" i="7"/>
  <c r="I8050" i="7"/>
  <c r="I8051" i="7"/>
  <c r="I8052" i="7"/>
  <c r="I8053" i="7"/>
  <c r="I8054" i="7"/>
  <c r="I8055" i="7"/>
  <c r="I8056" i="7"/>
  <c r="I8057" i="7"/>
  <c r="I8058" i="7"/>
  <c r="I8059" i="7"/>
  <c r="I8060" i="7"/>
  <c r="I8061" i="7"/>
  <c r="I8062" i="7"/>
  <c r="I8063" i="7"/>
  <c r="I8064" i="7"/>
  <c r="I8065" i="7"/>
  <c r="I8066" i="7"/>
  <c r="I8067" i="7"/>
  <c r="I8068" i="7"/>
  <c r="I8069" i="7"/>
  <c r="I8070" i="7"/>
  <c r="I8071" i="7"/>
  <c r="I8072" i="7"/>
  <c r="I8073" i="7"/>
  <c r="I8074" i="7"/>
  <c r="I8075" i="7"/>
  <c r="I8076" i="7"/>
  <c r="I8077" i="7"/>
  <c r="I8078" i="7"/>
  <c r="I8079" i="7"/>
  <c r="I8080" i="7"/>
  <c r="I8081" i="7"/>
  <c r="I8082" i="7"/>
  <c r="I8083" i="7"/>
  <c r="I8084" i="7"/>
  <c r="I8085" i="7"/>
  <c r="I8086" i="7"/>
  <c r="I8087" i="7"/>
  <c r="I8088" i="7"/>
  <c r="I8089" i="7"/>
  <c r="I8090" i="7"/>
  <c r="I8091" i="7"/>
  <c r="I8092" i="7"/>
  <c r="I8093" i="7"/>
  <c r="I8094" i="7"/>
  <c r="I8095" i="7"/>
  <c r="I8096" i="7"/>
  <c r="I8097" i="7"/>
  <c r="I8098" i="7"/>
  <c r="I8099" i="7"/>
  <c r="I8100" i="7"/>
  <c r="I8101" i="7"/>
  <c r="I8102" i="7"/>
  <c r="I8103" i="7"/>
  <c r="I8104" i="7"/>
  <c r="I8105" i="7"/>
  <c r="I8106" i="7"/>
  <c r="I8107" i="7"/>
  <c r="I8108" i="7"/>
  <c r="I8109" i="7"/>
  <c r="I8110" i="7"/>
  <c r="I8111" i="7"/>
  <c r="I8112" i="7"/>
  <c r="I8113" i="7"/>
  <c r="I8114" i="7"/>
  <c r="I8115" i="7"/>
  <c r="I8116" i="7"/>
  <c r="I8117" i="7"/>
  <c r="I8118" i="7"/>
  <c r="I8119" i="7"/>
  <c r="I8120" i="7"/>
  <c r="I8121" i="7"/>
  <c r="I8122" i="7"/>
  <c r="I8123" i="7"/>
  <c r="I8124" i="7"/>
  <c r="I8125" i="7"/>
  <c r="I8126" i="7"/>
  <c r="I8127" i="7"/>
  <c r="I8128" i="7"/>
  <c r="I8129" i="7"/>
  <c r="I8130" i="7"/>
  <c r="I8131" i="7"/>
  <c r="I8132" i="7"/>
  <c r="I8133" i="7"/>
  <c r="I8134" i="7"/>
  <c r="I8135" i="7"/>
  <c r="I8136" i="7"/>
  <c r="I8137" i="7"/>
  <c r="I8138" i="7"/>
  <c r="I8139" i="7"/>
  <c r="I8140" i="7"/>
  <c r="I8141" i="7"/>
  <c r="I8142" i="7"/>
  <c r="I8143" i="7"/>
  <c r="I8144" i="7"/>
  <c r="I8145" i="7"/>
  <c r="I8146" i="7"/>
  <c r="I8147" i="7"/>
  <c r="I8148" i="7"/>
  <c r="I8149" i="7"/>
  <c r="I8150" i="7"/>
  <c r="I8151" i="7"/>
  <c r="I8152" i="7"/>
  <c r="I8153" i="7"/>
  <c r="I8154" i="7"/>
  <c r="I8155" i="7"/>
  <c r="I8156" i="7"/>
  <c r="I8157" i="7"/>
  <c r="I8158" i="7"/>
  <c r="I8159" i="7"/>
  <c r="I8160" i="7"/>
  <c r="I8161" i="7"/>
  <c r="I8162" i="7"/>
  <c r="I8163" i="7"/>
  <c r="I8164" i="7"/>
  <c r="I8165" i="7"/>
  <c r="I8166" i="7"/>
  <c r="I8167" i="7"/>
  <c r="I8168" i="7"/>
  <c r="I8169" i="7"/>
  <c r="I8170" i="7"/>
  <c r="I8171" i="7"/>
  <c r="I8172" i="7"/>
  <c r="I8173" i="7"/>
  <c r="I8174" i="7"/>
  <c r="I8175" i="7"/>
  <c r="I8176" i="7"/>
  <c r="I8177" i="7"/>
  <c r="I8178" i="7"/>
  <c r="I8179" i="7"/>
  <c r="I8180" i="7"/>
  <c r="I8181" i="7"/>
  <c r="I8182" i="7"/>
  <c r="I8183" i="7"/>
  <c r="I8184" i="7"/>
  <c r="I8185" i="7"/>
  <c r="I8186" i="7"/>
  <c r="I8187" i="7"/>
  <c r="I8188" i="7"/>
  <c r="I8189" i="7"/>
  <c r="I8190" i="7"/>
  <c r="I8191" i="7"/>
  <c r="I8192" i="7"/>
  <c r="I8193" i="7"/>
  <c r="I8194" i="7"/>
  <c r="I8195" i="7"/>
  <c r="I8196" i="7"/>
  <c r="I8197" i="7"/>
  <c r="I8198" i="7"/>
  <c r="I8199" i="7"/>
  <c r="I8200" i="7"/>
  <c r="I8201" i="7"/>
  <c r="I8202" i="7"/>
  <c r="I8203" i="7"/>
  <c r="I8204" i="7"/>
  <c r="I8205" i="7"/>
  <c r="I8206" i="7"/>
  <c r="I8207" i="7"/>
  <c r="I8208" i="7"/>
  <c r="I8209" i="7"/>
  <c r="I8210" i="7"/>
  <c r="I8211" i="7"/>
  <c r="I8212" i="7"/>
  <c r="I8213" i="7"/>
  <c r="I8214" i="7"/>
  <c r="I8215" i="7"/>
  <c r="I8216" i="7"/>
  <c r="I8217" i="7"/>
  <c r="I8218" i="7"/>
  <c r="I8219" i="7"/>
  <c r="I8220" i="7"/>
  <c r="I8221" i="7"/>
  <c r="I8222" i="7"/>
  <c r="I8223" i="7"/>
  <c r="I8224" i="7"/>
  <c r="I8225" i="7"/>
  <c r="I8226" i="7"/>
  <c r="I8227" i="7"/>
  <c r="I8228" i="7"/>
  <c r="I8229" i="7"/>
  <c r="I8230" i="7"/>
  <c r="I8231" i="7"/>
  <c r="I8232" i="7"/>
  <c r="I8233" i="7"/>
  <c r="I8234" i="7"/>
  <c r="I8235" i="7"/>
  <c r="I8236" i="7"/>
  <c r="I8237" i="7"/>
  <c r="I8238" i="7"/>
  <c r="I8239" i="7"/>
  <c r="I8240" i="7"/>
  <c r="I8241" i="7"/>
  <c r="I8242" i="7"/>
  <c r="I8243" i="7"/>
  <c r="I8244" i="7"/>
  <c r="I8245" i="7"/>
  <c r="I8246" i="7"/>
  <c r="I8247" i="7"/>
  <c r="I8248" i="7"/>
  <c r="I8249" i="7"/>
  <c r="I8250" i="7"/>
  <c r="I8251" i="7"/>
  <c r="I8252" i="7"/>
  <c r="I8253" i="7"/>
  <c r="I8254" i="7"/>
  <c r="I8255" i="7"/>
  <c r="I8256" i="7"/>
  <c r="I8257" i="7"/>
  <c r="I8258" i="7"/>
  <c r="I8259" i="7"/>
  <c r="I8260" i="7"/>
  <c r="I8261" i="7"/>
  <c r="I8262" i="7"/>
  <c r="I8263" i="7"/>
  <c r="I8264" i="7"/>
  <c r="I8265" i="7"/>
  <c r="I8266" i="7"/>
  <c r="I8267" i="7"/>
  <c r="I8268" i="7"/>
  <c r="I8269" i="7"/>
  <c r="I8270" i="7"/>
  <c r="I8271" i="7"/>
  <c r="I8272" i="7"/>
  <c r="I8273" i="7"/>
  <c r="I8274" i="7"/>
  <c r="I8275" i="7"/>
  <c r="I8276" i="7"/>
  <c r="I8277" i="7"/>
  <c r="I8278" i="7"/>
  <c r="I8279" i="7"/>
  <c r="I8280" i="7"/>
  <c r="I8281" i="7"/>
  <c r="I8282" i="7"/>
  <c r="I8283" i="7"/>
  <c r="I8284" i="7"/>
  <c r="I8285" i="7"/>
  <c r="I8286" i="7"/>
  <c r="I8287" i="7"/>
  <c r="I8288" i="7"/>
  <c r="I8289" i="7"/>
  <c r="I8290" i="7"/>
  <c r="I8291" i="7"/>
  <c r="I8292" i="7"/>
  <c r="I8293" i="7"/>
  <c r="I8294" i="7"/>
  <c r="I8295" i="7"/>
  <c r="I8296" i="7"/>
  <c r="I8297" i="7"/>
  <c r="I8298" i="7"/>
  <c r="I8299" i="7"/>
  <c r="I8300" i="7"/>
  <c r="I8301" i="7"/>
  <c r="I8302" i="7"/>
  <c r="I8303" i="7"/>
  <c r="I8304" i="7"/>
  <c r="I8305" i="7"/>
  <c r="I8306" i="7"/>
  <c r="I8307" i="7"/>
  <c r="I8308" i="7"/>
  <c r="I8309" i="7"/>
  <c r="I8310" i="7"/>
  <c r="I8311" i="7"/>
  <c r="I8312" i="7"/>
  <c r="I8313" i="7"/>
  <c r="I8314" i="7"/>
  <c r="I8315" i="7"/>
  <c r="I8316" i="7"/>
  <c r="I8317" i="7"/>
  <c r="I8318" i="7"/>
  <c r="I8319" i="7"/>
  <c r="I8320" i="7"/>
  <c r="I8321" i="7"/>
  <c r="I8322" i="7"/>
  <c r="I8323" i="7"/>
  <c r="I8324" i="7"/>
  <c r="I8325" i="7"/>
  <c r="I8326" i="7"/>
  <c r="I8327" i="7"/>
  <c r="I8328" i="7"/>
  <c r="I8329" i="7"/>
  <c r="I8330" i="7"/>
  <c r="I8331" i="7"/>
  <c r="I8332" i="7"/>
  <c r="I8333" i="7"/>
  <c r="I8334" i="7"/>
  <c r="I8335" i="7"/>
  <c r="I8336" i="7"/>
  <c r="I8337" i="7"/>
  <c r="I8338" i="7"/>
  <c r="I8339" i="7"/>
  <c r="I8340" i="7"/>
  <c r="I8341" i="7"/>
  <c r="I8342" i="7"/>
  <c r="I8343" i="7"/>
  <c r="I8344" i="7"/>
  <c r="I8345" i="7"/>
  <c r="I8346" i="7"/>
  <c r="I8347" i="7"/>
  <c r="I8348" i="7"/>
  <c r="I8349" i="7"/>
  <c r="I8350" i="7"/>
  <c r="I8351" i="7"/>
  <c r="I8352" i="7"/>
  <c r="I8353" i="7"/>
  <c r="I8354" i="7"/>
  <c r="I8355" i="7"/>
  <c r="I8356" i="7"/>
  <c r="I8357" i="7"/>
  <c r="I8358" i="7"/>
  <c r="I8359" i="7"/>
  <c r="I8360" i="7"/>
  <c r="I8361" i="7"/>
  <c r="I8362" i="7"/>
  <c r="I8363" i="7"/>
  <c r="I8364" i="7"/>
  <c r="I8365" i="7"/>
  <c r="I8366" i="7"/>
  <c r="I8367" i="7"/>
  <c r="I8368" i="7"/>
  <c r="I8369" i="7"/>
  <c r="I8370" i="7"/>
  <c r="I8371" i="7"/>
  <c r="I8372" i="7"/>
  <c r="I8373" i="7"/>
  <c r="I8374" i="7"/>
  <c r="I8375" i="7"/>
  <c r="I8376" i="7"/>
  <c r="I8377" i="7"/>
  <c r="I8378" i="7"/>
  <c r="I8379" i="7"/>
  <c r="I8380" i="7"/>
  <c r="I8381" i="7"/>
  <c r="I8382" i="7"/>
  <c r="I8383" i="7"/>
  <c r="I8384" i="7"/>
  <c r="I8385" i="7"/>
  <c r="I8386" i="7"/>
  <c r="I8387" i="7"/>
  <c r="I8388" i="7"/>
  <c r="I8389" i="7"/>
  <c r="I8390" i="7"/>
  <c r="I8391" i="7"/>
  <c r="I8392" i="7"/>
  <c r="I8393" i="7"/>
  <c r="I8394" i="7"/>
  <c r="I8395" i="7"/>
  <c r="I8396" i="7"/>
  <c r="I8397" i="7"/>
  <c r="I8398" i="7"/>
  <c r="I8399" i="7"/>
  <c r="I8400" i="7"/>
  <c r="I8401" i="7"/>
  <c r="I8402" i="7"/>
  <c r="I8403" i="7"/>
  <c r="I8404" i="7"/>
  <c r="I8405" i="7"/>
  <c r="I8406" i="7"/>
  <c r="I8407" i="7"/>
  <c r="I8408" i="7"/>
  <c r="I8409" i="7"/>
  <c r="I8410" i="7"/>
  <c r="I8411" i="7"/>
  <c r="I8412" i="7"/>
  <c r="I8413" i="7"/>
  <c r="I8414" i="7"/>
  <c r="I8415" i="7"/>
  <c r="I8416" i="7"/>
  <c r="I8417" i="7"/>
  <c r="I8418" i="7"/>
  <c r="I8419" i="7"/>
  <c r="I8420" i="7"/>
  <c r="I8421" i="7"/>
  <c r="I8422" i="7"/>
  <c r="I8423" i="7"/>
  <c r="I8424" i="7"/>
  <c r="I8425" i="7"/>
  <c r="I8426" i="7"/>
  <c r="I8427" i="7"/>
  <c r="I8428" i="7"/>
  <c r="I8429" i="7"/>
  <c r="I8430" i="7"/>
  <c r="I8431" i="7"/>
  <c r="I8432" i="7"/>
  <c r="I8433" i="7"/>
  <c r="I8434" i="7"/>
  <c r="I8435" i="7"/>
  <c r="I8436" i="7"/>
  <c r="I8437" i="7"/>
  <c r="I8438" i="7"/>
  <c r="I8439" i="7"/>
  <c r="I8440" i="7"/>
  <c r="I8441" i="7"/>
  <c r="I8442" i="7"/>
  <c r="I8443" i="7"/>
  <c r="I8444" i="7"/>
  <c r="I8445" i="7"/>
  <c r="I8446" i="7"/>
  <c r="I8447" i="7"/>
  <c r="I8448" i="7"/>
  <c r="I8449" i="7"/>
  <c r="I8450" i="7"/>
  <c r="I8451" i="7"/>
  <c r="I8452" i="7"/>
  <c r="I8453" i="7"/>
  <c r="I8454" i="7"/>
  <c r="I8455" i="7"/>
  <c r="I8456" i="7"/>
  <c r="I8457" i="7"/>
  <c r="I8458" i="7"/>
  <c r="I8459" i="7"/>
  <c r="I8460" i="7"/>
  <c r="I8461" i="7"/>
  <c r="I8462" i="7"/>
  <c r="I8463" i="7"/>
  <c r="I8464" i="7"/>
  <c r="I8465" i="7"/>
  <c r="I8466" i="7"/>
  <c r="I8467" i="7"/>
  <c r="I8468" i="7"/>
  <c r="I8469" i="7"/>
  <c r="I8470" i="7"/>
  <c r="I8471" i="7"/>
  <c r="I8472" i="7"/>
  <c r="I8473" i="7"/>
  <c r="I8474" i="7"/>
  <c r="I8475" i="7"/>
  <c r="I8476" i="7"/>
  <c r="I8477" i="7"/>
  <c r="I8478" i="7"/>
  <c r="I8479" i="7"/>
  <c r="I8480" i="7"/>
  <c r="I8481" i="7"/>
  <c r="I8482" i="7"/>
  <c r="I8483" i="7"/>
  <c r="I8484" i="7"/>
  <c r="I8485" i="7"/>
  <c r="I8486" i="7"/>
  <c r="I8487" i="7"/>
  <c r="I8488" i="7"/>
  <c r="I8489" i="7"/>
  <c r="I8490" i="7"/>
  <c r="I8491" i="7"/>
  <c r="I8492" i="7"/>
  <c r="I8493" i="7"/>
  <c r="I8494" i="7"/>
  <c r="I8495" i="7"/>
  <c r="I8496" i="7"/>
  <c r="I8497" i="7"/>
  <c r="I8498" i="7"/>
  <c r="I8499" i="7"/>
  <c r="I8500" i="7"/>
  <c r="I8501" i="7"/>
  <c r="I8502" i="7"/>
  <c r="I8503" i="7"/>
  <c r="I8504" i="7"/>
  <c r="I8505" i="7"/>
  <c r="I8506" i="7"/>
  <c r="I8507" i="7"/>
  <c r="I8508" i="7"/>
  <c r="I8509" i="7"/>
  <c r="I8510" i="7"/>
  <c r="I8511" i="7"/>
  <c r="I8512" i="7"/>
  <c r="I8513" i="7"/>
  <c r="I8514" i="7"/>
  <c r="I8515" i="7"/>
  <c r="I8516" i="7"/>
  <c r="I8517" i="7"/>
  <c r="I8518" i="7"/>
  <c r="I8519" i="7"/>
  <c r="I8520" i="7"/>
  <c r="I8521" i="7"/>
  <c r="I8522" i="7"/>
  <c r="I8523" i="7"/>
  <c r="I8524" i="7"/>
  <c r="I8525" i="7"/>
  <c r="I8526" i="7"/>
  <c r="I8527" i="7"/>
  <c r="I8528" i="7"/>
  <c r="I8529" i="7"/>
  <c r="I8530" i="7"/>
  <c r="I8531" i="7"/>
  <c r="I8532" i="7"/>
  <c r="I8533" i="7"/>
  <c r="I8534" i="7"/>
  <c r="I8535" i="7"/>
  <c r="I8536" i="7"/>
  <c r="I8537" i="7"/>
  <c r="I8538" i="7"/>
  <c r="I8539" i="7"/>
  <c r="I8540" i="7"/>
  <c r="I8541" i="7"/>
  <c r="I8542" i="7"/>
  <c r="I8543" i="7"/>
  <c r="I8544" i="7"/>
  <c r="I8545" i="7"/>
  <c r="I8546" i="7"/>
  <c r="I8547" i="7"/>
  <c r="I8548" i="7"/>
  <c r="I8549" i="7"/>
  <c r="I8550" i="7"/>
  <c r="I8551" i="7"/>
  <c r="I8552" i="7"/>
  <c r="I8553" i="7"/>
  <c r="I8554" i="7"/>
  <c r="I8555" i="7"/>
  <c r="I8556" i="7"/>
  <c r="I8557" i="7"/>
  <c r="I8558" i="7"/>
  <c r="I8559" i="7"/>
  <c r="I8560" i="7"/>
  <c r="I8561" i="7"/>
  <c r="I8562" i="7"/>
  <c r="I8563" i="7"/>
  <c r="I8564" i="7"/>
  <c r="I8565" i="7"/>
  <c r="I8566" i="7"/>
  <c r="I8567" i="7"/>
  <c r="I8568" i="7"/>
  <c r="I8569" i="7"/>
  <c r="I8570" i="7"/>
  <c r="I8571" i="7"/>
  <c r="I8572" i="7"/>
  <c r="I8573" i="7"/>
  <c r="I8574" i="7"/>
  <c r="I8575" i="7"/>
  <c r="I8576" i="7"/>
  <c r="I8577" i="7"/>
  <c r="I8578" i="7"/>
  <c r="I8579" i="7"/>
  <c r="I8580" i="7"/>
  <c r="I8581" i="7"/>
  <c r="I8582" i="7"/>
  <c r="I8583" i="7"/>
  <c r="I8584" i="7"/>
  <c r="I8585" i="7"/>
  <c r="I8586" i="7"/>
  <c r="I8587" i="7"/>
  <c r="I8588" i="7"/>
  <c r="I8589" i="7"/>
  <c r="I8590" i="7"/>
  <c r="I8591" i="7"/>
  <c r="I8592" i="7"/>
  <c r="I8593" i="7"/>
  <c r="I8594" i="7"/>
  <c r="I8595" i="7"/>
  <c r="I8596" i="7"/>
  <c r="I8597" i="7"/>
  <c r="I8598" i="7"/>
  <c r="I8599" i="7"/>
  <c r="I8600" i="7"/>
  <c r="I8601" i="7"/>
  <c r="I8602" i="7"/>
  <c r="I8603" i="7"/>
  <c r="I8604" i="7"/>
  <c r="I8605" i="7"/>
  <c r="I8606" i="7"/>
  <c r="I8607" i="7"/>
  <c r="I8608" i="7"/>
  <c r="I8609" i="7"/>
  <c r="I8610" i="7"/>
  <c r="I8611" i="7"/>
  <c r="I8612" i="7"/>
  <c r="I8613" i="7"/>
  <c r="I8614" i="7"/>
  <c r="I8615" i="7"/>
  <c r="I8616" i="7"/>
  <c r="I8617" i="7"/>
  <c r="I8618" i="7"/>
  <c r="I8619" i="7"/>
  <c r="I8620" i="7"/>
  <c r="I8621" i="7"/>
  <c r="I8622" i="7"/>
  <c r="I8623" i="7"/>
  <c r="I8624" i="7"/>
  <c r="I8625" i="7"/>
  <c r="I8626" i="7"/>
  <c r="I8627" i="7"/>
  <c r="I8628" i="7"/>
  <c r="I8629" i="7"/>
  <c r="I8630" i="7"/>
  <c r="I8631" i="7"/>
  <c r="I8632" i="7"/>
  <c r="I8633" i="7"/>
  <c r="I8634" i="7"/>
  <c r="I8635" i="7"/>
  <c r="I8636" i="7"/>
  <c r="I8637" i="7"/>
  <c r="I8638" i="7"/>
  <c r="I8639" i="7"/>
  <c r="I8640" i="7"/>
  <c r="I8641" i="7"/>
  <c r="I8642" i="7"/>
  <c r="I8643" i="7"/>
  <c r="I8644" i="7"/>
  <c r="I8645" i="7"/>
  <c r="I8646" i="7"/>
  <c r="I8647" i="7"/>
  <c r="I8648" i="7"/>
  <c r="I8649" i="7"/>
  <c r="I8650" i="7"/>
  <c r="I8651" i="7"/>
  <c r="I8652" i="7"/>
  <c r="I8653" i="7"/>
  <c r="I8654" i="7"/>
  <c r="I8655" i="7"/>
  <c r="I8656" i="7"/>
  <c r="I8657" i="7"/>
  <c r="I8658" i="7"/>
  <c r="I8659" i="7"/>
  <c r="I8660" i="7"/>
  <c r="I8661" i="7"/>
  <c r="I8662" i="7"/>
  <c r="I8663" i="7"/>
  <c r="I8664" i="7"/>
  <c r="I8665" i="7"/>
  <c r="I8666" i="7"/>
  <c r="I8667" i="7"/>
  <c r="I8668" i="7"/>
  <c r="I8669" i="7"/>
  <c r="I8670" i="7"/>
  <c r="I8671" i="7"/>
  <c r="I8672" i="7"/>
  <c r="I8673" i="7"/>
  <c r="I8674" i="7"/>
  <c r="I8675" i="7"/>
  <c r="I8676" i="7"/>
  <c r="I8677" i="7"/>
  <c r="I8678" i="7"/>
  <c r="I8679" i="7"/>
  <c r="I8680" i="7"/>
  <c r="I8681" i="7"/>
  <c r="I8682" i="7"/>
  <c r="I8683" i="7"/>
  <c r="I8684" i="7"/>
  <c r="I8685" i="7"/>
  <c r="I8686" i="7"/>
  <c r="I8687" i="7"/>
  <c r="I8688" i="7"/>
  <c r="I8689" i="7"/>
  <c r="I8690" i="7"/>
  <c r="I8691" i="7"/>
  <c r="I8692" i="7"/>
  <c r="I8693" i="7"/>
  <c r="I8694" i="7"/>
  <c r="I8695" i="7"/>
  <c r="I8696" i="7"/>
  <c r="I8697" i="7"/>
  <c r="I8698" i="7"/>
  <c r="I8699" i="7"/>
  <c r="I8700" i="7"/>
  <c r="I8701" i="7"/>
  <c r="I8702" i="7"/>
  <c r="I8703" i="7"/>
  <c r="I8704" i="7"/>
  <c r="I8705" i="7"/>
  <c r="I8706" i="7"/>
  <c r="I8707" i="7"/>
  <c r="I8708" i="7"/>
  <c r="I8709" i="7"/>
  <c r="I8710" i="7"/>
  <c r="I8711" i="7"/>
  <c r="I8712" i="7"/>
  <c r="I8713" i="7"/>
  <c r="I8714" i="7"/>
  <c r="I8715" i="7"/>
  <c r="I8716" i="7"/>
  <c r="I8717" i="7"/>
  <c r="I8718" i="7"/>
  <c r="I8719" i="7"/>
  <c r="I8720" i="7"/>
  <c r="I8721" i="7"/>
  <c r="I8722" i="7"/>
  <c r="I8723" i="7"/>
  <c r="I8724" i="7"/>
  <c r="I8725" i="7"/>
  <c r="I8726" i="7"/>
  <c r="I8727" i="7"/>
  <c r="I8728" i="7"/>
  <c r="I8729" i="7"/>
  <c r="I8730" i="7"/>
  <c r="I8731" i="7"/>
  <c r="I8732" i="7"/>
  <c r="I8733" i="7"/>
  <c r="I8734" i="7"/>
  <c r="I8735" i="7"/>
  <c r="I8736" i="7"/>
  <c r="I8737" i="7"/>
  <c r="I8738" i="7"/>
  <c r="I8739" i="7"/>
  <c r="I8740" i="7"/>
  <c r="I8741" i="7"/>
  <c r="I8742" i="7"/>
  <c r="I8743" i="7"/>
  <c r="I8744" i="7"/>
  <c r="I8745" i="7"/>
  <c r="I8746" i="7"/>
  <c r="I8747" i="7"/>
  <c r="I8748" i="7"/>
  <c r="I8749" i="7"/>
  <c r="I8750" i="7"/>
  <c r="I8751" i="7"/>
  <c r="I8752" i="7"/>
  <c r="I8753" i="7"/>
  <c r="I8754" i="7"/>
  <c r="I8755" i="7"/>
  <c r="I8756" i="7"/>
  <c r="I8757" i="7"/>
  <c r="I8758" i="7"/>
  <c r="I8759" i="7"/>
  <c r="I8760" i="7"/>
  <c r="I8761" i="7"/>
  <c r="I8762" i="7"/>
  <c r="I8763" i="7"/>
  <c r="I8764" i="7"/>
  <c r="I8765" i="7"/>
  <c r="I8766" i="7"/>
  <c r="I8767" i="7"/>
  <c r="I8768" i="7"/>
  <c r="I8769" i="7"/>
  <c r="I8770" i="7"/>
  <c r="I8771" i="7"/>
  <c r="I8772" i="7"/>
  <c r="I8773" i="7"/>
  <c r="I8774" i="7"/>
  <c r="I8775" i="7"/>
  <c r="I8776" i="7"/>
  <c r="I8777" i="7"/>
  <c r="I8778" i="7"/>
  <c r="I8779" i="7"/>
  <c r="I8780" i="7"/>
  <c r="I8781" i="7"/>
  <c r="I8782" i="7"/>
  <c r="I8783" i="7"/>
  <c r="I8784" i="7"/>
  <c r="I8785" i="7"/>
  <c r="I8786" i="7"/>
  <c r="I8787" i="7"/>
  <c r="I8788" i="7"/>
  <c r="I8789" i="7"/>
  <c r="I8790" i="7"/>
  <c r="I8791" i="7"/>
  <c r="I8792" i="7"/>
  <c r="I8793" i="7"/>
  <c r="I8794" i="7"/>
  <c r="I8795" i="7"/>
  <c r="I8796" i="7"/>
  <c r="I8797" i="7"/>
  <c r="I8798" i="7"/>
  <c r="I8799" i="7"/>
  <c r="I8800" i="7"/>
  <c r="I8801" i="7"/>
  <c r="I8802" i="7"/>
  <c r="I8803" i="7"/>
  <c r="I8804" i="7"/>
  <c r="I8805" i="7"/>
  <c r="I8806" i="7"/>
  <c r="I8807" i="7"/>
  <c r="I8808" i="7"/>
  <c r="I8809" i="7"/>
  <c r="I8810" i="7"/>
  <c r="I8811" i="7"/>
  <c r="I8812" i="7"/>
  <c r="I8813" i="7"/>
  <c r="I8814" i="7"/>
  <c r="I8815" i="7"/>
  <c r="I8816" i="7"/>
  <c r="I8817" i="7"/>
  <c r="I8818" i="7"/>
  <c r="I8819" i="7"/>
  <c r="I8820" i="7"/>
  <c r="I8821" i="7"/>
  <c r="I8822" i="7"/>
  <c r="I8823" i="7"/>
  <c r="I8824" i="7"/>
  <c r="I8825" i="7"/>
  <c r="I8826" i="7"/>
  <c r="I8827" i="7"/>
  <c r="I8828" i="7"/>
  <c r="I8829" i="7"/>
  <c r="I8830" i="7"/>
  <c r="I8831" i="7"/>
  <c r="I8832" i="7"/>
  <c r="I8833" i="7"/>
  <c r="I8834" i="7"/>
  <c r="I8835" i="7"/>
  <c r="I8836" i="7"/>
  <c r="I8837" i="7"/>
  <c r="I8838" i="7"/>
  <c r="I8839" i="7"/>
  <c r="I8840" i="7"/>
  <c r="I8841" i="7"/>
  <c r="I8842" i="7"/>
  <c r="I8843" i="7"/>
  <c r="I8844" i="7"/>
  <c r="I8845" i="7"/>
  <c r="I8846" i="7"/>
  <c r="I8847" i="7"/>
  <c r="I8848" i="7"/>
  <c r="I8849" i="7"/>
  <c r="I8850" i="7"/>
  <c r="I8851" i="7"/>
  <c r="I8852" i="7"/>
  <c r="I8853" i="7"/>
  <c r="I8854" i="7"/>
  <c r="I8855" i="7"/>
  <c r="I8856" i="7"/>
  <c r="I8857" i="7"/>
  <c r="I8858" i="7"/>
  <c r="I8859" i="7"/>
  <c r="I8860" i="7"/>
  <c r="I8861" i="7"/>
  <c r="I8862" i="7"/>
  <c r="I8863" i="7"/>
  <c r="I8864" i="7"/>
  <c r="I8865" i="7"/>
  <c r="I8866" i="7"/>
  <c r="I8867" i="7"/>
  <c r="I8868" i="7"/>
  <c r="I8869" i="7"/>
  <c r="I8870" i="7"/>
  <c r="I8871" i="7"/>
  <c r="I8872" i="7"/>
  <c r="I8873" i="7"/>
  <c r="I8874" i="7"/>
  <c r="I8875" i="7"/>
  <c r="I8876" i="7"/>
  <c r="I8877" i="7"/>
  <c r="I8878" i="7"/>
  <c r="I8879" i="7"/>
  <c r="I8880" i="7"/>
  <c r="I8881" i="7"/>
  <c r="I8882" i="7"/>
  <c r="I8883" i="7"/>
  <c r="I8884" i="7"/>
  <c r="I8885" i="7"/>
  <c r="I8886" i="7"/>
  <c r="I8887" i="7"/>
  <c r="I8888" i="7"/>
  <c r="I8889" i="7"/>
  <c r="I8890" i="7"/>
  <c r="I8891" i="7"/>
  <c r="I8892" i="7"/>
  <c r="I8893" i="7"/>
  <c r="I8894" i="7"/>
  <c r="I8895" i="7"/>
  <c r="I8896" i="7"/>
  <c r="I8897" i="7"/>
  <c r="I8898" i="7"/>
  <c r="I8899" i="7"/>
  <c r="I8900" i="7"/>
  <c r="I8901" i="7"/>
  <c r="I8902" i="7"/>
  <c r="I8903" i="7"/>
  <c r="I8904" i="7"/>
  <c r="I8905" i="7"/>
  <c r="I8906" i="7"/>
  <c r="I8907" i="7"/>
  <c r="I8908" i="7"/>
  <c r="I8909" i="7"/>
  <c r="I8910" i="7"/>
  <c r="I8911" i="7"/>
  <c r="I8912" i="7"/>
  <c r="I8913" i="7"/>
  <c r="I8914" i="7"/>
  <c r="I8915" i="7"/>
  <c r="I8916" i="7"/>
  <c r="I8917" i="7"/>
  <c r="I8918" i="7"/>
  <c r="I8919" i="7"/>
  <c r="I8920" i="7"/>
  <c r="I8921" i="7"/>
  <c r="I8922" i="7"/>
  <c r="I8923" i="7"/>
  <c r="I8924" i="7"/>
  <c r="I8925" i="7"/>
  <c r="I8926" i="7"/>
  <c r="I8927" i="7"/>
  <c r="I8928" i="7"/>
  <c r="I8929" i="7"/>
  <c r="I8930" i="7"/>
  <c r="I8931" i="7"/>
  <c r="I8932" i="7"/>
  <c r="I8933" i="7"/>
  <c r="I8934" i="7"/>
  <c r="I8935" i="7"/>
  <c r="I8936" i="7"/>
  <c r="I8937" i="7"/>
  <c r="I8938" i="7"/>
  <c r="I8939" i="7"/>
  <c r="I8940" i="7"/>
  <c r="I8941" i="7"/>
  <c r="I8942" i="7"/>
  <c r="I8943" i="7"/>
  <c r="I8944" i="7"/>
  <c r="I8945" i="7"/>
  <c r="I8946" i="7"/>
  <c r="I8947" i="7"/>
  <c r="I8948" i="7"/>
  <c r="I8949" i="7"/>
  <c r="I8950" i="7"/>
  <c r="I8951" i="7"/>
  <c r="I8952" i="7"/>
  <c r="I8953" i="7"/>
  <c r="I8954" i="7"/>
  <c r="I8955" i="7"/>
  <c r="I8956" i="7"/>
  <c r="I8957" i="7"/>
  <c r="I8958" i="7"/>
  <c r="I8959" i="7"/>
  <c r="I8960" i="7"/>
  <c r="I8961" i="7"/>
  <c r="I8962" i="7"/>
  <c r="I8963" i="7"/>
  <c r="I8964" i="7"/>
  <c r="I8965" i="7"/>
  <c r="I8966" i="7"/>
  <c r="I8967" i="7"/>
  <c r="I8968" i="7"/>
  <c r="I8969" i="7"/>
  <c r="I8970" i="7"/>
  <c r="I8971" i="7"/>
  <c r="I8972" i="7"/>
  <c r="I8973" i="7"/>
  <c r="I8974" i="7"/>
  <c r="I8975" i="7"/>
  <c r="I8976" i="7"/>
  <c r="I8977" i="7"/>
  <c r="I8978" i="7"/>
  <c r="I8979" i="7"/>
  <c r="I8980" i="7"/>
  <c r="I8981" i="7"/>
  <c r="I8982" i="7"/>
  <c r="I8983" i="7"/>
  <c r="I8984" i="7"/>
  <c r="I8985" i="7"/>
  <c r="I8986" i="7"/>
  <c r="I8987" i="7"/>
  <c r="I8988" i="7"/>
  <c r="I8989" i="7"/>
  <c r="I8990" i="7"/>
  <c r="I8991" i="7"/>
  <c r="I8992" i="7"/>
  <c r="I8993" i="7"/>
  <c r="I8994" i="7"/>
  <c r="I8995" i="7"/>
  <c r="I8996" i="7"/>
  <c r="I8997" i="7"/>
  <c r="I8998" i="7"/>
  <c r="I8999" i="7"/>
  <c r="I9000" i="7"/>
  <c r="I9001" i="7"/>
  <c r="I9002" i="7"/>
  <c r="I9003" i="7"/>
  <c r="I9004" i="7"/>
  <c r="I9005" i="7"/>
  <c r="I9006" i="7"/>
  <c r="I9007" i="7"/>
  <c r="I9008" i="7"/>
  <c r="I9009" i="7"/>
  <c r="I9010" i="7"/>
  <c r="I9011" i="7"/>
  <c r="I9012" i="7"/>
  <c r="I9013" i="7"/>
  <c r="I9014" i="7"/>
  <c r="I9015" i="7"/>
  <c r="I9016" i="7"/>
  <c r="I9017" i="7"/>
  <c r="I9018" i="7"/>
  <c r="I9019" i="7"/>
  <c r="I9020" i="7"/>
  <c r="I9021" i="7"/>
  <c r="I9022" i="7"/>
  <c r="I9023" i="7"/>
  <c r="I9024" i="7"/>
  <c r="I9025" i="7"/>
  <c r="I9026" i="7"/>
  <c r="I9027" i="7"/>
  <c r="I9028" i="7"/>
  <c r="I9029" i="7"/>
  <c r="I9030" i="7"/>
  <c r="I9031" i="7"/>
  <c r="I9032" i="7"/>
  <c r="I9033" i="7"/>
  <c r="I9034" i="7"/>
  <c r="I9035" i="7"/>
  <c r="I9036" i="7"/>
  <c r="I9037" i="7"/>
  <c r="I9038" i="7"/>
  <c r="I9039" i="7"/>
  <c r="I9040" i="7"/>
  <c r="I9041" i="7"/>
  <c r="I9042" i="7"/>
  <c r="I9043" i="7"/>
  <c r="I9044" i="7"/>
  <c r="I9045" i="7"/>
  <c r="I9046" i="7"/>
  <c r="I9047" i="7"/>
  <c r="I9048" i="7"/>
  <c r="I9049" i="7"/>
  <c r="I9050" i="7"/>
  <c r="I9051" i="7"/>
  <c r="I9052" i="7"/>
  <c r="I9053" i="7"/>
  <c r="I9054" i="7"/>
  <c r="I9055" i="7"/>
  <c r="I9056" i="7"/>
  <c r="I9057" i="7"/>
  <c r="I9058" i="7"/>
  <c r="I9059" i="7"/>
  <c r="I9060" i="7"/>
  <c r="I9061" i="7"/>
  <c r="I9062" i="7"/>
  <c r="I9063" i="7"/>
  <c r="I9064" i="7"/>
  <c r="I9065" i="7"/>
  <c r="I9066" i="7"/>
  <c r="I9067" i="7"/>
  <c r="I9068" i="7"/>
  <c r="I9069" i="7"/>
  <c r="I9070" i="7"/>
  <c r="I9071" i="7"/>
  <c r="I9072" i="7"/>
  <c r="I9073" i="7"/>
  <c r="I9074" i="7"/>
  <c r="I9075" i="7"/>
  <c r="I9076" i="7"/>
  <c r="I9077" i="7"/>
  <c r="I9078" i="7"/>
  <c r="I9079" i="7"/>
  <c r="I9080" i="7"/>
  <c r="I9081" i="7"/>
  <c r="I9082" i="7"/>
  <c r="I9083" i="7"/>
  <c r="I9084" i="7"/>
  <c r="I9085" i="7"/>
  <c r="I9086" i="7"/>
  <c r="I9087" i="7"/>
  <c r="I9088" i="7"/>
  <c r="I9089" i="7"/>
  <c r="I9090" i="7"/>
  <c r="I9091" i="7"/>
  <c r="I9092" i="7"/>
  <c r="I9093" i="7"/>
  <c r="I9094" i="7"/>
  <c r="I9095" i="7"/>
  <c r="I9096" i="7"/>
  <c r="I9097" i="7"/>
  <c r="I9098" i="7"/>
  <c r="I9099" i="7"/>
  <c r="I9100" i="7"/>
  <c r="I9101" i="7"/>
  <c r="I9102" i="7"/>
  <c r="I9103" i="7"/>
  <c r="I9104" i="7"/>
  <c r="I9105" i="7"/>
  <c r="I9106" i="7"/>
  <c r="I9107" i="7"/>
  <c r="I9108" i="7"/>
  <c r="I9109" i="7"/>
  <c r="I9110" i="7"/>
  <c r="I9111" i="7"/>
  <c r="I9112" i="7"/>
  <c r="I9113" i="7"/>
  <c r="I9114" i="7"/>
  <c r="I9115" i="7"/>
  <c r="I9116" i="7"/>
  <c r="I9117" i="7"/>
  <c r="I9118" i="7"/>
  <c r="I9119" i="7"/>
  <c r="I9120" i="7"/>
  <c r="I9121" i="7"/>
  <c r="I9122" i="7"/>
  <c r="I9123" i="7"/>
  <c r="I9124" i="7"/>
  <c r="I9125" i="7"/>
  <c r="I9126" i="7"/>
  <c r="I9127" i="7"/>
  <c r="I9128" i="7"/>
  <c r="I9129" i="7"/>
  <c r="I9130" i="7"/>
  <c r="I9131" i="7"/>
  <c r="I9132" i="7"/>
  <c r="I9133" i="7"/>
  <c r="I9134" i="7"/>
  <c r="I9135" i="7"/>
  <c r="I9136" i="7"/>
  <c r="I9137" i="7"/>
  <c r="I9138" i="7"/>
  <c r="I9139" i="7"/>
  <c r="I9140" i="7"/>
  <c r="I9141" i="7"/>
  <c r="I9142" i="7"/>
  <c r="I9143" i="7"/>
  <c r="I9144" i="7"/>
  <c r="I9145" i="7"/>
  <c r="I9146" i="7"/>
  <c r="I9147" i="7"/>
  <c r="I9148" i="7"/>
  <c r="I9149" i="7"/>
  <c r="I9150" i="7"/>
  <c r="I9151" i="7"/>
  <c r="I9152" i="7"/>
  <c r="I9153" i="7"/>
  <c r="I9154" i="7"/>
  <c r="I9155" i="7"/>
  <c r="I9156" i="7"/>
  <c r="I9157" i="7"/>
  <c r="I9158" i="7"/>
  <c r="I9159" i="7"/>
  <c r="I9160" i="7"/>
  <c r="I9161" i="7"/>
  <c r="I9162" i="7"/>
  <c r="I9163" i="7"/>
  <c r="I9164" i="7"/>
  <c r="I9165" i="7"/>
  <c r="I9166" i="7"/>
  <c r="I9167" i="7"/>
  <c r="I9168" i="7"/>
  <c r="I9169" i="7"/>
  <c r="I9170" i="7"/>
  <c r="I9171" i="7"/>
  <c r="I9172" i="7"/>
  <c r="I9173" i="7"/>
  <c r="I9174" i="7"/>
  <c r="I9175" i="7"/>
  <c r="I9176" i="7"/>
  <c r="I9177" i="7"/>
  <c r="I9178" i="7"/>
  <c r="I9179" i="7"/>
  <c r="I9180" i="7"/>
  <c r="I9181" i="7"/>
  <c r="I9182" i="7"/>
  <c r="I9183" i="7"/>
  <c r="I9184" i="7"/>
  <c r="I9185" i="7"/>
  <c r="I9186" i="7"/>
  <c r="I9187" i="7"/>
  <c r="I9188" i="7"/>
  <c r="I9189" i="7"/>
  <c r="I9190" i="7"/>
  <c r="I9191" i="7"/>
  <c r="I9192" i="7"/>
  <c r="I9193" i="7"/>
  <c r="I9194" i="7"/>
  <c r="I9195" i="7"/>
  <c r="I9196" i="7"/>
  <c r="I9197" i="7"/>
  <c r="I9198" i="7"/>
  <c r="I9199" i="7"/>
  <c r="I9200" i="7"/>
  <c r="I9201" i="7"/>
  <c r="I9202" i="7"/>
  <c r="I9203" i="7"/>
  <c r="I9204" i="7"/>
  <c r="I9205" i="7"/>
  <c r="I9206" i="7"/>
  <c r="I9207" i="7"/>
  <c r="I9208" i="7"/>
  <c r="I9209" i="7"/>
  <c r="I9210" i="7"/>
  <c r="I9211" i="7"/>
  <c r="I9212" i="7"/>
  <c r="I9213" i="7"/>
  <c r="I9214" i="7"/>
  <c r="I9215" i="7"/>
  <c r="I9216" i="7"/>
  <c r="I9217" i="7"/>
  <c r="I9218" i="7"/>
  <c r="I9219" i="7"/>
  <c r="I9220" i="7"/>
  <c r="I9221" i="7"/>
  <c r="I9222" i="7"/>
  <c r="I9223" i="7"/>
  <c r="I9224" i="7"/>
  <c r="I9225" i="7"/>
  <c r="I9226" i="7"/>
  <c r="I9227" i="7"/>
  <c r="I9228" i="7"/>
  <c r="I9229" i="7"/>
  <c r="I9230" i="7"/>
  <c r="I9231" i="7"/>
  <c r="I9232" i="7"/>
  <c r="I9233" i="7"/>
  <c r="I9234" i="7"/>
  <c r="I9235" i="7"/>
  <c r="I9236" i="7"/>
  <c r="I9237" i="7"/>
  <c r="I9238" i="7"/>
  <c r="I9239" i="7"/>
  <c r="I9240" i="7"/>
  <c r="I9241" i="7"/>
  <c r="I9242" i="7"/>
  <c r="I9243" i="7"/>
  <c r="I9244" i="7"/>
  <c r="I9245" i="7"/>
  <c r="I9246" i="7"/>
  <c r="I9247" i="7"/>
  <c r="I9248" i="7"/>
  <c r="I9249" i="7"/>
  <c r="I9250" i="7"/>
  <c r="I9251" i="7"/>
  <c r="I9252" i="7"/>
  <c r="I9253" i="7"/>
  <c r="I9254" i="7"/>
  <c r="I9255" i="7"/>
  <c r="I9256" i="7"/>
  <c r="I9257" i="7"/>
  <c r="I9258" i="7"/>
  <c r="I9259" i="7"/>
  <c r="I9260" i="7"/>
  <c r="I9261" i="7"/>
  <c r="I9262" i="7"/>
  <c r="I9263" i="7"/>
  <c r="I9264" i="7"/>
  <c r="I9265" i="7"/>
  <c r="I9266" i="7"/>
  <c r="I9267" i="7"/>
  <c r="I9268" i="7"/>
  <c r="I9269" i="7"/>
  <c r="I9270" i="7"/>
  <c r="I9271" i="7"/>
  <c r="I9272" i="7"/>
  <c r="I9273" i="7"/>
  <c r="I9274" i="7"/>
  <c r="I9275" i="7"/>
  <c r="I9276" i="7"/>
  <c r="I9277" i="7"/>
  <c r="I9278" i="7"/>
  <c r="I9279" i="7"/>
  <c r="I9280" i="7"/>
  <c r="I9281" i="7"/>
  <c r="I9282" i="7"/>
  <c r="I9283" i="7"/>
  <c r="I9284" i="7"/>
  <c r="I9285" i="7"/>
  <c r="I9286" i="7"/>
  <c r="I9287" i="7"/>
  <c r="I9288" i="7"/>
  <c r="I9289" i="7"/>
  <c r="I9290" i="7"/>
  <c r="I9291" i="7"/>
  <c r="I9292" i="7"/>
  <c r="I9293" i="7"/>
  <c r="I9294" i="7"/>
  <c r="I9295" i="7"/>
  <c r="I9296" i="7"/>
  <c r="I9297" i="7"/>
  <c r="I9298" i="7"/>
  <c r="I9299" i="7"/>
  <c r="I9300" i="7"/>
  <c r="I9301" i="7"/>
  <c r="I9302" i="7"/>
  <c r="I9303" i="7"/>
  <c r="I9304" i="7"/>
  <c r="I9305" i="7"/>
  <c r="I9306" i="7"/>
  <c r="I9307" i="7"/>
  <c r="I9308" i="7"/>
  <c r="I9309" i="7"/>
  <c r="I9310" i="7"/>
  <c r="I9311" i="7"/>
  <c r="I9312" i="7"/>
  <c r="I9313" i="7"/>
  <c r="I9314" i="7"/>
  <c r="I9315" i="7"/>
  <c r="I9316" i="7"/>
  <c r="I9317" i="7"/>
  <c r="I9318" i="7"/>
  <c r="I9319" i="7"/>
  <c r="I9320" i="7"/>
  <c r="I9321" i="7"/>
  <c r="I9322" i="7"/>
  <c r="I9323" i="7"/>
  <c r="I9324" i="7"/>
  <c r="I9325" i="7"/>
  <c r="I9326" i="7"/>
  <c r="I9327" i="7"/>
  <c r="I9328" i="7"/>
  <c r="I9329" i="7"/>
  <c r="I9330" i="7"/>
  <c r="I9331" i="7"/>
  <c r="I9332" i="7"/>
  <c r="I9333" i="7"/>
  <c r="I9334" i="7"/>
  <c r="I9335" i="7"/>
  <c r="I9336" i="7"/>
  <c r="I9337" i="7"/>
  <c r="I9338" i="7"/>
  <c r="I9339" i="7"/>
  <c r="I9340" i="7"/>
  <c r="I9341" i="7"/>
  <c r="I9342" i="7"/>
  <c r="I9343" i="7"/>
  <c r="I9344" i="7"/>
  <c r="I9345" i="7"/>
  <c r="I9346" i="7"/>
  <c r="I9347" i="7"/>
  <c r="I9348" i="7"/>
  <c r="I9349" i="7"/>
  <c r="I9350" i="7"/>
  <c r="I9351" i="7"/>
  <c r="I9352" i="7"/>
  <c r="I9353" i="7"/>
  <c r="I9354" i="7"/>
  <c r="I9355" i="7"/>
  <c r="I9356" i="7"/>
  <c r="I9357" i="7"/>
  <c r="I9358" i="7"/>
  <c r="I9359" i="7"/>
  <c r="I9360" i="7"/>
  <c r="I9361" i="7"/>
  <c r="I9362" i="7"/>
  <c r="I9363" i="7"/>
  <c r="I9364" i="7"/>
  <c r="I9365" i="7"/>
  <c r="I9366" i="7"/>
  <c r="I9367" i="7"/>
  <c r="I9368" i="7"/>
  <c r="I9369" i="7"/>
  <c r="I9370" i="7"/>
  <c r="I9371" i="7"/>
  <c r="I9372" i="7"/>
  <c r="I9373" i="7"/>
  <c r="I9374" i="7"/>
  <c r="I9375" i="7"/>
  <c r="I9376" i="7"/>
  <c r="I9377" i="7"/>
  <c r="I9378" i="7"/>
  <c r="I9379" i="7"/>
  <c r="I9380" i="7"/>
  <c r="I9381" i="7"/>
  <c r="I9382" i="7"/>
  <c r="I9383" i="7"/>
  <c r="I9384" i="7"/>
  <c r="I9385" i="7"/>
  <c r="I9386" i="7"/>
  <c r="I9387" i="7"/>
  <c r="I9388" i="7"/>
  <c r="I9389" i="7"/>
  <c r="I9390" i="7"/>
  <c r="I9391" i="7"/>
  <c r="I9392" i="7"/>
  <c r="I9393" i="7"/>
  <c r="I9394" i="7"/>
  <c r="I9395" i="7"/>
  <c r="I9396" i="7"/>
  <c r="I9397" i="7"/>
  <c r="I9398" i="7"/>
  <c r="I9399" i="7"/>
  <c r="I9400" i="7"/>
  <c r="I9401" i="7"/>
  <c r="I9402" i="7"/>
  <c r="I9403" i="7"/>
  <c r="I9404" i="7"/>
  <c r="I9405" i="7"/>
  <c r="I9406" i="7"/>
  <c r="I9407" i="7"/>
  <c r="I9408" i="7"/>
  <c r="I9409" i="7"/>
  <c r="I9410" i="7"/>
  <c r="I9411" i="7"/>
  <c r="I9412" i="7"/>
  <c r="I9413" i="7"/>
  <c r="I9414" i="7"/>
  <c r="I9415" i="7"/>
  <c r="I9416" i="7"/>
  <c r="I9417" i="7"/>
  <c r="I9418" i="7"/>
  <c r="I9419" i="7"/>
  <c r="I9420" i="7"/>
  <c r="I9421" i="7"/>
  <c r="I9422" i="7"/>
  <c r="I9423" i="7"/>
  <c r="I9424" i="7"/>
  <c r="I9425" i="7"/>
  <c r="I9426" i="7"/>
  <c r="I9427" i="7"/>
  <c r="I9428" i="7"/>
  <c r="I9429" i="7"/>
  <c r="I9430" i="7"/>
  <c r="I9431" i="7"/>
  <c r="I9432" i="7"/>
  <c r="I9433" i="7"/>
  <c r="I9434" i="7"/>
  <c r="I9435" i="7"/>
  <c r="I9436" i="7"/>
  <c r="I9437" i="7"/>
  <c r="I9438" i="7"/>
  <c r="I9439" i="7"/>
  <c r="I9440" i="7"/>
  <c r="I9441" i="7"/>
  <c r="I9442" i="7"/>
  <c r="I9443" i="7"/>
  <c r="I9444" i="7"/>
  <c r="I9445" i="7"/>
  <c r="I9446" i="7"/>
  <c r="I9447" i="7"/>
  <c r="I9448" i="7"/>
  <c r="I9449" i="7"/>
  <c r="I9450" i="7"/>
  <c r="I9451" i="7"/>
  <c r="I9452" i="7"/>
  <c r="I9453" i="7"/>
  <c r="I9454" i="7"/>
  <c r="I9455" i="7"/>
  <c r="I9456" i="7"/>
  <c r="I9457" i="7"/>
  <c r="I9458" i="7"/>
  <c r="I9459" i="7"/>
  <c r="I9460" i="7"/>
  <c r="I9461" i="7"/>
  <c r="I9462" i="7"/>
  <c r="I9463" i="7"/>
  <c r="I9464" i="7"/>
  <c r="I9465" i="7"/>
  <c r="H2" i="7"/>
  <c r="H3" i="7"/>
  <c r="H4" i="7"/>
  <c r="H5" i="7"/>
  <c r="H6" i="7"/>
  <c r="H7" i="7"/>
  <c r="H8" i="7"/>
  <c r="H9" i="7"/>
  <c r="H10" i="7"/>
  <c r="H11" i="7"/>
  <c r="H12" i="7"/>
  <c r="H13" i="7"/>
  <c r="H14" i="7"/>
  <c r="H15" i="7"/>
  <c r="H16" i="7"/>
  <c r="H17" i="7"/>
  <c r="H18" i="7"/>
  <c r="H19" i="7"/>
  <c r="H20" i="7"/>
  <c r="H21" i="7"/>
  <c r="H22" i="7"/>
  <c r="H23" i="7"/>
  <c r="H24" i="7"/>
  <c r="H25" i="7"/>
  <c r="H26" i="7"/>
  <c r="H27" i="7"/>
  <c r="H28" i="7"/>
  <c r="H29" i="7"/>
  <c r="H30" i="7"/>
  <c r="H31" i="7"/>
  <c r="H32" i="7"/>
  <c r="H33" i="7"/>
  <c r="H34" i="7"/>
  <c r="H35" i="7"/>
  <c r="H36" i="7"/>
  <c r="H37" i="7"/>
  <c r="H38" i="7"/>
  <c r="H39" i="7"/>
  <c r="H40" i="7"/>
  <c r="H41" i="7"/>
  <c r="H42" i="7"/>
  <c r="H43" i="7"/>
  <c r="H44" i="7"/>
  <c r="H45" i="7"/>
  <c r="H46" i="7"/>
  <c r="H47" i="7"/>
  <c r="H48" i="7"/>
  <c r="H49" i="7"/>
  <c r="H50" i="7"/>
  <c r="H51" i="7"/>
  <c r="H52" i="7"/>
  <c r="H53" i="7"/>
  <c r="H54" i="7"/>
  <c r="H55" i="7"/>
  <c r="H56" i="7"/>
  <c r="H57" i="7"/>
  <c r="H58" i="7"/>
  <c r="H59" i="7"/>
  <c r="H60" i="7"/>
  <c r="H61" i="7"/>
  <c r="H62" i="7"/>
  <c r="H63" i="7"/>
  <c r="H64" i="7"/>
  <c r="H65" i="7"/>
  <c r="H66" i="7"/>
  <c r="H67" i="7"/>
  <c r="H68" i="7"/>
  <c r="H69" i="7"/>
  <c r="H70" i="7"/>
  <c r="H71" i="7"/>
  <c r="H72" i="7"/>
  <c r="H73" i="7"/>
  <c r="H74" i="7"/>
  <c r="H75" i="7"/>
  <c r="H76" i="7"/>
  <c r="H77" i="7"/>
  <c r="H78" i="7"/>
  <c r="H79" i="7"/>
  <c r="H80" i="7"/>
  <c r="H81" i="7"/>
  <c r="H82" i="7"/>
  <c r="H83" i="7"/>
  <c r="H84" i="7"/>
  <c r="H85" i="7"/>
  <c r="H86" i="7"/>
  <c r="H87" i="7"/>
  <c r="H88" i="7"/>
  <c r="H89" i="7"/>
  <c r="H90" i="7"/>
  <c r="H91" i="7"/>
  <c r="H92" i="7"/>
  <c r="H93" i="7"/>
  <c r="H94" i="7"/>
  <c r="H95" i="7"/>
  <c r="H96" i="7"/>
  <c r="H97" i="7"/>
  <c r="H98" i="7"/>
  <c r="H99" i="7"/>
  <c r="H100" i="7"/>
  <c r="H101" i="7"/>
  <c r="H102" i="7"/>
  <c r="H103" i="7"/>
  <c r="H104" i="7"/>
  <c r="H105" i="7"/>
  <c r="H106" i="7"/>
  <c r="H107" i="7"/>
  <c r="H108" i="7"/>
  <c r="H109" i="7"/>
  <c r="H110" i="7"/>
  <c r="H111" i="7"/>
  <c r="H112" i="7"/>
  <c r="H113" i="7"/>
  <c r="H114" i="7"/>
  <c r="H115" i="7"/>
  <c r="H116" i="7"/>
  <c r="H117" i="7"/>
  <c r="H118" i="7"/>
  <c r="H119" i="7"/>
  <c r="H120" i="7"/>
  <c r="H121" i="7"/>
  <c r="H122" i="7"/>
  <c r="H123" i="7"/>
  <c r="H124" i="7"/>
  <c r="H125" i="7"/>
  <c r="H126" i="7"/>
  <c r="H127" i="7"/>
  <c r="H128" i="7"/>
  <c r="H129" i="7"/>
  <c r="H130" i="7"/>
  <c r="H131" i="7"/>
  <c r="H132" i="7"/>
  <c r="H133" i="7"/>
  <c r="H134" i="7"/>
  <c r="H135" i="7"/>
  <c r="H136" i="7"/>
  <c r="H137" i="7"/>
  <c r="H138" i="7"/>
  <c r="H139" i="7"/>
  <c r="H140" i="7"/>
  <c r="H141" i="7"/>
  <c r="H142" i="7"/>
  <c r="H143" i="7"/>
  <c r="H144" i="7"/>
  <c r="H145" i="7"/>
  <c r="H146" i="7"/>
  <c r="H147" i="7"/>
  <c r="H148" i="7"/>
  <c r="H149" i="7"/>
  <c r="H150" i="7"/>
  <c r="H151" i="7"/>
  <c r="H152" i="7"/>
  <c r="H153" i="7"/>
  <c r="H154" i="7"/>
  <c r="H155" i="7"/>
  <c r="H156" i="7"/>
  <c r="H157" i="7"/>
  <c r="H158" i="7"/>
  <c r="H159" i="7"/>
  <c r="H160" i="7"/>
  <c r="H161" i="7"/>
  <c r="H162" i="7"/>
  <c r="H163" i="7"/>
  <c r="H164" i="7"/>
  <c r="H165" i="7"/>
  <c r="H166" i="7"/>
  <c r="H167" i="7"/>
  <c r="H168" i="7"/>
  <c r="H169" i="7"/>
  <c r="H170" i="7"/>
  <c r="H171" i="7"/>
  <c r="H172" i="7"/>
  <c r="H173" i="7"/>
  <c r="H174" i="7"/>
  <c r="H175" i="7"/>
  <c r="H176" i="7"/>
  <c r="H177" i="7"/>
  <c r="H178" i="7"/>
  <c r="H179" i="7"/>
  <c r="H180" i="7"/>
  <c r="H181" i="7"/>
  <c r="H182" i="7"/>
  <c r="H183" i="7"/>
  <c r="H184" i="7"/>
  <c r="H185" i="7"/>
  <c r="H186" i="7"/>
  <c r="H187" i="7"/>
  <c r="H188" i="7"/>
  <c r="H189" i="7"/>
  <c r="H190" i="7"/>
  <c r="H191" i="7"/>
  <c r="H192" i="7"/>
  <c r="H193" i="7"/>
  <c r="H194" i="7"/>
  <c r="H195" i="7"/>
  <c r="H196" i="7"/>
  <c r="H197" i="7"/>
  <c r="H198" i="7"/>
  <c r="H199" i="7"/>
  <c r="H200" i="7"/>
  <c r="H201" i="7"/>
  <c r="H202" i="7"/>
  <c r="H203" i="7"/>
  <c r="H204" i="7"/>
  <c r="H205" i="7"/>
  <c r="H206" i="7"/>
  <c r="H207" i="7"/>
  <c r="H208" i="7"/>
  <c r="H209" i="7"/>
  <c r="H210" i="7"/>
  <c r="H211" i="7"/>
  <c r="H212" i="7"/>
  <c r="H213" i="7"/>
  <c r="H214" i="7"/>
  <c r="H215" i="7"/>
  <c r="H216" i="7"/>
  <c r="H217" i="7"/>
  <c r="H218" i="7"/>
  <c r="H219" i="7"/>
  <c r="H220" i="7"/>
  <c r="H221" i="7"/>
  <c r="H222" i="7"/>
  <c r="H223" i="7"/>
  <c r="H224" i="7"/>
  <c r="H225" i="7"/>
  <c r="H226" i="7"/>
  <c r="H227" i="7"/>
  <c r="H228" i="7"/>
  <c r="H229" i="7"/>
  <c r="H230" i="7"/>
  <c r="H231" i="7"/>
  <c r="H232" i="7"/>
  <c r="H233" i="7"/>
  <c r="H234" i="7"/>
  <c r="H235" i="7"/>
  <c r="H236" i="7"/>
  <c r="H237" i="7"/>
  <c r="H238" i="7"/>
  <c r="H239" i="7"/>
  <c r="H240" i="7"/>
  <c r="H241" i="7"/>
  <c r="H242" i="7"/>
  <c r="H243" i="7"/>
  <c r="H244" i="7"/>
  <c r="H245" i="7"/>
  <c r="H246" i="7"/>
  <c r="H247" i="7"/>
  <c r="H248" i="7"/>
  <c r="H249" i="7"/>
  <c r="H250" i="7"/>
  <c r="H251" i="7"/>
  <c r="H252" i="7"/>
  <c r="H253" i="7"/>
  <c r="H254" i="7"/>
  <c r="H255" i="7"/>
  <c r="H256" i="7"/>
  <c r="H257" i="7"/>
  <c r="H258" i="7"/>
  <c r="H259" i="7"/>
  <c r="H260" i="7"/>
  <c r="H261" i="7"/>
  <c r="H262" i="7"/>
  <c r="H263" i="7"/>
  <c r="H264" i="7"/>
  <c r="H265" i="7"/>
  <c r="H266" i="7"/>
  <c r="H267" i="7"/>
  <c r="H268" i="7"/>
  <c r="H269" i="7"/>
  <c r="H270" i="7"/>
  <c r="H271" i="7"/>
  <c r="H272" i="7"/>
  <c r="H273" i="7"/>
  <c r="H274" i="7"/>
  <c r="H275" i="7"/>
  <c r="H276" i="7"/>
  <c r="H277" i="7"/>
  <c r="H278" i="7"/>
  <c r="H279" i="7"/>
  <c r="H280" i="7"/>
  <c r="H281" i="7"/>
  <c r="H282" i="7"/>
  <c r="H283" i="7"/>
  <c r="H284" i="7"/>
  <c r="H285" i="7"/>
  <c r="H286" i="7"/>
  <c r="H287" i="7"/>
  <c r="H288" i="7"/>
  <c r="H289" i="7"/>
  <c r="H290" i="7"/>
  <c r="H291" i="7"/>
  <c r="H292" i="7"/>
  <c r="H293" i="7"/>
  <c r="H294" i="7"/>
  <c r="H295" i="7"/>
  <c r="H296" i="7"/>
  <c r="H297" i="7"/>
  <c r="H298" i="7"/>
  <c r="H299" i="7"/>
  <c r="H300" i="7"/>
  <c r="H301" i="7"/>
  <c r="H302" i="7"/>
  <c r="H303" i="7"/>
  <c r="H304" i="7"/>
  <c r="H305" i="7"/>
  <c r="H306" i="7"/>
  <c r="H307" i="7"/>
  <c r="H308" i="7"/>
  <c r="H309" i="7"/>
  <c r="H310" i="7"/>
  <c r="H311" i="7"/>
  <c r="H312" i="7"/>
  <c r="H313" i="7"/>
  <c r="H314" i="7"/>
  <c r="H315" i="7"/>
  <c r="H316" i="7"/>
  <c r="H317" i="7"/>
  <c r="H318" i="7"/>
  <c r="H319" i="7"/>
  <c r="H320" i="7"/>
  <c r="H321" i="7"/>
  <c r="H322" i="7"/>
  <c r="H323" i="7"/>
  <c r="H324" i="7"/>
  <c r="H325" i="7"/>
  <c r="H326" i="7"/>
  <c r="H327" i="7"/>
  <c r="H328" i="7"/>
  <c r="H329" i="7"/>
  <c r="H330" i="7"/>
  <c r="H331" i="7"/>
  <c r="H332" i="7"/>
  <c r="H333" i="7"/>
  <c r="H334" i="7"/>
  <c r="H335" i="7"/>
  <c r="H336" i="7"/>
  <c r="H337" i="7"/>
  <c r="H338" i="7"/>
  <c r="H339" i="7"/>
  <c r="H340" i="7"/>
  <c r="H341" i="7"/>
  <c r="H342" i="7"/>
  <c r="H343" i="7"/>
  <c r="H344" i="7"/>
  <c r="H345" i="7"/>
  <c r="H346" i="7"/>
  <c r="H347" i="7"/>
  <c r="H348" i="7"/>
  <c r="H349" i="7"/>
  <c r="H350" i="7"/>
  <c r="H351" i="7"/>
  <c r="H352" i="7"/>
  <c r="H353" i="7"/>
  <c r="H354" i="7"/>
  <c r="H355" i="7"/>
  <c r="H356" i="7"/>
  <c r="H357" i="7"/>
  <c r="H358" i="7"/>
  <c r="H359" i="7"/>
  <c r="H360" i="7"/>
  <c r="H361" i="7"/>
  <c r="H362" i="7"/>
  <c r="H363" i="7"/>
  <c r="H364" i="7"/>
  <c r="H365" i="7"/>
  <c r="H366" i="7"/>
  <c r="H367" i="7"/>
  <c r="H368" i="7"/>
  <c r="H369" i="7"/>
  <c r="H370" i="7"/>
  <c r="H371" i="7"/>
  <c r="H372" i="7"/>
  <c r="H373" i="7"/>
  <c r="H374" i="7"/>
  <c r="H375" i="7"/>
  <c r="H376" i="7"/>
  <c r="H377" i="7"/>
  <c r="H378" i="7"/>
  <c r="H379" i="7"/>
  <c r="H380" i="7"/>
  <c r="H381" i="7"/>
  <c r="H382" i="7"/>
  <c r="H383" i="7"/>
  <c r="H384" i="7"/>
  <c r="H385" i="7"/>
  <c r="H386" i="7"/>
  <c r="H387" i="7"/>
  <c r="H388" i="7"/>
  <c r="H389" i="7"/>
  <c r="H390" i="7"/>
  <c r="H391" i="7"/>
  <c r="H392" i="7"/>
  <c r="H393" i="7"/>
  <c r="H394" i="7"/>
  <c r="H395" i="7"/>
  <c r="H396" i="7"/>
  <c r="H397" i="7"/>
  <c r="H398" i="7"/>
  <c r="H399" i="7"/>
  <c r="H400" i="7"/>
  <c r="H401" i="7"/>
  <c r="H402" i="7"/>
  <c r="H403" i="7"/>
  <c r="H404" i="7"/>
  <c r="H405" i="7"/>
  <c r="H406" i="7"/>
  <c r="H407" i="7"/>
  <c r="H408" i="7"/>
  <c r="H409" i="7"/>
  <c r="H410" i="7"/>
  <c r="H411" i="7"/>
  <c r="H412" i="7"/>
  <c r="H413" i="7"/>
  <c r="H414" i="7"/>
  <c r="H415" i="7"/>
  <c r="H416" i="7"/>
  <c r="H417" i="7"/>
  <c r="H418" i="7"/>
  <c r="H419" i="7"/>
  <c r="H420" i="7"/>
  <c r="H421" i="7"/>
  <c r="H422" i="7"/>
  <c r="H423" i="7"/>
  <c r="H424" i="7"/>
  <c r="H425" i="7"/>
  <c r="H426" i="7"/>
  <c r="H427" i="7"/>
  <c r="H428" i="7"/>
  <c r="H429" i="7"/>
  <c r="H430" i="7"/>
  <c r="H431" i="7"/>
  <c r="H432" i="7"/>
  <c r="H433" i="7"/>
  <c r="H434" i="7"/>
  <c r="H435" i="7"/>
  <c r="H436" i="7"/>
  <c r="H437" i="7"/>
  <c r="H438" i="7"/>
  <c r="H439" i="7"/>
  <c r="H440" i="7"/>
  <c r="H441" i="7"/>
  <c r="H442" i="7"/>
  <c r="H443" i="7"/>
  <c r="H444" i="7"/>
  <c r="H445" i="7"/>
  <c r="H446" i="7"/>
  <c r="H447" i="7"/>
  <c r="H448" i="7"/>
  <c r="H449" i="7"/>
  <c r="H450" i="7"/>
  <c r="H451" i="7"/>
  <c r="H452" i="7"/>
  <c r="H453" i="7"/>
  <c r="H454" i="7"/>
  <c r="H455" i="7"/>
  <c r="H456" i="7"/>
  <c r="H457" i="7"/>
  <c r="H458" i="7"/>
  <c r="H459" i="7"/>
  <c r="H460" i="7"/>
  <c r="H461" i="7"/>
  <c r="H462" i="7"/>
  <c r="H463" i="7"/>
  <c r="H464" i="7"/>
  <c r="H465" i="7"/>
  <c r="H466" i="7"/>
  <c r="H467" i="7"/>
  <c r="H468" i="7"/>
  <c r="H469" i="7"/>
  <c r="H470" i="7"/>
  <c r="H471" i="7"/>
  <c r="H472" i="7"/>
  <c r="H473" i="7"/>
  <c r="H474" i="7"/>
  <c r="H475" i="7"/>
  <c r="H476" i="7"/>
  <c r="H477" i="7"/>
  <c r="H478" i="7"/>
  <c r="H479" i="7"/>
  <c r="H480" i="7"/>
  <c r="H481" i="7"/>
  <c r="H482" i="7"/>
  <c r="H483" i="7"/>
  <c r="H484" i="7"/>
  <c r="H485" i="7"/>
  <c r="H486" i="7"/>
  <c r="H487" i="7"/>
  <c r="H488" i="7"/>
  <c r="H489" i="7"/>
  <c r="H490" i="7"/>
  <c r="H491" i="7"/>
  <c r="H492" i="7"/>
  <c r="H493" i="7"/>
  <c r="H494" i="7"/>
  <c r="H495" i="7"/>
  <c r="H496" i="7"/>
  <c r="H497" i="7"/>
  <c r="H498" i="7"/>
  <c r="H499" i="7"/>
  <c r="H500" i="7"/>
  <c r="H501" i="7"/>
  <c r="H502" i="7"/>
  <c r="H503" i="7"/>
  <c r="H504" i="7"/>
  <c r="H505" i="7"/>
  <c r="H506" i="7"/>
  <c r="H507" i="7"/>
  <c r="H508" i="7"/>
  <c r="H509" i="7"/>
  <c r="H510" i="7"/>
  <c r="H511" i="7"/>
  <c r="H512" i="7"/>
  <c r="H513" i="7"/>
  <c r="H514" i="7"/>
  <c r="H515" i="7"/>
  <c r="H516" i="7"/>
  <c r="H517" i="7"/>
  <c r="H518" i="7"/>
  <c r="H519" i="7"/>
  <c r="H520" i="7"/>
  <c r="H521" i="7"/>
  <c r="H522" i="7"/>
  <c r="H523" i="7"/>
  <c r="H524" i="7"/>
  <c r="H525" i="7"/>
  <c r="H526" i="7"/>
  <c r="H527" i="7"/>
  <c r="H528" i="7"/>
  <c r="H529" i="7"/>
  <c r="H530" i="7"/>
  <c r="H531" i="7"/>
  <c r="H532" i="7"/>
  <c r="H533" i="7"/>
  <c r="H534" i="7"/>
  <c r="H535" i="7"/>
  <c r="H536" i="7"/>
  <c r="H537" i="7"/>
  <c r="H538" i="7"/>
  <c r="H539" i="7"/>
  <c r="H540" i="7"/>
  <c r="H541" i="7"/>
  <c r="H542" i="7"/>
  <c r="H543" i="7"/>
  <c r="H544" i="7"/>
  <c r="H545" i="7"/>
  <c r="H546" i="7"/>
  <c r="H547" i="7"/>
  <c r="H548" i="7"/>
  <c r="H549" i="7"/>
  <c r="H550" i="7"/>
  <c r="H551" i="7"/>
  <c r="H552" i="7"/>
  <c r="H553" i="7"/>
  <c r="H554" i="7"/>
  <c r="H555" i="7"/>
  <c r="H556" i="7"/>
  <c r="H557" i="7"/>
  <c r="H558" i="7"/>
  <c r="H559" i="7"/>
  <c r="H560" i="7"/>
  <c r="H561" i="7"/>
  <c r="H562" i="7"/>
  <c r="H563" i="7"/>
  <c r="H564" i="7"/>
  <c r="H565" i="7"/>
  <c r="H566" i="7"/>
  <c r="H567" i="7"/>
  <c r="H568" i="7"/>
  <c r="H569" i="7"/>
  <c r="H570" i="7"/>
  <c r="H571" i="7"/>
  <c r="H572" i="7"/>
  <c r="H573" i="7"/>
  <c r="H574" i="7"/>
  <c r="H575" i="7"/>
  <c r="H576" i="7"/>
  <c r="H577" i="7"/>
  <c r="H578" i="7"/>
  <c r="H579" i="7"/>
  <c r="H580" i="7"/>
  <c r="H581" i="7"/>
  <c r="H582" i="7"/>
  <c r="H583" i="7"/>
  <c r="H584" i="7"/>
  <c r="H585" i="7"/>
  <c r="H586" i="7"/>
  <c r="H587" i="7"/>
  <c r="H588" i="7"/>
  <c r="H589" i="7"/>
  <c r="H590" i="7"/>
  <c r="H591" i="7"/>
  <c r="H592" i="7"/>
  <c r="H593" i="7"/>
  <c r="H594" i="7"/>
  <c r="H595" i="7"/>
  <c r="H596" i="7"/>
  <c r="H597" i="7"/>
  <c r="H598" i="7"/>
  <c r="H599" i="7"/>
  <c r="H600" i="7"/>
  <c r="H601" i="7"/>
  <c r="H602" i="7"/>
  <c r="H603" i="7"/>
  <c r="H604" i="7"/>
  <c r="H605" i="7"/>
  <c r="H606" i="7"/>
  <c r="H607" i="7"/>
  <c r="H608" i="7"/>
  <c r="H609" i="7"/>
  <c r="H610" i="7"/>
  <c r="H611" i="7"/>
  <c r="H612" i="7"/>
  <c r="H613" i="7"/>
  <c r="H614" i="7"/>
  <c r="H615" i="7"/>
  <c r="H616" i="7"/>
  <c r="H617" i="7"/>
  <c r="H618" i="7"/>
  <c r="H619" i="7"/>
  <c r="H620" i="7"/>
  <c r="H621" i="7"/>
  <c r="H622" i="7"/>
  <c r="H623" i="7"/>
  <c r="H624" i="7"/>
  <c r="H625" i="7"/>
  <c r="H626" i="7"/>
  <c r="H627" i="7"/>
  <c r="H628" i="7"/>
  <c r="H629" i="7"/>
  <c r="H630" i="7"/>
  <c r="H631" i="7"/>
  <c r="H632" i="7"/>
  <c r="H633" i="7"/>
  <c r="H634" i="7"/>
  <c r="H635" i="7"/>
  <c r="H636" i="7"/>
  <c r="H637" i="7"/>
  <c r="H638" i="7"/>
  <c r="H639" i="7"/>
  <c r="H640" i="7"/>
  <c r="H641" i="7"/>
  <c r="H642" i="7"/>
  <c r="H643" i="7"/>
  <c r="H644" i="7"/>
  <c r="H645" i="7"/>
  <c r="H646" i="7"/>
  <c r="H647" i="7"/>
  <c r="H648" i="7"/>
  <c r="H649" i="7"/>
  <c r="H650" i="7"/>
  <c r="H651" i="7"/>
  <c r="H652" i="7"/>
  <c r="H653" i="7"/>
  <c r="H654" i="7"/>
  <c r="H655" i="7"/>
  <c r="H656" i="7"/>
  <c r="H657" i="7"/>
  <c r="H658" i="7"/>
  <c r="H659" i="7"/>
  <c r="H660" i="7"/>
  <c r="H661" i="7"/>
  <c r="H662" i="7"/>
  <c r="H663" i="7"/>
  <c r="H664" i="7"/>
  <c r="H665" i="7"/>
  <c r="H666" i="7"/>
  <c r="H667" i="7"/>
  <c r="H668" i="7"/>
  <c r="H669" i="7"/>
  <c r="H670" i="7"/>
  <c r="H671" i="7"/>
  <c r="H672" i="7"/>
  <c r="H673" i="7"/>
  <c r="H674" i="7"/>
  <c r="H675" i="7"/>
  <c r="H676" i="7"/>
  <c r="H677" i="7"/>
  <c r="H678" i="7"/>
  <c r="H679" i="7"/>
  <c r="H680" i="7"/>
  <c r="H681" i="7"/>
  <c r="H682" i="7"/>
  <c r="H683" i="7"/>
  <c r="H684" i="7"/>
  <c r="H685" i="7"/>
  <c r="H686" i="7"/>
  <c r="H687" i="7"/>
  <c r="H688" i="7"/>
  <c r="H689" i="7"/>
  <c r="H690" i="7"/>
  <c r="H691" i="7"/>
  <c r="H692" i="7"/>
  <c r="H693" i="7"/>
  <c r="H694" i="7"/>
  <c r="H695" i="7"/>
  <c r="H696" i="7"/>
  <c r="H697" i="7"/>
  <c r="H698" i="7"/>
  <c r="H699" i="7"/>
  <c r="H700" i="7"/>
  <c r="H701" i="7"/>
  <c r="H702" i="7"/>
  <c r="H703" i="7"/>
  <c r="H704" i="7"/>
  <c r="H705" i="7"/>
  <c r="H706" i="7"/>
  <c r="H707" i="7"/>
  <c r="H708" i="7"/>
  <c r="H709" i="7"/>
  <c r="H710" i="7"/>
  <c r="H711" i="7"/>
  <c r="H712" i="7"/>
  <c r="H713" i="7"/>
  <c r="H714" i="7"/>
  <c r="H715" i="7"/>
  <c r="H716" i="7"/>
  <c r="H717" i="7"/>
  <c r="H718" i="7"/>
  <c r="H719" i="7"/>
  <c r="H720" i="7"/>
  <c r="H721" i="7"/>
  <c r="H722" i="7"/>
  <c r="H723" i="7"/>
  <c r="H724" i="7"/>
  <c r="H725" i="7"/>
  <c r="H726" i="7"/>
  <c r="H727" i="7"/>
  <c r="H728" i="7"/>
  <c r="H729" i="7"/>
  <c r="H730" i="7"/>
  <c r="H731" i="7"/>
  <c r="H732" i="7"/>
  <c r="H733" i="7"/>
  <c r="H734" i="7"/>
  <c r="H735" i="7"/>
  <c r="H736" i="7"/>
  <c r="H737" i="7"/>
  <c r="H738" i="7"/>
  <c r="H739" i="7"/>
  <c r="H740" i="7"/>
  <c r="H741" i="7"/>
  <c r="H742" i="7"/>
  <c r="H743" i="7"/>
  <c r="H744" i="7"/>
  <c r="H745" i="7"/>
  <c r="H746" i="7"/>
  <c r="H747" i="7"/>
  <c r="H748" i="7"/>
  <c r="H749" i="7"/>
  <c r="H750" i="7"/>
  <c r="H751" i="7"/>
  <c r="H752" i="7"/>
  <c r="H753" i="7"/>
  <c r="H754" i="7"/>
  <c r="H755" i="7"/>
  <c r="H756" i="7"/>
  <c r="H757" i="7"/>
  <c r="H758" i="7"/>
  <c r="H759" i="7"/>
  <c r="H760" i="7"/>
  <c r="H761" i="7"/>
  <c r="H762" i="7"/>
  <c r="H763" i="7"/>
  <c r="H764" i="7"/>
  <c r="H765" i="7"/>
  <c r="H766" i="7"/>
  <c r="H767" i="7"/>
  <c r="H768" i="7"/>
  <c r="H769" i="7"/>
  <c r="H770" i="7"/>
  <c r="H771" i="7"/>
  <c r="H772" i="7"/>
  <c r="H773" i="7"/>
  <c r="H774" i="7"/>
  <c r="H775" i="7"/>
  <c r="H776" i="7"/>
  <c r="H777" i="7"/>
  <c r="H778" i="7"/>
  <c r="H779" i="7"/>
  <c r="H780" i="7"/>
  <c r="H781" i="7"/>
  <c r="H782" i="7"/>
  <c r="H783" i="7"/>
  <c r="H784" i="7"/>
  <c r="H785" i="7"/>
  <c r="H786" i="7"/>
  <c r="H787" i="7"/>
  <c r="H788" i="7"/>
  <c r="H789" i="7"/>
  <c r="H790" i="7"/>
  <c r="H791" i="7"/>
  <c r="H792" i="7"/>
  <c r="H793" i="7"/>
  <c r="H794" i="7"/>
  <c r="H795" i="7"/>
  <c r="H796" i="7"/>
  <c r="H797" i="7"/>
  <c r="H798" i="7"/>
  <c r="H799" i="7"/>
  <c r="H800" i="7"/>
  <c r="H801" i="7"/>
  <c r="H802" i="7"/>
  <c r="H803" i="7"/>
  <c r="H804" i="7"/>
  <c r="H805" i="7"/>
  <c r="H806" i="7"/>
  <c r="H807" i="7"/>
  <c r="H808" i="7"/>
  <c r="H809" i="7"/>
  <c r="H810" i="7"/>
  <c r="H811" i="7"/>
  <c r="H812" i="7"/>
  <c r="H813" i="7"/>
  <c r="H814" i="7"/>
  <c r="H815" i="7"/>
  <c r="H816" i="7"/>
  <c r="H817" i="7"/>
  <c r="H818" i="7"/>
  <c r="H819" i="7"/>
  <c r="H820" i="7"/>
  <c r="H821" i="7"/>
  <c r="H822" i="7"/>
  <c r="H823" i="7"/>
  <c r="H824" i="7"/>
  <c r="H825" i="7"/>
  <c r="H826" i="7"/>
  <c r="H827" i="7"/>
  <c r="H828" i="7"/>
  <c r="H829" i="7"/>
  <c r="H830" i="7"/>
  <c r="H831" i="7"/>
  <c r="H832" i="7"/>
  <c r="H833" i="7"/>
  <c r="H834" i="7"/>
  <c r="H835" i="7"/>
  <c r="H836" i="7"/>
  <c r="H837" i="7"/>
  <c r="H838" i="7"/>
  <c r="H839" i="7"/>
  <c r="H840" i="7"/>
  <c r="H841" i="7"/>
  <c r="H842" i="7"/>
  <c r="H843" i="7"/>
  <c r="H844" i="7"/>
  <c r="H845" i="7"/>
  <c r="H846" i="7"/>
  <c r="H847" i="7"/>
  <c r="H848" i="7"/>
  <c r="H849" i="7"/>
  <c r="H850" i="7"/>
  <c r="H851" i="7"/>
  <c r="H852" i="7"/>
  <c r="H853" i="7"/>
  <c r="H854" i="7"/>
  <c r="H855" i="7"/>
  <c r="H856" i="7"/>
  <c r="H857" i="7"/>
  <c r="H858" i="7"/>
  <c r="H859" i="7"/>
  <c r="H860" i="7"/>
  <c r="H861" i="7"/>
  <c r="H862" i="7"/>
  <c r="H863" i="7"/>
  <c r="H864" i="7"/>
  <c r="H865" i="7"/>
  <c r="H866" i="7"/>
  <c r="H867" i="7"/>
  <c r="H868" i="7"/>
  <c r="H869" i="7"/>
  <c r="H870" i="7"/>
  <c r="H871" i="7"/>
  <c r="H872" i="7"/>
  <c r="H873" i="7"/>
  <c r="H874" i="7"/>
  <c r="H875" i="7"/>
  <c r="H876" i="7"/>
  <c r="H877" i="7"/>
  <c r="H878" i="7"/>
  <c r="H879" i="7"/>
  <c r="H880" i="7"/>
  <c r="H881" i="7"/>
  <c r="H882" i="7"/>
  <c r="H883" i="7"/>
  <c r="H884" i="7"/>
  <c r="H885" i="7"/>
  <c r="H886" i="7"/>
  <c r="H887" i="7"/>
  <c r="H888" i="7"/>
  <c r="H889" i="7"/>
  <c r="H890" i="7"/>
  <c r="H891" i="7"/>
  <c r="H892" i="7"/>
  <c r="H893" i="7"/>
  <c r="H894" i="7"/>
  <c r="H895" i="7"/>
  <c r="H896" i="7"/>
  <c r="H897" i="7"/>
  <c r="H898" i="7"/>
  <c r="H899" i="7"/>
  <c r="H900" i="7"/>
  <c r="H901" i="7"/>
  <c r="H902" i="7"/>
  <c r="H903" i="7"/>
  <c r="H904" i="7"/>
  <c r="H905" i="7"/>
  <c r="H906" i="7"/>
  <c r="H907" i="7"/>
  <c r="H908" i="7"/>
  <c r="H909" i="7"/>
  <c r="H910" i="7"/>
  <c r="H911" i="7"/>
  <c r="H912" i="7"/>
  <c r="H913" i="7"/>
  <c r="H914" i="7"/>
  <c r="H915" i="7"/>
  <c r="H916" i="7"/>
  <c r="H917" i="7"/>
  <c r="H918" i="7"/>
  <c r="H919" i="7"/>
  <c r="H920" i="7"/>
  <c r="H921" i="7"/>
  <c r="H922" i="7"/>
  <c r="H923" i="7"/>
  <c r="H924" i="7"/>
  <c r="H925" i="7"/>
  <c r="H926" i="7"/>
  <c r="H927" i="7"/>
  <c r="H928" i="7"/>
  <c r="H929" i="7"/>
  <c r="H930" i="7"/>
  <c r="H931" i="7"/>
  <c r="H932" i="7"/>
  <c r="H933" i="7"/>
  <c r="H934" i="7"/>
  <c r="H935" i="7"/>
  <c r="H936" i="7"/>
  <c r="H937" i="7"/>
  <c r="H938" i="7"/>
  <c r="H939" i="7"/>
  <c r="H940" i="7"/>
  <c r="H941" i="7"/>
  <c r="H942" i="7"/>
  <c r="H943" i="7"/>
  <c r="H944" i="7"/>
  <c r="H945" i="7"/>
  <c r="H946" i="7"/>
  <c r="H947" i="7"/>
  <c r="H948" i="7"/>
  <c r="H949" i="7"/>
  <c r="H950" i="7"/>
  <c r="H951" i="7"/>
  <c r="H952" i="7"/>
  <c r="H953" i="7"/>
  <c r="H954" i="7"/>
  <c r="H955" i="7"/>
  <c r="H956" i="7"/>
  <c r="H957" i="7"/>
  <c r="H958" i="7"/>
  <c r="H959" i="7"/>
  <c r="H960" i="7"/>
  <c r="H961" i="7"/>
  <c r="H962" i="7"/>
  <c r="H963" i="7"/>
  <c r="H964" i="7"/>
  <c r="H965" i="7"/>
  <c r="H966" i="7"/>
  <c r="H967" i="7"/>
  <c r="H968" i="7"/>
  <c r="H969" i="7"/>
  <c r="H970" i="7"/>
  <c r="H971" i="7"/>
  <c r="H972" i="7"/>
  <c r="H973" i="7"/>
  <c r="H974" i="7"/>
  <c r="H975" i="7"/>
  <c r="H976" i="7"/>
  <c r="H977" i="7"/>
  <c r="H978" i="7"/>
  <c r="H979" i="7"/>
  <c r="H980" i="7"/>
  <c r="H981" i="7"/>
  <c r="H982" i="7"/>
  <c r="H983" i="7"/>
  <c r="H984" i="7"/>
  <c r="H985" i="7"/>
  <c r="H986" i="7"/>
  <c r="H987" i="7"/>
  <c r="H988" i="7"/>
  <c r="H989" i="7"/>
  <c r="H990" i="7"/>
  <c r="H991" i="7"/>
  <c r="H992" i="7"/>
  <c r="H993" i="7"/>
  <c r="H994" i="7"/>
  <c r="H995" i="7"/>
  <c r="H996" i="7"/>
  <c r="H997" i="7"/>
  <c r="H998" i="7"/>
  <c r="H999" i="7"/>
  <c r="H1000" i="7"/>
  <c r="H1001" i="7"/>
  <c r="H1002" i="7"/>
  <c r="H1003" i="7"/>
  <c r="H1004" i="7"/>
  <c r="H1005" i="7"/>
  <c r="H1006" i="7"/>
  <c r="H1007" i="7"/>
  <c r="H1008" i="7"/>
  <c r="H1009" i="7"/>
  <c r="H1010" i="7"/>
  <c r="H1011" i="7"/>
  <c r="H1012" i="7"/>
  <c r="H1013" i="7"/>
  <c r="H1014" i="7"/>
  <c r="H1015" i="7"/>
  <c r="H1016" i="7"/>
  <c r="H1017" i="7"/>
  <c r="H1018" i="7"/>
  <c r="H1019" i="7"/>
  <c r="H1020" i="7"/>
  <c r="H1021" i="7"/>
  <c r="H1022" i="7"/>
  <c r="H1023" i="7"/>
  <c r="H1024" i="7"/>
  <c r="H1025" i="7"/>
  <c r="H1026" i="7"/>
  <c r="H1027" i="7"/>
  <c r="H1028" i="7"/>
  <c r="H1029" i="7"/>
  <c r="H1030" i="7"/>
  <c r="H1031" i="7"/>
  <c r="H1032" i="7"/>
  <c r="H1033" i="7"/>
  <c r="H1034" i="7"/>
  <c r="H1035" i="7"/>
  <c r="H1036" i="7"/>
  <c r="H1037" i="7"/>
  <c r="H1038" i="7"/>
  <c r="H1039" i="7"/>
  <c r="H1040" i="7"/>
  <c r="H1041" i="7"/>
  <c r="H1042" i="7"/>
  <c r="H1043" i="7"/>
  <c r="H1044" i="7"/>
  <c r="H1045" i="7"/>
  <c r="H1046" i="7"/>
  <c r="H1047" i="7"/>
  <c r="H1048" i="7"/>
  <c r="H1049" i="7"/>
  <c r="H1050" i="7"/>
  <c r="H1051" i="7"/>
  <c r="H1052" i="7"/>
  <c r="H1053" i="7"/>
  <c r="H1054" i="7"/>
  <c r="H1055" i="7"/>
  <c r="H1056" i="7"/>
  <c r="H1057" i="7"/>
  <c r="H1058" i="7"/>
  <c r="H1059" i="7"/>
  <c r="H1060" i="7"/>
  <c r="H1061" i="7"/>
  <c r="H1062" i="7"/>
  <c r="H1063" i="7"/>
  <c r="H1064" i="7"/>
  <c r="H1065" i="7"/>
  <c r="H1066" i="7"/>
  <c r="H1067" i="7"/>
  <c r="H1068" i="7"/>
  <c r="H1069" i="7"/>
  <c r="H1070" i="7"/>
  <c r="H1071" i="7"/>
  <c r="H1072" i="7"/>
  <c r="H1073" i="7"/>
  <c r="H1074" i="7"/>
  <c r="H1075" i="7"/>
  <c r="H1076" i="7"/>
  <c r="H1077" i="7"/>
  <c r="H1078" i="7"/>
  <c r="H1079" i="7"/>
  <c r="H1080" i="7"/>
  <c r="H1081" i="7"/>
  <c r="H1082" i="7"/>
  <c r="H1083" i="7"/>
  <c r="H1084" i="7"/>
  <c r="H1085" i="7"/>
  <c r="H1086" i="7"/>
  <c r="H1087" i="7"/>
  <c r="H1088" i="7"/>
  <c r="H1089" i="7"/>
  <c r="H1090" i="7"/>
  <c r="H1091" i="7"/>
  <c r="H1092" i="7"/>
  <c r="H1093" i="7"/>
  <c r="H1094" i="7"/>
  <c r="H1095" i="7"/>
  <c r="H1096" i="7"/>
  <c r="H1097" i="7"/>
  <c r="H1098" i="7"/>
  <c r="H1099" i="7"/>
  <c r="H1100" i="7"/>
  <c r="H1101" i="7"/>
  <c r="H1102" i="7"/>
  <c r="H1103" i="7"/>
  <c r="H1104" i="7"/>
  <c r="H1105" i="7"/>
  <c r="H1106" i="7"/>
  <c r="H1107" i="7"/>
  <c r="H1108" i="7"/>
  <c r="H1109" i="7"/>
  <c r="H1110" i="7"/>
  <c r="H1111" i="7"/>
  <c r="H1112" i="7"/>
  <c r="H1113" i="7"/>
  <c r="H1114" i="7"/>
  <c r="H1115" i="7"/>
  <c r="H1116" i="7"/>
  <c r="H1117" i="7"/>
  <c r="H1118" i="7"/>
  <c r="H1119" i="7"/>
  <c r="H1120" i="7"/>
  <c r="H1121" i="7"/>
  <c r="H1122" i="7"/>
  <c r="H1123" i="7"/>
  <c r="H1124" i="7"/>
  <c r="H1125" i="7"/>
  <c r="H1126" i="7"/>
  <c r="H1127" i="7"/>
  <c r="H1128" i="7"/>
  <c r="H1129" i="7"/>
  <c r="H1130" i="7"/>
  <c r="H1131" i="7"/>
  <c r="H1132" i="7"/>
  <c r="H1133" i="7"/>
  <c r="H1134" i="7"/>
  <c r="H1135" i="7"/>
  <c r="H1136" i="7"/>
  <c r="H1137" i="7"/>
  <c r="H1138" i="7"/>
  <c r="H1139" i="7"/>
  <c r="H1140" i="7"/>
  <c r="H1141" i="7"/>
  <c r="H1142" i="7"/>
  <c r="H1143" i="7"/>
  <c r="H1144" i="7"/>
  <c r="H1145" i="7"/>
  <c r="H1146" i="7"/>
  <c r="H1147" i="7"/>
  <c r="H1148" i="7"/>
  <c r="H1149" i="7"/>
  <c r="H1150" i="7"/>
  <c r="H1151" i="7"/>
  <c r="H1152" i="7"/>
  <c r="H1153" i="7"/>
  <c r="H1154" i="7"/>
  <c r="H1155" i="7"/>
  <c r="H1156" i="7"/>
  <c r="H1157" i="7"/>
  <c r="H1158" i="7"/>
  <c r="H1159" i="7"/>
  <c r="H1160" i="7"/>
  <c r="H1161" i="7"/>
  <c r="H1162" i="7"/>
  <c r="H1163" i="7"/>
  <c r="H1164" i="7"/>
  <c r="H1165" i="7"/>
  <c r="H1166" i="7"/>
  <c r="H1167" i="7"/>
  <c r="H1168" i="7"/>
  <c r="H1169" i="7"/>
  <c r="H1170" i="7"/>
  <c r="H1171" i="7"/>
  <c r="H1172" i="7"/>
  <c r="H1173" i="7"/>
  <c r="H1174" i="7"/>
  <c r="H1175" i="7"/>
  <c r="H1176" i="7"/>
  <c r="H1177" i="7"/>
  <c r="H1178" i="7"/>
  <c r="H1179" i="7"/>
  <c r="H1180" i="7"/>
  <c r="H1181" i="7"/>
  <c r="H1182" i="7"/>
  <c r="H1183" i="7"/>
  <c r="H1184" i="7"/>
  <c r="H1185" i="7"/>
  <c r="H1186" i="7"/>
  <c r="H1187" i="7"/>
  <c r="H1188" i="7"/>
  <c r="H1189" i="7"/>
  <c r="H1190" i="7"/>
  <c r="H1191" i="7"/>
  <c r="H1192" i="7"/>
  <c r="H1193" i="7"/>
  <c r="H1194" i="7"/>
  <c r="H1195" i="7"/>
  <c r="H1196" i="7"/>
  <c r="H1197" i="7"/>
  <c r="H1198" i="7"/>
  <c r="H1199" i="7"/>
  <c r="H1200" i="7"/>
  <c r="H1201" i="7"/>
  <c r="H1202" i="7"/>
  <c r="H1203" i="7"/>
  <c r="H1204" i="7"/>
  <c r="H1205" i="7"/>
  <c r="H1206" i="7"/>
  <c r="H1207" i="7"/>
  <c r="H1208" i="7"/>
  <c r="H1209" i="7"/>
  <c r="H1210" i="7"/>
  <c r="H1211" i="7"/>
  <c r="H1212" i="7"/>
  <c r="H1213" i="7"/>
  <c r="H1214" i="7"/>
  <c r="H1215" i="7"/>
  <c r="H1216" i="7"/>
  <c r="H1217" i="7"/>
  <c r="H1218" i="7"/>
  <c r="H1219" i="7"/>
  <c r="H1220" i="7"/>
  <c r="H1221" i="7"/>
  <c r="H1222" i="7"/>
  <c r="H1223" i="7"/>
  <c r="H1224" i="7"/>
  <c r="H1225" i="7"/>
  <c r="H1226" i="7"/>
  <c r="H1227" i="7"/>
  <c r="H1228" i="7"/>
  <c r="H1229" i="7"/>
  <c r="H1230" i="7"/>
  <c r="H1231" i="7"/>
  <c r="H1232" i="7"/>
  <c r="H1233" i="7"/>
  <c r="H1234" i="7"/>
  <c r="H1235" i="7"/>
  <c r="H1236" i="7"/>
  <c r="H1237" i="7"/>
  <c r="H1238" i="7"/>
  <c r="H1239" i="7"/>
  <c r="H1240" i="7"/>
  <c r="H1241" i="7"/>
  <c r="H1242" i="7"/>
  <c r="H1243" i="7"/>
  <c r="H1244" i="7"/>
  <c r="H1245" i="7"/>
  <c r="H1246" i="7"/>
  <c r="H1247" i="7"/>
  <c r="H1248" i="7"/>
  <c r="H1249" i="7"/>
  <c r="H1250" i="7"/>
  <c r="H1251" i="7"/>
  <c r="H1252" i="7"/>
  <c r="H1253" i="7"/>
  <c r="H1254" i="7"/>
  <c r="H1255" i="7"/>
  <c r="H1256" i="7"/>
  <c r="H1257" i="7"/>
  <c r="H1258" i="7"/>
  <c r="H1259" i="7"/>
  <c r="H1260" i="7"/>
  <c r="H1261" i="7"/>
  <c r="H1262" i="7"/>
  <c r="H1263" i="7"/>
  <c r="H1264" i="7"/>
  <c r="H1265" i="7"/>
  <c r="H1266" i="7"/>
  <c r="H1267" i="7"/>
  <c r="H1268" i="7"/>
  <c r="H1269" i="7"/>
  <c r="H1270" i="7"/>
  <c r="H1271" i="7"/>
  <c r="H1272" i="7"/>
  <c r="H1273" i="7"/>
  <c r="H1274" i="7"/>
  <c r="H1275" i="7"/>
  <c r="H1276" i="7"/>
  <c r="H1277" i="7"/>
  <c r="H1278" i="7"/>
  <c r="H1279" i="7"/>
  <c r="H1280" i="7"/>
  <c r="H1281" i="7"/>
  <c r="H1282" i="7"/>
  <c r="H1283" i="7"/>
  <c r="H1284" i="7"/>
  <c r="H1285" i="7"/>
  <c r="H1286" i="7"/>
  <c r="H1287" i="7"/>
  <c r="H1288" i="7"/>
  <c r="H1289" i="7"/>
  <c r="H1290" i="7"/>
  <c r="H1291" i="7"/>
  <c r="H1292" i="7"/>
  <c r="H1293" i="7"/>
  <c r="H1294" i="7"/>
  <c r="H1295" i="7"/>
  <c r="H1296" i="7"/>
  <c r="H1297" i="7"/>
  <c r="H1298" i="7"/>
  <c r="H1299" i="7"/>
  <c r="H1300" i="7"/>
  <c r="H1301" i="7"/>
  <c r="H1302" i="7"/>
  <c r="H1303" i="7"/>
  <c r="H1304" i="7"/>
  <c r="H1305" i="7"/>
  <c r="H1306" i="7"/>
  <c r="H1307" i="7"/>
  <c r="H1308" i="7"/>
  <c r="H1309" i="7"/>
  <c r="H1310" i="7"/>
  <c r="H1311" i="7"/>
  <c r="H1312" i="7"/>
  <c r="H1313" i="7"/>
  <c r="H1314" i="7"/>
  <c r="H1315" i="7"/>
  <c r="H1316" i="7"/>
  <c r="H1317" i="7"/>
  <c r="H1318" i="7"/>
  <c r="H1319" i="7"/>
  <c r="H1320" i="7"/>
  <c r="H1321" i="7"/>
  <c r="H1322" i="7"/>
  <c r="H1323" i="7"/>
  <c r="H1324" i="7"/>
  <c r="H1325" i="7"/>
  <c r="H1326" i="7"/>
  <c r="H1327" i="7"/>
  <c r="H1328" i="7"/>
  <c r="H1329" i="7"/>
  <c r="H1330" i="7"/>
  <c r="H1331" i="7"/>
  <c r="H1332" i="7"/>
  <c r="H1333" i="7"/>
  <c r="H1334" i="7"/>
  <c r="H1335" i="7"/>
  <c r="H1336" i="7"/>
  <c r="H1337" i="7"/>
  <c r="H1338" i="7"/>
  <c r="H1339" i="7"/>
  <c r="H1340" i="7"/>
  <c r="H1341" i="7"/>
  <c r="H1342" i="7"/>
  <c r="H1343" i="7"/>
  <c r="H1344" i="7"/>
  <c r="H1345" i="7"/>
  <c r="H1346" i="7"/>
  <c r="H1347" i="7"/>
  <c r="H1348" i="7"/>
  <c r="H1349" i="7"/>
  <c r="H1350" i="7"/>
  <c r="H1351" i="7"/>
  <c r="H1352" i="7"/>
  <c r="H1353" i="7"/>
  <c r="H1354" i="7"/>
  <c r="H1355" i="7"/>
  <c r="H1356" i="7"/>
  <c r="H1357" i="7"/>
  <c r="H1358" i="7"/>
  <c r="H1359" i="7"/>
  <c r="H1360" i="7"/>
  <c r="H1361" i="7"/>
  <c r="H1362" i="7"/>
  <c r="H1363" i="7"/>
  <c r="H1364" i="7"/>
  <c r="H1365" i="7"/>
  <c r="H1366" i="7"/>
  <c r="H1367" i="7"/>
  <c r="H1368" i="7"/>
  <c r="H1369" i="7"/>
  <c r="H1370" i="7"/>
  <c r="H1371" i="7"/>
  <c r="H1372" i="7"/>
  <c r="H1373" i="7"/>
  <c r="H1374" i="7"/>
  <c r="H1375" i="7"/>
  <c r="H1376" i="7"/>
  <c r="H1377" i="7"/>
  <c r="H1378" i="7"/>
  <c r="H1379" i="7"/>
  <c r="H1380" i="7"/>
  <c r="H1381" i="7"/>
  <c r="H1382" i="7"/>
  <c r="H1383" i="7"/>
  <c r="H1384" i="7"/>
  <c r="H1385" i="7"/>
  <c r="H1386" i="7"/>
  <c r="H1387" i="7"/>
  <c r="H1388" i="7"/>
  <c r="H1389" i="7"/>
  <c r="H1390" i="7"/>
  <c r="H1391" i="7"/>
  <c r="H1392" i="7"/>
  <c r="H1393" i="7"/>
  <c r="H1394" i="7"/>
  <c r="H1395" i="7"/>
  <c r="H1396" i="7"/>
  <c r="H1397" i="7"/>
  <c r="H1398" i="7"/>
  <c r="H1399" i="7"/>
  <c r="H1400" i="7"/>
  <c r="H1401" i="7"/>
  <c r="H1402" i="7"/>
  <c r="H1403" i="7"/>
  <c r="H1404" i="7"/>
  <c r="H1405" i="7"/>
  <c r="H1406" i="7"/>
  <c r="H1407" i="7"/>
  <c r="H1408" i="7"/>
  <c r="H1409" i="7"/>
  <c r="H1410" i="7"/>
  <c r="H1411" i="7"/>
  <c r="H1412" i="7"/>
  <c r="H1413" i="7"/>
  <c r="H1414" i="7"/>
  <c r="H1415" i="7"/>
  <c r="H1416" i="7"/>
  <c r="H1417" i="7"/>
  <c r="H1418" i="7"/>
  <c r="H1419" i="7"/>
  <c r="H1420" i="7"/>
  <c r="H1421" i="7"/>
  <c r="H1422" i="7"/>
  <c r="H1423" i="7"/>
  <c r="H1424" i="7"/>
  <c r="H1425" i="7"/>
  <c r="H1426" i="7"/>
  <c r="H1427" i="7"/>
  <c r="H1428" i="7"/>
  <c r="H1429" i="7"/>
  <c r="H1430" i="7"/>
  <c r="H1431" i="7"/>
  <c r="H1432" i="7"/>
  <c r="H1433" i="7"/>
  <c r="H1434" i="7"/>
  <c r="H1435" i="7"/>
  <c r="H1436" i="7"/>
  <c r="H1437" i="7"/>
  <c r="H1438" i="7"/>
  <c r="H1439" i="7"/>
  <c r="H1440" i="7"/>
  <c r="H1441" i="7"/>
  <c r="H1442" i="7"/>
  <c r="H1443" i="7"/>
  <c r="H1444" i="7"/>
  <c r="H1445" i="7"/>
  <c r="H1446" i="7"/>
  <c r="H1447" i="7"/>
  <c r="H1448" i="7"/>
  <c r="H1449" i="7"/>
  <c r="H1450" i="7"/>
  <c r="H1451" i="7"/>
  <c r="H1452" i="7"/>
  <c r="H1453" i="7"/>
  <c r="H1454" i="7"/>
  <c r="H1455" i="7"/>
  <c r="H1456" i="7"/>
  <c r="H1457" i="7"/>
  <c r="H1458" i="7"/>
  <c r="H1459" i="7"/>
  <c r="H1460" i="7"/>
  <c r="H1461" i="7"/>
  <c r="H1462" i="7"/>
  <c r="H1463" i="7"/>
  <c r="H1464" i="7"/>
  <c r="H1465" i="7"/>
  <c r="H1466" i="7"/>
  <c r="H1467" i="7"/>
  <c r="H1468" i="7"/>
  <c r="H1469" i="7"/>
  <c r="H1470" i="7"/>
  <c r="H1471" i="7"/>
  <c r="H1472" i="7"/>
  <c r="H1473" i="7"/>
  <c r="H1474" i="7"/>
  <c r="H1475" i="7"/>
  <c r="H1476" i="7"/>
  <c r="H1477" i="7"/>
  <c r="H1478" i="7"/>
  <c r="H1479" i="7"/>
  <c r="H1480" i="7"/>
  <c r="H1481" i="7"/>
  <c r="H1482" i="7"/>
  <c r="H1483" i="7"/>
  <c r="H1484" i="7"/>
  <c r="H1485" i="7"/>
  <c r="H1486" i="7"/>
  <c r="H1487" i="7"/>
  <c r="H1488" i="7"/>
  <c r="H1489" i="7"/>
  <c r="H1490" i="7"/>
  <c r="H1491" i="7"/>
  <c r="H1492" i="7"/>
  <c r="H1493" i="7"/>
  <c r="H1494" i="7"/>
  <c r="H1495" i="7"/>
  <c r="H1496" i="7"/>
  <c r="H1497" i="7"/>
  <c r="H1498" i="7"/>
  <c r="H1499" i="7"/>
  <c r="H1500" i="7"/>
  <c r="H1501" i="7"/>
  <c r="H1502" i="7"/>
  <c r="H1503" i="7"/>
  <c r="H1504" i="7"/>
  <c r="H1505" i="7"/>
  <c r="H1506" i="7"/>
  <c r="H1507" i="7"/>
  <c r="H1508" i="7"/>
  <c r="H1509" i="7"/>
  <c r="H1510" i="7"/>
  <c r="H1511" i="7"/>
  <c r="H1512" i="7"/>
  <c r="H1513" i="7"/>
  <c r="H1514" i="7"/>
  <c r="H1515" i="7"/>
  <c r="H1516" i="7"/>
  <c r="H1517" i="7"/>
  <c r="H1518" i="7"/>
  <c r="H1519" i="7"/>
  <c r="H1520" i="7"/>
  <c r="H1521" i="7"/>
  <c r="H1522" i="7"/>
  <c r="H1523" i="7"/>
  <c r="H1524" i="7"/>
  <c r="H1525" i="7"/>
  <c r="H1526" i="7"/>
  <c r="H1527" i="7"/>
  <c r="H1528" i="7"/>
  <c r="H1529" i="7"/>
  <c r="H1530" i="7"/>
  <c r="H1531" i="7"/>
  <c r="H1532" i="7"/>
  <c r="H1533" i="7"/>
  <c r="H1534" i="7"/>
  <c r="H1535" i="7"/>
  <c r="H1536" i="7"/>
  <c r="H1537" i="7"/>
  <c r="H1538" i="7"/>
  <c r="H1539" i="7"/>
  <c r="H1540" i="7"/>
  <c r="H1541" i="7"/>
  <c r="H1542" i="7"/>
  <c r="H1543" i="7"/>
  <c r="H1544" i="7"/>
  <c r="H1545" i="7"/>
  <c r="H1546" i="7"/>
  <c r="H1547" i="7"/>
  <c r="H1548" i="7"/>
  <c r="H1549" i="7"/>
  <c r="H1550" i="7"/>
  <c r="H1551" i="7"/>
  <c r="H1552" i="7"/>
  <c r="H1553" i="7"/>
  <c r="H1554" i="7"/>
  <c r="H1555" i="7"/>
  <c r="H1556" i="7"/>
  <c r="H1557" i="7"/>
  <c r="H1558" i="7"/>
  <c r="H1559" i="7"/>
  <c r="H1560" i="7"/>
  <c r="H1561" i="7"/>
  <c r="H1562" i="7"/>
  <c r="H1563" i="7"/>
  <c r="H1564" i="7"/>
  <c r="H1565" i="7"/>
  <c r="H1566" i="7"/>
  <c r="H1567" i="7"/>
  <c r="H1568" i="7"/>
  <c r="H1569" i="7"/>
  <c r="H1570" i="7"/>
  <c r="H1571" i="7"/>
  <c r="H1572" i="7"/>
  <c r="H1573" i="7"/>
  <c r="H1574" i="7"/>
  <c r="H1575" i="7"/>
  <c r="H1576" i="7"/>
  <c r="H1577" i="7"/>
  <c r="H1578" i="7"/>
  <c r="H1579" i="7"/>
  <c r="H1580" i="7"/>
  <c r="H1581" i="7"/>
  <c r="H1582" i="7"/>
  <c r="H1583" i="7"/>
  <c r="H1584" i="7"/>
  <c r="H1585" i="7"/>
  <c r="H1586" i="7"/>
  <c r="H1587" i="7"/>
  <c r="H1588" i="7"/>
  <c r="H1589" i="7"/>
  <c r="H1590" i="7"/>
  <c r="H1591" i="7"/>
  <c r="H1592" i="7"/>
  <c r="H1593" i="7"/>
  <c r="H1594" i="7"/>
  <c r="H1595" i="7"/>
  <c r="H1596" i="7"/>
  <c r="H1597" i="7"/>
  <c r="H1598" i="7"/>
  <c r="H1599" i="7"/>
  <c r="H1600" i="7"/>
  <c r="H1601" i="7"/>
  <c r="H1602" i="7"/>
  <c r="H1603" i="7"/>
  <c r="H1604" i="7"/>
  <c r="H1605" i="7"/>
  <c r="H1606" i="7"/>
  <c r="H1607" i="7"/>
  <c r="H1608" i="7"/>
  <c r="H1609" i="7"/>
  <c r="H1610" i="7"/>
  <c r="H1611" i="7"/>
  <c r="H1612" i="7"/>
  <c r="H1613" i="7"/>
  <c r="H1614" i="7"/>
  <c r="H1615" i="7"/>
  <c r="H1616" i="7"/>
  <c r="H1617" i="7"/>
  <c r="H1618" i="7"/>
  <c r="H1619" i="7"/>
  <c r="H1620" i="7"/>
  <c r="H1621" i="7"/>
  <c r="H1622" i="7"/>
  <c r="H1623" i="7"/>
  <c r="H1624" i="7"/>
  <c r="H1625" i="7"/>
  <c r="H1626" i="7"/>
  <c r="H1627" i="7"/>
  <c r="H1628" i="7"/>
  <c r="H1629" i="7"/>
  <c r="H1630" i="7"/>
  <c r="H1631" i="7"/>
  <c r="H1632" i="7"/>
  <c r="H1633" i="7"/>
  <c r="H1634" i="7"/>
  <c r="H1635" i="7"/>
  <c r="H1636" i="7"/>
  <c r="H1637" i="7"/>
  <c r="H1638" i="7"/>
  <c r="H1639" i="7"/>
  <c r="H1640" i="7"/>
  <c r="H1641" i="7"/>
  <c r="H1642" i="7"/>
  <c r="H1643" i="7"/>
  <c r="H1644" i="7"/>
  <c r="H1645" i="7"/>
  <c r="H1646" i="7"/>
  <c r="H1647" i="7"/>
  <c r="H1648" i="7"/>
  <c r="H1649" i="7"/>
  <c r="H1650" i="7"/>
  <c r="H1651" i="7"/>
  <c r="H1652" i="7"/>
  <c r="H1653" i="7"/>
  <c r="H1654" i="7"/>
  <c r="H1655" i="7"/>
  <c r="H1656" i="7"/>
  <c r="H1657" i="7"/>
  <c r="H1658" i="7"/>
  <c r="H1659" i="7"/>
  <c r="H1660" i="7"/>
  <c r="H1661" i="7"/>
  <c r="H1662" i="7"/>
  <c r="H1663" i="7"/>
  <c r="H1664" i="7"/>
  <c r="H1665" i="7"/>
  <c r="H1666" i="7"/>
  <c r="H1667" i="7"/>
  <c r="H1668" i="7"/>
  <c r="H1669" i="7"/>
  <c r="H1670" i="7"/>
  <c r="H1671" i="7"/>
  <c r="H1672" i="7"/>
  <c r="H1673" i="7"/>
  <c r="H1674" i="7"/>
  <c r="H1675" i="7"/>
  <c r="H1676" i="7"/>
  <c r="H1677" i="7"/>
  <c r="H1678" i="7"/>
  <c r="H1679" i="7"/>
  <c r="H1680" i="7"/>
  <c r="H1681" i="7"/>
  <c r="H1682" i="7"/>
  <c r="H1683" i="7"/>
  <c r="H1684" i="7"/>
  <c r="H1685" i="7"/>
  <c r="H1686" i="7"/>
  <c r="H1687" i="7"/>
  <c r="H1688" i="7"/>
  <c r="H1689" i="7"/>
  <c r="H1690" i="7"/>
  <c r="H1691" i="7"/>
  <c r="H1692" i="7"/>
  <c r="H1693" i="7"/>
  <c r="H1694" i="7"/>
  <c r="H1695" i="7"/>
  <c r="H1696" i="7"/>
  <c r="H1697" i="7"/>
  <c r="H1698" i="7"/>
  <c r="H1699" i="7"/>
  <c r="H1700" i="7"/>
  <c r="H1701" i="7"/>
  <c r="H1702" i="7"/>
  <c r="H1703" i="7"/>
  <c r="H1704" i="7"/>
  <c r="H1705" i="7"/>
  <c r="H1706" i="7"/>
  <c r="H1707" i="7"/>
  <c r="H1708" i="7"/>
  <c r="H1709" i="7"/>
  <c r="H1710" i="7"/>
  <c r="H1711" i="7"/>
  <c r="H1712" i="7"/>
  <c r="H1713" i="7"/>
  <c r="H1714" i="7"/>
  <c r="H1715" i="7"/>
  <c r="H1716" i="7"/>
  <c r="H1717" i="7"/>
  <c r="H1718" i="7"/>
  <c r="H1719" i="7"/>
  <c r="H1720" i="7"/>
  <c r="H1721" i="7"/>
  <c r="H1722" i="7"/>
  <c r="H1723" i="7"/>
  <c r="H1724" i="7"/>
  <c r="H1725" i="7"/>
  <c r="H1726" i="7"/>
  <c r="H1727" i="7"/>
  <c r="H1728" i="7"/>
  <c r="H1729" i="7"/>
  <c r="H1730" i="7"/>
  <c r="H1731" i="7"/>
  <c r="H1732" i="7"/>
  <c r="H1733" i="7"/>
  <c r="H1734" i="7"/>
  <c r="H1735" i="7"/>
  <c r="H1736" i="7"/>
  <c r="H1737" i="7"/>
  <c r="H1738" i="7"/>
  <c r="H1739" i="7"/>
  <c r="H1740" i="7"/>
  <c r="H1741" i="7"/>
  <c r="H1742" i="7"/>
  <c r="H1743" i="7"/>
  <c r="H1744" i="7"/>
  <c r="H1745" i="7"/>
  <c r="H1746" i="7"/>
  <c r="H1747" i="7"/>
  <c r="H1748" i="7"/>
  <c r="H1749" i="7"/>
  <c r="H1750" i="7"/>
  <c r="H1751" i="7"/>
  <c r="H1752" i="7"/>
  <c r="H1753" i="7"/>
  <c r="H1754" i="7"/>
  <c r="H1755" i="7"/>
  <c r="H1756" i="7"/>
  <c r="H1757" i="7"/>
  <c r="H1758" i="7"/>
  <c r="H1759" i="7"/>
  <c r="H1760" i="7"/>
  <c r="H1761" i="7"/>
  <c r="H1762" i="7"/>
  <c r="H1763" i="7"/>
  <c r="H1764" i="7"/>
  <c r="H1765" i="7"/>
  <c r="H1766" i="7"/>
  <c r="H1767" i="7"/>
  <c r="H1768" i="7"/>
  <c r="H1769" i="7"/>
  <c r="H1770" i="7"/>
  <c r="H1771" i="7"/>
  <c r="H1772" i="7"/>
  <c r="H1773" i="7"/>
  <c r="H1774" i="7"/>
  <c r="H1775" i="7"/>
  <c r="H1776" i="7"/>
  <c r="H1777" i="7"/>
  <c r="H1778" i="7"/>
  <c r="H1779" i="7"/>
  <c r="H1780" i="7"/>
  <c r="H1781" i="7"/>
  <c r="H1782" i="7"/>
  <c r="H1783" i="7"/>
  <c r="H1784" i="7"/>
  <c r="H1785" i="7"/>
  <c r="H1786" i="7"/>
  <c r="H1787" i="7"/>
  <c r="H1788" i="7"/>
  <c r="H1789" i="7"/>
  <c r="H1790" i="7"/>
  <c r="H1791" i="7"/>
  <c r="H1792" i="7"/>
  <c r="H1793" i="7"/>
  <c r="H1794" i="7"/>
  <c r="H1795" i="7"/>
  <c r="H1796" i="7"/>
  <c r="H1797" i="7"/>
  <c r="H1798" i="7"/>
  <c r="H1799" i="7"/>
  <c r="H1800" i="7"/>
  <c r="H1801" i="7"/>
  <c r="H1802" i="7"/>
  <c r="H1803" i="7"/>
  <c r="H1804" i="7"/>
  <c r="H1805" i="7"/>
  <c r="H1806" i="7"/>
  <c r="H1807" i="7"/>
  <c r="H1808" i="7"/>
  <c r="H1809" i="7"/>
  <c r="H1810" i="7"/>
  <c r="H1811" i="7"/>
  <c r="H1812" i="7"/>
  <c r="H1813" i="7"/>
  <c r="H1814" i="7"/>
  <c r="H1815" i="7"/>
  <c r="H1816" i="7"/>
  <c r="H1817" i="7"/>
  <c r="H1818" i="7"/>
  <c r="H1819" i="7"/>
  <c r="H1820" i="7"/>
  <c r="H1821" i="7"/>
  <c r="H1822" i="7"/>
  <c r="H1823" i="7"/>
  <c r="H1824" i="7"/>
  <c r="H1825" i="7"/>
  <c r="H1826" i="7"/>
  <c r="H1827" i="7"/>
  <c r="H1828" i="7"/>
  <c r="H1829" i="7"/>
  <c r="H1830" i="7"/>
  <c r="H1831" i="7"/>
  <c r="H1832" i="7"/>
  <c r="H1833" i="7"/>
  <c r="H1834" i="7"/>
  <c r="H1835" i="7"/>
  <c r="H1836" i="7"/>
  <c r="H1837" i="7"/>
  <c r="H1838" i="7"/>
  <c r="H1839" i="7"/>
  <c r="H1840" i="7"/>
  <c r="H1841" i="7"/>
  <c r="H1842" i="7"/>
  <c r="H1843" i="7"/>
  <c r="H1844" i="7"/>
  <c r="H1845" i="7"/>
  <c r="H1846" i="7"/>
  <c r="H1847" i="7"/>
  <c r="H1848" i="7"/>
  <c r="H1849" i="7"/>
  <c r="H1850" i="7"/>
  <c r="H1851" i="7"/>
  <c r="H1852" i="7"/>
  <c r="H1853" i="7"/>
  <c r="H1854" i="7"/>
  <c r="H1855" i="7"/>
  <c r="H1856" i="7"/>
  <c r="H1857" i="7"/>
  <c r="H1858" i="7"/>
  <c r="H1859" i="7"/>
  <c r="H1860" i="7"/>
  <c r="H1861" i="7"/>
  <c r="H1862" i="7"/>
  <c r="H1863" i="7"/>
  <c r="H1864" i="7"/>
  <c r="H1865" i="7"/>
  <c r="H1866" i="7"/>
  <c r="H1867" i="7"/>
  <c r="H1868" i="7"/>
  <c r="H1869" i="7"/>
  <c r="H1870" i="7"/>
  <c r="H1871" i="7"/>
  <c r="H1872" i="7"/>
  <c r="H1873" i="7"/>
  <c r="H1874" i="7"/>
  <c r="H1875" i="7"/>
  <c r="H1876" i="7"/>
  <c r="H1877" i="7"/>
  <c r="H1878" i="7"/>
  <c r="H1879" i="7"/>
  <c r="H1880" i="7"/>
  <c r="H1881" i="7"/>
  <c r="H1882" i="7"/>
  <c r="H1883" i="7"/>
  <c r="H1884" i="7"/>
  <c r="H1885" i="7"/>
  <c r="H1886" i="7"/>
  <c r="H1887" i="7"/>
  <c r="H1888" i="7"/>
  <c r="H1889" i="7"/>
  <c r="H1890" i="7"/>
  <c r="H1891" i="7"/>
  <c r="H1892" i="7"/>
  <c r="H1893" i="7"/>
  <c r="H1894" i="7"/>
  <c r="H1895" i="7"/>
  <c r="H1896" i="7"/>
  <c r="H1897" i="7"/>
  <c r="H1898" i="7"/>
  <c r="H1899" i="7"/>
  <c r="H1900" i="7"/>
  <c r="H1901" i="7"/>
  <c r="H1902" i="7"/>
  <c r="H1903" i="7"/>
  <c r="H1904" i="7"/>
  <c r="H1905" i="7"/>
  <c r="H1906" i="7"/>
  <c r="H1907" i="7"/>
  <c r="H1908" i="7"/>
  <c r="H1909" i="7"/>
  <c r="H1910" i="7"/>
  <c r="H1911" i="7"/>
  <c r="H1912" i="7"/>
  <c r="H1913" i="7"/>
  <c r="H1914" i="7"/>
  <c r="H1915" i="7"/>
  <c r="H1916" i="7"/>
  <c r="H1917" i="7"/>
  <c r="H1918" i="7"/>
  <c r="H1919" i="7"/>
  <c r="H1920" i="7"/>
  <c r="H1921" i="7"/>
  <c r="H1922" i="7"/>
  <c r="H1923" i="7"/>
  <c r="H1924" i="7"/>
  <c r="H1925" i="7"/>
  <c r="H1926" i="7"/>
  <c r="H1927" i="7"/>
  <c r="H1928" i="7"/>
  <c r="H1929" i="7"/>
  <c r="H1930" i="7"/>
  <c r="H1931" i="7"/>
  <c r="H1932" i="7"/>
  <c r="H1933" i="7"/>
  <c r="H1934" i="7"/>
  <c r="H1935" i="7"/>
  <c r="H1936" i="7"/>
  <c r="H1937" i="7"/>
  <c r="H1938" i="7"/>
  <c r="H1939" i="7"/>
  <c r="H1940" i="7"/>
  <c r="H1941" i="7"/>
  <c r="H1942" i="7"/>
  <c r="H1943" i="7"/>
  <c r="H1944" i="7"/>
  <c r="H1945" i="7"/>
  <c r="H1946" i="7"/>
  <c r="H1947" i="7"/>
  <c r="H1948" i="7"/>
  <c r="H1949" i="7"/>
  <c r="H1950" i="7"/>
  <c r="H1951" i="7"/>
  <c r="H1952" i="7"/>
  <c r="H1953" i="7"/>
  <c r="H1954" i="7"/>
  <c r="H1955" i="7"/>
  <c r="H1956" i="7"/>
  <c r="H1957" i="7"/>
  <c r="H1958" i="7"/>
  <c r="H1959" i="7"/>
  <c r="H1960" i="7"/>
  <c r="H1961" i="7"/>
  <c r="H1962" i="7"/>
  <c r="H1963" i="7"/>
  <c r="H1964" i="7"/>
  <c r="H1965" i="7"/>
  <c r="H1966" i="7"/>
  <c r="H1967" i="7"/>
  <c r="H1968" i="7"/>
  <c r="H1969" i="7"/>
  <c r="H1970" i="7"/>
  <c r="H1971" i="7"/>
  <c r="H1972" i="7"/>
  <c r="H1973" i="7"/>
  <c r="H1974" i="7"/>
  <c r="H1975" i="7"/>
  <c r="H1976" i="7"/>
  <c r="H1977" i="7"/>
  <c r="H1978" i="7"/>
  <c r="H1979" i="7"/>
  <c r="H1980" i="7"/>
  <c r="H1981" i="7"/>
  <c r="H1982" i="7"/>
  <c r="H1983" i="7"/>
  <c r="H1984" i="7"/>
  <c r="H1985" i="7"/>
  <c r="H1986" i="7"/>
  <c r="H1987" i="7"/>
  <c r="H1988" i="7"/>
  <c r="H1989" i="7"/>
  <c r="H1990" i="7"/>
  <c r="H1991" i="7"/>
  <c r="H1992" i="7"/>
  <c r="H1993" i="7"/>
  <c r="H1994" i="7"/>
  <c r="H1995" i="7"/>
  <c r="H1996" i="7"/>
  <c r="H1997" i="7"/>
  <c r="H1998" i="7"/>
  <c r="H1999" i="7"/>
  <c r="H2000" i="7"/>
  <c r="H2001" i="7"/>
  <c r="H2002" i="7"/>
  <c r="H2003" i="7"/>
  <c r="H2004" i="7"/>
  <c r="H2005" i="7"/>
  <c r="H2006" i="7"/>
  <c r="H2007" i="7"/>
  <c r="H2008" i="7"/>
  <c r="H2009" i="7"/>
  <c r="H2010" i="7"/>
  <c r="H2011" i="7"/>
  <c r="H2012" i="7"/>
  <c r="H2013" i="7"/>
  <c r="H2014" i="7"/>
  <c r="H2015" i="7"/>
  <c r="H2016" i="7"/>
  <c r="H2017" i="7"/>
  <c r="H2018" i="7"/>
  <c r="H2019" i="7"/>
  <c r="H2020" i="7"/>
  <c r="H2021" i="7"/>
  <c r="H2022" i="7"/>
  <c r="H2023" i="7"/>
  <c r="H2024" i="7"/>
  <c r="H2025" i="7"/>
  <c r="H2026" i="7"/>
  <c r="H2027" i="7"/>
  <c r="H2028" i="7"/>
  <c r="H2029" i="7"/>
  <c r="H2030" i="7"/>
  <c r="H2031" i="7"/>
  <c r="H2032" i="7"/>
  <c r="H2033" i="7"/>
  <c r="H2034" i="7"/>
  <c r="H2035" i="7"/>
  <c r="H2036" i="7"/>
  <c r="H2037" i="7"/>
  <c r="H2038" i="7"/>
  <c r="H2039" i="7"/>
  <c r="H2040" i="7"/>
  <c r="H2041" i="7"/>
  <c r="H2042" i="7"/>
  <c r="H2043" i="7"/>
  <c r="H2044" i="7"/>
  <c r="H2045" i="7"/>
  <c r="H2046" i="7"/>
  <c r="H2047" i="7"/>
  <c r="H2048" i="7"/>
  <c r="H2049" i="7"/>
  <c r="H2050" i="7"/>
  <c r="H2051" i="7"/>
  <c r="H2052" i="7"/>
  <c r="H2053" i="7"/>
  <c r="H2054" i="7"/>
  <c r="H2055" i="7"/>
  <c r="H2056" i="7"/>
  <c r="H2057" i="7"/>
  <c r="H2058" i="7"/>
  <c r="H2059" i="7"/>
  <c r="H2060" i="7"/>
  <c r="H2061" i="7"/>
  <c r="H2062" i="7"/>
  <c r="H2063" i="7"/>
  <c r="H2064" i="7"/>
  <c r="H2065" i="7"/>
  <c r="H2066" i="7"/>
  <c r="H2067" i="7"/>
  <c r="H2068" i="7"/>
  <c r="H2069" i="7"/>
  <c r="H2070" i="7"/>
  <c r="H2071" i="7"/>
  <c r="H2072" i="7"/>
  <c r="H2073" i="7"/>
  <c r="H2074" i="7"/>
  <c r="H2075" i="7"/>
  <c r="H2076" i="7"/>
  <c r="H2077" i="7"/>
  <c r="H2078" i="7"/>
  <c r="H2079" i="7"/>
  <c r="H2080" i="7"/>
  <c r="H2081" i="7"/>
  <c r="H2082" i="7"/>
  <c r="H2083" i="7"/>
  <c r="H2084" i="7"/>
  <c r="H2085" i="7"/>
  <c r="H2086" i="7"/>
  <c r="H2087" i="7"/>
  <c r="H2088" i="7"/>
  <c r="H2089" i="7"/>
  <c r="H2090" i="7"/>
  <c r="H2091" i="7"/>
  <c r="H2092" i="7"/>
  <c r="H2093" i="7"/>
  <c r="H2094" i="7"/>
  <c r="H2095" i="7"/>
  <c r="H2096" i="7"/>
  <c r="H2097" i="7"/>
  <c r="H2098" i="7"/>
  <c r="H2099" i="7"/>
  <c r="H2100" i="7"/>
  <c r="H2101" i="7"/>
  <c r="H2102" i="7"/>
  <c r="H2103" i="7"/>
  <c r="H2104" i="7"/>
  <c r="H2105" i="7"/>
  <c r="H2106" i="7"/>
  <c r="H2107" i="7"/>
  <c r="H2108" i="7"/>
  <c r="H2109" i="7"/>
  <c r="H2110" i="7"/>
  <c r="H2111" i="7"/>
  <c r="H2112" i="7"/>
  <c r="H2113" i="7"/>
  <c r="H2114" i="7"/>
  <c r="H2115" i="7"/>
  <c r="H2116" i="7"/>
  <c r="H2117" i="7"/>
  <c r="H2118" i="7"/>
  <c r="H2119" i="7"/>
  <c r="H2120" i="7"/>
  <c r="H2121" i="7"/>
  <c r="H2122" i="7"/>
  <c r="H2123" i="7"/>
  <c r="H2124" i="7"/>
  <c r="H2125" i="7"/>
  <c r="H2126" i="7"/>
  <c r="H2127" i="7"/>
  <c r="H2128" i="7"/>
  <c r="H2129" i="7"/>
  <c r="H2130" i="7"/>
  <c r="H2131" i="7"/>
  <c r="H2132" i="7"/>
  <c r="H2133" i="7"/>
  <c r="H2134" i="7"/>
  <c r="H2135" i="7"/>
  <c r="H2136" i="7"/>
  <c r="H2137" i="7"/>
  <c r="H2138" i="7"/>
  <c r="H2139" i="7"/>
  <c r="H2140" i="7"/>
  <c r="H2141" i="7"/>
  <c r="H2142" i="7"/>
  <c r="H2143" i="7"/>
  <c r="H2144" i="7"/>
  <c r="H2145" i="7"/>
  <c r="H2146" i="7"/>
  <c r="H2147" i="7"/>
  <c r="H2148" i="7"/>
  <c r="H2149" i="7"/>
  <c r="H2150" i="7"/>
  <c r="H2151" i="7"/>
  <c r="H2152" i="7"/>
  <c r="H2153" i="7"/>
  <c r="H2154" i="7"/>
  <c r="H2155" i="7"/>
  <c r="H2156" i="7"/>
  <c r="H2157" i="7"/>
  <c r="H2158" i="7"/>
  <c r="H2159" i="7"/>
  <c r="H2160" i="7"/>
  <c r="H2161" i="7"/>
  <c r="H2162" i="7"/>
  <c r="H2163" i="7"/>
  <c r="H2164" i="7"/>
  <c r="H2165" i="7"/>
  <c r="H2166" i="7"/>
  <c r="H2167" i="7"/>
  <c r="H2168" i="7"/>
  <c r="H2169" i="7"/>
  <c r="H2170" i="7"/>
  <c r="H2171" i="7"/>
  <c r="H2172" i="7"/>
  <c r="H2173" i="7"/>
  <c r="H2174" i="7"/>
  <c r="H2175" i="7"/>
  <c r="H2176" i="7"/>
  <c r="H2177" i="7"/>
  <c r="H2178" i="7"/>
  <c r="H2179" i="7"/>
  <c r="H2180" i="7"/>
  <c r="H2181" i="7"/>
  <c r="H2182" i="7"/>
  <c r="H2183" i="7"/>
  <c r="H2184" i="7"/>
  <c r="H2185" i="7"/>
  <c r="H2186" i="7"/>
  <c r="H2187" i="7"/>
  <c r="H2188" i="7"/>
  <c r="H2189" i="7"/>
  <c r="H2190" i="7"/>
  <c r="H2191" i="7"/>
  <c r="H2192" i="7"/>
  <c r="H2193" i="7"/>
  <c r="H2194" i="7"/>
  <c r="H2195" i="7"/>
  <c r="H2196" i="7"/>
  <c r="H2197" i="7"/>
  <c r="H2198" i="7"/>
  <c r="H2199" i="7"/>
  <c r="H2200" i="7"/>
  <c r="H2201" i="7"/>
  <c r="H2202" i="7"/>
  <c r="H2203" i="7"/>
  <c r="H2204" i="7"/>
  <c r="H2205" i="7"/>
  <c r="H2206" i="7"/>
  <c r="H2207" i="7"/>
  <c r="H2208" i="7"/>
  <c r="H2209" i="7"/>
  <c r="H2210" i="7"/>
  <c r="H2211" i="7"/>
  <c r="H2212" i="7"/>
  <c r="H2213" i="7"/>
  <c r="H2214" i="7"/>
  <c r="H2215" i="7"/>
  <c r="H2216" i="7"/>
  <c r="H2217" i="7"/>
  <c r="H2218" i="7"/>
  <c r="H2219" i="7"/>
  <c r="H2220" i="7"/>
  <c r="H2221" i="7"/>
  <c r="H2222" i="7"/>
  <c r="H2223" i="7"/>
  <c r="H2224" i="7"/>
  <c r="H2225" i="7"/>
  <c r="H2226" i="7"/>
  <c r="H2227" i="7"/>
  <c r="H2228" i="7"/>
  <c r="H2229" i="7"/>
  <c r="H2230" i="7"/>
  <c r="H2231" i="7"/>
  <c r="H2232" i="7"/>
  <c r="H2233" i="7"/>
  <c r="H2234" i="7"/>
  <c r="H2235" i="7"/>
  <c r="H2236" i="7"/>
  <c r="H2237" i="7"/>
  <c r="H2238" i="7"/>
  <c r="H2239" i="7"/>
  <c r="H2240" i="7"/>
  <c r="H2241" i="7"/>
  <c r="H2242" i="7"/>
  <c r="H2243" i="7"/>
  <c r="H2244" i="7"/>
  <c r="H2245" i="7"/>
  <c r="H2246" i="7"/>
  <c r="H2247" i="7"/>
  <c r="H2248" i="7"/>
  <c r="H2249" i="7"/>
  <c r="H2250" i="7"/>
  <c r="H2251" i="7"/>
  <c r="H2252" i="7"/>
  <c r="H2253" i="7"/>
  <c r="H2254" i="7"/>
  <c r="H2255" i="7"/>
  <c r="H2256" i="7"/>
  <c r="H2257" i="7"/>
  <c r="H2258" i="7"/>
  <c r="H2259" i="7"/>
  <c r="H2260" i="7"/>
  <c r="H2261" i="7"/>
  <c r="H2262" i="7"/>
  <c r="H2263" i="7"/>
  <c r="H2264" i="7"/>
  <c r="H2265" i="7"/>
  <c r="H2266" i="7"/>
  <c r="H2267" i="7"/>
  <c r="H2268" i="7"/>
  <c r="H2269" i="7"/>
  <c r="H2270" i="7"/>
  <c r="H2271" i="7"/>
  <c r="H2272" i="7"/>
  <c r="H2273" i="7"/>
  <c r="H2274" i="7"/>
  <c r="H2275" i="7"/>
  <c r="H2276" i="7"/>
  <c r="H2277" i="7"/>
  <c r="H2278" i="7"/>
  <c r="H2279" i="7"/>
  <c r="H2280" i="7"/>
  <c r="H2281" i="7"/>
  <c r="H2282" i="7"/>
  <c r="H2283" i="7"/>
  <c r="H2284" i="7"/>
  <c r="H2285" i="7"/>
  <c r="H2286" i="7"/>
  <c r="H2287" i="7"/>
  <c r="H2288" i="7"/>
  <c r="H2289" i="7"/>
  <c r="H2290" i="7"/>
  <c r="H2291" i="7"/>
  <c r="H2292" i="7"/>
  <c r="H2293" i="7"/>
  <c r="H2294" i="7"/>
  <c r="H2295" i="7"/>
  <c r="H2296" i="7"/>
  <c r="H2297" i="7"/>
  <c r="H2298" i="7"/>
  <c r="H2299" i="7"/>
  <c r="H2300" i="7"/>
  <c r="H2301" i="7"/>
  <c r="H2302" i="7"/>
  <c r="H2303" i="7"/>
  <c r="H2304" i="7"/>
  <c r="H2305" i="7"/>
  <c r="H2306" i="7"/>
  <c r="H2307" i="7"/>
  <c r="H2308" i="7"/>
  <c r="H2309" i="7"/>
  <c r="H2310" i="7"/>
  <c r="H2311" i="7"/>
  <c r="H2312" i="7"/>
  <c r="H2313" i="7"/>
  <c r="H2314" i="7"/>
  <c r="H2315" i="7"/>
  <c r="H2316" i="7"/>
  <c r="H2317" i="7"/>
  <c r="H2318" i="7"/>
  <c r="H2319" i="7"/>
  <c r="H2320" i="7"/>
  <c r="H2321" i="7"/>
  <c r="H2322" i="7"/>
  <c r="H2323" i="7"/>
  <c r="H2324" i="7"/>
  <c r="H2325" i="7"/>
  <c r="H2326" i="7"/>
  <c r="H2327" i="7"/>
  <c r="H2328" i="7"/>
  <c r="H2329" i="7"/>
  <c r="H2330" i="7"/>
  <c r="H2331" i="7"/>
  <c r="H2332" i="7"/>
  <c r="H2333" i="7"/>
  <c r="H2334" i="7"/>
  <c r="H2335" i="7"/>
  <c r="H2336" i="7"/>
  <c r="H2337" i="7"/>
  <c r="H2338" i="7"/>
  <c r="H2339" i="7"/>
  <c r="H2340" i="7"/>
  <c r="H2341" i="7"/>
  <c r="H2342" i="7"/>
  <c r="H2343" i="7"/>
  <c r="H2344" i="7"/>
  <c r="H2345" i="7"/>
  <c r="H2346" i="7"/>
  <c r="H2347" i="7"/>
  <c r="H2348" i="7"/>
  <c r="H2349" i="7"/>
  <c r="H2350" i="7"/>
  <c r="H2351" i="7"/>
  <c r="H2352" i="7"/>
  <c r="H2353" i="7"/>
  <c r="H2354" i="7"/>
  <c r="H2355" i="7"/>
  <c r="H2356" i="7"/>
  <c r="H2357" i="7"/>
  <c r="H2358" i="7"/>
  <c r="H2359" i="7"/>
  <c r="H2360" i="7"/>
  <c r="H2361" i="7"/>
  <c r="H2362" i="7"/>
  <c r="H2363" i="7"/>
  <c r="H2364" i="7"/>
  <c r="H2365" i="7"/>
  <c r="H2366" i="7"/>
  <c r="H2367" i="7"/>
  <c r="H2368" i="7"/>
  <c r="H2369" i="7"/>
  <c r="H2370" i="7"/>
  <c r="H2371" i="7"/>
  <c r="H2372" i="7"/>
  <c r="H2373" i="7"/>
  <c r="H2374" i="7"/>
  <c r="H2375" i="7"/>
  <c r="H2376" i="7"/>
  <c r="H2377" i="7"/>
  <c r="H2378" i="7"/>
  <c r="H2379" i="7"/>
  <c r="H2380" i="7"/>
  <c r="H2381" i="7"/>
  <c r="H2382" i="7"/>
  <c r="H2383" i="7"/>
  <c r="H2384" i="7"/>
  <c r="H2385" i="7"/>
  <c r="H2386" i="7"/>
  <c r="H2387" i="7"/>
  <c r="H2388" i="7"/>
  <c r="H2389" i="7"/>
  <c r="H2390" i="7"/>
  <c r="H2391" i="7"/>
  <c r="H2392" i="7"/>
  <c r="H2393" i="7"/>
  <c r="H2394" i="7"/>
  <c r="H2395" i="7"/>
  <c r="H2396" i="7"/>
  <c r="H2397" i="7"/>
  <c r="H2398" i="7"/>
  <c r="H2399" i="7"/>
  <c r="H2400" i="7"/>
  <c r="H2401" i="7"/>
  <c r="H2402" i="7"/>
  <c r="H2403" i="7"/>
  <c r="H2404" i="7"/>
  <c r="H2405" i="7"/>
  <c r="H2406" i="7"/>
  <c r="H2407" i="7"/>
  <c r="H2408" i="7"/>
  <c r="H2409" i="7"/>
  <c r="H2410" i="7"/>
  <c r="H2411" i="7"/>
  <c r="H2412" i="7"/>
  <c r="H2413" i="7"/>
  <c r="H2414" i="7"/>
  <c r="H2415" i="7"/>
  <c r="H2416" i="7"/>
  <c r="H2417" i="7"/>
  <c r="H2418" i="7"/>
  <c r="H2419" i="7"/>
  <c r="H2420" i="7"/>
  <c r="H2421" i="7"/>
  <c r="H2422" i="7"/>
  <c r="H2423" i="7"/>
  <c r="H2424" i="7"/>
  <c r="H2425" i="7"/>
  <c r="H2426" i="7"/>
  <c r="H2427" i="7"/>
  <c r="H2428" i="7"/>
  <c r="H2429" i="7"/>
  <c r="H2430" i="7"/>
  <c r="H2431" i="7"/>
  <c r="H2432" i="7"/>
  <c r="H2433" i="7"/>
  <c r="H2434" i="7"/>
  <c r="H2435" i="7"/>
  <c r="H2436" i="7"/>
  <c r="H2437" i="7"/>
  <c r="H2438" i="7"/>
  <c r="H2439" i="7"/>
  <c r="H2440" i="7"/>
  <c r="H2441" i="7"/>
  <c r="H2442" i="7"/>
  <c r="H2443" i="7"/>
  <c r="H2444" i="7"/>
  <c r="H2445" i="7"/>
  <c r="H2446" i="7"/>
  <c r="H2447" i="7"/>
  <c r="H2448" i="7"/>
  <c r="H2449" i="7"/>
  <c r="H2450" i="7"/>
  <c r="H2451" i="7"/>
  <c r="H2452" i="7"/>
  <c r="H2453" i="7"/>
  <c r="H2454" i="7"/>
  <c r="H2455" i="7"/>
  <c r="H2456" i="7"/>
  <c r="H2457" i="7"/>
  <c r="H2458" i="7"/>
  <c r="H2459" i="7"/>
  <c r="H2460" i="7"/>
  <c r="H2461" i="7"/>
  <c r="H2462" i="7"/>
  <c r="H2463" i="7"/>
  <c r="H2464" i="7"/>
  <c r="H2465" i="7"/>
  <c r="H2466" i="7"/>
  <c r="H2467" i="7"/>
  <c r="H2468" i="7"/>
  <c r="H2469" i="7"/>
  <c r="H2470" i="7"/>
  <c r="H2471" i="7"/>
  <c r="H2472" i="7"/>
  <c r="H2473" i="7"/>
  <c r="H2474" i="7"/>
  <c r="H2475" i="7"/>
  <c r="H2476" i="7"/>
  <c r="H2477" i="7"/>
  <c r="H2478" i="7"/>
  <c r="H2479" i="7"/>
  <c r="H2480" i="7"/>
  <c r="H2481" i="7"/>
  <c r="H2482" i="7"/>
  <c r="H2483" i="7"/>
  <c r="H2484" i="7"/>
  <c r="H2485" i="7"/>
  <c r="H2486" i="7"/>
  <c r="H2487" i="7"/>
  <c r="H2488" i="7"/>
  <c r="H2489" i="7"/>
  <c r="H2490" i="7"/>
  <c r="H2491" i="7"/>
  <c r="H2492" i="7"/>
  <c r="H2493" i="7"/>
  <c r="H2494" i="7"/>
  <c r="H2495" i="7"/>
  <c r="H2496" i="7"/>
  <c r="H2497" i="7"/>
  <c r="H2498" i="7"/>
  <c r="H2499" i="7"/>
  <c r="H2500" i="7"/>
  <c r="H2501" i="7"/>
  <c r="H2502" i="7"/>
  <c r="H2503" i="7"/>
  <c r="H2504" i="7"/>
  <c r="H2505" i="7"/>
  <c r="H2506" i="7"/>
  <c r="H2507" i="7"/>
  <c r="H2508" i="7"/>
  <c r="H2509" i="7"/>
  <c r="H2510" i="7"/>
  <c r="H2511" i="7"/>
  <c r="H2512" i="7"/>
  <c r="H2513" i="7"/>
  <c r="H2514" i="7"/>
  <c r="H2515" i="7"/>
  <c r="H2516" i="7"/>
  <c r="H2517" i="7"/>
  <c r="H2518" i="7"/>
  <c r="H2519" i="7"/>
  <c r="H2520" i="7"/>
  <c r="H2521" i="7"/>
  <c r="H2522" i="7"/>
  <c r="H2523" i="7"/>
  <c r="H2524" i="7"/>
  <c r="H2525" i="7"/>
  <c r="H2526" i="7"/>
  <c r="H2527" i="7"/>
  <c r="H2528" i="7"/>
  <c r="H2529" i="7"/>
  <c r="H2530" i="7"/>
  <c r="H2531" i="7"/>
  <c r="H2532" i="7"/>
  <c r="H2533" i="7"/>
  <c r="H2534" i="7"/>
  <c r="H2535" i="7"/>
  <c r="H2536" i="7"/>
  <c r="H2537" i="7"/>
  <c r="H2538" i="7"/>
  <c r="H2539" i="7"/>
  <c r="H2540" i="7"/>
  <c r="H2541" i="7"/>
  <c r="H2542" i="7"/>
  <c r="H2543" i="7"/>
  <c r="H2544" i="7"/>
  <c r="H2545" i="7"/>
  <c r="H2546" i="7"/>
  <c r="H2547" i="7"/>
  <c r="H2548" i="7"/>
  <c r="H2549" i="7"/>
  <c r="H2550" i="7"/>
  <c r="H2551" i="7"/>
  <c r="H2552" i="7"/>
  <c r="H2553" i="7"/>
  <c r="H2554" i="7"/>
  <c r="H2555" i="7"/>
  <c r="H2556" i="7"/>
  <c r="H2557" i="7"/>
  <c r="H2558" i="7"/>
  <c r="H2559" i="7"/>
  <c r="H2560" i="7"/>
  <c r="H2561" i="7"/>
  <c r="H2562" i="7"/>
  <c r="H2563" i="7"/>
  <c r="H2564" i="7"/>
  <c r="H2565" i="7"/>
  <c r="H2566" i="7"/>
  <c r="H2567" i="7"/>
  <c r="H2568" i="7"/>
  <c r="H2569" i="7"/>
  <c r="H2570" i="7"/>
  <c r="H2571" i="7"/>
  <c r="H2572" i="7"/>
  <c r="H2573" i="7"/>
  <c r="H2574" i="7"/>
  <c r="H2575" i="7"/>
  <c r="H2576" i="7"/>
  <c r="H2577" i="7"/>
  <c r="H2578" i="7"/>
  <c r="H2579" i="7"/>
  <c r="H2580" i="7"/>
  <c r="H2581" i="7"/>
  <c r="H2582" i="7"/>
  <c r="H2583" i="7"/>
  <c r="H2584" i="7"/>
  <c r="H2585" i="7"/>
  <c r="H2586" i="7"/>
  <c r="H2587" i="7"/>
  <c r="H2588" i="7"/>
  <c r="H2589" i="7"/>
  <c r="H2590" i="7"/>
  <c r="H2591" i="7"/>
  <c r="H2592" i="7"/>
  <c r="H2593" i="7"/>
  <c r="H2594" i="7"/>
  <c r="H2595" i="7"/>
  <c r="H2596" i="7"/>
  <c r="H2597" i="7"/>
  <c r="H2598" i="7"/>
  <c r="H2599" i="7"/>
  <c r="H2600" i="7"/>
  <c r="H2601" i="7"/>
  <c r="H2602" i="7"/>
  <c r="H2603" i="7"/>
  <c r="H2604" i="7"/>
  <c r="H2605" i="7"/>
  <c r="H2606" i="7"/>
  <c r="H2607" i="7"/>
  <c r="H2608" i="7"/>
  <c r="H2609" i="7"/>
  <c r="H2610" i="7"/>
  <c r="H2611" i="7"/>
  <c r="H2612" i="7"/>
  <c r="H2613" i="7"/>
  <c r="H2614" i="7"/>
  <c r="H2615" i="7"/>
  <c r="H2616" i="7"/>
  <c r="H2617" i="7"/>
  <c r="H2618" i="7"/>
  <c r="H2619" i="7"/>
  <c r="H2620" i="7"/>
  <c r="H2621" i="7"/>
  <c r="H2622" i="7"/>
  <c r="H2623" i="7"/>
  <c r="H2624" i="7"/>
  <c r="H2625" i="7"/>
  <c r="H2626" i="7"/>
  <c r="H2627" i="7"/>
  <c r="H2628" i="7"/>
  <c r="H2629" i="7"/>
  <c r="H2630" i="7"/>
  <c r="H2631" i="7"/>
  <c r="H2632" i="7"/>
  <c r="H2633" i="7"/>
  <c r="H2634" i="7"/>
  <c r="H2635" i="7"/>
  <c r="H2636" i="7"/>
  <c r="H2637" i="7"/>
  <c r="H2638" i="7"/>
  <c r="H2639" i="7"/>
  <c r="H2640" i="7"/>
  <c r="H2641" i="7"/>
  <c r="H2642" i="7"/>
  <c r="H2643" i="7"/>
  <c r="H2644" i="7"/>
  <c r="H2645" i="7"/>
  <c r="H2646" i="7"/>
  <c r="H2647" i="7"/>
  <c r="H2648" i="7"/>
  <c r="H2649" i="7"/>
  <c r="H2650" i="7"/>
  <c r="H2651" i="7"/>
  <c r="H2652" i="7"/>
  <c r="H2653" i="7"/>
  <c r="H2654" i="7"/>
  <c r="H2655" i="7"/>
  <c r="H2656" i="7"/>
  <c r="H2657" i="7"/>
  <c r="H2658" i="7"/>
  <c r="H2659" i="7"/>
  <c r="H2660" i="7"/>
  <c r="H2661" i="7"/>
  <c r="H2662" i="7"/>
  <c r="H2663" i="7"/>
  <c r="H2664" i="7"/>
  <c r="H2665" i="7"/>
  <c r="H2666" i="7"/>
  <c r="H2667" i="7"/>
  <c r="H2668" i="7"/>
  <c r="H2669" i="7"/>
  <c r="H2670" i="7"/>
  <c r="H2671" i="7"/>
  <c r="H2672" i="7"/>
  <c r="H2673" i="7"/>
  <c r="H2674" i="7"/>
  <c r="H2675" i="7"/>
  <c r="H2676" i="7"/>
  <c r="H2677" i="7"/>
  <c r="H2678" i="7"/>
  <c r="H2679" i="7"/>
  <c r="H2680" i="7"/>
  <c r="H2681" i="7"/>
  <c r="H2682" i="7"/>
  <c r="H2683" i="7"/>
  <c r="H2684" i="7"/>
  <c r="H2685" i="7"/>
  <c r="H2686" i="7"/>
  <c r="H2687" i="7"/>
  <c r="H2688" i="7"/>
  <c r="H2689" i="7"/>
  <c r="H2690" i="7"/>
  <c r="H2691" i="7"/>
  <c r="H2692" i="7"/>
  <c r="H2693" i="7"/>
  <c r="H2694" i="7"/>
  <c r="H2695" i="7"/>
  <c r="H2696" i="7"/>
  <c r="H2697" i="7"/>
  <c r="H2698" i="7"/>
  <c r="H2699" i="7"/>
  <c r="H2700" i="7"/>
  <c r="H2701" i="7"/>
  <c r="H2702" i="7"/>
  <c r="H2703" i="7"/>
  <c r="H2704" i="7"/>
  <c r="H2705" i="7"/>
  <c r="H2706" i="7"/>
  <c r="H2707" i="7"/>
  <c r="H2708" i="7"/>
  <c r="H2709" i="7"/>
  <c r="H2710" i="7"/>
  <c r="H2711" i="7"/>
  <c r="H2712" i="7"/>
  <c r="H2713" i="7"/>
  <c r="H2714" i="7"/>
  <c r="H2715" i="7"/>
  <c r="H2716" i="7"/>
  <c r="H2717" i="7"/>
  <c r="H2718" i="7"/>
  <c r="H2719" i="7"/>
  <c r="H2720" i="7"/>
  <c r="H2721" i="7"/>
  <c r="H2722" i="7"/>
  <c r="H2723" i="7"/>
  <c r="H2724" i="7"/>
  <c r="H2725" i="7"/>
  <c r="H2726" i="7"/>
  <c r="H2727" i="7"/>
  <c r="H2728" i="7"/>
  <c r="H2729" i="7"/>
  <c r="H2730" i="7"/>
  <c r="H2731" i="7"/>
  <c r="H2732" i="7"/>
  <c r="H2733" i="7"/>
  <c r="H2734" i="7"/>
  <c r="H2735" i="7"/>
  <c r="H2736" i="7"/>
  <c r="H2737" i="7"/>
  <c r="H2738" i="7"/>
  <c r="H2739" i="7"/>
  <c r="H2740" i="7"/>
  <c r="H2741" i="7"/>
  <c r="H2742" i="7"/>
  <c r="H2743" i="7"/>
  <c r="H2744" i="7"/>
  <c r="H2745" i="7"/>
  <c r="H2746" i="7"/>
  <c r="H2747" i="7"/>
  <c r="H2748" i="7"/>
  <c r="H2749" i="7"/>
  <c r="H2750" i="7"/>
  <c r="H2751" i="7"/>
  <c r="H2752" i="7"/>
  <c r="H2753" i="7"/>
  <c r="H2754" i="7"/>
  <c r="H2755" i="7"/>
  <c r="H2756" i="7"/>
  <c r="H2757" i="7"/>
  <c r="H2758" i="7"/>
  <c r="H2759" i="7"/>
  <c r="H2760" i="7"/>
  <c r="H2761" i="7"/>
  <c r="H2762" i="7"/>
  <c r="H2763" i="7"/>
  <c r="H2764" i="7"/>
  <c r="H2765" i="7"/>
  <c r="H2766" i="7"/>
  <c r="H2767" i="7"/>
  <c r="H2768" i="7"/>
  <c r="H2769" i="7"/>
  <c r="H2770" i="7"/>
  <c r="H2771" i="7"/>
  <c r="H2772" i="7"/>
  <c r="H2773" i="7"/>
  <c r="H2774" i="7"/>
  <c r="H2775" i="7"/>
  <c r="H2776" i="7"/>
  <c r="H2777" i="7"/>
  <c r="H2778" i="7"/>
  <c r="H2779" i="7"/>
  <c r="H2780" i="7"/>
  <c r="H2781" i="7"/>
  <c r="H2782" i="7"/>
  <c r="H2783" i="7"/>
  <c r="H2784" i="7"/>
  <c r="H2785" i="7"/>
  <c r="H2786" i="7"/>
  <c r="H2787" i="7"/>
  <c r="H2788" i="7"/>
  <c r="H2789" i="7"/>
  <c r="H2790" i="7"/>
  <c r="H2791" i="7"/>
  <c r="H2792" i="7"/>
  <c r="H2793" i="7"/>
  <c r="H2794" i="7"/>
  <c r="H2795" i="7"/>
  <c r="H2796" i="7"/>
  <c r="H2797" i="7"/>
  <c r="H2798" i="7"/>
  <c r="H2799" i="7"/>
  <c r="H2800" i="7"/>
  <c r="H2801" i="7"/>
  <c r="H2802" i="7"/>
  <c r="H2803" i="7"/>
  <c r="H2804" i="7"/>
  <c r="H2805" i="7"/>
  <c r="H2806" i="7"/>
  <c r="H2807" i="7"/>
  <c r="H2808" i="7"/>
  <c r="H2809" i="7"/>
  <c r="H2810" i="7"/>
  <c r="H2811" i="7"/>
  <c r="H2812" i="7"/>
  <c r="H2813" i="7"/>
  <c r="H2814" i="7"/>
  <c r="H2815" i="7"/>
  <c r="H2816" i="7"/>
  <c r="H2817" i="7"/>
  <c r="H2818" i="7"/>
  <c r="H2819" i="7"/>
  <c r="H2820" i="7"/>
  <c r="H2821" i="7"/>
  <c r="H2822" i="7"/>
  <c r="H2823" i="7"/>
  <c r="H2824" i="7"/>
  <c r="H2825" i="7"/>
  <c r="H2826" i="7"/>
  <c r="H2827" i="7"/>
  <c r="H2828" i="7"/>
  <c r="H2829" i="7"/>
  <c r="H2830" i="7"/>
  <c r="H2831" i="7"/>
  <c r="H2832" i="7"/>
  <c r="H2833" i="7"/>
  <c r="H2834" i="7"/>
  <c r="H2835" i="7"/>
  <c r="H2836" i="7"/>
  <c r="H2837" i="7"/>
  <c r="H2838" i="7"/>
  <c r="H2839" i="7"/>
  <c r="H2840" i="7"/>
  <c r="H2841" i="7"/>
  <c r="H2842" i="7"/>
  <c r="H2843" i="7"/>
  <c r="H2844" i="7"/>
  <c r="H2845" i="7"/>
  <c r="H2846" i="7"/>
  <c r="H2847" i="7"/>
  <c r="H2848" i="7"/>
  <c r="H2849" i="7"/>
  <c r="H2850" i="7"/>
  <c r="H2851" i="7"/>
  <c r="H2852" i="7"/>
  <c r="H2853" i="7"/>
  <c r="H2854" i="7"/>
  <c r="H2855" i="7"/>
  <c r="H2856" i="7"/>
  <c r="H2857" i="7"/>
  <c r="H2858" i="7"/>
  <c r="H2859" i="7"/>
  <c r="H2860" i="7"/>
  <c r="H2861" i="7"/>
  <c r="H2862" i="7"/>
  <c r="H2863" i="7"/>
  <c r="H2864" i="7"/>
  <c r="H2865" i="7"/>
  <c r="H2866" i="7"/>
  <c r="H2867" i="7"/>
  <c r="H2868" i="7"/>
  <c r="H2869" i="7"/>
  <c r="H2870" i="7"/>
  <c r="H2871" i="7"/>
  <c r="H2872" i="7"/>
  <c r="H2873" i="7"/>
  <c r="H2874" i="7"/>
  <c r="H2875" i="7"/>
  <c r="H2876" i="7"/>
  <c r="H2877" i="7"/>
  <c r="H2878" i="7"/>
  <c r="H2879" i="7"/>
  <c r="H2880" i="7"/>
  <c r="H2881" i="7"/>
  <c r="H2882" i="7"/>
  <c r="H2883" i="7"/>
  <c r="H2884" i="7"/>
  <c r="H2885" i="7"/>
  <c r="H2886" i="7"/>
  <c r="H2887" i="7"/>
  <c r="H2888" i="7"/>
  <c r="H2889" i="7"/>
  <c r="H2890" i="7"/>
  <c r="H2891" i="7"/>
  <c r="H2892" i="7"/>
  <c r="H2893" i="7"/>
  <c r="H2894" i="7"/>
  <c r="H2895" i="7"/>
  <c r="H2896" i="7"/>
  <c r="H2897" i="7"/>
  <c r="H2898" i="7"/>
  <c r="H2899" i="7"/>
  <c r="H2900" i="7"/>
  <c r="H2901" i="7"/>
  <c r="H2902" i="7"/>
  <c r="H2903" i="7"/>
  <c r="H2904" i="7"/>
  <c r="H2905" i="7"/>
  <c r="H2906" i="7"/>
  <c r="H2907" i="7"/>
  <c r="H2908" i="7"/>
  <c r="H2909" i="7"/>
  <c r="H2910" i="7"/>
  <c r="H2911" i="7"/>
  <c r="H2912" i="7"/>
  <c r="H2913" i="7"/>
  <c r="H2914" i="7"/>
  <c r="H2915" i="7"/>
  <c r="H2916" i="7"/>
  <c r="H2917" i="7"/>
  <c r="H2918" i="7"/>
  <c r="H2919" i="7"/>
  <c r="H2920" i="7"/>
  <c r="H2921" i="7"/>
  <c r="H2922" i="7"/>
  <c r="H2923" i="7"/>
  <c r="H2924" i="7"/>
  <c r="H2925" i="7"/>
  <c r="H2926" i="7"/>
  <c r="H2927" i="7"/>
  <c r="H2928" i="7"/>
  <c r="H2929" i="7"/>
  <c r="H2930" i="7"/>
  <c r="H2931" i="7"/>
  <c r="H2932" i="7"/>
  <c r="H2933" i="7"/>
  <c r="H2934" i="7"/>
  <c r="H2935" i="7"/>
  <c r="H2936" i="7"/>
  <c r="H2937" i="7"/>
  <c r="H2938" i="7"/>
  <c r="H2939" i="7"/>
  <c r="H2940" i="7"/>
  <c r="H2941" i="7"/>
  <c r="H2942" i="7"/>
  <c r="H2943" i="7"/>
  <c r="H2944" i="7"/>
  <c r="H2945" i="7"/>
  <c r="H2946" i="7"/>
  <c r="H2947" i="7"/>
  <c r="H2948" i="7"/>
  <c r="H2949" i="7"/>
  <c r="H2950" i="7"/>
  <c r="H2951" i="7"/>
  <c r="H2952" i="7"/>
  <c r="H2953" i="7"/>
  <c r="H2954" i="7"/>
  <c r="H2955" i="7"/>
  <c r="H2956" i="7"/>
  <c r="H2957" i="7"/>
  <c r="H2958" i="7"/>
  <c r="H2959" i="7"/>
  <c r="H2960" i="7"/>
  <c r="H2961" i="7"/>
  <c r="H2962" i="7"/>
  <c r="H2963" i="7"/>
  <c r="H2964" i="7"/>
  <c r="H2965" i="7"/>
  <c r="H2966" i="7"/>
  <c r="H2967" i="7"/>
  <c r="H2968" i="7"/>
  <c r="H2969" i="7"/>
  <c r="H2970" i="7"/>
  <c r="H2971" i="7"/>
  <c r="H2972" i="7"/>
  <c r="H2973" i="7"/>
  <c r="H2974" i="7"/>
  <c r="H2975" i="7"/>
  <c r="H2976" i="7"/>
  <c r="H2977" i="7"/>
  <c r="H2978" i="7"/>
  <c r="H2979" i="7"/>
  <c r="H2980" i="7"/>
  <c r="H2981" i="7"/>
  <c r="H2982" i="7"/>
  <c r="H2983" i="7"/>
  <c r="H2984" i="7"/>
  <c r="H2985" i="7"/>
  <c r="H2986" i="7"/>
  <c r="H2987" i="7"/>
  <c r="H2988" i="7"/>
  <c r="H2989" i="7"/>
  <c r="H2990" i="7"/>
  <c r="H2991" i="7"/>
  <c r="H2992" i="7"/>
  <c r="H2993" i="7"/>
  <c r="H2994" i="7"/>
  <c r="H2995" i="7"/>
  <c r="H2996" i="7"/>
  <c r="H2997" i="7"/>
  <c r="H2998" i="7"/>
  <c r="H2999" i="7"/>
  <c r="H3000" i="7"/>
  <c r="H3001" i="7"/>
  <c r="H3002" i="7"/>
  <c r="H3003" i="7"/>
  <c r="H3004" i="7"/>
  <c r="H3005" i="7"/>
  <c r="H3006" i="7"/>
  <c r="H3007" i="7"/>
  <c r="H3008" i="7"/>
  <c r="H3009" i="7"/>
  <c r="H3010" i="7"/>
  <c r="H3011" i="7"/>
  <c r="H3012" i="7"/>
  <c r="H3013" i="7"/>
  <c r="H3014" i="7"/>
  <c r="H3015" i="7"/>
  <c r="H3016" i="7"/>
  <c r="H3017" i="7"/>
  <c r="H3018" i="7"/>
  <c r="H3019" i="7"/>
  <c r="H3020" i="7"/>
  <c r="H3021" i="7"/>
  <c r="H3022" i="7"/>
  <c r="H3023" i="7"/>
  <c r="H3024" i="7"/>
  <c r="H3025" i="7"/>
  <c r="H3026" i="7"/>
  <c r="H3027" i="7"/>
  <c r="H3028" i="7"/>
  <c r="H3029" i="7"/>
  <c r="H3030" i="7"/>
  <c r="H3031" i="7"/>
  <c r="H3032" i="7"/>
  <c r="H3033" i="7"/>
  <c r="H3034" i="7"/>
  <c r="H3035" i="7"/>
  <c r="H3036" i="7"/>
  <c r="H3037" i="7"/>
  <c r="H3038" i="7"/>
  <c r="H3039" i="7"/>
  <c r="H3040" i="7"/>
  <c r="H3041" i="7"/>
  <c r="H3042" i="7"/>
  <c r="H3043" i="7"/>
  <c r="H3044" i="7"/>
  <c r="H3045" i="7"/>
  <c r="H3046" i="7"/>
  <c r="H3047" i="7"/>
  <c r="H3048" i="7"/>
  <c r="H3049" i="7"/>
  <c r="H3050" i="7"/>
  <c r="H3051" i="7"/>
  <c r="H3052" i="7"/>
  <c r="H3053" i="7"/>
  <c r="H3054" i="7"/>
  <c r="H3055" i="7"/>
  <c r="H3056" i="7"/>
  <c r="H3057" i="7"/>
  <c r="H3058" i="7"/>
  <c r="H3059" i="7"/>
  <c r="H3060" i="7"/>
  <c r="H3061" i="7"/>
  <c r="H3062" i="7"/>
  <c r="H3063" i="7"/>
  <c r="H3064" i="7"/>
  <c r="H3065" i="7"/>
  <c r="H3066" i="7"/>
  <c r="H3067" i="7"/>
  <c r="H3068" i="7"/>
  <c r="H3069" i="7"/>
  <c r="H3070" i="7"/>
  <c r="H3071" i="7"/>
  <c r="H3072" i="7"/>
  <c r="H3073" i="7"/>
  <c r="H3074" i="7"/>
  <c r="H3075" i="7"/>
  <c r="H3076" i="7"/>
  <c r="H3077" i="7"/>
  <c r="H3078" i="7"/>
  <c r="H3079" i="7"/>
  <c r="H3080" i="7"/>
  <c r="H3081" i="7"/>
  <c r="H3082" i="7"/>
  <c r="H3083" i="7"/>
  <c r="H3084" i="7"/>
  <c r="H3085" i="7"/>
  <c r="H3086" i="7"/>
  <c r="H3087" i="7"/>
  <c r="H3088" i="7"/>
  <c r="H3089" i="7"/>
  <c r="H3090" i="7"/>
  <c r="H3091" i="7"/>
  <c r="H3092" i="7"/>
  <c r="H3093" i="7"/>
  <c r="H3094" i="7"/>
  <c r="H3095" i="7"/>
  <c r="H3096" i="7"/>
  <c r="H3097" i="7"/>
  <c r="H3098" i="7"/>
  <c r="H3099" i="7"/>
  <c r="H3100" i="7"/>
  <c r="H3101" i="7"/>
  <c r="H3102" i="7"/>
  <c r="H3103" i="7"/>
  <c r="H3104" i="7"/>
  <c r="H3105" i="7"/>
  <c r="H3106" i="7"/>
  <c r="H3107" i="7"/>
  <c r="H3108" i="7"/>
  <c r="H3109" i="7"/>
  <c r="H3110" i="7"/>
  <c r="H3111" i="7"/>
  <c r="H3112" i="7"/>
  <c r="H3113" i="7"/>
  <c r="H3114" i="7"/>
  <c r="H3115" i="7"/>
  <c r="H3116" i="7"/>
  <c r="H3117" i="7"/>
  <c r="H3118" i="7"/>
  <c r="H3119" i="7"/>
  <c r="H3120" i="7"/>
  <c r="H3121" i="7"/>
  <c r="H3122" i="7"/>
  <c r="H3123" i="7"/>
  <c r="H3124" i="7"/>
  <c r="H3125" i="7"/>
  <c r="H3126" i="7"/>
  <c r="H3127" i="7"/>
  <c r="H3128" i="7"/>
  <c r="H3129" i="7"/>
  <c r="H3130" i="7"/>
  <c r="H3131" i="7"/>
  <c r="H3132" i="7"/>
  <c r="H3133" i="7"/>
  <c r="H3134" i="7"/>
  <c r="H3135" i="7"/>
  <c r="H3136" i="7"/>
  <c r="H3137" i="7"/>
  <c r="H3138" i="7"/>
  <c r="H3139" i="7"/>
  <c r="H3140" i="7"/>
  <c r="H3141" i="7"/>
  <c r="H3142" i="7"/>
  <c r="H3143" i="7"/>
  <c r="H3144" i="7"/>
  <c r="H3145" i="7"/>
  <c r="H3146" i="7"/>
  <c r="H3147" i="7"/>
  <c r="H3148" i="7"/>
  <c r="H3149" i="7"/>
  <c r="H3150" i="7"/>
  <c r="H3151" i="7"/>
  <c r="H3152" i="7"/>
  <c r="H3153" i="7"/>
  <c r="H3154" i="7"/>
  <c r="H3155" i="7"/>
  <c r="H3156" i="7"/>
  <c r="H3157" i="7"/>
  <c r="H3158" i="7"/>
  <c r="H3159" i="7"/>
  <c r="H3160" i="7"/>
  <c r="H3161" i="7"/>
  <c r="H3162" i="7"/>
  <c r="H3163" i="7"/>
  <c r="H3164" i="7"/>
  <c r="H3165" i="7"/>
  <c r="H3166" i="7"/>
  <c r="H3167" i="7"/>
  <c r="H3168" i="7"/>
  <c r="H3169" i="7"/>
  <c r="H3170" i="7"/>
  <c r="H3171" i="7"/>
  <c r="H3172" i="7"/>
  <c r="H3173" i="7"/>
  <c r="H3174" i="7"/>
  <c r="H3175" i="7"/>
  <c r="H3176" i="7"/>
  <c r="H3177" i="7"/>
  <c r="H3178" i="7"/>
  <c r="H3179" i="7"/>
  <c r="H3180" i="7"/>
  <c r="H3181" i="7"/>
  <c r="H3182" i="7"/>
  <c r="H3183" i="7"/>
  <c r="H3184" i="7"/>
  <c r="H3185" i="7"/>
  <c r="H3186" i="7"/>
  <c r="H3187" i="7"/>
  <c r="H3188" i="7"/>
  <c r="H3189" i="7"/>
  <c r="H3190" i="7"/>
  <c r="H3191" i="7"/>
  <c r="H3192" i="7"/>
  <c r="H3193" i="7"/>
  <c r="H3194" i="7"/>
  <c r="H3195" i="7"/>
  <c r="H3196" i="7"/>
  <c r="H3197" i="7"/>
  <c r="H3198" i="7"/>
  <c r="H3199" i="7"/>
  <c r="H3200" i="7"/>
  <c r="H3201" i="7"/>
  <c r="H3202" i="7"/>
  <c r="H3203" i="7"/>
  <c r="H3204" i="7"/>
  <c r="H3205" i="7"/>
  <c r="H3206" i="7"/>
  <c r="H3207" i="7"/>
  <c r="H3208" i="7"/>
  <c r="H3209" i="7"/>
  <c r="H3210" i="7"/>
  <c r="H3211" i="7"/>
  <c r="H3212" i="7"/>
  <c r="H3213" i="7"/>
  <c r="H3214" i="7"/>
  <c r="H3215" i="7"/>
  <c r="H3216" i="7"/>
  <c r="H3217" i="7"/>
  <c r="H3218" i="7"/>
  <c r="H3219" i="7"/>
  <c r="H3220" i="7"/>
  <c r="H3221" i="7"/>
  <c r="H3222" i="7"/>
  <c r="H3223" i="7"/>
  <c r="H3224" i="7"/>
  <c r="H3225" i="7"/>
  <c r="H3226" i="7"/>
  <c r="H3227" i="7"/>
  <c r="H3228" i="7"/>
  <c r="H3229" i="7"/>
  <c r="H3230" i="7"/>
  <c r="H3231" i="7"/>
  <c r="H3232" i="7"/>
  <c r="H3233" i="7"/>
  <c r="H3234" i="7"/>
  <c r="H3235" i="7"/>
  <c r="H3236" i="7"/>
  <c r="H3237" i="7"/>
  <c r="H3238" i="7"/>
  <c r="H3239" i="7"/>
  <c r="H3240" i="7"/>
  <c r="H3241" i="7"/>
  <c r="H3242" i="7"/>
  <c r="H3243" i="7"/>
  <c r="H3244" i="7"/>
  <c r="H3245" i="7"/>
  <c r="H3246" i="7"/>
  <c r="H3247" i="7"/>
  <c r="H3248" i="7"/>
  <c r="H3249" i="7"/>
  <c r="H3250" i="7"/>
  <c r="H3251" i="7"/>
  <c r="H3252" i="7"/>
  <c r="H3253" i="7"/>
  <c r="H3254" i="7"/>
  <c r="H3255" i="7"/>
  <c r="H3256" i="7"/>
  <c r="H3257" i="7"/>
  <c r="H3258" i="7"/>
  <c r="H3259" i="7"/>
  <c r="H3260" i="7"/>
  <c r="H3261" i="7"/>
  <c r="H3262" i="7"/>
  <c r="H3263" i="7"/>
  <c r="H3264" i="7"/>
  <c r="H3265" i="7"/>
  <c r="H3266" i="7"/>
  <c r="H3267" i="7"/>
  <c r="H3268" i="7"/>
  <c r="H3269" i="7"/>
  <c r="H3270" i="7"/>
  <c r="H3271" i="7"/>
  <c r="H3272" i="7"/>
  <c r="H3273" i="7"/>
  <c r="H3274" i="7"/>
  <c r="H3275" i="7"/>
  <c r="H3276" i="7"/>
  <c r="H3277" i="7"/>
  <c r="H3278" i="7"/>
  <c r="H3279" i="7"/>
  <c r="H3280" i="7"/>
  <c r="H3281" i="7"/>
  <c r="H3282" i="7"/>
  <c r="H3283" i="7"/>
  <c r="H3284" i="7"/>
  <c r="H3285" i="7"/>
  <c r="H3286" i="7"/>
  <c r="H3287" i="7"/>
  <c r="H3288" i="7"/>
  <c r="H3289" i="7"/>
  <c r="H3290" i="7"/>
  <c r="H3291" i="7"/>
  <c r="H3292" i="7"/>
  <c r="H3293" i="7"/>
  <c r="H3294" i="7"/>
  <c r="H3295" i="7"/>
  <c r="H3296" i="7"/>
  <c r="H3297" i="7"/>
  <c r="H3298" i="7"/>
  <c r="H3299" i="7"/>
  <c r="H3300" i="7"/>
  <c r="H3301" i="7"/>
  <c r="H3302" i="7"/>
  <c r="H3303" i="7"/>
  <c r="H3304" i="7"/>
  <c r="H3305" i="7"/>
  <c r="H3306" i="7"/>
  <c r="H3307" i="7"/>
  <c r="H3308" i="7"/>
  <c r="H3309" i="7"/>
  <c r="H3310" i="7"/>
  <c r="H3311" i="7"/>
  <c r="H3312" i="7"/>
  <c r="H3313" i="7"/>
  <c r="H3314" i="7"/>
  <c r="H3315" i="7"/>
  <c r="H3316" i="7"/>
  <c r="H3317" i="7"/>
  <c r="H3318" i="7"/>
  <c r="H3319" i="7"/>
  <c r="H3320" i="7"/>
  <c r="H3321" i="7"/>
  <c r="H3322" i="7"/>
  <c r="H3323" i="7"/>
  <c r="H3324" i="7"/>
  <c r="H3325" i="7"/>
  <c r="H3326" i="7"/>
  <c r="H3327" i="7"/>
  <c r="H3328" i="7"/>
  <c r="H3329" i="7"/>
  <c r="H3330" i="7"/>
  <c r="H3331" i="7"/>
  <c r="H3332" i="7"/>
  <c r="H3333" i="7"/>
  <c r="H3334" i="7"/>
  <c r="H3335" i="7"/>
  <c r="H3336" i="7"/>
  <c r="H3337" i="7"/>
  <c r="H3338" i="7"/>
  <c r="H3339" i="7"/>
  <c r="H3340" i="7"/>
  <c r="H3341" i="7"/>
  <c r="H3342" i="7"/>
  <c r="H3343" i="7"/>
  <c r="H3344" i="7"/>
  <c r="H3345" i="7"/>
  <c r="H3346" i="7"/>
  <c r="H3347" i="7"/>
  <c r="H3348" i="7"/>
  <c r="H3349" i="7"/>
  <c r="H3350" i="7"/>
  <c r="H3351" i="7"/>
  <c r="H3352" i="7"/>
  <c r="H3353" i="7"/>
  <c r="H3354" i="7"/>
  <c r="H3355" i="7"/>
  <c r="H3356" i="7"/>
  <c r="H3357" i="7"/>
  <c r="H3358" i="7"/>
  <c r="H3359" i="7"/>
  <c r="H3360" i="7"/>
  <c r="H3361" i="7"/>
  <c r="H3362" i="7"/>
  <c r="H3363" i="7"/>
  <c r="H3364" i="7"/>
  <c r="H3365" i="7"/>
  <c r="H3366" i="7"/>
  <c r="H3367" i="7"/>
  <c r="H3368" i="7"/>
  <c r="H3369" i="7"/>
  <c r="H3370" i="7"/>
  <c r="H3371" i="7"/>
  <c r="H3372" i="7"/>
  <c r="H3373" i="7"/>
  <c r="H3374" i="7"/>
  <c r="H3375" i="7"/>
  <c r="H3376" i="7"/>
  <c r="H3377" i="7"/>
  <c r="H3378" i="7"/>
  <c r="H3379" i="7"/>
  <c r="H3380" i="7"/>
  <c r="H3381" i="7"/>
  <c r="H3382" i="7"/>
  <c r="H3383" i="7"/>
  <c r="H3384" i="7"/>
  <c r="H3385" i="7"/>
  <c r="H3386" i="7"/>
  <c r="H3387" i="7"/>
  <c r="H3388" i="7"/>
  <c r="H3389" i="7"/>
  <c r="H3390" i="7"/>
  <c r="H3391" i="7"/>
  <c r="H3392" i="7"/>
  <c r="H3393" i="7"/>
  <c r="H3394" i="7"/>
  <c r="H3395" i="7"/>
  <c r="H3396" i="7"/>
  <c r="H3397" i="7"/>
  <c r="H3398" i="7"/>
  <c r="H3399" i="7"/>
  <c r="H3400" i="7"/>
  <c r="H3401" i="7"/>
  <c r="H3402" i="7"/>
  <c r="H3403" i="7"/>
  <c r="H3404" i="7"/>
  <c r="H3405" i="7"/>
  <c r="H3406" i="7"/>
  <c r="H3407" i="7"/>
  <c r="H3408" i="7"/>
  <c r="H3409" i="7"/>
  <c r="H3410" i="7"/>
  <c r="H3411" i="7"/>
  <c r="H3412" i="7"/>
  <c r="H3413" i="7"/>
  <c r="H3414" i="7"/>
  <c r="H3415" i="7"/>
  <c r="H3416" i="7"/>
  <c r="H3417" i="7"/>
  <c r="H3418" i="7"/>
  <c r="H3419" i="7"/>
  <c r="H3420" i="7"/>
  <c r="H3421" i="7"/>
  <c r="H3422" i="7"/>
  <c r="H3423" i="7"/>
  <c r="H3424" i="7"/>
  <c r="H3425" i="7"/>
  <c r="H3426" i="7"/>
  <c r="H3427" i="7"/>
  <c r="H3428" i="7"/>
  <c r="H3429" i="7"/>
  <c r="H3430" i="7"/>
  <c r="H3431" i="7"/>
  <c r="H3432" i="7"/>
  <c r="H3433" i="7"/>
  <c r="H3434" i="7"/>
  <c r="H3435" i="7"/>
  <c r="H3436" i="7"/>
  <c r="H3437" i="7"/>
  <c r="H3438" i="7"/>
  <c r="H3439" i="7"/>
  <c r="H3440" i="7"/>
  <c r="H3441" i="7"/>
  <c r="H3442" i="7"/>
  <c r="H3443" i="7"/>
  <c r="H3444" i="7"/>
  <c r="H3445" i="7"/>
  <c r="H3446" i="7"/>
  <c r="H3447" i="7"/>
  <c r="H3448" i="7"/>
  <c r="H3449" i="7"/>
  <c r="H3450" i="7"/>
  <c r="H3451" i="7"/>
  <c r="H3452" i="7"/>
  <c r="H3453" i="7"/>
  <c r="H3454" i="7"/>
  <c r="H3455" i="7"/>
  <c r="H3456" i="7"/>
  <c r="H3457" i="7"/>
  <c r="H3458" i="7"/>
  <c r="H3459" i="7"/>
  <c r="H3460" i="7"/>
  <c r="H3461" i="7"/>
  <c r="H3462" i="7"/>
  <c r="H3463" i="7"/>
  <c r="H3464" i="7"/>
  <c r="H3465" i="7"/>
  <c r="H3466" i="7"/>
  <c r="H3467" i="7"/>
  <c r="H3468" i="7"/>
  <c r="H3469" i="7"/>
  <c r="H3470" i="7"/>
  <c r="H3471" i="7"/>
  <c r="H3472" i="7"/>
  <c r="H3473" i="7"/>
  <c r="H3474" i="7"/>
  <c r="H3475" i="7"/>
  <c r="H3476" i="7"/>
  <c r="H3477" i="7"/>
  <c r="H3478" i="7"/>
  <c r="H3479" i="7"/>
  <c r="H3480" i="7"/>
  <c r="H3481" i="7"/>
  <c r="H3482" i="7"/>
  <c r="H3483" i="7"/>
  <c r="H3484" i="7"/>
  <c r="H3485" i="7"/>
  <c r="H3486" i="7"/>
  <c r="H3487" i="7"/>
  <c r="H3488" i="7"/>
  <c r="H3489" i="7"/>
  <c r="H3490" i="7"/>
  <c r="H3491" i="7"/>
  <c r="H3492" i="7"/>
  <c r="H3493" i="7"/>
  <c r="H3494" i="7"/>
  <c r="H3495" i="7"/>
  <c r="H3496" i="7"/>
  <c r="H3497" i="7"/>
  <c r="H3498" i="7"/>
  <c r="H3499" i="7"/>
  <c r="H3500" i="7"/>
  <c r="H3501" i="7"/>
  <c r="H3502" i="7"/>
  <c r="H3503" i="7"/>
  <c r="H3504" i="7"/>
  <c r="H3505" i="7"/>
  <c r="H3506" i="7"/>
  <c r="H3507" i="7"/>
  <c r="H3508" i="7"/>
  <c r="H3509" i="7"/>
  <c r="H3510" i="7"/>
  <c r="H3511" i="7"/>
  <c r="H3512" i="7"/>
  <c r="H3513" i="7"/>
  <c r="H3514" i="7"/>
  <c r="H3515" i="7"/>
  <c r="H3516" i="7"/>
  <c r="H3517" i="7"/>
  <c r="H3518" i="7"/>
  <c r="H3519" i="7"/>
  <c r="H3520" i="7"/>
  <c r="H3521" i="7"/>
  <c r="H3522" i="7"/>
  <c r="H3523" i="7"/>
  <c r="H3524" i="7"/>
  <c r="H3525" i="7"/>
  <c r="H3526" i="7"/>
  <c r="H3527" i="7"/>
  <c r="H3528" i="7"/>
  <c r="H3529" i="7"/>
  <c r="H3530" i="7"/>
  <c r="H3531" i="7"/>
  <c r="H3532" i="7"/>
  <c r="H3533" i="7"/>
  <c r="H3534" i="7"/>
  <c r="H3535" i="7"/>
  <c r="H3536" i="7"/>
  <c r="H3537" i="7"/>
  <c r="H3538" i="7"/>
  <c r="H3539" i="7"/>
  <c r="H3540" i="7"/>
  <c r="H3541" i="7"/>
  <c r="H3542" i="7"/>
  <c r="H3543" i="7"/>
  <c r="H3544" i="7"/>
  <c r="H3545" i="7"/>
  <c r="H3546" i="7"/>
  <c r="H3547" i="7"/>
  <c r="H3548" i="7"/>
  <c r="H3549" i="7"/>
  <c r="H3550" i="7"/>
  <c r="H3551" i="7"/>
  <c r="H3552" i="7"/>
  <c r="H3553" i="7"/>
  <c r="H3554" i="7"/>
  <c r="H3555" i="7"/>
  <c r="H3556" i="7"/>
  <c r="H3557" i="7"/>
  <c r="H3558" i="7"/>
  <c r="H3559" i="7"/>
  <c r="H3560" i="7"/>
  <c r="H3561" i="7"/>
  <c r="H3562" i="7"/>
  <c r="H3563" i="7"/>
  <c r="H3564" i="7"/>
  <c r="H3565" i="7"/>
  <c r="H3566" i="7"/>
  <c r="H3567" i="7"/>
  <c r="H3568" i="7"/>
  <c r="H3569" i="7"/>
  <c r="H3570" i="7"/>
  <c r="H3571" i="7"/>
  <c r="H3572" i="7"/>
  <c r="H3573" i="7"/>
  <c r="H3574" i="7"/>
  <c r="H3575" i="7"/>
  <c r="H3576" i="7"/>
  <c r="H3577" i="7"/>
  <c r="H3578" i="7"/>
  <c r="H3579" i="7"/>
  <c r="H3580" i="7"/>
  <c r="H3581" i="7"/>
  <c r="H3582" i="7"/>
  <c r="H3583" i="7"/>
  <c r="H3584" i="7"/>
  <c r="H3585" i="7"/>
  <c r="H3586" i="7"/>
  <c r="H3587" i="7"/>
  <c r="H3588" i="7"/>
  <c r="H3589" i="7"/>
  <c r="H3590" i="7"/>
  <c r="H3591" i="7"/>
  <c r="H3592" i="7"/>
  <c r="H3593" i="7"/>
  <c r="H3594" i="7"/>
  <c r="H3595" i="7"/>
  <c r="H3596" i="7"/>
  <c r="H3597" i="7"/>
  <c r="H3598" i="7"/>
  <c r="H3599" i="7"/>
  <c r="H3600" i="7"/>
  <c r="H3601" i="7"/>
  <c r="H3602" i="7"/>
  <c r="H3603" i="7"/>
  <c r="H3604" i="7"/>
  <c r="H3605" i="7"/>
  <c r="H3606" i="7"/>
  <c r="H3607" i="7"/>
  <c r="H3608" i="7"/>
  <c r="H3609" i="7"/>
  <c r="H3610" i="7"/>
  <c r="H3611" i="7"/>
  <c r="H3612" i="7"/>
  <c r="H3613" i="7"/>
  <c r="H3614" i="7"/>
  <c r="H3615" i="7"/>
  <c r="H3616" i="7"/>
  <c r="H3617" i="7"/>
  <c r="H3618" i="7"/>
  <c r="H3619" i="7"/>
  <c r="H3620" i="7"/>
  <c r="H3621" i="7"/>
  <c r="H3622" i="7"/>
  <c r="H3623" i="7"/>
  <c r="H3624" i="7"/>
  <c r="H3625" i="7"/>
  <c r="H3626" i="7"/>
  <c r="H3627" i="7"/>
  <c r="H3628" i="7"/>
  <c r="H3629" i="7"/>
  <c r="H3630" i="7"/>
  <c r="H3631" i="7"/>
  <c r="H3632" i="7"/>
  <c r="H3633" i="7"/>
  <c r="H3634" i="7"/>
  <c r="H3635" i="7"/>
  <c r="H3636" i="7"/>
  <c r="H3637" i="7"/>
  <c r="H3638" i="7"/>
  <c r="H3639" i="7"/>
  <c r="H3640" i="7"/>
  <c r="H3641" i="7"/>
  <c r="H3642" i="7"/>
  <c r="H3643" i="7"/>
  <c r="H3644" i="7"/>
  <c r="H3645" i="7"/>
  <c r="H3646" i="7"/>
  <c r="H3647" i="7"/>
  <c r="H3648" i="7"/>
  <c r="H3649" i="7"/>
  <c r="H3650" i="7"/>
  <c r="H3651" i="7"/>
  <c r="H3652" i="7"/>
  <c r="H3653" i="7"/>
  <c r="H3654" i="7"/>
  <c r="H3655" i="7"/>
  <c r="H3656" i="7"/>
  <c r="H3657" i="7"/>
  <c r="H3658" i="7"/>
  <c r="H3659" i="7"/>
  <c r="H3660" i="7"/>
  <c r="H3661" i="7"/>
  <c r="H3662" i="7"/>
  <c r="H3663" i="7"/>
  <c r="H3664" i="7"/>
  <c r="H3665" i="7"/>
  <c r="H3666" i="7"/>
  <c r="H3667" i="7"/>
  <c r="H3668" i="7"/>
  <c r="H3669" i="7"/>
  <c r="H3670" i="7"/>
  <c r="H3671" i="7"/>
  <c r="H3672" i="7"/>
  <c r="H3673" i="7"/>
  <c r="H3674" i="7"/>
  <c r="H3675" i="7"/>
  <c r="H3676" i="7"/>
  <c r="H3677" i="7"/>
  <c r="H3678" i="7"/>
  <c r="H3679" i="7"/>
  <c r="H3680" i="7"/>
  <c r="H3681" i="7"/>
  <c r="H3682" i="7"/>
  <c r="H3683" i="7"/>
  <c r="H3684" i="7"/>
  <c r="H3685" i="7"/>
  <c r="H3686" i="7"/>
  <c r="H3687" i="7"/>
  <c r="H3688" i="7"/>
  <c r="H3689" i="7"/>
  <c r="H3690" i="7"/>
  <c r="H3691" i="7"/>
  <c r="H3692" i="7"/>
  <c r="H3693" i="7"/>
  <c r="H3694" i="7"/>
  <c r="H3695" i="7"/>
  <c r="H3696" i="7"/>
  <c r="H3697" i="7"/>
  <c r="H3698" i="7"/>
  <c r="H3699" i="7"/>
  <c r="H3700" i="7"/>
  <c r="H3701" i="7"/>
  <c r="H3702" i="7"/>
  <c r="H3703" i="7"/>
  <c r="H3704" i="7"/>
  <c r="H3705" i="7"/>
  <c r="H3706" i="7"/>
  <c r="H3707" i="7"/>
  <c r="H3708" i="7"/>
  <c r="H3709" i="7"/>
  <c r="H3710" i="7"/>
  <c r="H3711" i="7"/>
  <c r="H3712" i="7"/>
  <c r="H3713" i="7"/>
  <c r="H3714" i="7"/>
  <c r="H3715" i="7"/>
  <c r="H3716" i="7"/>
  <c r="H3717" i="7"/>
  <c r="H3718" i="7"/>
  <c r="H3719" i="7"/>
  <c r="H3720" i="7"/>
  <c r="H3721" i="7"/>
  <c r="H3722" i="7"/>
  <c r="H3723" i="7"/>
  <c r="H3724" i="7"/>
  <c r="H3725" i="7"/>
  <c r="H3726" i="7"/>
  <c r="H3727" i="7"/>
  <c r="H3728" i="7"/>
  <c r="H3729" i="7"/>
  <c r="H3730" i="7"/>
  <c r="H3731" i="7"/>
  <c r="H3732" i="7"/>
  <c r="H3733" i="7"/>
  <c r="H3734" i="7"/>
  <c r="H3735" i="7"/>
  <c r="H3736" i="7"/>
  <c r="H3737" i="7"/>
  <c r="H3738" i="7"/>
  <c r="H3739" i="7"/>
  <c r="H3740" i="7"/>
  <c r="H3741" i="7"/>
  <c r="H3742" i="7"/>
  <c r="H3743" i="7"/>
  <c r="H3744" i="7"/>
  <c r="H3745" i="7"/>
  <c r="H3746" i="7"/>
  <c r="H3747" i="7"/>
  <c r="H3748" i="7"/>
  <c r="H3749" i="7"/>
  <c r="H3750" i="7"/>
  <c r="H3751" i="7"/>
  <c r="H3752" i="7"/>
  <c r="H3753" i="7"/>
  <c r="H3754" i="7"/>
  <c r="H3755" i="7"/>
  <c r="H3756" i="7"/>
  <c r="H3757" i="7"/>
  <c r="H3758" i="7"/>
  <c r="H3759" i="7"/>
  <c r="H3760" i="7"/>
  <c r="H3761" i="7"/>
  <c r="H3762" i="7"/>
  <c r="H3763" i="7"/>
  <c r="H3764" i="7"/>
  <c r="H3765" i="7"/>
  <c r="H3766" i="7"/>
  <c r="H3767" i="7"/>
  <c r="H3768" i="7"/>
  <c r="H3769" i="7"/>
  <c r="H3770" i="7"/>
  <c r="H3771" i="7"/>
  <c r="H3772" i="7"/>
  <c r="H3773" i="7"/>
  <c r="H3774" i="7"/>
  <c r="H3775" i="7"/>
  <c r="H3776" i="7"/>
  <c r="H3777" i="7"/>
  <c r="H3778" i="7"/>
  <c r="H3779" i="7"/>
  <c r="H3780" i="7"/>
  <c r="H3781" i="7"/>
  <c r="H3782" i="7"/>
  <c r="H3783" i="7"/>
  <c r="H3784" i="7"/>
  <c r="H3785" i="7"/>
  <c r="H3786" i="7"/>
  <c r="H3787" i="7"/>
  <c r="H3788" i="7"/>
  <c r="H3789" i="7"/>
  <c r="H3790" i="7"/>
  <c r="H3791" i="7"/>
  <c r="H3792" i="7"/>
  <c r="H3793" i="7"/>
  <c r="H3794" i="7"/>
  <c r="H3795" i="7"/>
  <c r="H3796" i="7"/>
  <c r="H3797" i="7"/>
  <c r="H3798" i="7"/>
  <c r="H3799" i="7"/>
  <c r="H3800" i="7"/>
  <c r="H3801" i="7"/>
  <c r="H3802" i="7"/>
  <c r="H3803" i="7"/>
  <c r="H3804" i="7"/>
  <c r="H3805" i="7"/>
  <c r="H3806" i="7"/>
  <c r="H3807" i="7"/>
  <c r="H3808" i="7"/>
  <c r="H3809" i="7"/>
  <c r="H3810" i="7"/>
  <c r="H3811" i="7"/>
  <c r="H3812" i="7"/>
  <c r="H3813" i="7"/>
  <c r="H3814" i="7"/>
  <c r="H3815" i="7"/>
  <c r="H3816" i="7"/>
  <c r="H3817" i="7"/>
  <c r="H3818" i="7"/>
  <c r="H3819" i="7"/>
  <c r="H3820" i="7"/>
  <c r="H3821" i="7"/>
  <c r="H3822" i="7"/>
  <c r="H3823" i="7"/>
  <c r="H3824" i="7"/>
  <c r="H3825" i="7"/>
  <c r="H3826" i="7"/>
  <c r="H3827" i="7"/>
  <c r="H3828" i="7"/>
  <c r="H3829" i="7"/>
  <c r="H3830" i="7"/>
  <c r="H3831" i="7"/>
  <c r="H3832" i="7"/>
  <c r="H3833" i="7"/>
  <c r="H3834" i="7"/>
  <c r="H3835" i="7"/>
  <c r="H3836" i="7"/>
  <c r="H3837" i="7"/>
  <c r="H3838" i="7"/>
  <c r="H3839" i="7"/>
  <c r="H3840" i="7"/>
  <c r="H3841" i="7"/>
  <c r="H3842" i="7"/>
  <c r="H3843" i="7"/>
  <c r="H3844" i="7"/>
  <c r="H3845" i="7"/>
  <c r="H3846" i="7"/>
  <c r="H3847" i="7"/>
  <c r="H3848" i="7"/>
  <c r="H3849" i="7"/>
  <c r="H3850" i="7"/>
  <c r="H3851" i="7"/>
  <c r="H3852" i="7"/>
  <c r="H3853" i="7"/>
  <c r="H3854" i="7"/>
  <c r="H3855" i="7"/>
  <c r="H3856" i="7"/>
  <c r="H3857" i="7"/>
  <c r="H3858" i="7"/>
  <c r="H3859" i="7"/>
  <c r="H3860" i="7"/>
  <c r="H3861" i="7"/>
  <c r="H3862" i="7"/>
  <c r="H3863" i="7"/>
  <c r="H3864" i="7"/>
  <c r="H3865" i="7"/>
  <c r="H3866" i="7"/>
  <c r="H3867" i="7"/>
  <c r="H3868" i="7"/>
  <c r="H3869" i="7"/>
  <c r="H3870" i="7"/>
  <c r="H3871" i="7"/>
  <c r="H3872" i="7"/>
  <c r="H3873" i="7"/>
  <c r="H3874" i="7"/>
  <c r="H3875" i="7"/>
  <c r="H3876" i="7"/>
  <c r="H3877" i="7"/>
  <c r="H3878" i="7"/>
  <c r="H3879" i="7"/>
  <c r="H3880" i="7"/>
  <c r="H3881" i="7"/>
  <c r="H3882" i="7"/>
  <c r="H3883" i="7"/>
  <c r="H3884" i="7"/>
  <c r="H3885" i="7"/>
  <c r="H3886" i="7"/>
  <c r="H3887" i="7"/>
  <c r="H3888" i="7"/>
  <c r="H3889" i="7"/>
  <c r="H3890" i="7"/>
  <c r="H3891" i="7"/>
  <c r="H3892" i="7"/>
  <c r="H3893" i="7"/>
  <c r="H3894" i="7"/>
  <c r="H3895" i="7"/>
  <c r="H3896" i="7"/>
  <c r="H3897" i="7"/>
  <c r="H3898" i="7"/>
  <c r="H3899" i="7"/>
  <c r="H3900" i="7"/>
  <c r="H3901" i="7"/>
  <c r="H3902" i="7"/>
  <c r="H3903" i="7"/>
  <c r="H3904" i="7"/>
  <c r="H3905" i="7"/>
  <c r="H3906" i="7"/>
  <c r="H3907" i="7"/>
  <c r="H3908" i="7"/>
  <c r="H3909" i="7"/>
  <c r="H3910" i="7"/>
  <c r="H3911" i="7"/>
  <c r="H3912" i="7"/>
  <c r="H3913" i="7"/>
  <c r="H3914" i="7"/>
  <c r="H3915" i="7"/>
  <c r="H3916" i="7"/>
  <c r="H3917" i="7"/>
  <c r="H3918" i="7"/>
  <c r="H3919" i="7"/>
  <c r="H3920" i="7"/>
  <c r="H3921" i="7"/>
  <c r="H3922" i="7"/>
  <c r="H3923" i="7"/>
  <c r="H3924" i="7"/>
  <c r="H3925" i="7"/>
  <c r="H3926" i="7"/>
  <c r="H3927" i="7"/>
  <c r="H3928" i="7"/>
  <c r="H3929" i="7"/>
  <c r="H3930" i="7"/>
  <c r="H3931" i="7"/>
  <c r="H3932" i="7"/>
  <c r="H3933" i="7"/>
  <c r="H3934" i="7"/>
  <c r="H3935" i="7"/>
  <c r="H3936" i="7"/>
  <c r="H3937" i="7"/>
  <c r="H3938" i="7"/>
  <c r="H3939" i="7"/>
  <c r="H3940" i="7"/>
  <c r="H3941" i="7"/>
  <c r="H3942" i="7"/>
  <c r="H3943" i="7"/>
  <c r="H3944" i="7"/>
  <c r="H3945" i="7"/>
  <c r="H3946" i="7"/>
  <c r="H3947" i="7"/>
  <c r="H3948" i="7"/>
  <c r="H3949" i="7"/>
  <c r="H3950" i="7"/>
  <c r="H3951" i="7"/>
  <c r="H3952" i="7"/>
  <c r="H3953" i="7"/>
  <c r="H3954" i="7"/>
  <c r="H3955" i="7"/>
  <c r="H3956" i="7"/>
  <c r="H3957" i="7"/>
  <c r="H3958" i="7"/>
  <c r="H3959" i="7"/>
  <c r="H3960" i="7"/>
  <c r="H3961" i="7"/>
  <c r="H3962" i="7"/>
  <c r="H3963" i="7"/>
  <c r="H3964" i="7"/>
  <c r="H3965" i="7"/>
  <c r="H3966" i="7"/>
  <c r="H3967" i="7"/>
  <c r="H3968" i="7"/>
  <c r="H3969" i="7"/>
  <c r="H3970" i="7"/>
  <c r="H3971" i="7"/>
  <c r="H3972" i="7"/>
  <c r="H3973" i="7"/>
  <c r="H3974" i="7"/>
  <c r="H3975" i="7"/>
  <c r="H3976" i="7"/>
  <c r="H3977" i="7"/>
  <c r="H3978" i="7"/>
  <c r="H3979" i="7"/>
  <c r="H3980" i="7"/>
  <c r="H3981" i="7"/>
  <c r="H3982" i="7"/>
  <c r="H3983" i="7"/>
  <c r="H3984" i="7"/>
  <c r="H3985" i="7"/>
  <c r="H3986" i="7"/>
  <c r="H3987" i="7"/>
  <c r="H3988" i="7"/>
  <c r="H3989" i="7"/>
  <c r="H3990" i="7"/>
  <c r="H3991" i="7"/>
  <c r="H3992" i="7"/>
  <c r="H3993" i="7"/>
  <c r="H3994" i="7"/>
  <c r="H3995" i="7"/>
  <c r="H3996" i="7"/>
  <c r="H3997" i="7"/>
  <c r="H3998" i="7"/>
  <c r="H3999" i="7"/>
  <c r="H4000" i="7"/>
  <c r="H4001" i="7"/>
  <c r="H4002" i="7"/>
  <c r="H4003" i="7"/>
  <c r="H4004" i="7"/>
  <c r="H4005" i="7"/>
  <c r="H4006" i="7"/>
  <c r="H4007" i="7"/>
  <c r="H4008" i="7"/>
  <c r="H4009" i="7"/>
  <c r="H4010" i="7"/>
  <c r="H4011" i="7"/>
  <c r="H4012" i="7"/>
  <c r="H4013" i="7"/>
  <c r="H4014" i="7"/>
  <c r="H4015" i="7"/>
  <c r="H4016" i="7"/>
  <c r="H4017" i="7"/>
  <c r="H4018" i="7"/>
  <c r="H4019" i="7"/>
  <c r="H4020" i="7"/>
  <c r="H4021" i="7"/>
  <c r="H4022" i="7"/>
  <c r="H4023" i="7"/>
  <c r="H4024" i="7"/>
  <c r="H4025" i="7"/>
  <c r="H4026" i="7"/>
  <c r="H4027" i="7"/>
  <c r="H4028" i="7"/>
  <c r="H4029" i="7"/>
  <c r="H4030" i="7"/>
  <c r="H4031" i="7"/>
  <c r="H4032" i="7"/>
  <c r="H4033" i="7"/>
  <c r="H4034" i="7"/>
  <c r="H4035" i="7"/>
  <c r="H4036" i="7"/>
  <c r="H4037" i="7"/>
  <c r="H4038" i="7"/>
  <c r="H4039" i="7"/>
  <c r="H4040" i="7"/>
  <c r="H4041" i="7"/>
  <c r="H4042" i="7"/>
  <c r="H4043" i="7"/>
  <c r="H4044" i="7"/>
  <c r="H4045" i="7"/>
  <c r="H4046" i="7"/>
  <c r="H4047" i="7"/>
  <c r="H4048" i="7"/>
  <c r="H4049" i="7"/>
  <c r="H4050" i="7"/>
  <c r="H4051" i="7"/>
  <c r="H4052" i="7"/>
  <c r="H4053" i="7"/>
  <c r="H4054" i="7"/>
  <c r="H4055" i="7"/>
  <c r="H4056" i="7"/>
  <c r="H4057" i="7"/>
  <c r="H4058" i="7"/>
  <c r="H4059" i="7"/>
  <c r="H4060" i="7"/>
  <c r="H4061" i="7"/>
  <c r="H4062" i="7"/>
  <c r="H4063" i="7"/>
  <c r="H4064" i="7"/>
  <c r="H4065" i="7"/>
  <c r="H4066" i="7"/>
  <c r="H4067" i="7"/>
  <c r="H4068" i="7"/>
  <c r="H4069" i="7"/>
  <c r="H4070" i="7"/>
  <c r="H4071" i="7"/>
  <c r="H4072" i="7"/>
  <c r="H4073" i="7"/>
  <c r="H4074" i="7"/>
  <c r="H4075" i="7"/>
  <c r="H4076" i="7"/>
  <c r="H4077" i="7"/>
  <c r="H4078" i="7"/>
  <c r="H4079" i="7"/>
  <c r="H4080" i="7"/>
  <c r="H4081" i="7"/>
  <c r="H4082" i="7"/>
  <c r="H4083" i="7"/>
  <c r="H4084" i="7"/>
  <c r="H4085" i="7"/>
  <c r="H4086" i="7"/>
  <c r="H4087" i="7"/>
  <c r="H4088" i="7"/>
  <c r="H4089" i="7"/>
  <c r="H4090" i="7"/>
  <c r="H4091" i="7"/>
  <c r="H4092" i="7"/>
  <c r="H4093" i="7"/>
  <c r="H4094" i="7"/>
  <c r="H4095" i="7"/>
  <c r="H4096" i="7"/>
  <c r="H4097" i="7"/>
  <c r="H4098" i="7"/>
  <c r="H4099" i="7"/>
  <c r="H4100" i="7"/>
  <c r="H4101" i="7"/>
  <c r="H4102" i="7"/>
  <c r="H4103" i="7"/>
  <c r="H4104" i="7"/>
  <c r="H4105" i="7"/>
  <c r="H4106" i="7"/>
  <c r="H4107" i="7"/>
  <c r="H4108" i="7"/>
  <c r="H4109" i="7"/>
  <c r="H4110" i="7"/>
  <c r="H4111" i="7"/>
  <c r="H4112" i="7"/>
  <c r="H4113" i="7"/>
  <c r="H4114" i="7"/>
  <c r="H4115" i="7"/>
  <c r="H4116" i="7"/>
  <c r="H4117" i="7"/>
  <c r="H4118" i="7"/>
  <c r="H4119" i="7"/>
  <c r="H4120" i="7"/>
  <c r="H4121" i="7"/>
  <c r="H4122" i="7"/>
  <c r="H4123" i="7"/>
  <c r="H4124" i="7"/>
  <c r="H4125" i="7"/>
  <c r="H4126" i="7"/>
  <c r="H4127" i="7"/>
  <c r="H4128" i="7"/>
  <c r="H4129" i="7"/>
  <c r="H4130" i="7"/>
  <c r="H4131" i="7"/>
  <c r="H4132" i="7"/>
  <c r="H4133" i="7"/>
  <c r="H4134" i="7"/>
  <c r="H4135" i="7"/>
  <c r="H4136" i="7"/>
  <c r="H4137" i="7"/>
  <c r="H4138" i="7"/>
  <c r="H4139" i="7"/>
  <c r="H4140" i="7"/>
  <c r="H4141" i="7"/>
  <c r="H4142" i="7"/>
  <c r="H4143" i="7"/>
  <c r="H4144" i="7"/>
  <c r="H4145" i="7"/>
  <c r="H4146" i="7"/>
  <c r="H4147" i="7"/>
  <c r="H4148" i="7"/>
  <c r="H4149" i="7"/>
  <c r="H4150" i="7"/>
  <c r="H4151" i="7"/>
  <c r="H4152" i="7"/>
  <c r="H4153" i="7"/>
  <c r="H4154" i="7"/>
  <c r="H4155" i="7"/>
  <c r="H4156" i="7"/>
  <c r="H4157" i="7"/>
  <c r="H4158" i="7"/>
  <c r="H4159" i="7"/>
  <c r="H4160" i="7"/>
  <c r="H4161" i="7"/>
  <c r="H4162" i="7"/>
  <c r="H4163" i="7"/>
  <c r="H4164" i="7"/>
  <c r="H4165" i="7"/>
  <c r="H4166" i="7"/>
  <c r="H4167" i="7"/>
  <c r="H4168" i="7"/>
  <c r="H4169" i="7"/>
  <c r="H4170" i="7"/>
  <c r="H4171" i="7"/>
  <c r="H4172" i="7"/>
  <c r="H4173" i="7"/>
  <c r="H4174" i="7"/>
  <c r="H4175" i="7"/>
  <c r="H4176" i="7"/>
  <c r="H4177" i="7"/>
  <c r="H4178" i="7"/>
  <c r="H4179" i="7"/>
  <c r="H4180" i="7"/>
  <c r="H4181" i="7"/>
  <c r="H4182" i="7"/>
  <c r="H4183" i="7"/>
  <c r="H4184" i="7"/>
  <c r="H4185" i="7"/>
  <c r="H4186" i="7"/>
  <c r="H4187" i="7"/>
  <c r="H4188" i="7"/>
  <c r="H4189" i="7"/>
  <c r="H4190" i="7"/>
  <c r="H4191" i="7"/>
  <c r="H4192" i="7"/>
  <c r="H4193" i="7"/>
  <c r="H4194" i="7"/>
  <c r="H4195" i="7"/>
  <c r="H4196" i="7"/>
  <c r="H4197" i="7"/>
  <c r="H4198" i="7"/>
  <c r="H4199" i="7"/>
  <c r="H4200" i="7"/>
  <c r="H4201" i="7"/>
  <c r="H4202" i="7"/>
  <c r="H4203" i="7"/>
  <c r="H4204" i="7"/>
  <c r="H4205" i="7"/>
  <c r="H4206" i="7"/>
  <c r="H4207" i="7"/>
  <c r="H4208" i="7"/>
  <c r="H4209" i="7"/>
  <c r="H4210" i="7"/>
  <c r="H4211" i="7"/>
  <c r="H4212" i="7"/>
  <c r="H4213" i="7"/>
  <c r="H4214" i="7"/>
  <c r="H4215" i="7"/>
  <c r="H4216" i="7"/>
  <c r="H4217" i="7"/>
  <c r="H4218" i="7"/>
  <c r="H4219" i="7"/>
  <c r="H4220" i="7"/>
  <c r="H4221" i="7"/>
  <c r="H4222" i="7"/>
  <c r="H4223" i="7"/>
  <c r="H4224" i="7"/>
  <c r="H4225" i="7"/>
  <c r="H4226" i="7"/>
  <c r="H4227" i="7"/>
  <c r="H4228" i="7"/>
  <c r="H4229" i="7"/>
  <c r="H4230" i="7"/>
  <c r="H4231" i="7"/>
  <c r="H4232" i="7"/>
  <c r="H4233" i="7"/>
  <c r="H4234" i="7"/>
  <c r="H4235" i="7"/>
  <c r="H4236" i="7"/>
  <c r="H4237" i="7"/>
  <c r="H4238" i="7"/>
  <c r="H4239" i="7"/>
  <c r="H4240" i="7"/>
  <c r="H4241" i="7"/>
  <c r="H4242" i="7"/>
  <c r="H4243" i="7"/>
  <c r="H4244" i="7"/>
  <c r="H4245" i="7"/>
  <c r="H4246" i="7"/>
  <c r="H4247" i="7"/>
  <c r="H4248" i="7"/>
  <c r="H4249" i="7"/>
  <c r="H4250" i="7"/>
  <c r="H4251" i="7"/>
  <c r="H4252" i="7"/>
  <c r="H4253" i="7"/>
  <c r="H4254" i="7"/>
  <c r="H4255" i="7"/>
  <c r="H4256" i="7"/>
  <c r="H4257" i="7"/>
  <c r="H4258" i="7"/>
  <c r="H4259" i="7"/>
  <c r="H4260" i="7"/>
  <c r="H4261" i="7"/>
  <c r="H4262" i="7"/>
  <c r="H4263" i="7"/>
  <c r="H4264" i="7"/>
  <c r="H4265" i="7"/>
  <c r="H4266" i="7"/>
  <c r="H4267" i="7"/>
  <c r="H4268" i="7"/>
  <c r="H4269" i="7"/>
  <c r="H4270" i="7"/>
  <c r="H4271" i="7"/>
  <c r="H4272" i="7"/>
  <c r="H4273" i="7"/>
  <c r="H4274" i="7"/>
  <c r="H4275" i="7"/>
  <c r="H4276" i="7"/>
  <c r="H4277" i="7"/>
  <c r="H4278" i="7"/>
  <c r="H4279" i="7"/>
  <c r="H4280" i="7"/>
  <c r="H4281" i="7"/>
  <c r="H4282" i="7"/>
  <c r="H4283" i="7"/>
  <c r="H4284" i="7"/>
  <c r="H4285" i="7"/>
  <c r="H4286" i="7"/>
  <c r="H4287" i="7"/>
  <c r="H4288" i="7"/>
  <c r="H4289" i="7"/>
  <c r="H4290" i="7"/>
  <c r="H4291" i="7"/>
  <c r="H4292" i="7"/>
  <c r="H4293" i="7"/>
  <c r="H4294" i="7"/>
  <c r="H4295" i="7"/>
  <c r="H4296" i="7"/>
  <c r="H4297" i="7"/>
  <c r="H4298" i="7"/>
  <c r="H4299" i="7"/>
  <c r="H4300" i="7"/>
  <c r="H4301" i="7"/>
  <c r="H4302" i="7"/>
  <c r="H4303" i="7"/>
  <c r="H4304" i="7"/>
  <c r="H4305" i="7"/>
  <c r="H4306" i="7"/>
  <c r="H4307" i="7"/>
  <c r="H4308" i="7"/>
  <c r="H4309" i="7"/>
  <c r="H4310" i="7"/>
  <c r="H4311" i="7"/>
  <c r="H4312" i="7"/>
  <c r="H4313" i="7"/>
  <c r="H4314" i="7"/>
  <c r="H4315" i="7"/>
  <c r="H4316" i="7"/>
  <c r="H4317" i="7"/>
  <c r="H4318" i="7"/>
  <c r="H4319" i="7"/>
  <c r="H4320" i="7"/>
  <c r="H4321" i="7"/>
  <c r="H4322" i="7"/>
  <c r="H4323" i="7"/>
  <c r="H4324" i="7"/>
  <c r="H4325" i="7"/>
  <c r="H4326" i="7"/>
  <c r="H4327" i="7"/>
  <c r="H4328" i="7"/>
  <c r="H4329" i="7"/>
  <c r="H4330" i="7"/>
  <c r="H4331" i="7"/>
  <c r="H4332" i="7"/>
  <c r="H4333" i="7"/>
  <c r="H4334" i="7"/>
  <c r="H4335" i="7"/>
  <c r="H4336" i="7"/>
  <c r="H4337" i="7"/>
  <c r="H4338" i="7"/>
  <c r="H4339" i="7"/>
  <c r="H4340" i="7"/>
  <c r="H4341" i="7"/>
  <c r="H4342" i="7"/>
  <c r="H4343" i="7"/>
  <c r="H4344" i="7"/>
  <c r="H4345" i="7"/>
  <c r="H4346" i="7"/>
  <c r="H4347" i="7"/>
  <c r="H4348" i="7"/>
  <c r="H4349" i="7"/>
  <c r="H4350" i="7"/>
  <c r="H4351" i="7"/>
  <c r="H4352" i="7"/>
  <c r="H4353" i="7"/>
  <c r="H4354" i="7"/>
  <c r="H4355" i="7"/>
  <c r="H4356" i="7"/>
  <c r="H4357" i="7"/>
  <c r="H4358" i="7"/>
  <c r="H4359" i="7"/>
  <c r="H4360" i="7"/>
  <c r="H4361" i="7"/>
  <c r="H4362" i="7"/>
  <c r="H4363" i="7"/>
  <c r="H4364" i="7"/>
  <c r="H4365" i="7"/>
  <c r="H4366" i="7"/>
  <c r="H4367" i="7"/>
  <c r="H4368" i="7"/>
  <c r="H4369" i="7"/>
  <c r="H4370" i="7"/>
  <c r="H4371" i="7"/>
  <c r="H4372" i="7"/>
  <c r="H4373" i="7"/>
  <c r="H4374" i="7"/>
  <c r="H4375" i="7"/>
  <c r="H4376" i="7"/>
  <c r="H4377" i="7"/>
  <c r="H4378" i="7"/>
  <c r="H4379" i="7"/>
  <c r="H4380" i="7"/>
  <c r="H4381" i="7"/>
  <c r="H4382" i="7"/>
  <c r="H4383" i="7"/>
  <c r="H4384" i="7"/>
  <c r="H4385" i="7"/>
  <c r="H4386" i="7"/>
  <c r="H4387" i="7"/>
  <c r="H4388" i="7"/>
  <c r="H4389" i="7"/>
  <c r="H4390" i="7"/>
  <c r="H4391" i="7"/>
  <c r="H4392" i="7"/>
  <c r="H4393" i="7"/>
  <c r="H4394" i="7"/>
  <c r="H4395" i="7"/>
  <c r="H4396" i="7"/>
  <c r="H4397" i="7"/>
  <c r="H4398" i="7"/>
  <c r="H4399" i="7"/>
  <c r="H4400" i="7"/>
  <c r="H4401" i="7"/>
  <c r="H4402" i="7"/>
  <c r="H4403" i="7"/>
  <c r="H4404" i="7"/>
  <c r="H4405" i="7"/>
  <c r="H4406" i="7"/>
  <c r="H4407" i="7"/>
  <c r="H4408" i="7"/>
  <c r="H4409" i="7"/>
  <c r="H4410" i="7"/>
  <c r="H4411" i="7"/>
  <c r="H4412" i="7"/>
  <c r="H4413" i="7"/>
  <c r="H4414" i="7"/>
  <c r="H4415" i="7"/>
  <c r="H4416" i="7"/>
  <c r="H4417" i="7"/>
  <c r="H4418" i="7"/>
  <c r="H4419" i="7"/>
  <c r="H4420" i="7"/>
  <c r="H4421" i="7"/>
  <c r="H4422" i="7"/>
  <c r="H4423" i="7"/>
  <c r="H4424" i="7"/>
  <c r="H4425" i="7"/>
  <c r="H4426" i="7"/>
  <c r="H4427" i="7"/>
  <c r="H4428" i="7"/>
  <c r="H4429" i="7"/>
  <c r="H4430" i="7"/>
  <c r="H4431" i="7"/>
  <c r="H4432" i="7"/>
  <c r="H4433" i="7"/>
  <c r="H4434" i="7"/>
  <c r="H4435" i="7"/>
  <c r="H4436" i="7"/>
  <c r="H4437" i="7"/>
  <c r="H4438" i="7"/>
  <c r="H4439" i="7"/>
  <c r="H4440" i="7"/>
  <c r="H4441" i="7"/>
  <c r="H4442" i="7"/>
  <c r="H4443" i="7"/>
  <c r="H4444" i="7"/>
  <c r="H4445" i="7"/>
  <c r="H4446" i="7"/>
  <c r="H4447" i="7"/>
  <c r="H4448" i="7"/>
  <c r="H4449" i="7"/>
  <c r="H4450" i="7"/>
  <c r="H4451" i="7"/>
  <c r="H4452" i="7"/>
  <c r="H4453" i="7"/>
  <c r="H4454" i="7"/>
  <c r="H4455" i="7"/>
  <c r="H4456" i="7"/>
  <c r="H4457" i="7"/>
  <c r="H4458" i="7"/>
  <c r="H4459" i="7"/>
  <c r="H4460" i="7"/>
  <c r="H4461" i="7"/>
  <c r="H4462" i="7"/>
  <c r="H4463" i="7"/>
  <c r="H4464" i="7"/>
  <c r="H4465" i="7"/>
  <c r="H4466" i="7"/>
  <c r="H4467" i="7"/>
  <c r="H4468" i="7"/>
  <c r="H4469" i="7"/>
  <c r="H4470" i="7"/>
  <c r="H4471" i="7"/>
  <c r="H4472" i="7"/>
  <c r="H4473" i="7"/>
  <c r="H4474" i="7"/>
  <c r="H4475" i="7"/>
  <c r="H4476" i="7"/>
  <c r="H4477" i="7"/>
  <c r="H4478" i="7"/>
  <c r="H4479" i="7"/>
  <c r="H4480" i="7"/>
  <c r="H4481" i="7"/>
  <c r="H4482" i="7"/>
  <c r="H4483" i="7"/>
  <c r="H4484" i="7"/>
  <c r="H4485" i="7"/>
  <c r="H4486" i="7"/>
  <c r="H4487" i="7"/>
  <c r="H4488" i="7"/>
  <c r="H4489" i="7"/>
  <c r="H4490" i="7"/>
  <c r="H4491" i="7"/>
  <c r="H4492" i="7"/>
  <c r="H4493" i="7"/>
  <c r="H4494" i="7"/>
  <c r="H4495" i="7"/>
  <c r="H4496" i="7"/>
  <c r="H4497" i="7"/>
  <c r="H4498" i="7"/>
  <c r="H4499" i="7"/>
  <c r="H4500" i="7"/>
  <c r="H4501" i="7"/>
  <c r="H4502" i="7"/>
  <c r="H4503" i="7"/>
  <c r="H4504" i="7"/>
  <c r="H4505" i="7"/>
  <c r="H4506" i="7"/>
  <c r="H4507" i="7"/>
  <c r="H4508" i="7"/>
  <c r="H4509" i="7"/>
  <c r="H4510" i="7"/>
  <c r="H4511" i="7"/>
  <c r="H4512" i="7"/>
  <c r="H4513" i="7"/>
  <c r="H4514" i="7"/>
  <c r="H4515" i="7"/>
  <c r="H4516" i="7"/>
  <c r="H4517" i="7"/>
  <c r="H4518" i="7"/>
  <c r="H4519" i="7"/>
  <c r="H4520" i="7"/>
  <c r="H4521" i="7"/>
  <c r="H4522" i="7"/>
  <c r="H4523" i="7"/>
  <c r="H4524" i="7"/>
  <c r="H4525" i="7"/>
  <c r="H4526" i="7"/>
  <c r="H4527" i="7"/>
  <c r="H4528" i="7"/>
  <c r="H4529" i="7"/>
  <c r="H4530" i="7"/>
  <c r="H4531" i="7"/>
  <c r="H4532" i="7"/>
  <c r="H4533" i="7"/>
  <c r="H4534" i="7"/>
  <c r="H4535" i="7"/>
  <c r="H4536" i="7"/>
  <c r="H4537" i="7"/>
  <c r="H4538" i="7"/>
  <c r="H4539" i="7"/>
  <c r="H4540" i="7"/>
  <c r="H4541" i="7"/>
  <c r="H4542" i="7"/>
  <c r="H4543" i="7"/>
  <c r="H4544" i="7"/>
  <c r="H4545" i="7"/>
  <c r="H4546" i="7"/>
  <c r="H4547" i="7"/>
  <c r="H4548" i="7"/>
  <c r="H4549" i="7"/>
  <c r="H4550" i="7"/>
  <c r="H4551" i="7"/>
  <c r="H4552" i="7"/>
  <c r="H4553" i="7"/>
  <c r="H4554" i="7"/>
  <c r="H4555" i="7"/>
  <c r="H4556" i="7"/>
  <c r="H4557" i="7"/>
  <c r="H4558" i="7"/>
  <c r="H4559" i="7"/>
  <c r="H4560" i="7"/>
  <c r="H4561" i="7"/>
  <c r="H4562" i="7"/>
  <c r="H4563" i="7"/>
  <c r="H4564" i="7"/>
  <c r="H4565" i="7"/>
  <c r="H4566" i="7"/>
  <c r="H4567" i="7"/>
  <c r="H4568" i="7"/>
  <c r="H4569" i="7"/>
  <c r="H4570" i="7"/>
  <c r="H4571" i="7"/>
  <c r="H4572" i="7"/>
  <c r="H4573" i="7"/>
  <c r="H4574" i="7"/>
  <c r="H4575" i="7"/>
  <c r="H4576" i="7"/>
  <c r="H4577" i="7"/>
  <c r="H4578" i="7"/>
  <c r="H4579" i="7"/>
  <c r="H4580" i="7"/>
  <c r="H4581" i="7"/>
  <c r="H4582" i="7"/>
  <c r="H4583" i="7"/>
  <c r="H4584" i="7"/>
  <c r="H4585" i="7"/>
  <c r="H4586" i="7"/>
  <c r="H4587" i="7"/>
  <c r="H4588" i="7"/>
  <c r="H4589" i="7"/>
  <c r="H4590" i="7"/>
  <c r="H4591" i="7"/>
  <c r="H4592" i="7"/>
  <c r="H4593" i="7"/>
  <c r="H4594" i="7"/>
  <c r="H4595" i="7"/>
  <c r="H4596" i="7"/>
  <c r="H4597" i="7"/>
  <c r="H4598" i="7"/>
  <c r="H4599" i="7"/>
  <c r="H4600" i="7"/>
  <c r="H4601" i="7"/>
  <c r="H4602" i="7"/>
  <c r="H4603" i="7"/>
  <c r="H4604" i="7"/>
  <c r="H4605" i="7"/>
  <c r="H4606" i="7"/>
  <c r="H4607" i="7"/>
  <c r="H4608" i="7"/>
  <c r="H4609" i="7"/>
  <c r="H4610" i="7"/>
  <c r="H4611" i="7"/>
  <c r="H4612" i="7"/>
  <c r="H4613" i="7"/>
  <c r="H4614" i="7"/>
  <c r="H4615" i="7"/>
  <c r="H4616" i="7"/>
  <c r="H4617" i="7"/>
  <c r="H4618" i="7"/>
  <c r="H4619" i="7"/>
  <c r="H4620" i="7"/>
  <c r="H4621" i="7"/>
  <c r="H4622" i="7"/>
  <c r="H4623" i="7"/>
  <c r="H4624" i="7"/>
  <c r="H4625" i="7"/>
  <c r="H4626" i="7"/>
  <c r="H4627" i="7"/>
  <c r="H4628" i="7"/>
  <c r="H4629" i="7"/>
  <c r="H4630" i="7"/>
  <c r="H4631" i="7"/>
  <c r="H4632" i="7"/>
  <c r="H4633" i="7"/>
  <c r="H4634" i="7"/>
  <c r="H4635" i="7"/>
  <c r="H4636" i="7"/>
  <c r="H4637" i="7"/>
  <c r="H4638" i="7"/>
  <c r="H4639" i="7"/>
  <c r="H4640" i="7"/>
  <c r="H4641" i="7"/>
  <c r="H4642" i="7"/>
  <c r="H4643" i="7"/>
  <c r="H4644" i="7"/>
  <c r="H4645" i="7"/>
  <c r="H4646" i="7"/>
  <c r="H4647" i="7"/>
  <c r="H4648" i="7"/>
  <c r="H4649" i="7"/>
  <c r="H4650" i="7"/>
  <c r="H4651" i="7"/>
  <c r="H4652" i="7"/>
  <c r="H4653" i="7"/>
  <c r="H4654" i="7"/>
  <c r="H4655" i="7"/>
  <c r="H4656" i="7"/>
  <c r="H4657" i="7"/>
  <c r="H4658" i="7"/>
  <c r="H4659" i="7"/>
  <c r="H4660" i="7"/>
  <c r="H4661" i="7"/>
  <c r="H4662" i="7"/>
  <c r="H4663" i="7"/>
  <c r="H4664" i="7"/>
  <c r="H4665" i="7"/>
  <c r="H4666" i="7"/>
  <c r="H4667" i="7"/>
  <c r="H4668" i="7"/>
  <c r="H4669" i="7"/>
  <c r="H4670" i="7"/>
  <c r="H4671" i="7"/>
  <c r="H4672" i="7"/>
  <c r="H4673" i="7"/>
  <c r="H4674" i="7"/>
  <c r="H4675" i="7"/>
  <c r="H4676" i="7"/>
  <c r="H4677" i="7"/>
  <c r="H4678" i="7"/>
  <c r="H4679" i="7"/>
  <c r="H4680" i="7"/>
  <c r="H4681" i="7"/>
  <c r="H4682" i="7"/>
  <c r="H4683" i="7"/>
  <c r="H4684" i="7"/>
  <c r="H4685" i="7"/>
  <c r="H4686" i="7"/>
  <c r="H4687" i="7"/>
  <c r="H4688" i="7"/>
  <c r="H4689" i="7"/>
  <c r="H4690" i="7"/>
  <c r="H4691" i="7"/>
  <c r="H4692" i="7"/>
  <c r="H4693" i="7"/>
  <c r="H4694" i="7"/>
  <c r="H4695" i="7"/>
  <c r="H4696" i="7"/>
  <c r="H4697" i="7"/>
  <c r="H4698" i="7"/>
  <c r="H4699" i="7"/>
  <c r="H4700" i="7"/>
  <c r="H4701" i="7"/>
  <c r="H4702" i="7"/>
  <c r="H4703" i="7"/>
  <c r="H4704" i="7"/>
  <c r="H4705" i="7"/>
  <c r="H4706" i="7"/>
  <c r="H4707" i="7"/>
  <c r="H4708" i="7"/>
  <c r="H4709" i="7"/>
  <c r="H4710" i="7"/>
  <c r="H4711" i="7"/>
  <c r="H4712" i="7"/>
  <c r="H4713" i="7"/>
  <c r="H4714" i="7"/>
  <c r="H4715" i="7"/>
  <c r="H4716" i="7"/>
  <c r="H4717" i="7"/>
  <c r="H4718" i="7"/>
  <c r="H4719" i="7"/>
  <c r="H4720" i="7"/>
  <c r="H4721" i="7"/>
  <c r="H4722" i="7"/>
  <c r="H4723" i="7"/>
  <c r="H4724" i="7"/>
  <c r="H4725" i="7"/>
  <c r="H4726" i="7"/>
  <c r="H4727" i="7"/>
  <c r="H4728" i="7"/>
  <c r="H4729" i="7"/>
  <c r="H4730" i="7"/>
  <c r="H4731" i="7"/>
  <c r="H4732" i="7"/>
  <c r="H4733" i="7"/>
  <c r="H4734" i="7"/>
  <c r="H4735" i="7"/>
  <c r="H4736" i="7"/>
  <c r="H4737" i="7"/>
  <c r="H4738" i="7"/>
  <c r="H4739" i="7"/>
  <c r="H4740" i="7"/>
  <c r="H4741" i="7"/>
  <c r="H4742" i="7"/>
  <c r="H4743" i="7"/>
  <c r="H4744" i="7"/>
  <c r="H4745" i="7"/>
  <c r="H4746" i="7"/>
  <c r="H4747" i="7"/>
  <c r="H4748" i="7"/>
  <c r="H4749" i="7"/>
  <c r="H4750" i="7"/>
  <c r="H4751" i="7"/>
  <c r="H4752" i="7"/>
  <c r="H4753" i="7"/>
  <c r="H4754" i="7"/>
  <c r="H4755" i="7"/>
  <c r="H4756" i="7"/>
  <c r="H4757" i="7"/>
  <c r="H4758" i="7"/>
  <c r="H4759" i="7"/>
  <c r="H4760" i="7"/>
  <c r="H4761" i="7"/>
  <c r="H4762" i="7"/>
  <c r="H4763" i="7"/>
  <c r="H4764" i="7"/>
  <c r="H4765" i="7"/>
  <c r="H4766" i="7"/>
  <c r="H4767" i="7"/>
  <c r="H4768" i="7"/>
  <c r="H4769" i="7"/>
  <c r="H4770" i="7"/>
  <c r="H4771" i="7"/>
  <c r="H4772" i="7"/>
  <c r="H4773" i="7"/>
  <c r="H4774" i="7"/>
  <c r="H4775" i="7"/>
  <c r="H4776" i="7"/>
  <c r="H4777" i="7"/>
  <c r="H4778" i="7"/>
  <c r="H4779" i="7"/>
  <c r="H4780" i="7"/>
  <c r="H4781" i="7"/>
  <c r="H4782" i="7"/>
  <c r="H4783" i="7"/>
  <c r="H4784" i="7"/>
  <c r="H4785" i="7"/>
  <c r="H4786" i="7"/>
  <c r="H4787" i="7"/>
  <c r="H4788" i="7"/>
  <c r="H4789" i="7"/>
  <c r="H4790" i="7"/>
  <c r="H4791" i="7"/>
  <c r="H4792" i="7"/>
  <c r="H4793" i="7"/>
  <c r="H4794" i="7"/>
  <c r="H4795" i="7"/>
  <c r="H4796" i="7"/>
  <c r="H4797" i="7"/>
  <c r="H4798" i="7"/>
  <c r="H4799" i="7"/>
  <c r="H4800" i="7"/>
  <c r="H4801" i="7"/>
  <c r="H4802" i="7"/>
  <c r="H4803" i="7"/>
  <c r="H4804" i="7"/>
  <c r="H4805" i="7"/>
  <c r="H4806" i="7"/>
  <c r="H4807" i="7"/>
  <c r="H4808" i="7"/>
  <c r="H4809" i="7"/>
  <c r="H4810" i="7"/>
  <c r="H4811" i="7"/>
  <c r="H4812" i="7"/>
  <c r="H4813" i="7"/>
  <c r="H4814" i="7"/>
  <c r="H4815" i="7"/>
  <c r="H4816" i="7"/>
  <c r="H4817" i="7"/>
  <c r="H4818" i="7"/>
  <c r="H4819" i="7"/>
  <c r="H4820" i="7"/>
  <c r="H4821" i="7"/>
  <c r="H4822" i="7"/>
  <c r="H4823" i="7"/>
  <c r="H4824" i="7"/>
  <c r="H4825" i="7"/>
  <c r="H4826" i="7"/>
  <c r="H4827" i="7"/>
  <c r="H4828" i="7"/>
  <c r="H4829" i="7"/>
  <c r="H4830" i="7"/>
  <c r="H4831" i="7"/>
  <c r="H4832" i="7"/>
  <c r="H4833" i="7"/>
  <c r="H4834" i="7"/>
  <c r="H4835" i="7"/>
  <c r="H4836" i="7"/>
  <c r="H4837" i="7"/>
  <c r="H4838" i="7"/>
  <c r="H4839" i="7"/>
  <c r="H4840" i="7"/>
  <c r="H4841" i="7"/>
  <c r="H4842" i="7"/>
  <c r="H4843" i="7"/>
  <c r="H4844" i="7"/>
  <c r="H4845" i="7"/>
  <c r="H4846" i="7"/>
  <c r="H4847" i="7"/>
  <c r="H4848" i="7"/>
  <c r="H4849" i="7"/>
  <c r="H4850" i="7"/>
  <c r="H4851" i="7"/>
  <c r="H4852" i="7"/>
  <c r="H4853" i="7"/>
  <c r="H4854" i="7"/>
  <c r="H4855" i="7"/>
  <c r="H4856" i="7"/>
  <c r="H4857" i="7"/>
  <c r="H4858" i="7"/>
  <c r="H4859" i="7"/>
  <c r="H4860" i="7"/>
  <c r="H4861" i="7"/>
  <c r="H4862" i="7"/>
  <c r="H4863" i="7"/>
  <c r="H4864" i="7"/>
  <c r="H4865" i="7"/>
  <c r="H4866" i="7"/>
  <c r="H4867" i="7"/>
  <c r="H4868" i="7"/>
  <c r="H4869" i="7"/>
  <c r="H4870" i="7"/>
  <c r="H4871" i="7"/>
  <c r="H4872" i="7"/>
  <c r="H4873" i="7"/>
  <c r="H4874" i="7"/>
  <c r="H4875" i="7"/>
  <c r="H4876" i="7"/>
  <c r="H4877" i="7"/>
  <c r="H4878" i="7"/>
  <c r="H4879" i="7"/>
  <c r="H4880" i="7"/>
  <c r="H4881" i="7"/>
  <c r="H4882" i="7"/>
  <c r="H4883" i="7"/>
  <c r="H4884" i="7"/>
  <c r="H4885" i="7"/>
  <c r="H4886" i="7"/>
  <c r="H4887" i="7"/>
  <c r="H4888" i="7"/>
  <c r="H4889" i="7"/>
  <c r="H4890" i="7"/>
  <c r="H4891" i="7"/>
  <c r="H4892" i="7"/>
  <c r="H4893" i="7"/>
  <c r="H4894" i="7"/>
  <c r="H4895" i="7"/>
  <c r="H4896" i="7"/>
  <c r="H4897" i="7"/>
  <c r="H4898" i="7"/>
  <c r="H4899" i="7"/>
  <c r="H4900" i="7"/>
  <c r="H4901" i="7"/>
  <c r="H4902" i="7"/>
  <c r="H4903" i="7"/>
  <c r="H4904" i="7"/>
  <c r="H4905" i="7"/>
  <c r="H4906" i="7"/>
  <c r="H4907" i="7"/>
  <c r="H4908" i="7"/>
  <c r="H4909" i="7"/>
  <c r="H4910" i="7"/>
  <c r="H4911" i="7"/>
  <c r="H4912" i="7"/>
  <c r="H4913" i="7"/>
  <c r="H4914" i="7"/>
  <c r="H4915" i="7"/>
  <c r="H4916" i="7"/>
  <c r="H4917" i="7"/>
  <c r="H4918" i="7"/>
  <c r="H4919" i="7"/>
  <c r="H4920" i="7"/>
  <c r="H4921" i="7"/>
  <c r="H4922" i="7"/>
  <c r="H4923" i="7"/>
  <c r="H4924" i="7"/>
  <c r="H4925" i="7"/>
  <c r="H4926" i="7"/>
  <c r="H4927" i="7"/>
  <c r="H4928" i="7"/>
  <c r="H4929" i="7"/>
  <c r="H4930" i="7"/>
  <c r="H4931" i="7"/>
  <c r="H4932" i="7"/>
  <c r="H4933" i="7"/>
  <c r="H4934" i="7"/>
  <c r="H4935" i="7"/>
  <c r="H4936" i="7"/>
  <c r="H4937" i="7"/>
  <c r="H4938" i="7"/>
  <c r="H4939" i="7"/>
  <c r="H4940" i="7"/>
  <c r="H4941" i="7"/>
  <c r="H4942" i="7"/>
  <c r="H4943" i="7"/>
  <c r="H4944" i="7"/>
  <c r="H4945" i="7"/>
  <c r="H4946" i="7"/>
  <c r="H4947" i="7"/>
  <c r="H4948" i="7"/>
  <c r="H4949" i="7"/>
  <c r="H4950" i="7"/>
  <c r="H4951" i="7"/>
  <c r="H4952" i="7"/>
  <c r="H4953" i="7"/>
  <c r="H4954" i="7"/>
  <c r="H4955" i="7"/>
  <c r="H4956" i="7"/>
  <c r="H4957" i="7"/>
  <c r="H4958" i="7"/>
  <c r="H4959" i="7"/>
  <c r="H4960" i="7"/>
  <c r="H4961" i="7"/>
  <c r="H4962" i="7"/>
  <c r="H4963" i="7"/>
  <c r="H4964" i="7"/>
  <c r="H4965" i="7"/>
  <c r="H4966" i="7"/>
  <c r="H4967" i="7"/>
  <c r="H4968" i="7"/>
  <c r="H4969" i="7"/>
  <c r="H4970" i="7"/>
  <c r="H4971" i="7"/>
  <c r="H4972" i="7"/>
  <c r="H4973" i="7"/>
  <c r="H4974" i="7"/>
  <c r="H4975" i="7"/>
  <c r="H4976" i="7"/>
  <c r="H4977" i="7"/>
  <c r="H4978" i="7"/>
  <c r="H4979" i="7"/>
  <c r="H4980" i="7"/>
  <c r="H4981" i="7"/>
  <c r="H4982" i="7"/>
  <c r="H4983" i="7"/>
  <c r="H4984" i="7"/>
  <c r="H4985" i="7"/>
  <c r="H4986" i="7"/>
  <c r="H4987" i="7"/>
  <c r="H4988" i="7"/>
  <c r="H4989" i="7"/>
  <c r="H4990" i="7"/>
  <c r="H4991" i="7"/>
  <c r="H4992" i="7"/>
  <c r="H4993" i="7"/>
  <c r="H4994" i="7"/>
  <c r="H4995" i="7"/>
  <c r="H4996" i="7"/>
  <c r="H4997" i="7"/>
  <c r="H4998" i="7"/>
  <c r="H4999" i="7"/>
  <c r="H5000" i="7"/>
  <c r="H5001" i="7"/>
  <c r="H5002" i="7"/>
  <c r="H5003" i="7"/>
  <c r="H5004" i="7"/>
  <c r="H5005" i="7"/>
  <c r="H5006" i="7"/>
  <c r="H5007" i="7"/>
  <c r="H5008" i="7"/>
  <c r="H5009" i="7"/>
  <c r="H5010" i="7"/>
  <c r="H5011" i="7"/>
  <c r="H5012" i="7"/>
  <c r="H5013" i="7"/>
  <c r="H5014" i="7"/>
  <c r="H5015" i="7"/>
  <c r="H5016" i="7"/>
  <c r="H5017" i="7"/>
  <c r="H5018" i="7"/>
  <c r="H5019" i="7"/>
  <c r="H5020" i="7"/>
  <c r="H5021" i="7"/>
  <c r="H5022" i="7"/>
  <c r="H5023" i="7"/>
  <c r="H5024" i="7"/>
  <c r="H5025" i="7"/>
  <c r="H5026" i="7"/>
  <c r="H5027" i="7"/>
  <c r="H5028" i="7"/>
  <c r="H5029" i="7"/>
  <c r="H5030" i="7"/>
  <c r="H5031" i="7"/>
  <c r="H5032" i="7"/>
  <c r="H5033" i="7"/>
  <c r="H5034" i="7"/>
  <c r="H5035" i="7"/>
  <c r="H5036" i="7"/>
  <c r="H5037" i="7"/>
  <c r="H5038" i="7"/>
  <c r="H5039" i="7"/>
  <c r="H5040" i="7"/>
  <c r="H5041" i="7"/>
  <c r="H5042" i="7"/>
  <c r="H5043" i="7"/>
  <c r="H5044" i="7"/>
  <c r="H5045" i="7"/>
  <c r="H5046" i="7"/>
  <c r="H5047" i="7"/>
  <c r="H5048" i="7"/>
  <c r="H5049" i="7"/>
  <c r="H5050" i="7"/>
  <c r="H5051" i="7"/>
  <c r="H5052" i="7"/>
  <c r="H5053" i="7"/>
  <c r="H5054" i="7"/>
  <c r="H5055" i="7"/>
  <c r="H5056" i="7"/>
  <c r="H5057" i="7"/>
  <c r="H5058" i="7"/>
  <c r="H5059" i="7"/>
  <c r="H5060" i="7"/>
  <c r="H5061" i="7"/>
  <c r="H5062" i="7"/>
  <c r="H5063" i="7"/>
  <c r="H5064" i="7"/>
  <c r="H5065" i="7"/>
  <c r="H5066" i="7"/>
  <c r="H5067" i="7"/>
  <c r="H5068" i="7"/>
  <c r="H5069" i="7"/>
  <c r="H5070" i="7"/>
  <c r="H5071" i="7"/>
  <c r="H5072" i="7"/>
  <c r="H5073" i="7"/>
  <c r="H5074" i="7"/>
  <c r="H5075" i="7"/>
  <c r="H5076" i="7"/>
  <c r="H5077" i="7"/>
  <c r="H5078" i="7"/>
  <c r="H5079" i="7"/>
  <c r="H5080" i="7"/>
  <c r="H5081" i="7"/>
  <c r="H5082" i="7"/>
  <c r="H5083" i="7"/>
  <c r="H5084" i="7"/>
  <c r="H5085" i="7"/>
  <c r="H5086" i="7"/>
  <c r="H5087" i="7"/>
  <c r="H5088" i="7"/>
  <c r="H5089" i="7"/>
  <c r="H5090" i="7"/>
  <c r="H5091" i="7"/>
  <c r="H5092" i="7"/>
  <c r="H5093" i="7"/>
  <c r="H5094" i="7"/>
  <c r="H5095" i="7"/>
  <c r="H5096" i="7"/>
  <c r="H5097" i="7"/>
  <c r="H5098" i="7"/>
  <c r="H5099" i="7"/>
  <c r="H5100" i="7"/>
  <c r="H5101" i="7"/>
  <c r="H5102" i="7"/>
  <c r="H5103" i="7"/>
  <c r="H5104" i="7"/>
  <c r="H5105" i="7"/>
  <c r="H5106" i="7"/>
  <c r="H5107" i="7"/>
  <c r="H5108" i="7"/>
  <c r="H5109" i="7"/>
  <c r="H5110" i="7"/>
  <c r="H5111" i="7"/>
  <c r="H5112" i="7"/>
  <c r="H5113" i="7"/>
  <c r="H5114" i="7"/>
  <c r="H5115" i="7"/>
  <c r="H5116" i="7"/>
  <c r="H5117" i="7"/>
  <c r="H5118" i="7"/>
  <c r="H5119" i="7"/>
  <c r="H5120" i="7"/>
  <c r="H5121" i="7"/>
  <c r="H5122" i="7"/>
  <c r="H5123" i="7"/>
  <c r="H5124" i="7"/>
  <c r="H5125" i="7"/>
  <c r="H5126" i="7"/>
  <c r="H5127" i="7"/>
  <c r="H5128" i="7"/>
  <c r="H5129" i="7"/>
  <c r="H5130" i="7"/>
  <c r="H5131" i="7"/>
  <c r="H5132" i="7"/>
  <c r="H5133" i="7"/>
  <c r="H5134" i="7"/>
  <c r="H5135" i="7"/>
  <c r="H5136" i="7"/>
  <c r="H5137" i="7"/>
  <c r="H5138" i="7"/>
  <c r="H5139" i="7"/>
  <c r="H5140" i="7"/>
  <c r="H5141" i="7"/>
  <c r="H5142" i="7"/>
  <c r="H5143" i="7"/>
  <c r="H5144" i="7"/>
  <c r="H5145" i="7"/>
  <c r="H5146" i="7"/>
  <c r="H5147" i="7"/>
  <c r="H5148" i="7"/>
  <c r="H5149" i="7"/>
  <c r="H5150" i="7"/>
  <c r="H5151" i="7"/>
  <c r="H5152" i="7"/>
  <c r="H5153" i="7"/>
  <c r="H5154" i="7"/>
  <c r="H5155" i="7"/>
  <c r="H5156" i="7"/>
  <c r="H5157" i="7"/>
  <c r="H5158" i="7"/>
  <c r="H5159" i="7"/>
  <c r="H5160" i="7"/>
  <c r="H5161" i="7"/>
  <c r="H5162" i="7"/>
  <c r="H5163" i="7"/>
  <c r="H5164" i="7"/>
  <c r="H5165" i="7"/>
  <c r="H5166" i="7"/>
  <c r="H5167" i="7"/>
  <c r="H5168" i="7"/>
  <c r="H5169" i="7"/>
  <c r="H5170" i="7"/>
  <c r="H5171" i="7"/>
  <c r="H5172" i="7"/>
  <c r="H5173" i="7"/>
  <c r="H5174" i="7"/>
  <c r="H5175" i="7"/>
  <c r="H5176" i="7"/>
  <c r="H5177" i="7"/>
  <c r="H5178" i="7"/>
  <c r="H5179" i="7"/>
  <c r="H5180" i="7"/>
  <c r="H5181" i="7"/>
  <c r="H5182" i="7"/>
  <c r="H5183" i="7"/>
  <c r="H5184" i="7"/>
  <c r="H5185" i="7"/>
  <c r="H5186" i="7"/>
  <c r="H5187" i="7"/>
  <c r="H5188" i="7"/>
  <c r="H5189" i="7"/>
  <c r="H5190" i="7"/>
  <c r="H5191" i="7"/>
  <c r="H5192" i="7"/>
  <c r="H5193" i="7"/>
  <c r="H5194" i="7"/>
  <c r="H5195" i="7"/>
  <c r="H5196" i="7"/>
  <c r="H5197" i="7"/>
  <c r="H5198" i="7"/>
  <c r="H5199" i="7"/>
  <c r="H5200" i="7"/>
  <c r="H5201" i="7"/>
  <c r="H5202" i="7"/>
  <c r="H5203" i="7"/>
  <c r="H5204" i="7"/>
  <c r="H5205" i="7"/>
  <c r="H5206" i="7"/>
  <c r="H5207" i="7"/>
  <c r="H5208" i="7"/>
  <c r="H5209" i="7"/>
  <c r="H5210" i="7"/>
  <c r="H5211" i="7"/>
  <c r="H5212" i="7"/>
  <c r="H5213" i="7"/>
  <c r="H5214" i="7"/>
  <c r="H5215" i="7"/>
  <c r="H5216" i="7"/>
  <c r="H5217" i="7"/>
  <c r="H5218" i="7"/>
  <c r="H5219" i="7"/>
  <c r="H5220" i="7"/>
  <c r="H5221" i="7"/>
  <c r="H5222" i="7"/>
  <c r="H5223" i="7"/>
  <c r="H5224" i="7"/>
  <c r="H5225" i="7"/>
  <c r="H5226" i="7"/>
  <c r="H5227" i="7"/>
  <c r="H5228" i="7"/>
  <c r="H5229" i="7"/>
  <c r="H5230" i="7"/>
  <c r="H5231" i="7"/>
  <c r="H5232" i="7"/>
  <c r="H5233" i="7"/>
  <c r="H5234" i="7"/>
  <c r="H5235" i="7"/>
  <c r="H5236" i="7"/>
  <c r="H5237" i="7"/>
  <c r="H5238" i="7"/>
  <c r="H5239" i="7"/>
  <c r="H5240" i="7"/>
  <c r="H5241" i="7"/>
  <c r="H5242" i="7"/>
  <c r="H5243" i="7"/>
  <c r="H5244" i="7"/>
  <c r="H5245" i="7"/>
  <c r="H5246" i="7"/>
  <c r="H5247" i="7"/>
  <c r="H5248" i="7"/>
  <c r="H5249" i="7"/>
  <c r="H5250" i="7"/>
  <c r="H5251" i="7"/>
  <c r="H5252" i="7"/>
  <c r="H5253" i="7"/>
  <c r="H5254" i="7"/>
  <c r="H5255" i="7"/>
  <c r="H5256" i="7"/>
  <c r="H5257" i="7"/>
  <c r="H5258" i="7"/>
  <c r="H5259" i="7"/>
  <c r="H5260" i="7"/>
  <c r="H5261" i="7"/>
  <c r="H5262" i="7"/>
  <c r="H5263" i="7"/>
  <c r="H5264" i="7"/>
  <c r="H5265" i="7"/>
  <c r="H5266" i="7"/>
  <c r="H5267" i="7"/>
  <c r="H5268" i="7"/>
  <c r="H5269" i="7"/>
  <c r="H5270" i="7"/>
  <c r="H5271" i="7"/>
  <c r="H5272" i="7"/>
  <c r="H5273" i="7"/>
  <c r="H5274" i="7"/>
  <c r="H5275" i="7"/>
  <c r="H5276" i="7"/>
  <c r="H5277" i="7"/>
  <c r="H5278" i="7"/>
  <c r="H5279" i="7"/>
  <c r="H5280" i="7"/>
  <c r="H5281" i="7"/>
  <c r="H5282" i="7"/>
  <c r="H5283" i="7"/>
  <c r="H5284" i="7"/>
  <c r="H5285" i="7"/>
  <c r="H5286" i="7"/>
  <c r="H5287" i="7"/>
  <c r="H5288" i="7"/>
  <c r="H5289" i="7"/>
  <c r="H5290" i="7"/>
  <c r="H5291" i="7"/>
  <c r="H5292" i="7"/>
  <c r="H5293" i="7"/>
  <c r="H5294" i="7"/>
  <c r="H5295" i="7"/>
  <c r="H5296" i="7"/>
  <c r="H5297" i="7"/>
  <c r="H5298" i="7"/>
  <c r="H5299" i="7"/>
  <c r="H5300" i="7"/>
  <c r="H5301" i="7"/>
  <c r="H5302" i="7"/>
  <c r="H5303" i="7"/>
  <c r="H5304" i="7"/>
  <c r="H5305" i="7"/>
  <c r="H5306" i="7"/>
  <c r="H5307" i="7"/>
  <c r="H5308" i="7"/>
  <c r="H5309" i="7"/>
  <c r="H5310" i="7"/>
  <c r="H5311" i="7"/>
  <c r="H5312" i="7"/>
  <c r="H5313" i="7"/>
  <c r="H5314" i="7"/>
  <c r="H5315" i="7"/>
  <c r="H5316" i="7"/>
  <c r="H5317" i="7"/>
  <c r="H5318" i="7"/>
  <c r="H5319" i="7"/>
  <c r="H5320" i="7"/>
  <c r="H5321" i="7"/>
  <c r="H5322" i="7"/>
  <c r="H5323" i="7"/>
  <c r="H5324" i="7"/>
  <c r="H5325" i="7"/>
  <c r="H5326" i="7"/>
  <c r="H5327" i="7"/>
  <c r="H5328" i="7"/>
  <c r="H5329" i="7"/>
  <c r="H5330" i="7"/>
  <c r="H5331" i="7"/>
  <c r="H5332" i="7"/>
  <c r="H5333" i="7"/>
  <c r="H5334" i="7"/>
  <c r="H5335" i="7"/>
  <c r="H5336" i="7"/>
  <c r="H5337" i="7"/>
  <c r="H5338" i="7"/>
  <c r="H5339" i="7"/>
  <c r="H5340" i="7"/>
  <c r="H5341" i="7"/>
  <c r="H5342" i="7"/>
  <c r="H5343" i="7"/>
  <c r="H5344" i="7"/>
  <c r="H5345" i="7"/>
  <c r="H5346" i="7"/>
  <c r="H5347" i="7"/>
  <c r="H5348" i="7"/>
  <c r="H5349" i="7"/>
  <c r="H5350" i="7"/>
  <c r="H5351" i="7"/>
  <c r="H5352" i="7"/>
  <c r="H5353" i="7"/>
  <c r="H5354" i="7"/>
  <c r="H5355" i="7"/>
  <c r="H5356" i="7"/>
  <c r="H5357" i="7"/>
  <c r="H5358" i="7"/>
  <c r="H5359" i="7"/>
  <c r="H5360" i="7"/>
  <c r="H5361" i="7"/>
  <c r="H5362" i="7"/>
  <c r="H5363" i="7"/>
  <c r="H5364" i="7"/>
  <c r="H5365" i="7"/>
  <c r="H5366" i="7"/>
  <c r="H5367" i="7"/>
  <c r="H5368" i="7"/>
  <c r="H5369" i="7"/>
  <c r="H5370" i="7"/>
  <c r="H5371" i="7"/>
  <c r="H5372" i="7"/>
  <c r="H5373" i="7"/>
  <c r="H5374" i="7"/>
  <c r="H5375" i="7"/>
  <c r="H5376" i="7"/>
  <c r="H5377" i="7"/>
  <c r="H5378" i="7"/>
  <c r="H5379" i="7"/>
  <c r="H5380" i="7"/>
  <c r="H5381" i="7"/>
  <c r="H5382" i="7"/>
  <c r="H5383" i="7"/>
  <c r="H5384" i="7"/>
  <c r="H5385" i="7"/>
  <c r="H5386" i="7"/>
  <c r="H5387" i="7"/>
  <c r="H5388" i="7"/>
  <c r="H5389" i="7"/>
  <c r="H5390" i="7"/>
  <c r="H5391" i="7"/>
  <c r="H5392" i="7"/>
  <c r="H5393" i="7"/>
  <c r="H5394" i="7"/>
  <c r="H5395" i="7"/>
  <c r="H5396" i="7"/>
  <c r="H5397" i="7"/>
  <c r="H5398" i="7"/>
  <c r="H5399" i="7"/>
  <c r="H5400" i="7"/>
  <c r="H5401" i="7"/>
  <c r="H5402" i="7"/>
  <c r="H5403" i="7"/>
  <c r="H5404" i="7"/>
  <c r="H5405" i="7"/>
  <c r="H5406" i="7"/>
  <c r="H5407" i="7"/>
  <c r="H5408" i="7"/>
  <c r="H5409" i="7"/>
  <c r="H5410" i="7"/>
  <c r="H5411" i="7"/>
  <c r="H5412" i="7"/>
  <c r="H5413" i="7"/>
  <c r="H5414" i="7"/>
  <c r="H5415" i="7"/>
  <c r="H5416" i="7"/>
  <c r="H5417" i="7"/>
  <c r="H5418" i="7"/>
  <c r="H5419" i="7"/>
  <c r="H5420" i="7"/>
  <c r="H5421" i="7"/>
  <c r="H5422" i="7"/>
  <c r="H5423" i="7"/>
  <c r="H5424" i="7"/>
  <c r="H5425" i="7"/>
  <c r="H5426" i="7"/>
  <c r="H5427" i="7"/>
  <c r="H5428" i="7"/>
  <c r="H5429" i="7"/>
  <c r="H5430" i="7"/>
  <c r="H5431" i="7"/>
  <c r="H5432" i="7"/>
  <c r="H5433" i="7"/>
  <c r="H5434" i="7"/>
  <c r="H5435" i="7"/>
  <c r="H5436" i="7"/>
  <c r="H5437" i="7"/>
  <c r="H5438" i="7"/>
  <c r="H5439" i="7"/>
  <c r="H5440" i="7"/>
  <c r="H5441" i="7"/>
  <c r="H5442" i="7"/>
  <c r="H5443" i="7"/>
  <c r="H5444" i="7"/>
  <c r="H5445" i="7"/>
  <c r="H5446" i="7"/>
  <c r="H5447" i="7"/>
  <c r="H5448" i="7"/>
  <c r="H5449" i="7"/>
  <c r="H5450" i="7"/>
  <c r="H5451" i="7"/>
  <c r="H5452" i="7"/>
  <c r="H5453" i="7"/>
  <c r="H5454" i="7"/>
  <c r="H5455" i="7"/>
  <c r="H5456" i="7"/>
  <c r="H5457" i="7"/>
  <c r="H5458" i="7"/>
  <c r="H5459" i="7"/>
  <c r="H5460" i="7"/>
  <c r="H5461" i="7"/>
  <c r="H5462" i="7"/>
  <c r="H5463" i="7"/>
  <c r="H5464" i="7"/>
  <c r="H5465" i="7"/>
  <c r="H5466" i="7"/>
  <c r="H5467" i="7"/>
  <c r="H5468" i="7"/>
  <c r="H5469" i="7"/>
  <c r="H5470" i="7"/>
  <c r="H5471" i="7"/>
  <c r="H5472" i="7"/>
  <c r="H5473" i="7"/>
  <c r="H5474" i="7"/>
  <c r="H5475" i="7"/>
  <c r="H5476" i="7"/>
  <c r="H5477" i="7"/>
  <c r="H5478" i="7"/>
  <c r="H5479" i="7"/>
  <c r="H5480" i="7"/>
  <c r="H5481" i="7"/>
  <c r="H5482" i="7"/>
  <c r="H5483" i="7"/>
  <c r="H5484" i="7"/>
  <c r="H5485" i="7"/>
  <c r="H5486" i="7"/>
  <c r="H5487" i="7"/>
  <c r="H5488" i="7"/>
  <c r="H5489" i="7"/>
  <c r="H5490" i="7"/>
  <c r="H5491" i="7"/>
  <c r="H5492" i="7"/>
  <c r="H5493" i="7"/>
  <c r="H5494" i="7"/>
  <c r="H5495" i="7"/>
  <c r="H5496" i="7"/>
  <c r="H5497" i="7"/>
  <c r="H5498" i="7"/>
  <c r="H5499" i="7"/>
  <c r="H5500" i="7"/>
  <c r="H5501" i="7"/>
  <c r="H5502" i="7"/>
  <c r="H5503" i="7"/>
  <c r="H5504" i="7"/>
  <c r="H5505" i="7"/>
  <c r="H5506" i="7"/>
  <c r="H5507" i="7"/>
  <c r="H5508" i="7"/>
  <c r="H5509" i="7"/>
  <c r="H5510" i="7"/>
  <c r="H5511" i="7"/>
  <c r="H5512" i="7"/>
  <c r="H5513" i="7"/>
  <c r="H5514" i="7"/>
  <c r="H5515" i="7"/>
  <c r="H5516" i="7"/>
  <c r="H5517" i="7"/>
  <c r="H5518" i="7"/>
  <c r="H5519" i="7"/>
  <c r="H5520" i="7"/>
  <c r="H5521" i="7"/>
  <c r="H5522" i="7"/>
  <c r="H5523" i="7"/>
  <c r="H5524" i="7"/>
  <c r="H5525" i="7"/>
  <c r="H5526" i="7"/>
  <c r="H5527" i="7"/>
  <c r="H5528" i="7"/>
  <c r="H5529" i="7"/>
  <c r="H5530" i="7"/>
  <c r="H5531" i="7"/>
  <c r="H5532" i="7"/>
  <c r="H5533" i="7"/>
  <c r="H5534" i="7"/>
  <c r="H5535" i="7"/>
  <c r="H5536" i="7"/>
  <c r="H5537" i="7"/>
  <c r="H5538" i="7"/>
  <c r="H5539" i="7"/>
  <c r="H5540" i="7"/>
  <c r="H5541" i="7"/>
  <c r="H5542" i="7"/>
  <c r="H5543" i="7"/>
  <c r="H5544" i="7"/>
  <c r="H5545" i="7"/>
  <c r="H5546" i="7"/>
  <c r="H5547" i="7"/>
  <c r="H5548" i="7"/>
  <c r="H5549" i="7"/>
  <c r="H5550" i="7"/>
  <c r="H5551" i="7"/>
  <c r="H5552" i="7"/>
  <c r="H5553" i="7"/>
  <c r="H5554" i="7"/>
  <c r="H5555" i="7"/>
  <c r="H5556" i="7"/>
  <c r="H5557" i="7"/>
  <c r="H5558" i="7"/>
  <c r="H5559" i="7"/>
  <c r="H5560" i="7"/>
  <c r="H5561" i="7"/>
  <c r="H5562" i="7"/>
  <c r="H5563" i="7"/>
  <c r="H5564" i="7"/>
  <c r="H5565" i="7"/>
  <c r="H5566" i="7"/>
  <c r="H5567" i="7"/>
  <c r="H5568" i="7"/>
  <c r="H5569" i="7"/>
  <c r="H5570" i="7"/>
  <c r="H5571" i="7"/>
  <c r="H5572" i="7"/>
  <c r="H5573" i="7"/>
  <c r="H5574" i="7"/>
  <c r="H5575" i="7"/>
  <c r="H5576" i="7"/>
  <c r="H5577" i="7"/>
  <c r="H5578" i="7"/>
  <c r="H5579" i="7"/>
  <c r="H5580" i="7"/>
  <c r="H5581" i="7"/>
  <c r="H5582" i="7"/>
  <c r="H5583" i="7"/>
  <c r="H5584" i="7"/>
  <c r="H5585" i="7"/>
  <c r="H5586" i="7"/>
  <c r="H5587" i="7"/>
  <c r="H5588" i="7"/>
  <c r="H5589" i="7"/>
  <c r="H5590" i="7"/>
  <c r="H5591" i="7"/>
  <c r="H5592" i="7"/>
  <c r="H5593" i="7"/>
  <c r="H5594" i="7"/>
  <c r="H5595" i="7"/>
  <c r="H5596" i="7"/>
  <c r="H5597" i="7"/>
  <c r="H5598" i="7"/>
  <c r="H5599" i="7"/>
  <c r="H5600" i="7"/>
  <c r="H5601" i="7"/>
  <c r="H5602" i="7"/>
  <c r="H5603" i="7"/>
  <c r="H5604" i="7"/>
  <c r="H5605" i="7"/>
  <c r="H5606" i="7"/>
  <c r="H5607" i="7"/>
  <c r="H5608" i="7"/>
  <c r="H5609" i="7"/>
  <c r="H5610" i="7"/>
  <c r="H5611" i="7"/>
  <c r="H5612" i="7"/>
  <c r="H5613" i="7"/>
  <c r="H5614" i="7"/>
  <c r="H5615" i="7"/>
  <c r="H5616" i="7"/>
  <c r="H5617" i="7"/>
  <c r="H5618" i="7"/>
  <c r="H5619" i="7"/>
  <c r="H5620" i="7"/>
  <c r="H5621" i="7"/>
  <c r="H5622" i="7"/>
  <c r="H5623" i="7"/>
  <c r="H5624" i="7"/>
  <c r="H5625" i="7"/>
  <c r="H5626" i="7"/>
  <c r="H5627" i="7"/>
  <c r="H5628" i="7"/>
  <c r="H5629" i="7"/>
  <c r="H5630" i="7"/>
  <c r="H5631" i="7"/>
  <c r="H5632" i="7"/>
  <c r="H5633" i="7"/>
  <c r="H5634" i="7"/>
  <c r="H5635" i="7"/>
  <c r="H5636" i="7"/>
  <c r="H5637" i="7"/>
  <c r="H5638" i="7"/>
  <c r="H5639" i="7"/>
  <c r="H5640" i="7"/>
  <c r="H5641" i="7"/>
  <c r="H5642" i="7"/>
  <c r="H5643" i="7"/>
  <c r="H5644" i="7"/>
  <c r="H5645" i="7"/>
  <c r="H5646" i="7"/>
  <c r="H5647" i="7"/>
  <c r="H5648" i="7"/>
  <c r="H5649" i="7"/>
  <c r="H5650" i="7"/>
  <c r="H5651" i="7"/>
  <c r="H5652" i="7"/>
  <c r="H5653" i="7"/>
  <c r="H5654" i="7"/>
  <c r="H5655" i="7"/>
  <c r="H5656" i="7"/>
  <c r="H5657" i="7"/>
  <c r="H5658" i="7"/>
  <c r="H5659" i="7"/>
  <c r="H5660" i="7"/>
  <c r="H5661" i="7"/>
  <c r="H5662" i="7"/>
  <c r="H5663" i="7"/>
  <c r="H5664" i="7"/>
  <c r="H5665" i="7"/>
  <c r="H5666" i="7"/>
  <c r="H5667" i="7"/>
  <c r="H5668" i="7"/>
  <c r="H5669" i="7"/>
  <c r="H5670" i="7"/>
  <c r="H5671" i="7"/>
  <c r="H5672" i="7"/>
  <c r="H5673" i="7"/>
  <c r="H5674" i="7"/>
  <c r="H5675" i="7"/>
  <c r="H5676" i="7"/>
  <c r="H5677" i="7"/>
  <c r="H5678" i="7"/>
  <c r="H5679" i="7"/>
  <c r="H5680" i="7"/>
  <c r="H5681" i="7"/>
  <c r="H5682" i="7"/>
  <c r="H5683" i="7"/>
  <c r="H5684" i="7"/>
  <c r="H5685" i="7"/>
  <c r="H5686" i="7"/>
  <c r="H5687" i="7"/>
  <c r="H5688" i="7"/>
  <c r="H5689" i="7"/>
  <c r="H5690" i="7"/>
  <c r="H5691" i="7"/>
  <c r="H5692" i="7"/>
  <c r="H5693" i="7"/>
  <c r="H5694" i="7"/>
  <c r="H5695" i="7"/>
  <c r="H5696" i="7"/>
  <c r="H5697" i="7"/>
  <c r="H5698" i="7"/>
  <c r="H5699" i="7"/>
  <c r="H5700" i="7"/>
  <c r="H5701" i="7"/>
  <c r="H5702" i="7"/>
  <c r="H5703" i="7"/>
  <c r="H5704" i="7"/>
  <c r="H5705" i="7"/>
  <c r="H5706" i="7"/>
  <c r="H5707" i="7"/>
  <c r="H5708" i="7"/>
  <c r="H5709" i="7"/>
  <c r="H5710" i="7"/>
  <c r="H5711" i="7"/>
  <c r="H5712" i="7"/>
  <c r="H5713" i="7"/>
  <c r="H5714" i="7"/>
  <c r="H5715" i="7"/>
  <c r="H5716" i="7"/>
  <c r="H5717" i="7"/>
  <c r="H5718" i="7"/>
  <c r="H5719" i="7"/>
  <c r="H5720" i="7"/>
  <c r="H5721" i="7"/>
  <c r="H5722" i="7"/>
  <c r="H5723" i="7"/>
  <c r="H5724" i="7"/>
  <c r="H5725" i="7"/>
  <c r="H5726" i="7"/>
  <c r="H5727" i="7"/>
  <c r="H5728" i="7"/>
  <c r="H5729" i="7"/>
  <c r="H5730" i="7"/>
  <c r="H5731" i="7"/>
  <c r="H5732" i="7"/>
  <c r="H5733" i="7"/>
  <c r="H5734" i="7"/>
  <c r="H5735" i="7"/>
  <c r="H5736" i="7"/>
  <c r="H5737" i="7"/>
  <c r="H5738" i="7"/>
  <c r="H5739" i="7"/>
  <c r="H5740" i="7"/>
  <c r="H5741" i="7"/>
  <c r="H5742" i="7"/>
  <c r="H5743" i="7"/>
  <c r="H5744" i="7"/>
  <c r="H5745" i="7"/>
  <c r="H5746" i="7"/>
  <c r="H5747" i="7"/>
  <c r="H5748" i="7"/>
  <c r="H5749" i="7"/>
  <c r="H5750" i="7"/>
  <c r="H5751" i="7"/>
  <c r="H5752" i="7"/>
  <c r="H5753" i="7"/>
  <c r="H5754" i="7"/>
  <c r="H5755" i="7"/>
  <c r="H5756" i="7"/>
  <c r="H5757" i="7"/>
  <c r="H5758" i="7"/>
  <c r="H5759" i="7"/>
  <c r="H5760" i="7"/>
  <c r="H5761" i="7"/>
  <c r="H5762" i="7"/>
  <c r="H5763" i="7"/>
  <c r="H5764" i="7"/>
  <c r="H5765" i="7"/>
  <c r="H5766" i="7"/>
  <c r="H5767" i="7"/>
  <c r="H5768" i="7"/>
  <c r="H5769" i="7"/>
  <c r="H5770" i="7"/>
  <c r="H5771" i="7"/>
  <c r="H5772" i="7"/>
  <c r="H5773" i="7"/>
  <c r="H5774" i="7"/>
  <c r="H5775" i="7"/>
  <c r="H5776" i="7"/>
  <c r="H5777" i="7"/>
  <c r="H5778" i="7"/>
  <c r="H5779" i="7"/>
  <c r="H5780" i="7"/>
  <c r="H5781" i="7"/>
  <c r="H5782" i="7"/>
  <c r="H5783" i="7"/>
  <c r="H5784" i="7"/>
  <c r="H5785" i="7"/>
  <c r="H5786" i="7"/>
  <c r="H5787" i="7"/>
  <c r="H5788" i="7"/>
  <c r="H5789" i="7"/>
  <c r="H5790" i="7"/>
  <c r="H5791" i="7"/>
  <c r="H5792" i="7"/>
  <c r="H5793" i="7"/>
  <c r="H5794" i="7"/>
  <c r="H5795" i="7"/>
  <c r="H5796" i="7"/>
  <c r="H5797" i="7"/>
  <c r="H5798" i="7"/>
  <c r="H5799" i="7"/>
  <c r="H5800" i="7"/>
  <c r="H5801" i="7"/>
  <c r="H5802" i="7"/>
  <c r="H5803" i="7"/>
  <c r="H5804" i="7"/>
  <c r="H5805" i="7"/>
  <c r="H5806" i="7"/>
  <c r="H5807" i="7"/>
  <c r="H5808" i="7"/>
  <c r="H5809" i="7"/>
  <c r="H5810" i="7"/>
  <c r="H5811" i="7"/>
  <c r="H5812" i="7"/>
  <c r="H5813" i="7"/>
  <c r="H5814" i="7"/>
  <c r="H5815" i="7"/>
  <c r="H5816" i="7"/>
  <c r="H5817" i="7"/>
  <c r="H5818" i="7"/>
  <c r="H5819" i="7"/>
  <c r="H5820" i="7"/>
  <c r="H5821" i="7"/>
  <c r="H5822" i="7"/>
  <c r="H5823" i="7"/>
  <c r="H5824" i="7"/>
  <c r="H5825" i="7"/>
  <c r="H5826" i="7"/>
  <c r="H5827" i="7"/>
  <c r="H5828" i="7"/>
  <c r="H5829" i="7"/>
  <c r="H5830" i="7"/>
  <c r="H5831" i="7"/>
  <c r="H5832" i="7"/>
  <c r="H5833" i="7"/>
  <c r="H5834" i="7"/>
  <c r="H5835" i="7"/>
  <c r="H5836" i="7"/>
  <c r="H5837" i="7"/>
  <c r="H5838" i="7"/>
  <c r="H5839" i="7"/>
  <c r="H5840" i="7"/>
  <c r="H5841" i="7"/>
  <c r="H5842" i="7"/>
  <c r="H5843" i="7"/>
  <c r="H5844" i="7"/>
  <c r="H5845" i="7"/>
  <c r="H5846" i="7"/>
  <c r="H5847" i="7"/>
  <c r="H5848" i="7"/>
  <c r="H5849" i="7"/>
  <c r="H5850" i="7"/>
  <c r="H5851" i="7"/>
  <c r="H5852" i="7"/>
  <c r="H5853" i="7"/>
  <c r="H5854" i="7"/>
  <c r="H5855" i="7"/>
  <c r="H5856" i="7"/>
  <c r="H5857" i="7"/>
  <c r="H5858" i="7"/>
  <c r="H5859" i="7"/>
  <c r="H5860" i="7"/>
  <c r="H5861" i="7"/>
  <c r="H5862" i="7"/>
  <c r="H5863" i="7"/>
  <c r="H5864" i="7"/>
  <c r="H5865" i="7"/>
  <c r="H5866" i="7"/>
  <c r="H5867" i="7"/>
  <c r="H5868" i="7"/>
  <c r="H5869" i="7"/>
  <c r="H5870" i="7"/>
  <c r="H5871" i="7"/>
  <c r="H5872" i="7"/>
  <c r="H5873" i="7"/>
  <c r="H5874" i="7"/>
  <c r="H5875" i="7"/>
  <c r="H5876" i="7"/>
  <c r="H5877" i="7"/>
  <c r="H5878" i="7"/>
  <c r="H5879" i="7"/>
  <c r="H5880" i="7"/>
  <c r="H5881" i="7"/>
  <c r="H5882" i="7"/>
  <c r="H5883" i="7"/>
  <c r="H5884" i="7"/>
  <c r="H5885" i="7"/>
  <c r="H5886" i="7"/>
  <c r="H5887" i="7"/>
  <c r="H5888" i="7"/>
  <c r="H5889" i="7"/>
  <c r="H5890" i="7"/>
  <c r="H5891" i="7"/>
  <c r="H5892" i="7"/>
  <c r="H5893" i="7"/>
  <c r="H5894" i="7"/>
  <c r="H5895" i="7"/>
  <c r="H5896" i="7"/>
  <c r="H5897" i="7"/>
  <c r="H5898" i="7"/>
  <c r="H5899" i="7"/>
  <c r="H5900" i="7"/>
  <c r="H5901" i="7"/>
  <c r="H5902" i="7"/>
  <c r="H5903" i="7"/>
  <c r="H5904" i="7"/>
  <c r="H5905" i="7"/>
  <c r="H5906" i="7"/>
  <c r="H5907" i="7"/>
  <c r="H5908" i="7"/>
  <c r="H5909" i="7"/>
  <c r="H5910" i="7"/>
  <c r="H5911" i="7"/>
  <c r="H5912" i="7"/>
  <c r="H5913" i="7"/>
  <c r="H5914" i="7"/>
  <c r="H5915" i="7"/>
  <c r="H5916" i="7"/>
  <c r="H5917" i="7"/>
  <c r="H5918" i="7"/>
  <c r="H5919" i="7"/>
  <c r="H5920" i="7"/>
  <c r="H5921" i="7"/>
  <c r="H5922" i="7"/>
  <c r="H5923" i="7"/>
  <c r="H5924" i="7"/>
  <c r="H5925" i="7"/>
  <c r="H5926" i="7"/>
  <c r="H5927" i="7"/>
  <c r="H5928" i="7"/>
  <c r="H5929" i="7"/>
  <c r="H5930" i="7"/>
  <c r="H5931" i="7"/>
  <c r="H5932" i="7"/>
  <c r="H5933" i="7"/>
  <c r="H5934" i="7"/>
  <c r="H5935" i="7"/>
  <c r="H5936" i="7"/>
  <c r="H5937" i="7"/>
  <c r="H5938" i="7"/>
  <c r="H5939" i="7"/>
  <c r="H5940" i="7"/>
  <c r="H5941" i="7"/>
  <c r="H5942" i="7"/>
  <c r="H5943" i="7"/>
  <c r="H5944" i="7"/>
  <c r="H5945" i="7"/>
  <c r="H5946" i="7"/>
  <c r="H5947" i="7"/>
  <c r="H5948" i="7"/>
  <c r="H5949" i="7"/>
  <c r="H5950" i="7"/>
  <c r="H5951" i="7"/>
  <c r="H5952" i="7"/>
  <c r="H5953" i="7"/>
  <c r="H5954" i="7"/>
  <c r="H5955" i="7"/>
  <c r="H5956" i="7"/>
  <c r="H5957" i="7"/>
  <c r="H5958" i="7"/>
  <c r="H5959" i="7"/>
  <c r="H5960" i="7"/>
  <c r="H5961" i="7"/>
  <c r="H5962" i="7"/>
  <c r="H5963" i="7"/>
  <c r="H5964" i="7"/>
  <c r="H5965" i="7"/>
  <c r="H5966" i="7"/>
  <c r="H5967" i="7"/>
  <c r="H5968" i="7"/>
  <c r="H5969" i="7"/>
  <c r="H5970" i="7"/>
  <c r="H5971" i="7"/>
  <c r="H5972" i="7"/>
  <c r="H5973" i="7"/>
  <c r="H5974" i="7"/>
  <c r="H5975" i="7"/>
  <c r="H5976" i="7"/>
  <c r="H5977" i="7"/>
  <c r="H5978" i="7"/>
  <c r="H5979" i="7"/>
  <c r="H5980" i="7"/>
  <c r="H5981" i="7"/>
  <c r="H5982" i="7"/>
  <c r="H5983" i="7"/>
  <c r="H5984" i="7"/>
  <c r="H5985" i="7"/>
  <c r="H5986" i="7"/>
  <c r="H5987" i="7"/>
  <c r="H5988" i="7"/>
  <c r="H5989" i="7"/>
  <c r="H5990" i="7"/>
  <c r="H5991" i="7"/>
  <c r="H5992" i="7"/>
  <c r="H5993" i="7"/>
  <c r="H5994" i="7"/>
  <c r="H5995" i="7"/>
  <c r="H5996" i="7"/>
  <c r="H5997" i="7"/>
  <c r="H5998" i="7"/>
  <c r="H5999" i="7"/>
  <c r="H6000" i="7"/>
  <c r="H6001" i="7"/>
  <c r="H6002" i="7"/>
  <c r="H6003" i="7"/>
  <c r="H6004" i="7"/>
  <c r="H6005" i="7"/>
  <c r="H6006" i="7"/>
  <c r="H6007" i="7"/>
  <c r="H6008" i="7"/>
  <c r="H6009" i="7"/>
  <c r="H6010" i="7"/>
  <c r="H6011" i="7"/>
  <c r="H6012" i="7"/>
  <c r="H6013" i="7"/>
  <c r="H6014" i="7"/>
  <c r="H6015" i="7"/>
  <c r="H6016" i="7"/>
  <c r="H6017" i="7"/>
  <c r="H6018" i="7"/>
  <c r="H6019" i="7"/>
  <c r="H6020" i="7"/>
  <c r="H6021" i="7"/>
  <c r="H6022" i="7"/>
  <c r="H6023" i="7"/>
  <c r="H6024" i="7"/>
  <c r="H6025" i="7"/>
  <c r="H6026" i="7"/>
  <c r="H6027" i="7"/>
  <c r="H6028" i="7"/>
  <c r="H6029" i="7"/>
  <c r="H6030" i="7"/>
  <c r="H6031" i="7"/>
  <c r="H6032" i="7"/>
  <c r="H6033" i="7"/>
  <c r="H6034" i="7"/>
  <c r="H6035" i="7"/>
  <c r="H6036" i="7"/>
  <c r="H6037" i="7"/>
  <c r="H6038" i="7"/>
  <c r="H6039" i="7"/>
  <c r="H6040" i="7"/>
  <c r="H6041" i="7"/>
  <c r="H6042" i="7"/>
  <c r="H6043" i="7"/>
  <c r="H6044" i="7"/>
  <c r="H6045" i="7"/>
  <c r="H6046" i="7"/>
  <c r="H6047" i="7"/>
  <c r="H6048" i="7"/>
  <c r="H6049" i="7"/>
  <c r="H6050" i="7"/>
  <c r="H6051" i="7"/>
  <c r="H6052" i="7"/>
  <c r="H6053" i="7"/>
  <c r="H6054" i="7"/>
  <c r="H6055" i="7"/>
  <c r="H6056" i="7"/>
  <c r="H6057" i="7"/>
  <c r="H6058" i="7"/>
  <c r="H6059" i="7"/>
  <c r="H6060" i="7"/>
  <c r="H6061" i="7"/>
  <c r="H6062" i="7"/>
  <c r="H6063" i="7"/>
  <c r="H6064" i="7"/>
  <c r="H6065" i="7"/>
  <c r="H6066" i="7"/>
  <c r="H6067" i="7"/>
  <c r="H6068" i="7"/>
  <c r="H6069" i="7"/>
  <c r="H6070" i="7"/>
  <c r="H6071" i="7"/>
  <c r="H6072" i="7"/>
  <c r="H6073" i="7"/>
  <c r="H6074" i="7"/>
  <c r="H6075" i="7"/>
  <c r="H6076" i="7"/>
  <c r="H6077" i="7"/>
  <c r="H6078" i="7"/>
  <c r="H6079" i="7"/>
  <c r="H6080" i="7"/>
  <c r="H6081" i="7"/>
  <c r="H6082" i="7"/>
  <c r="H6083" i="7"/>
  <c r="H6084" i="7"/>
  <c r="H6085" i="7"/>
  <c r="H6086" i="7"/>
  <c r="H6087" i="7"/>
  <c r="H6088" i="7"/>
  <c r="H6089" i="7"/>
  <c r="H6090" i="7"/>
  <c r="H6091" i="7"/>
  <c r="H6092" i="7"/>
  <c r="H6093" i="7"/>
  <c r="H6094" i="7"/>
  <c r="H6095" i="7"/>
  <c r="H6096" i="7"/>
  <c r="H6097" i="7"/>
  <c r="H6098" i="7"/>
  <c r="H6099" i="7"/>
  <c r="H6100" i="7"/>
  <c r="H6101" i="7"/>
  <c r="H6102" i="7"/>
  <c r="H6103" i="7"/>
  <c r="H6104" i="7"/>
  <c r="H6105" i="7"/>
  <c r="H6106" i="7"/>
  <c r="H6107" i="7"/>
  <c r="H6108" i="7"/>
  <c r="H6109" i="7"/>
  <c r="H6110" i="7"/>
  <c r="H6111" i="7"/>
  <c r="H6112" i="7"/>
  <c r="H6113" i="7"/>
  <c r="H6114" i="7"/>
  <c r="H6115" i="7"/>
  <c r="H6116" i="7"/>
  <c r="H6117" i="7"/>
  <c r="H6118" i="7"/>
  <c r="H6119" i="7"/>
  <c r="H6120" i="7"/>
  <c r="H6121" i="7"/>
  <c r="H6122" i="7"/>
  <c r="H6123" i="7"/>
  <c r="H6124" i="7"/>
  <c r="H6125" i="7"/>
  <c r="H6126" i="7"/>
  <c r="H6127" i="7"/>
  <c r="H6128" i="7"/>
  <c r="H6129" i="7"/>
  <c r="H6130" i="7"/>
  <c r="H6131" i="7"/>
  <c r="H6132" i="7"/>
  <c r="H6133" i="7"/>
  <c r="H6134" i="7"/>
  <c r="H6135" i="7"/>
  <c r="H6136" i="7"/>
  <c r="H6137" i="7"/>
  <c r="H6138" i="7"/>
  <c r="H6139" i="7"/>
  <c r="H6140" i="7"/>
  <c r="H6141" i="7"/>
  <c r="H6142" i="7"/>
  <c r="H6143" i="7"/>
  <c r="H6144" i="7"/>
  <c r="H6145" i="7"/>
  <c r="H6146" i="7"/>
  <c r="H6147" i="7"/>
  <c r="H6148" i="7"/>
  <c r="H6149" i="7"/>
  <c r="H6150" i="7"/>
  <c r="H6151" i="7"/>
  <c r="H6152" i="7"/>
  <c r="H6153" i="7"/>
  <c r="H6154" i="7"/>
  <c r="H6155" i="7"/>
  <c r="H6156" i="7"/>
  <c r="H6157" i="7"/>
  <c r="H6158" i="7"/>
  <c r="H6159" i="7"/>
  <c r="H6160" i="7"/>
  <c r="H6161" i="7"/>
  <c r="H6162" i="7"/>
  <c r="H6163" i="7"/>
  <c r="H6164" i="7"/>
  <c r="H6165" i="7"/>
  <c r="H6166" i="7"/>
  <c r="H6167" i="7"/>
  <c r="H6168" i="7"/>
  <c r="H6169" i="7"/>
  <c r="H6170" i="7"/>
  <c r="H6171" i="7"/>
  <c r="H6172" i="7"/>
  <c r="H6173" i="7"/>
  <c r="H6174" i="7"/>
  <c r="H6175" i="7"/>
  <c r="H6176" i="7"/>
  <c r="H6177" i="7"/>
  <c r="H6178" i="7"/>
  <c r="H6179" i="7"/>
  <c r="H6180" i="7"/>
  <c r="H6181" i="7"/>
  <c r="H6182" i="7"/>
  <c r="H6183" i="7"/>
  <c r="H6184" i="7"/>
  <c r="H6185" i="7"/>
  <c r="H6186" i="7"/>
  <c r="H6187" i="7"/>
  <c r="H6188" i="7"/>
  <c r="H6189" i="7"/>
  <c r="H6190" i="7"/>
  <c r="H6191" i="7"/>
  <c r="H6192" i="7"/>
  <c r="H6193" i="7"/>
  <c r="H6194" i="7"/>
  <c r="H6195" i="7"/>
  <c r="H6196" i="7"/>
  <c r="H6197" i="7"/>
  <c r="H6198" i="7"/>
  <c r="H6199" i="7"/>
  <c r="H6200" i="7"/>
  <c r="H6201" i="7"/>
  <c r="H6202" i="7"/>
  <c r="H6203" i="7"/>
  <c r="H6204" i="7"/>
  <c r="H6205" i="7"/>
  <c r="H6206" i="7"/>
  <c r="H6207" i="7"/>
  <c r="H6208" i="7"/>
  <c r="H6209" i="7"/>
  <c r="H6210" i="7"/>
  <c r="H6211" i="7"/>
  <c r="H6212" i="7"/>
  <c r="H6213" i="7"/>
  <c r="H6214" i="7"/>
  <c r="H6215" i="7"/>
  <c r="H6216" i="7"/>
  <c r="H6217" i="7"/>
  <c r="H6218" i="7"/>
  <c r="H6219" i="7"/>
  <c r="H6220" i="7"/>
  <c r="H6221" i="7"/>
  <c r="H6222" i="7"/>
  <c r="H6223" i="7"/>
  <c r="H6224" i="7"/>
  <c r="H6225" i="7"/>
  <c r="H6226" i="7"/>
  <c r="H6227" i="7"/>
  <c r="H6228" i="7"/>
  <c r="H6229" i="7"/>
  <c r="H6230" i="7"/>
  <c r="H6231" i="7"/>
  <c r="H6232" i="7"/>
  <c r="H6233" i="7"/>
  <c r="H6234" i="7"/>
  <c r="H6235" i="7"/>
  <c r="H6236" i="7"/>
  <c r="H6237" i="7"/>
  <c r="H6238" i="7"/>
  <c r="H6239" i="7"/>
  <c r="H6240" i="7"/>
  <c r="H6241" i="7"/>
  <c r="H6242" i="7"/>
  <c r="H6243" i="7"/>
  <c r="H6244" i="7"/>
  <c r="H6245" i="7"/>
  <c r="H6246" i="7"/>
  <c r="H6247" i="7"/>
  <c r="H6248" i="7"/>
  <c r="H6249" i="7"/>
  <c r="H6250" i="7"/>
  <c r="H6251" i="7"/>
  <c r="H6252" i="7"/>
  <c r="H6253" i="7"/>
  <c r="H6254" i="7"/>
  <c r="H6255" i="7"/>
  <c r="H6256" i="7"/>
  <c r="H6257" i="7"/>
  <c r="H6258" i="7"/>
  <c r="H6259" i="7"/>
  <c r="H6260" i="7"/>
  <c r="H6261" i="7"/>
  <c r="H6262" i="7"/>
  <c r="H6263" i="7"/>
  <c r="H6264" i="7"/>
  <c r="H6265" i="7"/>
  <c r="H6266" i="7"/>
  <c r="H6267" i="7"/>
  <c r="H6268" i="7"/>
  <c r="H6269" i="7"/>
  <c r="H6270" i="7"/>
  <c r="H6271" i="7"/>
  <c r="H6272" i="7"/>
  <c r="H6273" i="7"/>
  <c r="H6274" i="7"/>
  <c r="H6275" i="7"/>
  <c r="H6276" i="7"/>
  <c r="H6277" i="7"/>
  <c r="H6278" i="7"/>
  <c r="H6279" i="7"/>
  <c r="H6280" i="7"/>
  <c r="H6281" i="7"/>
  <c r="H6282" i="7"/>
  <c r="H6283" i="7"/>
  <c r="H6284" i="7"/>
  <c r="H6285" i="7"/>
  <c r="H6286" i="7"/>
  <c r="H6287" i="7"/>
  <c r="H6288" i="7"/>
  <c r="H6289" i="7"/>
  <c r="H6290" i="7"/>
  <c r="H6291" i="7"/>
  <c r="H6292" i="7"/>
  <c r="H6293" i="7"/>
  <c r="H6294" i="7"/>
  <c r="H6295" i="7"/>
  <c r="H6296" i="7"/>
  <c r="H6297" i="7"/>
  <c r="H6298" i="7"/>
  <c r="H6299" i="7"/>
  <c r="H6300" i="7"/>
  <c r="H6301" i="7"/>
  <c r="H6302" i="7"/>
  <c r="H6303" i="7"/>
  <c r="H6304" i="7"/>
  <c r="H6305" i="7"/>
  <c r="H6306" i="7"/>
  <c r="H6307" i="7"/>
  <c r="H6308" i="7"/>
  <c r="H6309" i="7"/>
  <c r="H6310" i="7"/>
  <c r="H6311" i="7"/>
  <c r="H6312" i="7"/>
  <c r="H6313" i="7"/>
  <c r="H6314" i="7"/>
  <c r="H6315" i="7"/>
  <c r="H6316" i="7"/>
  <c r="H6317" i="7"/>
  <c r="H6318" i="7"/>
  <c r="H6319" i="7"/>
  <c r="H6320" i="7"/>
  <c r="H6321" i="7"/>
  <c r="H6322" i="7"/>
  <c r="H6323" i="7"/>
  <c r="H6324" i="7"/>
  <c r="H6325" i="7"/>
  <c r="H6326" i="7"/>
  <c r="H6327" i="7"/>
  <c r="H6328" i="7"/>
  <c r="H6329" i="7"/>
  <c r="H6330" i="7"/>
  <c r="H6331" i="7"/>
  <c r="H6332" i="7"/>
  <c r="H6333" i="7"/>
  <c r="H6334" i="7"/>
  <c r="H6335" i="7"/>
  <c r="H6336" i="7"/>
  <c r="H6337" i="7"/>
  <c r="H6338" i="7"/>
  <c r="H6339" i="7"/>
  <c r="H6340" i="7"/>
  <c r="H6341" i="7"/>
  <c r="H6342" i="7"/>
  <c r="H6343" i="7"/>
  <c r="H6344" i="7"/>
  <c r="H6345" i="7"/>
  <c r="H6346" i="7"/>
  <c r="H6347" i="7"/>
  <c r="H6348" i="7"/>
  <c r="H6349" i="7"/>
  <c r="H6350" i="7"/>
  <c r="H6351" i="7"/>
  <c r="H6352" i="7"/>
  <c r="H6353" i="7"/>
  <c r="H6354" i="7"/>
  <c r="H6355" i="7"/>
  <c r="H6356" i="7"/>
  <c r="H6357" i="7"/>
  <c r="H6358" i="7"/>
  <c r="H6359" i="7"/>
  <c r="H6360" i="7"/>
  <c r="H6361" i="7"/>
  <c r="H6362" i="7"/>
  <c r="H6363" i="7"/>
  <c r="H6364" i="7"/>
  <c r="H6365" i="7"/>
  <c r="H6366" i="7"/>
  <c r="H6367" i="7"/>
  <c r="H6368" i="7"/>
  <c r="H6369" i="7"/>
  <c r="H6370" i="7"/>
  <c r="H6371" i="7"/>
  <c r="H6372" i="7"/>
  <c r="H6373" i="7"/>
  <c r="H6374" i="7"/>
  <c r="H6375" i="7"/>
  <c r="H6376" i="7"/>
  <c r="H6377" i="7"/>
  <c r="H6378" i="7"/>
  <c r="H6379" i="7"/>
  <c r="H6380" i="7"/>
  <c r="H6381" i="7"/>
  <c r="H6382" i="7"/>
  <c r="H6383" i="7"/>
  <c r="H6384" i="7"/>
  <c r="H6385" i="7"/>
  <c r="H6386" i="7"/>
  <c r="H6387" i="7"/>
  <c r="H6388" i="7"/>
  <c r="H6389" i="7"/>
  <c r="H6390" i="7"/>
  <c r="H6391" i="7"/>
  <c r="H6392" i="7"/>
  <c r="H6393" i="7"/>
  <c r="H6394" i="7"/>
  <c r="H6395" i="7"/>
  <c r="H6396" i="7"/>
  <c r="H6397" i="7"/>
  <c r="H6398" i="7"/>
  <c r="H6399" i="7"/>
  <c r="H6400" i="7"/>
  <c r="H6401" i="7"/>
  <c r="H6402" i="7"/>
  <c r="H6403" i="7"/>
  <c r="H6404" i="7"/>
  <c r="H6405" i="7"/>
  <c r="H6406" i="7"/>
  <c r="H6407" i="7"/>
  <c r="H6408" i="7"/>
  <c r="H6409" i="7"/>
  <c r="H6410" i="7"/>
  <c r="H6411" i="7"/>
  <c r="H6412" i="7"/>
  <c r="H6413" i="7"/>
  <c r="H6414" i="7"/>
  <c r="H6415" i="7"/>
  <c r="H6416" i="7"/>
  <c r="H6417" i="7"/>
  <c r="H6418" i="7"/>
  <c r="H6419" i="7"/>
  <c r="H6420" i="7"/>
  <c r="H6421" i="7"/>
  <c r="H6422" i="7"/>
  <c r="H6423" i="7"/>
  <c r="H6424" i="7"/>
  <c r="H6425" i="7"/>
  <c r="H6426" i="7"/>
  <c r="H6427" i="7"/>
  <c r="H6428" i="7"/>
  <c r="H6429" i="7"/>
  <c r="H6430" i="7"/>
  <c r="H6431" i="7"/>
  <c r="H6432" i="7"/>
  <c r="H6433" i="7"/>
  <c r="H6434" i="7"/>
  <c r="H6435" i="7"/>
  <c r="H6436" i="7"/>
  <c r="H6437" i="7"/>
  <c r="H6438" i="7"/>
  <c r="H6439" i="7"/>
  <c r="H6440" i="7"/>
  <c r="H6441" i="7"/>
  <c r="H6442" i="7"/>
  <c r="H6443" i="7"/>
  <c r="H6444" i="7"/>
  <c r="H6445" i="7"/>
  <c r="H6446" i="7"/>
  <c r="H6447" i="7"/>
  <c r="H6448" i="7"/>
  <c r="H6449" i="7"/>
  <c r="H6450" i="7"/>
  <c r="H6451" i="7"/>
  <c r="H6452" i="7"/>
  <c r="H6453" i="7"/>
  <c r="H6454" i="7"/>
  <c r="H6455" i="7"/>
  <c r="H6456" i="7"/>
  <c r="H6457" i="7"/>
  <c r="H6458" i="7"/>
  <c r="H6459" i="7"/>
  <c r="H6460" i="7"/>
  <c r="H6461" i="7"/>
  <c r="H6462" i="7"/>
  <c r="H6463" i="7"/>
  <c r="H6464" i="7"/>
  <c r="H6465" i="7"/>
  <c r="H6466" i="7"/>
  <c r="H6467" i="7"/>
  <c r="H6468" i="7"/>
  <c r="H6469" i="7"/>
  <c r="H6470" i="7"/>
  <c r="H6471" i="7"/>
  <c r="H6472" i="7"/>
  <c r="H6473" i="7"/>
  <c r="H6474" i="7"/>
  <c r="H6475" i="7"/>
  <c r="H6476" i="7"/>
  <c r="H6477" i="7"/>
  <c r="H6478" i="7"/>
  <c r="H6479" i="7"/>
  <c r="H6480" i="7"/>
  <c r="H6481" i="7"/>
  <c r="H6482" i="7"/>
  <c r="H6483" i="7"/>
  <c r="H6484" i="7"/>
  <c r="H6485" i="7"/>
  <c r="H6486" i="7"/>
  <c r="H6487" i="7"/>
  <c r="H6488" i="7"/>
  <c r="H6489" i="7"/>
  <c r="H6490" i="7"/>
  <c r="H6491" i="7"/>
  <c r="H6492" i="7"/>
  <c r="H6493" i="7"/>
  <c r="H6494" i="7"/>
  <c r="H6495" i="7"/>
  <c r="H6496" i="7"/>
  <c r="H6497" i="7"/>
  <c r="H6498" i="7"/>
  <c r="H6499" i="7"/>
  <c r="H6500" i="7"/>
  <c r="H6501" i="7"/>
  <c r="H6502" i="7"/>
  <c r="H6503" i="7"/>
  <c r="H6504" i="7"/>
  <c r="H6505" i="7"/>
  <c r="H6506" i="7"/>
  <c r="H6507" i="7"/>
  <c r="H6508" i="7"/>
  <c r="H6509" i="7"/>
  <c r="H6510" i="7"/>
  <c r="H6511" i="7"/>
  <c r="H6512" i="7"/>
  <c r="H6513" i="7"/>
  <c r="H6514" i="7"/>
  <c r="H6515" i="7"/>
  <c r="H6516" i="7"/>
  <c r="H6517" i="7"/>
  <c r="H6518" i="7"/>
  <c r="H6519" i="7"/>
  <c r="H6520" i="7"/>
  <c r="H6521" i="7"/>
  <c r="H6522" i="7"/>
  <c r="H6523" i="7"/>
  <c r="H6524" i="7"/>
  <c r="H6525" i="7"/>
  <c r="H6526" i="7"/>
  <c r="H6527" i="7"/>
  <c r="H6528" i="7"/>
  <c r="H6529" i="7"/>
  <c r="H6530" i="7"/>
  <c r="H6531" i="7"/>
  <c r="H6532" i="7"/>
  <c r="H6533" i="7"/>
  <c r="H6534" i="7"/>
  <c r="H6535" i="7"/>
  <c r="H6536" i="7"/>
  <c r="H6537" i="7"/>
  <c r="H6538" i="7"/>
  <c r="H6539" i="7"/>
  <c r="H6540" i="7"/>
  <c r="H6541" i="7"/>
  <c r="H6542" i="7"/>
  <c r="H6543" i="7"/>
  <c r="H6544" i="7"/>
  <c r="H6545" i="7"/>
  <c r="H6546" i="7"/>
  <c r="H6547" i="7"/>
  <c r="H6548" i="7"/>
  <c r="H6549" i="7"/>
  <c r="H6550" i="7"/>
  <c r="H6551" i="7"/>
  <c r="H6552" i="7"/>
  <c r="H6553" i="7"/>
  <c r="H6554" i="7"/>
  <c r="H6555" i="7"/>
  <c r="H6556" i="7"/>
  <c r="H6557" i="7"/>
  <c r="H6558" i="7"/>
  <c r="H6559" i="7"/>
  <c r="H6560" i="7"/>
  <c r="H6561" i="7"/>
  <c r="H6562" i="7"/>
  <c r="H6563" i="7"/>
  <c r="H6564" i="7"/>
  <c r="H6565" i="7"/>
  <c r="H6566" i="7"/>
  <c r="H6567" i="7"/>
  <c r="H6568" i="7"/>
  <c r="H6569" i="7"/>
  <c r="H6570" i="7"/>
  <c r="H6571" i="7"/>
  <c r="H6572" i="7"/>
  <c r="H6573" i="7"/>
  <c r="H6574" i="7"/>
  <c r="H6575" i="7"/>
  <c r="H6576" i="7"/>
  <c r="H6577" i="7"/>
  <c r="H6578" i="7"/>
  <c r="H6579" i="7"/>
  <c r="H6580" i="7"/>
  <c r="H6581" i="7"/>
  <c r="H6582" i="7"/>
  <c r="H6583" i="7"/>
  <c r="H6584" i="7"/>
  <c r="H6585" i="7"/>
  <c r="H6586" i="7"/>
  <c r="H6587" i="7"/>
  <c r="H6588" i="7"/>
  <c r="H6589" i="7"/>
  <c r="H6590" i="7"/>
  <c r="H6591" i="7"/>
  <c r="H6592" i="7"/>
  <c r="H6593" i="7"/>
  <c r="H6594" i="7"/>
  <c r="H6595" i="7"/>
  <c r="H6596" i="7"/>
  <c r="H6597" i="7"/>
  <c r="H6598" i="7"/>
  <c r="H6599" i="7"/>
  <c r="H6600" i="7"/>
  <c r="H6601" i="7"/>
  <c r="H6602" i="7"/>
  <c r="H6603" i="7"/>
  <c r="H6604" i="7"/>
  <c r="H6605" i="7"/>
  <c r="H6606" i="7"/>
  <c r="H6607" i="7"/>
  <c r="H6608" i="7"/>
  <c r="H6609" i="7"/>
  <c r="H6610" i="7"/>
  <c r="H6611" i="7"/>
  <c r="H6612" i="7"/>
  <c r="H6613" i="7"/>
  <c r="H6614" i="7"/>
  <c r="H6615" i="7"/>
  <c r="H6616" i="7"/>
  <c r="H6617" i="7"/>
  <c r="H6618" i="7"/>
  <c r="H6619" i="7"/>
  <c r="H6620" i="7"/>
  <c r="H6621" i="7"/>
  <c r="H6622" i="7"/>
  <c r="H6623" i="7"/>
  <c r="H6624" i="7"/>
  <c r="H6625" i="7"/>
  <c r="H6626" i="7"/>
  <c r="H6627" i="7"/>
  <c r="H6628" i="7"/>
  <c r="H6629" i="7"/>
  <c r="H6630" i="7"/>
  <c r="H6631" i="7"/>
  <c r="H6632" i="7"/>
  <c r="H6633" i="7"/>
  <c r="H6634" i="7"/>
  <c r="H6635" i="7"/>
  <c r="H6636" i="7"/>
  <c r="H6637" i="7"/>
  <c r="H6638" i="7"/>
  <c r="H6639" i="7"/>
  <c r="H6640" i="7"/>
  <c r="H6641" i="7"/>
  <c r="H6642" i="7"/>
  <c r="H6643" i="7"/>
  <c r="H6644" i="7"/>
  <c r="H6645" i="7"/>
  <c r="H6646" i="7"/>
  <c r="H6647" i="7"/>
  <c r="H6648" i="7"/>
  <c r="H6649" i="7"/>
  <c r="H6650" i="7"/>
  <c r="H6651" i="7"/>
  <c r="H6652" i="7"/>
  <c r="H6653" i="7"/>
  <c r="H6654" i="7"/>
  <c r="H6655" i="7"/>
  <c r="H6656" i="7"/>
  <c r="H6657" i="7"/>
  <c r="H6658" i="7"/>
  <c r="H6659" i="7"/>
  <c r="H6660" i="7"/>
  <c r="H6661" i="7"/>
  <c r="H6662" i="7"/>
  <c r="H6663" i="7"/>
  <c r="H6664" i="7"/>
  <c r="H6665" i="7"/>
  <c r="H6666" i="7"/>
  <c r="H6667" i="7"/>
  <c r="H6668" i="7"/>
  <c r="H6669" i="7"/>
  <c r="H6670" i="7"/>
  <c r="H6671" i="7"/>
  <c r="H6672" i="7"/>
  <c r="H6673" i="7"/>
  <c r="H6674" i="7"/>
  <c r="H6675" i="7"/>
  <c r="H6676" i="7"/>
  <c r="H6677" i="7"/>
  <c r="H6678" i="7"/>
  <c r="H6679" i="7"/>
  <c r="H6680" i="7"/>
  <c r="H6681" i="7"/>
  <c r="H6682" i="7"/>
  <c r="H6683" i="7"/>
  <c r="H6684" i="7"/>
  <c r="H6685" i="7"/>
  <c r="H6686" i="7"/>
  <c r="H6687" i="7"/>
  <c r="H6688" i="7"/>
  <c r="H6689" i="7"/>
  <c r="H6690" i="7"/>
  <c r="H6691" i="7"/>
  <c r="H6692" i="7"/>
  <c r="H6693" i="7"/>
  <c r="H6694" i="7"/>
  <c r="H6695" i="7"/>
  <c r="H6696" i="7"/>
  <c r="H6697" i="7"/>
  <c r="H6698" i="7"/>
  <c r="H6699" i="7"/>
  <c r="H6700" i="7"/>
  <c r="H6701" i="7"/>
  <c r="H6702" i="7"/>
  <c r="H6703" i="7"/>
  <c r="H6704" i="7"/>
  <c r="H6705" i="7"/>
  <c r="H6706" i="7"/>
  <c r="H6707" i="7"/>
  <c r="H6708" i="7"/>
  <c r="H6709" i="7"/>
  <c r="H6710" i="7"/>
  <c r="H6711" i="7"/>
  <c r="H6712" i="7"/>
  <c r="H6713" i="7"/>
  <c r="H6714" i="7"/>
  <c r="H6715" i="7"/>
  <c r="H6716" i="7"/>
  <c r="H6717" i="7"/>
  <c r="H6718" i="7"/>
  <c r="H6719" i="7"/>
  <c r="H6720" i="7"/>
  <c r="H6721" i="7"/>
  <c r="H6722" i="7"/>
  <c r="H6723" i="7"/>
  <c r="H6724" i="7"/>
  <c r="H6725" i="7"/>
  <c r="H6726" i="7"/>
  <c r="H6727" i="7"/>
  <c r="H6728" i="7"/>
  <c r="H6729" i="7"/>
  <c r="H6730" i="7"/>
  <c r="H6731" i="7"/>
  <c r="H6732" i="7"/>
  <c r="H6733" i="7"/>
  <c r="H6734" i="7"/>
  <c r="H6735" i="7"/>
  <c r="H6736" i="7"/>
  <c r="H6737" i="7"/>
  <c r="H6738" i="7"/>
  <c r="H6739" i="7"/>
  <c r="H6740" i="7"/>
  <c r="H6741" i="7"/>
  <c r="H6742" i="7"/>
  <c r="H6743" i="7"/>
  <c r="H6744" i="7"/>
  <c r="H6745" i="7"/>
  <c r="H6746" i="7"/>
  <c r="H6747" i="7"/>
  <c r="H6748" i="7"/>
  <c r="H6749" i="7"/>
  <c r="H6750" i="7"/>
  <c r="H6751" i="7"/>
  <c r="H6752" i="7"/>
  <c r="H6753" i="7"/>
  <c r="H6754" i="7"/>
  <c r="H6755" i="7"/>
  <c r="H6756" i="7"/>
  <c r="H6757" i="7"/>
  <c r="H6758" i="7"/>
  <c r="H6759" i="7"/>
  <c r="H6760" i="7"/>
  <c r="H6761" i="7"/>
  <c r="H6762" i="7"/>
  <c r="H6763" i="7"/>
  <c r="H6764" i="7"/>
  <c r="H6765" i="7"/>
  <c r="H6766" i="7"/>
  <c r="H6767" i="7"/>
  <c r="H6768" i="7"/>
  <c r="H6769" i="7"/>
  <c r="H6770" i="7"/>
  <c r="H6771" i="7"/>
  <c r="H6772" i="7"/>
  <c r="H6773" i="7"/>
  <c r="H6774" i="7"/>
  <c r="H6775" i="7"/>
  <c r="H6776" i="7"/>
  <c r="H6777" i="7"/>
  <c r="H6778" i="7"/>
  <c r="H6779" i="7"/>
  <c r="H6780" i="7"/>
  <c r="H6781" i="7"/>
  <c r="H6782" i="7"/>
  <c r="H6783" i="7"/>
  <c r="H6784" i="7"/>
  <c r="H6785" i="7"/>
  <c r="H6786" i="7"/>
  <c r="H6787" i="7"/>
  <c r="H6788" i="7"/>
  <c r="H6789" i="7"/>
  <c r="H6790" i="7"/>
  <c r="H6791" i="7"/>
  <c r="H6792" i="7"/>
  <c r="H6793" i="7"/>
  <c r="H6794" i="7"/>
  <c r="H6795" i="7"/>
  <c r="H6796" i="7"/>
  <c r="H6797" i="7"/>
  <c r="H6798" i="7"/>
  <c r="H6799" i="7"/>
  <c r="H6800" i="7"/>
  <c r="H6801" i="7"/>
  <c r="H6802" i="7"/>
  <c r="H6803" i="7"/>
  <c r="H6804" i="7"/>
  <c r="H6805" i="7"/>
  <c r="H6806" i="7"/>
  <c r="H6807" i="7"/>
  <c r="H6808" i="7"/>
  <c r="H6809" i="7"/>
  <c r="H6810" i="7"/>
  <c r="H6811" i="7"/>
  <c r="H6812" i="7"/>
  <c r="H6813" i="7"/>
  <c r="H6814" i="7"/>
  <c r="H6815" i="7"/>
  <c r="H6816" i="7"/>
  <c r="H6817" i="7"/>
  <c r="H6818" i="7"/>
  <c r="H6819" i="7"/>
  <c r="H6820" i="7"/>
  <c r="H6821" i="7"/>
  <c r="H6822" i="7"/>
  <c r="H6823" i="7"/>
  <c r="H6824" i="7"/>
  <c r="H6825" i="7"/>
  <c r="H6826" i="7"/>
  <c r="H6827" i="7"/>
  <c r="H6828" i="7"/>
  <c r="H6829" i="7"/>
  <c r="H6830" i="7"/>
  <c r="H6831" i="7"/>
  <c r="H6832" i="7"/>
  <c r="H6833" i="7"/>
  <c r="H6834" i="7"/>
  <c r="H6835" i="7"/>
  <c r="H6836" i="7"/>
  <c r="H6837" i="7"/>
  <c r="H6838" i="7"/>
  <c r="H6839" i="7"/>
  <c r="H6840" i="7"/>
  <c r="H6841" i="7"/>
  <c r="H6842" i="7"/>
  <c r="H6843" i="7"/>
  <c r="H6844" i="7"/>
  <c r="H6845" i="7"/>
  <c r="H6846" i="7"/>
  <c r="H6847" i="7"/>
  <c r="H6848" i="7"/>
  <c r="H6849" i="7"/>
  <c r="H6850" i="7"/>
  <c r="H6851" i="7"/>
  <c r="H6852" i="7"/>
  <c r="H6853" i="7"/>
  <c r="H6854" i="7"/>
  <c r="H6855" i="7"/>
  <c r="H6856" i="7"/>
  <c r="H6857" i="7"/>
  <c r="H6858" i="7"/>
  <c r="H6859" i="7"/>
  <c r="H6860" i="7"/>
  <c r="H6861" i="7"/>
  <c r="H6862" i="7"/>
  <c r="H6863" i="7"/>
  <c r="H6864" i="7"/>
  <c r="H6865" i="7"/>
  <c r="H6866" i="7"/>
  <c r="H6867" i="7"/>
  <c r="H6868" i="7"/>
  <c r="H6869" i="7"/>
  <c r="H6870" i="7"/>
  <c r="H6871" i="7"/>
  <c r="H6872" i="7"/>
  <c r="H6873" i="7"/>
  <c r="H6874" i="7"/>
  <c r="H6875" i="7"/>
  <c r="H6876" i="7"/>
  <c r="H6877" i="7"/>
  <c r="H6878" i="7"/>
  <c r="H6879" i="7"/>
  <c r="H6880" i="7"/>
  <c r="H6881" i="7"/>
  <c r="H6882" i="7"/>
  <c r="H6883" i="7"/>
  <c r="H6884" i="7"/>
  <c r="H6885" i="7"/>
  <c r="H6886" i="7"/>
  <c r="H6887" i="7"/>
  <c r="H6888" i="7"/>
  <c r="H6889" i="7"/>
  <c r="H6890" i="7"/>
  <c r="H6891" i="7"/>
  <c r="H6892" i="7"/>
  <c r="H6893" i="7"/>
  <c r="H6894" i="7"/>
  <c r="H6895" i="7"/>
  <c r="H6896" i="7"/>
  <c r="H6897" i="7"/>
  <c r="H6898" i="7"/>
  <c r="H6899" i="7"/>
  <c r="H6900" i="7"/>
  <c r="H6901" i="7"/>
  <c r="H6902" i="7"/>
  <c r="H6903" i="7"/>
  <c r="H6904" i="7"/>
  <c r="H6905" i="7"/>
  <c r="H6906" i="7"/>
  <c r="H6907" i="7"/>
  <c r="H6908" i="7"/>
  <c r="H6909" i="7"/>
  <c r="H6910" i="7"/>
  <c r="H6911" i="7"/>
  <c r="H6912" i="7"/>
  <c r="H6913" i="7"/>
  <c r="H6914" i="7"/>
  <c r="H6915" i="7"/>
  <c r="H6916" i="7"/>
  <c r="H6917" i="7"/>
  <c r="H6918" i="7"/>
  <c r="H6919" i="7"/>
  <c r="H6920" i="7"/>
  <c r="H6921" i="7"/>
  <c r="H6922" i="7"/>
  <c r="H6923" i="7"/>
  <c r="H6924" i="7"/>
  <c r="H6925" i="7"/>
  <c r="H6926" i="7"/>
  <c r="H6927" i="7"/>
  <c r="H6928" i="7"/>
  <c r="H6929" i="7"/>
  <c r="H6930" i="7"/>
  <c r="H6931" i="7"/>
  <c r="H6932" i="7"/>
  <c r="H6933" i="7"/>
  <c r="H6934" i="7"/>
  <c r="H6935" i="7"/>
  <c r="H6936" i="7"/>
  <c r="H6937" i="7"/>
  <c r="H6938" i="7"/>
  <c r="H6939" i="7"/>
  <c r="H6940" i="7"/>
  <c r="H6941" i="7"/>
  <c r="H6942" i="7"/>
  <c r="H6943" i="7"/>
  <c r="H6944" i="7"/>
  <c r="H6945" i="7"/>
  <c r="H6946" i="7"/>
  <c r="H6947" i="7"/>
  <c r="H6948" i="7"/>
  <c r="H6949" i="7"/>
  <c r="H6950" i="7"/>
  <c r="H6951" i="7"/>
  <c r="H6952" i="7"/>
  <c r="H6953" i="7"/>
  <c r="H6954" i="7"/>
  <c r="H6955" i="7"/>
  <c r="H6956" i="7"/>
  <c r="H6957" i="7"/>
  <c r="H6958" i="7"/>
  <c r="H6959" i="7"/>
  <c r="H6960" i="7"/>
  <c r="H6961" i="7"/>
  <c r="H6962" i="7"/>
  <c r="H6963" i="7"/>
  <c r="H6964" i="7"/>
  <c r="H6965" i="7"/>
  <c r="H6966" i="7"/>
  <c r="H6967" i="7"/>
  <c r="H6968" i="7"/>
  <c r="H6969" i="7"/>
  <c r="H6970" i="7"/>
  <c r="H6971" i="7"/>
  <c r="H6972" i="7"/>
  <c r="H6973" i="7"/>
  <c r="H6974" i="7"/>
  <c r="H6975" i="7"/>
  <c r="H6976" i="7"/>
  <c r="H6977" i="7"/>
  <c r="H6978" i="7"/>
  <c r="H6979" i="7"/>
  <c r="H6980" i="7"/>
  <c r="H6981" i="7"/>
  <c r="H6982" i="7"/>
  <c r="H6983" i="7"/>
  <c r="H6984" i="7"/>
  <c r="H6985" i="7"/>
  <c r="H6986" i="7"/>
  <c r="H6987" i="7"/>
  <c r="H6988" i="7"/>
  <c r="H6989" i="7"/>
  <c r="H6990" i="7"/>
  <c r="H6991" i="7"/>
  <c r="H6992" i="7"/>
  <c r="H6993" i="7"/>
  <c r="H6994" i="7"/>
  <c r="H6995" i="7"/>
  <c r="H6996" i="7"/>
  <c r="H6997" i="7"/>
  <c r="H6998" i="7"/>
  <c r="H6999" i="7"/>
  <c r="H7000" i="7"/>
  <c r="H7001" i="7"/>
  <c r="H7002" i="7"/>
  <c r="H7003" i="7"/>
  <c r="H7004" i="7"/>
  <c r="H7005" i="7"/>
  <c r="H7006" i="7"/>
  <c r="H7007" i="7"/>
  <c r="H7008" i="7"/>
  <c r="H7009" i="7"/>
  <c r="H7010" i="7"/>
  <c r="H7011" i="7"/>
  <c r="H7012" i="7"/>
  <c r="H7013" i="7"/>
  <c r="H7014" i="7"/>
  <c r="H7015" i="7"/>
  <c r="H7016" i="7"/>
  <c r="H7017" i="7"/>
  <c r="H7018" i="7"/>
  <c r="H7019" i="7"/>
  <c r="H7020" i="7"/>
  <c r="H7021" i="7"/>
  <c r="H7022" i="7"/>
  <c r="H7023" i="7"/>
  <c r="H7024" i="7"/>
  <c r="H7025" i="7"/>
  <c r="H7026" i="7"/>
  <c r="H7027" i="7"/>
  <c r="H7028" i="7"/>
  <c r="H7029" i="7"/>
  <c r="H7030" i="7"/>
  <c r="H7031" i="7"/>
  <c r="H7032" i="7"/>
  <c r="H7033" i="7"/>
  <c r="H7034" i="7"/>
  <c r="H7035" i="7"/>
  <c r="H7036" i="7"/>
  <c r="H7037" i="7"/>
  <c r="H7038" i="7"/>
  <c r="H7039" i="7"/>
  <c r="H7040" i="7"/>
  <c r="H7041" i="7"/>
  <c r="H7042" i="7"/>
  <c r="H7043" i="7"/>
  <c r="H7044" i="7"/>
  <c r="H7045" i="7"/>
  <c r="H7046" i="7"/>
  <c r="H7047" i="7"/>
  <c r="H7048" i="7"/>
  <c r="H7049" i="7"/>
  <c r="H7050" i="7"/>
  <c r="H7051" i="7"/>
  <c r="H7052" i="7"/>
  <c r="H7053" i="7"/>
  <c r="H7054" i="7"/>
  <c r="H7055" i="7"/>
  <c r="H7056" i="7"/>
  <c r="H7057" i="7"/>
  <c r="H7058" i="7"/>
  <c r="H7059" i="7"/>
  <c r="H7060" i="7"/>
  <c r="H7061" i="7"/>
  <c r="H7062" i="7"/>
  <c r="H7063" i="7"/>
  <c r="H7064" i="7"/>
  <c r="H7065" i="7"/>
  <c r="H7066" i="7"/>
  <c r="H7067" i="7"/>
  <c r="H7068" i="7"/>
  <c r="H7069" i="7"/>
  <c r="H7070" i="7"/>
  <c r="H7071" i="7"/>
  <c r="H7072" i="7"/>
  <c r="H7073" i="7"/>
  <c r="H7074" i="7"/>
  <c r="H7075" i="7"/>
  <c r="H7076" i="7"/>
  <c r="H7077" i="7"/>
  <c r="H7078" i="7"/>
  <c r="H7079" i="7"/>
  <c r="H7080" i="7"/>
  <c r="H7081" i="7"/>
  <c r="H7082" i="7"/>
  <c r="H7083" i="7"/>
  <c r="H7084" i="7"/>
  <c r="H7085" i="7"/>
  <c r="H7086" i="7"/>
  <c r="H7087" i="7"/>
  <c r="H7088" i="7"/>
  <c r="H7089" i="7"/>
  <c r="H7090" i="7"/>
  <c r="H7091" i="7"/>
  <c r="H7092" i="7"/>
  <c r="H7093" i="7"/>
  <c r="H7094" i="7"/>
  <c r="H7095" i="7"/>
  <c r="H7096" i="7"/>
  <c r="H7097" i="7"/>
  <c r="H7098" i="7"/>
  <c r="H7099" i="7"/>
  <c r="H7100" i="7"/>
  <c r="H7101" i="7"/>
  <c r="H7102" i="7"/>
  <c r="H7103" i="7"/>
  <c r="H7104" i="7"/>
  <c r="H7105" i="7"/>
  <c r="H7106" i="7"/>
  <c r="H7107" i="7"/>
  <c r="H7108" i="7"/>
  <c r="H7109" i="7"/>
  <c r="H7110" i="7"/>
  <c r="H7111" i="7"/>
  <c r="H7112" i="7"/>
  <c r="H7113" i="7"/>
  <c r="H7114" i="7"/>
  <c r="H7115" i="7"/>
  <c r="H7116" i="7"/>
  <c r="H7117" i="7"/>
  <c r="H7118" i="7"/>
  <c r="H7119" i="7"/>
  <c r="H7120" i="7"/>
  <c r="H7121" i="7"/>
  <c r="H7122" i="7"/>
  <c r="H7123" i="7"/>
  <c r="H7124" i="7"/>
  <c r="H7125" i="7"/>
  <c r="H7126" i="7"/>
  <c r="H7127" i="7"/>
  <c r="H7128" i="7"/>
  <c r="H7129" i="7"/>
  <c r="H7130" i="7"/>
  <c r="H7131" i="7"/>
  <c r="H7132" i="7"/>
  <c r="H7133" i="7"/>
  <c r="H7134" i="7"/>
  <c r="H7135" i="7"/>
  <c r="H7136" i="7"/>
  <c r="H7137" i="7"/>
  <c r="H7138" i="7"/>
  <c r="H7139" i="7"/>
  <c r="H7140" i="7"/>
  <c r="H7141" i="7"/>
  <c r="H7142" i="7"/>
  <c r="H7143" i="7"/>
  <c r="H7144" i="7"/>
  <c r="H7145" i="7"/>
  <c r="H7146" i="7"/>
  <c r="H7147" i="7"/>
  <c r="H7148" i="7"/>
  <c r="H7149" i="7"/>
  <c r="H7150" i="7"/>
  <c r="H7151" i="7"/>
  <c r="H7152" i="7"/>
  <c r="H7153" i="7"/>
  <c r="H7154" i="7"/>
  <c r="H7155" i="7"/>
  <c r="H7156" i="7"/>
  <c r="H7157" i="7"/>
  <c r="H7158" i="7"/>
  <c r="H7159" i="7"/>
  <c r="H7160" i="7"/>
  <c r="H7161" i="7"/>
  <c r="H7162" i="7"/>
  <c r="H7163" i="7"/>
  <c r="H7164" i="7"/>
  <c r="H7165" i="7"/>
  <c r="H7166" i="7"/>
  <c r="H7167" i="7"/>
  <c r="H7168" i="7"/>
  <c r="H7169" i="7"/>
  <c r="H7170" i="7"/>
  <c r="H7171" i="7"/>
  <c r="H7172" i="7"/>
  <c r="H7173" i="7"/>
  <c r="H7174" i="7"/>
  <c r="H7175" i="7"/>
  <c r="H7176" i="7"/>
  <c r="H7177" i="7"/>
  <c r="H7178" i="7"/>
  <c r="H7179" i="7"/>
  <c r="H7180" i="7"/>
  <c r="H7181" i="7"/>
  <c r="H7182" i="7"/>
  <c r="H7183" i="7"/>
  <c r="H7184" i="7"/>
  <c r="H7185" i="7"/>
  <c r="H7186" i="7"/>
  <c r="H7187" i="7"/>
  <c r="H7188" i="7"/>
  <c r="H7189" i="7"/>
  <c r="H7190" i="7"/>
  <c r="H7191" i="7"/>
  <c r="H7192" i="7"/>
  <c r="H7193" i="7"/>
  <c r="H7194" i="7"/>
  <c r="H7195" i="7"/>
  <c r="H7196" i="7"/>
  <c r="H7197" i="7"/>
  <c r="H7198" i="7"/>
  <c r="H7199" i="7"/>
  <c r="H7200" i="7"/>
  <c r="H7201" i="7"/>
  <c r="H7202" i="7"/>
  <c r="H7203" i="7"/>
  <c r="H7204" i="7"/>
  <c r="H7205" i="7"/>
  <c r="H7206" i="7"/>
  <c r="H7207" i="7"/>
  <c r="H7208" i="7"/>
  <c r="H7209" i="7"/>
  <c r="H7210" i="7"/>
  <c r="H7211" i="7"/>
  <c r="H7212" i="7"/>
  <c r="H7213" i="7"/>
  <c r="H7214" i="7"/>
  <c r="H7215" i="7"/>
  <c r="H7216" i="7"/>
  <c r="H7217" i="7"/>
  <c r="H7218" i="7"/>
  <c r="H7219" i="7"/>
  <c r="H7220" i="7"/>
  <c r="H7221" i="7"/>
  <c r="H7222" i="7"/>
  <c r="H7223" i="7"/>
  <c r="H7224" i="7"/>
  <c r="H7225" i="7"/>
  <c r="H7226" i="7"/>
  <c r="H7227" i="7"/>
  <c r="H7228" i="7"/>
  <c r="H7229" i="7"/>
  <c r="H7230" i="7"/>
  <c r="H7231" i="7"/>
  <c r="H7232" i="7"/>
  <c r="H7233" i="7"/>
  <c r="H7234" i="7"/>
  <c r="H7235" i="7"/>
  <c r="H7236" i="7"/>
  <c r="H7237" i="7"/>
  <c r="H7238" i="7"/>
  <c r="H7239" i="7"/>
  <c r="H7240" i="7"/>
  <c r="H7241" i="7"/>
  <c r="H7242" i="7"/>
  <c r="H7243" i="7"/>
  <c r="H7244" i="7"/>
  <c r="H7245" i="7"/>
  <c r="H7246" i="7"/>
  <c r="H7247" i="7"/>
  <c r="H7248" i="7"/>
  <c r="H7249" i="7"/>
  <c r="H7250" i="7"/>
  <c r="H7251" i="7"/>
  <c r="H7252" i="7"/>
  <c r="H7253" i="7"/>
  <c r="H7254" i="7"/>
  <c r="H7255" i="7"/>
  <c r="H7256" i="7"/>
  <c r="H7257" i="7"/>
  <c r="H7258" i="7"/>
  <c r="H7259" i="7"/>
  <c r="H7260" i="7"/>
  <c r="H7261" i="7"/>
  <c r="H7262" i="7"/>
  <c r="H7263" i="7"/>
  <c r="H7264" i="7"/>
  <c r="H7265" i="7"/>
  <c r="H7266" i="7"/>
  <c r="H7267" i="7"/>
  <c r="H7268" i="7"/>
  <c r="H7269" i="7"/>
  <c r="H7270" i="7"/>
  <c r="H7271" i="7"/>
  <c r="H7272" i="7"/>
  <c r="H7273" i="7"/>
  <c r="H7274" i="7"/>
  <c r="H7275" i="7"/>
  <c r="H7276" i="7"/>
  <c r="H7277" i="7"/>
  <c r="H7278" i="7"/>
  <c r="H7279" i="7"/>
  <c r="H7280" i="7"/>
  <c r="H7281" i="7"/>
  <c r="H7282" i="7"/>
  <c r="H7283" i="7"/>
  <c r="H7284" i="7"/>
  <c r="H7285" i="7"/>
  <c r="H7286" i="7"/>
  <c r="H7287" i="7"/>
  <c r="H7288" i="7"/>
  <c r="H7289" i="7"/>
  <c r="H7290" i="7"/>
  <c r="H7291" i="7"/>
  <c r="H7292" i="7"/>
  <c r="H7293" i="7"/>
  <c r="H7294" i="7"/>
  <c r="H7295" i="7"/>
  <c r="H7296" i="7"/>
  <c r="H7297" i="7"/>
  <c r="H7298" i="7"/>
  <c r="H7299" i="7"/>
  <c r="H7300" i="7"/>
  <c r="H7301" i="7"/>
  <c r="H7302" i="7"/>
  <c r="H7303" i="7"/>
  <c r="H7304" i="7"/>
  <c r="H7305" i="7"/>
  <c r="H7306" i="7"/>
  <c r="H7307" i="7"/>
  <c r="H7308" i="7"/>
  <c r="H7309" i="7"/>
  <c r="H7310" i="7"/>
  <c r="H7311" i="7"/>
  <c r="H7312" i="7"/>
  <c r="H7313" i="7"/>
  <c r="H7314" i="7"/>
  <c r="H7315" i="7"/>
  <c r="H7316" i="7"/>
  <c r="H7317" i="7"/>
  <c r="H7318" i="7"/>
  <c r="H7319" i="7"/>
  <c r="H7320" i="7"/>
  <c r="H7321" i="7"/>
  <c r="H7322" i="7"/>
  <c r="H7323" i="7"/>
  <c r="H7324" i="7"/>
  <c r="H7325" i="7"/>
  <c r="H7326" i="7"/>
  <c r="H7327" i="7"/>
  <c r="H7328" i="7"/>
  <c r="H7329" i="7"/>
  <c r="H7330" i="7"/>
  <c r="H7331" i="7"/>
  <c r="H7332" i="7"/>
  <c r="H7333" i="7"/>
  <c r="H7334" i="7"/>
  <c r="H7335" i="7"/>
  <c r="H7336" i="7"/>
  <c r="H7337" i="7"/>
  <c r="H7338" i="7"/>
  <c r="H7339" i="7"/>
  <c r="H7340" i="7"/>
  <c r="H7341" i="7"/>
  <c r="H7342" i="7"/>
  <c r="H7343" i="7"/>
  <c r="H7344" i="7"/>
  <c r="H7345" i="7"/>
  <c r="H7346" i="7"/>
  <c r="H7347" i="7"/>
  <c r="H7348" i="7"/>
  <c r="H7349" i="7"/>
  <c r="H7350" i="7"/>
  <c r="H7351" i="7"/>
  <c r="H7352" i="7"/>
  <c r="H7353" i="7"/>
  <c r="H7354" i="7"/>
  <c r="H7355" i="7"/>
  <c r="H7356" i="7"/>
  <c r="H7357" i="7"/>
  <c r="H7358" i="7"/>
  <c r="H7359" i="7"/>
  <c r="H7360" i="7"/>
  <c r="H7361" i="7"/>
  <c r="H7362" i="7"/>
  <c r="H7363" i="7"/>
  <c r="H7364" i="7"/>
  <c r="H7365" i="7"/>
  <c r="H7366" i="7"/>
  <c r="H7367" i="7"/>
  <c r="H7368" i="7"/>
  <c r="H7369" i="7"/>
  <c r="H7370" i="7"/>
  <c r="H7371" i="7"/>
  <c r="H7372" i="7"/>
  <c r="H7373" i="7"/>
  <c r="H7374" i="7"/>
  <c r="H7375" i="7"/>
  <c r="H7376" i="7"/>
  <c r="H7377" i="7"/>
  <c r="H7378" i="7"/>
  <c r="H7379" i="7"/>
  <c r="H7380" i="7"/>
  <c r="H7381" i="7"/>
  <c r="H7382" i="7"/>
  <c r="H7383" i="7"/>
  <c r="H7384" i="7"/>
  <c r="H7385" i="7"/>
  <c r="H7386" i="7"/>
  <c r="H7387" i="7"/>
  <c r="H7388" i="7"/>
  <c r="H7389" i="7"/>
  <c r="H7390" i="7"/>
  <c r="H7391" i="7"/>
  <c r="H7392" i="7"/>
  <c r="H7393" i="7"/>
  <c r="H7394" i="7"/>
  <c r="H7395" i="7"/>
  <c r="H7396" i="7"/>
  <c r="H7397" i="7"/>
  <c r="H7398" i="7"/>
  <c r="H7399" i="7"/>
  <c r="H7400" i="7"/>
  <c r="H7401" i="7"/>
  <c r="H7402" i="7"/>
  <c r="H7403" i="7"/>
  <c r="H7404" i="7"/>
  <c r="H7405" i="7"/>
  <c r="H7406" i="7"/>
  <c r="H7407" i="7"/>
  <c r="H7408" i="7"/>
  <c r="H7409" i="7"/>
  <c r="H7410" i="7"/>
  <c r="H7411" i="7"/>
  <c r="H7412" i="7"/>
  <c r="H7413" i="7"/>
  <c r="H7414" i="7"/>
  <c r="H7415" i="7"/>
  <c r="H7416" i="7"/>
  <c r="H7417" i="7"/>
  <c r="H7418" i="7"/>
  <c r="H7419" i="7"/>
  <c r="H7420" i="7"/>
  <c r="H7421" i="7"/>
  <c r="H7422" i="7"/>
  <c r="H7423" i="7"/>
  <c r="H7424" i="7"/>
  <c r="H7425" i="7"/>
  <c r="H7426" i="7"/>
  <c r="H7427" i="7"/>
  <c r="H7428" i="7"/>
  <c r="H7429" i="7"/>
  <c r="H7430" i="7"/>
  <c r="H7431" i="7"/>
  <c r="H7432" i="7"/>
  <c r="H7433" i="7"/>
  <c r="H7434" i="7"/>
  <c r="H7435" i="7"/>
  <c r="H7436" i="7"/>
  <c r="H7437" i="7"/>
  <c r="H7438" i="7"/>
  <c r="H7439" i="7"/>
  <c r="H7440" i="7"/>
  <c r="H7441" i="7"/>
  <c r="H7442" i="7"/>
  <c r="H7443" i="7"/>
  <c r="H7444" i="7"/>
  <c r="H7445" i="7"/>
  <c r="H7446" i="7"/>
  <c r="H7447" i="7"/>
  <c r="H7448" i="7"/>
  <c r="H7449" i="7"/>
  <c r="H7450" i="7"/>
  <c r="H7451" i="7"/>
  <c r="H7452" i="7"/>
  <c r="H7453" i="7"/>
  <c r="H7454" i="7"/>
  <c r="H7455" i="7"/>
  <c r="H7456" i="7"/>
  <c r="H7457" i="7"/>
  <c r="H7458" i="7"/>
  <c r="H7459" i="7"/>
  <c r="H7460" i="7"/>
  <c r="H7461" i="7"/>
  <c r="H7462" i="7"/>
  <c r="H7463" i="7"/>
  <c r="H7464" i="7"/>
  <c r="H7465" i="7"/>
  <c r="H7466" i="7"/>
  <c r="H7467" i="7"/>
  <c r="H7468" i="7"/>
  <c r="H7469" i="7"/>
  <c r="H7470" i="7"/>
  <c r="H7471" i="7"/>
  <c r="H7472" i="7"/>
  <c r="H7473" i="7"/>
  <c r="H7474" i="7"/>
  <c r="H7475" i="7"/>
  <c r="H7476" i="7"/>
  <c r="H7477" i="7"/>
  <c r="H7478" i="7"/>
  <c r="H7479" i="7"/>
  <c r="H7480" i="7"/>
  <c r="H7481" i="7"/>
  <c r="H7482" i="7"/>
  <c r="H7483" i="7"/>
  <c r="H7484" i="7"/>
  <c r="H7485" i="7"/>
  <c r="H7486" i="7"/>
  <c r="H7487" i="7"/>
  <c r="H7488" i="7"/>
  <c r="H7489" i="7"/>
  <c r="H7490" i="7"/>
  <c r="H7491" i="7"/>
  <c r="H7492" i="7"/>
  <c r="H7493" i="7"/>
  <c r="H7494" i="7"/>
  <c r="H7495" i="7"/>
  <c r="H7496" i="7"/>
  <c r="H7497" i="7"/>
  <c r="H7498" i="7"/>
  <c r="H7499" i="7"/>
  <c r="H7500" i="7"/>
  <c r="H7501" i="7"/>
  <c r="H7502" i="7"/>
  <c r="H7503" i="7"/>
  <c r="H7504" i="7"/>
  <c r="H7505" i="7"/>
  <c r="H7506" i="7"/>
  <c r="H7507" i="7"/>
  <c r="H7508" i="7"/>
  <c r="H7509" i="7"/>
  <c r="H7510" i="7"/>
  <c r="H7511" i="7"/>
  <c r="H7512" i="7"/>
  <c r="H7513" i="7"/>
  <c r="H7514" i="7"/>
  <c r="H7515" i="7"/>
  <c r="H7516" i="7"/>
  <c r="H7517" i="7"/>
  <c r="H7518" i="7"/>
  <c r="H7519" i="7"/>
  <c r="H7520" i="7"/>
  <c r="H7521" i="7"/>
  <c r="H7522" i="7"/>
  <c r="H7523" i="7"/>
  <c r="H7524" i="7"/>
  <c r="H7525" i="7"/>
  <c r="H7526" i="7"/>
  <c r="H7527" i="7"/>
  <c r="H7528" i="7"/>
  <c r="H7529" i="7"/>
  <c r="H7530" i="7"/>
  <c r="H7531" i="7"/>
  <c r="H7532" i="7"/>
  <c r="H7533" i="7"/>
  <c r="H7534" i="7"/>
  <c r="H7535" i="7"/>
  <c r="H7536" i="7"/>
  <c r="H7537" i="7"/>
  <c r="H7538" i="7"/>
  <c r="H7539" i="7"/>
  <c r="H7540" i="7"/>
  <c r="H7541" i="7"/>
  <c r="H7542" i="7"/>
  <c r="H7543" i="7"/>
  <c r="H7544" i="7"/>
  <c r="H7545" i="7"/>
  <c r="H7546" i="7"/>
  <c r="H7547" i="7"/>
  <c r="H7548" i="7"/>
  <c r="H7549" i="7"/>
  <c r="H7550" i="7"/>
  <c r="H7551" i="7"/>
  <c r="H7552" i="7"/>
  <c r="H7553" i="7"/>
  <c r="H7554" i="7"/>
  <c r="H7555" i="7"/>
  <c r="H7556" i="7"/>
  <c r="H7557" i="7"/>
  <c r="H7558" i="7"/>
  <c r="H7559" i="7"/>
  <c r="H7560" i="7"/>
  <c r="H7561" i="7"/>
  <c r="H7562" i="7"/>
  <c r="H7563" i="7"/>
  <c r="H7564" i="7"/>
  <c r="H7565" i="7"/>
  <c r="H7566" i="7"/>
  <c r="H7567" i="7"/>
  <c r="H7568" i="7"/>
  <c r="H7569" i="7"/>
  <c r="H7570" i="7"/>
  <c r="H7571" i="7"/>
  <c r="H7572" i="7"/>
  <c r="H7573" i="7"/>
  <c r="H7574" i="7"/>
  <c r="H7575" i="7"/>
  <c r="H7576" i="7"/>
  <c r="H7577" i="7"/>
  <c r="H7578" i="7"/>
  <c r="H7579" i="7"/>
  <c r="H7580" i="7"/>
  <c r="H7581" i="7"/>
  <c r="H7582" i="7"/>
  <c r="H7583" i="7"/>
  <c r="H7584" i="7"/>
  <c r="H7585" i="7"/>
  <c r="H7586" i="7"/>
  <c r="H7587" i="7"/>
  <c r="H7588" i="7"/>
  <c r="H7589" i="7"/>
  <c r="H7590" i="7"/>
  <c r="H7591" i="7"/>
  <c r="H7592" i="7"/>
  <c r="H7593" i="7"/>
  <c r="H7594" i="7"/>
  <c r="H7595" i="7"/>
  <c r="H7596" i="7"/>
  <c r="H7597" i="7"/>
  <c r="H7598" i="7"/>
  <c r="H7599" i="7"/>
  <c r="H7600" i="7"/>
  <c r="H7601" i="7"/>
  <c r="H7602" i="7"/>
  <c r="H7603" i="7"/>
  <c r="H7604" i="7"/>
  <c r="H7605" i="7"/>
  <c r="H7606" i="7"/>
  <c r="H7607" i="7"/>
  <c r="H7608" i="7"/>
  <c r="H7609" i="7"/>
  <c r="H7610" i="7"/>
  <c r="H7611" i="7"/>
  <c r="H7612" i="7"/>
  <c r="H7613" i="7"/>
  <c r="H7614" i="7"/>
  <c r="H7615" i="7"/>
  <c r="H7616" i="7"/>
  <c r="H7617" i="7"/>
  <c r="H7618" i="7"/>
  <c r="H7619" i="7"/>
  <c r="H7620" i="7"/>
  <c r="H7621" i="7"/>
  <c r="H7622" i="7"/>
  <c r="H7623" i="7"/>
  <c r="H7624" i="7"/>
  <c r="H7625" i="7"/>
  <c r="H7626" i="7"/>
  <c r="H7627" i="7"/>
  <c r="H7628" i="7"/>
  <c r="H7629" i="7"/>
  <c r="H7630" i="7"/>
  <c r="H7631" i="7"/>
  <c r="H7632" i="7"/>
  <c r="H7633" i="7"/>
  <c r="H7634" i="7"/>
  <c r="H7635" i="7"/>
  <c r="H7636" i="7"/>
  <c r="H7637" i="7"/>
  <c r="H7638" i="7"/>
  <c r="H7639" i="7"/>
  <c r="H7640" i="7"/>
  <c r="H7641" i="7"/>
  <c r="H7642" i="7"/>
  <c r="H7643" i="7"/>
  <c r="H7644" i="7"/>
  <c r="H7645" i="7"/>
  <c r="H7646" i="7"/>
  <c r="H7647" i="7"/>
  <c r="H7648" i="7"/>
  <c r="H7649" i="7"/>
  <c r="H7650" i="7"/>
  <c r="H7651" i="7"/>
  <c r="H7652" i="7"/>
  <c r="H7653" i="7"/>
  <c r="H7654" i="7"/>
  <c r="H7655" i="7"/>
  <c r="H7656" i="7"/>
  <c r="H7657" i="7"/>
  <c r="H7658" i="7"/>
  <c r="H7659" i="7"/>
  <c r="H7660" i="7"/>
  <c r="H7661" i="7"/>
  <c r="H7662" i="7"/>
  <c r="H7663" i="7"/>
  <c r="H7664" i="7"/>
  <c r="H7665" i="7"/>
  <c r="H7666" i="7"/>
  <c r="H7667" i="7"/>
  <c r="H7668" i="7"/>
  <c r="H7669" i="7"/>
  <c r="H7670" i="7"/>
  <c r="H7671" i="7"/>
  <c r="H7672" i="7"/>
  <c r="H7673" i="7"/>
  <c r="H7674" i="7"/>
  <c r="H7675" i="7"/>
  <c r="H7676" i="7"/>
  <c r="H7677" i="7"/>
  <c r="H7678" i="7"/>
  <c r="H7679" i="7"/>
  <c r="H7680" i="7"/>
  <c r="H7681" i="7"/>
  <c r="H7682" i="7"/>
  <c r="H7683" i="7"/>
  <c r="H7684" i="7"/>
  <c r="H7685" i="7"/>
  <c r="H7686" i="7"/>
  <c r="H7687" i="7"/>
  <c r="H7688" i="7"/>
  <c r="H7689" i="7"/>
  <c r="H7690" i="7"/>
  <c r="H7691" i="7"/>
  <c r="H7692" i="7"/>
  <c r="H7693" i="7"/>
  <c r="H7694" i="7"/>
  <c r="H7695" i="7"/>
  <c r="H7696" i="7"/>
  <c r="H7697" i="7"/>
  <c r="H7698" i="7"/>
  <c r="H7699" i="7"/>
  <c r="H7700" i="7"/>
  <c r="H7701" i="7"/>
  <c r="H7702" i="7"/>
  <c r="H7703" i="7"/>
  <c r="H7704" i="7"/>
  <c r="H7705" i="7"/>
  <c r="H7706" i="7"/>
  <c r="H7707" i="7"/>
  <c r="H7708" i="7"/>
  <c r="H7709" i="7"/>
  <c r="H7710" i="7"/>
  <c r="H7711" i="7"/>
  <c r="H7712" i="7"/>
  <c r="H7713" i="7"/>
  <c r="H7714" i="7"/>
  <c r="H7715" i="7"/>
  <c r="H7716" i="7"/>
  <c r="H7717" i="7"/>
  <c r="H7718" i="7"/>
  <c r="H7719" i="7"/>
  <c r="H7720" i="7"/>
  <c r="H7721" i="7"/>
  <c r="H7722" i="7"/>
  <c r="H7723" i="7"/>
  <c r="H7724" i="7"/>
  <c r="H7725" i="7"/>
  <c r="H7726" i="7"/>
  <c r="H7727" i="7"/>
  <c r="H7728" i="7"/>
  <c r="H7729" i="7"/>
  <c r="H7730" i="7"/>
  <c r="H7731" i="7"/>
  <c r="H7732" i="7"/>
  <c r="H7733" i="7"/>
  <c r="H7734" i="7"/>
  <c r="H7735" i="7"/>
  <c r="H7736" i="7"/>
  <c r="H7737" i="7"/>
  <c r="H7738" i="7"/>
  <c r="H7739" i="7"/>
  <c r="H7740" i="7"/>
  <c r="H7741" i="7"/>
  <c r="H7742" i="7"/>
  <c r="H7743" i="7"/>
  <c r="H7744" i="7"/>
  <c r="H7745" i="7"/>
  <c r="H7746" i="7"/>
  <c r="H7747" i="7"/>
  <c r="H7748" i="7"/>
  <c r="H7749" i="7"/>
  <c r="H7750" i="7"/>
  <c r="H7751" i="7"/>
  <c r="H7752" i="7"/>
  <c r="H7753" i="7"/>
  <c r="H7754" i="7"/>
  <c r="H7755" i="7"/>
  <c r="H7756" i="7"/>
  <c r="H7757" i="7"/>
  <c r="H7758" i="7"/>
  <c r="H7759" i="7"/>
  <c r="H7760" i="7"/>
  <c r="H7761" i="7"/>
  <c r="H7762" i="7"/>
  <c r="H7763" i="7"/>
  <c r="H7764" i="7"/>
  <c r="H7765" i="7"/>
  <c r="H7766" i="7"/>
  <c r="H7767" i="7"/>
  <c r="H7768" i="7"/>
  <c r="H7769" i="7"/>
  <c r="H7770" i="7"/>
  <c r="H7771" i="7"/>
  <c r="H7772" i="7"/>
  <c r="H7773" i="7"/>
  <c r="H7774" i="7"/>
  <c r="H7775" i="7"/>
  <c r="H7776" i="7"/>
  <c r="H7777" i="7"/>
  <c r="H7778" i="7"/>
  <c r="H7779" i="7"/>
  <c r="H7780" i="7"/>
  <c r="H7781" i="7"/>
  <c r="H7782" i="7"/>
  <c r="H7783" i="7"/>
  <c r="H7784" i="7"/>
  <c r="H7785" i="7"/>
  <c r="H7786" i="7"/>
  <c r="H7787" i="7"/>
  <c r="H7788" i="7"/>
  <c r="H7789" i="7"/>
  <c r="H7790" i="7"/>
  <c r="H7791" i="7"/>
  <c r="H7792" i="7"/>
  <c r="H7793" i="7"/>
  <c r="H7794" i="7"/>
  <c r="H7795" i="7"/>
  <c r="H7796" i="7"/>
  <c r="H7797" i="7"/>
  <c r="H7798" i="7"/>
  <c r="H7799" i="7"/>
  <c r="H7800" i="7"/>
  <c r="H7801" i="7"/>
  <c r="H7802" i="7"/>
  <c r="H7803" i="7"/>
  <c r="H7804" i="7"/>
  <c r="H7805" i="7"/>
  <c r="H7806" i="7"/>
  <c r="H7807" i="7"/>
  <c r="H7808" i="7"/>
  <c r="H7809" i="7"/>
  <c r="H7810" i="7"/>
  <c r="H7811" i="7"/>
  <c r="H7812" i="7"/>
  <c r="H7813" i="7"/>
  <c r="H7814" i="7"/>
  <c r="H7815" i="7"/>
  <c r="H7816" i="7"/>
  <c r="H7817" i="7"/>
  <c r="H7818" i="7"/>
  <c r="H7819" i="7"/>
  <c r="H7820" i="7"/>
  <c r="H7821" i="7"/>
  <c r="H7822" i="7"/>
  <c r="H7823" i="7"/>
  <c r="H7824" i="7"/>
  <c r="H7825" i="7"/>
  <c r="H7826" i="7"/>
  <c r="H7827" i="7"/>
  <c r="H7828" i="7"/>
  <c r="H7829" i="7"/>
  <c r="H7830" i="7"/>
  <c r="H7831" i="7"/>
  <c r="H7832" i="7"/>
  <c r="H7833" i="7"/>
  <c r="H7834" i="7"/>
  <c r="H7835" i="7"/>
  <c r="H7836" i="7"/>
  <c r="H7837" i="7"/>
  <c r="H7838" i="7"/>
  <c r="H7839" i="7"/>
  <c r="H7840" i="7"/>
  <c r="H7841" i="7"/>
  <c r="H7842" i="7"/>
  <c r="H7843" i="7"/>
  <c r="H7844" i="7"/>
  <c r="H7845" i="7"/>
  <c r="H7846" i="7"/>
  <c r="H7847" i="7"/>
  <c r="H7848" i="7"/>
  <c r="H7849" i="7"/>
  <c r="H7850" i="7"/>
  <c r="H7851" i="7"/>
  <c r="H7852" i="7"/>
  <c r="H7853" i="7"/>
  <c r="H7854" i="7"/>
  <c r="H7855" i="7"/>
  <c r="H7856" i="7"/>
  <c r="H7857" i="7"/>
  <c r="H7858" i="7"/>
  <c r="H7859" i="7"/>
  <c r="H7860" i="7"/>
  <c r="H7861" i="7"/>
  <c r="H7862" i="7"/>
  <c r="H7863" i="7"/>
  <c r="H7864" i="7"/>
  <c r="H7865" i="7"/>
  <c r="H7866" i="7"/>
  <c r="H7867" i="7"/>
  <c r="H7868" i="7"/>
  <c r="H7869" i="7"/>
  <c r="H7870" i="7"/>
  <c r="H7871" i="7"/>
  <c r="H7872" i="7"/>
  <c r="H7873" i="7"/>
  <c r="H7874" i="7"/>
  <c r="H7875" i="7"/>
  <c r="H7876" i="7"/>
  <c r="H7877" i="7"/>
  <c r="H7878" i="7"/>
  <c r="H7879" i="7"/>
  <c r="H7880" i="7"/>
  <c r="H7881" i="7"/>
  <c r="H7882" i="7"/>
  <c r="H7883" i="7"/>
  <c r="H7884" i="7"/>
  <c r="H7885" i="7"/>
  <c r="H7886" i="7"/>
  <c r="H7887" i="7"/>
  <c r="H7888" i="7"/>
  <c r="H7889" i="7"/>
  <c r="H7890" i="7"/>
  <c r="H7891" i="7"/>
  <c r="H7892" i="7"/>
  <c r="H7893" i="7"/>
  <c r="H7894" i="7"/>
  <c r="H7895" i="7"/>
  <c r="H7896" i="7"/>
  <c r="H7897" i="7"/>
  <c r="H7898" i="7"/>
  <c r="H7899" i="7"/>
  <c r="H7900" i="7"/>
  <c r="H7901" i="7"/>
  <c r="H7902" i="7"/>
  <c r="H7903" i="7"/>
  <c r="H7904" i="7"/>
  <c r="H7905" i="7"/>
  <c r="H7906" i="7"/>
  <c r="H7907" i="7"/>
  <c r="H7908" i="7"/>
  <c r="H7909" i="7"/>
  <c r="H7910" i="7"/>
  <c r="H7911" i="7"/>
  <c r="H7912" i="7"/>
  <c r="H7913" i="7"/>
  <c r="H7914" i="7"/>
  <c r="H7915" i="7"/>
  <c r="H7916" i="7"/>
  <c r="H7917" i="7"/>
  <c r="H7918" i="7"/>
  <c r="H7919" i="7"/>
  <c r="H7920" i="7"/>
  <c r="H7921" i="7"/>
  <c r="H7922" i="7"/>
  <c r="H7923" i="7"/>
  <c r="H7924" i="7"/>
  <c r="H7925" i="7"/>
  <c r="H7926" i="7"/>
  <c r="H7927" i="7"/>
  <c r="H7928" i="7"/>
  <c r="H7929" i="7"/>
  <c r="H7930" i="7"/>
  <c r="H7931" i="7"/>
  <c r="H7932" i="7"/>
  <c r="H7933" i="7"/>
  <c r="H7934" i="7"/>
  <c r="H7935" i="7"/>
  <c r="H7936" i="7"/>
  <c r="H7937" i="7"/>
  <c r="H7938" i="7"/>
  <c r="H7939" i="7"/>
  <c r="H7940" i="7"/>
  <c r="H7941" i="7"/>
  <c r="H7942" i="7"/>
  <c r="H7943" i="7"/>
  <c r="H7944" i="7"/>
  <c r="H7945" i="7"/>
  <c r="H7946" i="7"/>
  <c r="H7947" i="7"/>
  <c r="H7948" i="7"/>
  <c r="H7949" i="7"/>
  <c r="H7950" i="7"/>
  <c r="H7951" i="7"/>
  <c r="H7952" i="7"/>
  <c r="H7953" i="7"/>
  <c r="H7954" i="7"/>
  <c r="H7955" i="7"/>
  <c r="H7956" i="7"/>
  <c r="H7957" i="7"/>
  <c r="H7958" i="7"/>
  <c r="H7959" i="7"/>
  <c r="H7960" i="7"/>
  <c r="H7961" i="7"/>
  <c r="H7962" i="7"/>
  <c r="H7963" i="7"/>
  <c r="H7964" i="7"/>
  <c r="H7965" i="7"/>
  <c r="H7966" i="7"/>
  <c r="H7967" i="7"/>
  <c r="H7968" i="7"/>
  <c r="H7969" i="7"/>
  <c r="H7970" i="7"/>
  <c r="H7971" i="7"/>
  <c r="H7972" i="7"/>
  <c r="H7973" i="7"/>
  <c r="H7974" i="7"/>
  <c r="H7975" i="7"/>
  <c r="H7976" i="7"/>
  <c r="H7977" i="7"/>
  <c r="H7978" i="7"/>
  <c r="H7979" i="7"/>
  <c r="H7980" i="7"/>
  <c r="H7981" i="7"/>
  <c r="H7982" i="7"/>
  <c r="H7983" i="7"/>
  <c r="H7984" i="7"/>
  <c r="H7985" i="7"/>
  <c r="H7986" i="7"/>
  <c r="H7987" i="7"/>
  <c r="H7988" i="7"/>
  <c r="H7989" i="7"/>
  <c r="H7990" i="7"/>
  <c r="H7991" i="7"/>
  <c r="H7992" i="7"/>
  <c r="H7993" i="7"/>
  <c r="H7994" i="7"/>
  <c r="H7995" i="7"/>
  <c r="H7996" i="7"/>
  <c r="H7997" i="7"/>
  <c r="H7998" i="7"/>
  <c r="H7999" i="7"/>
  <c r="H8000" i="7"/>
  <c r="H8001" i="7"/>
  <c r="H8002" i="7"/>
  <c r="H8003" i="7"/>
  <c r="H8004" i="7"/>
  <c r="H8005" i="7"/>
  <c r="H8006" i="7"/>
  <c r="H8007" i="7"/>
  <c r="H8008" i="7"/>
  <c r="H8009" i="7"/>
  <c r="H8010" i="7"/>
  <c r="H8011" i="7"/>
  <c r="H8012" i="7"/>
  <c r="H8013" i="7"/>
  <c r="H8014" i="7"/>
  <c r="H8015" i="7"/>
  <c r="H8016" i="7"/>
  <c r="H8017" i="7"/>
  <c r="H8018" i="7"/>
  <c r="H8019" i="7"/>
  <c r="H8020" i="7"/>
  <c r="H8021" i="7"/>
  <c r="H8022" i="7"/>
  <c r="H8023" i="7"/>
  <c r="H8024" i="7"/>
  <c r="H8025" i="7"/>
  <c r="H8026" i="7"/>
  <c r="H8027" i="7"/>
  <c r="H8028" i="7"/>
  <c r="H8029" i="7"/>
  <c r="H8030" i="7"/>
  <c r="H8031" i="7"/>
  <c r="H8032" i="7"/>
  <c r="H8033" i="7"/>
  <c r="H8034" i="7"/>
  <c r="H8035" i="7"/>
  <c r="H8036" i="7"/>
  <c r="H8037" i="7"/>
  <c r="H8038" i="7"/>
  <c r="H8039" i="7"/>
  <c r="H8040" i="7"/>
  <c r="H8041" i="7"/>
  <c r="H8042" i="7"/>
  <c r="H8043" i="7"/>
  <c r="H8044" i="7"/>
  <c r="H8045" i="7"/>
  <c r="H8046" i="7"/>
  <c r="H8047" i="7"/>
  <c r="H8048" i="7"/>
  <c r="H8049" i="7"/>
  <c r="H8050" i="7"/>
  <c r="H8051" i="7"/>
  <c r="H8052" i="7"/>
  <c r="H8053" i="7"/>
  <c r="H8054" i="7"/>
  <c r="H8055" i="7"/>
  <c r="H8056" i="7"/>
  <c r="H8057" i="7"/>
  <c r="H8058" i="7"/>
  <c r="H8059" i="7"/>
  <c r="H8060" i="7"/>
  <c r="H8061" i="7"/>
  <c r="H8062" i="7"/>
  <c r="H8063" i="7"/>
  <c r="H8064" i="7"/>
  <c r="H8065" i="7"/>
  <c r="H8066" i="7"/>
  <c r="H8067" i="7"/>
  <c r="H8068" i="7"/>
  <c r="H8069" i="7"/>
  <c r="H8070" i="7"/>
  <c r="H8071" i="7"/>
  <c r="H8072" i="7"/>
  <c r="H8073" i="7"/>
  <c r="H8074" i="7"/>
  <c r="H8075" i="7"/>
  <c r="H8076" i="7"/>
  <c r="H8077" i="7"/>
  <c r="H8078" i="7"/>
  <c r="H8079" i="7"/>
  <c r="H8080" i="7"/>
  <c r="H8081" i="7"/>
  <c r="H8082" i="7"/>
  <c r="H8083" i="7"/>
  <c r="H8084" i="7"/>
  <c r="H8085" i="7"/>
  <c r="H8086" i="7"/>
  <c r="H8087" i="7"/>
  <c r="H8088" i="7"/>
  <c r="H8089" i="7"/>
  <c r="H8090" i="7"/>
  <c r="H8091" i="7"/>
  <c r="H8092" i="7"/>
  <c r="H8093" i="7"/>
  <c r="H8094" i="7"/>
  <c r="H8095" i="7"/>
  <c r="H8096" i="7"/>
  <c r="H8097" i="7"/>
  <c r="H8098" i="7"/>
  <c r="H8099" i="7"/>
  <c r="H8100" i="7"/>
  <c r="H8101" i="7"/>
  <c r="H8102" i="7"/>
  <c r="H8103" i="7"/>
  <c r="H8104" i="7"/>
  <c r="H8105" i="7"/>
  <c r="H8106" i="7"/>
  <c r="H8107" i="7"/>
  <c r="H8108" i="7"/>
  <c r="H8109" i="7"/>
  <c r="H8110" i="7"/>
  <c r="H8111" i="7"/>
  <c r="H8112" i="7"/>
  <c r="H8113" i="7"/>
  <c r="H8114" i="7"/>
  <c r="H8115" i="7"/>
  <c r="H8116" i="7"/>
  <c r="H8117" i="7"/>
  <c r="H8118" i="7"/>
  <c r="H8119" i="7"/>
  <c r="H8120" i="7"/>
  <c r="H8121" i="7"/>
  <c r="H8122" i="7"/>
  <c r="H8123" i="7"/>
  <c r="H8124" i="7"/>
  <c r="H8125" i="7"/>
  <c r="H8126" i="7"/>
  <c r="H8127" i="7"/>
  <c r="H8128" i="7"/>
  <c r="H8129" i="7"/>
  <c r="H8130" i="7"/>
  <c r="H8131" i="7"/>
  <c r="H8132" i="7"/>
  <c r="H8133" i="7"/>
  <c r="H8134" i="7"/>
  <c r="H8135" i="7"/>
  <c r="H8136" i="7"/>
  <c r="H8137" i="7"/>
  <c r="H8138" i="7"/>
  <c r="H8139" i="7"/>
  <c r="H8140" i="7"/>
  <c r="H8141" i="7"/>
  <c r="H8142" i="7"/>
  <c r="H8143" i="7"/>
  <c r="H8144" i="7"/>
  <c r="H8145" i="7"/>
  <c r="H8146" i="7"/>
  <c r="H8147" i="7"/>
  <c r="H8148" i="7"/>
  <c r="H8149" i="7"/>
  <c r="H8150" i="7"/>
  <c r="H8151" i="7"/>
  <c r="H8152" i="7"/>
  <c r="H8153" i="7"/>
  <c r="H8154" i="7"/>
  <c r="H8155" i="7"/>
  <c r="H8156" i="7"/>
  <c r="H8157" i="7"/>
  <c r="H8158" i="7"/>
  <c r="H8159" i="7"/>
  <c r="H8160" i="7"/>
  <c r="H8161" i="7"/>
  <c r="H8162" i="7"/>
  <c r="H8163" i="7"/>
  <c r="H8164" i="7"/>
  <c r="H8165" i="7"/>
  <c r="H8166" i="7"/>
  <c r="H8167" i="7"/>
  <c r="H8168" i="7"/>
  <c r="H8169" i="7"/>
  <c r="H8170" i="7"/>
  <c r="H8171" i="7"/>
  <c r="H8172" i="7"/>
  <c r="H8173" i="7"/>
  <c r="H8174" i="7"/>
  <c r="H8175" i="7"/>
  <c r="H8176" i="7"/>
  <c r="H8177" i="7"/>
  <c r="H8178" i="7"/>
  <c r="H8179" i="7"/>
  <c r="H8180" i="7"/>
  <c r="H8181" i="7"/>
  <c r="H8182" i="7"/>
  <c r="H8183" i="7"/>
  <c r="H8184" i="7"/>
  <c r="H8185" i="7"/>
  <c r="H8186" i="7"/>
  <c r="H8187" i="7"/>
  <c r="H8188" i="7"/>
  <c r="H8189" i="7"/>
  <c r="H8190" i="7"/>
  <c r="H8191" i="7"/>
  <c r="H8192" i="7"/>
  <c r="H8193" i="7"/>
  <c r="H8194" i="7"/>
  <c r="H8195" i="7"/>
  <c r="H8196" i="7"/>
  <c r="H8197" i="7"/>
  <c r="H8198" i="7"/>
  <c r="H8199" i="7"/>
  <c r="H8200" i="7"/>
  <c r="H8201" i="7"/>
  <c r="H8202" i="7"/>
  <c r="H8203" i="7"/>
  <c r="H8204" i="7"/>
  <c r="H8205" i="7"/>
  <c r="H8206" i="7"/>
  <c r="H8207" i="7"/>
  <c r="H8208" i="7"/>
  <c r="H8209" i="7"/>
  <c r="H8210" i="7"/>
  <c r="H8211" i="7"/>
  <c r="H8212" i="7"/>
  <c r="H8213" i="7"/>
  <c r="H8214" i="7"/>
  <c r="H8215" i="7"/>
  <c r="H8216" i="7"/>
  <c r="H8217" i="7"/>
  <c r="H8218" i="7"/>
  <c r="H8219" i="7"/>
  <c r="H8220" i="7"/>
  <c r="H8221" i="7"/>
  <c r="H8222" i="7"/>
  <c r="H8223" i="7"/>
  <c r="H8224" i="7"/>
  <c r="H8225" i="7"/>
  <c r="H8226" i="7"/>
  <c r="H8227" i="7"/>
  <c r="H8228" i="7"/>
  <c r="H8229" i="7"/>
  <c r="H8230" i="7"/>
  <c r="H8231" i="7"/>
  <c r="H8232" i="7"/>
  <c r="H8233" i="7"/>
  <c r="H8234" i="7"/>
  <c r="H8235" i="7"/>
  <c r="H8236" i="7"/>
  <c r="H8237" i="7"/>
  <c r="H8238" i="7"/>
  <c r="H8239" i="7"/>
  <c r="H8240" i="7"/>
  <c r="H8241" i="7"/>
  <c r="H8242" i="7"/>
  <c r="H8243" i="7"/>
  <c r="H8244" i="7"/>
  <c r="H8245" i="7"/>
  <c r="H8246" i="7"/>
  <c r="H8247" i="7"/>
  <c r="H8248" i="7"/>
  <c r="H8249" i="7"/>
  <c r="H8250" i="7"/>
  <c r="H8251" i="7"/>
  <c r="H8252" i="7"/>
  <c r="H8253" i="7"/>
  <c r="H8254" i="7"/>
  <c r="H8255" i="7"/>
  <c r="H8256" i="7"/>
  <c r="H8257" i="7"/>
  <c r="H8258" i="7"/>
  <c r="H8259" i="7"/>
  <c r="H8260" i="7"/>
  <c r="H8261" i="7"/>
  <c r="H8262" i="7"/>
  <c r="H8263" i="7"/>
  <c r="H8264" i="7"/>
  <c r="H8265" i="7"/>
  <c r="H8266" i="7"/>
  <c r="H8267" i="7"/>
  <c r="H8268" i="7"/>
  <c r="H8269" i="7"/>
  <c r="H8270" i="7"/>
  <c r="H8271" i="7"/>
  <c r="H8272" i="7"/>
  <c r="H8273" i="7"/>
  <c r="H8274" i="7"/>
  <c r="H8275" i="7"/>
  <c r="H8276" i="7"/>
  <c r="H8277" i="7"/>
  <c r="H8278" i="7"/>
  <c r="H8279" i="7"/>
  <c r="H8280" i="7"/>
  <c r="H8281" i="7"/>
  <c r="H8282" i="7"/>
  <c r="H8283" i="7"/>
  <c r="H8284" i="7"/>
  <c r="H8285" i="7"/>
  <c r="H8286" i="7"/>
  <c r="H8287" i="7"/>
  <c r="H8288" i="7"/>
  <c r="H8289" i="7"/>
  <c r="H8290" i="7"/>
  <c r="H8291" i="7"/>
  <c r="H8292" i="7"/>
  <c r="H8293" i="7"/>
  <c r="H8294" i="7"/>
  <c r="H8295" i="7"/>
  <c r="H8296" i="7"/>
  <c r="H8297" i="7"/>
  <c r="H8298" i="7"/>
  <c r="H8299" i="7"/>
  <c r="H8300" i="7"/>
  <c r="H8301" i="7"/>
  <c r="H8302" i="7"/>
  <c r="H8303" i="7"/>
  <c r="H8304" i="7"/>
  <c r="H8305" i="7"/>
  <c r="H8306" i="7"/>
  <c r="H8307" i="7"/>
  <c r="H8308" i="7"/>
  <c r="H8309" i="7"/>
  <c r="H8310" i="7"/>
  <c r="H8311" i="7"/>
  <c r="H8312" i="7"/>
  <c r="H8313" i="7"/>
  <c r="H8314" i="7"/>
  <c r="H8315" i="7"/>
  <c r="H8316" i="7"/>
  <c r="H8317" i="7"/>
  <c r="H8318" i="7"/>
  <c r="H8319" i="7"/>
  <c r="H8320" i="7"/>
  <c r="H8321" i="7"/>
  <c r="H8322" i="7"/>
  <c r="H8323" i="7"/>
  <c r="H8324" i="7"/>
  <c r="H8325" i="7"/>
  <c r="H8326" i="7"/>
  <c r="H8327" i="7"/>
  <c r="H8328" i="7"/>
  <c r="H8329" i="7"/>
  <c r="H8330" i="7"/>
  <c r="H8331" i="7"/>
  <c r="H8332" i="7"/>
  <c r="H8333" i="7"/>
  <c r="H8334" i="7"/>
  <c r="H8335" i="7"/>
  <c r="H8336" i="7"/>
  <c r="H8337" i="7"/>
  <c r="H8338" i="7"/>
  <c r="H8339" i="7"/>
  <c r="H8340" i="7"/>
  <c r="H8341" i="7"/>
  <c r="H8342" i="7"/>
  <c r="H8343" i="7"/>
  <c r="H8344" i="7"/>
  <c r="H8345" i="7"/>
  <c r="H8346" i="7"/>
  <c r="H8347" i="7"/>
  <c r="H8348" i="7"/>
  <c r="H8349" i="7"/>
  <c r="H8350" i="7"/>
  <c r="H8351" i="7"/>
  <c r="H8352" i="7"/>
  <c r="H8353" i="7"/>
  <c r="H8354" i="7"/>
  <c r="H8355" i="7"/>
  <c r="H8356" i="7"/>
  <c r="H8357" i="7"/>
  <c r="H8358" i="7"/>
  <c r="H8359" i="7"/>
  <c r="H8360" i="7"/>
  <c r="H8361" i="7"/>
  <c r="H8362" i="7"/>
  <c r="H8363" i="7"/>
  <c r="H8364" i="7"/>
  <c r="H8365" i="7"/>
  <c r="H8366" i="7"/>
  <c r="H8367" i="7"/>
  <c r="H8368" i="7"/>
  <c r="H8369" i="7"/>
  <c r="H8370" i="7"/>
  <c r="H8371" i="7"/>
  <c r="H8372" i="7"/>
  <c r="H8373" i="7"/>
  <c r="H8374" i="7"/>
  <c r="H8375" i="7"/>
  <c r="H8376" i="7"/>
  <c r="H8377" i="7"/>
  <c r="H8378" i="7"/>
  <c r="H8379" i="7"/>
  <c r="H8380" i="7"/>
  <c r="H8381" i="7"/>
  <c r="H8382" i="7"/>
  <c r="H8383" i="7"/>
  <c r="H8384" i="7"/>
  <c r="H8385" i="7"/>
  <c r="H8386" i="7"/>
  <c r="H8387" i="7"/>
  <c r="H8388" i="7"/>
  <c r="H8389" i="7"/>
  <c r="H8390" i="7"/>
  <c r="H8391" i="7"/>
  <c r="H8392" i="7"/>
  <c r="H8393" i="7"/>
  <c r="H8394" i="7"/>
  <c r="H8395" i="7"/>
  <c r="H8396" i="7"/>
  <c r="H8397" i="7"/>
  <c r="H8398" i="7"/>
  <c r="H8399" i="7"/>
  <c r="H8400" i="7"/>
  <c r="H8401" i="7"/>
  <c r="H8402" i="7"/>
  <c r="H8403" i="7"/>
  <c r="H8404" i="7"/>
  <c r="H8405" i="7"/>
  <c r="H8406" i="7"/>
  <c r="H8407" i="7"/>
  <c r="H8408" i="7"/>
  <c r="H8409" i="7"/>
  <c r="H8410" i="7"/>
  <c r="H8411" i="7"/>
  <c r="H8412" i="7"/>
  <c r="H8413" i="7"/>
  <c r="H8414" i="7"/>
  <c r="H8415" i="7"/>
  <c r="H8416" i="7"/>
  <c r="H8417" i="7"/>
  <c r="H8418" i="7"/>
  <c r="H8419" i="7"/>
  <c r="H8420" i="7"/>
  <c r="H8421" i="7"/>
  <c r="H8422" i="7"/>
  <c r="H8423" i="7"/>
  <c r="H8424" i="7"/>
  <c r="H8425" i="7"/>
  <c r="H8426" i="7"/>
  <c r="H8427" i="7"/>
  <c r="H8428" i="7"/>
  <c r="H8429" i="7"/>
  <c r="H8430" i="7"/>
  <c r="H8431" i="7"/>
  <c r="H8432" i="7"/>
  <c r="H8433" i="7"/>
  <c r="H8434" i="7"/>
  <c r="H8435" i="7"/>
  <c r="H8436" i="7"/>
  <c r="H8437" i="7"/>
  <c r="H8438" i="7"/>
  <c r="H8439" i="7"/>
  <c r="H8440" i="7"/>
  <c r="H8441" i="7"/>
  <c r="H8442" i="7"/>
  <c r="H8443" i="7"/>
  <c r="H8444" i="7"/>
  <c r="H8445" i="7"/>
  <c r="H8446" i="7"/>
  <c r="H8447" i="7"/>
  <c r="H8448" i="7"/>
  <c r="H8449" i="7"/>
  <c r="H8450" i="7"/>
  <c r="H8451" i="7"/>
  <c r="H8452" i="7"/>
  <c r="H8453" i="7"/>
  <c r="H8454" i="7"/>
  <c r="H8455" i="7"/>
  <c r="H8456" i="7"/>
  <c r="H8457" i="7"/>
  <c r="H8458" i="7"/>
  <c r="H8459" i="7"/>
  <c r="H8460" i="7"/>
  <c r="H8461" i="7"/>
  <c r="H8462" i="7"/>
  <c r="H8463" i="7"/>
  <c r="H8464" i="7"/>
  <c r="H8465" i="7"/>
  <c r="H8466" i="7"/>
  <c r="H8467" i="7"/>
  <c r="H8468" i="7"/>
  <c r="H8469" i="7"/>
  <c r="H8470" i="7"/>
  <c r="H8471" i="7"/>
  <c r="H8472" i="7"/>
  <c r="H8473" i="7"/>
  <c r="H8474" i="7"/>
  <c r="H8475" i="7"/>
  <c r="H8476" i="7"/>
  <c r="H8477" i="7"/>
  <c r="H8478" i="7"/>
  <c r="H8479" i="7"/>
  <c r="H8480" i="7"/>
  <c r="H8481" i="7"/>
  <c r="H8482" i="7"/>
  <c r="H8483" i="7"/>
  <c r="H8484" i="7"/>
  <c r="H8485" i="7"/>
  <c r="H8486" i="7"/>
  <c r="H8487" i="7"/>
  <c r="H8488" i="7"/>
  <c r="H8489" i="7"/>
  <c r="H8490" i="7"/>
  <c r="H8491" i="7"/>
  <c r="H8492" i="7"/>
  <c r="H8493" i="7"/>
  <c r="H8494" i="7"/>
  <c r="H8495" i="7"/>
  <c r="H8496" i="7"/>
  <c r="H8497" i="7"/>
  <c r="H8498" i="7"/>
  <c r="H8499" i="7"/>
  <c r="H8500" i="7"/>
  <c r="H8501" i="7"/>
  <c r="H8502" i="7"/>
  <c r="H8503" i="7"/>
  <c r="H8504" i="7"/>
  <c r="H8505" i="7"/>
  <c r="H8506" i="7"/>
  <c r="H8507" i="7"/>
  <c r="H8508" i="7"/>
  <c r="H8509" i="7"/>
  <c r="H8510" i="7"/>
  <c r="H8511" i="7"/>
  <c r="H8512" i="7"/>
  <c r="H8513" i="7"/>
  <c r="H8514" i="7"/>
  <c r="H8515" i="7"/>
  <c r="H8516" i="7"/>
  <c r="H8517" i="7"/>
  <c r="H8518" i="7"/>
  <c r="H8519" i="7"/>
  <c r="H8520" i="7"/>
  <c r="H8521" i="7"/>
  <c r="H8522" i="7"/>
  <c r="H8523" i="7"/>
  <c r="H8524" i="7"/>
  <c r="H8525" i="7"/>
  <c r="H8526" i="7"/>
  <c r="H8527" i="7"/>
  <c r="H8528" i="7"/>
  <c r="H8529" i="7"/>
  <c r="H8530" i="7"/>
  <c r="H8531" i="7"/>
  <c r="H8532" i="7"/>
  <c r="H8533" i="7"/>
  <c r="H8534" i="7"/>
  <c r="H8535" i="7"/>
  <c r="H8536" i="7"/>
  <c r="H8537" i="7"/>
  <c r="H8538" i="7"/>
  <c r="H8539" i="7"/>
  <c r="H8540" i="7"/>
  <c r="H8541" i="7"/>
  <c r="H8542" i="7"/>
  <c r="H8543" i="7"/>
  <c r="H8544" i="7"/>
  <c r="H8545" i="7"/>
  <c r="H8546" i="7"/>
  <c r="H8547" i="7"/>
  <c r="H8548" i="7"/>
  <c r="H8549" i="7"/>
  <c r="H8550" i="7"/>
  <c r="H8551" i="7"/>
  <c r="H8552" i="7"/>
  <c r="H8553" i="7"/>
  <c r="H8554" i="7"/>
  <c r="H8555" i="7"/>
  <c r="H8556" i="7"/>
  <c r="H8557" i="7"/>
  <c r="H8558" i="7"/>
  <c r="H8559" i="7"/>
  <c r="H8560" i="7"/>
  <c r="H8561" i="7"/>
  <c r="H8562" i="7"/>
  <c r="H8563" i="7"/>
  <c r="H8564" i="7"/>
  <c r="H8565" i="7"/>
  <c r="H8566" i="7"/>
  <c r="H8567" i="7"/>
  <c r="H8568" i="7"/>
  <c r="H8569" i="7"/>
  <c r="H8570" i="7"/>
  <c r="H8571" i="7"/>
  <c r="H8572" i="7"/>
  <c r="H8573" i="7"/>
  <c r="H8574" i="7"/>
  <c r="H8575" i="7"/>
  <c r="H8576" i="7"/>
  <c r="H8577" i="7"/>
  <c r="H8578" i="7"/>
  <c r="H8579" i="7"/>
  <c r="H8580" i="7"/>
  <c r="H8581" i="7"/>
  <c r="H8582" i="7"/>
  <c r="H8583" i="7"/>
  <c r="H8584" i="7"/>
  <c r="H8585" i="7"/>
  <c r="H8586" i="7"/>
  <c r="H8587" i="7"/>
  <c r="H8588" i="7"/>
  <c r="H8589" i="7"/>
  <c r="H8590" i="7"/>
  <c r="H8591" i="7"/>
  <c r="H8592" i="7"/>
  <c r="H8593" i="7"/>
  <c r="H8594" i="7"/>
  <c r="H8595" i="7"/>
  <c r="H8596" i="7"/>
  <c r="H8597" i="7"/>
  <c r="H8598" i="7"/>
  <c r="H8599" i="7"/>
  <c r="H8600" i="7"/>
  <c r="H8601" i="7"/>
  <c r="H8602" i="7"/>
  <c r="H8603" i="7"/>
  <c r="H8604" i="7"/>
  <c r="H8605" i="7"/>
  <c r="H8606" i="7"/>
  <c r="H8607" i="7"/>
  <c r="H8608" i="7"/>
  <c r="H8609" i="7"/>
  <c r="H8610" i="7"/>
  <c r="H8611" i="7"/>
  <c r="H8612" i="7"/>
  <c r="H8613" i="7"/>
  <c r="H8614" i="7"/>
  <c r="H8615" i="7"/>
  <c r="H8616" i="7"/>
  <c r="H8617" i="7"/>
  <c r="H8618" i="7"/>
  <c r="H8619" i="7"/>
  <c r="H8620" i="7"/>
  <c r="H8621" i="7"/>
  <c r="H8622" i="7"/>
  <c r="H8623" i="7"/>
  <c r="H8624" i="7"/>
  <c r="H8625" i="7"/>
  <c r="H8626" i="7"/>
  <c r="H8627" i="7"/>
  <c r="H8628" i="7"/>
  <c r="H8629" i="7"/>
  <c r="H8630" i="7"/>
  <c r="H8631" i="7"/>
  <c r="H8632" i="7"/>
  <c r="H8633" i="7"/>
  <c r="H8634" i="7"/>
  <c r="H8635" i="7"/>
  <c r="H8636" i="7"/>
  <c r="H8637" i="7"/>
  <c r="H8638" i="7"/>
  <c r="H8639" i="7"/>
  <c r="H8640" i="7"/>
  <c r="H8641" i="7"/>
  <c r="H8642" i="7"/>
  <c r="H8643" i="7"/>
  <c r="H8644" i="7"/>
  <c r="H8645" i="7"/>
  <c r="H8646" i="7"/>
  <c r="H8647" i="7"/>
  <c r="H8648" i="7"/>
  <c r="H8649" i="7"/>
  <c r="H8650" i="7"/>
  <c r="H8651" i="7"/>
  <c r="H8652" i="7"/>
  <c r="H8653" i="7"/>
  <c r="H8654" i="7"/>
  <c r="H8655" i="7"/>
  <c r="H8656" i="7"/>
  <c r="H8657" i="7"/>
  <c r="H8658" i="7"/>
  <c r="H8659" i="7"/>
  <c r="H8660" i="7"/>
  <c r="H8661" i="7"/>
  <c r="H8662" i="7"/>
  <c r="H8663" i="7"/>
  <c r="H8664" i="7"/>
  <c r="H8665" i="7"/>
  <c r="H8666" i="7"/>
  <c r="H8667" i="7"/>
  <c r="H8668" i="7"/>
  <c r="H8669" i="7"/>
  <c r="H8670" i="7"/>
  <c r="H8671" i="7"/>
  <c r="H8672" i="7"/>
  <c r="H8673" i="7"/>
  <c r="H8674" i="7"/>
  <c r="H8675" i="7"/>
  <c r="H8676" i="7"/>
  <c r="H8677" i="7"/>
  <c r="H8678" i="7"/>
  <c r="H8679" i="7"/>
  <c r="H8680" i="7"/>
  <c r="H8681" i="7"/>
  <c r="H8682" i="7"/>
  <c r="H8683" i="7"/>
  <c r="H8684" i="7"/>
  <c r="H8685" i="7"/>
  <c r="H8686" i="7"/>
  <c r="H8687" i="7"/>
  <c r="H8688" i="7"/>
  <c r="H8689" i="7"/>
  <c r="H8690" i="7"/>
  <c r="H8691" i="7"/>
  <c r="H8692" i="7"/>
  <c r="H8693" i="7"/>
  <c r="H8694" i="7"/>
  <c r="H8695" i="7"/>
  <c r="H8696" i="7"/>
  <c r="H8697" i="7"/>
  <c r="H8698" i="7"/>
  <c r="H8699" i="7"/>
  <c r="H8700" i="7"/>
  <c r="H8701" i="7"/>
  <c r="H8702" i="7"/>
  <c r="H8703" i="7"/>
  <c r="H8704" i="7"/>
  <c r="H8705" i="7"/>
  <c r="H8706" i="7"/>
  <c r="H8707" i="7"/>
  <c r="H8708" i="7"/>
  <c r="H8709" i="7"/>
  <c r="H8710" i="7"/>
  <c r="H8711" i="7"/>
  <c r="H8712" i="7"/>
  <c r="H8713" i="7"/>
  <c r="H8714" i="7"/>
  <c r="H8715" i="7"/>
  <c r="H8716" i="7"/>
  <c r="H8717" i="7"/>
  <c r="H8718" i="7"/>
  <c r="H8719" i="7"/>
  <c r="H8720" i="7"/>
  <c r="H8721" i="7"/>
  <c r="H8722" i="7"/>
  <c r="H8723" i="7"/>
  <c r="H8724" i="7"/>
  <c r="H8725" i="7"/>
  <c r="H8726" i="7"/>
  <c r="H8727" i="7"/>
  <c r="H8728" i="7"/>
  <c r="H8729" i="7"/>
  <c r="H8730" i="7"/>
  <c r="H8731" i="7"/>
  <c r="H8732" i="7"/>
  <c r="H8733" i="7"/>
  <c r="H8734" i="7"/>
  <c r="H8735" i="7"/>
  <c r="H8736" i="7"/>
  <c r="H8737" i="7"/>
  <c r="H8738" i="7"/>
  <c r="H8739" i="7"/>
  <c r="H8740" i="7"/>
  <c r="H8741" i="7"/>
  <c r="H8742" i="7"/>
  <c r="H8743" i="7"/>
  <c r="H8744" i="7"/>
  <c r="H8745" i="7"/>
  <c r="H8746" i="7"/>
  <c r="H8747" i="7"/>
  <c r="H8748" i="7"/>
  <c r="H8749" i="7"/>
  <c r="H8750" i="7"/>
  <c r="H8751" i="7"/>
  <c r="H8752" i="7"/>
  <c r="H8753" i="7"/>
  <c r="H8754" i="7"/>
  <c r="H8755" i="7"/>
  <c r="H8756" i="7"/>
  <c r="H8757" i="7"/>
  <c r="H8758" i="7"/>
  <c r="H8759" i="7"/>
  <c r="H8760" i="7"/>
  <c r="H8761" i="7"/>
  <c r="H8762" i="7"/>
  <c r="H8763" i="7"/>
  <c r="H8764" i="7"/>
  <c r="H8765" i="7"/>
  <c r="H8766" i="7"/>
  <c r="H8767" i="7"/>
  <c r="H8768" i="7"/>
  <c r="H8769" i="7"/>
  <c r="H8770" i="7"/>
  <c r="H8771" i="7"/>
  <c r="H8772" i="7"/>
  <c r="H8773" i="7"/>
  <c r="H8774" i="7"/>
  <c r="H8775" i="7"/>
  <c r="H8776" i="7"/>
  <c r="H8777" i="7"/>
  <c r="H8778" i="7"/>
  <c r="H8779" i="7"/>
  <c r="H8780" i="7"/>
  <c r="H8781" i="7"/>
  <c r="H8782" i="7"/>
  <c r="H8783" i="7"/>
  <c r="H8784" i="7"/>
  <c r="H8785" i="7"/>
  <c r="H8786" i="7"/>
  <c r="H8787" i="7"/>
  <c r="H8788" i="7"/>
  <c r="H8789" i="7"/>
  <c r="H8790" i="7"/>
  <c r="H8791" i="7"/>
  <c r="H8792" i="7"/>
  <c r="H8793" i="7"/>
  <c r="H8794" i="7"/>
  <c r="H8795" i="7"/>
  <c r="H8796" i="7"/>
  <c r="H8797" i="7"/>
  <c r="H8798" i="7"/>
  <c r="H8799" i="7"/>
  <c r="H8800" i="7"/>
  <c r="H8801" i="7"/>
  <c r="H8802" i="7"/>
  <c r="H8803" i="7"/>
  <c r="H8804" i="7"/>
  <c r="H8805" i="7"/>
  <c r="H8806" i="7"/>
  <c r="H8807" i="7"/>
  <c r="H8808" i="7"/>
  <c r="H8809" i="7"/>
  <c r="H8810" i="7"/>
  <c r="H8811" i="7"/>
  <c r="H8812" i="7"/>
  <c r="H8813" i="7"/>
  <c r="H8814" i="7"/>
  <c r="H8815" i="7"/>
  <c r="H8816" i="7"/>
  <c r="H8817" i="7"/>
  <c r="H8818" i="7"/>
  <c r="H8819" i="7"/>
  <c r="H8820" i="7"/>
  <c r="H8821" i="7"/>
  <c r="H8822" i="7"/>
  <c r="H8823" i="7"/>
  <c r="H8824" i="7"/>
  <c r="H8825" i="7"/>
  <c r="H8826" i="7"/>
  <c r="H8827" i="7"/>
  <c r="H8828" i="7"/>
  <c r="H8829" i="7"/>
  <c r="H8830" i="7"/>
  <c r="H8831" i="7"/>
  <c r="H8832" i="7"/>
  <c r="H8833" i="7"/>
  <c r="H8834" i="7"/>
  <c r="H8835" i="7"/>
  <c r="H8836" i="7"/>
  <c r="H8837" i="7"/>
  <c r="H8838" i="7"/>
  <c r="H8839" i="7"/>
  <c r="H8840" i="7"/>
  <c r="H8841" i="7"/>
  <c r="H8842" i="7"/>
  <c r="H8843" i="7"/>
  <c r="H8844" i="7"/>
  <c r="H8845" i="7"/>
  <c r="H8846" i="7"/>
  <c r="H8847" i="7"/>
  <c r="H8848" i="7"/>
  <c r="H8849" i="7"/>
  <c r="H8850" i="7"/>
  <c r="H8851" i="7"/>
  <c r="H8852" i="7"/>
  <c r="H8853" i="7"/>
  <c r="H8854" i="7"/>
  <c r="H8855" i="7"/>
  <c r="H8856" i="7"/>
  <c r="H8857" i="7"/>
  <c r="H8858" i="7"/>
  <c r="H8859" i="7"/>
  <c r="H8860" i="7"/>
  <c r="H8861" i="7"/>
  <c r="H8862" i="7"/>
  <c r="H8863" i="7"/>
  <c r="H8864" i="7"/>
  <c r="H8865" i="7"/>
  <c r="H8866" i="7"/>
  <c r="H8867" i="7"/>
  <c r="H8868" i="7"/>
  <c r="H8869" i="7"/>
  <c r="H8870" i="7"/>
  <c r="H8871" i="7"/>
  <c r="H8872" i="7"/>
  <c r="H8873" i="7"/>
  <c r="H8874" i="7"/>
  <c r="H8875" i="7"/>
  <c r="H8876" i="7"/>
  <c r="H8877" i="7"/>
  <c r="H8878" i="7"/>
  <c r="H8879" i="7"/>
  <c r="H8880" i="7"/>
  <c r="H8881" i="7"/>
  <c r="H8882" i="7"/>
  <c r="H8883" i="7"/>
  <c r="H8884" i="7"/>
  <c r="H8885" i="7"/>
  <c r="H8886" i="7"/>
  <c r="H8887" i="7"/>
  <c r="H8888" i="7"/>
  <c r="H8889" i="7"/>
  <c r="H8890" i="7"/>
  <c r="H8891" i="7"/>
  <c r="H8892" i="7"/>
  <c r="H8893" i="7"/>
  <c r="H8894" i="7"/>
  <c r="H8895" i="7"/>
  <c r="H8896" i="7"/>
  <c r="H8897" i="7"/>
  <c r="H8898" i="7"/>
  <c r="H8899" i="7"/>
  <c r="H8900" i="7"/>
  <c r="H8901" i="7"/>
  <c r="H8902" i="7"/>
  <c r="H8903" i="7"/>
  <c r="H8904" i="7"/>
  <c r="H8905" i="7"/>
  <c r="H8906" i="7"/>
  <c r="H8907" i="7"/>
  <c r="H8908" i="7"/>
  <c r="H8909" i="7"/>
  <c r="H8910" i="7"/>
  <c r="H8911" i="7"/>
  <c r="H8912" i="7"/>
  <c r="H8913" i="7"/>
  <c r="H8914" i="7"/>
  <c r="H8915" i="7"/>
  <c r="H8916" i="7"/>
  <c r="H8917" i="7"/>
  <c r="H8918" i="7"/>
  <c r="H8919" i="7"/>
  <c r="H8920" i="7"/>
  <c r="H8921" i="7"/>
  <c r="H8922" i="7"/>
  <c r="H8923" i="7"/>
  <c r="H8924" i="7"/>
  <c r="H8925" i="7"/>
  <c r="H8926" i="7"/>
  <c r="H8927" i="7"/>
  <c r="H8928" i="7"/>
  <c r="H8929" i="7"/>
  <c r="H8930" i="7"/>
  <c r="H8931" i="7"/>
  <c r="H8932" i="7"/>
  <c r="H8933" i="7"/>
  <c r="H8934" i="7"/>
  <c r="H8935" i="7"/>
  <c r="H8936" i="7"/>
  <c r="H8937" i="7"/>
  <c r="H8938" i="7"/>
  <c r="H8939" i="7"/>
  <c r="H8940" i="7"/>
  <c r="H8941" i="7"/>
  <c r="H8942" i="7"/>
  <c r="H8943" i="7"/>
  <c r="H8944" i="7"/>
  <c r="H8945" i="7"/>
  <c r="H8946" i="7"/>
  <c r="H8947" i="7"/>
  <c r="H8948" i="7"/>
  <c r="H8949" i="7"/>
  <c r="H8950" i="7"/>
  <c r="H8951" i="7"/>
  <c r="H8952" i="7"/>
  <c r="H8953" i="7"/>
  <c r="H8954" i="7"/>
  <c r="H8955" i="7"/>
  <c r="H8956" i="7"/>
  <c r="H8957" i="7"/>
  <c r="H8958" i="7"/>
  <c r="H8959" i="7"/>
  <c r="H8960" i="7"/>
  <c r="H8961" i="7"/>
  <c r="H8962" i="7"/>
  <c r="H8963" i="7"/>
  <c r="H8964" i="7"/>
  <c r="H8965" i="7"/>
  <c r="H8966" i="7"/>
  <c r="H8967" i="7"/>
  <c r="H8968" i="7"/>
  <c r="H8969" i="7"/>
  <c r="H8970" i="7"/>
  <c r="H8971" i="7"/>
  <c r="H8972" i="7"/>
  <c r="H8973" i="7"/>
  <c r="H8974" i="7"/>
  <c r="H8975" i="7"/>
  <c r="H8976" i="7"/>
  <c r="H8977" i="7"/>
  <c r="H8978" i="7"/>
  <c r="H8979" i="7"/>
  <c r="H8980" i="7"/>
  <c r="H8981" i="7"/>
  <c r="H8982" i="7"/>
  <c r="H8983" i="7"/>
  <c r="H8984" i="7"/>
  <c r="H8985" i="7"/>
  <c r="H8986" i="7"/>
  <c r="H8987" i="7"/>
  <c r="H8988" i="7"/>
  <c r="H8989" i="7"/>
  <c r="H8990" i="7"/>
  <c r="H8991" i="7"/>
  <c r="H8992" i="7"/>
  <c r="H8993" i="7"/>
  <c r="H8994" i="7"/>
  <c r="H8995" i="7"/>
  <c r="H8996" i="7"/>
  <c r="H8997" i="7"/>
  <c r="H8998" i="7"/>
  <c r="H8999" i="7"/>
  <c r="H9000" i="7"/>
  <c r="H9001" i="7"/>
  <c r="H9002" i="7"/>
  <c r="H9003" i="7"/>
  <c r="H9004" i="7"/>
  <c r="H9005" i="7"/>
  <c r="H9006" i="7"/>
  <c r="H9007" i="7"/>
  <c r="H9008" i="7"/>
  <c r="H9009" i="7"/>
  <c r="H9010" i="7"/>
  <c r="H9011" i="7"/>
  <c r="H9012" i="7"/>
  <c r="H9013" i="7"/>
  <c r="H9014" i="7"/>
  <c r="H9015" i="7"/>
  <c r="H9016" i="7"/>
  <c r="H9017" i="7"/>
  <c r="H9018" i="7"/>
  <c r="H9019" i="7"/>
  <c r="H9020" i="7"/>
  <c r="H9021" i="7"/>
  <c r="H9022" i="7"/>
  <c r="H9023" i="7"/>
  <c r="H9024" i="7"/>
  <c r="H9025" i="7"/>
  <c r="H9026" i="7"/>
  <c r="H9027" i="7"/>
  <c r="H9028" i="7"/>
  <c r="H9029" i="7"/>
  <c r="H9030" i="7"/>
  <c r="H9031" i="7"/>
  <c r="H9032" i="7"/>
  <c r="H9033" i="7"/>
  <c r="H9034" i="7"/>
  <c r="H9035" i="7"/>
  <c r="H9036" i="7"/>
  <c r="H9037" i="7"/>
  <c r="H9038" i="7"/>
  <c r="H9039" i="7"/>
  <c r="H9040" i="7"/>
  <c r="H9041" i="7"/>
  <c r="H9042" i="7"/>
  <c r="H9043" i="7"/>
  <c r="H9044" i="7"/>
  <c r="H9045" i="7"/>
  <c r="H9046" i="7"/>
  <c r="H9047" i="7"/>
  <c r="H9048" i="7"/>
  <c r="H9049" i="7"/>
  <c r="H9050" i="7"/>
  <c r="H9051" i="7"/>
  <c r="H9052" i="7"/>
  <c r="H9053" i="7"/>
  <c r="H9054" i="7"/>
  <c r="H9055" i="7"/>
  <c r="H9056" i="7"/>
  <c r="H9057" i="7"/>
  <c r="H9058" i="7"/>
  <c r="H9059" i="7"/>
  <c r="H9060" i="7"/>
  <c r="H9061" i="7"/>
  <c r="H9062" i="7"/>
  <c r="H9063" i="7"/>
  <c r="H9064" i="7"/>
  <c r="H9065" i="7"/>
  <c r="H9066" i="7"/>
  <c r="H9067" i="7"/>
  <c r="H9068" i="7"/>
  <c r="H9069" i="7"/>
  <c r="H9070" i="7"/>
  <c r="H9071" i="7"/>
  <c r="H9072" i="7"/>
  <c r="H9073" i="7"/>
  <c r="H9074" i="7"/>
  <c r="H9075" i="7"/>
  <c r="H9076" i="7"/>
  <c r="H9077" i="7"/>
  <c r="H9078" i="7"/>
  <c r="H9079" i="7"/>
  <c r="H9080" i="7"/>
  <c r="H9081" i="7"/>
  <c r="H9082" i="7"/>
  <c r="H9083" i="7"/>
  <c r="H9084" i="7"/>
  <c r="H9085" i="7"/>
  <c r="H9086" i="7"/>
  <c r="H9087" i="7"/>
  <c r="H9088" i="7"/>
  <c r="H9089" i="7"/>
  <c r="H9090" i="7"/>
  <c r="H9091" i="7"/>
  <c r="H9092" i="7"/>
  <c r="H9093" i="7"/>
  <c r="H9094" i="7"/>
  <c r="H9095" i="7"/>
  <c r="H9096" i="7"/>
  <c r="H9097" i="7"/>
  <c r="H9098" i="7"/>
  <c r="H9099" i="7"/>
  <c r="H9100" i="7"/>
  <c r="H9101" i="7"/>
  <c r="H9102" i="7"/>
  <c r="H9103" i="7"/>
  <c r="H9104" i="7"/>
  <c r="H9105" i="7"/>
  <c r="H9106" i="7"/>
  <c r="H9107" i="7"/>
  <c r="H9108" i="7"/>
  <c r="H9109" i="7"/>
  <c r="H9110" i="7"/>
  <c r="H9111" i="7"/>
  <c r="H9112" i="7"/>
  <c r="H9113" i="7"/>
  <c r="H9114" i="7"/>
  <c r="H9115" i="7"/>
  <c r="H9116" i="7"/>
  <c r="H9117" i="7"/>
  <c r="H9118" i="7"/>
  <c r="H9119" i="7"/>
  <c r="H9120" i="7"/>
  <c r="H9121" i="7"/>
  <c r="H9122" i="7"/>
  <c r="H9123" i="7"/>
  <c r="H9124" i="7"/>
  <c r="H9125" i="7"/>
  <c r="H9126" i="7"/>
  <c r="H9127" i="7"/>
  <c r="H9128" i="7"/>
  <c r="H9129" i="7"/>
  <c r="H9130" i="7"/>
  <c r="H9131" i="7"/>
  <c r="H9132" i="7"/>
  <c r="H9133" i="7"/>
  <c r="H9134" i="7"/>
  <c r="H9135" i="7"/>
  <c r="H9136" i="7"/>
  <c r="H9137" i="7"/>
  <c r="H9138" i="7"/>
  <c r="H9139" i="7"/>
  <c r="H9140" i="7"/>
  <c r="H9141" i="7"/>
  <c r="H9142" i="7"/>
  <c r="H9143" i="7"/>
  <c r="H9144" i="7"/>
  <c r="H9145" i="7"/>
  <c r="H9146" i="7"/>
  <c r="H9147" i="7"/>
  <c r="H9148" i="7"/>
  <c r="H9149" i="7"/>
  <c r="H9150" i="7"/>
  <c r="H9151" i="7"/>
  <c r="H9152" i="7"/>
  <c r="H9153" i="7"/>
  <c r="H9154" i="7"/>
  <c r="H9155" i="7"/>
  <c r="H9156" i="7"/>
  <c r="H9157" i="7"/>
  <c r="H9158" i="7"/>
  <c r="H9159" i="7"/>
  <c r="H9160" i="7"/>
  <c r="H9161" i="7"/>
  <c r="H9162" i="7"/>
  <c r="H9163" i="7"/>
  <c r="H9164" i="7"/>
  <c r="H9165" i="7"/>
  <c r="H9166" i="7"/>
  <c r="H9167" i="7"/>
  <c r="H9168" i="7"/>
  <c r="H9169" i="7"/>
  <c r="H9170" i="7"/>
  <c r="H9171" i="7"/>
  <c r="H9172" i="7"/>
  <c r="H9173" i="7"/>
  <c r="H9174" i="7"/>
  <c r="H9175" i="7"/>
  <c r="H9176" i="7"/>
  <c r="H9177" i="7"/>
  <c r="H9178" i="7"/>
  <c r="H9179" i="7"/>
  <c r="H9180" i="7"/>
  <c r="H9181" i="7"/>
  <c r="H9182" i="7"/>
  <c r="H9183" i="7"/>
  <c r="H9184" i="7"/>
  <c r="H9185" i="7"/>
  <c r="H9186" i="7"/>
  <c r="H9187" i="7"/>
  <c r="H9188" i="7"/>
  <c r="H9189" i="7"/>
  <c r="H9190" i="7"/>
  <c r="H9191" i="7"/>
  <c r="H9192" i="7"/>
  <c r="H9193" i="7"/>
  <c r="H9194" i="7"/>
  <c r="H9195" i="7"/>
  <c r="H9196" i="7"/>
  <c r="H9197" i="7"/>
  <c r="H9198" i="7"/>
  <c r="H9199" i="7"/>
  <c r="H9200" i="7"/>
  <c r="H9201" i="7"/>
  <c r="H9202" i="7"/>
  <c r="H9203" i="7"/>
  <c r="H9204" i="7"/>
  <c r="H9205" i="7"/>
  <c r="H9206" i="7"/>
  <c r="H9207" i="7"/>
  <c r="H9208" i="7"/>
  <c r="H9209" i="7"/>
  <c r="H9210" i="7"/>
  <c r="H9211" i="7"/>
  <c r="H9212" i="7"/>
  <c r="H9213" i="7"/>
  <c r="H9214" i="7"/>
  <c r="H9215" i="7"/>
  <c r="H9216" i="7"/>
  <c r="H9217" i="7"/>
  <c r="H9218" i="7"/>
  <c r="H9219" i="7"/>
  <c r="H9220" i="7"/>
  <c r="H9221" i="7"/>
  <c r="H9222" i="7"/>
  <c r="H9223" i="7"/>
  <c r="H9224" i="7"/>
  <c r="H9225" i="7"/>
  <c r="H9226" i="7"/>
  <c r="H9227" i="7"/>
  <c r="H9228" i="7"/>
  <c r="H9229" i="7"/>
  <c r="H9230" i="7"/>
  <c r="H9231" i="7"/>
  <c r="H9232" i="7"/>
  <c r="H9233" i="7"/>
  <c r="H9234" i="7"/>
  <c r="H9235" i="7"/>
  <c r="H9236" i="7"/>
  <c r="H9237" i="7"/>
  <c r="H9238" i="7"/>
  <c r="H9239" i="7"/>
  <c r="H9240" i="7"/>
  <c r="H9241" i="7"/>
  <c r="H9242" i="7"/>
  <c r="H9243" i="7"/>
  <c r="H9244" i="7"/>
  <c r="H9245" i="7"/>
  <c r="H9246" i="7"/>
  <c r="H9247" i="7"/>
  <c r="H9248" i="7"/>
  <c r="H9249" i="7"/>
  <c r="H9250" i="7"/>
  <c r="H9251" i="7"/>
  <c r="H9252" i="7"/>
  <c r="H9253" i="7"/>
  <c r="H9254" i="7"/>
  <c r="H9255" i="7"/>
  <c r="H9256" i="7"/>
  <c r="H9257" i="7"/>
  <c r="H9258" i="7"/>
  <c r="H9259" i="7"/>
  <c r="H9260" i="7"/>
  <c r="H9261" i="7"/>
  <c r="H9262" i="7"/>
  <c r="H9263" i="7"/>
  <c r="H9264" i="7"/>
  <c r="H9265" i="7"/>
  <c r="H9266" i="7"/>
  <c r="H9267" i="7"/>
  <c r="H9268" i="7"/>
  <c r="H9269" i="7"/>
  <c r="H9270" i="7"/>
  <c r="H9271" i="7"/>
  <c r="H9272" i="7"/>
  <c r="H9273" i="7"/>
  <c r="H9274" i="7"/>
  <c r="H9275" i="7"/>
  <c r="H9276" i="7"/>
  <c r="H9277" i="7"/>
  <c r="H9278" i="7"/>
  <c r="H9279" i="7"/>
  <c r="H9280" i="7"/>
  <c r="H9281" i="7"/>
  <c r="H9282" i="7"/>
  <c r="H9283" i="7"/>
  <c r="H9284" i="7"/>
  <c r="H9285" i="7"/>
  <c r="H9286" i="7"/>
  <c r="H9287" i="7"/>
  <c r="H9288" i="7"/>
  <c r="H9289" i="7"/>
  <c r="H9290" i="7"/>
  <c r="H9291" i="7"/>
  <c r="H9292" i="7"/>
  <c r="H9293" i="7"/>
  <c r="H9294" i="7"/>
  <c r="H9295" i="7"/>
  <c r="H9296" i="7"/>
  <c r="H9297" i="7"/>
  <c r="H9298" i="7"/>
  <c r="H9299" i="7"/>
  <c r="H9300" i="7"/>
  <c r="H9301" i="7"/>
  <c r="H9302" i="7"/>
  <c r="H9303" i="7"/>
  <c r="H9304" i="7"/>
  <c r="H9305" i="7"/>
  <c r="H9306" i="7"/>
  <c r="H9307" i="7"/>
  <c r="H9308" i="7"/>
  <c r="H9309" i="7"/>
  <c r="H9310" i="7"/>
  <c r="H9311" i="7"/>
  <c r="H9312" i="7"/>
  <c r="H9313" i="7"/>
  <c r="H9314" i="7"/>
  <c r="H9315" i="7"/>
  <c r="H9316" i="7"/>
  <c r="H9317" i="7"/>
  <c r="H9318" i="7"/>
  <c r="H9319" i="7"/>
  <c r="H9320" i="7"/>
  <c r="H9321" i="7"/>
  <c r="H9322" i="7"/>
  <c r="H9323" i="7"/>
  <c r="H9324" i="7"/>
  <c r="H9325" i="7"/>
  <c r="H9326" i="7"/>
  <c r="H9327" i="7"/>
  <c r="H9328" i="7"/>
  <c r="H9329" i="7"/>
  <c r="H9330" i="7"/>
  <c r="H9331" i="7"/>
  <c r="H9332" i="7"/>
  <c r="H9333" i="7"/>
  <c r="H9334" i="7"/>
  <c r="H9335" i="7"/>
  <c r="H9336" i="7"/>
  <c r="H9337" i="7"/>
  <c r="H9338" i="7"/>
  <c r="H9339" i="7"/>
  <c r="H9340" i="7"/>
  <c r="H9341" i="7"/>
  <c r="H9342" i="7"/>
  <c r="H9343" i="7"/>
  <c r="H9344" i="7"/>
  <c r="H9345" i="7"/>
  <c r="H9346" i="7"/>
  <c r="H9347" i="7"/>
  <c r="H9348" i="7"/>
  <c r="H9349" i="7"/>
  <c r="H9350" i="7"/>
  <c r="H9351" i="7"/>
  <c r="H9352" i="7"/>
  <c r="H9353" i="7"/>
  <c r="H9354" i="7"/>
  <c r="H9355" i="7"/>
  <c r="H9356" i="7"/>
  <c r="H9357" i="7"/>
  <c r="H9358" i="7"/>
  <c r="H9359" i="7"/>
  <c r="H9360" i="7"/>
  <c r="H9361" i="7"/>
  <c r="H9362" i="7"/>
  <c r="H9363" i="7"/>
  <c r="H9364" i="7"/>
  <c r="H9365" i="7"/>
  <c r="H9366" i="7"/>
  <c r="H9367" i="7"/>
  <c r="H9368" i="7"/>
  <c r="H9369" i="7"/>
  <c r="H9370" i="7"/>
  <c r="H9371" i="7"/>
  <c r="H9372" i="7"/>
  <c r="H9373" i="7"/>
  <c r="H9374" i="7"/>
  <c r="H9375" i="7"/>
  <c r="H9376" i="7"/>
  <c r="H9377" i="7"/>
  <c r="H9378" i="7"/>
  <c r="H9379" i="7"/>
  <c r="H9380" i="7"/>
  <c r="H9381" i="7"/>
  <c r="H9382" i="7"/>
  <c r="H9383" i="7"/>
  <c r="H9384" i="7"/>
  <c r="H9385" i="7"/>
  <c r="H9386" i="7"/>
  <c r="H9387" i="7"/>
  <c r="H9388" i="7"/>
  <c r="H9389" i="7"/>
  <c r="H9390" i="7"/>
  <c r="H9391" i="7"/>
  <c r="H9392" i="7"/>
  <c r="H9393" i="7"/>
  <c r="H9394" i="7"/>
  <c r="H9395" i="7"/>
  <c r="H9396" i="7"/>
  <c r="H9397" i="7"/>
  <c r="H9398" i="7"/>
  <c r="H9399" i="7"/>
  <c r="H9400" i="7"/>
  <c r="H9401" i="7"/>
  <c r="H9402" i="7"/>
  <c r="H9403" i="7"/>
  <c r="H9404" i="7"/>
  <c r="H9405" i="7"/>
  <c r="H9406" i="7"/>
  <c r="H9407" i="7"/>
  <c r="H9408" i="7"/>
  <c r="H9409" i="7"/>
  <c r="H9410" i="7"/>
  <c r="H9411" i="7"/>
  <c r="H9412" i="7"/>
  <c r="H9413" i="7"/>
  <c r="H9414" i="7"/>
  <c r="H9415" i="7"/>
  <c r="H9416" i="7"/>
  <c r="H9417" i="7"/>
  <c r="H9418" i="7"/>
  <c r="H9419" i="7"/>
  <c r="H9420" i="7"/>
  <c r="H9421" i="7"/>
  <c r="H9422" i="7"/>
  <c r="H9423" i="7"/>
  <c r="H9424" i="7"/>
  <c r="H9425" i="7"/>
  <c r="H9426" i="7"/>
  <c r="H9427" i="7"/>
  <c r="H9428" i="7"/>
  <c r="H9429" i="7"/>
  <c r="H9430" i="7"/>
  <c r="H9431" i="7"/>
  <c r="H9432" i="7"/>
  <c r="H9433" i="7"/>
  <c r="H9434" i="7"/>
  <c r="H9435" i="7"/>
  <c r="H9436" i="7"/>
  <c r="H9437" i="7"/>
  <c r="H9438" i="7"/>
  <c r="H9439" i="7"/>
  <c r="H9440" i="7"/>
  <c r="H9441" i="7"/>
  <c r="H9442" i="7"/>
  <c r="H9443" i="7"/>
  <c r="H9444" i="7"/>
  <c r="H9445" i="7"/>
  <c r="H9446" i="7"/>
  <c r="H9447" i="7"/>
  <c r="H9448" i="7"/>
  <c r="H9449" i="7"/>
  <c r="H9450" i="7"/>
  <c r="H9451" i="7"/>
  <c r="H9452" i="7"/>
  <c r="H9453" i="7"/>
  <c r="H9454" i="7"/>
  <c r="H9455" i="7"/>
  <c r="H9456" i="7"/>
  <c r="H9457" i="7"/>
  <c r="H9458" i="7"/>
  <c r="H9459" i="7"/>
  <c r="H9460" i="7"/>
  <c r="H9461" i="7"/>
  <c r="H9462" i="7"/>
  <c r="H9463" i="7"/>
  <c r="H9464" i="7"/>
  <c r="H9465" i="7"/>
  <c r="G2" i="7"/>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75" i="7"/>
  <c r="G76" i="7"/>
  <c r="G77" i="7"/>
  <c r="G78" i="7"/>
  <c r="G79" i="7"/>
  <c r="G80" i="7"/>
  <c r="G81" i="7"/>
  <c r="G82" i="7"/>
  <c r="G83" i="7"/>
  <c r="G84" i="7"/>
  <c r="G85" i="7"/>
  <c r="G86" i="7"/>
  <c r="G87" i="7"/>
  <c r="G88" i="7"/>
  <c r="G89" i="7"/>
  <c r="G90" i="7"/>
  <c r="G91" i="7"/>
  <c r="G92" i="7"/>
  <c r="G93" i="7"/>
  <c r="G94" i="7"/>
  <c r="G95" i="7"/>
  <c r="G96" i="7"/>
  <c r="G97" i="7"/>
  <c r="G98" i="7"/>
  <c r="G99" i="7"/>
  <c r="G100" i="7"/>
  <c r="G101" i="7"/>
  <c r="G102" i="7"/>
  <c r="G103" i="7"/>
  <c r="G104" i="7"/>
  <c r="G105" i="7"/>
  <c r="G106" i="7"/>
  <c r="G107" i="7"/>
  <c r="G108" i="7"/>
  <c r="G109" i="7"/>
  <c r="G110" i="7"/>
  <c r="G111" i="7"/>
  <c r="G112" i="7"/>
  <c r="G113" i="7"/>
  <c r="G114" i="7"/>
  <c r="G115" i="7"/>
  <c r="G116" i="7"/>
  <c r="G117" i="7"/>
  <c r="G118" i="7"/>
  <c r="G119" i="7"/>
  <c r="G120" i="7"/>
  <c r="G121" i="7"/>
  <c r="G122" i="7"/>
  <c r="G123" i="7"/>
  <c r="G124" i="7"/>
  <c r="G125" i="7"/>
  <c r="G126" i="7"/>
  <c r="G127" i="7"/>
  <c r="G128" i="7"/>
  <c r="G129" i="7"/>
  <c r="G130" i="7"/>
  <c r="G131" i="7"/>
  <c r="G132" i="7"/>
  <c r="G133" i="7"/>
  <c r="G134" i="7"/>
  <c r="G135" i="7"/>
  <c r="G136" i="7"/>
  <c r="G137" i="7"/>
  <c r="G138" i="7"/>
  <c r="G139" i="7"/>
  <c r="G140" i="7"/>
  <c r="G141" i="7"/>
  <c r="G142" i="7"/>
  <c r="G143" i="7"/>
  <c r="G144" i="7"/>
  <c r="G145" i="7"/>
  <c r="G146" i="7"/>
  <c r="G147" i="7"/>
  <c r="G148" i="7"/>
  <c r="G149" i="7"/>
  <c r="G150" i="7"/>
  <c r="G151" i="7"/>
  <c r="G152" i="7"/>
  <c r="G153" i="7"/>
  <c r="G154" i="7"/>
  <c r="G155" i="7"/>
  <c r="G156" i="7"/>
  <c r="G157" i="7"/>
  <c r="G158" i="7"/>
  <c r="G159" i="7"/>
  <c r="G160" i="7"/>
  <c r="G161" i="7"/>
  <c r="G162" i="7"/>
  <c r="G163" i="7"/>
  <c r="G164" i="7"/>
  <c r="G165" i="7"/>
  <c r="G166" i="7"/>
  <c r="G167" i="7"/>
  <c r="G168" i="7"/>
  <c r="G169" i="7"/>
  <c r="G170" i="7"/>
  <c r="G171" i="7"/>
  <c r="G172" i="7"/>
  <c r="G173" i="7"/>
  <c r="G174" i="7"/>
  <c r="G175" i="7"/>
  <c r="G176" i="7"/>
  <c r="G177" i="7"/>
  <c r="G178" i="7"/>
  <c r="G179" i="7"/>
  <c r="G180" i="7"/>
  <c r="G181" i="7"/>
  <c r="G182" i="7"/>
  <c r="G183" i="7"/>
  <c r="G184" i="7"/>
  <c r="G185" i="7"/>
  <c r="G186" i="7"/>
  <c r="G187" i="7"/>
  <c r="G188" i="7"/>
  <c r="G189" i="7"/>
  <c r="G190" i="7"/>
  <c r="G191" i="7"/>
  <c r="G192" i="7"/>
  <c r="G193" i="7"/>
  <c r="G194" i="7"/>
  <c r="G195" i="7"/>
  <c r="G196" i="7"/>
  <c r="G197" i="7"/>
  <c r="G198" i="7"/>
  <c r="G199" i="7"/>
  <c r="G200" i="7"/>
  <c r="G201" i="7"/>
  <c r="G202" i="7"/>
  <c r="G203" i="7"/>
  <c r="G204" i="7"/>
  <c r="G205" i="7"/>
  <c r="G206" i="7"/>
  <c r="G207" i="7"/>
  <c r="G208" i="7"/>
  <c r="G209" i="7"/>
  <c r="G210" i="7"/>
  <c r="G211" i="7"/>
  <c r="G212" i="7"/>
  <c r="G213" i="7"/>
  <c r="G214" i="7"/>
  <c r="G215" i="7"/>
  <c r="G216" i="7"/>
  <c r="G217" i="7"/>
  <c r="G218" i="7"/>
  <c r="G219" i="7"/>
  <c r="G220" i="7"/>
  <c r="G221" i="7"/>
  <c r="G222" i="7"/>
  <c r="G223" i="7"/>
  <c r="G224" i="7"/>
  <c r="G225" i="7"/>
  <c r="G226" i="7"/>
  <c r="G227" i="7"/>
  <c r="G228" i="7"/>
  <c r="G229" i="7"/>
  <c r="G230" i="7"/>
  <c r="G231" i="7"/>
  <c r="G232" i="7"/>
  <c r="G233" i="7"/>
  <c r="G234" i="7"/>
  <c r="G235" i="7"/>
  <c r="G236" i="7"/>
  <c r="G237" i="7"/>
  <c r="G238" i="7"/>
  <c r="G239" i="7"/>
  <c r="G240" i="7"/>
  <c r="G241" i="7"/>
  <c r="G242" i="7"/>
  <c r="G243" i="7"/>
  <c r="G244" i="7"/>
  <c r="G245" i="7"/>
  <c r="G246" i="7"/>
  <c r="G247" i="7"/>
  <c r="G248" i="7"/>
  <c r="G249" i="7"/>
  <c r="G250" i="7"/>
  <c r="G251" i="7"/>
  <c r="G252" i="7"/>
  <c r="G253" i="7"/>
  <c r="G254" i="7"/>
  <c r="G255" i="7"/>
  <c r="G256" i="7"/>
  <c r="G257" i="7"/>
  <c r="G258" i="7"/>
  <c r="G259" i="7"/>
  <c r="G260" i="7"/>
  <c r="G261" i="7"/>
  <c r="G262" i="7"/>
  <c r="G263" i="7"/>
  <c r="G264" i="7"/>
  <c r="G265" i="7"/>
  <c r="G266" i="7"/>
  <c r="G267" i="7"/>
  <c r="G268" i="7"/>
  <c r="G269" i="7"/>
  <c r="G270" i="7"/>
  <c r="G271" i="7"/>
  <c r="G272" i="7"/>
  <c r="G273" i="7"/>
  <c r="G274" i="7"/>
  <c r="G275" i="7"/>
  <c r="G276" i="7"/>
  <c r="G277" i="7"/>
  <c r="G278" i="7"/>
  <c r="G279" i="7"/>
  <c r="G280" i="7"/>
  <c r="G281" i="7"/>
  <c r="G282" i="7"/>
  <c r="G283" i="7"/>
  <c r="G284" i="7"/>
  <c r="G285" i="7"/>
  <c r="G286" i="7"/>
  <c r="G287" i="7"/>
  <c r="G288" i="7"/>
  <c r="G289" i="7"/>
  <c r="G290" i="7"/>
  <c r="G291" i="7"/>
  <c r="G292" i="7"/>
  <c r="G293" i="7"/>
  <c r="G294" i="7"/>
  <c r="G295" i="7"/>
  <c r="G296" i="7"/>
  <c r="G297" i="7"/>
  <c r="G298" i="7"/>
  <c r="G299" i="7"/>
  <c r="G300" i="7"/>
  <c r="G301" i="7"/>
  <c r="G302" i="7"/>
  <c r="G303" i="7"/>
  <c r="G304" i="7"/>
  <c r="G305" i="7"/>
  <c r="G306" i="7"/>
  <c r="G307" i="7"/>
  <c r="G308" i="7"/>
  <c r="G309" i="7"/>
  <c r="G310" i="7"/>
  <c r="G311" i="7"/>
  <c r="G312" i="7"/>
  <c r="G313" i="7"/>
  <c r="G314" i="7"/>
  <c r="G315" i="7"/>
  <c r="G316" i="7"/>
  <c r="G317" i="7"/>
  <c r="G318" i="7"/>
  <c r="G319" i="7"/>
  <c r="G320" i="7"/>
  <c r="G321" i="7"/>
  <c r="G322" i="7"/>
  <c r="G323" i="7"/>
  <c r="G324" i="7"/>
  <c r="G325" i="7"/>
  <c r="G326" i="7"/>
  <c r="G327" i="7"/>
  <c r="G328" i="7"/>
  <c r="G329" i="7"/>
  <c r="G330" i="7"/>
  <c r="G331" i="7"/>
  <c r="G332" i="7"/>
  <c r="G333" i="7"/>
  <c r="G334" i="7"/>
  <c r="G335" i="7"/>
  <c r="G336" i="7"/>
  <c r="G337" i="7"/>
  <c r="G338" i="7"/>
  <c r="G339" i="7"/>
  <c r="G340" i="7"/>
  <c r="G341" i="7"/>
  <c r="G342" i="7"/>
  <c r="G343" i="7"/>
  <c r="G344" i="7"/>
  <c r="G345" i="7"/>
  <c r="G346" i="7"/>
  <c r="G347" i="7"/>
  <c r="G348" i="7"/>
  <c r="G349" i="7"/>
  <c r="G350" i="7"/>
  <c r="G351" i="7"/>
  <c r="G352" i="7"/>
  <c r="G353" i="7"/>
  <c r="G354" i="7"/>
  <c r="G355" i="7"/>
  <c r="G356" i="7"/>
  <c r="G357" i="7"/>
  <c r="G358" i="7"/>
  <c r="G359" i="7"/>
  <c r="G360" i="7"/>
  <c r="G361" i="7"/>
  <c r="G362" i="7"/>
  <c r="G363" i="7"/>
  <c r="G364" i="7"/>
  <c r="G365" i="7"/>
  <c r="G366" i="7"/>
  <c r="G367" i="7"/>
  <c r="G368" i="7"/>
  <c r="G369" i="7"/>
  <c r="G370" i="7"/>
  <c r="G371" i="7"/>
  <c r="G372" i="7"/>
  <c r="G373" i="7"/>
  <c r="G374" i="7"/>
  <c r="G375" i="7"/>
  <c r="G376" i="7"/>
  <c r="G377" i="7"/>
  <c r="G378" i="7"/>
  <c r="G379" i="7"/>
  <c r="G380" i="7"/>
  <c r="G381" i="7"/>
  <c r="G382" i="7"/>
  <c r="G383" i="7"/>
  <c r="G384" i="7"/>
  <c r="G385" i="7"/>
  <c r="G386" i="7"/>
  <c r="G387" i="7"/>
  <c r="G388" i="7"/>
  <c r="G389" i="7"/>
  <c r="G390" i="7"/>
  <c r="G391" i="7"/>
  <c r="G392" i="7"/>
  <c r="G393" i="7"/>
  <c r="G394" i="7"/>
  <c r="G395" i="7"/>
  <c r="G396" i="7"/>
  <c r="G397" i="7"/>
  <c r="G398" i="7"/>
  <c r="G399" i="7"/>
  <c r="G400" i="7"/>
  <c r="G401" i="7"/>
  <c r="G402" i="7"/>
  <c r="G403" i="7"/>
  <c r="G404" i="7"/>
  <c r="G405" i="7"/>
  <c r="G406" i="7"/>
  <c r="G407" i="7"/>
  <c r="G408" i="7"/>
  <c r="G409" i="7"/>
  <c r="G410" i="7"/>
  <c r="G411" i="7"/>
  <c r="G412" i="7"/>
  <c r="G413" i="7"/>
  <c r="G414" i="7"/>
  <c r="G415" i="7"/>
  <c r="G416" i="7"/>
  <c r="G417" i="7"/>
  <c r="G418" i="7"/>
  <c r="G419" i="7"/>
  <c r="G420" i="7"/>
  <c r="G421" i="7"/>
  <c r="G422" i="7"/>
  <c r="G423" i="7"/>
  <c r="G424" i="7"/>
  <c r="G425" i="7"/>
  <c r="G426" i="7"/>
  <c r="G427" i="7"/>
  <c r="G428" i="7"/>
  <c r="G429" i="7"/>
  <c r="G430" i="7"/>
  <c r="G431" i="7"/>
  <c r="G432" i="7"/>
  <c r="G433" i="7"/>
  <c r="G434" i="7"/>
  <c r="G435" i="7"/>
  <c r="G436" i="7"/>
  <c r="G437" i="7"/>
  <c r="G438" i="7"/>
  <c r="G439" i="7"/>
  <c r="G440" i="7"/>
  <c r="G441" i="7"/>
  <c r="G442" i="7"/>
  <c r="G443" i="7"/>
  <c r="G444" i="7"/>
  <c r="G445" i="7"/>
  <c r="G446" i="7"/>
  <c r="G447" i="7"/>
  <c r="G448" i="7"/>
  <c r="G449" i="7"/>
  <c r="G450" i="7"/>
  <c r="G451" i="7"/>
  <c r="G452" i="7"/>
  <c r="G453" i="7"/>
  <c r="G454" i="7"/>
  <c r="G455" i="7"/>
  <c r="G456" i="7"/>
  <c r="G457" i="7"/>
  <c r="G458" i="7"/>
  <c r="G459" i="7"/>
  <c r="G460" i="7"/>
  <c r="G461" i="7"/>
  <c r="G462" i="7"/>
  <c r="G463" i="7"/>
  <c r="G464" i="7"/>
  <c r="G465" i="7"/>
  <c r="G466" i="7"/>
  <c r="G467" i="7"/>
  <c r="G468" i="7"/>
  <c r="G469" i="7"/>
  <c r="G470" i="7"/>
  <c r="G471" i="7"/>
  <c r="G472" i="7"/>
  <c r="G473" i="7"/>
  <c r="G474" i="7"/>
  <c r="G475" i="7"/>
  <c r="G476" i="7"/>
  <c r="G477" i="7"/>
  <c r="G478" i="7"/>
  <c r="G479" i="7"/>
  <c r="G480" i="7"/>
  <c r="G481" i="7"/>
  <c r="G482" i="7"/>
  <c r="G483" i="7"/>
  <c r="G484" i="7"/>
  <c r="G485" i="7"/>
  <c r="G486" i="7"/>
  <c r="G487" i="7"/>
  <c r="G488" i="7"/>
  <c r="G489" i="7"/>
  <c r="G490" i="7"/>
  <c r="G491" i="7"/>
  <c r="G492" i="7"/>
  <c r="G493" i="7"/>
  <c r="G494" i="7"/>
  <c r="G495" i="7"/>
  <c r="G496" i="7"/>
  <c r="G497" i="7"/>
  <c r="G498" i="7"/>
  <c r="G499" i="7"/>
  <c r="G500" i="7"/>
  <c r="G501" i="7"/>
  <c r="G502" i="7"/>
  <c r="G503" i="7"/>
  <c r="G504" i="7"/>
  <c r="G505" i="7"/>
  <c r="G506" i="7"/>
  <c r="G507" i="7"/>
  <c r="G508" i="7"/>
  <c r="G509" i="7"/>
  <c r="G510" i="7"/>
  <c r="G511" i="7"/>
  <c r="G512" i="7"/>
  <c r="G513" i="7"/>
  <c r="G514" i="7"/>
  <c r="G515" i="7"/>
  <c r="G516" i="7"/>
  <c r="G517" i="7"/>
  <c r="G518" i="7"/>
  <c r="G519" i="7"/>
  <c r="G520" i="7"/>
  <c r="G521" i="7"/>
  <c r="G522" i="7"/>
  <c r="G523" i="7"/>
  <c r="G524" i="7"/>
  <c r="G525" i="7"/>
  <c r="G526" i="7"/>
  <c r="G527" i="7"/>
  <c r="G528" i="7"/>
  <c r="G529" i="7"/>
  <c r="G530" i="7"/>
  <c r="G531" i="7"/>
  <c r="G532" i="7"/>
  <c r="G533" i="7"/>
  <c r="G534" i="7"/>
  <c r="G535" i="7"/>
  <c r="G536" i="7"/>
  <c r="G537" i="7"/>
  <c r="G538" i="7"/>
  <c r="G539" i="7"/>
  <c r="G540" i="7"/>
  <c r="G541" i="7"/>
  <c r="G542" i="7"/>
  <c r="G543" i="7"/>
  <c r="G544" i="7"/>
  <c r="G545" i="7"/>
  <c r="G546" i="7"/>
  <c r="G547" i="7"/>
  <c r="G548" i="7"/>
  <c r="G549" i="7"/>
  <c r="G550" i="7"/>
  <c r="G551" i="7"/>
  <c r="G552" i="7"/>
  <c r="G553" i="7"/>
  <c r="G554" i="7"/>
  <c r="G555" i="7"/>
  <c r="G556" i="7"/>
  <c r="G557" i="7"/>
  <c r="G558" i="7"/>
  <c r="G559" i="7"/>
  <c r="G560" i="7"/>
  <c r="G561" i="7"/>
  <c r="G562" i="7"/>
  <c r="G563" i="7"/>
  <c r="G564" i="7"/>
  <c r="G565" i="7"/>
  <c r="G566" i="7"/>
  <c r="G567" i="7"/>
  <c r="G568" i="7"/>
  <c r="G569" i="7"/>
  <c r="G570" i="7"/>
  <c r="G571" i="7"/>
  <c r="G572" i="7"/>
  <c r="G573" i="7"/>
  <c r="G574" i="7"/>
  <c r="G575" i="7"/>
  <c r="G576" i="7"/>
  <c r="G577" i="7"/>
  <c r="G578" i="7"/>
  <c r="G579" i="7"/>
  <c r="G580" i="7"/>
  <c r="G581" i="7"/>
  <c r="G582" i="7"/>
  <c r="G583" i="7"/>
  <c r="G584" i="7"/>
  <c r="G585" i="7"/>
  <c r="G586" i="7"/>
  <c r="G587" i="7"/>
  <c r="G588" i="7"/>
  <c r="G589" i="7"/>
  <c r="G590" i="7"/>
  <c r="G591" i="7"/>
  <c r="G592" i="7"/>
  <c r="G593" i="7"/>
  <c r="G594" i="7"/>
  <c r="G595" i="7"/>
  <c r="G596" i="7"/>
  <c r="G597" i="7"/>
  <c r="G598" i="7"/>
  <c r="G599" i="7"/>
  <c r="G600" i="7"/>
  <c r="G601" i="7"/>
  <c r="G602" i="7"/>
  <c r="G603" i="7"/>
  <c r="G604" i="7"/>
  <c r="G605" i="7"/>
  <c r="G606" i="7"/>
  <c r="G607" i="7"/>
  <c r="G608" i="7"/>
  <c r="G609" i="7"/>
  <c r="G610" i="7"/>
  <c r="G611" i="7"/>
  <c r="G612" i="7"/>
  <c r="G613" i="7"/>
  <c r="G614" i="7"/>
  <c r="G615" i="7"/>
  <c r="G616" i="7"/>
  <c r="G617" i="7"/>
  <c r="G618" i="7"/>
  <c r="G619" i="7"/>
  <c r="G620" i="7"/>
  <c r="G621" i="7"/>
  <c r="G622" i="7"/>
  <c r="G623" i="7"/>
  <c r="G624" i="7"/>
  <c r="G625" i="7"/>
  <c r="G626" i="7"/>
  <c r="G627" i="7"/>
  <c r="G628" i="7"/>
  <c r="G629" i="7"/>
  <c r="G630" i="7"/>
  <c r="G631" i="7"/>
  <c r="G632" i="7"/>
  <c r="G633" i="7"/>
  <c r="G634" i="7"/>
  <c r="G635" i="7"/>
  <c r="G636" i="7"/>
  <c r="G637" i="7"/>
  <c r="G638" i="7"/>
  <c r="G639" i="7"/>
  <c r="G640" i="7"/>
  <c r="G641" i="7"/>
  <c r="G642" i="7"/>
  <c r="G643" i="7"/>
  <c r="G644" i="7"/>
  <c r="G645" i="7"/>
  <c r="G646" i="7"/>
  <c r="G647" i="7"/>
  <c r="G648" i="7"/>
  <c r="G649" i="7"/>
  <c r="G650" i="7"/>
  <c r="G651" i="7"/>
  <c r="G652" i="7"/>
  <c r="G653" i="7"/>
  <c r="G654" i="7"/>
  <c r="G655" i="7"/>
  <c r="G656" i="7"/>
  <c r="G657" i="7"/>
  <c r="G658" i="7"/>
  <c r="G659" i="7"/>
  <c r="G660" i="7"/>
  <c r="G661" i="7"/>
  <c r="G662" i="7"/>
  <c r="G663" i="7"/>
  <c r="G664" i="7"/>
  <c r="G665" i="7"/>
  <c r="G666" i="7"/>
  <c r="G667" i="7"/>
  <c r="G668" i="7"/>
  <c r="G669" i="7"/>
  <c r="G670" i="7"/>
  <c r="G671" i="7"/>
  <c r="G672" i="7"/>
  <c r="G673" i="7"/>
  <c r="G674" i="7"/>
  <c r="G675" i="7"/>
  <c r="G676" i="7"/>
  <c r="G677" i="7"/>
  <c r="G678" i="7"/>
  <c r="G679" i="7"/>
  <c r="G680" i="7"/>
  <c r="G681" i="7"/>
  <c r="G682" i="7"/>
  <c r="G683" i="7"/>
  <c r="G684" i="7"/>
  <c r="G685" i="7"/>
  <c r="G686" i="7"/>
  <c r="G687" i="7"/>
  <c r="G688" i="7"/>
  <c r="G689" i="7"/>
  <c r="G690" i="7"/>
  <c r="G691" i="7"/>
  <c r="G692" i="7"/>
  <c r="G693" i="7"/>
  <c r="G694" i="7"/>
  <c r="G695" i="7"/>
  <c r="G696" i="7"/>
  <c r="G697" i="7"/>
  <c r="G698" i="7"/>
  <c r="G699" i="7"/>
  <c r="G700" i="7"/>
  <c r="G701" i="7"/>
  <c r="G702" i="7"/>
  <c r="G703" i="7"/>
  <c r="G704" i="7"/>
  <c r="G705" i="7"/>
  <c r="G706" i="7"/>
  <c r="G707" i="7"/>
  <c r="G708" i="7"/>
  <c r="G709" i="7"/>
  <c r="G710" i="7"/>
  <c r="G711" i="7"/>
  <c r="G712" i="7"/>
  <c r="G713" i="7"/>
  <c r="G714" i="7"/>
  <c r="G715" i="7"/>
  <c r="G716" i="7"/>
  <c r="G717" i="7"/>
  <c r="G718" i="7"/>
  <c r="G719" i="7"/>
  <c r="G720" i="7"/>
  <c r="G721" i="7"/>
  <c r="G722" i="7"/>
  <c r="G723" i="7"/>
  <c r="G724" i="7"/>
  <c r="G725" i="7"/>
  <c r="G726" i="7"/>
  <c r="G727" i="7"/>
  <c r="G728" i="7"/>
  <c r="G729" i="7"/>
  <c r="G730" i="7"/>
  <c r="G731" i="7"/>
  <c r="G732" i="7"/>
  <c r="G733" i="7"/>
  <c r="G734" i="7"/>
  <c r="G735" i="7"/>
  <c r="G736" i="7"/>
  <c r="G737" i="7"/>
  <c r="G738" i="7"/>
  <c r="G739" i="7"/>
  <c r="G740" i="7"/>
  <c r="G741" i="7"/>
  <c r="G742" i="7"/>
  <c r="G743" i="7"/>
  <c r="G744" i="7"/>
  <c r="G745" i="7"/>
  <c r="G746" i="7"/>
  <c r="G747" i="7"/>
  <c r="G748" i="7"/>
  <c r="G749" i="7"/>
  <c r="G750" i="7"/>
  <c r="G751" i="7"/>
  <c r="G752" i="7"/>
  <c r="G753" i="7"/>
  <c r="G754" i="7"/>
  <c r="G755" i="7"/>
  <c r="G756" i="7"/>
  <c r="G757" i="7"/>
  <c r="G758" i="7"/>
  <c r="G759" i="7"/>
  <c r="G760" i="7"/>
  <c r="G761" i="7"/>
  <c r="G762" i="7"/>
  <c r="G763" i="7"/>
  <c r="G764" i="7"/>
  <c r="G765" i="7"/>
  <c r="G766" i="7"/>
  <c r="G767" i="7"/>
  <c r="G768" i="7"/>
  <c r="G769" i="7"/>
  <c r="G770" i="7"/>
  <c r="G771" i="7"/>
  <c r="G772" i="7"/>
  <c r="G773" i="7"/>
  <c r="G774" i="7"/>
  <c r="G775" i="7"/>
  <c r="G776" i="7"/>
  <c r="G777" i="7"/>
  <c r="G778" i="7"/>
  <c r="G779" i="7"/>
  <c r="G780" i="7"/>
  <c r="G781" i="7"/>
  <c r="G782" i="7"/>
  <c r="G783" i="7"/>
  <c r="G784" i="7"/>
  <c r="G785" i="7"/>
  <c r="G786" i="7"/>
  <c r="G787" i="7"/>
  <c r="G788" i="7"/>
  <c r="G789" i="7"/>
  <c r="G790" i="7"/>
  <c r="G791" i="7"/>
  <c r="G792" i="7"/>
  <c r="G793" i="7"/>
  <c r="G794" i="7"/>
  <c r="G795" i="7"/>
  <c r="G796" i="7"/>
  <c r="G797" i="7"/>
  <c r="G798" i="7"/>
  <c r="G799" i="7"/>
  <c r="G800" i="7"/>
  <c r="G801" i="7"/>
  <c r="G802" i="7"/>
  <c r="G803" i="7"/>
  <c r="G804" i="7"/>
  <c r="G805" i="7"/>
  <c r="G806" i="7"/>
  <c r="G807" i="7"/>
  <c r="G808" i="7"/>
  <c r="G809" i="7"/>
  <c r="G810" i="7"/>
  <c r="G811" i="7"/>
  <c r="G812" i="7"/>
  <c r="G813" i="7"/>
  <c r="G814" i="7"/>
  <c r="G815" i="7"/>
  <c r="G816" i="7"/>
  <c r="G817" i="7"/>
  <c r="G818" i="7"/>
  <c r="G819" i="7"/>
  <c r="G820" i="7"/>
  <c r="G821" i="7"/>
  <c r="G822" i="7"/>
  <c r="G823" i="7"/>
  <c r="G824" i="7"/>
  <c r="G825" i="7"/>
  <c r="G826" i="7"/>
  <c r="G827" i="7"/>
  <c r="G828" i="7"/>
  <c r="G829" i="7"/>
  <c r="G830" i="7"/>
  <c r="G831" i="7"/>
  <c r="G832" i="7"/>
  <c r="G833" i="7"/>
  <c r="G834" i="7"/>
  <c r="G835" i="7"/>
  <c r="G836" i="7"/>
  <c r="G837" i="7"/>
  <c r="G838" i="7"/>
  <c r="G839" i="7"/>
  <c r="G840" i="7"/>
  <c r="G841" i="7"/>
  <c r="G842" i="7"/>
  <c r="G843" i="7"/>
  <c r="G844" i="7"/>
  <c r="G845" i="7"/>
  <c r="G846" i="7"/>
  <c r="G847" i="7"/>
  <c r="G848" i="7"/>
  <c r="G849" i="7"/>
  <c r="G850" i="7"/>
  <c r="G851" i="7"/>
  <c r="G852" i="7"/>
  <c r="G853" i="7"/>
  <c r="G854" i="7"/>
  <c r="G855" i="7"/>
  <c r="G856" i="7"/>
  <c r="G857" i="7"/>
  <c r="G858" i="7"/>
  <c r="G859" i="7"/>
  <c r="G860" i="7"/>
  <c r="G861" i="7"/>
  <c r="G862" i="7"/>
  <c r="G863" i="7"/>
  <c r="G864" i="7"/>
  <c r="G865" i="7"/>
  <c r="G866" i="7"/>
  <c r="G867" i="7"/>
  <c r="G868" i="7"/>
  <c r="G869" i="7"/>
  <c r="G870" i="7"/>
  <c r="G871" i="7"/>
  <c r="G872" i="7"/>
  <c r="G873" i="7"/>
  <c r="G874" i="7"/>
  <c r="G875" i="7"/>
  <c r="G876" i="7"/>
  <c r="G877" i="7"/>
  <c r="G878" i="7"/>
  <c r="G879" i="7"/>
  <c r="G880" i="7"/>
  <c r="G881" i="7"/>
  <c r="G882" i="7"/>
  <c r="G883" i="7"/>
  <c r="G884" i="7"/>
  <c r="G885" i="7"/>
  <c r="G886" i="7"/>
  <c r="G887" i="7"/>
  <c r="G888" i="7"/>
  <c r="G889" i="7"/>
  <c r="G890" i="7"/>
  <c r="G891" i="7"/>
  <c r="G892" i="7"/>
  <c r="G893" i="7"/>
  <c r="G894" i="7"/>
  <c r="G895" i="7"/>
  <c r="G896" i="7"/>
  <c r="G897" i="7"/>
  <c r="G898" i="7"/>
  <c r="G899" i="7"/>
  <c r="G900" i="7"/>
  <c r="G901" i="7"/>
  <c r="G902" i="7"/>
  <c r="G903" i="7"/>
  <c r="G904" i="7"/>
  <c r="G905" i="7"/>
  <c r="G906" i="7"/>
  <c r="G907" i="7"/>
  <c r="G908" i="7"/>
  <c r="G909" i="7"/>
  <c r="G910" i="7"/>
  <c r="G911" i="7"/>
  <c r="G912" i="7"/>
  <c r="G913" i="7"/>
  <c r="G914" i="7"/>
  <c r="G915" i="7"/>
  <c r="G916" i="7"/>
  <c r="G917" i="7"/>
  <c r="G918" i="7"/>
  <c r="G919" i="7"/>
  <c r="G920" i="7"/>
  <c r="G921" i="7"/>
  <c r="G922" i="7"/>
  <c r="G923" i="7"/>
  <c r="G924" i="7"/>
  <c r="G925" i="7"/>
  <c r="G926" i="7"/>
  <c r="G927" i="7"/>
  <c r="G928" i="7"/>
  <c r="G929" i="7"/>
  <c r="G930" i="7"/>
  <c r="G931" i="7"/>
  <c r="G932" i="7"/>
  <c r="G933" i="7"/>
  <c r="G934" i="7"/>
  <c r="G935" i="7"/>
  <c r="G936" i="7"/>
  <c r="G937" i="7"/>
  <c r="G938" i="7"/>
  <c r="G939" i="7"/>
  <c r="G940" i="7"/>
  <c r="G941" i="7"/>
  <c r="G942" i="7"/>
  <c r="G943" i="7"/>
  <c r="G944" i="7"/>
  <c r="G945" i="7"/>
  <c r="G946" i="7"/>
  <c r="G947" i="7"/>
  <c r="G948" i="7"/>
  <c r="G949" i="7"/>
  <c r="G950" i="7"/>
  <c r="G951" i="7"/>
  <c r="G952" i="7"/>
  <c r="G953" i="7"/>
  <c r="G954" i="7"/>
  <c r="G955" i="7"/>
  <c r="G956" i="7"/>
  <c r="G957" i="7"/>
  <c r="G958" i="7"/>
  <c r="G959" i="7"/>
  <c r="G960" i="7"/>
  <c r="G961" i="7"/>
  <c r="G962" i="7"/>
  <c r="G963" i="7"/>
  <c r="G964" i="7"/>
  <c r="G965" i="7"/>
  <c r="G966" i="7"/>
  <c r="G967" i="7"/>
  <c r="G968" i="7"/>
  <c r="G969" i="7"/>
  <c r="G970" i="7"/>
  <c r="G971" i="7"/>
  <c r="G972" i="7"/>
  <c r="G973" i="7"/>
  <c r="G974" i="7"/>
  <c r="G975" i="7"/>
  <c r="G976" i="7"/>
  <c r="G977" i="7"/>
  <c r="G978" i="7"/>
  <c r="G979" i="7"/>
  <c r="G980" i="7"/>
  <c r="G981" i="7"/>
  <c r="G982" i="7"/>
  <c r="G983" i="7"/>
  <c r="G984" i="7"/>
  <c r="G985" i="7"/>
  <c r="G986" i="7"/>
  <c r="G987" i="7"/>
  <c r="G988" i="7"/>
  <c r="G989" i="7"/>
  <c r="G990" i="7"/>
  <c r="G991" i="7"/>
  <c r="G992" i="7"/>
  <c r="G993" i="7"/>
  <c r="G994" i="7"/>
  <c r="G995" i="7"/>
  <c r="G996" i="7"/>
  <c r="G997" i="7"/>
  <c r="G998" i="7"/>
  <c r="G999" i="7"/>
  <c r="G1000" i="7"/>
  <c r="G1001" i="7"/>
  <c r="G1002" i="7"/>
  <c r="G1003" i="7"/>
  <c r="G1004" i="7"/>
  <c r="G1005" i="7"/>
  <c r="G1006" i="7"/>
  <c r="G1007" i="7"/>
  <c r="G1008" i="7"/>
  <c r="G1009" i="7"/>
  <c r="G1010" i="7"/>
  <c r="G1011" i="7"/>
  <c r="G1012" i="7"/>
  <c r="G1013" i="7"/>
  <c r="G1014" i="7"/>
  <c r="G1015" i="7"/>
  <c r="G1016" i="7"/>
  <c r="G1017" i="7"/>
  <c r="G1018" i="7"/>
  <c r="G1019" i="7"/>
  <c r="G1020" i="7"/>
  <c r="G1021" i="7"/>
  <c r="G1022" i="7"/>
  <c r="G1023" i="7"/>
  <c r="G1024" i="7"/>
  <c r="G1025" i="7"/>
  <c r="G1026" i="7"/>
  <c r="G1027" i="7"/>
  <c r="G1028" i="7"/>
  <c r="G1029" i="7"/>
  <c r="G1030" i="7"/>
  <c r="G1031" i="7"/>
  <c r="G1032" i="7"/>
  <c r="G1033" i="7"/>
  <c r="G1034" i="7"/>
  <c r="G1035" i="7"/>
  <c r="G1036" i="7"/>
  <c r="G1037" i="7"/>
  <c r="G1038" i="7"/>
  <c r="G1039" i="7"/>
  <c r="G1040" i="7"/>
  <c r="G1041" i="7"/>
  <c r="G1042" i="7"/>
  <c r="G1043" i="7"/>
  <c r="G1044" i="7"/>
  <c r="G1045" i="7"/>
  <c r="G1046" i="7"/>
  <c r="G1047" i="7"/>
  <c r="G1048" i="7"/>
  <c r="G1049" i="7"/>
  <c r="G1050" i="7"/>
  <c r="G1051" i="7"/>
  <c r="G1052" i="7"/>
  <c r="G1053" i="7"/>
  <c r="G1054" i="7"/>
  <c r="G1055" i="7"/>
  <c r="G1056" i="7"/>
  <c r="G1057" i="7"/>
  <c r="G1058" i="7"/>
  <c r="G1059" i="7"/>
  <c r="G1060" i="7"/>
  <c r="G1061" i="7"/>
  <c r="G1062" i="7"/>
  <c r="G1063" i="7"/>
  <c r="G1064" i="7"/>
  <c r="G1065" i="7"/>
  <c r="G1066" i="7"/>
  <c r="G1067" i="7"/>
  <c r="G1068" i="7"/>
  <c r="G1069" i="7"/>
  <c r="G1070" i="7"/>
  <c r="G1071" i="7"/>
  <c r="G1072" i="7"/>
  <c r="G1073" i="7"/>
  <c r="G1074" i="7"/>
  <c r="G1075" i="7"/>
  <c r="G1076" i="7"/>
  <c r="G1077" i="7"/>
  <c r="G1078" i="7"/>
  <c r="G1079" i="7"/>
  <c r="G1080" i="7"/>
  <c r="G1081" i="7"/>
  <c r="G1082" i="7"/>
  <c r="G1083" i="7"/>
  <c r="G1084" i="7"/>
  <c r="G1085" i="7"/>
  <c r="G1086" i="7"/>
  <c r="G1087" i="7"/>
  <c r="G1088" i="7"/>
  <c r="G1089" i="7"/>
  <c r="G1090" i="7"/>
  <c r="G1091" i="7"/>
  <c r="G1092" i="7"/>
  <c r="G1093" i="7"/>
  <c r="G1094" i="7"/>
  <c r="G1095" i="7"/>
  <c r="G1096" i="7"/>
  <c r="G1097" i="7"/>
  <c r="G1098" i="7"/>
  <c r="G1099" i="7"/>
  <c r="G1100" i="7"/>
  <c r="G1101" i="7"/>
  <c r="G1102" i="7"/>
  <c r="G1103" i="7"/>
  <c r="G1104" i="7"/>
  <c r="G1105" i="7"/>
  <c r="G1106" i="7"/>
  <c r="G1107" i="7"/>
  <c r="G1108" i="7"/>
  <c r="G1109" i="7"/>
  <c r="G1110" i="7"/>
  <c r="G1111" i="7"/>
  <c r="G1112" i="7"/>
  <c r="G1113" i="7"/>
  <c r="G1114" i="7"/>
  <c r="G1115" i="7"/>
  <c r="G1116" i="7"/>
  <c r="G1117" i="7"/>
  <c r="G1118" i="7"/>
  <c r="G1119" i="7"/>
  <c r="G1120" i="7"/>
  <c r="G1121" i="7"/>
  <c r="G1122" i="7"/>
  <c r="G1123" i="7"/>
  <c r="G1124" i="7"/>
  <c r="G1125" i="7"/>
  <c r="G1126" i="7"/>
  <c r="G1127" i="7"/>
  <c r="G1128" i="7"/>
  <c r="G1129" i="7"/>
  <c r="G1130" i="7"/>
  <c r="G1131" i="7"/>
  <c r="G1132" i="7"/>
  <c r="G1133" i="7"/>
  <c r="G1134" i="7"/>
  <c r="G1135" i="7"/>
  <c r="G1136" i="7"/>
  <c r="G1137" i="7"/>
  <c r="G1138" i="7"/>
  <c r="G1139" i="7"/>
  <c r="G1140" i="7"/>
  <c r="G1141" i="7"/>
  <c r="G1142" i="7"/>
  <c r="G1143" i="7"/>
  <c r="G1144" i="7"/>
  <c r="G1145" i="7"/>
  <c r="G1146" i="7"/>
  <c r="G1147" i="7"/>
  <c r="G1148" i="7"/>
  <c r="G1149" i="7"/>
  <c r="G1150" i="7"/>
  <c r="G1151" i="7"/>
  <c r="G1152" i="7"/>
  <c r="G1153" i="7"/>
  <c r="G1154" i="7"/>
  <c r="G1155" i="7"/>
  <c r="G1156" i="7"/>
  <c r="G1157" i="7"/>
  <c r="G1158" i="7"/>
  <c r="G1159" i="7"/>
  <c r="G1160" i="7"/>
  <c r="G1161" i="7"/>
  <c r="G1162" i="7"/>
  <c r="G1163" i="7"/>
  <c r="G1164" i="7"/>
  <c r="G1165" i="7"/>
  <c r="G1166" i="7"/>
  <c r="G1167" i="7"/>
  <c r="G1168" i="7"/>
  <c r="G1169" i="7"/>
  <c r="G1170" i="7"/>
  <c r="G1171" i="7"/>
  <c r="G1172" i="7"/>
  <c r="G1173" i="7"/>
  <c r="G1174" i="7"/>
  <c r="G1175" i="7"/>
  <c r="G1176" i="7"/>
  <c r="G1177" i="7"/>
  <c r="G1178" i="7"/>
  <c r="G1179" i="7"/>
  <c r="G1180" i="7"/>
  <c r="G1181" i="7"/>
  <c r="G1182" i="7"/>
  <c r="G1183" i="7"/>
  <c r="G1184" i="7"/>
  <c r="G1185" i="7"/>
  <c r="G1186" i="7"/>
  <c r="G1187" i="7"/>
  <c r="G1188" i="7"/>
  <c r="G1189" i="7"/>
  <c r="G1190" i="7"/>
  <c r="G1191" i="7"/>
  <c r="G1192" i="7"/>
  <c r="G1193" i="7"/>
  <c r="G1194" i="7"/>
  <c r="G1195" i="7"/>
  <c r="G1196" i="7"/>
  <c r="G1197" i="7"/>
  <c r="G1198" i="7"/>
  <c r="G1199" i="7"/>
  <c r="G1200" i="7"/>
  <c r="G1201" i="7"/>
  <c r="G1202" i="7"/>
  <c r="G1203" i="7"/>
  <c r="G1204" i="7"/>
  <c r="G1205" i="7"/>
  <c r="G1206" i="7"/>
  <c r="G1207" i="7"/>
  <c r="G1208" i="7"/>
  <c r="G1209" i="7"/>
  <c r="G1210" i="7"/>
  <c r="G1211" i="7"/>
  <c r="G1212" i="7"/>
  <c r="G1213" i="7"/>
  <c r="G1214" i="7"/>
  <c r="G1215" i="7"/>
  <c r="G1216" i="7"/>
  <c r="G1217" i="7"/>
  <c r="G1218" i="7"/>
  <c r="G1219" i="7"/>
  <c r="G1220" i="7"/>
  <c r="G1221" i="7"/>
  <c r="G1222" i="7"/>
  <c r="G1223" i="7"/>
  <c r="G1224" i="7"/>
  <c r="G1225" i="7"/>
  <c r="G1226" i="7"/>
  <c r="G1227" i="7"/>
  <c r="G1228" i="7"/>
  <c r="G1229" i="7"/>
  <c r="G1230" i="7"/>
  <c r="G1231" i="7"/>
  <c r="G1232" i="7"/>
  <c r="G1233" i="7"/>
  <c r="G1234" i="7"/>
  <c r="G1235" i="7"/>
  <c r="G1236" i="7"/>
  <c r="G1237" i="7"/>
  <c r="G1238" i="7"/>
  <c r="G1239" i="7"/>
  <c r="G1240" i="7"/>
  <c r="G1241" i="7"/>
  <c r="G1242" i="7"/>
  <c r="G1243" i="7"/>
  <c r="G1244" i="7"/>
  <c r="G1245" i="7"/>
  <c r="G1246" i="7"/>
  <c r="G1247" i="7"/>
  <c r="G1248" i="7"/>
  <c r="G1249" i="7"/>
  <c r="G1250" i="7"/>
  <c r="G1251" i="7"/>
  <c r="G1252" i="7"/>
  <c r="G1253" i="7"/>
  <c r="G1254" i="7"/>
  <c r="G1255" i="7"/>
  <c r="G1256" i="7"/>
  <c r="G1257" i="7"/>
  <c r="G1258" i="7"/>
  <c r="G1259" i="7"/>
  <c r="G1260" i="7"/>
  <c r="G1261" i="7"/>
  <c r="G1262" i="7"/>
  <c r="G1263" i="7"/>
  <c r="G1264" i="7"/>
  <c r="G1265" i="7"/>
  <c r="G1266" i="7"/>
  <c r="G1267" i="7"/>
  <c r="G1268" i="7"/>
  <c r="G1269" i="7"/>
  <c r="G1270" i="7"/>
  <c r="G1271" i="7"/>
  <c r="G1272" i="7"/>
  <c r="G1273" i="7"/>
  <c r="G1274" i="7"/>
  <c r="G1275" i="7"/>
  <c r="G1276" i="7"/>
  <c r="G1277" i="7"/>
  <c r="G1278" i="7"/>
  <c r="G1279" i="7"/>
  <c r="G1280" i="7"/>
  <c r="G1281" i="7"/>
  <c r="G1282" i="7"/>
  <c r="G1283" i="7"/>
  <c r="G1284" i="7"/>
  <c r="G1285" i="7"/>
  <c r="G1286" i="7"/>
  <c r="G1287" i="7"/>
  <c r="G1288" i="7"/>
  <c r="G1289" i="7"/>
  <c r="G1290" i="7"/>
  <c r="G1291" i="7"/>
  <c r="G1292" i="7"/>
  <c r="G1293" i="7"/>
  <c r="G1294" i="7"/>
  <c r="G1295" i="7"/>
  <c r="G1296" i="7"/>
  <c r="G1297" i="7"/>
  <c r="G1298" i="7"/>
  <c r="G1299" i="7"/>
  <c r="G1300" i="7"/>
  <c r="G1301" i="7"/>
  <c r="G1302" i="7"/>
  <c r="G1303" i="7"/>
  <c r="G1304" i="7"/>
  <c r="G1305" i="7"/>
  <c r="G1306" i="7"/>
  <c r="G1307" i="7"/>
  <c r="G1308" i="7"/>
  <c r="G1309" i="7"/>
  <c r="G1310" i="7"/>
  <c r="G1311" i="7"/>
  <c r="G1312" i="7"/>
  <c r="G1313" i="7"/>
  <c r="G1314" i="7"/>
  <c r="G1315" i="7"/>
  <c r="G1316" i="7"/>
  <c r="G1317" i="7"/>
  <c r="G1318" i="7"/>
  <c r="G1319" i="7"/>
  <c r="G1320" i="7"/>
  <c r="G1321" i="7"/>
  <c r="G1322" i="7"/>
  <c r="G1323" i="7"/>
  <c r="G1324" i="7"/>
  <c r="G1325" i="7"/>
  <c r="G1326" i="7"/>
  <c r="G1327" i="7"/>
  <c r="G1328" i="7"/>
  <c r="G1329" i="7"/>
  <c r="G1330" i="7"/>
  <c r="G1331" i="7"/>
  <c r="G1332" i="7"/>
  <c r="G1333" i="7"/>
  <c r="G1334" i="7"/>
  <c r="G1335" i="7"/>
  <c r="G1336" i="7"/>
  <c r="G1337" i="7"/>
  <c r="G1338" i="7"/>
  <c r="G1339" i="7"/>
  <c r="G1340" i="7"/>
  <c r="G1341" i="7"/>
  <c r="G1342" i="7"/>
  <c r="G1343" i="7"/>
  <c r="G1344" i="7"/>
  <c r="G1345" i="7"/>
  <c r="G1346" i="7"/>
  <c r="G1347" i="7"/>
  <c r="G1348" i="7"/>
  <c r="G1349" i="7"/>
  <c r="G1350" i="7"/>
  <c r="G1351" i="7"/>
  <c r="G1352" i="7"/>
  <c r="G1353" i="7"/>
  <c r="G1354" i="7"/>
  <c r="G1355" i="7"/>
  <c r="G1356" i="7"/>
  <c r="G1357" i="7"/>
  <c r="G1358" i="7"/>
  <c r="G1359" i="7"/>
  <c r="G1360" i="7"/>
  <c r="G1361" i="7"/>
  <c r="G1362" i="7"/>
  <c r="G1363" i="7"/>
  <c r="G1364" i="7"/>
  <c r="G1365" i="7"/>
  <c r="G1366" i="7"/>
  <c r="G1367" i="7"/>
  <c r="G1368" i="7"/>
  <c r="G1369" i="7"/>
  <c r="G1370" i="7"/>
  <c r="G1371" i="7"/>
  <c r="G1372" i="7"/>
  <c r="G1373" i="7"/>
  <c r="G1374" i="7"/>
  <c r="G1375" i="7"/>
  <c r="G1376" i="7"/>
  <c r="G1377" i="7"/>
  <c r="G1378" i="7"/>
  <c r="G1379" i="7"/>
  <c r="G1380" i="7"/>
  <c r="G1381" i="7"/>
  <c r="G1382" i="7"/>
  <c r="G1383" i="7"/>
  <c r="G1384" i="7"/>
  <c r="G1385" i="7"/>
  <c r="G1386" i="7"/>
  <c r="G1387" i="7"/>
  <c r="G1388" i="7"/>
  <c r="G1389" i="7"/>
  <c r="G1390" i="7"/>
  <c r="G1391" i="7"/>
  <c r="G1392" i="7"/>
  <c r="G1393" i="7"/>
  <c r="G1394" i="7"/>
  <c r="G1395" i="7"/>
  <c r="G1396" i="7"/>
  <c r="G1397" i="7"/>
  <c r="G1398" i="7"/>
  <c r="G1399" i="7"/>
  <c r="G1400" i="7"/>
  <c r="G1401" i="7"/>
  <c r="G1402" i="7"/>
  <c r="G1403" i="7"/>
  <c r="G1404" i="7"/>
  <c r="G1405" i="7"/>
  <c r="G1406" i="7"/>
  <c r="G1407" i="7"/>
  <c r="G1408" i="7"/>
  <c r="G1409" i="7"/>
  <c r="G1410" i="7"/>
  <c r="G1411" i="7"/>
  <c r="G1412" i="7"/>
  <c r="G1413" i="7"/>
  <c r="G1414" i="7"/>
  <c r="G1415" i="7"/>
  <c r="G1416" i="7"/>
  <c r="G1417" i="7"/>
  <c r="G1418" i="7"/>
  <c r="G1419" i="7"/>
  <c r="G1420" i="7"/>
  <c r="G1421" i="7"/>
  <c r="G1422" i="7"/>
  <c r="G1423" i="7"/>
  <c r="G1424" i="7"/>
  <c r="G1425" i="7"/>
  <c r="G1426" i="7"/>
  <c r="G1427" i="7"/>
  <c r="G1428" i="7"/>
  <c r="G1429" i="7"/>
  <c r="G1430" i="7"/>
  <c r="G1431" i="7"/>
  <c r="G1432" i="7"/>
  <c r="G1433" i="7"/>
  <c r="G1434" i="7"/>
  <c r="G1435" i="7"/>
  <c r="G1436" i="7"/>
  <c r="G1437" i="7"/>
  <c r="G1438" i="7"/>
  <c r="G1439" i="7"/>
  <c r="G1440" i="7"/>
  <c r="G1441" i="7"/>
  <c r="G1442" i="7"/>
  <c r="G1443" i="7"/>
  <c r="G1444" i="7"/>
  <c r="G1445" i="7"/>
  <c r="G1446" i="7"/>
  <c r="G1447" i="7"/>
  <c r="G1448" i="7"/>
  <c r="G1449" i="7"/>
  <c r="G1450" i="7"/>
  <c r="G1451" i="7"/>
  <c r="G1452" i="7"/>
  <c r="G1453" i="7"/>
  <c r="G1454" i="7"/>
  <c r="G1455" i="7"/>
  <c r="G1456" i="7"/>
  <c r="G1457" i="7"/>
  <c r="G1458" i="7"/>
  <c r="G1459" i="7"/>
  <c r="G1460" i="7"/>
  <c r="G1461" i="7"/>
  <c r="G1462" i="7"/>
  <c r="G1463" i="7"/>
  <c r="G1464" i="7"/>
  <c r="G1465" i="7"/>
  <c r="G1466" i="7"/>
  <c r="G1467" i="7"/>
  <c r="G1468" i="7"/>
  <c r="G1469" i="7"/>
  <c r="G1470" i="7"/>
  <c r="G1471" i="7"/>
  <c r="G1472" i="7"/>
  <c r="G1473" i="7"/>
  <c r="G1474" i="7"/>
  <c r="G1475" i="7"/>
  <c r="G1476" i="7"/>
  <c r="G1477" i="7"/>
  <c r="G1478" i="7"/>
  <c r="G1479" i="7"/>
  <c r="G1480" i="7"/>
  <c r="G1481" i="7"/>
  <c r="G1482" i="7"/>
  <c r="G1483" i="7"/>
  <c r="G1484" i="7"/>
  <c r="G1485" i="7"/>
  <c r="G1486" i="7"/>
  <c r="G1487" i="7"/>
  <c r="G1488" i="7"/>
  <c r="G1489" i="7"/>
  <c r="G1490" i="7"/>
  <c r="G1491" i="7"/>
  <c r="G1492" i="7"/>
  <c r="G1493" i="7"/>
  <c r="G1494" i="7"/>
  <c r="G1495" i="7"/>
  <c r="G1496" i="7"/>
  <c r="G1497" i="7"/>
  <c r="G1498" i="7"/>
  <c r="G1499" i="7"/>
  <c r="G1500" i="7"/>
  <c r="G1501" i="7"/>
  <c r="G1502" i="7"/>
  <c r="G1503" i="7"/>
  <c r="G1504" i="7"/>
  <c r="G1505" i="7"/>
  <c r="G1506" i="7"/>
  <c r="G1507" i="7"/>
  <c r="G1508" i="7"/>
  <c r="G1509" i="7"/>
  <c r="G1510" i="7"/>
  <c r="G1511" i="7"/>
  <c r="G1512" i="7"/>
  <c r="G1513" i="7"/>
  <c r="G1514" i="7"/>
  <c r="G1515" i="7"/>
  <c r="G1516" i="7"/>
  <c r="G1517" i="7"/>
  <c r="G1518" i="7"/>
  <c r="G1519" i="7"/>
  <c r="G1520" i="7"/>
  <c r="G1521" i="7"/>
  <c r="G1522" i="7"/>
  <c r="G1523" i="7"/>
  <c r="G1524" i="7"/>
  <c r="G1525" i="7"/>
  <c r="G1526" i="7"/>
  <c r="G1527" i="7"/>
  <c r="G1528" i="7"/>
  <c r="G1529" i="7"/>
  <c r="G1530" i="7"/>
  <c r="G1531" i="7"/>
  <c r="G1532" i="7"/>
  <c r="G1533" i="7"/>
  <c r="G1534" i="7"/>
  <c r="G1535" i="7"/>
  <c r="G1536" i="7"/>
  <c r="G1537" i="7"/>
  <c r="G1538" i="7"/>
  <c r="G1539" i="7"/>
  <c r="G1540" i="7"/>
  <c r="G1541" i="7"/>
  <c r="G1542" i="7"/>
  <c r="G1543" i="7"/>
  <c r="G1544" i="7"/>
  <c r="G1545" i="7"/>
  <c r="G1546" i="7"/>
  <c r="G1547" i="7"/>
  <c r="G1548" i="7"/>
  <c r="G1549" i="7"/>
  <c r="G1550" i="7"/>
  <c r="G1551" i="7"/>
  <c r="G1552" i="7"/>
  <c r="G1553" i="7"/>
  <c r="G1554" i="7"/>
  <c r="G1555" i="7"/>
  <c r="G1556" i="7"/>
  <c r="G1557" i="7"/>
  <c r="G1558" i="7"/>
  <c r="G1559" i="7"/>
  <c r="G1560" i="7"/>
  <c r="G1561" i="7"/>
  <c r="G1562" i="7"/>
  <c r="G1563" i="7"/>
  <c r="G1564" i="7"/>
  <c r="G1565" i="7"/>
  <c r="G1566" i="7"/>
  <c r="G1567" i="7"/>
  <c r="G1568" i="7"/>
  <c r="G1569" i="7"/>
  <c r="G1570" i="7"/>
  <c r="G1571" i="7"/>
  <c r="G1572" i="7"/>
  <c r="G1573" i="7"/>
  <c r="G1574" i="7"/>
  <c r="G1575" i="7"/>
  <c r="G1576" i="7"/>
  <c r="G1577" i="7"/>
  <c r="G1578" i="7"/>
  <c r="G1579" i="7"/>
  <c r="G1580" i="7"/>
  <c r="G1581" i="7"/>
  <c r="G1582" i="7"/>
  <c r="G1583" i="7"/>
  <c r="G1584" i="7"/>
  <c r="G1585" i="7"/>
  <c r="G1586" i="7"/>
  <c r="G1587" i="7"/>
  <c r="G1588" i="7"/>
  <c r="G1589" i="7"/>
  <c r="G1590" i="7"/>
  <c r="G1591" i="7"/>
  <c r="G1592" i="7"/>
  <c r="G1593" i="7"/>
  <c r="G1594" i="7"/>
  <c r="G1595" i="7"/>
  <c r="G1596" i="7"/>
  <c r="G1597" i="7"/>
  <c r="G1598" i="7"/>
  <c r="G1599" i="7"/>
  <c r="G1600" i="7"/>
  <c r="G1601" i="7"/>
  <c r="G1602" i="7"/>
  <c r="G1603" i="7"/>
  <c r="G1604" i="7"/>
  <c r="G1605" i="7"/>
  <c r="G1606" i="7"/>
  <c r="G1607" i="7"/>
  <c r="G1608" i="7"/>
  <c r="G1609" i="7"/>
  <c r="G1610" i="7"/>
  <c r="G1611" i="7"/>
  <c r="G1612" i="7"/>
  <c r="G1613" i="7"/>
  <c r="G1614" i="7"/>
  <c r="G1615" i="7"/>
  <c r="G1616" i="7"/>
  <c r="G1617" i="7"/>
  <c r="G1618" i="7"/>
  <c r="G1619" i="7"/>
  <c r="G1620" i="7"/>
  <c r="G1621" i="7"/>
  <c r="G1622" i="7"/>
  <c r="G1623" i="7"/>
  <c r="G1624" i="7"/>
  <c r="G1625" i="7"/>
  <c r="G1626" i="7"/>
  <c r="G1627" i="7"/>
  <c r="G1628" i="7"/>
  <c r="G1629" i="7"/>
  <c r="G1630" i="7"/>
  <c r="G1631" i="7"/>
  <c r="G1632" i="7"/>
  <c r="G1633" i="7"/>
  <c r="G1634" i="7"/>
  <c r="G1635" i="7"/>
  <c r="G1636" i="7"/>
  <c r="G1637" i="7"/>
  <c r="G1638" i="7"/>
  <c r="G1639" i="7"/>
  <c r="G1640" i="7"/>
  <c r="G1641" i="7"/>
  <c r="G1642" i="7"/>
  <c r="G1643" i="7"/>
  <c r="G1644" i="7"/>
  <c r="G1645" i="7"/>
  <c r="G1646" i="7"/>
  <c r="G1647" i="7"/>
  <c r="G1648" i="7"/>
  <c r="G1649" i="7"/>
  <c r="G1650" i="7"/>
  <c r="G1651" i="7"/>
  <c r="G1652" i="7"/>
  <c r="G1653" i="7"/>
  <c r="G1654" i="7"/>
  <c r="G1655" i="7"/>
  <c r="G1656" i="7"/>
  <c r="G1657" i="7"/>
  <c r="G1658" i="7"/>
  <c r="G1659" i="7"/>
  <c r="G1660" i="7"/>
  <c r="G1661" i="7"/>
  <c r="G1662" i="7"/>
  <c r="G1663" i="7"/>
  <c r="G1664" i="7"/>
  <c r="G1665" i="7"/>
  <c r="G1666" i="7"/>
  <c r="G1667" i="7"/>
  <c r="G1668" i="7"/>
  <c r="G1669" i="7"/>
  <c r="G1670" i="7"/>
  <c r="G1671" i="7"/>
  <c r="G1672" i="7"/>
  <c r="G1673" i="7"/>
  <c r="G1674" i="7"/>
  <c r="G1675" i="7"/>
  <c r="G1676" i="7"/>
  <c r="G1677" i="7"/>
  <c r="G1678" i="7"/>
  <c r="G1679" i="7"/>
  <c r="G1680" i="7"/>
  <c r="G1681" i="7"/>
  <c r="G1682" i="7"/>
  <c r="G1683" i="7"/>
  <c r="G1684" i="7"/>
  <c r="G1685" i="7"/>
  <c r="G1686" i="7"/>
  <c r="G1687" i="7"/>
  <c r="G1688" i="7"/>
  <c r="G1689" i="7"/>
  <c r="G1690" i="7"/>
  <c r="G1691" i="7"/>
  <c r="G1692" i="7"/>
  <c r="G1693" i="7"/>
  <c r="G1694" i="7"/>
  <c r="G1695" i="7"/>
  <c r="G1696" i="7"/>
  <c r="G1697" i="7"/>
  <c r="G1698" i="7"/>
  <c r="G1699" i="7"/>
  <c r="G1700" i="7"/>
  <c r="G1701" i="7"/>
  <c r="G1702" i="7"/>
  <c r="G1703" i="7"/>
  <c r="G1704" i="7"/>
  <c r="G1705" i="7"/>
  <c r="G1706" i="7"/>
  <c r="G1707" i="7"/>
  <c r="G1708" i="7"/>
  <c r="G1709" i="7"/>
  <c r="G1710" i="7"/>
  <c r="G1711" i="7"/>
  <c r="G1712" i="7"/>
  <c r="G1713" i="7"/>
  <c r="G1714" i="7"/>
  <c r="G1715" i="7"/>
  <c r="G1716" i="7"/>
  <c r="G1717" i="7"/>
  <c r="G1718" i="7"/>
  <c r="G1719" i="7"/>
  <c r="G1720" i="7"/>
  <c r="G1721" i="7"/>
  <c r="G1722" i="7"/>
  <c r="G1723" i="7"/>
  <c r="G1724" i="7"/>
  <c r="G1725" i="7"/>
  <c r="G1726" i="7"/>
  <c r="G1727" i="7"/>
  <c r="G1728" i="7"/>
  <c r="G1729" i="7"/>
  <c r="G1730" i="7"/>
  <c r="G1731" i="7"/>
  <c r="G1732" i="7"/>
  <c r="G1733" i="7"/>
  <c r="G1734" i="7"/>
  <c r="G1735" i="7"/>
  <c r="G1736" i="7"/>
  <c r="G1737" i="7"/>
  <c r="G1738" i="7"/>
  <c r="G1739" i="7"/>
  <c r="G1740" i="7"/>
  <c r="G1741" i="7"/>
  <c r="G1742" i="7"/>
  <c r="G1743" i="7"/>
  <c r="G1744" i="7"/>
  <c r="G1745" i="7"/>
  <c r="G1746" i="7"/>
  <c r="G1747" i="7"/>
  <c r="G1748" i="7"/>
  <c r="G1749" i="7"/>
  <c r="G1750" i="7"/>
  <c r="G1751" i="7"/>
  <c r="G1752" i="7"/>
  <c r="G1753" i="7"/>
  <c r="G1754" i="7"/>
  <c r="G1755" i="7"/>
  <c r="G1756" i="7"/>
  <c r="G1757" i="7"/>
  <c r="G1758" i="7"/>
  <c r="G1759" i="7"/>
  <c r="G1760" i="7"/>
  <c r="G1761" i="7"/>
  <c r="G1762" i="7"/>
  <c r="G1763" i="7"/>
  <c r="G1764" i="7"/>
  <c r="G1765" i="7"/>
  <c r="G1766" i="7"/>
  <c r="G1767" i="7"/>
  <c r="G1768" i="7"/>
  <c r="G1769" i="7"/>
  <c r="G1770" i="7"/>
  <c r="G1771" i="7"/>
  <c r="G1772" i="7"/>
  <c r="G1773" i="7"/>
  <c r="G1774" i="7"/>
  <c r="G1775" i="7"/>
  <c r="G1776" i="7"/>
  <c r="G1777" i="7"/>
  <c r="G1778" i="7"/>
  <c r="G1779" i="7"/>
  <c r="G1780" i="7"/>
  <c r="G1781" i="7"/>
  <c r="G1782" i="7"/>
  <c r="G1783" i="7"/>
  <c r="G1784" i="7"/>
  <c r="G1785" i="7"/>
  <c r="G1786" i="7"/>
  <c r="G1787" i="7"/>
  <c r="G1788" i="7"/>
  <c r="G1789" i="7"/>
  <c r="G1790" i="7"/>
  <c r="G1791" i="7"/>
  <c r="G1792" i="7"/>
  <c r="G1793" i="7"/>
  <c r="G1794" i="7"/>
  <c r="G1795" i="7"/>
  <c r="G1796" i="7"/>
  <c r="G1797" i="7"/>
  <c r="G1798" i="7"/>
  <c r="G1799" i="7"/>
  <c r="G1800" i="7"/>
  <c r="G1801" i="7"/>
  <c r="G1802" i="7"/>
  <c r="G1803" i="7"/>
  <c r="G1804" i="7"/>
  <c r="G1805" i="7"/>
  <c r="G1806" i="7"/>
  <c r="G1807" i="7"/>
  <c r="G1808" i="7"/>
  <c r="G1809" i="7"/>
  <c r="G1810" i="7"/>
  <c r="G1811" i="7"/>
  <c r="G1812" i="7"/>
  <c r="G1813" i="7"/>
  <c r="G1814" i="7"/>
  <c r="G1815" i="7"/>
  <c r="G1816" i="7"/>
  <c r="G1817" i="7"/>
  <c r="G1818" i="7"/>
  <c r="G1819" i="7"/>
  <c r="G1820" i="7"/>
  <c r="G1821" i="7"/>
  <c r="G1822" i="7"/>
  <c r="G1823" i="7"/>
  <c r="G1824" i="7"/>
  <c r="G1825" i="7"/>
  <c r="G1826" i="7"/>
  <c r="G1827" i="7"/>
  <c r="G1828" i="7"/>
  <c r="G1829" i="7"/>
  <c r="G1830" i="7"/>
  <c r="G1831" i="7"/>
  <c r="G1832" i="7"/>
  <c r="G1833" i="7"/>
  <c r="G1834" i="7"/>
  <c r="G1835" i="7"/>
  <c r="G1836" i="7"/>
  <c r="G1837" i="7"/>
  <c r="G1838" i="7"/>
  <c r="G1839" i="7"/>
  <c r="G1840" i="7"/>
  <c r="G1841" i="7"/>
  <c r="G1842" i="7"/>
  <c r="G1843" i="7"/>
  <c r="G1844" i="7"/>
  <c r="G1845" i="7"/>
  <c r="G1846" i="7"/>
  <c r="G1847" i="7"/>
  <c r="G1848" i="7"/>
  <c r="G1849" i="7"/>
  <c r="G1850" i="7"/>
  <c r="G1851" i="7"/>
  <c r="G1852" i="7"/>
  <c r="G1853" i="7"/>
  <c r="G1854" i="7"/>
  <c r="G1855" i="7"/>
  <c r="G1856" i="7"/>
  <c r="G1857" i="7"/>
  <c r="G1858" i="7"/>
  <c r="G1859" i="7"/>
  <c r="G1860" i="7"/>
  <c r="G1861" i="7"/>
  <c r="G1862" i="7"/>
  <c r="G1863" i="7"/>
  <c r="G1864" i="7"/>
  <c r="G1865" i="7"/>
  <c r="G1866" i="7"/>
  <c r="G1867" i="7"/>
  <c r="G1868" i="7"/>
  <c r="G1869" i="7"/>
  <c r="G1870" i="7"/>
  <c r="G1871" i="7"/>
  <c r="G1872" i="7"/>
  <c r="G1873" i="7"/>
  <c r="G1874" i="7"/>
  <c r="G1875" i="7"/>
  <c r="G1876" i="7"/>
  <c r="G1877" i="7"/>
  <c r="G1878" i="7"/>
  <c r="G1879" i="7"/>
  <c r="G1880" i="7"/>
  <c r="G1881" i="7"/>
  <c r="G1882" i="7"/>
  <c r="G1883" i="7"/>
  <c r="G1884" i="7"/>
  <c r="G1885" i="7"/>
  <c r="G1886" i="7"/>
  <c r="G1887" i="7"/>
  <c r="G1888" i="7"/>
  <c r="G1889" i="7"/>
  <c r="G1890" i="7"/>
  <c r="G1891" i="7"/>
  <c r="G1892" i="7"/>
  <c r="G1893" i="7"/>
  <c r="G1894" i="7"/>
  <c r="G1895" i="7"/>
  <c r="G1896" i="7"/>
  <c r="G1897" i="7"/>
  <c r="G1898" i="7"/>
  <c r="G1899" i="7"/>
  <c r="G1900" i="7"/>
  <c r="G1901" i="7"/>
  <c r="G1902" i="7"/>
  <c r="G1903" i="7"/>
  <c r="G1904" i="7"/>
  <c r="G1905" i="7"/>
  <c r="G1906" i="7"/>
  <c r="G1907" i="7"/>
  <c r="G1908" i="7"/>
  <c r="G1909" i="7"/>
  <c r="G1910" i="7"/>
  <c r="G1911" i="7"/>
  <c r="G1912" i="7"/>
  <c r="G1913" i="7"/>
  <c r="G1914" i="7"/>
  <c r="G1915" i="7"/>
  <c r="G1916" i="7"/>
  <c r="G1917" i="7"/>
  <c r="G1918" i="7"/>
  <c r="G1919" i="7"/>
  <c r="G1920" i="7"/>
  <c r="G1921" i="7"/>
  <c r="G1922" i="7"/>
  <c r="G1923" i="7"/>
  <c r="G1924" i="7"/>
  <c r="G1925" i="7"/>
  <c r="G1926" i="7"/>
  <c r="G1927" i="7"/>
  <c r="G1928" i="7"/>
  <c r="G1929" i="7"/>
  <c r="G1930" i="7"/>
  <c r="G1931" i="7"/>
  <c r="G1932" i="7"/>
  <c r="G1933" i="7"/>
  <c r="G1934" i="7"/>
  <c r="G1935" i="7"/>
  <c r="G1936" i="7"/>
  <c r="G1937" i="7"/>
  <c r="G1938" i="7"/>
  <c r="G1939" i="7"/>
  <c r="G1940" i="7"/>
  <c r="G1941" i="7"/>
  <c r="G1942" i="7"/>
  <c r="G1943" i="7"/>
  <c r="G1944" i="7"/>
  <c r="G1945" i="7"/>
  <c r="G1946" i="7"/>
  <c r="G1947" i="7"/>
  <c r="G1948" i="7"/>
  <c r="G1949" i="7"/>
  <c r="G1950" i="7"/>
  <c r="G1951" i="7"/>
  <c r="G1952" i="7"/>
  <c r="G1953" i="7"/>
  <c r="G1954" i="7"/>
  <c r="G1955" i="7"/>
  <c r="G1956" i="7"/>
  <c r="G1957" i="7"/>
  <c r="G1958" i="7"/>
  <c r="G1959" i="7"/>
  <c r="G1960" i="7"/>
  <c r="G1961" i="7"/>
  <c r="G1962" i="7"/>
  <c r="G1963" i="7"/>
  <c r="G1964" i="7"/>
  <c r="G1965" i="7"/>
  <c r="G1966" i="7"/>
  <c r="G1967" i="7"/>
  <c r="G1968" i="7"/>
  <c r="G1969" i="7"/>
  <c r="G1970" i="7"/>
  <c r="G1971" i="7"/>
  <c r="G1972" i="7"/>
  <c r="G1973" i="7"/>
  <c r="G1974" i="7"/>
  <c r="G1975" i="7"/>
  <c r="G1976" i="7"/>
  <c r="G1977" i="7"/>
  <c r="G1978" i="7"/>
  <c r="G1979" i="7"/>
  <c r="G1980" i="7"/>
  <c r="G1981" i="7"/>
  <c r="G1982" i="7"/>
  <c r="G1983" i="7"/>
  <c r="G1984" i="7"/>
  <c r="G1985" i="7"/>
  <c r="G1986" i="7"/>
  <c r="G1987" i="7"/>
  <c r="G1988" i="7"/>
  <c r="G1989" i="7"/>
  <c r="G1990" i="7"/>
  <c r="G1991" i="7"/>
  <c r="G1992" i="7"/>
  <c r="G1993" i="7"/>
  <c r="G1994" i="7"/>
  <c r="G1995" i="7"/>
  <c r="G1996" i="7"/>
  <c r="G1997" i="7"/>
  <c r="G1998" i="7"/>
  <c r="G1999" i="7"/>
  <c r="G2000" i="7"/>
  <c r="G2001" i="7"/>
  <c r="G2002" i="7"/>
  <c r="G2003" i="7"/>
  <c r="G2004" i="7"/>
  <c r="G2005" i="7"/>
  <c r="G2006" i="7"/>
  <c r="G2007" i="7"/>
  <c r="G2008" i="7"/>
  <c r="G2009" i="7"/>
  <c r="G2010" i="7"/>
  <c r="G2011" i="7"/>
  <c r="G2012" i="7"/>
  <c r="G2013" i="7"/>
  <c r="G2014" i="7"/>
  <c r="G2015" i="7"/>
  <c r="G2016" i="7"/>
  <c r="G2017" i="7"/>
  <c r="G2018" i="7"/>
  <c r="G2019" i="7"/>
  <c r="G2020" i="7"/>
  <c r="G2021" i="7"/>
  <c r="G2022" i="7"/>
  <c r="G2023" i="7"/>
  <c r="G2024" i="7"/>
  <c r="G2025" i="7"/>
  <c r="G2026" i="7"/>
  <c r="G2027" i="7"/>
  <c r="G2028" i="7"/>
  <c r="G2029" i="7"/>
  <c r="G2030" i="7"/>
  <c r="G2031" i="7"/>
  <c r="G2032" i="7"/>
  <c r="G2033" i="7"/>
  <c r="G2034" i="7"/>
  <c r="G2035" i="7"/>
  <c r="G2036" i="7"/>
  <c r="G2037" i="7"/>
  <c r="G2038" i="7"/>
  <c r="G2039" i="7"/>
  <c r="G2040" i="7"/>
  <c r="G2041" i="7"/>
  <c r="G2042" i="7"/>
  <c r="G2043" i="7"/>
  <c r="G2044" i="7"/>
  <c r="G2045" i="7"/>
  <c r="G2046" i="7"/>
  <c r="G2047" i="7"/>
  <c r="G2048" i="7"/>
  <c r="G2049" i="7"/>
  <c r="G2050" i="7"/>
  <c r="G2051" i="7"/>
  <c r="G2052" i="7"/>
  <c r="G2053" i="7"/>
  <c r="G2054" i="7"/>
  <c r="G2055" i="7"/>
  <c r="G2056" i="7"/>
  <c r="G2057" i="7"/>
  <c r="G2058" i="7"/>
  <c r="G2059" i="7"/>
  <c r="G2060" i="7"/>
  <c r="G2061" i="7"/>
  <c r="G2062" i="7"/>
  <c r="G2063" i="7"/>
  <c r="G2064" i="7"/>
  <c r="G2065" i="7"/>
  <c r="G2066" i="7"/>
  <c r="G2067" i="7"/>
  <c r="G2068" i="7"/>
  <c r="G2069" i="7"/>
  <c r="G2070" i="7"/>
  <c r="G2071" i="7"/>
  <c r="G2072" i="7"/>
  <c r="G2073" i="7"/>
  <c r="G2074" i="7"/>
  <c r="G2075" i="7"/>
  <c r="G2076" i="7"/>
  <c r="G2077" i="7"/>
  <c r="G2078" i="7"/>
  <c r="G2079" i="7"/>
  <c r="G2080" i="7"/>
  <c r="G2081" i="7"/>
  <c r="G2082" i="7"/>
  <c r="G2083" i="7"/>
  <c r="G2084" i="7"/>
  <c r="G2085" i="7"/>
  <c r="G2086" i="7"/>
  <c r="G2087" i="7"/>
  <c r="G2088" i="7"/>
  <c r="G2089" i="7"/>
  <c r="G2090" i="7"/>
  <c r="G2091" i="7"/>
  <c r="G2092" i="7"/>
  <c r="G2093" i="7"/>
  <c r="G2094" i="7"/>
  <c r="G2095" i="7"/>
  <c r="G2096" i="7"/>
  <c r="G2097" i="7"/>
  <c r="G2098" i="7"/>
  <c r="G2099" i="7"/>
  <c r="G2100" i="7"/>
  <c r="G2101" i="7"/>
  <c r="G2102" i="7"/>
  <c r="G2103" i="7"/>
  <c r="G2104" i="7"/>
  <c r="G2105" i="7"/>
  <c r="G2106" i="7"/>
  <c r="G2107" i="7"/>
  <c r="G2108" i="7"/>
  <c r="G2109" i="7"/>
  <c r="G2110" i="7"/>
  <c r="G2111" i="7"/>
  <c r="G2112" i="7"/>
  <c r="G2113" i="7"/>
  <c r="G2114" i="7"/>
  <c r="G2115" i="7"/>
  <c r="G2116" i="7"/>
  <c r="G2117" i="7"/>
  <c r="G2118" i="7"/>
  <c r="G2119" i="7"/>
  <c r="G2120" i="7"/>
  <c r="G2121" i="7"/>
  <c r="G2122" i="7"/>
  <c r="G2123" i="7"/>
  <c r="G2124" i="7"/>
  <c r="G2125" i="7"/>
  <c r="G2126" i="7"/>
  <c r="G2127" i="7"/>
  <c r="G2128" i="7"/>
  <c r="G2129" i="7"/>
  <c r="G2130" i="7"/>
  <c r="G2131" i="7"/>
  <c r="G2132" i="7"/>
  <c r="G2133" i="7"/>
  <c r="G2134" i="7"/>
  <c r="G2135" i="7"/>
  <c r="G2136" i="7"/>
  <c r="G2137" i="7"/>
  <c r="G2138" i="7"/>
  <c r="G2139" i="7"/>
  <c r="G2140" i="7"/>
  <c r="G2141" i="7"/>
  <c r="G2142" i="7"/>
  <c r="G2143" i="7"/>
  <c r="G2144" i="7"/>
  <c r="G2145" i="7"/>
  <c r="G2146" i="7"/>
  <c r="G2147" i="7"/>
  <c r="G2148" i="7"/>
  <c r="G2149" i="7"/>
  <c r="G2150" i="7"/>
  <c r="G2151" i="7"/>
  <c r="G2152" i="7"/>
  <c r="G2153" i="7"/>
  <c r="G2154" i="7"/>
  <c r="G2155" i="7"/>
  <c r="G2156" i="7"/>
  <c r="G2157" i="7"/>
  <c r="G2158" i="7"/>
  <c r="G2159" i="7"/>
  <c r="G2160" i="7"/>
  <c r="G2161" i="7"/>
  <c r="G2162" i="7"/>
  <c r="G2163" i="7"/>
  <c r="G2164" i="7"/>
  <c r="G2165" i="7"/>
  <c r="G2166" i="7"/>
  <c r="G2167" i="7"/>
  <c r="G2168" i="7"/>
  <c r="G2169" i="7"/>
  <c r="G2170" i="7"/>
  <c r="G2171" i="7"/>
  <c r="G2172" i="7"/>
  <c r="G2173" i="7"/>
  <c r="G2174" i="7"/>
  <c r="G2175" i="7"/>
  <c r="G2176" i="7"/>
  <c r="G2177" i="7"/>
  <c r="G2178" i="7"/>
  <c r="G2179" i="7"/>
  <c r="G2180" i="7"/>
  <c r="G2181" i="7"/>
  <c r="G2182" i="7"/>
  <c r="G2183" i="7"/>
  <c r="G2184" i="7"/>
  <c r="G2185" i="7"/>
  <c r="G2186" i="7"/>
  <c r="G2187" i="7"/>
  <c r="G2188" i="7"/>
  <c r="G2189" i="7"/>
  <c r="G2190" i="7"/>
  <c r="G2191" i="7"/>
  <c r="G2192" i="7"/>
  <c r="G2193" i="7"/>
  <c r="G2194" i="7"/>
  <c r="G2195" i="7"/>
  <c r="G2196" i="7"/>
  <c r="G2197" i="7"/>
  <c r="G2198" i="7"/>
  <c r="G2199" i="7"/>
  <c r="G2200" i="7"/>
  <c r="G2201" i="7"/>
  <c r="G2202" i="7"/>
  <c r="G2203" i="7"/>
  <c r="G2204" i="7"/>
  <c r="G2205" i="7"/>
  <c r="G2206" i="7"/>
  <c r="G2207" i="7"/>
  <c r="G2208" i="7"/>
  <c r="G2209" i="7"/>
  <c r="G2210" i="7"/>
  <c r="G2211" i="7"/>
  <c r="G2212" i="7"/>
  <c r="G2213" i="7"/>
  <c r="G2214" i="7"/>
  <c r="G2215" i="7"/>
  <c r="G2216" i="7"/>
  <c r="G2217" i="7"/>
  <c r="G2218" i="7"/>
  <c r="G2219" i="7"/>
  <c r="G2220" i="7"/>
  <c r="G2221" i="7"/>
  <c r="G2222" i="7"/>
  <c r="G2223" i="7"/>
  <c r="G2224" i="7"/>
  <c r="G2225" i="7"/>
  <c r="G2226" i="7"/>
  <c r="G2227" i="7"/>
  <c r="G2228" i="7"/>
  <c r="G2229" i="7"/>
  <c r="G2230" i="7"/>
  <c r="G2231" i="7"/>
  <c r="G2232" i="7"/>
  <c r="G2233" i="7"/>
  <c r="G2234" i="7"/>
  <c r="G2235" i="7"/>
  <c r="G2236" i="7"/>
  <c r="G2237" i="7"/>
  <c r="G2238" i="7"/>
  <c r="G2239" i="7"/>
  <c r="G2240" i="7"/>
  <c r="G2241" i="7"/>
  <c r="G2242" i="7"/>
  <c r="G2243" i="7"/>
  <c r="G2244" i="7"/>
  <c r="G2245" i="7"/>
  <c r="G2246" i="7"/>
  <c r="G2247" i="7"/>
  <c r="G2248" i="7"/>
  <c r="G2249" i="7"/>
  <c r="G2250" i="7"/>
  <c r="G2251" i="7"/>
  <c r="G2252" i="7"/>
  <c r="G2253" i="7"/>
  <c r="G2254" i="7"/>
  <c r="G2255" i="7"/>
  <c r="G2256" i="7"/>
  <c r="G2257" i="7"/>
  <c r="G2258" i="7"/>
  <c r="G2259" i="7"/>
  <c r="G2260" i="7"/>
  <c r="G2261" i="7"/>
  <c r="G2262" i="7"/>
  <c r="G2263" i="7"/>
  <c r="G2264" i="7"/>
  <c r="G2265" i="7"/>
  <c r="G2266" i="7"/>
  <c r="G2267" i="7"/>
  <c r="G2268" i="7"/>
  <c r="G2269" i="7"/>
  <c r="G2270" i="7"/>
  <c r="G2271" i="7"/>
  <c r="G2272" i="7"/>
  <c r="G2273" i="7"/>
  <c r="G2274" i="7"/>
  <c r="G2275" i="7"/>
  <c r="G2276" i="7"/>
  <c r="G2277" i="7"/>
  <c r="G2278" i="7"/>
  <c r="G2279" i="7"/>
  <c r="G2280" i="7"/>
  <c r="G2281" i="7"/>
  <c r="G2282" i="7"/>
  <c r="G2283" i="7"/>
  <c r="G2284" i="7"/>
  <c r="G2285" i="7"/>
  <c r="G2286" i="7"/>
  <c r="G2287" i="7"/>
  <c r="G2288" i="7"/>
  <c r="G2289" i="7"/>
  <c r="G2290" i="7"/>
  <c r="G2291" i="7"/>
  <c r="G2292" i="7"/>
  <c r="G2293" i="7"/>
  <c r="G2294" i="7"/>
  <c r="G2295" i="7"/>
  <c r="G2296" i="7"/>
  <c r="G2297" i="7"/>
  <c r="G2298" i="7"/>
  <c r="G2299" i="7"/>
  <c r="G2300" i="7"/>
  <c r="G2301" i="7"/>
  <c r="G2302" i="7"/>
  <c r="G2303" i="7"/>
  <c r="G2304" i="7"/>
  <c r="G2305" i="7"/>
  <c r="G2306" i="7"/>
  <c r="G2307" i="7"/>
  <c r="G2308" i="7"/>
  <c r="G2309" i="7"/>
  <c r="G2310" i="7"/>
  <c r="G2311" i="7"/>
  <c r="G2312" i="7"/>
  <c r="G2313" i="7"/>
  <c r="G2314" i="7"/>
  <c r="G2315" i="7"/>
  <c r="G2316" i="7"/>
  <c r="G2317" i="7"/>
  <c r="G2318" i="7"/>
  <c r="G2319" i="7"/>
  <c r="G2320" i="7"/>
  <c r="G2321" i="7"/>
  <c r="G2322" i="7"/>
  <c r="G2323" i="7"/>
  <c r="G2324" i="7"/>
  <c r="G2325" i="7"/>
  <c r="G2326" i="7"/>
  <c r="G2327" i="7"/>
  <c r="G2328" i="7"/>
  <c r="G2329" i="7"/>
  <c r="G2330" i="7"/>
  <c r="G2331" i="7"/>
  <c r="G2332" i="7"/>
  <c r="G2333" i="7"/>
  <c r="G2334" i="7"/>
  <c r="G2335" i="7"/>
  <c r="G2336" i="7"/>
  <c r="G2337" i="7"/>
  <c r="G2338" i="7"/>
  <c r="G2339" i="7"/>
  <c r="G2340" i="7"/>
  <c r="G2341" i="7"/>
  <c r="G2342" i="7"/>
  <c r="G2343" i="7"/>
  <c r="G2344" i="7"/>
  <c r="G2345" i="7"/>
  <c r="G2346" i="7"/>
  <c r="G2347" i="7"/>
  <c r="G2348" i="7"/>
  <c r="G2349" i="7"/>
  <c r="G2350" i="7"/>
  <c r="G2351" i="7"/>
  <c r="G2352" i="7"/>
  <c r="G2353" i="7"/>
  <c r="G2354" i="7"/>
  <c r="G2355" i="7"/>
  <c r="G2356" i="7"/>
  <c r="G2357" i="7"/>
  <c r="G2358" i="7"/>
  <c r="G2359" i="7"/>
  <c r="G2360" i="7"/>
  <c r="G2361" i="7"/>
  <c r="G2362" i="7"/>
  <c r="G2363" i="7"/>
  <c r="G2364" i="7"/>
  <c r="G2365" i="7"/>
  <c r="G2366" i="7"/>
  <c r="G2367" i="7"/>
  <c r="G2368" i="7"/>
  <c r="G2369" i="7"/>
  <c r="G2370" i="7"/>
  <c r="G2371" i="7"/>
  <c r="G2372" i="7"/>
  <c r="G2373" i="7"/>
  <c r="G2374" i="7"/>
  <c r="G2375" i="7"/>
  <c r="G2376" i="7"/>
  <c r="G2377" i="7"/>
  <c r="G2378" i="7"/>
  <c r="G2379" i="7"/>
  <c r="G2380" i="7"/>
  <c r="G2381" i="7"/>
  <c r="G2382" i="7"/>
  <c r="G2383" i="7"/>
  <c r="G2384" i="7"/>
  <c r="G2385" i="7"/>
  <c r="G2386" i="7"/>
  <c r="G2387" i="7"/>
  <c r="G2388" i="7"/>
  <c r="G2389" i="7"/>
  <c r="G2390" i="7"/>
  <c r="G2391" i="7"/>
  <c r="G2392" i="7"/>
  <c r="G2393" i="7"/>
  <c r="G2394" i="7"/>
  <c r="G2395" i="7"/>
  <c r="G2396" i="7"/>
  <c r="G2397" i="7"/>
  <c r="G2398" i="7"/>
  <c r="G2399" i="7"/>
  <c r="G2400" i="7"/>
  <c r="G2401" i="7"/>
  <c r="G2402" i="7"/>
  <c r="G2403" i="7"/>
  <c r="G2404" i="7"/>
  <c r="G2405" i="7"/>
  <c r="G2406" i="7"/>
  <c r="G2407" i="7"/>
  <c r="G2408" i="7"/>
  <c r="G2409" i="7"/>
  <c r="G2410" i="7"/>
  <c r="G2411" i="7"/>
  <c r="G2412" i="7"/>
  <c r="G2413" i="7"/>
  <c r="G2414" i="7"/>
  <c r="G2415" i="7"/>
  <c r="G2416" i="7"/>
  <c r="G2417" i="7"/>
  <c r="G2418" i="7"/>
  <c r="G2419" i="7"/>
  <c r="G2420" i="7"/>
  <c r="G2421" i="7"/>
  <c r="G2422" i="7"/>
  <c r="G2423" i="7"/>
  <c r="G2424" i="7"/>
  <c r="G2425" i="7"/>
  <c r="G2426" i="7"/>
  <c r="G2427" i="7"/>
  <c r="G2428" i="7"/>
  <c r="G2429" i="7"/>
  <c r="G2430" i="7"/>
  <c r="G2431" i="7"/>
  <c r="G2432" i="7"/>
  <c r="G2433" i="7"/>
  <c r="G2434" i="7"/>
  <c r="G2435" i="7"/>
  <c r="G2436" i="7"/>
  <c r="G2437" i="7"/>
  <c r="G2438" i="7"/>
  <c r="G2439" i="7"/>
  <c r="G2440" i="7"/>
  <c r="G2441" i="7"/>
  <c r="G2442" i="7"/>
  <c r="G2443" i="7"/>
  <c r="G2444" i="7"/>
  <c r="G2445" i="7"/>
  <c r="G2446" i="7"/>
  <c r="G2447" i="7"/>
  <c r="G2448" i="7"/>
  <c r="G2449" i="7"/>
  <c r="G2450" i="7"/>
  <c r="G2451" i="7"/>
  <c r="G2452" i="7"/>
  <c r="G2453" i="7"/>
  <c r="G2454" i="7"/>
  <c r="G2455" i="7"/>
  <c r="G2456" i="7"/>
  <c r="G2457" i="7"/>
  <c r="G2458" i="7"/>
  <c r="G2459" i="7"/>
  <c r="G2460" i="7"/>
  <c r="G2461" i="7"/>
  <c r="G2462" i="7"/>
  <c r="G2463" i="7"/>
  <c r="G2464" i="7"/>
  <c r="G2465" i="7"/>
  <c r="G2466" i="7"/>
  <c r="G2467" i="7"/>
  <c r="G2468" i="7"/>
  <c r="G2469" i="7"/>
  <c r="G2470" i="7"/>
  <c r="G2471" i="7"/>
  <c r="G2472" i="7"/>
  <c r="G2473" i="7"/>
  <c r="G2474" i="7"/>
  <c r="G2475" i="7"/>
  <c r="G2476" i="7"/>
  <c r="G2477" i="7"/>
  <c r="G2478" i="7"/>
  <c r="G2479" i="7"/>
  <c r="G2480" i="7"/>
  <c r="G2481" i="7"/>
  <c r="G2482" i="7"/>
  <c r="G2483" i="7"/>
  <c r="G2484" i="7"/>
  <c r="G2485" i="7"/>
  <c r="G2486" i="7"/>
  <c r="G2487" i="7"/>
  <c r="G2488" i="7"/>
  <c r="G2489" i="7"/>
  <c r="G2490" i="7"/>
  <c r="G2491" i="7"/>
  <c r="G2492" i="7"/>
  <c r="G2493" i="7"/>
  <c r="G2494" i="7"/>
  <c r="G2495" i="7"/>
  <c r="G2496" i="7"/>
  <c r="G2497" i="7"/>
  <c r="G2498" i="7"/>
  <c r="G2499" i="7"/>
  <c r="G2500" i="7"/>
  <c r="G2501" i="7"/>
  <c r="G2502" i="7"/>
  <c r="G2503" i="7"/>
  <c r="G2504" i="7"/>
  <c r="G2505" i="7"/>
  <c r="G2506" i="7"/>
  <c r="G2507" i="7"/>
  <c r="G2508" i="7"/>
  <c r="G2509" i="7"/>
  <c r="G2510" i="7"/>
  <c r="G2511" i="7"/>
  <c r="G2512" i="7"/>
  <c r="G2513" i="7"/>
  <c r="G2514" i="7"/>
  <c r="G2515" i="7"/>
  <c r="G2516" i="7"/>
  <c r="G2517" i="7"/>
  <c r="G2518" i="7"/>
  <c r="G2519" i="7"/>
  <c r="G2520" i="7"/>
  <c r="G2521" i="7"/>
  <c r="G2522" i="7"/>
  <c r="G2523" i="7"/>
  <c r="G2524" i="7"/>
  <c r="G2525" i="7"/>
  <c r="G2526" i="7"/>
  <c r="G2527" i="7"/>
  <c r="G2528" i="7"/>
  <c r="G2529" i="7"/>
  <c r="G2530" i="7"/>
  <c r="G2531" i="7"/>
  <c r="G2532" i="7"/>
  <c r="G2533" i="7"/>
  <c r="G2534" i="7"/>
  <c r="G2535" i="7"/>
  <c r="G2536" i="7"/>
  <c r="G2537" i="7"/>
  <c r="G2538" i="7"/>
  <c r="G2539" i="7"/>
  <c r="G2540" i="7"/>
  <c r="G2541" i="7"/>
  <c r="G2542" i="7"/>
  <c r="G2543" i="7"/>
  <c r="G2544" i="7"/>
  <c r="G2545" i="7"/>
  <c r="G2546" i="7"/>
  <c r="G2547" i="7"/>
  <c r="G2548" i="7"/>
  <c r="G2549" i="7"/>
  <c r="G2550" i="7"/>
  <c r="G2551" i="7"/>
  <c r="G2552" i="7"/>
  <c r="G2553" i="7"/>
  <c r="G2554" i="7"/>
  <c r="G2555" i="7"/>
  <c r="G2556" i="7"/>
  <c r="G2557" i="7"/>
  <c r="G2558" i="7"/>
  <c r="G2559" i="7"/>
  <c r="G2560" i="7"/>
  <c r="G2561" i="7"/>
  <c r="G2562" i="7"/>
  <c r="G2563" i="7"/>
  <c r="G2564" i="7"/>
  <c r="G2565" i="7"/>
  <c r="G2566" i="7"/>
  <c r="G2567" i="7"/>
  <c r="G2568" i="7"/>
  <c r="G2569" i="7"/>
  <c r="G2570" i="7"/>
  <c r="G2571" i="7"/>
  <c r="G2572" i="7"/>
  <c r="G2573" i="7"/>
  <c r="G2574" i="7"/>
  <c r="G2575" i="7"/>
  <c r="G2576" i="7"/>
  <c r="G2577" i="7"/>
  <c r="G2578" i="7"/>
  <c r="G2579" i="7"/>
  <c r="G2580" i="7"/>
  <c r="G2581" i="7"/>
  <c r="G2582" i="7"/>
  <c r="G2583" i="7"/>
  <c r="G2584" i="7"/>
  <c r="G2585" i="7"/>
  <c r="G2586" i="7"/>
  <c r="G2587" i="7"/>
  <c r="G2588" i="7"/>
  <c r="G2589" i="7"/>
  <c r="G2590" i="7"/>
  <c r="G2591" i="7"/>
  <c r="G2592" i="7"/>
  <c r="G2593" i="7"/>
  <c r="G2594" i="7"/>
  <c r="G2595" i="7"/>
  <c r="G2596" i="7"/>
  <c r="G2597" i="7"/>
  <c r="G2598" i="7"/>
  <c r="G2599" i="7"/>
  <c r="G2600" i="7"/>
  <c r="G2601" i="7"/>
  <c r="G2602" i="7"/>
  <c r="G2603" i="7"/>
  <c r="G2604" i="7"/>
  <c r="G2605" i="7"/>
  <c r="G2606" i="7"/>
  <c r="G2607" i="7"/>
  <c r="G2608" i="7"/>
  <c r="G2609" i="7"/>
  <c r="G2610" i="7"/>
  <c r="G2611" i="7"/>
  <c r="G2612" i="7"/>
  <c r="G2613" i="7"/>
  <c r="G2614" i="7"/>
  <c r="G2615" i="7"/>
  <c r="G2616" i="7"/>
  <c r="G2617" i="7"/>
  <c r="G2618" i="7"/>
  <c r="G2619" i="7"/>
  <c r="G2620" i="7"/>
  <c r="G2621" i="7"/>
  <c r="G2622" i="7"/>
  <c r="G2623" i="7"/>
  <c r="G2624" i="7"/>
  <c r="G2625" i="7"/>
  <c r="G2626" i="7"/>
  <c r="G2627" i="7"/>
  <c r="G2628" i="7"/>
  <c r="G2629" i="7"/>
  <c r="G2630" i="7"/>
  <c r="G2631" i="7"/>
  <c r="G2632" i="7"/>
  <c r="G2633" i="7"/>
  <c r="G2634" i="7"/>
  <c r="G2635" i="7"/>
  <c r="G2636" i="7"/>
  <c r="G2637" i="7"/>
  <c r="G2638" i="7"/>
  <c r="G2639" i="7"/>
  <c r="G2640" i="7"/>
  <c r="G2641" i="7"/>
  <c r="G2642" i="7"/>
  <c r="G2643" i="7"/>
  <c r="G2644" i="7"/>
  <c r="G2645" i="7"/>
  <c r="G2646" i="7"/>
  <c r="G2647" i="7"/>
  <c r="G2648" i="7"/>
  <c r="G2649" i="7"/>
  <c r="G2650" i="7"/>
  <c r="G2651" i="7"/>
  <c r="G2652" i="7"/>
  <c r="G2653" i="7"/>
  <c r="G2654" i="7"/>
  <c r="G2655" i="7"/>
  <c r="G2656" i="7"/>
  <c r="G2657" i="7"/>
  <c r="G2658" i="7"/>
  <c r="G2659" i="7"/>
  <c r="G2660" i="7"/>
  <c r="G2661" i="7"/>
  <c r="G2662" i="7"/>
  <c r="G2663" i="7"/>
  <c r="G2664" i="7"/>
  <c r="G2665" i="7"/>
  <c r="G2666" i="7"/>
  <c r="G2667" i="7"/>
  <c r="G2668" i="7"/>
  <c r="G2669" i="7"/>
  <c r="G2670" i="7"/>
  <c r="G2671" i="7"/>
  <c r="G2672" i="7"/>
  <c r="G2673" i="7"/>
  <c r="G2674" i="7"/>
  <c r="G2675" i="7"/>
  <c r="G2676" i="7"/>
  <c r="G2677" i="7"/>
  <c r="G2678" i="7"/>
  <c r="G2679" i="7"/>
  <c r="G2680" i="7"/>
  <c r="G2681" i="7"/>
  <c r="G2682" i="7"/>
  <c r="G2683" i="7"/>
  <c r="G2684" i="7"/>
  <c r="G2685" i="7"/>
  <c r="G2686" i="7"/>
  <c r="G2687" i="7"/>
  <c r="G2688" i="7"/>
  <c r="G2689" i="7"/>
  <c r="G2690" i="7"/>
  <c r="G2691" i="7"/>
  <c r="G2692" i="7"/>
  <c r="G2693" i="7"/>
  <c r="G2694" i="7"/>
  <c r="G2695" i="7"/>
  <c r="G2696" i="7"/>
  <c r="G2697" i="7"/>
  <c r="G2698" i="7"/>
  <c r="G2699" i="7"/>
  <c r="G2700" i="7"/>
  <c r="G2701" i="7"/>
  <c r="G2702" i="7"/>
  <c r="G2703" i="7"/>
  <c r="G2704" i="7"/>
  <c r="G2705" i="7"/>
  <c r="G2706" i="7"/>
  <c r="G2707" i="7"/>
  <c r="G2708" i="7"/>
  <c r="G2709" i="7"/>
  <c r="G2710" i="7"/>
  <c r="G2711" i="7"/>
  <c r="G2712" i="7"/>
  <c r="G2713" i="7"/>
  <c r="G2714" i="7"/>
  <c r="G2715" i="7"/>
  <c r="G2716" i="7"/>
  <c r="G2717" i="7"/>
  <c r="G2718" i="7"/>
  <c r="G2719" i="7"/>
  <c r="G2720" i="7"/>
  <c r="G2721" i="7"/>
  <c r="G2722" i="7"/>
  <c r="G2723" i="7"/>
  <c r="G2724" i="7"/>
  <c r="G2725" i="7"/>
  <c r="G2726" i="7"/>
  <c r="G2727" i="7"/>
  <c r="G2728" i="7"/>
  <c r="G2729" i="7"/>
  <c r="G2730" i="7"/>
  <c r="G2731" i="7"/>
  <c r="G2732" i="7"/>
  <c r="G2733" i="7"/>
  <c r="G2734" i="7"/>
  <c r="G2735" i="7"/>
  <c r="G2736" i="7"/>
  <c r="G2737" i="7"/>
  <c r="G2738" i="7"/>
  <c r="G2739" i="7"/>
  <c r="G2740" i="7"/>
  <c r="G2741" i="7"/>
  <c r="G2742" i="7"/>
  <c r="G2743" i="7"/>
  <c r="G2744" i="7"/>
  <c r="G2745" i="7"/>
  <c r="G2746" i="7"/>
  <c r="G2747" i="7"/>
  <c r="G2748" i="7"/>
  <c r="G2749" i="7"/>
  <c r="G2750" i="7"/>
  <c r="G2751" i="7"/>
  <c r="G2752" i="7"/>
  <c r="G2753" i="7"/>
  <c r="G2754" i="7"/>
  <c r="G2755" i="7"/>
  <c r="G2756" i="7"/>
  <c r="G2757" i="7"/>
  <c r="G2758" i="7"/>
  <c r="G2759" i="7"/>
  <c r="G2760" i="7"/>
  <c r="G2761" i="7"/>
  <c r="G2762" i="7"/>
  <c r="G2763" i="7"/>
  <c r="G2764" i="7"/>
  <c r="G2765" i="7"/>
  <c r="G2766" i="7"/>
  <c r="G2767" i="7"/>
  <c r="G2768" i="7"/>
  <c r="G2769" i="7"/>
  <c r="G2770" i="7"/>
  <c r="G2771" i="7"/>
  <c r="G2772" i="7"/>
  <c r="G2773" i="7"/>
  <c r="G2774" i="7"/>
  <c r="G2775" i="7"/>
  <c r="G2776" i="7"/>
  <c r="G2777" i="7"/>
  <c r="G2778" i="7"/>
  <c r="G2779" i="7"/>
  <c r="G2780" i="7"/>
  <c r="G2781" i="7"/>
  <c r="G2782" i="7"/>
  <c r="G2783" i="7"/>
  <c r="G2784" i="7"/>
  <c r="G2785" i="7"/>
  <c r="G2786" i="7"/>
  <c r="G2787" i="7"/>
  <c r="G2788" i="7"/>
  <c r="G2789" i="7"/>
  <c r="G2790" i="7"/>
  <c r="G2791" i="7"/>
  <c r="G2792" i="7"/>
  <c r="G2793" i="7"/>
  <c r="G2794" i="7"/>
  <c r="G2795" i="7"/>
  <c r="G2796" i="7"/>
  <c r="G2797" i="7"/>
  <c r="G2798" i="7"/>
  <c r="G2799" i="7"/>
  <c r="G2800" i="7"/>
  <c r="G2801" i="7"/>
  <c r="G2802" i="7"/>
  <c r="G2803" i="7"/>
  <c r="G2804" i="7"/>
  <c r="G2805" i="7"/>
  <c r="G2806" i="7"/>
  <c r="G2807" i="7"/>
  <c r="G2808" i="7"/>
  <c r="G2809" i="7"/>
  <c r="G2810" i="7"/>
  <c r="G2811" i="7"/>
  <c r="G2812" i="7"/>
  <c r="G2813" i="7"/>
  <c r="G2814" i="7"/>
  <c r="G2815" i="7"/>
  <c r="G2816" i="7"/>
  <c r="G2817" i="7"/>
  <c r="G2818" i="7"/>
  <c r="G2819" i="7"/>
  <c r="G2820" i="7"/>
  <c r="G2821" i="7"/>
  <c r="G2822" i="7"/>
  <c r="G2823" i="7"/>
  <c r="G2824" i="7"/>
  <c r="G2825" i="7"/>
  <c r="G2826" i="7"/>
  <c r="G2827" i="7"/>
  <c r="G2828" i="7"/>
  <c r="G2829" i="7"/>
  <c r="G2830" i="7"/>
  <c r="G2831" i="7"/>
  <c r="G2832" i="7"/>
  <c r="G2833" i="7"/>
  <c r="G2834" i="7"/>
  <c r="G2835" i="7"/>
  <c r="G2836" i="7"/>
  <c r="G2837" i="7"/>
  <c r="G2838" i="7"/>
  <c r="G2839" i="7"/>
  <c r="G2840" i="7"/>
  <c r="G2841" i="7"/>
  <c r="G2842" i="7"/>
  <c r="G2843" i="7"/>
  <c r="G2844" i="7"/>
  <c r="G2845" i="7"/>
  <c r="G2846" i="7"/>
  <c r="G2847" i="7"/>
  <c r="G2848" i="7"/>
  <c r="G2849" i="7"/>
  <c r="G2850" i="7"/>
  <c r="G2851" i="7"/>
  <c r="G2852" i="7"/>
  <c r="G2853" i="7"/>
  <c r="G2854" i="7"/>
  <c r="G2855" i="7"/>
  <c r="G2856" i="7"/>
  <c r="G2857" i="7"/>
  <c r="G2858" i="7"/>
  <c r="G2859" i="7"/>
  <c r="G2860" i="7"/>
  <c r="G2861" i="7"/>
  <c r="G2862" i="7"/>
  <c r="G2863" i="7"/>
  <c r="G2864" i="7"/>
  <c r="G2865" i="7"/>
  <c r="G2866" i="7"/>
  <c r="G2867" i="7"/>
  <c r="G2868" i="7"/>
  <c r="G2869" i="7"/>
  <c r="G2870" i="7"/>
  <c r="G2871" i="7"/>
  <c r="G2872" i="7"/>
  <c r="G2873" i="7"/>
  <c r="G2874" i="7"/>
  <c r="G2875" i="7"/>
  <c r="G2876" i="7"/>
  <c r="G2877" i="7"/>
  <c r="G2878" i="7"/>
  <c r="G2879" i="7"/>
  <c r="G2880" i="7"/>
  <c r="G2881" i="7"/>
  <c r="G2882" i="7"/>
  <c r="G2883" i="7"/>
  <c r="G2884" i="7"/>
  <c r="G2885" i="7"/>
  <c r="G2886" i="7"/>
  <c r="G2887" i="7"/>
  <c r="G2888" i="7"/>
  <c r="G2889" i="7"/>
  <c r="G2890" i="7"/>
  <c r="G2891" i="7"/>
  <c r="G2892" i="7"/>
  <c r="G2893" i="7"/>
  <c r="G2894" i="7"/>
  <c r="G2895" i="7"/>
  <c r="G2896" i="7"/>
  <c r="G2897" i="7"/>
  <c r="G2898" i="7"/>
  <c r="G2899" i="7"/>
  <c r="G2900" i="7"/>
  <c r="G2901" i="7"/>
  <c r="G2902" i="7"/>
  <c r="G2903" i="7"/>
  <c r="G2904" i="7"/>
  <c r="G2905" i="7"/>
  <c r="G2906" i="7"/>
  <c r="G2907" i="7"/>
  <c r="G2908" i="7"/>
  <c r="G2909" i="7"/>
  <c r="G2910" i="7"/>
  <c r="G2911" i="7"/>
  <c r="G2912" i="7"/>
  <c r="G2913" i="7"/>
  <c r="G2914" i="7"/>
  <c r="G2915" i="7"/>
  <c r="G2916" i="7"/>
  <c r="G2917" i="7"/>
  <c r="G2918" i="7"/>
  <c r="G2919" i="7"/>
  <c r="G2920" i="7"/>
  <c r="G2921" i="7"/>
  <c r="G2922" i="7"/>
  <c r="G2923" i="7"/>
  <c r="G2924" i="7"/>
  <c r="G2925" i="7"/>
  <c r="G2926" i="7"/>
  <c r="G2927" i="7"/>
  <c r="G2928" i="7"/>
  <c r="G2929" i="7"/>
  <c r="G2930" i="7"/>
  <c r="G2931" i="7"/>
  <c r="G2932" i="7"/>
  <c r="G2933" i="7"/>
  <c r="G2934" i="7"/>
  <c r="G2935" i="7"/>
  <c r="G2936" i="7"/>
  <c r="G2937" i="7"/>
  <c r="G2938" i="7"/>
  <c r="G2939" i="7"/>
  <c r="G2940" i="7"/>
  <c r="G2941" i="7"/>
  <c r="G2942" i="7"/>
  <c r="G2943" i="7"/>
  <c r="G2944" i="7"/>
  <c r="G2945" i="7"/>
  <c r="G2946" i="7"/>
  <c r="G2947" i="7"/>
  <c r="G2948" i="7"/>
  <c r="G2949" i="7"/>
  <c r="G2950" i="7"/>
  <c r="G2951" i="7"/>
  <c r="G2952" i="7"/>
  <c r="G2953" i="7"/>
  <c r="G2954" i="7"/>
  <c r="G2955" i="7"/>
  <c r="G2956" i="7"/>
  <c r="G2957" i="7"/>
  <c r="G2958" i="7"/>
  <c r="G2959" i="7"/>
  <c r="G2960" i="7"/>
  <c r="G2961" i="7"/>
  <c r="G2962" i="7"/>
  <c r="G2963" i="7"/>
  <c r="G2964" i="7"/>
  <c r="G2965" i="7"/>
  <c r="G2966" i="7"/>
  <c r="G2967" i="7"/>
  <c r="G2968" i="7"/>
  <c r="G2969" i="7"/>
  <c r="G2970" i="7"/>
  <c r="G2971" i="7"/>
  <c r="G2972" i="7"/>
  <c r="G2973" i="7"/>
  <c r="G2974" i="7"/>
  <c r="G2975" i="7"/>
  <c r="G2976" i="7"/>
  <c r="G2977" i="7"/>
  <c r="G2978" i="7"/>
  <c r="G2979" i="7"/>
  <c r="G2980" i="7"/>
  <c r="G2981" i="7"/>
  <c r="G2982" i="7"/>
  <c r="G2983" i="7"/>
  <c r="G2984" i="7"/>
  <c r="G2985" i="7"/>
  <c r="G2986" i="7"/>
  <c r="G2987" i="7"/>
  <c r="G2988" i="7"/>
  <c r="G2989" i="7"/>
  <c r="G2990" i="7"/>
  <c r="G2991" i="7"/>
  <c r="G2992" i="7"/>
  <c r="G2993" i="7"/>
  <c r="G2994" i="7"/>
  <c r="G2995" i="7"/>
  <c r="G2996" i="7"/>
  <c r="G2997" i="7"/>
  <c r="G2998" i="7"/>
  <c r="G2999" i="7"/>
  <c r="G3000" i="7"/>
  <c r="G3001" i="7"/>
  <c r="G3002" i="7"/>
  <c r="G3003" i="7"/>
  <c r="G3004" i="7"/>
  <c r="G3005" i="7"/>
  <c r="G3006" i="7"/>
  <c r="G3007" i="7"/>
  <c r="G3008" i="7"/>
  <c r="G3009" i="7"/>
  <c r="G3010" i="7"/>
  <c r="G3011" i="7"/>
  <c r="G3012" i="7"/>
  <c r="G3013" i="7"/>
  <c r="G3014" i="7"/>
  <c r="G3015" i="7"/>
  <c r="G3016" i="7"/>
  <c r="G3017" i="7"/>
  <c r="G3018" i="7"/>
  <c r="G3019" i="7"/>
  <c r="G3020" i="7"/>
  <c r="G3021" i="7"/>
  <c r="G3022" i="7"/>
  <c r="G3023" i="7"/>
  <c r="G3024" i="7"/>
  <c r="G3025" i="7"/>
  <c r="G3026" i="7"/>
  <c r="G3027" i="7"/>
  <c r="G3028" i="7"/>
  <c r="G3029" i="7"/>
  <c r="G3030" i="7"/>
  <c r="G3031" i="7"/>
  <c r="G3032" i="7"/>
  <c r="G3033" i="7"/>
  <c r="G3034" i="7"/>
  <c r="G3035" i="7"/>
  <c r="G3036" i="7"/>
  <c r="G3037" i="7"/>
  <c r="G3038" i="7"/>
  <c r="G3039" i="7"/>
  <c r="G3040" i="7"/>
  <c r="G3041" i="7"/>
  <c r="G3042" i="7"/>
  <c r="G3043" i="7"/>
  <c r="G3044" i="7"/>
  <c r="G3045" i="7"/>
  <c r="G3046" i="7"/>
  <c r="G3047" i="7"/>
  <c r="G3048" i="7"/>
  <c r="G3049" i="7"/>
  <c r="G3050" i="7"/>
  <c r="G3051" i="7"/>
  <c r="G3052" i="7"/>
  <c r="G3053" i="7"/>
  <c r="G3054" i="7"/>
  <c r="G3055" i="7"/>
  <c r="G3056" i="7"/>
  <c r="G3057" i="7"/>
  <c r="G3058" i="7"/>
  <c r="G3059" i="7"/>
  <c r="G3060" i="7"/>
  <c r="G3061" i="7"/>
  <c r="G3062" i="7"/>
  <c r="G3063" i="7"/>
  <c r="G3064" i="7"/>
  <c r="G3065" i="7"/>
  <c r="G3066" i="7"/>
  <c r="G3067" i="7"/>
  <c r="G3068" i="7"/>
  <c r="G3069" i="7"/>
  <c r="G3070" i="7"/>
  <c r="G3071" i="7"/>
  <c r="G3072" i="7"/>
  <c r="G3073" i="7"/>
  <c r="G3074" i="7"/>
  <c r="G3075" i="7"/>
  <c r="G3076" i="7"/>
  <c r="G3077" i="7"/>
  <c r="G3078" i="7"/>
  <c r="G3079" i="7"/>
  <c r="G3080" i="7"/>
  <c r="G3081" i="7"/>
  <c r="G3082" i="7"/>
  <c r="G3083" i="7"/>
  <c r="G3084" i="7"/>
  <c r="G3085" i="7"/>
  <c r="G3086" i="7"/>
  <c r="G3087" i="7"/>
  <c r="G3088" i="7"/>
  <c r="G3089" i="7"/>
  <c r="G3090" i="7"/>
  <c r="G3091" i="7"/>
  <c r="G3092" i="7"/>
  <c r="G3093" i="7"/>
  <c r="G3094" i="7"/>
  <c r="G3095" i="7"/>
  <c r="G3096" i="7"/>
  <c r="G3097" i="7"/>
  <c r="G3098" i="7"/>
  <c r="G3099" i="7"/>
  <c r="G3100" i="7"/>
  <c r="G3101" i="7"/>
  <c r="G3102" i="7"/>
  <c r="G3103" i="7"/>
  <c r="G3104" i="7"/>
  <c r="G3105" i="7"/>
  <c r="G3106" i="7"/>
  <c r="G3107" i="7"/>
  <c r="G3108" i="7"/>
  <c r="G3109" i="7"/>
  <c r="G3110" i="7"/>
  <c r="G3111" i="7"/>
  <c r="G3112" i="7"/>
  <c r="G3113" i="7"/>
  <c r="G3114" i="7"/>
  <c r="G3115" i="7"/>
  <c r="G3116" i="7"/>
  <c r="G3117" i="7"/>
  <c r="G3118" i="7"/>
  <c r="G3119" i="7"/>
  <c r="G3120" i="7"/>
  <c r="G3121" i="7"/>
  <c r="G3122" i="7"/>
  <c r="G3123" i="7"/>
  <c r="G3124" i="7"/>
  <c r="G3125" i="7"/>
  <c r="G3126" i="7"/>
  <c r="G3127" i="7"/>
  <c r="G3128" i="7"/>
  <c r="G3129" i="7"/>
  <c r="G3130" i="7"/>
  <c r="G3131" i="7"/>
  <c r="G3132" i="7"/>
  <c r="G3133" i="7"/>
  <c r="G3134" i="7"/>
  <c r="G3135" i="7"/>
  <c r="G3136" i="7"/>
  <c r="G3137" i="7"/>
  <c r="G3138" i="7"/>
  <c r="G3139" i="7"/>
  <c r="G3140" i="7"/>
  <c r="G3141" i="7"/>
  <c r="G3142" i="7"/>
  <c r="G3143" i="7"/>
  <c r="G3144" i="7"/>
  <c r="G3145" i="7"/>
  <c r="G3146" i="7"/>
  <c r="G3147" i="7"/>
  <c r="G3148" i="7"/>
  <c r="G3149" i="7"/>
  <c r="G3150" i="7"/>
  <c r="G3151" i="7"/>
  <c r="G3152" i="7"/>
  <c r="G3153" i="7"/>
  <c r="G3154" i="7"/>
  <c r="G3155" i="7"/>
  <c r="G3156" i="7"/>
  <c r="G3157" i="7"/>
  <c r="G3158" i="7"/>
  <c r="G3159" i="7"/>
  <c r="G3160" i="7"/>
  <c r="G3161" i="7"/>
  <c r="G3162" i="7"/>
  <c r="G3163" i="7"/>
  <c r="G3164" i="7"/>
  <c r="G3165" i="7"/>
  <c r="G3166" i="7"/>
  <c r="G3167" i="7"/>
  <c r="G3168" i="7"/>
  <c r="G3169" i="7"/>
  <c r="G3170" i="7"/>
  <c r="G3171" i="7"/>
  <c r="G3172" i="7"/>
  <c r="G3173" i="7"/>
  <c r="G3174" i="7"/>
  <c r="G3175" i="7"/>
  <c r="G3176" i="7"/>
  <c r="G3177" i="7"/>
  <c r="G3178" i="7"/>
  <c r="G3179" i="7"/>
  <c r="G3180" i="7"/>
  <c r="G3181" i="7"/>
  <c r="G3182" i="7"/>
  <c r="G3183" i="7"/>
  <c r="G3184" i="7"/>
  <c r="G3185" i="7"/>
  <c r="G3186" i="7"/>
  <c r="G3187" i="7"/>
  <c r="G3188" i="7"/>
  <c r="G3189" i="7"/>
  <c r="G3190" i="7"/>
  <c r="G3191" i="7"/>
  <c r="G3192" i="7"/>
  <c r="G3193" i="7"/>
  <c r="G3194" i="7"/>
  <c r="G3195" i="7"/>
  <c r="G3196" i="7"/>
  <c r="G3197" i="7"/>
  <c r="G3198" i="7"/>
  <c r="G3199" i="7"/>
  <c r="G3200" i="7"/>
  <c r="G3201" i="7"/>
  <c r="G3202" i="7"/>
  <c r="G3203" i="7"/>
  <c r="G3204" i="7"/>
  <c r="G3205" i="7"/>
  <c r="G3206" i="7"/>
  <c r="G3207" i="7"/>
  <c r="G3208" i="7"/>
  <c r="G3209" i="7"/>
  <c r="G3210" i="7"/>
  <c r="G3211" i="7"/>
  <c r="G3212" i="7"/>
  <c r="G3213" i="7"/>
  <c r="G3214" i="7"/>
  <c r="G3215" i="7"/>
  <c r="G3216" i="7"/>
  <c r="G3217" i="7"/>
  <c r="G3218" i="7"/>
  <c r="G3219" i="7"/>
  <c r="G3220" i="7"/>
  <c r="G3221" i="7"/>
  <c r="G3222" i="7"/>
  <c r="G3223" i="7"/>
  <c r="G3224" i="7"/>
  <c r="G3225" i="7"/>
  <c r="G3226" i="7"/>
  <c r="G3227" i="7"/>
  <c r="G3228" i="7"/>
  <c r="G3229" i="7"/>
  <c r="G3230" i="7"/>
  <c r="G3231" i="7"/>
  <c r="G3232" i="7"/>
  <c r="G3233" i="7"/>
  <c r="G3234" i="7"/>
  <c r="G3235" i="7"/>
  <c r="G3236" i="7"/>
  <c r="G3237" i="7"/>
  <c r="G3238" i="7"/>
  <c r="G3239" i="7"/>
  <c r="G3240" i="7"/>
  <c r="G3241" i="7"/>
  <c r="G3242" i="7"/>
  <c r="G3243" i="7"/>
  <c r="G3244" i="7"/>
  <c r="G3245" i="7"/>
  <c r="G3246" i="7"/>
  <c r="G3247" i="7"/>
  <c r="G3248" i="7"/>
  <c r="G3249" i="7"/>
  <c r="G3250" i="7"/>
  <c r="G3251" i="7"/>
  <c r="G3252" i="7"/>
  <c r="G3253" i="7"/>
  <c r="G3254" i="7"/>
  <c r="G3255" i="7"/>
  <c r="G3256" i="7"/>
  <c r="G3257" i="7"/>
  <c r="G3258" i="7"/>
  <c r="G3259" i="7"/>
  <c r="G3260" i="7"/>
  <c r="G3261" i="7"/>
  <c r="G3262" i="7"/>
  <c r="G3263" i="7"/>
  <c r="G3264" i="7"/>
  <c r="G3265" i="7"/>
  <c r="G3266" i="7"/>
  <c r="G3267" i="7"/>
  <c r="G3268" i="7"/>
  <c r="G3269" i="7"/>
  <c r="G3270" i="7"/>
  <c r="G3271" i="7"/>
  <c r="G3272" i="7"/>
  <c r="G3273" i="7"/>
  <c r="G3274" i="7"/>
  <c r="G3275" i="7"/>
  <c r="G3276" i="7"/>
  <c r="G3277" i="7"/>
  <c r="G3278" i="7"/>
  <c r="G3279" i="7"/>
  <c r="G3280" i="7"/>
  <c r="G3281" i="7"/>
  <c r="G3282" i="7"/>
  <c r="G3283" i="7"/>
  <c r="G3284" i="7"/>
  <c r="G3285" i="7"/>
  <c r="G3286" i="7"/>
  <c r="G3287" i="7"/>
  <c r="G3288" i="7"/>
  <c r="G3289" i="7"/>
  <c r="G3290" i="7"/>
  <c r="G3291" i="7"/>
  <c r="G3292" i="7"/>
  <c r="G3293" i="7"/>
  <c r="G3294" i="7"/>
  <c r="G3295" i="7"/>
  <c r="G3296" i="7"/>
  <c r="G3297" i="7"/>
  <c r="G3298" i="7"/>
  <c r="G3299" i="7"/>
  <c r="G3300" i="7"/>
  <c r="G3301" i="7"/>
  <c r="G3302" i="7"/>
  <c r="G3303" i="7"/>
  <c r="G3304" i="7"/>
  <c r="G3305" i="7"/>
  <c r="G3306" i="7"/>
  <c r="G3307" i="7"/>
  <c r="G3308" i="7"/>
  <c r="G3309" i="7"/>
  <c r="G3310" i="7"/>
  <c r="G3311" i="7"/>
  <c r="G3312" i="7"/>
  <c r="G3313" i="7"/>
  <c r="G3314" i="7"/>
  <c r="G3315" i="7"/>
  <c r="G3316" i="7"/>
  <c r="G3317" i="7"/>
  <c r="G3318" i="7"/>
  <c r="G3319" i="7"/>
  <c r="G3320" i="7"/>
  <c r="G3321" i="7"/>
  <c r="G3322" i="7"/>
  <c r="G3323" i="7"/>
  <c r="G3324" i="7"/>
  <c r="G3325" i="7"/>
  <c r="G3326" i="7"/>
  <c r="G3327" i="7"/>
  <c r="G3328" i="7"/>
  <c r="G3329" i="7"/>
  <c r="G3330" i="7"/>
  <c r="G3331" i="7"/>
  <c r="G3332" i="7"/>
  <c r="G3333" i="7"/>
  <c r="G3334" i="7"/>
  <c r="G3335" i="7"/>
  <c r="G3336" i="7"/>
  <c r="G3337" i="7"/>
  <c r="G3338" i="7"/>
  <c r="G3339" i="7"/>
  <c r="G3340" i="7"/>
  <c r="G3341" i="7"/>
  <c r="G3342" i="7"/>
  <c r="G3343" i="7"/>
  <c r="G3344" i="7"/>
  <c r="G3345" i="7"/>
  <c r="G3346" i="7"/>
  <c r="G3347" i="7"/>
  <c r="G3348" i="7"/>
  <c r="G3349" i="7"/>
  <c r="G3350" i="7"/>
  <c r="G3351" i="7"/>
  <c r="G3352" i="7"/>
  <c r="G3353" i="7"/>
  <c r="G3354" i="7"/>
  <c r="G3355" i="7"/>
  <c r="G3356" i="7"/>
  <c r="G3357" i="7"/>
  <c r="G3358" i="7"/>
  <c r="G3359" i="7"/>
  <c r="G3360" i="7"/>
  <c r="G3361" i="7"/>
  <c r="G3362" i="7"/>
  <c r="G3363" i="7"/>
  <c r="G3364" i="7"/>
  <c r="G3365" i="7"/>
  <c r="G3366" i="7"/>
  <c r="G3367" i="7"/>
  <c r="G3368" i="7"/>
  <c r="G3369" i="7"/>
  <c r="G3370" i="7"/>
  <c r="G3371" i="7"/>
  <c r="G3372" i="7"/>
  <c r="G3373" i="7"/>
  <c r="G3374" i="7"/>
  <c r="G3375" i="7"/>
  <c r="G3376" i="7"/>
  <c r="G3377" i="7"/>
  <c r="G3378" i="7"/>
  <c r="G3379" i="7"/>
  <c r="G3380" i="7"/>
  <c r="G3381" i="7"/>
  <c r="G3382" i="7"/>
  <c r="G3383" i="7"/>
  <c r="G3384" i="7"/>
  <c r="G3385" i="7"/>
  <c r="G3386" i="7"/>
  <c r="G3387" i="7"/>
  <c r="G3388" i="7"/>
  <c r="G3389" i="7"/>
  <c r="G3390" i="7"/>
  <c r="G3391" i="7"/>
  <c r="G3392" i="7"/>
  <c r="G3393" i="7"/>
  <c r="G3394" i="7"/>
  <c r="G3395" i="7"/>
  <c r="G3396" i="7"/>
  <c r="G3397" i="7"/>
  <c r="G3398" i="7"/>
  <c r="G3399" i="7"/>
  <c r="G3400" i="7"/>
  <c r="G3401" i="7"/>
  <c r="G3402" i="7"/>
  <c r="G3403" i="7"/>
  <c r="G3404" i="7"/>
  <c r="G3405" i="7"/>
  <c r="G3406" i="7"/>
  <c r="G3407" i="7"/>
  <c r="G3408" i="7"/>
  <c r="G3409" i="7"/>
  <c r="G3410" i="7"/>
  <c r="G3411" i="7"/>
  <c r="G3412" i="7"/>
  <c r="G3413" i="7"/>
  <c r="G3414" i="7"/>
  <c r="G3415" i="7"/>
  <c r="G3416" i="7"/>
  <c r="G3417" i="7"/>
  <c r="G3418" i="7"/>
  <c r="G3419" i="7"/>
  <c r="G3420" i="7"/>
  <c r="G3421" i="7"/>
  <c r="G3422" i="7"/>
  <c r="G3423" i="7"/>
  <c r="G3424" i="7"/>
  <c r="G3425" i="7"/>
  <c r="G3426" i="7"/>
  <c r="G3427" i="7"/>
  <c r="G3428" i="7"/>
  <c r="G3429" i="7"/>
  <c r="G3430" i="7"/>
  <c r="G3431" i="7"/>
  <c r="G3432" i="7"/>
  <c r="G3433" i="7"/>
  <c r="G3434" i="7"/>
  <c r="G3435" i="7"/>
  <c r="G3436" i="7"/>
  <c r="G3437" i="7"/>
  <c r="G3438" i="7"/>
  <c r="G3439" i="7"/>
  <c r="G3440" i="7"/>
  <c r="G3441" i="7"/>
  <c r="G3442" i="7"/>
  <c r="G3443" i="7"/>
  <c r="G3444" i="7"/>
  <c r="G3445" i="7"/>
  <c r="G3446" i="7"/>
  <c r="G3447" i="7"/>
  <c r="G3448" i="7"/>
  <c r="G3449" i="7"/>
  <c r="G3450" i="7"/>
  <c r="G3451" i="7"/>
  <c r="G3452" i="7"/>
  <c r="G3453" i="7"/>
  <c r="G3454" i="7"/>
  <c r="G3455" i="7"/>
  <c r="G3456" i="7"/>
  <c r="G3457" i="7"/>
  <c r="G3458" i="7"/>
  <c r="G3459" i="7"/>
  <c r="G3460" i="7"/>
  <c r="G3461" i="7"/>
  <c r="G3462" i="7"/>
  <c r="G3463" i="7"/>
  <c r="G3464" i="7"/>
  <c r="G3465" i="7"/>
  <c r="G3466" i="7"/>
  <c r="G3467" i="7"/>
  <c r="G3468" i="7"/>
  <c r="G3469" i="7"/>
  <c r="G3470" i="7"/>
  <c r="G3471" i="7"/>
  <c r="G3472" i="7"/>
  <c r="G3473" i="7"/>
  <c r="G3474" i="7"/>
  <c r="G3475" i="7"/>
  <c r="G3476" i="7"/>
  <c r="G3477" i="7"/>
  <c r="G3478" i="7"/>
  <c r="G3479" i="7"/>
  <c r="G3480" i="7"/>
  <c r="G3481" i="7"/>
  <c r="G3482" i="7"/>
  <c r="G3483" i="7"/>
  <c r="G3484" i="7"/>
  <c r="G3485" i="7"/>
  <c r="G3486" i="7"/>
  <c r="G3487" i="7"/>
  <c r="G3488" i="7"/>
  <c r="G3489" i="7"/>
  <c r="G3490" i="7"/>
  <c r="G3491" i="7"/>
  <c r="G3492" i="7"/>
  <c r="G3493" i="7"/>
  <c r="G3494" i="7"/>
  <c r="G3495" i="7"/>
  <c r="G3496" i="7"/>
  <c r="G3497" i="7"/>
  <c r="G3498" i="7"/>
  <c r="G3499" i="7"/>
  <c r="G3500" i="7"/>
  <c r="G3501" i="7"/>
  <c r="G3502" i="7"/>
  <c r="G3503" i="7"/>
  <c r="G3504" i="7"/>
  <c r="G3505" i="7"/>
  <c r="G3506" i="7"/>
  <c r="G3507" i="7"/>
  <c r="G3508" i="7"/>
  <c r="G3509" i="7"/>
  <c r="G3510" i="7"/>
  <c r="G3511" i="7"/>
  <c r="G3512" i="7"/>
  <c r="G3513" i="7"/>
  <c r="G3514" i="7"/>
  <c r="G3515" i="7"/>
  <c r="G3516" i="7"/>
  <c r="G3517" i="7"/>
  <c r="G3518" i="7"/>
  <c r="G3519" i="7"/>
  <c r="G3520" i="7"/>
  <c r="G3521" i="7"/>
  <c r="G3522" i="7"/>
  <c r="G3523" i="7"/>
  <c r="G3524" i="7"/>
  <c r="G3525" i="7"/>
  <c r="G3526" i="7"/>
  <c r="G3527" i="7"/>
  <c r="G3528" i="7"/>
  <c r="G3529" i="7"/>
  <c r="G3530" i="7"/>
  <c r="G3531" i="7"/>
  <c r="G3532" i="7"/>
  <c r="G3533" i="7"/>
  <c r="G3534" i="7"/>
  <c r="G3535" i="7"/>
  <c r="G3536" i="7"/>
  <c r="G3537" i="7"/>
  <c r="G3538" i="7"/>
  <c r="G3539" i="7"/>
  <c r="G3540" i="7"/>
  <c r="G3541" i="7"/>
  <c r="G3542" i="7"/>
  <c r="G3543" i="7"/>
  <c r="G3544" i="7"/>
  <c r="G3545" i="7"/>
  <c r="G3546" i="7"/>
  <c r="G3547" i="7"/>
  <c r="G3548" i="7"/>
  <c r="G3549" i="7"/>
  <c r="G3550" i="7"/>
  <c r="G3551" i="7"/>
  <c r="G3552" i="7"/>
  <c r="G3553" i="7"/>
  <c r="G3554" i="7"/>
  <c r="G3555" i="7"/>
  <c r="G3556" i="7"/>
  <c r="G3557" i="7"/>
  <c r="G3558" i="7"/>
  <c r="G3559" i="7"/>
  <c r="G3560" i="7"/>
  <c r="G3561" i="7"/>
  <c r="G3562" i="7"/>
  <c r="G3563" i="7"/>
  <c r="G3564" i="7"/>
  <c r="G3565" i="7"/>
  <c r="G3566" i="7"/>
  <c r="G3567" i="7"/>
  <c r="G3568" i="7"/>
  <c r="G3569" i="7"/>
  <c r="G3570" i="7"/>
  <c r="G3571" i="7"/>
  <c r="G3572" i="7"/>
  <c r="G3573" i="7"/>
  <c r="G3574" i="7"/>
  <c r="G3575" i="7"/>
  <c r="G3576" i="7"/>
  <c r="G3577" i="7"/>
  <c r="G3578" i="7"/>
  <c r="G3579" i="7"/>
  <c r="G3580" i="7"/>
  <c r="G3581" i="7"/>
  <c r="G3582" i="7"/>
  <c r="G3583" i="7"/>
  <c r="G3584" i="7"/>
  <c r="G3585" i="7"/>
  <c r="G3586" i="7"/>
  <c r="G3587" i="7"/>
  <c r="G3588" i="7"/>
  <c r="G3589" i="7"/>
  <c r="G3590" i="7"/>
  <c r="G3591" i="7"/>
  <c r="G3592" i="7"/>
  <c r="G3593" i="7"/>
  <c r="G3594" i="7"/>
  <c r="G3595" i="7"/>
  <c r="G3596" i="7"/>
  <c r="G3597" i="7"/>
  <c r="G3598" i="7"/>
  <c r="G3599" i="7"/>
  <c r="G3600" i="7"/>
  <c r="G3601" i="7"/>
  <c r="G3602" i="7"/>
  <c r="G3603" i="7"/>
  <c r="G3604" i="7"/>
  <c r="G3605" i="7"/>
  <c r="G3606" i="7"/>
  <c r="G3607" i="7"/>
  <c r="G3608" i="7"/>
  <c r="G3609" i="7"/>
  <c r="G3610" i="7"/>
  <c r="G3611" i="7"/>
  <c r="G3612" i="7"/>
  <c r="G3613" i="7"/>
  <c r="G3614" i="7"/>
  <c r="G3615" i="7"/>
  <c r="G3616" i="7"/>
  <c r="G3617" i="7"/>
  <c r="G3618" i="7"/>
  <c r="G3619" i="7"/>
  <c r="G3620" i="7"/>
  <c r="G3621" i="7"/>
  <c r="G3622" i="7"/>
  <c r="G3623" i="7"/>
  <c r="G3624" i="7"/>
  <c r="G3625" i="7"/>
  <c r="G3626" i="7"/>
  <c r="G3627" i="7"/>
  <c r="G3628" i="7"/>
  <c r="G3629" i="7"/>
  <c r="G3630" i="7"/>
  <c r="G3631" i="7"/>
  <c r="G3632" i="7"/>
  <c r="G3633" i="7"/>
  <c r="G3634" i="7"/>
  <c r="G3635" i="7"/>
  <c r="G3636" i="7"/>
  <c r="G3637" i="7"/>
  <c r="G3638" i="7"/>
  <c r="G3639" i="7"/>
  <c r="G3640" i="7"/>
  <c r="G3641" i="7"/>
  <c r="G3642" i="7"/>
  <c r="G3643" i="7"/>
  <c r="G3644" i="7"/>
  <c r="G3645" i="7"/>
  <c r="G3646" i="7"/>
  <c r="G3647" i="7"/>
  <c r="G3648" i="7"/>
  <c r="G3649" i="7"/>
  <c r="G3650" i="7"/>
  <c r="G3651" i="7"/>
  <c r="G3652" i="7"/>
  <c r="G3653" i="7"/>
  <c r="G3654" i="7"/>
  <c r="G3655" i="7"/>
  <c r="G3656" i="7"/>
  <c r="G3657" i="7"/>
  <c r="G3658" i="7"/>
  <c r="G3659" i="7"/>
  <c r="G3660" i="7"/>
  <c r="G3661" i="7"/>
  <c r="G3662" i="7"/>
  <c r="G3663" i="7"/>
  <c r="G3664" i="7"/>
  <c r="G3665" i="7"/>
  <c r="G3666" i="7"/>
  <c r="G3667" i="7"/>
  <c r="G3668" i="7"/>
  <c r="G3669" i="7"/>
  <c r="G3670" i="7"/>
  <c r="G3671" i="7"/>
  <c r="G3672" i="7"/>
  <c r="G3673" i="7"/>
  <c r="G3674" i="7"/>
  <c r="G3675" i="7"/>
  <c r="G3676" i="7"/>
  <c r="G3677" i="7"/>
  <c r="G3678" i="7"/>
  <c r="G3679" i="7"/>
  <c r="G3680" i="7"/>
  <c r="G3681" i="7"/>
  <c r="G3682" i="7"/>
  <c r="G3683" i="7"/>
  <c r="G3684" i="7"/>
  <c r="G3685" i="7"/>
  <c r="G3686" i="7"/>
  <c r="G3687" i="7"/>
  <c r="G3688" i="7"/>
  <c r="G3689" i="7"/>
  <c r="G3690" i="7"/>
  <c r="G3691" i="7"/>
  <c r="G3692" i="7"/>
  <c r="G3693" i="7"/>
  <c r="G3694" i="7"/>
  <c r="G3695" i="7"/>
  <c r="G3696" i="7"/>
  <c r="G3697" i="7"/>
  <c r="G3698" i="7"/>
  <c r="G3699" i="7"/>
  <c r="G3700" i="7"/>
  <c r="G3701" i="7"/>
  <c r="G3702" i="7"/>
  <c r="G3703" i="7"/>
  <c r="G3704" i="7"/>
  <c r="G3705" i="7"/>
  <c r="G3706" i="7"/>
  <c r="G3707" i="7"/>
  <c r="G3708" i="7"/>
  <c r="G3709" i="7"/>
  <c r="G3710" i="7"/>
  <c r="G3711" i="7"/>
  <c r="G3712" i="7"/>
  <c r="G3713" i="7"/>
  <c r="G3714" i="7"/>
  <c r="G3715" i="7"/>
  <c r="G3716" i="7"/>
  <c r="G3717" i="7"/>
  <c r="G3718" i="7"/>
  <c r="G3719" i="7"/>
  <c r="G3720" i="7"/>
  <c r="G3721" i="7"/>
  <c r="G3722" i="7"/>
  <c r="G3723" i="7"/>
  <c r="G3724" i="7"/>
  <c r="G3725" i="7"/>
  <c r="G3726" i="7"/>
  <c r="G3727" i="7"/>
  <c r="G3728" i="7"/>
  <c r="G3729" i="7"/>
  <c r="G3730" i="7"/>
  <c r="G3731" i="7"/>
  <c r="G3732" i="7"/>
  <c r="G3733" i="7"/>
  <c r="G3734" i="7"/>
  <c r="G3735" i="7"/>
  <c r="G3736" i="7"/>
  <c r="G3737" i="7"/>
  <c r="G3738" i="7"/>
  <c r="G3739" i="7"/>
  <c r="G3740" i="7"/>
  <c r="G3741" i="7"/>
  <c r="G3742" i="7"/>
  <c r="G3743" i="7"/>
  <c r="G3744" i="7"/>
  <c r="G3745" i="7"/>
  <c r="G3746" i="7"/>
  <c r="G3747" i="7"/>
  <c r="G3748" i="7"/>
  <c r="G3749" i="7"/>
  <c r="G3750" i="7"/>
  <c r="G3751" i="7"/>
  <c r="G3752" i="7"/>
  <c r="G3753" i="7"/>
  <c r="G3754" i="7"/>
  <c r="G3755" i="7"/>
  <c r="G3756" i="7"/>
  <c r="G3757" i="7"/>
  <c r="G3758" i="7"/>
  <c r="G3759" i="7"/>
  <c r="G3760" i="7"/>
  <c r="G3761" i="7"/>
  <c r="G3762" i="7"/>
  <c r="G3763" i="7"/>
  <c r="G3764" i="7"/>
  <c r="G3765" i="7"/>
  <c r="G3766" i="7"/>
  <c r="G3767" i="7"/>
  <c r="G3768" i="7"/>
  <c r="G3769" i="7"/>
  <c r="G3770" i="7"/>
  <c r="G3771" i="7"/>
  <c r="G3772" i="7"/>
  <c r="G3773" i="7"/>
  <c r="G3774" i="7"/>
  <c r="G3775" i="7"/>
  <c r="G3776" i="7"/>
  <c r="G3777" i="7"/>
  <c r="G3778" i="7"/>
  <c r="G3779" i="7"/>
  <c r="G3780" i="7"/>
  <c r="G3781" i="7"/>
  <c r="G3782" i="7"/>
  <c r="G3783" i="7"/>
  <c r="G3784" i="7"/>
  <c r="G3785" i="7"/>
  <c r="G3786" i="7"/>
  <c r="G3787" i="7"/>
  <c r="G3788" i="7"/>
  <c r="G3789" i="7"/>
  <c r="G3790" i="7"/>
  <c r="G3791" i="7"/>
  <c r="G3792" i="7"/>
  <c r="G3793" i="7"/>
  <c r="G3794" i="7"/>
  <c r="G3795" i="7"/>
  <c r="G3796" i="7"/>
  <c r="G3797" i="7"/>
  <c r="G3798" i="7"/>
  <c r="G3799" i="7"/>
  <c r="G3800" i="7"/>
  <c r="G3801" i="7"/>
  <c r="G3802" i="7"/>
  <c r="G3803" i="7"/>
  <c r="G3804" i="7"/>
  <c r="G3805" i="7"/>
  <c r="G3806" i="7"/>
  <c r="G3807" i="7"/>
  <c r="G3808" i="7"/>
  <c r="G3809" i="7"/>
  <c r="G3810" i="7"/>
  <c r="G3811" i="7"/>
  <c r="G3812" i="7"/>
  <c r="G3813" i="7"/>
  <c r="G3814" i="7"/>
  <c r="G3815" i="7"/>
  <c r="G3816" i="7"/>
  <c r="G3817" i="7"/>
  <c r="G3818" i="7"/>
  <c r="G3819" i="7"/>
  <c r="G3820" i="7"/>
  <c r="G3821" i="7"/>
  <c r="G3822" i="7"/>
  <c r="G3823" i="7"/>
  <c r="G3824" i="7"/>
  <c r="G3825" i="7"/>
  <c r="G3826" i="7"/>
  <c r="G3827" i="7"/>
  <c r="G3828" i="7"/>
  <c r="G3829" i="7"/>
  <c r="G3830" i="7"/>
  <c r="G3831" i="7"/>
  <c r="G3832" i="7"/>
  <c r="G3833" i="7"/>
  <c r="G3834" i="7"/>
  <c r="G3835" i="7"/>
  <c r="G3836" i="7"/>
  <c r="G3837" i="7"/>
  <c r="G3838" i="7"/>
  <c r="G3839" i="7"/>
  <c r="G3840" i="7"/>
  <c r="G3841" i="7"/>
  <c r="G3842" i="7"/>
  <c r="G3843" i="7"/>
  <c r="G3844" i="7"/>
  <c r="G3845" i="7"/>
  <c r="G3846" i="7"/>
  <c r="G3847" i="7"/>
  <c r="G3848" i="7"/>
  <c r="G3849" i="7"/>
  <c r="G3850" i="7"/>
  <c r="G3851" i="7"/>
  <c r="G3852" i="7"/>
  <c r="G3853" i="7"/>
  <c r="G3854" i="7"/>
  <c r="G3855" i="7"/>
  <c r="G3856" i="7"/>
  <c r="G3857" i="7"/>
  <c r="G3858" i="7"/>
  <c r="G3859" i="7"/>
  <c r="G3860" i="7"/>
  <c r="G3861" i="7"/>
  <c r="G3862" i="7"/>
  <c r="G3863" i="7"/>
  <c r="G3864" i="7"/>
  <c r="G3865" i="7"/>
  <c r="G3866" i="7"/>
  <c r="G3867" i="7"/>
  <c r="G3868" i="7"/>
  <c r="G3869" i="7"/>
  <c r="G3870" i="7"/>
  <c r="G3871" i="7"/>
  <c r="G3872" i="7"/>
  <c r="G3873" i="7"/>
  <c r="G3874" i="7"/>
  <c r="G3875" i="7"/>
  <c r="G3876" i="7"/>
  <c r="G3877" i="7"/>
  <c r="G3878" i="7"/>
  <c r="G3879" i="7"/>
  <c r="G3880" i="7"/>
  <c r="G3881" i="7"/>
  <c r="G3882" i="7"/>
  <c r="G3883" i="7"/>
  <c r="G3884" i="7"/>
  <c r="G3885" i="7"/>
  <c r="G3886" i="7"/>
  <c r="G3887" i="7"/>
  <c r="G3888" i="7"/>
  <c r="G3889" i="7"/>
  <c r="G3890" i="7"/>
  <c r="G3891" i="7"/>
  <c r="G3892" i="7"/>
  <c r="G3893" i="7"/>
  <c r="G3894" i="7"/>
  <c r="G3895" i="7"/>
  <c r="G3896" i="7"/>
  <c r="G3897" i="7"/>
  <c r="G3898" i="7"/>
  <c r="G3899" i="7"/>
  <c r="G3900" i="7"/>
  <c r="G3901" i="7"/>
  <c r="G3902" i="7"/>
  <c r="G3903" i="7"/>
  <c r="G3904" i="7"/>
  <c r="G3905" i="7"/>
  <c r="G3906" i="7"/>
  <c r="G3907" i="7"/>
  <c r="G3908" i="7"/>
  <c r="G3909" i="7"/>
  <c r="G3910" i="7"/>
  <c r="G3911" i="7"/>
  <c r="G3912" i="7"/>
  <c r="G3913" i="7"/>
  <c r="G3914" i="7"/>
  <c r="G3915" i="7"/>
  <c r="G3916" i="7"/>
  <c r="G3917" i="7"/>
  <c r="G3918" i="7"/>
  <c r="G3919" i="7"/>
  <c r="G3920" i="7"/>
  <c r="G3921" i="7"/>
  <c r="G3922" i="7"/>
  <c r="G3923" i="7"/>
  <c r="G3924" i="7"/>
  <c r="G3925" i="7"/>
  <c r="G3926" i="7"/>
  <c r="G3927" i="7"/>
  <c r="G3928" i="7"/>
  <c r="G3929" i="7"/>
  <c r="G3930" i="7"/>
  <c r="G3931" i="7"/>
  <c r="G3932" i="7"/>
  <c r="G3933" i="7"/>
  <c r="G3934" i="7"/>
  <c r="G3935" i="7"/>
  <c r="G3936" i="7"/>
  <c r="G3937" i="7"/>
  <c r="G3938" i="7"/>
  <c r="G3939" i="7"/>
  <c r="G3940" i="7"/>
  <c r="G3941" i="7"/>
  <c r="G3942" i="7"/>
  <c r="G3943" i="7"/>
  <c r="G3944" i="7"/>
  <c r="G3945" i="7"/>
  <c r="G3946" i="7"/>
  <c r="G3947" i="7"/>
  <c r="G3948" i="7"/>
  <c r="G3949" i="7"/>
  <c r="G3950" i="7"/>
  <c r="G3951" i="7"/>
  <c r="G3952" i="7"/>
  <c r="G3953" i="7"/>
  <c r="G3954" i="7"/>
  <c r="G3955" i="7"/>
  <c r="G3956" i="7"/>
  <c r="G3957" i="7"/>
  <c r="G3958" i="7"/>
  <c r="G3959" i="7"/>
  <c r="G3960" i="7"/>
  <c r="G3961" i="7"/>
  <c r="G3962" i="7"/>
  <c r="G3963" i="7"/>
  <c r="G3964" i="7"/>
  <c r="G3965" i="7"/>
  <c r="G3966" i="7"/>
  <c r="G3967" i="7"/>
  <c r="G3968" i="7"/>
  <c r="G3969" i="7"/>
  <c r="G3970" i="7"/>
  <c r="G3971" i="7"/>
  <c r="G3972" i="7"/>
  <c r="G3973" i="7"/>
  <c r="G3974" i="7"/>
  <c r="G3975" i="7"/>
  <c r="G3976" i="7"/>
  <c r="G3977" i="7"/>
  <c r="G3978" i="7"/>
  <c r="G3979" i="7"/>
  <c r="G3980" i="7"/>
  <c r="G3981" i="7"/>
  <c r="G3982" i="7"/>
  <c r="G3983" i="7"/>
  <c r="G3984" i="7"/>
  <c r="G3985" i="7"/>
  <c r="G3986" i="7"/>
  <c r="G3987" i="7"/>
  <c r="G3988" i="7"/>
  <c r="G3989" i="7"/>
  <c r="G3990" i="7"/>
  <c r="G3991" i="7"/>
  <c r="G3992" i="7"/>
  <c r="G3993" i="7"/>
  <c r="G3994" i="7"/>
  <c r="G3995" i="7"/>
  <c r="G3996" i="7"/>
  <c r="G3997" i="7"/>
  <c r="G3998" i="7"/>
  <c r="G3999" i="7"/>
  <c r="G4000" i="7"/>
  <c r="G4001" i="7"/>
  <c r="G4002" i="7"/>
  <c r="G4003" i="7"/>
  <c r="G4004" i="7"/>
  <c r="G4005" i="7"/>
  <c r="G4006" i="7"/>
  <c r="G4007" i="7"/>
  <c r="G4008" i="7"/>
  <c r="G4009" i="7"/>
  <c r="G4010" i="7"/>
  <c r="G4011" i="7"/>
  <c r="G4012" i="7"/>
  <c r="G4013" i="7"/>
  <c r="G4014" i="7"/>
  <c r="G4015" i="7"/>
  <c r="G4016" i="7"/>
  <c r="G4017" i="7"/>
  <c r="G4018" i="7"/>
  <c r="G4019" i="7"/>
  <c r="G4020" i="7"/>
  <c r="G4021" i="7"/>
  <c r="G4022" i="7"/>
  <c r="G4023" i="7"/>
  <c r="G4024" i="7"/>
  <c r="G4025" i="7"/>
  <c r="G4026" i="7"/>
  <c r="G4027" i="7"/>
  <c r="G4028" i="7"/>
  <c r="G4029" i="7"/>
  <c r="G4030" i="7"/>
  <c r="G4031" i="7"/>
  <c r="G4032" i="7"/>
  <c r="G4033" i="7"/>
  <c r="G4034" i="7"/>
  <c r="G4035" i="7"/>
  <c r="G4036" i="7"/>
  <c r="G4037" i="7"/>
  <c r="G4038" i="7"/>
  <c r="G4039" i="7"/>
  <c r="G4040" i="7"/>
  <c r="G4041" i="7"/>
  <c r="G4042" i="7"/>
  <c r="G4043" i="7"/>
  <c r="G4044" i="7"/>
  <c r="G4045" i="7"/>
  <c r="G4046" i="7"/>
  <c r="G4047" i="7"/>
  <c r="G4048" i="7"/>
  <c r="G4049" i="7"/>
  <c r="G4050" i="7"/>
  <c r="G4051" i="7"/>
  <c r="G4052" i="7"/>
  <c r="G4053" i="7"/>
  <c r="G4054" i="7"/>
  <c r="G4055" i="7"/>
  <c r="G4056" i="7"/>
  <c r="G4057" i="7"/>
  <c r="G4058" i="7"/>
  <c r="G4059" i="7"/>
  <c r="G4060" i="7"/>
  <c r="G4061" i="7"/>
  <c r="G4062" i="7"/>
  <c r="G4063" i="7"/>
  <c r="G4064" i="7"/>
  <c r="G4065" i="7"/>
  <c r="G4066" i="7"/>
  <c r="G4067" i="7"/>
  <c r="G4068" i="7"/>
  <c r="G4069" i="7"/>
  <c r="G4070" i="7"/>
  <c r="G4071" i="7"/>
  <c r="G4072" i="7"/>
  <c r="G4073" i="7"/>
  <c r="G4074" i="7"/>
  <c r="G4075" i="7"/>
  <c r="G4076" i="7"/>
  <c r="G4077" i="7"/>
  <c r="G4078" i="7"/>
  <c r="G4079" i="7"/>
  <c r="G4080" i="7"/>
  <c r="G4081" i="7"/>
  <c r="G4082" i="7"/>
  <c r="G4083" i="7"/>
  <c r="G4084" i="7"/>
  <c r="G4085" i="7"/>
  <c r="G4086" i="7"/>
  <c r="G4087" i="7"/>
  <c r="G4088" i="7"/>
  <c r="G4089" i="7"/>
  <c r="G4090" i="7"/>
  <c r="G4091" i="7"/>
  <c r="G4092" i="7"/>
  <c r="G4093" i="7"/>
  <c r="G4094" i="7"/>
  <c r="G4095" i="7"/>
  <c r="G4096" i="7"/>
  <c r="G4097" i="7"/>
  <c r="G4098" i="7"/>
  <c r="G4099" i="7"/>
  <c r="G4100" i="7"/>
  <c r="G4101" i="7"/>
  <c r="G4102" i="7"/>
  <c r="G4103" i="7"/>
  <c r="G4104" i="7"/>
  <c r="G4105" i="7"/>
  <c r="G4106" i="7"/>
  <c r="G4107" i="7"/>
  <c r="G4108" i="7"/>
  <c r="G4109" i="7"/>
  <c r="G4110" i="7"/>
  <c r="G4111" i="7"/>
  <c r="G4112" i="7"/>
  <c r="G4113" i="7"/>
  <c r="G4114" i="7"/>
  <c r="G4115" i="7"/>
  <c r="G4116" i="7"/>
  <c r="G4117" i="7"/>
  <c r="G4118" i="7"/>
  <c r="G4119" i="7"/>
  <c r="G4120" i="7"/>
  <c r="G4121" i="7"/>
  <c r="G4122" i="7"/>
  <c r="G4123" i="7"/>
  <c r="G4124" i="7"/>
  <c r="G4125" i="7"/>
  <c r="G4126" i="7"/>
  <c r="G4127" i="7"/>
  <c r="G4128" i="7"/>
  <c r="G4129" i="7"/>
  <c r="G4130" i="7"/>
  <c r="G4131" i="7"/>
  <c r="G4132" i="7"/>
  <c r="G4133" i="7"/>
  <c r="G4134" i="7"/>
  <c r="G4135" i="7"/>
  <c r="G4136" i="7"/>
  <c r="G4137" i="7"/>
  <c r="G4138" i="7"/>
  <c r="G4139" i="7"/>
  <c r="G4140" i="7"/>
  <c r="G4141" i="7"/>
  <c r="G4142" i="7"/>
  <c r="G4143" i="7"/>
  <c r="G4144" i="7"/>
  <c r="G4145" i="7"/>
  <c r="G4146" i="7"/>
  <c r="G4147" i="7"/>
  <c r="G4148" i="7"/>
  <c r="G4149" i="7"/>
  <c r="G4150" i="7"/>
  <c r="G4151" i="7"/>
  <c r="G4152" i="7"/>
  <c r="G4153" i="7"/>
  <c r="G4154" i="7"/>
  <c r="G4155" i="7"/>
  <c r="G4156" i="7"/>
  <c r="G4157" i="7"/>
  <c r="G4158" i="7"/>
  <c r="G4159" i="7"/>
  <c r="G4160" i="7"/>
  <c r="G4161" i="7"/>
  <c r="G4162" i="7"/>
  <c r="G4163" i="7"/>
  <c r="G4164" i="7"/>
  <c r="G4165" i="7"/>
  <c r="G4166" i="7"/>
  <c r="G4167" i="7"/>
  <c r="G4168" i="7"/>
  <c r="G4169" i="7"/>
  <c r="G4170" i="7"/>
  <c r="G4171" i="7"/>
  <c r="G4172" i="7"/>
  <c r="G4173" i="7"/>
  <c r="G4174" i="7"/>
  <c r="G4175" i="7"/>
  <c r="G4176" i="7"/>
  <c r="G4177" i="7"/>
  <c r="G4178" i="7"/>
  <c r="G4179" i="7"/>
  <c r="G4180" i="7"/>
  <c r="G4181" i="7"/>
  <c r="G4182" i="7"/>
  <c r="G4183" i="7"/>
  <c r="G4184" i="7"/>
  <c r="G4185" i="7"/>
  <c r="G4186" i="7"/>
  <c r="G4187" i="7"/>
  <c r="G4188" i="7"/>
  <c r="G4189" i="7"/>
  <c r="G4190" i="7"/>
  <c r="G4191" i="7"/>
  <c r="G4192" i="7"/>
  <c r="G4193" i="7"/>
  <c r="G4194" i="7"/>
  <c r="G4195" i="7"/>
  <c r="G4196" i="7"/>
  <c r="G4197" i="7"/>
  <c r="G4198" i="7"/>
  <c r="G4199" i="7"/>
  <c r="G4200" i="7"/>
  <c r="G4201" i="7"/>
  <c r="G4202" i="7"/>
  <c r="G4203" i="7"/>
  <c r="G4204" i="7"/>
  <c r="G4205" i="7"/>
  <c r="G4206" i="7"/>
  <c r="G4207" i="7"/>
  <c r="G4208" i="7"/>
  <c r="G4209" i="7"/>
  <c r="G4210" i="7"/>
  <c r="G4211" i="7"/>
  <c r="G4212" i="7"/>
  <c r="G4213" i="7"/>
  <c r="G4214" i="7"/>
  <c r="G4215" i="7"/>
  <c r="G4216" i="7"/>
  <c r="G4217" i="7"/>
  <c r="G4218" i="7"/>
  <c r="G4219" i="7"/>
  <c r="G4220" i="7"/>
  <c r="G4221" i="7"/>
  <c r="G4222" i="7"/>
  <c r="G4223" i="7"/>
  <c r="G4224" i="7"/>
  <c r="G4225" i="7"/>
  <c r="G4226" i="7"/>
  <c r="G4227" i="7"/>
  <c r="G4228" i="7"/>
  <c r="G4229" i="7"/>
  <c r="G4230" i="7"/>
  <c r="G4231" i="7"/>
  <c r="G4232" i="7"/>
  <c r="G4233" i="7"/>
  <c r="G4234" i="7"/>
  <c r="G4235" i="7"/>
  <c r="G4236" i="7"/>
  <c r="G4237" i="7"/>
  <c r="G4238" i="7"/>
  <c r="G4239" i="7"/>
  <c r="G4240" i="7"/>
  <c r="G4241" i="7"/>
  <c r="G4242" i="7"/>
  <c r="G4243" i="7"/>
  <c r="G4244" i="7"/>
  <c r="G4245" i="7"/>
  <c r="G4246" i="7"/>
  <c r="G4247" i="7"/>
  <c r="G4248" i="7"/>
  <c r="G4249" i="7"/>
  <c r="G4250" i="7"/>
  <c r="G4251" i="7"/>
  <c r="G4252" i="7"/>
  <c r="G4253" i="7"/>
  <c r="G4254" i="7"/>
  <c r="G4255" i="7"/>
  <c r="G4256" i="7"/>
  <c r="G4257" i="7"/>
  <c r="G4258" i="7"/>
  <c r="G4259" i="7"/>
  <c r="G4260" i="7"/>
  <c r="G4261" i="7"/>
  <c r="G4262" i="7"/>
  <c r="G4263" i="7"/>
  <c r="G4264" i="7"/>
  <c r="G4265" i="7"/>
  <c r="G4266" i="7"/>
  <c r="G4267" i="7"/>
  <c r="G4268" i="7"/>
  <c r="G4269" i="7"/>
  <c r="G4270" i="7"/>
  <c r="G4271" i="7"/>
  <c r="G4272" i="7"/>
  <c r="G4273" i="7"/>
  <c r="G4274" i="7"/>
  <c r="G4275" i="7"/>
  <c r="G4276" i="7"/>
  <c r="G4277" i="7"/>
  <c r="G4278" i="7"/>
  <c r="G4279" i="7"/>
  <c r="G4280" i="7"/>
  <c r="G4281" i="7"/>
  <c r="G4282" i="7"/>
  <c r="G4283" i="7"/>
  <c r="G4284" i="7"/>
  <c r="G4285" i="7"/>
  <c r="G4286" i="7"/>
  <c r="G4287" i="7"/>
  <c r="G4288" i="7"/>
  <c r="G4289" i="7"/>
  <c r="G4290" i="7"/>
  <c r="G4291" i="7"/>
  <c r="G4292" i="7"/>
  <c r="G4293" i="7"/>
  <c r="G4294" i="7"/>
  <c r="G4295" i="7"/>
  <c r="G4296" i="7"/>
  <c r="G4297" i="7"/>
  <c r="G4298" i="7"/>
  <c r="G4299" i="7"/>
  <c r="G4300" i="7"/>
  <c r="G4301" i="7"/>
  <c r="G4302" i="7"/>
  <c r="G4303" i="7"/>
  <c r="G4304" i="7"/>
  <c r="G4305" i="7"/>
  <c r="G4306" i="7"/>
  <c r="G4307" i="7"/>
  <c r="G4308" i="7"/>
  <c r="G4309" i="7"/>
  <c r="G4310" i="7"/>
  <c r="G4311" i="7"/>
  <c r="G4312" i="7"/>
  <c r="G4313" i="7"/>
  <c r="G4314" i="7"/>
  <c r="G4315" i="7"/>
  <c r="G4316" i="7"/>
  <c r="G4317" i="7"/>
  <c r="G4318" i="7"/>
  <c r="G4319" i="7"/>
  <c r="G4320" i="7"/>
  <c r="G4321" i="7"/>
  <c r="G4322" i="7"/>
  <c r="G4323" i="7"/>
  <c r="G4324" i="7"/>
  <c r="G4325" i="7"/>
  <c r="G4326" i="7"/>
  <c r="G4327" i="7"/>
  <c r="G4328" i="7"/>
  <c r="G4329" i="7"/>
  <c r="G4330" i="7"/>
  <c r="G4331" i="7"/>
  <c r="G4332" i="7"/>
  <c r="G4333" i="7"/>
  <c r="G4334" i="7"/>
  <c r="G4335" i="7"/>
  <c r="G4336" i="7"/>
  <c r="G4337" i="7"/>
  <c r="G4338" i="7"/>
  <c r="G4339" i="7"/>
  <c r="G4340" i="7"/>
  <c r="G4341" i="7"/>
  <c r="G4342" i="7"/>
  <c r="G4343" i="7"/>
  <c r="G4344" i="7"/>
  <c r="G4345" i="7"/>
  <c r="G4346" i="7"/>
  <c r="G4347" i="7"/>
  <c r="G4348" i="7"/>
  <c r="G4349" i="7"/>
  <c r="G4350" i="7"/>
  <c r="G4351" i="7"/>
  <c r="G4352" i="7"/>
  <c r="G4353" i="7"/>
  <c r="G4354" i="7"/>
  <c r="G4355" i="7"/>
  <c r="G4356" i="7"/>
  <c r="G4357" i="7"/>
  <c r="G4358" i="7"/>
  <c r="G4359" i="7"/>
  <c r="G4360" i="7"/>
  <c r="G4361" i="7"/>
  <c r="G4362" i="7"/>
  <c r="G4363" i="7"/>
  <c r="G4364" i="7"/>
  <c r="G4365" i="7"/>
  <c r="G4366" i="7"/>
  <c r="G4367" i="7"/>
  <c r="G4368" i="7"/>
  <c r="G4369" i="7"/>
  <c r="G4370" i="7"/>
  <c r="G4371" i="7"/>
  <c r="G4372" i="7"/>
  <c r="G4373" i="7"/>
  <c r="G4374" i="7"/>
  <c r="G4375" i="7"/>
  <c r="G4376" i="7"/>
  <c r="G4377" i="7"/>
  <c r="G4378" i="7"/>
  <c r="G4379" i="7"/>
  <c r="G4380" i="7"/>
  <c r="G4381" i="7"/>
  <c r="G4382" i="7"/>
  <c r="G4383" i="7"/>
  <c r="G4384" i="7"/>
  <c r="G4385" i="7"/>
  <c r="G4386" i="7"/>
  <c r="G4387" i="7"/>
  <c r="G4388" i="7"/>
  <c r="G4389" i="7"/>
  <c r="G4390" i="7"/>
  <c r="G4391" i="7"/>
  <c r="G4392" i="7"/>
  <c r="G4393" i="7"/>
  <c r="G4394" i="7"/>
  <c r="G4395" i="7"/>
  <c r="G4396" i="7"/>
  <c r="G4397" i="7"/>
  <c r="G4398" i="7"/>
  <c r="G4399" i="7"/>
  <c r="G4400" i="7"/>
  <c r="G4401" i="7"/>
  <c r="G4402" i="7"/>
  <c r="G4403" i="7"/>
  <c r="G4404" i="7"/>
  <c r="G4405" i="7"/>
  <c r="G4406" i="7"/>
  <c r="G4407" i="7"/>
  <c r="G4408" i="7"/>
  <c r="G4409" i="7"/>
  <c r="G4410" i="7"/>
  <c r="G4411" i="7"/>
  <c r="G4412" i="7"/>
  <c r="G4413" i="7"/>
  <c r="G4414" i="7"/>
  <c r="G4415" i="7"/>
  <c r="G4416" i="7"/>
  <c r="G4417" i="7"/>
  <c r="G4418" i="7"/>
  <c r="G4419" i="7"/>
  <c r="G4420" i="7"/>
  <c r="G4421" i="7"/>
  <c r="G4422" i="7"/>
  <c r="G4423" i="7"/>
  <c r="G4424" i="7"/>
  <c r="G4425" i="7"/>
  <c r="G4426" i="7"/>
  <c r="G4427" i="7"/>
  <c r="G4428" i="7"/>
  <c r="G4429" i="7"/>
  <c r="G4430" i="7"/>
  <c r="G4431" i="7"/>
  <c r="G4432" i="7"/>
  <c r="G4433" i="7"/>
  <c r="G4434" i="7"/>
  <c r="G4435" i="7"/>
  <c r="G4436" i="7"/>
  <c r="G4437" i="7"/>
  <c r="G4438" i="7"/>
  <c r="G4439" i="7"/>
  <c r="G4440" i="7"/>
  <c r="G4441" i="7"/>
  <c r="G4442" i="7"/>
  <c r="G4443" i="7"/>
  <c r="G4444" i="7"/>
  <c r="G4445" i="7"/>
  <c r="G4446" i="7"/>
  <c r="G4447" i="7"/>
  <c r="G4448" i="7"/>
  <c r="G4449" i="7"/>
  <c r="G4450" i="7"/>
  <c r="G4451" i="7"/>
  <c r="G4452" i="7"/>
  <c r="G4453" i="7"/>
  <c r="G4454" i="7"/>
  <c r="G4455" i="7"/>
  <c r="G4456" i="7"/>
  <c r="G4457" i="7"/>
  <c r="G4458" i="7"/>
  <c r="G4459" i="7"/>
  <c r="G4460" i="7"/>
  <c r="G4461" i="7"/>
  <c r="G4462" i="7"/>
  <c r="G4463" i="7"/>
  <c r="G4464" i="7"/>
  <c r="G4465" i="7"/>
  <c r="G4466" i="7"/>
  <c r="G4467" i="7"/>
  <c r="G4468" i="7"/>
  <c r="G4469" i="7"/>
  <c r="G4470" i="7"/>
  <c r="G4471" i="7"/>
  <c r="G4472" i="7"/>
  <c r="G4473" i="7"/>
  <c r="G4474" i="7"/>
  <c r="G4475" i="7"/>
  <c r="G4476" i="7"/>
  <c r="G4477" i="7"/>
  <c r="G4478" i="7"/>
  <c r="G4479" i="7"/>
  <c r="G4480" i="7"/>
  <c r="G4481" i="7"/>
  <c r="G4482" i="7"/>
  <c r="G4483" i="7"/>
  <c r="G4484" i="7"/>
  <c r="G4485" i="7"/>
  <c r="G4486" i="7"/>
  <c r="G4487" i="7"/>
  <c r="G4488" i="7"/>
  <c r="G4489" i="7"/>
  <c r="G4490" i="7"/>
  <c r="G4491" i="7"/>
  <c r="G4492" i="7"/>
  <c r="G4493" i="7"/>
  <c r="G4494" i="7"/>
  <c r="G4495" i="7"/>
  <c r="G4496" i="7"/>
  <c r="G4497" i="7"/>
  <c r="G4498" i="7"/>
  <c r="G4499" i="7"/>
  <c r="G4500" i="7"/>
  <c r="G4501" i="7"/>
  <c r="G4502" i="7"/>
  <c r="G4503" i="7"/>
  <c r="G4504" i="7"/>
  <c r="G4505" i="7"/>
  <c r="G4506" i="7"/>
  <c r="G4507" i="7"/>
  <c r="G4508" i="7"/>
  <c r="G4509" i="7"/>
  <c r="G4510" i="7"/>
  <c r="G4511" i="7"/>
  <c r="G4512" i="7"/>
  <c r="G4513" i="7"/>
  <c r="G4514" i="7"/>
  <c r="G4515" i="7"/>
  <c r="G4516" i="7"/>
  <c r="G4517" i="7"/>
  <c r="G4518" i="7"/>
  <c r="G4519" i="7"/>
  <c r="G4520" i="7"/>
  <c r="G4521" i="7"/>
  <c r="G4522" i="7"/>
  <c r="G4523" i="7"/>
  <c r="G4524" i="7"/>
  <c r="G4525" i="7"/>
  <c r="G4526" i="7"/>
  <c r="G4527" i="7"/>
  <c r="G4528" i="7"/>
  <c r="G4529" i="7"/>
  <c r="G4530" i="7"/>
  <c r="G4531" i="7"/>
  <c r="G4532" i="7"/>
  <c r="G4533" i="7"/>
  <c r="G4534" i="7"/>
  <c r="G4535" i="7"/>
  <c r="G4536" i="7"/>
  <c r="G4537" i="7"/>
  <c r="G4538" i="7"/>
  <c r="G4539" i="7"/>
  <c r="G4540" i="7"/>
  <c r="G4541" i="7"/>
  <c r="G4542" i="7"/>
  <c r="G4543" i="7"/>
  <c r="G4544" i="7"/>
  <c r="G4545" i="7"/>
  <c r="G4546" i="7"/>
  <c r="G4547" i="7"/>
  <c r="G4548" i="7"/>
  <c r="G4549" i="7"/>
  <c r="G4550" i="7"/>
  <c r="G4551" i="7"/>
  <c r="G4552" i="7"/>
  <c r="G4553" i="7"/>
  <c r="G4554" i="7"/>
  <c r="G4555" i="7"/>
  <c r="G4556" i="7"/>
  <c r="G4557" i="7"/>
  <c r="G4558" i="7"/>
  <c r="G4559" i="7"/>
  <c r="G4560" i="7"/>
  <c r="G4561" i="7"/>
  <c r="G4562" i="7"/>
  <c r="G4563" i="7"/>
  <c r="G4564" i="7"/>
  <c r="G4565" i="7"/>
  <c r="G4566" i="7"/>
  <c r="G4567" i="7"/>
  <c r="G4568" i="7"/>
  <c r="G4569" i="7"/>
  <c r="G4570" i="7"/>
  <c r="G4571" i="7"/>
  <c r="G4572" i="7"/>
  <c r="G4573" i="7"/>
  <c r="G4574" i="7"/>
  <c r="G4575" i="7"/>
  <c r="G4576" i="7"/>
  <c r="G4577" i="7"/>
  <c r="G4578" i="7"/>
  <c r="G4579" i="7"/>
  <c r="G4580" i="7"/>
  <c r="G4581" i="7"/>
  <c r="G4582" i="7"/>
  <c r="G4583" i="7"/>
  <c r="G4584" i="7"/>
  <c r="G4585" i="7"/>
  <c r="G4586" i="7"/>
  <c r="G4587" i="7"/>
  <c r="G4588" i="7"/>
  <c r="G4589" i="7"/>
  <c r="G4590" i="7"/>
  <c r="G4591" i="7"/>
  <c r="G4592" i="7"/>
  <c r="G4593" i="7"/>
  <c r="G4594" i="7"/>
  <c r="G4595" i="7"/>
  <c r="G4596" i="7"/>
  <c r="G4597" i="7"/>
  <c r="G4598" i="7"/>
  <c r="G4599" i="7"/>
  <c r="G4600" i="7"/>
  <c r="G4601" i="7"/>
  <c r="G4602" i="7"/>
  <c r="G4603" i="7"/>
  <c r="G4604" i="7"/>
  <c r="G4605" i="7"/>
  <c r="G4606" i="7"/>
  <c r="G4607" i="7"/>
  <c r="G4608" i="7"/>
  <c r="G4609" i="7"/>
  <c r="G4610" i="7"/>
  <c r="G4611" i="7"/>
  <c r="G4612" i="7"/>
  <c r="G4613" i="7"/>
  <c r="G4614" i="7"/>
  <c r="G4615" i="7"/>
  <c r="G4616" i="7"/>
  <c r="G4617" i="7"/>
  <c r="G4618" i="7"/>
  <c r="G4619" i="7"/>
  <c r="G4620" i="7"/>
  <c r="G4621" i="7"/>
  <c r="G4622" i="7"/>
  <c r="G4623" i="7"/>
  <c r="G4624" i="7"/>
  <c r="G4625" i="7"/>
  <c r="G4626" i="7"/>
  <c r="G4627" i="7"/>
  <c r="G4628" i="7"/>
  <c r="G4629" i="7"/>
  <c r="G4630" i="7"/>
  <c r="G4631" i="7"/>
  <c r="G4632" i="7"/>
  <c r="G4633" i="7"/>
  <c r="G4634" i="7"/>
  <c r="G4635" i="7"/>
  <c r="G4636" i="7"/>
  <c r="G4637" i="7"/>
  <c r="G4638" i="7"/>
  <c r="G4639" i="7"/>
  <c r="G4640" i="7"/>
  <c r="G4641" i="7"/>
  <c r="G4642" i="7"/>
  <c r="G4643" i="7"/>
  <c r="G4644" i="7"/>
  <c r="G4645" i="7"/>
  <c r="G4646" i="7"/>
  <c r="G4647" i="7"/>
  <c r="G4648" i="7"/>
  <c r="G4649" i="7"/>
  <c r="G4650" i="7"/>
  <c r="G4651" i="7"/>
  <c r="G4652" i="7"/>
  <c r="G4653" i="7"/>
  <c r="G4654" i="7"/>
  <c r="G4655" i="7"/>
  <c r="G4656" i="7"/>
  <c r="G4657" i="7"/>
  <c r="G4658" i="7"/>
  <c r="G4659" i="7"/>
  <c r="G4660" i="7"/>
  <c r="G4661" i="7"/>
  <c r="G4662" i="7"/>
  <c r="G4663" i="7"/>
  <c r="G4664" i="7"/>
  <c r="G4665" i="7"/>
  <c r="G4666" i="7"/>
  <c r="G4667" i="7"/>
  <c r="G4668" i="7"/>
  <c r="G4669" i="7"/>
  <c r="G4670" i="7"/>
  <c r="G4671" i="7"/>
  <c r="G4672" i="7"/>
  <c r="G4673" i="7"/>
  <c r="G4674" i="7"/>
  <c r="G4675" i="7"/>
  <c r="G4676" i="7"/>
  <c r="G4677" i="7"/>
  <c r="G4678" i="7"/>
  <c r="G4679" i="7"/>
  <c r="G4680" i="7"/>
  <c r="G4681" i="7"/>
  <c r="G4682" i="7"/>
  <c r="G4683" i="7"/>
  <c r="G4684" i="7"/>
  <c r="G4685" i="7"/>
  <c r="G4686" i="7"/>
  <c r="G4687" i="7"/>
  <c r="G4688" i="7"/>
  <c r="G4689" i="7"/>
  <c r="G4690" i="7"/>
  <c r="G4691" i="7"/>
  <c r="G4692" i="7"/>
  <c r="G4693" i="7"/>
  <c r="G4694" i="7"/>
  <c r="G4695" i="7"/>
  <c r="G4696" i="7"/>
  <c r="G4697" i="7"/>
  <c r="G4698" i="7"/>
  <c r="G4699" i="7"/>
  <c r="G4700" i="7"/>
  <c r="G4701" i="7"/>
  <c r="G4702" i="7"/>
  <c r="G4703" i="7"/>
  <c r="G4704" i="7"/>
  <c r="G4705" i="7"/>
  <c r="G4706" i="7"/>
  <c r="G4707" i="7"/>
  <c r="G4708" i="7"/>
  <c r="G4709" i="7"/>
  <c r="G4710" i="7"/>
  <c r="G4711" i="7"/>
  <c r="G4712" i="7"/>
  <c r="G4713" i="7"/>
  <c r="G4714" i="7"/>
  <c r="G4715" i="7"/>
  <c r="G4716" i="7"/>
  <c r="G4717" i="7"/>
  <c r="G4718" i="7"/>
  <c r="G4719" i="7"/>
  <c r="G4720" i="7"/>
  <c r="G4721" i="7"/>
  <c r="G4722" i="7"/>
  <c r="G4723" i="7"/>
  <c r="G4724" i="7"/>
  <c r="G4725" i="7"/>
  <c r="G4726" i="7"/>
  <c r="G4727" i="7"/>
  <c r="G4728" i="7"/>
  <c r="G4729" i="7"/>
  <c r="G4730" i="7"/>
  <c r="G4731" i="7"/>
  <c r="G4732" i="7"/>
  <c r="G4733" i="7"/>
  <c r="G4734" i="7"/>
  <c r="G4735" i="7"/>
  <c r="G4736" i="7"/>
  <c r="G4737" i="7"/>
  <c r="G4738" i="7"/>
  <c r="G4739" i="7"/>
  <c r="G4740" i="7"/>
  <c r="G4741" i="7"/>
  <c r="G4742" i="7"/>
  <c r="G4743" i="7"/>
  <c r="G4744" i="7"/>
  <c r="G4745" i="7"/>
  <c r="G4746" i="7"/>
  <c r="G4747" i="7"/>
  <c r="G4748" i="7"/>
  <c r="G4749" i="7"/>
  <c r="G4750" i="7"/>
  <c r="G4751" i="7"/>
  <c r="G4752" i="7"/>
  <c r="G4753" i="7"/>
  <c r="G4754" i="7"/>
  <c r="G4755" i="7"/>
  <c r="G4756" i="7"/>
  <c r="G4757" i="7"/>
  <c r="G4758" i="7"/>
  <c r="G4759" i="7"/>
  <c r="G4760" i="7"/>
  <c r="G4761" i="7"/>
  <c r="G4762" i="7"/>
  <c r="G4763" i="7"/>
  <c r="G4764" i="7"/>
  <c r="G4765" i="7"/>
  <c r="G4766" i="7"/>
  <c r="G4767" i="7"/>
  <c r="G4768" i="7"/>
  <c r="G4769" i="7"/>
  <c r="G4770" i="7"/>
  <c r="G4771" i="7"/>
  <c r="G4772" i="7"/>
  <c r="G4773" i="7"/>
  <c r="G4774" i="7"/>
  <c r="G4775" i="7"/>
  <c r="G4776" i="7"/>
  <c r="G4777" i="7"/>
  <c r="G4778" i="7"/>
  <c r="G4779" i="7"/>
  <c r="G4780" i="7"/>
  <c r="G4781" i="7"/>
  <c r="G4782" i="7"/>
  <c r="G4783" i="7"/>
  <c r="G4784" i="7"/>
  <c r="G4785" i="7"/>
  <c r="G4786" i="7"/>
  <c r="G4787" i="7"/>
  <c r="G4788" i="7"/>
  <c r="G4789" i="7"/>
  <c r="G4790" i="7"/>
  <c r="G4791" i="7"/>
  <c r="G4792" i="7"/>
  <c r="G4793" i="7"/>
  <c r="G4794" i="7"/>
  <c r="G4795" i="7"/>
  <c r="G4796" i="7"/>
  <c r="G4797" i="7"/>
  <c r="G4798" i="7"/>
  <c r="G4799" i="7"/>
  <c r="G4800" i="7"/>
  <c r="G4801" i="7"/>
  <c r="G4802" i="7"/>
  <c r="G4803" i="7"/>
  <c r="G4804" i="7"/>
  <c r="G4805" i="7"/>
  <c r="G4806" i="7"/>
  <c r="G4807" i="7"/>
  <c r="G4808" i="7"/>
  <c r="G4809" i="7"/>
  <c r="G4810" i="7"/>
  <c r="G4811" i="7"/>
  <c r="G4812" i="7"/>
  <c r="G4813" i="7"/>
  <c r="G4814" i="7"/>
  <c r="G4815" i="7"/>
  <c r="G4816" i="7"/>
  <c r="G4817" i="7"/>
  <c r="G4818" i="7"/>
  <c r="G4819" i="7"/>
  <c r="G4820" i="7"/>
  <c r="G4821" i="7"/>
  <c r="G4822" i="7"/>
  <c r="G4823" i="7"/>
  <c r="G4824" i="7"/>
  <c r="G4825" i="7"/>
  <c r="G4826" i="7"/>
  <c r="G4827" i="7"/>
  <c r="G4828" i="7"/>
  <c r="G4829" i="7"/>
  <c r="G4830" i="7"/>
  <c r="G4831" i="7"/>
  <c r="G4832" i="7"/>
  <c r="G4833" i="7"/>
  <c r="G4834" i="7"/>
  <c r="G4835" i="7"/>
  <c r="G4836" i="7"/>
  <c r="G4837" i="7"/>
  <c r="G4838" i="7"/>
  <c r="G4839" i="7"/>
  <c r="G4840" i="7"/>
  <c r="G4841" i="7"/>
  <c r="G4842" i="7"/>
  <c r="G4843" i="7"/>
  <c r="G4844" i="7"/>
  <c r="G4845" i="7"/>
  <c r="G4846" i="7"/>
  <c r="G4847" i="7"/>
  <c r="G4848" i="7"/>
  <c r="G4849" i="7"/>
  <c r="G4850" i="7"/>
  <c r="G4851" i="7"/>
  <c r="G4852" i="7"/>
  <c r="G4853" i="7"/>
  <c r="G4854" i="7"/>
  <c r="G4855" i="7"/>
  <c r="G4856" i="7"/>
  <c r="G4857" i="7"/>
  <c r="G4858" i="7"/>
  <c r="G4859" i="7"/>
  <c r="G4860" i="7"/>
  <c r="G4861" i="7"/>
  <c r="G4862" i="7"/>
  <c r="G4863" i="7"/>
  <c r="G4864" i="7"/>
  <c r="G4865" i="7"/>
  <c r="G4866" i="7"/>
  <c r="G4867" i="7"/>
  <c r="G4868" i="7"/>
  <c r="G4869" i="7"/>
  <c r="G4870" i="7"/>
  <c r="G4871" i="7"/>
  <c r="G4872" i="7"/>
  <c r="G4873" i="7"/>
  <c r="G4874" i="7"/>
  <c r="G4875" i="7"/>
  <c r="G4876" i="7"/>
  <c r="G4877" i="7"/>
  <c r="G4878" i="7"/>
  <c r="G4879" i="7"/>
  <c r="G4880" i="7"/>
  <c r="G4881" i="7"/>
  <c r="G4882" i="7"/>
  <c r="G4883" i="7"/>
  <c r="G4884" i="7"/>
  <c r="G4885" i="7"/>
  <c r="G4886" i="7"/>
  <c r="G4887" i="7"/>
  <c r="G4888" i="7"/>
  <c r="G4889" i="7"/>
  <c r="G4890" i="7"/>
  <c r="G4891" i="7"/>
  <c r="G4892" i="7"/>
  <c r="G4893" i="7"/>
  <c r="G4894" i="7"/>
  <c r="G4895" i="7"/>
  <c r="G4896" i="7"/>
  <c r="G4897" i="7"/>
  <c r="G4898" i="7"/>
  <c r="G4899" i="7"/>
  <c r="G4900" i="7"/>
  <c r="G4901" i="7"/>
  <c r="G4902" i="7"/>
  <c r="G4903" i="7"/>
  <c r="G4904" i="7"/>
  <c r="G4905" i="7"/>
  <c r="G4906" i="7"/>
  <c r="G4907" i="7"/>
  <c r="G4908" i="7"/>
  <c r="G4909" i="7"/>
  <c r="G4910" i="7"/>
  <c r="G4911" i="7"/>
  <c r="G4912" i="7"/>
  <c r="G4913" i="7"/>
  <c r="G4914" i="7"/>
  <c r="G4915" i="7"/>
  <c r="G4916" i="7"/>
  <c r="G4917" i="7"/>
  <c r="G4918" i="7"/>
  <c r="G4919" i="7"/>
  <c r="G4920" i="7"/>
  <c r="G4921" i="7"/>
  <c r="G4922" i="7"/>
  <c r="G4923" i="7"/>
  <c r="G4924" i="7"/>
  <c r="G4925" i="7"/>
  <c r="G4926" i="7"/>
  <c r="G4927" i="7"/>
  <c r="G4928" i="7"/>
  <c r="G4929" i="7"/>
  <c r="G4930" i="7"/>
  <c r="G4931" i="7"/>
  <c r="G4932" i="7"/>
  <c r="G4933" i="7"/>
  <c r="G4934" i="7"/>
  <c r="G4935" i="7"/>
  <c r="G4936" i="7"/>
  <c r="G4937" i="7"/>
  <c r="G4938" i="7"/>
  <c r="G4939" i="7"/>
  <c r="G4940" i="7"/>
  <c r="G4941" i="7"/>
  <c r="G4942" i="7"/>
  <c r="G4943" i="7"/>
  <c r="G4944" i="7"/>
  <c r="G4945" i="7"/>
  <c r="G4946" i="7"/>
  <c r="G4947" i="7"/>
  <c r="G4948" i="7"/>
  <c r="G4949" i="7"/>
  <c r="G4950" i="7"/>
  <c r="G4951" i="7"/>
  <c r="G4952" i="7"/>
  <c r="G4953" i="7"/>
  <c r="G4954" i="7"/>
  <c r="G4955" i="7"/>
  <c r="G4956" i="7"/>
  <c r="G4957" i="7"/>
  <c r="G4958" i="7"/>
  <c r="G4959" i="7"/>
  <c r="G4960" i="7"/>
  <c r="G4961" i="7"/>
  <c r="G4962" i="7"/>
  <c r="G4963" i="7"/>
  <c r="G4964" i="7"/>
  <c r="G4965" i="7"/>
  <c r="G4966" i="7"/>
  <c r="G4967" i="7"/>
  <c r="G4968" i="7"/>
  <c r="G4969" i="7"/>
  <c r="G4970" i="7"/>
  <c r="G4971" i="7"/>
  <c r="G4972" i="7"/>
  <c r="G4973" i="7"/>
  <c r="G4974" i="7"/>
  <c r="G4975" i="7"/>
  <c r="G4976" i="7"/>
  <c r="G4977" i="7"/>
  <c r="G4978" i="7"/>
  <c r="G4979" i="7"/>
  <c r="G4980" i="7"/>
  <c r="G4981" i="7"/>
  <c r="G4982" i="7"/>
  <c r="G4983" i="7"/>
  <c r="G4984" i="7"/>
  <c r="G4985" i="7"/>
  <c r="G4986" i="7"/>
  <c r="G4987" i="7"/>
  <c r="G4988" i="7"/>
  <c r="G4989" i="7"/>
  <c r="G4990" i="7"/>
  <c r="G4991" i="7"/>
  <c r="G4992" i="7"/>
  <c r="G4993" i="7"/>
  <c r="G4994" i="7"/>
  <c r="G4995" i="7"/>
  <c r="G4996" i="7"/>
  <c r="G4997" i="7"/>
  <c r="G4998" i="7"/>
  <c r="G4999" i="7"/>
  <c r="G5000" i="7"/>
  <c r="G5001" i="7"/>
  <c r="G5002" i="7"/>
  <c r="G5003" i="7"/>
  <c r="G5004" i="7"/>
  <c r="G5005" i="7"/>
  <c r="G5006" i="7"/>
  <c r="G5007" i="7"/>
  <c r="G5008" i="7"/>
  <c r="G5009" i="7"/>
  <c r="G5010" i="7"/>
  <c r="G5011" i="7"/>
  <c r="G5012" i="7"/>
  <c r="G5013" i="7"/>
  <c r="G5014" i="7"/>
  <c r="G5015" i="7"/>
  <c r="G5016" i="7"/>
  <c r="G5017" i="7"/>
  <c r="G5018" i="7"/>
  <c r="G5019" i="7"/>
  <c r="G5020" i="7"/>
  <c r="G5021" i="7"/>
  <c r="G5022" i="7"/>
  <c r="G5023" i="7"/>
  <c r="G5024" i="7"/>
  <c r="G5025" i="7"/>
  <c r="G5026" i="7"/>
  <c r="G5027" i="7"/>
  <c r="G5028" i="7"/>
  <c r="G5029" i="7"/>
  <c r="G5030" i="7"/>
  <c r="G5031" i="7"/>
  <c r="G5032" i="7"/>
  <c r="G5033" i="7"/>
  <c r="G5034" i="7"/>
  <c r="G5035" i="7"/>
  <c r="G5036" i="7"/>
  <c r="G5037" i="7"/>
  <c r="G5038" i="7"/>
  <c r="G5039" i="7"/>
  <c r="G5040" i="7"/>
  <c r="G5041" i="7"/>
  <c r="G5042" i="7"/>
  <c r="G5043" i="7"/>
  <c r="G5044" i="7"/>
  <c r="G5045" i="7"/>
  <c r="G5046" i="7"/>
  <c r="G5047" i="7"/>
  <c r="G5048" i="7"/>
  <c r="G5049" i="7"/>
  <c r="G5050" i="7"/>
  <c r="G5051" i="7"/>
  <c r="G5052" i="7"/>
  <c r="G5053" i="7"/>
  <c r="G5054" i="7"/>
  <c r="G5055" i="7"/>
  <c r="G5056" i="7"/>
  <c r="G5057" i="7"/>
  <c r="G5058" i="7"/>
  <c r="G5059" i="7"/>
  <c r="G5060" i="7"/>
  <c r="G5061" i="7"/>
  <c r="G5062" i="7"/>
  <c r="G5063" i="7"/>
  <c r="G5064" i="7"/>
  <c r="G5065" i="7"/>
  <c r="G5066" i="7"/>
  <c r="G5067" i="7"/>
  <c r="G5068" i="7"/>
  <c r="G5069" i="7"/>
  <c r="G5070" i="7"/>
  <c r="G5071" i="7"/>
  <c r="G5072" i="7"/>
  <c r="G5073" i="7"/>
  <c r="G5074" i="7"/>
  <c r="G5075" i="7"/>
  <c r="G5076" i="7"/>
  <c r="G5077" i="7"/>
  <c r="G5078" i="7"/>
  <c r="G5079" i="7"/>
  <c r="G5080" i="7"/>
  <c r="G5081" i="7"/>
  <c r="G5082" i="7"/>
  <c r="G5083" i="7"/>
  <c r="G5084" i="7"/>
  <c r="G5085" i="7"/>
  <c r="G5086" i="7"/>
  <c r="G5087" i="7"/>
  <c r="G5088" i="7"/>
  <c r="G5089" i="7"/>
  <c r="G5090" i="7"/>
  <c r="G5091" i="7"/>
  <c r="G5092" i="7"/>
  <c r="G5093" i="7"/>
  <c r="G5094" i="7"/>
  <c r="G5095" i="7"/>
  <c r="G5096" i="7"/>
  <c r="G5097" i="7"/>
  <c r="G5098" i="7"/>
  <c r="G5099" i="7"/>
  <c r="G5100" i="7"/>
  <c r="G5101" i="7"/>
  <c r="G5102" i="7"/>
  <c r="G5103" i="7"/>
  <c r="G5104" i="7"/>
  <c r="G5105" i="7"/>
  <c r="G5106" i="7"/>
  <c r="G5107" i="7"/>
  <c r="G5108" i="7"/>
  <c r="G5109" i="7"/>
  <c r="G5110" i="7"/>
  <c r="G5111" i="7"/>
  <c r="G5112" i="7"/>
  <c r="G5113" i="7"/>
  <c r="G5114" i="7"/>
  <c r="G5115" i="7"/>
  <c r="G5116" i="7"/>
  <c r="G5117" i="7"/>
  <c r="G5118" i="7"/>
  <c r="G5119" i="7"/>
  <c r="G5120" i="7"/>
  <c r="G5121" i="7"/>
  <c r="G5122" i="7"/>
  <c r="G5123" i="7"/>
  <c r="G5124" i="7"/>
  <c r="G5125" i="7"/>
  <c r="G5126" i="7"/>
  <c r="G5127" i="7"/>
  <c r="G5128" i="7"/>
  <c r="G5129" i="7"/>
  <c r="G5130" i="7"/>
  <c r="G5131" i="7"/>
  <c r="G5132" i="7"/>
  <c r="G5133" i="7"/>
  <c r="G5134" i="7"/>
  <c r="G5135" i="7"/>
  <c r="G5136" i="7"/>
  <c r="G5137" i="7"/>
  <c r="G5138" i="7"/>
  <c r="G5139" i="7"/>
  <c r="G5140" i="7"/>
  <c r="G5141" i="7"/>
  <c r="G5142" i="7"/>
  <c r="G5143" i="7"/>
  <c r="G5144" i="7"/>
  <c r="G5145" i="7"/>
  <c r="G5146" i="7"/>
  <c r="G5147" i="7"/>
  <c r="G5148" i="7"/>
  <c r="G5149" i="7"/>
  <c r="G5150" i="7"/>
  <c r="G5151" i="7"/>
  <c r="G5152" i="7"/>
  <c r="G5153" i="7"/>
  <c r="G5154" i="7"/>
  <c r="G5155" i="7"/>
  <c r="G5156" i="7"/>
  <c r="G5157" i="7"/>
  <c r="G5158" i="7"/>
  <c r="G5159" i="7"/>
  <c r="G5160" i="7"/>
  <c r="G5161" i="7"/>
  <c r="G5162" i="7"/>
  <c r="G5163" i="7"/>
  <c r="G5164" i="7"/>
  <c r="G5165" i="7"/>
  <c r="G5166" i="7"/>
  <c r="G5167" i="7"/>
  <c r="G5168" i="7"/>
  <c r="G5169" i="7"/>
  <c r="G5170" i="7"/>
  <c r="G5171" i="7"/>
  <c r="G5172" i="7"/>
  <c r="G5173" i="7"/>
  <c r="G5174" i="7"/>
  <c r="G5175" i="7"/>
  <c r="G5176" i="7"/>
  <c r="G5177" i="7"/>
  <c r="G5178" i="7"/>
  <c r="G5179" i="7"/>
  <c r="G5180" i="7"/>
  <c r="G5181" i="7"/>
  <c r="G5182" i="7"/>
  <c r="G5183" i="7"/>
  <c r="G5184" i="7"/>
  <c r="G5185" i="7"/>
  <c r="G5186" i="7"/>
  <c r="G5187" i="7"/>
  <c r="G5188" i="7"/>
  <c r="G5189" i="7"/>
  <c r="G5190" i="7"/>
  <c r="G5191" i="7"/>
  <c r="G5192" i="7"/>
  <c r="G5193" i="7"/>
  <c r="G5194" i="7"/>
  <c r="G5195" i="7"/>
  <c r="G5196" i="7"/>
  <c r="G5197" i="7"/>
  <c r="G5198" i="7"/>
  <c r="G5199" i="7"/>
  <c r="G5200" i="7"/>
  <c r="G5201" i="7"/>
  <c r="G5202" i="7"/>
  <c r="G5203" i="7"/>
  <c r="G5204" i="7"/>
  <c r="G5205" i="7"/>
  <c r="G5206" i="7"/>
  <c r="G5207" i="7"/>
  <c r="G5208" i="7"/>
  <c r="G5209" i="7"/>
  <c r="G5210" i="7"/>
  <c r="G5211" i="7"/>
  <c r="G5212" i="7"/>
  <c r="G5213" i="7"/>
  <c r="G5214" i="7"/>
  <c r="G5215" i="7"/>
  <c r="G5216" i="7"/>
  <c r="G5217" i="7"/>
  <c r="G5218" i="7"/>
  <c r="G5219" i="7"/>
  <c r="G5220" i="7"/>
  <c r="G5221" i="7"/>
  <c r="G5222" i="7"/>
  <c r="G5223" i="7"/>
  <c r="G5224" i="7"/>
  <c r="G5225" i="7"/>
  <c r="G5226" i="7"/>
  <c r="G5227" i="7"/>
  <c r="G5228" i="7"/>
  <c r="G5229" i="7"/>
  <c r="G5230" i="7"/>
  <c r="G5231" i="7"/>
  <c r="G5232" i="7"/>
  <c r="G5233" i="7"/>
  <c r="G5234" i="7"/>
  <c r="G5235" i="7"/>
  <c r="G5236" i="7"/>
  <c r="G5237" i="7"/>
  <c r="G5238" i="7"/>
  <c r="G5239" i="7"/>
  <c r="G5240" i="7"/>
  <c r="G5241" i="7"/>
  <c r="G5242" i="7"/>
  <c r="G5243" i="7"/>
  <c r="G5244" i="7"/>
  <c r="G5245" i="7"/>
  <c r="G5246" i="7"/>
  <c r="G5247" i="7"/>
  <c r="G5248" i="7"/>
  <c r="G5249" i="7"/>
  <c r="G5250" i="7"/>
  <c r="G5251" i="7"/>
  <c r="G5252" i="7"/>
  <c r="G5253" i="7"/>
  <c r="G5254" i="7"/>
  <c r="G5255" i="7"/>
  <c r="G5256" i="7"/>
  <c r="G5257" i="7"/>
  <c r="G5258" i="7"/>
  <c r="G5259" i="7"/>
  <c r="G5260" i="7"/>
  <c r="G5261" i="7"/>
  <c r="G5262" i="7"/>
  <c r="G5263" i="7"/>
  <c r="G5264" i="7"/>
  <c r="G5265" i="7"/>
  <c r="G5266" i="7"/>
  <c r="G5267" i="7"/>
  <c r="G5268" i="7"/>
  <c r="G5269" i="7"/>
  <c r="G5270" i="7"/>
  <c r="G5271" i="7"/>
  <c r="G5272" i="7"/>
  <c r="G5273" i="7"/>
  <c r="G5274" i="7"/>
  <c r="G5275" i="7"/>
  <c r="G5276" i="7"/>
  <c r="G5277" i="7"/>
  <c r="G5278" i="7"/>
  <c r="G5279" i="7"/>
  <c r="G5280" i="7"/>
  <c r="G5281" i="7"/>
  <c r="G5282" i="7"/>
  <c r="G5283" i="7"/>
  <c r="G5284" i="7"/>
  <c r="G5285" i="7"/>
  <c r="G5286" i="7"/>
  <c r="G5287" i="7"/>
  <c r="G5288" i="7"/>
  <c r="G5289" i="7"/>
  <c r="G5290" i="7"/>
  <c r="G5291" i="7"/>
  <c r="G5292" i="7"/>
  <c r="G5293" i="7"/>
  <c r="G5294" i="7"/>
  <c r="G5295" i="7"/>
  <c r="G5296" i="7"/>
  <c r="G5297" i="7"/>
  <c r="G5298" i="7"/>
  <c r="G5299" i="7"/>
  <c r="G5300" i="7"/>
  <c r="G5301" i="7"/>
  <c r="G5302" i="7"/>
  <c r="G5303" i="7"/>
  <c r="G5304" i="7"/>
  <c r="G5305" i="7"/>
  <c r="G5306" i="7"/>
  <c r="G5307" i="7"/>
  <c r="G5308" i="7"/>
  <c r="G5309" i="7"/>
  <c r="G5310" i="7"/>
  <c r="G5311" i="7"/>
  <c r="G5312" i="7"/>
  <c r="G5313" i="7"/>
  <c r="G5314" i="7"/>
  <c r="G5315" i="7"/>
  <c r="G5316" i="7"/>
  <c r="G5317" i="7"/>
  <c r="G5318" i="7"/>
  <c r="G5319" i="7"/>
  <c r="G5320" i="7"/>
  <c r="G5321" i="7"/>
  <c r="G5322" i="7"/>
  <c r="G5323" i="7"/>
  <c r="G5324" i="7"/>
  <c r="G5325" i="7"/>
  <c r="G5326" i="7"/>
  <c r="G5327" i="7"/>
  <c r="G5328" i="7"/>
  <c r="G5329" i="7"/>
  <c r="G5330" i="7"/>
  <c r="G5331" i="7"/>
  <c r="G5332" i="7"/>
  <c r="G5333" i="7"/>
  <c r="G5334" i="7"/>
  <c r="G5335" i="7"/>
  <c r="G5336" i="7"/>
  <c r="G5337" i="7"/>
  <c r="G5338" i="7"/>
  <c r="G5339" i="7"/>
  <c r="G5340" i="7"/>
  <c r="G5341" i="7"/>
  <c r="G5342" i="7"/>
  <c r="G5343" i="7"/>
  <c r="G5344" i="7"/>
  <c r="G5345" i="7"/>
  <c r="G5346" i="7"/>
  <c r="G5347" i="7"/>
  <c r="G5348" i="7"/>
  <c r="G5349" i="7"/>
  <c r="G5350" i="7"/>
  <c r="G5351" i="7"/>
  <c r="G5352" i="7"/>
  <c r="G5353" i="7"/>
  <c r="G5354" i="7"/>
  <c r="G5355" i="7"/>
  <c r="G5356" i="7"/>
  <c r="G5357" i="7"/>
  <c r="G5358" i="7"/>
  <c r="G5359" i="7"/>
  <c r="G5360" i="7"/>
  <c r="G5361" i="7"/>
  <c r="G5362" i="7"/>
  <c r="G5363" i="7"/>
  <c r="G5364" i="7"/>
  <c r="G5365" i="7"/>
  <c r="G5366" i="7"/>
  <c r="G5367" i="7"/>
  <c r="G5368" i="7"/>
  <c r="G5369" i="7"/>
  <c r="G5370" i="7"/>
  <c r="G5371" i="7"/>
  <c r="G5372" i="7"/>
  <c r="G5373" i="7"/>
  <c r="G5374" i="7"/>
  <c r="G5375" i="7"/>
  <c r="G5376" i="7"/>
  <c r="G5377" i="7"/>
  <c r="G5378" i="7"/>
  <c r="G5379" i="7"/>
  <c r="G5380" i="7"/>
  <c r="G5381" i="7"/>
  <c r="G5382" i="7"/>
  <c r="G5383" i="7"/>
  <c r="G5384" i="7"/>
  <c r="G5385" i="7"/>
  <c r="G5386" i="7"/>
  <c r="G5387" i="7"/>
  <c r="G5388" i="7"/>
  <c r="G5389" i="7"/>
  <c r="G5390" i="7"/>
  <c r="G5391" i="7"/>
  <c r="G5392" i="7"/>
  <c r="G5393" i="7"/>
  <c r="G5394" i="7"/>
  <c r="G5395" i="7"/>
  <c r="G5396" i="7"/>
  <c r="G5397" i="7"/>
  <c r="G5398" i="7"/>
  <c r="G5399" i="7"/>
  <c r="G5400" i="7"/>
  <c r="G5401" i="7"/>
  <c r="G5402" i="7"/>
  <c r="G5403" i="7"/>
  <c r="G5404" i="7"/>
  <c r="G5405" i="7"/>
  <c r="G5406" i="7"/>
  <c r="G5407" i="7"/>
  <c r="G5408" i="7"/>
  <c r="G5409" i="7"/>
  <c r="G5410" i="7"/>
  <c r="G5411" i="7"/>
  <c r="G5412" i="7"/>
  <c r="G5413" i="7"/>
  <c r="G5414" i="7"/>
  <c r="G5415" i="7"/>
  <c r="G5416" i="7"/>
  <c r="G5417" i="7"/>
  <c r="G5418" i="7"/>
  <c r="G5419" i="7"/>
  <c r="G5420" i="7"/>
  <c r="G5421" i="7"/>
  <c r="G5422" i="7"/>
  <c r="G5423" i="7"/>
  <c r="G5424" i="7"/>
  <c r="G5425" i="7"/>
  <c r="G5426" i="7"/>
  <c r="G5427" i="7"/>
  <c r="G5428" i="7"/>
  <c r="G5429" i="7"/>
  <c r="G5430" i="7"/>
  <c r="G5431" i="7"/>
  <c r="G5432" i="7"/>
  <c r="G5433" i="7"/>
  <c r="G5434" i="7"/>
  <c r="G5435" i="7"/>
  <c r="G5436" i="7"/>
  <c r="G5437" i="7"/>
  <c r="G5438" i="7"/>
  <c r="G5439" i="7"/>
  <c r="G5440" i="7"/>
  <c r="G5441" i="7"/>
  <c r="G5442" i="7"/>
  <c r="G5443" i="7"/>
  <c r="G5444" i="7"/>
  <c r="G5445" i="7"/>
  <c r="G5446" i="7"/>
  <c r="G5447" i="7"/>
  <c r="G5448" i="7"/>
  <c r="G5449" i="7"/>
  <c r="G5450" i="7"/>
  <c r="G5451" i="7"/>
  <c r="G5452" i="7"/>
  <c r="G5453" i="7"/>
  <c r="G5454" i="7"/>
  <c r="G5455" i="7"/>
  <c r="G5456" i="7"/>
  <c r="G5457" i="7"/>
  <c r="G5458" i="7"/>
  <c r="G5459" i="7"/>
  <c r="G5460" i="7"/>
  <c r="G5461" i="7"/>
  <c r="G5462" i="7"/>
  <c r="G5463" i="7"/>
  <c r="G5464" i="7"/>
  <c r="G5465" i="7"/>
  <c r="G5466" i="7"/>
  <c r="G5467" i="7"/>
  <c r="G5468" i="7"/>
  <c r="G5469" i="7"/>
  <c r="G5470" i="7"/>
  <c r="G5471" i="7"/>
  <c r="G5472" i="7"/>
  <c r="G5473" i="7"/>
  <c r="G5474" i="7"/>
  <c r="G5475" i="7"/>
  <c r="G5476" i="7"/>
  <c r="G5477" i="7"/>
  <c r="G5478" i="7"/>
  <c r="G5479" i="7"/>
  <c r="G5480" i="7"/>
  <c r="G5481" i="7"/>
  <c r="G5482" i="7"/>
  <c r="G5483" i="7"/>
  <c r="G5484" i="7"/>
  <c r="G5485" i="7"/>
  <c r="G5486" i="7"/>
  <c r="G5487" i="7"/>
  <c r="G5488" i="7"/>
  <c r="G5489" i="7"/>
  <c r="G5490" i="7"/>
  <c r="G5491" i="7"/>
  <c r="G5492" i="7"/>
  <c r="G5493" i="7"/>
  <c r="G5494" i="7"/>
  <c r="G5495" i="7"/>
  <c r="G5496" i="7"/>
  <c r="G5497" i="7"/>
  <c r="G5498" i="7"/>
  <c r="G5499" i="7"/>
  <c r="G5500" i="7"/>
  <c r="G5501" i="7"/>
  <c r="G5502" i="7"/>
  <c r="G5503" i="7"/>
  <c r="G5504" i="7"/>
  <c r="G5505" i="7"/>
  <c r="G5506" i="7"/>
  <c r="G5507" i="7"/>
  <c r="G5508" i="7"/>
  <c r="G5509" i="7"/>
  <c r="G5510" i="7"/>
  <c r="G5511" i="7"/>
  <c r="G5512" i="7"/>
  <c r="G5513" i="7"/>
  <c r="G5514" i="7"/>
  <c r="G5515" i="7"/>
  <c r="G5516" i="7"/>
  <c r="G5517" i="7"/>
  <c r="G5518" i="7"/>
  <c r="G5519" i="7"/>
  <c r="G5520" i="7"/>
  <c r="G5521" i="7"/>
  <c r="G5522" i="7"/>
  <c r="G5523" i="7"/>
  <c r="G5524" i="7"/>
  <c r="G5525" i="7"/>
  <c r="G5526" i="7"/>
  <c r="G5527" i="7"/>
  <c r="G5528" i="7"/>
  <c r="G5529" i="7"/>
  <c r="G5530" i="7"/>
  <c r="G5531" i="7"/>
  <c r="G5532" i="7"/>
  <c r="G5533" i="7"/>
  <c r="G5534" i="7"/>
  <c r="G5535" i="7"/>
  <c r="G5536" i="7"/>
  <c r="G5537" i="7"/>
  <c r="G5538" i="7"/>
  <c r="G5539" i="7"/>
  <c r="G5540" i="7"/>
  <c r="G5541" i="7"/>
  <c r="G5542" i="7"/>
  <c r="G5543" i="7"/>
  <c r="G5544" i="7"/>
  <c r="G5545" i="7"/>
  <c r="G5546" i="7"/>
  <c r="G5547" i="7"/>
  <c r="G5548" i="7"/>
  <c r="G5549" i="7"/>
  <c r="G5550" i="7"/>
  <c r="G5551" i="7"/>
  <c r="G5552" i="7"/>
  <c r="G5553" i="7"/>
  <c r="G5554" i="7"/>
  <c r="G5555" i="7"/>
  <c r="G5556" i="7"/>
  <c r="G5557" i="7"/>
  <c r="G5558" i="7"/>
  <c r="G5559" i="7"/>
  <c r="G5560" i="7"/>
  <c r="G5561" i="7"/>
  <c r="G5562" i="7"/>
  <c r="G5563" i="7"/>
  <c r="G5564" i="7"/>
  <c r="G5565" i="7"/>
  <c r="G5566" i="7"/>
  <c r="G5567" i="7"/>
  <c r="G5568" i="7"/>
  <c r="G5569" i="7"/>
  <c r="G5570" i="7"/>
  <c r="G5571" i="7"/>
  <c r="G5572" i="7"/>
  <c r="G5573" i="7"/>
  <c r="G5574" i="7"/>
  <c r="G5575" i="7"/>
  <c r="G5576" i="7"/>
  <c r="G5577" i="7"/>
  <c r="G5578" i="7"/>
  <c r="G5579" i="7"/>
  <c r="G5580" i="7"/>
  <c r="G5581" i="7"/>
  <c r="G5582" i="7"/>
  <c r="G5583" i="7"/>
  <c r="G5584" i="7"/>
  <c r="G5585" i="7"/>
  <c r="G5586" i="7"/>
  <c r="G5587" i="7"/>
  <c r="G5588" i="7"/>
  <c r="G5589" i="7"/>
  <c r="G5590" i="7"/>
  <c r="G5591" i="7"/>
  <c r="G5592" i="7"/>
  <c r="G5593" i="7"/>
  <c r="G5594" i="7"/>
  <c r="G5595" i="7"/>
  <c r="G5596" i="7"/>
  <c r="G5597" i="7"/>
  <c r="G5598" i="7"/>
  <c r="G5599" i="7"/>
  <c r="G5600" i="7"/>
  <c r="G5601" i="7"/>
  <c r="G5602" i="7"/>
  <c r="G5603" i="7"/>
  <c r="G5604" i="7"/>
  <c r="G5605" i="7"/>
  <c r="G5606" i="7"/>
  <c r="G5607" i="7"/>
  <c r="G5608" i="7"/>
  <c r="G5609" i="7"/>
  <c r="G5610" i="7"/>
  <c r="G5611" i="7"/>
  <c r="G5612" i="7"/>
  <c r="G5613" i="7"/>
  <c r="G5614" i="7"/>
  <c r="G5615" i="7"/>
  <c r="G5616" i="7"/>
  <c r="G5617" i="7"/>
  <c r="G5618" i="7"/>
  <c r="G5619" i="7"/>
  <c r="G5620" i="7"/>
  <c r="G5621" i="7"/>
  <c r="G5622" i="7"/>
  <c r="G5623" i="7"/>
  <c r="G5624" i="7"/>
  <c r="G5625" i="7"/>
  <c r="G5626" i="7"/>
  <c r="G5627" i="7"/>
  <c r="G5628" i="7"/>
  <c r="G5629" i="7"/>
  <c r="G5630" i="7"/>
  <c r="G5631" i="7"/>
  <c r="G5632" i="7"/>
  <c r="G5633" i="7"/>
  <c r="G5634" i="7"/>
  <c r="G5635" i="7"/>
  <c r="G5636" i="7"/>
  <c r="G5637" i="7"/>
  <c r="G5638" i="7"/>
  <c r="G5639" i="7"/>
  <c r="G5640" i="7"/>
  <c r="G5641" i="7"/>
  <c r="G5642" i="7"/>
  <c r="G5643" i="7"/>
  <c r="G5644" i="7"/>
  <c r="G5645" i="7"/>
  <c r="G5646" i="7"/>
  <c r="G5647" i="7"/>
  <c r="G5648" i="7"/>
  <c r="G5649" i="7"/>
  <c r="G5650" i="7"/>
  <c r="G5651" i="7"/>
  <c r="G5652" i="7"/>
  <c r="G5653" i="7"/>
  <c r="G5654" i="7"/>
  <c r="G5655" i="7"/>
  <c r="G5656" i="7"/>
  <c r="G5657" i="7"/>
  <c r="G5658" i="7"/>
  <c r="G5659" i="7"/>
  <c r="G5660" i="7"/>
  <c r="G5661" i="7"/>
  <c r="G5662" i="7"/>
  <c r="G5663" i="7"/>
  <c r="G5664" i="7"/>
  <c r="G5665" i="7"/>
  <c r="G5666" i="7"/>
  <c r="G5667" i="7"/>
  <c r="G5668" i="7"/>
  <c r="G5669" i="7"/>
  <c r="G5670" i="7"/>
  <c r="G5671" i="7"/>
  <c r="G5672" i="7"/>
  <c r="G5673" i="7"/>
  <c r="G5674" i="7"/>
  <c r="G5675" i="7"/>
  <c r="G5676" i="7"/>
  <c r="G5677" i="7"/>
  <c r="G5678" i="7"/>
  <c r="G5679" i="7"/>
  <c r="G5680" i="7"/>
  <c r="G5681" i="7"/>
  <c r="G5682" i="7"/>
  <c r="G5683" i="7"/>
  <c r="G5684" i="7"/>
  <c r="G5685" i="7"/>
  <c r="G5686" i="7"/>
  <c r="G5687" i="7"/>
  <c r="G5688" i="7"/>
  <c r="G5689" i="7"/>
  <c r="G5690" i="7"/>
  <c r="G5691" i="7"/>
  <c r="G5692" i="7"/>
  <c r="G5693" i="7"/>
  <c r="G5694" i="7"/>
  <c r="G5695" i="7"/>
  <c r="G5696" i="7"/>
  <c r="G5697" i="7"/>
  <c r="G5698" i="7"/>
  <c r="G5699" i="7"/>
  <c r="G5700" i="7"/>
  <c r="G5701" i="7"/>
  <c r="G5702" i="7"/>
  <c r="G5703" i="7"/>
  <c r="G5704" i="7"/>
  <c r="G5705" i="7"/>
  <c r="G5706" i="7"/>
  <c r="G5707" i="7"/>
  <c r="G5708" i="7"/>
  <c r="G5709" i="7"/>
  <c r="G5710" i="7"/>
  <c r="G5711" i="7"/>
  <c r="G5712" i="7"/>
  <c r="G5713" i="7"/>
  <c r="G5714" i="7"/>
  <c r="G5715" i="7"/>
  <c r="G5716" i="7"/>
  <c r="G5717" i="7"/>
  <c r="G5718" i="7"/>
  <c r="G5719" i="7"/>
  <c r="G5720" i="7"/>
  <c r="G5721" i="7"/>
  <c r="G5722" i="7"/>
  <c r="G5723" i="7"/>
  <c r="G5724" i="7"/>
  <c r="G5725" i="7"/>
  <c r="G5726" i="7"/>
  <c r="G5727" i="7"/>
  <c r="G5728" i="7"/>
  <c r="G5729" i="7"/>
  <c r="G5730" i="7"/>
  <c r="G5731" i="7"/>
  <c r="G5732" i="7"/>
  <c r="G5733" i="7"/>
  <c r="G5734" i="7"/>
  <c r="G5735" i="7"/>
  <c r="G5736" i="7"/>
  <c r="G5737" i="7"/>
  <c r="G5738" i="7"/>
  <c r="G5739" i="7"/>
  <c r="G5740" i="7"/>
  <c r="G5741" i="7"/>
  <c r="G5742" i="7"/>
  <c r="G5743" i="7"/>
  <c r="G5744" i="7"/>
  <c r="G5745" i="7"/>
  <c r="G5746" i="7"/>
  <c r="G5747" i="7"/>
  <c r="G5748" i="7"/>
  <c r="G5749" i="7"/>
  <c r="G5750" i="7"/>
  <c r="G5751" i="7"/>
  <c r="G5752" i="7"/>
  <c r="G5753" i="7"/>
  <c r="G5754" i="7"/>
  <c r="G5755" i="7"/>
  <c r="G5756" i="7"/>
  <c r="G5757" i="7"/>
  <c r="G5758" i="7"/>
  <c r="G5759" i="7"/>
  <c r="G5760" i="7"/>
  <c r="G5761" i="7"/>
  <c r="G5762" i="7"/>
  <c r="G5763" i="7"/>
  <c r="G5764" i="7"/>
  <c r="G5765" i="7"/>
  <c r="G5766" i="7"/>
  <c r="G5767" i="7"/>
  <c r="G5768" i="7"/>
  <c r="G5769" i="7"/>
  <c r="G5770" i="7"/>
  <c r="G5771" i="7"/>
  <c r="G5772" i="7"/>
  <c r="G5773" i="7"/>
  <c r="G5774" i="7"/>
  <c r="G5775" i="7"/>
  <c r="G5776" i="7"/>
  <c r="G5777" i="7"/>
  <c r="G5778" i="7"/>
  <c r="G5779" i="7"/>
  <c r="G5780" i="7"/>
  <c r="G5781" i="7"/>
  <c r="G5782" i="7"/>
  <c r="G5783" i="7"/>
  <c r="G5784" i="7"/>
  <c r="G5785" i="7"/>
  <c r="G5786" i="7"/>
  <c r="G5787" i="7"/>
  <c r="G5788" i="7"/>
  <c r="G5789" i="7"/>
  <c r="G5790" i="7"/>
  <c r="G5791" i="7"/>
  <c r="G5792" i="7"/>
  <c r="G5793" i="7"/>
  <c r="G5794" i="7"/>
  <c r="G5795" i="7"/>
  <c r="G5796" i="7"/>
  <c r="G5797" i="7"/>
  <c r="G5798" i="7"/>
  <c r="G5799" i="7"/>
  <c r="G5800" i="7"/>
  <c r="G5801" i="7"/>
  <c r="G5802" i="7"/>
  <c r="G5803" i="7"/>
  <c r="G5804" i="7"/>
  <c r="G5805" i="7"/>
  <c r="G5806" i="7"/>
  <c r="G5807" i="7"/>
  <c r="G5808" i="7"/>
  <c r="G5809" i="7"/>
  <c r="G5810" i="7"/>
  <c r="G5811" i="7"/>
  <c r="G5812" i="7"/>
  <c r="G5813" i="7"/>
  <c r="G5814" i="7"/>
  <c r="G5815" i="7"/>
  <c r="G5816" i="7"/>
  <c r="G5817" i="7"/>
  <c r="G5818" i="7"/>
  <c r="G5819" i="7"/>
  <c r="G5820" i="7"/>
  <c r="G5821" i="7"/>
  <c r="G5822" i="7"/>
  <c r="G5823" i="7"/>
  <c r="G5824" i="7"/>
  <c r="G5825" i="7"/>
  <c r="G5826" i="7"/>
  <c r="G5827" i="7"/>
  <c r="G5828" i="7"/>
  <c r="G5829" i="7"/>
  <c r="G5830" i="7"/>
  <c r="G5831" i="7"/>
  <c r="G5832" i="7"/>
  <c r="G5833" i="7"/>
  <c r="G5834" i="7"/>
  <c r="G5835" i="7"/>
  <c r="G5836" i="7"/>
  <c r="G5837" i="7"/>
  <c r="G5838" i="7"/>
  <c r="G5839" i="7"/>
  <c r="G5840" i="7"/>
  <c r="G5841" i="7"/>
  <c r="G5842" i="7"/>
  <c r="G5843" i="7"/>
  <c r="G5844" i="7"/>
  <c r="G5845" i="7"/>
  <c r="G5846" i="7"/>
  <c r="G5847" i="7"/>
  <c r="G5848" i="7"/>
  <c r="G5849" i="7"/>
  <c r="G5850" i="7"/>
  <c r="G5851" i="7"/>
  <c r="G5852" i="7"/>
  <c r="G5853" i="7"/>
  <c r="G5854" i="7"/>
  <c r="G5855" i="7"/>
  <c r="G5856" i="7"/>
  <c r="G5857" i="7"/>
  <c r="G5858" i="7"/>
  <c r="G5859" i="7"/>
  <c r="G5860" i="7"/>
  <c r="G5861" i="7"/>
  <c r="G5862" i="7"/>
  <c r="G5863" i="7"/>
  <c r="G5864" i="7"/>
  <c r="G5865" i="7"/>
  <c r="G5866" i="7"/>
  <c r="G5867" i="7"/>
  <c r="G5868" i="7"/>
  <c r="G5869" i="7"/>
  <c r="G5870" i="7"/>
  <c r="G5871" i="7"/>
  <c r="G5872" i="7"/>
  <c r="G5873" i="7"/>
  <c r="G5874" i="7"/>
  <c r="G5875" i="7"/>
  <c r="G5876" i="7"/>
  <c r="G5877" i="7"/>
  <c r="G5878" i="7"/>
  <c r="G5879" i="7"/>
  <c r="G5880" i="7"/>
  <c r="G5881" i="7"/>
  <c r="G5882" i="7"/>
  <c r="G5883" i="7"/>
  <c r="G5884" i="7"/>
  <c r="G5885" i="7"/>
  <c r="G5886" i="7"/>
  <c r="G5887" i="7"/>
  <c r="G5888" i="7"/>
  <c r="G5889" i="7"/>
  <c r="G5890" i="7"/>
  <c r="G5891" i="7"/>
  <c r="G5892" i="7"/>
  <c r="G5893" i="7"/>
  <c r="G5894" i="7"/>
  <c r="G5895" i="7"/>
  <c r="G5896" i="7"/>
  <c r="G5897" i="7"/>
  <c r="G5898" i="7"/>
  <c r="G5899" i="7"/>
  <c r="G5900" i="7"/>
  <c r="G5901" i="7"/>
  <c r="G5902" i="7"/>
  <c r="G5903" i="7"/>
  <c r="G5904" i="7"/>
  <c r="G5905" i="7"/>
  <c r="G5906" i="7"/>
  <c r="G5907" i="7"/>
  <c r="G5908" i="7"/>
  <c r="G5909" i="7"/>
  <c r="G5910" i="7"/>
  <c r="G5911" i="7"/>
  <c r="G5912" i="7"/>
  <c r="G5913" i="7"/>
  <c r="G5914" i="7"/>
  <c r="G5915" i="7"/>
  <c r="G5916" i="7"/>
  <c r="G5917" i="7"/>
  <c r="G5918" i="7"/>
  <c r="G5919" i="7"/>
  <c r="G5920" i="7"/>
  <c r="G5921" i="7"/>
  <c r="G5922" i="7"/>
  <c r="G5923" i="7"/>
  <c r="G5924" i="7"/>
  <c r="G5925" i="7"/>
  <c r="G5926" i="7"/>
  <c r="G5927" i="7"/>
  <c r="G5928" i="7"/>
  <c r="G5929" i="7"/>
  <c r="G5930" i="7"/>
  <c r="G5931" i="7"/>
  <c r="G5932" i="7"/>
  <c r="G5933" i="7"/>
  <c r="G5934" i="7"/>
  <c r="G5935" i="7"/>
  <c r="G5936" i="7"/>
  <c r="G5937" i="7"/>
  <c r="G5938" i="7"/>
  <c r="G5939" i="7"/>
  <c r="G5940" i="7"/>
  <c r="G5941" i="7"/>
  <c r="G5942" i="7"/>
  <c r="G5943" i="7"/>
  <c r="G5944" i="7"/>
  <c r="G5945" i="7"/>
  <c r="G5946" i="7"/>
  <c r="G5947" i="7"/>
  <c r="G5948" i="7"/>
  <c r="G5949" i="7"/>
  <c r="G5950" i="7"/>
  <c r="G5951" i="7"/>
  <c r="G5952" i="7"/>
  <c r="G5953" i="7"/>
  <c r="G5954" i="7"/>
  <c r="G5955" i="7"/>
  <c r="G5956" i="7"/>
  <c r="G5957" i="7"/>
  <c r="G5958" i="7"/>
  <c r="G5959" i="7"/>
  <c r="G5960" i="7"/>
  <c r="G5961" i="7"/>
  <c r="G5962" i="7"/>
  <c r="G5963" i="7"/>
  <c r="G5964" i="7"/>
  <c r="G5965" i="7"/>
  <c r="G5966" i="7"/>
  <c r="G5967" i="7"/>
  <c r="G5968" i="7"/>
  <c r="G5969" i="7"/>
  <c r="G5970" i="7"/>
  <c r="G5971" i="7"/>
  <c r="G5972" i="7"/>
  <c r="G5973" i="7"/>
  <c r="G5974" i="7"/>
  <c r="G5975" i="7"/>
  <c r="G5976" i="7"/>
  <c r="G5977" i="7"/>
  <c r="G5978" i="7"/>
  <c r="G5979" i="7"/>
  <c r="G5980" i="7"/>
  <c r="G5981" i="7"/>
  <c r="G5982" i="7"/>
  <c r="G5983" i="7"/>
  <c r="G5984" i="7"/>
  <c r="G5985" i="7"/>
  <c r="G5986" i="7"/>
  <c r="G5987" i="7"/>
  <c r="G5988" i="7"/>
  <c r="G5989" i="7"/>
  <c r="G5990" i="7"/>
  <c r="G5991" i="7"/>
  <c r="G5992" i="7"/>
  <c r="G5993" i="7"/>
  <c r="G5994" i="7"/>
  <c r="G5995" i="7"/>
  <c r="G5996" i="7"/>
  <c r="G5997" i="7"/>
  <c r="G5998" i="7"/>
  <c r="G5999" i="7"/>
  <c r="G6000" i="7"/>
  <c r="G6001" i="7"/>
  <c r="G6002" i="7"/>
  <c r="G6003" i="7"/>
  <c r="G6004" i="7"/>
  <c r="G6005" i="7"/>
  <c r="G6006" i="7"/>
  <c r="G6007" i="7"/>
  <c r="G6008" i="7"/>
  <c r="G6009" i="7"/>
  <c r="G6010" i="7"/>
  <c r="G6011" i="7"/>
  <c r="G6012" i="7"/>
  <c r="G6013" i="7"/>
  <c r="G6014" i="7"/>
  <c r="G6015" i="7"/>
  <c r="G6016" i="7"/>
  <c r="G6017" i="7"/>
  <c r="G6018" i="7"/>
  <c r="G6019" i="7"/>
  <c r="G6020" i="7"/>
  <c r="G6021" i="7"/>
  <c r="G6022" i="7"/>
  <c r="G6023" i="7"/>
  <c r="G6024" i="7"/>
  <c r="G6025" i="7"/>
  <c r="G6026" i="7"/>
  <c r="G6027" i="7"/>
  <c r="G6028" i="7"/>
  <c r="G6029" i="7"/>
  <c r="G6030" i="7"/>
  <c r="G6031" i="7"/>
  <c r="G6032" i="7"/>
  <c r="G6033" i="7"/>
  <c r="G6034" i="7"/>
  <c r="G6035" i="7"/>
  <c r="G6036" i="7"/>
  <c r="G6037" i="7"/>
  <c r="G6038" i="7"/>
  <c r="G6039" i="7"/>
  <c r="G6040" i="7"/>
  <c r="G6041" i="7"/>
  <c r="G6042" i="7"/>
  <c r="G6043" i="7"/>
  <c r="G6044" i="7"/>
  <c r="G6045" i="7"/>
  <c r="G6046" i="7"/>
  <c r="G6047" i="7"/>
  <c r="G6048" i="7"/>
  <c r="G6049" i="7"/>
  <c r="G6050" i="7"/>
  <c r="G6051" i="7"/>
  <c r="G6052" i="7"/>
  <c r="G6053" i="7"/>
  <c r="G6054" i="7"/>
  <c r="G6055" i="7"/>
  <c r="G6056" i="7"/>
  <c r="G6057" i="7"/>
  <c r="G6058" i="7"/>
  <c r="G6059" i="7"/>
  <c r="G6060" i="7"/>
  <c r="G6061" i="7"/>
  <c r="G6062" i="7"/>
  <c r="G6063" i="7"/>
  <c r="G6064" i="7"/>
  <c r="G6065" i="7"/>
  <c r="G6066" i="7"/>
  <c r="G6067" i="7"/>
  <c r="G6068" i="7"/>
  <c r="G6069" i="7"/>
  <c r="G6070" i="7"/>
  <c r="G6071" i="7"/>
  <c r="G6072" i="7"/>
  <c r="G6073" i="7"/>
  <c r="G6074" i="7"/>
  <c r="G6075" i="7"/>
  <c r="G6076" i="7"/>
  <c r="G6077" i="7"/>
  <c r="G6078" i="7"/>
  <c r="G6079" i="7"/>
  <c r="G6080" i="7"/>
  <c r="G6081" i="7"/>
  <c r="G6082" i="7"/>
  <c r="G6083" i="7"/>
  <c r="G6084" i="7"/>
  <c r="G6085" i="7"/>
  <c r="G6086" i="7"/>
  <c r="G6087" i="7"/>
  <c r="G6088" i="7"/>
  <c r="G6089" i="7"/>
  <c r="G6090" i="7"/>
  <c r="G6091" i="7"/>
  <c r="G6092" i="7"/>
  <c r="G6093" i="7"/>
  <c r="G6094" i="7"/>
  <c r="G6095" i="7"/>
  <c r="G6096" i="7"/>
  <c r="G6097" i="7"/>
  <c r="G6098" i="7"/>
  <c r="G6099" i="7"/>
  <c r="G6100" i="7"/>
  <c r="G6101" i="7"/>
  <c r="G6102" i="7"/>
  <c r="G6103" i="7"/>
  <c r="G6104" i="7"/>
  <c r="G6105" i="7"/>
  <c r="G6106" i="7"/>
  <c r="G6107" i="7"/>
  <c r="G6108" i="7"/>
  <c r="G6109" i="7"/>
  <c r="G6110" i="7"/>
  <c r="G6111" i="7"/>
  <c r="G6112" i="7"/>
  <c r="G6113" i="7"/>
  <c r="G6114" i="7"/>
  <c r="G6115" i="7"/>
  <c r="G6116" i="7"/>
  <c r="G6117" i="7"/>
  <c r="G6118" i="7"/>
  <c r="G6119" i="7"/>
  <c r="G6120" i="7"/>
  <c r="G6121" i="7"/>
  <c r="G6122" i="7"/>
  <c r="G6123" i="7"/>
  <c r="G6124" i="7"/>
  <c r="G6125" i="7"/>
  <c r="G6126" i="7"/>
  <c r="G6127" i="7"/>
  <c r="G6128" i="7"/>
  <c r="G6129" i="7"/>
  <c r="G6130" i="7"/>
  <c r="G6131" i="7"/>
  <c r="G6132" i="7"/>
  <c r="G6133" i="7"/>
  <c r="G6134" i="7"/>
  <c r="G6135" i="7"/>
  <c r="G6136" i="7"/>
  <c r="G6137" i="7"/>
  <c r="G6138" i="7"/>
  <c r="G6139" i="7"/>
  <c r="G6140" i="7"/>
  <c r="G6141" i="7"/>
  <c r="G6142" i="7"/>
  <c r="G6143" i="7"/>
  <c r="G6144" i="7"/>
  <c r="G6145" i="7"/>
  <c r="G6146" i="7"/>
  <c r="G6147" i="7"/>
  <c r="G6148" i="7"/>
  <c r="G6149" i="7"/>
  <c r="G6150" i="7"/>
  <c r="G6151" i="7"/>
  <c r="G6152" i="7"/>
  <c r="G6153" i="7"/>
  <c r="G6154" i="7"/>
  <c r="G6155" i="7"/>
  <c r="G6156" i="7"/>
  <c r="G6157" i="7"/>
  <c r="G6158" i="7"/>
  <c r="G6159" i="7"/>
  <c r="G6160" i="7"/>
  <c r="G6161" i="7"/>
  <c r="G6162" i="7"/>
  <c r="G6163" i="7"/>
  <c r="G6164" i="7"/>
  <c r="G6165" i="7"/>
  <c r="G6166" i="7"/>
  <c r="G6167" i="7"/>
  <c r="G6168" i="7"/>
  <c r="G6169" i="7"/>
  <c r="G6170" i="7"/>
  <c r="G6171" i="7"/>
  <c r="G6172" i="7"/>
  <c r="G6173" i="7"/>
  <c r="G6174" i="7"/>
  <c r="G6175" i="7"/>
  <c r="G6176" i="7"/>
  <c r="G6177" i="7"/>
  <c r="G6178" i="7"/>
  <c r="G6179" i="7"/>
  <c r="G6180" i="7"/>
  <c r="G6181" i="7"/>
  <c r="G6182" i="7"/>
  <c r="G6183" i="7"/>
  <c r="G6184" i="7"/>
  <c r="G6185" i="7"/>
  <c r="G6186" i="7"/>
  <c r="G6187" i="7"/>
  <c r="G6188" i="7"/>
  <c r="G6189" i="7"/>
  <c r="G6190" i="7"/>
  <c r="G6191" i="7"/>
  <c r="G6192" i="7"/>
  <c r="G6193" i="7"/>
  <c r="G6194" i="7"/>
  <c r="G6195" i="7"/>
  <c r="G6196" i="7"/>
  <c r="G6197" i="7"/>
  <c r="G6198" i="7"/>
  <c r="G6199" i="7"/>
  <c r="G6200" i="7"/>
  <c r="G6201" i="7"/>
  <c r="G6202" i="7"/>
  <c r="G6203" i="7"/>
  <c r="G6204" i="7"/>
  <c r="G6205" i="7"/>
  <c r="G6206" i="7"/>
  <c r="G6207" i="7"/>
  <c r="G6208" i="7"/>
  <c r="G6209" i="7"/>
  <c r="G6210" i="7"/>
  <c r="G6211" i="7"/>
  <c r="G6212" i="7"/>
  <c r="G6213" i="7"/>
  <c r="G6214" i="7"/>
  <c r="G6215" i="7"/>
  <c r="G6216" i="7"/>
  <c r="G6217" i="7"/>
  <c r="G6218" i="7"/>
  <c r="G6219" i="7"/>
  <c r="G6220" i="7"/>
  <c r="G6221" i="7"/>
  <c r="G6222" i="7"/>
  <c r="G6223" i="7"/>
  <c r="G6224" i="7"/>
  <c r="G6225" i="7"/>
  <c r="G6226" i="7"/>
  <c r="G6227" i="7"/>
  <c r="G6228" i="7"/>
  <c r="G6229" i="7"/>
  <c r="G6230" i="7"/>
  <c r="G6231" i="7"/>
  <c r="G6232" i="7"/>
  <c r="G6233" i="7"/>
  <c r="G6234" i="7"/>
  <c r="G6235" i="7"/>
  <c r="G6236" i="7"/>
  <c r="G6237" i="7"/>
  <c r="G6238" i="7"/>
  <c r="G6239" i="7"/>
  <c r="G6240" i="7"/>
  <c r="G6241" i="7"/>
  <c r="G6242" i="7"/>
  <c r="G6243" i="7"/>
  <c r="G6244" i="7"/>
  <c r="G6245" i="7"/>
  <c r="G6246" i="7"/>
  <c r="G6247" i="7"/>
  <c r="G6248" i="7"/>
  <c r="G6249" i="7"/>
  <c r="G6250" i="7"/>
  <c r="G6251" i="7"/>
  <c r="G6252" i="7"/>
  <c r="G6253" i="7"/>
  <c r="G6254" i="7"/>
  <c r="G6255" i="7"/>
  <c r="G6256" i="7"/>
  <c r="G6257" i="7"/>
  <c r="G6258" i="7"/>
  <c r="G6259" i="7"/>
  <c r="G6260" i="7"/>
  <c r="G6261" i="7"/>
  <c r="G6262" i="7"/>
  <c r="G6263" i="7"/>
  <c r="G6264" i="7"/>
  <c r="G6265" i="7"/>
  <c r="G6266" i="7"/>
  <c r="G6267" i="7"/>
  <c r="G6268" i="7"/>
  <c r="G6269" i="7"/>
  <c r="G6270" i="7"/>
  <c r="G6271" i="7"/>
  <c r="G6272" i="7"/>
  <c r="G6273" i="7"/>
  <c r="G6274" i="7"/>
  <c r="G6275" i="7"/>
  <c r="G6276" i="7"/>
  <c r="G6277" i="7"/>
  <c r="G6278" i="7"/>
  <c r="G6279" i="7"/>
  <c r="G6280" i="7"/>
  <c r="G6281" i="7"/>
  <c r="G6282" i="7"/>
  <c r="G6283" i="7"/>
  <c r="G6284" i="7"/>
  <c r="G6285" i="7"/>
  <c r="G6286" i="7"/>
  <c r="G6287" i="7"/>
  <c r="G6288" i="7"/>
  <c r="G6289" i="7"/>
  <c r="G6290" i="7"/>
  <c r="G6291" i="7"/>
  <c r="G6292" i="7"/>
  <c r="G6293" i="7"/>
  <c r="G6294" i="7"/>
  <c r="G6295" i="7"/>
  <c r="G6296" i="7"/>
  <c r="G6297" i="7"/>
  <c r="G6298" i="7"/>
  <c r="G6299" i="7"/>
  <c r="G6300" i="7"/>
  <c r="G6301" i="7"/>
  <c r="G6302" i="7"/>
  <c r="G6303" i="7"/>
  <c r="G6304" i="7"/>
  <c r="G6305" i="7"/>
  <c r="G6306" i="7"/>
  <c r="G6307" i="7"/>
  <c r="G6308" i="7"/>
  <c r="G6309" i="7"/>
  <c r="G6310" i="7"/>
  <c r="G6311" i="7"/>
  <c r="G6312" i="7"/>
  <c r="G6313" i="7"/>
  <c r="G6314" i="7"/>
  <c r="G6315" i="7"/>
  <c r="G6316" i="7"/>
  <c r="G6317" i="7"/>
  <c r="G6318" i="7"/>
  <c r="G6319" i="7"/>
  <c r="G6320" i="7"/>
  <c r="G6321" i="7"/>
  <c r="G6322" i="7"/>
  <c r="G6323" i="7"/>
  <c r="G6324" i="7"/>
  <c r="G6325" i="7"/>
  <c r="G6326" i="7"/>
  <c r="G6327" i="7"/>
  <c r="G6328" i="7"/>
  <c r="G6329" i="7"/>
  <c r="G6330" i="7"/>
  <c r="G6331" i="7"/>
  <c r="G6332" i="7"/>
  <c r="G6333" i="7"/>
  <c r="G6334" i="7"/>
  <c r="G6335" i="7"/>
  <c r="G6336" i="7"/>
  <c r="G6337" i="7"/>
  <c r="G6338" i="7"/>
  <c r="G6339" i="7"/>
  <c r="G6340" i="7"/>
  <c r="G6341" i="7"/>
  <c r="G6342" i="7"/>
  <c r="G6343" i="7"/>
  <c r="G6344" i="7"/>
  <c r="G6345" i="7"/>
  <c r="G6346" i="7"/>
  <c r="G6347" i="7"/>
  <c r="G6348" i="7"/>
  <c r="G6349" i="7"/>
  <c r="G6350" i="7"/>
  <c r="G6351" i="7"/>
  <c r="G6352" i="7"/>
  <c r="G6353" i="7"/>
  <c r="G6354" i="7"/>
  <c r="G6355" i="7"/>
  <c r="G6356" i="7"/>
  <c r="G6357" i="7"/>
  <c r="G6358" i="7"/>
  <c r="G6359" i="7"/>
  <c r="G6360" i="7"/>
  <c r="G6361" i="7"/>
  <c r="G6362" i="7"/>
  <c r="G6363" i="7"/>
  <c r="G6364" i="7"/>
  <c r="G6365" i="7"/>
  <c r="G6366" i="7"/>
  <c r="G6367" i="7"/>
  <c r="G6368" i="7"/>
  <c r="G6369" i="7"/>
  <c r="G6370" i="7"/>
  <c r="G6371" i="7"/>
  <c r="G6372" i="7"/>
  <c r="G6373" i="7"/>
  <c r="G6374" i="7"/>
  <c r="G6375" i="7"/>
  <c r="G6376" i="7"/>
  <c r="G6377" i="7"/>
  <c r="G6378" i="7"/>
  <c r="G6379" i="7"/>
  <c r="G6380" i="7"/>
  <c r="G6381" i="7"/>
  <c r="G6382" i="7"/>
  <c r="G6383" i="7"/>
  <c r="G6384" i="7"/>
  <c r="G6385" i="7"/>
  <c r="G6386" i="7"/>
  <c r="G6387" i="7"/>
  <c r="G6388" i="7"/>
  <c r="G6389" i="7"/>
  <c r="G6390" i="7"/>
  <c r="G6391" i="7"/>
  <c r="G6392" i="7"/>
  <c r="G6393" i="7"/>
  <c r="G6394" i="7"/>
  <c r="G6395" i="7"/>
  <c r="G6396" i="7"/>
  <c r="G6397" i="7"/>
  <c r="G6398" i="7"/>
  <c r="G6399" i="7"/>
  <c r="G6400" i="7"/>
  <c r="G6401" i="7"/>
  <c r="G6402" i="7"/>
  <c r="G6403" i="7"/>
  <c r="G6404" i="7"/>
  <c r="G6405" i="7"/>
  <c r="G6406" i="7"/>
  <c r="G6407" i="7"/>
  <c r="G6408" i="7"/>
  <c r="G6409" i="7"/>
  <c r="G6410" i="7"/>
  <c r="G6411" i="7"/>
  <c r="G6412" i="7"/>
  <c r="G6413" i="7"/>
  <c r="G6414" i="7"/>
  <c r="G6415" i="7"/>
  <c r="G6416" i="7"/>
  <c r="G6417" i="7"/>
  <c r="G6418" i="7"/>
  <c r="G6419" i="7"/>
  <c r="G6420" i="7"/>
  <c r="G6421" i="7"/>
  <c r="G6422" i="7"/>
  <c r="G6423" i="7"/>
  <c r="G6424" i="7"/>
  <c r="G6425" i="7"/>
  <c r="G6426" i="7"/>
  <c r="G6427" i="7"/>
  <c r="G6428" i="7"/>
  <c r="G6429" i="7"/>
  <c r="G6430" i="7"/>
  <c r="G6431" i="7"/>
  <c r="G6432" i="7"/>
  <c r="G6433" i="7"/>
  <c r="G6434" i="7"/>
  <c r="G6435" i="7"/>
  <c r="G6436" i="7"/>
  <c r="G6437" i="7"/>
  <c r="G6438" i="7"/>
  <c r="G6439" i="7"/>
  <c r="G6440" i="7"/>
  <c r="G6441" i="7"/>
  <c r="G6442" i="7"/>
  <c r="G6443" i="7"/>
  <c r="G6444" i="7"/>
  <c r="G6445" i="7"/>
  <c r="G6446" i="7"/>
  <c r="G6447" i="7"/>
  <c r="G6448" i="7"/>
  <c r="G6449" i="7"/>
  <c r="G6450" i="7"/>
  <c r="G6451" i="7"/>
  <c r="G6452" i="7"/>
  <c r="G6453" i="7"/>
  <c r="G6454" i="7"/>
  <c r="G6455" i="7"/>
  <c r="G6456" i="7"/>
  <c r="G6457" i="7"/>
  <c r="G6458" i="7"/>
  <c r="G6459" i="7"/>
  <c r="G6460" i="7"/>
  <c r="G6461" i="7"/>
  <c r="G6462" i="7"/>
  <c r="G6463" i="7"/>
  <c r="G6464" i="7"/>
  <c r="G6465" i="7"/>
  <c r="G6466" i="7"/>
  <c r="G6467" i="7"/>
  <c r="G6468" i="7"/>
  <c r="G6469" i="7"/>
  <c r="G6470" i="7"/>
  <c r="G6471" i="7"/>
  <c r="G6472" i="7"/>
  <c r="G6473" i="7"/>
  <c r="G6474" i="7"/>
  <c r="G6475" i="7"/>
  <c r="G6476" i="7"/>
  <c r="G6477" i="7"/>
  <c r="G6478" i="7"/>
  <c r="G6479" i="7"/>
  <c r="G6480" i="7"/>
  <c r="G6481" i="7"/>
  <c r="G6482" i="7"/>
  <c r="G6483" i="7"/>
  <c r="G6484" i="7"/>
  <c r="G6485" i="7"/>
  <c r="G6486" i="7"/>
  <c r="G6487" i="7"/>
  <c r="G6488" i="7"/>
  <c r="G6489" i="7"/>
  <c r="G6490" i="7"/>
  <c r="G6491" i="7"/>
  <c r="G6492" i="7"/>
  <c r="G6493" i="7"/>
  <c r="G6494" i="7"/>
  <c r="G6495" i="7"/>
  <c r="G6496" i="7"/>
  <c r="G6497" i="7"/>
  <c r="G6498" i="7"/>
  <c r="G6499" i="7"/>
  <c r="G6500" i="7"/>
  <c r="G6501" i="7"/>
  <c r="G6502" i="7"/>
  <c r="G6503" i="7"/>
  <c r="G6504" i="7"/>
  <c r="G6505" i="7"/>
  <c r="G6506" i="7"/>
  <c r="G6507" i="7"/>
  <c r="G6508" i="7"/>
  <c r="G6509" i="7"/>
  <c r="G6510" i="7"/>
  <c r="G6511" i="7"/>
  <c r="G6512" i="7"/>
  <c r="G6513" i="7"/>
  <c r="G6514" i="7"/>
  <c r="G6515" i="7"/>
  <c r="G6516" i="7"/>
  <c r="G6517" i="7"/>
  <c r="G6518" i="7"/>
  <c r="G6519" i="7"/>
  <c r="G6520" i="7"/>
  <c r="G6521" i="7"/>
  <c r="G6522" i="7"/>
  <c r="G6523" i="7"/>
  <c r="G6524" i="7"/>
  <c r="G6525" i="7"/>
  <c r="G6526" i="7"/>
  <c r="G6527" i="7"/>
  <c r="G6528" i="7"/>
  <c r="G6529" i="7"/>
  <c r="G6530" i="7"/>
  <c r="G6531" i="7"/>
  <c r="G6532" i="7"/>
  <c r="G6533" i="7"/>
  <c r="G6534" i="7"/>
  <c r="G6535" i="7"/>
  <c r="G6536" i="7"/>
  <c r="G6537" i="7"/>
  <c r="G6538" i="7"/>
  <c r="G6539" i="7"/>
  <c r="G6540" i="7"/>
  <c r="G6541" i="7"/>
  <c r="G6542" i="7"/>
  <c r="G6543" i="7"/>
  <c r="G6544" i="7"/>
  <c r="G6545" i="7"/>
  <c r="G6546" i="7"/>
  <c r="G6547" i="7"/>
  <c r="G6548" i="7"/>
  <c r="G6549" i="7"/>
  <c r="G6550" i="7"/>
  <c r="G6551" i="7"/>
  <c r="G6552" i="7"/>
  <c r="G6553" i="7"/>
  <c r="G6554" i="7"/>
  <c r="G6555" i="7"/>
  <c r="G6556" i="7"/>
  <c r="G6557" i="7"/>
  <c r="G6558" i="7"/>
  <c r="G6559" i="7"/>
  <c r="G6560" i="7"/>
  <c r="G6561" i="7"/>
  <c r="G6562" i="7"/>
  <c r="G6563" i="7"/>
  <c r="G6564" i="7"/>
  <c r="G6565" i="7"/>
  <c r="G6566" i="7"/>
  <c r="G6567" i="7"/>
  <c r="G6568" i="7"/>
  <c r="G6569" i="7"/>
  <c r="G6570" i="7"/>
  <c r="G6571" i="7"/>
  <c r="G6572" i="7"/>
  <c r="G6573" i="7"/>
  <c r="G6574" i="7"/>
  <c r="G6575" i="7"/>
  <c r="G6576" i="7"/>
  <c r="G6577" i="7"/>
  <c r="G6578" i="7"/>
  <c r="G6579" i="7"/>
  <c r="G6580" i="7"/>
  <c r="G6581" i="7"/>
  <c r="G6582" i="7"/>
  <c r="G6583" i="7"/>
  <c r="G6584" i="7"/>
  <c r="G6585" i="7"/>
  <c r="G6586" i="7"/>
  <c r="G6587" i="7"/>
  <c r="G6588" i="7"/>
  <c r="G6589" i="7"/>
  <c r="G6590" i="7"/>
  <c r="G6591" i="7"/>
  <c r="G6592" i="7"/>
  <c r="G6593" i="7"/>
  <c r="G6594" i="7"/>
  <c r="G6595" i="7"/>
  <c r="G6596" i="7"/>
  <c r="G6597" i="7"/>
  <c r="G6598" i="7"/>
  <c r="G6599" i="7"/>
  <c r="G6600" i="7"/>
  <c r="G6601" i="7"/>
  <c r="G6602" i="7"/>
  <c r="G6603" i="7"/>
  <c r="G6604" i="7"/>
  <c r="G6605" i="7"/>
  <c r="G6606" i="7"/>
  <c r="G6607" i="7"/>
  <c r="G6608" i="7"/>
  <c r="G6609" i="7"/>
  <c r="G6610" i="7"/>
  <c r="G6611" i="7"/>
  <c r="G6612" i="7"/>
  <c r="G6613" i="7"/>
  <c r="G6614" i="7"/>
  <c r="G6615" i="7"/>
  <c r="G6616" i="7"/>
  <c r="G6617" i="7"/>
  <c r="G6618" i="7"/>
  <c r="G6619" i="7"/>
  <c r="G6620" i="7"/>
  <c r="G6621" i="7"/>
  <c r="G6622" i="7"/>
  <c r="G6623" i="7"/>
  <c r="G6624" i="7"/>
  <c r="G6625" i="7"/>
  <c r="G6626" i="7"/>
  <c r="G6627" i="7"/>
  <c r="G6628" i="7"/>
  <c r="G6629" i="7"/>
  <c r="G6630" i="7"/>
  <c r="G6631" i="7"/>
  <c r="G6632" i="7"/>
  <c r="G6633" i="7"/>
  <c r="G6634" i="7"/>
  <c r="G6635" i="7"/>
  <c r="G6636" i="7"/>
  <c r="G6637" i="7"/>
  <c r="G6638" i="7"/>
  <c r="G6639" i="7"/>
  <c r="G6640" i="7"/>
  <c r="G6641" i="7"/>
  <c r="G6642" i="7"/>
  <c r="G6643" i="7"/>
  <c r="G6644" i="7"/>
  <c r="G6645" i="7"/>
  <c r="G6646" i="7"/>
  <c r="G6647" i="7"/>
  <c r="G6648" i="7"/>
  <c r="G6649" i="7"/>
  <c r="G6650" i="7"/>
  <c r="G6651" i="7"/>
  <c r="G6652" i="7"/>
  <c r="G6653" i="7"/>
  <c r="G6654" i="7"/>
  <c r="G6655" i="7"/>
  <c r="G6656" i="7"/>
  <c r="G6657" i="7"/>
  <c r="G6658" i="7"/>
  <c r="G6659" i="7"/>
  <c r="G6660" i="7"/>
  <c r="G6661" i="7"/>
  <c r="G6662" i="7"/>
  <c r="G6663" i="7"/>
  <c r="G6664" i="7"/>
  <c r="G6665" i="7"/>
  <c r="G6666" i="7"/>
  <c r="G6667" i="7"/>
  <c r="G6668" i="7"/>
  <c r="G6669" i="7"/>
  <c r="G6670" i="7"/>
  <c r="G6671" i="7"/>
  <c r="G6672" i="7"/>
  <c r="G6673" i="7"/>
  <c r="G6674" i="7"/>
  <c r="G6675" i="7"/>
  <c r="G6676" i="7"/>
  <c r="G6677" i="7"/>
  <c r="G6678" i="7"/>
  <c r="G6679" i="7"/>
  <c r="G6680" i="7"/>
  <c r="G6681" i="7"/>
  <c r="G6682" i="7"/>
  <c r="G6683" i="7"/>
  <c r="G6684" i="7"/>
  <c r="G6685" i="7"/>
  <c r="G6686" i="7"/>
  <c r="G6687" i="7"/>
  <c r="G6688" i="7"/>
  <c r="G6689" i="7"/>
  <c r="G6690" i="7"/>
  <c r="G6691" i="7"/>
  <c r="G6692" i="7"/>
  <c r="G6693" i="7"/>
  <c r="G6694" i="7"/>
  <c r="G6695" i="7"/>
  <c r="G6696" i="7"/>
  <c r="G6697" i="7"/>
  <c r="G6698" i="7"/>
  <c r="G6699" i="7"/>
  <c r="G6700" i="7"/>
  <c r="G6701" i="7"/>
  <c r="G6702" i="7"/>
  <c r="G6703" i="7"/>
  <c r="G6704" i="7"/>
  <c r="G6705" i="7"/>
  <c r="G6706" i="7"/>
  <c r="G6707" i="7"/>
  <c r="G6708" i="7"/>
  <c r="G6709" i="7"/>
  <c r="G6710" i="7"/>
  <c r="G6711" i="7"/>
  <c r="G6712" i="7"/>
  <c r="G6713" i="7"/>
  <c r="G6714" i="7"/>
  <c r="G6715" i="7"/>
  <c r="G6716" i="7"/>
  <c r="G6717" i="7"/>
  <c r="G6718" i="7"/>
  <c r="G6719" i="7"/>
  <c r="G6720" i="7"/>
  <c r="G6721" i="7"/>
  <c r="G6722" i="7"/>
  <c r="G6723" i="7"/>
  <c r="G6724" i="7"/>
  <c r="G6725" i="7"/>
  <c r="G6726" i="7"/>
  <c r="G6727" i="7"/>
  <c r="G6728" i="7"/>
  <c r="G6729" i="7"/>
  <c r="G6730" i="7"/>
  <c r="G6731" i="7"/>
  <c r="G6732" i="7"/>
  <c r="G6733" i="7"/>
  <c r="G6734" i="7"/>
  <c r="G6735" i="7"/>
  <c r="G6736" i="7"/>
  <c r="G6737" i="7"/>
  <c r="G6738" i="7"/>
  <c r="G6739" i="7"/>
  <c r="G6740" i="7"/>
  <c r="G6741" i="7"/>
  <c r="G6742" i="7"/>
  <c r="G6743" i="7"/>
  <c r="G6744" i="7"/>
  <c r="G6745" i="7"/>
  <c r="G6746" i="7"/>
  <c r="G6747" i="7"/>
  <c r="G6748" i="7"/>
  <c r="G6749" i="7"/>
  <c r="G6750" i="7"/>
  <c r="G6751" i="7"/>
  <c r="G6752" i="7"/>
  <c r="G6753" i="7"/>
  <c r="G6754" i="7"/>
  <c r="G6755" i="7"/>
  <c r="G6756" i="7"/>
  <c r="G6757" i="7"/>
  <c r="G6758" i="7"/>
  <c r="G6759" i="7"/>
  <c r="G6760" i="7"/>
  <c r="G6761" i="7"/>
  <c r="G6762" i="7"/>
  <c r="G6763" i="7"/>
  <c r="G6764" i="7"/>
  <c r="G6765" i="7"/>
  <c r="G6766" i="7"/>
  <c r="G6767" i="7"/>
  <c r="G6768" i="7"/>
  <c r="G6769" i="7"/>
  <c r="G6770" i="7"/>
  <c r="G6771" i="7"/>
  <c r="G6772" i="7"/>
  <c r="G6773" i="7"/>
  <c r="G6774" i="7"/>
  <c r="G6775" i="7"/>
  <c r="G6776" i="7"/>
  <c r="G6777" i="7"/>
  <c r="G6778" i="7"/>
  <c r="G6779" i="7"/>
  <c r="G6780" i="7"/>
  <c r="G6781" i="7"/>
  <c r="G6782" i="7"/>
  <c r="G6783" i="7"/>
  <c r="G6784" i="7"/>
  <c r="G6785" i="7"/>
  <c r="G6786" i="7"/>
  <c r="G6787" i="7"/>
  <c r="G6788" i="7"/>
  <c r="G6789" i="7"/>
  <c r="G6790" i="7"/>
  <c r="G6791" i="7"/>
  <c r="G6792" i="7"/>
  <c r="G6793" i="7"/>
  <c r="G6794" i="7"/>
  <c r="G6795" i="7"/>
  <c r="G6796" i="7"/>
  <c r="G6797" i="7"/>
  <c r="G6798" i="7"/>
  <c r="G6799" i="7"/>
  <c r="G6800" i="7"/>
  <c r="G6801" i="7"/>
  <c r="G6802" i="7"/>
  <c r="G6803" i="7"/>
  <c r="G6804" i="7"/>
  <c r="G6805" i="7"/>
  <c r="G6806" i="7"/>
  <c r="G6807" i="7"/>
  <c r="G6808" i="7"/>
  <c r="G6809" i="7"/>
  <c r="G6810" i="7"/>
  <c r="G6811" i="7"/>
  <c r="G6812" i="7"/>
  <c r="G6813" i="7"/>
  <c r="G6814" i="7"/>
  <c r="G6815" i="7"/>
  <c r="G6816" i="7"/>
  <c r="G6817" i="7"/>
  <c r="G6818" i="7"/>
  <c r="G6819" i="7"/>
  <c r="G6820" i="7"/>
  <c r="G6821" i="7"/>
  <c r="G6822" i="7"/>
  <c r="G6823" i="7"/>
  <c r="G6824" i="7"/>
  <c r="G6825" i="7"/>
  <c r="G6826" i="7"/>
  <c r="G6827" i="7"/>
  <c r="G6828" i="7"/>
  <c r="G6829" i="7"/>
  <c r="G6830" i="7"/>
  <c r="G6831" i="7"/>
  <c r="G6832" i="7"/>
  <c r="G6833" i="7"/>
  <c r="G6834" i="7"/>
  <c r="G6835" i="7"/>
  <c r="G6836" i="7"/>
  <c r="G6837" i="7"/>
  <c r="G6838" i="7"/>
  <c r="G6839" i="7"/>
  <c r="G6840" i="7"/>
  <c r="G6841" i="7"/>
  <c r="G6842" i="7"/>
  <c r="G6843" i="7"/>
  <c r="G6844" i="7"/>
  <c r="G6845" i="7"/>
  <c r="G6846" i="7"/>
  <c r="G6847" i="7"/>
  <c r="G6848" i="7"/>
  <c r="G6849" i="7"/>
  <c r="G6850" i="7"/>
  <c r="G6851" i="7"/>
  <c r="G6852" i="7"/>
  <c r="G6853" i="7"/>
  <c r="G6854" i="7"/>
  <c r="G6855" i="7"/>
  <c r="G6856" i="7"/>
  <c r="G6857" i="7"/>
  <c r="G6858" i="7"/>
  <c r="G6859" i="7"/>
  <c r="G6860" i="7"/>
  <c r="G6861" i="7"/>
  <c r="G6862" i="7"/>
  <c r="G6863" i="7"/>
  <c r="G6864" i="7"/>
  <c r="G6865" i="7"/>
  <c r="G6866" i="7"/>
  <c r="G6867" i="7"/>
  <c r="G6868" i="7"/>
  <c r="G6869" i="7"/>
  <c r="G6870" i="7"/>
  <c r="G6871" i="7"/>
  <c r="G6872" i="7"/>
  <c r="G6873" i="7"/>
  <c r="G6874" i="7"/>
  <c r="G6875" i="7"/>
  <c r="G6876" i="7"/>
  <c r="G6877" i="7"/>
  <c r="G6878" i="7"/>
  <c r="G6879" i="7"/>
  <c r="G6880" i="7"/>
  <c r="G6881" i="7"/>
  <c r="G6882" i="7"/>
  <c r="G6883" i="7"/>
  <c r="G6884" i="7"/>
  <c r="G6885" i="7"/>
  <c r="G6886" i="7"/>
  <c r="G6887" i="7"/>
  <c r="G6888" i="7"/>
  <c r="G6889" i="7"/>
  <c r="G6890" i="7"/>
  <c r="G6891" i="7"/>
  <c r="G6892" i="7"/>
  <c r="G6893" i="7"/>
  <c r="G6894" i="7"/>
  <c r="G6895" i="7"/>
  <c r="G6896" i="7"/>
  <c r="G6897" i="7"/>
  <c r="G6898" i="7"/>
  <c r="G6899" i="7"/>
  <c r="G6900" i="7"/>
  <c r="G6901" i="7"/>
  <c r="G6902" i="7"/>
  <c r="G6903" i="7"/>
  <c r="G6904" i="7"/>
  <c r="G6905" i="7"/>
  <c r="G6906" i="7"/>
  <c r="G6907" i="7"/>
  <c r="G6908" i="7"/>
  <c r="G6909" i="7"/>
  <c r="G6910" i="7"/>
  <c r="G6911" i="7"/>
  <c r="G6912" i="7"/>
  <c r="G6913" i="7"/>
  <c r="G6914" i="7"/>
  <c r="G6915" i="7"/>
  <c r="G6916" i="7"/>
  <c r="G6917" i="7"/>
  <c r="G6918" i="7"/>
  <c r="G6919" i="7"/>
  <c r="G6920" i="7"/>
  <c r="G6921" i="7"/>
  <c r="G6922" i="7"/>
  <c r="G6923" i="7"/>
  <c r="G6924" i="7"/>
  <c r="G6925" i="7"/>
  <c r="G6926" i="7"/>
  <c r="G6927" i="7"/>
  <c r="G6928" i="7"/>
  <c r="G6929" i="7"/>
  <c r="G6930" i="7"/>
  <c r="G6931" i="7"/>
  <c r="G6932" i="7"/>
  <c r="G6933" i="7"/>
  <c r="G6934" i="7"/>
  <c r="G6935" i="7"/>
  <c r="G6936" i="7"/>
  <c r="G6937" i="7"/>
  <c r="G6938" i="7"/>
  <c r="G6939" i="7"/>
  <c r="G6940" i="7"/>
  <c r="G6941" i="7"/>
  <c r="G6942" i="7"/>
  <c r="G6943" i="7"/>
  <c r="G6944" i="7"/>
  <c r="G6945" i="7"/>
  <c r="G6946" i="7"/>
  <c r="G6947" i="7"/>
  <c r="G6948" i="7"/>
  <c r="G6949" i="7"/>
  <c r="G6950" i="7"/>
  <c r="G6951" i="7"/>
  <c r="G6952" i="7"/>
  <c r="G6953" i="7"/>
  <c r="G6954" i="7"/>
  <c r="G6955" i="7"/>
  <c r="G6956" i="7"/>
  <c r="G6957" i="7"/>
  <c r="G6958" i="7"/>
  <c r="G6959" i="7"/>
  <c r="G6960" i="7"/>
  <c r="G6961" i="7"/>
  <c r="G6962" i="7"/>
  <c r="G6963" i="7"/>
  <c r="G6964" i="7"/>
  <c r="G6965" i="7"/>
  <c r="G6966" i="7"/>
  <c r="G6967" i="7"/>
  <c r="G6968" i="7"/>
  <c r="G6969" i="7"/>
  <c r="G6970" i="7"/>
  <c r="G6971" i="7"/>
  <c r="G6972" i="7"/>
  <c r="G6973" i="7"/>
  <c r="G6974" i="7"/>
  <c r="G6975" i="7"/>
  <c r="G6976" i="7"/>
  <c r="G6977" i="7"/>
  <c r="G6978" i="7"/>
  <c r="G6979" i="7"/>
  <c r="G6980" i="7"/>
  <c r="G6981" i="7"/>
  <c r="G6982" i="7"/>
  <c r="G6983" i="7"/>
  <c r="G6984" i="7"/>
  <c r="G6985" i="7"/>
  <c r="G6986" i="7"/>
  <c r="G6987" i="7"/>
  <c r="G6988" i="7"/>
  <c r="G6989" i="7"/>
  <c r="G6990" i="7"/>
  <c r="G6991" i="7"/>
  <c r="G6992" i="7"/>
  <c r="G6993" i="7"/>
  <c r="G6994" i="7"/>
  <c r="G6995" i="7"/>
  <c r="G6996" i="7"/>
  <c r="G6997" i="7"/>
  <c r="G6998" i="7"/>
  <c r="G6999" i="7"/>
  <c r="G7000" i="7"/>
  <c r="G7001" i="7"/>
  <c r="G7002" i="7"/>
  <c r="G7003" i="7"/>
  <c r="G7004" i="7"/>
  <c r="G7005" i="7"/>
  <c r="G7006" i="7"/>
  <c r="G7007" i="7"/>
  <c r="G7008" i="7"/>
  <c r="G7009" i="7"/>
  <c r="G7010" i="7"/>
  <c r="G7011" i="7"/>
  <c r="G7012" i="7"/>
  <c r="G7013" i="7"/>
  <c r="G7014" i="7"/>
  <c r="G7015" i="7"/>
  <c r="G7016" i="7"/>
  <c r="G7017" i="7"/>
  <c r="G7018" i="7"/>
  <c r="G7019" i="7"/>
  <c r="G7020" i="7"/>
  <c r="G7021" i="7"/>
  <c r="G7022" i="7"/>
  <c r="G7023" i="7"/>
  <c r="G7024" i="7"/>
  <c r="G7025" i="7"/>
  <c r="G7026" i="7"/>
  <c r="G7027" i="7"/>
  <c r="G7028" i="7"/>
  <c r="G7029" i="7"/>
  <c r="G7030" i="7"/>
  <c r="G7031" i="7"/>
  <c r="G7032" i="7"/>
  <c r="G7033" i="7"/>
  <c r="G7034" i="7"/>
  <c r="G7035" i="7"/>
  <c r="G7036" i="7"/>
  <c r="G7037" i="7"/>
  <c r="G7038" i="7"/>
  <c r="G7039" i="7"/>
  <c r="G7040" i="7"/>
  <c r="G7041" i="7"/>
  <c r="G7042" i="7"/>
  <c r="G7043" i="7"/>
  <c r="G7044" i="7"/>
  <c r="G7045" i="7"/>
  <c r="G7046" i="7"/>
  <c r="G7047" i="7"/>
  <c r="G7048" i="7"/>
  <c r="G7049" i="7"/>
  <c r="G7050" i="7"/>
  <c r="G7051" i="7"/>
  <c r="G7052" i="7"/>
  <c r="G7053" i="7"/>
  <c r="G7054" i="7"/>
  <c r="G7055" i="7"/>
  <c r="G7056" i="7"/>
  <c r="G7057" i="7"/>
  <c r="G7058" i="7"/>
  <c r="G7059" i="7"/>
  <c r="G7060" i="7"/>
  <c r="G7061" i="7"/>
  <c r="G7062" i="7"/>
  <c r="G7063" i="7"/>
  <c r="G7064" i="7"/>
  <c r="G7065" i="7"/>
  <c r="G7066" i="7"/>
  <c r="G7067" i="7"/>
  <c r="G7068" i="7"/>
  <c r="G7069" i="7"/>
  <c r="G7070" i="7"/>
  <c r="G7071" i="7"/>
  <c r="G7072" i="7"/>
  <c r="G7073" i="7"/>
  <c r="G7074" i="7"/>
  <c r="G7075" i="7"/>
  <c r="G7076" i="7"/>
  <c r="G7077" i="7"/>
  <c r="G7078" i="7"/>
  <c r="G7079" i="7"/>
  <c r="G7080" i="7"/>
  <c r="G7081" i="7"/>
  <c r="G7082" i="7"/>
  <c r="G7083" i="7"/>
  <c r="G7084" i="7"/>
  <c r="G7085" i="7"/>
  <c r="G7086" i="7"/>
  <c r="G7087" i="7"/>
  <c r="G7088" i="7"/>
  <c r="G7089" i="7"/>
  <c r="G7090" i="7"/>
  <c r="G7091" i="7"/>
  <c r="G7092" i="7"/>
  <c r="G7093" i="7"/>
  <c r="G7094" i="7"/>
  <c r="G7095" i="7"/>
  <c r="G7096" i="7"/>
  <c r="G7097" i="7"/>
  <c r="G7098" i="7"/>
  <c r="G7099" i="7"/>
  <c r="G7100" i="7"/>
  <c r="G7101" i="7"/>
  <c r="G7102" i="7"/>
  <c r="G7103" i="7"/>
  <c r="G7104" i="7"/>
  <c r="G7105" i="7"/>
  <c r="G7106" i="7"/>
  <c r="G7107" i="7"/>
  <c r="G7108" i="7"/>
  <c r="G7109" i="7"/>
  <c r="G7110" i="7"/>
  <c r="G7111" i="7"/>
  <c r="G7112" i="7"/>
  <c r="G7113" i="7"/>
  <c r="G7114" i="7"/>
  <c r="G7115" i="7"/>
  <c r="G7116" i="7"/>
  <c r="G7117" i="7"/>
  <c r="G7118" i="7"/>
  <c r="G7119" i="7"/>
  <c r="G7120" i="7"/>
  <c r="G7121" i="7"/>
  <c r="G7122" i="7"/>
  <c r="G7123" i="7"/>
  <c r="G7124" i="7"/>
  <c r="G7125" i="7"/>
  <c r="G7126" i="7"/>
  <c r="G7127" i="7"/>
  <c r="G7128" i="7"/>
  <c r="G7129" i="7"/>
  <c r="G7130" i="7"/>
  <c r="G7131" i="7"/>
  <c r="G7132" i="7"/>
  <c r="G7133" i="7"/>
  <c r="G7134" i="7"/>
  <c r="G7135" i="7"/>
  <c r="G7136" i="7"/>
  <c r="G7137" i="7"/>
  <c r="G7138" i="7"/>
  <c r="G7139" i="7"/>
  <c r="G7140" i="7"/>
  <c r="G7141" i="7"/>
  <c r="G7142" i="7"/>
  <c r="G7143" i="7"/>
  <c r="G7144" i="7"/>
  <c r="G7145" i="7"/>
  <c r="G7146" i="7"/>
  <c r="G7147" i="7"/>
  <c r="G7148" i="7"/>
  <c r="G7149" i="7"/>
  <c r="G7150" i="7"/>
  <c r="G7151" i="7"/>
  <c r="G7152" i="7"/>
  <c r="G7153" i="7"/>
  <c r="G7154" i="7"/>
  <c r="G7155" i="7"/>
  <c r="G7156" i="7"/>
  <c r="G7157" i="7"/>
  <c r="G7158" i="7"/>
  <c r="G7159" i="7"/>
  <c r="G7160" i="7"/>
  <c r="G7161" i="7"/>
  <c r="G7162" i="7"/>
  <c r="G7163" i="7"/>
  <c r="G7164" i="7"/>
  <c r="G7165" i="7"/>
  <c r="G7166" i="7"/>
  <c r="G7167" i="7"/>
  <c r="G7168" i="7"/>
  <c r="G7169" i="7"/>
  <c r="G7170" i="7"/>
  <c r="G7171" i="7"/>
  <c r="G7172" i="7"/>
  <c r="G7173" i="7"/>
  <c r="G7174" i="7"/>
  <c r="G7175" i="7"/>
  <c r="G7176" i="7"/>
  <c r="G7177" i="7"/>
  <c r="G7178" i="7"/>
  <c r="G7179" i="7"/>
  <c r="G7180" i="7"/>
  <c r="G7181" i="7"/>
  <c r="G7182" i="7"/>
  <c r="G7183" i="7"/>
  <c r="G7184" i="7"/>
  <c r="G7185" i="7"/>
  <c r="G7186" i="7"/>
  <c r="G7187" i="7"/>
  <c r="G7188" i="7"/>
  <c r="G7189" i="7"/>
  <c r="G7190" i="7"/>
  <c r="G7191" i="7"/>
  <c r="G7192" i="7"/>
  <c r="G7193" i="7"/>
  <c r="G7194" i="7"/>
  <c r="G7195" i="7"/>
  <c r="G7196" i="7"/>
  <c r="G7197" i="7"/>
  <c r="G7198" i="7"/>
  <c r="G7199" i="7"/>
  <c r="G7200" i="7"/>
  <c r="G7201" i="7"/>
  <c r="G7202" i="7"/>
  <c r="G7203" i="7"/>
  <c r="G7204" i="7"/>
  <c r="G7205" i="7"/>
  <c r="G7206" i="7"/>
  <c r="G7207" i="7"/>
  <c r="G7208" i="7"/>
  <c r="G7209" i="7"/>
  <c r="G7210" i="7"/>
  <c r="G7211" i="7"/>
  <c r="G7212" i="7"/>
  <c r="G7213" i="7"/>
  <c r="G7214" i="7"/>
  <c r="G7215" i="7"/>
  <c r="G7216" i="7"/>
  <c r="G7217" i="7"/>
  <c r="G7218" i="7"/>
  <c r="G7219" i="7"/>
  <c r="G7220" i="7"/>
  <c r="G7221" i="7"/>
  <c r="G7222" i="7"/>
  <c r="G7223" i="7"/>
  <c r="G7224" i="7"/>
  <c r="G7225" i="7"/>
  <c r="G7226" i="7"/>
  <c r="G7227" i="7"/>
  <c r="G7228" i="7"/>
  <c r="G7229" i="7"/>
  <c r="G7230" i="7"/>
  <c r="G7231" i="7"/>
  <c r="G7232" i="7"/>
  <c r="G7233" i="7"/>
  <c r="G7234" i="7"/>
  <c r="G7235" i="7"/>
  <c r="G7236" i="7"/>
  <c r="G7237" i="7"/>
  <c r="G7238" i="7"/>
  <c r="G7239" i="7"/>
  <c r="G7240" i="7"/>
  <c r="G7241" i="7"/>
  <c r="G7242" i="7"/>
  <c r="G7243" i="7"/>
  <c r="G7244" i="7"/>
  <c r="G7245" i="7"/>
  <c r="G7246" i="7"/>
  <c r="G7247" i="7"/>
  <c r="G7248" i="7"/>
  <c r="G7249" i="7"/>
  <c r="G7250" i="7"/>
  <c r="G7251" i="7"/>
  <c r="G7252" i="7"/>
  <c r="G7253" i="7"/>
  <c r="G7254" i="7"/>
  <c r="G7255" i="7"/>
  <c r="G7256" i="7"/>
  <c r="G7257" i="7"/>
  <c r="G7258" i="7"/>
  <c r="G7259" i="7"/>
  <c r="G7260" i="7"/>
  <c r="G7261" i="7"/>
  <c r="G7262" i="7"/>
  <c r="G7263" i="7"/>
  <c r="G7264" i="7"/>
  <c r="G7265" i="7"/>
  <c r="G7266" i="7"/>
  <c r="G7267" i="7"/>
  <c r="G7268" i="7"/>
  <c r="G7269" i="7"/>
  <c r="G7270" i="7"/>
  <c r="G7271" i="7"/>
  <c r="G7272" i="7"/>
  <c r="G7273" i="7"/>
  <c r="G7274" i="7"/>
  <c r="G7275" i="7"/>
  <c r="G7276" i="7"/>
  <c r="G7277" i="7"/>
  <c r="G7278" i="7"/>
  <c r="G7279" i="7"/>
  <c r="G7280" i="7"/>
  <c r="G7281" i="7"/>
  <c r="G7282" i="7"/>
  <c r="G7283" i="7"/>
  <c r="G7284" i="7"/>
  <c r="G7285" i="7"/>
  <c r="G7286" i="7"/>
  <c r="G7287" i="7"/>
  <c r="G7288" i="7"/>
  <c r="G7289" i="7"/>
  <c r="G7290" i="7"/>
  <c r="G7291" i="7"/>
  <c r="G7292" i="7"/>
  <c r="G7293" i="7"/>
  <c r="G7294" i="7"/>
  <c r="G7295" i="7"/>
  <c r="G7296" i="7"/>
  <c r="G7297" i="7"/>
  <c r="G7298" i="7"/>
  <c r="G7299" i="7"/>
  <c r="G7300" i="7"/>
  <c r="G7301" i="7"/>
  <c r="G7302" i="7"/>
  <c r="G7303" i="7"/>
  <c r="G7304" i="7"/>
  <c r="G7305" i="7"/>
  <c r="G7306" i="7"/>
  <c r="G7307" i="7"/>
  <c r="G7308" i="7"/>
  <c r="G7309" i="7"/>
  <c r="G7310" i="7"/>
  <c r="G7311" i="7"/>
  <c r="G7312" i="7"/>
  <c r="G7313" i="7"/>
  <c r="G7314" i="7"/>
  <c r="G7315" i="7"/>
  <c r="G7316" i="7"/>
  <c r="G7317" i="7"/>
  <c r="G7318" i="7"/>
  <c r="G7319" i="7"/>
  <c r="G7320" i="7"/>
  <c r="G7321" i="7"/>
  <c r="G7322" i="7"/>
  <c r="G7323" i="7"/>
  <c r="G7324" i="7"/>
  <c r="G7325" i="7"/>
  <c r="G7326" i="7"/>
  <c r="G7327" i="7"/>
  <c r="G7328" i="7"/>
  <c r="G7329" i="7"/>
  <c r="G7330" i="7"/>
  <c r="G7331" i="7"/>
  <c r="G7332" i="7"/>
  <c r="G7333" i="7"/>
  <c r="G7334" i="7"/>
  <c r="G7335" i="7"/>
  <c r="G7336" i="7"/>
  <c r="G7337" i="7"/>
  <c r="G7338" i="7"/>
  <c r="G7339" i="7"/>
  <c r="G7340" i="7"/>
  <c r="G7341" i="7"/>
  <c r="G7342" i="7"/>
  <c r="G7343" i="7"/>
  <c r="G7344" i="7"/>
  <c r="G7345" i="7"/>
  <c r="G7346" i="7"/>
  <c r="G7347" i="7"/>
  <c r="G7348" i="7"/>
  <c r="G7349" i="7"/>
  <c r="G7350" i="7"/>
  <c r="G7351" i="7"/>
  <c r="G7352" i="7"/>
  <c r="G7353" i="7"/>
  <c r="G7354" i="7"/>
  <c r="G7355" i="7"/>
  <c r="G7356" i="7"/>
  <c r="G7357" i="7"/>
  <c r="G7358" i="7"/>
  <c r="G7359" i="7"/>
  <c r="G7360" i="7"/>
  <c r="G7361" i="7"/>
  <c r="G7362" i="7"/>
  <c r="G7363" i="7"/>
  <c r="G7364" i="7"/>
  <c r="G7365" i="7"/>
  <c r="G7366" i="7"/>
  <c r="G7367" i="7"/>
  <c r="G7368" i="7"/>
  <c r="G7369" i="7"/>
  <c r="G7370" i="7"/>
  <c r="G7371" i="7"/>
  <c r="G7372" i="7"/>
  <c r="G7373" i="7"/>
  <c r="G7374" i="7"/>
  <c r="G7375" i="7"/>
  <c r="G7376" i="7"/>
  <c r="G7377" i="7"/>
  <c r="G7378" i="7"/>
  <c r="G7379" i="7"/>
  <c r="G7380" i="7"/>
  <c r="G7381" i="7"/>
  <c r="G7382" i="7"/>
  <c r="G7383" i="7"/>
  <c r="G7384" i="7"/>
  <c r="G7385" i="7"/>
  <c r="G7386" i="7"/>
  <c r="G7387" i="7"/>
  <c r="G7388" i="7"/>
  <c r="G7389" i="7"/>
  <c r="G7390" i="7"/>
  <c r="G7391" i="7"/>
  <c r="G7392" i="7"/>
  <c r="G7393" i="7"/>
  <c r="G7394" i="7"/>
  <c r="G7395" i="7"/>
  <c r="G7396" i="7"/>
  <c r="G7397" i="7"/>
  <c r="G7398" i="7"/>
  <c r="G7399" i="7"/>
  <c r="G7400" i="7"/>
  <c r="G7401" i="7"/>
  <c r="G7402" i="7"/>
  <c r="G7403" i="7"/>
  <c r="G7404" i="7"/>
  <c r="G7405" i="7"/>
  <c r="G7406" i="7"/>
  <c r="G7407" i="7"/>
  <c r="G7408" i="7"/>
  <c r="G7409" i="7"/>
  <c r="G7410" i="7"/>
  <c r="G7411" i="7"/>
  <c r="G7412" i="7"/>
  <c r="G7413" i="7"/>
  <c r="G7414" i="7"/>
  <c r="G7415" i="7"/>
  <c r="G7416" i="7"/>
  <c r="G7417" i="7"/>
  <c r="G7418" i="7"/>
  <c r="G7419" i="7"/>
  <c r="G7420" i="7"/>
  <c r="G7421" i="7"/>
  <c r="G7422" i="7"/>
  <c r="G7423" i="7"/>
  <c r="G7424" i="7"/>
  <c r="G7425" i="7"/>
  <c r="G7426" i="7"/>
  <c r="G7427" i="7"/>
  <c r="G7428" i="7"/>
  <c r="G7429" i="7"/>
  <c r="G7430" i="7"/>
  <c r="G7431" i="7"/>
  <c r="G7432" i="7"/>
  <c r="G7433" i="7"/>
  <c r="G7434" i="7"/>
  <c r="G7435" i="7"/>
  <c r="G7436" i="7"/>
  <c r="G7437" i="7"/>
  <c r="G7438" i="7"/>
  <c r="G7439" i="7"/>
  <c r="G7440" i="7"/>
  <c r="G7441" i="7"/>
  <c r="G7442" i="7"/>
  <c r="G7443" i="7"/>
  <c r="G7444" i="7"/>
  <c r="G7445" i="7"/>
  <c r="G7446" i="7"/>
  <c r="G7447" i="7"/>
  <c r="G7448" i="7"/>
  <c r="G7449" i="7"/>
  <c r="G7450" i="7"/>
  <c r="G7451" i="7"/>
  <c r="G7452" i="7"/>
  <c r="G7453" i="7"/>
  <c r="G7454" i="7"/>
  <c r="G7455" i="7"/>
  <c r="G7456" i="7"/>
  <c r="G7457" i="7"/>
  <c r="G7458" i="7"/>
  <c r="G7459" i="7"/>
  <c r="G7460" i="7"/>
  <c r="G7461" i="7"/>
  <c r="G7462" i="7"/>
  <c r="G7463" i="7"/>
  <c r="G7464" i="7"/>
  <c r="G7465" i="7"/>
  <c r="G7466" i="7"/>
  <c r="G7467" i="7"/>
  <c r="G7468" i="7"/>
  <c r="G7469" i="7"/>
  <c r="G7470" i="7"/>
  <c r="G7471" i="7"/>
  <c r="G7472" i="7"/>
  <c r="G7473" i="7"/>
  <c r="G7474" i="7"/>
  <c r="G7475" i="7"/>
  <c r="G7476" i="7"/>
  <c r="G7477" i="7"/>
  <c r="G7478" i="7"/>
  <c r="G7479" i="7"/>
  <c r="G7480" i="7"/>
  <c r="G7481" i="7"/>
  <c r="G7482" i="7"/>
  <c r="G7483" i="7"/>
  <c r="G7484" i="7"/>
  <c r="G7485" i="7"/>
  <c r="G7486" i="7"/>
  <c r="G7487" i="7"/>
  <c r="G7488" i="7"/>
  <c r="G7489" i="7"/>
  <c r="G7490" i="7"/>
  <c r="G7491" i="7"/>
  <c r="G7492" i="7"/>
  <c r="G7493" i="7"/>
  <c r="G7494" i="7"/>
  <c r="G7495" i="7"/>
  <c r="G7496" i="7"/>
  <c r="G7497" i="7"/>
  <c r="G7498" i="7"/>
  <c r="G7499" i="7"/>
  <c r="G7500" i="7"/>
  <c r="G7501" i="7"/>
  <c r="G7502" i="7"/>
  <c r="G7503" i="7"/>
  <c r="G7504" i="7"/>
  <c r="G7505" i="7"/>
  <c r="G7506" i="7"/>
  <c r="G7507" i="7"/>
  <c r="G7508" i="7"/>
  <c r="G7509" i="7"/>
  <c r="G7510" i="7"/>
  <c r="G7511" i="7"/>
  <c r="G7512" i="7"/>
  <c r="G7513" i="7"/>
  <c r="G7514" i="7"/>
  <c r="G7515" i="7"/>
  <c r="G7516" i="7"/>
  <c r="G7517" i="7"/>
  <c r="G7518" i="7"/>
  <c r="G7519" i="7"/>
  <c r="G7520" i="7"/>
  <c r="G7521" i="7"/>
  <c r="G7522" i="7"/>
  <c r="G7523" i="7"/>
  <c r="G7524" i="7"/>
  <c r="G7525" i="7"/>
  <c r="G7526" i="7"/>
  <c r="G7527" i="7"/>
  <c r="G7528" i="7"/>
  <c r="G7529" i="7"/>
  <c r="G7530" i="7"/>
  <c r="G7531" i="7"/>
  <c r="G7532" i="7"/>
  <c r="G7533" i="7"/>
  <c r="G7534" i="7"/>
  <c r="G7535" i="7"/>
  <c r="G7536" i="7"/>
  <c r="G7537" i="7"/>
  <c r="G7538" i="7"/>
  <c r="G7539" i="7"/>
  <c r="G7540" i="7"/>
  <c r="G7541" i="7"/>
  <c r="G7542" i="7"/>
  <c r="G7543" i="7"/>
  <c r="G7544" i="7"/>
  <c r="G7545" i="7"/>
  <c r="G7546" i="7"/>
  <c r="G7547" i="7"/>
  <c r="G7548" i="7"/>
  <c r="G7549" i="7"/>
  <c r="G7550" i="7"/>
  <c r="G7551" i="7"/>
  <c r="G7552" i="7"/>
  <c r="G7553" i="7"/>
  <c r="G7554" i="7"/>
  <c r="G7555" i="7"/>
  <c r="G7556" i="7"/>
  <c r="G7557" i="7"/>
  <c r="G7558" i="7"/>
  <c r="G7559" i="7"/>
  <c r="G7560" i="7"/>
  <c r="G7561" i="7"/>
  <c r="G7562" i="7"/>
  <c r="G7563" i="7"/>
  <c r="G7564" i="7"/>
  <c r="G7565" i="7"/>
  <c r="G7566" i="7"/>
  <c r="G7567" i="7"/>
  <c r="G7568" i="7"/>
  <c r="G7569" i="7"/>
  <c r="G7570" i="7"/>
  <c r="G7571" i="7"/>
  <c r="G7572" i="7"/>
  <c r="G7573" i="7"/>
  <c r="G7574" i="7"/>
  <c r="G7575" i="7"/>
  <c r="G7576" i="7"/>
  <c r="G7577" i="7"/>
  <c r="G7578" i="7"/>
  <c r="G7579" i="7"/>
  <c r="G7580" i="7"/>
  <c r="G7581" i="7"/>
  <c r="G7582" i="7"/>
  <c r="G7583" i="7"/>
  <c r="G7584" i="7"/>
  <c r="G7585" i="7"/>
  <c r="G7586" i="7"/>
  <c r="G7587" i="7"/>
  <c r="G7588" i="7"/>
  <c r="G7589" i="7"/>
  <c r="G7590" i="7"/>
  <c r="G7591" i="7"/>
  <c r="G7592" i="7"/>
  <c r="G7593" i="7"/>
  <c r="G7594" i="7"/>
  <c r="G7595" i="7"/>
  <c r="G7596" i="7"/>
  <c r="G7597" i="7"/>
  <c r="G7598" i="7"/>
  <c r="G7599" i="7"/>
  <c r="G7600" i="7"/>
  <c r="G7601" i="7"/>
  <c r="G7602" i="7"/>
  <c r="G7603" i="7"/>
  <c r="G7604" i="7"/>
  <c r="G7605" i="7"/>
  <c r="G7606" i="7"/>
  <c r="G7607" i="7"/>
  <c r="G7608" i="7"/>
  <c r="G7609" i="7"/>
  <c r="G7610" i="7"/>
  <c r="G7611" i="7"/>
  <c r="G7612" i="7"/>
  <c r="G7613" i="7"/>
  <c r="G7614" i="7"/>
  <c r="G7615" i="7"/>
  <c r="G7616" i="7"/>
  <c r="G7617" i="7"/>
  <c r="G7618" i="7"/>
  <c r="G7619" i="7"/>
  <c r="G7620" i="7"/>
  <c r="G7621" i="7"/>
  <c r="G7622" i="7"/>
  <c r="G7623" i="7"/>
  <c r="G7624" i="7"/>
  <c r="G7625" i="7"/>
  <c r="G7626" i="7"/>
  <c r="G7627" i="7"/>
  <c r="G7628" i="7"/>
  <c r="G7629" i="7"/>
  <c r="G7630" i="7"/>
  <c r="G7631" i="7"/>
  <c r="G7632" i="7"/>
  <c r="G7633" i="7"/>
  <c r="G7634" i="7"/>
  <c r="G7635" i="7"/>
  <c r="G7636" i="7"/>
  <c r="G7637" i="7"/>
  <c r="G7638" i="7"/>
  <c r="G7639" i="7"/>
  <c r="G7640" i="7"/>
  <c r="G7641" i="7"/>
  <c r="G7642" i="7"/>
  <c r="G7643" i="7"/>
  <c r="G7644" i="7"/>
  <c r="G7645" i="7"/>
  <c r="G7646" i="7"/>
  <c r="G7647" i="7"/>
  <c r="G7648" i="7"/>
  <c r="G7649" i="7"/>
  <c r="G7650" i="7"/>
  <c r="G7651" i="7"/>
  <c r="G7652" i="7"/>
  <c r="G7653" i="7"/>
  <c r="G7654" i="7"/>
  <c r="G7655" i="7"/>
  <c r="G7656" i="7"/>
  <c r="G7657" i="7"/>
  <c r="G7658" i="7"/>
  <c r="G7659" i="7"/>
  <c r="G7660" i="7"/>
  <c r="G7661" i="7"/>
  <c r="G7662" i="7"/>
  <c r="G7663" i="7"/>
  <c r="G7664" i="7"/>
  <c r="G7665" i="7"/>
  <c r="G7666" i="7"/>
  <c r="G7667" i="7"/>
  <c r="G7668" i="7"/>
  <c r="G7669" i="7"/>
  <c r="G7670" i="7"/>
  <c r="G7671" i="7"/>
  <c r="G7672" i="7"/>
  <c r="G7673" i="7"/>
  <c r="G7674" i="7"/>
  <c r="G7675" i="7"/>
  <c r="G7676" i="7"/>
  <c r="G7677" i="7"/>
  <c r="G7678" i="7"/>
  <c r="G7679" i="7"/>
  <c r="G7680" i="7"/>
  <c r="G7681" i="7"/>
  <c r="G7682" i="7"/>
  <c r="G7683" i="7"/>
  <c r="G7684" i="7"/>
  <c r="G7685" i="7"/>
  <c r="G7686" i="7"/>
  <c r="G7687" i="7"/>
  <c r="G7688" i="7"/>
  <c r="G7689" i="7"/>
  <c r="G7690" i="7"/>
  <c r="G7691" i="7"/>
  <c r="G7692" i="7"/>
  <c r="G7693" i="7"/>
  <c r="G7694" i="7"/>
  <c r="G7695" i="7"/>
  <c r="G7696" i="7"/>
  <c r="G7697" i="7"/>
  <c r="G7698" i="7"/>
  <c r="G7699" i="7"/>
  <c r="G7700" i="7"/>
  <c r="G7701" i="7"/>
  <c r="G7702" i="7"/>
  <c r="G7703" i="7"/>
  <c r="G7704" i="7"/>
  <c r="G7705" i="7"/>
  <c r="G7706" i="7"/>
  <c r="G7707" i="7"/>
  <c r="G7708" i="7"/>
  <c r="G7709" i="7"/>
  <c r="G7710" i="7"/>
  <c r="G7711" i="7"/>
  <c r="G7712" i="7"/>
  <c r="G7713" i="7"/>
  <c r="G7714" i="7"/>
  <c r="G7715" i="7"/>
  <c r="G7716" i="7"/>
  <c r="G7717" i="7"/>
  <c r="G7718" i="7"/>
  <c r="G7719" i="7"/>
  <c r="G7720" i="7"/>
  <c r="G7721" i="7"/>
  <c r="G7722" i="7"/>
  <c r="G7723" i="7"/>
  <c r="G7724" i="7"/>
  <c r="G7725" i="7"/>
  <c r="G7726" i="7"/>
  <c r="G7727" i="7"/>
  <c r="G7728" i="7"/>
  <c r="G7729" i="7"/>
  <c r="G7730" i="7"/>
  <c r="G7731" i="7"/>
  <c r="G7732" i="7"/>
  <c r="G7733" i="7"/>
  <c r="G7734" i="7"/>
  <c r="G7735" i="7"/>
  <c r="G7736" i="7"/>
  <c r="G7737" i="7"/>
  <c r="G7738" i="7"/>
  <c r="G7739" i="7"/>
  <c r="G7740" i="7"/>
  <c r="G7741" i="7"/>
  <c r="G7742" i="7"/>
  <c r="G7743" i="7"/>
  <c r="G7744" i="7"/>
  <c r="G7745" i="7"/>
  <c r="G7746" i="7"/>
  <c r="G7747" i="7"/>
  <c r="G7748" i="7"/>
  <c r="G7749" i="7"/>
  <c r="G7750" i="7"/>
  <c r="G7751" i="7"/>
  <c r="G7752" i="7"/>
  <c r="G7753" i="7"/>
  <c r="G7754" i="7"/>
  <c r="G7755" i="7"/>
  <c r="G7756" i="7"/>
  <c r="G7757" i="7"/>
  <c r="G7758" i="7"/>
  <c r="G7759" i="7"/>
  <c r="G7760" i="7"/>
  <c r="G7761" i="7"/>
  <c r="G7762" i="7"/>
  <c r="G7763" i="7"/>
  <c r="G7764" i="7"/>
  <c r="G7765" i="7"/>
  <c r="G7766" i="7"/>
  <c r="G7767" i="7"/>
  <c r="G7768" i="7"/>
  <c r="G7769" i="7"/>
  <c r="G7770" i="7"/>
  <c r="G7771" i="7"/>
  <c r="G7772" i="7"/>
  <c r="G7773" i="7"/>
  <c r="G7774" i="7"/>
  <c r="G7775" i="7"/>
  <c r="G7776" i="7"/>
  <c r="G7777" i="7"/>
  <c r="G7778" i="7"/>
  <c r="G7779" i="7"/>
  <c r="G7780" i="7"/>
  <c r="G7781" i="7"/>
  <c r="G7782" i="7"/>
  <c r="G7783" i="7"/>
  <c r="G7784" i="7"/>
  <c r="G7785" i="7"/>
  <c r="G7786" i="7"/>
  <c r="G7787" i="7"/>
  <c r="G7788" i="7"/>
  <c r="G7789" i="7"/>
  <c r="G7790" i="7"/>
  <c r="G7791" i="7"/>
  <c r="G7792" i="7"/>
  <c r="G7793" i="7"/>
  <c r="G7794" i="7"/>
  <c r="G7795" i="7"/>
  <c r="G7796" i="7"/>
  <c r="G7797" i="7"/>
  <c r="G7798" i="7"/>
  <c r="G7799" i="7"/>
  <c r="G7800" i="7"/>
  <c r="G7801" i="7"/>
  <c r="G7802" i="7"/>
  <c r="G7803" i="7"/>
  <c r="G7804" i="7"/>
  <c r="G7805" i="7"/>
  <c r="G7806" i="7"/>
  <c r="G7807" i="7"/>
  <c r="G7808" i="7"/>
  <c r="G7809" i="7"/>
  <c r="G7810" i="7"/>
  <c r="G7811" i="7"/>
  <c r="G7812" i="7"/>
  <c r="G7813" i="7"/>
  <c r="G7814" i="7"/>
  <c r="G7815" i="7"/>
  <c r="G7816" i="7"/>
  <c r="G7817" i="7"/>
  <c r="G7818" i="7"/>
  <c r="G7819" i="7"/>
  <c r="G7820" i="7"/>
  <c r="G7821" i="7"/>
  <c r="G7822" i="7"/>
  <c r="G7823" i="7"/>
  <c r="G7824" i="7"/>
  <c r="G7825" i="7"/>
  <c r="G7826" i="7"/>
  <c r="G7827" i="7"/>
  <c r="G7828" i="7"/>
  <c r="G7829" i="7"/>
  <c r="G7830" i="7"/>
  <c r="G7831" i="7"/>
  <c r="G7832" i="7"/>
  <c r="G7833" i="7"/>
  <c r="G7834" i="7"/>
  <c r="G7835" i="7"/>
  <c r="G7836" i="7"/>
  <c r="G7837" i="7"/>
  <c r="G7838" i="7"/>
  <c r="G7839" i="7"/>
  <c r="G7840" i="7"/>
  <c r="G7841" i="7"/>
  <c r="G7842" i="7"/>
  <c r="G7843" i="7"/>
  <c r="G7844" i="7"/>
  <c r="G7845" i="7"/>
  <c r="G7846" i="7"/>
  <c r="G7847" i="7"/>
  <c r="G7848" i="7"/>
  <c r="G7849" i="7"/>
  <c r="G7850" i="7"/>
  <c r="G7851" i="7"/>
  <c r="G7852" i="7"/>
  <c r="G7853" i="7"/>
  <c r="G7854" i="7"/>
  <c r="G7855" i="7"/>
  <c r="G7856" i="7"/>
  <c r="G7857" i="7"/>
  <c r="G7858" i="7"/>
  <c r="G7859" i="7"/>
  <c r="G7860" i="7"/>
  <c r="G7861" i="7"/>
  <c r="G7862" i="7"/>
  <c r="G7863" i="7"/>
  <c r="G7864" i="7"/>
  <c r="G7865" i="7"/>
  <c r="G7866" i="7"/>
  <c r="G7867" i="7"/>
  <c r="G7868" i="7"/>
  <c r="G7869" i="7"/>
  <c r="G7870" i="7"/>
  <c r="G7871" i="7"/>
  <c r="G7872" i="7"/>
  <c r="G7873" i="7"/>
  <c r="G7874" i="7"/>
  <c r="G7875" i="7"/>
  <c r="G7876" i="7"/>
  <c r="G7877" i="7"/>
  <c r="G7878" i="7"/>
  <c r="G7879" i="7"/>
  <c r="G7880" i="7"/>
  <c r="G7881" i="7"/>
  <c r="G7882" i="7"/>
  <c r="G7883" i="7"/>
  <c r="G7884" i="7"/>
  <c r="G7885" i="7"/>
  <c r="G7886" i="7"/>
  <c r="G7887" i="7"/>
  <c r="G7888" i="7"/>
  <c r="G7889" i="7"/>
  <c r="G7890" i="7"/>
  <c r="G7891" i="7"/>
  <c r="G7892" i="7"/>
  <c r="G7893" i="7"/>
  <c r="G7894" i="7"/>
  <c r="G7895" i="7"/>
  <c r="G7896" i="7"/>
  <c r="G7897" i="7"/>
  <c r="G7898" i="7"/>
  <c r="G7899" i="7"/>
  <c r="G7900" i="7"/>
  <c r="G7901" i="7"/>
  <c r="G7902" i="7"/>
  <c r="G7903" i="7"/>
  <c r="G7904" i="7"/>
  <c r="G7905" i="7"/>
  <c r="G7906" i="7"/>
  <c r="G7907" i="7"/>
  <c r="G7908" i="7"/>
  <c r="G7909" i="7"/>
  <c r="G7910" i="7"/>
  <c r="G7911" i="7"/>
  <c r="G7912" i="7"/>
  <c r="G7913" i="7"/>
  <c r="G7914" i="7"/>
  <c r="G7915" i="7"/>
  <c r="G7916" i="7"/>
  <c r="G7917" i="7"/>
  <c r="G7918" i="7"/>
  <c r="G7919" i="7"/>
  <c r="G7920" i="7"/>
  <c r="G7921" i="7"/>
  <c r="G7922" i="7"/>
  <c r="G7923" i="7"/>
  <c r="G7924" i="7"/>
  <c r="G7925" i="7"/>
  <c r="G7926" i="7"/>
  <c r="G7927" i="7"/>
  <c r="G7928" i="7"/>
  <c r="G7929" i="7"/>
  <c r="G7930" i="7"/>
  <c r="G7931" i="7"/>
  <c r="G7932" i="7"/>
  <c r="G7933" i="7"/>
  <c r="G7934" i="7"/>
  <c r="G7935" i="7"/>
  <c r="G7936" i="7"/>
  <c r="G7937" i="7"/>
  <c r="G7938" i="7"/>
  <c r="G7939" i="7"/>
  <c r="G7940" i="7"/>
  <c r="G7941" i="7"/>
  <c r="G7942" i="7"/>
  <c r="G7943" i="7"/>
  <c r="G7944" i="7"/>
  <c r="G7945" i="7"/>
  <c r="G7946" i="7"/>
  <c r="G7947" i="7"/>
  <c r="G7948" i="7"/>
  <c r="G7949" i="7"/>
  <c r="G7950" i="7"/>
  <c r="G7951" i="7"/>
  <c r="G7952" i="7"/>
  <c r="G7953" i="7"/>
  <c r="G7954" i="7"/>
  <c r="G7955" i="7"/>
  <c r="G7956" i="7"/>
  <c r="G7957" i="7"/>
  <c r="G7958" i="7"/>
  <c r="G7959" i="7"/>
  <c r="G7960" i="7"/>
  <c r="G7961" i="7"/>
  <c r="G7962" i="7"/>
  <c r="G7963" i="7"/>
  <c r="G7964" i="7"/>
  <c r="G7965" i="7"/>
  <c r="G7966" i="7"/>
  <c r="G7967" i="7"/>
  <c r="G7968" i="7"/>
  <c r="G7969" i="7"/>
  <c r="G7970" i="7"/>
  <c r="G7971" i="7"/>
  <c r="G7972" i="7"/>
  <c r="G7973" i="7"/>
  <c r="G7974" i="7"/>
  <c r="G7975" i="7"/>
  <c r="G7976" i="7"/>
  <c r="G7977" i="7"/>
  <c r="G7978" i="7"/>
  <c r="G7979" i="7"/>
  <c r="G7980" i="7"/>
  <c r="G7981" i="7"/>
  <c r="G7982" i="7"/>
  <c r="G7983" i="7"/>
  <c r="G7984" i="7"/>
  <c r="G7985" i="7"/>
  <c r="G7986" i="7"/>
  <c r="G7987" i="7"/>
  <c r="G7988" i="7"/>
  <c r="G7989" i="7"/>
  <c r="G7990" i="7"/>
  <c r="G7991" i="7"/>
  <c r="G7992" i="7"/>
  <c r="G7993" i="7"/>
  <c r="G7994" i="7"/>
  <c r="G7995" i="7"/>
  <c r="G7996" i="7"/>
  <c r="G7997" i="7"/>
  <c r="G7998" i="7"/>
  <c r="G7999" i="7"/>
  <c r="G8000" i="7"/>
  <c r="G8001" i="7"/>
  <c r="G8002" i="7"/>
  <c r="G8003" i="7"/>
  <c r="G8004" i="7"/>
  <c r="G8005" i="7"/>
  <c r="G8006" i="7"/>
  <c r="G8007" i="7"/>
  <c r="G8008" i="7"/>
  <c r="G8009" i="7"/>
  <c r="G8010" i="7"/>
  <c r="G8011" i="7"/>
  <c r="G8012" i="7"/>
  <c r="G8013" i="7"/>
  <c r="G8014" i="7"/>
  <c r="G8015" i="7"/>
  <c r="G8016" i="7"/>
  <c r="G8017" i="7"/>
  <c r="G8018" i="7"/>
  <c r="G8019" i="7"/>
  <c r="G8020" i="7"/>
  <c r="G8021" i="7"/>
  <c r="G8022" i="7"/>
  <c r="G8023" i="7"/>
  <c r="G8024" i="7"/>
  <c r="G8025" i="7"/>
  <c r="G8026" i="7"/>
  <c r="G8027" i="7"/>
  <c r="G8028" i="7"/>
  <c r="G8029" i="7"/>
  <c r="G8030" i="7"/>
  <c r="G8031" i="7"/>
  <c r="G8032" i="7"/>
  <c r="G8033" i="7"/>
  <c r="G8034" i="7"/>
  <c r="G8035" i="7"/>
  <c r="G8036" i="7"/>
  <c r="G8037" i="7"/>
  <c r="G8038" i="7"/>
  <c r="G8039" i="7"/>
  <c r="G8040" i="7"/>
  <c r="G8041" i="7"/>
  <c r="G8042" i="7"/>
  <c r="G8043" i="7"/>
  <c r="G8044" i="7"/>
  <c r="G8045" i="7"/>
  <c r="G8046" i="7"/>
  <c r="G8047" i="7"/>
  <c r="G8048" i="7"/>
  <c r="G8049" i="7"/>
  <c r="G8050" i="7"/>
  <c r="G8051" i="7"/>
  <c r="G8052" i="7"/>
  <c r="G8053" i="7"/>
  <c r="G8054" i="7"/>
  <c r="G8055" i="7"/>
  <c r="G8056" i="7"/>
  <c r="G8057" i="7"/>
  <c r="G8058" i="7"/>
  <c r="G8059" i="7"/>
  <c r="G8060" i="7"/>
  <c r="G8061" i="7"/>
  <c r="G8062" i="7"/>
  <c r="G8063" i="7"/>
  <c r="G8064" i="7"/>
  <c r="G8065" i="7"/>
  <c r="G8066" i="7"/>
  <c r="G8067" i="7"/>
  <c r="G8068" i="7"/>
  <c r="G8069" i="7"/>
  <c r="G8070" i="7"/>
  <c r="G8071" i="7"/>
  <c r="G8072" i="7"/>
  <c r="G8073" i="7"/>
  <c r="G8074" i="7"/>
  <c r="G8075" i="7"/>
  <c r="G8076" i="7"/>
  <c r="G8077" i="7"/>
  <c r="G8078" i="7"/>
  <c r="G8079" i="7"/>
  <c r="G8080" i="7"/>
  <c r="G8081" i="7"/>
  <c r="G8082" i="7"/>
  <c r="G8083" i="7"/>
  <c r="G8084" i="7"/>
  <c r="G8085" i="7"/>
  <c r="G8086" i="7"/>
  <c r="G8087" i="7"/>
  <c r="G8088" i="7"/>
  <c r="G8089" i="7"/>
  <c r="G8090" i="7"/>
  <c r="G8091" i="7"/>
  <c r="G8092" i="7"/>
  <c r="G8093" i="7"/>
  <c r="G8094" i="7"/>
  <c r="G8095" i="7"/>
  <c r="G8096" i="7"/>
  <c r="G8097" i="7"/>
  <c r="G8098" i="7"/>
  <c r="G8099" i="7"/>
  <c r="G8100" i="7"/>
  <c r="G8101" i="7"/>
  <c r="G8102" i="7"/>
  <c r="G8103" i="7"/>
  <c r="G8104" i="7"/>
  <c r="G8105" i="7"/>
  <c r="G8106" i="7"/>
  <c r="G8107" i="7"/>
  <c r="G8108" i="7"/>
  <c r="G8109" i="7"/>
  <c r="G8110" i="7"/>
  <c r="G8111" i="7"/>
  <c r="G8112" i="7"/>
  <c r="G8113" i="7"/>
  <c r="G8114" i="7"/>
  <c r="G8115" i="7"/>
  <c r="G8116" i="7"/>
  <c r="G8117" i="7"/>
  <c r="G8118" i="7"/>
  <c r="G8119" i="7"/>
  <c r="G8120" i="7"/>
  <c r="G8121" i="7"/>
  <c r="G8122" i="7"/>
  <c r="G8123" i="7"/>
  <c r="G8124" i="7"/>
  <c r="G8125" i="7"/>
  <c r="G8126" i="7"/>
  <c r="G8127" i="7"/>
  <c r="G8128" i="7"/>
  <c r="G8129" i="7"/>
  <c r="G8130" i="7"/>
  <c r="G8131" i="7"/>
  <c r="G8132" i="7"/>
  <c r="G8133" i="7"/>
  <c r="G8134" i="7"/>
  <c r="G8135" i="7"/>
  <c r="G8136" i="7"/>
  <c r="G8137" i="7"/>
  <c r="G8138" i="7"/>
  <c r="G8139" i="7"/>
  <c r="G8140" i="7"/>
  <c r="G8141" i="7"/>
  <c r="G8142" i="7"/>
  <c r="G8143" i="7"/>
  <c r="G8144" i="7"/>
  <c r="G8145" i="7"/>
  <c r="G8146" i="7"/>
  <c r="G8147" i="7"/>
  <c r="G8148" i="7"/>
  <c r="G8149" i="7"/>
  <c r="G8150" i="7"/>
  <c r="G8151" i="7"/>
  <c r="G8152" i="7"/>
  <c r="G8153" i="7"/>
  <c r="G8154" i="7"/>
  <c r="G8155" i="7"/>
  <c r="G8156" i="7"/>
  <c r="G8157" i="7"/>
  <c r="G8158" i="7"/>
  <c r="G8159" i="7"/>
  <c r="G8160" i="7"/>
  <c r="G8161" i="7"/>
  <c r="G8162" i="7"/>
  <c r="G8163" i="7"/>
  <c r="G8164" i="7"/>
  <c r="G8165" i="7"/>
  <c r="G8166" i="7"/>
  <c r="G8167" i="7"/>
  <c r="G8168" i="7"/>
  <c r="G8169" i="7"/>
  <c r="G8170" i="7"/>
  <c r="G8171" i="7"/>
  <c r="G8172" i="7"/>
  <c r="G8173" i="7"/>
  <c r="G8174" i="7"/>
  <c r="G8175" i="7"/>
  <c r="G8176" i="7"/>
  <c r="G8177" i="7"/>
  <c r="G8178" i="7"/>
  <c r="G8179" i="7"/>
  <c r="G8180" i="7"/>
  <c r="G8181" i="7"/>
  <c r="G8182" i="7"/>
  <c r="G8183" i="7"/>
  <c r="G8184" i="7"/>
  <c r="G8185" i="7"/>
  <c r="G8186" i="7"/>
  <c r="G8187" i="7"/>
  <c r="G8188" i="7"/>
  <c r="G8189" i="7"/>
  <c r="G8190" i="7"/>
  <c r="G8191" i="7"/>
  <c r="G8192" i="7"/>
  <c r="G8193" i="7"/>
  <c r="G8194" i="7"/>
  <c r="G8195" i="7"/>
  <c r="G8196" i="7"/>
  <c r="G8197" i="7"/>
  <c r="G8198" i="7"/>
  <c r="G8199" i="7"/>
  <c r="G8200" i="7"/>
  <c r="G8201" i="7"/>
  <c r="G8202" i="7"/>
  <c r="G8203" i="7"/>
  <c r="G8204" i="7"/>
  <c r="G8205" i="7"/>
  <c r="G8206" i="7"/>
  <c r="G8207" i="7"/>
  <c r="G8208" i="7"/>
  <c r="G8209" i="7"/>
  <c r="G8210" i="7"/>
  <c r="G8211" i="7"/>
  <c r="G8212" i="7"/>
  <c r="G8213" i="7"/>
  <c r="G8214" i="7"/>
  <c r="G8215" i="7"/>
  <c r="G8216" i="7"/>
  <c r="G8217" i="7"/>
  <c r="G8218" i="7"/>
  <c r="G8219" i="7"/>
  <c r="G8220" i="7"/>
  <c r="G8221" i="7"/>
  <c r="G8222" i="7"/>
  <c r="G8223" i="7"/>
  <c r="G8224" i="7"/>
  <c r="G8225" i="7"/>
  <c r="G8226" i="7"/>
  <c r="G8227" i="7"/>
  <c r="G8228" i="7"/>
  <c r="G8229" i="7"/>
  <c r="G8230" i="7"/>
  <c r="G8231" i="7"/>
  <c r="G8232" i="7"/>
  <c r="G8233" i="7"/>
  <c r="G8234" i="7"/>
  <c r="G8235" i="7"/>
  <c r="G8236" i="7"/>
  <c r="G8237" i="7"/>
  <c r="G8238" i="7"/>
  <c r="G8239" i="7"/>
  <c r="G8240" i="7"/>
  <c r="G8241" i="7"/>
  <c r="G8242" i="7"/>
  <c r="G8243" i="7"/>
  <c r="G8244" i="7"/>
  <c r="G8245" i="7"/>
  <c r="G8246" i="7"/>
  <c r="G8247" i="7"/>
  <c r="G8248" i="7"/>
  <c r="G8249" i="7"/>
  <c r="G8250" i="7"/>
  <c r="G8251" i="7"/>
  <c r="G8252" i="7"/>
  <c r="G8253" i="7"/>
  <c r="G8254" i="7"/>
  <c r="G8255" i="7"/>
  <c r="G8256" i="7"/>
  <c r="G8257" i="7"/>
  <c r="G8258" i="7"/>
  <c r="G8259" i="7"/>
  <c r="G8260" i="7"/>
  <c r="G8261" i="7"/>
  <c r="G8262" i="7"/>
  <c r="G8263" i="7"/>
  <c r="G8264" i="7"/>
  <c r="G8265" i="7"/>
  <c r="G8266" i="7"/>
  <c r="G8267" i="7"/>
  <c r="G8268" i="7"/>
  <c r="G8269" i="7"/>
  <c r="G8270" i="7"/>
  <c r="G8271" i="7"/>
  <c r="G8272" i="7"/>
  <c r="G8273" i="7"/>
  <c r="G8274" i="7"/>
  <c r="G8275" i="7"/>
  <c r="G8276" i="7"/>
  <c r="G8277" i="7"/>
  <c r="G8278" i="7"/>
  <c r="G8279" i="7"/>
  <c r="G8280" i="7"/>
  <c r="G8281" i="7"/>
  <c r="G8282" i="7"/>
  <c r="G8283" i="7"/>
  <c r="G8284" i="7"/>
  <c r="G8285" i="7"/>
  <c r="G8286" i="7"/>
  <c r="G8287" i="7"/>
  <c r="G8288" i="7"/>
  <c r="G8289" i="7"/>
  <c r="G8290" i="7"/>
  <c r="G8291" i="7"/>
  <c r="G8292" i="7"/>
  <c r="G8293" i="7"/>
  <c r="G8294" i="7"/>
  <c r="G8295" i="7"/>
  <c r="G8296" i="7"/>
  <c r="G8297" i="7"/>
  <c r="G8298" i="7"/>
  <c r="G8299" i="7"/>
  <c r="G8300" i="7"/>
  <c r="G8301" i="7"/>
  <c r="G8302" i="7"/>
  <c r="G8303" i="7"/>
  <c r="G8304" i="7"/>
  <c r="G8305" i="7"/>
  <c r="G8306" i="7"/>
  <c r="G8307" i="7"/>
  <c r="G8308" i="7"/>
  <c r="G8309" i="7"/>
  <c r="G8310" i="7"/>
  <c r="G8311" i="7"/>
  <c r="G8312" i="7"/>
  <c r="G8313" i="7"/>
  <c r="G8314" i="7"/>
  <c r="G8315" i="7"/>
  <c r="G8316" i="7"/>
  <c r="G8317" i="7"/>
  <c r="G8318" i="7"/>
  <c r="G8319" i="7"/>
  <c r="G8320" i="7"/>
  <c r="G8321" i="7"/>
  <c r="G8322" i="7"/>
  <c r="G8323" i="7"/>
  <c r="G8324" i="7"/>
  <c r="G8325" i="7"/>
  <c r="G8326" i="7"/>
  <c r="G8327" i="7"/>
  <c r="G8328" i="7"/>
  <c r="G8329" i="7"/>
  <c r="G8330" i="7"/>
  <c r="G8331" i="7"/>
  <c r="G8332" i="7"/>
  <c r="G8333" i="7"/>
  <c r="G8334" i="7"/>
  <c r="G8335" i="7"/>
  <c r="G8336" i="7"/>
  <c r="G8337" i="7"/>
  <c r="G8338" i="7"/>
  <c r="G8339" i="7"/>
  <c r="G8340" i="7"/>
  <c r="G8341" i="7"/>
  <c r="G8342" i="7"/>
  <c r="G8343" i="7"/>
  <c r="G8344" i="7"/>
  <c r="G8345" i="7"/>
  <c r="G8346" i="7"/>
  <c r="G8347" i="7"/>
  <c r="G8348" i="7"/>
  <c r="G8349" i="7"/>
  <c r="G8350" i="7"/>
  <c r="G8351" i="7"/>
  <c r="G8352" i="7"/>
  <c r="G8353" i="7"/>
  <c r="G8354" i="7"/>
  <c r="G8355" i="7"/>
  <c r="G8356" i="7"/>
  <c r="G8357" i="7"/>
  <c r="G8358" i="7"/>
  <c r="G8359" i="7"/>
  <c r="G8360" i="7"/>
  <c r="G8361" i="7"/>
  <c r="G8362" i="7"/>
  <c r="G8363" i="7"/>
  <c r="G8364" i="7"/>
  <c r="G8365" i="7"/>
  <c r="G8366" i="7"/>
  <c r="G8367" i="7"/>
  <c r="G8368" i="7"/>
  <c r="G8369" i="7"/>
  <c r="G8370" i="7"/>
  <c r="G8371" i="7"/>
  <c r="G8372" i="7"/>
  <c r="G8373" i="7"/>
  <c r="G8374" i="7"/>
  <c r="G8375" i="7"/>
  <c r="G8376" i="7"/>
  <c r="G8377" i="7"/>
  <c r="G8378" i="7"/>
  <c r="G8379" i="7"/>
  <c r="G8380" i="7"/>
  <c r="G8381" i="7"/>
  <c r="G8382" i="7"/>
  <c r="G8383" i="7"/>
  <c r="G8384" i="7"/>
  <c r="G8385" i="7"/>
  <c r="G8386" i="7"/>
  <c r="G8387" i="7"/>
  <c r="G8388" i="7"/>
  <c r="G8389" i="7"/>
  <c r="G8390" i="7"/>
  <c r="G8391" i="7"/>
  <c r="G8392" i="7"/>
  <c r="G8393" i="7"/>
  <c r="G8394" i="7"/>
  <c r="G8395" i="7"/>
  <c r="G8396" i="7"/>
  <c r="G8397" i="7"/>
  <c r="G8398" i="7"/>
  <c r="G8399" i="7"/>
  <c r="G8400" i="7"/>
  <c r="G8401" i="7"/>
  <c r="G8402" i="7"/>
  <c r="G8403" i="7"/>
  <c r="G8404" i="7"/>
  <c r="G8405" i="7"/>
  <c r="G8406" i="7"/>
  <c r="G8407" i="7"/>
  <c r="G8408" i="7"/>
  <c r="G8409" i="7"/>
  <c r="G8410" i="7"/>
  <c r="G8411" i="7"/>
  <c r="G8412" i="7"/>
  <c r="G8413" i="7"/>
  <c r="G8414" i="7"/>
  <c r="G8415" i="7"/>
  <c r="G8416" i="7"/>
  <c r="G8417" i="7"/>
  <c r="G8418" i="7"/>
  <c r="G8419" i="7"/>
  <c r="G8420" i="7"/>
  <c r="G8421" i="7"/>
  <c r="G8422" i="7"/>
  <c r="G8423" i="7"/>
  <c r="G8424" i="7"/>
  <c r="G8425" i="7"/>
  <c r="G8426" i="7"/>
  <c r="G8427" i="7"/>
  <c r="G8428" i="7"/>
  <c r="G8429" i="7"/>
  <c r="G8430" i="7"/>
  <c r="G8431" i="7"/>
  <c r="G8432" i="7"/>
  <c r="G8433" i="7"/>
  <c r="G8434" i="7"/>
  <c r="G8435" i="7"/>
  <c r="G8436" i="7"/>
  <c r="G8437" i="7"/>
  <c r="G8438" i="7"/>
  <c r="G8439" i="7"/>
  <c r="G8440" i="7"/>
  <c r="G8441" i="7"/>
  <c r="G8442" i="7"/>
  <c r="G8443" i="7"/>
  <c r="G8444" i="7"/>
  <c r="G8445" i="7"/>
  <c r="G8446" i="7"/>
  <c r="G8447" i="7"/>
  <c r="G8448" i="7"/>
  <c r="G8449" i="7"/>
  <c r="G8450" i="7"/>
  <c r="G8451" i="7"/>
  <c r="G8452" i="7"/>
  <c r="G8453" i="7"/>
  <c r="G8454" i="7"/>
  <c r="G8455" i="7"/>
  <c r="G8456" i="7"/>
  <c r="G8457" i="7"/>
  <c r="G8458" i="7"/>
  <c r="G8459" i="7"/>
  <c r="G8460" i="7"/>
  <c r="G8461" i="7"/>
  <c r="G8462" i="7"/>
  <c r="G8463" i="7"/>
  <c r="G8464" i="7"/>
  <c r="G8465" i="7"/>
  <c r="G8466" i="7"/>
  <c r="G8467" i="7"/>
  <c r="G8468" i="7"/>
  <c r="G8469" i="7"/>
  <c r="G8470" i="7"/>
  <c r="G8471" i="7"/>
  <c r="G8472" i="7"/>
  <c r="G8473" i="7"/>
  <c r="G8474" i="7"/>
  <c r="G8475" i="7"/>
  <c r="G8476" i="7"/>
  <c r="G8477" i="7"/>
  <c r="G8478" i="7"/>
  <c r="G8479" i="7"/>
  <c r="G8480" i="7"/>
  <c r="G8481" i="7"/>
  <c r="G8482" i="7"/>
  <c r="G8483" i="7"/>
  <c r="G8484" i="7"/>
  <c r="G8485" i="7"/>
  <c r="G8486" i="7"/>
  <c r="G8487" i="7"/>
  <c r="G8488" i="7"/>
  <c r="G8489" i="7"/>
  <c r="G8490" i="7"/>
  <c r="G8491" i="7"/>
  <c r="G8492" i="7"/>
  <c r="G8493" i="7"/>
  <c r="G8494" i="7"/>
  <c r="G8495" i="7"/>
  <c r="G8496" i="7"/>
  <c r="G8497" i="7"/>
  <c r="G8498" i="7"/>
  <c r="G8499" i="7"/>
  <c r="G8500" i="7"/>
  <c r="G8501" i="7"/>
  <c r="G8502" i="7"/>
  <c r="G8503" i="7"/>
  <c r="G8504" i="7"/>
  <c r="G8505" i="7"/>
  <c r="G8506" i="7"/>
  <c r="G8507" i="7"/>
  <c r="G8508" i="7"/>
  <c r="G8509" i="7"/>
  <c r="G8510" i="7"/>
  <c r="G8511" i="7"/>
  <c r="G8512" i="7"/>
  <c r="G8513" i="7"/>
  <c r="G8514" i="7"/>
  <c r="G8515" i="7"/>
  <c r="G8516" i="7"/>
  <c r="G8517" i="7"/>
  <c r="G8518" i="7"/>
  <c r="G8519" i="7"/>
  <c r="G8520" i="7"/>
  <c r="G8521" i="7"/>
  <c r="G8522" i="7"/>
  <c r="G8523" i="7"/>
  <c r="G8524" i="7"/>
  <c r="G8525" i="7"/>
  <c r="G8526" i="7"/>
  <c r="G8527" i="7"/>
  <c r="G8528" i="7"/>
  <c r="G8529" i="7"/>
  <c r="G8530" i="7"/>
  <c r="G8531" i="7"/>
  <c r="G8532" i="7"/>
  <c r="G8533" i="7"/>
  <c r="G8534" i="7"/>
  <c r="G8535" i="7"/>
  <c r="G8536" i="7"/>
  <c r="G8537" i="7"/>
  <c r="G8538" i="7"/>
  <c r="G8539" i="7"/>
  <c r="G8540" i="7"/>
  <c r="G8541" i="7"/>
  <c r="G8542" i="7"/>
  <c r="G8543" i="7"/>
  <c r="G8544" i="7"/>
  <c r="G8545" i="7"/>
  <c r="G8546" i="7"/>
  <c r="G8547" i="7"/>
  <c r="G8548" i="7"/>
  <c r="G8549" i="7"/>
  <c r="G8550" i="7"/>
  <c r="G8551" i="7"/>
  <c r="G8552" i="7"/>
  <c r="G8553" i="7"/>
  <c r="G8554" i="7"/>
  <c r="G8555" i="7"/>
  <c r="G8556" i="7"/>
  <c r="G8557" i="7"/>
  <c r="G8558" i="7"/>
  <c r="G8559" i="7"/>
  <c r="G8560" i="7"/>
  <c r="G8561" i="7"/>
  <c r="G8562" i="7"/>
  <c r="G8563" i="7"/>
  <c r="G8564" i="7"/>
  <c r="G8565" i="7"/>
  <c r="G8566" i="7"/>
  <c r="G8567" i="7"/>
  <c r="G8568" i="7"/>
  <c r="G8569" i="7"/>
  <c r="G8570" i="7"/>
  <c r="G8571" i="7"/>
  <c r="G8572" i="7"/>
  <c r="G8573" i="7"/>
  <c r="G8574" i="7"/>
  <c r="G8575" i="7"/>
  <c r="G8576" i="7"/>
  <c r="G8577" i="7"/>
  <c r="G8578" i="7"/>
  <c r="G8579" i="7"/>
  <c r="G8580" i="7"/>
  <c r="G8581" i="7"/>
  <c r="G8582" i="7"/>
  <c r="G8583" i="7"/>
  <c r="G8584" i="7"/>
  <c r="G8585" i="7"/>
  <c r="G8586" i="7"/>
  <c r="G8587" i="7"/>
  <c r="G8588" i="7"/>
  <c r="G8589" i="7"/>
  <c r="G8590" i="7"/>
  <c r="G8591" i="7"/>
  <c r="G8592" i="7"/>
  <c r="G8593" i="7"/>
  <c r="G8594" i="7"/>
  <c r="G8595" i="7"/>
  <c r="G8596" i="7"/>
  <c r="G8597" i="7"/>
  <c r="G8598" i="7"/>
  <c r="G8599" i="7"/>
  <c r="G8600" i="7"/>
  <c r="G8601" i="7"/>
  <c r="G8602" i="7"/>
  <c r="G8603" i="7"/>
  <c r="G8604" i="7"/>
  <c r="G8605" i="7"/>
  <c r="G8606" i="7"/>
  <c r="G8607" i="7"/>
  <c r="G8608" i="7"/>
  <c r="G8609" i="7"/>
  <c r="G8610" i="7"/>
  <c r="G8611" i="7"/>
  <c r="G8612" i="7"/>
  <c r="G8613" i="7"/>
  <c r="G8614" i="7"/>
  <c r="G8615" i="7"/>
  <c r="G8616" i="7"/>
  <c r="G8617" i="7"/>
  <c r="G8618" i="7"/>
  <c r="G8619" i="7"/>
  <c r="G8620" i="7"/>
  <c r="G8621" i="7"/>
  <c r="G8622" i="7"/>
  <c r="G8623" i="7"/>
  <c r="G8624" i="7"/>
  <c r="G8625" i="7"/>
  <c r="G8626" i="7"/>
  <c r="G8627" i="7"/>
  <c r="G8628" i="7"/>
  <c r="G8629" i="7"/>
  <c r="G8630" i="7"/>
  <c r="G8631" i="7"/>
  <c r="G8632" i="7"/>
  <c r="G8633" i="7"/>
  <c r="G8634" i="7"/>
  <c r="G8635" i="7"/>
  <c r="G8636" i="7"/>
  <c r="G8637" i="7"/>
  <c r="G8638" i="7"/>
  <c r="G8639" i="7"/>
  <c r="G8640" i="7"/>
  <c r="G8641" i="7"/>
  <c r="G8642" i="7"/>
  <c r="G8643" i="7"/>
  <c r="G8644" i="7"/>
  <c r="G8645" i="7"/>
  <c r="G8646" i="7"/>
  <c r="G8647" i="7"/>
  <c r="G8648" i="7"/>
  <c r="G8649" i="7"/>
  <c r="G8650" i="7"/>
  <c r="G8651" i="7"/>
  <c r="G8652" i="7"/>
  <c r="G8653" i="7"/>
  <c r="G8654" i="7"/>
  <c r="G8655" i="7"/>
  <c r="G8656" i="7"/>
  <c r="G8657" i="7"/>
  <c r="G8658" i="7"/>
  <c r="G8659" i="7"/>
  <c r="G8660" i="7"/>
  <c r="G8661" i="7"/>
  <c r="G8662" i="7"/>
  <c r="G8663" i="7"/>
  <c r="G8664" i="7"/>
  <c r="G8665" i="7"/>
  <c r="G8666" i="7"/>
  <c r="G8667" i="7"/>
  <c r="G8668" i="7"/>
  <c r="G8669" i="7"/>
  <c r="G8670" i="7"/>
  <c r="G8671" i="7"/>
  <c r="G8672" i="7"/>
  <c r="G8673" i="7"/>
  <c r="G8674" i="7"/>
  <c r="G8675" i="7"/>
  <c r="G8676" i="7"/>
  <c r="G8677" i="7"/>
  <c r="G8678" i="7"/>
  <c r="G8679" i="7"/>
  <c r="G8680" i="7"/>
  <c r="G8681" i="7"/>
  <c r="G8682" i="7"/>
  <c r="G8683" i="7"/>
  <c r="G8684" i="7"/>
  <c r="G8685" i="7"/>
  <c r="G8686" i="7"/>
  <c r="G8687" i="7"/>
  <c r="G8688" i="7"/>
  <c r="G8689" i="7"/>
  <c r="G8690" i="7"/>
  <c r="G8691" i="7"/>
  <c r="G8692" i="7"/>
  <c r="G8693" i="7"/>
  <c r="G8694" i="7"/>
  <c r="G8695" i="7"/>
  <c r="G8696" i="7"/>
  <c r="G8697" i="7"/>
  <c r="G8698" i="7"/>
  <c r="G8699" i="7"/>
  <c r="G8700" i="7"/>
  <c r="G8701" i="7"/>
  <c r="G8702" i="7"/>
  <c r="G8703" i="7"/>
  <c r="G8704" i="7"/>
  <c r="G8705" i="7"/>
  <c r="G8706" i="7"/>
  <c r="G8707" i="7"/>
  <c r="G8708" i="7"/>
  <c r="G8709" i="7"/>
  <c r="G8710" i="7"/>
  <c r="G8711" i="7"/>
  <c r="G8712" i="7"/>
  <c r="G8713" i="7"/>
  <c r="G8714" i="7"/>
  <c r="G8715" i="7"/>
  <c r="G8716" i="7"/>
  <c r="G8717" i="7"/>
  <c r="G8718" i="7"/>
  <c r="G8719" i="7"/>
  <c r="G8720" i="7"/>
  <c r="G8721" i="7"/>
  <c r="G8722" i="7"/>
  <c r="G8723" i="7"/>
  <c r="G8724" i="7"/>
  <c r="G8725" i="7"/>
  <c r="G8726" i="7"/>
  <c r="G8727" i="7"/>
  <c r="G8728" i="7"/>
  <c r="G8729" i="7"/>
  <c r="G8730" i="7"/>
  <c r="G8731" i="7"/>
  <c r="G8732" i="7"/>
  <c r="G8733" i="7"/>
  <c r="G8734" i="7"/>
  <c r="G8735" i="7"/>
  <c r="G8736" i="7"/>
  <c r="G8737" i="7"/>
  <c r="G8738" i="7"/>
  <c r="G8739" i="7"/>
  <c r="G8740" i="7"/>
  <c r="G8741" i="7"/>
  <c r="G8742" i="7"/>
  <c r="G8743" i="7"/>
  <c r="G8744" i="7"/>
  <c r="G8745" i="7"/>
  <c r="G8746" i="7"/>
  <c r="G8747" i="7"/>
  <c r="G8748" i="7"/>
  <c r="G8749" i="7"/>
  <c r="G8750" i="7"/>
  <c r="G8751" i="7"/>
  <c r="G8752" i="7"/>
  <c r="G8753" i="7"/>
  <c r="G8754" i="7"/>
  <c r="G8755" i="7"/>
  <c r="G8756" i="7"/>
  <c r="G8757" i="7"/>
  <c r="G8758" i="7"/>
  <c r="G8759" i="7"/>
  <c r="G8760" i="7"/>
  <c r="G8761" i="7"/>
  <c r="G8762" i="7"/>
  <c r="G8763" i="7"/>
  <c r="G8764" i="7"/>
  <c r="G8765" i="7"/>
  <c r="G8766" i="7"/>
  <c r="G8767" i="7"/>
  <c r="G8768" i="7"/>
  <c r="G8769" i="7"/>
  <c r="G8770" i="7"/>
  <c r="G8771" i="7"/>
  <c r="G8772" i="7"/>
  <c r="G8773" i="7"/>
  <c r="G8774" i="7"/>
  <c r="G8775" i="7"/>
  <c r="G8776" i="7"/>
  <c r="G8777" i="7"/>
  <c r="G8778" i="7"/>
  <c r="G8779" i="7"/>
  <c r="G8780" i="7"/>
  <c r="G8781" i="7"/>
  <c r="G8782" i="7"/>
  <c r="G8783" i="7"/>
  <c r="G8784" i="7"/>
  <c r="G8785" i="7"/>
  <c r="G8786" i="7"/>
  <c r="G8787" i="7"/>
  <c r="G8788" i="7"/>
  <c r="G8789" i="7"/>
  <c r="G8790" i="7"/>
  <c r="G8791" i="7"/>
  <c r="G8792" i="7"/>
  <c r="G8793" i="7"/>
  <c r="G8794" i="7"/>
  <c r="G8795" i="7"/>
  <c r="G8796" i="7"/>
  <c r="G8797" i="7"/>
  <c r="G8798" i="7"/>
  <c r="G8799" i="7"/>
  <c r="G8800" i="7"/>
  <c r="G8801" i="7"/>
  <c r="G8802" i="7"/>
  <c r="G8803" i="7"/>
  <c r="G8804" i="7"/>
  <c r="G8805" i="7"/>
  <c r="G8806" i="7"/>
  <c r="G8807" i="7"/>
  <c r="G8808" i="7"/>
  <c r="G8809" i="7"/>
  <c r="G8810" i="7"/>
  <c r="G8811" i="7"/>
  <c r="G8812" i="7"/>
  <c r="G8813" i="7"/>
  <c r="G8814" i="7"/>
  <c r="G8815" i="7"/>
  <c r="G8816" i="7"/>
  <c r="G8817" i="7"/>
  <c r="G8818" i="7"/>
  <c r="G8819" i="7"/>
  <c r="G8820" i="7"/>
  <c r="G8821" i="7"/>
  <c r="G8822" i="7"/>
  <c r="G8823" i="7"/>
  <c r="G8824" i="7"/>
  <c r="G8825" i="7"/>
  <c r="G8826" i="7"/>
  <c r="G8827" i="7"/>
  <c r="G8828" i="7"/>
  <c r="G8829" i="7"/>
  <c r="G8830" i="7"/>
  <c r="G8831" i="7"/>
  <c r="G8832" i="7"/>
  <c r="G8833" i="7"/>
  <c r="G8834" i="7"/>
  <c r="G8835" i="7"/>
  <c r="G8836" i="7"/>
  <c r="G8837" i="7"/>
  <c r="G8838" i="7"/>
  <c r="G8839" i="7"/>
  <c r="G8840" i="7"/>
  <c r="G8841" i="7"/>
  <c r="G8842" i="7"/>
  <c r="G8843" i="7"/>
  <c r="G8844" i="7"/>
  <c r="G8845" i="7"/>
  <c r="G8846" i="7"/>
  <c r="G8847" i="7"/>
  <c r="G8848" i="7"/>
  <c r="G8849" i="7"/>
  <c r="G8850" i="7"/>
  <c r="G8851" i="7"/>
  <c r="G8852" i="7"/>
  <c r="G8853" i="7"/>
  <c r="G8854" i="7"/>
  <c r="G8855" i="7"/>
  <c r="G8856" i="7"/>
  <c r="G8857" i="7"/>
  <c r="G8858" i="7"/>
  <c r="G8859" i="7"/>
  <c r="G8860" i="7"/>
  <c r="G8861" i="7"/>
  <c r="G8862" i="7"/>
  <c r="G8863" i="7"/>
  <c r="G8864" i="7"/>
  <c r="G8865" i="7"/>
  <c r="G8866" i="7"/>
  <c r="G8867" i="7"/>
  <c r="G8868" i="7"/>
  <c r="G8869" i="7"/>
  <c r="G8870" i="7"/>
  <c r="G8871" i="7"/>
  <c r="G8872" i="7"/>
  <c r="G8873" i="7"/>
  <c r="G8874" i="7"/>
  <c r="G8875" i="7"/>
  <c r="G8876" i="7"/>
  <c r="G8877" i="7"/>
  <c r="G8878" i="7"/>
  <c r="G8879" i="7"/>
  <c r="G8880" i="7"/>
  <c r="G8881" i="7"/>
  <c r="G8882" i="7"/>
  <c r="G8883" i="7"/>
  <c r="G8884" i="7"/>
  <c r="G8885" i="7"/>
  <c r="G8886" i="7"/>
  <c r="G8887" i="7"/>
  <c r="G8888" i="7"/>
  <c r="G8889" i="7"/>
  <c r="G8890" i="7"/>
  <c r="G8891" i="7"/>
  <c r="G8892" i="7"/>
  <c r="G8893" i="7"/>
  <c r="G8894" i="7"/>
  <c r="G8895" i="7"/>
  <c r="G8896" i="7"/>
  <c r="G8897" i="7"/>
  <c r="G8898" i="7"/>
  <c r="G8899" i="7"/>
  <c r="G8900" i="7"/>
  <c r="G8901" i="7"/>
  <c r="G8902" i="7"/>
  <c r="G8903" i="7"/>
  <c r="G8904" i="7"/>
  <c r="G8905" i="7"/>
  <c r="G8906" i="7"/>
  <c r="G8907" i="7"/>
  <c r="G8908" i="7"/>
  <c r="G8909" i="7"/>
  <c r="G8910" i="7"/>
  <c r="G8911" i="7"/>
  <c r="G8912" i="7"/>
  <c r="G8913" i="7"/>
  <c r="G8914" i="7"/>
  <c r="G8915" i="7"/>
  <c r="G8916" i="7"/>
  <c r="G8917" i="7"/>
  <c r="G8918" i="7"/>
  <c r="G8919" i="7"/>
  <c r="G8920" i="7"/>
  <c r="G8921" i="7"/>
  <c r="G8922" i="7"/>
  <c r="G8923" i="7"/>
  <c r="G8924" i="7"/>
  <c r="G8925" i="7"/>
  <c r="G8926" i="7"/>
  <c r="G8927" i="7"/>
  <c r="G8928" i="7"/>
  <c r="G8929" i="7"/>
  <c r="G8930" i="7"/>
  <c r="G8931" i="7"/>
  <c r="G8932" i="7"/>
  <c r="G8933" i="7"/>
  <c r="G8934" i="7"/>
  <c r="G8935" i="7"/>
  <c r="G8936" i="7"/>
  <c r="G8937" i="7"/>
  <c r="G8938" i="7"/>
  <c r="G8939" i="7"/>
  <c r="G8940" i="7"/>
  <c r="G8941" i="7"/>
  <c r="G8942" i="7"/>
  <c r="G8943" i="7"/>
  <c r="G8944" i="7"/>
  <c r="G8945" i="7"/>
  <c r="G8946" i="7"/>
  <c r="G8947" i="7"/>
  <c r="G8948" i="7"/>
  <c r="G8949" i="7"/>
  <c r="G8950" i="7"/>
  <c r="G8951" i="7"/>
  <c r="G8952" i="7"/>
  <c r="G8953" i="7"/>
  <c r="G8954" i="7"/>
  <c r="G8955" i="7"/>
  <c r="G8956" i="7"/>
  <c r="G8957" i="7"/>
  <c r="G8958" i="7"/>
  <c r="G8959" i="7"/>
  <c r="G8960" i="7"/>
  <c r="G8961" i="7"/>
  <c r="G8962" i="7"/>
  <c r="G8963" i="7"/>
  <c r="G8964" i="7"/>
  <c r="G8965" i="7"/>
  <c r="G8966" i="7"/>
  <c r="G8967" i="7"/>
  <c r="G8968" i="7"/>
  <c r="G8969" i="7"/>
  <c r="G8970" i="7"/>
  <c r="G8971" i="7"/>
  <c r="G8972" i="7"/>
  <c r="G8973" i="7"/>
  <c r="G8974" i="7"/>
  <c r="G8975" i="7"/>
  <c r="G8976" i="7"/>
  <c r="G8977" i="7"/>
  <c r="G8978" i="7"/>
  <c r="G8979" i="7"/>
  <c r="G8980" i="7"/>
  <c r="G8981" i="7"/>
  <c r="G8982" i="7"/>
  <c r="G8983" i="7"/>
  <c r="G8984" i="7"/>
  <c r="G8985" i="7"/>
  <c r="G8986" i="7"/>
  <c r="G8987" i="7"/>
  <c r="G8988" i="7"/>
  <c r="G8989" i="7"/>
  <c r="G8990" i="7"/>
  <c r="G8991" i="7"/>
  <c r="G8992" i="7"/>
  <c r="G8993" i="7"/>
  <c r="G8994" i="7"/>
  <c r="G8995" i="7"/>
  <c r="G8996" i="7"/>
  <c r="G8997" i="7"/>
  <c r="G8998" i="7"/>
  <c r="G8999" i="7"/>
  <c r="G9000" i="7"/>
  <c r="G9001" i="7"/>
  <c r="G9002" i="7"/>
  <c r="G9003" i="7"/>
  <c r="G9004" i="7"/>
  <c r="G9005" i="7"/>
  <c r="G9006" i="7"/>
  <c r="G9007" i="7"/>
  <c r="G9008" i="7"/>
  <c r="G9009" i="7"/>
  <c r="G9010" i="7"/>
  <c r="G9011" i="7"/>
  <c r="G9012" i="7"/>
  <c r="G9013" i="7"/>
  <c r="G9014" i="7"/>
  <c r="G9015" i="7"/>
  <c r="G9016" i="7"/>
  <c r="G9017" i="7"/>
  <c r="G9018" i="7"/>
  <c r="G9019" i="7"/>
  <c r="G9020" i="7"/>
  <c r="G9021" i="7"/>
  <c r="G9022" i="7"/>
  <c r="G9023" i="7"/>
  <c r="G9024" i="7"/>
  <c r="G9025" i="7"/>
  <c r="G9026" i="7"/>
  <c r="G9027" i="7"/>
  <c r="G9028" i="7"/>
  <c r="G9029" i="7"/>
  <c r="G9030" i="7"/>
  <c r="G9031" i="7"/>
  <c r="G9032" i="7"/>
  <c r="G9033" i="7"/>
  <c r="G9034" i="7"/>
  <c r="G9035" i="7"/>
  <c r="G9036" i="7"/>
  <c r="G9037" i="7"/>
  <c r="G9038" i="7"/>
  <c r="G9039" i="7"/>
  <c r="G9040" i="7"/>
  <c r="G9041" i="7"/>
  <c r="G9042" i="7"/>
  <c r="G9043" i="7"/>
  <c r="G9044" i="7"/>
  <c r="G9045" i="7"/>
  <c r="G9046" i="7"/>
  <c r="G9047" i="7"/>
  <c r="G9048" i="7"/>
  <c r="G9049" i="7"/>
  <c r="G9050" i="7"/>
  <c r="G9051" i="7"/>
  <c r="G9052" i="7"/>
  <c r="G9053" i="7"/>
  <c r="G9054" i="7"/>
  <c r="G9055" i="7"/>
  <c r="G9056" i="7"/>
  <c r="G9057" i="7"/>
  <c r="G9058" i="7"/>
  <c r="G9059" i="7"/>
  <c r="G9060" i="7"/>
  <c r="G9061" i="7"/>
  <c r="G9062" i="7"/>
  <c r="G9063" i="7"/>
  <c r="G9064" i="7"/>
  <c r="G9065" i="7"/>
  <c r="G9066" i="7"/>
  <c r="G9067" i="7"/>
  <c r="G9068" i="7"/>
  <c r="G9069" i="7"/>
  <c r="G9070" i="7"/>
  <c r="G9071" i="7"/>
  <c r="G9072" i="7"/>
  <c r="G9073" i="7"/>
  <c r="G9074" i="7"/>
  <c r="G9075" i="7"/>
  <c r="G9076" i="7"/>
  <c r="G9077" i="7"/>
  <c r="G9078" i="7"/>
  <c r="G9079" i="7"/>
  <c r="G9080" i="7"/>
  <c r="G9081" i="7"/>
  <c r="G9082" i="7"/>
  <c r="G9083" i="7"/>
  <c r="G9084" i="7"/>
  <c r="G9085" i="7"/>
  <c r="G9086" i="7"/>
  <c r="G9087" i="7"/>
  <c r="G9088" i="7"/>
  <c r="G9089" i="7"/>
  <c r="G9090" i="7"/>
  <c r="G9091" i="7"/>
  <c r="G9092" i="7"/>
  <c r="G9093" i="7"/>
  <c r="G9094" i="7"/>
  <c r="G9095" i="7"/>
  <c r="G9096" i="7"/>
  <c r="G9097" i="7"/>
  <c r="G9098" i="7"/>
  <c r="G9099" i="7"/>
  <c r="G9100" i="7"/>
  <c r="G9101" i="7"/>
  <c r="G9102" i="7"/>
  <c r="G9103" i="7"/>
  <c r="G9104" i="7"/>
  <c r="G9105" i="7"/>
  <c r="G9106" i="7"/>
  <c r="G9107" i="7"/>
  <c r="G9108" i="7"/>
  <c r="G9109" i="7"/>
  <c r="G9110" i="7"/>
  <c r="G9111" i="7"/>
  <c r="G9112" i="7"/>
  <c r="G9113" i="7"/>
  <c r="G9114" i="7"/>
  <c r="G9115" i="7"/>
  <c r="G9116" i="7"/>
  <c r="G9117" i="7"/>
  <c r="G9118" i="7"/>
  <c r="G9119" i="7"/>
  <c r="G9120" i="7"/>
  <c r="G9121" i="7"/>
  <c r="G9122" i="7"/>
  <c r="G9123" i="7"/>
  <c r="G9124" i="7"/>
  <c r="G9125" i="7"/>
  <c r="G9126" i="7"/>
  <c r="G9127" i="7"/>
  <c r="G9128" i="7"/>
  <c r="G9129" i="7"/>
  <c r="G9130" i="7"/>
  <c r="G9131" i="7"/>
  <c r="G9132" i="7"/>
  <c r="G9133" i="7"/>
  <c r="G9134" i="7"/>
  <c r="G9135" i="7"/>
  <c r="G9136" i="7"/>
  <c r="G9137" i="7"/>
  <c r="G9138" i="7"/>
  <c r="G9139" i="7"/>
  <c r="G9140" i="7"/>
  <c r="G9141" i="7"/>
  <c r="G9142" i="7"/>
  <c r="G9143" i="7"/>
  <c r="G9144" i="7"/>
  <c r="G9145" i="7"/>
  <c r="G9146" i="7"/>
  <c r="G9147" i="7"/>
  <c r="G9148" i="7"/>
  <c r="G9149" i="7"/>
  <c r="G9150" i="7"/>
  <c r="G9151" i="7"/>
  <c r="G9152" i="7"/>
  <c r="G9153" i="7"/>
  <c r="G9154" i="7"/>
  <c r="G9155" i="7"/>
  <c r="G9156" i="7"/>
  <c r="G9157" i="7"/>
  <c r="G9158" i="7"/>
  <c r="G9159" i="7"/>
  <c r="G9160" i="7"/>
  <c r="G9161" i="7"/>
  <c r="G9162" i="7"/>
  <c r="G9163" i="7"/>
  <c r="G9164" i="7"/>
  <c r="G9165" i="7"/>
  <c r="G9166" i="7"/>
  <c r="G9167" i="7"/>
  <c r="G9168" i="7"/>
  <c r="G9169" i="7"/>
  <c r="G9170" i="7"/>
  <c r="G9171" i="7"/>
  <c r="G9172" i="7"/>
  <c r="G9173" i="7"/>
  <c r="G9174" i="7"/>
  <c r="G9175" i="7"/>
  <c r="G9176" i="7"/>
  <c r="G9177" i="7"/>
  <c r="G9178" i="7"/>
  <c r="G9179" i="7"/>
  <c r="G9180" i="7"/>
  <c r="G9181" i="7"/>
  <c r="G9182" i="7"/>
  <c r="G9183" i="7"/>
  <c r="G9184" i="7"/>
  <c r="G9185" i="7"/>
  <c r="G9186" i="7"/>
  <c r="G9187" i="7"/>
  <c r="G9188" i="7"/>
  <c r="G9189" i="7"/>
  <c r="G9190" i="7"/>
  <c r="G9191" i="7"/>
  <c r="G9192" i="7"/>
  <c r="G9193" i="7"/>
  <c r="G9194" i="7"/>
  <c r="G9195" i="7"/>
  <c r="G9196" i="7"/>
  <c r="G9197" i="7"/>
  <c r="G9198" i="7"/>
  <c r="G9199" i="7"/>
  <c r="G9200" i="7"/>
  <c r="G9201" i="7"/>
  <c r="G9202" i="7"/>
  <c r="G9203" i="7"/>
  <c r="G9204" i="7"/>
  <c r="G9205" i="7"/>
  <c r="G9206" i="7"/>
  <c r="G9207" i="7"/>
  <c r="G9208" i="7"/>
  <c r="G9209" i="7"/>
  <c r="G9210" i="7"/>
  <c r="G9211" i="7"/>
  <c r="G9212" i="7"/>
  <c r="G9213" i="7"/>
  <c r="G9214" i="7"/>
  <c r="G9215" i="7"/>
  <c r="G9216" i="7"/>
  <c r="G9217" i="7"/>
  <c r="G9218" i="7"/>
  <c r="G9219" i="7"/>
  <c r="G9220" i="7"/>
  <c r="G9221" i="7"/>
  <c r="G9222" i="7"/>
  <c r="G9223" i="7"/>
  <c r="G9224" i="7"/>
  <c r="G9225" i="7"/>
  <c r="G9226" i="7"/>
  <c r="G9227" i="7"/>
  <c r="G9228" i="7"/>
  <c r="G9229" i="7"/>
  <c r="G9230" i="7"/>
  <c r="G9231" i="7"/>
  <c r="G9232" i="7"/>
  <c r="G9233" i="7"/>
  <c r="G9234" i="7"/>
  <c r="G9235" i="7"/>
  <c r="G9236" i="7"/>
  <c r="G9237" i="7"/>
  <c r="G9238" i="7"/>
  <c r="G9239" i="7"/>
  <c r="G9240" i="7"/>
  <c r="G9241" i="7"/>
  <c r="G9242" i="7"/>
  <c r="G9243" i="7"/>
  <c r="G9244" i="7"/>
  <c r="G9245" i="7"/>
  <c r="G9246" i="7"/>
  <c r="G9247" i="7"/>
  <c r="G9248" i="7"/>
  <c r="G9249" i="7"/>
  <c r="G9250" i="7"/>
  <c r="G9251" i="7"/>
  <c r="G9252" i="7"/>
  <c r="G9253" i="7"/>
  <c r="G9254" i="7"/>
  <c r="G9255" i="7"/>
  <c r="G9256" i="7"/>
  <c r="G9257" i="7"/>
  <c r="G9258" i="7"/>
  <c r="G9259" i="7"/>
  <c r="G9260" i="7"/>
  <c r="G9261" i="7"/>
  <c r="G9262" i="7"/>
  <c r="G9263" i="7"/>
  <c r="G9264" i="7"/>
  <c r="G9265" i="7"/>
  <c r="G9266" i="7"/>
  <c r="G9267" i="7"/>
  <c r="G9268" i="7"/>
  <c r="G9269" i="7"/>
  <c r="G9270" i="7"/>
  <c r="G9271" i="7"/>
  <c r="G9272" i="7"/>
  <c r="G9273" i="7"/>
  <c r="G9274" i="7"/>
  <c r="G9275" i="7"/>
  <c r="G9276" i="7"/>
  <c r="G9277" i="7"/>
  <c r="G9278" i="7"/>
  <c r="G9279" i="7"/>
  <c r="G9280" i="7"/>
  <c r="G9281" i="7"/>
  <c r="G9282" i="7"/>
  <c r="G9283" i="7"/>
  <c r="G9284" i="7"/>
  <c r="G9285" i="7"/>
  <c r="G9286" i="7"/>
  <c r="G9287" i="7"/>
  <c r="G9288" i="7"/>
  <c r="G9289" i="7"/>
  <c r="G9290" i="7"/>
  <c r="G9291" i="7"/>
  <c r="G9292" i="7"/>
  <c r="G9293" i="7"/>
  <c r="G9294" i="7"/>
  <c r="G9295" i="7"/>
  <c r="G9296" i="7"/>
  <c r="G9297" i="7"/>
  <c r="G9298" i="7"/>
  <c r="G9299" i="7"/>
  <c r="G9300" i="7"/>
  <c r="G9301" i="7"/>
  <c r="G9302" i="7"/>
  <c r="G9303" i="7"/>
  <c r="G9304" i="7"/>
  <c r="G9305" i="7"/>
  <c r="G9306" i="7"/>
  <c r="G9307" i="7"/>
  <c r="G9308" i="7"/>
  <c r="G9309" i="7"/>
  <c r="G9310" i="7"/>
  <c r="G9311" i="7"/>
  <c r="G9312" i="7"/>
  <c r="G9313" i="7"/>
  <c r="G9314" i="7"/>
  <c r="G9315" i="7"/>
  <c r="G9316" i="7"/>
  <c r="G9317" i="7"/>
  <c r="G9318" i="7"/>
  <c r="G9319" i="7"/>
  <c r="G9320" i="7"/>
  <c r="G9321" i="7"/>
  <c r="G9322" i="7"/>
  <c r="G9323" i="7"/>
  <c r="G9324" i="7"/>
  <c r="G9325" i="7"/>
  <c r="G9326" i="7"/>
  <c r="G9327" i="7"/>
  <c r="G9328" i="7"/>
  <c r="G9329" i="7"/>
  <c r="G9330" i="7"/>
  <c r="G9331" i="7"/>
  <c r="G9332" i="7"/>
  <c r="G9333" i="7"/>
  <c r="G9334" i="7"/>
  <c r="G9335" i="7"/>
  <c r="G9336" i="7"/>
  <c r="G9337" i="7"/>
  <c r="G9338" i="7"/>
  <c r="G9339" i="7"/>
  <c r="G9340" i="7"/>
  <c r="G9341" i="7"/>
  <c r="G9342" i="7"/>
  <c r="G9343" i="7"/>
  <c r="G9344" i="7"/>
  <c r="G9345" i="7"/>
  <c r="G9346" i="7"/>
  <c r="G9347" i="7"/>
  <c r="G9348" i="7"/>
  <c r="G9349" i="7"/>
  <c r="G9350" i="7"/>
  <c r="G9351" i="7"/>
  <c r="G9352" i="7"/>
  <c r="G9353" i="7"/>
  <c r="G9354" i="7"/>
  <c r="G9355" i="7"/>
  <c r="G9356" i="7"/>
  <c r="G9357" i="7"/>
  <c r="G9358" i="7"/>
  <c r="G9359" i="7"/>
  <c r="G9360" i="7"/>
  <c r="G9361" i="7"/>
  <c r="G9362" i="7"/>
  <c r="G9363" i="7"/>
  <c r="G9364" i="7"/>
  <c r="G9365" i="7"/>
  <c r="G9366" i="7"/>
  <c r="G9367" i="7"/>
  <c r="G9368" i="7"/>
  <c r="G9369" i="7"/>
  <c r="G9370" i="7"/>
  <c r="G9371" i="7"/>
  <c r="G9372" i="7"/>
  <c r="G9373" i="7"/>
  <c r="G9374" i="7"/>
  <c r="G9375" i="7"/>
  <c r="G9376" i="7"/>
  <c r="G9377" i="7"/>
  <c r="G9378" i="7"/>
  <c r="G9379" i="7"/>
  <c r="G9380" i="7"/>
  <c r="G9381" i="7"/>
  <c r="G9382" i="7"/>
  <c r="G9383" i="7"/>
  <c r="G9384" i="7"/>
  <c r="G9385" i="7"/>
  <c r="G9386" i="7"/>
  <c r="G9387" i="7"/>
  <c r="G9388" i="7"/>
  <c r="G9389" i="7"/>
  <c r="G9390" i="7"/>
  <c r="G9391" i="7"/>
  <c r="G9392" i="7"/>
  <c r="G9393" i="7"/>
  <c r="G9394" i="7"/>
  <c r="G9395" i="7"/>
  <c r="G9396" i="7"/>
  <c r="G9397" i="7"/>
  <c r="G9398" i="7"/>
  <c r="G9399" i="7"/>
  <c r="G9400" i="7"/>
  <c r="G9401" i="7"/>
  <c r="G9402" i="7"/>
  <c r="G9403" i="7"/>
  <c r="G9404" i="7"/>
  <c r="G9405" i="7"/>
  <c r="G9406" i="7"/>
  <c r="G9407" i="7"/>
  <c r="G9408" i="7"/>
  <c r="G9409" i="7"/>
  <c r="G9410" i="7"/>
  <c r="G9411" i="7"/>
  <c r="G9412" i="7"/>
  <c r="G9413" i="7"/>
  <c r="G9414" i="7"/>
  <c r="G9415" i="7"/>
  <c r="G9416" i="7"/>
  <c r="G9417" i="7"/>
  <c r="G9418" i="7"/>
  <c r="G9419" i="7"/>
  <c r="G9420" i="7"/>
  <c r="G9421" i="7"/>
  <c r="G9422" i="7"/>
  <c r="G9423" i="7"/>
  <c r="G9424" i="7"/>
  <c r="G9425" i="7"/>
  <c r="G9426" i="7"/>
  <c r="G9427" i="7"/>
  <c r="G9428" i="7"/>
  <c r="G9429" i="7"/>
  <c r="G9430" i="7"/>
  <c r="G9431" i="7"/>
  <c r="G9432" i="7"/>
  <c r="G9433" i="7"/>
  <c r="G9434" i="7"/>
  <c r="G9435" i="7"/>
  <c r="G9436" i="7"/>
  <c r="G9437" i="7"/>
  <c r="G9438" i="7"/>
  <c r="G9439" i="7"/>
  <c r="G9440" i="7"/>
  <c r="G9441" i="7"/>
  <c r="G9442" i="7"/>
  <c r="G9443" i="7"/>
  <c r="G9444" i="7"/>
  <c r="G9445" i="7"/>
  <c r="G9446" i="7"/>
  <c r="G9447" i="7"/>
  <c r="G9448" i="7"/>
  <c r="G9449" i="7"/>
  <c r="G9450" i="7"/>
  <c r="G9451" i="7"/>
  <c r="G9452" i="7"/>
  <c r="G9453" i="7"/>
  <c r="G9454" i="7"/>
  <c r="G9455" i="7"/>
  <c r="G9456" i="7"/>
  <c r="G9457" i="7"/>
  <c r="G9458" i="7"/>
  <c r="G9459" i="7"/>
  <c r="G9460" i="7"/>
  <c r="G9461" i="7"/>
  <c r="G9462" i="7"/>
  <c r="G9463" i="7"/>
  <c r="G9464" i="7"/>
  <c r="G9465" i="7"/>
  <c r="M3616" i="7" l="1"/>
  <c r="M3617" i="7"/>
  <c r="M3618" i="7"/>
  <c r="M3619" i="7"/>
  <c r="M3620" i="7"/>
  <c r="M3621" i="7"/>
  <c r="M3622" i="7"/>
  <c r="M3623" i="7"/>
  <c r="M3624" i="7"/>
  <c r="M3625" i="7"/>
  <c r="M3626" i="7"/>
  <c r="M3627" i="7"/>
  <c r="M3628" i="7"/>
  <c r="M3629" i="7"/>
  <c r="M3630" i="7"/>
  <c r="M3631" i="7"/>
  <c r="M3632" i="7"/>
  <c r="M3633" i="7"/>
  <c r="M3634" i="7"/>
  <c r="M3635" i="7"/>
  <c r="M3636" i="7"/>
  <c r="M3637" i="7"/>
  <c r="M3638" i="7"/>
  <c r="M3639" i="7"/>
  <c r="M3640" i="7"/>
  <c r="M3641" i="7"/>
  <c r="M3642" i="7"/>
  <c r="M3643" i="7"/>
  <c r="M3644" i="7"/>
  <c r="M3645" i="7"/>
  <c r="M3646" i="7"/>
  <c r="M3647" i="7"/>
  <c r="M3648" i="7"/>
  <c r="M3649" i="7"/>
  <c r="M3650" i="7"/>
  <c r="M3651" i="7"/>
  <c r="M3652" i="7"/>
  <c r="M3738" i="7"/>
  <c r="M3739" i="7"/>
  <c r="M3740" i="7"/>
  <c r="M3741" i="7"/>
  <c r="M3742" i="7"/>
  <c r="M3743" i="7"/>
  <c r="M3744" i="7"/>
  <c r="M3745" i="7"/>
  <c r="M149" i="5"/>
  <c r="O89" i="5"/>
  <c r="M3653" i="7"/>
  <c r="M3654" i="7"/>
  <c r="M3655" i="7"/>
  <c r="M3656" i="7"/>
  <c r="M3657" i="7"/>
  <c r="M3658" i="7"/>
  <c r="M3659" i="7"/>
  <c r="M3660" i="7"/>
  <c r="M3661" i="7"/>
  <c r="M3662" i="7"/>
  <c r="M3663" i="7"/>
  <c r="M3664" i="7"/>
  <c r="M3665" i="7"/>
  <c r="M3666" i="7"/>
  <c r="M3667" i="7"/>
  <c r="M3668" i="7"/>
  <c r="M3669" i="7"/>
  <c r="M3670" i="7"/>
  <c r="M3671" i="7"/>
  <c r="M3672" i="7"/>
  <c r="M3673" i="7"/>
  <c r="M3674" i="7"/>
  <c r="M3675" i="7"/>
  <c r="M3676" i="7"/>
  <c r="M3677" i="7"/>
  <c r="M3678" i="7"/>
  <c r="M3679" i="7"/>
  <c r="M3680" i="7"/>
  <c r="M3681" i="7"/>
  <c r="M3682" i="7"/>
  <c r="M3683" i="7"/>
  <c r="M3684" i="7"/>
  <c r="M3685" i="7"/>
  <c r="M3686" i="7"/>
  <c r="M3687" i="7"/>
  <c r="M3688" i="7"/>
  <c r="M3689" i="7"/>
  <c r="M3690" i="7"/>
  <c r="M3691" i="7"/>
  <c r="M3692" i="7"/>
  <c r="M3693" i="7"/>
  <c r="M3694" i="7"/>
  <c r="M3695" i="7"/>
  <c r="M3696" i="7"/>
  <c r="M3697" i="7"/>
  <c r="M3698" i="7"/>
  <c r="M3699" i="7"/>
  <c r="M3700" i="7"/>
  <c r="M3701" i="7"/>
  <c r="M3702" i="7"/>
  <c r="M3703" i="7"/>
  <c r="M3704" i="7"/>
  <c r="M3705" i="7"/>
  <c r="M3706" i="7"/>
  <c r="M3707" i="7"/>
  <c r="M3708" i="7"/>
  <c r="M3709" i="7"/>
  <c r="M3710" i="7"/>
  <c r="M3711" i="7"/>
  <c r="M3712" i="7"/>
  <c r="M3713" i="7"/>
  <c r="M3714" i="7"/>
  <c r="M3715" i="7"/>
  <c r="M3716" i="7"/>
  <c r="M3717" i="7"/>
  <c r="M3718" i="7"/>
  <c r="M3719" i="7"/>
  <c r="M3720" i="7"/>
  <c r="M3721" i="7"/>
  <c r="M3722" i="7"/>
  <c r="M3723" i="7"/>
  <c r="M3724" i="7"/>
  <c r="M3725" i="7"/>
  <c r="M3726" i="7"/>
  <c r="M3727" i="7"/>
  <c r="M3728" i="7"/>
  <c r="M3729" i="7"/>
  <c r="M3730" i="7"/>
  <c r="M3731" i="7"/>
  <c r="M3732" i="7"/>
  <c r="M3733" i="7"/>
  <c r="M3734" i="7"/>
  <c r="M3735" i="7"/>
  <c r="M3736" i="7"/>
  <c r="M3737" i="7"/>
  <c r="M10" i="7"/>
  <c r="M12" i="7"/>
  <c r="M15" i="7"/>
  <c r="M17" i="7"/>
  <c r="M20" i="7"/>
  <c r="M22" i="7"/>
  <c r="M23" i="7"/>
  <c r="M24" i="7"/>
  <c r="M25" i="7"/>
  <c r="M26" i="7"/>
  <c r="M27" i="7"/>
  <c r="M36" i="7"/>
  <c r="M37" i="7"/>
  <c r="M45" i="7"/>
  <c r="M46" i="7"/>
  <c r="M47" i="7"/>
  <c r="M51" i="7"/>
  <c r="M54" i="7"/>
  <c r="M56" i="7"/>
  <c r="M57" i="7"/>
  <c r="M61" i="7"/>
  <c r="M65" i="7"/>
  <c r="M67" i="7"/>
  <c r="M72" i="7"/>
  <c r="M74" i="7"/>
  <c r="M75" i="7"/>
  <c r="M76" i="7"/>
  <c r="M77" i="7"/>
  <c r="M78" i="7"/>
  <c r="M80" i="7"/>
  <c r="M81" i="7"/>
  <c r="M82" i="7"/>
  <c r="M84" i="7"/>
  <c r="M85" i="7"/>
  <c r="M86" i="7"/>
  <c r="M87" i="7"/>
  <c r="M88" i="7"/>
  <c r="M90" i="7"/>
  <c r="M92" i="7"/>
  <c r="M93" i="7"/>
  <c r="M94" i="7"/>
  <c r="M96" i="7"/>
  <c r="M97" i="7"/>
  <c r="M98" i="7"/>
  <c r="M99" i="7"/>
  <c r="M100" i="7"/>
  <c r="M103" i="7"/>
  <c r="M106" i="7"/>
  <c r="M107" i="7"/>
  <c r="M108" i="7"/>
  <c r="M109" i="7"/>
  <c r="M110" i="7"/>
  <c r="M111" i="7"/>
  <c r="M112" i="7"/>
  <c r="M113" i="7"/>
  <c r="M114" i="7"/>
  <c r="M115" i="7"/>
  <c r="M116" i="7"/>
  <c r="M117" i="7"/>
  <c r="M118" i="7"/>
  <c r="M119" i="7"/>
  <c r="M120" i="7"/>
  <c r="M121" i="7"/>
  <c r="M122" i="7"/>
  <c r="M123" i="7"/>
  <c r="M127" i="7"/>
  <c r="M130" i="7"/>
  <c r="M131" i="7"/>
  <c r="M132" i="7"/>
  <c r="M133" i="7"/>
  <c r="M134" i="7"/>
  <c r="M135" i="7"/>
  <c r="M136" i="7"/>
  <c r="M137" i="7"/>
  <c r="M138" i="7"/>
  <c r="M139" i="7"/>
  <c r="M142" i="7"/>
  <c r="M144" i="7"/>
  <c r="M145" i="7"/>
  <c r="M146" i="7"/>
  <c r="M147" i="7"/>
  <c r="M148" i="7"/>
  <c r="M149" i="7"/>
  <c r="M151" i="7"/>
  <c r="M153" i="7"/>
  <c r="M155" i="7"/>
  <c r="M156" i="7"/>
  <c r="M157" i="7"/>
  <c r="M158" i="7"/>
  <c r="M159" i="7"/>
  <c r="M160" i="7"/>
  <c r="M161" i="7"/>
  <c r="M162" i="7"/>
  <c r="M163" i="7"/>
  <c r="M166" i="7"/>
  <c r="M167" i="7"/>
  <c r="M168" i="7"/>
  <c r="M169" i="7"/>
  <c r="M170" i="7"/>
  <c r="M171" i="7"/>
  <c r="M172" i="7"/>
  <c r="M173" i="7"/>
  <c r="M174" i="7"/>
  <c r="M175" i="7"/>
  <c r="M176" i="7"/>
  <c r="M177" i="7"/>
  <c r="M178" i="7"/>
  <c r="M179" i="7"/>
  <c r="M182" i="7"/>
  <c r="M183" i="7"/>
  <c r="M184" i="7"/>
  <c r="M185" i="7"/>
  <c r="M188" i="7"/>
  <c r="M189" i="7"/>
  <c r="M190" i="7"/>
  <c r="M191" i="7"/>
  <c r="M192" i="7"/>
  <c r="M193" i="7"/>
  <c r="M194" i="7"/>
  <c r="M195" i="7"/>
  <c r="M196" i="7"/>
  <c r="M197" i="7"/>
  <c r="M198" i="7"/>
  <c r="M199" i="7"/>
  <c r="M200" i="7"/>
  <c r="M201" i="7"/>
  <c r="M202" i="7"/>
  <c r="M203" i="7"/>
  <c r="M204" i="7"/>
  <c r="M205" i="7"/>
  <c r="M206" i="7"/>
  <c r="M207" i="7"/>
  <c r="M208" i="7"/>
  <c r="M209" i="7"/>
  <c r="M210" i="7"/>
  <c r="M211" i="7"/>
  <c r="M212" i="7"/>
  <c r="M213" i="7"/>
  <c r="M214" i="7"/>
  <c r="M215" i="7"/>
  <c r="M216" i="7"/>
  <c r="M217" i="7"/>
  <c r="M218" i="7"/>
  <c r="M219" i="7"/>
  <c r="M220" i="7"/>
  <c r="M221" i="7"/>
  <c r="M222" i="7"/>
  <c r="M223" i="7"/>
  <c r="M224" i="7"/>
  <c r="M225" i="7"/>
  <c r="M227" i="7"/>
  <c r="M228" i="7"/>
  <c r="M229" i="7"/>
  <c r="M230" i="7"/>
  <c r="M231" i="7"/>
  <c r="M235" i="7"/>
  <c r="M237" i="7"/>
  <c r="M239" i="7"/>
  <c r="M240" i="7"/>
  <c r="M241" i="7"/>
  <c r="M242" i="7"/>
  <c r="M243" i="7"/>
  <c r="M245" i="7"/>
  <c r="M246" i="7"/>
  <c r="M247" i="7"/>
  <c r="M4298" i="7"/>
  <c r="M4299" i="7"/>
  <c r="M4300" i="7"/>
  <c r="M4301" i="7"/>
  <c r="M4302" i="7"/>
  <c r="M4303" i="7"/>
  <c r="M4304" i="7"/>
  <c r="M4305" i="7"/>
  <c r="M4306" i="7"/>
  <c r="M4307" i="7"/>
  <c r="M4308" i="7"/>
  <c r="M4309" i="7"/>
  <c r="M4310" i="7"/>
  <c r="M4311" i="7"/>
  <c r="M4312" i="7"/>
  <c r="M4313" i="7"/>
  <c r="M4314" i="7"/>
  <c r="M4315" i="7"/>
  <c r="M4316" i="7"/>
  <c r="M4317" i="7"/>
  <c r="M4318" i="7"/>
  <c r="M4319" i="7"/>
  <c r="M4320" i="7"/>
  <c r="M4321" i="7"/>
  <c r="M4322" i="7"/>
  <c r="M4323" i="7"/>
  <c r="M4324" i="7"/>
  <c r="M4325" i="7"/>
  <c r="M4326" i="7"/>
  <c r="M4327" i="7"/>
  <c r="M4328" i="7"/>
  <c r="M4329" i="7"/>
  <c r="M4330" i="7"/>
  <c r="M4331" i="7"/>
  <c r="M4332" i="7"/>
  <c r="M4333" i="7"/>
  <c r="M4334" i="7"/>
  <c r="M4335" i="7"/>
  <c r="M4336" i="7"/>
  <c r="M4337" i="7"/>
  <c r="M4338" i="7"/>
  <c r="M105" i="5"/>
  <c r="M62" i="5"/>
  <c r="M216" i="5"/>
  <c r="M97" i="5"/>
  <c r="M26" i="5"/>
  <c r="O102" i="5"/>
  <c r="P102" i="5" s="1"/>
  <c r="M116" i="5"/>
  <c r="M113" i="5"/>
  <c r="M104" i="5"/>
  <c r="M29" i="5"/>
  <c r="M27" i="5"/>
  <c r="M32" i="5"/>
  <c r="M130" i="5"/>
  <c r="M110" i="5"/>
  <c r="M112" i="5"/>
  <c r="M123" i="5"/>
  <c r="M69" i="5"/>
  <c r="M177" i="5"/>
  <c r="M180" i="5"/>
  <c r="M142" i="5"/>
  <c r="M17" i="5"/>
  <c r="M178" i="5"/>
  <c r="M21" i="5"/>
  <c r="M183" i="5"/>
  <c r="M235" i="5"/>
  <c r="M223" i="5"/>
  <c r="M44" i="5"/>
  <c r="M129" i="5"/>
  <c r="M176" i="5"/>
  <c r="M9" i="5"/>
  <c r="M154" i="5"/>
  <c r="M157" i="5"/>
  <c r="M6" i="5"/>
  <c r="M3" i="5"/>
  <c r="M164" i="5"/>
  <c r="M137" i="5"/>
  <c r="M170" i="5"/>
  <c r="M108" i="5"/>
  <c r="M79" i="5"/>
  <c r="M70" i="5"/>
  <c r="M156" i="5"/>
  <c r="M84" i="5"/>
  <c r="M195" i="5"/>
  <c r="M209" i="5"/>
  <c r="M246" i="5"/>
  <c r="M266" i="5"/>
  <c r="M132" i="5"/>
  <c r="O51" i="5"/>
  <c r="P51" i="5" s="1"/>
  <c r="O91" i="5"/>
  <c r="O238" i="5"/>
  <c r="P238" i="5" s="1"/>
  <c r="O122" i="5"/>
  <c r="P122" i="5" s="1"/>
  <c r="O18" i="5"/>
  <c r="P18" i="5" s="1"/>
  <c r="M159" i="5"/>
  <c r="M139" i="5"/>
  <c r="M38" i="5"/>
  <c r="M160" i="5"/>
  <c r="M41" i="5"/>
  <c r="M101" i="5"/>
  <c r="M78" i="5"/>
  <c r="M119" i="5"/>
  <c r="M127" i="5"/>
  <c r="M19" i="5"/>
  <c r="M198" i="5"/>
  <c r="M227" i="5"/>
  <c r="M91" i="5"/>
  <c r="M11" i="5"/>
  <c r="M90" i="5"/>
  <c r="M237" i="5"/>
  <c r="M7240" i="7"/>
  <c r="M7241" i="7"/>
  <c r="M7242" i="7"/>
  <c r="M7243" i="7"/>
  <c r="M7244" i="7"/>
  <c r="M7245" i="7"/>
  <c r="M7246" i="7"/>
  <c r="M7247" i="7"/>
  <c r="M7248" i="7"/>
  <c r="M7249" i="7"/>
  <c r="M7250" i="7"/>
  <c r="M7251" i="7"/>
  <c r="M7252" i="7"/>
  <c r="M7253" i="7"/>
  <c r="M7254" i="7"/>
  <c r="M7255" i="7"/>
  <c r="M7256" i="7"/>
  <c r="M7257" i="7"/>
  <c r="M7258" i="7"/>
  <c r="M7259" i="7"/>
  <c r="M7260" i="7"/>
  <c r="M7261" i="7"/>
  <c r="M7262" i="7"/>
  <c r="M10" i="5"/>
  <c r="M52" i="5"/>
  <c r="M111" i="5"/>
  <c r="M147" i="5"/>
  <c r="M100" i="5"/>
  <c r="M194" i="5"/>
  <c r="M15" i="5"/>
  <c r="M134" i="5"/>
  <c r="M59" i="5"/>
  <c r="M197" i="5"/>
  <c r="M501" i="7"/>
  <c r="M502" i="7"/>
  <c r="M503" i="7"/>
  <c r="M504" i="7"/>
  <c r="M505" i="7"/>
  <c r="M506" i="7"/>
  <c r="M507" i="7"/>
  <c r="M508" i="7"/>
  <c r="M509" i="7"/>
  <c r="M510" i="7"/>
  <c r="M511" i="7"/>
  <c r="M512" i="7"/>
  <c r="M513" i="7"/>
  <c r="M514" i="7"/>
  <c r="M515" i="7"/>
  <c r="M516" i="7"/>
  <c r="M517" i="7"/>
  <c r="M518" i="7"/>
  <c r="M519" i="7"/>
  <c r="M520" i="7"/>
  <c r="M521" i="7"/>
  <c r="M522" i="7"/>
  <c r="M523" i="7"/>
  <c r="M524" i="7"/>
  <c r="M525" i="7"/>
  <c r="M526" i="7"/>
  <c r="M527" i="7"/>
  <c r="M528" i="7"/>
  <c r="M529" i="7"/>
  <c r="M530" i="7"/>
  <c r="M531" i="7"/>
  <c r="M532" i="7"/>
  <c r="M533" i="7"/>
  <c r="M534" i="7"/>
  <c r="M535" i="7"/>
  <c r="M536" i="7"/>
  <c r="M537" i="7"/>
  <c r="M538" i="7"/>
  <c r="M539" i="7"/>
  <c r="M540" i="7"/>
  <c r="M541" i="7"/>
  <c r="M542" i="7"/>
  <c r="M543" i="7"/>
  <c r="M544" i="7"/>
  <c r="M545" i="7"/>
  <c r="M546" i="7"/>
  <c r="M547" i="7"/>
  <c r="M548" i="7"/>
  <c r="M549" i="7"/>
  <c r="M550" i="7"/>
  <c r="M551" i="7"/>
  <c r="M552" i="7"/>
  <c r="M553" i="7"/>
  <c r="M554" i="7"/>
  <c r="M555" i="7"/>
  <c r="M556" i="7"/>
  <c r="M557" i="7"/>
  <c r="M558" i="7"/>
  <c r="M559" i="7"/>
  <c r="M560" i="7"/>
  <c r="M561" i="7"/>
  <c r="M562" i="7"/>
  <c r="M563" i="7"/>
  <c r="M564" i="7"/>
  <c r="M565" i="7"/>
  <c r="M566" i="7"/>
  <c r="M567" i="7"/>
  <c r="M568" i="7"/>
  <c r="M569" i="7"/>
  <c r="M570" i="7"/>
  <c r="M571" i="7"/>
  <c r="M572" i="7"/>
  <c r="M573" i="7"/>
  <c r="M574" i="7"/>
  <c r="M575" i="7"/>
  <c r="M576" i="7"/>
  <c r="M577" i="7"/>
  <c r="M578" i="7"/>
  <c r="M579" i="7"/>
  <c r="M580" i="7"/>
  <c r="M581" i="7"/>
  <c r="M582" i="7"/>
  <c r="M583" i="7"/>
  <c r="M584" i="7"/>
  <c r="M585" i="7"/>
  <c r="M586" i="7"/>
  <c r="M587" i="7"/>
  <c r="M588" i="7"/>
  <c r="M589" i="7"/>
  <c r="M590" i="7"/>
  <c r="M591" i="7"/>
  <c r="M592" i="7"/>
  <c r="M593" i="7"/>
  <c r="M594" i="7"/>
  <c r="M595" i="7"/>
  <c r="M596" i="7"/>
  <c r="M597" i="7"/>
  <c r="M598" i="7"/>
  <c r="M599" i="7"/>
  <c r="M600" i="7"/>
  <c r="M601" i="7"/>
  <c r="M602" i="7"/>
  <c r="M603" i="7"/>
  <c r="M604" i="7"/>
  <c r="M605" i="7"/>
  <c r="M606" i="7"/>
  <c r="M607" i="7"/>
  <c r="M608" i="7"/>
  <c r="M609" i="7"/>
  <c r="M610" i="7"/>
  <c r="M611" i="7"/>
  <c r="M612" i="7"/>
  <c r="M613" i="7"/>
  <c r="M614" i="7"/>
  <c r="M615" i="7"/>
  <c r="M616" i="7"/>
  <c r="M617" i="7"/>
  <c r="M618" i="7"/>
  <c r="M619" i="7"/>
  <c r="M620" i="7"/>
  <c r="M621" i="7"/>
  <c r="M622" i="7"/>
  <c r="M623" i="7"/>
  <c r="M624" i="7"/>
  <c r="M625" i="7"/>
  <c r="M626" i="7"/>
  <c r="M627" i="7"/>
  <c r="M628" i="7"/>
  <c r="M629" i="7"/>
  <c r="M630" i="7"/>
  <c r="M631" i="7"/>
  <c r="M632" i="7"/>
  <c r="M633" i="7"/>
  <c r="M634" i="7"/>
  <c r="M635" i="7"/>
  <c r="M636" i="7"/>
  <c r="M637" i="7"/>
  <c r="M638" i="7"/>
  <c r="M639" i="7"/>
  <c r="M640" i="7"/>
  <c r="M641" i="7"/>
  <c r="M642" i="7"/>
  <c r="M643" i="7"/>
  <c r="M644" i="7"/>
  <c r="M645" i="7"/>
  <c r="M646" i="7"/>
  <c r="M647" i="7"/>
  <c r="M648" i="7"/>
  <c r="M649" i="7"/>
  <c r="M650" i="7"/>
  <c r="M651" i="7"/>
  <c r="M652" i="7"/>
  <c r="M653" i="7"/>
  <c r="M654" i="7"/>
  <c r="M655" i="7"/>
  <c r="M656" i="7"/>
  <c r="M657" i="7"/>
  <c r="M658" i="7"/>
  <c r="M659" i="7"/>
  <c r="M660" i="7"/>
  <c r="M661" i="7"/>
  <c r="M662" i="7"/>
  <c r="M663" i="7"/>
  <c r="M664" i="7"/>
  <c r="M665" i="7"/>
  <c r="M666" i="7"/>
  <c r="M667" i="7"/>
  <c r="M668" i="7"/>
  <c r="M669" i="7"/>
  <c r="M670" i="7"/>
  <c r="M671" i="7"/>
  <c r="M672" i="7"/>
  <c r="M673" i="7"/>
  <c r="M674" i="7"/>
  <c r="M675" i="7"/>
  <c r="M676" i="7"/>
  <c r="M677" i="7"/>
  <c r="M678" i="7"/>
  <c r="M679" i="7"/>
  <c r="M680" i="7"/>
  <c r="M681" i="7"/>
  <c r="M682" i="7"/>
  <c r="M683" i="7"/>
  <c r="M684" i="7"/>
  <c r="M685" i="7"/>
  <c r="M686" i="7"/>
  <c r="M687" i="7"/>
  <c r="M688" i="7"/>
  <c r="M689" i="7"/>
  <c r="M690" i="7"/>
  <c r="M691" i="7"/>
  <c r="M692" i="7"/>
  <c r="M693" i="7"/>
  <c r="M694" i="7"/>
  <c r="M695" i="7"/>
  <c r="M696" i="7"/>
  <c r="M697" i="7"/>
  <c r="M698" i="7"/>
  <c r="M699" i="7"/>
  <c r="M700" i="7"/>
  <c r="M701" i="7"/>
  <c r="M702" i="7"/>
  <c r="M703" i="7"/>
  <c r="M704" i="7"/>
  <c r="M705" i="7"/>
  <c r="M706" i="7"/>
  <c r="M707" i="7"/>
  <c r="M708" i="7"/>
  <c r="M709" i="7"/>
  <c r="M710" i="7"/>
  <c r="M711" i="7"/>
  <c r="M712" i="7"/>
  <c r="M713" i="7"/>
  <c r="M714" i="7"/>
  <c r="M715" i="7"/>
  <c r="M716" i="7"/>
  <c r="M717" i="7"/>
  <c r="M718" i="7"/>
  <c r="M719" i="7"/>
  <c r="M720" i="7"/>
  <c r="M721" i="7"/>
  <c r="M722" i="7"/>
  <c r="M723" i="7"/>
  <c r="M724" i="7"/>
  <c r="M725" i="7"/>
  <c r="M726" i="7"/>
  <c r="M727" i="7"/>
  <c r="M728" i="7"/>
  <c r="M729" i="7"/>
  <c r="M730" i="7"/>
  <c r="M731" i="7"/>
  <c r="M732" i="7"/>
  <c r="M733" i="7"/>
  <c r="M734" i="7"/>
  <c r="M735" i="7"/>
  <c r="M736" i="7"/>
  <c r="M737" i="7"/>
  <c r="M738" i="7"/>
  <c r="M739" i="7"/>
  <c r="M740" i="7"/>
  <c r="M741" i="7"/>
  <c r="M742" i="7"/>
  <c r="M743" i="7"/>
  <c r="M744" i="7"/>
  <c r="M745" i="7"/>
  <c r="M746" i="7"/>
  <c r="M747" i="7"/>
  <c r="M748" i="7"/>
  <c r="M749" i="7"/>
  <c r="M750" i="7"/>
  <c r="M751" i="7"/>
  <c r="M752" i="7"/>
  <c r="M753" i="7"/>
  <c r="M754" i="7"/>
  <c r="M755" i="7"/>
  <c r="M756" i="7"/>
  <c r="M757" i="7"/>
  <c r="M758" i="7"/>
  <c r="M759" i="7"/>
  <c r="M760" i="7"/>
  <c r="M761" i="7"/>
  <c r="M762" i="7"/>
  <c r="M763" i="7"/>
  <c r="M764" i="7"/>
  <c r="M765" i="7"/>
  <c r="M766" i="7"/>
  <c r="M767" i="7"/>
  <c r="M768" i="7"/>
  <c r="M769" i="7"/>
  <c r="M770" i="7"/>
  <c r="M771" i="7"/>
  <c r="M772" i="7"/>
  <c r="M773" i="7"/>
  <c r="M774" i="7"/>
  <c r="M775" i="7"/>
  <c r="M776" i="7"/>
  <c r="M777" i="7"/>
  <c r="M778" i="7"/>
  <c r="M779" i="7"/>
  <c r="M780" i="7"/>
  <c r="M781" i="7"/>
  <c r="M782" i="7"/>
  <c r="M783" i="7"/>
  <c r="M784" i="7"/>
  <c r="M785" i="7"/>
  <c r="M786" i="7"/>
  <c r="M787" i="7"/>
  <c r="M788" i="7"/>
  <c r="M789" i="7"/>
  <c r="M790" i="7"/>
  <c r="M791" i="7"/>
  <c r="M792" i="7"/>
  <c r="M793" i="7"/>
  <c r="M794" i="7"/>
  <c r="M795" i="7"/>
  <c r="M796" i="7"/>
  <c r="M797" i="7"/>
  <c r="M798" i="7"/>
  <c r="M799" i="7"/>
  <c r="M800" i="7"/>
  <c r="M801" i="7"/>
  <c r="M802" i="7"/>
  <c r="M803" i="7"/>
  <c r="M804" i="7"/>
  <c r="M805" i="7"/>
  <c r="M806" i="7"/>
  <c r="M807" i="7"/>
  <c r="M808" i="7"/>
  <c r="M809" i="7"/>
  <c r="M810" i="7"/>
  <c r="M811" i="7"/>
  <c r="M812" i="7"/>
  <c r="M813" i="7"/>
  <c r="M814" i="7"/>
  <c r="M815" i="7"/>
  <c r="M816" i="7"/>
  <c r="M817" i="7"/>
  <c r="M818" i="7"/>
  <c r="M819" i="7"/>
  <c r="M820" i="7"/>
  <c r="M821" i="7"/>
  <c r="M822" i="7"/>
  <c r="M823" i="7"/>
  <c r="M824" i="7"/>
  <c r="M825" i="7"/>
  <c r="M826" i="7"/>
  <c r="M827" i="7"/>
  <c r="M828" i="7"/>
  <c r="M829" i="7"/>
  <c r="M830" i="7"/>
  <c r="M831" i="7"/>
  <c r="M832" i="7"/>
  <c r="M833" i="7"/>
  <c r="M834" i="7"/>
  <c r="M835" i="7"/>
  <c r="M836" i="7"/>
  <c r="M837" i="7"/>
  <c r="M838" i="7"/>
  <c r="M839" i="7"/>
  <c r="M840" i="7"/>
  <c r="M841" i="7"/>
  <c r="M842" i="7"/>
  <c r="M843" i="7"/>
  <c r="M844" i="7"/>
  <c r="M845" i="7"/>
  <c r="M846" i="7"/>
  <c r="M847" i="7"/>
  <c r="M848" i="7"/>
  <c r="M849" i="7"/>
  <c r="M850" i="7"/>
  <c r="M851" i="7"/>
  <c r="M852" i="7"/>
  <c r="M853" i="7"/>
  <c r="M854" i="7"/>
  <c r="M855" i="7"/>
  <c r="M856" i="7"/>
  <c r="M857" i="7"/>
  <c r="M858" i="7"/>
  <c r="M859" i="7"/>
  <c r="M860" i="7"/>
  <c r="M861" i="7"/>
  <c r="M862" i="7"/>
  <c r="M863" i="7"/>
  <c r="M864" i="7"/>
  <c r="M865" i="7"/>
  <c r="M866" i="7"/>
  <c r="M867" i="7"/>
  <c r="M868" i="7"/>
  <c r="M869" i="7"/>
  <c r="M870" i="7"/>
  <c r="M871" i="7"/>
  <c r="M872" i="7"/>
  <c r="M873" i="7"/>
  <c r="M874" i="7"/>
  <c r="M875" i="7"/>
  <c r="M876" i="7"/>
  <c r="M877" i="7"/>
  <c r="M878" i="7"/>
  <c r="M879" i="7"/>
  <c r="M880" i="7"/>
  <c r="M881" i="7"/>
  <c r="M882" i="7"/>
  <c r="M883" i="7"/>
  <c r="M884" i="7"/>
  <c r="M885" i="7"/>
  <c r="M886" i="7"/>
  <c r="M887" i="7"/>
  <c r="M888" i="7"/>
  <c r="M889" i="7"/>
  <c r="M890" i="7"/>
  <c r="M891" i="7"/>
  <c r="M892" i="7"/>
  <c r="M893" i="7"/>
  <c r="M894" i="7"/>
  <c r="M895" i="7"/>
  <c r="M896" i="7"/>
  <c r="M897" i="7"/>
  <c r="M898" i="7"/>
  <c r="M899" i="7"/>
  <c r="M900" i="7"/>
  <c r="M901" i="7"/>
  <c r="M902" i="7"/>
  <c r="M903" i="7"/>
  <c r="M904" i="7"/>
  <c r="M905" i="7"/>
  <c r="M906" i="7"/>
  <c r="M907" i="7"/>
  <c r="M908" i="7"/>
  <c r="M909" i="7"/>
  <c r="M910" i="7"/>
  <c r="M911" i="7"/>
  <c r="M912" i="7"/>
  <c r="M913" i="7"/>
  <c r="M914" i="7"/>
  <c r="M915" i="7"/>
  <c r="M916" i="7"/>
  <c r="M917" i="7"/>
  <c r="M918" i="7"/>
  <c r="M919" i="7"/>
  <c r="M920" i="7"/>
  <c r="M921" i="7"/>
  <c r="M922" i="7"/>
  <c r="M923" i="7"/>
  <c r="M924" i="7"/>
  <c r="M925" i="7"/>
  <c r="M926" i="7"/>
  <c r="M927" i="7"/>
  <c r="M928" i="7"/>
  <c r="M929" i="7"/>
  <c r="M930" i="7"/>
  <c r="M931" i="7"/>
  <c r="M932" i="7"/>
  <c r="M933" i="7"/>
  <c r="M934" i="7"/>
  <c r="M935" i="7"/>
  <c r="M936" i="7"/>
  <c r="M937" i="7"/>
  <c r="M938" i="7"/>
  <c r="M939" i="7"/>
  <c r="M940" i="7"/>
  <c r="M941" i="7"/>
  <c r="M942" i="7"/>
  <c r="M943" i="7"/>
  <c r="M944" i="7"/>
  <c r="M945" i="7"/>
  <c r="M946" i="7"/>
  <c r="M947" i="7"/>
  <c r="M948" i="7"/>
  <c r="M949" i="7"/>
  <c r="M950" i="7"/>
  <c r="M951" i="7"/>
  <c r="M952" i="7"/>
  <c r="M953" i="7"/>
  <c r="M954" i="7"/>
  <c r="M955" i="7"/>
  <c r="M956" i="7"/>
  <c r="M957" i="7"/>
  <c r="M958" i="7"/>
  <c r="M959" i="7"/>
  <c r="M960" i="7"/>
  <c r="M961" i="7"/>
  <c r="M962" i="7"/>
  <c r="M963" i="7"/>
  <c r="M964" i="7"/>
  <c r="M965" i="7"/>
  <c r="M966" i="7"/>
  <c r="M967" i="7"/>
  <c r="M968" i="7"/>
  <c r="M969" i="7"/>
  <c r="M970" i="7"/>
  <c r="M971" i="7"/>
  <c r="M972" i="7"/>
  <c r="M973" i="7"/>
  <c r="M974" i="7"/>
  <c r="M975" i="7"/>
  <c r="M976" i="7"/>
  <c r="M977" i="7"/>
  <c r="M978" i="7"/>
  <c r="M979" i="7"/>
  <c r="M980" i="7"/>
  <c r="M981" i="7"/>
  <c r="M982" i="7"/>
  <c r="M983" i="7"/>
  <c r="M984" i="7"/>
  <c r="M985" i="7"/>
  <c r="M986" i="7"/>
  <c r="M987" i="7"/>
  <c r="M988" i="7"/>
  <c r="M989" i="7"/>
  <c r="M990" i="7"/>
  <c r="M991" i="7"/>
  <c r="M992" i="7"/>
  <c r="M993" i="7"/>
  <c r="M994" i="7"/>
  <c r="M995" i="7"/>
  <c r="M996" i="7"/>
  <c r="M997" i="7"/>
  <c r="M998" i="7"/>
  <c r="M999" i="7"/>
  <c r="M1000" i="7"/>
  <c r="M1001" i="7"/>
  <c r="M1002" i="7"/>
  <c r="M1003" i="7"/>
  <c r="M1004" i="7"/>
  <c r="M1005" i="7"/>
  <c r="M1006" i="7"/>
  <c r="M1007" i="7"/>
  <c r="M1008" i="7"/>
  <c r="M1009" i="7"/>
  <c r="M1010" i="7"/>
  <c r="M1011" i="7"/>
  <c r="M1012" i="7"/>
  <c r="M1013" i="7"/>
  <c r="M1014" i="7"/>
  <c r="M1015" i="7"/>
  <c r="M1016" i="7"/>
  <c r="M1017" i="7"/>
  <c r="M1018" i="7"/>
  <c r="M1019" i="7"/>
  <c r="M1020" i="7"/>
  <c r="M1021" i="7"/>
  <c r="M1022" i="7"/>
  <c r="M1023" i="7"/>
  <c r="M1024" i="7"/>
  <c r="M1025" i="7"/>
  <c r="M1026" i="7"/>
  <c r="M1027" i="7"/>
  <c r="M1028" i="7"/>
  <c r="M1029" i="7"/>
  <c r="M1030" i="7"/>
  <c r="M1031" i="7"/>
  <c r="M1032" i="7"/>
  <c r="M1033" i="7"/>
  <c r="M1034" i="7"/>
  <c r="M1035" i="7"/>
  <c r="M1036" i="7"/>
  <c r="M1037" i="7"/>
  <c r="M1038" i="7"/>
  <c r="M1039" i="7"/>
  <c r="M1040" i="7"/>
  <c r="M1041" i="7"/>
  <c r="M1042" i="7"/>
  <c r="M1043" i="7"/>
  <c r="M1044" i="7"/>
  <c r="M1045" i="7"/>
  <c r="M1046" i="7"/>
  <c r="M1047" i="7"/>
  <c r="M1048" i="7"/>
  <c r="M1049" i="7"/>
  <c r="M1050" i="7"/>
  <c r="M1051" i="7"/>
  <c r="M1052" i="7"/>
  <c r="M1053" i="7"/>
  <c r="M1054" i="7"/>
  <c r="M1055" i="7"/>
  <c r="M1056" i="7"/>
  <c r="M1057" i="7"/>
  <c r="M1058" i="7"/>
  <c r="M1059" i="7"/>
  <c r="M1060" i="7"/>
  <c r="M1061" i="7"/>
  <c r="M1062" i="7"/>
  <c r="M1063" i="7"/>
  <c r="M1064" i="7"/>
  <c r="M1065" i="7"/>
  <c r="M1066" i="7"/>
  <c r="M1067" i="7"/>
  <c r="M1068" i="7"/>
  <c r="M1069" i="7"/>
  <c r="M1070" i="7"/>
  <c r="M1071" i="7"/>
  <c r="M1072" i="7"/>
  <c r="M1073" i="7"/>
  <c r="M1074" i="7"/>
  <c r="M1075" i="7"/>
  <c r="M1076" i="7"/>
  <c r="M1077" i="7"/>
  <c r="M1078" i="7"/>
  <c r="M1079" i="7"/>
  <c r="M1080" i="7"/>
  <c r="M1081" i="7"/>
  <c r="M1082" i="7"/>
  <c r="M1083" i="7"/>
  <c r="M1084" i="7"/>
  <c r="M1085" i="7"/>
  <c r="M1086" i="7"/>
  <c r="M1087" i="7"/>
  <c r="M1088" i="7"/>
  <c r="M1089" i="7"/>
  <c r="M1090" i="7"/>
  <c r="M1091" i="7"/>
  <c r="M1092" i="7"/>
  <c r="M1093" i="7"/>
  <c r="M1094" i="7"/>
  <c r="M1095" i="7"/>
  <c r="M1096" i="7"/>
  <c r="M1097" i="7"/>
  <c r="M1098" i="7"/>
  <c r="M1099" i="7"/>
  <c r="M1100" i="7"/>
  <c r="M1101" i="7"/>
  <c r="M1102" i="7"/>
  <c r="M1103" i="7"/>
  <c r="M1104" i="7"/>
  <c r="M1105" i="7"/>
  <c r="M1106" i="7"/>
  <c r="M1107" i="7"/>
  <c r="M1108" i="7"/>
  <c r="M1109" i="7"/>
  <c r="M1110" i="7"/>
  <c r="M1111" i="7"/>
  <c r="M1112" i="7"/>
  <c r="M1113" i="7"/>
  <c r="M1114" i="7"/>
  <c r="M1115" i="7"/>
  <c r="M1116" i="7"/>
  <c r="M1117" i="7"/>
  <c r="M1118" i="7"/>
  <c r="M1119" i="7"/>
  <c r="M1120" i="7"/>
  <c r="M1121" i="7"/>
  <c r="M1122" i="7"/>
  <c r="M1123" i="7"/>
  <c r="M1124" i="7"/>
  <c r="M1125" i="7"/>
  <c r="M1126" i="7"/>
  <c r="M1127" i="7"/>
  <c r="M1128" i="7"/>
  <c r="M1129" i="7"/>
  <c r="M1130" i="7"/>
  <c r="M1131" i="7"/>
  <c r="M1132" i="7"/>
  <c r="M1133" i="7"/>
  <c r="M1134" i="7"/>
  <c r="M1135" i="7"/>
  <c r="M1136" i="7"/>
  <c r="M1137" i="7"/>
  <c r="M1138" i="7"/>
  <c r="M1139" i="7"/>
  <c r="M1140" i="7"/>
  <c r="M1141" i="7"/>
  <c r="M1142" i="7"/>
  <c r="M1143" i="7"/>
  <c r="M1144" i="7"/>
  <c r="M1145" i="7"/>
  <c r="M1146" i="7"/>
  <c r="M1147" i="7"/>
  <c r="M1148" i="7"/>
  <c r="M1149" i="7"/>
  <c r="M1150" i="7"/>
  <c r="M1151" i="7"/>
  <c r="M1152" i="7"/>
  <c r="M1153" i="7"/>
  <c r="M1154" i="7"/>
  <c r="M1155" i="7"/>
  <c r="M1156" i="7"/>
  <c r="M1157" i="7"/>
  <c r="M1158" i="7"/>
  <c r="M1159" i="7"/>
  <c r="M1160" i="7"/>
  <c r="M1161" i="7"/>
  <c r="M1162" i="7"/>
  <c r="M1163" i="7"/>
  <c r="M1164" i="7"/>
  <c r="M1165" i="7"/>
  <c r="M1166" i="7"/>
  <c r="M1167" i="7"/>
  <c r="M1168" i="7"/>
  <c r="M1169" i="7"/>
  <c r="M1170" i="7"/>
  <c r="M1171" i="7"/>
  <c r="M1172" i="7"/>
  <c r="M1173" i="7"/>
  <c r="M1174" i="7"/>
  <c r="M1175" i="7"/>
  <c r="M1176" i="7"/>
  <c r="M1177" i="7"/>
  <c r="M1178" i="7"/>
  <c r="M1179" i="7"/>
  <c r="M1180" i="7"/>
  <c r="M1181" i="7"/>
  <c r="M1182" i="7"/>
  <c r="M1183" i="7"/>
  <c r="M1184" i="7"/>
  <c r="M1185" i="7"/>
  <c r="M1186" i="7"/>
  <c r="M1187" i="7"/>
  <c r="M1188" i="7"/>
  <c r="M1189" i="7"/>
  <c r="M1190" i="7"/>
  <c r="M1191" i="7"/>
  <c r="M1192" i="7"/>
  <c r="M1193" i="7"/>
  <c r="M1194" i="7"/>
  <c r="M1195" i="7"/>
  <c r="M1196" i="7"/>
  <c r="M1197" i="7"/>
  <c r="M1198" i="7"/>
  <c r="M1199" i="7"/>
  <c r="M1200" i="7"/>
  <c r="M1201" i="7"/>
  <c r="M1202" i="7"/>
  <c r="M1203" i="7"/>
  <c r="M1204" i="7"/>
  <c r="M1205" i="7"/>
  <c r="M1206" i="7"/>
  <c r="M1207" i="7"/>
  <c r="M1208" i="7"/>
  <c r="M1209" i="7"/>
  <c r="M1210" i="7"/>
  <c r="M1211" i="7"/>
  <c r="M1212" i="7"/>
  <c r="M1213" i="7"/>
  <c r="M1214" i="7"/>
  <c r="M1215" i="7"/>
  <c r="M1216" i="7"/>
  <c r="M1217" i="7"/>
  <c r="M1218" i="7"/>
  <c r="M1219" i="7"/>
  <c r="M1220" i="7"/>
  <c r="M1221" i="7"/>
  <c r="M1222" i="7"/>
  <c r="M1223" i="7"/>
  <c r="M1224" i="7"/>
  <c r="M1225" i="7"/>
  <c r="M1226" i="7"/>
  <c r="M1227" i="7"/>
  <c r="M1228" i="7"/>
  <c r="M1229" i="7"/>
  <c r="M1230" i="7"/>
  <c r="M1231" i="7"/>
  <c r="M1232" i="7"/>
  <c r="M1233" i="7"/>
  <c r="M1234" i="7"/>
  <c r="M1235" i="7"/>
  <c r="M1236" i="7"/>
  <c r="M1237" i="7"/>
  <c r="M1238" i="7"/>
  <c r="M1239" i="7"/>
  <c r="M1240" i="7"/>
  <c r="M1241" i="7"/>
  <c r="M1242" i="7"/>
  <c r="M1243" i="7"/>
  <c r="M1244" i="7"/>
  <c r="M1245" i="7"/>
  <c r="M1246" i="7"/>
  <c r="M1247" i="7"/>
  <c r="M1248" i="7"/>
  <c r="M1249" i="7"/>
  <c r="M1250" i="7"/>
  <c r="M1251" i="7"/>
  <c r="M1252" i="7"/>
  <c r="M1253" i="7"/>
  <c r="M1254" i="7"/>
  <c r="M1255" i="7"/>
  <c r="M1256" i="7"/>
  <c r="M1257" i="7"/>
  <c r="M1258" i="7"/>
  <c r="M1259" i="7"/>
  <c r="M1260" i="7"/>
  <c r="M1261" i="7"/>
  <c r="M1262" i="7"/>
  <c r="M1263" i="7"/>
  <c r="M1264" i="7"/>
  <c r="M1265" i="7"/>
  <c r="M1266" i="7"/>
  <c r="M1267" i="7"/>
  <c r="M1268" i="7"/>
  <c r="M1269" i="7"/>
  <c r="M1270" i="7"/>
  <c r="M1271" i="7"/>
  <c r="M1272" i="7"/>
  <c r="M1273" i="7"/>
  <c r="M1274" i="7"/>
  <c r="M1275" i="7"/>
  <c r="M1276" i="7"/>
  <c r="M1277" i="7"/>
  <c r="M1278" i="7"/>
  <c r="M1279" i="7"/>
  <c r="M1280" i="7"/>
  <c r="M1281" i="7"/>
  <c r="M1282" i="7"/>
  <c r="M1283" i="7"/>
  <c r="M1284" i="7"/>
  <c r="M1285" i="7"/>
  <c r="M1286" i="7"/>
  <c r="M1287" i="7"/>
  <c r="M1288" i="7"/>
  <c r="M1289" i="7"/>
  <c r="M1290" i="7"/>
  <c r="M1291" i="7"/>
  <c r="M1292" i="7"/>
  <c r="M1293" i="7"/>
  <c r="M1294" i="7"/>
  <c r="M1295" i="7"/>
  <c r="M1296" i="7"/>
  <c r="M1297" i="7"/>
  <c r="M1298" i="7"/>
  <c r="M1299" i="7"/>
  <c r="M1300" i="7"/>
  <c r="M1301" i="7"/>
  <c r="M1302" i="7"/>
  <c r="M1303" i="7"/>
  <c r="M1304" i="7"/>
  <c r="M1305" i="7"/>
  <c r="M1306" i="7"/>
  <c r="M1307" i="7"/>
  <c r="M1308" i="7"/>
  <c r="M1309" i="7"/>
  <c r="M1310" i="7"/>
  <c r="M1311" i="7"/>
  <c r="M1312" i="7"/>
  <c r="M1313" i="7"/>
  <c r="M1314" i="7"/>
  <c r="M1315" i="7"/>
  <c r="M1316" i="7"/>
  <c r="M1317" i="7"/>
  <c r="M1318" i="7"/>
  <c r="M1319" i="7"/>
  <c r="M1320" i="7"/>
  <c r="M1321" i="7"/>
  <c r="M1322" i="7"/>
  <c r="M1323" i="7"/>
  <c r="M1324" i="7"/>
  <c r="M1325" i="7"/>
  <c r="M1326" i="7"/>
  <c r="M1327" i="7"/>
  <c r="M1328" i="7"/>
  <c r="M1329" i="7"/>
  <c r="M1330" i="7"/>
  <c r="M1331" i="7"/>
  <c r="M1332" i="7"/>
  <c r="M1333" i="7"/>
  <c r="M1334" i="7"/>
  <c r="M1335" i="7"/>
  <c r="M1336" i="7"/>
  <c r="M1337" i="7"/>
  <c r="M1338" i="7"/>
  <c r="M1339" i="7"/>
  <c r="M1340" i="7"/>
  <c r="M1341" i="7"/>
  <c r="M1342" i="7"/>
  <c r="M1343" i="7"/>
  <c r="M1344" i="7"/>
  <c r="M1345" i="7"/>
  <c r="M1346" i="7"/>
  <c r="M1347" i="7"/>
  <c r="M1348" i="7"/>
  <c r="M1349" i="7"/>
  <c r="M1350" i="7"/>
  <c r="M1351" i="7"/>
  <c r="M1352" i="7"/>
  <c r="M1353" i="7"/>
  <c r="M1354" i="7"/>
  <c r="M1355" i="7"/>
  <c r="M1356" i="7"/>
  <c r="M1357" i="7"/>
  <c r="M1358" i="7"/>
  <c r="M1359" i="7"/>
  <c r="M1360" i="7"/>
  <c r="M1361" i="7"/>
  <c r="M1362" i="7"/>
  <c r="M1363" i="7"/>
  <c r="M1364" i="7"/>
  <c r="M1365" i="7"/>
  <c r="M1366" i="7"/>
  <c r="M1367" i="7"/>
  <c r="M1368" i="7"/>
  <c r="M1369" i="7"/>
  <c r="M1370" i="7"/>
  <c r="M1371" i="7"/>
  <c r="M1372" i="7"/>
  <c r="M1373" i="7"/>
  <c r="M1374" i="7"/>
  <c r="M1375" i="7"/>
  <c r="M1376" i="7"/>
  <c r="M1377" i="7"/>
  <c r="M1378" i="7"/>
  <c r="M1379" i="7"/>
  <c r="M1380" i="7"/>
  <c r="M1381" i="7"/>
  <c r="M1382" i="7"/>
  <c r="M1383" i="7"/>
  <c r="M1384" i="7"/>
  <c r="M1385" i="7"/>
  <c r="M1386" i="7"/>
  <c r="M1387" i="7"/>
  <c r="M1388" i="7"/>
  <c r="M1389" i="7"/>
  <c r="M1390" i="7"/>
  <c r="M1391" i="7"/>
  <c r="M1392" i="7"/>
  <c r="M1393" i="7"/>
  <c r="M1394" i="7"/>
  <c r="M1395" i="7"/>
  <c r="M1396" i="7"/>
  <c r="M1397" i="7"/>
  <c r="M1398" i="7"/>
  <c r="M1399" i="7"/>
  <c r="M1400" i="7"/>
  <c r="M1401" i="7"/>
  <c r="M1402" i="7"/>
  <c r="M1403" i="7"/>
  <c r="M1404" i="7"/>
  <c r="M1405" i="7"/>
  <c r="M1406" i="7"/>
  <c r="M1407" i="7"/>
  <c r="M1408" i="7"/>
  <c r="M1409" i="7"/>
  <c r="M1410" i="7"/>
  <c r="M1411" i="7"/>
  <c r="M1412" i="7"/>
  <c r="M1413" i="7"/>
  <c r="M1414" i="7"/>
  <c r="M1415" i="7"/>
  <c r="M1416" i="7"/>
  <c r="M1417" i="7"/>
  <c r="M1418" i="7"/>
  <c r="M1419" i="7"/>
  <c r="M1420" i="7"/>
  <c r="M1421" i="7"/>
  <c r="M1422" i="7"/>
  <c r="M1423" i="7"/>
  <c r="M1424" i="7"/>
  <c r="M1425" i="7"/>
  <c r="M1426" i="7"/>
  <c r="M1427" i="7"/>
  <c r="M1428" i="7"/>
  <c r="M1429" i="7"/>
  <c r="M1430" i="7"/>
  <c r="M1431" i="7"/>
  <c r="M1432" i="7"/>
  <c r="M1433" i="7"/>
  <c r="M1434" i="7"/>
  <c r="M1435" i="7"/>
  <c r="M1436" i="7"/>
  <c r="M1437" i="7"/>
  <c r="M1438" i="7"/>
  <c r="M1439" i="7"/>
  <c r="M1440" i="7"/>
  <c r="M1441" i="7"/>
  <c r="M1442" i="7"/>
  <c r="M1443" i="7"/>
  <c r="M1444" i="7"/>
  <c r="M1445" i="7"/>
  <c r="M1446" i="7"/>
  <c r="M1447" i="7"/>
  <c r="M1448" i="7"/>
  <c r="M1449" i="7"/>
  <c r="M1450" i="7"/>
  <c r="M1451" i="7"/>
  <c r="M1452" i="7"/>
  <c r="M1453" i="7"/>
  <c r="M1454" i="7"/>
  <c r="M1455" i="7"/>
  <c r="M1456" i="7"/>
  <c r="M1457" i="7"/>
  <c r="M1458" i="7"/>
  <c r="M1459" i="7"/>
  <c r="M1460" i="7"/>
  <c r="M1461" i="7"/>
  <c r="M1462" i="7"/>
  <c r="M1463" i="7"/>
  <c r="M1464" i="7"/>
  <c r="M1465" i="7"/>
  <c r="M1466" i="7"/>
  <c r="M1467" i="7"/>
  <c r="M1468" i="7"/>
  <c r="M1469" i="7"/>
  <c r="M1470" i="7"/>
  <c r="M1471" i="7"/>
  <c r="M1472" i="7"/>
  <c r="M1473" i="7"/>
  <c r="M1474" i="7"/>
  <c r="M1475" i="7"/>
  <c r="M1476" i="7"/>
  <c r="M1477" i="7"/>
  <c r="M1478" i="7"/>
  <c r="M1479" i="7"/>
  <c r="M1480" i="7"/>
  <c r="M1481" i="7"/>
  <c r="M1482" i="7"/>
  <c r="M1483" i="7"/>
  <c r="M1484" i="7"/>
  <c r="M1485" i="7"/>
  <c r="M1486" i="7"/>
  <c r="M1487" i="7"/>
  <c r="M1488" i="7"/>
  <c r="M1489" i="7"/>
  <c r="M1490" i="7"/>
  <c r="M1491" i="7"/>
  <c r="M1492" i="7"/>
  <c r="M1493" i="7"/>
  <c r="M1494" i="7"/>
  <c r="M1495" i="7"/>
  <c r="M1496" i="7"/>
  <c r="M1497" i="7"/>
  <c r="M1498" i="7"/>
  <c r="M1499" i="7"/>
  <c r="M1500" i="7"/>
  <c r="M1501" i="7"/>
  <c r="M1502" i="7"/>
  <c r="M1503" i="7"/>
  <c r="M1504" i="7"/>
  <c r="M1505" i="7"/>
  <c r="M1506" i="7"/>
  <c r="M1507" i="7"/>
  <c r="M1508" i="7"/>
  <c r="M1509" i="7"/>
  <c r="M1510" i="7"/>
  <c r="M1511" i="7"/>
  <c r="M1512" i="7"/>
  <c r="M1513" i="7"/>
  <c r="M1514" i="7"/>
  <c r="M1515" i="7"/>
  <c r="M1516" i="7"/>
  <c r="M1517" i="7"/>
  <c r="M1518" i="7"/>
  <c r="M1519" i="7"/>
  <c r="M1520" i="7"/>
  <c r="M1521" i="7"/>
  <c r="M1522" i="7"/>
  <c r="M1523" i="7"/>
  <c r="M1524" i="7"/>
  <c r="M1525" i="7"/>
  <c r="M1526" i="7"/>
  <c r="M1527" i="7"/>
  <c r="M1528" i="7"/>
  <c r="M1529" i="7"/>
  <c r="M1530" i="7"/>
  <c r="M1531" i="7"/>
  <c r="M1532" i="7"/>
  <c r="M1533" i="7"/>
  <c r="M1534" i="7"/>
  <c r="M1535" i="7"/>
  <c r="M1536" i="7"/>
  <c r="M1537" i="7"/>
  <c r="M1538" i="7"/>
  <c r="M1539" i="7"/>
  <c r="M1540" i="7"/>
  <c r="M1541" i="7"/>
  <c r="M1542" i="7"/>
  <c r="M1543" i="7"/>
  <c r="M1544" i="7"/>
  <c r="M1545" i="7"/>
  <c r="M1546" i="7"/>
  <c r="M1547" i="7"/>
  <c r="M1548" i="7"/>
  <c r="M1549" i="7"/>
  <c r="M1550" i="7"/>
  <c r="M1551" i="7"/>
  <c r="M1552" i="7"/>
  <c r="M1553" i="7"/>
  <c r="M1554" i="7"/>
  <c r="M1555" i="7"/>
  <c r="M1556" i="7"/>
  <c r="M1557" i="7"/>
  <c r="M1558" i="7"/>
  <c r="M1559" i="7"/>
  <c r="M1560" i="7"/>
  <c r="M1561" i="7"/>
  <c r="M1562" i="7"/>
  <c r="M1563" i="7"/>
  <c r="M1564" i="7"/>
  <c r="M1565" i="7"/>
  <c r="M1566" i="7"/>
  <c r="M1567" i="7"/>
  <c r="M1568" i="7"/>
  <c r="M1569" i="7"/>
  <c r="M1570" i="7"/>
  <c r="M1571" i="7"/>
  <c r="M1572" i="7"/>
  <c r="M1573" i="7"/>
  <c r="M1574" i="7"/>
  <c r="M1575" i="7"/>
  <c r="M1576" i="7"/>
  <c r="M1577" i="7"/>
  <c r="M1578" i="7"/>
  <c r="M1579" i="7"/>
  <c r="M1580" i="7"/>
  <c r="M1581" i="7"/>
  <c r="M1582" i="7"/>
  <c r="M1583" i="7"/>
  <c r="M1584" i="7"/>
  <c r="M1585" i="7"/>
  <c r="M1586" i="7"/>
  <c r="M1587" i="7"/>
  <c r="M1588" i="7"/>
  <c r="M1589" i="7"/>
  <c r="M1590" i="7"/>
  <c r="M1591" i="7"/>
  <c r="M1592" i="7"/>
  <c r="M1593" i="7"/>
  <c r="M1594" i="7"/>
  <c r="M1595" i="7"/>
  <c r="M1596" i="7"/>
  <c r="M1597" i="7"/>
  <c r="M1598" i="7"/>
  <c r="M1599" i="7"/>
  <c r="M1600" i="7"/>
  <c r="M1601" i="7"/>
  <c r="M1602" i="7"/>
  <c r="M1603" i="7"/>
  <c r="M1604" i="7"/>
  <c r="M1605" i="7"/>
  <c r="M1606" i="7"/>
  <c r="M1607" i="7"/>
  <c r="M1608" i="7"/>
  <c r="M1609" i="7"/>
  <c r="M1610" i="7"/>
  <c r="M1611" i="7"/>
  <c r="M1612" i="7"/>
  <c r="M1613" i="7"/>
  <c r="M1614" i="7"/>
  <c r="M1615" i="7"/>
  <c r="M1616" i="7"/>
  <c r="M1617" i="7"/>
  <c r="M1618" i="7"/>
  <c r="M1619" i="7"/>
  <c r="M1620" i="7"/>
  <c r="M1621" i="7"/>
  <c r="M1622" i="7"/>
  <c r="M1623" i="7"/>
  <c r="M1624" i="7"/>
  <c r="M1625" i="7"/>
  <c r="M1626" i="7"/>
  <c r="M1627" i="7"/>
  <c r="M1628" i="7"/>
  <c r="M1629" i="7"/>
  <c r="M1630" i="7"/>
  <c r="M1631" i="7"/>
  <c r="M1632" i="7"/>
  <c r="M1633" i="7"/>
  <c r="M1634" i="7"/>
  <c r="M1635" i="7"/>
  <c r="M1636" i="7"/>
  <c r="M1637" i="7"/>
  <c r="M1638" i="7"/>
  <c r="M1639" i="7"/>
  <c r="M1640" i="7"/>
  <c r="M1641" i="7"/>
  <c r="M1642" i="7"/>
  <c r="M1643" i="7"/>
  <c r="M1644" i="7"/>
  <c r="M1645" i="7"/>
  <c r="M1646" i="7"/>
  <c r="M1647" i="7"/>
  <c r="M1648" i="7"/>
  <c r="M1649" i="7"/>
  <c r="M1650" i="7"/>
  <c r="M1651" i="7"/>
  <c r="M1652" i="7"/>
  <c r="M1653" i="7"/>
  <c r="M1654" i="7"/>
  <c r="M1655" i="7"/>
  <c r="M1656" i="7"/>
  <c r="M1657" i="7"/>
  <c r="M1658" i="7"/>
  <c r="M1659" i="7"/>
  <c r="M1660" i="7"/>
  <c r="M1661" i="7"/>
  <c r="M1662" i="7"/>
  <c r="M1663" i="7"/>
  <c r="M1664" i="7"/>
  <c r="M1665" i="7"/>
  <c r="M1666" i="7"/>
  <c r="M1667" i="7"/>
  <c r="M1668" i="7"/>
  <c r="M1669" i="7"/>
  <c r="M1670" i="7"/>
  <c r="M1671" i="7"/>
  <c r="M1672" i="7"/>
  <c r="M1673" i="7"/>
  <c r="M1674" i="7"/>
  <c r="M1675" i="7"/>
  <c r="M1676" i="7"/>
  <c r="M1677" i="7"/>
  <c r="M1678" i="7"/>
  <c r="M1679" i="7"/>
  <c r="M1680" i="7"/>
  <c r="M1681" i="7"/>
  <c r="M1682" i="7"/>
  <c r="M1683" i="7"/>
  <c r="M1684" i="7"/>
  <c r="M1685" i="7"/>
  <c r="M1686" i="7"/>
  <c r="M1687" i="7"/>
  <c r="M1688" i="7"/>
  <c r="M1689" i="7"/>
  <c r="M1690" i="7"/>
  <c r="M1691" i="7"/>
  <c r="M1692" i="7"/>
  <c r="M1693" i="7"/>
  <c r="M1694" i="7"/>
  <c r="M1695" i="7"/>
  <c r="M1696" i="7"/>
  <c r="M1697" i="7"/>
  <c r="M1698" i="7"/>
  <c r="M1699" i="7"/>
  <c r="M1700" i="7"/>
  <c r="M1701" i="7"/>
  <c r="M1702" i="7"/>
  <c r="M1703" i="7"/>
  <c r="M1704" i="7"/>
  <c r="M1705" i="7"/>
  <c r="M1706" i="7"/>
  <c r="M1707" i="7"/>
  <c r="M1708" i="7"/>
  <c r="M1709" i="7"/>
  <c r="M1710" i="7"/>
  <c r="M1711" i="7"/>
  <c r="M1712" i="7"/>
  <c r="M1713" i="7"/>
  <c r="M1714" i="7"/>
  <c r="M1715" i="7"/>
  <c r="M1716" i="7"/>
  <c r="M1717" i="7"/>
  <c r="M1718" i="7"/>
  <c r="M1719" i="7"/>
  <c r="M1720" i="7"/>
  <c r="M1721" i="7"/>
  <c r="M1722" i="7"/>
  <c r="M1723" i="7"/>
  <c r="M1724" i="7"/>
  <c r="M1725" i="7"/>
  <c r="M1726" i="7"/>
  <c r="M1727" i="7"/>
  <c r="M1728" i="7"/>
  <c r="M1729" i="7"/>
  <c r="M1730" i="7"/>
  <c r="M1731" i="7"/>
  <c r="M1732" i="7"/>
  <c r="M1733" i="7"/>
  <c r="M1734" i="7"/>
  <c r="M1735" i="7"/>
  <c r="M1736" i="7"/>
  <c r="M1737" i="7"/>
  <c r="M1738" i="7"/>
  <c r="M1739" i="7"/>
  <c r="M1740" i="7"/>
  <c r="M1741" i="7"/>
  <c r="M1742" i="7"/>
  <c r="M1743" i="7"/>
  <c r="M1744" i="7"/>
  <c r="M1745" i="7"/>
  <c r="M1746" i="7"/>
  <c r="M1747" i="7"/>
  <c r="M1748" i="7"/>
  <c r="M1749" i="7"/>
  <c r="M1750" i="7"/>
  <c r="M1751" i="7"/>
  <c r="M1752" i="7"/>
  <c r="M1753" i="7"/>
  <c r="M1754" i="7"/>
  <c r="M1755" i="7"/>
  <c r="M1756" i="7"/>
  <c r="M1757" i="7"/>
  <c r="M1758" i="7"/>
  <c r="M1759" i="7"/>
  <c r="M1760" i="7"/>
  <c r="M1761" i="7"/>
  <c r="M1762" i="7"/>
  <c r="M1763" i="7"/>
  <c r="M1764" i="7"/>
  <c r="M1765" i="7"/>
  <c r="M1766" i="7"/>
  <c r="M1767" i="7"/>
  <c r="M1768" i="7"/>
  <c r="M1769" i="7"/>
  <c r="M1770" i="7"/>
  <c r="M1771" i="7"/>
  <c r="M1772" i="7"/>
  <c r="M1773" i="7"/>
  <c r="M1774" i="7"/>
  <c r="M1775" i="7"/>
  <c r="M1776" i="7"/>
  <c r="M1777" i="7"/>
  <c r="M1778" i="7"/>
  <c r="M1779" i="7"/>
  <c r="M1780" i="7"/>
  <c r="M1781" i="7"/>
  <c r="M1782" i="7"/>
  <c r="M1783" i="7"/>
  <c r="M1784" i="7"/>
  <c r="M1785" i="7"/>
  <c r="M1786" i="7"/>
  <c r="M1787" i="7"/>
  <c r="M1788" i="7"/>
  <c r="M1789" i="7"/>
  <c r="M1790" i="7"/>
  <c r="M1791" i="7"/>
  <c r="M1792" i="7"/>
  <c r="M1793" i="7"/>
  <c r="M1794" i="7"/>
  <c r="M1795" i="7"/>
  <c r="M1796" i="7"/>
  <c r="M1797" i="7"/>
  <c r="M1798" i="7"/>
  <c r="M1799" i="7"/>
  <c r="M1800" i="7"/>
  <c r="M1801" i="7"/>
  <c r="M1802" i="7"/>
  <c r="M1803" i="7"/>
  <c r="M1804" i="7"/>
  <c r="M1805" i="7"/>
  <c r="M1806" i="7"/>
  <c r="M1807" i="7"/>
  <c r="M1808" i="7"/>
  <c r="M1809" i="7"/>
  <c r="M1810" i="7"/>
  <c r="M1811" i="7"/>
  <c r="M1812" i="7"/>
  <c r="M1813" i="7"/>
  <c r="M1814" i="7"/>
  <c r="M1815" i="7"/>
  <c r="M1816" i="7"/>
  <c r="M1817" i="7"/>
  <c r="M1818" i="7"/>
  <c r="M1819" i="7"/>
  <c r="M1820" i="7"/>
  <c r="M1821" i="7"/>
  <c r="M1822" i="7"/>
  <c r="M1823" i="7"/>
  <c r="M1824" i="7"/>
  <c r="M1825" i="7"/>
  <c r="M1826" i="7"/>
  <c r="M1827" i="7"/>
  <c r="M1828" i="7"/>
  <c r="M1829" i="7"/>
  <c r="M1830" i="7"/>
  <c r="M1831" i="7"/>
  <c r="M1832" i="7"/>
  <c r="M1833" i="7"/>
  <c r="M1834" i="7"/>
  <c r="M1835" i="7"/>
  <c r="M1836" i="7"/>
  <c r="M1837" i="7"/>
  <c r="M1838" i="7"/>
  <c r="M1839" i="7"/>
  <c r="M1840" i="7"/>
  <c r="M1841" i="7"/>
  <c r="M1842" i="7"/>
  <c r="M1843" i="7"/>
  <c r="M1844" i="7"/>
  <c r="M1845" i="7"/>
  <c r="M1846" i="7"/>
  <c r="M1847" i="7"/>
  <c r="M1848" i="7"/>
  <c r="M1849" i="7"/>
  <c r="M1850" i="7"/>
  <c r="M1851" i="7"/>
  <c r="M1852" i="7"/>
  <c r="M1853" i="7"/>
  <c r="M1854" i="7"/>
  <c r="M1855" i="7"/>
  <c r="M1856" i="7"/>
  <c r="M1857" i="7"/>
  <c r="M1858" i="7"/>
  <c r="M1859" i="7"/>
  <c r="M1860" i="7"/>
  <c r="M1861" i="7"/>
  <c r="M1862" i="7"/>
  <c r="M1863" i="7"/>
  <c r="M1864" i="7"/>
  <c r="M1865" i="7"/>
  <c r="M1866" i="7"/>
  <c r="M1867" i="7"/>
  <c r="M1868" i="7"/>
  <c r="M1869" i="7"/>
  <c r="M1870" i="7"/>
  <c r="M1871" i="7"/>
  <c r="M1872" i="7"/>
  <c r="M1873" i="7"/>
  <c r="M1874" i="7"/>
  <c r="M1875" i="7"/>
  <c r="M1876" i="7"/>
  <c r="M1877" i="7"/>
  <c r="M1878" i="7"/>
  <c r="M1879" i="7"/>
  <c r="M1880" i="7"/>
  <c r="M1881" i="7"/>
  <c r="M1882" i="7"/>
  <c r="M1883" i="7"/>
  <c r="M1884" i="7"/>
  <c r="M1885" i="7"/>
  <c r="M1886" i="7"/>
  <c r="M1887" i="7"/>
  <c r="M1888" i="7"/>
  <c r="M1889" i="7"/>
  <c r="M1890" i="7"/>
  <c r="M1891" i="7"/>
  <c r="M1892" i="7"/>
  <c r="M1893" i="7"/>
  <c r="M1894" i="7"/>
  <c r="M3321" i="7"/>
  <c r="M3323" i="7"/>
  <c r="M3325" i="7"/>
  <c r="M3328" i="7"/>
  <c r="M3330" i="7"/>
  <c r="M3332" i="7"/>
  <c r="M3334" i="7"/>
  <c r="M3336" i="7"/>
  <c r="M3338" i="7"/>
  <c r="M3340" i="7"/>
  <c r="M3342" i="7"/>
  <c r="M3344" i="7"/>
  <c r="M3346" i="7"/>
  <c r="M3348" i="7"/>
  <c r="M3350" i="7"/>
  <c r="M3352" i="7"/>
  <c r="M3354" i="7"/>
  <c r="M3356" i="7"/>
  <c r="M3359" i="7"/>
  <c r="M3361" i="7"/>
  <c r="M3363" i="7"/>
  <c r="M3365" i="7"/>
  <c r="M3366" i="7"/>
  <c r="M3369" i="7"/>
  <c r="M3371" i="7"/>
  <c r="M3373" i="7"/>
  <c r="M3375" i="7"/>
  <c r="M3377" i="7"/>
  <c r="M3379" i="7"/>
  <c r="M3381" i="7"/>
  <c r="M3382" i="7"/>
  <c r="M3384" i="7"/>
  <c r="M3386" i="7"/>
  <c r="M3388" i="7"/>
  <c r="M3390" i="7"/>
  <c r="M3392" i="7"/>
  <c r="M3394" i="7"/>
  <c r="M3396" i="7"/>
  <c r="M3399" i="7"/>
  <c r="M3401" i="7"/>
  <c r="M3403" i="7"/>
  <c r="M3405" i="7"/>
  <c r="M3407" i="7"/>
  <c r="M3409" i="7"/>
  <c r="M3411" i="7"/>
  <c r="M3414" i="7"/>
  <c r="M16" i="5"/>
  <c r="M7" i="5"/>
  <c r="M136" i="5"/>
  <c r="M131" i="5"/>
  <c r="M274" i="5"/>
  <c r="M92" i="5"/>
  <c r="M20" i="5"/>
  <c r="M188" i="5"/>
  <c r="M122" i="5"/>
  <c r="M1895" i="7"/>
  <c r="M1896" i="7"/>
  <c r="M1897" i="7"/>
  <c r="M1898" i="7"/>
  <c r="M1899" i="7"/>
  <c r="M1900" i="7"/>
  <c r="M1901" i="7"/>
  <c r="M1902" i="7"/>
  <c r="M1903" i="7"/>
  <c r="M1904" i="7"/>
  <c r="M1905" i="7"/>
  <c r="M1906" i="7"/>
  <c r="M1907" i="7"/>
  <c r="M1908" i="7"/>
  <c r="M1909" i="7"/>
  <c r="M1910" i="7"/>
  <c r="M1911" i="7"/>
  <c r="M1912" i="7"/>
  <c r="M1913" i="7"/>
  <c r="M1914" i="7"/>
  <c r="M1915" i="7"/>
  <c r="M1916" i="7"/>
  <c r="M1917" i="7"/>
  <c r="M1918" i="7"/>
  <c r="M1919" i="7"/>
  <c r="M1920" i="7"/>
  <c r="M1921" i="7"/>
  <c r="M1922" i="7"/>
  <c r="M1923" i="7"/>
  <c r="M1924" i="7"/>
  <c r="M1925" i="7"/>
  <c r="M1926" i="7"/>
  <c r="M1927" i="7"/>
  <c r="M1928" i="7"/>
  <c r="M1929" i="7"/>
  <c r="M1930" i="7"/>
  <c r="M1931" i="7"/>
  <c r="M1932" i="7"/>
  <c r="M1933" i="7"/>
  <c r="M1934" i="7"/>
  <c r="M1935" i="7"/>
  <c r="M1936" i="7"/>
  <c r="M1937" i="7"/>
  <c r="M1938" i="7"/>
  <c r="M1939" i="7"/>
  <c r="M1940" i="7"/>
  <c r="M1941" i="7"/>
  <c r="M1942" i="7"/>
  <c r="M1943" i="7"/>
  <c r="M1944" i="7"/>
  <c r="M1945" i="7"/>
  <c r="M1946" i="7"/>
  <c r="M1947" i="7"/>
  <c r="M1948" i="7"/>
  <c r="M1949" i="7"/>
  <c r="M1950" i="7"/>
  <c r="M1951" i="7"/>
  <c r="M1952" i="7"/>
  <c r="M1953" i="7"/>
  <c r="M1954" i="7"/>
  <c r="M1955" i="7"/>
  <c r="M1956" i="7"/>
  <c r="M1957" i="7"/>
  <c r="M1958" i="7"/>
  <c r="M1959" i="7"/>
  <c r="M1960" i="7"/>
  <c r="M1961" i="7"/>
  <c r="M1962" i="7"/>
  <c r="M1963" i="7"/>
  <c r="M1964" i="7"/>
  <c r="M1965" i="7"/>
  <c r="M1966" i="7"/>
  <c r="M1967" i="7"/>
  <c r="M1968" i="7"/>
  <c r="M1969" i="7"/>
  <c r="M1970" i="7"/>
  <c r="M1971" i="7"/>
  <c r="M1972" i="7"/>
  <c r="M1973" i="7"/>
  <c r="M1974" i="7"/>
  <c r="M1975" i="7"/>
  <c r="M1976" i="7"/>
  <c r="M1977" i="7"/>
  <c r="M1978" i="7"/>
  <c r="M1979" i="7"/>
  <c r="M1980" i="7"/>
  <c r="M1981" i="7"/>
  <c r="M1982" i="7"/>
  <c r="M1983" i="7"/>
  <c r="M1984" i="7"/>
  <c r="M1985" i="7"/>
  <c r="M1986" i="7"/>
  <c r="M1987" i="7"/>
  <c r="M1988" i="7"/>
  <c r="M1989" i="7"/>
  <c r="M1990" i="7"/>
  <c r="M1991" i="7"/>
  <c r="M1992" i="7"/>
  <c r="M1993" i="7"/>
  <c r="M1994" i="7"/>
  <c r="M1995" i="7"/>
  <c r="M1996" i="7"/>
  <c r="M1997" i="7"/>
  <c r="M1998" i="7"/>
  <c r="M1999" i="7"/>
  <c r="M2000" i="7"/>
  <c r="M2001" i="7"/>
  <c r="M2002" i="7"/>
  <c r="M2003" i="7"/>
  <c r="M2004" i="7"/>
  <c r="M2005" i="7"/>
  <c r="M2006" i="7"/>
  <c r="M2007" i="7"/>
  <c r="M2008" i="7"/>
  <c r="M2009" i="7"/>
  <c r="M2010" i="7"/>
  <c r="M2011" i="7"/>
  <c r="M2012" i="7"/>
  <c r="M2013" i="7"/>
  <c r="M2014" i="7"/>
  <c r="M2015" i="7"/>
  <c r="M2016" i="7"/>
  <c r="M2017" i="7"/>
  <c r="M2018" i="7"/>
  <c r="M2019" i="7"/>
  <c r="M2020" i="7"/>
  <c r="M2021" i="7"/>
  <c r="M2022" i="7"/>
  <c r="M2023" i="7"/>
  <c r="M2024" i="7"/>
  <c r="M2025" i="7"/>
  <c r="M2026" i="7"/>
  <c r="M2027" i="7"/>
  <c r="M2028" i="7"/>
  <c r="M2029" i="7"/>
  <c r="M2030" i="7"/>
  <c r="M2031" i="7"/>
  <c r="M2032" i="7"/>
  <c r="M2033" i="7"/>
  <c r="M2034" i="7"/>
  <c r="M2035" i="7"/>
  <c r="M2036" i="7"/>
  <c r="M2037" i="7"/>
  <c r="M2038" i="7"/>
  <c r="M2039" i="7"/>
  <c r="M2040" i="7"/>
  <c r="M2041" i="7"/>
  <c r="M2042" i="7"/>
  <c r="M2043" i="7"/>
  <c r="M2044" i="7"/>
  <c r="M2045" i="7"/>
  <c r="M2046" i="7"/>
  <c r="M2047" i="7"/>
  <c r="M2048" i="7"/>
  <c r="M2049" i="7"/>
  <c r="M2050" i="7"/>
  <c r="M2051" i="7"/>
  <c r="M2052" i="7"/>
  <c r="M2053" i="7"/>
  <c r="M2054" i="7"/>
  <c r="M2055" i="7"/>
  <c r="M2056" i="7"/>
  <c r="M2057" i="7"/>
  <c r="M2058" i="7"/>
  <c r="M2059" i="7"/>
  <c r="M2060" i="7"/>
  <c r="M2061" i="7"/>
  <c r="M2062" i="7"/>
  <c r="M2063" i="7"/>
  <c r="M2064" i="7"/>
  <c r="M2065" i="7"/>
  <c r="M2066" i="7"/>
  <c r="M2067" i="7"/>
  <c r="M2068" i="7"/>
  <c r="M2069" i="7"/>
  <c r="M2070" i="7"/>
  <c r="M2071" i="7"/>
  <c r="M2072" i="7"/>
  <c r="M2073" i="7"/>
  <c r="M2074" i="7"/>
  <c r="M2075" i="7"/>
  <c r="M2076" i="7"/>
  <c r="M2077" i="7"/>
  <c r="M2078" i="7"/>
  <c r="M2079" i="7"/>
  <c r="M2080" i="7"/>
  <c r="M2081" i="7"/>
  <c r="M2082" i="7"/>
  <c r="M2083" i="7"/>
  <c r="M2084" i="7"/>
  <c r="M2085" i="7"/>
  <c r="M2086" i="7"/>
  <c r="M2087" i="7"/>
  <c r="M2088" i="7"/>
  <c r="M2089" i="7"/>
  <c r="M2090" i="7"/>
  <c r="M2091" i="7"/>
  <c r="M2092" i="7"/>
  <c r="M2093" i="7"/>
  <c r="M2094" i="7"/>
  <c r="M2095" i="7"/>
  <c r="M2096" i="7"/>
  <c r="M2097" i="7"/>
  <c r="M2098" i="7"/>
  <c r="M2099" i="7"/>
  <c r="M2100" i="7"/>
  <c r="M2101" i="7"/>
  <c r="M2102" i="7"/>
  <c r="M2103" i="7"/>
  <c r="M2104" i="7"/>
  <c r="M2105" i="7"/>
  <c r="M2106" i="7"/>
  <c r="M2107" i="7"/>
  <c r="M2108" i="7"/>
  <c r="M2109" i="7"/>
  <c r="M2110" i="7"/>
  <c r="M2111" i="7"/>
  <c r="M2112" i="7"/>
  <c r="M2113" i="7"/>
  <c r="M2114" i="7"/>
  <c r="M2115" i="7"/>
  <c r="M2116" i="7"/>
  <c r="M2117" i="7"/>
  <c r="M2118" i="7"/>
  <c r="M2119" i="7"/>
  <c r="M2120" i="7"/>
  <c r="M2121" i="7"/>
  <c r="M2122" i="7"/>
  <c r="M2123" i="7"/>
  <c r="M2124" i="7"/>
  <c r="M2125" i="7"/>
  <c r="M2126" i="7"/>
  <c r="M2127" i="7"/>
  <c r="M2128" i="7"/>
  <c r="M2129" i="7"/>
  <c r="M2130" i="7"/>
  <c r="M2131" i="7"/>
  <c r="M2132" i="7"/>
  <c r="M2133" i="7"/>
  <c r="M2134" i="7"/>
  <c r="M2135" i="7"/>
  <c r="M2136" i="7"/>
  <c r="M2137" i="7"/>
  <c r="M2138" i="7"/>
  <c r="M2139" i="7"/>
  <c r="M2140" i="7"/>
  <c r="M2141" i="7"/>
  <c r="M2142" i="7"/>
  <c r="M2143" i="7"/>
  <c r="M2144" i="7"/>
  <c r="M2145" i="7"/>
  <c r="M2146" i="7"/>
  <c r="M2147" i="7"/>
  <c r="M2148" i="7"/>
  <c r="M2149" i="7"/>
  <c r="M2150" i="7"/>
  <c r="M2151" i="7"/>
  <c r="M2152" i="7"/>
  <c r="M2153" i="7"/>
  <c r="M2154" i="7"/>
  <c r="M2155" i="7"/>
  <c r="M2156" i="7"/>
  <c r="M2157" i="7"/>
  <c r="M2158" i="7"/>
  <c r="M2159" i="7"/>
  <c r="M2160" i="7"/>
  <c r="M2161" i="7"/>
  <c r="M2162" i="7"/>
  <c r="M2163" i="7"/>
  <c r="M2164" i="7"/>
  <c r="M2165" i="7"/>
  <c r="M2166" i="7"/>
  <c r="M2167" i="7"/>
  <c r="M2168" i="7"/>
  <c r="M2169" i="7"/>
  <c r="M2170" i="7"/>
  <c r="M2171" i="7"/>
  <c r="M2172" i="7"/>
  <c r="M2173" i="7"/>
  <c r="M2174" i="7"/>
  <c r="M2175" i="7"/>
  <c r="M2176" i="7"/>
  <c r="M2177" i="7"/>
  <c r="M2178" i="7"/>
  <c r="M2179" i="7"/>
  <c r="M2180" i="7"/>
  <c r="M2181" i="7"/>
  <c r="M2182" i="7"/>
  <c r="M2183" i="7"/>
  <c r="M2184" i="7"/>
  <c r="M2185" i="7"/>
  <c r="M2186" i="7"/>
  <c r="M2187" i="7"/>
  <c r="M2188" i="7"/>
  <c r="M2189" i="7"/>
  <c r="M2190" i="7"/>
  <c r="M2191" i="7"/>
  <c r="M2192" i="7"/>
  <c r="M2193" i="7"/>
  <c r="M2194" i="7"/>
  <c r="M2195" i="7"/>
  <c r="M2196" i="7"/>
  <c r="M2197" i="7"/>
  <c r="M2198" i="7"/>
  <c r="M2199" i="7"/>
  <c r="M2200" i="7"/>
  <c r="M2201" i="7"/>
  <c r="M2202" i="7"/>
  <c r="M2203" i="7"/>
  <c r="M2204" i="7"/>
  <c r="M2205" i="7"/>
  <c r="M2206" i="7"/>
  <c r="M2207" i="7"/>
  <c r="M2208" i="7"/>
  <c r="M2209" i="7"/>
  <c r="M2210" i="7"/>
  <c r="M2211" i="7"/>
  <c r="M2212" i="7"/>
  <c r="M2213" i="7"/>
  <c r="M2214" i="7"/>
  <c r="M2215" i="7"/>
  <c r="M2216" i="7"/>
  <c r="M2217" i="7"/>
  <c r="M2218" i="7"/>
  <c r="M2219" i="7"/>
  <c r="M2220" i="7"/>
  <c r="M2221" i="7"/>
  <c r="M2222" i="7"/>
  <c r="M2223" i="7"/>
  <c r="M2224" i="7"/>
  <c r="M2225" i="7"/>
  <c r="M2226" i="7"/>
  <c r="M2227" i="7"/>
  <c r="M2228" i="7"/>
  <c r="M2229" i="7"/>
  <c r="M2230" i="7"/>
  <c r="M2231" i="7"/>
  <c r="M2232" i="7"/>
  <c r="M2233" i="7"/>
  <c r="M2234" i="7"/>
  <c r="M2235" i="7"/>
  <c r="M2236" i="7"/>
  <c r="M2237" i="7"/>
  <c r="M2238" i="7"/>
  <c r="M2239" i="7"/>
  <c r="M2240" i="7"/>
  <c r="M2241" i="7"/>
  <c r="M2242" i="7"/>
  <c r="M2243" i="7"/>
  <c r="M2244" i="7"/>
  <c r="M2245" i="7"/>
  <c r="M2246" i="7"/>
  <c r="M2247" i="7"/>
  <c r="M2248" i="7"/>
  <c r="M2249" i="7"/>
  <c r="M2250" i="7"/>
  <c r="M2251" i="7"/>
  <c r="M2252" i="7"/>
  <c r="M2253" i="7"/>
  <c r="M2254" i="7"/>
  <c r="M2255" i="7"/>
  <c r="M2256" i="7"/>
  <c r="M2257" i="7"/>
  <c r="M2258" i="7"/>
  <c r="M2259" i="7"/>
  <c r="M2260" i="7"/>
  <c r="M2261" i="7"/>
  <c r="M2262" i="7"/>
  <c r="M2263" i="7"/>
  <c r="M2264" i="7"/>
  <c r="M2265" i="7"/>
  <c r="M2266" i="7"/>
  <c r="M2267" i="7"/>
  <c r="M2268" i="7"/>
  <c r="M2269" i="7"/>
  <c r="M2270" i="7"/>
  <c r="M2271" i="7"/>
  <c r="M2272" i="7"/>
  <c r="M2273" i="7"/>
  <c r="M2274" i="7"/>
  <c r="M2275" i="7"/>
  <c r="M2276" i="7"/>
  <c r="M2277" i="7"/>
  <c r="M2278" i="7"/>
  <c r="M2279" i="7"/>
  <c r="M2280" i="7"/>
  <c r="M2281" i="7"/>
  <c r="M2282" i="7"/>
  <c r="M2283" i="7"/>
  <c r="M2284" i="7"/>
  <c r="M2285" i="7"/>
  <c r="M2286" i="7"/>
  <c r="M2287" i="7"/>
  <c r="M2288" i="7"/>
  <c r="M2289" i="7"/>
  <c r="M2290" i="7"/>
  <c r="M2291" i="7"/>
  <c r="M2292" i="7"/>
  <c r="M2293" i="7"/>
  <c r="M2294" i="7"/>
  <c r="M2295" i="7"/>
  <c r="M2296" i="7"/>
  <c r="M2297" i="7"/>
  <c r="M2298" i="7"/>
  <c r="M2299" i="7"/>
  <c r="M2300" i="7"/>
  <c r="M2301" i="7"/>
  <c r="M2302" i="7"/>
  <c r="M2303" i="7"/>
  <c r="M2304" i="7"/>
  <c r="M2305" i="7"/>
  <c r="M2306" i="7"/>
  <c r="M2307" i="7"/>
  <c r="M2308" i="7"/>
  <c r="M2309" i="7"/>
  <c r="M2310" i="7"/>
  <c r="M2311" i="7"/>
  <c r="M2312" i="7"/>
  <c r="M2313" i="7"/>
  <c r="M2314" i="7"/>
  <c r="M2315" i="7"/>
  <c r="M2316" i="7"/>
  <c r="M2317" i="7"/>
  <c r="M2318" i="7"/>
  <c r="M2319" i="7"/>
  <c r="M2320" i="7"/>
  <c r="M2321" i="7"/>
  <c r="M2322" i="7"/>
  <c r="M2323" i="7"/>
  <c r="M2324" i="7"/>
  <c r="M2325" i="7"/>
  <c r="M2326" i="7"/>
  <c r="M2327" i="7"/>
  <c r="M2328" i="7"/>
  <c r="M2329" i="7"/>
  <c r="M2330" i="7"/>
  <c r="M2331" i="7"/>
  <c r="M2332" i="7"/>
  <c r="M2333" i="7"/>
  <c r="M2334" i="7"/>
  <c r="M2335" i="7"/>
  <c r="M2336" i="7"/>
  <c r="M2337" i="7"/>
  <c r="M2338" i="7"/>
  <c r="M2339" i="7"/>
  <c r="M2340" i="7"/>
  <c r="M2341" i="7"/>
  <c r="M2342" i="7"/>
  <c r="M2343" i="7"/>
  <c r="M2344" i="7"/>
  <c r="M2345" i="7"/>
  <c r="M2346" i="7"/>
  <c r="M2347" i="7"/>
  <c r="M2348" i="7"/>
  <c r="M2349" i="7"/>
  <c r="M2350" i="7"/>
  <c r="M2351" i="7"/>
  <c r="M2352" i="7"/>
  <c r="M2353" i="7"/>
  <c r="M2354" i="7"/>
  <c r="M2355" i="7"/>
  <c r="M2356" i="7"/>
  <c r="M2357" i="7"/>
  <c r="M2358" i="7"/>
  <c r="M2359" i="7"/>
  <c r="M2360" i="7"/>
  <c r="M2361" i="7"/>
  <c r="M2362" i="7"/>
  <c r="M2363" i="7"/>
  <c r="M2364" i="7"/>
  <c r="M2365" i="7"/>
  <c r="M2366" i="7"/>
  <c r="M2367" i="7"/>
  <c r="M2368" i="7"/>
  <c r="M2369" i="7"/>
  <c r="M2370" i="7"/>
  <c r="M2371" i="7"/>
  <c r="M2372" i="7"/>
  <c r="M2373" i="7"/>
  <c r="M2374" i="7"/>
  <c r="M2375" i="7"/>
  <c r="M2376" i="7"/>
  <c r="M2377" i="7"/>
  <c r="M2378" i="7"/>
  <c r="M2379" i="7"/>
  <c r="M2380" i="7"/>
  <c r="M2381" i="7"/>
  <c r="M2382" i="7"/>
  <c r="M2383" i="7"/>
  <c r="M2384" i="7"/>
  <c r="M2385" i="7"/>
  <c r="M2386" i="7"/>
  <c r="M2387" i="7"/>
  <c r="M2388" i="7"/>
  <c r="M2389" i="7"/>
  <c r="M2390" i="7"/>
  <c r="M2391" i="7"/>
  <c r="M2392" i="7"/>
  <c r="M2393" i="7"/>
  <c r="M2394" i="7"/>
  <c r="M2395" i="7"/>
  <c r="M2396" i="7"/>
  <c r="M2397" i="7"/>
  <c r="M2398" i="7"/>
  <c r="M2399" i="7"/>
  <c r="M2400" i="7"/>
  <c r="M2401" i="7"/>
  <c r="M2402" i="7"/>
  <c r="M2403" i="7"/>
  <c r="M2404" i="7"/>
  <c r="M2405" i="7"/>
  <c r="M2406" i="7"/>
  <c r="M2407" i="7"/>
  <c r="M2408" i="7"/>
  <c r="M2409" i="7"/>
  <c r="M2410" i="7"/>
  <c r="M2411" i="7"/>
  <c r="M2412" i="7"/>
  <c r="M2413" i="7"/>
  <c r="M2414" i="7"/>
  <c r="M2415" i="7"/>
  <c r="M2416" i="7"/>
  <c r="M2417" i="7"/>
  <c r="M2418" i="7"/>
  <c r="M2419" i="7"/>
  <c r="M2420" i="7"/>
  <c r="M2421" i="7"/>
  <c r="M2422" i="7"/>
  <c r="M2423" i="7"/>
  <c r="M2424" i="7"/>
  <c r="M2425" i="7"/>
  <c r="M2426" i="7"/>
  <c r="M2427" i="7"/>
  <c r="M2428" i="7"/>
  <c r="M2429" i="7"/>
  <c r="M2430" i="7"/>
  <c r="M2431" i="7"/>
  <c r="M2432" i="7"/>
  <c r="M2433" i="7"/>
  <c r="M2434" i="7"/>
  <c r="M2435" i="7"/>
  <c r="M2436" i="7"/>
  <c r="M2437" i="7"/>
  <c r="M2438" i="7"/>
  <c r="M2439" i="7"/>
  <c r="M2440" i="7"/>
  <c r="M2441" i="7"/>
  <c r="M2442" i="7"/>
  <c r="M2443" i="7"/>
  <c r="M2444" i="7"/>
  <c r="M2445" i="7"/>
  <c r="M2446" i="7"/>
  <c r="M2447" i="7"/>
  <c r="M2448" i="7"/>
  <c r="M2449" i="7"/>
  <c r="M2450" i="7"/>
  <c r="M2451" i="7"/>
  <c r="M2452" i="7"/>
  <c r="M2453" i="7"/>
  <c r="M2454" i="7"/>
  <c r="M2455" i="7"/>
  <c r="M2456" i="7"/>
  <c r="M2457" i="7"/>
  <c r="M2458" i="7"/>
  <c r="M2459" i="7"/>
  <c r="M2460" i="7"/>
  <c r="M2461" i="7"/>
  <c r="M2462" i="7"/>
  <c r="M2463" i="7"/>
  <c r="M2464" i="7"/>
  <c r="M2465" i="7"/>
  <c r="M2466" i="7"/>
  <c r="M2467" i="7"/>
  <c r="M2468" i="7"/>
  <c r="M2469" i="7"/>
  <c r="M2470" i="7"/>
  <c r="M2471" i="7"/>
  <c r="M2472" i="7"/>
  <c r="M2473" i="7"/>
  <c r="M2474" i="7"/>
  <c r="M2475" i="7"/>
  <c r="M2476" i="7"/>
  <c r="M2477" i="7"/>
  <c r="M2478" i="7"/>
  <c r="M2479" i="7"/>
  <c r="M2480" i="7"/>
  <c r="M2481" i="7"/>
  <c r="M2482" i="7"/>
  <c r="M2483" i="7"/>
  <c r="M2484" i="7"/>
  <c r="M2485" i="7"/>
  <c r="M2486" i="7"/>
  <c r="M2487" i="7"/>
  <c r="M2488" i="7"/>
  <c r="M2489" i="7"/>
  <c r="M2490" i="7"/>
  <c r="M2491" i="7"/>
  <c r="M2492" i="7"/>
  <c r="M2493" i="7"/>
  <c r="M2494" i="7"/>
  <c r="M2495" i="7"/>
  <c r="M2496" i="7"/>
  <c r="M2497" i="7"/>
  <c r="M2498" i="7"/>
  <c r="M2499" i="7"/>
  <c r="M2500" i="7"/>
  <c r="M2501" i="7"/>
  <c r="M2502" i="7"/>
  <c r="M2503" i="7"/>
  <c r="M2504" i="7"/>
  <c r="M2505" i="7"/>
  <c r="M2506" i="7"/>
  <c r="M2507" i="7"/>
  <c r="M2508" i="7"/>
  <c r="M2509" i="7"/>
  <c r="M2510" i="7"/>
  <c r="M2511" i="7"/>
  <c r="M2512" i="7"/>
  <c r="M2513" i="7"/>
  <c r="M2514" i="7"/>
  <c r="M2515" i="7"/>
  <c r="M2516" i="7"/>
  <c r="M2517" i="7"/>
  <c r="M2518" i="7"/>
  <c r="M2519" i="7"/>
  <c r="M2520" i="7"/>
  <c r="M2521" i="7"/>
  <c r="M2522" i="7"/>
  <c r="M2523" i="7"/>
  <c r="M2524" i="7"/>
  <c r="M2525" i="7"/>
  <c r="M2526" i="7"/>
  <c r="M2527" i="7"/>
  <c r="M2528" i="7"/>
  <c r="M2529" i="7"/>
  <c r="M2530" i="7"/>
  <c r="M2531" i="7"/>
  <c r="M2532" i="7"/>
  <c r="M2533" i="7"/>
  <c r="M2534" i="7"/>
  <c r="M2535" i="7"/>
  <c r="M2536" i="7"/>
  <c r="M2537" i="7"/>
  <c r="M2538" i="7"/>
  <c r="M2539" i="7"/>
  <c r="M2540" i="7"/>
  <c r="M2541" i="7"/>
  <c r="M2542" i="7"/>
  <c r="M2543" i="7"/>
  <c r="M2544" i="7"/>
  <c r="M2545" i="7"/>
  <c r="M2546" i="7"/>
  <c r="M2547" i="7"/>
  <c r="M2548" i="7"/>
  <c r="M2549" i="7"/>
  <c r="M2550" i="7"/>
  <c r="M2551" i="7"/>
  <c r="M2552" i="7"/>
  <c r="M2553" i="7"/>
  <c r="M2554" i="7"/>
  <c r="M2555" i="7"/>
  <c r="M2556" i="7"/>
  <c r="M2557" i="7"/>
  <c r="M2558" i="7"/>
  <c r="M2559" i="7"/>
  <c r="M2560" i="7"/>
  <c r="M2561" i="7"/>
  <c r="M2562" i="7"/>
  <c r="M2563" i="7"/>
  <c r="M2564" i="7"/>
  <c r="M2565" i="7"/>
  <c r="M2566" i="7"/>
  <c r="M2567" i="7"/>
  <c r="M2568" i="7"/>
  <c r="M2569" i="7"/>
  <c r="M2570" i="7"/>
  <c r="M2571" i="7"/>
  <c r="M2572" i="7"/>
  <c r="M2573" i="7"/>
  <c r="M2574" i="7"/>
  <c r="M2575" i="7"/>
  <c r="M2576" i="7"/>
  <c r="M2577" i="7"/>
  <c r="M2578" i="7"/>
  <c r="M2579" i="7"/>
  <c r="M2580" i="7"/>
  <c r="M2581" i="7"/>
  <c r="M2582" i="7"/>
  <c r="M2583" i="7"/>
  <c r="M2584" i="7"/>
  <c r="M2585" i="7"/>
  <c r="M2586" i="7"/>
  <c r="M2587" i="7"/>
  <c r="M2588" i="7"/>
  <c r="M2589" i="7"/>
  <c r="M2590" i="7"/>
  <c r="M2591" i="7"/>
  <c r="M2592" i="7"/>
  <c r="M2593" i="7"/>
  <c r="M2594" i="7"/>
  <c r="M2595" i="7"/>
  <c r="M2596" i="7"/>
  <c r="M2597" i="7"/>
  <c r="M2598" i="7"/>
  <c r="M2599" i="7"/>
  <c r="M2600" i="7"/>
  <c r="M2601" i="7"/>
  <c r="M2602" i="7"/>
  <c r="M2603" i="7"/>
  <c r="M2604" i="7"/>
  <c r="M2605" i="7"/>
  <c r="M2606" i="7"/>
  <c r="M2607" i="7"/>
  <c r="M2608" i="7"/>
  <c r="M2609" i="7"/>
  <c r="M2610" i="7"/>
  <c r="M2611" i="7"/>
  <c r="M2612" i="7"/>
  <c r="M2613" i="7"/>
  <c r="M2614" i="7"/>
  <c r="M2615" i="7"/>
  <c r="M2616" i="7"/>
  <c r="M2617" i="7"/>
  <c r="M2618" i="7"/>
  <c r="M2619" i="7"/>
  <c r="M2620" i="7"/>
  <c r="M2621" i="7"/>
  <c r="M2622" i="7"/>
  <c r="M2623" i="7"/>
  <c r="M2624" i="7"/>
  <c r="M2625" i="7"/>
  <c r="M2626" i="7"/>
  <c r="M2627" i="7"/>
  <c r="M2628" i="7"/>
  <c r="M2629" i="7"/>
  <c r="M2630" i="7"/>
  <c r="M2631" i="7"/>
  <c r="M2632" i="7"/>
  <c r="M2633" i="7"/>
  <c r="M2634" i="7"/>
  <c r="M2635" i="7"/>
  <c r="M2636" i="7"/>
  <c r="M2637" i="7"/>
  <c r="M2638" i="7"/>
  <c r="M2639" i="7"/>
  <c r="M2640" i="7"/>
  <c r="M2641" i="7"/>
  <c r="M2642" i="7"/>
  <c r="M2643" i="7"/>
  <c r="M2644" i="7"/>
  <c r="M2645" i="7"/>
  <c r="M2646" i="7"/>
  <c r="M2647" i="7"/>
  <c r="M2648" i="7"/>
  <c r="M2649" i="7"/>
  <c r="M2650" i="7"/>
  <c r="M2651" i="7"/>
  <c r="M2652" i="7"/>
  <c r="M2653" i="7"/>
  <c r="M2654" i="7"/>
  <c r="M2655" i="7"/>
  <c r="M2656" i="7"/>
  <c r="M2657" i="7"/>
  <c r="M2658" i="7"/>
  <c r="M2659" i="7"/>
  <c r="M2660" i="7"/>
  <c r="M2661" i="7"/>
  <c r="M2662" i="7"/>
  <c r="M2663" i="7"/>
  <c r="M2664" i="7"/>
  <c r="M2665" i="7"/>
  <c r="M2666" i="7"/>
  <c r="M2667" i="7"/>
  <c r="M2668" i="7"/>
  <c r="M2669" i="7"/>
  <c r="M2670" i="7"/>
  <c r="M2671" i="7"/>
  <c r="M2672" i="7"/>
  <c r="M2673" i="7"/>
  <c r="M2674" i="7"/>
  <c r="M2675" i="7"/>
  <c r="M2676" i="7"/>
  <c r="M2677" i="7"/>
  <c r="M2678" i="7"/>
  <c r="M2679" i="7"/>
  <c r="M2680" i="7"/>
  <c r="M2681" i="7"/>
  <c r="M2682" i="7"/>
  <c r="M2683" i="7"/>
  <c r="M2684" i="7"/>
  <c r="M2685" i="7"/>
  <c r="M2686" i="7"/>
  <c r="M2687" i="7"/>
  <c r="M2688" i="7"/>
  <c r="M2689" i="7"/>
  <c r="M2690" i="7"/>
  <c r="M2691" i="7"/>
  <c r="M2692" i="7"/>
  <c r="M2693" i="7"/>
  <c r="M2694" i="7"/>
  <c r="M2695" i="7"/>
  <c r="M2696" i="7"/>
  <c r="M2697" i="7"/>
  <c r="M2698" i="7"/>
  <c r="M2699" i="7"/>
  <c r="M2700" i="7"/>
  <c r="M2701" i="7"/>
  <c r="M2702" i="7"/>
  <c r="M2703" i="7"/>
  <c r="M2704" i="7"/>
  <c r="M2705" i="7"/>
  <c r="M2706" i="7"/>
  <c r="M2707" i="7"/>
  <c r="M2708" i="7"/>
  <c r="M2709" i="7"/>
  <c r="M2710" i="7"/>
  <c r="M2711" i="7"/>
  <c r="M2712" i="7"/>
  <c r="M2713" i="7"/>
  <c r="M2714" i="7"/>
  <c r="M2715" i="7"/>
  <c r="M2716" i="7"/>
  <c r="M2717" i="7"/>
  <c r="M2718" i="7"/>
  <c r="M2719" i="7"/>
  <c r="M2720" i="7"/>
  <c r="M2721" i="7"/>
  <c r="M2722" i="7"/>
  <c r="M2723" i="7"/>
  <c r="M2724" i="7"/>
  <c r="M2725" i="7"/>
  <c r="M2726" i="7"/>
  <c r="M2727" i="7"/>
  <c r="M2728" i="7"/>
  <c r="M2729" i="7"/>
  <c r="M2730" i="7"/>
  <c r="M2731" i="7"/>
  <c r="M2732" i="7"/>
  <c r="M2733" i="7"/>
  <c r="M2734" i="7"/>
  <c r="M2735" i="7"/>
  <c r="M2736" i="7"/>
  <c r="M2737" i="7"/>
  <c r="M2738" i="7"/>
  <c r="M2739" i="7"/>
  <c r="M2740" i="7"/>
  <c r="M2741" i="7"/>
  <c r="M2742" i="7"/>
  <c r="M2743" i="7"/>
  <c r="M2744" i="7"/>
  <c r="M2745" i="7"/>
  <c r="M2746" i="7"/>
  <c r="M2747" i="7"/>
  <c r="M2748" i="7"/>
  <c r="M2749" i="7"/>
  <c r="M2750" i="7"/>
  <c r="M2751" i="7"/>
  <c r="M2752" i="7"/>
  <c r="M2753" i="7"/>
  <c r="M2754" i="7"/>
  <c r="M2755" i="7"/>
  <c r="M2756" i="7"/>
  <c r="M2757" i="7"/>
  <c r="M2758" i="7"/>
  <c r="M2759" i="7"/>
  <c r="M2760" i="7"/>
  <c r="M2761" i="7"/>
  <c r="M2762" i="7"/>
  <c r="M2763" i="7"/>
  <c r="M2764" i="7"/>
  <c r="M2765" i="7"/>
  <c r="M2766" i="7"/>
  <c r="M2767" i="7"/>
  <c r="M2768" i="7"/>
  <c r="M2769" i="7"/>
  <c r="M2770" i="7"/>
  <c r="M2771" i="7"/>
  <c r="M2772" i="7"/>
  <c r="M2773" i="7"/>
  <c r="M2774" i="7"/>
  <c r="M2775" i="7"/>
  <c r="M2776" i="7"/>
  <c r="M2777" i="7"/>
  <c r="M2778" i="7"/>
  <c r="M2779" i="7"/>
  <c r="M2780" i="7"/>
  <c r="M2781" i="7"/>
  <c r="M2782" i="7"/>
  <c r="M2783" i="7"/>
  <c r="M2784" i="7"/>
  <c r="M2785" i="7"/>
  <c r="M2786" i="7"/>
  <c r="M2787" i="7"/>
  <c r="M2788" i="7"/>
  <c r="M2789" i="7"/>
  <c r="M2790" i="7"/>
  <c r="M2791" i="7"/>
  <c r="M2792" i="7"/>
  <c r="M2793" i="7"/>
  <c r="M2794" i="7"/>
  <c r="M2795" i="7"/>
  <c r="M2796" i="7"/>
  <c r="M2797" i="7"/>
  <c r="M2798" i="7"/>
  <c r="M2799" i="7"/>
  <c r="M2800" i="7"/>
  <c r="M2801" i="7"/>
  <c r="M2802" i="7"/>
  <c r="M2803" i="7"/>
  <c r="M2804" i="7"/>
  <c r="M2805" i="7"/>
  <c r="M2806" i="7"/>
  <c r="M2807" i="7"/>
  <c r="M2808" i="7"/>
  <c r="M2809" i="7"/>
  <c r="M2810" i="7"/>
  <c r="M2811" i="7"/>
  <c r="M2812" i="7"/>
  <c r="M2813" i="7"/>
  <c r="M2814" i="7"/>
  <c r="M2815" i="7"/>
  <c r="M2816" i="7"/>
  <c r="M2817" i="7"/>
  <c r="M2818" i="7"/>
  <c r="M2819" i="7"/>
  <c r="M2820" i="7"/>
  <c r="M2821" i="7"/>
  <c r="M2822" i="7"/>
  <c r="M2823" i="7"/>
  <c r="M2824" i="7"/>
  <c r="M2825" i="7"/>
  <c r="M2826" i="7"/>
  <c r="M2827" i="7"/>
  <c r="M2828" i="7"/>
  <c r="M2829" i="7"/>
  <c r="M2830" i="7"/>
  <c r="M2831" i="7"/>
  <c r="M2832" i="7"/>
  <c r="M2833" i="7"/>
  <c r="M2834" i="7"/>
  <c r="M2835" i="7"/>
  <c r="M2836" i="7"/>
  <c r="M2837" i="7"/>
  <c r="M2838" i="7"/>
  <c r="M2839" i="7"/>
  <c r="M2840" i="7"/>
  <c r="M2841" i="7"/>
  <c r="M2842" i="7"/>
  <c r="M2843" i="7"/>
  <c r="M2844" i="7"/>
  <c r="M2845" i="7"/>
  <c r="M2846" i="7"/>
  <c r="M2847" i="7"/>
  <c r="M2848" i="7"/>
  <c r="M2849" i="7"/>
  <c r="M2850" i="7"/>
  <c r="M2851" i="7"/>
  <c r="M2852" i="7"/>
  <c r="M2853" i="7"/>
  <c r="M2854" i="7"/>
  <c r="M2855" i="7"/>
  <c r="M2856" i="7"/>
  <c r="M2857" i="7"/>
  <c r="M2858" i="7"/>
  <c r="M2859" i="7"/>
  <c r="M2860" i="7"/>
  <c r="M2861" i="7"/>
  <c r="M2862" i="7"/>
  <c r="M2863" i="7"/>
  <c r="M2864" i="7"/>
  <c r="M2865" i="7"/>
  <c r="M2866" i="7"/>
  <c r="M2867" i="7"/>
  <c r="M2868" i="7"/>
  <c r="M2869" i="7"/>
  <c r="M2870" i="7"/>
  <c r="M2871" i="7"/>
  <c r="M2872" i="7"/>
  <c r="M2873" i="7"/>
  <c r="M2874" i="7"/>
  <c r="M2875" i="7"/>
  <c r="M2876" i="7"/>
  <c r="M2877" i="7"/>
  <c r="M2878" i="7"/>
  <c r="M2879" i="7"/>
  <c r="M2880" i="7"/>
  <c r="M2881" i="7"/>
  <c r="M2882" i="7"/>
  <c r="M2883" i="7"/>
  <c r="M2884" i="7"/>
  <c r="M2885" i="7"/>
  <c r="M2886" i="7"/>
  <c r="M2887" i="7"/>
  <c r="M2888" i="7"/>
  <c r="M2889" i="7"/>
  <c r="M2890" i="7"/>
  <c r="M2891" i="7"/>
  <c r="M2892" i="7"/>
  <c r="M2893" i="7"/>
  <c r="M2894" i="7"/>
  <c r="M2895" i="7"/>
  <c r="M2896" i="7"/>
  <c r="M2897" i="7"/>
  <c r="M2898" i="7"/>
  <c r="M2899" i="7"/>
  <c r="M2900" i="7"/>
  <c r="M2901" i="7"/>
  <c r="M2902" i="7"/>
  <c r="M2903" i="7"/>
  <c r="M2904" i="7"/>
  <c r="M2905" i="7"/>
  <c r="M2906" i="7"/>
  <c r="M2907" i="7"/>
  <c r="M2908" i="7"/>
  <c r="M2909" i="7"/>
  <c r="M2910" i="7"/>
  <c r="M2911" i="7"/>
  <c r="M2912" i="7"/>
  <c r="M2913" i="7"/>
  <c r="M2914" i="7"/>
  <c r="M2915" i="7"/>
  <c r="M2916" i="7"/>
  <c r="M2917" i="7"/>
  <c r="M2918" i="7"/>
  <c r="M2919" i="7"/>
  <c r="M2920" i="7"/>
  <c r="M2921" i="7"/>
  <c r="M2922" i="7"/>
  <c r="M2923" i="7"/>
  <c r="M2924" i="7"/>
  <c r="M2925" i="7"/>
  <c r="M2926" i="7"/>
  <c r="M2927" i="7"/>
  <c r="M2928" i="7"/>
  <c r="M2929" i="7"/>
  <c r="M2930" i="7"/>
  <c r="M2931" i="7"/>
  <c r="M2932" i="7"/>
  <c r="M2933" i="7"/>
  <c r="M2934" i="7"/>
  <c r="M2935" i="7"/>
  <c r="M2936" i="7"/>
  <c r="M2937" i="7"/>
  <c r="M2938" i="7"/>
  <c r="M2939" i="7"/>
  <c r="M2940" i="7"/>
  <c r="M2941" i="7"/>
  <c r="M2942" i="7"/>
  <c r="M2943" i="7"/>
  <c r="M2944" i="7"/>
  <c r="M2945" i="7"/>
  <c r="M2946" i="7"/>
  <c r="M2947" i="7"/>
  <c r="M2948" i="7"/>
  <c r="M2949" i="7"/>
  <c r="M2950" i="7"/>
  <c r="M2951" i="7"/>
  <c r="M2952" i="7"/>
  <c r="M2953" i="7"/>
  <c r="M2954" i="7"/>
  <c r="M2955" i="7"/>
  <c r="M2956" i="7"/>
  <c r="M2957" i="7"/>
  <c r="M2958" i="7"/>
  <c r="M2959" i="7"/>
  <c r="M2960" i="7"/>
  <c r="M2961" i="7"/>
  <c r="M2962" i="7"/>
  <c r="M2963" i="7"/>
  <c r="M2964" i="7"/>
  <c r="M2965" i="7"/>
  <c r="M2966" i="7"/>
  <c r="M2967" i="7"/>
  <c r="M2968" i="7"/>
  <c r="M2969" i="7"/>
  <c r="M2970" i="7"/>
  <c r="M2971" i="7"/>
  <c r="M2972" i="7"/>
  <c r="M2973" i="7"/>
  <c r="M2974" i="7"/>
  <c r="M2975" i="7"/>
  <c r="M2976" i="7"/>
  <c r="M2977" i="7"/>
  <c r="M2978" i="7"/>
  <c r="M2979" i="7"/>
  <c r="M2980" i="7"/>
  <c r="M2981" i="7"/>
  <c r="M2982" i="7"/>
  <c r="M2983" i="7"/>
  <c r="M2984" i="7"/>
  <c r="M2985" i="7"/>
  <c r="M2986" i="7"/>
  <c r="M2987" i="7"/>
  <c r="M2988" i="7"/>
  <c r="M2989" i="7"/>
  <c r="M2990" i="7"/>
  <c r="M2991" i="7"/>
  <c r="M2992" i="7"/>
  <c r="M2993" i="7"/>
  <c r="M2994" i="7"/>
  <c r="M2995" i="7"/>
  <c r="M2996" i="7"/>
  <c r="M2997" i="7"/>
  <c r="M2998" i="7"/>
  <c r="M2999" i="7"/>
  <c r="M3000" i="7"/>
  <c r="M3001" i="7"/>
  <c r="M3002" i="7"/>
  <c r="M3003" i="7"/>
  <c r="M3004" i="7"/>
  <c r="M3005" i="7"/>
  <c r="M3006" i="7"/>
  <c r="M3007" i="7"/>
  <c r="M3008" i="7"/>
  <c r="M3009" i="7"/>
  <c r="M3010" i="7"/>
  <c r="M3011" i="7"/>
  <c r="M3012" i="7"/>
  <c r="M3013" i="7"/>
  <c r="M3014" i="7"/>
  <c r="M3015" i="7"/>
  <c r="M3016" i="7"/>
  <c r="M3017" i="7"/>
  <c r="M3018" i="7"/>
  <c r="M3019" i="7"/>
  <c r="M3020" i="7"/>
  <c r="M3021" i="7"/>
  <c r="M3022" i="7"/>
  <c r="M3023" i="7"/>
  <c r="M3024" i="7"/>
  <c r="M3025" i="7"/>
  <c r="M3026" i="7"/>
  <c r="M3027" i="7"/>
  <c r="M3028" i="7"/>
  <c r="M3029" i="7"/>
  <c r="M3030" i="7"/>
  <c r="M3031" i="7"/>
  <c r="M3032" i="7"/>
  <c r="M3033" i="7"/>
  <c r="M3034" i="7"/>
  <c r="M3035" i="7"/>
  <c r="M3036" i="7"/>
  <c r="M3037" i="7"/>
  <c r="M3038" i="7"/>
  <c r="M3039" i="7"/>
  <c r="M3040" i="7"/>
  <c r="M3041" i="7"/>
  <c r="M3042" i="7"/>
  <c r="M3043" i="7"/>
  <c r="M3044" i="7"/>
  <c r="M3045" i="7"/>
  <c r="M3046" i="7"/>
  <c r="M3047" i="7"/>
  <c r="M3048" i="7"/>
  <c r="M3049" i="7"/>
  <c r="M3050" i="7"/>
  <c r="M3051" i="7"/>
  <c r="M3052" i="7"/>
  <c r="M3053" i="7"/>
  <c r="M3054" i="7"/>
  <c r="M3055" i="7"/>
  <c r="M3056" i="7"/>
  <c r="M3057" i="7"/>
  <c r="M3058" i="7"/>
  <c r="M3059" i="7"/>
  <c r="M3060" i="7"/>
  <c r="M3061" i="7"/>
  <c r="M3062" i="7"/>
  <c r="M3063" i="7"/>
  <c r="M3064" i="7"/>
  <c r="M3065" i="7"/>
  <c r="M3066" i="7"/>
  <c r="M3067" i="7"/>
  <c r="M3068" i="7"/>
  <c r="M3069" i="7"/>
  <c r="M3070" i="7"/>
  <c r="M3071" i="7"/>
  <c r="M3072" i="7"/>
  <c r="M3073" i="7"/>
  <c r="M3074" i="7"/>
  <c r="M3075" i="7"/>
  <c r="M3076" i="7"/>
  <c r="M3077" i="7"/>
  <c r="M3078" i="7"/>
  <c r="M3079" i="7"/>
  <c r="M3080" i="7"/>
  <c r="M3081" i="7"/>
  <c r="M3082" i="7"/>
  <c r="M3083" i="7"/>
  <c r="M3084" i="7"/>
  <c r="M3085" i="7"/>
  <c r="M3086" i="7"/>
  <c r="M3087" i="7"/>
  <c r="M3088" i="7"/>
  <c r="M3089" i="7"/>
  <c r="M3090" i="7"/>
  <c r="M3091" i="7"/>
  <c r="M3092" i="7"/>
  <c r="M3093" i="7"/>
  <c r="M3094" i="7"/>
  <c r="M3095" i="7"/>
  <c r="M3096" i="7"/>
  <c r="M3097" i="7"/>
  <c r="M3098" i="7"/>
  <c r="M3099" i="7"/>
  <c r="M3100" i="7"/>
  <c r="M3101" i="7"/>
  <c r="M3102" i="7"/>
  <c r="M3103" i="7"/>
  <c r="M3104" i="7"/>
  <c r="M3105" i="7"/>
  <c r="M3106" i="7"/>
  <c r="M3107" i="7"/>
  <c r="M3108" i="7"/>
  <c r="M3109" i="7"/>
  <c r="M3110" i="7"/>
  <c r="M3111" i="7"/>
  <c r="M3112" i="7"/>
  <c r="M3113" i="7"/>
  <c r="M3114" i="7"/>
  <c r="M3115" i="7"/>
  <c r="M3116" i="7"/>
  <c r="M3117" i="7"/>
  <c r="M3118" i="7"/>
  <c r="M3119" i="7"/>
  <c r="M3120" i="7"/>
  <c r="M3121" i="7"/>
  <c r="M3122" i="7"/>
  <c r="M3123" i="7"/>
  <c r="M3124" i="7"/>
  <c r="M3125" i="7"/>
  <c r="M3126" i="7"/>
  <c r="M3127" i="7"/>
  <c r="M3128" i="7"/>
  <c r="M3129" i="7"/>
  <c r="M3130" i="7"/>
  <c r="M3131" i="7"/>
  <c r="M3132" i="7"/>
  <c r="M3133" i="7"/>
  <c r="M3134" i="7"/>
  <c r="M3135" i="7"/>
  <c r="M3136" i="7"/>
  <c r="M3137" i="7"/>
  <c r="M3138" i="7"/>
  <c r="M3139" i="7"/>
  <c r="M3140" i="7"/>
  <c r="M3141" i="7"/>
  <c r="M3142" i="7"/>
  <c r="M3143" i="7"/>
  <c r="M3144" i="7"/>
  <c r="M3145" i="7"/>
  <c r="M3146" i="7"/>
  <c r="M3147" i="7"/>
  <c r="M3148" i="7"/>
  <c r="M3149" i="7"/>
  <c r="M3150" i="7"/>
  <c r="M3151" i="7"/>
  <c r="M3152" i="7"/>
  <c r="M3153" i="7"/>
  <c r="M3154" i="7"/>
  <c r="M3155" i="7"/>
  <c r="M3156" i="7"/>
  <c r="M3157" i="7"/>
  <c r="M3158" i="7"/>
  <c r="M3159" i="7"/>
  <c r="M3160" i="7"/>
  <c r="M3161" i="7"/>
  <c r="M3162" i="7"/>
  <c r="M3163" i="7"/>
  <c r="M3164" i="7"/>
  <c r="M3165" i="7"/>
  <c r="M3166" i="7"/>
  <c r="M3167" i="7"/>
  <c r="M3168" i="7"/>
  <c r="M3169" i="7"/>
  <c r="M3170" i="7"/>
  <c r="M3171" i="7"/>
  <c r="M3172" i="7"/>
  <c r="M3173" i="7"/>
  <c r="M3174" i="7"/>
  <c r="M3175" i="7"/>
  <c r="M3176" i="7"/>
  <c r="M3177" i="7"/>
  <c r="M3178" i="7"/>
  <c r="M3179" i="7"/>
  <c r="M3180" i="7"/>
  <c r="M3181" i="7"/>
  <c r="M3182" i="7"/>
  <c r="M3183" i="7"/>
  <c r="M3184" i="7"/>
  <c r="M3185" i="7"/>
  <c r="M3186" i="7"/>
  <c r="M3187" i="7"/>
  <c r="M3188" i="7"/>
  <c r="M3189" i="7"/>
  <c r="M3190" i="7"/>
  <c r="M3191" i="7"/>
  <c r="M3192" i="7"/>
  <c r="M3193" i="7"/>
  <c r="M3194" i="7"/>
  <c r="M3195" i="7"/>
  <c r="M3196" i="7"/>
  <c r="M3197" i="7"/>
  <c r="M3198" i="7"/>
  <c r="M3199" i="7"/>
  <c r="M3200" i="7"/>
  <c r="M3201" i="7"/>
  <c r="M3202" i="7"/>
  <c r="M3203" i="7"/>
  <c r="M3204" i="7"/>
  <c r="M3205" i="7"/>
  <c r="M3206" i="7"/>
  <c r="M3207" i="7"/>
  <c r="M3208" i="7"/>
  <c r="M3209" i="7"/>
  <c r="M3210" i="7"/>
  <c r="M3211" i="7"/>
  <c r="M3212" i="7"/>
  <c r="M3213" i="7"/>
  <c r="M3214" i="7"/>
  <c r="M3215" i="7"/>
  <c r="M3216" i="7"/>
  <c r="M3217" i="7"/>
  <c r="M3218" i="7"/>
  <c r="M3219" i="7"/>
  <c r="M3220" i="7"/>
  <c r="M3221" i="7"/>
  <c r="M3222" i="7"/>
  <c r="M3223" i="7"/>
  <c r="M3224" i="7"/>
  <c r="M3225" i="7"/>
  <c r="M3226" i="7"/>
  <c r="M3227" i="7"/>
  <c r="M3228" i="7"/>
  <c r="M3229" i="7"/>
  <c r="M3230" i="7"/>
  <c r="M3231" i="7"/>
  <c r="M3232" i="7"/>
  <c r="M3233" i="7"/>
  <c r="M3234" i="7"/>
  <c r="M3235" i="7"/>
  <c r="M3236" i="7"/>
  <c r="M3237" i="7"/>
  <c r="M3238" i="7"/>
  <c r="M3239" i="7"/>
  <c r="M3240" i="7"/>
  <c r="M3241" i="7"/>
  <c r="M3242" i="7"/>
  <c r="M3243" i="7"/>
  <c r="M3244" i="7"/>
  <c r="M3245" i="7"/>
  <c r="M3246" i="7"/>
  <c r="M3247" i="7"/>
  <c r="M3248" i="7"/>
  <c r="M3249" i="7"/>
  <c r="M3250" i="7"/>
  <c r="M3251" i="7"/>
  <c r="M3252" i="7"/>
  <c r="M3253" i="7"/>
  <c r="M3254" i="7"/>
  <c r="M3255" i="7"/>
  <c r="M3256" i="7"/>
  <c r="M3257" i="7"/>
  <c r="M3258" i="7"/>
  <c r="M3259" i="7"/>
  <c r="M3260" i="7"/>
  <c r="M3261" i="7"/>
  <c r="M3262" i="7"/>
  <c r="M3263" i="7"/>
  <c r="M3264" i="7"/>
  <c r="M3265" i="7"/>
  <c r="M3266" i="7"/>
  <c r="M3267" i="7"/>
  <c r="M3268" i="7"/>
  <c r="M3269" i="7"/>
  <c r="M3270" i="7"/>
  <c r="M3271" i="7"/>
  <c r="M3272" i="7"/>
  <c r="M3273" i="7"/>
  <c r="M3274" i="7"/>
  <c r="M3275" i="7"/>
  <c r="M3276" i="7"/>
  <c r="M3277" i="7"/>
  <c r="M3278" i="7"/>
  <c r="M3279" i="7"/>
  <c r="M3280" i="7"/>
  <c r="M3281" i="7"/>
  <c r="M3282" i="7"/>
  <c r="M3283" i="7"/>
  <c r="M3284" i="7"/>
  <c r="M3285" i="7"/>
  <c r="M3286" i="7"/>
  <c r="M3287" i="7"/>
  <c r="M3288" i="7"/>
  <c r="M3289" i="7"/>
  <c r="M3290" i="7"/>
  <c r="M3291" i="7"/>
  <c r="M3292" i="7"/>
  <c r="M3293" i="7"/>
  <c r="M3294" i="7"/>
  <c r="M3295" i="7"/>
  <c r="M3296" i="7"/>
  <c r="M3297" i="7"/>
  <c r="M3298" i="7"/>
  <c r="M3299" i="7"/>
  <c r="M3300" i="7"/>
  <c r="M3301" i="7"/>
  <c r="M3302" i="7"/>
  <c r="M3303" i="7"/>
  <c r="M3304" i="7"/>
  <c r="M3305" i="7"/>
  <c r="M3306" i="7"/>
  <c r="M3307" i="7"/>
  <c r="M3308" i="7"/>
  <c r="M3309" i="7"/>
  <c r="M3310" i="7"/>
  <c r="M3311" i="7"/>
  <c r="M3312" i="7"/>
  <c r="M3313" i="7"/>
  <c r="M3314" i="7"/>
  <c r="M3315" i="7"/>
  <c r="M3316" i="7"/>
  <c r="M3317" i="7"/>
  <c r="M3318" i="7"/>
  <c r="M3319" i="7"/>
  <c r="M3320" i="7"/>
  <c r="M3322" i="7"/>
  <c r="M3324" i="7"/>
  <c r="M3326" i="7"/>
  <c r="M3327" i="7"/>
  <c r="M3329" i="7"/>
  <c r="M3331" i="7"/>
  <c r="M3333" i="7"/>
  <c r="M3335" i="7"/>
  <c r="M3337" i="7"/>
  <c r="M3339" i="7"/>
  <c r="M3341" i="7"/>
  <c r="M3343" i="7"/>
  <c r="M3345" i="7"/>
  <c r="M3347" i="7"/>
  <c r="M3349" i="7"/>
  <c r="M3351" i="7"/>
  <c r="M3353" i="7"/>
  <c r="M3355" i="7"/>
  <c r="M3357" i="7"/>
  <c r="M3358" i="7"/>
  <c r="M3360" i="7"/>
  <c r="M3362" i="7"/>
  <c r="M3364" i="7"/>
  <c r="M3367" i="7"/>
  <c r="M3368" i="7"/>
  <c r="M3370" i="7"/>
  <c r="M3372" i="7"/>
  <c r="M3374" i="7"/>
  <c r="M3376" i="7"/>
  <c r="M3378" i="7"/>
  <c r="M3380" i="7"/>
  <c r="M3383" i="7"/>
  <c r="M3385" i="7"/>
  <c r="M3387" i="7"/>
  <c r="M3389" i="7"/>
  <c r="M3391" i="7"/>
  <c r="M3393" i="7"/>
  <c r="M3395" i="7"/>
  <c r="M3397" i="7"/>
  <c r="M3398" i="7"/>
  <c r="M3400" i="7"/>
  <c r="M3402" i="7"/>
  <c r="M3404" i="7"/>
  <c r="M3406" i="7"/>
  <c r="M3408" i="7"/>
  <c r="M3410" i="7"/>
  <c r="M3412" i="7"/>
  <c r="M3413" i="7"/>
  <c r="M161" i="5"/>
  <c r="M86" i="5"/>
  <c r="M148" i="5"/>
  <c r="M212" i="5"/>
  <c r="M83" i="5"/>
  <c r="M67" i="5"/>
  <c r="M51" i="5"/>
  <c r="M60" i="5"/>
  <c r="M3415" i="7"/>
  <c r="M3416" i="7"/>
  <c r="M3417" i="7"/>
  <c r="M3418" i="7"/>
  <c r="M3419" i="7"/>
  <c r="M3420" i="7"/>
  <c r="M3421" i="7"/>
  <c r="M3422" i="7"/>
  <c r="M3423" i="7"/>
  <c r="M3424" i="7"/>
  <c r="M3425" i="7"/>
  <c r="M3426" i="7"/>
  <c r="M3427" i="7"/>
  <c r="M3428" i="7"/>
  <c r="M3429" i="7"/>
  <c r="M3430" i="7"/>
  <c r="M3431" i="7"/>
  <c r="M3432" i="7"/>
  <c r="M3433" i="7"/>
  <c r="M3434" i="7"/>
  <c r="M3435" i="7"/>
  <c r="M3436" i="7"/>
  <c r="M3437" i="7"/>
  <c r="M3438" i="7"/>
  <c r="M3439" i="7"/>
  <c r="M3440" i="7"/>
  <c r="M3441" i="7"/>
  <c r="M3442" i="7"/>
  <c r="M3443" i="7"/>
  <c r="M3444" i="7"/>
  <c r="M3445" i="7"/>
  <c r="M3446" i="7"/>
  <c r="M3447" i="7"/>
  <c r="M3448" i="7"/>
  <c r="M3449" i="7"/>
  <c r="M3450" i="7"/>
  <c r="M3451" i="7"/>
  <c r="M3452" i="7"/>
  <c r="M3453" i="7"/>
  <c r="M3454" i="7"/>
  <c r="M3455" i="7"/>
  <c r="M3456" i="7"/>
  <c r="M3457" i="7"/>
  <c r="M3458" i="7"/>
  <c r="M3459" i="7"/>
  <c r="M3460" i="7"/>
  <c r="M3461" i="7"/>
  <c r="M3462" i="7"/>
  <c r="M3463" i="7"/>
  <c r="M3464" i="7"/>
  <c r="M3465" i="7"/>
  <c r="M3466" i="7"/>
  <c r="M3467" i="7"/>
  <c r="M3468" i="7"/>
  <c r="M3469" i="7"/>
  <c r="M3470" i="7"/>
  <c r="M3471" i="7"/>
  <c r="M3472" i="7"/>
  <c r="M3473" i="7"/>
  <c r="M3474" i="7"/>
  <c r="M3475" i="7"/>
  <c r="M3476" i="7"/>
  <c r="M3477" i="7"/>
  <c r="M3478" i="7"/>
  <c r="M3479" i="7"/>
  <c r="M3480" i="7"/>
  <c r="M3481" i="7"/>
  <c r="M3482" i="7"/>
  <c r="M3483" i="7"/>
  <c r="M3484" i="7"/>
  <c r="M3485" i="7"/>
  <c r="M3486" i="7"/>
  <c r="M3487" i="7"/>
  <c r="M3488" i="7"/>
  <c r="M4153" i="7"/>
  <c r="M4154" i="7"/>
  <c r="M4155" i="7"/>
  <c r="M4156" i="7"/>
  <c r="M4157" i="7"/>
  <c r="M4158" i="7"/>
  <c r="M4159" i="7"/>
  <c r="M4160" i="7"/>
  <c r="M4161" i="7"/>
  <c r="M4162" i="7"/>
  <c r="M4163" i="7"/>
  <c r="M4164" i="7"/>
  <c r="M4165" i="7"/>
  <c r="M4166" i="7"/>
  <c r="M4167" i="7"/>
  <c r="M4168" i="7"/>
  <c r="M4169" i="7"/>
  <c r="M4170" i="7"/>
  <c r="M4171" i="7"/>
  <c r="M4172" i="7"/>
  <c r="M4173" i="7"/>
  <c r="M4174" i="7"/>
  <c r="M4175" i="7"/>
  <c r="M4176" i="7"/>
  <c r="M4177" i="7"/>
  <c r="M4178" i="7"/>
  <c r="M4179" i="7"/>
  <c r="M4180" i="7"/>
  <c r="M4181" i="7"/>
  <c r="M4182" i="7"/>
  <c r="M4183" i="7"/>
  <c r="M4184" i="7"/>
  <c r="M4185" i="7"/>
  <c r="M4186" i="7"/>
  <c r="M4187" i="7"/>
  <c r="M4188" i="7"/>
  <c r="M4189" i="7"/>
  <c r="M4190" i="7"/>
  <c r="M4191" i="7"/>
  <c r="M4192" i="7"/>
  <c r="M4193" i="7"/>
  <c r="M4194" i="7"/>
  <c r="M4195" i="7"/>
  <c r="M4196" i="7"/>
  <c r="M4197" i="7"/>
  <c r="M4198" i="7"/>
  <c r="M4199" i="7"/>
  <c r="M4200" i="7"/>
  <c r="M4201" i="7"/>
  <c r="M4202" i="7"/>
  <c r="M4203" i="7"/>
  <c r="M4204" i="7"/>
  <c r="M4205" i="7"/>
  <c r="M4206" i="7"/>
  <c r="M4207" i="7"/>
  <c r="M4208" i="7"/>
  <c r="M4209" i="7"/>
  <c r="M4210" i="7"/>
  <c r="M4211" i="7"/>
  <c r="M4212" i="7"/>
  <c r="M4213" i="7"/>
  <c r="M4214" i="7"/>
  <c r="M4215" i="7"/>
  <c r="M4216" i="7"/>
  <c r="M4217" i="7"/>
  <c r="M4218" i="7"/>
  <c r="M4219" i="7"/>
  <c r="M4220" i="7"/>
  <c r="M4221" i="7"/>
  <c r="M4222" i="7"/>
  <c r="M4223" i="7"/>
  <c r="M4224" i="7"/>
  <c r="M4225" i="7"/>
  <c r="M4226" i="7"/>
  <c r="M4227" i="7"/>
  <c r="M4228" i="7"/>
  <c r="M4229" i="7"/>
  <c r="M4230" i="7"/>
  <c r="M4231" i="7"/>
  <c r="M4232" i="7"/>
  <c r="M4233" i="7"/>
  <c r="M4234" i="7"/>
  <c r="M4235" i="7"/>
  <c r="M4236" i="7"/>
  <c r="M4237" i="7"/>
  <c r="M4238" i="7"/>
  <c r="M4239" i="7"/>
  <c r="M4240" i="7"/>
  <c r="M4241" i="7"/>
  <c r="M4242" i="7"/>
  <c r="M4243" i="7"/>
  <c r="M4244" i="7"/>
  <c r="M4245" i="7"/>
  <c r="M4246" i="7"/>
  <c r="M4247" i="7"/>
  <c r="M4248" i="7"/>
  <c r="M4249" i="7"/>
  <c r="M4250" i="7"/>
  <c r="M4251" i="7"/>
  <c r="M4252" i="7"/>
  <c r="M4253" i="7"/>
  <c r="M4254" i="7"/>
  <c r="M4255" i="7"/>
  <c r="M4256" i="7"/>
  <c r="M4257" i="7"/>
  <c r="M4258" i="7"/>
  <c r="M4259" i="7"/>
  <c r="M4260" i="7"/>
  <c r="M4261" i="7"/>
  <c r="M4262" i="7"/>
  <c r="M4263" i="7"/>
  <c r="M4264" i="7"/>
  <c r="M4265" i="7"/>
  <c r="M4266" i="7"/>
  <c r="M4267" i="7"/>
  <c r="M4268" i="7"/>
  <c r="M4269" i="7"/>
  <c r="M4270" i="7"/>
  <c r="M4271" i="7"/>
  <c r="M4272" i="7"/>
  <c r="M4273" i="7"/>
  <c r="M4274" i="7"/>
  <c r="M4275" i="7"/>
  <c r="M4276" i="7"/>
  <c r="M4277" i="7"/>
  <c r="M4278" i="7"/>
  <c r="M4279" i="7"/>
  <c r="M4280" i="7"/>
  <c r="M4281" i="7"/>
  <c r="M4282" i="7"/>
  <c r="M4283" i="7"/>
  <c r="M4284" i="7"/>
  <c r="M4285" i="7"/>
  <c r="M4286" i="7"/>
  <c r="M4287" i="7"/>
  <c r="M4288" i="7"/>
  <c r="M4289" i="7"/>
  <c r="M4290" i="7"/>
  <c r="M4291" i="7"/>
  <c r="M4292" i="7"/>
  <c r="M4293" i="7"/>
  <c r="M4294" i="7"/>
  <c r="M4295" i="7"/>
  <c r="M4296" i="7"/>
  <c r="M4297" i="7"/>
  <c r="M4339" i="7"/>
  <c r="M4340" i="7"/>
  <c r="M4341" i="7"/>
  <c r="M4342" i="7"/>
  <c r="M4343" i="7"/>
  <c r="M4344" i="7"/>
  <c r="M4345" i="7"/>
  <c r="M4346" i="7"/>
  <c r="M4347" i="7"/>
  <c r="M4348" i="7"/>
  <c r="M4349" i="7"/>
  <c r="M4350" i="7"/>
  <c r="M4351" i="7"/>
  <c r="M4352" i="7"/>
  <c r="M4353" i="7"/>
  <c r="M4354" i="7"/>
  <c r="M4355" i="7"/>
  <c r="M4356" i="7"/>
  <c r="M4357" i="7"/>
  <c r="M4358" i="7"/>
  <c r="M4359" i="7"/>
  <c r="M4360" i="7"/>
  <c r="M4361" i="7"/>
  <c r="M4362" i="7"/>
  <c r="M4363" i="7"/>
  <c r="M4364" i="7"/>
  <c r="M4365" i="7"/>
  <c r="M4366" i="7"/>
  <c r="M4367" i="7"/>
  <c r="M4368" i="7"/>
  <c r="M4369" i="7"/>
  <c r="M4370" i="7"/>
  <c r="M4371" i="7"/>
  <c r="M4372" i="7"/>
  <c r="M4373" i="7"/>
  <c r="M4374" i="7"/>
  <c r="M4375" i="7"/>
  <c r="M4376" i="7"/>
  <c r="M4377" i="7"/>
  <c r="M4378" i="7"/>
  <c r="M4379" i="7"/>
  <c r="M4380" i="7"/>
  <c r="M4381" i="7"/>
  <c r="M4382" i="7"/>
  <c r="M4383" i="7"/>
  <c r="M4384" i="7"/>
  <c r="M4385" i="7"/>
  <c r="M4386" i="7"/>
  <c r="M4387" i="7"/>
  <c r="M4388" i="7"/>
  <c r="M4389" i="7"/>
  <c r="M4390" i="7"/>
  <c r="M4391" i="7"/>
  <c r="M4392" i="7"/>
  <c r="M4393" i="7"/>
  <c r="M4394" i="7"/>
  <c r="M4395" i="7"/>
  <c r="M4396" i="7"/>
  <c r="M4397" i="7"/>
  <c r="M4398" i="7"/>
  <c r="M4399" i="7"/>
  <c r="M4400" i="7"/>
  <c r="M4401" i="7"/>
  <c r="M4402" i="7"/>
  <c r="M4403" i="7"/>
  <c r="M4404" i="7"/>
  <c r="M4405" i="7"/>
  <c r="M4406" i="7"/>
  <c r="M4407" i="7"/>
  <c r="M4408" i="7"/>
  <c r="M4409" i="7"/>
  <c r="M4410" i="7"/>
  <c r="M4411" i="7"/>
  <c r="M4412" i="7"/>
  <c r="M4413" i="7"/>
  <c r="M4414" i="7"/>
  <c r="M4415" i="7"/>
  <c r="M4416" i="7"/>
  <c r="M4417" i="7"/>
  <c r="M4418" i="7"/>
  <c r="M4419" i="7"/>
  <c r="M4420" i="7"/>
  <c r="M4421" i="7"/>
  <c r="M4422" i="7"/>
  <c r="M4423" i="7"/>
  <c r="M4424" i="7"/>
  <c r="M4425" i="7"/>
  <c r="M4426" i="7"/>
  <c r="M4427" i="7"/>
  <c r="M4428" i="7"/>
  <c r="M4429" i="7"/>
  <c r="M4430" i="7"/>
  <c r="M4431" i="7"/>
  <c r="M4432" i="7"/>
  <c r="M4433" i="7"/>
  <c r="M4434" i="7"/>
  <c r="M4435" i="7"/>
  <c r="M4436" i="7"/>
  <c r="M4437" i="7"/>
  <c r="M4438" i="7"/>
  <c r="M4439" i="7"/>
  <c r="M4440" i="7"/>
  <c r="M4441" i="7"/>
  <c r="M4442" i="7"/>
  <c r="M4443" i="7"/>
  <c r="M4444" i="7"/>
  <c r="M4445" i="7"/>
  <c r="M4446" i="7"/>
  <c r="M4447" i="7"/>
  <c r="M4448" i="7"/>
  <c r="M4449" i="7"/>
  <c r="M4450" i="7"/>
  <c r="M4451" i="7"/>
  <c r="M4452" i="7"/>
  <c r="M4453" i="7"/>
  <c r="M4454" i="7"/>
  <c r="M4455" i="7"/>
  <c r="M4456" i="7"/>
  <c r="M4457" i="7"/>
  <c r="M4458" i="7"/>
  <c r="M4459" i="7"/>
  <c r="M4460" i="7"/>
  <c r="M4461" i="7"/>
  <c r="M4462" i="7"/>
  <c r="M4463" i="7"/>
  <c r="M4464" i="7"/>
  <c r="M4465" i="7"/>
  <c r="M4466" i="7"/>
  <c r="M4467" i="7"/>
  <c r="M4468" i="7"/>
  <c r="M4469" i="7"/>
  <c r="M4470" i="7"/>
  <c r="M4471" i="7"/>
  <c r="M4472" i="7"/>
  <c r="M4473" i="7"/>
  <c r="M4474" i="7"/>
  <c r="M4475" i="7"/>
  <c r="M4476" i="7"/>
  <c r="M4477" i="7"/>
  <c r="M4478" i="7"/>
  <c r="M4479" i="7"/>
  <c r="M4480" i="7"/>
  <c r="M4481" i="7"/>
  <c r="M4482" i="7"/>
  <c r="M4483" i="7"/>
  <c r="M4484" i="7"/>
  <c r="M4485" i="7"/>
  <c r="M4486" i="7"/>
  <c r="M4487" i="7"/>
  <c r="M4488" i="7"/>
  <c r="M4489" i="7"/>
  <c r="M4490" i="7"/>
  <c r="M4491" i="7"/>
  <c r="M4492" i="7"/>
  <c r="M4493" i="7"/>
  <c r="M4494" i="7"/>
  <c r="M4495" i="7"/>
  <c r="M4496" i="7"/>
  <c r="M4497" i="7"/>
  <c r="M4498" i="7"/>
  <c r="M4499" i="7"/>
  <c r="M4500" i="7"/>
  <c r="M4501" i="7"/>
  <c r="M4502" i="7"/>
  <c r="M4503" i="7"/>
  <c r="M4504" i="7"/>
  <c r="M4505" i="7"/>
  <c r="M4506" i="7"/>
  <c r="M4507" i="7"/>
  <c r="M4508" i="7"/>
  <c r="M4509" i="7"/>
  <c r="M4510" i="7"/>
  <c r="M4511" i="7"/>
  <c r="M4512" i="7"/>
  <c r="M4513" i="7"/>
  <c r="M4514" i="7"/>
  <c r="M4515" i="7"/>
  <c r="M4516" i="7"/>
  <c r="M4517" i="7"/>
  <c r="M4518" i="7"/>
  <c r="M4519" i="7"/>
  <c r="M4520" i="7"/>
  <c r="M4521" i="7"/>
  <c r="M4522" i="7"/>
  <c r="M4523" i="7"/>
  <c r="M4524" i="7"/>
  <c r="M4525" i="7"/>
  <c r="M4526" i="7"/>
  <c r="M4527" i="7"/>
  <c r="M4528" i="7"/>
  <c r="M4529" i="7"/>
  <c r="M4530" i="7"/>
  <c r="M4531" i="7"/>
  <c r="M4532" i="7"/>
  <c r="M4533" i="7"/>
  <c r="M4534" i="7"/>
  <c r="M4535" i="7"/>
  <c r="M4536" i="7"/>
  <c r="M4537" i="7"/>
  <c r="M4538" i="7"/>
  <c r="M4539" i="7"/>
  <c r="M4540" i="7"/>
  <c r="M4541" i="7"/>
  <c r="M4542" i="7"/>
  <c r="M4543" i="7"/>
  <c r="M4544" i="7"/>
  <c r="M4545" i="7"/>
  <c r="M4546" i="7"/>
  <c r="M4547" i="7"/>
  <c r="M4548" i="7"/>
  <c r="M4549" i="7"/>
  <c r="M4550" i="7"/>
  <c r="M4551" i="7"/>
  <c r="M4552" i="7"/>
  <c r="M4553" i="7"/>
  <c r="M4554" i="7"/>
  <c r="M4555" i="7"/>
  <c r="M4556" i="7"/>
  <c r="M4557" i="7"/>
  <c r="M4558" i="7"/>
  <c r="M4559" i="7"/>
  <c r="M4560" i="7"/>
  <c r="M4561" i="7"/>
  <c r="M4562" i="7"/>
  <c r="M4563" i="7"/>
  <c r="M4564" i="7"/>
  <c r="M4565" i="7"/>
  <c r="M4566" i="7"/>
  <c r="M4567" i="7"/>
  <c r="M4568" i="7"/>
  <c r="M4569" i="7"/>
  <c r="M4570" i="7"/>
  <c r="M4571" i="7"/>
  <c r="M4572" i="7"/>
  <c r="M4573" i="7"/>
  <c r="M4574" i="7"/>
  <c r="M4575" i="7"/>
  <c r="M4576" i="7"/>
  <c r="M4577" i="7"/>
  <c r="M4578" i="7"/>
  <c r="M4579" i="7"/>
  <c r="M4580" i="7"/>
  <c r="M4581" i="7"/>
  <c r="M4582" i="7"/>
  <c r="M4583" i="7"/>
  <c r="M4584" i="7"/>
  <c r="M4585" i="7"/>
  <c r="M4586" i="7"/>
  <c r="M4587" i="7"/>
  <c r="M4588" i="7"/>
  <c r="M4589" i="7"/>
  <c r="M4590" i="7"/>
  <c r="M4591" i="7"/>
  <c r="M4592" i="7"/>
  <c r="M4593" i="7"/>
  <c r="M4594" i="7"/>
  <c r="M4595" i="7"/>
  <c r="M4596" i="7"/>
  <c r="M4597" i="7"/>
  <c r="M4598" i="7"/>
  <c r="M4599" i="7"/>
  <c r="M4600" i="7"/>
  <c r="M4601" i="7"/>
  <c r="M4602" i="7"/>
  <c r="M4603" i="7"/>
  <c r="M4604" i="7"/>
  <c r="M4605" i="7"/>
  <c r="M4606" i="7"/>
  <c r="M4607" i="7"/>
  <c r="M4608" i="7"/>
  <c r="M4609" i="7"/>
  <c r="M4610" i="7"/>
  <c r="M4611" i="7"/>
  <c r="M4612" i="7"/>
  <c r="M4613" i="7"/>
  <c r="M4614" i="7"/>
  <c r="M4615" i="7"/>
  <c r="M4616" i="7"/>
  <c r="M4617" i="7"/>
  <c r="M4618" i="7"/>
  <c r="M4619" i="7"/>
  <c r="M4620" i="7"/>
  <c r="M4621" i="7"/>
  <c r="M4622" i="7"/>
  <c r="M4623" i="7"/>
  <c r="M4624" i="7"/>
  <c r="M4625" i="7"/>
  <c r="M4626" i="7"/>
  <c r="M4627" i="7"/>
  <c r="M4628" i="7"/>
  <c r="M4629" i="7"/>
  <c r="M4630" i="7"/>
  <c r="M4631" i="7"/>
  <c r="M4632" i="7"/>
  <c r="M4633" i="7"/>
  <c r="M4634" i="7"/>
  <c r="M4635" i="7"/>
  <c r="M4636" i="7"/>
  <c r="M4637" i="7"/>
  <c r="M4638" i="7"/>
  <c r="M4639" i="7"/>
  <c r="M4640" i="7"/>
  <c r="M4641" i="7"/>
  <c r="M4642" i="7"/>
  <c r="M4643" i="7"/>
  <c r="M4644" i="7"/>
  <c r="M4645" i="7"/>
  <c r="M4646" i="7"/>
  <c r="M4647" i="7"/>
  <c r="M4648" i="7"/>
  <c r="M4649" i="7"/>
  <c r="M4650" i="7"/>
  <c r="M4651" i="7"/>
  <c r="M4652" i="7"/>
  <c r="M4653" i="7"/>
  <c r="M4654" i="7"/>
  <c r="M4655" i="7"/>
  <c r="M4656" i="7"/>
  <c r="M4657" i="7"/>
  <c r="M4658" i="7"/>
  <c r="M4659" i="7"/>
  <c r="M4660" i="7"/>
  <c r="M4661" i="7"/>
  <c r="M4662" i="7"/>
  <c r="M4663" i="7"/>
  <c r="M4664" i="7"/>
  <c r="M4665" i="7"/>
  <c r="M4666" i="7"/>
  <c r="M4667" i="7"/>
  <c r="M4668" i="7"/>
  <c r="M4669" i="7"/>
  <c r="M4670" i="7"/>
  <c r="M4671" i="7"/>
  <c r="M4672" i="7"/>
  <c r="M4673" i="7"/>
  <c r="M4674" i="7"/>
  <c r="M4675" i="7"/>
  <c r="M4676" i="7"/>
  <c r="M4677" i="7"/>
  <c r="M4678" i="7"/>
  <c r="M4679" i="7"/>
  <c r="M4680" i="7"/>
  <c r="M4681" i="7"/>
  <c r="M4682" i="7"/>
  <c r="M4683" i="7"/>
  <c r="M4684" i="7"/>
  <c r="M4685" i="7"/>
  <c r="M4686" i="7"/>
  <c r="M4687" i="7"/>
  <c r="M4688" i="7"/>
  <c r="M4689" i="7"/>
  <c r="M4690" i="7"/>
  <c r="M4691" i="7"/>
  <c r="M4692" i="7"/>
  <c r="M4693" i="7"/>
  <c r="M4694" i="7"/>
  <c r="M4695" i="7"/>
  <c r="M4696" i="7"/>
  <c r="M4697" i="7"/>
  <c r="M4698" i="7"/>
  <c r="M4699" i="7"/>
  <c r="M4700" i="7"/>
  <c r="M4701" i="7"/>
  <c r="M4702" i="7"/>
  <c r="M4703" i="7"/>
  <c r="M4704" i="7"/>
  <c r="M4705" i="7"/>
  <c r="M4706" i="7"/>
  <c r="M4707" i="7"/>
  <c r="M4708" i="7"/>
  <c r="M4709" i="7"/>
  <c r="M4710" i="7"/>
  <c r="M4711" i="7"/>
  <c r="M4712" i="7"/>
  <c r="M4713" i="7"/>
  <c r="M4714" i="7"/>
  <c r="M4715" i="7"/>
  <c r="M4716" i="7"/>
  <c r="M4717" i="7"/>
  <c r="M4718" i="7"/>
  <c r="M4719" i="7"/>
  <c r="M4720" i="7"/>
  <c r="M4721" i="7"/>
  <c r="M4722" i="7"/>
  <c r="M4723" i="7"/>
  <c r="M4724" i="7"/>
  <c r="M4725" i="7"/>
  <c r="M4726" i="7"/>
  <c r="M4727" i="7"/>
  <c r="M4728" i="7"/>
  <c r="M4729" i="7"/>
  <c r="M4730" i="7"/>
  <c r="M4731" i="7"/>
  <c r="M4732" i="7"/>
  <c r="M4733" i="7"/>
  <c r="M4734" i="7"/>
  <c r="M4735" i="7"/>
  <c r="M4736" i="7"/>
  <c r="M4737" i="7"/>
  <c r="M4738" i="7"/>
  <c r="M4739" i="7"/>
  <c r="M4740" i="7"/>
  <c r="M4741" i="7"/>
  <c r="M4742" i="7"/>
  <c r="M4743" i="7"/>
  <c r="M4744" i="7"/>
  <c r="M4745" i="7"/>
  <c r="M4746" i="7"/>
  <c r="M4747" i="7"/>
  <c r="M4748" i="7"/>
  <c r="M4749" i="7"/>
  <c r="M4750" i="7"/>
  <c r="M4751" i="7"/>
  <c r="M4752" i="7"/>
  <c r="M4753" i="7"/>
  <c r="M4754" i="7"/>
  <c r="M4755" i="7"/>
  <c r="M4756" i="7"/>
  <c r="M4757" i="7"/>
  <c r="M4758" i="7"/>
  <c r="M4759" i="7"/>
  <c r="M4760" i="7"/>
  <c r="M4761" i="7"/>
  <c r="M4762" i="7"/>
  <c r="M4763" i="7"/>
  <c r="M4764" i="7"/>
  <c r="M4765" i="7"/>
  <c r="M4766" i="7"/>
  <c r="M4767" i="7"/>
  <c r="M4768" i="7"/>
  <c r="M4769" i="7"/>
  <c r="M4770" i="7"/>
  <c r="M4771" i="7"/>
  <c r="M4772" i="7"/>
  <c r="M4773" i="7"/>
  <c r="M4774" i="7"/>
  <c r="M4775" i="7"/>
  <c r="M4776" i="7"/>
  <c r="M4777" i="7"/>
  <c r="M4778" i="7"/>
  <c r="M4779" i="7"/>
  <c r="M4780" i="7"/>
  <c r="M4781" i="7"/>
  <c r="M4782" i="7"/>
  <c r="M4783" i="7"/>
  <c r="M4784" i="7"/>
  <c r="M4785" i="7"/>
  <c r="M4786" i="7"/>
  <c r="M4787" i="7"/>
  <c r="M4788" i="7"/>
  <c r="M4789" i="7"/>
  <c r="M4790" i="7"/>
  <c r="M4791" i="7"/>
  <c r="M4792" i="7"/>
  <c r="M4793" i="7"/>
  <c r="M4794" i="7"/>
  <c r="M4795" i="7"/>
  <c r="M4796" i="7"/>
  <c r="M4797" i="7"/>
  <c r="M4798" i="7"/>
  <c r="M4799" i="7"/>
  <c r="M4800" i="7"/>
  <c r="M4801" i="7"/>
  <c r="M4802" i="7"/>
  <c r="M4803" i="7"/>
  <c r="M4804" i="7"/>
  <c r="M4805" i="7"/>
  <c r="M4806" i="7"/>
  <c r="M4807" i="7"/>
  <c r="M4808" i="7"/>
  <c r="M4809" i="7"/>
  <c r="M4810" i="7"/>
  <c r="M4811" i="7"/>
  <c r="M4812" i="7"/>
  <c r="M4813" i="7"/>
  <c r="M4814" i="7"/>
  <c r="M4815" i="7"/>
  <c r="M4816" i="7"/>
  <c r="M4817" i="7"/>
  <c r="M4818" i="7"/>
  <c r="M4819" i="7"/>
  <c r="M4820" i="7"/>
  <c r="M4821" i="7"/>
  <c r="M4822" i="7"/>
  <c r="M4823" i="7"/>
  <c r="M4824" i="7"/>
  <c r="M4825" i="7"/>
  <c r="M4826" i="7"/>
  <c r="M4827" i="7"/>
  <c r="M4828" i="7"/>
  <c r="M4829" i="7"/>
  <c r="M4830" i="7"/>
  <c r="M4831" i="7"/>
  <c r="M4832" i="7"/>
  <c r="M4833" i="7"/>
  <c r="M4834" i="7"/>
  <c r="M4835" i="7"/>
  <c r="M4836" i="7"/>
  <c r="M4837" i="7"/>
  <c r="M4838" i="7"/>
  <c r="M4839" i="7"/>
  <c r="M4840" i="7"/>
  <c r="M4841" i="7"/>
  <c r="M4842" i="7"/>
  <c r="M4843" i="7"/>
  <c r="M4844" i="7"/>
  <c r="M4845" i="7"/>
  <c r="M4846" i="7"/>
  <c r="M4847" i="7"/>
  <c r="M4848" i="7"/>
  <c r="M4849" i="7"/>
  <c r="M4850" i="7"/>
  <c r="M4851" i="7"/>
  <c r="M4852" i="7"/>
  <c r="M4853" i="7"/>
  <c r="M4854" i="7"/>
  <c r="M4855" i="7"/>
  <c r="M4856" i="7"/>
  <c r="M4857" i="7"/>
  <c r="M4858" i="7"/>
  <c r="M4859" i="7"/>
  <c r="M4860" i="7"/>
  <c r="M4861" i="7"/>
  <c r="M4862" i="7"/>
  <c r="M4863" i="7"/>
  <c r="M4864" i="7"/>
  <c r="M4865" i="7"/>
  <c r="M4866" i="7"/>
  <c r="M4867" i="7"/>
  <c r="M4868" i="7"/>
  <c r="M4869" i="7"/>
  <c r="M4870" i="7"/>
  <c r="M4871" i="7"/>
  <c r="M4872" i="7"/>
  <c r="M4873" i="7"/>
  <c r="M4874" i="7"/>
  <c r="M4875" i="7"/>
  <c r="M4876" i="7"/>
  <c r="M4877" i="7"/>
  <c r="M4878" i="7"/>
  <c r="M4879" i="7"/>
  <c r="M4880" i="7"/>
  <c r="M4881" i="7"/>
  <c r="M4882" i="7"/>
  <c r="M4883" i="7"/>
  <c r="M4884" i="7"/>
  <c r="M4885" i="7"/>
  <c r="M4886" i="7"/>
  <c r="M4887" i="7"/>
  <c r="M4888" i="7"/>
  <c r="M4889" i="7"/>
  <c r="M4890" i="7"/>
  <c r="M4891" i="7"/>
  <c r="M4892" i="7"/>
  <c r="M4893" i="7"/>
  <c r="M4894" i="7"/>
  <c r="M4895" i="7"/>
  <c r="M4896" i="7"/>
  <c r="M4897" i="7"/>
  <c r="M4898" i="7"/>
  <c r="M4899" i="7"/>
  <c r="M4900" i="7"/>
  <c r="M4901" i="7"/>
  <c r="M4902" i="7"/>
  <c r="M4903" i="7"/>
  <c r="M4904" i="7"/>
  <c r="M4905" i="7"/>
  <c r="M4906" i="7"/>
  <c r="M4907" i="7"/>
  <c r="M4908" i="7"/>
  <c r="M4909" i="7"/>
  <c r="M4910" i="7"/>
  <c r="M4911" i="7"/>
  <c r="M4912" i="7"/>
  <c r="M4913" i="7"/>
  <c r="M4914" i="7"/>
  <c r="M4915" i="7"/>
  <c r="M4916" i="7"/>
  <c r="M4917" i="7"/>
  <c r="M4918" i="7"/>
  <c r="M4919" i="7"/>
  <c r="M4920" i="7"/>
  <c r="M4921" i="7"/>
  <c r="M4922" i="7"/>
  <c r="M4923" i="7"/>
  <c r="M4924" i="7"/>
  <c r="M4925" i="7"/>
  <c r="M4926" i="7"/>
  <c r="M4927" i="7"/>
  <c r="M4928" i="7"/>
  <c r="M4929" i="7"/>
  <c r="M4930" i="7"/>
  <c r="M4931" i="7"/>
  <c r="M4932" i="7"/>
  <c r="M4933" i="7"/>
  <c r="M4934" i="7"/>
  <c r="M4935" i="7"/>
  <c r="M4936" i="7"/>
  <c r="M4937" i="7"/>
  <c r="M4938" i="7"/>
  <c r="M4939" i="7"/>
  <c r="M4940" i="7"/>
  <c r="M4941" i="7"/>
  <c r="M4942" i="7"/>
  <c r="M4943" i="7"/>
  <c r="M4944" i="7"/>
  <c r="M4945" i="7"/>
  <c r="M4946" i="7"/>
  <c r="M4947" i="7"/>
  <c r="M4948" i="7"/>
  <c r="M4949" i="7"/>
  <c r="M4950" i="7"/>
  <c r="M4951" i="7"/>
  <c r="M4952" i="7"/>
  <c r="M4953" i="7"/>
  <c r="M4954" i="7"/>
  <c r="M4955" i="7"/>
  <c r="M4956" i="7"/>
  <c r="M4957" i="7"/>
  <c r="M4958" i="7"/>
  <c r="M4959" i="7"/>
  <c r="M4960" i="7"/>
  <c r="M4961" i="7"/>
  <c r="M4962" i="7"/>
  <c r="M4963" i="7"/>
  <c r="M4964" i="7"/>
  <c r="M4965" i="7"/>
  <c r="M4966" i="7"/>
  <c r="M4967" i="7"/>
  <c r="M4968" i="7"/>
  <c r="M4969" i="7"/>
  <c r="M4970" i="7"/>
  <c r="M4971" i="7"/>
  <c r="M4972" i="7"/>
  <c r="M4973" i="7"/>
  <c r="M4974" i="7"/>
  <c r="M4975" i="7"/>
  <c r="M4976" i="7"/>
  <c r="M4977" i="7"/>
  <c r="M4978" i="7"/>
  <c r="M4979" i="7"/>
  <c r="M4980" i="7"/>
  <c r="M4981" i="7"/>
  <c r="M4982" i="7"/>
  <c r="M4983" i="7"/>
  <c r="M4984" i="7"/>
  <c r="M4985" i="7"/>
  <c r="M4986" i="7"/>
  <c r="M4987" i="7"/>
  <c r="M4988" i="7"/>
  <c r="M4989" i="7"/>
  <c r="M4990" i="7"/>
  <c r="M4991" i="7"/>
  <c r="M4992" i="7"/>
  <c r="M4993" i="7"/>
  <c r="M4994" i="7"/>
  <c r="M4995" i="7"/>
  <c r="M4996" i="7"/>
  <c r="M4997" i="7"/>
  <c r="M4998" i="7"/>
  <c r="M4999" i="7"/>
  <c r="M5000" i="7"/>
  <c r="M5001" i="7"/>
  <c r="M5002" i="7"/>
  <c r="M5003" i="7"/>
  <c r="M5004" i="7"/>
  <c r="M5005" i="7"/>
  <c r="M5006" i="7"/>
  <c r="M5007" i="7"/>
  <c r="M5008" i="7"/>
  <c r="M5009" i="7"/>
  <c r="M5010" i="7"/>
  <c r="M5011" i="7"/>
  <c r="M5012" i="7"/>
  <c r="M5013" i="7"/>
  <c r="M5014" i="7"/>
  <c r="M5015" i="7"/>
  <c r="M5016" i="7"/>
  <c r="M5017" i="7"/>
  <c r="M5018" i="7"/>
  <c r="M5019" i="7"/>
  <c r="M5020" i="7"/>
  <c r="M5021" i="7"/>
  <c r="M5022" i="7"/>
  <c r="M5023" i="7"/>
  <c r="M5024" i="7"/>
  <c r="M5025" i="7"/>
  <c r="M5026" i="7"/>
  <c r="M5027" i="7"/>
  <c r="M5028" i="7"/>
  <c r="M5029" i="7"/>
  <c r="M5030" i="7"/>
  <c r="M5031" i="7"/>
  <c r="M5032" i="7"/>
  <c r="M5033" i="7"/>
  <c r="M5034" i="7"/>
  <c r="M5035" i="7"/>
  <c r="M5036" i="7"/>
  <c r="M5037" i="7"/>
  <c r="M5038" i="7"/>
  <c r="M5039" i="7"/>
  <c r="M5040" i="7"/>
  <c r="M5041" i="7"/>
  <c r="M5042" i="7"/>
  <c r="M5043" i="7"/>
  <c r="M5044" i="7"/>
  <c r="M5045" i="7"/>
  <c r="M5046" i="7"/>
  <c r="M5047" i="7"/>
  <c r="M5048" i="7"/>
  <c r="M5049" i="7"/>
  <c r="M5050" i="7"/>
  <c r="M5051" i="7"/>
  <c r="M5052" i="7"/>
  <c r="M5053" i="7"/>
  <c r="M5054" i="7"/>
  <c r="M5055" i="7"/>
  <c r="M5056" i="7"/>
  <c r="M5057" i="7"/>
  <c r="M5058" i="7"/>
  <c r="M5059" i="7"/>
  <c r="M5060" i="7"/>
  <c r="M5061" i="7"/>
  <c r="M5062" i="7"/>
  <c r="M5063" i="7"/>
  <c r="M5064" i="7"/>
  <c r="M5065" i="7"/>
  <c r="M5066" i="7"/>
  <c r="M5067" i="7"/>
  <c r="M5068" i="7"/>
  <c r="M5069" i="7"/>
  <c r="M5070" i="7"/>
  <c r="M5071" i="7"/>
  <c r="M5072" i="7"/>
  <c r="M5073" i="7"/>
  <c r="M5074" i="7"/>
  <c r="M5075" i="7"/>
  <c r="M5076" i="7"/>
  <c r="M5077" i="7"/>
  <c r="M5078" i="7"/>
  <c r="M5079" i="7"/>
  <c r="M5080" i="7"/>
  <c r="M5081" i="7"/>
  <c r="M5082" i="7"/>
  <c r="M5083" i="7"/>
  <c r="M5084" i="7"/>
  <c r="M5085" i="7"/>
  <c r="M5086" i="7"/>
  <c r="M5087" i="7"/>
  <c r="M5088" i="7"/>
  <c r="M5089" i="7"/>
  <c r="M5090" i="7"/>
  <c r="M5091" i="7"/>
  <c r="M5092" i="7"/>
  <c r="M5093" i="7"/>
  <c r="M5094" i="7"/>
  <c r="M5095" i="7"/>
  <c r="M5096" i="7"/>
  <c r="M5097" i="7"/>
  <c r="M5098" i="7"/>
  <c r="M5099" i="7"/>
  <c r="M5100" i="7"/>
  <c r="M5101" i="7"/>
  <c r="M5102" i="7"/>
  <c r="M5103" i="7"/>
  <c r="M5104" i="7"/>
  <c r="M5105" i="7"/>
  <c r="M5106" i="7"/>
  <c r="M5107" i="7"/>
  <c r="M5108" i="7"/>
  <c r="M5109" i="7"/>
  <c r="M5110" i="7"/>
  <c r="M5111" i="7"/>
  <c r="M5112" i="7"/>
  <c r="M5113" i="7"/>
  <c r="M5114" i="7"/>
  <c r="M5115" i="7"/>
  <c r="M5116" i="7"/>
  <c r="M5117" i="7"/>
  <c r="M5118" i="7"/>
  <c r="M5119" i="7"/>
  <c r="M5120" i="7"/>
  <c r="M5121" i="7"/>
  <c r="M5122" i="7"/>
  <c r="M5123" i="7"/>
  <c r="M5124" i="7"/>
  <c r="M5125" i="7"/>
  <c r="M5126" i="7"/>
  <c r="M5127" i="7"/>
  <c r="M5128" i="7"/>
  <c r="M5129" i="7"/>
  <c r="M5130" i="7"/>
  <c r="M5131" i="7"/>
  <c r="M5132" i="7"/>
  <c r="M5133" i="7"/>
  <c r="M5134" i="7"/>
  <c r="M5135" i="7"/>
  <c r="M5136" i="7"/>
  <c r="M5137" i="7"/>
  <c r="M5138" i="7"/>
  <c r="M5139" i="7"/>
  <c r="M5140" i="7"/>
  <c r="M5141" i="7"/>
  <c r="M5142" i="7"/>
  <c r="M5143" i="7"/>
  <c r="M5144" i="7"/>
  <c r="M5145" i="7"/>
  <c r="M5146" i="7"/>
  <c r="M5147" i="7"/>
  <c r="M5148" i="7"/>
  <c r="M5149" i="7"/>
  <c r="M5150" i="7"/>
  <c r="M5151" i="7"/>
  <c r="M5152" i="7"/>
  <c r="M5153" i="7"/>
  <c r="M5154" i="7"/>
  <c r="M5155" i="7"/>
  <c r="M5156" i="7"/>
  <c r="M5157" i="7"/>
  <c r="M5158" i="7"/>
  <c r="M5159" i="7"/>
  <c r="M5160" i="7"/>
  <c r="M5161" i="7"/>
  <c r="M5162" i="7"/>
  <c r="M5163" i="7"/>
  <c r="M5164" i="7"/>
  <c r="M5165" i="7"/>
  <c r="M5166" i="7"/>
  <c r="M5167" i="7"/>
  <c r="M5168" i="7"/>
  <c r="M5169" i="7"/>
  <c r="M5170" i="7"/>
  <c r="M5171" i="7"/>
  <c r="M5172" i="7"/>
  <c r="M5173" i="7"/>
  <c r="M5174" i="7"/>
  <c r="M5175" i="7"/>
  <c r="M5176" i="7"/>
  <c r="M5177" i="7"/>
  <c r="M5178" i="7"/>
  <c r="M5179" i="7"/>
  <c r="M5180" i="7"/>
  <c r="M5181" i="7"/>
  <c r="M5182" i="7"/>
  <c r="M5183" i="7"/>
  <c r="M5184" i="7"/>
  <c r="M5185" i="7"/>
  <c r="M5186" i="7"/>
  <c r="M5187" i="7"/>
  <c r="M5188" i="7"/>
  <c r="M5189" i="7"/>
  <c r="M5190" i="7"/>
  <c r="M5191" i="7"/>
  <c r="M5192" i="7"/>
  <c r="M5193" i="7"/>
  <c r="M5194" i="7"/>
  <c r="M5195" i="7"/>
  <c r="M5196" i="7"/>
  <c r="M5197" i="7"/>
  <c r="M5198" i="7"/>
  <c r="M5199" i="7"/>
  <c r="M5200" i="7"/>
  <c r="M5201" i="7"/>
  <c r="M5202" i="7"/>
  <c r="M5203" i="7"/>
  <c r="M5204" i="7"/>
  <c r="M5205" i="7"/>
  <c r="M5206" i="7"/>
  <c r="M5207" i="7"/>
  <c r="M5208" i="7"/>
  <c r="M5209" i="7"/>
  <c r="M5210" i="7"/>
  <c r="M5211" i="7"/>
  <c r="M5212" i="7"/>
  <c r="M5213" i="7"/>
  <c r="M5214" i="7"/>
  <c r="M5215" i="7"/>
  <c r="M5216" i="7"/>
  <c r="M5217" i="7"/>
  <c r="M5218" i="7"/>
  <c r="M5219" i="7"/>
  <c r="M5220" i="7"/>
  <c r="M5221" i="7"/>
  <c r="M5222" i="7"/>
  <c r="M5223" i="7"/>
  <c r="M5224" i="7"/>
  <c r="M5225" i="7"/>
  <c r="M5226" i="7"/>
  <c r="M5227" i="7"/>
  <c r="M5228" i="7"/>
  <c r="M5229" i="7"/>
  <c r="M5230" i="7"/>
  <c r="M5231" i="7"/>
  <c r="M5232" i="7"/>
  <c r="M5233" i="7"/>
  <c r="M5234" i="7"/>
  <c r="M5235" i="7"/>
  <c r="M5236" i="7"/>
  <c r="M5237" i="7"/>
  <c r="M5238" i="7"/>
  <c r="M5239" i="7"/>
  <c r="M5240" i="7"/>
  <c r="M5241" i="7"/>
  <c r="M5242" i="7"/>
  <c r="M5243" i="7"/>
  <c r="M5244" i="7"/>
  <c r="M5245" i="7"/>
  <c r="M5246" i="7"/>
  <c r="M5247" i="7"/>
  <c r="M5248" i="7"/>
  <c r="M5249" i="7"/>
  <c r="M5250" i="7"/>
  <c r="M5251" i="7"/>
  <c r="M5252" i="7"/>
  <c r="M5253" i="7"/>
  <c r="M5254" i="7"/>
  <c r="M5255" i="7"/>
  <c r="M5256" i="7"/>
  <c r="M5257" i="7"/>
  <c r="M5258" i="7"/>
  <c r="M5259" i="7"/>
  <c r="M5260" i="7"/>
  <c r="M5261" i="7"/>
  <c r="M5262" i="7"/>
  <c r="M5263" i="7"/>
  <c r="M5264" i="7"/>
  <c r="M5265" i="7"/>
  <c r="M6708" i="7"/>
  <c r="M6710" i="7"/>
  <c r="M6712" i="7"/>
  <c r="M6714" i="7"/>
  <c r="M6716" i="7"/>
  <c r="M6718" i="7"/>
  <c r="M6720" i="7"/>
  <c r="M6722" i="7"/>
  <c r="M6724" i="7"/>
  <c r="M6726" i="7"/>
  <c r="M6728" i="7"/>
  <c r="M6730" i="7"/>
  <c r="M6732" i="7"/>
  <c r="M6734" i="7"/>
  <c r="M6736" i="7"/>
  <c r="M6738" i="7"/>
  <c r="M6740" i="7"/>
  <c r="M6742" i="7"/>
  <c r="M6744" i="7"/>
  <c r="M6746" i="7"/>
  <c r="M6748" i="7"/>
  <c r="M6750" i="7"/>
  <c r="M6752" i="7"/>
  <c r="M6754" i="7"/>
  <c r="M6756" i="7"/>
  <c r="M6757" i="7"/>
  <c r="M6759" i="7"/>
  <c r="M6761" i="7"/>
  <c r="M6766" i="7"/>
  <c r="M6767" i="7"/>
  <c r="M6770" i="7"/>
  <c r="M6772" i="7"/>
  <c r="M6774" i="7"/>
  <c r="M6776" i="7"/>
  <c r="M6778" i="7"/>
  <c r="M6780" i="7"/>
  <c r="M6782" i="7"/>
  <c r="M6784" i="7"/>
  <c r="M95" i="5"/>
  <c r="M65" i="5"/>
  <c r="M255" i="5"/>
  <c r="M96" i="5"/>
  <c r="M40" i="5"/>
  <c r="M5266" i="7"/>
  <c r="M5267" i="7"/>
  <c r="M5268" i="7"/>
  <c r="M5269" i="7"/>
  <c r="M5270" i="7"/>
  <c r="M5271" i="7"/>
  <c r="M5272" i="7"/>
  <c r="M5273" i="7"/>
  <c r="M5274" i="7"/>
  <c r="M5275" i="7"/>
  <c r="M5276" i="7"/>
  <c r="M5277" i="7"/>
  <c r="M5278" i="7"/>
  <c r="M5279" i="7"/>
  <c r="M5280" i="7"/>
  <c r="M5281" i="7"/>
  <c r="M5282" i="7"/>
  <c r="M5283" i="7"/>
  <c r="M5284" i="7"/>
  <c r="M5285" i="7"/>
  <c r="M5286" i="7"/>
  <c r="M5287" i="7"/>
  <c r="M5288" i="7"/>
  <c r="M5289" i="7"/>
  <c r="M5290" i="7"/>
  <c r="M5291" i="7"/>
  <c r="M5292" i="7"/>
  <c r="M5293" i="7"/>
  <c r="M5294" i="7"/>
  <c r="M5295" i="7"/>
  <c r="M5296" i="7"/>
  <c r="M5297" i="7"/>
  <c r="M5298" i="7"/>
  <c r="M5299" i="7"/>
  <c r="M5300" i="7"/>
  <c r="M5301" i="7"/>
  <c r="M5302" i="7"/>
  <c r="M5303" i="7"/>
  <c r="M5304" i="7"/>
  <c r="M5305" i="7"/>
  <c r="M5306" i="7"/>
  <c r="M5307" i="7"/>
  <c r="M5308" i="7"/>
  <c r="M5309" i="7"/>
  <c r="M5310" i="7"/>
  <c r="M5311" i="7"/>
  <c r="M5312" i="7"/>
  <c r="M5313" i="7"/>
  <c r="M5314" i="7"/>
  <c r="M5315" i="7"/>
  <c r="M5316" i="7"/>
  <c r="M5317" i="7"/>
  <c r="M5318" i="7"/>
  <c r="M5319" i="7"/>
  <c r="M5320" i="7"/>
  <c r="M5321" i="7"/>
  <c r="M5322" i="7"/>
  <c r="M5323" i="7"/>
  <c r="M5324" i="7"/>
  <c r="M5325" i="7"/>
  <c r="M5326" i="7"/>
  <c r="M5327" i="7"/>
  <c r="M5328" i="7"/>
  <c r="M5329" i="7"/>
  <c r="M5330" i="7"/>
  <c r="M5331" i="7"/>
  <c r="M5332" i="7"/>
  <c r="M5333" i="7"/>
  <c r="M5334" i="7"/>
  <c r="M5335" i="7"/>
  <c r="M5336" i="7"/>
  <c r="M5337" i="7"/>
  <c r="M5338" i="7"/>
  <c r="M5339" i="7"/>
  <c r="M5340" i="7"/>
  <c r="M5341" i="7"/>
  <c r="M5342" i="7"/>
  <c r="M5343" i="7"/>
  <c r="M5344" i="7"/>
  <c r="M5345" i="7"/>
  <c r="M5346" i="7"/>
  <c r="M5347" i="7"/>
  <c r="M5348" i="7"/>
  <c r="M5349" i="7"/>
  <c r="M5350" i="7"/>
  <c r="M5351" i="7"/>
  <c r="M5352" i="7"/>
  <c r="M5353" i="7"/>
  <c r="M5354" i="7"/>
  <c r="M5355" i="7"/>
  <c r="M5356" i="7"/>
  <c r="M5357" i="7"/>
  <c r="M5358" i="7"/>
  <c r="M5359" i="7"/>
  <c r="M5360" i="7"/>
  <c r="M5361" i="7"/>
  <c r="M5362" i="7"/>
  <c r="M5363" i="7"/>
  <c r="M5364" i="7"/>
  <c r="M5365" i="7"/>
  <c r="M5366" i="7"/>
  <c r="M5367" i="7"/>
  <c r="M5368" i="7"/>
  <c r="M5369" i="7"/>
  <c r="M5370" i="7"/>
  <c r="M5371" i="7"/>
  <c r="M5372" i="7"/>
  <c r="M5373" i="7"/>
  <c r="M5374" i="7"/>
  <c r="M5375" i="7"/>
  <c r="M5376" i="7"/>
  <c r="M5377" i="7"/>
  <c r="M5378" i="7"/>
  <c r="M5379" i="7"/>
  <c r="M5380" i="7"/>
  <c r="M5381" i="7"/>
  <c r="M5382" i="7"/>
  <c r="M5383" i="7"/>
  <c r="M5384" i="7"/>
  <c r="M5385" i="7"/>
  <c r="M5386" i="7"/>
  <c r="M5387" i="7"/>
  <c r="M5388" i="7"/>
  <c r="M5389" i="7"/>
  <c r="M5390" i="7"/>
  <c r="M5391" i="7"/>
  <c r="M5392" i="7"/>
  <c r="M5393" i="7"/>
  <c r="M5394" i="7"/>
  <c r="M5395" i="7"/>
  <c r="M5396" i="7"/>
  <c r="M5397" i="7"/>
  <c r="M5398" i="7"/>
  <c r="M5399" i="7"/>
  <c r="M5400" i="7"/>
  <c r="M5401" i="7"/>
  <c r="M5402" i="7"/>
  <c r="M5403" i="7"/>
  <c r="M5404" i="7"/>
  <c r="M5405" i="7"/>
  <c r="M5406" i="7"/>
  <c r="M5407" i="7"/>
  <c r="M5408" i="7"/>
  <c r="M5409" i="7"/>
  <c r="M5410" i="7"/>
  <c r="M5411" i="7"/>
  <c r="M5412" i="7"/>
  <c r="M5413" i="7"/>
  <c r="M5414" i="7"/>
  <c r="M5415" i="7"/>
  <c r="M5416" i="7"/>
  <c r="M5417" i="7"/>
  <c r="M5418" i="7"/>
  <c r="M5419" i="7"/>
  <c r="M5420" i="7"/>
  <c r="M5421" i="7"/>
  <c r="M5422" i="7"/>
  <c r="M5423" i="7"/>
  <c r="M5424" i="7"/>
  <c r="M5425" i="7"/>
  <c r="M5426" i="7"/>
  <c r="M5427" i="7"/>
  <c r="M5428" i="7"/>
  <c r="M5429" i="7"/>
  <c r="M5430" i="7"/>
  <c r="M5431" i="7"/>
  <c r="M5432" i="7"/>
  <c r="M5433" i="7"/>
  <c r="M5434" i="7"/>
  <c r="M5435" i="7"/>
  <c r="M5436" i="7"/>
  <c r="M5437" i="7"/>
  <c r="M5438" i="7"/>
  <c r="M5439" i="7"/>
  <c r="M5440" i="7"/>
  <c r="M5441" i="7"/>
  <c r="M5442" i="7"/>
  <c r="M5443" i="7"/>
  <c r="M5444" i="7"/>
  <c r="M5445" i="7"/>
  <c r="M5446" i="7"/>
  <c r="M5447" i="7"/>
  <c r="M5448" i="7"/>
  <c r="M5449" i="7"/>
  <c r="M5450" i="7"/>
  <c r="M5451" i="7"/>
  <c r="M5452" i="7"/>
  <c r="M5453" i="7"/>
  <c r="M5454" i="7"/>
  <c r="M5455" i="7"/>
  <c r="M5456" i="7"/>
  <c r="M5457" i="7"/>
  <c r="M5458" i="7"/>
  <c r="M5459" i="7"/>
  <c r="M5460" i="7"/>
  <c r="M5461" i="7"/>
  <c r="M5462" i="7"/>
  <c r="M5463" i="7"/>
  <c r="M5464" i="7"/>
  <c r="M5465" i="7"/>
  <c r="M5466" i="7"/>
  <c r="M5467" i="7"/>
  <c r="M5468" i="7"/>
  <c r="M5469" i="7"/>
  <c r="M5470" i="7"/>
  <c r="M5471" i="7"/>
  <c r="M5472" i="7"/>
  <c r="M5473" i="7"/>
  <c r="M5474" i="7"/>
  <c r="M5475" i="7"/>
  <c r="M5476" i="7"/>
  <c r="M5477" i="7"/>
  <c r="M5478" i="7"/>
  <c r="M5479" i="7"/>
  <c r="M5480" i="7"/>
  <c r="M5481" i="7"/>
  <c r="M5482" i="7"/>
  <c r="M5483" i="7"/>
  <c r="M5484" i="7"/>
  <c r="M5485" i="7"/>
  <c r="M5486" i="7"/>
  <c r="M5487" i="7"/>
  <c r="M5488" i="7"/>
  <c r="M5489" i="7"/>
  <c r="M5490" i="7"/>
  <c r="M5491" i="7"/>
  <c r="M5492" i="7"/>
  <c r="M5493" i="7"/>
  <c r="M5494" i="7"/>
  <c r="M5495" i="7"/>
  <c r="M5496" i="7"/>
  <c r="M5497" i="7"/>
  <c r="M5498" i="7"/>
  <c r="M5499" i="7"/>
  <c r="M5500" i="7"/>
  <c r="M5501" i="7"/>
  <c r="M5502" i="7"/>
  <c r="M5503" i="7"/>
  <c r="M5504" i="7"/>
  <c r="M5505" i="7"/>
  <c r="M5506" i="7"/>
  <c r="M5507" i="7"/>
  <c r="M5508" i="7"/>
  <c r="M5509" i="7"/>
  <c r="M5510" i="7"/>
  <c r="M5511" i="7"/>
  <c r="M5512" i="7"/>
  <c r="M5513" i="7"/>
  <c r="M5514" i="7"/>
  <c r="M5515" i="7"/>
  <c r="M5516" i="7"/>
  <c r="M5517" i="7"/>
  <c r="M5518" i="7"/>
  <c r="M5519" i="7"/>
  <c r="M5520" i="7"/>
  <c r="M5521" i="7"/>
  <c r="M5522" i="7"/>
  <c r="M5523" i="7"/>
  <c r="M5524" i="7"/>
  <c r="M5525" i="7"/>
  <c r="M5526" i="7"/>
  <c r="M5527" i="7"/>
  <c r="M5528" i="7"/>
  <c r="M5529" i="7"/>
  <c r="M5530" i="7"/>
  <c r="M5531" i="7"/>
  <c r="M5532" i="7"/>
  <c r="M5533" i="7"/>
  <c r="M5534" i="7"/>
  <c r="M5535" i="7"/>
  <c r="M5536" i="7"/>
  <c r="M5537" i="7"/>
  <c r="M5538" i="7"/>
  <c r="M5539" i="7"/>
  <c r="M5540" i="7"/>
  <c r="M5541" i="7"/>
  <c r="M5542" i="7"/>
  <c r="M5543" i="7"/>
  <c r="M5544" i="7"/>
  <c r="M5545" i="7"/>
  <c r="M5546" i="7"/>
  <c r="M5547" i="7"/>
  <c r="M5548" i="7"/>
  <c r="M5549" i="7"/>
  <c r="M5550" i="7"/>
  <c r="M5551" i="7"/>
  <c r="M5552" i="7"/>
  <c r="M5553" i="7"/>
  <c r="M5554" i="7"/>
  <c r="M5555" i="7"/>
  <c r="M5556" i="7"/>
  <c r="M5557" i="7"/>
  <c r="M5558" i="7"/>
  <c r="M5559" i="7"/>
  <c r="M5560" i="7"/>
  <c r="M5561" i="7"/>
  <c r="M5562" i="7"/>
  <c r="M5563" i="7"/>
  <c r="M5564" i="7"/>
  <c r="M5565" i="7"/>
  <c r="M5566" i="7"/>
  <c r="M5567" i="7"/>
  <c r="M5568" i="7"/>
  <c r="M5569" i="7"/>
  <c r="M5570" i="7"/>
  <c r="M5571" i="7"/>
  <c r="M5572" i="7"/>
  <c r="M5573" i="7"/>
  <c r="M5574" i="7"/>
  <c r="M5575" i="7"/>
  <c r="M5576" i="7"/>
  <c r="M5577" i="7"/>
  <c r="M5578" i="7"/>
  <c r="M5579" i="7"/>
  <c r="M5580" i="7"/>
  <c r="M5581" i="7"/>
  <c r="M5582" i="7"/>
  <c r="M5583" i="7"/>
  <c r="M5584" i="7"/>
  <c r="M5585" i="7"/>
  <c r="M5586" i="7"/>
  <c r="M5587" i="7"/>
  <c r="M5588" i="7"/>
  <c r="M5589" i="7"/>
  <c r="M5590" i="7"/>
  <c r="M5591" i="7"/>
  <c r="M5592" i="7"/>
  <c r="M5593" i="7"/>
  <c r="M5594" i="7"/>
  <c r="M5595" i="7"/>
  <c r="M5596" i="7"/>
  <c r="M5597" i="7"/>
  <c r="M5598" i="7"/>
  <c r="M5599" i="7"/>
  <c r="M5600" i="7"/>
  <c r="M5601" i="7"/>
  <c r="M5602" i="7"/>
  <c r="M5603" i="7"/>
  <c r="M5604" i="7"/>
  <c r="M5605" i="7"/>
  <c r="M5606" i="7"/>
  <c r="M5607" i="7"/>
  <c r="M5608" i="7"/>
  <c r="M5609" i="7"/>
  <c r="M5610" i="7"/>
  <c r="M5611" i="7"/>
  <c r="M5612" i="7"/>
  <c r="M5613" i="7"/>
  <c r="M5614" i="7"/>
  <c r="M5615" i="7"/>
  <c r="M5616" i="7"/>
  <c r="M5617" i="7"/>
  <c r="M5618" i="7"/>
  <c r="M5619" i="7"/>
  <c r="M5620" i="7"/>
  <c r="M5621" i="7"/>
  <c r="M5622" i="7"/>
  <c r="M5623" i="7"/>
  <c r="M5624" i="7"/>
  <c r="M5625" i="7"/>
  <c r="M5626" i="7"/>
  <c r="M5627" i="7"/>
  <c r="M5628" i="7"/>
  <c r="M5629" i="7"/>
  <c r="M5630" i="7"/>
  <c r="M5631" i="7"/>
  <c r="M5632" i="7"/>
  <c r="M5633" i="7"/>
  <c r="M5634" i="7"/>
  <c r="M5635" i="7"/>
  <c r="M5636" i="7"/>
  <c r="M5637" i="7"/>
  <c r="M5638" i="7"/>
  <c r="M5639" i="7"/>
  <c r="M5640" i="7"/>
  <c r="M5641" i="7"/>
  <c r="M5642" i="7"/>
  <c r="M5643" i="7"/>
  <c r="M5644" i="7"/>
  <c r="M5645" i="7"/>
  <c r="M5646" i="7"/>
  <c r="M5647" i="7"/>
  <c r="M5648" i="7"/>
  <c r="M5649" i="7"/>
  <c r="M5650" i="7"/>
  <c r="M5651" i="7"/>
  <c r="M5652" i="7"/>
  <c r="M5653" i="7"/>
  <c r="M5654" i="7"/>
  <c r="M5655" i="7"/>
  <c r="M5656" i="7"/>
  <c r="M5657" i="7"/>
  <c r="M5658" i="7"/>
  <c r="M5659" i="7"/>
  <c r="M5660" i="7"/>
  <c r="M5661" i="7"/>
  <c r="M5662" i="7"/>
  <c r="M5663" i="7"/>
  <c r="M5664" i="7"/>
  <c r="M5665" i="7"/>
  <c r="M5666" i="7"/>
  <c r="M5667" i="7"/>
  <c r="M5668" i="7"/>
  <c r="M5669" i="7"/>
  <c r="M5670" i="7"/>
  <c r="M5671" i="7"/>
  <c r="M5672" i="7"/>
  <c r="M5673" i="7"/>
  <c r="M5674" i="7"/>
  <c r="M5675" i="7"/>
  <c r="M5676" i="7"/>
  <c r="M5677" i="7"/>
  <c r="M5678" i="7"/>
  <c r="M5679" i="7"/>
  <c r="M5680" i="7"/>
  <c r="M5681" i="7"/>
  <c r="M5682" i="7"/>
  <c r="M5683" i="7"/>
  <c r="M5684" i="7"/>
  <c r="M5685" i="7"/>
  <c r="M5686" i="7"/>
  <c r="M5687" i="7"/>
  <c r="M5688" i="7"/>
  <c r="M5689" i="7"/>
  <c r="M5690" i="7"/>
  <c r="M5691" i="7"/>
  <c r="M5692" i="7"/>
  <c r="M5693" i="7"/>
  <c r="M5694" i="7"/>
  <c r="M5695" i="7"/>
  <c r="M5696" i="7"/>
  <c r="M5697" i="7"/>
  <c r="M5698" i="7"/>
  <c r="M5699" i="7"/>
  <c r="M5700" i="7"/>
  <c r="M5701" i="7"/>
  <c r="M5702" i="7"/>
  <c r="M5703" i="7"/>
  <c r="M5704" i="7"/>
  <c r="M5705" i="7"/>
  <c r="M5706" i="7"/>
  <c r="M5707" i="7"/>
  <c r="M5708" i="7"/>
  <c r="M5709" i="7"/>
  <c r="M5710" i="7"/>
  <c r="M5711" i="7"/>
  <c r="M5712" i="7"/>
  <c r="M5713" i="7"/>
  <c r="M5714" i="7"/>
  <c r="M5715" i="7"/>
  <c r="M5716" i="7"/>
  <c r="M5717" i="7"/>
  <c r="M5718" i="7"/>
  <c r="M5719" i="7"/>
  <c r="M5720" i="7"/>
  <c r="M5721" i="7"/>
  <c r="M5722" i="7"/>
  <c r="M5723" i="7"/>
  <c r="M5724" i="7"/>
  <c r="M5725" i="7"/>
  <c r="M5726" i="7"/>
  <c r="M5727" i="7"/>
  <c r="M5728" i="7"/>
  <c r="M5729" i="7"/>
  <c r="M5730" i="7"/>
  <c r="M5731" i="7"/>
  <c r="M5732" i="7"/>
  <c r="M5733" i="7"/>
  <c r="M5734" i="7"/>
  <c r="M5735" i="7"/>
  <c r="M5736" i="7"/>
  <c r="M5737" i="7"/>
  <c r="M5738" i="7"/>
  <c r="M5739" i="7"/>
  <c r="M5740" i="7"/>
  <c r="M5741" i="7"/>
  <c r="M5742" i="7"/>
  <c r="M5743" i="7"/>
  <c r="M5744" i="7"/>
  <c r="M5745" i="7"/>
  <c r="M5746" i="7"/>
  <c r="M5747" i="7"/>
  <c r="M5748" i="7"/>
  <c r="M5749" i="7"/>
  <c r="M5750" i="7"/>
  <c r="M5751" i="7"/>
  <c r="M5752" i="7"/>
  <c r="M5753" i="7"/>
  <c r="M5754" i="7"/>
  <c r="M5755" i="7"/>
  <c r="M5756" i="7"/>
  <c r="M5757" i="7"/>
  <c r="M5758" i="7"/>
  <c r="M5759" i="7"/>
  <c r="M5760" i="7"/>
  <c r="M5761" i="7"/>
  <c r="M5762" i="7"/>
  <c r="M5763" i="7"/>
  <c r="M5764" i="7"/>
  <c r="M5765" i="7"/>
  <c r="M5766" i="7"/>
  <c r="M5767" i="7"/>
  <c r="M5768" i="7"/>
  <c r="M5769" i="7"/>
  <c r="M5770" i="7"/>
  <c r="M5771" i="7"/>
  <c r="M5772" i="7"/>
  <c r="M5773" i="7"/>
  <c r="M5774" i="7"/>
  <c r="M5775" i="7"/>
  <c r="M5776" i="7"/>
  <c r="M5777" i="7"/>
  <c r="M5778" i="7"/>
  <c r="M5779" i="7"/>
  <c r="M5780" i="7"/>
  <c r="M5781" i="7"/>
  <c r="M5782" i="7"/>
  <c r="M5783" i="7"/>
  <c r="M5784" i="7"/>
  <c r="M5785" i="7"/>
  <c r="M5786" i="7"/>
  <c r="M5787" i="7"/>
  <c r="M5788" i="7"/>
  <c r="M5789" i="7"/>
  <c r="M5790" i="7"/>
  <c r="M5791" i="7"/>
  <c r="M5792" i="7"/>
  <c r="M5793" i="7"/>
  <c r="M5794" i="7"/>
  <c r="M5795" i="7"/>
  <c r="M5796" i="7"/>
  <c r="M5797" i="7"/>
  <c r="M5798" i="7"/>
  <c r="M5799" i="7"/>
  <c r="M5800" i="7"/>
  <c r="M5801" i="7"/>
  <c r="M5802" i="7"/>
  <c r="M5803" i="7"/>
  <c r="M5804" i="7"/>
  <c r="M5805" i="7"/>
  <c r="M5806" i="7"/>
  <c r="M5807" i="7"/>
  <c r="M5808" i="7"/>
  <c r="M5809" i="7"/>
  <c r="M5810" i="7"/>
  <c r="M5811" i="7"/>
  <c r="M5812" i="7"/>
  <c r="M5813" i="7"/>
  <c r="M5814" i="7"/>
  <c r="M5815" i="7"/>
  <c r="M5816" i="7"/>
  <c r="M5817" i="7"/>
  <c r="M5818" i="7"/>
  <c r="M5819" i="7"/>
  <c r="M5820" i="7"/>
  <c r="M5821" i="7"/>
  <c r="M5822" i="7"/>
  <c r="M5823" i="7"/>
  <c r="M5824" i="7"/>
  <c r="M5825" i="7"/>
  <c r="M5826" i="7"/>
  <c r="M5827" i="7"/>
  <c r="M5828" i="7"/>
  <c r="M5829" i="7"/>
  <c r="M5830" i="7"/>
  <c r="M5831" i="7"/>
  <c r="M5832" i="7"/>
  <c r="M5833" i="7"/>
  <c r="M5834" i="7"/>
  <c r="M5835" i="7"/>
  <c r="M5836" i="7"/>
  <c r="M5837" i="7"/>
  <c r="M5838" i="7"/>
  <c r="M5839" i="7"/>
  <c r="M5840" i="7"/>
  <c r="M5841" i="7"/>
  <c r="M5842" i="7"/>
  <c r="M5843" i="7"/>
  <c r="M5844" i="7"/>
  <c r="M5845" i="7"/>
  <c r="M5846" i="7"/>
  <c r="M5847" i="7"/>
  <c r="M5848" i="7"/>
  <c r="M5849" i="7"/>
  <c r="M5850" i="7"/>
  <c r="M5851" i="7"/>
  <c r="M5852" i="7"/>
  <c r="M5853" i="7"/>
  <c r="M5854" i="7"/>
  <c r="M5855" i="7"/>
  <c r="M5856" i="7"/>
  <c r="M5857" i="7"/>
  <c r="M5858" i="7"/>
  <c r="M5859" i="7"/>
  <c r="M5860" i="7"/>
  <c r="M5861" i="7"/>
  <c r="M5862" i="7"/>
  <c r="M5863" i="7"/>
  <c r="M5864" i="7"/>
  <c r="M5865" i="7"/>
  <c r="M5866" i="7"/>
  <c r="M5867" i="7"/>
  <c r="M5868" i="7"/>
  <c r="M5869" i="7"/>
  <c r="M5870" i="7"/>
  <c r="M5871" i="7"/>
  <c r="M5872" i="7"/>
  <c r="M5873" i="7"/>
  <c r="M5874" i="7"/>
  <c r="M5875" i="7"/>
  <c r="M5876" i="7"/>
  <c r="M5877" i="7"/>
  <c r="M5878" i="7"/>
  <c r="M5879" i="7"/>
  <c r="M5880" i="7"/>
  <c r="M5881" i="7"/>
  <c r="M5882" i="7"/>
  <c r="M5883" i="7"/>
  <c r="M5884" i="7"/>
  <c r="M5885" i="7"/>
  <c r="M5886" i="7"/>
  <c r="M5887" i="7"/>
  <c r="M5888" i="7"/>
  <c r="M5889" i="7"/>
  <c r="M5890" i="7"/>
  <c r="M5891" i="7"/>
  <c r="M5892" i="7"/>
  <c r="M5893" i="7"/>
  <c r="M5894" i="7"/>
  <c r="M5895" i="7"/>
  <c r="M5896" i="7"/>
  <c r="M5897" i="7"/>
  <c r="M5898" i="7"/>
  <c r="M5899" i="7"/>
  <c r="M5900" i="7"/>
  <c r="M5901" i="7"/>
  <c r="M5902" i="7"/>
  <c r="M5903" i="7"/>
  <c r="M5904" i="7"/>
  <c r="M5905" i="7"/>
  <c r="M5906" i="7"/>
  <c r="M5907" i="7"/>
  <c r="M5908" i="7"/>
  <c r="M5909" i="7"/>
  <c r="M5910" i="7"/>
  <c r="M5911" i="7"/>
  <c r="M5912" i="7"/>
  <c r="M5913" i="7"/>
  <c r="M5914" i="7"/>
  <c r="M5915" i="7"/>
  <c r="M5916" i="7"/>
  <c r="M5917" i="7"/>
  <c r="M5918" i="7"/>
  <c r="M5919" i="7"/>
  <c r="M5920" i="7"/>
  <c r="M5921" i="7"/>
  <c r="M5922" i="7"/>
  <c r="M5923" i="7"/>
  <c r="M5924" i="7"/>
  <c r="M5925" i="7"/>
  <c r="M5926" i="7"/>
  <c r="M5927" i="7"/>
  <c r="M5928" i="7"/>
  <c r="M5929" i="7"/>
  <c r="M5930" i="7"/>
  <c r="M5931" i="7"/>
  <c r="M5932" i="7"/>
  <c r="M5933" i="7"/>
  <c r="M5934" i="7"/>
  <c r="M5935" i="7"/>
  <c r="M5936" i="7"/>
  <c r="M5937" i="7"/>
  <c r="M5938" i="7"/>
  <c r="M5939" i="7"/>
  <c r="M5940" i="7"/>
  <c r="M5941" i="7"/>
  <c r="M5942" i="7"/>
  <c r="M5943" i="7"/>
  <c r="M5944" i="7"/>
  <c r="M5945" i="7"/>
  <c r="M5946" i="7"/>
  <c r="M5947" i="7"/>
  <c r="M5948" i="7"/>
  <c r="M5949" i="7"/>
  <c r="M5950" i="7"/>
  <c r="M5951" i="7"/>
  <c r="M5952" i="7"/>
  <c r="M5953" i="7"/>
  <c r="M5954" i="7"/>
  <c r="M5955" i="7"/>
  <c r="M5956" i="7"/>
  <c r="M5957" i="7"/>
  <c r="M5958" i="7"/>
  <c r="M5959" i="7"/>
  <c r="M5960" i="7"/>
  <c r="M5961" i="7"/>
  <c r="M5962" i="7"/>
  <c r="M5963" i="7"/>
  <c r="M5964" i="7"/>
  <c r="M5965" i="7"/>
  <c r="M5966" i="7"/>
  <c r="M5967" i="7"/>
  <c r="M5968" i="7"/>
  <c r="M5969" i="7"/>
  <c r="M5970" i="7"/>
  <c r="M5971" i="7"/>
  <c r="M5972" i="7"/>
  <c r="M5973" i="7"/>
  <c r="M5974" i="7"/>
  <c r="M5975" i="7"/>
  <c r="M5976" i="7"/>
  <c r="M5977" i="7"/>
  <c r="M5978" i="7"/>
  <c r="M5979" i="7"/>
  <c r="M5980" i="7"/>
  <c r="M5981" i="7"/>
  <c r="M5982" i="7"/>
  <c r="M5983" i="7"/>
  <c r="M5984" i="7"/>
  <c r="M5985" i="7"/>
  <c r="M5986" i="7"/>
  <c r="M5987" i="7"/>
  <c r="M5988" i="7"/>
  <c r="M5989" i="7"/>
  <c r="M5990" i="7"/>
  <c r="M5991" i="7"/>
  <c r="M5992" i="7"/>
  <c r="M5993" i="7"/>
  <c r="M5994" i="7"/>
  <c r="M5995" i="7"/>
  <c r="M5996" i="7"/>
  <c r="M5997" i="7"/>
  <c r="M5998" i="7"/>
  <c r="M5999" i="7"/>
  <c r="M6000" i="7"/>
  <c r="M6001" i="7"/>
  <c r="M6002" i="7"/>
  <c r="M6003" i="7"/>
  <c r="M6004" i="7"/>
  <c r="M6005" i="7"/>
  <c r="M6006" i="7"/>
  <c r="M6007" i="7"/>
  <c r="M6008" i="7"/>
  <c r="M6009" i="7"/>
  <c r="M6010" i="7"/>
  <c r="M6011" i="7"/>
  <c r="M6012" i="7"/>
  <c r="M6013" i="7"/>
  <c r="M6014" i="7"/>
  <c r="M6015" i="7"/>
  <c r="M6016" i="7"/>
  <c r="M6017" i="7"/>
  <c r="M6018" i="7"/>
  <c r="M6019" i="7"/>
  <c r="M6020" i="7"/>
  <c r="M6021" i="7"/>
  <c r="M6022" i="7"/>
  <c r="M6023" i="7"/>
  <c r="M6024" i="7"/>
  <c r="M6025" i="7"/>
  <c r="M6026" i="7"/>
  <c r="M6027" i="7"/>
  <c r="M6028" i="7"/>
  <c r="M6029" i="7"/>
  <c r="M6030" i="7"/>
  <c r="M6031" i="7"/>
  <c r="M6032" i="7"/>
  <c r="M6033" i="7"/>
  <c r="M6034" i="7"/>
  <c r="M6035" i="7"/>
  <c r="M6036" i="7"/>
  <c r="M6037" i="7"/>
  <c r="M6038" i="7"/>
  <c r="M6039" i="7"/>
  <c r="M6040" i="7"/>
  <c r="M6041" i="7"/>
  <c r="M6042" i="7"/>
  <c r="M6043" i="7"/>
  <c r="M6044" i="7"/>
  <c r="M6045" i="7"/>
  <c r="M6046" i="7"/>
  <c r="M6047" i="7"/>
  <c r="M6048" i="7"/>
  <c r="M6049" i="7"/>
  <c r="M6050" i="7"/>
  <c r="M6051" i="7"/>
  <c r="M6052" i="7"/>
  <c r="M6053" i="7"/>
  <c r="M6054" i="7"/>
  <c r="M6055" i="7"/>
  <c r="M6056" i="7"/>
  <c r="M6057" i="7"/>
  <c r="M6058" i="7"/>
  <c r="M6059" i="7"/>
  <c r="M6060" i="7"/>
  <c r="M6061" i="7"/>
  <c r="M6062" i="7"/>
  <c r="M6063" i="7"/>
  <c r="M6064" i="7"/>
  <c r="M6065" i="7"/>
  <c r="M6066" i="7"/>
  <c r="M6067" i="7"/>
  <c r="M6068" i="7"/>
  <c r="M6069" i="7"/>
  <c r="M6070" i="7"/>
  <c r="M6071" i="7"/>
  <c r="M6072" i="7"/>
  <c r="M6073" i="7"/>
  <c r="M6074" i="7"/>
  <c r="M6075" i="7"/>
  <c r="M6076" i="7"/>
  <c r="M6077" i="7"/>
  <c r="M6078" i="7"/>
  <c r="M6079" i="7"/>
  <c r="M6080" i="7"/>
  <c r="M6081" i="7"/>
  <c r="M6082" i="7"/>
  <c r="M6083" i="7"/>
  <c r="M6084" i="7"/>
  <c r="M6085" i="7"/>
  <c r="M6086" i="7"/>
  <c r="M6087" i="7"/>
  <c r="M6088" i="7"/>
  <c r="M6089" i="7"/>
  <c r="M6090" i="7"/>
  <c r="M6091" i="7"/>
  <c r="M6092" i="7"/>
  <c r="M6093" i="7"/>
  <c r="M6094" i="7"/>
  <c r="M6095" i="7"/>
  <c r="M6096" i="7"/>
  <c r="M6097" i="7"/>
  <c r="M6098" i="7"/>
  <c r="M6099" i="7"/>
  <c r="M6100" i="7"/>
  <c r="M6101" i="7"/>
  <c r="M6102" i="7"/>
  <c r="M6103" i="7"/>
  <c r="M6104" i="7"/>
  <c r="M6105" i="7"/>
  <c r="M6106" i="7"/>
  <c r="M6107" i="7"/>
  <c r="M6108" i="7"/>
  <c r="M6109" i="7"/>
  <c r="M6110" i="7"/>
  <c r="M6111" i="7"/>
  <c r="M6112" i="7"/>
  <c r="M6113" i="7"/>
  <c r="M6114" i="7"/>
  <c r="M6115" i="7"/>
  <c r="M6116" i="7"/>
  <c r="M6117" i="7"/>
  <c r="M6118" i="7"/>
  <c r="M6119" i="7"/>
  <c r="M6120" i="7"/>
  <c r="M6121" i="7"/>
  <c r="M6122" i="7"/>
  <c r="M6123" i="7"/>
  <c r="M6124" i="7"/>
  <c r="M6125" i="7"/>
  <c r="M6126" i="7"/>
  <c r="M6127" i="7"/>
  <c r="M6128" i="7"/>
  <c r="M6129" i="7"/>
  <c r="M6130" i="7"/>
  <c r="M6131" i="7"/>
  <c r="M6132" i="7"/>
  <c r="M6133" i="7"/>
  <c r="M6134" i="7"/>
  <c r="M6135" i="7"/>
  <c r="M6136" i="7"/>
  <c r="M6137" i="7"/>
  <c r="M6138" i="7"/>
  <c r="M6139" i="7"/>
  <c r="M6140" i="7"/>
  <c r="M6141" i="7"/>
  <c r="M6142" i="7"/>
  <c r="M6143" i="7"/>
  <c r="M6144" i="7"/>
  <c r="M6145" i="7"/>
  <c r="M6146" i="7"/>
  <c r="M6147" i="7"/>
  <c r="M6148" i="7"/>
  <c r="M6149" i="7"/>
  <c r="M6150" i="7"/>
  <c r="M6151" i="7"/>
  <c r="M6152" i="7"/>
  <c r="M6153" i="7"/>
  <c r="M6154" i="7"/>
  <c r="M6155" i="7"/>
  <c r="M6156" i="7"/>
  <c r="M6157" i="7"/>
  <c r="M6158" i="7"/>
  <c r="M6159" i="7"/>
  <c r="M6160" i="7"/>
  <c r="M6161" i="7"/>
  <c r="M6162" i="7"/>
  <c r="M6163" i="7"/>
  <c r="M6164" i="7"/>
  <c r="M6165" i="7"/>
  <c r="M6166" i="7"/>
  <c r="M6167" i="7"/>
  <c r="M6168" i="7"/>
  <c r="M6169" i="7"/>
  <c r="M6170" i="7"/>
  <c r="M6171" i="7"/>
  <c r="M6172" i="7"/>
  <c r="M6173" i="7"/>
  <c r="M6174" i="7"/>
  <c r="M6175" i="7"/>
  <c r="M6176" i="7"/>
  <c r="M6177" i="7"/>
  <c r="M6178" i="7"/>
  <c r="M6179" i="7"/>
  <c r="M6180" i="7"/>
  <c r="M6181" i="7"/>
  <c r="M6182" i="7"/>
  <c r="M6183" i="7"/>
  <c r="M6184" i="7"/>
  <c r="M6185" i="7"/>
  <c r="M6186" i="7"/>
  <c r="M6187" i="7"/>
  <c r="M6188" i="7"/>
  <c r="M6189" i="7"/>
  <c r="M6190" i="7"/>
  <c r="M6191" i="7"/>
  <c r="M6192" i="7"/>
  <c r="M6193" i="7"/>
  <c r="M6194" i="7"/>
  <c r="M6195" i="7"/>
  <c r="M6196" i="7"/>
  <c r="M6197" i="7"/>
  <c r="M6198" i="7"/>
  <c r="M6199" i="7"/>
  <c r="M6200" i="7"/>
  <c r="M6201" i="7"/>
  <c r="M6202" i="7"/>
  <c r="M6203" i="7"/>
  <c r="M6204" i="7"/>
  <c r="M6205" i="7"/>
  <c r="M6206" i="7"/>
  <c r="M6207" i="7"/>
  <c r="M6208" i="7"/>
  <c r="M6209" i="7"/>
  <c r="M6210" i="7"/>
  <c r="M6211" i="7"/>
  <c r="M6212" i="7"/>
  <c r="M6213" i="7"/>
  <c r="M6214" i="7"/>
  <c r="M6215" i="7"/>
  <c r="M6216" i="7"/>
  <c r="M6217" i="7"/>
  <c r="M6218" i="7"/>
  <c r="M6219" i="7"/>
  <c r="M6220" i="7"/>
  <c r="M6221" i="7"/>
  <c r="M6222" i="7"/>
  <c r="M6223" i="7"/>
  <c r="M6224" i="7"/>
  <c r="M6225" i="7"/>
  <c r="M6226" i="7"/>
  <c r="M6227" i="7"/>
  <c r="M6228" i="7"/>
  <c r="M6229" i="7"/>
  <c r="M6230" i="7"/>
  <c r="M6231" i="7"/>
  <c r="M6232" i="7"/>
  <c r="M6233" i="7"/>
  <c r="M6234" i="7"/>
  <c r="M6235" i="7"/>
  <c r="M6236" i="7"/>
  <c r="M6237" i="7"/>
  <c r="M6238" i="7"/>
  <c r="M6239" i="7"/>
  <c r="M6240" i="7"/>
  <c r="M6241" i="7"/>
  <c r="M6242" i="7"/>
  <c r="M6243" i="7"/>
  <c r="M6244" i="7"/>
  <c r="M6245" i="7"/>
  <c r="M6246" i="7"/>
  <c r="M6247" i="7"/>
  <c r="M6248" i="7"/>
  <c r="M6249" i="7"/>
  <c r="M6250" i="7"/>
  <c r="M6251" i="7"/>
  <c r="M6252" i="7"/>
  <c r="M6253" i="7"/>
  <c r="M6254" i="7"/>
  <c r="M6255" i="7"/>
  <c r="M6256" i="7"/>
  <c r="M6257" i="7"/>
  <c r="M6258" i="7"/>
  <c r="M6259" i="7"/>
  <c r="M6260" i="7"/>
  <c r="M6261" i="7"/>
  <c r="M6262" i="7"/>
  <c r="M6263" i="7"/>
  <c r="M6264" i="7"/>
  <c r="M6265" i="7"/>
  <c r="M6266" i="7"/>
  <c r="M6267" i="7"/>
  <c r="M6268" i="7"/>
  <c r="M6269" i="7"/>
  <c r="M6270" i="7"/>
  <c r="M6271" i="7"/>
  <c r="M6272" i="7"/>
  <c r="M6273" i="7"/>
  <c r="M6274" i="7"/>
  <c r="M6275" i="7"/>
  <c r="M6276" i="7"/>
  <c r="M6277" i="7"/>
  <c r="M6278" i="7"/>
  <c r="M6279" i="7"/>
  <c r="M6280" i="7"/>
  <c r="M6281" i="7"/>
  <c r="M6282" i="7"/>
  <c r="M6283" i="7"/>
  <c r="M6284" i="7"/>
  <c r="M6285" i="7"/>
  <c r="M6286" i="7"/>
  <c r="M6287" i="7"/>
  <c r="M6288" i="7"/>
  <c r="M6289" i="7"/>
  <c r="M6290" i="7"/>
  <c r="M6291" i="7"/>
  <c r="M6292" i="7"/>
  <c r="M6293" i="7"/>
  <c r="M6294" i="7"/>
  <c r="M6295" i="7"/>
  <c r="M6296" i="7"/>
  <c r="M6297" i="7"/>
  <c r="M6298" i="7"/>
  <c r="M6299" i="7"/>
  <c r="M6300" i="7"/>
  <c r="M6301" i="7"/>
  <c r="M6302" i="7"/>
  <c r="M6303" i="7"/>
  <c r="M6304" i="7"/>
  <c r="M6305" i="7"/>
  <c r="M6306" i="7"/>
  <c r="M6307" i="7"/>
  <c r="M6308" i="7"/>
  <c r="M6309" i="7"/>
  <c r="M6310" i="7"/>
  <c r="M6311" i="7"/>
  <c r="M6312" i="7"/>
  <c r="M6313" i="7"/>
  <c r="M6314" i="7"/>
  <c r="M6315" i="7"/>
  <c r="M6316" i="7"/>
  <c r="M6317" i="7"/>
  <c r="M6318" i="7"/>
  <c r="M6319" i="7"/>
  <c r="M6320" i="7"/>
  <c r="M6321" i="7"/>
  <c r="M6322" i="7"/>
  <c r="M6323" i="7"/>
  <c r="M6324" i="7"/>
  <c r="M6325" i="7"/>
  <c r="M6326" i="7"/>
  <c r="M6327" i="7"/>
  <c r="M6328" i="7"/>
  <c r="M6329" i="7"/>
  <c r="M6330" i="7"/>
  <c r="M6331" i="7"/>
  <c r="M6332" i="7"/>
  <c r="M6333" i="7"/>
  <c r="M6334" i="7"/>
  <c r="M6335" i="7"/>
  <c r="M6336" i="7"/>
  <c r="M6337" i="7"/>
  <c r="M6338" i="7"/>
  <c r="M6339" i="7"/>
  <c r="M6340" i="7"/>
  <c r="M6341" i="7"/>
  <c r="M6342" i="7"/>
  <c r="M6343" i="7"/>
  <c r="M6344" i="7"/>
  <c r="M6345" i="7"/>
  <c r="M6346" i="7"/>
  <c r="M6347" i="7"/>
  <c r="M6348" i="7"/>
  <c r="M6349" i="7"/>
  <c r="M6350" i="7"/>
  <c r="M6351" i="7"/>
  <c r="M6352" i="7"/>
  <c r="M6353" i="7"/>
  <c r="M6354" i="7"/>
  <c r="M6355" i="7"/>
  <c r="M6356" i="7"/>
  <c r="M6357" i="7"/>
  <c r="M6358" i="7"/>
  <c r="M6359" i="7"/>
  <c r="M6360" i="7"/>
  <c r="M6361" i="7"/>
  <c r="M6362" i="7"/>
  <c r="M6363" i="7"/>
  <c r="M6364" i="7"/>
  <c r="M6365" i="7"/>
  <c r="M6366" i="7"/>
  <c r="M6367" i="7"/>
  <c r="M6368" i="7"/>
  <c r="M6369" i="7"/>
  <c r="M6370" i="7"/>
  <c r="M6371" i="7"/>
  <c r="M6372" i="7"/>
  <c r="M6373" i="7"/>
  <c r="M6374" i="7"/>
  <c r="M6375" i="7"/>
  <c r="M6376" i="7"/>
  <c r="M6377" i="7"/>
  <c r="M6378" i="7"/>
  <c r="M6379" i="7"/>
  <c r="M6380" i="7"/>
  <c r="M6381" i="7"/>
  <c r="M6382" i="7"/>
  <c r="M6383" i="7"/>
  <c r="M6384" i="7"/>
  <c r="M6385" i="7"/>
  <c r="M6386" i="7"/>
  <c r="M6387" i="7"/>
  <c r="M6388" i="7"/>
  <c r="M6389" i="7"/>
  <c r="M6390" i="7"/>
  <c r="M6391" i="7"/>
  <c r="M6392" i="7"/>
  <c r="M6393" i="7"/>
  <c r="M6394" i="7"/>
  <c r="M6395" i="7"/>
  <c r="M6396" i="7"/>
  <c r="M6397" i="7"/>
  <c r="M6398" i="7"/>
  <c r="M6399" i="7"/>
  <c r="M6400" i="7"/>
  <c r="M6401" i="7"/>
  <c r="M6402" i="7"/>
  <c r="M6403" i="7"/>
  <c r="M6404" i="7"/>
  <c r="M6405" i="7"/>
  <c r="M6406" i="7"/>
  <c r="M6407" i="7"/>
  <c r="M6408" i="7"/>
  <c r="M6409" i="7"/>
  <c r="M6410" i="7"/>
  <c r="M6411" i="7"/>
  <c r="M6412" i="7"/>
  <c r="M6413" i="7"/>
  <c r="M6414" i="7"/>
  <c r="M6415" i="7"/>
  <c r="M6416" i="7"/>
  <c r="M6417" i="7"/>
  <c r="M6418" i="7"/>
  <c r="M6419" i="7"/>
  <c r="M6420" i="7"/>
  <c r="M6421" i="7"/>
  <c r="M6422" i="7"/>
  <c r="M6423" i="7"/>
  <c r="M6424" i="7"/>
  <c r="M6425" i="7"/>
  <c r="M6426" i="7"/>
  <c r="M6427" i="7"/>
  <c r="M6428" i="7"/>
  <c r="M6429" i="7"/>
  <c r="M6430" i="7"/>
  <c r="M6431" i="7"/>
  <c r="M6432" i="7"/>
  <c r="M6433" i="7"/>
  <c r="M6434" i="7"/>
  <c r="M6435" i="7"/>
  <c r="M6436" i="7"/>
  <c r="M6437" i="7"/>
  <c r="M6438" i="7"/>
  <c r="M6439" i="7"/>
  <c r="M6440" i="7"/>
  <c r="M6441" i="7"/>
  <c r="M6442" i="7"/>
  <c r="M6443" i="7"/>
  <c r="M6444" i="7"/>
  <c r="M6445" i="7"/>
  <c r="M6446" i="7"/>
  <c r="M6447" i="7"/>
  <c r="M6448" i="7"/>
  <c r="M6449" i="7"/>
  <c r="M6450" i="7"/>
  <c r="M6451" i="7"/>
  <c r="M6452" i="7"/>
  <c r="M6453" i="7"/>
  <c r="M6454" i="7"/>
  <c r="M6455" i="7"/>
  <c r="M6456" i="7"/>
  <c r="M6457" i="7"/>
  <c r="M6458" i="7"/>
  <c r="M6459" i="7"/>
  <c r="M6460" i="7"/>
  <c r="M6461" i="7"/>
  <c r="M6462" i="7"/>
  <c r="M6463" i="7"/>
  <c r="M6464" i="7"/>
  <c r="M6465" i="7"/>
  <c r="M6466" i="7"/>
  <c r="M6467" i="7"/>
  <c r="M6468" i="7"/>
  <c r="M6469" i="7"/>
  <c r="M6470" i="7"/>
  <c r="M6471" i="7"/>
  <c r="M6472" i="7"/>
  <c r="M6473" i="7"/>
  <c r="M6474" i="7"/>
  <c r="M6475" i="7"/>
  <c r="M6476" i="7"/>
  <c r="M6477" i="7"/>
  <c r="M6478" i="7"/>
  <c r="M6479" i="7"/>
  <c r="M6480" i="7"/>
  <c r="M6481" i="7"/>
  <c r="M6482" i="7"/>
  <c r="M6483" i="7"/>
  <c r="M6484" i="7"/>
  <c r="M6485" i="7"/>
  <c r="M6486" i="7"/>
  <c r="M6487" i="7"/>
  <c r="M6488" i="7"/>
  <c r="M6489" i="7"/>
  <c r="M6490" i="7"/>
  <c r="M6491" i="7"/>
  <c r="M6492" i="7"/>
  <c r="M6493" i="7"/>
  <c r="M6494" i="7"/>
  <c r="M6495" i="7"/>
  <c r="M6496" i="7"/>
  <c r="M6497" i="7"/>
  <c r="M6498" i="7"/>
  <c r="M6499" i="7"/>
  <c r="M6500" i="7"/>
  <c r="M6501" i="7"/>
  <c r="M6502" i="7"/>
  <c r="M6503" i="7"/>
  <c r="M6504" i="7"/>
  <c r="M6505" i="7"/>
  <c r="M6506" i="7"/>
  <c r="M6507" i="7"/>
  <c r="M6508" i="7"/>
  <c r="M6509" i="7"/>
  <c r="M6510" i="7"/>
  <c r="M6511" i="7"/>
  <c r="M6512" i="7"/>
  <c r="M6513" i="7"/>
  <c r="M6514" i="7"/>
  <c r="M6515" i="7"/>
  <c r="M6516" i="7"/>
  <c r="M6517" i="7"/>
  <c r="M6518" i="7"/>
  <c r="M6519" i="7"/>
  <c r="M6520" i="7"/>
  <c r="M6521" i="7"/>
  <c r="M6522" i="7"/>
  <c r="M6523" i="7"/>
  <c r="M6524" i="7"/>
  <c r="M6525" i="7"/>
  <c r="M6526" i="7"/>
  <c r="M6527" i="7"/>
  <c r="M6528" i="7"/>
  <c r="M6529" i="7"/>
  <c r="M6530" i="7"/>
  <c r="M6531" i="7"/>
  <c r="M6532" i="7"/>
  <c r="M6533" i="7"/>
  <c r="M6534" i="7"/>
  <c r="M6535" i="7"/>
  <c r="M6536" i="7"/>
  <c r="M6537" i="7"/>
  <c r="M6538" i="7"/>
  <c r="M6539" i="7"/>
  <c r="M6540" i="7"/>
  <c r="M6541" i="7"/>
  <c r="M6542" i="7"/>
  <c r="M6543" i="7"/>
  <c r="M6544" i="7"/>
  <c r="M6545" i="7"/>
  <c r="M6546" i="7"/>
  <c r="M6547" i="7"/>
  <c r="M6548" i="7"/>
  <c r="M6549" i="7"/>
  <c r="M6550" i="7"/>
  <c r="M6551" i="7"/>
  <c r="M6552" i="7"/>
  <c r="M6553" i="7"/>
  <c r="M6554" i="7"/>
  <c r="M6555" i="7"/>
  <c r="M6556" i="7"/>
  <c r="M6557" i="7"/>
  <c r="M6558" i="7"/>
  <c r="M6559" i="7"/>
  <c r="M6560" i="7"/>
  <c r="M6561" i="7"/>
  <c r="M6562" i="7"/>
  <c r="M6563" i="7"/>
  <c r="M6564" i="7"/>
  <c r="M6565" i="7"/>
  <c r="M6566" i="7"/>
  <c r="M6567" i="7"/>
  <c r="M6568" i="7"/>
  <c r="M6569" i="7"/>
  <c r="M6570" i="7"/>
  <c r="M6571" i="7"/>
  <c r="M6572" i="7"/>
  <c r="M6573" i="7"/>
  <c r="M6574" i="7"/>
  <c r="M6575" i="7"/>
  <c r="M6576" i="7"/>
  <c r="M6577" i="7"/>
  <c r="M6578" i="7"/>
  <c r="M6579" i="7"/>
  <c r="M6580" i="7"/>
  <c r="M6581" i="7"/>
  <c r="M6582" i="7"/>
  <c r="M6583" i="7"/>
  <c r="M6584" i="7"/>
  <c r="M6585" i="7"/>
  <c r="M6586" i="7"/>
  <c r="M6587" i="7"/>
  <c r="M6588" i="7"/>
  <c r="M6589" i="7"/>
  <c r="M6590" i="7"/>
  <c r="M6591" i="7"/>
  <c r="M6592" i="7"/>
  <c r="M6593" i="7"/>
  <c r="M6594" i="7"/>
  <c r="M6595" i="7"/>
  <c r="M6596" i="7"/>
  <c r="M6597" i="7"/>
  <c r="M6598" i="7"/>
  <c r="M6599" i="7"/>
  <c r="M6600" i="7"/>
  <c r="M6601" i="7"/>
  <c r="M6602" i="7"/>
  <c r="M6603" i="7"/>
  <c r="M6604" i="7"/>
  <c r="M6605" i="7"/>
  <c r="M6606" i="7"/>
  <c r="M6607" i="7"/>
  <c r="M6608" i="7"/>
  <c r="M6609" i="7"/>
  <c r="M6610" i="7"/>
  <c r="M6611" i="7"/>
  <c r="M6612" i="7"/>
  <c r="M6613" i="7"/>
  <c r="M6614" i="7"/>
  <c r="M6615" i="7"/>
  <c r="M6616" i="7"/>
  <c r="M6617" i="7"/>
  <c r="M6618" i="7"/>
  <c r="M6619" i="7"/>
  <c r="M6620" i="7"/>
  <c r="M6621" i="7"/>
  <c r="M6622" i="7"/>
  <c r="M6623" i="7"/>
  <c r="M6624" i="7"/>
  <c r="M6625" i="7"/>
  <c r="M6626" i="7"/>
  <c r="M6627" i="7"/>
  <c r="M6628" i="7"/>
  <c r="M6629" i="7"/>
  <c r="M6630" i="7"/>
  <c r="M6631" i="7"/>
  <c r="M6632" i="7"/>
  <c r="M6633" i="7"/>
  <c r="M6634" i="7"/>
  <c r="M6635" i="7"/>
  <c r="M6636" i="7"/>
  <c r="M6637" i="7"/>
  <c r="M6638" i="7"/>
  <c r="M6639" i="7"/>
  <c r="M6640" i="7"/>
  <c r="M6641" i="7"/>
  <c r="M6642" i="7"/>
  <c r="M6643" i="7"/>
  <c r="M6644" i="7"/>
  <c r="M6645" i="7"/>
  <c r="M6646" i="7"/>
  <c r="M6647" i="7"/>
  <c r="M6648" i="7"/>
  <c r="M6649" i="7"/>
  <c r="M6650" i="7"/>
  <c r="M6651" i="7"/>
  <c r="M6652" i="7"/>
  <c r="M6653" i="7"/>
  <c r="M6654" i="7"/>
  <c r="M6655" i="7"/>
  <c r="M6656" i="7"/>
  <c r="M6657" i="7"/>
  <c r="M6658" i="7"/>
  <c r="M6659" i="7"/>
  <c r="M6660" i="7"/>
  <c r="M6661" i="7"/>
  <c r="M6662" i="7"/>
  <c r="M6663" i="7"/>
  <c r="M6664" i="7"/>
  <c r="M6665" i="7"/>
  <c r="M6666" i="7"/>
  <c r="M6667" i="7"/>
  <c r="M6668" i="7"/>
  <c r="M6669" i="7"/>
  <c r="M6670" i="7"/>
  <c r="M6671" i="7"/>
  <c r="M6672" i="7"/>
  <c r="M6673" i="7"/>
  <c r="M6674" i="7"/>
  <c r="M6675" i="7"/>
  <c r="M6676" i="7"/>
  <c r="M6677" i="7"/>
  <c r="M6678" i="7"/>
  <c r="M6679" i="7"/>
  <c r="M6680" i="7"/>
  <c r="M6681" i="7"/>
  <c r="M6682" i="7"/>
  <c r="M6683" i="7"/>
  <c r="M6684" i="7"/>
  <c r="M6685" i="7"/>
  <c r="M6686" i="7"/>
  <c r="M6687" i="7"/>
  <c r="M6688" i="7"/>
  <c r="M6689" i="7"/>
  <c r="M6690" i="7"/>
  <c r="M6691" i="7"/>
  <c r="M6692" i="7"/>
  <c r="M6693" i="7"/>
  <c r="M6694" i="7"/>
  <c r="M6695" i="7"/>
  <c r="M6696" i="7"/>
  <c r="M6697" i="7"/>
  <c r="M6698" i="7"/>
  <c r="M6699" i="7"/>
  <c r="M6700" i="7"/>
  <c r="M6701" i="7"/>
  <c r="M6702" i="7"/>
  <c r="M6703" i="7"/>
  <c r="M6704" i="7"/>
  <c r="M6705" i="7"/>
  <c r="M6706" i="7"/>
  <c r="M6707" i="7"/>
  <c r="M6709" i="7"/>
  <c r="M6711" i="7"/>
  <c r="M6713" i="7"/>
  <c r="M6715" i="7"/>
  <c r="M6717" i="7"/>
  <c r="M6719" i="7"/>
  <c r="M6721" i="7"/>
  <c r="M6723" i="7"/>
  <c r="M6725" i="7"/>
  <c r="M6727" i="7"/>
  <c r="M6729" i="7"/>
  <c r="M6731" i="7"/>
  <c r="M6733" i="7"/>
  <c r="M6735" i="7"/>
  <c r="M6737" i="7"/>
  <c r="M6739" i="7"/>
  <c r="M6741" i="7"/>
  <c r="M6743" i="7"/>
  <c r="M6745" i="7"/>
  <c r="M6747" i="7"/>
  <c r="M6749" i="7"/>
  <c r="M6751" i="7"/>
  <c r="M6753" i="7"/>
  <c r="M6755" i="7"/>
  <c r="M6758" i="7"/>
  <c r="M6760" i="7"/>
  <c r="M6762" i="7"/>
  <c r="M6763" i="7"/>
  <c r="M6764" i="7"/>
  <c r="M6765" i="7"/>
  <c r="M6768" i="7"/>
  <c r="M6769" i="7"/>
  <c r="M6771" i="7"/>
  <c r="M6773" i="7"/>
  <c r="M6775" i="7"/>
  <c r="M6777" i="7"/>
  <c r="M6779" i="7"/>
  <c r="M6781" i="7"/>
  <c r="M6783" i="7"/>
  <c r="M6785" i="7"/>
  <c r="M202" i="5"/>
  <c r="M23" i="5"/>
  <c r="M165" i="5"/>
  <c r="M72" i="5"/>
  <c r="M31" i="5"/>
  <c r="M203" i="5"/>
  <c r="M6786" i="7"/>
  <c r="M6787" i="7"/>
  <c r="M6788" i="7"/>
  <c r="M6789" i="7"/>
  <c r="M6790" i="7"/>
  <c r="M6791" i="7"/>
  <c r="M6792" i="7"/>
  <c r="M6793" i="7"/>
  <c r="M6794" i="7"/>
  <c r="M6795" i="7"/>
  <c r="M6796" i="7"/>
  <c r="M6797" i="7"/>
  <c r="M6798" i="7"/>
  <c r="M6799" i="7"/>
  <c r="M6800" i="7"/>
  <c r="M6801" i="7"/>
  <c r="M6802" i="7"/>
  <c r="M6803" i="7"/>
  <c r="M6804" i="7"/>
  <c r="M6805" i="7"/>
  <c r="M6806" i="7"/>
  <c r="M6807" i="7"/>
  <c r="M6808" i="7"/>
  <c r="M6809" i="7"/>
  <c r="M6810" i="7"/>
  <c r="M6811" i="7"/>
  <c r="M6812" i="7"/>
  <c r="M6813" i="7"/>
  <c r="M6814" i="7"/>
  <c r="M6815" i="7"/>
  <c r="M6816" i="7"/>
  <c r="M6817" i="7"/>
  <c r="M6818" i="7"/>
  <c r="M6819" i="7"/>
  <c r="M6820" i="7"/>
  <c r="M6821" i="7"/>
  <c r="M6822" i="7"/>
  <c r="M6823" i="7"/>
  <c r="M6824" i="7"/>
  <c r="M6825" i="7"/>
  <c r="M6826" i="7"/>
  <c r="M6827" i="7"/>
  <c r="M6828" i="7"/>
  <c r="M6829" i="7"/>
  <c r="M6830" i="7"/>
  <c r="M6831" i="7"/>
  <c r="M6832" i="7"/>
  <c r="M6833" i="7"/>
  <c r="M6834" i="7"/>
  <c r="M6835" i="7"/>
  <c r="M6836" i="7"/>
  <c r="M6837" i="7"/>
  <c r="M6838" i="7"/>
  <c r="M6839" i="7"/>
  <c r="M6840" i="7"/>
  <c r="M6841" i="7"/>
  <c r="M6842" i="7"/>
  <c r="M6843" i="7"/>
  <c r="M6844" i="7"/>
  <c r="M6845" i="7"/>
  <c r="M6846" i="7"/>
  <c r="M6847" i="7"/>
  <c r="M6848" i="7"/>
  <c r="M6849" i="7"/>
  <c r="M6850" i="7"/>
  <c r="M6851" i="7"/>
  <c r="M6852" i="7"/>
  <c r="M6853" i="7"/>
  <c r="M6854" i="7"/>
  <c r="M6855" i="7"/>
  <c r="M6856" i="7"/>
  <c r="M6857" i="7"/>
  <c r="M6858" i="7"/>
  <c r="M6859" i="7"/>
  <c r="M6860" i="7"/>
  <c r="M6861" i="7"/>
  <c r="M6862" i="7"/>
  <c r="M6863" i="7"/>
  <c r="M6864" i="7"/>
  <c r="M6865" i="7"/>
  <c r="M6866" i="7"/>
  <c r="M6867" i="7"/>
  <c r="M6868" i="7"/>
  <c r="M6869" i="7"/>
  <c r="M6870" i="7"/>
  <c r="M6871" i="7"/>
  <c r="M6872" i="7"/>
  <c r="M6873" i="7"/>
  <c r="M6874" i="7"/>
  <c r="M6875" i="7"/>
  <c r="M6876" i="7"/>
  <c r="M6877" i="7"/>
  <c r="M6878" i="7"/>
  <c r="M6879" i="7"/>
  <c r="M6880" i="7"/>
  <c r="M6881" i="7"/>
  <c r="M6882" i="7"/>
  <c r="M6883" i="7"/>
  <c r="M6884" i="7"/>
  <c r="M6885" i="7"/>
  <c r="M6886" i="7"/>
  <c r="M6887" i="7"/>
  <c r="M6888" i="7"/>
  <c r="M6889" i="7"/>
  <c r="M6890" i="7"/>
  <c r="M6891" i="7"/>
  <c r="M6892" i="7"/>
  <c r="M6893" i="7"/>
  <c r="M6894" i="7"/>
  <c r="M6895" i="7"/>
  <c r="M6896" i="7"/>
  <c r="M6897" i="7"/>
  <c r="M6898" i="7"/>
  <c r="M6899" i="7"/>
  <c r="M6900" i="7"/>
  <c r="M6901" i="7"/>
  <c r="M6902" i="7"/>
  <c r="M6903" i="7"/>
  <c r="M6904" i="7"/>
  <c r="M6905" i="7"/>
  <c r="M6906" i="7"/>
  <c r="M6907" i="7"/>
  <c r="M6908" i="7"/>
  <c r="M6909" i="7"/>
  <c r="M6910" i="7"/>
  <c r="M6911" i="7"/>
  <c r="M6912" i="7"/>
  <c r="M6913" i="7"/>
  <c r="M6914" i="7"/>
  <c r="M6915" i="7"/>
  <c r="M6916" i="7"/>
  <c r="M6917" i="7"/>
  <c r="M6918" i="7"/>
  <c r="M6919" i="7"/>
  <c r="M6920" i="7"/>
  <c r="M6921" i="7"/>
  <c r="M6922" i="7"/>
  <c r="M6923" i="7"/>
  <c r="M6924" i="7"/>
  <c r="M6925" i="7"/>
  <c r="M6926" i="7"/>
  <c r="M6927" i="7"/>
  <c r="M6928" i="7"/>
  <c r="M6929" i="7"/>
  <c r="M6930" i="7"/>
  <c r="M6931" i="7"/>
  <c r="M6932" i="7"/>
  <c r="M6933" i="7"/>
  <c r="M6934" i="7"/>
  <c r="M6935" i="7"/>
  <c r="M6936" i="7"/>
  <c r="M6937" i="7"/>
  <c r="M6938" i="7"/>
  <c r="M6939" i="7"/>
  <c r="M6940" i="7"/>
  <c r="M6941" i="7"/>
  <c r="M6942" i="7"/>
  <c r="M6943" i="7"/>
  <c r="M6944" i="7"/>
  <c r="M6945" i="7"/>
  <c r="M6946" i="7"/>
  <c r="M6947" i="7"/>
  <c r="M6948" i="7"/>
  <c r="M6949" i="7"/>
  <c r="M6950" i="7"/>
  <c r="M6951" i="7"/>
  <c r="M6952" i="7"/>
  <c r="M6953" i="7"/>
  <c r="M6954" i="7"/>
  <c r="M6955" i="7"/>
  <c r="M6956" i="7"/>
  <c r="M6957" i="7"/>
  <c r="M6958" i="7"/>
  <c r="M6959" i="7"/>
  <c r="M6960" i="7"/>
  <c r="M6961" i="7"/>
  <c r="M6962" i="7"/>
  <c r="M6963" i="7"/>
  <c r="M6964" i="7"/>
  <c r="M6965" i="7"/>
  <c r="M6966" i="7"/>
  <c r="M6967" i="7"/>
  <c r="M6968" i="7"/>
  <c r="M6969" i="7"/>
  <c r="M6970" i="7"/>
  <c r="M6971" i="7"/>
  <c r="M6972" i="7"/>
  <c r="M6973" i="7"/>
  <c r="M6974" i="7"/>
  <c r="M6975" i="7"/>
  <c r="M6976" i="7"/>
  <c r="M6977" i="7"/>
  <c r="M6978" i="7"/>
  <c r="M6979" i="7"/>
  <c r="M6980" i="7"/>
  <c r="M6981" i="7"/>
  <c r="M6982" i="7"/>
  <c r="M6983" i="7"/>
  <c r="M6984" i="7"/>
  <c r="M6985" i="7"/>
  <c r="M6986" i="7"/>
  <c r="M6987" i="7"/>
  <c r="M6988" i="7"/>
  <c r="M6989" i="7"/>
  <c r="M6990" i="7"/>
  <c r="M6991" i="7"/>
  <c r="M6992" i="7"/>
  <c r="M6993" i="7"/>
  <c r="M6994" i="7"/>
  <c r="M6995" i="7"/>
  <c r="M6996" i="7"/>
  <c r="M6997" i="7"/>
  <c r="M6998" i="7"/>
  <c r="M6999" i="7"/>
  <c r="M7000" i="7"/>
  <c r="M7001" i="7"/>
  <c r="M7002" i="7"/>
  <c r="M7003" i="7"/>
  <c r="M7004" i="7"/>
  <c r="M7005" i="7"/>
  <c r="M7006" i="7"/>
  <c r="M7007" i="7"/>
  <c r="M7008" i="7"/>
  <c r="M7009" i="7"/>
  <c r="M7010" i="7"/>
  <c r="M7011" i="7"/>
  <c r="M7012" i="7"/>
  <c r="M7013" i="7"/>
  <c r="M7014" i="7"/>
  <c r="M7015" i="7"/>
  <c r="M7016" i="7"/>
  <c r="M7017" i="7"/>
  <c r="M7018" i="7"/>
  <c r="M7019" i="7"/>
  <c r="M7020" i="7"/>
  <c r="M7021" i="7"/>
  <c r="M7022" i="7"/>
  <c r="M7023" i="7"/>
  <c r="M7024" i="7"/>
  <c r="M7025" i="7"/>
  <c r="M7026" i="7"/>
  <c r="M7027" i="7"/>
  <c r="M7028" i="7"/>
  <c r="M7029" i="7"/>
  <c r="M7030" i="7"/>
  <c r="M7031" i="7"/>
  <c r="M7032" i="7"/>
  <c r="M7033" i="7"/>
  <c r="M7034" i="7"/>
  <c r="M7035" i="7"/>
  <c r="M7036" i="7"/>
  <c r="M7037" i="7"/>
  <c r="M7038" i="7"/>
  <c r="M7039" i="7"/>
  <c r="M7040" i="7"/>
  <c r="M7041" i="7"/>
  <c r="M7042" i="7"/>
  <c r="M7043" i="7"/>
  <c r="M7044" i="7"/>
  <c r="M7045" i="7"/>
  <c r="M7046" i="7"/>
  <c r="M7047" i="7"/>
  <c r="M7048" i="7"/>
  <c r="M7049" i="7"/>
  <c r="M7050" i="7"/>
  <c r="M7051" i="7"/>
  <c r="M7052" i="7"/>
  <c r="M7053" i="7"/>
  <c r="M7054" i="7"/>
  <c r="M7055" i="7"/>
  <c r="M7056" i="7"/>
  <c r="M7057" i="7"/>
  <c r="M7058" i="7"/>
  <c r="M7059" i="7"/>
  <c r="M7060" i="7"/>
  <c r="M7061" i="7"/>
  <c r="M7062" i="7"/>
  <c r="M7063" i="7"/>
  <c r="M7064" i="7"/>
  <c r="M7065" i="7"/>
  <c r="M7066" i="7"/>
  <c r="M7067" i="7"/>
  <c r="M7068" i="7"/>
  <c r="M7069" i="7"/>
  <c r="M7070" i="7"/>
  <c r="M7071" i="7"/>
  <c r="M7072" i="7"/>
  <c r="M7073" i="7"/>
  <c r="M7074" i="7"/>
  <c r="M7075" i="7"/>
  <c r="M7076" i="7"/>
  <c r="M7077" i="7"/>
  <c r="M7078" i="7"/>
  <c r="M7079" i="7"/>
  <c r="M7080" i="7"/>
  <c r="M7081" i="7"/>
  <c r="M7082" i="7"/>
  <c r="M7083" i="7"/>
  <c r="M7084" i="7"/>
  <c r="M7085" i="7"/>
  <c r="M7086" i="7"/>
  <c r="M7087" i="7"/>
  <c r="M7088" i="7"/>
  <c r="M7089" i="7"/>
  <c r="M7090" i="7"/>
  <c r="M7091" i="7"/>
  <c r="M7092" i="7"/>
  <c r="M7093" i="7"/>
  <c r="M7094" i="7"/>
  <c r="M7095" i="7"/>
  <c r="M7096" i="7"/>
  <c r="M7097" i="7"/>
  <c r="M7098" i="7"/>
  <c r="M7099" i="7"/>
  <c r="M7100" i="7"/>
  <c r="M7101" i="7"/>
  <c r="M7102" i="7"/>
  <c r="M7103" i="7"/>
  <c r="M7104" i="7"/>
  <c r="M7105" i="7"/>
  <c r="M7106" i="7"/>
  <c r="M7107" i="7"/>
  <c r="M7108" i="7"/>
  <c r="M7109" i="7"/>
  <c r="M7110" i="7"/>
  <c r="M7111" i="7"/>
  <c r="M7112" i="7"/>
  <c r="M7113" i="7"/>
  <c r="M7114" i="7"/>
  <c r="M7115" i="7"/>
  <c r="M7116" i="7"/>
  <c r="M7117" i="7"/>
  <c r="M7118" i="7"/>
  <c r="M7119" i="7"/>
  <c r="M7120" i="7"/>
  <c r="M7121" i="7"/>
  <c r="M7122" i="7"/>
  <c r="M7123" i="7"/>
  <c r="M7124" i="7"/>
  <c r="M7125" i="7"/>
  <c r="M7126" i="7"/>
  <c r="M7127" i="7"/>
  <c r="M7128" i="7"/>
  <c r="M7129" i="7"/>
  <c r="M7130" i="7"/>
  <c r="M7131" i="7"/>
  <c r="M7132" i="7"/>
  <c r="M7133" i="7"/>
  <c r="M7134" i="7"/>
  <c r="M7135" i="7"/>
  <c r="M7136" i="7"/>
  <c r="M7137" i="7"/>
  <c r="M7138" i="7"/>
  <c r="M7139" i="7"/>
  <c r="M7140" i="7"/>
  <c r="M7141" i="7"/>
  <c r="M7806" i="7"/>
  <c r="M7807" i="7"/>
  <c r="M7808" i="7"/>
  <c r="M7809" i="7"/>
  <c r="M7810" i="7"/>
  <c r="M7811" i="7"/>
  <c r="M7812" i="7"/>
  <c r="M7813" i="7"/>
  <c r="M7814" i="7"/>
  <c r="M7815" i="7"/>
  <c r="M7816" i="7"/>
  <c r="M7817" i="7"/>
  <c r="M7818" i="7"/>
  <c r="M7819" i="7"/>
  <c r="M7820" i="7"/>
  <c r="M7821" i="7"/>
  <c r="M7822" i="7"/>
  <c r="M7823" i="7"/>
  <c r="M7824" i="7"/>
  <c r="M7825" i="7"/>
  <c r="M7826" i="7"/>
  <c r="M7827" i="7"/>
  <c r="M7828" i="7"/>
  <c r="M7829" i="7"/>
  <c r="M7830" i="7"/>
  <c r="M7831" i="7"/>
  <c r="M7832" i="7"/>
  <c r="M7833" i="7"/>
  <c r="M7834" i="7"/>
  <c r="M7835" i="7"/>
  <c r="M7836" i="7"/>
  <c r="M7837" i="7"/>
  <c r="M7838" i="7"/>
  <c r="M7839" i="7"/>
  <c r="M7840" i="7"/>
  <c r="M7841" i="7"/>
  <c r="M7842" i="7"/>
  <c r="M7843" i="7"/>
  <c r="M7844" i="7"/>
  <c r="M7845" i="7"/>
  <c r="M7846" i="7"/>
  <c r="M7847" i="7"/>
  <c r="M7848" i="7"/>
  <c r="M7849" i="7"/>
  <c r="M7850" i="7"/>
  <c r="M7851" i="7"/>
  <c r="M7852" i="7"/>
  <c r="M7853" i="7"/>
  <c r="M7854" i="7"/>
  <c r="M7855" i="7"/>
  <c r="M7856" i="7"/>
  <c r="M7857" i="7"/>
  <c r="M7858" i="7"/>
  <c r="M7859" i="7"/>
  <c r="M7860" i="7"/>
  <c r="M7861" i="7"/>
  <c r="M7862" i="7"/>
  <c r="M7863" i="7"/>
  <c r="M7864" i="7"/>
  <c r="M7865" i="7"/>
  <c r="M7866" i="7"/>
  <c r="M7867" i="7"/>
  <c r="M7868" i="7"/>
  <c r="M7869" i="7"/>
  <c r="M7870" i="7"/>
  <c r="M7871" i="7"/>
  <c r="M7872" i="7"/>
  <c r="M7873" i="7"/>
  <c r="M7874" i="7"/>
  <c r="M7875" i="7"/>
  <c r="M7876" i="7"/>
  <c r="M7877" i="7"/>
  <c r="M7878" i="7"/>
  <c r="M7879" i="7"/>
  <c r="M7880" i="7"/>
  <c r="M7881" i="7"/>
  <c r="M7882" i="7"/>
  <c r="M7883" i="7"/>
  <c r="M7884" i="7"/>
  <c r="M7885" i="7"/>
  <c r="M7886" i="7"/>
  <c r="M7887" i="7"/>
  <c r="M7888" i="7"/>
  <c r="M7889" i="7"/>
  <c r="M7890" i="7"/>
  <c r="M7891" i="7"/>
  <c r="M7892" i="7"/>
  <c r="M7893" i="7"/>
  <c r="M7894" i="7"/>
  <c r="M7895" i="7"/>
  <c r="M7896" i="7"/>
  <c r="M7897" i="7"/>
  <c r="M7898" i="7"/>
  <c r="M7899" i="7"/>
  <c r="M7900" i="7"/>
  <c r="M7901" i="7"/>
  <c r="M7902" i="7"/>
  <c r="M7903" i="7"/>
  <c r="M7904" i="7"/>
  <c r="M7905" i="7"/>
  <c r="M7906" i="7"/>
  <c r="M7907" i="7"/>
  <c r="M7908" i="7"/>
  <c r="M7909" i="7"/>
  <c r="M7910" i="7"/>
  <c r="M7911" i="7"/>
  <c r="M7912" i="7"/>
  <c r="M7913" i="7"/>
  <c r="M7914" i="7"/>
  <c r="M7915" i="7"/>
  <c r="M7916" i="7"/>
  <c r="M7917" i="7"/>
  <c r="M7918" i="7"/>
  <c r="M7919" i="7"/>
  <c r="M7920" i="7"/>
  <c r="M7921" i="7"/>
  <c r="M7922" i="7"/>
  <c r="M7923" i="7"/>
  <c r="M7924" i="7"/>
  <c r="M7925" i="7"/>
  <c r="M7926" i="7"/>
  <c r="M7927" i="7"/>
  <c r="M7928" i="7"/>
  <c r="M7929" i="7"/>
  <c r="M7930" i="7"/>
  <c r="M7931" i="7"/>
  <c r="M7932" i="7"/>
  <c r="M7933" i="7"/>
  <c r="M7934" i="7"/>
  <c r="M7935" i="7"/>
  <c r="M7936" i="7"/>
  <c r="M7937" i="7"/>
  <c r="M7938" i="7"/>
  <c r="M7939" i="7"/>
  <c r="M7940" i="7"/>
  <c r="M7941" i="7"/>
  <c r="M7942" i="7"/>
  <c r="M7943" i="7"/>
  <c r="M7944" i="7"/>
  <c r="M7945" i="7"/>
  <c r="M7946" i="7"/>
  <c r="M7947" i="7"/>
  <c r="M7948" i="7"/>
  <c r="M7949" i="7"/>
  <c r="M7950" i="7"/>
  <c r="M7951" i="7"/>
  <c r="M7952" i="7"/>
  <c r="M7953" i="7"/>
  <c r="M7954" i="7"/>
  <c r="M7955" i="7"/>
  <c r="M7956" i="7"/>
  <c r="M7957" i="7"/>
  <c r="M7958" i="7"/>
  <c r="M7959" i="7"/>
  <c r="M7960" i="7"/>
  <c r="M7961" i="7"/>
  <c r="M7962" i="7"/>
  <c r="M7963" i="7"/>
  <c r="M7964" i="7"/>
  <c r="M7965" i="7"/>
  <c r="M7966" i="7"/>
  <c r="M7967" i="7"/>
  <c r="M7968" i="7"/>
  <c r="M7969" i="7"/>
  <c r="M7970" i="7"/>
  <c r="M7971" i="7"/>
  <c r="M7972" i="7"/>
  <c r="M7973" i="7"/>
  <c r="M7974" i="7"/>
  <c r="M7975" i="7"/>
  <c r="M7976" i="7"/>
  <c r="M7977" i="7"/>
  <c r="M7978" i="7"/>
  <c r="M7979" i="7"/>
  <c r="M7980" i="7"/>
  <c r="M7981" i="7"/>
  <c r="M7982" i="7"/>
  <c r="M7983" i="7"/>
  <c r="M7984" i="7"/>
  <c r="M7985" i="7"/>
  <c r="M7986" i="7"/>
  <c r="M7987" i="7"/>
  <c r="M7988" i="7"/>
  <c r="M7989" i="7"/>
  <c r="M7990" i="7"/>
  <c r="M7991" i="7"/>
  <c r="M7992" i="7"/>
  <c r="M7993" i="7"/>
  <c r="M7994" i="7"/>
  <c r="M7995" i="7"/>
  <c r="M7996" i="7"/>
  <c r="M7997" i="7"/>
  <c r="M7998" i="7"/>
  <c r="M7999" i="7"/>
  <c r="M8000" i="7"/>
  <c r="M8001" i="7"/>
  <c r="M8002" i="7"/>
  <c r="M8003" i="7"/>
  <c r="M8004" i="7"/>
  <c r="M8005" i="7"/>
  <c r="M8006" i="7"/>
  <c r="M8007" i="7"/>
  <c r="M8008" i="7"/>
  <c r="M8009" i="7"/>
  <c r="M8010" i="7"/>
  <c r="M8011" i="7"/>
  <c r="M8012" i="7"/>
  <c r="M8013" i="7"/>
  <c r="M8014" i="7"/>
  <c r="M8015" i="7"/>
  <c r="M8016" i="7"/>
  <c r="M8017" i="7"/>
  <c r="M8018" i="7"/>
  <c r="M8019" i="7"/>
  <c r="M8020" i="7"/>
  <c r="M8021" i="7"/>
  <c r="M8022" i="7"/>
  <c r="M8023" i="7"/>
  <c r="M8024" i="7"/>
  <c r="M8025" i="7"/>
  <c r="M8026" i="7"/>
  <c r="M8027" i="7"/>
  <c r="M8028" i="7"/>
  <c r="M8029" i="7"/>
  <c r="M8030" i="7"/>
  <c r="M8031" i="7"/>
  <c r="M8032" i="7"/>
  <c r="M8033" i="7"/>
  <c r="M8034" i="7"/>
  <c r="M8035" i="7"/>
  <c r="M8036" i="7"/>
  <c r="M8037" i="7"/>
  <c r="M8038" i="7"/>
  <c r="M8039" i="7"/>
  <c r="M8040" i="7"/>
  <c r="M8041" i="7"/>
  <c r="M8042" i="7"/>
  <c r="M8043" i="7"/>
  <c r="M8044" i="7"/>
  <c r="M8045" i="7"/>
  <c r="M8046" i="7"/>
  <c r="M8047" i="7"/>
  <c r="M8048" i="7"/>
  <c r="M8049" i="7"/>
  <c r="M8050" i="7"/>
  <c r="M8051" i="7"/>
  <c r="M8052" i="7"/>
  <c r="M8053" i="7"/>
  <c r="M8054" i="7"/>
  <c r="M8055" i="7"/>
  <c r="M8056" i="7"/>
  <c r="M8057" i="7"/>
  <c r="M8058" i="7"/>
  <c r="M8059" i="7"/>
  <c r="M8060" i="7"/>
  <c r="M8061" i="7"/>
  <c r="M8062" i="7"/>
  <c r="M8063" i="7"/>
  <c r="M8064" i="7"/>
  <c r="M8065" i="7"/>
  <c r="M8066" i="7"/>
  <c r="M8067" i="7"/>
  <c r="M8068" i="7"/>
  <c r="M8069" i="7"/>
  <c r="M8070" i="7"/>
  <c r="M8071" i="7"/>
  <c r="M8072" i="7"/>
  <c r="M8073" i="7"/>
  <c r="M8074" i="7"/>
  <c r="M8075" i="7"/>
  <c r="M8076" i="7"/>
  <c r="M8077" i="7"/>
  <c r="M8078" i="7"/>
  <c r="M8079" i="7"/>
  <c r="M8080" i="7"/>
  <c r="M8081" i="7"/>
  <c r="M8082" i="7"/>
  <c r="M8083" i="7"/>
  <c r="M8084" i="7"/>
  <c r="M8085" i="7"/>
  <c r="M8086" i="7"/>
  <c r="M8087" i="7"/>
  <c r="M8088" i="7"/>
  <c r="M8089" i="7"/>
  <c r="M8090" i="7"/>
  <c r="M8091" i="7"/>
  <c r="M8092" i="7"/>
  <c r="M8093" i="7"/>
  <c r="M8094" i="7"/>
  <c r="M8095" i="7"/>
  <c r="M8096" i="7"/>
  <c r="M8097" i="7"/>
  <c r="M8098" i="7"/>
  <c r="M8099" i="7"/>
  <c r="M8100" i="7"/>
  <c r="M8101" i="7"/>
  <c r="M8102" i="7"/>
  <c r="M8103" i="7"/>
  <c r="M8104" i="7"/>
  <c r="M8105" i="7"/>
  <c r="M8106" i="7"/>
  <c r="M8107" i="7"/>
  <c r="M8108" i="7"/>
  <c r="M8109" i="7"/>
  <c r="M8110" i="7"/>
  <c r="M8111" i="7"/>
  <c r="M8112" i="7"/>
  <c r="M8113" i="7"/>
  <c r="M8114" i="7"/>
  <c r="M8115" i="7"/>
  <c r="M8116" i="7"/>
  <c r="M8117" i="7"/>
  <c r="M8118" i="7"/>
  <c r="M8119" i="7"/>
  <c r="M8120" i="7"/>
  <c r="M8121" i="7"/>
  <c r="M8122" i="7"/>
  <c r="M8123" i="7"/>
  <c r="M8124" i="7"/>
  <c r="M8125" i="7"/>
  <c r="M8126" i="7"/>
  <c r="M8127" i="7"/>
  <c r="M8128" i="7"/>
  <c r="M8129" i="7"/>
  <c r="M8130" i="7"/>
  <c r="M8131" i="7"/>
  <c r="M8132" i="7"/>
  <c r="M8133" i="7"/>
  <c r="M8134" i="7"/>
  <c r="M8135" i="7"/>
  <c r="M8136" i="7"/>
  <c r="M8137" i="7"/>
  <c r="M8138" i="7"/>
  <c r="M8139" i="7"/>
  <c r="M8140" i="7"/>
  <c r="M8141" i="7"/>
  <c r="M8142" i="7"/>
  <c r="M8143" i="7"/>
  <c r="M8144" i="7"/>
  <c r="M8145" i="7"/>
  <c r="M8146" i="7"/>
  <c r="M8147" i="7"/>
  <c r="M8148" i="7"/>
  <c r="M8149" i="7"/>
  <c r="M8150" i="7"/>
  <c r="M8151" i="7"/>
  <c r="M8152" i="7"/>
  <c r="M8153" i="7"/>
  <c r="M8154" i="7"/>
  <c r="M8155" i="7"/>
  <c r="M8156" i="7"/>
  <c r="M8157" i="7"/>
  <c r="M8158" i="7"/>
  <c r="M8159" i="7"/>
  <c r="M8160" i="7"/>
  <c r="M8161" i="7"/>
  <c r="M8162" i="7"/>
  <c r="M8163" i="7"/>
  <c r="M8164" i="7"/>
  <c r="M8165" i="7"/>
  <c r="M8166" i="7"/>
  <c r="M8167" i="7"/>
  <c r="M8168" i="7"/>
  <c r="M8169" i="7"/>
  <c r="M8170" i="7"/>
  <c r="M8171" i="7"/>
  <c r="M8172" i="7"/>
  <c r="M8173" i="7"/>
  <c r="M8174" i="7"/>
  <c r="M8175" i="7"/>
  <c r="M8176" i="7"/>
  <c r="M8177" i="7"/>
  <c r="M8178" i="7"/>
  <c r="M8179" i="7"/>
  <c r="M8180" i="7"/>
  <c r="M8181" i="7"/>
  <c r="M8182" i="7"/>
  <c r="M8183" i="7"/>
  <c r="M8184" i="7"/>
  <c r="M8185" i="7"/>
  <c r="M8186" i="7"/>
  <c r="M8187" i="7"/>
  <c r="M8188" i="7"/>
  <c r="M8189" i="7"/>
  <c r="M8190" i="7"/>
  <c r="M8191" i="7"/>
  <c r="M8192" i="7"/>
  <c r="M8193" i="7"/>
  <c r="M8194" i="7"/>
  <c r="M8195" i="7"/>
  <c r="M8196" i="7"/>
  <c r="M8197" i="7"/>
  <c r="M8198" i="7"/>
  <c r="M8199" i="7"/>
  <c r="M8200" i="7"/>
  <c r="M8201" i="7"/>
  <c r="M8202" i="7"/>
  <c r="M8203" i="7"/>
  <c r="M8204" i="7"/>
  <c r="M8205" i="7"/>
  <c r="M8206" i="7"/>
  <c r="M8207" i="7"/>
  <c r="M8208" i="7"/>
  <c r="M8209" i="7"/>
  <c r="M8210" i="7"/>
  <c r="M8211" i="7"/>
  <c r="M8212" i="7"/>
  <c r="M8213" i="7"/>
  <c r="M8214" i="7"/>
  <c r="M8215" i="7"/>
  <c r="M8216" i="7"/>
  <c r="M8217" i="7"/>
  <c r="M8218" i="7"/>
  <c r="M8219" i="7"/>
  <c r="M8220" i="7"/>
  <c r="M8221" i="7"/>
  <c r="M8222" i="7"/>
  <c r="M8223" i="7"/>
  <c r="M8224" i="7"/>
  <c r="M8225" i="7"/>
  <c r="M8226" i="7"/>
  <c r="M8227" i="7"/>
  <c r="M8228" i="7"/>
  <c r="M8229" i="7"/>
  <c r="M8230" i="7"/>
  <c r="M8231" i="7"/>
  <c r="M8232" i="7"/>
  <c r="M8233" i="7"/>
  <c r="M8234" i="7"/>
  <c r="M8235" i="7"/>
  <c r="M8236" i="7"/>
  <c r="M8237" i="7"/>
  <c r="M8238" i="7"/>
  <c r="M8239" i="7"/>
  <c r="M8240" i="7"/>
  <c r="M8241" i="7"/>
  <c r="M8242" i="7"/>
  <c r="M8243" i="7"/>
  <c r="M8244" i="7"/>
  <c r="M8245" i="7"/>
  <c r="M8246" i="7"/>
  <c r="M8247" i="7"/>
  <c r="M8248" i="7"/>
  <c r="M8249" i="7"/>
  <c r="M8250" i="7"/>
  <c r="M8251" i="7"/>
  <c r="M8252" i="7"/>
  <c r="M8253" i="7"/>
  <c r="M8254" i="7"/>
  <c r="M8255" i="7"/>
  <c r="M8256" i="7"/>
  <c r="M8257" i="7"/>
  <c r="M8258" i="7"/>
  <c r="M8259" i="7"/>
  <c r="M8260" i="7"/>
  <c r="M8261" i="7"/>
  <c r="M8262" i="7"/>
  <c r="M8263" i="7"/>
  <c r="M8264" i="7"/>
  <c r="M8265" i="7"/>
  <c r="M8266" i="7"/>
  <c r="M8267" i="7"/>
  <c r="M8268" i="7"/>
  <c r="M8269" i="7"/>
  <c r="M8270" i="7"/>
  <c r="M8271" i="7"/>
  <c r="M8272" i="7"/>
  <c r="M8273" i="7"/>
  <c r="M8274" i="7"/>
  <c r="M8275" i="7"/>
  <c r="M8276" i="7"/>
  <c r="M8277" i="7"/>
  <c r="M8278" i="7"/>
  <c r="M8279" i="7"/>
  <c r="M8280" i="7"/>
  <c r="M8281" i="7"/>
  <c r="M8282" i="7"/>
  <c r="M8283" i="7"/>
  <c r="M8284" i="7"/>
  <c r="M8285" i="7"/>
  <c r="M8286" i="7"/>
  <c r="M8287" i="7"/>
  <c r="M8288" i="7"/>
  <c r="M8289" i="7"/>
  <c r="M8290" i="7"/>
  <c r="M8291" i="7"/>
  <c r="M8292" i="7"/>
  <c r="M8293" i="7"/>
  <c r="M8294" i="7"/>
  <c r="M8295" i="7"/>
  <c r="M8296" i="7"/>
  <c r="M8297" i="7"/>
  <c r="M8298" i="7"/>
  <c r="M8299" i="7"/>
  <c r="M8300" i="7"/>
  <c r="M8301" i="7"/>
  <c r="M8302" i="7"/>
  <c r="M8303" i="7"/>
  <c r="M8304" i="7"/>
  <c r="M8305" i="7"/>
  <c r="M8306" i="7"/>
  <c r="M8307" i="7"/>
  <c r="M8308" i="7"/>
  <c r="M8309" i="7"/>
  <c r="M8310" i="7"/>
  <c r="M8311" i="7"/>
  <c r="M8312" i="7"/>
  <c r="M8313" i="7"/>
  <c r="M8314" i="7"/>
  <c r="M8315" i="7"/>
  <c r="M8316" i="7"/>
  <c r="M8317" i="7"/>
  <c r="M8318" i="7"/>
  <c r="M8319" i="7"/>
  <c r="M8320" i="7"/>
  <c r="M8321" i="7"/>
  <c r="M8322" i="7"/>
  <c r="M8323" i="7"/>
  <c r="M8324" i="7"/>
  <c r="M8325" i="7"/>
  <c r="M8326" i="7"/>
  <c r="M8327" i="7"/>
  <c r="M8328" i="7"/>
  <c r="M8329" i="7"/>
  <c r="M8330" i="7"/>
  <c r="M8331" i="7"/>
  <c r="M8332" i="7"/>
  <c r="M8333" i="7"/>
  <c r="M8334" i="7"/>
  <c r="M8335" i="7"/>
  <c r="M8336" i="7"/>
  <c r="M8337" i="7"/>
  <c r="M8338" i="7"/>
  <c r="M8339" i="7"/>
  <c r="M8340" i="7"/>
  <c r="M8341" i="7"/>
  <c r="M8342" i="7"/>
  <c r="M8343" i="7"/>
  <c r="M8344" i="7"/>
  <c r="M8345" i="7"/>
  <c r="M8346" i="7"/>
  <c r="M8347" i="7"/>
  <c r="M8348" i="7"/>
  <c r="M8349" i="7"/>
  <c r="M8350" i="7"/>
  <c r="M8351" i="7"/>
  <c r="M8352" i="7"/>
  <c r="M8353" i="7"/>
  <c r="M8354" i="7"/>
  <c r="M8355" i="7"/>
  <c r="M8356" i="7"/>
  <c r="M8357" i="7"/>
  <c r="M8358" i="7"/>
  <c r="M8359" i="7"/>
  <c r="M8360" i="7"/>
  <c r="M8361" i="7"/>
  <c r="M8362" i="7"/>
  <c r="M8363" i="7"/>
  <c r="M8364" i="7"/>
  <c r="M8365" i="7"/>
  <c r="M8366" i="7"/>
  <c r="M8367" i="7"/>
  <c r="M8368" i="7"/>
  <c r="M8369" i="7"/>
  <c r="M8370" i="7"/>
  <c r="M8371" i="7"/>
  <c r="M8372" i="7"/>
  <c r="M8373" i="7"/>
  <c r="M8374" i="7"/>
  <c r="M8375" i="7"/>
  <c r="M8376" i="7"/>
  <c r="M8377" i="7"/>
  <c r="M8378" i="7"/>
  <c r="M8379" i="7"/>
  <c r="M8380" i="7"/>
  <c r="M8381" i="7"/>
  <c r="M8382" i="7"/>
  <c r="M8383" i="7"/>
  <c r="M8384" i="7"/>
  <c r="M8385" i="7"/>
  <c r="M8386" i="7"/>
  <c r="M8387" i="7"/>
  <c r="M8388" i="7"/>
  <c r="M8389" i="7"/>
  <c r="M8390" i="7"/>
  <c r="M8391" i="7"/>
  <c r="M8392" i="7"/>
  <c r="M8393" i="7"/>
  <c r="M8394" i="7"/>
  <c r="M8395" i="7"/>
  <c r="M8396" i="7"/>
  <c r="M8397" i="7"/>
  <c r="M8398" i="7"/>
  <c r="M8399" i="7"/>
  <c r="M8400" i="7"/>
  <c r="M8401" i="7"/>
  <c r="M8402" i="7"/>
  <c r="M8403" i="7"/>
  <c r="M8404" i="7"/>
  <c r="M8405" i="7"/>
  <c r="M8406" i="7"/>
  <c r="M8407" i="7"/>
  <c r="M8408" i="7"/>
  <c r="M8409" i="7"/>
  <c r="M8410" i="7"/>
  <c r="M8411" i="7"/>
  <c r="M8412" i="7"/>
  <c r="M8413" i="7"/>
  <c r="M8414" i="7"/>
  <c r="M8415" i="7"/>
  <c r="M8416" i="7"/>
  <c r="M8417" i="7"/>
  <c r="M8418" i="7"/>
  <c r="M8419" i="7"/>
  <c r="M8420" i="7"/>
  <c r="M8421" i="7"/>
  <c r="M8422" i="7"/>
  <c r="M8423" i="7"/>
  <c r="M8424" i="7"/>
  <c r="M8425" i="7"/>
  <c r="M8426" i="7"/>
  <c r="M8427" i="7"/>
  <c r="M8428" i="7"/>
  <c r="M8429" i="7"/>
  <c r="M8430" i="7"/>
  <c r="M8431" i="7"/>
  <c r="M8432" i="7"/>
  <c r="M8433" i="7"/>
  <c r="M8434" i="7"/>
  <c r="M8435" i="7"/>
  <c r="M8436" i="7"/>
  <c r="M8437" i="7"/>
  <c r="M8438" i="7"/>
  <c r="M8439" i="7"/>
  <c r="M8440" i="7"/>
  <c r="M8441" i="7"/>
  <c r="M8442" i="7"/>
  <c r="M8443" i="7"/>
  <c r="M8444" i="7"/>
  <c r="M8445" i="7"/>
  <c r="M8446" i="7"/>
  <c r="M8447" i="7"/>
  <c r="M8448" i="7"/>
  <c r="M8449" i="7"/>
  <c r="M8450" i="7"/>
  <c r="M8451" i="7"/>
  <c r="M8452" i="7"/>
  <c r="M8453" i="7"/>
  <c r="M8454" i="7"/>
  <c r="M8455" i="7"/>
  <c r="M8456" i="7"/>
  <c r="M8457" i="7"/>
  <c r="M8458" i="7"/>
  <c r="M8459" i="7"/>
  <c r="M8460" i="7"/>
  <c r="M8461" i="7"/>
  <c r="M8462" i="7"/>
  <c r="M8463" i="7"/>
  <c r="M8464" i="7"/>
  <c r="M8465" i="7"/>
  <c r="M8466" i="7"/>
  <c r="M8467" i="7"/>
  <c r="M8468" i="7"/>
  <c r="M8469" i="7"/>
  <c r="M8470" i="7"/>
  <c r="M8471" i="7"/>
  <c r="M8472" i="7"/>
  <c r="M8473" i="7"/>
  <c r="M8474" i="7"/>
  <c r="M8475" i="7"/>
  <c r="M8476" i="7"/>
  <c r="M8477" i="7"/>
  <c r="M8478" i="7"/>
  <c r="M8479" i="7"/>
  <c r="M8480" i="7"/>
  <c r="M8481" i="7"/>
  <c r="M8482" i="7"/>
  <c r="M8483" i="7"/>
  <c r="M8484" i="7"/>
  <c r="M8485" i="7"/>
  <c r="M8486" i="7"/>
  <c r="M8487" i="7"/>
  <c r="M8488" i="7"/>
  <c r="M8489" i="7"/>
  <c r="M8490" i="7"/>
  <c r="M8491" i="7"/>
  <c r="M8492" i="7"/>
  <c r="M8493" i="7"/>
  <c r="M8494" i="7"/>
  <c r="M8495" i="7"/>
  <c r="M8496" i="7"/>
  <c r="M8497" i="7"/>
  <c r="M8498" i="7"/>
  <c r="M8499" i="7"/>
  <c r="M8500" i="7"/>
  <c r="M8501" i="7"/>
  <c r="M8502" i="7"/>
  <c r="M8503" i="7"/>
  <c r="M8504" i="7"/>
  <c r="M8505" i="7"/>
  <c r="M8506" i="7"/>
  <c r="M8507" i="7"/>
  <c r="M8508" i="7"/>
  <c r="M8509" i="7"/>
  <c r="M8510" i="7"/>
  <c r="M8511" i="7"/>
  <c r="M8512" i="7"/>
  <c r="M8513" i="7"/>
  <c r="M8514" i="7"/>
  <c r="M8515" i="7"/>
  <c r="M8516" i="7"/>
  <c r="M8517" i="7"/>
  <c r="M8518" i="7"/>
  <c r="M8519" i="7"/>
  <c r="M8520" i="7"/>
  <c r="M8521" i="7"/>
  <c r="M8522" i="7"/>
  <c r="M8523" i="7"/>
  <c r="M8524" i="7"/>
  <c r="M8525" i="7"/>
  <c r="M8526" i="7"/>
  <c r="M8527" i="7"/>
  <c r="M8528" i="7"/>
  <c r="M8529" i="7"/>
  <c r="M8530" i="7"/>
  <c r="M8531" i="7"/>
  <c r="M8532" i="7"/>
  <c r="M8533" i="7"/>
  <c r="M8534" i="7"/>
  <c r="M8535" i="7"/>
  <c r="M8536" i="7"/>
  <c r="M8537" i="7"/>
  <c r="M8538" i="7"/>
  <c r="M8539" i="7"/>
  <c r="M8540" i="7"/>
  <c r="M8541" i="7"/>
  <c r="M8542" i="7"/>
  <c r="M8543" i="7"/>
  <c r="M8544" i="7"/>
  <c r="M8545" i="7"/>
  <c r="M8546" i="7"/>
  <c r="M8547" i="7"/>
  <c r="M8548" i="7"/>
  <c r="M8549" i="7"/>
  <c r="M8550" i="7"/>
  <c r="M8551" i="7"/>
  <c r="M8552" i="7"/>
  <c r="M8553" i="7"/>
  <c r="M8554" i="7"/>
  <c r="M8555" i="7"/>
  <c r="M8556" i="7"/>
  <c r="M8557" i="7"/>
  <c r="M8558" i="7"/>
  <c r="M8559" i="7"/>
  <c r="M8560" i="7"/>
  <c r="M8561" i="7"/>
  <c r="M8562" i="7"/>
  <c r="M8563" i="7"/>
  <c r="M8564" i="7"/>
  <c r="M8565" i="7"/>
  <c r="M8566" i="7"/>
  <c r="M8567" i="7"/>
  <c r="M8568" i="7"/>
  <c r="M8569" i="7"/>
  <c r="M8570" i="7"/>
  <c r="M8571" i="7"/>
  <c r="M8572" i="7"/>
  <c r="M8573" i="7"/>
  <c r="M8574" i="7"/>
  <c r="M8575" i="7"/>
  <c r="M8576" i="7"/>
  <c r="M8577" i="7"/>
  <c r="M8578" i="7"/>
  <c r="M8579" i="7"/>
  <c r="M8580" i="7"/>
  <c r="M8581" i="7"/>
  <c r="M8582" i="7"/>
  <c r="M8583" i="7"/>
  <c r="M8584" i="7"/>
  <c r="M8585" i="7"/>
  <c r="M8586" i="7"/>
  <c r="M8587" i="7"/>
  <c r="M8588" i="7"/>
  <c r="M8589" i="7"/>
  <c r="M8590" i="7"/>
  <c r="M8591" i="7"/>
  <c r="M8592" i="7"/>
  <c r="M8593" i="7"/>
  <c r="M8594" i="7"/>
  <c r="M8595" i="7"/>
  <c r="M8596" i="7"/>
  <c r="M8597" i="7"/>
  <c r="M8598" i="7"/>
  <c r="M8599" i="7"/>
  <c r="M8600" i="7"/>
  <c r="M8601" i="7"/>
  <c r="M8602" i="7"/>
  <c r="M8603" i="7"/>
  <c r="M8604" i="7"/>
  <c r="M8605" i="7"/>
  <c r="M8606" i="7"/>
  <c r="M8607" i="7"/>
  <c r="M8608" i="7"/>
  <c r="M8609" i="7"/>
  <c r="M8610" i="7"/>
  <c r="M8611" i="7"/>
  <c r="M8612" i="7"/>
  <c r="M8613" i="7"/>
  <c r="M8614" i="7"/>
  <c r="M8615" i="7"/>
  <c r="M8616" i="7"/>
  <c r="M8617" i="7"/>
  <c r="M8618" i="7"/>
  <c r="M8619" i="7"/>
  <c r="M8620" i="7"/>
  <c r="M8621" i="7"/>
  <c r="M8622" i="7"/>
  <c r="M8623" i="7"/>
  <c r="M8624" i="7"/>
  <c r="M8625" i="7"/>
  <c r="M8626" i="7"/>
  <c r="M8627" i="7"/>
  <c r="M8628" i="7"/>
  <c r="M8629" i="7"/>
  <c r="M8630" i="7"/>
  <c r="M8631" i="7"/>
  <c r="M8632" i="7"/>
  <c r="M8633" i="7"/>
  <c r="M8634" i="7"/>
  <c r="M8635" i="7"/>
  <c r="M8636" i="7"/>
  <c r="M8637" i="7"/>
  <c r="M256" i="5"/>
  <c r="M54" i="5"/>
  <c r="M204" i="5"/>
  <c r="M43" i="5"/>
  <c r="M166" i="5"/>
  <c r="M24" i="5"/>
  <c r="M66" i="5"/>
  <c r="M126" i="5"/>
  <c r="M210" i="5"/>
  <c r="M8638" i="7"/>
  <c r="M8639" i="7"/>
  <c r="M8640" i="7"/>
  <c r="M8641" i="7"/>
  <c r="M8642" i="7"/>
  <c r="M8643" i="7"/>
  <c r="M8644" i="7"/>
  <c r="M8645" i="7"/>
  <c r="M8646" i="7"/>
  <c r="M8647" i="7"/>
  <c r="M8648" i="7"/>
  <c r="M8649" i="7"/>
  <c r="M8650" i="7"/>
  <c r="M8651" i="7"/>
  <c r="M8652" i="7"/>
  <c r="M8653" i="7"/>
  <c r="M8654" i="7"/>
  <c r="M8655" i="7"/>
  <c r="M8656" i="7"/>
  <c r="M8657" i="7"/>
  <c r="M8658" i="7"/>
  <c r="M8659" i="7"/>
  <c r="M8660" i="7"/>
  <c r="M8661" i="7"/>
  <c r="M8662" i="7"/>
  <c r="M8663" i="7"/>
  <c r="M8664" i="7"/>
  <c r="M8665" i="7"/>
  <c r="M8666" i="7"/>
  <c r="M8667" i="7"/>
  <c r="M8668" i="7"/>
  <c r="M8669" i="7"/>
  <c r="M8670" i="7"/>
  <c r="M8671" i="7"/>
  <c r="M8672" i="7"/>
  <c r="M8673" i="7"/>
  <c r="M8674" i="7"/>
  <c r="M8675" i="7"/>
  <c r="M8676" i="7"/>
  <c r="M8677" i="7"/>
  <c r="M8678" i="7"/>
  <c r="M8679" i="7"/>
  <c r="M8680" i="7"/>
  <c r="M8681" i="7"/>
  <c r="M8682" i="7"/>
  <c r="M8683" i="7"/>
  <c r="M8684" i="7"/>
  <c r="M8685" i="7"/>
  <c r="M8686" i="7"/>
  <c r="M8687" i="7"/>
  <c r="M8688" i="7"/>
  <c r="M8689" i="7"/>
  <c r="M8690" i="7"/>
  <c r="M8691" i="7"/>
  <c r="M8692" i="7"/>
  <c r="M8693" i="7"/>
  <c r="M8694" i="7"/>
  <c r="M8695" i="7"/>
  <c r="M8696" i="7"/>
  <c r="M8697" i="7"/>
  <c r="M8698" i="7"/>
  <c r="M8699" i="7"/>
  <c r="M8700" i="7"/>
  <c r="M8701" i="7"/>
  <c r="M8702" i="7"/>
  <c r="M8703" i="7"/>
  <c r="M8704" i="7"/>
  <c r="M8705" i="7"/>
  <c r="M8706" i="7"/>
  <c r="M8707" i="7"/>
  <c r="M8708" i="7"/>
  <c r="M8709" i="7"/>
  <c r="M8710" i="7"/>
  <c r="M8711" i="7"/>
  <c r="M8712" i="7"/>
  <c r="M8713" i="7"/>
  <c r="M8714" i="7"/>
  <c r="M8715" i="7"/>
  <c r="M8716" i="7"/>
  <c r="M8717" i="7"/>
  <c r="M8718" i="7"/>
  <c r="M8719" i="7"/>
  <c r="M8720" i="7"/>
  <c r="M8721" i="7"/>
  <c r="M8722" i="7"/>
  <c r="M8723" i="7"/>
  <c r="M8724" i="7"/>
  <c r="M8725" i="7"/>
  <c r="M8726" i="7"/>
  <c r="M8727" i="7"/>
  <c r="M8728" i="7"/>
  <c r="M8729" i="7"/>
  <c r="M8730" i="7"/>
  <c r="M8731" i="7"/>
  <c r="M8732" i="7"/>
  <c r="M8733" i="7"/>
  <c r="M8734" i="7"/>
  <c r="M8735" i="7"/>
  <c r="M8736" i="7"/>
  <c r="M8737" i="7"/>
  <c r="M8738" i="7"/>
  <c r="M8739" i="7"/>
  <c r="M8740" i="7"/>
  <c r="M8741" i="7"/>
  <c r="M8742" i="7"/>
  <c r="M8743" i="7"/>
  <c r="M8744" i="7"/>
  <c r="M8745" i="7"/>
  <c r="M8746" i="7"/>
  <c r="M8747" i="7"/>
  <c r="M8748" i="7"/>
  <c r="M8749" i="7"/>
  <c r="M8750" i="7"/>
  <c r="M8751" i="7"/>
  <c r="M8752" i="7"/>
  <c r="M8753" i="7"/>
  <c r="M8754" i="7"/>
  <c r="M8755" i="7"/>
  <c r="M8756" i="7"/>
  <c r="M8757" i="7"/>
  <c r="M8758" i="7"/>
  <c r="M8759" i="7"/>
  <c r="M8760" i="7"/>
  <c r="M8761" i="7"/>
  <c r="M8762" i="7"/>
  <c r="M8763" i="7"/>
  <c r="M8764" i="7"/>
  <c r="M8765" i="7"/>
  <c r="M8766" i="7"/>
  <c r="M8767" i="7"/>
  <c r="M8768" i="7"/>
  <c r="M8769" i="7"/>
  <c r="M8770" i="7"/>
  <c r="M8771" i="7"/>
  <c r="M8772" i="7"/>
  <c r="M8773" i="7"/>
  <c r="M8774" i="7"/>
  <c r="M8775" i="7"/>
  <c r="M8776" i="7"/>
  <c r="M8777" i="7"/>
  <c r="M8778" i="7"/>
  <c r="M8779" i="7"/>
  <c r="M8780" i="7"/>
  <c r="M8781" i="7"/>
  <c r="M8782" i="7"/>
  <c r="M8783" i="7"/>
  <c r="M8784" i="7"/>
  <c r="M8785" i="7"/>
  <c r="M8786" i="7"/>
  <c r="M8787" i="7"/>
  <c r="M8788" i="7"/>
  <c r="M8789" i="7"/>
  <c r="M8790" i="7"/>
  <c r="M8791" i="7"/>
  <c r="M8792" i="7"/>
  <c r="M8793" i="7"/>
  <c r="M8794" i="7"/>
  <c r="M8795" i="7"/>
  <c r="M8796" i="7"/>
  <c r="M8797" i="7"/>
  <c r="M8798" i="7"/>
  <c r="M8799" i="7"/>
  <c r="M8800" i="7"/>
  <c r="M8801" i="7"/>
  <c r="M8802" i="7"/>
  <c r="M8803" i="7"/>
  <c r="M8804" i="7"/>
  <c r="M8805" i="7"/>
  <c r="M8806" i="7"/>
  <c r="M8807" i="7"/>
  <c r="M8808" i="7"/>
  <c r="M8809" i="7"/>
  <c r="M8810" i="7"/>
  <c r="M8811" i="7"/>
  <c r="M8812" i="7"/>
  <c r="M8813" i="7"/>
  <c r="M8814" i="7"/>
  <c r="M8815" i="7"/>
  <c r="M8816" i="7"/>
  <c r="M8817" i="7"/>
  <c r="M8818" i="7"/>
  <c r="M8819" i="7"/>
  <c r="M8820" i="7"/>
  <c r="M8821" i="7"/>
  <c r="M8822" i="7"/>
  <c r="M8823" i="7"/>
  <c r="M8824" i="7"/>
  <c r="M8825" i="7"/>
  <c r="M8826" i="7"/>
  <c r="M8827" i="7"/>
  <c r="M8828" i="7"/>
  <c r="M8829" i="7"/>
  <c r="M8830" i="7"/>
  <c r="M8831" i="7"/>
  <c r="M8832" i="7"/>
  <c r="M8833" i="7"/>
  <c r="M8834" i="7"/>
  <c r="M8835" i="7"/>
  <c r="M8836" i="7"/>
  <c r="M8837" i="7"/>
  <c r="M8838" i="7"/>
  <c r="M8839" i="7"/>
  <c r="M8840" i="7"/>
  <c r="M8841" i="7"/>
  <c r="M8842" i="7"/>
  <c r="M8843" i="7"/>
  <c r="M8844" i="7"/>
  <c r="M8845" i="7"/>
  <c r="M8846" i="7"/>
  <c r="M8847" i="7"/>
  <c r="M8848" i="7"/>
  <c r="M8849" i="7"/>
  <c r="M8850" i="7"/>
  <c r="M8851" i="7"/>
  <c r="M8852" i="7"/>
  <c r="M8853" i="7"/>
  <c r="M8854" i="7"/>
  <c r="M8855" i="7"/>
  <c r="M8856" i="7"/>
  <c r="M8857" i="7"/>
  <c r="M8858" i="7"/>
  <c r="M8859" i="7"/>
  <c r="M8860" i="7"/>
  <c r="M8861" i="7"/>
  <c r="M8862" i="7"/>
  <c r="M8863" i="7"/>
  <c r="M8864" i="7"/>
  <c r="M8865" i="7"/>
  <c r="M8866" i="7"/>
  <c r="M8867" i="7"/>
  <c r="M8868" i="7"/>
  <c r="M8869" i="7"/>
  <c r="M8870" i="7"/>
  <c r="M8871" i="7"/>
  <c r="M8872" i="7"/>
  <c r="M8873" i="7"/>
  <c r="M8874" i="7"/>
  <c r="M8875" i="7"/>
  <c r="M8876" i="7"/>
  <c r="M8877" i="7"/>
  <c r="M8878" i="7"/>
  <c r="M8879" i="7"/>
  <c r="M8880" i="7"/>
  <c r="M8881" i="7"/>
  <c r="M8882" i="7"/>
  <c r="M8883" i="7"/>
  <c r="M8884" i="7"/>
  <c r="M8885" i="7"/>
  <c r="M8886" i="7"/>
  <c r="M8887" i="7"/>
  <c r="M8888" i="7"/>
  <c r="M8889" i="7"/>
  <c r="M8890" i="7"/>
  <c r="M8891" i="7"/>
  <c r="M8892" i="7"/>
  <c r="M8893" i="7"/>
  <c r="M8894" i="7"/>
  <c r="M8895" i="7"/>
  <c r="M8896" i="7"/>
  <c r="M8897" i="7"/>
  <c r="M8898" i="7"/>
  <c r="M8899" i="7"/>
  <c r="M8900" i="7"/>
  <c r="M8901" i="7"/>
  <c r="M8902" i="7"/>
  <c r="M8903" i="7"/>
  <c r="M8904" i="7"/>
  <c r="M8905" i="7"/>
  <c r="M8906" i="7"/>
  <c r="M8907" i="7"/>
  <c r="M8908" i="7"/>
  <c r="M8909" i="7"/>
  <c r="M8910" i="7"/>
  <c r="M8911" i="7"/>
  <c r="M8912" i="7"/>
  <c r="M8913" i="7"/>
  <c r="M8914" i="7"/>
  <c r="M8915" i="7"/>
  <c r="M8916" i="7"/>
  <c r="M8917" i="7"/>
  <c r="M8918" i="7"/>
  <c r="M8919" i="7"/>
  <c r="M8920" i="7"/>
  <c r="M8921" i="7"/>
  <c r="M8922" i="7"/>
  <c r="M8923" i="7"/>
  <c r="M8924" i="7"/>
  <c r="M8925" i="7"/>
  <c r="M8926" i="7"/>
  <c r="M8927" i="7"/>
  <c r="M8928" i="7"/>
  <c r="M8929" i="7"/>
  <c r="M8930" i="7"/>
  <c r="M8931" i="7"/>
  <c r="M8932" i="7"/>
  <c r="M8933" i="7"/>
  <c r="M8934" i="7"/>
  <c r="M8935" i="7"/>
  <c r="M8936" i="7"/>
  <c r="M8937" i="7"/>
  <c r="M8938" i="7"/>
  <c r="M8939" i="7"/>
  <c r="M8940" i="7"/>
  <c r="M8941" i="7"/>
  <c r="M8942" i="7"/>
  <c r="M8943" i="7"/>
  <c r="M8944" i="7"/>
  <c r="M8945" i="7"/>
  <c r="M8946" i="7"/>
  <c r="M8947" i="7"/>
  <c r="M8948" i="7"/>
  <c r="M8949" i="7"/>
  <c r="M8950" i="7"/>
  <c r="M8951" i="7"/>
  <c r="M8952" i="7"/>
  <c r="M8953" i="7"/>
  <c r="M8954" i="7"/>
  <c r="M8955" i="7"/>
  <c r="M8956" i="7"/>
  <c r="M8957" i="7"/>
  <c r="M8958" i="7"/>
  <c r="M8959" i="7"/>
  <c r="M8960" i="7"/>
  <c r="M8961" i="7"/>
  <c r="M8962" i="7"/>
  <c r="M8963" i="7"/>
  <c r="M8964" i="7"/>
  <c r="M8965" i="7"/>
  <c r="M8966" i="7"/>
  <c r="M8967" i="7"/>
  <c r="M8968" i="7"/>
  <c r="M8969" i="7"/>
  <c r="M8970" i="7"/>
  <c r="M8971" i="7"/>
  <c r="M8972" i="7"/>
  <c r="M8973" i="7"/>
  <c r="M8974" i="7"/>
  <c r="M8975" i="7"/>
  <c r="M8976" i="7"/>
  <c r="M8977" i="7"/>
  <c r="M8978" i="7"/>
  <c r="M8979" i="7"/>
  <c r="M8980" i="7"/>
  <c r="M8981" i="7"/>
  <c r="M8982" i="7"/>
  <c r="M8983" i="7"/>
  <c r="M8984" i="7"/>
  <c r="M8985" i="7"/>
  <c r="M8986" i="7"/>
  <c r="M8987" i="7"/>
  <c r="M8988" i="7"/>
  <c r="M8989" i="7"/>
  <c r="M8990" i="7"/>
  <c r="M8991" i="7"/>
  <c r="M8992" i="7"/>
  <c r="M8993" i="7"/>
  <c r="M8994" i="7"/>
  <c r="M8995" i="7"/>
  <c r="M8996" i="7"/>
  <c r="M8997" i="7"/>
  <c r="M8998" i="7"/>
  <c r="M8999" i="7"/>
  <c r="M9000" i="7"/>
  <c r="M9001" i="7"/>
  <c r="M9002" i="7"/>
  <c r="M9003" i="7"/>
  <c r="M9004" i="7"/>
  <c r="M9005" i="7"/>
  <c r="M9006" i="7"/>
  <c r="M9007" i="7"/>
  <c r="M9008" i="7"/>
  <c r="M9009" i="7"/>
  <c r="M9010" i="7"/>
  <c r="M9011" i="7"/>
  <c r="M9012" i="7"/>
  <c r="M9013" i="7"/>
  <c r="M9014" i="7"/>
  <c r="M9015" i="7"/>
  <c r="M9016" i="7"/>
  <c r="M9017" i="7"/>
  <c r="M9018" i="7"/>
  <c r="M9019" i="7"/>
  <c r="M9020" i="7"/>
  <c r="M9021" i="7"/>
  <c r="M9022" i="7"/>
  <c r="M9023" i="7"/>
  <c r="M9024" i="7"/>
  <c r="M9025" i="7"/>
  <c r="M9026" i="7"/>
  <c r="M9027" i="7"/>
  <c r="M9028" i="7"/>
  <c r="M9029" i="7"/>
  <c r="M9030" i="7"/>
  <c r="M9031" i="7"/>
  <c r="M9032" i="7"/>
  <c r="M9033" i="7"/>
  <c r="M9034" i="7"/>
  <c r="M9035" i="7"/>
  <c r="M9036" i="7"/>
  <c r="M9037" i="7"/>
  <c r="M9038" i="7"/>
  <c r="M9039" i="7"/>
  <c r="M9040" i="7"/>
  <c r="M9041" i="7"/>
  <c r="M9042" i="7"/>
  <c r="M9043" i="7"/>
  <c r="M9044" i="7"/>
  <c r="M9045" i="7"/>
  <c r="M9046" i="7"/>
  <c r="M9047" i="7"/>
  <c r="M9048" i="7"/>
  <c r="M9049" i="7"/>
  <c r="M9050" i="7"/>
  <c r="M9051" i="7"/>
  <c r="M9052" i="7"/>
  <c r="M9053" i="7"/>
  <c r="M9054" i="7"/>
  <c r="M9055" i="7"/>
  <c r="M9056" i="7"/>
  <c r="M9057" i="7"/>
  <c r="M9058" i="7"/>
  <c r="M9059" i="7"/>
  <c r="M9060" i="7"/>
  <c r="M9061" i="7"/>
  <c r="M9062" i="7"/>
  <c r="M9063" i="7"/>
  <c r="M9064" i="7"/>
  <c r="M9065" i="7"/>
  <c r="M9066" i="7"/>
  <c r="M9067" i="7"/>
  <c r="M9068" i="7"/>
  <c r="M9069" i="7"/>
  <c r="M9070" i="7"/>
  <c r="M9071" i="7"/>
  <c r="M9072" i="7"/>
  <c r="M9073" i="7"/>
  <c r="M9074" i="7"/>
  <c r="M9075" i="7"/>
  <c r="M9076" i="7"/>
  <c r="M9077" i="7"/>
  <c r="M9078" i="7"/>
  <c r="M9079" i="7"/>
  <c r="M9080" i="7"/>
  <c r="M9081" i="7"/>
  <c r="M9082" i="7"/>
  <c r="M9083" i="7"/>
  <c r="M9084" i="7"/>
  <c r="M9085" i="7"/>
  <c r="M9086" i="7"/>
  <c r="M9087" i="7"/>
  <c r="M9088" i="7"/>
  <c r="M9089" i="7"/>
  <c r="M9090" i="7"/>
  <c r="M9091" i="7"/>
  <c r="M9092" i="7"/>
  <c r="M9093" i="7"/>
  <c r="M9094" i="7"/>
  <c r="M9095" i="7"/>
  <c r="M9096" i="7"/>
  <c r="M9097" i="7"/>
  <c r="M9098" i="7"/>
  <c r="M9099" i="7"/>
  <c r="M9100" i="7"/>
  <c r="M9101" i="7"/>
  <c r="M9102" i="7"/>
  <c r="M9103" i="7"/>
  <c r="M9104" i="7"/>
  <c r="M9105" i="7"/>
  <c r="M9106" i="7"/>
  <c r="M9107" i="7"/>
  <c r="M9108" i="7"/>
  <c r="M9109" i="7"/>
  <c r="M9110" i="7"/>
  <c r="M9111" i="7"/>
  <c r="M9112" i="7"/>
  <c r="M9113" i="7"/>
  <c r="M9114" i="7"/>
  <c r="M9115" i="7"/>
  <c r="M9116" i="7"/>
  <c r="M9117" i="7"/>
  <c r="M9118" i="7"/>
  <c r="M9119" i="7"/>
  <c r="M9120" i="7"/>
  <c r="M9121" i="7"/>
  <c r="M9122" i="7"/>
  <c r="M9123" i="7"/>
  <c r="M9124" i="7"/>
  <c r="M9125" i="7"/>
  <c r="M9126" i="7"/>
  <c r="M9127" i="7"/>
  <c r="M9128" i="7"/>
  <c r="M9129" i="7"/>
  <c r="M9130" i="7"/>
  <c r="M9131" i="7"/>
  <c r="M9132" i="7"/>
  <c r="M9133" i="7"/>
  <c r="M9134" i="7"/>
  <c r="M9135" i="7"/>
  <c r="M9136" i="7"/>
  <c r="M9137" i="7"/>
  <c r="M9138" i="7"/>
  <c r="M9139" i="7"/>
  <c r="M9140" i="7"/>
  <c r="M9141" i="7"/>
  <c r="M9142" i="7"/>
  <c r="M9143" i="7"/>
  <c r="M9144" i="7"/>
  <c r="M9145" i="7"/>
  <c r="M9146" i="7"/>
  <c r="M9147" i="7"/>
  <c r="M9148" i="7"/>
  <c r="M9149" i="7"/>
  <c r="M9150" i="7"/>
  <c r="M9151" i="7"/>
  <c r="M9152" i="7"/>
  <c r="M9153" i="7"/>
  <c r="M9154" i="7"/>
  <c r="M9155" i="7"/>
  <c r="M9156" i="7"/>
  <c r="M9157" i="7"/>
  <c r="M9158" i="7"/>
  <c r="M9159" i="7"/>
  <c r="M9160" i="7"/>
  <c r="M9161" i="7"/>
  <c r="M9162" i="7"/>
  <c r="M9163" i="7"/>
  <c r="M9164" i="7"/>
  <c r="M9165" i="7"/>
  <c r="M9166" i="7"/>
  <c r="M9167" i="7"/>
  <c r="M9168" i="7"/>
  <c r="M9169" i="7"/>
  <c r="M9170" i="7"/>
  <c r="M9171" i="7"/>
  <c r="M9172" i="7"/>
  <c r="M9173" i="7"/>
  <c r="M9174" i="7"/>
  <c r="M9175" i="7"/>
  <c r="M9176" i="7"/>
  <c r="M9177" i="7"/>
  <c r="M9178" i="7"/>
  <c r="M9179" i="7"/>
  <c r="M9180" i="7"/>
  <c r="M9181" i="7"/>
  <c r="M9182" i="7"/>
  <c r="M9183" i="7"/>
  <c r="M9184" i="7"/>
  <c r="M9185" i="7"/>
  <c r="M9186" i="7"/>
  <c r="M9187" i="7"/>
  <c r="M9188" i="7"/>
  <c r="M9189" i="7"/>
  <c r="M9190" i="7"/>
  <c r="M9191" i="7"/>
  <c r="M9192" i="7"/>
  <c r="M9193" i="7"/>
  <c r="M9194" i="7"/>
  <c r="M9195" i="7"/>
  <c r="M9196" i="7"/>
  <c r="M9197" i="7"/>
  <c r="M9198" i="7"/>
  <c r="M9199" i="7"/>
  <c r="M9200" i="7"/>
  <c r="M9201" i="7"/>
  <c r="M9202" i="7"/>
  <c r="M9203" i="7"/>
  <c r="M9204" i="7"/>
  <c r="M9205" i="7"/>
  <c r="M9206" i="7"/>
  <c r="M9207" i="7"/>
  <c r="M9208" i="7"/>
  <c r="M9209" i="7"/>
  <c r="M9210" i="7"/>
  <c r="M9211" i="7"/>
  <c r="M9212" i="7"/>
  <c r="M9213" i="7"/>
  <c r="M9214" i="7"/>
  <c r="M9215" i="7"/>
  <c r="M9216" i="7"/>
  <c r="M9217" i="7"/>
  <c r="M9218" i="7"/>
  <c r="M9219" i="7"/>
  <c r="M9220" i="7"/>
  <c r="M9221" i="7"/>
  <c r="M9222" i="7"/>
  <c r="M9223" i="7"/>
  <c r="M9224" i="7"/>
  <c r="M9225" i="7"/>
  <c r="M9226" i="7"/>
  <c r="M9227" i="7"/>
  <c r="M9228" i="7"/>
  <c r="M9229" i="7"/>
  <c r="M9230" i="7"/>
  <c r="M9231" i="7"/>
  <c r="M9232" i="7"/>
  <c r="M9233" i="7"/>
  <c r="M9234" i="7"/>
  <c r="M9235" i="7"/>
  <c r="M9236" i="7"/>
  <c r="M9237" i="7"/>
  <c r="M9238" i="7"/>
  <c r="M9239" i="7"/>
  <c r="M9240" i="7"/>
  <c r="M9241" i="7"/>
  <c r="M9242" i="7"/>
  <c r="M9243" i="7"/>
  <c r="M9244" i="7"/>
  <c r="M9245" i="7"/>
  <c r="M9246" i="7"/>
  <c r="M9247" i="7"/>
  <c r="M9248" i="7"/>
  <c r="M9249" i="7"/>
  <c r="M9250" i="7"/>
  <c r="M9251" i="7"/>
  <c r="M9252" i="7"/>
  <c r="M9253" i="7"/>
  <c r="M9254" i="7"/>
  <c r="M9255" i="7"/>
  <c r="M9256" i="7"/>
  <c r="M9257" i="7"/>
  <c r="M9258" i="7"/>
  <c r="M9259" i="7"/>
  <c r="M9260" i="7"/>
  <c r="M9261" i="7"/>
  <c r="M9262" i="7"/>
  <c r="M9263" i="7"/>
  <c r="M9264" i="7"/>
  <c r="M9265" i="7"/>
  <c r="M9266" i="7"/>
  <c r="M9267" i="7"/>
  <c r="M9268" i="7"/>
  <c r="M9269" i="7"/>
  <c r="M9270" i="7"/>
  <c r="M9271" i="7"/>
  <c r="M9272" i="7"/>
  <c r="M9273" i="7"/>
  <c r="M9274" i="7"/>
  <c r="M9275" i="7"/>
  <c r="M9276" i="7"/>
  <c r="M9277" i="7"/>
  <c r="M9278" i="7"/>
  <c r="M9279" i="7"/>
  <c r="M9280" i="7"/>
  <c r="M9281" i="7"/>
  <c r="M9282" i="7"/>
  <c r="M9283" i="7"/>
  <c r="M9284" i="7"/>
  <c r="M9285" i="7"/>
  <c r="M9286" i="7"/>
  <c r="M9287" i="7"/>
  <c r="M9288" i="7"/>
  <c r="M9289" i="7"/>
  <c r="M9290" i="7"/>
  <c r="M9291" i="7"/>
  <c r="M9292" i="7"/>
  <c r="M9293" i="7"/>
  <c r="M9294" i="7"/>
  <c r="M9295" i="7"/>
  <c r="M9296" i="7"/>
  <c r="M9297" i="7"/>
  <c r="M9298" i="7"/>
  <c r="M9299" i="7"/>
  <c r="M9300" i="7"/>
  <c r="M9301" i="7"/>
  <c r="M9302" i="7"/>
  <c r="M9303" i="7"/>
  <c r="M9304" i="7"/>
  <c r="M9305" i="7"/>
  <c r="M9306" i="7"/>
  <c r="M9307" i="7"/>
  <c r="M9308" i="7"/>
  <c r="M9309" i="7"/>
  <c r="M9310" i="7"/>
  <c r="M9311" i="7"/>
  <c r="M9312" i="7"/>
  <c r="M9313" i="7"/>
  <c r="M9314" i="7"/>
  <c r="M9315" i="7"/>
  <c r="M9316" i="7"/>
  <c r="M9317" i="7"/>
  <c r="M9318" i="7"/>
  <c r="M9319" i="7"/>
  <c r="M9320" i="7"/>
  <c r="M9321" i="7"/>
  <c r="M9322" i="7"/>
  <c r="M9323" i="7"/>
  <c r="M9324" i="7"/>
  <c r="M9325" i="7"/>
  <c r="M9326" i="7"/>
  <c r="M9327" i="7"/>
  <c r="M9328" i="7"/>
  <c r="M9329" i="7"/>
  <c r="M9330" i="7"/>
  <c r="M9331" i="7"/>
  <c r="M9332" i="7"/>
  <c r="M9333" i="7"/>
  <c r="M9334" i="7"/>
  <c r="M9335" i="7"/>
  <c r="M9336" i="7"/>
  <c r="M9337" i="7"/>
  <c r="M9338" i="7"/>
  <c r="M9339" i="7"/>
  <c r="M9340" i="7"/>
  <c r="M9341" i="7"/>
  <c r="M9342" i="7"/>
  <c r="M9343" i="7"/>
  <c r="M9344" i="7"/>
  <c r="M9345" i="7"/>
  <c r="M9346" i="7"/>
  <c r="M9347" i="7"/>
  <c r="M9348" i="7"/>
  <c r="M9349" i="7"/>
  <c r="M9350" i="7"/>
  <c r="M9351" i="7"/>
  <c r="M9352" i="7"/>
  <c r="M9353" i="7"/>
  <c r="M9354" i="7"/>
  <c r="M9355" i="7"/>
  <c r="M9356" i="7"/>
  <c r="M9357" i="7"/>
  <c r="M9358" i="7"/>
  <c r="M9359" i="7"/>
  <c r="M9360" i="7"/>
  <c r="M9361" i="7"/>
  <c r="M9362" i="7"/>
  <c r="M9363" i="7"/>
  <c r="M9364" i="7"/>
  <c r="M9365" i="7"/>
  <c r="M9366" i="7"/>
  <c r="M9367" i="7"/>
  <c r="M9368" i="7"/>
  <c r="M9369" i="7"/>
  <c r="M9370" i="7"/>
  <c r="M9371" i="7"/>
  <c r="M9372" i="7"/>
  <c r="M9373" i="7"/>
  <c r="M9374" i="7"/>
  <c r="M9375" i="7"/>
  <c r="M9376" i="7"/>
  <c r="M9377" i="7"/>
  <c r="M9378" i="7"/>
  <c r="M9379" i="7"/>
  <c r="M9380" i="7"/>
  <c r="M9381" i="7"/>
  <c r="M9382" i="7"/>
  <c r="M9383" i="7"/>
  <c r="M9384" i="7"/>
  <c r="M9385" i="7"/>
  <c r="M9386" i="7"/>
  <c r="M9387" i="7"/>
  <c r="M9388" i="7"/>
  <c r="M9389" i="7"/>
  <c r="M9390" i="7"/>
  <c r="M9391" i="7"/>
  <c r="M9392" i="7"/>
  <c r="M9393" i="7"/>
  <c r="M9394" i="7"/>
  <c r="M9395" i="7"/>
  <c r="M9396" i="7"/>
  <c r="M9397" i="7"/>
  <c r="M9398" i="7"/>
  <c r="M9399" i="7"/>
  <c r="M9400" i="7"/>
  <c r="M9401" i="7"/>
  <c r="M9402" i="7"/>
  <c r="M9403" i="7"/>
  <c r="M9404" i="7"/>
  <c r="M9405" i="7"/>
  <c r="M9406" i="7"/>
  <c r="M9407" i="7"/>
  <c r="M9408" i="7"/>
  <c r="M9409" i="7"/>
  <c r="M9410" i="7"/>
  <c r="M9411" i="7"/>
  <c r="M9412" i="7"/>
  <c r="M9413" i="7"/>
  <c r="M9414" i="7"/>
  <c r="M9415" i="7"/>
  <c r="M9416" i="7"/>
  <c r="M9417" i="7"/>
  <c r="M9418" i="7"/>
  <c r="M9419" i="7"/>
  <c r="M9420" i="7"/>
  <c r="M9421" i="7"/>
  <c r="M9422" i="7"/>
  <c r="M9423" i="7"/>
  <c r="M9424" i="7"/>
  <c r="M9425" i="7"/>
  <c r="M9426" i="7"/>
  <c r="M9427" i="7"/>
  <c r="M9428" i="7"/>
  <c r="M9429" i="7"/>
  <c r="M9430" i="7"/>
  <c r="M9431" i="7"/>
  <c r="M9432" i="7"/>
  <c r="M9433" i="7"/>
  <c r="M9434" i="7"/>
  <c r="M9435" i="7"/>
  <c r="M9436" i="7"/>
  <c r="M9437" i="7"/>
  <c r="M9438" i="7"/>
  <c r="M9439" i="7"/>
  <c r="M9440" i="7"/>
  <c r="M9441" i="7"/>
  <c r="M9442" i="7"/>
  <c r="M9443" i="7"/>
  <c r="M9444" i="7"/>
  <c r="M9445" i="7"/>
  <c r="M9446" i="7"/>
  <c r="M9447" i="7"/>
  <c r="M9448" i="7"/>
  <c r="M9449" i="7"/>
  <c r="M9450" i="7"/>
  <c r="M9451" i="7"/>
  <c r="M9452" i="7"/>
  <c r="M9453" i="7"/>
  <c r="M9454" i="7"/>
  <c r="M9455" i="7"/>
  <c r="M9456" i="7"/>
  <c r="M9457" i="7"/>
  <c r="M9458" i="7"/>
  <c r="M9459" i="7"/>
  <c r="M9460" i="7"/>
  <c r="M9461" i="7"/>
  <c r="M9462" i="7"/>
  <c r="M9463" i="7"/>
  <c r="M9464" i="7"/>
  <c r="M9465" i="7"/>
  <c r="M207" i="5"/>
  <c r="M13" i="5"/>
  <c r="M48" i="5"/>
  <c r="M184" i="5"/>
  <c r="M22" i="5"/>
  <c r="M145" i="5"/>
  <c r="M162" i="5"/>
  <c r="M141" i="5"/>
  <c r="M74" i="5"/>
  <c r="M45" i="5"/>
  <c r="M172" i="5"/>
  <c r="M260" i="5"/>
  <c r="M163" i="5"/>
  <c r="M196" i="5"/>
  <c r="M49" i="5"/>
  <c r="M174" i="5"/>
  <c r="M12" i="5"/>
  <c r="M68" i="5"/>
  <c r="M107" i="5"/>
  <c r="M115" i="5"/>
  <c r="M226" i="5"/>
  <c r="M85" i="5"/>
  <c r="M219" i="5"/>
  <c r="M241" i="5"/>
  <c r="M58" i="5"/>
  <c r="M61" i="5"/>
  <c r="M179" i="5"/>
  <c r="M138" i="5"/>
  <c r="M213" i="5"/>
  <c r="M4" i="5"/>
  <c r="M76" i="5"/>
  <c r="M201" i="5"/>
  <c r="M217" i="5"/>
  <c r="M2" i="5"/>
  <c r="M35" i="5"/>
  <c r="M120" i="5"/>
  <c r="M153" i="5"/>
  <c r="M34" i="5"/>
  <c r="M53" i="5"/>
  <c r="M232" i="5"/>
  <c r="M47" i="5"/>
  <c r="M214" i="5"/>
  <c r="M18" i="5"/>
  <c r="M37" i="5"/>
  <c r="M42" i="5"/>
  <c r="M25" i="5"/>
  <c r="M171" i="5"/>
  <c r="M173" i="5"/>
  <c r="M185" i="5"/>
  <c r="M50" i="5"/>
  <c r="M88" i="5"/>
  <c r="M135" i="5"/>
  <c r="M231" i="5"/>
  <c r="M118" i="5"/>
  <c r="M82" i="5"/>
  <c r="M175" i="5"/>
  <c r="M121" i="5"/>
  <c r="M128" i="5"/>
  <c r="M143" i="5"/>
  <c r="M146" i="5"/>
  <c r="M215" i="5"/>
  <c r="M211" i="5"/>
  <c r="M181" i="5"/>
  <c r="M57" i="5"/>
  <c r="M106" i="5"/>
  <c r="M144" i="5"/>
  <c r="M5" i="5"/>
  <c r="M109" i="5"/>
  <c r="M270" i="5"/>
  <c r="M99" i="5"/>
  <c r="M8" i="5"/>
  <c r="M98" i="5"/>
  <c r="M94" i="5"/>
  <c r="M182" i="5"/>
  <c r="M150" i="5"/>
  <c r="M28" i="5"/>
  <c r="M133" i="5"/>
  <c r="M64" i="5"/>
  <c r="M168" i="5"/>
  <c r="M39" i="5"/>
  <c r="O5837" i="7"/>
  <c r="O5846" i="7"/>
  <c r="O5847" i="7"/>
  <c r="O5848" i="7"/>
  <c r="O5805" i="7"/>
  <c r="O5806" i="7"/>
  <c r="O5807" i="7"/>
  <c r="O5808" i="7"/>
  <c r="O5809" i="7"/>
  <c r="O5810" i="7"/>
  <c r="O5811" i="7"/>
  <c r="O5812" i="7"/>
  <c r="O5813" i="7"/>
  <c r="O5814" i="7"/>
  <c r="O5815" i="7"/>
  <c r="O5816" i="7"/>
  <c r="O5817" i="7"/>
  <c r="O5818" i="7"/>
  <c r="O5819" i="7"/>
  <c r="O5820" i="7"/>
  <c r="O5821" i="7"/>
  <c r="O5822" i="7"/>
  <c r="O5823" i="7"/>
  <c r="O5824" i="7"/>
  <c r="O5825" i="7"/>
  <c r="O5826" i="7"/>
  <c r="O5827" i="7"/>
  <c r="O5828" i="7"/>
  <c r="O5829" i="7"/>
  <c r="O5830" i="7"/>
  <c r="O5831" i="7"/>
  <c r="O5832" i="7"/>
  <c r="O5833" i="7"/>
  <c r="O5834" i="7"/>
  <c r="O5835" i="7"/>
  <c r="O5836" i="7"/>
  <c r="O5838" i="7"/>
  <c r="O5839" i="7"/>
  <c r="O5840" i="7"/>
  <c r="O5841" i="7"/>
  <c r="O5842" i="7"/>
  <c r="O5843" i="7"/>
  <c r="O5844" i="7"/>
  <c r="O5845" i="7"/>
  <c r="O5867" i="7"/>
  <c r="O5868" i="7"/>
  <c r="O5869" i="7"/>
  <c r="O5870" i="7"/>
  <c r="O5850" i="7"/>
  <c r="O5851" i="7"/>
  <c r="O5852" i="7"/>
  <c r="O5853" i="7"/>
  <c r="O5854" i="7"/>
  <c r="O5855" i="7"/>
  <c r="O5856" i="7"/>
  <c r="O5857" i="7"/>
  <c r="O5858" i="7"/>
  <c r="O5859" i="7"/>
  <c r="O5860" i="7"/>
  <c r="O5861" i="7"/>
  <c r="O5862" i="7"/>
  <c r="O5863" i="7"/>
  <c r="O5864" i="7"/>
  <c r="O5865" i="7"/>
  <c r="O5866" i="7"/>
  <c r="O5874" i="7"/>
  <c r="O5890" i="7"/>
  <c r="O5891" i="7"/>
  <c r="O5886" i="7"/>
  <c r="O5871" i="7"/>
  <c r="O5872" i="7"/>
  <c r="O5873" i="7"/>
  <c r="O5881" i="7"/>
  <c r="O5875" i="7"/>
  <c r="O5876" i="7"/>
  <c r="O5877" i="7"/>
  <c r="O5878" i="7"/>
  <c r="O5879" i="7"/>
  <c r="O5880" i="7"/>
  <c r="O5892" i="7"/>
  <c r="O5882" i="7"/>
  <c r="O5883" i="7"/>
  <c r="O5884" i="7"/>
  <c r="O5885" i="7"/>
  <c r="O5893" i="7"/>
  <c r="O5887" i="7"/>
  <c r="O5888" i="7"/>
  <c r="O5889" i="7"/>
  <c r="O5908" i="7"/>
  <c r="O5909" i="7"/>
  <c r="O5910" i="7"/>
  <c r="O5911" i="7"/>
  <c r="O5894" i="7"/>
  <c r="O5895" i="7"/>
  <c r="O5896" i="7"/>
  <c r="O5897" i="7"/>
  <c r="O5898" i="7"/>
  <c r="O5899" i="7"/>
  <c r="O5900" i="7"/>
  <c r="O5901" i="7"/>
  <c r="O5902" i="7"/>
  <c r="O5903" i="7"/>
  <c r="O5904" i="7"/>
  <c r="O5905" i="7"/>
  <c r="O5906" i="7"/>
  <c r="O5907" i="7"/>
  <c r="O5912" i="7"/>
  <c r="O5913" i="7"/>
  <c r="O5915" i="7"/>
  <c r="O5916" i="7"/>
  <c r="O5926" i="7"/>
  <c r="O5925" i="7"/>
  <c r="O5917" i="7"/>
  <c r="O5918" i="7"/>
  <c r="O5919" i="7"/>
  <c r="O5920" i="7"/>
  <c r="O5921" i="7"/>
  <c r="O5922" i="7"/>
  <c r="O5923" i="7"/>
  <c r="O5924" i="7"/>
  <c r="O5927" i="7"/>
  <c r="O5928" i="7"/>
  <c r="O5953" i="7"/>
  <c r="O5954" i="7"/>
  <c r="O5955" i="7"/>
  <c r="O5956" i="7"/>
  <c r="O5929" i="7"/>
  <c r="O5930" i="7"/>
  <c r="O5931" i="7"/>
  <c r="O5932" i="7"/>
  <c r="O5933" i="7"/>
  <c r="O5934" i="7"/>
  <c r="O5935" i="7"/>
  <c r="O5936" i="7"/>
  <c r="O5937" i="7"/>
  <c r="O5938" i="7"/>
  <c r="O5939" i="7"/>
  <c r="O5940" i="7"/>
  <c r="O5941" i="7"/>
  <c r="O5942" i="7"/>
  <c r="O5943" i="7"/>
  <c r="O5944" i="7"/>
  <c r="O5945" i="7"/>
  <c r="O5946" i="7"/>
  <c r="O5947" i="7"/>
  <c r="O5948" i="7"/>
  <c r="O5949" i="7"/>
  <c r="O5950" i="7"/>
  <c r="O5951" i="7"/>
  <c r="O5952" i="7"/>
  <c r="O5970" i="7"/>
  <c r="O5977" i="7"/>
  <c r="O5978" i="7"/>
  <c r="O5971" i="7"/>
  <c r="O5957" i="7"/>
  <c r="O5958" i="7"/>
  <c r="O5959" i="7"/>
  <c r="O5960" i="7"/>
  <c r="O5961" i="7"/>
  <c r="O5962" i="7"/>
  <c r="O5963" i="7"/>
  <c r="O5964" i="7"/>
  <c r="O5965" i="7"/>
  <c r="O5966" i="7"/>
  <c r="O5967" i="7"/>
  <c r="O5968" i="7"/>
  <c r="O5969" i="7"/>
  <c r="O5979" i="7"/>
  <c r="O5980" i="7"/>
  <c r="O5972" i="7"/>
  <c r="O5973" i="7"/>
  <c r="O5974" i="7"/>
  <c r="O5975" i="7"/>
  <c r="O5976" i="7"/>
  <c r="O5984" i="7"/>
  <c r="O5982" i="7"/>
  <c r="O5983" i="7"/>
  <c r="O5987" i="7"/>
  <c r="O5985" i="7"/>
  <c r="O5986" i="7"/>
  <c r="O5988" i="7"/>
  <c r="O5989" i="7"/>
  <c r="O5990" i="7"/>
  <c r="O5991" i="7"/>
  <c r="O5992" i="7"/>
  <c r="O5993" i="7"/>
  <c r="O5994" i="7"/>
  <c r="O5995" i="7"/>
  <c r="O5996" i="7"/>
  <c r="O5997" i="7"/>
  <c r="O5998" i="7"/>
  <c r="O5999" i="7"/>
  <c r="O6000" i="7"/>
  <c r="O6001" i="7"/>
  <c r="O6002" i="7"/>
  <c r="O6003" i="7"/>
  <c r="O6004" i="7"/>
  <c r="O6006" i="7"/>
  <c r="O6007" i="7"/>
  <c r="O6008" i="7"/>
  <c r="O6053" i="7"/>
  <c r="O6054" i="7"/>
  <c r="O6055" i="7"/>
  <c r="O6056" i="7"/>
  <c r="O6010" i="7"/>
  <c r="O6011" i="7"/>
  <c r="O6012" i="7"/>
  <c r="O6013" i="7"/>
  <c r="O6014" i="7"/>
  <c r="O6015" i="7"/>
  <c r="O6016" i="7"/>
  <c r="O6017" i="7"/>
  <c r="O6018" i="7"/>
  <c r="O6019" i="7"/>
  <c r="O6020" i="7"/>
  <c r="O6021" i="7"/>
  <c r="O6022" i="7"/>
  <c r="O6023" i="7"/>
  <c r="O6024" i="7"/>
  <c r="O6025" i="7"/>
  <c r="O6026" i="7"/>
  <c r="O6027" i="7"/>
  <c r="O6028" i="7"/>
  <c r="O6029" i="7"/>
  <c r="O6030" i="7"/>
  <c r="O6031" i="7"/>
  <c r="O6032" i="7"/>
  <c r="O6033" i="7"/>
  <c r="O6034" i="7"/>
  <c r="O6035" i="7"/>
  <c r="O6036" i="7"/>
  <c r="O6037" i="7"/>
  <c r="O6038" i="7"/>
  <c r="O6039" i="7"/>
  <c r="O6040" i="7"/>
  <c r="O6041" i="7"/>
  <c r="O6042" i="7"/>
  <c r="O6043" i="7"/>
  <c r="O6044" i="7"/>
  <c r="O6045" i="7"/>
  <c r="O6046" i="7"/>
  <c r="O6047" i="7"/>
  <c r="O6048" i="7"/>
  <c r="O6049" i="7"/>
  <c r="O6050" i="7"/>
  <c r="O6051" i="7"/>
  <c r="O6052" i="7"/>
  <c r="O8847" i="7"/>
  <c r="O8871" i="7"/>
  <c r="O8872" i="7"/>
  <c r="O8873" i="7"/>
  <c r="O8846" i="7"/>
  <c r="O8852" i="7"/>
  <c r="O8848" i="7"/>
  <c r="O8849" i="7"/>
  <c r="O8850" i="7"/>
  <c r="O8851" i="7"/>
  <c r="O8874" i="7"/>
  <c r="O8853" i="7"/>
  <c r="O8854" i="7"/>
  <c r="O8855" i="7"/>
  <c r="O8856" i="7"/>
  <c r="O8857" i="7"/>
  <c r="O8858" i="7"/>
  <c r="O8859" i="7"/>
  <c r="O8860" i="7"/>
  <c r="O8861" i="7"/>
  <c r="O8862" i="7"/>
  <c r="O8863" i="7"/>
  <c r="O8864" i="7"/>
  <c r="O8865" i="7"/>
  <c r="O8866" i="7"/>
  <c r="O8867" i="7"/>
  <c r="O8868" i="7"/>
  <c r="O8869" i="7"/>
  <c r="O8870" i="7"/>
  <c r="O8887" i="7"/>
  <c r="O8888" i="7"/>
  <c r="O8885" i="7"/>
  <c r="O8886" i="7"/>
  <c r="O8876" i="7"/>
  <c r="O8877" i="7"/>
  <c r="O8878" i="7"/>
  <c r="O8879" i="7"/>
  <c r="O8880" i="7"/>
  <c r="O8881" i="7"/>
  <c r="O8882" i="7"/>
  <c r="O8883" i="7"/>
  <c r="O8884" i="7"/>
  <c r="O9001" i="7"/>
  <c r="O9002" i="7"/>
  <c r="O9003" i="7"/>
  <c r="O8956" i="7"/>
  <c r="O8889" i="7"/>
  <c r="O8890" i="7"/>
  <c r="O8891" i="7"/>
  <c r="O8892" i="7"/>
  <c r="O8893" i="7"/>
  <c r="O8894" i="7"/>
  <c r="O8895" i="7"/>
  <c r="O8896" i="7"/>
  <c r="O8897" i="7"/>
  <c r="O8898" i="7"/>
  <c r="O8899" i="7"/>
  <c r="O8900" i="7"/>
  <c r="O8901" i="7"/>
  <c r="O8902" i="7"/>
  <c r="O8903" i="7"/>
  <c r="O8904" i="7"/>
  <c r="O8905" i="7"/>
  <c r="O8906" i="7"/>
  <c r="O8907" i="7"/>
  <c r="O8908" i="7"/>
  <c r="O8909" i="7"/>
  <c r="O8910" i="7"/>
  <c r="O8911" i="7"/>
  <c r="O8912" i="7"/>
  <c r="O8913" i="7"/>
  <c r="O8914" i="7"/>
  <c r="O8915" i="7"/>
  <c r="O8916" i="7"/>
  <c r="O8917" i="7"/>
  <c r="O8918" i="7"/>
  <c r="O158" i="5" s="1"/>
  <c r="P158" i="5" s="1"/>
  <c r="O8919" i="7"/>
  <c r="O8920" i="7"/>
  <c r="O8921" i="7"/>
  <c r="O8922" i="7"/>
  <c r="O8923" i="7"/>
  <c r="O8924" i="7"/>
  <c r="O8925" i="7"/>
  <c r="O8926" i="7"/>
  <c r="O8927" i="7"/>
  <c r="O8928" i="7"/>
  <c r="O8929" i="7"/>
  <c r="O8930" i="7"/>
  <c r="O8931" i="7"/>
  <c r="O8932" i="7"/>
  <c r="O8933" i="7"/>
  <c r="O8934" i="7"/>
  <c r="O8935" i="7"/>
  <c r="O8936" i="7"/>
  <c r="O8937" i="7"/>
  <c r="O8938" i="7"/>
  <c r="O8939" i="7"/>
  <c r="O8940" i="7"/>
  <c r="O8941" i="7"/>
  <c r="O8942" i="7"/>
  <c r="O8943" i="7"/>
  <c r="O8944" i="7"/>
  <c r="O8945" i="7"/>
  <c r="O8946" i="7"/>
  <c r="O8947" i="7"/>
  <c r="O8948" i="7"/>
  <c r="O8949" i="7"/>
  <c r="O8950" i="7"/>
  <c r="O8951" i="7"/>
  <c r="O8952" i="7"/>
  <c r="O8953" i="7"/>
  <c r="O8954" i="7"/>
  <c r="O8955" i="7"/>
  <c r="O8957" i="7"/>
  <c r="O8958" i="7"/>
  <c r="O8959" i="7"/>
  <c r="O8960" i="7"/>
  <c r="O8961" i="7"/>
  <c r="O8962" i="7"/>
  <c r="O8963" i="7"/>
  <c r="O8964" i="7"/>
  <c r="O8965" i="7"/>
  <c r="O8966" i="7"/>
  <c r="O8967" i="7"/>
  <c r="O8968" i="7"/>
  <c r="O8969" i="7"/>
  <c r="O8970" i="7"/>
  <c r="O8971" i="7"/>
  <c r="O8972" i="7"/>
  <c r="O8973" i="7"/>
  <c r="O8974" i="7"/>
  <c r="O8975" i="7"/>
  <c r="O8976" i="7"/>
  <c r="O8977" i="7"/>
  <c r="O8978" i="7"/>
  <c r="O8979" i="7"/>
  <c r="O8980" i="7"/>
  <c r="O8981" i="7"/>
  <c r="O8982" i="7"/>
  <c r="O8983" i="7"/>
  <c r="O8984" i="7"/>
  <c r="O8985" i="7"/>
  <c r="O8986" i="7"/>
  <c r="O8987" i="7"/>
  <c r="O8988" i="7"/>
  <c r="O8989" i="7"/>
  <c r="O8990" i="7"/>
  <c r="O8991" i="7"/>
  <c r="O8992" i="7"/>
  <c r="O8993" i="7"/>
  <c r="O8994" i="7"/>
  <c r="O8995" i="7"/>
  <c r="O8996" i="7"/>
  <c r="O8997" i="7"/>
  <c r="O8998" i="7"/>
  <c r="O8999" i="7"/>
  <c r="O9000" i="7"/>
  <c r="O9005" i="7"/>
  <c r="O9006" i="7"/>
  <c r="O9007" i="7"/>
  <c r="O9008" i="7"/>
  <c r="O9009" i="7"/>
  <c r="O9010" i="7"/>
  <c r="O9011" i="7"/>
  <c r="O9034" i="7"/>
  <c r="O9031" i="7"/>
  <c r="O258" i="5" s="1"/>
  <c r="P258" i="5" s="1"/>
  <c r="O9032" i="7"/>
  <c r="O9033" i="7"/>
  <c r="O9012" i="7"/>
  <c r="O9013" i="7"/>
  <c r="O9014" i="7"/>
  <c r="O9015" i="7"/>
  <c r="O9016" i="7"/>
  <c r="O9017" i="7"/>
  <c r="O9018" i="7"/>
  <c r="O9019" i="7"/>
  <c r="O9020" i="7"/>
  <c r="O9021" i="7"/>
  <c r="O9022" i="7"/>
  <c r="O9023" i="7"/>
  <c r="O9024" i="7"/>
  <c r="O9025" i="7"/>
  <c r="O9026" i="7"/>
  <c r="O9027" i="7"/>
  <c r="O9028" i="7"/>
  <c r="O9029" i="7"/>
  <c r="O9030" i="7"/>
  <c r="O9071" i="7"/>
  <c r="O9072" i="7"/>
  <c r="O9073" i="7"/>
  <c r="O9068" i="7"/>
  <c r="O9035" i="7"/>
  <c r="O9036" i="7"/>
  <c r="O9037" i="7"/>
  <c r="O9038" i="7"/>
  <c r="O9039" i="7"/>
  <c r="O9040" i="7"/>
  <c r="O9041" i="7"/>
  <c r="O9042" i="7"/>
  <c r="O9043" i="7"/>
  <c r="O9044" i="7"/>
  <c r="O9045" i="7"/>
  <c r="O9046" i="7"/>
  <c r="O9047" i="7"/>
  <c r="O9048" i="7"/>
  <c r="O9049" i="7"/>
  <c r="O9050" i="7"/>
  <c r="O9051" i="7"/>
  <c r="O9052" i="7"/>
  <c r="O9053" i="7"/>
  <c r="O9054" i="7"/>
  <c r="O9055" i="7"/>
  <c r="O9056" i="7"/>
  <c r="O9057" i="7"/>
  <c r="O9058" i="7"/>
  <c r="O9059" i="7"/>
  <c r="O9060" i="7"/>
  <c r="O9061" i="7"/>
  <c r="O9062" i="7"/>
  <c r="O9063" i="7"/>
  <c r="O9064" i="7"/>
  <c r="O9065" i="7"/>
  <c r="O9066" i="7"/>
  <c r="O9067" i="7"/>
  <c r="O9069" i="7"/>
  <c r="O9070" i="7"/>
  <c r="O9076" i="7"/>
  <c r="O9090" i="7"/>
  <c r="O9091" i="7"/>
  <c r="O9092" i="7"/>
  <c r="O9074" i="7"/>
  <c r="O9075" i="7"/>
  <c r="O9082" i="7"/>
  <c r="O9077" i="7"/>
  <c r="O9078" i="7"/>
  <c r="O9079" i="7"/>
  <c r="O9080" i="7"/>
  <c r="O9081" i="7"/>
  <c r="O9083" i="7"/>
  <c r="O9084" i="7"/>
  <c r="O9085" i="7"/>
  <c r="O9086" i="7"/>
  <c r="O9087" i="7"/>
  <c r="O9088" i="7"/>
  <c r="O9089" i="7"/>
  <c r="O9094" i="7"/>
  <c r="O9095" i="7"/>
  <c r="O9096" i="7"/>
  <c r="O9097" i="7"/>
  <c r="O9098" i="7"/>
  <c r="O9099" i="7"/>
  <c r="O9101" i="7"/>
  <c r="O9102" i="7"/>
  <c r="O9103" i="7"/>
  <c r="O9104" i="7"/>
  <c r="O9105" i="7"/>
  <c r="O9106" i="7"/>
  <c r="O9108" i="7"/>
  <c r="O9109" i="7"/>
  <c r="O9110" i="7"/>
  <c r="O9112" i="7"/>
  <c r="O9113" i="7"/>
  <c r="O9114" i="7"/>
  <c r="O9115" i="7"/>
  <c r="O9119" i="7"/>
  <c r="O9120" i="7"/>
  <c r="O9118" i="7"/>
  <c r="O9116" i="7"/>
  <c r="O9117" i="7"/>
  <c r="O9198" i="7"/>
  <c r="O9199" i="7"/>
  <c r="O9200" i="7"/>
  <c r="O9201" i="7"/>
  <c r="O9122" i="7"/>
  <c r="O9123" i="7"/>
  <c r="O9124" i="7"/>
  <c r="O9125" i="7"/>
  <c r="O9126" i="7"/>
  <c r="O9127" i="7"/>
  <c r="O9128" i="7"/>
  <c r="O9129" i="7"/>
  <c r="O9130" i="7"/>
  <c r="O9131" i="7"/>
  <c r="O9132" i="7"/>
  <c r="O9133" i="7"/>
  <c r="O9134" i="7"/>
  <c r="O9135" i="7"/>
  <c r="O9136" i="7"/>
  <c r="O9137" i="7"/>
  <c r="O9138" i="7"/>
  <c r="O9139" i="7"/>
  <c r="O9140" i="7"/>
  <c r="O9141" i="7"/>
  <c r="O9142" i="7"/>
  <c r="O9143" i="7"/>
  <c r="O9144" i="7"/>
  <c r="O9145" i="7"/>
  <c r="O9146" i="7"/>
  <c r="O9147" i="7"/>
  <c r="O9148" i="7"/>
  <c r="O9149" i="7"/>
  <c r="O9150" i="7"/>
  <c r="O9151" i="7"/>
  <c r="O9152" i="7"/>
  <c r="O9153" i="7"/>
  <c r="O9154" i="7"/>
  <c r="O9155" i="7"/>
  <c r="O9156" i="7"/>
  <c r="O9157" i="7"/>
  <c r="O9158" i="7"/>
  <c r="O9159" i="7"/>
  <c r="O9160" i="7"/>
  <c r="O9161" i="7"/>
  <c r="O9162" i="7"/>
  <c r="O9163" i="7"/>
  <c r="O9164" i="7"/>
  <c r="O9165" i="7"/>
  <c r="O9166" i="7"/>
  <c r="O9167" i="7"/>
  <c r="O9168" i="7"/>
  <c r="O9169" i="7"/>
  <c r="O9170" i="7"/>
  <c r="O9171" i="7"/>
  <c r="O9172" i="7"/>
  <c r="O9173" i="7"/>
  <c r="O9174" i="7"/>
  <c r="O9175" i="7"/>
  <c r="O9176" i="7"/>
  <c r="O9177" i="7"/>
  <c r="O9178" i="7"/>
  <c r="O9179" i="7"/>
  <c r="O9180" i="7"/>
  <c r="O9181" i="7"/>
  <c r="O9182" i="7"/>
  <c r="O9183" i="7"/>
  <c r="O9184" i="7"/>
  <c r="O9185" i="7"/>
  <c r="O9186" i="7"/>
  <c r="O9187" i="7"/>
  <c r="O9188" i="7"/>
  <c r="O9189" i="7"/>
  <c r="O9190" i="7"/>
  <c r="O9191" i="7"/>
  <c r="O9192" i="7"/>
  <c r="O9193" i="7"/>
  <c r="O9194" i="7"/>
  <c r="O9195" i="7"/>
  <c r="O9196" i="7"/>
  <c r="O9197" i="7"/>
  <c r="O9206" i="7"/>
  <c r="O9202" i="7"/>
  <c r="O9203" i="7"/>
  <c r="O9204" i="7"/>
  <c r="O9205" i="7"/>
  <c r="O9211" i="7"/>
  <c r="O9212" i="7"/>
  <c r="O9213" i="7"/>
  <c r="O9214" i="7"/>
  <c r="O9210" i="7"/>
  <c r="O9216" i="7"/>
  <c r="O9215" i="7"/>
  <c r="O9217" i="7"/>
  <c r="O9218" i="7"/>
  <c r="O9231" i="7"/>
  <c r="O9232" i="7"/>
  <c r="O9233" i="7"/>
  <c r="O9234" i="7"/>
  <c r="O9220" i="7"/>
  <c r="O9221" i="7"/>
  <c r="O9222" i="7"/>
  <c r="O9223" i="7"/>
  <c r="O9224" i="7"/>
  <c r="O9225" i="7"/>
  <c r="O9226" i="7"/>
  <c r="O9227" i="7"/>
  <c r="O9228" i="7"/>
  <c r="O9229" i="7"/>
  <c r="O9230" i="7"/>
  <c r="O9237" i="7"/>
  <c r="O9238" i="7"/>
  <c r="O9239" i="7"/>
  <c r="O9240" i="7"/>
  <c r="O9235" i="7"/>
  <c r="O9236" i="7"/>
  <c r="O9242" i="7"/>
  <c r="O9243" i="7"/>
  <c r="O9244" i="7"/>
  <c r="O9245" i="7"/>
  <c r="O9246" i="7"/>
  <c r="O9247" i="7"/>
  <c r="O9248" i="7"/>
  <c r="O9249" i="7"/>
  <c r="O9250" i="7"/>
  <c r="O9254" i="7"/>
  <c r="O9251" i="7"/>
  <c r="O9252" i="7"/>
  <c r="O9253" i="7"/>
  <c r="O9258" i="7"/>
  <c r="O9259" i="7"/>
  <c r="O9260" i="7"/>
  <c r="O9261" i="7"/>
  <c r="O9262" i="7"/>
  <c r="O9263" i="7"/>
  <c r="O9264" i="7"/>
  <c r="O9265" i="7"/>
  <c r="O9266" i="7"/>
  <c r="O9267" i="7"/>
  <c r="O9268" i="7"/>
  <c r="O9269" i="7"/>
  <c r="O9270" i="7"/>
  <c r="O9277" i="7"/>
  <c r="O9278" i="7"/>
  <c r="O9279" i="7"/>
  <c r="O9280" i="7"/>
  <c r="O9271" i="7"/>
  <c r="O9272" i="7"/>
  <c r="O9273" i="7"/>
  <c r="O9274" i="7"/>
  <c r="O9275" i="7"/>
  <c r="O9276" i="7"/>
  <c r="O9381" i="7"/>
  <c r="O9382" i="7"/>
  <c r="O9383" i="7"/>
  <c r="O9384" i="7"/>
  <c r="O9281" i="7"/>
  <c r="O9282" i="7"/>
  <c r="O9283" i="7"/>
  <c r="O9284" i="7"/>
  <c r="O9285" i="7"/>
  <c r="O9286" i="7"/>
  <c r="O9287" i="7"/>
  <c r="O9288" i="7"/>
  <c r="O9289" i="7"/>
  <c r="O9290" i="7"/>
  <c r="O9291" i="7"/>
  <c r="O9292" i="7"/>
  <c r="O9293" i="7"/>
  <c r="O9294" i="7"/>
  <c r="O9295" i="7"/>
  <c r="O9296" i="7"/>
  <c r="O9297" i="7"/>
  <c r="O9298" i="7"/>
  <c r="O9299" i="7"/>
  <c r="O9300" i="7"/>
  <c r="O9301" i="7"/>
  <c r="O9302" i="7"/>
  <c r="O9303" i="7"/>
  <c r="O9304" i="7"/>
  <c r="O9305" i="7"/>
  <c r="O9306" i="7"/>
  <c r="O9307" i="7"/>
  <c r="O9308" i="7"/>
  <c r="O9309" i="7"/>
  <c r="O9310" i="7"/>
  <c r="O9311" i="7"/>
  <c r="O9312" i="7"/>
  <c r="O9313" i="7"/>
  <c r="O9314" i="7"/>
  <c r="O9315" i="7"/>
  <c r="O9316" i="7"/>
  <c r="O9317" i="7"/>
  <c r="O9318" i="7"/>
  <c r="O9319" i="7"/>
  <c r="O9320" i="7"/>
  <c r="O9321" i="7"/>
  <c r="O9322" i="7"/>
  <c r="O9323" i="7"/>
  <c r="O9324" i="7"/>
  <c r="O9325" i="7"/>
  <c r="O9326" i="7"/>
  <c r="O9327" i="7"/>
  <c r="O9328" i="7"/>
  <c r="O9329" i="7"/>
  <c r="O9330" i="7"/>
  <c r="O9331" i="7"/>
  <c r="O9332" i="7"/>
  <c r="O9333" i="7"/>
  <c r="O9334" i="7"/>
  <c r="O9335" i="7"/>
  <c r="O9336" i="7"/>
  <c r="O9337" i="7"/>
  <c r="O9338" i="7"/>
  <c r="O9339" i="7"/>
  <c r="O9340" i="7"/>
  <c r="O9341" i="7"/>
  <c r="O9342" i="7"/>
  <c r="O9343" i="7"/>
  <c r="O9344" i="7"/>
  <c r="O9345" i="7"/>
  <c r="O9346" i="7"/>
  <c r="O9347" i="7"/>
  <c r="O9348" i="7"/>
  <c r="O9349" i="7"/>
  <c r="O9350" i="7"/>
  <c r="O9351" i="7"/>
  <c r="O9352" i="7"/>
  <c r="O9353" i="7"/>
  <c r="O9354" i="7"/>
  <c r="O9355" i="7"/>
  <c r="O9356" i="7"/>
  <c r="O9357" i="7"/>
  <c r="O9358" i="7"/>
  <c r="O9359" i="7"/>
  <c r="O9360" i="7"/>
  <c r="O9361" i="7"/>
  <c r="O9362" i="7"/>
  <c r="O9363" i="7"/>
  <c r="O9364" i="7"/>
  <c r="O9365" i="7"/>
  <c r="O9366" i="7"/>
  <c r="O9367" i="7"/>
  <c r="O9368" i="7"/>
  <c r="O9369" i="7"/>
  <c r="O9370" i="7"/>
  <c r="O9371" i="7"/>
  <c r="O9372" i="7"/>
  <c r="O9373" i="7"/>
  <c r="O9374" i="7"/>
  <c r="O9375" i="7"/>
  <c r="O9376" i="7"/>
  <c r="O9377" i="7"/>
  <c r="O9378" i="7"/>
  <c r="O9379" i="7"/>
  <c r="O9380" i="7"/>
  <c r="O9395" i="7"/>
  <c r="O9386" i="7"/>
  <c r="O9387" i="7"/>
  <c r="O9388" i="7"/>
  <c r="O9389" i="7"/>
  <c r="O9390" i="7"/>
  <c r="O9391" i="7"/>
  <c r="O9392" i="7"/>
  <c r="O9393" i="7"/>
  <c r="O9394" i="7"/>
  <c r="O9396" i="7"/>
  <c r="O9397" i="7"/>
  <c r="O9398" i="7"/>
  <c r="O9399" i="7"/>
  <c r="O9400" i="7"/>
  <c r="O9401" i="7"/>
  <c r="O9402" i="7"/>
  <c r="O9406" i="7"/>
  <c r="O9407" i="7"/>
  <c r="O9408" i="7"/>
  <c r="O9404" i="7"/>
  <c r="O9405" i="7"/>
  <c r="O9462" i="7"/>
  <c r="O9463" i="7"/>
  <c r="O9464" i="7"/>
  <c r="O9465" i="7"/>
  <c r="O9410" i="7"/>
  <c r="O9411" i="7"/>
  <c r="O9412" i="7"/>
  <c r="O9413" i="7"/>
  <c r="O9414" i="7"/>
  <c r="O9415" i="7"/>
  <c r="O9416" i="7"/>
  <c r="O9417" i="7"/>
  <c r="O9418" i="7"/>
  <c r="O9419" i="7"/>
  <c r="O9420" i="7"/>
  <c r="O9421" i="7"/>
  <c r="O9422" i="7"/>
  <c r="O9423" i="7"/>
  <c r="O9424" i="7"/>
  <c r="O9425" i="7"/>
  <c r="O9426" i="7"/>
  <c r="O9427" i="7"/>
  <c r="O9428" i="7"/>
  <c r="O9429" i="7"/>
  <c r="O9430" i="7"/>
  <c r="O9431" i="7"/>
  <c r="O9432" i="7"/>
  <c r="O9433" i="7"/>
  <c r="O9434" i="7"/>
  <c r="O9435" i="7"/>
  <c r="O9436" i="7"/>
  <c r="O9437" i="7"/>
  <c r="O9438" i="7"/>
  <c r="O9439" i="7"/>
  <c r="O9440" i="7"/>
  <c r="O9441" i="7"/>
  <c r="O9442" i="7"/>
  <c r="O9443" i="7"/>
  <c r="O9444" i="7"/>
  <c r="O9445" i="7"/>
  <c r="O9446" i="7"/>
  <c r="O9447" i="7"/>
  <c r="O9448" i="7"/>
  <c r="O9449" i="7"/>
  <c r="O9450" i="7"/>
  <c r="O9451" i="7"/>
  <c r="O9452" i="7"/>
  <c r="O9453" i="7"/>
  <c r="O9454" i="7"/>
  <c r="O9455" i="7"/>
  <c r="O9456" i="7"/>
  <c r="O9457" i="7"/>
  <c r="O9458" i="7"/>
  <c r="O9459" i="7"/>
  <c r="O9460" i="7"/>
  <c r="O9461" i="7"/>
  <c r="M2" i="7"/>
  <c r="N178" i="5"/>
  <c r="Q178" i="5" s="1"/>
  <c r="R178" i="5" s="1"/>
  <c r="M2" i="6"/>
  <c r="M3" i="7"/>
  <c r="N8" i="5"/>
  <c r="Q8" i="5" s="1"/>
  <c r="R8" i="5" s="1"/>
  <c r="M4" i="7"/>
  <c r="N29" i="5"/>
  <c r="Q29" i="5" s="1"/>
  <c r="R29" i="5" s="1"/>
  <c r="M5" i="7"/>
  <c r="M3" i="6"/>
  <c r="N157" i="5"/>
  <c r="Q157" i="5" s="1"/>
  <c r="R157" i="5" s="1"/>
  <c r="M6" i="7"/>
  <c r="N72" i="5"/>
  <c r="Q72" i="5" s="1"/>
  <c r="R72" i="5" s="1"/>
  <c r="N111" i="5"/>
  <c r="Q111" i="5" s="1"/>
  <c r="R111" i="5" s="1"/>
  <c r="M7" i="7"/>
  <c r="M8" i="7"/>
  <c r="N127" i="5"/>
  <c r="Q127" i="5" s="1"/>
  <c r="R127" i="5" s="1"/>
  <c r="M4" i="6"/>
  <c r="N13" i="5"/>
  <c r="Q13" i="5" s="1"/>
  <c r="R13" i="5" s="1"/>
  <c r="M9" i="7"/>
  <c r="M11" i="7"/>
  <c r="N2" i="5"/>
  <c r="M13" i="7"/>
  <c r="N173" i="5"/>
  <c r="Q173" i="5" s="1"/>
  <c r="R173" i="5" s="1"/>
  <c r="N99" i="5"/>
  <c r="Q99" i="5" s="1"/>
  <c r="R99" i="5" s="1"/>
  <c r="M14" i="7"/>
  <c r="N177" i="5"/>
  <c r="Q177" i="5" s="1"/>
  <c r="R177" i="5" s="1"/>
  <c r="M16" i="7"/>
  <c r="N12" i="5"/>
  <c r="Q12" i="5" s="1"/>
  <c r="R12" i="5" s="1"/>
  <c r="M18" i="7"/>
  <c r="N119" i="5"/>
  <c r="Q119" i="5" s="1"/>
  <c r="R119" i="5" s="1"/>
  <c r="M19" i="7"/>
  <c r="M6" i="6"/>
  <c r="N129" i="5"/>
  <c r="Q129" i="5" s="1"/>
  <c r="R129" i="5" s="1"/>
  <c r="M21" i="7"/>
  <c r="M28" i="7"/>
  <c r="N165" i="5"/>
  <c r="Q165" i="5" s="1"/>
  <c r="R165" i="5" s="1"/>
  <c r="M29" i="7"/>
  <c r="N136" i="5"/>
  <c r="Q136" i="5" s="1"/>
  <c r="R136" i="5" s="1"/>
  <c r="M30" i="7"/>
  <c r="N139" i="5"/>
  <c r="Q139" i="5" s="1"/>
  <c r="R139" i="5" s="1"/>
  <c r="M31" i="7"/>
  <c r="N154" i="5"/>
  <c r="Q154" i="5" s="1"/>
  <c r="R154" i="5" s="1"/>
  <c r="M32" i="7"/>
  <c r="N161" i="5"/>
  <c r="Q161" i="5" s="1"/>
  <c r="R161" i="5" s="1"/>
  <c r="M33" i="7"/>
  <c r="N95" i="5"/>
  <c r="Q95" i="5" s="1"/>
  <c r="R95" i="5" s="1"/>
  <c r="M34" i="7"/>
  <c r="N115" i="5"/>
  <c r="Q115" i="5" s="1"/>
  <c r="R115" i="5" s="1"/>
  <c r="N58" i="5"/>
  <c r="Q58" i="5" s="1"/>
  <c r="R58" i="5" s="1"/>
  <c r="M35" i="7"/>
  <c r="M38" i="7"/>
  <c r="N246" i="5"/>
  <c r="Q246" i="5" s="1"/>
  <c r="R246" i="5" s="1"/>
  <c r="N256" i="5"/>
  <c r="Q256" i="5" s="1"/>
  <c r="R256" i="5" s="1"/>
  <c r="M39" i="7"/>
  <c r="N138" i="5"/>
  <c r="Q138" i="5" s="1"/>
  <c r="R138" i="5" s="1"/>
  <c r="M40" i="7"/>
  <c r="N76" i="5"/>
  <c r="Q76" i="5" s="1"/>
  <c r="R76" i="5" s="1"/>
  <c r="M41" i="7"/>
  <c r="N65" i="5"/>
  <c r="Q65" i="5" s="1"/>
  <c r="R65" i="5" s="1"/>
  <c r="M42" i="7"/>
  <c r="M43" i="7"/>
  <c r="N17" i="5"/>
  <c r="Q17" i="5" s="1"/>
  <c r="R17" i="5" s="1"/>
  <c r="M44" i="7"/>
  <c r="N196" i="5"/>
  <c r="Q196" i="5" s="1"/>
  <c r="R196" i="5" s="1"/>
  <c r="N11" i="5"/>
  <c r="Q11" i="5" s="1"/>
  <c r="R11" i="5" s="1"/>
  <c r="M48" i="7"/>
  <c r="N43" i="5"/>
  <c r="Q43" i="5" s="1"/>
  <c r="R43" i="5" s="1"/>
  <c r="M49" i="7"/>
  <c r="M50" i="7"/>
  <c r="N142" i="5"/>
  <c r="Q142" i="5" s="1"/>
  <c r="R142" i="5" s="1"/>
  <c r="N105" i="5"/>
  <c r="Q105" i="5" s="1"/>
  <c r="R105" i="5" s="1"/>
  <c r="M52" i="7"/>
  <c r="M53" i="7"/>
  <c r="N143" i="5"/>
  <c r="Q143" i="5" s="1"/>
  <c r="R143" i="5" s="1"/>
  <c r="N128" i="5"/>
  <c r="Q128" i="5" s="1"/>
  <c r="R128" i="5" s="1"/>
  <c r="M55" i="7"/>
  <c r="M58" i="7"/>
  <c r="N164" i="5"/>
  <c r="Q164" i="5" s="1"/>
  <c r="R164" i="5" s="1"/>
  <c r="N100" i="5"/>
  <c r="Q100" i="5" s="1"/>
  <c r="R100" i="5" s="1"/>
  <c r="M59" i="7"/>
  <c r="N96" i="5"/>
  <c r="Q96" i="5" s="1"/>
  <c r="R96" i="5" s="1"/>
  <c r="M60" i="7"/>
  <c r="N110" i="5"/>
  <c r="Q110" i="5" s="1"/>
  <c r="R110" i="5" s="1"/>
  <c r="M62" i="7"/>
  <c r="N266" i="5"/>
  <c r="Q266" i="5" s="1"/>
  <c r="R266" i="5" s="1"/>
  <c r="M63" i="7"/>
  <c r="M64" i="7"/>
  <c r="N207" i="5"/>
  <c r="Q207" i="5" s="1"/>
  <c r="R207" i="5" s="1"/>
  <c r="M66" i="7"/>
  <c r="N109" i="5"/>
  <c r="Q109" i="5" s="1"/>
  <c r="R109" i="5" s="1"/>
  <c r="M68" i="7"/>
  <c r="N113" i="5"/>
  <c r="Q113" i="5" s="1"/>
  <c r="R113" i="5" s="1"/>
  <c r="M69" i="7"/>
  <c r="N104" i="5"/>
  <c r="Q104" i="5" s="1"/>
  <c r="R104" i="5" s="1"/>
  <c r="N112" i="5"/>
  <c r="Q112" i="5" s="1"/>
  <c r="R112" i="5" s="1"/>
  <c r="M70" i="7"/>
  <c r="M71" i="7"/>
  <c r="N116" i="5"/>
  <c r="Q116" i="5" s="1"/>
  <c r="R116" i="5" s="1"/>
  <c r="M73" i="7"/>
  <c r="N32" i="5"/>
  <c r="Q32" i="5" s="1"/>
  <c r="R32" i="5" s="1"/>
  <c r="M79" i="7"/>
  <c r="N64" i="5"/>
  <c r="Q64" i="5" s="1"/>
  <c r="R64" i="5" s="1"/>
  <c r="M83" i="7"/>
  <c r="N27" i="5"/>
  <c r="Q27" i="5" s="1"/>
  <c r="R27" i="5" s="1"/>
  <c r="N70" i="5"/>
  <c r="Q70" i="5" s="1"/>
  <c r="R70" i="5" s="1"/>
  <c r="M89" i="7"/>
  <c r="M91" i="7"/>
  <c r="N86" i="5"/>
  <c r="Q86" i="5" s="1"/>
  <c r="R86" i="5" s="1"/>
  <c r="M7" i="6"/>
  <c r="M8" i="6"/>
  <c r="M95" i="7"/>
  <c r="N188" i="5"/>
  <c r="Q188" i="5" s="1"/>
  <c r="R188" i="5" s="1"/>
  <c r="M101" i="7"/>
  <c r="M102" i="7"/>
  <c r="N183" i="5"/>
  <c r="Q183" i="5" s="1"/>
  <c r="R183" i="5" s="1"/>
  <c r="M104" i="7"/>
  <c r="N159" i="5"/>
  <c r="Q159" i="5" s="1"/>
  <c r="R159" i="5" s="1"/>
  <c r="N194" i="5"/>
  <c r="Q194" i="5" s="1"/>
  <c r="R194" i="5" s="1"/>
  <c r="M105" i="7"/>
  <c r="M124" i="7"/>
  <c r="N94" i="5"/>
  <c r="Q94" i="5" s="1"/>
  <c r="R94" i="5" s="1"/>
  <c r="M9" i="6"/>
  <c r="M10" i="6"/>
  <c r="M125" i="7"/>
  <c r="N141" i="5"/>
  <c r="Q141" i="5" s="1"/>
  <c r="R141" i="5" s="1"/>
  <c r="M11" i="6"/>
  <c r="M126" i="7"/>
  <c r="M12" i="6"/>
  <c r="M128" i="7"/>
  <c r="M129" i="7"/>
  <c r="N144" i="5"/>
  <c r="Q144" i="5" s="1"/>
  <c r="R144" i="5" s="1"/>
  <c r="M13" i="6"/>
  <c r="N52" i="5"/>
  <c r="Q52" i="5" s="1"/>
  <c r="R52" i="5" s="1"/>
  <c r="M140" i="7"/>
  <c r="N82" i="5"/>
  <c r="Q82" i="5" s="1"/>
  <c r="R82" i="5" s="1"/>
  <c r="M141" i="7"/>
  <c r="M143" i="7"/>
  <c r="N10" i="5"/>
  <c r="Q10" i="5" s="1"/>
  <c r="R10" i="5" s="1"/>
  <c r="M150" i="7"/>
  <c r="M14" i="6"/>
  <c r="M152" i="7"/>
  <c r="N232" i="5"/>
  <c r="Q232" i="5" s="1"/>
  <c r="R232" i="5" s="1"/>
  <c r="N235" i="5"/>
  <c r="Q235" i="5" s="1"/>
  <c r="R235" i="5" s="1"/>
  <c r="M154" i="7"/>
  <c r="M164" i="7"/>
  <c r="M15" i="6"/>
  <c r="N44" i="5"/>
  <c r="Q44" i="5" s="1"/>
  <c r="R44" i="5" s="1"/>
  <c r="N147" i="5"/>
  <c r="Q147" i="5" s="1"/>
  <c r="R147" i="5" s="1"/>
  <c r="M16" i="6"/>
  <c r="M165" i="7"/>
  <c r="N121" i="5"/>
  <c r="Q121" i="5" s="1"/>
  <c r="R121" i="5" s="1"/>
  <c r="M180" i="7"/>
  <c r="M181" i="7"/>
  <c r="N255" i="5"/>
  <c r="Q255" i="5" s="1"/>
  <c r="R255" i="5" s="1"/>
  <c r="N198" i="5"/>
  <c r="Q198" i="5" s="1"/>
  <c r="R198" i="5" s="1"/>
  <c r="M186" i="7"/>
  <c r="M187" i="7"/>
  <c r="N67" i="5"/>
  <c r="Q67" i="5" s="1"/>
  <c r="R67" i="5" s="1"/>
  <c r="M226" i="7"/>
  <c r="N98" i="5"/>
  <c r="Q98" i="5" s="1"/>
  <c r="R98" i="5" s="1"/>
  <c r="M17" i="6"/>
  <c r="M232" i="7"/>
  <c r="N92" i="5"/>
  <c r="Q92" i="5" s="1"/>
  <c r="R92" i="5" s="1"/>
  <c r="M233" i="7"/>
  <c r="N15" i="5"/>
  <c r="Q15" i="5" s="1"/>
  <c r="R15" i="5" s="1"/>
  <c r="N123" i="5"/>
  <c r="Q123" i="5" s="1"/>
  <c r="R123" i="5" s="1"/>
  <c r="M234" i="7"/>
  <c r="M236" i="7"/>
  <c r="M18" i="6"/>
  <c r="M238" i="7"/>
  <c r="N57" i="5"/>
  <c r="T52" i="5" s="1"/>
  <c r="M19" i="6"/>
  <c r="N202" i="5"/>
  <c r="Q202" i="5" s="1"/>
  <c r="R202" i="5" s="1"/>
  <c r="M244" i="7"/>
  <c r="M248" i="7"/>
  <c r="M20" i="6"/>
  <c r="U2" i="5"/>
  <c r="U3" i="5"/>
  <c r="U4" i="5"/>
  <c r="U5" i="5"/>
  <c r="T5" i="5"/>
  <c r="U6" i="5"/>
  <c r="T6" i="5"/>
  <c r="U7" i="5"/>
  <c r="T7" i="5"/>
  <c r="U8" i="5"/>
  <c r="T8" i="5"/>
  <c r="U9" i="5"/>
  <c r="U10" i="5"/>
  <c r="U11" i="5"/>
  <c r="U12" i="5"/>
  <c r="U13" i="5"/>
  <c r="T13" i="5"/>
  <c r="U14" i="5"/>
  <c r="T14" i="5"/>
  <c r="U15" i="5"/>
  <c r="T15" i="5"/>
  <c r="U16" i="5"/>
  <c r="T16" i="5"/>
  <c r="T17" i="5"/>
  <c r="U17" i="5"/>
  <c r="U18" i="5"/>
  <c r="U19" i="5"/>
  <c r="U20" i="5"/>
  <c r="T20" i="5"/>
  <c r="U21" i="5"/>
  <c r="U22" i="5"/>
  <c r="U23" i="5"/>
  <c r="T23" i="5"/>
  <c r="U24" i="5"/>
  <c r="T25" i="5"/>
  <c r="U25" i="5"/>
  <c r="U26" i="5"/>
  <c r="T26" i="5"/>
  <c r="U27" i="5"/>
  <c r="T27" i="5"/>
  <c r="U28" i="5"/>
  <c r="T28" i="5"/>
  <c r="T29" i="5"/>
  <c r="U29" i="5"/>
  <c r="U30" i="5"/>
  <c r="T30" i="5"/>
  <c r="U31" i="5"/>
  <c r="T31" i="5"/>
  <c r="U32" i="5"/>
  <c r="T32" i="5"/>
  <c r="U33" i="5"/>
  <c r="N8198" i="7" s="1"/>
  <c r="T33" i="5"/>
  <c r="U34" i="5"/>
  <c r="U35" i="5"/>
  <c r="U36" i="5"/>
  <c r="T36" i="5"/>
  <c r="U37" i="5"/>
  <c r="U38" i="5"/>
  <c r="U39" i="5"/>
  <c r="U40" i="5"/>
  <c r="T40" i="5"/>
  <c r="U41" i="5"/>
  <c r="T41" i="5"/>
  <c r="U42" i="5"/>
  <c r="T42" i="5"/>
  <c r="U43" i="5"/>
  <c r="T43" i="5"/>
  <c r="U44" i="5"/>
  <c r="T44" i="5"/>
  <c r="U45" i="5"/>
  <c r="T45" i="5"/>
  <c r="U46" i="5"/>
  <c r="T46" i="5"/>
  <c r="U47" i="5"/>
  <c r="T47" i="5"/>
  <c r="U48" i="5"/>
  <c r="T48" i="5"/>
  <c r="U49" i="5"/>
  <c r="T49" i="5"/>
  <c r="U50" i="5"/>
  <c r="T50" i="5"/>
  <c r="U51" i="5"/>
  <c r="T51" i="5"/>
  <c r="U52" i="5"/>
  <c r="U53" i="5"/>
  <c r="T53" i="5"/>
  <c r="U54" i="5"/>
  <c r="T54" i="5"/>
  <c r="U55" i="5"/>
  <c r="T55" i="5"/>
  <c r="U56" i="5"/>
  <c r="T56" i="5"/>
  <c r="U57" i="5"/>
  <c r="U58" i="5"/>
  <c r="T58" i="5"/>
  <c r="U59" i="5"/>
  <c r="T59" i="5"/>
  <c r="U60" i="5"/>
  <c r="T60" i="5"/>
  <c r="T61" i="5"/>
  <c r="U61" i="5"/>
  <c r="U62" i="5"/>
  <c r="T62" i="5"/>
  <c r="T63" i="5"/>
  <c r="U63" i="5"/>
  <c r="N588" i="7" s="1"/>
  <c r="T64" i="5"/>
  <c r="U64" i="5"/>
  <c r="T65" i="5"/>
  <c r="U65" i="5"/>
  <c r="T66" i="5"/>
  <c r="U66" i="5"/>
  <c r="T67" i="5"/>
  <c r="U67" i="5"/>
  <c r="U68" i="5"/>
  <c r="T68" i="5"/>
  <c r="U69" i="5"/>
  <c r="T69" i="5"/>
  <c r="T70" i="5"/>
  <c r="U70" i="5"/>
  <c r="U71" i="5"/>
  <c r="T71" i="5"/>
  <c r="U72" i="5"/>
  <c r="T72" i="5"/>
  <c r="U73" i="5"/>
  <c r="T73" i="5"/>
  <c r="U74" i="5"/>
  <c r="T74" i="5"/>
  <c r="U75" i="5"/>
  <c r="T75" i="5"/>
  <c r="T76" i="5"/>
  <c r="U76" i="5"/>
  <c r="T77" i="5"/>
  <c r="U77" i="5"/>
  <c r="T78" i="5"/>
  <c r="U78" i="5"/>
  <c r="T79" i="5"/>
  <c r="U79" i="5"/>
  <c r="T80" i="5"/>
  <c r="U80" i="5"/>
  <c r="N7521" i="7" s="1"/>
  <c r="U81" i="5"/>
  <c r="T81" i="5"/>
  <c r="T82" i="5"/>
  <c r="U82" i="5"/>
  <c r="T83" i="5"/>
  <c r="U83" i="5"/>
  <c r="U84" i="5"/>
  <c r="T84" i="5"/>
  <c r="T85" i="5"/>
  <c r="U85" i="5"/>
  <c r="T86" i="5"/>
  <c r="U86" i="5"/>
  <c r="T87" i="5"/>
  <c r="U87" i="5"/>
  <c r="T88" i="5"/>
  <c r="U88" i="5"/>
  <c r="U89" i="5"/>
  <c r="T89" i="5"/>
  <c r="T90" i="5"/>
  <c r="U90" i="5"/>
  <c r="U91" i="5"/>
  <c r="T91" i="5"/>
  <c r="U92" i="5"/>
  <c r="T92" i="5"/>
  <c r="U93" i="5"/>
  <c r="T93" i="5"/>
  <c r="U94" i="5"/>
  <c r="T94" i="5"/>
  <c r="U95" i="5"/>
  <c r="T95" i="5"/>
  <c r="U96" i="5"/>
  <c r="T96" i="5"/>
  <c r="U97" i="5"/>
  <c r="T97" i="5"/>
  <c r="U98" i="5"/>
  <c r="T98" i="5"/>
  <c r="U99" i="5"/>
  <c r="T99" i="5"/>
  <c r="U100" i="5"/>
  <c r="T100" i="5"/>
  <c r="U101" i="5"/>
  <c r="T101" i="5"/>
  <c r="U102" i="5"/>
  <c r="T102" i="5"/>
  <c r="U103" i="5"/>
  <c r="T103" i="5"/>
  <c r="U104" i="5"/>
  <c r="T104" i="5"/>
  <c r="U105" i="5"/>
  <c r="T105" i="5"/>
  <c r="U106" i="5"/>
  <c r="T106" i="5"/>
  <c r="U107" i="5"/>
  <c r="T107" i="5"/>
  <c r="U108" i="5"/>
  <c r="T108" i="5"/>
  <c r="U109" i="5"/>
  <c r="T109" i="5"/>
  <c r="T110" i="5"/>
  <c r="U110" i="5"/>
  <c r="T111" i="5"/>
  <c r="U111" i="5"/>
  <c r="T112" i="5"/>
  <c r="U112" i="5"/>
  <c r="U113" i="5"/>
  <c r="T113" i="5"/>
  <c r="U114" i="5"/>
  <c r="T114" i="5"/>
  <c r="U115" i="5"/>
  <c r="T115" i="5"/>
  <c r="U116" i="5"/>
  <c r="T116" i="5"/>
  <c r="U117" i="5"/>
  <c r="N3795" i="7" s="1"/>
  <c r="T117" i="5"/>
  <c r="U118" i="5"/>
  <c r="T118" i="5"/>
  <c r="U119" i="5"/>
  <c r="T119" i="5"/>
  <c r="T120" i="5"/>
  <c r="U120" i="5"/>
  <c r="T121" i="5"/>
  <c r="U121" i="5"/>
  <c r="T122" i="5"/>
  <c r="U122" i="5"/>
  <c r="T123" i="5"/>
  <c r="U123" i="5"/>
  <c r="T124" i="5"/>
  <c r="U124" i="5"/>
  <c r="U125" i="5"/>
  <c r="T125" i="5"/>
  <c r="U126" i="5"/>
  <c r="T126" i="5"/>
  <c r="U127" i="5"/>
  <c r="T127" i="5"/>
  <c r="U128" i="5"/>
  <c r="T128" i="5"/>
  <c r="T129" i="5"/>
  <c r="U129" i="5"/>
  <c r="U130" i="5"/>
  <c r="T130" i="5"/>
  <c r="T131" i="5"/>
  <c r="U131" i="5"/>
  <c r="T132" i="5"/>
  <c r="U132" i="5"/>
  <c r="U133" i="5"/>
  <c r="T133" i="5"/>
  <c r="T134" i="5"/>
  <c r="U134" i="5"/>
  <c r="U135" i="5"/>
  <c r="T135" i="5"/>
  <c r="T136" i="5"/>
  <c r="U136" i="5"/>
  <c r="T137" i="5"/>
  <c r="U137" i="5"/>
  <c r="U138" i="5"/>
  <c r="T138" i="5"/>
  <c r="U139" i="5"/>
  <c r="T139" i="5"/>
  <c r="U140" i="5"/>
  <c r="T140" i="5"/>
  <c r="U141" i="5"/>
  <c r="T141" i="5"/>
  <c r="U142" i="5"/>
  <c r="T142" i="5"/>
  <c r="T143" i="5"/>
  <c r="U143" i="5"/>
  <c r="T144" i="5"/>
  <c r="U144" i="5"/>
  <c r="U145" i="5"/>
  <c r="T145" i="5"/>
  <c r="T146" i="5"/>
  <c r="U146" i="5"/>
  <c r="T147" i="5"/>
  <c r="U147" i="5"/>
  <c r="T148" i="5"/>
  <c r="U148" i="5"/>
  <c r="T149" i="5"/>
  <c r="U149" i="5"/>
  <c r="T150" i="5"/>
  <c r="U150" i="5"/>
  <c r="T151" i="5"/>
  <c r="U151" i="5"/>
  <c r="N1580" i="7" s="1"/>
  <c r="T152" i="5"/>
  <c r="U152" i="5"/>
  <c r="T153" i="5"/>
  <c r="U153" i="5"/>
  <c r="T154" i="5"/>
  <c r="U154" i="5"/>
  <c r="T155" i="5"/>
  <c r="U155" i="5"/>
  <c r="T156" i="5"/>
  <c r="U156" i="5"/>
  <c r="U157" i="5"/>
  <c r="T157" i="5"/>
  <c r="U158" i="5"/>
  <c r="N8918" i="7" s="1"/>
  <c r="T158" i="5"/>
  <c r="U159" i="5"/>
  <c r="T159" i="5"/>
  <c r="U160" i="5"/>
  <c r="T160" i="5"/>
  <c r="U161" i="5"/>
  <c r="T161" i="5"/>
  <c r="U162" i="5"/>
  <c r="T162" i="5"/>
  <c r="U163" i="5"/>
  <c r="T163" i="5"/>
  <c r="T164" i="5"/>
  <c r="U164" i="5"/>
  <c r="T165" i="5"/>
  <c r="U165" i="5"/>
  <c r="T166" i="5"/>
  <c r="U166" i="5"/>
  <c r="T167" i="5"/>
  <c r="U167" i="5"/>
  <c r="T168" i="5"/>
  <c r="U168" i="5"/>
  <c r="T169" i="5"/>
  <c r="U169" i="5"/>
  <c r="U170" i="5"/>
  <c r="T170" i="5"/>
  <c r="U171" i="5"/>
  <c r="T171" i="5"/>
  <c r="T172" i="5"/>
  <c r="U172" i="5"/>
  <c r="U173" i="5"/>
  <c r="T173" i="5"/>
  <c r="U174" i="5"/>
  <c r="T174" i="5"/>
  <c r="U175" i="5"/>
  <c r="T175" i="5"/>
  <c r="U176" i="5"/>
  <c r="T176" i="5"/>
  <c r="U177" i="5"/>
  <c r="T177" i="5"/>
  <c r="U178" i="5"/>
  <c r="T178" i="5"/>
  <c r="U179" i="5"/>
  <c r="T179" i="5"/>
  <c r="U180" i="5"/>
  <c r="T180" i="5"/>
  <c r="U181" i="5"/>
  <c r="T181" i="5"/>
  <c r="U182" i="5"/>
  <c r="T183" i="5"/>
  <c r="U183" i="5"/>
  <c r="T184" i="5"/>
  <c r="U184" i="5"/>
  <c r="T185" i="5"/>
  <c r="U185" i="5"/>
  <c r="T186" i="5"/>
  <c r="U186" i="5"/>
  <c r="U187" i="5"/>
  <c r="T187" i="5"/>
  <c r="T188" i="5"/>
  <c r="U188" i="5"/>
  <c r="T189" i="5"/>
  <c r="U189" i="5"/>
  <c r="U190" i="5"/>
  <c r="T190" i="5"/>
  <c r="T191" i="5"/>
  <c r="U191" i="5"/>
  <c r="T192" i="5"/>
  <c r="U192" i="5"/>
  <c r="U193" i="5"/>
  <c r="T193" i="5"/>
  <c r="U194" i="5"/>
  <c r="T194" i="5"/>
  <c r="U195" i="5"/>
  <c r="T195" i="5"/>
  <c r="U196" i="5"/>
  <c r="T196" i="5"/>
  <c r="U197" i="5"/>
  <c r="T197" i="5"/>
  <c r="U198" i="5"/>
  <c r="T198" i="5"/>
  <c r="T199" i="5"/>
  <c r="U199" i="5"/>
  <c r="N2262" i="7" s="1"/>
  <c r="T200" i="5"/>
  <c r="U200" i="5"/>
  <c r="T201" i="5"/>
  <c r="U201" i="5"/>
  <c r="U202" i="5"/>
  <c r="T202" i="5"/>
  <c r="U203" i="5"/>
  <c r="T203" i="5"/>
  <c r="U204" i="5"/>
  <c r="T204" i="5"/>
  <c r="U205" i="5"/>
  <c r="N1490" i="7" s="1"/>
  <c r="T205" i="5"/>
  <c r="T206" i="5"/>
  <c r="U206" i="5"/>
  <c r="T207" i="5"/>
  <c r="U207" i="5"/>
  <c r="T208" i="5"/>
  <c r="U208" i="5"/>
  <c r="U209" i="5"/>
  <c r="T209" i="5"/>
  <c r="U210" i="5"/>
  <c r="T210" i="5"/>
  <c r="U211" i="5"/>
  <c r="T211" i="5"/>
  <c r="U212" i="5"/>
  <c r="T212" i="5"/>
  <c r="U213" i="5"/>
  <c r="T213" i="5"/>
  <c r="U214" i="5"/>
  <c r="T214" i="5"/>
  <c r="U215" i="5"/>
  <c r="T215" i="5"/>
  <c r="U216" i="5"/>
  <c r="T216" i="5"/>
  <c r="U217" i="5"/>
  <c r="T217" i="5"/>
  <c r="U218" i="5"/>
  <c r="T218" i="5"/>
  <c r="U219" i="5"/>
  <c r="T219" i="5"/>
  <c r="U220" i="5"/>
  <c r="N3312" i="7" s="1"/>
  <c r="T220" i="5"/>
  <c r="U221" i="5"/>
  <c r="N8292" i="7" s="1"/>
  <c r="T221" i="5"/>
  <c r="U222" i="5"/>
  <c r="T222" i="5"/>
  <c r="T223" i="5"/>
  <c r="U223" i="5"/>
  <c r="T224" i="5"/>
  <c r="U224" i="5"/>
  <c r="T225" i="5"/>
  <c r="U225" i="5"/>
  <c r="T226" i="5"/>
  <c r="U226" i="5"/>
  <c r="T227" i="5"/>
  <c r="U227" i="5"/>
  <c r="T228" i="5"/>
  <c r="U228" i="5"/>
  <c r="T229" i="5"/>
  <c r="U229" i="5"/>
  <c r="T230" i="5"/>
  <c r="U230" i="5"/>
  <c r="T231" i="5"/>
  <c r="U231" i="5"/>
  <c r="T232" i="5"/>
  <c r="U232" i="5"/>
  <c r="T233" i="5"/>
  <c r="U233" i="5"/>
  <c r="U234" i="5"/>
  <c r="N6880" i="7" s="1"/>
  <c r="T234" i="5"/>
  <c r="U235" i="5"/>
  <c r="T235" i="5"/>
  <c r="U236" i="5"/>
  <c r="T236" i="5"/>
  <c r="U237" i="5"/>
  <c r="T237" i="5"/>
  <c r="U238" i="5"/>
  <c r="T238" i="5"/>
  <c r="U239" i="5"/>
  <c r="T239" i="5"/>
  <c r="U240" i="5"/>
  <c r="T240" i="5"/>
  <c r="U241" i="5"/>
  <c r="T241" i="5"/>
  <c r="U242" i="5"/>
  <c r="T242" i="5"/>
  <c r="U243" i="5"/>
  <c r="T243" i="5"/>
  <c r="U244" i="5"/>
  <c r="T244" i="5"/>
  <c r="U245" i="5"/>
  <c r="T245" i="5"/>
  <c r="U246" i="5"/>
  <c r="T246" i="5"/>
  <c r="U247" i="5"/>
  <c r="T247" i="5"/>
  <c r="U248" i="5"/>
  <c r="T248" i="5"/>
  <c r="U249" i="5"/>
  <c r="N2926" i="7" s="1"/>
  <c r="T249" i="5"/>
  <c r="U250" i="5"/>
  <c r="T250" i="5"/>
  <c r="U251" i="5"/>
  <c r="T251" i="5"/>
  <c r="T252" i="5"/>
  <c r="U252" i="5"/>
  <c r="U253" i="5"/>
  <c r="T253" i="5"/>
  <c r="U254" i="5"/>
  <c r="T254" i="5"/>
  <c r="U255" i="5"/>
  <c r="T255" i="5"/>
  <c r="U256" i="5"/>
  <c r="T256" i="5"/>
  <c r="U257" i="5"/>
  <c r="T257" i="5"/>
  <c r="U258" i="5"/>
  <c r="N9031" i="7" s="1"/>
  <c r="T258" i="5"/>
  <c r="T259" i="5"/>
  <c r="U259" i="5"/>
  <c r="T260" i="5"/>
  <c r="U260" i="5"/>
  <c r="T261" i="5"/>
  <c r="U261" i="5"/>
  <c r="U262" i="5"/>
  <c r="T262" i="5"/>
  <c r="U263" i="5"/>
  <c r="T263" i="5"/>
  <c r="U264" i="5"/>
  <c r="T264" i="5"/>
  <c r="U265" i="5"/>
  <c r="T265" i="5"/>
  <c r="U266" i="5"/>
  <c r="T266" i="5"/>
  <c r="U267" i="5"/>
  <c r="N7921" i="7" s="1"/>
  <c r="T267" i="5"/>
  <c r="U268" i="5"/>
  <c r="T268" i="5"/>
  <c r="U269" i="5"/>
  <c r="N6558" i="7" s="1"/>
  <c r="T269" i="5"/>
  <c r="T270" i="5"/>
  <c r="U270" i="5"/>
  <c r="U271" i="5"/>
  <c r="T271" i="5"/>
  <c r="U272" i="5"/>
  <c r="N2200" i="7" s="1"/>
  <c r="T272" i="5"/>
  <c r="U273" i="5"/>
  <c r="T273" i="5"/>
  <c r="U274" i="5"/>
  <c r="T274" i="5"/>
  <c r="Q3" i="5"/>
  <c r="R3" i="5" s="1"/>
  <c r="Q4" i="5"/>
  <c r="R4" i="5" s="1"/>
  <c r="Q5" i="5"/>
  <c r="R5" i="5" s="1"/>
  <c r="Q6" i="5"/>
  <c r="R6" i="5" s="1"/>
  <c r="Q7" i="5"/>
  <c r="R7" i="5" s="1"/>
  <c r="Q9" i="5"/>
  <c r="R9" i="5" s="1"/>
  <c r="Q14" i="5"/>
  <c r="R14" i="5" s="1"/>
  <c r="P14" i="5"/>
  <c r="Q16" i="5"/>
  <c r="R16" i="5" s="1"/>
  <c r="Q18" i="5"/>
  <c r="R18" i="5" s="1"/>
  <c r="Q19" i="5"/>
  <c r="R19" i="5" s="1"/>
  <c r="Q20" i="5"/>
  <c r="R20" i="5" s="1"/>
  <c r="Q21" i="5"/>
  <c r="R21" i="5" s="1"/>
  <c r="Q22" i="5"/>
  <c r="R22" i="5" s="1"/>
  <c r="Q23" i="5"/>
  <c r="R23" i="5" s="1"/>
  <c r="Q24" i="5"/>
  <c r="R24" i="5" s="1"/>
  <c r="Q25" i="5"/>
  <c r="R25" i="5" s="1"/>
  <c r="Q26" i="5"/>
  <c r="R26" i="5" s="1"/>
  <c r="Q28" i="5"/>
  <c r="R28" i="5" s="1"/>
  <c r="Q30" i="5"/>
  <c r="R30" i="5" s="1"/>
  <c r="P30" i="5"/>
  <c r="Q31" i="5"/>
  <c r="R31" i="5" s="1"/>
  <c r="Q33" i="5"/>
  <c r="R33" i="5" s="1"/>
  <c r="P33" i="5"/>
  <c r="Q34" i="5"/>
  <c r="R34" i="5" s="1"/>
  <c r="Q35" i="5"/>
  <c r="R35" i="5" s="1"/>
  <c r="Q36" i="5"/>
  <c r="R36" i="5" s="1"/>
  <c r="P36" i="5"/>
  <c r="Q37" i="5"/>
  <c r="R37" i="5" s="1"/>
  <c r="Q38" i="5"/>
  <c r="R38" i="5" s="1"/>
  <c r="Q39" i="5"/>
  <c r="R39" i="5" s="1"/>
  <c r="Q40" i="5"/>
  <c r="R40" i="5" s="1"/>
  <c r="Q41" i="5"/>
  <c r="R41" i="5" s="1"/>
  <c r="Q42" i="5"/>
  <c r="R42" i="5" s="1"/>
  <c r="Q45" i="5"/>
  <c r="R45" i="5" s="1"/>
  <c r="Q46" i="5"/>
  <c r="R46" i="5" s="1"/>
  <c r="P46" i="5"/>
  <c r="Q47" i="5"/>
  <c r="R47" i="5" s="1"/>
  <c r="Q48" i="5"/>
  <c r="R48" i="5" s="1"/>
  <c r="Q49" i="5"/>
  <c r="R49" i="5" s="1"/>
  <c r="Q50" i="5"/>
  <c r="R50" i="5" s="1"/>
  <c r="Q51" i="5"/>
  <c r="R51" i="5" s="1"/>
  <c r="Q53" i="5"/>
  <c r="R53" i="5" s="1"/>
  <c r="Q54" i="5"/>
  <c r="R54" i="5" s="1"/>
  <c r="P55" i="5"/>
  <c r="Q55" i="5"/>
  <c r="R55" i="5" s="1"/>
  <c r="P56" i="5"/>
  <c r="Q56" i="5"/>
  <c r="R56" i="5" s="1"/>
  <c r="Q59" i="5"/>
  <c r="R59" i="5" s="1"/>
  <c r="Q60" i="5"/>
  <c r="R60" i="5" s="1"/>
  <c r="Q61" i="5"/>
  <c r="R61" i="5" s="1"/>
  <c r="Q62" i="5"/>
  <c r="R62" i="5" s="1"/>
  <c r="Q63" i="5"/>
  <c r="R63" i="5" s="1"/>
  <c r="P63" i="5"/>
  <c r="Q66" i="5"/>
  <c r="R66" i="5" s="1"/>
  <c r="Q68" i="5"/>
  <c r="R68" i="5" s="1"/>
  <c r="Q69" i="5"/>
  <c r="R69" i="5" s="1"/>
  <c r="Q71" i="5"/>
  <c r="R71" i="5" s="1"/>
  <c r="P71" i="5"/>
  <c r="Q73" i="5"/>
  <c r="R73" i="5" s="1"/>
  <c r="P73" i="5"/>
  <c r="Q74" i="5"/>
  <c r="R74" i="5" s="1"/>
  <c r="P75" i="5"/>
  <c r="Q75" i="5"/>
  <c r="R75" i="5" s="1"/>
  <c r="Q77" i="5"/>
  <c r="R77" i="5" s="1"/>
  <c r="P77" i="5"/>
  <c r="Q78" i="5"/>
  <c r="R78" i="5" s="1"/>
  <c r="Q79" i="5"/>
  <c r="R79" i="5" s="1"/>
  <c r="P80" i="5"/>
  <c r="Q80" i="5"/>
  <c r="R80" i="5" s="1"/>
  <c r="P81" i="5"/>
  <c r="Q81" i="5"/>
  <c r="R81" i="5" s="1"/>
  <c r="Q83" i="5"/>
  <c r="R83" i="5" s="1"/>
  <c r="Q84" i="5"/>
  <c r="R84" i="5" s="1"/>
  <c r="Q85" i="5"/>
  <c r="R85" i="5" s="1"/>
  <c r="Q87" i="5"/>
  <c r="R87" i="5" s="1"/>
  <c r="P87" i="5"/>
  <c r="Q88" i="5"/>
  <c r="R88" i="5" s="1"/>
  <c r="P89" i="5"/>
  <c r="Q89" i="5"/>
  <c r="R89" i="5" s="1"/>
  <c r="Q90" i="5"/>
  <c r="R90" i="5" s="1"/>
  <c r="Q91" i="5"/>
  <c r="R91" i="5" s="1"/>
  <c r="P91" i="5"/>
  <c r="Q93" i="5"/>
  <c r="R93" i="5" s="1"/>
  <c r="Q97" i="5"/>
  <c r="R97" i="5" s="1"/>
  <c r="Q101" i="5"/>
  <c r="R101" i="5" s="1"/>
  <c r="Q102" i="5"/>
  <c r="R102" i="5" s="1"/>
  <c r="Q103" i="5"/>
  <c r="R103" i="5" s="1"/>
  <c r="P103" i="5"/>
  <c r="Q106" i="5"/>
  <c r="R106" i="5" s="1"/>
  <c r="Q107" i="5"/>
  <c r="R107" i="5" s="1"/>
  <c r="Q108" i="5"/>
  <c r="R108" i="5" s="1"/>
  <c r="P114" i="5"/>
  <c r="Q114" i="5"/>
  <c r="R114" i="5" s="1"/>
  <c r="Q117" i="5"/>
  <c r="R117" i="5" s="1"/>
  <c r="Q118" i="5"/>
  <c r="R118" i="5" s="1"/>
  <c r="Q120" i="5"/>
  <c r="R120" i="5" s="1"/>
  <c r="Q122" i="5"/>
  <c r="R122" i="5" s="1"/>
  <c r="P124" i="5"/>
  <c r="Q124" i="5"/>
  <c r="R124" i="5" s="1"/>
  <c r="P125" i="5"/>
  <c r="Q125" i="5"/>
  <c r="R125" i="5" s="1"/>
  <c r="Q126" i="5"/>
  <c r="R126" i="5" s="1"/>
  <c r="Q130" i="5"/>
  <c r="R130" i="5" s="1"/>
  <c r="Q131" i="5"/>
  <c r="R131" i="5" s="1"/>
  <c r="Q132" i="5"/>
  <c r="R132" i="5" s="1"/>
  <c r="Q133" i="5"/>
  <c r="R133" i="5" s="1"/>
  <c r="Q134" i="5"/>
  <c r="R134" i="5" s="1"/>
  <c r="Q135" i="5"/>
  <c r="R135" i="5" s="1"/>
  <c r="Q137" i="5"/>
  <c r="R137" i="5" s="1"/>
  <c r="Q140" i="5"/>
  <c r="R140" i="5" s="1"/>
  <c r="P140" i="5"/>
  <c r="Q145" i="5"/>
  <c r="R145" i="5" s="1"/>
  <c r="Q146" i="5"/>
  <c r="R146" i="5" s="1"/>
  <c r="Q148" i="5"/>
  <c r="R148" i="5" s="1"/>
  <c r="Q149" i="5"/>
  <c r="R149" i="5" s="1"/>
  <c r="Q150" i="5"/>
  <c r="R150" i="5" s="1"/>
  <c r="Q151" i="5"/>
  <c r="R151" i="5" s="1"/>
  <c r="P151" i="5"/>
  <c r="Q152" i="5"/>
  <c r="R152" i="5" s="1"/>
  <c r="P152" i="5"/>
  <c r="Q153" i="5"/>
  <c r="R153" i="5" s="1"/>
  <c r="Q155" i="5"/>
  <c r="R155" i="5" s="1"/>
  <c r="P155" i="5"/>
  <c r="Q156" i="5"/>
  <c r="R156" i="5" s="1"/>
  <c r="Q158" i="5"/>
  <c r="R158" i="5" s="1"/>
  <c r="Q160" i="5"/>
  <c r="R160" i="5" s="1"/>
  <c r="Q162" i="5"/>
  <c r="R162" i="5" s="1"/>
  <c r="Q163" i="5"/>
  <c r="R163" i="5" s="1"/>
  <c r="Q166" i="5"/>
  <c r="R166" i="5" s="1"/>
  <c r="P167" i="5"/>
  <c r="Q167" i="5"/>
  <c r="R167" i="5" s="1"/>
  <c r="Q168" i="5"/>
  <c r="R168" i="5" s="1"/>
  <c r="P169" i="5"/>
  <c r="Q169" i="5"/>
  <c r="R169" i="5" s="1"/>
  <c r="Q170" i="5"/>
  <c r="R170" i="5" s="1"/>
  <c r="Q171" i="5"/>
  <c r="R171" i="5" s="1"/>
  <c r="Q172" i="5"/>
  <c r="R172" i="5" s="1"/>
  <c r="Q174" i="5"/>
  <c r="R174" i="5" s="1"/>
  <c r="Q175" i="5"/>
  <c r="R175" i="5" s="1"/>
  <c r="Q176" i="5"/>
  <c r="R176" i="5" s="1"/>
  <c r="Q179" i="5"/>
  <c r="R179" i="5" s="1"/>
  <c r="Q180" i="5"/>
  <c r="R180" i="5" s="1"/>
  <c r="Q181" i="5"/>
  <c r="R181" i="5" s="1"/>
  <c r="Q182" i="5"/>
  <c r="R182" i="5" s="1"/>
  <c r="Q184" i="5"/>
  <c r="R184" i="5" s="1"/>
  <c r="Q185" i="5"/>
  <c r="R185" i="5" s="1"/>
  <c r="P186" i="5"/>
  <c r="Q186" i="5"/>
  <c r="R186" i="5" s="1"/>
  <c r="Q187" i="5"/>
  <c r="R187" i="5" s="1"/>
  <c r="P187" i="5"/>
  <c r="Q189" i="5"/>
  <c r="R189" i="5" s="1"/>
  <c r="P189" i="5"/>
  <c r="Q190" i="5"/>
  <c r="R190" i="5" s="1"/>
  <c r="P190" i="5"/>
  <c r="Q191" i="5"/>
  <c r="R191" i="5" s="1"/>
  <c r="P191" i="5"/>
  <c r="Q192" i="5"/>
  <c r="R192" i="5" s="1"/>
  <c r="P192" i="5"/>
  <c r="Q193" i="5"/>
  <c r="R193" i="5" s="1"/>
  <c r="P193" i="5"/>
  <c r="Q195" i="5"/>
  <c r="R195" i="5" s="1"/>
  <c r="Q197" i="5"/>
  <c r="R197" i="5" s="1"/>
  <c r="Q199" i="5"/>
  <c r="R199" i="5" s="1"/>
  <c r="Q200" i="5"/>
  <c r="R200" i="5" s="1"/>
  <c r="P200" i="5"/>
  <c r="Q201" i="5"/>
  <c r="R201" i="5" s="1"/>
  <c r="Q203" i="5"/>
  <c r="R203" i="5" s="1"/>
  <c r="Q204" i="5"/>
  <c r="R204" i="5" s="1"/>
  <c r="P205" i="5"/>
  <c r="Q205" i="5"/>
  <c r="R205" i="5" s="1"/>
  <c r="Q206" i="5"/>
  <c r="R206" i="5" s="1"/>
  <c r="P206" i="5"/>
  <c r="Q208" i="5"/>
  <c r="R208" i="5" s="1"/>
  <c r="P208" i="5"/>
  <c r="Q209" i="5"/>
  <c r="R209" i="5" s="1"/>
  <c r="Q210" i="5"/>
  <c r="R210" i="5" s="1"/>
  <c r="Q211" i="5"/>
  <c r="R211" i="5" s="1"/>
  <c r="Q212" i="5"/>
  <c r="R212" i="5" s="1"/>
  <c r="Q213" i="5"/>
  <c r="R213" i="5" s="1"/>
  <c r="Q214" i="5"/>
  <c r="R214" i="5" s="1"/>
  <c r="Q215" i="5"/>
  <c r="R215" i="5" s="1"/>
  <c r="Q216" i="5"/>
  <c r="R216" i="5" s="1"/>
  <c r="Q217" i="5"/>
  <c r="R217" i="5" s="1"/>
  <c r="Q218" i="5"/>
  <c r="R218" i="5" s="1"/>
  <c r="P218" i="5"/>
  <c r="Q219" i="5"/>
  <c r="R219" i="5" s="1"/>
  <c r="Q220" i="5"/>
  <c r="R220" i="5" s="1"/>
  <c r="Q221" i="5"/>
  <c r="R221" i="5" s="1"/>
  <c r="P221" i="5"/>
  <c r="Q222" i="5"/>
  <c r="R222" i="5" s="1"/>
  <c r="P222" i="5"/>
  <c r="Q223" i="5"/>
  <c r="R223" i="5" s="1"/>
  <c r="Q224" i="5"/>
  <c r="R224" i="5" s="1"/>
  <c r="P224" i="5"/>
  <c r="Q225" i="5"/>
  <c r="R225" i="5" s="1"/>
  <c r="P225" i="5"/>
  <c r="Q226" i="5"/>
  <c r="R226" i="5" s="1"/>
  <c r="Q227" i="5"/>
  <c r="R227" i="5" s="1"/>
  <c r="P227" i="5"/>
  <c r="P228" i="5"/>
  <c r="Q228" i="5"/>
  <c r="R228" i="5" s="1"/>
  <c r="P229" i="5"/>
  <c r="Q229" i="5"/>
  <c r="R229" i="5" s="1"/>
  <c r="P230" i="5"/>
  <c r="Q230" i="5"/>
  <c r="R230" i="5" s="1"/>
  <c r="Q231" i="5"/>
  <c r="R231" i="5" s="1"/>
  <c r="Q233" i="5"/>
  <c r="R233" i="5" s="1"/>
  <c r="P233" i="5"/>
  <c r="Q234" i="5"/>
  <c r="R234" i="5" s="1"/>
  <c r="P234" i="5"/>
  <c r="Q236" i="5"/>
  <c r="R236" i="5" s="1"/>
  <c r="P236" i="5"/>
  <c r="Q237" i="5"/>
  <c r="R237" i="5" s="1"/>
  <c r="Q238" i="5"/>
  <c r="R238" i="5" s="1"/>
  <c r="Q239" i="5"/>
  <c r="R239" i="5" s="1"/>
  <c r="P239" i="5"/>
  <c r="Q240" i="5"/>
  <c r="R240" i="5" s="1"/>
  <c r="P240" i="5"/>
  <c r="Q241" i="5"/>
  <c r="R241" i="5" s="1"/>
  <c r="Q242" i="5"/>
  <c r="R242" i="5" s="1"/>
  <c r="P242" i="5"/>
  <c r="Q243" i="5"/>
  <c r="R243" i="5" s="1"/>
  <c r="P243" i="5"/>
  <c r="Q244" i="5"/>
  <c r="R244" i="5" s="1"/>
  <c r="P244" i="5"/>
  <c r="Q245" i="5"/>
  <c r="R245" i="5" s="1"/>
  <c r="P245" i="5"/>
  <c r="Q247" i="5"/>
  <c r="R247" i="5" s="1"/>
  <c r="P247" i="5"/>
  <c r="Q248" i="5"/>
  <c r="R248" i="5" s="1"/>
  <c r="P248" i="5"/>
  <c r="Q249" i="5"/>
  <c r="R249" i="5" s="1"/>
  <c r="P250" i="5"/>
  <c r="Q250" i="5"/>
  <c r="R250" i="5" s="1"/>
  <c r="Q251" i="5"/>
  <c r="R251" i="5" s="1"/>
  <c r="P251" i="5"/>
  <c r="Q252" i="5"/>
  <c r="R252" i="5" s="1"/>
  <c r="P252" i="5"/>
  <c r="Q253" i="5"/>
  <c r="R253" i="5" s="1"/>
  <c r="P253" i="5"/>
  <c r="Q254" i="5"/>
  <c r="R254" i="5" s="1"/>
  <c r="P254" i="5"/>
  <c r="Q257" i="5"/>
  <c r="R257" i="5" s="1"/>
  <c r="P257" i="5"/>
  <c r="Q258" i="5"/>
  <c r="R258" i="5" s="1"/>
  <c r="P259" i="5"/>
  <c r="Q259" i="5"/>
  <c r="R259" i="5" s="1"/>
  <c r="Q260" i="5"/>
  <c r="R260" i="5" s="1"/>
  <c r="Q261" i="5"/>
  <c r="R261" i="5" s="1"/>
  <c r="P261" i="5"/>
  <c r="Q262" i="5"/>
  <c r="R262" i="5" s="1"/>
  <c r="P262" i="5"/>
  <c r="Q263" i="5"/>
  <c r="R263" i="5" s="1"/>
  <c r="P263" i="5"/>
  <c r="Q264" i="5"/>
  <c r="R264" i="5" s="1"/>
  <c r="P264" i="5"/>
  <c r="P265" i="5"/>
  <c r="Q265" i="5"/>
  <c r="R265" i="5" s="1"/>
  <c r="P267" i="5"/>
  <c r="Q267" i="5"/>
  <c r="R267" i="5" s="1"/>
  <c r="Q268" i="5"/>
  <c r="R268" i="5" s="1"/>
  <c r="P268" i="5"/>
  <c r="P269" i="5"/>
  <c r="Q269" i="5"/>
  <c r="R269" i="5" s="1"/>
  <c r="Q270" i="5"/>
  <c r="R270" i="5" s="1"/>
  <c r="Q271" i="5"/>
  <c r="R271" i="5" s="1"/>
  <c r="P271" i="5"/>
  <c r="Q272" i="5"/>
  <c r="R272" i="5" s="1"/>
  <c r="Q273" i="5"/>
  <c r="R273" i="5" s="1"/>
  <c r="P273" i="5"/>
  <c r="Q274" i="5"/>
  <c r="R274" i="5" s="1"/>
  <c r="O1168" i="7"/>
  <c r="O1167" i="7"/>
  <c r="O1166" i="7"/>
  <c r="O1165" i="7"/>
  <c r="O1192" i="7"/>
  <c r="O1191" i="7"/>
  <c r="O1190" i="7"/>
  <c r="O1189" i="7"/>
  <c r="O1188" i="7"/>
  <c r="O1187" i="7"/>
  <c r="O1186" i="7"/>
  <c r="O1185" i="7"/>
  <c r="O1184" i="7"/>
  <c r="O1183" i="7"/>
  <c r="O1182" i="7"/>
  <c r="O1181" i="7"/>
  <c r="O1180" i="7"/>
  <c r="O1179" i="7"/>
  <c r="O1178" i="7"/>
  <c r="O1177" i="7"/>
  <c r="O1176" i="7"/>
  <c r="O1175" i="7"/>
  <c r="O1174" i="7"/>
  <c r="O1173" i="7"/>
  <c r="O1172" i="7"/>
  <c r="O1171" i="7"/>
  <c r="O1170" i="7"/>
  <c r="O1169" i="7"/>
  <c r="O1195" i="7"/>
  <c r="O1194" i="7"/>
  <c r="O1193" i="7"/>
  <c r="O1196" i="7"/>
  <c r="O1197" i="7"/>
  <c r="O1198" i="7"/>
  <c r="O1199" i="7"/>
  <c r="O1200" i="7"/>
  <c r="O1201" i="7"/>
  <c r="O1202" i="7"/>
  <c r="O1203" i="7"/>
  <c r="O1204" i="7"/>
  <c r="O1205" i="7"/>
  <c r="O1207" i="7"/>
  <c r="O1206" i="7"/>
  <c r="O1208" i="7"/>
  <c r="O1209" i="7"/>
  <c r="O1211" i="7"/>
  <c r="O1212" i="7"/>
  <c r="O1213" i="7"/>
  <c r="O1214" i="7"/>
  <c r="O1215" i="7"/>
  <c r="O1216" i="7"/>
  <c r="O1217" i="7"/>
  <c r="O1218" i="7"/>
  <c r="O1219" i="7"/>
  <c r="O1220" i="7"/>
  <c r="O1231" i="7"/>
  <c r="O1221" i="7"/>
  <c r="O1222" i="7"/>
  <c r="O1223" i="7"/>
  <c r="O1224" i="7"/>
  <c r="O1225" i="7"/>
  <c r="O1226" i="7"/>
  <c r="O1227" i="7"/>
  <c r="O1228" i="7"/>
  <c r="O1229" i="7"/>
  <c r="O1230" i="7"/>
  <c r="O1232" i="7"/>
  <c r="O1233" i="7"/>
  <c r="O1234" i="7"/>
  <c r="O1235" i="7"/>
  <c r="O1236" i="7"/>
  <c r="O1237" i="7"/>
  <c r="O1344" i="7"/>
  <c r="O1345" i="7"/>
  <c r="O1346" i="7"/>
  <c r="O1347" i="7"/>
  <c r="O1348" i="7"/>
  <c r="O1349" i="7"/>
  <c r="O1350" i="7"/>
  <c r="O1351" i="7"/>
  <c r="O1352" i="7"/>
  <c r="O1353" i="7"/>
  <c r="O1354" i="7"/>
  <c r="O1355" i="7"/>
  <c r="O1356" i="7"/>
  <c r="O1357" i="7"/>
  <c r="O1358" i="7"/>
  <c r="O1302" i="7"/>
  <c r="O1301" i="7"/>
  <c r="O1300" i="7"/>
  <c r="O1299" i="7"/>
  <c r="O1298" i="7"/>
  <c r="O1297" i="7"/>
  <c r="O1296" i="7"/>
  <c r="O1295" i="7"/>
  <c r="O1294" i="7"/>
  <c r="O1293" i="7"/>
  <c r="O1292" i="7"/>
  <c r="O1291" i="7"/>
  <c r="O1290" i="7"/>
  <c r="O1289" i="7"/>
  <c r="O1288" i="7"/>
  <c r="O1287" i="7"/>
  <c r="O1286" i="7"/>
  <c r="O1285" i="7"/>
  <c r="O1284" i="7"/>
  <c r="O1283" i="7"/>
  <c r="O1282" i="7"/>
  <c r="O1281" i="7"/>
  <c r="O1280" i="7"/>
  <c r="O1279" i="7"/>
  <c r="O1278" i="7"/>
  <c r="O1277" i="7"/>
  <c r="O1276" i="7"/>
  <c r="O1275" i="7"/>
  <c r="O1274" i="7"/>
  <c r="O1273" i="7"/>
  <c r="O1272" i="7"/>
  <c r="O1304" i="7"/>
  <c r="O1305" i="7"/>
  <c r="O1306" i="7"/>
  <c r="O1307" i="7"/>
  <c r="O1308" i="7"/>
  <c r="O1309" i="7"/>
  <c r="O1310" i="7"/>
  <c r="O1311" i="7"/>
  <c r="O1312" i="7"/>
  <c r="O1313" i="7"/>
  <c r="O1314" i="7"/>
  <c r="O1359" i="7"/>
  <c r="O1315" i="7"/>
  <c r="O1316" i="7"/>
  <c r="O1317" i="7"/>
  <c r="O1318" i="7"/>
  <c r="O1319" i="7"/>
  <c r="O1320" i="7"/>
  <c r="O1321" i="7"/>
  <c r="O1322" i="7"/>
  <c r="O1323" i="7"/>
  <c r="O1324" i="7"/>
  <c r="O1325" i="7"/>
  <c r="O1326" i="7"/>
  <c r="O1327" i="7"/>
  <c r="O1328" i="7"/>
  <c r="O1329" i="7"/>
  <c r="O1330" i="7"/>
  <c r="O1331" i="7"/>
  <c r="O1332" i="7"/>
  <c r="O1333" i="7"/>
  <c r="O1334" i="7"/>
  <c r="O1335" i="7"/>
  <c r="O1336" i="7"/>
  <c r="O1337" i="7"/>
  <c r="O1303" i="7"/>
  <c r="O1338" i="7"/>
  <c r="O1339" i="7"/>
  <c r="O1340" i="7"/>
  <c r="O1341" i="7"/>
  <c r="O1342" i="7"/>
  <c r="O1343" i="7"/>
  <c r="O1238" i="7"/>
  <c r="O1239" i="7"/>
  <c r="O1240" i="7"/>
  <c r="O1241" i="7"/>
  <c r="O1242" i="7"/>
  <c r="O1243" i="7"/>
  <c r="O1244" i="7"/>
  <c r="O1245" i="7"/>
  <c r="O1246" i="7"/>
  <c r="O1247" i="7"/>
  <c r="O1248" i="7"/>
  <c r="O1249" i="7"/>
  <c r="O1250" i="7"/>
  <c r="O1251" i="7"/>
  <c r="O1252" i="7"/>
  <c r="O1253" i="7"/>
  <c r="O1254" i="7"/>
  <c r="O1255" i="7"/>
  <c r="O1256" i="7"/>
  <c r="O1257" i="7"/>
  <c r="O1258" i="7"/>
  <c r="O1259" i="7"/>
  <c r="O1260" i="7"/>
  <c r="O1261" i="7"/>
  <c r="O1262" i="7"/>
  <c r="O1263" i="7"/>
  <c r="O1264" i="7"/>
  <c r="O1265" i="7"/>
  <c r="O1266" i="7"/>
  <c r="O1267" i="7"/>
  <c r="O1268" i="7"/>
  <c r="O1269" i="7"/>
  <c r="O1270" i="7"/>
  <c r="O1271" i="7"/>
  <c r="O1500" i="7"/>
  <c r="O1501" i="7"/>
  <c r="O1502" i="7"/>
  <c r="O1503" i="7"/>
  <c r="O1504" i="7"/>
  <c r="O1505" i="7"/>
  <c r="O1506" i="7"/>
  <c r="O1507" i="7"/>
  <c r="O1508" i="7"/>
  <c r="O1509" i="7"/>
  <c r="O1510" i="7"/>
  <c r="O1511" i="7"/>
  <c r="O1512" i="7"/>
  <c r="O1513" i="7"/>
  <c r="O1514" i="7"/>
  <c r="O1515" i="7"/>
  <c r="O1516" i="7"/>
  <c r="O1517" i="7"/>
  <c r="O1518" i="7"/>
  <c r="O1519" i="7"/>
  <c r="O1520" i="7"/>
  <c r="O1521" i="7"/>
  <c r="O1522" i="7"/>
  <c r="O1523" i="7"/>
  <c r="O1524" i="7"/>
  <c r="O1525" i="7"/>
  <c r="O1526" i="7"/>
  <c r="O1527" i="7"/>
  <c r="O1528" i="7"/>
  <c r="O1529" i="7"/>
  <c r="O1530" i="7"/>
  <c r="O1531" i="7"/>
  <c r="O1532" i="7"/>
  <c r="O1533" i="7"/>
  <c r="O1534" i="7"/>
  <c r="O1535" i="7"/>
  <c r="O1536" i="7"/>
  <c r="O1537" i="7"/>
  <c r="O1538" i="7"/>
  <c r="O1539" i="7"/>
  <c r="O1540" i="7"/>
  <c r="O1541" i="7"/>
  <c r="O1542" i="7"/>
  <c r="O1543" i="7"/>
  <c r="O1544" i="7"/>
  <c r="O1545" i="7"/>
  <c r="O1546" i="7"/>
  <c r="O1547" i="7"/>
  <c r="O1548" i="7"/>
  <c r="O1549" i="7"/>
  <c r="O1550" i="7"/>
  <c r="O1551" i="7"/>
  <c r="O1552" i="7"/>
  <c r="O1553" i="7"/>
  <c r="O1554" i="7"/>
  <c r="O1555" i="7"/>
  <c r="O1556" i="7"/>
  <c r="O1557" i="7"/>
  <c r="O1558" i="7"/>
  <c r="O1559" i="7"/>
  <c r="O1560" i="7"/>
  <c r="O1561" i="7"/>
  <c r="O1562" i="7"/>
  <c r="O1563" i="7"/>
  <c r="O1564" i="7"/>
  <c r="O1565" i="7"/>
  <c r="O1566" i="7"/>
  <c r="O1567" i="7"/>
  <c r="O1568" i="7"/>
  <c r="O1569" i="7"/>
  <c r="O1570" i="7"/>
  <c r="O1571" i="7"/>
  <c r="O1572" i="7"/>
  <c r="O1573" i="7"/>
  <c r="O1574" i="7"/>
  <c r="O1575" i="7"/>
  <c r="O1576" i="7"/>
  <c r="O1577" i="7"/>
  <c r="O1578" i="7"/>
  <c r="O1579" i="7"/>
  <c r="O1580" i="7"/>
  <c r="O151" i="5" s="1"/>
  <c r="O1581" i="7"/>
  <c r="O1582" i="7"/>
  <c r="O1583" i="7"/>
  <c r="O1584" i="7"/>
  <c r="O1585" i="7"/>
  <c r="O1586" i="7"/>
  <c r="O1587" i="7"/>
  <c r="O45" i="5" s="1"/>
  <c r="P45" i="5" s="1"/>
  <c r="O1360" i="7"/>
  <c r="O1361" i="7"/>
  <c r="O1362" i="7"/>
  <c r="O1363" i="7"/>
  <c r="O1364" i="7"/>
  <c r="O1365" i="7"/>
  <c r="O1366" i="7"/>
  <c r="O1367" i="7"/>
  <c r="O1368" i="7"/>
  <c r="O1369" i="7"/>
  <c r="O1370" i="7"/>
  <c r="O1371" i="7"/>
  <c r="O1372" i="7"/>
  <c r="O1373" i="7"/>
  <c r="O1374" i="7"/>
  <c r="O1375" i="7"/>
  <c r="O1376" i="7"/>
  <c r="O1377" i="7"/>
  <c r="O1378" i="7"/>
  <c r="O1379" i="7"/>
  <c r="O1380" i="7"/>
  <c r="O1381" i="7"/>
  <c r="O1382" i="7"/>
  <c r="O1383" i="7"/>
  <c r="O1384" i="7"/>
  <c r="O1385" i="7"/>
  <c r="O1386" i="7"/>
  <c r="O1387" i="7"/>
  <c r="O1388" i="7"/>
  <c r="O1389" i="7"/>
  <c r="O1390" i="7"/>
  <c r="O1391" i="7"/>
  <c r="O1392" i="7"/>
  <c r="O1393" i="7"/>
  <c r="O1394" i="7"/>
  <c r="O1395" i="7"/>
  <c r="O1396" i="7"/>
  <c r="O1397" i="7"/>
  <c r="O1398" i="7"/>
  <c r="O1399" i="7"/>
  <c r="O1400" i="7"/>
  <c r="O1401" i="7"/>
  <c r="O1402" i="7"/>
  <c r="O1403" i="7"/>
  <c r="O1404" i="7"/>
  <c r="O1405" i="7"/>
  <c r="O1406" i="7"/>
  <c r="O1407" i="7"/>
  <c r="O1408" i="7"/>
  <c r="O1409" i="7"/>
  <c r="O1410" i="7"/>
  <c r="O1411" i="7"/>
  <c r="O1412" i="7"/>
  <c r="O1413" i="7"/>
  <c r="O1414" i="7"/>
  <c r="O1415" i="7"/>
  <c r="O1416" i="7"/>
  <c r="O1417" i="7"/>
  <c r="O1418" i="7"/>
  <c r="O1419" i="7"/>
  <c r="O1420" i="7"/>
  <c r="O1421" i="7"/>
  <c r="O1422" i="7"/>
  <c r="O1423" i="7"/>
  <c r="O1424" i="7"/>
  <c r="O1425" i="7"/>
  <c r="O1426" i="7"/>
  <c r="O1427" i="7"/>
  <c r="O1428" i="7"/>
  <c r="O1429" i="7"/>
  <c r="O1430" i="7"/>
  <c r="O1431" i="7"/>
  <c r="O1432" i="7"/>
  <c r="O1433" i="7"/>
  <c r="O1434" i="7"/>
  <c r="O1435" i="7"/>
  <c r="O1436" i="7"/>
  <c r="O1437" i="7"/>
  <c r="O1438" i="7"/>
  <c r="O1439" i="7"/>
  <c r="O1440" i="7"/>
  <c r="O1441" i="7"/>
  <c r="O1442" i="7"/>
  <c r="O1443" i="7"/>
  <c r="O1444" i="7"/>
  <c r="O1445" i="7"/>
  <c r="O1446" i="7"/>
  <c r="O1447" i="7"/>
  <c r="O1448" i="7"/>
  <c r="O1449" i="7"/>
  <c r="O1450" i="7"/>
  <c r="O1451" i="7"/>
  <c r="O1452" i="7"/>
  <c r="O1453" i="7"/>
  <c r="O1454" i="7"/>
  <c r="O1455" i="7"/>
  <c r="O1456" i="7"/>
  <c r="O1457" i="7"/>
  <c r="O1458" i="7"/>
  <c r="O1459" i="7"/>
  <c r="O1460" i="7"/>
  <c r="O1461" i="7"/>
  <c r="O1462" i="7"/>
  <c r="O1463" i="7"/>
  <c r="O1464" i="7"/>
  <c r="O1465" i="7"/>
  <c r="O1466" i="7"/>
  <c r="O1467" i="7"/>
  <c r="O1468" i="7"/>
  <c r="O1469" i="7"/>
  <c r="O1470" i="7"/>
  <c r="O1471" i="7"/>
  <c r="O1472" i="7"/>
  <c r="O1473" i="7"/>
  <c r="O1474" i="7"/>
  <c r="O1475" i="7"/>
  <c r="O1476" i="7"/>
  <c r="O1477" i="7"/>
  <c r="O1478" i="7"/>
  <c r="O1479" i="7"/>
  <c r="O1480" i="7"/>
  <c r="O1481" i="7"/>
  <c r="O1482" i="7"/>
  <c r="O1483" i="7"/>
  <c r="O1484" i="7"/>
  <c r="O1485" i="7"/>
  <c r="O1486" i="7"/>
  <c r="O1487" i="7"/>
  <c r="O1488" i="7"/>
  <c r="O1489" i="7"/>
  <c r="O1490" i="7"/>
  <c r="O205" i="5" s="1"/>
  <c r="O1491" i="7"/>
  <c r="O1492" i="7"/>
  <c r="O1493" i="7"/>
  <c r="O1494" i="7"/>
  <c r="O1495" i="7"/>
  <c r="O1496" i="7"/>
  <c r="O1497" i="7"/>
  <c r="O1498" i="7"/>
  <c r="O1499" i="7"/>
  <c r="O1588" i="7"/>
  <c r="O1592" i="7"/>
  <c r="O1591" i="7"/>
  <c r="O1590" i="7"/>
  <c r="O1589" i="7"/>
  <c r="O1593" i="7"/>
  <c r="O1687" i="7"/>
  <c r="O1686" i="7"/>
  <c r="O1685" i="7"/>
  <c r="O1684" i="7"/>
  <c r="O1683" i="7"/>
  <c r="O1682" i="7"/>
  <c r="O1681" i="7"/>
  <c r="O1680" i="7"/>
  <c r="O1679" i="7"/>
  <c r="O1678" i="7"/>
  <c r="O1677" i="7"/>
  <c r="O1676" i="7"/>
  <c r="O1675" i="7"/>
  <c r="O1674" i="7"/>
  <c r="O1673" i="7"/>
  <c r="O1672" i="7"/>
  <c r="O1671" i="7"/>
  <c r="O1670" i="7"/>
  <c r="O1669" i="7"/>
  <c r="O1668" i="7"/>
  <c r="O1667" i="7"/>
  <c r="O1666" i="7"/>
  <c r="O1665" i="7"/>
  <c r="O1664" i="7"/>
  <c r="O1663" i="7"/>
  <c r="O1662" i="7"/>
  <c r="O1629" i="7"/>
  <c r="O1661" i="7"/>
  <c r="O1660" i="7"/>
  <c r="O1659" i="7"/>
  <c r="O1658" i="7"/>
  <c r="O1657" i="7"/>
  <c r="O1656" i="7"/>
  <c r="O1655" i="7"/>
  <c r="O1654" i="7"/>
  <c r="O1653" i="7"/>
  <c r="O1652" i="7"/>
  <c r="O1651" i="7"/>
  <c r="O1650" i="7"/>
  <c r="O1649" i="7"/>
  <c r="O1648" i="7"/>
  <c r="O1647" i="7"/>
  <c r="O1646" i="7"/>
  <c r="O1645" i="7"/>
  <c r="O1644" i="7"/>
  <c r="O1643" i="7"/>
  <c r="O1642" i="7"/>
  <c r="O1641" i="7"/>
  <c r="O1640" i="7"/>
  <c r="O1639" i="7"/>
  <c r="O1638" i="7"/>
  <c r="O1637" i="7"/>
  <c r="O1636" i="7"/>
  <c r="O1635" i="7"/>
  <c r="O1634" i="7"/>
  <c r="O1605" i="7"/>
  <c r="O1633" i="7"/>
  <c r="O1632" i="7"/>
  <c r="O1631" i="7"/>
  <c r="O1630" i="7"/>
  <c r="O1606" i="7"/>
  <c r="O1607" i="7"/>
  <c r="O1608" i="7"/>
  <c r="O1609" i="7"/>
  <c r="O1610" i="7"/>
  <c r="O1611" i="7"/>
  <c r="O1612" i="7"/>
  <c r="O1613" i="7"/>
  <c r="O1614" i="7"/>
  <c r="O1615" i="7"/>
  <c r="O1616" i="7"/>
  <c r="O1617" i="7"/>
  <c r="O1618" i="7"/>
  <c r="O1619" i="7"/>
  <c r="O1620" i="7"/>
  <c r="O1621" i="7"/>
  <c r="O1628" i="7"/>
  <c r="O1623" i="7"/>
  <c r="O1624" i="7"/>
  <c r="O1625" i="7"/>
  <c r="O1626" i="7"/>
  <c r="O1627" i="7"/>
  <c r="O1622" i="7"/>
  <c r="O1594" i="7"/>
  <c r="O1595" i="7"/>
  <c r="O1596" i="7"/>
  <c r="O1597" i="7"/>
  <c r="O1598" i="7"/>
  <c r="O1599" i="7"/>
  <c r="O1600" i="7"/>
  <c r="O1601" i="7"/>
  <c r="O1602" i="7"/>
  <c r="O1603" i="7"/>
  <c r="O1604" i="7"/>
  <c r="O1690" i="7"/>
  <c r="O1688" i="7"/>
  <c r="O1689" i="7"/>
  <c r="O1691" i="7"/>
  <c r="O1692" i="7"/>
  <c r="O1693" i="7"/>
  <c r="O1694" i="7"/>
  <c r="O1695" i="7"/>
  <c r="O1696" i="7"/>
  <c r="O1697" i="7"/>
  <c r="O1698" i="7"/>
  <c r="O1699" i="7"/>
  <c r="O1700" i="7"/>
  <c r="O1701" i="7"/>
  <c r="O1702" i="7"/>
  <c r="O1703" i="7"/>
  <c r="O1704" i="7"/>
  <c r="O1705" i="7"/>
  <c r="O1706" i="7"/>
  <c r="O1707" i="7"/>
  <c r="O1754" i="7"/>
  <c r="O1753" i="7"/>
  <c r="O1752" i="7"/>
  <c r="O1751" i="7"/>
  <c r="O1750" i="7"/>
  <c r="O1749" i="7"/>
  <c r="O1748" i="7"/>
  <c r="O1747" i="7"/>
  <c r="O1746" i="7"/>
  <c r="O1726" i="7"/>
  <c r="O1745" i="7"/>
  <c r="O1768" i="7"/>
  <c r="O1767" i="7"/>
  <c r="O1766" i="7"/>
  <c r="O1765" i="7"/>
  <c r="O1764" i="7"/>
  <c r="O1763" i="7"/>
  <c r="O1762" i="7"/>
  <c r="O1761" i="7"/>
  <c r="O1760" i="7"/>
  <c r="O1759" i="7"/>
  <c r="O1758" i="7"/>
  <c r="O1757" i="7"/>
  <c r="O1756" i="7"/>
  <c r="O1755" i="7"/>
  <c r="O1708" i="7"/>
  <c r="O1709" i="7"/>
  <c r="O1710" i="7"/>
  <c r="O1711" i="7"/>
  <c r="O1712" i="7"/>
  <c r="O1713" i="7"/>
  <c r="O1714" i="7"/>
  <c r="O1715" i="7"/>
  <c r="O1716" i="7"/>
  <c r="O1717" i="7"/>
  <c r="O1718" i="7"/>
  <c r="O1719" i="7"/>
  <c r="O1720" i="7"/>
  <c r="O1721" i="7"/>
  <c r="O1722" i="7"/>
  <c r="O1723" i="7"/>
  <c r="O1724" i="7"/>
  <c r="O1725" i="7"/>
  <c r="O1727" i="7"/>
  <c r="O1728" i="7"/>
  <c r="O1729" i="7"/>
  <c r="O1730" i="7"/>
  <c r="O1731" i="7"/>
  <c r="O1732" i="7"/>
  <c r="O1733" i="7"/>
  <c r="O1734" i="7"/>
  <c r="O1735" i="7"/>
  <c r="O1736" i="7"/>
  <c r="O1737" i="7"/>
  <c r="O1738" i="7"/>
  <c r="O1739" i="7"/>
  <c r="O1740" i="7"/>
  <c r="O1741" i="7"/>
  <c r="O1742" i="7"/>
  <c r="O1743" i="7"/>
  <c r="O1744" i="7"/>
  <c r="O1775" i="7"/>
  <c r="O1772" i="7"/>
  <c r="O1773" i="7"/>
  <c r="O1774" i="7"/>
  <c r="O1770" i="7"/>
  <c r="O1769" i="7"/>
  <c r="O1776" i="7"/>
  <c r="O1771" i="7"/>
  <c r="O1785" i="7"/>
  <c r="O1786" i="7"/>
  <c r="O1787" i="7"/>
  <c r="O1788" i="7"/>
  <c r="O1789" i="7"/>
  <c r="O1790" i="7"/>
  <c r="O1791" i="7"/>
  <c r="O1792" i="7"/>
  <c r="O1781" i="7"/>
  <c r="O1782" i="7"/>
  <c r="O1783" i="7"/>
  <c r="O1784" i="7"/>
  <c r="O1777" i="7"/>
  <c r="O1778" i="7"/>
  <c r="O1779" i="7"/>
  <c r="O1780" i="7"/>
  <c r="O1793" i="7"/>
  <c r="O1794" i="7"/>
  <c r="O1795" i="7"/>
  <c r="O1796" i="7"/>
  <c r="O1801" i="7"/>
  <c r="O1797" i="7"/>
  <c r="O1798" i="7"/>
  <c r="O1799" i="7"/>
  <c r="O1800" i="7"/>
  <c r="O1802" i="7"/>
  <c r="O1803" i="7"/>
  <c r="O1804" i="7"/>
  <c r="O1805" i="7"/>
  <c r="O1806" i="7"/>
  <c r="O1807" i="7"/>
  <c r="O1808" i="7"/>
  <c r="O1809" i="7"/>
  <c r="O1810" i="7"/>
  <c r="O1824" i="7"/>
  <c r="O1825" i="7"/>
  <c r="O1826" i="7"/>
  <c r="O1827" i="7"/>
  <c r="O1828" i="7"/>
  <c r="O1829" i="7"/>
  <c r="O1831" i="7"/>
  <c r="O1832" i="7"/>
  <c r="O1830" i="7"/>
  <c r="O1821" i="7"/>
  <c r="O1822" i="7"/>
  <c r="O1823" i="7"/>
  <c r="O1811" i="7"/>
  <c r="O1812" i="7"/>
  <c r="O1813" i="7"/>
  <c r="O1814" i="7"/>
  <c r="O1815" i="7"/>
  <c r="O1816" i="7"/>
  <c r="O1817" i="7"/>
  <c r="O1818" i="7"/>
  <c r="O1819" i="7"/>
  <c r="O1820" i="7"/>
  <c r="O1833" i="7"/>
  <c r="O1834" i="7"/>
  <c r="O1835" i="7"/>
  <c r="O1836" i="7"/>
  <c r="O1837" i="7"/>
  <c r="O1838" i="7"/>
  <c r="O1839" i="7"/>
  <c r="O1840" i="7"/>
  <c r="O1841" i="7"/>
  <c r="O1842" i="7"/>
  <c r="O1843" i="7"/>
  <c r="O1844" i="7"/>
  <c r="O1845" i="7"/>
  <c r="O1846" i="7"/>
  <c r="O1929" i="7"/>
  <c r="O1847" i="7"/>
  <c r="O1848" i="7"/>
  <c r="O1849" i="7"/>
  <c r="O1850" i="7"/>
  <c r="O1851" i="7"/>
  <c r="O1852" i="7"/>
  <c r="O1853" i="7"/>
  <c r="O1854" i="7"/>
  <c r="O1855" i="7"/>
  <c r="O1856" i="7"/>
  <c r="O20" i="5" s="1"/>
  <c r="P20" i="5" s="1"/>
  <c r="O1857" i="7"/>
  <c r="O1858" i="7"/>
  <c r="O1859" i="7"/>
  <c r="O1860" i="7"/>
  <c r="O1861" i="7"/>
  <c r="O1862" i="7"/>
  <c r="O1863" i="7"/>
  <c r="O1864" i="7"/>
  <c r="O1865" i="7"/>
  <c r="O1866" i="7"/>
  <c r="O1867" i="7"/>
  <c r="O1868" i="7"/>
  <c r="O1869" i="7"/>
  <c r="O1870" i="7"/>
  <c r="O1871" i="7"/>
  <c r="O1872" i="7"/>
  <c r="O1873" i="7"/>
  <c r="O1874" i="7"/>
  <c r="O1875" i="7"/>
  <c r="O1876" i="7"/>
  <c r="O1877" i="7"/>
  <c r="O1878" i="7"/>
  <c r="O1879" i="7"/>
  <c r="O1880" i="7"/>
  <c r="O1881" i="7"/>
  <c r="O1882" i="7"/>
  <c r="O1883" i="7"/>
  <c r="O1884" i="7"/>
  <c r="O1885" i="7"/>
  <c r="O1886" i="7"/>
  <c r="O1887" i="7"/>
  <c r="O1888" i="7"/>
  <c r="O1889" i="7"/>
  <c r="O1890" i="7"/>
  <c r="O1891" i="7"/>
  <c r="O1892" i="7"/>
  <c r="O1893" i="7"/>
  <c r="O1894" i="7"/>
  <c r="O1895" i="7"/>
  <c r="O1896" i="7"/>
  <c r="O1897" i="7"/>
  <c r="O1898" i="7"/>
  <c r="O1899" i="7"/>
  <c r="O1900" i="7"/>
  <c r="O201" i="5" s="1"/>
  <c r="P201" i="5" s="1"/>
  <c r="O1901" i="7"/>
  <c r="O1902" i="7"/>
  <c r="O1903" i="7"/>
  <c r="O1904" i="7"/>
  <c r="O1905" i="7"/>
  <c r="O1906" i="7"/>
  <c r="O1907" i="7"/>
  <c r="O1908" i="7"/>
  <c r="O1909" i="7"/>
  <c r="O1910" i="7"/>
  <c r="O1911" i="7"/>
  <c r="O1912" i="7"/>
  <c r="O1913" i="7"/>
  <c r="O1914" i="7"/>
  <c r="O1915" i="7"/>
  <c r="O1916" i="7"/>
  <c r="O1917" i="7"/>
  <c r="O1918" i="7"/>
  <c r="O1919" i="7"/>
  <c r="O1920" i="7"/>
  <c r="O1921" i="7"/>
  <c r="O1922" i="7"/>
  <c r="O1923" i="7"/>
  <c r="O1924" i="7"/>
  <c r="O1925" i="7"/>
  <c r="O1926" i="7"/>
  <c r="O1927" i="7"/>
  <c r="O1928" i="7"/>
  <c r="O1930" i="7"/>
  <c r="O1931" i="7"/>
  <c r="O1932" i="7"/>
  <c r="O1933" i="7"/>
  <c r="O1934" i="7"/>
  <c r="O1935" i="7"/>
  <c r="O1936" i="7"/>
  <c r="O1937" i="7"/>
  <c r="O1938" i="7"/>
  <c r="O1939" i="7"/>
  <c r="O1940" i="7"/>
  <c r="O1941" i="7"/>
  <c r="O1942" i="7"/>
  <c r="O1943" i="7"/>
  <c r="O1944" i="7"/>
  <c r="O1945" i="7"/>
  <c r="O1946" i="7"/>
  <c r="O1947" i="7"/>
  <c r="O1948" i="7"/>
  <c r="O1949" i="7"/>
  <c r="O1950" i="7"/>
  <c r="O1951" i="7"/>
  <c r="O1952" i="7"/>
  <c r="O1953" i="7"/>
  <c r="O1954" i="7"/>
  <c r="O1955" i="7"/>
  <c r="O1956" i="7"/>
  <c r="O1957" i="7"/>
  <c r="O1958" i="7"/>
  <c r="O1959" i="7"/>
  <c r="O1960" i="7"/>
  <c r="O1961" i="7"/>
  <c r="O1962" i="7"/>
  <c r="O1963" i="7"/>
  <c r="O1964" i="7"/>
  <c r="O1965" i="7"/>
  <c r="O1966" i="7"/>
  <c r="O1967" i="7"/>
  <c r="O1968" i="7"/>
  <c r="O1969" i="7"/>
  <c r="O1970" i="7"/>
  <c r="O1971" i="7"/>
  <c r="O1972" i="7"/>
  <c r="O1973" i="7"/>
  <c r="O1974" i="7"/>
  <c r="O1975" i="7"/>
  <c r="O1976" i="7"/>
  <c r="O1977" i="7"/>
  <c r="O1978" i="7"/>
  <c r="O1979" i="7"/>
  <c r="O35" i="5" s="1"/>
  <c r="P35" i="5" s="1"/>
  <c r="O1980" i="7"/>
  <c r="O2019" i="7"/>
  <c r="O2018" i="7"/>
  <c r="O2017" i="7"/>
  <c r="O2016" i="7"/>
  <c r="O2015" i="7"/>
  <c r="O2014" i="7"/>
  <c r="O2013" i="7"/>
  <c r="O2012" i="7"/>
  <c r="O2011" i="7"/>
  <c r="O2010" i="7"/>
  <c r="O2009" i="7"/>
  <c r="O2008" i="7"/>
  <c r="O2007" i="7"/>
  <c r="O2006" i="7"/>
  <c r="O2005" i="7"/>
  <c r="O2004" i="7"/>
  <c r="O2003" i="7"/>
  <c r="O2002" i="7"/>
  <c r="O212" i="5" s="1"/>
  <c r="P212" i="5" s="1"/>
  <c r="O2001" i="7"/>
  <c r="O2000" i="7"/>
  <c r="O1999" i="7"/>
  <c r="O1998" i="7"/>
  <c r="O1997" i="7"/>
  <c r="O1996" i="7"/>
  <c r="O1995" i="7"/>
  <c r="O1994" i="7"/>
  <c r="O1993" i="7"/>
  <c r="O1985" i="7"/>
  <c r="O1991" i="7"/>
  <c r="O1986" i="7"/>
  <c r="O1987" i="7"/>
  <c r="O1988" i="7"/>
  <c r="O1989" i="7"/>
  <c r="O1990" i="7"/>
  <c r="O2022" i="7"/>
  <c r="O2024" i="7"/>
  <c r="O1992" i="7"/>
  <c r="O2023" i="7"/>
  <c r="O2021" i="7"/>
  <c r="O2020" i="7"/>
  <c r="O1981" i="7"/>
  <c r="O1982" i="7"/>
  <c r="O1983" i="7"/>
  <c r="O1984" i="7"/>
  <c r="O2030" i="7"/>
  <c r="O2029" i="7"/>
  <c r="O2028" i="7"/>
  <c r="O2027" i="7"/>
  <c r="O2026" i="7"/>
  <c r="O2025" i="7"/>
  <c r="O2074" i="7"/>
  <c r="O2073" i="7"/>
  <c r="O2072" i="7"/>
  <c r="O2071" i="7"/>
  <c r="O2070" i="7"/>
  <c r="O2069" i="7"/>
  <c r="O2068" i="7"/>
  <c r="O2067" i="7"/>
  <c r="O2066" i="7"/>
  <c r="O2065" i="7"/>
  <c r="O2064" i="7"/>
  <c r="O2063" i="7"/>
  <c r="O2062" i="7"/>
  <c r="O2061" i="7"/>
  <c r="O2060" i="7"/>
  <c r="O2043" i="7"/>
  <c r="O2041" i="7"/>
  <c r="O2040" i="7"/>
  <c r="O2039" i="7"/>
  <c r="O2038" i="7"/>
  <c r="O2037" i="7"/>
  <c r="O2042" i="7"/>
  <c r="O2035" i="7"/>
  <c r="O2058" i="7"/>
  <c r="O2033" i="7"/>
  <c r="O2032" i="7"/>
  <c r="O2031" i="7"/>
  <c r="O2036" i="7"/>
  <c r="O2053" i="7"/>
  <c r="O2078" i="7"/>
  <c r="O2077" i="7"/>
  <c r="O2076" i="7"/>
  <c r="O2075" i="7"/>
  <c r="O2057" i="7"/>
  <c r="O2056" i="7"/>
  <c r="O2059" i="7"/>
  <c r="O2055" i="7"/>
  <c r="O2054" i="7"/>
  <c r="O2052" i="7"/>
  <c r="O2051" i="7"/>
  <c r="O2050" i="7"/>
  <c r="O2049" i="7"/>
  <c r="O2048" i="7"/>
  <c r="O2047" i="7"/>
  <c r="O2046" i="7"/>
  <c r="O2045" i="7"/>
  <c r="O2044" i="7"/>
  <c r="O2034" i="7"/>
  <c r="O2091" i="7"/>
  <c r="O2092" i="7"/>
  <c r="O2093" i="7"/>
  <c r="O2094" i="7"/>
  <c r="O2095" i="7"/>
  <c r="O2096" i="7"/>
  <c r="O2097" i="7"/>
  <c r="O2098" i="7"/>
  <c r="O2099" i="7"/>
  <c r="O2100" i="7"/>
  <c r="O2101" i="7"/>
  <c r="O2102" i="7"/>
  <c r="O2103" i="7"/>
  <c r="O2104" i="7"/>
  <c r="O2105" i="7"/>
  <c r="O2106" i="7"/>
  <c r="O2107" i="7"/>
  <c r="O2108" i="7"/>
  <c r="O2109" i="7"/>
  <c r="O2110" i="7"/>
  <c r="O2111" i="7"/>
  <c r="O2112" i="7"/>
  <c r="O2113" i="7"/>
  <c r="O2114" i="7"/>
  <c r="O2115" i="7"/>
  <c r="O2116" i="7"/>
  <c r="O2117" i="7"/>
  <c r="O2118" i="7"/>
  <c r="O2119" i="7"/>
  <c r="O2120" i="7"/>
  <c r="O2121" i="7"/>
  <c r="O2122" i="7"/>
  <c r="O2123" i="7"/>
  <c r="O2124" i="7"/>
  <c r="O2125" i="7"/>
  <c r="O2126" i="7"/>
  <c r="O2127" i="7"/>
  <c r="O2128" i="7"/>
  <c r="O2129" i="7"/>
  <c r="O2130" i="7"/>
  <c r="O2131" i="7"/>
  <c r="O2132" i="7"/>
  <c r="O2133" i="7"/>
  <c r="O2134" i="7"/>
  <c r="O2135" i="7"/>
  <c r="O2136" i="7"/>
  <c r="O2137" i="7"/>
  <c r="O2138" i="7"/>
  <c r="O2139" i="7"/>
  <c r="O2140" i="7"/>
  <c r="O2141" i="7"/>
  <c r="O2142" i="7"/>
  <c r="O2143" i="7"/>
  <c r="O2144" i="7"/>
  <c r="O2145" i="7"/>
  <c r="O2146" i="7"/>
  <c r="O2147" i="7"/>
  <c r="O2148" i="7"/>
  <c r="O2149" i="7"/>
  <c r="O2150" i="7"/>
  <c r="O2151" i="7"/>
  <c r="O2152" i="7"/>
  <c r="O2153" i="7"/>
  <c r="O2154" i="7"/>
  <c r="O2155" i="7"/>
  <c r="O2156" i="7"/>
  <c r="O2157" i="7"/>
  <c r="O2158" i="7"/>
  <c r="O2159" i="7"/>
  <c r="O2160" i="7"/>
  <c r="O2161" i="7"/>
  <c r="O2162" i="7"/>
  <c r="O2163" i="7"/>
  <c r="O2164" i="7"/>
  <c r="O2165" i="7"/>
  <c r="O2166" i="7"/>
  <c r="O2167" i="7"/>
  <c r="O2168" i="7"/>
  <c r="O2169" i="7"/>
  <c r="O2170" i="7"/>
  <c r="O2171" i="7"/>
  <c r="O2172" i="7"/>
  <c r="O2173" i="7"/>
  <c r="O2174" i="7"/>
  <c r="O2175" i="7"/>
  <c r="O2176" i="7"/>
  <c r="O2177" i="7"/>
  <c r="O2178" i="7"/>
  <c r="O2079" i="7"/>
  <c r="O2080" i="7"/>
  <c r="O2081" i="7"/>
  <c r="O2082" i="7"/>
  <c r="O2083" i="7"/>
  <c r="O2084" i="7"/>
  <c r="O2085" i="7"/>
  <c r="O2086" i="7"/>
  <c r="O2087" i="7"/>
  <c r="O2088" i="7"/>
  <c r="O2089" i="7"/>
  <c r="O2090" i="7"/>
  <c r="O2361" i="7"/>
  <c r="O2278" i="7"/>
  <c r="O2279" i="7"/>
  <c r="O2280" i="7"/>
  <c r="O2281" i="7"/>
  <c r="O2282" i="7"/>
  <c r="O2283" i="7"/>
  <c r="O2284" i="7"/>
  <c r="O2285" i="7"/>
  <c r="O2286" i="7"/>
  <c r="O2287" i="7"/>
  <c r="O2288" i="7"/>
  <c r="O2289" i="7"/>
  <c r="O2290" i="7"/>
  <c r="O2291" i="7"/>
  <c r="O2292" i="7"/>
  <c r="O2293" i="7"/>
  <c r="O2294" i="7"/>
  <c r="O2295" i="7"/>
  <c r="O2296" i="7"/>
  <c r="O2297" i="7"/>
  <c r="O2298" i="7"/>
  <c r="O2299" i="7"/>
  <c r="O2300" i="7"/>
  <c r="O2301" i="7"/>
  <c r="O2302" i="7"/>
  <c r="O2303" i="7"/>
  <c r="O2304" i="7"/>
  <c r="O2305" i="7"/>
  <c r="O2306" i="7"/>
  <c r="O2307" i="7"/>
  <c r="O2308" i="7"/>
  <c r="O2309" i="7"/>
  <c r="O2310" i="7"/>
  <c r="O2311" i="7"/>
  <c r="O2312" i="7"/>
  <c r="O2313" i="7"/>
  <c r="O2314" i="7"/>
  <c r="O2315" i="7"/>
  <c r="O2316" i="7"/>
  <c r="O2317" i="7"/>
  <c r="O2318" i="7"/>
  <c r="O2319" i="7"/>
  <c r="O2320" i="7"/>
  <c r="O2321" i="7"/>
  <c r="O2322" i="7"/>
  <c r="O2183" i="7"/>
  <c r="O2323" i="7"/>
  <c r="O2324" i="7"/>
  <c r="O2325" i="7"/>
  <c r="O2326" i="7"/>
  <c r="O2327" i="7"/>
  <c r="O2328" i="7"/>
  <c r="O2329" i="7"/>
  <c r="O2330" i="7"/>
  <c r="O2331" i="7"/>
  <c r="O2332" i="7"/>
  <c r="O2333" i="7"/>
  <c r="O2334" i="7"/>
  <c r="O2335" i="7"/>
  <c r="O2336" i="7"/>
  <c r="O2337" i="7"/>
  <c r="O2338" i="7"/>
  <c r="O2339" i="7"/>
  <c r="O2340" i="7"/>
  <c r="O2341" i="7"/>
  <c r="O2342" i="7"/>
  <c r="O2343" i="7"/>
  <c r="O2344" i="7"/>
  <c r="O2345" i="7"/>
  <c r="O2346" i="7"/>
  <c r="O2347" i="7"/>
  <c r="O2348" i="7"/>
  <c r="O2349" i="7"/>
  <c r="O2350" i="7"/>
  <c r="O2351" i="7"/>
  <c r="O2352" i="7"/>
  <c r="O2353" i="7"/>
  <c r="O2354" i="7"/>
  <c r="O2355" i="7"/>
  <c r="O2356" i="7"/>
  <c r="O2357" i="7"/>
  <c r="O2358" i="7"/>
  <c r="O2359" i="7"/>
  <c r="O2360" i="7"/>
  <c r="O2362" i="7"/>
  <c r="O2363" i="7"/>
  <c r="O2364" i="7"/>
  <c r="O2180" i="7"/>
  <c r="O2181" i="7"/>
  <c r="O2182" i="7"/>
  <c r="O2365" i="7"/>
  <c r="O2184" i="7"/>
  <c r="O2185" i="7"/>
  <c r="O2186" i="7"/>
  <c r="O2187" i="7"/>
  <c r="O2188" i="7"/>
  <c r="O2189" i="7"/>
  <c r="O2190" i="7"/>
  <c r="O2191" i="7"/>
  <c r="O2192" i="7"/>
  <c r="O2193" i="7"/>
  <c r="O2194" i="7"/>
  <c r="O2195" i="7"/>
  <c r="O2196" i="7"/>
  <c r="O2197" i="7"/>
  <c r="O2198" i="7"/>
  <c r="O2199" i="7"/>
  <c r="O2200" i="7"/>
  <c r="O272" i="5" s="1"/>
  <c r="P272" i="5" s="1"/>
  <c r="O2201" i="7"/>
  <c r="O2202" i="7"/>
  <c r="O2203" i="7"/>
  <c r="O2204" i="7"/>
  <c r="O2205" i="7"/>
  <c r="O2206" i="7"/>
  <c r="O2207" i="7"/>
  <c r="O2208" i="7"/>
  <c r="O2209" i="7"/>
  <c r="O2210" i="7"/>
  <c r="O2211" i="7"/>
  <c r="O2212" i="7"/>
  <c r="O2213" i="7"/>
  <c r="O2214" i="7"/>
  <c r="O2215" i="7"/>
  <c r="O2216" i="7"/>
  <c r="O2217" i="7"/>
  <c r="O2218" i="7"/>
  <c r="O2219" i="7"/>
  <c r="O2220" i="7"/>
  <c r="O2221" i="7"/>
  <c r="O2222" i="7"/>
  <c r="O2223" i="7"/>
  <c r="O2224" i="7"/>
  <c r="O2225" i="7"/>
  <c r="O2226" i="7"/>
  <c r="O2227" i="7"/>
  <c r="O2228" i="7"/>
  <c r="O2229" i="7"/>
  <c r="O2230" i="7"/>
  <c r="O2231" i="7"/>
  <c r="O2232" i="7"/>
  <c r="O2233" i="7"/>
  <c r="O2234" i="7"/>
  <c r="O2235" i="7"/>
  <c r="O2236" i="7"/>
  <c r="O2237" i="7"/>
  <c r="O2238" i="7"/>
  <c r="O2239" i="7"/>
  <c r="O2240" i="7"/>
  <c r="O2241" i="7"/>
  <c r="O2242" i="7"/>
  <c r="O2243" i="7"/>
  <c r="O2244" i="7"/>
  <c r="O2245" i="7"/>
  <c r="O2246" i="7"/>
  <c r="O2247" i="7"/>
  <c r="O2248" i="7"/>
  <c r="O2249" i="7"/>
  <c r="O2250" i="7"/>
  <c r="O2251" i="7"/>
  <c r="O2252" i="7"/>
  <c r="O2253" i="7"/>
  <c r="O2254" i="7"/>
  <c r="O2255" i="7"/>
  <c r="O2256" i="7"/>
  <c r="O2257" i="7"/>
  <c r="O2258" i="7"/>
  <c r="O2259" i="7"/>
  <c r="O2260" i="7"/>
  <c r="O2261" i="7"/>
  <c r="O2262" i="7"/>
  <c r="O199" i="5" s="1"/>
  <c r="P199" i="5" s="1"/>
  <c r="O2263" i="7"/>
  <c r="O2264" i="7"/>
  <c r="O2265" i="7"/>
  <c r="O2266" i="7"/>
  <c r="O2267" i="7"/>
  <c r="O2268" i="7"/>
  <c r="O2269" i="7"/>
  <c r="O2270" i="7"/>
  <c r="O2271" i="7"/>
  <c r="O2272" i="7"/>
  <c r="O2273" i="7"/>
  <c r="O2274" i="7"/>
  <c r="O2275" i="7"/>
  <c r="O2276" i="7"/>
  <c r="O2277" i="7"/>
  <c r="O2390" i="7"/>
  <c r="O2389" i="7"/>
  <c r="O2371" i="7"/>
  <c r="O2388" i="7"/>
  <c r="O2387" i="7"/>
  <c r="O2386" i="7"/>
  <c r="O2385" i="7"/>
  <c r="O2384" i="7"/>
  <c r="O156" i="5" s="1"/>
  <c r="P156" i="5" s="1"/>
  <c r="O2383" i="7"/>
  <c r="O2382" i="7"/>
  <c r="O2381" i="7"/>
  <c r="O2380" i="7"/>
  <c r="O2379" i="7"/>
  <c r="O2378" i="7"/>
  <c r="O2377" i="7"/>
  <c r="O2376" i="7"/>
  <c r="O2375" i="7"/>
  <c r="O2374" i="7"/>
  <c r="O2373" i="7"/>
  <c r="O2372" i="7"/>
  <c r="O2366" i="7"/>
  <c r="O2367" i="7"/>
  <c r="O2368" i="7"/>
  <c r="O2394" i="7"/>
  <c r="O2369" i="7"/>
  <c r="O2370" i="7"/>
  <c r="O2397" i="7"/>
  <c r="O2391" i="7"/>
  <c r="O2392" i="7"/>
  <c r="O2393" i="7"/>
  <c r="O2395" i="7"/>
  <c r="O2396" i="7"/>
  <c r="O2399" i="7"/>
  <c r="O2398" i="7"/>
  <c r="O2400" i="7"/>
  <c r="O2403" i="7"/>
  <c r="O2402" i="7"/>
  <c r="O2401" i="7"/>
  <c r="O84" i="5" s="1"/>
  <c r="P84" i="5" s="1"/>
  <c r="O2417" i="7"/>
  <c r="O2416" i="7"/>
  <c r="O2415" i="7"/>
  <c r="O2414" i="7"/>
  <c r="O2413" i="7"/>
  <c r="O2412" i="7"/>
  <c r="O2411" i="7"/>
  <c r="O2410" i="7"/>
  <c r="O2409" i="7"/>
  <c r="O2407" i="7"/>
  <c r="O2406" i="7"/>
  <c r="O2405" i="7"/>
  <c r="O2404" i="7"/>
  <c r="O2408" i="7"/>
  <c r="O2419" i="7"/>
  <c r="O2418" i="7"/>
  <c r="O2426" i="7"/>
  <c r="O2424" i="7"/>
  <c r="O2423" i="7"/>
  <c r="O2422" i="7"/>
  <c r="O2425" i="7"/>
  <c r="O2421" i="7"/>
  <c r="O2420" i="7"/>
  <c r="O2427" i="7"/>
  <c r="O2428" i="7"/>
  <c r="O2429" i="7"/>
  <c r="O2430" i="7"/>
  <c r="O2431" i="7"/>
  <c r="O2432" i="7"/>
  <c r="O2433" i="7"/>
  <c r="O69" i="5" s="1"/>
  <c r="P69" i="5" s="1"/>
  <c r="O2435" i="7"/>
  <c r="O2436" i="7"/>
  <c r="O2437" i="7"/>
  <c r="O2438" i="7"/>
  <c r="O2439" i="7"/>
  <c r="O2441" i="7"/>
  <c r="O2442" i="7"/>
  <c r="O2440" i="7"/>
  <c r="O2434" i="7"/>
  <c r="O2444" i="7"/>
  <c r="O2445" i="7"/>
  <c r="O2450" i="7"/>
  <c r="O2446" i="7"/>
  <c r="O2447" i="7"/>
  <c r="O2448" i="7"/>
  <c r="O2449" i="7"/>
  <c r="O2451" i="7"/>
  <c r="O2452" i="7"/>
  <c r="O2453" i="7"/>
  <c r="O2454" i="7"/>
  <c r="O2455" i="7"/>
  <c r="O2456" i="7"/>
  <c r="O2457" i="7"/>
  <c r="O2458" i="7"/>
  <c r="O2464" i="7"/>
  <c r="O2465" i="7"/>
  <c r="O2463" i="7"/>
  <c r="O2459" i="7"/>
  <c r="O2460" i="7"/>
  <c r="O2461" i="7"/>
  <c r="O2462" i="7"/>
  <c r="O2466" i="7"/>
  <c r="O2467" i="7"/>
  <c r="O2468" i="7"/>
  <c r="O2543" i="7"/>
  <c r="O2542" i="7"/>
  <c r="O2541" i="7"/>
  <c r="O2540" i="7"/>
  <c r="O2539" i="7"/>
  <c r="O2538" i="7"/>
  <c r="O2537" i="7"/>
  <c r="O2536" i="7"/>
  <c r="O2534" i="7"/>
  <c r="O2533" i="7"/>
  <c r="O2532" i="7"/>
  <c r="O2531" i="7"/>
  <c r="O2530" i="7"/>
  <c r="O2535" i="7"/>
  <c r="O2529" i="7"/>
  <c r="O2528" i="7"/>
  <c r="O2527" i="7"/>
  <c r="O2526" i="7"/>
  <c r="O2525" i="7"/>
  <c r="O2524" i="7"/>
  <c r="O2523" i="7"/>
  <c r="O2522" i="7"/>
  <c r="O2521" i="7"/>
  <c r="O2520" i="7"/>
  <c r="O2519" i="7"/>
  <c r="O2518" i="7"/>
  <c r="O2517" i="7"/>
  <c r="O2516" i="7"/>
  <c r="O2477" i="7"/>
  <c r="O2514" i="7"/>
  <c r="O2513" i="7"/>
  <c r="O2512" i="7"/>
  <c r="O2511" i="7"/>
  <c r="O2510" i="7"/>
  <c r="O2508" i="7"/>
  <c r="O2507" i="7"/>
  <c r="O2506" i="7"/>
  <c r="O2505" i="7"/>
  <c r="O2504" i="7"/>
  <c r="O2503" i="7"/>
  <c r="O2502" i="7"/>
  <c r="O2501" i="7"/>
  <c r="O2500" i="7"/>
  <c r="O2499" i="7"/>
  <c r="O2498" i="7"/>
  <c r="O2497" i="7"/>
  <c r="O2496" i="7"/>
  <c r="O2495" i="7"/>
  <c r="O2494" i="7"/>
  <c r="O2493" i="7"/>
  <c r="O2492" i="7"/>
  <c r="O2491" i="7"/>
  <c r="O2490" i="7"/>
  <c r="O2551" i="7"/>
  <c r="O2509" i="7"/>
  <c r="O2550" i="7"/>
  <c r="O2469" i="7"/>
  <c r="O2548" i="7"/>
  <c r="O2547" i="7"/>
  <c r="O2487" i="7"/>
  <c r="O2546" i="7"/>
  <c r="O2545" i="7"/>
  <c r="O2470" i="7"/>
  <c r="O2471" i="7"/>
  <c r="O2472" i="7"/>
  <c r="O2473" i="7"/>
  <c r="O2474" i="7"/>
  <c r="O2475" i="7"/>
  <c r="O2476" i="7"/>
  <c r="O2515" i="7"/>
  <c r="O2478" i="7"/>
  <c r="O2479" i="7"/>
  <c r="O2480" i="7"/>
  <c r="O2481" i="7"/>
  <c r="O2482" i="7"/>
  <c r="O2483" i="7"/>
  <c r="O2484" i="7"/>
  <c r="O2485" i="7"/>
  <c r="O2486" i="7"/>
  <c r="O2488" i="7"/>
  <c r="O2489" i="7"/>
  <c r="O2544" i="7"/>
  <c r="O2549" i="7"/>
  <c r="O2562" i="7"/>
  <c r="O2563" i="7"/>
  <c r="O2564" i="7"/>
  <c r="O2565" i="7"/>
  <c r="O2566" i="7"/>
  <c r="O2567" i="7"/>
  <c r="O2568" i="7"/>
  <c r="O2569" i="7"/>
  <c r="O2570" i="7"/>
  <c r="O2571" i="7"/>
  <c r="O2572" i="7"/>
  <c r="O2573" i="7"/>
  <c r="O2574" i="7"/>
  <c r="O2575" i="7"/>
  <c r="O2576" i="7"/>
  <c r="O2577" i="7"/>
  <c r="O2578" i="7"/>
  <c r="O2579" i="7"/>
  <c r="O2580" i="7"/>
  <c r="O2581" i="7"/>
  <c r="O2582" i="7"/>
  <c r="O2583" i="7"/>
  <c r="O2584" i="7"/>
  <c r="O2585" i="7"/>
  <c r="O2586" i="7"/>
  <c r="O2587" i="7"/>
  <c r="O2588" i="7"/>
  <c r="O2589" i="7"/>
  <c r="O2590" i="7"/>
  <c r="O2591" i="7"/>
  <c r="O2592" i="7"/>
  <c r="O2593" i="7"/>
  <c r="O2594" i="7"/>
  <c r="O2595" i="7"/>
  <c r="O2596" i="7"/>
  <c r="O2597" i="7"/>
  <c r="O2598" i="7"/>
  <c r="O2599" i="7"/>
  <c r="O2600" i="7"/>
  <c r="O2552" i="7"/>
  <c r="O2553" i="7"/>
  <c r="O2554" i="7"/>
  <c r="O2555" i="7"/>
  <c r="O2556" i="7"/>
  <c r="O2557" i="7"/>
  <c r="O2558" i="7"/>
  <c r="O2559" i="7"/>
  <c r="O2560" i="7"/>
  <c r="O2561" i="7"/>
  <c r="O2637" i="7"/>
  <c r="O2617" i="7"/>
  <c r="O2618" i="7"/>
  <c r="O2619" i="7"/>
  <c r="O2620" i="7"/>
  <c r="O2621" i="7"/>
  <c r="O2622" i="7"/>
  <c r="O2623" i="7"/>
  <c r="O2624" i="7"/>
  <c r="O2625" i="7"/>
  <c r="O2626" i="7"/>
  <c r="O2627" i="7"/>
  <c r="O2628" i="7"/>
  <c r="O2629" i="7"/>
  <c r="O2630" i="7"/>
  <c r="O2683" i="7"/>
  <c r="O2632" i="7"/>
  <c r="O2633" i="7"/>
  <c r="O2634" i="7"/>
  <c r="O2635" i="7"/>
  <c r="O2636" i="7"/>
  <c r="O2684" i="7"/>
  <c r="O2638" i="7"/>
  <c r="O2639" i="7"/>
  <c r="O2640" i="7"/>
  <c r="O2641" i="7"/>
  <c r="O2642" i="7"/>
  <c r="O2643" i="7"/>
  <c r="O2644" i="7"/>
  <c r="O2645" i="7"/>
  <c r="O2646" i="7"/>
  <c r="O2647" i="7"/>
  <c r="O2648" i="7"/>
  <c r="O2649" i="7"/>
  <c r="O2650" i="7"/>
  <c r="O2651" i="7"/>
  <c r="O2652" i="7"/>
  <c r="O2653" i="7"/>
  <c r="O2654" i="7"/>
  <c r="O2655" i="7"/>
  <c r="O2656" i="7"/>
  <c r="O2657" i="7"/>
  <c r="O2704" i="7"/>
  <c r="O2685" i="7"/>
  <c r="O2703" i="7"/>
  <c r="O2702" i="7"/>
  <c r="O2701" i="7"/>
  <c r="O2700" i="7"/>
  <c r="O2699" i="7"/>
  <c r="O2698" i="7"/>
  <c r="O2697" i="7"/>
  <c r="O2696" i="7"/>
  <c r="O2695" i="7"/>
  <c r="O2694" i="7"/>
  <c r="O2693" i="7"/>
  <c r="O2692" i="7"/>
  <c r="O2691" i="7"/>
  <c r="O2690" i="7"/>
  <c r="O2689" i="7"/>
  <c r="O2688" i="7"/>
  <c r="O2687" i="7"/>
  <c r="O2658" i="7"/>
  <c r="O2659" i="7"/>
  <c r="O2660" i="7"/>
  <c r="O2661" i="7"/>
  <c r="O2662" i="7"/>
  <c r="O2663" i="7"/>
  <c r="O2664" i="7"/>
  <c r="O2665" i="7"/>
  <c r="O2666" i="7"/>
  <c r="O2667" i="7"/>
  <c r="O2668" i="7"/>
  <c r="O2669" i="7"/>
  <c r="O2670" i="7"/>
  <c r="O2671" i="7"/>
  <c r="O2672" i="7"/>
  <c r="O2673" i="7"/>
  <c r="O2674" i="7"/>
  <c r="O2675" i="7"/>
  <c r="O2676" i="7"/>
  <c r="O2677" i="7"/>
  <c r="O2678" i="7"/>
  <c r="O2679" i="7"/>
  <c r="O2680" i="7"/>
  <c r="O2681" i="7"/>
  <c r="O2682" i="7"/>
  <c r="O2686" i="7"/>
  <c r="O2631" i="7"/>
  <c r="O2601" i="7"/>
  <c r="O2602" i="7"/>
  <c r="O2603" i="7"/>
  <c r="O2604" i="7"/>
  <c r="O2605" i="7"/>
  <c r="O2606" i="7"/>
  <c r="O2607" i="7"/>
  <c r="O2608" i="7"/>
  <c r="O2609" i="7"/>
  <c r="O2610" i="7"/>
  <c r="O2611" i="7"/>
  <c r="O2612" i="7"/>
  <c r="O2613" i="7"/>
  <c r="O2614" i="7"/>
  <c r="O2615" i="7"/>
  <c r="O2616" i="7"/>
  <c r="O2722" i="7"/>
  <c r="O2723" i="7"/>
  <c r="O2724" i="7"/>
  <c r="O2725" i="7"/>
  <c r="O2726" i="7"/>
  <c r="O2727" i="7"/>
  <c r="O2728" i="7"/>
  <c r="O2729" i="7"/>
  <c r="O2730" i="7"/>
  <c r="O2731" i="7"/>
  <c r="O2732" i="7"/>
  <c r="O2733" i="7"/>
  <c r="O2734" i="7"/>
  <c r="O2735" i="7"/>
  <c r="O2736" i="7"/>
  <c r="O2737" i="7"/>
  <c r="O2738" i="7"/>
  <c r="O2739" i="7"/>
  <c r="O2740" i="7"/>
  <c r="O2741" i="7"/>
  <c r="O2742" i="7"/>
  <c r="O2743" i="7"/>
  <c r="O2744" i="7"/>
  <c r="O2745" i="7"/>
  <c r="O2746" i="7"/>
  <c r="O2747" i="7"/>
  <c r="O2748" i="7"/>
  <c r="O2749" i="7"/>
  <c r="O2750" i="7"/>
  <c r="O2751" i="7"/>
  <c r="O2752" i="7"/>
  <c r="O2753" i="7"/>
  <c r="O2754" i="7"/>
  <c r="O2755" i="7"/>
  <c r="O2756" i="7"/>
  <c r="O2757" i="7"/>
  <c r="O2758" i="7"/>
  <c r="O2759" i="7"/>
  <c r="O2760" i="7"/>
  <c r="O2761" i="7"/>
  <c r="O2762" i="7"/>
  <c r="O2790" i="7"/>
  <c r="O2763" i="7"/>
  <c r="O2789" i="7"/>
  <c r="O2788" i="7"/>
  <c r="O2787" i="7"/>
  <c r="O2786" i="7"/>
  <c r="O2785" i="7"/>
  <c r="O2784" i="7"/>
  <c r="O2783" i="7"/>
  <c r="O2782" i="7"/>
  <c r="O2781" i="7"/>
  <c r="O2780" i="7"/>
  <c r="O2779" i="7"/>
  <c r="O2778" i="7"/>
  <c r="O2777" i="7"/>
  <c r="O2776" i="7"/>
  <c r="O2775" i="7"/>
  <c r="O2774" i="7"/>
  <c r="O2773" i="7"/>
  <c r="O2772" i="7"/>
  <c r="O2771" i="7"/>
  <c r="O2770" i="7"/>
  <c r="O2769" i="7"/>
  <c r="O2768" i="7"/>
  <c r="O2767" i="7"/>
  <c r="O2765" i="7"/>
  <c r="O2764" i="7"/>
  <c r="O2766" i="7"/>
  <c r="O2705" i="7"/>
  <c r="O2706" i="7"/>
  <c r="O2707" i="7"/>
  <c r="O2708" i="7"/>
  <c r="O2709" i="7"/>
  <c r="O2710" i="7"/>
  <c r="O2711" i="7"/>
  <c r="O2712" i="7"/>
  <c r="O2713" i="7"/>
  <c r="O2714" i="7"/>
  <c r="O2715" i="7"/>
  <c r="O2716" i="7"/>
  <c r="O2717" i="7"/>
  <c r="O2718" i="7"/>
  <c r="O2719" i="7"/>
  <c r="O2720" i="7"/>
  <c r="O2721" i="7"/>
  <c r="O2791" i="7"/>
  <c r="O2792" i="7"/>
  <c r="O2793" i="7"/>
  <c r="O2796" i="7"/>
  <c r="O2795" i="7"/>
  <c r="O2797" i="7"/>
  <c r="O2798" i="7"/>
  <c r="O2799" i="7"/>
  <c r="O2802" i="7"/>
  <c r="O2800" i="7"/>
  <c r="O2801" i="7"/>
  <c r="O2838" i="7"/>
  <c r="O2837" i="7"/>
  <c r="O2836" i="7"/>
  <c r="O2835" i="7"/>
  <c r="O2834" i="7"/>
  <c r="O2833" i="7"/>
  <c r="O2832" i="7"/>
  <c r="O2812" i="7"/>
  <c r="O2830" i="7"/>
  <c r="O2829" i="7"/>
  <c r="O2828" i="7"/>
  <c r="O2827" i="7"/>
  <c r="O2826" i="7"/>
  <c r="O2825" i="7"/>
  <c r="O2809" i="7"/>
  <c r="O2823" i="7"/>
  <c r="O2822" i="7"/>
  <c r="O2821" i="7"/>
  <c r="O2820" i="7"/>
  <c r="O2819" i="7"/>
  <c r="O2818" i="7"/>
  <c r="O2817" i="7"/>
  <c r="O2816" i="7"/>
  <c r="O2815" i="7"/>
  <c r="O2814" i="7"/>
  <c r="O2813" i="7"/>
  <c r="O2808" i="7"/>
  <c r="O2811" i="7"/>
  <c r="O2831" i="7"/>
  <c r="O2803" i="7"/>
  <c r="O2804" i="7"/>
  <c r="O2824" i="7"/>
  <c r="O2805" i="7"/>
  <c r="O2806" i="7"/>
  <c r="O2807" i="7"/>
  <c r="O2840" i="7"/>
  <c r="O2839" i="7"/>
  <c r="O2810" i="7"/>
  <c r="O2842" i="7"/>
  <c r="O2843" i="7"/>
  <c r="O2841" i="7"/>
  <c r="O227" i="5" s="1"/>
  <c r="O2849" i="7"/>
  <c r="O2848" i="7"/>
  <c r="O2847" i="7"/>
  <c r="O2846" i="7"/>
  <c r="O2845" i="7"/>
  <c r="O2844" i="7"/>
  <c r="O2850" i="7"/>
  <c r="O2851" i="7"/>
  <c r="O2852" i="7"/>
  <c r="O2853" i="7"/>
  <c r="O2854" i="7"/>
  <c r="O2855" i="7"/>
  <c r="O2856" i="7"/>
  <c r="O2857" i="7"/>
  <c r="O2858" i="7"/>
  <c r="O2859" i="7"/>
  <c r="O2860" i="7"/>
  <c r="O2861" i="7"/>
  <c r="O2862" i="7"/>
  <c r="O2863" i="7"/>
  <c r="O2864" i="7"/>
  <c r="O2865" i="7"/>
  <c r="O2866" i="7"/>
  <c r="O2867" i="7"/>
  <c r="O2868" i="7"/>
  <c r="O2869" i="7"/>
  <c r="O2870" i="7"/>
  <c r="O2871" i="7"/>
  <c r="O2872" i="7"/>
  <c r="O2873" i="7"/>
  <c r="O2874" i="7"/>
  <c r="O2875" i="7"/>
  <c r="O2876" i="7"/>
  <c r="O2877" i="7"/>
  <c r="O2878" i="7"/>
  <c r="O2879" i="7"/>
  <c r="O2880" i="7"/>
  <c r="O2881" i="7"/>
  <c r="O2882" i="7"/>
  <c r="O2883" i="7"/>
  <c r="O2884" i="7"/>
  <c r="O2885" i="7"/>
  <c r="O2886" i="7"/>
  <c r="O2887" i="7"/>
  <c r="O2888" i="7"/>
  <c r="O2890" i="7"/>
  <c r="O2891" i="7"/>
  <c r="O2892" i="7"/>
  <c r="O2893" i="7"/>
  <c r="O2894" i="7"/>
  <c r="O2895" i="7"/>
  <c r="O2896" i="7"/>
  <c r="O2897" i="7"/>
  <c r="O2898" i="7"/>
  <c r="O2899" i="7"/>
  <c r="O2900" i="7"/>
  <c r="O2901" i="7"/>
  <c r="O2902" i="7"/>
  <c r="O2903" i="7"/>
  <c r="O2904" i="7"/>
  <c r="O2905" i="7"/>
  <c r="O2906" i="7"/>
  <c r="O2907" i="7"/>
  <c r="O2908" i="7"/>
  <c r="O222" i="5" s="1"/>
  <c r="O2909" i="7"/>
  <c r="O2910" i="7"/>
  <c r="O2911" i="7"/>
  <c r="O2912" i="7"/>
  <c r="O2914" i="7"/>
  <c r="O2915" i="7"/>
  <c r="O2916" i="7"/>
  <c r="O2917" i="7"/>
  <c r="O2918" i="7"/>
  <c r="O2919" i="7"/>
  <c r="O2920" i="7"/>
  <c r="O2921" i="7"/>
  <c r="O2922" i="7"/>
  <c r="O2923" i="7"/>
  <c r="O2924" i="7"/>
  <c r="O2925" i="7"/>
  <c r="O2926" i="7"/>
  <c r="O249" i="5" s="1"/>
  <c r="P249" i="5" s="1"/>
  <c r="O2928" i="7"/>
  <c r="O2929" i="7"/>
  <c r="O2930" i="7"/>
  <c r="O2931" i="7"/>
  <c r="O2932" i="7"/>
  <c r="O2933" i="7"/>
  <c r="O2934" i="7"/>
  <c r="O2935" i="7"/>
  <c r="O2936" i="7"/>
  <c r="O2937" i="7"/>
  <c r="O2938" i="7"/>
  <c r="O2939" i="7"/>
  <c r="O2940" i="7"/>
  <c r="O2941" i="7"/>
  <c r="O2942" i="7"/>
  <c r="O2943" i="7"/>
  <c r="O2944" i="7"/>
  <c r="O2945" i="7"/>
  <c r="O2951" i="7"/>
  <c r="O2946" i="7"/>
  <c r="O2947" i="7"/>
  <c r="O2948" i="7"/>
  <c r="O2949" i="7"/>
  <c r="O2950" i="7"/>
  <c r="O2952" i="7"/>
  <c r="O2953" i="7"/>
  <c r="O2954" i="7"/>
  <c r="O2955" i="7"/>
  <c r="O2956" i="7"/>
  <c r="O2957" i="7"/>
  <c r="O2958" i="7"/>
  <c r="O2959" i="7"/>
  <c r="O3063" i="7"/>
  <c r="O2999" i="7"/>
  <c r="O3000" i="7"/>
  <c r="O3001" i="7"/>
  <c r="O3002" i="7"/>
  <c r="O3003" i="7"/>
  <c r="O3004" i="7"/>
  <c r="O3005" i="7"/>
  <c r="O3006" i="7"/>
  <c r="O3007" i="7"/>
  <c r="O3070" i="7"/>
  <c r="O3069" i="7"/>
  <c r="O3068" i="7"/>
  <c r="O3067" i="7"/>
  <c r="O3066" i="7"/>
  <c r="O3065" i="7"/>
  <c r="O3064" i="7"/>
  <c r="O3046" i="7"/>
  <c r="O3062" i="7"/>
  <c r="O3061" i="7"/>
  <c r="O3060" i="7"/>
  <c r="O3059" i="7"/>
  <c r="O3058" i="7"/>
  <c r="O3057" i="7"/>
  <c r="O3056" i="7"/>
  <c r="O3055" i="7"/>
  <c r="O3054" i="7"/>
  <c r="O3053" i="7"/>
  <c r="O3052" i="7"/>
  <c r="O3051" i="7"/>
  <c r="O3050" i="7"/>
  <c r="O3049" i="7"/>
  <c r="O3048" i="7"/>
  <c r="O3047" i="7"/>
  <c r="O3008" i="7"/>
  <c r="O172" i="5" s="1"/>
  <c r="P172" i="5" s="1"/>
  <c r="O3045" i="7"/>
  <c r="O3044" i="7"/>
  <c r="O3043" i="7"/>
  <c r="O3042" i="7"/>
  <c r="O3041" i="7"/>
  <c r="O3040" i="7"/>
  <c r="O3039" i="7"/>
  <c r="O3038" i="7"/>
  <c r="O3037" i="7"/>
  <c r="O3036" i="7"/>
  <c r="O3035" i="7"/>
  <c r="O3034" i="7"/>
  <c r="O3033" i="7"/>
  <c r="O3032" i="7"/>
  <c r="O3031" i="7"/>
  <c r="O3030" i="7"/>
  <c r="O3029" i="7"/>
  <c r="O3028" i="7"/>
  <c r="O3027" i="7"/>
  <c r="O3025" i="7"/>
  <c r="O3024" i="7"/>
  <c r="O3023" i="7"/>
  <c r="O3022" i="7"/>
  <c r="O3021" i="7"/>
  <c r="O3020" i="7"/>
  <c r="O3019" i="7"/>
  <c r="O3018" i="7"/>
  <c r="O3017" i="7"/>
  <c r="O3016" i="7"/>
  <c r="O3015" i="7"/>
  <c r="O3009" i="7"/>
  <c r="O3010" i="7"/>
  <c r="O3011" i="7"/>
  <c r="O3012" i="7"/>
  <c r="O3013" i="7"/>
  <c r="O3026" i="7"/>
  <c r="O3014" i="7"/>
  <c r="O2961" i="7"/>
  <c r="O2962" i="7"/>
  <c r="O2963" i="7"/>
  <c r="O2964" i="7"/>
  <c r="O2965" i="7"/>
  <c r="O2966" i="7"/>
  <c r="O2967" i="7"/>
  <c r="O2968" i="7"/>
  <c r="O2969" i="7"/>
  <c r="O2970" i="7"/>
  <c r="O2971" i="7"/>
  <c r="O2972" i="7"/>
  <c r="O2973" i="7"/>
  <c r="O2974" i="7"/>
  <c r="O2975" i="7"/>
  <c r="O2976" i="7"/>
  <c r="O2977" i="7"/>
  <c r="O2978" i="7"/>
  <c r="O2979" i="7"/>
  <c r="O2980" i="7"/>
  <c r="O2981" i="7"/>
  <c r="O2982" i="7"/>
  <c r="O2983" i="7"/>
  <c r="O2984" i="7"/>
  <c r="O2985" i="7"/>
  <c r="O2986" i="7"/>
  <c r="O2987" i="7"/>
  <c r="O2988" i="7"/>
  <c r="O2989" i="7"/>
  <c r="O2990" i="7"/>
  <c r="O2991" i="7"/>
  <c r="O2992" i="7"/>
  <c r="O2993" i="7"/>
  <c r="O2994" i="7"/>
  <c r="O2995" i="7"/>
  <c r="O2996" i="7"/>
  <c r="O2997" i="7"/>
  <c r="O2998" i="7"/>
  <c r="O3080" i="7"/>
  <c r="O3079" i="7"/>
  <c r="O3078" i="7"/>
  <c r="O3077" i="7"/>
  <c r="O3075" i="7"/>
  <c r="O233" i="5" s="1"/>
  <c r="O3074" i="7"/>
  <c r="O3073" i="7"/>
  <c r="O3072" i="7"/>
  <c r="O3071" i="7"/>
  <c r="O3081" i="7"/>
  <c r="O3076" i="7"/>
  <c r="O3085" i="7"/>
  <c r="O3084" i="7"/>
  <c r="O3083" i="7"/>
  <c r="O3082" i="7"/>
  <c r="O3090" i="7"/>
  <c r="O3089" i="7"/>
  <c r="O3088" i="7"/>
  <c r="O3087" i="7"/>
  <c r="O3086" i="7"/>
  <c r="O3091" i="7"/>
  <c r="O3101" i="7"/>
  <c r="O3100" i="7"/>
  <c r="O3099" i="7"/>
  <c r="O3098" i="7"/>
  <c r="O3096" i="7"/>
  <c r="O3097" i="7"/>
  <c r="O3095" i="7"/>
  <c r="O3094" i="7"/>
  <c r="O3093" i="7"/>
  <c r="O3092" i="7"/>
  <c r="O3174" i="7"/>
  <c r="O3175" i="7"/>
  <c r="O3176" i="7"/>
  <c r="O3177" i="7"/>
  <c r="O3178" i="7"/>
  <c r="O3179" i="7"/>
  <c r="O3180" i="7"/>
  <c r="O3181" i="7"/>
  <c r="O3102" i="7"/>
  <c r="O3103" i="7"/>
  <c r="O3104" i="7"/>
  <c r="O3105" i="7"/>
  <c r="O3106" i="7"/>
  <c r="O3107" i="7"/>
  <c r="O3108" i="7"/>
  <c r="O3109" i="7"/>
  <c r="O3110" i="7"/>
  <c r="O3111" i="7"/>
  <c r="O3112" i="7"/>
  <c r="O3113" i="7"/>
  <c r="O3114" i="7"/>
  <c r="O3115" i="7"/>
  <c r="O3116" i="7"/>
  <c r="O3117" i="7"/>
  <c r="O3118" i="7"/>
  <c r="O3119" i="7"/>
  <c r="O3120" i="7"/>
  <c r="O3121" i="7"/>
  <c r="O3122" i="7"/>
  <c r="O3123" i="7"/>
  <c r="O3124" i="7"/>
  <c r="O3125" i="7"/>
  <c r="O3126" i="7"/>
  <c r="O3127" i="7"/>
  <c r="O3128" i="7"/>
  <c r="O3129" i="7"/>
  <c r="O3130" i="7"/>
  <c r="O3131" i="7"/>
  <c r="O3132" i="7"/>
  <c r="O3133" i="7"/>
  <c r="O3134" i="7"/>
  <c r="O3135" i="7"/>
  <c r="O3136" i="7"/>
  <c r="O3137" i="7"/>
  <c r="O3138" i="7"/>
  <c r="O3139" i="7"/>
  <c r="O3140" i="7"/>
  <c r="O3141" i="7"/>
  <c r="O3142" i="7"/>
  <c r="O3143" i="7"/>
  <c r="O3144" i="7"/>
  <c r="O3145" i="7"/>
  <c r="O3146" i="7"/>
  <c r="O3147" i="7"/>
  <c r="O3148" i="7"/>
  <c r="O3149" i="7"/>
  <c r="O3150" i="7"/>
  <c r="O3151" i="7"/>
  <c r="O3152" i="7"/>
  <c r="O3153" i="7"/>
  <c r="O3154" i="7"/>
  <c r="O3155" i="7"/>
  <c r="O3156" i="7"/>
  <c r="O3157" i="7"/>
  <c r="O3158" i="7"/>
  <c r="O3159" i="7"/>
  <c r="O3160" i="7"/>
  <c r="O3161" i="7"/>
  <c r="O3162" i="7"/>
  <c r="O3163" i="7"/>
  <c r="O3164" i="7"/>
  <c r="O3165" i="7"/>
  <c r="O3166" i="7"/>
  <c r="O3167" i="7"/>
  <c r="O3168" i="7"/>
  <c r="O3169" i="7"/>
  <c r="O3170" i="7"/>
  <c r="O3171" i="7"/>
  <c r="O3172" i="7"/>
  <c r="O3173" i="7"/>
  <c r="O3186" i="7"/>
  <c r="O3182" i="7"/>
  <c r="O3183" i="7"/>
  <c r="O3184" i="7"/>
  <c r="O3185" i="7"/>
  <c r="O3187" i="7"/>
  <c r="O3188" i="7"/>
  <c r="O3189" i="7"/>
  <c r="O3190" i="7"/>
  <c r="O3191" i="7"/>
  <c r="O3198" i="7"/>
  <c r="O3193" i="7"/>
  <c r="O3194" i="7"/>
  <c r="O3195" i="7"/>
  <c r="O3196" i="7"/>
  <c r="O3197" i="7"/>
  <c r="O3192" i="7"/>
  <c r="O3199" i="7"/>
  <c r="O3200" i="7"/>
  <c r="O3211" i="7"/>
  <c r="O3212" i="7"/>
  <c r="O3213" i="7"/>
  <c r="O3214" i="7"/>
  <c r="O3215" i="7"/>
  <c r="O3216" i="7"/>
  <c r="O3206" i="7"/>
  <c r="O3218" i="7"/>
  <c r="O3219" i="7"/>
  <c r="O3220" i="7"/>
  <c r="O3201" i="7"/>
  <c r="O3202" i="7"/>
  <c r="O3203" i="7"/>
  <c r="O3204" i="7"/>
  <c r="O3217" i="7"/>
  <c r="O3205" i="7"/>
  <c r="O3207" i="7"/>
  <c r="O3208" i="7"/>
  <c r="O3209" i="7"/>
  <c r="O3210" i="7"/>
  <c r="O3221" i="7"/>
  <c r="O3222" i="7"/>
  <c r="O3223" i="7"/>
  <c r="O3224" i="7"/>
  <c r="O3225" i="7"/>
  <c r="O3226" i="7"/>
  <c r="O3227" i="7"/>
  <c r="O3228" i="7"/>
  <c r="O3231" i="7"/>
  <c r="O3230" i="7"/>
  <c r="O3229" i="7"/>
  <c r="O3250" i="7"/>
  <c r="O3251" i="7"/>
  <c r="O3252" i="7"/>
  <c r="O3253" i="7"/>
  <c r="O3254" i="7"/>
  <c r="O3255" i="7"/>
  <c r="O3256" i="7"/>
  <c r="O3257" i="7"/>
  <c r="O260" i="5" s="1"/>
  <c r="P260" i="5" s="1"/>
  <c r="O3258" i="7"/>
  <c r="O3259" i="7"/>
  <c r="O3260" i="7"/>
  <c r="O3261" i="7"/>
  <c r="O3262" i="7"/>
  <c r="O3263" i="7"/>
  <c r="O3264" i="7"/>
  <c r="O3265" i="7"/>
  <c r="O3266" i="7"/>
  <c r="O3267" i="7"/>
  <c r="O3268" i="7"/>
  <c r="O3269" i="7"/>
  <c r="O3270" i="7"/>
  <c r="O3271" i="7"/>
  <c r="O3272" i="7"/>
  <c r="O3273" i="7"/>
  <c r="O3274" i="7"/>
  <c r="O3275" i="7"/>
  <c r="O3276" i="7"/>
  <c r="O3277" i="7"/>
  <c r="O3278" i="7"/>
  <c r="O3279" i="7"/>
  <c r="O3280" i="7"/>
  <c r="O3281" i="7"/>
  <c r="O3282" i="7"/>
  <c r="O3283" i="7"/>
  <c r="O3284" i="7"/>
  <c r="O3285" i="7"/>
  <c r="O3286" i="7"/>
  <c r="O3287" i="7"/>
  <c r="O3288" i="7"/>
  <c r="O3289" i="7"/>
  <c r="O3290" i="7"/>
  <c r="O3291" i="7"/>
  <c r="O3292" i="7"/>
  <c r="O3293" i="7"/>
  <c r="O3294" i="7"/>
  <c r="O3295" i="7"/>
  <c r="O3296" i="7"/>
  <c r="O3297" i="7"/>
  <c r="O3298" i="7"/>
  <c r="O3299" i="7"/>
  <c r="O3300" i="7"/>
  <c r="O3301" i="7"/>
  <c r="O3302" i="7"/>
  <c r="O3303" i="7"/>
  <c r="O3304" i="7"/>
  <c r="O3238" i="7"/>
  <c r="O3305" i="7"/>
  <c r="O3306" i="7"/>
  <c r="O3307" i="7"/>
  <c r="O3308" i="7"/>
  <c r="O3309" i="7"/>
  <c r="O3310" i="7"/>
  <c r="O3311" i="7"/>
  <c r="O3312" i="7"/>
  <c r="O220" i="5" s="1"/>
  <c r="P220" i="5" s="1"/>
  <c r="O3313" i="7"/>
  <c r="O3314" i="7"/>
  <c r="O3315" i="7"/>
  <c r="O3316" i="7"/>
  <c r="O3317" i="7"/>
  <c r="O3318" i="7"/>
  <c r="O3319" i="7"/>
  <c r="O3320" i="7"/>
  <c r="O3321" i="7"/>
  <c r="O3322" i="7"/>
  <c r="O3323" i="7"/>
  <c r="O3324" i="7"/>
  <c r="O3325" i="7"/>
  <c r="O3326" i="7"/>
  <c r="O3327" i="7"/>
  <c r="O3328" i="7"/>
  <c r="O3329" i="7"/>
  <c r="O3330" i="7"/>
  <c r="O3331" i="7"/>
  <c r="O3332" i="7"/>
  <c r="O3333" i="7"/>
  <c r="O3334" i="7"/>
  <c r="O3335" i="7"/>
  <c r="O3336" i="7"/>
  <c r="O3232" i="7"/>
  <c r="O3233" i="7"/>
  <c r="O3234" i="7"/>
  <c r="O3235" i="7"/>
  <c r="O3236" i="7"/>
  <c r="O3237" i="7"/>
  <c r="O3337" i="7"/>
  <c r="O3239" i="7"/>
  <c r="O3240" i="7"/>
  <c r="O3241" i="7"/>
  <c r="O3242" i="7"/>
  <c r="O3243" i="7"/>
  <c r="O3244" i="7"/>
  <c r="O3245" i="7"/>
  <c r="O3246" i="7"/>
  <c r="O3247" i="7"/>
  <c r="O3248" i="7"/>
  <c r="O3249" i="7"/>
  <c r="O3347" i="7"/>
  <c r="O3346" i="7"/>
  <c r="O3345" i="7"/>
  <c r="O3344" i="7"/>
  <c r="O3343" i="7"/>
  <c r="O3342" i="7"/>
  <c r="O3341" i="7"/>
  <c r="O3340" i="7"/>
  <c r="O3339" i="7"/>
  <c r="O3338" i="7"/>
  <c r="O3352" i="7"/>
  <c r="O3351" i="7"/>
  <c r="O3350" i="7"/>
  <c r="O3349" i="7"/>
  <c r="O3348" i="7"/>
  <c r="O3356" i="7"/>
  <c r="O3354" i="7"/>
  <c r="O3359" i="7"/>
  <c r="O3358" i="7"/>
  <c r="O3357" i="7"/>
  <c r="O3355" i="7"/>
  <c r="O3353" i="7"/>
  <c r="O3363" i="7"/>
  <c r="O3362" i="7"/>
  <c r="O3360" i="7"/>
  <c r="O3361" i="7"/>
  <c r="O3368" i="7"/>
  <c r="O3367" i="7"/>
  <c r="O3366" i="7"/>
  <c r="O3365" i="7"/>
  <c r="O3364" i="7"/>
  <c r="O3370" i="7"/>
  <c r="O3369" i="7"/>
  <c r="O3372" i="7"/>
  <c r="O3373" i="7"/>
  <c r="O3385" i="7"/>
  <c r="O3384" i="7"/>
  <c r="O3383" i="7"/>
  <c r="O3381" i="7"/>
  <c r="O3380" i="7"/>
  <c r="O3382" i="7"/>
  <c r="O3378" i="7"/>
  <c r="O3377" i="7"/>
  <c r="O3376" i="7"/>
  <c r="O3375" i="7"/>
  <c r="O3374" i="7"/>
  <c r="O3379" i="7"/>
  <c r="O3388" i="7"/>
  <c r="O3387" i="7"/>
  <c r="O3398" i="7"/>
  <c r="O3401" i="7"/>
  <c r="O3400" i="7"/>
  <c r="O3391" i="7"/>
  <c r="O3392" i="7"/>
  <c r="O3393" i="7"/>
  <c r="O3394" i="7"/>
  <c r="O3395" i="7"/>
  <c r="O3396" i="7"/>
  <c r="O3397" i="7"/>
  <c r="O3402" i="7"/>
  <c r="O3399" i="7"/>
  <c r="O3422" i="7"/>
  <c r="O3421" i="7"/>
  <c r="O3420" i="7"/>
  <c r="O3419" i="7"/>
  <c r="O3418" i="7"/>
  <c r="O3417" i="7"/>
  <c r="O3416" i="7"/>
  <c r="O3415" i="7"/>
  <c r="O3414" i="7"/>
  <c r="O3413" i="7"/>
  <c r="O3412" i="7"/>
  <c r="O3411" i="7"/>
  <c r="O3410" i="7"/>
  <c r="O3409" i="7"/>
  <c r="O3408" i="7"/>
  <c r="O3407" i="7"/>
  <c r="O3406" i="7"/>
  <c r="O3405" i="7"/>
  <c r="O3404" i="7"/>
  <c r="O3403" i="7"/>
  <c r="O3486" i="7"/>
  <c r="O3485" i="7"/>
  <c r="O3484" i="7"/>
  <c r="O3483" i="7"/>
  <c r="O3482" i="7"/>
  <c r="O3481" i="7"/>
  <c r="O3480" i="7"/>
  <c r="O3479" i="7"/>
  <c r="O3478" i="7"/>
  <c r="O3477" i="7"/>
  <c r="O3432" i="7"/>
  <c r="O3433" i="7"/>
  <c r="O3434" i="7"/>
  <c r="O3435" i="7"/>
  <c r="O3436" i="7"/>
  <c r="O3437" i="7"/>
  <c r="O3438" i="7"/>
  <c r="O3439" i="7"/>
  <c r="O3440" i="7"/>
  <c r="O3441" i="7"/>
  <c r="O3442" i="7"/>
  <c r="O3423" i="7"/>
  <c r="O3443" i="7"/>
  <c r="O3444" i="7"/>
  <c r="O3445" i="7"/>
  <c r="O3446" i="7"/>
  <c r="O3447" i="7"/>
  <c r="O3448" i="7"/>
  <c r="O3449" i="7"/>
  <c r="O3450" i="7"/>
  <c r="O3451" i="7"/>
  <c r="O3452" i="7"/>
  <c r="O3453" i="7"/>
  <c r="O3454" i="7"/>
  <c r="O3455" i="7"/>
  <c r="O3456" i="7"/>
  <c r="O3457" i="7"/>
  <c r="O3458" i="7"/>
  <c r="O3459" i="7"/>
  <c r="O3460" i="7"/>
  <c r="O3461" i="7"/>
  <c r="O3462" i="7"/>
  <c r="O3463" i="7"/>
  <c r="O3464" i="7"/>
  <c r="O3466" i="7"/>
  <c r="O3467" i="7"/>
  <c r="O3468" i="7"/>
  <c r="O3424" i="7"/>
  <c r="O3469" i="7"/>
  <c r="O3470" i="7"/>
  <c r="O3471" i="7"/>
  <c r="O3472" i="7"/>
  <c r="O3473" i="7"/>
  <c r="O3474" i="7"/>
  <c r="O3475" i="7"/>
  <c r="O3476" i="7"/>
  <c r="O3425" i="7"/>
  <c r="O3426" i="7"/>
  <c r="O3427" i="7"/>
  <c r="O3428" i="7"/>
  <c r="O3429" i="7"/>
  <c r="O3430" i="7"/>
  <c r="O3431" i="7"/>
  <c r="O3465" i="7"/>
  <c r="O3487" i="7"/>
  <c r="O3488" i="7"/>
  <c r="O3489" i="7"/>
  <c r="O3490" i="7"/>
  <c r="O3491" i="7"/>
  <c r="O3492" i="7"/>
  <c r="O3493" i="7"/>
  <c r="O3494" i="7"/>
  <c r="O3495" i="7"/>
  <c r="O3496" i="7"/>
  <c r="O3497" i="7"/>
  <c r="O3498" i="7"/>
  <c r="O3499" i="7"/>
  <c r="O3500" i="7"/>
  <c r="O3501" i="7"/>
  <c r="O3502" i="7"/>
  <c r="O3504" i="7"/>
  <c r="O3505" i="7"/>
  <c r="O3506" i="7"/>
  <c r="O3507" i="7"/>
  <c r="O3510" i="7"/>
  <c r="O3508" i="7"/>
  <c r="O3509" i="7"/>
  <c r="O3511" i="7"/>
  <c r="O3512" i="7"/>
  <c r="O3513" i="7"/>
  <c r="O3514" i="7"/>
  <c r="O3515" i="7"/>
  <c r="O3516" i="7"/>
  <c r="O3517" i="7"/>
  <c r="O3518" i="7"/>
  <c r="O3533" i="7"/>
  <c r="O3519" i="7"/>
  <c r="O3520" i="7"/>
  <c r="O3521" i="7"/>
  <c r="O3522" i="7"/>
  <c r="O3523" i="7"/>
  <c r="O3524" i="7"/>
  <c r="O3525" i="7"/>
  <c r="O3526" i="7"/>
  <c r="O3527" i="7"/>
  <c r="O3528" i="7"/>
  <c r="O3529" i="7"/>
  <c r="O3530" i="7"/>
  <c r="O203" i="5" s="1"/>
  <c r="P203" i="5" s="1"/>
  <c r="O3531" i="7"/>
  <c r="O3532" i="7"/>
  <c r="O3534" i="7"/>
  <c r="O3535" i="7"/>
  <c r="O3536" i="7"/>
  <c r="O3537" i="7"/>
  <c r="O3538" i="7"/>
  <c r="O3539" i="7"/>
  <c r="O3540" i="7"/>
  <c r="O3541" i="7"/>
  <c r="O3542" i="7"/>
  <c r="O3543" i="7"/>
  <c r="O3578" i="7"/>
  <c r="O3577" i="7"/>
  <c r="O3576" i="7"/>
  <c r="O3575" i="7"/>
  <c r="O3574" i="7"/>
  <c r="O3573" i="7"/>
  <c r="O3572" i="7"/>
  <c r="O3571" i="7"/>
  <c r="O3570" i="7"/>
  <c r="O3569" i="7"/>
  <c r="O3568" i="7"/>
  <c r="O3567" i="7"/>
  <c r="O3566" i="7"/>
  <c r="O3565" i="7"/>
  <c r="O3564" i="7"/>
  <c r="O3563" i="7"/>
  <c r="O3562" i="7"/>
  <c r="O3561" i="7"/>
  <c r="O3560" i="7"/>
  <c r="O3559" i="7"/>
  <c r="O3558" i="7"/>
  <c r="O3557" i="7"/>
  <c r="O3556" i="7"/>
  <c r="O3555" i="7"/>
  <c r="O3554" i="7"/>
  <c r="O3553" i="7"/>
  <c r="O3552" i="7"/>
  <c r="O3551" i="7"/>
  <c r="O3550" i="7"/>
  <c r="O3549" i="7"/>
  <c r="O3548" i="7"/>
  <c r="O3635" i="7"/>
  <c r="O3603" i="7"/>
  <c r="O3590" i="7"/>
  <c r="O3633" i="7"/>
  <c r="O3632" i="7"/>
  <c r="O3631" i="7"/>
  <c r="O3630" i="7"/>
  <c r="O3629" i="7"/>
  <c r="O3628" i="7"/>
  <c r="O3627" i="7"/>
  <c r="O3626" i="7"/>
  <c r="O3625" i="7"/>
  <c r="O3624" i="7"/>
  <c r="O3623" i="7"/>
  <c r="O3622" i="7"/>
  <c r="O3621" i="7"/>
  <c r="O3620" i="7"/>
  <c r="O3619" i="7"/>
  <c r="O3618" i="7"/>
  <c r="O3617" i="7"/>
  <c r="O3616" i="7"/>
  <c r="O3615" i="7"/>
  <c r="O3614" i="7"/>
  <c r="O3585" i="7"/>
  <c r="O3613" i="7"/>
  <c r="O3612" i="7"/>
  <c r="O3611" i="7"/>
  <c r="O3610" i="7"/>
  <c r="O3609" i="7"/>
  <c r="O3608" i="7"/>
  <c r="O3607" i="7"/>
  <c r="O3606" i="7"/>
  <c r="O3605" i="7"/>
  <c r="O3604" i="7"/>
  <c r="O3602" i="7"/>
  <c r="O3601" i="7"/>
  <c r="O3600" i="7"/>
  <c r="O3599" i="7"/>
  <c r="O3598" i="7"/>
  <c r="O3597" i="7"/>
  <c r="O3596" i="7"/>
  <c r="O3595" i="7"/>
  <c r="O3594" i="7"/>
  <c r="O3593" i="7"/>
  <c r="O3592" i="7"/>
  <c r="O3591" i="7"/>
  <c r="O3634" i="7"/>
  <c r="O3589" i="7"/>
  <c r="O3588" i="7"/>
  <c r="O3587" i="7"/>
  <c r="O3586" i="7"/>
  <c r="O3584" i="7"/>
  <c r="O3583" i="7"/>
  <c r="O3582" i="7"/>
  <c r="O3581" i="7"/>
  <c r="O3580" i="7"/>
  <c r="O3579" i="7"/>
  <c r="O3544" i="7"/>
  <c r="O3545" i="7"/>
  <c r="O3546" i="7"/>
  <c r="O3547" i="7"/>
  <c r="O3664" i="7"/>
  <c r="O3665" i="7"/>
  <c r="O3666" i="7"/>
  <c r="O3667" i="7"/>
  <c r="O3668" i="7"/>
  <c r="O3669" i="7"/>
  <c r="O3670" i="7"/>
  <c r="O3671" i="7"/>
  <c r="O3672" i="7"/>
  <c r="O3673" i="7"/>
  <c r="O3674" i="7"/>
  <c r="O3675" i="7"/>
  <c r="O3676" i="7"/>
  <c r="O3677" i="7"/>
  <c r="O3678" i="7"/>
  <c r="O3679" i="7"/>
  <c r="O3680" i="7"/>
  <c r="O3681" i="7"/>
  <c r="O3682" i="7"/>
  <c r="O3683" i="7"/>
  <c r="O3684" i="7"/>
  <c r="O3685" i="7"/>
  <c r="O3686" i="7"/>
  <c r="O3687" i="7"/>
  <c r="O3688" i="7"/>
  <c r="O3689" i="7"/>
  <c r="O3690" i="7"/>
  <c r="O3691" i="7"/>
  <c r="O3692" i="7"/>
  <c r="O3693" i="7"/>
  <c r="O3636" i="7"/>
  <c r="O3637" i="7"/>
  <c r="O3638" i="7"/>
  <c r="O3639" i="7"/>
  <c r="O3640" i="7"/>
  <c r="O3641" i="7"/>
  <c r="O3642" i="7"/>
  <c r="O3643" i="7"/>
  <c r="O3644" i="7"/>
  <c r="O3645" i="7"/>
  <c r="O3646" i="7"/>
  <c r="O3647" i="7"/>
  <c r="O3648" i="7"/>
  <c r="O3649" i="7"/>
  <c r="O3650" i="7"/>
  <c r="O3651" i="7"/>
  <c r="O3652" i="7"/>
  <c r="O3653" i="7"/>
  <c r="O3654" i="7"/>
  <c r="O3655" i="7"/>
  <c r="O3656" i="7"/>
  <c r="O3657" i="7"/>
  <c r="O3658" i="7"/>
  <c r="O3659" i="7"/>
  <c r="O3660" i="7"/>
  <c r="O3661" i="7"/>
  <c r="O3662" i="7"/>
  <c r="O3663" i="7"/>
  <c r="O3697" i="7"/>
  <c r="O3696" i="7"/>
  <c r="O3695" i="7"/>
  <c r="O3694" i="7"/>
  <c r="O3700" i="7"/>
  <c r="O3699" i="7"/>
  <c r="O3698" i="7"/>
  <c r="O3701" i="7"/>
  <c r="O3707" i="7"/>
  <c r="O3710" i="7"/>
  <c r="O3709" i="7"/>
  <c r="O3708" i="7"/>
  <c r="O3706" i="7"/>
  <c r="O3705" i="7"/>
  <c r="O3704" i="7"/>
  <c r="O3703" i="7"/>
  <c r="O3702" i="7"/>
  <c r="O3712" i="7"/>
  <c r="O3713" i="7"/>
  <c r="O3715" i="7"/>
  <c r="O3714" i="7"/>
  <c r="O3716" i="7"/>
  <c r="O3717" i="7"/>
  <c r="O3718" i="7"/>
  <c r="O3722" i="7"/>
  <c r="O3719" i="7"/>
  <c r="O3720" i="7"/>
  <c r="O3721" i="7"/>
  <c r="O3723" i="7"/>
  <c r="O3737" i="7"/>
  <c r="O3729" i="7"/>
  <c r="O3728" i="7"/>
  <c r="O3727" i="7"/>
  <c r="O3726" i="7"/>
  <c r="O3725" i="7"/>
  <c r="O3724" i="7"/>
  <c r="O3730" i="7"/>
  <c r="O3739" i="7"/>
  <c r="O3740" i="7"/>
  <c r="O3741" i="7"/>
  <c r="O3742" i="7"/>
  <c r="O3738" i="7"/>
  <c r="O3736" i="7"/>
  <c r="O3735" i="7"/>
  <c r="O3734" i="7"/>
  <c r="O3733" i="7"/>
  <c r="O3732" i="7"/>
  <c r="O3731" i="7"/>
  <c r="O3752" i="7"/>
  <c r="O3751" i="7"/>
  <c r="O3750" i="7"/>
  <c r="O3745" i="7"/>
  <c r="O3749" i="7"/>
  <c r="O3748" i="7"/>
  <c r="O3747" i="7"/>
  <c r="O3746" i="7"/>
  <c r="O185" i="5" s="1"/>
  <c r="P185" i="5" s="1"/>
  <c r="O3744" i="7"/>
  <c r="O3743" i="7"/>
  <c r="O3756" i="7"/>
  <c r="O3757" i="7"/>
  <c r="O3758" i="7"/>
  <c r="O3759" i="7"/>
  <c r="O3760" i="7"/>
  <c r="O3764" i="7"/>
  <c r="O3763" i="7"/>
  <c r="O3762" i="7"/>
  <c r="O3761" i="7"/>
  <c r="O3766" i="7"/>
  <c r="O3767" i="7"/>
  <c r="O3777" i="7"/>
  <c r="O3778" i="7"/>
  <c r="O3776" i="7"/>
  <c r="O3775" i="7"/>
  <c r="O3774" i="7"/>
  <c r="O3773" i="7"/>
  <c r="O3772" i="7"/>
  <c r="O3771" i="7"/>
  <c r="O3770" i="7"/>
  <c r="O3780" i="7"/>
  <c r="O3779" i="7"/>
  <c r="O3823" i="7"/>
  <c r="O3824" i="7"/>
  <c r="O3802" i="7"/>
  <c r="O3801" i="7"/>
  <c r="O3800" i="7"/>
  <c r="O3799" i="7"/>
  <c r="O3798" i="7"/>
  <c r="O3797" i="7"/>
  <c r="O3796" i="7"/>
  <c r="O3795" i="7"/>
  <c r="O117" i="5" s="1"/>
  <c r="P117" i="5" s="1"/>
  <c r="O3807" i="7"/>
  <c r="O3793" i="7"/>
  <c r="O3792" i="7"/>
  <c r="O3791" i="7"/>
  <c r="O3790" i="7"/>
  <c r="O3789" i="7"/>
  <c r="O3788" i="7"/>
  <c r="O3787" i="7"/>
  <c r="O3786" i="7"/>
  <c r="O3785" i="7"/>
  <c r="O3784" i="7"/>
  <c r="O3783" i="7"/>
  <c r="O3782" i="7"/>
  <c r="O3781" i="7"/>
  <c r="O3804" i="7"/>
  <c r="O3805" i="7"/>
  <c r="O3806" i="7"/>
  <c r="O3808" i="7"/>
  <c r="O3809" i="7"/>
  <c r="O3803" i="7"/>
  <c r="O3810" i="7"/>
  <c r="O3811" i="7"/>
  <c r="O3812" i="7"/>
  <c r="O3813" i="7"/>
  <c r="O3814" i="7"/>
  <c r="O3815" i="7"/>
  <c r="O3794" i="7"/>
  <c r="O3816" i="7"/>
  <c r="O3817" i="7"/>
  <c r="O3826" i="7"/>
  <c r="O3818" i="7"/>
  <c r="O3819" i="7"/>
  <c r="O3820" i="7"/>
  <c r="O3821" i="7"/>
  <c r="O3822" i="7"/>
  <c r="O3825" i="7"/>
  <c r="O3859" i="7"/>
  <c r="O3860" i="7"/>
  <c r="O3861" i="7"/>
  <c r="O3862" i="7"/>
  <c r="O3863" i="7"/>
  <c r="O3864" i="7"/>
  <c r="O3865" i="7"/>
  <c r="O3866" i="7"/>
  <c r="O3827" i="7"/>
  <c r="O3828" i="7"/>
  <c r="O3829" i="7"/>
  <c r="O3830" i="7"/>
  <c r="O3831" i="7"/>
  <c r="O3832" i="7"/>
  <c r="O3833" i="7"/>
  <c r="O3834" i="7"/>
  <c r="O3835" i="7"/>
  <c r="O3836" i="7"/>
  <c r="O3837" i="7"/>
  <c r="O3838" i="7"/>
  <c r="O3839" i="7"/>
  <c r="O3840" i="7"/>
  <c r="O3841" i="7"/>
  <c r="O3842" i="7"/>
  <c r="O3843" i="7"/>
  <c r="O3844" i="7"/>
  <c r="O3845" i="7"/>
  <c r="O3846" i="7"/>
  <c r="O3847" i="7"/>
  <c r="O3848" i="7"/>
  <c r="O3849" i="7"/>
  <c r="O3850" i="7"/>
  <c r="O3851" i="7"/>
  <c r="O3852" i="7"/>
  <c r="O3853" i="7"/>
  <c r="O3854" i="7"/>
  <c r="O3855" i="7"/>
  <c r="O3856" i="7"/>
  <c r="O3857" i="7"/>
  <c r="O3858" i="7"/>
  <c r="O3868" i="7"/>
  <c r="O3869" i="7"/>
  <c r="O3870" i="7"/>
  <c r="O209" i="5" s="1"/>
  <c r="P209" i="5" s="1"/>
  <c r="O3871" i="7"/>
  <c r="O3872" i="7"/>
  <c r="O3867" i="7"/>
  <c r="O3874" i="7"/>
  <c r="O3875" i="7"/>
  <c r="O3876" i="7"/>
  <c r="O3877" i="7"/>
  <c r="O3878" i="7"/>
  <c r="O3890" i="7"/>
  <c r="O3880" i="7"/>
  <c r="O3881" i="7"/>
  <c r="O3882" i="7"/>
  <c r="O3883" i="7"/>
  <c r="O3884" i="7"/>
  <c r="O3879" i="7"/>
  <c r="O3886" i="7"/>
  <c r="O3887" i="7"/>
  <c r="O3888" i="7"/>
  <c r="O3889" i="7"/>
  <c r="O3873" i="7"/>
  <c r="O3891" i="7"/>
  <c r="O3892" i="7"/>
  <c r="O3893" i="7"/>
  <c r="O3894" i="7"/>
  <c r="O3895" i="7"/>
  <c r="O3885" i="7"/>
  <c r="O3897" i="7"/>
  <c r="O3898" i="7"/>
  <c r="O3899" i="7"/>
  <c r="O3900" i="7"/>
  <c r="O3901" i="7"/>
  <c r="O3896" i="7"/>
  <c r="O3902" i="7"/>
  <c r="O3903" i="7"/>
  <c r="O3904" i="7"/>
  <c r="O3905" i="7"/>
  <c r="O3906" i="7"/>
  <c r="O3907" i="7"/>
  <c r="O3908" i="7"/>
  <c r="O3909" i="7"/>
  <c r="O3910" i="7"/>
  <c r="O3911" i="7"/>
  <c r="O3912" i="7"/>
  <c r="O3913" i="7"/>
  <c r="O3914" i="7"/>
  <c r="O3915" i="7"/>
  <c r="O3916" i="7"/>
  <c r="O3917" i="7"/>
  <c r="O3918" i="7"/>
  <c r="O3919" i="7"/>
  <c r="O3920" i="7"/>
  <c r="O3921" i="7"/>
  <c r="O3922" i="7"/>
  <c r="O3923" i="7"/>
  <c r="O3924" i="7"/>
  <c r="O3925" i="7"/>
  <c r="O3926" i="7"/>
  <c r="O3928" i="7"/>
  <c r="O3940" i="7"/>
  <c r="O3939" i="7"/>
  <c r="O3938" i="7"/>
  <c r="O3929" i="7"/>
  <c r="O3937" i="7"/>
  <c r="O3936" i="7"/>
  <c r="O3935" i="7"/>
  <c r="O3934" i="7"/>
  <c r="O3933" i="7"/>
  <c r="O3932" i="7"/>
  <c r="O3931" i="7"/>
  <c r="O3927" i="7"/>
  <c r="O3930" i="7"/>
  <c r="O3941" i="7"/>
  <c r="O3955" i="7"/>
  <c r="O3954" i="7"/>
  <c r="O3953" i="7"/>
  <c r="O3952" i="7"/>
  <c r="O3951" i="7"/>
  <c r="O3950" i="7"/>
  <c r="O3949" i="7"/>
  <c r="O3947" i="7"/>
  <c r="O3946" i="7"/>
  <c r="O3945" i="7"/>
  <c r="O3944" i="7"/>
  <c r="O3943" i="7"/>
  <c r="O3942" i="7"/>
  <c r="O3948" i="7"/>
  <c r="O3957" i="7"/>
  <c r="O3979" i="7"/>
  <c r="O3959" i="7"/>
  <c r="O4012" i="7"/>
  <c r="O4011" i="7"/>
  <c r="O4010" i="7"/>
  <c r="O4009" i="7"/>
  <c r="O4008" i="7"/>
  <c r="O4007" i="7"/>
  <c r="O4006" i="7"/>
  <c r="O4005" i="7"/>
  <c r="O4004" i="7"/>
  <c r="O4003" i="7"/>
  <c r="O4002" i="7"/>
  <c r="O4001" i="7"/>
  <c r="O4000" i="7"/>
  <c r="O3999" i="7"/>
  <c r="O3998" i="7"/>
  <c r="O3997" i="7"/>
  <c r="O3996" i="7"/>
  <c r="O3995" i="7"/>
  <c r="O3994" i="7"/>
  <c r="O3993" i="7"/>
  <c r="O3992" i="7"/>
  <c r="O3991" i="7"/>
  <c r="O3990" i="7"/>
  <c r="O3989" i="7"/>
  <c r="O3988" i="7"/>
  <c r="O3987" i="7"/>
  <c r="O3986" i="7"/>
  <c r="O3985" i="7"/>
  <c r="O3984" i="7"/>
  <c r="O3983" i="7"/>
  <c r="O3982" i="7"/>
  <c r="O3981" i="7"/>
  <c r="O3980" i="7"/>
  <c r="O3978" i="7"/>
  <c r="O3977" i="7"/>
  <c r="O3976" i="7"/>
  <c r="O3975" i="7"/>
  <c r="O3974" i="7"/>
  <c r="O3973" i="7"/>
  <c r="O3972" i="7"/>
  <c r="O3971" i="7"/>
  <c r="O3970" i="7"/>
  <c r="O3969" i="7"/>
  <c r="O3968" i="7"/>
  <c r="O3967" i="7"/>
  <c r="O3966" i="7"/>
  <c r="O3965" i="7"/>
  <c r="O3964" i="7"/>
  <c r="O3963" i="7"/>
  <c r="O3962" i="7"/>
  <c r="O3961" i="7"/>
  <c r="O3960" i="7"/>
  <c r="O3958" i="7"/>
  <c r="O4015" i="7"/>
  <c r="O4014" i="7"/>
  <c r="O4013" i="7"/>
  <c r="O4016" i="7"/>
  <c r="O4017" i="7"/>
  <c r="O4018" i="7"/>
  <c r="O4019" i="7"/>
  <c r="O4020" i="7"/>
  <c r="O4021" i="7"/>
  <c r="O4022" i="7"/>
  <c r="O4023" i="7"/>
  <c r="O4024" i="7"/>
  <c r="O4025" i="7"/>
  <c r="O4026" i="7"/>
  <c r="O4027" i="7"/>
  <c r="O4028" i="7"/>
  <c r="O4029" i="7"/>
  <c r="O4030" i="7"/>
  <c r="O4031" i="7"/>
  <c r="O4032" i="7"/>
  <c r="O4033" i="7"/>
  <c r="O4034" i="7"/>
  <c r="O4035" i="7"/>
  <c r="O4036" i="7"/>
  <c r="O4037" i="7"/>
  <c r="O4038" i="7"/>
  <c r="O4039" i="7"/>
  <c r="O4040" i="7"/>
  <c r="O4041" i="7"/>
  <c r="O4042" i="7"/>
  <c r="O4043" i="7"/>
  <c r="O4044" i="7"/>
  <c r="O4045" i="7"/>
  <c r="O4046" i="7"/>
  <c r="O4047" i="7"/>
  <c r="O4048" i="7"/>
  <c r="O4049" i="7"/>
  <c r="O4050" i="7"/>
  <c r="O4051" i="7"/>
  <c r="O4052" i="7"/>
  <c r="O4053" i="7"/>
  <c r="O4054" i="7"/>
  <c r="O4055" i="7"/>
  <c r="O4056" i="7"/>
  <c r="O4057" i="7"/>
  <c r="O4058" i="7"/>
  <c r="O4059" i="7"/>
  <c r="O4060" i="7"/>
  <c r="O4061" i="7"/>
  <c r="O4062" i="7"/>
  <c r="O4063" i="7"/>
  <c r="O4064" i="7"/>
  <c r="O4065" i="7"/>
  <c r="O4066" i="7"/>
  <c r="O4067" i="7"/>
  <c r="O4068" i="7"/>
  <c r="O4069" i="7"/>
  <c r="O4070" i="7"/>
  <c r="O4071" i="7"/>
  <c r="O4072" i="7"/>
  <c r="O4073" i="7"/>
  <c r="O4074" i="7"/>
  <c r="O4075" i="7"/>
  <c r="O4076" i="7"/>
  <c r="O4077" i="7"/>
  <c r="O4078" i="7"/>
  <c r="O4079" i="7"/>
  <c r="O4080" i="7"/>
  <c r="O4081" i="7"/>
  <c r="O4082" i="7"/>
  <c r="O4083" i="7"/>
  <c r="O4084" i="7"/>
  <c r="O4085" i="7"/>
  <c r="O4086" i="7"/>
  <c r="O4087" i="7"/>
  <c r="O4088" i="7"/>
  <c r="O4089" i="7"/>
  <c r="O4090" i="7"/>
  <c r="O4091" i="7"/>
  <c r="O4092" i="7"/>
  <c r="O4093" i="7"/>
  <c r="O4094" i="7"/>
  <c r="O4095" i="7"/>
  <c r="O4096" i="7"/>
  <c r="O4097" i="7"/>
  <c r="O4098" i="7"/>
  <c r="O4099" i="7"/>
  <c r="O4100" i="7"/>
  <c r="O4101" i="7"/>
  <c r="O4102" i="7"/>
  <c r="O4103" i="7"/>
  <c r="O4104" i="7"/>
  <c r="O4105" i="7"/>
  <c r="O4106" i="7"/>
  <c r="O4107" i="7"/>
  <c r="O4108" i="7"/>
  <c r="O4109" i="7"/>
  <c r="O4110" i="7"/>
  <c r="O4111" i="7"/>
  <c r="O4112" i="7"/>
  <c r="O4113" i="7"/>
  <c r="O4114" i="7"/>
  <c r="O4115" i="7"/>
  <c r="O4116" i="7"/>
  <c r="O4117" i="7"/>
  <c r="O4118" i="7"/>
  <c r="O4119" i="7"/>
  <c r="O4121" i="7"/>
  <c r="O4122" i="7"/>
  <c r="O4123" i="7"/>
  <c r="O4124" i="7"/>
  <c r="O4125" i="7"/>
  <c r="O4126" i="7"/>
  <c r="O4127" i="7"/>
  <c r="O4128" i="7"/>
  <c r="O4129" i="7"/>
  <c r="O4130" i="7"/>
  <c r="O4131" i="7"/>
  <c r="O4132" i="7"/>
  <c r="O4133" i="7"/>
  <c r="O4134" i="7"/>
  <c r="O4135" i="7"/>
  <c r="O4136" i="7"/>
  <c r="O4137" i="7"/>
  <c r="O4138" i="7"/>
  <c r="O4139" i="7"/>
  <c r="O4140" i="7"/>
  <c r="O4141" i="7"/>
  <c r="O4142" i="7"/>
  <c r="O4143" i="7"/>
  <c r="O4144" i="7"/>
  <c r="O4145" i="7"/>
  <c r="O4146" i="7"/>
  <c r="O4147" i="7"/>
  <c r="O4148" i="7"/>
  <c r="O4149" i="7"/>
  <c r="O4150" i="7"/>
  <c r="O4151" i="7"/>
  <c r="O4152" i="7"/>
  <c r="O4153" i="7"/>
  <c r="O4154" i="7"/>
  <c r="O4155" i="7"/>
  <c r="O4156" i="7"/>
  <c r="O4157" i="7"/>
  <c r="O4158" i="7"/>
  <c r="O4159" i="7"/>
  <c r="O4160" i="7"/>
  <c r="O4161" i="7"/>
  <c r="O4162" i="7"/>
  <c r="O4163" i="7"/>
  <c r="O4164" i="7"/>
  <c r="O4171" i="7"/>
  <c r="O4165" i="7"/>
  <c r="O4166" i="7"/>
  <c r="O4167" i="7"/>
  <c r="O4168" i="7"/>
  <c r="O4169" i="7"/>
  <c r="O4170" i="7"/>
  <c r="O4172" i="7"/>
  <c r="O4173" i="7"/>
  <c r="O4174" i="7"/>
  <c r="O4175" i="7"/>
  <c r="O4202" i="7"/>
  <c r="O4201" i="7"/>
  <c r="O4200" i="7"/>
  <c r="O4199" i="7"/>
  <c r="O4198" i="7"/>
  <c r="O4197" i="7"/>
  <c r="O4196" i="7"/>
  <c r="O4195" i="7"/>
  <c r="O4194" i="7"/>
  <c r="O4190" i="7"/>
  <c r="O4193" i="7"/>
  <c r="O4192" i="7"/>
  <c r="O4191" i="7"/>
  <c r="O4189" i="7"/>
  <c r="O4188" i="7"/>
  <c r="O4187" i="7"/>
  <c r="O4186" i="7"/>
  <c r="O4185" i="7"/>
  <c r="O4184" i="7"/>
  <c r="O4183" i="7"/>
  <c r="O4182" i="7"/>
  <c r="O4181" i="7"/>
  <c r="O4180" i="7"/>
  <c r="O4179" i="7"/>
  <c r="O4178" i="7"/>
  <c r="O4177" i="7"/>
  <c r="O4176" i="7"/>
  <c r="O4215" i="7"/>
  <c r="O4214" i="7"/>
  <c r="O4213" i="7"/>
  <c r="O4212" i="7"/>
  <c r="O175" i="5" s="1"/>
  <c r="P175" i="5" s="1"/>
  <c r="O4211" i="7"/>
  <c r="O4210" i="7"/>
  <c r="O4209" i="7"/>
  <c r="O4208" i="7"/>
  <c r="O4207" i="7"/>
  <c r="O4206" i="7"/>
  <c r="O4205" i="7"/>
  <c r="O4204" i="7"/>
  <c r="O4203" i="7"/>
  <c r="O4220" i="7"/>
  <c r="O4219" i="7"/>
  <c r="O4218" i="7"/>
  <c r="O4217" i="7"/>
  <c r="O4216" i="7"/>
  <c r="O4223" i="7"/>
  <c r="O4222" i="7"/>
  <c r="O4221" i="7"/>
  <c r="O4228" i="7"/>
  <c r="O4227" i="7"/>
  <c r="O4226" i="7"/>
  <c r="O4225" i="7"/>
  <c r="O4224" i="7"/>
  <c r="O4270" i="7"/>
  <c r="O4269" i="7"/>
  <c r="O4268" i="7"/>
  <c r="O4267" i="7"/>
  <c r="O4266" i="7"/>
  <c r="O4265" i="7"/>
  <c r="O4264" i="7"/>
  <c r="O4263" i="7"/>
  <c r="O4262" i="7"/>
  <c r="O4261" i="7"/>
  <c r="O4260" i="7"/>
  <c r="O4259" i="7"/>
  <c r="O4258" i="7"/>
  <c r="O4257" i="7"/>
  <c r="O4256" i="7"/>
  <c r="O4255" i="7"/>
  <c r="O4244" i="7"/>
  <c r="O4253" i="7"/>
  <c r="O4252" i="7"/>
  <c r="O4245" i="7"/>
  <c r="O4275" i="7"/>
  <c r="O4246" i="7"/>
  <c r="O4247" i="7"/>
  <c r="O4248" i="7"/>
  <c r="O4249" i="7"/>
  <c r="O4250" i="7"/>
  <c r="O4251" i="7"/>
  <c r="O4277" i="7"/>
  <c r="O4276" i="7"/>
  <c r="O4231" i="7"/>
  <c r="O4254" i="7"/>
  <c r="O4274" i="7"/>
  <c r="O4273" i="7"/>
  <c r="O4272" i="7"/>
  <c r="O4271" i="7"/>
  <c r="O4229" i="7"/>
  <c r="O4230" i="7"/>
  <c r="O4232" i="7"/>
  <c r="O4233" i="7"/>
  <c r="O4234" i="7"/>
  <c r="O4235" i="7"/>
  <c r="O4236" i="7"/>
  <c r="O4237" i="7"/>
  <c r="O4238" i="7"/>
  <c r="O4239" i="7"/>
  <c r="O4240" i="7"/>
  <c r="O4241" i="7"/>
  <c r="O4242" i="7"/>
  <c r="O4243" i="7"/>
  <c r="O4306" i="7"/>
  <c r="O4291" i="7"/>
  <c r="O4292" i="7"/>
  <c r="O4293" i="7"/>
  <c r="O4294" i="7"/>
  <c r="O4296" i="7"/>
  <c r="O4297" i="7"/>
  <c r="O4323" i="7"/>
  <c r="O4300" i="7"/>
  <c r="O4301" i="7"/>
  <c r="O4302" i="7"/>
  <c r="O4303" i="7"/>
  <c r="O4304" i="7"/>
  <c r="O4305" i="7"/>
  <c r="O4298" i="7"/>
  <c r="O4307" i="7"/>
  <c r="O4308" i="7"/>
  <c r="O4309" i="7"/>
  <c r="O4310" i="7"/>
  <c r="O4311" i="7"/>
  <c r="O4312" i="7"/>
  <c r="O4313" i="7"/>
  <c r="O4314" i="7"/>
  <c r="O4315" i="7"/>
  <c r="O4316" i="7"/>
  <c r="O4299" i="7"/>
  <c r="O4318" i="7"/>
  <c r="O4319" i="7"/>
  <c r="O4320" i="7"/>
  <c r="O4321" i="7"/>
  <c r="O4322" i="7"/>
  <c r="O4295" i="7"/>
  <c r="O4324" i="7"/>
  <c r="O4325" i="7"/>
  <c r="O4278" i="7"/>
  <c r="O4279" i="7"/>
  <c r="O4317" i="7"/>
  <c r="O4280" i="7"/>
  <c r="O4281" i="7"/>
  <c r="O4282" i="7"/>
  <c r="O4283" i="7"/>
  <c r="O4284" i="7"/>
  <c r="O4285" i="7"/>
  <c r="O4286" i="7"/>
  <c r="O4287" i="7"/>
  <c r="O4288" i="7"/>
  <c r="O4289" i="7"/>
  <c r="O4290" i="7"/>
  <c r="O4327" i="7"/>
  <c r="O4328" i="7"/>
  <c r="O4332" i="7"/>
  <c r="O4329" i="7"/>
  <c r="O4330" i="7"/>
  <c r="O4331" i="7"/>
  <c r="O4339" i="7"/>
  <c r="O4337" i="7"/>
  <c r="O4336" i="7"/>
  <c r="O4338" i="7"/>
  <c r="O4375" i="7"/>
  <c r="O4376" i="7"/>
  <c r="O4377" i="7"/>
  <c r="O4378" i="7"/>
  <c r="O4379" i="7"/>
  <c r="O4380" i="7"/>
  <c r="O4340" i="7"/>
  <c r="O4341" i="7"/>
  <c r="O4342" i="7"/>
  <c r="O4343" i="7"/>
  <c r="O4344" i="7"/>
  <c r="O4345" i="7"/>
  <c r="O4346" i="7"/>
  <c r="O4347" i="7"/>
  <c r="O4348" i="7"/>
  <c r="O4349" i="7"/>
  <c r="O4350" i="7"/>
  <c r="O4351" i="7"/>
  <c r="O4352" i="7"/>
  <c r="O4353" i="7"/>
  <c r="O4354" i="7"/>
  <c r="O4355" i="7"/>
  <c r="O4356" i="7"/>
  <c r="O4357" i="7"/>
  <c r="O4358" i="7"/>
  <c r="O4359" i="7"/>
  <c r="O4360" i="7"/>
  <c r="O4361" i="7"/>
  <c r="O4362" i="7"/>
  <c r="O4363" i="7"/>
  <c r="O4364" i="7"/>
  <c r="O4365" i="7"/>
  <c r="O4366" i="7"/>
  <c r="O4367" i="7"/>
  <c r="O4368" i="7"/>
  <c r="O4369" i="7"/>
  <c r="O4370" i="7"/>
  <c r="O4371" i="7"/>
  <c r="O4372" i="7"/>
  <c r="O4373" i="7"/>
  <c r="O4374" i="7"/>
  <c r="O4386" i="7"/>
  <c r="O4388" i="7"/>
  <c r="O4387" i="7"/>
  <c r="O4385" i="7"/>
  <c r="O4384" i="7"/>
  <c r="O4383" i="7"/>
  <c r="O4382" i="7"/>
  <c r="O4381" i="7"/>
  <c r="O4392" i="7"/>
  <c r="O4391" i="7"/>
  <c r="O4390" i="7"/>
  <c r="O4396" i="7"/>
  <c r="O4395" i="7"/>
  <c r="O4393" i="7"/>
  <c r="O4394" i="7"/>
  <c r="O4398" i="7"/>
  <c r="O4399" i="7"/>
  <c r="O4400" i="7"/>
  <c r="O4401" i="7"/>
  <c r="O4402" i="7"/>
  <c r="O4409" i="7"/>
  <c r="O4410" i="7"/>
  <c r="O4411" i="7"/>
  <c r="O4412" i="7"/>
  <c r="O4413" i="7"/>
  <c r="O4414" i="7"/>
  <c r="O4415" i="7"/>
  <c r="O4416" i="7"/>
  <c r="O4417" i="7"/>
  <c r="O4418" i="7"/>
  <c r="O4419" i="7"/>
  <c r="O4420" i="7"/>
  <c r="O4421" i="7"/>
  <c r="O4422" i="7"/>
  <c r="O4423" i="7"/>
  <c r="O4424" i="7"/>
  <c r="O4425" i="7"/>
  <c r="O4426" i="7"/>
  <c r="O4427" i="7"/>
  <c r="O4428" i="7"/>
  <c r="O4429" i="7"/>
  <c r="O4430" i="7"/>
  <c r="O4431" i="7"/>
  <c r="O4432" i="7"/>
  <c r="O4476" i="7"/>
  <c r="O4475" i="7"/>
  <c r="O4474" i="7"/>
  <c r="O4473" i="7"/>
  <c r="O4472" i="7"/>
  <c r="O4471" i="7"/>
  <c r="O4470" i="7"/>
  <c r="O4469" i="7"/>
  <c r="O4468" i="7"/>
  <c r="O4467" i="7"/>
  <c r="O4465" i="7"/>
  <c r="O4464" i="7"/>
  <c r="O4463" i="7"/>
  <c r="O4462" i="7"/>
  <c r="O4461" i="7"/>
  <c r="O4460" i="7"/>
  <c r="O4459" i="7"/>
  <c r="O4458" i="7"/>
  <c r="O4457" i="7"/>
  <c r="O4456" i="7"/>
  <c r="O4455" i="7"/>
  <c r="O4454" i="7"/>
  <c r="O4453" i="7"/>
  <c r="O4452" i="7"/>
  <c r="O4451" i="7"/>
  <c r="O4450" i="7"/>
  <c r="O4449" i="7"/>
  <c r="O4448" i="7"/>
  <c r="O4447" i="7"/>
  <c r="O4466" i="7"/>
  <c r="O4445" i="7"/>
  <c r="O4444" i="7"/>
  <c r="O4443" i="7"/>
  <c r="O4442" i="7"/>
  <c r="O4441" i="7"/>
  <c r="O4440" i="7"/>
  <c r="O4446" i="7"/>
  <c r="O4508" i="7"/>
  <c r="O4507" i="7"/>
  <c r="O4506" i="7"/>
  <c r="O4505" i="7"/>
  <c r="O4504" i="7"/>
  <c r="O4503" i="7"/>
  <c r="O4502" i="7"/>
  <c r="O4501" i="7"/>
  <c r="O4500" i="7"/>
  <c r="O4499" i="7"/>
  <c r="O4498" i="7"/>
  <c r="O4497" i="7"/>
  <c r="O4496" i="7"/>
  <c r="O4495" i="7"/>
  <c r="O4494" i="7"/>
  <c r="O4493" i="7"/>
  <c r="O4492" i="7"/>
  <c r="O4491" i="7"/>
  <c r="O4439" i="7"/>
  <c r="O4490" i="7"/>
  <c r="O4489" i="7"/>
  <c r="O4488" i="7"/>
  <c r="O4487" i="7"/>
  <c r="O4486" i="7"/>
  <c r="O4485" i="7"/>
  <c r="O4484" i="7"/>
  <c r="O4483" i="7"/>
  <c r="O4482" i="7"/>
  <c r="O4481" i="7"/>
  <c r="O4480" i="7"/>
  <c r="O4479" i="7"/>
  <c r="O4478" i="7"/>
  <c r="O4477" i="7"/>
  <c r="O4433" i="7"/>
  <c r="O4434" i="7"/>
  <c r="O4435" i="7"/>
  <c r="O4436" i="7"/>
  <c r="O4437" i="7"/>
  <c r="O4438" i="7"/>
  <c r="O4511" i="7"/>
  <c r="O4509" i="7"/>
  <c r="O4512" i="7"/>
  <c r="O4510" i="7"/>
  <c r="O4514" i="7"/>
  <c r="O4515" i="7"/>
  <c r="O4516" i="7"/>
  <c r="O4517" i="7"/>
  <c r="O4521" i="7"/>
  <c r="O4518" i="7"/>
  <c r="O4519" i="7"/>
  <c r="O4520" i="7"/>
  <c r="O4522" i="7"/>
  <c r="O4523" i="7"/>
  <c r="O4524" i="7"/>
  <c r="O4513" i="7"/>
  <c r="O4527" i="7"/>
  <c r="O4528" i="7"/>
  <c r="O4529" i="7"/>
  <c r="O4530" i="7"/>
  <c r="O4531" i="7"/>
  <c r="O4533" i="7"/>
  <c r="O4534" i="7"/>
  <c r="O4535" i="7"/>
  <c r="O4536" i="7"/>
  <c r="O4537" i="7"/>
  <c r="O4538" i="7"/>
  <c r="O4539" i="7"/>
  <c r="O4540" i="7"/>
  <c r="O4541" i="7"/>
  <c r="O4542" i="7"/>
  <c r="O4543" i="7"/>
  <c r="O4548" i="7"/>
  <c r="O4549" i="7"/>
  <c r="O4544" i="7"/>
  <c r="O4545" i="7"/>
  <c r="O4546" i="7"/>
  <c r="O4547" i="7"/>
  <c r="O4550" i="7"/>
  <c r="O4551" i="7"/>
  <c r="O4552" i="7"/>
  <c r="O4553" i="7"/>
  <c r="O4554" i="7"/>
  <c r="O4555" i="7"/>
  <c r="O4556" i="7"/>
  <c r="O4557" i="7"/>
  <c r="O4558" i="7"/>
  <c r="O4559" i="7"/>
  <c r="O4560" i="7"/>
  <c r="O4561" i="7"/>
  <c r="O4564" i="7"/>
  <c r="O4565" i="7"/>
  <c r="O4566" i="7"/>
  <c r="O4634" i="7"/>
  <c r="O4633" i="7"/>
  <c r="O4632" i="7"/>
  <c r="O4631" i="7"/>
  <c r="O4630" i="7"/>
  <c r="O4629" i="7"/>
  <c r="O4628" i="7"/>
  <c r="O4627" i="7"/>
  <c r="O4626" i="7"/>
  <c r="O4625" i="7"/>
  <c r="O4624" i="7"/>
  <c r="O4623" i="7"/>
  <c r="O4622" i="7"/>
  <c r="O4620" i="7"/>
  <c r="O4619" i="7"/>
  <c r="O4618" i="7"/>
  <c r="O4617" i="7"/>
  <c r="O4616" i="7"/>
  <c r="O4615" i="7"/>
  <c r="O4614" i="7"/>
  <c r="O4613" i="7"/>
  <c r="O4612" i="7"/>
  <c r="O4611" i="7"/>
  <c r="O4610" i="7"/>
  <c r="O4609" i="7"/>
  <c r="O4608" i="7"/>
  <c r="O4607" i="7"/>
  <c r="O4606" i="7"/>
  <c r="O4605" i="7"/>
  <c r="O4604" i="7"/>
  <c r="O4603" i="7"/>
  <c r="O4602" i="7"/>
  <c r="O4601" i="7"/>
  <c r="O4600" i="7"/>
  <c r="O4599" i="7"/>
  <c r="O4598" i="7"/>
  <c r="O4597" i="7"/>
  <c r="O4596" i="7"/>
  <c r="O4595" i="7"/>
  <c r="O4594" i="7"/>
  <c r="O4593" i="7"/>
  <c r="O4592" i="7"/>
  <c r="O4591" i="7"/>
  <c r="O4590" i="7"/>
  <c r="O4589" i="7"/>
  <c r="O4588" i="7"/>
  <c r="O4587" i="7"/>
  <c r="O4586" i="7"/>
  <c r="O4671" i="7"/>
  <c r="O4670" i="7"/>
  <c r="O4669" i="7"/>
  <c r="O4668" i="7"/>
  <c r="O4667" i="7"/>
  <c r="O4666" i="7"/>
  <c r="O4665" i="7"/>
  <c r="O4664" i="7"/>
  <c r="O4663" i="7"/>
  <c r="O4662" i="7"/>
  <c r="O4661" i="7"/>
  <c r="O4660" i="7"/>
  <c r="O4659" i="7"/>
  <c r="O4658" i="7"/>
  <c r="O4657" i="7"/>
  <c r="O4656" i="7"/>
  <c r="O4655" i="7"/>
  <c r="O4654" i="7"/>
  <c r="O4653" i="7"/>
  <c r="O4652" i="7"/>
  <c r="O4651" i="7"/>
  <c r="O4621" i="7"/>
  <c r="O4650" i="7"/>
  <c r="O4649" i="7"/>
  <c r="O4648" i="7"/>
  <c r="O4647" i="7"/>
  <c r="O4646" i="7"/>
  <c r="O4645" i="7"/>
  <c r="O4644" i="7"/>
  <c r="O4643" i="7"/>
  <c r="O4642" i="7"/>
  <c r="O4641" i="7"/>
  <c r="O4640" i="7"/>
  <c r="O4639" i="7"/>
  <c r="O4638" i="7"/>
  <c r="O4637" i="7"/>
  <c r="O4636" i="7"/>
  <c r="O4635" i="7"/>
  <c r="O4567" i="7"/>
  <c r="O4568" i="7"/>
  <c r="O4569" i="7"/>
  <c r="O4570" i="7"/>
  <c r="O4571" i="7"/>
  <c r="O4572" i="7"/>
  <c r="O4573" i="7"/>
  <c r="O4574" i="7"/>
  <c r="O4575" i="7"/>
  <c r="O4576" i="7"/>
  <c r="O4577" i="7"/>
  <c r="O4578" i="7"/>
  <c r="O4579" i="7"/>
  <c r="O4580" i="7"/>
  <c r="O4581" i="7"/>
  <c r="O4582" i="7"/>
  <c r="O4583" i="7"/>
  <c r="O4584" i="7"/>
  <c r="O4585" i="7"/>
  <c r="O4672" i="7"/>
  <c r="O4673" i="7"/>
  <c r="O4712" i="7"/>
  <c r="O4713" i="7"/>
  <c r="O4714" i="7"/>
  <c r="O4715" i="7"/>
  <c r="O4716" i="7"/>
  <c r="O4717" i="7"/>
  <c r="O4718" i="7"/>
  <c r="O4719" i="7"/>
  <c r="O4720" i="7"/>
  <c r="O4721" i="7"/>
  <c r="O4722" i="7"/>
  <c r="O4723" i="7"/>
  <c r="O4724" i="7"/>
  <c r="O4725" i="7"/>
  <c r="O4726" i="7"/>
  <c r="O4727" i="7"/>
  <c r="O4728" i="7"/>
  <c r="O4729" i="7"/>
  <c r="O4730" i="7"/>
  <c r="O4731" i="7"/>
  <c r="O4732" i="7"/>
  <c r="O4733" i="7"/>
  <c r="O4734" i="7"/>
  <c r="O4735" i="7"/>
  <c r="O4736" i="7"/>
  <c r="O4737" i="7"/>
  <c r="O4738" i="7"/>
  <c r="O4739" i="7"/>
  <c r="O4740" i="7"/>
  <c r="O4741" i="7"/>
  <c r="O4742" i="7"/>
  <c r="O4743" i="7"/>
  <c r="O4744" i="7"/>
  <c r="O4745" i="7"/>
  <c r="O4746" i="7"/>
  <c r="O4747" i="7"/>
  <c r="O4748" i="7"/>
  <c r="O4749" i="7"/>
  <c r="O4750" i="7"/>
  <c r="O4751" i="7"/>
  <c r="O4752" i="7"/>
  <c r="O4753" i="7"/>
  <c r="O4754" i="7"/>
  <c r="O4755" i="7"/>
  <c r="O4756" i="7"/>
  <c r="O4757" i="7"/>
  <c r="O4758" i="7"/>
  <c r="O4759" i="7"/>
  <c r="O4760" i="7"/>
  <c r="O4761" i="7"/>
  <c r="O4762" i="7"/>
  <c r="O4763" i="7"/>
  <c r="O4764" i="7"/>
  <c r="O4765" i="7"/>
  <c r="O4766" i="7"/>
  <c r="O4767" i="7"/>
  <c r="O4768" i="7"/>
  <c r="O4769" i="7"/>
  <c r="O4770" i="7"/>
  <c r="O4771" i="7"/>
  <c r="O4772" i="7"/>
  <c r="O4773" i="7"/>
  <c r="O4774" i="7"/>
  <c r="O4775" i="7"/>
  <c r="O4776" i="7"/>
  <c r="O4777" i="7"/>
  <c r="O4778" i="7"/>
  <c r="O4779" i="7"/>
  <c r="O4780" i="7"/>
  <c r="O4781" i="7"/>
  <c r="O4782" i="7"/>
  <c r="O4783" i="7"/>
  <c r="O4784" i="7"/>
  <c r="O4785" i="7"/>
  <c r="O4786" i="7"/>
  <c r="O4787" i="7"/>
  <c r="O4788" i="7"/>
  <c r="O4789" i="7"/>
  <c r="O4790" i="7"/>
  <c r="O4791" i="7"/>
  <c r="O4792" i="7"/>
  <c r="O4793" i="7"/>
  <c r="O4794" i="7"/>
  <c r="O4795" i="7"/>
  <c r="O4796" i="7"/>
  <c r="O4797" i="7"/>
  <c r="O4798" i="7"/>
  <c r="O4799" i="7"/>
  <c r="O4674" i="7"/>
  <c r="O4675" i="7"/>
  <c r="O4676" i="7"/>
  <c r="O4677" i="7"/>
  <c r="O4678" i="7"/>
  <c r="O4679" i="7"/>
  <c r="O4680" i="7"/>
  <c r="O4681" i="7"/>
  <c r="O4682" i="7"/>
  <c r="O4683" i="7"/>
  <c r="O4684" i="7"/>
  <c r="O4685" i="7"/>
  <c r="O4686" i="7"/>
  <c r="O4687" i="7"/>
  <c r="O4688" i="7"/>
  <c r="O4689" i="7"/>
  <c r="O4690" i="7"/>
  <c r="O4691" i="7"/>
  <c r="O4692" i="7"/>
  <c r="O4693" i="7"/>
  <c r="O4694" i="7"/>
  <c r="O4695" i="7"/>
  <c r="O4696" i="7"/>
  <c r="O4697" i="7"/>
  <c r="O4698" i="7"/>
  <c r="O4699" i="7"/>
  <c r="O4700" i="7"/>
  <c r="O4701" i="7"/>
  <c r="O4702" i="7"/>
  <c r="O4703" i="7"/>
  <c r="O4704" i="7"/>
  <c r="O4705" i="7"/>
  <c r="O4706" i="7"/>
  <c r="O4707" i="7"/>
  <c r="O4708" i="7"/>
  <c r="O4709" i="7"/>
  <c r="O4710" i="7"/>
  <c r="O4711" i="7"/>
  <c r="O4806" i="7"/>
  <c r="O4810" i="7"/>
  <c r="O4809" i="7"/>
  <c r="O4808" i="7"/>
  <c r="O4807" i="7"/>
  <c r="O4805" i="7"/>
  <c r="O4804" i="7"/>
  <c r="O4802" i="7"/>
  <c r="O4801" i="7"/>
  <c r="O4800" i="7"/>
  <c r="O4803" i="7"/>
  <c r="O4815" i="7"/>
  <c r="O4814" i="7"/>
  <c r="O4813" i="7"/>
  <c r="O4812" i="7"/>
  <c r="O4811" i="7"/>
  <c r="O4820" i="7"/>
  <c r="O4819" i="7"/>
  <c r="O4818" i="7"/>
  <c r="O4817" i="7"/>
  <c r="O4816" i="7"/>
  <c r="O4821" i="7"/>
  <c r="O4822" i="7"/>
  <c r="O4826" i="7"/>
  <c r="O4825" i="7"/>
  <c r="O4827" i="7"/>
  <c r="O4828" i="7"/>
  <c r="O4829" i="7"/>
  <c r="O4830" i="7"/>
  <c r="O4837" i="7"/>
  <c r="O4834" i="7"/>
  <c r="O4835" i="7"/>
  <c r="O4832" i="7"/>
  <c r="O4833" i="7"/>
  <c r="O4836" i="7"/>
  <c r="O4839" i="7"/>
  <c r="O4840" i="7"/>
  <c r="O4841" i="7"/>
  <c r="O4842" i="7"/>
  <c r="O4838" i="7"/>
  <c r="O4844" i="7"/>
  <c r="O4843" i="7"/>
  <c r="O4885" i="7"/>
  <c r="O4869" i="7"/>
  <c r="O4868" i="7"/>
  <c r="O4884" i="7"/>
  <c r="O4867" i="7"/>
  <c r="O4866" i="7"/>
  <c r="O4865" i="7"/>
  <c r="O4883" i="7"/>
  <c r="O4863" i="7"/>
  <c r="O4862" i="7"/>
  <c r="O4861" i="7"/>
  <c r="O4860" i="7"/>
  <c r="O4859" i="7"/>
  <c r="O4858" i="7"/>
  <c r="O4882" i="7"/>
  <c r="O4857" i="7"/>
  <c r="O4856" i="7"/>
  <c r="O4855" i="7"/>
  <c r="O4854" i="7"/>
  <c r="O4853" i="7"/>
  <c r="O4852" i="7"/>
  <c r="O4851" i="7"/>
  <c r="O4850" i="7"/>
  <c r="O4849" i="7"/>
  <c r="O4873" i="7"/>
  <c r="O4848" i="7"/>
  <c r="O4847" i="7"/>
  <c r="O4846" i="7"/>
  <c r="O4880" i="7"/>
  <c r="O4879" i="7"/>
  <c r="O4878" i="7"/>
  <c r="O4877" i="7"/>
  <c r="O4881" i="7"/>
  <c r="O4894" i="7"/>
  <c r="O4893" i="7"/>
  <c r="O4892" i="7"/>
  <c r="O4845" i="7"/>
  <c r="O4875" i="7"/>
  <c r="O4891" i="7"/>
  <c r="O4874" i="7"/>
  <c r="O4890" i="7"/>
  <c r="O4889" i="7"/>
  <c r="O4872" i="7"/>
  <c r="O4871" i="7"/>
  <c r="O4870" i="7"/>
  <c r="O4888" i="7"/>
  <c r="O4876" i="7"/>
  <c r="O4887" i="7"/>
  <c r="O4886" i="7"/>
  <c r="O4864" i="7"/>
  <c r="O4897" i="7"/>
  <c r="O4895" i="7"/>
  <c r="O4896" i="7"/>
  <c r="O4898" i="7"/>
  <c r="O4900" i="7"/>
  <c r="O4903" i="7"/>
  <c r="O4904" i="7"/>
  <c r="O4905" i="7"/>
  <c r="O4901" i="7"/>
  <c r="O4902" i="7"/>
  <c r="O4899" i="7"/>
  <c r="O4906" i="7"/>
  <c r="O4907" i="7"/>
  <c r="O4914" i="7"/>
  <c r="O4915" i="7"/>
  <c r="O4916" i="7"/>
  <c r="O4913" i="7"/>
  <c r="O4918" i="7"/>
  <c r="O4912" i="7"/>
  <c r="O4917" i="7"/>
  <c r="O4909" i="7"/>
  <c r="O4910" i="7"/>
  <c r="O4911" i="7"/>
  <c r="O4919" i="7"/>
  <c r="O4920" i="7"/>
  <c r="O4921" i="7"/>
  <c r="O4922" i="7"/>
  <c r="O4923" i="7"/>
  <c r="O4924" i="7"/>
  <c r="O4925" i="7"/>
  <c r="O4926" i="7"/>
  <c r="O4927" i="7"/>
  <c r="O4928" i="7"/>
  <c r="O4929" i="7"/>
  <c r="O4930" i="7"/>
  <c r="O4931" i="7"/>
  <c r="O4932" i="7"/>
  <c r="O4933" i="7"/>
  <c r="O4934" i="7"/>
  <c r="O4935" i="7"/>
  <c r="O4936" i="7"/>
  <c r="O4937" i="7"/>
  <c r="O4945" i="7"/>
  <c r="O4938" i="7"/>
  <c r="O4939" i="7"/>
  <c r="O4940" i="7"/>
  <c r="O4941" i="7"/>
  <c r="O4942" i="7"/>
  <c r="O4943" i="7"/>
  <c r="O4944" i="7"/>
  <c r="O4946" i="7"/>
  <c r="O4947" i="7"/>
  <c r="O4948" i="7"/>
  <c r="O4949" i="7"/>
  <c r="O4950" i="7"/>
  <c r="O4951" i="7"/>
  <c r="O4952" i="7"/>
  <c r="O4953" i="7"/>
  <c r="O4954" i="7"/>
  <c r="O4955" i="7"/>
  <c r="O4956" i="7"/>
  <c r="O4957" i="7"/>
  <c r="O4958" i="7"/>
  <c r="O4959" i="7"/>
  <c r="O4960" i="7"/>
  <c r="O4962" i="7"/>
  <c r="O4961" i="7"/>
  <c r="O4973" i="7"/>
  <c r="O4964" i="7"/>
  <c r="O4965" i="7"/>
  <c r="O4963" i="7"/>
  <c r="O4966" i="7"/>
  <c r="O4967" i="7"/>
  <c r="O4968" i="7"/>
  <c r="O4969" i="7"/>
  <c r="O4970" i="7"/>
  <c r="O4971" i="7"/>
  <c r="O4972" i="7"/>
  <c r="O5001" i="7"/>
  <c r="O5002" i="7"/>
  <c r="O5004" i="7"/>
  <c r="O5005" i="7"/>
  <c r="O5006" i="7"/>
  <c r="O5007" i="7"/>
  <c r="O5008" i="7"/>
  <c r="O5009" i="7"/>
  <c r="O5010" i="7"/>
  <c r="O5011" i="7"/>
  <c r="O5012" i="7"/>
  <c r="O5013" i="7"/>
  <c r="O5014" i="7"/>
  <c r="O5015" i="7"/>
  <c r="O5016" i="7"/>
  <c r="O5017" i="7"/>
  <c r="O5018" i="7"/>
  <c r="O5019" i="7"/>
  <c r="O5020" i="7"/>
  <c r="O5021" i="7"/>
  <c r="O5022" i="7"/>
  <c r="O5023" i="7"/>
  <c r="O5024" i="7"/>
  <c r="O5025" i="7"/>
  <c r="O5026" i="7"/>
  <c r="O4974" i="7"/>
  <c r="O4975" i="7"/>
  <c r="O4976" i="7"/>
  <c r="O4977" i="7"/>
  <c r="O4978" i="7"/>
  <c r="O4979" i="7"/>
  <c r="O4980" i="7"/>
  <c r="O4981" i="7"/>
  <c r="O4982" i="7"/>
  <c r="O5000" i="7"/>
  <c r="O4983" i="7"/>
  <c r="O4984" i="7"/>
  <c r="O5003" i="7"/>
  <c r="O4985" i="7"/>
  <c r="O4986" i="7"/>
  <c r="O4987" i="7"/>
  <c r="O4988" i="7"/>
  <c r="O4989" i="7"/>
  <c r="O4990" i="7"/>
  <c r="O4991" i="7"/>
  <c r="O4992" i="7"/>
  <c r="O4993" i="7"/>
  <c r="O4994" i="7"/>
  <c r="O4995" i="7"/>
  <c r="O4996" i="7"/>
  <c r="O4997" i="7"/>
  <c r="O4998" i="7"/>
  <c r="O4999" i="7"/>
  <c r="O5027" i="7"/>
  <c r="O5028" i="7"/>
  <c r="O5029" i="7"/>
  <c r="O5030" i="7"/>
  <c r="O5031" i="7"/>
  <c r="O5032" i="7"/>
  <c r="O5033" i="7"/>
  <c r="O5034" i="7"/>
  <c r="O5035" i="7"/>
  <c r="O5036" i="7"/>
  <c r="O5037" i="7"/>
  <c r="O5038" i="7"/>
  <c r="O5039" i="7"/>
  <c r="O5040" i="7"/>
  <c r="O5041" i="7"/>
  <c r="O5064" i="7"/>
  <c r="O5042" i="7"/>
  <c r="O5043" i="7"/>
  <c r="O5044" i="7"/>
  <c r="O5045" i="7"/>
  <c r="O5046" i="7"/>
  <c r="O5047" i="7"/>
  <c r="O5048" i="7"/>
  <c r="O5049" i="7"/>
  <c r="O5050" i="7"/>
  <c r="O5051" i="7"/>
  <c r="O5052" i="7"/>
  <c r="O5053" i="7"/>
  <c r="O5054" i="7"/>
  <c r="O5055" i="7"/>
  <c r="O5056" i="7"/>
  <c r="O5057" i="7"/>
  <c r="O5058" i="7"/>
  <c r="O5059" i="7"/>
  <c r="O5060" i="7"/>
  <c r="O5061" i="7"/>
  <c r="O5062" i="7"/>
  <c r="O5063" i="7"/>
  <c r="O8478" i="7"/>
  <c r="O8477" i="7"/>
  <c r="O8476" i="7"/>
  <c r="O8475" i="7"/>
  <c r="O8480" i="7"/>
  <c r="O8474" i="7"/>
  <c r="O8473" i="7"/>
  <c r="O8472" i="7"/>
  <c r="O8481" i="7"/>
  <c r="O8471" i="7"/>
  <c r="O8479" i="7"/>
  <c r="O119" i="5" l="1"/>
  <c r="O266" i="5"/>
  <c r="P266" i="5" s="1"/>
  <c r="O19" i="5"/>
  <c r="P19" i="5" s="1"/>
  <c r="O149" i="5"/>
  <c r="P149" i="5" s="1"/>
  <c r="O132" i="5"/>
  <c r="P132" i="5" s="1"/>
  <c r="O93" i="5"/>
  <c r="P93" i="5" s="1"/>
  <c r="O85" i="5"/>
  <c r="P85" i="5" s="1"/>
  <c r="O108" i="5"/>
  <c r="P108" i="5" s="1"/>
  <c r="O255" i="5"/>
  <c r="P255" i="5" s="1"/>
  <c r="O170" i="5"/>
  <c r="P170" i="5" s="1"/>
  <c r="O24" i="5"/>
  <c r="P24" i="5" s="1"/>
  <c r="O177" i="5"/>
  <c r="P177" i="5" s="1"/>
  <c r="O66" i="5"/>
  <c r="P66" i="5" s="1"/>
  <c r="O68" i="5"/>
  <c r="P68" i="5" s="1"/>
  <c r="O7" i="5"/>
  <c r="P7" i="5" s="1"/>
  <c r="O99" i="5"/>
  <c r="O67" i="5"/>
  <c r="P67" i="5" s="1"/>
  <c r="O226" i="5"/>
  <c r="P226" i="5" s="1"/>
  <c r="O60" i="5"/>
  <c r="P60" i="5" s="1"/>
  <c r="O241" i="5"/>
  <c r="P241" i="5" s="1"/>
  <c r="O31" i="5"/>
  <c r="P31" i="5" s="1"/>
  <c r="O231" i="5"/>
  <c r="P231" i="5" s="1"/>
  <c r="O137" i="5"/>
  <c r="P137" i="5" s="1"/>
  <c r="O74" i="5"/>
  <c r="P74" i="5" s="1"/>
  <c r="O136" i="5"/>
  <c r="P136" i="5" s="1"/>
  <c r="O25" i="5"/>
  <c r="P25" i="5" s="1"/>
  <c r="O270" i="5"/>
  <c r="P270" i="5" s="1"/>
  <c r="O202" i="5"/>
  <c r="P202" i="5" s="1"/>
  <c r="O23" i="5"/>
  <c r="P23" i="5" s="1"/>
  <c r="O37" i="5"/>
  <c r="P37" i="5" s="1"/>
  <c r="O181" i="5"/>
  <c r="P181" i="5" s="1"/>
  <c r="O139" i="5"/>
  <c r="P139" i="5" s="1"/>
  <c r="P119" i="5"/>
  <c r="O148" i="5"/>
  <c r="P148" i="5" s="1"/>
  <c r="O41" i="5"/>
  <c r="P41" i="5" s="1"/>
  <c r="O92" i="5"/>
  <c r="P92" i="5" s="1"/>
  <c r="O194" i="5"/>
  <c r="P194" i="5" s="1"/>
  <c r="O101" i="5"/>
  <c r="P101" i="5" s="1"/>
  <c r="O15" i="5"/>
  <c r="P15" i="5" s="1"/>
  <c r="O16" i="5"/>
  <c r="P16" i="5" s="1"/>
  <c r="O198" i="5"/>
  <c r="P198" i="5" s="1"/>
  <c r="O159" i="5"/>
  <c r="P159" i="5" s="1"/>
  <c r="O121" i="5"/>
  <c r="P121" i="5" s="1"/>
  <c r="O42" i="5"/>
  <c r="P42" i="5" s="1"/>
  <c r="O83" i="5"/>
  <c r="P83" i="5" s="1"/>
  <c r="O62" i="5"/>
  <c r="P62" i="5" s="1"/>
  <c r="O61" i="5"/>
  <c r="P61" i="5" s="1"/>
  <c r="O211" i="5"/>
  <c r="P211" i="5" s="1"/>
  <c r="O97" i="5"/>
  <c r="P97" i="5" s="1"/>
  <c r="O188" i="5"/>
  <c r="P188" i="5" s="1"/>
  <c r="P99" i="5"/>
  <c r="O133" i="5"/>
  <c r="P133" i="5" s="1"/>
  <c r="O214" i="5"/>
  <c r="P214" i="5" s="1"/>
  <c r="O39" i="5"/>
  <c r="P39" i="5" s="1"/>
  <c r="O78" i="5"/>
  <c r="P78" i="5" s="1"/>
  <c r="T182" i="5"/>
  <c r="Q2" i="5"/>
  <c r="R2" i="5" s="1"/>
  <c r="T18" i="5"/>
  <c r="T21" i="5"/>
  <c r="T4" i="5"/>
  <c r="T37" i="5"/>
  <c r="T10" i="5"/>
  <c r="T2" i="5"/>
  <c r="T24" i="5"/>
  <c r="T19" i="5"/>
  <c r="T3" i="5"/>
  <c r="T57" i="5"/>
  <c r="Q57" i="5"/>
  <c r="R57" i="5" s="1"/>
  <c r="T38" i="5"/>
  <c r="T22" i="5"/>
  <c r="T34" i="5"/>
  <c r="T9" i="5"/>
  <c r="T35" i="5"/>
  <c r="T11" i="5"/>
  <c r="T12" i="5"/>
  <c r="T39" i="5"/>
  <c r="N9465" i="7"/>
  <c r="N9464" i="7"/>
  <c r="N9428" i="7"/>
  <c r="N9427" i="7"/>
  <c r="N9426" i="7"/>
  <c r="N9409" i="7"/>
  <c r="N9377" i="7"/>
  <c r="N9365" i="7"/>
  <c r="N9317" i="7"/>
  <c r="N9316" i="7"/>
  <c r="N9308" i="7"/>
  <c r="N9298" i="7"/>
  <c r="N9297" i="7"/>
  <c r="N9296" i="7"/>
  <c r="N9285" i="7"/>
  <c r="N9277" i="7"/>
  <c r="N9176" i="7"/>
  <c r="N9175" i="7"/>
  <c r="N9174" i="7"/>
  <c r="N9079" i="7"/>
  <c r="N9056" i="7"/>
  <c r="N9021" i="7"/>
  <c r="N9008" i="7"/>
  <c r="N8956" i="7"/>
  <c r="N8955" i="7"/>
  <c r="N8954" i="7"/>
  <c r="N8866" i="7"/>
  <c r="N8650" i="7"/>
  <c r="N8649" i="7"/>
  <c r="N8648" i="7"/>
  <c r="N8647" i="7"/>
  <c r="N8614" i="7"/>
  <c r="N8557" i="7"/>
  <c r="N8556" i="7"/>
  <c r="N8555" i="7"/>
  <c r="N8420" i="7"/>
  <c r="N8374" i="7"/>
  <c r="N8315" i="7"/>
  <c r="N8314" i="7"/>
  <c r="N8210" i="7"/>
  <c r="N8209" i="7"/>
  <c r="N8208" i="7"/>
  <c r="N8207" i="7"/>
  <c r="N8206" i="7"/>
  <c r="N8205" i="7"/>
  <c r="N8115" i="7"/>
  <c r="N8114" i="7"/>
  <c r="N8113" i="7"/>
  <c r="N8112" i="7"/>
  <c r="N8111" i="7"/>
  <c r="N8110" i="7"/>
  <c r="N8109" i="7"/>
  <c r="N8108" i="7"/>
  <c r="N8107" i="7"/>
  <c r="N8106" i="7"/>
  <c r="N7942" i="7"/>
  <c r="N7848" i="7"/>
  <c r="N7839" i="7"/>
  <c r="N7807" i="7"/>
  <c r="N7754" i="7"/>
  <c r="N7722" i="7"/>
  <c r="N7721" i="7"/>
  <c r="N7720" i="7"/>
  <c r="N7708" i="7"/>
  <c r="N7667" i="7"/>
  <c r="N7637" i="7"/>
  <c r="N7549" i="7"/>
  <c r="N7548" i="7"/>
  <c r="N7463" i="7"/>
  <c r="N7462" i="7"/>
  <c r="N7461" i="7"/>
  <c r="N7460" i="7"/>
  <c r="N7388" i="7"/>
  <c r="N7379" i="7"/>
  <c r="N7378" i="7"/>
  <c r="N7377" i="7"/>
  <c r="N7356" i="7"/>
  <c r="N7355" i="7"/>
  <c r="N7354" i="7"/>
  <c r="N7261" i="7"/>
  <c r="N7260" i="7"/>
  <c r="N7050" i="7"/>
  <c r="N7049" i="7"/>
  <c r="N7048" i="7"/>
  <c r="N7047" i="7"/>
  <c r="N7046" i="7"/>
  <c r="N7045" i="7"/>
  <c r="N6881" i="7"/>
  <c r="N6798" i="7"/>
  <c r="N6797" i="7"/>
  <c r="N6796" i="7"/>
  <c r="N6795" i="7"/>
  <c r="N6746" i="7"/>
  <c r="N6745" i="7"/>
  <c r="N6744" i="7"/>
  <c r="N6677" i="7"/>
  <c r="N6676" i="7"/>
  <c r="N6596" i="7"/>
  <c r="N6595" i="7"/>
  <c r="N6594" i="7"/>
  <c r="N6593" i="7"/>
  <c r="N6478" i="7"/>
  <c r="N6477" i="7"/>
  <c r="N6476" i="7"/>
  <c r="N6466" i="7"/>
  <c r="N6445" i="7"/>
  <c r="N6444" i="7"/>
  <c r="N6443" i="7"/>
  <c r="N6401" i="7"/>
  <c r="N6378" i="7"/>
  <c r="N6297" i="7"/>
  <c r="N6296" i="7"/>
  <c r="N6266" i="7"/>
  <c r="N6265" i="7"/>
  <c r="N6264" i="7"/>
  <c r="N6263" i="7"/>
  <c r="N6262" i="7"/>
  <c r="N6214" i="7"/>
  <c r="N6213" i="7"/>
  <c r="N6212" i="7"/>
  <c r="N6211" i="7"/>
  <c r="N6210" i="7"/>
  <c r="N6005" i="7"/>
  <c r="N5948" i="7"/>
  <c r="N5947" i="7"/>
  <c r="N5946" i="7"/>
  <c r="N5925" i="7"/>
  <c r="N5899" i="7"/>
  <c r="N5824" i="7"/>
  <c r="N5823" i="7"/>
  <c r="N5822" i="7"/>
  <c r="N5723" i="7"/>
  <c r="N5717" i="7"/>
  <c r="N5716" i="7"/>
  <c r="N5636" i="7"/>
  <c r="N5635" i="7"/>
  <c r="N5634" i="7"/>
  <c r="N5608" i="7"/>
  <c r="N5607" i="7"/>
  <c r="N5470" i="7"/>
  <c r="N5469" i="7"/>
  <c r="N5370" i="7"/>
  <c r="N5369" i="7"/>
  <c r="N5155" i="7"/>
  <c r="N5154" i="7"/>
  <c r="N5153" i="7"/>
  <c r="N5152" i="7"/>
  <c r="N5151" i="7"/>
  <c r="N5150" i="7"/>
  <c r="N5149" i="7"/>
  <c r="N5107" i="7"/>
  <c r="N5106" i="7"/>
  <c r="N5053" i="7"/>
  <c r="N4994" i="7"/>
  <c r="N4993" i="7"/>
  <c r="N4992" i="7"/>
  <c r="N4946" i="7"/>
  <c r="N4874" i="7"/>
  <c r="N4873" i="7"/>
  <c r="N4742" i="7"/>
  <c r="N4607" i="7"/>
  <c r="N4606" i="7"/>
  <c r="N4605" i="7"/>
  <c r="N4604" i="7"/>
  <c r="N4533" i="7"/>
  <c r="N4521" i="7"/>
  <c r="N4520" i="7"/>
  <c r="N4519" i="7"/>
  <c r="N4457" i="7"/>
  <c r="N4456" i="7"/>
  <c r="N4455" i="7"/>
  <c r="N4454" i="7"/>
  <c r="N4420" i="7"/>
  <c r="N4415" i="7"/>
  <c r="N4362" i="7"/>
  <c r="N4361" i="7"/>
  <c r="N4360" i="7"/>
  <c r="N4359" i="7"/>
  <c r="N4308" i="7"/>
  <c r="N4307" i="7"/>
  <c r="N4306" i="7"/>
  <c r="N4239" i="7"/>
  <c r="N4237" i="7"/>
  <c r="N4201" i="7"/>
  <c r="N4200" i="7"/>
  <c r="N4199" i="7"/>
  <c r="N4198" i="7"/>
  <c r="N4145" i="7"/>
  <c r="N4049" i="7"/>
  <c r="N4048" i="7"/>
  <c r="N4047" i="7"/>
  <c r="N4046" i="7"/>
  <c r="N4045" i="7"/>
  <c r="N4044" i="7"/>
  <c r="N3983" i="7"/>
  <c r="N3982" i="7"/>
  <c r="N3981" i="7"/>
  <c r="N3980" i="7"/>
  <c r="N3950" i="7"/>
  <c r="N3949" i="7"/>
  <c r="N3948" i="7"/>
  <c r="N3947" i="7"/>
  <c r="N3936" i="7"/>
  <c r="N3935" i="7"/>
  <c r="N3934" i="7"/>
  <c r="N3933" i="7"/>
  <c r="N3881" i="7"/>
  <c r="N3880" i="7"/>
  <c r="N3765" i="7"/>
  <c r="N3760" i="7"/>
  <c r="N3663" i="7"/>
  <c r="N3581" i="7"/>
  <c r="N3580" i="7"/>
  <c r="N3579" i="7"/>
  <c r="N3578" i="7"/>
  <c r="N3577" i="7"/>
  <c r="N3469" i="7"/>
  <c r="N3468" i="7"/>
  <c r="N3467" i="7"/>
  <c r="N3466" i="7"/>
  <c r="N3465" i="7"/>
  <c r="N3464" i="7"/>
  <c r="N3411" i="7"/>
  <c r="N3410" i="7"/>
  <c r="N3409" i="7"/>
  <c r="N3408" i="7"/>
  <c r="N3407" i="7"/>
  <c r="N3366" i="7"/>
  <c r="N3353" i="7"/>
  <c r="N3285" i="7"/>
  <c r="N3284" i="7"/>
  <c r="N3283" i="7"/>
  <c r="N3282" i="7"/>
  <c r="N3281" i="7"/>
  <c r="N3280" i="7"/>
  <c r="N3279" i="7"/>
  <c r="N3278" i="7"/>
  <c r="N3277" i="7"/>
  <c r="N3207" i="7"/>
  <c r="N3196" i="7"/>
  <c r="N3156" i="7"/>
  <c r="N3155" i="7"/>
  <c r="N3154" i="7"/>
  <c r="N3153" i="7"/>
  <c r="N3029" i="7"/>
  <c r="N3028" i="7"/>
  <c r="N3027" i="7"/>
  <c r="N3026" i="7"/>
  <c r="N3025" i="7"/>
  <c r="N2920" i="7"/>
  <c r="N2919" i="7"/>
  <c r="N2899" i="7"/>
  <c r="N2898" i="7"/>
  <c r="N2897" i="7"/>
  <c r="N2896" i="7"/>
  <c r="N2834" i="7"/>
  <c r="N2833" i="7"/>
  <c r="N2815" i="7"/>
  <c r="N2814" i="7"/>
  <c r="N2735" i="7"/>
  <c r="N2734" i="7"/>
  <c r="N2733" i="7"/>
  <c r="N2670" i="7"/>
  <c r="N2669" i="7"/>
  <c r="N2618" i="7"/>
  <c r="N2617" i="7"/>
  <c r="N2581" i="7"/>
  <c r="N2561" i="7"/>
  <c r="N2560" i="7"/>
  <c r="N2559" i="7"/>
  <c r="N2508" i="7"/>
  <c r="N2507" i="7"/>
  <c r="N2506" i="7"/>
  <c r="N2505" i="7"/>
  <c r="N2427" i="7"/>
  <c r="N2413" i="7"/>
  <c r="N2386" i="7"/>
  <c r="N2385" i="7"/>
  <c r="N2284" i="7"/>
  <c r="N2283" i="7"/>
  <c r="N2282" i="7"/>
  <c r="N2281" i="7"/>
  <c r="N2280" i="7"/>
  <c r="N2279" i="7"/>
  <c r="N2165" i="7"/>
  <c r="N2164" i="7"/>
  <c r="N2163" i="7"/>
  <c r="N2162" i="7"/>
  <c r="N2161" i="7"/>
  <c r="N2160" i="7"/>
  <c r="N1905" i="7"/>
  <c r="N1904" i="7"/>
  <c r="N1903" i="7"/>
  <c r="N1902" i="7"/>
  <c r="N1901" i="7"/>
  <c r="N1845" i="7"/>
  <c r="N1834" i="7"/>
  <c r="N1833" i="7"/>
  <c r="N1832" i="7"/>
  <c r="N1825" i="7"/>
  <c r="N1824" i="7"/>
  <c r="N1823" i="7"/>
  <c r="N1822" i="7"/>
  <c r="N1821" i="7"/>
  <c r="N1820" i="7"/>
  <c r="N1765" i="7"/>
  <c r="N1764" i="7"/>
  <c r="N1734" i="7"/>
  <c r="N1733" i="7"/>
  <c r="N1732" i="7"/>
  <c r="N1731" i="7"/>
  <c r="N1700" i="7"/>
  <c r="N1698" i="7"/>
  <c r="N1697" i="7"/>
  <c r="N1629" i="7"/>
  <c r="N1628" i="7"/>
  <c r="N1627" i="7"/>
  <c r="N1626" i="7"/>
  <c r="N1625" i="7"/>
  <c r="N1624" i="7"/>
  <c r="N1623" i="7"/>
  <c r="N1489" i="7"/>
  <c r="N1488" i="7"/>
  <c r="N1487" i="7"/>
  <c r="N1486" i="7"/>
  <c r="N1485" i="7"/>
  <c r="N1234" i="7"/>
  <c r="N1233" i="7"/>
  <c r="N1105" i="7"/>
  <c r="N1104" i="7"/>
  <c r="N1103" i="7"/>
  <c r="N1102" i="7"/>
  <c r="N1101" i="7"/>
  <c r="N1100" i="7"/>
  <c r="N1099" i="7"/>
  <c r="N1098" i="7"/>
  <c r="N1097" i="7"/>
  <c r="N889" i="7"/>
  <c r="N888" i="7"/>
  <c r="N887" i="7"/>
  <c r="N886" i="7"/>
  <c r="N761" i="7"/>
  <c r="N760" i="7"/>
  <c r="N759" i="7"/>
  <c r="N758" i="7"/>
  <c r="N757" i="7"/>
  <c r="N756" i="7"/>
  <c r="N755" i="7"/>
  <c r="N754" i="7"/>
  <c r="N697" i="7"/>
  <c r="N650" i="7"/>
  <c r="N644" i="7"/>
  <c r="N538" i="7"/>
  <c r="N537" i="7"/>
  <c r="N536" i="7"/>
  <c r="N535" i="7"/>
  <c r="N513" i="7"/>
  <c r="N434" i="7"/>
  <c r="N432" i="7"/>
  <c r="N418" i="7"/>
  <c r="N319" i="7"/>
  <c r="N266" i="7"/>
  <c r="N265" i="7"/>
  <c r="N264" i="7"/>
  <c r="N263" i="7"/>
  <c r="N195" i="7"/>
  <c r="N194" i="7"/>
  <c r="N193" i="7"/>
  <c r="N192" i="7"/>
  <c r="N191" i="7"/>
  <c r="N190" i="7"/>
  <c r="N125" i="7"/>
  <c r="N123" i="7"/>
  <c r="N103" i="7"/>
  <c r="N51" i="7"/>
  <c r="N12" i="7"/>
  <c r="N11" i="7"/>
  <c r="N9303" i="7"/>
  <c r="N8937" i="7"/>
  <c r="N8542" i="7"/>
  <c r="N8473" i="7"/>
  <c r="N8367" i="7"/>
  <c r="N8049" i="7"/>
  <c r="N7800" i="7"/>
  <c r="N7700" i="7"/>
  <c r="N7658" i="7"/>
  <c r="N6784" i="7"/>
  <c r="N4294" i="7"/>
  <c r="N3971" i="7"/>
  <c r="N3441" i="7"/>
  <c r="N2710" i="7"/>
  <c r="N2663" i="7"/>
  <c r="N2611" i="7"/>
  <c r="N2486" i="7"/>
  <c r="N2148" i="7"/>
  <c r="N1999" i="7"/>
  <c r="N1874" i="7"/>
  <c r="N1609" i="7"/>
  <c r="N1354" i="7"/>
  <c r="N1296" i="7"/>
  <c r="N739" i="7"/>
  <c r="N305" i="7"/>
  <c r="N9414" i="7"/>
  <c r="N8919" i="7"/>
  <c r="N8389" i="7"/>
  <c r="N8352" i="7"/>
  <c r="N8351" i="7"/>
  <c r="N8233" i="7"/>
  <c r="N7992" i="7"/>
  <c r="N7990" i="7"/>
  <c r="N7932" i="7"/>
  <c r="N7931" i="7"/>
  <c r="N7822" i="7"/>
  <c r="N7821" i="7"/>
  <c r="N7654" i="7"/>
  <c r="N7418" i="7"/>
  <c r="N7417" i="7"/>
  <c r="N7402" i="7"/>
  <c r="N7371" i="7"/>
  <c r="N7349" i="7"/>
  <c r="N6926" i="7"/>
  <c r="N6853" i="7"/>
  <c r="N6771" i="7"/>
  <c r="N6770" i="7"/>
  <c r="N6726" i="7"/>
  <c r="N6725" i="7"/>
  <c r="N6724" i="7"/>
  <c r="N6159" i="7"/>
  <c r="N6018" i="7"/>
  <c r="N5805" i="7"/>
  <c r="N5804" i="7"/>
  <c r="N5803" i="7"/>
  <c r="N5574" i="7"/>
  <c r="N5428" i="7"/>
  <c r="N4975" i="7"/>
  <c r="N4974" i="7"/>
  <c r="N4686" i="7"/>
  <c r="N4433" i="7"/>
  <c r="N3964" i="7"/>
  <c r="N3753" i="7"/>
  <c r="N3544" i="7"/>
  <c r="N3425" i="7"/>
  <c r="N3253" i="7"/>
  <c r="N3113" i="7"/>
  <c r="N2706" i="7"/>
  <c r="N2705" i="7"/>
  <c r="N2686" i="7"/>
  <c r="N2634" i="7"/>
  <c r="N2189" i="7"/>
  <c r="N2188" i="7"/>
  <c r="N2187" i="7"/>
  <c r="N1981" i="7"/>
  <c r="N1852" i="7"/>
  <c r="N1829" i="7"/>
  <c r="N1711" i="7"/>
  <c r="N1596" i="7"/>
  <c r="N1400" i="7"/>
  <c r="N1399" i="7"/>
  <c r="N1349" i="7"/>
  <c r="N1275" i="7"/>
  <c r="N1274" i="7"/>
  <c r="N722" i="7"/>
  <c r="N721" i="7"/>
  <c r="N422" i="7"/>
  <c r="N294" i="7"/>
  <c r="N8499" i="7"/>
  <c r="N3813" i="7"/>
  <c r="N3744" i="7"/>
  <c r="N3743" i="7"/>
  <c r="N1934" i="7"/>
  <c r="N1933" i="7"/>
  <c r="N615" i="7"/>
  <c r="N614" i="7"/>
  <c r="N599" i="7"/>
  <c r="N598" i="7"/>
  <c r="N8084" i="7"/>
  <c r="N7919" i="7"/>
  <c r="N7810" i="7"/>
  <c r="N7809" i="7"/>
  <c r="N7808" i="7"/>
  <c r="N7403" i="7"/>
  <c r="N7268" i="7"/>
  <c r="N6981" i="7"/>
  <c r="N6874" i="7"/>
  <c r="N6873" i="7"/>
  <c r="N6741" i="7"/>
  <c r="N6544" i="7"/>
  <c r="N6338" i="7"/>
  <c r="N6337" i="7"/>
  <c r="N3569" i="7"/>
  <c r="N2846" i="7"/>
  <c r="N1469" i="7"/>
  <c r="N1468" i="7"/>
  <c r="N1467" i="7"/>
  <c r="N1267" i="7"/>
  <c r="N1266" i="7"/>
  <c r="N9107" i="7"/>
  <c r="N8809" i="7"/>
  <c r="N8258" i="7"/>
  <c r="N8257" i="7"/>
  <c r="N7577" i="7"/>
  <c r="N7576" i="7"/>
  <c r="N7575" i="7"/>
  <c r="N7574" i="7"/>
  <c r="N7573" i="7"/>
  <c r="N7572" i="7"/>
  <c r="N7571" i="7"/>
  <c r="N7570" i="7"/>
  <c r="N7569" i="7"/>
  <c r="N7472" i="7"/>
  <c r="N7471" i="7"/>
  <c r="N7345" i="7"/>
  <c r="N7343" i="7"/>
  <c r="N7334" i="7"/>
  <c r="N7332" i="7"/>
  <c r="N7331" i="7"/>
  <c r="N7330" i="7"/>
  <c r="N7322" i="7"/>
  <c r="N7284" i="7"/>
  <c r="N7283" i="7"/>
  <c r="N7282" i="7"/>
  <c r="N7281" i="7"/>
  <c r="N7280" i="7"/>
  <c r="N7279" i="7"/>
  <c r="N7278" i="7"/>
  <c r="N7277" i="7"/>
  <c r="N7276" i="7"/>
  <c r="N7275" i="7"/>
  <c r="N6942" i="7"/>
  <c r="N6941" i="7"/>
  <c r="N6940" i="7"/>
  <c r="N6939" i="7"/>
  <c r="N6938" i="7"/>
  <c r="N6937" i="7"/>
  <c r="N6936" i="7"/>
  <c r="N6935" i="7"/>
  <c r="N6934" i="7"/>
  <c r="N6761" i="7"/>
  <c r="N6514" i="7"/>
  <c r="N6410" i="7"/>
  <c r="N6409" i="7"/>
  <c r="N6295" i="7"/>
  <c r="N6294" i="7"/>
  <c r="N6168" i="7"/>
  <c r="N5772" i="7"/>
  <c r="N5254" i="7"/>
  <c r="N5253" i="7"/>
  <c r="N5252" i="7"/>
  <c r="N5251" i="7"/>
  <c r="N5250" i="7"/>
  <c r="N5249" i="7"/>
  <c r="N5248" i="7"/>
  <c r="N4851" i="7"/>
  <c r="N4850" i="7"/>
  <c r="N4849" i="7"/>
  <c r="N4848" i="7"/>
  <c r="N4847" i="7"/>
  <c r="N4809" i="7"/>
  <c r="N4808" i="7"/>
  <c r="N4559" i="7"/>
  <c r="N4558" i="7"/>
  <c r="N4557" i="7"/>
  <c r="N3910" i="7"/>
  <c r="N3909" i="7"/>
  <c r="N3908" i="7"/>
  <c r="N3907" i="7"/>
  <c r="N3906" i="7"/>
  <c r="N3905" i="7"/>
  <c r="N3904" i="7"/>
  <c r="N3903" i="7"/>
  <c r="N3902" i="7"/>
  <c r="N3246" i="7"/>
  <c r="N3245" i="7"/>
  <c r="N3244" i="7"/>
  <c r="N2981" i="7"/>
  <c r="N1038" i="7"/>
  <c r="N1017" i="7"/>
  <c r="N1016" i="7"/>
  <c r="N8876" i="7"/>
  <c r="N8795" i="7"/>
  <c r="N8710" i="7"/>
  <c r="N8684" i="7"/>
  <c r="N8231" i="7"/>
  <c r="N7970" i="7"/>
  <c r="N6831" i="7"/>
  <c r="N6459" i="7"/>
  <c r="N6389" i="7"/>
  <c r="N6315" i="7"/>
  <c r="N6304" i="7"/>
  <c r="N6253" i="7"/>
  <c r="N6251" i="7"/>
  <c r="N5957" i="7"/>
  <c r="N5932" i="7"/>
  <c r="N5895" i="7"/>
  <c r="N4811" i="7"/>
  <c r="N4387" i="7"/>
  <c r="N4138" i="7"/>
  <c r="N3759" i="7"/>
  <c r="N3742" i="7"/>
  <c r="N2934" i="7"/>
  <c r="N2914" i="7"/>
  <c r="N2892" i="7"/>
  <c r="N2832" i="7"/>
  <c r="N2813" i="7"/>
  <c r="N2418" i="7"/>
  <c r="N2404" i="7"/>
  <c r="N1761" i="7"/>
  <c r="N1691" i="7"/>
  <c r="N1125" i="7"/>
  <c r="N934" i="7"/>
  <c r="N647" i="7"/>
  <c r="N587" i="7"/>
  <c r="N415" i="7"/>
  <c r="N95" i="7"/>
  <c r="N10" i="7"/>
  <c r="N3" i="7"/>
  <c r="N9347" i="7"/>
  <c r="N9346" i="7"/>
  <c r="N9146" i="7"/>
  <c r="N9027" i="7"/>
  <c r="N8927" i="7"/>
  <c r="N8926" i="7"/>
  <c r="N8631" i="7"/>
  <c r="N8532" i="7"/>
  <c r="N8232" i="7"/>
  <c r="N8020" i="7"/>
  <c r="N8019" i="7"/>
  <c r="N7697" i="7"/>
  <c r="N7696" i="7"/>
  <c r="N7656" i="7"/>
  <c r="N7568" i="7"/>
  <c r="N7567" i="7"/>
  <c r="N7566" i="7"/>
  <c r="N7542" i="7"/>
  <c r="N7541" i="7"/>
  <c r="N7410" i="7"/>
  <c r="N7409" i="7"/>
  <c r="N7408" i="7"/>
  <c r="N7350" i="7"/>
  <c r="N6948" i="7"/>
  <c r="N6947" i="7"/>
  <c r="N6946" i="7"/>
  <c r="N6565" i="7"/>
  <c r="N6564" i="7"/>
  <c r="N6563" i="7"/>
  <c r="N5802" i="7"/>
  <c r="N5731" i="7"/>
  <c r="N5696" i="7"/>
  <c r="N5619" i="7"/>
  <c r="N5581" i="7"/>
  <c r="N5438" i="7"/>
  <c r="N5437" i="7"/>
  <c r="N5338" i="7"/>
  <c r="N5337" i="7"/>
  <c r="N5255" i="7"/>
  <c r="N5123" i="7"/>
  <c r="N5066" i="7"/>
  <c r="N4699" i="7"/>
  <c r="N4698" i="7"/>
  <c r="N4561" i="7"/>
  <c r="N4435" i="7"/>
  <c r="N4434" i="7"/>
  <c r="N4287" i="7"/>
  <c r="N4023" i="7"/>
  <c r="N4022" i="7"/>
  <c r="N3789" i="7"/>
  <c r="N3788" i="7"/>
  <c r="N3650" i="7"/>
  <c r="N3551" i="7"/>
  <c r="N3550" i="7"/>
  <c r="N3533" i="7"/>
  <c r="N3532" i="7"/>
  <c r="N3429" i="7"/>
  <c r="N3359" i="7"/>
  <c r="N3120" i="7"/>
  <c r="N3088" i="7"/>
  <c r="N3086" i="7"/>
  <c r="N2983" i="7"/>
  <c r="N2982" i="7"/>
  <c r="N2707" i="7"/>
  <c r="N2215" i="7"/>
  <c r="N2214" i="7"/>
  <c r="N2213" i="7"/>
  <c r="N2039" i="7"/>
  <c r="N2038" i="7"/>
  <c r="N1864" i="7"/>
  <c r="N1814" i="7"/>
  <c r="N1813" i="7"/>
  <c r="N1781" i="7"/>
  <c r="N1718" i="7"/>
  <c r="N1717" i="7"/>
  <c r="N1602" i="7"/>
  <c r="N1416" i="7"/>
  <c r="N1415" i="7"/>
  <c r="N1414" i="7"/>
  <c r="N1019" i="7"/>
  <c r="N1018" i="7"/>
  <c r="N869" i="7"/>
  <c r="N868" i="7"/>
  <c r="N730" i="7"/>
  <c r="N729" i="7"/>
  <c r="N528" i="7"/>
  <c r="N426" i="7"/>
  <c r="N9220" i="7"/>
  <c r="N9165" i="7"/>
  <c r="N9164" i="7"/>
  <c r="N9163" i="7"/>
  <c r="N8940" i="7"/>
  <c r="N8851" i="7"/>
  <c r="N8850" i="7"/>
  <c r="N8849" i="7"/>
  <c r="N8766" i="7"/>
  <c r="N8728" i="7"/>
  <c r="N8608" i="7"/>
  <c r="N8607" i="7"/>
  <c r="N8606" i="7"/>
  <c r="N8547" i="7"/>
  <c r="N8546" i="7"/>
  <c r="N8545" i="7"/>
  <c r="N8430" i="7"/>
  <c r="N8429" i="7"/>
  <c r="N8428" i="7"/>
  <c r="N8427" i="7"/>
  <c r="N8061" i="7"/>
  <c r="N8060" i="7"/>
  <c r="N8059" i="7"/>
  <c r="N8058" i="7"/>
  <c r="N8057" i="7"/>
  <c r="N8056" i="7"/>
  <c r="N8055" i="7"/>
  <c r="N8054" i="7"/>
  <c r="N7829" i="7"/>
  <c r="N7828" i="7"/>
  <c r="N7827" i="7"/>
  <c r="N7799" i="7"/>
  <c r="N7798" i="7"/>
  <c r="N7797" i="7"/>
  <c r="N7748" i="7"/>
  <c r="N7702" i="7"/>
  <c r="N7663" i="7"/>
  <c r="N7662" i="7"/>
  <c r="N7661" i="7"/>
  <c r="N7352" i="7"/>
  <c r="N7174" i="7"/>
  <c r="N7173" i="7"/>
  <c r="N7172" i="7"/>
  <c r="N6791" i="7"/>
  <c r="N6790" i="7"/>
  <c r="N6789" i="7"/>
  <c r="N6736" i="7"/>
  <c r="N6735" i="7"/>
  <c r="N6734" i="7"/>
  <c r="N6642" i="7"/>
  <c r="N6641" i="7"/>
  <c r="N6640" i="7"/>
  <c r="N6584" i="7"/>
  <c r="N6583" i="7"/>
  <c r="N6582" i="7"/>
  <c r="N6490" i="7"/>
  <c r="N6489" i="7"/>
  <c r="N6488" i="7"/>
  <c r="N6190" i="7"/>
  <c r="N6189" i="7"/>
  <c r="N6188" i="7"/>
  <c r="N6035" i="7"/>
  <c r="N6034" i="7"/>
  <c r="N6033" i="7"/>
  <c r="N5814" i="7"/>
  <c r="N5813" i="7"/>
  <c r="N5812" i="7"/>
  <c r="N5722" i="7"/>
  <c r="N5705" i="7"/>
  <c r="N5686" i="7"/>
  <c r="N5627" i="7"/>
  <c r="N5626" i="7"/>
  <c r="N5625" i="7"/>
  <c r="N5585" i="7"/>
  <c r="N5550" i="7"/>
  <c r="N5549" i="7"/>
  <c r="N5453" i="7"/>
  <c r="N5452" i="7"/>
  <c r="N5451" i="7"/>
  <c r="N5358" i="7"/>
  <c r="N5357" i="7"/>
  <c r="N5356" i="7"/>
  <c r="N5271" i="7"/>
  <c r="N5270" i="7"/>
  <c r="N5269" i="7"/>
  <c r="N5235" i="7"/>
  <c r="N5219" i="7"/>
  <c r="N5218" i="7"/>
  <c r="N5139" i="7"/>
  <c r="N5138" i="7"/>
  <c r="N5137" i="7"/>
  <c r="N5136" i="7"/>
  <c r="N5051" i="7"/>
  <c r="N5050" i="7"/>
  <c r="N4959" i="7"/>
  <c r="N4958" i="7"/>
  <c r="N4957" i="7"/>
  <c r="N4799" i="7"/>
  <c r="N4798" i="7"/>
  <c r="N4518" i="7"/>
  <c r="N4517" i="7"/>
  <c r="N4449" i="7"/>
  <c r="N4448" i="7"/>
  <c r="N4296" i="7"/>
  <c r="N4185" i="7"/>
  <c r="N4184" i="7"/>
  <c r="N4183" i="7"/>
  <c r="N3976" i="7"/>
  <c r="N3975" i="7"/>
  <c r="N3974" i="7"/>
  <c r="N3447" i="7"/>
  <c r="N3446" i="7"/>
  <c r="N3445" i="7"/>
  <c r="N3135" i="7"/>
  <c r="N3134" i="7"/>
  <c r="N3133" i="7"/>
  <c r="N3132" i="7"/>
  <c r="N3007" i="7"/>
  <c r="N3006" i="7"/>
  <c r="N3005" i="7"/>
  <c r="N2716" i="7"/>
  <c r="N2715" i="7"/>
  <c r="N2714" i="7"/>
  <c r="N2492" i="7"/>
  <c r="N2491" i="7"/>
  <c r="N2490" i="7"/>
  <c r="N2260" i="7"/>
  <c r="N2259" i="7"/>
  <c r="N2258" i="7"/>
  <c r="N2257" i="7"/>
  <c r="N1878" i="7"/>
  <c r="N1877" i="7"/>
  <c r="N1876" i="7"/>
  <c r="N1817" i="7"/>
  <c r="N1725" i="7"/>
  <c r="N1724" i="7"/>
  <c r="N1723" i="7"/>
  <c r="N1613" i="7"/>
  <c r="N1612" i="7"/>
  <c r="N1611" i="7"/>
  <c r="N1457" i="7"/>
  <c r="N1456" i="7"/>
  <c r="N1455" i="7"/>
  <c r="N1024" i="7"/>
  <c r="N1023" i="7"/>
  <c r="N1022" i="7"/>
  <c r="N979" i="7"/>
  <c r="N978" i="7"/>
  <c r="N977" i="7"/>
  <c r="N922" i="7"/>
  <c r="N921" i="7"/>
  <c r="N920" i="7"/>
  <c r="N882" i="7"/>
  <c r="N881" i="7"/>
  <c r="N880" i="7"/>
  <c r="N747" i="7"/>
  <c r="N746" i="7"/>
  <c r="N745" i="7"/>
  <c r="N744" i="7"/>
  <c r="N743" i="7"/>
  <c r="N742" i="7"/>
  <c r="N317" i="7"/>
  <c r="N316" i="7"/>
  <c r="N315" i="7"/>
  <c r="N163" i="7"/>
  <c r="N162" i="7"/>
  <c r="N161" i="7"/>
  <c r="N144" i="7"/>
  <c r="N143" i="7"/>
  <c r="N9271" i="7"/>
  <c r="N9166" i="7"/>
  <c r="N9119" i="7"/>
  <c r="N9037" i="7"/>
  <c r="N9024" i="7"/>
  <c r="N8942" i="7"/>
  <c r="N8856" i="7"/>
  <c r="N8855" i="7"/>
  <c r="N8854" i="7"/>
  <c r="N8729" i="7"/>
  <c r="N8610" i="7"/>
  <c r="N8609" i="7"/>
  <c r="N8321" i="7"/>
  <c r="N8320" i="7"/>
  <c r="N8240" i="7"/>
  <c r="N8239" i="7"/>
  <c r="N8083" i="7"/>
  <c r="N8082" i="7"/>
  <c r="N8081" i="7"/>
  <c r="N8080" i="7"/>
  <c r="N8079" i="7"/>
  <c r="N8078" i="7"/>
  <c r="N7752" i="7"/>
  <c r="N7751" i="7"/>
  <c r="N7716" i="7"/>
  <c r="N7537" i="7"/>
  <c r="N7536" i="7"/>
  <c r="N7535" i="7"/>
  <c r="N7444" i="7"/>
  <c r="N7353" i="7"/>
  <c r="N6980" i="7"/>
  <c r="N6979" i="7"/>
  <c r="N6978" i="7"/>
  <c r="N6793" i="7"/>
  <c r="N6792" i="7"/>
  <c r="N6740" i="7"/>
  <c r="N6403" i="7"/>
  <c r="N6200" i="7"/>
  <c r="N6199" i="7"/>
  <c r="N6198" i="7"/>
  <c r="N6060" i="7"/>
  <c r="N6059" i="7"/>
  <c r="N6058" i="7"/>
  <c r="N6057" i="7"/>
  <c r="N6056" i="7"/>
  <c r="N5821" i="7"/>
  <c r="N5820" i="7"/>
  <c r="N5819" i="7"/>
  <c r="N5818" i="7"/>
  <c r="N5632" i="7"/>
  <c r="N5631" i="7"/>
  <c r="N5630" i="7"/>
  <c r="N5552" i="7"/>
  <c r="N5551" i="7"/>
  <c r="N5463" i="7"/>
  <c r="N5462" i="7"/>
  <c r="N5359" i="7"/>
  <c r="N5277" i="7"/>
  <c r="N5276" i="7"/>
  <c r="N5209" i="7"/>
  <c r="N5143" i="7"/>
  <c r="N5142" i="7"/>
  <c r="N4991" i="7"/>
  <c r="N4990" i="7"/>
  <c r="N4964" i="7"/>
  <c r="N4940" i="7"/>
  <c r="N4895" i="7"/>
  <c r="N4863" i="7"/>
  <c r="N4727" i="7"/>
  <c r="N4298" i="7"/>
  <c r="N4039" i="7"/>
  <c r="N4038" i="7"/>
  <c r="N4037" i="7"/>
  <c r="N4036" i="7"/>
  <c r="N3978" i="7"/>
  <c r="N3563" i="7"/>
  <c r="N3507" i="7"/>
  <c r="N3455" i="7"/>
  <c r="N3012" i="7"/>
  <c r="N2381" i="7"/>
  <c r="N2277" i="7"/>
  <c r="N2151" i="7"/>
  <c r="N1887" i="7"/>
  <c r="N1727" i="7"/>
  <c r="N1615" i="7"/>
  <c r="N1466" i="7"/>
  <c r="N1120" i="7"/>
  <c r="N1119" i="7"/>
  <c r="N1030" i="7"/>
  <c r="N1029" i="7"/>
  <c r="N276" i="7"/>
  <c r="N48" i="7"/>
  <c r="N9149" i="7"/>
  <c r="N9148" i="7"/>
  <c r="N8929" i="7"/>
  <c r="N8928" i="7"/>
  <c r="N8021" i="7"/>
  <c r="N7825" i="7"/>
  <c r="N7824" i="7"/>
  <c r="N7072" i="7"/>
  <c r="N6840" i="7"/>
  <c r="N6839" i="7"/>
  <c r="N6719" i="7"/>
  <c r="N6568" i="7"/>
  <c r="N5620" i="7"/>
  <c r="N5596" i="7"/>
  <c r="N5257" i="7"/>
  <c r="N4583" i="7"/>
  <c r="N4582" i="7"/>
  <c r="N4438" i="7"/>
  <c r="N4437" i="7"/>
  <c r="N4211" i="7"/>
  <c r="N3433" i="7"/>
  <c r="N3227" i="7"/>
  <c r="N2689" i="7"/>
  <c r="N2688" i="7"/>
  <c r="N2637" i="7"/>
  <c r="N2636" i="7"/>
  <c r="N2399" i="7"/>
  <c r="N2141" i="7"/>
  <c r="N2140" i="7"/>
  <c r="N2044" i="7"/>
  <c r="N2043" i="7"/>
  <c r="N1867" i="7"/>
  <c r="N1866" i="7"/>
  <c r="N1753" i="7"/>
  <c r="N530" i="7"/>
  <c r="N18" i="7"/>
  <c r="N9120" i="7"/>
  <c r="N8877" i="7"/>
  <c r="N8823" i="7"/>
  <c r="N8804" i="7"/>
  <c r="N8698" i="7"/>
  <c r="N8283" i="7"/>
  <c r="N7399" i="7"/>
  <c r="N7170" i="7"/>
  <c r="N6390" i="7"/>
  <c r="N5609" i="7"/>
  <c r="N4899" i="7"/>
  <c r="N4410" i="7"/>
  <c r="N4409" i="7"/>
  <c r="N3874" i="7"/>
  <c r="N3873" i="7"/>
  <c r="N3224" i="7"/>
  <c r="N3223" i="7"/>
  <c r="N3206" i="7"/>
  <c r="N3205" i="7"/>
  <c r="N2894" i="7"/>
  <c r="N2183" i="7"/>
  <c r="N2182" i="7"/>
  <c r="N2181" i="7"/>
  <c r="N1693" i="7"/>
  <c r="N1688" i="7"/>
  <c r="N964" i="7"/>
  <c r="N963" i="7"/>
  <c r="N585" i="7"/>
  <c r="N97" i="7"/>
  <c r="N9" i="7"/>
  <c r="N9076" i="7"/>
  <c r="N6833" i="7"/>
  <c r="N5959" i="7"/>
  <c r="N4411" i="7"/>
  <c r="N4357" i="7"/>
  <c r="N3942" i="7"/>
  <c r="N3927" i="7"/>
  <c r="N3728" i="7"/>
  <c r="N3727" i="7"/>
  <c r="N3726" i="7"/>
  <c r="N3339" i="7"/>
  <c r="N2916" i="7"/>
  <c r="N2822" i="7"/>
  <c r="N2803" i="7"/>
  <c r="N2420" i="7"/>
  <c r="N2406" i="7"/>
  <c r="N1762" i="7"/>
  <c r="N643" i="7"/>
  <c r="N589" i="7"/>
  <c r="N233" i="7"/>
  <c r="N8796" i="7"/>
  <c r="N8699" i="7"/>
  <c r="N8683" i="7"/>
  <c r="N7971" i="7"/>
  <c r="N6830" i="7"/>
  <c r="N6458" i="7"/>
  <c r="N6388" i="7"/>
  <c r="N6316" i="7"/>
  <c r="N6305" i="7"/>
  <c r="N5958" i="7"/>
  <c r="N5931" i="7"/>
  <c r="N5894" i="7"/>
  <c r="N5104" i="7"/>
  <c r="N4137" i="7"/>
  <c r="N3875" i="7"/>
  <c r="N3202" i="7"/>
  <c r="N2933" i="7"/>
  <c r="N2915" i="7"/>
  <c r="N2891" i="7"/>
  <c r="N2419" i="7"/>
  <c r="N2405" i="7"/>
  <c r="N1760" i="7"/>
  <c r="N933" i="7"/>
  <c r="N9418" i="7"/>
  <c r="N9283" i="7"/>
  <c r="N9161" i="7"/>
  <c r="N9160" i="7"/>
  <c r="N9036" i="7"/>
  <c r="N9007" i="7"/>
  <c r="N8938" i="7"/>
  <c r="N8762" i="7"/>
  <c r="N8727" i="7"/>
  <c r="N8726" i="7"/>
  <c r="N8637" i="7"/>
  <c r="N8605" i="7"/>
  <c r="N8567" i="7"/>
  <c r="N8543" i="7"/>
  <c r="N8312" i="7"/>
  <c r="N8052" i="7"/>
  <c r="N8051" i="7"/>
  <c r="N8050" i="7"/>
  <c r="N7796" i="7"/>
  <c r="N7746" i="7"/>
  <c r="N7701" i="7"/>
  <c r="N7659" i="7"/>
  <c r="N7534" i="7"/>
  <c r="N6865" i="7"/>
  <c r="N6864" i="7"/>
  <c r="N6787" i="7"/>
  <c r="N6786" i="7"/>
  <c r="N6580" i="7"/>
  <c r="N6579" i="7"/>
  <c r="N6578" i="7"/>
  <c r="N6371" i="7"/>
  <c r="N6197" i="7"/>
  <c r="N6196" i="7"/>
  <c r="N6195" i="7"/>
  <c r="N6032" i="7"/>
  <c r="N6031" i="7"/>
  <c r="N6030" i="7"/>
  <c r="N5784" i="7"/>
  <c r="N5694" i="7"/>
  <c r="N5682" i="7"/>
  <c r="N5624" i="7"/>
  <c r="N5584" i="7"/>
  <c r="N5450" i="7"/>
  <c r="N5355" i="7"/>
  <c r="N5135" i="7"/>
  <c r="N5134" i="7"/>
  <c r="N5048" i="7"/>
  <c r="N5047" i="7"/>
  <c r="N4987" i="7"/>
  <c r="N4963" i="7"/>
  <c r="N4864" i="7"/>
  <c r="N4726" i="7"/>
  <c r="N4725" i="7"/>
  <c r="N4594" i="7"/>
  <c r="N4593" i="7"/>
  <c r="N4592" i="7"/>
  <c r="N4591" i="7"/>
  <c r="N4450" i="7"/>
  <c r="N4295" i="7"/>
  <c r="N4234" i="7"/>
  <c r="N4029" i="7"/>
  <c r="N3972" i="7"/>
  <c r="N3794" i="7"/>
  <c r="N3720" i="7"/>
  <c r="N3657" i="7"/>
  <c r="N3656" i="7"/>
  <c r="N3562" i="7"/>
  <c r="N3561" i="7"/>
  <c r="N3560" i="7"/>
  <c r="N3557" i="7"/>
  <c r="N3511" i="7"/>
  <c r="N3443" i="7"/>
  <c r="N3442" i="7"/>
  <c r="N3265" i="7"/>
  <c r="N3264" i="7"/>
  <c r="N3131" i="7"/>
  <c r="N3004" i="7"/>
  <c r="N3003" i="7"/>
  <c r="N2712" i="7"/>
  <c r="N2711" i="7"/>
  <c r="N2665" i="7"/>
  <c r="N2664" i="7"/>
  <c r="N2613" i="7"/>
  <c r="N2612" i="7"/>
  <c r="N2579" i="7"/>
  <c r="N2556" i="7"/>
  <c r="N2488" i="7"/>
  <c r="N2487" i="7"/>
  <c r="N2377" i="7"/>
  <c r="N2256" i="7"/>
  <c r="N2255" i="7"/>
  <c r="N2254" i="7"/>
  <c r="N2253" i="7"/>
  <c r="N2149" i="7"/>
  <c r="N2075" i="7"/>
  <c r="N2051" i="7"/>
  <c r="N1875" i="7"/>
  <c r="N1816" i="7"/>
  <c r="N1721" i="7"/>
  <c r="N1614" i="7"/>
  <c r="N1465" i="7"/>
  <c r="N1464" i="7"/>
  <c r="N1357" i="7"/>
  <c r="N1356" i="7"/>
  <c r="N1300" i="7"/>
  <c r="N1299" i="7"/>
  <c r="N1237" i="7"/>
  <c r="N1235" i="7"/>
  <c r="N1231" i="7"/>
  <c r="N1228" i="7"/>
  <c r="N879" i="7"/>
  <c r="N878" i="7"/>
  <c r="N849" i="7"/>
  <c r="N740" i="7"/>
  <c r="N716" i="7"/>
  <c r="N698" i="7"/>
  <c r="N533" i="7"/>
  <c r="N519" i="7"/>
  <c r="N512" i="7"/>
  <c r="N428" i="7"/>
  <c r="N408" i="7"/>
  <c r="N403" i="7"/>
  <c r="N314" i="7"/>
  <c r="N313" i="7"/>
  <c r="N312" i="7"/>
  <c r="N311" i="7"/>
  <c r="N310" i="7"/>
  <c r="N309" i="7"/>
  <c r="N308" i="7"/>
  <c r="N307" i="7"/>
  <c r="N306" i="7"/>
  <c r="N184" i="7"/>
  <c r="N183" i="7"/>
  <c r="N43" i="7"/>
  <c r="N8201" i="7"/>
  <c r="N7991" i="7"/>
  <c r="N8769" i="7"/>
  <c r="N8388" i="7"/>
  <c r="N6109" i="7"/>
  <c r="N3177" i="7"/>
  <c r="N1430" i="7"/>
  <c r="N714" i="7"/>
  <c r="N8838" i="7"/>
  <c r="N7735" i="7"/>
  <c r="N5614" i="7"/>
  <c r="N3117" i="7"/>
  <c r="N1856" i="7"/>
  <c r="N9453" i="7"/>
  <c r="N9452" i="7"/>
  <c r="N9451" i="7"/>
  <c r="N9450" i="7"/>
  <c r="N9449" i="7"/>
  <c r="N9448" i="7"/>
  <c r="N9116" i="7"/>
  <c r="N8404" i="7"/>
  <c r="N8403" i="7"/>
  <c r="N8402" i="7"/>
  <c r="N8401" i="7"/>
  <c r="N8400" i="7"/>
  <c r="N8103" i="7"/>
  <c r="N7407" i="7"/>
  <c r="N7406" i="7"/>
  <c r="N7405" i="7"/>
  <c r="N7404" i="7"/>
  <c r="N7391" i="7"/>
  <c r="N7390" i="7"/>
  <c r="N7389" i="7"/>
  <c r="N7207" i="7"/>
  <c r="N7206" i="7"/>
  <c r="N7205" i="7"/>
  <c r="N6933" i="7"/>
  <c r="N6932" i="7"/>
  <c r="N6931" i="7"/>
  <c r="N6930" i="7"/>
  <c r="N6929" i="7"/>
  <c r="N6710" i="7"/>
  <c r="N6639" i="7"/>
  <c r="N6638" i="7"/>
  <c r="N6637" i="7"/>
  <c r="N6636" i="7"/>
  <c r="N6635" i="7"/>
  <c r="N6634" i="7"/>
  <c r="N6379" i="7"/>
  <c r="N6009" i="7"/>
  <c r="N5769" i="7"/>
  <c r="N5768" i="7"/>
  <c r="N5767" i="7"/>
  <c r="N5766" i="7"/>
  <c r="N5765" i="7"/>
  <c r="N5764" i="7"/>
  <c r="N5539" i="7"/>
  <c r="N5538" i="7"/>
  <c r="N5537" i="7"/>
  <c r="N5536" i="7"/>
  <c r="N5535" i="7"/>
  <c r="N5534" i="7"/>
  <c r="N5533" i="7"/>
  <c r="N5532" i="7"/>
  <c r="N4926" i="7"/>
  <c r="N4925" i="7"/>
  <c r="N4924" i="7"/>
  <c r="N4923" i="7"/>
  <c r="N4922" i="7"/>
  <c r="N4921" i="7"/>
  <c r="N4806" i="7"/>
  <c r="N4801" i="7"/>
  <c r="N4800" i="7"/>
  <c r="N4705" i="7"/>
  <c r="N4704" i="7"/>
  <c r="N4703" i="7"/>
  <c r="N4702" i="7"/>
  <c r="N4701" i="7"/>
  <c r="N4700" i="7"/>
  <c r="N3643" i="7"/>
  <c r="N2205" i="7"/>
  <c r="N2204" i="7"/>
  <c r="N2203" i="7"/>
  <c r="N2202" i="7"/>
  <c r="N2201" i="7"/>
  <c r="N2087" i="7"/>
  <c r="N2086" i="7"/>
  <c r="N2085" i="7"/>
  <c r="N2084" i="7"/>
  <c r="N2083" i="7"/>
  <c r="N2082" i="7"/>
  <c r="N1982" i="7"/>
  <c r="N1015" i="7"/>
  <c r="N1014" i="7"/>
  <c r="N1013" i="7"/>
  <c r="N1012" i="7"/>
  <c r="N1011" i="7"/>
  <c r="N855" i="7"/>
  <c r="N854" i="7"/>
  <c r="N853" i="7"/>
  <c r="N852" i="7"/>
  <c r="N851" i="7"/>
  <c r="N8467" i="7"/>
  <c r="N8284" i="7"/>
  <c r="N6370" i="7"/>
  <c r="N3779" i="7"/>
  <c r="N3527" i="7"/>
  <c r="N3130" i="7"/>
  <c r="N3129" i="7"/>
  <c r="N3128" i="7"/>
  <c r="N3127" i="7"/>
  <c r="N2837" i="7"/>
  <c r="N2836" i="7"/>
  <c r="N2818" i="7"/>
  <c r="N2817" i="7"/>
  <c r="N2425" i="7"/>
  <c r="N2411" i="7"/>
  <c r="N1815" i="7"/>
  <c r="N876" i="7"/>
  <c r="N9313" i="7"/>
  <c r="N9072" i="7"/>
  <c r="N7623" i="7"/>
  <c r="N7619" i="7"/>
  <c r="N7441" i="7"/>
  <c r="N6974" i="7"/>
  <c r="N6973" i="7"/>
  <c r="N6733" i="7"/>
  <c r="N6421" i="7"/>
  <c r="N5354" i="7"/>
  <c r="N4722" i="7"/>
  <c r="N4590" i="7"/>
  <c r="N3002" i="7"/>
  <c r="N2485" i="7"/>
  <c r="N2252" i="7"/>
  <c r="N1449" i="7"/>
  <c r="N993" i="7"/>
  <c r="N8953" i="7"/>
  <c r="N8892" i="7"/>
  <c r="N7042" i="7"/>
  <c r="N6546" i="7"/>
  <c r="N6545" i="7"/>
  <c r="N6543" i="7"/>
  <c r="N6065" i="7"/>
  <c r="N5964" i="7"/>
  <c r="N5633" i="7"/>
  <c r="N4905" i="7"/>
  <c r="N4807" i="7"/>
  <c r="N4193" i="7"/>
  <c r="N3700" i="7"/>
  <c r="N3699" i="7"/>
  <c r="N3342" i="7"/>
  <c r="N2847" i="7"/>
  <c r="N2839" i="7"/>
  <c r="N2820" i="7"/>
  <c r="N2276" i="7"/>
  <c r="N2275" i="7"/>
  <c r="N1899" i="7"/>
  <c r="N7816" i="7"/>
  <c r="N7815" i="7"/>
  <c r="N7814" i="7"/>
  <c r="N7813" i="7"/>
  <c r="N7812" i="7"/>
  <c r="N7811" i="7"/>
  <c r="N7329" i="7"/>
  <c r="N7328" i="7"/>
  <c r="N7327" i="7"/>
  <c r="N7326" i="7"/>
  <c r="N7325" i="7"/>
  <c r="N7324" i="7"/>
  <c r="N7286" i="7"/>
  <c r="N7285" i="7"/>
  <c r="N6751" i="7"/>
  <c r="N6474" i="7"/>
  <c r="N6380" i="7"/>
  <c r="N6358" i="7"/>
  <c r="N6357" i="7"/>
  <c r="N6356" i="7"/>
  <c r="N6355" i="7"/>
  <c r="N6354" i="7"/>
  <c r="N6353" i="7"/>
  <c r="N6352" i="7"/>
  <c r="N6351" i="7"/>
  <c r="N6350" i="7"/>
  <c r="N6349" i="7"/>
  <c r="N6348" i="7"/>
  <c r="N6347" i="7"/>
  <c r="N6346" i="7"/>
  <c r="N5834" i="7"/>
  <c r="N4397" i="7"/>
  <c r="N3923" i="7"/>
  <c r="N3922" i="7"/>
  <c r="N3921" i="7"/>
  <c r="N3866" i="7"/>
  <c r="N3865" i="7"/>
  <c r="N3863" i="7"/>
  <c r="N3862" i="7"/>
  <c r="N1536" i="7"/>
  <c r="N1535" i="7"/>
  <c r="N1534" i="7"/>
  <c r="N1533" i="7"/>
  <c r="N1039" i="7"/>
  <c r="N8875" i="7"/>
  <c r="N7835" i="7"/>
  <c r="N5603" i="7"/>
  <c r="N5602" i="7"/>
  <c r="N5601" i="7"/>
  <c r="N5600" i="7"/>
  <c r="N5445" i="7"/>
  <c r="N4222" i="7"/>
  <c r="N3528" i="7"/>
  <c r="N710" i="7"/>
  <c r="N709" i="7"/>
  <c r="N704" i="7"/>
  <c r="N703" i="7"/>
  <c r="N9384" i="7"/>
  <c r="N9383" i="7"/>
  <c r="N9325" i="7"/>
  <c r="N9324" i="7"/>
  <c r="N9114" i="7"/>
  <c r="N9029" i="7"/>
  <c r="N9025" i="7"/>
  <c r="N8414" i="7"/>
  <c r="N8413" i="7"/>
  <c r="N8412" i="7"/>
  <c r="N8411" i="7"/>
  <c r="N8410" i="7"/>
  <c r="N8409" i="7"/>
  <c r="N8408" i="7"/>
  <c r="N8407" i="7"/>
  <c r="N8406" i="7"/>
  <c r="N8405" i="7"/>
  <c r="N8350" i="7"/>
  <c r="N8349" i="7"/>
  <c r="N8348" i="7"/>
  <c r="N8347" i="7"/>
  <c r="N8346" i="7"/>
  <c r="N8345" i="7"/>
  <c r="N8344" i="7"/>
  <c r="N8343" i="7"/>
  <c r="N8342" i="7"/>
  <c r="N8341" i="7"/>
  <c r="N8340" i="7"/>
  <c r="N8339" i="7"/>
  <c r="N8338" i="7"/>
  <c r="N8337" i="7"/>
  <c r="N8336" i="7"/>
  <c r="N8335" i="7"/>
  <c r="N8334" i="7"/>
  <c r="N8333" i="7"/>
  <c r="N8332" i="7"/>
  <c r="N8331" i="7"/>
  <c r="N8256" i="7"/>
  <c r="N8255" i="7"/>
  <c r="N8254" i="7"/>
  <c r="N8177" i="7"/>
  <c r="N8176" i="7"/>
  <c r="N8175" i="7"/>
  <c r="N8174" i="7"/>
  <c r="N8173" i="7"/>
  <c r="N8172" i="7"/>
  <c r="N8171" i="7"/>
  <c r="N8170" i="7"/>
  <c r="N7890" i="7"/>
  <c r="N7889" i="7"/>
  <c r="N7888" i="7"/>
  <c r="N7887" i="7"/>
  <c r="N7886" i="7"/>
  <c r="N7885" i="7"/>
  <c r="N7884" i="7"/>
  <c r="N7883" i="7"/>
  <c r="N7882" i="7"/>
  <c r="N7881" i="7"/>
  <c r="N7717" i="7"/>
  <c r="N7684" i="7"/>
  <c r="N7683" i="7"/>
  <c r="N7339" i="7"/>
  <c r="N7338" i="7"/>
  <c r="N7336" i="7"/>
  <c r="N7311" i="7"/>
  <c r="N7310" i="7"/>
  <c r="N7309" i="7"/>
  <c r="N7308" i="7"/>
  <c r="N7307" i="7"/>
  <c r="N7306" i="7"/>
  <c r="N7305" i="7"/>
  <c r="N7304" i="7"/>
  <c r="N7303" i="7"/>
  <c r="N7302" i="7"/>
  <c r="N7301" i="7"/>
  <c r="N7300" i="7"/>
  <c r="N7299" i="7"/>
  <c r="N7298" i="7"/>
  <c r="N7297" i="7"/>
  <c r="N7296" i="7"/>
  <c r="N7123" i="7"/>
  <c r="N7122" i="7"/>
  <c r="N7121" i="7"/>
  <c r="N7120" i="7"/>
  <c r="N7119" i="7"/>
  <c r="N7118" i="7"/>
  <c r="N7117" i="7"/>
  <c r="N7116" i="7"/>
  <c r="N7115" i="7"/>
  <c r="N7114" i="7"/>
  <c r="N7113" i="7"/>
  <c r="N7112" i="7"/>
  <c r="N7111" i="7"/>
  <c r="N7110" i="7"/>
  <c r="N7109" i="7"/>
  <c r="N7108" i="7"/>
  <c r="N7107" i="7"/>
  <c r="N7106" i="7"/>
  <c r="N7105" i="7"/>
  <c r="N7104" i="7"/>
  <c r="N6913" i="7"/>
  <c r="N6912" i="7"/>
  <c r="N6911" i="7"/>
  <c r="N6910" i="7"/>
  <c r="N6909" i="7"/>
  <c r="N6908" i="7"/>
  <c r="N6907" i="7"/>
  <c r="N6906" i="7"/>
  <c r="N6905" i="7"/>
  <c r="N6904" i="7"/>
  <c r="N6903" i="7"/>
  <c r="N6705" i="7"/>
  <c r="N6704" i="7"/>
  <c r="N6703" i="7"/>
  <c r="N6702" i="7"/>
  <c r="N6701" i="7"/>
  <c r="N6700" i="7"/>
  <c r="N6699" i="7"/>
  <c r="N6698" i="7"/>
  <c r="N6697" i="7"/>
  <c r="N6621" i="7"/>
  <c r="N6620" i="7"/>
  <c r="N6619" i="7"/>
  <c r="N6618" i="7"/>
  <c r="N6617" i="7"/>
  <c r="N6616" i="7"/>
  <c r="N6615" i="7"/>
  <c r="N6372" i="7"/>
  <c r="N6368" i="7"/>
  <c r="N6240" i="7"/>
  <c r="N6239" i="7"/>
  <c r="N6238" i="7"/>
  <c r="N6237" i="7"/>
  <c r="N6236" i="7"/>
  <c r="N6235" i="7"/>
  <c r="N6234" i="7"/>
  <c r="N6233" i="7"/>
  <c r="N6232" i="7"/>
  <c r="N6136" i="7"/>
  <c r="N6135" i="7"/>
  <c r="N6134" i="7"/>
  <c r="N6133" i="7"/>
  <c r="N6132" i="7"/>
  <c r="N6131" i="7"/>
  <c r="N6130" i="7"/>
  <c r="N6129" i="7"/>
  <c r="N6128" i="7"/>
  <c r="N6127" i="7"/>
  <c r="N6126" i="7"/>
  <c r="N6125" i="7"/>
  <c r="N6124" i="7"/>
  <c r="N6123" i="7"/>
  <c r="N6122" i="7"/>
  <c r="N6121" i="7"/>
  <c r="N6120" i="7"/>
  <c r="N6119" i="7"/>
  <c r="N6118" i="7"/>
  <c r="N6117" i="7"/>
  <c r="N6116" i="7"/>
  <c r="N6115" i="7"/>
  <c r="N5888" i="7"/>
  <c r="N5887" i="7"/>
  <c r="N5886" i="7"/>
  <c r="N5885" i="7"/>
  <c r="N5884" i="7"/>
  <c r="N5883" i="7"/>
  <c r="N5882" i="7"/>
  <c r="N5881" i="7"/>
  <c r="N5880" i="7"/>
  <c r="N5878" i="7"/>
  <c r="N5877" i="7"/>
  <c r="N5876" i="7"/>
  <c r="N5875" i="7"/>
  <c r="N5866" i="7"/>
  <c r="N5865" i="7"/>
  <c r="N5864" i="7"/>
  <c r="N5860" i="7"/>
  <c r="N5859" i="7"/>
  <c r="N5857" i="7"/>
  <c r="N5856" i="7"/>
  <c r="N5855" i="7"/>
  <c r="N5854" i="7"/>
  <c r="N5837" i="7"/>
  <c r="N5836" i="7"/>
  <c r="N5775" i="7"/>
  <c r="N5774" i="7"/>
  <c r="N5773" i="7"/>
  <c r="N5759" i="7"/>
  <c r="N5758" i="7"/>
  <c r="N5757" i="7"/>
  <c r="N5756" i="7"/>
  <c r="N5752" i="7"/>
  <c r="N5751" i="7"/>
  <c r="N5750" i="7"/>
  <c r="N5747" i="7"/>
  <c r="N5745" i="7"/>
  <c r="N5743" i="7"/>
  <c r="N5742" i="7"/>
  <c r="N5741" i="7"/>
  <c r="N5738" i="7"/>
  <c r="N5730" i="7"/>
  <c r="N5664" i="7"/>
  <c r="N5663" i="7"/>
  <c r="N5516" i="7"/>
  <c r="N5515" i="7"/>
  <c r="N5514" i="7"/>
  <c r="N5513" i="7"/>
  <c r="N5512" i="7"/>
  <c r="N5511" i="7"/>
  <c r="N5510" i="7"/>
  <c r="N5509" i="7"/>
  <c r="N5508" i="7"/>
  <c r="N5410" i="7"/>
  <c r="N5409" i="7"/>
  <c r="N5408" i="7"/>
  <c r="N5299" i="7"/>
  <c r="N5298" i="7"/>
  <c r="N5297" i="7"/>
  <c r="N5296" i="7"/>
  <c r="N5295" i="7"/>
  <c r="N5294" i="7"/>
  <c r="N5293" i="7"/>
  <c r="N5198" i="7"/>
  <c r="N5197" i="7"/>
  <c r="N5196" i="7"/>
  <c r="N5195" i="7"/>
  <c r="N5185" i="7"/>
  <c r="N5031" i="7"/>
  <c r="N5030" i="7"/>
  <c r="N5029" i="7"/>
  <c r="N5028" i="7"/>
  <c r="N5027" i="7"/>
  <c r="N5026" i="7"/>
  <c r="N5025" i="7"/>
  <c r="N4893" i="7"/>
  <c r="N4892" i="7"/>
  <c r="N4891" i="7"/>
  <c r="N4890" i="7"/>
  <c r="N4889" i="7"/>
  <c r="N4797" i="7"/>
  <c r="N4796" i="7"/>
  <c r="N4795" i="7"/>
  <c r="N4794" i="7"/>
  <c r="N4793" i="7"/>
  <c r="N4792" i="7"/>
  <c r="N4791" i="7"/>
  <c r="N4785" i="7"/>
  <c r="N4784" i="7"/>
  <c r="N4783" i="7"/>
  <c r="N4782" i="7"/>
  <c r="N4781" i="7"/>
  <c r="N4780" i="7"/>
  <c r="N4779" i="7"/>
  <c r="N4778" i="7"/>
  <c r="N4777" i="7"/>
  <c r="N4776" i="7"/>
  <c r="N4775" i="7"/>
  <c r="N4774" i="7"/>
  <c r="N4773" i="7"/>
  <c r="N4662" i="7"/>
  <c r="N4661" i="7"/>
  <c r="N4660" i="7"/>
  <c r="N4659" i="7"/>
  <c r="N4658" i="7"/>
  <c r="N4657" i="7"/>
  <c r="N4656" i="7"/>
  <c r="N4655" i="7"/>
  <c r="N4654" i="7"/>
  <c r="N4653" i="7"/>
  <c r="N4652" i="7"/>
  <c r="N4651" i="7"/>
  <c r="N4650" i="7"/>
  <c r="N4649" i="7"/>
  <c r="N4648" i="7"/>
  <c r="N4647" i="7"/>
  <c r="N4646" i="7"/>
  <c r="N4645" i="7"/>
  <c r="N4644" i="7"/>
  <c r="N4643" i="7"/>
  <c r="N4551" i="7"/>
  <c r="N4507" i="7"/>
  <c r="N4506" i="7"/>
  <c r="N4505" i="7"/>
  <c r="N4504" i="7"/>
  <c r="N4503" i="7"/>
  <c r="N4502" i="7"/>
  <c r="N4501" i="7"/>
  <c r="N4500" i="7"/>
  <c r="N4499" i="7"/>
  <c r="N4498" i="7"/>
  <c r="N4497" i="7"/>
  <c r="N4496" i="7"/>
  <c r="N4495" i="7"/>
  <c r="N4494" i="7"/>
  <c r="N4493" i="7"/>
  <c r="N4492" i="7"/>
  <c r="N4322" i="7"/>
  <c r="N4084" i="7"/>
  <c r="N4083" i="7"/>
  <c r="N4082" i="7"/>
  <c r="N4081" i="7"/>
  <c r="N4080" i="7"/>
  <c r="N4079" i="7"/>
  <c r="N4078" i="7"/>
  <c r="N4077" i="7"/>
  <c r="N4076" i="7"/>
  <c r="N4075" i="7"/>
  <c r="N4009" i="7"/>
  <c r="N4008" i="7"/>
  <c r="N3681" i="7"/>
  <c r="N3680" i="7"/>
  <c r="N3679" i="7"/>
  <c r="N3678" i="7"/>
  <c r="N3677" i="7"/>
  <c r="N3617" i="7"/>
  <c r="N3616" i="7"/>
  <c r="N3615" i="7"/>
  <c r="N3614" i="7"/>
  <c r="N3613" i="7"/>
  <c r="N3612" i="7"/>
  <c r="N3611" i="7"/>
  <c r="N3541" i="7"/>
  <c r="N3501" i="7"/>
  <c r="N3500" i="7"/>
  <c r="N3499" i="7"/>
  <c r="N3498" i="7"/>
  <c r="N3497" i="7"/>
  <c r="N3326" i="7"/>
  <c r="N3325" i="7"/>
  <c r="N3324" i="7"/>
  <c r="N3323" i="7"/>
  <c r="N3322" i="7"/>
  <c r="N3321" i="7"/>
  <c r="N3064" i="7"/>
  <c r="N3013" i="7"/>
  <c r="N2780" i="7"/>
  <c r="N2779" i="7"/>
  <c r="N2778" i="7"/>
  <c r="N2777" i="7"/>
  <c r="N2776" i="7"/>
  <c r="N2775" i="7"/>
  <c r="N2774" i="7"/>
  <c r="N2773" i="7"/>
  <c r="N2772" i="7"/>
  <c r="N2771" i="7"/>
  <c r="N2770" i="7"/>
  <c r="N2769" i="7"/>
  <c r="N2768" i="7"/>
  <c r="N2767" i="7"/>
  <c r="N2700" i="7"/>
  <c r="N2699" i="7"/>
  <c r="N2698" i="7"/>
  <c r="N2697" i="7"/>
  <c r="N2696" i="7"/>
  <c r="N2695" i="7"/>
  <c r="N2694" i="7"/>
  <c r="N2648" i="7"/>
  <c r="N2647" i="7"/>
  <c r="N2646" i="7"/>
  <c r="N2645" i="7"/>
  <c r="N2644" i="7"/>
  <c r="N2643" i="7"/>
  <c r="N2642" i="7"/>
  <c r="N2594" i="7"/>
  <c r="N2593" i="7"/>
  <c r="N2592" i="7"/>
  <c r="N2591" i="7"/>
  <c r="N2543" i="7"/>
  <c r="N2542" i="7"/>
  <c r="N2541" i="7"/>
  <c r="N2540" i="7"/>
  <c r="N2539" i="7"/>
  <c r="N2538" i="7"/>
  <c r="N2537" i="7"/>
  <c r="N2536" i="7"/>
  <c r="N2353" i="7"/>
  <c r="N2352" i="7"/>
  <c r="N2351" i="7"/>
  <c r="N2350" i="7"/>
  <c r="N2349" i="7"/>
  <c r="N2348" i="7"/>
  <c r="N2347" i="7"/>
  <c r="N2346" i="7"/>
  <c r="N2124" i="7"/>
  <c r="N2123" i="7"/>
  <c r="N2122" i="7"/>
  <c r="N2121" i="7"/>
  <c r="N2120" i="7"/>
  <c r="N2119" i="7"/>
  <c r="N2118" i="7"/>
  <c r="N2117" i="7"/>
  <c r="N2116" i="7"/>
  <c r="N2115" i="7"/>
  <c r="N2114" i="7"/>
  <c r="N2113" i="7"/>
  <c r="N2019" i="7"/>
  <c r="N2018" i="7"/>
  <c r="N2017" i="7"/>
  <c r="N2016" i="7"/>
  <c r="N2015" i="7"/>
  <c r="N2014" i="7"/>
  <c r="N1971" i="7"/>
  <c r="N1970" i="7"/>
  <c r="N1969" i="7"/>
  <c r="N1968" i="7"/>
  <c r="N1967" i="7"/>
  <c r="N1966" i="7"/>
  <c r="N1965" i="7"/>
  <c r="N1964" i="7"/>
  <c r="N1963" i="7"/>
  <c r="N1962" i="7"/>
  <c r="N1961" i="7"/>
  <c r="N1960" i="7"/>
  <c r="N1959" i="7"/>
  <c r="N1958" i="7"/>
  <c r="N1957" i="7"/>
  <c r="N1956" i="7"/>
  <c r="N1955" i="7"/>
  <c r="N1954" i="7"/>
  <c r="N1953" i="7"/>
  <c r="N1952" i="7"/>
  <c r="N1951" i="7"/>
  <c r="N1950" i="7"/>
  <c r="N1842" i="7"/>
  <c r="N1841" i="7"/>
  <c r="N1828" i="7"/>
  <c r="N1827" i="7"/>
  <c r="N1805" i="7"/>
  <c r="N1804" i="7"/>
  <c r="N1803" i="7"/>
  <c r="N1802" i="7"/>
  <c r="N1801" i="7"/>
  <c r="N1800" i="7"/>
  <c r="N1791" i="7"/>
  <c r="N1668" i="7"/>
  <c r="N1667" i="7"/>
  <c r="N1666" i="7"/>
  <c r="N1665" i="7"/>
  <c r="N1664" i="7"/>
  <c r="N1663" i="7"/>
  <c r="N1662" i="7"/>
  <c r="N1661" i="7"/>
  <c r="N1660" i="7"/>
  <c r="N1567" i="7"/>
  <c r="N1566" i="7"/>
  <c r="N1565" i="7"/>
  <c r="N1564" i="7"/>
  <c r="N1563" i="7"/>
  <c r="N1562" i="7"/>
  <c r="N1561" i="7"/>
  <c r="N1560" i="7"/>
  <c r="N1559" i="7"/>
  <c r="N1558" i="7"/>
  <c r="N1557" i="7"/>
  <c r="N1556" i="7"/>
  <c r="N1555" i="7"/>
  <c r="N1554" i="7"/>
  <c r="N1553" i="7"/>
  <c r="N1552" i="7"/>
  <c r="N1551" i="7"/>
  <c r="N1330" i="7"/>
  <c r="N1329" i="7"/>
  <c r="N1328" i="7"/>
  <c r="N1327" i="7"/>
  <c r="N1326" i="7"/>
  <c r="N1318" i="7"/>
  <c r="N1317" i="7"/>
  <c r="N1316" i="7"/>
  <c r="N1315" i="7"/>
  <c r="N1314" i="7"/>
  <c r="N1313" i="7"/>
  <c r="N984" i="7"/>
  <c r="N928" i="7"/>
  <c r="N923" i="7"/>
  <c r="N909" i="7"/>
  <c r="N908" i="7"/>
  <c r="N826" i="7"/>
  <c r="N824" i="7"/>
  <c r="N822" i="7"/>
  <c r="N820" i="7"/>
  <c r="N819" i="7"/>
  <c r="N817" i="7"/>
  <c r="N816" i="7"/>
  <c r="N815" i="7"/>
  <c r="N814" i="7"/>
  <c r="N812" i="7"/>
  <c r="N810" i="7"/>
  <c r="N809" i="7"/>
  <c r="N808" i="7"/>
  <c r="N807" i="7"/>
  <c r="N806" i="7"/>
  <c r="N805" i="7"/>
  <c r="N804" i="7"/>
  <c r="N803" i="7"/>
  <c r="N641" i="7"/>
  <c r="N639" i="7"/>
  <c r="N554" i="7"/>
  <c r="N553" i="7"/>
  <c r="N552" i="7"/>
  <c r="N551" i="7"/>
  <c r="N550" i="7"/>
  <c r="N549" i="7"/>
  <c r="N548" i="7"/>
  <c r="N547" i="7"/>
  <c r="N546" i="7"/>
  <c r="N473" i="7"/>
  <c r="N472" i="7"/>
  <c r="N471" i="7"/>
  <c r="N470" i="7"/>
  <c r="N469" i="7"/>
  <c r="N468" i="7"/>
  <c r="N467" i="7"/>
  <c r="N466" i="7"/>
  <c r="N465" i="7"/>
  <c r="N464" i="7"/>
  <c r="N463" i="7"/>
  <c r="N462" i="7"/>
  <c r="N461" i="7"/>
  <c r="N460" i="7"/>
  <c r="N459" i="7"/>
  <c r="N458" i="7"/>
  <c r="N457" i="7"/>
  <c r="N456" i="7"/>
  <c r="N455" i="7"/>
  <c r="N454" i="7"/>
  <c r="N453" i="7"/>
  <c r="N452" i="7"/>
  <c r="N451" i="7"/>
  <c r="N375" i="7"/>
  <c r="N374" i="7"/>
  <c r="N373" i="7"/>
  <c r="N372" i="7"/>
  <c r="N371" i="7"/>
  <c r="N370" i="7"/>
  <c r="N369" i="7"/>
  <c r="N368" i="7"/>
  <c r="N367" i="7"/>
  <c r="N366" i="7"/>
  <c r="N365" i="7"/>
  <c r="N364" i="7"/>
  <c r="N363" i="7"/>
  <c r="N362" i="7"/>
  <c r="N361" i="7"/>
  <c r="N360" i="7"/>
  <c r="N359" i="7"/>
  <c r="N358" i="7"/>
  <c r="N357" i="7"/>
  <c r="N356" i="7"/>
  <c r="N220" i="7"/>
  <c r="N219" i="7"/>
  <c r="N218" i="7"/>
  <c r="N217" i="7"/>
  <c r="N216" i="7"/>
  <c r="N215" i="7"/>
  <c r="N214" i="7"/>
  <c r="N213" i="7"/>
  <c r="N212" i="7"/>
  <c r="N88" i="7"/>
  <c r="N87" i="7"/>
  <c r="N86" i="7"/>
  <c r="N85" i="7"/>
  <c r="N84" i="7"/>
  <c r="N83" i="7"/>
  <c r="N8711" i="7"/>
  <c r="N6832" i="7"/>
  <c r="N5933" i="7"/>
  <c r="N5105" i="7"/>
  <c r="N4812" i="7"/>
  <c r="N4139" i="7"/>
  <c r="N3725" i="7"/>
  <c r="N3201" i="7"/>
  <c r="N2893" i="7"/>
  <c r="N1692" i="7"/>
  <c r="N9445" i="7"/>
  <c r="N9288" i="7"/>
  <c r="N9275" i="7"/>
  <c r="N9245" i="7"/>
  <c r="N9106" i="7"/>
  <c r="N9080" i="7"/>
  <c r="N9067" i="7"/>
  <c r="N9003" i="7"/>
  <c r="N8888" i="7"/>
  <c r="N8872" i="7"/>
  <c r="N8803" i="7"/>
  <c r="N8783" i="7"/>
  <c r="N8682" i="7"/>
  <c r="N8680" i="7"/>
  <c r="N8668" i="7"/>
  <c r="N8583" i="7"/>
  <c r="N8299" i="7"/>
  <c r="N8189" i="7"/>
  <c r="N7929" i="7"/>
  <c r="N7781" i="7"/>
  <c r="N7604" i="7"/>
  <c r="N7603" i="7"/>
  <c r="N7499" i="7"/>
  <c r="N7342" i="7"/>
  <c r="N7321" i="7"/>
  <c r="N7158" i="7"/>
  <c r="N7157" i="7"/>
  <c r="N7134" i="7"/>
  <c r="N6823" i="7"/>
  <c r="N6706" i="7"/>
  <c r="N6630" i="7"/>
  <c r="N6629" i="7"/>
  <c r="N6473" i="7"/>
  <c r="N6436" i="7"/>
  <c r="N6245" i="7"/>
  <c r="N6156" i="7"/>
  <c r="N6155" i="7"/>
  <c r="N6154" i="7"/>
  <c r="N6151" i="7"/>
  <c r="N6148" i="7"/>
  <c r="N5978" i="7"/>
  <c r="N5961" i="7"/>
  <c r="N5956" i="7"/>
  <c r="N5924" i="7"/>
  <c r="N5847" i="7"/>
  <c r="N5706" i="7"/>
  <c r="N5670" i="7"/>
  <c r="N5572" i="7"/>
  <c r="N5528" i="7"/>
  <c r="N5419" i="7"/>
  <c r="N5309" i="7"/>
  <c r="N5307" i="7"/>
  <c r="N5202" i="7"/>
  <c r="N5110" i="7"/>
  <c r="N5064" i="7"/>
  <c r="N5037" i="7"/>
  <c r="N4955" i="7"/>
  <c r="N4904" i="7"/>
  <c r="N4894" i="7"/>
  <c r="N4842" i="7"/>
  <c r="N4815" i="7"/>
  <c r="N4787" i="7"/>
  <c r="N4552" i="7"/>
  <c r="N4508" i="7"/>
  <c r="N4388" i="7"/>
  <c r="N4379" i="7"/>
  <c r="N4324" i="7"/>
  <c r="N4264" i="7"/>
  <c r="N4261" i="7"/>
  <c r="N4091" i="7"/>
  <c r="N3955" i="7"/>
  <c r="N3941" i="7"/>
  <c r="N3895" i="7"/>
  <c r="N3894" i="7"/>
  <c r="N3764" i="7"/>
  <c r="N3628" i="7"/>
  <c r="N3336" i="7"/>
  <c r="N3220" i="7"/>
  <c r="N3191" i="7"/>
  <c r="N3190" i="7"/>
  <c r="N3189" i="7"/>
  <c r="N3188" i="7"/>
  <c r="N3168" i="7"/>
  <c r="N3068" i="7"/>
  <c r="N2831" i="7"/>
  <c r="N2812" i="7"/>
  <c r="N2793" i="7"/>
  <c r="N2685" i="7"/>
  <c r="N2633" i="7"/>
  <c r="N2600" i="7"/>
  <c r="N2570" i="7"/>
  <c r="N2549" i="7"/>
  <c r="N2446" i="7"/>
  <c r="N2431" i="7"/>
  <c r="N2417" i="7"/>
  <c r="N2023" i="7"/>
  <c r="N1980" i="7"/>
  <c r="N1810" i="7"/>
  <c r="N1749" i="7"/>
  <c r="N1682" i="7"/>
  <c r="N1582" i="7"/>
  <c r="N1198" i="7"/>
  <c r="N1064" i="7"/>
  <c r="N1047" i="7"/>
  <c r="N918" i="7"/>
  <c r="N802" i="7"/>
  <c r="N801" i="7"/>
  <c r="N799" i="7"/>
  <c r="N653" i="7"/>
  <c r="N486" i="7"/>
  <c r="N417" i="7"/>
  <c r="N338" i="7"/>
  <c r="N251" i="7"/>
  <c r="N231" i="7"/>
  <c r="N90" i="7"/>
  <c r="N17" i="7"/>
  <c r="N4" i="7"/>
  <c r="N8485" i="7"/>
  <c r="N7502" i="7"/>
  <c r="N6857" i="7"/>
  <c r="N6856" i="7"/>
  <c r="N5712" i="7"/>
  <c r="N2465" i="7"/>
  <c r="N2464" i="7"/>
  <c r="N1599" i="7"/>
  <c r="N1405" i="7"/>
  <c r="N9444" i="7"/>
  <c r="N9362" i="7"/>
  <c r="N9361" i="7"/>
  <c r="N9326" i="7"/>
  <c r="N9323" i="7"/>
  <c r="N9322" i="7"/>
  <c r="N9321" i="7"/>
  <c r="N9244" i="7"/>
  <c r="N9243" i="7"/>
  <c r="N9199" i="7"/>
  <c r="N9198" i="7"/>
  <c r="N9197" i="7"/>
  <c r="N9196" i="7"/>
  <c r="N9073" i="7"/>
  <c r="N9066" i="7"/>
  <c r="N9065" i="7"/>
  <c r="N9064" i="7"/>
  <c r="N9063" i="7"/>
  <c r="N9062" i="7"/>
  <c r="N9022" i="7"/>
  <c r="N9002" i="7"/>
  <c r="N9001" i="7"/>
  <c r="N9000" i="7"/>
  <c r="N8999" i="7"/>
  <c r="N8998" i="7"/>
  <c r="N8997" i="7"/>
  <c r="N8996" i="7"/>
  <c r="N8995" i="7"/>
  <c r="N8808" i="7"/>
  <c r="N8807" i="7"/>
  <c r="N8782" i="7"/>
  <c r="N8781" i="7"/>
  <c r="N8780" i="7"/>
  <c r="N8779" i="7"/>
  <c r="N8778" i="7"/>
  <c r="N8666" i="7"/>
  <c r="N8665" i="7"/>
  <c r="N8581" i="7"/>
  <c r="N8580" i="7"/>
  <c r="N8579" i="7"/>
  <c r="N8578" i="7"/>
  <c r="N8577" i="7"/>
  <c r="N8468" i="7"/>
  <c r="N8359" i="7"/>
  <c r="N8219" i="7"/>
  <c r="N8218" i="7"/>
  <c r="N8217" i="7"/>
  <c r="N8216" i="7"/>
  <c r="N8215" i="7"/>
  <c r="N8187" i="7"/>
  <c r="N8186" i="7"/>
  <c r="N8185" i="7"/>
  <c r="N8184" i="7"/>
  <c r="N8183" i="7"/>
  <c r="N8182" i="7"/>
  <c r="N8181" i="7"/>
  <c r="N8180" i="7"/>
  <c r="N8179" i="7"/>
  <c r="N8178" i="7"/>
  <c r="N7951" i="7"/>
  <c r="N7918" i="7"/>
  <c r="N7905" i="7"/>
  <c r="N7904" i="7"/>
  <c r="N7903" i="7"/>
  <c r="N7902" i="7"/>
  <c r="N7901" i="7"/>
  <c r="N7900" i="7"/>
  <c r="N7899" i="7"/>
  <c r="N7898" i="7"/>
  <c r="N7771" i="7"/>
  <c r="N7770" i="7"/>
  <c r="N7769" i="7"/>
  <c r="N7714" i="7"/>
  <c r="N7691" i="7"/>
  <c r="N7689" i="7"/>
  <c r="N7688" i="7"/>
  <c r="N7687" i="7"/>
  <c r="N7551" i="7"/>
  <c r="N7498" i="7"/>
  <c r="N7487" i="7"/>
  <c r="N7486" i="7"/>
  <c r="N7485" i="7"/>
  <c r="N7484" i="7"/>
  <c r="N7483" i="7"/>
  <c r="N7482" i="7"/>
  <c r="N7481" i="7"/>
  <c r="N7480" i="7"/>
  <c r="N7368" i="7"/>
  <c r="N7348" i="7"/>
  <c r="N7347" i="7"/>
  <c r="N7346" i="7"/>
  <c r="N7344" i="7"/>
  <c r="N7341" i="7"/>
  <c r="N7340" i="7"/>
  <c r="N7333" i="7"/>
  <c r="N7319" i="7"/>
  <c r="N7318" i="7"/>
  <c r="N7317" i="7"/>
  <c r="N7316" i="7"/>
  <c r="N7315" i="7"/>
  <c r="N7314" i="7"/>
  <c r="N7313" i="7"/>
  <c r="N7312" i="7"/>
  <c r="N7190" i="7"/>
  <c r="N7189" i="7"/>
  <c r="N7188" i="7"/>
  <c r="N7187" i="7"/>
  <c r="N7186" i="7"/>
  <c r="N7185" i="7"/>
  <c r="N7184" i="7"/>
  <c r="N7132" i="7"/>
  <c r="N7131" i="7"/>
  <c r="N7130" i="7"/>
  <c r="N7129" i="7"/>
  <c r="N7128" i="7"/>
  <c r="N7127" i="7"/>
  <c r="N7126" i="7"/>
  <c r="N7125" i="7"/>
  <c r="N7124" i="7"/>
  <c r="N6916" i="7"/>
  <c r="N6915" i="7"/>
  <c r="N6914" i="7"/>
  <c r="N6822" i="7"/>
  <c r="N6821" i="7"/>
  <c r="N6820" i="7"/>
  <c r="N6819" i="7"/>
  <c r="N6696" i="7"/>
  <c r="N6628" i="7"/>
  <c r="N6627" i="7"/>
  <c r="N6626" i="7"/>
  <c r="N6625" i="7"/>
  <c r="N6624" i="7"/>
  <c r="N6623" i="7"/>
  <c r="N6622" i="7"/>
  <c r="N6402" i="7"/>
  <c r="N6274" i="7"/>
  <c r="N6244" i="7"/>
  <c r="N6243" i="7"/>
  <c r="N6242" i="7"/>
  <c r="N6147" i="7"/>
  <c r="N6146" i="7"/>
  <c r="N6145" i="7"/>
  <c r="N6144" i="7"/>
  <c r="N6143" i="7"/>
  <c r="N6142" i="7"/>
  <c r="N6141" i="7"/>
  <c r="N6140" i="7"/>
  <c r="N6139" i="7"/>
  <c r="N6138" i="7"/>
  <c r="N6137" i="7"/>
  <c r="N5891" i="7"/>
  <c r="N5869" i="7"/>
  <c r="N5844" i="7"/>
  <c r="N5843" i="7"/>
  <c r="N5842" i="7"/>
  <c r="N5841" i="7"/>
  <c r="N5776" i="7"/>
  <c r="N5760" i="7"/>
  <c r="N5755" i="7"/>
  <c r="N5726" i="7"/>
  <c r="N5724" i="7"/>
  <c r="N5708" i="7"/>
  <c r="N5704" i="7"/>
  <c r="N5685" i="7"/>
  <c r="N5668" i="7"/>
  <c r="N5667" i="7"/>
  <c r="N5666" i="7"/>
  <c r="N5665" i="7"/>
  <c r="N5561" i="7"/>
  <c r="N5525" i="7"/>
  <c r="N5524" i="7"/>
  <c r="N5523" i="7"/>
  <c r="N5522" i="7"/>
  <c r="N5521" i="7"/>
  <c r="N5520" i="7"/>
  <c r="N5519" i="7"/>
  <c r="N5518" i="7"/>
  <c r="N5517" i="7"/>
  <c r="N5417" i="7"/>
  <c r="N5416" i="7"/>
  <c r="N5415" i="7"/>
  <c r="N5414" i="7"/>
  <c r="N5413" i="7"/>
  <c r="N5412" i="7"/>
  <c r="N5411" i="7"/>
  <c r="N5306" i="7"/>
  <c r="N5305" i="7"/>
  <c r="N5304" i="7"/>
  <c r="N5303" i="7"/>
  <c r="N5302" i="7"/>
  <c r="N5301" i="7"/>
  <c r="N5300" i="7"/>
  <c r="N5200" i="7"/>
  <c r="N5199" i="7"/>
  <c r="N5063" i="7"/>
  <c r="N5062" i="7"/>
  <c r="N5061" i="7"/>
  <c r="N5036" i="7"/>
  <c r="N5035" i="7"/>
  <c r="N5034" i="7"/>
  <c r="N5033" i="7"/>
  <c r="N5032" i="7"/>
  <c r="N4956" i="7"/>
  <c r="N4772" i="7"/>
  <c r="N4771" i="7"/>
  <c r="N4770" i="7"/>
  <c r="N4769" i="7"/>
  <c r="N4768" i="7"/>
  <c r="N4767" i="7"/>
  <c r="N4766" i="7"/>
  <c r="N4765" i="7"/>
  <c r="N4764" i="7"/>
  <c r="N4670" i="7"/>
  <c r="N4669" i="7"/>
  <c r="N4668" i="7"/>
  <c r="N4667" i="7"/>
  <c r="N4666" i="7"/>
  <c r="N4665" i="7"/>
  <c r="N4664" i="7"/>
  <c r="N4663" i="7"/>
  <c r="N4323" i="7"/>
  <c r="N4318" i="7"/>
  <c r="N4317" i="7"/>
  <c r="N4316" i="7"/>
  <c r="N4315" i="7"/>
  <c r="N4099" i="7"/>
  <c r="N4090" i="7"/>
  <c r="N4089" i="7"/>
  <c r="N4088" i="7"/>
  <c r="N4087" i="7"/>
  <c r="N4086" i="7"/>
  <c r="N4085" i="7"/>
  <c r="N4012" i="7"/>
  <c r="N4011" i="7"/>
  <c r="N4010" i="7"/>
  <c r="N3825" i="7"/>
  <c r="N3824" i="7"/>
  <c r="N3823" i="7"/>
  <c r="N3822" i="7"/>
  <c r="N3821" i="7"/>
  <c r="N3820" i="7"/>
  <c r="N3819" i="7"/>
  <c r="N3818" i="7"/>
  <c r="N3683" i="7"/>
  <c r="N3682" i="7"/>
  <c r="N3625" i="7"/>
  <c r="N3623" i="7"/>
  <c r="N3622" i="7"/>
  <c r="N3621" i="7"/>
  <c r="N3620" i="7"/>
  <c r="N3619" i="7"/>
  <c r="N3618" i="7"/>
  <c r="N3518" i="7"/>
  <c r="N3517" i="7"/>
  <c r="N3492" i="7"/>
  <c r="N3491" i="7"/>
  <c r="N3349" i="7"/>
  <c r="N3344" i="7"/>
  <c r="N3330" i="7"/>
  <c r="N3329" i="7"/>
  <c r="N3328" i="7"/>
  <c r="N3327" i="7"/>
  <c r="N3181" i="7"/>
  <c r="N3180" i="7"/>
  <c r="N3179" i="7"/>
  <c r="N3178" i="7"/>
  <c r="N3066" i="7"/>
  <c r="N3065" i="7"/>
  <c r="N2788" i="7"/>
  <c r="N2787" i="7"/>
  <c r="N2786" i="7"/>
  <c r="N2785" i="7"/>
  <c r="N2784" i="7"/>
  <c r="N2783" i="7"/>
  <c r="N2782" i="7"/>
  <c r="N2781" i="7"/>
  <c r="N2704" i="7"/>
  <c r="N2703" i="7"/>
  <c r="N2702" i="7"/>
  <c r="N2701" i="7"/>
  <c r="N2652" i="7"/>
  <c r="N2651" i="7"/>
  <c r="N2650" i="7"/>
  <c r="N2649" i="7"/>
  <c r="N2599" i="7"/>
  <c r="N2598" i="7"/>
  <c r="N2597" i="7"/>
  <c r="N2596" i="7"/>
  <c r="N2595" i="7"/>
  <c r="N2548" i="7"/>
  <c r="N2547" i="7"/>
  <c r="N2546" i="7"/>
  <c r="N2545" i="7"/>
  <c r="N2544" i="7"/>
  <c r="N2363" i="7"/>
  <c r="N2362" i="7"/>
  <c r="N2361" i="7"/>
  <c r="N2360" i="7"/>
  <c r="N2359" i="7"/>
  <c r="N2358" i="7"/>
  <c r="N2357" i="7"/>
  <c r="N2356" i="7"/>
  <c r="N2355" i="7"/>
  <c r="N2354" i="7"/>
  <c r="N2131" i="7"/>
  <c r="N2130" i="7"/>
  <c r="N2129" i="7"/>
  <c r="N2128" i="7"/>
  <c r="N2127" i="7"/>
  <c r="N2126" i="7"/>
  <c r="N2125" i="7"/>
  <c r="N2078" i="7"/>
  <c r="N2077" i="7"/>
  <c r="N2022" i="7"/>
  <c r="N2021" i="7"/>
  <c r="N2020" i="7"/>
  <c r="N1978" i="7"/>
  <c r="N1977" i="7"/>
  <c r="N1976" i="7"/>
  <c r="N1975" i="7"/>
  <c r="N1974" i="7"/>
  <c r="N1973" i="7"/>
  <c r="N1972" i="7"/>
  <c r="N1843" i="7"/>
  <c r="N1681" i="7"/>
  <c r="N1680" i="7"/>
  <c r="N1679" i="7"/>
  <c r="N1678" i="7"/>
  <c r="N1677" i="7"/>
  <c r="N1676" i="7"/>
  <c r="N1675" i="7"/>
  <c r="N1577" i="7"/>
  <c r="N1576" i="7"/>
  <c r="N1575" i="7"/>
  <c r="N1574" i="7"/>
  <c r="N1573" i="7"/>
  <c r="N1572" i="7"/>
  <c r="N1571" i="7"/>
  <c r="N1570" i="7"/>
  <c r="N1569" i="7"/>
  <c r="N1325" i="7"/>
  <c r="N1324" i="7"/>
  <c r="N1323" i="7"/>
  <c r="N1322" i="7"/>
  <c r="N1321" i="7"/>
  <c r="N1320" i="7"/>
  <c r="N1319" i="7"/>
  <c r="N1150" i="7"/>
  <c r="N916" i="7"/>
  <c r="N915" i="7"/>
  <c r="N914" i="7"/>
  <c r="N913" i="7"/>
  <c r="N912" i="7"/>
  <c r="N911" i="7"/>
  <c r="N910" i="7"/>
  <c r="N828" i="7"/>
  <c r="N827" i="7"/>
  <c r="N825" i="7"/>
  <c r="N823" i="7"/>
  <c r="N821" i="7"/>
  <c r="N818" i="7"/>
  <c r="N813" i="7"/>
  <c r="N811" i="7"/>
  <c r="N485" i="7"/>
  <c r="N484" i="7"/>
  <c r="N483" i="7"/>
  <c r="N482" i="7"/>
  <c r="N481" i="7"/>
  <c r="N480" i="7"/>
  <c r="N479" i="7"/>
  <c r="N478" i="7"/>
  <c r="N477" i="7"/>
  <c r="N476" i="7"/>
  <c r="N475" i="7"/>
  <c r="N474" i="7"/>
  <c r="N384" i="7"/>
  <c r="N383" i="7"/>
  <c r="N382" i="7"/>
  <c r="N381" i="7"/>
  <c r="N380" i="7"/>
  <c r="N379" i="7"/>
  <c r="N378" i="7"/>
  <c r="N377" i="7"/>
  <c r="N376" i="7"/>
  <c r="N267" i="7"/>
  <c r="N222" i="7"/>
  <c r="N221" i="7"/>
  <c r="N149" i="7"/>
  <c r="N148" i="7"/>
  <c r="N78" i="7"/>
  <c r="N77" i="7"/>
  <c r="N76" i="7"/>
  <c r="N75" i="7"/>
  <c r="N74" i="7"/>
  <c r="N73" i="7"/>
  <c r="N9415" i="7"/>
  <c r="N9141" i="7"/>
  <c r="N9140" i="7"/>
  <c r="N7994" i="7"/>
  <c r="N7993" i="7"/>
  <c r="N4577" i="7"/>
  <c r="N3114" i="7"/>
  <c r="N2193" i="7"/>
  <c r="N2192" i="7"/>
  <c r="N2191" i="7"/>
  <c r="N2190" i="7"/>
  <c r="N2143" i="7"/>
  <c r="N2037" i="7"/>
  <c r="N1598" i="7"/>
  <c r="N1597" i="7"/>
  <c r="N1403" i="7"/>
  <c r="N1402" i="7"/>
  <c r="N1401" i="7"/>
  <c r="N1276" i="7"/>
  <c r="N577" i="7"/>
  <c r="N576" i="7"/>
  <c r="N9223" i="7"/>
  <c r="N8952" i="7"/>
  <c r="N8767" i="7"/>
  <c r="N8188" i="7"/>
  <c r="N6917" i="7"/>
  <c r="N6837" i="7"/>
  <c r="N6209" i="7"/>
  <c r="N5700" i="7"/>
  <c r="N4710" i="7"/>
  <c r="N3371" i="7"/>
  <c r="N1979" i="7"/>
  <c r="N917" i="7"/>
  <c r="N9167" i="7"/>
  <c r="N7707" i="7"/>
  <c r="N6876" i="7"/>
  <c r="N6321" i="7"/>
  <c r="N6310" i="7"/>
  <c r="N5941" i="7"/>
  <c r="N5281" i="7"/>
  <c r="N4918" i="7"/>
  <c r="N4535" i="7"/>
  <c r="N4144" i="7"/>
  <c r="N4043" i="7"/>
  <c r="N3801" i="7"/>
  <c r="N3142" i="7"/>
  <c r="N3023" i="7"/>
  <c r="N2732" i="7"/>
  <c r="N2068" i="7"/>
  <c r="N1483" i="7"/>
  <c r="N884" i="7"/>
  <c r="N341" i="7"/>
  <c r="N9345" i="7"/>
  <c r="N9075" i="7"/>
  <c r="N9074" i="7"/>
  <c r="N8678" i="7"/>
  <c r="N8226" i="7"/>
  <c r="N8225" i="7"/>
  <c r="N8224" i="7"/>
  <c r="N8220" i="7"/>
  <c r="N7989" i="7"/>
  <c r="N6925" i="7"/>
  <c r="N6153" i="7"/>
  <c r="N6152" i="7"/>
  <c r="N6015" i="7"/>
  <c r="N5801" i="7"/>
  <c r="N5613" i="7"/>
  <c r="N5426" i="7"/>
  <c r="N5315" i="7"/>
  <c r="N5206" i="7"/>
  <c r="N4515" i="7"/>
  <c r="N3876" i="7"/>
  <c r="N3787" i="7"/>
  <c r="N3182" i="7"/>
  <c r="N3110" i="7"/>
  <c r="N2975" i="7"/>
  <c r="N2930" i="7"/>
  <c r="N2186" i="7"/>
  <c r="N1291" i="7"/>
  <c r="N9425" i="7"/>
  <c r="N9424" i="7"/>
  <c r="N9423" i="7"/>
  <c r="N4603" i="7"/>
  <c r="N4602" i="7"/>
  <c r="N4601" i="7"/>
  <c r="N9387" i="7"/>
  <c r="N9330" i="7"/>
  <c r="N9329" i="7"/>
  <c r="N9032" i="7"/>
  <c r="N8470" i="7"/>
  <c r="N7446" i="7"/>
  <c r="N7445" i="7"/>
  <c r="N7393" i="7"/>
  <c r="N7392" i="7"/>
  <c r="N7032" i="7"/>
  <c r="N7031" i="7"/>
  <c r="N6870" i="7"/>
  <c r="N6869" i="7"/>
  <c r="N6868" i="7"/>
  <c r="N6738" i="7"/>
  <c r="N6293" i="7"/>
  <c r="N6292" i="7"/>
  <c r="N6291" i="7"/>
  <c r="N6247" i="7"/>
  <c r="N6039" i="7"/>
  <c r="N6038" i="7"/>
  <c r="N6037" i="7"/>
  <c r="N5744" i="7"/>
  <c r="N5718" i="7"/>
  <c r="N4734" i="7"/>
  <c r="N3977" i="7"/>
  <c r="N3659" i="7"/>
  <c r="N2691" i="7"/>
  <c r="N2639" i="7"/>
  <c r="N2001" i="7"/>
  <c r="N5103" i="7"/>
  <c r="N3724" i="7"/>
  <c r="N1689" i="7"/>
  <c r="N9263" i="7"/>
  <c r="N6956" i="7"/>
  <c r="N6955" i="7"/>
  <c r="N6954" i="7"/>
  <c r="N6953" i="7"/>
  <c r="N6952" i="7"/>
  <c r="N6552" i="7"/>
  <c r="N6518" i="7"/>
  <c r="N6382" i="7"/>
  <c r="N6381" i="7"/>
  <c r="N5265" i="7"/>
  <c r="N5263" i="7"/>
  <c r="N2913" i="7"/>
  <c r="N2137" i="7"/>
  <c r="N1132" i="7"/>
  <c r="N1121" i="7"/>
  <c r="N985" i="7"/>
  <c r="N9420" i="7"/>
  <c r="N9082" i="7"/>
  <c r="N8943" i="7"/>
  <c r="N8835" i="7"/>
  <c r="N8716" i="7"/>
  <c r="N8463" i="7"/>
  <c r="N8373" i="7"/>
  <c r="N8300" i="7"/>
  <c r="N8279" i="7"/>
  <c r="N8077" i="7"/>
  <c r="N7945" i="7"/>
  <c r="N7792" i="7"/>
  <c r="N7750" i="7"/>
  <c r="N7704" i="7"/>
  <c r="N7665" i="7"/>
  <c r="N7538" i="7"/>
  <c r="N6836" i="7"/>
  <c r="N6590" i="7"/>
  <c r="N6589" i="7"/>
  <c r="N6208" i="7"/>
  <c r="N6055" i="7"/>
  <c r="N5962" i="7"/>
  <c r="N5713" i="7"/>
  <c r="N5629" i="7"/>
  <c r="N5571" i="7"/>
  <c r="N5460" i="7"/>
  <c r="N5360" i="7"/>
  <c r="N5141" i="7"/>
  <c r="N5052" i="7"/>
  <c r="N4989" i="7"/>
  <c r="N4819" i="7"/>
  <c r="N4728" i="7"/>
  <c r="N4596" i="7"/>
  <c r="N4555" i="7"/>
  <c r="N4536" i="7"/>
  <c r="N4451" i="7"/>
  <c r="N4414" i="7"/>
  <c r="N4380" i="7"/>
  <c r="N4358" i="7"/>
  <c r="N4297" i="7"/>
  <c r="N4235" i="7"/>
  <c r="N4230" i="7"/>
  <c r="N4040" i="7"/>
  <c r="N3568" i="7"/>
  <c r="N3514" i="7"/>
  <c r="N3456" i="7"/>
  <c r="N3454" i="7"/>
  <c r="N3453" i="7"/>
  <c r="N3370" i="7"/>
  <c r="N3272" i="7"/>
  <c r="N3137" i="7"/>
  <c r="N3011" i="7"/>
  <c r="N2895" i="7"/>
  <c r="N2801" i="7"/>
  <c r="N2719" i="7"/>
  <c r="N2667" i="7"/>
  <c r="N2615" i="7"/>
  <c r="N2557" i="7"/>
  <c r="N2498" i="7"/>
  <c r="N2497" i="7"/>
  <c r="N2382" i="7"/>
  <c r="N2145" i="7"/>
  <c r="N1886" i="7"/>
  <c r="N1831" i="7"/>
  <c r="N1726" i="7"/>
  <c r="N1616" i="7"/>
  <c r="N1589" i="7"/>
  <c r="N1463" i="7"/>
  <c r="N1273" i="7"/>
  <c r="N753" i="7"/>
  <c r="N648" i="7"/>
  <c r="N430" i="7"/>
  <c r="N318" i="7"/>
  <c r="N185" i="7"/>
  <c r="N49" i="7"/>
  <c r="N9264" i="7"/>
  <c r="N9157" i="7"/>
  <c r="N9156" i="7"/>
  <c r="N9155" i="7"/>
  <c r="N9154" i="7"/>
  <c r="N8935" i="7"/>
  <c r="N8934" i="7"/>
  <c r="N8636" i="7"/>
  <c r="N8459" i="7"/>
  <c r="N8311" i="7"/>
  <c r="N8223" i="7"/>
  <c r="N8042" i="7"/>
  <c r="N8041" i="7"/>
  <c r="N8038" i="7"/>
  <c r="N8037" i="7"/>
  <c r="N7419" i="7"/>
  <c r="N7394" i="7"/>
  <c r="N6728" i="7"/>
  <c r="N6727" i="7"/>
  <c r="N6551" i="7"/>
  <c r="N6550" i="7"/>
  <c r="N6549" i="7"/>
  <c r="N6548" i="7"/>
  <c r="N6383" i="7"/>
  <c r="N6259" i="7"/>
  <c r="N5780" i="7"/>
  <c r="N5779" i="7"/>
  <c r="N5606" i="7"/>
  <c r="N5605" i="7"/>
  <c r="N5604" i="7"/>
  <c r="N5264" i="7"/>
  <c r="N4396" i="7"/>
  <c r="N4395" i="7"/>
  <c r="N4394" i="7"/>
  <c r="N4393" i="7"/>
  <c r="N4290" i="7"/>
  <c r="N3263" i="7"/>
  <c r="N2136" i="7"/>
  <c r="N1719" i="7"/>
  <c r="N1438" i="7"/>
  <c r="N1437" i="7"/>
  <c r="N1436" i="7"/>
  <c r="N1227" i="7"/>
  <c r="N1156" i="7"/>
  <c r="N1118" i="7"/>
  <c r="N862" i="7"/>
  <c r="N861" i="7"/>
  <c r="N396" i="7"/>
  <c r="N164" i="7"/>
  <c r="N6261" i="7"/>
  <c r="N1587" i="7"/>
  <c r="N8193" i="7"/>
  <c r="N8192" i="7"/>
  <c r="N8191" i="7"/>
  <c r="N8190" i="7"/>
  <c r="N6845" i="7"/>
  <c r="N6631" i="7"/>
  <c r="N5591" i="7"/>
  <c r="N5590" i="7"/>
  <c r="N3871" i="7"/>
  <c r="N3231" i="7"/>
  <c r="N3170" i="7"/>
  <c r="N3169" i="7"/>
  <c r="N511" i="7"/>
  <c r="N394" i="7"/>
  <c r="N393" i="7"/>
  <c r="N2968" i="7"/>
  <c r="N2967" i="7"/>
  <c r="N1192" i="7"/>
  <c r="N1191" i="7"/>
  <c r="N1190" i="7"/>
  <c r="N1189" i="7"/>
  <c r="N630" i="7"/>
  <c r="N629" i="7"/>
  <c r="N628" i="7"/>
  <c r="N8949" i="7"/>
  <c r="N8685" i="7"/>
  <c r="N8598" i="7"/>
  <c r="N8293" i="7"/>
  <c r="N8040" i="7"/>
  <c r="N8039" i="7"/>
  <c r="N8036" i="7"/>
  <c r="N8035" i="7"/>
  <c r="N7657" i="7"/>
  <c r="N5778" i="7"/>
  <c r="N5777" i="7"/>
  <c r="N5599" i="7"/>
  <c r="N5598" i="7"/>
  <c r="N5597" i="7"/>
  <c r="N4563" i="7"/>
  <c r="N4221" i="7"/>
  <c r="N3758" i="7"/>
  <c r="N3757" i="7"/>
  <c r="N3262" i="7"/>
  <c r="N3261" i="7"/>
  <c r="N3126" i="7"/>
  <c r="N3125" i="7"/>
  <c r="N2845" i="7"/>
  <c r="N2135" i="7"/>
  <c r="N1435" i="7"/>
  <c r="N1434" i="7"/>
  <c r="N1433" i="7"/>
  <c r="N1236" i="7"/>
  <c r="N1229" i="7"/>
  <c r="N633" i="7"/>
  <c r="N632" i="7"/>
  <c r="N562" i="7"/>
  <c r="N520" i="7"/>
  <c r="N9446" i="7"/>
  <c r="N9169" i="7"/>
  <c r="N9034" i="7"/>
  <c r="N9020" i="7"/>
  <c r="N8932" i="7"/>
  <c r="N8874" i="7"/>
  <c r="N8873" i="7"/>
  <c r="N8822" i="7"/>
  <c r="N8638" i="7"/>
  <c r="N8584" i="7"/>
  <c r="N8421" i="7"/>
  <c r="N8329" i="7"/>
  <c r="N8328" i="7"/>
  <c r="N8260" i="7"/>
  <c r="N8200" i="7"/>
  <c r="N7969" i="7"/>
  <c r="N7488" i="7"/>
  <c r="N7070" i="7"/>
  <c r="N6763" i="7"/>
  <c r="N6246" i="7"/>
  <c r="N5833" i="7"/>
  <c r="N5703" i="7"/>
  <c r="N5648" i="7"/>
  <c r="N5420" i="7"/>
  <c r="N5308" i="7"/>
  <c r="N5203" i="7"/>
  <c r="N5065" i="7"/>
  <c r="N5038" i="7"/>
  <c r="N4789" i="7"/>
  <c r="N4671" i="7"/>
  <c r="N4334" i="7"/>
  <c r="N4333" i="7"/>
  <c r="N4325" i="7"/>
  <c r="N4269" i="7"/>
  <c r="N4092" i="7"/>
  <c r="N3926" i="7"/>
  <c r="N3864" i="7"/>
  <c r="N3847" i="7"/>
  <c r="N3768" i="7"/>
  <c r="N3630" i="7"/>
  <c r="N3629" i="7"/>
  <c r="N3502" i="7"/>
  <c r="N3350" i="7"/>
  <c r="N3337" i="7"/>
  <c r="N3260" i="7"/>
  <c r="N3138" i="7"/>
  <c r="N3070" i="7"/>
  <c r="N3069" i="7"/>
  <c r="N2849" i="7"/>
  <c r="N2790" i="7"/>
  <c r="N2461" i="7"/>
  <c r="N2278" i="7"/>
  <c r="N2229" i="7"/>
  <c r="N2144" i="7"/>
  <c r="N1872" i="7"/>
  <c r="N1871" i="7"/>
  <c r="N1796" i="7"/>
  <c r="N1728" i="7"/>
  <c r="N1683" i="7"/>
  <c r="N1586" i="7"/>
  <c r="N1585" i="7"/>
  <c r="N1270" i="7"/>
  <c r="N1056" i="7"/>
  <c r="N919" i="7"/>
  <c r="N431" i="7"/>
  <c r="N395" i="7"/>
  <c r="N282" i="7"/>
  <c r="N9327" i="7"/>
  <c r="N6717" i="7"/>
  <c r="N6632" i="7"/>
  <c r="N5592" i="7"/>
  <c r="N506" i="7"/>
  <c r="N504" i="7"/>
  <c r="N499" i="7"/>
  <c r="N498" i="7"/>
  <c r="N412" i="7"/>
  <c r="N410" i="7"/>
  <c r="N407" i="7"/>
  <c r="N406" i="7"/>
  <c r="N9371" i="7"/>
  <c r="N9311" i="7"/>
  <c r="N9310" i="7"/>
  <c r="N9301" i="7"/>
  <c r="N9279" i="7"/>
  <c r="N9101" i="7"/>
  <c r="N8922" i="7"/>
  <c r="N8921" i="7"/>
  <c r="N8920" i="7"/>
  <c r="N8810" i="7"/>
  <c r="N8630" i="7"/>
  <c r="N8272" i="7"/>
  <c r="N8271" i="7"/>
  <c r="N8270" i="7"/>
  <c r="N8269" i="7"/>
  <c r="N8268" i="7"/>
  <c r="N8204" i="7"/>
  <c r="N8202" i="7"/>
  <c r="N7938" i="7"/>
  <c r="N7738" i="7"/>
  <c r="N7699" i="7"/>
  <c r="N7648" i="7"/>
  <c r="N7503" i="7"/>
  <c r="N7202" i="7"/>
  <c r="N7199" i="7"/>
  <c r="N6855" i="7"/>
  <c r="N6542" i="7"/>
  <c r="N6541" i="7"/>
  <c r="N6540" i="7"/>
  <c r="N6509" i="7"/>
  <c r="N6330" i="7"/>
  <c r="N5944" i="7"/>
  <c r="N5207" i="7"/>
  <c r="N4960" i="7"/>
  <c r="N4289" i="7"/>
  <c r="N4174" i="7"/>
  <c r="N4173" i="7"/>
  <c r="N4170" i="7"/>
  <c r="N4168" i="7"/>
  <c r="N4159" i="7"/>
  <c r="N4158" i="7"/>
  <c r="N4157" i="7"/>
  <c r="N3775" i="7"/>
  <c r="N3774" i="7"/>
  <c r="N3717" i="7"/>
  <c r="N3716" i="7"/>
  <c r="N3674" i="7"/>
  <c r="N3505" i="7"/>
  <c r="N3428" i="7"/>
  <c r="N3369" i="7"/>
  <c r="N3240" i="7"/>
  <c r="N3239" i="7"/>
  <c r="N3238" i="7"/>
  <c r="N3176" i="7"/>
  <c r="N2980" i="7"/>
  <c r="N2979" i="7"/>
  <c r="N2865" i="7"/>
  <c r="N2453" i="7"/>
  <c r="N2452" i="7"/>
  <c r="N2451" i="7"/>
  <c r="N2447" i="7"/>
  <c r="N2438" i="7"/>
  <c r="N2437" i="7"/>
  <c r="N2436" i="7"/>
  <c r="N2225" i="7"/>
  <c r="N1868" i="7"/>
  <c r="N1712" i="7"/>
  <c r="N1601" i="7"/>
  <c r="N1600" i="7"/>
  <c r="N1199" i="7"/>
  <c r="N1186" i="7"/>
  <c r="N1185" i="7"/>
  <c r="N1184" i="7"/>
  <c r="N1183" i="7"/>
  <c r="N1180" i="7"/>
  <c r="N1179" i="7"/>
  <c r="N1176" i="7"/>
  <c r="N1175" i="7"/>
  <c r="N1162" i="7"/>
  <c r="N1161" i="7"/>
  <c r="N1160" i="7"/>
  <c r="N1159" i="7"/>
  <c r="N1010" i="7"/>
  <c r="N999" i="7"/>
  <c r="N995" i="7"/>
  <c r="N725" i="7"/>
  <c r="N278" i="7"/>
  <c r="N277" i="7"/>
  <c r="N179" i="7"/>
  <c r="N178" i="7"/>
  <c r="N140" i="7"/>
  <c r="N9012" i="7"/>
  <c r="N8385" i="7"/>
  <c r="N7772" i="7"/>
  <c r="N5719" i="7"/>
  <c r="N5418" i="7"/>
  <c r="N4788" i="7"/>
  <c r="N3626" i="7"/>
  <c r="N3079" i="7"/>
  <c r="N3076" i="7"/>
  <c r="N3067" i="7"/>
  <c r="N2132" i="7"/>
  <c r="N1581" i="7"/>
  <c r="N402" i="7"/>
  <c r="N9195" i="7"/>
  <c r="N8496" i="7"/>
  <c r="N8495" i="7"/>
  <c r="N8418" i="7"/>
  <c r="N8417" i="7"/>
  <c r="N8416" i="7"/>
  <c r="N8415" i="7"/>
  <c r="N8330" i="7"/>
  <c r="N8253" i="7"/>
  <c r="N8252" i="7"/>
  <c r="N8251" i="7"/>
  <c r="N8169" i="7"/>
  <c r="N8168" i="7"/>
  <c r="N8167" i="7"/>
  <c r="N7892" i="7"/>
  <c r="N7891" i="7"/>
  <c r="N7861" i="7"/>
  <c r="N7860" i="7"/>
  <c r="N7859" i="7"/>
  <c r="N7686" i="7"/>
  <c r="N7685" i="7"/>
  <c r="N7337" i="7"/>
  <c r="N7295" i="7"/>
  <c r="N7294" i="7"/>
  <c r="N7293" i="7"/>
  <c r="N7292" i="7"/>
  <c r="N7087" i="7"/>
  <c r="N7086" i="7"/>
  <c r="N7085" i="7"/>
  <c r="N7084" i="7"/>
  <c r="N6760" i="7"/>
  <c r="N6759" i="7"/>
  <c r="N6758" i="7"/>
  <c r="N5879" i="7"/>
  <c r="N5858" i="7"/>
  <c r="N5840" i="7"/>
  <c r="N5839" i="7"/>
  <c r="N5838" i="7"/>
  <c r="N5407" i="7"/>
  <c r="N5406" i="7"/>
  <c r="N5292" i="7"/>
  <c r="N5069" i="7"/>
  <c r="N5024" i="7"/>
  <c r="N5023" i="7"/>
  <c r="N5022" i="7"/>
  <c r="N4642" i="7"/>
  <c r="N4641" i="7"/>
  <c r="N4640" i="7"/>
  <c r="N4639" i="7"/>
  <c r="N4007" i="7"/>
  <c r="N4006" i="7"/>
  <c r="N3633" i="7"/>
  <c r="N3631" i="7"/>
  <c r="N3610" i="7"/>
  <c r="N3609" i="7"/>
  <c r="N3320" i="7"/>
  <c r="N3089" i="7"/>
  <c r="N2112" i="7"/>
  <c r="N2111" i="7"/>
  <c r="N1799" i="7"/>
  <c r="N1568" i="7"/>
  <c r="N1137" i="7"/>
  <c r="N9460" i="7"/>
  <c r="N9459" i="7"/>
  <c r="N9458" i="7"/>
  <c r="N9457" i="7"/>
  <c r="N9456" i="7"/>
  <c r="N9455" i="7"/>
  <c r="N9454" i="7"/>
  <c r="N9359" i="7"/>
  <c r="N9358" i="7"/>
  <c r="N9357" i="7"/>
  <c r="N9356" i="7"/>
  <c r="N9355" i="7"/>
  <c r="N9354" i="7"/>
  <c r="N9353" i="7"/>
  <c r="N8776" i="7"/>
  <c r="N8775" i="7"/>
  <c r="N8774" i="7"/>
  <c r="N8675" i="7"/>
  <c r="N8476" i="7"/>
  <c r="N8475" i="7"/>
  <c r="N8474" i="7"/>
  <c r="N8326" i="7"/>
  <c r="N8325" i="7"/>
  <c r="N8324" i="7"/>
  <c r="N8323" i="7"/>
  <c r="N8322" i="7"/>
  <c r="N8140" i="7"/>
  <c r="N8139" i="7"/>
  <c r="N8138" i="7"/>
  <c r="N8137" i="7"/>
  <c r="N8136" i="7"/>
  <c r="N8135" i="7"/>
  <c r="N8134" i="7"/>
  <c r="N7845" i="7"/>
  <c r="N7844" i="7"/>
  <c r="N7843" i="7"/>
  <c r="N7842" i="7"/>
  <c r="N7841" i="7"/>
  <c r="N7761" i="7"/>
  <c r="N7142" i="7"/>
  <c r="N7141" i="7"/>
  <c r="N7140" i="7"/>
  <c r="N7139" i="7"/>
  <c r="N7138" i="7"/>
  <c r="N7137" i="7"/>
  <c r="N7136" i="7"/>
  <c r="N7135" i="7"/>
  <c r="N6895" i="7"/>
  <c r="N6894" i="7"/>
  <c r="N6893" i="7"/>
  <c r="N6892" i="7"/>
  <c r="N6891" i="7"/>
  <c r="N6890" i="7"/>
  <c r="N6889" i="7"/>
  <c r="N6345" i="7"/>
  <c r="N6344" i="7"/>
  <c r="N6343" i="7"/>
  <c r="N6342" i="7"/>
  <c r="N6341" i="7"/>
  <c r="N6340" i="7"/>
  <c r="N6339" i="7"/>
  <c r="N6303" i="7"/>
  <c r="N6302" i="7"/>
  <c r="N6301" i="7"/>
  <c r="N6300" i="7"/>
  <c r="N6299" i="7"/>
  <c r="N6298" i="7"/>
  <c r="N6281" i="7"/>
  <c r="N6280" i="7"/>
  <c r="N6279" i="7"/>
  <c r="N6278" i="7"/>
  <c r="N6277" i="7"/>
  <c r="N6276" i="7"/>
  <c r="N6250" i="7"/>
  <c r="N6249" i="7"/>
  <c r="N6248" i="7"/>
  <c r="N6095" i="7"/>
  <c r="N6094" i="7"/>
  <c r="N6093" i="7"/>
  <c r="N6092" i="7"/>
  <c r="N6091" i="7"/>
  <c r="N6090" i="7"/>
  <c r="N6089" i="7"/>
  <c r="N6088" i="7"/>
  <c r="N5737" i="7"/>
  <c r="N5736" i="7"/>
  <c r="N5734" i="7"/>
  <c r="N5725" i="7"/>
  <c r="N5720" i="7"/>
  <c r="N5493" i="7"/>
  <c r="N5492" i="7"/>
  <c r="N5491" i="7"/>
  <c r="N5490" i="7"/>
  <c r="N5489" i="7"/>
  <c r="N5488" i="7"/>
  <c r="N5487" i="7"/>
  <c r="N5486" i="7"/>
  <c r="N5384" i="7"/>
  <c r="N5383" i="7"/>
  <c r="N5382" i="7"/>
  <c r="N5381" i="7"/>
  <c r="N5380" i="7"/>
  <c r="N5379" i="7"/>
  <c r="N5378" i="7"/>
  <c r="N5216" i="7"/>
  <c r="N5215" i="7"/>
  <c r="N5214" i="7"/>
  <c r="N5213" i="7"/>
  <c r="N5212" i="7"/>
  <c r="N5211" i="7"/>
  <c r="N5210" i="7"/>
  <c r="N5172" i="7"/>
  <c r="N5171" i="7"/>
  <c r="N5170" i="7"/>
  <c r="N5169" i="7"/>
  <c r="N5168" i="7"/>
  <c r="N5167" i="7"/>
  <c r="N4556" i="7"/>
  <c r="N4276" i="7"/>
  <c r="N4275" i="7"/>
  <c r="N4274" i="7"/>
  <c r="N4273" i="7"/>
  <c r="N4272" i="7"/>
  <c r="N4271" i="7"/>
  <c r="N4270" i="7"/>
  <c r="N3997" i="7"/>
  <c r="N3996" i="7"/>
  <c r="N3995" i="7"/>
  <c r="N3994" i="7"/>
  <c r="N3993" i="7"/>
  <c r="N3992" i="7"/>
  <c r="N3991" i="7"/>
  <c r="N3990" i="7"/>
  <c r="N3918" i="7"/>
  <c r="N3917" i="7"/>
  <c r="N3916" i="7"/>
  <c r="N3915" i="7"/>
  <c r="N3914" i="7"/>
  <c r="N3913" i="7"/>
  <c r="N3912" i="7"/>
  <c r="N3859" i="7"/>
  <c r="N3858" i="7"/>
  <c r="N3857" i="7"/>
  <c r="N3856" i="7"/>
  <c r="N3855" i="7"/>
  <c r="N3854" i="7"/>
  <c r="N3853" i="7"/>
  <c r="N3808" i="7"/>
  <c r="N3670" i="7"/>
  <c r="N3669" i="7"/>
  <c r="N3668" i="7"/>
  <c r="N3667" i="7"/>
  <c r="N3666" i="7"/>
  <c r="N3665" i="7"/>
  <c r="N3664" i="7"/>
  <c r="N3590" i="7"/>
  <c r="N3589" i="7"/>
  <c r="N3588" i="7"/>
  <c r="N3587" i="7"/>
  <c r="N3586" i="7"/>
  <c r="N3585" i="7"/>
  <c r="N3584" i="7"/>
  <c r="N3483" i="7"/>
  <c r="N3482" i="7"/>
  <c r="N3481" i="7"/>
  <c r="N3480" i="7"/>
  <c r="N3306" i="7"/>
  <c r="N3305" i="7"/>
  <c r="N3304" i="7"/>
  <c r="N3303" i="7"/>
  <c r="N3302" i="7"/>
  <c r="N3301" i="7"/>
  <c r="N3300" i="7"/>
  <c r="N3046" i="7"/>
  <c r="N3045" i="7"/>
  <c r="N2860" i="7"/>
  <c r="N2859" i="7"/>
  <c r="N2858" i="7"/>
  <c r="N2857" i="7"/>
  <c r="N2856" i="7"/>
  <c r="N2855" i="7"/>
  <c r="N2854" i="7"/>
  <c r="N2755" i="7"/>
  <c r="N2754" i="7"/>
  <c r="N2753" i="7"/>
  <c r="N2752" i="7"/>
  <c r="N2751" i="7"/>
  <c r="N2750" i="7"/>
  <c r="N2749" i="7"/>
  <c r="N2674" i="7"/>
  <c r="N2673" i="7"/>
  <c r="N2622" i="7"/>
  <c r="N2621" i="7"/>
  <c r="N2308" i="7"/>
  <c r="N2307" i="7"/>
  <c r="N2306" i="7"/>
  <c r="N2305" i="7"/>
  <c r="N2304" i="7"/>
  <c r="N2303" i="7"/>
  <c r="N2302" i="7"/>
  <c r="N2301" i="7"/>
  <c r="N2300" i="7"/>
  <c r="N2299" i="7"/>
  <c r="N2298" i="7"/>
  <c r="N2174" i="7"/>
  <c r="N2173" i="7"/>
  <c r="N2172" i="7"/>
  <c r="N1922" i="7"/>
  <c r="N1921" i="7"/>
  <c r="N1920" i="7"/>
  <c r="N1919" i="7"/>
  <c r="N1918" i="7"/>
  <c r="N1917" i="7"/>
  <c r="N1916" i="7"/>
  <c r="N1674" i="7"/>
  <c r="N1673" i="7"/>
  <c r="N1672" i="7"/>
  <c r="N1671" i="7"/>
  <c r="N1670" i="7"/>
  <c r="N1669" i="7"/>
  <c r="N1503" i="7"/>
  <c r="N1502" i="7"/>
  <c r="N1501" i="7"/>
  <c r="N1500" i="7"/>
  <c r="N1499" i="7"/>
  <c r="N1498" i="7"/>
  <c r="N1497" i="7"/>
  <c r="N1312" i="7"/>
  <c r="N1311" i="7"/>
  <c r="N1264" i="7"/>
  <c r="N1263" i="7"/>
  <c r="N1262" i="7"/>
  <c r="N1054" i="7"/>
  <c r="N1053" i="7"/>
  <c r="N1052" i="7"/>
  <c r="N1051" i="7"/>
  <c r="N389" i="7"/>
  <c r="N388" i="7"/>
  <c r="N387" i="7"/>
  <c r="N386" i="7"/>
  <c r="N385" i="7"/>
  <c r="N242" i="7"/>
  <c r="N241" i="7"/>
  <c r="N240" i="7"/>
  <c r="N239" i="7"/>
  <c r="N238" i="7"/>
  <c r="N7823" i="7"/>
  <c r="N7069" i="7"/>
  <c r="N6743" i="7"/>
  <c r="N6574" i="7"/>
  <c r="N6176" i="7"/>
  <c r="N6025" i="7"/>
  <c r="N5735" i="7"/>
  <c r="N5345" i="7"/>
  <c r="N4981" i="7"/>
  <c r="N4707" i="7"/>
  <c r="N4579" i="7"/>
  <c r="N3967" i="7"/>
  <c r="N3430" i="7"/>
  <c r="N2687" i="7"/>
  <c r="N2635" i="7"/>
  <c r="N2574" i="7"/>
  <c r="N2481" i="7"/>
  <c r="N2041" i="7"/>
  <c r="N1427" i="7"/>
  <c r="N1298" i="7"/>
  <c r="N731" i="7"/>
  <c r="N529" i="7"/>
  <c r="N427" i="7"/>
  <c r="N295" i="7"/>
  <c r="N35" i="7"/>
  <c r="N4368" i="7"/>
  <c r="N4140" i="7"/>
  <c r="N9447" i="7"/>
  <c r="N9278" i="7"/>
  <c r="N9233" i="7"/>
  <c r="N8197" i="7"/>
  <c r="N8196" i="7"/>
  <c r="N8195" i="7"/>
  <c r="N8194" i="7"/>
  <c r="N6847" i="7"/>
  <c r="N6846" i="7"/>
  <c r="N6716" i="7"/>
  <c r="N5893" i="7"/>
  <c r="N5892" i="7"/>
  <c r="N507" i="7"/>
  <c r="N505" i="7"/>
  <c r="N501" i="7"/>
  <c r="N500" i="7"/>
  <c r="N392" i="7"/>
  <c r="N391" i="7"/>
  <c r="N4786" i="7"/>
  <c r="N3892" i="7"/>
  <c r="N3701" i="7"/>
  <c r="N2863" i="7"/>
  <c r="N9115" i="7"/>
  <c r="N8814" i="7"/>
  <c r="N8238" i="7"/>
  <c r="N7928" i="7"/>
  <c r="N7855" i="7"/>
  <c r="N7583" i="7"/>
  <c r="N7582" i="7"/>
  <c r="N7351" i="7"/>
  <c r="N7230" i="7"/>
  <c r="N6713" i="7"/>
  <c r="N6516" i="7"/>
  <c r="N6331" i="7"/>
  <c r="N5314" i="7"/>
  <c r="N3358" i="7"/>
  <c r="N2261" i="7"/>
  <c r="N1096" i="7"/>
  <c r="N1066" i="7"/>
  <c r="N1020" i="7"/>
  <c r="N9194" i="7"/>
  <c r="N9193" i="7"/>
  <c r="N9192" i="7"/>
  <c r="N9191" i="7"/>
  <c r="N9190" i="7"/>
  <c r="N9026" i="7"/>
  <c r="N8994" i="7"/>
  <c r="N8993" i="7"/>
  <c r="N8992" i="7"/>
  <c r="N8991" i="7"/>
  <c r="N8990" i="7"/>
  <c r="N8989" i="7"/>
  <c r="N8988" i="7"/>
  <c r="N8987" i="7"/>
  <c r="N8576" i="7"/>
  <c r="N8575" i="7"/>
  <c r="N8574" i="7"/>
  <c r="N8572" i="7"/>
  <c r="N8571" i="7"/>
  <c r="N8570" i="7"/>
  <c r="N8569" i="7"/>
  <c r="N8383" i="7"/>
  <c r="N8356" i="7"/>
  <c r="N8355" i="7"/>
  <c r="N8354" i="7"/>
  <c r="N8353" i="7"/>
  <c r="N7875" i="7"/>
  <c r="N7874" i="7"/>
  <c r="N7873" i="7"/>
  <c r="N7872" i="7"/>
  <c r="N7871" i="7"/>
  <c r="N7870" i="7"/>
  <c r="N7869" i="7"/>
  <c r="N7868" i="7"/>
  <c r="N7867" i="7"/>
  <c r="N7866" i="7"/>
  <c r="N7865" i="7"/>
  <c r="N7864" i="7"/>
  <c r="N7863" i="7"/>
  <c r="N7862" i="7"/>
  <c r="N7768" i="7"/>
  <c r="N7718" i="7"/>
  <c r="N7476" i="7"/>
  <c r="N7475" i="7"/>
  <c r="N7474" i="7"/>
  <c r="N7473" i="7"/>
  <c r="N7366" i="7"/>
  <c r="N7365" i="7"/>
  <c r="N7291" i="7"/>
  <c r="N7290" i="7"/>
  <c r="N7288" i="7"/>
  <c r="N7287" i="7"/>
  <c r="N7099" i="7"/>
  <c r="N7098" i="7"/>
  <c r="N7097" i="7"/>
  <c r="N7096" i="7"/>
  <c r="N7095" i="7"/>
  <c r="N7094" i="7"/>
  <c r="N7093" i="7"/>
  <c r="N7092" i="7"/>
  <c r="N7091" i="7"/>
  <c r="N7090" i="7"/>
  <c r="N7089" i="7"/>
  <c r="N7088" i="7"/>
  <c r="N6818" i="7"/>
  <c r="N6817" i="7"/>
  <c r="N6816" i="7"/>
  <c r="N6815" i="7"/>
  <c r="N6814" i="7"/>
  <c r="N6813" i="7"/>
  <c r="N6812" i="7"/>
  <c r="N6757" i="7"/>
  <c r="N6756" i="7"/>
  <c r="N6755" i="7"/>
  <c r="N6754" i="7"/>
  <c r="N6753" i="7"/>
  <c r="N6752" i="7"/>
  <c r="N6687" i="7"/>
  <c r="N6686" i="7"/>
  <c r="N6685" i="7"/>
  <c r="N6684" i="7"/>
  <c r="N6683" i="7"/>
  <c r="N6682" i="7"/>
  <c r="N6681" i="7"/>
  <c r="N6680" i="7"/>
  <c r="N6679" i="7"/>
  <c r="N6513" i="7"/>
  <c r="N6512" i="7"/>
  <c r="N5889" i="7"/>
  <c r="N5867" i="7"/>
  <c r="N5835" i="7"/>
  <c r="N5662" i="7"/>
  <c r="N5661" i="7"/>
  <c r="N5660" i="7"/>
  <c r="N5659" i="7"/>
  <c r="N5194" i="7"/>
  <c r="N5193" i="7"/>
  <c r="N5192" i="7"/>
  <c r="N5191" i="7"/>
  <c r="N5190" i="7"/>
  <c r="N5189" i="7"/>
  <c r="N5188" i="7"/>
  <c r="N5187" i="7"/>
  <c r="N5186" i="7"/>
  <c r="N5021" i="7"/>
  <c r="N5020" i="7"/>
  <c r="N5019" i="7"/>
  <c r="N5018" i="7"/>
  <c r="N5017" i="7"/>
  <c r="N5016" i="7"/>
  <c r="N4888" i="7"/>
  <c r="N4887" i="7"/>
  <c r="N4886" i="7"/>
  <c r="N4885" i="7"/>
  <c r="N4884" i="7"/>
  <c r="N4883" i="7"/>
  <c r="N4489" i="7"/>
  <c r="N4488" i="7"/>
  <c r="N4487" i="7"/>
  <c r="N4486" i="7"/>
  <c r="N4485" i="7"/>
  <c r="N4484" i="7"/>
  <c r="N4483" i="7"/>
  <c r="N4482" i="7"/>
  <c r="N4321" i="7"/>
  <c r="N4320" i="7"/>
  <c r="N4319" i="7"/>
  <c r="N4074" i="7"/>
  <c r="N4073" i="7"/>
  <c r="N4072" i="7"/>
  <c r="N4071" i="7"/>
  <c r="N4070" i="7"/>
  <c r="N4069" i="7"/>
  <c r="N3751" i="7"/>
  <c r="N3632" i="7"/>
  <c r="N3608" i="7"/>
  <c r="N3607" i="7"/>
  <c r="N3606" i="7"/>
  <c r="N3605" i="7"/>
  <c r="N3604" i="7"/>
  <c r="N3603" i="7"/>
  <c r="N3602" i="7"/>
  <c r="N3496" i="7"/>
  <c r="N3495" i="7"/>
  <c r="N3494" i="7"/>
  <c r="N3493" i="7"/>
  <c r="N3091" i="7"/>
  <c r="N3090" i="7"/>
  <c r="N2875" i="7"/>
  <c r="N2874" i="7"/>
  <c r="N2873" i="7"/>
  <c r="N2872" i="7"/>
  <c r="N2871" i="7"/>
  <c r="N2870" i="7"/>
  <c r="N2869" i="7"/>
  <c r="N2868" i="7"/>
  <c r="N2867" i="7"/>
  <c r="N2866" i="7"/>
  <c r="N2766" i="7"/>
  <c r="N2340" i="7"/>
  <c r="N2339" i="7"/>
  <c r="N2338" i="7"/>
  <c r="N2337" i="7"/>
  <c r="N2336" i="7"/>
  <c r="N2335" i="7"/>
  <c r="N2334" i="7"/>
  <c r="N2333" i="7"/>
  <c r="N2332" i="7"/>
  <c r="N2110" i="7"/>
  <c r="N2109" i="7"/>
  <c r="N2108" i="7"/>
  <c r="N2107" i="7"/>
  <c r="N2106" i="7"/>
  <c r="N2105" i="7"/>
  <c r="N2013" i="7"/>
  <c r="N2012" i="7"/>
  <c r="N2011" i="7"/>
  <c r="N1949" i="7"/>
  <c r="N1948" i="7"/>
  <c r="N1947" i="7"/>
  <c r="N1946" i="7"/>
  <c r="N1945" i="7"/>
  <c r="N1944" i="7"/>
  <c r="N1943" i="7"/>
  <c r="N1942" i="7"/>
  <c r="N1941" i="7"/>
  <c r="N1940" i="7"/>
  <c r="N1659" i="7"/>
  <c r="N1658" i="7"/>
  <c r="N1656" i="7"/>
  <c r="N1655" i="7"/>
  <c r="N1654" i="7"/>
  <c r="N1549" i="7"/>
  <c r="N1547" i="7"/>
  <c r="N1545" i="7"/>
  <c r="N1543" i="7"/>
  <c r="N1541" i="7"/>
  <c r="N1540" i="7"/>
  <c r="N1539" i="7"/>
  <c r="N1538" i="7"/>
  <c r="N1537" i="7"/>
  <c r="N1305" i="7"/>
  <c r="N1304" i="7"/>
  <c r="N1303" i="7"/>
  <c r="N1302" i="7"/>
  <c r="N1301" i="7"/>
  <c r="N1046" i="7"/>
  <c r="N1044" i="7"/>
  <c r="N1043" i="7"/>
  <c r="N1042" i="7"/>
  <c r="N1041" i="7"/>
  <c r="N1040" i="7"/>
  <c r="N545" i="7"/>
  <c r="N544" i="7"/>
  <c r="N543" i="7"/>
  <c r="N450" i="7"/>
  <c r="N449" i="7"/>
  <c r="N448" i="7"/>
  <c r="N447" i="7"/>
  <c r="N446" i="7"/>
  <c r="N348" i="7"/>
  <c r="N347" i="7"/>
  <c r="N346" i="7"/>
  <c r="N345" i="7"/>
  <c r="N344" i="7"/>
  <c r="N343" i="7"/>
  <c r="N342" i="7"/>
  <c r="N230" i="7"/>
  <c r="N229" i="7"/>
  <c r="N227" i="7"/>
  <c r="N225" i="7"/>
  <c r="N224" i="7"/>
  <c r="N223" i="7"/>
  <c r="N82" i="7"/>
  <c r="N81" i="7"/>
  <c r="N80" i="7"/>
  <c r="N79" i="7"/>
  <c r="N9055" i="7"/>
  <c r="N8724" i="7"/>
  <c r="N8723" i="7"/>
  <c r="N8309" i="7"/>
  <c r="N8237" i="7"/>
  <c r="N8046" i="7"/>
  <c r="N7858" i="7"/>
  <c r="N7745" i="7"/>
  <c r="N7546" i="7"/>
  <c r="N7376" i="7"/>
  <c r="N6970" i="7"/>
  <c r="N6969" i="7"/>
  <c r="N6863" i="7"/>
  <c r="N6862" i="7"/>
  <c r="N6783" i="7"/>
  <c r="N6575" i="7"/>
  <c r="N6029" i="7"/>
  <c r="N5732" i="7"/>
  <c r="N5448" i="7"/>
  <c r="N5353" i="7"/>
  <c r="N5268" i="7"/>
  <c r="N4985" i="7"/>
  <c r="N4446" i="7"/>
  <c r="N4187" i="7"/>
  <c r="N4028" i="7"/>
  <c r="N3970" i="7"/>
  <c r="N3655" i="7"/>
  <c r="N3556" i="7"/>
  <c r="N3440" i="7"/>
  <c r="N3355" i="7"/>
  <c r="N2999" i="7"/>
  <c r="N2709" i="7"/>
  <c r="N2661" i="7"/>
  <c r="N2609" i="7"/>
  <c r="N2484" i="7"/>
  <c r="N2250" i="7"/>
  <c r="N1998" i="7"/>
  <c r="N1873" i="7"/>
  <c r="N1608" i="7"/>
  <c r="N1448" i="7"/>
  <c r="N1333" i="7"/>
  <c r="N738" i="7"/>
  <c r="N42" i="7"/>
  <c r="N8853" i="7"/>
  <c r="N8852" i="7"/>
  <c r="N8713" i="7"/>
  <c r="N8068" i="7"/>
  <c r="N8067" i="7"/>
  <c r="N8066" i="7"/>
  <c r="N8065" i="7"/>
  <c r="N6044" i="7"/>
  <c r="N6043" i="7"/>
  <c r="N6042" i="7"/>
  <c r="N6041" i="7"/>
  <c r="N6040" i="7"/>
  <c r="N5102" i="7"/>
  <c r="N3660" i="7"/>
  <c r="N2056" i="7"/>
  <c r="N2055" i="7"/>
  <c r="N2054" i="7"/>
  <c r="N2053" i="7"/>
  <c r="N2052" i="7"/>
  <c r="N676" i="7"/>
  <c r="N664" i="7"/>
  <c r="N663" i="7"/>
  <c r="N662" i="7"/>
  <c r="N661" i="7"/>
  <c r="N660" i="7"/>
  <c r="N659" i="7"/>
  <c r="N658" i="7"/>
  <c r="N9350" i="7"/>
  <c r="N6739" i="7"/>
  <c r="N3573" i="7"/>
  <c r="N3572" i="7"/>
  <c r="N3571" i="7"/>
  <c r="N189" i="7"/>
  <c r="N188" i="7"/>
  <c r="N187" i="7"/>
  <c r="N9028" i="7"/>
  <c r="N7742" i="7"/>
  <c r="N7741" i="7"/>
  <c r="N5995" i="7"/>
  <c r="N5125" i="7"/>
  <c r="N5124" i="7"/>
  <c r="N3911" i="7"/>
  <c r="N2228" i="7"/>
  <c r="N2227" i="7"/>
  <c r="N2050" i="7"/>
  <c r="N2049" i="7"/>
  <c r="N8813" i="7"/>
  <c r="N8297" i="7"/>
  <c r="N8259" i="7"/>
  <c r="N7833" i="7"/>
  <c r="N7320" i="7"/>
  <c r="N7143" i="7"/>
  <c r="N6762" i="7"/>
  <c r="N6457" i="7"/>
  <c r="N6332" i="7"/>
  <c r="N3335" i="7"/>
  <c r="N2433" i="7"/>
  <c r="N1106" i="7"/>
  <c r="N994" i="7"/>
  <c r="N842" i="7"/>
  <c r="N841" i="7"/>
  <c r="N8626" i="7"/>
  <c r="N8582" i="7"/>
  <c r="N7804" i="7"/>
  <c r="N5589" i="7"/>
  <c r="N3869" i="7"/>
  <c r="N3167" i="7"/>
  <c r="N2551" i="7"/>
  <c r="N2402" i="7"/>
  <c r="N2365" i="7"/>
  <c r="N390" i="7"/>
  <c r="N89" i="7"/>
  <c r="N9341" i="7"/>
  <c r="N9340" i="7"/>
  <c r="N8904" i="7"/>
  <c r="N8585" i="7"/>
  <c r="N7194" i="7"/>
  <c r="N6482" i="7"/>
  <c r="N5594" i="7"/>
  <c r="N5593" i="7"/>
  <c r="N4430" i="7"/>
  <c r="N4330" i="7"/>
  <c r="N4329" i="7"/>
  <c r="N4250" i="7"/>
  <c r="N4128" i="7"/>
  <c r="N4127" i="7"/>
  <c r="N3226" i="7"/>
  <c r="N3225" i="7"/>
  <c r="N2180" i="7"/>
  <c r="N1139" i="7"/>
  <c r="N619" i="7"/>
  <c r="N502" i="7"/>
  <c r="N496" i="7"/>
  <c r="N6" i="7"/>
  <c r="N6872" i="7"/>
  <c r="N6871" i="7"/>
  <c r="N6047" i="7"/>
  <c r="N6046" i="7"/>
  <c r="N6045" i="7"/>
  <c r="N5870" i="7"/>
  <c r="N5467" i="7"/>
  <c r="N5466" i="7"/>
  <c r="N5334" i="7"/>
  <c r="N3850" i="7"/>
  <c r="N3849" i="7"/>
  <c r="N3635" i="7"/>
  <c r="N3634" i="7"/>
  <c r="N2978" i="7"/>
  <c r="N2977" i="7"/>
  <c r="N2196" i="7"/>
  <c r="N2195" i="7"/>
  <c r="N2194" i="7"/>
  <c r="N1898" i="7"/>
  <c r="N1462" i="7"/>
  <c r="N1461" i="7"/>
  <c r="N1460" i="7"/>
  <c r="N9216" i="7"/>
  <c r="N9018" i="7"/>
  <c r="N8308" i="7"/>
  <c r="N8236" i="7"/>
  <c r="N7375" i="7"/>
  <c r="N6971" i="7"/>
  <c r="N6186" i="7"/>
  <c r="N5810" i="7"/>
  <c r="N5447" i="7"/>
  <c r="N4739" i="7"/>
  <c r="N4589" i="7"/>
  <c r="N3793" i="7"/>
  <c r="N3558" i="7"/>
  <c r="N2483" i="7"/>
  <c r="N2247" i="7"/>
  <c r="N2097" i="7"/>
  <c r="N1447" i="7"/>
  <c r="N1336" i="7"/>
  <c r="N736" i="7"/>
  <c r="N532" i="7"/>
  <c r="N41" i="7"/>
  <c r="N4845" i="7"/>
  <c r="N4674" i="7"/>
  <c r="N9004" i="7"/>
  <c r="N3861" i="7"/>
  <c r="N3860" i="7"/>
  <c r="N3673" i="7"/>
  <c r="N3672" i="7"/>
  <c r="N3671" i="7"/>
  <c r="N3539" i="7"/>
  <c r="N2009" i="7"/>
  <c r="N285" i="7"/>
  <c r="N9225" i="7"/>
  <c r="N9224" i="7"/>
  <c r="N8307" i="7"/>
  <c r="N6442" i="7"/>
  <c r="N6441" i="7"/>
  <c r="N6440" i="7"/>
  <c r="N6439" i="7"/>
  <c r="N6438" i="7"/>
  <c r="N6437" i="7"/>
  <c r="N6419" i="7"/>
  <c r="N6418" i="7"/>
  <c r="N6416" i="7"/>
  <c r="N6415" i="7"/>
  <c r="N6414" i="7"/>
  <c r="N6413" i="7"/>
  <c r="N6412" i="7"/>
  <c r="N5618" i="7"/>
  <c r="N5617" i="7"/>
  <c r="N5616" i="7"/>
  <c r="N5615" i="7"/>
  <c r="N5229" i="7"/>
  <c r="N5228" i="7"/>
  <c r="N5227" i="7"/>
  <c r="N5226" i="7"/>
  <c r="N5225" i="7"/>
  <c r="N5224" i="7"/>
  <c r="N5223" i="7"/>
  <c r="N4693" i="7"/>
  <c r="N4691" i="7"/>
  <c r="N4690" i="7"/>
  <c r="N4689" i="7"/>
  <c r="N4688" i="7"/>
  <c r="N4223" i="7"/>
  <c r="N4192" i="7"/>
  <c r="N4191" i="7"/>
  <c r="N4190" i="7"/>
  <c r="N4189" i="7"/>
  <c r="N3649" i="7"/>
  <c r="N3648" i="7"/>
  <c r="N3647" i="7"/>
  <c r="N3646" i="7"/>
  <c r="N3524" i="7"/>
  <c r="N3523" i="7"/>
  <c r="N2212" i="7"/>
  <c r="N142" i="7"/>
  <c r="N141" i="7"/>
  <c r="N5004" i="7"/>
  <c r="N4625" i="7"/>
  <c r="N3485" i="7"/>
  <c r="N3259" i="7"/>
  <c r="N2757" i="7"/>
  <c r="N2676" i="7"/>
  <c r="N2624" i="7"/>
  <c r="N2583" i="7"/>
  <c r="N2563" i="7"/>
  <c r="N2177" i="7"/>
  <c r="N9205" i="7"/>
  <c r="N9204" i="7"/>
  <c r="N9203" i="7"/>
  <c r="N9202" i="7"/>
  <c r="N9019" i="7"/>
  <c r="N8369" i="7"/>
  <c r="N2401" i="7"/>
  <c r="N655" i="7"/>
  <c r="N7917" i="7"/>
  <c r="N7916" i="7"/>
  <c r="N7915" i="7"/>
  <c r="N7912" i="7"/>
  <c r="N7579" i="7"/>
  <c r="N7578" i="7"/>
  <c r="N6384" i="7"/>
  <c r="N1413" i="7"/>
  <c r="N1412" i="7"/>
  <c r="N1086" i="7"/>
  <c r="N1085" i="7"/>
  <c r="N1084" i="7"/>
  <c r="N1083" i="7"/>
  <c r="N9396" i="7"/>
  <c r="N9349" i="7"/>
  <c r="N9257" i="7"/>
  <c r="N9256" i="7"/>
  <c r="N9214" i="7"/>
  <c r="N9110" i="7"/>
  <c r="N9109" i="7"/>
  <c r="N8818" i="7"/>
  <c r="N8817" i="7"/>
  <c r="N8816" i="7"/>
  <c r="N8815" i="7"/>
  <c r="N8788" i="7"/>
  <c r="N8486" i="7"/>
  <c r="N7443" i="7"/>
  <c r="N7442" i="7"/>
  <c r="N7323" i="7"/>
  <c r="N6976" i="7"/>
  <c r="N6975" i="7"/>
  <c r="N6918" i="7"/>
  <c r="N6576" i="7"/>
  <c r="N6387" i="7"/>
  <c r="N5811" i="7"/>
  <c r="N5809" i="7"/>
  <c r="N5808" i="7"/>
  <c r="N5687" i="7"/>
  <c r="N4986" i="7"/>
  <c r="N4862" i="7"/>
  <c r="N4724" i="7"/>
  <c r="N4534" i="7"/>
  <c r="N4447" i="7"/>
  <c r="N3654" i="7"/>
  <c r="N3653" i="7"/>
  <c r="N3652" i="7"/>
  <c r="N3001" i="7"/>
  <c r="N2997" i="7"/>
  <c r="N2662" i="7"/>
  <c r="N2610" i="7"/>
  <c r="N2251" i="7"/>
  <c r="N1685" i="7"/>
  <c r="N1453" i="7"/>
  <c r="N1452" i="7"/>
  <c r="N1451" i="7"/>
  <c r="N1450" i="7"/>
  <c r="N1359" i="7"/>
  <c r="N1358" i="7"/>
  <c r="N1337" i="7"/>
  <c r="N1335" i="7"/>
  <c r="N1334" i="7"/>
  <c r="N1218" i="7"/>
  <c r="N1217" i="7"/>
  <c r="N1216" i="7"/>
  <c r="N1058" i="7"/>
  <c r="N1021" i="7"/>
  <c r="N992" i="7"/>
  <c r="N991" i="7"/>
  <c r="N990" i="7"/>
  <c r="N989" i="7"/>
  <c r="N94" i="7"/>
  <c r="N93" i="7"/>
  <c r="N92" i="7"/>
  <c r="N91" i="7"/>
  <c r="N9419" i="7"/>
  <c r="N9162" i="7"/>
  <c r="N8939" i="7"/>
  <c r="N8646" i="7"/>
  <c r="N8645" i="7"/>
  <c r="N8644" i="7"/>
  <c r="N8544" i="7"/>
  <c r="N8370" i="7"/>
  <c r="N8053" i="7"/>
  <c r="N7826" i="7"/>
  <c r="N7801" i="7"/>
  <c r="N7747" i="7"/>
  <c r="N7660" i="7"/>
  <c r="N7543" i="7"/>
  <c r="N7228" i="7"/>
  <c r="N6977" i="7"/>
  <c r="N6788" i="7"/>
  <c r="N6643" i="7"/>
  <c r="N6581" i="7"/>
  <c r="N5049" i="7"/>
  <c r="N4988" i="7"/>
  <c r="N4186" i="7"/>
  <c r="N3973" i="7"/>
  <c r="N3658" i="7"/>
  <c r="N3529" i="7"/>
  <c r="N3444" i="7"/>
  <c r="N2713" i="7"/>
  <c r="N2666" i="7"/>
  <c r="N2614" i="7"/>
  <c r="N2489" i="7"/>
  <c r="N1722" i="7"/>
  <c r="N1610" i="7"/>
  <c r="N1355" i="7"/>
  <c r="N1297" i="7"/>
  <c r="N741" i="7"/>
  <c r="N534" i="7"/>
  <c r="N5163" i="7"/>
  <c r="N5162" i="7"/>
  <c r="N8456" i="7"/>
  <c r="N8455" i="7"/>
  <c r="N8454" i="7"/>
  <c r="N8453" i="7"/>
  <c r="N8452" i="7"/>
  <c r="N8451" i="7"/>
  <c r="N8450" i="7"/>
  <c r="N8449" i="7"/>
  <c r="N8448" i="7"/>
  <c r="N8447" i="7"/>
  <c r="N7733" i="7"/>
  <c r="N7732" i="7"/>
  <c r="N7731" i="7"/>
  <c r="N7730" i="7"/>
  <c r="N7695" i="7"/>
  <c r="N4021" i="7"/>
  <c r="N4020" i="7"/>
  <c r="N4019" i="7"/>
  <c r="N7820" i="7"/>
  <c r="N6747" i="7"/>
  <c r="N9240" i="7"/>
  <c r="N8715" i="7"/>
  <c r="N5911" i="7"/>
  <c r="N5910" i="7"/>
  <c r="N4814" i="7"/>
  <c r="N4417" i="7"/>
  <c r="N4416" i="7"/>
  <c r="N4377" i="7"/>
  <c r="N4376" i="7"/>
  <c r="N4156" i="7"/>
  <c r="N4155" i="7"/>
  <c r="N3953" i="7"/>
  <c r="N3939" i="7"/>
  <c r="N3222" i="7"/>
  <c r="N2830" i="7"/>
  <c r="N2811" i="7"/>
  <c r="N2364" i="7"/>
  <c r="N1766" i="7"/>
  <c r="N1701" i="7"/>
  <c r="N1699" i="7"/>
  <c r="N642" i="7"/>
  <c r="N586" i="7"/>
  <c r="N236" i="7"/>
  <c r="N232" i="7"/>
  <c r="N5999" i="7"/>
  <c r="N5998" i="7"/>
  <c r="N9112" i="7"/>
  <c r="N8812" i="7"/>
  <c r="N8469" i="7"/>
  <c r="N8423" i="7"/>
  <c r="N8419" i="7"/>
  <c r="N7914" i="7"/>
  <c r="N7913" i="7"/>
  <c r="N7911" i="7"/>
  <c r="N7910" i="7"/>
  <c r="N7909" i="7"/>
  <c r="N7597" i="7"/>
  <c r="N7596" i="7"/>
  <c r="N7595" i="7"/>
  <c r="N7594" i="7"/>
  <c r="N7593" i="7"/>
  <c r="N7592" i="7"/>
  <c r="N7591" i="7"/>
  <c r="N7590" i="7"/>
  <c r="N7589" i="7"/>
  <c r="N7588" i="7"/>
  <c r="N7587" i="7"/>
  <c r="N7586" i="7"/>
  <c r="N7585" i="7"/>
  <c r="N7584" i="7"/>
  <c r="N7581" i="7"/>
  <c r="N7580" i="7"/>
  <c r="N7565" i="7"/>
  <c r="N7564" i="7"/>
  <c r="N7563" i="7"/>
  <c r="N7562" i="7"/>
  <c r="N7561" i="7"/>
  <c r="N7560" i="7"/>
  <c r="N7559" i="7"/>
  <c r="N7415" i="7"/>
  <c r="N7414" i="7"/>
  <c r="N7413" i="7"/>
  <c r="N7412" i="7"/>
  <c r="N7411" i="7"/>
  <c r="N7335" i="7"/>
  <c r="N7216" i="7"/>
  <c r="N7215" i="7"/>
  <c r="N7214" i="7"/>
  <c r="N7213" i="7"/>
  <c r="N7212" i="7"/>
  <c r="N7211" i="7"/>
  <c r="N7210" i="7"/>
  <c r="N7209" i="7"/>
  <c r="N6950" i="7"/>
  <c r="N6949" i="7"/>
  <c r="N6945" i="7"/>
  <c r="N6944" i="7"/>
  <c r="N6943" i="7"/>
  <c r="N6858" i="7"/>
  <c r="N6491" i="7"/>
  <c r="N6425" i="7"/>
  <c r="N6424" i="7"/>
  <c r="N6423" i="7"/>
  <c r="N6417" i="7"/>
  <c r="N6411" i="7"/>
  <c r="N6326" i="7"/>
  <c r="N6169" i="7"/>
  <c r="N6071" i="7"/>
  <c r="N6070" i="7"/>
  <c r="N6069" i="7"/>
  <c r="N6068" i="7"/>
  <c r="N6067" i="7"/>
  <c r="N6066" i="7"/>
  <c r="N6024" i="7"/>
  <c r="N6023" i="7"/>
  <c r="N6022" i="7"/>
  <c r="N6021" i="7"/>
  <c r="N5336" i="7"/>
  <c r="N5335" i="7"/>
  <c r="N4846" i="7"/>
  <c r="N4824" i="7"/>
  <c r="N4578" i="7"/>
  <c r="N4560" i="7"/>
  <c r="N4436" i="7"/>
  <c r="N4286" i="7"/>
  <c r="N4285" i="7"/>
  <c r="N3979" i="7"/>
  <c r="N3662" i="7"/>
  <c r="N3661" i="7"/>
  <c r="N3570" i="7"/>
  <c r="N3546" i="7"/>
  <c r="N3087" i="7"/>
  <c r="N2985" i="7"/>
  <c r="N2692" i="7"/>
  <c r="N2640" i="7"/>
  <c r="N2220" i="7"/>
  <c r="N2219" i="7"/>
  <c r="N2218" i="7"/>
  <c r="N2217" i="7"/>
  <c r="N2216" i="7"/>
  <c r="N2040" i="7"/>
  <c r="N1994" i="7"/>
  <c r="N1993" i="7"/>
  <c r="N1992" i="7"/>
  <c r="N1991" i="7"/>
  <c r="N1990" i="7"/>
  <c r="N1987" i="7"/>
  <c r="N1986" i="7"/>
  <c r="N1985" i="7"/>
  <c r="N1984" i="7"/>
  <c r="N1983" i="7"/>
  <c r="N1857" i="7"/>
  <c r="N1687" i="7"/>
  <c r="N1421" i="7"/>
  <c r="N1420" i="7"/>
  <c r="N1260" i="7"/>
  <c r="N1259" i="7"/>
  <c r="N1258" i="7"/>
  <c r="N1147" i="7"/>
  <c r="N1138" i="7"/>
  <c r="N1093" i="7"/>
  <c r="N1092" i="7"/>
  <c r="N1091" i="7"/>
  <c r="N1090" i="7"/>
  <c r="N1089" i="7"/>
  <c r="N1088" i="7"/>
  <c r="N1087" i="7"/>
  <c r="N1082" i="7"/>
  <c r="N1081" i="7"/>
  <c r="N1080" i="7"/>
  <c r="N1079" i="7"/>
  <c r="N1078" i="7"/>
  <c r="N1077" i="7"/>
  <c r="N1076" i="7"/>
  <c r="N625" i="7"/>
  <c r="N622" i="7"/>
  <c r="N124" i="7"/>
  <c r="N9051" i="7"/>
  <c r="N8839" i="7"/>
  <c r="N8535" i="7"/>
  <c r="N8016" i="7"/>
  <c r="N8015" i="7"/>
  <c r="N6778" i="7"/>
  <c r="N6562" i="7"/>
  <c r="N6173" i="7"/>
  <c r="N5573" i="7"/>
  <c r="N5435" i="7"/>
  <c r="N4979" i="7"/>
  <c r="N4692" i="7"/>
  <c r="N4241" i="7"/>
  <c r="N3509" i="7"/>
  <c r="N3462" i="7"/>
  <c r="N3251" i="7"/>
  <c r="N3247" i="7"/>
  <c r="N2371" i="7"/>
  <c r="N2210" i="7"/>
  <c r="N2093" i="7"/>
  <c r="N1989" i="7"/>
  <c r="N1862" i="7"/>
  <c r="N1715" i="7"/>
  <c r="N1347" i="7"/>
  <c r="N1256" i="7"/>
  <c r="N872" i="7"/>
  <c r="N33" i="7"/>
  <c r="N9378" i="7"/>
  <c r="N8974" i="7"/>
  <c r="N8773" i="7"/>
  <c r="N8498" i="7"/>
  <c r="N8133" i="7"/>
  <c r="N6604" i="7"/>
  <c r="N5727" i="7"/>
  <c r="N5530" i="7"/>
  <c r="N5003" i="7"/>
  <c r="N4754" i="7"/>
  <c r="N4623" i="7"/>
  <c r="N4093" i="7"/>
  <c r="N4061" i="7"/>
  <c r="N3989" i="7"/>
  <c r="N3852" i="7"/>
  <c r="N3583" i="7"/>
  <c r="N3299" i="7"/>
  <c r="N3043" i="7"/>
  <c r="N2524" i="7"/>
  <c r="N2521" i="7"/>
  <c r="N2080" i="7"/>
  <c r="N1914" i="7"/>
  <c r="N1839" i="7"/>
  <c r="N1638" i="7"/>
  <c r="N1496" i="7"/>
  <c r="N60" i="7"/>
  <c r="N8129" i="7"/>
  <c r="N8128" i="7"/>
  <c r="N8127" i="7"/>
  <c r="N8126" i="7"/>
  <c r="N8125" i="7"/>
  <c r="N8124" i="7"/>
  <c r="N6602" i="7"/>
  <c r="N6601" i="7"/>
  <c r="N6600" i="7"/>
  <c r="N6599" i="7"/>
  <c r="N5672" i="7"/>
  <c r="N5646" i="7"/>
  <c r="N5642" i="7"/>
  <c r="N4841" i="7"/>
  <c r="N4840" i="7"/>
  <c r="N4616" i="7"/>
  <c r="N4615" i="7"/>
  <c r="N4614" i="7"/>
  <c r="N4613" i="7"/>
  <c r="N4612" i="7"/>
  <c r="N4611" i="7"/>
  <c r="N4610" i="7"/>
  <c r="N4259" i="7"/>
  <c r="N3883" i="7"/>
  <c r="N3749" i="7"/>
  <c r="N3748" i="7"/>
  <c r="N3747" i="7"/>
  <c r="N3096" i="7"/>
  <c r="N3095" i="7"/>
  <c r="N3094" i="7"/>
  <c r="N3093" i="7"/>
  <c r="N9242" i="7"/>
  <c r="N9113" i="7"/>
  <c r="N8384" i="7"/>
  <c r="N8358" i="7"/>
  <c r="N8357" i="7"/>
  <c r="N7880" i="7"/>
  <c r="N7879" i="7"/>
  <c r="N7878" i="7"/>
  <c r="N7877" i="7"/>
  <c r="N7876" i="7"/>
  <c r="N7479" i="7"/>
  <c r="N7478" i="7"/>
  <c r="N7477" i="7"/>
  <c r="N7387" i="7"/>
  <c r="N7367" i="7"/>
  <c r="N7289" i="7"/>
  <c r="N7103" i="7"/>
  <c r="N7102" i="7"/>
  <c r="N7101" i="7"/>
  <c r="N7100" i="7"/>
  <c r="N6695" i="7"/>
  <c r="N6694" i="7"/>
  <c r="N6693" i="7"/>
  <c r="N6692" i="7"/>
  <c r="N6691" i="7"/>
  <c r="N6690" i="7"/>
  <c r="N6689" i="7"/>
  <c r="N6688" i="7"/>
  <c r="N6497" i="7"/>
  <c r="N6496" i="7"/>
  <c r="N6495" i="7"/>
  <c r="N6241" i="7"/>
  <c r="N6114" i="7"/>
  <c r="N6113" i="7"/>
  <c r="N6112" i="7"/>
  <c r="N6111" i="7"/>
  <c r="N6110" i="7"/>
  <c r="N5890" i="7"/>
  <c r="N5868" i="7"/>
  <c r="N4491" i="7"/>
  <c r="N4490" i="7"/>
  <c r="N3166" i="7"/>
  <c r="N3165" i="7"/>
  <c r="N2345" i="7"/>
  <c r="N2344" i="7"/>
  <c r="N2343" i="7"/>
  <c r="N2342" i="7"/>
  <c r="N2341" i="7"/>
  <c r="N1806" i="7"/>
  <c r="N1657" i="7"/>
  <c r="N1550" i="7"/>
  <c r="N1548" i="7"/>
  <c r="N1546" i="7"/>
  <c r="N1544" i="7"/>
  <c r="N1542" i="7"/>
  <c r="N1310" i="7"/>
  <c r="N1309" i="7"/>
  <c r="N1308" i="7"/>
  <c r="N1307" i="7"/>
  <c r="N1306" i="7"/>
  <c r="N1148" i="7"/>
  <c r="N1045" i="7"/>
  <c r="N355" i="7"/>
  <c r="N354" i="7"/>
  <c r="N353" i="7"/>
  <c r="N352" i="7"/>
  <c r="N351" i="7"/>
  <c r="N350" i="7"/>
  <c r="N349" i="7"/>
  <c r="N228" i="7"/>
  <c r="N226" i="7"/>
  <c r="N9440" i="7"/>
  <c r="N9439" i="7"/>
  <c r="N8659" i="7"/>
  <c r="N8658" i="7"/>
  <c r="N8657" i="7"/>
  <c r="N7540" i="7"/>
  <c r="N7539" i="7"/>
  <c r="N5180" i="7"/>
  <c r="N5179" i="7"/>
  <c r="N5178" i="7"/>
  <c r="N3198" i="7"/>
  <c r="N15" i="7"/>
  <c r="N14" i="7"/>
  <c r="N9352" i="7"/>
  <c r="N8973" i="7"/>
  <c r="N8772" i="7"/>
  <c r="N8141" i="7"/>
  <c r="N8132" i="7"/>
  <c r="N8131" i="7"/>
  <c r="N7760" i="7"/>
  <c r="N6603" i="7"/>
  <c r="N5728" i="7"/>
  <c r="N5580" i="7"/>
  <c r="N5567" i="7"/>
  <c r="N5529" i="7"/>
  <c r="N5485" i="7"/>
  <c r="N4753" i="7"/>
  <c r="N4622" i="7"/>
  <c r="N4060" i="7"/>
  <c r="N3988" i="7"/>
  <c r="N3851" i="7"/>
  <c r="N3582" i="7"/>
  <c r="N3298" i="7"/>
  <c r="N3044" i="7"/>
  <c r="N2523" i="7"/>
  <c r="N2520" i="7"/>
  <c r="N2081" i="7"/>
  <c r="N2079" i="7"/>
  <c r="N1915" i="7"/>
  <c r="N1913" i="7"/>
  <c r="N1838" i="7"/>
  <c r="N1743" i="7"/>
  <c r="N1742" i="7"/>
  <c r="N1637" i="7"/>
  <c r="N1495" i="7"/>
  <c r="N1494" i="7"/>
  <c r="N59" i="7"/>
  <c r="N8487" i="7"/>
  <c r="N8327" i="7"/>
  <c r="N8064" i="7"/>
  <c r="N8063" i="7"/>
  <c r="N7773" i="7"/>
  <c r="N7703" i="7"/>
  <c r="N6866" i="7"/>
  <c r="N6036" i="7"/>
  <c r="N5454" i="7"/>
  <c r="N4030" i="7"/>
  <c r="N3924" i="7"/>
  <c r="N3343" i="7"/>
  <c r="N3266" i="7"/>
  <c r="N3136" i="7"/>
  <c r="N2493" i="7"/>
  <c r="N2000" i="7"/>
  <c r="N1792" i="7"/>
  <c r="N1750" i="7"/>
  <c r="N555" i="7"/>
  <c r="N429" i="7"/>
  <c r="N7775" i="7"/>
  <c r="N3390" i="7"/>
  <c r="N3386" i="7"/>
  <c r="N9443" i="7"/>
  <c r="N9333" i="7"/>
  <c r="N9320" i="7"/>
  <c r="N9189" i="7"/>
  <c r="N9059" i="7"/>
  <c r="N8985" i="7"/>
  <c r="N8870" i="7"/>
  <c r="N8837" i="7"/>
  <c r="N8663" i="7"/>
  <c r="N8624" i="7"/>
  <c r="N8573" i="7"/>
  <c r="N8306" i="7"/>
  <c r="N8164" i="7"/>
  <c r="N8163" i="7"/>
  <c r="N7955" i="7"/>
  <c r="N7950" i="7"/>
  <c r="N7784" i="7"/>
  <c r="N7767" i="7"/>
  <c r="N7713" i="7"/>
  <c r="N7680" i="7"/>
  <c r="N7679" i="7"/>
  <c r="N7518" i="7"/>
  <c r="N7517" i="7"/>
  <c r="N7078" i="7"/>
  <c r="N7077" i="7"/>
  <c r="N6810" i="7"/>
  <c r="N6809" i="7"/>
  <c r="N6614" i="7"/>
  <c r="N6273" i="7"/>
  <c r="N6229" i="7"/>
  <c r="N6108" i="7"/>
  <c r="N5909" i="7"/>
  <c r="N5790" i="7"/>
  <c r="N5789" i="7"/>
  <c r="N5546" i="7"/>
  <c r="N5504" i="7"/>
  <c r="N5397" i="7"/>
  <c r="N5290" i="7"/>
  <c r="N5222" i="7"/>
  <c r="N5184" i="7"/>
  <c r="N5058" i="7"/>
  <c r="N5015" i="7"/>
  <c r="N4972" i="7"/>
  <c r="N4803" i="7"/>
  <c r="N4761" i="7"/>
  <c r="N4638" i="7"/>
  <c r="N4564" i="7"/>
  <c r="N4540" i="7"/>
  <c r="N4479" i="7"/>
  <c r="N4429" i="7"/>
  <c r="N4314" i="7"/>
  <c r="N4132" i="7"/>
  <c r="N4068" i="7"/>
  <c r="N4004" i="7"/>
  <c r="N3826" i="7"/>
  <c r="N3814" i="7"/>
  <c r="N3714" i="7"/>
  <c r="N3601" i="7"/>
  <c r="N3488" i="7"/>
  <c r="N3319" i="7"/>
  <c r="N3318" i="7"/>
  <c r="N3219" i="7"/>
  <c r="N3193" i="7"/>
  <c r="N3062" i="7"/>
  <c r="N3061" i="7"/>
  <c r="N2765" i="7"/>
  <c r="N2683" i="7"/>
  <c r="N2631" i="7"/>
  <c r="N2590" i="7"/>
  <c r="N2569" i="7"/>
  <c r="N2535" i="7"/>
  <c r="N2534" i="7"/>
  <c r="N2395" i="7"/>
  <c r="N2329" i="7"/>
  <c r="N2102" i="7"/>
  <c r="N1790" i="7"/>
  <c r="N1748" i="7"/>
  <c r="N1653" i="7"/>
  <c r="N1525" i="7"/>
  <c r="N1343" i="7"/>
  <c r="N1339" i="7"/>
  <c r="N1249" i="7"/>
  <c r="N1245" i="7"/>
  <c r="N1116" i="7"/>
  <c r="N1114" i="7"/>
  <c r="N952" i="7"/>
  <c r="N951" i="7"/>
  <c r="N907" i="7"/>
  <c r="N800" i="7"/>
  <c r="N797" i="7"/>
  <c r="N514" i="7"/>
  <c r="N337" i="7"/>
  <c r="N209" i="7"/>
  <c r="N69" i="7"/>
  <c r="N9431" i="7"/>
  <c r="N9430" i="7"/>
  <c r="N9408" i="7"/>
  <c r="N9406" i="7"/>
  <c r="N9405" i="7"/>
  <c r="N9404" i="7"/>
  <c r="N9351" i="7"/>
  <c r="N9185" i="7"/>
  <c r="N9015" i="7"/>
  <c r="N8960" i="7"/>
  <c r="N8867" i="7"/>
  <c r="N8841" i="7"/>
  <c r="N8745" i="7"/>
  <c r="N8734" i="7"/>
  <c r="N8656" i="7"/>
  <c r="N8652" i="7"/>
  <c r="N8615" i="7"/>
  <c r="N8588" i="7"/>
  <c r="N8565" i="7"/>
  <c r="N8511" i="7"/>
  <c r="N8465" i="7"/>
  <c r="N8461" i="7"/>
  <c r="N8382" i="7"/>
  <c r="N8371" i="7"/>
  <c r="N8288" i="7"/>
  <c r="N8282" i="7"/>
  <c r="N8278" i="7"/>
  <c r="N8277" i="7"/>
  <c r="N8145" i="7"/>
  <c r="N8123" i="7"/>
  <c r="N8122" i="7"/>
  <c r="N8121" i="7"/>
  <c r="N8120" i="7"/>
  <c r="N8119" i="7"/>
  <c r="N7930" i="7"/>
  <c r="N7831" i="7"/>
  <c r="N7777" i="7"/>
  <c r="N7757" i="7"/>
  <c r="N7756" i="7"/>
  <c r="N7675" i="7"/>
  <c r="N7610" i="7"/>
  <c r="N7609" i="7"/>
  <c r="N7550" i="7"/>
  <c r="N7381" i="7"/>
  <c r="N7380" i="7"/>
  <c r="N7263" i="7"/>
  <c r="N7179" i="7"/>
  <c r="N7178" i="7"/>
  <c r="N7054" i="7"/>
  <c r="N7053" i="7"/>
  <c r="N7052" i="7"/>
  <c r="N6887" i="7"/>
  <c r="N6886" i="7"/>
  <c r="N6885" i="7"/>
  <c r="N6884" i="7"/>
  <c r="N6883" i="7"/>
  <c r="N6882" i="7"/>
  <c r="N6829" i="7"/>
  <c r="N6800" i="7"/>
  <c r="N6799" i="7"/>
  <c r="N6598" i="7"/>
  <c r="N6553" i="7"/>
  <c r="N6467" i="7"/>
  <c r="N6426" i="7"/>
  <c r="N6406" i="7"/>
  <c r="N6362" i="7"/>
  <c r="N6269" i="7"/>
  <c r="N6216" i="7"/>
  <c r="N6215" i="7"/>
  <c r="N6149" i="7"/>
  <c r="N6077" i="7"/>
  <c r="N6076" i="7"/>
  <c r="N5979" i="7"/>
  <c r="N5965" i="7"/>
  <c r="N5949" i="7"/>
  <c r="N5934" i="7"/>
  <c r="N5921" i="7"/>
  <c r="N5913" i="7"/>
  <c r="N5900" i="7"/>
  <c r="N5849" i="7"/>
  <c r="N5846" i="7"/>
  <c r="N5825" i="7"/>
  <c r="N5763" i="7"/>
  <c r="N5762" i="7"/>
  <c r="N5669" i="7"/>
  <c r="N5637" i="7"/>
  <c r="N5570" i="7"/>
  <c r="N5472" i="7"/>
  <c r="N5471" i="7"/>
  <c r="N5372" i="7"/>
  <c r="N5282" i="7"/>
  <c r="N5177" i="7"/>
  <c r="N5176" i="7"/>
  <c r="N5156" i="7"/>
  <c r="N5055" i="7"/>
  <c r="N4998" i="7"/>
  <c r="N4997" i="7"/>
  <c r="N4996" i="7"/>
  <c r="N4947" i="7"/>
  <c r="N4741" i="7"/>
  <c r="N4609" i="7"/>
  <c r="N4459" i="7"/>
  <c r="N4458" i="7"/>
  <c r="N4383" i="7"/>
  <c r="N4363" i="7"/>
  <c r="N4310" i="7"/>
  <c r="N4256" i="7"/>
  <c r="N4255" i="7"/>
  <c r="N4251" i="7"/>
  <c r="N4205" i="7"/>
  <c r="N4167" i="7"/>
  <c r="N4166" i="7"/>
  <c r="N4165" i="7"/>
  <c r="N4164" i="7"/>
  <c r="N4163" i="7"/>
  <c r="N4050" i="7"/>
  <c r="N3901" i="7"/>
  <c r="N3900" i="7"/>
  <c r="N3897" i="7"/>
  <c r="N3896" i="7"/>
  <c r="N3882" i="7"/>
  <c r="N3803" i="7"/>
  <c r="N3802" i="7"/>
  <c r="N3778" i="7"/>
  <c r="N3777" i="7"/>
  <c r="N3776" i="7"/>
  <c r="N3771" i="7"/>
  <c r="N3739" i="7"/>
  <c r="N3723" i="7"/>
  <c r="N3710" i="7"/>
  <c r="N3709" i="7"/>
  <c r="N3708" i="7"/>
  <c r="N3707" i="7"/>
  <c r="N3706" i="7"/>
  <c r="N3705" i="7"/>
  <c r="N3576" i="7"/>
  <c r="N3575" i="7"/>
  <c r="N3534" i="7"/>
  <c r="N3504" i="7"/>
  <c r="N3474" i="7"/>
  <c r="N3473" i="7"/>
  <c r="N3472" i="7"/>
  <c r="N3471" i="7"/>
  <c r="N3388" i="7"/>
  <c r="N3387" i="7"/>
  <c r="N3357" i="7"/>
  <c r="N3351" i="7"/>
  <c r="N3338" i="7"/>
  <c r="N3333" i="7"/>
  <c r="N3310" i="7"/>
  <c r="N3291" i="7"/>
  <c r="N3290" i="7"/>
  <c r="N3289" i="7"/>
  <c r="N3288" i="7"/>
  <c r="N3144" i="7"/>
  <c r="N2960" i="7"/>
  <c r="N2900" i="7"/>
  <c r="N2759" i="7"/>
  <c r="N2758" i="7"/>
  <c r="N2737" i="7"/>
  <c r="N2671" i="7"/>
  <c r="N2619" i="7"/>
  <c r="N2584" i="7"/>
  <c r="N2564" i="7"/>
  <c r="N2510" i="7"/>
  <c r="N2455" i="7"/>
  <c r="N2454" i="7"/>
  <c r="N2450" i="7"/>
  <c r="N2449" i="7"/>
  <c r="N2448" i="7"/>
  <c r="N2442" i="7"/>
  <c r="N2441" i="7"/>
  <c r="N2440" i="7"/>
  <c r="N2439" i="7"/>
  <c r="N2289" i="7"/>
  <c r="N2288" i="7"/>
  <c r="N2287" i="7"/>
  <c r="N2286" i="7"/>
  <c r="N2285" i="7"/>
  <c r="N2170" i="7"/>
  <c r="N2074" i="7"/>
  <c r="N2010" i="7"/>
  <c r="N1906" i="7"/>
  <c r="N1768" i="7"/>
  <c r="N1767" i="7"/>
  <c r="N1736" i="7"/>
  <c r="N1686" i="7"/>
  <c r="N1631" i="7"/>
  <c r="N1513" i="7"/>
  <c r="N1512" i="7"/>
  <c r="N1493" i="7"/>
  <c r="N1241" i="7"/>
  <c r="N1240" i="7"/>
  <c r="N1141" i="7"/>
  <c r="N1059" i="7"/>
  <c r="N902" i="7"/>
  <c r="N891" i="7"/>
  <c r="N787" i="7"/>
  <c r="N786" i="7"/>
  <c r="N772" i="7"/>
  <c r="N771" i="7"/>
  <c r="N613" i="7"/>
  <c r="N612" i="7"/>
  <c r="N591" i="7"/>
  <c r="N539" i="7"/>
  <c r="N494" i="7"/>
  <c r="N421" i="7"/>
  <c r="N420" i="7"/>
  <c r="N419" i="7"/>
  <c r="N331" i="7"/>
  <c r="N330" i="7"/>
  <c r="N250" i="7"/>
  <c r="N237" i="7"/>
  <c r="N197" i="7"/>
  <c r="N146" i="7"/>
  <c r="N145" i="7"/>
  <c r="N52" i="7"/>
  <c r="N9368" i="7"/>
  <c r="N9336" i="7"/>
  <c r="N9335" i="7"/>
  <c r="N9038" i="7"/>
  <c r="N8847" i="7"/>
  <c r="N8029" i="7"/>
  <c r="N7740" i="7"/>
  <c r="N6365" i="7"/>
  <c r="N5262" i="7"/>
  <c r="N4697" i="7"/>
  <c r="N4687" i="7"/>
  <c r="N4587" i="7"/>
  <c r="N4586" i="7"/>
  <c r="N3548" i="7"/>
  <c r="N3435" i="7"/>
  <c r="N3123" i="7"/>
  <c r="N2995" i="7"/>
  <c r="N2994" i="7"/>
  <c r="N2993" i="7"/>
  <c r="N2690" i="7"/>
  <c r="N2638" i="7"/>
  <c r="N2578" i="7"/>
  <c r="N2374" i="7"/>
  <c r="N1593" i="7"/>
  <c r="N1588" i="7"/>
  <c r="N1238" i="7"/>
  <c r="N7830" i="7"/>
  <c r="N3010" i="7"/>
  <c r="N3009" i="7"/>
  <c r="N2718" i="7"/>
  <c r="N2717" i="7"/>
  <c r="N8509" i="7"/>
  <c r="N8242" i="7"/>
  <c r="N6539" i="7"/>
  <c r="N6538" i="7"/>
  <c r="N6537" i="7"/>
  <c r="N6536" i="7"/>
  <c r="N6535" i="7"/>
  <c r="N6534" i="7"/>
  <c r="N6533" i="7"/>
  <c r="N6532" i="7"/>
  <c r="N6531" i="7"/>
  <c r="N6530" i="7"/>
  <c r="N6529" i="7"/>
  <c r="N6528" i="7"/>
  <c r="N6527" i="7"/>
  <c r="N6526" i="7"/>
  <c r="N6525" i="7"/>
  <c r="N6524" i="7"/>
  <c r="N6523" i="7"/>
  <c r="N6522" i="7"/>
  <c r="N6521" i="7"/>
  <c r="N6520" i="7"/>
  <c r="N4120" i="7"/>
  <c r="N2797" i="7"/>
  <c r="N1583" i="7"/>
  <c r="N9442" i="7"/>
  <c r="N9229" i="7"/>
  <c r="N9228" i="7"/>
  <c r="N8986" i="7"/>
  <c r="N8981" i="7"/>
  <c r="N8664" i="7"/>
  <c r="N8568" i="7"/>
  <c r="N8460" i="7"/>
  <c r="N8303" i="7"/>
  <c r="N8156" i="7"/>
  <c r="N8155" i="7"/>
  <c r="N8154" i="7"/>
  <c r="N8153" i="7"/>
  <c r="N8152" i="7"/>
  <c r="N8151" i="7"/>
  <c r="N8150" i="7"/>
  <c r="N7819" i="7"/>
  <c r="N7779" i="7"/>
  <c r="N7676" i="7"/>
  <c r="N7514" i="7"/>
  <c r="N7271" i="7"/>
  <c r="N7269" i="7"/>
  <c r="N7180" i="7"/>
  <c r="N7075" i="7"/>
  <c r="N7074" i="7"/>
  <c r="N7073" i="7"/>
  <c r="N6811" i="7"/>
  <c r="N6802" i="7"/>
  <c r="N6801" i="7"/>
  <c r="N6610" i="7"/>
  <c r="N6227" i="7"/>
  <c r="N6104" i="7"/>
  <c r="N6103" i="7"/>
  <c r="N5588" i="7"/>
  <c r="N5579" i="7"/>
  <c r="N5548" i="7"/>
  <c r="N5507" i="7"/>
  <c r="N5395" i="7"/>
  <c r="N5286" i="7"/>
  <c r="N5056" i="7"/>
  <c r="N5012" i="7"/>
  <c r="N4973" i="7"/>
  <c r="N4962" i="7"/>
  <c r="N4961" i="7"/>
  <c r="N4937" i="7"/>
  <c r="N4802" i="7"/>
  <c r="N4759" i="7"/>
  <c r="N4635" i="7"/>
  <c r="N4566" i="7"/>
  <c r="N4539" i="7"/>
  <c r="N4477" i="7"/>
  <c r="N4338" i="7"/>
  <c r="N4064" i="7"/>
  <c r="N4005" i="7"/>
  <c r="N3715" i="7"/>
  <c r="N3676" i="7"/>
  <c r="N3675" i="7"/>
  <c r="N3598" i="7"/>
  <c r="N3537" i="7"/>
  <c r="N3536" i="7"/>
  <c r="N3535" i="7"/>
  <c r="N3531" i="7"/>
  <c r="N3490" i="7"/>
  <c r="N3389" i="7"/>
  <c r="N3352" i="7"/>
  <c r="N3315" i="7"/>
  <c r="N3314" i="7"/>
  <c r="N3163" i="7"/>
  <c r="N3161" i="7"/>
  <c r="N3063" i="7"/>
  <c r="N2761" i="7"/>
  <c r="N2760" i="7"/>
  <c r="N2680" i="7"/>
  <c r="N2628" i="7"/>
  <c r="N2587" i="7"/>
  <c r="N2566" i="7"/>
  <c r="N2527" i="7"/>
  <c r="N2526" i="7"/>
  <c r="N2393" i="7"/>
  <c r="N2327" i="7"/>
  <c r="N2324" i="7"/>
  <c r="N2100" i="7"/>
  <c r="N2099" i="7"/>
  <c r="N2098" i="7"/>
  <c r="N2076" i="7"/>
  <c r="N1795" i="7"/>
  <c r="N1794" i="7"/>
  <c r="N1793" i="7"/>
  <c r="N1744" i="7"/>
  <c r="N1647" i="7"/>
  <c r="N1646" i="7"/>
  <c r="N1645" i="7"/>
  <c r="N1523" i="7"/>
  <c r="N1522" i="7"/>
  <c r="N1521" i="7"/>
  <c r="N1520" i="7"/>
  <c r="N1519" i="7"/>
  <c r="N1518" i="7"/>
  <c r="N1517" i="7"/>
  <c r="N1516" i="7"/>
  <c r="N1515" i="7"/>
  <c r="N1243" i="7"/>
  <c r="N1127" i="7"/>
  <c r="N1111" i="7"/>
  <c r="N1110" i="7"/>
  <c r="N1108" i="7"/>
  <c r="N954" i="7"/>
  <c r="N953" i="7"/>
  <c r="N903" i="7"/>
  <c r="N791" i="7"/>
  <c r="N790" i="7"/>
  <c r="N542" i="7"/>
  <c r="N515" i="7"/>
  <c r="N333" i="7"/>
  <c r="N207" i="7"/>
  <c r="N67" i="7"/>
  <c r="N66" i="7"/>
  <c r="N9429" i="7"/>
  <c r="N9294" i="7"/>
  <c r="N9255" i="7"/>
  <c r="N9100" i="7"/>
  <c r="N8959" i="7"/>
  <c r="N8958" i="7"/>
  <c r="N8957" i="7"/>
  <c r="N8894" i="7"/>
  <c r="N8893" i="7"/>
  <c r="N8836" i="7"/>
  <c r="N8805" i="7"/>
  <c r="N8754" i="7"/>
  <c r="N8751" i="7"/>
  <c r="N8748" i="7"/>
  <c r="N8735" i="7"/>
  <c r="N8733" i="7"/>
  <c r="N8651" i="7"/>
  <c r="N8298" i="7"/>
  <c r="N8294" i="7"/>
  <c r="N8281" i="7"/>
  <c r="N8118" i="7"/>
  <c r="N8117" i="7"/>
  <c r="N8116" i="7"/>
  <c r="N8006" i="7"/>
  <c r="N7962" i="7"/>
  <c r="N7961" i="7"/>
  <c r="N7960" i="7"/>
  <c r="N7837" i="7"/>
  <c r="N7836" i="7"/>
  <c r="N7817" i="7"/>
  <c r="N7790" i="7"/>
  <c r="N7755" i="7"/>
  <c r="N7668" i="7"/>
  <c r="N7552" i="7"/>
  <c r="N7401" i="7"/>
  <c r="N7370" i="7"/>
  <c r="N7262" i="7"/>
  <c r="N7177" i="7"/>
  <c r="N7051" i="7"/>
  <c r="N6852" i="7"/>
  <c r="N6597" i="7"/>
  <c r="N6447" i="7"/>
  <c r="N6446" i="7"/>
  <c r="N6405" i="7"/>
  <c r="N6075" i="7"/>
  <c r="N5684" i="7"/>
  <c r="N5371" i="7"/>
  <c r="N5054" i="7"/>
  <c r="N4995" i="7"/>
  <c r="N4898" i="7"/>
  <c r="N4875" i="7"/>
  <c r="N4740" i="7"/>
  <c r="N4608" i="7"/>
  <c r="N4550" i="7"/>
  <c r="N4453" i="7"/>
  <c r="N4309" i="7"/>
  <c r="N4277" i="7"/>
  <c r="N4215" i="7"/>
  <c r="N4204" i="7"/>
  <c r="N4203" i="7"/>
  <c r="N4202" i="7"/>
  <c r="N3574" i="7"/>
  <c r="N3470" i="7"/>
  <c r="N3287" i="7"/>
  <c r="N3286" i="7"/>
  <c r="N3175" i="7"/>
  <c r="N3143" i="7"/>
  <c r="N3119" i="7"/>
  <c r="N3030" i="7"/>
  <c r="N2929" i="7"/>
  <c r="N2736" i="7"/>
  <c r="N2509" i="7"/>
  <c r="N2400" i="7"/>
  <c r="N2166" i="7"/>
  <c r="N1851" i="7"/>
  <c r="N1835" i="7"/>
  <c r="N1787" i="7"/>
  <c r="N1735" i="7"/>
  <c r="N1630" i="7"/>
  <c r="N1595" i="7"/>
  <c r="N1492" i="7"/>
  <c r="N1491" i="7"/>
  <c r="N1272" i="7"/>
  <c r="N1210" i="7"/>
  <c r="N1203" i="7"/>
  <c r="N1130" i="7"/>
  <c r="N1062" i="7"/>
  <c r="N1061" i="7"/>
  <c r="N1060" i="7"/>
  <c r="N987" i="7"/>
  <c r="N986" i="7"/>
  <c r="N962" i="7"/>
  <c r="N961" i="7"/>
  <c r="N932" i="7"/>
  <c r="N931" i="7"/>
  <c r="N890" i="7"/>
  <c r="N860" i="7"/>
  <c r="N859" i="7"/>
  <c r="N832" i="7"/>
  <c r="N830" i="7"/>
  <c r="N556" i="7"/>
  <c r="N433" i="7"/>
  <c r="N340" i="7"/>
  <c r="N339" i="7"/>
  <c r="N235" i="7"/>
  <c r="N196" i="7"/>
  <c r="N62" i="7"/>
  <c r="N9374" i="7"/>
  <c r="N9373" i="7"/>
  <c r="N9348" i="7"/>
  <c r="N9331" i="7"/>
  <c r="N9293" i="7"/>
  <c r="N9292" i="7"/>
  <c r="N9227" i="7"/>
  <c r="N9150" i="7"/>
  <c r="N9147" i="7"/>
  <c r="N9033" i="7"/>
  <c r="N8980" i="7"/>
  <c r="N8846" i="7"/>
  <c r="N8826" i="7"/>
  <c r="N8632" i="7"/>
  <c r="N8538" i="7"/>
  <c r="N8537" i="7"/>
  <c r="N8375" i="7"/>
  <c r="N8026" i="7"/>
  <c r="N8022" i="7"/>
  <c r="N7803" i="7"/>
  <c r="N7739" i="7"/>
  <c r="N6859" i="7"/>
  <c r="N6780" i="7"/>
  <c r="N6571" i="7"/>
  <c r="N6567" i="7"/>
  <c r="N6566" i="7"/>
  <c r="N6178" i="7"/>
  <c r="N6177" i="7"/>
  <c r="N5711" i="7"/>
  <c r="N5701" i="7"/>
  <c r="N5622" i="7"/>
  <c r="N5621" i="7"/>
  <c r="N5442" i="7"/>
  <c r="N5441" i="7"/>
  <c r="N5347" i="7"/>
  <c r="N5346" i="7"/>
  <c r="N5256" i="7"/>
  <c r="N5130" i="7"/>
  <c r="N5129" i="7"/>
  <c r="N5128" i="7"/>
  <c r="N5127" i="7"/>
  <c r="N5126" i="7"/>
  <c r="N5044" i="7"/>
  <c r="N4709" i="7"/>
  <c r="N4706" i="7"/>
  <c r="N4584" i="7"/>
  <c r="N4581" i="7"/>
  <c r="N4580" i="7"/>
  <c r="N4332" i="7"/>
  <c r="N4024" i="7"/>
  <c r="N3791" i="7"/>
  <c r="N3790" i="7"/>
  <c r="N3547" i="7"/>
  <c r="N3228" i="7"/>
  <c r="N3099" i="7"/>
  <c r="N2988" i="7"/>
  <c r="N2987" i="7"/>
  <c r="N2668" i="7"/>
  <c r="N2658" i="7"/>
  <c r="N2616" i="7"/>
  <c r="N2606" i="7"/>
  <c r="N2576" i="7"/>
  <c r="N2575" i="7"/>
  <c r="N2482" i="7"/>
  <c r="N2403" i="7"/>
  <c r="N2142" i="7"/>
  <c r="N2139" i="7"/>
  <c r="N2138" i="7"/>
  <c r="N2046" i="7"/>
  <c r="N2045" i="7"/>
  <c r="N2042" i="7"/>
  <c r="N2028" i="7"/>
  <c r="N2027" i="7"/>
  <c r="N1865" i="7"/>
  <c r="N1830" i="7"/>
  <c r="N1757" i="7"/>
  <c r="N1604" i="7"/>
  <c r="N1603" i="7"/>
  <c r="N1170" i="7"/>
  <c r="N1169" i="7"/>
  <c r="N780" i="7"/>
  <c r="N779" i="7"/>
  <c r="N732" i="7"/>
  <c r="N718" i="7"/>
  <c r="N424" i="7"/>
  <c r="N177" i="7"/>
  <c r="N176" i="7"/>
  <c r="N175" i="7"/>
  <c r="N37" i="7"/>
  <c r="N36" i="7"/>
  <c r="N7" i="7"/>
  <c r="N9441" i="7"/>
  <c r="N9366" i="7"/>
  <c r="N9332" i="7"/>
  <c r="N9318" i="7"/>
  <c r="N9305" i="7"/>
  <c r="N9230" i="7"/>
  <c r="N9186" i="7"/>
  <c r="N9060" i="7"/>
  <c r="N8982" i="7"/>
  <c r="N8868" i="7"/>
  <c r="N8792" i="7"/>
  <c r="N8791" i="7"/>
  <c r="N8660" i="7"/>
  <c r="N8622" i="7"/>
  <c r="N8289" i="7"/>
  <c r="N8158" i="7"/>
  <c r="N8157" i="7"/>
  <c r="N7957" i="7"/>
  <c r="N7944" i="7"/>
  <c r="N7782" i="7"/>
  <c r="N7764" i="7"/>
  <c r="N7710" i="7"/>
  <c r="N7681" i="7"/>
  <c r="N7519" i="7"/>
  <c r="N7369" i="7"/>
  <c r="N7270" i="7"/>
  <c r="N7080" i="7"/>
  <c r="N7079" i="7"/>
  <c r="N6902" i="7"/>
  <c r="N6804" i="7"/>
  <c r="N6803" i="7"/>
  <c r="N6611" i="7"/>
  <c r="N6270" i="7"/>
  <c r="N6230" i="7"/>
  <c r="N6105" i="7"/>
  <c r="N5977" i="7"/>
  <c r="N5955" i="7"/>
  <c r="N5689" i="7"/>
  <c r="N5655" i="7"/>
  <c r="N5587" i="7"/>
  <c r="N5545" i="7"/>
  <c r="N5505" i="7"/>
  <c r="N5396" i="7"/>
  <c r="N5287" i="7"/>
  <c r="N5220" i="7"/>
  <c r="N5181" i="7"/>
  <c r="N5059" i="7"/>
  <c r="N5011" i="7"/>
  <c r="N4969" i="7"/>
  <c r="N4843" i="7"/>
  <c r="N4804" i="7"/>
  <c r="N4762" i="7"/>
  <c r="N4634" i="7"/>
  <c r="N4541" i="7"/>
  <c r="N4480" i="7"/>
  <c r="N4426" i="7"/>
  <c r="N4374" i="7"/>
  <c r="N4313" i="7"/>
  <c r="N4242" i="7"/>
  <c r="N4129" i="7"/>
  <c r="N4065" i="7"/>
  <c r="N4001" i="7"/>
  <c r="N3815" i="7"/>
  <c r="N3599" i="7"/>
  <c r="N3489" i="7"/>
  <c r="N3313" i="7"/>
  <c r="N3194" i="7"/>
  <c r="N3160" i="7"/>
  <c r="N3100" i="7"/>
  <c r="N3085" i="7"/>
  <c r="N3084" i="7"/>
  <c r="N3077" i="7"/>
  <c r="N3056" i="7"/>
  <c r="N3055" i="7"/>
  <c r="N2835" i="7"/>
  <c r="N2816" i="7"/>
  <c r="N2762" i="7"/>
  <c r="N2681" i="7"/>
  <c r="N2629" i="7"/>
  <c r="N2586" i="7"/>
  <c r="N2565" i="7"/>
  <c r="N2529" i="7"/>
  <c r="N2528" i="7"/>
  <c r="N2396" i="7"/>
  <c r="N2330" i="7"/>
  <c r="N2325" i="7"/>
  <c r="N2103" i="7"/>
  <c r="N1939" i="7"/>
  <c r="N1937" i="7"/>
  <c r="N1840" i="7"/>
  <c r="N1788" i="7"/>
  <c r="N1759" i="7"/>
  <c r="N1745" i="7"/>
  <c r="N1648" i="7"/>
  <c r="N1527" i="7"/>
  <c r="N1526" i="7"/>
  <c r="N1344" i="7"/>
  <c r="N1340" i="7"/>
  <c r="N1250" i="7"/>
  <c r="N1246" i="7"/>
  <c r="N1206" i="7"/>
  <c r="N1128" i="7"/>
  <c r="N1115" i="7"/>
  <c r="N1109" i="7"/>
  <c r="N944" i="7"/>
  <c r="N943" i="7"/>
  <c r="N942" i="7"/>
  <c r="N941" i="7"/>
  <c r="N905" i="7"/>
  <c r="N836" i="7"/>
  <c r="N835" i="7"/>
  <c r="N834" i="7"/>
  <c r="N833" i="7"/>
  <c r="N789" i="7"/>
  <c r="N788" i="7"/>
  <c r="N656" i="7"/>
  <c r="N627" i="7"/>
  <c r="N624" i="7"/>
  <c r="N621" i="7"/>
  <c r="N620" i="7"/>
  <c r="N590" i="7"/>
  <c r="N579" i="7"/>
  <c r="N578" i="7"/>
  <c r="N574" i="7"/>
  <c r="N572" i="7"/>
  <c r="N540" i="7"/>
  <c r="N444" i="7"/>
  <c r="N334" i="7"/>
  <c r="N210" i="7"/>
  <c r="N70" i="7"/>
  <c r="N9367" i="7"/>
  <c r="N9304" i="7"/>
  <c r="N9188" i="7"/>
  <c r="N9058" i="7"/>
  <c r="N8984" i="7"/>
  <c r="N8869" i="7"/>
  <c r="N8794" i="7"/>
  <c r="N8793" i="7"/>
  <c r="N8662" i="7"/>
  <c r="N8589" i="7"/>
  <c r="N8399" i="7"/>
  <c r="N8162" i="7"/>
  <c r="N8161" i="7"/>
  <c r="N7956" i="7"/>
  <c r="N7943" i="7"/>
  <c r="N7789" i="7"/>
  <c r="N7783" i="7"/>
  <c r="N7766" i="7"/>
  <c r="N7712" i="7"/>
  <c r="N7678" i="7"/>
  <c r="N7677" i="7"/>
  <c r="N7516" i="7"/>
  <c r="N7515" i="7"/>
  <c r="N7272" i="7"/>
  <c r="N7076" i="7"/>
  <c r="N6808" i="7"/>
  <c r="N6807" i="7"/>
  <c r="N6613" i="7"/>
  <c r="N6272" i="7"/>
  <c r="N6228" i="7"/>
  <c r="N6107" i="7"/>
  <c r="N5654" i="7"/>
  <c r="N5653" i="7"/>
  <c r="N5568" i="7"/>
  <c r="N5503" i="7"/>
  <c r="N5398" i="7"/>
  <c r="N5289" i="7"/>
  <c r="N5208" i="7"/>
  <c r="N5183" i="7"/>
  <c r="N5057" i="7"/>
  <c r="N5014" i="7"/>
  <c r="N4971" i="7"/>
  <c r="N4760" i="7"/>
  <c r="N4637" i="7"/>
  <c r="N4478" i="7"/>
  <c r="N4312" i="7"/>
  <c r="N4131" i="7"/>
  <c r="N4067" i="7"/>
  <c r="N4003" i="7"/>
  <c r="N3817" i="7"/>
  <c r="N3750" i="7"/>
  <c r="N3713" i="7"/>
  <c r="N3624" i="7"/>
  <c r="N3487" i="7"/>
  <c r="N3317" i="7"/>
  <c r="N3060" i="7"/>
  <c r="N3059" i="7"/>
  <c r="N2764" i="7"/>
  <c r="N2684" i="7"/>
  <c r="N2632" i="7"/>
  <c r="N2589" i="7"/>
  <c r="N2568" i="7"/>
  <c r="N2533" i="7"/>
  <c r="N2532" i="7"/>
  <c r="N2394" i="7"/>
  <c r="N2328" i="7"/>
  <c r="N2101" i="7"/>
  <c r="N1747" i="7"/>
  <c r="N1652" i="7"/>
  <c r="N1651" i="7"/>
  <c r="N1650" i="7"/>
  <c r="N1524" i="7"/>
  <c r="N1342" i="7"/>
  <c r="N1338" i="7"/>
  <c r="N1248" i="7"/>
  <c r="N1244" i="7"/>
  <c r="N1117" i="7"/>
  <c r="N1113" i="7"/>
  <c r="N950" i="7"/>
  <c r="N949" i="7"/>
  <c r="N904" i="7"/>
  <c r="N796" i="7"/>
  <c r="N795" i="7"/>
  <c r="N336" i="7"/>
  <c r="N208" i="7"/>
  <c r="N68" i="7"/>
  <c r="N9052" i="7"/>
  <c r="N8925" i="7"/>
  <c r="N8536" i="7"/>
  <c r="N8018" i="7"/>
  <c r="N8017" i="7"/>
  <c r="N6779" i="7"/>
  <c r="N6174" i="7"/>
  <c r="N5544" i="7"/>
  <c r="N5436" i="7"/>
  <c r="N4980" i="7"/>
  <c r="N3645" i="7"/>
  <c r="N3644" i="7"/>
  <c r="N3510" i="7"/>
  <c r="N3463" i="7"/>
  <c r="N3252" i="7"/>
  <c r="N3248" i="7"/>
  <c r="N2370" i="7"/>
  <c r="N2211" i="7"/>
  <c r="N2094" i="7"/>
  <c r="N1863" i="7"/>
  <c r="N1716" i="7"/>
  <c r="N1348" i="7"/>
  <c r="N1257" i="7"/>
  <c r="N873" i="7"/>
  <c r="N34" i="7"/>
  <c r="N9319" i="7"/>
  <c r="N9306" i="7"/>
  <c r="N9231" i="7"/>
  <c r="N9187" i="7"/>
  <c r="N9061" i="7"/>
  <c r="N8983" i="7"/>
  <c r="N8790" i="7"/>
  <c r="N8789" i="7"/>
  <c r="N8661" i="7"/>
  <c r="N8623" i="7"/>
  <c r="N8305" i="7"/>
  <c r="N8160" i="7"/>
  <c r="N7958" i="7"/>
  <c r="N7849" i="7"/>
  <c r="N7834" i="7"/>
  <c r="N7785" i="7"/>
  <c r="N7765" i="7"/>
  <c r="N7711" i="7"/>
  <c r="N7682" i="7"/>
  <c r="N7520" i="7"/>
  <c r="N7183" i="7"/>
  <c r="N6901" i="7"/>
  <c r="N6806" i="7"/>
  <c r="N6805" i="7"/>
  <c r="N6106" i="7"/>
  <c r="N5788" i="7"/>
  <c r="N5692" i="7"/>
  <c r="N5657" i="7"/>
  <c r="N5656" i="7"/>
  <c r="N5506" i="7"/>
  <c r="N5394" i="7"/>
  <c r="N5291" i="7"/>
  <c r="N5221" i="7"/>
  <c r="N5182" i="7"/>
  <c r="N5060" i="7"/>
  <c r="N5013" i="7"/>
  <c r="N4970" i="7"/>
  <c r="N4844" i="7"/>
  <c r="N4805" i="7"/>
  <c r="N4763" i="7"/>
  <c r="N4636" i="7"/>
  <c r="N4542" i="7"/>
  <c r="N4481" i="7"/>
  <c r="N4427" i="7"/>
  <c r="N4375" i="7"/>
  <c r="N4245" i="7"/>
  <c r="N4130" i="7"/>
  <c r="N4002" i="7"/>
  <c r="N3816" i="7"/>
  <c r="N3600" i="7"/>
  <c r="N3538" i="7"/>
  <c r="N3486" i="7"/>
  <c r="N3316" i="7"/>
  <c r="N3195" i="7"/>
  <c r="N3162" i="7"/>
  <c r="N3081" i="7"/>
  <c r="N3074" i="7"/>
  <c r="N3058" i="7"/>
  <c r="N2763" i="7"/>
  <c r="N2682" i="7"/>
  <c r="N2630" i="7"/>
  <c r="N2588" i="7"/>
  <c r="N2567" i="7"/>
  <c r="N2531" i="7"/>
  <c r="N2530" i="7"/>
  <c r="N2397" i="7"/>
  <c r="N2331" i="7"/>
  <c r="N2326" i="7"/>
  <c r="N2104" i="7"/>
  <c r="N1938" i="7"/>
  <c r="N1826" i="7"/>
  <c r="N1746" i="7"/>
  <c r="N1649" i="7"/>
  <c r="N1530" i="7"/>
  <c r="N1529" i="7"/>
  <c r="N1528" i="7"/>
  <c r="N1345" i="7"/>
  <c r="N1341" i="7"/>
  <c r="N1251" i="7"/>
  <c r="N1247" i="7"/>
  <c r="N1209" i="7"/>
  <c r="N1208" i="7"/>
  <c r="N1207" i="7"/>
  <c r="N1112" i="7"/>
  <c r="N946" i="7"/>
  <c r="N945" i="7"/>
  <c r="N906" i="7"/>
  <c r="N838" i="7"/>
  <c r="N837" i="7"/>
  <c r="N794" i="7"/>
  <c r="N793" i="7"/>
  <c r="N792" i="7"/>
  <c r="N541" i="7"/>
  <c r="N445" i="7"/>
  <c r="N335" i="7"/>
  <c r="N211" i="7"/>
  <c r="N72" i="7"/>
  <c r="N71" i="7"/>
  <c r="N4624" i="7"/>
  <c r="N3484" i="7"/>
  <c r="N3258" i="7"/>
  <c r="N2756" i="7"/>
  <c r="N2675" i="7"/>
  <c r="N2623" i="7"/>
  <c r="N2582" i="7"/>
  <c r="N2562" i="7"/>
  <c r="N2522" i="7"/>
  <c r="N2176" i="7"/>
  <c r="N1870" i="7"/>
  <c r="N8845" i="7"/>
  <c r="N8844" i="7"/>
  <c r="N8627" i="7"/>
  <c r="N7975" i="7"/>
  <c r="N7974" i="7"/>
  <c r="N7973" i="7"/>
  <c r="N7972" i="7"/>
  <c r="N2653" i="7"/>
  <c r="N2601" i="7"/>
  <c r="N1392" i="7"/>
  <c r="N1391" i="7"/>
  <c r="N988" i="7"/>
  <c r="N640" i="7"/>
  <c r="N638" i="7"/>
  <c r="N567" i="7"/>
  <c r="N20" i="7"/>
  <c r="N19" i="7"/>
  <c r="N9221" i="7"/>
  <c r="N7934" i="7"/>
  <c r="N7628" i="7"/>
  <c r="N7626" i="7"/>
  <c r="N7274" i="7"/>
  <c r="N7273" i="7"/>
  <c r="N7169" i="7"/>
  <c r="N6921" i="7"/>
  <c r="N6161" i="7"/>
  <c r="N5798" i="7"/>
  <c r="N5423" i="7"/>
  <c r="N5118" i="7"/>
  <c r="N5116" i="7"/>
  <c r="N4633" i="7"/>
  <c r="N4632" i="7"/>
  <c r="N4631" i="7"/>
  <c r="N4544" i="7"/>
  <c r="N4418" i="7"/>
  <c r="N4181" i="7"/>
  <c r="N4180" i="7"/>
  <c r="N1778" i="7"/>
  <c r="N1751" i="7"/>
  <c r="N1709" i="7"/>
  <c r="N1388" i="7"/>
  <c r="N1073" i="7"/>
  <c r="N1071" i="7"/>
  <c r="N1004" i="7"/>
  <c r="N1003" i="7"/>
  <c r="N524" i="7"/>
  <c r="N523" i="7"/>
  <c r="N503" i="7"/>
  <c r="N497" i="7"/>
  <c r="N260" i="7"/>
  <c r="N9385" i="7"/>
  <c r="N9219" i="7"/>
  <c r="N9158" i="7"/>
  <c r="N9111" i="7"/>
  <c r="N9108" i="7"/>
  <c r="N8761" i="7"/>
  <c r="N8760" i="7"/>
  <c r="N8759" i="7"/>
  <c r="N8758" i="7"/>
  <c r="N8757" i="7"/>
  <c r="N8703" i="7"/>
  <c r="N8541" i="7"/>
  <c r="N8043" i="7"/>
  <c r="N7374" i="7"/>
  <c r="N7267" i="7"/>
  <c r="N7227" i="7"/>
  <c r="N6732" i="7"/>
  <c r="N6731" i="7"/>
  <c r="N6493" i="7"/>
  <c r="N6492" i="7"/>
  <c r="N6420" i="7"/>
  <c r="N6185" i="7"/>
  <c r="N5987" i="7"/>
  <c r="N5986" i="7"/>
  <c r="N5985" i="7"/>
  <c r="N5266" i="7"/>
  <c r="N5131" i="7"/>
  <c r="N4860" i="7"/>
  <c r="N4810" i="7"/>
  <c r="N4588" i="7"/>
  <c r="N4549" i="7"/>
  <c r="N4444" i="7"/>
  <c r="N4443" i="7"/>
  <c r="N4026" i="7"/>
  <c r="N3792" i="7"/>
  <c r="N1997" i="7"/>
  <c r="N1996" i="7"/>
  <c r="N1784" i="7"/>
  <c r="N875" i="7"/>
  <c r="N243" i="7"/>
  <c r="N180" i="7"/>
  <c r="N7664" i="7"/>
  <c r="N6879" i="7"/>
  <c r="N6867" i="7"/>
  <c r="N8304" i="7"/>
  <c r="N8159" i="7"/>
  <c r="N7083" i="7"/>
  <c r="N7082" i="7"/>
  <c r="N7081" i="7"/>
  <c r="N6612" i="7"/>
  <c r="N6271" i="7"/>
  <c r="N6231" i="7"/>
  <c r="N5547" i="7"/>
  <c r="N5288" i="7"/>
  <c r="N4543" i="7"/>
  <c r="N4066" i="7"/>
  <c r="N3057" i="7"/>
  <c r="N1789" i="7"/>
  <c r="N1532" i="7"/>
  <c r="N1531" i="7"/>
  <c r="N948" i="7"/>
  <c r="N947" i="7"/>
  <c r="N840" i="7"/>
  <c r="N839" i="7"/>
  <c r="N234" i="7"/>
  <c r="N9412" i="7"/>
  <c r="N9411" i="7"/>
  <c r="N9410" i="7"/>
  <c r="N9095" i="7"/>
  <c r="N9094" i="7"/>
  <c r="N8380" i="7"/>
  <c r="N7988" i="7"/>
  <c r="N7987" i="7"/>
  <c r="N7986" i="7"/>
  <c r="N7729" i="7"/>
  <c r="N7728" i="7"/>
  <c r="N7727" i="7"/>
  <c r="N7726" i="7"/>
  <c r="N7725" i="7"/>
  <c r="N7724" i="7"/>
  <c r="N7694" i="7"/>
  <c r="N7693" i="7"/>
  <c r="N7692" i="7"/>
  <c r="N7653" i="7"/>
  <c r="N7652" i="7"/>
  <c r="N4283" i="7"/>
  <c r="N4282" i="7"/>
  <c r="N4281" i="7"/>
  <c r="N4280" i="7"/>
  <c r="N4018" i="7"/>
  <c r="N4017" i="7"/>
  <c r="N4016" i="7"/>
  <c r="N2974" i="7"/>
  <c r="N2973" i="7"/>
  <c r="N2972" i="7"/>
  <c r="N715" i="7"/>
  <c r="N9328" i="7"/>
  <c r="N9215" i="7"/>
  <c r="N9070" i="7"/>
  <c r="N9053" i="7"/>
  <c r="N8930" i="7"/>
  <c r="N8882" i="7"/>
  <c r="N8881" i="7"/>
  <c r="N8833" i="7"/>
  <c r="N8832" i="7"/>
  <c r="N8797" i="7"/>
  <c r="N8633" i="7"/>
  <c r="N8602" i="7"/>
  <c r="N8540" i="7"/>
  <c r="N8539" i="7"/>
  <c r="N8024" i="7"/>
  <c r="N8023" i="7"/>
  <c r="N7999" i="7"/>
  <c r="N7998" i="7"/>
  <c r="N7997" i="7"/>
  <c r="N7778" i="7"/>
  <c r="N7698" i="7"/>
  <c r="N7558" i="7"/>
  <c r="N7557" i="7"/>
  <c r="N7556" i="7"/>
  <c r="N7416" i="7"/>
  <c r="N7373" i="7"/>
  <c r="N7372" i="7"/>
  <c r="N7364" i="7"/>
  <c r="N7148" i="7"/>
  <c r="N7147" i="7"/>
  <c r="N7146" i="7"/>
  <c r="N7145" i="7"/>
  <c r="N7133" i="7"/>
  <c r="N6835" i="7"/>
  <c r="N6721" i="7"/>
  <c r="N6720" i="7"/>
  <c r="N6570" i="7"/>
  <c r="N6569" i="7"/>
  <c r="N6511" i="7"/>
  <c r="N6275" i="7"/>
  <c r="N6182" i="7"/>
  <c r="N6181" i="7"/>
  <c r="N6180" i="7"/>
  <c r="N5960" i="7"/>
  <c r="N5845" i="7"/>
  <c r="N5807" i="7"/>
  <c r="N5806" i="7"/>
  <c r="N5527" i="7"/>
  <c r="N5526" i="7"/>
  <c r="N5440" i="7"/>
  <c r="N5439" i="7"/>
  <c r="N5260" i="7"/>
  <c r="N5259" i="7"/>
  <c r="N5258" i="7"/>
  <c r="N5043" i="7"/>
  <c r="N5042" i="7"/>
  <c r="N4939" i="7"/>
  <c r="N4938" i="7"/>
  <c r="N4816" i="7"/>
  <c r="N4673" i="7"/>
  <c r="N4440" i="7"/>
  <c r="N4439" i="7"/>
  <c r="N4384" i="7"/>
  <c r="N4340" i="7"/>
  <c r="N4141" i="7"/>
  <c r="N4136" i="7"/>
  <c r="N4135" i="7"/>
  <c r="N4134" i="7"/>
  <c r="N4117" i="7"/>
  <c r="N4116" i="7"/>
  <c r="N3968" i="7"/>
  <c r="N3944" i="7"/>
  <c r="N3929" i="7"/>
  <c r="N3432" i="7"/>
  <c r="N3431" i="7"/>
  <c r="N3332" i="7"/>
  <c r="N3331" i="7"/>
  <c r="N3199" i="7"/>
  <c r="N3122" i="7"/>
  <c r="N3121" i="7"/>
  <c r="N2986" i="7"/>
  <c r="N2708" i="7"/>
  <c r="N2659" i="7"/>
  <c r="N2607" i="7"/>
  <c r="N2398" i="7"/>
  <c r="N2373" i="7"/>
  <c r="N2223" i="7"/>
  <c r="N2222" i="7"/>
  <c r="N2221" i="7"/>
  <c r="N2025" i="7"/>
  <c r="N1752" i="7"/>
  <c r="N1579" i="7"/>
  <c r="N1578" i="7"/>
  <c r="N1429" i="7"/>
  <c r="N1428" i="7"/>
  <c r="N1158" i="7"/>
  <c r="N173" i="7"/>
  <c r="N172" i="7"/>
  <c r="N171" i="7"/>
  <c r="N170" i="7"/>
  <c r="N169" i="7"/>
  <c r="N8" i="7"/>
  <c r="N9434" i="7"/>
  <c r="N9433" i="7"/>
  <c r="N9432" i="7"/>
  <c r="N9395" i="7"/>
  <c r="N9394" i="7"/>
  <c r="N9393" i="7"/>
  <c r="N9392" i="7"/>
  <c r="N9274" i="7"/>
  <c r="N9273" i="7"/>
  <c r="N9272" i="7"/>
  <c r="N9247" i="7"/>
  <c r="N9087" i="7"/>
  <c r="N9086" i="7"/>
  <c r="N9085" i="7"/>
  <c r="N9084" i="7"/>
  <c r="N8967" i="7"/>
  <c r="N8966" i="7"/>
  <c r="N8965" i="7"/>
  <c r="N8830" i="7"/>
  <c r="N8829" i="7"/>
  <c r="N8806" i="7"/>
  <c r="N8802" i="7"/>
  <c r="N8801" i="7"/>
  <c r="N8655" i="7"/>
  <c r="N8654" i="7"/>
  <c r="N8653" i="7"/>
  <c r="N8617" i="7"/>
  <c r="N8616" i="7"/>
  <c r="N8439" i="7"/>
  <c r="N8301" i="7"/>
  <c r="N8290" i="7"/>
  <c r="N8286" i="7"/>
  <c r="N8285" i="7"/>
  <c r="N8249" i="7"/>
  <c r="N8248" i="7"/>
  <c r="N8247" i="7"/>
  <c r="N8246" i="7"/>
  <c r="N7948" i="7"/>
  <c r="N7947" i="7"/>
  <c r="N7946" i="7"/>
  <c r="N7852" i="7"/>
  <c r="N7851" i="7"/>
  <c r="N7850" i="7"/>
  <c r="N7759" i="7"/>
  <c r="N7522" i="7"/>
  <c r="N7386" i="7"/>
  <c r="N7385" i="7"/>
  <c r="N7384" i="7"/>
  <c r="N7363" i="7"/>
  <c r="N7362" i="7"/>
  <c r="N7361" i="7"/>
  <c r="N7360" i="7"/>
  <c r="N7264" i="7"/>
  <c r="N7152" i="7"/>
  <c r="N7062" i="7"/>
  <c r="N7061" i="7"/>
  <c r="N7060" i="7"/>
  <c r="N7059" i="7"/>
  <c r="N6712" i="7"/>
  <c r="N6504" i="7"/>
  <c r="N6503" i="7"/>
  <c r="N6469" i="7"/>
  <c r="N6448" i="7"/>
  <c r="N6407" i="7"/>
  <c r="N6225" i="7"/>
  <c r="N6224" i="7"/>
  <c r="N6223" i="7"/>
  <c r="N6222" i="7"/>
  <c r="N6221" i="7"/>
  <c r="N6081" i="7"/>
  <c r="N6080" i="7"/>
  <c r="N6079" i="7"/>
  <c r="N6078" i="7"/>
  <c r="N5970" i="7"/>
  <c r="N5969" i="7"/>
  <c r="N5968" i="7"/>
  <c r="N5967" i="7"/>
  <c r="N5966" i="7"/>
  <c r="N5920" i="7"/>
  <c r="N5919" i="7"/>
  <c r="N5918" i="7"/>
  <c r="N5916" i="7"/>
  <c r="N5915" i="7"/>
  <c r="N5848" i="7"/>
  <c r="N5832" i="7"/>
  <c r="N5831" i="7"/>
  <c r="N5787" i="7"/>
  <c r="N5786" i="7"/>
  <c r="N5785" i="7"/>
  <c r="N5683" i="7"/>
  <c r="N5678" i="7"/>
  <c r="N5677" i="7"/>
  <c r="N5676" i="7"/>
  <c r="N5675" i="7"/>
  <c r="N5674" i="7"/>
  <c r="N5673" i="7"/>
  <c r="N5671" i="7"/>
  <c r="N5645" i="7"/>
  <c r="N5644" i="7"/>
  <c r="N5643" i="7"/>
  <c r="N5641" i="7"/>
  <c r="N5560" i="7"/>
  <c r="N5559" i="7"/>
  <c r="N5558" i="7"/>
  <c r="N5483" i="7"/>
  <c r="N5482" i="7"/>
  <c r="N5481" i="7"/>
  <c r="N5480" i="7"/>
  <c r="N5377" i="7"/>
  <c r="N5376" i="7"/>
  <c r="N5375" i="7"/>
  <c r="N5374" i="7"/>
  <c r="N5373" i="7"/>
  <c r="N5319" i="7"/>
  <c r="N5318" i="7"/>
  <c r="N5312" i="7"/>
  <c r="N5311" i="7"/>
  <c r="N5310" i="7"/>
  <c r="N5285" i="7"/>
  <c r="N5112" i="7"/>
  <c r="N5109" i="7"/>
  <c r="N5002" i="7"/>
  <c r="N5001" i="7"/>
  <c r="N5000" i="7"/>
  <c r="N4999" i="7"/>
  <c r="N4953" i="7"/>
  <c r="N4952" i="7"/>
  <c r="N4951" i="7"/>
  <c r="N4908" i="7"/>
  <c r="N4902" i="7"/>
  <c r="N4901" i="7"/>
  <c r="N4751" i="7"/>
  <c r="N4750" i="7"/>
  <c r="N4749" i="7"/>
  <c r="N4748" i="7"/>
  <c r="N4747" i="7"/>
  <c r="N4469" i="7"/>
  <c r="N4467" i="7"/>
  <c r="N4465" i="7"/>
  <c r="N4425" i="7"/>
  <c r="N4424" i="7"/>
  <c r="N4423" i="7"/>
  <c r="N4385" i="7"/>
  <c r="N4382" i="7"/>
  <c r="N4367" i="7"/>
  <c r="N4366" i="7"/>
  <c r="N4365" i="7"/>
  <c r="N4364" i="7"/>
  <c r="N4260" i="7"/>
  <c r="N4257" i="7"/>
  <c r="N4148" i="7"/>
  <c r="N4147" i="7"/>
  <c r="N4113" i="7"/>
  <c r="N4112" i="7"/>
  <c r="N4058" i="7"/>
  <c r="N4057" i="7"/>
  <c r="N4056" i="7"/>
  <c r="N4055" i="7"/>
  <c r="N3987" i="7"/>
  <c r="N3763" i="7"/>
  <c r="N3762" i="7"/>
  <c r="N3722" i="7"/>
  <c r="N3721" i="7"/>
  <c r="N3693" i="7"/>
  <c r="N3692" i="7"/>
  <c r="N3691" i="7"/>
  <c r="N3690" i="7"/>
  <c r="N3689" i="7"/>
  <c r="N3688" i="7"/>
  <c r="N3687" i="7"/>
  <c r="N3686" i="7"/>
  <c r="N3685" i="7"/>
  <c r="N3684" i="7"/>
  <c r="N3506" i="7"/>
  <c r="N3348" i="7"/>
  <c r="N3347" i="7"/>
  <c r="N3346" i="7"/>
  <c r="N3345" i="7"/>
  <c r="N3214" i="7"/>
  <c r="N3213" i="7"/>
  <c r="N3152" i="7"/>
  <c r="N3151" i="7"/>
  <c r="N3150" i="7"/>
  <c r="N3039" i="7"/>
  <c r="N3038" i="7"/>
  <c r="N2935" i="7"/>
  <c r="N2829" i="7"/>
  <c r="N2828" i="7"/>
  <c r="N2827" i="7"/>
  <c r="N2810" i="7"/>
  <c r="N2809" i="7"/>
  <c r="N2808" i="7"/>
  <c r="N2795" i="7"/>
  <c r="N2792" i="7"/>
  <c r="N2742" i="7"/>
  <c r="N2741" i="7"/>
  <c r="N2740" i="7"/>
  <c r="N2739" i="7"/>
  <c r="N2519" i="7"/>
  <c r="N2518" i="7"/>
  <c r="N2517" i="7"/>
  <c r="N2516" i="7"/>
  <c r="N2515" i="7"/>
  <c r="N2389" i="7"/>
  <c r="N2388" i="7"/>
  <c r="N2387" i="7"/>
  <c r="N1837" i="7"/>
  <c r="N1836" i="7"/>
  <c r="N1373" i="7"/>
  <c r="N1372" i="7"/>
  <c r="N1371" i="7"/>
  <c r="N1370" i="7"/>
  <c r="N1369" i="7"/>
  <c r="N1368" i="7"/>
  <c r="N1367" i="7"/>
  <c r="N1366" i="7"/>
  <c r="N1353" i="7"/>
  <c r="N1352" i="7"/>
  <c r="N1351" i="7"/>
  <c r="N1350" i="7"/>
  <c r="N1295" i="7"/>
  <c r="N1294" i="7"/>
  <c r="N1293" i="7"/>
  <c r="N1292" i="7"/>
  <c r="N1155" i="7"/>
  <c r="N1154" i="7"/>
  <c r="N1136" i="7"/>
  <c r="N1133" i="7"/>
  <c r="N1037" i="7"/>
  <c r="N597" i="7"/>
  <c r="N328" i="7"/>
  <c r="N327" i="7"/>
  <c r="N326" i="7"/>
  <c r="N325" i="7"/>
  <c r="N254" i="7"/>
  <c r="N253" i="7"/>
  <c r="N252" i="7"/>
  <c r="N100" i="7"/>
  <c r="N99" i="7"/>
  <c r="N98" i="7"/>
  <c r="N57" i="7"/>
  <c r="N56" i="7"/>
  <c r="N55" i="7"/>
  <c r="N9130" i="7"/>
  <c r="N9129" i="7"/>
  <c r="N9128" i="7"/>
  <c r="N9127" i="7"/>
  <c r="N9126" i="7"/>
  <c r="N9125" i="7"/>
  <c r="N9124" i="7"/>
  <c r="N9123" i="7"/>
  <c r="N9122" i="7"/>
  <c r="N9045" i="7"/>
  <c r="N9044" i="7"/>
  <c r="N9043" i="7"/>
  <c r="N8903" i="7"/>
  <c r="N8902" i="7"/>
  <c r="N8901" i="7"/>
  <c r="N8900" i="7"/>
  <c r="N8899" i="7"/>
  <c r="N8898" i="7"/>
  <c r="N8897" i="7"/>
  <c r="N8896" i="7"/>
  <c r="N8831" i="7"/>
  <c r="N8730" i="7"/>
  <c r="N8597" i="7"/>
  <c r="N8596" i="7"/>
  <c r="N8595" i="7"/>
  <c r="N8594" i="7"/>
  <c r="N8593" i="7"/>
  <c r="N8592" i="7"/>
  <c r="N8591" i="7"/>
  <c r="N8590" i="7"/>
  <c r="N8527" i="7"/>
  <c r="N8526" i="7"/>
  <c r="N8525" i="7"/>
  <c r="N8524" i="7"/>
  <c r="N8445" i="7"/>
  <c r="N8295" i="7"/>
  <c r="N8230" i="7"/>
  <c r="N8229" i="7"/>
  <c r="N8228" i="7"/>
  <c r="N7984" i="7"/>
  <c r="N7983" i="7"/>
  <c r="N7982" i="7"/>
  <c r="N7981" i="7"/>
  <c r="N7980" i="7"/>
  <c r="N7979" i="7"/>
  <c r="N7978" i="7"/>
  <c r="N7977" i="7"/>
  <c r="N7976" i="7"/>
  <c r="N7936" i="7"/>
  <c r="N7935" i="7"/>
  <c r="N7723" i="7"/>
  <c r="N7651" i="7"/>
  <c r="N7650" i="7"/>
  <c r="N7649" i="7"/>
  <c r="N7636" i="7"/>
  <c r="N7635" i="7"/>
  <c r="N7634" i="7"/>
  <c r="N7622" i="7"/>
  <c r="N7511" i="7"/>
  <c r="N7510" i="7"/>
  <c r="N7509" i="7"/>
  <c r="N7508" i="7"/>
  <c r="N7507" i="7"/>
  <c r="N7400" i="7"/>
  <c r="N7193" i="7"/>
  <c r="N7192" i="7"/>
  <c r="N7191" i="7"/>
  <c r="N7182" i="7"/>
  <c r="N7181" i="7"/>
  <c r="N7171" i="7"/>
  <c r="N7168" i="7"/>
  <c r="N7167" i="7"/>
  <c r="N7166" i="7"/>
  <c r="N7165" i="7"/>
  <c r="N7164" i="7"/>
  <c r="N6922" i="7"/>
  <c r="N6920" i="7"/>
  <c r="N6919" i="7"/>
  <c r="N6850" i="7"/>
  <c r="N6849" i="7"/>
  <c r="N6709" i="7"/>
  <c r="N6557" i="7"/>
  <c r="N6556" i="7"/>
  <c r="N6555" i="7"/>
  <c r="N6386" i="7"/>
  <c r="N6363" i="7"/>
  <c r="N6165" i="7"/>
  <c r="N6164" i="7"/>
  <c r="N6163" i="7"/>
  <c r="N6162" i="7"/>
  <c r="N6160" i="7"/>
  <c r="N6158" i="7"/>
  <c r="N6157" i="7"/>
  <c r="N5930" i="7"/>
  <c r="N5929" i="7"/>
  <c r="N5923" i="7"/>
  <c r="N5922" i="7"/>
  <c r="N5914" i="7"/>
  <c r="N5912" i="7"/>
  <c r="N5871" i="7"/>
  <c r="N5850" i="7"/>
  <c r="N5800" i="7"/>
  <c r="N5799" i="7"/>
  <c r="N5797" i="7"/>
  <c r="N5796" i="7"/>
  <c r="N5795" i="7"/>
  <c r="N5782" i="7"/>
  <c r="N5781" i="7"/>
  <c r="N5612" i="7"/>
  <c r="N5583" i="7"/>
  <c r="N5582" i="7"/>
  <c r="N5543" i="7"/>
  <c r="N5542" i="7"/>
  <c r="N5541" i="7"/>
  <c r="N5540" i="7"/>
  <c r="N5425" i="7"/>
  <c r="N5424" i="7"/>
  <c r="N5422" i="7"/>
  <c r="N5421" i="7"/>
  <c r="N5327" i="7"/>
  <c r="N5326" i="7"/>
  <c r="N5325" i="7"/>
  <c r="N5324" i="7"/>
  <c r="N5323" i="7"/>
  <c r="N5322" i="7"/>
  <c r="N5243" i="7"/>
  <c r="N5242" i="7"/>
  <c r="N5241" i="7"/>
  <c r="N5240" i="7"/>
  <c r="N5239" i="7"/>
  <c r="N5238" i="7"/>
  <c r="N5237" i="7"/>
  <c r="N5236" i="7"/>
  <c r="N5234" i="7"/>
  <c r="N5233" i="7"/>
  <c r="N5232" i="7"/>
  <c r="N5231" i="7"/>
  <c r="N5230" i="7"/>
  <c r="N5120" i="7"/>
  <c r="N5119" i="7"/>
  <c r="N5117" i="7"/>
  <c r="N5115" i="7"/>
  <c r="N5114" i="7"/>
  <c r="N5113" i="7"/>
  <c r="N4968" i="7"/>
  <c r="N4967" i="7"/>
  <c r="N4966" i="7"/>
  <c r="N4965" i="7"/>
  <c r="N4954" i="7"/>
  <c r="N4919" i="7"/>
  <c r="N4834" i="7"/>
  <c r="N4833" i="7"/>
  <c r="N4832" i="7"/>
  <c r="N4821" i="7"/>
  <c r="N4813" i="7"/>
  <c r="N4681" i="7"/>
  <c r="N4680" i="7"/>
  <c r="N4679" i="7"/>
  <c r="N4678" i="7"/>
  <c r="N4677" i="7"/>
  <c r="N4676" i="7"/>
  <c r="N4675" i="7"/>
  <c r="N4571" i="7"/>
  <c r="N4570" i="7"/>
  <c r="N4569" i="7"/>
  <c r="N4568" i="7"/>
  <c r="N4567" i="7"/>
  <c r="N4548" i="7"/>
  <c r="N4547" i="7"/>
  <c r="N4546" i="7"/>
  <c r="N4545" i="7"/>
  <c r="N4421" i="7"/>
  <c r="N4356" i="7"/>
  <c r="N4337" i="7"/>
  <c r="N4336" i="7"/>
  <c r="N4335" i="7"/>
  <c r="N4279" i="7"/>
  <c r="N4278" i="7"/>
  <c r="N4247" i="7"/>
  <c r="N4246" i="7"/>
  <c r="N4244" i="7"/>
  <c r="N4243" i="7"/>
  <c r="N4182" i="7"/>
  <c r="N4179" i="7"/>
  <c r="N4178" i="7"/>
  <c r="N4177" i="7"/>
  <c r="N4176" i="7"/>
  <c r="N4126" i="7"/>
  <c r="N4125" i="7"/>
  <c r="N4124" i="7"/>
  <c r="N4123" i="7"/>
  <c r="N4122" i="7"/>
  <c r="N4121" i="7"/>
  <c r="N4108" i="7"/>
  <c r="N4107" i="7"/>
  <c r="N4106" i="7"/>
  <c r="N4015" i="7"/>
  <c r="N4014" i="7"/>
  <c r="N4013" i="7"/>
  <c r="N3962" i="7"/>
  <c r="N3961" i="7"/>
  <c r="N3960" i="7"/>
  <c r="N3959" i="7"/>
  <c r="N3958" i="7"/>
  <c r="N3957" i="7"/>
  <c r="N3786" i="7"/>
  <c r="N3785" i="7"/>
  <c r="N3784" i="7"/>
  <c r="N3783" i="7"/>
  <c r="N3782" i="7"/>
  <c r="N3781" i="7"/>
  <c r="N3642" i="7"/>
  <c r="N3641" i="7"/>
  <c r="N3640" i="7"/>
  <c r="N3639" i="7"/>
  <c r="N3638" i="7"/>
  <c r="N3637" i="7"/>
  <c r="N3636" i="7"/>
  <c r="N3522" i="7"/>
  <c r="N3521" i="7"/>
  <c r="N3520" i="7"/>
  <c r="N3237" i="7"/>
  <c r="N3236" i="7"/>
  <c r="N3235" i="7"/>
  <c r="N3234" i="7"/>
  <c r="N3233" i="7"/>
  <c r="N3232" i="7"/>
  <c r="N3172" i="7"/>
  <c r="N3171" i="7"/>
  <c r="N3105" i="7"/>
  <c r="N3104" i="7"/>
  <c r="N3103" i="7"/>
  <c r="N3102" i="7"/>
  <c r="N2966" i="7"/>
  <c r="N2965" i="7"/>
  <c r="N2964" i="7"/>
  <c r="N2963" i="7"/>
  <c r="N2962" i="7"/>
  <c r="N2961" i="7"/>
  <c r="N2890" i="7"/>
  <c r="N2474" i="7"/>
  <c r="N2473" i="7"/>
  <c r="N2472" i="7"/>
  <c r="N2471" i="7"/>
  <c r="N2470" i="7"/>
  <c r="N2469" i="7"/>
  <c r="N2368" i="7"/>
  <c r="N2367" i="7"/>
  <c r="N2366" i="7"/>
  <c r="N1850" i="7"/>
  <c r="N1849" i="7"/>
  <c r="N1848" i="7"/>
  <c r="N1847" i="7"/>
  <c r="N1779" i="7"/>
  <c r="N1777" i="7"/>
  <c r="N1695" i="7"/>
  <c r="N1694" i="7"/>
  <c r="N1387" i="7"/>
  <c r="N1386" i="7"/>
  <c r="N1385" i="7"/>
  <c r="N1157" i="7"/>
  <c r="N1146" i="7"/>
  <c r="N1145" i="7"/>
  <c r="N1140" i="7"/>
  <c r="N1135" i="7"/>
  <c r="N1134" i="7"/>
  <c r="N1126" i="7"/>
  <c r="N1124" i="7"/>
  <c r="N1123" i="7"/>
  <c r="N1075" i="7"/>
  <c r="N1074" i="7"/>
  <c r="N1072" i="7"/>
  <c r="N1070" i="7"/>
  <c r="N1069" i="7"/>
  <c r="N1068" i="7"/>
  <c r="N1067" i="7"/>
  <c r="N1063" i="7"/>
  <c r="N1057" i="7"/>
  <c r="N1009" i="7"/>
  <c r="N1008" i="7"/>
  <c r="N1007" i="7"/>
  <c r="N1006" i="7"/>
  <c r="N1005" i="7"/>
  <c r="N970" i="7"/>
  <c r="N969" i="7"/>
  <c r="N968" i="7"/>
  <c r="N967" i="7"/>
  <c r="N966" i="7"/>
  <c r="N965" i="7"/>
  <c r="N960" i="7"/>
  <c r="N959" i="7"/>
  <c r="N958" i="7"/>
  <c r="N957" i="7"/>
  <c r="N940" i="7"/>
  <c r="N939" i="7"/>
  <c r="N938" i="7"/>
  <c r="N937" i="7"/>
  <c r="N936" i="7"/>
  <c r="N935" i="7"/>
  <c r="N930" i="7"/>
  <c r="N929" i="7"/>
  <c r="N866" i="7"/>
  <c r="N865" i="7"/>
  <c r="N864" i="7"/>
  <c r="N863" i="7"/>
  <c r="N594" i="7"/>
  <c r="N518" i="7"/>
  <c r="N517" i="7"/>
  <c r="N516" i="7"/>
  <c r="N293" i="7"/>
  <c r="N292" i="7"/>
  <c r="N291" i="7"/>
  <c r="N290" i="7"/>
  <c r="N289" i="7"/>
  <c r="N288" i="7"/>
  <c r="N287" i="7"/>
  <c r="N262" i="7"/>
  <c r="N261" i="7"/>
  <c r="N259" i="7"/>
  <c r="N258" i="7"/>
  <c r="N257" i="7"/>
  <c r="N27" i="7"/>
  <c r="N26" i="7"/>
  <c r="N25" i="7"/>
  <c r="N24" i="7"/>
  <c r="N23" i="7"/>
  <c r="N22" i="7"/>
  <c r="N21" i="7"/>
  <c r="N9299" i="7"/>
  <c r="N8871" i="7"/>
  <c r="N8756" i="7"/>
  <c r="N8755" i="7"/>
  <c r="N8753" i="7"/>
  <c r="N8752" i="7"/>
  <c r="N8625" i="7"/>
  <c r="N8291" i="7"/>
  <c r="N8166" i="7"/>
  <c r="N8165" i="7"/>
  <c r="N7967" i="7"/>
  <c r="N7966" i="7"/>
  <c r="N7965" i="7"/>
  <c r="N7964" i="7"/>
  <c r="N7963" i="7"/>
  <c r="N7818" i="7"/>
  <c r="N6609" i="7"/>
  <c r="N5658" i="7"/>
  <c r="N4133" i="7"/>
  <c r="N3164" i="7"/>
  <c r="N2928" i="7"/>
  <c r="N1936" i="7"/>
  <c r="N1798" i="7"/>
  <c r="N1797" i="7"/>
  <c r="N1205" i="7"/>
  <c r="N1204" i="7"/>
  <c r="N1131" i="7"/>
  <c r="N956" i="7"/>
  <c r="N955" i="7"/>
  <c r="N831" i="7"/>
  <c r="N829" i="7"/>
  <c r="N581" i="7"/>
  <c r="N580" i="7"/>
  <c r="N575" i="7"/>
  <c r="N573" i="7"/>
  <c r="N571" i="7"/>
  <c r="N570" i="7"/>
  <c r="N569" i="7"/>
  <c r="N568" i="7"/>
  <c r="N443" i="7"/>
  <c r="N6011" i="7"/>
  <c r="N6010" i="7"/>
  <c r="N3711" i="7"/>
  <c r="N2432" i="7"/>
  <c r="N1710" i="7"/>
  <c r="N1390" i="7"/>
  <c r="N414" i="7"/>
  <c r="N9040" i="7"/>
  <c r="N9039" i="7"/>
  <c r="N8714" i="7"/>
  <c r="N6834" i="7"/>
  <c r="N4818" i="7"/>
  <c r="N4413" i="7"/>
  <c r="N4412" i="7"/>
  <c r="N2496" i="7"/>
  <c r="N2495" i="7"/>
  <c r="N2494" i="7"/>
  <c r="N8621" i="7"/>
  <c r="N8620" i="7"/>
  <c r="N8149" i="7"/>
  <c r="N8148" i="7"/>
  <c r="N8147" i="7"/>
  <c r="N8146" i="7"/>
  <c r="N3382" i="7"/>
  <c r="N3381" i="7"/>
  <c r="N3380" i="7"/>
  <c r="N3379" i="7"/>
  <c r="N3230" i="7"/>
  <c r="N3733" i="7"/>
  <c r="N3732" i="7"/>
  <c r="N3731" i="7"/>
  <c r="N3221" i="7"/>
  <c r="N2246" i="7"/>
  <c r="N2245" i="7"/>
  <c r="N2244" i="7"/>
  <c r="N2243" i="7"/>
  <c r="N2242" i="7"/>
  <c r="N2241" i="7"/>
  <c r="N2240" i="7"/>
  <c r="N2239" i="7"/>
  <c r="N2238" i="7"/>
  <c r="N2237" i="7"/>
  <c r="N2236" i="7"/>
  <c r="N2235" i="7"/>
  <c r="N2234" i="7"/>
  <c r="N2233" i="7"/>
  <c r="N2232" i="7"/>
  <c r="N2231" i="7"/>
  <c r="N2230" i="7"/>
  <c r="N9381" i="7"/>
  <c r="N8566" i="7"/>
  <c r="N7949" i="7"/>
  <c r="N6470" i="7"/>
  <c r="N6375" i="7"/>
  <c r="N5748" i="7"/>
  <c r="N5649" i="7"/>
  <c r="N5502" i="7"/>
  <c r="N5393" i="7"/>
  <c r="N4263" i="7"/>
  <c r="N4063" i="7"/>
  <c r="N2693" i="7"/>
  <c r="N2641" i="7"/>
  <c r="N2585" i="7"/>
  <c r="N2525" i="7"/>
  <c r="N1932" i="7"/>
  <c r="N1383" i="7"/>
  <c r="N442" i="7"/>
  <c r="N332" i="7"/>
  <c r="N8381" i="7"/>
  <c r="N8372" i="7"/>
  <c r="N8008" i="7"/>
  <c r="N8007" i="7"/>
  <c r="N6775" i="7"/>
  <c r="N5431" i="7"/>
  <c r="N4976" i="7"/>
  <c r="N3458" i="7"/>
  <c r="N2206" i="7"/>
  <c r="N2089" i="7"/>
  <c r="N1988" i="7"/>
  <c r="N1860" i="7"/>
  <c r="N1252" i="7"/>
  <c r="N29" i="7"/>
  <c r="N9159" i="7"/>
  <c r="N8936" i="7"/>
  <c r="N8725" i="7"/>
  <c r="N8548" i="7"/>
  <c r="N8310" i="7"/>
  <c r="N8048" i="7"/>
  <c r="N8047" i="7"/>
  <c r="N6260" i="7"/>
  <c r="N4291" i="7"/>
  <c r="N4188" i="7"/>
  <c r="N3543" i="7"/>
  <c r="N3542" i="7"/>
  <c r="N3000" i="7"/>
  <c r="N2996" i="7"/>
  <c r="N1444" i="7"/>
  <c r="N1443" i="7"/>
  <c r="N1442" i="7"/>
  <c r="N9417" i="7"/>
  <c r="N9312" i="7"/>
  <c r="N9054" i="7"/>
  <c r="N8825" i="7"/>
  <c r="N8824" i="7"/>
  <c r="N8722" i="7"/>
  <c r="N8702" i="7"/>
  <c r="N8701" i="7"/>
  <c r="N8604" i="7"/>
  <c r="N8549" i="7"/>
  <c r="N8501" i="7"/>
  <c r="N8045" i="7"/>
  <c r="N8044" i="7"/>
  <c r="N7857" i="7"/>
  <c r="N7856" i="7"/>
  <c r="N7744" i="7"/>
  <c r="N7545" i="7"/>
  <c r="N7544" i="7"/>
  <c r="N7493" i="7"/>
  <c r="N7440" i="7"/>
  <c r="N7151" i="7"/>
  <c r="N6972" i="7"/>
  <c r="N6968" i="7"/>
  <c r="N6967" i="7"/>
  <c r="N6782" i="7"/>
  <c r="N6711" i="7"/>
  <c r="N6577" i="7"/>
  <c r="N6515" i="7"/>
  <c r="N5761" i="7"/>
  <c r="N5449" i="7"/>
  <c r="N5352" i="7"/>
  <c r="N5351" i="7"/>
  <c r="N5267" i="7"/>
  <c r="N5133" i="7"/>
  <c r="N5132" i="7"/>
  <c r="N5046" i="7"/>
  <c r="N4984" i="7"/>
  <c r="N4861" i="7"/>
  <c r="N4723" i="7"/>
  <c r="N4445" i="7"/>
  <c r="N4339" i="7"/>
  <c r="N4293" i="7"/>
  <c r="N4292" i="7"/>
  <c r="N4249" i="7"/>
  <c r="N4119" i="7"/>
  <c r="N4114" i="7"/>
  <c r="N4027" i="7"/>
  <c r="N3969" i="7"/>
  <c r="N3559" i="7"/>
  <c r="N3555" i="7"/>
  <c r="N3439" i="7"/>
  <c r="N3438" i="7"/>
  <c r="N3354" i="7"/>
  <c r="N2998" i="7"/>
  <c r="N2660" i="7"/>
  <c r="N2608" i="7"/>
  <c r="N2376" i="7"/>
  <c r="N2249" i="7"/>
  <c r="N2248" i="7"/>
  <c r="N2096" i="7"/>
  <c r="N1720" i="7"/>
  <c r="N1607" i="7"/>
  <c r="N1446" i="7"/>
  <c r="N1445" i="7"/>
  <c r="N1332" i="7"/>
  <c r="N1331" i="7"/>
  <c r="N1095" i="7"/>
  <c r="N1094" i="7"/>
  <c r="N877" i="7"/>
  <c r="N737" i="7"/>
  <c r="N637" i="7"/>
  <c r="N636" i="7"/>
  <c r="N635" i="7"/>
  <c r="N634" i="7"/>
  <c r="N595" i="7"/>
  <c r="N509" i="7"/>
  <c r="N40" i="7"/>
  <c r="N8010" i="7"/>
  <c r="N8009" i="7"/>
  <c r="N6776" i="7"/>
  <c r="N6559" i="7"/>
  <c r="N6170" i="7"/>
  <c r="N5432" i="7"/>
  <c r="N3459" i="7"/>
  <c r="N2207" i="7"/>
  <c r="N2090" i="7"/>
  <c r="N1861" i="7"/>
  <c r="N1253" i="7"/>
  <c r="N30" i="7"/>
  <c r="N9402" i="7"/>
  <c r="N9401" i="7"/>
  <c r="N9400" i="7"/>
  <c r="N9370" i="7"/>
  <c r="N9251" i="7"/>
  <c r="N9099" i="7"/>
  <c r="N9098" i="7"/>
  <c r="N9097" i="7"/>
  <c r="N9096" i="7"/>
  <c r="N9093" i="7"/>
  <c r="N8862" i="7"/>
  <c r="N8861" i="7"/>
  <c r="N8859" i="7"/>
  <c r="N8858" i="7"/>
  <c r="N8857" i="7"/>
  <c r="N8785" i="7"/>
  <c r="N8768" i="7"/>
  <c r="N8744" i="7"/>
  <c r="N8743" i="7"/>
  <c r="N8742" i="7"/>
  <c r="N8741" i="7"/>
  <c r="N8690" i="7"/>
  <c r="N8689" i="7"/>
  <c r="N8688" i="7"/>
  <c r="N8687" i="7"/>
  <c r="N8686" i="7"/>
  <c r="N8089" i="7"/>
  <c r="N8088" i="7"/>
  <c r="N8087" i="7"/>
  <c r="N8086" i="7"/>
  <c r="N8085" i="7"/>
  <c r="N7927" i="7"/>
  <c r="N7926" i="7"/>
  <c r="N7925" i="7"/>
  <c r="N7924" i="7"/>
  <c r="N7923" i="7"/>
  <c r="N7922" i="7"/>
  <c r="N7642" i="7"/>
  <c r="N7641" i="7"/>
  <c r="N7640" i="7"/>
  <c r="N7639" i="7"/>
  <c r="N7638" i="7"/>
  <c r="N7161" i="7"/>
  <c r="N7160" i="7"/>
  <c r="N7159" i="7"/>
  <c r="N7036" i="7"/>
  <c r="N7035" i="7"/>
  <c r="N7034" i="7"/>
  <c r="N7033" i="7"/>
  <c r="N6742" i="7"/>
  <c r="N6501" i="7"/>
  <c r="N6500" i="7"/>
  <c r="N6499" i="7"/>
  <c r="N6498" i="7"/>
  <c r="N6487" i="7"/>
  <c r="N6486" i="7"/>
  <c r="N6485" i="7"/>
  <c r="N6484" i="7"/>
  <c r="N6483" i="7"/>
  <c r="N6480" i="7"/>
  <c r="N6479" i="7"/>
  <c r="N6475" i="7"/>
  <c r="N6404" i="7"/>
  <c r="N6201" i="7"/>
  <c r="N6150" i="7"/>
  <c r="N5367" i="7"/>
  <c r="N5366" i="7"/>
  <c r="N5365" i="7"/>
  <c r="N4944" i="7"/>
  <c r="N4943" i="7"/>
  <c r="N4942" i="7"/>
  <c r="N4941" i="7"/>
  <c r="N4600" i="7"/>
  <c r="N4599" i="7"/>
  <c r="N4598" i="7"/>
  <c r="N4597" i="7"/>
  <c r="N4531" i="7"/>
  <c r="N4530" i="7"/>
  <c r="N4305" i="7"/>
  <c r="N4304" i="7"/>
  <c r="N4299" i="7"/>
  <c r="N4254" i="7"/>
  <c r="N4253" i="7"/>
  <c r="N4252" i="7"/>
  <c r="N4228" i="7"/>
  <c r="N4227" i="7"/>
  <c r="N4226" i="7"/>
  <c r="N4225" i="7"/>
  <c r="N4224" i="7"/>
  <c r="N4220" i="7"/>
  <c r="N4219" i="7"/>
  <c r="N4218" i="7"/>
  <c r="N4217" i="7"/>
  <c r="N4216" i="7"/>
  <c r="N3702" i="7"/>
  <c r="N3372" i="7"/>
  <c r="N3017" i="7"/>
  <c r="N3016" i="7"/>
  <c r="N3015" i="7"/>
  <c r="N3014" i="7"/>
  <c r="N2884" i="7"/>
  <c r="N2883" i="7"/>
  <c r="N2882" i="7"/>
  <c r="N2881" i="7"/>
  <c r="N2880" i="7"/>
  <c r="N2723" i="7"/>
  <c r="N2722" i="7"/>
  <c r="N2721" i="7"/>
  <c r="N2720" i="7"/>
  <c r="N2502" i="7"/>
  <c r="N2159" i="7"/>
  <c r="N2158" i="7"/>
  <c r="N2157" i="7"/>
  <c r="N2156" i="7"/>
  <c r="N2005" i="7"/>
  <c r="N2004" i="7"/>
  <c r="N2003" i="7"/>
  <c r="N1895" i="7"/>
  <c r="N1894" i="7"/>
  <c r="N1893" i="7"/>
  <c r="N1892" i="7"/>
  <c r="N1773" i="7"/>
  <c r="N1772" i="7"/>
  <c r="N1771" i="7"/>
  <c r="N1770" i="7"/>
  <c r="N1769" i="7"/>
  <c r="N1474" i="7"/>
  <c r="N1473" i="7"/>
  <c r="N1472" i="7"/>
  <c r="N1471" i="7"/>
  <c r="N1470" i="7"/>
  <c r="N1284" i="7"/>
  <c r="N1283" i="7"/>
  <c r="N1282" i="7"/>
  <c r="N1281" i="7"/>
  <c r="N1280" i="7"/>
  <c r="N1279" i="7"/>
  <c r="N1278" i="7"/>
  <c r="N770" i="7"/>
  <c r="N769" i="7"/>
  <c r="N768" i="7"/>
  <c r="N767" i="7"/>
  <c r="N766" i="7"/>
  <c r="N765" i="7"/>
  <c r="N764" i="7"/>
  <c r="N763" i="7"/>
  <c r="N762" i="7"/>
  <c r="N684" i="7"/>
  <c r="N683" i="7"/>
  <c r="N682" i="7"/>
  <c r="N611" i="7"/>
  <c r="N610" i="7"/>
  <c r="N609" i="7"/>
  <c r="N608" i="7"/>
  <c r="N607" i="7"/>
  <c r="N606" i="7"/>
  <c r="N495" i="7"/>
  <c r="N493" i="7"/>
  <c r="N492" i="7"/>
  <c r="N491" i="7"/>
  <c r="N286" i="7"/>
  <c r="N283" i="7"/>
  <c r="N249" i="7"/>
  <c r="N248" i="7"/>
  <c r="N138" i="7"/>
  <c r="N134" i="7"/>
  <c r="N132" i="7"/>
  <c r="N128" i="7"/>
  <c r="N127" i="7"/>
  <c r="N126" i="7"/>
  <c r="N9284" i="7"/>
  <c r="N9226" i="7"/>
  <c r="N9035" i="7"/>
  <c r="N8843" i="7"/>
  <c r="N8842" i="7"/>
  <c r="N8712" i="7"/>
  <c r="N8497" i="7"/>
  <c r="N8458" i="7"/>
  <c r="N8033" i="7"/>
  <c r="N8032" i="7"/>
  <c r="N7793" i="7"/>
  <c r="N6573" i="7"/>
  <c r="N6184" i="7"/>
  <c r="N5783" i="7"/>
  <c r="N5698" i="7"/>
  <c r="N5464" i="7"/>
  <c r="N5446" i="7"/>
  <c r="N5443" i="7"/>
  <c r="N5217" i="7"/>
  <c r="N4442" i="7"/>
  <c r="N3879" i="7"/>
  <c r="N3799" i="7"/>
  <c r="N3756" i="7"/>
  <c r="N3553" i="7"/>
  <c r="N3526" i="7"/>
  <c r="N3373" i="7"/>
  <c r="N3192" i="7"/>
  <c r="N3092" i="7"/>
  <c r="N2375" i="7"/>
  <c r="N2226" i="7"/>
  <c r="N2134" i="7"/>
  <c r="N1606" i="7"/>
  <c r="N1232" i="7"/>
  <c r="N848" i="7"/>
  <c r="N735" i="7"/>
  <c r="N708" i="7"/>
  <c r="N707" i="7"/>
  <c r="N706" i="7"/>
  <c r="N705" i="7"/>
  <c r="N649" i="7"/>
  <c r="N593" i="7"/>
  <c r="N531" i="7"/>
  <c r="N510" i="7"/>
  <c r="N413" i="7"/>
  <c r="N50" i="7"/>
  <c r="N9463" i="7"/>
  <c r="N9462" i="7"/>
  <c r="N9461" i="7"/>
  <c r="N9339" i="7"/>
  <c r="N9338" i="7"/>
  <c r="N9307" i="7"/>
  <c r="N9291" i="7"/>
  <c r="N9290" i="7"/>
  <c r="N9289" i="7"/>
  <c r="N9181" i="7"/>
  <c r="N9180" i="7"/>
  <c r="N9179" i="7"/>
  <c r="N9178" i="7"/>
  <c r="N9177" i="7"/>
  <c r="N9104" i="7"/>
  <c r="N9103" i="7"/>
  <c r="N9049" i="7"/>
  <c r="N9048" i="7"/>
  <c r="N9047" i="7"/>
  <c r="N9046" i="7"/>
  <c r="N8964" i="7"/>
  <c r="N8963" i="7"/>
  <c r="N8962" i="7"/>
  <c r="N8961" i="7"/>
  <c r="N8679" i="7"/>
  <c r="N8560" i="7"/>
  <c r="N8559" i="7"/>
  <c r="N8558" i="7"/>
  <c r="N8362" i="7"/>
  <c r="N8361" i="7"/>
  <c r="N8360" i="7"/>
  <c r="N7758" i="7"/>
  <c r="N7672" i="7"/>
  <c r="N7671" i="7"/>
  <c r="N7670" i="7"/>
  <c r="N7669" i="7"/>
  <c r="N7607" i="7"/>
  <c r="N7606" i="7"/>
  <c r="N7605" i="7"/>
  <c r="N7526" i="7"/>
  <c r="N7525" i="7"/>
  <c r="N7524" i="7"/>
  <c r="N7497" i="7"/>
  <c r="N7496" i="7"/>
  <c r="N7495" i="7"/>
  <c r="N6678" i="7"/>
  <c r="N6430" i="7"/>
  <c r="N6429" i="7"/>
  <c r="N6428" i="7"/>
  <c r="N6427" i="7"/>
  <c r="N6268" i="7"/>
  <c r="N6267" i="7"/>
  <c r="N6220" i="7"/>
  <c r="N6219" i="7"/>
  <c r="N6218" i="7"/>
  <c r="N6217" i="7"/>
  <c r="N6086" i="7"/>
  <c r="N6085" i="7"/>
  <c r="N6084" i="7"/>
  <c r="N6083" i="7"/>
  <c r="N6082" i="7"/>
  <c r="N5980" i="7"/>
  <c r="N5953" i="7"/>
  <c r="N5952" i="7"/>
  <c r="N5951" i="7"/>
  <c r="N5950" i="7"/>
  <c r="N5729" i="7"/>
  <c r="N5702" i="7"/>
  <c r="N5691" i="7"/>
  <c r="N5690" i="7"/>
  <c r="N5688" i="7"/>
  <c r="N5640" i="7"/>
  <c r="N5639" i="7"/>
  <c r="N5638" i="7"/>
  <c r="N5557" i="7"/>
  <c r="N5556" i="7"/>
  <c r="N5555" i="7"/>
  <c r="N5554" i="7"/>
  <c r="N5553" i="7"/>
  <c r="N5479" i="7"/>
  <c r="N5478" i="7"/>
  <c r="N5477" i="7"/>
  <c r="N5476" i="7"/>
  <c r="N5475" i="7"/>
  <c r="N5474" i="7"/>
  <c r="N5473" i="7"/>
  <c r="N5284" i="7"/>
  <c r="N5283" i="7"/>
  <c r="N5161" i="7"/>
  <c r="N5160" i="7"/>
  <c r="N5159" i="7"/>
  <c r="N5158" i="7"/>
  <c r="N5157" i="7"/>
  <c r="N5108" i="7"/>
  <c r="N4746" i="7"/>
  <c r="N4745" i="7"/>
  <c r="N4744" i="7"/>
  <c r="N4743" i="7"/>
  <c r="N4621" i="7"/>
  <c r="N4620" i="7"/>
  <c r="N4619" i="7"/>
  <c r="N4618" i="7"/>
  <c r="N4617" i="7"/>
  <c r="N4523" i="7"/>
  <c r="N4522" i="7"/>
  <c r="N4464" i="7"/>
  <c r="N4463" i="7"/>
  <c r="N4462" i="7"/>
  <c r="N4461" i="7"/>
  <c r="N4460" i="7"/>
  <c r="N4311" i="7"/>
  <c r="N4267" i="7"/>
  <c r="N4266" i="7"/>
  <c r="N4209" i="7"/>
  <c r="N4208" i="7"/>
  <c r="N4207" i="7"/>
  <c r="N4206" i="7"/>
  <c r="N4146" i="7"/>
  <c r="N4054" i="7"/>
  <c r="N4053" i="7"/>
  <c r="N4052" i="7"/>
  <c r="N4051" i="7"/>
  <c r="N3986" i="7"/>
  <c r="N3985" i="7"/>
  <c r="N3984" i="7"/>
  <c r="N3807" i="7"/>
  <c r="N3806" i="7"/>
  <c r="N3805" i="7"/>
  <c r="N3804" i="7"/>
  <c r="N3479" i="7"/>
  <c r="N3478" i="7"/>
  <c r="N3477" i="7"/>
  <c r="N3476" i="7"/>
  <c r="N3475" i="7"/>
  <c r="N3294" i="7"/>
  <c r="N3293" i="7"/>
  <c r="N3292" i="7"/>
  <c r="N3209" i="7"/>
  <c r="N3208" i="7"/>
  <c r="N3183" i="7"/>
  <c r="N3149" i="7"/>
  <c r="N3148" i="7"/>
  <c r="N3147" i="7"/>
  <c r="N3146" i="7"/>
  <c r="N3145" i="7"/>
  <c r="N3037" i="7"/>
  <c r="N3036" i="7"/>
  <c r="N3035" i="7"/>
  <c r="N3034" i="7"/>
  <c r="N3033" i="7"/>
  <c r="N3032" i="7"/>
  <c r="N3031" i="7"/>
  <c r="N2902" i="7"/>
  <c r="N2901" i="7"/>
  <c r="N2853" i="7"/>
  <c r="N2852" i="7"/>
  <c r="N2851" i="7"/>
  <c r="N2850" i="7"/>
  <c r="N2738" i="7"/>
  <c r="N2514" i="7"/>
  <c r="N2513" i="7"/>
  <c r="N2512" i="7"/>
  <c r="N2511" i="7"/>
  <c r="N2504" i="7"/>
  <c r="N2503" i="7"/>
  <c r="N2430" i="7"/>
  <c r="N2429" i="7"/>
  <c r="N2428" i="7"/>
  <c r="N2416" i="7"/>
  <c r="N2415" i="7"/>
  <c r="N2414" i="7"/>
  <c r="N2391" i="7"/>
  <c r="N2390" i="7"/>
  <c r="N2295" i="7"/>
  <c r="N2294" i="7"/>
  <c r="N2293" i="7"/>
  <c r="N2292" i="7"/>
  <c r="N2291" i="7"/>
  <c r="N2290" i="7"/>
  <c r="N2072" i="7"/>
  <c r="N2071" i="7"/>
  <c r="N2070" i="7"/>
  <c r="N2069" i="7"/>
  <c r="N2007" i="7"/>
  <c r="N1911" i="7"/>
  <c r="N1910" i="7"/>
  <c r="N1909" i="7"/>
  <c r="N1908" i="7"/>
  <c r="N1907" i="7"/>
  <c r="N1741" i="7"/>
  <c r="N1740" i="7"/>
  <c r="N1739" i="7"/>
  <c r="N1738" i="7"/>
  <c r="N1737" i="7"/>
  <c r="N1635" i="7"/>
  <c r="N1634" i="7"/>
  <c r="N1633" i="7"/>
  <c r="N1632" i="7"/>
  <c r="N1365" i="7"/>
  <c r="N1364" i="7"/>
  <c r="N1363" i="7"/>
  <c r="N1362" i="7"/>
  <c r="N1361" i="7"/>
  <c r="N1360" i="7"/>
  <c r="N777" i="7"/>
  <c r="N776" i="7"/>
  <c r="N775" i="7"/>
  <c r="N774" i="7"/>
  <c r="N773" i="7"/>
  <c r="N439" i="7"/>
  <c r="N438" i="7"/>
  <c r="N437" i="7"/>
  <c r="N436" i="7"/>
  <c r="N435" i="7"/>
  <c r="N324" i="7"/>
  <c r="N323" i="7"/>
  <c r="N322" i="7"/>
  <c r="N321" i="7"/>
  <c r="N320" i="7"/>
  <c r="N202" i="7"/>
  <c r="N201" i="7"/>
  <c r="N200" i="7"/>
  <c r="N199" i="7"/>
  <c r="N198" i="7"/>
  <c r="N147" i="7"/>
  <c r="N54" i="7"/>
  <c r="N53" i="7"/>
  <c r="N9399" i="7"/>
  <c r="N9398" i="7"/>
  <c r="N9397" i="7"/>
  <c r="N9369" i="7"/>
  <c r="N9254" i="7"/>
  <c r="N9253" i="7"/>
  <c r="N9252" i="7"/>
  <c r="N8860" i="7"/>
  <c r="N8828" i="7"/>
  <c r="N8827" i="7"/>
  <c r="N8787" i="7"/>
  <c r="N8786" i="7"/>
  <c r="N8740" i="7"/>
  <c r="N8739" i="7"/>
  <c r="N8738" i="7"/>
  <c r="N8737" i="7"/>
  <c r="N8696" i="7"/>
  <c r="N8695" i="7"/>
  <c r="N8694" i="7"/>
  <c r="N8693" i="7"/>
  <c r="N8692" i="7"/>
  <c r="N8691" i="7"/>
  <c r="N8642" i="7"/>
  <c r="N8641" i="7"/>
  <c r="N8640" i="7"/>
  <c r="N8639" i="7"/>
  <c r="N8093" i="7"/>
  <c r="N8092" i="7"/>
  <c r="N8091" i="7"/>
  <c r="N8090" i="7"/>
  <c r="N6517" i="7"/>
  <c r="N6502" i="7"/>
  <c r="N6336" i="7"/>
  <c r="N6335" i="7"/>
  <c r="N6334" i="7"/>
  <c r="N6333" i="7"/>
  <c r="N6205" i="7"/>
  <c r="N6204" i="7"/>
  <c r="N6203" i="7"/>
  <c r="N6202" i="7"/>
  <c r="N5611" i="7"/>
  <c r="N5578" i="7"/>
  <c r="N5577" i="7"/>
  <c r="N5576" i="7"/>
  <c r="N5575" i="7"/>
  <c r="N5364" i="7"/>
  <c r="N5363" i="7"/>
  <c r="N5362" i="7"/>
  <c r="N5361" i="7"/>
  <c r="N5147" i="7"/>
  <c r="N5146" i="7"/>
  <c r="N5145" i="7"/>
  <c r="N5144" i="7"/>
  <c r="N4529" i="7"/>
  <c r="N4528" i="7"/>
  <c r="N4527" i="7"/>
  <c r="N4512" i="7"/>
  <c r="N4511" i="7"/>
  <c r="N4510" i="7"/>
  <c r="N4509" i="7"/>
  <c r="N4303" i="7"/>
  <c r="N4302" i="7"/>
  <c r="N4301" i="7"/>
  <c r="N4300" i="7"/>
  <c r="N3755" i="7"/>
  <c r="N3754" i="7"/>
  <c r="N3567" i="7"/>
  <c r="N3566" i="7"/>
  <c r="N3565" i="7"/>
  <c r="N3564" i="7"/>
  <c r="N3363" i="7"/>
  <c r="N3362" i="7"/>
  <c r="N3361" i="7"/>
  <c r="N3360" i="7"/>
  <c r="N3021" i="7"/>
  <c r="N3020" i="7"/>
  <c r="N3019" i="7"/>
  <c r="N3018" i="7"/>
  <c r="N2888" i="7"/>
  <c r="N2887" i="7"/>
  <c r="N2886" i="7"/>
  <c r="N2885" i="7"/>
  <c r="N2879" i="7"/>
  <c r="N2878" i="7"/>
  <c r="N2877" i="7"/>
  <c r="N2876" i="7"/>
  <c r="N2799" i="7"/>
  <c r="N2798" i="7"/>
  <c r="N2727" i="7"/>
  <c r="N2726" i="7"/>
  <c r="N2725" i="7"/>
  <c r="N2724" i="7"/>
  <c r="N2501" i="7"/>
  <c r="N2500" i="7"/>
  <c r="N2499" i="7"/>
  <c r="N2155" i="7"/>
  <c r="N2154" i="7"/>
  <c r="N2153" i="7"/>
  <c r="N2152" i="7"/>
  <c r="N2066" i="7"/>
  <c r="N2065" i="7"/>
  <c r="N2064" i="7"/>
  <c r="N2063" i="7"/>
  <c r="N1891" i="7"/>
  <c r="N1890" i="7"/>
  <c r="N1889" i="7"/>
  <c r="N1888" i="7"/>
  <c r="N1776" i="7"/>
  <c r="N1775" i="7"/>
  <c r="N1774" i="7"/>
  <c r="N1620" i="7"/>
  <c r="N1619" i="7"/>
  <c r="N1618" i="7"/>
  <c r="N1617" i="7"/>
  <c r="N1480" i="7"/>
  <c r="N1479" i="7"/>
  <c r="N1478" i="7"/>
  <c r="N1477" i="7"/>
  <c r="N1476" i="7"/>
  <c r="N1475" i="7"/>
  <c r="N1290" i="7"/>
  <c r="N1289" i="7"/>
  <c r="N1288" i="7"/>
  <c r="N1287" i="7"/>
  <c r="N1286" i="7"/>
  <c r="N1285" i="7"/>
  <c r="N681" i="7"/>
  <c r="N680" i="7"/>
  <c r="N679" i="7"/>
  <c r="N605" i="7"/>
  <c r="N604" i="7"/>
  <c r="N603" i="7"/>
  <c r="N602" i="7"/>
  <c r="N601" i="7"/>
  <c r="N559" i="7"/>
  <c r="N558" i="7"/>
  <c r="N557" i="7"/>
  <c r="N490" i="7"/>
  <c r="N489" i="7"/>
  <c r="N488" i="7"/>
  <c r="N487" i="7"/>
  <c r="N139" i="7"/>
  <c r="N137" i="7"/>
  <c r="N136" i="7"/>
  <c r="N135" i="7"/>
  <c r="N133" i="7"/>
  <c r="N131" i="7"/>
  <c r="N130" i="7"/>
  <c r="N129" i="7"/>
  <c r="N9403" i="7"/>
  <c r="N9213" i="7"/>
  <c r="N9118" i="7"/>
  <c r="N9117" i="7"/>
  <c r="N8821" i="7"/>
  <c r="N8820" i="7"/>
  <c r="N8819" i="7"/>
  <c r="N8811" i="7"/>
  <c r="N8670" i="7"/>
  <c r="N8669" i="7"/>
  <c r="N8500" i="7"/>
  <c r="N8441" i="7"/>
  <c r="N8424" i="7"/>
  <c r="N8235" i="7"/>
  <c r="N8234" i="7"/>
  <c r="N7933" i="7"/>
  <c r="N7897" i="7"/>
  <c r="N7896" i="7"/>
  <c r="N7895" i="7"/>
  <c r="N7894" i="7"/>
  <c r="N7893" i="7"/>
  <c r="N7715" i="7"/>
  <c r="N7439" i="7"/>
  <c r="N7438" i="7"/>
  <c r="N7437" i="7"/>
  <c r="N7436" i="7"/>
  <c r="N7435" i="7"/>
  <c r="N7434" i="7"/>
  <c r="N7433" i="7"/>
  <c r="N7432" i="7"/>
  <c r="N7431" i="7"/>
  <c r="N7430" i="7"/>
  <c r="N7429" i="7"/>
  <c r="N7428" i="7"/>
  <c r="N7427" i="7"/>
  <c r="N7426" i="7"/>
  <c r="N7425" i="7"/>
  <c r="N7424" i="7"/>
  <c r="N7423" i="7"/>
  <c r="N7422" i="7"/>
  <c r="N7421" i="7"/>
  <c r="N7420" i="7"/>
  <c r="N7226" i="7"/>
  <c r="N7225" i="7"/>
  <c r="N7224" i="7"/>
  <c r="N7223" i="7"/>
  <c r="N7222" i="7"/>
  <c r="N7221" i="7"/>
  <c r="N7220" i="7"/>
  <c r="N7219" i="7"/>
  <c r="N6966" i="7"/>
  <c r="N6965" i="7"/>
  <c r="N6964" i="7"/>
  <c r="N6963" i="7"/>
  <c r="N6962" i="7"/>
  <c r="N6961" i="7"/>
  <c r="N6960" i="7"/>
  <c r="N6959" i="7"/>
  <c r="N6958" i="7"/>
  <c r="N6494" i="7"/>
  <c r="N6329" i="7"/>
  <c r="N6328" i="7"/>
  <c r="N6327" i="7"/>
  <c r="N6290" i="7"/>
  <c r="N6289" i="7"/>
  <c r="N6288" i="7"/>
  <c r="N6287" i="7"/>
  <c r="N6286" i="7"/>
  <c r="N6285" i="7"/>
  <c r="N6284" i="7"/>
  <c r="N6283" i="7"/>
  <c r="N6282" i="7"/>
  <c r="N5794" i="7"/>
  <c r="N5793" i="7"/>
  <c r="N5792" i="7"/>
  <c r="N5771" i="7"/>
  <c r="N5770" i="7"/>
  <c r="N4932" i="7"/>
  <c r="N4931" i="7"/>
  <c r="N4930" i="7"/>
  <c r="N4929" i="7"/>
  <c r="N4928" i="7"/>
  <c r="N4927" i="7"/>
  <c r="N4859" i="7"/>
  <c r="N4858" i="7"/>
  <c r="N4857" i="7"/>
  <c r="N4856" i="7"/>
  <c r="N4855" i="7"/>
  <c r="N4854" i="7"/>
  <c r="N4853" i="7"/>
  <c r="N4721" i="7"/>
  <c r="N4720" i="7"/>
  <c r="N4719" i="7"/>
  <c r="N4718" i="7"/>
  <c r="N4717" i="7"/>
  <c r="N4716" i="7"/>
  <c r="N4715" i="7"/>
  <c r="N4714" i="7"/>
  <c r="N4713" i="7"/>
  <c r="N4712" i="7"/>
  <c r="N4711" i="7"/>
  <c r="N3422" i="7"/>
  <c r="N3421" i="7"/>
  <c r="N3420" i="7"/>
  <c r="N3419" i="7"/>
  <c r="N3418" i="7"/>
  <c r="N3417" i="7"/>
  <c r="N3416" i="7"/>
  <c r="N3415" i="7"/>
  <c r="N3414" i="7"/>
  <c r="N3413" i="7"/>
  <c r="N3412" i="7"/>
  <c r="N3406" i="7"/>
  <c r="N3405" i="7"/>
  <c r="N3404" i="7"/>
  <c r="N3403" i="7"/>
  <c r="N3402" i="7"/>
  <c r="N3401" i="7"/>
  <c r="N3400" i="7"/>
  <c r="N3399" i="7"/>
  <c r="N3398" i="7"/>
  <c r="N3397" i="7"/>
  <c r="N3396" i="7"/>
  <c r="N3395" i="7"/>
  <c r="N3394" i="7"/>
  <c r="N3393" i="7"/>
  <c r="N3392" i="7"/>
  <c r="N3391" i="7"/>
  <c r="N2959" i="7"/>
  <c r="N2958" i="7"/>
  <c r="N2957" i="7"/>
  <c r="N2956" i="7"/>
  <c r="N2955" i="7"/>
  <c r="N2954" i="7"/>
  <c r="N2953" i="7"/>
  <c r="N2952" i="7"/>
  <c r="N2951" i="7"/>
  <c r="N2950" i="7"/>
  <c r="N2949" i="7"/>
  <c r="N2948" i="7"/>
  <c r="N2947" i="7"/>
  <c r="N2946" i="7"/>
  <c r="N1783" i="7"/>
  <c r="N1782" i="7"/>
  <c r="N1441" i="7"/>
  <c r="N1440" i="7"/>
  <c r="N1439" i="7"/>
  <c r="N976" i="7"/>
  <c r="N975" i="7"/>
  <c r="N974" i="7"/>
  <c r="N973" i="7"/>
  <c r="N972" i="7"/>
  <c r="N971" i="7"/>
  <c r="N9334" i="7"/>
  <c r="N8025" i="7"/>
  <c r="N6715" i="7"/>
  <c r="N6179" i="7"/>
  <c r="N6026" i="7"/>
  <c r="N5348" i="7"/>
  <c r="N4194" i="7"/>
  <c r="N3204" i="7"/>
  <c r="N2844" i="7"/>
  <c r="N1896" i="7"/>
  <c r="N1754" i="7"/>
  <c r="N1605" i="7"/>
  <c r="N411" i="7"/>
  <c r="N409" i="7"/>
  <c r="N405" i="7"/>
  <c r="N404" i="7"/>
  <c r="N9344" i="7"/>
  <c r="N9343" i="7"/>
  <c r="N9342" i="7"/>
  <c r="N9309" i="7"/>
  <c r="N9282" i="7"/>
  <c r="N9281" i="7"/>
  <c r="N9139" i="7"/>
  <c r="N9138" i="7"/>
  <c r="N9137" i="7"/>
  <c r="N9136" i="7"/>
  <c r="N9135" i="7"/>
  <c r="N9134" i="7"/>
  <c r="N9133" i="7"/>
  <c r="N9132" i="7"/>
  <c r="N9131" i="7"/>
  <c r="N9069" i="7"/>
  <c r="N9068" i="7"/>
  <c r="N9023" i="7"/>
  <c r="N8907" i="7"/>
  <c r="N8906" i="7"/>
  <c r="N8905" i="7"/>
  <c r="N8890" i="7"/>
  <c r="N8889" i="7"/>
  <c r="N8732" i="7"/>
  <c r="N8601" i="7"/>
  <c r="N8600" i="7"/>
  <c r="N8599" i="7"/>
  <c r="N8530" i="7"/>
  <c r="N8529" i="7"/>
  <c r="N8528" i="7"/>
  <c r="N8494" i="7"/>
  <c r="N8377" i="7"/>
  <c r="N8376" i="7"/>
  <c r="N8318" i="7"/>
  <c r="N8317" i="7"/>
  <c r="N8316" i="7"/>
  <c r="N7795" i="7"/>
  <c r="N7794" i="7"/>
  <c r="N7533" i="7"/>
  <c r="N7532" i="7"/>
  <c r="N7531" i="7"/>
  <c r="N7530" i="7"/>
  <c r="N7529" i="7"/>
  <c r="N7528" i="7"/>
  <c r="N7494" i="7"/>
  <c r="N6014" i="7"/>
  <c r="N6013" i="7"/>
  <c r="N6012" i="7"/>
  <c r="N5681" i="7"/>
  <c r="N5680" i="7"/>
  <c r="N5679" i="7"/>
  <c r="N5332" i="7"/>
  <c r="N5331" i="7"/>
  <c r="N5330" i="7"/>
  <c r="N5329" i="7"/>
  <c r="N4684" i="7"/>
  <c r="N4683" i="7"/>
  <c r="N4682" i="7"/>
  <c r="N4576" i="7"/>
  <c r="N4575" i="7"/>
  <c r="N4574" i="7"/>
  <c r="N4573" i="7"/>
  <c r="N4572" i="7"/>
  <c r="N4514" i="7"/>
  <c r="N4513" i="7"/>
  <c r="N4236" i="7"/>
  <c r="N4233" i="7"/>
  <c r="N4232" i="7"/>
  <c r="N4231" i="7"/>
  <c r="N3963" i="7"/>
  <c r="N3109" i="7"/>
  <c r="N3108" i="7"/>
  <c r="N3107" i="7"/>
  <c r="N3106" i="7"/>
  <c r="N2971" i="7"/>
  <c r="N2970" i="7"/>
  <c r="N2969" i="7"/>
  <c r="N2657" i="7"/>
  <c r="N2656" i="7"/>
  <c r="N2655" i="7"/>
  <c r="N2654" i="7"/>
  <c r="N2605" i="7"/>
  <c r="N2604" i="7"/>
  <c r="N2603" i="7"/>
  <c r="N2602" i="7"/>
  <c r="N2573" i="7"/>
  <c r="N2572" i="7"/>
  <c r="N2571" i="7"/>
  <c r="N2554" i="7"/>
  <c r="N2553" i="7"/>
  <c r="N2552" i="7"/>
  <c r="N2478" i="7"/>
  <c r="N2477" i="7"/>
  <c r="N2033" i="7"/>
  <c r="N2032" i="7"/>
  <c r="N2031" i="7"/>
  <c r="N1844" i="7"/>
  <c r="N1812" i="7"/>
  <c r="N1811" i="7"/>
  <c r="N1397" i="7"/>
  <c r="N1396" i="7"/>
  <c r="N1395" i="7"/>
  <c r="N1394" i="7"/>
  <c r="N1225" i="7"/>
  <c r="N1224" i="7"/>
  <c r="N1223" i="7"/>
  <c r="N1222" i="7"/>
  <c r="N1221" i="7"/>
  <c r="N527" i="7"/>
  <c r="N526" i="7"/>
  <c r="N525" i="7"/>
  <c r="N168" i="7"/>
  <c r="N167" i="7"/>
  <c r="N166" i="7"/>
  <c r="N165" i="7"/>
  <c r="N5749" i="7"/>
  <c r="N5746" i="7"/>
  <c r="N5740" i="7"/>
  <c r="N5739" i="7"/>
  <c r="N5344" i="7"/>
  <c r="N5343" i="7"/>
  <c r="N5342" i="7"/>
  <c r="N5341" i="7"/>
  <c r="N5340" i="7"/>
  <c r="N5339" i="7"/>
  <c r="N2984" i="7"/>
  <c r="N1419" i="7"/>
  <c r="N1418" i="7"/>
  <c r="N1417" i="7"/>
  <c r="N2480" i="7"/>
  <c r="N2095" i="7"/>
  <c r="N2990" i="7"/>
  <c r="N2989" i="7"/>
  <c r="N2047" i="7"/>
  <c r="N1995" i="7"/>
  <c r="N1277" i="7"/>
  <c r="N9222" i="7"/>
  <c r="N8765" i="7"/>
  <c r="N6851" i="7"/>
  <c r="N2476" i="7"/>
  <c r="N2475" i="7"/>
  <c r="N2184" i="7"/>
  <c r="N1708" i="7"/>
  <c r="N1594" i="7"/>
  <c r="N1393" i="7"/>
  <c r="N1389" i="7"/>
  <c r="N1242" i="7"/>
  <c r="N713" i="7"/>
  <c r="N711" i="7"/>
  <c r="N696" i="7"/>
  <c r="N695" i="7"/>
  <c r="N626" i="7"/>
  <c r="N623" i="7"/>
  <c r="N566" i="7"/>
  <c r="N565" i="7"/>
  <c r="N8924" i="7"/>
  <c r="N8533" i="7"/>
  <c r="N8012" i="7"/>
  <c r="N8011" i="7"/>
  <c r="N6560" i="7"/>
  <c r="N6171" i="7"/>
  <c r="N5433" i="7"/>
  <c r="N4977" i="7"/>
  <c r="N3460" i="7"/>
  <c r="N3249" i="7"/>
  <c r="N2208" i="7"/>
  <c r="N2091" i="7"/>
  <c r="N1858" i="7"/>
  <c r="N1254" i="7"/>
  <c r="N870" i="7"/>
  <c r="N31" i="7"/>
  <c r="N8731" i="7"/>
  <c r="N8554" i="7"/>
  <c r="N8098" i="7"/>
  <c r="N8097" i="7"/>
  <c r="N5939" i="7"/>
  <c r="N2384" i="7"/>
  <c r="N9151" i="7"/>
  <c r="N8764" i="7"/>
  <c r="N8634" i="7"/>
  <c r="N7832" i="7"/>
  <c r="N7071" i="7"/>
  <c r="N6841" i="7"/>
  <c r="N6723" i="7"/>
  <c r="N6714" i="7"/>
  <c r="N6633" i="7"/>
  <c r="N5278" i="7"/>
  <c r="N4945" i="7"/>
  <c r="N4852" i="7"/>
  <c r="N4733" i="7"/>
  <c r="N4585" i="7"/>
  <c r="N4441" i="7"/>
  <c r="N4331" i="7"/>
  <c r="N4288" i="7"/>
  <c r="N4118" i="7"/>
  <c r="N2577" i="7"/>
  <c r="N2555" i="7"/>
  <c r="N2224" i="7"/>
  <c r="N2048" i="7"/>
  <c r="N1172" i="7"/>
  <c r="N1171" i="7"/>
  <c r="N1065" i="7"/>
  <c r="N1031" i="7"/>
  <c r="N297" i="7"/>
  <c r="N296" i="7"/>
  <c r="N275" i="7"/>
  <c r="N174" i="7"/>
  <c r="N5" i="7"/>
  <c r="N9363" i="7"/>
  <c r="N9267" i="7"/>
  <c r="N9259" i="7"/>
  <c r="N9218" i="7"/>
  <c r="N9217" i="7"/>
  <c r="N9211" i="7"/>
  <c r="N9210" i="7"/>
  <c r="N8878" i="7"/>
  <c r="N8798" i="7"/>
  <c r="N8671" i="7"/>
  <c r="N8508" i="7"/>
  <c r="N8507" i="7"/>
  <c r="N8506" i="7"/>
  <c r="N8505" i="7"/>
  <c r="N8504" i="7"/>
  <c r="N8503" i="7"/>
  <c r="N8502" i="7"/>
  <c r="N8444" i="7"/>
  <c r="N8442" i="7"/>
  <c r="N8393" i="7"/>
  <c r="N8392" i="7"/>
  <c r="N8391" i="7"/>
  <c r="N8390" i="7"/>
  <c r="N7633" i="7"/>
  <c r="N7632" i="7"/>
  <c r="N7631" i="7"/>
  <c r="N7459" i="7"/>
  <c r="N7457" i="7"/>
  <c r="N7456" i="7"/>
  <c r="N7455" i="7"/>
  <c r="N7454" i="7"/>
  <c r="N7453" i="7"/>
  <c r="N7449" i="7"/>
  <c r="N7448" i="7"/>
  <c r="N7250" i="7"/>
  <c r="N7249" i="7"/>
  <c r="N7248" i="7"/>
  <c r="N7247" i="7"/>
  <c r="N7246" i="7"/>
  <c r="N7245" i="7"/>
  <c r="N7244" i="7"/>
  <c r="N7243" i="7"/>
  <c r="N7242" i="7"/>
  <c r="N7241" i="7"/>
  <c r="N7240" i="7"/>
  <c r="N7239" i="7"/>
  <c r="N7238" i="7"/>
  <c r="N7237" i="7"/>
  <c r="N7236" i="7"/>
  <c r="N7235" i="7"/>
  <c r="N7234" i="7"/>
  <c r="N7231" i="7"/>
  <c r="N7030" i="7"/>
  <c r="N7029" i="7"/>
  <c r="N7028" i="7"/>
  <c r="N7027" i="7"/>
  <c r="N7026" i="7"/>
  <c r="N7025" i="7"/>
  <c r="N7004" i="7"/>
  <c r="N7003" i="7"/>
  <c r="N7002" i="7"/>
  <c r="N7001" i="7"/>
  <c r="N7000" i="7"/>
  <c r="N6999" i="7"/>
  <c r="N6998" i="7"/>
  <c r="N6997" i="7"/>
  <c r="N6996" i="7"/>
  <c r="N6995" i="7"/>
  <c r="N6994" i="7"/>
  <c r="N6993" i="7"/>
  <c r="N6992" i="7"/>
  <c r="N6991" i="7"/>
  <c r="N6990" i="7"/>
  <c r="N6989" i="7"/>
  <c r="N6988" i="7"/>
  <c r="N6987" i="7"/>
  <c r="N6986" i="7"/>
  <c r="N6985" i="7"/>
  <c r="N6984" i="7"/>
  <c r="N6983" i="7"/>
  <c r="N6982" i="7"/>
  <c r="N6507" i="7"/>
  <c r="N6465" i="7"/>
  <c r="N6464" i="7"/>
  <c r="N6456" i="7"/>
  <c r="N6455" i="7"/>
  <c r="N6454" i="7"/>
  <c r="N6453" i="7"/>
  <c r="N6452" i="7"/>
  <c r="N6451" i="7"/>
  <c r="N6450" i="7"/>
  <c r="N6449" i="7"/>
  <c r="N6393" i="7"/>
  <c r="N6392" i="7"/>
  <c r="N6361" i="7"/>
  <c r="N6319" i="7"/>
  <c r="N6318" i="7"/>
  <c r="N6308" i="7"/>
  <c r="N6307" i="7"/>
  <c r="N6256" i="7"/>
  <c r="N6255" i="7"/>
  <c r="N5873" i="7"/>
  <c r="N5872" i="7"/>
  <c r="N5852" i="7"/>
  <c r="N5851" i="7"/>
  <c r="N5815" i="7"/>
  <c r="N5101" i="7"/>
  <c r="N5100" i="7"/>
  <c r="N5093" i="7"/>
  <c r="N5091" i="7"/>
  <c r="N5090" i="7"/>
  <c r="N5089" i="7"/>
  <c r="N5088" i="7"/>
  <c r="N5087" i="7"/>
  <c r="N5086" i="7"/>
  <c r="N5085" i="7"/>
  <c r="N5084" i="7"/>
  <c r="N5083" i="7"/>
  <c r="N5082" i="7"/>
  <c r="N5081" i="7"/>
  <c r="N5080" i="7"/>
  <c r="N5079" i="7"/>
  <c r="N4872" i="7"/>
  <c r="N4871" i="7"/>
  <c r="N4866" i="7"/>
  <c r="N4865" i="7"/>
  <c r="N4822" i="7"/>
  <c r="N4428" i="7"/>
  <c r="N4110" i="7"/>
  <c r="N3738" i="7"/>
  <c r="N1786" i="7"/>
  <c r="N1785" i="7"/>
  <c r="N1028" i="7"/>
  <c r="N673" i="7"/>
  <c r="N672" i="7"/>
  <c r="N671" i="7"/>
  <c r="N670" i="7"/>
  <c r="N669" i="7"/>
  <c r="N668" i="7"/>
  <c r="N667" i="7"/>
  <c r="N666" i="7"/>
  <c r="N665" i="7"/>
  <c r="N273" i="7"/>
  <c r="N272" i="7"/>
  <c r="N271" i="7"/>
  <c r="N104" i="7"/>
  <c r="N9391" i="7"/>
  <c r="N9390" i="7"/>
  <c r="N9389" i="7"/>
  <c r="N9388" i="7"/>
  <c r="N9089" i="7"/>
  <c r="N9088" i="7"/>
  <c r="N9017" i="7"/>
  <c r="N8840" i="7"/>
  <c r="N4149" i="7"/>
  <c r="N3540" i="7"/>
  <c r="N3212" i="7"/>
  <c r="N3211" i="7"/>
  <c r="N3210" i="7"/>
  <c r="N2826" i="7"/>
  <c r="N2825" i="7"/>
  <c r="N2824" i="7"/>
  <c r="N2823" i="7"/>
  <c r="N2807" i="7"/>
  <c r="N2806" i="7"/>
  <c r="N2805" i="7"/>
  <c r="N2804" i="7"/>
  <c r="N2744" i="7"/>
  <c r="N2743" i="7"/>
  <c r="N1379" i="7"/>
  <c r="N1378" i="7"/>
  <c r="N1377" i="7"/>
  <c r="N1376" i="7"/>
  <c r="N1375" i="7"/>
  <c r="N1374" i="7"/>
  <c r="N9050" i="7"/>
  <c r="N8923" i="7"/>
  <c r="N8534" i="7"/>
  <c r="N8014" i="7"/>
  <c r="N8013" i="7"/>
  <c r="N6777" i="7"/>
  <c r="N6561" i="7"/>
  <c r="N6172" i="7"/>
  <c r="N5434" i="7"/>
  <c r="N4978" i="7"/>
  <c r="N3508" i="7"/>
  <c r="N3461" i="7"/>
  <c r="N3250" i="7"/>
  <c r="N2372" i="7"/>
  <c r="N2209" i="7"/>
  <c r="N2092" i="7"/>
  <c r="N1859" i="7"/>
  <c r="N1346" i="7"/>
  <c r="N1255" i="7"/>
  <c r="N871" i="7"/>
  <c r="N32" i="7"/>
  <c r="N9014" i="7"/>
  <c r="N9013" i="7"/>
  <c r="N8971" i="7"/>
  <c r="N8970" i="7"/>
  <c r="N8969" i="7"/>
  <c r="N8968" i="7"/>
  <c r="N7066" i="7"/>
  <c r="N7065" i="7"/>
  <c r="N7064" i="7"/>
  <c r="N7063" i="7"/>
  <c r="N5917" i="7"/>
  <c r="N3297" i="7"/>
  <c r="N3296" i="7"/>
  <c r="N3295" i="7"/>
  <c r="N3041" i="7"/>
  <c r="N3040" i="7"/>
  <c r="N2932" i="7"/>
  <c r="N2747" i="7"/>
  <c r="N2746" i="7"/>
  <c r="N2745" i="7"/>
  <c r="N2073" i="7"/>
  <c r="N1153" i="7"/>
  <c r="N9302" i="7"/>
  <c r="N9232" i="7"/>
  <c r="N9153" i="7"/>
  <c r="N9152" i="7"/>
  <c r="N9081" i="7"/>
  <c r="N8931" i="7"/>
  <c r="N8891" i="7"/>
  <c r="N8848" i="7"/>
  <c r="N8763" i="7"/>
  <c r="N8736" i="7"/>
  <c r="N8603" i="7"/>
  <c r="N8031" i="7"/>
  <c r="N8030" i="7"/>
  <c r="N6781" i="7"/>
  <c r="N6572" i="7"/>
  <c r="N6183" i="7"/>
  <c r="N5045" i="7"/>
  <c r="N4983" i="7"/>
  <c r="N4516" i="7"/>
  <c r="N4229" i="7"/>
  <c r="N3878" i="7"/>
  <c r="N3549" i="7"/>
  <c r="N3525" i="7"/>
  <c r="N3457" i="7"/>
  <c r="N3124" i="7"/>
  <c r="N2840" i="7"/>
  <c r="N2821" i="7"/>
  <c r="N2424" i="7"/>
  <c r="N2410" i="7"/>
  <c r="N2133" i="7"/>
  <c r="N1869" i="7"/>
  <c r="N1807" i="7"/>
  <c r="N1432" i="7"/>
  <c r="N1431" i="7"/>
  <c r="N1230" i="7"/>
  <c r="N874" i="7"/>
  <c r="N734" i="7"/>
  <c r="N733" i="7"/>
  <c r="N717" i="7"/>
  <c r="N561" i="7"/>
  <c r="N560" i="7"/>
  <c r="N9435" i="7"/>
  <c r="N9286" i="7"/>
  <c r="N9105" i="7"/>
  <c r="N9057" i="7"/>
  <c r="N8972" i="7"/>
  <c r="N8895" i="7"/>
  <c r="N8227" i="7"/>
  <c r="N8130" i="7"/>
  <c r="N7709" i="7"/>
  <c r="N7602" i="7"/>
  <c r="N7527" i="7"/>
  <c r="N7155" i="7"/>
  <c r="N6888" i="7"/>
  <c r="N6471" i="7"/>
  <c r="N6087" i="7"/>
  <c r="N5954" i="7"/>
  <c r="N5484" i="7"/>
  <c r="N5166" i="7"/>
  <c r="N4059" i="7"/>
  <c r="N3884" i="7"/>
  <c r="N3515" i="7"/>
  <c r="N3158" i="7"/>
  <c r="N3042" i="7"/>
  <c r="N2748" i="7"/>
  <c r="N2297" i="7"/>
  <c r="N2296" i="7"/>
  <c r="N1912" i="7"/>
  <c r="N1809" i="7"/>
  <c r="N1758" i="7"/>
  <c r="N1636" i="7"/>
  <c r="N1381" i="7"/>
  <c r="N1380" i="7"/>
  <c r="N651" i="7"/>
  <c r="N329" i="7"/>
  <c r="N58" i="7"/>
  <c r="N9246" i="7"/>
  <c r="N8800" i="7"/>
  <c r="N8750" i="7"/>
  <c r="N8749" i="7"/>
  <c r="N8267" i="7"/>
  <c r="N8266" i="7"/>
  <c r="N8265" i="7"/>
  <c r="N8264" i="7"/>
  <c r="N8263" i="7"/>
  <c r="N8262" i="7"/>
  <c r="N8261" i="7"/>
  <c r="N7907" i="7"/>
  <c r="N7208" i="7"/>
  <c r="N5928" i="7"/>
  <c r="N5927" i="7"/>
  <c r="N5333" i="7"/>
  <c r="N3766" i="7"/>
  <c r="N2185" i="7"/>
  <c r="N1213" i="7"/>
  <c r="N1168" i="7"/>
  <c r="N1167" i="7"/>
  <c r="N1166" i="7"/>
  <c r="N1165" i="7"/>
  <c r="N1164" i="7"/>
  <c r="N1163" i="7"/>
  <c r="N1149" i="7"/>
  <c r="N1033" i="7"/>
  <c r="N720" i="7"/>
  <c r="N719" i="7"/>
  <c r="N281" i="7"/>
  <c r="N28" i="7"/>
  <c r="N8917" i="7"/>
  <c r="N8916" i="7"/>
  <c r="N8915" i="7"/>
  <c r="N8914" i="7"/>
  <c r="N8913" i="7"/>
  <c r="N8912" i="7"/>
  <c r="N8911" i="7"/>
  <c r="N8910" i="7"/>
  <c r="N8909" i="7"/>
  <c r="N8908" i="7"/>
  <c r="N8531" i="7"/>
  <c r="N7906" i="7"/>
  <c r="N7690" i="7"/>
  <c r="N6166" i="7"/>
  <c r="N5244" i="7"/>
  <c r="N4838" i="7"/>
  <c r="N4837" i="7"/>
  <c r="N4836" i="7"/>
  <c r="N4835" i="7"/>
  <c r="N4685" i="7"/>
  <c r="N3519" i="7"/>
  <c r="N2976" i="7"/>
  <c r="N2479" i="7"/>
  <c r="N1398" i="7"/>
  <c r="N657" i="7"/>
  <c r="N645" i="7"/>
  <c r="N9407" i="7"/>
  <c r="N8945" i="7"/>
  <c r="N8944" i="7"/>
  <c r="N8094" i="7"/>
  <c r="N7776" i="7"/>
  <c r="N4175" i="7"/>
  <c r="N4162" i="7"/>
  <c r="N3899" i="7"/>
  <c r="N3898" i="7"/>
  <c r="N3872" i="7"/>
  <c r="N3704" i="7"/>
  <c r="N3703" i="7"/>
  <c r="N2728" i="7"/>
  <c r="N8865" i="7"/>
  <c r="N8613" i="7"/>
  <c r="N8612" i="7"/>
  <c r="N6875" i="7"/>
  <c r="N1482" i="7"/>
  <c r="N1481" i="7"/>
  <c r="N9379" i="7"/>
  <c r="N9011" i="7"/>
  <c r="N9010" i="7"/>
  <c r="N9009" i="7"/>
  <c r="N8700" i="7"/>
  <c r="N7840" i="7"/>
  <c r="N7469" i="7"/>
  <c r="N7259" i="7"/>
  <c r="N7258" i="7"/>
  <c r="N7068" i="7"/>
  <c r="N7067" i="7"/>
  <c r="N6878" i="7"/>
  <c r="N6877" i="7"/>
  <c r="N6074" i="7"/>
  <c r="N6073" i="7"/>
  <c r="N5754" i="7"/>
  <c r="N5753" i="7"/>
  <c r="N5165" i="7"/>
  <c r="N5164" i="7"/>
  <c r="N4877" i="7"/>
  <c r="N4738" i="7"/>
  <c r="N4737" i="7"/>
  <c r="N3920" i="7"/>
  <c r="N3919" i="7"/>
  <c r="N2178" i="7"/>
  <c r="N2175" i="7"/>
  <c r="N2008" i="7"/>
  <c r="N1261" i="7"/>
  <c r="N440" i="7"/>
  <c r="N401" i="7"/>
  <c r="N400" i="7"/>
  <c r="N9315" i="7"/>
  <c r="N9314" i="7"/>
  <c r="N5628" i="7"/>
  <c r="N5140" i="7"/>
  <c r="N3008" i="7"/>
  <c r="N9436" i="7"/>
  <c r="N8681" i="7"/>
  <c r="N8676" i="7"/>
  <c r="N8523" i="7"/>
  <c r="N8142" i="7"/>
  <c r="N7762" i="7"/>
  <c r="N7601" i="7"/>
  <c r="N7156" i="7"/>
  <c r="N6554" i="7"/>
  <c r="N6472" i="7"/>
  <c r="N6096" i="7"/>
  <c r="N5714" i="7"/>
  <c r="N5647" i="7"/>
  <c r="N5494" i="7"/>
  <c r="N5385" i="7"/>
  <c r="N5313" i="7"/>
  <c r="N4752" i="7"/>
  <c r="N4262" i="7"/>
  <c r="N4210" i="7"/>
  <c r="N4062" i="7"/>
  <c r="N3885" i="7"/>
  <c r="N3767" i="7"/>
  <c r="N3712" i="7"/>
  <c r="N3187" i="7"/>
  <c r="N3159" i="7"/>
  <c r="N3047" i="7"/>
  <c r="N2906" i="7"/>
  <c r="N2672" i="7"/>
  <c r="N2620" i="7"/>
  <c r="N1382" i="7"/>
  <c r="N778" i="7"/>
  <c r="N61" i="7"/>
  <c r="N13" i="7"/>
  <c r="N8490" i="7"/>
  <c r="N8489" i="7"/>
  <c r="N8488" i="7"/>
  <c r="N5204" i="7"/>
  <c r="N4595" i="7"/>
  <c r="N2024" i="7"/>
  <c r="N1459" i="7"/>
  <c r="N1458" i="7"/>
  <c r="N1271" i="7"/>
  <c r="N7470" i="7"/>
  <c r="N4214" i="7"/>
  <c r="N4213" i="7"/>
  <c r="N4212" i="7"/>
  <c r="N702" i="7"/>
  <c r="N701" i="7"/>
  <c r="N9280" i="7"/>
  <c r="N9145" i="7"/>
  <c r="N9102" i="7"/>
  <c r="N9077" i="7"/>
  <c r="N9071" i="7"/>
  <c r="N8704" i="7"/>
  <c r="N8629" i="7"/>
  <c r="N8313" i="7"/>
  <c r="N8203" i="7"/>
  <c r="N8005" i="7"/>
  <c r="N8004" i="7"/>
  <c r="N8003" i="7"/>
  <c r="N8002" i="7"/>
  <c r="N8001" i="7"/>
  <c r="N8000" i="7"/>
  <c r="N7853" i="7"/>
  <c r="N7806" i="7"/>
  <c r="N7805" i="7"/>
  <c r="N7737" i="7"/>
  <c r="N7736" i="7"/>
  <c r="N7655" i="7"/>
  <c r="N7204" i="7"/>
  <c r="N7201" i="7"/>
  <c r="N7200" i="7"/>
  <c r="N6854" i="7"/>
  <c r="N6774" i="7"/>
  <c r="N6773" i="7"/>
  <c r="N6772" i="7"/>
  <c r="N6510" i="7"/>
  <c r="N6400" i="7"/>
  <c r="N5317" i="7"/>
  <c r="N5316" i="7"/>
  <c r="N5247" i="7"/>
  <c r="N4920" i="7"/>
  <c r="N4696" i="7"/>
  <c r="N4695" i="7"/>
  <c r="N4694" i="7"/>
  <c r="N4284" i="7"/>
  <c r="N4172" i="7"/>
  <c r="N4171" i="7"/>
  <c r="N4169" i="7"/>
  <c r="N4161" i="7"/>
  <c r="N4160" i="7"/>
  <c r="N3773" i="7"/>
  <c r="N3772" i="7"/>
  <c r="N3770" i="7"/>
  <c r="N3718" i="7"/>
  <c r="N3427" i="7"/>
  <c r="N3243" i="7"/>
  <c r="N3242" i="7"/>
  <c r="N3241" i="7"/>
  <c r="N3118" i="7"/>
  <c r="N2435" i="7"/>
  <c r="N2434" i="7"/>
  <c r="N2369" i="7"/>
  <c r="N1714" i="7"/>
  <c r="N1713" i="7"/>
  <c r="N1690" i="7"/>
  <c r="N1404" i="7"/>
  <c r="N1239" i="7"/>
  <c r="N1215" i="7"/>
  <c r="N1188" i="7"/>
  <c r="N1187" i="7"/>
  <c r="N1178" i="7"/>
  <c r="N1177" i="7"/>
  <c r="N867" i="7"/>
  <c r="N728" i="7"/>
  <c r="N727" i="7"/>
  <c r="N726" i="7"/>
  <c r="N280" i="7"/>
  <c r="N279" i="7"/>
  <c r="N9173" i="7"/>
  <c r="N9083" i="7"/>
  <c r="N9030" i="7"/>
  <c r="N8951" i="7"/>
  <c r="N8950" i="7"/>
  <c r="N8883" i="7"/>
  <c r="N8799" i="7"/>
  <c r="N8667" i="7"/>
  <c r="N8587" i="7"/>
  <c r="N8464" i="7"/>
  <c r="N8422" i="7"/>
  <c r="N8379" i="7"/>
  <c r="N8364" i="7"/>
  <c r="N8280" i="7"/>
  <c r="N8241" i="7"/>
  <c r="N8222" i="7"/>
  <c r="N8221" i="7"/>
  <c r="N8102" i="7"/>
  <c r="N8101" i="7"/>
  <c r="N7941" i="7"/>
  <c r="N7791" i="7"/>
  <c r="N7753" i="7"/>
  <c r="N7706" i="7"/>
  <c r="N7644" i="7"/>
  <c r="N7492" i="7"/>
  <c r="N7257" i="7"/>
  <c r="N7256" i="7"/>
  <c r="N7255" i="7"/>
  <c r="N7176" i="7"/>
  <c r="N7175" i="7"/>
  <c r="N7044" i="7"/>
  <c r="N7043" i="7"/>
  <c r="N7041" i="7"/>
  <c r="N7040" i="7"/>
  <c r="N6838" i="7"/>
  <c r="N6547" i="7"/>
  <c r="N6505" i="7"/>
  <c r="N6320" i="7"/>
  <c r="N6309" i="7"/>
  <c r="N6207" i="7"/>
  <c r="N6064" i="7"/>
  <c r="N6063" i="7"/>
  <c r="N5963" i="7"/>
  <c r="N5940" i="7"/>
  <c r="N5898" i="7"/>
  <c r="N5710" i="7"/>
  <c r="N5569" i="7"/>
  <c r="N5468" i="7"/>
  <c r="N5368" i="7"/>
  <c r="N5280" i="7"/>
  <c r="N5201" i="7"/>
  <c r="N4831" i="7"/>
  <c r="N4790" i="7"/>
  <c r="N4538" i="7"/>
  <c r="N4537" i="7"/>
  <c r="N4378" i="7"/>
  <c r="N4326" i="7"/>
  <c r="N3946" i="7"/>
  <c r="N3932" i="7"/>
  <c r="N3800" i="7"/>
  <c r="N3761" i="7"/>
  <c r="N3698" i="7"/>
  <c r="N3341" i="7"/>
  <c r="N3334" i="7"/>
  <c r="N3157" i="7"/>
  <c r="N3141" i="7"/>
  <c r="N3022" i="7"/>
  <c r="N2904" i="7"/>
  <c r="N2903" i="7"/>
  <c r="N2848" i="7"/>
  <c r="N2838" i="7"/>
  <c r="N2819" i="7"/>
  <c r="N2794" i="7"/>
  <c r="N2789" i="7"/>
  <c r="N2067" i="7"/>
  <c r="N1122" i="7"/>
  <c r="N883" i="7"/>
  <c r="N846" i="7"/>
  <c r="N845" i="7"/>
  <c r="N844" i="7"/>
  <c r="N843" i="7"/>
  <c r="N693" i="7"/>
  <c r="N646" i="7"/>
  <c r="N584" i="7"/>
  <c r="N96" i="7"/>
  <c r="N16" i="7"/>
  <c r="N9276" i="7"/>
  <c r="N9250" i="7"/>
  <c r="N8886" i="7"/>
  <c r="N8885" i="7"/>
  <c r="N8884" i="7"/>
  <c r="N8697" i="7"/>
  <c r="N8398" i="7"/>
  <c r="N8397" i="7"/>
  <c r="N8396" i="7"/>
  <c r="N8245" i="7"/>
  <c r="N8244" i="7"/>
  <c r="N8243" i="7"/>
  <c r="N7627" i="7"/>
  <c r="N7625" i="7"/>
  <c r="N7624" i="7"/>
  <c r="N7621" i="7"/>
  <c r="N7523" i="7"/>
  <c r="N7468" i="7"/>
  <c r="N7467" i="7"/>
  <c r="N7466" i="7"/>
  <c r="N7465" i="7"/>
  <c r="N7464" i="7"/>
  <c r="N7383" i="7"/>
  <c r="N7382" i="7"/>
  <c r="N7359" i="7"/>
  <c r="N7358" i="7"/>
  <c r="N7357" i="7"/>
  <c r="N7265" i="7"/>
  <c r="N7163" i="7"/>
  <c r="N7150" i="7"/>
  <c r="N7149" i="7"/>
  <c r="N7058" i="7"/>
  <c r="N7057" i="7"/>
  <c r="N7056" i="7"/>
  <c r="N7055" i="7"/>
  <c r="N6435" i="7"/>
  <c r="N6434" i="7"/>
  <c r="N6408" i="7"/>
  <c r="N5829" i="7"/>
  <c r="N5828" i="7"/>
  <c r="N5827" i="7"/>
  <c r="N5826" i="7"/>
  <c r="N4950" i="7"/>
  <c r="N4949" i="7"/>
  <c r="N4948" i="7"/>
  <c r="N4936" i="7"/>
  <c r="N4935" i="7"/>
  <c r="N4934" i="7"/>
  <c r="N4897" i="7"/>
  <c r="N4876" i="7"/>
  <c r="N4839" i="7"/>
  <c r="N4468" i="7"/>
  <c r="N4466" i="7"/>
  <c r="N4432" i="7"/>
  <c r="N4431" i="7"/>
  <c r="N4381" i="7"/>
  <c r="N4111" i="7"/>
  <c r="N1808" i="7"/>
  <c r="N1197" i="7"/>
  <c r="N1196" i="7"/>
  <c r="N1195" i="7"/>
  <c r="N1194" i="7"/>
  <c r="N1193" i="7"/>
  <c r="N1151" i="7"/>
  <c r="N1144" i="7"/>
  <c r="N1143" i="7"/>
  <c r="N1142" i="7"/>
  <c r="N1036" i="7"/>
  <c r="N1035" i="7"/>
  <c r="N1034" i="7"/>
  <c r="N895" i="7"/>
  <c r="N894" i="7"/>
  <c r="N893" i="7"/>
  <c r="N892" i="7"/>
  <c r="N850" i="7"/>
  <c r="N596" i="7"/>
  <c r="N256" i="7"/>
  <c r="N255" i="7"/>
  <c r="N2" i="7"/>
  <c r="N9006" i="7"/>
  <c r="N9005" i="7"/>
  <c r="N3752" i="7"/>
  <c r="N3098" i="7"/>
  <c r="N3097" i="7"/>
  <c r="N3082" i="7"/>
  <c r="N3080" i="7"/>
  <c r="N3073" i="7"/>
  <c r="N3072" i="7"/>
  <c r="N9207" i="7"/>
  <c r="N9206" i="7"/>
  <c r="N8491" i="7"/>
  <c r="N8457" i="7"/>
  <c r="N8425" i="7"/>
  <c r="N8105" i="7"/>
  <c r="N7952" i="7"/>
  <c r="N6708" i="7"/>
  <c r="N5945" i="7"/>
  <c r="N5943" i="7"/>
  <c r="N5942" i="7"/>
  <c r="N3197" i="7"/>
  <c r="N2912" i="7"/>
  <c r="N2150" i="7"/>
  <c r="N1819" i="7"/>
  <c r="N1484" i="7"/>
  <c r="N885" i="7"/>
  <c r="N847" i="7"/>
  <c r="N700" i="7"/>
  <c r="N699" i="7"/>
  <c r="N9144" i="7"/>
  <c r="N8510" i="7"/>
  <c r="N7203" i="7"/>
  <c r="N1182" i="7"/>
  <c r="N1181" i="7"/>
  <c r="N1002" i="7"/>
  <c r="N1001" i="7"/>
  <c r="N1000" i="7"/>
  <c r="N998" i="7"/>
  <c r="N997" i="7"/>
  <c r="N996" i="7"/>
  <c r="N9261" i="7"/>
  <c r="N9236" i="7"/>
  <c r="N9143" i="7"/>
  <c r="N7996" i="7"/>
  <c r="N7959" i="7"/>
  <c r="N7198" i="7"/>
  <c r="N6928" i="7"/>
  <c r="N6377" i="7"/>
  <c r="N6020" i="7"/>
  <c r="N5926" i="7"/>
  <c r="N5429" i="7"/>
  <c r="N5121" i="7"/>
  <c r="N5040" i="7"/>
  <c r="N4419" i="7"/>
  <c r="N4238" i="7"/>
  <c r="N3966" i="7"/>
  <c r="N3116" i="7"/>
  <c r="N2910" i="7"/>
  <c r="N2864" i="7"/>
  <c r="N2796" i="7"/>
  <c r="N2198" i="7"/>
  <c r="N1854" i="7"/>
  <c r="N1780" i="7"/>
  <c r="N1201" i="7"/>
  <c r="N724" i="7"/>
  <c r="N688" i="7"/>
  <c r="N508" i="7"/>
  <c r="N9295" i="7"/>
  <c r="N9260" i="7"/>
  <c r="N9248" i="7"/>
  <c r="N9235" i="7"/>
  <c r="N9142" i="7"/>
  <c r="N8705" i="7"/>
  <c r="N8522" i="7"/>
  <c r="N7995" i="7"/>
  <c r="N7838" i="7"/>
  <c r="N7734" i="7"/>
  <c r="N7599" i="7"/>
  <c r="N7197" i="7"/>
  <c r="N6927" i="7"/>
  <c r="N6167" i="7"/>
  <c r="N6019" i="7"/>
  <c r="N5896" i="7"/>
  <c r="N5430" i="7"/>
  <c r="N5246" i="7"/>
  <c r="N5122" i="7"/>
  <c r="N5039" i="7"/>
  <c r="N4829" i="7"/>
  <c r="N4240" i="7"/>
  <c r="N3965" i="7"/>
  <c r="N3943" i="7"/>
  <c r="N3928" i="7"/>
  <c r="N3426" i="7"/>
  <c r="N3203" i="7"/>
  <c r="N3115" i="7"/>
  <c r="N2909" i="7"/>
  <c r="N2800" i="7"/>
  <c r="N2423" i="7"/>
  <c r="N2409" i="7"/>
  <c r="N2197" i="7"/>
  <c r="N1853" i="7"/>
  <c r="N1763" i="7"/>
  <c r="N1696" i="7"/>
  <c r="N1684" i="7"/>
  <c r="N1200" i="7"/>
  <c r="N856" i="7"/>
  <c r="N723" i="7"/>
  <c r="N687" i="7"/>
  <c r="N654" i="7"/>
  <c r="N423" i="7"/>
  <c r="N102" i="7"/>
  <c r="N2199" i="7"/>
  <c r="N1855" i="7"/>
  <c r="N8199" i="7"/>
  <c r="N3746" i="7"/>
  <c r="N8887" i="7"/>
  <c r="N7620" i="7"/>
  <c r="N5830" i="7"/>
  <c r="N4258" i="7"/>
  <c r="N3185" i="7"/>
  <c r="N416" i="7"/>
  <c r="N101" i="7"/>
  <c r="N8880" i="7"/>
  <c r="N8879" i="7"/>
  <c r="N8709" i="7"/>
  <c r="N8708" i="7"/>
  <c r="N8707" i="7"/>
  <c r="N8706" i="7"/>
  <c r="N8519" i="7"/>
  <c r="N8518" i="7"/>
  <c r="N8517" i="7"/>
  <c r="N8516" i="7"/>
  <c r="N8515" i="7"/>
  <c r="N8514" i="7"/>
  <c r="N8513" i="7"/>
  <c r="N8512" i="7"/>
  <c r="N8484" i="7"/>
  <c r="N8483" i="7"/>
  <c r="N8482" i="7"/>
  <c r="N8481" i="7"/>
  <c r="N8480" i="7"/>
  <c r="N8479" i="7"/>
  <c r="N8478" i="7"/>
  <c r="N8287" i="7"/>
  <c r="N8250" i="7"/>
  <c r="N7968" i="7"/>
  <c r="N7608" i="7"/>
  <c r="N6399" i="7"/>
  <c r="N6398" i="7"/>
  <c r="N6397" i="7"/>
  <c r="N6396" i="7"/>
  <c r="N6395" i="7"/>
  <c r="N6394" i="7"/>
  <c r="N5908" i="7"/>
  <c r="N5907" i="7"/>
  <c r="N5906" i="7"/>
  <c r="N5905" i="7"/>
  <c r="N5904" i="7"/>
  <c r="N5903" i="7"/>
  <c r="N5902" i="7"/>
  <c r="N5901" i="7"/>
  <c r="N4405" i="7"/>
  <c r="N4402" i="7"/>
  <c r="N4386" i="7"/>
  <c r="N4370" i="7"/>
  <c r="N4369" i="7"/>
  <c r="N4354" i="7"/>
  <c r="N4353" i="7"/>
  <c r="N4352" i="7"/>
  <c r="N4351" i="7"/>
  <c r="N4350" i="7"/>
  <c r="N4349" i="7"/>
  <c r="N4348" i="7"/>
  <c r="N4347" i="7"/>
  <c r="N4346" i="7"/>
  <c r="N4345" i="7"/>
  <c r="N4344" i="7"/>
  <c r="N4343" i="7"/>
  <c r="N3886" i="7"/>
  <c r="N3780" i="7"/>
  <c r="N3740" i="7"/>
  <c r="N3730" i="7"/>
  <c r="N3729" i="7"/>
  <c r="N3503" i="7"/>
  <c r="N3365" i="7"/>
  <c r="N2945" i="7"/>
  <c r="N2944" i="7"/>
  <c r="N2943" i="7"/>
  <c r="N2942" i="7"/>
  <c r="N2941" i="7"/>
  <c r="N2940" i="7"/>
  <c r="N2939" i="7"/>
  <c r="N2938" i="7"/>
  <c r="N2937" i="7"/>
  <c r="N2936" i="7"/>
  <c r="N2927" i="7"/>
  <c r="N2923" i="7"/>
  <c r="N2922" i="7"/>
  <c r="N2921" i="7"/>
  <c r="N1707" i="7"/>
  <c r="N1706" i="7"/>
  <c r="N1705" i="7"/>
  <c r="N1704" i="7"/>
  <c r="N1703" i="7"/>
  <c r="N1702" i="7"/>
  <c r="N652" i="7"/>
  <c r="N122" i="7"/>
  <c r="N121" i="7"/>
  <c r="N120" i="7"/>
  <c r="N119" i="7"/>
  <c r="N118" i="7"/>
  <c r="N117" i="7"/>
  <c r="N116" i="7"/>
  <c r="N115" i="7"/>
  <c r="N114" i="7"/>
  <c r="N113" i="7"/>
  <c r="N112" i="7"/>
  <c r="N111" i="7"/>
  <c r="N110" i="7"/>
  <c r="N109" i="7"/>
  <c r="N108" i="7"/>
  <c r="N107" i="7"/>
  <c r="N106" i="7"/>
  <c r="N105" i="7"/>
  <c r="N8368" i="7"/>
  <c r="N2426" i="7"/>
  <c r="N2412" i="7"/>
  <c r="N9364" i="7"/>
  <c r="N9270" i="7"/>
  <c r="N9269" i="7"/>
  <c r="N9268" i="7"/>
  <c r="N9266" i="7"/>
  <c r="N9265" i="7"/>
  <c r="N9258" i="7"/>
  <c r="N9249" i="7"/>
  <c r="N9212" i="7"/>
  <c r="N9121" i="7"/>
  <c r="N9042" i="7"/>
  <c r="N9041" i="7"/>
  <c r="N8941" i="7"/>
  <c r="N8784" i="7"/>
  <c r="N8747" i="7"/>
  <c r="N8746" i="7"/>
  <c r="N8674" i="7"/>
  <c r="N8673" i="7"/>
  <c r="N8672" i="7"/>
  <c r="N8553" i="7"/>
  <c r="N8552" i="7"/>
  <c r="N8551" i="7"/>
  <c r="N8550" i="7"/>
  <c r="N8443" i="7"/>
  <c r="N8076" i="7"/>
  <c r="N8075" i="7"/>
  <c r="N8074" i="7"/>
  <c r="N8073" i="7"/>
  <c r="N8072" i="7"/>
  <c r="N8071" i="7"/>
  <c r="N8070" i="7"/>
  <c r="N8069" i="7"/>
  <c r="N7954" i="7"/>
  <c r="N7953" i="7"/>
  <c r="N7940" i="7"/>
  <c r="N7939" i="7"/>
  <c r="N7854" i="7"/>
  <c r="N7749" i="7"/>
  <c r="N7719" i="7"/>
  <c r="N7630" i="7"/>
  <c r="N7629" i="7"/>
  <c r="N7513" i="7"/>
  <c r="N7512" i="7"/>
  <c r="N7458" i="7"/>
  <c r="N7452" i="7"/>
  <c r="N7451" i="7"/>
  <c r="N7450" i="7"/>
  <c r="N7447" i="7"/>
  <c r="N7233" i="7"/>
  <c r="N7232" i="7"/>
  <c r="N7024" i="7"/>
  <c r="N7023" i="7"/>
  <c r="N7022" i="7"/>
  <c r="N7021" i="7"/>
  <c r="N7020" i="7"/>
  <c r="N7019" i="7"/>
  <c r="N7018" i="7"/>
  <c r="N7017" i="7"/>
  <c r="N7016" i="7"/>
  <c r="N7015" i="7"/>
  <c r="N7014" i="7"/>
  <c r="N7013" i="7"/>
  <c r="N7012" i="7"/>
  <c r="N7011" i="7"/>
  <c r="N7010" i="7"/>
  <c r="N7009" i="7"/>
  <c r="N7008" i="7"/>
  <c r="N7007" i="7"/>
  <c r="N7006" i="7"/>
  <c r="N7005" i="7"/>
  <c r="N6675" i="7"/>
  <c r="N6674" i="7"/>
  <c r="N6673" i="7"/>
  <c r="N6672" i="7"/>
  <c r="N6671" i="7"/>
  <c r="N6670" i="7"/>
  <c r="N6669" i="7"/>
  <c r="N6668" i="7"/>
  <c r="N6667" i="7"/>
  <c r="N6666" i="7"/>
  <c r="N6665" i="7"/>
  <c r="N6664" i="7"/>
  <c r="N6663" i="7"/>
  <c r="N6662" i="7"/>
  <c r="N6661" i="7"/>
  <c r="N6660" i="7"/>
  <c r="N6659" i="7"/>
  <c r="N6658" i="7"/>
  <c r="N6657" i="7"/>
  <c r="N6656" i="7"/>
  <c r="N6655" i="7"/>
  <c r="N6654" i="7"/>
  <c r="N6653" i="7"/>
  <c r="N6652" i="7"/>
  <c r="N6651" i="7"/>
  <c r="N6650" i="7"/>
  <c r="N6649" i="7"/>
  <c r="N6648" i="7"/>
  <c r="N6647" i="7"/>
  <c r="N6646" i="7"/>
  <c r="N6645" i="7"/>
  <c r="N6644" i="7"/>
  <c r="N6588" i="7"/>
  <c r="N6587" i="7"/>
  <c r="N6586" i="7"/>
  <c r="N6585" i="7"/>
  <c r="N6508" i="7"/>
  <c r="N6506" i="7"/>
  <c r="N6463" i="7"/>
  <c r="N6433" i="7"/>
  <c r="N6391" i="7"/>
  <c r="N6376" i="7"/>
  <c r="N6374" i="7"/>
  <c r="N6373" i="7"/>
  <c r="N6369" i="7"/>
  <c r="N6366" i="7"/>
  <c r="N6360" i="7"/>
  <c r="N6359" i="7"/>
  <c r="N6317" i="7"/>
  <c r="N6306" i="7"/>
  <c r="N6254" i="7"/>
  <c r="N6252" i="7"/>
  <c r="N6194" i="7"/>
  <c r="N6193" i="7"/>
  <c r="N6192" i="7"/>
  <c r="N6191" i="7"/>
  <c r="N6054" i="7"/>
  <c r="N6053" i="7"/>
  <c r="N6052" i="7"/>
  <c r="N6051" i="7"/>
  <c r="N6050" i="7"/>
  <c r="N6049" i="7"/>
  <c r="N6048" i="7"/>
  <c r="N5897" i="7"/>
  <c r="N5817" i="7"/>
  <c r="N5816" i="7"/>
  <c r="N5563" i="7"/>
  <c r="N5562" i="7"/>
  <c r="N5459" i="7"/>
  <c r="N5458" i="7"/>
  <c r="N5457" i="7"/>
  <c r="N5456" i="7"/>
  <c r="N5455" i="7"/>
  <c r="N5275" i="7"/>
  <c r="N5274" i="7"/>
  <c r="N5273" i="7"/>
  <c r="N5272" i="7"/>
  <c r="N5111" i="7"/>
  <c r="N5099" i="7"/>
  <c r="N5098" i="7"/>
  <c r="N5097" i="7"/>
  <c r="N5096" i="7"/>
  <c r="N5095" i="7"/>
  <c r="N5094" i="7"/>
  <c r="N5092" i="7"/>
  <c r="N5078" i="7"/>
  <c r="N5077" i="7"/>
  <c r="N5076" i="7"/>
  <c r="N5075" i="7"/>
  <c r="N5074" i="7"/>
  <c r="N5073" i="7"/>
  <c r="N5072" i="7"/>
  <c r="N5071" i="7"/>
  <c r="N4907" i="7"/>
  <c r="N4900" i="7"/>
  <c r="N4870" i="7"/>
  <c r="N4869" i="7"/>
  <c r="N4868" i="7"/>
  <c r="N4867" i="7"/>
  <c r="N4828" i="7"/>
  <c r="N4827" i="7"/>
  <c r="N4826" i="7"/>
  <c r="N4825" i="7"/>
  <c r="N4817" i="7"/>
  <c r="N4732" i="7"/>
  <c r="N4731" i="7"/>
  <c r="N4730" i="7"/>
  <c r="N4729" i="7"/>
  <c r="N4143" i="7"/>
  <c r="N4142" i="7"/>
  <c r="N4109" i="7"/>
  <c r="N4035" i="7"/>
  <c r="N4034" i="7"/>
  <c r="N4033" i="7"/>
  <c r="N4032" i="7"/>
  <c r="N4031" i="7"/>
  <c r="N3931" i="7"/>
  <c r="N3798" i="7"/>
  <c r="N3797" i="7"/>
  <c r="N3796" i="7"/>
  <c r="N3737" i="7"/>
  <c r="N3736" i="7"/>
  <c r="N3735" i="7"/>
  <c r="N3734" i="7"/>
  <c r="N3516" i="7"/>
  <c r="N3513" i="7"/>
  <c r="N3512" i="7"/>
  <c r="N3452" i="7"/>
  <c r="N3451" i="7"/>
  <c r="N3450" i="7"/>
  <c r="N3449" i="7"/>
  <c r="N3448" i="7"/>
  <c r="N3271" i="7"/>
  <c r="N3270" i="7"/>
  <c r="N3269" i="7"/>
  <c r="N3268" i="7"/>
  <c r="N3267" i="7"/>
  <c r="N2918" i="7"/>
  <c r="N2380" i="7"/>
  <c r="N2379" i="7"/>
  <c r="N2378" i="7"/>
  <c r="N2274" i="7"/>
  <c r="N2273" i="7"/>
  <c r="N2272" i="7"/>
  <c r="N2271" i="7"/>
  <c r="N2270" i="7"/>
  <c r="N2269" i="7"/>
  <c r="N2268" i="7"/>
  <c r="N2267" i="7"/>
  <c r="N2266" i="7"/>
  <c r="N2265" i="7"/>
  <c r="N2264" i="7"/>
  <c r="N2263" i="7"/>
  <c r="N2062" i="7"/>
  <c r="N2061" i="7"/>
  <c r="N2060" i="7"/>
  <c r="N2059" i="7"/>
  <c r="N2058" i="7"/>
  <c r="N2057" i="7"/>
  <c r="N1885" i="7"/>
  <c r="N1884" i="7"/>
  <c r="N1883" i="7"/>
  <c r="N1882" i="7"/>
  <c r="N1881" i="7"/>
  <c r="N1880" i="7"/>
  <c r="N1879" i="7"/>
  <c r="N1027" i="7"/>
  <c r="N1026" i="7"/>
  <c r="N1025" i="7"/>
  <c r="N752" i="7"/>
  <c r="N751" i="7"/>
  <c r="N750" i="7"/>
  <c r="N749" i="7"/>
  <c r="N748" i="7"/>
  <c r="N678" i="7"/>
  <c r="N677" i="7"/>
  <c r="N675" i="7"/>
  <c r="N674" i="7"/>
  <c r="N583" i="7"/>
  <c r="N582" i="7"/>
  <c r="N564" i="7"/>
  <c r="N563" i="7"/>
  <c r="N522" i="7"/>
  <c r="N521" i="7"/>
  <c r="N274" i="7"/>
  <c r="N270" i="7"/>
  <c r="N269" i="7"/>
  <c r="N268" i="7"/>
  <c r="N47" i="7"/>
  <c r="N46" i="7"/>
  <c r="N45" i="7"/>
  <c r="N44" i="7"/>
  <c r="N7780" i="7"/>
  <c r="N6737" i="7"/>
  <c r="N6707" i="7"/>
  <c r="N4554" i="7"/>
  <c r="N4553" i="7"/>
  <c r="N9422" i="7"/>
  <c r="N9172" i="7"/>
  <c r="N8948" i="7"/>
  <c r="N8864" i="7"/>
  <c r="N8834" i="7"/>
  <c r="N8770" i="7"/>
  <c r="N8643" i="7"/>
  <c r="N8611" i="7"/>
  <c r="N8100" i="7"/>
  <c r="N8099" i="7"/>
  <c r="N7908" i="7"/>
  <c r="N7802" i="7"/>
  <c r="N7705" i="7"/>
  <c r="N7666" i="7"/>
  <c r="N7547" i="7"/>
  <c r="N7506" i="7"/>
  <c r="N7254" i="7"/>
  <c r="N7162" i="7"/>
  <c r="N7039" i="7"/>
  <c r="N6794" i="7"/>
  <c r="N6592" i="7"/>
  <c r="N6257" i="7"/>
  <c r="N6062" i="7"/>
  <c r="N5997" i="7"/>
  <c r="N5996" i="7"/>
  <c r="N5586" i="7"/>
  <c r="N5465" i="7"/>
  <c r="N5279" i="7"/>
  <c r="N5148" i="7"/>
  <c r="N4896" i="7"/>
  <c r="N4452" i="7"/>
  <c r="N4265" i="7"/>
  <c r="N4197" i="7"/>
  <c r="N3769" i="7"/>
  <c r="N3719" i="7"/>
  <c r="N3436" i="7"/>
  <c r="N3276" i="7"/>
  <c r="N3140" i="7"/>
  <c r="N2580" i="7"/>
  <c r="N2558" i="7"/>
  <c r="N1730" i="7"/>
  <c r="N397" i="7"/>
  <c r="N186" i="7"/>
  <c r="N8104" i="7"/>
  <c r="N6072" i="7"/>
  <c r="N1900" i="7"/>
  <c r="N7266" i="7"/>
  <c r="N6898" i="7"/>
  <c r="N6750" i="7"/>
  <c r="N6749" i="7"/>
  <c r="N6748" i="7"/>
  <c r="N5392" i="7"/>
  <c r="N5391" i="7"/>
  <c r="N5390" i="7"/>
  <c r="N5389" i="7"/>
  <c r="N5205" i="7"/>
  <c r="N3053" i="7"/>
  <c r="N1384" i="7"/>
  <c r="N983" i="7"/>
  <c r="N982" i="7"/>
  <c r="N981" i="7"/>
  <c r="N980" i="7"/>
  <c r="N927" i="7"/>
  <c r="N926" i="7"/>
  <c r="N925" i="7"/>
  <c r="N924" i="7"/>
  <c r="N247" i="7"/>
  <c r="N246" i="7"/>
  <c r="N245" i="7"/>
  <c r="N244" i="7"/>
  <c r="N8062" i="7"/>
  <c r="N7229" i="7"/>
  <c r="N6825" i="7"/>
  <c r="N6824" i="7"/>
  <c r="N3530" i="7"/>
  <c r="N8213" i="7"/>
  <c r="N8212" i="7"/>
  <c r="N8211" i="7"/>
  <c r="N7647" i="7"/>
  <c r="N7646" i="7"/>
  <c r="N7645" i="7"/>
  <c r="N6730" i="7"/>
  <c r="N6729" i="7"/>
  <c r="N6385" i="7"/>
  <c r="N6004" i="7"/>
  <c r="N6003" i="7"/>
  <c r="N6002" i="7"/>
  <c r="N6001" i="7"/>
  <c r="N6000" i="7"/>
  <c r="N5992" i="7"/>
  <c r="N5991" i="7"/>
  <c r="N5990" i="7"/>
  <c r="N5989" i="7"/>
  <c r="N5988" i="7"/>
  <c r="N1212" i="7"/>
  <c r="N1211" i="7"/>
  <c r="N1174" i="7"/>
  <c r="N1173" i="7"/>
  <c r="N9438" i="7"/>
  <c r="N9437" i="7"/>
  <c r="N9380" i="7"/>
  <c r="N9337" i="7"/>
  <c r="N9300" i="7"/>
  <c r="N9287" i="7"/>
  <c r="N9184" i="7"/>
  <c r="N9183" i="7"/>
  <c r="N9182" i="7"/>
  <c r="N9092" i="7"/>
  <c r="N9091" i="7"/>
  <c r="N9090" i="7"/>
  <c r="N8978" i="7"/>
  <c r="N8977" i="7"/>
  <c r="N8976" i="7"/>
  <c r="N8975" i="7"/>
  <c r="N8721" i="7"/>
  <c r="N8720" i="7"/>
  <c r="N8719" i="7"/>
  <c r="N8718" i="7"/>
  <c r="N8717" i="7"/>
  <c r="N8628" i="7"/>
  <c r="N8619" i="7"/>
  <c r="N8618" i="7"/>
  <c r="N8564" i="7"/>
  <c r="N8563" i="7"/>
  <c r="N8562" i="7"/>
  <c r="N8561" i="7"/>
  <c r="N8387" i="7"/>
  <c r="N8386" i="7"/>
  <c r="N8366" i="7"/>
  <c r="N8365" i="7"/>
  <c r="N8363" i="7"/>
  <c r="N7937" i="7"/>
  <c r="N7763" i="7"/>
  <c r="N7674" i="7"/>
  <c r="N7673" i="7"/>
  <c r="N7598" i="7"/>
  <c r="N6897" i="7"/>
  <c r="N6896" i="7"/>
  <c r="N6769" i="7"/>
  <c r="N6768" i="7"/>
  <c r="N6767" i="7"/>
  <c r="N6766" i="7"/>
  <c r="N6765" i="7"/>
  <c r="N6764" i="7"/>
  <c r="N6608" i="7"/>
  <c r="N6607" i="7"/>
  <c r="N6606" i="7"/>
  <c r="N6605" i="7"/>
  <c r="N6462" i="7"/>
  <c r="N6461" i="7"/>
  <c r="N6460" i="7"/>
  <c r="N6325" i="7"/>
  <c r="N6324" i="7"/>
  <c r="N6323" i="7"/>
  <c r="N6322" i="7"/>
  <c r="N6314" i="7"/>
  <c r="N6313" i="7"/>
  <c r="N6312" i="7"/>
  <c r="N6311" i="7"/>
  <c r="N6258" i="7"/>
  <c r="N6102" i="7"/>
  <c r="N6101" i="7"/>
  <c r="N6100" i="7"/>
  <c r="N6099" i="7"/>
  <c r="N6098" i="7"/>
  <c r="N5976" i="7"/>
  <c r="N5975" i="7"/>
  <c r="N5974" i="7"/>
  <c r="N5973" i="7"/>
  <c r="N5972" i="7"/>
  <c r="N5971" i="7"/>
  <c r="N5938" i="7"/>
  <c r="N5937" i="7"/>
  <c r="N5936" i="7"/>
  <c r="N5935" i="7"/>
  <c r="N5707" i="7"/>
  <c r="N5699" i="7"/>
  <c r="N5697" i="7"/>
  <c r="N5695" i="7"/>
  <c r="N5693" i="7"/>
  <c r="N5652" i="7"/>
  <c r="N5651" i="7"/>
  <c r="N5650" i="7"/>
  <c r="N5610" i="7"/>
  <c r="N5566" i="7"/>
  <c r="N5565" i="7"/>
  <c r="N5564" i="7"/>
  <c r="N5501" i="7"/>
  <c r="N5500" i="7"/>
  <c r="N5499" i="7"/>
  <c r="N5498" i="7"/>
  <c r="N5497" i="7"/>
  <c r="N5496" i="7"/>
  <c r="N5495" i="7"/>
  <c r="N5388" i="7"/>
  <c r="N5387" i="7"/>
  <c r="N5321" i="7"/>
  <c r="N5320" i="7"/>
  <c r="N5175" i="7"/>
  <c r="N5174" i="7"/>
  <c r="N5173" i="7"/>
  <c r="N5010" i="7"/>
  <c r="N5009" i="7"/>
  <c r="N5008" i="7"/>
  <c r="N5007" i="7"/>
  <c r="N5006" i="7"/>
  <c r="N4917" i="7"/>
  <c r="N4916" i="7"/>
  <c r="N4915" i="7"/>
  <c r="N4914" i="7"/>
  <c r="N4913" i="7"/>
  <c r="N4912" i="7"/>
  <c r="N4911" i="7"/>
  <c r="N4910" i="7"/>
  <c r="N4909" i="7"/>
  <c r="N4882" i="7"/>
  <c r="N4881" i="7"/>
  <c r="N4880" i="7"/>
  <c r="N4879" i="7"/>
  <c r="N4878" i="7"/>
  <c r="N4758" i="7"/>
  <c r="N4757" i="7"/>
  <c r="N4756" i="7"/>
  <c r="N4755" i="7"/>
  <c r="N4630" i="7"/>
  <c r="N4629" i="7"/>
  <c r="N4628" i="7"/>
  <c r="N4627" i="7"/>
  <c r="N4626" i="7"/>
  <c r="N4562" i="7"/>
  <c r="N4524" i="7"/>
  <c r="N4476" i="7"/>
  <c r="N4475" i="7"/>
  <c r="N4474" i="7"/>
  <c r="N4473" i="7"/>
  <c r="N4472" i="7"/>
  <c r="N4471" i="7"/>
  <c r="N4470" i="7"/>
  <c r="N4373" i="7"/>
  <c r="N4372" i="7"/>
  <c r="N4371" i="7"/>
  <c r="N4154" i="7"/>
  <c r="N4153" i="7"/>
  <c r="N4152" i="7"/>
  <c r="N4151" i="7"/>
  <c r="N4150" i="7"/>
  <c r="N4000" i="7"/>
  <c r="N3999" i="7"/>
  <c r="N3998" i="7"/>
  <c r="N3952" i="7"/>
  <c r="N3951" i="7"/>
  <c r="N3938" i="7"/>
  <c r="N3937" i="7"/>
  <c r="N3893" i="7"/>
  <c r="N3891" i="7"/>
  <c r="N3890" i="7"/>
  <c r="N3889" i="7"/>
  <c r="N3888" i="7"/>
  <c r="N3887" i="7"/>
  <c r="N3812" i="7"/>
  <c r="N3811" i="7"/>
  <c r="N3810" i="7"/>
  <c r="N3809" i="7"/>
  <c r="N3697" i="7"/>
  <c r="N3696" i="7"/>
  <c r="N3695" i="7"/>
  <c r="N3694" i="7"/>
  <c r="N3596" i="7"/>
  <c r="N3595" i="7"/>
  <c r="N3594" i="7"/>
  <c r="N3593" i="7"/>
  <c r="N3592" i="7"/>
  <c r="N3591" i="7"/>
  <c r="N3437" i="7"/>
  <c r="N3367" i="7"/>
  <c r="N3311" i="7"/>
  <c r="N3309" i="7"/>
  <c r="N3308" i="7"/>
  <c r="N3307" i="7"/>
  <c r="N3218" i="7"/>
  <c r="N3217" i="7"/>
  <c r="N3216" i="7"/>
  <c r="N3215" i="7"/>
  <c r="N3052" i="7"/>
  <c r="N3051" i="7"/>
  <c r="N3050" i="7"/>
  <c r="N2925" i="7"/>
  <c r="N2924" i="7"/>
  <c r="N2889" i="7"/>
  <c r="N2862" i="7"/>
  <c r="N2861" i="7"/>
  <c r="N2802" i="7"/>
  <c r="N2679" i="7"/>
  <c r="N2678" i="7"/>
  <c r="N2677" i="7"/>
  <c r="N2627" i="7"/>
  <c r="N2626" i="7"/>
  <c r="N2625" i="7"/>
  <c r="N2392" i="7"/>
  <c r="N2321" i="7"/>
  <c r="N2320" i="7"/>
  <c r="N2319" i="7"/>
  <c r="N2318" i="7"/>
  <c r="N2317" i="7"/>
  <c r="N2316" i="7"/>
  <c r="N2315" i="7"/>
  <c r="N2314" i="7"/>
  <c r="N2313" i="7"/>
  <c r="N2312" i="7"/>
  <c r="N2311" i="7"/>
  <c r="N2310" i="7"/>
  <c r="N2309" i="7"/>
  <c r="N2169" i="7"/>
  <c r="N2168" i="7"/>
  <c r="N2167" i="7"/>
  <c r="N2036" i="7"/>
  <c r="N2035" i="7"/>
  <c r="N2034" i="7"/>
  <c r="N1931" i="7"/>
  <c r="N1930" i="7"/>
  <c r="N1929" i="7"/>
  <c r="N1928" i="7"/>
  <c r="N1927" i="7"/>
  <c r="N1926" i="7"/>
  <c r="N1925" i="7"/>
  <c r="N1924" i="7"/>
  <c r="N1923" i="7"/>
  <c r="N1846" i="7"/>
  <c r="N1644" i="7"/>
  <c r="N1643" i="7"/>
  <c r="N1642" i="7"/>
  <c r="N1641" i="7"/>
  <c r="N1640" i="7"/>
  <c r="N1639" i="7"/>
  <c r="N1592" i="7"/>
  <c r="N1591" i="7"/>
  <c r="N1590" i="7"/>
  <c r="N1511" i="7"/>
  <c r="N1510" i="7"/>
  <c r="N1509" i="7"/>
  <c r="N1508" i="7"/>
  <c r="N1507" i="7"/>
  <c r="N1506" i="7"/>
  <c r="N1214" i="7"/>
  <c r="N901" i="7"/>
  <c r="N900" i="7"/>
  <c r="N899" i="7"/>
  <c r="N898" i="7"/>
  <c r="N897" i="7"/>
  <c r="N896" i="7"/>
  <c r="N785" i="7"/>
  <c r="N784" i="7"/>
  <c r="N783" i="7"/>
  <c r="N782" i="7"/>
  <c r="N781" i="7"/>
  <c r="N592" i="7"/>
  <c r="N304" i="7"/>
  <c r="N303" i="7"/>
  <c r="N302" i="7"/>
  <c r="N301" i="7"/>
  <c r="N300" i="7"/>
  <c r="N299" i="7"/>
  <c r="N298" i="7"/>
  <c r="N206" i="7"/>
  <c r="N205" i="7"/>
  <c r="N204" i="7"/>
  <c r="N203" i="7"/>
  <c r="N65" i="7"/>
  <c r="N64" i="7"/>
  <c r="N8395" i="7"/>
  <c r="N7505" i="7"/>
  <c r="N6828" i="7"/>
  <c r="N4404" i="7"/>
  <c r="N3870" i="7"/>
  <c r="N2443" i="7"/>
  <c r="N8319" i="7"/>
  <c r="N8276" i="7"/>
  <c r="N8275" i="7"/>
  <c r="N8274" i="7"/>
  <c r="N8273" i="7"/>
  <c r="N8214" i="7"/>
  <c r="N5791" i="7"/>
  <c r="N5461" i="7"/>
  <c r="N4565" i="7"/>
  <c r="N4115" i="7"/>
  <c r="N4105" i="7"/>
  <c r="N9201" i="7"/>
  <c r="N9200" i="7"/>
  <c r="N5595" i="7"/>
  <c r="N3101" i="7"/>
  <c r="N9168" i="7"/>
  <c r="N2088" i="7"/>
  <c r="N2002" i="7"/>
  <c r="N9421" i="7"/>
  <c r="N9376" i="7"/>
  <c r="N9234" i="7"/>
  <c r="N9171" i="7"/>
  <c r="N9170" i="7"/>
  <c r="N9016" i="7"/>
  <c r="N8947" i="7"/>
  <c r="N8946" i="7"/>
  <c r="N8863" i="7"/>
  <c r="N8586" i="7"/>
  <c r="N8492" i="7"/>
  <c r="N8302" i="7"/>
  <c r="N8096" i="7"/>
  <c r="N8095" i="7"/>
  <c r="N7920" i="7"/>
  <c r="N7786" i="7"/>
  <c r="N7774" i="7"/>
  <c r="N7253" i="7"/>
  <c r="N7252" i="7"/>
  <c r="N7251" i="7"/>
  <c r="N7038" i="7"/>
  <c r="N7037" i="7"/>
  <c r="N6848" i="7"/>
  <c r="N6827" i="7"/>
  <c r="N6826" i="7"/>
  <c r="N6722" i="7"/>
  <c r="N6718" i="7"/>
  <c r="N6591" i="7"/>
  <c r="N6422" i="7"/>
  <c r="N6206" i="7"/>
  <c r="N6061" i="7"/>
  <c r="N5874" i="7"/>
  <c r="N5853" i="7"/>
  <c r="N5531" i="7"/>
  <c r="N4933" i="7"/>
  <c r="N4736" i="7"/>
  <c r="N4735" i="7"/>
  <c r="N4248" i="7"/>
  <c r="N4196" i="7"/>
  <c r="N4195" i="7"/>
  <c r="N4042" i="7"/>
  <c r="N4041" i="7"/>
  <c r="N3868" i="7"/>
  <c r="N3867" i="7"/>
  <c r="N3627" i="7"/>
  <c r="N3364" i="7"/>
  <c r="N3275" i="7"/>
  <c r="N3274" i="7"/>
  <c r="N3273" i="7"/>
  <c r="N3229" i="7"/>
  <c r="N3139" i="7"/>
  <c r="N2731" i="7"/>
  <c r="N2730" i="7"/>
  <c r="N2729" i="7"/>
  <c r="N2550" i="7"/>
  <c r="N2463" i="7"/>
  <c r="N2383" i="7"/>
  <c r="N2147" i="7"/>
  <c r="N2146" i="7"/>
  <c r="N1897" i="7"/>
  <c r="N1818" i="7"/>
  <c r="N1756" i="7"/>
  <c r="N1755" i="7"/>
  <c r="N1729" i="7"/>
  <c r="N1622" i="7"/>
  <c r="N1621" i="7"/>
  <c r="N1269" i="7"/>
  <c r="N1268" i="7"/>
  <c r="N1107" i="7"/>
  <c r="N1032" i="7"/>
  <c r="N798" i="7"/>
  <c r="N399" i="7"/>
  <c r="N398" i="7"/>
  <c r="N3925" i="7"/>
  <c r="N3846" i="7"/>
  <c r="N3845" i="7"/>
  <c r="N3844" i="7"/>
  <c r="N3843" i="7"/>
  <c r="N3842" i="7"/>
  <c r="N3841" i="7"/>
  <c r="N3840" i="7"/>
  <c r="N3839" i="7"/>
  <c r="N3838" i="7"/>
  <c r="N3837" i="7"/>
  <c r="N3836" i="7"/>
  <c r="N3835" i="7"/>
  <c r="N3834" i="7"/>
  <c r="N3833" i="7"/>
  <c r="N3832" i="7"/>
  <c r="N3831" i="7"/>
  <c r="N3830" i="7"/>
  <c r="N3829" i="7"/>
  <c r="N3828" i="7"/>
  <c r="N3827" i="7"/>
  <c r="N4342" i="7"/>
  <c r="N3024" i="7"/>
  <c r="N8521" i="7"/>
  <c r="N7618" i="7"/>
  <c r="N7617" i="7"/>
  <c r="N7616" i="7"/>
  <c r="N7615" i="7"/>
  <c r="N7614" i="7"/>
  <c r="N7613" i="7"/>
  <c r="N7612" i="7"/>
  <c r="N7611" i="7"/>
  <c r="N7501" i="7"/>
  <c r="N7500" i="7"/>
  <c r="N6008" i="7"/>
  <c r="N6007" i="7"/>
  <c r="N6006" i="7"/>
  <c r="N5984" i="7"/>
  <c r="N5983" i="7"/>
  <c r="N5982" i="7"/>
  <c r="N3745" i="7"/>
  <c r="N1411" i="7"/>
  <c r="N1410" i="7"/>
  <c r="N1409" i="7"/>
  <c r="N1408" i="7"/>
  <c r="N1407" i="7"/>
  <c r="N1406" i="7"/>
  <c r="N1220" i="7"/>
  <c r="N1219" i="7"/>
  <c r="N690" i="7"/>
  <c r="N3954" i="7"/>
  <c r="N3940" i="7"/>
  <c r="N8677" i="7"/>
  <c r="N7847" i="7"/>
  <c r="N7154" i="7"/>
  <c r="N7153" i="7"/>
  <c r="N5981" i="7"/>
  <c r="N3200" i="7"/>
  <c r="N3186" i="7"/>
  <c r="N3184" i="7"/>
  <c r="N2931" i="7"/>
  <c r="N2907" i="7"/>
  <c r="N2905" i="7"/>
  <c r="N2791" i="7"/>
  <c r="N1152" i="7"/>
  <c r="L512" i="6"/>
  <c r="O512" i="6" s="1"/>
  <c r="N512" i="6"/>
  <c r="N2908" i="7"/>
  <c r="N689" i="7"/>
  <c r="N8493" i="7"/>
  <c r="N8466" i="7"/>
  <c r="N6468" i="7"/>
  <c r="N4903" i="7"/>
  <c r="N4830" i="7"/>
  <c r="N4820" i="7"/>
  <c r="N4526" i="7"/>
  <c r="N4355" i="7"/>
  <c r="N3741" i="7"/>
  <c r="N858" i="7"/>
  <c r="N9372" i="7"/>
  <c r="N8446" i="7"/>
  <c r="N7643" i="7"/>
  <c r="N4268" i="7"/>
  <c r="N1050" i="7"/>
  <c r="N1049" i="7"/>
  <c r="N1048" i="7"/>
  <c r="N2843" i="7"/>
  <c r="N2842" i="7"/>
  <c r="N2841" i="7"/>
  <c r="N9386" i="7"/>
  <c r="N9209" i="7"/>
  <c r="N8771" i="7"/>
  <c r="N7396" i="7"/>
  <c r="N7395" i="7"/>
  <c r="N6519" i="7"/>
  <c r="N6481" i="7"/>
  <c r="N6364" i="7"/>
  <c r="N5041" i="7"/>
  <c r="N4906" i="7"/>
  <c r="N2468" i="7"/>
  <c r="N2467" i="7"/>
  <c r="N2466" i="7"/>
  <c r="N1426" i="7"/>
  <c r="N1425" i="7"/>
  <c r="N1424" i="7"/>
  <c r="N1423" i="7"/>
  <c r="N1422" i="7"/>
  <c r="N712" i="7"/>
  <c r="N694" i="7"/>
  <c r="N9413" i="7"/>
  <c r="N8471" i="7"/>
  <c r="N7787" i="7"/>
  <c r="N7554" i="7"/>
  <c r="N7553" i="7"/>
  <c r="N7491" i="7"/>
  <c r="N7490" i="7"/>
  <c r="N7489" i="7"/>
  <c r="N7196" i="7"/>
  <c r="N7195" i="7"/>
  <c r="N6844" i="7"/>
  <c r="N6843" i="7"/>
  <c r="N6842" i="7"/>
  <c r="N6017" i="7"/>
  <c r="N6016" i="7"/>
  <c r="N5427" i="7"/>
  <c r="N5245" i="7"/>
  <c r="N5070" i="7"/>
  <c r="N5068" i="7"/>
  <c r="N5067" i="7"/>
  <c r="N4408" i="7"/>
  <c r="N4399" i="7"/>
  <c r="N4398" i="7"/>
  <c r="N4392" i="7"/>
  <c r="N4391" i="7"/>
  <c r="N4390" i="7"/>
  <c r="N3545" i="7"/>
  <c r="N3424" i="7"/>
  <c r="N3385" i="7"/>
  <c r="N3384" i="7"/>
  <c r="N3383" i="7"/>
  <c r="N3378" i="7"/>
  <c r="N3377" i="7"/>
  <c r="N3376" i="7"/>
  <c r="N3375" i="7"/>
  <c r="N3374" i="7"/>
  <c r="N3356" i="7"/>
  <c r="N3111" i="7"/>
  <c r="N2422" i="7"/>
  <c r="N2421" i="7"/>
  <c r="N2408" i="7"/>
  <c r="N2407" i="7"/>
  <c r="N2030" i="7"/>
  <c r="N2029" i="7"/>
  <c r="N153" i="7"/>
  <c r="N152" i="7"/>
  <c r="N3078" i="7"/>
  <c r="N3075" i="7"/>
  <c r="N9241" i="7"/>
  <c r="N9208" i="7"/>
  <c r="N8777" i="7"/>
  <c r="N8426" i="7"/>
  <c r="N8394" i="7"/>
  <c r="N8378" i="7"/>
  <c r="N8296" i="7"/>
  <c r="N7504" i="7"/>
  <c r="N7398" i="7"/>
  <c r="N7397" i="7"/>
  <c r="N6924" i="7"/>
  <c r="N6923" i="7"/>
  <c r="N6431" i="7"/>
  <c r="N6367" i="7"/>
  <c r="N5994" i="7"/>
  <c r="N5993" i="7"/>
  <c r="N5328" i="7"/>
  <c r="N4532" i="7"/>
  <c r="N4525" i="7"/>
  <c r="N4407" i="7"/>
  <c r="N4406" i="7"/>
  <c r="N4403" i="7"/>
  <c r="N4328" i="7"/>
  <c r="N4327" i="7"/>
  <c r="N4101" i="7"/>
  <c r="N4100" i="7"/>
  <c r="N3956" i="7"/>
  <c r="N3848" i="7"/>
  <c r="N3368" i="7"/>
  <c r="N2462" i="7"/>
  <c r="N2445" i="7"/>
  <c r="N2444" i="7"/>
  <c r="N1129" i="7"/>
  <c r="N857" i="7"/>
  <c r="N284" i="7"/>
  <c r="N159" i="7"/>
  <c r="N158" i="7"/>
  <c r="N157" i="7"/>
  <c r="N156" i="7"/>
  <c r="N155" i="7"/>
  <c r="N154" i="7"/>
  <c r="N8438" i="7"/>
  <c r="N8437" i="7"/>
  <c r="N8436" i="7"/>
  <c r="N8435" i="7"/>
  <c r="N8434" i="7"/>
  <c r="N8433" i="7"/>
  <c r="N8432" i="7"/>
  <c r="N8431" i="7"/>
  <c r="N5863" i="7"/>
  <c r="N5862" i="7"/>
  <c r="N5861" i="7"/>
  <c r="N5405" i="7"/>
  <c r="N5404" i="7"/>
  <c r="N5403" i="7"/>
  <c r="N5402" i="7"/>
  <c r="N5401" i="7"/>
  <c r="N5400" i="7"/>
  <c r="N5399" i="7"/>
  <c r="N4098" i="7"/>
  <c r="N4097" i="7"/>
  <c r="N4096" i="7"/>
  <c r="N4095" i="7"/>
  <c r="N4094" i="7"/>
  <c r="N6861" i="7"/>
  <c r="N6860" i="7"/>
  <c r="N2006" i="7"/>
  <c r="N1265" i="7"/>
  <c r="N618" i="7"/>
  <c r="N617" i="7"/>
  <c r="N616" i="7"/>
  <c r="N600" i="7"/>
  <c r="N9416" i="7"/>
  <c r="N8472" i="7"/>
  <c r="N8440" i="7"/>
  <c r="N8028" i="7"/>
  <c r="N8027" i="7"/>
  <c r="N7217" i="7"/>
  <c r="N6951" i="7"/>
  <c r="N6432" i="7"/>
  <c r="N6027" i="7"/>
  <c r="N5709" i="7"/>
  <c r="N5349" i="7"/>
  <c r="N5261" i="7"/>
  <c r="N4982" i="7"/>
  <c r="N4672" i="7"/>
  <c r="N4102" i="7"/>
  <c r="N4025" i="7"/>
  <c r="N3552" i="7"/>
  <c r="N3434" i="7"/>
  <c r="N3256" i="7"/>
  <c r="N3255" i="7"/>
  <c r="N3254" i="7"/>
  <c r="N3083" i="7"/>
  <c r="N3071" i="7"/>
  <c r="N2992" i="7"/>
  <c r="N2991" i="7"/>
  <c r="N2459" i="7"/>
  <c r="N425" i="7"/>
  <c r="N150" i="7"/>
  <c r="N38" i="7"/>
  <c r="N9239" i="7"/>
  <c r="N9078" i="7"/>
  <c r="N8520" i="7"/>
  <c r="N8462" i="7"/>
  <c r="N6785" i="7"/>
  <c r="N6187" i="7"/>
  <c r="N5623" i="7"/>
  <c r="N3945" i="7"/>
  <c r="N3930" i="7"/>
  <c r="N3877" i="7"/>
  <c r="N3174" i="7"/>
  <c r="N3173" i="7"/>
  <c r="N1454" i="7"/>
  <c r="N692" i="7"/>
  <c r="N691" i="7"/>
  <c r="N686" i="7"/>
  <c r="N685" i="7"/>
  <c r="N182" i="7"/>
  <c r="N181" i="7"/>
  <c r="N9375" i="7"/>
  <c r="N9262" i="7"/>
  <c r="N9238" i="7"/>
  <c r="N9237" i="7"/>
  <c r="N8933" i="7"/>
  <c r="N8635" i="7"/>
  <c r="N8034" i="7"/>
  <c r="N7788" i="7"/>
  <c r="N7743" i="7"/>
  <c r="N7600" i="7"/>
  <c r="N7555" i="7"/>
  <c r="N7218" i="7"/>
  <c r="N6957" i="7"/>
  <c r="N6028" i="7"/>
  <c r="N5733" i="7"/>
  <c r="N5444" i="7"/>
  <c r="N5350" i="7"/>
  <c r="N4823" i="7"/>
  <c r="N4708" i="7"/>
  <c r="N4422" i="7"/>
  <c r="N4401" i="7"/>
  <c r="N4400" i="7"/>
  <c r="N4341" i="7"/>
  <c r="N4103" i="7"/>
  <c r="N3651" i="7"/>
  <c r="N3554" i="7"/>
  <c r="N3340" i="7"/>
  <c r="N3112" i="7"/>
  <c r="N2917" i="7"/>
  <c r="N2911" i="7"/>
  <c r="N2026" i="7"/>
  <c r="N1226" i="7"/>
  <c r="N1202" i="7"/>
  <c r="N1055" i="7"/>
  <c r="N160" i="7"/>
  <c r="N39" i="7"/>
  <c r="N6175" i="7"/>
  <c r="N3257" i="7"/>
  <c r="N8477" i="7"/>
  <c r="N8144" i="7"/>
  <c r="N8143" i="7"/>
  <c r="N6097" i="7"/>
  <c r="N5715" i="7"/>
  <c r="N5386" i="7"/>
  <c r="N5005" i="7"/>
  <c r="N4104" i="7"/>
  <c r="N3049" i="7"/>
  <c r="N3048" i="7"/>
  <c r="N2460" i="7"/>
  <c r="N441" i="7"/>
  <c r="N151" i="7"/>
  <c r="N63" i="7"/>
  <c r="N7144" i="7"/>
  <c r="N6900" i="7"/>
  <c r="N6899" i="7"/>
  <c r="N6226" i="7"/>
  <c r="N2458" i="7"/>
  <c r="N2457" i="7"/>
  <c r="N2456" i="7"/>
  <c r="N2179" i="7"/>
  <c r="N1584" i="7"/>
  <c r="N631" i="7"/>
  <c r="N9382" i="7"/>
  <c r="N9360" i="7"/>
  <c r="N8979" i="7"/>
  <c r="N7985" i="7"/>
  <c r="N7846" i="7"/>
  <c r="N5721" i="7"/>
  <c r="N4389" i="7"/>
  <c r="N3597" i="7"/>
  <c r="N3423" i="7"/>
  <c r="N3054" i="7"/>
  <c r="N2323" i="7"/>
  <c r="N2322" i="7"/>
  <c r="N2171" i="7"/>
  <c r="N1935" i="7"/>
  <c r="N1514" i="7"/>
  <c r="N1505" i="7"/>
  <c r="N1504" i="7"/>
  <c r="O38" i="5"/>
  <c r="P38" i="5" s="1"/>
  <c r="O113" i="5"/>
  <c r="P113" i="5" s="1"/>
  <c r="O213" i="5"/>
  <c r="P213" i="5" s="1"/>
  <c r="O9" i="5"/>
  <c r="P9" i="5" s="1"/>
  <c r="O100" i="5"/>
  <c r="P100" i="5" s="1"/>
  <c r="O182" i="5"/>
  <c r="P182" i="5" s="1"/>
  <c r="O207" i="5"/>
  <c r="P207" i="5" s="1"/>
  <c r="O142" i="5"/>
  <c r="P142" i="5" s="1"/>
  <c r="O4" i="5"/>
  <c r="P4" i="5" s="1"/>
  <c r="O94" i="5"/>
  <c r="P94" i="5" s="1"/>
  <c r="O204" i="5"/>
  <c r="P204" i="5" s="1"/>
  <c r="O29" i="5"/>
  <c r="P29" i="5" s="1"/>
  <c r="O112" i="5"/>
  <c r="P112" i="5" s="1"/>
  <c r="O44" i="5"/>
  <c r="P44" i="5" s="1"/>
  <c r="O58" i="5"/>
  <c r="P58" i="5" s="1"/>
  <c r="O98" i="5"/>
  <c r="P98" i="5" s="1"/>
  <c r="O57" i="5"/>
  <c r="P57" i="5" s="1"/>
  <c r="O143" i="5"/>
  <c r="P143" i="5" s="1"/>
  <c r="O165" i="5"/>
  <c r="P165" i="5" s="1"/>
  <c r="O111" i="5"/>
  <c r="P111" i="5" s="1"/>
  <c r="O110" i="5"/>
  <c r="P110" i="5" s="1"/>
  <c r="O49" i="5"/>
  <c r="P49" i="5" s="1"/>
  <c r="O3" i="5"/>
  <c r="P3" i="5" s="1"/>
  <c r="O154" i="5"/>
  <c r="P154" i="5" s="1"/>
  <c r="O166" i="5"/>
  <c r="P166" i="5" s="1"/>
  <c r="O52" i="5"/>
  <c r="P52" i="5" s="1"/>
  <c r="O256" i="5"/>
  <c r="P256" i="5" s="1"/>
  <c r="O147" i="5"/>
  <c r="P147" i="5" s="1"/>
  <c r="O64" i="5"/>
  <c r="P64" i="5" s="1"/>
  <c r="O104" i="5"/>
  <c r="P104" i="5" s="1"/>
  <c r="O6" i="5"/>
  <c r="P6" i="5" s="1"/>
  <c r="O180" i="5"/>
  <c r="P180" i="5" s="1"/>
  <c r="O48" i="5"/>
  <c r="P48" i="5" s="1"/>
  <c r="O157" i="5"/>
  <c r="P157" i="5" s="1"/>
  <c r="O116" i="5"/>
  <c r="P116" i="5" s="1"/>
  <c r="O17" i="5"/>
  <c r="P17" i="5" s="1"/>
  <c r="O88" i="5"/>
  <c r="P88" i="5" s="1"/>
  <c r="O43" i="5"/>
  <c r="P43" i="5" s="1"/>
  <c r="O95" i="5"/>
  <c r="P95" i="5" s="1"/>
  <c r="O10" i="5"/>
  <c r="P10" i="5" s="1"/>
  <c r="O178" i="5"/>
  <c r="P178" i="5" s="1"/>
  <c r="O130" i="5"/>
  <c r="P130" i="5" s="1"/>
  <c r="O216" i="5"/>
  <c r="P216" i="5" s="1"/>
  <c r="O163" i="5"/>
  <c r="P163" i="5" s="1"/>
  <c r="O128" i="5"/>
  <c r="P128" i="5" s="1"/>
  <c r="O27" i="5"/>
  <c r="P27" i="5" s="1"/>
  <c r="O171" i="5"/>
  <c r="P171" i="5" s="1"/>
  <c r="O145" i="5"/>
  <c r="P145" i="5" s="1"/>
  <c r="O176" i="5"/>
  <c r="P176" i="5" s="1"/>
  <c r="O183" i="5"/>
  <c r="P183" i="5" s="1"/>
  <c r="O86" i="5"/>
  <c r="P86" i="5" s="1"/>
  <c r="O2" i="5"/>
  <c r="P2" i="5" s="1"/>
  <c r="O144" i="5"/>
  <c r="P144" i="5" s="1"/>
  <c r="O53" i="5"/>
  <c r="P53" i="5" s="1"/>
  <c r="O32" i="5"/>
  <c r="P32" i="5" s="1"/>
  <c r="O138" i="5"/>
  <c r="P138" i="5" s="1"/>
  <c r="O65" i="5"/>
  <c r="P65" i="5" s="1"/>
  <c r="O76" i="5"/>
  <c r="P76" i="5" s="1"/>
  <c r="O106" i="5"/>
  <c r="P106" i="5" s="1"/>
  <c r="O105" i="5"/>
  <c r="P105" i="5" s="1"/>
  <c r="O153" i="5"/>
  <c r="P153" i="5" s="1"/>
  <c r="O109" i="5"/>
  <c r="P109" i="5" s="1"/>
  <c r="O160" i="5"/>
  <c r="P160" i="5" s="1"/>
  <c r="O164" i="5"/>
  <c r="P164" i="5" s="1"/>
  <c r="O173" i="5"/>
  <c r="P173" i="5" s="1"/>
  <c r="O135" i="5"/>
  <c r="P135" i="5" s="1"/>
  <c r="O129" i="5"/>
  <c r="P129" i="5" s="1"/>
  <c r="O120" i="5"/>
  <c r="P120" i="5" s="1"/>
  <c r="O12" i="5"/>
  <c r="P12" i="5" s="1"/>
  <c r="O146" i="5"/>
  <c r="P146" i="5" s="1"/>
  <c r="O13" i="5"/>
  <c r="P13" i="5" s="1"/>
  <c r="O8" i="5"/>
  <c r="P8" i="5" s="1"/>
  <c r="O28" i="5"/>
  <c r="P28" i="5" s="1"/>
  <c r="O22" i="5"/>
  <c r="P22" i="5" s="1"/>
  <c r="O184" i="5"/>
  <c r="P184" i="5" s="1"/>
  <c r="O118" i="5"/>
  <c r="P118" i="5" s="1"/>
  <c r="O196" i="5"/>
  <c r="P196" i="5" s="1"/>
  <c r="O5" i="5"/>
  <c r="P5" i="5" s="1"/>
  <c r="O79" i="5"/>
  <c r="P79" i="5" s="1"/>
  <c r="O40" i="5"/>
  <c r="P40" i="5" s="1"/>
  <c r="O21" i="5"/>
  <c r="P21" i="5" s="1"/>
  <c r="O232" i="5"/>
  <c r="P232" i="5" s="1"/>
  <c r="O162" i="5"/>
  <c r="P162" i="5" s="1"/>
  <c r="O72" i="5"/>
  <c r="P72" i="5" s="1"/>
  <c r="O70" i="5"/>
  <c r="P70" i="5" s="1"/>
  <c r="O82" i="5"/>
  <c r="P82" i="5" s="1"/>
  <c r="O134" i="5"/>
  <c r="P134" i="5" s="1"/>
  <c r="O195" i="5"/>
  <c r="P195" i="5" s="1"/>
  <c r="O235" i="5"/>
  <c r="P235" i="5" s="1"/>
  <c r="O246" i="5"/>
  <c r="P246" i="5" s="1"/>
  <c r="O168" i="5"/>
  <c r="P168" i="5" s="1"/>
  <c r="O107" i="5"/>
  <c r="P107" i="5" s="1"/>
  <c r="O219" i="5"/>
  <c r="P219" i="5" s="1"/>
  <c r="O215" i="5"/>
  <c r="P215" i="5" s="1"/>
  <c r="O126" i="5"/>
  <c r="P126" i="5" s="1"/>
  <c r="O179" i="5"/>
  <c r="P179" i="5" s="1"/>
  <c r="O47" i="5"/>
  <c r="P47" i="5" s="1"/>
  <c r="O274" i="5"/>
  <c r="P274" i="5" s="1"/>
  <c r="O127" i="5"/>
  <c r="P127" i="5" s="1"/>
  <c r="O26" i="5"/>
  <c r="P26" i="5" s="1"/>
  <c r="O11" i="5"/>
  <c r="P11" i="5" s="1"/>
  <c r="O223" i="5"/>
  <c r="P223" i="5" s="1"/>
  <c r="O174" i="5"/>
  <c r="P174" i="5" s="1"/>
  <c r="O217" i="5"/>
  <c r="P217" i="5" s="1"/>
  <c r="O90" i="5"/>
  <c r="P90" i="5" s="1"/>
  <c r="O50" i="5"/>
  <c r="P50" i="5" s="1"/>
  <c r="O96" i="5"/>
  <c r="P96" i="5" s="1"/>
  <c r="O237" i="5"/>
  <c r="P237" i="5" s="1"/>
  <c r="O210" i="5"/>
  <c r="P210" i="5" s="1"/>
  <c r="O59" i="5"/>
  <c r="P59" i="5" s="1"/>
  <c r="O131" i="5"/>
  <c r="P131" i="5" s="1"/>
  <c r="O54" i="5"/>
  <c r="P54" i="5" s="1"/>
  <c r="O197" i="5"/>
  <c r="P197" i="5" s="1"/>
  <c r="O150" i="5"/>
  <c r="P150" i="5" s="1"/>
  <c r="O34" i="5"/>
  <c r="P34" i="5" s="1"/>
  <c r="O161" i="5"/>
  <c r="P161" i="5" s="1"/>
  <c r="O123" i="5"/>
  <c r="P123" i="5" s="1"/>
  <c r="O141" i="5"/>
  <c r="P141" i="5" s="1"/>
  <c r="O115" i="5"/>
  <c r="P115" i="5" s="1"/>
  <c r="B4" i="3" l="1"/>
  <c r="B5" i="3"/>
  <c r="B6" i="3"/>
  <c r="B7" i="3"/>
  <c r="B8" i="3"/>
  <c r="B9" i="3"/>
  <c r="B10" i="3"/>
  <c r="B11" i="3"/>
  <c r="B12" i="3"/>
  <c r="B13" i="3"/>
  <c r="B14" i="3"/>
  <c r="B15" i="3"/>
  <c r="B16" i="3"/>
  <c r="B17" i="3"/>
  <c r="B18" i="3"/>
  <c r="B19" i="3"/>
  <c r="B20" i="3"/>
  <c r="B21" i="3"/>
  <c r="B22" i="3"/>
  <c r="B23" i="3"/>
  <c r="B24" i="3"/>
  <c r="B25" i="3"/>
  <c r="B26" i="3"/>
  <c r="B27" i="3"/>
  <c r="B28" i="3"/>
  <c r="N656" i="6"/>
  <c r="L656" i="6"/>
  <c r="O656" i="6" s="1"/>
  <c r="L414" i="6"/>
  <c r="N414" i="6"/>
  <c r="L369" i="6"/>
  <c r="N369" i="6"/>
  <c r="N295" i="6"/>
  <c r="L295" i="6"/>
  <c r="O295" i="6" s="1"/>
  <c r="L234" i="6"/>
  <c r="N234" i="6"/>
  <c r="N77" i="6"/>
  <c r="L77" i="6"/>
  <c r="O77" i="6" s="1"/>
  <c r="N10" i="6"/>
  <c r="L10" i="6"/>
  <c r="O10" i="6" s="1"/>
  <c r="J4" i="3"/>
  <c r="I4" i="3"/>
  <c r="H4" i="3"/>
  <c r="K4" i="3" s="1"/>
  <c r="G4" i="3"/>
  <c r="F4" i="3"/>
  <c r="E4" i="3"/>
  <c r="D4" i="3"/>
  <c r="C4" i="3"/>
  <c r="J5" i="3"/>
  <c r="I5" i="3"/>
  <c r="H5" i="3"/>
  <c r="K5" i="3" s="1"/>
  <c r="G5" i="3"/>
  <c r="F5" i="3"/>
  <c r="E5" i="3"/>
  <c r="D5" i="3"/>
  <c r="C5" i="3"/>
  <c r="J6" i="3"/>
  <c r="I6" i="3"/>
  <c r="H6" i="3"/>
  <c r="K6" i="3" s="1"/>
  <c r="G6" i="3"/>
  <c r="F6" i="3"/>
  <c r="E6" i="3"/>
  <c r="N527" i="6"/>
  <c r="L527" i="6"/>
  <c r="O527" i="6" s="1"/>
  <c r="N324" i="6"/>
  <c r="L324" i="6"/>
  <c r="O324" i="6" s="1"/>
  <c r="N288" i="6"/>
  <c r="L288" i="6"/>
  <c r="O288" i="6" s="1"/>
  <c r="N228" i="6"/>
  <c r="L228" i="6"/>
  <c r="N218" i="6"/>
  <c r="L218" i="6"/>
  <c r="N167" i="6"/>
  <c r="L167" i="6"/>
  <c r="O167" i="6" s="1"/>
  <c r="N146" i="6"/>
  <c r="L146" i="6"/>
  <c r="O146" i="6" s="1"/>
  <c r="N227" i="6"/>
  <c r="L227" i="6"/>
  <c r="O227" i="6" s="1"/>
  <c r="N53" i="6"/>
  <c r="L53" i="6"/>
  <c r="O53" i="6" s="1"/>
  <c r="N50" i="6"/>
  <c r="L50" i="6"/>
  <c r="O50" i="6" s="1"/>
  <c r="L482" i="6"/>
  <c r="O482" i="6" s="1"/>
  <c r="N482" i="6"/>
  <c r="N390" i="6"/>
  <c r="L390" i="6"/>
  <c r="O390" i="6" s="1"/>
  <c r="L622" i="6"/>
  <c r="O622" i="6" s="1"/>
  <c r="N622" i="6"/>
  <c r="L245" i="6"/>
  <c r="N245" i="6"/>
  <c r="L610" i="6"/>
  <c r="O610" i="6" s="1"/>
  <c r="N610" i="6"/>
  <c r="N592" i="6"/>
  <c r="L592" i="6"/>
  <c r="O592" i="6" s="1"/>
  <c r="L385" i="6"/>
  <c r="N385" i="6"/>
  <c r="N384" i="6"/>
  <c r="L384" i="6"/>
  <c r="O384" i="6" s="1"/>
  <c r="N378" i="6"/>
  <c r="L378" i="6"/>
  <c r="O378" i="6" s="1"/>
  <c r="L377" i="6"/>
  <c r="O377" i="6" s="1"/>
  <c r="N377" i="6"/>
  <c r="N363" i="6"/>
  <c r="L363" i="6"/>
  <c r="L306" i="6"/>
  <c r="O306" i="6" s="1"/>
  <c r="N306" i="6"/>
  <c r="N232" i="6"/>
  <c r="L232" i="6"/>
  <c r="N183" i="6"/>
  <c r="L183" i="6"/>
  <c r="O183" i="6" s="1"/>
  <c r="N155" i="6"/>
  <c r="L155" i="6"/>
  <c r="O155" i="6" s="1"/>
  <c r="N154" i="6"/>
  <c r="L154" i="6"/>
  <c r="N137" i="6"/>
  <c r="L137" i="6"/>
  <c r="O137" i="6" s="1"/>
  <c r="N30" i="6"/>
  <c r="L30" i="6"/>
  <c r="O30" i="6" s="1"/>
  <c r="N8" i="6"/>
  <c r="L8" i="6"/>
  <c r="O8" i="6" s="1"/>
  <c r="N192" i="6"/>
  <c r="L192" i="6"/>
  <c r="O192" i="6" s="1"/>
  <c r="N637" i="6"/>
  <c r="L637" i="6"/>
  <c r="O637" i="6" s="1"/>
  <c r="N419" i="6"/>
  <c r="L419" i="6"/>
  <c r="O419" i="6" s="1"/>
  <c r="N99" i="6"/>
  <c r="L99" i="6"/>
  <c r="O99" i="6" s="1"/>
  <c r="N649" i="6"/>
  <c r="L649" i="6"/>
  <c r="O649" i="6" s="1"/>
  <c r="L315" i="6"/>
  <c r="N315" i="6"/>
  <c r="L447" i="6"/>
  <c r="N447" i="6"/>
  <c r="N5" i="6"/>
  <c r="L5" i="6"/>
  <c r="O5" i="6" s="1"/>
  <c r="N601" i="6"/>
  <c r="L601" i="6"/>
  <c r="O601" i="6" s="1"/>
  <c r="L567" i="6"/>
  <c r="O567" i="6" s="1"/>
  <c r="N567" i="6"/>
  <c r="L509" i="6"/>
  <c r="N509" i="6"/>
  <c r="N316" i="6"/>
  <c r="L316" i="6"/>
  <c r="O316" i="6" s="1"/>
  <c r="N286" i="6"/>
  <c r="L286" i="6"/>
  <c r="O286" i="6" s="1"/>
  <c r="N243" i="6"/>
  <c r="L243" i="6"/>
  <c r="N136" i="6"/>
  <c r="L136" i="6"/>
  <c r="O136" i="6" s="1"/>
  <c r="N48" i="6"/>
  <c r="L48" i="6"/>
  <c r="O48" i="6" s="1"/>
  <c r="N4" i="6"/>
  <c r="L4" i="6"/>
  <c r="O4" i="6" s="1"/>
  <c r="N247" i="6"/>
  <c r="L247" i="6"/>
  <c r="L246" i="6"/>
  <c r="N246" i="6"/>
  <c r="L173" i="6"/>
  <c r="N173" i="6"/>
  <c r="L563" i="6"/>
  <c r="O563" i="6" s="1"/>
  <c r="N563" i="6"/>
  <c r="L446" i="6"/>
  <c r="N446" i="6"/>
  <c r="L409" i="6"/>
  <c r="N409" i="6"/>
  <c r="L399" i="6"/>
  <c r="N399" i="6"/>
  <c r="L356" i="6"/>
  <c r="N356" i="6"/>
  <c r="N257" i="6"/>
  <c r="L257" i="6"/>
  <c r="O257" i="6" s="1"/>
  <c r="N187" i="6"/>
  <c r="L187" i="6"/>
  <c r="O187" i="6" s="1"/>
  <c r="L582" i="6"/>
  <c r="O582" i="6" s="1"/>
  <c r="N582" i="6"/>
  <c r="N323" i="6"/>
  <c r="L323" i="6"/>
  <c r="O323" i="6" s="1"/>
  <c r="N131" i="6"/>
  <c r="L131" i="6"/>
  <c r="O131" i="6" s="1"/>
  <c r="N27" i="6"/>
  <c r="L27" i="6"/>
  <c r="O27" i="6" s="1"/>
  <c r="N26" i="6"/>
  <c r="L26" i="6"/>
  <c r="O26" i="6" s="1"/>
  <c r="N85" i="6"/>
  <c r="L85" i="6"/>
  <c r="O85" i="6" s="1"/>
  <c r="N626" i="6"/>
  <c r="L626" i="6"/>
  <c r="O626" i="6" s="1"/>
  <c r="L532" i="6"/>
  <c r="N532" i="6"/>
  <c r="L434" i="6"/>
  <c r="N434" i="6"/>
  <c r="L396" i="6"/>
  <c r="N396" i="6"/>
  <c r="N371" i="6"/>
  <c r="L371" i="6"/>
  <c r="O371" i="6" s="1"/>
  <c r="N347" i="6"/>
  <c r="L347" i="6"/>
  <c r="O347" i="6" s="1"/>
  <c r="N305" i="6"/>
  <c r="L305" i="6"/>
  <c r="N94" i="6"/>
  <c r="L94" i="6"/>
  <c r="O94" i="6" s="1"/>
  <c r="N239" i="6"/>
  <c r="L239" i="6"/>
  <c r="L470" i="6"/>
  <c r="N470" i="6"/>
  <c r="L412" i="6"/>
  <c r="O412" i="6" s="1"/>
  <c r="N412" i="6"/>
  <c r="L391" i="6"/>
  <c r="O391" i="6" s="1"/>
  <c r="N391" i="6"/>
  <c r="L278" i="6"/>
  <c r="O278" i="6" s="1"/>
  <c r="N278" i="6"/>
  <c r="L609" i="6"/>
  <c r="O609" i="6" s="1"/>
  <c r="N609" i="6"/>
  <c r="N83" i="6"/>
  <c r="L83" i="6"/>
  <c r="O83" i="6" s="1"/>
  <c r="N80" i="6"/>
  <c r="L80" i="6"/>
  <c r="O80" i="6" s="1"/>
  <c r="N197" i="6"/>
  <c r="L197" i="6"/>
  <c r="N641" i="6"/>
  <c r="L641" i="6"/>
  <c r="O641" i="6" s="1"/>
  <c r="L586" i="6"/>
  <c r="O586" i="6" s="1"/>
  <c r="N586" i="6"/>
  <c r="L518" i="6"/>
  <c r="O518" i="6" s="1"/>
  <c r="N518" i="6"/>
  <c r="L481" i="6"/>
  <c r="N481" i="6"/>
  <c r="N457" i="6"/>
  <c r="L457" i="6"/>
  <c r="O457" i="6" s="1"/>
  <c r="N339" i="6"/>
  <c r="L339" i="6"/>
  <c r="O339" i="6" s="1"/>
  <c r="N160" i="6"/>
  <c r="L160" i="6"/>
  <c r="L585" i="6"/>
  <c r="O585" i="6" s="1"/>
  <c r="N585" i="6"/>
  <c r="N546" i="6"/>
  <c r="L546" i="6"/>
  <c r="O546" i="6" s="1"/>
  <c r="L502" i="6"/>
  <c r="O502" i="6" s="1"/>
  <c r="N502" i="6"/>
  <c r="L476" i="6"/>
  <c r="N476" i="6"/>
  <c r="N400" i="6"/>
  <c r="L400" i="6"/>
  <c r="O400" i="6" s="1"/>
  <c r="N44" i="6"/>
  <c r="L44" i="6"/>
  <c r="O44" i="6" s="1"/>
  <c r="N205" i="6"/>
  <c r="L205" i="6"/>
  <c r="L296" i="6"/>
  <c r="N296" i="6"/>
  <c r="L616" i="6"/>
  <c r="N616" i="6"/>
  <c r="N505" i="6"/>
  <c r="L505" i="6"/>
  <c r="L503" i="6"/>
  <c r="N503" i="6"/>
  <c r="L374" i="6"/>
  <c r="N374" i="6"/>
  <c r="N195" i="6"/>
  <c r="L195" i="6"/>
  <c r="O195" i="6" s="1"/>
  <c r="N186" i="6"/>
  <c r="L186" i="6"/>
  <c r="O186" i="6" s="1"/>
  <c r="L333" i="6"/>
  <c r="N333" i="6"/>
  <c r="N226" i="6"/>
  <c r="L226" i="6"/>
  <c r="O226" i="6" s="1"/>
  <c r="N648" i="6"/>
  <c r="L648" i="6"/>
  <c r="O648" i="6" s="1"/>
  <c r="L427" i="6"/>
  <c r="O427" i="6" s="1"/>
  <c r="N427" i="6"/>
  <c r="N397" i="6"/>
  <c r="L397" i="6"/>
  <c r="O397" i="6" s="1"/>
  <c r="N182" i="6"/>
  <c r="L182" i="6"/>
  <c r="O182" i="6" s="1"/>
  <c r="N119" i="6"/>
  <c r="L119" i="6"/>
  <c r="O119" i="6" s="1"/>
  <c r="N103" i="6"/>
  <c r="L103" i="6"/>
  <c r="O103" i="6" s="1"/>
  <c r="N508" i="6"/>
  <c r="L508" i="6"/>
  <c r="O508" i="6" s="1"/>
  <c r="N504" i="6"/>
  <c r="L504" i="6"/>
  <c r="O504" i="6" s="1"/>
  <c r="N430" i="6"/>
  <c r="L430" i="6"/>
  <c r="O430" i="6" s="1"/>
  <c r="N277" i="6"/>
  <c r="L277" i="6"/>
  <c r="O277" i="6" s="1"/>
  <c r="N115" i="6"/>
  <c r="L115" i="6"/>
  <c r="O115" i="6" s="1"/>
  <c r="N97" i="6"/>
  <c r="L97" i="6"/>
  <c r="O97" i="6" s="1"/>
  <c r="N15" i="6"/>
  <c r="L15" i="6"/>
  <c r="O15" i="6" s="1"/>
  <c r="L433" i="6"/>
  <c r="O433" i="6" s="1"/>
  <c r="N433" i="6"/>
  <c r="N58" i="6"/>
  <c r="L58" i="6"/>
  <c r="O58" i="6" s="1"/>
  <c r="L564" i="6"/>
  <c r="O564" i="6" s="1"/>
  <c r="N564" i="6"/>
  <c r="N513" i="6"/>
  <c r="L513" i="6"/>
  <c r="O513" i="6" s="1"/>
  <c r="L348" i="6"/>
  <c r="O348" i="6" s="1"/>
  <c r="N348" i="6"/>
  <c r="N300" i="6"/>
  <c r="L300" i="6"/>
  <c r="O300" i="6" s="1"/>
  <c r="N262" i="6"/>
  <c r="L262" i="6"/>
  <c r="O262" i="6" s="1"/>
  <c r="N60" i="6"/>
  <c r="L60" i="6"/>
  <c r="O60" i="6" s="1"/>
  <c r="N38" i="6"/>
  <c r="L38" i="6"/>
  <c r="O38" i="6" s="1"/>
  <c r="N35" i="6"/>
  <c r="L35" i="6"/>
  <c r="O35" i="6" s="1"/>
  <c r="L600" i="6"/>
  <c r="O600" i="6" s="1"/>
  <c r="N600" i="6"/>
  <c r="N327" i="6"/>
  <c r="L327" i="6"/>
  <c r="O327" i="6" s="1"/>
  <c r="L270" i="6"/>
  <c r="O270" i="6" s="1"/>
  <c r="N270" i="6"/>
  <c r="N269" i="6"/>
  <c r="L269" i="6"/>
  <c r="O269" i="6" s="1"/>
  <c r="N236" i="6"/>
  <c r="L236" i="6"/>
  <c r="O236" i="6" s="1"/>
  <c r="N142" i="6"/>
  <c r="L142" i="6"/>
  <c r="O142" i="6" s="1"/>
  <c r="L621" i="6"/>
  <c r="N621" i="6"/>
  <c r="N594" i="6"/>
  <c r="L594" i="6"/>
  <c r="O594" i="6" s="1"/>
  <c r="L500" i="6"/>
  <c r="N500" i="6"/>
  <c r="N429" i="6"/>
  <c r="L429" i="6"/>
  <c r="O429" i="6" s="1"/>
  <c r="L423" i="6"/>
  <c r="N423" i="6"/>
  <c r="L258" i="6"/>
  <c r="N258" i="6"/>
  <c r="N224" i="6"/>
  <c r="L224" i="6"/>
  <c r="O224" i="6" s="1"/>
  <c r="N204" i="6"/>
  <c r="L204" i="6"/>
  <c r="O204" i="6" s="1"/>
  <c r="N120" i="6"/>
  <c r="L120" i="6"/>
  <c r="O120" i="6" s="1"/>
  <c r="N107" i="6"/>
  <c r="L107" i="6"/>
  <c r="O107" i="6" s="1"/>
  <c r="L13" i="6"/>
  <c r="N13" i="6"/>
  <c r="L614" i="6"/>
  <c r="N614" i="6"/>
  <c r="L329" i="6"/>
  <c r="O329" i="6" s="1"/>
  <c r="N329" i="6"/>
  <c r="L383" i="6"/>
  <c r="N383" i="6"/>
  <c r="N381" i="6"/>
  <c r="L381" i="6"/>
  <c r="N19" i="6"/>
  <c r="L19" i="6"/>
  <c r="N491" i="6"/>
  <c r="L491" i="6"/>
  <c r="O491" i="6" s="1"/>
  <c r="N438" i="6"/>
  <c r="L438" i="6"/>
  <c r="O438" i="6" s="1"/>
  <c r="N340" i="6"/>
  <c r="L340" i="6"/>
  <c r="L425" i="6"/>
  <c r="O425" i="6" s="1"/>
  <c r="N425" i="6"/>
  <c r="N71" i="6"/>
  <c r="L71" i="6"/>
  <c r="O71" i="6" s="1"/>
  <c r="L597" i="6"/>
  <c r="O597" i="6" s="1"/>
  <c r="N597" i="6"/>
  <c r="L516" i="6"/>
  <c r="O516" i="6" s="1"/>
  <c r="N516" i="6"/>
  <c r="N408" i="6"/>
  <c r="L408" i="6"/>
  <c r="O408" i="6" s="1"/>
  <c r="N388" i="6"/>
  <c r="L388" i="6"/>
  <c r="O388" i="6" s="1"/>
  <c r="N90" i="6"/>
  <c r="L90" i="6"/>
  <c r="O90" i="6" s="1"/>
  <c r="N555" i="6"/>
  <c r="L555" i="6"/>
  <c r="O555" i="6" s="1"/>
  <c r="N417" i="6"/>
  <c r="L417" i="6"/>
  <c r="O417" i="6" s="1"/>
  <c r="L268" i="6"/>
  <c r="O268" i="6" s="1"/>
  <c r="N268" i="6"/>
  <c r="L199" i="6"/>
  <c r="N199" i="6"/>
  <c r="N151" i="6"/>
  <c r="L151" i="6"/>
  <c r="O151" i="6" s="1"/>
  <c r="N55" i="6"/>
  <c r="L55" i="6"/>
  <c r="O55" i="6" s="1"/>
  <c r="N33" i="6"/>
  <c r="L33" i="6"/>
  <c r="O33" i="6" s="1"/>
  <c r="N32" i="6"/>
  <c r="L32" i="6"/>
  <c r="O32" i="6" s="1"/>
  <c r="N314" i="6"/>
  <c r="L314" i="6"/>
  <c r="O314" i="6" s="1"/>
  <c r="N304" i="6"/>
  <c r="L304" i="6"/>
  <c r="O304" i="6" s="1"/>
  <c r="L612" i="6"/>
  <c r="O612" i="6" s="1"/>
  <c r="N612" i="6"/>
  <c r="L405" i="6"/>
  <c r="N405" i="6"/>
  <c r="N337" i="6"/>
  <c r="L337" i="6"/>
  <c r="O337" i="6" s="1"/>
  <c r="N629" i="6"/>
  <c r="L629" i="6"/>
  <c r="O629" i="6" s="1"/>
  <c r="N68" i="6"/>
  <c r="L68" i="6"/>
  <c r="O68" i="6" s="1"/>
  <c r="N398" i="6"/>
  <c r="L398" i="6"/>
  <c r="O398" i="6" s="1"/>
  <c r="N645" i="6"/>
  <c r="L645" i="6"/>
  <c r="O645" i="6" s="1"/>
  <c r="N644" i="6"/>
  <c r="L644" i="6"/>
  <c r="O644" i="6" s="1"/>
  <c r="N598" i="6"/>
  <c r="L598" i="6"/>
  <c r="O598" i="6" s="1"/>
  <c r="L590" i="6"/>
  <c r="O590" i="6" s="1"/>
  <c r="N590" i="6"/>
  <c r="L449" i="6"/>
  <c r="O449" i="6" s="1"/>
  <c r="N449" i="6"/>
  <c r="N128" i="6"/>
  <c r="L128" i="6"/>
  <c r="O128" i="6" s="1"/>
  <c r="N110" i="6"/>
  <c r="L110" i="6"/>
  <c r="O110" i="6" s="1"/>
  <c r="N106" i="6"/>
  <c r="L106" i="6"/>
  <c r="O106" i="6" s="1"/>
  <c r="N7" i="6"/>
  <c r="L7" i="6"/>
  <c r="O7" i="6" s="1"/>
  <c r="L542" i="6"/>
  <c r="O542" i="6" s="1"/>
  <c r="N542" i="6"/>
  <c r="L484" i="6"/>
  <c r="N484" i="6"/>
  <c r="N65" i="6"/>
  <c r="L65" i="6"/>
  <c r="O65" i="6" s="1"/>
  <c r="N18" i="6"/>
  <c r="L18" i="6"/>
  <c r="O18" i="6" s="1"/>
  <c r="N17" i="6"/>
  <c r="L17" i="6"/>
  <c r="O17" i="6" s="1"/>
  <c r="L625" i="6"/>
  <c r="O625" i="6" s="1"/>
  <c r="N625" i="6"/>
  <c r="L596" i="6"/>
  <c r="O596" i="6" s="1"/>
  <c r="N596" i="6"/>
  <c r="L534" i="6"/>
  <c r="O534" i="6" s="1"/>
  <c r="N534" i="6"/>
  <c r="L494" i="6"/>
  <c r="N494" i="6"/>
  <c r="N463" i="6"/>
  <c r="L463" i="6"/>
  <c r="O463" i="6" s="1"/>
  <c r="N420" i="6"/>
  <c r="L420" i="6"/>
  <c r="O420" i="6" s="1"/>
  <c r="L401" i="6"/>
  <c r="O401" i="6" s="1"/>
  <c r="N401" i="6"/>
  <c r="N386" i="6"/>
  <c r="L386" i="6"/>
  <c r="O386" i="6" s="1"/>
  <c r="N309" i="6"/>
  <c r="L309" i="6"/>
  <c r="O309" i="6" s="1"/>
  <c r="N9" i="6"/>
  <c r="L9" i="6"/>
  <c r="O9" i="6" s="1"/>
  <c r="N251" i="6"/>
  <c r="L251" i="6"/>
  <c r="O251" i="6" s="1"/>
  <c r="L640" i="6"/>
  <c r="O640" i="6" s="1"/>
  <c r="N640" i="6"/>
  <c r="N149" i="6"/>
  <c r="L149" i="6"/>
  <c r="N211" i="6"/>
  <c r="L211" i="6"/>
  <c r="O211" i="6" s="1"/>
  <c r="N208" i="6"/>
  <c r="L208" i="6"/>
  <c r="O208" i="6" s="1"/>
  <c r="L607" i="6"/>
  <c r="O607" i="6" s="1"/>
  <c r="N607" i="6"/>
  <c r="L301" i="6"/>
  <c r="O301" i="6" s="1"/>
  <c r="N301" i="6"/>
  <c r="L655" i="6"/>
  <c r="O655" i="6" s="1"/>
  <c r="N655" i="6"/>
  <c r="N545" i="6"/>
  <c r="L545" i="6"/>
  <c r="O545" i="6" s="1"/>
  <c r="L468" i="6"/>
  <c r="O468" i="6" s="1"/>
  <c r="N468" i="6"/>
  <c r="N445" i="6"/>
  <c r="L445" i="6"/>
  <c r="O445" i="6" s="1"/>
  <c r="L393" i="6"/>
  <c r="O393" i="6" s="1"/>
  <c r="N393" i="6"/>
  <c r="N373" i="6"/>
  <c r="L373" i="6"/>
  <c r="O373" i="6" s="1"/>
  <c r="L353" i="6"/>
  <c r="O353" i="6" s="1"/>
  <c r="N353" i="6"/>
  <c r="L259" i="6"/>
  <c r="N259" i="6"/>
  <c r="L244" i="6"/>
  <c r="O244" i="6" s="1"/>
  <c r="N244" i="6"/>
  <c r="N215" i="6"/>
  <c r="L215" i="6"/>
  <c r="O215" i="6" s="1"/>
  <c r="N209" i="6"/>
  <c r="L209" i="6"/>
  <c r="O209" i="6" s="1"/>
  <c r="N201" i="6"/>
  <c r="L201" i="6"/>
  <c r="N189" i="6"/>
  <c r="L189" i="6"/>
  <c r="O189" i="6" s="1"/>
  <c r="N111" i="6"/>
  <c r="L111" i="6"/>
  <c r="O111" i="6" s="1"/>
  <c r="N31" i="6"/>
  <c r="L31" i="6"/>
  <c r="O31" i="6" s="1"/>
  <c r="N134" i="6"/>
  <c r="L134" i="6"/>
  <c r="O134" i="6" s="1"/>
  <c r="N132" i="6"/>
  <c r="L132" i="6"/>
  <c r="L550" i="6"/>
  <c r="O550" i="6" s="1"/>
  <c r="N550" i="6"/>
  <c r="N255" i="6"/>
  <c r="L255" i="6"/>
  <c r="O255" i="6" s="1"/>
  <c r="L322" i="6"/>
  <c r="O322" i="6" s="1"/>
  <c r="N322" i="6"/>
  <c r="N297" i="6"/>
  <c r="L297" i="6"/>
  <c r="O297" i="6" s="1"/>
  <c r="N210" i="6"/>
  <c r="L210" i="6"/>
  <c r="O210" i="6" s="1"/>
  <c r="N141" i="6"/>
  <c r="L141" i="6"/>
  <c r="O141" i="6" s="1"/>
  <c r="N114" i="6"/>
  <c r="L114" i="6"/>
  <c r="O114" i="6" s="1"/>
  <c r="N643" i="6"/>
  <c r="L643" i="6"/>
  <c r="O643" i="6" s="1"/>
  <c r="N620" i="6"/>
  <c r="L620" i="6"/>
  <c r="O620" i="6" s="1"/>
  <c r="N593" i="6"/>
  <c r="L593" i="6"/>
  <c r="O593" i="6" s="1"/>
  <c r="N580" i="6"/>
  <c r="L580" i="6"/>
  <c r="O580" i="6" s="1"/>
  <c r="N579" i="6"/>
  <c r="L579" i="6"/>
  <c r="O579" i="6" s="1"/>
  <c r="N577" i="6"/>
  <c r="L577" i="6"/>
  <c r="O577" i="6" s="1"/>
  <c r="L517" i="6"/>
  <c r="O517" i="6" s="1"/>
  <c r="N517" i="6"/>
  <c r="N514" i="6"/>
  <c r="L514" i="6"/>
  <c r="O514" i="6" s="1"/>
  <c r="L497" i="6"/>
  <c r="O497" i="6" s="1"/>
  <c r="N497" i="6"/>
  <c r="N487" i="6"/>
  <c r="L487" i="6"/>
  <c r="O487" i="6" s="1"/>
  <c r="L486" i="6"/>
  <c r="O486" i="6" s="1"/>
  <c r="N486" i="6"/>
  <c r="N483" i="6"/>
  <c r="L483" i="6"/>
  <c r="O483" i="6" s="1"/>
  <c r="N125" i="6"/>
  <c r="L125" i="6"/>
  <c r="O125" i="6" s="1"/>
  <c r="N123" i="6"/>
  <c r="L123" i="6"/>
  <c r="O123" i="6" s="1"/>
  <c r="N118" i="6"/>
  <c r="L118" i="6"/>
  <c r="O118" i="6" s="1"/>
  <c r="N112" i="6"/>
  <c r="L112" i="6"/>
  <c r="O112" i="6" s="1"/>
  <c r="N104" i="6"/>
  <c r="L104" i="6"/>
  <c r="O104" i="6" s="1"/>
  <c r="N96" i="6"/>
  <c r="L96" i="6"/>
  <c r="O96" i="6" s="1"/>
  <c r="N603" i="6"/>
  <c r="L603" i="6"/>
  <c r="O603" i="6" s="1"/>
  <c r="L521" i="6"/>
  <c r="O521" i="6" s="1"/>
  <c r="N521" i="6"/>
  <c r="N87" i="6"/>
  <c r="L87" i="6"/>
  <c r="O87" i="6" s="1"/>
  <c r="N124" i="6"/>
  <c r="L124" i="6"/>
  <c r="O124" i="6" s="1"/>
  <c r="N89" i="6"/>
  <c r="L89" i="6"/>
  <c r="O89" i="6" s="1"/>
  <c r="N69" i="6"/>
  <c r="L69" i="6"/>
  <c r="O69" i="6" s="1"/>
  <c r="N57" i="6"/>
  <c r="L57" i="6"/>
  <c r="O57" i="6" s="1"/>
  <c r="N56" i="6"/>
  <c r="L56" i="6"/>
  <c r="O56" i="6" s="1"/>
  <c r="N45" i="6"/>
  <c r="L45" i="6"/>
  <c r="O45" i="6" s="1"/>
  <c r="N43" i="6"/>
  <c r="L43" i="6"/>
  <c r="O43" i="6" s="1"/>
  <c r="L496" i="6"/>
  <c r="N496" i="6"/>
  <c r="N591" i="6"/>
  <c r="L591" i="6"/>
  <c r="O591" i="6" s="1"/>
  <c r="N485" i="6"/>
  <c r="L485" i="6"/>
  <c r="O485" i="6" s="1"/>
  <c r="L557" i="6"/>
  <c r="N557" i="6"/>
  <c r="N499" i="6"/>
  <c r="L499" i="6"/>
  <c r="O499" i="6" s="1"/>
  <c r="N166" i="6"/>
  <c r="L166" i="6"/>
  <c r="O166" i="6" s="1"/>
  <c r="N105" i="6"/>
  <c r="L105" i="6"/>
  <c r="O105" i="6" s="1"/>
  <c r="N64" i="6"/>
  <c r="L64" i="6"/>
  <c r="O64" i="6" s="1"/>
  <c r="L63" i="6"/>
  <c r="O63" i="6" s="1"/>
  <c r="N63" i="6"/>
  <c r="N40" i="6"/>
  <c r="L40" i="6"/>
  <c r="O40" i="6" s="1"/>
  <c r="N6" i="6"/>
  <c r="L6" i="6"/>
  <c r="N495" i="6"/>
  <c r="L495" i="6"/>
  <c r="O495" i="6" s="1"/>
  <c r="N298" i="6"/>
  <c r="L298" i="6"/>
  <c r="L287" i="6"/>
  <c r="N287" i="6"/>
  <c r="L108" i="6"/>
  <c r="N108" i="6"/>
  <c r="L36" i="6"/>
  <c r="N36" i="6"/>
  <c r="N651" i="6"/>
  <c r="L651" i="6"/>
  <c r="O651" i="6" s="1"/>
  <c r="L636" i="6"/>
  <c r="O636" i="6" s="1"/>
  <c r="N636" i="6"/>
  <c r="N624" i="6"/>
  <c r="L624" i="6"/>
  <c r="O624" i="6" s="1"/>
  <c r="N623" i="6"/>
  <c r="L623" i="6"/>
  <c r="O623" i="6" s="1"/>
  <c r="N581" i="6"/>
  <c r="L581" i="6"/>
  <c r="O581" i="6" s="1"/>
  <c r="N366" i="6"/>
  <c r="L366" i="6"/>
  <c r="O366" i="6" s="1"/>
  <c r="L657" i="6"/>
  <c r="N657" i="6"/>
  <c r="N618" i="6"/>
  <c r="L618" i="6"/>
  <c r="O618" i="6" s="1"/>
  <c r="N525" i="6"/>
  <c r="L525" i="6"/>
  <c r="O525" i="6" s="1"/>
  <c r="L86" i="6"/>
  <c r="O86" i="6" s="1"/>
  <c r="N86" i="6"/>
  <c r="L634" i="6"/>
  <c r="O634" i="6" s="1"/>
  <c r="N634" i="6"/>
  <c r="N326" i="6"/>
  <c r="L326" i="6"/>
  <c r="O326" i="6" s="1"/>
  <c r="N321" i="6"/>
  <c r="L321" i="6"/>
  <c r="O321" i="6" s="1"/>
  <c r="N273" i="6"/>
  <c r="L273" i="6"/>
  <c r="N254" i="6"/>
  <c r="L254" i="6"/>
  <c r="O254" i="6" s="1"/>
  <c r="N153" i="6"/>
  <c r="L153" i="6"/>
  <c r="O153" i="6" s="1"/>
  <c r="N147" i="6"/>
  <c r="L147" i="6"/>
  <c r="O147" i="6" s="1"/>
  <c r="L605" i="6"/>
  <c r="O605" i="6" s="1"/>
  <c r="N605" i="6"/>
  <c r="L538" i="6"/>
  <c r="O538" i="6" s="1"/>
  <c r="N538" i="6"/>
  <c r="N510" i="6"/>
  <c r="L510" i="6"/>
  <c r="O510" i="6" s="1"/>
  <c r="L490" i="6"/>
  <c r="O490" i="6" s="1"/>
  <c r="N490" i="6"/>
  <c r="L410" i="6"/>
  <c r="O410" i="6" s="1"/>
  <c r="N410" i="6"/>
  <c r="N406" i="6"/>
  <c r="L406" i="6"/>
  <c r="O406" i="6" s="1"/>
  <c r="L359" i="6"/>
  <c r="O359" i="6" s="1"/>
  <c r="N359" i="6"/>
  <c r="L346" i="6"/>
  <c r="N346" i="6"/>
  <c r="N341" i="6"/>
  <c r="L341" i="6"/>
  <c r="O341" i="6" s="1"/>
  <c r="N318" i="6"/>
  <c r="L318" i="6"/>
  <c r="O318" i="6" s="1"/>
  <c r="N170" i="6"/>
  <c r="L170" i="6"/>
  <c r="O170" i="6" s="1"/>
  <c r="N21" i="6"/>
  <c r="L21" i="6"/>
  <c r="O21" i="6" s="1"/>
  <c r="L628" i="6"/>
  <c r="N628" i="6"/>
  <c r="L573" i="6"/>
  <c r="O573" i="6" s="1"/>
  <c r="N573" i="6"/>
  <c r="N556" i="6"/>
  <c r="L556" i="6"/>
  <c r="O556" i="6" s="1"/>
  <c r="N554" i="6"/>
  <c r="L554" i="6"/>
  <c r="O554" i="6" s="1"/>
  <c r="N540" i="6"/>
  <c r="L540" i="6"/>
  <c r="O540" i="6" s="1"/>
  <c r="L506" i="6"/>
  <c r="N506" i="6"/>
  <c r="N479" i="6"/>
  <c r="L479" i="6"/>
  <c r="O479" i="6" s="1"/>
  <c r="L474" i="6"/>
  <c r="N474" i="6"/>
  <c r="L462" i="6"/>
  <c r="N462" i="6"/>
  <c r="L454" i="6"/>
  <c r="N454" i="6"/>
  <c r="L450" i="6"/>
  <c r="N450" i="6"/>
  <c r="L448" i="6"/>
  <c r="N448" i="6"/>
  <c r="N437" i="6"/>
  <c r="L437" i="6"/>
  <c r="O437" i="6" s="1"/>
  <c r="L432" i="6"/>
  <c r="N432" i="6"/>
  <c r="N394" i="6"/>
  <c r="L394" i="6"/>
  <c r="O394" i="6" s="1"/>
  <c r="L376" i="6"/>
  <c r="N376" i="6"/>
  <c r="L375" i="6"/>
  <c r="N375" i="6"/>
  <c r="N362" i="6"/>
  <c r="L362" i="6"/>
  <c r="O362" i="6" s="1"/>
  <c r="N358" i="6"/>
  <c r="L358" i="6"/>
  <c r="O358" i="6" s="1"/>
  <c r="L357" i="6"/>
  <c r="O357" i="6" s="1"/>
  <c r="N357" i="6"/>
  <c r="L355" i="6"/>
  <c r="O355" i="6" s="1"/>
  <c r="N355" i="6"/>
  <c r="N354" i="6"/>
  <c r="L354" i="6"/>
  <c r="O354" i="6" s="1"/>
  <c r="L352" i="6"/>
  <c r="N352" i="6"/>
  <c r="N349" i="6"/>
  <c r="L349" i="6"/>
  <c r="O349" i="6" s="1"/>
  <c r="L345" i="6"/>
  <c r="N345" i="6"/>
  <c r="L343" i="6"/>
  <c r="N343" i="6"/>
  <c r="N342" i="6"/>
  <c r="L342" i="6"/>
  <c r="O342" i="6" s="1"/>
  <c r="N338" i="6"/>
  <c r="L338" i="6"/>
  <c r="O338" i="6" s="1"/>
  <c r="L334" i="6"/>
  <c r="N334" i="6"/>
  <c r="L320" i="6"/>
  <c r="N320" i="6"/>
  <c r="L313" i="6"/>
  <c r="O313" i="6" s="1"/>
  <c r="N313" i="6"/>
  <c r="N307" i="6"/>
  <c r="L307" i="6"/>
  <c r="O307" i="6" s="1"/>
  <c r="N302" i="6"/>
  <c r="L302" i="6"/>
  <c r="O302" i="6" s="1"/>
  <c r="N272" i="6"/>
  <c r="L272" i="6"/>
  <c r="O272" i="6" s="1"/>
  <c r="N271" i="6"/>
  <c r="L271" i="6"/>
  <c r="O271" i="6" s="1"/>
  <c r="N265" i="6"/>
  <c r="L265" i="6"/>
  <c r="O265" i="6" s="1"/>
  <c r="L260" i="6"/>
  <c r="N260" i="6"/>
  <c r="L256" i="6"/>
  <c r="O256" i="6" s="1"/>
  <c r="N256" i="6"/>
  <c r="L250" i="6"/>
  <c r="N250" i="6"/>
  <c r="N249" i="6"/>
  <c r="L249" i="6"/>
  <c r="O249" i="6" s="1"/>
  <c r="L240" i="6"/>
  <c r="N240" i="6"/>
  <c r="N219" i="6"/>
  <c r="L219" i="6"/>
  <c r="O219" i="6" s="1"/>
  <c r="N200" i="6"/>
  <c r="L200" i="6"/>
  <c r="N194" i="6"/>
  <c r="L194" i="6"/>
  <c r="N190" i="6"/>
  <c r="L190" i="6"/>
  <c r="O190" i="6" s="1"/>
  <c r="N179" i="6"/>
  <c r="L179" i="6"/>
  <c r="O179" i="6" s="1"/>
  <c r="N164" i="6"/>
  <c r="L164" i="6"/>
  <c r="O164" i="6" s="1"/>
  <c r="N152" i="6"/>
  <c r="L152" i="6"/>
  <c r="O152" i="6" s="1"/>
  <c r="N145" i="6"/>
  <c r="L145" i="6"/>
  <c r="O145" i="6" s="1"/>
  <c r="L140" i="6"/>
  <c r="N140" i="6"/>
  <c r="N116" i="6"/>
  <c r="L116" i="6"/>
  <c r="O116" i="6" s="1"/>
  <c r="N113" i="6"/>
  <c r="L113" i="6"/>
  <c r="O113" i="6" s="1"/>
  <c r="N109" i="6"/>
  <c r="L109" i="6"/>
  <c r="O109" i="6" s="1"/>
  <c r="N101" i="6"/>
  <c r="L101" i="6"/>
  <c r="O101" i="6" s="1"/>
  <c r="N100" i="6"/>
  <c r="L100" i="6"/>
  <c r="O100" i="6" s="1"/>
  <c r="N98" i="6"/>
  <c r="L98" i="6"/>
  <c r="O98" i="6" s="1"/>
  <c r="N49" i="6"/>
  <c r="L49" i="6"/>
  <c r="O49" i="6" s="1"/>
  <c r="N25" i="6"/>
  <c r="L25" i="6"/>
  <c r="O25" i="6" s="1"/>
  <c r="L511" i="6"/>
  <c r="O511" i="6" s="1"/>
  <c r="N511" i="6"/>
  <c r="N185" i="6"/>
  <c r="L185" i="6"/>
  <c r="O185" i="6" s="1"/>
  <c r="N88" i="6"/>
  <c r="L88" i="6"/>
  <c r="O88" i="6" s="1"/>
  <c r="N42" i="6"/>
  <c r="L42" i="6"/>
  <c r="O42" i="6" s="1"/>
  <c r="N41" i="6"/>
  <c r="L41" i="6"/>
  <c r="O41" i="6" s="1"/>
  <c r="L372" i="6"/>
  <c r="N372" i="6"/>
  <c r="N222" i="6"/>
  <c r="L222" i="6"/>
  <c r="O222" i="6" s="1"/>
  <c r="N156" i="6"/>
  <c r="L156" i="6"/>
  <c r="O156" i="6" s="1"/>
  <c r="N29" i="6"/>
  <c r="L29" i="6"/>
  <c r="O29" i="6" s="1"/>
  <c r="N198" i="6"/>
  <c r="L198" i="6"/>
  <c r="O198" i="6" s="1"/>
  <c r="L411" i="6"/>
  <c r="O411" i="6" s="1"/>
  <c r="N411" i="6"/>
  <c r="N520" i="6"/>
  <c r="L520" i="6"/>
  <c r="O520" i="6" s="1"/>
  <c r="L602" i="6"/>
  <c r="O602" i="6" s="1"/>
  <c r="N602" i="6"/>
  <c r="N572" i="6"/>
  <c r="L572" i="6"/>
  <c r="O572" i="6" s="1"/>
  <c r="N569" i="6"/>
  <c r="L569" i="6"/>
  <c r="O569" i="6" s="1"/>
  <c r="N62" i="6"/>
  <c r="L62" i="6"/>
  <c r="O62" i="6" s="1"/>
  <c r="N61" i="6"/>
  <c r="L61" i="6"/>
  <c r="O61" i="6" s="1"/>
  <c r="L642" i="6"/>
  <c r="O642" i="6" s="1"/>
  <c r="N642" i="6"/>
  <c r="N619" i="6"/>
  <c r="L619" i="6"/>
  <c r="O619" i="6" s="1"/>
  <c r="L617" i="6"/>
  <c r="O617" i="6" s="1"/>
  <c r="N617" i="6"/>
  <c r="L588" i="6"/>
  <c r="O588" i="6" s="1"/>
  <c r="N588" i="6"/>
  <c r="L565" i="6"/>
  <c r="O565" i="6" s="1"/>
  <c r="N565" i="6"/>
  <c r="N471" i="6"/>
  <c r="L471" i="6"/>
  <c r="O471" i="6" s="1"/>
  <c r="L452" i="6"/>
  <c r="O452" i="6" s="1"/>
  <c r="N452" i="6"/>
  <c r="L421" i="6"/>
  <c r="O421" i="6" s="1"/>
  <c r="N421" i="6"/>
  <c r="N418" i="6"/>
  <c r="L418" i="6"/>
  <c r="O418" i="6" s="1"/>
  <c r="N415" i="6"/>
  <c r="L415" i="6"/>
  <c r="O415" i="6" s="1"/>
  <c r="N413" i="6"/>
  <c r="L413" i="6"/>
  <c r="O413" i="6" s="1"/>
  <c r="N263" i="6"/>
  <c r="L263" i="6"/>
  <c r="O263" i="6" s="1"/>
  <c r="N261" i="6"/>
  <c r="L261" i="6"/>
  <c r="O261" i="6" s="1"/>
  <c r="N221" i="6"/>
  <c r="L221" i="6"/>
  <c r="O221" i="6" s="1"/>
  <c r="N206" i="6"/>
  <c r="L206" i="6"/>
  <c r="O206" i="6" s="1"/>
  <c r="N177" i="6"/>
  <c r="L177" i="6"/>
  <c r="O177" i="6" s="1"/>
  <c r="N139" i="6"/>
  <c r="L139" i="6"/>
  <c r="O139" i="6" s="1"/>
  <c r="N24" i="6"/>
  <c r="L24" i="6"/>
  <c r="O24" i="6" s="1"/>
  <c r="N22" i="6"/>
  <c r="L22" i="6"/>
  <c r="O22" i="6" s="1"/>
  <c r="N20" i="6"/>
  <c r="L20" i="6"/>
  <c r="O20" i="6" s="1"/>
  <c r="N12" i="6"/>
  <c r="L12" i="6"/>
  <c r="O12" i="6" s="1"/>
  <c r="N11" i="6"/>
  <c r="L11" i="6"/>
  <c r="O11" i="6" s="1"/>
  <c r="N615" i="6"/>
  <c r="L615" i="6"/>
  <c r="O615" i="6" s="1"/>
  <c r="L608" i="6"/>
  <c r="N608" i="6"/>
  <c r="L544" i="6"/>
  <c r="O544" i="6" s="1"/>
  <c r="N544" i="6"/>
  <c r="N336" i="6"/>
  <c r="L336" i="6"/>
  <c r="O336" i="6" s="1"/>
  <c r="L231" i="6"/>
  <c r="O231" i="6" s="1"/>
  <c r="N231" i="6"/>
  <c r="N196" i="6"/>
  <c r="L196" i="6"/>
  <c r="N193" i="6"/>
  <c r="L193" i="6"/>
  <c r="O193" i="6" s="1"/>
  <c r="N82" i="6"/>
  <c r="L82" i="6"/>
  <c r="O82" i="6" s="1"/>
  <c r="N81" i="6"/>
  <c r="L81" i="6"/>
  <c r="O81" i="6" s="1"/>
  <c r="N28" i="6"/>
  <c r="L28" i="6"/>
  <c r="O28" i="6" s="1"/>
  <c r="L561" i="6"/>
  <c r="O561" i="6" s="1"/>
  <c r="N561" i="6"/>
  <c r="N133" i="6"/>
  <c r="L133" i="6"/>
  <c r="L653" i="6"/>
  <c r="O653" i="6" s="1"/>
  <c r="N653" i="6"/>
  <c r="N604" i="6"/>
  <c r="L604" i="6"/>
  <c r="O604" i="6" s="1"/>
  <c r="N589" i="6"/>
  <c r="L589" i="6"/>
  <c r="O589" i="6" s="1"/>
  <c r="L426" i="6"/>
  <c r="O426" i="6" s="1"/>
  <c r="N426" i="6"/>
  <c r="N389" i="6"/>
  <c r="L389" i="6"/>
  <c r="O389" i="6" s="1"/>
  <c r="N344" i="6"/>
  <c r="L344" i="6"/>
  <c r="O344" i="6" s="1"/>
  <c r="L293" i="6"/>
  <c r="O293" i="6" s="1"/>
  <c r="N293" i="6"/>
  <c r="N289" i="6"/>
  <c r="L289" i="6"/>
  <c r="O289" i="6" s="1"/>
  <c r="N230" i="6"/>
  <c r="L230" i="6"/>
  <c r="O230" i="6" s="1"/>
  <c r="L229" i="6"/>
  <c r="O229" i="6" s="1"/>
  <c r="N229" i="6"/>
  <c r="N202" i="6"/>
  <c r="L202" i="6"/>
  <c r="O202" i="6" s="1"/>
  <c r="N176" i="6"/>
  <c r="L176" i="6"/>
  <c r="O176" i="6" s="1"/>
  <c r="N171" i="6"/>
  <c r="L171" i="6"/>
  <c r="O171" i="6" s="1"/>
  <c r="N52" i="6"/>
  <c r="L52" i="6"/>
  <c r="O52" i="6" s="1"/>
  <c r="L654" i="6"/>
  <c r="O654" i="6" s="1"/>
  <c r="N654" i="6"/>
  <c r="N599" i="6"/>
  <c r="L599" i="6"/>
  <c r="O599" i="6" s="1"/>
  <c r="L595" i="6"/>
  <c r="O595" i="6" s="1"/>
  <c r="N595" i="6"/>
  <c r="L558" i="6"/>
  <c r="O558" i="6" s="1"/>
  <c r="N558" i="6"/>
  <c r="N548" i="6"/>
  <c r="L548" i="6"/>
  <c r="O548" i="6" s="1"/>
  <c r="N535" i="6"/>
  <c r="L535" i="6"/>
  <c r="O535" i="6" s="1"/>
  <c r="N477" i="6"/>
  <c r="L477" i="6"/>
  <c r="O477" i="6" s="1"/>
  <c r="L387" i="6"/>
  <c r="N387" i="6"/>
  <c r="N382" i="6"/>
  <c r="L382" i="6"/>
  <c r="O382" i="6" s="1"/>
  <c r="N351" i="6"/>
  <c r="L351" i="6"/>
  <c r="O351" i="6" s="1"/>
  <c r="N212" i="6"/>
  <c r="L212" i="6"/>
  <c r="O212" i="6" s="1"/>
  <c r="N188" i="6"/>
  <c r="L188" i="6"/>
  <c r="O188" i="6" s="1"/>
  <c r="N102" i="6"/>
  <c r="L102" i="6"/>
  <c r="N175" i="6"/>
  <c r="L175" i="6"/>
  <c r="L650" i="6"/>
  <c r="N650" i="6"/>
  <c r="N611" i="6"/>
  <c r="L611" i="6"/>
  <c r="O611" i="6" s="1"/>
  <c r="N522" i="6"/>
  <c r="L522" i="6"/>
  <c r="O522" i="6" s="1"/>
  <c r="L290" i="6"/>
  <c r="N290" i="6"/>
  <c r="N165" i="6"/>
  <c r="L165" i="6"/>
  <c r="O165" i="6" s="1"/>
  <c r="N148" i="6"/>
  <c r="L148" i="6"/>
  <c r="O148" i="6" s="1"/>
  <c r="N144" i="6"/>
  <c r="L144" i="6"/>
  <c r="O144" i="6" s="1"/>
  <c r="N130" i="6"/>
  <c r="L130" i="6"/>
  <c r="O130" i="6" s="1"/>
  <c r="N16" i="6"/>
  <c r="L16" i="6"/>
  <c r="O16" i="6" s="1"/>
  <c r="N583" i="6"/>
  <c r="L583" i="6"/>
  <c r="O583" i="6" s="1"/>
  <c r="N138" i="6"/>
  <c r="L138" i="6"/>
  <c r="O138" i="6" s="1"/>
  <c r="N135" i="6"/>
  <c r="L135" i="6"/>
  <c r="O135" i="6" s="1"/>
  <c r="N84" i="6"/>
  <c r="L84" i="6"/>
  <c r="O84" i="6" s="1"/>
  <c r="N39" i="6"/>
  <c r="L39" i="6"/>
  <c r="O39" i="6" s="1"/>
  <c r="L574" i="6"/>
  <c r="O574" i="6" s="1"/>
  <c r="N574" i="6"/>
  <c r="N441" i="6"/>
  <c r="L441" i="6"/>
  <c r="O441" i="6" s="1"/>
  <c r="N439" i="6"/>
  <c r="L439" i="6"/>
  <c r="O439" i="6" s="1"/>
  <c r="N3" i="6"/>
  <c r="L3" i="6"/>
  <c r="O3" i="6" s="1"/>
  <c r="L635" i="6"/>
  <c r="O635" i="6" s="1"/>
  <c r="N635" i="6"/>
  <c r="L633" i="6"/>
  <c r="O633" i="6" s="1"/>
  <c r="N633" i="6"/>
  <c r="N559" i="6"/>
  <c r="L559" i="6"/>
  <c r="O559" i="6" s="1"/>
  <c r="L549" i="6"/>
  <c r="O549" i="6" s="1"/>
  <c r="N549" i="6"/>
  <c r="L528" i="6"/>
  <c r="O528" i="6" s="1"/>
  <c r="N528" i="6"/>
  <c r="L407" i="6"/>
  <c r="O407" i="6" s="1"/>
  <c r="N407" i="6"/>
  <c r="N216" i="6"/>
  <c r="L216" i="6"/>
  <c r="O216" i="6" s="1"/>
  <c r="N360" i="6"/>
  <c r="L360" i="6"/>
  <c r="O360" i="6" s="1"/>
  <c r="L575" i="6"/>
  <c r="O575" i="6" s="1"/>
  <c r="N575" i="6"/>
  <c r="L264" i="6"/>
  <c r="N264" i="6"/>
  <c r="N143" i="6"/>
  <c r="L143" i="6"/>
  <c r="O143" i="6" s="1"/>
  <c r="N37" i="6"/>
  <c r="L37" i="6"/>
  <c r="O37" i="6" s="1"/>
  <c r="N578" i="6"/>
  <c r="L578" i="6"/>
  <c r="O578" i="6" s="1"/>
  <c r="L507" i="6"/>
  <c r="N507" i="6"/>
  <c r="N361" i="6"/>
  <c r="L361" i="6"/>
  <c r="O361" i="6" s="1"/>
  <c r="L235" i="6"/>
  <c r="O235" i="6" s="1"/>
  <c r="N235" i="6"/>
  <c r="N127" i="6"/>
  <c r="L127" i="6"/>
  <c r="O127" i="6" s="1"/>
  <c r="L492" i="6"/>
  <c r="O492" i="6" s="1"/>
  <c r="N492" i="6"/>
  <c r="L475" i="6"/>
  <c r="O475" i="6" s="1"/>
  <c r="N475" i="6"/>
  <c r="N217" i="6"/>
  <c r="L217" i="6"/>
  <c r="O217" i="6" s="1"/>
  <c r="N70" i="6"/>
  <c r="L70" i="6"/>
  <c r="O70" i="6" s="1"/>
  <c r="N66" i="6"/>
  <c r="L66" i="6"/>
  <c r="O66" i="6" s="1"/>
  <c r="L568" i="6"/>
  <c r="O568" i="6" s="1"/>
  <c r="N568" i="6"/>
  <c r="L562" i="6"/>
  <c r="O562" i="6" s="1"/>
  <c r="N562" i="6"/>
  <c r="N560" i="6"/>
  <c r="L560" i="6"/>
  <c r="O560" i="6" s="1"/>
  <c r="N553" i="6"/>
  <c r="L553" i="6"/>
  <c r="O553" i="6" s="1"/>
  <c r="L466" i="6"/>
  <c r="O466" i="6" s="1"/>
  <c r="N466" i="6"/>
  <c r="L431" i="6"/>
  <c r="O431" i="6" s="1"/>
  <c r="N431" i="6"/>
  <c r="N223" i="6"/>
  <c r="L223" i="6"/>
  <c r="O223" i="6" s="1"/>
  <c r="L335" i="6"/>
  <c r="N335" i="6"/>
  <c r="N79" i="6"/>
  <c r="L79" i="6"/>
  <c r="O79" i="6" s="1"/>
  <c r="N78" i="6"/>
  <c r="L78" i="6"/>
  <c r="O78" i="6" s="1"/>
  <c r="N570" i="6"/>
  <c r="L570" i="6"/>
  <c r="O570" i="6" s="1"/>
  <c r="L424" i="6"/>
  <c r="O424" i="6" s="1"/>
  <c r="N424" i="6"/>
  <c r="N238" i="6"/>
  <c r="L238" i="6"/>
  <c r="O238" i="6" s="1"/>
  <c r="N157" i="6"/>
  <c r="L157" i="6"/>
  <c r="O157" i="6" s="1"/>
  <c r="L533" i="6"/>
  <c r="O533" i="6" s="1"/>
  <c r="N533" i="6"/>
  <c r="L524" i="6"/>
  <c r="O524" i="6" s="1"/>
  <c r="N524" i="6"/>
  <c r="L473" i="6"/>
  <c r="N473" i="6"/>
  <c r="N456" i="6"/>
  <c r="L456" i="6"/>
  <c r="O456" i="6" s="1"/>
  <c r="N422" i="6"/>
  <c r="L422" i="6"/>
  <c r="O422" i="6" s="1"/>
  <c r="L312" i="6"/>
  <c r="O312" i="6" s="1"/>
  <c r="N312" i="6"/>
  <c r="L266" i="6"/>
  <c r="O266" i="6" s="1"/>
  <c r="N266" i="6"/>
  <c r="N233" i="6"/>
  <c r="L233" i="6"/>
  <c r="O233" i="6" s="1"/>
  <c r="N169" i="6"/>
  <c r="L169" i="6"/>
  <c r="O169" i="6" s="1"/>
  <c r="N92" i="6"/>
  <c r="L92" i="6"/>
  <c r="O92" i="6" s="1"/>
  <c r="N91" i="6"/>
  <c r="L91" i="6"/>
  <c r="O91" i="6" s="1"/>
  <c r="N75" i="6"/>
  <c r="L75" i="6"/>
  <c r="O75" i="6" s="1"/>
  <c r="N67" i="6"/>
  <c r="L67" i="6"/>
  <c r="O67" i="6" s="1"/>
  <c r="N47" i="6"/>
  <c r="L47" i="6"/>
  <c r="O47" i="6" s="1"/>
  <c r="L566" i="6"/>
  <c r="O566" i="6" s="1"/>
  <c r="N566" i="6"/>
  <c r="L531" i="6"/>
  <c r="O531" i="6" s="1"/>
  <c r="N531" i="6"/>
  <c r="N404" i="6"/>
  <c r="L404" i="6"/>
  <c r="O404" i="6" s="1"/>
  <c r="N274" i="6"/>
  <c r="L274" i="6"/>
  <c r="O274" i="6" s="1"/>
  <c r="N121" i="6"/>
  <c r="L121" i="6"/>
  <c r="O121" i="6" s="1"/>
  <c r="N2" i="6"/>
  <c r="L2" i="6"/>
  <c r="L613" i="6"/>
  <c r="N613" i="6"/>
  <c r="N630" i="6"/>
  <c r="L630" i="6"/>
  <c r="O630" i="6" s="1"/>
  <c r="N543" i="6"/>
  <c r="L543" i="6"/>
  <c r="O543" i="6" s="1"/>
  <c r="L536" i="6"/>
  <c r="N536" i="6"/>
  <c r="N436" i="6"/>
  <c r="L436" i="6"/>
  <c r="O436" i="6" s="1"/>
  <c r="N93" i="6"/>
  <c r="L93" i="6"/>
  <c r="O93" i="6" s="1"/>
  <c r="N551" i="6"/>
  <c r="L551" i="6"/>
  <c r="O551" i="6" s="1"/>
  <c r="N34" i="6"/>
  <c r="L34" i="6"/>
  <c r="N647" i="6"/>
  <c r="L647" i="6"/>
  <c r="O647" i="6" s="1"/>
  <c r="N638" i="6"/>
  <c r="L638" i="6"/>
  <c r="O638" i="6" s="1"/>
  <c r="N571" i="6"/>
  <c r="L571" i="6"/>
  <c r="O571" i="6" s="1"/>
  <c r="N488" i="6"/>
  <c r="L488" i="6"/>
  <c r="O488" i="6" s="1"/>
  <c r="N465" i="6"/>
  <c r="L465" i="6"/>
  <c r="O465" i="6" s="1"/>
  <c r="N325" i="6"/>
  <c r="L325" i="6"/>
  <c r="O325" i="6" s="1"/>
  <c r="L311" i="6"/>
  <c r="O311" i="6" s="1"/>
  <c r="N311" i="6"/>
  <c r="N172" i="6"/>
  <c r="L172" i="6"/>
  <c r="O172" i="6" s="1"/>
  <c r="N122" i="6"/>
  <c r="L122" i="6"/>
  <c r="O122" i="6" s="1"/>
  <c r="N73" i="6"/>
  <c r="L73" i="6"/>
  <c r="O73" i="6" s="1"/>
  <c r="N498" i="6"/>
  <c r="L498" i="6"/>
  <c r="O498" i="6" s="1"/>
  <c r="N467" i="6"/>
  <c r="L467" i="6"/>
  <c r="O467" i="6" s="1"/>
  <c r="N282" i="6"/>
  <c r="L282" i="6"/>
  <c r="O282" i="6" s="1"/>
  <c r="N214" i="6"/>
  <c r="L214" i="6"/>
  <c r="O214" i="6" s="1"/>
  <c r="N184" i="6"/>
  <c r="L184" i="6"/>
  <c r="O184" i="6" s="1"/>
  <c r="L646" i="6"/>
  <c r="O646" i="6" s="1"/>
  <c r="N646" i="6"/>
  <c r="N627" i="6"/>
  <c r="L627" i="6"/>
  <c r="O627" i="6" s="1"/>
  <c r="L587" i="6"/>
  <c r="O587" i="6" s="1"/>
  <c r="N587" i="6"/>
  <c r="L576" i="6"/>
  <c r="O576" i="6" s="1"/>
  <c r="N576" i="6"/>
  <c r="N478" i="6"/>
  <c r="L478" i="6"/>
  <c r="O478" i="6" s="1"/>
  <c r="L403" i="6"/>
  <c r="O403" i="6" s="1"/>
  <c r="N403" i="6"/>
  <c r="N392" i="6"/>
  <c r="L392" i="6"/>
  <c r="O392" i="6" s="1"/>
  <c r="L332" i="6"/>
  <c r="O332" i="6" s="1"/>
  <c r="N332" i="6"/>
  <c r="L331" i="6"/>
  <c r="O331" i="6" s="1"/>
  <c r="N331" i="6"/>
  <c r="L310" i="6"/>
  <c r="O310" i="6" s="1"/>
  <c r="N310" i="6"/>
  <c r="N46" i="6"/>
  <c r="L46" i="6"/>
  <c r="O46" i="6" s="1"/>
  <c r="L480" i="6"/>
  <c r="O480" i="6" s="1"/>
  <c r="N480" i="6"/>
  <c r="L435" i="6"/>
  <c r="O435" i="6" s="1"/>
  <c r="N435" i="6"/>
  <c r="N606" i="6"/>
  <c r="L606" i="6"/>
  <c r="O606" i="6" s="1"/>
  <c r="N493" i="6"/>
  <c r="L493" i="6"/>
  <c r="O493" i="6" s="1"/>
  <c r="N461" i="6"/>
  <c r="L461" i="6"/>
  <c r="O461" i="6" s="1"/>
  <c r="L453" i="6"/>
  <c r="O453" i="6" s="1"/>
  <c r="N453" i="6"/>
  <c r="L379" i="6"/>
  <c r="O379" i="6" s="1"/>
  <c r="N379" i="6"/>
  <c r="L368" i="6"/>
  <c r="O368" i="6" s="1"/>
  <c r="N368" i="6"/>
  <c r="L237" i="6"/>
  <c r="O237" i="6" s="1"/>
  <c r="N237" i="6"/>
  <c r="N225" i="6"/>
  <c r="L225" i="6"/>
  <c r="O225" i="6" s="1"/>
  <c r="N126" i="6"/>
  <c r="L126" i="6"/>
  <c r="O126" i="6" s="1"/>
  <c r="L526" i="6"/>
  <c r="N526" i="6"/>
  <c r="N464" i="6"/>
  <c r="L464" i="6"/>
  <c r="O464" i="6" s="1"/>
  <c r="L443" i="6"/>
  <c r="N443" i="6"/>
  <c r="N442" i="6"/>
  <c r="L442" i="6"/>
  <c r="O442" i="6" s="1"/>
  <c r="L380" i="6"/>
  <c r="N380" i="6"/>
  <c r="L319" i="6"/>
  <c r="N319" i="6"/>
  <c r="L299" i="6"/>
  <c r="O299" i="6" s="1"/>
  <c r="N299" i="6"/>
  <c r="N220" i="6"/>
  <c r="L220" i="6"/>
  <c r="O220" i="6" s="1"/>
  <c r="N178" i="6"/>
  <c r="L178" i="6"/>
  <c r="O178" i="6" s="1"/>
  <c r="N530" i="6"/>
  <c r="L530" i="6"/>
  <c r="O530" i="6" s="1"/>
  <c r="L460" i="6"/>
  <c r="O460" i="6" s="1"/>
  <c r="N460" i="6"/>
  <c r="N444" i="6"/>
  <c r="L444" i="6"/>
  <c r="O444" i="6" s="1"/>
  <c r="L281" i="6"/>
  <c r="O281" i="6" s="1"/>
  <c r="N281" i="6"/>
  <c r="N158" i="6"/>
  <c r="L158" i="6"/>
  <c r="O158" i="6" s="1"/>
  <c r="N501" i="6"/>
  <c r="L501" i="6"/>
  <c r="O501" i="6" s="1"/>
  <c r="L350" i="6"/>
  <c r="O350" i="6" s="1"/>
  <c r="N350" i="6"/>
  <c r="L253" i="6"/>
  <c r="O253" i="6" s="1"/>
  <c r="N253" i="6"/>
  <c r="N519" i="6"/>
  <c r="L519" i="6"/>
  <c r="O519" i="6" s="1"/>
  <c r="N440" i="6"/>
  <c r="L440" i="6"/>
  <c r="O440" i="6" s="1"/>
  <c r="L242" i="6"/>
  <c r="O242" i="6" s="1"/>
  <c r="N242" i="6"/>
  <c r="N203" i="6"/>
  <c r="L203" i="6"/>
  <c r="O203" i="6" s="1"/>
  <c r="N241" i="6"/>
  <c r="L241" i="6"/>
  <c r="O241" i="6" s="1"/>
  <c r="N552" i="6"/>
  <c r="L552" i="6"/>
  <c r="O552" i="6" s="1"/>
  <c r="L469" i="6"/>
  <c r="O469" i="6" s="1"/>
  <c r="N469" i="6"/>
  <c r="N458" i="6"/>
  <c r="L458" i="6"/>
  <c r="O458" i="6" s="1"/>
  <c r="N370" i="6"/>
  <c r="L370" i="6"/>
  <c r="O370" i="6" s="1"/>
  <c r="N365" i="6"/>
  <c r="L365" i="6"/>
  <c r="O365" i="6" s="1"/>
  <c r="N129" i="6"/>
  <c r="L129" i="6"/>
  <c r="O129" i="6" s="1"/>
  <c r="L489" i="6"/>
  <c r="N489" i="6"/>
  <c r="L451" i="6"/>
  <c r="O451" i="6" s="1"/>
  <c r="N451" i="6"/>
  <c r="L364" i="6"/>
  <c r="O364" i="6" s="1"/>
  <c r="N364" i="6"/>
  <c r="L180" i="6"/>
  <c r="O180" i="6" s="1"/>
  <c r="N180" i="6"/>
  <c r="N168" i="6"/>
  <c r="L168" i="6"/>
  <c r="O168" i="6" s="1"/>
  <c r="N181" i="6"/>
  <c r="L181" i="6"/>
  <c r="O181" i="6" s="1"/>
  <c r="L292" i="6"/>
  <c r="O292" i="6" s="1"/>
  <c r="N292" i="6"/>
  <c r="N95" i="6"/>
  <c r="L95" i="6"/>
  <c r="O95" i="6" s="1"/>
  <c r="N541" i="6"/>
  <c r="L541" i="6"/>
  <c r="O541" i="6" s="1"/>
  <c r="L472" i="6"/>
  <c r="O472" i="6" s="1"/>
  <c r="N472" i="6"/>
  <c r="N174" i="6"/>
  <c r="L174" i="6"/>
  <c r="O174" i="6" s="1"/>
  <c r="N652" i="6"/>
  <c r="L652" i="6"/>
  <c r="O652" i="6" s="1"/>
  <c r="N632" i="6"/>
  <c r="L632" i="6"/>
  <c r="O632" i="6" s="1"/>
  <c r="L428" i="6"/>
  <c r="O428" i="6" s="1"/>
  <c r="N428" i="6"/>
  <c r="N416" i="6"/>
  <c r="L416" i="6"/>
  <c r="O416" i="6" s="1"/>
  <c r="N395" i="6"/>
  <c r="L395" i="6"/>
  <c r="O395" i="6" s="1"/>
  <c r="L317" i="6"/>
  <c r="O317" i="6" s="1"/>
  <c r="N317" i="6"/>
  <c r="N163" i="6"/>
  <c r="L163" i="6"/>
  <c r="O163" i="6" s="1"/>
  <c r="N76" i="6"/>
  <c r="L76" i="6"/>
  <c r="O76" i="6" s="1"/>
  <c r="L547" i="6"/>
  <c r="N547" i="6"/>
  <c r="N455" i="6"/>
  <c r="L455" i="6"/>
  <c r="O455" i="6" s="1"/>
  <c r="L330" i="6"/>
  <c r="O330" i="6" s="1"/>
  <c r="N330" i="6"/>
  <c r="L328" i="6"/>
  <c r="O328" i="6" s="1"/>
  <c r="N328" i="6"/>
  <c r="L285" i="6"/>
  <c r="O285" i="6" s="1"/>
  <c r="N285" i="6"/>
  <c r="N279" i="6"/>
  <c r="L279" i="6"/>
  <c r="O279" i="6" s="1"/>
  <c r="N276" i="6"/>
  <c r="L276" i="6"/>
  <c r="O276" i="6" s="1"/>
  <c r="L207" i="6"/>
  <c r="O207" i="6" s="1"/>
  <c r="N207" i="6"/>
  <c r="L639" i="6"/>
  <c r="O639" i="6" s="1"/>
  <c r="N639" i="6"/>
  <c r="N631" i="6"/>
  <c r="L631" i="6"/>
  <c r="O631" i="6" s="1"/>
  <c r="N584" i="6"/>
  <c r="L584" i="6"/>
  <c r="O584" i="6" s="1"/>
  <c r="N529" i="6"/>
  <c r="L529" i="6"/>
  <c r="O529" i="6" s="1"/>
  <c r="L523" i="6"/>
  <c r="O523" i="6" s="1"/>
  <c r="N523" i="6"/>
  <c r="L515" i="6"/>
  <c r="O515" i="6" s="1"/>
  <c r="N515" i="6"/>
  <c r="N459" i="6"/>
  <c r="L459" i="6"/>
  <c r="O459" i="6" s="1"/>
  <c r="L402" i="6"/>
  <c r="O402" i="6" s="1"/>
  <c r="N402" i="6"/>
  <c r="L367" i="6"/>
  <c r="O367" i="6" s="1"/>
  <c r="N367" i="6"/>
  <c r="N294" i="6"/>
  <c r="L294" i="6"/>
  <c r="O294" i="6" s="1"/>
  <c r="L291" i="6"/>
  <c r="O291" i="6" s="1"/>
  <c r="N291" i="6"/>
  <c r="L284" i="6"/>
  <c r="O284" i="6" s="1"/>
  <c r="N284" i="6"/>
  <c r="N283" i="6"/>
  <c r="L283" i="6"/>
  <c r="O283" i="6" s="1"/>
  <c r="N280" i="6"/>
  <c r="L280" i="6"/>
  <c r="O280" i="6" s="1"/>
  <c r="L267" i="6"/>
  <c r="O267" i="6" s="1"/>
  <c r="N267" i="6"/>
  <c r="N252" i="6"/>
  <c r="L252" i="6"/>
  <c r="O252" i="6" s="1"/>
  <c r="N248" i="6"/>
  <c r="L248" i="6"/>
  <c r="O248" i="6" s="1"/>
  <c r="N159" i="6"/>
  <c r="L159" i="6"/>
  <c r="O159" i="6" s="1"/>
  <c r="N117" i="6"/>
  <c r="L117" i="6"/>
  <c r="O117" i="6" s="1"/>
  <c r="N23" i="6"/>
  <c r="L23" i="6"/>
  <c r="O23" i="6" s="1"/>
  <c r="N537" i="6"/>
  <c r="L537" i="6"/>
  <c r="O537" i="6" s="1"/>
  <c r="N54" i="6"/>
  <c r="L54" i="6"/>
  <c r="O54" i="6" s="1"/>
  <c r="N51" i="6"/>
  <c r="L51" i="6"/>
  <c r="O51" i="6" s="1"/>
  <c r="N539" i="6"/>
  <c r="L539" i="6"/>
  <c r="O539" i="6" s="1"/>
  <c r="N303" i="6"/>
  <c r="L303" i="6"/>
  <c r="O303" i="6" s="1"/>
  <c r="N191" i="6"/>
  <c r="L191" i="6"/>
  <c r="O191" i="6" s="1"/>
  <c r="N162" i="6"/>
  <c r="L162" i="6"/>
  <c r="O162" i="6" s="1"/>
  <c r="N14" i="6"/>
  <c r="L14" i="6"/>
  <c r="O14" i="6" s="1"/>
  <c r="N74" i="6"/>
  <c r="L74" i="6"/>
  <c r="O74" i="6" s="1"/>
  <c r="N72" i="6"/>
  <c r="L72" i="6"/>
  <c r="O72" i="6" s="1"/>
  <c r="L308" i="6"/>
  <c r="O308" i="6" s="1"/>
  <c r="N308" i="6"/>
  <c r="L161" i="6"/>
  <c r="O161" i="6" s="1"/>
  <c r="N161" i="6"/>
  <c r="N150" i="6"/>
  <c r="L150" i="6"/>
  <c r="O150" i="6" s="1"/>
  <c r="N59" i="6"/>
  <c r="L59" i="6"/>
  <c r="O59" i="6" s="1"/>
  <c r="L275" i="6"/>
  <c r="O275" i="6" s="1"/>
  <c r="N275" i="6"/>
  <c r="N213" i="6"/>
  <c r="L213" i="6"/>
  <c r="O213" i="6" s="1"/>
  <c r="O197" i="6" l="1"/>
  <c r="O298" i="6"/>
  <c r="O200" i="6"/>
  <c r="O194" i="6"/>
  <c r="O381" i="6"/>
  <c r="O243" i="6"/>
  <c r="O6" i="6"/>
  <c r="O273" i="6"/>
  <c r="O102" i="6"/>
  <c r="O19" i="6"/>
  <c r="D6" i="3"/>
  <c r="C6" i="3"/>
  <c r="J7" i="3"/>
  <c r="I7" i="3"/>
  <c r="H7" i="3"/>
  <c r="K7" i="3" s="1"/>
  <c r="G7" i="3"/>
  <c r="O505" i="6"/>
  <c r="O201" i="6"/>
  <c r="O218" i="6"/>
  <c r="O205" i="6"/>
  <c r="O132" i="6"/>
  <c r="O396" i="6"/>
  <c r="O305" i="6"/>
  <c r="O160" i="6"/>
  <c r="O374" i="6"/>
  <c r="O149" i="6"/>
  <c r="O650" i="6"/>
  <c r="O34" i="6"/>
  <c r="F7" i="3"/>
  <c r="E7" i="3"/>
  <c r="D7" i="3"/>
  <c r="C7" i="3"/>
  <c r="J8" i="3"/>
  <c r="I8" i="3"/>
  <c r="H8" i="3"/>
  <c r="K8" i="3" s="1"/>
  <c r="G8" i="3"/>
  <c r="F8" i="3"/>
  <c r="E8" i="3"/>
  <c r="D8" i="3"/>
  <c r="C8" i="3"/>
  <c r="J9" i="3"/>
  <c r="I9" i="3"/>
  <c r="H9" i="3"/>
  <c r="K9" i="3" s="1"/>
  <c r="G9" i="3"/>
  <c r="F9" i="3"/>
  <c r="E9" i="3"/>
  <c r="D9" i="3"/>
  <c r="C9" i="3"/>
  <c r="J10" i="3"/>
  <c r="I10" i="3"/>
  <c r="H10" i="3"/>
  <c r="G10" i="3"/>
  <c r="F10" i="3"/>
  <c r="E10" i="3"/>
  <c r="D10" i="3"/>
  <c r="C10" i="3"/>
  <c r="J11" i="3"/>
  <c r="I11" i="3"/>
  <c r="H11" i="3"/>
  <c r="K11" i="3" s="1"/>
  <c r="G11" i="3"/>
  <c r="F11" i="3"/>
  <c r="E11" i="3"/>
  <c r="D11" i="3"/>
  <c r="C11" i="3"/>
  <c r="J12" i="3"/>
  <c r="I12" i="3"/>
  <c r="H12" i="3"/>
  <c r="G12" i="3"/>
  <c r="F12" i="3"/>
  <c r="E12" i="3"/>
  <c r="D12" i="3"/>
  <c r="C12" i="3"/>
  <c r="J13" i="3"/>
  <c r="I13" i="3"/>
  <c r="H13" i="3"/>
  <c r="G13" i="3"/>
  <c r="F13" i="3"/>
  <c r="E13" i="3"/>
  <c r="D13" i="3"/>
  <c r="C13" i="3"/>
  <c r="J14" i="3"/>
  <c r="I14" i="3"/>
  <c r="H14" i="3"/>
  <c r="K14" i="3" s="1"/>
  <c r="G14" i="3"/>
  <c r="F14" i="3"/>
  <c r="E14" i="3"/>
  <c r="D14" i="3"/>
  <c r="C14" i="3"/>
  <c r="J15" i="3"/>
  <c r="I15" i="3"/>
  <c r="H15" i="3"/>
  <c r="K15" i="3" s="1"/>
  <c r="G15" i="3"/>
  <c r="F15" i="3"/>
  <c r="E15" i="3"/>
  <c r="D15" i="3"/>
  <c r="C15" i="3"/>
  <c r="J16" i="3"/>
  <c r="I16" i="3"/>
  <c r="H16" i="3"/>
  <c r="K16" i="3" s="1"/>
  <c r="G16" i="3"/>
  <c r="F16" i="3"/>
  <c r="E16" i="3"/>
  <c r="D16" i="3"/>
  <c r="C16" i="3"/>
  <c r="J17" i="3"/>
  <c r="I17" i="3"/>
  <c r="H17" i="3"/>
  <c r="K17" i="3" s="1"/>
  <c r="G17" i="3"/>
  <c r="F17" i="3"/>
  <c r="E17" i="3"/>
  <c r="D17" i="3"/>
  <c r="C17" i="3"/>
  <c r="J18" i="3"/>
  <c r="I18" i="3"/>
  <c r="H18" i="3"/>
  <c r="K18" i="3" s="1"/>
  <c r="G18" i="3"/>
  <c r="F18" i="3"/>
  <c r="E18" i="3"/>
  <c r="D18" i="3"/>
  <c r="C18" i="3"/>
  <c r="J19" i="3"/>
  <c r="I19" i="3"/>
  <c r="H19" i="3"/>
  <c r="K19" i="3" s="1"/>
  <c r="G19" i="3"/>
  <c r="F19" i="3"/>
  <c r="E19" i="3"/>
  <c r="D19" i="3"/>
  <c r="C19" i="3"/>
  <c r="J20" i="3"/>
  <c r="I20" i="3"/>
  <c r="H20" i="3"/>
  <c r="K20" i="3" s="1"/>
  <c r="G20" i="3"/>
  <c r="F20" i="3"/>
  <c r="E20" i="3"/>
  <c r="D20" i="3"/>
  <c r="C20" i="3"/>
  <c r="J21" i="3"/>
  <c r="I21" i="3"/>
  <c r="H21" i="3"/>
  <c r="K21" i="3" s="1"/>
  <c r="G21" i="3"/>
  <c r="F21" i="3"/>
  <c r="E21" i="3"/>
  <c r="D21" i="3"/>
  <c r="C21" i="3"/>
  <c r="J22" i="3"/>
  <c r="I22" i="3"/>
  <c r="H22" i="3"/>
  <c r="K22" i="3" s="1"/>
  <c r="G22" i="3"/>
  <c r="F22" i="3"/>
  <c r="E22" i="3"/>
  <c r="D22" i="3"/>
  <c r="C22" i="3"/>
  <c r="J23" i="3"/>
  <c r="I23" i="3"/>
  <c r="H23" i="3"/>
  <c r="G23" i="3"/>
  <c r="F23" i="3"/>
  <c r="E23" i="3"/>
  <c r="D23" i="3"/>
  <c r="C23" i="3"/>
  <c r="K24" i="3"/>
  <c r="J24" i="3"/>
  <c r="I24" i="3"/>
  <c r="H24" i="3"/>
  <c r="F24" i="3"/>
  <c r="E24" i="3"/>
  <c r="D24" i="3"/>
  <c r="C24" i="3"/>
  <c r="G24" i="3"/>
  <c r="I25" i="3"/>
  <c r="G25" i="3"/>
  <c r="D25" i="3"/>
  <c r="E25" i="3"/>
  <c r="C25" i="3"/>
  <c r="J25" i="3"/>
  <c r="K25" i="3"/>
  <c r="H25" i="3"/>
  <c r="F25" i="3"/>
  <c r="K26" i="3"/>
  <c r="I26" i="3"/>
  <c r="G26" i="3"/>
  <c r="E26" i="3"/>
  <c r="C26" i="3"/>
  <c r="F26" i="3"/>
  <c r="J26" i="3"/>
  <c r="H26" i="3"/>
  <c r="D26" i="3"/>
  <c r="J27" i="3"/>
  <c r="G27" i="3"/>
  <c r="E27" i="3"/>
  <c r="D27" i="3"/>
  <c r="K27" i="3"/>
  <c r="I27" i="3"/>
  <c r="H27" i="3"/>
  <c r="F27" i="3"/>
  <c r="C27" i="3"/>
  <c r="K28" i="3"/>
  <c r="I28" i="3"/>
  <c r="F28" i="3"/>
  <c r="C28" i="3"/>
  <c r="E28" i="3"/>
  <c r="J28" i="3"/>
  <c r="H28" i="3"/>
  <c r="G28" i="3"/>
  <c r="D28" i="3"/>
  <c r="B6" i="4"/>
  <c r="B7" i="4" s="1"/>
  <c r="B8" i="4" s="1"/>
  <c r="B9" i="4"/>
  <c r="B11" i="4" s="1"/>
  <c r="O2" i="6"/>
  <c r="B3" i="4"/>
  <c r="B4" i="4" s="1"/>
  <c r="O414" i="6"/>
  <c r="O369" i="6"/>
  <c r="O234" i="6"/>
  <c r="O470" i="6"/>
  <c r="O657" i="6"/>
  <c r="O228" i="6"/>
  <c r="O447" i="6"/>
  <c r="O509" i="6"/>
  <c r="O503" i="6"/>
  <c r="O345" i="6"/>
  <c r="O245" i="6"/>
  <c r="O385" i="6"/>
  <c r="O363" i="6"/>
  <c r="O232" i="6"/>
  <c r="O154" i="6"/>
  <c r="O315" i="6"/>
  <c r="O239" i="6"/>
  <c r="O334" i="6"/>
  <c r="O247" i="6"/>
  <c r="O246" i="6"/>
  <c r="O173" i="6"/>
  <c r="O446" i="6"/>
  <c r="O409" i="6"/>
  <c r="O399" i="6"/>
  <c r="O356" i="6"/>
  <c r="O532" i="6"/>
  <c r="O434" i="6"/>
  <c r="O481" i="6"/>
  <c r="O476" i="6"/>
  <c r="O296" i="6"/>
  <c r="O616" i="6"/>
  <c r="O340" i="6"/>
  <c r="O333" i="6"/>
  <c r="O133" i="6"/>
  <c r="O621" i="6"/>
  <c r="O500" i="6"/>
  <c r="O423" i="6"/>
  <c r="O258" i="6"/>
  <c r="O13" i="6"/>
  <c r="O614" i="6"/>
  <c r="O383" i="6"/>
  <c r="O199" i="6"/>
  <c r="O405" i="6"/>
  <c r="O484" i="6"/>
  <c r="O494" i="6"/>
  <c r="O259" i="6"/>
  <c r="O320" i="6"/>
  <c r="O496" i="6"/>
  <c r="O557" i="6"/>
  <c r="O287" i="6"/>
  <c r="O108" i="6"/>
  <c r="O36" i="6"/>
  <c r="O346" i="6"/>
  <c r="O628" i="6"/>
  <c r="O506" i="6"/>
  <c r="O343" i="6"/>
  <c r="O175" i="6"/>
  <c r="O474" i="6"/>
  <c r="O462" i="6"/>
  <c r="O454" i="6"/>
  <c r="O450" i="6"/>
  <c r="O448" i="6"/>
  <c r="O432" i="6"/>
  <c r="O376" i="6"/>
  <c r="O375" i="6"/>
  <c r="O352" i="6"/>
  <c r="O260" i="6"/>
  <c r="O250" i="6"/>
  <c r="O240" i="6"/>
  <c r="O140" i="6"/>
  <c r="O372" i="6"/>
  <c r="O608" i="6"/>
  <c r="O196" i="6"/>
  <c r="O387" i="6"/>
  <c r="O290" i="6"/>
  <c r="O264" i="6"/>
  <c r="O507" i="6"/>
  <c r="O335" i="6"/>
  <c r="O319" i="6"/>
  <c r="O473" i="6"/>
  <c r="O613" i="6"/>
  <c r="O536" i="6"/>
  <c r="O526" i="6"/>
  <c r="O443" i="6"/>
  <c r="O380" i="6"/>
  <c r="O489" i="6"/>
  <c r="O547" i="6"/>
  <c r="K10" i="3" l="1"/>
  <c r="K13" i="3"/>
  <c r="F29" i="3"/>
  <c r="D29" i="3"/>
  <c r="E29" i="3"/>
  <c r="K12" i="3"/>
  <c r="K23" i="3"/>
  <c r="H29" i="3"/>
  <c r="J29" i="3"/>
  <c r="B12" i="4"/>
  <c r="C18" i="4"/>
  <c r="D18" i="4" s="1"/>
  <c r="E18" i="4"/>
  <c r="C19" i="4"/>
  <c r="D19" i="4" s="1"/>
  <c r="E19" i="4"/>
  <c r="C20" i="4"/>
  <c r="D20" i="4" s="1"/>
  <c r="E20" i="4"/>
  <c r="B5" i="4"/>
  <c r="B14" i="4"/>
  <c r="K29" i="3" l="1"/>
  <c r="I29" i="3"/>
  <c r="D36" i="3"/>
  <c r="D34" i="3"/>
  <c r="D33" i="3"/>
  <c r="D35" i="3"/>
  <c r="H35" i="3" s="1"/>
  <c r="L35" i="3" s="1"/>
  <c r="G35" i="3"/>
  <c r="J36" i="3" l="1"/>
  <c r="I36" i="3"/>
  <c r="E36" i="3"/>
  <c r="E34" i="3"/>
  <c r="F34" i="3"/>
  <c r="G34" i="3"/>
  <c r="E35" i="3"/>
  <c r="F35" i="3"/>
  <c r="K35" i="3" s="1"/>
  <c r="I35" i="3"/>
  <c r="J35" i="3"/>
  <c r="F36" i="3"/>
  <c r="G36" i="3"/>
  <c r="K36" i="3" s="1"/>
  <c r="H36" i="3"/>
  <c r="L36" i="3" s="1"/>
  <c r="H34" i="3"/>
  <c r="I34" i="3"/>
  <c r="J34" i="3"/>
  <c r="B10" i="4"/>
  <c r="E33" i="3"/>
  <c r="F33" i="3"/>
  <c r="K33" i="3" s="1"/>
  <c r="G33" i="3"/>
  <c r="H33" i="3"/>
  <c r="L33" i="3" s="1"/>
  <c r="I33" i="3"/>
  <c r="J33" i="3"/>
  <c r="K34" i="3" l="1"/>
  <c r="L34" i="3"/>
</calcChain>
</file>

<file path=xl/sharedStrings.xml><?xml version="1.0" encoding="utf-8"?>
<sst xmlns="http://schemas.openxmlformats.org/spreadsheetml/2006/main" count="34180" uniqueCount="11842">
  <si>
    <t>Premissas — células amarelas podem ser alteradas; todo o resto recalcula</t>
  </si>
  <si>
    <t>Premissa</t>
  </si>
  <si>
    <t>Valor</t>
  </si>
  <si>
    <t>O que significa</t>
  </si>
  <si>
    <t>Modo de escolha do foco</t>
  </si>
  <si>
    <t>Lista</t>
  </si>
  <si>
    <t>Lista = produtos marcados "Sim" na coluna Lista definida (aba Produtos). Regra = top N por valor com margem ≥ MargemMin e ≥ MinEditais editais</t>
  </si>
  <si>
    <t>Dias úteis da janela</t>
  </si>
  <si>
    <t>Editais com proposta encerrando de 09 a 19/10/2026 (12/10 feriado)</t>
  </si>
  <si>
    <t>Dias úteis por mês</t>
  </si>
  <si>
    <t>Converte a janela em mês: × DiasMes / DiasJanela</t>
  </si>
  <si>
    <t>Margem bruta mínima</t>
  </si>
  <si>
    <t>Modo Regra: produto só entra no foco com margem bruta ≥ este valor</t>
  </si>
  <si>
    <t>Mínimo de editais</t>
  </si>
  <si>
    <t>Modo Regra: produto só entra no foco com pelo menos esse nº de editais na janela</t>
  </si>
  <si>
    <t>Tamanho do foco</t>
  </si>
  <si>
    <t>Modo Regra: quantos produtos entram no foco (top N por valor)</t>
  </si>
  <si>
    <t>Desconto padrão</t>
  </si>
  <si>
    <t>Usado quando o produto não tem desconto homologado na planilha</t>
  </si>
  <si>
    <t>Corte da faixa A</t>
  </si>
  <si>
    <t>Valor mínimo nos produtos do foco para o edital ser obrigatório (≈80% do valor)</t>
  </si>
  <si>
    <t>Corte da faixa B</t>
  </si>
  <si>
    <t>Valor mínimo para participar (A+B ≈ 90% do valor); abaixo = faixa C</t>
  </si>
  <si>
    <t>Peso de outubro</t>
  </si>
  <si>
    <t>Fração de mês com disputas em outubro (de 14 a 31/10)</t>
  </si>
  <si>
    <t>Peso de novembro</t>
  </si>
  <si>
    <t>Mês cheio</t>
  </si>
  <si>
    <t>Peso de dezembro</t>
  </si>
  <si>
    <t>Dezembro mais fraco por causa do recesso</t>
  </si>
  <si>
    <t>Compra direta no mês seguinte</t>
  </si>
  <si>
    <t>Parte da compra direta faturada no mês seguinte à sessão; o restante no outro mês</t>
  </si>
  <si>
    <t>Cards no Cockpit (set/26)</t>
  </si>
  <si>
    <t>Cards com encerramento em set/26, todas as categorias</t>
  </si>
  <si>
    <t>Dias úteis de set/26</t>
  </si>
  <si>
    <t>7/9 feriado</t>
  </si>
  <si>
    <t>Rank</t>
  </si>
  <si>
    <t>Produto</t>
  </si>
  <si>
    <t>Classe</t>
  </si>
  <si>
    <t>Score</t>
  </si>
  <si>
    <t>Margem bruta</t>
  </si>
  <si>
    <t>Desconto homologado</t>
  </si>
  <si>
    <t>Preço ref PNCP</t>
  </si>
  <si>
    <t>Custo landed</t>
  </si>
  <si>
    <t>Termo de busca</t>
  </si>
  <si>
    <t>Lista definida</t>
  </si>
  <si>
    <t>Marg Contri (informada)</t>
  </si>
  <si>
    <t>Itens</t>
  </si>
  <si>
    <t>Editais</t>
  </si>
  <si>
    <t>Valor janela</t>
  </si>
  <si>
    <t>Valor SRP</t>
  </si>
  <si>
    <t>Participação SRP</t>
  </si>
  <si>
    <t>Mercado mês ref</t>
  </si>
  <si>
    <t>Mercado mês homologado</t>
  </si>
  <si>
    <t>Elegível</t>
  </si>
  <si>
    <t>Posição</t>
  </si>
  <si>
    <t>Foco</t>
  </si>
  <si>
    <t>Lâmina de bisturi</t>
  </si>
  <si>
    <t>NÚCLEO</t>
  </si>
  <si>
    <t>lamina bisturi</t>
  </si>
  <si>
    <t>Sim</t>
  </si>
  <si>
    <t>Escova cervical</t>
  </si>
  <si>
    <t>escova cervical</t>
  </si>
  <si>
    <t>Bolsa coletora de urina</t>
  </si>
  <si>
    <t>bolsa coletora urina</t>
  </si>
  <si>
    <t>Pulseira de identificação de paciente</t>
  </si>
  <si>
    <t>pulseira identificacao paciente</t>
  </si>
  <si>
    <t>Não</t>
  </si>
  <si>
    <t>Fixador de tubo endotraqueal</t>
  </si>
  <si>
    <t>fixador tubo endotraqueal</t>
  </si>
  <si>
    <t>Cateter de aspiração</t>
  </si>
  <si>
    <t>cateter aspiracao</t>
  </si>
  <si>
    <t>Agulha calibre 30 G curta</t>
  </si>
  <si>
    <t>agulha 30g curta</t>
  </si>
  <si>
    <t>Cateter nasal tipo óculos</t>
  </si>
  <si>
    <t>cateter nasal oculos</t>
  </si>
  <si>
    <t>Espéculo vaginal descartável</t>
  </si>
  <si>
    <t>especulo vaginal</t>
  </si>
  <si>
    <t>Fita microporosa</t>
  </si>
  <si>
    <t>DISPUTADO</t>
  </si>
  <si>
    <t>fita microporosa</t>
  </si>
  <si>
    <t>Coletor de urina infantil</t>
  </si>
  <si>
    <t>coletor urina infantil</t>
  </si>
  <si>
    <t>Agulha odontológica</t>
  </si>
  <si>
    <t>agulha odontologica</t>
  </si>
  <si>
    <t>Compressa não aderente sem medicamento</t>
  </si>
  <si>
    <t>compressa nao aderente medicamento</t>
  </si>
  <si>
    <t>Babador odontológico descartável</t>
  </si>
  <si>
    <t>babador odontologico</t>
  </si>
  <si>
    <t>Agulha calibre 27 G longa</t>
  </si>
  <si>
    <t>agulha 27g longa</t>
  </si>
  <si>
    <t>Esparadrapo</t>
  </si>
  <si>
    <t>esparadrapo</t>
  </si>
  <si>
    <t>Bolsa coletora de urina de perna</t>
  </si>
  <si>
    <t>bolsa coletora urina perna</t>
  </si>
  <si>
    <t>Coletor para secreção</t>
  </si>
  <si>
    <t>coletor secrecao</t>
  </si>
  <si>
    <t>Cadarço/fixador de traqueostomia (velcro)</t>
  </si>
  <si>
    <t>cadarco traqueostomia</t>
  </si>
  <si>
    <t>Cânula orofaríngea de Guedel</t>
  </si>
  <si>
    <t>canula orofaringea guedel</t>
  </si>
  <si>
    <t>Envelope para esterilização</t>
  </si>
  <si>
    <t>envelope esterilizacao</t>
  </si>
  <si>
    <t>Equipo para transfusão</t>
  </si>
  <si>
    <t>equipo transfusao</t>
  </si>
  <si>
    <t>Indicador químico para esterilização</t>
  </si>
  <si>
    <t>indicador quimico esterilizacao</t>
  </si>
  <si>
    <t>Sistema fechado de aspiração traqueal</t>
  </si>
  <si>
    <t>sistema fechado aspiracao traqueal</t>
  </si>
  <si>
    <t>Curativo de espuma de poliuretano</t>
  </si>
  <si>
    <t>curativo espuma poliuretano</t>
  </si>
  <si>
    <t>Sonda nasogástrica</t>
  </si>
  <si>
    <t>sonda nasogastrica</t>
  </si>
  <si>
    <t>Agulha calibre 30 G extra curta</t>
  </si>
  <si>
    <t>agulha 30g extra curta</t>
  </si>
  <si>
    <t>Touca descartável</t>
  </si>
  <si>
    <t>touca</t>
  </si>
  <si>
    <t>Pulseira sinalizadora de risco (alergia/queda)</t>
  </si>
  <si>
    <t>pulseira sinalizadora risco</t>
  </si>
  <si>
    <t>Caneta de bisturi elétrico descartável</t>
  </si>
  <si>
    <t>caneta bisturi eletrico</t>
  </si>
  <si>
    <t>Sonda uretral</t>
  </si>
  <si>
    <t>sonda uretral</t>
  </si>
  <si>
    <t>Tubo para coleta de sangue seco</t>
  </si>
  <si>
    <t>tubo coleta sangue seco</t>
  </si>
  <si>
    <t>Bolsa de colostomia/ileostomia drenável 1 peça c/ filtro de carvão</t>
  </si>
  <si>
    <t>bolsa colostomia drenavel</t>
  </si>
  <si>
    <t>Teste Bowie-Dick descartável</t>
  </si>
  <si>
    <t>teste bowie dick</t>
  </si>
  <si>
    <t>Extensão/tubo de aspiração PVC</t>
  </si>
  <si>
    <t>extensao aspiracao pvc</t>
  </si>
  <si>
    <t>Integrador químico</t>
  </si>
  <si>
    <t>integrador quimico</t>
  </si>
  <si>
    <t>Avental impermeável descartável</t>
  </si>
  <si>
    <t>avental impermeavel</t>
  </si>
  <si>
    <t>Kit para coleta citológica</t>
  </si>
  <si>
    <t>kit coleta citologica</t>
  </si>
  <si>
    <t>Filtro HME</t>
  </si>
  <si>
    <t>filtro hme</t>
  </si>
  <si>
    <t>Agulha calibre 27 G curta</t>
  </si>
  <si>
    <t>agulha 27g curta</t>
  </si>
  <si>
    <t>Cobertura de hidrogel (bisnaga/placa)</t>
  </si>
  <si>
    <t>cobertura hidrogel</t>
  </si>
  <si>
    <t>Fita para autoclave</t>
  </si>
  <si>
    <t>fita autoclave</t>
  </si>
  <si>
    <t>Curativo hidrocoloide</t>
  </si>
  <si>
    <t>curativo hidrocoloide</t>
  </si>
  <si>
    <t>Incentivador respiratório (uso individual)</t>
  </si>
  <si>
    <t>incentivador respiratorio</t>
  </si>
  <si>
    <t>Agulha de raquianestesia Quincke</t>
  </si>
  <si>
    <t>agulha raquianestesia quincke</t>
  </si>
  <si>
    <t>Tubo para coleta de sangue EDTA</t>
  </si>
  <si>
    <t>tubo coleta sangue edta</t>
  </si>
  <si>
    <t>Agulha de bloqueio periférico ecoguiado</t>
  </si>
  <si>
    <t>agulha bloqueio</t>
  </si>
  <si>
    <t>Curativo de alginato de cálcio</t>
  </si>
  <si>
    <t>curativo alginato calcio</t>
  </si>
  <si>
    <t>Umidificador descartável</t>
  </si>
  <si>
    <t>umidificador</t>
  </si>
  <si>
    <t>Tubo para coleta de sangue citrato</t>
  </si>
  <si>
    <t>tubo coleta sangue citrato</t>
  </si>
  <si>
    <t>Campo cirúrgico descartável</t>
  </si>
  <si>
    <t>campo cirurgico</t>
  </si>
  <si>
    <t>Torneira de 3 vias</t>
  </si>
  <si>
    <t>torneira 3 vias</t>
  </si>
  <si>
    <t>Sonda nasoenteral</t>
  </si>
  <si>
    <t>sonda nasoenteral</t>
  </si>
  <si>
    <t>Seringa 50/60 mL</t>
  </si>
  <si>
    <t>seringa 50ml</t>
  </si>
  <si>
    <t>Placa descartável para desfibrilação</t>
  </si>
  <si>
    <t>placa desfibrilacao</t>
  </si>
  <si>
    <t>Máscara laríngea descartável</t>
  </si>
  <si>
    <t>mascara laringea</t>
  </si>
  <si>
    <t>Clamp umbilical</t>
  </si>
  <si>
    <t>clamp umbilical</t>
  </si>
  <si>
    <t>Microaplicador odontológico</t>
  </si>
  <si>
    <t>microaplicador odontologico</t>
  </si>
  <si>
    <t>Tubo para coleta com gel separador</t>
  </si>
  <si>
    <t>tubo coleta gel separador</t>
  </si>
  <si>
    <t>Saco para descarte de materiais hospitalares</t>
  </si>
  <si>
    <t>saco descarte</t>
  </si>
  <si>
    <t>Extensor/prolongador 2 vias (polifix 2 vias)</t>
  </si>
  <si>
    <t>extensor 2 vias</t>
  </si>
  <si>
    <t>Rolo de algodão odontológico</t>
  </si>
  <si>
    <t>rolo algodao odontologico</t>
  </si>
  <si>
    <t>Sonda Foley 2 vias</t>
  </si>
  <si>
    <t>FORA</t>
  </si>
  <si>
    <t>sonda foley 2 vias</t>
  </si>
  <si>
    <t>Equipo microgotas</t>
  </si>
  <si>
    <t>equipo microgotas</t>
  </si>
  <si>
    <t>Fio cirúrgico absorvível</t>
  </si>
  <si>
    <t>fio cirurgico absorvivel</t>
  </si>
  <si>
    <t>Kit ginecológico descartável</t>
  </si>
  <si>
    <t>kit ginecologico</t>
  </si>
  <si>
    <t>Conjunto para nebulização</t>
  </si>
  <si>
    <t>conjunto nebulizacao</t>
  </si>
  <si>
    <t>Torneirinha 3 vias luer lock</t>
  </si>
  <si>
    <t>torneirinha 3 vias luer lock</t>
  </si>
  <si>
    <t>Teste rápido de gravidez (beta hCG)</t>
  </si>
  <si>
    <t>teste rapido gravidez</t>
  </si>
  <si>
    <t>Tampa/ponteira dosadora para frasco (adaptador de frasco - press-in)</t>
  </si>
  <si>
    <t>tampa dosadora frasco</t>
  </si>
  <si>
    <t>Agulha para coleta de sangue</t>
  </si>
  <si>
    <t>agulha coleta sangue</t>
  </si>
  <si>
    <t>Sistema fechado para drenagem urinária</t>
  </si>
  <si>
    <t>sistema fechado drenagem urinaria</t>
  </si>
  <si>
    <t>Bougie / guia introdutor para intubação</t>
  </si>
  <si>
    <t>bougie</t>
  </si>
  <si>
    <t>Reservatório para drenagem</t>
  </si>
  <si>
    <t>reservatorio drenagem</t>
  </si>
  <si>
    <t>Equipo fotossensível</t>
  </si>
  <si>
    <t>equipo fotossensivel</t>
  </si>
  <si>
    <t>Escova cirúrgica seca (sem antisséptico)</t>
  </si>
  <si>
    <t>escova cirurgica seca</t>
  </si>
  <si>
    <t>Absorvente hospitalar</t>
  </si>
  <si>
    <t>absorvente hospitalar</t>
  </si>
  <si>
    <t>Máscara facial para ventilação não invasiva</t>
  </si>
  <si>
    <t>mascara ventilacao nao invasiva</t>
  </si>
  <si>
    <t>Pinça plástica estéril descartável</t>
  </si>
  <si>
    <t>pinca plastica esteril</t>
  </si>
  <si>
    <t>Holder/adaptador para coleta a vácuo</t>
  </si>
  <si>
    <t>holder coleta vacuo</t>
  </si>
  <si>
    <t>Cateter periférico com dispositivo de segurança</t>
  </si>
  <si>
    <t>cateter seguranca</t>
  </si>
  <si>
    <t>Máscara para nebulização infantil</t>
  </si>
  <si>
    <t>mascara nebulizacao infantil</t>
  </si>
  <si>
    <t>Swab estéril</t>
  </si>
  <si>
    <t>swab esteril</t>
  </si>
  <si>
    <t>Cateter arterial</t>
  </si>
  <si>
    <t>cateter arterial</t>
  </si>
  <si>
    <t>Equipo para bomba de infusão</t>
  </si>
  <si>
    <t>equipo bomba infusao</t>
  </si>
  <si>
    <t>Seringa para gasometria com heparina lítica</t>
  </si>
  <si>
    <t>seringa gasometria</t>
  </si>
  <si>
    <t>Espátula de Ayre</t>
  </si>
  <si>
    <t>espatula ayre</t>
  </si>
  <si>
    <t>Máscara de O2 com reservatório (não-reinalante)</t>
  </si>
  <si>
    <t>mascara o2 reservatorio</t>
  </si>
  <si>
    <t>Bobina para esterilização</t>
  </si>
  <si>
    <t>bobina esterilizacao</t>
  </si>
  <si>
    <t>Amniótomo / amnioperfurador</t>
  </si>
  <si>
    <t>amniotomo</t>
  </si>
  <si>
    <t>Sugador odontológico descartável</t>
  </si>
  <si>
    <t>sugador odontologico</t>
  </si>
  <si>
    <t>Capa protetora para cabo de câmera/vídeo</t>
  </si>
  <si>
    <t>capa camera</t>
  </si>
  <si>
    <t>Cateter venoso central</t>
  </si>
  <si>
    <t>cateter venoso central</t>
  </si>
  <si>
    <t>Cateter intravenoso periférico 22G</t>
  </si>
  <si>
    <t>cateter intravenoso 22g</t>
  </si>
  <si>
    <t>Máscara de oxigênio infantil</t>
  </si>
  <si>
    <t>mascara oxigenio infantil</t>
  </si>
  <si>
    <t>Luva estéril para procedimento</t>
  </si>
  <si>
    <t>luva esteril procedimento</t>
  </si>
  <si>
    <t>Sonda Foley 3 vias</t>
  </si>
  <si>
    <t>sonda foley 3 vias</t>
  </si>
  <si>
    <t>Saco para resíduo infectante</t>
  </si>
  <si>
    <t>saco residuo infectante</t>
  </si>
  <si>
    <t>Máscara de oxigênio adulto</t>
  </si>
  <si>
    <t>mascara oxigenio adulto</t>
  </si>
  <si>
    <t>Extensão de oxigênio</t>
  </si>
  <si>
    <t>extensao oxigenio</t>
  </si>
  <si>
    <t>Swab com meio de transporte (Stuart/Amies)</t>
  </si>
  <si>
    <t>swab meio transporte</t>
  </si>
  <si>
    <t>Extensor para acesso venoso</t>
  </si>
  <si>
    <t>extensor acesso venoso</t>
  </si>
  <si>
    <t>Seringa 5 mL</t>
  </si>
  <si>
    <t>seringa 5ml</t>
  </si>
  <si>
    <t>Lençol descartável</t>
  </si>
  <si>
    <t>lencol</t>
  </si>
  <si>
    <t>Compressa cirúrgica</t>
  </si>
  <si>
    <t>compressa cirurgica</t>
  </si>
  <si>
    <t>Filtro bacteriano</t>
  </si>
  <si>
    <t>filtro bacteriano</t>
  </si>
  <si>
    <t>Transdutor descartável</t>
  </si>
  <si>
    <t>transdutor</t>
  </si>
  <si>
    <t>Seringa 1 mL</t>
  </si>
  <si>
    <t>seringa 1ml</t>
  </si>
  <si>
    <t>Lanceta descartável</t>
  </si>
  <si>
    <t>lanceta</t>
  </si>
  <si>
    <t>Coletor para urina</t>
  </si>
  <si>
    <t>coletor urina</t>
  </si>
  <si>
    <t>Seringa 10 mL</t>
  </si>
  <si>
    <t>seringa 10ml</t>
  </si>
  <si>
    <t>Seringa 3 mL</t>
  </si>
  <si>
    <t>seringa 3ml</t>
  </si>
  <si>
    <t>Lanceta de segurança retrátil</t>
  </si>
  <si>
    <t>lanceta seguranca retratil</t>
  </si>
  <si>
    <t>Cateter intravenoso periférico 24G</t>
  </si>
  <si>
    <t>cateter intravenoso 24g</t>
  </si>
  <si>
    <t>Seringa 20 mL</t>
  </si>
  <si>
    <t>seringa 20ml</t>
  </si>
  <si>
    <t>Filtro HME/HMEF barreira bacteriana/viral</t>
  </si>
  <si>
    <t>filtro hme barreira bacteriana</t>
  </si>
  <si>
    <t>Máscara para nebulização adulto</t>
  </si>
  <si>
    <t>mascara nebulizacao adulto</t>
  </si>
  <si>
    <t>Agulha para caneta de insulina 4 mm</t>
  </si>
  <si>
    <t>agulha caneta insulina</t>
  </si>
  <si>
    <t>Agulha calibre 21 G</t>
  </si>
  <si>
    <t>agulha 21g</t>
  </si>
  <si>
    <t>Eletrodo descartável para monitorização</t>
  </si>
  <si>
    <t>eletrodo monitorizacao</t>
  </si>
  <si>
    <t>Filtro/bocal descartável para espirometria</t>
  </si>
  <si>
    <t>filtro espirometria</t>
  </si>
  <si>
    <t>Seringa luer lock 20 ml</t>
  </si>
  <si>
    <t>seringa luer lock 20ml</t>
  </si>
  <si>
    <t>Spike / dispositivo de transferência de soluções</t>
  </si>
  <si>
    <t>spike</t>
  </si>
  <si>
    <t>Filtro HMEF</t>
  </si>
  <si>
    <t>filtro hmef</t>
  </si>
  <si>
    <t>Atadura elástica</t>
  </si>
  <si>
    <t>atadura elastica</t>
  </si>
  <si>
    <t>Coletor para perfurocortantes</t>
  </si>
  <si>
    <t>coletor perfurocortantes</t>
  </si>
  <si>
    <t>Luva de procedimento látex</t>
  </si>
  <si>
    <t>luva procedimento latex</t>
  </si>
  <si>
    <t>Agulha hipodérmica</t>
  </si>
  <si>
    <t>agulha hipodermica</t>
  </si>
  <si>
    <t>Seringa de insulina</t>
  </si>
  <si>
    <t>seringa insulina</t>
  </si>
  <si>
    <t>Agulha calibre 18 G</t>
  </si>
  <si>
    <t>agulha 18g</t>
  </si>
  <si>
    <t>Fio cirúrgico não absorvível</t>
  </si>
  <si>
    <t>fio cirurgico nao absorvivel</t>
  </si>
  <si>
    <t>Saco branco leitoso para resíduos</t>
  </si>
  <si>
    <t>saco branco leitoso residuos</t>
  </si>
  <si>
    <t>Envelope autosselante grau cirúrgico</t>
  </si>
  <si>
    <t>envelope autosselante grau cirurgico</t>
  </si>
  <si>
    <t>Propé descartável</t>
  </si>
  <si>
    <t>prope</t>
  </si>
  <si>
    <t>Cateter intravenoso periférico 14G</t>
  </si>
  <si>
    <t>cateter intravenoso 14g</t>
  </si>
  <si>
    <t>Equipo para dieta enteral</t>
  </si>
  <si>
    <t>equipo dieta enteral</t>
  </si>
  <si>
    <t>Equipo macrogotas</t>
  </si>
  <si>
    <t>equipo macrogotas</t>
  </si>
  <si>
    <t>Cateter intravenoso periférico 16G</t>
  </si>
  <si>
    <t>cateter intravenoso 16g</t>
  </si>
  <si>
    <t>Conector sem agulha</t>
  </si>
  <si>
    <t>conector agulha</t>
  </si>
  <si>
    <t>Fralda infantil descartável</t>
  </si>
  <si>
    <t>fralda infantil</t>
  </si>
  <si>
    <t>Gaze não estéril</t>
  </si>
  <si>
    <t>gaze nao esteril</t>
  </si>
  <si>
    <t>Luva cirúrgica estéril</t>
  </si>
  <si>
    <t>luva cirurgica esteril</t>
  </si>
  <si>
    <t>Fralda geriátrica descartável</t>
  </si>
  <si>
    <t>fralda geriatrica</t>
  </si>
  <si>
    <t>Dreno cirúrgico</t>
  </si>
  <si>
    <t>dreno cirurgico</t>
  </si>
  <si>
    <t>Coletor universal estéril</t>
  </si>
  <si>
    <t>coletor universal esteril</t>
  </si>
  <si>
    <t>Atadura de crepe</t>
  </si>
  <si>
    <t>atadura crepe</t>
  </si>
  <si>
    <t>Cateter umbilical</t>
  </si>
  <si>
    <t>cateter umbilical</t>
  </si>
  <si>
    <t>Cateter para subclávia</t>
  </si>
  <si>
    <t>cateter subclavia</t>
  </si>
  <si>
    <t>Coletor urinário masculino (uripen)</t>
  </si>
  <si>
    <t>coletor urinario masculino</t>
  </si>
  <si>
    <t>Tampa oclusora luer lock (macho/fêmea)</t>
  </si>
  <si>
    <t>tampa oclusora luer lock</t>
  </si>
  <si>
    <t>Curativo transparente para cateter IV (película)</t>
  </si>
  <si>
    <t>curativo transparente cateter iv</t>
  </si>
  <si>
    <t>Agulha calibre 22 G</t>
  </si>
  <si>
    <t>agulha 22g</t>
  </si>
  <si>
    <t>Cateter intravenoso periférico 18G</t>
  </si>
  <si>
    <t>cateter intravenoso 18g</t>
  </si>
  <si>
    <t>Filtro de linha para infusão 0,2 µm</t>
  </si>
  <si>
    <t>filtro linha infusao</t>
  </si>
  <si>
    <t>Gaze estéril</t>
  </si>
  <si>
    <t>gaze esteril</t>
  </si>
  <si>
    <t>Coletor universal</t>
  </si>
  <si>
    <t>coletor universal</t>
  </si>
  <si>
    <t>Bandagem para punção venosa (curativo circular)</t>
  </si>
  <si>
    <t>bandagem puncao venosa</t>
  </si>
  <si>
    <t>Fio multifilamentar</t>
  </si>
  <si>
    <t>fio multifilamentar</t>
  </si>
  <si>
    <t>Luva de procedimento nitrílica</t>
  </si>
  <si>
    <t>luva procedimento nitrilica</t>
  </si>
  <si>
    <t>Cateter intravenoso periférico 20G</t>
  </si>
  <si>
    <t>cateter intravenoso 20g</t>
  </si>
  <si>
    <t>Luva de procedimento vinil</t>
  </si>
  <si>
    <t>luva procedimento vinil</t>
  </si>
  <si>
    <t>Compressa de gaze estéril</t>
  </si>
  <si>
    <t>compressa gaze esteril</t>
  </si>
  <si>
    <t>Máscara cirúrgica tripla</t>
  </si>
  <si>
    <t>mascara cirurgica tripla</t>
  </si>
  <si>
    <t>Avental cirúrgico estéril</t>
  </si>
  <si>
    <t>avental cirurgico esteril</t>
  </si>
  <si>
    <t>Avental hospitalar descartável</t>
  </si>
  <si>
    <t>avental hospitalar</t>
  </si>
  <si>
    <t>Scalp para coleta a vácuo com holder</t>
  </si>
  <si>
    <t>scalp coleta vacuo holder</t>
  </si>
  <si>
    <t>Fronha descartável</t>
  </si>
  <si>
    <t>fronha</t>
  </si>
  <si>
    <t>Copo descartável hospitalar</t>
  </si>
  <si>
    <t>copo hospitalar</t>
  </si>
  <si>
    <t>Indicador biológico leitura rápida</t>
  </si>
  <si>
    <t>indicador biologico leitura rapida</t>
  </si>
  <si>
    <t>Máscara de Venturi</t>
  </si>
  <si>
    <t>mascara venturi</t>
  </si>
  <si>
    <t>Extensor para equipo</t>
  </si>
  <si>
    <t>extensor equipo</t>
  </si>
  <si>
    <t>Máscara PFF2/N95</t>
  </si>
  <si>
    <t>mascara pff2</t>
  </si>
  <si>
    <t>Filtro para ventilação mecânica</t>
  </si>
  <si>
    <t>filtro ventilacao mecanica</t>
  </si>
  <si>
    <t>Seringa de segurança</t>
  </si>
  <si>
    <t>seringa seguranca</t>
  </si>
  <si>
    <t>Campo cirúrgico fenestrado</t>
  </si>
  <si>
    <t>campo cirurgico fenestrado</t>
  </si>
  <si>
    <t>Indicador biológico</t>
  </si>
  <si>
    <t>indicador biologico</t>
  </si>
  <si>
    <t>Luva cirúrgica sem pó</t>
  </si>
  <si>
    <t>luva cirurgica po</t>
  </si>
  <si>
    <t>Agulha de segurança</t>
  </si>
  <si>
    <t>agulha seguranca</t>
  </si>
  <si>
    <t>Kit cirúrgico descartável</t>
  </si>
  <si>
    <t>kit cirurgico</t>
  </si>
  <si>
    <t>Campo para mesa cirúrgica</t>
  </si>
  <si>
    <t>campo mesa cirurgica</t>
  </si>
  <si>
    <t>Cabo de bisturi nº 4</t>
  </si>
  <si>
    <t>cabo bisturi 4</t>
  </si>
  <si>
    <t>Cabo de bisturi nº 3</t>
  </si>
  <si>
    <t>cabo bisturi 3</t>
  </si>
  <si>
    <t>Cabo de bisturi nº 7</t>
  </si>
  <si>
    <t>cabo bisturi 7</t>
  </si>
  <si>
    <t>Óculos de proteção hospitalar</t>
  </si>
  <si>
    <t>oculos protecao hospitalar</t>
  </si>
  <si>
    <t>R1</t>
  </si>
  <si>
    <t>Agulha calibre 30 G extra longa</t>
  </si>
  <si>
    <t>FILA REBASE</t>
  </si>
  <si>
    <t>agulha 30g extra longa</t>
  </si>
  <si>
    <t>R2</t>
  </si>
  <si>
    <t>Agulha calibre 20 G</t>
  </si>
  <si>
    <t>agulha 20g</t>
  </si>
  <si>
    <t>R3</t>
  </si>
  <si>
    <t>Luva de polietileno</t>
  </si>
  <si>
    <t>luva polietileno</t>
  </si>
  <si>
    <t>R4</t>
  </si>
  <si>
    <t>Agulha calibre 31 G curta</t>
  </si>
  <si>
    <t>agulha 31g curta</t>
  </si>
  <si>
    <t>R5</t>
  </si>
  <si>
    <t>Agulha calibre 31 G extra longa</t>
  </si>
  <si>
    <t>agulha 31g extra longa</t>
  </si>
  <si>
    <t>R6</t>
  </si>
  <si>
    <t>Agulha calibre 19 G</t>
  </si>
  <si>
    <t>agulha 19g</t>
  </si>
  <si>
    <t>R7</t>
  </si>
  <si>
    <t>Curativo absorvente sem medicamento</t>
  </si>
  <si>
    <t>curativo absorvente medicamento</t>
  </si>
  <si>
    <t>R8</t>
  </si>
  <si>
    <t>Curativo transparente simples</t>
  </si>
  <si>
    <t>curativo transparente simples</t>
  </si>
  <si>
    <t>R9</t>
  </si>
  <si>
    <t>Moldeira descartável</t>
  </si>
  <si>
    <t>moldeira</t>
  </si>
  <si>
    <t>R10</t>
  </si>
  <si>
    <t>Frasco para exame</t>
  </si>
  <si>
    <t>frasco exame</t>
  </si>
  <si>
    <t>R11</t>
  </si>
  <si>
    <t>Fio monofilamentar</t>
  </si>
  <si>
    <t>fio monofilamentar</t>
  </si>
  <si>
    <t>R12</t>
  </si>
  <si>
    <t>Filtro HME para traqueostomia (nariz artificial)</t>
  </si>
  <si>
    <t>filtro hme traqueostomia</t>
  </si>
  <si>
    <t>R13</t>
  </si>
  <si>
    <t>Gel condutor</t>
  </si>
  <si>
    <t>gel condutor</t>
  </si>
  <si>
    <t>R14</t>
  </si>
  <si>
    <t>Filme transparente para fixação</t>
  </si>
  <si>
    <t>filme transparente fixacao</t>
  </si>
  <si>
    <t>R15</t>
  </si>
  <si>
    <t>Microtubo de coleta capilar (microtainer)</t>
  </si>
  <si>
    <t>microtubo coleta capilar</t>
  </si>
  <si>
    <t>R16</t>
  </si>
  <si>
    <t>Kit retirada de pontos descartável</t>
  </si>
  <si>
    <t>kit retirada pontos</t>
  </si>
  <si>
    <t>R17</t>
  </si>
  <si>
    <t>Protetor ocular para fototerapia</t>
  </si>
  <si>
    <t>protetor ocular fototerapia</t>
  </si>
  <si>
    <t>R18</t>
  </si>
  <si>
    <t>Espéculo auricular descartável (ponteira otoscópio)</t>
  </si>
  <si>
    <t>especulo auricular</t>
  </si>
  <si>
    <t>R19</t>
  </si>
  <si>
    <t>Placa eletrocirúrgica descartável</t>
  </si>
  <si>
    <t>placa eletrocirurgica</t>
  </si>
  <si>
    <t>R20</t>
  </si>
  <si>
    <t>Lâmina de tricotomizador descartável</t>
  </si>
  <si>
    <t>lamina tricotomizador</t>
  </si>
  <si>
    <t>R21</t>
  </si>
  <si>
    <t>Marcador cirúrgico de pele estéril</t>
  </si>
  <si>
    <t>marcador cirurgico pele</t>
  </si>
  <si>
    <t>R22</t>
  </si>
  <si>
    <t>Papel grau cirúrgico</t>
  </si>
  <si>
    <t>papel grau cirurgico</t>
  </si>
  <si>
    <t>R23</t>
  </si>
  <si>
    <t>Etiqueta de rastreabilidade para CME</t>
  </si>
  <si>
    <t>etiqueta rastreabilidade cme</t>
  </si>
  <si>
    <t>R24</t>
  </si>
  <si>
    <t>Teste de sangue oculto nas fezes</t>
  </si>
  <si>
    <t>sangue oculto fezes</t>
  </si>
  <si>
    <t>R25</t>
  </si>
  <si>
    <t>Fita transparente</t>
  </si>
  <si>
    <t>fita transparente</t>
  </si>
  <si>
    <t>R26</t>
  </si>
  <si>
    <t>Tira teste urina (10 parâmetros)</t>
  </si>
  <si>
    <t>tira teste urina</t>
  </si>
  <si>
    <t>R27</t>
  </si>
  <si>
    <t>Fixador de sonda nasal (adesivo nasal)</t>
  </si>
  <si>
    <t>fixador sonda nasal</t>
  </si>
  <si>
    <t>R28</t>
  </si>
  <si>
    <t>Garrote descartável</t>
  </si>
  <si>
    <t>garrote</t>
  </si>
  <si>
    <t>R29</t>
  </si>
  <si>
    <t>Traqueia para ventilação</t>
  </si>
  <si>
    <t>traqueia ventilacao</t>
  </si>
  <si>
    <t>R30</t>
  </si>
  <si>
    <t>Kit de aspiração</t>
  </si>
  <si>
    <t>kit aspiracao</t>
  </si>
  <si>
    <t>R31</t>
  </si>
  <si>
    <t>Cânula de aspiração</t>
  </si>
  <si>
    <t>canula aspiracao</t>
  </si>
  <si>
    <t>R32</t>
  </si>
  <si>
    <t>Swab de espuma para higiene oral</t>
  </si>
  <si>
    <t>swab higiene oral</t>
  </si>
  <si>
    <t>R33</t>
  </si>
  <si>
    <t>Cânula de aspiração cirúrgica</t>
  </si>
  <si>
    <t>canula aspiracao cirurgica</t>
  </si>
  <si>
    <t>R34</t>
  </si>
  <si>
    <t>Luva de PVC</t>
  </si>
  <si>
    <t>luva pvc</t>
  </si>
  <si>
    <t>R35</t>
  </si>
  <si>
    <t>Seringa dosadora oral 3-10 ml</t>
  </si>
  <si>
    <t>seringa oral</t>
  </si>
  <si>
    <t>R36</t>
  </si>
  <si>
    <t>Conjunto para infusão</t>
  </si>
  <si>
    <t>conjunto infusao</t>
  </si>
  <si>
    <t>R37</t>
  </si>
  <si>
    <t>Cânula de aspiração Yankauer</t>
  </si>
  <si>
    <t>canula aspiracao yankauer</t>
  </si>
  <si>
    <t>R38</t>
  </si>
  <si>
    <t>Seringa odontológica descartável</t>
  </si>
  <si>
    <t>seringa odontologica</t>
  </si>
  <si>
    <t>R39</t>
  </si>
  <si>
    <t>Bandeja descartável para procedimentos</t>
  </si>
  <si>
    <t>bandeja procedimentos</t>
  </si>
  <si>
    <t>R40</t>
  </si>
  <si>
    <t>Bolsa de gelo descartável instantânea</t>
  </si>
  <si>
    <t>bolsa gelo instantanea</t>
  </si>
  <si>
    <t>R41</t>
  </si>
  <si>
    <t>Cânula nasofaríngea</t>
  </si>
  <si>
    <t>canula nasofaringea</t>
  </si>
  <si>
    <t>R42</t>
  </si>
  <si>
    <t>Gorro para fixação de CPAP neonatal</t>
  </si>
  <si>
    <t>gorro cpap</t>
  </si>
  <si>
    <t>R43</t>
  </si>
  <si>
    <t>Máscara cirúrgica infantil</t>
  </si>
  <si>
    <t>mascara cirurgica infantil</t>
  </si>
  <si>
    <t>R44</t>
  </si>
  <si>
    <t>Limpador de ponta de eletrocautério (tip cleaner)</t>
  </si>
  <si>
    <t>limpador ponta eletrocauterio</t>
  </si>
  <si>
    <t>R45</t>
  </si>
  <si>
    <t>Agulha de Huber (port-a-cath) com extensão</t>
  </si>
  <si>
    <t>agulha huber extensao</t>
  </si>
  <si>
    <t>R46</t>
  </si>
  <si>
    <t>Circuito respiratório</t>
  </si>
  <si>
    <t>circuito respiratorio</t>
  </si>
  <si>
    <t>R47</t>
  </si>
  <si>
    <t>Bacia descartável</t>
  </si>
  <si>
    <t>bacia</t>
  </si>
  <si>
    <t>R48</t>
  </si>
  <si>
    <t>Frasco coletor para aspiração</t>
  </si>
  <si>
    <t>frasco coletor aspiracao</t>
  </si>
  <si>
    <t>R49</t>
  </si>
  <si>
    <t>Kit de procedimento</t>
  </si>
  <si>
    <t>kit procedimento</t>
  </si>
  <si>
    <t>R50</t>
  </si>
  <si>
    <t>Aspirador cirúrgico descartável</t>
  </si>
  <si>
    <t>aspirador cirurgico</t>
  </si>
  <si>
    <t>R51</t>
  </si>
  <si>
    <t>Lâmina odontológica descartável</t>
  </si>
  <si>
    <t>lamina odontologica</t>
  </si>
  <si>
    <t>R52</t>
  </si>
  <si>
    <t>Sonda Levine</t>
  </si>
  <si>
    <t>sonda levine</t>
  </si>
  <si>
    <t>R53</t>
  </si>
  <si>
    <t>Conector traqueal / catheter mount (extensão flexível)</t>
  </si>
  <si>
    <t>conector traqueal</t>
  </si>
  <si>
    <t>R54</t>
  </si>
  <si>
    <t>Tampão nasal (Merocel)</t>
  </si>
  <si>
    <t>tampao nasal</t>
  </si>
  <si>
    <t>R55</t>
  </si>
  <si>
    <t>Kit para pequenos procedimentos</t>
  </si>
  <si>
    <t>kit pequenos procedimentos</t>
  </si>
  <si>
    <t>R56</t>
  </si>
  <si>
    <t>Kit para pressão invasiva</t>
  </si>
  <si>
    <t>kit pressao invasiva</t>
  </si>
  <si>
    <t>R57</t>
  </si>
  <si>
    <t>Aspirador de secreção neonatal (mucus extractor)</t>
  </si>
  <si>
    <t>aspirador secrecao neonatal</t>
  </si>
  <si>
    <t>R58</t>
  </si>
  <si>
    <t>Protetor de ponta de instrumental (tip protector)</t>
  </si>
  <si>
    <t>protetor ponta instrumental</t>
  </si>
  <si>
    <t>R59</t>
  </si>
  <si>
    <t>Tubo para coleta de secreção</t>
  </si>
  <si>
    <t>tubo coleta secrecao</t>
  </si>
  <si>
    <t>R60</t>
  </si>
  <si>
    <t>Avental de isolamento descartável</t>
  </si>
  <si>
    <t>avental isolamento</t>
  </si>
  <si>
    <t>R61</t>
  </si>
  <si>
    <t>Comadre descartável</t>
  </si>
  <si>
    <t>comadre</t>
  </si>
  <si>
    <t>R62</t>
  </si>
  <si>
    <t>Swab de flocagem (flocked) para PCR</t>
  </si>
  <si>
    <t>swab flocagem pcr</t>
  </si>
  <si>
    <t>R63</t>
  </si>
  <si>
    <t>Tubo para swab com meio viral (VTM)</t>
  </si>
  <si>
    <t>tubo swab meio viral</t>
  </si>
  <si>
    <t>R64</t>
  </si>
  <si>
    <t>Ponteira descartável para equipamento odontológico</t>
  </si>
  <si>
    <t>ponteira equipamento odontologico</t>
  </si>
  <si>
    <t>R65</t>
  </si>
  <si>
    <t>Fixador de cânula nasal (anti-escara orelha)</t>
  </si>
  <si>
    <t>fixador canula nasal</t>
  </si>
  <si>
    <t>R66</t>
  </si>
  <si>
    <t>Cortador/triturador de comprimidos descartável (saco triturador)</t>
  </si>
  <si>
    <t>cortador comprimidos</t>
  </si>
  <si>
    <t>R67</t>
  </si>
  <si>
    <t>Etiqueta identificadora de vias/linhas</t>
  </si>
  <si>
    <t>etiqueta identificadora vias</t>
  </si>
  <si>
    <t>R68</t>
  </si>
  <si>
    <t>Contador de agulhas cirúrgico</t>
  </si>
  <si>
    <t>contador agulhas cirurgico</t>
  </si>
  <si>
    <t>R69</t>
  </si>
  <si>
    <t>Capa para transdutor de ultrassom (probe cover)</t>
  </si>
  <si>
    <t>capa transdutor ultrassom</t>
  </si>
  <si>
    <t>R70</t>
  </si>
  <si>
    <t>Escova de limpeza de instrumentais descartável</t>
  </si>
  <si>
    <t>escova limpeza instrumentais</t>
  </si>
  <si>
    <t>R71</t>
  </si>
  <si>
    <t>Cuba rim descartável</t>
  </si>
  <si>
    <t>cuba rim</t>
  </si>
  <si>
    <t>R72</t>
  </si>
  <si>
    <t>Escova dental com sucção para paciente em VM</t>
  </si>
  <si>
    <t>escova succao</t>
  </si>
  <si>
    <t>R73</t>
  </si>
  <si>
    <t>Válvula PEEP descartável</t>
  </si>
  <si>
    <t>valvula peep</t>
  </si>
  <si>
    <t>R74</t>
  </si>
  <si>
    <t>Protetor de calcanhar/cotovelo descartável</t>
  </si>
  <si>
    <t>protetor calcanhar</t>
  </si>
  <si>
    <t>R75</t>
  </si>
  <si>
    <t>Circuito para ventilação mecânica</t>
  </si>
  <si>
    <t>circuito ventilacao mecanica</t>
  </si>
  <si>
    <t>R76</t>
  </si>
  <si>
    <t>Compressa térmica instantânea</t>
  </si>
  <si>
    <t>compressa termica instantanea</t>
  </si>
  <si>
    <t>R77</t>
  </si>
  <si>
    <t>Caneta de bisturi elétrico</t>
  </si>
  <si>
    <t>R78</t>
  </si>
  <si>
    <t>Conector sem agulha (needleless) valvulado</t>
  </si>
  <si>
    <t>conector agulha valvulado</t>
  </si>
  <si>
    <t>R79</t>
  </si>
  <si>
    <t>Manguito descartável neonatal para PNI</t>
  </si>
  <si>
    <t>manguito neonatal pni</t>
  </si>
  <si>
    <t>R80</t>
  </si>
  <si>
    <t>Saco extrator de peças (endobag)</t>
  </si>
  <si>
    <t>saco extrator pecas</t>
  </si>
  <si>
    <t>R81</t>
  </si>
  <si>
    <t>Papagaio descartável</t>
  </si>
  <si>
    <t>papagaio</t>
  </si>
  <si>
    <t>R82</t>
  </si>
  <si>
    <t>Protetor de colchão descartável</t>
  </si>
  <si>
    <t>protetor colchao</t>
  </si>
  <si>
    <t>R83</t>
  </si>
  <si>
    <t>Máscara facial de anestesia descartável</t>
  </si>
  <si>
    <t>mascara facial anestesia</t>
  </si>
  <si>
    <t>R84</t>
  </si>
  <si>
    <t>Recipiente descartável para descarte</t>
  </si>
  <si>
    <t>recipiente descarte</t>
  </si>
  <si>
    <t>R85</t>
  </si>
  <si>
    <t>Sensor de oximetria descartável (adulto/neo)</t>
  </si>
  <si>
    <t>sensor oximetria</t>
  </si>
  <si>
    <t>R86</t>
  </si>
  <si>
    <t>Cabo de bisturi nº 4L</t>
  </si>
  <si>
    <t>cabo bisturi 4l</t>
  </si>
  <si>
    <t>R87</t>
  </si>
  <si>
    <t>Cabo de bisturi nº 9</t>
  </si>
  <si>
    <t>cabo bisturi 9</t>
  </si>
  <si>
    <t>R88</t>
  </si>
  <si>
    <t>Cabo de bisturi nº 3L</t>
  </si>
  <si>
    <t>cabo bisturi 3l</t>
  </si>
  <si>
    <t>R89</t>
  </si>
  <si>
    <t>Reanimador manual (ambu) descartável neonatal</t>
  </si>
  <si>
    <t>reanimador manual neonatal</t>
  </si>
  <si>
    <t>Edital</t>
  </si>
  <si>
    <t>Órgão</t>
  </si>
  <si>
    <t>Município</t>
  </si>
  <si>
    <t>UF</t>
  </si>
  <si>
    <t>Modalidade</t>
  </si>
  <si>
    <t>Encerramento</t>
  </si>
  <si>
    <t>Itens no edital</t>
  </si>
  <si>
    <t>Link</t>
  </si>
  <si>
    <t>Objeto</t>
  </si>
  <si>
    <t>SRP</t>
  </si>
  <si>
    <t>Itens da planilha</t>
  </si>
  <si>
    <t>Itens do foco</t>
  </si>
  <si>
    <t>Valor itens</t>
  </si>
  <si>
    <t>Valor foco homologado</t>
  </si>
  <si>
    <t>Faixa</t>
  </si>
  <si>
    <t>Status</t>
  </si>
  <si>
    <t>16958425000148-1-000417/2026</t>
  </si>
  <si>
    <t>SECRETARIA DE ESTADO DE INDUSTRIA, CIENCIA E TECNOLOGIA</t>
  </si>
  <si>
    <t>Rio Branco</t>
  </si>
  <si>
    <t>AC</t>
  </si>
  <si>
    <t>Pregão - Eletrônico</t>
  </si>
  <si>
    <t>https://cnetmobile.estaleiro.serpro.gov.br/comprasnet-web/public/compras/acompanhamento-compra?compra=92799605001322026</t>
  </si>
  <si>
    <t>Aquisição de materiais odontológicos (permanentes e de consumo), destinados ao atendimento das necessidades da Diretoria de Saúde do Corpo de Bombeiros Militar do Estado do Acre — DSAU/CBMAC, com recursos oriundos do Plano De Aplicação: Valorização dos Profissionais de Segurança Pública - VPSP – 202</t>
  </si>
  <si>
    <t>16958425000148-1-000415/2026</t>
  </si>
  <si>
    <t>https://cnetmobile.estaleiro.serpro.gov.br/comprasnet-web/public/compras/acompanhamento-compra?compra=92799605001312026</t>
  </si>
  <si>
    <t>Aquisição de insumos laboratoriais e hospitalares destinados ao atendimento das necessidades da Diretoria de Saúde do Corpo de Bombeiros Militar do Estado do Acre — DSAU/CBMAC, com recursos oriundos do Fundo Nacional de Segurança Pública, PNSPDS de 2022.</t>
  </si>
  <si>
    <t>01674973000179-1-000051/2026</t>
  </si>
  <si>
    <t>PREFEITURA MUNICIPAL DE TARAUACA - ACRE</t>
  </si>
  <si>
    <t>Tarauacá</t>
  </si>
  <si>
    <t>https://cnetmobile.estaleiro.serpro.gov.br/comprasnet-web/public/compras/acompanhamento-compra?compra=98014705000602026</t>
  </si>
  <si>
    <t>Registro de Preços para futura e eventual aquisição parcelada de materiais e insumos odontológicos, destinados ao atendimento das necessidades da Secretaria Municipal de Saúde, especialmente das Unidades Básicas de Saúde e dos serviços de Saúde Bucal do Município de Tarauacá – Acre</t>
  </si>
  <si>
    <t>12248522000196-1-000065/2026</t>
  </si>
  <si>
    <t>MUNICIPIO DE MARAGOGI</t>
  </si>
  <si>
    <t>Maragogi</t>
  </si>
  <si>
    <t>AL</t>
  </si>
  <si>
    <t>https://www.portaldecompraspublicas.com.br/processos/AL/Prefeitura-Municipal-de-Maragogi-4937/RPE-020-2026-2026-514814</t>
  </si>
  <si>
    <t>[Portal de Compras Públicas] - Registro de preços para futura e eventual contratação de empresa especializada no fornecimento de insumos laboratoriais, conforme especificações e quantidades estimadas constantes do Anexo I, com entrega parcelada e sob demanda, destinados ao atendimento das necessidad</t>
  </si>
  <si>
    <t>12367892000142-1-000157/2026</t>
  </si>
  <si>
    <t>MUNICIPIO DE CANAPI</t>
  </si>
  <si>
    <t>Canapi</t>
  </si>
  <si>
    <t>https://bnccompras.com/Process/ProcessView?param1=[gkz]kadRipbwRhMkaTUaztdrTJnStjH_QEq5_l/kJZj2RkqVdk//yPN7ejghRabqvc0XsdnmWubmFVVcYaNmv/Www/0o0IJZ3A3_UVdlPoipyEs=</t>
  </si>
  <si>
    <t>Aquisição de correlatos destinados ao atendimento das necessidades da rede municipal de saúde do Município de Canapi/AL</t>
  </si>
  <si>
    <t>15126437000305-1-003975/2026</t>
  </si>
  <si>
    <t>EMPRESA BRASILEIRA DE SERVICOS HOSPITALARES - EBSERH</t>
  </si>
  <si>
    <t>Maceió</t>
  </si>
  <si>
    <t>https://cnetmobile.estaleiro.serpro.gov.br/comprasnet-web/public/compras/acompanhamento-compra?compra=15512605000682026</t>
  </si>
  <si>
    <t>Aquisição de EQUIPOS DE BOMBA E SERINGAS PERFUSORAS COM CESSÃO EM COMODATO DE BOMBA, a fim de atender as necessidades do Hospital Universitário Professor Alberto Antunes, vinculado à Universidade Federal de Alagoas, pertencente à Rede da Empresa Brasileira de Serviços Hospitalares – HU Brasil, por u</t>
  </si>
  <si>
    <t>09571854000100-1-000019/2026</t>
  </si>
  <si>
    <t>59 BATALHAO DE INFANTARIA MOTORIZADO</t>
  </si>
  <si>
    <t>https://cnetmobile.estaleiro.serpro.gov.br/comprasnet-web/public/compras/acompanhamento-compra?compra=16000405000082026</t>
  </si>
  <si>
    <t>Aquisição de material odontológico para atender as necessidades do 59º Batalhão de Infantaria Motorizado, nos termos, condições e exigências estabelecidas no Edital da licitação.</t>
  </si>
  <si>
    <t>26981455000129-1-000127/2026</t>
  </si>
  <si>
    <t>AGENCIA MUNICIPAL DE REGULACAO DE SERVICOS DELEGADOS- ARSER</t>
  </si>
  <si>
    <t>https://cnetmobile.estaleiro.serpro.gov.br/comprasnet-web/public/compras/acompanhamento-compra?compra=92670305000732026</t>
  </si>
  <si>
    <t>Contratação de empresa especializada no fornecimento de INSUMOS PARA REALIZAÇÃO DE EXAME ESTUDO URODINÂMICO, para atender as necessidades da Secretaria Municipal de Saúde.</t>
  </si>
  <si>
    <t>11780685000152-1-000007/2026</t>
  </si>
  <si>
    <t>FUNDO MUNICIPAL DE SAUDE</t>
  </si>
  <si>
    <t>Teotônio Vilela</t>
  </si>
  <si>
    <t>Registro de Preço para Aquisição de Equipamentos Odontológicos e Materiais Permanentes.</t>
  </si>
  <si>
    <t>26981455000129-1-000131/2026</t>
  </si>
  <si>
    <t>https://cnetmobile.estaleiro.serpro.gov.br/comprasnet-web/public/compras/acompanhamento-compra?compra=92670305000602026</t>
  </si>
  <si>
    <t>Registro de Preços para futura e eventual contratação de empresa especializada no fornecimento de Fraldas Descartáveis que fazem parte do rol de correlatos padronizados do município - RECOR/2024, para atender a necessidade da administração pública do município de Maceió</t>
  </si>
  <si>
    <t>12333738000150-1-000017/2026</t>
  </si>
  <si>
    <t>MUNICIPIO DE CAJUEIRO</t>
  </si>
  <si>
    <t>Cajueiro</t>
  </si>
  <si>
    <t>https://bnccompras.com/Process/ProcessView?param1=[gkz]i/Sj/_V0jBY8LkxaQFIespvZu1aCuKooeGPmWSfb5HFNkTRIAn/4L41ngA_oVLTjGLeW1Ntl1wkt8Vn00F06sjbIyglNv5FXLJn0aKGOU1g=</t>
  </si>
  <si>
    <t>Registro de preços para aquisição de fraldas descartáveis</t>
  </si>
  <si>
    <t>26981455000129-1-000130/2026</t>
  </si>
  <si>
    <t>https://cnetmobile.estaleiro.serpro.gov.br/comprasnet-web/public/compras/acompanhamento-compra?compra=92670305000632026</t>
  </si>
  <si>
    <t>Registro de Preços para futura e eventual contratação de empresa especializada no fornecimento de correlatos que fazem parte do rol de correlatos padronizados do município, RECOR/2024, para atender às necessidades da Secretaria Municipal de Saúde de Maceió,</t>
  </si>
  <si>
    <t>04629283000196-1-000051/2026</t>
  </si>
  <si>
    <t>MUNICIPIO DE BOA VISTA DO RAMOS</t>
  </si>
  <si>
    <t>Boa Vista do Ramos</t>
  </si>
  <si>
    <t>AM</t>
  </si>
  <si>
    <t>https://www.portaldecompraspublicas.com.br/processos/AM/Prefeitura-Municipal-de-Boa-Vista-do-Ramos-5175/RPE-019-2026-2026-512362</t>
  </si>
  <si>
    <t>[Portal de Compras Públicas] - Formação de Registro de Preços, com critério de julgamento menor preço, visando a contratação de pessoa jurídica para futura e eventual aquisição de equipamentos, materiais e utensílios de uso médico, ambulatorial e hospitalar, destinados a reestruturação e modernizaçã</t>
  </si>
  <si>
    <t>04629283000196-1-000052/2026</t>
  </si>
  <si>
    <t>https://www.portaldecompraspublicas.com.br/processos/AM/Prefeitura-Municipal-de-Boa-Vista-do-Ramos-5175/RPE-020-2026-2026-514704</t>
  </si>
  <si>
    <t>[Portal de Compras Públicas] - Formação de Registro de Preços, com critério de julgamento menor preço, visando a contratação de pessoa jurídica para futura e eventual aquisição de material farmacológico necessários a manutenção e bom funcionamento dos serviços públicos de saúde prestados pela Secret</t>
  </si>
  <si>
    <t>04629283000196-1-000053/2026</t>
  </si>
  <si>
    <t>https://www.portaldecompraspublicas.com.br/processos/AM/Prefeitura-Municipal-de-Boa-Vista-do-Ramos-5175/RPE-021-2026-2026-515397</t>
  </si>
  <si>
    <t>[Portal de Compras Públicas] - Formação de Registro de Preços, com critério de julgamento menor preço, visando a contratação de pessoa jurídica para futura e eventual aquisição de produtos, materiais e insumos necessários a manutenção e bom funcionamento dos serviços públicos de saúde prestados pela</t>
  </si>
  <si>
    <t>04280196000176-1-000083/2026</t>
  </si>
  <si>
    <t>UNIVERSIDADE DO ESTADO DO AMAZONAS</t>
  </si>
  <si>
    <t>Manaus</t>
  </si>
  <si>
    <t>https://www.e-compras.am.gov.br/publico/licitacoes_detalhes.asp?ident=256422</t>
  </si>
  <si>
    <t>Aquisição de Materiais de Consumo</t>
  </si>
  <si>
    <t>03930106000182-1-000248/2026</t>
  </si>
  <si>
    <t>CENTRO DE SERVICOS COMPARTILHADOS</t>
  </si>
  <si>
    <t>https://www.e-compras.am.gov.br/publico/licitacoes_detalhes.asp?ident=256430</t>
  </si>
  <si>
    <t>Aquisição de Materiais Odontológicos</t>
  </si>
  <si>
    <t>04461836000144-1-000053/2026</t>
  </si>
  <si>
    <t>MANAUS SECRETARIA MUNICIPAL DE SAUDE</t>
  </si>
  <si>
    <t>https://compras.manaus.am.gov.br/publico/item_em_andamento.asp?id=142197</t>
  </si>
  <si>
    <t>RP - Aquisição de Material Químico-Cirúrgico (Máscara Laríngea, Malha Tubular Elástica, Agulha Descartável e outros)</t>
  </si>
  <si>
    <t>04465209000181-1-000049/2026</t>
  </si>
  <si>
    <t>MUNICIPIO DE HUMAITA</t>
  </si>
  <si>
    <t>Humaitá</t>
  </si>
  <si>
    <t>https://licitanet.com.br/sessao/200663</t>
  </si>
  <si>
    <t>[LICITANET] - Aquisição de Materiais de Limpeza, visando atender às demandas da Secretaria Municipal de Educação (SEMED), conforme condições, quantidades e exigências estabelecidas neste Edital e seus anexos.</t>
  </si>
  <si>
    <t>03659166002156-1-000100/2026</t>
  </si>
  <si>
    <t>INSTITUTO BRASILEIRO DO MEIO AMBIENTE E DOS RECURSOS NATURAIS RENOVAVEIS-IBAMA</t>
  </si>
  <si>
    <t>Macapá</t>
  </si>
  <si>
    <t>AP</t>
  </si>
  <si>
    <t>Dispensa</t>
  </si>
  <si>
    <t>https://cnetmobile.estaleiro.serpro.gov.br/comprasnet-web/public/compras/acompanhamento-compra?compra=19310206000272026</t>
  </si>
  <si>
    <t>Contratação de fornecimento sob demanda de medicamentos de uso humano e veterinário, bem como de materiais médico-hospitalares e laboratoriais, destinados ao atendimento clínico e cirúrgico dos animais silvestres sob responsabilidade do Centro de Triagem de Animais Silvestres (CETAS) de Macapá/AP.</t>
  </si>
  <si>
    <t>13846753000164-1-000095/2026</t>
  </si>
  <si>
    <t>MUNICIPIO DE IBIRAPITANGA</t>
  </si>
  <si>
    <t>Ibirapitanga</t>
  </si>
  <si>
    <t>BA</t>
  </si>
  <si>
    <t>https://bnccompras.com/Process/ProcessView?param1=[gkz]a9AYcbJNKqwBPniEUQ3RdvZ9ors8ugTy1jJDme6NN9aDIOpkCfvEkKPeiIuU5NMKVjrKqFZmszuqjgdoojCMMIKgpVTfq/YfdRGmCfcEtw4=</t>
  </si>
  <si>
    <t>CONTRATAÇÃO DE EMPRESA ESPECIALIZADA PARA FORNECIMENTO DE MATERIAL PENSO DIVERSOS EM ATEDIMENTO A SECRETARIA MUNICIPAL DE SAÚDE DE IBIRAPITANGA BA, ATRAVÉS DO SISTEMA DE REGISTRO DE PREÇOS.</t>
  </si>
  <si>
    <t>13694658000192-1-000037/2026</t>
  </si>
  <si>
    <t>MUNICIPIO DE PIRIPA</t>
  </si>
  <si>
    <t>Piripá</t>
  </si>
  <si>
    <t>https://licitanet.com.br/sessao/201906</t>
  </si>
  <si>
    <t>[LICITANET] - Registro de preços para futura e eventual aquisição de equipamentos médico-hospitalares para atender às necessidades do Município de Piripá-BA.</t>
  </si>
  <si>
    <t>13846753000164-1-000096/2026</t>
  </si>
  <si>
    <t>14197768000101-1-000090/2026</t>
  </si>
  <si>
    <t>MUNICIPIO DE BREJOES</t>
  </si>
  <si>
    <t>Brejões</t>
  </si>
  <si>
    <t>https://licitanet.com.br/sessao/202624</t>
  </si>
  <si>
    <t>[LICITANET] - OBJETO: REGISTRO DE PREÇOS PARA FUTURA E EVENTUAL AQUISIÇÃO DE MATERIAIS PENSO, INSUMOS MÉDICO-HOSPITALARES E CORRELATOS, DESTINADOS AO ATENDIMENTO DAS NECESSIDADES DA SECRETARIA MUNICIPAL DE SAÚDE DO MUNICÍPIO DE BREJÕES–BA, CONFORME CONDIÇÕES E EXIGÊNCIAS ESTABELECIDAS NO TERMO DE RE</t>
  </si>
  <si>
    <t>05816630000152-1-006821/2026</t>
  </si>
  <si>
    <t>FUNDO ESTADUAL DE SAUDE DO ESTADO DA BAHIA</t>
  </si>
  <si>
    <t>Salvador</t>
  </si>
  <si>
    <t>Aquisição de bens comuns</t>
  </si>
  <si>
    <t>13937032000160-1-002459/2026</t>
  </si>
  <si>
    <t>ESTADO DA BAHIA</t>
  </si>
  <si>
    <t>https://licitacoes-e2.bb.com.br/aop-inter-estatico/visualizar-processo-publico/1100287</t>
  </si>
  <si>
    <t>Aquisição de Materiais e Equip. de Uso Hospitalar, Odontológico, Veterinário e de Laboratório (ESPARADRAPO, FIO, FIXADOR ETC), para compor o sistema de registro de preços.</t>
  </si>
  <si>
    <t>15257025000142-1-000083/2026</t>
  </si>
  <si>
    <t>FUNDACAO DA CRIANCA E ADOLESCENTE</t>
  </si>
  <si>
    <t>AQUISIÇÃO DE COMPRESSA DE GAZE</t>
  </si>
  <si>
    <t>05816630000152-1-007482/2026</t>
  </si>
  <si>
    <t>AGULHA para biopsia tecido mole 18 g x 25 cm de comprimento descartavel</t>
  </si>
  <si>
    <t>14106553000138-1-000030/2026</t>
  </si>
  <si>
    <t>MUNICIPIO DE CONTENDAS DO SINCORA</t>
  </si>
  <si>
    <t>Contendas do Sincorá</t>
  </si>
  <si>
    <t>https://bnccompras.com/Process/ProcessView?param1=[gkz]bfMBwAkb3ONP1iznCV9MlYNgw7cKOSFE45Y27vqYKuyJvVi8tpMkka94fwOB3mWZ_chRJiKLELeHAOkPo6M6R4aj_FbqPXrgx45WRwCINkw=</t>
  </si>
  <si>
    <t>Contratação de empresa especializada para de aquisição de Medicamentos e material odontológico para suprir a necessidade da Secretaria Municipal de Saúde do Município de Contendas do Sincorá - Bahia.</t>
  </si>
  <si>
    <t>13674817000197-1-000179/2025</t>
  </si>
  <si>
    <t>MUNICIPIO DE LIVRAMENTO DE NOSSA SENHORA</t>
  </si>
  <si>
    <t>Livramento de Nossa Senhora</t>
  </si>
  <si>
    <t>Credenciamento</t>
  </si>
  <si>
    <t>Chamamento Público para credenciamento de pessoa jurídica para fornecimento de materiais de higiene, fórmula nutricional, malha tubular e fralda descartável, sob tutela da promotoria e demandas judiciais, para usuários que possuem doenças crônicas, de uso contínuo e que se encontram em estado de vul</t>
  </si>
  <si>
    <t>05816630000152-1-007061/2026</t>
  </si>
  <si>
    <t>Vitória da Conquista</t>
  </si>
  <si>
    <t>13937032000160-1-002551/2026</t>
  </si>
  <si>
    <t>https://licitacoes-e2.bb.com.br/aop-inter-estatico/visualizar-processo-publico/1099432</t>
  </si>
  <si>
    <t>AQUISIÇÃO DE MATERIAL QUÍMICO, BIOQUÍMICO E DE LABORATÓRIO SEM COMODATO DE EQUIPAMENTO (AGULHA, TUBO) - (FAMÍLIAS: 65.15, 66.40)/CHVC</t>
  </si>
  <si>
    <t>14045546000173-1-000147/2026</t>
  </si>
  <si>
    <t>UNIVERSIDADE ESTADUAL DE FEIRA DE SANTANA</t>
  </si>
  <si>
    <t>Feira de Santana</t>
  </si>
  <si>
    <t>05816630000152-1-006946/2026</t>
  </si>
  <si>
    <t>13696257000171-1-000017/2026</t>
  </si>
  <si>
    <t>MUNICIPIO DE SAPEACU</t>
  </si>
  <si>
    <t>Sapeaçu</t>
  </si>
  <si>
    <t>https://bllcompras.com/Process/ProcessView?param1=[gkz]0MC9aYqeKdqCLbPaAi2N/6Vz5U3p3ArGZkJvKnF/cO0lTm30PdFuxysN3zt8nEl5U2fqM6XMxU2moRHYGC0/5sije8evyFGtYp9GKEAou8A=</t>
  </si>
  <si>
    <t>Futura e eventual aquisição de materiais de penso e insumos essenciais à saúde, destinados ao atendimento das necessidades da Secretaria Municipal de Saúde de Sapeaçu/BA e das unidades integrantes da rede municipal de saúde.</t>
  </si>
  <si>
    <t>13937032000160-1-002658/2026</t>
  </si>
  <si>
    <t>https://licitacoes-e2.bb.com.br/aop-inter-estatico/visualizar-processo-publico/1099971</t>
  </si>
  <si>
    <t>Aquisição de Materiais e Equip. de Uso Hospitalar, Odontológico, Veterinário e de Laboratório (ALGODAO, SONDA, AGULHA ETC), para compor o sistema de registro de preços.</t>
  </si>
  <si>
    <t>13937032000160-1-002516/2026</t>
  </si>
  <si>
    <t>https://licitacoes-e2.bb.com.br/aop-inter-estatico/visualizar-processo-publico/1099980</t>
  </si>
  <si>
    <t>Aquisição de material medico hospitalar (CURATIVO, KIT, para drenagem de torax, FIO para sutura ETC), para compor o sistema de registro de preços.</t>
  </si>
  <si>
    <t>05816630000152-1-006728/2026</t>
  </si>
  <si>
    <t>05816630000152-1-007549/2026</t>
  </si>
  <si>
    <t>AQUISIÇÃO PARA DETERMINAÇÃO JUDICIAL</t>
  </si>
  <si>
    <t>13937032000160-1-002496/2026</t>
  </si>
  <si>
    <t>https://licitacoes-e2.bb.com.br/aop-inter-estatico/visualizar-processo-publico/1100137</t>
  </si>
  <si>
    <t>Aquisição de material médico hospitalar (ALGODAO, SERINGA ETC), para compor o sistema de Registro de Preços.</t>
  </si>
  <si>
    <t>05816630000152-1-006904/2026</t>
  </si>
  <si>
    <t>13937032000160-1-002497/2026</t>
  </si>
  <si>
    <t>https://licitacoes-e2.bb.com.br/aop-inter-estatico/visualizar-processo-publico/1100162</t>
  </si>
  <si>
    <t>Aquisição de material médico hospitalar (AGULHA, SERINGA E AVENTAL), para compor o sistema de Registro de Preços.</t>
  </si>
  <si>
    <t>13937032000160-1-002476/2026</t>
  </si>
  <si>
    <t>https://licitacoes-e2.bb.com.br/aop-inter-estatico/visualizar-processo-publico/1099642</t>
  </si>
  <si>
    <t>Aquisição de material médico hospitalar (SONDA, de folley, n. 24, BOLSA, para colostomia / ileostomia, ETC), para compor o sistema de registro de preços.</t>
  </si>
  <si>
    <t>05816630000152-1-006905/2026</t>
  </si>
  <si>
    <t>05816630000152-1-007561/2026</t>
  </si>
  <si>
    <t>FIO cirurgico em polidioxanona e FIO para sutura de poliglecaprone 25 medidas de acordo com o TERMO</t>
  </si>
  <si>
    <t>33457634000127-1-001026/2026</t>
  </si>
  <si>
    <t>POLICIA MILITAR DA BAHIA</t>
  </si>
  <si>
    <t>indicador biologico seladora manual incubadora biologica cuba ultrassonica</t>
  </si>
  <si>
    <t>33457634000127-1-001060/2026</t>
  </si>
  <si>
    <t>Teixeira de Freitas</t>
  </si>
  <si>
    <t>AQUISIÇÃO DE MATERIAL ODONTOLÓGICO PARA O 8 BPM</t>
  </si>
  <si>
    <t>00394452000103-1-021964/2026</t>
  </si>
  <si>
    <t>COMANDO DO EXERCITO</t>
  </si>
  <si>
    <t>https://cnetmobile.estaleiro.serpro.gov.br/comprasnet-web/public/compras/acompanhamento-compra?compra=16052506000122026</t>
  </si>
  <si>
    <t>Aquisição de medicamentos e insumos de uso médico, odontológico e hospitalar para atender as necessidades da Seção de Saúde da ESFCEx.</t>
  </si>
  <si>
    <t>13937032000160-1-002562/2026</t>
  </si>
  <si>
    <t>https://licitacoes-e2.bb.com.br/aop-inter-estatico/visualizar-processo-publico/1100836</t>
  </si>
  <si>
    <t>Aquisição de Cartucho de Pulseiras para Identificação de Pacientes em Hospitais (Família 70.36) / CHVC</t>
  </si>
  <si>
    <t>05816630000152-1-007488/2026</t>
  </si>
  <si>
    <t>13922604000137-1-000119/2026</t>
  </si>
  <si>
    <t>MUNICIPIO DE SEABRA</t>
  </si>
  <si>
    <t>Seabra</t>
  </si>
  <si>
    <t>https://licitanet.com.br/sessao/203373</t>
  </si>
  <si>
    <t>[LICITANET] - REGISTRO DE PREÇOS para aquisição de fraldas descartáveis infantis e geriátricas/adultas; e lenços umedecidos, destinados ao atendimento das necessidades da Administração Pública Municipal.</t>
  </si>
  <si>
    <t>05816630000152-1-007072/2026</t>
  </si>
  <si>
    <t>13937032000160-1-002717/2026</t>
  </si>
  <si>
    <t>https://licitacoes-e2.bb.com.br/aop-inter-estatico/visualizar-processo-publico/1101798</t>
  </si>
  <si>
    <t>Aquisição de material de consumo médico-hospitalar e de insumos de radiodiagnóstico por imagem (kit introdutor percutâneo, cateter de termodiluicao de debito cardíaco contínuo, kit sensor para medida continua de debito cardíaco minimamente invasivo e pressão arterial invasiva, kit sensor para medida</t>
  </si>
  <si>
    <t>13937032000160-1-002716/2026</t>
  </si>
  <si>
    <t>https://licitacoes-e2.bb.com.br/aop-inter-estatico/visualizar-processo-publico/1101808</t>
  </si>
  <si>
    <t>Aquisição de MATERIAL QUÍMICO, BIOQUÍMICO E DE LABORATÓRIO SEM COMODATO DE EQUIPAMENTO - DISCO, AGULHA, JARRA, ALCOOL, CAIXA, para atendimento das demandas do HOSPITAL GERAL ROBERTO SANTOS - HGRS.</t>
  </si>
  <si>
    <t>05816630000152-1-007489/2026</t>
  </si>
  <si>
    <t>13937032000160-1-002715/2026</t>
  </si>
  <si>
    <t>https://licitacoes-e2.bb.com.br/aop-inter-estatico/visualizar-processo-publico/1101809</t>
  </si>
  <si>
    <t>Aquisição de material de consumo médico-hospitalar (SERINGA,CATETER, AGULHA etc.), para atendimento das demandas do Hospital Geral Roberto Santos - HGRS.</t>
  </si>
  <si>
    <t>05816630000152-1-006795/2026</t>
  </si>
  <si>
    <t>05816630000152-1-007610/2026</t>
  </si>
  <si>
    <t>Lauro de Freitas</t>
  </si>
  <si>
    <t>AQUISIÇÃO DE ACESSÓRIOS COMPATIVEIS AO MONITORES DA MARCA MINDRAY</t>
  </si>
  <si>
    <t>13896725000151-1-000066/2026</t>
  </si>
  <si>
    <t>MUNICIPIO DE PINTADAS</t>
  </si>
  <si>
    <t>Pintadas</t>
  </si>
  <si>
    <t>https://licitanet.com.br/sessao/203674</t>
  </si>
  <si>
    <t>[LICITANET] - Constitui objeto da presente licitação, seleção das melhores Propostas para Registro de Preços, visando a futura e eventual contratação de pessoa jurídica para o fornecimento parcelado de medicamentos para rede pública de saúde deste município, Pintadas-Bahia</t>
  </si>
  <si>
    <t>13937032000160-1-002450/2026</t>
  </si>
  <si>
    <t>https://licitacoes-e2.bb.com.br/aop-inter-estatico/visualizar-processo-publico/1100163</t>
  </si>
  <si>
    <t>Aquisição de Materiais e Equip. de Uso Hospitalar, Odontológico, Veterinário e de Laboratório (CONJUNTO, FIO, LINHA ETC), para compor o sistema de registro de preços.</t>
  </si>
  <si>
    <t>05816630000152-1-006796/2026</t>
  </si>
  <si>
    <t>13937032000160-1-002430/2026</t>
  </si>
  <si>
    <t>https://licitacoes-e2.bb.com.br/aop-inter-estatico/visualizar-processo-publico/1099995</t>
  </si>
  <si>
    <t>Aquisição de material medico hospitalar (FIO, CANULA, AGULHA, ETC), para compor o sistema de registro de preços.</t>
  </si>
  <si>
    <t>05816630000152-1-006701/2026</t>
  </si>
  <si>
    <t>05816630000152-1-007659/2026</t>
  </si>
  <si>
    <t>Materiais de Odontologia</t>
  </si>
  <si>
    <t>05816630000152-1-007667/2026</t>
  </si>
  <si>
    <t>Aquisição de Avental para quimioterapia</t>
  </si>
  <si>
    <t>13880257000127-1-000077/2026</t>
  </si>
  <si>
    <t>MUNICIPIO DE XIQUE-XIQUE</t>
  </si>
  <si>
    <t>Xique-Xique</t>
  </si>
  <si>
    <t>https://bllcompras.com/Process/ProcessView?param1=[gkz]sf_7jQrwm1IQgDWFmVlJk4NmwckCAXg8e2G4SbbAT6FPgq044gxilQCUpIizXTR/m8zZzs2aBQ6sWBfThBUhPbSrKOQBCQbzHzWCbCgN6zk=</t>
  </si>
  <si>
    <t>CONTRATAÇÃO DE PESSOA JURÍDICA PARA A AQUISIÇÃO DE MATERIAL DE CONSUMO E INSTRUMENTAL ODONTOLÓGICO, DESTINADO AOS SERVIÇOS DE SAÚDE BUCAL, VISANDO À MANUTENÇÃO DAS DIVERSAS ATIVIDADES DAS UNIDADES DE SAÚDE DO MUNICÍPIO DE XIQUE-XIQUE-BA</t>
  </si>
  <si>
    <t>14485841000140-1-002671/2026</t>
  </si>
  <si>
    <t>UNIVERSIDADE DO ESTADO DA BAHIA</t>
  </si>
  <si>
    <t>Paulo Afonso</t>
  </si>
  <si>
    <t>ALCOOL etílico 70% e outros</t>
  </si>
  <si>
    <t>14485841000140-1-002672/2026</t>
  </si>
  <si>
    <t>SERINGA de 10ml e outros</t>
  </si>
  <si>
    <t>14485841000140-1-002665/2026</t>
  </si>
  <si>
    <t>Avental de uso hospitalar</t>
  </si>
  <si>
    <t>14060602000149-1-000122/2026</t>
  </si>
  <si>
    <t>MUNICIPIO DE SAO GONCALO DOS CAMPOS</t>
  </si>
  <si>
    <t>São Gonçalo dos Campos</t>
  </si>
  <si>
    <t>https://licitacoes-e2.bb.com.br/aop-inter-estatico/visualizar-processo-publico/1101937</t>
  </si>
  <si>
    <t>REGISTRO DE PREÇO PARA FUTURA E EVENTUAL CONTRATAÇÃO DE EMPRESA ESPECIALIZADA NO FORNECIMENTO DE FIOS CIRÚRGICOS, FRALDAS E CATGUTS PARA USO HOSPITALAR PARA ATENDER AS DEMANDAS DAS UNIDADES DE SAÚDE DA FAMÍLIA, DO HOSPITAL PROFESSOR JOSÉ MARIA DE MAGALHÃES NETO, DO PROGRAMA ESPECIALISTAS DOS BAIRROS</t>
  </si>
  <si>
    <t>13937032000160-1-002580/2026</t>
  </si>
  <si>
    <t>https://licitacoes-e2.bb.com.br/aop-inter-estatico/visualizar-processo-publico/1100997</t>
  </si>
  <si>
    <t>AQUISIÇÃO DE MATERIAL DE CONSUMO MÉDICO-HOSPITALAR E DE INSUMOS DE RADIODIAGNÓSTICO POR IMAGEM - TESTE, DETERGENTE, ESCOVA (FAMÍLIAS: 65.05, 65.15)/CHVC</t>
  </si>
  <si>
    <t>15126437000305-1-004065/2026</t>
  </si>
  <si>
    <t>https://cnetmobile.estaleiro.serpro.gov.br/comprasnet-web/public/compras/acompanhamento-compra?compra=15590605000202026</t>
  </si>
  <si>
    <t>Registro de Preços para aquisição de INSTRUMENTAIS CIRÚRGICOS, a fim de atender às necessidades da Maternidade Climério de Oliveira (MCO/UFBA), pertencente à Rede da Empresa Brasileira de Serviços Hospitalares (Rede Ebserh), por um período de 12 (doze) meses, conforme especificações e demais condiçõ</t>
  </si>
  <si>
    <t>05816630000152-1-007138/2026</t>
  </si>
  <si>
    <t>15126437000305-1-004045/2026</t>
  </si>
  <si>
    <t>https://cnetmobile.estaleiro.serpro.gov.br/comprasnet-web/public/compras/acompanhamento-compra?compra=15590605000182026</t>
  </si>
  <si>
    <t>Registro de Preços para aquisição de Insumos da Central de Materiais e Esterilização (CME) e Áreas Afins, a fim de atender às necessidades da Maternidade Climério de Oliveira (MCO/UFBA), pertencente à Rede da Empresa Brasileira de Serviços Hospitalares (Rede Ebserh), por um período de 12 (doze) mese</t>
  </si>
  <si>
    <t>05816630000152-1-006901/2026</t>
  </si>
  <si>
    <t>05816630000152-1-007026/2026</t>
  </si>
  <si>
    <t>05816630000152-1-007356/2026</t>
  </si>
  <si>
    <t>13937032000160-1-002696/2026</t>
  </si>
  <si>
    <t>https://licitacoes-e2.bb.com.br/aop-inter-estatico/visualizar-processo-publico/1101301</t>
  </si>
  <si>
    <t>Aquisição de material de consumo médico-hospitalar e de insumos de radiodiagnóstico por imagem (AGULHA PARA ANESTESIA RAQUIDIANA, KIT PARA GASTROSTOMIA ENDOSCOPICA PERCUTANEA ETC), para compor o sistema de registro de preços.</t>
  </si>
  <si>
    <t>13937032000160-1-002521/2026</t>
  </si>
  <si>
    <t>https://licitacoes-e2.bb.com.br/aop-inter-estatico/visualizar-processo-publico/1100410</t>
  </si>
  <si>
    <t>Aquisição de material médico hospitalar (CURATIVO, CATETER, intravascular, ETC), para compor o sistema de Registro de Preços.</t>
  </si>
  <si>
    <t>05816630000152-1-007129/2026</t>
  </si>
  <si>
    <t>13937032000160-1-002552/2026</t>
  </si>
  <si>
    <t>https://licitacoes-e2.bb.com.br/aop-inter-estatico/visualizar-processo-publico/1100375</t>
  </si>
  <si>
    <t>Aquisição de material medico hospitalar (COMPRESSA, SERINGA, SONDA ETC), para compor o sistema de registro de preços.</t>
  </si>
  <si>
    <t>05816630000152-1-006989/2026</t>
  </si>
  <si>
    <t>13937032000160-1-002499/2026</t>
  </si>
  <si>
    <t>https://licitacoes-e2.bb.com.br/aop-inter-estatico/visualizar-processo-publico/1100341</t>
  </si>
  <si>
    <t>Aquisição de material de consumo médico-hospitalar e de insumos de radiodiagnóstico por imagem (SABONETE ANTISSEPTICO, CANULA PARA TRAQUEOSTOMIA ETC ), para compor o sistema de registro de preços.</t>
  </si>
  <si>
    <t>07954480000179-1-025608/2026</t>
  </si>
  <si>
    <t>ESTADO DO CEARA</t>
  </si>
  <si>
    <t>Fortaleza</t>
  </si>
  <si>
    <t>CE</t>
  </si>
  <si>
    <t>AQUISIÇÃO DE MATERIAL LABORATORIAL.</t>
  </si>
  <si>
    <t>07954480000179-1-025671/2026</t>
  </si>
  <si>
    <t>Tabuleiro do Norte</t>
  </si>
  <si>
    <t>Aquisição de Material Hospitalar</t>
  </si>
  <si>
    <t>06741565000106-1-000050/2026</t>
  </si>
  <si>
    <t>MUNICIPIO DE MILHA</t>
  </si>
  <si>
    <t>Milhã</t>
  </si>
  <si>
    <t>AQUISIÇÃO DE MEDICAMENTOS, MATERIAL MÉDICO-HOSPITALAR E DESCARTÁVEIS PARA ATENDER AS NECESSIDADES DA SECRETARIA DE SAÚDE DO MUNICÍPIO DE MILHÃ</t>
  </si>
  <si>
    <t>07963861000114-1-000075/2026</t>
  </si>
  <si>
    <t>MUNICIPIO DE PACATUBA</t>
  </si>
  <si>
    <t>Pacatuba</t>
  </si>
  <si>
    <t>https://bllcompras.com/Process/ProcessView?param1=[gkz]K33gqaiBIi/WjWT1TzVDrPSkp5ZgoOLmhBeEG6OeQFCIGI3uN9jaZOLe72trC_F1TbmyH8Hf3VC1X9nUJSem7ZNAlYOi8peqHttcf7PAz_s=</t>
  </si>
  <si>
    <t>Registro de preços para futura e eventual aquisição de medicamentos e material médico, destinados ao atendimento das necessidades da Secretaria Municipal de Saúde de Pacatuba/CE, visando ao abastecimento das unidades de atenção primária e secundária, bem como ao suprimento de eventuais desabastecime</t>
  </si>
  <si>
    <t>07954605000160-1-000996/2026</t>
  </si>
  <si>
    <t>MUNICIPIO DE FORTALEZA</t>
  </si>
  <si>
    <t>https://compras.sepog.fortaleza.ce.gov.br/</t>
  </si>
  <si>
    <t>AQUISIÇÕES DE MMH - SERINGAS DESCARTÁVEIS E OUTROS INSUMOS</t>
  </si>
  <si>
    <t>07954605000160-1-000916/2026</t>
  </si>
  <si>
    <t>https://cnetmobile.estaleiro.serpro.gov.br/comprasnet-web/public/compras/acompanhamento-compra?compra=92774405000402026</t>
  </si>
  <si>
    <t>CONSTITUI OBJETO DA PRESENTE LICITAÇÃO, A SELEÇÃO DE EMPRESA PARA O REGISTRO DE PREÇOS VISANDO AQUISIÇÕES FUTURAS E EVENTUAIS DE MMH - TORNEIRA DE 3 (TRÊS) VIAS E OUTROS INSUMOS, PARA ATENDER À DEMANDA DA SECRETARIA MUNICIPAL DA SAÚDE DE FORTALEZA - SMS, DE ACORDO COM AS ESPECIFICAÇÕES E QUANTITATIV</t>
  </si>
  <si>
    <t>07954605000160-1-000221/2026</t>
  </si>
  <si>
    <t>AQUISIÇÕES DE INDICADOR BIOLÓGICO AUTO CONTIDO</t>
  </si>
  <si>
    <t>07954605000160-1-000225/2026</t>
  </si>
  <si>
    <t>https://cnetmobile.estaleiro.serpro.gov.br/comprasnet-web/public/landing?destino=acompanhamento-compra&amp;compra=92774405900582026</t>
  </si>
  <si>
    <t>Constitui objeto da presente licitação o registro de preços visando aquisições futuras e eventuais de indicador biológico auto contido, de acordo com as especificações e quantitativos previstos no termo de referência, por um período de 12 (doze) meses.</t>
  </si>
  <si>
    <t>07954480000179-1-025933/2026</t>
  </si>
  <si>
    <t>Horizonte</t>
  </si>
  <si>
    <t>MATERIAL HOSPITALAR DA CREDE 09 E EM FAVOR DA EEEP PROF° JOSÉ CARLOS REBOUÇAS.</t>
  </si>
  <si>
    <t>00394452000103-1-001080/2027</t>
  </si>
  <si>
    <t>Crateús</t>
  </si>
  <si>
    <t>https://cnetmobile.estaleiro.serpro.gov.br/comprasnet-web/public/compras/acompanhamento-compra?compra=16004105000182027</t>
  </si>
  <si>
    <t>AQUISIÇÃO MATERIAL PASSEX PARA A FORMAÇÃO SANITÁRIA</t>
  </si>
  <si>
    <t>23555279000175-1-000145/2026</t>
  </si>
  <si>
    <t>MUNICIPIO DE CHOROZINHO</t>
  </si>
  <si>
    <t>Chorozinho</t>
  </si>
  <si>
    <t>AQUISIÇÃO DE EQUIPAMENTOS E MATERIAIS PERMANENTES PARA AS UNIDADES BÁSICA DE SAÚDE, CENTRO DE REABILITAÇÃO E HOSPITAL MUNICIPAL DO MUNICIPIO DE CHOROZINHO-CE.</t>
  </si>
  <si>
    <t>07416704000199-1-000100/2026</t>
  </si>
  <si>
    <t>MUNICIPIO DE CAMPOS SALES</t>
  </si>
  <si>
    <t>Campos Sales</t>
  </si>
  <si>
    <t>https://licitamaisbrasil.com.br/detalhes-do-edital/ZkX89hI7PTsi1-kB</t>
  </si>
  <si>
    <t>Registro de Preços para futura e eventual aquisição de medicamentos, fórmulas nutricionais e insumos destinados ao atendimento das necessidades da Secretaria Municipal de Políticas para a Saúde do Município de Campos Sales/CE</t>
  </si>
  <si>
    <t>07954480000179-1-025316/2026</t>
  </si>
  <si>
    <t>https://cnetmobile.estaleiro.serpro.gov.br/comprasnet-web/public/compras/acompanhamento-compra?compra=94300105007602026</t>
  </si>
  <si>
    <t>O objeto da licitação é o Registro de Preço para futuras e eventuais aquisições de material médico hospitalar, nas condições estabelecidas neste edital e seus anexos.</t>
  </si>
  <si>
    <t>12208466000166-1-000022/2026</t>
  </si>
  <si>
    <t>CONSORCIO PUBLICO DE SAUDE DA MICRORREGIAO DE SOBRAL - CPSMS</t>
  </si>
  <si>
    <t>Sobral</t>
  </si>
  <si>
    <t>https://licitamaisbrasil.com.br/detalhes-do-edital/tbNX25SzHZDRG-Cj</t>
  </si>
  <si>
    <t>AQUISIÇÃO DE MATERIAL MÉDICO-HOSPITALAR DESTINADOS A ATENDER ÀS NECESSIDADES DO CENTRO DE ESPECIALIDADES ODONTOLÓGICAS REGIONAL – REITOR ÍCARO DE SOUSA MOREIRA E DA POLICLÍNICA BERNARDO FÉLIX DA SILVA, UNIDADES GERIDAS PELO CONSÓRCIO PÚBLICO DE SAÚDE DA MICRORREGIÃO DE SOBRAL – CPSMS;</t>
  </si>
  <si>
    <t>07954605000160-1-001020/2026</t>
  </si>
  <si>
    <t>AQUISIÇÃO DE MMH - LINHA GERAL I</t>
  </si>
  <si>
    <t>07954605000160-1-001023/2026</t>
  </si>
  <si>
    <t>AQUISIÇÕES DE MATERIAL MÉDICO-HOSPITALAR - AGULHAS, LANCETAS E SERINGAS DESCARTÁVEIS</t>
  </si>
  <si>
    <t>07954605000160-1-001025/2026</t>
  </si>
  <si>
    <t>https://cnetmobile.estaleiro.serpro.gov.br/comprasnet-web/public/compras/acompanhamento-compra?compra=92774405000872026</t>
  </si>
  <si>
    <t>CONSTITUI OBJETO DA PRESENTE LICITAÇÃO O REGISTRO DE PREÇO VISANDO AQUISIÇÕES FUTURAS E EVENTUAIS DE MATERIAL MÉDICO-HOSPITALAR – AGULHAS, LANCETAS E SERINGAS DESCARTÁVEIS, DE ACORDO COM AS ESPECIFICAÇÕES E QUANTITATIVOS PREVISTOS NO ANEXO I - TERMO DE REFERÊNCIA, POR UM PERÍODO DE 12 (DOZE) MESES.</t>
  </si>
  <si>
    <t>07954605000160-1-001024/2026</t>
  </si>
  <si>
    <t>https://cnetmobile.estaleiro.serpro.gov.br/comprasnet-web/public/compras/acompanhamento-compra?compra=92774405000852026</t>
  </si>
  <si>
    <t>CONSTITUI OBJETO DA PRESENTE LICITAÇÃO, A SELEÇÃO DE EMPRESA PARA O REGISTRO DE PREÇOS VISANDO AQUISIÇÃO DE MMH – LINHA GERAL I, PARA ATENDER A DEMANDA DA SECRETARIA MUNICIPAL DE SAÚDE DE FORTALEZA – SMS, DE ACORDO COM AS ESPECIFICAÇÕES E QUANTITATIVOS PREVISTOS NO ANEXO I – TERMO DE REFERÊNCIA DEST</t>
  </si>
  <si>
    <t>07954480000179-1-025452/2026</t>
  </si>
  <si>
    <t>https://cnetmobile.estaleiro.serpro.gov.br/comprasnet-web/public/compras/acompanhamento-compra?compra=94300105007612026</t>
  </si>
  <si>
    <t>REGISTRO DE PREÇO PARA FUTURAS E EVENTUAIS AQUISIÇÕES DE MATERIAL MÉDICO-HOSPITALAR, nas condições estabelecidas neste edital e seus anexos.</t>
  </si>
  <si>
    <t>07954480000179-1-025464/2026</t>
  </si>
  <si>
    <t>REGISTRO DE PREÇO - MATERIAL MÉDICO HOSPITALAR</t>
  </si>
  <si>
    <t>07954480000179-1-025462/2026</t>
  </si>
  <si>
    <t>00394452000103-1-021125/2026</t>
  </si>
  <si>
    <t>Brasília</t>
  </si>
  <si>
    <t>DF</t>
  </si>
  <si>
    <t>https://cnetmobile.estaleiro.serpro.gov.br/comprasnet-web/public/compras/acompanhamento-compra?compra=16008805001852026</t>
  </si>
  <si>
    <t>Aquisição de EQUIPOS, EXTENSORES, ADAPTADORES, CONECTORES E FRASCOS, INCLUINDO COMODATO DE EQUIPAMENTOS</t>
  </si>
  <si>
    <t>00394700000108-1-000407/2026</t>
  </si>
  <si>
    <t>DISTRITO FEDERAL SECRETARIA DE SAUDE</t>
  </si>
  <si>
    <t>https://cnetmobile.estaleiro.serpro.gov.br/comprasnet-web/public/compras/acompanhamento-compra?compra=92611905002092026</t>
  </si>
  <si>
    <t>Aquisição regular de insumos à saúde padronizados: kits, campos cirúrgicos e materiais cirúrgicos, em sistema de registro de preços, para atender às necessidades da Secretaria de Saúde – DF, conforme especificações e quantitativos constantes no Anexo I do Edital.</t>
  </si>
  <si>
    <t>08942610000116-1-000096/2026</t>
  </si>
  <si>
    <t>POLICIA MILITAR DO DISTRITO FEDERAL</t>
  </si>
  <si>
    <t>https://cnetmobile.estaleiro.serpro.gov.br/comprasnet-web/public/compras/acompanhamento-compra?compra=92667005000532026</t>
  </si>
  <si>
    <t>Constitui objeto da presente contratação o REGISTRO DE PREÇOS PARA AQUISIÇÃO DE MATERIAIS HOSPITALARES E INSUMOS FARMACOLÓGICOS destinados às unidades de saúde subordinadas à Diretoria de Assistência à Saúde (DAS/PMDF), à Diretoria de Assistência Odontológica (DAO/PMDF) e ao Centro de Medicina Veter</t>
  </si>
  <si>
    <t>00394700000108-1-000415/2026</t>
  </si>
  <si>
    <t>https://cnetmobile.estaleiro.serpro.gov.br/comprasnet-web/public/compras/acompanhamento-compra?compra=92611905001972026</t>
  </si>
  <si>
    <t>Aquisição regular de SENSOR DE MONITORAMENTO CONTÍNUO DE GLICOSE INTERSTISCIAL e outro, em sistema de registro de preços, para atender às necessidades da Secretaria de Saúde – DF, conforme especificações e quantitativos constantes no Anexo I do Edital.</t>
  </si>
  <si>
    <t>00497560000101-1-000155/2026</t>
  </si>
  <si>
    <t>SUPERIOR TRIBUNAL MILITAR</t>
  </si>
  <si>
    <t>https://cnetmobile.estaleiro.serpro.gov.br/comprasnet-web/public/compras/acompanhamento-compra?compra=06000105001552026</t>
  </si>
  <si>
    <t>Prestação de serviços de assistência técnica para manutenção corretiva e preventiva (incluindo calibração, conforme periodicidade recomendada pelo fabricante) de equipamentos médico-hospitalares permanentes em uso nos serviços de saúde do STM (SEENF e SEMED - da CSAUD/DISAU), incluindo o forneciment</t>
  </si>
  <si>
    <t>00394494000136-1-001149/2026</t>
  </si>
  <si>
    <t>MINISTERIO DA JUSTICA E SEGURANCA PUBLICA</t>
  </si>
  <si>
    <t>https://cnetmobile.estaleiro.serpro.gov.br/comprasnet-web/public/compras/acompanhamento-compra?compra=20000506000202026</t>
  </si>
  <si>
    <t>Aquisição de mobiliários e equipamentos destinados à implementação e ao aprimoramento dos Projetos Espaço Qualidade de Vida, Espaço de Convivência e Sala de Amamentação do Ministério da Justiça e Segurança Pública, como estratégia importante da política de gestão de pessoas incluindo fornecimento, e</t>
  </si>
  <si>
    <t>15126437000305-1-003843/2026</t>
  </si>
  <si>
    <t>https://cnetmobile.estaleiro.serpro.gov.br/comprasnet-web/public/compras/acompanhamento-compra?compra=15500905000392026</t>
  </si>
  <si>
    <t>Aquisição de produtos para saúde – insumos gerais, a fim de atender às necessidades do Hospital Universitário de Brasília (HUB).</t>
  </si>
  <si>
    <t>15126437000305-1-003837/2026</t>
  </si>
  <si>
    <t>https://cnetmobile.estaleiro.serpro.gov.br/comprasnet-web/public/compras/acompanhamento-compra?compra=15500905000412026</t>
  </si>
  <si>
    <t>Aquisição de Produtos para Saúde – Insumos Gerais II, destinados ao atendimento das necessidades do Hospital Universitário de Brasília (HUB/UnB).</t>
  </si>
  <si>
    <t>02618132000107-1-000092/2026</t>
  </si>
  <si>
    <t>CONSORCIO PUBLICO DA REGIAO POLINORTE - CIM POLINORTE</t>
  </si>
  <si>
    <t>Ibiraçu</t>
  </si>
  <si>
    <t>ES</t>
  </si>
  <si>
    <t>https://www.portaldecompraspublicas.com.br/processos/ES/Consorcio-Publico-da-Regiao-Polinorte-CIM-POLINORTE-4081/RPE-037-2026-2026-511488</t>
  </si>
  <si>
    <t>[Portal de Compras Públicas] - MATERIAL MÉDICO (SERINGAS)</t>
  </si>
  <si>
    <t>32479123000143-1-000155/2026</t>
  </si>
  <si>
    <t>UNIVERSIDADE FEDERAL DO ESPIRITO SANTO</t>
  </si>
  <si>
    <t>Vitória</t>
  </si>
  <si>
    <t>https://cnetmobile.estaleiro.serpro.gov.br/comprasnet-web/public/compras/acompanhamento-compra?compra=15304605002332026</t>
  </si>
  <si>
    <t>Aquisição de material hospitalar III</t>
  </si>
  <si>
    <t>15126437000305-1-003923/2026</t>
  </si>
  <si>
    <t>https://cnetmobile.estaleiro.serpro.gov.br/comprasnet-web/public/compras/acompanhamento-compra?compra=15501205000542026</t>
  </si>
  <si>
    <t>Aquisição de Produtos para Saúde - Material Médico Hospitalar - SERINGAS E AGULHAS</t>
  </si>
  <si>
    <t>27080605000196-1-001248/2026</t>
  </si>
  <si>
    <t>SECRETARIA DE ESTADO DA SAUDE</t>
  </si>
  <si>
    <t>TR - GUINCHO DE PACIENTE E ASPIRADOR DE SECREÇÃO BAIXA VAZÃO</t>
  </si>
  <si>
    <t>27167410000188-1-000646/2026</t>
  </si>
  <si>
    <t>MUNICIPIO DE LINHARES</t>
  </si>
  <si>
    <t>Linhares</t>
  </si>
  <si>
    <t>https://www.portaldecompraspublicas.com.br/processos/ES/Prefeitura-Municipal-de-Linhares-2440/RPE-052-2026-2026-514314</t>
  </si>
  <si>
    <t>[Portal de Compras Públicas] - Aquisição de materiais de consumo (tiras reagentes, lancetas e seringas para insulina), destinados a atender o Departamento de Assistência Farmacêutica, FBM (Programa Hiperdia e Rede Cuidar) e UBS [atenção básica para uso in loco]) e o Núcleo de Atenção as Políticas em</t>
  </si>
  <si>
    <t>32479123000143-1-000162/2026</t>
  </si>
  <si>
    <t>São Mateus</t>
  </si>
  <si>
    <t>https://cnetmobile.estaleiro.serpro.gov.br/comprasnet-web/public/compras/acompanhamento-compra?compra=15304905000172026</t>
  </si>
  <si>
    <t>PE SRP 91007/2026 - Aquisições de material de consumo do tipo Hospitalar entre outros.</t>
  </si>
  <si>
    <t>27080605001834-1-000019/2026</t>
  </si>
  <si>
    <t>Baixo Guandu</t>
  </si>
  <si>
    <t>https://siades.es.gov.br/licitacao-pub/#/licitacao-visualizacao/2055/dados-edital</t>
  </si>
  <si>
    <t>AQUISIÇÃO DE MATERIAL DE USO MÉDICO.</t>
  </si>
  <si>
    <t>15126437000305-1-003915/2026</t>
  </si>
  <si>
    <t>https://cnetmobile.estaleiro.serpro.gov.br/comprasnet-web/public/compras/acompanhamento-compra?compra=15501205000502026</t>
  </si>
  <si>
    <t>Aquisição de Produtos para Saúde - LUVAS, MÁSCARAS, TOUCA E CAMPO CIRÚRGICO</t>
  </si>
  <si>
    <t>27167410000188-1-000650/2026</t>
  </si>
  <si>
    <t>https://www.portaldecompraspublicas.com.br/processos/ES/Prefeitura-Municipal-de-Linhares-2440/RPE-053-2026-2026-514557</t>
  </si>
  <si>
    <t>[Portal de Compras Públicas] - Aquisição de instrumentais cirúrgicos (pinças e outros) destinados a atender o Hospital Geral de Linhares.</t>
  </si>
  <si>
    <t>27142058000126-1-000632/2026</t>
  </si>
  <si>
    <t>MUNICIPIO DE VITORIA</t>
  </si>
  <si>
    <t>REGISTRO DE PREÇOS VISANDO AQUISIÇÃO DE MATERIAIS MÉDICO-HOSPITALARES (LANCETAS E SERINGAS).</t>
  </si>
  <si>
    <t>27080605002059-1-000288/2026</t>
  </si>
  <si>
    <t>Aquisição de Material hospitalar: Seringas para Bomba de Infusão, Nutrição Enteral e Fotoproteção.</t>
  </si>
  <si>
    <t>01609408000128-1-000164/2026</t>
  </si>
  <si>
    <t>MUNICIPIO DE MARATAIZES</t>
  </si>
  <si>
    <t>Marataízes</t>
  </si>
  <si>
    <t>AQUISIÇÃO DE TIRAS REAGENTES E LANCETAS PARA ATENDIMENTO À FARMÁCIA BÁSICA MUNICIPAL</t>
  </si>
  <si>
    <t>27080605002059-1-000290/2026</t>
  </si>
  <si>
    <t>Aquisição de Material hospitalar: Placa Eletrocirurgica e Lâmina de Tricotomia.</t>
  </si>
  <si>
    <t>27167410000188-1-000651/2026</t>
  </si>
  <si>
    <t>https://www.portaldecompraspublicas.com.br/processos/ES/Prefeitura-Municipal-de-Linhares-2440/RPE-054-2026-2026-515236</t>
  </si>
  <si>
    <t>[Portal de Compras Públicas] - Aquisição de material de consumo médico hospitalar (avental estéril e outros) destinado a atender o Hospital Geral de Linhares.</t>
  </si>
  <si>
    <t>36901264000163-1-000674/2026</t>
  </si>
  <si>
    <t>FUNDACAO ESTADUAL DE  INOVACAO EM SAUDE - INOVA CAPIXABA</t>
  </si>
  <si>
    <t>Vila Velha</t>
  </si>
  <si>
    <t>https://www.portaldecompraspublicas.com.br/processos/ES/Fundacao-Inova-Capixaba-2904/RPE-080-2026-2026-506770</t>
  </si>
  <si>
    <t>[Portal de Compras Públicas] - REGISTRO DE PREÇOS DE AQUISIÇÃO DE EQUIPOS PARA BOMBAS DE INFUSÃO.</t>
  </si>
  <si>
    <t>04371703000187-1-000033/2026</t>
  </si>
  <si>
    <t>DIRETORIA DE SAUDE DA POLICIA MILITAR DO ESPIRITO SANTO</t>
  </si>
  <si>
    <t>Aquisição de Instrumentais cirúrgicos para o atendimento no Centro Odontológico da Diretoria de Saúde da PMES.</t>
  </si>
  <si>
    <t>10486394000193-1-000023/2026</t>
  </si>
  <si>
    <t>FUNDO MUNICIPAL DE SAUDE IBATIBA</t>
  </si>
  <si>
    <t>Ibatiba</t>
  </si>
  <si>
    <t>https://www.portaldecompraspublicas.com.br/processos/ES/Fundo-Municipal-de-Saude-de-Ibatiba-4992/RPE-054-2026-2026-515472</t>
  </si>
  <si>
    <t>[Portal de Compras Públicas] - Registro de Preços para futura e eventual contratação de empresa especializada para FORNECIMENTO DE MATERIAIS PARA CURATIVO, destinados ao atendimento das demandas da Estratégia Saúde da Família (ESF), das Unidades Básicas de Saúde (UBS), da Policlínica Municipal, da S</t>
  </si>
  <si>
    <t>27150549000119-1-000159/2026</t>
  </si>
  <si>
    <t>MUNICIPIO DE CARIACICA</t>
  </si>
  <si>
    <t>Cariacica</t>
  </si>
  <si>
    <t>https://www.portaldecompraspublicas.com.br/processos/ES/Prefeitura-Municipal-de-Cariacica-2582/RPE-037-2026-2026-491170</t>
  </si>
  <si>
    <t>[Portal de Compras Públicas] - Registro de Preços para provável aquisição de materiais médico-hospitalares.</t>
  </si>
  <si>
    <t>10593919000190-1-000048/2026</t>
  </si>
  <si>
    <t>Padre Bernardo</t>
  </si>
  <si>
    <t>GO</t>
  </si>
  <si>
    <t>Aquisição de insumos e materiais médicos hospitares para a saúde, visando o abastecimento contínuo de todas as unidades de saúde do município de Padre Bernardo-GO por um período de 12 (doze) meses.</t>
  </si>
  <si>
    <t>11924138000101-1-000657/2026</t>
  </si>
  <si>
    <t>FUNDO MUNICIPAL DE SAUDE DE MINEIROS</t>
  </si>
  <si>
    <t>Mineiros</t>
  </si>
  <si>
    <t>AQUISIÇÃO DE MATERIAL HOSPITALAR E CORRELATOS PARA ATENDER AS UNIDADES DE SAÚDE DA SECRETARIA MUNICIPAL DE SAÚDE DE MINEIROS-GO</t>
  </si>
  <si>
    <t>10593919000190-1-000049/2026</t>
  </si>
  <si>
    <t>Aquisição de Insumos e Materiais odontológicos Permanentes, para atender as demandas da Secretaria Municipal de Saúde de Padre Bernardo-GO, pelo período de 12(doze) meses.</t>
  </si>
  <si>
    <t>11260263000156-1-000079/2026</t>
  </si>
  <si>
    <t>Novo Brasil</t>
  </si>
  <si>
    <t>Pregão - Presencial</t>
  </si>
  <si>
    <t xml:space="preserve">CONSTITUI OBJETO DA PRESENTE LICITAÇÃO O REGISTRO DE PREÇOS PARA FUTURA E EVENTUAL AQUISIÇÃO DE MATERIAL HOSPITALAR, PARA ATENDIMENTO DAS NECESSIDADES DO HOSPITAL MUNICIPAL E UNIDADES BÁSICAS DE SAÚDE, DO MUNICÍPIO DE NOVO BRASIL, PARA UM PERÍODO DE 12 MESES, COM RECURSOS DA SECRETARIA DE ESTADO DA </t>
  </si>
  <si>
    <t>00394452000103-1-021685/2026</t>
  </si>
  <si>
    <t>Cristalina</t>
  </si>
  <si>
    <t>https://cnetmobile.estaleiro.serpro.gov.br/comprasnet-web/public/compras/acompanhamento-compra?compra=16010006000782026</t>
  </si>
  <si>
    <t>Aquisição de materiais de consumo/insumos médico hospitalares e odontológicos.</t>
  </si>
  <si>
    <t>11111771000172-1-000249/2026</t>
  </si>
  <si>
    <t>FUNDO MUNICIPAL DE SAUDE DE CERES</t>
  </si>
  <si>
    <t>Ceres</t>
  </si>
  <si>
    <t>REFERENTE A AQUISIÇÃO PARCELADA DE MATERIAL ODONTOLÓGICO DE PRÓTESE E CIRURGIA, PARA ATENDER ÀS NECESSIDADES DOS DEPARTAMENTOS ODONTOLÓGICOS DA SECRETARIA MUNICIPAL DE SAÚDE DE CERES-GO.</t>
  </si>
  <si>
    <t>11304444000137-1-000321/2026</t>
  </si>
  <si>
    <t>FUNDO MUNICIPAL DE SAUDE DE VILA PROPICIO</t>
  </si>
  <si>
    <t>Vila Propício</t>
  </si>
  <si>
    <t>CONTRATAÇÃO DE PESSOA JURÍDICA PARA FORNECIMENTO DE MEDICAMENTOS, MATERIAIS HOSPITALARES, LABORATORIAIS E ODONTOLÓGICOS.</t>
  </si>
  <si>
    <t>11409678000149-1-000021/2026</t>
  </si>
  <si>
    <t>FUNDO MUNICIPAL DE SAUDE DE PIRENOPOLIS</t>
  </si>
  <si>
    <t>Pirenópolis</t>
  </si>
  <si>
    <t>EVENTUAL AQUISIÇÃO DE FRALDAS PARA ATENDIMENTO DAS DEMANDAS DA CENTRAL DE ABASTECIMENTO FARMACÊUTICO – CAF</t>
  </si>
  <si>
    <t>01788082000143-1-000034/2026</t>
  </si>
  <si>
    <t>MUNICIPIO DE EDEIA</t>
  </si>
  <si>
    <t>Edéia</t>
  </si>
  <si>
    <t xml:space="preserve">REGISTRO DE PREÇOS PARA FUTURA E EVENTUAL CONTRATAÇÃO DE EMPRESA ESPECIALIZADA NO FORNECIMENTO DE INSUMOS HOSPITALARES E MEDICAMENTOS PARA A SECRETARIA MUNICIPAL DE SAÚDE DE EDÉIA-GO, CONFORME ESPECIFICAÇÕES E QUANTITATIVOS ESTABELECIDOS NO TERMO DE REFERÊNCIA, COM RECURSOS PROVENIENTES DO PROCESSO </t>
  </si>
  <si>
    <t>03532661000156-1-000081/2026</t>
  </si>
  <si>
    <t>FUNDO MUNICIPAL DE SAUDE - CATALAO</t>
  </si>
  <si>
    <t>Catalão</t>
  </si>
  <si>
    <t>https://cnetmobile.estaleiro.serpro.gov.br/comprasnet-web/public/compras/acompanhamento-compra?compra=92753805000102026</t>
  </si>
  <si>
    <t>futura e eventual aquisição de medicamentos e insumos farmacêuticos padronizados, mediante Sistema de Registro de Preços, destinados ao abastecimento da Assistência Farmacêutica Municipal e das unidades da rede municipal de saúde, incluindo a Farmácia Básica Municipal, a Unidade de Pronto Atendiment</t>
  </si>
  <si>
    <t>05169884000126-1-000095/2026</t>
  </si>
  <si>
    <t>Ouvidor</t>
  </si>
  <si>
    <t>https://bllcompras.com/Process/ProcessView?param1=[gkz]COUZypAuFmhmbOlyBQADd6e6k2qMrcNMr9qLEh7o4ffspL2QgZX7U75QYZR7UlTScPc6c6Cfg9NDrFRdkJmrjhf_tszCzYy_JMGDEVgMK24=</t>
  </si>
  <si>
    <t>Registro de preços para futura e eventual aquisição de insumos médico-hospitalares e correlatos para manutenção das atividades do Hospital Municipal Santo Antônio para os próximos 12 (doze) meses - itens fracassados do PE nº 055/2026.</t>
  </si>
  <si>
    <t>10713187000124-1-000093/2026</t>
  </si>
  <si>
    <t>FUNDO MUNICIPAL DE SAUDE DE TURVANIA</t>
  </si>
  <si>
    <t>Turvânia</t>
  </si>
  <si>
    <t>SOLICITAÇÃO DE INSUMOS E MATERIAIS ODONTOLÓGICOS PARA O CENTRO MUNICIPAL DE ENDOSCOPIA, MEDICINA OFTAMOLÓGICA, MAMOGRAFIA, CARDIOLOGIA E ODONTOLOGIA ESPECIALIZADA - CEMOC.</t>
  </si>
  <si>
    <t>12260233000102-1-000033/2026</t>
  </si>
  <si>
    <t>FUNDO MUNICIPAL DE SAUDE DE SAO PATRICIO</t>
  </si>
  <si>
    <t>São Patrício</t>
  </si>
  <si>
    <t>REGISTRO DE PREÇO PARA FUTURA E EVENTUAL CONTRATAÇÃO DE EMPRESA ESPECIALIZADA PARA ESPECIALIZADA PARA FORNECIMENTO DE MEDICAMENTOS, INSUMOS HOSPITALARES, E MATERIAIS ODONTOLÓGICOS</t>
  </si>
  <si>
    <t>00079806000117-1-000059/2026</t>
  </si>
  <si>
    <t>MUNICIPIO DE CACHOEIRA DOURADA</t>
  </si>
  <si>
    <t>Cachoeira Dourada</t>
  </si>
  <si>
    <t>AQUISIÇÃO DE MEDICAMENTOS, INSUMOS FARMACÊUTICOS, MATERIAIS PARA ASSISTÊNCIA À SAÚDE, MATERIAIS DE APOIO ÀS ATIVIDADES FARMACÊUTICAS E HOSPITALARES, BEM COMO EQUIPAMENTOS E UTENSÍLIOS, DESTINADOS AO ATENDIMENTO DAS NECESSIDADES DA SECRETARIA MUNICIPAL DE SAÚDE</t>
  </si>
  <si>
    <t>02056729000105-1-000657/2026</t>
  </si>
  <si>
    <t>MUNICIPIO DE RIO VERDE</t>
  </si>
  <si>
    <t>Rio Verde</t>
  </si>
  <si>
    <t>REGISTRO DE PREÇO PARA FUTURA AQUISIÇÃO DE MATERIAIS MÉDICO HOSPITALAREM PARA SUPRIR À DEMANDA DAS UNIDADES DE SAÚDE PERTENCENTE AO FUNDO MUNICIPAL DE SAÚDE DE RIO VERDE - GO</t>
  </si>
  <si>
    <t>01409580000138-1-001511/2026</t>
  </si>
  <si>
    <t>ESTADO DE GOIAS</t>
  </si>
  <si>
    <t>Goiânia</t>
  </si>
  <si>
    <t>Aparelhamento UBS do Complexo Prisional de Aparecida de Goiânia</t>
  </si>
  <si>
    <t>11232665000147-1-000297/2026</t>
  </si>
  <si>
    <t>FUNDO MUNICIPAL DE SAUDE - FMS</t>
  </si>
  <si>
    <t>Aloândia</t>
  </si>
  <si>
    <t>REGISTRO DE PREÇOS PARA A EVENTUAL E FUTURA AQUISIÇÃO DE MEDICAMENTOS E INSUMOS HOSPITALARES</t>
  </si>
  <si>
    <t>10936853000193-1-000099/2026</t>
  </si>
  <si>
    <t>Novo Gama</t>
  </si>
  <si>
    <t>Registro de Preços para eventual e futura aquisição de insumos e materiais hospitalares para atender às demandas da Secretaria Municipal de Saúde, visando à manutenção das atividades do Fundo Municipal de Saúde de Novo Gama – GO</t>
  </si>
  <si>
    <t>10714800000128-1-000005/2026</t>
  </si>
  <si>
    <t>FUNDO MUNICIPAL DE SAUDE DE MOSSAMEDES</t>
  </si>
  <si>
    <t>Mossâmedes</t>
  </si>
  <si>
    <t>AQUISIÇÃO DE PEÇAS E COMPONENTES DESTINADOS À MANUTENÇÃO PREVENTIVA E CORRETIVA DOS EQUIPAMENTOS MÉDICO-HOSPITALARES PERTENCENTES ÀS UNIDADES DE SAÚDE DO MUNICÍPIO. A CONTRATAÇÃO SE FAZ NECESSÁRIA EM RAZÃO DA NECESSIDADE DE DISPONIBILIZAÇÃO DE PEÇAS E COMPONENTES DESTINADOS À REPOSIÇÃO E AO REPARO D</t>
  </si>
  <si>
    <t>11203159000120-1-000050/2026</t>
  </si>
  <si>
    <t>São Luiz do Norte</t>
  </si>
  <si>
    <t>REGISTRO DE PREÇOS PARA CONTRATAÇÃO, SOB DEMANDA, DE EMPRESA ESPECIALIZADA NO FORNECIMENTO DE MEDICAMENTOS, MATERIAIS HOSPITALARES (ODONTOLÓGICO, LABORATORIAL E RAIO-X), PARA ATENDER AS NECESSIDADES DA SECRETARIA MUNICIPAL DE SAÚDE DE SÃO LUIZ DO NORTE - GO.</t>
  </si>
  <si>
    <t>25107525000151-1-000425/2026</t>
  </si>
  <si>
    <t>MUNICIPIO DE SENADOR CANEDO</t>
  </si>
  <si>
    <t>Senador Canedo</t>
  </si>
  <si>
    <t>https://www.portaldecompraspublicas.com.br/processos/GO/Prefeitura-Municipal-de-Senador-Canedo-992/RPE-117-2026-2026-514304</t>
  </si>
  <si>
    <t>[Portal de Compras Públicas] - REGISTRO DE PREÇOS PARA FUTURA E EVENTUAL AQUISIÇÃO DE MATERIAL DE CONSUMO, INSUMOS E ASSEPSIA HOSPITALAR, A FIM DE PROMOVER AÇÕES DE MANEJO POPULACIONAL DE CÃES E GATOS NO MUNICÍPIO DE SENADOR CANEDO, ATENDENDO AS NECESSIDADES DA SECRETARIA MUNICIPAL DE BEM-ESTAR ANIM</t>
  </si>
  <si>
    <t>11924138000101-1-000662/2026</t>
  </si>
  <si>
    <t>AQUISIÇÃO DE MATERIAIS DE LABORATÓRIO PARA ATENDER O LABORATÓRIO DO HOSPITAL MUNICIPAL (L-HM) E LABORATÓRIO DA UNIDADE DE PRONTO ATENDIMENTO (L-UPA) DE MINEIROS-GO</t>
  </si>
  <si>
    <t>04244525000123-1-000162/2026</t>
  </si>
  <si>
    <t>São João d'Aliança</t>
  </si>
  <si>
    <t>REGISTRO DE PREÇOS PARA FUTURA E EVENTUAL AQUISIÇÃO DE MATERIAL ODONTOLÓGICO (INSUMOS) PARA O PERÍODO DE 12 MESES.</t>
  </si>
  <si>
    <t>01313113000100-1-000266/2026</t>
  </si>
  <si>
    <t>MUNICIPIO DE SAO JOAO D'ALIANCA</t>
  </si>
  <si>
    <t>https://bnccompras.com/Process/ProcessView?param1=[gkz]GyC9_b7hvlgQUueYQOd2x/cqLOg2uD9ei9vgH0vXtN7u68io9VJ4t9fFax85NHAnucNVf1sjXRwL2d2bTHMBbM4q3rXdvuaenJI/uugew98=</t>
  </si>
  <si>
    <t>15126437000305-1-003485/2026</t>
  </si>
  <si>
    <t>São Luís</t>
  </si>
  <si>
    <t>MA</t>
  </si>
  <si>
    <t>https://cnetmobile.estaleiro.serpro.gov.br/comprasnet-web/public/compras/acompanhamento-compra?compra=15501005000842026</t>
  </si>
  <si>
    <t>Produtos para Saúde - Hemodinâmica - Cardiologia Intervencionista</t>
  </si>
  <si>
    <t>12122065000199-1-000112/2026</t>
  </si>
  <si>
    <t>MUNICIPIO DE ZE DOCA</t>
  </si>
  <si>
    <t>Zé Doca</t>
  </si>
  <si>
    <t>https://app2-compras.licitazedocama.com.br/pesquisa/9029</t>
  </si>
  <si>
    <t>Eventuais contratação de empresa para a prestação de serviço de confecção de camisetas, uniformes entre outros serviços de malharia do Município de Zé Doca – MA</t>
  </si>
  <si>
    <t>05303565000161-1-000010/2026</t>
  </si>
  <si>
    <t>MUNICIPIO DE NOVA IORQUE</t>
  </si>
  <si>
    <t>Nova Iorque</t>
  </si>
  <si>
    <t>https://app2-compras.licitanovaiorquema.com.br/pesquisa/9043</t>
  </si>
  <si>
    <t>Contratação de empresa especializada para prestação de serviços de realização de exames laboratoriais para atender as necessidades dos pacientes do Município de Nova Iorque/MA</t>
  </si>
  <si>
    <t>06104863000195-1-000118/2026</t>
  </si>
  <si>
    <t>MUNICIPIO DE CODO</t>
  </si>
  <si>
    <t>Codó</t>
  </si>
  <si>
    <t>Registro de preço para futura e eventual contratação de empresa para manutenção preventiva e corretiva de equipamentos hospitalares do Hospital Geral Municipal de Codó-MA.</t>
  </si>
  <si>
    <t>06117071000155-1-000069/2026</t>
  </si>
  <si>
    <t>MUNICIPIO DE BURITI</t>
  </si>
  <si>
    <t>Buriti</t>
  </si>
  <si>
    <t>https://licitanet.com.br/</t>
  </si>
  <si>
    <t>Registro de preços para futura e eventual contratação de empresa especializada na confecção e no fornecimento de uniformes, camisas, roupas de cama e acessórios de malharia, conforme as necessidades das Secretarias Municipais de Buriti/MA</t>
  </si>
  <si>
    <t>15126437000305-1-003974/2026</t>
  </si>
  <si>
    <t>https://cnetmobile.estaleiro.serpro.gov.br/comprasnet-web/public/compras/acompanhamento-compra?compra=15501005001042026</t>
  </si>
  <si>
    <t>Aquisição de Produtos para Saúde - COMPONENTES DE EQUIPAMENTOSCLÍNICOS, a fim de atender às necessidades do Hospital Universitário da Universidade Federal do Maranhão - HUUFMA, Unidade Gestora (UG) 155010, pertencente à Empresa Brasileira de Serviços Hospitalares (Ebserh/HU Brasil), por um período d</t>
  </si>
  <si>
    <t>06191001000147-1-000117/2026</t>
  </si>
  <si>
    <t>MUNICIPIO DE SANTA LUZIA</t>
  </si>
  <si>
    <t>Santa Luzia</t>
  </si>
  <si>
    <t>https://app2-compras.licitasantaluziama.com.br/pesquisa/9027</t>
  </si>
  <si>
    <t>Registro de preço para eventual e futura contração de empresa especializada no fornecimento de equipamentos hospitalares e permanente atendendo as necessidades do Fundo de Saúde, do município de Santa Luzia – MA</t>
  </si>
  <si>
    <t>15126437000305-1-003984/2026</t>
  </si>
  <si>
    <t>https://cnetmobile.estaleiro.serpro.gov.br/comprasnet-web/public/compras/acompanhamento-compra?compra=15501005001092026</t>
  </si>
  <si>
    <t>Produtos para Saúde - INSUMOS RESPIRATÓRIOS, a fim de atender às necessidades do Hospital Universitário da Universidade Federal do Maranhão - HUUFMA, Unidade Gestora (UG) 155010, pertencente à Empresa Brasileira de Serviços Hospitalares (Ebserh/HU Brasil), por um período de 12 (doze) meses, conforme</t>
  </si>
  <si>
    <t>01612337000112-1-000064/2026</t>
  </si>
  <si>
    <t>MUNICIPIO DE LAGOA GRANDE DO MARANHAO</t>
  </si>
  <si>
    <t>Lagoa Grande do Maranhão</t>
  </si>
  <si>
    <t>https://app2-compras.licitalagoagrandema.com.br/pesquisa/9039</t>
  </si>
  <si>
    <t>Registro de Preços para futura e eventual contratação de empresa especializada no fornecimento de materiais e insumos hospitalares, de forma parcelada, destinados ao Hospital Municipal José Vieira de Melo, de interesse do Fundo Municipal de Saúde do município de Lagoa Grande do Maranhão/MA.</t>
  </si>
  <si>
    <t>01612346000103-1-000019/2026</t>
  </si>
  <si>
    <t>MUNICIPIO DE IGARAPE DO MEIO</t>
  </si>
  <si>
    <t>Igarapé do Meio</t>
  </si>
  <si>
    <t>https://www.licitaigarapedomeioma.com.br/</t>
  </si>
  <si>
    <t>Registro de Preços para futura e eventual contratação de empresa especializada para o fornecimento de medicamentos destinados ao atendimento das necessidades da rede municipal de saúde do Município de Igarapé do Meio - MA</t>
  </si>
  <si>
    <t>01612525000140-1-000046/2026</t>
  </si>
  <si>
    <t>MUNICIPIO DE BURITICUPU</t>
  </si>
  <si>
    <t>Buriticupu</t>
  </si>
  <si>
    <t>https://licitanet.com.br/sessao/203839</t>
  </si>
  <si>
    <t>[LICITANET] - Registro de Preços para eventual, futura e parcelada aquisição de medicamentos da farmácia básica, medicamentos injetáveis e insumos médico-hospitalares, para atender as necessidades da rede Municipal de Saúde do Município de Buriticupu/MA</t>
  </si>
  <si>
    <t>18338244000144-1-000101/2026</t>
  </si>
  <si>
    <t>MUNICIPIO DE RIO NOVO</t>
  </si>
  <si>
    <t>Rio Novo</t>
  </si>
  <si>
    <t>MG</t>
  </si>
  <si>
    <t>https://bllcompras.com/Process/ProcessView?param1=[gkz]s8e1vOj60LPNoFetsUXtV3mGlYePk9Lx3ttFvuMRehD4jusWorhXlWbCsGzq7Qq29cF2A1XdBEd92O1L8NiOTW9uqgNWZuuwjKf4ODKoEcI=</t>
  </si>
  <si>
    <t>REGISTRO DE PREÇOS VISANDO A FUTURA E EVENTUAL AQUISIÇÃO DE MATERIAIS MÉDICO - HOSPITALARES E EQUIPAMENTOS DE NUTRIÇÃO PARA O ATENDIMENTO DAS NECESSIDADES DA SECRETARIA MUNICIPAL DE SAUDE DE RIO NOVO-MG, de acordo com as regras e condições dispostas neste Edital.</t>
  </si>
  <si>
    <t>18303271000181-1-000218/2026</t>
  </si>
  <si>
    <t>MUNICIPIO DE SERRO</t>
  </si>
  <si>
    <t>Serro</t>
  </si>
  <si>
    <t>https://comprasbr.com.br/pregao-eletronico-detalhe/?idlicitacao=48682</t>
  </si>
  <si>
    <t>Futura e Eventual contratação de Pessoa Jurídica para fornecimento de Equipamentos de Proteção Individual (EPIs) e Equipamentos de Proteção Coletiva (EPC) e afins em atendimento às necessidades de segurança e saúde do trabalhador, conforme solicitação do Setor de Saúde e Segurança do Trabalho da Pre</t>
  </si>
  <si>
    <t>15126437000305-1-003946/2026</t>
  </si>
  <si>
    <t>Uberaba</t>
  </si>
  <si>
    <t>https://cnetmobile.estaleiro.serpro.gov.br/comprasnet-web/public/compras/acompanhamento-compra?compra=15501105001072026</t>
  </si>
  <si>
    <t>Aquisição de insumos destinados ao uso em Microbiologia, para o atendimento direto aos usuários do Sistema Único de Saúde - SUS, que serão atendidos nos hospitais da rede HUBrasil</t>
  </si>
  <si>
    <t>18449132000160-1-000138/2026</t>
  </si>
  <si>
    <t>MUNICIPIO DE FRUTAL</t>
  </si>
  <si>
    <t>Frutal</t>
  </si>
  <si>
    <t>https://licitanet.com.br/sessao/202812</t>
  </si>
  <si>
    <t>[LICITANET] - Registro de Preços para aquisição de equipamentos, materiais permanentes e de consumo para o Centro de Controle de Zoonoses (CCZ) do Município de Frutal/MG, conforme especificações e quantitativos do Termo de Referência.</t>
  </si>
  <si>
    <t>17749896000290-1-000074/2026</t>
  </si>
  <si>
    <t>MUNICIPIO DE SAO JOAO DEL REI</t>
  </si>
  <si>
    <t>São João del Rei</t>
  </si>
  <si>
    <t>https://fmssaojoaodelrei.licitapp.com.br/</t>
  </si>
  <si>
    <t>Aquisição de medicamentos, insumos, suplementos nutricionais e produtos destinados ao atendimento de demandas judiciais da Secretaria Municipal de Saúde do Município de São João del-Rei</t>
  </si>
  <si>
    <t>17935396000161-1-000168/2026</t>
  </si>
  <si>
    <t>MUNICIPIO DE CAMANDUCAIA</t>
  </si>
  <si>
    <t>Camanducaia</t>
  </si>
  <si>
    <t>https://comprasbr.com.br/pregao-eletronico-detalhe/?idlicitacao=48575</t>
  </si>
  <si>
    <t>Aquisição de material odontológico.</t>
  </si>
  <si>
    <t>18428953000110-1-000047/2026</t>
  </si>
  <si>
    <t>MUNICIPIO DE AGUA COMPRIDA</t>
  </si>
  <si>
    <t>Água Comprida</t>
  </si>
  <si>
    <t>https://licitanet.com.br/sessao/197111</t>
  </si>
  <si>
    <t>[LICITANET] - Registro de preços para futura e eventual aquisição de material odontológico para atender a demanda da Secretaria Municipal de Saúde</t>
  </si>
  <si>
    <t>17217332000125-1-000214/2025</t>
  </si>
  <si>
    <t>INSTITUTO DE PREVIDENCIA DOS SERVIDORES DO ESTADO MG</t>
  </si>
  <si>
    <t>Belo Horizonte</t>
  </si>
  <si>
    <t>https://www1.compras.mg.gov.br/n/procedimentolei14133/consulta/eletronico/visualizar/2025/195/2012015</t>
  </si>
  <si>
    <t>MATERIAIS MÉDICO-HOSPITALARES do tipo RESPIRATÓRIOS compatíveis com BABY FLOW, sob a forma de ENTREGA PARCELADA, pelo período de 12 (DOZE) MESES.</t>
  </si>
  <si>
    <t>17735754000192-1-000043/2026</t>
  </si>
  <si>
    <t>MUNICIPIO DE RECREIO</t>
  </si>
  <si>
    <t>Recreio</t>
  </si>
  <si>
    <t>https://app2.licitardigital.com.br/pesquisa/114491</t>
  </si>
  <si>
    <t>Constitui objeto da presente licitação o Registro de Preços para futura e eventual aquisição de materiais e insumos hospitalares, conforme especificações constantes no Termo de Referência, em atendimento às necessidades da Secretaria Municipal de Saúde de Recreio-MG</t>
  </si>
  <si>
    <t>18428953000110-1-000056/2026</t>
  </si>
  <si>
    <t>https://licitanet.com.br/sessao/202695</t>
  </si>
  <si>
    <t>[LICITANET] - Registro de preços para futura e eventual aquisição de fraldas e roupas íntimas descartáveis para atender necessidades de crianças, adultos e idosos com deficiência e/ou portadoras de doenças crônicas e em situação de vulnerabilidade social de natureza continuada,</t>
  </si>
  <si>
    <t>17935370000113-1-000074/2026</t>
  </si>
  <si>
    <t>MUNICIPIO DE SAO SEBASTIAO DA BELA VISTA</t>
  </si>
  <si>
    <t>São Sebastião da Bela Vista</t>
  </si>
  <si>
    <t>https://www.portaldecompraspublicas.com.br/processos/MG/Prefeitura-Municipal-de-Sao-Sebastiao-da-Bela-Vista-3258/RPE-0016-2026-2026-514330</t>
  </si>
  <si>
    <t>[Portal de Compras Públicas] - REGISTRO DE PREÇOS PARA FUTURA E EVENTUAL AQUISIÇÃO DE FRALDAS DESCARTÁVEIS INFANTIS E FRALDAS DESCARTÁVEIS GERIÁTRICAS PARA ATENDER ÀS DEMANDAS DA PREFEITURA MUNICIPAL DE SÃO SEBASTIÃO DA BELA VISTA/MG.</t>
  </si>
  <si>
    <t>18242784000120-1-000116/2026</t>
  </si>
  <si>
    <t>MUNICIPIO DE MACHADO</t>
  </si>
  <si>
    <t>Machado</t>
  </si>
  <si>
    <t>CONTRATACAO DE EMPRESA ESPECIALIZADA PARA AQUISICAO DE EQUIPAMENTOS E MATERIAIS PERMANENTES PARA AS UNIDADES DE SAUDE, EM ATENDIMENTO AS NECESSIDADES DA SECRETARIA MUNICIPAL DE SAUDE DO MUNICIPIO DE MACHADO/MG</t>
  </si>
  <si>
    <t>18313833000178-1-000085/2026</t>
  </si>
  <si>
    <t>MUNICIPIO DE FLORESTAL</t>
  </si>
  <si>
    <t>Florestal</t>
  </si>
  <si>
    <t>https://cnetmobile.estaleiro.serpro.gov.br/comprasnet-web/public/compras/acompanhamento-compra?compra=98451905000092026</t>
  </si>
  <si>
    <t>Aquisição de insumos odontológicos para utilização no Setor da Odontologia da prefeitura municipal de Florestal, nos termos da tabela abaixo, conforme condições e exigências estabelecidas neste instrumento</t>
  </si>
  <si>
    <t>18836965000184-1-000109/2026</t>
  </si>
  <si>
    <t>MUNICIPIO DE RAUL SOARES</t>
  </si>
  <si>
    <t>Raul Soares</t>
  </si>
  <si>
    <t>REGISTRO DE PREÇOS PARA FUTURA E EVENTUAL AQUISIÇÃO DE EQUIPAMENTOS DE PROTEÇÃO INDIVIDUAL (EPI) E MATERIAS CORRELATOS DE SEGURANÇA DO TRABALHO, DESTINADOS AOS SERVIDORES DAS DIVERSAS SECRETARIAS E UNIDADES ADMINISTRATIVAS DO MUNICIPIO.</t>
  </si>
  <si>
    <t>19876424000142-1-000125/2026</t>
  </si>
  <si>
    <t>MUNICIPIO DE IPATINGA</t>
  </si>
  <si>
    <t>Ipatinga</t>
  </si>
  <si>
    <t>https://app2.ammlicita.org.br/pesquisa/114518</t>
  </si>
  <si>
    <t>Aquisição de INSTRUMENTAIS CIRÚRGICOS para procedimentos ortopédicos, incluindo perfurador canulado e serra oscilante, bem como instrumentais específicos para cirurgias vasculares, fistulectomias, hemorroidectomias, mamoplastias, urológicas e demais intervenções realizadas no Centro Cirúrgico, com o</t>
  </si>
  <si>
    <t>15126437000305-1-004101/2026</t>
  </si>
  <si>
    <t>https://cnetmobile.estaleiro.serpro.gov.br/comprasnet-web/public/compras/acompanhamento-compra?compra=15501106001182026</t>
  </si>
  <si>
    <t>Aquisição de Produtos para Saúde - bolsas de colostomia, curativos e adjuvantes, mantas térmicas para o Hospital de Clínicas da Universidade Federal do Triângulo Mineiro da Rede Ebserh.</t>
  </si>
  <si>
    <t>18401018000160-1-000114/2026</t>
  </si>
  <si>
    <t>MUNICIPIO DE SAO DOMINGOS DO PRATA</t>
  </si>
  <si>
    <t>São Domingos do Prata</t>
  </si>
  <si>
    <t>https://app2.licitardigital.com.br/pesquisa/114927</t>
  </si>
  <si>
    <t>Registro de Preços para eventual fornecimento material e instrumental odontológico.</t>
  </si>
  <si>
    <t>17217332000125-1-000102/2026</t>
  </si>
  <si>
    <t>https://www1.compras.mg.gov.br/n/procedimentolei14133/consulta/eletronico/visualizar/2026/183/2012015</t>
  </si>
  <si>
    <t>Aquisição de Moldeira para a Clínica de Prótese da Gerência Odontológica, sob a forma de entrega integral</t>
  </si>
  <si>
    <t>17954546000184-1-000110/2026</t>
  </si>
  <si>
    <t>MUNICIPIO DE SAO VICENTE DE MINAS</t>
  </si>
  <si>
    <t>São Vicente de Minas</t>
  </si>
  <si>
    <t>Registro de preços para futura e eventual aquisição de lancetas e seringas para aplicação de insulina, destinadas ao atendimento das necessidades da Secretaria Municipal de Saúde e das unidades de saúde do Município, conforme condições e especificações contidas neste termo de referência.</t>
  </si>
  <si>
    <t>18186718000180-1-000053/2026</t>
  </si>
  <si>
    <t>MUNICIPIO DE ITANHANDU</t>
  </si>
  <si>
    <t>Itanhandu</t>
  </si>
  <si>
    <t>https://bnccompras.com/Process/ProcessView?param1=[gkz]yHaMm4j/Btk5O3PO_VpZ5P/wPdXtBwxPqVV_puu9glBq2uu_jkiRj7RfEBPBJ2vlMU1cLfiyh06OfMOpuIfdvO9zgH3RLRPUWmjpsidFuKc=</t>
  </si>
  <si>
    <t>CONTRATAÇÃO DE EMPRESA PARA AQUISIÇÃO DE EQUIPAMENTOS DE PROTEÇÃO INDIVIDUAL (EPI’S) PARA O MUNICIPIO DE ITANHANDU, ATRAVÉS DO SISTEMA DE REGISTRO DE PREÇOS.</t>
  </si>
  <si>
    <t>18241364000129-1-000203/2026</t>
  </si>
  <si>
    <t>MUNICIPIO DE SAO TOMAS DE AQUINO</t>
  </si>
  <si>
    <t>São Tomás de Aquino</t>
  </si>
  <si>
    <t>Registro de preços para futuras Aquisições de materiais e medicamentos odontológicos para os PSF’S do Município de São Tomás de Aquino.</t>
  </si>
  <si>
    <t>15126437000305-1-003976/2026</t>
  </si>
  <si>
    <t>https://cnetmobile.estaleiro.serpro.gov.br/comprasnet-web/public/compras/acompanhamento-compra?compra=15501105001082026</t>
  </si>
  <si>
    <t>Aquisição de Produtos para Saúde - Materiais médico-hospitalares de uso geral (Cânulas e Drenos), a fim de atender às necessidades do Hospital de Clínicas da Universidade Federal do Triângulo Mineiro, Unidade Gestora (UG) Universidade Federal do Triângulo Mineiro, pertencente à Rede da Empresa Brasi</t>
  </si>
  <si>
    <t>01615423000189-1-000107/2026</t>
  </si>
  <si>
    <t>MUNICIPIO DE LUISBURGO</t>
  </si>
  <si>
    <t>Luisburgo</t>
  </si>
  <si>
    <t>https://app2.ammlicita.org.br/pesquisa/114622</t>
  </si>
  <si>
    <t>Constitui objeto da presente licitação o Registro de preços para futura e eventual Contratação de empresa especializada para o fornecimento de materiais ambulatoriais, hospitalares e insumos, visando garantir o atendimento adequado nas Unidades de Saúde e ESFs do Município, conforme especificações c</t>
  </si>
  <si>
    <t>09281224000193-1-000025/2026</t>
  </si>
  <si>
    <t>FUNDACAO HOSPITALAR MUNICIPAL JOAO HENRIQUE</t>
  </si>
  <si>
    <t>Conceição das Alagoas</t>
  </si>
  <si>
    <t>https://licitanet.com.br/sessao/201544</t>
  </si>
  <si>
    <t>[LICITANET] - FUTURA E EVENTUAL AQUISIÇÃO DE FORMA PARCELADA, DE MATERIAIS MÉDICO-HOSPITALARES, DESTINADOS A SUPRIR AS DEMANDAS ASSISTENCIAIS, OPERACIONAIS E DE APOIO ÀS ATIVIDADES DESENVOLVIDAS PELA FUNDAÇÃO HOSPITALAR MUNICIPAL JOÃO HENRIQUE – F.H.M.J.H E PELA UNIDADE DE PRONTO ATENDIMENTO ALFREDO</t>
  </si>
  <si>
    <t>19843929000100-1-000723/2026</t>
  </si>
  <si>
    <t>FUNDACAO HOSPITALAR DO ESTADO DE MINAS GERAIS</t>
  </si>
  <si>
    <t>https://www1.compras.mg.gov.br/n/procedimentolei14133/consulta/eletronico/visualizar/2026/90/501044</t>
  </si>
  <si>
    <t>a aquisição de MATERIAL MÉDICO-HOSPITALAR</t>
  </si>
  <si>
    <t>19843929000100-1-000645/2026</t>
  </si>
  <si>
    <t>https://www1.compras.mg.gov.br/n/procedimentolei14133/consulta/eletronico/visualizar/2026/582/510037</t>
  </si>
  <si>
    <t>MATERIAIS MEDICOS HOSPITALARES</t>
  </si>
  <si>
    <t>65172579000115-1-000051/2026</t>
  </si>
  <si>
    <t>UNIVERSIDADE DO ESTADO DE MINAS GERAIS</t>
  </si>
  <si>
    <t>Passos</t>
  </si>
  <si>
    <t>https://www1.compras.mg.gov.br/n/procedimentolei14133/consulta/eletronico/visualizar/2026/3/2351260</t>
  </si>
  <si>
    <t>contratação da prestação de serviços de empresa especializada em locação de equipamentos de laboratório de análises clinica, incluindo os reagentes específicos</t>
  </si>
  <si>
    <t>18175794000190-1-000143/2026</t>
  </si>
  <si>
    <t>MUNICIPIO DE BANDEIRA DO SUL</t>
  </si>
  <si>
    <t>Bandeira do Sul</t>
  </si>
  <si>
    <t>REGISTRO DE PREÇOS PARA FUTURAS E PARCELADAS AQUISIÇÕES DE MATERIAIS E EQUIPAMENTOS MÉDICO HOSPITALARES E MEDICAMENTOS TÓPICOS E INJETÁVEIS PARA ATENDER AS DIVERSAS ATIVIDADES DO DEPARTAMENTO MUNICIPAL DE SAÚDE DE BANDEIRA DO SUL/MG.</t>
  </si>
  <si>
    <t>18025940000109-1-000283/2026</t>
  </si>
  <si>
    <t>MUNICIPIO DE ITAJUBA</t>
  </si>
  <si>
    <t>Itajubá</t>
  </si>
  <si>
    <t>https://bllcompras.com/Process/ProcessView?param1=[gkz]nVkHziVC0QLgs0FoqxIWeuCEEj4BqFLdMFc1xsfJBy5fxxfCUM0xm_3hbfxD5OZ4XH4k_YuWD8nYJYxlJIwB0fTnYf7g4du6uOnraA5sarw=</t>
  </si>
  <si>
    <t xml:space="preserve">REGISTRO DE PREÇOS PARA AQUISIÇÃO DE EQUIPAMENTOS DE PROTEÇÃO INDIVIDUAL (EPI'S) E EQUIPAMENTOS DE DEFESA DA GUARDA MUNICIPAL, PARA ATENDER AS SECRETARIAS MUNICIPAIS DE: ADMINISTRAÇÃO, AGRONEGÓCIO, EDUCAÇÃO, DEFESA SOCIAL, MEIO AMBIENTE E PROTEÇÃO ANIMAL, OBRAS E SAÚDE, conforme ETP, TR E RELATÓRIO </t>
  </si>
  <si>
    <t>08753385000170-1-000020/2026</t>
  </si>
  <si>
    <t>CONSORCIO PUBLICO PARA DESENVOLVIMENTO DO ALTO PARAOPEBA</t>
  </si>
  <si>
    <t>Conselheiro Lafaiete</t>
  </si>
  <si>
    <t>Registro de Preços para futura e eventual aquisição parcelada de bens de consumo destinados ao funcionamento do Programa Curral Regional, compreendendo gêneros e produtos para alimentação animal, medicamentos, vacinas, materiais médico-veterinários, materiais para manejo e cuidados dos animais e pro</t>
  </si>
  <si>
    <t>18179226000167-1-000043/2026</t>
  </si>
  <si>
    <t>MUNICIPIO DE IPUIUNA</t>
  </si>
  <si>
    <t>Ipuiúna</t>
  </si>
  <si>
    <t>https://app2.licitardigital.com.br/pesquisa/114811</t>
  </si>
  <si>
    <t>AQUISIÇÃO DE MATERIAIS ODONTOLÓGICOS PARA UNIDADE BÁSICA DE SAÚDE DE IPUIUNAMG.</t>
  </si>
  <si>
    <t>18307447000173-1-000047/2026</t>
  </si>
  <si>
    <t>MUNICIPIO DE PAULISTAS</t>
  </si>
  <si>
    <t>Paulistas</t>
  </si>
  <si>
    <t>https://app2.licitardigital.com.br/pesquisa/114679</t>
  </si>
  <si>
    <t>REGISTRO DE PREÇOS PARA FUTURA E EVENTUAL AQUISIÇÃO DE MATERIAIS DE CONSUMO E INSUMOS ODONTOLÓGICOS, DESTINADOS À MANUTENÇÃO DOS SERVIÇOS DE SAÚDE BUCAL DA REDE MUNICIPAL DE SAÚDE DE PAULISTAS/MG.</t>
  </si>
  <si>
    <t>01613376000134-1-000005/2026</t>
  </si>
  <si>
    <t>MUNICIPIO DE JENIPAPO DE MINAS</t>
  </si>
  <si>
    <t>Jenipapo de Minas</t>
  </si>
  <si>
    <t>https://app2.licitardigital.com.br/pesquisa/115122</t>
  </si>
  <si>
    <t>REGISTRO DE PREÇOS PARA FUTURA E EVENTUAL AQUISIÇÃO DE MATERIAIS E INSUMOS LABORATORIAIS, DESTINADOS AO ATENDIMENTO DAS NECESSIDADES DA SECRETARIA MUNICIPAL DE SAÚDE DO MUNICÍPIO DE JENIPAPO DE MINASMG.</t>
  </si>
  <si>
    <t>18316174000123-1-000042/2026</t>
  </si>
  <si>
    <t>MUNICIPIO DE AMPARO DO SERRA</t>
  </si>
  <si>
    <t>Amparo do Serra</t>
  </si>
  <si>
    <t>https://app2.licitardigital.com.br/pesquisa/114947</t>
  </si>
  <si>
    <t>Aquisição de aquisição de materiais ambulatoriais e fisioterápicos para atendimento na rede municipal de saúde de Amparo do Serra – MG</t>
  </si>
  <si>
    <t>18080283000194-1-000213/2026</t>
  </si>
  <si>
    <t>MUNICIPIO DE DOM CAVATI</t>
  </si>
  <si>
    <t>Dom Cavati</t>
  </si>
  <si>
    <t>REGISTRO DE PREÇOS PARA FUTURA E EVENTUAL AQUISIÇÃO, DE FORMA PARCELADA, DE MATERIAIS ODONTOLÓGICOS E AMBULATORIAIS, DESTINADOS AO ATENDIMENTO DAS NECESSIDADES DA SECRETARIA MUNICIPAL DE SAÚDE DO MUNICÍPIO DE DOM CAVATI/MG, PARA UTILIZAÇÃO NAS UNIDADES E SERVIÇOS DE SAÚDE DA REDE MUNICIPAL, CONFORME</t>
  </si>
  <si>
    <t>18449140000107-1-000127/2026</t>
  </si>
  <si>
    <t>MUNICIPIO DE FRONTEIRA</t>
  </si>
  <si>
    <t>Fronteira</t>
  </si>
  <si>
    <t>https://licitanet.com.br/sessao/203104</t>
  </si>
  <si>
    <t>[LICITANET] - REGISTRO DE PREÇOS PARA AQUISIÇÃO DE FRALDAS GERIÁTRICAS DESCARTÁVEIS, EM TAMANHOS DIVERSOS, DESTINADAS À DISTRIBUIÇÃO GRATUITA AOS PACIENTES DO MUNICÍPIO DE FRONTEIRA/MG, MEDIANTE PRESCRIÇÃO OU ATESTADO DE PROFISSIONAL DE SAÚDE CAPACITADO.</t>
  </si>
  <si>
    <t>18409219000104-1-000053/2026</t>
  </si>
  <si>
    <t>MUNICIPIO DE SANTA MARIA DO SUACUI</t>
  </si>
  <si>
    <t>Santa Maria do Suaçuí</t>
  </si>
  <si>
    <t>https://app2.licitardigital.com.br/pesquisa/114675</t>
  </si>
  <si>
    <t>Registro de preço para futura e eventual aquisição de equipamentos para as clínicas odontológicas do município</t>
  </si>
  <si>
    <t>04842827000101-1-000066/2026</t>
  </si>
  <si>
    <t>HOSPITAL MUNICIPAL DR GIL ALVES</t>
  </si>
  <si>
    <t>Bocaiúva</t>
  </si>
  <si>
    <t>https://www.portaldecompraspublicas.com.br/processos/MG/Hospital-Municipal-Doutor-Gil-Alves-1334/RPE-0061-2026-2026-511731</t>
  </si>
  <si>
    <t>[Portal de Compras Públicas] - REGISTRO DE PREÇOS PARA FUTURA E EVENTUAL AQUISIÇÃO DE MATERIAIS HOSPITALARES DESTINADOS À CENTRAL DE MATERIAL E ESTERILIZAÇÃO (CME) DO HOSPITAL MUNICIPAL DR. GIL ALVES.</t>
  </si>
  <si>
    <t>04842827000101-1-000085/2026</t>
  </si>
  <si>
    <t>https://www.portaldecompraspublicas.com.br/processos/MG/Hospital-Municipal-Doutor-Gil-Alves-1334/RPE-0062-2026-2026-514286</t>
  </si>
  <si>
    <t>[Portal de Compras Públicas] - REGISTRO DE PREÇOS PARA FUTURA AQUISIÇÃO DE MATERIAIS DESTINADOS À CENTRAL DE MATERIAL E ESTERILIZAÇÃO (CME) DO HOSPITAL MUNICIPAL DR. GIL ALVES, NO MUNICÍPIO DE BOCAIÚVA/MG, NECESSÁRIOS PARA O ACONDICIONAMENTO E ESTERILIZAÇÃO DOS ARTIGOS PARA SAÚDE UTILIZADOS PELOS DI</t>
  </si>
  <si>
    <t>17935388000115-1-000112/2026</t>
  </si>
  <si>
    <t>MUNICIPIO DE CAREACU</t>
  </si>
  <si>
    <t>Careaçu</t>
  </si>
  <si>
    <t>FUTURA E EVENTUAL AQUISIÇÃO DE MATERIAIS MÉDICO-HOSPITALARES E CORRELATOS, DESTINADOS AO ATENDIMENTO DAS NECESSIDADES DA SECRETARIA MUNICIPAL DE SAÚDE DO MUNICÍPIO DE CAREAÇU/MG.</t>
  </si>
  <si>
    <t>18140772000194-1-000102/2026</t>
  </si>
  <si>
    <t>MUNICIPIO DE PERDIZES</t>
  </si>
  <si>
    <t>Perdizes</t>
  </si>
  <si>
    <t>https://licitanet.com.br/sessao/199827</t>
  </si>
  <si>
    <t>[LICITANET] - aquisição de materiais de limpeza, higiene pessoal, materiais de copa, cozinha e descartáveis, para uso e manutenção das secretarias e setores do município de Perdizes-MG, Conforme especificações e características constantes no Termo de Referência(Anexo I) deste Edital.</t>
  </si>
  <si>
    <t>01612516000150-1-000316/2026</t>
  </si>
  <si>
    <t>MUNICIPIO DE SAO JOAQUIM DE BICAS</t>
  </si>
  <si>
    <t>São Joaquim de Bicas</t>
  </si>
  <si>
    <t>Registro de preços para aquisição de materiais odontológicos, destinados ao atendimento das demandas das Equipes de Saúde da Família e do Centro de Especialidades Odontológicas (CEO).</t>
  </si>
  <si>
    <t>18602029000109-1-000064/2026</t>
  </si>
  <si>
    <t>MUNICIPIO DE CARMO DO PARANAIBA</t>
  </si>
  <si>
    <t>Carmo do Paranaíba</t>
  </si>
  <si>
    <t>https://licitanet.com.br/sessao/203036</t>
  </si>
  <si>
    <t>[LICITANET] - Registro de preços para a eventual aquisição de itens de enxoval para atender as secretarias municipais</t>
  </si>
  <si>
    <t>01615423000189-1-000104/2026</t>
  </si>
  <si>
    <t>https://app2.ammlicita.org.br/pesquisa/114059</t>
  </si>
  <si>
    <t>1.1. Constitui objeto da presente licitação o Registro de Preços para futura e eventual aquisição de medicamentos em geral, conforme especificações constantes no Termo de Referência, em atendimento as necessidades da Secretaria Municipal de Saúde de Luisburgo-MG.</t>
  </si>
  <si>
    <t>01612516000150-1-000322/2026</t>
  </si>
  <si>
    <t>15126437000305-1-003998/2026</t>
  </si>
  <si>
    <t>https://cnetmobile.estaleiro.serpro.gov.br/comprasnet-web/public/compras/acompanhamento-compra?compra=15502105001852026</t>
  </si>
  <si>
    <t>Registro de Preços para a aquisição de Produtos para Saúde, a fim de atender às necessidades do Hospital das Clínicas da Universidade Federal de Minas Gerais,</t>
  </si>
  <si>
    <t>01613376000134-1-000006/2026</t>
  </si>
  <si>
    <t>https://app2.licitardigital.com.br/pesquisa/115142</t>
  </si>
  <si>
    <t>REGISTRO DE PREÇOS PARA FUTURA E EVENTUAL AQUISIÇÃO DE MATERIAIS MÉDICO-HOSPITALARES, PRODUTOS DE HIGIENE E LIMPEZA E DEMAIS INSUMOS CORRELATOS DESTINADOS AO ATENDIMENTO DAS NECESSIDADES DA SECRETARIA MUNICIPAL DE SAÚDE DO MUNICÍPIO DE JENIPAPO DE MINASMG.</t>
  </si>
  <si>
    <t>19875020000134-1-000089/2026</t>
  </si>
  <si>
    <t>MUNICIPIO DE TIMOTEO</t>
  </si>
  <si>
    <t>Timóteo</t>
  </si>
  <si>
    <t>https://app2.ammlicita.org.br/pesquisa/114555</t>
  </si>
  <si>
    <t>Contratação de Pessoa Jurídica para prestação de serviços especializados de confecção de próteses odontológicas, destinadas aos usuários do Sistema Único de Saúde – SUS atendidos pelo Município de Timóteo/MG.</t>
  </si>
  <si>
    <t>00394452000103-1-021861/2026</t>
  </si>
  <si>
    <t>Sete Lagoas</t>
  </si>
  <si>
    <t>https://cnetmobile.estaleiro.serpro.gov.br/comprasnet-web/public/compras/acompanhamento-compra?compra=16012706000982026</t>
  </si>
  <si>
    <t>Aquisição de medicamentos para a Formação Sanitária do Quartel</t>
  </si>
  <si>
    <t>18017376000174-1-000127/2026</t>
  </si>
  <si>
    <t>MUNICIPIO DE MIRABELA</t>
  </si>
  <si>
    <t>Mirabela</t>
  </si>
  <si>
    <t>https://www.portaldecompraspublicas.com.br/processos/MG/Prefeitura-Municipal-de-Mirabela-1883/RPE-034-2026-2026-514863</t>
  </si>
  <si>
    <t>[Portal de Compras Públicas] - REGISTRO DE PREÇOS PARA FUTURA E EVENTUAL AQUISIÇÃO DE MEDICAMENTOS E MATERIAIS, AMBOS PARA USO VETERINÁRIO, DENTRE OUTROS, PARA ATENDIMENTO DAS DEMANDAS DO CPA MUNICIPAL.</t>
  </si>
  <si>
    <t>18296681000142-1-000212/2026</t>
  </si>
  <si>
    <t>MUNICIPIO DE POMPEU</t>
  </si>
  <si>
    <t>Pompéu</t>
  </si>
  <si>
    <t>https://app2.ammlicita.org.br/pesquisa/115269</t>
  </si>
  <si>
    <t>Registro de Preços para futura e eventual aquisição de materiais médico hospitalares para reposição de insumos necessários à continuidade dos procedimentos ambulatoriais e de urgência nas unidades de saúde do Município de Pompéu/MG.</t>
  </si>
  <si>
    <t>01615420000145-1-000056/2026</t>
  </si>
  <si>
    <t>MUNICIPIO DE MARTINS SOARES</t>
  </si>
  <si>
    <t>Martins Soares</t>
  </si>
  <si>
    <t>Registro de preços para futura e eventual aquisição de material médico hospitalar destinados às unidades e ações da Secretaria Municipal de Saúde, conforme exigências, condições, especificações e quantitativos discriminados no Termo de Referência.</t>
  </si>
  <si>
    <t>16784720000125-1-000219/2026</t>
  </si>
  <si>
    <t>MUNICIPIO DE FORMIGA</t>
  </si>
  <si>
    <t>Formiga</t>
  </si>
  <si>
    <t>https://licitanet.com.br/sessao/203158</t>
  </si>
  <si>
    <t>[LICITANET] - Aquisição de materiais ambulatoriais, odontológicos e médico-hospitalares que serão adquiridos para atender as necessidades das secretarias: Secretaria Municipal de Saúde; Secretaria Municipal de Educação; Secretaria Municipal de Meio Ambiente; e Secretaria Municipal de Desenvolvimento</t>
  </si>
  <si>
    <t>18338178000102-1-000288/2026</t>
  </si>
  <si>
    <t>MUNICIPIO DE JUIZ DE FORA</t>
  </si>
  <si>
    <t>Juiz de Fora</t>
  </si>
  <si>
    <t>https://www.portaldecompraspublicas.com.br/processos/MG/Prefeitura-Municipal-de-Juiz-de-Fora-13/RPE-103-2026-2026-515968</t>
  </si>
  <si>
    <t>[Portal de Compras Públicas] - SRP- Aquisição de insumos padronizados da Categoria Materiais e Embalagens para Esterilização- SS.</t>
  </si>
  <si>
    <t>17914128000163-1-000119/2026</t>
  </si>
  <si>
    <t>MUNICIPIO DE JACUTINGA</t>
  </si>
  <si>
    <t>Jacutinga</t>
  </si>
  <si>
    <t>https://www.jacutinga.mg.gov.br/?pag=T1RjPU9EZz1PVFU9T0dVPU9HST1PVEE9T0dFPU9HRT0=&amp;idmenu=286</t>
  </si>
  <si>
    <t>CAMA, MESA, BANHO E ITENS PARA BEBÊS</t>
  </si>
  <si>
    <t>18715391000196-1-000308/2026</t>
  </si>
  <si>
    <t>MUNICIPIO DE BETIM</t>
  </si>
  <si>
    <t>Betim</t>
  </si>
  <si>
    <t>https://www.portaldecompraspublicas.com.br/processos/MG/Prefeitura-Municipal-de-Betim-1198/RPE-47-2026-2026-514589</t>
  </si>
  <si>
    <t>[Portal de Compras Públicas] - REGISTRO DE PREÇOS PARA EVENTUAL AQUISIÇÃO DE MATERIAIS MÉDICO-HOSPITALARES UROLÓGICOS EM REGIME DE CONSIGNAÇÃO E COMODATO DE EQUIPAMENTOS, INSTRUMENTAIS E ACESSÓRIOS, A FIM DE ATENDER ÀS NECESSIDADES DO FUNDO MUNICIPAL DE SAÚDE/SECRETARIA MUNICIPAL DE SAÚDE DE BETIM.</t>
  </si>
  <si>
    <t>22541874000199-1-000077/2026</t>
  </si>
  <si>
    <t>MUNICIPIO DE MONSENHOR PAULO</t>
  </si>
  <si>
    <t>Monsenhor Paulo</t>
  </si>
  <si>
    <t>https://monsenhorpaulo.mg.gov.br/site/licitacao-2025/</t>
  </si>
  <si>
    <t>Aquisição de materiais e insumos destinados ao uso nas Unidades de Saúde, Academia da Saúde e equipes da Estratégia Saúde da Família do município, no âmbito da Atenção Primária à Saúde, conforme condições e especificações contidas no Termo de Referência.</t>
  </si>
  <si>
    <t>19843929000100-1-000728/2026</t>
  </si>
  <si>
    <t>https://www1.compras.mg.gov.br/n/procedimentolei14133/consulta/eletronico/visualizar/planejamento/2026/236/500003</t>
  </si>
  <si>
    <t>INSUMOS P/CME,ATADURAS,CAMPOS E COMPRESSAS I-38410/2026-64</t>
  </si>
  <si>
    <t>01260691000125-1-000032/2026</t>
  </si>
  <si>
    <t>CONSORCIO INTERMUNICIPAL DE SAUDE DO ALTO DO RIO PARA</t>
  </si>
  <si>
    <t>Pará de Minas</t>
  </si>
  <si>
    <t>https://app2.ammlicita.org.br/pesquisa/115970</t>
  </si>
  <si>
    <t>Aquisição parcelada e contínua de materiais e insumos médico-hospitalares de consumo, destinados ao suprimento do estoque e ao suporte dos atendimentos médicos, ambulatoriais e procedimentos de saúde realizados no âmbito do Consórcio Intermunicipal de Saúde e Serviços do Alto do Rio Pará – CISPARÁ</t>
  </si>
  <si>
    <t>07356999000155-1-000057/2026</t>
  </si>
  <si>
    <t>CONSORCIO INTERMUNICIPAL DE ESPECIALIDADES</t>
  </si>
  <si>
    <t>Bicas</t>
  </si>
  <si>
    <t>https://www.portaldecompraspublicas.com.br/processos/MG/Consorcio-Intermunicipal-de-Especialidades-CIESP-1829/RPE-014-2026-2026-515320</t>
  </si>
  <si>
    <t>[Portal de Compras Públicas] - Registro de preços para futura e eventual aquisição de materiais de consumo odontológico, destinados ao atendimento das demandas dos municípios consorciados do Consórcio Intermunicipal de Especialidades – CIESP</t>
  </si>
  <si>
    <t>19843929000100-1-000646/2026</t>
  </si>
  <si>
    <t>https://www1.compras.mg.gov.br/n/procedimentolei14133/consulta/eletronico/visualizar/2026/557/510037</t>
  </si>
  <si>
    <t>Processo de aquisição de materiais médicos de uso recorrente no Complexo Hospitalar de Especialidades (CHE).</t>
  </si>
  <si>
    <t>18554147000199-1-000149/2026</t>
  </si>
  <si>
    <t>MUNICIPIO DE PIRAUBA</t>
  </si>
  <si>
    <t>Piraúba</t>
  </si>
  <si>
    <t>https://www.portaldecompraspublicas.com.br/processos/MG/Prefeitura-Municipal-de-Pirauba-4946/RPE-132-2026-2026-515213</t>
  </si>
  <si>
    <t>[Portal de Compras Públicas] - REGISTRO DE PREÇOS para Aquisição de materiais ambulatoriais.</t>
  </si>
  <si>
    <t>18114264000131-1-000248/2026</t>
  </si>
  <si>
    <t>MUNICIPIO DE ESPERA FELIZ</t>
  </si>
  <si>
    <t>Espera Feliz</t>
  </si>
  <si>
    <t>https://licitanet.com.br/sessao/203253</t>
  </si>
  <si>
    <t>[LICITANET] - REGISTRO DE PREÇO PARA FUTURAS AQUISIÇÕES DE MEDICAMENTOS E SUPLEMENTOS PROVENIENTES DE DECISÕES JUDICIAIS</t>
  </si>
  <si>
    <t>18114264000131-1-000252/2026</t>
  </si>
  <si>
    <t>REGISTRO DE PREÇO PARA FUTURAS AQUISIÇÕES DE MEDICAMENTOS E SUPLEMENTOS PROVENIENTES DE DECISÕES JUDICIAIS</t>
  </si>
  <si>
    <t>19875046000182-1-000132/2026</t>
  </si>
  <si>
    <t>MUNICIPIO DE CORONEL FABRICIANO</t>
  </si>
  <si>
    <t>Coronel Fabriciano</t>
  </si>
  <si>
    <t>https://app2.ammlicita.org.br/pesquisa/114759</t>
  </si>
  <si>
    <t>Registro de Preços para a eventual e futura contratação de empresa para o fornecimento de coberturas e curativos especiais de alta tecnologia, destinados ao manejo clínico e ao tratamento avançado de pacientes portadores de feridas agudas e crônicas, atendidos pela Equipe Multidisciplinar de Atenção</t>
  </si>
  <si>
    <t>15126437000305-1-004171/2026</t>
  </si>
  <si>
    <t>https://cnetmobile.estaleiro.serpro.gov.br/comprasnet-web/public/compras/acompanhamento-compra?compra=15590306000712026</t>
  </si>
  <si>
    <t>O objeto do presente Aviso de Dispensa Eletrônica é a escolha da proposta mais vantajosa, por dispensa de licitação, para a aquisição de produtos para saúde - insumos para odontologia, conforme condições, quantidades e exigências estabelecidas neste Edital e seus anexos.</t>
  </si>
  <si>
    <t>10723648000140-1-000133/2026</t>
  </si>
  <si>
    <t>INSTITUTO FEDERAL DE EDUCACAO, CIENCIA E TECNOLOGIA DO SUDESTE DE MINAS GERAIS</t>
  </si>
  <si>
    <t>https://cnetmobile.estaleiro.serpro.gov.br/comprasnet-web/public/compras/acompanhamento-compra?compra=15812306000802026</t>
  </si>
  <si>
    <t>Aquisição de materiais e medicamentos odontológicos</t>
  </si>
  <si>
    <t>00394452000103-1-021937/2026</t>
  </si>
  <si>
    <t>https://cnetmobile.estaleiro.serpro.gov.br/comprasnet-web/public/compras/acompanhamento-compra?compra=16011806003462026</t>
  </si>
  <si>
    <t>Aquisição de material de consumo odontológico</t>
  </si>
  <si>
    <t>18306688000106-1-000124/2026</t>
  </si>
  <si>
    <t>MUNICIPIO DE IGUATAMA</t>
  </si>
  <si>
    <t>Iguatama</t>
  </si>
  <si>
    <t>https://licitanet.com.br/sessao/203717</t>
  </si>
  <si>
    <t>[LICITANET] - REGISTRO DE PREÇOS PARA CONTRATAÇÃO DE EMPRESA ESPECIALIZADA PARA FORNECIMENTO DE EQUIPAMENTOS DE PROTEÇÃO INDIVIDUAL (EPI) EM ATENDIMENTO AS NECESSIDADES DE DIVERSAS SECRETARIAS DO MUNICIPIO DE IGUATAMA/MG.</t>
  </si>
  <si>
    <t>19770288000101-1-000068/2026</t>
  </si>
  <si>
    <t>MUNICIPIO DE ALVARENGA</t>
  </si>
  <si>
    <t>Alvarenga</t>
  </si>
  <si>
    <t>https://app2.licitardigital.com.br/pesquisa/114510</t>
  </si>
  <si>
    <t>AQUISIÇÃO DE EQUIPAMENTOS E MATERIAIS PERMANENTES PARA A SECRETARIA MUNICIPAL DE SAÚDE DO MUNICÍPIO DE ALVARENGA, COM RECURSOS TRANSFERIDOS DO ESTADO DE MINAS GERAIS ATRAVÉS DO FUNDO MUNICIPAL DE SAÚDE, POR MEIO DA RESOLUÇÃO SES MG 11.036, DE 17 DE ABRIL DE 2026.</t>
  </si>
  <si>
    <t>17935388000115-1-000108/2026</t>
  </si>
  <si>
    <t>AQUISIÇÃO DE EQUIPAMENTOS E MATERIAIS MÉDICO-HOSPITALARES, LABORATORIAIS, ODONTOLÓGICOS, FISIOTERAPÊUTICOS, MOBILIÁRIOS, EQUIPAMENTOS DE INFORMÁTICA, ELETROELETRÔNICOS E DEMAIS EQUIPAMENTOS, DESTINADOS AO ATENDIMENTO DAS NECESSIDADES DA SECRETARIA MUNICIPAL DE SAÚDE DE CAREAÇU/MG, COM RECURSOS PROVE</t>
  </si>
  <si>
    <t>18715383000140-1-001244/2025</t>
  </si>
  <si>
    <t>MUNICIPIO DE BELO HORIZONTE</t>
  </si>
  <si>
    <t>AQUISICAO DE ENXOVAL DESCARTAVEL E LONA DE TRANSFERENCIA</t>
  </si>
  <si>
    <t>10546524000136-1-000030/2026</t>
  </si>
  <si>
    <t>Antônio Carlos</t>
  </si>
  <si>
    <t>REGISTRO DE PREÇOS para futuro e eventual fornecimento de materiais para o setor de odontologia, pelo período de 12 (doze) meses, em atendimento a administração municipal de Antônio Carlos, Minas Gerais.</t>
  </si>
  <si>
    <t>18240119000105-1-000314/2026</t>
  </si>
  <si>
    <t>MUNICIPIO DE VARGINHA</t>
  </si>
  <si>
    <t>Varginha</t>
  </si>
  <si>
    <t>https://www.portaldecompraspublicas.com.br/processos/MG/Prefeitura-do-Municipio-de-Varginha-1970/PE-PE134-2026-2026-515998</t>
  </si>
  <si>
    <t>[Portal de Compras Públicas] - Aquisição de Materiais Ambulatoriais para manutenção dos Serviços de Saúde do Município de Varginha</t>
  </si>
  <si>
    <t>00634997000131-1-000085/2026</t>
  </si>
  <si>
    <t>https://app2.licitardigital.com.br/pesquisa/105272</t>
  </si>
  <si>
    <t>EVENTUAL AQUISIÇÃO DE MATERIAIS PARA OXIGENOTERAPIA, CONFORME CONDIÇÕES E EXIGÊNCIAS ESTABELECIDAS NO DOCUMENTO DE FORMALIZAÇÃO DE DEMANDA (DFD) E ESTUDO TÉCNICO PRELIMINAR (ETP) ELABORADOS PELA SECRETARIA MUNICIPAL DE SAÚDE</t>
  </si>
  <si>
    <t>18409219000104-1-000054/2026</t>
  </si>
  <si>
    <t>https://app2.licitardigital.com.br/pesquisa/115615</t>
  </si>
  <si>
    <t>REGISTRO DE PREÇOS PARA FUTURA E EVENTUAL AQUISIÇAO DE MATERIAL PARA LABORATORIO EM ATENDIMENTO A SECRETARIA MUNICIPAL DE SAUDE DA PREFEITURA MUNICIPAL DE SANTA MARIA DO SUAÇUI</t>
  </si>
  <si>
    <t>25004532000128-1-000019/2026</t>
  </si>
  <si>
    <t>MUNICIPIO DE CACHOEIRA DA PRATA</t>
  </si>
  <si>
    <t>Cachoeira da Prata</t>
  </si>
  <si>
    <t>https://app2.ammlicita.org.br/pesquisa/115413</t>
  </si>
  <si>
    <t>REGISTRO DE PREÇOS PARA FUTURA E EVENTUAL AQUISIÇÃO DE MATERIAIS ODONTOLÓGICOS VISANDO ATENDER AS NECESSIDADES DA SECRETARIA MUNICIPAL DE SAÚDE DE CACHOEIRA DA PRATAMG</t>
  </si>
  <si>
    <t>17912023000175-1-000188/2026</t>
  </si>
  <si>
    <t>MUNICIPIO DE BORDA DA MATA</t>
  </si>
  <si>
    <t>Borda da Mata</t>
  </si>
  <si>
    <t>https://cnetmobile.estaleiro.serpro.gov.br/comprasnet-web/public/compras/acompanhamento-compra?compra=98416505000172026</t>
  </si>
  <si>
    <t>O OBJETO DA PRESENTE LICITAÇÃO É A ESCOLHA DA PROPOSTA MAIS VANTAJOSA PARA O REGISTRO DE PREÇO PARA FUTURA CONTRATAÇÃO DE EMPRESA ESPECIALIZADA PARA FORNECIMENTO DE ENXOVAL HOSPITALAR E ESCOLAR, CONFORME CONDIÇÕES, QUANTIDADES E EXIGÊNCIAS ESTABELECIDAS NESTE EDITAL E SEUS ANEXOS.</t>
  </si>
  <si>
    <t>18677591000100-1-000504/2026</t>
  </si>
  <si>
    <t>MUNICIPIO DE EXTREMA</t>
  </si>
  <si>
    <t>Extrema</t>
  </si>
  <si>
    <t>https://app2.ammlicita.org.br/pesquisa/115200</t>
  </si>
  <si>
    <t>REGISTRO DE PREÇOS PARA EVENTUAL AQUISIÇÃO DE MATERIAIS DESCARTÁVEIS PARA ASSISTÊNCIA RESPIRATÓRIA</t>
  </si>
  <si>
    <t>17884412000134-1-001195/2026</t>
  </si>
  <si>
    <t>MUNICIPIO DE ANDRADAS</t>
  </si>
  <si>
    <t>Andradas</t>
  </si>
  <si>
    <t>CONSTITUI O OBJETO DO PRESENTE PREGÃO ELETRÔNICO O REGISTRO DE PREÇOS REFERENTE A AQUISIÇÃO DE MATERIAIS, EQUIPAMENTOS E PRODUTOS ODONTOLÓGICOS UTILIZADOS NA SAÚDE BUCAL, UBS’S RURAIS E ESF’S NOS ATENDIMENTOS AOS USUÁRIOS DO SISTEMA ÚNICO DE SAÚDE DO MUNICÍPIO DE ANDRADAS-MG.</t>
  </si>
  <si>
    <t>17884412000134-1-001196/2026</t>
  </si>
  <si>
    <t>CONSTITUI O OBJETO DO PRESENTE PREGÃO ELETRÔNICO O REGISTRO DE PREÇOS REFERENTE A AQUISIÇÃO DE MATERIAIS, EQUIPAMENTOS E PRODUTOS ODONTOLÓGICOS UTILIZADOS NA SAÚDE BUCAL, UBS’S RURAIS E ESF’S, NOS ATENDIMENTOS AOS USUÁRIOS DO SISTEMA ÚNICO DE SAÚDE DO MUNICÍPIO DE ANDRADAS-MG.</t>
  </si>
  <si>
    <t>03184041000173-1-000109/2026</t>
  </si>
  <si>
    <t>MUNICIPIO DE TRES LAGOAS</t>
  </si>
  <si>
    <t>Três Lagoas</t>
  </si>
  <si>
    <t>MS</t>
  </si>
  <si>
    <t>https://comprasbr.com.br/pregao-eletronico-detalhe/?idlicitacao=48549</t>
  </si>
  <si>
    <t>Aquisição de equipamentos e materiais médico-hospitalares, laboratoriais e odontológicos, destinados ao suprimento das necessidades da Rede Municipal de Saúde do Município de Três Lagoas/MS, com recursos financeiros provenientes de Emendas Parlamentares, Programas Estaduais Reestrutura APS e Reestru</t>
  </si>
  <si>
    <t>01988914000175-1-000012/2026</t>
  </si>
  <si>
    <t>MUNICIPIO DE CORONEL SAPUCAIA</t>
  </si>
  <si>
    <t>Coronel Sapucaia</t>
  </si>
  <si>
    <t>https://comprasbr.com.br/pregao-eletronico-detalhe/?idlicitacao=48559</t>
  </si>
  <si>
    <t>O objeto da presente licitação é a seleção de proposta mais vantajosa, visando o Registro de Preços para futura e eventual aquisição Insumos Hospitalares (Material Hospitalar), em atendimento à solicitação expedida pela Secretaria Municipal de Saúde de Coronel Sapucaia (MS), de acordo com as especif</t>
  </si>
  <si>
    <t>03505013000100-1-000133/2026</t>
  </si>
  <si>
    <t>MUNICIPIO DE BATAYPORA</t>
  </si>
  <si>
    <t>Batayporã</t>
  </si>
  <si>
    <t>Aquisição de MATERIAIS HOSPITALARES, para atenderas demandas da Secretaria Municipal de Saúde do Município de Batayporã–MS</t>
  </si>
  <si>
    <t>04228734000183-1-000068/2026</t>
  </si>
  <si>
    <t>FUNDACAO SERVICOS DE SAUDE DE MATO GROSSO DO SUL-SAUDE-MS</t>
  </si>
  <si>
    <t>Campo Grande</t>
  </si>
  <si>
    <t>REGISTRO DE PREÇOS PARA FUTURA E EVENTUAL COMPRA DE CORRELATOS HOSPITALARES II</t>
  </si>
  <si>
    <t>03342938000188-1-000209/2026</t>
  </si>
  <si>
    <t>MUNICIPIO DE INOCENCIA</t>
  </si>
  <si>
    <t>Inocência</t>
  </si>
  <si>
    <t>https://app2.licitardigital.com.br/pesquisa/114923</t>
  </si>
  <si>
    <t>REGISTRO DE PREÇOS PARA FUTURA E EVENTUAL AQUISIÇÃO DE MATERIAIS, MOBILIÁRIOS E EQUIPAMENTOS HOSPITALARES, DESTINADOS AO ATENDIMENTO DO HOSPITAL E MATERNIDADE DE INOCÊNCIA E DAS UNIDADES BÁSICAS DE SAÚDE – UBS DO MUNICÍPIO DE INOCÊNCIA/MS, CONFORME CONDIÇÕES, QUANTIDADES E ESPECIFICAÇÕES TÉCNICAS ES</t>
  </si>
  <si>
    <t>00394452000103-1-001085/2027</t>
  </si>
  <si>
    <t>https://cnetmobile.estaleiro.serpro.gov.br/comprasnet-web/public/compras/acompanhamento-compra?compra=16051205000422027</t>
  </si>
  <si>
    <t>AQUISIÇÃO DE INSUMOS E MATERIAIS VETERINÁRIOS PARA O PLANTEL DE EQUINOS E CANINOS DAS ORGANIZAÇÕES MILITARES (OM) QUE INTEGRAM O GCALC DO COMANDO MILITAR DO OESTE (CMO) GCALC</t>
  </si>
  <si>
    <t>00394452000103-1-021874/2026</t>
  </si>
  <si>
    <t>Nioaque</t>
  </si>
  <si>
    <t>https://cnetmobile.estaleiro.serpro.gov.br/comprasnet-web/public/compras/acompanhamento-compra?compra=16015106000532026</t>
  </si>
  <si>
    <t>Aquisição de insumos da saúde e reagentes laboratoriais para atender as necessidades da Seção de Seção de Saúde do 9º Grupo de Artilharia de Campanha</t>
  </si>
  <si>
    <t>07775847000197-1-000045/2026</t>
  </si>
  <si>
    <t>FUNDACAO UNIVERSIDADE FEDERAL DA GRANDE DOURADOS</t>
  </si>
  <si>
    <t>Dourados</t>
  </si>
  <si>
    <t>https://cnetmobile.estaleiro.serpro.gov.br/comprasnet-web/public/compras/acompanhamento-compra?compra=15450205000082026</t>
  </si>
  <si>
    <t>Aquisição de bens permanentes específicos (laboratoriais) para atender às unidades acadêmicas</t>
  </si>
  <si>
    <t>03343118000100-1-000097/2026</t>
  </si>
  <si>
    <t>MUNICIPIO DE PARANAIBA</t>
  </si>
  <si>
    <t>Paranaíba</t>
  </si>
  <si>
    <t>https://bllcompras.com/Process/ProcessView?param1=[gkz]j0VN/1SNn5CUOPPIkl8JvWj2cZrZfYJjbZhskCXWs4S1uqe8CgpG2siVh3jXYogpW6rtk7YTXXiq0gvcc3VdrA3PJXYh3fYcQVK35n6eZFo=</t>
  </si>
  <si>
    <t>Formação de Registro de Preços para contratação de empresa especializada no ramo pertinente para aquisição de materiais destinados a sala de vacina e injetáveis, para atender as necessidades da Secretaria Municipal de Saúde.</t>
  </si>
  <si>
    <t>15024045000173-1-000043/2026</t>
  </si>
  <si>
    <t>MUNICIPIO DE NOVA XAVANTINA</t>
  </si>
  <si>
    <t>Nova Xavantina</t>
  </si>
  <si>
    <t>MT</t>
  </si>
  <si>
    <t>REGISTRO DE PREÇO PARA FUTURA E EVENTUAL AQUISIÇÃO DE INSUMOS ODONTOLÓGICOS PARA AS UNIDADE DE SAÚDE DO MUNICÍPIO DE NOVA XAVANTINA – MT.</t>
  </si>
  <si>
    <t>15023898000190-1-000090/2026</t>
  </si>
  <si>
    <t>MUNICIPIO DE AGUA BOA</t>
  </si>
  <si>
    <t>Água Boa</t>
  </si>
  <si>
    <t>https://bllcompras.com/Process/ProcessView?param1=[gkz]bMg55AYlQAmEqFZuXzzEm1eZBfh/bbYrrHtbaqV7I4j4ITgs5rKYuYNkk9I5CSgQXpvnjKz1bHhQBl/PU9mDr_mrIXe0Bej2pjV5pb0WnRc=</t>
  </si>
  <si>
    <t>REGISTRO DE PREÇOS PARA FUTURA E EVENTUAL AQUISIÇÃO DE ENXOVAIS HOSPITALARES, DESTINADOS AO ATENDIMENTO DAS NECESSIDADES DA SECRETARIA MUNICIPAL DE SAÚDE DE ÁGUA BOA/MT.</t>
  </si>
  <si>
    <t>17683906000150-1-000008/2026</t>
  </si>
  <si>
    <t>FUNDACAO MUNICIPAL DE SAUDE PREFEITO SAMUEL GREVE</t>
  </si>
  <si>
    <t>Mirassol d'Oeste</t>
  </si>
  <si>
    <t>https://licitanet.com.br/sessao/203151</t>
  </si>
  <si>
    <t>[LICITANET] - AQUISICAO DE ROUPARIA HOSPITALAR</t>
  </si>
  <si>
    <t>00394544000185-1-002101/2026</t>
  </si>
  <si>
    <t>MINISTERIO DA SAUDE</t>
  </si>
  <si>
    <t>Cuiabá</t>
  </si>
  <si>
    <t>https://cnetmobile.estaleiro.serpro.gov.br/comprasnet-web/public/compras/acompanhamento-compra?compra=25703905003152026</t>
  </si>
  <si>
    <t>Aquisição de materiais médico-hospitalares (MMH) necessários à realização das ações de saúde das Equipes Multidisciplinares de Saúde Indígena – EMSI nas aldeias e CASAI's jurisdicionadas ao Distrito Sanitário Especial Indígena de Cuiabá – DSEI-CGB.</t>
  </si>
  <si>
    <t>01614225000109-1-000298/2026</t>
  </si>
  <si>
    <t>MUNICIPIO DE SAPEZAL</t>
  </si>
  <si>
    <t>Sapezal</t>
  </si>
  <si>
    <t>FUTURA E EVENTUAL AQUISIÇÃO DE FRALDAS DESCARTÁVEIS (adulto e infantil), para atender às necessidades das secretarias do município de Sapezal/MT.</t>
  </si>
  <si>
    <t>15072663000199-1-000130/2026</t>
  </si>
  <si>
    <t>MUNICIPIO DE JUARA</t>
  </si>
  <si>
    <t>Juara</t>
  </si>
  <si>
    <t>https://www.portaldecompraspublicas.com.br/processos/MT/Prefeitura-Municipal-de-Juara-662/RPE-047-2026-2026-515138</t>
  </si>
  <si>
    <t>[Portal de Compras Públicas] - REGISTRO DE PREÇOS PARA FUTURA E EVENTUAL AQUISIÇÃO DE MEDICAMENTOS INJETÁVEIS, COMPRIMIDOS, XAROPES, GOTAS, SUSPENSÕES, PSICOTRÓPICO, POMADAS, MATERIAL DE USO TÓPICO E DE ENFERMAGEM EM ATENDIMENTO A ATENÇÃO BÁSICA/DISTRIBUIDORA, HOSPITAL MUNICIPAL ELIDIA MASCHIETTO SA</t>
  </si>
  <si>
    <t>01614225000109-1-000293/2026</t>
  </si>
  <si>
    <t>https://licitanet.com.br/sessao/203156</t>
  </si>
  <si>
    <t>[LICITANET] - FUTURA E EVENTUAL AQUISIÇÃO DE FRALDAS DESCARTÁVEIS (adulto e infantil), para atender às necessidades das secretarias do município de Sapezal/MT, conforme especificações do Anexo I - Termo de Referência deste Edital.</t>
  </si>
  <si>
    <t>03507415002864-1-000167/2026</t>
  </si>
  <si>
    <t>ESTADO DE MATO GROSSO</t>
  </si>
  <si>
    <t>Processo Consolidado de Aquisição de Material de Consumo e Permanente Hospitalar.</t>
  </si>
  <si>
    <t>15024037000127-1-000061/2026</t>
  </si>
  <si>
    <t>MUNICIPIO DE SAO JOSE DO RIO CLARO</t>
  </si>
  <si>
    <t>São José do Rio Claro</t>
  </si>
  <si>
    <t>https://bllcompras.com/Process/ProcessView?param1=[gkz]Ml1LYvmF_oCo8TU3GzF9MnuGBktpY7f4uaLpNFui8sn22dLluVIiooGJEsgSC8OT4ZgwOpwHkwVCRgB49ZwTCuSJ5lffvt4CcEUTyklh37Y=</t>
  </si>
  <si>
    <t>REGISTRO DE PREÇOS PARA FUTURA E EVENTUAL AQUISIÇÃO DE MEDICAMENTOS, INSUMOS FARMACEUTICOS E MATERIAIS CORRELATOS, PARA ATENDER AS DEMANDAS DA SECRETARIA DE SAÚDE DO MUNICIPIO DE SÃO JOSÉ DO RIO CLARO-MT.</t>
  </si>
  <si>
    <t>03755477000175-1-000096/2026</t>
  </si>
  <si>
    <t>MUNICIPIO DE MIRASSOL D'OESTE</t>
  </si>
  <si>
    <t>https://licitanet.com.br/sessao/203792</t>
  </si>
  <si>
    <t>[LICITANET] - AQUISIÇÃO DE INSUMOS, EQUIPAMENTOS ODONTOLÓGICOS E MATERIAIS DESTINADOS AO APOIO DOS PROCEDIMENTOS DE RADIOLOGIA ODONTOLÓGICA - NO SISTEMA DE REGISTRO DE PREÇOS</t>
  </si>
  <si>
    <t>03788239000166-1-000239/2026</t>
  </si>
  <si>
    <t>MUNICIPIO DE TANGARA DA SERRA</t>
  </si>
  <si>
    <t>Tangará da Serra</t>
  </si>
  <si>
    <t>https://licitanet.com.br/sessao/203774</t>
  </si>
  <si>
    <t>[LICITANET] - REGISTRO DE PREÇOS PARA AQUISIÇÃO DE EQUIPAMENTOS E MATERIAIS HOSPITALARES PARA ATENDER A DEMANDA DA ATENÇÃO PRIMÁRIA, DE MÉDIA E ALTA COMPLEXIDADE, CONTEMPLANDO A ODONTOLOGIA, FISIOTERAPIA E REABILITAÇÃO</t>
  </si>
  <si>
    <t>15126437000305-1-003944/2026</t>
  </si>
  <si>
    <t>Belém</t>
  </si>
  <si>
    <t>PA</t>
  </si>
  <si>
    <t>https://cnetmobile.estaleiro.serpro.gov.br/comprasnet-web/public/compras/acompanhamento-compra?compra=15590905000372026</t>
  </si>
  <si>
    <t>Aquisição de Produtos para Saúde - Insumos Laboratoriais ULAP e ULAC</t>
  </si>
  <si>
    <t>05832977000199-1-000112/2026</t>
  </si>
  <si>
    <t>MUNICIPIO DE SANTANA DO ARAGUAIA</t>
  </si>
  <si>
    <t>Santana do Araguaia</t>
  </si>
  <si>
    <t>https://www.portaldecompraspublicas.com.br/processos/PA/Prefeitura-Municipal-de-Santana-do-Araguaia-1304/RPE-PREGAO-ELETR-NO048-SRP-FMS-2026-2026-514749</t>
  </si>
  <si>
    <t>[Portal de Compras Públicas] - Registro de preços para futura e eventual AQUISIÇÃO DE OXIGÊNIO MEDICINAL, RECARGA DE CILINDROS COM FORNECIMENTO DO CILINDRO EM REGIME DE COMODATO, para suprir a demanda do Fundo Municipal de Saúde de Santana do Araguaia-PA.</t>
  </si>
  <si>
    <t>83211375000128-1-000025/2026</t>
  </si>
  <si>
    <t>MUNICIPIO DE ABEL FIGUEIREDO</t>
  </si>
  <si>
    <t>Abel Figueiredo</t>
  </si>
  <si>
    <t>https://www.portaldecompraspublicas.com.br/processos/PA/Prefeitura-Municipal-de-Abel-Figueiredo-1464/RPE-PREGAO-SRP-NO9-2026-015-FMS-2026-2026-514209</t>
  </si>
  <si>
    <t>[Portal de Compras Públicas] - CONTRATAÇÃO DE SERVIÇOS PARA FORNECIMENTO DE OXIGENIO MEDICINAL GASOSO, ACONDICIONADO EM CILINDRO RETORNÁVEL, E REGULADORES, FLUXOMETRO E UMIDIFICADORES PARA OXIGENIO MEDICINAL, DESTINADOS A ATENDER AS NECESSIDDAES DO FUNDO MUNICIPAL DE SAUDE DO MUNICIPIO DE ABEL FIGUE</t>
  </si>
  <si>
    <t>05853163000130-1-000309/2026</t>
  </si>
  <si>
    <t>MUNICIPIO DE MARABA</t>
  </si>
  <si>
    <t>Marabá</t>
  </si>
  <si>
    <t>https://cnetmobile.estaleiro.serpro.gov.br/comprasnet-web/public/compras/acompanhamento-compra?compra=92824305000262026</t>
  </si>
  <si>
    <t>EVENTUAL AQUISIÇÃO DE RAÇÃO SUPER PREMIUM, MATERIAIS VETERINÁRIOS DE CONSUMO, MEDICAMENTOS VETERINÁRIOS, EQUIPAMENTOS OPERACIONAIS, TÁTICOS E DE ADESTRAMENTO PARA CONDICIONAMENTO FÍSICO, BEM COMO A CONTRATAÇÃO DE SERVIÇOS DE ASSISTÊNCIA MÉDICA VETERINÁRIA, DIVIDIDOS EM 07 (SETE) LOTES, VISANDO ATEND</t>
  </si>
  <si>
    <t>05837521000111-1-000087/2026</t>
  </si>
  <si>
    <t>CENTRO DE HEMOTERAPIA E HEMATOLOGIA DO PARA</t>
  </si>
  <si>
    <t>AQUISIÇÃO de materiais técnicos necessários para a realização de diversos procedimentos junto a pacientes e doadores nas unidades do Hemocentro Coordenador e Hemorrede</t>
  </si>
  <si>
    <t>07313973000120-1-000012/2026</t>
  </si>
  <si>
    <t>Capanema</t>
  </si>
  <si>
    <t>https://bnccompras.com/Process/ProcessView?param1=[gkz]ncHtOR1fqT2ncmZaDJ_suOJK12k2JPiH0YvsyklGc3SWACA4OD/R4fYPWubmIRkHm8OxAq6h55HErL/8YRghKfAKtoDAVaUml8W7jlRT4Dk=</t>
  </si>
  <si>
    <t>Registro de Preços para a Futura e Eventual Contratação de Pessoa Jurídica para Aquisição de Equipamentos, Material de consumo e Instrumentais odontológicos, para Atender às Demandas do Centro de Especialidades Odontológicas (CEO) e Unidades de Saúde da Família (USF), vinculados a Secretaria Municip</t>
  </si>
  <si>
    <t>04789665000187-1-000068/2026</t>
  </si>
  <si>
    <t>TRIBUNAL DE CONTAS DOS MUNICIPIOS</t>
  </si>
  <si>
    <t>https://cnetmobile.estaleiro.serpro.gov.br/comprasnet-web/public/compras/acompanhamento-compra?compra=92546005000562026</t>
  </si>
  <si>
    <t>Aquisição de medicamentos, materiais de consumo médico-hospitalar e fisioterapêutico e materiais odontológicos, novos e de primeiro uso, destinados à manutenção dos atendimentos médicos, odontológicos, fisioterapêuticos e multiprofissionais.</t>
  </si>
  <si>
    <t>22980973000177-1-000211/2026</t>
  </si>
  <si>
    <t>FUNDACAO PUBLICA ESTADUAL HOSPITAL DE CLNICAS GASPAR VIANNA - FHCGV</t>
  </si>
  <si>
    <t>AQUISIÇÃO EMERGENCIAL DE KITS REANIMADORES MANUAIS COM RESERVATÓRIOS ADULTOS, PEDIATRICOS E NEONATAIS.</t>
  </si>
  <si>
    <t>04873600000115-1-000173/2025</t>
  </si>
  <si>
    <t>MUNICIPIO DE AUGUSTO CORREA</t>
  </si>
  <si>
    <t>Augusto Corrêa</t>
  </si>
  <si>
    <t>https://licitanet.com.br/sessao/158830</t>
  </si>
  <si>
    <t>[LICITANET] - Credenciamento para a Contratação de pessoa jurídica especializada em serviços de saúde (exames e consultas especializadas) no atendimento de alta e média complexidade para atender de forma complementar a Secretaria Municipal de Saúde de Augusto Corrêa-PA</t>
  </si>
  <si>
    <t>07917818000112-1-000020/2026</t>
  </si>
  <si>
    <t>SESMA-SECRETARIA MUNICIPAL DE SAUDE E MEIO AMBIENTE</t>
  </si>
  <si>
    <t>https://cnetmobile.estaleiro.serpro.gov.br/comprasnet-web/public/compras/acompanhamento-compra?compra=92629405000202026</t>
  </si>
  <si>
    <t>AQUISIÇÃO DE MATERIAL TÉCNICO CATEGORIA CURATIVOS.</t>
  </si>
  <si>
    <t>22980973000177-1-000214/2026</t>
  </si>
  <si>
    <t>AQUISIÇÃO EMERGENCIAL DE MATERIAS TÉCNICOS CRÍTICOS SEM ARP OU CONTRATOS VIGENTES (DRENOS DE PENROSE Nº 02 E 03; SISTEMA DE DRENAGEM 2000ML, SISTEMA FECHADO DE ASPIRAÇÃO – TRACH CARE, SERINGAS 3ML E 5ML LUER LOCK) E SEM SALDO (CÂMARA RETRÁTIL E CDL 7FR).</t>
  </si>
  <si>
    <t>04860854000107-1-000030/2026</t>
  </si>
  <si>
    <t>MUNICIPIO DE PRAINHA</t>
  </si>
  <si>
    <t>Prainha</t>
  </si>
  <si>
    <t>https://www.portaldecompraspublicas.com.br/processos/PA/Prefeitura-Municipal-de-Prainha-2277/RPE-PE-92026-026-FMS-SRP-2026-2026-516128</t>
  </si>
  <si>
    <t>[Portal de Compras Públicas] - REGISTRO DE PREÇOS PARA FUTURA E EVENTUAL CONTRATAÇÃO DE EMPRESA ESPECIALIZADA PARA O FORNECIMENTO DE MATERIAIS ODONTOLÓGICOS, DESTINADOS A ATENDER ÀS NECESSIDADES DA SECRETARIA MUNICIPAL DE SAÚDE DO MUNICÍPIO DE PRAINHA/PA</t>
  </si>
  <si>
    <t>08767154000115-1-000062/2026</t>
  </si>
  <si>
    <t>MUNICIPIO DE BREJO DO CRUZ</t>
  </si>
  <si>
    <t>Brejo do Cruz</t>
  </si>
  <si>
    <t>PB</t>
  </si>
  <si>
    <t>https://www.portaldecompraspublicas.com.br/processos/PB/Prefeitura-Municipal-de-Brejo-do-Cruz-1797/PE-28-2026-2026-512064</t>
  </si>
  <si>
    <t>[Portal de Compras Públicas] - CONTRATAÇÃO DE EMPRESA PARA PRESTAR SERVIÇOS DE MANUTENÇÃO DE EQUIPAMENTOS DA SECRETARIA MUNICIPAL DE SAÚDE DESTE MUNICÍPIO</t>
  </si>
  <si>
    <t>09069709000118-1-000166/2025</t>
  </si>
  <si>
    <t>MUNICIPIO DE SAO BENTO</t>
  </si>
  <si>
    <t>São Bento</t>
  </si>
  <si>
    <t>CREDENCIAMENTO DE EMPRESA ESPECIALIZADA PARA A REALIZAÇÃO DE EXAMES LABORATORIAIS DE ANALISE CLINICA PARA ATENDER AS PESSOAS INSERIDAS NO SISTEMA ÚNICO DE SAUDE - SUS DO MUNICÍPIO DE SÃO BENTO-PB, CONFORME TERMO DE REFERÊNCIA E ESPECIFICAÇÕES</t>
  </si>
  <si>
    <t>08741399000173-1-000125/2026</t>
  </si>
  <si>
    <t>MUNICIPIO DE PICUI</t>
  </si>
  <si>
    <t>Picuí</t>
  </si>
  <si>
    <t>SISTEMA DE REGISTRO DE PREÇO OBJETIVANDO FUTURA E EVENTUAL AQUISIÇÃO DE MATERIAIS ODONTOLÓGICOS, VISANDO ATENDER ÀS NECESSIDADES DA SECRETARIA MUNICIPAL DE SAÚDE, CONFORME ESPECIFICAÇÕES CONSTANTES DO TERMO DE REFERÊNCIA</t>
  </si>
  <si>
    <t>01612384000166-1-000081/2026</t>
  </si>
  <si>
    <t>MUNICIPIO DE SAO JOSE DOS RAMOS</t>
  </si>
  <si>
    <t>São José dos Ramos</t>
  </si>
  <si>
    <t>https://www.portaldecompraspublicas.com.br/processos/PB/Prefeitura-Municipal-de-Sao-Jose-dos-Ramos-1737/PE-00013-2026-2026-2026-514112</t>
  </si>
  <si>
    <t>[Portal de Compras Públicas] - Aquisição de material permanente para modernização da rede de atendimento da saúde. Emenda 614/2026.</t>
  </si>
  <si>
    <t>08993909000108-1-000152/2026</t>
  </si>
  <si>
    <t>MUNICIPIO DE ESPERANCA</t>
  </si>
  <si>
    <t>Esperança</t>
  </si>
  <si>
    <t>https://www.portaldecompraspublicas.com.br/processos/PB/Prefeitura-Municipal-de-Esperanca-1305/PE-41-2026-2026-512734</t>
  </si>
  <si>
    <t>[Portal de Compras Públicas] - AQUISIÇÃO DE MATERIAIS MÉDICO-HOSPITALARES PARA ATENDIMENTO DAS NECESSIDADES DA REDE MUNICIPAL DE SAÚDE, COM RECURSOS ORIUNDOS DA EMENDA PARLAMENTAR Nº 854/2026, CONFORME ESPECIFICAÇÕES E QUANTITATIVOS CONSTANTES DO TERMO DE REFERÊNCIA</t>
  </si>
  <si>
    <t>08674396000164-1-000010/2025</t>
  </si>
  <si>
    <t>FUNDO MUNICIPAL DE SAUDE DE MAMANGUAPE</t>
  </si>
  <si>
    <t>Mamanguape</t>
  </si>
  <si>
    <t>Credenciamento de empresas especializadaspara prestação de serviços complementares, de exames diagnósticos por exames de imagem, tais como: ressonância magnética e tomografia computadorizada (com contraste e sedação), radiografia panorâmica, densitometria óssea, endoscopia digestiva, colonoscopia, d</t>
  </si>
  <si>
    <t>08888950000106-1-000069/2026</t>
  </si>
  <si>
    <t>MUNICIPIO DE JURU</t>
  </si>
  <si>
    <t>Juru</t>
  </si>
  <si>
    <t>https://www.portaldecompraspublicas.com.br/processos/PB/Prefeitura-Municipal-de-Juru-1525/RPE-0017-2026-2026-514989</t>
  </si>
  <si>
    <t>[Portal de Compras Públicas] - A presente licitação na modalidade PREGÃO ELETRÔNICO do tipo menor preço por item em lance ofertado tem por objeto a formação de registro de preços para possível contratação de empresa para compra de materiais odontológicos destinados a demanda da secretaria de saúde d</t>
  </si>
  <si>
    <t>01263896000164-1-000712/2026</t>
  </si>
  <si>
    <t>MINISTERIO DA CIENCIA, TECNOLOGIA E INOVACOES</t>
  </si>
  <si>
    <t>Campina Grande</t>
  </si>
  <si>
    <t>https://cnetmobile.estaleiro.serpro.gov.br/comprasnet-web/public/compras/acompanhamento-compra?compra=24011406001142026</t>
  </si>
  <si>
    <t>Aquisição de MEDICAMENTOS E PRODUTOS VETERINÁRIOS, através do Sistema de Registro de Preços - SRP</t>
  </si>
  <si>
    <t>09164716000107-1-000044/2026</t>
  </si>
  <si>
    <t>MUNICIPIO DE BREJO DOS SANTOS</t>
  </si>
  <si>
    <t>Brejo dos Santos</t>
  </si>
  <si>
    <t>https://www.portaldecompraspublicas.com.br/processos/PB/Prefeitura-Municipal-de-Brejo-Dos-Santos-2702/RPE-15-2026-2026-514684</t>
  </si>
  <si>
    <t>[Portal de Compras Públicas] - Aquisição de material médico-hospitalar para atender às necessidades da Secretaria Municipal de Saúde de Brejo dos Santos/PB</t>
  </si>
  <si>
    <t>08898124000148-1-000059/2026</t>
  </si>
  <si>
    <t>MUNICIPIO DE MAMANGUAPE</t>
  </si>
  <si>
    <t>https://www.portaldecompraspublicas.com.br/processos/PB/Prefeitura-Municipal-de-Mamanguape-2052/RPE-27-2026-2026-514609</t>
  </si>
  <si>
    <t>[Portal de Compras Públicas] - Contratação de empresa do ramo pertinente para Aquisição de fraldas geriátricas e pediátricas, destinadas a atender às demandas da Secretaria Municipal de Saúde de Mamanguape/PB</t>
  </si>
  <si>
    <t>08899940000176-1-000111/2026</t>
  </si>
  <si>
    <t>MUNICIPIO DE RIO TINTO</t>
  </si>
  <si>
    <t>Rio Tinto</t>
  </si>
  <si>
    <t>https://www.portaldecompraspublicas.com.br/processos/PB/Prefeitura-Municipal-de-Rio-Tinto-2251/RPE-32-2026-2026-515471</t>
  </si>
  <si>
    <t>[Portal de Compras Públicas] - Aquisição parcelada de medicamentos e materiais médicos e hospitalares diversos, para melhor atender as necessidades da Secretaria de Saúde deste município</t>
  </si>
  <si>
    <t>15126437000305-1-004015/2026</t>
  </si>
  <si>
    <t>João Pessoa</t>
  </si>
  <si>
    <t>https://cnetmobile.estaleiro.serpro.gov.br/comprasnet-web/public/compras/acompanhamento-compra?compra=15502305000392026</t>
  </si>
  <si>
    <t>AQUISIÇÃO DE EQUIPAMENTOS MÉDICO-HOSPITALARES II</t>
  </si>
  <si>
    <t>24098477000110-1-000286/2026</t>
  </si>
  <si>
    <t>UNIVERSIDADE FEDERAL DA PARAIBA</t>
  </si>
  <si>
    <t>https://cnetmobile.estaleiro.serpro.gov.br/comprasnet-web/public/compras/acompanhamento-compra?compra=15306505000762026</t>
  </si>
  <si>
    <t>Aquisição de materiais odontológicos para atender demanda das unidades pertencentes a UASG 153065.</t>
  </si>
  <si>
    <t>01612372000131-1-000107/2026</t>
  </si>
  <si>
    <t>MUNICIPIO DE CURRAL DE CIMA</t>
  </si>
  <si>
    <t>Curral de Cima</t>
  </si>
  <si>
    <t>https://www.portaldecompraspublicas.com.br/processos/PB/Prefeitura-Municipal-de-Curral-de-Cima-2894/RPE-26-2026-2026-515825</t>
  </si>
  <si>
    <t>[Portal de Compras Públicas] - Contratação de empresa especializada para aquisição de fraldas infantis e adultas, destinadas ao atendimento das necessidades dos munícipes assistidos pelo Fundo Municipal de Saúde de Curral de Cima/PB</t>
  </si>
  <si>
    <t>15126437000305-1-000005/2027</t>
  </si>
  <si>
    <t>https://cnetmobile.estaleiro.serpro.gov.br/comprasnet-web/public/compras/acompanhamento-compra?compra=15591405000012027</t>
  </si>
  <si>
    <t>Aquisição de equipamentos médico-hospitalares de média complexidade (EMH´S), com intuito de atender à demanda da Empresa Brasileira de Serviços Hospitalares (HU Brasil), unidade hospitalar do Hospital Alcides Carneiro HUAC-UFCG.</t>
  </si>
  <si>
    <t>08715618000140-1-000119/2026</t>
  </si>
  <si>
    <t>https://cnetmobile.estaleiro.serpro.gov.br/comprasnet-web/public/compras/acompanhamento-compra?compra=93021305000832026</t>
  </si>
  <si>
    <t>REGISTRO DE PREÇO PARA AQUISIÇÃO DE ÓRTESES E PRÓTESES E MATERIAIS ESPECIAIS (OPME) DE ORTOPEDIA, COM FORNECIMENTO EM REGIME DE COMODATO DE INSTRUMENTAIS CIRÚRGICOS E EQUIPAMENTOS, ALÉM DE INSTRUMENTADOR, PARA ATENDER AS NECESSIDADES DO CHMGTB.</t>
  </si>
  <si>
    <t>11022597001325-1-000404/2026</t>
  </si>
  <si>
    <t>FUNDACAO UNIVERSIDADE DE PERNAMBUCO</t>
  </si>
  <si>
    <t>Recife</t>
  </si>
  <si>
    <t>PE</t>
  </si>
  <si>
    <t>Registro de Preços para a eventual Aquisição de materiais para o Centro de Material e Esterilização SEI: 0040609912.000077/2026-00)</t>
  </si>
  <si>
    <t>11022597001244-1-000105/2026</t>
  </si>
  <si>
    <t>FORMAÇÃO DE REGISTRO DE PREÇOS PARA FORNECIMENTO EVENTUAL DE DISPOSITIVOS MÉDICOS HOSPITALARES (SERINGAS DESCARTÁVEIS), VISANDO ATENDER AS NECESSIDADES DO CISAM/UPE</t>
  </si>
  <si>
    <t>11326603000102-1-000032/2026</t>
  </si>
  <si>
    <t>Lagoa do Carro</t>
  </si>
  <si>
    <t>https://cnetmobile.estaleiro.serpro.gov.br/comprasnet-web/public/compras/acompanhamento-compra?compra=93221205000282026</t>
  </si>
  <si>
    <t>FORNECIMENTO DE MATERIAL PENSO, PARA ATENDER AS NECESSIDADES DA FARMÁCIA CENTRAL DA SECRETARIA MUNICIPAL DE SAÚDE DESTE MUNICÍPIO E SUAS UNIDADES VINCULADAS</t>
  </si>
  <si>
    <t>11049822000183-1-000027/2026</t>
  </si>
  <si>
    <t>MUNICIPIO DE MORENO</t>
  </si>
  <si>
    <t>Moreno</t>
  </si>
  <si>
    <t>https://bllcompras.com/Process/ProcessView?param1=[gkz]JhichWSIIDJkXdtS2t2g7lR9mS/5ZK2YLf/9dK6OAtzYoZSkFNatDS2kGM5HqaeOVJ_rqMW1yzZsnHraJ/YKBy65iaP2m3vt91GoQVn0Fyw=</t>
  </si>
  <si>
    <t>Aquisição de Equipamentos Permanentes a serem adquiridos, através da Emenda nº 632/2026, visando a qualificação das Unidades Básicas de Saúde no município de Moreno/PE, conforme especificações e quantitativos constantes no presente Termo de Referência e nas disposições constantes da Lei 14.133/2021.</t>
  </si>
  <si>
    <t>10358174000184-1-000101/2026</t>
  </si>
  <si>
    <t>MUNICIPIO DE AFRANIO</t>
  </si>
  <si>
    <t>Afrânio</t>
  </si>
  <si>
    <t>https://www.portaldecompraspublicas.com.br/processos/PE/Prefeitura-Municipal-de-Afranio-1328/RPE-SRP-046-2026-2026-514406</t>
  </si>
  <si>
    <t>[Portal de Compras Públicas] - Registro de Preço para eventual contratação de empresa especializada na AQUISIÇÃO DEMEDICAMENTOS -( ITENS FRACASSADOS)visando atender as demandas das Unidades Básicas de Saúde, Hospital Municipal Maria Coelho Cavalcanti Rodrigues, Fármacia Básica de Saúde, CAPS e Vigil</t>
  </si>
  <si>
    <t>11944899000206-1-000044/2026</t>
  </si>
  <si>
    <t>INSTITUTO DE RECURSOS HUMANOS DE PERNAMBUCO - IRH-PE</t>
  </si>
  <si>
    <t>Fornecimento de Material Médico Hospitalar padronizado, por meio de Dispensa de licitação com fundamento no 75, inc. VIII da Lei nº 14.133/21, a fim de atender o HSE</t>
  </si>
  <si>
    <t>11870137000113-1-000014/2026</t>
  </si>
  <si>
    <t>FUNDO MUNICIPAL DE SAUDE DE CAMOCIM DE SAO FELIX</t>
  </si>
  <si>
    <t>Camocim de São Félix</t>
  </si>
  <si>
    <t>https://bnccompras.com/Process/ProcessView?param1=[gkz]vYhojRLJCt3orTxLHQM78P8Q0xEbyHUtykaB/SZdCJ5yjWedVPXx1q_5eBlH5C_iUjZ83EgUYgYpMUKxFzwoj5NOufgqPklUVQam2IHhwAQ=</t>
  </si>
  <si>
    <t>REGISTRO DE PREÇOS, CONSIGNADO EM ATA PELO PRAZO DE 12 (DOZE) MESES, PARA EVENTUAL E FUTURA CONTRATAÇÃO DE EMPRESAS PARA O FORNECIMENTO DE MATERIAS MÉDICO HOSPITALARES PARA ATENDER AS NECESSIDADES DO FUNDO MUNICIPAL DE sAÚDE DE CAMOCIM DE SÃO FÉLIX (PE).</t>
  </si>
  <si>
    <t>09342856000110-1-000025/2026</t>
  </si>
  <si>
    <t>Garanhuns</t>
  </si>
  <si>
    <t>https://bnccompras.com/Process/ProcessView?param1=[gkz]YnTlRYtaUMNxLqseSdojxOFuP5q_q96tuiUM0MF9qsQUWYVx8qvuoa7c3n9RQ0uXtKkcamsO6g8OjlakxYwxOXEYDXO8VqnayFv1Q4qLW0A=</t>
  </si>
  <si>
    <t>Registro de Preços aquisição de equipamentos e materiais permanentes destinados à estruturação e ao funcionamento do Centro de Parto Normal – CPN, vinculado à Secretaria Municipal de Saúde de Garanhuns/PE</t>
  </si>
  <si>
    <t>11361854000110-1-000082/2026</t>
  </si>
  <si>
    <t>MUNICIPIO DE FREI MIGUELINHO</t>
  </si>
  <si>
    <t>Frei Miguelinho</t>
  </si>
  <si>
    <t>https://bnccompras.com/Process/ProcessView?param1=[gkz]dxekSQciY9qNaym9lH6AYiCyMrMkV_t9l6/K_5xeet1ZIBrcyCMT_sRKFmRd9Y02yQrTHI//M6Xr48bdcRgZ57yZgr5a2UJnXnHRo0OJECE=</t>
  </si>
  <si>
    <t>CONTRATAÇÃO DE EMPRESA ESPECIALIZADA PARA AQUISIÇÃO DE INSUMOS E MATERIAIS PERMANENTES MÉDICO-HOSPITALARES, PARA ATENDER ÀS DEMANDAS DO HOSPITAL E MATERNIDADE JOÃO ALEXANDRE DE OLIVEIRA E UBS’s VINCULADOS À SECRETARIA MUNICIPAL DE SAÚDE DO MUNICÍPIO DE FREI MIGUELINHO/PE</t>
  </si>
  <si>
    <t>09342856000110-1-000027/2026</t>
  </si>
  <si>
    <t>https://bnccompras.com/Process/ProcessView?param1=[gkz]rDceI1OtfOt0NRynR5WqgG40iI3LjA1CHpnT8n6BUUFMWWejW1JK/yoELJpglarVnzbfD2NjIvR0PUJhxtNvmcS4/YF27TLjSccrRFCavN4=</t>
  </si>
  <si>
    <t>Registro de Preços para aquisição de Materiais Médico- Hospitalares – MMH diversos, com entrega parcelada, para atender as necessidades da Central de Abastecimento Farmacêutica– CAF e demais serviços, programas e Unidades de Saúde da Secretaria de Saúde de Garanhuns-PE, através do Fundo Municipal de</t>
  </si>
  <si>
    <t>10113728000183-1-000054/2026</t>
  </si>
  <si>
    <t>MUNICIPIO DE BELEM DE SAO FRANCISCO</t>
  </si>
  <si>
    <t>Belém do São Francisco</t>
  </si>
  <si>
    <t>https://www.portaldecompraspublicas.com.br/processos/PE/Prefeitura-Municipal-de-Belem-de-Sao-Francisco-4988/RPE-022-2026-2026-514599</t>
  </si>
  <si>
    <t>[Portal de Compras Públicas] - Registro de preços para eventual contratação de empresa especializada em fornecimento de material e insumos odontológicos.</t>
  </si>
  <si>
    <t>00348003000110-1-001181/2026</t>
  </si>
  <si>
    <t>EMPRESA BRASILEIRA DE PESQUISA AGROPECUARIA</t>
  </si>
  <si>
    <t>Petrolina</t>
  </si>
  <si>
    <t>https://cnetmobile.estaleiro.serpro.gov.br/comprasnet-web/public/compras/acompanhamento-compra?compra=13501206000272026</t>
  </si>
  <si>
    <t>Aquisição de medicamentos e materiais de uso veterinário para os rebanhos mantidos nos Campos Experimentais da Embrapa Semiárido, conforme as especificações e quantidades estabelecidas neste Termo de Referência.</t>
  </si>
  <si>
    <t>11472475000105-1-000011/2026</t>
  </si>
  <si>
    <t>FUNDO MUNICIPAL DE SAUDE DE CUPIRA</t>
  </si>
  <si>
    <t>Cupira</t>
  </si>
  <si>
    <t>https://bnccompras.com/Process/ProcessView?param1=[gkz]UatjIgzIlVwriP9Nd/dd_zp0rVi4hnf36l45nIBvPkODL7NOwdmcTk7FRUK/TJ9zIIwSik7VdshANR4lo/xuYZdMyg1ERelPwJ3XfwTxcgY=</t>
  </si>
  <si>
    <t>Sistema de Registro de Preços, visando Aquisição De Equipamentos Permanentes Hospitalares, odontológicos, destinados ao Hospital Municipal de Cupira e Unidades assistidas pela da Secretaria de Saúde da Rede Pública Municipal. A aquisição inclui os serviços de instalação quando necessário, acessórios</t>
  </si>
  <si>
    <t>11022597001325-1-000299/2026</t>
  </si>
  <si>
    <t>https://cnetmobile.estaleiro.serpro.gov.br/comprasnet-web/public/compras/acompanhamento-compra?compra=92694005000022026</t>
  </si>
  <si>
    <t>Formação de Registro de Preços para prestação de serviços hospitalares especializados em NEFROLOGIA, incluindo Procedimentos de Terapia Renal Substitutiva: Hemodiálise e Diálise Peritoneal Intermitente (DPI) e demais atividades afins, de forma contínua e regular a pacientes adultos e pediátricos, ho</t>
  </si>
  <si>
    <t>11339827000140-1-000037/2026</t>
  </si>
  <si>
    <t>DIRETORIA  DE APOIO ADMINISTRATIVO AO SISTEMA DE SAUDE-DASIS</t>
  </si>
  <si>
    <t>AQUISIÇÃO DE FIOS CIRURGICOS PARA ATENDER AS NECESSIDADES DO CENTRO MÉDICO HOSPITALAR DA PMPE / CBMPE</t>
  </si>
  <si>
    <t>10872937000100-1-000010/2026</t>
  </si>
  <si>
    <t>Poção</t>
  </si>
  <si>
    <t>https://bnccompras.com/Process/ProcessView?param1=[gkz]rRRAxnlm90VRdWA6kFkWo7LDhyqmAGYda3A0r_k/feKjOCt_CF8nf9/vwAUT/ve2GFHcFrSDMa3rufF11uHGEvF4ctQDYgQJY/QXLIfpi4M=</t>
  </si>
  <si>
    <t>Contratação de empresa para fornecimento, parcelado, de itens remanescente de instrumentais, materiais, equipamentos, peças de mão e acessórios odontológicos, destinados às unidades odontológicas do Município.</t>
  </si>
  <si>
    <t>10572048000209-1-000530/2026</t>
  </si>
  <si>
    <t>SECRETARIA DE SAUDE</t>
  </si>
  <si>
    <t>MMH- AQUISIÇÃO EMERGENCIAL - INDICADOR BIOLOGICO - EM TIRA PARA CONTROLE DE ESTERILIZACAO EM AUTOCLAVE, TIRAS IMPREGNADAS COM SUSEPNSAO DE ESPOROS SECOS DE BACILLUS STEAROTHERMOPHILUS, FRASCO PLASTIC</t>
  </si>
  <si>
    <t>10377679000196-1-000236/2026</t>
  </si>
  <si>
    <t>MUNICIPIO DE JABOATAO DOS GUARARAPES</t>
  </si>
  <si>
    <t>Jaboatão dos Guararapes</t>
  </si>
  <si>
    <t>https://app2.licitardigital.com.br/pesquisa/114716</t>
  </si>
  <si>
    <t>FORMALIZAÇÃO DE ATA DE REGISTRO DE PREÇOS PARA A AQUISIÇÃO DE MATERIAL MÉDICO HOSPITALAR (GRUPO 1), A FIM DE DAR CONTINUIDADE AOS ATENDIMENTOS DAS DEMANDAS ADVINDAS DA REDE DE ATENÇÃO À SAÚDE DA PREFEITURA MUNICIPAL DE JABOATÃO DOS GUARARAPES-PE, DE ACORDO COM AS ESPECIFICAÇÕES DO TERMO DE REFERÊNCI</t>
  </si>
  <si>
    <t>10476556000102-1-000012/2026</t>
  </si>
  <si>
    <t>São Joaquim do Monte</t>
  </si>
  <si>
    <t>https://bnccompras.com/Process/ProcessView?param1=[gkz]X1fHQ4ZD76Nk02xBhiIaTHxiMFuXOMLvu4qYTdsxdKP00QFxWvV3ngY76D0i6lbVE_De5Lz7ETJ9gAAI2VRuC3kmH63ahtpTtanDBDnU48o=</t>
  </si>
  <si>
    <t>FORMAÇÃO DE REGISTRO DE PREÇOS PARA FUTURA E EVENTUAL CONTRATAÇÃO DE EMPRESA ESPECIALIZADA PARA O FORNECIMENTO PARCELADO DE MATERIAIS MÉDICO-HOSPITALARES DESTINADOS AO FUNDO MUNICIPAL DE SAÚDE DO MUNICÍPIO DE SÃO JOAQUIM DO MONTE/PE, conforme especificações e quantitativos constantes no Anexo I dest</t>
  </si>
  <si>
    <t>09263130000191-1-000039/2026</t>
  </si>
  <si>
    <t>SUPERINTENDENCIA DO DESENVOLVIMENTO DO NORDESTE - SUDENE</t>
  </si>
  <si>
    <t>https://cnetmobile.estaleiro.serpro.gov.br/comprasnet-web/public/compras/acompanhamento-compra?compra=53301406000852026</t>
  </si>
  <si>
    <t>Aquisição de materiais de saúde, com execução sem regime de dedicação exclusiva, destinados a suprir as demandas do setor Médico e de Fisioterapia da Superintendência de Desenvolvimento do Nordeste – SUDENE</t>
  </si>
  <si>
    <t>11361854000110-1-000081/2026</t>
  </si>
  <si>
    <t>https://bnccompras.com/Process/ProcessView?param1=[gkz]H8FFda_unoU9KqAdIiZ2MHPLQj_3qVX/g95AirKBgqAoLIVA9rMlyJKDBcAN6JtvzMQ0EfK2hwZG4hC16a0cMvZLuSVWAzDiOtaqGr//chg=</t>
  </si>
  <si>
    <t>CONTRATAÇÃO DE EMPRESA ESPECIALIZADA PARA O FORNECIMENTO DE MATERIAL DE CONSUMO E INSTRUMENTAIS ODONTOLÓGICOS, DESTINADOS AO ATENDIMENTO CLÍNICO DOS PACIENTES DO SISTEMA ÚNICO DE SAÚDE (SUS), ATENDIDOS NAS UBS’S ATRAVÉS DA ATENÇÃO PRIMÁRIA VINCULADOS A SECRETARIA MUNICIPAL DE SAÚDE DO MUNICÍPIO DE F</t>
  </si>
  <si>
    <t>10564953000136-1-000012/2026</t>
  </si>
  <si>
    <t>FUNDACAO DE HEMATOLOGIA E HEMOTERAPIA DE PERNAMBUCO-HEMOPE</t>
  </si>
  <si>
    <t>https://cnetmobile.estaleiro.serpro.gov.br/comprasnet-web/public/compras/acompanhamento-compra?compra=45679105000042026</t>
  </si>
  <si>
    <t>Fornecimento Dispositivos Médicos do tipo Equipamentos/Material Hospitalar visando atender as necessidades do Hospital de Hematologia da Fundação HEMOPE, conforme as condições, especificações, quantidades e exigências contidas nos Estudos Técnicos Preliminares e neste Termo de Referência.</t>
  </si>
  <si>
    <t>26989350001350-1-000008/2026</t>
  </si>
  <si>
    <t>FUNDACAO NACIONAL DE SAUDE</t>
  </si>
  <si>
    <t>https://cnetmobile.estaleiro.serpro.gov.br/comprasnet-web/public/compras/acompanhamento-compra?compra=25501706000092026</t>
  </si>
  <si>
    <t>Aquisição de diversos insumos para utilização no Laboratório de Controle e Qualidade de Água</t>
  </si>
  <si>
    <t>11022597001325-1-000412/2026</t>
  </si>
  <si>
    <t>Registro de Preços para o eventual fornecimento de MATERIAIS PARA ESTERILIZAÇÃO HOSPITALAR (SEI: 0040609912.000099/2026-61)</t>
  </si>
  <si>
    <t>00394429000100-1-002534/2026</t>
  </si>
  <si>
    <t>COMANDO DA AERONAUTICA</t>
  </si>
  <si>
    <t>https://cnetmobile.estaleiro.serpro.gov.br/comprasnet-web/public/compras/acompanhamento-compra?compra=12063205001152026</t>
  </si>
  <si>
    <t>Registro de preços para aquisição de material médico-hospitalar, para atender as necessidades do Hospital de Aeronáutica de Recife.</t>
  </si>
  <si>
    <t>00394544000185-1-002148/2026</t>
  </si>
  <si>
    <t>https://cnetmobile.estaleiro.serpro.gov.br/comprasnet-web/public/compras/acompanhamento-compra?compra=25704705003292026</t>
  </si>
  <si>
    <t>Aquisição de Material Médico-Hospitalar (MMH) e materiais diversos, para atender às necessidades do Distrito Sanitário Especial Indígena - Pernambuco (DSEI-PE), conforme Edital e seus Anexos.</t>
  </si>
  <si>
    <t>10358190000177-1-000342/2026</t>
  </si>
  <si>
    <t>MUNICIPIO DE PETROLINA</t>
  </si>
  <si>
    <t>https://www.portaldecompraspublicas.com.br/processos/PE/Prefeitura-Municipal-de-Petrolina-1554/PE-081-2026-2026-511766</t>
  </si>
  <si>
    <t>[Portal de Compras Públicas] - Aquisição de SERINGAS DE INSULINA DE 1ml (descartável, com agulha 13 X 0,45mm) PARA ATENDER ÀS NECESSIDADES DA ASSISTÊNCIA FARMACÊUTICA.</t>
  </si>
  <si>
    <t>10565000000192-1-000818/2026</t>
  </si>
  <si>
    <t>MUNICIPIO DO RECIFE</t>
  </si>
  <si>
    <t>AQUISIÇÃO DE MATERIAIS MÉDICOS HOSPITALAR - MMH</t>
  </si>
  <si>
    <t>06554752000180-1-000020/2026</t>
  </si>
  <si>
    <t>MUNICIPIO DE ANGICAL DO PIAUI</t>
  </si>
  <si>
    <t>Angical do Piauí</t>
  </si>
  <si>
    <t>PI</t>
  </si>
  <si>
    <t>https://www.portaldecompraspublicas.com.br/processos/PI/Prefeitura-Municipal-de-Angical-do-Piaui-2291/RPE-Pregao-017-2026-2026-514237</t>
  </si>
  <si>
    <t>[Portal de Compras Públicas] - Registro de preços para Contratação de empresa especializada para fornecimento de material hospital, medicamentos e demais insumos para saúde para atender as demandas do Município de Angical do Piauí/PI.</t>
  </si>
  <si>
    <t>05522917000170-1-000188/2026</t>
  </si>
  <si>
    <t>FUNDACAO MUNICIPAL DE SAUDE</t>
  </si>
  <si>
    <t>Teresina</t>
  </si>
  <si>
    <t>https://cnetmobile.estaleiro.serpro.gov.br/comprasnet-web/public/compras/acompanhamento-compra?compra=92733706001382026</t>
  </si>
  <si>
    <t>O objeto da presente dispensa é a Contratação emergencial conforme o art. 75, VIII, da Lei 14.133/2021, para Fornecimento de fonte conforme descritivo abaixo, pelo prazo de um ano, para atender a demanda das unidades de saúde vinculadas à GAH/DAE/FMS. Cláusula Resolutiva: Cumpre destacar que este pr</t>
  </si>
  <si>
    <t>01612570000103-1-000021/2026</t>
  </si>
  <si>
    <t>MUNICIPIO DE CAMPO GRANDE DO PIAUI</t>
  </si>
  <si>
    <t>Campo Grande do Piauí</t>
  </si>
  <si>
    <t>CONTRATAÇÃO DE EMPRESA PARA FORNECIMENTO DE MEDICAMENTOS CONTROLADOS E MATERIAL HOSPITALAR PARA ATENDER AS NECESSIDADES DE CAMPO GRANDE DO PIAUÍ – PI.</t>
  </si>
  <si>
    <t>06553994000150-1-000044/2026</t>
  </si>
  <si>
    <t>MUNICIPIO DE SAO FRANCISCO DO PIAUI</t>
  </si>
  <si>
    <t>São Francisco do Piauí</t>
  </si>
  <si>
    <t>https://app2-compras.licitasaofranciscopi.com.br/pesquisa/9077</t>
  </si>
  <si>
    <t>Contratação de empresa especializada para fornecimento de oxigênio medicinal, visando assim, atender as necessidades da Secretaria Municipal de Saúde do município de São Francisco do Piauí/PI.</t>
  </si>
  <si>
    <t>06554364000108-1-000041/2026</t>
  </si>
  <si>
    <t>MUNICIPIO DE CRISTINO CASTRO</t>
  </si>
  <si>
    <t>Cristino Castro</t>
  </si>
  <si>
    <t>Registro de preço para futura e eventual contratação de empresa do ramo para realização de exames de imagens, procedimentos ortopédicos e consultas especializadas destinadas aos pacientes do município de Cristino Castro – PI</t>
  </si>
  <si>
    <t>76282656000106-1-000805/2026</t>
  </si>
  <si>
    <t>MUNICIPIO DE MARINGA</t>
  </si>
  <si>
    <t>Maringá</t>
  </si>
  <si>
    <t>PR</t>
  </si>
  <si>
    <t>https://cnetmobile.estaleiro.serpro.gov.br/comprasnet-web/public/compras/acompanhamento-compra?compra=98769105003982026</t>
  </si>
  <si>
    <t xml:space="preserve">Registro de Preços para aquisição de MATERIAIS MÉDICO-HOSPITALARES (cadarço vascular, embalagem SMS, seringa descartável, tubo endotraqueal, entre outros itens de MMH), para a Secretaria Municipal de Saúde, considerando a necessidade desses insumos para a manutenção das atividades da Rede Municipal </t>
  </si>
  <si>
    <t>76179829000165-1-000246/2026</t>
  </si>
  <si>
    <t>MUNICIPIO DE PALMEIRA</t>
  </si>
  <si>
    <t>Palmeira</t>
  </si>
  <si>
    <t>Registro de Preços, para eventual para contratação de empresa especializada para a realização de exames diagnóstico por imagem para atender a demanda dos usuários do Sistema Único de Saúde – SUS do Município de Palmeira</t>
  </si>
  <si>
    <t>75730994000109-1-000339/2026</t>
  </si>
  <si>
    <t>MUNICIPIO DE NOVA ESPERANCA</t>
  </si>
  <si>
    <t>Nova Esperança</t>
  </si>
  <si>
    <t>https://cnetmobile.estaleiro.serpro.gov.br/comprasnet-web/public/compras/acompanhamento-compra?compra=98772105000432026</t>
  </si>
  <si>
    <t xml:space="preserve">Registro de preços para futura contratação de pessoa jurídica para fornecimento de SOLUÇÕES PARENTERAIS DE GRANDE VOLUME (SPGV) e FIOS DE SUTURA CIRÚRGICOS por solicitação do Hospital Municipal Sagrado Coração de Jesus para utilização no atendimento dos pacientes das unidades de saúde, vinculados a </t>
  </si>
  <si>
    <t>75730994000109-1-000338/2026</t>
  </si>
  <si>
    <t xml:space="preserve">Registro de preços para futura contratação de pessoa jurídica para fornecimento de SOLUÇÕES PARENTERAIS DE GRANDE VOLUME (SPGV) e FIOS DE SUTURA CIRÚRGICOS por solicitação do hospital municipal sagrado coração de jesus para utilização no atendimento dos pacientes das unidades de saúde, vinculados a </t>
  </si>
  <si>
    <t>78101821000101-1-000176/2026</t>
  </si>
  <si>
    <t>MUNICIPIO DE VERA CRUZ DO OESTE</t>
  </si>
  <si>
    <t>Vera Cruz do Oeste</t>
  </si>
  <si>
    <t>https://cnetmobile.estaleiro.serpro.gov.br/comprasnet-web/public/compras/acompanhamento-compra?compra=98798905000282026</t>
  </si>
  <si>
    <t>Aquisição de equipamento e materiais odontológicos destinados a continuidade dos serviços odontológicos prestados pela Secretaria Municipal de Saúde do município de Vera Cruz do Oeste- Pr.</t>
  </si>
  <si>
    <t>23848859000150-1-000019/2026</t>
  </si>
  <si>
    <t>AUTARQUIA MUNICIPAL DE SAUDE DE RIO BOM - AMS - RB</t>
  </si>
  <si>
    <t>Rio Bom</t>
  </si>
  <si>
    <t>https://bnccompras.com/Process/ProcessView?param1=[gkz]jg_prRjFb3wASpdG69HrucN62O__EvT21Ubf/Nz_AsreQkY/z/yAIbhfTyXd51XAvjAQUT5G2CuIxvYyTJWuDfrPaQ4bxN9T8zxOTiljZCQ=</t>
  </si>
  <si>
    <t>REGISTRO DE PREÇOS PARA EVENTUAL AQUISIÇÃO DE PRODUTOS E MATERIAIS HOSPITALARES, DESTINADOS AO ATENDIMENTO DAS NECESSIDADES DA SECRETARIA MUNICIPAL DE SAÚDE DO MUNICÍPIO DE RIO BOM/PR.</t>
  </si>
  <si>
    <t>76175934000126-1-000056/2026</t>
  </si>
  <si>
    <t>MUNICIPIO DE IPIRANGA</t>
  </si>
  <si>
    <t>Ipiranga</t>
  </si>
  <si>
    <t>https://bllcompras.com/Process/ProcessView?param1=[gkz]tPbMSMV4apLmkQsyAR3vaytjf52MVp2CgnfqNRZ4TLyQI46IE0DEUI9QK/npo7TT_/bKXQVcIMOG2FnW47IaheY3NYSdd9bSC3bhhM_l7rg=</t>
  </si>
  <si>
    <t>Registro de preços para contratação de pessoa jurídica para fornecimento de materiais hospitalares, em atendimento a Secretaria Municipal de Saúde, Centro de Especialidades e ESFs e ao Hospital Municipal.</t>
  </si>
  <si>
    <t>01612413000190-1-000068/2026</t>
  </si>
  <si>
    <t>MUNICIPIO DE RIO BRANCO DO IVAI</t>
  </si>
  <si>
    <t>Rio Branco do Ivaí</t>
  </si>
  <si>
    <t>Aquisição de Medicamentos e insumos em carater emergencial para o municipio de Rio Branco do Ivaí.</t>
  </si>
  <si>
    <t>95642286000115-1-000066/2026</t>
  </si>
  <si>
    <t>MUNICIPIO DE ANGULO</t>
  </si>
  <si>
    <t>Ângulo</t>
  </si>
  <si>
    <t>Registro de Preços para aquisição parcelada de material médico/hospitalar para atendimento à demanda dos serviços prestados pela Secretaria Municipal de Saúde de Ângulo</t>
  </si>
  <si>
    <t>76970367000108-1-000077/2026</t>
  </si>
  <si>
    <t>MUNICIPIO DE LOBATO</t>
  </si>
  <si>
    <t>Lobato</t>
  </si>
  <si>
    <t>https://bnccompras.com/Process/ProcessView?param1=[gkz]Jv8FfM6u3XfXTf4mM1huHxgW9d5riakXxt8lfNAwMjbxYpV_UZ9HZJpNXcMwkVFyLnHUFiybQxG4PnoOa4IBm68FEbLSvsnlQVNlV9MS_Ao=</t>
  </si>
  <si>
    <t>REGISTRO DE PREÇO PARA FUTURA E EVENTUAL AQUISIÇÃO DE INSTRUMENTOS, UTENSÍLIOS E MATERIAIS DE USO MÉDICO-HOSPITALAR, PARA ATENDER AS NECESSIDADES DA SECRETARIA DE SAÚDE DO MUNICIPIO DE LOBATO – PARANÁ.</t>
  </si>
  <si>
    <t>76105527000142-1-000196/2026</t>
  </si>
  <si>
    <t>MUNICIPIO DE BALSA NOVA</t>
  </si>
  <si>
    <t>Balsa Nova</t>
  </si>
  <si>
    <t>Aquisição de EPI, EPC e vestimentas de segurança</t>
  </si>
  <si>
    <t>78279973000107-1-000215/2026</t>
  </si>
  <si>
    <t>MUNICIPIO DE TURVO</t>
  </si>
  <si>
    <t>Turvo</t>
  </si>
  <si>
    <t>https://cnetmobile.estaleiro.serpro.gov.br/comprasnet-web/public/compras/acompanhamento-compra?compra=98845305000512026</t>
  </si>
  <si>
    <t>REGISTRO DE PREÇO PARA EVENTUAL CONTRATAÇÃO DE EMPRESA ESPECIALIZADA PARA O FORNECIMENTO DE MATERIAIS DE CONSUMO, INSUMOS DE ENFERMAGEM E EQUIPAMENTOS PERMANENTES DESTINADOS À ATENÇÃO PRIMÁRIA À SAÚDE DO MUNICÍPIO DE TURVO/PR - REABERTURA.</t>
  </si>
  <si>
    <t>77008068000141-1-000108/2026</t>
  </si>
  <si>
    <t>MUNICIPIO DE IBAITI</t>
  </si>
  <si>
    <t>Ibaiti</t>
  </si>
  <si>
    <t>Registro de preços para futura e eventual aquisição de materiais de consumo hospitalar, destinados ao atendimento da demanda da Secretaria Municipal de Saúde e Fundação Hospitalar de Saúde Municipal de Ibaiti.</t>
  </si>
  <si>
    <t>01613770000172-1-000165/2026</t>
  </si>
  <si>
    <t>MUNICIPIO DE IMBAU</t>
  </si>
  <si>
    <t>Imbaú</t>
  </si>
  <si>
    <t>https://bllcompras.com/Process/ProcessView?param1=[gkz]WihBwLR0tLzQBIPmCcr7oVfAVL8DKTPi9tXqlZQiJ8GZywDyADHKcvIHhmeLqQAHWXzKJh5yYFKUhk7MdxhbIuLNbJV/EB6buaSw0QLRlxY=</t>
  </si>
  <si>
    <t>75193516000107-1-000063/2026</t>
  </si>
  <si>
    <t>MUNICIPIO DE SAO JOAO DO TRIUNFO</t>
  </si>
  <si>
    <t>São João do Triunfo</t>
  </si>
  <si>
    <t>https://bllcompras.com/Process/ProcessView?param1=[gkz]KAzH3hvu9VKlYE0VKViUo_ZD4b0TJ9Ugl7yPVYudzrm9zPrYxQhpQUQ/4f3Gf6_ikbp/RpXkZOwLZ0EVhbiY4edawnjynNLbg1rG45/4C_8=</t>
  </si>
  <si>
    <t>Registro de Preços para futuras e eventuais aquisições de Materiais de Consumo, enfermagem, laboratoriais e odontológicos.</t>
  </si>
  <si>
    <t>76968627000100-1-000294/2026</t>
  </si>
  <si>
    <t>MUNICIPIO DE SANTO ANTONIO DA PLATINA</t>
  </si>
  <si>
    <t>Santo Antônio da Platina</t>
  </si>
  <si>
    <t>Aquisição de fralda geriátrica para atendimento de demanda judicial pelo período de 12 (doze) meses.</t>
  </si>
  <si>
    <t>76966860000146-1-000278/2026</t>
  </si>
  <si>
    <t>MUNICIPIO DE JACAREZINHO</t>
  </si>
  <si>
    <t>Jacarezinho</t>
  </si>
  <si>
    <t>A presente licitacao tem por objeto a aquisicao de materiais hospitalares para a Fundo Municipal de Saude</t>
  </si>
  <si>
    <t>76381854000127-1-000120/2026</t>
  </si>
  <si>
    <t>MUNICIPIO DE CRUZEIRO DO OESTE</t>
  </si>
  <si>
    <t>Cruzeiro do Oeste</t>
  </si>
  <si>
    <t>https://bllcompras.com/Process/ProcessView?param1=[gkz]L9/X00JVVA9egWQ7X/C7lttkxiKSFGLFXCvhZOIadi1XD623yP_WSgog0cbo3hCtNyuYAOLHwd/pavRtXcLp3htQQfOSe7i3yjXamTkRQIc=</t>
  </si>
  <si>
    <t>CONTRATAÇÃO DE EMPRESA PARA FORNECIMENTO PARCELADO DE INSUMOS E MATERIAIS MÉDICO-HOSPITALARES PARA ATENDER AS NECESSIDADES DA SECRETARIA DE SAÚDE DO MUNICÍPIO DE CRUZEIRO DO OESTE-PR</t>
  </si>
  <si>
    <t>14814139000183-1-000160/2026</t>
  </si>
  <si>
    <t>FUNDACAO ESTATAL DE ATENCAO A SAUDE - FEAS</t>
  </si>
  <si>
    <t>Curitiba</t>
  </si>
  <si>
    <t>https://cnetmobile.estaleiro.serpro.gov.br/comprasnet-web/public/compras/acompanhamento-compra?compra=92828505000892026</t>
  </si>
  <si>
    <t>Registro de preços para futura aquisição de materiais hospitalares</t>
  </si>
  <si>
    <t>76208867000107-1-000516/2026</t>
  </si>
  <si>
    <t>MUNICIPIO DE CASCAVEL</t>
  </si>
  <si>
    <t>Cascavel</t>
  </si>
  <si>
    <t>Registro de Preços para a aquisição de Curativas Especiais em atendimento aos setores do Programa de Assistência e Internamento Domiciliar - PAID, no Centro de Atenção Especializada - CAE e nas Unidades de atendimento - UPA's.</t>
  </si>
  <si>
    <t>78279981000145-1-000126/2026</t>
  </si>
  <si>
    <t>MUNICIPIO DE CANTAGALO</t>
  </si>
  <si>
    <t>Cantagalo</t>
  </si>
  <si>
    <t>https://comprasbr.com.br/pregao-eletronico-detalhe/?idlicitacao=48181</t>
  </si>
  <si>
    <t>REGISTRO DE PREÇOS VISANDO A FUTURA E EVENTUAL AQUISIÇÃO DE MATERIAIS E MEDICAMENTOS VETERINÁRIOS PARA SUPRIR AS NECESSIDADES DA SECRETARIA DE AGRICULTURA</t>
  </si>
  <si>
    <t>76208867000107-1-000514/2026</t>
  </si>
  <si>
    <t>https://cnetmobile.estaleiro.serpro.gov.br/comprasnet-web/public/compras/acompanhamento-compra?compra=98749305000792026</t>
  </si>
  <si>
    <t>R.P. PARA AQUISIÇÃO DE CURATIVOS ESPECIAIS em atendimento à PAID, CAE e UPA'S.</t>
  </si>
  <si>
    <t>08597121000174-1-000353/2026</t>
  </si>
  <si>
    <t>FUNDO ESTADUAL DE SAUDE DO PARANA - FUNSAUDE</t>
  </si>
  <si>
    <t>https://cnetmobile.estaleiro.serpro.gov.br/comprasnet-web/public/compras/acompanhamento-compra?compra=45679305000752026</t>
  </si>
  <si>
    <t>Aquisição de materiais hospitalares diversos solução clorexidina 0,2%, valvula, mascara anestesia, kit dreno.</t>
  </si>
  <si>
    <t>76966860000146-1-000277/2026</t>
  </si>
  <si>
    <t>https://cnetmobile.estaleiro.serpro.gov.br/comprasnet-web/public/compras/acompanhamento-compra?compra=92655205000242026</t>
  </si>
  <si>
    <t>Registro de preço para aquisição de materiais hospitalares para Secretaria Municipal de Saúde e Corpo de Bombeiros, conforme anexo I do Edital - Termo de Referência.</t>
  </si>
  <si>
    <t>13792329000184-1-000211/2026</t>
  </si>
  <si>
    <t>FUNDO MUNICIPAL DA SAUDE</t>
  </si>
  <si>
    <t>AQUISIÇÃO DE MATERIAL DE CONSUMO ODONTOLÓGICO PARA SECRETARIA MUNICIPAL DE SAÚDE, ATRAVÉS DA MODALIDADE DE PREGÃO - COM ITENS EXCLUSIVOS E COTA RESERVADA PARA MICROEMPRESAS, EMPRESAS DE PEQUENO PORTE E MICROEMPREENDEDORES INDIVIDUAIS - ME/EPP/MEI</t>
  </si>
  <si>
    <t>75972760000160-1-000261/2026</t>
  </si>
  <si>
    <t>MUNICIPIO DE CAPANEMA</t>
  </si>
  <si>
    <t>REGISTRO DE PREÇOS PARA AQUISIÇÃO DE MATERIAIS HOSPITALARES E MATERIAIS DE RESGATE, EXCLUSIVAMENTE QUANTO AOS ITENS QUE RESTARAM DESERTOS E/OU FRACASSADOS NO PREGÃO ELETRÔNICO Nº 34/2026, DESTINADOS ÀS UNIDADES BÁSICAS DE SAÚDE E À 3ª SEÇÃO DE BOMBEIROS DO MUNICÍPIO DE CAPANEMA/PR</t>
  </si>
  <si>
    <t>75972760000160-1-000245/2026</t>
  </si>
  <si>
    <t>https://cnetmobile.estaleiro.serpro.gov.br/comprasnet-web/public/compras/acompanhamento-compra?compra=98748705000372026</t>
  </si>
  <si>
    <t>Registro de preços para aquisição de materiais hospitalares e materiais de resgate, exclusivamente quanto aos itens que restaram desertos e/ou fracassados no Pregão Eletrônico nº 34/2026, destinados às Unidades Básicas de Saúde e à 3ª Seção de Bombeiros do Município de Capanema/PR.</t>
  </si>
  <si>
    <t>76206481000158-1-000139/2026</t>
  </si>
  <si>
    <t>MUNICIPIO DE MEDIANEIRA</t>
  </si>
  <si>
    <t>Medianeira</t>
  </si>
  <si>
    <t>AQUISIÇÃO DE INSUMOS ODONTOLÓGICOS PARA SUPRIR AS NECESSIDADES DA REDE ODONTOLOGICA DAS UNIDADES BASICAS DE SAUDE E CENTRO DE ESPECIALIDADES ODONTOLOGICAS (CEO).</t>
  </si>
  <si>
    <t>75095679000149-1-000562/2026</t>
  </si>
  <si>
    <t>UNIVERSIDADE FEDERAL DO PARANA</t>
  </si>
  <si>
    <t>https://cnetmobile.estaleiro.serpro.gov.br/comprasnet-web/public/compras/acompanhamento-compra?compra=15307906006692026</t>
  </si>
  <si>
    <t>quisição de material de coleta e de laboratório, para atender as necessidades da Laboratório Escola de Análises Clínicas/ Departamento de Análises Clínicas/ Setor de Ciências da Saúde</t>
  </si>
  <si>
    <t>76208495000100-1-000220/2026</t>
  </si>
  <si>
    <t>MUNICIPIO DE FORMOSA DO OESTE</t>
  </si>
  <si>
    <t>Formosa do Oeste</t>
  </si>
  <si>
    <t>https://cnetmobile.estaleiro.serpro.gov.br/comprasnet-web/public/compras/acompanhamento-compra?compra=98756106000442026</t>
  </si>
  <si>
    <t>Aquisição de vacinas antirrábicas para cães e gatos - Programa Permanente de Esterilização Cirúrgica de Cães e Gatos – CastraPet Paraná.</t>
  </si>
  <si>
    <t>95585477000192-1-000083/2026</t>
  </si>
  <si>
    <t>MUNICIPIO DE SAUDADE DO IGUACU</t>
  </si>
  <si>
    <t>Saudade do Iguaçu</t>
  </si>
  <si>
    <t>https://bllcompras.com/Process/ProcessView?param1=[gkz]2IdsFpQ3eyclrLTBSoqtj9vD0bL3IybHim3Pe9Afo5w5diRhOE0ozZU1EK6aTdaBuZw68hqDKvD8kWQxShk7kELkMTCfHW2J/7fn95xv3Bo=</t>
  </si>
  <si>
    <t>Registro de Preços para futura e eventual aquisição de sêmen bovino de raças com aptidão leiteira, bem como de equipamentos e materiais necessários à realização dos serviços, destinados ao atendimento dos produtores de leite do Município de Saudade do Iguaçu.</t>
  </si>
  <si>
    <t>78680337000699-1-000175/2026</t>
  </si>
  <si>
    <t>UNIVERSIDADE ESTADUAL DO OESTE DO PARANA</t>
  </si>
  <si>
    <t>Francisco Beltrão</t>
  </si>
  <si>
    <t>https://cnetmobile.estaleiro.serpro.gov.br/comprasnet-web/public/compras/acompanhamento-compra?compra=92627606000422026</t>
  </si>
  <si>
    <t>Aquisição de materiais de consumo para o Ambulatório Médico</t>
  </si>
  <si>
    <t>78680337000770-1-000409/2026</t>
  </si>
  <si>
    <t>https://cnetmobile.estaleiro.serpro.gov.br/comprasnet-web/public/compras/acompanhamento-compra?compra=92627705000902026</t>
  </si>
  <si>
    <t>Aquisição de avental cirúrgico estéril para atender a demanda das Unidades de Internamento do Hospital Universitário do Oeste do Paraná - HUOP.</t>
  </si>
  <si>
    <t>75741330000137-1-000325/2026</t>
  </si>
  <si>
    <t>MUNICIPIO DE IVAIPORA</t>
  </si>
  <si>
    <t>Ivaiporã</t>
  </si>
  <si>
    <t>AQUISIÇÃO DE MATERIAIS ODONTOLÓGICOS EM ATENDIMENTO AS NECESSIDADES DA SECRETARIA MUNICIPAL DE SAÚDE.</t>
  </si>
  <si>
    <t>01619323000120-1-000157/2026</t>
  </si>
  <si>
    <t>MUNICIPIO DE FERNANDES PINHEIRO</t>
  </si>
  <si>
    <t>Fernandes Pinheiro</t>
  </si>
  <si>
    <t>Aquisição de materiais de consumo odontológico para a Secretaria Municipal de Saúde.</t>
  </si>
  <si>
    <t>75904524000106-1-000396/2026</t>
  </si>
  <si>
    <t>MUNICIPIO DE CAMPO MOURAO</t>
  </si>
  <si>
    <t>Campo Mourão</t>
  </si>
  <si>
    <t>AQUISIÇÃO DE EQUIPAMENTOS DE PROTEÇÃO INDIVIDUAL (EPI'S) PARA FORNECER AOS SERVIDORES MUNICIPAIS - SEADM</t>
  </si>
  <si>
    <t>08597121000174-1-000400/2026</t>
  </si>
  <si>
    <t>https://cnetmobile.estaleiro.serpro.gov.br/comprasnet-web/public/compras/acompanhamento-compra?compra=45679305000982026</t>
  </si>
  <si>
    <t>Registro de Preços, por um período de 1 ano, podendo ser prorrogado por igual período, para futura e eventual aquisição de MMH (cânulas de AMIU e dosadores oral).</t>
  </si>
  <si>
    <t>08597121000174-1-000389/2026</t>
  </si>
  <si>
    <t>https://cnetmobile.estaleiro.serpro.gov.br/comprasnet-web/public/compras/acompanhamento-compra?compra=45679305000922026</t>
  </si>
  <si>
    <t>A presente licitação tem por objeto o Registro de Preços, por um período de 1 ano, podendo ser prorrogado por igual período, para futura e eventual aquisição eletrodo, termômetro e insumos.</t>
  </si>
  <si>
    <t>76175884000187-1-000401/2026</t>
  </si>
  <si>
    <t>MUNICIPIO DE PONTA GROSSA</t>
  </si>
  <si>
    <t>Ponta Grossa</t>
  </si>
  <si>
    <t>https://cnetmobile.estaleiro.serpro.gov.br/comprasnet-web/public/compras/acompanhamento-compra?compra=98777705000812026</t>
  </si>
  <si>
    <t>Registro de Preços para aquisição de equipamentos médicos de pequeno porte para suprir as necessidades de todas as áreas demandantes da Secretaria Municipal de Saúde.</t>
  </si>
  <si>
    <t>76416866000140-1-000118/2026</t>
  </si>
  <si>
    <t>Registro de Preços, pelo período de 1 um ano, podendo ser prorrogado por igual período, desde que comprovado o preço vantajoso, para futura e eventual aquisição de eletrodo, termômetro e insumos</t>
  </si>
  <si>
    <t>75963850000194-1-000088/2026</t>
  </si>
  <si>
    <t>MUNICIPIO DE TEIXEIRA SOARES</t>
  </si>
  <si>
    <t>Teixeira Soares</t>
  </si>
  <si>
    <t>https://cnetmobile.estaleiro.serpro.gov.br/comprasnet-web/public/compras/acompanhamento-compra?compra=98791305000152026</t>
  </si>
  <si>
    <t>Aquisição de itens e produtos veterinários destinados à Secretaria Municipal de Agricultura, visando atender às atividades de atendimento e assistência médico-veterinária realizadas pelo profissional responsável junto aos produtores rurais e animais do Município</t>
  </si>
  <si>
    <t>76416866000140-1-000123/2026</t>
  </si>
  <si>
    <t>Registro de Preços, pelo período de 1 um ano, podendo ser prorrogado por igual período, desde que comprovado o preço vantajoso, para futura e eventual aquisição de MMH cânulas de AMIU e dosadores oral</t>
  </si>
  <si>
    <t>75771295000107-1-000120/2026</t>
  </si>
  <si>
    <t>MUNICIPIO DE FAXINAL</t>
  </si>
  <si>
    <t>Faxinal</t>
  </si>
  <si>
    <t>https://bllcompras.com/Process/ProcessView?param1=[gkz]k1Yb9hue72aAsjkOIBrvr9nenUQHuVVjuy6FiEslZWU4mmcfar7OnMoMa082wwVxF_MmhjBQ50eqXpeoSzE6Fx7Rs3YDwaFHn6IB18lMZ4I=</t>
  </si>
  <si>
    <t>REGISTRO DE PREÇO PARA FUTURA E EVENTUAL AQUISIÇÃO DE MATERIAIS, INSUMOS E EQUIPAMENTOS DE PROTEÇÃO INDIVIDUAL – EPIS DESTINADOS AO ATENDIMENTO PRÉ-HOSPITALAR DE URGÊNCIA E EMERGÊNCIA, RESGATE, SALVAMENTO, COMBATE A INCÊNDIO E APOIO OPERACIONAL, VISANDO ATENDER ÀS NECESSIDADES DO SERVIÇO DE ATENDIME</t>
  </si>
  <si>
    <t>75687681000107-1-000101/2026</t>
  </si>
  <si>
    <t>MUNICIPIO DE GENERAL CARNEIRO</t>
  </si>
  <si>
    <t>General Carneiro</t>
  </si>
  <si>
    <t>https://bllcompras.com/Process/ProcessView?param1=[gkz]mXBC7F_yoXZhf0tZMgGk702VBsTSGcALnneTMLNe2Y_OvJh8pYpTUbebwVn5aPCa5jIoEyG0jhHWbS1yNin97Y7uJIul7FIpswwhuw8WWWQ=</t>
  </si>
  <si>
    <t xml:space="preserve">Registro de Preços para futura e eventual aquisição parcelada de materiais médico-hospitalares, destinados ao atendimento das necessidades do Pronto Atendimento Municipal e das demais Unidades de Saúde da Secretaria Municipal de Saúde de General Carneiro – PR, conforme especificações, quantitativos </t>
  </si>
  <si>
    <t>95422846000126-1-000242/2026</t>
  </si>
  <si>
    <t>MUNICIPIO DE ITAPERUCU</t>
  </si>
  <si>
    <t>Itaperuçu</t>
  </si>
  <si>
    <t>AQUISIÇÃO DE KITS MATERNIDADE DESTINADOS À EXECUÇÃO DO PROGRAMA NASCER BEM ITAPERUÇU, VISANDO ATENDER GESTANTES E RECÉM-NASCIDOS EM SITUAÇÃO DE VULNERABILIDADE SOCIAL, POR MEIO DO FORNECIMENTO DE ITENS ESSENCIAIS DE HIGIENE, VESTUÁRIO, CONFORTO E CUIDADOS BÁSICOS PARA O RECÉM-NASCIDO</t>
  </si>
  <si>
    <t>76970375000146-1-000098/2026</t>
  </si>
  <si>
    <t>MUNICIPIO DE SANTO INACIO</t>
  </si>
  <si>
    <t>Santo Inácio</t>
  </si>
  <si>
    <t>REGISTRO DE PREÇOS PARA CONTRATAÇÃO DE EMPRESA ESPECIALIZADA PARA O FORNECIMENTO DE EQUIPAMENTOS DE PROTEÇÃO INDIVIDUAL (EPIS), DESTINADOS À PROTEÇÃO E SEGURANÇA DOS SERVIDORES PÚBLICOS MUNICIPAIS, VISANDO ATENDER ÀS NECESSIDADES DOS DIVERSOS DEPARTAMENTOS DA ADMINISTRAÇÃO PÚBLICA DO MUNICÍPIO DE SA</t>
  </si>
  <si>
    <t>14814139000183-1-000161/2026</t>
  </si>
  <si>
    <t>https://cnetmobile.estaleiro.serpro.gov.br/comprasnet-web/public/compras/acompanhamento-compra?compra=92828505000902026</t>
  </si>
  <si>
    <t>PE 106 CG 90 Registro de preços para futura aquisição de materiais hospitalares.</t>
  </si>
  <si>
    <t>76208842000103-1-000116/2026</t>
  </si>
  <si>
    <t>MUNICIPIO DE CATANDUVAS</t>
  </si>
  <si>
    <t>Catanduvas</t>
  </si>
  <si>
    <t>REGISTRO DE PRECOS PARA FUTURA E EVENTUAL AQUISICAO DE MATERIAL MEDICO HOSPITALAR.</t>
  </si>
  <si>
    <t>75771477000170-1-000415/2026</t>
  </si>
  <si>
    <t>MUNICIPIO DE LONDRINA</t>
  </si>
  <si>
    <t>Londrina</t>
  </si>
  <si>
    <t>Registro de Preços para eventual aquisição de produtos para a saúde padronizados SEI nº 19.008.146965/2026-43</t>
  </si>
  <si>
    <t>75771477000170-1-000414/2026</t>
  </si>
  <si>
    <t>https://cnetmobile.estaleiro.serpro.gov.br/comprasnet-web/public/compras/acompanhamento-compra?compra=98766705000612026</t>
  </si>
  <si>
    <t>Registro de Preços para eventual aquisição de produtos para a saúde padronizados</t>
  </si>
  <si>
    <t>80059918000145-1-000009/2026</t>
  </si>
  <si>
    <t>FUNDACAO MUNICIPAL DE SAUDE PUBLICA DE PAULO FRONTIN</t>
  </si>
  <si>
    <t>Paulo Frontin</t>
  </si>
  <si>
    <t>https://bllcompras.com/Process/ProcessView?param1=[gkz]xOceSlNhgnl4uKjnQ3NKU29S9M/0pTVzaplsdnD02LCYwjMS0BZcgqvhCb9CeyL_j8ilQD8fB6UzdNubRZOcqeoHHNEfFXCeJbPi6wTUP8U=</t>
  </si>
  <si>
    <t>PRODUTOS DESTINADOS À UTILIZAÇÃO EM PROCEDIMENTOS MÉDICOS, LIMPEZA, DESINFECÇÃO E LAVANDERIA HOSPITALAR DO PRONTO ATENDIMENTO MUNICIPAL SÃO JOÃO BATISTA e as demais Unidades Básicas de Saúde da Fundação Municipal de Saúde Pública de Paulo Frontin/PR</t>
  </si>
  <si>
    <t>75424507000171-1-000039/2026</t>
  </si>
  <si>
    <t>MUNICIPIO DE URAI</t>
  </si>
  <si>
    <t>Uraí</t>
  </si>
  <si>
    <t>https://bllcompras.com/Process/ProcessView?param1=[gkz]Wr6GcWkKUk8bhsOBU/JYWR3xzxbC7NA6hYbpf4k2YPRRKP7Uv9i0bH5d9hK/8AD6r0b6NLSpMdUJWoAGxPFOOoCqrUUI7kAi7A/6qCMdwtk=</t>
  </si>
  <si>
    <t xml:space="preserve">CONTRATAÇÃO DE EMPRESA PARA FORNECIMENTO DE MATERIAL E EQUIPAMENTOS HOSPITALARES, ODONTOLÓGICOS E FISIOTERÁPICOS COM OBJETIVO DE PROMOVER A ESTRUTURAÇÃO DA REDE DA ATENÇÃO BÁSICA DE SAÚDE E ATENDER AS NECESSIDADES DOS ESTABELECIMENTOS DE SAÚDE MANTENDO OS MESMOS EM CONDIÇÕES DE PLENO FUNCIONAMENTO, </t>
  </si>
  <si>
    <t>08597121000174-1-000403/2026</t>
  </si>
  <si>
    <t>https://cnetmobile.estaleiro.serpro.gov.br/comprasnet-web/public/compras/acompanhamento-compra?compra=45679305001002026</t>
  </si>
  <si>
    <t>A presente licitação tem por objeto o Registro de Preços, por um período de 1 ano, podendo ser prorrogado por igual período, para futura e eventual aquisição de Máscara Laríngea e Sistema de Anestesia.</t>
  </si>
  <si>
    <t>80257355000108-1-000387/2026</t>
  </si>
  <si>
    <t>UNIVERSIDADE ESTADUAL DE PONTA GROSSA</t>
  </si>
  <si>
    <t>https://cnetmobile.estaleiro.serpro.gov.br/comprasnet-web/public/compras/acompanhamento-compra?compra=45116405000422026</t>
  </si>
  <si>
    <t>Aquisição de Material Médico Hospitalar</t>
  </si>
  <si>
    <t>76416866000140-1-000124/2026</t>
  </si>
  <si>
    <t>Registro de Preços, pelo período de 1 um ano, podendo ser prorrogado por igual período, desde que comprovado o preço vantajoso, para futura e eventual aquisição de Máscara Laríngea e Sistema de Anestesia</t>
  </si>
  <si>
    <t>76288760000108-1-000272/2026</t>
  </si>
  <si>
    <t>MUNICIPIO DE ROLANDIA</t>
  </si>
  <si>
    <t>Rolândia</t>
  </si>
  <si>
    <t xml:space="preserve">A presente licitacao tem por objeto de Registro de precos para futura e eventual aquisicao de materiais odontologicos abrangendo materiais de consumo insumos e demais itens necessarios ao desenvolvimento das acoes de promocao prevencao e assistencia em saude bucal destinados as Unidades de Saude do </t>
  </si>
  <si>
    <t>76288760000108-1-000273/2026</t>
  </si>
  <si>
    <t>https://comprasbr.com.br/pregao-eletronico-detalhe/?idlicitacao=48440</t>
  </si>
  <si>
    <t>A presente licitação tem por objeto de Registro de preços para futura e eventual aquisição de materiais odontológicos, abrangendo materiais de consumo, insumos e demais itens necessários ao desenvolvimento das ações de promoção, prevenção e assistência em saúde bucal, destinados às Unidades de Saúde</t>
  </si>
  <si>
    <t>42498733000148-1-002015/2026</t>
  </si>
  <si>
    <t>MUNICIPIO DE RIO DE JANEIRO</t>
  </si>
  <si>
    <t>Rio de Janeiro</t>
  </si>
  <si>
    <t>RJ</t>
  </si>
  <si>
    <t>https://cnetmobile.estaleiro.serpro.gov.br/comprasnet-web/public/compras/acompanhamento-compra?compra=98600106017612026</t>
  </si>
  <si>
    <t xml:space="preserve">CATETER CENTRAL DE INSERCAO PE RIFERICA (PICC), CALIBRE DE DIAMETRO CERCA DE 4FRX CATETER CENTRAL, APLICACAO: VENOSO, CONECTORES PADRAO, CLAMP EM TODAS VIAS EE TAMPAS. COM CONJ. INTRODUTOR COMPLETO. MATERIA PRIMA: POLIURETANO RADIOPACOCOMPRIMENTO: CERCA 55 CM, COMPOSICAO DO CONJ.:CATETER PERCUTANEO </t>
  </si>
  <si>
    <t>33663683000116-1-000494/2026</t>
  </si>
  <si>
    <t>UNIVERSIDADE FEDERAL DO RIO DE JANEIRO</t>
  </si>
  <si>
    <t>https://cnetmobile.estaleiro.serpro.gov.br/comprasnet-web/public/compras/acompanhamento-compra?compra=15314706000972026</t>
  </si>
  <si>
    <t>Aquisição de material hospitalar para atendimento das pacientes do Instituto de Ginecologia.</t>
  </si>
  <si>
    <t>00394544000185-1-002026/2026</t>
  </si>
  <si>
    <t>https://cnetmobile.estaleiro.serpro.gov.br/comprasnet-web/public/compras/acompanhamento-compra?compra=25005205008562026</t>
  </si>
  <si>
    <t>AQUISIÇÃO DE MATERIAL CIRÚRGICO.</t>
  </si>
  <si>
    <t>29138344000143-1-000300/2026</t>
  </si>
  <si>
    <t>MUNICIPIO DE PETROPOLIS</t>
  </si>
  <si>
    <t>Petrópolis</t>
  </si>
  <si>
    <t>https://bllcompras.com/Process/ProcessView?param1=[gkz]Vd0rCoKcitUy2AizhGTykL_xxNmFHoldXrCL4xxkQMEJnDkzD_HqfcH3roxMhEk6UPhsU3/87f4JMYSc7hchHx/0iH5kR7McCC8/QsxoI2w=</t>
  </si>
  <si>
    <t>REGISTRO DE PREÇOS, PARA AQUISIÇÃO DE FRALDAS DESCARTÁVEIS PARA ATENDER PROCESSOS JUDICIAIS/ADMINISTRATIVOS, HMNSE, PSLS, SAÚDE MENTAL E DEMAIS UNIDADES DA SECRETARIA MUNICIPAL DE SAÚDE, PELO PERÍODO DE 12 (DOZE) MESES</t>
  </si>
  <si>
    <t>11308894000106-1-000123/2026</t>
  </si>
  <si>
    <t>Macaé</t>
  </si>
  <si>
    <t>https://cnetmobile.estaleiro.serpro.gov.br/comprasnet-web/public/compras/acompanhamento-compra?compra=92715205000762026</t>
  </si>
  <si>
    <t>Aquisição de materiais hospitalares do tipo tubos endotraqueais, fixadores de tubo, guias de entubação e mascaras laríngea, visando atender as necessidades da SECRETARIA EXECUTIVA DE ALTA E MÉDIA COMPLEXIDADE.</t>
  </si>
  <si>
    <t>11308894000106-1-000122/2026</t>
  </si>
  <si>
    <t>https://cnetmobile.estaleiro.serpro.gov.br/comprasnet-web/public/compras/acompanhamento-compra?compra=92715205000752026</t>
  </si>
  <si>
    <t>Aquisição de materiais de consumo hospitalares do tipo sistema fechado de aspiração traqueal, visando atender as necessidades de todas as unidades de urgência/emergência, vinculadas a Secretaria Executiva de Alta e Média Complexidade.</t>
  </si>
  <si>
    <t>42498733000148-1-002039/2026</t>
  </si>
  <si>
    <t>https://cnetmobile.estaleiro.serpro.gov.br/comprasnet-web/public/compras/acompanhamento-compra?compra=98600106017882026</t>
  </si>
  <si>
    <t>FIO, NYLON AGULHA CORTANTE 3/8, 2,0CM MONOFILAMENTAR, DIAMETRO 0 (ZERO), COM AGULHA CORTANTE DE 3/8 DE CIRCULO E 2,0CM DE COMPRIMENTO, FIO, NYLON 3-0, AGULHA CORTANTE RETA, 6,0CM MONOFILAMENTAR, DIAMETRO 3-0,ENVELOPE COM 3 FIOS,75 CM,COM AGULHA CORTANTE RETA,6.OCM, FIO,POLIPROPILENO,DIAMETRO 6-0 COM</t>
  </si>
  <si>
    <t>42498733000148-1-002038/2026</t>
  </si>
  <si>
    <t>https://cnetmobile.estaleiro.serpro.gov.br/comprasnet-web/public/compras/acompanhamento-compra?compra=98600106017852026</t>
  </si>
  <si>
    <t>1 - Traçado confeccionado em tecido brim, sarja 2x1, 100% algodão, fio singelo, indanthrene, resistente a lavagem hospitalar, 2 - Quimono confeccionado em tecido cretone, 100% algodão. Tamanho: G 3 - Quimono confeccionado em tecido cretone, 100% algodão. 4 - Conjunto cirúrgico confec. tecido brim, s</t>
  </si>
  <si>
    <t>42498733000148-1-002035/2026</t>
  </si>
  <si>
    <t>https://cnetmobile.estaleiro.serpro.gov.br/comprasnet-web/public/compras/acompanhamento-compra?compra=98600106017862026</t>
  </si>
  <si>
    <t>MALHA TUBULAR FIXAR CURATIVOS, No 5 MALHA TUBULAR ELASTICA PARA FIXAR CURATIVOS EM DIVERSAS PARTES DO CORPO, BOA ELASTICIDADE. RESISTENTE, LAVAVEL E DE FACIL APLICACAO. ACONDICIONADO EM ROLO NUMERO 5, MALHA TUBULAR FIXAR CURATIVOS, No 6MALHA TUBULAR ELASTICA PARA FIXAR CURATIVOS EM DIVERSAS PARTES D</t>
  </si>
  <si>
    <t>39217831000155-1-000153/2026</t>
  </si>
  <si>
    <t>MUNICIPIO DE VARRE-SAI</t>
  </si>
  <si>
    <t>Varre-Sai</t>
  </si>
  <si>
    <t>https://www.portaldecompraspublicas.com.br/processos/RJ/Prefeitura-Municipal-de-Varre-Sai-4519/RPE-39-2026-2026-514155</t>
  </si>
  <si>
    <t>[Portal de Compras Públicas] - REGISTRO DE PREÇOS PARA FUTURA E EVENTUAL AQUISIÇÃO DE MEDICAMENTOS, INSUMOS, MATERIAIS DE CONSUMO, EQUIPAMENTOS DE PROTEÇÃO INDIVIDUAL - EPIs, INSTRUMENTOS E EQUIPAMENTOS DE USO VETERINÁRIO, DESTINADOS AO ATENDIMENTO DAS AÇÕES DESENVOLVIDAS PELO SETOR DE VETERINÁRIA D</t>
  </si>
  <si>
    <t>00394544000185-1-002094/2026</t>
  </si>
  <si>
    <t>https://cnetmobile.estaleiro.serpro.gov.br/comprasnet-web/public/compras/acompanhamento-compra?compra=25005205008862026</t>
  </si>
  <si>
    <t>AQUISIÇÃO DE CÂNULAS DIVERSAS (PROCESSO: 25410.005850/2025-60)</t>
  </si>
  <si>
    <t>11216262000104-1-000013/2026</t>
  </si>
  <si>
    <t>Vassouras</t>
  </si>
  <si>
    <t>https://cnetmobile.estaleiro.serpro.gov.br/comprasnet-web/public/compras/acompanhamento-compra?compra=92749205000072026</t>
  </si>
  <si>
    <t>FUTURA E EVENTUAL AQUISIÇÃO DE MATERIAIS E INSUMOS DESTINADOS À SAÚDE DA MULHER.</t>
  </si>
  <si>
    <t>29138328000150-1-000089/2026</t>
  </si>
  <si>
    <t>MUNICIPIO DE DUQUE DE CAXIAS</t>
  </si>
  <si>
    <t>Duque de Caxias</t>
  </si>
  <si>
    <t>https://cnetmobile.estaleiro.serpro.gov.br/comprasnet-web/public/compras/acompanhamento-compra?compra=98583305000632026</t>
  </si>
  <si>
    <t>REGISTRO DE PREÇOS PARA FUTURO E EVENTUAL FORNECIMENTO DE MATERIAL DE CONSUMO DE DISPOSITIVOS IMPLANTÁVEIS, INSUMOS, EQUIPAMENTOS E ACESSÓRIOS, PARA O SERVIÇO DE ESTIMULAÇÃO CARDÍACA/ARRITMIA DO HOSPITAL MUNICIPAL DO CORAÇÃO SÃO JOSÉ - HMCOR-SJ, conforme especificações e quantidades estabelecidas no</t>
  </si>
  <si>
    <t>08772020000192-1-000004/2027</t>
  </si>
  <si>
    <t>Casimiro de Abreu</t>
  </si>
  <si>
    <t>https://cnetmobile.estaleiro.serpro.gov.br/comprasnet-web/public/compras/acompanhamento-compra?compra=46272305001092027</t>
  </si>
  <si>
    <t>O objeto da presente licitação é a aquisição de materiais de insumo odontológicos.</t>
  </si>
  <si>
    <t>12014954000132-1-000042/2026</t>
  </si>
  <si>
    <t>FUNDO MUNICIPAL DE SAUDE DE MENDES</t>
  </si>
  <si>
    <t>Mendes</t>
  </si>
  <si>
    <t>https://cnetmobile.estaleiro.serpro.gov.br/comprasnet-web/public/compras/acompanhamento-compra?compra=92856905000312026</t>
  </si>
  <si>
    <t>Futura e eventual aquisição de materiais correlatos para atendimento às demandas judiciais dos pacientes do Município de Mendes/RJ, para o período de 12 meses, através do Sistema de Registro de Preços, conforme condições, quantidades e exigências estabelecidas neste Edital e seus anexos.</t>
  </si>
  <si>
    <t>33781055000135-1-001692/2026</t>
  </si>
  <si>
    <t>FUNDACAO OSWALDO CRUZ</t>
  </si>
  <si>
    <t>https://cnetmobile.estaleiro.serpro.gov.br/comprasnet-web/public/compras/acompanhamento-compra?compra=25449205001022026</t>
  </si>
  <si>
    <t>Aquisição de material médico-hospitalar (G3)</t>
  </si>
  <si>
    <t>39260120000163-1-000029/2026</t>
  </si>
  <si>
    <t>FUNDACAO MUNICIPAL DE SAUDE DE SAO GONCALO</t>
  </si>
  <si>
    <t>São Gonçalo</t>
  </si>
  <si>
    <t>https://cnetmobile.estaleiro.serpro.gov.br/comprasnet-web/public/compras/acompanhamento-compra?compra=92911605000102026</t>
  </si>
  <si>
    <t>Aquisição de Equipamento e Material permamente</t>
  </si>
  <si>
    <t>42498733000148-1-001977/2026</t>
  </si>
  <si>
    <t>https://cnetmobile.estaleiro.serpro.gov.br/comprasnet-web/public/compras/acompanhamento-compra?compra=98600106017232026</t>
  </si>
  <si>
    <t>Aquisição de material médico hospitalar sem ata de registro de preços, para abastecimento dos setores do Hospital do Andaraí.</t>
  </si>
  <si>
    <t>00394445000101-1-000247/2026</t>
  </si>
  <si>
    <t>MINISTERIO DA EDUCACAO</t>
  </si>
  <si>
    <t>https://cnetmobile.estaleiro.serpro.gov.br/comprasnet-web/public/compras/acompanhamento-compra?compra=15200406001772026</t>
  </si>
  <si>
    <t>Aquisição de Material de apoio cirúrgico (por grupos), com entrega parcelada, para atender às necessidades do Centro Cirúrgico da Divisão de Pesquisa e Atendimento Médico, Odontológico e Nutricional, conforme condições e exigências estabelecidas no Termo de Referência.</t>
  </si>
  <si>
    <t>00394544000185-1-002122/2026</t>
  </si>
  <si>
    <t>https://cnetmobile.estaleiro.serpro.gov.br/comprasnet-web/public/compras/acompanhamento-compra?compra=25005905002502026</t>
  </si>
  <si>
    <t>AQUISIÇÃO DE MATERIAIS HOSPITALARES - GERAL - PERFURO II</t>
  </si>
  <si>
    <t>00394502000144-1-013264/2026</t>
  </si>
  <si>
    <t>COMANDO DA MARINHA</t>
  </si>
  <si>
    <t>https://cnetmobile.estaleiro.serpro.gov.br/comprasnet-web/public/compras/acompanhamento-compra?compra=76420006000832026</t>
  </si>
  <si>
    <t>Aquisição de itens para compor material de primeiros socorros (suporte básico de vida).</t>
  </si>
  <si>
    <t>42498733000148-1-002050/2026</t>
  </si>
  <si>
    <t>https://cnetmobile.estaleiro.serpro.gov.br/comprasnet-web/public/compras/acompanhamento-compra?compra=98600106017962026</t>
  </si>
  <si>
    <t>FIO,POLIGLACTINA,DIAMETRO 0,COM 70 CM DE COMPRIMENTO,ESTERIL,COM AGULHA CILINDRICA DE 3/8 DE CIRCULO E 3,0 CM DE COMPRIMENTO.EMBALADO EM ENVELOPE ALUMINIZADO</t>
  </si>
  <si>
    <t>00394452000103-1-020808/2026</t>
  </si>
  <si>
    <t>https://cnetmobile.estaleiro.serpro.gov.br/comprasnet-web/public/compras/acompanhamento-compra?compra=16032205000682026</t>
  </si>
  <si>
    <t>Aquisição de material de consumo e OPME para as clínicas de radio. interv. e hemodinâmica do HCE.</t>
  </si>
  <si>
    <t>29114121000146-1-000045/2026</t>
  </si>
  <si>
    <t>MUNICIPIO DE MIRACEMA</t>
  </si>
  <si>
    <t>Miracema</t>
  </si>
  <si>
    <t>https://licitanet.com.br/sessao/202357</t>
  </si>
  <si>
    <t>[LICITANET] - Registro de preços para eventual aquisição de material odontológico</t>
  </si>
  <si>
    <t>00394452000103-1-021804/2026</t>
  </si>
  <si>
    <t>https://cnetmobile.estaleiro.serpro.gov.br/comprasnet-web/public/compras/acompanhamento-compra?compra=16024706000962026</t>
  </si>
  <si>
    <t>Aquisição de medicamentos diversos.</t>
  </si>
  <si>
    <t>11800731000138-1-000218/2026</t>
  </si>
  <si>
    <t>FUNDO MUNICIPAL DE SAUDE/SUS DO MUNICIPIO DE RESENDE</t>
  </si>
  <si>
    <t>Resende</t>
  </si>
  <si>
    <t>https://bnccompras.com/Process/ProcessView?param1=[gkz]yzcAgTnGsnJQqbv54UXOzN5PI2PEYHgGkotTyLre651m1ODNmVlL7ugxR4GFKeE0fgr_JvStxmPBRJSQDognLcg7WnbTgA8t4PvfrXcImI4=</t>
  </si>
  <si>
    <t>RSD-020116/007791/2026-REGISTRO DE PREÇOS PARA AQUISIÇÃO DE EPIs, ATRAVÉS DA SECRETARIA MUNICIPAL DE SAÚDE.</t>
  </si>
  <si>
    <t>42498733000148-1-002053/2026</t>
  </si>
  <si>
    <t>https://cnetmobile.estaleiro.serpro.gov.br/comprasnet-web/public/compras/acompanhamento-compra?compra=98600106017982026</t>
  </si>
  <si>
    <t xml:space="preserve">SISTEMA FECHADO DE ASPIRACAO TRAQUEAL- ADULTO CONSTITUIDO DE CONECTOR QUE PERMITA DIMINUIR O TORQUE NO TUBO ENDOTRAQUEAL, VIA DE IRRIGACAO COM VALVULA ANTI-REFLUXO, SONDA DE 54CM GRADUADA E COBERTA PORBAINHA DE PLASTICO SILICONIZADA, VALVULA DE SUCCAO COM TRAVA DE SEGURANCA. CALIBRE 16 FRENCH, PARA </t>
  </si>
  <si>
    <t>42498733000148-1-002057/2026</t>
  </si>
  <si>
    <t>https://cnetmobile.estaleiro.serpro.gov.br/comprasnet-web/public/compras/acompanhamento-compra?compra=98600106018022026</t>
  </si>
  <si>
    <t>CANULA METALICA, TRAQUEOSTOMIA SEM REBARBAS OU SINAIS DE OXIDACAO, COMPOSTA POR UM MANDRIL EM ACO COM PONTAARREDONDADA; CANULA EXTERNA COM IMPRESSAO DE NUMERO EM LOCAL VISIVEL, TRAVAPARA FIXACAO DE CANULA INTERNA, ASAS PARA FIXACAO COM CADARCO E ACABAMENTOQUE NAO CAUSE TRAUMATISMO TRAQUEAL; CANULA I</t>
  </si>
  <si>
    <t>42498733000148-1-002056/2026</t>
  </si>
  <si>
    <t>https://cnetmobile.estaleiro.serpro.gov.br/comprasnet-web/public/compras/acompanhamento-compra?compra=98600106018012026</t>
  </si>
  <si>
    <t>LÂMINA DE BISTURI, MATERIAL: ACO INOXIDAVEL, COM PROTECAO NA LÂMINA, ESTERIL, No 20. EMBALAGEM INDIV., EM ALUMINIO HERMETIC. FECHADO, C/ DADOS DE IDENT. E PROCED.</t>
  </si>
  <si>
    <t>00394502000144-1-013289/2026</t>
  </si>
  <si>
    <t>Angra dos Reis</t>
  </si>
  <si>
    <t>https://cnetmobile.estaleiro.serpro.gov.br/comprasnet-web/public/compras/acompanhamento-compra?compra=76230006000622026</t>
  </si>
  <si>
    <t>Aquisição de fraldas descartáveis infantis e geriátricas para os atendimentos do Núcleo de Assistência Social deste Colégio Naval.</t>
  </si>
  <si>
    <t>42498733000148-1-002064/2026</t>
  </si>
  <si>
    <t>https://cnetmobile.estaleiro.serpro.gov.br/comprasnet-web/public/compras/acompanhamento-compra?compra=98600106018102026</t>
  </si>
  <si>
    <t>Aquisição de material médico hospitalar ou farmacológico sem ata de registro de preços, para abastecimento dos setores do Hospital do Andaraí.</t>
  </si>
  <si>
    <t>39563911000162-1-000202/2026</t>
  </si>
  <si>
    <t>FUNDO MUNICIPAL DE SAUDE PMVR SMS</t>
  </si>
  <si>
    <t>Volta Redonda</t>
  </si>
  <si>
    <t>https://cnetmobile.estaleiro.serpro.gov.br/comprasnet-web/public/compras/acompanhamento-compra?compra=92685005001332026</t>
  </si>
  <si>
    <t>Registro de preços para futura e eventual aquisição de produtos para saúde, para suprir as necessidades da Secretaria Municipal de Saúde/PMVR no atendimento de determinação judicial.</t>
  </si>
  <si>
    <t>29063294000182-1-000308/2026</t>
  </si>
  <si>
    <t>SERVICO AUTONOMO HOSPITALAR</t>
  </si>
  <si>
    <t>https://cnetmobile.estaleiro.serpro.gov.br/comprasnet-web/public/compras/acompanhamento-compra?compra=92776105002592026</t>
  </si>
  <si>
    <t>O objeto da presente licitação é para a aquisição de fraldas e absorvente higiênico conforme condições, quantidades e exigências estabelecidas neste Edital e seus anexos.</t>
  </si>
  <si>
    <t>12014954000132-1-000046/2026</t>
  </si>
  <si>
    <t>https://cnetmobile.estaleiro.serpro.gov.br/comprasnet-web/public/compras/acompanhamento-compra?compra=92856906000352026</t>
  </si>
  <si>
    <t>Aquisição de instrumentais médico-hospitalares permanentes</t>
  </si>
  <si>
    <t>28606630000123-1-000126/2026</t>
  </si>
  <si>
    <t>MUNICIPIO DE NOVA FRIBURGO</t>
  </si>
  <si>
    <t>Nova Friburgo</t>
  </si>
  <si>
    <t>https://cnetmobile.estaleiro.serpro.gov.br/comprasnet-web/public/compras/acompanhamento-compra?compra=98586705000752026</t>
  </si>
  <si>
    <t>REGISTRO DE PREÇOS para futura e eventual aquisição, sob demanda, de MATERIAIS/INSUMOS PARA COMPOR O SERVIÇO DE UROLOGIA DO HOSPITAL MUNICIPAL RAUL SERTÃ, pelo período de 01 (um) ano.</t>
  </si>
  <si>
    <t>29115466000114-1-000145/2026</t>
  </si>
  <si>
    <t>MUNICIPIO DE CONCEICAO DE MACABU</t>
  </si>
  <si>
    <t>Conceição de Macabu</t>
  </si>
  <si>
    <t>https://www.portaldecompraspublicas.com.br/processos/RJ/Prefeitura-Municipal-de-Conceicao-de-Macabu-2900/RPE-054-2026-2026-505496</t>
  </si>
  <si>
    <t>[Portal de Compras Públicas] - Futura e eventual aquisição de Materiais de higiene infantil para atender as necessidades das unidades escolares pertencentes a Secretaria Municipal de Educação.</t>
  </si>
  <si>
    <t>00394502000144-1-013293/2026</t>
  </si>
  <si>
    <t>https://cnetmobile.estaleiro.serpro.gov.br/comprasnet-web/public/compras/acompanhamento-compra?compra=76570306001072026</t>
  </si>
  <si>
    <t>A contratação de materiais odontológicos para a Odontoclínica Central da Marinha é imprescindível para garantir a continuidade e qualidade dos atendimentos. Há necessidade urgente de reposição dos estoques no Paiol, que se encontram em níveis críticos, comprometendo a rotina clínica. Serão adquirido</t>
  </si>
  <si>
    <t>15126437000305-1-004017/2026</t>
  </si>
  <si>
    <t>https://cnetmobile.estaleiro.serpro.gov.br/comprasnet-web/public/compras/acompanhamento-compra?compra=15591105000642026</t>
  </si>
  <si>
    <t>Aquisição de Produtos para Saúde - OPMEs de Ortopedia - Vol 1 (Artroplastias: Joelho, Quadril, Ombro e Cotovelo), para o Serviço de Ortopedia do Hospital Universitário dos Servidores do Estado - Unirio (UASG 155911), pertencente à Rede HU Brasil, para atendimento estimado de 12 (doze) meses, do perí</t>
  </si>
  <si>
    <t>00394502000144-1-013228/2026</t>
  </si>
  <si>
    <t>https://cnetmobile.estaleiro.serpro.gov.br/comprasnet-web/public/compras/acompanhamento-compra?compra=76220006000222026</t>
  </si>
  <si>
    <t>Material de consumo odontológico para atender as demandas do Departamento de Saúde do Centro de Instrução Almirante Wandenkolk. É essencial para garantir a continuidade dos atendimentos ambulatoriais e emergenciais realizados, assegurando a preservação da saúde e da capacidade operativa dos militare</t>
  </si>
  <si>
    <t>42498733000148-1-000078/2027</t>
  </si>
  <si>
    <t>https://cnetmobile.estaleiro.serpro.gov.br/comprasnet-web/public/compras/acompanhamento-compra?compra=98600106003782027</t>
  </si>
  <si>
    <t>Devem ser atendidas as necessidades e exigências do termo de referência anexado nesta dispensa de licitação.</t>
  </si>
  <si>
    <t>29141322000132-1-000257/2026</t>
  </si>
  <si>
    <t>MUNICIPIO DE PIRAI</t>
  </si>
  <si>
    <t>Piraí</t>
  </si>
  <si>
    <t>Aquisição de medicamentos e fraldas para atender as necessidades da paciente Ana Julia de Paula Oliveira.</t>
  </si>
  <si>
    <t>33663683000116-1-000508/2026</t>
  </si>
  <si>
    <t>https://cnetmobile.estaleiro.serpro.gov.br/comprasnet-web/public/compras/acompanhamento-compra?compra=15822006000232026</t>
  </si>
  <si>
    <t>Aquisição de Medicamentos e itens de curativo, tal como Fentanil, Midazolan e Curativo hidrogel.</t>
  </si>
  <si>
    <t>39563911000162-1-000205/2026</t>
  </si>
  <si>
    <t>https://cnetmobile.estaleiro.serpro.gov.br/comprasnet-web/public/compras/acompanhamento-compra?compra=92685005001372026</t>
  </si>
  <si>
    <t>Registro de preços para futura e eventual aquisição de peças para manutenção de equipamento médico hospitalar</t>
  </si>
  <si>
    <t>33781055000135-1-001702/2026</t>
  </si>
  <si>
    <t>https://cnetmobile.estaleiro.serpro.gov.br/comprasnet-web/public/compras/acompanhamento-compra?compra=25449205001512026</t>
  </si>
  <si>
    <t>AQUISIÇÃO DE MATERIAL MÉDICO HOSPITALAR G2</t>
  </si>
  <si>
    <t>15126437000305-1-004021/2026</t>
  </si>
  <si>
    <t>https://cnetmobile.estaleiro.serpro.gov.br/comprasnet-web/public/compras/acompanhamento-compra?compra=15591105000582026</t>
  </si>
  <si>
    <t>Aquisição Anual 2026/2027 de Bolsas de Ostomias, Curativos e Adjuvantes para o Hospital Universitário dos Servidores do Estado - HUSE/UNIRIO, Complexo Hospitalar da UFRJ e Hospital Universitário Antônio Pedro da UFF, todos da Rede HU Brasil.</t>
  </si>
  <si>
    <t>00394544000185-1-002186/2026</t>
  </si>
  <si>
    <t>https://cnetmobile.estaleiro.serpro.gov.br/comprasnet-web/public/compras/acompanhamento-compra?compra=25005705003582026</t>
  </si>
  <si>
    <t>AQUISIÇÃO DE MATERIAL DE CONSUMO (GEL ELETROCONDUTOR E OUTROS) REPETIÇÃO DE LICITAÇÃO</t>
  </si>
  <si>
    <t>08148454000116-1-000012/2026</t>
  </si>
  <si>
    <t>MUNICIPIO DE PARANA</t>
  </si>
  <si>
    <t>Paraná</t>
  </si>
  <si>
    <t>RN</t>
  </si>
  <si>
    <t>Aquisição de materiais médico-hospitalares, ambulatoriais, laboratoriais, de enfermagem, de esterilização, de proteção e de apoio diagnóstico, incluindo insumos, descartáveis, soluções, sondas, equipos, seringas, luvas, materiais para curativos, oxigeno-terapia, monitoramento e pequenos equipamentos</t>
  </si>
  <si>
    <t>08097008000120-1-000138/2026</t>
  </si>
  <si>
    <t>MUNICIPIO DE ACARI</t>
  </si>
  <si>
    <t>Acari</t>
  </si>
  <si>
    <t>https://www.portaldecompraspublicas.com.br/processos/RN/Prefeitura-Municipal-de-Acari-1863/RPE-035-2026-2026-513969</t>
  </si>
  <si>
    <t>[Portal de Compras Públicas] - REGISTRO DE PREÇO PARA FUTURA E EVENTUAL AQUISIÇÃO DE REAGENTES, PRODUTOS, MATERIAIS E UTENSÍLIOS DE USO LABORATORIAL, DESTINADOS AO LABORATÓRIO DE ANÁLISES CLÍNICAS DO MUNICÍPIO DE ACARI/RN</t>
  </si>
  <si>
    <t>08349052000180-1-000023/2026</t>
  </si>
  <si>
    <t>MUNICIPIO DE FRUTUOSO GOMES</t>
  </si>
  <si>
    <t>Frutuoso Gomes</t>
  </si>
  <si>
    <t>Registro de preços para aquisição de materiais e insumos médico-hospitalares, destinados ao atendimento das necessidades da Secretaria Municipal de Saúde de Frutuoso Gomes/RN</t>
  </si>
  <si>
    <t>08241754010450-1-000024/2026</t>
  </si>
  <si>
    <t>RIO GRANDE DO NORTE SECRETARIA DA SAUDE PUBLICA</t>
  </si>
  <si>
    <t>Mossoró</t>
  </si>
  <si>
    <t>https://cnetmobile.estaleiro.serpro.gov.br/comprasnet-web/public/compras/acompanhamento-compra?compra=92705206000272026</t>
  </si>
  <si>
    <t>O objeto da presente Dispensa de Licitação consiste na seleção da proposta mais vantajosa para a aquisição de materiais médico-hospitalares destinados ao manejo de vias aéreas, visando atender às necessidades do Hospital Regional Tarcísio Maia, conforme as condições, quantidades e exigências estabel</t>
  </si>
  <si>
    <t>08546103000163-1-000077/2026</t>
  </si>
  <si>
    <t>MUNICIPIO DE BARAUNA</t>
  </si>
  <si>
    <t>Baraúna</t>
  </si>
  <si>
    <t>https://www.portaldecompraspublicas.com.br/processos/RN/Prefeitura-Municipal-de-Barauna-1473/PE-016-2026-2026-500734</t>
  </si>
  <si>
    <t>[Portal de Compras Públicas] - CONTRATAÇÃO DE PESSOA JURÍDICA VISANDO À AQUISIÇÃO DE RECURSOS TERAPÊUTICOS E MATERIAL ESPORTIVO DESTINADOS A ATENDER ÀS NECESSIDADES DA SECRETARIA MUNICIPAL DE SAÚDE DO MUNICÍPIO DE BARAÚNA/RN</t>
  </si>
  <si>
    <t>00394502000144-1-013221/2026</t>
  </si>
  <si>
    <t>Natal</t>
  </si>
  <si>
    <t>https://cnetmobile.estaleiro.serpro.gov.br/comprasnet-web/public/compras/acompanhamento-compra?compra=78340106001052026</t>
  </si>
  <si>
    <t>Aquisição de medicamentos e apósitos de saúde a fim de completar a dotação operativa da OM.</t>
  </si>
  <si>
    <t>08241754010450-1-000023/2026</t>
  </si>
  <si>
    <t>https://cnetmobile.estaleiro.serpro.gov.br/comprasnet-web/public/compras/acompanhamento-compra?compra=92705205000262026</t>
  </si>
  <si>
    <t>A presente licitação tem por objeto a escolha da proposta mais vantajosa para aquisição de MATERIAIS MÉDICO-HOSPITALARES (Seringas Angiográficas e Extensores), exclusivo para Microempresas, Empresa de Pequeno Porte ou Cooperativas, visando atender às demandas do HOSPITAL REGIONAL TARCÍSIO MAIA, conf</t>
  </si>
  <si>
    <t>01612369000118-1-000037/2026</t>
  </si>
  <si>
    <t>MUNICIPIO DE FERNANDO PEDROZA</t>
  </si>
  <si>
    <t>Fernando Pedroza</t>
  </si>
  <si>
    <t>https://www.portaldecompraspublicas.com.br/processos/RN/Prefeitura-Municipal-de-Fernando-Pedroza-1357/RPE-011-2026-2026-514778</t>
  </si>
  <si>
    <t>[Portal de Compras Públicas] - O objeto da presente licitação é o registro de preços para futura e eventual aquisição de materiais, insumos, reagentes, testes, acessórios e equipamentos laboratoriais destinados ao atendimento das necessidades do Laboratório Municipal e das unidades vinculadas à Secr</t>
  </si>
  <si>
    <t>08293185000181-1-000066/2026</t>
  </si>
  <si>
    <t>DIRETORIA DE SAUDE DA POLICIA MILITAR HPM 1</t>
  </si>
  <si>
    <t>https://cnetmobile.estaleiro.serpro.gov.br/comprasnet-web/public/compras/acompanhamento-compra?compra=45654606001472026</t>
  </si>
  <si>
    <t>Aquisição de Insumos laboratoriais a fim de atender o setor do Laboratório de Análises Clínicas do Hospital Central Coronel Pedro Germano - HCCPG (Itens fracassados da Dispensa eletrônica Nº 05/2026)</t>
  </si>
  <si>
    <t>15126437000305-1-004003/2026</t>
  </si>
  <si>
    <t>Santa Cruz</t>
  </si>
  <si>
    <t>https://cnetmobile.estaleiro.serpro.gov.br/comprasnet-web/public/compras/acompanhamento-compra?compra=15501405000082026</t>
  </si>
  <si>
    <t>Aquisição de Material Médico-Hospitalar parte I para o Hospital Universitário Ana Bezerra da Rede Ebserh.</t>
  </si>
  <si>
    <t>08365900000144-1-000094/2026</t>
  </si>
  <si>
    <t>MUNICIPIO DE MONTE ALEGRE</t>
  </si>
  <si>
    <t>Monte Alegre</t>
  </si>
  <si>
    <t>Aquisição futura e parcelada de equipamentos médicos hospitalares para atender a demanda da secretaria municipal de saúde através do centro de reabilitação motora, hospital e maternidade dr. Lavoisier Maia e Unidades Básicas de Saúde</t>
  </si>
  <si>
    <t>08148462000162-1-000075/2026</t>
  </si>
  <si>
    <t>MUNICIPIO DE ALEXANDRIA</t>
  </si>
  <si>
    <t>Alexandria</t>
  </si>
  <si>
    <t>https://www.portaldecompraspublicas.com.br/processos/RN/Prefeitura-Municipal-de-Alexandria-1414/PE-00011-2026-2026-516098</t>
  </si>
  <si>
    <t>[Portal de Compras Públicas] - CONTRATAÇÃO DE EMPRESA PARA FORNECIMENTO GRADUAL DE MATERIAIS HOSPITALARES, DESTINADOS AO ATENDIMENTO DAS DEMANDAS DAS UNIDADES DE SAÚDE DO MUNICÍPIO DE ALEXANDRIA/RN</t>
  </si>
  <si>
    <t>04391512000187-1-000064/2026</t>
  </si>
  <si>
    <t>MUNICIPIO DE COLORADO DO OESTE</t>
  </si>
  <si>
    <t>Colorado do Oeste</t>
  </si>
  <si>
    <t>RO</t>
  </si>
  <si>
    <t>https://licitanet.com.br/sessao/193823</t>
  </si>
  <si>
    <t>[LICITANET] - INTENÇÃO DE REGISTRO DE PREÇOS PARA FUTURA E EVENTUAL CONTRATAÇÃO DE PESSOA JURÍDICA ESPECIALIZADA NA PRESTAÇÃO DE SERVIÇOS DE REALIZAÇÃO DE EXAMES LABORATORIAIS PARA O HOSPITAL MUNICIPAL, COM PRIORIDADE LOCAL.</t>
  </si>
  <si>
    <t>63761993000134-1-000142/2026</t>
  </si>
  <si>
    <t>MUNICIPIO DE SERINGUEIRAS</t>
  </si>
  <si>
    <t>Seringueiras</t>
  </si>
  <si>
    <t>REGISTRO DE PREÇOS PARA FUTURA E EVENTUAL CONTRATAÇÃO DE EMPRESA PARA FORNECIMENTO DE MATERIAL/ITENS DE HIGIENE PESSOAL PARA ALUNOS DA CRECHE MUNICIPAL</t>
  </si>
  <si>
    <t>01587887000129-1-000244/2026</t>
  </si>
  <si>
    <t>MUNICIPIO DE CHUPINGUAIA</t>
  </si>
  <si>
    <t>Chupinguaia</t>
  </si>
  <si>
    <t>https://licitanet.com.br/sessao/200785</t>
  </si>
  <si>
    <t>[LICITANET] - Futura e eventual aquisição de materiais de consumo odontológico, destinados ao atendimento das demandas da Equipe de Saúde Bucal da Secretaria Municipal de Saúde – SEMUSA.</t>
  </si>
  <si>
    <t>15834732000154-1-000111/2026</t>
  </si>
  <si>
    <t>MUNICIPIO DE ALTA FLORESTA D'OESTE</t>
  </si>
  <si>
    <t>Alta Floresta D'Oeste</t>
  </si>
  <si>
    <t>https://licitanet.com.br/sessao/202651</t>
  </si>
  <si>
    <t>[LICITANET] - Realização de Pregão Eletrônico pelo Sistema de Registro de Preços (SRP), visando a futura e eventual AQUISIÇÃO DE MATERIAIS E INSUMOS LABORATORIAIS, destinados ao abastecimento contínuo do Laboratório Central de Alta Floresta D’Oeste</t>
  </si>
  <si>
    <t>04695284000139-1-000158/2026</t>
  </si>
  <si>
    <t>MUNICIPIO DE ESPIGAO D'OESTE</t>
  </si>
  <si>
    <t>Espigão D'Oeste</t>
  </si>
  <si>
    <t>https://www.portaldecompraspublicas.com.br/processos/RO/Prefeitura-Municipal-de-Espigao-do-Oeste-960/RPE-69-CCP-SRP-2026-2026-498121</t>
  </si>
  <si>
    <t xml:space="preserve">[Portal de Compras Públicas] - Formalização de Ata de Registro de Preços, com validade para 12 meses, para futura e eventual aquisição de Materiais Hospitalares (Penso), Materiais de Fisioterapia, Rouparia e Instrumentais Cirúrgicos necessários para atender a demanda da unidade hospitalar e atenção </t>
  </si>
  <si>
    <t>04394805000118-1-000184/2026</t>
  </si>
  <si>
    <t>MUNICIPIO DE ROLIM DE MOURA</t>
  </si>
  <si>
    <t>Rolim de Moura</t>
  </si>
  <si>
    <t>AQUISIÇÃO DE DIETEAS ENTERAIS - ITENS FRACASSADOS/DESERTOS DO PROCESSO LICITATÓRIO 2464/2026.</t>
  </si>
  <si>
    <t>15834732000154-1-000109/2026</t>
  </si>
  <si>
    <t>https://licitanet.com.br/sessao/202542</t>
  </si>
  <si>
    <t>[LICITANET] - Aquisição de materiais pensos, médico-hospitalares, produtos para saúde, equipamentos e insumos diversos destinados ao atendimento às necessidades assistenciais, cirúrgicas, ambulatoriais, laboratoriais, de diagnósticos, de proteção individual e coletiva, bem como à manutenção e operaç</t>
  </si>
  <si>
    <t>63787071000104-1-000122/2026</t>
  </si>
  <si>
    <t>MUNICIPIO DE MIRANTE DA SERRA</t>
  </si>
  <si>
    <t>Mirante da Serra</t>
  </si>
  <si>
    <t>https://licitanet.com.br/sessao/203350</t>
  </si>
  <si>
    <t>[LICITANET] - Registro de preço para futura, eventual e se necessária contratação de empresa para a Aquisição de Equipamentos de Proteção Individual (EPI), para o exercício de 2026/2027.</t>
  </si>
  <si>
    <t>04696490000163-1-000138/2026</t>
  </si>
  <si>
    <t>SUP. EST. DE LICITACAO</t>
  </si>
  <si>
    <t>Porto Velho</t>
  </si>
  <si>
    <t>https://cnetmobile.estaleiro.serpro.gov.br/comprasnet-web/public/compras/acompanhamento-compra?compra=92537305001242026</t>
  </si>
  <si>
    <t>Aquisição de itens de consumo (Fralda e Leite) os quais serão utilizados para atender às necessidades do Centro de Ressocialização Suely Maria Mendonça, por intermédio da Gerência de Reinserção Social GERES/SEJUS/RO, para atender às necessidades da Secretaria de Estado da Justiça - SEJUS/RO.</t>
  </si>
  <si>
    <t>04696490000163-1-000140/2026</t>
  </si>
  <si>
    <t>https://cnetmobile.estaleiro.serpro.gov.br/comprasnet-web/public/compras/acompanhamento-compra?compra=92537305001372026</t>
  </si>
  <si>
    <t>Registro de Preços para Aquisição de Materiais de Fisioterapia e Educação Física para o Projeto Voluntariar.</t>
  </si>
  <si>
    <t>02049227000157-1-000035/2026</t>
  </si>
  <si>
    <t>CIMCERO - CONSORCIO INTERMUNICIPAL DA REGIAO CENTRO LESTE DO ESTADO DE RONDONIA</t>
  </si>
  <si>
    <t>Ji-Paraná</t>
  </si>
  <si>
    <t>https://cnetmobile.estaleiro.serpro.gov.br/comprasnet-web/public/compras/acompanhamento-compra?compra=45825005000032026</t>
  </si>
  <si>
    <t>REGISTRO DE PREÇOS PARA FUTURA E EVENTUAL AQUISIÇÃO DE MATERIAIS HOSPITALARES (INSUMOS, PENSOS E AFINS), visando atender as demandas das Secretarias de Saúde dos Municípios consorciados ao CIMCERO.</t>
  </si>
  <si>
    <t>01254422000156-1-000130/2026</t>
  </si>
  <si>
    <t>MUNICIPIO DE SAO FRANCISCO DO GUAPORE</t>
  </si>
  <si>
    <t>São Francisco do Guaporé</t>
  </si>
  <si>
    <t>https://licitanet.com.br/sessao/201875</t>
  </si>
  <si>
    <t>[LICITANET] - CONTRATAÇÃO DE EMPRESAS ESPECIALIZADAS PARA PRESTAÇÃO DE SERVIÇOS DE EXAMES ESPECIALIZADOS DE MÉDIA E ALTA COMPLEXIDADE</t>
  </si>
  <si>
    <t>63761993000134-1-000146/2026</t>
  </si>
  <si>
    <t>AQUISIÇÃO DE MATERIAIS MÉDICO-HOSPITALARES DESTINADOS AO ATENDIMENTO DAS NECESSIDADES DO HOSPITAL MUNICIPAL FIORINDO VICENSI E DAS UNIDADES DA ATENÇÃO BÁSICA DE SAÚDE DO MUNICÍPIO.</t>
  </si>
  <si>
    <t>04696490000163-1-000475/2025</t>
  </si>
  <si>
    <t>https://cnetmobile.estaleiro.serpro.gov.br/comprasnet-web/public/landing?destino=acompanhamento-compra&amp;compra=92537305905192025</t>
  </si>
  <si>
    <t>Registro de Preços para futura e eventual aquisição de Equipamentos de Proteção Individual - EPIs e Equipamentos de Proteção Coletiva - EPCs - SEOSP.</t>
  </si>
  <si>
    <t>84013408000198-1-000047/2026</t>
  </si>
  <si>
    <t>Boa Vista</t>
  </si>
  <si>
    <t>RR</t>
  </si>
  <si>
    <t>https://cnetmobile.estaleiro.serpro.gov.br/comprasnet-web/public/compras/acompanhamento-compra?compra=45696105000262026</t>
  </si>
  <si>
    <t>EVENTUAL AQUISIÇÃO EM CONSIGNAÇÃO DE MATERIAIS ESPECIAIS (OPME), COM INSTRUMENTAIS E EQUIPAMENTOS EM COMODATO, PARA ATENDER O SERVIÇO DE OTORRINOLARINGOLOGIA DA SECRETARIA DE ESTADO DA SAÚDE DE RORAIMA/SESAU.</t>
  </si>
  <si>
    <t>01612675000154-1-000017/2026</t>
  </si>
  <si>
    <t>MUNICIPIO DE PACARAIMA</t>
  </si>
  <si>
    <t>Pacaraima</t>
  </si>
  <si>
    <t>https://cnetmobile.estaleiro.serpro.gov.br/comprasnet-web/public/compras/acompanhamento-compra?compra=98003405000152026</t>
  </si>
  <si>
    <t>AQUISIÇÃO DE EQUIPAMENTO E MATERIAL PERMANENTE</t>
  </si>
  <si>
    <t>93317980000131-1-000405/2026</t>
  </si>
  <si>
    <t>MUNICIPIO DE MORRINHOS DO SUL</t>
  </si>
  <si>
    <t>Morrinhos do Sul</t>
  </si>
  <si>
    <t>RS</t>
  </si>
  <si>
    <t>CREDENCIAMENTO DE LABORATÓRIOS PARA PRESTAÇÃO DE SERVIÇOS DE EXAMES LABORATORIAIS DE ANÁLISES CLÍNICAS</t>
  </si>
  <si>
    <t>89175541000164-1-000361/2026</t>
  </si>
  <si>
    <t>BRIGADA MILITAR DO ESTADO DO RIO GRANDE DO SUL</t>
  </si>
  <si>
    <t>Porto Alegre</t>
  </si>
  <si>
    <t>https://www.compras.rs.gov.br/editais/0967_2026/357549</t>
  </si>
  <si>
    <t>Aquisição de materiais e insumos destinados ao emprego de biotécnicas da reprodução eqüina para Divisão de Saúde Animal da Brigada Militar.</t>
  </si>
  <si>
    <t>92902154000197-1-000027/2026</t>
  </si>
  <si>
    <t>MUNICIPIO DE UNIAO DA SERRA</t>
  </si>
  <si>
    <t>União da Serra</t>
  </si>
  <si>
    <t>AQUISIÇÃO DE MATERIAL MÉDICO-HOSPITALAR E AMBULATORIAL PARA USO NA UNIDADE BASICA DE SAÚDE DE UNIAO DA SERRA/RS.</t>
  </si>
  <si>
    <t>15126437000305-1-003949/2026</t>
  </si>
  <si>
    <t>Rio Grande</t>
  </si>
  <si>
    <t>https://cnetmobile.estaleiro.serpro.gov.br/comprasnet-web/public/compras/acompanhamento-compra?compra=15590805000502026</t>
  </si>
  <si>
    <t>Aquisição de Materiais Hospitalares - Cateteres, PICCs e Seringas</t>
  </si>
  <si>
    <t>88814199000132-1-000222/2026</t>
  </si>
  <si>
    <t>MUNICIPIO DE SANTO ANTONIO DA PATRULHA</t>
  </si>
  <si>
    <t>Santo Antônio da Patrulha</t>
  </si>
  <si>
    <t>https://www.portaldecompraspublicas.com.br/processos/RS/Prefeitura-Municipal-de-Santo-Antonio-da-Patrulha-52/RPE-116-2026-2026-513137</t>
  </si>
  <si>
    <t>[Portal de Compras Públicas] - Registro de Preços para aquisição de equipamentos médico-hospitalares e ambulatoriais visando atender às demandas da Secretaria Municipal de Saúde.</t>
  </si>
  <si>
    <t>94577509000145-1-000024/2026</t>
  </si>
  <si>
    <t>MUNICIPIO DE GRAMADO XAVIER</t>
  </si>
  <si>
    <t>Gramado Xavier</t>
  </si>
  <si>
    <t>https://www.portaldecompraspublicas.com.br/processos/RS/Prefeitura-Municipal-de-Gramado-Xavier-2617/PE-22-2026-2026-511030</t>
  </si>
  <si>
    <t>[Portal de Compras Públicas] - SOLICITAÇÃO DE COTAÇÃO DOS ITENS PARA COMPRA ATRAVÉS DA PORTARIA SES N° 1228/2025 COM PRAZO FINAL PARA EXECUÇÃO EM 10/12/2026.</t>
  </si>
  <si>
    <t>87712212000180-1-000237/2026</t>
  </si>
  <si>
    <t>MUNICIPIO DE RONDINHA</t>
  </si>
  <si>
    <t>Rondinha</t>
  </si>
  <si>
    <t>FORMAÇÃO DE REGISTRO DE PREÇOS PARA FUTURA E EVENTUAL AQUISIÇÃO DE EQUIPAMENTOS DE PROTEÇÃO INDIVIDUAL – EPI E MATERIAIS DESTINADOS ÀS ATIVIDADES DE SEGURANÇA E MEDICINA DO TRABALHO, COM FORNECIMENTO PARCELADO E SOB DEMANDA, PARA ATENDIMENTO DAS NECESSIDADES DAS SECRETARIAS MUNICIPAIS DO MUNICÍPIO D</t>
  </si>
  <si>
    <t>00394452000103-1-021546/2026</t>
  </si>
  <si>
    <t>https://cnetmobile.estaleiro.serpro.gov.br/comprasnet-web/public/compras/acompanhamento-compra?compra=16040006001422026</t>
  </si>
  <si>
    <t>Aquisição de material de consumo odontológico para odontologia digital. Inclusão de itens para um novo processo de contratação, em virtude de fracasso do certame anterior.</t>
  </si>
  <si>
    <t>87849923000109-1-000694/2026</t>
  </si>
  <si>
    <t>MUNICIPIO DE BENTO GONCALVES</t>
  </si>
  <si>
    <t>Bento Gonçalves</t>
  </si>
  <si>
    <t>ABERTURA DE PROCESSO LICITATÓRIO, PARA AQUISIÇÃO DE MATERIAIS ODONTOLÓGICOS DA SECRETARIA MUNICIPAL DE SAÚDE DE BENTO GONÇALVES.</t>
  </si>
  <si>
    <t>15126437000305-1-003693/2026</t>
  </si>
  <si>
    <t>Santa Maria</t>
  </si>
  <si>
    <t>https://cnetmobile.estaleiro.serpro.gov.br/comprasnet-web/public/compras/acompanhamento-compra?compra=15512505000572026</t>
  </si>
  <si>
    <t>AQUISIÇÃO EVENTUAL E PARCELADA DE INSTRUMENTAIS CIRÚRGICOS DESTINADOS À REALIZAÇÃO DE PROCEDIMENTOS ENDONASAIS DO HOSPITAL UNIVERSITÁRIO DA UNIVERSIDADE FEDERAL DE SANTA MARIA - HUSM-UFSM.</t>
  </si>
  <si>
    <t>00394452000103-1-021119/2026</t>
  </si>
  <si>
    <t>https://cnetmobile.estaleiro.serpro.gov.br/comprasnet-web/public/compras/acompanhamento-compra?compra=16041305000342026</t>
  </si>
  <si>
    <t>O subelemento 33.90.30.06 refere-se à aquisição de alimentos destinados à nutrição de animais utilizados em atividades da administração pública, como cães de guarda, cavalos para policiamento ou cerimônias, e outros animais mantidos por órgãos públicos. Abrange rações, suplementos nutricionais, feno</t>
  </si>
  <si>
    <t>94309291000148-1-000212/2026</t>
  </si>
  <si>
    <t>MUNICIPIO DE NOVA SANTA RITA</t>
  </si>
  <si>
    <t>Nova Santa Rita</t>
  </si>
  <si>
    <t>REGISTRO DE PREÇOS PARA AQUISIÇÃO MEDICAMENTOS DE USO HUMANO, FRALDAS E TESTES RÁPIDOS, DESTINADOS AO ABASTECIMENTO DA FARMÁCIA BÁSICA, DAS UNIDADES DE SAÚDE E DO PRONTO ATENDIMENTO DO MUNICÍPIO DE NOVA SANTA RITA/RS.</t>
  </si>
  <si>
    <t>87958658000199-1-001049/2026</t>
  </si>
  <si>
    <t>SUBSECRETARIA DA ADMINISTRACAO CENTRAL DE LICITACOES</t>
  </si>
  <si>
    <t>https://www.compras.rs.gov.br/editais/0531_2026/357367</t>
  </si>
  <si>
    <t>AQUISIÇÃO DE BENS DA(S) FAMÍLIA(S): 0515-EQUIPAMENTOS/MATERIAIS DE SEGURANCA E PROTECAO;0870-EQUIPAMENTOS/MATERIAIS MEDICO-HOSPITALARES/ENFERMAGEM;</t>
  </si>
  <si>
    <t>15126437000305-1-003919/2026</t>
  </si>
  <si>
    <t>Pelotas</t>
  </si>
  <si>
    <t>https://cnetmobile.estaleiro.serpro.gov.br/comprasnet-web/public/compras/acompanhamento-compra?compra=15590105000842026</t>
  </si>
  <si>
    <t>Registro de Preços para a Aquisição Produtos para Saúde: Insumos para o CME e Saneantes.</t>
  </si>
  <si>
    <t>88124961000159-1-000112/2026</t>
  </si>
  <si>
    <t>MUNICIPIO DE SANTANA DO LIVRAMENTO</t>
  </si>
  <si>
    <t>Sant'Ana do Livramento</t>
  </si>
  <si>
    <t>https://pregaobanrisul.com.br/editais/0058_2026/357366</t>
  </si>
  <si>
    <t>Registro de Preço para aquisição de materiais médico hospitalar</t>
  </si>
  <si>
    <t>87934675000196-1-000281/2026</t>
  </si>
  <si>
    <t>ESTADO DO RIO GRANDE DO SUL</t>
  </si>
  <si>
    <t>https://www.compras.rs.gov.br/editais/0985_2026/357662</t>
  </si>
  <si>
    <t>AQUISIÇÃO DE BENS DA(S) FAMÍLIA(S): 0245-VESTUARIOS/UNIFORMES (EXCETO VESTUARIO DE SEGURANCA);</t>
  </si>
  <si>
    <t>10519243000194-1-000006/2026</t>
  </si>
  <si>
    <t>FUNDO MUNICIPAL DA SAUDE DE MATO LEITAO</t>
  </si>
  <si>
    <t>Mato Leitão</t>
  </si>
  <si>
    <t>Medicamentos e material ambulatorial</t>
  </si>
  <si>
    <t>74704008000175-1-000033/2026</t>
  </si>
  <si>
    <t>FUNDACAO DE APOIO DA UNIVERSIDADE FEDERAL DO RGS</t>
  </si>
  <si>
    <t>https://licitacoes-e2.bb.com.br/aop-inter-estatico/visualizar-processo-publico/1102111</t>
  </si>
  <si>
    <t>O presente Edital tem por objeto a contratação de fornecimento de materiais hospitalares, visando atender demanda dos projetos de pesquisa, extensão acadêmica e desenvolvimento institucional da Universidade Federal do Rio Grande do Sul (UFRGS). Esta Seleção Pública será regida pelas normas do Decret</t>
  </si>
  <si>
    <t>88775390000112-1-000365/2026</t>
  </si>
  <si>
    <t>MUNICIPIO DE CRUZ ALTA</t>
  </si>
  <si>
    <t>Cruz Alta</t>
  </si>
  <si>
    <t>Registro de preços para aquisição de materiais odontológicos.</t>
  </si>
  <si>
    <t>01601856000185-1-000217/2026</t>
  </si>
  <si>
    <t>MUNICIPIO DE NOVO CABRAIS</t>
  </si>
  <si>
    <t>Novo Cabrais</t>
  </si>
  <si>
    <t>Aquisicao de material de consumo destinado a suprir as necessidades da Secretaria de Saude vinculada a prefeitura municipal de Novo Cabrais RS.</t>
  </si>
  <si>
    <t>15126437000305-1-003820/2026</t>
  </si>
  <si>
    <t>https://cnetmobile.estaleiro.serpro.gov.br/comprasnet-web/public/compras/acompanhamento-compra?compra=15512505000602026</t>
  </si>
  <si>
    <t>AQUISIÇÃO EVENTUAL E PARCELADA DE BOLA PARA FISIOTERAPIA,BOLA DE TÊNIS DE MESA,BALANÇA ELETRÔNICA,DENTRE OUTROS MATERIAIS PARA O HOSPITAL UNIVERSITÁRIO DE SANTA MARIA/HUSM - HUBRASIL</t>
  </si>
  <si>
    <t>88138292000174-1-000145/2026</t>
  </si>
  <si>
    <t>MUNICIPIO DE ROSARIO DO SUL</t>
  </si>
  <si>
    <t>Rosário do Sul</t>
  </si>
  <si>
    <t>Registro de precos para aquisicao de materiais ambulatoriais de consumo destinados ao abastecimento das unidades de saude vinculadas a Secretaria Municipal de Saude</t>
  </si>
  <si>
    <t>15126437000305-1-004011/2026</t>
  </si>
  <si>
    <t>https://cnetmobile.estaleiro.serpro.gov.br/comprasnet-web/public/compras/acompanhamento-compra?compra=15590805000452026</t>
  </si>
  <si>
    <t>Aquisição de Materiais Hospitalares - Extensores, Tubos e Correlatos</t>
  </si>
  <si>
    <t>91551762000131-1-000251/2026</t>
  </si>
  <si>
    <t>MUNICIPIO DE MANOEL VIANA</t>
  </si>
  <si>
    <t>Manoel Viana</t>
  </si>
  <si>
    <t>https://www.portaldecompraspublicas.com.br/processos/RS/Prefeitura-Municipal-de-Manoel-Viana-136/RPE-46-2026-2026-509967</t>
  </si>
  <si>
    <t>[Portal de Compras Públicas] - Registro de preços para aquisição de medicações para uso na Farmácia Básica Municipal.</t>
  </si>
  <si>
    <t>15126437000305-1-004013/2026</t>
  </si>
  <si>
    <t>https://cnetmobile.estaleiro.serpro.gov.br/comprasnet-web/public/compras/acompanhamento-compra?compra=15590805000662026</t>
  </si>
  <si>
    <t>Aquisição de Materiais Hospitalares - Diversos 1</t>
  </si>
  <si>
    <t>87958658000199-1-001055/2026</t>
  </si>
  <si>
    <t>https://www.compras.rs.gov.br/editais/9299_2026/357489</t>
  </si>
  <si>
    <t>Contratação de Serviço de Atenção Domiciliar (Home Care), para paciente residente no município de Passo Fundo/RS, em cumprimento de decisão judicial, conforme Anexo VI – Termo de Referência.</t>
  </si>
  <si>
    <t>94309291000148-1-000217/2026</t>
  </si>
  <si>
    <t>https://pregaobanrisul.com.br/editais/0072_2026/357478</t>
  </si>
  <si>
    <t>LICITAÇÃO PARA CONTRATAÇÃO DE EMPRESA(S) ESPECIALIZADA(S) PARA FORNECIMENTO DE MATERIAIS DE CONTENÇÃO ANIMAL E EQUIPAMENTOS AUXILIARES DE DIAGNÓSTICOS VETERINÁRIOS.</t>
  </si>
  <si>
    <t>98661366000106-1-000573/2026</t>
  </si>
  <si>
    <t>MUNICIPIO DE VERA CRUZ</t>
  </si>
  <si>
    <t>Vera Cruz</t>
  </si>
  <si>
    <t>AQUISIÇÃO PARCELADA DE INSUMOS PARA CONTROLE DO DIABETES</t>
  </si>
  <si>
    <t>92000223000177-1-000044/2026</t>
  </si>
  <si>
    <t>MUNICIPIO DE CERRO BRANCO</t>
  </si>
  <si>
    <t>Cerro Branco</t>
  </si>
  <si>
    <t>https://www.portaldecompraspublicas.com.br/processos/RS/Prefeitura-Municipal-de-Cerro-Branco-1195/PE-29-2026-2026-515973</t>
  </si>
  <si>
    <t>[Portal de Compras Públicas] - AQUISIÇÃO DE MATERIAIS E INSTRUMENTAIS PARA USO NOS PROCEDIMENTOS AMBULATORIAIS, COM PACIENTES EM TRATAMENTO MÉDICO DAS UNIDADES DE SAÚDE DO CENTRO E BAIRRO RIO BRANCO.</t>
  </si>
  <si>
    <t>92465228000175-1-000172/2026</t>
  </si>
  <si>
    <t>MUNICIPIO DE ALEGRIA</t>
  </si>
  <si>
    <t>Alegria</t>
  </si>
  <si>
    <t>CONTRATAÇÃO DE EMPRESA OU EMPRESAS PARA AQUISIÇÃO DE MEDICAMENTOS VETERINÁRIOS PARA ATENDIMENTO CLINICO JUNTO A PROPRIEDADES DE PRODUTORES DO MUNICÍPIO DE ALEGRIA/RS.</t>
  </si>
  <si>
    <t>00394452000103-1-021952/2026</t>
  </si>
  <si>
    <t>https://cnetmobile.estaleiro.serpro.gov.br/comprasnet-web/public/compras/acompanhamento-compra?compra=16040906000412026</t>
  </si>
  <si>
    <t>O objeto da presente dispensa é a média dos valores da pesquisa de preço para aquisição de material para o 3° GAC AP.</t>
  </si>
  <si>
    <t>15126437000305-1-003911/2026</t>
  </si>
  <si>
    <t>https://cnetmobile.estaleiro.serpro.gov.br/comprasnet-web/public/compras/acompanhamento-compra?compra=15590805000412026</t>
  </si>
  <si>
    <t>Aquisição de Materiais Hospitalares - Equipos, Sondas e Correlatos</t>
  </si>
  <si>
    <t>87958658000199-1-001076/2026</t>
  </si>
  <si>
    <t>https://www.compras.rs.gov.br/editais/0539_2026/357623</t>
  </si>
  <si>
    <t>92963560000160-1-001246/2026</t>
  </si>
  <si>
    <t>MUNICIPIO DE PORTO ALEGRE</t>
  </si>
  <si>
    <t>https://www.portaldecompraspublicas.com.br/processos/RS/Prefeitura-Municipal-de-Porto-Alegre-206/RPE-330-2026-2026-515585</t>
  </si>
  <si>
    <t>[Portal de Compras Públicas] - Registro de preços de material hospitalar - pinça mosquito, gel condutor p/ eletrocardiograma, papel termossensível, conjunto de seringa p/ tomografia, condutor p/ aparelho expansor, embalagem p/ proteção de produtor desinfectados, caneta p/ marcação cirúrgica, conecto</t>
  </si>
  <si>
    <t>00394452000103-1-021513/2026</t>
  </si>
  <si>
    <t>https://cnetmobile.estaleiro.serpro.gov.br/comprasnet-web/public/compras/acompanhamento-compra?compra=16039905001252026</t>
  </si>
  <si>
    <t>Aquisição de materiais médico-hospitalares, equipamentos de apoio e insumos de uso contínuo destinados ao Centro de Terapia Intensiva (CTI) do Hospital Militar de Área de Porto Alegre (HMAPA), visando à manutenção das atividades assistenciais e administrativas, ao suporte de vida aos pacientes críti</t>
  </si>
  <si>
    <t>88775390000112-1-000376/2026</t>
  </si>
  <si>
    <t>Registro de preços para aquisição de material, insumos e medicamentos para o Bem Estar Animal.</t>
  </si>
  <si>
    <t>93592715000161-1-000035/2026</t>
  </si>
  <si>
    <t>MUNICIPIO DE SAO PEDRO DO BUTIA</t>
  </si>
  <si>
    <t>São Pedro do Butiá</t>
  </si>
  <si>
    <t>https://pregaobanrisul.com.br/editais/0030_2026/357669</t>
  </si>
  <si>
    <t>AQUISIÇÃO DE MATERIAL PARA USO VETERINÁRIO E PROGRAMA GENÉTICA DE QUALIDADE</t>
  </si>
  <si>
    <t>03269695000108-1-000109/2026</t>
  </si>
  <si>
    <t>AGENCIA PUBLICA INTERMUNICIPAL DE SERVICOS DO VALE EUROPEU - APIS</t>
  </si>
  <si>
    <t>Blumenau</t>
  </si>
  <si>
    <t>SC</t>
  </si>
  <si>
    <t>Registro de preços para futura e eventual aquisição de SERINGAS E LANCETAS.</t>
  </si>
  <si>
    <t>82662958000102-1-000222/2026</t>
  </si>
  <si>
    <t>FUNDACAO UNIVERSIDADE REGIONAL DE BLUMENAU - FURB</t>
  </si>
  <si>
    <t>https://comprasbr.com.br/pregao-eletronico-detalhe/?idlicitacao=48641</t>
  </si>
  <si>
    <t>REGISTRO DE PREÇOS PARA AQUISIÇÕES FUTURAS DE MATERIAIS E MEDICAMENTOS DE USO ODONTOLÓGICO PARA USO NAS CLÍNICAS DO DEPARTAMENTO DE ODONTOLOGIA FURB.</t>
  </si>
  <si>
    <t>18011183000106-1-000034/2026</t>
  </si>
  <si>
    <t>CONSORCIO INTEGRADO DE GESTAO PUBLICA DO ENTRE RIOS - CIGAMERIOS</t>
  </si>
  <si>
    <t>Maravilha</t>
  </si>
  <si>
    <t>REGISTRO DE PREÇOS PARA FUTURA, EVENTUAL E PARCELADA AQUISIÇÃO DE MATERIAL AMBULATORIAL E CORRELATOS</t>
  </si>
  <si>
    <t>15126437000305-1-003851/2026</t>
  </si>
  <si>
    <t>Florianópolis</t>
  </si>
  <si>
    <t>https://cnetmobile.estaleiro.serpro.gov.br/comprasnet-web/public/compras/acompanhamento-compra?compra=15591305002072026</t>
  </si>
  <si>
    <t>Registro de Preços para a aquisição de Produtos para Saúde - Acessórios de Cirurgia Geral, com fornecimento de equipamentos em comodato para o item 37, a fim de atender às necessidades do Hospital Universitário Professor Polydoro Ernani de São Thiago (HU/UFSC), Unidade Gestora (UG) 155913, pertencen</t>
  </si>
  <si>
    <t>07226794000155-1-000147/2026</t>
  </si>
  <si>
    <t>COMPANHIA AGUAS DE JOINVILLE</t>
  </si>
  <si>
    <t>Joinville</t>
  </si>
  <si>
    <t>https://cnetmobile.estaleiro.serpro.gov.br/comprasnet-web/public/compras/acompanhamento-compra?compra=92637705000572026</t>
  </si>
  <si>
    <t>AQUISIÇÃO DE MATERIAIS DE SEGURANÇA DO TRABALHO</t>
  </si>
  <si>
    <t>11355483000163-1-000084/2026</t>
  </si>
  <si>
    <t>FUNDO MUNICIPAL DE SAUDE DE INDAIAL</t>
  </si>
  <si>
    <t>Indaial</t>
  </si>
  <si>
    <t>https://comprasbr.com.br/pregao-eletronico-detalhe/?idlicitacao=48622</t>
  </si>
  <si>
    <t>aquisição parcelada de sondas médico-hospitalares (retais, de aspiração traqueal e uretrais) para o atendimento das demandas da Atenção Primária à Saúde (APS) e suporte ao Protocolo Municipal de Dispensação Gratuita de Insumos Médico-Hospitalares para Procedimentos em Domicílio de Usuários do SUS Re</t>
  </si>
  <si>
    <t>15126437000305-1-003977/2026</t>
  </si>
  <si>
    <t>https://cnetmobile.estaleiro.serpro.gov.br/comprasnet-web/public/compras/acompanhamento-compra?compra=15591305002092026</t>
  </si>
  <si>
    <t>Registro de Preços para a aquisição de Produtos para Saúde - Acessórios de Cirurgia e Esterilização, com fornecimento em comodato de equipamento para os itens 31, 35, 61, 65, 66 e 67, a fim de atender às necessidades do Hospital Universitário Professor Polydoro Ernani de São Thiago (HU/UFSC), Unidad</t>
  </si>
  <si>
    <t>11420709000162-1-000043/2026</t>
  </si>
  <si>
    <t>Ibirama</t>
  </si>
  <si>
    <t>O objeto da presente licitação é o REGISTRO DE PREÇOS para futura e eventual aquisição parcelada de curativos especiais destinados ao tratamento de feridas e de materiais odontológicos, conforme especificações, quantidades e condições estabelecidas no Termo de Referência, para atender as necessidade</t>
  </si>
  <si>
    <t>95952230000167-1-000137/2026</t>
  </si>
  <si>
    <t>MUNICIPIO DE BRACO DO TROMBUDO</t>
  </si>
  <si>
    <t>Braço do Trombudo</t>
  </si>
  <si>
    <t>https://comprasbr.com.br/pregao-eletronico-detalhe/?idlicitacao=48695</t>
  </si>
  <si>
    <t>CONTRATAÇÃO DE EMPRESAS ESPECIALIZADAS PARA O FORNECIMENTO DE EQUIPAMENTOS DE PROTEÇÃO INDIVIDUAL (EPIS) PARA ATENDER AS DIVERSAS SECRETARIAS DO MUNICÍPIO DE BRAÇO DO TROMBUDO/SC.</t>
  </si>
  <si>
    <t>11402887000160-1-000109/2026</t>
  </si>
  <si>
    <t>INSTITUTO FEDERAL DE EDUCACAO, CIENCIA E TECNOLOGIA DE SANTA CATARINA</t>
  </si>
  <si>
    <t>https://cnetmobile.estaleiro.serpro.gov.br/comprasnet-web/public/compras/acompanhamento-compra?compra=15851605000152026</t>
  </si>
  <si>
    <t>CONSUMO - ENFERMAGEM E ODONTOLOGIA</t>
  </si>
  <si>
    <t>83169623000110-1-000557/2026</t>
  </si>
  <si>
    <t>MUNICIPIO DE JOINVILLE</t>
  </si>
  <si>
    <t>https://cnetmobile.estaleiro.serpro.gov.br/comprasnet-web/public/compras/acompanhamento-compra?compra=45323005001012026</t>
  </si>
  <si>
    <t>Aquisição de Materiais de Enfermagem (Linha Têxtil)</t>
  </si>
  <si>
    <t>11402887000160-1-000112/2026</t>
  </si>
  <si>
    <t>https://cnetmobile.estaleiro.serpro.gov.br/comprasnet-web/public/compras/acompanhamento-compra?compra=15851605000182026</t>
  </si>
  <si>
    <t>CONSUMO - VIDRARIAS, ACESSÓRIOS E MATERIAIS LABORATORIAIS</t>
  </si>
  <si>
    <t>11306581000100-1-000003/2026</t>
  </si>
  <si>
    <t>Indiaroba</t>
  </si>
  <si>
    <t>SE</t>
  </si>
  <si>
    <t>https://licitanet.com.br/sessao/203122</t>
  </si>
  <si>
    <t>[LICITANET] - Registro de Preços para eventual e futura aquisição de Materiais e Equipamentos Odontológicos), destinados a atender o fundo Municipal de Saúde, do município de Indiaroba/SE.</t>
  </si>
  <si>
    <t>34850068000181-1-000038/2026</t>
  </si>
  <si>
    <t>CORPO DE BOMBEIROS MILITAR DO ESTADO DE SERGIPE</t>
  </si>
  <si>
    <t>Aracaju</t>
  </si>
  <si>
    <t>https://sistema.comprasnet.se.gov.br/publico/WKF.aspx?code=CBM-DV1054/2026&amp;validation=53878</t>
  </si>
  <si>
    <t>AQUISIÇÃO MATERIAIS PARA ATENDIMENTO PRÉ-HOSPITALAR (APH) — LUVAS DE PROCEDIMENTO</t>
  </si>
  <si>
    <t>11634081000106-1-000054/2026</t>
  </si>
  <si>
    <t>FUNDO MUNICIPAL DE SAUDE DE MUNICIPIO DE SIMAO DIAS</t>
  </si>
  <si>
    <t>Simão Dias</t>
  </si>
  <si>
    <t>REGISTRO DE PREÇOS PARA FUTURA E EVENTUAL AQUISIÇÃO DE MEDICAMENTOS E INSUMOS PARA ATENDER A DEMANDA DE DISTRIBUIÇÃO DA FARMÁCIA BÁSICA DO MUNICÍPIO DE SIMÃO DIAS, SERGIPE</t>
  </si>
  <si>
    <t>11718406000120-1-000143/2026</t>
  </si>
  <si>
    <t>https://aracajucompras.se.gov.br/publico/WKF.aspx?code=FMS-DI0496/2026&amp;validation=56002</t>
  </si>
  <si>
    <t>AQUISIÇÃO DO SISTEMA DE INFUSÃO CONTÍNUA DE INSULINA MINIMED 780G, COMPREENDENDO EQUIPAMENTOS PERMANENTES E INSUMOS PARA MANUTENÇÃO PARA ATENDER AS NECESSIDADES DA SECRETARIA MUNICIPAL DA SAÚDE</t>
  </si>
  <si>
    <t>04384829000196-1-000565/2026</t>
  </si>
  <si>
    <t>FUNDO ESTADUAL DE SAUDE</t>
  </si>
  <si>
    <t>https://sistema.comprasnet.se.gov.br/publico/WKF.aspx?code=SES-DE0462/2026&amp;validation=53908</t>
  </si>
  <si>
    <t>AQUISIÇÃO DE CURATIVO ALGINATO COM PRATA 10 X 10 CM E CREME DE BARREIRA, PARA CUMPRIMENTO DE DECISÃO JUDICIAL, EM FAVOR DO PACIENTE ELIELTON DIEGO BATISTA DOS SANTOS, CONFORME TERMO DE REFERÊNCIA E DEMAIS DOCUMENTOS EM ANEXO.</t>
  </si>
  <si>
    <t>48031918000124-1-002717/2026</t>
  </si>
  <si>
    <t>UNIVERSIDADE ESTADUAL PAULISTA JULIO DE MESQUITA FILHO</t>
  </si>
  <si>
    <t>Bauru</t>
  </si>
  <si>
    <t>SP</t>
  </si>
  <si>
    <t>https://cnetmobile.estaleiro.serpro.gov.br/comprasnet-web/public/compras/acompanhamento-compra?compra=10230806000792026</t>
  </si>
  <si>
    <t>AQUISIÇÃO DE INSUMOS PARA AMBULATÓRIO</t>
  </si>
  <si>
    <t>01612848000134-1-000052/2026</t>
  </si>
  <si>
    <t>MUNICIPIO DE FERNAO</t>
  </si>
  <si>
    <t>Fernão</t>
  </si>
  <si>
    <t>Aquisição de materiais permanentes para a Secretaria Municipal de Saúde.</t>
  </si>
  <si>
    <t>46374500000194-1-008025/2026</t>
  </si>
  <si>
    <t>Promissão</t>
  </si>
  <si>
    <t>https://cnetmobile.estaleiro.serpro.gov.br/comprasnet-web/public/compras/acompanhamento-compra?compra=09011805002802026</t>
  </si>
  <si>
    <t>AQUISIÇÃO DE MATERIAIS PARA CENTRO CIRÚRGICO</t>
  </si>
  <si>
    <t>45780079000159-1-000270/2026</t>
  </si>
  <si>
    <t>MUNICIPIO DE JARINU</t>
  </si>
  <si>
    <t>Jarinu</t>
  </si>
  <si>
    <t>REGISTRO DE PREÇOS PARA EVENTUAIS E FUTURAS AQUISIÇÕES DE INSUMOS PARA INSULINODEPENDENTES, VISANDO ATENDER AS NECESSIDADES DA SECRETARIA MUNICIPAL DE SAÚDE, POR UM PERÍODO DE 12 (DOZE) MESES, CONFORME ESPECIFICAÇÕES E QUANTITATIVOS DESCRITOS NO ANEXO I DESTE EDITAL.</t>
  </si>
  <si>
    <t>00326036000160-1-000050/2026</t>
  </si>
  <si>
    <t>FACULDADE DE MEDICINA DE SAO JOSE DO RIO PRETO</t>
  </si>
  <si>
    <t>São José do Rio Preto</t>
  </si>
  <si>
    <t>https://cnetmobile.estaleiro.serpro.gov.br/comprasnet-web/public/compras/acompanhamento-compra?compra=10270106000322026</t>
  </si>
  <si>
    <t>Aquisição de material de laboratório</t>
  </si>
  <si>
    <t>46137451000176-1-000375/2026</t>
  </si>
  <si>
    <t>MUNICIPIO DE PIRATININGA</t>
  </si>
  <si>
    <t>Piratininga</t>
  </si>
  <si>
    <t>https://bllcompras.com/Process/ProcessView?param1=[gkz]qn8AV09tAI8UjnVR2z2uFAEhAXghatpQh1oJbOwK8ubMC3tT2CxcRyEUPmIcDZllPKhW2nJWAjgDStPf9gb4YMVxBPxE/pykDAfaD9OLdoY=</t>
  </si>
  <si>
    <t>REGISTRO DE PREÇOS PARA AQUISIÇÕES FUTURAS E PARCELADAS DE MATERIAL DE ENFERMAGEM II</t>
  </si>
  <si>
    <t>46578498000175-1-000319/2026</t>
  </si>
  <si>
    <t>MUNICIPIO DE ITANHAEM</t>
  </si>
  <si>
    <t>Itanhaém</t>
  </si>
  <si>
    <t>Registro de Preços para possível aquisição de Material Médico-hospitalar a fim de atender a UPA- unidade de pronto atendimento, SAMU, Rede de Atenção Básica e Rede de Atenção Especializada à saúde pelo período de 12 meses.</t>
  </si>
  <si>
    <t>45122603000102-1-000609/2026</t>
  </si>
  <si>
    <t>MUNICIPIO DE CATANDUVA</t>
  </si>
  <si>
    <t>Catanduva</t>
  </si>
  <si>
    <t>https://bllcompras.com/Process/ProcessView?param1=[gkz]MUsbnCBBg9BJ3f6rUmJrvZSNc8CI2EazzUSAxjCv4Kba9bwMWlX7bE3jpBQr0HahZQyTk1Lipfz5Wa197c4PzAJkjXa33j_Ig1tHY3Fnemo=</t>
  </si>
  <si>
    <t>Registro de Preços para futura aquisição de insumos de estomia/ileostomia para uso dos pacientes atendidos pela Secretaria Municipal de Saúde, conforme condições, quantidades e exigências estabelecidas no Termo de Referência, Anexo I deste edital.</t>
  </si>
  <si>
    <t>46578498000175-1-000335/2026</t>
  </si>
  <si>
    <t>Registro de preços para possível aquisição de INSUMOS PARA IMOBILIZAÇÃO ORTOPÉDICA a fim de atender a U.P.A. 24h – Unidade de Pronto Atendimento Municipal, da Secretaria de Saúde de Itanhaém por um período de 12 meses.</t>
  </si>
  <si>
    <t>46588950000180-1-000879/2026</t>
  </si>
  <si>
    <t>MUNICIPIO DE SAO JOSE DO RIO PRETO</t>
  </si>
  <si>
    <t>https://compras.empro.com.br/</t>
  </si>
  <si>
    <t>REGISTRO DE PREÇOS PARA AQUISIÇÃO DE EQUIPAMENTOS E MOBILIÁRIOS HOSPITALARES PARA AS UNIDADES DE SAÚDE. SECRETARIA MUNICIPAL DE SAÚDE</t>
  </si>
  <si>
    <t>26938926000116-1-000128/2026</t>
  </si>
  <si>
    <t>COMPANHIA ITUANA DE SANEAMENTO - CIS</t>
  </si>
  <si>
    <t>Itu</t>
  </si>
  <si>
    <t>REGISTRO DE PREÇOS PARA O FORNECIMENTO PARCELADO DE REAGENTES, ÁCIDOS, VIDRARIAS, FRASCOS DE COLETA, SOLUÇÕES, KIT DE ANÁLISES PARA PARÂMETROS AMBIENTAIS E MATERIAIS DIVERSOS DE LABORATÓRIO, COM ESPECIFICAÇÕES TÉCNICAS, QUANTIDADE E DEMAIS CONDIÇÕES PERTINENTES ÀS AQUISIÇÕES</t>
  </si>
  <si>
    <t>46523015000135-1-000411/2026</t>
  </si>
  <si>
    <t>MUNICIPIO DE BARUERI</t>
  </si>
  <si>
    <t>Barueri</t>
  </si>
  <si>
    <t>https://compras.barueri.sp.gov.br/Default.aspx</t>
  </si>
  <si>
    <t>REGISTRO DE PREÇOS PARA EVENTUAL AQUISIÇÃO E ENTREGA PARCELADA DE INSUMOS E MATERIAIS HOSPITALARES.</t>
  </si>
  <si>
    <t>46523239000147-1-000472/2026</t>
  </si>
  <si>
    <t>MUNICIPIO DE SAO BERNARDO DO CAMPO</t>
  </si>
  <si>
    <t>São Bernardo do Campo</t>
  </si>
  <si>
    <t>https://compras.saobernardo.sp.gov.br/</t>
  </si>
  <si>
    <t>REGISTRO DE PREÇOS PARA EVENTUAL FORNECIMENTO DE MATERIAIS MÉDICO HOSPITALARES</t>
  </si>
  <si>
    <t>46374500000194-1-007916/2026</t>
  </si>
  <si>
    <t>São Paulo</t>
  </si>
  <si>
    <t>https://cnetmobile.estaleiro.serpro.gov.br/comprasnet-web/public/compras/acompanhamento-compra?compra=09018105003702026</t>
  </si>
  <si>
    <t>Aquisição de tubo extensor descartavel, coletor de urina sistema fechado infantil e dispositivo para fixacao de cateter picc</t>
  </si>
  <si>
    <t>13864377000130-1-001541/2026</t>
  </si>
  <si>
    <t>https://cnetmobile.estaleiro.serpro.gov.br/comprasnet-web/public/compras/acompanhamento-compra?compra=92500305004682026</t>
  </si>
  <si>
    <t>FIOS CIRÚRGICOS SINTÉTICO ABSORVÍVEL XVIII</t>
  </si>
  <si>
    <t>46137410000180-1-000689/2026</t>
  </si>
  <si>
    <t>MUNICIPIO DE BAURU</t>
  </si>
  <si>
    <t>https://cnetmobile.estaleiro.serpro.gov.br/comprasnet-web/public/compras/acompanhamento-compra?compra=98621905004192026</t>
  </si>
  <si>
    <t>A presente contratação visa o atendimento de usuários que necessitam dos equipamentos para receber alta hospitalar, e mandados judiciais, por se tratar de equipamentos a serem empregados no tratamento de pessoas cuja ausência poderá colocar em risco suas vidas. Isto posto, os benefícios diretos e in</t>
  </si>
  <si>
    <t>46634309000134-1-000292/2026</t>
  </si>
  <si>
    <t>PREFEITURA MUNICIPAL DE PARANAPANEMA</t>
  </si>
  <si>
    <t>Paranapanema</t>
  </si>
  <si>
    <t>CONTRATACAO DE EMPRESA ESPECIALIZADA PARA PRESTACAO DE SERVICOS INTEGRADOS DE ANALISES CLINICAS E APOIO DIAGNOSTICO COMPREENDENDO O GERENCIAMENTO E OPERACIONALIZACAO DOS PROCESSOS DE COLETA RECEBIMENTO TRANSPORTE PROCESSAMENTO E REALIZACAO DE EXAMES LABORATORIAIS EMISSAO E DISPONIBILIZACAO DE LAUDOS</t>
  </si>
  <si>
    <t>45279635000108-1-000838/2026</t>
  </si>
  <si>
    <t>MUNICIPIO DE ATIBAIA</t>
  </si>
  <si>
    <t>Atibaia</t>
  </si>
  <si>
    <t>EVENTUAL AQUISIÇÃO DE MATERIAIS DE ENFERMAGEM, VISANDO AOS CUIDADOS COM OS ANIMAIS APREENDIDOS, CURATIVOS E CIRURGIAS DE CASTRAÇÃO.</t>
  </si>
  <si>
    <t>44959021000104-1-000320/2026</t>
  </si>
  <si>
    <t>MUNICIPIO DE GUARUJA</t>
  </si>
  <si>
    <t>Guarujá</t>
  </si>
  <si>
    <t>https://cnetmobile.estaleiro.serpro.gov.br/comprasnet-web/public/compras/acompanhamento-compra?compra=98647505000172026</t>
  </si>
  <si>
    <t>Registro de Preços para aquisição de Materiais Médico-Hospitalares – Grupo 5/2026 para atender a Secretaria de Saúde do Município de Guarujá.</t>
  </si>
  <si>
    <t>45176153000122-1-000158/2026</t>
  </si>
  <si>
    <t>UNIVERSIDADE DE TAUBATE</t>
  </si>
  <si>
    <t>Taubaté</t>
  </si>
  <si>
    <t>https://comprasbr.com.br/pregao-eletronico-detalhe/?idlicitacao=47940</t>
  </si>
  <si>
    <t>Aquisição de insumos químicos</t>
  </si>
  <si>
    <t>46374500000194-1-008009/2026</t>
  </si>
  <si>
    <t>https://cnetmobile.estaleiro.serpro.gov.br/comprasnet-web/public/compras/acompanhamento-compra?compra=09016305004822026</t>
  </si>
  <si>
    <t>AQUISIÇÃO DE SERINGA 1ML E CATETER PICC</t>
  </si>
  <si>
    <t>46374500000194-1-007888/2026</t>
  </si>
  <si>
    <t>https://cnetmobile.estaleiro.serpro.gov.br/comprasnet-web/public/compras/acompanhamento-compra?compra=09015705004502026</t>
  </si>
  <si>
    <t>AQUISIÇÃO DE DRENO</t>
  </si>
  <si>
    <t>45122603000102-1-000554/2026</t>
  </si>
  <si>
    <t>https://bllcompras.com/Process/ProcessView?param1=[gkz]Vvpp0iqDUK2wuZmhnFYoFuvVpPX_yBMtU8UZuLpXtVQWANXRcIfFhfn2AGW3pwHkuR0jMufKyOaXx9WWvuUrmblAnyNb9lWQWvLay_qxnUk=</t>
  </si>
  <si>
    <t>Registro de Preços para futura e eventual aquisição de materiais e equipamentos médico veterinários, visando atender demandas de serviços da Secretaria Municipal de Meio Ambiente e Agricultura e demais secretarias do Município de Catanduva-SP, conforme condições, quantidades e exigências estabelecid</t>
  </si>
  <si>
    <t>46523239000147-1-000473/2026</t>
  </si>
  <si>
    <t>REGISTRO DE PREÇOS PARA EVENTUAL AQUISIÇÃO DE MATERIAL MÉDICO HOSPITALAR</t>
  </si>
  <si>
    <t>46384400000149-1-000532/2026</t>
  </si>
  <si>
    <t>SECRETARIA DE AGRICULTURA E ABASTECIMENTO</t>
  </si>
  <si>
    <t>https://cnetmobile.estaleiro.serpro.gov.br/comprasnet-web/public/compras/acompanhamento-compra?compra=13110106000482026</t>
  </si>
  <si>
    <t>Aquisição de insumos para campanha de vacinação contra brucelose</t>
  </si>
  <si>
    <t>46374500000194-1-008050/2026</t>
  </si>
  <si>
    <t>Guarulhos</t>
  </si>
  <si>
    <t>https://cnetmobile.estaleiro.serpro.gov.br/comprasnet-web/public/compras/acompanhamento-compra?compra=09017105001002026</t>
  </si>
  <si>
    <t>Aquisição de material medico Hospitalar - Atadura de Crepe e outros</t>
  </si>
  <si>
    <t>46374500000194-1-007997/2026</t>
  </si>
  <si>
    <t>Sorocaba</t>
  </si>
  <si>
    <t>https://cnetmobile.estaleiro.serpro.gov.br/comprasnet-web/public/compras/acompanhamento-compra?compra=09013905001412026</t>
  </si>
  <si>
    <t>Materias de higiene e cuidado pessoal</t>
  </si>
  <si>
    <t>00394452000103-1-021631/2026</t>
  </si>
  <si>
    <t>Pirassununga</t>
  </si>
  <si>
    <t>https://cnetmobile.estaleiro.serpro.gov.br/comprasnet-web/public/compras/acompanhamento-compra?compra=16047806001282026</t>
  </si>
  <si>
    <t>Aquisição de materiais de consumo para a Formação Sanitária Regimental</t>
  </si>
  <si>
    <t>45176005000108-1-000518/2026</t>
  </si>
  <si>
    <t>MUNICIPIO DE TAUBATE</t>
  </si>
  <si>
    <t>Registro de preços para eventual aquisição de materiais de consumo odontológico, por um período de 12 (doze) meses prorrogável uma única vez por igual período.</t>
  </si>
  <si>
    <t>12998458000160-1-001181/2026</t>
  </si>
  <si>
    <t>FUNDO MUNICIPAL DE SAUDE DE SAO JOSE DOS CAMPOS</t>
  </si>
  <si>
    <t>São José dos Campos</t>
  </si>
  <si>
    <t>https://servicos.sjc.sp.gov.br/sa/licitacoes/confirma_download_edital.aspx?id=21616</t>
  </si>
  <si>
    <t>ATA DE REGISTRO DE PRECOS PARA O FORNECIMENTO DE MATERIAIS ODONTOLOGICOS DIVERSOS GRUPO II</t>
  </si>
  <si>
    <t>45227337000174-1-000064/2026</t>
  </si>
  <si>
    <t>MUNICIPIO DE CAJURU</t>
  </si>
  <si>
    <t>Cajuru</t>
  </si>
  <si>
    <t>https://comprasbr.com.br/pregao-eletronico-detalhe/?idlicitacao=48684</t>
  </si>
  <si>
    <t>AQUISIÇÃO DE MATERIAL DE ENFERMAGEM</t>
  </si>
  <si>
    <t>46634598000171-1-000416/2026</t>
  </si>
  <si>
    <t>MUNICIPIO DE TIETE</t>
  </si>
  <si>
    <t>Tietê</t>
  </si>
  <si>
    <t>Abertura de Pregão Registro de Preços para garantir o fornecimento regular, planejado e ininterrupto de materiais odontológicos indispensáveis à execução dos procedimentos clínicos, preventivos e restauradores realizados pela Rede Municipal de Saúde.</t>
  </si>
  <si>
    <t>46374500000194-1-008026/2026</t>
  </si>
  <si>
    <t xml:space="preserve">Pregão – Eletrônico Internacional </t>
  </si>
  <si>
    <t>https://cnetmobile.estaleiro.serpro.gov.br/comprasnet-web/public/compras/acompanhamento-compra?compra=09018105003762026</t>
  </si>
  <si>
    <t>Aquisição de fio guia, cateteres e outros</t>
  </si>
  <si>
    <t>46599833000111-1-000180/2026</t>
  </si>
  <si>
    <t>MUNICIPIO DE VALENTIM GENTIL</t>
  </si>
  <si>
    <t>Valentim Gentil</t>
  </si>
  <si>
    <t>SISTEMA DE REGISTRO DE PREÇOS PARA FUTURA E EVENTUAL AQUISIÇÃO DE MATERIAIS MÉDICO HOSPITALARES, ODONTOLÓGICOS, FISIOTERÁPICOS E FONOAUDIOLÓGICOS PARA A SECRETARIA DE SAÚDE DO MUNICÍPIO DE VALENTIM GENTIL/SP.</t>
  </si>
  <si>
    <t>12474705000120-1-000331/2026</t>
  </si>
  <si>
    <t>HOSPITAL DAS CLINICAS DA FACULDADE DE MEDICINA DE BOTUCATU</t>
  </si>
  <si>
    <t>Botucatu</t>
  </si>
  <si>
    <t>https://cnetmobile.estaleiro.serpro.gov.br/comprasnet-web/public/compras/acompanhamento-compra?compra=09250105004172026</t>
  </si>
  <si>
    <t>AQUISIÇÃO FUTURA DE MATERIAIS MÉDICO-HOSPITALARES (BALÃO DILATADOR, ETC)</t>
  </si>
  <si>
    <t>24082016000159-1-000622/2026</t>
  </si>
  <si>
    <t>HOSPITAL DAS CLINICAS DA FACULDADE DE MEDICINA DE MARILIA - HCFAMEMA</t>
  </si>
  <si>
    <t>Marília</t>
  </si>
  <si>
    <t>https://cnetmobile.estaleiro.serpro.gov.br/comprasnet-web/public/compras/acompanhamento-compra?compra=09260105007642026</t>
  </si>
  <si>
    <t>FIOS DE SUTURA</t>
  </si>
  <si>
    <t>46179941000135-1-000429/2026</t>
  </si>
  <si>
    <t>MUNICIPIO DE ASSIS</t>
  </si>
  <si>
    <t>Assis</t>
  </si>
  <si>
    <t>https://cnetmobile.estaleiro.serpro.gov.br/comprasnet-web/public/compras/acompanhamento-compra?compra=92648605000422026</t>
  </si>
  <si>
    <t>AQUISIÇÃO DE EQUIPAMENTOS MÉDICOS</t>
  </si>
  <si>
    <t>46482865000132-1-000306/2026</t>
  </si>
  <si>
    <t>MUNICIPIO DE ILHABELA</t>
  </si>
  <si>
    <t>Ilhabela</t>
  </si>
  <si>
    <t>Registro de preços visando aquisição de insumos odontológicos de endodontia e periodontia para o Centro de Especialidades Odontológicas (CEO)</t>
  </si>
  <si>
    <t>12474705000120-1-000332/2026</t>
  </si>
  <si>
    <t>https://cnetmobile.estaleiro.serpro.gov.br/comprasnet-web/public/compras/acompanhamento-compra?compra=09250105003952026</t>
  </si>
  <si>
    <t>AQUISIÇÃO FUTURA DE MATERIAIS MÉDICO-HOSPITALARES (OPTICA PARA ENDOSCOPIA, ETC)</t>
  </si>
  <si>
    <t>51885242000140-1-000798/2026</t>
  </si>
  <si>
    <t>MUNICIPIO DE CAMPINAS</t>
  </si>
  <si>
    <t>Campinas</t>
  </si>
  <si>
    <t>https://cnetmobile.estaleiro.serpro.gov.br/comprasnet-web/public/compras/acompanhamento-compra?compra=98629105006582026</t>
  </si>
  <si>
    <t>Aquisição de Equipamentos de Proteção Individual – EPI</t>
  </si>
  <si>
    <t>46737219000179-1-000150/2026</t>
  </si>
  <si>
    <t>MUNICIPIO DE BORBOREMA</t>
  </si>
  <si>
    <t>Borborema</t>
  </si>
  <si>
    <t>REGISTRO DE PREÇOS VISANDO À EVENTUAL AQUISIÇÃO DE EQUIPAMENTOS, INSUMOS E MATERIAIS DE CONSUMO DE ENFERMAGEM E HOSPITALARES PARA UTILIZAÇÃO NOS SERVIÇOS DOS SETORES DO FUNDO MUNICIPAL DE SAÚDE DO MUNICÍPIO DE BORBOREMA/SP</t>
  </si>
  <si>
    <t>00394429000100-1-002503/2026</t>
  </si>
  <si>
    <t>https://cnetmobile.estaleiro.serpro.gov.br/comprasnet-web/public/compras/acompanhamento-compra?compra=12063305003382026</t>
  </si>
  <si>
    <t>Aquisição de materiais de consumo laboratorial</t>
  </si>
  <si>
    <t>45353307000104-1-000043/2026</t>
  </si>
  <si>
    <t>MUNICIPIO DE MIGUELOPOLIS</t>
  </si>
  <si>
    <t>Miguelópolis</t>
  </si>
  <si>
    <t>https://bllcompras.com/Process/ProcessView?param1=[gkz]LqtXoxjcZNNro8VwKluzRoHa6dsjUA2SMiz9PypXJhsqAogDU3Pq/lceqywVFCyTcq8WE8IUaTuOr36QmB5WHqoUtqNmLM7_KZ_cIbarkag=</t>
  </si>
  <si>
    <t>REGISTRO DE PREÇOS PARA FUTURAS E EVENTUAIS AQUISIÇÕES DE MATERIAIS DE CURATIVO E CORRELATOS DE ENFERMAGEM, PARA ATENDER ÀS DEMANDAS DE ASSISTÊNCIA À SAÚDE E PROCEDIMENTOS CLÍNICOS DAS UNIDADES DE SAÚDE DA REDE PÚBLICA DO MUNICÍPIO DE MIGUELÓPOLIS/SP</t>
  </si>
  <si>
    <t>46223731000105-1-000043/2026</t>
  </si>
  <si>
    <t>MUNICIPIO DE SARUTAIA</t>
  </si>
  <si>
    <t>Sarutaiá</t>
  </si>
  <si>
    <t>https://bllcompras.com/Process/ProcessView?param1=[gkz]3dZY4zHjFY5TpQhf657P8BwoGKG06vRyfLTbaofFrmxsPtqtFDgyueU2NFG1cGNajTX9QRMYdHJmh8agafyCLZs03msfJPlMvKxDRNCXzeI=</t>
  </si>
  <si>
    <t>Registro de preço para aquisição de insumos e materiais médico-hospitalares destinados ao atendimento das necessidades do Departamento de Saúde do Município de Sarutaiá.</t>
  </si>
  <si>
    <t>46374500000194-1-008019/2026</t>
  </si>
  <si>
    <t>https://cnetmobile.estaleiro.serpro.gov.br/comprasnet-web/public/compras/acompanhamento-compra?compra=09015705004582026</t>
  </si>
  <si>
    <t>AQUISIÇÃO DE COMPRESSA DE GAZE E DRENO</t>
  </si>
  <si>
    <t>46374500000194-1-008103/2026</t>
  </si>
  <si>
    <t>https://cnetmobile.estaleiro.serpro.gov.br/comprasnet-web/public/compras/acompanhamento-compra?compra=09018305013552026</t>
  </si>
  <si>
    <t>Aquisição de Fio de Sutura de Poliester e Algodão nº 0, agulha 3/8 e Outros - 2° Semestre</t>
  </si>
  <si>
    <t>46523049000120-1-000173/2026</t>
  </si>
  <si>
    <t>MUNICIPIO DE COTIA</t>
  </si>
  <si>
    <t>Cotia</t>
  </si>
  <si>
    <t>- Contratação de empresa especializada em fornecimento de EPI´S (Equipamentos de Proteção Individual )</t>
  </si>
  <si>
    <t>63025530000104-1-003931/2026</t>
  </si>
  <si>
    <t>UNIVERSIDADE DE SAO PAULO</t>
  </si>
  <si>
    <t>https://cnetmobile.estaleiro.serpro.gov.br/comprasnet-web/public/compras/acompanhamento-compra?compra=10213806000332026</t>
  </si>
  <si>
    <t>Insumos para laboratórios</t>
  </si>
  <si>
    <t>46634614000126-1-000199/2026</t>
  </si>
  <si>
    <t>MUNICIPIO DE CERQUILHO</t>
  </si>
  <si>
    <t>Cerquilho</t>
  </si>
  <si>
    <t>Aquisição Parcelada de Equipamentos de Proteção Individual (EPIs) destinados à Secretaria Municipal da Saúde</t>
  </si>
  <si>
    <t>12998458000160-1-001201/2026</t>
  </si>
  <si>
    <t>https://servicos.sjc.sp.gov.br/sa/licitacoes/confirma_download_edital.aspx?id=21619</t>
  </si>
  <si>
    <t>ATA DE REGISTRO DE PRECOS PARA O FORNECIMENTO DE MATERIAIS ODONTOLOGICOS DIVERSOS GRUPO I</t>
  </si>
  <si>
    <t>46422408000152-1-000533/2026</t>
  </si>
  <si>
    <t>MUNICIPIO DE SANTA BARBARA D'OESTE</t>
  </si>
  <si>
    <t>Santa Bárbara d'Oeste</t>
  </si>
  <si>
    <t>Registro de preços para fornecimento de materiais e insumos para curativos.</t>
  </si>
  <si>
    <t>51501484000193-1-000040/2026</t>
  </si>
  <si>
    <t>CONSORCIO INTERMUNICIPAL DO VALE DO PARANAPANEMA</t>
  </si>
  <si>
    <t>REGISTRO DE PREÇOS, VISANDO EVENTUAIS E FUTURAS AQUISIÇÕES DE FRALDAS DESCARTÁVEIS, INFATIL E GERIÁTRICA, PARA OS MUNICÍPIOS CONSORCIADOS</t>
  </si>
  <si>
    <t>46374500000194-1-008156/2026</t>
  </si>
  <si>
    <t>https://cnetmobile.estaleiro.serpro.gov.br/comprasnet-web/public/compras/acompanhamento-compra?compra=09018105003842026</t>
  </si>
  <si>
    <t>Aquisição de luva esteril</t>
  </si>
  <si>
    <t>53415717000160-1-000055/2026</t>
  </si>
  <si>
    <t>MUNICIPIO DE OURINHOS</t>
  </si>
  <si>
    <t>Ourinhos</t>
  </si>
  <si>
    <t>Registro de Preços para futura e eventual aquisição de insumos e materiais odontológicos de uso geral e específico, destinados ao suprimento das necessidades das unidades de saúde.</t>
  </si>
  <si>
    <t>60448040000122-1-000619/2026</t>
  </si>
  <si>
    <t>HOSPITAL DAS CLINICAS DA FACULDADE DE MEDICINA DA U S P</t>
  </si>
  <si>
    <t>https://cnetmobile.estaleiro.serpro.gov.br/comprasnet-web/public/compras/acompanhamento-compra?compra=09230105003752026</t>
  </si>
  <si>
    <t>ABSORVENTE HIGIÊNICO URINÁRIO MASCULINO, BOCAL PLASTICO P BLOQUEIO DE MORDEDURA - ADULTO, FITA CARDIACA BRANCA (CADARCO), ESCOVA GINECOLOGICA ESTERIL, CORTADOR ESTERILIZADO P/BICO DE AMPOLA, LIXA ESTERIL P/LIMP.ELETRODO DE ELETROC., COBERTURA OU MORTALHA</t>
  </si>
  <si>
    <t>56023443000152-1-000632/2026</t>
  </si>
  <si>
    <t>HOSPITAL DAS CLINICAS DA FACULDADE DE MEDICINA DE RPUSP</t>
  </si>
  <si>
    <t>Ribeirão Preto</t>
  </si>
  <si>
    <t>https://cnetmobile.estaleiro.serpro.gov.br/comprasnet-web/public/compras/acompanhamento-compra?compra=09220105004672026</t>
  </si>
  <si>
    <t>CONSTITUIÇÃO DE SISTEMA DE REGISTRO DE PREÇOS PARA AQUISIÇÃO FUTURA E EVENTUAL DE MATERIAL MÉDICO, EQUIPO PARA INFUSÃO E ELETRODO DESCARTAVEL</t>
  </si>
  <si>
    <t>60448040000122-1-000618/2026</t>
  </si>
  <si>
    <t>https://cnetmobile.estaleiro.serpro.gov.br/comprasnet-web/public/compras/acompanhamento-compra?compra=09230105003742026</t>
  </si>
  <si>
    <t>SISTEMA FECHADO DE DRENAGEM TORÁCICA, KIT CANULA TRAQUEOSTOMIA PERCUTANEA SEM PINCA 8MM, INTRODUTOR DE CATETER PERCUTÂNEO C/ VÁLVULA HEMOSTÁTICA 6F, INTROD DE CAT PERCUTÂNEO C/ VÁLVULA HEMOSTÁTICA 11 CM 7F, SIST. DRENAGEM MEDIASTINAL 36F E FRASCO DE 5</t>
  </si>
  <si>
    <t>44477909000100-1-000854/2026</t>
  </si>
  <si>
    <t>MUNICIPIO DE MARILIA</t>
  </si>
  <si>
    <t>Registro de preços visando eventual aquisição de MATERIAIS ODONTOLÓGICOS destinados à Secretaria Municipal da Saúde - Prazo 12 meses</t>
  </si>
  <si>
    <t>46523239000147-1-000475/2026</t>
  </si>
  <si>
    <t>REGISTRO DE PREÇOS PARA EVENTUAL AQUISIÇÃO DE MATERIAL MEDICO HOSPITALAR</t>
  </si>
  <si>
    <t>60747318000162-1-001387/2026</t>
  </si>
  <si>
    <t>INSTITUTO DE ASSISTENCIA MEDICA AO SERVIDOR PUBLICO ESTADUAL</t>
  </si>
  <si>
    <t>https://cnetmobile.estaleiro.serpro.gov.br/comprasnet-web/public/compras/acompanhamento-compra?compra=53210105012982026</t>
  </si>
  <si>
    <t>AGULHAS DESCARTAVEIS</t>
  </si>
  <si>
    <t>51637593000132-1-000085/2026</t>
  </si>
  <si>
    <t>FUNDACAO CX BENEF SERVIDORES UNIVERSIDADE DE TAUBATE</t>
  </si>
  <si>
    <t>https://bllcompras.com/Process/ProcessView?param1=[gkz]yJD4r2cpQTouhj4YDY42EOXsXTrUVg22mpneBrKls8kCw9/mNNcA3/n2KeIKm6_m2a3vx6Uj14Tbk3NwrSYufLy8AJdXZVEp2d01HP8I9cE=</t>
  </si>
  <si>
    <t>Aquisição de materiais e equipamentos médico-hospitalares destinados ao atendimento das necessidades operacionais do Serviço Especializado em Engenharia de Segurança e em Medicina do Trabalho- SESMT da Funcabes, ema atendimento ao convênio 24.480/2025</t>
  </si>
  <si>
    <t>44831733000143-1-000028/2026</t>
  </si>
  <si>
    <t>MUNICIPIO DE AGUAS DA PRATA</t>
  </si>
  <si>
    <t>Águas da Prata</t>
  </si>
  <si>
    <t>https://bllcompras.com/Process/ProcessView?param1=[gkz]Qpr8iBkquIVXpnZNFcvZ36a38Bgx4eGLD8S88o5hDj8MP6YHteDMtX2hP_2npPeVS7rpMzCEyNrOb/SJdOClkv7/PqzhFsRhS91hnmhgGck=</t>
  </si>
  <si>
    <t>CONSTITUIÇÃO DE SISTEMA DE REGISTRO DE PREÇOS PARA AQUISIÇÃO DE SUPLEMENTOS ALIMENTARES, FÓRMULAS INFANTIS, FRALDAS E MATERIAIS DE HIGIENE E DESCARTÁVEIS, PARA ATENDER AS NECESSIDADES DA SECRETARIA MUNICIPAL DE SAÚDE E DE EDUCAÇÃO DE ÁGUAS DA PRATA, CONFORME CONDIÇÕES, QUANTIDADES E EXIGÊNCIAS ESTAB</t>
  </si>
  <si>
    <t>46374500000194-1-008079/2026</t>
  </si>
  <si>
    <t>https://cnetmobile.estaleiro.serpro.gov.br/comprasnet-web/public/compras/acompanhamento-compra?compra=09018105003862026</t>
  </si>
  <si>
    <t>Aquisição de Fios de Sutura</t>
  </si>
  <si>
    <t>46613196000190-1-000101/2026</t>
  </si>
  <si>
    <t>MUNICIPIO DE SALES</t>
  </si>
  <si>
    <t>Sales</t>
  </si>
  <si>
    <t xml:space="preserve">Aquisição de tiras reagentes para teste de glicemia capilar e lancetas descartáveis, destinadas ao atendimento dos pacientes acompanhados pela Assistência Farmacêutica Municipal e pelas Unidades Básicas de Saúde do Município de Sales, com disponibilização, sem ônus para o Município, dos respectivos </t>
  </si>
  <si>
    <t>46374500000194-1-008256/2026</t>
  </si>
  <si>
    <t>Santos</t>
  </si>
  <si>
    <t>https://cnetmobile.estaleiro.serpro.gov.br/comprasnet-web/public/compras/acompanhamento-compra?compra=09014105003902026</t>
  </si>
  <si>
    <t>AQUISIÇÃO DE TUBO DE ENSAIO, FRASCO COLETOR, E AVENTAL</t>
  </si>
  <si>
    <t>45781184000102-1-000476/2026</t>
  </si>
  <si>
    <t>MUNICIPIO DE NOVA ODESSA</t>
  </si>
  <si>
    <t>Nova Odessa</t>
  </si>
  <si>
    <t>REGISTRO DE PREÇOS PARA FUTURAS E EVENTUAIS AQUISIÇÕES DE SERINGAS E LANCETAS PARA A ASSSTÊNCIA FARMACÊUTICA DE NOVA ODESSA</t>
  </si>
  <si>
    <t>45781184000102-1-000484/2026</t>
  </si>
  <si>
    <t>51885242000140-1-000806/2026</t>
  </si>
  <si>
    <t>https://cnetmobile.estaleiro.serpro.gov.br/comprasnet-web/public/compras/acompanhamento-compra?compra=98629105006862026</t>
  </si>
  <si>
    <t>Registro de Preços de eletrodos para Desfibrilador Externo Automático - DEA.</t>
  </si>
  <si>
    <t>50985266000109-1-000140/2026</t>
  </si>
  <si>
    <t>FACULDADE DE MEDICINA DE JUNDIAI</t>
  </si>
  <si>
    <t>Jundiaí</t>
  </si>
  <si>
    <t>https://compraaberta.jundiai.sp.gov.br/licitacoes/</t>
  </si>
  <si>
    <t>Aquisição de insumos, reagentes, materiais de consumo e itens de apoio destinados às atividades de graduação, pós-graduação, pesquisa, extensão e demais atividades acadêmicas e laboratoriais DA FMJ.CONFORME TERMO DE REFERENCIA.</t>
  </si>
  <si>
    <t>46523015000135-1-000413/2026</t>
  </si>
  <si>
    <t>46482865000132-1-000311/2026</t>
  </si>
  <si>
    <t>Registro de preços visando aquisição de equipamentos e mobiliários hospitalares.</t>
  </si>
  <si>
    <t>46374500000194-1-008017/2026</t>
  </si>
  <si>
    <t>https://cnetmobile.estaleiro.serpro.gov.br/comprasnet-web/public/compras/acompanhamento-compra?compra=09011505001152026</t>
  </si>
  <si>
    <t>Aquisição de artigos médicos</t>
  </si>
  <si>
    <t>60747318000162-1-001399/2026</t>
  </si>
  <si>
    <t>https://cnetmobile.estaleiro.serpro.gov.br/comprasnet-web/public/compras/acompanhamento-compra?compra=53210105012992026</t>
  </si>
  <si>
    <t>TOUCA DESCARTAVEL CONFECCIONADA EM FALSO TECIDO</t>
  </si>
  <si>
    <t>60448040000122-1-000621/2026</t>
  </si>
  <si>
    <t>https://cnetmobile.estaleiro.serpro.gov.br/comprasnet-web/public/compras/acompanhamento-compra?compra=09230105003762026</t>
  </si>
  <si>
    <t>BOLSA COLETORA DE EFLUENTES DE 5L CONFECCIONADO EM PVC, COM, SIST. P/ ASP.SECREÇÃO C/VÁLV.SEG.ANTÍ-REFLUXO 1.000ML INF., SERINGA DESCART CAP 50-60ML (BICO SLIP), SERINGA DESC. P/ TUBERCULINA 1ML, SERINGA DESC. ESTERIL, CAPA. 20ML, FIO DE NYLON 4/0C/1AG 2</t>
  </si>
  <si>
    <t>46523239000147-1-000488/2026</t>
  </si>
  <si>
    <t>REGISTRO DE PREÇOS PARA EVENTUAL AQUISIÇÃO DE FRALDAS - DETERMINAÇÃO JUDICIAL</t>
  </si>
  <si>
    <t>60123072000158-1-000092/2026</t>
  </si>
  <si>
    <t>MUNICIPIO DE NOVA CAMPINA</t>
  </si>
  <si>
    <t>Nova Campina</t>
  </si>
  <si>
    <t>AQUISIÇÃO DE MATERIAIS DE CONSUMO PARA USO EM UNIDADES DE SAÚDE I</t>
  </si>
  <si>
    <t>46854998000192-1-000609/2026</t>
  </si>
  <si>
    <t>HOSPITAL DO SERVIDOR PUBLICO MUNICIPAL</t>
  </si>
  <si>
    <t>https://cnetmobile.estaleiro.serpro.gov.br/comprasnet-web/public/compras/acompanhamento-compra?compra=92510205003822026</t>
  </si>
  <si>
    <t>Locação de bombas de infusão de seringa</t>
  </si>
  <si>
    <t>45780103000150-1-001079/2026</t>
  </si>
  <si>
    <t>MUNICIPIO DE JUNDIAI</t>
  </si>
  <si>
    <t>SERINGAS DESCARTÁVEIS DE 3, 10 E 20ML - RP</t>
  </si>
  <si>
    <t>46377800000127-1-004150/2026</t>
  </si>
  <si>
    <t>SAO PAULO SECRETARIA DA SEGURANCA PUBLICA</t>
  </si>
  <si>
    <t>Piracicaba</t>
  </si>
  <si>
    <t>https://cnetmobile.estaleiro.serpro.gov.br/comprasnet-web/public/compras/acompanhamento-compra?compra=18036205000512026</t>
  </si>
  <si>
    <t>O objeto do presente licitação é aquisição de materiais de consumo odontológicos para a UIS do CPI-9 e unidades subordinadas, conforme condições, quantidades e exigências estabelecidas neste Edital e seus Anexos.</t>
  </si>
  <si>
    <t>46374500000194-1-008161/2026</t>
  </si>
  <si>
    <t>https://cnetmobile.estaleiro.serpro.gov.br/comprasnet-web/public/compras/acompanhamento-compra?compra=09011605002322026</t>
  </si>
  <si>
    <t>Aquisição de Material de Enfermagem para atender Mandado Judicial</t>
  </si>
  <si>
    <t>60747318000162-1-001396/2026</t>
  </si>
  <si>
    <t>https://cnetmobile.estaleiro.serpro.gov.br/comprasnet-web/public/compras/acompanhamento-compra?compra=53210105013422026</t>
  </si>
  <si>
    <t>KIT CIRURGICO DESC. 1 SMS AZUL 130X200</t>
  </si>
  <si>
    <t>46374500000194-1-008081/2026</t>
  </si>
  <si>
    <t>https://cnetmobile.estaleiro.serpro.gov.br/comprasnet-web/public/compras/acompanhamento-compra?compra=09018105003832026</t>
  </si>
  <si>
    <t>Aquisição de Materiais Odontológicos e Dreno Blake</t>
  </si>
  <si>
    <t>60747318000162-1-001401/2026</t>
  </si>
  <si>
    <t>https://cnetmobile.estaleiro.serpro.gov.br/comprasnet-web/public/compras/acompanhamento-compra?compra=53210105014872026</t>
  </si>
  <si>
    <t>CATETER PICC 1,9 FR -50 CM</t>
  </si>
  <si>
    <t>46374500000194-1-008023/2026</t>
  </si>
  <si>
    <t>https://cnetmobile.estaleiro.serpro.gov.br/comprasnet-web/public/compras/acompanhamento-compra?compra=09018105003822026</t>
  </si>
  <si>
    <t>Aquisição de Cateter diagnóstico, Torneira de 04 ou 05 vias, Extensor de bomba, Fios guia e Insuflador com manômetro</t>
  </si>
  <si>
    <t>60448040000122-1-000620/2026</t>
  </si>
  <si>
    <t>https://cnetmobile.estaleiro.serpro.gov.br/comprasnet-web/public/compras/acompanhamento-compra?compra=09230105003382026</t>
  </si>
  <si>
    <t>SERINGA DESC. P/ BOMBA SERINGA 10 ML, EQUIPO PERFUSOR P/ BOMBA SERINGA 150CM, FOTOSSENSIVEL, SERINGA DESC. P/ BOMBA SERINGA 50 ML, EQUIPO PERFUSOR P/ BOMBA SERINGA 120/150 CM., EQUIPO PERFUSOR P/ BOMBA SERINGA 150 CM., SERINGA DESC. P/ BOMBA SERINGA 20 ML COM CESSÃO DE COMODATO DE EQUIPAMENTOS, INCL</t>
  </si>
  <si>
    <t>60747318000162-1-001400/2026</t>
  </si>
  <si>
    <t>https://cnetmobile.estaleiro.serpro.gov.br/comprasnet-web/public/compras/acompanhamento-compra?compra=53210105014882026</t>
  </si>
  <si>
    <t>DRENO DE SUCCAO PORTO VAC</t>
  </si>
  <si>
    <t>46374500000194-1-008111/2026</t>
  </si>
  <si>
    <t>https://cnetmobile.estaleiro.serpro.gov.br/comprasnet-web/public/compras/acompanhamento-compra?compra=09018305013632026</t>
  </si>
  <si>
    <t>Aquisição de Cânula de Interface para Traqueostomia e outros-Comodato</t>
  </si>
  <si>
    <t>46374500000194-1-007646/2026</t>
  </si>
  <si>
    <t>https://cnetmobile.estaleiro.serpro.gov.br/comprasnet-web/public/compras/acompanhamento-compra?compra=09017005001482026</t>
  </si>
  <si>
    <t>AQUISIÇÃO DE MATERIAL DE CONSUMO - PAPEL GRAU CIRÚRGICO E ODONTOLOGICO</t>
  </si>
  <si>
    <t>46374500000194-1-008151/2026</t>
  </si>
  <si>
    <t>Osasco</t>
  </si>
  <si>
    <t>https://cnetmobile.estaleiro.serpro.gov.br/comprasnet-web/public/compras/acompanhamento-compra?compra=09016705005452026</t>
  </si>
  <si>
    <t>Aquisição de Material Técnico Hospitalar (Compressa Cirúrgica Estéril 25x28 e Equipo Macrogotas Estéril).</t>
  </si>
  <si>
    <t>58200015000183-1-000515/2026</t>
  </si>
  <si>
    <t>MUNICIPIO DE SANTOS</t>
  </si>
  <si>
    <t>https://bllcompras.com/Process/ProcessView?param1=[gkz]xza3PVHPds/Yw5BiUro_og2PoQYYFy6GBa8Tnw6VDxhf/1jHb_af2PFm9MPlSH_C3c7ZRs9Nz2XiteHRfMEi2R5NOvX9Bc/kd2QarTkPkIA=</t>
  </si>
  <si>
    <t>AQUISIÇÃO DE PRODUTOS PARA A SAÚDE - DISPENSA (ART. 75, INCISO II) - MEMORANDO 108/2026 - PL 50505/2026-28</t>
  </si>
  <si>
    <t>65042855000120-1-000091/2026</t>
  </si>
  <si>
    <t>MUNICIPIO DE POTIM</t>
  </si>
  <si>
    <t>Potim</t>
  </si>
  <si>
    <t>PREGÃO ELETRÔNICO 037 2026 - REGISTRO DE PREÇOS PARA AQUISIÇÃO FUTURA E PARCELADA DE MEDICAMENTOS, FÓRMULAS E INSUMOS HOSPITALARES (SONDA DE GASTROSTOMIA E FRALDA GERIATRICA), PROVENIENTES DE DEMANDA JUDICIAL, CONFORME TERMO DE REFERÊNCIA E DEMAIS ANEXOS DO EDITAL.</t>
  </si>
  <si>
    <t>96291141000180-1-006838/2026</t>
  </si>
  <si>
    <t>SAO PAULO SECRETARIA DA ADMINISTRACAO PENITENCIARIA</t>
  </si>
  <si>
    <t>Itirapina</t>
  </si>
  <si>
    <t>https://cnetmobile.estaleiro.serpro.gov.br/comprasnet-web/public/compras/acompanhamento-compra?compra=38015906001192026</t>
  </si>
  <si>
    <t>Aquisição de Medicamentos e Insumos para os sentenciados desta esta Unidade</t>
  </si>
  <si>
    <t>96291141000180-1-006863/2026</t>
  </si>
  <si>
    <t>Caraguatatuba</t>
  </si>
  <si>
    <t>https://cnetmobile.estaleiro.serpro.gov.br/comprasnet-web/public/compras/acompanhamento-compra?compra=38024306000622026</t>
  </si>
  <si>
    <t>AQUISIÇÃO DE MATERIAL MÉDICO LABORATORIAL - INSUMOS HOSPITALARES</t>
  </si>
  <si>
    <t>46179941000135-1-000465/2026</t>
  </si>
  <si>
    <t>https://pncp.gov.br/app/editais?q=46.179.941%2F0001-35&amp;status=todos&amp;pagina=1&amp;ordenacao=-data</t>
  </si>
  <si>
    <t>AQUISIÇÃO DE MATERIAIS HOSPITALARES E LIMPEZA</t>
  </si>
  <si>
    <t>67995027000132-1-000321/2026</t>
  </si>
  <si>
    <t>MUNICIPIO DE HORTOLANDIA</t>
  </si>
  <si>
    <t>Hortolândia</t>
  </si>
  <si>
    <t>Ata de Registro de Preços para aquisição de bolsas com fluídos medicinais padronizados para atendimento das unidades da rede municipal de saúde, de acordo com as especificações contidas no ANEXO I – Termo de referência.</t>
  </si>
  <si>
    <t>44215846000114-1-000192/2026</t>
  </si>
  <si>
    <t>MUNICIPIO DE ARARAS</t>
  </si>
  <si>
    <t>Araras</t>
  </si>
  <si>
    <t>Registro de preço para aquisição de diversos tipos de curativos, destinados ao atendimento de pacientes do programa Melhor em Casa, junto à Secretaria Municipal de Saúde, conforme especificações constantes do Anexo I deste Edital.</t>
  </si>
  <si>
    <t>26989715000102-1-001633/2026</t>
  </si>
  <si>
    <t>MINISTERIO PUBLICO DA UNIAO</t>
  </si>
  <si>
    <t>https://cnetmobile.estaleiro.serpro.gov.br/comprasnet-web/public/compras/acompanhamento-compra?compra=20004906000332026</t>
  </si>
  <si>
    <t>Contratação para aquisição de medicamentos e insumos médico-hospitalares e odontológicos para ressuprimento de estoque, através da aquisição dos respectivos itens de consumo para dar suporte ao funcionamento básico da Unidade de Assistência em Saúde instalada na Procuradoria da República no Estado d</t>
  </si>
  <si>
    <t>51405231000116-1-000040/2026</t>
  </si>
  <si>
    <t>MUNICIPIO DE MARIAPOLIS</t>
  </si>
  <si>
    <t>Mariápolis</t>
  </si>
  <si>
    <t>Aquisição futura e parcelada de materiais de enfermagem em diversos setores do município de Mariápolis/SP.</t>
  </si>
  <si>
    <t>46588950000180-1-000905/2026</t>
  </si>
  <si>
    <t>REGISTRO DE PREÇOS PARA AQUISIÇÃO DE MATERIAL HOSPITALAR (CANULAS E OUTROS) PARA ASSISTENCIA DAS UNIDADES DE SAUDE DO MUNICIPIO. SECRETARIA MUNICIPAL DE SAUDE.</t>
  </si>
  <si>
    <t>46578498000175-1-000344/2026</t>
  </si>
  <si>
    <t>Registro de preços para possível aquisição de MATERIAL MÉDICO-HOSPITALAR a fim de atender a U.P.A. 24h – Unidade de Pronto Atendimento Municipal, S.A.M.U. – Serviço de Atendimento Móvel de Urgências, Rede de Atenção Básica e Rede de Atenção Especializada da Secretaria de Saúde de Itanhaém por um per</t>
  </si>
  <si>
    <t>50122571000177-1-000315/2026</t>
  </si>
  <si>
    <t>MUNICIPIO DE ITATIBA</t>
  </si>
  <si>
    <t>Itatiba</t>
  </si>
  <si>
    <t>O Registro de Preços pelo prazo de 12 (doze) meses, para eventual aquisição de material de enfermagem.</t>
  </si>
  <si>
    <t>46422408000152-1-000546/2026</t>
  </si>
  <si>
    <t>Registro de Preços para fornecimento de materiais hospitalares de uso veterinário.</t>
  </si>
  <si>
    <t>44441475000199-1-000055/2026</t>
  </si>
  <si>
    <t>MUNICIPIO DE GLICERIO</t>
  </si>
  <si>
    <t>Glicério</t>
  </si>
  <si>
    <t>AQUISIÇÃO DE MATERIAL ODONTOLOGICO</t>
  </si>
  <si>
    <t>46374500000194-1-008239/2026</t>
  </si>
  <si>
    <t>https://cnetmobile.estaleiro.serpro.gov.br/comprasnet-web/public/compras/acompanhamento-compra?compra=09011605002332026</t>
  </si>
  <si>
    <t>46482865000132-1-000313/2026</t>
  </si>
  <si>
    <t>Registro de preços visando aquisição de insumos e aparelhos para a realização de fisioterapia pélvica.</t>
  </si>
  <si>
    <t>46319000000150-1-000319/2026</t>
  </si>
  <si>
    <t>MUNICIPIO DE GUARULHOS</t>
  </si>
  <si>
    <t>https://cnetmobile.estaleiro.serpro.gov.br/comprasnet-web/public/compras/acompanhamento-compra?compra=98647705009272026</t>
  </si>
  <si>
    <t>Registro de preços para aquisição fraldas adulto e infantil diversos tamanhos</t>
  </si>
  <si>
    <t>46374500000194-1-008246/2026</t>
  </si>
  <si>
    <t>https://cnetmobile.estaleiro.serpro.gov.br/comprasnet-web/public/compras/acompanhamento-compra?compra=09013105001522026</t>
  </si>
  <si>
    <t>Aquisição de materiais para atendimento de demandas judiciais</t>
  </si>
  <si>
    <t>44780609000104-1-000367/2026</t>
  </si>
  <si>
    <t>MUNICIPIO DE BARRETOS</t>
  </si>
  <si>
    <t>Barretos</t>
  </si>
  <si>
    <t>https://bllcompras.com/Process/ProcessView?param1=[gkz]I2Au03QfygFaZqxAj2YJl4vW0xljKO0KTgcKuCtW9A9/C_6xd/vKZHB1LeJxm1MYwK7sQxMPRcuauqGFzolFjvuIHkNc_fItUV1YiHvs3Uw=</t>
  </si>
  <si>
    <t>aquisição de produtos médicos hospitalares/EPI para o Centro Veterinário Municipal.</t>
  </si>
  <si>
    <t>46374500000194-1-008251/2026</t>
  </si>
  <si>
    <t>Franca</t>
  </si>
  <si>
    <t>https://cnetmobile.estaleiro.serpro.gov.br/comprasnet-web/public/compras/acompanhamento-compra?compra=09012505001812026</t>
  </si>
  <si>
    <t>Aquisição de materiais diversos para atender a demandas judiciais do Departamento Regional de Saúde de Franca.</t>
  </si>
  <si>
    <t>46374500000194-1-008274/2026</t>
  </si>
  <si>
    <t>https://cnetmobile.estaleiro.serpro.gov.br/comprasnet-web/public/compras/acompanhamento-compra?compra=09010205008882026</t>
  </si>
  <si>
    <t>Aquisição de insumos e materiais de enfermagem para atendimento de demandas judiciais</t>
  </si>
  <si>
    <t>56023443000152-1-000484/2026</t>
  </si>
  <si>
    <t>https://cnetmobile.estaleiro.serpro.gov.br/comprasnet-web/public/compras/acompanhamento-compra?compra=09220105003402026</t>
  </si>
  <si>
    <t>CONSTITUIÇÃO DE SISTEMA DE REGISTRO DE PREÇOS PARA AQUISIÇÃO FUTURA E EVENTUAL DE MATERIAL MÉDICO, ALMOFADA, BALÃO RESPIRATÓRIO, GRÂNULOS, ANEL CAPSULAR, ELETRODOS E MICRO PINÇA</t>
  </si>
  <si>
    <t>46374500000194-1-008237/2026</t>
  </si>
  <si>
    <t>https://cnetmobile.estaleiro.serpro.gov.br/comprasnet-web/public/compras/acompanhamento-compra?compra=09015905000262026</t>
  </si>
  <si>
    <t>Aquisição de insumos hospitalares, canulas, sondas, cateres, drenos, dispositivos, copos e outros</t>
  </si>
  <si>
    <t>46377800000127-1-004275/2026</t>
  </si>
  <si>
    <t>https://cnetmobile.estaleiro.serpro.gov.br/comprasnet-web/public/compras/acompanhamento-compra?compra=18022005002232026</t>
  </si>
  <si>
    <t>Formação de Ata de Registro de preços para aquisição futura de materiais correlatos à saúde, para o Centro Médico da Polícia Militar do Estado de São Paulo.</t>
  </si>
  <si>
    <t>46374500000194-1-008154/2026</t>
  </si>
  <si>
    <t>https://cnetmobile.estaleiro.serpro.gov.br/comprasnet-web/public/compras/acompanhamento-compra?compra=09018105003772026</t>
  </si>
  <si>
    <t>Aquisição de cateteres intravenoso e fio de sutura.</t>
  </si>
  <si>
    <t>53300356000107-1-000183/2026</t>
  </si>
  <si>
    <t>MUNICIPIO DE OSVALDO CRUZ</t>
  </si>
  <si>
    <t>Osvaldo Cruz</t>
  </si>
  <si>
    <t>REGISTRO DE PREÇOS PARA FUTURA E EVENTUAL AQUISIÇÃO DE MATERIAL DE ENFERMAGEM, VISANDO ATENDER A DEMANDA DA SECRETARIA MUNICIPAL DE SAÚDE DO MUNICÍPIO DE OSVALDO CRUZ - SP, PELO PERÍODO DE 12 (DOZE) MESES.</t>
  </si>
  <si>
    <t>45176153000122-1-000181/2026</t>
  </si>
  <si>
    <t>https://comprasbr.com.br/pregao-eletronico-detalhe/?idlicitacao=48774</t>
  </si>
  <si>
    <t>Aquisição de materiais de laboratório</t>
  </si>
  <si>
    <t>46634291000170-1-001081/2026</t>
  </si>
  <si>
    <t>MUNICIPIO DE ITAPETININGA</t>
  </si>
  <si>
    <t>Itapetininga</t>
  </si>
  <si>
    <t>https://comprasbr.com.br/pregao-eletronico-detalhe/?idlicitacao=48660</t>
  </si>
  <si>
    <t>SISTEMA DE REGISTRO DE PREÇOS PARA AQUISIÇÃO DE MEDICAMENTOS E INSUMOS VETERINARIOS PARA ATENDER A SECRETARIA DE SAUDE (ZOONOSES) - SECRETARIA MUNICIPAL DA SAÚDE - EXCLUSIVO PARA MICROEMPRESAS (ME) E EMPRESAS DE PEQUENO PORTE (EPP).</t>
  </si>
  <si>
    <t>13864377000130-1-001503/2026</t>
  </si>
  <si>
    <t>https://cnetmobile.estaleiro.serpro.gov.br/comprasnet-web/public/compras/acompanhamento-compra?compra=92521205000612026</t>
  </si>
  <si>
    <t>AQUISIÇÃO DE EQUIPAMENTOS MEDICO HOSPITALAR 10</t>
  </si>
  <si>
    <t>46374500000194-1-008230/2026</t>
  </si>
  <si>
    <t>https://cnetmobile.estaleiro.serpro.gov.br/comprasnet-web/public/compras/acompanhamento-compra?compra=09015705004652026</t>
  </si>
  <si>
    <t>AQUISIÇÃO DE CATETER DE ALTO FLUXO PARA UTI ADULTO COM COMODATO</t>
  </si>
  <si>
    <t>46374500000194-1-008236/2026</t>
  </si>
  <si>
    <t>https://cnetmobile.estaleiro.serpro.gov.br/comprasnet-web/public/compras/acompanhamento-compra?compra=09011805002892026</t>
  </si>
  <si>
    <t>Materiais de enfermagem</t>
  </si>
  <si>
    <t>00394429000100-1-002549/2026</t>
  </si>
  <si>
    <t>https://cnetmobile.estaleiro.serpro.gov.br/comprasnet-web/public/compras/acompanhamento-compra?compra=12001605001242026</t>
  </si>
  <si>
    <t>Eventual Aquisição de Medicamentos</t>
  </si>
  <si>
    <t>46374500000194-1-008212/2026</t>
  </si>
  <si>
    <t>https://cnetmobile.estaleiro.serpro.gov.br/comprasnet-web/public/compras/acompanhamento-compra?compra=09016805001442026</t>
  </si>
  <si>
    <t>Aquisição de Materiais Diversos de uso técnico Hospitalar</t>
  </si>
  <si>
    <t>46374500000194-1-008131/2026</t>
  </si>
  <si>
    <t>https://cnetmobile.estaleiro.serpro.gov.br/comprasnet-web/public/compras/acompanhamento-compra?compra=09018305013662026</t>
  </si>
  <si>
    <t>Aquisição de Eletrodo descartável para Eletroneuromiografia tamanho 0,35 x 35 mm - 2° Sem</t>
  </si>
  <si>
    <t>46151718000180-1-000663/2026</t>
  </si>
  <si>
    <t>MUNICIPIO DE BIRIGUI</t>
  </si>
  <si>
    <t>Birigui</t>
  </si>
  <si>
    <t>https://bllcompras.com/Process/ProcessView?param1=[gkz]dL566_/51UZUtaUIyZ_UEhXKbjTcDHkXhzQpiwM_7Rog7NNbHjFKXmKa1X0k_GA6mmmR5hgJHVVAswbhmJgqRbFxLm3dS10dpS4GatbrXgk=</t>
  </si>
  <si>
    <t>REGISTRO DE PREÇOS PARA AQUISIÇÃO DE INSUMOS DIVERSOS DE ENFERMAGEM PARA ATENDER AS NECESSIDADES DA SECRETARIA DE SAÚDE, CONFORME ESPECIFICAÇÕES DOS ANEXOS I E II – TERMO DE REFERÊNCIA.</t>
  </si>
  <si>
    <t>46362661000168-1-002017/2026</t>
  </si>
  <si>
    <t>MUNICIPIO DE LEME</t>
  </si>
  <si>
    <t>Leme</t>
  </si>
  <si>
    <t>REGISTRO DE PREÇOS, VISANDO A AQUISIÇÃO DE INSTRUMENTAIS CIRÚRGICOS E ODONTOLÓGICOS PARA USO NAS UNIDADES DE SAÚDE PARA PEQUENOS PROCEDIMENTOS.</t>
  </si>
  <si>
    <t>45351749000111-1-000105/2026</t>
  </si>
  <si>
    <t>MUNICIPIO DE ORLANDIA</t>
  </si>
  <si>
    <t>Orlândia</t>
  </si>
  <si>
    <t>https://bllcompras.com/Process/ProcessView?param1=[gkz]k17ste4FLDhRtPv0hA9QtBvvQpqqDOY7S5mkvweGCL7d44nVyRq9JTeZ2JXl0aux3BrMJN19Vu1OCDJfrKe_YKpXChPhwXlWrdObahjzrl4=</t>
  </si>
  <si>
    <t>AQUISIÇÃO DE EQUIPAMENTOS E MATERIAIS PERMANENTES PARA A SECRETARIA MUNICIPAL DE SAÚDE, EM EXECUÇÃO ÀS EMENDAS PARLAMENTARES FEDERAIS RECEBIDAS PELO MUNICÍPIO DE ORLÂNDIA.</t>
  </si>
  <si>
    <t>46374500000194-1-008315/2026</t>
  </si>
  <si>
    <t>https://cnetmobile.estaleiro.serpro.gov.br/comprasnet-web/public/compras/acompanhamento-compra?compra=09018305013742026</t>
  </si>
  <si>
    <t>Aquisição de Sonda Uretral tamanho 08 e Outros</t>
  </si>
  <si>
    <t>46377800000127-1-003990/2026</t>
  </si>
  <si>
    <t>https://cnetmobile.estaleiro.serpro.gov.br/comprasnet-web/public/compras/acompanhamento-compra?compra=18018805000772026</t>
  </si>
  <si>
    <t>Aquisição de instrumental e insumos odontológicos para a UIS do CPA/M-4</t>
  </si>
  <si>
    <t>44215846000114-1-000195/2026</t>
  </si>
  <si>
    <t>REGISTRAR OS MENORES PREÇOS DE FRALDAS DE MARCAS ESPECÍFICAS PARA ATENDER PROCESSOS JUDICIAIS JUNTO À S.M. SAÚDE</t>
  </si>
  <si>
    <t>44547313000130-1-000090/2026</t>
  </si>
  <si>
    <t>MUNICIPIO DE QUATA</t>
  </si>
  <si>
    <t>Quatá</t>
  </si>
  <si>
    <t>REGISTRO DE PREÇOS PARA AQUISIÇÃO DE FITAS REAGENTES E LANCETAS, DESTINADOS AO ATENDIMENTO DAS NECESSIDADES DA SECRETARIA MUNICIPAL DE SAUDE.</t>
  </si>
  <si>
    <t>46374500000194-1-008262/2026</t>
  </si>
  <si>
    <t>https://cnetmobile.estaleiro.serpro.gov.br/comprasnet-web/public/compras/acompanhamento-compra?compra=09018105004022026</t>
  </si>
  <si>
    <t>Aquisição de Sonda e Equipo</t>
  </si>
  <si>
    <t>46374500000194-1-008306/2026</t>
  </si>
  <si>
    <t>https://cnetmobile.estaleiro.serpro.gov.br/comprasnet-web/public/compras/acompanhamento-compra?compra=09017105001072026</t>
  </si>
  <si>
    <t>Aquisição de material medico Hospitalar - Equipo de Bomba de Infusão para Dieta Enteral</t>
  </si>
  <si>
    <t>56023443000152-1-000645/2026</t>
  </si>
  <si>
    <t>https://cnetmobile.estaleiro.serpro.gov.br/comprasnet-web/public/compras/acompanhamento-compra?compra=09220105004772026</t>
  </si>
  <si>
    <t>CONSTITUIÇÃO DE SISTEMA DE REGISTRO DE PREÇOS PARA AQUISIÇÃO FUTURA E EVENTUAL DE MATERIAL MÉDICO, FIO DE SUTURA</t>
  </si>
  <si>
    <t>46634101000115-1-000461/2026</t>
  </si>
  <si>
    <t>MUNICIPIO DE BOTUCATU</t>
  </si>
  <si>
    <t>https://cnetmobile.estaleiro.serpro.gov.br/comprasnet-web/public/compras/acompanhamento-compra?compra=98624905001262026</t>
  </si>
  <si>
    <t>REGISTRO DE PREÇOS PARA POSSÍVEL AQUISIÇÃO DE INSTRUMENTAIS CIRÚRGICOS</t>
  </si>
  <si>
    <t>46374500000194-1-008288/2026</t>
  </si>
  <si>
    <t>https://cnetmobile.estaleiro.serpro.gov.br/comprasnet-web/public/compras/acompanhamento-compra?compra=09018205002582026</t>
  </si>
  <si>
    <t>Aquisição de Materiais para Enfermagem</t>
  </si>
  <si>
    <t>46377800000127-1-004192/2026</t>
  </si>
  <si>
    <t>https://cnetmobile.estaleiro.serpro.gov.br/comprasnet-web/public/compras/acompanhamento-compra?compra=18016805001102026</t>
  </si>
  <si>
    <t>Aquisição de Insumos Hospitalares para os semoventes</t>
  </si>
  <si>
    <t>45176153000122-1-000170/2026</t>
  </si>
  <si>
    <t>https://comprasbr.com.br/pregao-eletronico-detalhe/?idlicitacao=48448</t>
  </si>
  <si>
    <t>Aquisição de material de uso hospitalar</t>
  </si>
  <si>
    <t>46523171000104-1-000243/2026</t>
  </si>
  <si>
    <t>MUNICIPIO DE OSASCO</t>
  </si>
  <si>
    <t>https://cnetmobile.estaleiro.serpro.gov.br/comprasnet-web/public/compras/acompanhamento-compra?compra=45057305000532026</t>
  </si>
  <si>
    <t>REGISTRO DE PREÇOS VISANDO O FORNECIMENTO DE INSUMOS DE FONOAUDIOLOGIA</t>
  </si>
  <si>
    <t>45318581000142-1-000086/2026</t>
  </si>
  <si>
    <t>MUNICIPIO DE RESTINGA</t>
  </si>
  <si>
    <t>Restinga</t>
  </si>
  <si>
    <t>REGISTRO DE PREÇOS PARA AQUISIÇÃO DE EQUIPAMENTOS, MATERIAIS HOSPITALARES E DO SUPLEMENTO ALIMENTAR FORTINI PLUS – SEM LACTOSE, CONFORME TERMO DE REFERÊNCIA E ANEXOS DE QUANTIDADES E ESPECIFICAÇÕES.</t>
  </si>
  <si>
    <t>45731650000145-1-000161/2026</t>
  </si>
  <si>
    <t>MUNICIPIO DE PIRASSUNUNGA</t>
  </si>
  <si>
    <t>Registro de Preços de fraldas geriátricas descartáveis para distribuição gratuita a população e fraldas infantis descartáveis para atendimentos as ordens judiciais vigentes</t>
  </si>
  <si>
    <t>25053117000164-1-000202/2026</t>
  </si>
  <si>
    <t>SECRETARIA DA SAUDE</t>
  </si>
  <si>
    <t>Palmas</t>
  </si>
  <si>
    <t>TO</t>
  </si>
  <si>
    <t>https://cnetmobile.estaleiro.serpro.gov.br/comprasnet-web/public/compras/acompanhamento-compra?compra=92595805000482026</t>
  </si>
  <si>
    <t>Curativo à vácuo com fornecimento de bomba em comodato</t>
  </si>
  <si>
    <t>02075216000141-1-000039/2026</t>
  </si>
  <si>
    <t>MUNICIPIO DE FORMOSO DO ARAGUAIA</t>
  </si>
  <si>
    <t>Formoso do Araguaia</t>
  </si>
  <si>
    <t>https://www.portaldecompraspublicas.com.br/processos/TO/Prefeitura-Municipal-de-Formoso-do-Araguaia-1369/DE-67-2026-2026-516840</t>
  </si>
  <si>
    <t>[Portal de Compras Públicas] - Aquisição de materiais de rouparia e uso hospitalar, destinados ao atendimento das necessidades do Hospital Municipal Hermínio Azevedo Soares, vinculado à Secretaria Municipal de Saúde de Formoso do Araguaia TO</t>
  </si>
  <si>
    <t>11391015000144-1-000016/2026</t>
  </si>
  <si>
    <t>FUNDO MUNICIPAL DE SAUDE DE BARROLANDIA - TO</t>
  </si>
  <si>
    <t>Barrolândia</t>
  </si>
  <si>
    <t>https://licitanet.com.br/sessao/203643</t>
  </si>
  <si>
    <t>[LICITANET] - AQUISIÇÃO DE MATERIAL ODONTOLÓGICO É NECESSÁRIA PARA SUPRIR A DEMANDA DOS SERVIÇOS DE SAÚDE BUCAL DO MUNICÍPIO, GARANTINDO CONDIÇÕES ADEQUADAS PARA A EXECUÇÃO DOS PROCEDIMENTOS ODONTOLÓGICOS REALIZADOS NA UNIDADE DE SAÚDE. A INCLUSÃO DOS REFERIDOS MATERIAIS NO PROCESSO LICITATÓRIO VISA</t>
  </si>
  <si>
    <t>11772824000104-1-000021/2026</t>
  </si>
  <si>
    <t>FUNDO MUNICIPAL DE SAUDE DE PEDRO AFONSO</t>
  </si>
  <si>
    <t>Pedro Afonso</t>
  </si>
  <si>
    <t>Registro de preços para contratação de empresa para aquisição de materiais hospitalares, destinados ao abastecimento das Unidades Básicas de Saúde – UBS e demais serviços vinculados à Secretaria Municipal de Saúde de Pedro Afonso/TO.</t>
  </si>
  <si>
    <t>Nº item</t>
  </si>
  <si>
    <t>Descrição</t>
  </si>
  <si>
    <t>Qtd</t>
  </si>
  <si>
    <t>Vlr unit</t>
  </si>
  <si>
    <t>Desconto</t>
  </si>
  <si>
    <t>Valor homologado</t>
  </si>
  <si>
    <t>Primeira ocorrência</t>
  </si>
  <si>
    <t>Luva Cirúrgica material: borracha natural - látex, superfície: superfície lisa, formato: anatômico, pó: com pó bioabsorvível, cor: c/ cor, tamanho: nº 7,0, apresentação: em par, esterilidade: estéril, uso único, embalagem: embalagem individual</t>
  </si>
  <si>
    <t xml:space="preserve">Agulha Odontológica material: aço inoxidável siliconizado, aplicação: gengival / anestesia, dimensão: 30 g curta, tipo ponta*: com bisel trifacetado, tipo conexão: conector p/ seringa carpule, tipo uso: estéril, descartável, apresentação: c/ protetor plástico </t>
  </si>
  <si>
    <t>Touca Hospitalar material*: não tecido 100% polipropileno, modelo: com elástico em toda volta, cor*: sem cor, gramatura*: cerca de 60, tamanho*: único, tipo uso*: descartável, característica adicional 01: hipoalergênica, atóxica, inodora, unissex</t>
  </si>
  <si>
    <t>Reservatório P/ Coleta De Amostra Biológica modelo: frasco, aplicação: universal, material: polímero rígido transparente, graduado, volume: cerca de 50 ml, fechamento: tampa plástica, componente: c/ pá, esterilidade: estéril, uso único CONFORME DESCRITO DO TER</t>
  </si>
  <si>
    <t>Agulha Coleta Sangue À Vácuo material: aço inoxidável siliconizado, dimensão: 21 g x 1", tipo ponta: bisel curto trifacetado, tipo conexão: conector luer lock em plástico, tipo fixação: protetor plástico, uso: estéril, descartável, embalagem individual CONFORM</t>
  </si>
  <si>
    <t>Reservatório P/ Coleta De Amostra Biológica modelo: frasco, aplicação: urina 24h, material: polímero rígido c/ cor, graduado, volume: cerca de 2000 ml, fechamento: tampa plástica, esterilidade: não estéril, uso único CONFORME DESCRITO DO TERMO DE REFERÊNCIA:</t>
  </si>
  <si>
    <t>Coletor De Resíduos De Serviço De Saúde tipo de resíduo: grupo e - resíduo perfurocortante infectante, tipo risco: risco biológico, capacidade: cerca de 13, material: caixa de papelão c/ saco plástico, adicional: c/ alça, uso: uso único CONFORME DESCRITO DO TE</t>
  </si>
  <si>
    <t>Agulha Odontológica aplicação: gengival / anestesia, apresentação: c/ protetor plástico e lacre, dimensão: 30 g longa, material: aço inoxidável siliconizado, tipo conexão: conector p/ seringa carpule, tipo ponta*: com bisel trifacetado, tipo uso: estéril, desc</t>
  </si>
  <si>
    <t>Agulha Odontológica aplicação: gengival / anestesia, apresentação: c/ protetor plástico e lacre, dimensão: 30 g curta, material: aço inoxidável siliconizado, tipo conexão: conector p/ seringa carpule, tipo ponta*: com bisel trifacetado, tipo uso: estéril, desc</t>
  </si>
  <si>
    <t>Lâmina Bisturi características adicionais: embalada individualmente, esterilidade: estéril, material: aço inoxidável, tamanho: nº 12, tipo: descartável Lâmina de bisturi nº 12 Lâmina estéril para bisturi, apresentado em caixa contendo 100 unidades.</t>
  </si>
  <si>
    <t>Lâmina Bisturi características adicionais: embalada individualmente, esterilidade: estéril, material: aço inoxidável, tamanho: nº 15, tipo: descartável Lâmina de bisturi nº 15 Lâmina estéril para bisturi, apresentado em caixa contendo 100 unidades.</t>
  </si>
  <si>
    <t>Máscara Proteção Resp. C/ Anvisa adicional: carvão ativado, adicional 2: c/ válvula, classe: pff2, n95 ou equivalente, componente: clipe nasal, cor: c/ cor, esterilidade: descartável, filtro: eficiência filtração mín. 94% s, material: camadas fibras sintéticas</t>
  </si>
  <si>
    <t>Saco Plástico Lixo altura: 160, aplicação: coleta de resíduos infectantes, capacidade: 100, características adicionais: com solda contínua, sem fechos, cor: leitoso transparente, espessura: 0,08 micras, largura: 90, material: polietileno alta densidade Saco le</t>
  </si>
  <si>
    <t>Indicador Biológico P/ Processamento De Produtos De Saúde aplicação: para esterilização a vapor, apresentação: autocontido, ampola com meio de cultura, características adicionais: resposta em 2 horas, espécie: bacillus stearothermophillus, tipo: segunda geraçã</t>
  </si>
  <si>
    <t>Touca Hospitalar característica adicional 01: hipoalergênica, atóxica, inodora, unissex, cor*: sem cor, gramatura*: cerca de 60, material*: não tecido 100% polipropileno, modelo: com elástico em toda volta, tamanho*: único, tipo uso*: descartável Touca descart</t>
  </si>
  <si>
    <t>Coletor de urina infantil unissex vol 100ML. 100unid/cx</t>
  </si>
  <si>
    <t>Agulha descartável para punção, com conector para caneta de insulina, 5 x 0,25 mm.</t>
  </si>
  <si>
    <t>Agulha descartável para punção, com conector para caneta de insulina, 8 x 0,25 mm.</t>
  </si>
  <si>
    <t>Agulha hipodérmica descartável 13 x 4,5 mm</t>
  </si>
  <si>
    <t>Agulha hipodérmica descartável 20 x 5,5 mm</t>
  </si>
  <si>
    <t>Agulha hipodérmica descartável 25 x 6 mm</t>
  </si>
  <si>
    <t>Agulha hipodérmica descartável 25 x 7 mm</t>
  </si>
  <si>
    <t>Agulha hipodérmica descartável 25 x 8 mm</t>
  </si>
  <si>
    <t>Agulha hipodérmica descartável 30 x 8 mm</t>
  </si>
  <si>
    <t>Agulha hipodérmica descartável 40 x 12 mm</t>
  </si>
  <si>
    <t>Avental hospitalar ou capote cirurgico, tnt, estéril, tiras para fixação, manga longa, punho elástico</t>
  </si>
  <si>
    <t>Cateter intravenoso nº 14 G</t>
  </si>
  <si>
    <t>Cateter intravenoso nº 16 G</t>
  </si>
  <si>
    <t>Cateter intravenoso nº 18 G</t>
  </si>
  <si>
    <t>Cateter intravenoso nº 20 G</t>
  </si>
  <si>
    <t>Cateter intravenoso nº 22 G</t>
  </si>
  <si>
    <t>Cateter intravenoso nº 24 G</t>
  </si>
  <si>
    <t>Clamp umbilical, em pvc rígido, atóxico, hipoalergênico, descartável, embalagem individual.</t>
  </si>
  <si>
    <t>Coletor de urina 2.000 mL – sistema aberto</t>
  </si>
  <si>
    <t>Coletor de urina, sistema fechado, fabricado em PVC translúcido, com capacidade para 2.000 mL em escala graduada, tubo extensor com 110 cm comprimento, conector universal com tampa e pinça corta fluxo, tubo de drenagem com válvula que permite abertura de fecha</t>
  </si>
  <si>
    <t>Comadre hospitalar inox</t>
  </si>
  <si>
    <t>Cuba de uso hospitalar, em aço inoxidável, com formato em rim, com dimensão de 26cm x 12cm.</t>
  </si>
  <si>
    <t>Equipo macrogotas completo, descartável, estéril, tubo em PVC atóxico e apirogênico com 1,5 m de comprimento e ponta perfurante com tampa protetora, câmera gotejadora flexível, pinça rolete, conector luer lock, entrada de ar, filtro de partícula e injetor late</t>
  </si>
  <si>
    <t>Equipo macrogotas completo, fotossensível, descartável, estéril, tubo em PVC atóxico e apirogênico com 1,5 m de comprimento e ponta perfurante com tampa protetora, câmera gotejadora flexível, pinça rolete, conector luer lock, entrada de ar, filtro de partícula</t>
  </si>
  <si>
    <t>Equipo microgotas, em PVC cristal, com mínimo de 120 cm, câmara flexível c/filtro ar, regulador de fluxo, luer c/ tampa, estéril, descartável.</t>
  </si>
  <si>
    <t>Esparadrapo Impermeável 10 cm x 4,5 m</t>
  </si>
  <si>
    <t>Fio de sutura (nylon monofilamento preto nº 2-0), comprimento mínimo do fio (45 cm), com agulha 3/8 círculo triangular, tamanho da agulha (4 cm), estéril.</t>
  </si>
  <si>
    <t>Fio de sutura (nylon monofilamento preto nº 3-0), comprimento mínimo do fio de 45 cm, com agulha 3/8 círculo triangular, tamanho mínimo da agulha de 2,4 cm, estéril.</t>
  </si>
  <si>
    <t>Fio de sutura (nylon monofilamento preto nº 3-0), comprimento mínimo do fio (45 cm), com agulha 3/8 círculo triangular, tamanho da agulha (4 cm), estéril.</t>
  </si>
  <si>
    <t>Fio de sutura (nylon monofilamento preto nº 4-0), comprimento mínimo do fio (45 cm), com agulha 3/8 círculo triangular, tamanho da agulha (4 cm), estéril.</t>
  </si>
  <si>
    <t>Fita adesiva microporosa, 10 cm (largura) e 10 m (comprimento), auto aderente, confeccionado com papel hipoalergênico permeável ao ar e vapor, recoberto de massa adesiva acrílica de alta tolerância cutânea, maleável e flexível, em rolo com proteção plástica.</t>
  </si>
  <si>
    <t>Fita para autoclave, duas faces (massa adesiva à base de borracha natural, óxido de zinco e resinas e camada impermeabilizante de resina acrílica), 19 mm (largura) x 30 m (comprimento), com indicador químico de esterilização, em rolo</t>
  </si>
  <si>
    <t>Gaze rolo – tipo queijo, não estéril.</t>
  </si>
  <si>
    <t>Lâmina para bisturi nº 22, descartável, estéril, confeccionada em aço inoxidável, isenta de imperfeições, ponta afiada, com adaptação para cabo.</t>
  </si>
  <si>
    <t>Lençol hospitalar descartável, confeccionado em 100% celulose reciclada com fibras naturais, textura tipo “crepe”, flexível e resistente, 70 cm largura x 50 m comprimento.</t>
  </si>
  <si>
    <t xml:space="preserve">Luva cirúrgica (nº 7,5), estéril, confeccionado em látex natural, lubrificada com pó absorvível, atóxica, descartável, anatômica, com abertura asséptica, comprimento mínimo de 28 cm, conforme norma ABNT. Com certificado de aprovação emitido pelo ministério do </t>
  </si>
  <si>
    <t>Luva cirúrgica (nº 8), estéril, confeccionado em látex natural, lubrificada com pó absorvível, atóxica, descartável, anatômica, com abertura asséptica, comprimento mínimo de 28 cm, conforme norma ABNT. Com certificado de aprovação emitido pelo ministério do tr</t>
  </si>
  <si>
    <t>Luva para procedimento (tamanho grande), não cirúrgico, látex natural íntegro e uniforme, lubrificada com pó bioabsorvível, descartável, atóxica, ambidestra, formato anatômico, resistente à tração.</t>
  </si>
  <si>
    <t>Luva para procedimento (tamanho médio), não cirúrgico, látex natural íntegro e uniforme, lubrificada com pó bioabsorvível, descartável, atóxica, ambidestra, formato anatômico, resistente à tração.</t>
  </si>
  <si>
    <t>Luva para procedimento (tamanho pequeno), não cirúrgico, látex natural íntegro e uniforme, lubrificada com pó bioabsorvível, descartável, atóxica, ambidestra, formato anatômico, resistente à tração.</t>
  </si>
  <si>
    <t>Máscara cirúrgica tripla, descartável, confeccionada em TNT, tripla camada com filtro (95% de eficiência), duas tiras elásticas resistente com 40 cm comprimento, clips nasal (14 cm comprimento), sonda por ultrassom, cor branca.</t>
  </si>
  <si>
    <t xml:space="preserve">Mascara de alta concentração O2, adulto. Máscara facial para oxigenoterapia, tamanho adulto, confeccionada em PVC ou outro material compatível com a finalidade, transparente e flexível, podendo ser verde ou incolor, ajustável através de chapa confeccionada em </t>
  </si>
  <si>
    <t>Máscara de alta concentração O2, infantil. Máscara facial para oxigenoterapia, tamanho infantil, confeccionada em PVC ou outro material compatível com a finalidade, transparente e flexível, podendo ser verde ou incolor, ajustável através de chapa confeccionada</t>
  </si>
  <si>
    <t>Máscara N95 PFF2 Descartável - Proteção Respiratória</t>
  </si>
  <si>
    <t>Microlanceta (para lancetador), agulha 28G, descartável, estéril, ponta trifacetada, exclusivo protetor de ponta, encaixe universal.</t>
  </si>
  <si>
    <t>Papagaio hospitalar inox</t>
  </si>
  <si>
    <t>Papel grau cirúrgico, 25 cm (largura), 100 m (comprimento), composto por polipropileno, 60g/m2 de gramatura e filme de polietileno com 02 camadas (laminado e transparente), auto selante, com indicador para esterilização à vapor e óxido de etileno.</t>
  </si>
  <si>
    <t>Papel grau cirúrgico, 30 cm (largura), 100 m (comprimento), composto por polipropileno, 60g/m2 de gramatura e filme de polietileno com 02 camadas (laminado e transparente), auto selante, com indicador para esterilização à vapor e óxido de etileno.</t>
  </si>
  <si>
    <t>Seringa 1 mL, descartável, com agulha desconectável (13 x 0,45 mm), bisel trifacetato, estéril, apirogênica, atóxica, corpo confeccionado em polipropileno, transparente, graduado com intervalo entre 10 e 10 mm (com subdivisão), impressão nítida e legível, cili</t>
  </si>
  <si>
    <t>Seringa 1 mL, descartável, sem agulha, bisel trifacetato, estéril, apirogênica, atóxica, corpo confeccionado em polipropileno, transparente, graduado com intervalo entre 10 e 10 mm (com subdivisão), impressão nítida e legível, cilindro com anel de retenção (em</t>
  </si>
  <si>
    <t xml:space="preserve">Seringa 3 mL, descartável, com agulha desconectável (25 x 0,7 mm), bisel trifacetato, estéril, apirogênica, atóxica, corpo confeccionado em polipropileno (transparente), graduado com intervalo entre 1 e 1 mL (com subdivisão entre 2 e 2 mm), impressão nítida e </t>
  </si>
  <si>
    <t xml:space="preserve">Seringa 5 mL, descartável, com agulha desconectável (25 x 0,7 mm), bisel trifacetato, estéril, apirogênica, atóxica, corpo confeccionado em polipropileno (transparente), graduado com intervalo entre 1 e 1 mL (com subdivisão entre 2 e 2 mm), impressão nítida e </t>
  </si>
  <si>
    <t>Seringa 10 mL, descartável, com agulha desconectável (25 x 0,7 mm), bisel trifacetato, estéril, apirogênica, atóxica, corpo confeccionado em polipropileno (transparente), graduado com intervalo entre 1 e 1 mL (com subdivisão entre 2 e 2 mm), impressão nítida e</t>
  </si>
  <si>
    <t>Seringa 20 mL, descartável, com agulha desconectável 25 x 0,7 mm, bisel trifacetato, estéril, apirogênica, atóxica, corpo confeccionado em polipropileno, transparente, graduado com intervalo entre 1 e 1 mL (com subdivisão entre 2 e 2 mm), impressão nítida e le</t>
  </si>
  <si>
    <t>Seringa descartável, 20 mL, luer slip, sem agulha, estéril, corpo confeccionado em polipropileno (transparente).</t>
  </si>
  <si>
    <t>Sonda uretral nº 08, tubo confeccionado em PVC flexível e conector universal em PVC rígido, descartável, estéril, transparente, siliconizada, extremidade fechada e um furo lateral com bordas arredondadas, 40 cm de comprimento, embalado individualmente.</t>
  </si>
  <si>
    <t>Sonda uretral nº 10, tubo confeccionado em PVC flexível e conector universal em PVC rígido, descartável, estéril, transparente, siliconizada, extremidade fechada e um furo lateral com bordas arredondadas, 40 cm de comprimento, embalado individualmente.</t>
  </si>
  <si>
    <t>Sonda uretral nº 12, tubo confeccionado em PVC flexível e conector universal em PVC rígido, descartável, estéril, transparente, siliconizada, extremidade fechada e um furo lateral com bordas arredondadas, 40 cm de comprimento, embalado individualmente.</t>
  </si>
  <si>
    <t>Sonda uretral nº 14, tubo confeccionado em PVC flexível e conector universal em PVC rígido, descartável, estéril, transparente, siliconizada, extremidade fechada e um furo lateral com bordas arredondadas, 40 cm de comprimento, embalado individualmente em papel</t>
  </si>
  <si>
    <t>Sonda uretral nº 16, tubo confeccionado em PVC flexível e conector universal em PVC rígido, descartável, estéril, transparente, siliconizada, extremidade fechada e um furo lateral com bordas arredondadas, 40 cm de comprimento, embalado individualmente em papel</t>
  </si>
  <si>
    <t>Sonda uretral nº 18, tubo confeccionado em PVC flexível e conector universal em PVC rígido, descartável, estéril, transparente, siliconizada, extremidade fechada e um furo lateral com bordas arredondadas, 40 cm de comprimento, embalado individualmente em papel</t>
  </si>
  <si>
    <t>Sonda foley nº 14, confeccionada em látex siliconizado, estéril, apirogênica, 2 vias, conectores padrão, ponta distal cilíndrica fechada, com orifícios laterais, válvula para todos os tipos de seringa, com balão com capacidade para armazenar 30 ml.</t>
  </si>
  <si>
    <t>Sonda foley nº 16, confeccionada em látex siliconizado, estéril, apirogênica, 2 vias, conectores padrão, ponta distal cilíndrica fechada, com orifícios laterais, válvula para todos os tipos de seringa, com balão com capacidade para armazenar 30 ml.</t>
  </si>
  <si>
    <t>Sonda foley nº 18, confeccionada em látex siliconizado, estéril, apirogênica, 2 vias, conectores padrão, ponta distal cilíndrica fechada, com orifícios laterais, válvula para todos os tipos de seringa, com balão com capacidade para armazenar 30 ml.</t>
  </si>
  <si>
    <t>Sonda foley nº 20, confeccionada em látex siliconizado, estéril, apirogênica, 2 vias, conectores padrão, ponta distal cilíndrica fechada, com orifícios laterais, válvula para todos os tipos de seringa, com balão com capacidade para armazenar 30 ml.</t>
  </si>
  <si>
    <t>Sonda nasogástrica nº 6 (curta), descartável, atóxica, transparente, estéril, composto por tubo PVC flexível e conector com PVC rígido, extremidade fechada, dois furos laterais, 40 cm comprimento, embalada individualmente.</t>
  </si>
  <si>
    <t>Sonda nasogástrica nº 8 (curta), descartável, atóxica, transparente, estéril, composto por tubo PVC flexível e conector com PVC rígido, extremidade fechada, dois furos laterais, 40 cm comprimento, embalada individualmente.</t>
  </si>
  <si>
    <t>Sonda nasogástrica nº 10 (curta), descartável, atóxica, transparente, estéril, composto por tubo PVC flexível e conector com PVC rígido, extremidade fechada, dois furos laterais, 40 cm comprimento, embalada individualmente.</t>
  </si>
  <si>
    <t>Sonda nasogástrica nº 6 (longa), descartável, atóxica, transparente, estéril, composto por tubo PVC flexível e conector com PVC rígido, extremidade fechada, dois furos laterais, 100 cm comprimento, embalada individualmente.</t>
  </si>
  <si>
    <t>Sonda nasogástrica nº 8 (longa), descartável, atóxica, transparente, estéril, composto por tubo PVC flexível e conector com PVC rígido, extremidade fechada, dois furos laterais, 100 cm comprimento, embalada individualmente.</t>
  </si>
  <si>
    <t>Sonda nasogástrica nº 10 (longa), descartável, atóxica, transparente, estéril, composto por tubo PVC flexível e conector com PVC rígido, extremidade fechada, dois furos laterais, 100 cm comprimento, embalada individualmente.</t>
  </si>
  <si>
    <t>Teste para gravidez, rápido resultado, utilizável em urina, precisão superior a 99%, composto por tubo coletor e teste, resultado com indicadores (+) ou (-), embalado individualmente.</t>
  </si>
  <si>
    <t>Touca descartável (gorro), tamanho único, unissex, hipoalergênica, atóxica, confeccionada em não tecido (100% polipropileno), com elástico na nuca, cerca de 30 g/m2.</t>
  </si>
  <si>
    <t>Equipo P/ Bomba De Infusão Equipo P/ Bomba De Infusão, Material:Sem Pvc E Dehp, Transparente, Material Adicional:Com Segmento De Silicone, Câmara Gotejamento:Macrogotas, Flexível, C/ Respiro E Filtro, Regulador De Fluxo Manual:Pinça Rolete, Comprimento Total D</t>
  </si>
  <si>
    <t>Equipo P/ Bomba De Infusão Equipo P/ Bomba De Infusão, Material:Pvc Âmbar P/ Solução Fotossensível, Material Adicional:Sem Segmento De Silicone, Câmara Gotejamento:Macrogotas, Flexível, C/ Filtro, Regulador De Fluxo Manual:Pinça Rolete, Comprimento Total Do Tu</t>
  </si>
  <si>
    <t>Indicador Biológico P/ Processamento De Produtos De Saúde tipo: segunda geração, apresentação: autocontido, ampola com meio de cultura, espécie: bacillus stearothermophillus, características adicionais: resposta em 24 horas, aplicação: para esterilização a vap</t>
  </si>
  <si>
    <t>Agulha Odontológica material: polipropileno e aço inoxidável, aplicação: hipodérmica / endodontia, indicação: irrigação, dimensão: cerca de 27 g x 1 pol, tipo ponta*: sem bisel, ponta romba, tipo cânula: cânula reta c/ fenda lateral, tipo conexão: conector lue</t>
  </si>
  <si>
    <t>Luva P/ Procedimento De Saúde Não Cirúrgico C/ Anvisa material: borracha natural - látex, superfície: superfície texturizada, formato: ambidestra, pó: com pó bioabsorvível, cor: c/ cor, tamanho: pequeno - p, esterilidade: não estéril, uso único</t>
  </si>
  <si>
    <t>Luva P/ Procedimento De Saúde Não Cirúrgico C/ Anvisa material: borracha natural - látex, superfície: superfície texturizada, formato: ambidestra, pó: com pó bioabsorvível, cor: c/ cor, tamanho: médio - m, esterilidade: não estéril, uso único</t>
  </si>
  <si>
    <t>Luva P/ Procedimento De Saúde Não Cirúrgico C/ Anvisa material: borracha natural - látex, superfície: superfície lisa, formato: ambidestra, pó: com pó bioabsorvível, cor: c/ cor, tamanho: grande - g, esterilidade: não estéril, uso único</t>
  </si>
  <si>
    <t>Luva De Proteção material: polietileno, aplicação: uso geral, tamanho: único, características adicionais: antialérgico, tipo uso: descartável</t>
  </si>
  <si>
    <t>Cabo Bisturi material: aço inoxidável, tamanho: nº 3</t>
  </si>
  <si>
    <t>Lâmina Bisturi material: aço inoxidável, tamanho: nº 15, tipo: descartável, esterilidade: estéril, características adicionais: embalada individualmente</t>
  </si>
  <si>
    <t>Fio De Sutura Agulhado material fio: seda preto, modelo fio: multifilamentar, diâmetro fio: 4-0, comprimento fio: cerca de 70, tipo agulha: agulha 3/8 círculo, modelo agulha: cilíndrica, comprimento agulha: cerca de 20, esterilidade: estéril, apresentação: emb</t>
  </si>
  <si>
    <t>Moldeira Odontológica material: plástico, tipo: p/ moldagem, modelo: dentados total, tamanho: nº 5, aplicação: superior, adulto, características adicionais: perfurada, tipo uso: autoclavável</t>
  </si>
  <si>
    <t>Moldeira Odontológica material: plástico, tipo: p/ moldagem, modelo: dentados total, tamanho: nº 5, aplicação: inferior, adulto, características adicionais: perfurada, tipo uso: autoclavável</t>
  </si>
  <si>
    <t>Moldeira Odontológica material: plástico, tipo: p/ moldagem, modelo: dentados total, tamanho: nº 6, aplicação: inferior, adulto, características adicionais: perfurada, tipo uso: autoclavável</t>
  </si>
  <si>
    <t>Moldeira Odontológica material: plástico, tipo: p/ moldagem, modelo: dentados total, tamanho: nº 6, aplicação: superior, adulto, características adicionais: perfurada, tipo uso: autoclavável</t>
  </si>
  <si>
    <t>Moldeira Odontológica material: plástico, tipo: p/ moldagem, modelo: dentados total, tamanho: nº 7, aplicação: inferior, adulto, características adicionais: perfurada, tipo uso: autoclavável</t>
  </si>
  <si>
    <t>Moldeira Odontológica material: plástico, tipo: p/ moldagem, modelo: dentados total, tamanho: nº 7, aplicação: superior, adulto, características adicionais: perfurada, tipo uso: autoclavável</t>
  </si>
  <si>
    <t>Moldeira Odontológica material: plástico, tipo: p/ moldagem, modelo: dentados total, tamanho: nº 8, aplicação: inferior, adulto, características adicionais: perfurada, tipo uso: autoclavável</t>
  </si>
  <si>
    <t>Moldeira Odontológica material: plástico, tipo: p/ moldagem, modelo: dentados total, tamanho: nº 8, aplicação: superior, adulto, características adicionais: perfurada, tipo uso: autoclavável</t>
  </si>
  <si>
    <t>Moldeira Odontológica material: aço inoxidável, tipo: p/ moldagem, modelo: desdentados total, tamanho: nº 4, aplicação: inferior, características adicionais: lisa</t>
  </si>
  <si>
    <t>Moldeira Odontológica material: aço inoxidável, tipo: p/ moldagem, modelo: desdentados total, tamanho: nº 4, aplicação: superior, características adicionais: lisa</t>
  </si>
  <si>
    <t>Moldeira Odontológica material: aço inoxidável, tipo: p/ moldagem, modelo: desdentados total, tamanho: nº 3, aplicação: inferior, características adicionais: lisa</t>
  </si>
  <si>
    <t>Moldeira Odontológica material: aço inoxidável, tipo: p/ moldagem, modelo: desdentados total, tamanho: nº 3, aplicação: superior, características adicionais: lisa</t>
  </si>
  <si>
    <t>Moldeira Odontológica material: aço inoxidável, tipo: p/ moldagem, modelo: desdentados total, tamanho: nº 2, aplicação: inferior, características adicionais: lisa</t>
  </si>
  <si>
    <t>Moldeira Odontológica material: aço inoxidável, tipo: p/ moldagem, modelo: desdentados total, tamanho: nº 2, aplicação: superior, características adicionais: lisa</t>
  </si>
  <si>
    <t>Moldeira Odontológica material: aço inoxidável, tipo: p/ moldagem, modelo: desdentados total, tamanho: nº 1, aplicação: inferior, características adicionais: lisa</t>
  </si>
  <si>
    <t>Moldeira Odontológica material: aço inoxidável, tipo: p/ moldagem, modelo: desdentados total, tamanho: nº 1, aplicação: superior, características adicionais: lisa</t>
  </si>
  <si>
    <t>Moldeira Odontológica material: alumínio, tipo: p/ moldagem, modelo: dentados total, tamanho: nº 3, aplicação: inferior, infantil, características adicionais: perfurada</t>
  </si>
  <si>
    <t>Adesivo Para Moldeiras uso: universal, aspecto físico: líquido, componentes: monocomponente</t>
  </si>
  <si>
    <t>Lâmina Bisturi material: aço inoxidável, tamanho: nº 12, tipo: descartável, esterilidade: estéril, características adicionais: embalada individualmente</t>
  </si>
  <si>
    <t>Cateter Central aplicação: venoso, matéria prima: poliuretano radiopaco, diâmetro: cerca 3 fr, vias: duplo lúmen, lúmen: 22, comprimento: cerca 15, tipo fixação: fixação subcutânea, conector: conectores padrão, clamp em todas vias e tampas, componente: kit int</t>
  </si>
  <si>
    <t>LÂMINA PARA BISTURI Nº 15 (Catálogo). Especificação: LÂMINA PARA BISTURI Nº 15, descartável, estéril, confeccionada em aço inoxidável, isenta de imperfeições, ponta afiada, com adaptação para cabo. Apresentação: embalagem contendo 100 unidades.</t>
  </si>
  <si>
    <t>Fralda Descartável tipo fixação: tiras ajustáveis e reposicionáveis, tamanho: infantil extra grande xg, material: tela polímerica e núcleo absorvente, revestimento externo: impermeável, característica adicional: p/ fluxo intenso / noturno, barreira antivazamen</t>
  </si>
  <si>
    <t xml:space="preserve">Fralda descartável infantil tipo calça (pants), indicada para crianças com peso entre 15 kg e 26 kg. Tamanho XXG. Confeccionada com materiais macios e antialérgicos, proporcionando conforto e proteção à pele da criança. Sistema de absorção de alta eficiência, </t>
  </si>
  <si>
    <t>Fralda geriátrica descartável de uso adulto, unissex roupa íntima. Tamanho P/M, indicada para usuários com circunferência de cintura entre 80 cm e 115 cm, ou equivalente conforme fabricante. Recomendada para usuários com peso aproximado entre 40 kg e 70 kg. Po</t>
  </si>
  <si>
    <t xml:space="preserve">Fralda geriátrica descartável, tamanho M (roupa íntima), unissex, indicada para usuários com circunferência de cintura entre 80 e 115 cm, com barreiras antivazamento, gel superabsorvente, indicador de umidade, sistema de controle de odores, formato anatômico, </t>
  </si>
  <si>
    <t>Fralda descartável geriátrica tipo shortinho (roupa íntima), tamanho G/XG, unissex, com cintura elástica 360°, indicada para incontinência urinária moderada a severa, núcleo de alta absorção com polímero superabsorvente, barreiras antivazamento, sistema antiod</t>
  </si>
  <si>
    <t>Fralda descartável infantil tamanho XG, indicada para crianças de 11 a 14 kg, com tecnologia ultra absorvente em gel, barreiras antivazamento, fechos reposicionáveis, cintura elástica, cobertura macia tipo algodão, proteção de até 12 horas, composição contendo</t>
  </si>
  <si>
    <t>Fralda descartável geriátrica indicada para adultos com incontinência urinária e/ou fecal moderada a intensa, proporcionando conforto, segurança, absorção eficiente e proteção prolongada contra vazamentos. Características Gerais Tipo: Fralda descartável geriát</t>
  </si>
  <si>
    <t>Campo Cirúrgico Descartável cor: c/ cor, dimensões: cerca de 40 x 40, esterilidade: estéril, fixação: adesiva, material: não tecido polipropileno sms c/ lâmina polietileno, modelo: fenestrado, propriedade: hidrorepelente e impermeável, reforço: s/ reforço CAMP</t>
  </si>
  <si>
    <t>Cateter Periférico aplicação: venoso, componente 1: câmara refluxo c/ filtro, componente 2: c/ sistema segurança segundo nr/32, comprimento: longo, acima de 60, conector: conector padrão, diametro: 22, material agulha: agulha aço inox, material cateter: políme</t>
  </si>
  <si>
    <t>Cateter Periférico aplicação: venoso, componente 2: c/ sistema segurança segundo nr/32, componente adicional: c/ asa de fixação, tubo extensor c/ clamp, comprimento: cerca 20, conector: conector em y, c/ 1 via p/ alta pressão, diametro: 24, material agulha: ag</t>
  </si>
  <si>
    <t>Espéculo Uso Médico aplicação: vaginal, embalagem: embalagem individual, esterilidade: estéril, uso único, material: polímero, modelo: collin, tamanho: médio, travamento: c/ trava tipo rosca ESPÉCULO, POLIETILENO, VAGINAL, MÉDIO, ESTÉRIL, DESCARTÁVEL, SEM LUBR</t>
  </si>
  <si>
    <t>Espéculo Uso Médico aplicação: vaginal, embalagem: embalagem individual, esterilidade: estéril, uso único, material: polímero, modelo: collin, tamanho: médio, travamento: c/ trava tipo rosca ESPÉCULO, POLIETILENO, VAGINAL, PEQUENO, ESTÉRIL, DESCARTÁVEL, SEM LU</t>
  </si>
  <si>
    <t>Lençol Descartável Uso Hospitalar apresentação 1: em rolo, dimensoes: cerca de 70 cm x 50 m, materia prima: 100% fibra celulose natural LENÇOL DE PAPEL DESCARTÁVEL PARA MACA, EM ROLO DE 70CMX50M, PAPEL COM TEXTURA FIRME E RESISTENTE, COR BRANCA OU EXTRA BRANCA</t>
  </si>
  <si>
    <t>Luva Cirúrgica apresentação: em par, cor: c/ cor, embalagem: embalagem individual, esterilidade: estéril, uso único, formato: anatômico, material: borracha natural - látex, pó: com pó bioabsorvível, superfície: superfície lisa, tamanho: nº 8,5 LUVA CIRÚRGICA N</t>
  </si>
  <si>
    <t>Sonda Trato Urinário calibre: 6, esterilidade: estéril, descartável, material: silicone, modelo: p/ hipospádia SONDA URETRAL ESTÉRIL, APIROGÊNICA, USO ÚNICO, TAMANHO N. 6, CONFECCIONADA</t>
  </si>
  <si>
    <t>Sonda Trato Urinário calibre: 8, esterilidade: estéril, descartável, material: silicone, modelo: p/ hipospádia SONDA URETRAL ESTÉRIL, APIROGÊNICA, USO ÚNICO, TAMANHO N. 8, CONFECCIONADA</t>
  </si>
  <si>
    <t>COMADRE, Aplicação: uso hospitalar; Tipo: PÁ; Especificações mínimas: Material: aço inoxidável, Capacidade: 3.500ml; Dimensões aprox.: 40x28cm; Unidade de fornecimento: produto novo, embalagem original da fabricante, garantia mínima de 12 meses.</t>
  </si>
  <si>
    <t>PAPAGAIO, Aplicação: uso hospitalar; Material: em aço inoxidável; Capacidade: 1.000ml; Dimensões aprox.: 26x13cm; Apresentação: com acabamento polido interna e externamente, bordas arredondadas e cabo na região lateral; Unidade de fornecimento: produto novo, e</t>
  </si>
  <si>
    <t xml:space="preserve">BACIA, Tipo: REDONDA; Aplicação: uso médico e cirúrgico; Especificações mínimas: Material: aço inoxidável; Capacidade: 1.500ml; Dimensões aprox.: 25x5,3cm; Adicionais: autoclavável; Unidade de fornecimento: produto novo, acondicionado em embalagem original da </t>
  </si>
  <si>
    <t>BACIA, Tipo: REDONDA; Aplicação: uso médico e cirúrgico; Especificações mínimas: Material: aço inoxidável; Capacidade: 850ml; Dimensões aprox.: 20x4,3cm; Adicionais: autoclavável; Unidade de fornecimento: produto novo, acondicionado em embalagem original da fa</t>
  </si>
  <si>
    <t>BICO ASPIRADOR, Aplicação: uso hospitalar; Especificação mínima: confeccionada em aço inoxidável cirúrgico; Tamanho: 1,5mm; Adicionais: autoclavável; Unidade de fornecimento: produto novo, embalagem original da fabricante, garantia mínima de 12 meses.</t>
  </si>
  <si>
    <t>BICO ASPIRADOR, Aplicação: uso hospitalar; Especificação mínima: confeccionada em aço inoxidável cirúrgico; Tamanho: 2,5mm; Adicionais: autoclavável; Unidade de fornecimento: produto novo, embalagem original da fabricante, garantia mínima de 12 meses.</t>
  </si>
  <si>
    <t>BICO ASPIRADOR, Aplicação: uso hospitalar; Especificação mínima: confeccionada em aço inoxidável cirúrgico; Tamanho: 3,0mm; Adicionais: autoclavável; Unidade de fornecimento: produto novo, embalagem original da fabricante, garantia mínima de 12 meses.</t>
  </si>
  <si>
    <t>BICO ASPIRADOR, Aplicação: uso hospitalar; Especificação mínima: confeccionada em aço inoxidável cirúrgico; Tamanho: 3,5mm; Adicionais: autoclavável; Unidade de fornecimento: produto novo, embalagem original da fabricante, garantia mínima de 12 meses.</t>
  </si>
  <si>
    <t>BICO ASPIRADOR, Aplicação: uso hospitalar; Especificação mínima: confeccionada em aço inoxidável cirúrgico; Tamanho: 4,0mm; Adicionais: autoclavável; Unidade de fornecimento: produto novo, embalagem original da fabricante, garantia mínima de 12 meses.</t>
  </si>
  <si>
    <t>BICO ASPIRADOR, Aplicação: uso hospitalar; Especificação mínima: confeccionada em aço inoxidável cirúrgico; Tamanho: 4,5mm; Adicionais: autoclavável; Unidade de fornecimento: produto novo, embalagem original da fabricante, garantia mínima de 12 meses.</t>
  </si>
  <si>
    <t>CUBA RIM, Aplicação: uso hospitalar; Dimensões aprox.: 26x12cm; Capacidade: 700ml; Especificações mínimas: Material: confeccionado em aço inoxidável; Adicionais: autoclavável; Unidade de fornecimento: produto novo, embalagem original da fabricante, garantia mí</t>
  </si>
  <si>
    <t>ESPÉCULO VAGINAL, Aplicação: uso ginecológico; Especificações mínimas: Material: aço inoxidável; Tamanho: 32x95mm, pequeno, nº 1; Adicionais: autoclavável; Unidade de fornecimento: produto novo, embalagem original da fabricante, garantia mínima de 12 meses.</t>
  </si>
  <si>
    <t>ESPÉCULO VAGINAL, Aplicação: uso ginecológico; Especificações mínimas: Material: aço inoxidável; Tamanho: 35x102mm, médio, nº 2; Adicionais: autoclavável; Unidade de fornecimento: produto novo, embalagem original da fabricante, garantia mínima de 12 meses.</t>
  </si>
  <si>
    <t>ESPÉCULO VAGINAL, Aplicação: uso ginecológico; Especificações mínimas: Material: aço inoxidável; Tamanho: 41x114mm, grande, nº 3; Adicionais: autoclavável; Unidade de fornecimento: produto novo, embalagem original da fabricante, garantia mínima de 12 meses.</t>
  </si>
  <si>
    <t>CURATIVO, Aplicação: Tratamento de lesão; Curativo de hidrocolóide, autoadesivo; Hipoalergênico; Estéril; Dimensões: 10x10cm.</t>
  </si>
  <si>
    <t>ATADURA DE CREPE, Tipo: não estéril; Especificações mínimas: fios de puro algodão retorcido, cru, com elasticidade, bordas bem-acabadas, uniformemente enroladas; Tamanho em repouso: 180x10cm; Cor: Natural; Adicionais: validade mínima de 06 meses a partir da da</t>
  </si>
  <si>
    <t>ATADURA DE CREPE, Tipo: não estéril; Especificações mínimas: fios de puro algodão retorcido, cru, com elasticidade, bordas bem-acabadas, uniformemente enroladas; Tamanho em repouso: 180x15cm; Cor: Natural; Adicionais: validade mínima de 06 meses a partir da da</t>
  </si>
  <si>
    <t>ATADURA DE CREPE, Tipo: não estéril; Especificações mínimas: fios de puro algodão retorcido, cru, com elasticidade, bordas bem-acabadas, uniformemente enroladas; Tamanho em repouso: 180x20cm; Cor: Natural; Adicionais: validade mínima de 06 meses a partir da da</t>
  </si>
  <si>
    <t>ATADURA DE CREPE, Tipo: não estéril; Especificações mínimas: fios de puro algodão retorcido, cru, com elasticidade, bordas bem-acabadas, uniformemente enroladas; Tamanho em repouso: 180x30cm; Cor: Natural; Adicionais: validade mínima de 06 meses a partir da da</t>
  </si>
  <si>
    <t>COLETOR DE MATERIAL PERFUROCORTANTE, Capacidade 1,5 litros; Aplicação: coletor para resíduos de serviços da saúde, perfurocortantes e/ou cortantes; Especificações mínimas: fabricado em papelão ondulado, superfície interna impermeabilizada, resistente a punctur</t>
  </si>
  <si>
    <t>COLETOR DE MATERIAL PERFUROCORTANTE, Capacidade 3 litros; Aplicação: coletor para resíduos de serviços da saúde, perfurocortantes e/ou cortantes; Especificações mínimas: fabricado em papelão ondulado, superfície interna impermeabilizada, resistente a punctura,</t>
  </si>
  <si>
    <t>COLETOR DE MATERIAL PERFUROCORTANTE, Capacidade 7 litros; Aplicação: coletor para resíduos de serviços da saúde, perfurocortantes e/ou cortantes; Especificações mínimas: fabricado em papelão ondulado, superfície interna impermeabilizada, resistente a punctura,</t>
  </si>
  <si>
    <t>COLETOR DE MATERIAL PERFUROCORTANTE, Capacidade 13 litros; Aplicação: coletor para resíduos de serviços da saúde, perfurocortantes e/ou cortantes; Especificações mínimas: fabricado em papelão ondulado, superfície interna impermeabilizada, resistente a punctura</t>
  </si>
  <si>
    <t>COLETOR DE MATERIAL PERFUROCORTANTE, Capacidade 20 litros; Aplicação: coletor para resíduos de serviços da saúde, perfurocortantes e/ou cortantes; Especificações mínimas: fabricado em papelão ondulado, superfície interna impermeabilizada, resistente a punctura</t>
  </si>
  <si>
    <t>COLETOR UNIVERSAL, Material: plástico opaco, com tampa rosqueável, descartável; Capacidade: 80ml; Adicionais: validade mínima de 06 meses a partir da data de entrega ao órgão demandante; Unidade de Fornecimento: embalagem individual original da fabricante, apr</t>
  </si>
  <si>
    <t>COLETOR DE URINA, Tipo: Estéril; Especificações mínimas: fabricado em polietileno atóxico, com orifício oval com placa adesiva de substância hipoalergênico, sem rebarbas e furos; Capacidade: saco de 100ml graduado; Tamanho: infanti, feminino; Cor: Incolor, tra</t>
  </si>
  <si>
    <t>COLETOR DE URINA, Tipo: Estéril; Especificações mínimas: fabricado em polietileno atóxico, com orifício oval com placa adesiva de substância hipoalergênico, sem rebarbas e furos; Capacidade: saco de 100ml graduado; Tamanho: infanti, masculino; Cor: Incolor, tr</t>
  </si>
  <si>
    <t>COLETOR DE URINA, Tipo: Estéril; Especificações mínimas: fabricado em polipropileno, tipo bolsa, sistema fechado, com escala volumétrica e milimétrica, válvula antirrefluxo, câmara Pasteur flexível, tubo de drenagem e tubo de coleta em polipropileno, filtro hi</t>
  </si>
  <si>
    <t>COMPRESSA CIRÚRGICA DE CAMPO OPERATÓRIO, Especificações mínimas: 100% algodão, gramatura de 8g, tecido quádruplo sobreposto tipo tela, com filamento radiopaco e cadarço/alça, bordas acabadas e cantos arredondados; Tamanho: 23x25cm; Cor: branca; Adicionais: não</t>
  </si>
  <si>
    <t>COMPRESSA CIRÚRGICA DE CAMPO OPERATÓRIO, Especificações mínimas: 100% algodão, gramatura de 25g, tecido quádruplo sobreposto tipo tela, com filamento radiopaco e cadarço/alça, bordas acabadas e cantos arredondados; Tamanho: 45x50cm; Cor: branca; Adicionais: nã</t>
  </si>
  <si>
    <t>ELETRODO PARA ECG, Tipo: adulto e pediátrico; Aplicação: utilizado em monitorização de eletrocardiograma, teste ergométrico, holter, entre outros; Especificações mínimas: dorso de espuma, sem látex, com adesivo plástico não poroso, com boa aderência, não invas</t>
  </si>
  <si>
    <t>ESCOVA PARA LIMPEZA DE INSTRUMENTAIS, Especificações mínimas: escova de ponta dupla, cerdas rígidas em nylon, sem liberação de partículas, possui uma extremidade com três fileiras de cerdas para áreas maiores e outra com uma fileira de cerdas para pontos estre</t>
  </si>
  <si>
    <t>ESCOVA PARA LIMPEZA DE INSTRUMENTAIS, Especificações mínimas: escova de ponta dupla e cabo longo anatômico, cerdas rígidas em nylon, sem liberação de partículas, possui uma extremidade com três fileiras de cerdas para áreas maiores e outra com uma fileira de c</t>
  </si>
  <si>
    <t>ESPARADRAPO, Tipo: Micro Poroso; Especificações mínimas: faricado em não-tecido à base de fibras de viscose, resina acrílica e massa adesiva à base de poliacrilato, hipoalergênico, flexível; Dimensões aprox.: 4,5x0,10m; Adicionais: isento de substâncias tóxica</t>
  </si>
  <si>
    <t>ESPARADRAPO, Tipo: Alvejado; Especificações mínimas: faricado em 100% algodão, massa adesiva à base de poliacrilato, hipoalergênico, flexível; Dimensões aprox.: 4,5x0,10m; Adicionais: isento de substâncias tóxicas/germes patogênicos, validade mínima de 06 mese</t>
  </si>
  <si>
    <t>FITA ADESIVA PARA AUTOCLAVE, Aplicação: para identificação de pacotes esterilizados; Dimensões:19mmx 30m. Unidade de Fornecimento: Embalagem com 1 unidade.</t>
  </si>
  <si>
    <t>GEL, Aplicação: para ultrassonografia e eletrocardiograma; Especificações mínimas: boa condutibilidade, inodoro, hidrossolúvel, hipoalergênico, atóxico e Ph neutro; Adicionais: validade mínima de 06 meses a partir da data de entrega ao órgão demandante; Unidad</t>
  </si>
  <si>
    <t>KIT GINECOLÓGICO, Aplicação: exame ginecológico; Especificações mínimas: descartável, contendo 1 (um) espéculo vaginal descartável, 1 (um) par de luvas, 1 (um) espátula de Ayres, 1 (um) escova cervical, 1 (um) lâmina fosca e 1 (um) caixa porta lâminas; Tamanho</t>
  </si>
  <si>
    <t>LÂMINA PARA BISTURI, Tipo: Estéril; Tamanho nº 11; Especificações mínimas: fabricada em aço inox ou aço carbono, afiada e acabamento polido; Adicionais: produto registrado e em conformidade com exigências da ANVISA, isento de substâncias tóxicas patogênicos, v</t>
  </si>
  <si>
    <t>LÂMINA PARA BISTURI, Tipo: Estéril; Tamanho nº 15; Especificações mínimas: fabricada em aço inox ou aço carbono, afiada e acabamento polido; Adicionais: produto registrado e em conformidade com exigências da ANVISA, isento de substâncias tóxicas patogênicos, v</t>
  </si>
  <si>
    <t>LÂMINA PARA BISTURI, Tipo: Estéril; Tamanho nº 21; Especificações mínimas: fabricada em aço inox ou aço carbono, afiada e acabamento polido; Adicionais: produto registrado e em conformidade com exigências da ANVISA, isento de substâncias tóxicas patogênicos, v</t>
  </si>
  <si>
    <t>LÂMINA PARA BISTURI, Tipo: Estéril; Tamanho nº 22; Especificações mínimas: fabricada em aço inox ou aço carbono, afiada e acabamento polido; Adicionais: produto registrado e em conformidade com exigências da ANVISA, isento de substâncias tóxicas patogênicos, v</t>
  </si>
  <si>
    <t>LÂMINA PARA BISTURI, Tipo: Estéril; Tamanho nº 23; Especificações mínimas: fabricada em aço inox ou aço carbono, afiada e acabamento polido; Adicionais: produto registrado e em conformidade com exigências da ANVISA, isento de substâncias tóxicas patogênicos, v</t>
  </si>
  <si>
    <t>LÂMINA PARA BISTURI, Tipo: Estéril; Tamanho nº 24; Especificações mínimas: fabricada em aço inox ou aço carbono, afiada e acabamento polido; Adicionais: produto registrado e em conformidade com exigências da ANVISA, isento de substâncias tóxicas patogênicos, v</t>
  </si>
  <si>
    <t xml:space="preserve">LANCETA, Aplicação: punção capilar em micro coleta de sangue; Especificações mínimas: auto lanceta, estéril, automática, acionamento por contato, espessura ultrafina, indolor, penetração consistente; Adicionais: validade mínima de 06 meses a partir da data de </t>
  </si>
  <si>
    <t>LENÇOL DESCARTÁVEL, Especificações mínimas: fabricado 100% celulose virgem, isento de substâncias alergênicas e/ou nocivas à saúde, isento de emendas, falhas, furos, manchas; Tamanho: 50x0,70m; Adicionais: validade mínima de 06 meses a partir da data de entreg</t>
  </si>
  <si>
    <t>LUVA CIRÚRGICA ESTÉRIL, Tamanho/Capacidade: nº 6,5; Especificações mínimas: fabricada em látex natural, lubrificada com pó bioabsorvível, formato anatômico com punho longo; Adicionais: produto registrado e em conformidade com exigências da ANVISA, isento de su</t>
  </si>
  <si>
    <t>LUVA CIRÚRGICA ESTÉRIL, Tamanho/Capacidade: nº 7,0; Especificações mínimas: fabricada em látex natural, lubrificada com pó bioabsorvível, formato anatômico com punho longo; Adicionais: produto registrado e em conformidade com exigências da ANVISA, isento de su</t>
  </si>
  <si>
    <t>LUVA CIRÚRGICA ESTÉRIL, Tamanho/Capacidade: nº 7,5; Especificações mínimas: fabricada em látex natural, lubrificada com pó bioabsorvível, formato anatômico com punho longo; Adicionais: produto registrado e em conformidade com exigências da ANVISA, isento de su</t>
  </si>
  <si>
    <t>LUVA CIRÚRGICA ESTÉRIL, Tamanho/Capacidade: nº 8,0; Especificações mínimas: fabricada em látex natural, lubrificada com pó bioabsorvível, formato anatômico com punho longo; Adicionais: produto registrado e em conformidade com exigências da ANVISA, isento de su</t>
  </si>
  <si>
    <t>LUVA CIRÚRGICA ESTÉRIL, Tamanho/Capacidade: nº 8,5; Especificações mínimas: fabricada em látex natural, lubrificada com pó bioabsorvível, formato anatômico com punho longo; Adicionais: produto registrado e em conformidade com exigências da ANVISA, isento de su</t>
  </si>
  <si>
    <t>PAPEL GRAU CIRÚRGICO, Aplicação: para esterilização em óxido de etileno ou vapor saturado; Especificações mínimas: filme laminado de 4 (quatro) camadas PET/PP, gramatura de 60g/m², com indicadores de processo, termosselante; Dimensões: 100x0,90m; Adicionais: p</t>
  </si>
  <si>
    <t>PAPEL GRAU CIRÚRGICO, Aplicação: para esterilização em óxido de etileno ou vapor saturado; Especificações mínimas: filme laminado de 4 (quatro) camadas PET/PP, gramatura de 60g/m², com indicadores de processo, termosselante; Dimensões: 100x1,0m; Adicionais: pr</t>
  </si>
  <si>
    <t>PAPEL GRAU CIRÚRGICO, Aplicação: para esterilização em óxido de etileno ou vapor saturado; Especificações mínimas: filme laminado de 4 (quatro) camadas PET/PP, gramatura de 60g/m², com indicadores de processo, termosselante; Dimensões: 100x0,30m; Adicionais: p</t>
  </si>
  <si>
    <t>PAPEL GRAU CIRÚRGICO, Aplicação: para esterilização em óxido de etileno ou vapor saturado; Especificações mínimas: filme laminado de 4 (quatro) camadas PET/PP, gramatura de 60g/m², com indicadores de processo, termosselante; Dimensões: 100x0,45m; Adicionais: p</t>
  </si>
  <si>
    <t xml:space="preserve">SERINGA DESCARTÁVEL, Capacidade: 1ml; Especificações mínimas: corpo em polipropileno com graduação nítida permanente, pistão em borracha, isento de látex e siliconado, bico tipo Luer Lock, possui dispositivo de segurança, produto estéril e apirogênico; Agulha </t>
  </si>
  <si>
    <t xml:space="preserve">SERINGA DESCARTÁVEL, Capacidade: 3ml; Especificações mínimas: corpo em polipropileno com graduação nítida permanente, pistão em borracha, isento de látex e siliconado, bico tipo Luer Lock, possui dispositivo de segurança, produto estéril e apirogênico; Agulha </t>
  </si>
  <si>
    <t xml:space="preserve">SERINGA DESCARTÁVEL, Capacidade: 5ml; Especificações mínimas: corpo em polipropileno com graduação nítida permanente, pistão em borracha, isento de látex e siliconado, bico tipo Luer Lock, possui dispositivo de segurança, produto estéril e apirogênico; Agulha </t>
  </si>
  <si>
    <t>SERINGA DESCARTÁVEL, Capacidade: 10ml; Especificações mínimas: corpo em polipropileno com graduação nítida permanente, pistão em borracha, isento de látex e siliconado, bico tipo Luer Lock, possui dispositivo de segurança, produto estéril e apirogênico; Agulha</t>
  </si>
  <si>
    <t>SERINGA DESCARTÁVEL, Capacidade: 20ml; Especificações mínimas: corpo em polipropileno com graduação nítida permanente, pistão em borracha, isento de látex e siliconado, bico tipo Luer Lock, possui dispositivo de segurança, produto estéril e apirogênico; Agulha</t>
  </si>
  <si>
    <t>SONDA NASOGÁSTRICA, Tipo: curta; Tamanho: nº 08; Especificações mínimas: fabricada em plástico PVC, transparente, flexível, em forma de cilindro reto e inteiriço, com 4 orifícios distribuídos ao longo de sua parede, produto estéril; Adicionais: produto registr</t>
  </si>
  <si>
    <t>SONDA NASOGÁSTRICA, Tipo: curta; Tamanho: nº 10; Especificações mínimas: fabricada em plástico PVC, transparente, flexível, em forma de cilindro reto e inteiriço, com 4 orifícios distribuídos ao longo de sua parede, produto estéril; Adicionais: produto registr</t>
  </si>
  <si>
    <t>SONDA NASOGÁSTRICA, Tipo: curta; Tamanho: nº 12; Especificações mínimas: fabricada em plástico PVC, transparente, flexível, em forma de cilindro reto e inteiriço, com 4 orifícios distribuídos ao longo de sua parede, produto estéril; Adicionais: produto registr</t>
  </si>
  <si>
    <t>SONDA NASOGÁSTRICA, Tipo: curta; Tamanho: nº 16; Especificações mínimas: fabricada em plástico PVC, transparente, flexível, em forma de cilindro reto e inteiriço, com 4 orifícios distribuídos ao longo de sua parede, produto estéril; Adicionais: produto registr</t>
  </si>
  <si>
    <t>SONDA NASOGÁSTRICA, Tipo: longa; Tamanho: nº 08; Especificações mínimas: fabricada em plástico PVC, transparente, flexível, em forma de cilindro reto e inteiriço, com 4 orifícios distribuídos ao longo de sua parede, produto estéril; Adicionais: produto registr</t>
  </si>
  <si>
    <t>SONDA NASOGÁSTRICA, Tipo: longa; Tamanho: nº 10; Especificações mínimas: fabricada em plástico PVC, transparente, flexível, em forma de cilindro reto e inteiriço, com 4 orifícios distribuídos ao longo de sua parede, produto estéril; Adicionais: produto registr</t>
  </si>
  <si>
    <t>SONDA NASOGÁSTRICA, Tipo: longa; Tamanho: nº 12; Especificações mínimas: fabricada em plástico PVC, transparente, flexível, em forma de cilindro reto e inteiriço, com 4 orifícios distribuídos ao longo de sua parede, produto estéril; Adicionais: produto registr</t>
  </si>
  <si>
    <t>SONDA NASOGÁSTRICA, Tipo: longa; Tamanho: nº 14; Especificações mínimas: fabricada em plástico PVC, transparente, flexível, em forma de cilindro reto e inteiriço, com 4 orifícios distribuídos ao longo de sua parede, produto estéril; Adicionais: produto registr</t>
  </si>
  <si>
    <t>SONDA NASOGÁSTRICA, Tipo: longa; Tamanho: nº 16; Especificações mínimas: fabricada em plástico PVC, transparente, flexível, em forma de cilindro reto e inteiriço, com 4 orifícios distribuídos ao longo de sua parede, produto estéril; Adicionais: produto registr</t>
  </si>
  <si>
    <t>SONDA URETRAL, Tamanho: nº 10; Especificações mínimas: fabricada em plástico PVC, flexível, atóxico, apirogênico, siliconada, com forma cilíndrica reta e inteiriça, ponta arredondada e fechada, com orifício lateral, produto estéril; Adicionais: produto registr</t>
  </si>
  <si>
    <t>SONDA URETRAL, Tamanho: nº 16; Especificações mínimas: fabricada em plástico PVC, flexível, atóxico, apirogênico, siliconada, com forma cilíndrica reta e inteiriça, ponta arredondada e fechada, com orifício lateral, produto estéril; Adicionais: produto registr</t>
  </si>
  <si>
    <t>SONDA DE FOLEY, Especificações mínimas: fabricada 100% siliconada, com 2 (duas) vias, com balão 5cc nº 12, extremidade proximal com ponta arredondada e traumáticas com 2 (dois) orifícios laterais em lados opostos na mesma altura, produto estéril; Adicionais: p</t>
  </si>
  <si>
    <t>SONDA DE FOLEY, Especificações mínimas: fabricada 100% siliconada, com 2 (duas) vias, com balão 5cc nº 14, extremidade proximal com ponta arredondada e traumáticas com 2 (dois) orifícios laterais em lados opostos na mesma altura, produto estéril; Adicionais: p</t>
  </si>
  <si>
    <t>SONDA DE FOLEY, Especificações mínimas: fabricada 100% siliconada, com 2 (duas) vias, com balão 5cc nº 16, extremidade proximal com ponta arredondada e traumáticas com 2 (dois) orifícios laterais em lados opostos na mesma altura, produto estéril; Adicionais: p</t>
  </si>
  <si>
    <t>SONDA DE FOLEY, Especificações mínimas: fabricada 100% siliconada, com 3 (três) vias, com balão nº 16; extremidade proximal com ponta arredondada e traumáticas com 2 (dois) orifícios laterais em lados opostos na mesma altura, produto estéril; Adicionais: produ</t>
  </si>
  <si>
    <t>SONDA DE FOLEY, Especificações mínimas: fabricada 100% siliconada, com 2 (duas) vias, com balão 5cc nº 18, extremidade proximal com ponta arredondada e traumáticas com 2 (dois) orifícios laterais em lados opostos na mesma altura, produto estéril; Adicionais: p</t>
  </si>
  <si>
    <t>SONDA DE FOLEY, Material: 100% siliconada, 3 vias (Via para insuflar o ar, Via para drenar a urina, Via para infundir solução, fazer controle de irrigação); Com balão nº 20; Extremidades com pontas arredondadas e traumáticas, com dois orifícios, um de cada lad</t>
  </si>
  <si>
    <t>SONDA DE FOLEY, Especificações mínimas: fabricada 100% siliconada, com 2 (duas) vias, com balão 5cc nº 20, extremidade proximal com ponta arredondada e traumáticas com 2 (dois) orifícios laterais em lados opostos na mesma altura, produto estéril; Adicionais: p</t>
  </si>
  <si>
    <t>SONDA DE FOLEY, Especificações mínimas: fabricada 100% siliconada, com 2 (duas) vias, com balão 5cc nº 22, extremidade proximal com ponta arredondada e traumáticas com 2 (dois) orifícios laterais em lados opostos na mesma altura, produto estéril; Adicionais: p</t>
  </si>
  <si>
    <t>TOUCA, Tipo: Gorro; Especificações mínimas: fabricada tecico não tecido, gramatura de 20g/m²; Cor: Branca; Adicionais: produto isento de substâncias tóxicas patogênicos, validade mínima de 06 meses a partir da data de entrega ao órgão demandante; Unidade de Fo</t>
  </si>
  <si>
    <t>(ID142758) SUGADOR ODONTOLOGICO, Aplicacao: uso odontologico; Material: confeccionado em PVC rigido esteril e atoxico, Ponteiras e portafiltro confeccionado em polietileno de alta densidade Diametro do tubo 5mm; Diametro das ponteiras: 2,5mm e 3,0mm; Descartav</t>
  </si>
  <si>
    <t>(ID142478) BABADOR, Aplicacao: uso odontologico; Material: 01 camada de papel e 01 camada de plastico; Impermeavel e descartavel; Dimensoes: 33 x 45cm (±5%); Unidade Fornecimento: embalagem com 100 unidades.</t>
  </si>
  <si>
    <t>(ID115033) SERINGA DESCARTAVEL, Capacidade: 20ml; Bico: Luer lock; Com dispositivo de seguranca; Esteril; Apirogenica; Graduacao nitida permanente; Corpo em polipropileno; Pistao em borracha (isento de latex) e siliconizado; Agulha de 25 x 7 com bisel trifacet</t>
  </si>
  <si>
    <t>(ID133479) LANCETA, Aplicacao: coleta de sangue para teste de glicose; Descricao: esteril, descartavel, penetracao de alta velocidade com retracao ativa da agulha; Diametro da agulha: 0.3mm; Unidade de Fornecimento: caixa com 200 unidades.</t>
  </si>
  <si>
    <t>(ID142754) SUGADOR ODONTOLOGICO, Aplicacao: uso odontologico; Material: confeccionado em PVC atoxico, sendo seu tubo transparente com fio de aco; Descartavel; Aromatizado; Unidade de Fornecimento: embalagem com 40 unidades.</t>
  </si>
  <si>
    <t>(ID143203) LENCOL DE BORRACHA DE LATEX, Aplicacao: odontologico; Cor: a ser definida pelo orgao solicitante; Tamanho: 13,5 x 13,5; Unidade de Fornecimento: embalagem com 26 unidades.</t>
  </si>
  <si>
    <t>MÁSCARA LARÍNGEA, Classificação ANVISA: classe II, Tamanho(s): 1.0,: dispositivo de manutenção de vias aéreas supraglótico, Material(is): em elastômero termoplástico classe médica, anatômico da faringe, laringe e estruturas perilaríngea, que evite trauma de co</t>
  </si>
  <si>
    <t>MÁSCARA LARÍNGEA, Classificação ANVISA: classe II, Tamanho(s): 1.5,: dispositivo de manutenção de vias aéreas supraglótico, Material(is): em elastômero termoplástico classe médica, anatômico da faringe, laringe e estruturas perilaríngea, que evite trauma de co</t>
  </si>
  <si>
    <t>MÁSCARA LARÍNGEA, Classificação ANVISA: classe II, Tamanho(s): 4.0,: dispositivo de manutenção de vias aéreas supraglótico, Material(is): em elastômero termoplástico classe médica, anatômico da faringe, laringe e estruturas perilaríngea, que evite trauma de co</t>
  </si>
  <si>
    <t>MÁSCARA LARÍNGEA, Classificação ANVISA: classe II, Tamanho(s): 5.0, Aplicação: dispositivo de manutenção de vias aéreas supraglótico, Material(is): em elastômero termoplástico classe médica, anatômico da faringe, laringe e estruturas perilaríngea, que evite tr</t>
  </si>
  <si>
    <t>MÁSCARA LARÍNGEA, Classificação ANVISA: classe II, Tamanho(s): 6.0, Aplicação: dispositivo de manutenção de vias aéreas supraglótico, Material(is): em elastômero termoplástico classe médica, anatômico da faringe, laringe e estruturas perilaríngea, que evite tr</t>
  </si>
  <si>
    <t>ELETRODO PARA ELETROCARDIOGRAMA, Tipo: neonatal; Aplicação: monitorização cardíaca, Material: dorso de espuma, com adesivo plástico não poroso, com sensor e gel consistente, Características Adicionais: hipoalergênico, descartável. Unidade de Fornecimento: caix</t>
  </si>
  <si>
    <t>PROTETOR OCULAR, Aplicação: fototerapia neonatal, Tamanho: G, Material: algodão/poliéster/poliamida, Características: tipo óculos, hipoalergênico, borda com fixação adesiva, estéril, embalagem individual, uso único, Unidade de fornecimento: Unidade.</t>
  </si>
  <si>
    <t>PROTETOR OCULAR, Aplicação: fototerapia neonatal, Tamanho: M, Material: algodão/poliéster/poliamida, Características: tipo óculos, hipoalergênico, borda com fixação adesiva, estéril, embalagem individual, uso único, Unidade de fornecimento: Unidade.</t>
  </si>
  <si>
    <t>PROTETOR OCULAR, Aplicação: fototerapia neonatal, Tamanho: P, Material: algodão/poliéster/poliamida, Características: tipo óculos, hipoalergênico, borda com fixação adesiva, estéril, embalagem individual, uso único, Unidade de fornecimento: Unidade.</t>
  </si>
  <si>
    <t>PROTETOR OCULAR, Aplicação: fototerapia neonatal, Tamanho: PP, Material: algodão/poliéster/poliamida, Características: tipo óculos, hipoalergênico, borda com fixação adesiva, estéril, embalagem individual, uso único, Unidade de fornecimento: Unidade.</t>
  </si>
  <si>
    <t>FRALDA DESCARTAVEIS INFANTIL, TAMANHO XG, INDICADA PARA USUARIOS DE 12KG A 16KG APROXIMADOS, ANTIALERGICA, COM MACIEZ E GEL ULTRA ABSORVENTES, FORMATO ANATOMICOS, FAIXA MA CINTURA AJUSTAVEL, COM RECORTES E DOIS ELASTICOS NAS PERNAS, AJUSTE PERFEITO SEM VAZAMEN</t>
  </si>
  <si>
    <t>FRALDA DESCARTAVEIS INFANTIL,TAMANHO G, INDICADA PARA USUARIOS DE 9 KG A 12KG APROXIMADO, ANTIALERGICA, COM MACIEZ E GEL ULTRAA ABSORVENTE, FORMATO ANATOMICO, FAIXA NA CINTURA AJUSTAVEL, COM RECORTES E DOIS ELASTICOS NAS PERNAS, AJUSTE PERFEITO SEM VAZAMENTOS,</t>
  </si>
  <si>
    <t>LENÇO UMEDECIDO-COMPOSTO DE AGUA PURIFICADA,PROPILENOGLICOL, LANOLINA, COCAMIDOPROPIL BETAINA,POLISSORBATO, EDTA, METILPARABENO, FRAGRANCIA BRONOPOL E VITAMINA E. DIMENSOES APROXIMADAS:LENÇO (AXL) 18,7 X 16,1 CM(PACOTE COM 100 UNIDADES)</t>
  </si>
  <si>
    <t>TOUCA DESCARTÁVEL EM TNT COM 100 UNIDADES</t>
  </si>
  <si>
    <t>Luva P/ Procedimento De Saúde Não Cirúrgico C/ Anvisa material: borracha natural - látex, superfície: superfície lisa, formato: ambidestra, pó: com pó bioabsorvível, cor: c/ cor, tamanho: pequeno - p, esterilidade: não estéril, uso único</t>
  </si>
  <si>
    <t>Luva P/ Procedimento De Saúde Não Cirúrgico C/ Anvisa material: borracha natural - látex, superfície: superfície lisa, formato: ambidestra, pó: com pó bioabsorvível, cor: c/ cor, tamanho: médio - m, esterilidade: não estéril, uso único</t>
  </si>
  <si>
    <t>Luva Cirúrgica material: borracha natural - látex, superfície: superfície texturizada, formato: anatômico, pó: com pó bioabsorvível, cor: c/ cor, tamanho: nº 6,5, apresentação: em par, esterilidade: estéril, uso único, embalagem: embalagem individual</t>
  </si>
  <si>
    <t>Luva Cirúrgica material: borracha natural - látex, superfície: superfície texturizada, formato: anatômico, pó: com pó bioabsorvível, cor: c/ cor, tamanho: nº 8,0, apresentação: em par, esterilidade: estéril, uso único, embalagem: embalagem individual</t>
  </si>
  <si>
    <t xml:space="preserve">Agulha Hipodérmica material: aço inoxidável siliconizado, dimensão: 26 g x 1/2", tipo ponta: bisel curto trifacetado, tipo conexão: conector luer lock em plástico, tipo fixação: protetor plástico, característica adicional: com sistema segurança segundo nr/32, </t>
  </si>
  <si>
    <t xml:space="preserve">Agulha Hipodérmica material: aço inoxidável siliconizado, dimensão: 24 g x 3/4", tipo ponta: bisel curto trifacetado, tipo conexão: conector luer lock em plástico, tipo fixação: protetor plástico, característica adicional: com sistema segurança segundo nr/32, </t>
  </si>
  <si>
    <t>Agulha Hipodérmica material: aço inoxidável siliconizado, dimensão: 22 g x 1", tipo ponta: bisel curto trifacetado, tipo conexão: conector luer lock em plástico, tipo fixação: protetor plástico, característica adicional: com sistema segurança segundo nr/32, ti</t>
  </si>
  <si>
    <t>Agulha Hipodérmica material: aço inoxidável siliconizado, dimensão: 21 g x 1", tipo ponta: bisel curto trifacetado, tipo conexão: conector luer lock em plástico, tipo fixação: protetor plástico, característica adicional: com sistema segurança segundo nr/32, ti</t>
  </si>
  <si>
    <t>Agulha Hipodérmica material: aço inoxidável siliconizado, dimensão: 18 g x 1 1/2", tipo ponta: bisel curto trifacetado, tipo conexão: conector luer lock em plástico, tipo fixação: protetor plástico, característica adicional: com sistema segurança segundo nr/32</t>
  </si>
  <si>
    <t>Agulha Hipodérmica material: aço inoxidável siliconizado, dimensão: 16 g x 1 1/2", tipo ponta: bisel curto trifacetado, tipo conexão: conector luer lock em plástico, tipo fixação: protetor plástico, característica adicional: com sistema segurança segundo nr/32</t>
  </si>
  <si>
    <t>Lâmina Bisturi material: aço carbono, tamanho: nº 15, tipo: descartável, esterilidade: estéril, características adicionais: embalada individualmente</t>
  </si>
  <si>
    <t>Lâmina Bisturi material: aço carbono, tamanho: nº 21, tipo: descartável, esterilidade: estéril, características adicionais: embalada individualmente</t>
  </si>
  <si>
    <t>Lâmina Bisturi material: aço carbono, tamanho: nº 22, tipo: descartável, esterilidade: estéril, características adicionais: embalada individualmente</t>
  </si>
  <si>
    <t>Lâmina Bisturi material: aço carbono, tamanho: nº 24, tipo: descartável, esterilidade: estéril, características adicionais: embalada individualmente</t>
  </si>
  <si>
    <t>Sonda Trato Urinário modelo: uretral, material: silicone, calibre: 4, conector: conector padrão c/ tampa, comprimento: cerca 40, tipo ponta: ponta distal cilíndrica fechada, componentes: c/ orifícios laterais, esterilidade: estéril, descartável, embalagem: emb</t>
  </si>
  <si>
    <t>Fio De Sutura Agulhado material fio: nylon / poliamida preto, modelo fio: monofilamentar, diâmetro fio: 4-0, comprimento fio: cerca de 45, tipo agulha: agulha 3/8 círculo, modelo agulha: cortante reversa / invertida, comprimento agulha: cerca de 20, esterilida</t>
  </si>
  <si>
    <t>Fio De Sutura Agulhado material fio: nylon / poliamida preto, modelo fio: monofilamentar, diâmetro fio: 3-0, comprimento fio: cerca de 45, tipo agulha: agulha 3/8 círculo, modelo agulha: cortante reversa / invertida, comprimento agulha: cerca de 20, esterilida</t>
  </si>
  <si>
    <t>Fio De Sutura Agulhado material fio: nylon / poliamida preto, modelo fio: monofilamentar, diâmetro fio: 2-0, comprimento fio: cerca de 45, tipo agulha: agulha 3/8 círculo, modelo agulha: cortante reversa / invertida, comprimento agulha: cerca de 30, esterilida</t>
  </si>
  <si>
    <t xml:space="preserve">Fio De Sutura Agulhado material fio: poliglactina incolor, modelo fio: multifilamentar, componente fio: rápida absorção, diâmetro fio: 0 / 1-0, comprimento fio: cerca de 90, tipo agulha: agulha 1/2 círculo, modelo agulha: cilíndrica, comprimento agulha: cerca </t>
  </si>
  <si>
    <t xml:space="preserve">Fio De Sutura Agulhado material fio: poliglactina incolor, modelo fio: multifilamentar, componente fio: rápida absorção, diâmetro fio: 2-0, comprimento fio: cerca de 70, tipo agulha: agulha 1/2 círculo, modelo agulha: cortante reversa / invertida, comprimento </t>
  </si>
  <si>
    <t xml:space="preserve">Fio De Sutura Agulhado material fio: poliglactina incolor, modelo fio: multifilamentar, componente fio: rápida absorção, diâmetro fio: 4-0, comprimento fio: cerca de 45, tipo agulha: agulha 1/2 círculo, modelo agulha: cortante reversa / invertida, comprimento </t>
  </si>
  <si>
    <t>Fio De Sutura Agulhado material fio: nylon / poliamida preto, modelo fio: monofilamentar, diâmetro fio: 0 / 1-0, comprimento fio: cerca de 70, tipo agulha: agulha 1/2 círculo, modelo agulha: cilíndrica, comprimento agulha: cerca de 40, esterilidade: estéril, a</t>
  </si>
  <si>
    <t>Reservatório P/ Coleta De Amostra Biológica modelo: frasco, aplicação: universal, material: polímero rígido transparente, graduado, volume: cerca de 50 ml, fechamento: tampa plástica, componente: c/ pá, esterilidade: estéril, uso único</t>
  </si>
  <si>
    <t>Fita Adesiva - Uso Cutâneo tipo: microporosa, material dorso: à base de tecido não tecido, tipo de adesivo: sintético, hipoalergênico, largura da fita: cerca de 100 mm, cor: c/ cor, apresentação: rolo c/ capa protetora, esterilidade: não estéril</t>
  </si>
  <si>
    <t>Campo Cirúrgico Descartável material: não tecido 100% polipropileno - tipo sms, propriedade: hidrorepelente, reforço: s/ reforço, dimensões: cerca de 50 x 50, cor: c/ cor, esterilidade: estéril</t>
  </si>
  <si>
    <t>Campo Cirúrgico Descartável material: não tecido 100% polipropileno - tipo sms, propriedade: hidrorepelente, reforço: s/ reforço, dimensões: cerca de 100 x 100, cor: c/ cor, esterilidade: estéril</t>
  </si>
  <si>
    <t>Campo Cirúrgico Descartável modelo: fenestrado, material: não tecido 100% polipropileno - tipo sms, propriedade: hidrorepelente, reforço: s/ reforço, dimensões: cerca de 50 x 50, cor: c/ cor, esterilidade: estéril</t>
  </si>
  <si>
    <t>Campo Cirúrgico Descartável modelo: fenestrado, material: não tecido 100% polipropileno - tipo sms, propriedade: hidrorepelente, reforço: s/ reforço, dimensões: cerca de 100 x 100, cor: c/ cor, esterilidade: estéril</t>
  </si>
  <si>
    <t>Avental Cirúrgico - Paramentação esterilidade: estéril, uso único, material: não tecido 100% polipropileno - tipo sms, tipo de barreira: c/ barreira bacteriana e viral, propriedade: hidrorepelente, gramatura: cerca de 50, modelo manga: longa c/ punho em malha,</t>
  </si>
  <si>
    <t>Material Gasoterapia modelo: umidificador, saída: p/ oxigênio, tipo frasco: frasco plástico graduado, c/ tampa, volume: cerca de 250, esterilidade*: esterilizável</t>
  </si>
  <si>
    <t>FRALDAS DESCARTÁVEIS (GERIÁTRICAS E INFANTIS)</t>
  </si>
  <si>
    <t>Aspirador Cirúrgico Fixo</t>
  </si>
  <si>
    <t>Máscara Ventilação Não Invasiva</t>
  </si>
  <si>
    <t>LOTE 04 – FRALDAS DESCARTÁVEIS (GERIÁTRICAS E INFANTIS)</t>
  </si>
  <si>
    <t>AGULHA HIPODERMICA 13X4,5</t>
  </si>
  <si>
    <t>AGULHA HIPODERMICA 20x5,5</t>
  </si>
  <si>
    <t>AGULHA HIPODERMICA 25X07</t>
  </si>
  <si>
    <t>AGULHA HIPODERMICA 25X08</t>
  </si>
  <si>
    <t>AGULHA HIPODERMICA 30X07</t>
  </si>
  <si>
    <t>AGULHA HIPODERMICA 30X08</t>
  </si>
  <si>
    <t>AGULHA TRIFACETADA HIPODERMICA 40X12 (18GX 1 1/2)</t>
  </si>
  <si>
    <t>BOLSA COLETORA URINA S/F (2000 ML)</t>
  </si>
  <si>
    <t>CLAMP UMBILICAL</t>
  </si>
  <si>
    <t>COLETOR UNIVERSAL 50ML</t>
  </si>
  <si>
    <t>COLETOR UNIVERSAL 80ML</t>
  </si>
  <si>
    <t>PAPEL GRAU CIRURGICO FILME LAMINADO DE POLIESTER COM POLIPROPILENO BOBINA10X100</t>
  </si>
  <si>
    <t>PAPEL GRAU CIRURGICO FILME LAMINADO DE POLIESTER COM POLIPROPILENO BOBINA15X100</t>
  </si>
  <si>
    <t>PAPEL GRAU CIRURGICO FILME LAMINADO DE POLIESTER COM POLIPROPILENO BOBINA20X100</t>
  </si>
  <si>
    <t>PAPEL GRAU CIRURGICO FILME LAMINADO DE POLIESTER COM POLIPROPILENO BOBINA25X100</t>
  </si>
  <si>
    <t>PAPEL GRAU CIRURGICO FILME LAMINADO DE POLIESTER COM POLIPROPILENO BOBINA30X100</t>
  </si>
  <si>
    <t>PAPEL GRAU CIRURGICO FILME LAMINADO DE POLIESTER COM POLIPROPILENO BOBINA40X100</t>
  </si>
  <si>
    <t>PAPEL GRAU CIRURGICO FILME LAMINADO DE POLIESTER COM POLIPROPILENO BOBINA80X100</t>
  </si>
  <si>
    <t>ESCOVA CERVICAL ( POLIESTIRENO E CERDAS FINAS DE NYLON)</t>
  </si>
  <si>
    <t>ESPARADRAPO 25MM X 4,5M</t>
  </si>
  <si>
    <t>ESPARADRAPO COMUM</t>
  </si>
  <si>
    <t>ESPARADRAPO HIPOALERGÊNICO - MICROPORE</t>
  </si>
  <si>
    <t>ESPARADRAPO IMPERMEAVEL HIPOARLERGICO 10CM X 4,5M</t>
  </si>
  <si>
    <t>ESPARADRAPO IMPERMEAVEL HIPOARLERGICO 5CM X 4,5M</t>
  </si>
  <si>
    <t>ESPARADRAPO IMPERMEAVEL HIPOALERGICO BRANCO 2,5CM X 4,5M</t>
  </si>
  <si>
    <t>ESPARADRAPO MICROPORE HIPOALERGICO 10CM X 4,5M</t>
  </si>
  <si>
    <t>ESPARADRAPO MICROPORE HIPOALERGICO 5CM X 10M</t>
  </si>
  <si>
    <t>ESPARADRAPO MICROPORE HIPOALERGICO 5CM X 4,5M</t>
  </si>
  <si>
    <t>ESPÉCULO VAGINAL ESTERIL, SEM LUBRIFICAÇÃO TAMANHO M</t>
  </si>
  <si>
    <t>ESPÉCULO VAGINAL ESTERIL,SEM LUBRIFICAÇÃO TAMANHO G</t>
  </si>
  <si>
    <t>ESPÉCULO VAGINAL ESTERIL,SEM LUBRIFICAÇÃO TAMANHO P</t>
  </si>
  <si>
    <t>FITA P/ AUTOCLAVE</t>
  </si>
  <si>
    <t>LÂMINA DE BISTURI</t>
  </si>
  <si>
    <t>LUVA CIRURGICA ESTÉRIL 6,5</t>
  </si>
  <si>
    <t>LUVA CIRURGICA ESTÉRIL 7,0</t>
  </si>
  <si>
    <t>LUVA CIRURGICA ESTÉRIL 7,5</t>
  </si>
  <si>
    <t>LUVA CIRURGICA ESTÉRIL 8,0</t>
  </si>
  <si>
    <t>LUVA CIRURGICA ESTÉRIL 8,5</t>
  </si>
  <si>
    <t>LUVA DE PROCEDIMENTO (LATEX) C/PO TAM G C/100</t>
  </si>
  <si>
    <t>LUVA DE PROCEDIMENTO (LATEX) C/PO TAM M C/100</t>
  </si>
  <si>
    <t>LUVA DE PROCEDIMENTO (LATEX) C/PO TAM P C/100</t>
  </si>
  <si>
    <t>LUVA DE PROCEDIMENTO (LATEX) C/PO TAM PP C/100</t>
  </si>
  <si>
    <t>MASCARA CIRURGICA TRIPLA C/TIRAS BRANCA PCT C/50 UND</t>
  </si>
  <si>
    <t>PAPEL LENÇOL 50CM X 50M</t>
  </si>
  <si>
    <t>PAPEL LENÇOL 70CM X 50M</t>
  </si>
  <si>
    <t>PROPE DESCARTAVEL TNT (TECIDO NÃO TECIDO) C/100</t>
  </si>
  <si>
    <t>SERINGA HIPODERMICA ESTERIL 1 ML</t>
  </si>
  <si>
    <t>SERINGA HIPODERMICA ESTERIL 10 ML</t>
  </si>
  <si>
    <t>SERINGA HIPODERMICA ESTERIL 20 ML</t>
  </si>
  <si>
    <t>SERINGA HIPODERMICA ESTERIL 3 ML</t>
  </si>
  <si>
    <t>SERINGA HIPODERMICA ESTERIL 5 ML</t>
  </si>
  <si>
    <t>TOUCA DESCARTAVEL (TNT 100 POLIPROPILENO) C/100</t>
  </si>
  <si>
    <t>LANCETA DESCARTAVEL AUTONOM.ESTERIL 28G CAIXA C/100</t>
  </si>
  <si>
    <t>LANCETA DE SEGURANÇA SIMPLES</t>
  </si>
  <si>
    <t>INDICADOR QUIMICO INTEGRADOR TPO 5</t>
  </si>
  <si>
    <t>SONDA FOLEY LATEX SILICONADO 2 VIAS Nº12</t>
  </si>
  <si>
    <t>SONDA FOLEY LATEX SILICONADO 2 VIAS Nº14</t>
  </si>
  <si>
    <t>SONDA FOLEY LATEX SILICONADO 2 VIAS Nº16</t>
  </si>
  <si>
    <t>SONDA FOLEY LATEX SILICONADO 2 VIAS Nº18</t>
  </si>
  <si>
    <t>SONDA FOLEY LATEX SILICONADO 2 VIAS Nº20</t>
  </si>
  <si>
    <t>SONDA FOLEY LATEX SILICONADA ESTERIL 2 VIAS Nº22</t>
  </si>
  <si>
    <t>SONDA FOLEY 2 VIAS Nº24</t>
  </si>
  <si>
    <t>SONDA FOLEY 3 VIAS Nº 16</t>
  </si>
  <si>
    <t>SONDA FOLEY 3 VIAS Nº 18</t>
  </si>
  <si>
    <t>SONDA FOLEY 3 VIAS Nº 20</t>
  </si>
  <si>
    <t>SONDA FOLEY 3 VIAS Nº 22</t>
  </si>
  <si>
    <t>SONDA FOLEY 3 VIAS Nº 24</t>
  </si>
  <si>
    <t>SONDA FOLEY 3 VIAS Nº12</t>
  </si>
  <si>
    <t>SONDA FOLEY 3 VIAS Nº14</t>
  </si>
  <si>
    <t>SONDA NASOGASTRICA SILICONADA CURTA ATOXICA Nº06</t>
  </si>
  <si>
    <t>SONDA NASOGASTRICA SILICONADA CURTA ATOXICA Nº08</t>
  </si>
  <si>
    <t>SONDA NASOGASTRICA SILICONADA CURTA ATOXICA Nº10</t>
  </si>
  <si>
    <t>SONDA NASOGASTRICA SILICONADA CURTA ATOXICA Nº12</t>
  </si>
  <si>
    <t>SONDA NASOGASTRICA SILICONADA CURTA ATOXICA Nº14</t>
  </si>
  <si>
    <t>SONDA NASOGASTRICA SILICONADA CURTA ATOXICA Nº16</t>
  </si>
  <si>
    <t>SONDA NASOGASTRICA SILICONADA CURTA ATOXICA Nº18</t>
  </si>
  <si>
    <t>SONDA NASOGASTRICA SILICONADA CURTA ATOXICA Nº20</t>
  </si>
  <si>
    <t>SONDA NASOGASTRICA SILIOCNADA CURTA ATOXICA Nº22</t>
  </si>
  <si>
    <t>SONDA NASOGASTRICA SILICONADA CURTA ATOXICA Nº24</t>
  </si>
  <si>
    <t>SONDA NASOGASTRICA SILICONADA LONGA ATOXICA Nº06</t>
  </si>
  <si>
    <t>SONDA NASOGASTRICA SILICONADA LONGA ATOXICA Nº08</t>
  </si>
  <si>
    <t>SONDA NASOGASTRICA SILICONADA LONGA ATOXICA Nº10</t>
  </si>
  <si>
    <t>SONDA NASOGASTRICA SILICONADA LONGA ATOXICA Nº12</t>
  </si>
  <si>
    <t>SONDA NASOGASTRICA SILICONADA LONGA ATOXICA Nº14</t>
  </si>
  <si>
    <t>SONDA NASOGASTRICA SILICONADA LONGA ATOXICA Nº16</t>
  </si>
  <si>
    <t>SONDA NASOGASTRICA SILICONADA LONGA ATOXICA Nº18</t>
  </si>
  <si>
    <t>SONDA NASOGASTRICA SILICONADA LONGA ATOXICA Nº20</t>
  </si>
  <si>
    <t>SONDA NASOGASTRICA SILICONADA LONGA ATOXICA Nº22</t>
  </si>
  <si>
    <t>SONDA NASOGASTRICA SILICONADA LONGA ATOXICA Nº24</t>
  </si>
  <si>
    <t>SONDA URETRAL Nº04 EM PVC TRANSPARENTE ,FLEXIVEL,ATOXICO;40CM</t>
  </si>
  <si>
    <t>SONDA URETRAL Nº08 EM PVC TRANSPARENTE,FLEXIVEL,ATOXICO;40CM</t>
  </si>
  <si>
    <t>SONDA URETRAL Nº10 EM PVC TRANSPARENTE,FLEXIVEL,ATOXICO;40CM</t>
  </si>
  <si>
    <t>SONDA URETRAL Nº12 EM PVC TRANSPARENTE,FLEXIVEL,ATOXICO;40CM</t>
  </si>
  <si>
    <t>SONDA URETRAL Nº14 EM PVC TRANSPARENTE,FLEXIVEL,ATOXICO;40CM</t>
  </si>
  <si>
    <t>SONDA URETRAL Nº16 EM PVC TRANSPARENTE,FLEXIVEL,ATOXICO;40CM</t>
  </si>
  <si>
    <t>SONDA URETRAL Nº18 EM PVC TRANSPARENTE,FLEXIVEL,ATOXICO;40CM</t>
  </si>
  <si>
    <t>SONDA URETRAL Nº20 EM PVC TRANSPARENTE,FLEXIVEL,ATOXICO;40CM</t>
  </si>
  <si>
    <t>SONDA URETRAL Nº24 EM PVC TRANSPARENTE,FLEXIVEL,ATOXICO;40CM</t>
  </si>
  <si>
    <t>MÁSCARA LARÍNGEA SILICONE DE GAU MEDICO N1</t>
  </si>
  <si>
    <t>MÁSCARA LARÍNGEA SILICONE DE GAU MEDICO N2</t>
  </si>
  <si>
    <t>MÁSCARA LARÍNGEA SILICONE DE GAU MEDICO N3</t>
  </si>
  <si>
    <t>MÁSCARA LARÍNGEA SILICONE DE GAU MEDICO N4</t>
  </si>
  <si>
    <t>MÁSCARA LARÍNGEA SILICONE DE GAU MEDICO N5</t>
  </si>
  <si>
    <t>TESTE RAPIDO DE GRAVIDEZ HCG</t>
  </si>
  <si>
    <t>TUBO DE COLETA DE SANGUE A VACUO C/GEL SEPARADOR 13 X 75MM 3,5ML C/100</t>
  </si>
  <si>
    <t>TUBO PARA COLETA DE SANGUE A VACUO C/GEL SEPARADOR 15 X 100MM 8,0ML C/100</t>
  </si>
  <si>
    <t>TUBO PARA COLETA DE SANGUE A VACUO C/REAGENTE EDTA K3 13X75MM 2ML C/100</t>
  </si>
  <si>
    <t>TUBO PARA COLETA DE SANGUE A VACUO C/REAGENTE EDTA K3 13X75MM 4ML C/100</t>
  </si>
  <si>
    <t>UMIDIFICADOR FILTRO PARA CILINDRO DE OXIGENIO FRASCO COM CAPACIDADE PARA 250ML</t>
  </si>
  <si>
    <t>CURATIVO HIDROCOLOIDE</t>
  </si>
  <si>
    <t>GEL CONDUTOR P/ULTRASSOM/GEL DE ELETRO-ALTAMENTE CONDULTIVO MULTIUSO</t>
  </si>
  <si>
    <t>GARROTE P/FLEBOTOMIA COM TRAVA AZUL ADULTO</t>
  </si>
  <si>
    <t>GARROTE P/FLEBOTOMIA COM TRAVA AZUL INFANTIL</t>
  </si>
  <si>
    <t>MASCARA VENTURI ADULTO</t>
  </si>
  <si>
    <t>MASCARA VENTURI INFANTIL</t>
  </si>
  <si>
    <t>TORNEIRA 3 VIAS COM TRAVA LUER LOCK</t>
  </si>
  <si>
    <t>ESPARADRAPO, nao esteril, hipoalergenico de nao-tecido a base de fibra viscosa, com resina acrilico, 5 cm x 10 m</t>
  </si>
  <si>
    <t>COLETOR, de exame, tipo universal, para fezes e urina, tipo copo, esteril, capacidade de 50 ml</t>
  </si>
  <si>
    <t>TUBO, para coleta de sangue a vacuo, com anticoagulante citrato de sodio 3,2, volume de aspiracao entre 3,5 a 4,0 ml, material plastico transparente descartavel e esteril,</t>
  </si>
  <si>
    <t>TUBO, para coleta de sangue a vacuo, com anticoagulante citrato de sodio 3,2%, volume de aspiracao entre 3,5 a 4,0 ml, material plastico transparente descartavel e esteril,</t>
  </si>
  <si>
    <t xml:space="preserve">ESPARADRAPO, nao esteril, hipoalergenico de nao-tecido a base de fibra viscosa, com resina acrilico, e massa adesiva a base de poliacrilatoem , com boa fixacao , em rolo, dimensoes 5 cm x 10 m. Embalagem primaria individualmente acondicionada de acordo com as </t>
  </si>
  <si>
    <t>COLETOR de exame, tipo universal, para fezes e urina, tipo copo, esteril, capacidade de 50 ml, em PVC, branco fosco, tampa com fechamento em rosca.</t>
  </si>
  <si>
    <t>TUBO, para coleta de sangue a vacuo, com anticoagulante citrato de sodio 3,2%, volume de aspiracao entre 3,5 a 4,0 ml, material plastico transparente descartavel e esteril, com parede dupla que impeça a evaporacao do anticoagulante, e proteja o vacuo, para pro</t>
  </si>
  <si>
    <t>COMPRESSA, de gaze hidrofila, 7,5 x 7,5 cm, descartavel, nao esteril, 100 % algodao em tecido tipo tela, com 8 camadas</t>
  </si>
  <si>
    <t>AGULHA, para biopsia, tecido mole, 18 g x 25 cm de comprimento, compativel com uso em pistola automatica Pro Mag 2.2.</t>
  </si>
  <si>
    <t>AGULHA GENGIVAL DESCARTÁVEL, ESTERILIZADA, TAMANHO 30 G- CURTA (22 MM), USO ÚNICO, INDICADA PARA APLICAÇÃO DE ANESTESIA, AGULHA COM BISEL TRIFACETADO, AÇO INOXIDÁVEL, CÂNULA ALTAMENTE FLEXÍVELSILICONADA, PAREDE DA CÂNULA DE MENOR ESPESSURA AUMENTANDO AS DIMENS</t>
  </si>
  <si>
    <t>SOBRE LUVAS, MATERIAL POLIETILENO. COR: TRANSPARENTE. VALIDADE: 05 ANOS APÓS DATA DE FABRICAÇÃO</t>
  </si>
  <si>
    <t>ESPELHO TOUCADOR COM CABO. FORMATO BOCA OU DENTE.</t>
  </si>
  <si>
    <t>LAMINA DE BISTURI DE AÇO INOXIDAVEL NUMERO 15</t>
  </si>
  <si>
    <t>PAPEL LENÇOL 50X50 100% CELULOSE C/10 ROLOS</t>
  </si>
  <si>
    <t>PAPEL LENÇOL 50X70 100% CELULOSE C/10 ROLOS</t>
  </si>
  <si>
    <t>LENÇOL SANFONADO GR C/25 UND</t>
  </si>
  <si>
    <t>Bolsa Coletora Estéril de Urina</t>
  </si>
  <si>
    <t>Cabo para Bisturi N 3</t>
  </si>
  <si>
    <t>Coletor de Urina de Sistema Fechado</t>
  </si>
  <si>
    <t>Comadre</t>
  </si>
  <si>
    <t>Cateter Nasal Tipo Óculos</t>
  </si>
  <si>
    <t>Clamp Umbilical</t>
  </si>
  <si>
    <t>Esparadrapo 100x4,5MC/Capa</t>
  </si>
  <si>
    <t>Extensor de Cateter Para Oxigênio</t>
  </si>
  <si>
    <t>Fita Adesiva P/ Autoclave</t>
  </si>
  <si>
    <t>Fluxometro e Umidificador(Kit de Oxigênio)</t>
  </si>
  <si>
    <t>Lamina Bisturi N.23 C/100</t>
  </si>
  <si>
    <t>Lanceta Para Função Digital</t>
  </si>
  <si>
    <t>Lamina Bisturi N.22 C/100</t>
  </si>
  <si>
    <t>Luvas Cirúrgicas Esterio N 6.0</t>
  </si>
  <si>
    <t>Luvas Cirúrgicas Esterio N 6.5</t>
  </si>
  <si>
    <t>Luvas Cirúrgicas Esterio N 7.0</t>
  </si>
  <si>
    <t>Luvas Cirúrgicas Esterio N 7.5</t>
  </si>
  <si>
    <t>Luvas Cirúrgicas Esterio N 8.0</t>
  </si>
  <si>
    <t>Papagaio</t>
  </si>
  <si>
    <t>Propés C/100 UND</t>
  </si>
  <si>
    <t>SERINGA DESC. 01 ML 13 MM X 0,45 MM INSULINA</t>
  </si>
  <si>
    <t>SERINGA 10 ML</t>
  </si>
  <si>
    <t>Seringa 20ml</t>
  </si>
  <si>
    <t>Sonda Foley N 12 2 ViasBL30-50ML</t>
  </si>
  <si>
    <t>Sonda Foley N 14 2 ViasBL30-50ML</t>
  </si>
  <si>
    <t>Sonda Foley N 16 2 ViasBL30-50ML</t>
  </si>
  <si>
    <t>Sonda Foley N 18 2 ViasBL30-50ML</t>
  </si>
  <si>
    <t>Sonda Foley N 20 2 ViasBL30-50ML</t>
  </si>
  <si>
    <t>Sonda Nasogástrica Longa n 2</t>
  </si>
  <si>
    <t>Sonda Nasogástrica Longa n 4</t>
  </si>
  <si>
    <t>Sonda Nasogástrica Longa n 6</t>
  </si>
  <si>
    <t>Sonda Nasogástrica Longa n 8</t>
  </si>
  <si>
    <t>Sonda Nasogástrica Longa n 10</t>
  </si>
  <si>
    <t>Sonda Nasogástrica Longa n 14</t>
  </si>
  <si>
    <t>Sonda Nasogástrica Longa n 16</t>
  </si>
  <si>
    <t>Sonda Nasogástrica Longa n 18</t>
  </si>
  <si>
    <t>Sonda Nasogástrica Longa n 20</t>
  </si>
  <si>
    <t>Sonda Nasogástrica Longa n 22</t>
  </si>
  <si>
    <t>Sonda Nasogástrica Longa n 24</t>
  </si>
  <si>
    <t>Sonda Nasogástrica curta n 2</t>
  </si>
  <si>
    <t>Sonda Nasogástrica curta n 4</t>
  </si>
  <si>
    <t>Sonda Nasogástrica curta n 6</t>
  </si>
  <si>
    <t>Sonda Nasogástrica curta n 8</t>
  </si>
  <si>
    <t>Sonda Nasogástrica curta n 10</t>
  </si>
  <si>
    <t>Sonda Nasogástrica curta n 12</t>
  </si>
  <si>
    <t>Sonda Nasogástrica curta n 14</t>
  </si>
  <si>
    <t>Sonda Nasogástrica curta n 16</t>
  </si>
  <si>
    <t>Sonda Nasogástrica curta n 18</t>
  </si>
  <si>
    <t>Sonda Nasogástrica curta n 20</t>
  </si>
  <si>
    <t>Sonda Nasogástrica curta n 22</t>
  </si>
  <si>
    <t>Sonda Nasogástrica curta n 24</t>
  </si>
  <si>
    <t>Sonda Uretral n 2</t>
  </si>
  <si>
    <t>Sonda Uretral n 4</t>
  </si>
  <si>
    <t>Sonda Uretral n 6</t>
  </si>
  <si>
    <t>Sonda Uretral n 8</t>
  </si>
  <si>
    <t>Sonda Uretral n 10</t>
  </si>
  <si>
    <t>Sonda Uretral n 12</t>
  </si>
  <si>
    <t>Sonda Uretral n 14</t>
  </si>
  <si>
    <t>Sonda Uretral n 16</t>
  </si>
  <si>
    <t>Sonda Uretral n 18</t>
  </si>
  <si>
    <t>Sonda Uretral n 20</t>
  </si>
  <si>
    <t>Sonda Uretral n 22</t>
  </si>
  <si>
    <t>Sonda Uretral n 24</t>
  </si>
  <si>
    <t>Touca Descartável</t>
  </si>
  <si>
    <t>Fralda Geriátrica P</t>
  </si>
  <si>
    <t>Fralda Geriátrica M</t>
  </si>
  <si>
    <t>Fralda Geriátrica G</t>
  </si>
  <si>
    <t>Fralda Geriátrica XG</t>
  </si>
  <si>
    <t>Fralda Infantil P</t>
  </si>
  <si>
    <t>Fralda Infantil M</t>
  </si>
  <si>
    <t>Fralda Infantil G</t>
  </si>
  <si>
    <t>LENÇO UMEDECIDO HIPOALERGÊNICO SEM FRAGRÂNCIA PACOTE COM 96 UNIDADES</t>
  </si>
  <si>
    <t xml:space="preserve">FRALDA DESCARTÁVEL INFANTIL SUAVE COMO O ALGODÃO E ULTRA RESPIRÁVEL, COM CANAIS DE AR PARA UMA PELE SECA E AREJADA, E UMA LOÇÃO HIPOALERGÊNICA EXCLUSIVA QUE AJUDA A PREVENIR IRRITAÇÕES. SISTEMA DE ABSORÇÃO QUE OFERECE ATÉ 12 HORAS DE PROTEÇÃO. AJUSTE CÔMODO E </t>
  </si>
  <si>
    <t>AGULHA, multipla, para coleta de sangue a vacuo, canula em aco inoxidavel lubrificado, dimensao 25 X 8 mm ou 21G X 1`, com dispositivo de seguranca</t>
  </si>
  <si>
    <t>AGULHA, micro, para coleta neonatal, estéril, 21G, de uso único, descartavel, tamanho 0,8 mm x 19 mm.</t>
  </si>
  <si>
    <t>TUBO, para coleta de sangue, a vacuo, com anticoagulante de Citrato de Sodio 3,2, volume de aspiracao entre1,8 a 2,5ml, material plastico transparente descartavel e esteril, com parede dupla que impeca a evaporacao do anticoagulante</t>
  </si>
  <si>
    <t>TUBO, para coleta de sangue, com anticoagulante citrato de sodio 3,2%, tamanho 13x75 mm</t>
  </si>
  <si>
    <t>TUBO, para coleta de sangue, a vacuo, em plastico, transparente, incolor, esteril, com gel separador para soro e ativador de coagulo, volume de aspiracao de 5,0 ml,rolha de borracha siliconizada com tampa plastica protetora em cor vermelha e/ou amarela, dimens</t>
  </si>
  <si>
    <t>AGULHA, multipla, para coleta de sangue a vacuo, canula em aco inoxidavel lubrificado, dimensao 25 X 8 mm ou 21G X 1`, bisel trifacetado, esteril, descartavel, uso unico, apirogenico, com dispositivo de seguranca, conexao luer lock para fixacao do adaptador pl</t>
  </si>
  <si>
    <t>AGULHA, micro, para coleta neonatal, estéril, 21G, de uso unico, descartavel, tamanho 0,8 mm x 19 mm. Devera apresentar registro ANVISA. Embalagem individual primaria e secundária rotuladas conforme a RDC 185/01/ANVISA. O produto deve obedecer a qualquer legis</t>
  </si>
  <si>
    <t>TUBO para coleta de sangue, a vacuo, com anticoagulante de Citrato de Sodio 3,2%, volume de aspiracao entre1,8 a 2,5ml, material plastico transparente descartavel e esteril, com parede dupla que impeca a evaporacao do anticoagulante, e proteja o vacuo, para pr</t>
  </si>
  <si>
    <t>TUBO, para coleta de sangue, com anticoagulante citrato de sodio 3,2%, tamanho 13x75 mm, material plastico transparente descartavel e esteril, com parede dupla que impeca a evaporacao do anticoagulante, e proteja o vacuo, para provas de coagulacao, com rolha d</t>
  </si>
  <si>
    <t>CABO, de bisturi, standard n. 4.</t>
  </si>
  <si>
    <t>EQUIPO, macrogotas, esteril, para administracao de solucoes parenteral</t>
  </si>
  <si>
    <t>TUBO, para coleta de sangue a vacuo, em plastico transparente, incolor, esteril, com EDTA tripotassico, com rolha</t>
  </si>
  <si>
    <t>ESPARADRAPO, micropore, na cor branca, em tecido microporoso, dimensoes 10 cm x 4,5 m</t>
  </si>
  <si>
    <t>LAMINA, de bisturi numero 24, descartavel, esteril, em aco inoxidavel, sem rebarbas.</t>
  </si>
  <si>
    <t>SERINGA, de 5ml sem agulha, descartavel, esteril, polipropileno, transparente, atoxica, apirogenica, cilindro reto</t>
  </si>
  <si>
    <t>SERINGA, tuberculinica, esteril, de uso unico, de 1 ml</t>
  </si>
  <si>
    <t>AGULHA, hipodermica, composta por canula de aco inoxidavel, dimensao 0,55 x 20mm</t>
  </si>
  <si>
    <t>AGULHA, hipodermica, composta por canula de aco inoxidavel, dimensao 0,7 x 25mm</t>
  </si>
  <si>
    <t>AGULHA, hipodermica, composta por canula de aco inoxidavel, dimensao 0,8 x 30mm</t>
  </si>
  <si>
    <t>ESPARADRAPO, nao esteril, impermeavel, na cor branca, composto de tecido 100% algodao, dimensoes 10 cm x 4,5 m</t>
  </si>
  <si>
    <t>CURATIVO, de fibra de alginato de calcio, dimensoes 10 x 10 cm</t>
  </si>
  <si>
    <t>FIO, para sutura, em nylon monofilamentar preto, n. 3-0, fio com 45 cm de comprimento, com agulha 3/8 - 2 ou 2,5cm triangular cuticular</t>
  </si>
  <si>
    <t>AGULHA DESC. 25X08 21G 1 CX C/ 100 UND.: - AGULHA DESC. 25X08 21G 1 CX C/ 100 UND</t>
  </si>
  <si>
    <t>AGULHA DESC. 25X07 21G 1 CX C/ 100 UND.: - AGULHA DESC. 25X08 21G 1 CX C/ 100 UND.:</t>
  </si>
  <si>
    <t>ATADURA DE CREPE 10CMX4,5 MT PCT C/12 UND</t>
  </si>
  <si>
    <t>ATADURA DE CREPE 15CMX4,5 MT PCT C/12 UND</t>
  </si>
  <si>
    <t>ATADURA DE CREPE 20 CMX4,5 MT PCT C/12 UND</t>
  </si>
  <si>
    <t>CATETER NASAL DE OXIGENIO - TIPO OCULOS INFANTIL</t>
  </si>
  <si>
    <t>COLETOR DE URINA INFANTIL</t>
  </si>
  <si>
    <t>COMPRESSA DE GAZES 7,5 X 7,5 13 FIOS C/ 500UND, NAO ESTERIL</t>
  </si>
  <si>
    <t>EQUIPO FOTOSSENSIVEL</t>
  </si>
  <si>
    <t>ESPARADRAPO 10CM X 4,5 METRO</t>
  </si>
  <si>
    <t>ESPATULO DE AYRES C/100 UND</t>
  </si>
  <si>
    <t>LAMINA BISTURI Nº 11 C/100 UND</t>
  </si>
  <si>
    <t>LAMINA BISTURI Nº 15 CX COM 100 UND</t>
  </si>
  <si>
    <t>LAMINA BISTURI Nº 23 CX COM 100 UND</t>
  </si>
  <si>
    <t>LAMINA BISTURI Nº 24 CX COM 100 UND</t>
  </si>
  <si>
    <t>SERINGA 20 ML</t>
  </si>
  <si>
    <t>SERINGA ULTRA FINE ii 1ML 8MM ( 5/16) X 0,3 MM ( 30G)</t>
  </si>
  <si>
    <t>SONDA FOLEY Nº8 C/2 VIAS</t>
  </si>
  <si>
    <t>SONDA FOLEY Nº16 C/2 VIAS</t>
  </si>
  <si>
    <t>SONDA FOLEY Nº18 C/2 VIAS</t>
  </si>
  <si>
    <t>SONDA NASOGASTRICA Nº 4 - LONGA</t>
  </si>
  <si>
    <t>SONDA NASOGASTRICA Nº 6 - LONGA</t>
  </si>
  <si>
    <t>SONDA NASOGASTRICA Nº 8 - LONGA</t>
  </si>
  <si>
    <t>SONDA NASOGASTRICA Nº 10 - LONGA</t>
  </si>
  <si>
    <t>SONDA NASOGASTRICA Nº 12 - LONGA</t>
  </si>
  <si>
    <t>SONDA NASOGASTRICA Nº 14 - LONGA</t>
  </si>
  <si>
    <t>SONDA NASOGASTRICA Nº 16 - LONGA</t>
  </si>
  <si>
    <t>SONDA NASOGASTRICA Nº 18 - LONGA</t>
  </si>
  <si>
    <t>SONDA NASOGASTRICA Nº 20 - LONGA</t>
  </si>
  <si>
    <t>MANGUEIRA EXTENSOR DE OXIGENIO 2M</t>
  </si>
  <si>
    <t>Auto Lanceta Mini 28g ULTRAFINA CX C/ 100UND</t>
  </si>
  <si>
    <t>FRALDA GERIATRICA TAM G PCT COM 8UND</t>
  </si>
  <si>
    <t>FRALDA GERIATRICA TAM XG PCT COM 7UND</t>
  </si>
  <si>
    <t>FRALDA GERIATRICA TAM M PCT COM 8UND</t>
  </si>
  <si>
    <t>COMPRESSA, de gaze algodoada, dimensoes 15 x 30 cm, esteril, descartavel, para curativo cirurgico, composta de gaze hidrofila envolvendo duas camadas de algodao, sendo uma camada em algodao hidrofilo e outra camada em algodao hidrofobo e impermeavel. Apresenta</t>
  </si>
  <si>
    <t>CURATIVO, de fibra de alginato de calcio, dimensoes 10 x 10 cm, podendo variar em +/- 1, esteril, de uso único, absorvível, e com no minimo duas substancias extraidas de algas marinhas. Embalagem acondicionada individualmente de acordo com RDC185/ ANVISA sobre</t>
  </si>
  <si>
    <t>FIO para sutura, em nylon monofilamentar preto, n. 3-0, fio com 45 cm de comprimento, com agulha 3/8 - 2 ou 2,5cm triangular cuticular. Embalagem: caixa com 24 envelopes individuais em papel aluminizado e/ou filme termoplastico, abertura em petala. Na embalage</t>
  </si>
  <si>
    <t>AGULHA, para anestesia raquidiana, calibre 22G x 3 1/2 polegadas, descartavel, esteril, atoxica.</t>
  </si>
  <si>
    <t>AGULHA, hipodermica, para caneta de insulina, composta por canula de aco inoxidavel, dimensao 0,23 x 04mm</t>
  </si>
  <si>
    <t>SERINGA, de insulina, descartavel, de uso unico, atoxica, com escala graduada, linhas de graduacao de espessura uniforme, sem espaco morto e com capacidade para ate 100 unidades de insulina; seringa com dispositivo de seguranca; agulha fixa de 13mm de comprime</t>
  </si>
  <si>
    <t>SERINGA, de insulina, descartavel, de uso unico, atoxica, com escala graduada, linhas de graduacao de espessura uniforme, sem espaco morto e com capacidade para ate 100 unidades</t>
  </si>
  <si>
    <t>SERINGA, de 10 ml, descartavel, com agulha 30 x 7mm, dispositivo de seguranca, esteril, em polipropileno, transparente, atoxica, apirogenica, cilindro reto, siliconizado, parede uniforme, com escala de graduacao em ml, numeros e tracos legiveis, com anel de re</t>
  </si>
  <si>
    <t>BOLSA, para colostomia / ileostomia, sistema de peca unica, adulto, drenavel, confeccionada com plastico macio, antiodor, transparente, com tela protetora de pele, hipoalergenica, de formato anatomico, com barreira protetora periestomal composta por resina sin</t>
  </si>
  <si>
    <t>SERINGA, de 10 ml, descartavel, com agulha 30 x 7mm, dispositivo de seguranca, esteril, em polipropileno,</t>
  </si>
  <si>
    <t>FIO, para sutura, poliglecaprone 25, monofilamento violeta, 3-0, fio com 70 cm de comprimento, agulha 3/8 circulo triangular 2 cm</t>
  </si>
  <si>
    <t>FIO, cirurgico em polidioxanona, monofilamentar, nº 1, cor violeta, comprimento de 120cm (desvio +/-5cm),</t>
  </si>
  <si>
    <t>INDICADOR, biologico, para vapor do tipo auto-contido, com tempo de resposta de no maximo 24 (vinte e quatro) horas, por metodo de fluorecencia, indicado para o controle de qualidade biologico de ciclos de esterilizacao a vapor saturado em esterilizadore</t>
  </si>
  <si>
    <t>PORTA, agulha, uso odontologico, de Matiheu, em aco inox, 14 cm</t>
  </si>
  <si>
    <t>SUGADOR, uso odontologico, bucal, descartavel</t>
  </si>
  <si>
    <t>AGULHA, uso odontologico, gengival, descartavel, esterilizada, 30 G, curta.</t>
  </si>
  <si>
    <t>ALGODAO, uso odontologico, rolo dental, aglutinado</t>
  </si>
  <si>
    <t>BABADOR, uso odontologico, em papel com frisa horizontais que permite a distribuicao uniforme dos liquidos absorvidos, impermeavel, descartavel, dimensoes 33 x 48 cm.</t>
  </si>
  <si>
    <t>SERINGA, de 10 ml, com agulha, dimensoes de 25 x 07mm, descartavel, esteril, em prolipropileno, transparente</t>
  </si>
  <si>
    <t>LENCOL, uso odontologico, em latex, dimensoes 15 x15 cm.</t>
  </si>
  <si>
    <t>PAPEL, grau cirurgico, embalagem para esterilizacao, gramatura minima do papel de 60 g/m² e minima do filme 54 g/m², dimensoes 20 cm x 100 m,</t>
  </si>
  <si>
    <t>COMPRESSA, de gaze 100% algodao, nao esteril, de uso unico descartavel, hidrofila</t>
  </si>
  <si>
    <t xml:space="preserve">Agulha Hipodérmica material: aço inoxidável siliconizado, dimensão: 18 g x 1 1/2", tipo ponta: bisel curto trifacetado, tipo conexão: conector luer lock ou slip em plástico, tipo fixação: protetor plástico, tipo uso: estéril, descartável, embalagem individual </t>
  </si>
  <si>
    <t>Equipo De Infusão Venosa Gravitacional material: pvc transparente, sem dehp, câmara gotejamento: macrogotas, flexível, c/ respiro e filtro, regulador de fluxo manual: pinça rolete, comprimento tubo: até 180 cm, tipo injetor lateral: c/ 1 injetor, autocicatriza</t>
  </si>
  <si>
    <t>Luva Cirúrgica material: borracha natural - látex, superfície: superfície lisa, formato: anatômico, pó: com pó bioabsorvível, cor: c/ cor, tamanho: nº 8,0, apresentação: em par, esterilidade: estéril, uso único, embalagem: embalagem individual Conforme descriç</t>
  </si>
  <si>
    <t>Luva P/ Procedimento De Saúde Não Cirúrgico C/ Anvisa material: borracha natural - látex, superfície: superfície lisa, formato: ambidestra, pó: com pó bioabsorvível, cor: c/ cor, tamanho: médio - m, esterilidade: não estéril, uso único Conforme descrição detal</t>
  </si>
  <si>
    <t>CARTUCHO, de pulseiras para identificacao de pacientes em hospitais, Zebra Wristbanding Z-Band Direct - Tam. 1" x 11", Adulto, cor Branca, Confeccionada em Polipropileno, fechamento adesivo, para impressora térmica HC100. Caixa c/ 06 cartuchos, 200 unidades de</t>
  </si>
  <si>
    <t>KIT, de monitorizacao, invasiva, com transdutor de pressao e sistema fechado de coleta de sangue, em valvula anti-refluxo e seringa descartavel para aspiracao,</t>
  </si>
  <si>
    <t>Fralda geriátrica descartável tamanho EG (Extra Grande)</t>
  </si>
  <si>
    <t>Fralda geriátrica descartável tamanho G</t>
  </si>
  <si>
    <t>Fralda geriátrica descartável tamanho M</t>
  </si>
  <si>
    <t>Fralda geriátrica descartável tamanho P</t>
  </si>
  <si>
    <t>Fralda geriátrica descartável tamanho XXG</t>
  </si>
  <si>
    <t>Fralda infantil descartável tamanho G</t>
  </si>
  <si>
    <t>Fralda infantil descartável tamanho M</t>
  </si>
  <si>
    <t>Fralda infantil descartável tamanho P</t>
  </si>
  <si>
    <t>Fralda infantil descartável tamanho XG</t>
  </si>
  <si>
    <t>Fralda infantil descartável tamanho XGG</t>
  </si>
  <si>
    <t>Fralda infantil descartável tamanho GG (tipo calça)</t>
  </si>
  <si>
    <t>Lenço umedecido infantil (embalagem com 400 unid.)</t>
  </si>
  <si>
    <t>CARTUCHO, de pulseiras para identificacao de pacientes em hospitais, Zebra Wristbanding Z-Band Direct - Tam. 1' x 11', Adulto, cor Branca, Confeccionada em Polipropileno, fechamento adesivo, para impressora térmica HC100.</t>
  </si>
  <si>
    <t>KIT, sensor, para medida continua de debito cardiaco minimamente invasivo e pressao arterial invasiva, adulto, realiza a medida de debito cardiaco minimamente invasivo e medida de pressao arterial invasiva por sensor que capta pressao de pulso e pressao arteri</t>
  </si>
  <si>
    <t>KIT, de monitorizacao, invasiva, com transdutor de pressao e sistema fechado de coleta de sangue, em valvula anti-refluxo e seringa descartavel para aspiracao, torneira de 3 vias, dispositivo de fluxo, tampa protetora para zerar o sistema, equipo macrogotas pa</t>
  </si>
  <si>
    <t>KIT, sensor, para medida continua de debito cardiaco minimamente invasivo e pressao arterial invasiva, adulto, realiza a medida de debitocardiaco minimamente invasivo e medida de pressao arterial invasiva por sensor que capta pressao de pulso e pressao arteria</t>
  </si>
  <si>
    <t>AGULHA, para coleta sanguinea, sistema a vacuo, 25 x 7mm 22GX1, descartavel, esteril, atoxica, apirogenica, siliconizada, para analises clinicas, canhao de cor preta, com bisel tri facetado, para uso pediatrico.</t>
  </si>
  <si>
    <t>SERINGA, de 10ml sem agulha, bico sem rosca</t>
  </si>
  <si>
    <t>CATETER VENOSO CENTRAL, duplo lumen, em poliuretano, 4FR.</t>
  </si>
  <si>
    <t>AGULHA, para anestesia peridural, calibre 22 G x 2 polegadas</t>
  </si>
  <si>
    <t>SERINGA de 10ml sem agulha, descartavel, esteril, polipropileno, transparente, atoxica , apirogenica, cilindro reto, siliconizado, parede uniforme, anel de retencao que impeca e desprendimento do embolo cilindro, bico sem rosca que garanta conexoes seguras, fl</t>
  </si>
  <si>
    <t>CATETER VENOSO CENTRAL, duplo lumen, em poliuretano, 4FR, biocompativel, radiopaco, flexivel, ponta atraumatica, comprimento de 15 a 20 cm, podendo ainda variar cerca de 2 cm para mais ou para menos, com graduacao a cada centimetro. Fio-guia metalico com ponta</t>
  </si>
  <si>
    <t>AGULHA, para anestesia peridural, calibre 22 G x 2 polegadas, bisel tipo TUHOY, canula confeccionada em aço inoxidavel siliconada, mandril devidamente ajustado a parede interna da canula, canhao tipo LUER-LOOK confeccionado em plastico de alta resistencia tran</t>
  </si>
  <si>
    <t>SERINGA de 10ml sem agulha, descartavel, esteril, polipropileno, transparente, atoxica, apirogenica, cilindro reto, siliconizado, parede uniforme, anel de retencao que impeca e desprendimento do embolo cilindro, bico sem rosca que garanta conexoes seguras, fla</t>
  </si>
  <si>
    <t>AGULHA, neuro estimuladora, para bloqueio de plexo, dimensao G21, 0,80 x 50mm</t>
  </si>
  <si>
    <t>AGULHA, neuro estimuladora, para bloqueio de plexo, dimensao G22 x 2`, 0,70 x 50mm</t>
  </si>
  <si>
    <t>AGULHA, neuro estimuladora, para bloqueio de plexo, G21, dimensao 0,80 x 100 mm</t>
  </si>
  <si>
    <t>SENSOR, de oximetria, completo, adulto, compatível com modelo da marca Mindray, linha iMEC</t>
  </si>
  <si>
    <t>CURATIVO ALGINATO DE CÁLCIO 10 CM X 10 CM</t>
  </si>
  <si>
    <t>CURATIVO ALGINATO DE CÁLCIO E PRATA 10 CM X 10 CM</t>
  </si>
  <si>
    <t>EQUIPO, macrogotas para solucao venosa de infusao por gravidade, esteril, apirogenico, uso unico, com tampa protetora na entrada e saida ponta perfurante trifacetada, adaptavel a qualquer tipo de frasco de solucao parenteral, entrada de ar com membrana hidrofo</t>
  </si>
  <si>
    <t>EQUIPO, macrogotas para solucao venosa de infusao por gravidade</t>
  </si>
  <si>
    <t>AGULHA, hipodermica, para caneta de insulina, composta por canula de aco inoxidavel, dimensao 0,25 x 08mm, lubrificada, bisel trifacetado, conexao compativel com as canetas disponiveis no mercado, protetor da agulha bem acoplado ao canhao e sem rachadura, atox</t>
  </si>
  <si>
    <t>SONDA, nasogastrica longa, n. 16, em PVC, branco transparente, maleavel, atraumatica, siliconizada, com orificios nas laterais e conector universal com tampa, descartavel, esteril, atoxica. Embalagem que permita a abertura e transferencia com tecnica adequada;</t>
  </si>
  <si>
    <t>AGULHA, hipodermica, para caneta de insulina, composta por canula de aco inoxidavel, dimensao 0,25 x 08mm</t>
  </si>
  <si>
    <t>SONDA, nasogastrica longa, n. 16</t>
  </si>
  <si>
    <t>BISTURI, com lamina conectada ao cabo, nº 11, descartavel, esteril, de uso unico.</t>
  </si>
  <si>
    <t>AVENTAL, uso hospitalar, para quimioterapia, esteril, descartavel, atoxico, em nao tecido laminado, tamanho GG.</t>
  </si>
  <si>
    <t>INDICADOR BIOLÓGICO - PARA VAPOR DO TIPO AUTO CONTIDO COM TEMPO DE RESPOSTA FINAL NEGATIVA EM 1(UMA) HORA, POR METODO DE FLUORESCENCIA, PARA MONITORAMENTO BIOLOGICO DE CICLO DE ESTERILIZACAO A VAPOR SATURADO SOB PRESSAO EM AUTOCLAVES ASSISTIDAS A VACUO.,COMPOS</t>
  </si>
  <si>
    <t>AGULHA GENGIVAL ESTERILIZADA, CURTA, COM CÂNULA DE COMPRIMENTO DE 25MM, CALIBRE 30 G, QUE POSSUA BISEL TRIPLO E SEJA SILICONIZADA; DEVE POSSUIR GRAVAÇÃO DE MARCA, TAMANHO, LOTE E VALIDADE NAS TAMPAS DE PLÁSTICO E TENHA PRAZO DE VALIDADE SUPERIOR A 4 ANOS; APRE</t>
  </si>
  <si>
    <t>FITA ADESIVA PARA AUTOCLAVE, APRESENTADA EM PACOTE COM ROLO DE 19MM POR 30M. TRAZER EXTERNAMENTE OS DADOS DE IDENTIFICAÇÃO, PROCEDÊNCIA, NÚMERO DE LOTE E NÚMERO DE REGISTRO DO MINISTÉRIO DA SAÚDE. COM VALIDADE DE 2 ANOS A PARTIR DA DATA DA ENTREGA.</t>
  </si>
  <si>
    <t>GAZE, COMPRESSA HIDRÓFILA, NÃO ESTÉRIL, 09 FIOS. APRESENTADO EM PACOTE COM 500 UNIDADES. CONSTANDO EXTERNAMENTE MARCA COMERCIAL E PROCEDÊNCIA DE FABRICAÇÃO, E RECOMENDAÇÕES PARA ARMAZENAMENTO, VALIDADE MÍNIMA DE 2 ANOS DA DATA DE ENTREGA.</t>
  </si>
  <si>
    <t>LÂMINA DE BISTURI N 15C EM AÇO CARBONO ESTERIL. APRESENTAÇÃO EM CAIXA COM 100 UNIDADES, TRAZENDO EXTERNAMENTE OS DADOS DE IDENTIFICAÇÃO, PROCEDÊNCIA, NÚMERO DE LOTE E NÚMERO DE REGISTRO DO MINISTÉRIO DA SAÚDE.</t>
  </si>
  <si>
    <t xml:space="preserve">MASCARA CIRURGICA DESCARTÁVEL, COM TRIPLA CAMADA DE PROTEÇÃO, PRENDEDOR DE ELÁSTICO, EMBALADAS EM CAIXAS CONTENDO 50 UNIDADES. TRAZER EXTERNAMENTE OS DADOS DE IDENTIFICAÇÃO, PROCEDÊNCIA, NÚMERO DE LOTE E NÚMERO DE REGISTRO DO MINISTÉRIO DA SAÚDE. COM VALIDADE </t>
  </si>
  <si>
    <t>MOLDEIRAS DESCARTAVEIS, DE CERA, PARA APLICAÇÃO DE FLÚOR. CAIXA COM 100 UNIDADES. TRAZER EXTERNAMENTE OS DADOS DE IDENTIFICAÇÃO, PROCEDÊNCIA, NÚMERO DE LOTE E NÚMERO DE REGISTRO DO MINISTÉRIO DA SAÚDE. COM VALIDADE DE 2 ANOS A PARTIR DA DATA DA ENTREGA.</t>
  </si>
  <si>
    <t>TOUCA DESCARTAVEL SANFONADA, BRANCA, COM ELÁSTICO DUPLO, GRAMATURA 20, COM VALIDADE DE 02 ANOS, PACOTE COM 100 UNIDADES.</t>
  </si>
  <si>
    <t>CABO DE BISTURI N 3, CONFECCIONADA EM AÇO INOXIDÁVEL, ISENTA DE REBARBAS E SINAIS DE OXIDAÇÃO. DEVE SER RESISTENTE À ESTERILIZAÇÃO QUÍMICA SEM OXIDAR E AUTOCLAVÁVEL.</t>
  </si>
  <si>
    <t>SWAB, alginatado, descartavel, esteril, com haste flexivel</t>
  </si>
  <si>
    <t>AVENTAL, uso hospitalar, descartavel, em TNT(100% prolipropileno), com mangas longas,</t>
  </si>
  <si>
    <t>FIO CIRÚRGICO DE ÁCIDO POLIGLICÓLICO OU POLIGTACTINA 910 (VYCRIL) 0 - MULTIFILAMENTAR, TRAÇADO ABSORVÍVEL, NATURAL, COMPRIMENTO 70 CM (+/-5) CM, COR VIOLETA. CONTENDO 01 AGULHA, COM COMPRIMENTO DE 4,0 (+/- 0,1) CM, ½ CÍRCULO, PONTA E CORPO CILÍNDRICO, E, AÇO I</t>
  </si>
  <si>
    <t>FIO CIRÚRGICO DE ÁCIDO POLIGLICÓLICO OU POLIGTACTINA 910 (VYCRIL) 1 -0 - MULTIFILAMENTAR, TRAÇADO ABSORVÍVEL, NATURAL, COMPRIMENTO 70 CM (+/-5) CM, COR VIOLETA. CONTENDO 01 AGULHA, COM COMPRIMENTO DE 4,0 (+/- 0,1) CM, ½ CÍRCULO, PONTA E CORPO CILÍNDRICO, E, AÇ</t>
  </si>
  <si>
    <t>FIO CIRÚRGICO DE ÁCIDO POLIGLICÓLICO OU POLIGTACTINA 910 (VYCRIL) 2-0 - MULTIFILAMENTAR, TRAÇADO ABSORVÍVEL, NATURAL, COMPRIMENTO 70 CM (+/-5) CM, COR VIOLETA. CONTENDO 01 AGULHA, COM COMPRIMENTO DE 3,0 (+/- 0,1) CM, 3/8 CÍRCULO, PONTA CÔNICA CORPO CILINDRICO,</t>
  </si>
  <si>
    <t>FIO CIRÚRGICO DE ÁCIDO POLIGLICÓLICO OU POLIGTACTINA 910 (VICRYL) 3-0 - MULTIFILAMENTAR, TRAÇADO ABSORVÍVEL, NATURAL, COMPRIMENTO 70 CM (+/-5) CM, COR VIOLETA. CONTENDO 01 AGULHA, COM COMPRIMENTO DE 2,6 (+/- 0,1) CM, ½ CÍRCULO, PONTA E CORPO CILÍNDRICO, E, AÇO</t>
  </si>
  <si>
    <t>FIO CIRÚRGICO DE ÁCIDO POLIGLICÓLICO OU POLIGTACTINA 910 3.0 (VICRYL) - MULTIFILAMENTAR, TRAÇADO ABSORVÍVEL, NATURAL, COMPRIMENTO 70 CM (+/-5) CM. CONTENDO 01AGULHA, COM COMPRIMENTO DE 3,0 (+/- 0,1) CM, 3/8 CÍRCULO, PONTA E CORPO CILÍNDRICO, E, AÇO INOXIDÁVEL,</t>
  </si>
  <si>
    <t>FIO CIRÚRGICO DE ÁCIDO POLIGLICÓLICO OU POLIGTACTINA 910 (VICRYL) 4-0 - MULTIFILAMENTAR, TRAÇADO ABSORVÍVEL, NATURAL, COMPRIMENTO 70 CM (+/-5) CM, COR VIOLETA. CONTENDO 01 AGULHA, COM COMPRIMENTO DE 1,7 (+/- 0,1) CM, ½ CÍRCULO, PONTA E CORPO CILÍNDRICO, E, AÇO</t>
  </si>
  <si>
    <t>FIO CIRÚRGICO DE ÁCIDO POLIGLICÓLICO OU POLIGTACTINA 910 (VICRYL) 4-0 - MULTIFILAMENTAR, TRAÇADO ABSORVÍVEL, NATURAL, COMPRIMENTO 70 CM (+/-5) CM, COR VIOLETA. CONTENDO 01 AGULHA, COM COMPRIMENTO DE 2,5 (+/- 0,1) CM, ½ CÍRCULO, PONTA E CORPO CILÍNDRICO, E, AÇO</t>
  </si>
  <si>
    <t>FIO CIRÚRGICO DE POLIESTER E ALGODÃO 0 MULTIFILAMENTAR, TRAÇADO INABSORVÍVEL, NATURAL, COMPRIMENTO 45 CM (+/-5) CM, COR AZUL. CONTENDO 01 AGULHA, COM COMPRIMENTO DE 3,5 (+/- 0,1) CM, ½ CÍRCULO, PONTA E CORPO CILÍNDRICO, E, AÇO INOXIDÁVEL, ESTÉRIL, PARA FECHAME</t>
  </si>
  <si>
    <t>FIO CIRÚRGICO DE POLIESTER E ALGODÃO 0 MULTIFILAMENTAR, TRAÇADO INABSORVÍVEL, NATURAL, COMPRIMENTO 45 CM (+/ -5) CM, COR AZUL. CONTENDO 01 AGULHA, COM COMPRIMENTO DE 3,0 (+/ - 0,1) CM, 3/8 CÍRCULO, PONTA E CORPO CILÍNDRICO, E, AÇO INOXIDÁVEL, ESTÉRIL, PARA FEC</t>
  </si>
  <si>
    <t>FIO CIRÚRGICO DE POLIESTER E ALGODÃO 0 MULTIFILAMENTAR, TRAÇADO INABSORVÍVEL, NATURAL, COMPRIMENTO 75 CM (+/ -5) CM, COR AZUL. CONTENDO 01 AGULHA, COM COMPRIMENTO DE 3,0 (+/ - 0,1) CM, 3/8 TRIANGULAR, AÇO INOXIDÁVEL, ESTÉRIL, PARA FECHAMENTO. EMBALAGEM INDIVID</t>
  </si>
  <si>
    <t>FIO CIRÚRGICO DE POLIESTER E ALGODÃO 0 SEM AGULHA MULTIFILAMENTAR, TRAÇADO INABSORVÍVEL, NATURAL, COMPRIMENTO 45 CM (+/ -5) CM, COR AZUL. EMBALAGEM INDIVIDUAL (ENVELOPE) QUE PROMOVA BARREIRA MICROBIANA E ABERTURA ASSÉPTICA. REGISTRO NO MINISTÉRIO DA SAÚDE /ANV</t>
  </si>
  <si>
    <t>FIO CIRÚRGICO DE POLIESTER E ALGODÃO 2-0 MULTIFILAMENTAR, TRAÇADO INABSORVÍVEL, NATURAL, COMPRIMENTO 45 CM (+/ -5) CM, COR AZUL. CONTENDO 01 AGULHA, COM COMPRIMENTO DE 3,0 (+/ - 0,1) CM, 3/8 CÍRCULO, PONTA E CORPO CILÍNDRICO, E, AÇO INOXIDÁVEL, ESTÉRIL, PARA F</t>
  </si>
  <si>
    <t>FIO CIRÚRGICO DE POLIESTER E ALGODÃO 2-0 SEM AGULHA MULTIFILAMENTAR, TRAÇADO INABSORVÍVEL, NATURAL, COMPRIMENTO 45 CM (+/ -5) CM, EMBALAGEM INDIVIDUAL (ENVELOPE) QUE PROMOVA BARREIRA M ICROBIANA E ABERTURA ASSÉPTICA. REGISTRO NO MINISTÉRIO DA SAÚDE/ANVISA.</t>
  </si>
  <si>
    <t>FIO CIRÚRGICO DE POLIESTER E ALGODÃO 3-0 MULTIFILAMENTAR, TRAÇADO INABSORVÍVEL, NATURAL, COMPRIMENTO 45 CM (+/ -5) CM, COR AZUL. CONTENDO 01 AGULHA, COM COMPRIMENTO DE 2,5 (+/ - 0,1) CM, ½ CÍRCULO, PONTA E CORPO CILÍNDRICO, E, AÇO INOXIDÁVEL, ESTÉRIL, PARA APA</t>
  </si>
  <si>
    <t>FIO CIRÚRGICO DE POLIESTER E ALGODÃO 3-0 SEM AGULHA - MULTIFILAMENTAR, TRAÇADO INABSORVÍVEL, NATURAL, COMPRIMENTO 45 CM (+/ -5) CM, COR AZUL. EMBALAGEM INDIVIDUAL (ENVELOPE) QUE PROMOVA BARREIRA MICROBIANA E ABERTURA ASSÉPTICA. REGISTRO NO MINISTÉRIO DA SAÚDE/</t>
  </si>
  <si>
    <t>FIO CIRÚRGICO DE POLIESTER E ALGODÃO 4-0 MULTIFILAMENTAR, TRAÇADO INABSORVÍVEL, NATURAL, COMPRIMENTO 45 CM (+/ -5) CM, COR AZUL. CONTENDO 01 AGULHA, COM COMPRIMENTO DE 3,0 (+/ - 0,1) CM, 3/8 CÍRCULO, PONTA E CORPO CILÍNDRICO, E, AÇO INOXIDÁVEL, ESTÉRIL, PARA A</t>
  </si>
  <si>
    <t>FIO CIRÚRGICO DE POLIPROPILENO 1 -0 MONOFILAMENTAR, INABSORVÍVEL, SINTÉTICO, COMPRIMENTO 75 CM (+/ -5) CM, COR AZUL. CONTENDO 01 AGULHA, COM COMPRIMENTO DE 2,0 (+/ -0,1) CM, ½ CÍRCULO, CORPO TRIANGULAR, PONTA TRIANGULAR, AÇO INOXIDÁVEL, PARA APARELHO GASTROINT</t>
  </si>
  <si>
    <t>FIO CIRÚRGICO DE POLIPROPILENO 2 -0 MONOFILAMENTAR, INABSORVÍVEL, SINTÉTICO, COMPRIMENTO 75 CM (+/ -5) CM, COR AZUL. CONTENDO 01 AGULHA, COM COMPRIMENTO DE 2,0 (+/ -0,1) CM, ½ CÍRCULO, CORPO TRIANGULAR, PONTA TRIANGULAR, AÇO INOXIDÁVEL, PARA APARELHO GASTROINT</t>
  </si>
  <si>
    <t>FIO CIRÚRGICO DE POLIPROPILENO 3 -0 MONOFILAMENTAR, ABSORVÍVEL, SINTÉTICO, COMPRIMENTO 75 CM (+/ -5) CM, COR AZUL. CONTENDO 01 AGULHA, COM COMPRIMENTO DE 3,0 (+/ -0,1) CM, 1/2 CÍRCULO, CILÍNDRICO, AÇO INOXIDÁVEL, PARA APARELHO GASTROINTESTINAL, ESTÉRIL. EMBALA</t>
  </si>
  <si>
    <t>FIO CIRÚRGICO DE POLIPROPILENO 4 -0 MONOFILAMENTAR, INABSORVÍVEL, SINTÉTICO, COMPRIMENTO 75 CM (+/ -5) CM, COR AZUL. CONTENDO 01 AGULHA, COM COMPRIMENTO DE 2,6 (+/ -0,1) CM, 1/2 CÍRCULO, CILÍNDRICO, AÇO INOXIDÁVEL, PARA APARELHO GASTROINTESTINAL, ESTÉRIL. EMBA</t>
  </si>
  <si>
    <t>FIO CIRÚRGICO DE POLIPROPILENO 5 -0 MONOFILAMENTAR, INABSORVÍVEL, SINTÉTICO, COMPRIMENTO 75 CM (+/ -5) CM. CONTENDO 02 AGULHAS, COM COMPRIMENTO DE 1,7 (+/ -0,1) CM, ½ PONTA CILÍNDRICA RETANGULAR, AÇO INOXIDÁVEL, ESTÉRIL. USO CARDIOVASCULAR. EMBALAGEM INDIVIDUA</t>
  </si>
  <si>
    <t>FRALDA DESCARTÁVEL GERIÁTRICA GRANDE - PACOTE COM 8 UNIDADES</t>
  </si>
  <si>
    <t>FRALDA DESCARTÁVEL GERIÁTRICA EXTRA GRANDE - PACOTE COM 8 UNIDADES</t>
  </si>
  <si>
    <t>FRALDA DESCARTÁVEL GERIÁTRICA MÉDIA HIPOALERGÊNICA - PACOTE COM 8 UNIDADES</t>
  </si>
  <si>
    <t>FRALDA DESCARTÁVEL INFANTIL TAMANHO P _x0013_ PCT COM 8 UNIDADES</t>
  </si>
  <si>
    <t>FRALDA DESCARTÁVEL INFANTIL TAMANHO M _x0013_ PCT COM 8 UNIDADES</t>
  </si>
  <si>
    <t>FRALDA DESCARTÁVEL INFANTIL TAMANHO G _x0013_ PCT COM 7 UNIDADES</t>
  </si>
  <si>
    <t>ESCOVA, de limpeza, autoclavavel, para instrumentais canulados, cabo em aco, espiral, dimensões: 100 cm de comprimento x 10 mm de diametro, podendo variar em ate 10% para mais ou para menos. Embalagem. Na embalagem devera estar impresso dados de identificacao,</t>
  </si>
  <si>
    <t>ESCOVA, de limpeza, autoclavavel, para instrumentais canulados, cabo em aco, espiral, dimensões: 180 cm de comprimento x 12 mm de diametro, podendo variar em ate 10% para mais ou para menos. Embalagem. Na embalagem devera estar impresso dados de identificacao,</t>
  </si>
  <si>
    <t>Cabo Bisturi Cabo Bisturi, Material:Aço Inoxidável, Tamanho:Nº 3</t>
  </si>
  <si>
    <t>Cabo Bisturi Cabo Bisturi, Material:Aço Inoxidável, Tamanho:Nº 4, Aplicação:Cirurgia</t>
  </si>
  <si>
    <t>Cânula Instrumental Cânula Instrumental, Aplicação:P/ Aspiração, Modelo:Yankauer, Diâmetro:Cerca De 10,0 MM, Haste:Angulada, Comprimento Total:Cerca De 24 CM, Material:Aço Inoxidável, Esterilidade:Esterilizável</t>
  </si>
  <si>
    <t>Cânula Instrumental Cânula Instrumental, Aplicação:P/ Aspiração, Modelo:Poole, Diâmetro:Cerca De 8,0 MM, Haste:Angulada, Comprimento Total:Cerca De 22 CM, Material:Aço Inoxidável, Esterilidade:Esterilizável</t>
  </si>
  <si>
    <t>ESCOVA, de limpeza, autoclavavel, para instrumentais canulados, cabo em aco, espiral, dimensões: 100 cm de comprimento x 10 mm de diametro.</t>
  </si>
  <si>
    <t>ESCOVA, de limpeza, autoclavavel, para instrumentais canulados, cabo em aco, espiral, dimensões: 180 cm de comprimento x 12 mm de diametro.</t>
  </si>
  <si>
    <t>Indicador Biológico P/ Processamento De Produtos De Saúde Indicador Biológico P/ Processamento De Produtos De Saúde, Tipo:Terceira Geração, Apresentação:Autocontido, Ampola Com Meio De Cultura, Espécie:Bacillus Stearothermophillus, Características Adicionais:R</t>
  </si>
  <si>
    <t>NEBULIZADOR, T para circuito respiratorio, completo, composto de 01 conector em T de poliestireno; 01 copo nebulizador com tampa; 01 extensao de 2,10m em PVC atoxico com ponteira de rosca.</t>
  </si>
  <si>
    <t>LAMINA, de bisturi numero 23, descartavel, esteril, em aco inoxidavel, sem rebarbas.</t>
  </si>
  <si>
    <t>KIT, cirurgico, de uso unico, descartavel, esteril , composto em nao tecido SNS</t>
  </si>
  <si>
    <t>SERINGA, de 3 cc, descartavel, esteril, graduada de 0,1 em 0,1 mm, com dispositivo de seguranca, numerada de 0,5 em 0,5 ml, acoplada com agulha 20 x 5,5 ou 20 x 6,0 mm</t>
  </si>
  <si>
    <t>SERINGA, de 3 cc, descartavel, esteril, graduada de 0,1 em 0,1 mm, com dispositivo de seguranca, numerada de 0,5 em 0,5 ml, acoplada com agulha 20 x 5,5 ou 20 x 6,0 mm, transparente, atoxica, cilindro reto, siliconizado, parede uniforme, com anel de retencao q</t>
  </si>
  <si>
    <t>CURATIVO, em Silicone com borda adesiva formado por uma camada de espuma poliuretano. Remocao atraumatica, esteril, com pelicula externa impermeavel a agua, permitindo trocas gasosas. Hipoalergenico flexivel. Dimensoes 15 x 15 cm, podendo variar para mais ou m</t>
  </si>
  <si>
    <t>COMPRESSA, de gaze 100 algodao, nao esteril, de uso unico descartavel, hidrofila, dimensoes fechada de 7,5 x 7,5 e aberta de 15,0 x 30,0cm</t>
  </si>
  <si>
    <t>COMPRESSA, de gaze 100% algodao, nao esteril, de uso unico descartavel, hidrofila, dimensoes fechada de 7,5 x 7,5 e aberta de 15,0 x 30,0cm</t>
  </si>
  <si>
    <t>COMPRESSA, de gaze 100% algodao, nao esteril, de uso unico descartavel, hidrofila, isenta de alvejantes oticos e amido, deve ter 05 dobras e 08 camadas dobradas para dentro, dimensoes fechada de 7,5 x 7,5 e aberta de 15,0 x 30,0cm, densidade de 11 fios por cm2</t>
  </si>
  <si>
    <t>CURATIVO, em Silicone, com borda adesiva formado por uma camada de espuma poliuretano, dimensoes 15 x 15 cm</t>
  </si>
  <si>
    <t>NEBULIZADOR T para circuito respiratorio, completo, composto de 01 conector em T de poliestireno; 01 copo nebulizador com tampa; 01 extensao de 2,10m em PVC atoxico com ponteira de rosca. Embalagem com dados de identificacao do produto, marca do fabricante, da</t>
  </si>
  <si>
    <t>SWAB, PARA COLETA DE SECRECOES EM GERAL, ESTERIL, HASTE PLASTICA, ISENTO DE SUBSTANCIAS INIBIDORAS DO CRESCIMENTO BACTERIANO, EMBALAGEM 1.0 UNIDADE</t>
  </si>
  <si>
    <t>ATADURA, CREPOM, 15CM/32,7G, FAIXA CONTINUA TECIDO 100% ALGODAO OU MISTO, PROPRIEDADES ELASTICAS NO SENTIDO LONGITUDINAL MINIMO 50%, COMPRIMENTO MINIMO 1,8M EM REPOUSO, NAO ESTERIL, PROCESSAVEL, ROLO 1.0 UNIDADE</t>
  </si>
  <si>
    <t>ESPARADRAPO, 10CM X 4,5MT, IMPERMEAVEL, CARRETEL 1.0 UNIDADE</t>
  </si>
  <si>
    <t>COMPRESSA, GAZE., 7,5 CM X 7,5 CM QUANDO DOBRADA E 15 CM X 30 CM QUANDO ABERTA, ESTERIL, 11 FIOS, PACOTE 10.0 UNIDADES</t>
  </si>
  <si>
    <t>Aparadeira/Comadre coletor de urina feminino, plástico, branco, 2 Litros</t>
  </si>
  <si>
    <t>Avental Cirúrgico - Paramentação, Estéril, Uso Único Gramatura: Cerca De 30 G/M2, Manga Longa, Tamanho: Médio (M).</t>
  </si>
  <si>
    <t>Avental Cirúrgico - Paramentação, Estéril, Uso Único Gramatura: Cerca De 40 G/M2, Manga Longa, Tamanho: Médio (M).</t>
  </si>
  <si>
    <t>Bolsa coletora de urina sistema aberto, cordão de fechamento, descartável, 2000ML, tipo saco</t>
  </si>
  <si>
    <t>Bolsa coletora de urina sistema fechado, esterelizado, transparente, graduada, em PVC, embalada individualmente, possui pinça corta fluxo e válvula de drenagem inferior, saco de armazenamento, tubo de entrada, tubo de descarga, conector, tampa do conector e in</t>
  </si>
  <si>
    <t>Cabo para bisturi nº3 em Aço Inoxidável Cirurgico</t>
  </si>
  <si>
    <t>Cabo para bisturi nº4 em Aço Inoxidável Cirurgico</t>
  </si>
  <si>
    <t>Campo cirúrgico compressa 23cm X 25cm, sem fio</t>
  </si>
  <si>
    <t>Campo Cirúrgico Estéril 40x40cm - Fenestrado</t>
  </si>
  <si>
    <t>Campo Cirúrgico Estéril 75x75cm - Fenestrado</t>
  </si>
  <si>
    <t>Campo cirúrgico estéril não tecido, 60cm X 140cm, para mesa de mayo, sem fenestra, estéril, embalado individualmente, descartável.</t>
  </si>
  <si>
    <t>Cateter nasal tipo óculos adulto</t>
  </si>
  <si>
    <t>Cateter nasal tipo óculos infantil</t>
  </si>
  <si>
    <t>Clamp umbilical, descartável, estéril</t>
  </si>
  <si>
    <t>Coletor de urina 24 horas, 2 Litros, transparente com tampa</t>
  </si>
  <si>
    <t>Compressa de Gaze 7,5 x 7,5, Estéril, Pacote com 10 unidades</t>
  </si>
  <si>
    <t>Compressa de Gaze algodonada, Dimensão dobrada: 15 x 30cm, Estéril</t>
  </si>
  <si>
    <t>Compressa de Gaze, em rolo, 91 X 91, Não Estéril, 9 fios</t>
  </si>
  <si>
    <t>Equipe Macrogotas Fotossensível para infusões endovenosas de uso único, estéril, tubo de PVC flexível, camara de gotejamento</t>
  </si>
  <si>
    <t>Equipo Macrogotas com camara de gotejamento, injetor lateral, Conector macho tipo luer slip universal, em PVC, Ponta perfurante com tampa protetora, estéril, descartável.</t>
  </si>
  <si>
    <t>Equipo Microgotas com camara de gotejamento, injetor lateral, Conector macho tipo luer slip universal, em PVC, Ponta perfurante com tampa protetora, estéril, descartável.</t>
  </si>
  <si>
    <t>Escova Cervical Ginecológica Estéril</t>
  </si>
  <si>
    <t>Esparadrapo, 10,0 x 4,5 m, Enrolado em carretéis plásticos</t>
  </si>
  <si>
    <t>Espátula de Ayres; madeira; não estéril; descartável; pacote com 100 unidades</t>
  </si>
  <si>
    <t>Espéculo vaginal estéril G; Estéril; Descartável</t>
  </si>
  <si>
    <t>Espéculo vaginal estéril G; Não Estéril; Descartável</t>
  </si>
  <si>
    <t>Espéculo vaginal estéril M; Estéril; Descartável</t>
  </si>
  <si>
    <t>Espéculo vaginal estéril M; Não Estéril; Descartável</t>
  </si>
  <si>
    <t>Espéculo vaginal estéril P; Estéril; Descartável</t>
  </si>
  <si>
    <t>Espéculo vaginal estéril P; Não Estéril; Descartável</t>
  </si>
  <si>
    <t>Fio de sutura nylon 1-0 com agulha, monofilamento não absorvivel, estéril</t>
  </si>
  <si>
    <t>Fio de sutura nylon 2-0 com agulha, monofilamento não absorvivel, estéril</t>
  </si>
  <si>
    <t>Fio de sutura nylon 3-0 com agulha, monofilamento não absorvivel, estéril</t>
  </si>
  <si>
    <t>Fio de sutura nylon 4-0 com agulha, monofilamento não absorvivel, estéril</t>
  </si>
  <si>
    <t>Fio de sutura nylon 5-0 com agulha, monofilamento não absorvivel, estéril</t>
  </si>
  <si>
    <t>Fita Adesiva para Autoclave 19mm x 30m</t>
  </si>
  <si>
    <t>Lamina de bisturi nº 10, Aço Carbono, Descartável, Caixa com 100 Unidades</t>
  </si>
  <si>
    <t>Lamina de bisturi nº 11, Aço Carbono, Descartável, Caixa com 100 Unidades</t>
  </si>
  <si>
    <t>Lamina de bisturi nº 15, Aço Carbono, Descartável, Caixa com 100 Unidades</t>
  </si>
  <si>
    <t>Lamina de bisturi nº 20, Aço Carbono, Descartável, Caixa com 100 Unidades</t>
  </si>
  <si>
    <t>Lamina de bisturi nº 21, Aço Carbono, Descartável, Caixa com 100 Unidades</t>
  </si>
  <si>
    <t>Lamina de bisturi nº 22, Aço Carbono, Descartável, Caixa com 100 Unidades</t>
  </si>
  <si>
    <t>Lamina de bisturi nº 23, Aço Carbono, Descartável, Caixa com 100 Unidades</t>
  </si>
  <si>
    <t>Lamina de bisturi nº 24, Aço Carbono, Descartável, Caixa com 100 Unidades</t>
  </si>
  <si>
    <t>Fralda Descartável Tipo Fixação: Cintura Elástica Ajustável, Tipo Calcinha , Tamanho: Infantil Extra Grande Xg</t>
  </si>
  <si>
    <t>Fralda Descartável Tipo Fixação: Cintura Elástica Ajustável, Tipo Calcinha , Tamanho: Infantil Grande</t>
  </si>
  <si>
    <t>Fralda Descartável Tipo Fixação: Cintura Elástica Ajustável, Tipo Calcinha , Tamanho: Infantil Médio</t>
  </si>
  <si>
    <t>Fralda Descartável Tipo Fixação: Cintura Elástica Ajustável, Tipo Calcinha , Tamanho: Infantil Pequeno</t>
  </si>
  <si>
    <t>Fralda Descartável Tipo Fixação: Tiras Ajustáveis E Reposicionáveis , Tamanho: Infantil Extra Grande Xg</t>
  </si>
  <si>
    <t>Fralda Descartável Tipo Fixação: Tiras Ajustáveis E Reposicionáveis , Tamanho: Infantil Extra Grande Xxg</t>
  </si>
  <si>
    <t>Fralda Descartável Tipo Fixação: Tiras Ajustáveis E Reposicionáveis , Tamanho: Infantil Grande</t>
  </si>
  <si>
    <t>Fralda Descartável Tipo Fixação: Tiras Ajustáveis E Reposicionáveis , Tamanho: Infantil Médio</t>
  </si>
  <si>
    <t>Fralda Descartável Tipo Fixação: Tiras Ajustáveis E Reposicionáveis , Tamanho: Infantil Pequeno</t>
  </si>
  <si>
    <t>Lençol Descartável Uso Hospitalar Materia Prima: 100% Polipropileno, Não Tecido Tnt , Gramatura 1: Cerca De 30 G/M2, Dimensoes: Cerca De 200 X 90 X 2,5 Cm , Apresentação 1: C/ Elástico</t>
  </si>
  <si>
    <t>Lençol Descartável Uso Hospitalar Materia Prima: 100% Polipropileno, Não Tecido Tnt , Gramatura 1: Cerca De 30 G/M2, Dimensoes: Cerca De 200 X 90 X 2,5 Cm , Apresentação 1: S/ Elástico</t>
  </si>
  <si>
    <t>Luva Cirúrgica Estéril, Tamanho: 6,5, Embalagem: Conforme Norma Abnt C/ Abertura Asséptica.</t>
  </si>
  <si>
    <t>Luva Cirúrgica Estéril, Tamanho: 7, Embalagem: Conforme Norma Abnt C/ Abertura Asséptica.</t>
  </si>
  <si>
    <t>Luva Cirúrgica Estéril, Tamanho: 7,5, Embalagem: Conforme Norma Abnt C/ Abertura Asséptica.</t>
  </si>
  <si>
    <t>Luva Cirúrgica Estéril, Tamanho: 8, Embalagem: Conforme Norma Abnt C/ Abertura Asséptica.</t>
  </si>
  <si>
    <t>Luva Cirúrgica Estéril, Tamanho: 8,5, Embalagem: Conforme Norma Abnt C/ Abertura Asséptica.</t>
  </si>
  <si>
    <t>Máscara PFF2, N95, Descartável, Cor branca</t>
  </si>
  <si>
    <t>Papagaio coletor de urina, plástico, branco, 1000ML, com tampa</t>
  </si>
  <si>
    <t>Papagaio coletor de urina, plástico, branco, até 1500ML, com tampa</t>
  </si>
  <si>
    <t>Papel Grau Cirúrgico 12cm x 100mts, bombina para esterilização</t>
  </si>
  <si>
    <t>Papel Grau Cirúrgico 15cm x 100mts, bombina para esterilização</t>
  </si>
  <si>
    <t>Papel Grau Cirúrgico 20cm x 100mts, bombina para esterilização</t>
  </si>
  <si>
    <t>Papel Grau Cirúrgico 25cm x 100mts, bombina para esterilização</t>
  </si>
  <si>
    <t>Papel Grau Cirúrgico 7,5cm x 100mts, bombina para esterilização</t>
  </si>
  <si>
    <t>Papel lençol 50 X 50</t>
  </si>
  <si>
    <t>Papel lençol 70 X 50</t>
  </si>
  <si>
    <t>Seringa descartável 10ML com Agulha 25 x 7</t>
  </si>
  <si>
    <t>Seringa descartável 10ML sem Agulha</t>
  </si>
  <si>
    <t>Seringa descartável 1ML com Agulha 13 x 4,5</t>
  </si>
  <si>
    <t>Seringa descartável 1ML sem Agulha</t>
  </si>
  <si>
    <t>Seringa descartável 20ML com Agulha 25 x 7</t>
  </si>
  <si>
    <t>Seringa descartável 20ML com Agulha 40 x 7</t>
  </si>
  <si>
    <t>Seringa descartável 20ML sem Agulha</t>
  </si>
  <si>
    <t>Seringa descartável 3ML com Agulha 25 x 7</t>
  </si>
  <si>
    <t>Seringa descartável 3ML sem Agulha</t>
  </si>
  <si>
    <t>Seringa descartável 5ML com Agulha 25 x 7</t>
  </si>
  <si>
    <t>Tubo latex (garrote), Pacote com 1 metro</t>
  </si>
  <si>
    <t>Touca Hospitalar Material*: Não Tecido 100% Polipropileno , Modelo: Com Elástico Em Toda Volta , Cor*: Sem Cor, Gramatura*: Cerca De 60 G/M2</t>
  </si>
  <si>
    <t>Seringa descartável 5ML sem Agulha</t>
  </si>
  <si>
    <t>Touca Hospitalar Material*: Não Tecido 100% Polipropileno , Modelo: Com Elástico Em Toda Volta , Cor*: Sem Cor, Gramatura*: Cerca De 30 G/M2</t>
  </si>
  <si>
    <t>Touca Hospitalar Material*: Não Tecido 100% Polipropileno , Modelo: Com Elástico Em Toda Volta , Cor*: Sem Cor, Gramatura*: Cerca De 20 G/M</t>
  </si>
  <si>
    <t>Sonda nasogástrica curta nº 10, estéril</t>
  </si>
  <si>
    <t>Sonda nasogástrica curta nº 12, estéril</t>
  </si>
  <si>
    <t>Sonda nasogástrica curta nº 14, estéril</t>
  </si>
  <si>
    <t>Sonda nasogástrica curta nº 16, estéril</t>
  </si>
  <si>
    <t>Sonda nasogástrica curta nº 18, estéril</t>
  </si>
  <si>
    <t>Sonda nasogástrica curta nº 20, estéril</t>
  </si>
  <si>
    <t>Sonda nasogástrica curta nº 22, estéril</t>
  </si>
  <si>
    <t>Sonda nasogástrica curta nº 24, estéril</t>
  </si>
  <si>
    <t>Sonda Uretral nº8, PVC atóxico siliconizado, estéril.</t>
  </si>
  <si>
    <t>Sonda nasogástrica curta nº 8, estéril</t>
  </si>
  <si>
    <t>Sonda Uretral nº6, PVC atóxico siliconizado, estéril.</t>
  </si>
  <si>
    <t>Sonda nasogástrica longa nº 10, estéril, com fio guia</t>
  </si>
  <si>
    <t>Sonda nasogástrica longa nº 12, estéril, com fio guia</t>
  </si>
  <si>
    <t>Sonda nasogástrica longa nº 14, estéril, com fio guia</t>
  </si>
  <si>
    <t>Sonda nasogástrica longa nº 16, estéril, com fio guia</t>
  </si>
  <si>
    <t>Sonda Uretral nº4, PVC atóxico siliconizado, estéril</t>
  </si>
  <si>
    <t>Sonda nasogástrica longa nº 18, estéril, com fio guia</t>
  </si>
  <si>
    <t>Sonda nasogástrica longa nº 20, estéril, com fio guia</t>
  </si>
  <si>
    <t>Sonda Uretral nº24, PVC atóxico siliconizado, estéril.</t>
  </si>
  <si>
    <t>Sonda nasogástrica longa nº 22, estéril, com fio guia</t>
  </si>
  <si>
    <t>Sonda Uretral nº18, PVC atóxico siliconizado, estéril.</t>
  </si>
  <si>
    <t>Sonda nasogástrica longa nº 24, estéril, com fio guia</t>
  </si>
  <si>
    <t>Sonda Uretral nº16, PVC atóxico siliconizado, estéril.</t>
  </si>
  <si>
    <t>Sonda nasogástrica longa nº 8, estéril, com fio guia</t>
  </si>
  <si>
    <t>Sonda Uretral nº12, PVC atóxico siliconizado, estéril.</t>
  </si>
  <si>
    <t>Sonda Uretral nº14, PVC atóxico siliconizado, estéril.</t>
  </si>
  <si>
    <t>107547 - "SERINGA COM AGULHA ACOPLADA PARA APLICAÇÃO DE INSULINA 8MM 50 UI UNIDADE." (UNIDADE)</t>
  </si>
  <si>
    <t>107548 - LANCETAS PARA MONITORAMENTO DE GLICEMIA CAPILAR UNIDADE. (UNIDADE)</t>
  </si>
  <si>
    <t>SERINGA DESCARTÁVEL DE 10ML COM BICO CENTRAL LUER SLIP, ESTÉRIL, CONFECCIONADA EM PLÁSTICO TRANSPARENTE, ATÓXICO, APIROGÊNICO, CILINDRO COM ESCALA DE GRADUAÇÃO VISÍVEL, COM ANEL DE RETENÇÃO, ÊMBOLO COM PISTÃO DE BORRACHA ATÓXICA, LUBRIFICADO, SEM AGULHA. ESTÉR</t>
  </si>
  <si>
    <t>SERINGA DESCARTÁVEL DE 10ML COM BICO CENTRAL LUER LOCK, ESTÉRIL, CONFECCIONADA EM PLÁSTICO TRANSPARENTE, ATÓXICO, APIROGÊNICO, CILINDRO COM ESCALA DE GRADUAÇÃO VISÍVEL, COM ANEL DE RETENÇÃO, FLANGE, FORMATO ADEQUADO, ÊMBOLO COM PISTÃO DE BORRACHA ATÓXICA, LUBR</t>
  </si>
  <si>
    <t>SERINGA DESCARTÁVEL DE 20ML COM BICO CENTRAL LUER SLIP, ESTÉRIL, CONFECCIONADA EM PLÁSTICO TRANSPARENTE, ATÓXICO, APIROGÊNICO, CILINDRO COM ESCALA DE GRADUAÇÃO VISÍVEL, COM ANEL DE RETENÇÃO, FLANGE, FORMATO ADEQUADO, ÊMBOLO COM PISTÃO DE BORRACHA ATÓXICA, LUBR</t>
  </si>
  <si>
    <t xml:space="preserve">SERINGA DESCARTÁVEL 20ML,COM BICO LUER-LOCK SEM AGULHA, ESTÉRIL, DESCARTÁVEL, DE USO ÚNICO PARA USO GERAL EM PROCEDIMENTOS TERAPÊUTICOS. SERINGA CONFECCIONADA EM POLIPROPILENO TRANSPARENTE, ATÓXICO, APIROGÊNICO, LIVRE DE PARTÍCULAS, MANCHAS E MATÉRIA ESTRANHA </t>
  </si>
  <si>
    <t>Torneirinha vias: 3 vias, material*: polímero, tipo conector: luer lock / slip, pressão máxima: até cerca de 100, componente adicional: c/ extensor, comprimento: cerca de 120, calibre: cerca de 12, tipo uso: estéril, uso único</t>
  </si>
  <si>
    <t>INDICADOR BIOLOGICO. (INDICADOR BIOLÓGICO AUTO CONTIDO, para monitoração de processo de esterilização a vapor saturado a 121°C e/ou a 134°C, com tempo máximo de resposta de até 03 horas, por método de fluorescência, em tira de papel, contendo esporos resistent</t>
  </si>
  <si>
    <t>Indicador Biológico</t>
  </si>
  <si>
    <t>KIT PARA PRIMEIROS SOCORROS, CAIXA POLIPROPILENO, 01 TESOURA CIRURGICA FINA CURVA 15 CM, 01 PINCA ANATOMICA 12 CM, 01 TERMOMETRO CLINICO, 10 GAZE ESTERILIZADA EMBALADA INDIVIDUALMENTE, 01 ROLO DE ESPARADRAPO IMPERMEAVEL, AGUA OXIGENADA 10 VOLUMES, EMBALAGEM 1.</t>
  </si>
  <si>
    <t>GAZE, COMPRESSA CIRURGICA, HIDROFILA, 7,5CM X 7,5CM, 100% ALGODAO, NAO ESTERIL, 8 DOBRAS DE 9 FIOS, UNIFORMIDADE, BOA CAPACIDADE DE ABSORCAO, COR BRANCA, MACIA, ISENTO DE IMPUREZAS, EMBALAGEM COM DADOS DE IDENTIFICACAO E PROCEDENCIA, PACOTE 500.0 UNIDADE</t>
  </si>
  <si>
    <t>ESPARADRAPO, IMPERMEAVEL, BRANCO, 2,5 CM X 4,5 M, UNIDADE 1.0 UNIDADE</t>
  </si>
  <si>
    <t>LUVA DESCARTAVEL, CIRURGICAS, LATEX NATURAL, LEVEMENTE TALCADA COM PO ABSORVIVEL (AMIDO DE MILHO), CAIXAS DISPENSADORA (50 PARES), APROVADA PELO MINISTERIO DA SAUDE. REGISTRO ANVISA, RDC N°05 DE 15 DE FEVEREIRO DE 2008 (CA E LOTE IMPRESSOS NO PUNHO), CAIXA 100</t>
  </si>
  <si>
    <t>Cânula Orofaríngea Guedel material*: polímero, tamanho*: tamanho nº 2, esterelidade*: estéril, embalagem individual*: embalagem individual</t>
  </si>
  <si>
    <t>Cânula Orofaríngea Guedel material*: polímero, tamanho*: tamanho nº 3, esterelidade*: estéril, embalagem individual*: embalagem individual</t>
  </si>
  <si>
    <t>Cânula Orofaríngea Guedel material*: polímero, tamanho*: tamanho nº 4, esterelidade*: estéril, embalagem individual*: embalagem individual</t>
  </si>
  <si>
    <t>Cânula Orofaríngea Guedel material*: polímero, tamanho*: tamanho nº 5, esterelidade*: estéril, embalagem individual*: embalagem individual</t>
  </si>
  <si>
    <t>Cânula Orofaríngea Guedel material*: polímero, tamanho*: tamanho nº 6, esterelidade*: estéril, embalagem individual*: embalagem individual</t>
  </si>
  <si>
    <t>Aspirador Cirúrgico modelo: elétrico portátil, pressão de vácuo: cerca de 550 mmhg, fluxo de aspiração: de 15 a 30 lpm, tipo frasco: 1 frasco em plástico, volume: cerca de 1,5 l, componentes: sistema antitransbordamento, filtro bacteriológico</t>
  </si>
  <si>
    <t>SERINGA TRIPLICE ODONTOLOGICO.</t>
  </si>
  <si>
    <t>LANCETAS PARA PUNÇÃO DIGITAL</t>
  </si>
  <si>
    <t>Curativo / Cobertura aplicação: p/ ferida, aspecto físico: placa, composição: à base de hidrocolóide, componente 1: c/ espuma pu, dimensão: cerca de 10 x 10, esterilidade: estéril</t>
  </si>
  <si>
    <t>AGULHA HIPODÉRMICA 0,55X20MM - CAIXA COM 100 UNIDADES</t>
  </si>
  <si>
    <t>AGULHA HIPODÉRMICA 0,70X25MM (22G) - CAIXA COM 100 UNIDADES</t>
  </si>
  <si>
    <t>AGULHA HIPODÉRMICA 13X4,5;MM - CAIXA COM 100 UNIDADES</t>
  </si>
  <si>
    <t>AGULHA HIPODÉRMICA 40 X 0,12MM - CAIXA COM 100 UNIDADES</t>
  </si>
  <si>
    <t>CAMPO CIRÚRGICO FENESTRADO 10CM ESTÉRIL 50X50CM: FABRICADO EM NÃO TECIDO SMS, ATÓXICO, HIPOALERGÊNICO, ESTÉRIL.</t>
  </si>
  <si>
    <t>CATETER NASAL TIPO ÓCULOS P.V.C. ATÓXICO SILICONADO, ESTERIL,TAMANHO ADULTO: 2,10</t>
  </si>
  <si>
    <t>CATETER NASAL TIPO ÓCULOS P.V.C. ATÓXICO SILICONADO, ESTERIL,TAMANHO INFANTIL: 2,50</t>
  </si>
  <si>
    <t xml:space="preserve">CATETER PERIFÉRICO INTRAVENOSO 18G. ESTÉRIL. ATÓXICO. PRODUTO DESCARTÁVEL DE USO ÚNICO. ISENTO DE LATÉX. POSSUI FILTRO, QUE REDUZ A PRESSÃO INTERNA DA CÂMARA E PERMITE A VISUALIZAÇÃO DO SANGUE NO EXATO MOMENTO DA PUNÇÃO. POSSUI CANHÃO QUE OBEDECE AO CÓDIGO DE </t>
  </si>
  <si>
    <t xml:space="preserve">CATETER PERIFÉRICO INTRAVENOSO 20G. ESTÉRIL. ATÓXICO. PRODUTO DESCARTÁVEL DE USO ÚNICO. ISENTO DE LATÉX. POSSUI FILTRO, QUE REDUZ A PRESSÃO INTERNA DA CÂMARA E PERMITE A VISUALIZAÇÃO DO SANGUE NO EXATO MOMENTO DA PUNÇÃO. POSSUI CANHÃO QUE OBEDECE AO CÓDIGO DE </t>
  </si>
  <si>
    <t xml:space="preserve">CATETER PERIFÉRICO INTRAVENOSO 22G. ESTÉRIL. ATÓXICO. PRODUTO DESCARTÁVEL DE USO ÚNICO. ISENTO DE LATÉX. POSSUI FILTRO, QUE REDUZ A PRESSÃO INTERNA DA CÂMARA E PERMITE A VISUALIZAÇÃO DO SANGUE NO EXATO MOMENTO DA PUNÇÃO. POSSUI CANHÃO QUE OBEDECE AO CÓDIGO DE </t>
  </si>
  <si>
    <t xml:space="preserve">CATETER PERIFÉRICO INTRAVENOSO 24G. ESTÉRIL. ATÓXICO. PRODUTO DESCARTÁVEL DE USO ÚNICO. ISENTO DE LATÉX. POSSUI FILTRO, QUE REDUZ A PRESSÃO INTERNA DA CÂMARA E PERMITE A VISUALIZAÇÃO DO SANGUE NO EXATO MOMENTO DA PUNÇÃO. POSSUI CANHÃO QUE OBEDECE AO CÓDIGO DE </t>
  </si>
  <si>
    <t>COMPRESSA DE GAZE 7,5 X 7,5, ESTÉRIL, PACOTE COM 10 UNIDADES</t>
  </si>
  <si>
    <t>ELETRODO DESCARTÁVEL: PACOTE COM 50 UNIDADES, UTILIZADO EM MONITORIZAÇÃO DE ELETROCARDIOGRAMA, TESTE ERGOMÉTRICO, HOLTER, ENTRE OUTROS.</t>
  </si>
  <si>
    <t>ENVELOPE AUTOSELANTE (250MM X 400MM) - EMBALAGEM PARA ESTERILIZAÇÃO EM ENVELOPE. INDICADAS PARA PROTEGER OS MATERIAIS DURANTE O PROCESSO DE ESTERILIZAÇÃO A VAPOR. UTILIZADAS EM CLÍNICAS DE ESTÉTICA, SALÕES DE BELEZA, ODONTOLOGIA, HOSPITAIS, ENTRE OUTROS. GARAN</t>
  </si>
  <si>
    <t>EQUIPO MACROGOTAS COM INJETOR LATERAL</t>
  </si>
  <si>
    <t>ESPARADRAPO IMPERMEÁVEL 10CM X 4,5M</t>
  </si>
  <si>
    <t>ESPARADRAPO MICROPORE 2,5CMX10M</t>
  </si>
  <si>
    <t>ESPECULO VAGINAL ESTERIL G: EMBALADO SEPARADAMENTE;</t>
  </si>
  <si>
    <t>ESPECULO VAGINAL ESTERIL M: EMBALADO SEPARADAMENTE.</t>
  </si>
  <si>
    <t>ESPECULO VAGINAL ESTERIL P: EMBALADO SEPARADAMENTE.</t>
  </si>
  <si>
    <t xml:space="preserve">INDICADOR BIOLÓGICO DE RESPOSTA RÁPIDA - 3 HORAS - TERCEIRA GERAGAO, APRESENTAÇÃO: AUTOCONTIDO, AMPOLA COM MEIO DE CULTURA, ESPECIE: BACILLUS STEAROTHERMOPHILLUS, CARACTERISTICAS ADICIONAIS RESPOSTA EM 3 HORAS, APLICAÇÃO: PARA ESTERILIZAGAO A VAPOR. A EMPRESA </t>
  </si>
  <si>
    <t>INTEGRADOR QUÍMICO TIPO 05 PARA MONITORAMENTO DE PROCESSOS DE ESTERILIZAÇÃO A VAPOR. OS PARÂMETROS CRÍTICOS DE ESTERILIZAÇÃO SÃO: 121 °C - 16,5 MIN; 128 °C - 9 MIN; 134 °C - 3,5 MIN. ISENTO DE CHUMBO. MEDIDAS APROXIMADAS: 75 MM / 19 MM. MONITORAMENTO DE TEMPO,</t>
  </si>
  <si>
    <t>KIT CIRÚRGICO ODONTOLÓGICO - PADRÃO "KIT PERIO" - TNT GRAMATURA 20G EMBALAGEM COM 2 AVENTAIS MANGA LONGA, 2 TOALHAS DE MÃO, 2 CAMPOS DE MESA (70CM X 70CM), 02 PROTETORES DE MANGUEIRA , 1 CAMPO FENESTRADO (1,20M X 70CM) E 1 PROTETOR REFLETOR.</t>
  </si>
  <si>
    <t>LÂMINA DE BISTURI DESCARTÁVEL Nº15 – EM AÇO CONFECCIONADAS EM AÇO CARBONO INOXIDÁVEL, ESTERILIZADAS POR EXPOSIÇÃO A RAIOS GAMA, EMBALADAS INDIVIDUALMENTE EM MATERIAL ALUMINIZADO HERMETICAMENTE FECHADO. ISENTA DE REBARBAS E SINAIS DE OXIDAÇÃO, PONTA AFIADA, PER</t>
  </si>
  <si>
    <t>LÂMINA DE BISTURI DESCARTÁVEL Nº15C – EM AÇO CONFECCIONADAS EM AÇO CARBONO INOXIDÁVEL, ESTERILIZADAS POR EXPOSIÇÃO A RAIOS GAMA, EMBALADAS INDIVIDUALMENTE EM MATERIAL ALUMINIZADO HERMETICAMENTE FECHADO. ISENTA DE REBARBAS E SINAIS DE OXIDAÇÃO, PONTA AFIADA, PE</t>
  </si>
  <si>
    <t>LÂMINA DE BISTURI DESCARTÁVEL Nº22 – EM AÇO CONFECCIONADAS EM AÇO CARBONO INOXIDÁVEL, ESTERILIZADAS POR EXPOSIÇÃO A RAIOS GAMA, EMBALADAS INDIVIDUALMENTE EM MATERIAL ALUMINIZADO HERMETICAMENTE FECHADO. ISENTA DE REBARBAS E SINAIS DE OXIDAÇÃO, PONTA AFIADA, PER</t>
  </si>
  <si>
    <t>LAMINA PARA BISTURI Nº 11 CX C/ 100</t>
  </si>
  <si>
    <t>LANCETAS UNIVERSAL GLICOSE GLICEMIA CAIXA COM 100 UNIDADES</t>
  </si>
  <si>
    <t>LENÇOL DESCARTÁVEL 2,20 X 0,90 PARA MACA: TNT 20G PACOTE COM 10 UNIDADES</t>
  </si>
  <si>
    <t>LUVA CIRURGICA - NUMERO 6,5; COM PO BIO-ABSORVIVEL; EM LATEX NATURAL, TEXTURA UNIFORME, ESPESSURA MEDIA DE 0,17MM, AJUSTE ANATOMICO, CONFORTO AO USO, BOA ELASTICIDADE E RESISTENTE A TRACAO, ALTA SENSIBILIDADE TATIL, ACABAMENTO NO PUNHO EM FRISOS OU BAINHA, NUM</t>
  </si>
  <si>
    <t>LUVA CIRURGICA - NUMERO 7,0; COM PO BIO-ABSORVIVEL; EM LATEX NATURAL, TEXTURA UNIFORME, ESPESSURA MEDIA DE 0,17MM, AJUSTE ANATOMICO, CONFORTO AO USO, BOA ELASTICIDADE E RESISTENTE A TRACAO, ALTA SENSIBILIDADE TATIL, ACABAMENTO NO PUNHO EM FRISOS OU BAINHA, NUM</t>
  </si>
  <si>
    <t>LUVA CIRURGICA - NUMERO 7,5; COM PO BIO-ABSORVIVEL; EM LATEX NATURAL, TEXTURA UNIFORME, ESPESSURA MEDIA DE 0,17MM, AJUSTE ANATOMICO, CONFORTO AO USO, BOA ELAS TICIDADE E RESISTENTE A TRACAO, ALTA SENSIBILIDADE TATIL, ACABAMENTO NO PUNHO EM FRISOS OU BAINHA, NU</t>
  </si>
  <si>
    <t>LUVA CIRURGICA - NUMERO 8,0; COM PO BIO-ABSORVIVEL; EM LATEX NATURAL, TEXTURA UNIFORME, ESPESSURA MEDIA DE 0,17MM, AJUSTE ANATOMICO, CONFORTO AO USO, BOA ELAS TICIDADE E RESISTENTE A TRACAO, ALTA SENSIBILIDADE TATIL,ACABAMENTO NO PUNHO EM FRISOS OU BAINHA, NUM</t>
  </si>
  <si>
    <t>PAPEL GRAU CIRURGICO 10CMX100M (100MMX100M) - EMBALAGEM PARA ESTERILIZAÇÃO EM PAPEL GRAU CIRÚRGICO, GRAMATURA 70GR/M2. POROSIDADE 65% NO MÍNIMO, LISURA NO MÁXIMO 270ML, FILME LAMINADO DE POLIÉSTER E POLIPROPILENO NÃO TÓXICO A 140°C/30MIN, TRANSPARENTE, C/ LATE</t>
  </si>
  <si>
    <t>PAPEL GRAU CIRURGICO 15CMX100M (150MMX100M) - EMBALAGEM PARA ESTERILIZAÇÃO EM PAPEL GRAU CIRÚRGICO, GRAMATURA 70GR/M2. POROSIDADE 65% NO MÍNIMO, LISURA NO MÁXIMO 270ML, FILME LAMINADO DE POLIÉSTER E POLIPROPILENO NÃO TÓXICO A 140°C/30MIN, TRANSPARENTE, C/ LATE</t>
  </si>
  <si>
    <t>PAPEL GRAU CIRURGICO 20CMX100M (200MMX100M) - EMBALAGEM PARA ESTERILIZAÇÃO EM PAPEL GRAU CIRÚRGICO, GRAMATURA 70GR/M2. POROSIDADE 65% NO MÍNIMO, LISURA NO MÁXIMO 270ML, FILME LAMINADO DE POLIÉSTER E POLIPROPILENO NÃO TÓXICO A 140°C/30MIN, TRANSPARENTE, C/ LATE</t>
  </si>
  <si>
    <t>PAPEL GRAU CIRURGICO 25CMX100M (250MMX100M) - EMBALAGEM PARA ESTERILIZAÇÃO EM PAPEL GRAU CIRÚRGICO, GRAMATURA 70GR/M2. POROSIDADE 65% NO MÍNIMO, LISURA NO MÁXIMO 270ML, FILME LAMINADO DE POLIÉSTER E POLIPROPILENO NÃO TÓXICO A 140°C/30MIN, TRANSPARENTE, C/ LATE</t>
  </si>
  <si>
    <t>PAPEL GRAU CIRURGICO 30CMX100M (300MMX100M) - EMBALAGEM PARA ESTERILIZAÇÃO EM PAPEL GRAU CIRÚRGICO, GRAMATURA 70GR/M2. POROSIDADE 65% NO MÍNIMO, LISURA NO MÁXIMO 270ML, FILME LAMINADO DE POLIÉSTER E POLIPROPILENO NÃO TÓXICO A 140°C/30MIN, TRANSPARENTE, C/ LATE</t>
  </si>
  <si>
    <t>PAPEL GRAU CIRURGICO 5CMX100M (50MMX100M) - EMBALAGEM PARA ESTERILIZAÇÃO EM PAPEL GRAU CIRÚRGICO, GRAMATURA 70GR/M2. POROSIDADE 65% NO MÍNIMO, LISURA NO MÁXIMO 270ML, FILME LAMINADO DE POLIÉSTER E POLIPROPILENO NÃO TÓXICO A 140°C/30MIN, TRANSPARENTE, C/ LATERA</t>
  </si>
  <si>
    <t>PAPEL LENÇOL 70CM X50 CM ECO/BRANCO COM VALIDADE DE NO MÍNIMO DOIS ANOS</t>
  </si>
  <si>
    <t>SERINGA DE INSULINA COM AGULHA - 1ML. SERINGA DE INSULINA COM AGULHA - 1ML - A SERINGA DE INSULINA DE 1 ML APRESENTA CILINDRO TRANSPARENTE COM ESCALA NÍTIDA DE MEDIDAS - TRAÇOS E NÚMEROS DE INSCRIÇÕES CLARAS E LEGÍVEIS COM AGULHA TAMANHO 13 MM X 0,45 MM. POSSU</t>
  </si>
  <si>
    <t>SERINGA DESCARTÁVEL 3ML -CONFECCIONADA EM PLÁSTICO TRANSPARENTE, ATÓXICO, APIROGÊNICO. CILINDRO COM ESCALA DE GRADUAÇÃO VISÍVEL, FLANGE COM FORMATO ADEQUADO; ÊMBOLO COM PISTÃO LUBRIFICADO, BICO [LUER LOCK] CENTRAL. ESTÉRIL, EM EMBALAGEM INDIVIDUAL DE PAPEL GRA</t>
  </si>
  <si>
    <t>SERINGA DESCARTAVEL ROSQUEÁVEL 10ML - COM AGULHA 25X7; EMBALAGEM ESTERIL EM PAPEL GRAU CIRURGICO COM ABERTURA EM PETALA</t>
  </si>
  <si>
    <t>SERINGA DESCARTAVEL ROSQUEÁVEL 20ML - EM PLASTICO; CAPACIDADE DE 20ML - COM AGULHA 40X12; EMBALAGEM ESTERIL EM PAPEL GRAU CIRURGICO COM ABERTURA EM PETALA</t>
  </si>
  <si>
    <t>SERINGA DESCARTAVEL ROSQUEÁVEL 5ML - EMBALAGEM ESTERIL EM PAPEL GRAU CIRURGICO COM ABERTURA EM PETALA</t>
  </si>
  <si>
    <t>SONDA ESTOMACAL NASOGÁSTRICA Nº 12: LONGA DESCARTÁVEL, CONFECCIONADA EM PVC ATÓXICO, FLEXÍVEL, TRANSPARENTE, COM BATOC, SILICONIZADA, COM ORIFÍCIOS LATERAIS, CONECTOR UNIVERSAL. ESTÉRIL EM EMBALAGEM INDIVIDUAL QUE PERMITA ABERTURA ASSÉPTICA. .</t>
  </si>
  <si>
    <t>SONDA ESTOMACAL NASOGÁSTRICA Nº 14: LONGA DESCARTÁVEL, CONFECCIONADA EM PVC ATÓXICO, FLEXÍVEL, TRANSPARENTE, COM BATOC, SILICONIZADA, COM ORIFÍCIOS LATERAIS, CONECTOR UNIVERSAL. ESTÉRIL EM EMBALAGEM INDIVIDUAL QUE PERMITA ABERTURA ASSÉPTICA. .</t>
  </si>
  <si>
    <t>SONDA URETRAL DESCARTAVEL Nº 06: CONFECCIONADA EM PVC ATÓXICO E FLEXÍVEL, POSSUI CONECTOR C/ TAMPA E DISPÕEM DE ORIFÍCIOS CUIDADOSAMENTE ELABORADOS PARA NÃO CAUSAR DESCONFORTO AO PACIENTE. EMBALADA EM PAPEL GRAU CIRÚRGICO E ESTERILIZADA A GÁS OXIDO DE ETILENO.</t>
  </si>
  <si>
    <t>SONDA URETRAL DESCARTAVEL Nº 08: CONFECCIONADA EM PVC ATÓXICO E FLEXÍVEL, POSSUI CONECTOR C/ TAMPA E DISPÕEM DE ORIFÍCIOS CUIDADOSAMENTE ELABORADOS PARA NÃO CAUSAR DESCONFORTO AO PACIENTE. EMBALADA EM PAPEL GRAU CIRÚRGICO E ESTERILIZADA A GÁS OXIDO DE ETILENO.</t>
  </si>
  <si>
    <t>SONDA URETRAL DESCARTAVEL Nº 10: CONFECCIONADA EM PVC ATÓXICO E FLEXÍVEL, POSSUI CONECTOR C/ TAMPA E DISPÕEM DE ORIFÍCIOS CUIDADOSAMENTE ELABORADOS PARA NÃO CAUSAR DESCONFORTO AO PACIENTE. EMBALADA EM PAPEL GRAU CIRÚRGICO E ESTERILIZADA A GÁS OXIDO DE ETILENO.</t>
  </si>
  <si>
    <t>SONDA URETRAL DESCARTAVEL Nº 12: CONFECCIONADA EM PVC ATÓXICO E FLEXÍVEL, POSSUI CONECTOR C/ TAMPA E DISPÕEM DE ORIFÍCIOS CUIDADOSAMENTE ELABORADOS PARA NÃO CAUSAR DESCONFORTO AO PACIENTE. EMBALADA EM PAPEL GRAU CIRÚRGICO E ESTERILIZADA A GÁS OXIDO DE ETILENO.</t>
  </si>
  <si>
    <t>SONDA URETRAL DESCARTAVEL Nº 14: CONFECCIONADA EM PVC ATÓXICO E FLEXÍVEL, POSSUI CONECTOR C/ TAMPA E DISPÕEM DE ORIFÍCIOS CUIDADOSAMENTE ELABORADOS PARA NÃO CAUSAR DESCONFORTO AO PACIENTE. EMBALADA EM PAPEL GRAU CIRÚRGICO E ESTERILIZADA A GÁS OXIDO DE ETILENO.</t>
  </si>
  <si>
    <t>SONDA URETRAL DESCARTAVEL Nº 16: CONFECCIONADA EM PVC ATÓXICO E FLEXÍVEL, POSSUI CONECTOR C/ TAMPA E DISPÕEM DE ORIFÍCIOS CUIDADOSAMENTE ELABORADOS PARA NÃO CAUSAR DESCONFORTO AO PACIENTE. EMBALADA EM PAPEL GRAU CIRÚRGICO E ESTERILIZADA A GÁS OXIDO DE ETILENO.</t>
  </si>
  <si>
    <t>SONDA URETRAL DESCARTAVEL Nº 18: CONFECCIONADA EM PVC ATÓXICO E FLEXÍVEL, POSSUI CONECTOR C/ TAMPA E DISPÕEM DE ORIFÍCIOS CUIDADOSAMENTE ELABORADOS PARA NÃO CAUSAR DESCONFORTO AO PACIENTE. EMBALADA EM PAPEL GRAU CIRÚRGICO E ESTERILIZADA A GÁS OXIDO DE ETILENO.</t>
  </si>
  <si>
    <t>TESTE "BOWIE &amp; DICK" - PACOTE PRONTO - DESCARTÁVEL, PADRÃO AAMI, CLASSE 2 CONFORME NORMA ANSI/AAMI/ISO 11.140-1, PARA VERIFICAÇÃO DA EFICIÊNCIA DE AUTOCLAVES PRÉ-VÁCUO QUE UTILIZAM BOMBA DE VÁCUO PARA REMOÇÃO DO AR DO INTERIOR DA CÂMARA INTERNA DO ESTERILIZADO</t>
  </si>
  <si>
    <t>TOUCA DESCÁRTAVEL COM ELÁSTICO FABRICADA EM TECIDO A BASE DE FIBRAS 100% POLIPROPILENO, GRAMATURA MÍNIMA 30G, HIPOALERGÊNICAS, POSSUEM ELÁSTICO REVESTIDO EM TODO O PERÍMETRO DA TOUCA, CAPACIDADE DE VENTILAÇÃO, MELHOR ACABAMENTO E AJUSTÁVEL A QUALQUER TAMANHO D</t>
  </si>
  <si>
    <t>UMIDIFICADOR FRASCO 250 ML - 02 OXIGÊNIO</t>
  </si>
  <si>
    <t xml:space="preserve">ESPÉCULO VAGINAL, NÃO LUBRIFICADO, DESCARTÁVEL, ESTÉRIL, FABRICADO EM POLIESTIRENO CRISTAL NO TAMANHO ¿P¿,VALVAS ANATÔMICAS DE CONTORNOS LISOS E REGULARES, SEMELHANTES AO FORMATO DOS FÓRNICES VAGINAIS. DISPOSITIVO DE ABERTURA (PARAFUSO BORBOLETA) FABRICADO EM </t>
  </si>
  <si>
    <t xml:space="preserve">ESPÉCULO VAGINAL, NÃO LUBRIFICADO, DESCARTÁVEL, ESTÉRIL, FABRICADO EM POLIESTIRENO CRISTAL NO TAMANHO ¿M¿,VALVAS ANATÔMICAS DE CONTORNOS LISOS E REGULARES, SEMELHANTES AO FORMATO DOS FÓRNICES VAGINAIS. DISPOSITIVO DE ABERTURA (PARAFUSO BORBOLETA) FABRICADO EM </t>
  </si>
  <si>
    <t xml:space="preserve">ESPÉCULO VAGINAL, NÃO LUBRIFICADO, DESCARTÁVEL, ESTÉRIL, FABRICADO EM POLIESTIRENO CRISTAL NO TAMANHO ¿G¿,VALVAS ANATÔMICAS DE CONTORNOS LISOS E REGULARES, SEMELHANTES AO FORMATO DOS FÓRNICES VAGINAIS. DISPOSITIVO DE ABERTURA (PARAFUSO BORBOLETA) FABRICADO EM </t>
  </si>
  <si>
    <t>Fixador de sonda nasogástrica. Dispositivo para fixação de sonda nasogástrica e nasoenteral (5 a 18 fr), composto por resina sintética, tecido revestido de plástico e adesivo hipoalergênico em forma de borboleta, que se adapta na narina, com pinça única em pên</t>
  </si>
  <si>
    <t>PROTETOR OCULAR PARA FOTOTERAPIA, USO ÚNICO, TAMANHO M COMPOSTO POR UMA BANDA DE TECIDO DUPLO EM ALGODÃO ATÓXICO, HIPOALÉRGICO E ATRAUMÁTICO, ANATÔMICO COM VELCRO NA EXTREMIDADE PARA FIXAÇÃO. POSSUI BLACKOUT IMPEDIMDO A PASSAGEM DE LUZ. LIVRE DE LÁTEX. (NA)</t>
  </si>
  <si>
    <t>PROTETOR OCULAR PARA FOTOTERAPIA, USO ÚNICO, TAMANHO P COMPOSTO POR UMA BANDA DE TECIDO DUPLO EM ALGODÃO ATÓXICO, HIPOALÉRGICO E ATRAUMÁTICO, ANATÔMICO COM VELCRO NA EXTREMIDADE PARA FIXAÇÃO. POSSUI BLACKOUT IMPEDIMDO A PASSAGEM DE LUZ. LIVRE DE LÁTEX. (NA)</t>
  </si>
  <si>
    <t>PROTETOR OCULAR PARA FOTOTERAPIA, USO ÚNICO, TAMANHO PP COMPOSTO POR UMA BANDA DE TECIDO DUPLO EM ALGODÃO ATÓXICO, HIPOALÉRGICO E ATRAUMÁTICO, ANATÔMICO COM VELCRO NA EXTREMIDADE PARA FIXAÇÃO. POSSUI BLACKOUT IMPEDIMDO A PASSAGEM DE LUZ. LIVRE DE LÁTEX. (NA)</t>
  </si>
  <si>
    <t>SONDA ESTOMACAL (NASOGÁSTRICA) CURTA Nº 08, ESTÉRIL, APIROGÊNICO, DESCARTÁVEL, CONFECCIONADA EM PVC ATÓXICO, FLEXÍVEL, TRANSPARENTE, COM BATOQUE, ATRAUMÁTICA, SILICONIZADA, COM ORIFÍCIOS LATERAIS, CONECTOR UNIVERSAL, ESTÉRIL, EMBALAGEM INDIVIDUAL. (NA)</t>
  </si>
  <si>
    <t>AGULHA HIPODÉRMICA 13X0,45MM, CÂNULA DE AÇO INOXIDÁVEL, PAREDE FINA, SILICONADA, BISEL TRIFACETADO, COM DISPOSITIVO DE SEGURANÇA, CANHÃO EM POLIURETANO E PROTETOR DE ENCAIXE FIRME. ESTÉRIL, DESCARTÁVEL. EMBALAGEM INDIVIDUAL EM PAPEL GRAU CIRÚRGICO, ABERTURA AS</t>
  </si>
  <si>
    <t>LANCETA PARA REALIZAÇÃO DE PUNÇÃO DIGITAL. (LANCETA PARA REALIZAÇÃO DE PUNÇÃO DIGITAL, PROFUNDIDADE DE 1,5 MM APROXIMADAMENTE. COM OBTENÇÃO DE VOLUME A PARTIR DE 0,5 MICROLITROS, TOTALMENTE DESCARTÁVEL, COM SISTEMA DE GATILHO EM CADA UNIDADE, OU SEJA, SEM A NE</t>
  </si>
  <si>
    <t>AGULHA GENGIVAL 27G LONGA, CORPO EM AÇO INOX SILICONIZADO, BISEL TRIFACETADO, ADAPTÁVEL À SERINGA CARPULE, PROTETOR PLÁSTICO, ESTÉRIL, DESCARTÁVEL, EMBALAGEM INDIVIDUAL. EMBALAGEM CONTENDO DADOS DE IDENTIFICAÇÃO, PROCEDÊNCIA, DATA DE FABRICAÇÃO, TIPO DE ESTERI</t>
  </si>
  <si>
    <t>AGULHA GENGIVAL 30G CURTA, CORPO EM AÇO INOX SILICONIZADO, BISEL TRIFACETADO, ADAPTÁVEL À SERINGA CARPULE, PROTETOR PLÁSTICO, ESTÉRIL, DESCARTÁVEL, EMBALAGEM INDIVIDUAL. EMBALAGEM CONTENDO DADOS DE IDENTIFICAÇÃO, PROCEDÊNCIA, DATA DE FABRICAÇÃO, TIPO DE ESTERI</t>
  </si>
  <si>
    <t>AGULHA HIPODÉRMICA DESCARTÁVEL (25MM X 0,7MM), ESTÉRIL, COM DISPOSITIVO DE SEGURANÇA, CONSTITUÍDA EM AÇO INOXIDÁVEL, COM BISEL TRIFACETADO E PAREDE FINA SILICONIZADA, COM CANHÃO COLORIDO PARA FACILITAR A IDENTIFICAÇÃO DO CALIBRE. INDIVIDUALMENTE EMBALADA DE AC</t>
  </si>
  <si>
    <t>AGULHA HIPODÉRMICA DESCARTÁVEL (30MM X 0,8MM), ESTÉRIL, COM DISPOSITIVO DE SEGURANÇA, CONSTITUÍDA EM AÇO INOXIDÁVEL, COM BISEL TRIFACETADO E PAREDE FINA SILICONIZADA, COM CANHÃO COLORIDO PARA FACILITAR A IDENTIFICAÇÃO DO CALIBRE. INDIVIDUALMENTE EMBALADA DE AC</t>
  </si>
  <si>
    <t>AGULHA HIPODÉRMICA DESCARTÁVEL 40MM X 1,2MM PONTA ROMBA. (AGULHA HIPODÉRMICA DESCARTÁVEL 40MM X 1,2MM PONTA ROMBA, ESTÉRIL, CONSTITUÍDA EM AÇO INOXIDÁVEL, COM BISEL SIMPLES, PONTA ROMBA E PAREDE FINA SILICONIZADA, COM CANHÃO COLORIDO PARA FACILITAR A IDENTIFIC</t>
  </si>
  <si>
    <t>SERINGA DESCARTÁVEL 10ML, BICO LUER LOCK, SEM AGULHA. CONFECCIONADA EM PLÁSTICO TRANSPARENTE, ATÓXICO, APIROGÊNICO, LIVRE DE PARTÍCULAS, MANCHAS E MATÉRIA ESTRANHA. COMPOSTO DE: CILINDRO COM ANEL DE RETENÇÃO, LINHAS DE GRADUAÇÃO VISÍVEIS E DE ESPESSURA UNIFORM</t>
  </si>
  <si>
    <t>SERINGA DESCARTÁVEL 10ML, BICO LUER SLIP, SEM AGULHA . CONFECCIONADA EM PLÁSTICO TRANSPARENTE, ATÓXICO, APIROGÊNICO, LIVRE DE PARTÍCULAS, MANCHAS E MATÉRIA ESTRANHA. COMPOSTO DE: CILINDRO COM ANEL DE RETENÇÃO, LINHAS DE GRADUAÇÃO VISÍVEIS E DE ESPESSURA UNIFOR</t>
  </si>
  <si>
    <t xml:space="preserve">SERINGA DESCARTÁVEL 20ML COM BICO LUER SLIP SEM AGULHA, ESTÉRIL, DESCARTÁVEL, DE USO ÚNICO PARA USO GERAL EM PROCEDIMENTOS TERAPÊUTICOS. SERINGA CONFECCIONADA EM POLIPROPILENO TRANSPARENTE, ATÓXICO, APIROGÊNICO, LIVRE DE PARTÍCULAS, MANCHAS E MATÉRIA ESTRANHA </t>
  </si>
  <si>
    <t>SERINGA DESCARTÁVEL 3ML, BICO LUER LOCK, SEM AGULHA. CONFECCIONADA EM PLÁSTICO TRANSPARENTE, ATÓXICO, APIROGÊNICO, LIVRE DE PARTÍCULAS, MANCHAS E MATÉRIA ESTRANHA. COMPOSTO DE: CILINDRO COM ANEL DE RETENÇÃO, LINHAS DE GRADUAÇÃO VISÍVEIS E DE ESPESSURA UNIFORME</t>
  </si>
  <si>
    <t>SERINGA DESCARTÁVEL 5ML, BICO LUER LOCK, SEM AGULHA. CONFECCIONADA EM PLÁSTICO TRANSPARENTE, ATÓXICO, APIROGÊNICO, LIVRE DE PARTÍCULAS, MANCHAS E MATÉRIA ESTRANHA. COMPOSTO DE: CILINDRO COM ANEL DE RETENÇÃO, LINHAS DE GRADUAÇÃO VISÍVEIS E DE ESPESSURA UNIFORME</t>
  </si>
  <si>
    <t>Seringa descartável para insulinoterapia 1mL sem agulha.Estéril. Confeccionada em plástico transparente, atóxico, apirogênico, livre de partículas, de manchas e matéria estranha. Constituída de cilindro, anel de retenção, linhas de graduação visíveis e de espe</t>
  </si>
  <si>
    <t>SERINGA DESCARTÁVEL PARA INSULINA COM DISPOSITIVO DE SEGURANÇA (COM ESPAÇO MORTO ZERO) 1/2 ML OU 50UI, AGULHA 8 X 0,30 GA ¿ AGULHA 0,30MM DE ESPESSURA POR 8MM DE COMPRIMENTO, ESCALA DE GRADUAÇÃO DE 1 EM 1 UNIDADE ESTÉRIL. CONFECCIONADA EM PLÁSTICO TRANSPARENTE</t>
  </si>
  <si>
    <t>Agulha Hipodérmica material: aço inoxidável siliconizado, dimensão: 25 g x 1", tipo ponta: bisel curto trifacetado, tipo conexão: conector luer lock em plástico, tipo fixação: protetor plástico, característica adicional: com sistema segurança segundo nr/32, ti</t>
  </si>
  <si>
    <t>Lanceta material lâmina: aço inoxidável,ponta afiada,trifacetada, uso: descartável, características adicionais: estéril, embalagem individual, tipo: ultra fina</t>
  </si>
  <si>
    <t>Agulha Odontológica material: polipropileno e aço inoxidável, aplicação: hipodérmica / endodontia, indicação: irrigação, dimensão: cerca de 30 g x 17 mm, tipo ponta*: sem bisel, ponta romba, tipo cânula: cânula angulada, adicional: c/ cursor, tipo conexão: con</t>
  </si>
  <si>
    <t>Agulha Hipodérmica material: aço inoxidável siliconizado, dimensão: 25 g x 1 1/2", tipo ponta: bisel curto trifacetado, tipo conexão: conector luer lock em plástico, tipo fixação: protetor plástico, característica adicional: com sistema segurança segundo nr/32</t>
  </si>
  <si>
    <t xml:space="preserve">Agulha Hipodérmica material: aço inoxidável siliconizado, dimensão: 30 g x 1/2", tipo ponta: bisel curto trifacetado, tipo conexão: conector luer lock em plástico, tipo fixação: protetor plástico, característica adicional: com sistema segurança segundo nr/32, </t>
  </si>
  <si>
    <t>Dreno Cirúrgico modelo: de penrose, material: borracha, dimensões: cerca de 6 mm x 30, tipo uso: estéril, descartável, embalagem: embalagem individual</t>
  </si>
  <si>
    <t>Dreno Cirúrgico modelo: de penrose, material: borracha, dimensões: cerca de 8 mm x 30, tipo uso: estéril, descartável, embalagem: embalagem individual</t>
  </si>
  <si>
    <t>Dreno Cirúrgico modelo: tubular, material: silicone, calibre: 10, componente: introdutor em aço inoxidável, componente adicional: c/ reservatório graduado - pressão negativa, volume: cerca de 600, conector universal: c/ conector duplo, componente i: c/ válvula</t>
  </si>
  <si>
    <t>Espéculo Uso Médico aplicação: vaginal, modelo: collin, tamanho: pequeno, travamento: c/ trava tipo rosca, material: aço inoxidável, esterilidade: esterilizável</t>
  </si>
  <si>
    <t>Espéculo Uso Médico aplicação: vaginal, modelo: collin, tamanho: médio, travamento: c/ trava tipo rosca, material: aço inoxidável, esterilidade: esterilizável</t>
  </si>
  <si>
    <t>Espéculo Uso Médico aplicação: vaginal, modelo: collin, tamanho: grande, travamento: c/ trava tipo rosca, material: aço inoxidável, esterilidade: esterilizável</t>
  </si>
  <si>
    <t>Protetor Ocular aplicação: p/ fototerapia neonatal, formato: tipo óculos, modelo: binocular, material: película hipoalergênica, tamanho: médio, componente: borda c/ fixação adesiva, esterilidade: uso único, embalagem: embalagem individual</t>
  </si>
  <si>
    <t>Protetor Ocular aplicação: p/ fototerapia neonatal, formato: tipo óculos, modelo: binocular, material: película hipoalergênica, tamanho: pequeno, componente: borda c/ fixação adesiva, esterilidade: uso único, embalagem: embalagem individual</t>
  </si>
  <si>
    <t>Sonda Trato Digestivo aplicação: oro ou nasogástrica, modelo: levine, material: pvc, calibre: nº 8, tamanho: curta, comprimento: cerca 50, conector: conector padrão c/ tampa, componentes: ponta distal fechada, c/ orifícios laterais, esterilidade: estéril, desc</t>
  </si>
  <si>
    <t>Curativo / Cobertura aplicação: p/ ferida, aspecto físico: frasco c/ gel, composição: à base de hidrogel, componente 4: c/ phmb, esterilidade: estéril Havendo divergências entre as especificações do edital e seus anexos e as do sistema, prevalecerão as do Edit</t>
  </si>
  <si>
    <t>Lanceta material lâmina: aço inoxidável,ponta afiada,trifacetada, uso: descartável, características adicionais: estéril, embalagem individual Havendo divergências entre as especificações do edital e seus anexos e as do sistema, prevalecerão as do Edital em tod</t>
  </si>
  <si>
    <t>LANCETA, ACCU CHEK FASTCLIX, CAIXA 102.0 UNIDADES</t>
  </si>
  <si>
    <t>AGULHA DESCARTAVEL, PARA CANETA DE INSULINA, 29G X 12,7MM, EMBALAGEM 1.0 UNIDADE</t>
  </si>
  <si>
    <t xml:space="preserve">Equipo P/ Bomba De Infusão Equipo P/ Bomba De Infusão, Material:Sem Pvc E Dehp, Âmbar, P/ Solução Fotossensível, Material Adicional:Com Segmento De Silicone, Câmara Gotejamento:Macrogotas, Flexível, C/ Respiro E Filtro, Regulador De Fluxo Manual:Pinça Rolete, </t>
  </si>
  <si>
    <t>Equipo P/ Bomba De Infusão Equipo P/ Bomba De Infusão, Material:Sem Pvc E Dehp, Transparente, Material Adicional:Com Segmento De Silicone, Câmara Gotejamento:Macrogotas, Flexível, C/ Respiro, Regulador De Fluxo Manual:Pinça Rolete, Comprimento Total Do Tubo:Ac</t>
  </si>
  <si>
    <t xml:space="preserve">Equipo De Transfusão De Hemocomponentes Equipo De Transfusão De Hemocomponentes, Material:Pvc Transparente, Tipo:Gravitacional, 1 Via, Câmara Gotejamento:Macrogotas, Câmara Dupla, C/ Filtro, Regulador De Fluxo Manual:Pinça Rolete, Comprimento Tubo:Até 180 Cm, </t>
  </si>
  <si>
    <t>Torneirinha Torneirinha, Vias:3 Vias, Material*:Polímero, Tipo Conector:Luer Lock / Slip, Pressão Máxima:Alta Pressão Até 1200 PSI, Tipo Uso:Estéril, Uso Único TORNEIRA 3 VIAS QUE CONECTA E CONTROLA O FLUXO DE SOLUÇÕES DE 3 LINHAS DISTINTAS. CORPO TRANSPARENTE</t>
  </si>
  <si>
    <t>Campo Cirúrgico Descartável material: não tecido 100% polipropileno - tipo sms, propriedade: hidrorepelente, reforço: c/ reforço absorvente, fixação: adesiva, dimensões: cerca de 150 x 200, cor: c/ cor, esterilidade: estéril</t>
  </si>
  <si>
    <t>Campo Cirúrgico Descartável modelo: mesa auxiliar, material: não tecido polipropileno sms c/ lâmina polietileno, propriedade: hidrorepelente e impermeável, reforço: c/ reforço absorvente, dimensões: cerca de 100 x 150, cor: c/ cor, esterilidade: estéril</t>
  </si>
  <si>
    <t>Campo Cirúrgico Descartável modelo: mesa de mayo, fronha, material: não tecido polipropileno sms c/ lâmina polietileno, propriedade: hidrorepelente e impermeável, reforço: c/ reforço absorvente, dimensões: cerca de 60 x 150, cor: c/ cor, esterilidade: estéril</t>
  </si>
  <si>
    <t>Campo Cirúrgico Descartável modelo: mesa auxiliar, material: não tecido polipropileno sms c/ lâmina polietileno, propriedade: hidrorepelente e impermeável, reforço: s/ reforço, dimensões: cerca de 100 x 200, cor: c/ cor, esterilidade: estéril</t>
  </si>
  <si>
    <t>Agulha Hipodérmica material: aço inoxidável siliconizado, dimensão: 21 g x 1 1/4", tipo ponta: bisel curto trifacetado, tipo conexão: conector luer lock em plástico, tipo fixação: protetor plástico, característica adicional: com sistema segurança segundo nr/32</t>
  </si>
  <si>
    <t>Agulha Hipodérmica material: aço inoxidável siliconizado, dimensão: 21 g x 1 1/2", tipo ponta: bisel curto trifacetado, tipo conexão: conector luer lock ou slip em plástico, tipo fixação: protetor plástico, tipo uso: estéril, descartável, embalagem individual</t>
  </si>
  <si>
    <t>Agulha Hipodérmica material: aço inoxidável siliconizado, dimensão: 16 g x 1 1/2", tipo ponta: bisel curto trifacetado, tipo conexão: conector luer lock ou slip em plástico, tipo fixação: protetor plástico, tipo uso: estéril, descartável, embalagem individual</t>
  </si>
  <si>
    <t>Agulha Hipodérmica material: aço inoxidável siliconizado, dimensão: 18 g x 1 1/2", tipo ponta: bisel curto trifacetado, tipo conexão: conector luer lock ou slip em plástico, tipo fixação: protetor plástico, tipo uso: estéril, descartável, embalagem individual</t>
  </si>
  <si>
    <t>Agulha Hipodérmica material: aço inoxidável siliconizado, dimensão: 24 g x 1 1/2", tipo ponta: bisel curto trifacetado, tipo conexão: conector luer lock em plástico, tipo fixação: protetor plástico, característica adicional: com sistema segurança segundo nr/32</t>
  </si>
  <si>
    <t>Campo Cirúrgico Descartável modelo: perneira, material: não tecido 100% polipropileno - tipo sms, propriedade: hidrorepelente, reforço: s/ reforço, fixação: adesiva, dimensões: cerca de 80 x 125, cor: c/ cor, esterilidade: estéril</t>
  </si>
  <si>
    <t>Cânula Orofaríngea Guedel material*: polímero, tamanho*: tamanho nº 1, esterelidade*: estéril, embalagem individual*: embalagem individual</t>
  </si>
  <si>
    <t>Cateter Aspiração Traqueal material: pvc atóxico flexível, espessura: nº 10, características adicionais: ponta atraumática, orifícios distais lateralizados, tipo embalagem: estéril, embalagem individual, tipo uso: descartável</t>
  </si>
  <si>
    <t>Cateter Aspiração Traqueal material: pvc atóxico flexível, espessura: nº 16, características adicionais: ponta atraumática, orifícios distais lateralizados, tipo embalagem: estéril, embalagem individual, tipo uso: descartável</t>
  </si>
  <si>
    <t>Cateter Nasal Para Oxigênio modelo: tipo óculos, aplicação: p/ oxigenoterapia, material: tubo plástico c/ pronga de silicone, conector: compatível c/ fonte o2, tamanho: infantil, comprimento: cerca de 2,5 m, esterilidade: estéril, uso único</t>
  </si>
  <si>
    <t>Cateter Nasal Para Oxigênio modelo: tipo óculos, aplicação: p/ oxigenoterapia, material: tubo plástico c/ pronga de silicone, conector: compatível c/ fonte o2, tamanho: adulto, comprimento: cerca de 2,5 m, esterilidade: estéril, uso único</t>
  </si>
  <si>
    <t>Extensor Infusão Vascular vias: 2 vias, material: polímero, comprimento: cerca 20, calibre: cerca 12, tipo conexão: luer lock / slip, pressão máxima: até cerca de 100, componente adicional: c/ clamp, tipo uso: estéril, uso único</t>
  </si>
  <si>
    <t xml:space="preserve">Equipo P/ Bomba De Infusão material: pvc transparente, material adicional: sem segmento de silicone, volume bureta: bureta cerca de 150, características bureta: graduada, c/ alça, respiro, injetor e filtro, câmara gotejamento: macrogotas, flexível, c/ filtro, </t>
  </si>
  <si>
    <t>Espéculo Uso Médico aplicação: vaginal, modelo: collin, tamanho: médio, adicional 1: c/ via p/ iluminar cavidade, travamento: c/ trava tipo rosca, material: polímero, esterilidade: não estéril, uso único, embalagem: embalagem individual</t>
  </si>
  <si>
    <t>Espéculo Uso Médico aplicação: vaginal, modelo: collin, tamanho: grande, adicional 1: c/ via p/ iluminar cavidade, travamento: c/ trava tipo rosca, material: polímero, esterilidade: estéril, uso único, embalagem: embalagem individual</t>
  </si>
  <si>
    <t>Espéculo Uso Médico aplicação: vaginal, modelo: collin, tamanho: pequeno, travamento: c/ trava tipo rosca, material: polímero, esterilidade: estéril, uso único, embalagem: embalagem individual</t>
  </si>
  <si>
    <t>Fio De Sutura Agulhado material fio: nylon / poliamida preto, modelo fio: monofilamentar, diâmetro fio: 5-0, comprimento fio: cerca de 45, tipo agulha: agulha 3/8 círculo, modelo agulha: cortante reversa / invertida, comprimento agulha: cerca de 20, esterilida</t>
  </si>
  <si>
    <t>Fio De Sutura Agulhado material fio: nylon / poliamida azul, modelo fio: monofilamentar, diâmetro fio: 4-0, comprimento fio: cerca de 60, tipo agulha: agulha 1/2 círculo, modelo agulha: cortante reversa / invertida, comprimento agulha: cerca de 14, esterilidad</t>
  </si>
  <si>
    <t>Fio De Sutura Agulhado material fio: poliglactina violeta, modelo fio: multifilamentar, diâmetro fio: 8-0, comprimento fio: cerca de 20, tipo agulha: 2 agulhas 3/8 círculo nas extremidades, modelo agulha: espatulada, comprimento agulha: cerca de 6, esterilidad</t>
  </si>
  <si>
    <t>Fita Adesiva - Uso Cutâneo tipo: microporosa, material dorso: à base de tecido não tecido, tipo de adesivo: sintético, hipoalergênico, largura da fita: cerca de 25 mm, cor: c/ cor, apresentação: rolo c/ capa protetora, esterilidade: não estéril</t>
  </si>
  <si>
    <t>Fita Adesiva - Uso Cutâneo tipo: microporosa, material dorso: à base de tecido não tecido, tipo de adesivo: sintético, hipoalergênico, largura da fita: cerca de 50 mm, cor: c/ cor, apresentação: rolo c/ capa protetora, esterilidade: não estéril</t>
  </si>
  <si>
    <t>Reservatório P/ Coleta De Amostra Biológica modelo: frasco, aplicação: universal, material: polímero rígido transparente, graduado, volume: cerca de 50 ml, fechamento: tampa plástica, esterilidade: estéril, uso único</t>
  </si>
  <si>
    <t>Garrote material*: faixa elástica, componente adicional: c/ sistema de trava em plástico, tamanho: tamanho adulto, tipo uso: reutilizável</t>
  </si>
  <si>
    <t>Avental Cirúrgico - Paramentação esterilidade: estéril, uso único, material: não tecido 100% polipropileno - tipo sms, tipo de barreira: c/ barreira bacteriana e viral, propriedade: hidrorepelente, gramatura: cerca de 60, modelo manga: longa c/ punho em malha,</t>
  </si>
  <si>
    <t>Luva Cirúrgica material: borracha sintética, superfície: superfície texturizada, formato: anatômico, pó: sem pó, cor: c/ cor, tamanho: nº 6,5, apresentação: em par, esterilidade: estéril, uso único, embalagem: embalagem individual</t>
  </si>
  <si>
    <t>Luva Cirúrgica material: borracha natural - látex, superfície: superfície texturizada, formato: anatômico, pó: com pó bioabsorvível, cor: c/ cor, tamanho: nº 8,5, apresentação: em par, esterilidade: estéril, uso único, embalagem: embalagem individual</t>
  </si>
  <si>
    <t>Luva Cirúrgica material: borracha sintética, superfície: superfície texturizada, formato: anatômico, pó: sem pó, cor: c/ cor, tamanho: nº 8,5, apresentação: em par, esterilidade: estéril, uso único, embalagem: embalagem individual</t>
  </si>
  <si>
    <t>Cateter Aspiração Traqueal material: pvc atóxico flexível, tipo lubrificação: siliconizada, espessura: nº 10, acessórios: com válvula intermitente, características adicionais: ponta atraumática, orifícios distais lateralizados, tipo embalagem: estéril, embalag</t>
  </si>
  <si>
    <t>Sistema Fechado Aspiração Traqueal aplicação: p/ traqueostomia, tamanho: 16 fr, tipo sonda: sonda graduada e protegida, conector: conectores padrão, vias: via irrigação antirrefluxo, válvula sucção: válvula sucção c/ tampa e trava de segurança, esterilidade: e</t>
  </si>
  <si>
    <t>Sonda Trato Urinário modelo: foley, material: silicone, calibre: 10, vias: 2 vias, conector: conectores padrão, volume: c/ balão cerca 5, tipo ponta: ponta distal cilíndrica fechada, componentes: c/ orifícios laterais, esterilidade: estéril, descartável, embal</t>
  </si>
  <si>
    <t>Sonda Trato Urinário modelo: foley, material: silicone, calibre: 14, vias: 2 vias, conector: conectores padrão, volume: c/ balão cerca 5, tipo ponta: ponta distal cilíndrica fechada, componentes: c/ orifícios laterais, esterilidade: estéril, descartável, embal</t>
  </si>
  <si>
    <t>Sonda Trato Urinário modelo: foley, material: silicone, calibre: 16, vias: 2 vias, conector: conectores padrão, volume: c/ balão cerca 5, tipo ponta: ponta distal cilíndrica fechada, componentes: c/ orifícios laterais, esterilidade: estéril, descartável, embal</t>
  </si>
  <si>
    <t>Sonda Trato Urinário modelo: foley, material: silicone, calibre: 20, vias: 2 vias, conector: conectores padrão, volume: c/ balão cerca 30, tipo ponta: ponta distal cilíndrica fechada, componentes: c/ orifícios laterais, esterilidade: estéril, descartável, emba</t>
  </si>
  <si>
    <t>Sonda Trato Urinário modelo: foley, material: silicone, calibre: 22, vias: 2 vias, conector: conectores padrão, volume: c/ balão cerca 30, tipo ponta: ponta distal cilíndrica fechada, componentes: c/ orifícios laterais, esterilidade: estéril, descartável, emba</t>
  </si>
  <si>
    <t>Sonda Trato Urinário modelo: foley, material: silicone, calibre: 24, vias: 3 vias, conector: conectores padrão, volume: c/ balão cerca 30, tipo ponta: ponta distal cilíndrica fechada, componentes: c/ orifícios laterais, esterilidade: estéril, descartável, emba</t>
  </si>
  <si>
    <t>Sonda Trato Urinário modelo: foley, material: silicone, calibre: 8, vias: 2 vias, conector: conectores padrão, volume: c/ balão cerca 5, tipo ponta: ponta distal cilíndrica fechada, componentes: c/ orifícios laterais, esterilidade: estéril, descartável, embala</t>
  </si>
  <si>
    <t>Touca Hospitalar material*: não tecido 100% polipropileno, modelo: com elástico em toda volta, cor*: com cor, gramatura*: cerca de 20, tamanho*: único, tipo uso*: descartável, característica adicional 01: hipoalergênica, atóxica, inodora, unissex</t>
  </si>
  <si>
    <t>Tubo Supraglótico tipo: cânula nasofaríngea, material*: pvc flexível, tamanho*: 6,0, esterilidade*: estéril, uso único</t>
  </si>
  <si>
    <t>Tubo Supraglótico tipo: cânula nasofaríngea, material*: pvc flexível, tamanho*: 7,0, esterilidade*: estéril, uso único</t>
  </si>
  <si>
    <t>Tubo Supraglótico tipo: cânula nasofaríngea, material*: pvc flexível, tamanho*: 8,0, esterilidade*: estéril, uso único</t>
  </si>
  <si>
    <t>Tubo Supraglótico tipo: máscara laríngea, material*: pvc, formato: em "l", vias: via p/ acesso gástrico, tamanho*: nº 2, componente 1: c/ linha de referência, conector: c/ conector padrão, adicionais: c/ proteção contra mordedura, esterilidade*: estéril, uso ú</t>
  </si>
  <si>
    <t>Tubo Supraglótico tipo: máscara laríngea, material*: pvc, formato: em "l", vias: via p/ acesso gástrico, tamanho*: nº 2,5, componente 1: c/ linha de referência, conector: c/ conector padrão, adicionais: c/ proteção contra mordedura, esterilidade*: estéril, uso</t>
  </si>
  <si>
    <t>Tubo Supraglótico tipo: máscara laríngea, material*: pvc, formato: em "l", vias: via p/ acesso gástrico, tamanho*: nº 3, componente 1: c/ linha de referência, conector: c/ conector padrão, adicionais: c/ proteção contra mordedura, esterilidade*: estéril, uso ú</t>
  </si>
  <si>
    <t>Tubo Supraglótico tipo: máscara laríngea, material*: pvc, formato: em "l", vias: via p/ acesso gástrico, tamanho*: nº 4, componente 1: c/ linha de referência, conector: c/ conector padrão, adicionais: c/ proteção contra mordedura, esterilidade*: estéril, uso ú</t>
  </si>
  <si>
    <t>Cuba Uso Hospitalar material: aço inox, formato: tipo rim, capacidade: cerca de 500</t>
  </si>
  <si>
    <t>Material Gasoterapia modelo: umidificador, saída: p/ oxigênio, tipo frasco: frasco plástico graduado, c/ tampa, volume: cerca de 250, característica adicional: conector metal c/rosca, esterilidade*: esterilizável</t>
  </si>
  <si>
    <t>Agulha Hipodérmica material: aço inoxidável siliconizado, dimensão: 23 g x 1", tipo ponta: bisel curto trifacetado, tipo conexão: conector luer lock ou slip em plástico, tipo fixação: protetor plástico, tipo uso: estéril, descartável, embalagem individual</t>
  </si>
  <si>
    <t>Manutenção equipamentos hospitalares de Terapia Manutenção Preventiva e Calibração BOMBA DE INFUSÃO MICROPERISTÁLTICA MARCA: BIOSENSOR - MODELO: N8400</t>
  </si>
  <si>
    <t>Lençol Descartável Uso Hospitalar materia prima: 100% fibra celulose natural, dimensoes: cerca de 70 cm x 50 m, apresentação 1: em rolo</t>
  </si>
  <si>
    <t>Lanceta material lâmina: aço inoxidável,ponta afiada,trifacetada, uso: descartável, características adicionais: estéril, embalagem individual, tipo: com sistema retrátil</t>
  </si>
  <si>
    <t>Touca Hospitalar material*: não tecido 100% polipropileno, modelo: com elástico em toda volta, cor*: sem cor, gramatura*: cerca de 30, tamanho*: único, tipo uso*: descartável, característica adicional 01: hipoalergênica, atóxica, inodora, unissex</t>
  </si>
  <si>
    <t>Reservatório P/ Coleta De Amostra Biológica modelo: frasco, aplicação: universal, material: polímero rígido transparente, graduado, volume: cerca de 75 ml, fechamento: tampa plástica, esterilidade: estéril, uso único</t>
  </si>
  <si>
    <t>Extensor Infusão Vascular vias: 2 vias, material: polímero, comprimento: cerca 20, calibre: cerca 10, tipo conexão: luer lock / slip / valvulado, pressão máxima: até cerca de 100, componente adicional: c/ clamp, tipo uso: estéril, uso único</t>
  </si>
  <si>
    <t>Agulha Hipodérmica material: aço inoxidável siliconizado, dimensão: 23 g x 1", tipo ponta: bisel curto trifacetado, tipo conexão: conector luer lock em plástico, tipo fixação: protetor plástico, característica adicional: com sistema segurança segundo nr/32, ti</t>
  </si>
  <si>
    <t>Agulha Hipodérmica material: aço inoxidável siliconizado, dimensão: 22 g x 1 1/4", tipo ponta: bisel curto trifacetado, tipo conexão: conector luer lock em plástico, tipo fixação: protetor plástico, característica adicional: com sistema segurança segundo nr/32</t>
  </si>
  <si>
    <t>Cateter Central aplicação: venoso, tipo implante: inserção periférica, matéria prima: poliuretano radiopaco, diâmetro: cerca 2 fr, vias: duplo lúmen, comprimento: cerca 30, conector: conectores padrão, clamp em todas vias e tampas, componente: kit introdutor c</t>
  </si>
  <si>
    <t xml:space="preserve">Cateter Central aplicação: venoso, tipo implante: inserção periférica, matéria prima: silicone radiopaco, diâmetro: cerca 2 fr, vias: mono lúmen, comprimento: cerca 30, conector: conectores padrão, clamp e tampa, componente: kit introdutor completo, tipo uso: </t>
  </si>
  <si>
    <t>Cateter Central aplicação: venoso, tipo implante: inserção periférica, matéria prima: poliuretano radiopaco, diâmetro: cerca 1 fr, vias: mono lúmen, comprimento: cerca 20, conector: conectores padrão, clamp e tampa, componente: kit introdutor completo, tipo us</t>
  </si>
  <si>
    <t>Cateter Central aplicação: venoso, tipo implante: inserção periférica, matéria prima: poliuretano radiopaco, diâmetro: cerca 4 fr, vias: duplo lúmen, comprimento: cerca 55, conector: conectores padrão, clamp em todas vias e tampas, componente: kit introdutor c</t>
  </si>
  <si>
    <t>Cateter Central aplicação: venoso, tipo implante: inserção periférica, matéria prima: poliuretano radiopaco, diâmetro: cerca 5 fr, vias: duplo lúmen, comprimento: cerca 55, conector: conectores padrão, clamp em todas vias e tampas, componente: kit introdutor c</t>
  </si>
  <si>
    <t>Cateter Central aplicação: venoso, tipo implante: inserção periférica, matéria prima: poliuretano radiopaco, diâmetro: cerca 6 fr, vias: duplo lúmen, comprimento: cerca 55, conector: conectores padrão, clamp em todas vias e tampas, componente: kit introdutor c</t>
  </si>
  <si>
    <t>Cateter Monitorização tipo: arterial, uso: radial, tamanho: 3, comprimento: 5, esterilidade: estéril, uso único, material: polietileno radiopaco, componentes: kit c/ fio guia e agulha introdutora, componente i: aba p/ sutura e fixação</t>
  </si>
  <si>
    <t>Cateter Monitorização tipo: arterial, uso: femural, tamanho: 3, comprimento: 8, esterilidade: estéril, uso único, material: polietileno radiopaco, componentes: kit c/ fio guia e agulha introdutora, componente i: aba p/ sutura e fixação</t>
  </si>
  <si>
    <t>Cateter Monitorização tipo: arterial, uso: radial, tamanho: 2,5, comprimento: 5, esterilidade: estéril, uso único, material: polietileno radiopaco, componentes: kit c/ fio guia e agulha introdutora 22ga, componente i: aba p/ sutura e fixação</t>
  </si>
  <si>
    <t>Cateter Central aplicação: venoso, tipo implante: inserção periférica, matéria prima: poliuretano radiopaco, diâmetro: cerca 3 fr, vias: duplo lúmen, comprimento: cerca 55, conector: conectores padrão, clamp em todas vias e tampas, componente: kit introdutor c</t>
  </si>
  <si>
    <t>Cateter Central aplicação: venoso, matéria prima: poliuretano radiopaco, diâmetro: cerca 7 fr, vias: duplo lúmen, lúmen: 14 a 18, comprimento: cerca 20, tipo fixação: fixação subcutânea, conector: conectores padrão, clamp em todas vias e tampas, componente: ki</t>
  </si>
  <si>
    <t>Cateter Central aplicação: venoso, matéria prima: poliuretano radiopaco, diâmetro: cerca 4 fr, vias: duplo lúmen, lúmen: 22, comprimento: cerca 20, tipo fixação: fixação subcutânea, conector: conectores padrão, clamp em todas vias e tampas, componente: kit int</t>
  </si>
  <si>
    <t>Cateter Central aplicação: venoso, matéria prima: poliuretano radiopaco, diâmetro: cerca 5 fr, vias: duplo lúmen, lúmen: 18 a 20, comprimento: cerca 20, tipo fixação: fixação subcutânea, conector: conectores padrão, clamp em todas vias e tampas, componente: ki</t>
  </si>
  <si>
    <t>Cateter Central aplicação: venoso, matéria prima: poliuretano radiopaco, diâmetro: cerca 7 fr, vias: duplo lúmen, lúmen: 16, comprimento: cerca 30, tipo fixação: fixação subcutânea, conector: conectores padrão, clamp em todas vias e tampas, componente: kit int</t>
  </si>
  <si>
    <t>Cateter Central aplicação: venoso, matéria prima: poliuretano radiopaco, diâmetro: cerca 7 fr, vias: triplo lúmen, lúmen: 16 a 18, comprimento: cerca 30, tipo fixação: fixação subcutânea, conector: conectores padrão, clamp em todas vias e tampas, componente: k</t>
  </si>
  <si>
    <t>Equipo De Infusão Venosa Gravitacional material: pvc transparente, câmara gotejamento: macrogotas, flexível, c/ filtro, regulador de fluxo manual: pinça rolete, comprimento tubo: até 180 cm, tipo injetor lateral: c/ 1 injetor, autocicatrizante, conector pacien</t>
  </si>
  <si>
    <t>Equipo De Nutrição Enteral material: pvc, c/ cor, tipo: gravitacional, 1 via, câmara gotejamento: macrogotas, flexível, regulador de fluxo manual: pinça rolete, conector dieta: ponta perfurante c/ respiro, conector paciente: escalonado, comprimento total do tu</t>
  </si>
  <si>
    <t>Lâmina Bisturi material: aço inoxidável, tamanho: nº 10, tipo: descartável, esterilidade: estéril, características adicionais: embalada individualmente</t>
  </si>
  <si>
    <t>Lâmina Bisturi material: aço carbono, tamanho: nº 11, tipo: descartável, esterilidade: estéril, características adicionais: embalada individualmente</t>
  </si>
  <si>
    <t>Lâmina Bisturi material: aço carbono, tamanho: nº 12, tipo: descartável, esterilidade: estéril, características adicionais: embalada individualmente</t>
  </si>
  <si>
    <t>Lâmina Bisturi material: aço carbono, tamanho: nº 20, tipo: descartável, esterilidade: estéril, características adicionais: embalada individualmente</t>
  </si>
  <si>
    <t>Torneirinha vias: 3 vias, material*: polímero, tipo conector: luer lock / slip, pressão máxima: até cerca de 100, tipo uso: estéril, uso único</t>
  </si>
  <si>
    <t>Garrote material*: borracha sintética, isento de látex natural, tipo*: tipo fita, dimensões: cerca de 2,5 x 35, apresentação: em rolo, pré cortada, embalagem dispensadora, tipo uso: uso único</t>
  </si>
  <si>
    <t>SERINGA DESCARTAVEL 1 ML, SEM AGULHA - SERINGA DESCARTAVEL 1 ML, SEMAGULHA, EM POLIPROPILENO,SILICONIZADA, COM BICO SIMPLES, COMANEL DE RETENCAO, GRADUADA COMESCALA DE NuMEROS NiTIDOS E VISiVEIS,EMBALADA EM PAPEL GRAU CIRuRGICO,ESTERIL, COM DATA DE ESTERILIZAC</t>
  </si>
  <si>
    <t>SERINGA DESCARTAVEL 10 ML. - SERINGA DESCARTAVEL 10 ML - CAIXACOM 100 UNIDADES. ESPECIFICACAO SEMAGULHA, CONFECCIONADA EM PLASTICOAPROPRIADO, USO uNICO, COMPOSTA DE3 PARTES, COM BORRACHA NO EMBOLOPARA PROTECAO, BICO SIMPLES (SLIM),ESTERILIZADA, EMBALADAINDIVID</t>
  </si>
  <si>
    <t>SERINGA DESCARTAVEL 1ML INSULINA C/ AGULHA FIXA DE 8X3 30G). - CARACTERiSTICASESTERIL,ATOXICA,APIROGENICA, LIVRES DE LATEX,COMAGULHA FIXA,SILICONIZADA EM TODASUA EXTENSAO COM SILICONE GRAUMEDIO QUE PERMITE MELHOR PENETRACAO DO BISEL E DESLIZE SUAVE DA CANULA E</t>
  </si>
  <si>
    <t>Seringa descartavel para insulina de 1 ml - Seringa descartavel para insulina, capacidade de 1 ml/cc, esteril, atoxica, apirogenica, de uso unico, com agulha fixa 31g, dimensoes de 6 mm x 0,25 mm. Devera possuir graduacao de 100 ui, com linhas e numeracao da e</t>
  </si>
  <si>
    <t>Seringa descartavel 20 ml bico simples (SLIP) - Seringa descartavel 20 ml bico simples (slip). Especificacao sem agulha, confeccionada em plastico apropriado, uso unico, composta de 3 partes, com borracha no embolo para protecao, esterilizada, embalada individ</t>
  </si>
  <si>
    <t>Seringa descartavel 3 ml - Seringa descartavel 3 ml. Especificacao sem agulha, confeccionada em plastico apropriado, uso unico, composta de 3 partes, com borracha no embolo para protecao, bico simples (slip), esterilizada, embalada individualmente em involucro</t>
  </si>
  <si>
    <t>Seringa descartavel 5 ml - Seringa descartavel 5 ml. Especificacao sem agulha, confeccionada em plastico apropriado, uso unico, composta de 3 partes, com borracha no embolo para protecao, bico simples (slim), esterilizada, embalada individualmente em involucro</t>
  </si>
  <si>
    <t xml:space="preserve">SERINGA DESCARTAVEL DE 10ML (COM ROSCA) - CONFECCIONADA EM POLIPROPILENO, COM CORPO GRADUADO COM GRAVACAO A CADA 0,2ML E COM DESTAQUE A CADA 0,5ML, EMBOLO COM PONTEIRA DE BORRACHA SILICONIZADA, COM ADAPTACAO EXATA AO CORPO DA SERINGA, SEM AGULHA, BICO CENTRAL </t>
  </si>
  <si>
    <t>SERINGA DESCARTAVEL DE 5ML (COM ROSCA) - CONFECCIONADA EM POLIPROPILENO, COM CORPO GRADUADO COM GRAVACAO A CADA 0,1ML E COM DESTAQUE A CADA 0,5ML, EMBOLO COM PONTEIRA DE BORRACHA SILINICONIZADA, COM ADAPTACAO EXATA AO CORPO DA SERINGA, SEM AGULHA, BICO CENTRAL</t>
  </si>
  <si>
    <t>SERINGA DESCARTAVEL DE 3ML (COM ROSCA) - CONFECCIONADA EM POLIPROPILENO, COM CORPO GRADUADO COM GRAVACAO A CADA 0,2ML E COM DESTAQUE A CADA 0,5ML, EMBOLO COM PONTEIRA DE BORRACHA SILICONIZADA, COM ADAPTACAO EXATA AO CORPO DA SERINGA, SEM AGULHA, BICO CENTRAL E</t>
  </si>
  <si>
    <t>Curativo / Cobertura aplicação: p/ ferida, aspecto físico: placa, composição: à base de hidrocolóide, componente 1: c/ película pu / polietileno, dimensão: cerca de 10 x 10, esterilidade: estéril</t>
  </si>
  <si>
    <t>Fita Adesiva - Uso Cutâneo tipo: microporosa, material dorso: à base de tecido não tecido, tipo de adesivo: sintético, hipoalergênico, dimensão da tira: cerca de 0,5 x 10 cm, cor: c/ cor, apresentação: em tiras, esterilidade: estéril, uso único</t>
  </si>
  <si>
    <t>Curativo / Cobertura aplicação: p/ ferida, aspecto físico: frasco c/ gel, composição: à base de hidrogel, componente 4: c/ phmb, esterilidade: estéril</t>
  </si>
  <si>
    <t>Indicador Biológico P/ Processamento De Produtos De Saúde tipo: terceira geração, apresentação: autocontido, ampola com meio de cultura, espécie: bacillus stearothermophillus, características adicionais: resposta em 3 horas, aplicação: para esterilização a vap</t>
  </si>
  <si>
    <t>Agulha Hipodérmica Agulha Hipodérmica, Material:Aço Inoxidável Siliconizado, Dimensão:30 G X 1/2", Tipo Ponta:Bisel Curto Trifacetado, Tipo Conexão:Conector Luer Lock Em Plástico, Tipo Fixação:Protetor Plástico, Característica Adicional:Com Sistema Segurança S</t>
  </si>
  <si>
    <t>Agulha Hipodérmica Agulha Hipodérmica, Material:Aço Inoxidável Siliconizado, Dimensão:24 G X 3/4", Tipo Ponta:Bisel Curto Trifacetado, Tipo Conexão:Conector Luer Lock Ou Slip Em Plástico, Tipo Fixação:Protetor Plástico, Tipo Uso:Estéril, Descartável, Embalagem</t>
  </si>
  <si>
    <t>Agulha Odontológica Agulha Odontológica, Material:Aço Inoxidável Siliconizado, Aplicação:Gengival / Anestesia, Dimensão:30 G Curta, Tipo Ponta*:Com Bisel Trifacetado, Tipo Conexão:Conector P/ Seringa Carpule, Tipo Uso:Estéril, Descartável, Apresentação:C/ Prot</t>
  </si>
  <si>
    <t>Agulha Hipodérmica Agulha Hipodérmica, Material:Aço Inoxidável Siliconizado, Dimensão:18 G X 1 1/2", Tipo Ponta:Bisel Curto Trifacetado, Tipo Conexão:Conector Luer Lock Ou Slip Em Plástico, Tipo Fixação:Protetor Plástico, Tipo Uso:Estéril, Descartável, Embalag</t>
  </si>
  <si>
    <t xml:space="preserve">Seringa Seringa, Material:Polipropileno, Capacidade:1 ML, Tipo Bico:Bico Central Luer Lock Ou Slip, Tipo Vedação:Êmbolo De Borracha, Adicional:Graduada (Escala Ml), Numerada, Tipo Agulha:C/ Agulha 30 G X 1/2", Componente Adicional:C/ Sistema Segurança Segundo </t>
  </si>
  <si>
    <t>Seringa Seringa, Material:Polipropileno, Capacidade:10 ML, Tipo Bico:Bico Central Luer Lock Ou Slip, Tipo Vedação:Êmbolo De Borracha, Adicional:Graduada, Numerada, Princípio Ativo:C/ Solução Salina, Esterilidade:Estéril, Descartável, Apresentação:Embalagem Ind</t>
  </si>
  <si>
    <t>ASPIRADOR CIRÚRGICO - COMPONENTES: SISTEMA ANTITRANSBORDAMENTO, FILTRO BACTERIOLÓGICO; FLUXO DE ASPIRAÇÃO: DE 31 A 49 LPM; MODELO: ELÉTRICO MÓVEL; PRESSÃO DE VÁCUO: CERCA DE 650 MMHG; TIPO FRASCO: 1 FRASCO EM PLÁSTICO; VOLUME: CERCA DE 3 L.</t>
  </si>
  <si>
    <t>LANCETA ESTERIL DESCARTAVEL EM ACO INOXIDAVEL CALIBRE 28G - Lanceta esteril, descartavel, em aco inoxidavel, que dispense o uso de lancetador, calibre 28G - 0,36mm de espessura e profundidade de 1,88 mm, com lamina perfuro-cortante retratil, em conformidade co</t>
  </si>
  <si>
    <t xml:space="preserve">SERINGA DESCARTAVEL PARA INSULINA DE 100 UI - Seringa descartavel para insulina com capacidade para 100UI, com escala externa gravada, indelevel, precisa e visivel de 2 em 2 unidades, agulha fixa (integrada) de 6 mm de comprimento por 0,25 mm de diametro (31G </t>
  </si>
  <si>
    <t>Agulha Hipodérmica material: aço inoxidável siliconizado, dimensão: 22 g x 1", tipo ponta: bisel curto trifacetado, tipo conexão: conector luer lock ou slip em plástico, tipo fixação: protetor plástico, tipo uso: estéril, descartável, embalagem individual</t>
  </si>
  <si>
    <t>Luva P/ Procedimento De Saúde Não Cirúrgico C/ Anvisa material: borracha natural - látex, superfície: superfície lisa, formato: ambidestra, pó: sem pó, cor: c/ cor, tamanho: médio - m, esterilidade: não estéril, uso único</t>
  </si>
  <si>
    <t xml:space="preserve">Sonda Trato Digestivo aplicação: nasoenteral, material: poliuretano, calibre: nº 10, comprimento: cerca 120, conector: conector em y c/ tampa, graduação: graduada, componentes: ponta distal fechada, c/ orifícios laterais, outros componentes: c/ fio guia, peso </t>
  </si>
  <si>
    <t>Cateter Central aplicação: venoso, matéria prima: poliuretano radiopaco, vias: mono lúmen, lúmen: 24, comprimento: cerca 15, tipo fixação: fixação subcutânea, conector: conectores padrão, clamp e tampa, componente: kit introdutor completo, tipo uso: estéril, d</t>
  </si>
  <si>
    <t>Agulha Coleta Sangue À Vácuo material: aço inoxidável siliconizado, dimensão: 21 g x 1 1/4", tipo ponta: bisel curto trifacetado, tipo conexão: conector luer lock em plástico, tipo fixação: protetor plástico, uso: estéril, descartável, embalagem individual</t>
  </si>
  <si>
    <t>Agulha Hipodérmica material: aço inoxidável siliconizado, dimensão: 26 g x 1/2", tipo ponta: bisel curto trifacetado, tipo conexão: conector luer lock ou slip em plástico, tipo fixação: protetor plástico, tipo uso: estéril, descartável, embalagem individual</t>
  </si>
  <si>
    <t>Luva Cirúrgica material: borracha natural - látex, superfície: superfície lisa, formato: anatômico, pó: com pó bioabsorvível, cor: c/ cor, tamanho: nº 7,5, apresentação: em par, esterilidade: estéril, uso único, embalagem: embalagem individual</t>
  </si>
  <si>
    <t>Luva Cirúrgica material: borracha natural - látex, superfície: superfície lisa, formato: anatômico, pó: com pó bioabsorvível, cor: c/ cor, tamanho: nº 8,0, apresentação: em par, esterilidade: estéril, uso único, embalagem: embalagem individual</t>
  </si>
  <si>
    <t>Agulha Hipodérmica material: aço inoxidável siliconizado, dimensão: 22 g x 1 1/4", tipo ponta: bisel curto trifacetado, tipo conexão: conector luer lock ou slip em plástico, tipo fixação: protetor plástico, tipo uso: estéril, descartável, embalagem individual</t>
  </si>
  <si>
    <t>Cateter Central aplicação: venoso, matéria prima: poliuretano radiopaco, vias: mono lúmen, lúmen: 14, comprimento: cerca 20, tipo fixação: fixação subcutânea, conector: conectores padrão, clamp e tampa, componente: kit introdutor completo, tipo uso: estéril, d</t>
  </si>
  <si>
    <t>Sonda Trato Urinário modelo: foley, material: borracha, calibre: 12, vias: 3 vias, conector: conectores padrão, volume: c/ balão cerca 30, tipo ponta: ponta distal cilíndrica fechada, componentes: c/ orifícios laterais, esterilidade: estéril, descartável, emba</t>
  </si>
  <si>
    <t>Avental Cirúrgico - Paramentação esterilidade: estéril, uso único, material: não tecido polipropileno sms c/ lâmina polietileno, tipo de barreira: c/ barreira bacteriana, propriedade: hidrorepelente e impermeável, gramatura: cerca de 50, modelo manga: longa c/</t>
  </si>
  <si>
    <t>Luva Cirúrgica material: borracha natural - látex, superfície: superfície lisa, formato: anatômico, pó: com pó bioabsorvível, cor: c/ cor, tamanho: nº 6,5, apresentação: em par, esterilidade: estéril, uso único, embalagem: embalagem individual</t>
  </si>
  <si>
    <t>Luva De Proteção material: policloreto de vinila (pvc), aplicação: produtos químicos e biológico, tipo punho: curto, tamanho: médio, acabamento palma: revestimento em poliuretano, esterilidade: não esterilizada, tipo: descartável, finalidade: epi - equipamento</t>
  </si>
  <si>
    <t>Luva P/ Procedimento De Saúde Não Cirúrgico C/ Anvisa material: borracha sintética - vinil / pvc, superfície: superfície lisa, formato: ambidestra, pó: com pó bioabsorvível, cor: transparente, tamanho: grande - g, esterilidade: não estéril, uso único</t>
  </si>
  <si>
    <t>Curativo / Cobertura aplicação: p/ ferida, aspecto físico: placa c/ borda, composição: à base de hidrocolóide, componente 1: c/ película pu / polietileno, dimensão: cerca de 10 x 10, esterilidade: estéril</t>
  </si>
  <si>
    <t>Coletor De Resíduos De Serviço De Saúde tipo de resíduo: grupo e - resíduo perfurocortante infectante, tipo risco: risco biológico, capacidade: cerca de 13, material: caixa de papelão c/ saco plástico, adicional: c/ alça, uso: uso único</t>
  </si>
  <si>
    <t>CAMPO CIRÚRGICO DESCARTÁVEL, MATERIAL:NÃO TECIDO 100% POLIPROPILENO - TIPO SMS, PROPRIEDADE:HIDROREPELENTE, REFORÇO:S/ REFORÇO, FIXAÇÃO:ADESIVA, DIMENSÕES:CERCA DE 150 X 250 CM, COR:C/ COR, ESTERILIDADE:ESTÉRIL</t>
  </si>
  <si>
    <t>CAMPO CIRÚRGICO DESCARTÁVEL, MATERIAL:NÃO TECIDO 100% POLIPROPILENO - TIPO SMS, PROPRIEDADE:HIDROREPELENTE, REFORÇO:C/ REFORÇO ABSORVENTE, FIXAÇÃO:ADESIVA, DIMENSÕES:CERCA DE 150 X 250 CM, COR:C/ COR, ESTERILIDADE:ESTÉRIL</t>
  </si>
  <si>
    <t>AVENTAL CIRÚRGICO - PARAMENTAÇÃO, ESTERILIDADE:ESTÉRIL, USO ÚNICO, MATERIAL:NÃO TECIDO POLIPROPILENO SMS C/ LÂMINA POLIETILENO, TIPO DE BARREIRA:C/ BARREIRA BACTERIANA, PROPRIEDADE:HIDROREPELENTE E IMPERMEÁVEL, GRAMATURA:CERCA DE 50 G/M2, MODELO MANGA:LONGA C/</t>
  </si>
  <si>
    <t>AVENTAL CIRÚRGICO - PARAMENTAÇÃO, ESTERILIDADE:ESTÉRIL, USO ÚNICO, MATERIAL:NÃO TECIDO 100% POLIPROPILENO - TIPO SMS, TIPO DE BARREIRA:C/ BARREIRA BACTERIANA, PROPRIEDADE:HIDROREPELENTE, GRAMATURA:CERCA DE 40 G/M2, MODELO MANGA:LONGA C/ PUNHO EM MALHA, TAMANHO</t>
  </si>
  <si>
    <t>COLETOR DE URINA, MATERIAL :PVC, TIPO :SISTEMA FECHADO, CAPACIDADE :CERCA DE 2000 ML, GRADUAÇÃO:GRADUAÇÃO DE 100 EM 100 ML, VÁLVULA:VÁLVULA ANTI-REFLUXO, PINÇA:CLAMP CORTA FLUXO, FILTRO:FILTRO HIDROFÓBICO/BACTERIOLÓGICO, CONECTOR:CONECTOR UNIVERSAL, COMPONENTE</t>
  </si>
  <si>
    <t>RECIPIENTE COLETOR - USO MÉDICO, MODELO:SACO, APLICAçãO:UNIVERSAL, MATERIAL:POLÍMERO MALEÁVEL TRANSPARENTE, VOLUME:CERCA DE 1250 ML, FECHAMENTO:C/ FECHO DE VEDAÇÃO, ESTERILIDADE:ESTÉRIL, USO ÚNICO</t>
  </si>
  <si>
    <t>PLACA ELETROCIRÚRGICA - COMPATÍVEL: COMPATÍVEL C/ BISTURI; COMPONENTE ADICIONAL: CABO C/ CONECTOR CERCA 3 M; MATERIA PRIMA: POLÍMERO VISCOELÁSTICO; MODELO: INTEIRA; TAMANHO PLACA: ADULTO; TIPO: IMPERMEÁVEL; TIPO USO 1: REUTILIZÁVEL</t>
  </si>
  <si>
    <t>CAMPO CIRÚRGICO DESCARTÁVEL, MODELO:FENESTRADO, MATERIAL:NÃO TECIDO 100% POLIPROPILENO - TIPO SMS, PROPRIEDADE:HIDROREPELENTE, REFORÇO:S/ REFORÇO, FIXAÇÃO:ADESIVA, DIMENSÕES:CERCA DE 100 X 100 CM, COR:C/ COR, ESTERILIDADE:ESTÉRIL</t>
  </si>
  <si>
    <t>CAMPO CIRÚRGICO DESCARTÁVEL, MATERIAL:NÃO TECIDO POLIPROPILENO SMS C/ LÂMINA POLIETILENO, PROPRIEDADE:HIDROREPELENTE E IMPERMEÁVEL, REFORÇO:S/ REFORÇO, FIXAÇÃO:ADESIVA, DIMENSÕES:CERCA DE 50 X 50 CM, COR:C/ COR, ESTERILIDADE:ESTÉRIL</t>
  </si>
  <si>
    <t>CAMPO CIRÚRGICO DESCARTÁVEL, MODELO:MESA AUXILIAR, MATERIAL:NÃO TECIDO POLIPROPILENO SMS C/ LÂMINA POLIETILENO, PROPRIEDADE:HIDROREPELENTE E IMPERMEÁVEL, REFORÇO:S/ REFORÇO, DIMENSÕES:CERCA DE 150 X 200 CM, COR:C/ COR, ESTERILIDADE:ESTÉRIL</t>
  </si>
  <si>
    <t>CAMPO CIRÚRGICO DESCARTÁVEL - COR: C/ COR; DIMENSÕES: 120 X 120 CM; ESTERILIDADE: ESTÉRIL, DESCARTÁVEL; MATERIAL: NÃO TECIDO 100% POLIPROPILENO - TIPO SMS; PROPRIEDADE: HIDROREPELENTE; REFORÇO: S/ REFORÇO.</t>
  </si>
  <si>
    <t>CAMPO CIRÚRGICO DESCARTÁVEL, MODELO:FENESTRADO, MATERIAL:NÃO TECIDO POLIPROPILENO SMS C/ LÂMINA POLIETILENO, PROPRIEDADE:HIDROREPELENTE E IMPERMEÁVEL, REFORÇO:S/ REFORÇO, FIXAÇÃO:ADESIVA, DIMENSÕES:CERCA DE 150 X 200 CM, COR:C/ COR, ESTERILIDADE:ESTÉRIL</t>
  </si>
  <si>
    <t>AGULHA ANESTÉSICA - APLICAÇÃO: P/ BLOQUEIO DE PLEXO; CARACTERÍSTICA ADICIONAL: P/ NEUROESTIMULADOR; COMPONENTE: C/ CABO ELETRODO ISOLADO; COMPONENTE II: TUBO P/ INJETAR EM PVC; CONECTOR UNIVERSAL: CONECTOR FÊMEA C/ TAMPA; DIMENSÃO: 21 G X 4"; ESTERILIDADE: EST</t>
  </si>
  <si>
    <t>AGULHA ANESTÉSICA - APLICAÇÃO: P/ BLOQUEIO DE PLEXO; CARACTERÍSTICA ADICIONAL: P/ NEUROESTIMULADOR; COMPONENTE: C/ CABO ELETRODO ISOLADO; COMPONENTE II: TUBO P/ INJETAR EM PVC; CONECTOR UNIVERSAL: CONECTOR FÊMEA C/ TAMPA; DIMENSÃO: 22 G X 2"; ESTERILIDADE: EST</t>
  </si>
  <si>
    <t>Luva Cirúrgica Luva Cirúrgica, Material:Borracha Natural - Látex, Superfície:Superfície Lisa, Formato:Anatômico, Pó:Com Pó Bioabsorvível, Cor:C/ Cor, Tamanho:Nº 8,5, Apresentação:Em Par, Esterilidade:Estéril, Uso Único, Embalagem:Embalagem Individual Luva cirú</t>
  </si>
  <si>
    <t>Luva Cirúrgica Luva Cirúrgica, Material:Borracha Sintética, Superfície:Superfície Texturizada, Formato:Anatômico, Pó:Sem Pó, Cor:C/ Cor, Tamanho:Nº 7,5, Apresentação:Em Par, Esterilidade:Estéril, Uso Único, Embalagem:Embalagem Individual Luva cirúrgica, em bor</t>
  </si>
  <si>
    <t xml:space="preserve">Luva Cirúrgica Luva Cirúrgica, Material:Borracha Natural - Látex, Superfície:Superfície Texturizada, Formato:Anatômico, Pó:Sem Pó, Cor:C/ Cor, Tamanho:Nº 6,5, Apresentação:Em Par, Esterilidade:Estéril, Uso Único, Embalagem:Embalagem Individual Luva cirúrgica, </t>
  </si>
  <si>
    <t xml:space="preserve">Luva Cirúrgica Luva Cirúrgica, Material:Borracha Natural - Látex, Superfície:Superfície Texturizada, Formato:Anatômico, Pó:Sem Pó, Cor:C/ Cor, Tamanho:Nº 7,0, Apresentação:Em Par, Esterilidade:Estéril, Uso Único, Embalagem:Embalagem Individual Luva cirúrgica, </t>
  </si>
  <si>
    <t xml:space="preserve">Luva Cirúrgica Luva Cirúrgica, Material:Borracha Natural - Látex, Superfície:Superfície Texturizada, Formato:Anatômico, Pó:Sem Pó, Cor:C/ Cor, Tamanho:Nº 7,5, Apresentação:Em Par, Esterilidade:Estéril, Uso Único, Embalagem:Embalagem Individual Luva cirúrgica, </t>
  </si>
  <si>
    <t>Touca Hospitalar Touca Hospitalar, Material*:Não Tecido 100% Polipropileno, Modelo:Com Elástico Em Toda Volta, Cor*:Sem Cor, Gramatura*:Cerca De 30 G/M2, Tamanho*:Único, Tipo Uso*:Descartável, Característica Adicional 01:Hipoalergênica, Atóxica, Inodora, Uniss</t>
  </si>
  <si>
    <t>Campo Cirúrgico Descartável Campo Cirúrgico Descartável, Material:Não Tecido Polipropileno Sms C/ Lâmina Polietileno, Propriedade:Hidrorepelente E Impermeável, Reforço:S/ Reforço, Fixação:Adesiva, Dimensões:Cerca De 100 X 100 CM, Cor:C/ Cor, Esterilidade:Estér</t>
  </si>
  <si>
    <t>CABO PARA BISTURI N 3 INOX 304 - Cabo p/ bisturi N 3. Material confeccionado em Aco Inox 304. Material Autoclavavel. Acabamento acetinado para reduzir o brilho sob luzes cirurgicas.</t>
  </si>
  <si>
    <t>CABO PARA BISTURI N 4 INOX 304 - Cabo p/ bisturi N 4. Material confeccionado em Aco Inox 304. Material Autoclavavel. acabamento acetinado para reduzir o brilho sob luzes cirurgicas.</t>
  </si>
  <si>
    <t>CUBA RIM EM ACO INOX TAMANHO 26 X 12 - Cuba rim em aco inox, tamanho 26 x 12 capacidade 700 ml.</t>
  </si>
  <si>
    <t>LANCETA, Tipo: ESTERIL, Aplicação: Punção para coleta de amostra de sangue, Diâmetro da Agulha [G]: 28, Profundidade de penetração da agulha [mm]: 1,4 a 1,8, Complemento: Que atenda as exigências da NR 32/2005 - Ministério do Trabalho [dispositivo de segurança</t>
  </si>
  <si>
    <t>SERINGA, Tipo: Estéril, descartável, Modelo: U100 - Insulina com escala de 2 em 2 unidades, Capacidade [ml]: 1, Características: Com agulha fixa no corpo da seringa, Tamanho [mm]: 8,0 x 0,3, Código: 30G, Cilindro: Transparente, em polipropileno com impressão d</t>
  </si>
  <si>
    <t>SERINGA, Tipo: Estéril, descartável, Modelo: U100 - Insulina com escala de 1 em 1 unidade, Capacidade [ml]: 0,5, Caracteristica: Com agulha fixa no corpo da seringa, Tamanho [mm]: 8,0 x 0,3, Código: 30G, Cilindro: Transparente, em polipropileno com impressão d</t>
  </si>
  <si>
    <t>SERINGA PARA BOMBA - APLICAÇÃO: COMPATÍVEL C/ BOMBA INFUSORA; APRESENTAÇÃO: EMBALAGEM INDIVIDUAL; CAPACIDADE: CERCA 10 ML; CARACTERÍSTICA ADICIONAL: GRADUADA; ESTERILIDADE: ESTéRIL; MATERIAL: POLIPROPILENO</t>
  </si>
  <si>
    <t>SERINGA PARA BOMBA - APLICAÇÃO: COMPATÍVEL C/ BOMBA INFUSORA; APRESENTAÇÃO: EMBALAGEM INDIVIDUAL; CAPACIDADE: CERCA 20 ML; CARACTERÍSTICA ADICIONAL: GRADUADA; ESTERILIDADE: ESTéRIL; MATERIAL: POLIPROPILENO</t>
  </si>
  <si>
    <t>SERINGA PARA BOMBA - APLICAÇÃO: COMPATÍVEL C/ BOMBA INFUSORA; APRESENTAÇÃO: EMBALAGEM INDIVIDUAL; CAPACIDADE: CERCA 20 ML; CARACTERÍSTICA ADICIONAL: GRADUADA, P/ SOLUÇÃO FOTOSSENSÍVEL; ESTERILIDADE: ESTéRIL; MATERIAL: POLIPROPILENO</t>
  </si>
  <si>
    <t>LANCETA ESTERIL CONFECCIONADA EM PLASTICO</t>
  </si>
  <si>
    <t>PLACA ELETROCIRÚRGICA - COMPATÍVEL: COMPATÍVEL C/ BISTURI; COMPONENTE ADICIONAL: CABO C/ CONECTOR CERCA 3 M; MATERIA PRIMA: POLÍMERO VISCOELÁSTICO; MODELO: INTEIRA; TAMANHO PLACA: TAMANHO UNIVERSAL; TIPO: IMPERMEÁVEL; TIPO USO 1: REUTILIZÁVEL</t>
  </si>
  <si>
    <t>AVENTAL CIRURGICO ESTERIL PROTECAO TOTAL - Avental cirurgico esteril, descartavel, 100 por cento polipropileno/polietileno, totalmente impermeavel, gramatura minima de 45 g/m2. Isento de propagacao de chamas, alta barreira para emissao de fluidos e microrganis</t>
  </si>
  <si>
    <t>PAPEL GRAU CIRURGICO 60 CM X 100 METROS - Papel esterilizacao, material papel grau cirurgico, apresentacao rolo, comprimento 100 m, largura 60cm, aplicacao embalar artigos hospitalares para esterilizacao. Rolos com 100metros.Obs.: Registro no ministerio da sau</t>
  </si>
  <si>
    <t>CAMPO CIRURGICO FENESTRADO DESCARTAVEL ESTEERIL 75 X 75 CM - CAMPO CIRuRGICO, ESTERIL, USO uNICO, TAMANHO 75 CM X 75 CM, COM FENESTRA REDONDA 10 CM, CONFECCIONADO EM NAO TECIDO SSMMS 100 por cento POLIPROPILENO GRAU MEDIO, NAO PREJUDICIAL A SAuDE E HIPOALERGEN</t>
  </si>
  <si>
    <t>EQUIPO BOMBA INFUSAO; APLICACAO: SOLUCAO PARENTERAL - EQUIPO BOMBA INFUSAO; APLICACAO: SOLUCAO PARENTERAL; MATERIAL TUBO: CLORETO POLIVINILA; COR TUBO: INCOLOR; COMPRIMENTO: 2,0 M; TIPO CAMARA GOTEJADORA: FLEXIVEL; CARACTERISTICA CAMARA: FILTRO BACTERIOLOGICO,</t>
  </si>
  <si>
    <t>EQUIPO BOMBA INFUSAO; APLICACAO: DIETA ENTERAL - EQUIPO BOMBA INFUSAO; APLICACAO: DIETA ENTERAL; MATERIAL TUBO: CLORETO POLIVINILA; COR TUBO: AZUL OU LILAS; COMPRIMENTO: PADRAO; TIPO CAMARA GOTEJADORA: FLEXIVEL; TIPO CONEXAO: LUER SLIP; CONTROLADOR FLUXO: PINC</t>
  </si>
  <si>
    <t xml:space="preserve">EQUIPO BOMBA INFUSAO; APLICACAO: SOLUCAO PARENTERAL - EQUIPO BOMBA INFUSAO; APLICACAO: SOLUCAO PARENTERAL; MATERIAL TUBO: CLORETO POLIVINILA; COR TUBO: AMBAR; COMPRIMENTO: PADRAO; TIPO CAMARA GOTEJADORA: FLEXIVEL; CARACTERISTICA CAMARA: FILTRO BACTERIOLOGICO, </t>
  </si>
  <si>
    <t>CÂNULA INSTRUMENTAL - APLICAÇÃO: P/ ASPIRAÇÃO E DESCOLADOR DE SEPTO; COMPRIMENTO TOTAL: CERCA DE 20 CM; DIÂMETRO: CERCA DE 3,0 MM; ESTERILIDADE: ESTERILIZÁVEL; HASTE: RETA; MATERIAL: AÇO INOXIDÁVEL</t>
  </si>
  <si>
    <t>CÂNULA INSTRUMENTAL - APLICAÇÃO: P/ ASPIRAÇÃO; COMPONENTE: C/ MANDRIL; COMPRIMENTO TOTAL: CERCA DE 20 CM; DIÂMETRO: CERCA DE 3,0 MM; ESTERILIDADE: ESTERILIZÁVEL; HASTE: ANGULADA; MATERIAL: AÇO INOXIDÁVEL; MODELO: FRAZIER</t>
  </si>
  <si>
    <t>ATADURA atadura de crepe 06 cm x 1,8 mts, 13 fios, 80% algodão, 4% de elastano e 16% poliéster, trama fechada, bordas acabadas embaladas individualmente, especificação da procedência, data de fabricação, data de validade, número de lote e número de registro no</t>
  </si>
  <si>
    <t>ATADURA atadura de crepe 08 cm x 1,8 mts, 13 fios, 80% algodão, 4% de elastano e 16% poliéster, trama fechada, bordas acabadas embaladas individualmente, especificação da procedência, data de fabricação, data de validade, número de lote e número de registro no</t>
  </si>
  <si>
    <t>ATADURA atadura de crepe 10 cm x 1,8 mts, 13 fios, 80% algodão, 4% de elastano e 16% poliéster, trama fechada, bordas acabadas embaladas individualmente, especificação da procedência, data de fabricação, data de validade, número de lote e número de registro no</t>
  </si>
  <si>
    <t>ATADURA atadura de crepe 15 cm x 1,8 mts, 13 fios, 80% algodão, 4% de elastano e 16% poliéster, trama fechada, bordas acabadas embaladas individualmente, especificação da procedência, data de fabricação, data de validade, número de lote e número de registro no</t>
  </si>
  <si>
    <t>ATADURA atadura de crepe 20 cm x 1,8 mts, 13 fios, 80% algodão, 4% de elastano e 16% poliéster, trama fechada, bordas acabadas embaladas individualmente, especificação da procedência, data de fabricação, data de validade, número de lote e número de registro no</t>
  </si>
  <si>
    <t>CUBA RIM CONFECCIONADA EM AÇO INOX cuba rim confeccionada em aço inox de primeira qualidade embalagem individual em saco plástico, constando os dados de identificação e procedência capacidade 25 x 11cm 700 ml.</t>
  </si>
  <si>
    <t>CURATIVO HIDROCOLOIDE ESTÉRIL, AUTOADESIVO, de uso único, composto por camada interna de carboximetilcelulose sódica (CMC) com capacidade de absorção de exsudatos e formação de gel, e camada externa constituída por filme semipermeável de poliuretano, impermeáv</t>
  </si>
  <si>
    <t>CURATIVO ESPARADRAPO 10 cm x 4,5 mts, tipo impermeável, material 100 % algodão, cor branca, enrolado em carretel plástico com capa de proteção.</t>
  </si>
  <si>
    <t>CURATIVO ESTÉRIL, RECORTÁVEL, composto por fibras de alginato de cálcio de alta absorção, indicado para feridas com exsudação moderada a intensa e lesões com pequeno sangramento. Em contato com o exsudato da ferida, as fibras transformam-se em um gel hidrofíli</t>
  </si>
  <si>
    <t xml:space="preserve">COMPRESSA DE GAZE HIDRÓFILA ESTÉRIL, COM FILAMENTO RADIOPACO, CONFECCIONADA EM FIOS 100% ALGODÃO compressa de gaze hidrófila estéril, com filamento radiopaco, confeccionada em fios 100% algodão, tecido tipo tela, estrutura de 13 fios/cm², oito camadas e cinco </t>
  </si>
  <si>
    <t>ESPARADRAPO 10CM X 4,5MTS em pó, tipo maisena. produto amiláceo, extraído do milho, fabricado a partir de matérias primas sãs e limpas isentas de matéria terrosa e parasitos, não podendo apresentar-se úmido, fermentado ou rançoso. aspecto: pó fino; cor: branca</t>
  </si>
  <si>
    <t>GAZE HIDRÓFILA TIPO QUEIJO, NÃO ESTÉRIL, CONFECCIONADA EM TECIDO 100% ALGODÃO, com fios de alta qualidade, macia, altamente absorvente, isenta de impurezas, amido, alvejantes ópticos, corantes corretivos e substâncias gordurosas. Apresentada em rolo contínuo (</t>
  </si>
  <si>
    <t>LÂMINA DE BISTURI CX C/100UNDS. Nº 15 lâmina de bisturi caixa com 100 unidades nº 15</t>
  </si>
  <si>
    <t>LÂMINA DE BISTURI CX C/100UNDS. Nº 23 lâmina de bisturi caixa com 100 unidades nº 23</t>
  </si>
  <si>
    <t>ESPARADRAPO 10CM X 4,5M - ESPARADRAPO 10CM X 4,5M, branco, impermeável, tecido 100% algodão, com embalagem individual com capa.</t>
  </si>
  <si>
    <t>CURATIVO DE ALGINATO DE CÁLCIO COM PRATA 10X10cm - Curativo de alginato de cálcio com prata 10x10 cm, constituída por alginato de cálcio, carboximetilcelulose, fibras de nylon ou outro material compatível impregnadas com prata. Tamanho aproximado 10 x 10 cm. E</t>
  </si>
  <si>
    <t>COMPRESSAS CIRURGICAS ESTERIL 15X60 CM</t>
  </si>
  <si>
    <t>CAMPO CIRÚRGICO SMS FENESTRADO 06CM ESTERIL 50CM X 50 CM</t>
  </si>
  <si>
    <t>PAPEL LENÇOL DESCARTÁVEL 50X50MT BRANCO</t>
  </si>
  <si>
    <t>PAPEL LENÇOL DESCARTÁVEL 50X70MT BRANCO</t>
  </si>
  <si>
    <t>AGULHA DESC. P/ RACKI SPINAL 22G</t>
  </si>
  <si>
    <t>SERINGA LUER SLIP DESC. 1ML C/AG 13X4,5 CX C/100</t>
  </si>
  <si>
    <t>SERINGA LUER LOCK DESC. 3ML C/AG 25X0,70 CX C/100</t>
  </si>
  <si>
    <t>SERINGA LUER LOCK DESC. 5ML C/AG 25X0,70 CX C/100</t>
  </si>
  <si>
    <t>SERINGA LUER SLIP DESC. 10ML C/AG 25X0,70 CX C/100</t>
  </si>
  <si>
    <t>SERINGA LUER SLIP DESC. 20ML C/AG 25X0,80 CX C/100</t>
  </si>
  <si>
    <t>SERINGA LUER LOCK DESC. 3ML S/AG CX C/100</t>
  </si>
  <si>
    <t>SERINGA LUER LOCK DESC. 5ML S/AG CX C/100</t>
  </si>
  <si>
    <t>SERINGA LUER SLIP DESC. 10ML S/AG CX C/100</t>
  </si>
  <si>
    <t>SERINGA LUER SLIP DESC. 20ML S/AG CX C/100</t>
  </si>
  <si>
    <t>CATETER INTRAVENOSO 14G CX C/100</t>
  </si>
  <si>
    <t>CATETER INTRAVENOSO 16G CX C/100</t>
  </si>
  <si>
    <t>CATETER INTRAVENOSO 18G CX C/100</t>
  </si>
  <si>
    <t>CATETER INTRAVENOSO 20G CX C/100</t>
  </si>
  <si>
    <t>CATETER INTRAVENOSO 22G CX C/100</t>
  </si>
  <si>
    <t>CATETER INTRAVENOSO 24G CX C/100</t>
  </si>
  <si>
    <t>CATETER DE ACESSO VENOSO CENTRAL CVC DUPLO LUMEN 4FR X 13CM</t>
  </si>
  <si>
    <t>CATETER DE ACESSO VENOSO CENTRAL CVC DUPLO LUMEN 5FR X 13CM</t>
  </si>
  <si>
    <t>CATETER DE ACESSO VENOSO CENTRAL CVC DUPLO LUMEN 7FR X20CM</t>
  </si>
  <si>
    <t>MASCARA DE VENTURI ADULTO</t>
  </si>
  <si>
    <t>MÁSCARA LARINGEA DESC.Nº03</t>
  </si>
  <si>
    <t>MÁSCARA LARINGEA DESC.Nº04</t>
  </si>
  <si>
    <t>MÁSCARA LARINGEA DESC.Nº05</t>
  </si>
  <si>
    <t>KIT TRANSDUTOR DE PRESSÃO INVASIVA</t>
  </si>
  <si>
    <t>FIXADOR DE TUBO ENDOTRAQUEAL INFANTIL ESTERIL/DESCARTÁVEL</t>
  </si>
  <si>
    <t>FIXADOR DE TUBO ENDOTRAQUEAL ADULTO ESTERIL/DESCARTÁVEL</t>
  </si>
  <si>
    <t>GARROTE AMARELO N 200 15MTS</t>
  </si>
  <si>
    <t>GARROTE AMARELO Nº 201 C/ 15MTS</t>
  </si>
  <si>
    <t>COPO UMIDIFICADOR P/OXIGÊNIO</t>
  </si>
  <si>
    <t>FILTRO HMEF P/VENTILAÇÃO MECÂNICA– CGH HMEC MAXI ADULTO</t>
  </si>
  <si>
    <t>LANCETAS DE SERURANÇA DEC. 28G C/100</t>
  </si>
  <si>
    <t>FITA AUTOCLAVE 19X30CM</t>
  </si>
  <si>
    <t>BOLSA COLETORA DE URINA SIST FECHADO 2LT</t>
  </si>
  <si>
    <t>BOLSA COLETORA DE URINA SIST ABERTO 2LT C/100UN</t>
  </si>
  <si>
    <t>BOLSA COLETORA DE COLOSTOMIA/ILEOSTOMIA DRENÁVEL, OPACA, RECORTÁVEL, 09MM A 64MM. CX C/10</t>
  </si>
  <si>
    <t>COLETOR P/ DRENAGEM URINARIA EXT.MASCULINO 1,2M COM PRESERVATIVO</t>
  </si>
  <si>
    <t>FRALDA INFANTIL DESC. RN</t>
  </si>
  <si>
    <t>FRALDA INFANTIL DESC. P</t>
  </si>
  <si>
    <t>FRALDA INFANTIL DESC. M</t>
  </si>
  <si>
    <t>FRALDA INFANTIL DESC. G</t>
  </si>
  <si>
    <t>FRALDA INFANTIL DESC. EX</t>
  </si>
  <si>
    <t>FRALDA INFANTIL DESC. XXG</t>
  </si>
  <si>
    <t>FRALDA INFANTIL DESC. GRANDINHOS</t>
  </si>
  <si>
    <t>FRALDA GERIATRICA P</t>
  </si>
  <si>
    <t>FRALDA GERIATRICA M</t>
  </si>
  <si>
    <t>FRALDA GERIATRICA G</t>
  </si>
  <si>
    <t>FRALDA GERIATRICA GG</t>
  </si>
  <si>
    <t>FRALDA GERIATRICA EG</t>
  </si>
  <si>
    <t>FRALDA GERIATRICA EGG C/08 UN</t>
  </si>
  <si>
    <t>AVENTAL HOSPITALAR CIRURGICO IMPERMEAVEL LAVÁVEL REUTILIZÁVEL</t>
  </si>
  <si>
    <t>LUVA PROCEDIMENTO DE LÁTEX PP C/100</t>
  </si>
  <si>
    <t>LUVA PROCEDIMENTO DE LÁTEX P C/100</t>
  </si>
  <si>
    <t>LUVA PROCEDIMENTO DE LÁTEX M C/100</t>
  </si>
  <si>
    <t>LUVA PROCEDIMENTO DE LÁTEX G C/100</t>
  </si>
  <si>
    <t>ESCOVA CERVICAL NÃO ESTERIL C/100</t>
  </si>
  <si>
    <t>ESPÁTULA DE AYRE PCT C/100</t>
  </si>
  <si>
    <t>ESPARADRAPO 10X4,5 C/CAPA BEGE</t>
  </si>
  <si>
    <t>ESPARADRAPO 10X4,5 C/CAPA BRANCO</t>
  </si>
  <si>
    <t>SONDA FOLEY 2 VIAS Nº 12</t>
  </si>
  <si>
    <t>SONDA FOLEY 2 VIAS Nº 14</t>
  </si>
  <si>
    <t>SONDA FOLEY 2 VIAS Nº 16</t>
  </si>
  <si>
    <t>SONDA FOLEY 2 VIAS Nº 18</t>
  </si>
  <si>
    <t>SONDA FOLEY 2 VIAS Nº 20</t>
  </si>
  <si>
    <t>SONDA FOLEY 3 VIAS Nº 12</t>
  </si>
  <si>
    <t>SONDA FOLEY 3 VIAS Nº 14</t>
  </si>
  <si>
    <t>SONDA MASCARA LARINGEA DESC. Nº01</t>
  </si>
  <si>
    <t>SONDA MASCARA LARINGEA DESC. Nº03</t>
  </si>
  <si>
    <t>SONDA NASOGÁSTRICA CURTA Nº 06</t>
  </si>
  <si>
    <t>SONDA NASOGÁSTRICA CURTA Nº 08</t>
  </si>
  <si>
    <t>SONDA NASOGÁSTRICA CURTA Nº 10</t>
  </si>
  <si>
    <t>SONDA NASOGÁSTRICA CURTA Nº 12</t>
  </si>
  <si>
    <t>SONDA NASOGÁSTRICA CURTA Nº 14</t>
  </si>
  <si>
    <t>SONDA NASOGÁSTRICA CURTA Nº 16</t>
  </si>
  <si>
    <t>SONDA URETRAL N°06</t>
  </si>
  <si>
    <t>SONDA URETRAL N°08</t>
  </si>
  <si>
    <t>SONDA URETRAL N°10</t>
  </si>
  <si>
    <t>SONDA URETRAL N12</t>
  </si>
  <si>
    <t>SONDA URETRAL N°14</t>
  </si>
  <si>
    <t>SONDA URETRAL N°16</t>
  </si>
  <si>
    <t>SONDA URETRAL N°18</t>
  </si>
  <si>
    <t>SONDA NASOGASTRICA LONGA Nº 12</t>
  </si>
  <si>
    <t>SONDA NASOGASTRICA LONGA Nº 14</t>
  </si>
  <si>
    <t>SONDA NASOGASTRICA LONGA Nº 16</t>
  </si>
  <si>
    <t>SONDA NASOGASTRICA LONGA Nº 18</t>
  </si>
  <si>
    <t>SONDA NASOGASTRICA LONGA Nº 20</t>
  </si>
  <si>
    <t>EQUIPO MACROGOTAS</t>
  </si>
  <si>
    <t>EQUIPO MACROGOTAS P/ NUTRIÇÃO ENTERAL ESCALONADO 1,5M</t>
  </si>
  <si>
    <t>EQUIPO MICROGOTAS</t>
  </si>
  <si>
    <t>EQUIPO P/ BOMBA INFUSÃO VL ST01 APARELHO SAMTRONIC</t>
  </si>
  <si>
    <t>EQUIPO P/ BOMBA INFUSÃO VL ST01 APARELHO MDK MED INFUSION PUMP MI 22</t>
  </si>
  <si>
    <t>EQUIPO FOTOSSENSIVÉL MACROGOTAS</t>
  </si>
  <si>
    <t>EQUIPO FOTOSSENSIVEL PARA BOMBA DE INFUSÃO. APARELHO MDK MED INFUSION PUMP MI 22</t>
  </si>
  <si>
    <t>SERINGA LUER LOCK DESC. 3ML C/AG 25X0,70 CX100 25%</t>
  </si>
  <si>
    <t>SERINGA LUER LOCK DESC. 5ML C/AG 25X0,70 CX100 25%</t>
  </si>
  <si>
    <t>SERINGA LUER SLIP DESC. 10ML C/AG 25X0,70CX100 25%</t>
  </si>
  <si>
    <t>SERINGA LUER SLIP DESC. 20ML C/AG 25X0,80CX100 25%</t>
  </si>
  <si>
    <t>SERINGA LUER LOCK DESC. 3ML S/AG CX C/100 25%</t>
  </si>
  <si>
    <t>SERINGA LUER LOCK DESC. 5ML S/AG CX C/100 25%</t>
  </si>
  <si>
    <t>SERINGA LUER SLIP DESC. 10ML S/AG CX C/100 25%</t>
  </si>
  <si>
    <t>SERINGA LUER SLIP DESC. 20ML S/AG CX C/100 25%</t>
  </si>
  <si>
    <t>CATETER INTRAVENOSO 20G CX C/100 25%</t>
  </si>
  <si>
    <t>CATETER INTRAVENOSO 22G CX C/100 25%</t>
  </si>
  <si>
    <t>CATETER INTRAVENOSO 24G CX C/100 25%</t>
  </si>
  <si>
    <t>BOLSA COLETORA DE URINA SIST ABERTO 2LT C/100 25%</t>
  </si>
  <si>
    <t>LUVA PROCEDIMENTO DE LÁTEX PP C/100 25%</t>
  </si>
  <si>
    <t>LUVA PROCEDIMENTO DE LÁTEX P C/100 25%</t>
  </si>
  <si>
    <t>LUVA PROCEDIMENTO DE LÁTEX M C/100 25%</t>
  </si>
  <si>
    <t>LUVA PROCEDIMENTO DE LÁTEX G C/100 25%</t>
  </si>
  <si>
    <t>ESCOVA CERVICAL NÃO ESTERIL C/100 25%</t>
  </si>
  <si>
    <t>ESPÁTULA DE AYRE PCT C/100 25%</t>
  </si>
  <si>
    <t>ESPARADRAPO 10X4,5 C/CAPA BEGE 25%</t>
  </si>
  <si>
    <t>ESPARADRAPO 10X4,5 C/CAPA BRANCO 25%</t>
  </si>
  <si>
    <t>EQUIPO P/ BOMBA INFUSÃO VL ST01 APARELHO SAMTR 25%</t>
  </si>
  <si>
    <t>EQUIPO P/ BOMBA INFUSÃO VL ST01 APARELHO MDK 25%</t>
  </si>
  <si>
    <t>LUVA CIRÚRGICA ESTÉRIL N. 6,0 - PAR-</t>
  </si>
  <si>
    <t>LUVA CIRÚRGICA ESTÉRIL N. 6,5 - PAR-</t>
  </si>
  <si>
    <t>LUVA CIRÚRGICA ESTÉRIL N. 7,0 - PAR-</t>
  </si>
  <si>
    <t>LUVA CIRÚRGICA ESTÉRIL N. 7,5 - PAR-</t>
  </si>
  <si>
    <t>LUVA CIRÚRGICA ESTÉRIL N. 8,0 - PAR-</t>
  </si>
  <si>
    <t>LUVA CIRÚRGICA ESTÉRIL N. 8,5 - PAR-</t>
  </si>
  <si>
    <t>LUVA PROCEDIMENTO LÁTEX TAM EXTRA PEQUENO CX C/ 100 LUVAS-LUVA PARA PROCEDIMENTO NÃO CIRÚRGICO, COM PÓ (TALCO), CONFECCIONADA EM LÁTEX, NÃO ESTÉRIL, LISA, AMBDESTRA, DESCARTÁVEL, PRODUTO DE USO ÚNICO, CAIXA COM 100 UNID. REGISTRO NA ANVISA. - COTA PRINCIPAL</t>
  </si>
  <si>
    <t>LUVA PROCEDIMENTO LÁTEX TAM EXTRA PEQUENO CX C/ 100 LUVAS-LUVA PARA PROCEDIMENTO NÃO CIRÚRGICO, COM PÓ (TALCO), CONFECCIONADA EM LÁTEX, NÃO ESTÉRIL, LISA, AMBDESTRA, DESCARTÁVEL, PRODUTO DE USO ÚNICO, CAIXA COM 100 UNID. REGISTRO NA ANVISA. - COTA RESERVADA</t>
  </si>
  <si>
    <t>LUVA PROCEDIMENTO LÁTEX TAMANHO GRANDE CX C/100 LUVAS-LUVA PARA PROCEDIMENTO NÃO CIRÚRGICO, COM PÓ (TALCO), CONFECCIONADA EM LÁTEX, NÃO ESTÉRIL, LISA, AMBDESTRA, DESCARTÁVEL, PRODUTO DE USO ÚNICO, CAIXA COM 100 UNID. REGISTRO NA ANVISA. - COTA PRINCIPAL</t>
  </si>
  <si>
    <t>LUVA PROCEDIMENTO LÁTEX TAMANHO GRANDE CX C/100 LUVAS-LUVA PARA PROCEDIMENTO NÃO CIRÚRGICO, COM PÓ (TALCO), CONFECCIONADA EM LÁTEX, NÃO ESTÉRIL, LISA, AMBDESTRA, DESCARTÁVEL, PRODUTO DE USO ÚNICO, CAIXA COM 100 UNID. REGISTRO NA ANVISA. - COTA RESERVADA</t>
  </si>
  <si>
    <t>LUVA PROCEDIMENTO LÁTEX TAMANHO MÉDIO CX C/ 100 LUVAS-LUVA PARA PROCEDIMENTO NÃO CIRÚRGICO, COM PÓ (TALCO), CONFECCIONADA EM LÁTEX, NÃO ESTÉRIL, LISA, AMBDESTRA, DESCARTÁVEL, PRODUTO DE USO ÚNICO, CAIXA COM 100 UNID. REGISTRO NA ANVISA. - COTA PRINCIPAL</t>
  </si>
  <si>
    <t>LUVA PROCEDIMENTO LÁTEX TAMANHO MÉDIO CX C/ 100 LUVAS-LUVA PARA PROCEDIMENTO NÃO CIRÚRGICO, COM PÓ (TALCO), CONFECCIONADA EM LÁTEX, NÃO ESTÉRIL, LISA, AMBDESTRA, DESCARTÁVEL, PRODUTO DE USO ÚNICO, CAIXA COM 100 UNID. REGISTRO NA ANVISA. - COTA RESERVADA</t>
  </si>
  <si>
    <t>LUVA PROCEDIMENTO LÁTEX TAMANHO PEQUENO CX C/ 100 LUVAS-LUVA PARA PROCEDIMENTO NÃO CIRÚRGICO, COM PÓ (TALCO), CONFECCIONADA EM LÁTEX, NÃO ESTÉRIL, LISA, AMBDESTRA, DESCARTÁVEL, PRODUTO DE USO ÚNICO, CAIXA COM 100 UNID. REGISTRO NA ANVISA. - COTA PRINCIPAL</t>
  </si>
  <si>
    <t>LUVA PROCEDIMENTO LÁTEX TAMANHO PEQUENO CX C/ 100 LUVAS-LUVA PARA PROCEDIMENTO NÃO CIRÚRGICO, COM PÓ (TALCO), CONFECCIONADA EM LÁTEX, NÃO ESTÉRIL, LISA, AMBDESTRA, DESCARTÁVEL, PRODUTO DE USO ÚNICO, CAIXA COM 100 UNID. REGISTRO NA ANVISA. - COTA RESERVADA</t>
  </si>
  <si>
    <t>LUVA PROCEDIMENTO NITRÍLICA TAMANHO EXTRA PEQUENO C/ 100 LUVAS-LUVA PARA PROCEDIMENTO NÃO CIRÚRGICO NITRÍLICA, ISENTA DE PÓ, NÃO ESTÉRIL, AMBIDESTRA, PRODUTO DE USO ÚNICO, PRODUTO ISENTO DE LÁTEX, BORRACHA NATURAL INDICADO PARA PESSOAS SENSÍVEIS AO LÁTEX. CAIX</t>
  </si>
  <si>
    <t>LUVA PROCEDIMENTO NITRÍLICA TAMANHO GRANDE C/ 100 LUVAS-LUVA PARA PROCEDIMENTO NÃO CIRÚRGICO NITRÍLICA, ISENTA DE PÓ, NÃO ESTÉRIL, AMBIDESTRA, PRODUTO DE USO ÚNICO, PRODUTO ISENTO DE LÁTEX, BORRACHA NATURAL INDICADO PARA PESSOAS SENSÍVEIS AO LÁTEX. CAIXA COM 1</t>
  </si>
  <si>
    <t>LUVA PROCEDIMENTO NITRÍLICA TAMANHO MÉDIO C/ 100 LUVAS-LUVA PARA PROCEDIMENTO NÃO CIRÚRGICO NITRÍLICA, ISENTA DE PÓ, NÃO ESTÉRIL, AMBIDESTRA, PRODUTO DE USO ÚNICO, PRODUTO ISENTO DE LÁTEX, BORRACHA NATURAL INDICADO PARA PESSOAS SENSÍVEIS AO LÁTEX. CAIXA COM 10</t>
  </si>
  <si>
    <t xml:space="preserve">LUVA PROCEDIMENTO NITRÍLICA TAMANHO PEQUENO C/ 100 LUVAS-LUVA PARA PROCEDIMENTO NÃO CIRÚRGICO NITRÍLICA, ISENTA DE PÓ, NÃO ESTÉRIL, AMBIDESTRA, PRODUTO DE USO ÚNICO, PRODUTO ISENTO DE LÁTEX, BORRACHA NATURAL INDICADO PARA PESSOAS SENSÍVEIS AO LÁTEX. CAIXA COM </t>
  </si>
  <si>
    <t>MASCARA CIRÚRGICA DESCARTÁVEL TRIPLA C/ CLIP E ELÁSTICO CAIXA C/ 50-MÁSCARA DESCARTÁVEL DE TNT MODELO TRIPLA COM ELÁSTICO, COR BRANCA, MÁSCARA NÃO TECIDO, CLIPE NASAL, TIRA DE ALUMÍNIO MALEÁVEL, REVESTIDO DE PLÁSTICO,FEITA EM TECIDO NÃO TECIDO SMS COM UM ELEME</t>
  </si>
  <si>
    <t>MÁSCARA DE PROTEÇÃO COM FILTRO FFP2 (CARVÃO ATIVADO) OU N95-RESPIRADOR PFF2, COR BRANCA, CONFECCIONADO EM 5 CAMADAS, NÃO TECIDO DE POLIPROPILENO E POLIÉSTER, COM CAMADA FILTRANTE TRADADA ELETROSTATICAMENTE, CLIPE NASAL DE ARAME DUPLO ENCAPADO COM PVC E TIRANTE</t>
  </si>
  <si>
    <t>PROPÉ/SAPATILHA TNT 30G C/ 100 UND-SAPATILHA PROPÉ DESCARTÁVEL, TNT GRAMATURA 30, BRANCO, PACOTE COM 100 UNID.</t>
  </si>
  <si>
    <t>PROTETOR OCULAR BABY TAMANHO M-PROTETOR OCULAR PARA BEBES EM FOTOTERAPIA, CONFECCIONADO EM MALHA, BLACKOUT INTEGRADO, SEM OU MINIMAS COSTURAS, COM FAIXA ELÁSTICA AUTOCOLANTE PARA MELHOR AJUSTE.</t>
  </si>
  <si>
    <t>AGULHA DESC. 13MM X 4,5MM (26G X 1/2") CX C/100 UNID-AGULHA HIPODÉRMICA , DESCARTÁVEL, ESTÉRIL, CAIXA COM 100 UNID.</t>
  </si>
  <si>
    <t>AGULHA DESC. 20MM X 5,5MM (24G X 3/4") CX C/100 UNID-AGULHA HIPODÉRMICA , DESCARTÁVEL, ESTÉRIL, CAIXA COM 100 UNID.</t>
  </si>
  <si>
    <t>AGULHA DESC. 25MM X 7MM (22G X 1") CX C/100 UNID-AGULHA HIPODÉRMICA , DESCARTÁVEL, ESTÉRIL, CAIXA COM 100 UNID.</t>
  </si>
  <si>
    <t>AGULHA DESC. 25MM X 8MM (21G X 1") CX C/ 100 UNID-AGULHA HIPODÉRMICA , DESCARTÁVEL, ESTÉRIL, CAIXA COM 100 UNID.</t>
  </si>
  <si>
    <t>AGULHA DESC. 30 MM X 7 MM (22G X 1 1/4") CX C/100 UNID-AGULHA HIPODÉRMICA , DESCARTÁVEL, ESTÉRIL, CAIXA COM 100 UNID.</t>
  </si>
  <si>
    <t>AGULHA DESC. 40MM X 12MM (18G X 1 1/2") CX C/100 UNID-AGULHA HIPODÉRMICA , DESCARTÁVEL, ESTÉRIL, CAIXA COM 100 UNID.</t>
  </si>
  <si>
    <t>AGULHA DESCARTÁVEL 4MMX0,23MM (5/32"X32G) P/ CANETA APLIC. DE INSULINA C/100-AGULHA DESCARTÁVEL P/ APLICAÇÃO DE INSULINA COM CANETA. CONFECCIONADA EM AÇO INOXIDÁVEL, ATÓXICA DIMENSÕES APROXIMADAS DE 4 MM DE CUMPRIMENTO E 0,23 MM DE DIÁMETRO EXTERNO (5/32? X 32</t>
  </si>
  <si>
    <t>AGULHA DESCARTÁVEL 8MMX0,30MM (30G) P/ CANETA APLICADORA DE INSULINA C/100 UND-AGULHA FIXA DE 8,0 X 0,30 MM 1ML 30G</t>
  </si>
  <si>
    <t>AGULHA TECNICA DESC. PARA ANESTESIA RAQUIANA SPINAL 22G X 2 1/2-</t>
  </si>
  <si>
    <t xml:space="preserve">ATADURA DE CREPE 10CM X 1,25M - PC C/ 12 UND-CONFECCIONADA EM TECIDO 100% ALGODÃO CRU, FIOS DE ALTA TORÇÃO, QUE CONFERE ALTA RESISTÊNCIA, COM DENSIDADE DE 13 FIOS/CM2, POSSUINDO BASTANTE ELASTICIDADE NO SENTIDO LONGITUDINAL, PODENDO SER UTILIZADA VÁRIAS VEZES </t>
  </si>
  <si>
    <t xml:space="preserve">ATADURA DE CREPE 15CM X 1,25M - PC C/ 12 UND-CONFECCIONADA EM TECIDO 100% ALGODÃO CRU, FIOS DE ALTA TORÇÃO, QUE CONFERE ALTA RESISTÊNCIA, COM DENSIDADE DE 13 FIOS/CM2, POSSUINDO BASTANTE ELASTICIDADE NO SENTIDO LONGITUDINAL, PODENDO SER UTILIZADA VÁRIAS VEZES </t>
  </si>
  <si>
    <t xml:space="preserve">ATADURA DE CREPE 20CM X 1,25M - PC C/ 12 UND-CONFECCIONADA EM TECIDO 100% ALGODÃO CRU, FIOS DE ALTA TORÇÃO, QUE CONFERE ALTA RESISTÊNCIA, COM DENSIDADE DE 13 FIOS/CM2, POSSUINDO BASTANTE ELASTICIDADE NO SENTIDO LONGITUDINAL, PODENDO SER UTILIZADA VÁRIAS VEZES </t>
  </si>
  <si>
    <t>AVENTAL HOSPITALAR, TIPO CAMISOLA - PACOTE C/ 10UN-TNT 40G</t>
  </si>
  <si>
    <t>BOLSA COLETORA DE URINA GRADUADA SISTEMA ABERTO 2000ML C/ 100 UND-BOLSA COLETORA DE URINA E SECREÇÃO SISTEMA ABERTO COM BARBANTE DESCARTÁVEL, NÃO ESTÉRIL, 2000 ML.</t>
  </si>
  <si>
    <t>BOLSA COLETORA DE URINA GRADUADA SISTEMA FECHADO COM PONTO DE COLETA 2000ML-BOLSA ESTÉRIL PARA DRENAGEM DE URINA 2000 ML, SISTEMA FECHADO COM PONTO DE COLETA .</t>
  </si>
  <si>
    <t>BOLSA COLOSTOMIA INFANTIL-BOLSA DE COLOSTOMIA DRENÁVEL, INFANTIL, TRANSPARENTE, RECORTÁVEL 8-50MM. COM BARREIRA PROTETORA DE PELE DE DIÂMETRO DA ABERTURA PARA ESTOMA RECORTÁVEL DE 8 A 50MM E 15 CLIPES DE FECHAMENTO.</t>
  </si>
  <si>
    <t>BOLSA DE COLOSTOMIA 1 PEÇA, SEM ADESIVO MICROPOROSO, TRANSPARENTE RECORTÁVEL-COLETOR DRENÁVEL PARA ESTROMA INSTESTINAL DE 1 PEÇA PLANA, COM BASE PROTETORA HIDROCOLÓIDE RECORTÁVEL, 10-76CM, COM BOLSA COLETORA DRENÁVEL OPOCA, SEM ADESIVO MICROPOROSO AO REDOR, CO</t>
  </si>
  <si>
    <t>CAMPO CIRÚRGICO ESTÉRIL EM NÃO TECIDO (FENESTRADO)-CAMPO CIRÚRGICO ESTÉRIL EM NÃO TECIDO 100% POLIPROPILENO, 0,50M X 0,50M C/ FENESTRA (L.I.A).</t>
  </si>
  <si>
    <t>CANETA PARA BISTURI ELÉTRICO CD02 COMANDO DUPLO PONTA UNIVERSAL-CANETA PADRÃO AUTOCLAVÁVEL, CONTROLE MANUAL DUPLO ATRAVÉS DE BOTÕES TÁCTEIS QUE ACIONAM AS FUNÇÕES DE CORTE E COAGULAÇÃOADAPTÁVEL A BISTURI DE ALTA POTÊNCIA, 300 WATTS, B-3600- DELTRONIX SPLUS</t>
  </si>
  <si>
    <t>CANULA TRAQUEOSTOMIA COM ASPIRAÇÃO SUPRA CUFF N. 7,5-</t>
  </si>
  <si>
    <t>CANULA TRAQUEOSTOMIA COM ASPIRAÇÃO SUPRA CUFF N. 8,0-</t>
  </si>
  <si>
    <t>CANULA ASPIRAÇÃO INTRAUTERINA 6MM-</t>
  </si>
  <si>
    <t>CANULA ASPIRAÇÃO INTRAUTERINA 7MM-</t>
  </si>
  <si>
    <t>CANULA ASPIRAÇÃO INTRAUTERINA 8MM-</t>
  </si>
  <si>
    <t>CANULA ASPIRAÇÃO INTRAUTERINA 9MM-</t>
  </si>
  <si>
    <t>CATETER ARTERIAL FEMORAL 20GA X 16 CM-</t>
  </si>
  <si>
    <t>CATETER ARTERIAL RADIAL 20GAX8CM-</t>
  </si>
  <si>
    <t>CATETER NASAL TIPO ÓCULOS DE SILICONE ADULTO-CATETER DE OXIGÊNIO NASAL FEITO DE PVC DE GRAU MÉDICO, MATERIAL INÓCUO, INODORO E TRANSPARENTE, ESTÉRIL, EMBALADO INDIVDUALMENTE, TAMANHO 2,1 MTS.</t>
  </si>
  <si>
    <t>CATETER NASAL TIPO ÓCULOS DE SILICONE INFANTIL-CATETER DE OXIGÊNIO NASAL FEITO DE PVC DE GRAU MÉDICO, MATERIAL INÓCUO, INODORO E TRANSPARENTE, ESTÉRIL, EMBALADO INDIVDUALMENTE, TAMANHO 2,50 MTS.</t>
  </si>
  <si>
    <t>CATETER NASAL TIPO ÓCULOS DE SILICONE NEONATAL-CATETER DE OXIGÊNIO NASAL FEITO DE PVC DE GRAU MÉDICO, MATERIAL INÓCUO, INODORO E TRANSPARENTE, ESTÉRIL, EMBALADO INDIVDUALMENTE, TAMANHO 2,50 MTS.</t>
  </si>
  <si>
    <t>CATETER UMBILICAL 2,5 CH-MONO LUMEN</t>
  </si>
  <si>
    <t>CATETER UMBILICAL 3,5 CH-MONO LUMEN</t>
  </si>
  <si>
    <t>CATETER UMBILICAL 4,0 CH-MONO LUMEN</t>
  </si>
  <si>
    <t>CATETER VENOSO CENTRAL DUPLO LUMEN 3FR OU 4FR E ACESSÓRIOS (NEONATAL/INFANTIL)-CATETER PARA SUBCLÁVIA CVCII, 1 CATETER POLIURETANO 4FRX13CM COM OCLUSORES, 1 ABA DE SUTURA, 1 BRAÇADEIRA, 1 FIO GUIA (PONTAS RETA E J), 0,18X45CM COM DISPENSADOR, 1 AGULHA 21GAX5CM</t>
  </si>
  <si>
    <t>CATETER VENOSO CENTRAL DUPLO LUMEN 7FR 20CMOU 30CM 14/18G E ACESSÓRIOS (ADULTO)-CATETER PARA SUBCLÁVIA CVCII, 1 CATETER POLIURETANO 7FRX20 CM COM OCLUSORES, 1 ABA DE SUTURA, 1 BRAÇADEIRA, 1 FIO GUIA (PONTAS RETA E J), 0,32X60 CM COM DISPENSADOR, 1 AGULHA 18 GA</t>
  </si>
  <si>
    <t>CIRCUITO PARA RESPIRADOR EM SILICONE ADULTO-CIRCUITO RESPIRATÓRIO FABRICADO EM SILICONE 100% AUTOLAVÁVEL.ITENS: 4 OU 5 - TRAQUEIAS EM SILICONE (ADULTO)02 - DRENOS DE ÁGUA01 - CONECTOR Y01 - LINHA PROXIMAL</t>
  </si>
  <si>
    <t>CIRCUITO RESPIRATÓRIO DIXTAL ADULTO-CIRCUITO RESPIRATÓRIO ADULTO EM SILICONE AUTOCLAVÁVEL PARA ANESTESIA COMPOSTO DE:2 A 5 TRAQUEIAS 1200MM EM SILICONE CORRUGADO E AUTOCLAVÁVEL; 1 CONECTOR Y EM MATERIAL AUTOCLAVÁVEL COMPATÍVEL COM TODOS APARELHOS DE ANESTESIA</t>
  </si>
  <si>
    <t>CIRCUITO RESPIRATÓRIO P/ SISTEMA DE OXIGENAÇÃO ALTO FLUXO ADULTO-MATERIAL PLÁSTICO OU SIMILAR, CONTENDO: VIA INSPIRATÓRIA COM CONEXÃO PROXIMAL OU DISTAL OU AMBAS PARA OS SENSORES DE TEMPERATURA E FLUXO. CÂMARA DE UMIDIFICAÇÃO E ADAPTADOR DUPLO PARA ENTRADA E M</t>
  </si>
  <si>
    <t>CIRCUITO RESPIRATÓRIO P/ SISTEMA DE OXIGENAÇÃO ALTO FLUXO PEDIÁTRICO-MATERIAL PLÁSTICO OU SIMILAR, CONTENDO: VIA INSPIRATÓRIA COM CONEXÃO PROXIMAL OU DISTAL OU AMBAS PARA OS SENSORES DE TEMPERATURA E FLUXO. CÂMARA DE UMIDIFICAÇÃO E ADAPTADOR DUPLO PARA ENTRADA</t>
  </si>
  <si>
    <t>CIRCUITO RESPIRATÓRIO PARA ANESTESIA PEDIÁTRICO-CIRCUITO RESPIRATÓRIO PEDIÁTRICO EM SILICONE AUTOCLAVÁVEL PARA ANESTESIA COMPOSTO DE:3 TRAQUEIAS 1500MM EM SILICONE CORRUGADO E AUTOCLAVÁVEL; 1 CONECTOR Y EM MATERIAL AUTOCLAVÁVEL COMPATÍVEL COM TODOS APARELHOS D</t>
  </si>
  <si>
    <t>CLAMP UMBILICAL ESTÉRIL-INDICADO PARA UTILIZAÇÃO EM CORDÃO UMBILICAL DE RECÉM NASCIDO APÓS O PARTO. O SEU DESIGN E FORMATO TEM UM SISTEMA DENTADO TIPO PINÇA EM "V" COM BORDAS ARREDONDADAS NÃO TRAUMÁTICAS, DUPLAMENTE SERRILHADAS PARA EVITAR DESPRENDIMENTO QUAND</t>
  </si>
  <si>
    <t>COLETOR DE MATERIAL PERFUROCORTANTE 13 LTS-CAIXA COLETORA DE MATERIAL PERFUROCORTANTE, POSSUI BOCAL ABERTO PARA FACILITAR O DESCARTE DOS MATERIAIS, SEM NECESSIDADE DE ABRIR E FECHAR TAMPA. ACOMPANHA COM SACO PLÁSTICO DE DUPLA FUNÇÃO: PARA O TRANSPORTE DO COLET</t>
  </si>
  <si>
    <t>COLETOR DE MATERIAL PERFUROCORTANTE 7 LTS-CAIXA COLETORA DE MATERIAL PERFUROCORTANTE, POSSUI BOCAL ABERTO PARA FACILITAR O DESCARTE DOS MATERIAIS, SEM NECESSIDADE DE ABRIR E FECHAR TAMPA. ACOMPANHA COM SACO PLÁSTICO DE DUPLA FUNÇÃO: PARA O TRANSPORTE DO COLETO</t>
  </si>
  <si>
    <t>COLETOR DE SECREÇÕES VIAS AÉREAS BRONQUINHO 120ML - 10CM-COLETOR DE SECREÇÕES VIAS AÉREAS BRONQUINHO COM TAMPA ROSCA E DUAS VIAS, CAPACIDADE 120 ML, ALÇA PARA TRANSPORTE E FIXAÇÃO, ETIQUETA DE IDENTIFICAÇÃO, ACOMPANHA TUBO EM PVC PARA CONEXÃO À SONDA, EXTENÇÃO</t>
  </si>
  <si>
    <t>COMPRESSA DE GAZE 7,5 X 7,5 11FIOS C/ 10 UNIDADES ESTÉRIL-CONFECIONADA COM FIOS 100% ALGODÃO, ALVEJADAS E ISENTAS DE IMPUREZAS, SUBSTÂNCIAS GORDUROSAS, AMIDO, CORANTES CORRETIVOS E ALVEJANTES ÓPTICOS. TAMANHO 7,5X7,5CM. NÃO SOLTAM FIAPOS, POIS POSSUEM ACABAMEN</t>
  </si>
  <si>
    <t>CURATIVO DE ALGINATO DE CÁLCIO E SÓDIO 10X10 CM - CAIXA COM 10 UNID-CURATIVO DE ALGINATO DE CÁLCIO E SÓDIO ESTERELIZADO POR ÓXIDO ETILENO, TAMANHO 10X10CM, EMBALADOS INDIVIDUALMENTE, CAIXA COM 10 UNID.</t>
  </si>
  <si>
    <t>CURATIVO DE ALGINATO DE CÁLCIO E SÓDIO 10X20 CM - CAIXA COM 10 UND-CURATIVO DE ALGINATO DE CÁLCIO E SÓDIO ESTERELIZADO POR ÓXIDO ETILENO , TAMANHO 10X20CM, EMBALADOS INDIVIDUALMENTE, CAIXA COM 10 UNID.</t>
  </si>
  <si>
    <t>CURATIVO DE ALGINATO DE CÁLCIO E SÓDIO 15X15 CM - CAIXA COM 10 UND-CURATIVO DE ALGINATO DE CÁLCIO E SÓDIO ESTERELIZADO POR ÓXIDO ETILENO , TAMANHO 15X15CM, EMBALADOS INDIVIDUALMENTE, CAIXA COM 10 UNID.</t>
  </si>
  <si>
    <t>CURATIVO DE HIDROCOLOIDE - REGULAR 10X10 CM - CAIXA COM 10 UND-CURATIVO PARA FERIDAS FEITO DE PARTÍCULAS DE HIDROCOLOIDE GELATINA, PECTINA E CMC INSERIDAS EM POLÍMEROS ELASTOMÉRICOS, PAPEL DE SILICONE E FILME PLÁSTICO IMPERMEÁVEL. ESTERILIZADO POR GAMMA RAY. E</t>
  </si>
  <si>
    <t>CURATIVO DE HIDROCOLOIDE - REGULAR 15X15 CM - CAIXA COM 10 UND-CURATIVO PARA FERIDAS FEITO DE PARTÍCULAS DE HIDROCOLOIDE GELATINA, PECTINA E CMC INSERIDAS EM POLÍMEROS ELASTOMÉRICOS, PAPEL DE SILICONE E FILME PLÁSTICO IMPERMEÁVEL. ESTERILIZADO POR GAMMA RAY. E</t>
  </si>
  <si>
    <t>CURATIVO DE HIDROCOLOIDE - REGULAR 20X20 CM - CAIXA COM 10 UND-CURATIVO PARA FERIDAS FEITO DE PARTÍCULAS DE HIDROCOLOIDE GELATINA, PECTINA E CMC INSERIDAS EM POLÍMEROS ELASTOMÉRICOS, PAPEL DE SILICONE E FILME PLÁSTICO IMPERMEÁVEL. ESTERILIZADO POR GAMMA RAY. E</t>
  </si>
  <si>
    <t>DRENO CIRÚRGICO SILICONE ESTÉRIL RADIOPACO 06MM X 30CM-MATERIAL: SILICONE GRAU MÉDICO, COMPRIMENTO: 30 CM, ESTRUTURA CORRUGADA, COM LINHA RADIOPACA</t>
  </si>
  <si>
    <t>DRENO CIRÚRGICO, MODELO KEHR EM ´T´,CALIBRE 16-"MATERIAL SILICONE COMPRIMENTO CERCA DE 40 CM, COMPONENTE II RADIOPACO, TIPO USO ESTÉRIL, DESCARTÁVEL, EMBALAGEM EMBALAGEM INDIVIDUAL"</t>
  </si>
  <si>
    <t>DRENO CIRÚRGICO, MODELO KEHR EM ´T´,CALIBRE 20-"MATERIAL SILICONE COMPRIMENTO CERCA DE 40 CM, COMPONENTE II RADIOPACO, TIPO USO ESTÉRIL, DESCARTÁVEL, EMBALAGEM EMBALAGEM INDIVIDUAL"</t>
  </si>
  <si>
    <t>EQUIPO GRAVITACIONAL PARA DIETA ENTERAL CONTÍNUA-EQUIPO GRAVITACIONAL PARA DIETA CONTÍNUA - EQUIPO PARA DIETAS COM SISTEMA FECHADO. - COTA PRINCIPAL</t>
  </si>
  <si>
    <t>EQUIPO GRAVITACIONAL PARA DIETA ENTERAL CONTÍNUA-EQUIPO GRAVITACIONAL PARA DIETA CONTÍNUA - EQUIPO PARA DIETAS COM SISTEMA FECHADO. - COTA RESERVADA</t>
  </si>
  <si>
    <t>EQUIPO GRAVITACIONAL PARA DIETA ENTERAL ESCALONADO-</t>
  </si>
  <si>
    <t>EQUIPO MACROGOTAS COM RESERVATÓRIO FLEXÍVEL, COM INJ. LATERAL EM SILICONE-EQUIPO MACROGOTAS PARA INFUSÃO INTRAVENOSA, ESTÉRIL, POR GRAVIDADE, CÂMARA DE GOTEJAMENTO MACROGOTAS, FLEXÍVEL, COM FILTRO HIDROFOBICO E BACTERIOLÓGICO, PONTA FERFURANTE COM TAMPA PROTET</t>
  </si>
  <si>
    <t>EQUIPO MACROGOTAS FOTOSSENSIVEL-</t>
  </si>
  <si>
    <t>EQUIPO MICROGOTAS COM RESERVATÓRIO FLEXÍVEL, COM INJ. LATERAL EM SILICONE-EQUIPO MICROGOTAS PARA INFUSÃO INTRAVENOSA, PARA INFUSÃO POR GRAVIDADE, CAMARA DE GOTEJAMENTO MICROGOTAS (60GOTAS/ML), PONTA PERFURANTE COM TAMPA PROTETORA, ABERTURA DE VENTILAÇÃO DE AR,</t>
  </si>
  <si>
    <t>EQUIPO PARA TRANSFUSÃO SANGUÍNEA-EQUIPO DE TRANSFUSÃO ESTÉRIL DE USO ÚNICO, COM FILTRO DE SANGUE, CÂMARA DUPLA DE GOTEJAMENTO, TUBULAÇÃO EM PVC DE 150 CM, REGULADOR DE FLUXO TIPI "V" E ENCAIXE LUER LOCK.</t>
  </si>
  <si>
    <t>EQUIPO SAMTRONIC PARA BOMBA DE INFUSÃO - AMISET - EA 0421 0000-COTA PRINCIPAL</t>
  </si>
  <si>
    <t>EQUIPO SAMTRONIC PARA BOMBA DE INFUSÃO - AMISET - EA 0421 0000-COTA RESERVADA</t>
  </si>
  <si>
    <t>EQUIPO SAMTRONIC PARA BOMBA DE INFUSÃO - GIRASET - EG 0421 0000-COTA PRINCIPAL</t>
  </si>
  <si>
    <t>EQUIPO SAMTRONIC PARA BOMBA DE INFUSÃO - GIRASET - EG 0421 0000-COTA RESERVADA</t>
  </si>
  <si>
    <t>ESCOVA PARA LIMPEZA DE INSTRUMENTAIS-ESCOVA PARA LIMPEZA DE INSTRUMENTAIS, DE USO HOSPITALAR E ODONTOLOGICO - APRESENTANDO CERDAS FLEXÍVEIS, CABO COM 22CM, PODENDO SER AUTOCLAVÁVEL.</t>
  </si>
  <si>
    <t>ESPÉCULO VAGINAL COM DUCTO ASPIRADOR DESCARTÁVEL - TAMANHO MÉDIO-ESPÉCULO USO MÉDICO, APLICAÇÃO VAGINAL, MODELO COLLIN, TAMANHO MÉDIO, ADICIONAL 2 C/ DUCTO ASPIRADOR, TRAVAMENTO C/ TRAVA TIPO ROSCA, MATERIAL POLÍMERO, ESTERILIDADE ESTÉRIL, USO ÚNICO, EMBALAGEM</t>
  </si>
  <si>
    <t>ESPÉCULO VAGINAL COM DUCTO ASPIRADOR DESCARTÁVEL - TAMANHO PEQUENO-ESPÉCULO USO MÉDICO, APLICAÇÃO VAGINAL, MODELO COLLIN, TAMANHO PEQUENO, ADICIONAL 2 C/ DUCTO ASPIRADOR, TRAVAMENTO C/ TRAVA TIPO ROSCA, MATERIAL POLÍMERO, ESTERILIDADE ESTÉRIL, USO ÚNICO, EMBAL</t>
  </si>
  <si>
    <t>ESPÉCULO VAGINAL COM DUCTO ASPIRADOR DESCARTÁVEL - TAMANHO GRANDE-ESPÉCULO USO MÉDICO, APLICAÇÃO VAGINAL, MODELO COLLIN, TAMANHO GRANDE, ADICIONAL 1 C/ VIA P/ ILUMINAR CAVIDADE, TRAVAMENTO C/ TRAVA TIPO ROSCA, MATERIAL POLÍMERO, ESTERILIDADE ESTÉRIL, USO ÚNICO</t>
  </si>
  <si>
    <t>FILTRO BACTERIANO HMEF PARA VENTILAÇÃO MECÂNICA-BILTRO BACTERIANO HMEF PARA VENTILAÇÃO MECÂNICA.</t>
  </si>
  <si>
    <t>FILTRO PARA VENTILAÇÃO BACTERIANO VIRAL HMEF NEONATAL-O FILTRO PARA VENTILAÇÃO MECÂNICA BACTERIANO VIRAL NEONATAL É UTILIZADO EM CONJUNTO COM RESPIRADORES MECÂNICOS E APARELHOS DE ANESTESIA. INDICADO PARA PACIENTES RECÉM-NASCIDOS QUE ESTÃO EM VENTILAÇÃO MECÂNI</t>
  </si>
  <si>
    <t>FIO GUIA BOUGIE ADULTO - 15FR-TUBO DE PVC (CLORETO DE POLIVINILA) NO MODELO MACIÇO, PARA INTUBAÇÃO TRAQUEAL ADULTO TAMANHO 15FR - 5,0MM. PARA SONDAS DE 8,5 A 11 MM</t>
  </si>
  <si>
    <t>FIO GUIA BOUGIE INFANTIL - 10FR-TUBO DE PVC (CLORETO DE POLIVINILA) NO MODELO MACIÇO, PARA INTUBAÇÃO TRAQUEAL INFANTIL TAMANHO 10FR - 3,3MM. PARA SONDAS DE 5,0 A 8,0 MM</t>
  </si>
  <si>
    <t>FIO GUIA BOUGIE NEONATAL - 06FR-TUBO DE PVC (CLORETO DE POLIVINILA) NO MODELO MACIÇO, PARA INTUBAÇÃO TRAQUEAL NEONATAL TAMANHO 06FR - 2,0MM. PARA SONDAS DE 2,5 A 4,5 MM</t>
  </si>
  <si>
    <t>FITA AUTOCLAVE 19X30-</t>
  </si>
  <si>
    <t>ESPARADRAPO 10CMX4,5-COMPOSTO DE TECIDO 100% ALGODÃO COM RESINA ACRÍLICA IMPERMEABILIZANTE, COM APLICAÇÃO DE MASSA ADESIVA À BASE DE BORRACHA NATURAL, ÓXIDO DE ZINCO E RESINA. FÁCIL DE RASGAR E DE EXCELENTE FLEXIBILIDADE. - COTA PRINCIPAL</t>
  </si>
  <si>
    <t>ESPARADRAPO 10CMX4,5-COMPOSTO DE TECIDO 100% ALGODÃO COM RESINA ACRÍLICA IMPERMEABILIZANTE, COM APLICAÇÃO DE MASSA ADESIVA À BASE DE BORRACHA NATURAL, ÓXIDO DE ZINCO E RESINA. FÁCIL DE RASGAR E DE EXCELENTE FLEXIBILIDADE. - COTA RESERVADA</t>
  </si>
  <si>
    <t>FITA MICROPOROSA 5CMX10M BRANCA-FITA EXTRA FINA,EXCELENTE FIXAÇÃO, NÃO MACHUCA A PELE AO SER REMOVIDA, COR BRANCA, TAMANHO 5 CENTÍMETROS DE LARGURA POR 10 METROS DE COMPRIMENTO.</t>
  </si>
  <si>
    <t>FIXADOR DE CÂNULA TRAQUEOSTOMIA ADULTO 35 CM-PARA FIXAÇÃO DE TUBOS ENDOTRAQUEAIS OU CÂNULAS DE TRAQUEOSTOMIA.</t>
  </si>
  <si>
    <t>FIXADOR DE TUBO ENDOTRAQUEAL - ADULTO-FIXADOR PARA TUBO ENDOTRAQUEAL QUE IMPEÇA O MOVIMENTO/ DESLOCAMENTO TUBO, CONFECCIONADO EM MATERIAL MACIO E ANTIALÉRGICO. TECIDO NA PARTE INTERMEDIARIA DE PVC, EVITANDO O QUE EVITARÁ PROLIFERAÇÃO DE BACTÉRIAS, FITA ADERENT</t>
  </si>
  <si>
    <t xml:space="preserve">FIXADOR PARA TUBO ENDOTRAQUEAL - NEONATAL-FIXADOR PARA TUBO ENDOTRAQUEAL NEONATAL - DISPOSITIVO MÉDICO-HOSPITALAR DESTINADO À FIXAÇÃO EXTERNA DE TUBO ENDOTRAQUEAL EM PACIENTES NEONATAIS, COMPATÍVEL COM TUBOS DE DIÂMETRO CORRESPONDENTE À FAIXA NEONATAL (2,0 MM </t>
  </si>
  <si>
    <t>FRALDA INFANTIL DESC. TAMANHO "G"-</t>
  </si>
  <si>
    <t>FRALDA INFANTIL DESC. TAMANHO "M"-</t>
  </si>
  <si>
    <t>FRALDA INFANTIL DESC. TAMANHO "P"-</t>
  </si>
  <si>
    <t>FRALDA INFANTIL DESC. TAMANHO "XG"-</t>
  </si>
  <si>
    <t>FRALDA INFANTIL DESC. TAMANHO "XXG"-</t>
  </si>
  <si>
    <t>FRALDAS GERIÁTRICAS DESCARTÁVEIS TAM. "EG" PCT. C/7 OU 8 UN-FRALDAS GERIATRICAS TAM EG ACIMA 120KG, COMPOSIÇÃO: FIBRAS DE CELULOSE E POLIPROPILENO, POLÍMERO SUPER ABSORVENTE, FILME DE POLIETILENO, FILME DE POLIPROPILENO NÃO TECIDO DE FIBRAS DE POLIPROPILENO, A</t>
  </si>
  <si>
    <t>FRALDAS GERIÁTRICAS DESCARTÁVEIS TAM. "G" PCT. C/8 OU 9 UN-FRALDAS GERIATRICAS TAM G 70 A 90KG COMPOSIÇÃO: FIBRAS DE CELULOSE E POLIPROPILENO, POLÍMERO SUPER ABSORVENTE, FILME DE POLIETILENO, FILME DE POLIPROPILENO NÃO TECIDO DE FIBRAS DE POLIPROPILENO, ADESIV</t>
  </si>
  <si>
    <t>FRALDAS GERIÁTRICAS DESCARTÁVEIS TAM. "M" PCT. C/8 OU 9 UN-FRALDAS GERIATRICAS TAM M 40 A 70KG COMPOSIÇÃO: FIBRAS DE CELULOSE E POLIPROPILENO, POLÍMERO SUPER ABSORVENTE, FILME DE POLIETILENO, FILME DE POLIPROPILENO NÃO TECIDO DE FIBRAS DE POLIPROPILENO, ADESIV</t>
  </si>
  <si>
    <t>FRALDAS GERIÁTRICAS DESCARTÁVEIS TAM. "P" PCT. C/8 UN-FRALDAS GERIATRICAS TAM P 20 A 40KG COMPOSIÇÃO: FIBRAS DE CELULOSE E POLIPROPILENO, POLÍMERO SUPER ABSORVENTE, FILME DE POLIETILENO, FILME DE POLIPROPILENO NÃO TECIDO DE FIBRAS DE POLIPROPILENO, ADESIVOS TE</t>
  </si>
  <si>
    <t>INDICADOR BIOLÓGICO DE LEITURA RÁPIDA- 3H C/ 1 INCUBADORA EM COMODATO-INDICADOR BIOLÓGICO AUTÔNOMO PARA PROCESSOS DE ESTERILIZAÇÃO A VAPOR. GEOBACILLUS STEAROTHERMOPHILUS (ATCC 7953) 10 ^ 5 OU 10 ^ 6 ESPOROS POR FRASCO. LEITURA: 3 HORAS COM 1 INCUBADORA EM COM</t>
  </si>
  <si>
    <t>INDICADOR BIOLÓGICO DE LEITURA RÁPIDA - 24H COM 15 INCUBADORA EM COMODATO-BT20 / INDICADOR BIOLÓGICO AUTÔNOMO PARA PROCESSOS DE ESTERILIZAÇÃO A VAPOR. GEOBACILLUS STEAROTHERMOPHILUS (ATCC 7953) 10 ^ 5 OU 10 ^ 6 ESPOROS POR FRASCO. LEITURA: 24 HORAS COM 15 INCU</t>
  </si>
  <si>
    <t>INTEGRADOR QUÍMICO CLASSE 5-INTEGRADOR CLASSE 5 , PARA VALIDAÇÃO DE ESTERILIZADORES A VAPOR COM VÁCUO ASSISTIDO A 134.C POR 3,5.</t>
  </si>
  <si>
    <t>KIT PARTO-KIT EMBALADO EM PAPEL DE GRAU CIRÚRGICO CONTENDO: LENÇOL TNT COM ELÁSTICO BRANCO; AVENTAL MANGA LONGA TNT NA COR BRANCA; BISTURI DESCARTÁVEL DE SEGURANÇA N.22 3432G ESTÉRIL; PARES DE LUVA CIRÚRGICA ESTÉRIL COM PÓ N.7,5;PACOTES DE COMPRESSA GAZE ESTÉR</t>
  </si>
  <si>
    <t>LAMINA BISTURI N.11 C/100-CONFECCIONADA EM AÇO INOX OU AÇO CARBONO, EMBALADAS INDIVIDUALMENTE EM ALUMÍNIO COM ABERTURA ASSÉPTICA, POSSUEM ALTA ADAPTABILIDADE AO CABO FACILITANDO O MANUSEIO. ESTÉRIL.</t>
  </si>
  <si>
    <t>LAMINA BISTURI N.15 C/100-CONFECCIONADA EM AÇO INOX OU AÇO CARBONO, EMBALADAS INDIVIDUALMENTE EM ALUMÍNIO COM ABERTURA ASSÉPTICA, POSSUEM ALTA ADAPTABILIDADE AO CABO FACILITANDO O MANUSEIO. ESTÉRIL.</t>
  </si>
  <si>
    <t>LAMINA BISTURI N.22 C/100-CONFECCIONADA EM AÇO INOX OU AÇO CARBONO, EMBALADAS INDIVIDUALMENTE EM ALUMÍNIO COM ABERTURA ASSÉPTICA, POSSUEM ALTA ADAPTABILIDADE AO CABO FACILITANDO O MANUSEIO. ESTÉRIL.</t>
  </si>
  <si>
    <t>LAMINA BISTURI N.23 C/100-CONFECCIONADA EM AÇO INOX OU AÇO CARBONO, EMBALADAS INDIVIDUALMENTE EM ALUMÍNIO COM ABERTURA ASSÉPTICA, POSSUEM ALTA ADAPTABILIDADE AO CABO FACILITANDO O MANUSEIO. ESTÉRIL.</t>
  </si>
  <si>
    <t>LAMINA DE BISTURI N. 12 C/ 100 UNIDADES-LAMINA DE BISTURI - EM ACO CARBONO CORTANTE, FIO CURVADO NA PONTA, PERFEITA ADAPTACAO AO CABO, NUMERO 12, ESTERILIZADO A COBALTO 60, DESCARTAVEL, ENVELOPE EM ALUMINIO HERMETICAMENTE FECHADO E ASSEPTICO, COM PERFEITO ACAB</t>
  </si>
  <si>
    <t>LÂMINA UNIVERSAL PARA TRICOTOMIZADOR RECARREGÁVEL-LÂMINAS COMPATÍVEIS COM A MARCA DE TRICOTOMIZADOR MEDPEX. CAIXA COM 10 UNIDADES. LÂMINAS DE REPOSIÇÃO DESCARTÁVEIS, UNIVERSAIS, COMPATÍVEIS COM TRICOTOMIZADORES ELÉTRICOS RECARREGÁVEIS UTILIZADOS EM AMBIENTES H</t>
  </si>
  <si>
    <t>LANCETA 28G (0,36MMX1,5MM) C/ DISPOSITIVO DE SEGURANÇA - CAIXA C/ 100 UND-COTA PRINCIPAL</t>
  </si>
  <si>
    <t>LANCETA 28G (0,36MMX1,5MM) C/ DISPOSITIVO DE SEGURANÇA - CAIXA C/ 100 UND-COTA RESERVADA</t>
  </si>
  <si>
    <t>LENÇOL EM TNT DESCARTAVEL C/ ELASTICO P/ MACA DE TRANSPORTE - PACOTE C/ 10UN-DIMENSÕES:2,20X90CM, 30G.</t>
  </si>
  <si>
    <t>MASCARA DE OXIGÊNIO COM RESERVATÓRIO ADULTO-MÁSCARA DE NÃO REINALAÇÃO ADULTO, NÃO ESTÉRIL, CADA ENVELOPE CONTÉM: 1 MÁSCARA, 1 RUBO DE OXIGÊNIO, 1 BOLSA RESERVATÓRIO.</t>
  </si>
  <si>
    <t>MASCARA DE VENTURI ADULTO-MÁSCARA DE OXIGÊNIO VENTURI, TUBO CORRUGADO, 6 DILUIDORES, TUBO DE O2, ADULTO.</t>
  </si>
  <si>
    <t>MASCARA DE VENTURI INFANTIL-MÁSCARA DE OXIGÊNIO VENTURI, TUBO CORRUGADO, 6 DILUIDORES, TUBO DE O2, PEDIÁTRICO.</t>
  </si>
  <si>
    <t>MASCARA LARÍNGEA DESCARTÁVEL N. 1.0-SONDA MÁSCARA LARÍNGEA PVC DESCARTÁVEL, TAMANHO 1.0 (NEO/INFANTS ATÉ 5KG - 4ML).</t>
  </si>
  <si>
    <t>MASCARA LARÍNGEA DESCARTÁVEL N. 1.5-SONDA MÁSCARA LARÍNGEA PVC DESCARTÁVEL, TAMANHO 1.5 (INFANTIL 5 A 10 KG - 7ML).</t>
  </si>
  <si>
    <t>MASCARA LARÍNGEA DESCARTÁVEL N. 2.0-SONDA MÁSCARA LARÍNGEA PVC DESCARTÁVEL, TAMANHO 2.0 (INFANTIL/ CRIANÇA 10 A 20 KG - 10ML.</t>
  </si>
  <si>
    <t>MASCARA LARÍNGEA DESCARTÁVEL N. 2.5-SONDA MÁSCARA LARÍNGEA PVC DESCARTÁVEL, TAMANHO 2.5 (INFANTIL/ CRIANÇA 20 A 30 KG- 14ML).</t>
  </si>
  <si>
    <t>MASCARA LARÍNGEA DESCARTÁVEL N. 3.0-SONDA MÁSCARA LARÍNGEA PVC DESCARTÁVEL, TAMANHO 3.0 (CRIANÇA 30 A 50 KG - 20ML).</t>
  </si>
  <si>
    <t>MASCARA LARÍNGEA DESCARTÁVEL N. 4.0-SONDA MÁSCARA LARÍNGEA PVC DESCARTÁVEL, TAMANHO 4.0 (ADULTO 50 A 70 KG - 30 ML).</t>
  </si>
  <si>
    <t>MASCARA LARÍNGEA DESCARTÁVEL N. 5.0-SONDA MÁSCARA LARÍNGEA PVC DESCARTÁVEL, TAMANHO 5.0 (ADULTO 70 KG OU MAIS - 40 ML).</t>
  </si>
  <si>
    <t>MÁSCARA PARA REANIMADOR MANUAL NEONATAL - NR 0-MÁSCARA PARA PROCEDIMENTOS DE REANIMAÇÃO MANUAL PARA ADAPTAR EM BVM NO 0</t>
  </si>
  <si>
    <t>MÁSCARA PARA REANIMADOR MANUAL NEONATAL - NR 1-MÁSCARA PARA PROCEDIMENTOS DE REANIMAÇÃO MANUAL PARA ADAPTAR EM BVM NO 1</t>
  </si>
  <si>
    <t>PAPEL GRAU CIRURGICO BOBINA 10 X 100 MTS-PAPEL GRAU CIRÚRGICO, FILME LAMINADO DE POLIÉSTER COM POLIPROPILENO/ MULTICAMADAS PARA ESTERILIZAÇÃO 10 X 100 M.</t>
  </si>
  <si>
    <t>PAPEL GRAU CIRÚRGICO BOBINA 15 X 100 MTS-PAPEL GRAU CIRÚRGICO, FILME LAMINADO DE POLIÉSTER COM POLIPROPILENO/ MULTICAMADAS PARA ESTERILIZAÇÃO 15 X 100 M.</t>
  </si>
  <si>
    <t>PAPEL GRAU CIRÚRGICO BOBINA 20 X 100 MTS-PAPEL GRAU CIRÚRGICO, FILME LAMINADO DE POLIÉSTER COM POLIPROPILENO/ MULTICAMADAS PARA ESTERILIZAÇÃO 20 X 100 M.</t>
  </si>
  <si>
    <t>PAPEL GRAU CIRÚRGICO BOBINA 30 X 100 MTS-PAPEL GRAU CIRÚRGICO, FILME LAMINADO DE POLIÉSTER COM POLIPROPILENO/ MULTICAMADAS PARA ESTERILIZAÇÃO 30 X 100 M.</t>
  </si>
  <si>
    <t>PAPEL GRAU CIRÚRGICO BOBINA 40 X 100 MTS-PAPEL GRAU CIRÚRGICO, FILME LAMINADO DE POLIÉSTER COM POLIPROPILENO/ MULTICAMADAS PARA ESTERILIZAÇÃO 40 X 100 M.</t>
  </si>
  <si>
    <t>PAPEL GRAU CIRÚRGICO BOBINA 50 X 100 MTS-PAPEL GRAU CIRÚRGICO, FILME LAMINADO DE POLIÉSTER COM POLIPROPILENO/ MULTICAMADAS PARA ESTERILIZAÇÃO 50 X 100 M.</t>
  </si>
  <si>
    <t>PAPEL LENÇOL 70X50 BRANCO LUXO-LENÇOL DE PAPEL HOSPITALAR, 100% CELULOSE, 100% BRANCO, SUPER MACIO, BRANCO LUXO, ABSORVENTE, EMBALADOS INDIVIDUALMENTE, 70CM X 50M. - COTA PRINCIPAL</t>
  </si>
  <si>
    <t>PAPEL LENÇOL 70X50 BRANCO LUXO-LENÇOL DE PAPEL HOSPITALAR, 100% CELULOSE, 100% BRANCO, SUPER MACIO, BRANCO LUXO, ABSORVENTE, EMBALADOS INDIVIDUALMENTE, 70CM X 50M. - COTA RESERVADA</t>
  </si>
  <si>
    <t>REANIMADOR MANUAL EM SILICONE COM MÁSCARA E RESERVATÓRIO (AMBÚ) - NEONATAL-</t>
  </si>
  <si>
    <t>SERINGA DESC. 1 ML SEM AGULHA BICO LUER LOOK-COTA PRINCIPAL</t>
  </si>
  <si>
    <t>SERINGA DESC. 1 ML SEM AGULHA BICO LUER LOOK-COTA RESERVADA</t>
  </si>
  <si>
    <t>SERINGA DESC. 1 ML SEM AGULHA BICO LUER SLIP-</t>
  </si>
  <si>
    <t>SERINGA DESC. 1ML AGULHA 0,60X25MM BICO LUER SLIP-COTA PRINCIPAL</t>
  </si>
  <si>
    <t>SERINGA DESC. 1ML AGULHA 0,60X25MM BICO LUER SLIP-COTA RESERVADA</t>
  </si>
  <si>
    <t>SERINGA DESC. 1ML AGULHA 0,70X25 BICO LUER SLIP-COTA PRINCIPAL</t>
  </si>
  <si>
    <t>SERINGA DESC. 1ML AGULHA 0,70X25 BICO LUER SLIP-COTA RESERVADA</t>
  </si>
  <si>
    <t>SERINGA DESC. 1ML PARA INSULINA AGULHA 13MM X 0,45-SERINGA DE 1 ML PARA INSULINA LUER SLIP. - COTA PRINCIPAL</t>
  </si>
  <si>
    <t>SERINGA DESC. 1ML PARA INSULINA AGULHA 13MM X 0,45-SERINGA DE 1 ML PARA INSULINA LUER SLIP. - COTA RESERVADA</t>
  </si>
  <si>
    <t>SERINGA DESC. 3ML SEM AGULHA BICO LUER LOOK-</t>
  </si>
  <si>
    <t>SERINGA DESC. 5ML SEM AGULHA BICO LUER LOOK-</t>
  </si>
  <si>
    <t>SERINGA DESC. 10ML SEM AGULHA BICO LUER LOOK-COTA PRINCIPAL</t>
  </si>
  <si>
    <t>SERINGA DESC. 10ML SEM AGULHA BICO LUER LOOK-COTA RESERVADA</t>
  </si>
  <si>
    <t>SERINGA DESC. 20ML SEM AGULHA BICO LUER LOOK-</t>
  </si>
  <si>
    <t>SERINGA DESC. 20ML SEM AGULHA BICO LUER SLIP-COTA PRINCIPAL</t>
  </si>
  <si>
    <t>SERINGA DESC. 20ML SEM AGULHA BICO LUER SLIP-COTA RESERVADA</t>
  </si>
  <si>
    <t>SERINGA CRISTAL LUER LOCK 20 ML-COMPATÍVEL COM BOMBA DE INFUSÃO DE SERINGA SAMTRONIC ST7000</t>
  </si>
  <si>
    <t>SERINGA FOTOPROTETORA LUER LOCK 20 ML-COMPATÍVEL COM BOMBA DE INFUSÃO DE SERINGA SAMTRONIC ST7000</t>
  </si>
  <si>
    <t>SISTEMA FECHADO DE ASPIRAÇÃO TRAQUEAL 14 FR (4,6X30,5 CM) C/ MDI-SONDA DE ASPIRAÇÃO COM VÁLVULA, DIÂMETRO 14FR (4,6MM) COMPRIMENTO 36 CM, ADAPTADOR MDI.</t>
  </si>
  <si>
    <t>SISTEMA FECHADO DE ASPIRAÇÃO TRAQUEAL 14 FR (4,6X36 CM) C/ MDI-SONDA DE ASPIRAÇÃO COM VÁLVULA, DIÂMETRO 14FR (4,6MM) COMPRIMENTO 36 CM, ADAPTADOR MDI.</t>
  </si>
  <si>
    <t>SISTEMA FECHADO DE ASPIRAÇÃO TRAQUEAL 14 FR (4,6X54 CM) C/ MDI-SONDA DE ASPIRAÇÃO COM VÁLVULA, DIÂMETRO 14FR (4,6MM) COMPRIMENTO 36 CM, ADAPTADOR MDI.</t>
  </si>
  <si>
    <t>SISTEMA FECHADO DE ASPIRAÇÃO TRAQUEAL 16 FR (5,3X54 CM) C/ MDI-SONDA DE ASPIRAÇÃO COM VÁLVULA, DIÂMETRO 16FR (5,3MM) COMPRIMENTO 54 CM, ADAPTADOR MDI.</t>
  </si>
  <si>
    <t>SONDA DE FOLEY N. 8 C/ 2 VIAS-</t>
  </si>
  <si>
    <t>SONDA DE FOLEY N. 10 C/ 2 VIAS-</t>
  </si>
  <si>
    <t>SONDA DE FOLEY N. 12 C/ 2 VIAS-</t>
  </si>
  <si>
    <t>SONDA DE FOLEY N. 14 C/ 2 VIAS-</t>
  </si>
  <si>
    <t>SONDA DE FOLEY N. 16 C/ 2 VIAS-</t>
  </si>
  <si>
    <t>SONDA DE FOLEY N. 16 C/ 3 VIAS-</t>
  </si>
  <si>
    <t>SONDA DE FOLEY N. 18 C/ 2 VIAS-</t>
  </si>
  <si>
    <t>SONDA DE FOLEY N. 18 C/ 3 VIAS-</t>
  </si>
  <si>
    <t>SONDA DE FOLEY N. 20 C/ 2 VIAS-</t>
  </si>
  <si>
    <t>SONDA DE FOLEY N. 20 C/ 3 VIAS-</t>
  </si>
  <si>
    <t>SONDA DE FOLEY N. 22 C/ 2 VIAS-</t>
  </si>
  <si>
    <t>SONDA DE FOLEY N. 22 C/ 3 VIAS-</t>
  </si>
  <si>
    <t>SONDA DE FOLEY N. 24 C/ 2 VIAS-</t>
  </si>
  <si>
    <t>SONDA DE FOLEY N. 24 C/ 3 VIAS-</t>
  </si>
  <si>
    <t>SONDA NASOGASTRICA CURTA N. 6-</t>
  </si>
  <si>
    <t>SONDA NASOGASTRICA CURTA N. 8-</t>
  </si>
  <si>
    <t>SONDA NASOGASTRICA CURTA N. 10-</t>
  </si>
  <si>
    <t>SONDA NASOGASTRICA CURTA N. 12-</t>
  </si>
  <si>
    <t>SONDA NASOGASTRICA CURTA N. 14-</t>
  </si>
  <si>
    <t>SONDA NASOGASTRICA CURTA N. 16-</t>
  </si>
  <si>
    <t>SONDA NASOGASTRICA CURTA N. 18-</t>
  </si>
  <si>
    <t>SONDA NASOGASTRICA LONGA N. 04-</t>
  </si>
  <si>
    <t>SONDA NASOGASTRICA LONGA N. 06-</t>
  </si>
  <si>
    <t>SONDA NASOGASTRICA LONGA N. 08-</t>
  </si>
  <si>
    <t>SONDA NASOGASTRICA LONGA N. 10-</t>
  </si>
  <si>
    <t>SONDA NASOGASTRICA LONGA N. 12-</t>
  </si>
  <si>
    <t>SONDA NASOGASTRICA LONGA N. 14-</t>
  </si>
  <si>
    <t>SONDA NASOGASTRICA LONGA N. 16-</t>
  </si>
  <si>
    <t>SONDA NASOGASTRICA LONGA N. 18-</t>
  </si>
  <si>
    <t>SONDA NASOGASTRICA LONGA N. 20-</t>
  </si>
  <si>
    <t>SONDA NASOGASTRICA LONGA N. 22-</t>
  </si>
  <si>
    <t>SONDA NASOENTERAL 12 FR C/ FIO GUIA-SONDA PARA NUTRIÇÃO ENTERAL COM GUIA NR 12 FR.</t>
  </si>
  <si>
    <t>SONDA URETRAL N. 4-</t>
  </si>
  <si>
    <t>SONDA URETRAL N. 6-</t>
  </si>
  <si>
    <t>SONDA URETRAL N. 8-</t>
  </si>
  <si>
    <t>SONDA URETRAL N. 10-</t>
  </si>
  <si>
    <t>SONDA URETRAL N. 12-</t>
  </si>
  <si>
    <t>SONDA URETRAL N. 14-</t>
  </si>
  <si>
    <t>SONDA URETRAL N. 16-</t>
  </si>
  <si>
    <t>SONDA URETRAL N. 18-</t>
  </si>
  <si>
    <t>SONDA URETRAL N. 20-</t>
  </si>
  <si>
    <t>SUPORTE PARA CAIXA COLETORA PERFUROCORTANTE 7 LTS-</t>
  </si>
  <si>
    <t>SUPORTE PARA CAIXA COLETORA PERFUROCORTANTE 13 LTS-</t>
  </si>
  <si>
    <t>TAMPA OCLUSORA LUER LOCK - ESTÉRIL, DESCARTÁVEL-COMPATÍVEL COM CONEXÕES LUER LOCK PADRÃO. PRODUTO ESTÉRIL, DESCARTÁVEL E DE USO ÚNICO. EMBALADO INDIVIDUALMENTE EM MATERIAL QUE GARANTE A INTEGRIDADE DA ESTERILIDADE. ISENTO DE LÁTEX. USO HOSPITALAR.</t>
  </si>
  <si>
    <t>TORNEIRINHA (DÂNULA) 3 VIAS-TORNEIRA (DÂNULA) DE 3 VIAS SLIP.</t>
  </si>
  <si>
    <t>TOUCA TURBANTE DESCARTÁVEL - PACOTE C/ 100 UN-FABRICADA EM 100% POLIPROPILENO, NÃO ESTÉRIL, COM ELÁSTICO REVESTIDO, PROPORCIONANDO MELHOR VEDAÇÃO E CONFORTO, TAMANHO ÚNICO, COR BRANCA,PACOTE COM 100 UNID.</t>
  </si>
  <si>
    <t>TRANSDUTOR DESCARTAVEL KMP-TRANSDUTOR DESCARTÁVEL PARA SISTEMA DE MONITORAMENTO DE PRESSÃO KMP</t>
  </si>
  <si>
    <t>SENSOR E CABO DE OXIMÉTRIA DE PULSO SPO2 NEONATAL-COMPATÍVEL COM OXÍMETRO DE PULSO DA MARCA MD</t>
  </si>
  <si>
    <t xml:space="preserve">CONJUNTO UMIDIFICADOR DE OXIGÊNIO-TAMPA INJETADA E PORCA BORBOLETA C/ ENXERTO EM METAL (PADRÃO ABNT); FRASCO DE 250 A 450 ML EM PVC, COM NÍVEL MÍNIMO E MÁXIMO; EXTENSÃO DE PVC ATÓXICO DE 1,20M COM CONECTORES; MÁSCARA DE USO ADULTO; GARANTIA DE FÁBRICA: 01 ANO </t>
  </si>
  <si>
    <t>COPO UMIDIFICADOR DE OXIGÊNIO-COPO UMIDIFICADOR 250 A 400ML</t>
  </si>
  <si>
    <t xml:space="preserve">EXERCITADOR/ INCENTIVADOR RESPIRATÓRIO NCS-CORPO: POLIESTIRENO CRISTAL; ESFERAS: POLIETILENO; ANEL: POLIETILENO; MANGUEIRA: POLIETILENO; BOCAL: POLIPROPILENO. CORPO MONTADO: 13,5CM X 6,9CM X 14,2CM; MANGUEIRA: 1,6CM X 26,6CM; BOCAL: 3,0CM (EIXO MAIOR) X 1,6CM </t>
  </si>
  <si>
    <t>Compressa cirúrgica de gases hidrofílica 7. 5 cm de comprimento com 9 fios com 8 camadas de 5 dobras (com 500unidades)</t>
  </si>
  <si>
    <t>FITA PARA AUTOCLAVE</t>
  </si>
  <si>
    <t>Papel Grau Cirurgico Bobina DE 300 MM X 100M</t>
  </si>
  <si>
    <t>Papel grau cirúrgico Tamanho 10 mm x100m</t>
  </si>
  <si>
    <t>Papel grau cirúrgico Tamanho 170 mmx100m</t>
  </si>
  <si>
    <t>Compressa cirúrgica de gases hidrofílica 7. 5 cm de comprimento com 9 fios com 8 camadas de 5 dobras (com 500unidades) 25%</t>
  </si>
  <si>
    <t>AGULHA P/ RAQUI 22G X 3 ½”</t>
  </si>
  <si>
    <t>AUTO LANCETA DE SEGURANÇA AUTOMÁTICA ESTÉRIL 28G</t>
  </si>
  <si>
    <t>BOLSA COLETORA DE URINA C/ PORTA PARA COLETA, SISTEMA FECHADO, C/ VÁLVULA ANTI-REFLUXO, CAPAC. 2000ML</t>
  </si>
  <si>
    <t>BOLSA DE COLOSTOMIA / ILEOSTOMIA ACTIVE LIFE 19-64MM OPACA, DRENÁVEL, RECORTÁVEL, COM 1 CLIPE DE FECHAMENTO, CX C/ 10UND</t>
  </si>
  <si>
    <t>BOLSA DE COLOSTOMIA / ILEOSTOMIA ACTIVE LIFE 19-64MM TRANSPARENTE, DRENÁVEL, RECORTÁVEL, COM 1 CLIPE DE FECHAMENTO, CX C/ 10UND</t>
  </si>
  <si>
    <t>CANETA UNIVERSAL COM CABO PARA BISTURI ELÉTRICO</t>
  </si>
  <si>
    <t>CAMPO OPERATÓRIO COMPRESSA CIRÚRGIA 45CM X 50CM, 4 CAM., 100% ALGODÃO, COM FIO RADIOPACO</t>
  </si>
  <si>
    <t>CAMPO OPERATÓRIO COMPRESSA CIRÚRGIA 23CM X 25CM, 4 CAM., 100% ALGODÃO, COM FIO RADIOPACO</t>
  </si>
  <si>
    <t>CATETER NASAL TIPO ÓCULOS PARA OXIGÊNIO C/ EXTENSAO 2 M</t>
  </si>
  <si>
    <t>COLETOR DE URINA INF. MASC. DESC.</t>
  </si>
  <si>
    <t>COLETOR DE URINA MASCULINO "PAPAGAIO" EM INOX 1.000ML</t>
  </si>
  <si>
    <t>COLETOR UNIVERSAL ESTÉRIL ( tampa vermelha )</t>
  </si>
  <si>
    <t xml:space="preserve">COMPRESSA DE GAZE NÃO ESTÉRIL 7,5X7,5CM, DENSIDADE 13FIOS/CM2, CONFECCIONADA COM 100% ALGODÃO EM TECIDO TIPO TELA, COM 8 CAMADAS E 5 DOBRAS COMPLETAS E JUSTAPOSTAS EM SUAS EXTREMIDADES, MEDINDO 15X30CM QUANDO ABERTAS, EMBALAGEM COM 500 UNIDADES COM PESO ACIMA </t>
  </si>
  <si>
    <t>EQUIPO MICROGOTAS COM INJETOR LATERAL</t>
  </si>
  <si>
    <t>ESCOVA CERVICAL DESC. ESTÉRIL</t>
  </si>
  <si>
    <t>ESPATULA DE AYRES</t>
  </si>
  <si>
    <t>ESPECULO VAGINAL P</t>
  </si>
  <si>
    <t>ESPECULO VAGINAL M</t>
  </si>
  <si>
    <t>ESPÉCULO VAGINAL G</t>
  </si>
  <si>
    <t>ESPARADRAPO TECIDO IMPERMEÁVEL 10CM X 4,5M</t>
  </si>
  <si>
    <t>FITA MICROPOROSA (MICROPORE) 10CM X 10M</t>
  </si>
  <si>
    <t>FITA ADESIVA PARA AUTOCLAVE 19MM X 30M</t>
  </si>
  <si>
    <t>FRALDA DESC. GERIÁTRICA / ADULTO UNISSEX P</t>
  </si>
  <si>
    <t>FRALDA DESC. GERIÁTRICA / ADULTO UNISSEX M</t>
  </si>
  <si>
    <t>FRALDA DESC. GERIÁTRICA / ADULTO UNISSEX G</t>
  </si>
  <si>
    <t>FRALDA DESC. GERIÁTRICA / ADULTO UNISSEX XG</t>
  </si>
  <si>
    <t>GARROTE PARA FLEBOTOMIA EM TECIDO COM TRAVA ADULTO</t>
  </si>
  <si>
    <t>GARROTE LÁTEX FREE DESCARTÁVEL PARA FLEBOTOMIA EM TIRAS, NÃO TALCADO, TIRAS DE 2,5 X 45CM</t>
  </si>
  <si>
    <t>LÂMINA DE BISTURI Nº 10 DESCARTÁVEL</t>
  </si>
  <si>
    <t>LÂMINA DE BISTURI Nº 11 DESCARTÁVEL</t>
  </si>
  <si>
    <t>LÂMINA DE BISTURI Nº 12 DESCARTÁVEL</t>
  </si>
  <si>
    <t>LÂMINA DE BISTURI Nº 15 DESCARTÁVEL</t>
  </si>
  <si>
    <t>LÂMINA DE BISTURI Nº 20 DESCARTÁVEL</t>
  </si>
  <si>
    <t>Lâmina de bisturi Nº 23 descartável</t>
  </si>
  <si>
    <t>LÂMINA DE BISTURI Nº 24 DESCARTÁVEL</t>
  </si>
  <si>
    <t>LANCETA ACCU-CHEK SOFTCLIX</t>
  </si>
  <si>
    <t>LENÇOL DESC. DE PAPEL P/ MACA ROLO C/ 70CM X 50M (ROLO) branco</t>
  </si>
  <si>
    <t>LUVAS CIRÚRGICA ESTÉRIL 8,5</t>
  </si>
  <si>
    <t>LUVAS CIRÚRGICA ESTÉRIL 8,0</t>
  </si>
  <si>
    <t>LUVAS CIRÚRGICA ESTÉRIL 7,0</t>
  </si>
  <si>
    <t>LUVAS CIRÚRGICA ESTÉRIL 7,5</t>
  </si>
  <si>
    <t>MÁSCARA DESC. CIRÚRGICA BRANCA TRIPLA COM ELÁSTICO</t>
  </si>
  <si>
    <t>MÁSCARA P/ OXIGÊNIO ADULTO alto fluxo</t>
  </si>
  <si>
    <t>MÁSCARA P/ OXIGÊNIO INFANTIL alto fluxo</t>
  </si>
  <si>
    <t>PAPEL GRAU CIRÚRGICO PARA AUTOCLAVE 12X100M (ROLO)</t>
  </si>
  <si>
    <t>PAPEL GRAU CIRÚRGICO PARA AUTOCLAVE 15X100M (ROLO)</t>
  </si>
  <si>
    <t>PAPEL GRAU CIRÚRGICO PARA AUTOCLAVE 20X100M (ROLO)</t>
  </si>
  <si>
    <t>PAPEL GRAU CIRÚRGICO PARA AUTOCLAVE 25X100M (ROLO)</t>
  </si>
  <si>
    <t>PAPEL GRAU CIRÚRGICO PARA AUTOCLAVE 30X100M (ROLO)</t>
  </si>
  <si>
    <t>PAPEL GRAU CIRÚRGICO PARA AUTOCLAVE 50X100M (ROLO)</t>
  </si>
  <si>
    <t>SERINGA 1ML C/ AG 13X0,45</t>
  </si>
  <si>
    <t>SERINGA 1ML C/ AG 20X0,55</t>
  </si>
  <si>
    <t>SERINGA 1ML C/ AG 25X0,6</t>
  </si>
  <si>
    <t>SERINGA 10ML C/ AG 25X0,7</t>
  </si>
  <si>
    <t>SERINGA 20ML C/ AG 25X0,7</t>
  </si>
  <si>
    <t>SERINGA 3ML C/ AG 13X0,45</t>
  </si>
  <si>
    <t>SERINGA 3ML C/ AG 25X0,7</t>
  </si>
  <si>
    <t>SERINGA 3ML C/ AG 25X0,6</t>
  </si>
  <si>
    <t>SERINGA 5ML C/AG 25X0,7</t>
  </si>
  <si>
    <t>SONDA FOLEY Nº 12 2 VIAS</t>
  </si>
  <si>
    <t>SONDA FOLEY Nº 14 2 VIAS</t>
  </si>
  <si>
    <t>SONDA FOLEY N° 16 2 VIAS</t>
  </si>
  <si>
    <t>SONDA FOLEY Nº 16 3 VIAS</t>
  </si>
  <si>
    <t>SONDA FOLEY Nº 18 2 VIAS</t>
  </si>
  <si>
    <t>SONDA FOLEY Nº 20 2 VIAS</t>
  </si>
  <si>
    <t>SONDA NASOGASTRICA LONGA N°04</t>
  </si>
  <si>
    <t>SONDA NASOGÁSTRICA LONGA Nº 06</t>
  </si>
  <si>
    <t>SONDA NASOGÁSTRICA LONGA Nº 08</t>
  </si>
  <si>
    <t>SONDA NASOGÁSTRICA LONGA Nº 12</t>
  </si>
  <si>
    <t>SONDA NASOGÁSTRICA LONGA Nº 14</t>
  </si>
  <si>
    <t>SONDA NASOGASTRICA LONGA Nº 22</t>
  </si>
  <si>
    <t>SONDA MÁSCARA LARÍNGEA PVC DESCARTÁVEL Nº 01</t>
  </si>
  <si>
    <t>SONDA MÁSCARA LARÍNGEA PVC DESCARTÁVEL Nº 02</t>
  </si>
  <si>
    <t>SONDA MÁSCARA LARÍNGEA PVC DESCARTÁVEL Nº 03</t>
  </si>
  <si>
    <t>SONDA MÁSCARA LARÍNGEA PVC DESCARTÁVEL Nº 04</t>
  </si>
  <si>
    <t>SONDA MÁSCARA LARÍNGEA PVC DESCARTÁVEL Nº 05</t>
  </si>
  <si>
    <t>SONDA MÁSCARA LARÍNGEA PVC DESCARTÁVEL Nº 06</t>
  </si>
  <si>
    <t>Sonda uretral Nº 08</t>
  </si>
  <si>
    <t>SONDA URETRAL N 10</t>
  </si>
  <si>
    <t>Sonda uretral Nº 12</t>
  </si>
  <si>
    <t>Sonda uretral Nº 14</t>
  </si>
  <si>
    <t>SONDA URETRAL N 16</t>
  </si>
  <si>
    <t>SONDA URETRAL N 18</t>
  </si>
  <si>
    <t>SONDA URETRAL N° 20</t>
  </si>
  <si>
    <t>TOUCA DESC. SANFONADA, 100% POLIPROPILENO, TAMANHO ÚNICO, BRANCA</t>
  </si>
  <si>
    <t>UMIDIFICADOR FRASCO PLÁSTICO PCV 250ML (TAMPA INJETADA E PORCA BORBOLETA C/ ENXERTO EM METAL) PADRÃO ABNT, NÍVEL MÍNIMO E MÁXIMO</t>
  </si>
  <si>
    <t>CABO PARA BISTURI N 3</t>
  </si>
  <si>
    <t>EQUIPO PARA USO DE BOMBA DE INFUSAO UNIVERSAL, FOTOSSENSSIVEL.</t>
  </si>
  <si>
    <t>Lençol TNT com Elástico DESCARTAVEL COM MEDIDA 90cmx2metro</t>
  </si>
  <si>
    <t>CATETER VENOSO CENTRAL CVC TRIPLO LUMEN, 7 FRx 300MM</t>
  </si>
  <si>
    <t xml:space="preserve">Agulha Odontológica material: aço inoxidável siliconizado, aplicação: gengival / anestesia, dimensão: 30 g longa, tipo ponta*: com bisel trifacetado, tipo conexão: conector p/ seringa carpule, tipo uso: estéril, descartável, apresentação: c/ protetor plástico </t>
  </si>
  <si>
    <t xml:space="preserve">Agulha Odontológica material: aço inoxidável siliconizado, aplicação: gengival / anestesia, dimensão: 27 g curta, tipo ponta*: com bisel trifacetado, tipo conexão: conector p/ seringa carpule, tipo uso: estéril, descartável, apresentação: c/ protetor plástico </t>
  </si>
  <si>
    <t>Campo Cirúrgico Descartável modelo: oftalmológico, fenestrado, material: não tecido 100% polipropileno - tipo sms, propriedade: hidrorepelente, reforço: s/ reforço, fixação: adesiva, coletor: c/ coletor de fluído, dimensões: cerca de 100 x 100, cor: c/ cor, es</t>
  </si>
  <si>
    <t>AGULHA GENGIVAL 30G CURTA 21MM-AGULHA GENGIVAL DESCARTÁVEL PARA ANESTESIA ODONTOLÓGICA, CALIBRE 30G CURTA (21MM). SILICONADA, BISEL TRIFACETADO. CAIXA COM 100 UNIDADES.MARCAS DE REF.: BD, DFL, PROTDESC, TERUMO OU EQUIV.</t>
  </si>
  <si>
    <t>AGULHA GENGIVAL 30G EXTRA-CURTA 15MM-AGULHA GENGIVAL DESCARTÁVEL PARA ANESTESIA ODONTOLÓGICA, CALIBRE 30G EXTRA-CURTA (15MM). SILICONADA, BISEL TRIFACETADO. CAIXA COM 100 UNIDADES.MARCAS DE REF.: BD, DFL, PROTDESC, TERUMO OU EQUIV.</t>
  </si>
  <si>
    <t xml:space="preserve">AGULHA GENGIVAL 30G LONGA 30MM-AGULHA GENGIVAL DESCARTÁVEL PARA ANESTESIA ODONTOLÓGICA, CALIBRE 30G LONGA (30MM). SILICONADA, COM BISEL TRIFACETADO E CÂNULA DE AÇO INOX DE ALTA FLEXIBILIDADE. CAIXA COM 100 UNIDADES.MARCAS DE REF.: BD, DFL, PROTDESC, TERUMO OU </t>
  </si>
  <si>
    <t>AGULHA HIPODÉRMICA DESCARTÁVEL 25 X 0,7MM-AGULHA HIPODÉRMICA DESCARTÁVEL 25 X 0,7MM (22G X 1), CANHÃO COLORIDO PADRÃO UNIVERSAL, BISEL TRIFACETADO, ESTÉRIL. CAIXA COM 100 UNIDADES.MARCAS DE REF.: BD, DESCARPACK, WILTEX OU EQUIV.</t>
  </si>
  <si>
    <t>AGULHA HIPODERMICA DESCARTÁVEL 40X1,2MM - CAIXA COM 100 UNIDADES-AGULHA HIPODÉRMICA DESCARTÁVEL 40 X 1,2MM (18G X 1 1/2), UTILIZADA PARA ASPIRAÇÃO DE ANESTÉSICOS/MEDICAÇÕES, ESTÉRIL. CAIXA COM 100 UNIDADES.MARCAS DE REF.: BD, DESCARPACK, WILTEX OU EQUIV.</t>
  </si>
  <si>
    <t>CABO PARA BISTURI Nº 3-CABO PARA LÂMINAS DE BISTURI Nº 3, EM AÇO INOXIDÁVEL CIRÚRGICO, COM ESCALA MILIMETRADA GRAVADA. AUTOCLAVÁVEL. COMPATÍVEL COM LÂMINAS 10 A 15C.MARCAS DE REF.: QUINELATO, GOLGRAN, ABC OU EQUIV.</t>
  </si>
  <si>
    <t>LÂMINA DE BISTURI AÇO CARBONO Nº 12-LÂMINA DE BISTURI EM AÇO CARBONO MODELO FOICE Nº 12, EMBALADAS INDIVIDUALMENTE EM PAPEL GRAU CIRÚRGICO, ESTÉRIL. CAIXA COM 100 UNIDADES.MARCAS DE REF.: FEATHER, SOLIDOR, DESCARPACK OU EQUIV.</t>
  </si>
  <si>
    <t>LÂMINA DE BISTURI AÇO CARBONO Nº 15-LÂMINA DE BISTURI EM AÇO CARBONO DE ALTA AFIAÇÃO Nº 15, EMBALADAS INDIVIDUALMENTE EM PAPEL GRAU CIRÚRGICO, ESTÉRIL. CAIXA COM 100 UNIDADES.MARCAS DE REF.: FEATHER, SOLIDOR, DESCARPACK OU EQUIV.</t>
  </si>
  <si>
    <t>SUGADOR CIRURGICO DESCARTÁVEL - PACOTE 20 UNIDADES-ASPIRADOR/SUGADOR ODONTOLÓGICO CIRÚRGICO DESCARTÁVEL - CONFECCIONADO EM POLÍMERO ATÓXICO RÍGIDO (PVC/POLIURETANO) RÍGIDO E TRANSPARENTE/TRANSLÚCIDO, ESTÉRIL, COM PONTA FINA ARREDONDADA E ORIFÍCIO DE ALÍVIO/VEN</t>
  </si>
  <si>
    <t>LÂMINA DE BISTURI CIRÚRGICA Nº 15C, CX 100UN-LÂMINA DE BISTURI CIRÚRGICA ODONTOLÓGICA - Nº 15C, CONFECCIONADA EM AÇO CARBONO OU AÇO INOXIDÁVEL DE ALTA QUALIDADE, CORTE AFIADO E AMOLAGEM UNIFORME, COMPATÍVEL COM CABO DE BISTURI PADRÃO Nº 3, USO ÚNICO, ESTERILIZ</t>
  </si>
  <si>
    <t>SUGADOR CIRÚRGICO ODONTOLÓGICO ESTÉRIL, COM 2 PONTEIRAS-ASPIRADOR/SUGADOR ODONTOLÓGICO CIRÚRGICO DESCARTÁVEL E ESTÉRIL - CONFECCIONADO EM POLÍMERO ATÓXICO RÍGIDO E TRANSPARENTE/TRANSLÚCIDO, ACOMPANHADO DE 02 PONTEIRAS INTERCAMBIÁVEIS DE CALIBRES DISTINTOS (MÉD</t>
  </si>
  <si>
    <t>MOLDEIRA TOTAL ANATOMO-FISIOLOGICA PERFURADA ALUMINIO IP1-MOLDEIRA TOTAL ANATÔMICO-FISIOLÓGICA PERFURADA PARA MOLDAGEM DE PACIENTES TOTALMENTE DESDENTADOS (PRÓTESE TOTAL). CONFECCIONADA EM LIGA DE ALUMÍNIO DE ALTA RESISTÊNCIA MECÂNICA, LEVE, MALEÁVEL (PERMITIN</t>
  </si>
  <si>
    <t>MOLDEIRA TOTAL ANATOMO-FISIOLOGICA PERFURADA ALUMINIO IP2-MOLDEIRA TOTAL ANATÔMICO-FISIOLÓGICA PERFURADA PARA MOLDAGEM DE PACIENTES TOTALMENTE DESDENTADOS (PRÓTESE TOTAL). CONFECCIONADA EM LIGA DE ALUMÍNIO DE ALTA RESISTÊNCIA MECÂNICA, LEVE, MALEÁVEL (PERMITIN</t>
  </si>
  <si>
    <t>MOLDEIRA TOTAL ANATOMO-FISIOLOGICA PERFURADA ALUMINIO IP3-MOLDEIRA TOTAL ANATÔMICO-FISIOLÓGICA PERFURADA PARA MOLDAGEM DE PACIENTES TOTALMENTE DESDENTADOS (PRÓTESE TOTAL). CONFECCIONADA EM LIGA DE ALUMÍNIO DE ALTA RESISTÊNCIA MECÂNICA, LEVE, MALEÁVEL (PERMITIN</t>
  </si>
  <si>
    <t>MOLDEIRA TOTAL ANATOMO-FISIOLOGICA PERFURADA ALUMINIO SP1-MOLDEIRA TOTAL ANATÔMICO-FISIOLÓGICA PERFURADA PARA MOLDAGEM DE PACIENTES TOTALMENTE DESDENTADOS (PRÓTESE TOTAL). CONFECCIONADA EM LIGA DE ALUMÍNIO DE ALTA RESISTÊNCIA MECÂNICA, LEVE, MALEÁVEL (PERMITIN</t>
  </si>
  <si>
    <t>MOLDEIRA TOTAL ANATOMO-FISIOLOGICA PERFURADA ALUMINIO SP2-MOLDEIRA TOTAL ANATÔMICO-FISIOLÓGICA PERFURADA PARA MOLDAGEM DE PACIENTES TOTALMENTE DESDENTADOS (PRÓTESE TOTAL). CONFECCIONADA EM LIGA DE ALUMÍNIO DE ALTA RESISTÊNCIA MECÂNICA, LEVE, MALEÁVEL (PERMITIN</t>
  </si>
  <si>
    <t>MOLDEIRA TOTAL ANATOMO-FISIOLOGICA PERFURADA ALUMINIO SP3-MOLDEIRA TOTAL ANATÔMICO-FISIOLÓGICA PERFURADA PARA MOLDAGEM DE PACIENTES TOTALMENTE DESDENTADOS (PRÓTESE TOTAL). CONFECCIONADA EM LIGA DE ALUMÍNIO DE ALTA RESISTÊNCIA MECÂNICA, LEVE, MALEÁVEL (PERMITIN</t>
  </si>
  <si>
    <t>AGULHA 25 x 0,70 mm (22G) CAIXA COM 100 UNIDADES</t>
  </si>
  <si>
    <t>AGULHA 25 x 0,80 mm (21G) CAIXA COM 100 UNIDADES</t>
  </si>
  <si>
    <t>AGULHA 40 x 1,20 mm (18G) CAIXA COM 100 UNIDADES</t>
  </si>
  <si>
    <t>BOLSA COLETORA DE URINA SISTEMA FECHADO CAPACIDADE 2 LITROS</t>
  </si>
  <si>
    <t>CAMPO CIRÚRGICO EM TECIDO 50 CM X 50 CM</t>
  </si>
  <si>
    <t>CAMPO CIRÚRGICO ESTÉRIL FENESTRADO EM NÃO TECIDO 50CM X 50XCM</t>
  </si>
  <si>
    <t>CAMPO CIRÚRGICO FENESTRADO EM TECIDO 50 CM X 50 CM</t>
  </si>
  <si>
    <t>CATETER INTRAVENOSO FLEXÍVEL 22G CAIXA COM 100 UNIDADES</t>
  </si>
  <si>
    <t>CATETER INTRAVENOSO FLEXÍVEL 24G CAIXA COM 100 UNIDADES</t>
  </si>
  <si>
    <t>CATETER NASAL TIPO ÓCULOS ADULTO</t>
  </si>
  <si>
    <t>CATETER NASAL TIPO ÓCULOS PEDIÁTRICO</t>
  </si>
  <si>
    <t>CURATIVO HIDROCOLOIDE COM ESPUMA 10CM X 10CM CAIXA C/ 10 UNIDADES</t>
  </si>
  <si>
    <t>EQUIPO MACROGOTAS PCT C/25 UNIDADES</t>
  </si>
  <si>
    <t>ESPARADRAPO IMPERMEAVEL MELHOR OU IGUAL A CREMER 10CMX4,5M</t>
  </si>
  <si>
    <t>ESPÁTULA DE AYRE C/ 50 UNIDADES</t>
  </si>
  <si>
    <t>ESPÉCULO VAGINAL M</t>
  </si>
  <si>
    <t>ESPÉCULO VAGINAL P</t>
  </si>
  <si>
    <t>FITA INDICADORA PARA AUTOCLAVE 19MMX30M</t>
  </si>
  <si>
    <t>FITA MICROPOROSA 10CM X 4,5M</t>
  </si>
  <si>
    <t>FRASCO DE UMIDIFICADOR PARA OXIGENOTERAPIA 250ml</t>
  </si>
  <si>
    <t>GARROTE PARA PROCEDIMENTOS COM FECHO EM PVC</t>
  </si>
  <si>
    <t>GEL CONDUTOR PARA ULTRASSOM 5 LITROS</t>
  </si>
  <si>
    <t>LÂMINA DE BISTURI n° 10 CX C/100 UNI</t>
  </si>
  <si>
    <t>LÂMINA DE BISTURI n° 15 CX C/ 100 UNI</t>
  </si>
  <si>
    <t>LÂMINA DE BISTURI n° 23 CX C/100 UNI</t>
  </si>
  <si>
    <t>LÂMINA DE BISTURI n°11 CX C/100 UNI</t>
  </si>
  <si>
    <t>LANCETA DE SEGURANÇA DESCARTÁVEL CAIXA COM 100 UNIDADES</t>
  </si>
  <si>
    <t>LENÇOL DESCARTÁVEL PARA AMBULÂNCIA c/ elastico pacote c/ 10 unidades</t>
  </si>
  <si>
    <t>LUVA CIRÚRGICA ESTÉRIL 6,5 CAIXA COM 100 UNIDADES</t>
  </si>
  <si>
    <t>LUVA CIRÚRGICA ESTÉRIL 7,0 CAIXA COM 100 UNIDADES</t>
  </si>
  <si>
    <t>LUVA CIRÚRGICA ESTÉRIL 7,5 CAIXA COM 100 UNIDADES</t>
  </si>
  <si>
    <t>LUVA CIRÚRGICA ESTÉRIL 8,0 CAIXA COM 100 UNIDADES</t>
  </si>
  <si>
    <t>LUVA CIRÚRGICA ESTÉRIL 8,5 CAIXA COM 100 UNIDADES</t>
  </si>
  <si>
    <t>MÁSCARA OXIGÊNIO ADULTO C/ RESERVATÓRIO ADULTO</t>
  </si>
  <si>
    <t>MÁSCARA OXIGÊNIO ADULTO C/ RESERVATÓRIO PEDIÁTRICO</t>
  </si>
  <si>
    <t>SERINGA 1 ML C/ AGULHA 13X0,45MM CAIXA COM 100 UNIDADES</t>
  </si>
  <si>
    <t>SERINGA 10 ML 25X0,7MM CAIXA COM 100 UNIDADES</t>
  </si>
  <si>
    <t>SERINGA 20 ML 25X0,7MM CAIXA COM 100 UNIDADES</t>
  </si>
  <si>
    <t>SERINGA 3 ML C/ AGULHA 25X0,7MM CAIXA COM 100 UNIDADES</t>
  </si>
  <si>
    <t>SERINGA 5 ML 25X0,7MM CAIXA COM 100 UNIDADES</t>
  </si>
  <si>
    <t>TOUCA DESCARTÁVEL TNT C/ 100 UNIDADES</t>
  </si>
  <si>
    <t>TUBO EXTENSOR PARA OXIGENAÇÃO 2 METROS</t>
  </si>
  <si>
    <t>AGULHA COLETA MÚLTIPLA VÁCUO 21G</t>
  </si>
  <si>
    <t>COLETOR DE MATERIAIS PERFUROCORTANTES DE PAPELÃO 7L DESCARPACK</t>
  </si>
  <si>
    <t>COLETOR DE URINA INFANTIL UNISSEX</t>
  </si>
  <si>
    <t>COLETOR UNIVERSAL ESTÉRIL - 80 ML</t>
  </si>
  <si>
    <t>GARROTE DESCARTÁVEL PARA FLEBOTMIA ADULTO LÁTEX</t>
  </si>
  <si>
    <t>GARROTE TORNIQUETE PARA FLEBOTOMIA ADULTO COM TRAVA</t>
  </si>
  <si>
    <t>KIT ESTÉRIL COLETA URINA C/ BECKER</t>
  </si>
  <si>
    <t>MÁSCARA CIRÚRGICA TRIPLA – 50UN</t>
  </si>
  <si>
    <t>SERINGA 10ML LUER LOCK C/ AGULHA</t>
  </si>
  <si>
    <t>AGULHA GENGIVAL 27G LONGA C/100 UNIDADES</t>
  </si>
  <si>
    <t>AGULHA GENGIVAL 30G CURTA C/100 UNIDADES 21 X 0,30MM</t>
  </si>
  <si>
    <t>BABADOR ODONTOLÓGICO DESCARTÁVEL 100 UNI IMPERMEÁVEL</t>
  </si>
  <si>
    <t>CABO PARA BISTURI N°3</t>
  </si>
  <si>
    <t>LÂMINA BISTURI N.º15 CAIXA COM 100 UNIDADES</t>
  </si>
  <si>
    <t>LÂMINA PARA BISTURI Nº 15 CAIXA COM 100 UNIDADES</t>
  </si>
  <si>
    <t>SUGADOR ODONTOLÓGICO COM ARAME AÇO 40 UNIDADES</t>
  </si>
  <si>
    <t>LENÇOL HOSPITALAR DE PAPEL 70 cm x 50 m cx c/ 6 unidades</t>
  </si>
  <si>
    <t xml:space="preserve">FRALDA DESCARTÁVEL UNISSEX INFANTIL - TAMANHO PEQUENO CARACTERISTICAS: FORMATO ANATÔMICO, COM CAMADA EXTERNA IMPERMEÁVEL, CAMADA INTERNA EM MATERIAL DE ALTA ABSORÇÃO, ELÁSTICO PARA AJUSTE NAS PERNAS, FITA ADESIVA LATERAL DE FIXAÇÃO MULTIAJUSTÁVEL, QUE PERMITA </t>
  </si>
  <si>
    <t>FRALDA DESCARTÁVEL UNISSEX INFANTIL - TAMANHO MÉDIO CARACTERISTICAS: FORMATO ANATÔMICO, COM CAMADA EXTERNA IMPERMEÁVEL, CAMADA INTERNA EM MATERIAL DE ALTA ABSORÇÃO, ELÁSTICO PARA AJUSTE NAS PERNAS, FITA ADESIVA LATERAL DE FIXAÇÃO MULTIAJUSTÁVEL, QUE PERMITA RE</t>
  </si>
  <si>
    <t>FRALDA DESCARTÁVEL UNISSEX INFANTIL - TAMANHO GRANDE CARACTERISTICAS: FORMATO ANATÔMICO, COM CAMADA EXTERNA IMPERMEÁVEL, CAMADA INTERNA EM MATERIAL DE ALTA ABSORÇÃO, ELÁSTICO PARA AJUSTE NAS PERNAS, FITA ADESIVA LATERAL DE FIXAÇÃO MULTIAJUSTÁVEL, QUE PERMITA R</t>
  </si>
  <si>
    <t>FRALDA DESCARTÁVEL UNISSEX INFANTIL - TAMANHO EXTRA GRANDE CARACTERISTICAS: FORMATO ANATÔMICO, COM CAMADA EXTERNA IMPERMEÁVEL, CAMADA INTERNA EM MATERIAL DE ALTA ABSORÇÃO, ELÁSTICO PARA AJUSTE NAS PERNAS, FITA ADESIVA LATERAL DE FIXAÇÃO MULTIAJUSTÁVEL, QUE PER</t>
  </si>
  <si>
    <t>FRALDA DESCARTÁVEL UNISSEX INFANTIL SHORTINHO - TAMANHO XXXG CARACTERISTICAS: FORMATO ANATÔMICO, COM CAMADA EXTERNA IMPERMEÁVEL, CAMADA INTERNA EM MATERIAL DE ALTA ABSORÇÃO, ELÁSTICO PARA AJUSTE NAS PERNAS, CINTURA ELÁSTICA 360°, ATÓXICA, HIPOALERGÊNICA, INDIC</t>
  </si>
  <si>
    <t>FRALDA GERIÁTRICA ADULTO UNISSEX DESCARTÁVEL - TAMANHO MÉDIO CARACTERISTICAS: FORMATO ANATÔMICO, COM CAMADA EXTERNA IMPERMEÁVEL, CAMADA INTERNA EM MATERIAL DE ALTA ABSORÇÃO, ELÁSTICO PARA AJUSTE NAS PERNAS, FITA ADESIVA LATERAL DE FIXAÇÃO MULTIAJUSTÁVEL, QUE P</t>
  </si>
  <si>
    <t xml:space="preserve">FRALDA GERIÁTRICA ADULTO UNISSEX DESCARTÁVEL - TAMANHO GRANDE CARACTERISTICAS: FORMATO ANATÔMICO, COM CAMADA EXTERNA IMPERMEÁVEL, CAMADA INTERNA EM MATERIAL DE ALTA ABSORÇÃO, ELÁSTICO PARA AJUSTE NAS PERNAS, FITA ADESIVA LATERAL DE FIXAÇÃO MULTIAJUSTÁVEL, QUE </t>
  </si>
  <si>
    <t>FRALDA GERIÁTRICA ADULTO UNISSEX DESCARTÁVEL - TAMANHO EXTRA GRANDE CARACTERISTICAS: FORMATO ANATÔMICO, COM CAMADA EXTERNA IMPERMEÁVEL, CAMADA INTERNA EM MATERIAL DE ALTA ABSORÇÃO, ELÁSTICO PARA AJUSTE NAS PERNAS, FITA ADESIVA LATERAL DE FIXAÇÃO MULTIAJUSTÁVEL</t>
  </si>
  <si>
    <t>AGULHA HIPODÉRMICA, AÇO INOXIDÁVEL SILICONIZADO, 18 G X 1", BISEL CURTO TRIFACETADO, CONECTOR LUER LOCK OU SLIP EM PLÁSTICO, PROTETOR PLÁSTICO, ESTÉRIL, DESCARTÁVEL, EMBALAGEM INDIVIDUAL, CAIXA COM 100UN</t>
  </si>
  <si>
    <t>AGULHA HIPODÉRMICA, AÇO INOXIDÁVEL SILICONIZADO, 21 G X 1", BISEL CURTO TRIFACETADO, CONECTOR LUER LOCK OU SLIP EM PLÁSTICO, PROTETOR PLÁSTICO, ESTÉRIL, DESCARTÁVEL, EMBALAGEM INDIVIDUAL, CAIXA COM 100UN</t>
  </si>
  <si>
    <t>AGULHA HIPODÉRMICA, AÇO INOXIDÁVEL SILICONIZADO, 24 G X 3/4", BISEL CURTO TRIFACETADO, CONECTOR LUER LOCK OU SLIP EM PLÁSTICO, PROTETOR PLÁSTICO, ESTÉRIL, DESCARTÁVEL, EMBALAGEM INDIVIDUAL, CAIXA COM 100UN</t>
  </si>
  <si>
    <t>CABO BISTURI, AÇO INOXIDÁVEL, TAMANHO:Nº 4</t>
  </si>
  <si>
    <t>CATETER NASAL PARA OXIGÊNIO, TIPO ÓCULOS, P/ OXIGENOTERAPIA, TUBO E PRONGA DE SILICONE, CONECTOR COMPATÍVEL C/ FONTE O2, ADULTO, COMPRIMENTO CERCA DE 1,5 M, ESTÉRIL, USO ÚNICO</t>
  </si>
  <si>
    <t>DRENO CIRÚRGICO, TORÁCICO, SILICONE, 22 FRENCH, COMPRIMENTO CERCA DE 50 CM, CONECTOR UNIVERSAL, RADIOPACO, ESTÉRIL, DESCARTÁVEL, EMBALAGEM INDIVIDUAL</t>
  </si>
  <si>
    <t>DRENO CIRÚRGICO, TORÁCICO, SILICONE, 24 FRENCH, COMPRIMENTO CERCA DE 50 CM, CONECTOR UNIVERSAL, RADIOPACO, ESTÉRIL, DESCARTÁVEL, EMBALAGEM INDIVIDUAL</t>
  </si>
  <si>
    <t>ELETRODO USO MÉDICO, P/MONITORIZAÇÃO CARDÍACA - ECG, DE SUPERFÍCIE, ADESIVO, C/ GEL CONDUTOR, TAMANHO ADULTO, EMBALGEM COM 50UN</t>
  </si>
  <si>
    <t>FIO DE SUTURA S/ AGULHA, POLIGLACTINA VIOLETA, MODELO MULTIFILAMENTAR, Nº 1, COMPRIMENTO CERCA DE 150 CM, ESTÉRIL, EMBALAGEM INDIVIDUAL, CAIXA COM 24UN</t>
  </si>
  <si>
    <t>FIO DE SUTURA S/ AGULHA, POLIGLACTINA VIOLETA, MULTIFILAMENTAR, Nº 2, COMPRIMENTO CERCA DE 150 CM, ESTÉRIL, EMBALAGEM INDIVIDUAL, CAIXA COM 24UN</t>
  </si>
  <si>
    <t>LANCETA DE SEGURANÇA 28G, AÇO INOXIDÁVEL, PONTA AFIADA,TRIFACETADA, DESCARTÁVEL, ESTÉRIL, EMBALAGEM INDIVIDUAL, ULTRA FINA, CAIXA COM 100UN</t>
  </si>
  <si>
    <t>SERINGA, POLIPROPILENO, 10 ML, BICO CENTRAL LUER LOCK OU SLIP, GRADUADA (ESCALA ML), NUMERADA, ESTÉRIL, EMBALAGEM INDIVIDUAL, UNIDADE</t>
  </si>
  <si>
    <t>SERINGA, POLIPROPILENO, 20 ML, BICO CENTRAL LUER LOCK OU SLIP, GRADUADA (ESCALA ML), NUMERADA, ESTÉRIL, EMBALAGEM INDIVIDUAL, UNIDADE</t>
  </si>
  <si>
    <t>SERINGA, POLIPROPILENO, 5 ML, BICO CENTRAL LUER LOCK OU SLIP, GRADUADA (ESCALA ML), NUMERADA, ESTÉRIL, EMBALAGEM INDIVIDUAL, UNIDADE</t>
  </si>
  <si>
    <t>SONDA TRATO DIGESTIVO, NASOGÁSTRICA, LEVINE, PVC, CALIBRE:Nº 14, LONGA, COMPRIMENTO CERCA 120 CM, CONECTOR PADRÃO C/ TAMPA, PONTA DISTAL FECHADA, C/ ORIFÍCIOS LATERAIS, ESTÉRIL, DESCARTÁVEL, EMBALAGEM INDIVIDUAL</t>
  </si>
  <si>
    <t>TUBO EXTENSOR DE OXIGÊNIO 200CM</t>
  </si>
  <si>
    <t>Seringa Seringa, Material:Polipropileno, Capacidade:1 ML, Tipo Bico:Bico Central Luer Lock Ou Slip, Tipo Vedação:Êmbolo De Borracha, Adicional:Graduada (Escala Ui), Numerada, Esterilidade:Estéril, Descartável, Apresentação:Embalagem Individual Seringa descartá</t>
  </si>
  <si>
    <t>COPO UMIDIFICADOR PARA OXIGENIOTERAPIA 250 ML COM TAMPA VERDE</t>
  </si>
  <si>
    <t>SERINGAS COM AGULHA ACOPLADA PARA APLICAÇÃO DE INSULINA (AGULHA DE 8 MM) SERINGA ULTRAFINE 30 UI COM AGULHA PACOTE COM 10 UNIDADES</t>
  </si>
  <si>
    <t>SERINGAS COM AGULHA ACOPLADA PARA APLICAÇÃO DE INSULINA (AGULHA DE 8MM) SERINGA ULTRAFINE 50 UI COM AGULHA PACOTE COM 10 UNIDADES</t>
  </si>
  <si>
    <t>SONDA NASOENTERAL DE DUBOF</t>
  </si>
  <si>
    <t>SONDA NASOGASTRICA LONGA Nº 08</t>
  </si>
  <si>
    <t>SONDA DE FOLEY 3 VIAS Nº 14</t>
  </si>
  <si>
    <t>COMPRESSA DE GAZE ESTÉRIL 13 FIOS 7,5 CM X 7,5 CM C/ 500 UNIDADES. Material 100% algodão, dimensões cerca de 7,5 x 7,5 cm, gramatura 13 fios/ cm2, estéril, uso único, embalagem com 500 unidades</t>
  </si>
  <si>
    <t>LUVA SEM PÓ, TAMANHO P Luva cirúrgica, livre de pó e hipoalergênica, tamanho P. Unidade de fornecimento: Caixa com 100 unidades.</t>
  </si>
  <si>
    <t>MÁSCARA CIRÚRGICA TRIPLA DESCARTÁVEL CAIXA C/ 50 UNIDADES Mascara cirúrgica descartável simples, de uso hospitalar, gramatura mínima de 30g/m², confeccionada em fibras de não tecido (TNT), anatômica, características adicionais: modelo retangular, pregas horizo</t>
  </si>
  <si>
    <t>TOUCA DESCARTÁVEL SANFONADA BRANCA. Touca descartável sanfonada com elástico duplo. Material: Tecido Não-Tecido 100% Polipropileno (TNT). Cor: Branca. Embalagem com 100 unidades.</t>
  </si>
  <si>
    <t>ATADURA CREPE 20CM C/12 9 FIOS</t>
  </si>
  <si>
    <t>ATADURA CREPE DE 15CM C/12 9 FIOS</t>
  </si>
  <si>
    <t>Catéter Nasal Tipo Oculos Adulto</t>
  </si>
  <si>
    <t>Catéter Nasal Tipo Oculos Infantil</t>
  </si>
  <si>
    <t>ENVELOPE AUTOSSELANTE PARA ESTERILIZAÇÃO 200MM X 370MM</t>
  </si>
  <si>
    <t>ESPARADRAPO 10X4,5 C/ 12 UND</t>
  </si>
  <si>
    <t>Especulo Vaginal Descartavel (P,M,G)</t>
  </si>
  <si>
    <t>GARROTE N°200 C/10 METROS</t>
  </si>
  <si>
    <t>KIT CIRÚRGICO Nº5 30GR</t>
  </si>
  <si>
    <t>LAMINA DE BISTURI Nº12</t>
  </si>
  <si>
    <t>LAMINA P/ BISTUI Nº 11 C/100</t>
  </si>
  <si>
    <t>LAMINA P/ BISTUI Nº 12 C/100</t>
  </si>
  <si>
    <t>LAMINA P/ BISTUI Nº 15 C/100</t>
  </si>
  <si>
    <t>LAMINA P/ BISTUI Nº25 C/100</t>
  </si>
  <si>
    <t>LAMINA P/BISTUI Nº 20 C/100</t>
  </si>
  <si>
    <t>SERINGA 20ML C/AG 0,70X25</t>
  </si>
  <si>
    <t>SONDA NASOGASTRICA Nº 22</t>
  </si>
  <si>
    <t>SONDA NASOGASTRICA Nº20</t>
  </si>
  <si>
    <t>BOLSA COLETORA DE URINA (SISTEMA FECHADO)</t>
  </si>
  <si>
    <t>COLETOR DE URINA 50ML DESCARTÁVEL</t>
  </si>
  <si>
    <t>FITA ADESIVA AUTOCLAVE ZEBRADA 19MMX30MT</t>
  </si>
  <si>
    <t>LAMINA P/ BISTUI Nº 10 C/100</t>
  </si>
  <si>
    <t>LAMINA P/ BISTUI Nº 24 C/100</t>
  </si>
  <si>
    <t>LAMINA P/ BISTUI Nº22 C/100</t>
  </si>
  <si>
    <t>LANCETAS P/ LANCETADOR CX C/100 UNID</t>
  </si>
  <si>
    <t>LUVA DE PROCEDIMENTO DE LÁTEX COM PÓ M</t>
  </si>
  <si>
    <t>LUVA DE PROCEDIMENTOS DE LÁTEX COM PÓ P</t>
  </si>
  <si>
    <t>MASCARA P/ OXIGÊNIO-SUBMINISTROS ADULTO</t>
  </si>
  <si>
    <t>MASCARA P/ OXIGÊNIO-SUBMINISTROS INFANTIL</t>
  </si>
  <si>
    <t>SERINGA 10ML C/AG 0,70X25</t>
  </si>
  <si>
    <t>SONDA NASOGASTRICA LONGA Nº 24</t>
  </si>
  <si>
    <t>SONDA NASOGASTRICA LONGA Nº18</t>
  </si>
  <si>
    <t>SONDA URETRAL Nº12</t>
  </si>
  <si>
    <t>ATADURA CREPE 10CM C/12 9 FIOS</t>
  </si>
  <si>
    <t>LAMINA P/ BISTUI Nº 21 C/100</t>
  </si>
  <si>
    <t>PAPEL GRAU CIRÚRGICO ESTERILIZADO AUTOCLAVE 200X100 MTS</t>
  </si>
  <si>
    <t>AGULHA HIPODÉRMICA, 20X5,5 MATERIAL: AÇO INOXIDÁVEL SILICONIZADO, DIMENSÃO: 22 G X 1", TIPO PONTA:BISEL CURTO TRIFACETADO, TIPO CONEXÃO: CONECTOR LUER LOCK EM PLÁSTICO, TIPO FIXAÇÃO: PROTETOR PLÁSTICO. CAIXA COM 100 UNIDADES</t>
  </si>
  <si>
    <t>AGULHA HIPODÉRMICA, 25X0,70MM MATERIAL: AÇO INOXIDÁVEL SILICONIZADO, DIMENSÃO: 25G X 1",TIPO PONTA: BISEL CURTO TRIFACETADO, TIPO CONEXÃO: CONECTOR LUER LOCK OU SLIP EM PLÁSTICO, TIPO FIXAÇÃO: PROTETOR PLÁSTICO, TIPO USO: ESTÉRIL. CAIXA COM 100 UNIDADES</t>
  </si>
  <si>
    <t>AGULHA HIPODÉRMICA, 25X0,8 MATERIAL: AÇO INOXIDÁVEL SILICONIZADO, DIMENSÃO: 18 G X 1 1/2", TIPO PONTA: BISEL CURTO TRIFACETADO, TIPO CONEXÃO: CONECTOR LUER LOCK EM PLÁSTICO, TIPO FIXAÇÃO: PROTETOR PLÁSTICO. CAIXA COM 100 UNIDADES</t>
  </si>
  <si>
    <t>AGULHA HIPODÉRMICA, 40X12 MATERIAL: AÇO INOXIDÁVEL SILICONIZADO, DIMENSÃO: 30GX 1/2", TIPO PONTA: BISEL CURTO TRIFACETADO, TIPO CONEXÃO: CONECTOR LUER LOCK EM PLÁSTICO,TIPO FIXAÇÃO: PROTETOR PLÁSTICO. CAIXA COM 100 UNIDADES</t>
  </si>
  <si>
    <t>AUTO LANCETA DE SEGURANÇA AUTOMÁTICA 28G 0,3MMX1,8MM. FABRICADA EM AÇO INOXIDÁVEL E ABS, DE MATERIAL ESTÉRIL, ATÓXICO E APIROGÊNICO. ATENDE AOS CRITÉRIOS DE SEGURANÇA DA NR 32, É DESCARTÁVEL E DE USO ÚNICO. EFICIÊNCIA E QUALIDADE AO COLHER AMOSTRAS DE SANGUE C</t>
  </si>
  <si>
    <t>BOLSA COLETORA DE URINA SISTEMA FECHADO 2000ML</t>
  </si>
  <si>
    <t>CABO BISTURI, EM AÇO INOXIDÁVEL, TAMANHO: Nº 3</t>
  </si>
  <si>
    <t>CABO BISTURI, EM AÇO INOXIDÁVEL, TAMANHO: Nº 4</t>
  </si>
  <si>
    <t>CABO DE BISTURI EM AÇO INOXIDÁVEL N 7 CX P POSTECTOMIA FIMOSE CX P LAPAROTOMIA ABNOMINAL</t>
  </si>
  <si>
    <t>CADARÇO SARJADO PARA FIXAÇÃO DE TRAQUEOSTOMIA. ROLO COM 10M POR 14MM</t>
  </si>
  <si>
    <t>CATETER DE TRIPLO LÚMEN PARA ACESSO VENOSO CENTRAL CVC SÃO FABRICADOS EM POLIURETANO MATERIAL QUE APRESENTA A MESMA FLEXIBILIDADE DO SILICONE É TERMOSSENSÍVEL E SUA MACIEZ DIFICULTA ADOBRA NOS LOCAIS DE PUNÇÃO ESTES CATETERES SÃO RADIOPACOS PARA UMA PERFEITA V</t>
  </si>
  <si>
    <t>CATETER INTRAVENOSO PERIFERICO Nº18G.CAIXA COM 100 UNIDADES</t>
  </si>
  <si>
    <t>CATETER INTRAVENOSO PERIFERICO Nº20G.CAIXA COM 100 UNIDADES</t>
  </si>
  <si>
    <t>CATETER INTRAVENOSO PERIFERICO N°14G. CAIXA COM 100 UNIDADES</t>
  </si>
  <si>
    <t>CATETER INTRAVENOSO PERIFERICO N°16G. CAIXA COM 100 UNIDADES</t>
  </si>
  <si>
    <t>CATETER INTRAVENOSO PERIFERICO N°22G.CAIXA COM 100 UNIDADES</t>
  </si>
  <si>
    <t>CATETER INTRAVENOSO PERIFERICO N°24G.CAIXA COM 100 UNIDADES</t>
  </si>
  <si>
    <t>CATETER NASAL TIPO ÓCULOS ADULTO. CONFECCIONADO EM PVC ATÓXICO E FLEXÍVEL, PRODUTO ESTERILIZADO A ÓXIDO DE ETILENO E EMBALADO EM POUCHE DE PAPEL GRAU CIRÚRGICO, CONTENDO UMA UNIDADE DO PRODUTO POR EMBALAGEM. PACOTE COM 10 UNIDADES.</t>
  </si>
  <si>
    <t>COLETOR DE URINA DESCARTÁVEL ADULTO 2000ML.TRANSPARENTE, ISENTO DE SUBSTÂNCIAS ALERGÊNICAS, EM FORMATO RETANGULAR, MEDINDO 30 CM DE COMPRIMENTO, 20 CM DE LARGURA E 0,11 MM DE ESPESSURA, COM PAREDES SOBREPOSTAS E FECHAMENTO DA PARTE SUPERIOR E INFERIOR POR PROC</t>
  </si>
  <si>
    <t>COLETOR DE URINA, MATERIAL : PLÁSTICO, TIPO: SISTEMA ABERTO, MODELO: INFANTIL MASCULINO, CAPACIDADE : CERCA DE 100 ML, CARACTERÍSTICAS ADICIONAIS: ADESIVO HIPOALERGÊNICO, EMBALAGEM INDIVIDUAL</t>
  </si>
  <si>
    <t>COLETOR DE URINA, PLÁSTICO, SISTEMA ABERTO, MODELO: INFANTIL FEMININO, CAPACIDADE: CERCA DE 100 ML, CARACTERÍSTICAS ADICIONAIS ADESIVO HIPOALERGÊNICO, EMBALAGEM INDIVIDUAL.</t>
  </si>
  <si>
    <t>COMPRESSA CAMPO OPERATÓRIO NÃO ESTÉRIL. PRODUTO DESENVOLVIDO PARA USO EM PROCEDIMENTOS CIRÚRGICOS, COM 50 UNIDADES POR EMBALAGEM, CADA UMA MEDINDO 23 CM X 25 CM. FABRICADA COM MATERIAL DE ALTA QUALIDADE, POSSUI UM CADARÇO DUPLO EM FORMA DE ALÇA EM SUA EXTREMID</t>
  </si>
  <si>
    <t xml:space="preserve">COMPRESSA DE GAZE HIDRÓFILA ESTÉRIL. ARTIGO MÉDICO-HOSPITALAR INDICADO PARA PROCEDIMENTOS QUE EXIGEM ALTO NÍVEL DE ASSEPSIA, SEGURANÇA E ABSORÇÃO. DESENVOLVIDA PARA USO EM HOSPITAIS, AMBULATÓRIOS E PRONTOS-SOCORROS, É IDEAL PARA CURATIVOS EM QUE A PRESENÇA DE </t>
  </si>
  <si>
    <t>CONJUNTO NEBULIZAÇÃO, MÁSCARA E TUBO EXTENSOR, ADULTO, 150 CM, MÁSCARA COM AJUSTE ANATÔMICO E ATÓXICA, TRANSPARENTE</t>
  </si>
  <si>
    <t>COPO FRASCO UMIDIFICADOR PARA AR COMPRIMIDO 250ML. É UTILIZADO JUNTO COM A REDE DE AR COMPRIMIDO HOSPITALAR PARA AUXILIAR NA INALAÇÃO DE OXIGÊNIO UMIDIFICADO PELO PACIENTE. FRASCO COR AMARELO.</t>
  </si>
  <si>
    <t>COPO FRASCO UMIDIFICADOR PARA OXIGENIO 250ML. DESENVOLVIDO PARA AS ATIVIDADES DE UMIDIFICAÇÃO, GERADOS POR PASSAGEM DE OXIGÊNIO OU AR COMPRIMIDO MEDICINAL. FRASCO COR VERDE</t>
  </si>
  <si>
    <t>EQUIPO MICROGOTAS FLEX COM INJETOR LATERAL 1,5M. UTILIZADO PARA INFUSÃO DE SORO. ESPECIFICAÇÃO: MICROGOTAS (1 GOTA = 3 MICROGOTAS = 0,05ML). FABRICADO EM PVC FLEXÍVEL E INCOLOR. ESTÉRIL (ESTERILIZADO A ÓXIDO DE ETILENO). DESCARTÁVEL. PRODUTO DE USO ÚNICO. ATÓX</t>
  </si>
  <si>
    <t>ESCOVA CERVICAL GINECOLOGICA PACOTE COM 100 UNIDADES. PRODUTO RESISTENTE, ATÓXICA, MACIA, CERDAS FABRICADAS EM NYLON, A CERDA ESTÁ FIRMEMENTE ADERIDA NUMA HASTE PLÁSTICA ATRAVÉS DE UM EIXO DE AÇO INOX, PRODUTO NÃO ESTÉRIL. POLIPROPILENO, TEREFTALATO DE POLIBUT</t>
  </si>
  <si>
    <t>ESPARADRAPO IMPERMEAVEL BRANCO 10CMX4,5MT COM CAPA. APRESENTAM BORDAS SERRILHADAS; TAMANHO 10 CM X 4,5 M; ESPARADRAPO BRANCO; PRODUTO IMPERMEÁVEL; COMPOSTO DE TECIDO 100% ALGODÃO.</t>
  </si>
  <si>
    <t>ESPÉCULO USO MÉDICO, APLICAÇÃO: VAGINAL, MODELO:COLLIN, TAMANHO: GRANDE, C/ TRAVA TIPO ROSCA, MATERIAL: POLÍMERO, NÃO ESTÉRIL, USO ÚNICO, EMBALAGEM INDIVIDUAL</t>
  </si>
  <si>
    <t>ESPÉCULO USO MÉDICO, APLICAÇÃO: VAGINAL, MODELO:COLLIN, TAMANHO: PEQUENO, ADICIONAL 1: C/ REVESTIMENTO PTFE, ADICIONAL 2:C/ DUCTO ASPIRADOR, TRAVAMENTO: C/TRAVA TIPO ROSCA, MATERIAL: AÇO INOXIDÁVEL, ESTERILIZÁVEL.</t>
  </si>
  <si>
    <t>ESPÉCULO USO MÉDICO, APLICAÇÃO:VAGINAL, MODELO:COLLIN, TAMANHO:MÉDIO, C/ TRAVA TIPO ROSCA, MATERIAL:POLÍMERO, ESTERILIDADE:NÃO ESTÉRIL, USO ÚNICO, EMBALAGEM INDIVIDUAL</t>
  </si>
  <si>
    <t>FIO NYLON 0 FIO CIRURGICO DE MONOFILAMENTO DE POLIAMIDA, 45CM APROXIMADAMENTE C/AGULHA TRIANGULAR DE 2,0CM E 1/2 CIRC., ESTERIL. CAIXA COM 24 ENV. COM REGISTRO ANVISA/MS E BPF.</t>
  </si>
  <si>
    <t>FIO NYLON 1.0 FIO CIRURGICO DE MONOFILAMENTO DE POLIAMIDA, 45CM APROXIMADAMENTE S/AGULHA, ESTERIL. CAIXA COM 24 ENV.COM REGISTRO ANVISA/MS E BPF.</t>
  </si>
  <si>
    <t>FIO NYLON 2.0 FIO CIRURGICO DE MONOFILAMENTO DE POLIAMIDA, 45CM APROXIMADAMENTE S/AGULHA, ESTERIL. CAIXA COM 24 ENV.COM REGISTRO ANVISA/MS E BPF.</t>
  </si>
  <si>
    <t>FIO NYLON 3.0 FIO CIRURGICO DE MONOFILAMENTO DE POLIAMIDA, 45CM APROXIMADAMENTE S/AGULHA, ESTERIL. CAIXA COM 24 ENV.COM REGISTRO ANVISA/MS E BPF.</t>
  </si>
  <si>
    <t>FIO NYLON 4.0 FIO CIRURGICO DE MONOFILAMENTO DE POLIAMIDA, 45CM APROXIMADAMENTE S/AGULHA, ESTERIL. CAIXA COM 24 ENV.COM REGISTRO ANVISA/MS E BPF</t>
  </si>
  <si>
    <t>FIO NYLON 5.0 FIO CIRURGICO DE MONOFILAMENTO DE POLIAMIDA, 45CM APROXIMADAMENTE S/AGULHA, ESTERIL. CAIXA COM 24 ENV.COM REGISTRO ANVISA/MS E BPF.</t>
  </si>
  <si>
    <t>FIO NYLON 6.0 FIO CIRURGICO DE MONOFILAMENTO DE POLIAMIDA, 45CM APROXIMADAMENTE S/AGULHA, ESTERIL. CAIXA COM 24 ENV.COM REGISTRO ANVISA/MS E BPF.</t>
  </si>
  <si>
    <t>FITA ADESIVA PARA AUTOCLAVE 18MM X55MM E É UM INSTRUMENTO INDICADOR DE QUE A ESTERILIZAÇÃO FOI EFETUADA EM CONDIÇÕES IDEAIS DE PRESSÃO TEMPERATURA E TEMPO PAPEL CREPE A BASE D E FIBRA DE CELULOSE TINTA TERMORREATIVA E ADESIVO A BASE DE BORRACHA NATURAL E RESIN</t>
  </si>
  <si>
    <t>FITA MICROPOROSA HIPOALÉRGICA 10CM X 4,5 M. PRODUTO DESENVOLVIDO COM MATERIAL RESISTENTE E ACABAMENTO UNIFORME CONFORME ESPECIFICAÇÃO. ESTRUTURA PROJETADA PARA OFERECER ESTABILIDADE DIMENSIONAL E FACILIDADE DE MANUSEIO. FABRICADO COM COMPONENTES DE QUALIDADE E</t>
  </si>
  <si>
    <t>FRALDA GERIATRICA ADULTO TAMANHO G UNISSEX; GEL SUPERABSORVENTE QUE POSSIBILITA O USO PROLONGADO; BARREIRAS ANTIVAZAMENTO; FORMATO ANATÔMICO PARA MAIOR CONFORTO E SEGURANÇA;2 FITAS AJUSTÁVEIS, MAIOR CONFORTO E SEGURANÇA; INDICADOR DE UMIDADE DESAPARECE INDICAN</t>
  </si>
  <si>
    <t>FRALDA GERIÁTRICA ADULTO TAMANHO GG PCT/C/8 UNIDADES UNISSEX. COMPOSIÇÃO: CELULOSE, POLÍMERO SUPERABSORVENTE, NÃO TECIDO DE POLIPROPILENO, FILME DE POLIETILENO, ADESIVOS TERMOPLÁSTICOS, FITA PARA FECHAMENTO E FIOS DE ELASTÔMEROS; CARACTERISTICAS: PRODUTO DISCR</t>
  </si>
  <si>
    <t>FRALDA GERIÁTRICA ADULTO TAMANHO M PCT/C/8 UNIDADES UNISSEX.COMPOSIÇÃO: CELULOSE, POLÍMERO SUPERABSORVENTE, NÃO TECIDO DE POLIPROPILENO, FILME DE POLIETILENO, ADESIVOS TERMOPLÁSTICOS, FITA PARA FECHAMENTO E FIOS DE ELASTÔMEROS; CARACTERISTICAS: PRODUTO DISCRET</t>
  </si>
  <si>
    <t>FRALDA GERIÁTRICA ADULTO TAMANHO P PCT/C/8 UNIDADES UNISSEX. COMPOSIÇÃO: CELULOSE, POLÍMERO SUPERABSORVENTE, NÃO TECIDO DE POLIPROPILENO, FILME DE POLIETILENO, ADESIVOS TERMOPLÁSTICOS, FITA PARA FECHAMENTO E FIOS DE ELASTÔMEROS; CARACTERISTICAS: PRODUTO DISCRE</t>
  </si>
  <si>
    <t>FRALDA INFANTIL TAMANHO G C 8 UNIDADES UNISSEX</t>
  </si>
  <si>
    <t>FRALDA INFANTIL TAMANHO GG C 8 UNIDADES UNISSEX</t>
  </si>
  <si>
    <t>FRALDA INFANTIL TAMANHO M C 8 UNIDADES UNISSEX</t>
  </si>
  <si>
    <t>FRALDA INFANTIL TAMANHO P C 8 UNIDADES UNISSEX</t>
  </si>
  <si>
    <t>FRASCO (POTE) COLETOR UNIVERSAL GRADUADO 50ML ESTÉRIL SEM PÁ EMBAL. INDIVIDUAL. CARACTERÍSTICAS: FABRICADO EM POLIPROPILENO TRANSPARENTE; TAMPA FABRICADA EM POLIETILENO DE ALTA DENSIDADE; TAMPA BRANCA; SISTEMA DE VEDAÇÃO TIPO ROSCA; EMBALADO INDIVIDUALMENTE; S</t>
  </si>
  <si>
    <t>GARROTE, BORRACHA SINTÉTICA, ISENTO DE LÁTEX NATURAL, AMANHO ÚNICO, TIPO REUTILIZÁVEL</t>
  </si>
  <si>
    <t xml:space="preserve">GUIA BOUGIE PARA INTUBAÇÃO TRAQUEAL VENTILADO / OXIGENADO – ADULTO. DESCARTÁVEL /ESTÉRIL(BOUGIE-VENTILADO). TAMANHO: ADULTO PARA USO COM TUBOS TRAQUEAIS ENTRE 5.5MM A 10,0MM. COMPRIMENTO: 70 CM. ESPESSURA: 5,0 MM (15F) COR CONTRASTANTE (AMARELO BRILHANTE):COM </t>
  </si>
  <si>
    <t>INDICADOR QUIMICO CLASSE 5 ESTERILIZAÇÃO A VAPOR CLEAN UP. SÃO USADOS NA ÁREA DE ESTERILIZAÇÃO PARA VERIFICAR SE OS PROCESSOS DE ESTERILIZAÇÃO FORAM EFICAZES. ELES SÃO COMPOSTOS QUÍMICOS QUE MUDAM DE COR QUANDO EXPOSTOS A DETERMINADAS CONDIÇÕES, COMO CALOR E U</t>
  </si>
  <si>
    <t>KIT BÁSICO CIRÚRGICO PARA RETIRADA DE PONTOS INSTRUMENTAIS CONFECCIONADOS EM AÇO INOX. COMPOSTO DE 01 CABO DE BISTURÍ NR4 01 PINÇA DENTE DE RATO 14CM 01 PINÇA ANATÔMICA 14CM 01 ESTILETE BIOLIVAR 15CM 01 PINÇA ALLIS 15CM 01 TESOURA CIRÚRGICA RF 15CM 01 ESTOJO E</t>
  </si>
  <si>
    <t>LÂMINA BISTURI, AÇO INOXIDÁVEL, Nº 11, DESCARTÁVEL, ESTÉRIL COM 100 UNIDADES</t>
  </si>
  <si>
    <t>LÂMINA BISTURI, AÇO INOXIDÁVEL, Nº 15, DESCARTÁVEL, ESTÉRIL COM 100 UNIDADES</t>
  </si>
  <si>
    <t>LÂMINA BISTURI, AÇO INOXIDÁVEL, Nº 20, DESCARTÁVEL, ESTÉRIL N 20 COM 100 UNIDADES</t>
  </si>
  <si>
    <t>LÂMINA BISTURI, AÇO INOXIDÁVEL, TAMANHO: Nº 22,DESCARTÁVEL, ESTÉRIL, EMBALADA INDIVIDUALMENTE COM 100 UNIDADES</t>
  </si>
  <si>
    <t>LÂMINA BISTURI, MATERIAL:AÇO CARBONO, TAMANHO:Nº 24, DESCARTÁVEL, ESTÉRIL, EMBALADA INDIVIDUALMENTE COM 100 UNIDADES</t>
  </si>
  <si>
    <t>LENÇOL DESCARTÁVEL USO HOSPITALAR, 100% FIBRA CELULOSE VIRGEM, DIMENSOES:CERCA DE 70 CM X 50 M, APRESENTAÇÃO: ROLO.</t>
  </si>
  <si>
    <t>LUVA CIRÚRGICA LÁTEX ESTÉRIL COM PÓ PAR. ESPECIFICAÇÕES TÉCNICAS: FLEXÍVEL, LISA. COMPOSTA DE LÁTEX NATURAL, CONTÉM PÓ BIOABSORVÍVEL E INERTE, FORMATO ANATÔMICO. LUVA ESQUERDA E DIREITA, DEDOS CURVOS, ESTÉRIL, SENSIBILIDADE TÁTIL, EXCELENTE BARREIRA DE PROTEÇÃ</t>
  </si>
  <si>
    <t>MÁSCARA CIRÚRGICA DESCARTÁVEL TRIPLA ELÁSTICO CX C 50 UNIDADES TÊM TRIPLA CAMADA DE PROTEÇÃO BACTERIANA PREVINE A ENTRADA DE MICRORGANISMOS E EXALAÇÃO DE PARTÍCULAS VIA NASAL E ORAL COM CLIPE PARA AJUSTE NASAL EM METAL</t>
  </si>
  <si>
    <t>MASCARA DE OXIGÊNIO DE ALTA CONCENTRAÇÃO ADULTO - COM RESERVATÓRIO. INDICADO PARA OFERTA DE ALTO FLUXO DE OXIGÊNIO, ACIMA DE 8 LITROS POR MINUTO. MODELO ADULTO; COM TUBO DE O2 COM 2,10 M; COM RESERVATÓRIO; NÃO ESTÉRIL; QUANTIDADE: 1 PEÇA; COMPOSIÇÃO: MÁSCARA E</t>
  </si>
  <si>
    <t>MÁSCARA DE OXIGÊNIO DE ALTA CONCENTRAÇÃO INFANTIL COM RESERVATÓRIO. MÁSCARA COM ELÁSTICO, BALÃO PARA OXIGÊNIO E EXTENSÃO PARA CONEXÃO EM OXIGÊNIO. NÃO ESTÉRIL; MODELO: INFANTIL; MÁSCARA COM RESERVATÓRIO; MÁSCARA DE NÃO REINALAÇÃO.</t>
  </si>
  <si>
    <t>MÁSCARA DE VENTURI MÁSCARA DE OXIGÊNIO VENTURI TUBO CORRUGADO. TAMANHO ADULTO</t>
  </si>
  <si>
    <t>MÁSCARA LARÍNGEA 1,0</t>
  </si>
  <si>
    <t>MÁSCARA LARÍNGEA 1,5</t>
  </si>
  <si>
    <t>MÁSCARA LARÍNGEA 2,0</t>
  </si>
  <si>
    <t>MÁSCARA LARÍNGEA 2,5</t>
  </si>
  <si>
    <t>MÁSCARA LARÍNGEA 3,0</t>
  </si>
  <si>
    <t>MÁSCARA LARÍNGEA 4,0</t>
  </si>
  <si>
    <t>MÁSCARA LARÍNGEA 5,0</t>
  </si>
  <si>
    <t>PAPEL GRAU CIRÚRGICO 05CM X 100MT PARA ESTERILIZAÇÃO USADO PARA EMPACOTAMENTO DE ARTIGOS MÉDICO ODONTOHOSPITALARES E ESTERILIZAÇÃO EM AUTOCLAVE A VAPOR ÓXIDO DE ETILENO E FORMALDEÍDO</t>
  </si>
  <si>
    <t>PAPEL GRAU CIRÚRGICO 08CM X 100MT PARA ESTERILIZAÇÃO USADO PARA EMPACOTAMENTO DE ARTIGOS MÉDICO ODONTOHOSPITALARES E ESTERILIZAÇÃO EM AUTOCLAVE A VAPOR ÓXIDO DE ETILENO E FORMALDEÍDO</t>
  </si>
  <si>
    <t>PAPEL GRAU CIRÚRGICO 10CM X 100MT PARA ESTERILIZAÇÃO</t>
  </si>
  <si>
    <t>PAPEL GRAU CIRÚRGICO 12CM X 100MT PARA ESTERILIZAÇÃO</t>
  </si>
  <si>
    <t>PAPEL GRAU CIRÚRGICO 12CM X 100MT PARA ESTERILIZAÇÃO USADO PARA EMPACOTAMENTO DE ARTIGOS MÉDICO ODONTOHOSPITALARES E ESTERILIZAÇÃO EM AUTOCLAVE A VAPOR ÓXIDO DE ETILENO E FORMALDEÍDO</t>
  </si>
  <si>
    <t>PAPEL GRAU CIRÚRGICO 15CM X 100MT PARA ESTERILIZAÇÃO USADO PARA EMPACOTAMENTO DE ARTIGOS MÉDICO ODONTOHOSPITALARES E ESTERILIZAÇÃO EM AUTOCLAVE A VAPOR ÓXIDO DE ETILENO E FORMALDEÍDO</t>
  </si>
  <si>
    <t>PAPEL GRAU CIRÚRGICO 20CM X 100MT PARA ESTERILIZAÇÃO USADO PARA EMPACOTAMENTO DE ARTIGOS MÉDICO ODONTOHOSPITALARES E ESTERILIZAÇÃO EM AUTOCLAVE A VAPOR ÓXIDO DE ETILENO E FORMALDEÍDO</t>
  </si>
  <si>
    <t>PAPEL GRAU CIRÚRGICO 30CM X 100MT PARA ESTERILIZAÇÃO USADO PARA EMPACOTAMENTO DE ARTIGOS MÉDICO ODONTOHOSPITALARES E ESTERILIZAÇÃO EM AUTOCLAVE A VAPOR ÓXIDO DE ETILENO E FORMALDEÍDO</t>
  </si>
  <si>
    <t>PAPEL GRAU CIRÚRGICO 40CM X 100MT PARA ESTERILIZAÇÃO USADO PARA EMPACOTAMENTO DE ARTIGOS MÉDICO ODONTOHOSPITALARES E ESTERILIZAÇÃO EM AUTOCLAVE A VAPOR ÓXIDO DE ETILENO E FORMALDEÍDO</t>
  </si>
  <si>
    <t>PROPÉ SAPATILHA EM TNT DESCARTÁVEL. FIXAÇÃO: ELÁSTICO DE ALTA QUALIDADE SOLDADO EM TODA A VOLTA, OFERECENDO RESISTÊNCIA E CONFORTO. PACOTE COM 100 UNIDADES.</t>
  </si>
  <si>
    <t>PULSEIRA DE IDENTIFICAÇÃO INFANTIL RN AZUL. PULSEIRA DE IDENTIFICAÇÃO DE PACIENTE, FORNECE MÉTODO VISUAL DE VINCULAR O PACIENTE A SUA DOCUMENTAÇÃO MÉDICA E TERAPÊUTICA. PULSEIRA 100 % EM PVC PIGMENTADO COM BOTÕES DE TRAVAMENTO EM POM, COM CAMPO DISPONÍVEL PARA</t>
  </si>
  <si>
    <t>PULSEIRA DE IDENTIFICAÇÃO INFANTIL RN ROSA. PULSEIRA DE IDENTIFICAÇÃO DE PACIENTE, FORNECE MÉTODO VISUAL DE VINCULAR O PACIENTE A SUA DOCUMENTAÇÃO MÉDICA E TERAPÊUTICA. PULSEIRA 100 % EM PVC PIGMENTADO COM BOTÕES DE TRAVAMENTO EM POM, COM CAMPO DISPONÍVEL PARA</t>
  </si>
  <si>
    <t>REANIMADOR MANUAL COM ALÇA E MÁSCARA COM RESERVATÓRIO AMBU NEONATAL. O AMBÚ NEONATAL EM SILICONE COM RESERVATÓRIO É UM REANIMADOR MANUAL RECÉM-NATO, UTILIZADO EM PRIMEIROS SOCORROS E UNIDADES INTENSIVAS PARA VENTILAR O PULMÃO DO BEBÊ EM CASO DE ASFIXIA.INFORMA</t>
  </si>
  <si>
    <t>SERINGA DE INSULINA ULTRA FINE 50UI AGULHA CURTA. POSSUI CAPACIDADE PARA 0,5 ML E AGULHA CURTA DE 6 MM × 0,25 MM (31G). PROJETADA PARA EVITAR O DESPERDÍCIO DE INSULINA (CONHECIDO COMO RESÍDUO ZERO).</t>
  </si>
  <si>
    <t>SERINGA DESCARTÁVEL 10ML. DESENVOLVIDA PARA APLICAÇÃO DE MEDICAMENTOS PELAS VIAS HIPODÉRMICA, SUBCUTÂNEA, INTRAMUSCULAR E ENDOVENOSA, ESTÉRIL; FABRICADA EM POLIPROPILENO INCOLOR; CORPO TRANSPARENTE. PERMITE A VISUALIZAÇÃO DO NÍVEL DO MEDICAMENTO; SILICONADA; C</t>
  </si>
  <si>
    <t>SERINGA DESCARTÁVEL 20ML. SERINGA DE BICO LUER SLIP, SEM ROSCA, ESTÉRIL, FABRICADA EM POLIPROPILENO, ATÓXICA, APIROGÊNICA E LUBRIFICADA. POSSUI CILINDRO TRANSPARENTE, TRAVA PARA CONTROLE DO DESLIZAMENTO, APROVADA PELO INMETRO, DESCARTÁVEL E DE USO ÚNICO.</t>
  </si>
  <si>
    <t>SERINGA PARA ANESTESIA PERIDURAL 10ML. SERINGA DE ANESTESIA É FABRICADA COM PLÁSTICO DE ALTA QUALIDADE, GARANTINDO A DURABILIDADE E SEGURANÇA NECESSÁRIAS PARA PROCEDIMENTOS MÉDICOS. BAIXA FRICÇÃO.</t>
  </si>
  <si>
    <t>SONDA FOLEY Nº 06 FR 2 VIAS COM VALVULA PLÁSTICA. SONDA EM LÁTEX, USADA PARA DRENAR E RECOLHER URINA DA BEXIGA E/OU INSERIR FLUIDOS NA BEXIGA PARA MEDICAÇÃO.</t>
  </si>
  <si>
    <t>SONDA FOLEY Nº 10 COM 2 VIAS PEDIÁTRICA. SONDA EM LÁTEX, USADA PARA DRENAR E RECOLHER URINA DA BEXIGA E/OU INSERIR FLUIDOS NA BEXIGA PARA MEDICAÇÃO.</t>
  </si>
  <si>
    <t>SONDA FOLEY Nº 12 COM 2 VIAS. SONDA EM LÁTEX, USADA PARA DRENAR E RECOLHER URINA DA BEXIGA E/OU INSERIR FLUIDOS NA BEXIGA PARA MEDICAÇÃO.</t>
  </si>
  <si>
    <t>SONDA FOLEY Nº 16 COM 2 VIAS. SONDA EM LÁTEX, USADA PARA DRENAR E RECOLHER URINA DA BEXIGA E/OU INSERIR FLUIDOS NA BEXIGA PARA MEDICAÇÃO.</t>
  </si>
  <si>
    <t>SONDA FOLEY Nº 24 COM 2 VIAS. SONDA EM LÁTEX, USADA PARA DRENAR E RECOLHER URINA DA BEXIGA E/OU INSERIR FLUIDOS NA BEXIGA PARA MEDICAÇÃO</t>
  </si>
  <si>
    <t>SONDA FOLEY Nº 14 COM 2 VIAS. SONDA EM LÁTEX, USADA PARA DRENAR E RECOLHER URINA DA BEXIGA E/OU INSERIR FLUIDOS NA BEXIGA PARA MEDICAÇÃO.</t>
  </si>
  <si>
    <t>SONDA FOLEY Nº 08 COM 2 VIAS PEDIÁTRICA. SONDA EM LÁTEX, USADA PARA DRENAR E RECOLHER URINA DA BEXIGA E/OU INSERIR FLUIDOS NA BEXIGA PARA MEDICAÇÃO.</t>
  </si>
  <si>
    <t>SONDA FOLEY Nº 18 COM 2 VIAS. SONDA EM LÁTEX, USADA PARA DRENAR E RECOLHER URINA DA BEXIGA E/OU INSERIR FLUIDOS NA BEXIGA PARA MEDICAÇÃO.</t>
  </si>
  <si>
    <t>SONDA FOLEY Nº 20 COM 2 VIAS. SONDA EM LÁTEX, USADA PARA DRENAR E RECOLHER URINA DA BEXIGA E/OU INSERIR FLUIDOS NA BEXIGA PARA MEDICAÇÃO</t>
  </si>
  <si>
    <t>SONDA FOLEY Nº 22 COM 2 VIAS. SONDA EM LÁTEX, USADA PARA DRENAR E RECOLHER URINA DA BEXIGA E/OU INSERIR FLUIDOS NA BEXIGA PARA MEDICAÇÃO.</t>
  </si>
  <si>
    <t>SONDA NASOGASTRICA CURTA N 04 - ESTÉRIL ATÓXICA APIROGÊNICO DESCARTÁVEL. CARACTERÍSTICAS TÉCNICAS TUBO: EM PVC ATÓXICO, FLEXÍVEL TRANSPARENTE E UMA SUPERFÍCIE RIGOROSAMENTE LISA, COM UMA PONTA ARREDONDADA FECHADA NO LADO PROXIMAL DO TUBO E 02 ORIFÍCIOS ALTERNA</t>
  </si>
  <si>
    <t>SONDA NASOGASTRICA CURTA N 06 - ESTÉRIL ATÓXICA APIROGÊNICO DESCARTÁVEL. CARACTERÍSTICAS TÉCNICAS TUBO: EM PVC ATÓXICO, FLEXÍVEL TRANSPARENTE E UMA SUPERFÍCIE RIGOROSAMENTE LISA, COM UMA PONTA ARREDONDADA FECHADA NO LADO PROXIMAL DO TUBO E 02 ORIFÍCIOS ALTERNA</t>
  </si>
  <si>
    <t>SONDA NASOGASTRICA CURTA N 08 - ESTÉRIL ATÓXICA APIROGÊNICO DESCARTÁVEL. ESTÉRIL ATÓXICA APIROGÊNICO DESCARTÁVEL. CARACTERÍSTICAS TÉCNICAS TUBO: EM PVC ATÓXICO, FLEXÍVEL TRANSPARENTE E UMA SUPERFÍCIE RIGOROSAMENTE LISA, COM UMA PONTA ARREDONDADA FECHADA NO LAD</t>
  </si>
  <si>
    <t>SONDA NASOGASTRICA CURTA N 10 - ESTÉRIL ATÓXICA APIROGÊNICO DESCARTÁVEL. ESTÉRIL ATÓXICA APIROGÊNICO DESCARTÁVEL. CARACTERÍSTICAS TÉCNICAS TUBO: EM PVC ATÓXICO, FLEXÍVEL TRANSPARENTE E UMA SUPERFÍCIE RIGOROSAMENTE LISA, COM UMA PONTA ARREDONDADA FECHADA NO LAD</t>
  </si>
  <si>
    <t>SONDA NASOGASTRICA CURTA N 12 - ESTÉRIL ATÓXICA APIROGÊNICO DESCARTÁVEL. ESTÉRIL ATÓXICA APIROGÊNICO DESCARTÁVEL. CARACTERÍSTICAS TÉCNICAS TUBO: EM PVC ATÓXICO, FLEXÍVEL TRANSPARENTE E UMA SUPERFÍCIE RIGOROSAMENTE LISA, COM UMA PONTA ARREDONDADA FECHADA NO LAD</t>
  </si>
  <si>
    <t>SONDA NASOGASTRICA CURTA N 14 - ESTÉRIL ATÓXICA APIROGÊNICO DESCARTÁVEL. ESTÉRIL ATÓXICA APIROGÊNICO DESCARTÁVEL. CARACTERÍSTICAS TÉCNICAS TUBO: EM PVC ATÓXICO, FLEXÍVEL TRANSPARENTE E UMA SUPERFÍCIE RIGOROSAMENTE LISA, COM UMA PONTA ARREDONDADA FECHADA NO LAD</t>
  </si>
  <si>
    <t>SONDA NASOGASTRICA CURTA N 16 - ESTÉRIL ATÓXICA APIROGÊNICO DESCARTÁVEL. ESTÉRIL ATÓXICA APIROGÊNICO DESCARTÁVEL. CARACTERÍSTICAS TÉCNICAS TUBO: EM PVC ATÓXICO, FLEXÍVEL TRANSPARENTE E UMA SUPERFÍCIE RIGOROSAMENTE LISA, COM UMA PONTA ARREDONDADA FECHADA NO LAD</t>
  </si>
  <si>
    <t>SONDA NASOGASTRICA CURTA N 18 - ESTÉRIL ATÓXICA APIROGÊNICO DESCARTÁVEL. ESTÉRIL ATÓXICA APIROGÊNICO DESCARTÁVEL. CARACTERÍSTICAS TÉCNICAS TUBO: EM PVC ATÓXICO, FLEXÍVEL TRANSPARENTE E UMA SUPERFÍCIE RIGOROSAMENTE LISA, COM UMA PONTA ARREDONDADA FECHADA NO LAD</t>
  </si>
  <si>
    <t>SONDA NASOGASTRICA CURTA N 20 ESTÉRIL ATÓXICA APIROGÊNICO DESCARTÁVEL. CARACTERÍSTICAS TÉCNICAS, TUBO: EM PVC ATÓXICO, FLEXÍVEL TRANSPARENTE E UMA SUPERFÍCIE RIGOROSAMENTE LISA, COM UMA PONTA ARREDONDADA FECHADA NO LADO PROXIMAL DO TUBO E 02 ORIFÍCIOS ALTERNAD</t>
  </si>
  <si>
    <t>SONDA NASOGASTRICA CURTA N 22 ESTÉRIL ATÓXICA APIROGÊNICO DESCARTÁVEL. CARACTERÍSTICAS TÉCNICAS TUBO: EM PVC ATÓXICO, FLEXÍVEL TRANSPARENTE E UMA SUPERFÍCIE RIGOROSAMENTE LISA, COM UMA PONTA ARREDONDADA FECHADA NO LADO PROXIMAL DO TUBO E 02 ORIFÍCIOS ALTERNADO</t>
  </si>
  <si>
    <t>SONDA NASOGASTRICA CURTA N 24 ESTÉRIL ATÓXICA APIROGÊNICO DESCARTÁVEL. CARACTERÍSTICAS TÉCNICAS TUBO: EM PVC ATÓXICO, FLEXÍVEL TRANSPARENTE E UMA SUPERFÍCIE RIGOROSAMENTE LISA, COM UMA PONTA ARREDONDADA FECHADA NO LADO PROXIMAL DO TUBO E 02 ORIFÍCIOS ALTERNADO</t>
  </si>
  <si>
    <t>SONDA NASOGASTRICA LONGA N 04 ESTÉRIL ATÓXICA APIROGÊNICO DESCARTÁVEL</t>
  </si>
  <si>
    <t>SONDA NASOGASTRICA LONGA N 06 ESTÉRIL ATÓXICA APIROGÊNICO DESCARTÁVEL</t>
  </si>
  <si>
    <t>SONDA NASOGASTRICA LONGA N 08 ESTÉRIL ATÓXICA APIROGÊNICO DESCARTÁVEL</t>
  </si>
  <si>
    <t>SONDA NASOGASTRICA LONGA N 10 ESTÉRIL ATÓXICA APIROGÊNICO DESCARTÁVEL</t>
  </si>
  <si>
    <t>SONDA NASOGASTRICA LONGA N 12 ESTÉRIL ATÓXICA APIROGÊNICO DESCARTÁVEL</t>
  </si>
  <si>
    <t>SONDA NASOGASTRICA LONGA N 14 ESTÉRIL ATÓXICA APIROGÊNICO DESCARTÁVEL</t>
  </si>
  <si>
    <t>SONDA NASOGASTRICA LONGA N 16 ESTÉRIL ATÓXICA APIROGÊNICO DESCARTÁVEL</t>
  </si>
  <si>
    <t>SONDA NASOGASTRICA LONGA N 18 ESTÉRIL ATÓXICA APIROGÊNICO DESCARTÁVEL</t>
  </si>
  <si>
    <t>SONDA NASOGASTRICA LONGA N 20 ESTÉRIL ATÓXICA APIROGÊNICO DESCARTÁVEL</t>
  </si>
  <si>
    <t>SONDA NASOGASTRICA LONGA N 22 ESTÉRIL ATÓXICA APIROGÊNICO DESCARTÁVEL</t>
  </si>
  <si>
    <t>SONDA NASOGASTRICA LONGA N 24 ESTÉRIL ATÓXICA APIROGÊNICO DESCARTÁVEL</t>
  </si>
  <si>
    <t>SONDA URETRAL COM PONTA ARREDONDADA E FECHADA; TAMANHO DO CALIBRE 04 (INFANTIL) - DIÂMETRO INTERNO 0,65MM; ESTERILIZADO POR RADIAÇÃO IONIZANTE; TRANSPARENTE DE PAREDES FINAS E MALEÁVEIS; COM 1 FURO LATERAL PROVIDO NA OUTRA EXTREMIDADE DE UM CONECTOR PADRÃO COM</t>
  </si>
  <si>
    <t>SONDA URETRAL N 06. COM PONTA ARREDONDADA E FECHADA; ESTERILIZADO POR RADIAÇÃO IONIZANTE; TRANSPARENTE DE PAREDES FINAS E MALEÁVEIS; COM 1 FURO LATERAL PROVIDO NA OUTRA EXTREMIDADE DE UM CONECTOR PADRÃO COM TAMPA; O PRODUTO É EMBALADO INDIVIDUALMENTE EM ENVELO</t>
  </si>
  <si>
    <t>SONDA URETRAL N 08. COM PONTA ARREDONDADA E FECHADA; ESTERILIZADO POR RADIAÇÃO IONIZANTE; TRANSPARENTE DE PAREDES FINAS E MALEÁVEIS; COM 1 FURO LATERAL PROVIDO NA OUTRA EXTREMIDADE DE UM CONECTOR PADRÃO COM TAMPA; O PRODUTO É EMBALADO INDIVIDUALMENTE EM ENVELO</t>
  </si>
  <si>
    <t>SONDA URETRAL N 10. COM PONTA ARREDONDADA E FECHADA; ESTERILIZADO POR RADIAÇÃO IONIZANTE; TRANSPARENTE DE PAREDES FINAS E MALEÁVEIS; COM 1 FURO LATERAL PROVIDO NA OUTRA EXTREMIDADE DE UM CONECTOR PADRÃO COM TAMPA; O PRODUTO É EMBALADO INDIVIDUALMENTE EM ENVELO</t>
  </si>
  <si>
    <t>SONDA URETRAL N 12. COM PONTA ARREDONDADA E FECHADA; ESTERILIZADO POR RADIAÇÃO IONIZANTE; TRANSPARENTE DE PAREDES FINAS E MALEÁVEIS; COM 1 FURO LATERAL PROVIDO NA OUTRA EXTREMIDADE DE UM CONECTOR PADRÃO COM TAMPA; O PRODUTO É EMBALADO INDIVIDUALMENTE EM ENVELO</t>
  </si>
  <si>
    <t>SONDA URETRAL N 14. COM PONTA ARREDONDADA E FECHADA; ESTERILIZADO POR RADIAÇÃO IONIZANTE; TRANSPARENTE DE PAREDES FINAS E MALEÁVEIS; COM 1 FURO LATERAL PROVIDO NA OUTRA EXTREMIDADE DE UM CONECTOR PADRÃO COM TAMPA; O PRODUTO É EMBALADO INDIVIDUALMENTE EM ENVELO</t>
  </si>
  <si>
    <t>SONDA URETRAL N 16. COM PONTA ARREDONDADA E FECHADA; ESTERILIZADO POR RADIAÇÃO IONIZANTE; TRANSPARENTE DE PAREDES FINAS E MALEÁVEIS; COM 1 FURO LATERAL PROVIDO NA OUTRA EXTREMIDADE DE UM CONECTOR PADRÃO COM TAMPA; O PRODUTO É EMBALADO INDIVIDUALMENTE EM ENVELO</t>
  </si>
  <si>
    <t>TESTE BOWIE DICKPLUS EM PACOTES C/6 UND 00135, REVELA ANTECIPADAMENTE PROBLEMAS DE REMOÇÃO DE AR NOS AUTOCLAVES POR MEIO DA FOLHA ALERTA OFERECE FACILIDADE NA IDENTIFICAÇÃO DO PROBLEMA E AUMENTA A SEGURANÇA COMPOSTO POR UMA FOLHA IMPREGNADA COM UM INDICADOR QU</t>
  </si>
  <si>
    <t>TOUCA: TAMANHO ÚNICO 21. DESCARTÁVEL, SUPORTE: TNT (TECIDO NÃO TECIDO),PACOTE COM 100 UNID.</t>
  </si>
  <si>
    <t>BOLSA COLETORA DE URINA, EM PVC GRADUADA SISTEMA FECHADO 2000ML, COM PONTO DE COLETA DE AMOSTRA, VÁLVULA ANTIREFLUXO; FILTRO DE AR HIDRÓFOBO, COM ESCALA DE 0 A 2000ML, GRADUADA A MILILITROS, COM CLAMP PARA INTERRUPÇÃO DE FLUXO; ALÇA PLÁSTICA E CADARÇO PARA FIX</t>
  </si>
  <si>
    <t>CÂNULA GUEDEL, OROFARÍNGEA, MATERIAL POLIETILENO, OU PVC OU POLIPROPILENO COM CONECTOR EXTREMIDADE PROXIMAL E ORIFÍCIO, TIPO USO DESCARTÁVEL, ESTÉRIL, Nº 00.</t>
  </si>
  <si>
    <t>CATETER CENTRAL, APLICAÇÃO VENOSO/ ARTERIAL, TIPO IMPLANTE UMBILICAL, MATÉRIA PRIMA POLIURETANO RADIOPACO, DIÂMETRO CERCA 3,5 FR, VIAS DUPLO LÚMEN, COMPRIMENTO 30 A 50 CM, CONECTOR PADRÃO, CLAMP E TAMPA, TIPO USO ESTÉRIL, DESCARTÁVEL, EMBALAGEM INDIVIDUAL</t>
  </si>
  <si>
    <t>CATETER CENTRAL, APLICAÇÃO VENOSO/ ARTERIAL, TIPO IMPLANTE UMBILICAL, MATÉRIA PRIMA POLIURETANO RADIOPACO, DIÂMETRO CERCA 3,5 FR, VIAS MONO LÚMEN, COMPRIMENTO 30 A 50 CM, CONECTOR PADRÃO, CLAMP E TAMPA, TIPO USO ESTÉRIL, DESCARTÁVEL, EMBALAGEM INDIVIDUAL</t>
  </si>
  <si>
    <t>CATETER CENTRAL, APLICAÇÃO VENOSO/ ARTERIAL, TIPO IMPLANTE UMBILICAL, MATÉRIA PRIMA POLIURETANO RADIOPACO, DIÂMETRO CERCA 4,0 FR, VIAS MONO LÚMEN, COMPRIMENTO 30 A 50 CM, CONECTOR PADRÃO, CLAMP E TAMPA, TIPO USO ESTÉRIL, DESCARTÁVEL, EMBALAGEM INDIVIDUAL</t>
  </si>
  <si>
    <t>CATETER CENTRAL, APLICAÇÃO VENOSO/ ARTERIAL, TIPO IMPLANTE UMBILICAL, MATÉRIA PRIMA POLIURETANO RADIOPACO, DIÂMETRO CERCA 5,0 FR, VIAS DUPLO LÚMEN, COMPRIMENTO 30 A 50 CM, CONECTOR PADRÃO, CLAMP E TAMPA, TIPO USO ESTÉRIL, DESCARTÁVEL, EMBALAGEM INDIVIDUAL</t>
  </si>
  <si>
    <t>CATETER CENTRAL, APLICAÇÃO VENOSO/ ARTERIAL, TIPO IMPLANTE UMBILICAL, MATÉRIA PRIMA POLIURETANO RADIOPACO, DIÂMETRO DE 2,5 FR, VIAS MONO LÚMEN, COMPRIMENTO DE 30 A 50 CM, CONECTOR PADRÃO, CLAMP E TAMPA, TIPO USO ESTÉRIL, DESCARTÁVEL, EMBALAGEM INDIVIDUAL</t>
  </si>
  <si>
    <t>CATETER INTRAVENOSO PERIFÉRICO TIPO CALIBRE 14 G ABOCATH, CÂNULA EM POLIURETANO, VIALON OU TEFLON, AGULHA COM BISEL TRIFACETADO EM AÇO CIRURGICO OU AÇO INOX, DESCARTÁVEL, ESTÉRIL.</t>
  </si>
  <si>
    <t>CATETER INTRAVENOSO PERIFÉRICO TIPO CALIBRE 22 G ABOCATH, CÂNULA EM POLIURETANO, VIALON OU TEFLON, AGULHA COM BISEL TRIFACETADO EM AÇO CIRURGICO OU AÇO INOX, DESCARTÁVEL, ESTÉRIL.</t>
  </si>
  <si>
    <t>CATETER VENOSO CENTRAL DE INSERÇÃO PERIFÉRICA (PICC), DUPLO LÚMEN TAMANHO APROXIMADO DE 1,9 A 2 FR COM 20 A 35 CM DE COMPRIMENTO, MATERIAL EM POLIURETANO BIOCOMPATÍVEL, HEMOCOMPATÍVEL, RADIOPACO, MARCADO A CADA CENTÍMETRO EM TODA SUA EXTENSÃO, INTRODUTOR BIPAR</t>
  </si>
  <si>
    <t>CATETER VENOSO CENTRAL DE INSERÇÃO PERIFÉRICA (PICC), MONO LÚMEN TAMANHO APROXIMADO DE 1 FR COM 20 A 30 CM DE COMPRIMENTO, MATERIAL EM POLIURETANO BIOCOMPATÍVEL, HEMOCOMPATÍVEL, RADIOPACO, MARCADO A CADA CENTÍMETRO EM TODA SUA EXTENSÃO, INTRODUTOR BIPARTIDO TR</t>
  </si>
  <si>
    <t>CATETER VENOSO CENTRAL DE INSERÇÃO PERIFÉRICA (PICC), MONO LÚMEN TAMANHO APROXIMADO DE 1,9 A 2 FR COM 20 A 35 CM DE COMPRIMENTO, MATERIAL EM POLIURETANO BIOCOMPATÍVEL, HEMOCOMPATÍVEL, RADIOPACO, MARCADO A CADA CENTÍMETRO EM TODA SUA EXTENSÃO, INTRODUTOR BIPART</t>
  </si>
  <si>
    <t>CATETER VENOSO CENTRAL DE INSERÇÃO PERIFÉRICA (PICC), MONO LÚMEN TAMANHO APROXIMADO DE 3 FR COM 30 A 65 CM DE COMPRIMENTO, MATERIAL EM POLIURETANO BIOCOMPATÍVEL, HEMOCOMPATÍVEL, RADIOPACO, MARCADO A CADA CENTÍMETRO EM TODA SUA EXTENSÃO, INTRODUTOR BIPARTIDO TR</t>
  </si>
  <si>
    <t>CATETER VENOSO CENTRAL DE INSERÇÃO PERIFÉRICA (PICC), MONO LÚMEN TAMANHO DE 4 FR COM 30 A 65 CM DE COMPRIMENTO, MATERIAL EM POLIURETANO BIOCOMPATÍVEL, HEMOCOMPATÍVEL, RADIOPACO, MARCADO A CADA CENTÍMETRO EM TODA SUA EXTENSÃO, INTRODUTOR BIPARTIDO TRANSPARENTE,</t>
  </si>
  <si>
    <t>COLETOR DE URINA PENIANO N. 8 OU TAMANHO G PARA INCONTINÊNCIA URINÁRIA MASCULINA, COM EXTENSOR.</t>
  </si>
  <si>
    <t>ELETRODO DE SUPERFÍCIE, PARA MONITORIZAÇÃO CARDÍACA - ECG, TAMANHO: NEONATAL, MATERIAL SENSOR: PRATA/PRATA CLORADA, COM GEL CONDUTOR, TIPO: ADESIVO HIPOALERGENICO, DE USO ÚNICO</t>
  </si>
  <si>
    <t>ELETRODO DE SUPERFÍCIE, PARA MONITORIZAÇÃO CARDÍACA - ECG, TAMANHO: PEDIÁTRICO, MATERIAL SENSOR: PRATA/PRATA CLORADA, COM GEL CONDUTOR, TIPO: ADESIVO HIPOALERGENICO, DE USO ÚNICO</t>
  </si>
  <si>
    <t>EQUIPO MICROGOTAS COM FILTRO: EQUIPO MICRO GOTAS, 60 GOTAS = 1 ML CONTENDO INJETOR LATERAL COM MEMBRANA AUTOCICATRIZANTE PARA ADMINISTRAÇÃO DE MEDICAMENTOS/ SOLUÇÕES.</t>
  </si>
  <si>
    <t>ESCOVA CERVICAL DESCARTAVEL PARA COLPOCITOLOGIA ESTERIL MATERIAL: PLÁSTICO, TAMANHO APROXIMADO DE 18 CM DE COMPRIMENTO, PONTA: CÔNICA COM MICROCERDAS EM NÁILON DE APROXIMADAMENTE 2 MM DE DIÂMETRO, ESTERILIZADA POR ÓXIDO DE ETILENO, EMBALAGEM: INDIVIDUAL EM PAP</t>
  </si>
  <si>
    <t>EXTENSÃO DE OXIGÊNIO, EM PVC MEDINDO NO MÍNIMO 5 METROS.</t>
  </si>
  <si>
    <t>FILTRO TIPO HMEF / USO PEDIÁTRICO / TROCADOR DE CALOR E UMIDADE PARA SER ACOPLADO A SISTEMAS VENTILATÓRIOS COM CONEXÃO UNIVERSAL RETA ESTÉRIL / COM TRAQUÉIA / BACTERIAL E VIRAL, ELETROSTÁTICO, HIDROFÓBICO E HIGROSCÓPICO / CONEXÕES MÍNIMAS 22M-15F E 22F-15M / C</t>
  </si>
  <si>
    <t>FIXADOR ADESIVO DE SONDA NASAL.</t>
  </si>
  <si>
    <t>FRALDA DESCARTÁVEL INFANTIL, TAMANHO EXTRA GRANDE, COM PROTEÇÃO MÍNIMA DE ATÉ 8 HORAS</t>
  </si>
  <si>
    <t>FRALDA DESCARTÁVEL INFANTIL, TAMANHO GRANDE, COM PROTEÇÃO MÍNIMA DE ATÉ 8 HORAS</t>
  </si>
  <si>
    <t>FRALDA DESCARTÁVEL INFANTIL, TAMANHO MÉDIO, COM PROTEÇÃO MÍNIMA DE ATÉ 8 HORAS</t>
  </si>
  <si>
    <t>KIT TRANSDUTOR DESCARTÁVEL PARA PRESSÃO INVASIVA (PAI), CONTENDO EQUIPO DE SORO COM REGULADOR DE FLUXO, DISPOSITIVO DE FLUSH, 2 TORNEIRINHA 3 VIAS MULTIDIRECIONAL, 2 TUBOS EXTENSOR DE BAIXA COMPLACÊNCIA, CONECTOR COM CARTUCHO DE PRESSÃO DESCARTÁVEL, COM DIÂMET</t>
  </si>
  <si>
    <t>LUVA CIRÚRGICA Nº6.0 ESTÉRIL, FABRICADA EM LÁTEX NATURAL, ANATÔMICA, COM PÓ BIABSORVÍVEL, DESCARTÁVEL E DE USO ÚNICO. EM EMBALAGEM CONTENDO UM PAR, COM DADOS DE IDENTIFICAÇÃO E PROCEDÊNCIA, DATA, TIPO DE ESTERILIZAÇÃO E VALIDADE.</t>
  </si>
  <si>
    <t>MÁSCARA GASOTERAPIA, MODELO: VENTURI, MATERIAL PLÁSTICO COM TUBO CORRUGADO, TAMANHO PEDIATRICO, COM CLIPE NASAL E FIXADOR CEFÁLICO AJUSTÁVEL, TUBO DE O2 CONECTOR PADRÃO E COM 6 DILUIDORES PARA FLUXO DE O2.</t>
  </si>
  <si>
    <t>MÁSCARA PARA ANESTESIA E VENTILACAO NÃO INVASIVA Nº 1 OU INFANTIL COM COXIM INFLÁVEL EM SILICONE.</t>
  </si>
  <si>
    <t>PAPEL LENÇOL HOSPITALAR 100 POR CENTO CELULOSE 0,70 MT X 50 MT</t>
  </si>
  <si>
    <t>SONDA FOLEY 2 VIAS N° 10, FABRICADA EM LÁTEX ATÓXICO, BALÃO COM CAPACIDADE APROXIMADA DE 5ML, COM CONECTOR UNIVERSAL, EMBALADO EM MATERIAL QUE GARANTA A INTEGRIDADE DO PRODUTO.</t>
  </si>
  <si>
    <t>SONDA FOLEY 2 VIAS N° 6, FABRICADA EM LÁTEX ATÓXICO, BALÃO COM CAPACIDADE APROXIMADA DE 3ML, COM CONECTOR UNIVERSAL, EMBALADO EM MATERIAL QUE GARANTA A INTEGRIDADE DO PRODUTO.</t>
  </si>
  <si>
    <t>SONDA FOLEY 2 VIAS N° 8, FABRICADA EM LÁTEX ATÓXICO, BALÃO COM CAPACIDADE APROXIMADA DE 5ML, COM CONECTOR UNIVERSAL, EMBALADO EM MATERIAL QUE GARANTA A INTEGRIDADE DO PRODUTO.</t>
  </si>
  <si>
    <t>SONDA NASOGÁSTRICA CURTA N.06</t>
  </si>
  <si>
    <t>SONDA NASOGÁSTRICA CURTA N.08</t>
  </si>
  <si>
    <t>SONDA NASOGÁSTRICA CURTA N.10</t>
  </si>
  <si>
    <t>SONDA NASOGÁSTRICA CURTA Nº 04</t>
  </si>
  <si>
    <t>SONDA NASOGÁSTRICA LONGA EM PVC CRISTAL N°06</t>
  </si>
  <si>
    <t>SONDA NASOGÁSTRICA LONGA N.08</t>
  </si>
  <si>
    <t>SONDA URETRAL Nº 16.</t>
  </si>
  <si>
    <t>SONDA URETRAL Nº 18.</t>
  </si>
  <si>
    <t>SONDA URETRAL Nº 20.</t>
  </si>
  <si>
    <t>TOUCA DESCARTÁVEL SANFONADA,CONFECCIONADA EM TNT (100 POLIPROPILENO ATÓXICO) COR BRANCA, POSSUEM ELÁSTICO REVESTIDO,TAMANHO ÚNICO, GRAMATURA MÍNIMA DE 10G/M².</t>
  </si>
  <si>
    <t>FILTRO RESPIRATÓRIO BACTERIANO / VIRAL DE ALTA EFICIÊNCIA, TIPO HEPA, PARA VENTILAÇÃO MECÂNICA, ADULTO, SEM FUNÇÃO HME/HMEF, COM BFE E VFE = 99,99%, HIDROFÓBICO, BAIXA RESISTÊNCIA AO FLUXO, CONEXÃO 22 MM, USO ÚNICO.</t>
  </si>
  <si>
    <t>Suporte para Coletor, em metal, para materiais perfurocortantes.</t>
  </si>
  <si>
    <t>Insumos para Laboratório, cuba modelo Rim, em aço inoxidável, capacidade para 750 mL.</t>
  </si>
  <si>
    <t>Coletores de Uso Médico e Hospitalar, coletor de urina, tipo papagaio, em aço inoxidável.</t>
  </si>
  <si>
    <t>Coletores de Uso Médico e Hospitalar, coletor de urina, tipo comadre, em aço inoxidável.</t>
  </si>
  <si>
    <t>Bacia hospitalar, plástica, formato redondo ou oval, capacidade 5l.</t>
  </si>
  <si>
    <t>Bacia hospitalar, Bacia hospitalar, plástica, formato redondo ou oval, capacidade 12l.</t>
  </si>
  <si>
    <t>ATADURA DE CREPE 10 CM X 1,8 M 13 FIOS POR CM2, PURO ALGODAO, COR CRU DE ALTA TORÇÃO NAO ESTERIL, CAPACIDADE DE COMPRESSAO E ELASTICIDADE, REG MS COM 12 UNIDADES</t>
  </si>
  <si>
    <t>ATADURA DE CREPE 15 CM X 1,8 M 13 FIOS POR CM2, PURO ALGODAO, COR CRU DE ALTA TORÇÃO, NAO ESTERIL, CAPACIDADE DE COMPRESSAO E ELASTICIDADE, REG MS COM 12 UNIDADES</t>
  </si>
  <si>
    <t>ATADURA DE CREPE 20 CM X 1,8 M 13 FIOS POR CM2, PURO ALGODAO, COR CRU DE ALTA TORÇÃO NAO ESTERIL, CAPACIDADE DE COMPRESSAO E ELASTICIDADE, REG MS COM 12 UNIDADES</t>
  </si>
  <si>
    <t>BOBINA PAPEL GRAU CIRURGICO 10CM X 100 M , 100% CELULOSE, C/GRAMATURA DE 60 GMF, OFERECE3E BARREIRA MICROBIANA EFICAZ ATRAVÉS DE POROSIDADES CONTROLADA COMPROVADA POR MEIO DE BFE) MANTENDO A ESTERILIDADE DO ARTIGO POR PRAZO SUPERIOR AO PROPORCIONADO PELO TÉCNI</t>
  </si>
  <si>
    <t>BOBINA PAPEL GRAU CIRURGICO 15CM X 100 M, 100 % CELULOSE, C/ GRAMATURA DE 60 G/ M2 , OFERECE BARREIRA MICROBIANA, EFICAZ ATRAVÉS DE PORSIDADES CONTROLADA (COMPROVADA POR MEIO DE BFE) MANTENDO A ESTERILIDADE DO ARTIGO POR PRAZO SUPERIOR AO PROPORCIONADO PELO TÉ</t>
  </si>
  <si>
    <t>BOBINA PAPEL GRAU CIRURGICO 30CM X 100 M, 100 % CELULOSE, C/ GRAMATURA DE 60 G/ M2 , OFERECE BARREIRA MICROBIANA, EFICAZ ATRAVÉS DE PORSIDADES CONTROLADA (COMPROVADA POR MEIO DE BFE) MANTENDO A ESTERILIDADE DO ARTIGO POR PRAZO SUPERIOR AO PROPORCIONADO PELO TÉ</t>
  </si>
  <si>
    <t>BOLSA PARA COLOSTOMIA / ILEOSTOMIA, EM PLASTICO RESISTENTE, DRENAVEL C/ BARREIRA PROTETORA PERIESTOMAL, FACE POSTERIOR MACIA, SUPORTE ADESIVO HIPOALERGICO, ACOMPANHADA DE CLIP, REG MS</t>
  </si>
  <si>
    <t>CATETER NASAL TIPO OCULOS EM P.V.C., ATOXICO SLICONADO, PRONGAS FLEXIVEIS, EXTENSAO 1,40 CM. EMBALADO INDIVIDULAMENTE EM EMBALAGEM PLASTICO, ESTERILIZADO, ASPIROGENICO, DESCARTAVEL - ADULTO</t>
  </si>
  <si>
    <t>CATETER NASAL TIPO OCULOS EM P.V.C., ATOXICO SLICONADO, PRONGAS FLEXIVEIS, EXTENSAO 1,40 CM. EMBALADO INDIVIDULAMENTE EM EMBALAGEM PLASTICO, ESTERILIZADO, ASPIROGENICO, DESCARTAVEL - INFANTIL</t>
  </si>
  <si>
    <t>CATETER VENOSO CENTRAL N°16 AG Assegura perfeito conhecimento da profUNIDidade Permite segurança na conexão Conector Luer-Lok codificado por cores.Cateter em biomaterial Vialon com suporte para agulha com formato anatômico.</t>
  </si>
  <si>
    <t>CLAMP UMBILICAL DESCARTAVEL, ATÓXICO, DESCARTAVEL, TAMANHO ÚNICO E EMBALEM INDIVIDUAL</t>
  </si>
  <si>
    <t>COLETOR DE URINA DESCARTÁVEL ADULTO 2000ML C/ 100 UNID</t>
  </si>
  <si>
    <t>COLETOR DE URINA INFANTIL (FEMININO) EM SACOS DE POLIETILENO DE BAIXA DENSIDADE, ADESIVO DUPLA FACE, ANTIALÉRGICO COM ORIFÍCIO, COM GRADUAÇÃO ATÉ 100ML, NÃO ESTERIL., REG M.S.</t>
  </si>
  <si>
    <t>COLETOR DE URINA INFANTIL (MASCULINO), EM SACOS DE POLIETILENO DE BAIXA DENSIDADE, ADESIVO DUPLA FACE ANTIALÉRGICO, COM ORIFÍCIO, COM GRADUAÇÃO ATÉ 100 ML, NÃO ESTERIL. REG M.S</t>
  </si>
  <si>
    <t>COLETOR DE URINA SISTEMA ABERTO DE BAIXA DENSIDADE, TIPO SACO, CAPACIDADE 2000 ML, GRADUADO, TRANSPARENTE, COM CORDÃO PARA AMARAÇÃO, NÃO ESTÉRIL. REG. C/ 100 UNID</t>
  </si>
  <si>
    <t>COLETOR DE URINA SISTEMA FECHADO BOLSA COLETORA C/FILTRO, SUPORTE REFORÇADO E VÁLVULA ANTI-REFLUXO, CAP. 2000 ML, GRADUAÇÃO DE 100 EM 100 ML, VÁLVULA DE DRENAGEM CENTRAL C/ ALONGAMENTO E PINÇA CORTA-FLUXO, EXTENSÃO INTERMEDIÁRIA C/ MEMBRANA ALTO VEDANTE, PINÇA</t>
  </si>
  <si>
    <t>COLETOR PARA INCONTINÊNCIA URINÁRIA MASCULINO ADULTO, COM PRESERVATIVO E EXTENSOR DE LÁTEX, ATÓXICO, APIROGÊNICO, EMBALADOS INDIVIDUAMENTE EM PGC/POLIETILENO, ESTÉRIL. EM ÓXIDO DE ETILENO/RAIO GAMA, REG MS. TAMANHO G</t>
  </si>
  <si>
    <t>COLETOR UNIVERSAL EM PLASTICO RÍGIDO, COR BRANCA, DESCARTÁVEL, COM TAMPA EM ROSCA, APROX. 80 ML, NÃO ESTERIL, REG MS.</t>
  </si>
  <si>
    <t>CONJUNTO PARA NEBULIZAÇÃO ADULTO: MASCARA, TUBO E COPO.</t>
  </si>
  <si>
    <t>CONJUNTO PARA NEBULIZAÇÃO INFANTIL: MASCARA, TUBO E COPO.</t>
  </si>
  <si>
    <t>ESPARADRAPO HIPOALERGÊNICO EM NÃO TECIDO (TIPO MICROPORE), COM ADESIVO ACRÍLICO ROLO DE 10CM X 4,5 M APROXIMADAMENTE, EMBALAGEM DE PROTEÇÃO EM PGC RÍGIDO REG MS</t>
  </si>
  <si>
    <t>FIO CIRURGICO CATGUT CROMADO ABSORVIVEL, ORGANICO N°0 COM 150 CM LAÇADO, CURVA 1/2 PONTA R AGULHA 4.0CM COM FECHAMENTO GERAL OBSTETRICIA GINECOLOGIA, CX 24 UNID</t>
  </si>
  <si>
    <t>FIO CIRURGICO CATGUT CROMADO ABSORVIVEL, ORGANICO N°0 COM 75 CM, CURVA 1/2 PONTA R AGULHA 5.0 CM COM FECHAMENTO GERAL OBSTETRICIA GINECOLOGIA, CX 24 UNID</t>
  </si>
  <si>
    <t>FIO CIRURGICO CATGUT CROMADO ABSORVIVEL, ORGANICO N°3,0 COM 75 CM, CURVA 1/2 PONTA R AGULHA 4.0 CM COM FECHAMENTO GERAL OBSTETRICIA GINECOLOGIA, CX 24 UNID</t>
  </si>
  <si>
    <t>FIO CIRURGICO DE POLIGLATINA 910, ABSORVIVEL,N°0, FIO COM70 CM, CURVA 1/2, PONTA R COM 4,0 CM FECHAMENTO GERAL OBSTETRICIA GINECOLOGIA CX 24 UNID</t>
  </si>
  <si>
    <t>FIO CIRURGICO DE POLIGLATINA 910, ABSORVIVEL,N°1, FIO COM70 CM, CURVA 1/2, PONTA R COM 4,0 CM FECHAMENTO GERAL OBSTETRICIA GINECOLOGIA CX 24 UNID</t>
  </si>
  <si>
    <t>FIO DE SUTURA, NÃO ABSORVIVEL, SINTETICO, ESTERIL, MONOFILAMENTO N-0 COM 45CM, 3/8 CIRCULO, PONTA T, AGULHA 4CM CX/ 24 UNID</t>
  </si>
  <si>
    <t>FIO DE SUTURA, NÃO ABSORVIVEL, SINTETICO, ESTERIL, MONOFILAMENTO N-2.0 COM 45CM, 3/8 CIRCULO, PONTA T, AGULHA 3,5CM CX/ 24 UNID</t>
  </si>
  <si>
    <t>FIO NYLON 6-0 , MONOFILAMENTO PRETO CLASSE II ESTERIL 45CM CUTICULAR / AGULHA 3/8 CIRC. TRG 3,0CM CX C/ 24 UNID.</t>
  </si>
  <si>
    <t>FIO PARA SUTURA, NYLON N° 3-0, MONOFILAMENTO PRETO, CLASSE IV, ESTÉRIL, 45 CM, CUTICULAR, CTI 3/8 CIRC TRG 3,5 CM. CX C/24 UNID.</t>
  </si>
  <si>
    <t>FIO PARA SUTURA, NYLON N° 4-0, MONOFILAMENTO PRETO, CLASSE IV, ESTÉRIL, 45 CM, CUTICULAR, CTI 3/8 CIRC TRG 2,5 CM. CX C/ 24 UNID.</t>
  </si>
  <si>
    <t>FIO PARA SUTURA, NYLON N° 5-0, MONOFILAMENTO PRETO, CLASSE IV ESTÉRIL, 45 CM, CUTICULAR, CTI 3/8 CIRC TRG 2,5 CM. CX C/ 24 UNID.</t>
  </si>
  <si>
    <t>FRALDA GERIATRICA TAMANHO G</t>
  </si>
  <si>
    <t>FRALDA GERIATRICA TAMANHO GG</t>
  </si>
  <si>
    <t>FRALDA GERIATRICA TAMANHO M</t>
  </si>
  <si>
    <t>FRALDA GERIATRICA TAMANHO P</t>
  </si>
  <si>
    <t>INDICADOR BIOLOGICO PARA ESTERILIZAÇAO A VAPOR C/ 10 UNID</t>
  </si>
  <si>
    <t>INTEGRADOR QUÍMICO DE ESTERILIZAÇÃO QUE PERMITA A LEITURA DE TEMPO, TEMPERATURA E VAPOR SATURADO EM AUTOCLAVE, DE USO ÚNICO, EMBALAGEM INDIVIDUAL, EM PGC, REG MS DE ACORDO COM CDC ART 31. C/ 250 UNID</t>
  </si>
  <si>
    <t xml:space="preserve">LUVA CIRURGICA ESTERIL N. 6,5 LATEX NATURAL ALTA RESISTÊNCIA ANTI- DESLIZANTE PULVERIZADA C/ PO BIO ABSORVIVEL ATÓXICO, ALTA SENSIBILIDADE TATIL FORMATO ANATÔMICO COMPRIMENTO MÍNIMO DE 280 MM, C/ BAINHA, EMB INTERNA IDENTIFICANDO NUMERAÇÃO E DIREITA/ESQUERDA, </t>
  </si>
  <si>
    <t xml:space="preserve">LUVA CIRURGICA ESTERIL N. 7,0 LATEX NATURAL ALTA RESISTÊNCIA ANTI- DESLIZANTE PULVERIZADA C/ PO BIO ABSORVIVEL ATÓXICO, ALTA SENSIBILIDADE TATIL FORMATO ANATÔMICO COMPRIMENTO MÍNIMO DE 280 MM, C/ BAINHA, EMB INTERNA IDENTIFICANDO NUMERAÇÃO E DIREITA/ESQUERDA, </t>
  </si>
  <si>
    <t xml:space="preserve">LUVA CIRURGICA ESTERIL N. 7,5 LATEX NATURAL ALTA RESISTÊNCIA ANTI- DESLIZANTE PULVERIZADA C/ PO BIO ABSORVIVEL ATÓXICO, ALTA SENSIBILIDADE TATIL FORMATO ANATÔMICO COMPRIMENTO MÍNIMO DE 280 MM, C/ BAINHA, EMB INTERNA IDENTIFICANDO NUMERAÇÃO E DIREITA/ESQUERDA, </t>
  </si>
  <si>
    <t xml:space="preserve">LUVA CIRURGICA ESTERIL N. 8,0 LATEX NATURAL ALTA RESISTÊNCIA ANTI- DESLIZANTE PULVERIZADA C/ PO BIO ABSORVIVEL ATÓXICO, ALTA SENSIBILIDADE TATIL FORMATO ANATÔMICO COMPRIMENTO MÍNIMO DE 280 MM, C/ BAINHA, EMB INTERNA IDENTIFICANDO NUMERAÇÃO E DIREITA/ESQUERDA, </t>
  </si>
  <si>
    <t>LUVA DE VINIL PARA PROCEDIMENTO TAMANHO P, SEM TALCO , ANTIALERGICA ( LUVA DE SEGURANCA CONFECCIONADA EM RESINA VINILICA, COR TRANSPARENTE, SEM PULVERIZAÇÃO INERTNA COM PO BIOABSORVIVEL (SEM TALCO), AMBIDESTRA. CAIXA COM 100 UNIDADES . EMBALAGEM DEVE CONTER DA</t>
  </si>
  <si>
    <t>PAPEL LENÇOL DESCARTÁVEL 50X70 CM</t>
  </si>
  <si>
    <t>REMOVEDOR DE ESPARADRAPO 1 LITRO</t>
  </si>
  <si>
    <t>SERINGA DE INSULINA 1 ML 100 UI C/ AGULHA FIXA 0,25 X 6 MM. CX C/ 100 UNID</t>
  </si>
  <si>
    <t>SONDA URETRAL NR 06 PLÁSTICO TRANSPARENTE, SILICONIZADA FLEXÍVEL, ATÓXICO, PONTA ATRAUMÁTICA FECHADA, C/ 02 ORIFÍCIOS LATERAIS DESALINHADOS, CONECTOR UNIVERSAL C/ TAMPA EMB EM PGC FACE TRANSPARENTE ESTPERL EM ÓXIDO DE ETILENO REG MS</t>
  </si>
  <si>
    <t>SONDA URETRAL NR 08 PLÁSTICO TRANSPARENTE, SILICONIZADA FLEXÍVEL, ATÓXICO, PONTA ATRAUMÁTICA FECHADA, C/ 02 ORIFÍCIOS LATERAIS DESALINHADOS, CONECTOR UNIVERSAL C/ TAMPA EMB EM PGC FACE TRANSPARENTE ESTPERL EM ÓXIDO DE ETILENO REG MS</t>
  </si>
  <si>
    <t>Mascara de oxigenio para traqueostomia adulto</t>
  </si>
  <si>
    <t>Mascara de oxigenio para traqueostomia infantil</t>
  </si>
  <si>
    <t>MÁSCARA DE OXIGÊNIO DE ALTA CONCENTRAÇÃO ADULTO COM ELÁSTICO E RESERVATÓRIO COM EXTENSOR DE 1,20M EM SILICONE</t>
  </si>
  <si>
    <t>CÂNULA OROFARINGEA DE GUEDEL N 0</t>
  </si>
  <si>
    <t>CÂNULA OROFARINGEA DE GUEDEL N 1</t>
  </si>
  <si>
    <t>CÂNULA OROFARINGEA DE GUEDEL N 2</t>
  </si>
  <si>
    <t>CÂNULA OROFARINGEA DE GUEDEL N 3</t>
  </si>
  <si>
    <t>CÂNULA OROFARINGEA DE GUEDEL N 4</t>
  </si>
  <si>
    <t>CÂNULA OROFARINGEA DE GUEDEL N 5</t>
  </si>
  <si>
    <t>FIXADOR DE SONDA NASAL PACOTE COM 10 UNIDADES</t>
  </si>
  <si>
    <t>CATÉTER INTRAVENOSO PERIFÉRICO 14 G(JELCO) COM DISPOSITIVO DE SEGURANÇA CAIXA 100 UNI</t>
  </si>
  <si>
    <t>CATÉTER INTRAVENOSO PERIFÉRICO 16 G(JELCO) COM DISPOSITIVO DE SEGURANÇA CAIXA 100 UNI</t>
  </si>
  <si>
    <t>CATÉTER INTRAVENOSO PERIFÉRICO 18 G(JELCO) COM DISPOSITIVO DE SEGURANÇA CAIXA 100 UNI</t>
  </si>
  <si>
    <t>CATÉTER INTRAVENOSO PERIFÉRICO 20 G(JELCO) COM DISPOSITIVO DE SEGURANÇACAIXA 100 UNI</t>
  </si>
  <si>
    <t>CATÉTER INTRAVENOSO PERIFÉRICO 22 G(JELCO) COM DISPOSITIVO DE SEGURANÇA CAIXA 100 UNI</t>
  </si>
  <si>
    <t>CATÉTER INTRAVENOSO PERIFÉRICO 24 G(JELCO) COM DISPOSITIVO DE SEGURANÇA CAIXA 100 UNI</t>
  </si>
  <si>
    <t>CATETER PARA SUBCLÁVIA T/L CVC</t>
  </si>
  <si>
    <t>EQUIPO MACROGOTAS COMPLETO</t>
  </si>
  <si>
    <t>EQUIPO MACROGOTAS FOTOSSENSIVEL SIMPLES</t>
  </si>
  <si>
    <t>SERINGA DESCARTÁVEL 1ML COM AGULHA 25 X07 MM ESTÉRIL</t>
  </si>
  <si>
    <t>SERINGA DESCARTÁVEL 1ML COM AGULHA 20X07MM ESTÉRIL</t>
  </si>
  <si>
    <t>SERINGA DESCARTÁVEL 1ML PARA INSULINA COM AGULHA FIXA 31G 0,25MM X 6MM, ESTÉRIL</t>
  </si>
  <si>
    <t>SERINGA DESCARTÁVEL 3ML, COM AGULHA, ESTÉRIL</t>
  </si>
  <si>
    <t>SERINGA DESCARTÁVEL 5ML, COM AGULHA, ESTÉRIL</t>
  </si>
  <si>
    <t>SERINGA DESCARTÁVEL 10ML, COM AGULHA. ESTÉRIL</t>
  </si>
  <si>
    <t>SERINGA DESCARTÁVEL 20ML, COM AGULHA, ESTÉRIL</t>
  </si>
  <si>
    <t>SONDA FOLEY LÁTEX 2 VIAS Nº 12 - ESTÉRIL</t>
  </si>
  <si>
    <t>SONDA FOLEY LÁTEX 2 VIAS Nº 14 - ESTÉRIL</t>
  </si>
  <si>
    <t>SONDA FOLEY LÁTEX 2 VIAS Nº 16 - ESTÉRIL</t>
  </si>
  <si>
    <t>SONDA FOLEY LÁTEX 2 VIAS Nº 18 - ESTÉRIL</t>
  </si>
  <si>
    <t>SONDA FOLEY LÁTEX 2 VIAS Nº 20 - ESTÉRIL</t>
  </si>
  <si>
    <t>SONDA FOLEY LÁTEX 2 VIAS N 22 ESTÉRIL</t>
  </si>
  <si>
    <t>SONDA NASOENTERAL N 10</t>
  </si>
  <si>
    <t>SONDA NASOENTERAL N 12</t>
  </si>
  <si>
    <t>SONDA NASOGÁSTRICA CURTA N 8</t>
  </si>
  <si>
    <t>SONDA NASOGÁSTRICA CURTA N 10</t>
  </si>
  <si>
    <t>SONDA NASOGÁSTRICA CURTA N 12</t>
  </si>
  <si>
    <t>SONDA NASOGÁSTRICA CURTA N 14</t>
  </si>
  <si>
    <t>SONDA NASOGÁSTRICA CURTA N 16</t>
  </si>
  <si>
    <t>SONDA NASOGÁSTRICA CURTA N 18</t>
  </si>
  <si>
    <t>SONDA NASOGÁSTRICA LONGA N 10</t>
  </si>
  <si>
    <t>SONDA NASOGÁSTRICA LONGA N 12</t>
  </si>
  <si>
    <t>SONDA NASOGÁSTRICA LONGA N 14</t>
  </si>
  <si>
    <t>SONDA NASOGÁSTRICA LONGA N 16</t>
  </si>
  <si>
    <t>SONDA NASOGÁSTRICA LONGA N 18</t>
  </si>
  <si>
    <t>SONDA NASOGÁSTRICA LONGA N 20</t>
  </si>
  <si>
    <t>SONDA URETRAL N 6</t>
  </si>
  <si>
    <t>SONDA URETRAL N 8</t>
  </si>
  <si>
    <t>SONDA URETRAL N 12</t>
  </si>
  <si>
    <t>SONDA URETRAL N 14</t>
  </si>
  <si>
    <t>THREE WAY TORNEIRINHA 3 VIAS</t>
  </si>
  <si>
    <t>COMPRESSA DE GAZE 7,5 X 7,5 CM, 13 FIOS, PACOTE 10 UNIDADES, ESTÉRIL</t>
  </si>
  <si>
    <t>COMPRESSA DE GAZE NÃO ESTÉRIL 7,5X7,5CM, CONFECCIONADA COM FIOS 100% ALGODÃO EM TECIDO TIPO TELA, COM 8 CAMADAS E 5 DOBRAS COMPLETAS E JUSTAPOSTAS EM SUAS EXTREMIDADES, MEDINDO 15X30CM QUANDO ABERTAS. SÃO ALVEJADAS E ISENTAS DE IMPUREZAS, SUBSTÂNCIAS GORDUROSA</t>
  </si>
  <si>
    <t>CURATIVO COBERTURA ALGINATO DE CÁLCIO 10X10 CM</t>
  </si>
  <si>
    <t>CURATIVO COBERTURA HIDROCOLOIDE 20X 20CM</t>
  </si>
  <si>
    <t>CURATIVO COBERTURA HIDROGEL EM TUBO</t>
  </si>
  <si>
    <t>COLETOR DE AMOSTRA UNIVERSAL COM TAMPA (FEZES, AMOSTRAS BIOLOGICAS E URINA)</t>
  </si>
  <si>
    <t>COLETOR DE URINA, SISTEMA ABERTO, FRASCO 1 LITRO</t>
  </si>
  <si>
    <t>COLETOR DE URINA, DESCARTAVEL INFANTIL MASCULINO</t>
  </si>
  <si>
    <t>COLETOR DE URINA, DESCARTAVEL INFANTIL FEMININO</t>
  </si>
  <si>
    <t>COLETOR DE URINA, SISTEMA FECHADO COM VALVULA ANTIRREFLUXO E CLANP PINÇA 2L</t>
  </si>
  <si>
    <t>BOLSA DE COLOSTOMIA DRENAVEL 16/64 MM - COR OPACA CONVATEC</t>
  </si>
  <si>
    <t>COPO UMIDIFICADOR PARA OXIGÊNIO 250ML</t>
  </si>
  <si>
    <t>FITA TESTE PARA AUTOCLAVE 19MM X 30M</t>
  </si>
  <si>
    <t>GARROTE ADULTO COM TRAVA</t>
  </si>
  <si>
    <t>GARROTE PEDIÁTRICO COM TRAVA</t>
  </si>
  <si>
    <t>ESCOVA CERVICAL GINECOLÓGICA PACOTE COM 100 UNIDADES</t>
  </si>
  <si>
    <t>ESPARADRAPO 10CM x 4,5M</t>
  </si>
  <si>
    <t>Kit Sutura Geral Fibra Cirúrgica</t>
  </si>
  <si>
    <t>FITA MICROPOROSA BRANCA 10CM x 4,5M</t>
  </si>
  <si>
    <t>FRALDA GERIATRICA DESCARTAVEL TAMANHO G COM SISTEMA ABRE E FECHA</t>
  </si>
  <si>
    <t>FRALDA GERIATRICA DESCARTAVEL TAMANHO M COM SISTEMA ABRE E FECHA</t>
  </si>
  <si>
    <t>FRALDA GERIATRICA DESCARTAVEL TAMANHO P COM SISTEMA ABRE E FECHA</t>
  </si>
  <si>
    <t>FRALDA GERIATRICA DESCARTAVEL TAMANHO XG COM SISTEMA ABRE E FECHA</t>
  </si>
  <si>
    <t>FRALDA INFANTIL DESCARTAVEL TAMANHO G COM SISTEMA ABRE E FECHA</t>
  </si>
  <si>
    <t>FRALDA INFANTIL DESCARTAVEL TAMANHO M COM SISTEMA ABRE E FECHA</t>
  </si>
  <si>
    <t>FRALDA INFANTIL DESCARTAVEL TAMANHO XXG COM SISTEMA ABRE E FECHA</t>
  </si>
  <si>
    <t>FRALDA INFANTIL DESCARTAVEL TAMANHO XG COM SISTEMA ABRE E FECHA</t>
  </si>
  <si>
    <t>LÂMINA DE BISTURI Nº 11 CAIXA COM 100 UNIDADES</t>
  </si>
  <si>
    <t>LÂMINA DE BISTURI N 12 CAIXA COM 100 UNIDADES</t>
  </si>
  <si>
    <t>LÂMINA DE BISTURI N 15 CAIXA COM 100 UNIDADES</t>
  </si>
  <si>
    <t>LÂMINA DE BISTURI Nº 22 CAIXA COM 100 UNIDADES</t>
  </si>
  <si>
    <t>LÂMINA DE BISTURI N 21 CAIXA COM 100 UNIDADES</t>
  </si>
  <si>
    <t>LÂMINA DE BISTURI N 24 CAIXA COM 100 UNIDADES</t>
  </si>
  <si>
    <t>LANCETA AUTOMATICA 28G PARA PONCAO CAPILAR CX 100 UNIDADES</t>
  </si>
  <si>
    <t>PAPEL GRAU CIRURGICO 200 X 100 MT</t>
  </si>
  <si>
    <t>PAPEL GRAU CIRURGICO 250 X 100 MT</t>
  </si>
  <si>
    <t>PAPEL GRAU CIRURGICO 150X 100 MT</t>
  </si>
  <si>
    <t>LENÇOL HOSPITALAR DE PAPEL, TAMANHO 70CM X 50M</t>
  </si>
  <si>
    <t>REANIMADOR MANUAL NEONATAL (AMBU, PROTEC)</t>
  </si>
  <si>
    <t>MÁSCARA LARÍNGEA N 3</t>
  </si>
  <si>
    <t>MÁSCARA LARÍNGEA N 4</t>
  </si>
  <si>
    <t>MÁSCARA LARÍNGEA N 5</t>
  </si>
  <si>
    <t>MÁSCARA NÃO REINALANTE PARA OXIGÊNIO (VENTURI)</t>
  </si>
  <si>
    <t>MÁSCARA PARA NEBULIZAÇÃO, ADULTO (KIT TUBO DE AR + CÂMARA DE NEBULIZAÇÃO E MÁSCARA)</t>
  </si>
  <si>
    <t>MÁSCARA PARA NEBULIZAÇÃO, INFANTIL (KIT TUBO DE AR + CÂMARA DE NEBULIZAÇÃO E MÁSCARA)</t>
  </si>
  <si>
    <t>MÁSCARA REINALANTE PARA OXIGÊNIO (VENTURI)</t>
  </si>
  <si>
    <t>SENSOR DE OXIMETRO</t>
  </si>
  <si>
    <t>ADAPTADOR AGULHA PARA COLETA DE SANGUE A VÁCUO.</t>
  </si>
  <si>
    <t>AGULHA GENGIVAL CURTA, ESTÉRIL, DESCARTÁVEL, PARA USO ODONTOLÓGICO, EM AÇO INOXIDÁVEL, COM BISEL TRIFACETADO, COMPATÍVEL COM SERINGA CARPULE.</t>
  </si>
  <si>
    <t>AGULHA GENGIVAL EXTRA CURTA, ESTÉRIL, DESCARTÁVEL, PARA USO ODONTOLÓGICO, EM AÇO INOXIDÁVEL, COM BISEL TRIFACETADO, COMPATÍVEL COM SERINGA CARPULE.</t>
  </si>
  <si>
    <t>AGULHA GENGIVAL LONGA, ESTÉRIL, DESCARTÁVEL, PARA USO ODONTOLÓGICO, EM AÇO INOXIDÁVEL, COM BISEL TRIFACETADO, COMPATÍVEL COM SERINGA CARPULE.</t>
  </si>
  <si>
    <t>AGULHA PARA ANESTESIA RAQUIDIANA 22G X 90 MM, TIPO QUINCKE, ESTÉRIL, DESCARTÁVEL.</t>
  </si>
  <si>
    <t>AVENTAL ESTÉRIL CIRÚRGICO</t>
  </si>
  <si>
    <t>AVENTAL IMPERMEÁVEL SMS/POLIPROPILENO</t>
  </si>
  <si>
    <t>BOLSA COLETORA DE URINA SISTEMA FECHADO COM CORDÃO, CAPACIDADE 1.000 ML</t>
  </si>
  <si>
    <t>BOLSA COLETORA DE URINA SISTEMA FECHADO COM CORDÃO, CAPACIDADE 2.000 ML</t>
  </si>
  <si>
    <t>BOLSA COLETORA DE URINA SISTEMA FECHADO, CAPACIDADE 2.000 ML</t>
  </si>
  <si>
    <t>BOLSA DE COLOSTOMIA DRENÁVEL NEONATAL, RECORTÁVEL 4–15 MM</t>
  </si>
  <si>
    <t>BOLSA DE COLOSTOMIA DRENÁVEL NEONATAL, RECORTÁVEL 6–20 MM</t>
  </si>
  <si>
    <t>BOLSA DE COLOSTOMIA DRENÁVEL PEDIÁTRICA, RECORTÁVEL 6–25 MM</t>
  </si>
  <si>
    <t>BOLSA DE COLOSTOMIA DRENÁVEL, RECORTÁVEL 19–64 MM</t>
  </si>
  <si>
    <t>BOUGIE (INTRODUTOR TRAQUEAL) 45 CM, ESTÉRIL.</t>
  </si>
  <si>
    <t>BOUGIE (INTRODUTOR TRAQUEAL) 60 CM, ESTÉRIL.</t>
  </si>
  <si>
    <t>BOUGIE (INTRODUTOR TRAQUEAL) 70 CM, ESTÉRIL.</t>
  </si>
  <si>
    <t>CABO DE BISTURI Nº 3</t>
  </si>
  <si>
    <t>CABO DE BISTURI Nº 4</t>
  </si>
  <si>
    <t>CABO DE BISTURI Nº 7</t>
  </si>
  <si>
    <t>CABO DE BISTURI Nº 9</t>
  </si>
  <si>
    <t>CÂNULA OROFARÍNGEA (GUEDEL) Nº 1</t>
  </si>
  <si>
    <t>CÂNULA OROFARÍNGEA (GUEDEL) Nº 2</t>
  </si>
  <si>
    <t>CÂNULA OROFARÍNGEA (GUEDEL) Nº 3</t>
  </si>
  <si>
    <t>CÂNULA OROFARÍNGEA (GUEDEL) Nº 4</t>
  </si>
  <si>
    <t>CÂNULA OROFARÍNGEA (GUEDEL) Nº 5</t>
  </si>
  <si>
    <t>CATÉTER INTRAVENOSO PERIFÉRICO 14G, ESTÉRIL, DESCARTÁVEL, COM DISPOSITIVO DE SEGURANÇA.</t>
  </si>
  <si>
    <t>CATÉTER INTRAVENOSO PERIFÉRICO 16G, ESTÉRIL, DESCARTÁVEL, COM DISPOSITIVO DE SEGURANÇA.</t>
  </si>
  <si>
    <t>CATÉTER INTRAVENOSO PERIFÉRICO 18G, ESTÉRIL, DESCARTÁVEL, COM DISPOSITIVO DE SEGURANÇA.</t>
  </si>
  <si>
    <t>CATÉTER INTRAVENOSO PERIFÉRICO 20G, ESTÉRIL, DESCARTÁVEL, COM DISPOSITIVO DE SEGURANÇA.</t>
  </si>
  <si>
    <t>CATÉTER INTRAVENOSO PERIFÉRICO 22G, ESTÉRIL, DESCARTÁVEL, COM DISPOSITIVO DE SEGURANÇA.</t>
  </si>
  <si>
    <t>CATÉTER INTRAVENOSO PERIFÉRICO 24G, ESTÉRIL, DESCARTÁVEL, COM DISPOSITIVO DE SEGURANÇA.</t>
  </si>
  <si>
    <t>CATÉTER INTRAVENOSO PERIFÉRICO 26G, ESTÉRIL, DESCARTÁVEL, COM DISPOSITIVO DE SEGURANÇA.</t>
  </si>
  <si>
    <t>CATÉTER NASAL TIPO ÓCULOS, ADULTO, EM PVC, ATÓXICO, FLEXÍVEL, COM CONECTOR UNIVERSAL, DESCARTÁVEL.</t>
  </si>
  <si>
    <t>CATÉTER NASAL TIPO ÓCULOS, NEONATAL, EM PVC, ATÓXICO, FLEXÍVEL, COM CONECTOR UNIVERSAL, DESCARTÁVEL.</t>
  </si>
  <si>
    <t>CATÉTER NASAL TIPO ÓCULOS, PEDIÁTRICO, EM PVC, ATÓXICO, FLEXÍVEL, COM CONECTOR UNIVERSAL, DESCARTÁVEL.</t>
  </si>
  <si>
    <t>CATÉTER VENOSO CENTRAL DUPLO LÚMEN, ESTÉRIL.</t>
  </si>
  <si>
    <t>CATÉTER VENOSO CENTRAL DUPLO LÚMEN, PARA ACESSO SUBCLÁVIO, ESTÉRIL, DESCARTÁVEL, EM POLIURETANO OU SILICONE.</t>
  </si>
  <si>
    <t>CATÉTER VENOSO CENTRAL MONOLÚMEN 14G, ESTÉRIL.</t>
  </si>
  <si>
    <t>CATÉTER VENOSO CENTRAL MONOLÚMEN, PARA ACESSO SUBCLÁVIO, ESTÉRIL, DESCARTÁVEL, EM POLIURETANO OU SILICONE, COM CONECTOR LUER LOCK.</t>
  </si>
  <si>
    <t>CATÉTER VENOSO CENTRAL TRIPLO LÚMEN, PARA ACESSO SUBCLÁVIO, ESTÉRIL, DESCARTÁVEL.</t>
  </si>
  <si>
    <t>COLETOR PARA MATERIAL PERFUROCORTANTE 13 LITROS.</t>
  </si>
  <si>
    <t>COLETOR PARA MATERIAL PERFUROCORTANTE 20 LITROS.</t>
  </si>
  <si>
    <t>COLETOR PARA MATERIAL PERFUROCORTANTE 7 LITROS.</t>
  </si>
  <si>
    <t>COLETOR UNIVERSAL 80 ML</t>
  </si>
  <si>
    <t>COMPRESSA CIRÚRGICA DE CAMPO OPERATÓRIO 40 CM X 40 CM, CONFECCIONADA EM GAZE HIDRÓFILA, 100% ALGODÃO, COM 4 CAMADAS, ALTA ABSORÇÃO, COM FIO RADIOPACO, ESTÉRIL, INDICADA PARA USO EM PROCEDIMENTOS CIRÚRGICOS.</t>
  </si>
  <si>
    <t>COMPRESSA DE GAZE HIDRÓFILA 7,5 CM X 7,5 CM, 13 FIOS DOBRAS, NÃO ESTÉRIL PACOTE COM 500 UND</t>
  </si>
  <si>
    <t>CONJUNTO DE NEBULIZAÇÃO ADULTO, DESCARTÁVEL.</t>
  </si>
  <si>
    <t>CONJUNTO DE NEBULIZAÇÃO PEDIÁTRICO, DESCARTÁVEL.</t>
  </si>
  <si>
    <t>COPO UMIDIFICADOR PARA OXIGENOTERAPIA - 250 ML</t>
  </si>
  <si>
    <t>ENVELOPE AUTOSSELANTE PAPEL GRAU CIRÚRGICO 05 X 13 CM</t>
  </si>
  <si>
    <t>ENVELOPE AUTOSSELANTE PAPEL GRAU CIRÚRGICO 05 X 15 CM</t>
  </si>
  <si>
    <t>ENVELOPE AUTOSSELANTE PAPEL GRAU CIRÚRGICO 07 X 13 CM</t>
  </si>
  <si>
    <t>ENVELOPE AUTOSSELANTE PAPEL GRAU CIRÚRGICO 07 X 20 CM</t>
  </si>
  <si>
    <t>ENVELOPE AUTOSSELANTE PAPEL GRAU CIRÚRGICO 09 X 23 CM</t>
  </si>
  <si>
    <t>ENVELOPE AUTOSSELANTE PAPEL GRAU CIRÚRGICO 10 X 20 CM</t>
  </si>
  <si>
    <t>ENVELOPE AUTOSSELANTE PAPEL GRAU CIRÚRGICO 10 X 25 CM</t>
  </si>
  <si>
    <t>ENVELOPE AUTOSSELANTE PAPEL GRAU CIRÚRGICO 12 X 25 CM</t>
  </si>
  <si>
    <t>ENVELOPE AUTOSSELANTE PAPEL GRAU CIRÚRGICO 12 X 30 CM</t>
  </si>
  <si>
    <t>ENVELOPE AUTOSSELANTE PAPEL GRAU CIRÚRGICO 15 X 25 CM</t>
  </si>
  <si>
    <t>ENVELOPE AUTOSSELANTE PAPEL GRAU CIRÚRGICO 15 X 30 CM</t>
  </si>
  <si>
    <t>ENVELOPE AUTOSSELANTE PAPEL GRAU CIRÚRGICO 18 X 33 CM</t>
  </si>
  <si>
    <t>ENVELOPE AUTOSSELANTE PAPEL GRAU CIRÚRGICO 20 X 30 CM</t>
  </si>
  <si>
    <t>ENVELOPE AUTOSSELANTE PAPEL GRAU CIRÚRGICO 20 X 40 CM</t>
  </si>
  <si>
    <t>ENVELOPE AUTOSSELANTE PAPEL GRAU CIRÚRGICO 25 X 35 CM</t>
  </si>
  <si>
    <t>ENVELOPE AUTOSSELANTE PAPEL GRAU CIRÚRGICO 30 X 40 CM</t>
  </si>
  <si>
    <t>ENVELOPE AUTOSSELANTE PAPEL GRAU CIRÚRGICO 30 X 50 CM</t>
  </si>
  <si>
    <t>EQUIPO FOTOSSENSÍVEL</t>
  </si>
  <si>
    <t>EQUIPO MACROGOTAS SEM INJETOR</t>
  </si>
  <si>
    <t>EQUIPO PARA BOMBA DE INFUSÃO</t>
  </si>
  <si>
    <t>EQUIPO PARA TRANSFUSÃO DE SANGUE</t>
  </si>
  <si>
    <t>ESPARADRAPO HIPOALERGÊNICO 5 CM X 4,5 M</t>
  </si>
  <si>
    <t>ESPARADRAPO IMPERMEÁVEL 10 CM X 4,5 M</t>
  </si>
  <si>
    <t>ESPARADRAPO MICROPOROSO 2,5 CM X 4,5 M</t>
  </si>
  <si>
    <t>ESPARADRAPO MICROPOROSO 5 CM X 9 M</t>
  </si>
  <si>
    <t>ESPÉCULO VAGINAL DESCARTÁVEL ESTÉRIL TAMANHO G</t>
  </si>
  <si>
    <t>ESPÉCULO VAGINAL DESCARTÁVEL ESTÉRIL TAMANHO M</t>
  </si>
  <si>
    <t>ESPÉCULO VAGINAL DESCARTÁVEL ESTÉRIL TAMANHO P</t>
  </si>
  <si>
    <t>ESPÉCULO VAGINAL DESCARTÁVEL ESTÉRIL TAMANHO PP</t>
  </si>
  <si>
    <t>EXTENSOR MULTIVIAS 2 VIAS, ESTÉRIL, DESCARTÁVEL, COM CLAMP, CONEXÃO LUER LOCK</t>
  </si>
  <si>
    <t>FILME TRANSPARENTE ESTÉRIL 10 CM X 12 CM, ADESIVO, SEMIPERMEÁVEL, INDICADO PARA FIXAÇÃO DE CATETERES.</t>
  </si>
  <si>
    <t>FIO NYLON 0, MONOFILAMENTO PRETO, ESTÉRIL.</t>
  </si>
  <si>
    <t>FIO NYLON 1, MONOFILAMENTO PRETO, ESTÉRIL.</t>
  </si>
  <si>
    <t>FIO NYLON 10-0, MONOFILAMENTO PRETO, ESTÉRIL.</t>
  </si>
  <si>
    <t>FIO NYLON 2, MONOFILAMENTO PRETO, ESTÉRIL.</t>
  </si>
  <si>
    <t>FIO NYLON 2-0, MONOFILAMENTO PRETO, ESTÉRIL.</t>
  </si>
  <si>
    <t>FIO NYLON 3-0, MONOFILAMENTO PRETO, ESTÉRIL.</t>
  </si>
  <si>
    <t>FIO NYLON 4-0, MONOFILAMENTO PRETO, ESTÉRIL.</t>
  </si>
  <si>
    <t>FIO NYLON 5-0, MONOFILAMENTO PRETO, ESTÉRIL.</t>
  </si>
  <si>
    <t>FIO NYLON 6-0, MONOFILAMENTO PRETO, ESTÉRIL.</t>
  </si>
  <si>
    <t>FIO NYLON 7-0, MONOFILAMENTO PRETO, ESTÉRIL.</t>
  </si>
  <si>
    <t>FIO NYLON 8-0, MONOFILAMENTO PRETO, ESTÉRIL.</t>
  </si>
  <si>
    <t>FIO NYLON 9-0, MONOFILAMENTO PRETO, ESTÉRIL.</t>
  </si>
  <si>
    <t>FITA INDICADORA PARA ESTERILIZAÇÃO A ÓXIDO DE ETILENO (ETO), COM INDICADOR QUÍMICO.</t>
  </si>
  <si>
    <t>FITA INDICADORA PARA ESTERILIZAÇÃO A VAPOR (AUTOCLAVE), ADESIVA, COM INDICADOR QUÍMICO CLASSE 1, MUDANÇA DE COR APÓS PROCESSO, 19 MM X 30 M.</t>
  </si>
  <si>
    <t>FITA MICROPOROSA 10 CM X 4,5 M, NÃO TECIDO, HIPOALERGÊNICA, PERMEÁVEL AO AR, COM ADESIVO ACRÍLICO.</t>
  </si>
  <si>
    <t>FLUXÔMETRO COM UMIDIFICADOR ACOPLADO, FRASCO UMIDIFICADOR COM CAPACIDADE APROXIMADA DE 250 ML.</t>
  </si>
  <si>
    <t>LÂMINA DE BISTURI Nº. 10</t>
  </si>
  <si>
    <t>LÂMINA DE BISTURI Nº. 11</t>
  </si>
  <si>
    <t>LÂMINA DE BISTURI Nº. 15</t>
  </si>
  <si>
    <t>LÂMINA DE BISTURI Nº. 21</t>
  </si>
  <si>
    <t>LÂMINA DE BISTURI Nº. 23</t>
  </si>
  <si>
    <t>LÂMINA DE BISTURI Nº. 24</t>
  </si>
  <si>
    <t>LENÇOL DESCARTÁVEL EM ROLO 50 CM X 50 M, PAPEL.</t>
  </si>
  <si>
    <t>LENÇOL DESCARTÁVEL EM ROLO 70 CM X 50 M, PAPEL.</t>
  </si>
  <si>
    <t>LENÇOL DESCARTÁVEL TNT 20 G/M², 0,90 X 2,00 M, BRANCO.</t>
  </si>
  <si>
    <t>LENÇOL DESCARTÁVEL TNT 30 G/M², 0,90 X 2,00 M, BRANCO.</t>
  </si>
  <si>
    <t>LENÇOL DESCARTÁVEL TNT 40 G/M², 0,90 X 2,00 M, BRANCO.</t>
  </si>
  <si>
    <t>LUVA CIRÚRGICA ESTÉRIL Nº 6.0</t>
  </si>
  <si>
    <t>LUVA CIRÚRGICA ESTÉRIL Nº 6.5</t>
  </si>
  <si>
    <t>LUVA CIRÚRGICA ESTÉRIL Nº 7.0</t>
  </si>
  <si>
    <t>LUVA CIRÚRGICA ESTÉRIL Nº 7.5</t>
  </si>
  <si>
    <t>LUVA CIRÚRGICA ESTÉRIL Nº 8.0</t>
  </si>
  <si>
    <t>LUVA CIRÚRGICA ESTÉRIL Nº 8.5</t>
  </si>
  <si>
    <t>MÁSCARA CIRÚRGICA TRIPLA DESCARTÁVEL, TAMANHO ADULTO, COM ELÁSTICO</t>
  </si>
  <si>
    <t>MÁSCARA CIRÚRGICA TRIPLA DESCARTÁVEL, TAMANHO ADULTO, COM TIRAS</t>
  </si>
  <si>
    <t>MÁSCARA LARÍNGEA COM CANAL GÁSTRICO (SEGUNDA GERAÇÃO), DESCARTÁVEL.</t>
  </si>
  <si>
    <t>MÁSCARA LARÍNGEA COM CUFF (BALONETE), DESCARTÁVEL, ESTÉRIL.</t>
  </si>
  <si>
    <t>MÁSCARA LARÍNGEA DESCARTÁVEL Nº 1, PARA PACIENTE ATÉ 5 KG, ESTÉRIL.</t>
  </si>
  <si>
    <t>MÁSCARA LARÍNGEA DESCARTÁVEL Nº 1,5, PARA PACIENTE DE 5 A 10 KG, ESTÉRIL.</t>
  </si>
  <si>
    <t>MÁSCARA LARÍNGEA DESCARTÁVEL Nº 2, PARA PACIENTE DE 10 A 20 KG, ESTÉRIL.</t>
  </si>
  <si>
    <t>MÁSCARA LARÍNGEA DESCARTÁVEL Nº 2,5, PARA PACIENTE DE 20 A 30 KG, ESTÉRIL.</t>
  </si>
  <si>
    <t>MÁSCARA LARÍNGEA DESCARTÁVEL Nº 3, PARA PACIENTE DE 30 A 50 KG, ESTÉRIL.</t>
  </si>
  <si>
    <t>MÁSCARA LARÍNGEA DESCARTÁVEL Nº 4, PARA PACIENTE DE 50 A 70 KG, ESTÉRIL.</t>
  </si>
  <si>
    <t>MÁSCARA LARÍNGEA DESCARTÁVEL Nº 5, PARA PACIENTE ACIMA DE 70 KG, ESTÉRIL.</t>
  </si>
  <si>
    <t>MÁSCARA LARÍNGEA REFORÇADA (ARAMADA), DESCARTÁVEL.</t>
  </si>
  <si>
    <t>MÁSCARA LARÍNGEA SEM CUFF, DESCARTÁVEL, ESTÉRIL.</t>
  </si>
  <si>
    <t>PAPEL GRAU CIRÚRGICO 10 CM X 100 M - ROLO</t>
  </si>
  <si>
    <t>PAPEL GRAU CIRÚRGICO 10 X 25 CM - ENVELOPES (SACHÊS PRONTOS)</t>
  </si>
  <si>
    <t>PAPEL GRAU CIRÚRGICO 12 CM X 100 M - ROLO</t>
  </si>
  <si>
    <t>PAPEL GRAU CIRÚRGICO 12 X 30 CM - ENVELOPES (SACHÊS PRONTOS)</t>
  </si>
  <si>
    <t>PAPEL GRAU CIRÚRGICO 15 CM X 100 M - ROLO</t>
  </si>
  <si>
    <t>PAPEL GRAU CIRÚRGICO 15 X 30 CM - ENVELOPES (SACHÊS PRONTOS)</t>
  </si>
  <si>
    <t>PAPEL GRAU CIRÚRGICO 18 X 33 CM - ENVELOPES (SACHÊS PRONTOS)</t>
  </si>
  <si>
    <t>PAPEL GRAU CIRÚRGICO 20 CM X 100 M - ROLO</t>
  </si>
  <si>
    <t>PAPEL GRAU CIRÚRGICO 20 X 30 CM - ENVELOPES (SACHÊS PRONTOS)</t>
  </si>
  <si>
    <t>PAPEL GRAU CIRÚRGICO 25 CM X 100 M - ROLO</t>
  </si>
  <si>
    <t>PAPEL GRAU CIRÚRGICO 25 X 35 CM - ENVELOPES (SACHÊS PRONTOS)</t>
  </si>
  <si>
    <t>PAPEL GRAU CIRÚRGICO 30 CM X 100 M - ROLO</t>
  </si>
  <si>
    <t>PAPEL GRAU CIRÚRGICO 30 X 40 CM - ENVELOPES (SACHÊS PRONTOS)</t>
  </si>
  <si>
    <t>REANIMADOR MANUAL NEONATAL, COM BALÃO AUTO-INFLÁVEL, RESERVATÓRIO DE OXIGÊNIO, VÁLVULA UNIDIRECIONAL, MÁSCARA COMPATÍVEL, CONEXÃO PADRÃO, MATERIAL EM SILICONE OU PVC.</t>
  </si>
  <si>
    <t>REANIMADOR MANUAL NEONATAL, COM BALÃO AUTO-INFLÁVEL, RESERVATÓRIO DE OXIGÊNIO, VÁLVULA UNIDIRECIONAL, MÁSCARA FACIAL, CONEXÃO PADRÃO, MATERIAL EM SILICONE OU PVC.</t>
  </si>
  <si>
    <t>SERINGA: 1 ML - S/AG:</t>
  </si>
  <si>
    <t>SERINGA: 10 ML - S/AG:</t>
  </si>
  <si>
    <t>SERINGA: 20 ML - S/AG:</t>
  </si>
  <si>
    <t>SERINGA: 1 ML - C/AG: 25 MM X 7 MM</t>
  </si>
  <si>
    <t>SERINGA: 3 ML - C/AG: 25 MM X 7 MM</t>
  </si>
  <si>
    <t>SERINGA: 5 ML - C/AG: 25 MM X 7 MM</t>
  </si>
  <si>
    <t>SERINGA: 10 ML - C/AG: 25 MM X 7 MM</t>
  </si>
  <si>
    <t>SERINGA: 20 ML - C/AG: 25 MM X 7 MM</t>
  </si>
  <si>
    <t>SONDA FOLEY 2 VIAS, ESTÉRIL, DESCARTÁVEL, CONFECCIONADA EM LÁTEX OU SILICONE, COM BALÃO, INDICADA PARA CATETERISMO VESICAL DE DEMORA. SONDA FOLEY 2 VIAS Nº 08.</t>
  </si>
  <si>
    <t>SONDA FOLEY 2 VIAS, ESTÉRIL, DESCARTÁVEL, CONFECCIONADA EM LÁTEX OU SILICONE, COM BALÃO, INDICADA PARA CATETERISMO VESICAL DE DEMORA. SONDA FOLEY 2 VIAS Nº 10.</t>
  </si>
  <si>
    <t>SONDA FOLEY 2 VIAS, ESTÉRIL, DESCARTÁVEL, CONFECCIONADA EM LÁTEX OU SILICONE, COM BALÃO, INDICADA PARA CATETERISMO VESICAL DE DEMORA. SONDA FOLEY 2 VIAS Nº 12.</t>
  </si>
  <si>
    <t>SONDA FOLEY 2 VIAS, ESTÉRIL, DESCARTÁVEL, CONFECCIONADA EM LÁTEX OU SILICONE, COM BALÃO, INDICADA PARA CATETERISMO VESICAL DE DEMORA. SONDA FOLEY 2 VIAS Nº 14.</t>
  </si>
  <si>
    <t>SONDA FOLEY 2 VIAS, ESTÉRIL, DESCARTÁVEL, CONFECCIONADA EM LÁTEX OU SILICONE, COM BALÃO, INDICADA PARA CATETERISMO VESICAL DE DEMORA. SONDA FOLEY 2 VIAS Nº 16.</t>
  </si>
  <si>
    <t>SONDA FOLEY 2 VIAS, ESTÉRIL, DESCARTÁVEL, CONFECCIONADA EM LÁTEX OU SILICONE, COM BALÃO, INDICADA PARA CATETERISMO VESICAL DE DEMORA. SONDA FOLEY 2 VIAS Nº 18.</t>
  </si>
  <si>
    <t>SONDA FOLEY 2 VIAS, ESTÉRIL, DESCARTÁVEL, CONFECCIONADA EM LÁTEX OU SILICONE, COM BALÃO, INDICADA PARA CATETERISMO VESICAL DE DEMORA. SONDA FOLEY 2 VIAS Nº 20.</t>
  </si>
  <si>
    <t>SONDA FOLEY 2 VIAS, ESTÉRIL, DESCARTÁVEL, CONFECCIONADA EM LÁTEX OU SILICONE, COM BALÃO, INDICADA PARA CATETERISMO VESICAL DE DEMORA. SONDA FOLEY 2 VIAS Nº 22.</t>
  </si>
  <si>
    <t>SONDA FOLEY 2 VIAS, ESTÉRIL, DESCARTÁVEL, CONFECCIONADA EM LÁTEX OU SILICONE, COM BALÃO, INDICADA PARA CATETERISMO VESICAL DE DEMORA. SONDA FOLEY 2 VIAS Nº 24.</t>
  </si>
  <si>
    <t>SONDA FOLEY 3 VIAS, ESTÉRIL, DESCARTÁVEL, COM BALÃO, INDICADA PARA IRRIGAÇÃO VESICAL CONTÍNUA SONDA FOLEY 3 VIAS Nº 16.</t>
  </si>
  <si>
    <t>SONDA FOLEY 3 VIAS, ESTÉRIL, DESCARTÁVEL, COM BALÃO, INDICADA PARA IRRIGAÇÃO VESICAL CONTÍNUA SONDA FOLEY 3 VIAS Nº 18.</t>
  </si>
  <si>
    <t>SONDA FOLEY 3 VIAS, ESTÉRIL, DESCARTÁVEL, COM BALÃO, INDICADA PARA IRRIGAÇÃO VESICAL CONTÍNUA SONDA FOLEY 3 VIAS Nº 20.</t>
  </si>
  <si>
    <t>SONDA FOLEY 3 VIAS, ESTÉRIL, DESCARTÁVEL, COM BALÃO, INDICADA PARA IRRIGAÇÃO VESICAL CONTÍNUA SONDA FOLEY 3 VIAS Nº 22.</t>
  </si>
  <si>
    <t>SONDA FOLEY 3 VIAS, ESTÉRIL, DESCARTÁVEL, COM BALÃO, INDICADA PARA IRRIGAÇÃO VESICAL CONTÍNUA SONDA FOLEY 3 VIAS Nº 24.</t>
  </si>
  <si>
    <t>SONDA NASOGÁSTRICA ESTÉRIL, DESCARTÁVEL, TAMANHOS Nº 04</t>
  </si>
  <si>
    <t>SONDA NASOGÁSTRICA ESTÉRIL, DESCARTÁVEL, TAMANHOS Nº 06</t>
  </si>
  <si>
    <t>SONDA NASOGÁSTRICA ESTÉRIL, DESCARTÁVEL, TAMANHOS Nº 08</t>
  </si>
  <si>
    <t>SONDA NASOGÁSTRICA ESTÉRIL, DESCARTÁVEL, TAMANHOS Nº 10</t>
  </si>
  <si>
    <t>SONDA NASOGÁSTRICA ESTÉRIL, DESCARTÁVEL, TAMANHOS Nº 12</t>
  </si>
  <si>
    <t>SONDA NASOGÁSTRICA ESTÉRIL, DESCARTÁVEL, TAMANHOS Nº 14</t>
  </si>
  <si>
    <t>SONDA NASOGÁSTRICA ESTÉRIL, DESCARTÁVEL, TAMANHOS Nº 16</t>
  </si>
  <si>
    <t>SONDA NASOGÁSTRICA ESTÉRIL, DESCARTÁVEL, TAMANHOS Nº 18</t>
  </si>
  <si>
    <t>SONDA URETRAL DE ALÍVIO Nº 04, ESTÉRIL, DESCARTÁVEL, CONFECCIONADA EM PVC OU MATERIAL COMPATÍVEL, INDICADA PARA CATETERISMO URETRAL.</t>
  </si>
  <si>
    <t>SONDA URETRAL DE ALÍVIO Nº 06, ESTÉRIL, DESCARTÁVEL, CONFECCIONADA EM PVC OU MATERIAL COMPATÍVEL, INDICADA PARA CATETERISMO URETRAL.</t>
  </si>
  <si>
    <t>SONDA URETRAL DE ALÍVIO Nº 08, ESTÉRIL, DESCARTÁVEL, CONFECCIONADA EM PVC OU MATERIAL COMPATÍVEL, INDICADA PARA CATETERISMO URETRAL.</t>
  </si>
  <si>
    <t>SONDA URETRAL DE ALÍVIO Nº 10, ESTÉRIL, DESCARTÁVEL, CONFECCIONADA EM PVC OU MATERIAL COMPATÍVEL, INDICADA PARA CATETERISMO URETRAL.</t>
  </si>
  <si>
    <t>SONDA URETRAL DE ALÍVIO Nº 12, ESTÉRIL, DESCARTÁVEL, CONFECCIONADA EM PVC OU MATERIAL COMPATÍVEL, INDICADA PARA CATETERISMO URETRAL.</t>
  </si>
  <si>
    <t>SONDA URETRAL DE ALÍVIO Nº 14, ESTÉRIL, DESCARTÁVEL, CONFECCIONADA EM PVC OU MATERIAL COMPATÍVEL, INDICADA PARA CATETERISMO URETRAL.</t>
  </si>
  <si>
    <t>SONDA URETRAL DE ALÍVIO Nº 16, ESTÉRIL, DESCARTÁVEL, CONFECCIONADA EM PVC OU MATERIAL COMPATÍVEL, INDICADA PARA CATETERISMO URETRAL.</t>
  </si>
  <si>
    <t>SONDA URETRAL DE ALÍVIO Nº 18, ESTÉRIL, DESCARTÁVEL, CONFECCIONADA EM PVC OU MATERIAL COMPATÍVEL, INDICADA PARA CATETERISMO URETRAL.</t>
  </si>
  <si>
    <t>SONDA URETRAL DE ALÍVIO Nº 20, ESTÉRIL, DESCARTÁVEL, CONFECCIONADA EM PVC OU MATERIAL COMPATÍVEL, INDICADA PARA CATETERISMO URETRAL.</t>
  </si>
  <si>
    <t>SONDA URETRAL DE ALÍVIO Nº 22, ESTÉRIL, DESCARTÁVEL, CONFECCIONADA EM PVC OU MATERIAL COMPATÍVEL, INDICADA PARA CATETERISMO URETRAL.</t>
  </si>
  <si>
    <t>SUGADOR DESCARTÁVEL ODONTOLÓGICO, CONFECCIONADO EM PVC OU MATERIAL COMPATÍVEL, FLEXÍVEL, ATÓXICO, INDICADO PARA SUCÇÃO DE SALIVA E FLUIDOS DURANTE PROCEDIMENTOS ODONTOLÓGICOS. PACOTE COM 40 UNIDADES</t>
  </si>
  <si>
    <t>TESTE RÁPIDO PARA GRAVIDEZ (HCG)</t>
  </si>
  <si>
    <t xml:space="preserve">AGULHA ROSA 40X1,20 MM. ESPECIFICACOES: AGULHA HIPODERMICA, DESCARTAVEL, SILICONIZADA, CONFECCIONADA EM ACO INOXIDAVEL, COM BISEL TRIFACETADO, EMBALADA INDIVIDUALMENTE, ABERTURA EM PETALA, COM DADOS DE IDENTIFICACAO E PROCEDENCIA, DATA E TIPO DE ESTERILIZACAO </t>
  </si>
  <si>
    <t xml:space="preserve">AGULHA ROXA 20X0,55 MM. ESPECIFICACOES: AGULHA HIPODERMICA, DESCARTAVEL, SILICONIZADA, CONFECCIONADA EM ACO INOXIDAVEL, COM BISEL TRIFACETADO, EMBALADA INDIVIDUALMENTE, ABERTURA EM PETALA, COM DADOS DE IDENTIFICACAO E PROCEDENCIA, DATA E TIPO DE ESTERILIZACAO </t>
  </si>
  <si>
    <t xml:space="preserve">AGULHA VERDE 30X0,80MM. ESPECIFICACOES: AGULHA HIPODERMICA, DESCARTAVEL, SILICONIZADA, CONFECCIONADA EM ACO INOXIDAVEL, COM BISEL TRIFACETADO, EMBALADA INDIVIDUALMENTE, ABERTURA EM PETALA, COM DADOS DE IDENTIFICACAO E PROCEDENCIA, DATA E TIPO DE ESTERILIZACAO </t>
  </si>
  <si>
    <t>CAMPO CIRuRGICO PLASTICO ESTERIL 100 X 100 CM, SEM FENESTRA. ESPECIFICACOES: COMPOSTO POR POLIETILENO TRANSPARENTE DE 100CM DE LARGURA X 100CM DE COMPRIMENTO. DESCARTAVEL E ESTERIL, ISENTO DE LATEX, COM ESPESSURA DE 2,5 MICRAS, VALIDADE DE 24 MESES, ACONDICION</t>
  </si>
  <si>
    <t>CATETER INTRAVENOSO AMARELO 24G 0,7 X 19MM. ESPECIFICACOES: DISPOSITIVO INTRAVENOSO, PERIFERICO, DESCARTAVEL, ESTERIL, COM CATETER CALIBRE 24G, EM POLIURETANO, RADIOPACO, FLEXiVEL, TRANSPARENTE, COM PONTA FINA, FIRMEMENTE FIXADA AO CONECTOR RiGIDO. TIPO LUER L</t>
  </si>
  <si>
    <t>CATETER INTRAVENOSO AZUL 22G 0,9 X 25MM. ESPECIFICACOES: DISPOSITIVO INTRAVENOSO, PERIFERICO, DESCARTAVEL, ESTERIL, COM CATETER CALIBRE 22G, EM POLIURETANO, RADIOPACO, FLEXiVEL, TRANSPARENTE, COM PONTA FINA, FIRMEMENTE FIXADA AO CONECTOR RiGIDO. TIPO LUER LOCK</t>
  </si>
  <si>
    <t>CATETER INTRAVENOSO ROSA 20 G 1,1X32 MM. ESPECIFICACOES: DISPOSITIVO INTRAVENOSO, PERIFERICO, DESCARTAVEL, ESTERIL, COM CATETER CALIBRE 20G, EM POLIURETANO, RADIOPACO, FLEXiVEL, TRANSPARENTE, COM PONTA FINA, FIRMEMENTE FIXADA AO CONECTOR RiGIDO. TIPO LUER LOCK</t>
  </si>
  <si>
    <t>COLETOR DE MATERIAL PERFURO-CORTANTE 7L. ESPECIFICACOES: CAIXA DE PAPELAO REFORCADA PARA PERFUROCORTANTE CONTENDO PARTES A SEREM MONTADAS (REFORCO LATERAL INTERNO, DOIS REFORCOS DE FUNDO), COM FUNDO DUPLO LAMINADO, QUE NAO DESMONTE FACILMENTE QUANDO MONTADO CO</t>
  </si>
  <si>
    <t>COMPRESSA CIRuRGICA ESTERIL 25 X 28 CM 100% ALGODAO. ESPECIFICACOES: ESTERILIZADO POR OXIDO DE ETILENO, 04 CAMADAS PRE-LAVADAS, TECIDO EM GAZE DE ALGODAO 100%, DENSIDADE 13 FIOS/CM, FIO RADIOPACO, MEDIDA: 25X28 (PRE-ENCOLHIDA) 17G. PACOTE COM 20 UNIDADES. VALI</t>
  </si>
  <si>
    <t>GAZE NAO ESTERIL 7,5 X7,5 CM 100% ALGODAO. ESPECIFICACOES: COMPRESSA DE GAZE ESTERIL 13 FIOS, 05 DOBRAS, 08 CAMADAS, PACOTE COM 10 UNIDADES DE 7,5X7,5 E CAIXA COM 500 PACOTES.</t>
  </si>
  <si>
    <t>EQUIPO PARA INFUSAO INTRAVENOSA MACROGOTAS. ESPECIFICACOES: ESTERILIZADO A OXIDO DE ETILENO; EMBALADO INDIVIDUALMENTE EM PAPEL GRAU CIRuRGICO COM FILME TERMOPLASTICO E SELADO TERMICAMENTE; FABRICADO EM PVC FLEXiVEL; LIVRE DE LATEX; ATOXICO E APIROGENICO; CAMAR</t>
  </si>
  <si>
    <t>ESPARADRAPO 10 CM X 4,5 METROS. ESPECIFICACOES: ESPARADRAPO IMPERMEAVEL, NA COR BRANCA, EM TECIDO 100% ALGODAO, ALVEJADO, ISENTO DE ALVEJANTES OPTICO, COM UMA CAMADA DE ADESIVO A BASE DE OXIDO DE ZINCO, A OUTRA FACE COM BORRACHA NATURAL E RESINAS MEDINDO 10 CM</t>
  </si>
  <si>
    <t>FIO DE SUTURA NYLON 0 AGULHADO. ESPECIFICACOES: FIO DE SUTURA AGULHADO DE NYLON MONOFILAMENTO 0. CAIXA COM 24 UNIDADES.</t>
  </si>
  <si>
    <t>FIO DE SUTURA NYLON 2-0 AGULHADO. ESPECIFICACOES: FIO DE SUTURA AGULHADO DE NYLON MONOFILAMENTO 2-0. CAIXA COM 24 UNIDADES.</t>
  </si>
  <si>
    <t>FIO DE SUTURA NYLON 3-0 AGULHADO. ESPECIFICACOES: FIO DE SUTURA AGULHADO DE NYLON MONOFILAMENTO 3-0. CAIXA COM 24 UNIDADES.</t>
  </si>
  <si>
    <t>FITA MICROPOROSA 10 CM X 4,5 METROS. ESPECIFICACOES: FITA MICROPRE HIPOALERGENICA, BRANCA, MEDINDO 10CM X 4,5M.</t>
  </si>
  <si>
    <t>FITA PARA AUTOCLAVE 19X30. ESPECIFICACOES: CONFECCIONADA COM DORSO DE PAPEL CREPADO A BASE DE CELULOSE, POSSUIR UMA MASSA ADESIVA A BASE DE BORRACHA NATURAL, OXIDO DE ZINCO E RESINAS EM UMA DE SUAS FACES E UMA FINA CAMADA DE RESINA ACRiLICA IMPERMEABILIZANTE N</t>
  </si>
  <si>
    <t>GARROTE AUTOMATICO. ESPECIFICACOES: GARROTE PARA FLEBOTOMIA DE ELASTICO COM TRAVA.</t>
  </si>
  <si>
    <t xml:space="preserve">GAZE ESTERIL 13 FIOS/CM. ESPECIFICACOES: COMPRESSA DE GAZE, CONFECCIONADA COM 13 FIOS POR CM, MEDINDO 7,5CMX7,5CM, ESTERIL, TECIDO 100% ALGODAO COM 08 CAMADAS E 5 DOBRAS, COR BRANCA, ISENTA DE MANCHAS, FALHAS E IMPERFEICOES. PACOTE COM 10UNIDADES EM EMBALAGEM </t>
  </si>
  <si>
    <t>LAMINA DE BISTURI N. 11. ESPECIFICACOES: LAMINA DE BISTURI ESTERIL N 11, CONFECCIONADA EM ACO CARBONO DE PRIMEIRA QUALIDADE, ISENTA DE REBARBAS E SINAIS DE OXIDACAO, COM LAMINA PERFEITAMENTE AFIADA E ADAPTAVEL AOS CABOS DE BISTURI. EMBALADAS INDIVIDUALMENTE EM</t>
  </si>
  <si>
    <t>LAMINA DE BISTURI N. 23. ESPECIFICACOES: LAMINA DE BISTURI ESTERIL N 23, CONFECCIONADA EM ACO CARBONO DE PRIMEIRA QUALIDADE, ISENTA DE REBARBAS E SINAIS DE OXIDACAO, COM LAMINA PERFEITAMENTE AFIADA E ADAPTAVEL AOS CABOS DE BISTURI. EMBALADAS INDIVIDUALMENTE EM</t>
  </si>
  <si>
    <t>LUVA PARA PROCEDIMENTO NAO CIRuRGICO TAMANHO G. ESPECIFICACOES: LUVA PARA PROCEDIMENTOS CONFECCIONADA EM LATEX NATURAL E POLIURETANO, NAO ESTERIL, AMBIDESTRA, ANTIDERRAPANTE ISENTA DE PULVERIZACAO, ALTA SENSIBILIDADE TATIL, FORMATO ANATOMICO, PUNHO LONGO COM B</t>
  </si>
  <si>
    <t>LUVA PARA PROCEDIMENTO NAO CIRuRGICO TAMANHO M. ESPECIFICACOES: LUVA PARA PROCEDIMENTOS CONFECCIONADA EM LATEX NATURAL E POLIURETANO, NAO ESTERIL, AMBIDESTRA, ANTIDERRAPANTE ISENTA DE PULVERIZACAO, ALTA SENSIBILIDADE TATIL, FORMATO ANATOMICO, PUNHO LONGO COM B</t>
  </si>
  <si>
    <t>LUVA PARA PROCEDIMENTO NAO CIRuRGICO TAMANHO P. ESPECIFICACOES: LUVA PARA PROCEDIMENTOS CONFECCIONADA EM LATEX NATURAL E POLIURETANO, NAO ESTERIL, AMBIDESTRA, ANTIDERRAPANTE ISENTA DE PULVERIZACAO, ALTA SENSIBILIDADE TATIL, FORMATO ANATOMICO, PUNHO LONGO COM B</t>
  </si>
  <si>
    <t xml:space="preserve">LUVAS CIRuRGICAS ESTEREIS TAMANHO 6,5 (PAR). ESPECIFICACOES: LUVA CIRuRGICA ESTERIL, CONFECCIONADA LATEX, FORMATO ANATOMICO, LUBRIFICADA COM SUBSTANCIAS ABSORViVEIS PELO ORGANISMO, EMBALADAS EM ENVELOPE ESPECIALMENTE DESENVOLVIDO PARA MANTER A ESTERILIDADE DO </t>
  </si>
  <si>
    <t xml:space="preserve">LUVAS CIRuRGICAS ESTEREIS TAMANHO 7,0 (PAR). ESPECIFICACOES: LUVA CIRuRGICA ESTERIL, CONFECCIONADA LATEX, FORMATO ANATOMICO, LUBRIFICADA COM SUBSTANCIAS ABSORViVEIS PELO ORGANISMO, EMBALADAS EM ENVELOPE ESPECIALMENTE DESENVOLVIDO PARA MANTER A ESTERILIDADE DO </t>
  </si>
  <si>
    <t xml:space="preserve">PAPEL GRAU CIRuRGICO 30CM X 100M. ESPECIFICACOES: PAPEL GRAU CIRuRGICO (GRAMATURA MiNIMA 60 G/M2) EM CONFORMIDADE COM OS REQUISITOS DA NORMA ABNT NBR 14990-2; FILME PLASTICO COMPOSTO DE DUAS CAMADAS POLIETILENO/POLIPROPILENO; (GRAMATURA MiNIMA 54 G/M2) UNIDAS </t>
  </si>
  <si>
    <t>SERINGA 1ML. ESPECIFICACOES: SERINGA DESCARTAVEL, ESTERIL, CAPACIDADE DE 1ML SEM AGULHA, CONFECCIONADA EM POLIPROPILENO, TRANSLuCIDO, ATOXICO, COM GRADUACAO MILIMETRADA, ENUMERADA A CADA 100 U.I, BICO CENTRAL, COM BORRACHA NA PONTA DO EMBOLO, POSSIBILITANDO PE</t>
  </si>
  <si>
    <t>SERINGA 3ML. ESPECIFICACOES: SERINGA DESCARTAVEL, ESTERIL, CAPACIDADE DE 3ML SEM AGULHA, CONFECCIONADA EM POLIPROPILENO, TRANSLuCIDO, ATOXICO, COM GRADUACAO MILIMETRADA, ENUMERADA A CADA 100 U.I, BICO CENTRAL, COM BORRACHA NA PONTA DO EMBOLO, POSSIBILITANDO PE</t>
  </si>
  <si>
    <t>SERINGA 5ML. ESPECIFICACOES: SERINGA DESCARTAVEL, ESTERIL, CAPACIDADE DE 5ML SEM AGULHA, CONFECCIONADA EM POLIPROPILENO, TRANSLuCIDO, ATOXICO, COM GRADUACAO MILIMETRADA, ENUMERADA A CADA 100 U.I, BICO CENTRAL, COM BORRACHA NA PONTA DO EMBOLO, POSSIBILITANDO PE</t>
  </si>
  <si>
    <t xml:space="preserve">SERINGA 10ML. ESPECIFICACOES: SERINGA DESCARTAVEL, ESTERIL, CAPACIDADE DE 10ML SEM AGULHA, CONFECCIONADA EM POLIPROPILENO, TRANSLuCIDO, ATOXICO, COM GRADUACAO MILIMETRADA, ENUMERADA A CADA 100 U.I, BICO CENTRAL, COM BORRACHA NA PONTA DO EMBOLO, POSSIBILITANDO </t>
  </si>
  <si>
    <t xml:space="preserve">SERINGA 20ML. ESPECIFICACOES: SERINGA DESCARTAVEL, ESTERIL, CAPACIDADE DE 20ML SEM AGULHA, CONFECCIONADA EM POLIPROPILENO, TRANSLuCIDO, ATOXICO, COM GRADUACAO MILIMETRADA, ENUMERADA A CADA 100 U.I, BICO CENTRAL, COM BORRACHA NA PONTA DO EMBOLO, POSSIBILITANDO </t>
  </si>
  <si>
    <t>COLETOR DE RESIDUOS (MAT. PERFUROCORTANTE) 13 LT-</t>
  </si>
  <si>
    <t>COLETOR DE URINA INFANTIL - UNISSEX-</t>
  </si>
  <si>
    <t>LANCETAS 1,5MM DE PROFUNDIDADE-</t>
  </si>
  <si>
    <t>SWAB ESTÉRIL HASTE PLASTICA-</t>
  </si>
  <si>
    <t>TESTE RÁPIDO DE GRAVIDEZ - BHCG (SORO/URINA) 25uI/ml-</t>
  </si>
  <si>
    <t>FRASCO COLETOR URINA 24 HRS - 2 LITROS -</t>
  </si>
  <si>
    <t>AGULHA GENGIVAL ESTERIL DE USO UNICO TAMANHO 25MMX0,3MM (30 G), CURTA. CX 100 UNIDADES. COM SELO DE SEGURANÇA. PRAZO DE VALIDADE 75% DA VALIDADE TOTAL DO PRODUTO</t>
  </si>
  <si>
    <t>AGULHA GENGIVAL ESTERIL DE USO UNICO TAMANHO 38MMX0,4MM (27G) LONGA. CX 100 UNIDADES. COM SELO DE SEGURANÇA. VALIDADE DE 75% DA VALIDADE TOTAL DO PRODUTO</t>
  </si>
  <si>
    <t>BABADOR DESCARTÁVEL ODONTOLOGICO IMPERMEAVEL NÃO ESTERIL - 33,5CMX47CM. APRESENTAÇÃO: PACOTE COM 100 UNIDADES.</t>
  </si>
  <si>
    <t>BACIA INOX DE 5 LITROS - MATERIAL DE PRIMEIRA QUALIDADE</t>
  </si>
  <si>
    <t>BACIA INOX, TAMANHO 32 CM X3100ML.</t>
  </si>
  <si>
    <t>CABO PARA BISTURI Nº 3, EM AÇO INOX, 25 CM. PRAZO DE VALIDADE: 75% DA VALIDADE TOTAL DO PRODUTO.</t>
  </si>
  <si>
    <t>COMPRESSA DE GAZE ESTÉRIL 13 FIOS 7,5X7,5 CM.APRESENTAÇÃO: PACOTE COM 500 UNIDADES.PRAZO DE VALIDADE: 75% VALIDADE TOTAL DO PRODUTO.</t>
  </si>
  <si>
    <t>ENVELOPES – TAMANHO 15X25CM - PARA ESTERILIZAÇÃO EM AUTOCLAVE CONTENDO 200 UNIDADES - PRÓPRIOS PARA PROCESSOS DE ESTERILIZAÇÃO POR VAPOR SATURADO SOB PRESSÃO E ÓXIDO DE ETILENO. VALIDADE DE 75% DA VALIDADE TOTAL DO PRODUTO</t>
  </si>
  <si>
    <t>FIXADOR ODONTOLOGICO FRASCO 475ML. UTILIZADO PARA FIXACAO DA IMAGEM DO EXAME NA PELICULA DE FILME. COMPOSIÇÃO SULFITO DE SÓDIO. O FIXADOR EM CONJUNTO COM REVELADOR POSSIBILITA QUE A IMAGEM EXTRAIDA DO PACIENTE SEJA TRANSFERIDA PARA PELICULA PARA QUE O EXAME PO</t>
  </si>
  <si>
    <t>LAMINAS DE BISTURI ESTERELIZAVEL Nº 15. PRAZO DE VALIDADE: 75% VAIDADE TOTAL DO PRODUTO.</t>
  </si>
  <si>
    <t>LUVA CIRURGICA EM LATEX, ESTERIL, Nº 6.5, PAR 100% NATURAL; FORMATO ANATÔMICO;TEXTURA UNIFORME; RESISTENTE A TRAÇÃO; SENSIBILIDADE TÁTIL;PUNHO COM BAINHA OU FRISOS;COMPRIMENTO MÍNIMO DE 28CM.LUBRIFICADA COM PÓ BIOABSORVIVEL.</t>
  </si>
  <si>
    <t>LUVA CIRURGICA EM LATEX, ESTERIL, Nº 7.0, PAR 100% NATURAL; FORMATO ANATÔMICO;TEXTURA UNIFORME; RESISTENTE A TRAÇÃO; SENSIBILIDADE TÁTIL;PUNHO COM BAINHA OU FRISOS;COMPRIMENTO MÍNIMO DE 28CM.LUBRIFICADA COM PÓ BIOABSORVIVEL.</t>
  </si>
  <si>
    <t>LUVA CIRURGICA EM LATEX, ESTERIL, Nº 7.5, PAR 100% NATURAL; FORMATO ANATÔMICO;TEXTURA UNIFORME; RESISTENTE A TRAÇÃO; SENSIBILIDADE TÁTIL;PUNHO COM BAINHA OU FRISOS;COMPRIMENTO MÍNIMO DE 28CM.LUBRIFICADA COM PÓ BIOABSORVIVEL.</t>
  </si>
  <si>
    <t>TOUCA DESCARTÁVEL PARA COZINHA. PC 100 UNIDADES.</t>
  </si>
  <si>
    <t>Agulha Uso Médico material: aço inoxidável, aplicação: transeptal, dimensões: cerca de 18 g x 70, tipo uso: descartável, estéril, embalagem individual</t>
  </si>
  <si>
    <t>Torneirinha modelo: manifold c/ 3 torneiras, vias: 5 vias, material*: polímero, tipo conector: luer lock / slip, pressão máxima: alta pressão até 1200, tipo uso: estéril, uso único</t>
  </si>
  <si>
    <t>CAMPO CIRÚRGICO DUPLO FENESTRADO HOSPITALAR, com abertura de 10 cm de diâmetro no centro, cor verde água. Dimensões: 1,00m X 1,00 m, 50% algodão e 50% poliéster, 160/180 fios, 260 g/ml, com aplicação de logomarca.</t>
  </si>
  <si>
    <t>CAMPO CIRÚRGICO DUPLO FENESTRADO HOSPITALAR, com abertura de 10 cm de diâmetro no centro. COR VERDE AGUA. Especificação: 0,50m X 0,50 m, 50% algodão e 50% poliéster, 160/180 fios, 260 g/ml, com aplicação de logomarca.</t>
  </si>
  <si>
    <t>CAMPO CIRÚRGICO DUPLO HOSPITALAR ABDOMINAL COR VERDE BANDEIRA. Especificação: 1,70m X 1,50m, 50% algodão e 50% poliéster, 160/180 fios, 260 g/ml, com aplicação de logomarca.</t>
  </si>
  <si>
    <t>CAMPO CIRÚRGICO DUPLO HOSPITALAR com abertura de 15 cm de diâmetro no centro. COR VERDE AGUA. Especificação: 1,50mX 2,00 m, 50% algodão e 50% poliéster, 160/180 fios, 260 g/ml, com aplicação de logomarca. COTA RESERVADA PARA ME E EPP, NOS TERMOS DO ART 48, INC</t>
  </si>
  <si>
    <t>CAMPO CIRÚRGICO DUPLO HOSPITALAR LATERAL COR VERDE BANDEIRA OU 1,20m X 1,50m. Especificação: 1,20X1,50 metros de largura, 50% algodão e 50% poliéster, 160/180 fios, 260 g/ml, com aplicação de logomarca. COTA RESERVADA PARA ME E EPP, NOS TERMOS DO ART 48, INCIS</t>
  </si>
  <si>
    <t>LENÇOL HOSPITALAR PARA CAMA COM ELÁSTICO VERDE ÁGUA. Especificação: em tecido 100% algodão, nas dimensões: 1,40mX2,20m, 160/180 fios, 260 g/ mì, Com aplicação de logomarca.</t>
  </si>
  <si>
    <t>LENÇOL HOSPITALAR PARA CAMA COM ELÁSTICO VERDE ÁGUA. Especificação: em tecido 100% algodão, nas dimensões: 1,40mX2,20m, 160/180 fios, 260 g/ mì, Com aplicação de logomarca. COTA RESERVADA PARA ME E EPP, NOS TERMOS DO ART 48, INCISO III, DA LEI 123/2006 E ALTER</t>
  </si>
  <si>
    <t>LENÇOL HOSPITALAR PARA CAMA PEDIÁTRICA COM ELÁSTICO VERDE ÁGUA. Especificação: em tecido 100% algodão, nas dimensões: 1,20mx180m, 160/180 fios, 260 g/mì, Com aplicação de logomarca.</t>
  </si>
  <si>
    <t>LENÇOL HOSPITALAR PARA CAMA SEM ELÁSTICO VERDE ÁGUA. Especificação: em tecido 100% algodão, nas dimensões: 1,40mX2,20m, 160/180 fios, 260 g/ mì, Com aplicação de logomarca.</t>
  </si>
  <si>
    <t>PESQUISA SANGUE OCULTO NAS FEZES</t>
  </si>
  <si>
    <t>6 - ASPIRADOR CIRURGICO PREVENTIVA Serviço de manutenção técnica em aspirador cirúrgico hospitalar, abrangendo inspeção geral do equipamento, avaliação das condições elétricas, mecânicas e funcionais, com o objetivo de garantir eficiência na aspiração de fluid</t>
  </si>
  <si>
    <t>6 - ASPIRADOR CIRURGICO CORRETIVA Manutenção corretiva e/ou reforma de aspirador cirúrgico, compreendendo diagnóstico técnico, inspeção do sistema de sucção, motor, válvulas, filtros, frascos coletores, sistema elétrico e comandos, com substituição de componen</t>
  </si>
  <si>
    <t>[COTA AMPLA CONCORRÊNCIA] - TOUCA DE TECIDO BRIM 100% ALGODÃO COM ESTAMPA (LOGO DOMUNICICPIO)</t>
  </si>
  <si>
    <t>[COTA AMPLA CONCORRÊNCIA] - CAMPOS CIRÚRGICO CAMPO OPERATÓRIO DE BRIM CEDRO HOSPITALAR 100% ALGODÃO</t>
  </si>
  <si>
    <t>[COTA AMPLA CONCORRÊNCIA] - LENÇOL CEDRO FINO HOSPITALAR 100% ALGODÃO PARA REPOUSO MÉDICO</t>
  </si>
  <si>
    <t>[COTA AMPLA CONCORRÊNCIA] - LENÇOL CEDRO FINO HOSPITALAR 100% ALGODÃO LUVA PARA CLINICA MADICA</t>
  </si>
  <si>
    <t>[COTA AMPLA CONCORRÊNCIA] - LENÇOL CEDRO FINO HOSPITALAR 100% ALGODÃO LUVA PARA CENTRO CIRÚGICO</t>
  </si>
  <si>
    <t>[COTA AMPLA CONCORRÊNCIA] - CAMPOS DE BRIM CEDRO HOSP. 100% ALGODÃO PAC. CIRÚRGICO TAM: G DUPLO</t>
  </si>
  <si>
    <t>[COTA AMPLA CONCORRÊNCIA] - CAMPOS DE BRIM CEDRO HOSP. 100% ALGODÃO PAC. CIRÚRGICO TAM: M DUPLO</t>
  </si>
  <si>
    <t>[COTA AMPLA CONCORRÊNCIA] - CAMPOS DE BRIM CEDRO HOSP. 100% ALGODÃO PAC. CIRÚRGICO TAM: P DUPLO</t>
  </si>
  <si>
    <t>[COTA AMPLA CONCORRÊNCIA] - LENÇOL CEDRO FINO HOSPITALAR 100% ALGODÃO PARA BERÇARIO 100X90 CM</t>
  </si>
  <si>
    <t>[COTA AMPLA CONCORRÊNCIA] - LENÇOL FRANELA CEDRO FINO HOSPITALAR 100% ALGODÃO PARA PEDIATRIA</t>
  </si>
  <si>
    <t>Sensor Uso Médico aplicação: de oximetria, modelo: de dedo, componentes: c/ cabo, tamanho: tamanho adulto, compatibilidade: c/ compatibilidade específica, esterilidade: reutilizável SENSOR DE OXIMETRIA PARA USO EM PACIENTES ADULTOS. TIPO CLIP, REUTILIZÁVEL, CO</t>
  </si>
  <si>
    <t>Sensor Uso Médico aplicação: de oximetria, modelo: em "y", componentes: c/ cabo, componente adicional: c/ cinta flexível, tamanho: tamanho neonatal, compatibilidade: c/ compatibilidade específica, esterilidade: reutilizável SENSOR DE OXIMETRIA PARA USO EM PACI</t>
  </si>
  <si>
    <t>Sensor Uso Médico aplicação: de oximetria, modelo: de dedo, componentes: c/ cabo, tamanho: tamanho adulto, compatibilidade: c/ compatibilidade específica, esterilidade: reutilizável SENSOR DE OXIMETRIA PARA USO EM PACIENTE ADULTOS. TIPO CLIP, REUTILIZÁVEL, COM</t>
  </si>
  <si>
    <t>COMADRE TIPO PÁ. FABRICADO EM AÇO INOX; DIMENÇÕES: 40 X 30 CM</t>
  </si>
  <si>
    <t>PAPAGAIO URINOL. MATERIAL: INOX. VOLUME: 1000ML</t>
  </si>
  <si>
    <t xml:space="preserve">CPAP. CONFIGURAÇÃO: COM UMIDIFICADOR COM COMPENSAÇÃO COM MÁSCARA NASAL. MODO DE FUNCIONAMENTO: FIXO, AUTOMÁTICO. NÍVEL DE RUÍDO: 25,8 DB. TRANSMISSÃO DE DADOS: CARTÃO DE DADOS E BLUETOOTH. AUTO ON / OFF: SIM. INTERVALO DE PRESSÃO: 4 A 20 CMH2O. DEFINE PRESSÃO </t>
  </si>
  <si>
    <t xml:space="preserve">FRASCO PARA ASPIRADOR CIRÚRGICO. PEÇA, COMPONENTE EQUIPAMENTO HOSPITALAR, FRASCO COM CERCA DE 5L COM TAMPA, VOLUME: CERCA DE 5L, AUTOCLAVÁVEL, GRADUADO, COM BOCA LARGA, TAMA DO FRASCO COM SISTEMA ANTI-TRANSBORDO DO LÍQUIDO, POR MEIO DE BÓIA, TAMA COM BORRACHA </t>
  </si>
  <si>
    <t>GARROTE PNEUMATICO ELETRONICO. MONITORAMENTO DE MANGUITOS: 2. REGULAGEM DE PRESSÃO: 20-600 MMHG</t>
  </si>
  <si>
    <t>CANETA PARA BISTURÍ ELÉTRICO. COMANDO POR PEDAL. CABO DE SILICONE AUTOCLAVÁVEL. ERGONOMIA SLIM. MANDRIL UNIVERSAL (ELETRODOS MOLOPOLARES 2,38MM</t>
  </si>
  <si>
    <t>CANETA PARA BISTURÍ ELÉTRICO. COMANDO MANULAL. COM POTÊNCIA ATÉ 400 WATTS. ACEITA ELETRODOS ENTRE 1,6MM A 2,38MM. CABO FIXO DE SILICONE DE 3M.</t>
  </si>
  <si>
    <t xml:space="preserve">Circuito Respiratório material: plástico, modelo: c/ 1 traqueia, diâmetro traqueia: cerca de 15, comprimento traqueia: cerca de 175, conector: sem conector, dreno coletor de água: sem dreno, linha adicional: c/ espirais de aquecimento e sensor de temperatura, </t>
  </si>
  <si>
    <t>Circuito Respiratório material: silicone, modelo: c/ 5 traqueias, diâmetro traqueia: cerca de 22, comprimento traqueia: cerca de 100, 100, 60, 60, 60, conector: c/ conector "y", dreno coletor de água: c/ 2 drenos, linha adicional: sem linha, componente adicion</t>
  </si>
  <si>
    <t>AGULHA HIPODÉRMICA 13X4,5, CORPO EM AÇO INOX, ESTÉRIL, DESCARTÁVEL, EMBALAGEM INDIVIDUAL – CAIXA COM 100 UNIDADES.</t>
  </si>
  <si>
    <t>AGULHA HIPODÉRMICA 20X05, CORPO EM AÇO INOX, ESTÉRIL, DESCARTÁVEL, EMBALAGEM INDIVIDUAL – CAIXA COM 100 UNIDADES.</t>
  </si>
  <si>
    <t>AGULHA HIPODÉRMICA 25X7, CORPO EM AÇO INOX, ESTÉRIL, DESCARTÁVEL, EMBALAGEM INDIVIDUAL – CAIXA COM 100 UNIDADES.</t>
  </si>
  <si>
    <t>AGULHA HIPODÉRMICA 25X8, CORPO EM AÇO INOX, ESTÉRIL, DESCARTÁVEL, EMBALAGEM INDIVIDUAL – CAIXA COM 100 UNIDADES. - COTA PRINCIPAL</t>
  </si>
  <si>
    <t>AGULHA HIPODÉRMICA 25X8, CORPO EM AÇO INOX, ESTÉRIL, DESCARTÁVEL, EMBALAGEM INDIVIDUAL – CAIXA COM 100 UNIDADES. - COTA RESERVADA</t>
  </si>
  <si>
    <t>AGULHA HIPODÉRMICA 40X12, CORPO EM AÇO INOX, ESTÉRIL, DESCARTÁVEL, EMBALAGEM INDIVIDUAL – CAIXA COM 100 UNIDADES.</t>
  </si>
  <si>
    <t>AGULHA PARA ANESTESIA ESPINHAL RAQUIDIANA - 22G X 3 1/2 (0,7X90MM). - COTA PRINCIPAL</t>
  </si>
  <si>
    <t>AGULHA PARA ANESTESIA ESPINHAL RAQUIDIANA - 22G X 3 1/2 (0,7X90MM). - COTA RESERVADA</t>
  </si>
  <si>
    <t>ATADURA DE CREPE, 12X1,8M, 13 FIOS, PACOTE COM 12 ANOS..</t>
  </si>
  <si>
    <t>ATADURA DE CREPE, 20CMX 1,8 M, COM 13 FIOS, PACOTE COM 12 UNIDADES.</t>
  </si>
  <si>
    <t>AVENTAL DE USO HOSPITALAR DESCARTÁVEL, PACOTE COM 10 UNIDADES.</t>
  </si>
  <si>
    <t>CATÉTER SUBCLÁVIA JUGULAR N°20.</t>
  </si>
  <si>
    <t>CLAMP UMBILICAL EM PLÁSTICO.</t>
  </si>
  <si>
    <t>COLETOR DE URINA PARA EXAMES, ESTÉRIL, TRANSPARENTE, COM TAMPA ROSQUEÁVEL, FRASCO DE 80 A 100 ML.</t>
  </si>
  <si>
    <t>EQUIPO MACROGOTAS FOTOSSENSÍVEL.</t>
  </si>
  <si>
    <t>EQUIPO MICROGOTAS COM BURETA.</t>
  </si>
  <si>
    <t>EQUIPO PARA TRANSFUSÃO SANGUÍNEA.</t>
  </si>
  <si>
    <t>ESCOVA CERVICAL GINECOLÓGICA, DESCARTÁVEL ESTÉRIL, PACOTE COM 100 UNIDADES</t>
  </si>
  <si>
    <t>ESPARADRAPO ANTIALÉRGICO, TAM. 10 CM, ROLO DE 4,50M.</t>
  </si>
  <si>
    <t>ESPARADRAPO, TAM. 10 CM, ROLO DE 4,50M.</t>
  </si>
  <si>
    <t>ESPÁTULA DE AYRES, MATERIAL: MADEIRA, COMP: 18 CM, PACOTE COM 100 UNIDADES.</t>
  </si>
  <si>
    <t>ESPÉCULO VAGINAL DESCARTÁVEL, TAMANHO (G).</t>
  </si>
  <si>
    <t>ESPÉCULO VAGINAL DESCARTÁVEL, TAMANHO (M).</t>
  </si>
  <si>
    <t>ESPÉCULO VAGINAL DESCARTÁVEL, TAMANHO (P).</t>
  </si>
  <si>
    <t>EXTENSOR PARA OXIGENOTERAPIA, ACABAMENTO EM PVC SILICONIZADA; COMPRIMENTO: 5 METROS.</t>
  </si>
  <si>
    <t>FIO DE SEDA N° 01, FIO CIRÚRGICO NÃO ABSORVÍVEL, ESTÉRIL, MONOFILAMENTAR, EMBALAGEM COM 24 UNIDADES POR CAIXA</t>
  </si>
  <si>
    <t>FIO DE SEDA N° 02, FIO CIRÚRGICO NÃO ABSORVÍVEL, ESTÉRIL, MONOFILAMENTAR, EMBALAGEM COM 24 UNIDADES POR CAIXA</t>
  </si>
  <si>
    <t>FIO DE SEDA N° 03, FIO CIRÚRGICO NÃO ABSORVÍVEL, ESTÉRIL, MONOFILAMENTAR, EMBALAGEM COM 24 UNIDADES POR CAIXA</t>
  </si>
  <si>
    <t>FITA ADESIVA PARA AUTOCLAVE, TAM. 19MM X 30M. COTA PRINCIPAL</t>
  </si>
  <si>
    <t>FITA ADESIVA PARA AUTOCLAVE, TAM. 19MM X 30M. COTA RESERVADA</t>
  </si>
  <si>
    <t>FRALDA DESCARTÁVEL GERIÁTRICA: TAMANHO G, PACOTE COM 30 UNIDADES.</t>
  </si>
  <si>
    <t>FRALDA DESCARTÁVEL GERIÁTRICA: TAMANHO M, PACOTE COM 30 UNIDADES.</t>
  </si>
  <si>
    <t>FRALDA DESCARTÁVEL GERIÁTRICA: TAMANHO P, PACOTE COM 30 UNIDADES.</t>
  </si>
  <si>
    <t>FRALDA DESCARTÁVEL INFANTIL P,M,G,XG,XXG PACOTE COM ATÉ 20 UNIDADES.</t>
  </si>
  <si>
    <t>LUVA CIRURGICA TAM 6,5 EM LATEX 100% ESTERIL CAIXA COM 200 UNIDADES - COTA PRINCIPAL</t>
  </si>
  <si>
    <t>LUVA CIRURGICA TAM 6,5 EM LATEX 100% ESTERIL CAIXA COM 200 UNIDADES - COTA RESERVADA</t>
  </si>
  <si>
    <t>LÂMINA DE BISTURI Nº 15, CAIXA C/100 UNIDADES.</t>
  </si>
  <si>
    <t>LÂMINA DE BISTURI Nº 22, CAIXA C/ 100 UNIDADES.</t>
  </si>
  <si>
    <t>LÂMINA DE BISTURI Nº 23, CAIXA C/100 UNIDADES.</t>
  </si>
  <si>
    <t>LÂMINA DE BISTURI Nº 24, CAIXA C/ 100 UNIDADES.</t>
  </si>
  <si>
    <t>LANCETAS PARA PUNÇÃO, CAIXA COM 100 UNIDADES.</t>
  </si>
  <si>
    <t>LENÇOL DE PAPEL DESCARTÁVEL PARA MACA, 70CM X 50M.</t>
  </si>
  <si>
    <t>LUVA CIRÚRGICA N° 7, LUVA EM LÁTEX 100%, ESTÉRIL.</t>
  </si>
  <si>
    <t>LUVA CIRÚRGICA N° 7,5 - LUVA EM LÁTEX 100%, ESTÉRIL. COTA PRINCIPAL</t>
  </si>
  <si>
    <t>LUVA CIRÚRGICA N° 7,5 - LUVA EM LÁTEX 100%, ESTÉRIL. COTA RESERVADA</t>
  </si>
  <si>
    <t>LUVA CIRÚRGICA N° 8, LUVA EM LÁTEX 100%, ESTÉRIL.</t>
  </si>
  <si>
    <t>LUVA DE PROCEDIMENTO (TAM G), NÃO CIRÚRGICA, LUVA EM LÁTEX, IMPERMEÁVEL, LISA, AMBIDESTRA, NÃO ESTÉRIL COM PÓ. CAIXA COM 100 UNIDADES.</t>
  </si>
  <si>
    <t>LUVA DE PROCEDIMENTO (TAM M), NÃO CIRÚRGICA, LUVA EM LÁTEX, IMPERMEÁVEL, LISA, AMBIDESTRA, NÃO ESTÉRIL COM PÓ. CAIXA COM 100 UNIDADES. COTA PRINCIPAL</t>
  </si>
  <si>
    <t>LUVA DE PROCEDIMENTO (TAM M), NÃO CIRÚRGICA, LUVA EM LÁTEX, IMPERMEÁVEL, LISA, AMBIDESTRA, NÃO ESTÉRIL COM PÓ. CAIXA COM 100 UNIDADES. COTA RESERVADA</t>
  </si>
  <si>
    <t>LUVA DE PROCEDIMENTO (TAM P), NÃO CIRÚRGICA, LUVA EM LÁTEX, IMPERMEÁVEL, LISA, AMBIDESTRA, NÃO ESTÉRIL COM PÓ. CAIXA COM 100 UNIDADES. COTA PRINCIPAL</t>
  </si>
  <si>
    <t>LUVA DE PROCEDIMENTO (TAM P), NÃO CIRÚRGICA, LUVA EM LÁTEX, IMPERMEÁVEL, LISA, AMBIDESTRA, NÃO ESTÉRIL COM PÓ. CAIXA COM 100 UNIDADES. COTA RESERVADA</t>
  </si>
  <si>
    <t>MÁSCARA DE ALTO FLUXO COM RESERVATÓRIO PARA OXIGÊNIO ADULTO.</t>
  </si>
  <si>
    <t>MÁSCARA DE ALTO FLUXO COM RESERVATÓRIO PARA OXIGÊNIO INFANTIL.</t>
  </si>
  <si>
    <t>MÁSCARA PARA NEBULIZAÇÃO, TAMANHO ADULTO.</t>
  </si>
  <si>
    <t>MÁSCARA PARA OXIGÊNIO ADULTO.</t>
  </si>
  <si>
    <t>MÁSCARA PARA OXIGÊNIO INFANTIL.</t>
  </si>
  <si>
    <t>PROPÉ, SAPATILHA HOSPITALAR COM ELÁSTICO, DESCARTÁVEL, PACOTE C/100 UNIDADES.</t>
  </si>
  <si>
    <t>SERINGA DESCARTÁVEL 1 ML, ESTÉRIL, USO ÚNICO,CAIXA C/100 UNIDADES, SEM AGULHA. COTA PRINCIPAL</t>
  </si>
  <si>
    <t>SERINGA DESCARTÁVEL 1 ML, ESTÉRIL, USO ÚNICO, CAIXA C/100 UNIDADES, SEM AGULHA. COTA RESERVADA</t>
  </si>
  <si>
    <t>SERINGA DESCARTÁVEL 10ML, ESTÉRIL, USO ÚNICO, CAIXA C/ 100 UNIDADES. COTA PRINCIPAL</t>
  </si>
  <si>
    <t>SERINGA DESCARTÁVEL 10ML, ESTÉRIL, USO ÚNICO, CAIXA C/ 100 UNIDADES. COTA RESERVADA</t>
  </si>
  <si>
    <t>SERINGA DESCARTÁVEL 20ML, ESTÉRIL, USO ÚNICO, CAIXA C/100 UNIDADES. COTA PRINCIPAL</t>
  </si>
  <si>
    <t>SERINGA DESCARTÁVEL 20ML, ESTÉRIL, USO ÚNICO, CAIXA C/100 UNIDADES. COTA RESERVADA</t>
  </si>
  <si>
    <t>SERINGA DESCARTÁVEL 3ML, ESTÉRIL, USO ÚNICO, CAIXA C/100 UNIDADES. COTA PRINCIPAL</t>
  </si>
  <si>
    <t>SERINGA DESCARTÁVEL 3ML, ESTÉRIL, USO ÚNICO, CAIXA C/100 UNIDADES. COTA RESERVADA</t>
  </si>
  <si>
    <t>SERINGA DESCARTAVEL 5ML, ESTERIL USO ÚNICO CAIXA C/100 - COTA PRINCIPAL</t>
  </si>
  <si>
    <t>SERINGA DESCARTAVEL 5ML, ESTERIL USO ÚNICO CAIXA C/100 - COTA RESERVADA</t>
  </si>
  <si>
    <t>SONDA NASOGÁSTRICA CURTA N° 08.</t>
  </si>
  <si>
    <t>SONDA NASOGÁSTRICA CURTA N° 10.</t>
  </si>
  <si>
    <t>SONDA NASOGÁSTRICA CURTA N° 12.</t>
  </si>
  <si>
    <t>SONDA NASOGÁSTRICA CURTA N° 14.</t>
  </si>
  <si>
    <t>SONDA NASOGÁSTRICA LONGA N° 12.</t>
  </si>
  <si>
    <t>SONDA NASOGÁSTRICA LONGA N° 14.</t>
  </si>
  <si>
    <t>SONDA NASOGÁSTRICA LONGA Nº 16.</t>
  </si>
  <si>
    <t>SONDA NASOGÁSTRICA LONGA Nº 20.</t>
  </si>
  <si>
    <t>SONDA URETRAL N° 08.</t>
  </si>
  <si>
    <t>SONDA URETRAL N° 10.</t>
  </si>
  <si>
    <t>SONDA URETRAL N° 18.</t>
  </si>
  <si>
    <t>SONDA URETRAL Nº 14.</t>
  </si>
  <si>
    <t>TOUCA COM ELÁSTICO, DESCARTÁVEL, CAIXA C /100 UNIDADES.</t>
  </si>
  <si>
    <t>TUBO DE LÁTEX (GARROTE), COM NO MÍNIMO 15 METROS.</t>
  </si>
  <si>
    <t>TESTE RÁPIDO DE GRAVIDEZ, tipo imunocromatográfico qualitativo para detecção de HCG em urina, com resultado em até 5 minutos, sensibilidade mínima de 25 mUI/ml, embalagem individual, contendo dispositivo teste, conta-gotas e dessecante. Produto com registro na</t>
  </si>
  <si>
    <t>ATADURA CREPE 10CM C/12 UND</t>
  </si>
  <si>
    <t>ATADURA CREPE 15CM C/12 UND</t>
  </si>
  <si>
    <t>ATADURA CREPE 20CM C/12 UND</t>
  </si>
  <si>
    <t>COLETOR UNIVERSAL 50ml</t>
  </si>
  <si>
    <t>ESPARADRAPO 10CM X 4,5</t>
  </si>
  <si>
    <t>FITA AUTOCLAVE UND.</t>
  </si>
  <si>
    <t>GEL CONDUTOR 5L</t>
  </si>
  <si>
    <t>LAMINA BISTURI Nº 15 C/100</t>
  </si>
  <si>
    <t>LAMINA BISTURI Nº 23 C/100</t>
  </si>
  <si>
    <t>LAMINA BISTURI Nº 24 C/100</t>
  </si>
  <si>
    <t>MASCARA PARA NEBULIZAÇÃO ADULTO</t>
  </si>
  <si>
    <t>MASCARA PARA NEBULIZAÇÃO INFANTIL</t>
  </si>
  <si>
    <t>PAPEL LENÇOL DESCARTÁVEL 70X50</t>
  </si>
  <si>
    <t>SERINGA 10ML CX/100</t>
  </si>
  <si>
    <t>SERINGA 1ML CX/100</t>
  </si>
  <si>
    <t>SERINGA 20ML CX/100</t>
  </si>
  <si>
    <t>SERINGA 3ML CX/100</t>
  </si>
  <si>
    <t>SERINGA 5ML CX/100</t>
  </si>
  <si>
    <t>TOUCA DESCARTÁVEL C/100</t>
  </si>
  <si>
    <t>COLETOR DE URINA ABERTO</t>
  </si>
  <si>
    <t>COLETOR DE URINA FECHADO</t>
  </si>
  <si>
    <t>COLETOR UNIVERSAL UNIVERSAL 50ML</t>
  </si>
  <si>
    <t>COMPRESSA CIRÚRGICA 45X50</t>
  </si>
  <si>
    <t>LAMINA BISTURI Nº 24</t>
  </si>
  <si>
    <t>PROPE (PCT C/100)</t>
  </si>
  <si>
    <t>SONDA NASOGASTRICA LONG. 10 C/10</t>
  </si>
  <si>
    <t>SONDA NASOGASTRICA LONG. 12 C/10</t>
  </si>
  <si>
    <t>SONDA NASOGASTRICA LONG. 16 C/10</t>
  </si>
  <si>
    <t>SONDA NASOGASTRICA LONG. 18 C/10</t>
  </si>
  <si>
    <t>SONDA URETRAL (LEVINE) Nº 18 PCT. C/10</t>
  </si>
  <si>
    <t>SONDA URETRAL (TRAQUEAL) 08 C/10</t>
  </si>
  <si>
    <t>SONDA URETRAL (TRAQUEAL) 10 C/10</t>
  </si>
  <si>
    <t>SONDA URETRAL 12 PCT. C/10</t>
  </si>
  <si>
    <t>SONDA URETRAL 14 PCT. C/10</t>
  </si>
  <si>
    <t>AGULHA PARA CANETA DE INSULINA 4MM X 0,23MM CAIXA C/100</t>
  </si>
  <si>
    <t>ATADURA DE CREPE 10CM 1,2M PACOTE C/12</t>
  </si>
  <si>
    <t>ATADURA DE CREPE 10CM PACOTE C/12</t>
  </si>
  <si>
    <t>ATADURA DE CREPE 15CM PACOTE C/12</t>
  </si>
  <si>
    <t>ATADURA DE CREPE 20CM PACOTE C/12</t>
  </si>
  <si>
    <t>COLETOR DE URINA 2L SISTEMA FECHADO</t>
  </si>
  <si>
    <t>COLETOR DE MATERIAL PERFUROCORTANTE 13 L CAIXA COM 50 UNIDADES</t>
  </si>
  <si>
    <t>EQUIPO MACROGOTAS FLEXIVEL COM ENJETOR LATERAL CX/50</t>
  </si>
  <si>
    <t>EQUIPO MICROGOTAS FLEXIVEL COM ENJETOR LATERAL CX50</t>
  </si>
  <si>
    <t>EQUIPO PARA BOMBA DE INFUSÃO DE SERINGA DESCARTÁVEL CX. C/100</t>
  </si>
  <si>
    <t>ESCOVA CERVICAL NÃO ESTÉRIL DESCARTÁVEL CX. C/12</t>
  </si>
  <si>
    <t>ESPARADRAPO SEM CAPA CX. C/12</t>
  </si>
  <si>
    <t>ESPARADRAPO MICROPORES 5CMX10M CX. C/12</t>
  </si>
  <si>
    <t>ESPÁTULA DE AYRES CX. C/100</t>
  </si>
  <si>
    <t>FITA PARA AUTOCLAVE PACOTE COM UM ROLO DE 19MM X 3M</t>
  </si>
  <si>
    <t>COLETOR UNIVERSAL (URINA -FEZES - ESCARRO)</t>
  </si>
  <si>
    <t>LÂMINA DE BISTURI Nº 24 CAIXA C/100</t>
  </si>
  <si>
    <t>LÂMINA DE BISTURI Nº 23 CAIXA C/100</t>
  </si>
  <si>
    <t>LENÇOIS DESCARTAVEIS C/ ELÁSTICO PARA MACA 0,9X2,0 M PCT C/10</t>
  </si>
  <si>
    <t>MÁSCARA N95 ( PFF2 E PFF1) CAIXA COM 100 UND</t>
  </si>
  <si>
    <t>MASCARA LARÍNGEA MD 4.0 DE SILICONE ESTÉRIL ADULTO 50-70 KG</t>
  </si>
  <si>
    <t>MASCARA LARÍNGEA MD 2.5 DE SILICONE ESTÉRIL INFATIL 20-30 KG</t>
  </si>
  <si>
    <t>MASCARA P/ NEBULIZAÇÃO ADULTO</t>
  </si>
  <si>
    <t>PAPEL GRAU CIRURGICO 15 CM ROLO C/200</t>
  </si>
  <si>
    <t>PAPEL GRAU CIRURGICO 20 CM ROLO C/200</t>
  </si>
  <si>
    <t>PAPEL GRAU CIRURGICO 30 CM ROLO C/200</t>
  </si>
  <si>
    <t>SERINGA DE 1ML PARA ISULINA</t>
  </si>
  <si>
    <t>SERINGA DE 10ML C/AG CAIXA C/100</t>
  </si>
  <si>
    <t>SERINGA DE 20ML C/AG CAIXA C/100</t>
  </si>
  <si>
    <t>SERINGA DE 5ML C/AG CAIXA C/100</t>
  </si>
  <si>
    <t>SERINGA DE 3ML C/AG CAIXA C/100</t>
  </si>
  <si>
    <t>TOUCA DESCARTAVEL PACOTE C/100</t>
  </si>
  <si>
    <t>BOLSA COLETORA DE URINA ESTÉRIL 2L CX C/2000 UNID</t>
  </si>
  <si>
    <t>CLAMP UMBILICAL PCT/10</t>
  </si>
  <si>
    <t>COLETOR DE URINA INFANTIL FEMININO PCT/10</t>
  </si>
  <si>
    <t>COLETOR DE URINA INFANTIL MASCULINO PCT/10</t>
  </si>
  <si>
    <t>COMPRESSAS CIRURGICAS 50X45 CM PCT/10</t>
  </si>
  <si>
    <t>FILTRO DE BARREIRA HMEF</t>
  </si>
  <si>
    <t>KIT CATETER VENOSO CENTRAL</t>
  </si>
  <si>
    <t>PROPÉ DESCARTAVEL</t>
  </si>
  <si>
    <t>SONDA NASOGASTRICA CURTA Nº 6 PCT/20</t>
  </si>
  <si>
    <t>SONDA NASOGASTRICA CURTA Nº 8 PCT/20</t>
  </si>
  <si>
    <t>SONDA NASOGASTRICA CURTA Nº 12 PCT/20</t>
  </si>
  <si>
    <t>SONDA NASOGASTRICA LONGA Nº 8 P PCT/20</t>
  </si>
  <si>
    <t>SONDA NASOGASTRICA LONGA Nº 12 PCT /20</t>
  </si>
  <si>
    <t>SONDA NASOGASTRICA LONGA Nº 18 PCT/20</t>
  </si>
  <si>
    <t>SONDA NASOGASTRICA LONGA Nº 20 PCT/20</t>
  </si>
  <si>
    <t>SONDA URETRAL Nº 12 PCT/20</t>
  </si>
  <si>
    <t>SONDA URETRAL Nº 10 PCT/20</t>
  </si>
  <si>
    <t>SONDA URETRAL Nº 8 PCT/20</t>
  </si>
  <si>
    <t>SONDA URETRAL Nº 6 PCT/20</t>
  </si>
  <si>
    <t>Bolsa coletora de urina 2000 Ml - Sistema fechado com valvula anti-refluxo, tubo 120 cm, conector universal para ajustes e tampa protetora, atoxica, flexivel e sem dobras.</t>
  </si>
  <si>
    <t>BOLSA COLETORA DE URINA C/ INTERMEDIARIOBOLSA COLETORA DE URINA C/ INTERMEDIARIO</t>
  </si>
  <si>
    <t>CATETER NASAL TIPO OCULOS PEDIATRICOCATETER NASAL TIPO OCULOS PEDIATRICO</t>
  </si>
  <si>
    <t>COLETOR PERFUROCORTANTE 13 LT</t>
  </si>
  <si>
    <t>EQUIPO FOTOSSENSIVEL MICROGOTAS INFUSÃO INJETOR LATERALEQUIPO FOTOSSENSIVEL MICROGOTAS INFUSÃO INJETOR LATERAL</t>
  </si>
  <si>
    <t>ESCOVA CERVICAL ESTERIL C/100</t>
  </si>
  <si>
    <t>ESPARADRAPO MICROPORE EMBALAGEM 50MM X 10MM ESPARADRAPO MICROPORE EMBALAGEM 50MM X 10MM</t>
  </si>
  <si>
    <t>ESPATULA DE AYRE C/100ESPATULA DE AYRE C/100</t>
  </si>
  <si>
    <t>ESPÉCULO VAGINAL TAMANHO G</t>
  </si>
  <si>
    <t>ESPÉCULO VAGINAL TAMANHO M</t>
  </si>
  <si>
    <t>ESPÉCULO VAGINAL TAMANHO P</t>
  </si>
  <si>
    <t>FILTRO BACTERIANO ESTERIL COM TRAQUEIA ADULTO</t>
  </si>
  <si>
    <t>FILTRO BACTERIANO ESTERIL COM TRAQUEIA INFANTIL</t>
  </si>
  <si>
    <t>FITA ADESIVA AUTOCLAVE 19MMX30M</t>
  </si>
  <si>
    <t>FRALDA DESCARTÁVEL INFANTIL TAMANHO EG</t>
  </si>
  <si>
    <t>FRALDA DESCARTÁVEL INFANTIL TAMANHO G</t>
  </si>
  <si>
    <t>FRALDA DESCARTÁVEL INFANTIL TAMANHO M</t>
  </si>
  <si>
    <t>FRALDA DESCARTÁVEL INFANTIL TAMANHO P</t>
  </si>
  <si>
    <t>FRALDA GERIÁTRICA TAMANHO GFRALDA GERIÁTRICA TAMANHO G PACOTE COM 8 UNIDADES</t>
  </si>
  <si>
    <t>FRALDA GERIÁTRICA TAMANHO GGFRALDA GERIÁTRICA TAMANHO GG, PACOTE COM 8 UNIDADES</t>
  </si>
  <si>
    <t>FRALDA GERIÁTRICA TAMANHO M FRALDA GERIÁTRICA TAMANHO M PACOTE COM 8 UNIDADES</t>
  </si>
  <si>
    <t>FRALDA GERIÁTRICA TAMANHO PFRALDA GERIÁTRICA TAMANHO P, PACOTE COM 8 UNIDADES</t>
  </si>
  <si>
    <t>Fronha tamanho padrão(50x70cm), 40% algodão, 60% poliéster, cor branca</t>
  </si>
  <si>
    <t>GARROTE Nº 204 C/ 15M</t>
  </si>
  <si>
    <t>GARROTE PARA PROCEDIMENTO DE ENFERMAGEM COM TRAVA - ADULTO</t>
  </si>
  <si>
    <t>GARROTE PARA PROCEDIMENTO DE ENFERMAGEM COM TRAVA - INFANTIL</t>
  </si>
  <si>
    <t>INTEGRADOR QUIMICO VAPOR CLASSE 5 C/ 100</t>
  </si>
  <si>
    <t>Lâmina para bisturi 10 c/ 100 UnLâmina para bisturi 10 c/ 100 Un</t>
  </si>
  <si>
    <t>Lâmina para bisturi 15 c/ 100 UnLâmina para bisturi 15 c/ 100 Un</t>
  </si>
  <si>
    <t>Lâmina para bisturi 23 c/ 100 UnLâmina para bisturi 23 c/ 100 Un</t>
  </si>
  <si>
    <t>LANCETAS 28 G C/100 LANCETAS 28 G C/100</t>
  </si>
  <si>
    <t>Lençol com elástico, 50% algodão 50% poliéster, cor branca, com medidas aproximadas largura 116cm e tamanho 213cm</t>
  </si>
  <si>
    <t>LUVA CIRURGICA ESTERIL 6,0</t>
  </si>
  <si>
    <t>LUVA DE PROCEDIMENTO LATEX G C/100 LUVA DE PROCEDIMENTO LATEX G C/100</t>
  </si>
  <si>
    <t>LUVA DE PROCEDIMENTO LATEX M C/100LUVA DE PROCEDIMENTO LATEX M C/100</t>
  </si>
  <si>
    <t>LUVA DE PROCEDIMENTO LATEX P C/100LUVA DE PROCEDIMENTO LATEX P C/100</t>
  </si>
  <si>
    <t>LUVA DE PROCEDIMENTO LATEX PP C/100 LUVA DE PROCEDIMENTO LATEX PP C/100</t>
  </si>
  <si>
    <t>LUVA DE PROCEDIMENTO NITRILICA G C/100</t>
  </si>
  <si>
    <t>LUVA DE PROCEDIMENTO NITRILICA M C/100</t>
  </si>
  <si>
    <t>LUVA DE PROCEDIMENTO VINIL G C/100</t>
  </si>
  <si>
    <t>LUVA DE PROCEDIMENTO VINIL M C/100</t>
  </si>
  <si>
    <t>LUVA DE PROCEDIMENTO VINIL P C/100</t>
  </si>
  <si>
    <t>MASCARA CIRURGICA TRIPLA DESCARTAVEL COM ELASTICO C/100MASCARA CIRURGICA TRIPLA DESCARTAVEL COM ELASTICO C/100</t>
  </si>
  <si>
    <t>MASCARA LARINGEA Nº 1</t>
  </si>
  <si>
    <t>MASCARA LARINGEA Nº 1.5</t>
  </si>
  <si>
    <t>MASCARA LARINGEA Nº 2</t>
  </si>
  <si>
    <t>MASCARA LARINGEA Nº 2.5</t>
  </si>
  <si>
    <t>MASCARA LARINGEA Nº 3</t>
  </si>
  <si>
    <t>MASCARA LARINGEA Nº 4</t>
  </si>
  <si>
    <t>MASCARA LARINGEA Nº 5</t>
  </si>
  <si>
    <t>MASCARA NEBULIZAÇÃO ADULTO KIT MANGUEIRA + COPO + MASCARAMASCARA NEBULIZAÇÃO ADULTO KIT MANGUEIRA + COPO + MASCARA</t>
  </si>
  <si>
    <t>MASCARA NEBULIZAÇÃO INFANTIL KIT MANGUEIRA + COPO + MASCARAMASCARA NEBULIZAÇÃO INFANTIL KIT MANGUEIRA + COPO + MASCARA</t>
  </si>
  <si>
    <t>PAPEL LENÇOL 50CM X 50M DESCARTAVEL</t>
  </si>
  <si>
    <t>PAPEL LENÇOL 70CM X 50M DESCARTAVELPAPEL LENÇOL 70CM X 50M DESCARTAVEL</t>
  </si>
  <si>
    <t>SERINGA COM AGULHA 30G 5/16 1ML 8X0,30M.</t>
  </si>
  <si>
    <t>SERINGA DESC 1 ML</t>
  </si>
  <si>
    <t>SERINGA DESCARTÁVEL 10 ML S/ AGULHA</t>
  </si>
  <si>
    <t>SERINGA DESCARTÁVEL 20 ML S/ AGULHA</t>
  </si>
  <si>
    <t>SERINGA DESCARTÁVEL 3ML S/AGULHA</t>
  </si>
  <si>
    <t>SERINGA DESCARTÁVEL 5 ML S/ AGULHA</t>
  </si>
  <si>
    <t>SONDA FOLEY Nº 20- 2 VIAS - SONDA FOLEY Nº 20- 2 VIAS</t>
  </si>
  <si>
    <t>SONDA NASOGASTRICA CURTA Nº08SONDA NASOGASTRICA CURTA Nº08</t>
  </si>
  <si>
    <t>SONDA NASOGASTRICA CURTA Nº10SONDA NASOGASTRICA CURTA Nº10</t>
  </si>
  <si>
    <t>SONDA NASOGASTRICA CURTA Nº12SONDA NASOGASTRICA CURTA Nº12</t>
  </si>
  <si>
    <t>SONDA NASOGASTRICA CURTA Nº14SONDA NASOGASTRICA CURTA Nº14</t>
  </si>
  <si>
    <t>SONDA NASOGASTRICA CURTA Nº16SONDA NASOGASTRICA CURTA Nº16</t>
  </si>
  <si>
    <t>SONDA NASOGASTRICA CURTA Nº18SONDA NASOGASTRICA CURTA Nº18</t>
  </si>
  <si>
    <t>SONDA NASOGASTRICA LONGA Nº08SONDA NASOGASTRICA LONGA Nº08</t>
  </si>
  <si>
    <t>SONDA NASOGASTRICA LONGA Nº10SONDA NASOGASTRICA LONGA Nº10</t>
  </si>
  <si>
    <t>SONDA NASOGASTRICA LONGA Nº12SONDA NASOGASTRICA LONGA Nº12</t>
  </si>
  <si>
    <t>SONDA NASOGASTRICA LONGA Nº14SONDA NASOGASTRICA LONGA Nº14</t>
  </si>
  <si>
    <t>SONDA NASOGASTRICA LONGA Nº16SONDA NASOGASTRICA LONGA Nº16</t>
  </si>
  <si>
    <t>SONDA NASOGASTRICA LONGA Nº18SONDA NASOGASTRICA LONGA Nº18</t>
  </si>
  <si>
    <t>SONDA NASOGASTRICA Nº06 CURTASONDA NASOGASTRICA Nº06 CURTA</t>
  </si>
  <si>
    <t>SONDA NASOGASTRICA Nº06 LONGASONDA NASOGASTRICA Nº06 LONGA</t>
  </si>
  <si>
    <t>SONDA URETRAL 06SONDA URETRAL 06</t>
  </si>
  <si>
    <t>SONDA URETRAL 08SONDA URETRAL 06</t>
  </si>
  <si>
    <t>SONDA URETRAL 10</t>
  </si>
  <si>
    <t>SONDA URETRAL 12</t>
  </si>
  <si>
    <t>SONDA URETRAL 14</t>
  </si>
  <si>
    <t>SONDA URETRAL 16</t>
  </si>
  <si>
    <t>SONDA URETRAL 20</t>
  </si>
  <si>
    <t>SONDA URETRAL 4</t>
  </si>
  <si>
    <t>TESTE INDICADOR BIOLÓGICO P/AUTOCLAVE C/10 24H</t>
  </si>
  <si>
    <t>UMIDIFICADOR 250ML</t>
  </si>
  <si>
    <t>Luva de segurança em PVC Longa, palma áspera 36 cm com forro. Luva desegurança confeccionada em suporte têxtil de fibras sintéticas, revestimento externo em policloreto de vinila (PVC) e acabamento antiderrapante arenoso na região palmar, ponta dos dedos e dor</t>
  </si>
  <si>
    <t>Luva Látex para procedimento não cirúrgico tipo 1, confeccionada em borracha natural- Látex, cor natural, não estéril, sem pó, lisa ambidestra. Com CA. Tamanhos P, M, G.</t>
  </si>
  <si>
    <t>Touca descartável- Produzida em polipropileno não tecido, a touca descartável TNT de linha hospitalar apresenta toque leve e respirabilidade, enquanto o elástico em todo o perímetro promove vedação eficiente sem apertar a cabeça do usuário.</t>
  </si>
  <si>
    <t>Indicador Biológico P/ Processamento De Produtos De Saúde tipo: terceira geração, apresentação: autocontido, ampola com meio de cultura, espécie: bacillus stearothermophillus, características adicionais: resposta em 1 hora, aplicação: para esterilização a vapo</t>
  </si>
  <si>
    <t>LUVA DE PROCEDIMENTO - G Luva descartável tamanho G, confeccionada em 100 látex natural, formato anatômico, íntegro e uniforme, alta sensibilidade ao tato, boa elasticidade e resistente a tração, ambidestra, lubrificada com material bio-absorvível em quantidad</t>
  </si>
  <si>
    <t>CABO DE BISTURI Nº 4 EM AÇO INOXIDÁVEL PARA LÂMINAS DE Nº 18 A Nº 36, COMPRIMENTO DE 13,5CM APROXIMADAMENTE.</t>
  </si>
  <si>
    <t>Transdutor Ultrassonográfico Microconvexo Veterinário Compatível com o equipamento de ultrassom modelo Eco1 da marca Chison, garantindo plena integração eletrônica, funcional e operacional com o sistema. Aplicações Clínicas: Exames abdominais, reprodutivos, FA</t>
  </si>
  <si>
    <t>FRALDA GERIÁTRICA NOTURNA DA MARCA TENA SLIPFralda Geriátrica Noturna, Tamanho M, marca Tena Slip Noturna</t>
  </si>
  <si>
    <t>FRALDA GERIÁTRICA MARCA TENA SLIP DERMACAREFralda Geriátrica, Tamanho M, marca Tena Slip Dermacare</t>
  </si>
  <si>
    <t>FITA ADESIVA PARA AUTOCLAVE</t>
  </si>
  <si>
    <t>PAPEL GRAU CIRURGICO 8X100</t>
  </si>
  <si>
    <t>Babador odontológico descartável com 100 unidades</t>
  </si>
  <si>
    <t>Luva nitrílica para procedimento não cirúrgico, sem pó cor rosa tamanho P contendo 100 Unid.</t>
  </si>
  <si>
    <t>Luva nitrílica para procedimento não cirúrgico, sem pó na cor azul tamanho M contendo 100 Unid.</t>
  </si>
  <si>
    <t>Luva nitrílica para procedimento não cirúrgico, sem pó na cor rosa tamanho M contendo 100 Unid.</t>
  </si>
  <si>
    <t>Luva nitrílica para procedimento não cirúrgico, sem pó na cor roxa tamanho M contendo 100 Unid.</t>
  </si>
  <si>
    <t>Luva para procedimento não cirúrgico látex de borracha natural/com pó bioabsorvível tamanho M c/ 100 unidades</t>
  </si>
  <si>
    <t>Luva para procedimento não cirúrgico látex borracha natural/com pó bioabsorvível tamanho P c/ 100 unidades</t>
  </si>
  <si>
    <t>Luva para procedimento não cirúrgico látex de borracha natural/com pó tamanho PP c/ 100 unidades</t>
  </si>
  <si>
    <t>Sugador odontológico descartável, tubo confeccionado PVC, transparente com arame em aço especial, ponteira em PVC, macio, atóxico e aromatizada com tuti fruti, colorido com 40 unidades cada</t>
  </si>
  <si>
    <t>Touca sanfonada branca, gramatura: 20 - com 100 unidades cada</t>
  </si>
  <si>
    <t>Agulha gengival 30g curta 0,30x22mm com 100 unidades</t>
  </si>
  <si>
    <t>Lâmina de bisturi aço carbono número 12 com 100 unidades cada</t>
  </si>
  <si>
    <t>Lâmina de bisturi aço carbono número 15 com 100 unidades cada</t>
  </si>
  <si>
    <t>Seringa descartável sem Agulha 10ml</t>
  </si>
  <si>
    <t>Envelope auto selante para esterilização 150mm x 300mm c/ 100 unidades</t>
  </si>
  <si>
    <t>Envelope auto selante para esterilização 90x260mm c/ 100 unidades</t>
  </si>
  <si>
    <t>Indicador Biológico 24 horas com 10 unidades</t>
  </si>
  <si>
    <t>Indicador Químico Classe 5 Esterilização a Vapor (250 Um)</t>
  </si>
  <si>
    <t>Compressa gaze 100 algodão, compressa 7,5x7,5 de gaze estéril Pacote com 5 unidades, 13 fios com fio radiopaco</t>
  </si>
  <si>
    <t>GORRO USO MEDICO HOSPITALAR - MATERIA PRIMA: ALGODAO OU MATERIAL HIPOALERGENICO P/ USO EM CPAP; TIPO: FIXADOR CEFALICO NEONATAL, TAM. G (REF. 8418536);</t>
  </si>
  <si>
    <t>GORRO USO MEDICO HOSPITALAR - MATERIA PRIMA: ALGODAO OU MATERIAL HIPOALERGENICO P/ USO EM CPAP; TIPO: FIXADOR CEFALICO NEONATAL, TAM M (REF. 8418535);</t>
  </si>
  <si>
    <t>GORRO USO MEDICO HOSPITALAR - MATERIA PRIMA: ALGODAO OU MATERIAL HIPOALERGENICO P/ USO EM CPAP; TIPO: FIXADOR CEFALICO NEONATAL, TAM. P (REF. 8418534);</t>
  </si>
  <si>
    <t>COLETOR UNIVERSAL ESTÉRIL 50ML. EXCLUSIVO PARA MEI ME OU EPP</t>
  </si>
  <si>
    <t>CURATIVO ALGINATO DE CÁLCIO ESÓDIO 10X10 KIT C/ 10. PLACA 10CM X 10CM (COM 10 UNIDADES)PRODUTO DE BOA QUALIDADE,DATA FABRICAÇÃO, TEMPO DE VALIDADE E REGISTRO EM ÓRGÃOCOMPETENTE.RREFERÊNCIA DE QUALIDADE CURATEC. EXCLUSIVO PARA MEI ME OU EPP</t>
  </si>
  <si>
    <t>FIXADOR PARA TUBO ENDOTRAQUEAL ADULTO FIXADOR CAPAZ DE FIXAR TUBOS DE 5 A 10 MM, COM BARREIRA SINTÉTICA DE HIDROCOLÓIDE ADERENTE AO ROSTO, COM BRAÇADEIRA DE TUBODE ENCAIXE MOVÍVEL, TIRA ACOLCHOADA DE PESCOÇO AJUSTÁVEL, EMBALADO INDIVIDUALMENTE, ISENTO DE LÁTEX</t>
  </si>
  <si>
    <t>INDICADOR QUÍMICO PARA CONTROLE DE ESTERILIZAÇÃO A VAPOREXCLUSIVO PARA MEI ME OU EPP</t>
  </si>
  <si>
    <t>INDICADOR PARA TESTE BIOLÓGICO CAIXA COM 10 UNIDADES.EXCLUSIVO PARA MEI ME OU EPP</t>
  </si>
  <si>
    <t>KIT UMIDIFICADOR PARA OXIGÊNIO - FRASCO PVC 250 ML E MÁSCARA ADULTO – ESPECIFICAÇÕES TÉCNICAS:- TAMPA INJETADA E PORCA BORBOLETA C/ ENXERTO EM METAL (PADRÃO ABNT);- FRASCO DE 250 ML EM PVC, COM NÍVEL MÍNIMO E MÁXIMO;-EXTENSÃO DE PVC ATÓXICO DE 1,20M COM CONECT</t>
  </si>
  <si>
    <t>LUVA CIRÚRGICA ESTÉRIL 6,5 CONFECCIONADA EM LÁTEX NATURAL, COM ALTA SENSIBILIDADE TÁTIL, BOA ELASTICIDADE, ACABAMENTO NO PUNHO, TEXTURA UNIFORME SEM FALHAS, TAL CADA ENVELOPADAS AOS PARES, EMBALAGEM COM DATA DE FABRICAÇÃO E TIPO DE ESTERILIZAÇÃO E TEMPO DE VAL</t>
  </si>
  <si>
    <t>LUVA CIRÚRGICA ESTÉRIL 7,0 CONFECCIONADA EM LÁTEX NATURAL, COM ALTA SENSIBILIDADE TÁTIL, BOA ELASTICIDADE, ACABAMENTO NO PUNHO, TEXTURA UNIFORME SEM FALHAS, TAL CADA ENVELOPADAS AOS PARES, EMBALAGEM COM DATADE FABRICAÇÃO E TIPO DE ESTERILIZAÇÃO E TEMPO DE VALI</t>
  </si>
  <si>
    <t>LUVA CIRÚRGICA ESTÉRIL 7,5 CONFECCIONADA EM LÁTEX NATURAL, COM ALTA SENSIBILIDADE TÁTIL, BOA ELASTICIDADE, ACABAMENTO NO PUNHO, TEXTURA UNIFORME SEM FALHAS, TAL CADA ENVELOPADAS AOS PARES, EMBALAGEM COM DATADE FABRICAÇÃO E TIPO DE ESTERILIZAÇÃO E TEMPO DE VALI</t>
  </si>
  <si>
    <t>LUVA CIRÚRGICA ESTÉRIL 8,0 CONFECCIONADA EM LÁTEX NATURAL, COM ALTA SENSIBILIDADE TÁTIL,BOA ELASTICIDADE, ACABAMENTO NO PUNHO, TEXTURA UNIFORME SEM FALHAS, TAL CADA ENVELOPADAS AOS PARES, EMBALAGEM COM DATADE FABRICAÇÃO E TIPO DE ESTERILIZAÇÃO E TEMPO DE VALID</t>
  </si>
  <si>
    <t>MÁSCARA LARINGEA DE SILICONE REUTILIZÁVEL Nº 1,0EXCLUSIVO PARA MEI ME OU EPP</t>
  </si>
  <si>
    <t>MÁSCARA LARINGEA DE SILICONE REUTILIZÁVEL Nº 1,5EXCLUSIVO PARA MEI ME OU EPP</t>
  </si>
  <si>
    <t>MÁSCARA LARINGEA DE SILICONE REUTILIZÁVEL Nº 2,0. EXCLUSIVO PARA MEI ME OU EPP</t>
  </si>
  <si>
    <t>MÁSCARA LARINGEA DE SILICONE REUTILIZÁVEL Nº 2,5EXCLUSIVO PARA MEI ME OU EPP</t>
  </si>
  <si>
    <t>MÁSCARA LARINGEA DE SILICONE REUTILIZÁVEL Nº 3,0EXCLUSIVO PARA MEI ME OU EPP</t>
  </si>
  <si>
    <t>MÁSCARA LARINGEA DE SILICONE REUTILIZÁVEL Nº 4,0EXCLUSIVO PARA MEI ME OU EPP</t>
  </si>
  <si>
    <t>MÁSCARA LARINGEA DE SILICONE REUTILIZÁVEL Nº 5,0EXCLUSIVO PARA MEI ME OU EPP</t>
  </si>
  <si>
    <t>PAPEL GRAU CIRÚRGICO 10 CM X 100 METROS ROLOEXCLUSIVO PARA MEI ME OU EPP.</t>
  </si>
  <si>
    <t>PAPEL GRAU CIRÚRGICO 15 CM X 100 METROS ROLOEXCLUSIVO PARA MEI ME OU EPP.</t>
  </si>
  <si>
    <t>SACO P/ LIXO 100 LITROS SACO BRANCO LEITOSO HOSPITALAR PARA DESCARTE DERESÍDUOS SÓLIDOS DE SAÚDE INFECTADOS, NÃOPERFURANTE. PACOTE COM 100 UNIDADES.EXCLUSIVO PARA MEI ME OU EPP</t>
  </si>
  <si>
    <t>CABO BISTURI - MATERIAL: AÇO INOXIDÁVEL CIRÚRGICO DEALTA QUALIDADE (AUTOCLAVÁVEL). MODELO: CABO NO 4 (PADRÃO). DESIGN: ANATÔMICO COM RANHURAS PARA EMPUNHADURA FIRME E CONTROLE DURANTE O PROCEDIMENTO.COMPATIBILIDADE: DEVE TRAVAR E PERMITIR A TROCA RÁPIDAE SEGUR</t>
  </si>
  <si>
    <t>CAMPO CIRURGICO ESTERIL 70 X 70. - MATERIAL: NÃO TECIDO (TNT) TIPO SMS, OU POLIPROPILENO COM PELÍCULA PLÁSTICA IMPERMEÁVEL. DIMENSÕES: 70 CM X 70 CM (TOLERÂNCIA DE +/- 10%). GRAMATURA: MÍNIMA DE 50 G/M2 PARA GARANTIRRESISTÊNCIA. COR: AZUL OU VERDE CIRÚRGICO (A</t>
  </si>
  <si>
    <t>SONDA DE FOLEY 06FR. VIAS: 2 VIAS (UMA PARA DRENAGEM E OUTRA PARA INSUFLAÇÃO DO BALÃO). CALIBRE: 06 FR (FRENCH). CAPACIDADE DO BALÃO: 1,5ML A 3ML (COMPATÍVEL COM O CALIBRE PEDIÁTRICO). MATERIAL: BORRACHA NATURAL SILICONIZADA OU 100% SILICONE (ESPECIFICAR SE HÁ</t>
  </si>
  <si>
    <t>SONDA FOLEY 2 VIAS - CALIBRE 08FR. DESCRIÇÃO GERAL: CATETER VESICAL DE DEMORA, MODELO FOLEY, COM 2 VIAS (UMA PARA DRENAGEM URINÁRIA E OUTRA PARA INSUFLAÇÃO DO BALÃO). CALIBRE: 08 FR (FRENCH). MATERIAL: CONFECCIONADO EM LÁTEX DE BORRACHA NATURAL REVESTIDO COM S</t>
  </si>
  <si>
    <t>SONDA TIPO FOLEY COM 2 VIAS 10FR. CALIBRE: Nº 10 FR. MATERIAL: LÁTEX NATURAL REVESTIDO DE SILICONE (SILICONIZADA) OU 100% SILICONE (CONFORME ESPECIFICAÇÃO DA UNIDADE). DEVE SER ATÓXICA E APIROGÊNICA. ESTRUTURA: SUPERFÍCIE LISA E DESLIZANTE PARA FACILITAR A INS</t>
  </si>
  <si>
    <t>SONDA DE FOLEY 2 VIAS, CALIBRE Nº 12FR. INDICAÇÃO: CATETERISMO VESICAL DE DEMORA PARA DRENAGEM URINÁRIA. MATERIAL: CONFECCIONADA EM LÁTEX DE BORRACHA NATURALREVESTIDO COM SILICONE (LÁTEX SILICONIZADO), ATÓXICA E APIROGÊNICA. CARACTERÍSTICAS DA PONTA E ORIFÍCIO</t>
  </si>
  <si>
    <t>SONDA FOLEY 2 VIAS, TAMANHO 14FR. MATERIAL: CONFECCIONADA EM LÁTEX SILICONIZADO (OU 100% SILICONE, CONFORME A NECESSIDADE DO ÓRGÃO), ATÓXICA E APIROGÊNICA.CARACTERÍSTICAS: SUPERFÍCIE LISA, EXTREMIDADE DISTAL REFORÇADA E ATRAUMÁTICA, COM PONTA FECHADA E ORIFÍCI</t>
  </si>
  <si>
    <t>SONDA FOLEY DE 2 VIAS, NÚMERO 16 FR. FINALIDADE: INDICADA PARA DRENAGEM VESICAL DE DEMORA, ALÍVIO DE RETENÇÃO URINÁRIA OU MONITORAMENTO DE DIURESE EM AMBIENTE HOSPITALAR OU DOMICILIAR. MATERIAL DE FABRICAÇÃO: CONFECCIONADA EM LÁTEX NATURAL REVESTIDO COM SILICO</t>
  </si>
  <si>
    <t xml:space="preserve">SONDA FOLEY DE 2 VIAS, CALIBRE 18FR. MATERIAL: CONFECCIONADO EM LÁTEX NATURAL REVESTIDO COM SILICONE (LÁTEX SILICONIZADO), ATÓXICO E APIROGÊNICO. CARACTERÍSTICAS GERAIS: SUPERFÍCIE LISA QUE GARANTA SEGURANÇA E FACILIDADE NA INSERÇÃO. PONTA DISTAL ARREDONDADA, </t>
  </si>
  <si>
    <t xml:space="preserve">SONDA FOLEY DE 2 VIAS Nº 20FR. USO: SONDA VESICAL DE DEMORA, ESTÉRIL E DE USO ÚNICO (DESCARTÁVEL). COMPOSIÇÃO: FABRICADA EM LÁTEX DE BORRACHA NATURAL REVESTIDO COM SILICONE (LÁTEX SILICONIZADO) OU 100% SILICONE, ATÓXICA, FLEXÍVEL E BIOCOMPATÍVEL.CALIBRE (FR): </t>
  </si>
  <si>
    <t>SONDA FOLEY DE 2 VIAS, CALIBRE 22 FR. MATERIAL: CONFECCIONADA EM LÁTEX DE BORRACHA NATURAL REVESTIDO COM SILICONE (LÁTEX SILICONIZADO) OU 100% SILICONE,BIOCOMPATÍVEL E FLEXÍVEL. CALIBRE (FR): Nº 22 FRENCH (EQUIVALENTE A DIÂMETRO APROXIMADO DE 7,3 MM). NÚMERO D</t>
  </si>
  <si>
    <t>SONDA FOLEY DE 2 VIAS, CALIBRE 24 FR. INDICAÇÃO: SONDAGEM VESICAL DE DEMORA PARA DRENAGEM URINÁRIA. MATERIAL: LÁTEX DE BORRACHA NATURAL REVESTIDO COM SILICONE (LÁTEX SILICONIZADO) OU 100% SILICONE, CONFORME A PADRONIZAÇÃO DO ÓRGÃO. CARACTERÍSTICAS: ATÓXICA, FL</t>
  </si>
  <si>
    <t xml:space="preserve">Fralda geriátrica descartável unissex - Cobertura suave, maior conforto e proteção Formato anatômico elásticos ajustáveis nas pernas Barreiras laterais anti-vazamentos indicador de umidade Tecnologia antiodor testado dermatologicamente. Usuário acima de 90 kg </t>
  </si>
  <si>
    <t>Fralda geriátrica descartável unissex - Cobertura suave, maior conforto e proteção formato anatômico elásticos ajustáveis nas pernas Barreiras laterais anti-vazamentos Indicador de umidade tecnologia antiodor testado dermatologicamente. Usuário de 70 a 90 kg a</t>
  </si>
  <si>
    <t>Fralda geriátrica descartável unissex - Cobertura suave, maior conforto e proteção Formato anatômico Elásticos ajustáveis nas pernas Barreiras laterais anti-vazamentos Indicador de umidade Tecnologia antiodor Testado dermatologicamente. Usuário de 40 a 70 kg a</t>
  </si>
  <si>
    <t>Fralda geriátrica descartável unissex - Cobertura suave, maior conforto e proteção Formato anatômico Elásticos ajustáveis nas pernas Barreiras laterais anti-vazamentos Indicador de umidade Tecnologia antodor Testado dermatologicamente. Usuário de 30 a 40 kg ap</t>
  </si>
  <si>
    <t>FRALDAS DESCARTAVEL INFANTIL PACOTES COM 90 UNIDADES TAMANHO P</t>
  </si>
  <si>
    <t>FRALDA DESCARTAVEL INFANTIL PACOTES COM 80 UNIDADES TAMANHO M</t>
  </si>
  <si>
    <t>FRALDA DESCARTAVEL INFANTIL PACOTES COM 70 UNIDADES TAMANHO G</t>
  </si>
  <si>
    <t>FRALDA DESCARTAVEL INFANTIL PACOTES COM 60 UNIDADES TAMANHO EG</t>
  </si>
  <si>
    <t>FRALDA DESCARTÁVEL INFANTIL PACOTES COM 50 UNIDADES TAMANHO XXG</t>
  </si>
  <si>
    <t>FRALDA DESCARTAVEL GERIATRICA PACOTES COM 08 UNIDADES TAMANHO P</t>
  </si>
  <si>
    <t>FRALDA DESCARTAVEL GERIATRICA PACOTES COM 08 UNIDADES TAMANHO M</t>
  </si>
  <si>
    <t>FRALDA DESCARTAVEL GERIATRICA PACOTES COM 08 UNIDADES TAMANHO G</t>
  </si>
  <si>
    <t>FRALDA DESCARTAVEL GERIATRICA PACOTES COM 07 UNIDADES TAMANHO EG</t>
  </si>
  <si>
    <t>SELADORA PARA PAPEL SELADORA PARA PAPEL GRAU CIRURGICO COM GUILHOTINA, POSSUI SISTEMA DE SELAGEM COM 10 MILIMETROS DE ESPESSURA E COMPRIMENTO DE SOLDA DE 30CM BIVOLT 110/220V TEMPERATURA DE SOLDA , 160ºC A 200ºCTEMPO DE AQUECIMENTO , 4 A 7 MINUTOSCARENAGEM , P</t>
  </si>
  <si>
    <t>Agulha Hipodérmica dimensão: 22 g x 2", material: aço inoxidável siliconizado, tipo conexão: conector luer lock ou slip em plástico, tipo fixação: protetor plástico, tipo ponta: bisel curto trifacetado, tipo uso: estéril, descartável, embalagem individual Agul</t>
  </si>
  <si>
    <t>Agulha Odontológica aplicação: gengival / anestesia, apresentação: c/ protetor plástico e lacre, dimensão: 27 g longa, material: aço inoxidável siliconizado, tipo conexão: conector p/ seringa carpule, tipo ponta*: com bisel trifacetado, tipo uso: estéril, desc</t>
  </si>
  <si>
    <t>Agulha Odontológica aplicação: gengival / anestesia, apresentação: c/ protetor plástico e lacre, dimensão: 30 g extra curta, material: aço inoxidável siliconizado, tipo conexão: conector p/ seringa carpule, tipo ponta*: com bisel trifacetado, tipo uso: estéril</t>
  </si>
  <si>
    <t>Agulha Odontológica aplicação: hipodérmica / endodontia, apresentação: c/ protetor plástico, dimensão: cerca de 23 g x 1 pol, indicação: irrigação, material: polipropileno e aço inoxidável, tipo conexão: conector luer lock ou slip, tipo cânula: cânula reta, ti</t>
  </si>
  <si>
    <t>Fita comprimento: 10, material: pvc Fita para autoclave: 19mm x 30m em rolo</t>
  </si>
  <si>
    <t>Lâmina Bisturi características adicionais: embalada individualmente, esterilidade: estéril, material: aço inoxidável, tamanho: nº 11, tipo: descartável Lâmina de bisturi nº 11: caixa, com 100 unidades.</t>
  </si>
  <si>
    <t>Lâmina Bisturi características adicionais: embalada individualmente, esterilidade: estéril, material: aço carbono, tamanho: nº 12, tipo: descartável Lâmina de bisturi nº 12: caixa, com 100 unidades.</t>
  </si>
  <si>
    <t>Lâmina Bisturi características adicionais: embalada individualmente, esterilidade: estéril, material: aço inoxidável, tamanho: nº 15, tipo: descartável Lâmina de bisturi nº 15: caixa, com 100 unidades</t>
  </si>
  <si>
    <t>Lâmina Bisturi características adicionais: embalada individualmente, esterilidade: estéril, material: aço inoxidável, tamanho: nº 15 c, tipo: descartável Lâmina de bisturi nº 15C: caixa, com 100 unidades</t>
  </si>
  <si>
    <t>Lençol Borracha características adicionais: referência: nr-1087; fabricante: rubber plastic, comprimento: 20, cor: preta, dureza: 70 shore a, espessura: 6, largura: 1.200, material: natural Lençol de borracha: embalados individualmente, tamanho 13,5x13,5 cm, c</t>
  </si>
  <si>
    <t>Luva Cirúrgica apresentação: em par, cor: c/ cor, embalagem: embalagem individual, esterilidade: estéril, uso único, formato: anatômico, material: borracha mista - látex c/ revestimento sintético, pó: sem pó, superfície: superfície texturizada, tamanho: nº 6,5</t>
  </si>
  <si>
    <t>Luva Cirúrgica apresentação: em par, cor: c/ cor, embalagem: embalagem individual, esterilidade: estéril, uso único, formato: anatômico, material: borracha mista - látex c/ revestimento sintético, pó: sem pó, superfície: superfície texturizada, tamanho: nº 7,5</t>
  </si>
  <si>
    <t xml:space="preserve">Indicador Biológico P/ Processamento De Produtos De Saúde aplicação: para esterilização a vapor, apresentação: autocontido, ampola com meio de cultura, características adicionais: resposta a partir de 20 minutos, espécie: geobacillus stearothermophilus, tipo: </t>
  </si>
  <si>
    <t>Indicador Biológico P/ Processamento De Produtos De Saúde adicionais: pacote para teste, aplicação: para esterilização a vapor, apresentação: autocontido, ampola com meio de cultura, características adicionais: resposta em 48 horas, componentes adicionais: com</t>
  </si>
  <si>
    <t>LUVA DE MALHA COM PIGMENTAÇÃO DE PVC</t>
  </si>
  <si>
    <t>MASCARA RESP. PFF2 P/ POEIRA</t>
  </si>
  <si>
    <t>LUVA DE PVC 35CM</t>
  </si>
  <si>
    <t>ASPIRADOR YANKAUER 28CM CÂNULA INSTRUMENTAL, APLICAÇÃO: P, ASPIRAÇÃO, MODELO: YANKAUER, DIÂMETRO: CERCA DE 10,0 MM, HASTE: ANGULADA, COMPRIMENTO TOTAL: CERCA DE 28 CM, MATERIAL: 135 AÇO INOXIDÁVEL, ESTERILIDADE: ESTERILIZÁVEL</t>
  </si>
  <si>
    <t>CABO DE BISTURI N° 3. FABRICADO EM AÇO INOXIDÁVEL AISI 420/304. TAMANHO 13 CM. EMBALAGEM INDIVIDUAL CONTENDO DADOS DE IDENTIFICAÇÃO, PROCEDÊNCIA, DATA DE FABRICAÇÃO E RASTREABILIDADE.</t>
  </si>
  <si>
    <t>CABO DE BISTURI Nº 4. FABRICADO EM AÇO INOXIDÁVEL AISI 420/304. TAMANHO 14 CM. EMBALAGEM INDIVIDUAL CONTENDO DADOS DE IDENTIFICAÇÃO, PROCEDÊNCIA, DATA DE FABRICAÇÃO E RATREABILIDADE. CONFORMIDADE COM NORMAS DA ABNT. REGISTRO NA ANVISA/MS.</t>
  </si>
  <si>
    <t>CUBA RIM EM ACO INOXIDAVEL. 26 X 12 CM</t>
  </si>
  <si>
    <t>KIT VEDANTE INTERNO PARA VÁLVULA DE ASPIRAÇÃO E IRRIGAÇÃO, COMPATÍVEL COM ASPIRADOR PARA CIRURGIA DE VÍDEO EDLO.</t>
  </si>
  <si>
    <t>Curativo / Cobertura aplicação: p/ ferida, aspecto físico: frasco c/ gel, composição: à base de hidrogel, componente 2: c/ cmc, esterilidade: uso único</t>
  </si>
  <si>
    <t>AGULHA GENGIVAL CURTA DE 22 X 0,4 30G - CAIXA COM 100 UNIDADES</t>
  </si>
  <si>
    <t>AGULHA GENGIVAL LONGA DE 30 X 0,4 27G - CAIXA COM 100 UNIDADES</t>
  </si>
  <si>
    <t>Babador odontológico Impemeavel branco com 2 camadas. Medidas: 33 x 37 cm; caixa com 100 unidades</t>
  </si>
  <si>
    <t>Cuba hospitalar tipo RIM, em inox tam.26x12(700ML)</t>
  </si>
  <si>
    <t>FIO AGULHADO DE NYLON MONOFILAMENTADO PRETO 4/0 45CM DE AGULHA 2,0 CM 3/8 TRIANGULAR - CAIXA COM 24 FIOS AGULHADOS</t>
  </si>
  <si>
    <t>LAMINA DE BISTURI Nº 15 (TIPO C) CAIXA COM 100 UNIDADES</t>
  </si>
  <si>
    <t>LAMINA DE BISTURI Nº 15- CAIXA COM 100 UNIDADES</t>
  </si>
  <si>
    <t>MOLDEIRA TOTAL PERFURADA PLASTICA FABRICADA EM NYLON COM FIBRA DE VIDRO E PIGMENTO BRANCO AUTOCLAVÁVEL ATÉ 134°C. PARA ADULTOS DENTADOS. EMBALAGEM COM 16 UNIDADES, SENDO: 8 INFERIORES, 8 SUPERIORES.</t>
  </si>
  <si>
    <t>MOLDEIRA TOTAL PERFURADA PLASTICA FABRICADA EM NYLON COM FIBRA DE VIDRO E PIGMENTO BRANCO; AUTOCLAVÁVEL ATÉ 134°C. PARA ADULTOS EDENTULOS (DESDENTADOS). EMBALAGEM COM 16 UNIDADES, SENDO: 8 INFERIORES, 8 SUPERIORES.</t>
  </si>
  <si>
    <t>MOLDEIRAS PARA ARCADAS PEQUENAS MOLDEIRA TOTAL PERFURADA PLASTICA FABRICADA EM NYLON COM FIBRA DE VIDRO E PIGMENTO BRANCO; AUTOCLAVÁVEL ATÉ 134°C.PARA ARCADAS PEQUENAS, SENDO 3 (TRES) SUPERIORES E 03 INFERIORES. TAMANHOS: S3 E I3.</t>
  </si>
  <si>
    <t>PAPEL GRAU CIRÚRGICO BOBINA DE 100M X 10CM</t>
  </si>
  <si>
    <t>PAPEL GRAU CIRÚRGICO BOBINA DE 100M X 15CM</t>
  </si>
  <si>
    <t>PONTEIRA ULTRASSOM ODONTOLOGICO COMPATIVEL COM EQUIPAMENTOS DA MARCA DENTEMED E/OU EQUIPAMENTOS QUE UTILIZEM O MESMO SISTEMA DE ENCAIXE E ROSCA</t>
  </si>
  <si>
    <t>MOLDEIRA USO ODONTOLOGICO - FINALIDADE: MOLDAR PROTESES ODONTOLOGICAS; MATERIA PRIMA: ALUMINIO; TAMANHO: SUPERIOR/INFERIOR(P51,P52,P53,P54,P55,P56); TI</t>
  </si>
  <si>
    <t>SERINGA PARA INSULINA 0,5ML</t>
  </si>
  <si>
    <t>AUTO LANCETA</t>
  </si>
  <si>
    <t>AVENTAL DE PVC BRANCO, MATERIAL PVC- CLORETO DE POLIVINILA,MODELO UNISSEX, TIPO IMPERMEÁVEL, LISO, SEM BOLSO - TAMANHO PADRÃO</t>
  </si>
  <si>
    <t>LUVA DE PROTEÇÃO CONTRA AGENTES MECÂNICOS, ANTIDERRAPANTE, PALMAS DA MÃOS PIGMENTADA EM PVC, ALGODÃO TRICOTADA, PUNHOS COM FIBRAS ELÁSTICAS. TAMANHOS P, M E G.</t>
  </si>
  <si>
    <t>LUVA P/ PROCEDIMENTO DE SAÚDE NÃO CIRÚRGICO C/ ANVISA - MATERIAL: BORRACHA SINTÉTICA - VINIL / PVC, SUPERFÍCIE: SUPERFÍCIE LISA, FORMATO: AMBIDESTRA, PÓ: SEM PÓ, ESTERILIDADE: NÃO ESTÉRIL, USO ÚNICO. CX COM 100 UNIDADES</t>
  </si>
  <si>
    <t>AGULHA GENGIVAL 27G LONGA 0,4X330</t>
  </si>
  <si>
    <t>AGULHA GENGIVAL 30G CURTA 0,3X25</t>
  </si>
  <si>
    <t>LUVA DE PROCEDIMENTOS DE LÁTEX</t>
  </si>
  <si>
    <t>MOLDEIRA DESC.DUPLA P/FLUOR</t>
  </si>
  <si>
    <t>MOLDEIRA DESDENTADO INOX INF.2</t>
  </si>
  <si>
    <t>MOLDEIRA DESDENTADO INOX INF.3</t>
  </si>
  <si>
    <t>MOLDEIRA DESDENTADO INOX SUPERIOR 2 ADULTO RASA</t>
  </si>
  <si>
    <t>MOLDEIRA DESDENTADO INOX SUPERIOR 3 ADULTO RASA</t>
  </si>
  <si>
    <t>KIT DE MOLDEIRA DESDENTADO</t>
  </si>
  <si>
    <t>MOLDEIRA DENTADO INOX SUPERIOR 2 ADULTO</t>
  </si>
  <si>
    <t>MOLDEIRA DENTADO INOX SUPERIOR 3 ADULTO</t>
  </si>
  <si>
    <t>MOLDEIRA DENTADA INFERIOR 2</t>
  </si>
  <si>
    <t>MOLDEIRA DENTADA INFERIOR 3</t>
  </si>
  <si>
    <t>Dreno Cirúrgico modelo: tubular, material: silicone, calibre: 14, componente: introdutor em aço inoxidável, componente adicional: c/ reservatório graduado - pressão negativa, volume: cerca de 600, conector universal: c/ conector duplo, componente i: c/ válvula</t>
  </si>
  <si>
    <t>Dreno Cirúrgico modelo: tubular, material: silicone, calibre: 18, componente: introdutor em aço inoxidável, componente adicional: c/ reservatório graduado - pressão negativa, volume: cerca de 600, conector universal: c/ conector duplo, componente i: c/ válvula</t>
  </si>
  <si>
    <t>Dreno Cirúrgico modelo: kehr em "t", material: borracha, calibre: 8, comprimento: cerca de 50, tipo uso: estéril, descartável, embalagem: embalagem individual</t>
  </si>
  <si>
    <t>Dreno Cirúrgico modelo: kehr em "t", material: borracha, calibre: 10, comprimento: cerca de 50, tipo uso: estéril, descartável, embalagem: embalagem individual</t>
  </si>
  <si>
    <t>Dreno Cirúrgico modelo: kehr em "t", material: borracha, calibre: 12, comprimento: cerca de 50, tipo uso: estéril, descartável, embalagem: embalagem individual</t>
  </si>
  <si>
    <t>Dreno Cirúrgico modelo: kehr em "t", material: borracha, calibre: 14, comprimento: cerca de 50, tipo uso: estéril, descartável, embalagem: embalagem individual</t>
  </si>
  <si>
    <t>Dreno Cirúrgico modelo: kehr em "t", material: borracha, calibre: 16, comprimento: cerca de 50, tipo uso: estéril, descartável, embalagem: embalagem individual</t>
  </si>
  <si>
    <t>Dreno Cirúrgico modelo: kehr em "t", material: borracha, calibre: 18, comprimento: cerca de 50, tipo uso: estéril, descartável, embalagem: embalagem individual</t>
  </si>
  <si>
    <t>Dreno Cirúrgico modelo: kehr em "t", material: borracha, calibre: 20, comprimento: cerca de 50, tipo uso: estéril, descartável, embalagem: embalagem individual</t>
  </si>
  <si>
    <t>Dreno Cirúrgico modelo: de penrose, material: borracha, dimensões: cerca de 12 mm x 30, tipo uso: estéril, descartável, embalagem: embalagem individual</t>
  </si>
  <si>
    <t>Dreno Cirúrgico modelo: de penrose, material: borracha, dimensões: cerca de 20 mm x 30, componente ii: radiopaco, tipo uso: estéril, descartável, embalagem: embalagem individual</t>
  </si>
  <si>
    <t>Dreno Cirúrgico modelo: de penrose, material: borracha, dimensões: cerca de 25 mm x 30, componente ii: radiopaco, tipo uso: estéril, descartável, embalagem: embalagem individual</t>
  </si>
  <si>
    <t>LENÇOL HOSPITALAR DESCARTÁVEL 70CMX50M: PAPEL BRANCO, ROLO DE 50 METROS, 100% CELULOSE VIRGEM. ROLOS EMBALADOS INDIVIDUALMENTE COM PICOTE E IDENTIFICADOS COM DATA DE FABRICAÇÃO, LOTE E VALIDADE DO PRODUTO.EXCLUSIVO PARA MEI ME OU EPP</t>
  </si>
  <si>
    <t>AGULHA HIPODERMICA DESCARTAVEL, ESTERIL, DE USO UNICO, CONFECCIONADA EM ACO INOXIDAVEL, BISEL TRIFACETADO, SILICONIZADA, CANHAO COMPATIVEL COM CONEXAO LUER SLIP/LUER LOCK, LIVRE DE LATEX, CALIBRE 26G, DIMENSOES 13 0,45 MM (1/2), EMBALAGEMCOM 100 UNIDADES.</t>
  </si>
  <si>
    <t>AGULHA HIPODERMICA DESCARTAVEL, ESTERIL, DE USO UNICO, CONFECCIONADA EM ACO INOXIDAVEL, BISEL TRIFACETADO, SILICONIZADA, CANHAO COMPATIVEL COM CONEXAO LUER SLIP/LUER LOCK, LIVRE DE LATEX, CALIBRE 24G, DIMENSOES 20 0,55 MM (3/4), EMBALAGEM COM 100 UNIDADES</t>
  </si>
  <si>
    <t>AGULHA HIPODERMICA DESCARTAVEL, ESTERIL, DE USO UNICO, CONFECCIONADA EM ACO INOXIDAVEL, BISEL TRIFACETADO, SILICONIZADA, CANHAO COMPATIVEL COM CONEXAO LUER SLIP/LUER LOCK, LIVRE DE LATEX, CALIBRE 22G, DIMENSOES 28 0,70 MM (1), EMBALAGEM COM 100 UNIDADES.</t>
  </si>
  <si>
    <t>AGULHA HIPODERMICA DESCARTAVEL, ESTERIL, DE USO UNICO, CONFECCIONADA EM ACO INOXIDAVEL, BISEL TRIFACETADO, SILICONIZADA, CANHAO COMPATIVEL COM CONEXAO LUER SLIP/LUER LOCK, LIVRE DE LATEX, CALIBRE 21G, DIMENSOES 25 0,80 MM (1), EMBALAGEM COM 100 UNIDADES.</t>
  </si>
  <si>
    <t>AGULHA HIPODERMICA DESCARTAVEL, ESTERIL, DE USO UNICO, CONFECCIONADA EM ACO INOXIDAVEL, BISEL TRIFACETADO, SILICONIZADA, CANHAO COMPATIVEL COM CONEXAO LUER SLIP/LUER LOCK, LIVRE DE LATEX, CALIBRE 22G, DIMENSOES 30 0,70 MM (1 1/4), EMBALAGEM COM 100 UNIDADES.</t>
  </si>
  <si>
    <t>AGULHA HIPODERMICA DESCARTAVEL, ESTERIL, DE USO UNICO, CONFECCIONADA EM ACO INOXIDAVEL, BISEL TRIFACETADO, SILICONIZADA, CANHAO COMPATIVEL COM CONEXAO LUER SLIP/LUER LOCK, LIVRE DE LATEX, CALIBRE 18G, DIMENSOES 40 1,2 MM (1 1/2), EMBALAGEM COM 100 UNIDADES</t>
  </si>
  <si>
    <t>AGULHA PARA ANESTESIA DE NERVO PERIFERICO 100MM. UM KIT PARA BLOQUEIO DESCRICAO KIT: AGULHA PARA AGULHA PARA ANESTESIA DE NERVO PERIFERICO 100MM.DESCRICAO DO PRODUTO: AGULHA PARA BLOQUEIO DE DOR DISPONIVEL EM FORMA UNITARIA, COM EMBALAGEM SELADA E ESTERIL, CON</t>
  </si>
  <si>
    <t xml:space="preserve">AGULHA PARA ANESTESIA DE NERVO PERIFERICO 50MM.DESCRICAO DO KIT PARA BLOQUEIO: AGULHA PARA BLOQUEIO DE DOR DISPONIVEL EM FORMA UNITARIA, COM EMBALAGEM SELADA E ESTERIL, CONTENDO CANULA, SERINGA, EXTENSOR E AGULHA PRONTAS PARA USO.INDICADO PARA INFILTRACAO DAS </t>
  </si>
  <si>
    <t>ATADURA DE CREPE, CONFECCIONADA EM TECIDO 100 ALGODAO CRU, COM FIOS DE ALTA TORCAO E ALTA RESISTENCIA, DENSIDADE DE 13 FIOS/CM2, COM BOA ELASTICIDADE NO SENTIDO LONGITUDINAL E FIO AMARELO PARA IDENTIFICACAO. MEDIDAS DE 10 CM DE LARGURA 1,80 M DE COMPRIMENTO EM</t>
  </si>
  <si>
    <t>ATADURA DE CREPE, CONFECCIONADA EM TECIDO 100 ALGODAO CRU, COM FIOS DE ALTA TORCAO E ALTA RESISTENCIA, DENSIDADE DE 13 FIOS/CM2, COM BOA ELASTICIDADE NO SENTIDO LONGITUDINAL E FIO AMARELO PARA IDENTIFICACAO. MEDIDAS DE 15 CM DE LARGURA 1,80 M DE COMPRIMENTO EM</t>
  </si>
  <si>
    <t>ATADURA DE CREPE, CONFECCIONADA EM TECIDO 100 ALGODAO CRU, COM FIOS DE ALTA TORCAO E ALTA RESISTENCIA, DENSIDADE DE 13 FIOS/CM2, COM BOA ELASTICIDADE NO SENTIDO LONGITUDINAL E FIO AMARELO PARA IDENTIFICACAO. MEDIDAS DE 20 CM DE LARGURA 1,80 M DE COMPRIMENTO EM</t>
  </si>
  <si>
    <t>ATADURA ELASTICA AUTOADERENTE, CONFECCIONADA EM TECIDO ELASTICO, COM ADERENCIA SOBRE SI MESMA, SEM NECESSIDADE DE ADESIVO, ALFINETE OU OUTRO MEIO DE FIXACAO, PROPORCIONANDO COMPRESSAO E FIXACAO SEGURA, COM BOA ELASTICIDADE E COMPRESSAO AS DIFERENTES REGIOES DO</t>
  </si>
  <si>
    <t xml:space="preserve">AVENTAL CIRURGICO DESCARTAVEL, IMPERMEAVEL, TAMANHO G, CONFECCIONADO EM NAO TECIDO SMS, GRAMATURA MINIMA DE 60 G/M2, COM BARREIRA CONTRA FLUIDOS, MANGAS LONGAS, PUNHOS EM MALHA OU ELASTICO, FECHAMENTO AJUSTAVEL NO PESCOCO E NA REGIAO POSTERIOR, COM TIRAS PARA </t>
  </si>
  <si>
    <t>AVENTAL DESCARTAVEL USO HOSPITALAR, TIPO ABERTURA: ABERTURA TRASEIRA COM AMARRACOES (TIRAS) NA CINTURA E PESCOCO, GRAMATURA 30 G/M2, TIPO MANGA: MANGA LONGA COM ACABAMENTO EM ELASTICO, TIPO PUNHO COM ELASTICO (PUNHO DE LASTEX) PARA MELHOR VEDACAO E CONFORTO, P</t>
  </si>
  <si>
    <t>BOUGIE ADULTO:FIO GUIA PARA INTUBACAO TRAQUEAL, TAMANHO ADULTO PARA USO COM TUBOS TRAQUEIAIS ENTRE 5,5MM A 10,0MM, COMPRIMENTO 70CM, ESPESSURA 5,0MM.EMBALAGEM INDIVIDUAL ESTERIL..</t>
  </si>
  <si>
    <t>BOUGIE PEDIATRICO:FIO GUIA PARA INTUBACAO TRAQUEAL, TAMANHO PEDIATRICO PARA USO COM TUBOS TRAQUEIAIS ENTRE 3,0MM A 4,5MM, COMPRIMENTO 54CM, ESPESSURA 2,0MM.EMBALAGEM INDIVIDUAL ESTERIL..</t>
  </si>
  <si>
    <t>CAMPO CIRURGICO ESTERIL DESCARTAVEL FEITO DE TECIDO NAO TECIDO SMS GRAMATURA 40 G/M2.. TAMANHO 120 CM X 120 CM</t>
  </si>
  <si>
    <t>CAMPO CIRURGICO ESTERIL DESCARTAVEL FEITO DE TECIDO NAO TECIDO SMS GRAMATURA 40 G/M2.. TAMANHO 90 CM X 120 CM</t>
  </si>
  <si>
    <t>CATETER DE SUCCAO FECHADO ADULTO: O SISTEMA FECHADO DE ASPIRACAO COM MDI APRESENTA SONDA ATRAUMATICA, DE PONTA ARREDONDADA, ENVOLTA EM LUVA DE PVC SILICONADA. ASONDA, GRADUADA EM CENTIMETROS E COM MARCACOES DIFERENCIADAS POR CORES, PERMITESABER COM PRECISAO AT</t>
  </si>
  <si>
    <t>CATETER NASAL TIPO OCULOS ADULTO PARA INSTALACAO DE INTRODUTORES NASAIS EM SILICONE, COM CONEXAO PARA LINHA DE EXTENSAO ADULTO..</t>
  </si>
  <si>
    <t>CATETER NASAL TIPO OCULOS INFANTIL PARA INSTALACAO DE INTRODUTORES NASAIS EM SILICONE, COM CONEXAO PARA LINHA DE EXTENSAO INFANTIL</t>
  </si>
  <si>
    <t>CATETER UMBILICAL EM POLIURETANO, MONO LUMEN (VIA UNICA) , LINHA RADIOPACA CONTINUA, GRADUACAO CENTIMETRADA PARA CONTROLE DE PROFUNDIDADE, DESCARTAVEL, APIROGENICO, EXTREMIDADE DISTAL ATRAUMATICA, COMPRIMENTO APROXIMADO DE 30 A 40 CM, ADAPTADOR EM PVC COM ENCA</t>
  </si>
  <si>
    <t>CATETER VENOSO CENTRAL DUPLO LUMEN INTERVENCIONAL 07FR X 20CM.COMPOSTO POR 01 CATETER EM POLIURETANO DUPLO LUMEN 07FR X 20CM, 01 AGULHA INTRODUTORA 18GX07CM, 01FIO GUIA METALICO EM ACO INOXIDAVEL COM NUCLEO EM NITINOL 0,032X 60CM, COM PONTA MACIA , 01 DILATADO</t>
  </si>
  <si>
    <t xml:space="preserve">COLETOR DE MATERIAL PERFUROCORTANTE, APLICACAO: COLETOR PARA RESIDUOS DE SERVICOS DA SAUDE, PERFUROCORTANTES E /OU CORTANTES, MATERIAL: PAPELAO ONDULADO, ALCA DUPLA E TRAVAMENTO AUTOMATICO, COM SUPERFICIE INTERNA IMPERMEABILIZADA, REVESTIDO COM SACO PLASTICO, </t>
  </si>
  <si>
    <t xml:space="preserve">COLETOR DE URINA - SISTEMA ABERTO - ADULTO, CONFECCIONADO EM SACOS DE POLIETILENO DE BAIXA DENSIDADE, COM FECHO EM BARBANTE DUPLO PARA FRANZIMENTO, COM SOLDASREFORCADAS, GRADUADO, VOLUME 2000 ML, NAO ESTERIL, COM DADOS DE IDENTIFICACAO,PROCEDENCIA LOTE E DATA </t>
  </si>
  <si>
    <t>COLETOR DE URINA SISTEMA FECHADO 2000ML, POSSUI CONECTOR ESCALONADO PARA SONDA URETRO VESICAIS COM PONTO DE COLETA QUE PERMITE A RETIRADA DE AMOSTRAS PARA EXAMES LABORATORIAIS, PINCA OU CLAMP NO TUBO EXTENSOR PARA VEDACAO, E NO TUBO DE SAIDA PARA DESMANE, TUBO</t>
  </si>
  <si>
    <t>COLETOR INCONTINENCIA URINARIA MASCULINO N 05 COM SONDA ESTERIL.</t>
  </si>
  <si>
    <t>COLETOR INCONTINENCIA URINARIA MASCULINO N 06 COM SONDA ESTERIL.</t>
  </si>
  <si>
    <t>COMADRE PLASTICA, DE POLIETILENO DE ALTA DENSIDADE, EMBALAGEM INDIVIDUAL EM FILME PVC, INCOLHIVEL.RESISTENTE ATE 160 KGS..</t>
  </si>
  <si>
    <t>COMADRE TIPO PA EM ACO INOXIDAVEL CAPACIDADE MINIMA DE 3,5 LITROS .</t>
  </si>
  <si>
    <t>COMPRESSA CIRURGICA PRE-LAVADA ESTERIL CONFECCIONADA COM 100 FIOS DE ALGODAO EM TECIDO MACIO E NEUTRO COM ELEMENTO RADIOPACO PARA USO GERAL EM PROCEDIMENTOS DE MENOR PORTE E CIRURGIAS MINIMAMENTE INVASIVAS. PRODUTO ESTERIL PRONTO PARA USO MAS MEDIDAS 25CM X 28</t>
  </si>
  <si>
    <t>COMPRESSA CIRURGICA PRE-LAVADA ESTERIL CONFECCIONADA EM TECIDO COM 100 FIOS DE ALGODAO DE LIGAMENTO TELA (TAFETA) COM CAMADAS DE GAZE FIXADAS ENTRE SI DE FORMA A EVITAR DESLIZAMENTO DAS CAMADAS.PRODUTO ESTERIL PRONTO PARA O USO. MEDIDAS 25CM X 28CM (LAVADO),CO</t>
  </si>
  <si>
    <t>COMPRESSA DE GASE HIDROFILA ESTERIL. FIOS 100 ALGODAO.INDICADA PARA CIRURGIAS NA ABSORCAO DE SANGUE E SECRECOES, BARREIRAS (HEMOSTATICA) ANTIADERENTE NA CONTENCAO DE HEMORRAGIAS, INTERVENCOES CIRURGICAS E PARA CURATIVOS. CONTENDO NO MINIMO DE 08 CAMADAS E 05 D</t>
  </si>
  <si>
    <t xml:space="preserve">EQUIPO EXCLUSIVO PARA ADMINISTRACAO DE DIETA ENTERAIS E/OU HIDRATACAO UMA VIA COM SISTEMA FECHADO PARA USO EM BOMBA DE INFUSAO. PADRAO UNIVERSAL, COM CONEXAO PERFURADORA EM CRUZ OU ROSCA PARA BOLSAS/FRASCOS HERMETICOS DE DIETA ENTERAL ESTERIL PRONTO USO , COM </t>
  </si>
  <si>
    <t>EQUIPO FOTOSSENSIVEL PARA BOMBA DE INFUSAO PADRAO UNIVERSAL,NA COR LARANJA, USO PARENTERAL, ESTERIL, DESCARTAVEL, DE USO UNICO, COMPATIVEL COM BOMBA DE INFUSAO, CONFECCIONADO EM MATERIAL COM PROTECAO CONTRA A LUZ, COM PONTA PERFURANTE, CAMARA DE GOTEJAMENTO, F</t>
  </si>
  <si>
    <t>EQUIPO MACROGOTAS COMPLETO COM CAMARA GOTEJADORA (20 GOTAS= 1 ML), CAMARA DE GOTEJAMENTO FLEXIVEL,COM FILTRO HIDROFOBO E BACTERIOLOGICO, COM INJETOR LATERAL, RIGIDA, CONEXAO TIPO LUER SLIP UNIVERSAL, PINCA ROLETE E CORTA FLUXO, EXTENSAO EM PVC FLEXIVEL, CRISTA</t>
  </si>
  <si>
    <t>EQUIPO MICROGOTAS COM CAMARA GOTEJADORA (60 GOTAS = 1ML),RIGIDA, CONEXAO LUER SLIP REVERSIVEL, PINCA ROLETE, EXTENSAO EM PVC FLEXIVEL,CRISTAL ATOXICO, PERFURADOR ADAPTAVEL A QUALQUER RECIPIENTE DE SOLUCAO (FRASCO OU BOSA), EMBALAGEM PAPELGRAU CIRURGICO OU COMB</t>
  </si>
  <si>
    <t>EQUIPO PARA ADMINISTRACAO DE DIETA ENTERAL, SISTEMA ABERTO, ESTERIL, DESCARTAVEL, DE USO UNICO, CONFECCIONADO EM MATERIAL ATOXICO E FLEXIVEL, COM PONTA PERFURANTE PARA RECIPIENTE/FRASCO DE DIETA, CAMARA DE GOTEJAMENTO, PINCA ROLETE PARA CONTROLE DO FLUXO E CON</t>
  </si>
  <si>
    <t>EQUIPO PARA BOMBA DE INFUSAO PADRAO UNIVERSAL, USO PARENTERAL, MACROGOTAS, ESTERIL, DESCARTAVEL, DE USO UNICO, COMPATIVEL COM BOMBA DE INFUSAO, CONFECCIONADO EM MATERIAL ATOXICO E TRANSPARENTE, COM PONTA PERFURANTE, CAMARA DE GOTEJAMENTO FLEXIVEL,FILTRO DE AR,</t>
  </si>
  <si>
    <t>EQUIPO PARA TRANSFUSAO DE SANGUE E HEMOCOMPONENTES, ESTERIL, DESCARTAVEL, DE USO UNICO, CONFECCIONADO EM MATERIAL ATOXICO E TRANSPARENTE, COM CAMARA DE GOTEJAMENTO E FILTRO ESPECIFICO PARA RETENCAO DE COAGULOS E PARTICULAS, COM MALHA FILTRANTE COMPATIVEL COM A</t>
  </si>
  <si>
    <t>ESPARADRAPO IMPERMEAVEL, COM TECIDO DE ALTA RESISTENCIA,COM BOA ADERENCIA A PELE, FLEXIVEL E RESISTENTE, COM FACIL RASGAMENTO MANUAL, SEM DESFIAR, PERMITINDO FIXACAO SEGURA DE CURATIVOS, GAZES, CATETERES E DISPOSITIVOS MEDICO-HOSPITALARES.HIPOALERGENICO, DE US</t>
  </si>
  <si>
    <t xml:space="preserve">ESPARADRAPO TRANSPARENTE, IMPERMEAVEL, HIPOALERGENICO, FLEXIVEL, COM ADESIVO DE BOA ADERENCIA A PELE, RESISTENTE E COM FACIL RASGAMENTO MANUAL, PERMITINDO VISUALIZACAO DA AREA FIXADA E FIXACAO SEGURA DE CURATIVOS, CATETERES E DISPOSITIVOS MEDICO-HOSPITALARES. </t>
  </si>
  <si>
    <t>ESPECULO VAGINAL DESCARTAVEL G.</t>
  </si>
  <si>
    <t>ESPECULO VAGINAL DESCARTAVEL M.</t>
  </si>
  <si>
    <t>ESPECULO VAGINAL DESCARTAVEL P.</t>
  </si>
  <si>
    <t>EXTENSOR PARA BOMBA DE SERINGA: EQUIPO EXTENSOR TAMANHO 120 CM PARA USO EM BOMBA DE SERINGA, CONEXAO LUER SLIP COM O PACIENTE, ESTERIL</t>
  </si>
  <si>
    <t>FILTRO E UMIDIFICADOR RESPIRATORIO BACTERIANO VIRAL COM TRAQUEIA ADULTO.</t>
  </si>
  <si>
    <t>FILTRO E UMIDIFICADOR RESPIRATORIO BACTERIANO VIRAL COM TRAQUEIA INFANTIL/PEDIATRICO..</t>
  </si>
  <si>
    <t>FITA AUTOCLAVE 19MMX30M.</t>
  </si>
  <si>
    <t>FITA MICROPOROSA NO TAMANHO 5 CM X 10 METROS NA COR BRANCA.</t>
  </si>
  <si>
    <t>FIXADOR DE SONDA NASOGASTRICA. DISPOSITIVO PARA FIXACAO DE SONDA NASOGASTRICA ENASOENTERAL (5 A 18 FR), COMPOSTO POR RESINA SINTETICA, TECIDO REVESTIDO DE PLASTICO E ADESIVO HIPOALERGENICO EM FORMA DE BORBOLETA, QUE SE ADAPTA NA NARINA, COM PINCA UNICA EM PEND</t>
  </si>
  <si>
    <t>FRALDA DESCARTAVEL INFANTIL EG BASICA- SUPER GEL, BARREIRAS IMPERMEAVEIS COM 8 UNID.</t>
  </si>
  <si>
    <t>FRALDA DESCARTAVEL INFANTIL M BASICA- SUPER GEL, BARREIRAS IMPERMEAVEIS COM 9 UNID.</t>
  </si>
  <si>
    <t>FRALDA DESCARTAVEL INFANTIL P BASICA- SUPER GEL , BARREIRAS IMPERMEAVEIS COM 9 UNID.</t>
  </si>
  <si>
    <t>FRALDA DESCATAVEL INFANTIL G BASICA - SUPER GEL, BARREIRAS IMPERMEAVEIS COM 8 UNID.</t>
  </si>
  <si>
    <t>FRALDA GERIATRICA DESCARTAVEL EXG, BASICA- SUPER GEL, BARREIRAS IMPERMEAVEIS COM7 UNIDADES NO PACOTE.</t>
  </si>
  <si>
    <t>FRALDA GERIATRICA DESCARTAVEL G, BASICA- SUPER GEL, BARREIRAS IMPERMEAVEIS COM 8UNIDADES NO PACOTE.</t>
  </si>
  <si>
    <t>FRALDA GERIATRICA DESCARTAVEL TAMANHO M,BASICA- SUPER GEL, BARREIRAS IMPERMEAVEIS. COM 9 UNIDADES NO PACOTE.</t>
  </si>
  <si>
    <t>FRALDA GERIATRICA DESCASTAVEL TAM P COM BARREIRAS IMPERMEAVEIS, PACOTE COM 10 UNIDADES.</t>
  </si>
  <si>
    <t>INDICADOR BIOLOGICO, DE USO UNICO, PARA MONITORAMENTO DE CICLOS DE ESTERILIZACAO A VAPOR EM AUTOCLAVE, CONTENDO ESPOROS DE GEOBACILLUS STEAROTHERMOPHILUS, EM CONCENTRACAO ADEQUADA PARA O MONITORAMENTO DO PROCESSO, COM INDICADOR DE CRESCIMENTO E LEITURA DO RESU</t>
  </si>
  <si>
    <t>INTEGRADOR QUIMICO UNITARIO PARA ESTERELIZACAO A VAPOR CLASSE 5 DA NORMA ISO 11140-1, TEMPERATURA ENTRE NO MINIMO DE 115 A 140 GRAUS, USO UNICO, PERMEAVEL AO VAPOR, CUJA SUBSTANCIA QUIMICA ATIVA REAJA AOVAPOR SATURADO, TEMPO E TEMPERA- TURA, COM JANELADE VISUA</t>
  </si>
  <si>
    <t>KIT ASPIRACAO UTERINA AMIU.ASPIRADOR AMIU 1 UNIDADE.ACOMPANHA 8 CANULAS DE 20 CM DE COMPRIMENTO NAS SEGUINTES DIAMETROS:1 UNIDADE DE CANULA DE 4MM/1 UNIDADE DECANULA DE 5MM/1 UNIDADE DE CANULA DE 6MM/1 UNIDADE DE CANULA DE 7MM/1 UNIDADE DECANULA DE 8MM/1 UNIDA</t>
  </si>
  <si>
    <t>LAMINA DE BISTURI, DESCARTAVEL, ESTERIL, DE USO UNICO, CONFECCIONADA EM ACO INOXIDAVEL, COM CORTE PRECISO E UNIFORME, SUPERFICIE LISA, RESISTENTE A CORROSAO, COM ENCAIXE COMPATIVEL COM CABO DE BISTURI PADRAO, SEM REBARBAS OU IMPERFEICOES QUE POSSAM COMPROMETER</t>
  </si>
  <si>
    <t>LANCETAS DE SEGURANCA DESCARTAVEIS DE USO UNICO CALIBRE:28G, DISPOE DE UM DISPOSITIVO DE SEGURANCA AO SER PRECIONADO QUE LIBERA AUTOMATICAMENTE A LANCETA, COM SISTEMA DE DISPARO ATIVADO POR CONTATO, ESTERILIZADO POR OXIDO DE ETILENO.CAIXA COM 100 UNIDADES.</t>
  </si>
  <si>
    <t>LUVA CIRURGICA, ESTERIL, DESCARTAVEL, DE USO UNICO, CONFECCIONADA EM LATEX NATURAL, COM PO BIOABSORVIVEL PARA FACILITAR O CALCAMENTO, FORMATO ANATOMICO, PUNHO COM BAINHA/ACABAMENTO QUE PROPORCIONE FIXACAO SEGURA, SUPERFICIE TEXTURIZADA OU MICROTEXTURIZADA PARA</t>
  </si>
  <si>
    <t>LUVA CIRURGICA, ESTERIL, DESCARTAVEL, DE USO UNICO, ISENTA DE PO, CONFECCIONADA EM LATEX NATURAL, COM FORMATO ANATOMICO, PUNHO COM BAINHA/ACABAMENTO QUE PROPORCIONE FIXACAO SEGURA, SUPERFICIE MICROTEXTURIZADA OU TEXTURIZADA PARA MAIOR ADERENCIA E SEGURANCA DUR</t>
  </si>
  <si>
    <t>LUVA CIRURGICA, ESTERIL, DESCARTAVEL, DE USO UNICO, ISENTA DE PO, CONFECCIONADAEM LATEX NATURAL, COM FORMATO ANATOMICO, PUNHO COM BAINHA/ACABAMENTO QUE PROPORCIONE FIXACAO SEGURA, SUPERFICIE MICROTEXTURIZADA OU TEXTURIZADA PARA MAIOR ADERENCIA E SEGURANCA DURA</t>
  </si>
  <si>
    <t>LUVA DE PROCEDIMENTO NAO CIRURGICA, DESCARTAVEL, DE USO UNICO, CONFECCIONADA EM LATEX NATURAL, COM PO BIOABSORVIVEL PARA FACILITAR O CALCAMENTO, AMBIDESTRA, NAO ESTERIL, COM SUPERFICIE LISA OU LEVEMENTE TEXTURIZADA, BOA ELASTICIDADE E RESISTENCIA, PROPORCIONAN</t>
  </si>
  <si>
    <t>LUVA DE PROCEDIMENTO NAO CIRURGICA, DESCARTAVEL, DE USO UNICO, CONFECCIONADA EM VINIL, SEM PO, NAO ESTERIL, AMBIDESTRA, COM SUPERFICIE LISA, FLEXIVEL, RESISTENTE E DE FACIL CALCAMENTO, PROPORCIONANDO BOA ADAPTACAO AS MAOS E SENSIBILIDADE TATIL ADEQUADA. COM PU</t>
  </si>
  <si>
    <t xml:space="preserve">MASCARA CIRURGICA DESCARTAVEL, COM TRIPLA CAMADA DE PROTECAO, CONFECCIONADA EM MATERIAL NAO TECIDO, COM FILTRO INTERNO, HIPOALERGENICA, ATOXICA, SEM ODOR, COM CLIP NASAL FLEXIVEL E AJUSTAVEL, ELASTICOS PARA FIXACAO AURICULAR, PROPORCIONANDO ADEQUADA ADAPTACAO </t>
  </si>
  <si>
    <t>MASCARA DE ALTA CONCENTRACAO COM RESERVATORIO INFANTIL .PERMITE A ALTA CONCENTRACAO DO OXIGENIO E TRANSPARENTE E FAVORECE O CONFORTO DO PACIENTE.COM MATERIAL MACIO QUE NAO MACHUCA O ROSTO DO PACIENTE E ACOMPANHA ELASTICO PARA FACILITAR A FIXACAO DA MESMA.</t>
  </si>
  <si>
    <t>MASCARA DE OXIGENIO DE ALTA CONCENTRACAO, ADULTO, COM RESERVATORIO, CONFECCIONADA EM MATERIAL TRANSPARENTE, FLEXIVEL E ATOXICO, COM MASCARA ANATOMICA PARA ADEQUADA ADAPTACAO A FACE, ELASTICO PARA FIXACAO, TUBO/EXTENSAO PARA CONEXAO A FONTE DE OXIGENIO E RESERV</t>
  </si>
  <si>
    <t>MASCARA LARINGEA EM SILICONE REUTILIZAVEL AUTOCLAVAVEL No 03. MASCARA LARINGEA REUTILIZAVEL POR ATE 40 CICLOS DE AUTOCLAVAGEM A VAPOR. CONFECCIONADA EM SILICONE. TOTALMENTE LIVRE DE FORMATO ANATOMICO. TUBO RESISTENTE A ACOTOVELAMENTO. BALAO PILOTO COM INDICACA</t>
  </si>
  <si>
    <t>MASCARA LARINGEA, REUTILIZAVEL E AUTOCLAVAVEL, CONFECCIONADA EM SILICONE, LIVRE DE LATEX, COM FORMATO ANATOMICO, CUFF DE VEDACAO INFLAVEL, TUBO RESISTENTE A DOBRA E AO ACOTOVELAMENTO, BALAO PILOTO PARA CONTROLE DA INSUFLACAO DO CUFF, CONECTOR PADRAO DE 15 MM E</t>
  </si>
  <si>
    <t>MASCARA N95 OU RESPIRADOR PURIFICADOR DE AR PFF2, TIPO PECA SEMIFACIAL FILTRANTE PARA PARTICULAS, CLASSIFICACAO PFF2, SEM VALVULA DE EXALACAO, DESCARTAVEL, COM ELEMENTO FILTRANTE PARA PARTICULAS, CLIPE NASAL AJUSTAVEL E ELASTICOS PARA FIXACAO, PROPORCIONANDO V</t>
  </si>
  <si>
    <t>PAPAGAIO MATERIAL DE ACO INOX CAPACIDADE DE 1 LITRO</t>
  </si>
  <si>
    <t>PAPAGAIO PLASTICO, DE POLIETILENO DE ALTA DENSIDADE DE 1.200ML, GRADUADO COM TAMPA PLASTICA, FUNDO CHATO, PERMITE POSICAO VERTICAL..</t>
  </si>
  <si>
    <t>PAPEL GRAU CIRURGICO PAPEL GRAU CIRURGICO SAO BOBINAS COMPOSTAS DE PAPEL GRAU CIRURGICO FILME LAMINADO POLIESTER/POLIPROPILENO, POSSIBILITANDO ABERTURA ASSEPTICA, IMPRESSAS COM TINTA INDICATIVAS PARA OS PROCESSOS DE ESTERELIZACAO, NAS SEGUINTES COMBINACOES:VAP</t>
  </si>
  <si>
    <t>PAPEL GRAU CIRURGICO SAO BOBINAS COMPOSTAS DE PAPEL GRAU CIRURGICO FILME LAMINADO POLIESTER/POLIPROPILENO, POSSIBILITANDO ABERTURA ASSEPTICA, IMPRESSAS COM TINTA INDICATIVAS PARA OS PROCESSOS DE ESTERELIZACAO, NAS SEGUINTES COMBINACOES:VAPOR SATURADO E OXIDO D</t>
  </si>
  <si>
    <t xml:space="preserve">PROTETOR OCULAR PARA FOTOTERAPIA NEONATAL, DESCARTAVEL, DE USO UNICO, TIPO BABY BLOCK OU EQUIVALENTE, DESTINADO A PROTECAO DOS OLHOS DE RECEM-NASCIDOS DURANTE TRATAMENTO COM FOTOTERAPIA. CONFECCIONADO EM MATERIAL MACIO, FLEXIVEL, ATOXICO E HIPOALERGENICO, COM </t>
  </si>
  <si>
    <t>REANIMADOR MANUAL NEONATAL EM SILICONE TRANSLUCIDO COMPLETO,AUTOCLAVAVEL NO TAMANHO NEONATAL :BALAO EM SILICONE COM CAPACIDADE 300ML, CONTENDO MASCARA FACIAL EM SILICONE NUMERO 1,VALVULA UNIDIRECIONAL MODELO BICO DE PATO.RESERVATORIO EM PVC COM CAPACIDADE DE 6</t>
  </si>
  <si>
    <t>SERINGA DESCARTAVEL 10 ML COM BICO LUER SLIP</t>
  </si>
  <si>
    <t>SERINGA DESCARTAVEL 10 ML COM BICO LUER LOCK</t>
  </si>
  <si>
    <t>SERINGA DESCARTAVEL 20 ML COM BICO LUER LOCK</t>
  </si>
  <si>
    <t>SERINGA DESCARTAVEL 20ML COM BICO LUER SLIP</t>
  </si>
  <si>
    <t>SERINGA DESCARTAVEL 3 ML COM BICO LUER LOCK</t>
  </si>
  <si>
    <t>SERINGA DESCARTAVEL 3ML COM BICO LUER SLIP</t>
  </si>
  <si>
    <t>SERINGA DESCARTAVEL 5 ML COM BICO LUER LOCK</t>
  </si>
  <si>
    <t>SERINGA DESCARTAVEL 5ML COM BICO LUER SLIP</t>
  </si>
  <si>
    <t>SERINGA PARA INSULINA 1 ML COM AGULHA 13 4,5 MM</t>
  </si>
  <si>
    <t>SONDA NASOGASTRICA LONGA, DESCARTAVEL, ESTERIL, DE USO UNICO, CONFECCIONADA EM PVC ATOXICO, FLEXIVEL E TRANSPARENTE, RADIOPACA, COM PONTA DISTAL ATRAUMATICA E ORIFICIOS LATERAIS, GRADUACAO PARA CONTROLE DE PROFUNDIDADE, CONECTOR UNIVERSAL COMPATIVEL COM SERING</t>
  </si>
  <si>
    <t>SONDA URETRAL TIPO NELATON, DESCARTAVEL, ESTERIL, DE USO UNICO, CONFECCIONADA EM PVC ATOXICO, FLEXIVEL E TRANSPARENTE, COM PONTA DISTAL ARREDONDADA E ATRAUMATICA, COM 01 (UM) ORIFICIO LATERAL, CONECTOR PROXIMAL UNIVERSAL E MARCACAO DE PROFUNDIDADE. CALIBRE No0</t>
  </si>
  <si>
    <t>SONDA URETRAL TIPO NELATON, DESCARTAVEL, ESTERIL, DE USO UNICO, CONFECCIONADA EM PVC ATOXICO, FLEXIVEL E TRANSPARENTE, COM PONTA DISTAL ARREDONDADA E ATRAUMATICA, COM 01 (UM) ORIFICIO LATERAL, CONECTOR PROXIMAL UNIVERSAL E MARCACAO DE PROFUNDIDADE. CALIBRE No1</t>
  </si>
  <si>
    <t>TORNEIRINHA DE 3 VIAS, DESCARTAVEL, ESTERIL, DE USO UNICO, CONFECCIONADA EM MATERIAL ATOXICO E COMPATIVEL COM USO MEDICO-HOSPITALAR, COM CONEXOES PADRAO LUER LOCK, RESISTENTE A VAZAMENTOS, COM SISTEMA DE GIRO SUAVE E SEGURO, PERMITINDO O CONTROLE E DIRECIONAME</t>
  </si>
  <si>
    <t>TOUCA DESCARTAVEL SANFONADA, DE USO HOSPITALAR, CONFECCIONADA EM NAO TECIDO, 100 POLIPROPILENO, LEVE, RESISTENTE E PERMEAVEL AO AR, COM ELASTICO EM TODA A EXTENSAO DA BORDA, PROPORCIONANDO AJUSTE ADEQUADO A CABECA E COBERTURA COMPLETA DOS CABELOS, SEM CAUSAR C</t>
  </si>
  <si>
    <t>UMIDIFICADOR DE OXIGENIO, COM TAMPA, CORPO NYLON COM ROSCA DE METAL.FRASCO PLASTICO 250 ML, COM NIVEIS MAXIMO E MINIMO. CONEXAO DE ENTRADA DE OXIGENIO COM ROSCA PADRAO 9/16 X 18 FIOS..</t>
  </si>
  <si>
    <t>UMIDIFICADOR DE OXIGENIO, COMPOSTO DE TAMPA E CORPO DE NYLON, FRASCO PLASTICO 250 ML COM NIVEIS DE MAXIMO E MINIMO, CONEXAO DE ENTRADA DE OXIGENIO COM ROSCA METAL PADRAO 9/16 X18 FIOS , EXTENSAO DE PVC MALEAVEL COM 02 METROS DE COMPRIMENTOEMASCARA PLASTICA.UMI</t>
  </si>
  <si>
    <t>COMADRE EM PLASTICO USO HOSPITALAR - CAPACIDADE: MINIMA DE 2 LITROS; MODELO: COM ALCA;</t>
  </si>
  <si>
    <t>AGULHA DESCARTAVEL - MEDIDAS (C X D): 25 X 0,8 MM COM DISPOSITIVO DE SEGURANCA; BISEL: TRIFACETADO COM PROTETOR; CANHAO: PLASTICO RESISTENTE NA COR PAD</t>
  </si>
  <si>
    <t>AGULHA DESCARTAVEL - MEDIDAS (C X D): 25 X 0,7 MM COM DISPOSITIVO DE SEGURANCA; BISEL: TRIFACETADO COM PROTETOR; CANHAO: PLASTICO RESISTENTE NA COR PAD</t>
  </si>
  <si>
    <t>SERINGA DESCARTAVEL - MATERIA-PRIMA: POLIPROPILENO; CAPACIDADE: 20 ML, SEM AGULHA, BICO LATERAL E PONTA LUER SLIP;</t>
  </si>
  <si>
    <t>FRASCO COLETOR DE SECRECOES - TIPO: DESCARTAVEL; APLICACAO: ASPIRACAO DAS VIAS AEREAS; CAPACIDADE: 500 ML; MATERIA-PRIMA: PVC RIGIDO;</t>
  </si>
  <si>
    <t>TORNEIRA CIRURGICA - NUMERO DE VIAS: 3; VALVULA: SEM VALVULA; EXTREMIDADE: MACHO LUER LOCK REVERSIVEL E LOCK; ESTERIL: SIM; MATERIA-PRIMA: PLASTICO TRA</t>
  </si>
  <si>
    <t>SERINGA DESCARTAVEL - MATERIA-PRIMA: POLIPROPILENO; CAPACIDADE: 10ML SEM AGULHA C/ BICO LUER LOCK;</t>
  </si>
  <si>
    <t>SERINGA DESCARTAVEL - MATERIA-PRIMA: POLIPROPILENO; CAPACIDADE: 10 ML, SEM AGULHA, BICO CENTRAL E PONTA LUER SLIP;</t>
  </si>
  <si>
    <t>CATETER - IDENTIFICACAO: NASAL DESCARTAVEL TIPO OCULOS PARA OXIGENIO; TAMANHO/NUMERO: NEONATAL; MATERIA-PRIMA: SILICONE;</t>
  </si>
  <si>
    <t>CATETER - IDENTIFICACAO: VENOSO CENTRAL (SEGUNDO A TECNICA DE SELDINGER); TAMANHO/NUMERO: 22G X 10CM; MATERIA-PRIMA: POLIURETANO;</t>
  </si>
  <si>
    <t>CATETER - IDENTIFICACAO: NASAL DESCARTAVEL TIPO OCULOS PARA OXIGENIO; TAMANHO/NUMERO: ADULTO; MATERIA-PRIMA: POLIVINIL ATOXICO;</t>
  </si>
  <si>
    <t>SONDA DE USO MEDICO - IDENTIFICACAO: NASOENTERICA ADULTO; NUMERO/TAMANHO: 12G; MATERIA-PRIMA: POLIURETANO, COM PESO EM TUNGSTENIO OU ACO INOX;</t>
  </si>
  <si>
    <t>SONDA DE USO MEDICO - IDENTIFICACAO: DE FOLEY 2 VIAS; NUMERO/TAMANHO: 8 E CAPACIDADE BALAO IMPRESSOS EM LOCAL VISIVEL; MATERIA-PRIMA: BORRACHA NATURAL,</t>
  </si>
  <si>
    <t>SONDA DE USO MEDICO - IDENTIFICACAO: DE FOLEY 2 VIAS; NUMERO/TAMANHO: 12; MATERIA-PRIMA: BORRACHA NATURAL, SILICONIZADA;</t>
  </si>
  <si>
    <t>GAZE HIDROFILA - MATERIA-PRIMA: 100% ALGODAO; ESTERIL: NAO; DIMENSOES (L X C ): 91 CM X 91 M, TIPO QUEIJO; NUMERO DE FIOS: 13 FIOS/CM2; DOBRAS: MINIMO</t>
  </si>
  <si>
    <t>LUVA DESCARTAVEL PROCEDIMENTOS NAO CIRURGICOS - COMPOSICAO: LATEX DE BORRACHA NATURAL; ESTERIL: NAO; TAMANHO: G; PO: BIOABSORVIVEL; FORMATO: AMBIDESTRA</t>
  </si>
  <si>
    <t>LUVA DESCARTAVEL PROCEDIMENTOS NAO CIRURGICOS - COMPOSICAO: LATEX DE BORRACHA NATURAL; ESTERIL: NAO; TAMANHO: PP; PO: BIOABSORVIVEL; FORMATO: AMBIDESTR</t>
  </si>
  <si>
    <t>LUVA DESCARTAVEL PROCEDIMENTOS NAO CIRURGICOS - COMPOSICAO: LATEX DE BORRACHA NATURAL; ESTERIL: NAO; TAMANHO: P; PO: BIOABSORVIVEL; FORMATO: AMBIDESTRA</t>
  </si>
  <si>
    <t>LUVA DESCARTAVEL PROCEDIMENTOS NAO CIRURGICOS - COMPOSICAO: LATEX DE BORRACHA NATURAL; ESTERIL: NAO; TAMANHO: M; PO: BIOABSORVIVEL; FORMATO: AMBIDESTRA</t>
  </si>
  <si>
    <t>COLETOR DE AMOSTRAS USO LABORATORIO - FINALIDADE: COLETAR URINA; MATERIA-PRIMA: PLASTICO BRANCO LEITOSO, COM TAMPA DE ROSCA; CAPACIDADE: 50ML; TIPO: DE</t>
  </si>
  <si>
    <t>SERINGA USO LABORATORIO - MATERIA-PRIMA: POLIESTIRENO, DESCARTAVEL, COM AGULHA EM ACO INOX; CAPACIDADE VOLUMETRICA: 10 ML, GRADUADA EM 1/10ML; ANTICOAG</t>
  </si>
  <si>
    <t>TIRAS REAGENTES - TIPO: REAGENTES; FINALIDADE: TESTE DE URINA COM 10 AREAS ESPECIFICAS;</t>
  </si>
  <si>
    <t>AGULHA HIPODÉRMICA DESCARTÁVEL, CORPO DE AÇO INOXIDÁVEL BISELADO, CANHÃO EM PLÁSTICO, PROVIDA DE PROTETOR, CALIBRE 13 X 04,5. CONTENDO 100 UNIDADES.</t>
  </si>
  <si>
    <t>AGULHA HIPODÉRMICA DESCARTÁVEL, CORPO DE AÇO INOXIDÁVEL BISELADO, CANHÃO EM PLÁSTICO, PROVIDA DE PROTETOR, CALIBRE 20 X 5.5, CONTENDO 100 UNIDADES.</t>
  </si>
  <si>
    <t>AGULHA HIPODÉRMICA DESCARTÁVEL, CORPO DE AÇO INOXIDÁVEL BISELADO, CANHÃO EM PLÁSTICO, PROVIDA DE PROTETOR, CALIBRE 25 X 0.7, CONTENDO 100 UNIDADES.</t>
  </si>
  <si>
    <t>AGULHA HIPODÉRMICA DESCARTÁVEL, CORPO DE AÇO INOXIDÁVEL BISELADO, CANHÃO EM PLÁSTICO, PROVIDA DE PROTETOR, CALIBRE 40 X 12. CONTENDO 100 UNIDADES.</t>
  </si>
  <si>
    <t>ATADURA DE CREPOM (CREPE) CONFECCIONADAS COM TECIDO 100% ALGODÃO CRU, FIOS DE ALTA TORÇÃO, QUE CONFERE ALTA RESISTÊNCIA, COM DENSIDADE DE 13 FIOS\CM², POSSUINDO BASTANTE ELASTICIDADE NO SENTIDO LONGITUDINAL. PODEM SER UTILIZADAS VÁRIAS VEZES SEM PERDER SUAS PR</t>
  </si>
  <si>
    <t>ATADURA DE CREPOM 15 CM X 1,8M - 12 UNIDADES ATADURA DE CREPOM (CREPE) CONFECCIONADAS COM TECIDO 100% ALGODÃO CRU, FIOS DE ALTA TORÇÃO, QUE CONFERE ALTA RESISTÊNCIA, COM DENSIDADE DE 18 FIOS\CM², POSSUINDO BASTANTE ELASTICIDADE NO SENTIDO LONGITUDINAL. PODEM S</t>
  </si>
  <si>
    <t>ATADURA DE CREPOM 25 CM X 1,8M - 12 UNIDADES ATADURA DE CREPOM (CREPE) CONFECCIONADAS COM TECIDO 100% ALGODÃO CRU, FIOS DE ALTA TORÇÃO, QUE CONFERE ALTA RESISTÊNCIA, COM DENSIDADE DE 18 FIOS\CM², POSSUINDO BASTANTE ELASTICIDADE NO SENTIDO LONGITUDINAL. PODEM S</t>
  </si>
  <si>
    <t>AVENTAL DESCARTÁVEL MANGA LONGA IMPERMEÁVEL 50G DESCARTÁVEL, É CONFECCIONADO EM 74% DE TECIDO NÃO TECIDO (TNT) POLIPROPILENO DO TIPO AGULHADO E 26% TECIDO LAMINADO DE POLIETILENO COM ADITIVO MASTERBATCH - O QUE LHE CONFERE IMPERMEABILIDADE. POSSUI MANGA LONGA,</t>
  </si>
  <si>
    <t>BACIA DE AÇO INOX C/ 32 CM DE DIÂMETRO E CAPACIDADE P/ 3100 ML MATERIAL: PRODUTO CONFECCIONADO EM AÇO INOXIDÁVEL CIRÚRGICOS; EMBALAGEM: PLÁSTICA INDIVIDUAL, CONSTANDO OS DADOS DE IDENTIFICAÇÃO, PROCEDÊNCIA E RASTREABILIDADE; GARANTIA: 10 ANOS CONTRA DEFEITOS D</t>
  </si>
  <si>
    <t>BACIA RENIFORME INOX (CUBA RIM). INSTRUMENTO NÃO ARTICULADO NÃO CORTANTE. TAMANHO 26CM X 12CM.</t>
  </si>
  <si>
    <t>BOLSA COLETORA DE URINA - SISTEMA FECHADO- BOLSA COLETORA FABRICADO EM PVC ATÓXICO, CAPACIDADE 2000 ML, EXTENSÃO EM PVC FLEXÍVEL, PINÇA CORTA- FLUXO, CONECTOR ADAPTADO PARA SONDA FOLEY, CONECTOR PONTO DE COLETA, VÁLVULA DE DRENAGEM, ATÓXICO E DESCARTÁVEL, ESTE</t>
  </si>
  <si>
    <t>BOLSA PARA COLOSTOMIA DRENÁVEL 1 PEÇA. MODELO RECORTÁVEL 10-76 MM NA COR TRANSPARENTE. BOLSA DE SISTEMA DRENÁVEL COM PLACA ADESIVO DE DUPLA CAMADA. POSSUI FILTRO DE CARVÃO ATIVADO EVITA O RISCO DE A BOLSA COLETORA SOFRER ABAULAMENTO, CRIANDO VOLUMES DESNECESSÁ</t>
  </si>
  <si>
    <t>CABO PARA BISTURI N.º 3 INOX 13 CM PARA LÂMINAS N.º 10 A 17</t>
  </si>
  <si>
    <t>CABO PARA BISTURI N.º 4 INOX 14 CM PARA LÂMINAS N.º 18 A 36</t>
  </si>
  <si>
    <t>CADARÇO SARJADO 10MM COM 50M PARA FIXAÇÃO CÂNULA TRAQUEOSTOMIA (10MMX50M) – COR BRANCO. COMPOSIÇÃO: 100% ALGODÃO. ROLO COM 50M</t>
  </si>
  <si>
    <t xml:space="preserve">CAMPO CIRÚRGICO ESTÉRIL EM NÃO-TECIDO 50X50CM COM FENESTRA DE 10CM. GRAMATURA 40 GR. PRODUTO ATÓXICO E HIPOALERGÊNICO, REPELE LÍQUIDOS. UTILIZADO EM PROCEDIMENTOS LOCALIZADOS. POSSUI FENESTRA APROXIMADA DE 10CM, E DOBRA CIRÚRGICA. DUPLA EMBALAGEM GARANTINDO A </t>
  </si>
  <si>
    <t>CANETA LANCETADORA PARA COLETA DE AMOSTRA SANGUÍNEA (LANCETADOR PARA DISPARAR LANCETAS) COM REGULAGEM DE PROFUNDIDADE DA PUNÇÃO PROPORCIONANDO CONFORTO AO USO, COM SISTEMA DE GATILHO RÁPIDO DE FÁCIL MANUSEIO. É INDICADA PARA OBTER AMOSTRAS DE SANGUE PARA TESTE</t>
  </si>
  <si>
    <t>CATETER NASAL PARA OXIGÊNIO TIPO ÓCULOS; MEDIDA UNICA, ESTERILIZADO A RAIO GAMMA, EMBALADO INDIVIDUALMENTE EM SACO PLÁSTICO; P.V.C. ATÓXICO SILICONADO; ESTÉRIL; ATÓXICA; ASPIROGÊNICO; DESCARTÁVEL (USO ÚNICO)</t>
  </si>
  <si>
    <t>COLETOR DE MATERIAL PERFUROCORTANTE, RECIPIENTE, CAIXA DESCARTÁVEL, COM PLÁSTICO INTERNO PARA DESCARTE DE OBJETOS CORTANTES E PERFURANTES, BO-CAL ADAPTÁVEL QUE FACILITA DISPENSA DE VÁRIOS TAMANHOS DE OBJETOS, ALÇAS EXTERNAS E TAMPA DE SEGURANÇA COM TRAVA DUPLA</t>
  </si>
  <si>
    <t>COLETOR DE MATERIAL PERFUROCORTANTE, RECIPIENTE, CAIXA DESCARTÁVEL, COM PLÁSTICO INTERNO PARA DESCARTE DE OBJETOS CORTANTES E PERFURANTES, BO-CAL ADAPTÁVEL QUE FACILITA DISPENSA DE VÁRIOS TAMANHOS DE OBJETOS, ALÇAS EXTERNAS E TAMPA DE SEGURANCA COM TRAVA DUPLA</t>
  </si>
  <si>
    <t xml:space="preserve">COMPRESSA PARA CURATIVO CIRÚRGICO ALGODONADO ESTÉRIL 15CM X 30CM COMPOSTO POR UMA CAMADA INTERNA DE MANTA DE ALGODÃO HIDRÓFILO ENVOLTA POR TECIDO 100% ALGODÃO DE BAIXA DENSIDADE DE FIOS POR CENTÍMETRO, ALVEJADO (ISENTO DE AMIDO, CORANTES CORRETIVOS, ALVEJANTE </t>
  </si>
  <si>
    <t xml:space="preserve">COMPRESSAS CIRÚRGICAS DE GAZE HIDRÓFILA - ESTÉRIL CONFECCIONADA COM 13 FIOS, COM 10 UNIDADES EM CADA PACOTE, EM TAMANHO NOMINAL APROXIMADAMENTE DE 7,5 X 7,5 CM, COM 8 CAMADAS E 5 DOBRAS. A COMPRESSA ABERTA TEM APROXIMADAMENTE UMA ÁREA DE 15 CM X 26 CM, BORDAS </t>
  </si>
  <si>
    <t xml:space="preserve">CURATIVO DE ALGINATO DE CÁLCIO COM PRATA. PLACAS MEDINDO 10CMX10CM - CAIXA COM 10 UNIDADES É UM CURATIVO ESTÉRIL, NÃO TECIDO, NÃO ADERENTE, COMPOSTA DE PARTÍCULAS DE ALGINATO DE CÁLCIO, EXTRAÍDA DAS ALGAS MARINHAS MARRONS, COM PRATA, QUE ABSORVE O EXSUDADO DA </t>
  </si>
  <si>
    <t>CURATIVO DE ALGINATO DE CÁLCIO. PLACAS MEDINDO10CMX10CM. CAIXA COM 10 UNIDADES. É COMPOSTO POR FIBRAS EXTRAÍDAS, ATRAVÉS DE UMA ALTA TECNOLOGIA, DE ALGAS MARINHAS MARRONS, NAS QUAIS SOMENTE OS ÍONS DE CÁLCIO SÃO INCORPORADOS. OS ÍONS DE SÓDIO PRESENTE NO CURAT</t>
  </si>
  <si>
    <t xml:space="preserve">ENVELOPE AUTO SELANTE PARA ESTERILIZAÇÃO – 09 CM X 16 CM. CAIXA COM 200 UNIDADES. ENVELOPE AUTO SELANTE CONFECCIONADO EM PAPEL CIRÚRGICO E FILME LAMINADO. POSSUEM FITA AUTO SELANTE QUE PERMITE O FECHAMENTO DA EMBALAGEM DISPENSANDO O USO DE SELADORAS TÉRMICAS. </t>
  </si>
  <si>
    <t>ENVELOPE AUTO SELANTE PARA ESTERILIZAÇÃO – 15 CM X 24 CM. CAIXA COM 200 UNIDADES ENVELOPE AUTO SELANTE CONFECCIONADO EM PAPEL CIRÚRGICO E FILME LAMINADO. POSSUEM FITA AUTO SELANTE QUE PERMITE O FECHAMENTO DA EMBALAGEM DISPENSANDO O USO DE SELADORAS TÉRMICAS. T</t>
  </si>
  <si>
    <t>ENVELOPE AUTO SELANTE PARA ESTERILIZAÇÃO – 19 CM X 33 CM. CAIXA COM 200 UNIDADES ENVELOPE AUTO SELANTE CONFECCIONADO EM PAPEL CIRÚRGICO E FILME LAMINADO. POSSUEM FITA AUTO SELANTE QUE PERMITE O FECHAMENTO DA EMBALAGEM DISPENSANDO O USO DE SELADORAS TÉRMICAS. T</t>
  </si>
  <si>
    <t>ENVELOPE AUTO SELANTE PARA ESTERILIZAÇÃO – 24 CM X 38 CM. CAIXA COM 200 UNIDADES ENVELOPE AUTO SELANTE CONFECCIONADO EM PAPEL CIRÚRGICO E FILME LAMINADO. POSSUEM FITA AUTO SELANTE QUE PERMITE O FECHAMENTO DA EMBALAGEM DISPENSANDO O USO DE SELADORAS TÉRMICAS. T</t>
  </si>
  <si>
    <t>ESPARADRAPO IMPERMEÁVEL - INDICADO PARA FIXAÇÃO DE CURATIVOS, ATADURAS, SONDAS, DRENOS, CATÉTERES. O ESPARADRAPO IMPERMEÁVEL É COMPOSTO DE TECIDO 100% ALGODÃO COM RESINA ACRÍLICA IMPERMEABILIZANTE. NELE É APLICADA MASSA ADESIVA À BASE DE BORRACHA NATURAL, ÓXID</t>
  </si>
  <si>
    <t xml:space="preserve">ESPECULO VAGINAL DESCARTÁVEL, TAMANHO GRANDE PARA EXECUÇÃO DE EXAME GINECOLÓGICO, EMBALADO EM PAPEL GRAU CIRÚRGICO E FILME POLIÉSTER/POLIETILENO. FABRICADO EM POLIETILENO DE ALTA QUALIDADE, POSSUI DESIGN ANATÔMICO COM SISTEMA DE AJUSTE POR PARAFUSO BORBOLETA, </t>
  </si>
  <si>
    <t>ESPECULO VAGINAL DESCARTÁVEL, TAMANHO MÉDIO PARA EXECUÇÃO DE EXAME GINECOLÓGICO, EMBALADO EM PAPEL GRAU CIRÚRGICO E FILME POLIÉSTER/POLIETILENO. FABRICADO EM POLIETILENO DE ALTA QUALIDADE, POSSUI DESIGN ANATÔMICO COM SISTEMA DE AJUSTE POR PARAFUSO BORBOLETA, G</t>
  </si>
  <si>
    <t>ESPECULO VAGINAL DESCARTÁVEL, TAMANHO PEQUENO PARA EXECUÇÃO DE EXAME GINECOLÓGICO, EMBALADO EM PAPEL GRAU CIRÚRGICO E FILME POLIÉSTER/POLIETILENO. FABRICADO EM POLIETILENO DE ALTA QUALIDADE, POSSUI DESIGN ANATÔMICO COM SISTEMA DE AJUSTE POR PARAFUSO BORBOLETA,</t>
  </si>
  <si>
    <t>ESPECULO VAGINAL ESTÉRIL DESCARTÁVEL, PARA VIRGEM, TAMANHO PEQUENO PARA EXECUÇÃO DE EXAME GINECOLÓGICO, EMBALADO EM PAPEL GRAU CIRÚRGICO E FILME POLIÉSTER/POLIETILENO. FABRICADO EM POLIETILENO DE ALTA QUALIDADE, POSSUI DESIGN ANATÔMICO COM SISTEMA DE AJUSTE PO</t>
  </si>
  <si>
    <t>EXTENSOR PARA CATETER NASAL DE OXIGÊNIO 2METROS. O CONECTOR EXTENSOR DE OXIGÊNIO É UM TUBO FABRICADO DE 2,0 METROS EM PVC ATÓXICO. EM CADA EXTREMIDADE DO TUBO HÁ UMA CONEXÃO EM PVC. UMA CONEXÃO É CONECTADA À FONTE DE OXIGÊNIO E A OUTRA AO CATETER QUE FICARÁ EM</t>
  </si>
  <si>
    <t>FITA AUTOCLAVE 19MM X 30M E ESPESSURA DE 0,18MM.FITA INDICADORA DE ESTERILIZAÇÃO A VAPOR.</t>
  </si>
  <si>
    <t>FRASCO UMIDIFICADOR 250ML PARA OXIGÊNIO. O UMIDIFICADOR DE OXIGÊNIO É COMPOSTO DE TAMPA E CORPO DE NYLON, FRASCO PLÁSTICO DE 250ML COM INDICAÇÃO DOS NÍVEIS MÁXIMO E MÍNIMO E CONEXÃO DE ENTRADA DE OXIGÊNIO COM ROSCA PADRÃO 9/16 X 18 FIOS. ADAPTA-SE A QUALQUER V</t>
  </si>
  <si>
    <t>GARROTE PARA FLEBOTOMIA ADULTO, USADO PARA COLETA DE SANGUE; COMPOSTO DE ALGODÃO + FIO DE POLIÉSTER E ABS; E FIVELA COM TRAVA; EMBALADO INDIVIDUALMENTE.</t>
  </si>
  <si>
    <t>GEL CONDUTOR PARA ULTRASSOM FRASCO GEL DE CONTATO INODORO INCOLOR. ALMOTOLIAS CONTENDO 300 GRAMAS CADA. COMPOSIÇÃO: CARBÔMERO; ÁGUA DEIONIZADA; CONSERVANTE; UMECTANTE; ALCALINIZANTE; SEQUESTRANTE. EMBALAGEM: FRASCO COM BICO APLICADOR. REGISTRO ANVISA</t>
  </si>
  <si>
    <t>INDICADOR BIOLÓGICO DO TIPO AUTO-CONTIDO, COM TEMPO DE RESPOSTA DE NO MÁXIMO 24 HORAS, COMPOSTO DE UMA TIRA DE PAPEL CONTENDO UMA POPULAÇÃO MICROBIANA MÍNIMA DE 100.000 (CEM MIL) ESPOROS SECOS E CALIBRADOS DE GEOBACILLUS STEAROTHERMOPHILLUS (ATCC 7953, COM CER</t>
  </si>
  <si>
    <t xml:space="preserve">INDICADOR QUÍMICO INTEGRADOR CLASSE 5 PARA AUTOCLAVE - 250 UNIDADE O INDICADOR INTEGRADOR QUÍMICO UTILIZA TECNOLOGIA AVANÇADA PARA MONITORAR DE FORMA PRECISA E CONFIÁVEL OS PARÂMETROS DO CICLO DE ESTERILIZAÇÃO, INCLUINDO TEMPERATURA, PRESSÃO E TEMPO. COM ESTE </t>
  </si>
  <si>
    <t>LANCETA PARA OBTER AMOSTRAS DE SANGUE PARA LEITURA DA GLICEMIA DE ESPESSURA ULTRAFINA COM PONTA TRIANGULAR PARA PUNÇÃO DIGITAL DE CALIBRE 28G, 0,375MM. PRODUTO ESTERILIZADO POR RADIAÇÃO GAMA. CAIXA COM 100 UNIDADES. MARCA G-TECH.</t>
  </si>
  <si>
    <t>LENÇOL DE PAPEL HOSPITALAR, PRODUZIDO COM 100 % CELULOSE DE ALTA QUALIDADE, ISENTO DE PRODUTOS QUÍMICOS AGRESSIVOS, OFERECE ADERÊNCIA E CONFORTO AOS PACIENTES, POSSUI UM TEXTURA TIPO CREPE TORNANDO-O MACIO, FLEXÍVEL E RESISTENTE, ECONÔMICO, ELIMINA DESPESAS CO</t>
  </si>
  <si>
    <t>LUVA CIRURGICA ESTÉRIL - TAMANHO 7.0 - LATEX NATURAL - LUVA CIRÚRGICA ESTÉRIL, CONFECCIONADA EM LÁTEX NATURAL, FORMATO ANATÔMICO, DEDOS CURVADOS, TEXTURIZADA PARA MAIOR FIRMEZA QUANDO ÚMIDA, PUNHO REFORÇADO NA BORDA, LUBRIFICADA COM PÓ BIOABSORVIVEL PELO ORGAN</t>
  </si>
  <si>
    <t>LUVA CIRURGICA ESTÉRIL - TAMANHO 8.5 - LATEX NATURAL - LUVA CIRÚRGICA ESTÉRIL, CONFECCIONADA EM LÁTEX NATURAL, FORMATO ANATÔMICO, DEDOS CURVADOS, TEXTURIZADA PARA MAIOR FIRMEZA QUANDO ÚMIDA, PUNHO REFORÇADO NA BORDA, LUBRIFICADA COM PÓ BIOABSORVIVEL PELO ORGAN</t>
  </si>
  <si>
    <t>LUVA CIRURGICA ESTÉRIL - TAMANHO 7.5 - LATEX NATURAL - LUVA CIRÚRGICA ESTÉRIL, CONFECCIONADA EM LÁTEX NATURAL, FORMATO ANATÔMICO, DEDOS CURVADOS, TEXTURIZADA PARA MAIOR FIRMEZA QUANDO ÚMIDA, PUNHO REFORÇADO NA BORDA, LUBRIFICADA COM PÓ BIOABSORVIVEL PELO ORGAN</t>
  </si>
  <si>
    <t>LUVA CIRÚRGICA ESTÉRIL - TAMANHO 6.5 - LATEX NATURAL - LUVA CIRÚRGICA ESTÉRIL, CONFECCIONADA EM LÁTEX NATURAL, FORMATO ANATÔMICO, DEDOS CURVADOS, TEXTURIZADA PARA MAIOR FIRMEZA QUANDO ÚMIDA, PUNHO REFORÇADO NA BORDA, LUBRIFICADA COM PÓ BIOABSORVIVEL PELO ORGAN</t>
  </si>
  <si>
    <t>LUVA CIRURGICA ESTÉRIL - TAMANHO 8.0 - LATEX NATURAL - LUVA CIRÚRGICA ESTÉRIL, CONFECCIONADA EM LÁTEX NATURAL, FORMATO ANATÔMICO, DEDOS CURVADOS, TEXTURIZADA PARA MAIOR FIRMEZA QUANDO ÚMIDA, PUNHO REFORÇADO NA BORDA, LUBRIFICADA COM PÓ BIOABSORVIVEL PELO ORGAN</t>
  </si>
  <si>
    <t>LUVA PARA PROCEDIMENTO NÃO CIRÚRGICO. LÁTEX DE BORRACHA NATURAL SEM PÓ . CARACTERÍSTICAS: TEXTURIZADA NA PONTA DOS DEDOS, AMBIDESTRA, NÃO ESTÉRIL, SEM PÓ, 100% LÁTEX. CAIXAS COM 100 UNIDADES. TAMANHO M. CAIXA COM 100 UNIDADES.</t>
  </si>
  <si>
    <t>LUVA PARA PROCEDIMENTO NÃO CIRÚRGICO. LÁTEX DE BORRACHA NATURAL SEM PÓ . CARACTERÍSTICAS: TEXTURIZADA NA PONTA DOS DEDOS, AMBIDESTRA, NÃO ESTÉRIL, SEM PÓ, 100% LÁTEX. CAIXAS COM 100 UNIDADES. TAMANHO P. CAIXA COM 100 UNIDADES</t>
  </si>
  <si>
    <t>LUVA PARA PROCEDIMENTO NÃO CIRÚRGICO. LÁTEX DE BORRACHA NATURAL SEM PÓ . CARACTERÍSTICAS: TEXTURIZADA NA PONTA DOS DEDOS, AMBIDESTRA, NÃO ESTÉRIL, SEM PÓ, 100% LÁTEX. CAIXAS COM 100 UNIDADES. TAMANHO G. CAIXA COM 100 UNIDADES.</t>
  </si>
  <si>
    <t>LÂMINA DE BISTURI N°11 (COMPRIMENTO: 43MM ALTURA: 6,5MM) AÇO CARBONO DESCARTÁVEL. CAIXA COM 100 UNIDADES</t>
  </si>
  <si>
    <t>LÂMINA DE BISTURI N°12 (COMPRIMENTO: 36MM ALTURA: 10MM) AÇO CARBONO DESCARTÁVEL. CAIXA COM 100 UNIDADES</t>
  </si>
  <si>
    <t>LÂMINA DE BISTURI N°15 (COMPRIMENTO: 40MM ALTURA: 4MM) AÇO CARBONO DESCARTÁVEL. CAIXA COM 100 UNIDADES</t>
  </si>
  <si>
    <t>LÂMINA DE BISTURI N°21 (COMPRIMENTO: 54MM ALTURA: 11MM) AÇO CARBONO DESCARTÁVEL. CAIXA COM 100 UNIDADES</t>
  </si>
  <si>
    <t xml:space="preserve">MINI INCUBADORA PARA INDICADORES BIOLÓGICOS BIVOLT (COMPATÍVEL COM O ITEM: INDICADOR BIOLÓGICO DO TIPO AUTO-CONTIDO). DESENVOLVIDA PARA A INCUBAÇÃO DE INDICADORES BIOLÓGICOS AUTOCONTIDOS COM RESPOSTAS EM 24 E 48 HORAS. POSSIBILITA A INCUBAÇÃO DE 4 INDICADORES </t>
  </si>
  <si>
    <t>MÁSCARA CIRÚRGICA DESCARTÁVEL TRIPLA COM ELÁSTICO C/50UN CARACTERÍSTICAS: DESENVOLVIDA PARA A PROTEÇÃO DO PROFISSIONAL DA SAÚDE CONTRA AS PATOLOGIAS DE TRANSMISSÃO AÉREA POR GOTÍCULAS E DA PROJEÇÃO DE FLUÍDOS CORPÓREOS QUE POSSAM ATINGIR SUAS VIAS RESPIRATÓRIA</t>
  </si>
  <si>
    <t>MÁSCARA DE PROTEÇÃO RESPIRATÓRIA 5 CAMADA RESPIRATÓRIA N95 OU PFF2 COR BRANCO A MÁSCARA PFF-2 N 95 SEM VÁLVULA É UM RESPIRADOR PURIFICADOR DE AR TIPO SEMIFACIAL DOBRÁVEL, FILTRANTE DE PARTÍCULAS PFF2 - COMPOSTO POR MULTICAMADAS DE NÃO TECIDO (ATÓXICOE HIPOALER</t>
  </si>
  <si>
    <t>SERINGA DESCARTÁVEL COM BICO LUER SLIP DE 10 ML SEM AGULHA CILINDRO: POLIPROPILENO INCOLOR COM ANEL DE RETENÇÃO; HASTE: POLIETILENO; PISTÃO: BORRACHA TERMOPLÁSTICA; LUBRIFICANTE: POLIDIMETILSILOXANO, CONCENTRAÇÃO ≥ 0,25 MG/CM2. CORPO TRANSPARENTE; PERMITE A VI</t>
  </si>
  <si>
    <t>SERINGA DESCARTÁVEL COM BICO LUER SLIP DE 1ML SEM AGULHA CILINDRO: POLIPROPILENO INCOLOR COM ANEL DE RETENÇÃO; HASTE: POLIETILENO; PISTÃO: BORRACHA TERMOPLÁSTICA; LUBRIFICANTE: POLIDIMETILSILOXANO, CONCENTRAÇÃO ≥ 0,25 MG/CM2. CORPO TRANSPARENTE; PERMITE A VISU</t>
  </si>
  <si>
    <t>SERINGA DESCARTÁVEL COM BICO LUER SLIP DE 20 ML SEM AGULHA. CILINDRO: POLIPROPILENO INCOLOR COM ANEL DE RETENÇÃO; HASTE: POLIETILENO; PISTÃO: BORRACHA TERMOPLÁSTICA; LUBRIFICANTE: POLIDIMETILSILOXANO, CONCENTRAÇÃO ≥ 0,25 MG/CM2. CORPO TRANSPARENTE; PERMITE A V</t>
  </si>
  <si>
    <t xml:space="preserve">SERINGA INSULINA 1ML 30G 5/16’’ (8 MM X 0,30 MM) COM AGULHA FIXA ULTRA FINA. AGULHA FIXA 30G COM 8MM DE COMPRIMENTO QUE REDUZ A PROFUNDIDADE DA APLICAÇÃO EM TECIDOS SUBCUTÂNEOS. CILINDRO FABRICADO EM POLIPROPILENO TRANSPARENTE QUE PERMITE A LEITURA PRECISA DO </t>
  </si>
  <si>
    <t>SERINGA PARA INSULINA - MATERIA-PRIMA: POLIPROPILENO; CAPACIDADE: 50 UI; BICO: MONOBLOCO OU CORPO UNICO; DIMENSAO AGULHA (C X D): 6 X 0,25 MM; GRADUACAO: 1 UI; ESTERIL: SIM</t>
  </si>
  <si>
    <t>SONDA FOLEY 3 VIAS 16FR 30CC LÁTEX SILICONIZADO; ORIFÍCIOS ADEQUADOS, EFICIENTES E BEM ACABADO, PONTA ATRAUMÁTICA; BALÃO RESISTENTE À ALTA PRESSÃO E DE FÁCIL INSUFLAÇÃO COM ORIFÍCIO DISTAL E DIÂMETRO INTERNO LISO, PROPORCIONANDO UMA DRENAGEM RÁPIDA E EFICIENTE</t>
  </si>
  <si>
    <t>SONDA FOLEY 3 VIAS 18FR 30CC LÁTEX SILICONIZADO; ORIFÍCIOS ADEQUADOS, EFICIENTES E BEM ACABADO, PONTA ATRAUMÁTICA; BALÃO RESISTENTE À ALTA PRESSÃO E DE FÁCIL INSUFLAÇÃO COM ORIFÍCIO DISTAL E DIÂMETRO INTERNO LISO, PROPORCIONANDO UMA DRENAGEM RÁPIDA E EFICIENTE</t>
  </si>
  <si>
    <t>TESTE RÁPIDO DE HCG (TESTE DE GRAVIDEZ) TESTE IMUNOCROMATOGRÁFICO DE ETAPA ÚNICA, PARA DETERMINAÇÃO QUALITATIVA DA GONADOTROFINA CORIÔNICA HUMANA (HCG), NA URINA E NO SORO. UTILIZA DOIS TIPOS DE ANTICORPOS QUE IDENTIFICAM A PRESENÇA DO HORMÔNIO HCG, COM SENSIB</t>
  </si>
  <si>
    <t>TOUCAS DESCARTÁVEIS EM TNT COM ELÁSTICO. INDICADA PARA USO HOSPITALAR. FABRICADA EM 100 % POLIPROPILENO POSSUI ELÁSTICO REVESTIDO, PROPORCIONANDO MELHOR VEDAÇÃO DURANTE SUA UTILIZAÇÃO. SOLDA POR ULTRASSOM. DISPONÍVEL APENAS NA COR BRANCA. TAMANHO: 45 X 52 CM.E</t>
  </si>
  <si>
    <t>TUBO PARA COLETA DE SANGUE A VÁCUO EDTA VOLUME 4 ML. DIÂMETRO: 13 MM X 75 MM CAIXA COM 100 UNIDADES</t>
  </si>
  <si>
    <t>TUBO PARA COLETA DE SANGUE A VÁCUO EDTA VOLUME 9ML. DIÂMETRO: 13 MM X 75 MM CAIXA COM 100 UNIDADES</t>
  </si>
  <si>
    <t>AGULHA HIPODÉRMICA DESCARTÁVEL, CORPO DE AÇO INOXIDÁVEL BISELADO, CANHÃO EM PLÁSTICO, PROVIDA DE PROTETOR, CALIBRE 25 X 0.8. CAIXA COM 100 UNIDADES</t>
  </si>
  <si>
    <t>AGULHA HIPODÉRMICA DESCARTÁVEL, CORPO DE AÇO INOXIDÁVEL BISELADO, CANHÃO EM PLÁSTICO, PROVIDA DE PROTETOR, CALIBRE 25 X 0.6. CAIXA COM 100 UNIDADES</t>
  </si>
  <si>
    <t xml:space="preserve">ESCOVA DE NYLON DE PONTA DUPLA PARA LIMPEZA INSTRUMENTAL PONTA DUPLA MULTIFUNCIONAL: DOIS TAMANHOS DIFERENTES PARA ATENDER INSTRUMENTOS VARIADOS. CERDAS EM NYLON MÉDICO: ALTA DENSIDADE PARA LIMPEZA PROFUNDA SEM DANIFICAR SUPERFÍCIES. CABOS ERGONÔMICOS: DESIGN </t>
  </si>
  <si>
    <t>ESCOVA PARA INSTRUMENTAL NYLON. ESCOVA PARA LIMPEZA DE INSTRUMENTAIS CIRÚRGICOS COM CERDAS EM NYLON MACIAS MEDINDO 38MM DE COMPRIMENTO E 12,7MM DE DIÂMETRO COM CABO PLÁSTICO EM FORMATO ANATÔMICO E COMPRIMENTO TOTAL DE 18,4CM.</t>
  </si>
  <si>
    <t>LANCETA DE SEGURANÇA 28G 0,36X1,5MM CONFECCIONADA EM AÇO INOXIDÁVEL, POSSUEM DESIGN ERGONÔMICO, PONTA TRIFACEADA E SILICONADA. INDICADAS PARA OBTER AMOSTRAS DE SANGUE QUE SÃO COLHIDAS NAS PONTAS DOS DEDOS. POSSUEM UM MECANISMO DE SEGURANÇA QUE DISPARA A AGULHA</t>
  </si>
  <si>
    <t>COMPRESSA CAMPO OPERATÓRIO ESTÉRIL RADIOPACO EMBALAGEM COM 5 UNIDADES (25X28CM) COMPRESSA CIRÚRGICA (CAMPO OPERATÓRIO) PRÉ-LAVADA ESTÉRIL É FEITA COM FIOS 100% ALGODÃO, EM TECIDO QUÁDRUPLO SOBREPOSTO TIPO TELA, COM PLACA RADIOPACA, CONTENDO 55 A 60% DE SULFATO</t>
  </si>
  <si>
    <t>FRASCO PARA COLETA E MENSURAÇÃO DE SECREÇÃO (GÁSTRICAS, BILIARES, SALIVARES) E URINA. CARACTERÍSTICAS GERAIS COMPOSIÇÃO BÁSICA - FRASCO EM PE DE 1200ML GRADUADA COM ESCALA DE 100ML. - TUBO EXTENSOR EM PVC COM RETENTOR GOTEJADOR NA EXTREMIDADE DISTAL E ADAPTADO</t>
  </si>
  <si>
    <t xml:space="preserve">SONDA URETRAL CALIBRE Nº 06 FR - PACOTE COM 10 UNIDADES COMPOSIÇÃO: CONECTOR EM PVC (POLI CLORETO DE VINILA). TAMPA FLEXÍVEL, POSSIBILITANDO A VEDAÇÃO DA SONDA URETRAL. TUBO DE PVC (POLI CLORETO DE VINILA) ATÓXICO, SILICONIZADO, EM FORMA CILÍNDRICA, INTEIRIÇA </t>
  </si>
  <si>
    <t xml:space="preserve">SONDA URETRAL CALIBRE Nº 08 FR - PACOTE COM 10 UNIDADES COMPOSIÇÃO: CONECTOR EM PVC (POLI CLORETO DE VINILA). TAMPA FLEXÍVEL, POSSIBILITANDO A VEDAÇÃO DA SONDA URETRAL. TUBO DE PVC (POLI CLORETO DE VINILA) ATÓXICO, SILICONIZADO, EM FORMA CILÍNDRICA, INTEIRIÇA </t>
  </si>
  <si>
    <t xml:space="preserve">SONDA URETRAL CALIBRE Nº 10 FR - PACOTE COM 10 UNIDADES COMPOSIÇÃO: CONECTOR EM PVC (POLI CLORETO DE VINILA). TAMPA FLEXÍVEL, POSSIBILITANDO A VEDAÇÃO DA SONDA URETRAL. TUBO DE PVC (POLI CLORETO DE VINILA) ATÓXICO, SILICONIZADO, EM FORMA CILÍNDRICA, INTEIRIÇA </t>
  </si>
  <si>
    <t xml:space="preserve">SONDA URETRAL CALIBRE Nº 12 FR - PACOTE COM 10 UNIDADES COMPOSIÇÃO: CONECTOR EM PVC (POLI CLORETO DE VINILA). TAMPA FLEXÍVEL, POSSIBILITANDO A VEDAÇÃO DA SONDA URETRAL. TUBO DE PVC (POLI CLORETO DE VINILA) ATÓXICO, SILICONIZADO, EM FORMA CILÍNDRICA, INTEIRIÇA </t>
  </si>
  <si>
    <t>AVENTAL EM PVC AMARELO FRONTAL FORRADO, COM TIRAS NA CINTURA E PESCOÇO, DE SEGURANÇA, IMPERMEÁVEL A LÍQUIDOS NÃO CORROSIVOS. NAS SEGUINTES DIMENSÕES: COMPRIMENTO TOTAL APROXIMADO 120CM E LARGURA TOTAL 70CM. TAMANHO ÚNICO. APROVADO PARA PROTEÇÃO DO USUÁRIO CONT</t>
  </si>
  <si>
    <t>LUVA CIRURGICA ESTÉRIL Nº 8.5</t>
  </si>
  <si>
    <t>LUVA DE SEGURANÇA EM PVC COM SUPORTE TÊXTIL PROTEÇÃO MECÂNICA, TÉRMICA E QUÍMICA; PROTEÇÃO MECÂNICA, TÉRMICA E QUÍMICA; REUTILIZÁVEL E COM BOA FLEXIBILIDADE, CONFECCIONADA EM SUPORTE TÊXTIL DE FIBRAS NATURAIS (ALGODÃO) E/OU SINTÉTICAS COM CAPACIDADE DE ABSORÇÃ</t>
  </si>
  <si>
    <t>LUVA PLÁSTICA DESCARTÁVEL LUVA PLÁSTICA DESCARTÁVEL EM POLIETILENO DE ALTA DENSIDADE, COM ESPESSURA DE 0,02 MICRA, INDIVIDUAL, ESTÉRIL, AMBIDESTRA, TRANSPARENTE. TAMANHO ÚNICO. EMBALADAS EM PACOTES COM 100 UNIDADES.</t>
  </si>
  <si>
    <t>LUVA PVC P/ AGUA ESPECIFICAÇÃO TAMANHO PUNHO LONGO CARACTERISTICAS ADICIONAIS PALMA LISA COR VERDE TIPO USO TRATAMENTO FITOSSANITÁRIO, ETC</t>
  </si>
  <si>
    <t>MÁSCARA N95 PFF2</t>
  </si>
  <si>
    <t>TOUCA TOUCA PROTETORA CAPILAR DE MATERIAL POLIAMIDA, SEMI-DESCARTÁVEL TIPO REDE, LAVÁVEL, DE TAMANHO ÚNICO COM DIMENSÕES E PADRÕES INTERNACIONAIS. COM ELÁSTICO APROPRIADO, CONFORTÁVEL E SIMPLES. CORES: BRANCA E PRETA. TAMANHO ÚNICO. OS PRODUTOS DEVERÃO SER ENT</t>
  </si>
  <si>
    <t>TOUCA ÁRABE (CAPUZ DE SEGURANÇA) CONFECCIONADO EM BRIM, COMPRIMENTO 30 CM, PROTEÇÃO NA TESTA E NUCA.. CORES DIVERSA</t>
  </si>
  <si>
    <t>TOUCA BRANCA CONFECCIONADA COM ABA EM BRIM E CABEÇA EM TELA COM ELÁSTICO</t>
  </si>
  <si>
    <t>TOUCA DESCARTAVEL C/ ELASTICO PCT C/ 100 UN TOUCA PROTETORA CAPILAR, SANFONADA, DE COR BRANCA, COM ELÁSTICO DUPLO DE ALTA QUALIDADE SOLDADO EM TODA A VOLTA, OFERENCENDO RESISTÊNCIA E CONFORTO PARA USO PROLONGADO. CONFECCIONADA EM TNT DE ESTRUTURA FLEXÍVEL, PLA</t>
  </si>
  <si>
    <t>GAZE 9 FIOS, NÃO ESTÉRIL, 100% ALGODÃOGaze 9 fios, não estéril, 100% algodão, pacote com 2.500 unidades. Produto novo, íntegro e adequado ao uso médico-veterinário, com características compatíveis com a finalidade indicada, embalagem íntegra e, quando aplicáve</t>
  </si>
  <si>
    <t>SERINGA DESCARTÁVEL DE 5 ML, SEM AGULHA.Seringa descartável de 5 ml, sem agulha. Caixa com 100 seringas. Produto novo, íntegro e adequado ao uso médico-veterinário, com características compatíveis com a finalidade indicada, embalagem íntegra e, quando aplicáve</t>
  </si>
  <si>
    <t>SERINGA DESCARTÁVEL DE 10 MLSeringa descartável de 10 ml, sem agulha. Caixa com 100 seringas. Produto novo, íntegro e adequado ao uso médico-veterinário, com características compatíveis com a finalidade indicada, embalagem íntegra e, quando aplicável, esterili</t>
  </si>
  <si>
    <t>SERINGA DESCARTÁVEL DE 20 ML, SEM AGULHASeringa descartável de 20 ml, sem agulha. Caixa com 50 seringas. Produto novo, íntegro e adequado ao uso médico-veterinário, com características compatíveis com a finalidade indicada, embalagem íntegra e, quando aplicáve</t>
  </si>
  <si>
    <t>LÂMINA DE BISTURI Nº 14 CAIXA COM 100 LÂMINASLâmina de bisturi nº 14, caixa com 100 lâminas. Produto novo, íntegro e adequado ao uso médico-veterinário, com características compatíveis com a finalidade indicada, embalagem íntegra e, quando aplicável, esterilid</t>
  </si>
  <si>
    <t>KIT DE CIRURGIA PARA GRANDES ANIMAIS"Kit de Cirurgia para Grandes Animais com 44 peças, com estojo para armazenamento. Peças em aço inoxidável de alta qualidade para durabilidade e resistência. Composição mínima de instrumentos necessários, aceitando equivalên</t>
  </si>
  <si>
    <t>SACO PARA LIXO INFECTANTE GRUPO A"Saco para lixo infectante (Grupo A - Resíduos de Serviços de Saúde). Capacidade nominal: 200 litros. Cor: Branco leitoso (com opacidade adequada para ocultar o conteúdo). Material: Polietileno de alta densidade (PEAD) ou baixa</t>
  </si>
  <si>
    <t>RECIPIENTE COLETOR PARA RESÍDUOS"Recipiente coletor para resíduos de serviços de saúde perfurocortantes e infectantes (Grupo E), em papelão ondulado, capacidade nominal de 7 (sete) litros. Composição: Confeccionado em papelão ondulado estruturado de alta densi</t>
  </si>
  <si>
    <t>LUVA PVC LIMPEZA TAMANHOS P, M E GLuva PVC limpeza tamanhos P, M e G- (tamanho a ser escolhido na solicitação do pedido) - confeccionada em pvc na cor amarelo resistente, com certificado de aprovação (ca) totalmente impermeável, cano longo, cobrindo até o ante</t>
  </si>
  <si>
    <t>AGULHA GENGIVAL EXTRA CURTA - AGULHA GENGIVAL EXTRA CURTA 30G 0,30MMX15MM CX C100 UND</t>
  </si>
  <si>
    <t>AGULHA GENGIVAL LONGA - AGULHA GENGIVAL LONGA 27G 0,30MMX15MM CX C100</t>
  </si>
  <si>
    <t>CABO PARA BISTURI N.º 3 INOX 13CM PAR LÂMINA N.º 10 A 17 - CABO PARA BISTURI N.º 3 INOX 13CM PAR LÂMINA N.º 10 A 17</t>
  </si>
  <si>
    <t>COLETOR ESTÉRIL UNIVERSAL 50ML. PACOTE C100 UND - COLETOR ESTÉRIL UNIVERSAL 50ML. PACOTE C100 UND</t>
  </si>
  <si>
    <t>FIO DE SUTURA AGULHADO COM AGULHA PARA SUTURA ODONTOLÓGICA - FIO DE SUTURA AGULHADO COM AGULHA PARA SUTURA ODONTOLÓGICA EM AÇO INÓX COM FIO EM NAYLON DIÂMETRO 3-0, TRANÇADA-CLASSE II DE 45 CM DE COMPRIMENTO SEÇÃO DA AGULHA: MT12 CIRC. TRG. 1,7CM - CX C24</t>
  </si>
  <si>
    <t>FIO DE SUTURA AGULHADO COM AGULHA PARA SUTURA ODONTOLÓGICA FIO EM SEDA - FIO DE SUTURA AGULHADO COM AGULHA PARA SUTURA ODONTOLÓGICA EM AÇO INÓX COM FIO EM SEDA DIÂMETRO 3-0, FIO EM SEDA TRANÇADA-CLASSE II DE 45 CM DE COMPRIMENTO SEÇÃO DA AGULHA: MT12 CIRC. TRG</t>
  </si>
  <si>
    <t>LÂMINA DE BISTURI Nº 15 C100 - LÂMINA DE BISTURI Nº 15 C100</t>
  </si>
  <si>
    <t>LUVA CIRURGICA ESTÉRIL N° 6 - LUVA CIRURGICA ESTÉRIL N° 6 LEVEMENTE TALCADA, HIPOALERGENICA, ESTERILIZADA POR RAIO GAMA, BAINHA REFORÇADO, EMBALAGEM EM PAPEL GRAU CIRÚRGICO, EMBALADA EM WALLET, COM INDICAÇÃO DE MÃO DIREITA E ESQUERDA.</t>
  </si>
  <si>
    <t>LUVA CIRURGICA ESTÉRIL N° 7,5 - LUVA CIRURGICA ESTÉRIL N° 7,5 LEVEMENTE TALCADA, HIPOALERGENICA, ESTERILIZADA POR RAIO GAMA, BAINHA REFORÇADO, EMBALAGEM EM PAPEL GRAU CIRÚRGICO, EMBALADA EM WALLET, COM INDICAÇÃO DE MÃO DIREITA E ESQUERDA.</t>
  </si>
  <si>
    <t>LUVAS NITRÍLICAS PARA PROCEDIMENTOS NÃO CIRÚRGICO TAM P - LUVAS NITRÍLICAS PARAPROCEDIMENTOS NÃO CIRÚRGICO, SEMPÓ, DESCARTÁVEIS, ISENTA DE LATÉXCAIXA C100 TAMANHO P</t>
  </si>
  <si>
    <t>LUVAS NITRÍLICAS PARA PROCEDIMENTOS NÃO CIRÚRGICO TAM M - LUVAS NITRÍLICAS PARAPROCEDIMENTOS NÃO CIRÚRGICO, SEMPÓ, DESCARTÁVEIS, ISENTA DE LATÉXCAIXA C100 TAMANHO M</t>
  </si>
  <si>
    <t>LUVAS NITRÍLICAS PARA PROCEDIMENTOS NÃO CIRÚRGICO TAM G - LUVAS NITRÍLICAS PARAPROCEDIMENTOS NÃO CIRÚRGICO, SEMPÓ, DESCARTÁVEIS, ISENTA DE LATÉXCAIXA C100 TAMANHO G</t>
  </si>
  <si>
    <t>LUVAS DE LATEX DESCARTÁVEIS TAM. M - LUVAS DE LATEX DESCARTÁVEIS TAM. M - INDICADO PARA PROCEDIMENTOS NÃO CIRÚRGICOS, COMO ATIVIDADES EM CONSULTÓRIOS E CLÍNICAS ODONTOLÓGICAS E HOSPITALARES, ONDE HÁ A NECESSIDADE DE PROTEÇÃO DAS MÃOS CONTRA AGENTES BIOLÓGICOS;</t>
  </si>
  <si>
    <t>LUVAS DE LATEX DESCARTÁVEIS TAM. P - LUVAS DE LATEX DESCARTÁVEIS TAM. P - INDICADO PARA PROCEDIMENTOS NÃO CIRÚRGICOS, COMO ATIVIDADES EM CONSULTÓRIOS E CLÍNICAS ODONTOLÓGICAS E HOSPITALARES, ONDE HÁ A NECESSIDADE DE PROTEÇÃO DAS MÃOS CONTRA AGENTES BIOLÓGICOS;</t>
  </si>
  <si>
    <t>PAPEL GRAU CIRURGICO ROLO DE 100MMX100M - PAPEL GRAU CIRURGICO ROLO DE 100MMX100M</t>
  </si>
  <si>
    <t>PAPEL GRAU CIRURGICO ROLO DE 150MMX100M - PAPEL GRAU CIRURGICO ROLO DE 150MMX100M</t>
  </si>
  <si>
    <t>PAPEL GRAU CIRÚRGICO ROLO DE 250MM100M - PAPEL GRAU CIRÚRGICO ROLO DE 250MM100M</t>
  </si>
  <si>
    <t>PAPEL GRAU CIRURGICO ROLO DE 50MMX100M - PAPEL GRAU CIRURGICO ROLO DE 50MMX100M</t>
  </si>
  <si>
    <t>SERINGA 5ML COM AGULHA 25X0,7; BICO LUER SLIP; HIPODÉRMICA ESTÉRIL DE USO ÚNICO. CX C100 UND - SERINGA 5ML COM AGULHA 25X0,7; BICO LUER SLIP; HIPODÉRMICA ESTÉRIL DE USO ÚNICO. CX C100 UND</t>
  </si>
  <si>
    <t>TOUCAS DESCARTAVEIS SANFONADAS E COM ELÁSTICO - TOUCAS DESCARTAVEIS SANFONADAS E COM ELÁSTICO; GRAMATURA 20; COR BRANCA; PRODUZIDAS A PARTIR DE POLIPROPILENOTECIDO NÃO TECIDO TNT. C100 UND</t>
  </si>
  <si>
    <t>ENVELOPE AUTOSSELANTE PARA ESTERILIZAÇÃO, dimensões aproximadas de 9 cm x 26 cm, confeccionado em papel grau cirúrgico e filme plástico transparente apropriado para esterilização, com fechamento autosselante, indicador químico de processo e identificação que p</t>
  </si>
  <si>
    <t>SUGADOR ODONTOLÓGICO DESCARTÁVEL DE SALIVA, confeccionado em material atóxico e flexível, com fio interno que permita manutenção da curvatura durante o uso, ponta macia e não traumática, indicado para aspiração de saliva durante procedimentos odontológicos. Em</t>
  </si>
  <si>
    <t>AGULHA GENGIVAL ODONTOLÓGICA DESCARTÁVEL CURTA, estéril, de uso único, indicada para administração de anestésico odontológico, confeccionada em aço inoxidável, com bisel adequado e dispositivo de acoplamento compatível com seringa carpule. Comprimento na faixa</t>
  </si>
  <si>
    <t>AGULHA GENGIVAL ODONTOLÓGICA DESCARTÁVEL LONGA, estéril, de uso único, indicada para administração de anestésico odontológico, confeccionada em aço inoxidável, com bisel adequado e dispositivo de acoplamento compatível com seringa carpule. Comprimento na faixa</t>
  </si>
  <si>
    <t>AGULHAS PARA COLETA DE SANGUE À VÁCUO COR PRETA 25X 7 ; CAIXA COM 100 UNIDADES;</t>
  </si>
  <si>
    <t>AGULHAS PARA COLETA DE SANGUE À VÁCUO COR VERDE 25X 8 CAIXA COM 100 UNIDADES.</t>
  </si>
  <si>
    <t>COLETOR DE URINA INFANTIL UNISSEX PACOTE COM 100 UNIDADES</t>
  </si>
  <si>
    <t>COLETOR DE URINA UNIVERSAL 50 ML PACOTE COM 100 UNIDADES</t>
  </si>
  <si>
    <t>GARROTE - DE TECIDO AZUL COM TRAVA. CONFECCIONADO EM TECIDO ELÁSTICO E TRAVA DE SEGURANÇA DE PLÁSTICO.</t>
  </si>
  <si>
    <t>SACO BRANCO LEITOSO PARA RESÍDUO INFECTANTE 50 LITROS. Pacotes com 100 unidades.</t>
  </si>
  <si>
    <t>TUBO A VÁCUO COM EDTA TAMPA ROXA - TUBO À VÁCUO PARA COLETA DE SANGUE COM EDTA – 4 ML. CAIXA COM 100 TUBOS</t>
  </si>
  <si>
    <t>Agulha hipodérmica, 13X4,5, corpo em aço inox, siliconizado, bisel curto tri facetado, conector em plástico luer, protetor plástico, estéril, descartável, embalagem individual, caixa com 100 unidades</t>
  </si>
  <si>
    <t>Agulha hipodérmica, 25X07, corpo em aço inox, siliconizado, bisel curto tri facetado, conector em plástico luer, protetor plástico, estéril, descartável, embalagem individual, caixa com 100 unidades</t>
  </si>
  <si>
    <t>Agulha hipodérmica, 25X08, corpo em aço inox, siliconizado, bisel curto tri facetado, conector em plástico luer, protetor plástico, estéril, descartável, embalagem individual, caixa com 100 unidades</t>
  </si>
  <si>
    <t>Agulha hipodérmica, 30X07, corpo em aço inox, siliconizado, bisel curto tri facetado, conector em plástico luer, protetor plástico, estéril, descartável, embalagem individual, caixa com 100 unidades</t>
  </si>
  <si>
    <t>Agulha hipodérmica, 30X08, corpo em aço inox, siliconizado, bisel curto tri facetado, conector em plástico luer, protetor plástico, estéril, descartável, embalagem individual, caixa com 100 unidades</t>
  </si>
  <si>
    <t>Agulha hipodérmica, 40X12, corpo em aço inox, siliconizado, bisel curto tri facetado, conector em plástico luer, protetor plástico, estéril, descartável, embalagem individual, caixa com 100 unidades</t>
  </si>
  <si>
    <t>Campo cirúrgico simples, material 100% algodão, gramatura 250G/M2, dimensão cerca de 50cmx 50cm</t>
  </si>
  <si>
    <t>Campo cirúrgico simples, material 100% algodão, gramatura 250G/M2, dimensão cerca de 75cmX75cm</t>
  </si>
  <si>
    <t>Campo cirúrgico simples, material 100% algodão, gramatura 250G/M2, dimensão cerca de 90cm X 90cm</t>
  </si>
  <si>
    <t>Campo cirúrgico tipo fenestrado, material 100% algodão, dimensão cerca de 50cmX50cm</t>
  </si>
  <si>
    <t>Campo cirúrgico tipo fenestrado, material 100% algodão, dimensão cerca de 75cmX75cm</t>
  </si>
  <si>
    <t>Campo cirúrgico tipo fenestrado, material 100% algodão, dimensão cerca de 90cm X 90cm</t>
  </si>
  <si>
    <t>Catéter de aspiração traqueal, pvc atóxico flexível, descartável, ponta atraumática , orifícios distais lateralizados, estéril, embalagem individual, número 12, pacote com 10 unidades</t>
  </si>
  <si>
    <t>Catéter de aspiração traqueal, pvc atóxico flexível, descartável, ponta atraumática , orifícios distais lateralizados, estéril, embalagem individual, número 14, pacote com 10 unidades</t>
  </si>
  <si>
    <t>Catéter de aspiração traqueal, pvc atóxico flexível, descartável, ponta atraumática , orifícios distais lateralizados, estéril, embalagem individual, número 16, pacote com 10 unidades</t>
  </si>
  <si>
    <t>Cateter intravenoso, aço inoxidável, 22 G, periférico, com asa de fixação, tubo extensor siliconizado, descartável, estéril, embalagem abertura asséptica, dispositivo segurança, agulha reencape automático com 100 unidades</t>
  </si>
  <si>
    <t>Cateter intravenoso, aço inoxidável, 24 G, periférico, com asa de fixação, tubo extensor siliconizado, descartável, estéril, embalagem abertura asséptica, dispositivo segurança, agulha reencape automático com 100 unidades</t>
  </si>
  <si>
    <t>Catéter intravenoso, vialon ou poliuretano calibre n°18 G, periférico, siliconizado, câmara refluxo, tampa protetora, descartável, estéril, radiopaco, AG, aço inox bisel curto, trifacetado com 100 unidades</t>
  </si>
  <si>
    <t>Catéter intravenoso, vialon ou poliuretano calibre n°20 G, periférico, siliconizado, câmara refluxo, tampa protetora, descartável, estéril, radiopaco, AG, aço inox bisel curto, trifacetado com 100 unidades</t>
  </si>
  <si>
    <t>Catéter intravenoso, vialon ou poliuretano calibre n°22 G, periférico, siliconizado, câmara refluxo, tampa protetora, descartável, estéril, radiopaco, AG, aço inox bisel curto, trifacetado com 100 unidades</t>
  </si>
  <si>
    <t>Catéter intravenoso, vialon ou poliuretano calibre n°24 G, periférico, siliconizado, câmara refluxo, tampa protetora, descartável, estéril, radiopaco, AG, aço inox bisel curto, trifacetado com 100 unidades</t>
  </si>
  <si>
    <t>Coletor urina, bolsa em PVC transparente, sistema aberto, graduação de 100 a 2000ml, tubo pvc maleável 1,20m aproximados, descartável com bolsa coletora</t>
  </si>
  <si>
    <t>Comadre hospitalar em aço inoxidável 2500ml, tamanho adulto, padrão mundial, tipo pá, com alça</t>
  </si>
  <si>
    <t>Comadre hospitalar em aço inoxidável 3500ml, tamanho adulto, padrão mundial, tipo pá, com alça</t>
  </si>
  <si>
    <t>Comadre hospitalar em plástico resistente, polipropileno 2000ml, tamanho adulto padrão mundial tipo pá, com cabo</t>
  </si>
  <si>
    <t>Conector T para Circuito de Ventilação Mecânica – 22x22x22mm externo/15x15x15mm interno - 26x22x22mm externo/22x15x15mm interno – 26x26x22mm externo/ 22x22x15mm interno</t>
  </si>
  <si>
    <t>Conjunto nebulização, máscara e tubo extensor, adulto, 150cm, máscara com ajuste anatômico e atóxica, transparente</t>
  </si>
  <si>
    <t>Conjunto nebulização, máscara e tubo extensor, infantil, 150cm, máscara com ajuste anatômico e atóxica, transparente</t>
  </si>
  <si>
    <t>Copo umidificador para oxigênio</t>
  </si>
  <si>
    <t>Curativo de alginato, alginato de cálcio, alta absorção, 10cmx10cm, placa com marcação para corte, estéril</t>
  </si>
  <si>
    <t>Curativo de alginato, alginato de cálcio e sódio, alta absorção, 10cmx10cm, placa com marcação para corte, estéril</t>
  </si>
  <si>
    <t>Curativo de hidrocoloide transparente composto por carboximetilulose sódica, elastômero artificial 10x10cm</t>
  </si>
  <si>
    <t>Esparadrapo impermeável com capa 10cmX4,5m.</t>
  </si>
  <si>
    <t>Esparadrapo nude</t>
  </si>
  <si>
    <t>Extensão silicone, para oxigenoterapia, 2m, superfície lisa, conexão para adaptação nas duas pontas</t>
  </si>
  <si>
    <t>Fio de sutura, nylon monofilamento, 2-0, preto, 45cm, com agulha, 3/8 círculo cortante, 2,0cm, estéril com 24 unidades</t>
  </si>
  <si>
    <t>Fio de sutura, nylon monofilamento, 3-0, preto, 45cm, com agulha, 3/8 círculo cortante, 2,0cm, estéril com 24 unidades</t>
  </si>
  <si>
    <t>Fio de sutura, nylon monofilamento, 4-0, preto, 45cm, com agulha, 3/8 círculo cortante, 2,0cm, estéril com 24 unidades</t>
  </si>
  <si>
    <t>Fio de sutura, nylon monofilamento, 5-0, preto, 45cm, com agulha, 3/8 círculo cortante, 2,0cm, estéril com 24 unidades</t>
  </si>
  <si>
    <t>Fio de sutura, nylon monofilamento, 6-0, preto, 45cm, com agulha, 3/8 círculo cortante, 2,0cm, estéril com 24 unidades</t>
  </si>
  <si>
    <t>Fita para autoclave 19mmx50m - confeccionada com dorso de papel crepe a base de celulose, recebendo em uma das faces massa adesiva à base de borracha natural e resinas, e na outra face um fino acabamento com impermeabilizante de resina acrílica, verniz e reage</t>
  </si>
  <si>
    <t>Garrote, material borracha natural látex, tamanho único, tipo reutilizável</t>
  </si>
  <si>
    <t>Garrote, material faixa elástica, componente adicional com sistema de trava em plástico, tamanho adulto, tipo uso reutilizável</t>
  </si>
  <si>
    <t>Garrote, material faixa elástica, componente adicional com sistema de trava em plástico, tamanho infantil, tipo uso reutilizável</t>
  </si>
  <si>
    <t>Gel condutor - tem polaridade definida (positiva). - pode ser utilizado no procedimento de iontoforese. - é desenvolvido com 9 princípios ativos: algas marinhas, arnica montana, erva-mate, hedera helix, centella asiática, castanhada-índia, cavalinha, hamamelis</t>
  </si>
  <si>
    <t>Lâmina de bisturi, aço carbono, n°10, descartável, estéril, embalada individualmente com 100 unidades</t>
  </si>
  <si>
    <t>Lâmina de bisturi, aço carbono, n°11, descartável, estéril, embalada individualmente com 100 unidades</t>
  </si>
  <si>
    <t>Lâmina de bisturi, aço carbono, n°12, descartável, estéril, embalada individualmente com 100 unidades</t>
  </si>
  <si>
    <t>Lâmina de bisturi, aço carbono, n°15, descartável, estéril, embalada individualmente com 100 unidades</t>
  </si>
  <si>
    <t>Lâmina de bisturi, aço carbono, n°20, descartável, estéril, embalada individualmente com 100 unidades</t>
  </si>
  <si>
    <t>Lâmina de bisturi, aço carbono, n°21, descartável, estéril, embalada individualmente com 100 unidades</t>
  </si>
  <si>
    <t>Lâmina de bisturi, aço carbono, n°22, descartável, estéril, embalada individualmente com 100 unidades</t>
  </si>
  <si>
    <t>Lâmina de bisturi, aço carbono, n°23, descartável, estéril, embalada individualmente com 100 unidades</t>
  </si>
  <si>
    <t>Lâmina de bisturi, aço carbono, n°24, descartável, estéril, embalada individualmente com 100 unidades</t>
  </si>
  <si>
    <t>Lanceta descartável estéril para coleta de sangue capilar, calibre aproximado 28G (0,36 mm), confeccionada em aço inoxidável siliconizado, ponta trifacetada de alta precisão, com tampa protetora de segurança. Compatível com o lancetador fornecido. Produto de u</t>
  </si>
  <si>
    <t>Lancetador para punção capilar, de uso individual, com mecanismo de disparo seguro, ajuste de profundidade para diferentes tipos de pele, sistema ergonômico de fácil manuseio e compatível com lancetas descartáveis universalmente aceitas pelo fabricante. Deve p</t>
  </si>
  <si>
    <t>Lençol descartável confeccionado em TNT de alta resistência, macio, atóxico e hipoalergênico, indicado para proteção de macas e superfícies de atendimento. Rolo com aproximadamente 0,70 m de largura por 50 m de comprimento.</t>
  </si>
  <si>
    <t xml:space="preserve">Lençol hospitalar confeccionado em tecido 100% algodão ou composição equivalente de alta resistência, macio, durável, adequado para utilização em macas, consultórios, ambulatórios e unidades de saúde. Cor clara, resistente a processos de lavagem e desinfecção </t>
  </si>
  <si>
    <t>Lençol para maca confeccionado em tecido 100% algodão ou composição equivalente, resistente ao uso hospitalar, com elástico perimetral, adequado para colchões com dimensões aproximadas de 188 x 88 x 12 cm.</t>
  </si>
  <si>
    <t>Lençol para maca confeccionado em tecido 100% algodão ou composição superior de qualidade equivalente, resistente a lavagens e processos de desinfecção, com elástico em toda a borda para melhor fixação. Dimensões aproximadas de 0,70 x 1,90 m.</t>
  </si>
  <si>
    <t>Luva cirúrgica estéril, tamanho 7,0, confeccionada em látex natural ou material sintético equivalente, anatômica, com formato que proporcione ajuste adequado às mãos, superfície microtexturizada, punho longo com bainha reforçada. Esterilizada por processo reco</t>
  </si>
  <si>
    <t>Luva cirúrgica estéril, tamanho 7,5, confeccionada em látex natural ou material sintético equivalente, anatômica, com formato que proporcione ajuste adequado às mãos, superfície microtexturizada, punho longo com bainha reforçada. Esterilizada por processo reco</t>
  </si>
  <si>
    <t>Luva cirúrgica estéril, tamanho 8,0, confeccionada em látex natural ou material sintético equivalente, anatômica, com formato que proporcione ajuste adequado às mãos, superfície microtexturizada, punho longo com bainha reforçada. Esterilizada por processo reco</t>
  </si>
  <si>
    <t>Luva para procedimento não cirúrgico, tamanho G, confeccionada em policloreto de vinila (PVC), livre de látex natural e isenta de pó bioabsorvível, ambidestra, de uso único, superfície lisa, não estéril, atóxica, proporcionando proteção ao usuário durante proc</t>
  </si>
  <si>
    <t>Luva para procedimento não cirúrgico, tamanho M, confeccionada em policloreto de vinila (PVC), livre de látex natural e isenta de pó bioabsorvível, ambidestra, de uso único, superfície lisa, não estéril, atóxica, proporcionando proteção ao usuário durante proc</t>
  </si>
  <si>
    <t>Luva para procedimento não cirúrgico, tamanho P, confeccionada em policloreto de vinila (PVC), livre de látex natural e isenta de pó bioabsorvível, ambidestra, de uso único, superfície lisa, não estéril, atóxica, proporcionando proteção ao usuário durante proc</t>
  </si>
  <si>
    <t>Máscara de oxigênio, silicone de Alta Concentração Tubulação de oxigênio, bolsa reservatório, tamanho adulto</t>
  </si>
  <si>
    <t>Máscara de oxigênio, silicone de Alta Concentração Tubulação de oxigênio, bolsa reservatório, tamanho infantil</t>
  </si>
  <si>
    <t>Máscara laríngea em pvc, n°1</t>
  </si>
  <si>
    <t>Máscara laríngea em pvc, n°1,5</t>
  </si>
  <si>
    <t>Máscara laríngea em pvc, n°2</t>
  </si>
  <si>
    <t>Máscara laríngea em pvc, n°2,5</t>
  </si>
  <si>
    <t>Máscara laríngea em pvc, n°3</t>
  </si>
  <si>
    <t>Máscara laríngea em pvc, n°4</t>
  </si>
  <si>
    <t>Máscara laríngea em pvc, n°5</t>
  </si>
  <si>
    <t>Papel grau cirúrgico 15cm, 100m, com filme</t>
  </si>
  <si>
    <t>Papel grau cirúrgico 30cm, 100m, com filme</t>
  </si>
  <si>
    <t>Papel grau cirúrgico 60cm, 100m, com filme</t>
  </si>
  <si>
    <t>Papel lençol 70 cm x50cm 100% celulose virgem tipo i</t>
  </si>
  <si>
    <t>Seladora manual para papel grau cirúrgico com solda de 13mm conforme do Sistema Operacional, padro~es exigidos pela ANVISA, 127V, seladora resistente, com controle de temperatura</t>
  </si>
  <si>
    <t>Seringa para nutrição oral/Enteral 60ML: • Seringa para alimentação oral ou enteral de uso único, atóxica, apirogênica, esterilizadas a óxido de etileno. • Bico com desenho especial para prevenir erros na rotina hospitalar. • Cilindro transparente e siliconiza</t>
  </si>
  <si>
    <t>Seringa Polipropileno transparente, 10ml, bico luer slip, êmbolo com ponteira de borracha siliconizada, graduada de 0,2 em 0,2ml, numerada de 1 em 1ml, sem agulha, descartável, estéril, graduação legível e firme, caixa com 100 unidades</t>
  </si>
  <si>
    <t>Seringa Polipropileno transparente, 1ml (escala em ui), bico central simples ou luer look, êmbolo com rolha borracha, impressão legível e permanente, graduação máxima 0,2 em 0,2ml, numerada, com agulha 13 x 0,45mm, bisel tri facetado, protetor plástico, descar</t>
  </si>
  <si>
    <t>Seringa Polipropileno transparente, 1ml (escala em ui), êmbolo com rolha borracha, impressão legível e permanente, graduação máxima 0,2 em 0,2ml, numerada, com agulha 8 x 0,3mm, bisel tri facetado, protetor plástico, descartável, estéril, caixa com 100 unidade</t>
  </si>
  <si>
    <t>Seringa Polipropileno transparente, 20ml bico luer slip, êmbolo com ponteira de borracha siliconizada, graduada de 1 em 1ml, numerada de 5 em 5ml, sem agulha, descartável, estéril, graduação legível e firme, caixa com 100 unidades</t>
  </si>
  <si>
    <t>Seringa Polipropileno transparente, 3ml bico luer look, êmbolo com ponteira de borracha siliconizada, graduada de 0,1 em 0,1ml, numerada de 0,5 em 0,5ml, sem agulha, descartável, estéril, graduação legível e firme, caixa com 100 unidades com rosca</t>
  </si>
  <si>
    <t>Seringa Polipropileno transparente, 5ml, bico luer look, êmbolo com ponteira de borracha siliconizada, graduada de 0,2 em 0,2ml, numerada de 1 em 1 ml, sem agulha, descartável, estéril, graduação legível e firme, caixa com 100 unidades com rosca</t>
  </si>
  <si>
    <t>Seringa Polipropileno transparente, 5ml bico simples, êmbolo com ponteira de borracha siliconizada, graduada de 0,2 em 0,2ml, numerada de 1 em 1ml, com agulha 21Gx1, descartável, estéril, graduação legível e firme, caixa com 100 unidades sem rosca</t>
  </si>
  <si>
    <t>Sonda nasoenteral, número 12, com guia espiral, pré-lubrificada, injetor lateral em silicone, marcas identificação, descartável, estéril, embalagem individual (MS).</t>
  </si>
  <si>
    <t>Sonda Nasogástrica, PVC, Levine longa, com orifício lateral, conector com tampa presa ao tubo, número 10, atóxica, atraumática, estéril e descartável, siliconizada, comprimento cerca de 120cm, embalagem individual (MS)</t>
  </si>
  <si>
    <t>Sonda Nasogástrica, PVC, Levine longa, com orifício lateral, conector com tampa presa ao tubo, número 12, atóxica, atraumática, estéril e descartável, siliconizada, comprimento cerca de 120cm, embalagem individual (MS)</t>
  </si>
  <si>
    <t>Sonda Nasogástrica, PVC, Levine longa, com orifício lateral, conector com tampa presa ao tubo, número 14, atóxica, atraumática, estéril e descartável, siliconizada, comprimento cerca de 120cm, embalagem individual (MS)</t>
  </si>
  <si>
    <t>Sonda Nasogástrica, PVC, Levine longa, com orifício lateral, conector com tampa presa ao tubo, número 16, atóxica, atraumática, estéril e descartável, siliconizada, comprimento cerca de 120cm, embalagem individual (MS)</t>
  </si>
  <si>
    <t>Sonda Nasogástrica, PVC, Levine longa, com orifício lateral, conector com tampa presa ao tubo, número 18, atóxica, atraumática, estéril e descartável, siliconizada, comprimento cerca de 120cm, embalagem individual (MS)</t>
  </si>
  <si>
    <t>Sonda Nasogástrica, PVC, Levine longa, com orifício lateral, conector com tampa presa ao tubo, número 20, atóxica, atraumática, estéril e descartável, siliconizada, comprimento cerca de 120cm, embalagem individual (MS)</t>
  </si>
  <si>
    <t>Sonda uretral, pvc atóxico siliconizado, 40cm, número 08, embalagem individual, descartável, estéril, apirogênica, pacote com 10 unidades</t>
  </si>
  <si>
    <t>Sonda uretral, pvc atóxico siliconizado, 40cm, número 10, embalagem individual, descartável, estéril, apirogênica, pacote com 10 unidades</t>
  </si>
  <si>
    <t>Sonda uretral, pvc atóxico siliconizado, 40cm, número 12, embalagem individual, descartável, estéril, apirogênica, pacote com 10 unidades - sonda uretral, pvc atóxico siliconizado, 40cm, número 12, embalagem individual, descartável, estéril, apirogênica, pacot</t>
  </si>
  <si>
    <t>Sonda uretral, pvc atóxico siliconizado, 40cm, número 14, embalagem individual, descartável, estéril, apirogênica, pacote com 10 unidades</t>
  </si>
  <si>
    <t>Suporte para Coletor de Perfurocortantes para caixa 13L</t>
  </si>
  <si>
    <t>Suporte para Coletor de Perfurocortantes para caixa 7L</t>
  </si>
  <si>
    <t>Suporte para lençol material alumínio, parede, 70cm</t>
  </si>
  <si>
    <t>Teste Indicador Biológico Esterilização Autoclave a Vapor Esterilização Vapor - Indicador Biológico do tipo autocontido para monitorar ciclos de esterilização a vapor, com tempo de leitura final de 24 horas incubados em incubadora apropriada com temperatura de</t>
  </si>
  <si>
    <t>Torneirinha, plástico rígido, transparente, 3 vias, orientador de fluxo direcionado, conectores Luer Lock com tampa, estéril, descartável - Torneirinha, plástico rígido, transparente, 3 vias, orientador de fluxo direcionado, conectores Luer Lock com tampa, est</t>
  </si>
  <si>
    <t>Touca elástica descartável, 60G/CM2, pacote com 100 unidades</t>
  </si>
  <si>
    <t>Umidificador, polipropileno com inserto de latão, 250ml, boca larga, cores, identificação (abnt nb 24), ixigênio, conexão borboleta de inserto latão e polipropileno, conexão saída latão cromado para mangueira com máscara</t>
  </si>
  <si>
    <t>LENCOL DE PAPEL 70X50</t>
  </si>
  <si>
    <t>BABADOR ODONTOLÓGICO DESCARTÁVEL</t>
  </si>
  <si>
    <t>CUBA RIM 26X12X6CM</t>
  </si>
  <si>
    <t>INDICADOR BIOLÓGICO DE ESTERILIZAÇÃO</t>
  </si>
  <si>
    <t>INDICADOR QUÍMICO DE ESTERILIZAÇÃO</t>
  </si>
  <si>
    <t>EXTENSOR PARA CATETER DE OXIGÊNIO 200CM</t>
  </si>
  <si>
    <t>SONDA DE ALIVIO URETRAL N16</t>
  </si>
  <si>
    <t>LUVA DE PROCEDIMENTO LATEX PP</t>
  </si>
  <si>
    <t>LUVA DE PROCEDIMENTO LATEX P</t>
  </si>
  <si>
    <t>LUVA DE PROCEDIMENTO LATEX M</t>
  </si>
  <si>
    <t>LUVA DE PROCEDIMENTO LATEX G</t>
  </si>
  <si>
    <t>SONDA DE ALIVIO URETRAL N12</t>
  </si>
  <si>
    <t>COPO FRASCO UMIDIFICADOR 250 ML</t>
  </si>
  <si>
    <t>LENÇOL DESCARTÁVEL 90CMX200CM TNT</t>
  </si>
  <si>
    <t>SERINGA 1ML COM AGULHA</t>
  </si>
  <si>
    <t>LAMINA BISTURI 11</t>
  </si>
  <si>
    <t>EQUIPO MACROGOTAS .</t>
  </si>
  <si>
    <t>BACIA INOX 40CM</t>
  </si>
  <si>
    <t>LENÇOL DE BORRACHA</t>
  </si>
  <si>
    <t>EQUIPO CONECTOR EXTENSOR 2 VIAS</t>
  </si>
  <si>
    <t>CATETER NASAL TIPO OCULOS.</t>
  </si>
  <si>
    <t>FRALDA DESCART. GERIATRICA. TAM. EXTRA GRANDE - FRALDA GERIATRICA DESCARTAVEL COM TECNOLOGIA ANTIODOR E FORMATO ANATOMICO, PROPORCIONANDO MAIOR CONFORTO AO ADULTO, COM GEL SUPERABSORVENTE QUE PERMITE USO PROLONGADO E FECHO COM 2 (DUAS) FITAS AJUSTAVEIS, PROMOV</t>
  </si>
  <si>
    <t>FRALDA GERIATRICA TAM G - FRALDA GERIATRICA DESCARTAVEL COM TECNOLOGIA ANTIODOR E FORMATO ANATOMICO, PROPORCIONANDO MAIOR CONFORTO AO ADULTO, COM GEL SUPERABSORVENTE QUE PERMITE USO PROLONGADO E FECHO COM 2 (DUAS) FITAS AJUSTAVEIS, PROMOVENDO MAIOR SEGURANCA E</t>
  </si>
  <si>
    <t>FRALDA GERIATRICA - TAM. P - FRALDA GERIATRICA DESCARTAVEL COM TECNOLOGIA ANTIODOR E FORMATO ANATOMICO, PROPORCIONANDO MAIOR CONFORTO AO ADULTO, COM GEL SUPERABSORVENTE QUE PERMITE USO PROLONGADO E FECHO COM 2 (DUAS) FITAS AJUSTAVEIS, PROMOVENDO MAIOR SEGURANC</t>
  </si>
  <si>
    <t>FRALDA GERIATRICA - TAM. M - FRALDA GERIATRICA DESCARTAVEL COM TECNOLOGIA ANTIODOR E FORMATO ANATOMICO, PROPORCIONANDO MAIOR CONFORTO AO ADULTO, COM GEL SUPERABSORVENTE QUE PERMITE USO PROLONGADO E FECHO COM 2 (DUAS) FITAS AJUSTAVEIS, PROMOVENDO MAIOR SEGURANC</t>
  </si>
  <si>
    <t>GARROTE PARA PROCEDIMENTO MÉDICOS FECHO EM PVC COM REGISTRO DA ANVISA</t>
  </si>
  <si>
    <t>Moldeira para moldagem de protese Desdentado e rasas aluminio.</t>
  </si>
  <si>
    <t>LAMINA DE BISTURI DESCARTAVEL DE AÇO E CARBONO N° 12 E 15</t>
  </si>
  <si>
    <t>PAPEL GRAU CIRURGICO 20CMx100m</t>
  </si>
  <si>
    <t>Bomba vácuo aspiradora 6 litros. Indicado para procedimentos cirúrgicos de pequeno a grande porte, ideal para uso em clínicas e hospitais. Projetado para aspiração de líquidos e secreções, pode ser utilizado em pequenas, médias e grandes cirurgias, pois utiliz</t>
  </si>
  <si>
    <t>COMPRESSA CIRURGICA CAMPO OPERATORIO 25X28CM:Esteril, camadas pre-lavadas, com fio radiopaco 25cmx28cm pre encolhido, embalagem com 5 unidades</t>
  </si>
  <si>
    <t>FITA ADESIVA PARA AUTOCLAVE 19MMX30M:Material papel crepado adesivo a base de borracha, oxido de zinco e resina acrilica impermeavel apresentacao em rolo.</t>
  </si>
  <si>
    <t>TESTE BOWIE DICK (INDICADOR QUIMICO CLASSE II):Folha de teste tipo Bowie Dick impressa com indicador quimicosensivel ao vapor disposta entre camadas de folhas de ummaterial poroso monitorizacao diaria de autoclave. Embalagemcom 50 unidades</t>
  </si>
  <si>
    <t>FRALDA DESCARTAVEL INFANTIL TAM. M PCT 80 UNFRALDA DESCARTAVEL INFANTIL TAM. M PCT 80 UN 5 A 10 KG FORMATO ANATOMICO; TAMANHO MEDIO; NAO TOXICO; COMPOSICAO INTERNA DE FIBRA DE CELULOSE,POLIETILENO,POLIPROPILENO,DERMACREM; COBERTURA DE EXTERNA IMPERMEAVEL; CAMA</t>
  </si>
  <si>
    <t>GAZE HIDRÓFILA NÃO ESTÉRIL 7,5 X 7,5 CM</t>
  </si>
  <si>
    <t>BACIA PLÁSTICA GRANDE REFORÇADA CAPACIDADE 20 LITROS, CONFECCIONADA EM POLIPROPILENO.</t>
  </si>
  <si>
    <t>BACIA PLÁSTICA GRANDE REFORÇADA CAPACIDADE 30 LITROS</t>
  </si>
  <si>
    <t>BACIA PLÁSTICA GRANDE REFORÇADA CAPACIDADE 50 LITROS</t>
  </si>
  <si>
    <t>BACIA PLÁSTICA GRANDE REFORÇADA CAPACIDADE 10 LITROS</t>
  </si>
  <si>
    <t>SACO PLÁSTICO BRANCO LEITOSO PARA ACONDICIONAMENTO DE RESÍDUOS INFECTANTES, COM CAPACIDADE DE 15 LITROS, DIMENSÕES MÍNIMAS DE 39 X 58 CM, CONFECCIONADO EM MATERIAL PLÁSTICO RESISTENTE, IMPERMEÁVEL E ADEQUADO AO ACONDICIONAMENTO E MANUSEIO DE RESÍDUOS DE SERVIÇ</t>
  </si>
  <si>
    <t>SACO PLÁSTICO BRANCO LEITOSO PARA ACONDICIONAMENTO DE RESÍDUOS INFECTANTES, COM CAPACIDADE DE 50 LITROS, DIMENSÕES MÍNIMAS DE 63 X 78 CM, CONFECCIONADO EM MATERIAL PLÁSTICO RESISTENTE, IMPERMEÁVEL E ADEQUADO AO ACONDICIONAMENTO E MANUSEIO DE RESÍDUOS DE SERVIÇ</t>
  </si>
  <si>
    <t>SACO PLÁSTICO BRANCO LEITOSO PARA ACONDICIONAMENTO DE RESÍDUOS INFECTANTES, COM CAPACIDADE DE 30 LITROS, DIMENSÕES MÍNIMAS DE 59 X 62 CM, CONFECCIONADO EM MATERIAL PLÁSTICO RESISTENTE, IMPERMEÁVEL E ADEQUADO AO ACONDICIONAMENTO E MANUSEIO DE RESÍDUOS DE SERVIÇ</t>
  </si>
  <si>
    <t>SACO PLÁSTICO BRANCO LEITOSO PARA ACONDICIONAMENTO DE RESÍDUOS INFECTANTES, COM CAPACIDADE DE 100 LITROS, DIMENSÕES MÍNIMAS DE 75 X 90 CM, CONFECCIONADO EM MATERIAL PLÁSTICO RESISTENTE, IMPERMEÁVEL E ADEQUADO AO ACONDICIONAMENTO E MANUSEIO DE RESÍDUOS DE SERVI</t>
  </si>
  <si>
    <t>SWAB STUART SWAB ESTÉRIL COM MEIO DE TRANSPORTE STUART, INDICADO PARA COLETA, CONSERVAÇÃO E TRANSPORTE DE AMOSTRAS BIOLÓGICAS PARA EXAMES MICROBIOLÓGICOS. MANTÉM A VIABILIDADE DOS MICRORGAN</t>
  </si>
  <si>
    <t>JOGO DE LENCOL PARA CAMA DE SOLTERIO, COMPOSTO POR 02 (DUAS) PECAS, SENDO 01 LENCOL COM ELASTICO MEDINDO APROXIMADAMENTE 88 X 1,88 X 30 CM E, UMA FRONHA MEDINDO APROXIMADAMENTE 50 X 70 CM, 100 ALGODAO DE ALTA RESISTENCIA, COM ACABAMENTO REFORCADO, COSTURAS FIR</t>
  </si>
  <si>
    <t>LENCOIS PARA BERCO - MATERIAL: TECIDO 100 MALHA DE ALGODAO, COM FIOS PENTEADOS DE ALTA QUALIDADE, DIMENSAO APROXIMADA DE 1,30 M X 70 CM X 15 CM, O MATERIAL DEVE SER ANTIALERGICO E RESISTENTE A LAVAGENS FREQUENTES SEM SOLTAR FIOS, ACABAMENTO O LENCOL DEVE TER E</t>
  </si>
  <si>
    <t>SERINGA PARA INSULINA COM AGULHA FIXA DESCARTÁVEL 100ui1mL/CC, 8mmX0,30mm (U-100)</t>
  </si>
  <si>
    <t>SWAB STUART SWAB ESTÉRIL COM MEIO DE TRANSPORTE STUART, INDICADO PARA COLETA, CONSERVAÇÃO E TRANSPORTE DE AMOSTRAS BIOLÓGICAS PARA EXAMES MICROBIOLÓGICOS. MANTÉM A VIABILIDADE DOS MICRORGANISMOS ATÉ O PROCESSAMENTO LABORATORIAL, SENDO AMPLAMENTE UTILIZADO EM P</t>
  </si>
  <si>
    <t>Dreno Cirúrgico modelo: de penrose, material: silicone, dimensões: cerca de 25 mm x 30, componente ii: radiopaco, tipo uso: estéril, descartável, embalagem: embalagem individual</t>
  </si>
  <si>
    <t>Dreno Cirúrgico modelo: kehr em "t", material: silicone, calibre: 14, comprimento: cerca de 40, componente ii: radiopaco, tipo uso: estéril, descartável, embalagem: embalagem individual</t>
  </si>
  <si>
    <t>Dreno Cirúrgico modelo: torácico, material: pvc, calibre: 30, comprimento: cerca de 50, componente ii: radiopaco, tipo uso: estéril, descartável, embalagem: embalagem individual</t>
  </si>
  <si>
    <t>Dreno Cirúrgico modelo: torácico, material: pvc, calibre: 32, comprimento: cerca de 50, componente ii: radiopaco, tipo uso: estéril, descartável, embalagem: embalagem individual</t>
  </si>
  <si>
    <t>Dreno Cirúrgico modelo: torácico, material: pvc, calibre: 34, comprimento: cerca de 50, componente ii: radiopaco, tipo uso: estéril, descartável, embalagem: embalagem individual</t>
  </si>
  <si>
    <t>Dreno Cirúrgico modelo: torácico, material: silicone, calibre: 38, comprimento: cerca de 50, conector universal: c/ conector, componente ii: radiopaco, tipo uso: estéril, descartável, embalagem: embalagem individual</t>
  </si>
  <si>
    <t>Dreno Cirúrgico modelo: torácico, material: pvc, calibre: 40, comprimento: cerca de 50, componente ii: radiopaco, tipo uso: estéril, descartável, embalagem: embalagem individual</t>
  </si>
  <si>
    <t>Dreno Cirúrgico modelo: tubular, material: silicone, calibre: 15, componente: introdutor em aço inoxidável, componente adicional: c/ reservatório graduado - pressão negativa, volume: cerca de 500, conector universal: c/ conector duplo, componente i: c/ válvula</t>
  </si>
  <si>
    <t>Dreno Cirúrgico modelo: torácico, material: silicone, calibre: 10, comprimento: cerca de 50, conector universal: c/ conector, componente ii: radiopaco, tipo uso: estéril, descartável, embalagem: embalagem individual</t>
  </si>
  <si>
    <t>Dreno Cirúrgico modelo: torácico, material: silicone, calibre: 12, comprimento: cerca de 50, conector universal: c/ conector, componente ii: radiopaco, tipo uso: estéril, descartável, embalagem: embalagem individual</t>
  </si>
  <si>
    <t>Dreno Cirúrgico modelo: torácico, material: silicone, calibre: 20, comprimento: cerca de 50, conector universal: c/ conector, componente ii: radiopaco, tipo uso: estéril, descartável, embalagem: embalagem individual</t>
  </si>
  <si>
    <t>Dreno Cirúrgico modelo: torácico, material: pvc, calibre: 22, comprimento: cerca de 50, componente ii: radiopaco, tipo uso: estéril, descartável, embalagem: embalagem individual</t>
  </si>
  <si>
    <t>Dreno Cirúrgico modelo: torácico, material: silicone, calibre: 24, comprimento: cerca de 50, conector universal: c/ conector, componente ii: radiopaco, tipo uso: estéril, descartável, embalagem: embalagem individual</t>
  </si>
  <si>
    <t>Dreno Cirúrgico modelo: torácico, material: pvc, calibre: 28, comprimento: cerca de 50, componente ii: radiopaco, tipo uso: estéril, descartável, embalagem: embalagem individual</t>
  </si>
  <si>
    <t>Dreno Cirúrgico modelo: torácico, material: silicone, calibre: 36, comprimento: cerca de 50, conector universal: c/ conector, componente ii: radiopaco, tipo uso: estéril, descartável, embalagem: embalagem individual</t>
  </si>
  <si>
    <t>Dreno Cirúrgico modelo: torácico, material: pvc, calibre: 10, comprimento: cerca de 50, componente ii: radiopaco, tipo uso: estéril, descartável, embalagem: embalagem individual</t>
  </si>
  <si>
    <t>Dreno Cirúrgico modelo: tubular, material: silicone, calibre: cerca de 19, componente: introdutor em aço inoxidável, componente adicional: c/ reservatório graduado - pressão negativa, volume: cerca de 100, conector universal: c/ conector, componente i: c/ válv</t>
  </si>
  <si>
    <t>Ambu neonatal - Reanimador manual de silicone completo, para pacientes abaixo de 7kg.</t>
  </si>
  <si>
    <t>Bacia inox de uso hospitalar medindo 32 cm</t>
  </si>
  <si>
    <t>BOLSA COLETORA DE URINA 2000ML.</t>
  </si>
  <si>
    <t>CAMPO CIRÚRGICO FENESTRADO COM ABERTURA LATERAL MEDINDO 50X50 EM TECIDO DE BRIM, SARJA 3X1 GRAMATURA DE 255 A 265 GM2. TINGIMENTO HIDANTRENE, SILCADO. COR AZUL CLARO</t>
  </si>
  <si>
    <t>CAMPO CIRÚRGICO SMS 40G 1,00X1,00M AZUL ESTÉRIL.</t>
  </si>
  <si>
    <t>CLAMP UMBILICAL C50</t>
  </si>
  <si>
    <t>Coletor de Materiais Perfurocortantes, embalagem com mínimo de 03 litros</t>
  </si>
  <si>
    <t>Coletor de Materiais Perfurocortantes, embalagem com mínimo de 20 litros.</t>
  </si>
  <si>
    <t>COLETOR DE URINA INFANTIL UNISSEX 100ML PACOTE COM 100 UNIDADES</t>
  </si>
  <si>
    <t>COMADRE HOSPITALAR INOX.</t>
  </si>
  <si>
    <t>COMPRESSA CIRÚRGICA ESTÉRIL, 45CM X 50CM, PACOTE COM 50 UNIDADES.</t>
  </si>
  <si>
    <t>Contacto Gel, contendo no mínimo 5 Litros. Gel condutor</t>
  </si>
  <si>
    <t>ENVELOPE AUTOSELANTE PAPEL GRAU CIRURGICO 200X 330</t>
  </si>
  <si>
    <t>EQUIPO INFUSAO MACROGOTAS COMPLETO</t>
  </si>
  <si>
    <t>Equipo macrogotas para soro, com INJETOR DE MEDICAÇÃO.</t>
  </si>
  <si>
    <t>Equipo microgotas para soro, com INJETOR DE MEDICAÇÃO.</t>
  </si>
  <si>
    <t>Escova cervical para coleta de citopatológico do cólo do útero. Pacote com 100 unidades.</t>
  </si>
  <si>
    <t>ESPARADRAPO IMPERMEÁVEL EXTRAFLEXÍVEL TAMANHO 10CMX4,5 M</t>
  </si>
  <si>
    <t>Esparadrapo micropore 50mmx10m</t>
  </si>
  <si>
    <t>Espátulas de Ayres para coleta de citopatológico do cólo do útero.Embalagem com 100 unidades</t>
  </si>
  <si>
    <t>Espéculo vaginal descartável G não estéril.</t>
  </si>
  <si>
    <t>Espéculo vaginal descartável M não estéril.</t>
  </si>
  <si>
    <t>Especulo vaginal descartável P não estéril.</t>
  </si>
  <si>
    <t>Fio Sutura de Nylon Agulhado Monofilamento Preto 2.0 Com Agulha 3,0 Cm, Caixa Com mínimo de 24 Unidades</t>
  </si>
  <si>
    <t>Fio sutura de nylon agulhado monofilamento preto 3.0 com agulha 3,0 cm, caixa com mínimo de 24 unidades</t>
  </si>
  <si>
    <t>Fio Sutura de Nylon Agulhado Monofilamento Preto 4.0 Com Agulha 3,0 Cm, Caixa Com mínimo de 24 Unidades</t>
  </si>
  <si>
    <t>Fio Sutura de Nylon Agulhado Monofilamento Preto 5.0 Com Agulha 3,0 Cm, Caixa Com mínimo de 24 Unidades</t>
  </si>
  <si>
    <t>Fio Sutura de Nylon Agulhado Monofilamento Preto 6.0 Com Agulha 3,0 Cm, Caixa Com mínimo de 24 Unidades</t>
  </si>
  <si>
    <t>Fita adesiva para autoclave 12mm x 30 m.</t>
  </si>
  <si>
    <t>FITA AUTOCLAVE 19MM X 30 M</t>
  </si>
  <si>
    <t>FITA MICROPOROSA 05 CM X 4,5 M</t>
  </si>
  <si>
    <t>FITA ZEBRADA PARA AUTOCLAVE</t>
  </si>
  <si>
    <t>Gaze PHMB compressa estéril impregnada com PHMB polihexametileno de biguanida a 0,2%Dimensão: 15,2 x 17,1 cm Pacote com 5 unid.</t>
  </si>
  <si>
    <t>JELCO 14G Cateter Intravenoso Periférico Canhão da agulha metálica - câmara de refluxo com filtro - confeccionada em material incolor e com filtro. Cânula metálica - agulha siliconizada com bisel trifacetado - facilita a punção, confeccionada em aço inoxidável</t>
  </si>
  <si>
    <t>JELCO 16G Cateter Intravenoso Periférico Canhão da agulha metálica - câmara de refluxo com filtro - confeccionada em material incolor e com filtro. Cânula metálica - agulha siliconizada com bisel trifacetado - facilita a punção, confeccionada em aço inoxidável</t>
  </si>
  <si>
    <t>JELCO 18G Cateter Intravenoso Periférico Canhão da agulha metálica - câmara de refluxo com filtro - confeccionada em material incolor e com filtro. Cânula metálica - agulha siliconizada com bisel trifacetado - facilita a punção, confeccionada em aço inoxidável</t>
  </si>
  <si>
    <t>JELCO 20 G Cateter Intravenoso Periférico Canhão da agulha metálica - câmara de refluxo com filtro - confeccionada em material incolor e com filtro. Cânula metálica - agulha siliconizada com bisel trifacetado - facilita a punção, confeccionada em aço inoxidáve</t>
  </si>
  <si>
    <t>JELCO 22 G Cateter Intravenoso Periférico Canhão da agulha metálica - câmara de refluxo com filtro - confeccionada em material incolor e com filtro. Cânula metálica - agulha siliconizada com bisel trifacetado - facilita a punção, confeccionada em aço inoxidáve</t>
  </si>
  <si>
    <t>JELCO 24 G Cateter Intravenoso Periférico Canhão da agulha metálica - câmara de refluxo com filtro - confeccionada em material incolor e com filtro. Cânula metálica - agulha siliconizada com bisel trifacetado - facilita a punção, confeccionada em aço inoxidáve</t>
  </si>
  <si>
    <t>Lâmina de bisturi nº 10 - Caixa com 100 unidades</t>
  </si>
  <si>
    <t>Lãmina de bisturi nº 20 - Caixa com 100 unidades</t>
  </si>
  <si>
    <t>Lâmina de bisturi nº11 - Caixa com 100 unidades</t>
  </si>
  <si>
    <t>Lâmina de bisturi nº12 - Caixa com 100 unidades</t>
  </si>
  <si>
    <t>Lâmina de bisturi nº15 - Caixa com 100 unidades</t>
  </si>
  <si>
    <t>Lâmina de bisturi nº23 - Caixa com 100 unidades</t>
  </si>
  <si>
    <t>LANCETA AUTOMATICA DESCARTAVEL PARA PUNCAO DIGITAL</t>
  </si>
  <si>
    <t>Lençol tnt com elástico, 2,00mtx90cm pacote com 10 unidades</t>
  </si>
  <si>
    <t>LENÇOL DE PAPEL 50X50</t>
  </si>
  <si>
    <t>LENÇOL HOSPITALAR DE PAPEL 70CM X 50M 100% CELULOSE</t>
  </si>
  <si>
    <t>LENÇOLTECIDO PARA CAMA E MACA</t>
  </si>
  <si>
    <t>LUVA CIRURGICA ESTERIL 6,5</t>
  </si>
  <si>
    <t>Luva cirúrgica estéril lubrificada com pó bioabsorvivel antiderrapante formato anatomico tamanho 6,5</t>
  </si>
  <si>
    <t>Luva cirúrgica estéril lubrificada com pó bioabsorvivel antiderrapante formato anatomico tamanho 7,0</t>
  </si>
  <si>
    <t>Luva cirúrgica estéril lubrificada com pó bioabsorvivel antiderrapante formato anatomico tamanho G 8,0</t>
  </si>
  <si>
    <t>Luva cirúrgica estéril lubrificada com pó bioabsorvivel antiderrapante formato anatomico tamanho M 7,5</t>
  </si>
  <si>
    <t>Máscara Laríngea descartável infantill numero 3</t>
  </si>
  <si>
    <t>Máscara Laríngea descartável número 5</t>
  </si>
  <si>
    <t>MASCARA LARINGEA N 1</t>
  </si>
  <si>
    <t>MASCARA LARINGEA N 3</t>
  </si>
  <si>
    <t>Máscara para nebulização, na cor transparente, tamanho adulto, com 1,5 metros de mangueira e copo reservatório com capacidade para 10ml.</t>
  </si>
  <si>
    <t>Máscara para nebulização, na cor transparente, tamanho infantil, com 1,5 metros de mangueira e copo reservatório com capacidade para 10ml.</t>
  </si>
  <si>
    <t>SERINGA 20ML CX C100 UNID</t>
  </si>
  <si>
    <t>SERINGA 3 ML SEM AGULHA</t>
  </si>
  <si>
    <t>SERINGA 5ML CX C100</t>
  </si>
  <si>
    <t>SERINGA DE 10ML CX C100</t>
  </si>
  <si>
    <t>SERINGA DE 1ML CX C 100</t>
  </si>
  <si>
    <t>Sonda de Alívio Uretral n° 12</t>
  </si>
  <si>
    <t>Sonda de Alívio Uretral n° 14</t>
  </si>
  <si>
    <t>SONDA DE FOLEY N 12 2 VIAS. Caixa com 10 unidades.</t>
  </si>
  <si>
    <t>SONDA DE FOLEY N 14 2 VIAS. Caixa com 10 unidades.</t>
  </si>
  <si>
    <t>SONDA DE FOLEY N 16 2 VIAS. Caixa com 10 unidades.</t>
  </si>
  <si>
    <t>SONDA DE FOLEY N 18 2 VIAS. Caixa com 10 unidades.</t>
  </si>
  <si>
    <t>Sonda Nasogástrica longa n° 14</t>
  </si>
  <si>
    <t>Sonda Nasogastrica longa nº12</t>
  </si>
  <si>
    <t>Sonda Nasogastrica longa nº16</t>
  </si>
  <si>
    <t>Sonda Nasogastrica longa nº18</t>
  </si>
  <si>
    <t>Sonda Nasogastrica longa nº20</t>
  </si>
  <si>
    <t>Umidificador para oxígenio 02 cextmasc, frasco c no mínimo 250 ml</t>
  </si>
  <si>
    <t>Moldeira individual total personalizada</t>
  </si>
  <si>
    <t>Lençol Descartável Uso Hospitalar Lençol Descartável Uso Hospitalar, Materia Prima:100% Polipropileno, Não Tecido Tnt, Gramatura 1:Cerca De 50 G/M2, Dimensoes:Cerca De 100 X 200 Cm, Apresentação 1:C/ Elástico LENCOL DESCARTAVEL UNIDADE</t>
  </si>
  <si>
    <t>Campo Cirúrgico Descartável Campo Cirúrgico Descartável, Material:Não Tecido 100% Polipropileno - Tipo Sms, Propriedade:Hidrorepelente, Reforço:S/ Reforço, Dimensões:Cerca De 60 X 60 CM, Cor:C/ Cor, Esterilidade:Estéril CAMPO CIRURGICO DESCARTAVEL</t>
  </si>
  <si>
    <t>Luva P/ Procedimento De Saúde Não Cirúrgico C/ Anvisa material: borracha natural - látex, superfície: superfície lisa, formato: ambidestra, pó: com pó bioabsorvível, cor: c/ cor, tamanho: médio - m, esterilidade: estéril, uso único, embalagem: par em embalagem</t>
  </si>
  <si>
    <t>Fita Adesiva - Uso Cutâneo tipo: microporosa, material dorso: à base de tecido não tecido, tipo de adesivo: silicone, hipoalergênico, largura da fita: cerca de 50 mm, cor: c/ cor, apresentação: rolo c/ capa protetora, esterilidade: não estéril</t>
  </si>
  <si>
    <t>CATETER PERIFERICO INTRAVENOSO 20G:</t>
  </si>
  <si>
    <t>CATETER PERIFERICO INTRAVENOSO 22G:</t>
  </si>
  <si>
    <t>CATETER PERIFERICO INTRAVENOSO 24G:</t>
  </si>
  <si>
    <t>ESPARADRAPO 10CMX4,5MT ROLO BRANCO IMPERMEAVEL:</t>
  </si>
  <si>
    <t>Fio de sutura sintetico absorvivel, monofilamentar, calibre 2-0, na cor incolor, montado com agulha. Composto por copolimero de poli(glicolida-co--caprolactona), proporcionando minima reacao tecidual. A absorcao ocorre por processo hidrolitico progressivo, com</t>
  </si>
  <si>
    <t>Fio de sutura sintetico absorvivel, monofilamentar, calibre 3-0, na cor laranja claro, montado com agulha. Composto por copolimero de poli(glicolida-co--caprolactona), proporcionando minima reacao tecidual. A absorcao ocorre por processo hidrolitico progressiv</t>
  </si>
  <si>
    <t>Fita adesiva para esterilizacao em autoclave, medindo 19 mm x 30 m, confeccionada com dorso de papel crepado a base de celulose. Possui, em uma das faces, massa adesiva a base de borracha natural, oxido de zinco e resinas, e, na outra face, camada impermeabili</t>
  </si>
  <si>
    <t>MASCARA TRIPLA CIRURGICA COM ELASTICO CAIXA C/ 100 UNID.:</t>
  </si>
  <si>
    <t>NYLON n. 0: Fio de sutura nylon monofilamento:</t>
  </si>
  <si>
    <t>SONDA URETRAL n 6 Unidade :51801</t>
  </si>
  <si>
    <t>SONDA URETRAL para felinos 4 FR (verde):</t>
  </si>
  <si>
    <t>Avental / jaleco descartável Manga longa, foi projetado para proteção contra contaminação em ambientes hospitalares. Caraterísticas: Tecido- TNT Hidrofóbico, Hidrorepelente (repele Liquido e Fluidos Corporais) -Atóxico, Gramatura: 40 GRS com PROTEÇÃO SSMS, Pro</t>
  </si>
  <si>
    <t>Agulha descartável hipodérmica com dispositivo de segurança 13 X 03 Agulha hipodérmica composta por canhão translúcido fabricado em polipropileno atóxico, que permita perfeito acoplamento à seringa, codificado por cor (amarelo), padrão universal para identific</t>
  </si>
  <si>
    <t>Agulha descartável hipodérmica com dispositivo de segurança 13 X 4,5. Agulha hipodérmica composta por canhão translúcido fabricado em polipropileno atóxico, que permita perfeito acoplamento à seringa, codificado por cor (amarelo), padrão universal para identif</t>
  </si>
  <si>
    <t xml:space="preserve">Agulha hipodérmica descartável 30 X 0,8 caixa com 100 unidades Agulha hipodérmica composta por canhão translúcido fabricado em polipropileno atóxico, que permita perfeito acoplamento à seringa, codificado por cor (amarelo), padrão universal para identificação </t>
  </si>
  <si>
    <t xml:space="preserve">Cateter intravenoso (jelco) nº 22. Com dispositivo de segurança – estéril, com cânula constituída de poliuretano radiopaco flexível, sem efeito memória. Conector tipo luer-lock translúcido, codificado em cores para facilitar a identificação do calibre, câmara </t>
  </si>
  <si>
    <t>Cateter intravenoso (jelco) nº 20 com dispositivo de segurança – estéril. Com cânula constituída de poliuretano radiopaco flexível, sem efeito memória. Conector tipo luer-lock translúcido, codificado em cores para facilitar a identificação do calibre, câmara d</t>
  </si>
  <si>
    <t>Compressa de gaze 13 fios. Estéril, envelope com 10 unidades, 7,5 x 7,5cm, composta por tecido 100% algodão, alvejado, inodoro e insípido, com cinco dobras e oito camadas, esterilizada em óxido de etileno, isenta de amido e alvejante óptico; hidrófila. Com bor</t>
  </si>
  <si>
    <t xml:space="preserve">Compressa de gaze 13 fios. Não-estéril, pacote com 500 unidades, 7,5 x 7,5cm, composta por tecido 100% algodão, alvejado, inodoro e insípido, com cinco dobras e oito camadas, esterilizada em óxido de etileno, isenta de amido e alvejante óptico; hidrófila. Com </t>
  </si>
  <si>
    <t>Envelopes para esterilização de produtos médicos e odontológicos com indicador de esterilidade e autoselantes 120 x 150. No papel são impressas as tintas indicativas (atóxicas, solúveis em água) para esterilização em vapor ou gás óxido de etileno (ETO), além d</t>
  </si>
  <si>
    <t>Curativo multicamadas tamanho 10 x 10 autoadesivo de espuma hidrofílica De poliuretano de 5mm, tiras superabsorventes e filme de poliuretano, impermeável, mas com alta permeabilidade a vapores úmidos. Composto por camada de contato em silicone perfurado, com a</t>
  </si>
  <si>
    <t>Espatula de ayres pacote com 100 um Em madeira de alta qualidade, descartável, acabamento liso e uniforme, livre de farpas, indicada para exames ginecológicos</t>
  </si>
  <si>
    <t>Espéculos auriculares compatível com os modelos de otoscópios pneumático confeccionado em polipropileno de alta densidade, reutilizável possível desinfecção e esterilização em autoclave, com superfície externa polida e de fácil limpeza, apresentado nos seguint</t>
  </si>
  <si>
    <t>Seringa descartável 1ml com agulha 12,7x0,33 (NR 32) especificação técnica: - estéril, uso único, transparente, atóxica, com bico que garanta conexões seguras e sem vazamentos, corpo lubrificado, êmbolo com ramificações em sua base para facilitar a aplicação s</t>
  </si>
  <si>
    <t>Cateter nasal de silicone tipo óculos. Cateter 100% silicone. Canalículas reguláveis que possibilitam adequá-las ao tamanho das fossas nasais do paciente. Não causa dermatites. Posicionamento seguro, permitindo liberdade total de movimento ao paciente. Acompan</t>
  </si>
  <si>
    <t>Cateter nasal de silicone tipo óculos infantil. Cateter 100% silicone. Canalículas reguláveis que possibilitam adequá-las ao tamanho das fossas nasais do paciente. Não causa dermatites. Posicionamento seguro, permitindo liberdade total de movimento ao paciente</t>
  </si>
  <si>
    <t>Lençol de solteiro em cretone branco. Pré-encolhido. - 100% algodão, - trama bem fechada, - medindo 2,20 comprimento x 1,40 largura, depois de embanhado as medidas deverão ser as mesmas. - Bainha com 02 costuras batidas. O lençol deverá apresentar após 03 lava</t>
  </si>
  <si>
    <t>Seringa descartável de 1 ml 29 g ½ com agulha 0,33mm x 13 mm - 100 ui (escala unitária) Seringa descartável para uso único, escala graduada de 1 em 1 unidade, agulha fixa de 13 mm de comprimento por 0,33 mm de diâmetro sem espaço morto e com capacidade para at</t>
  </si>
  <si>
    <t>Seringa descartável de 1 ml com bico tipo luer slip: Composta por: cilindro em polipropileno atóxico altamente transparente, que permite a visualização nítida do fluido aspirado, com anel de retenção que não permita a saída livre do êmbolo; escala de graduação</t>
  </si>
  <si>
    <t>Seringa hipodérmica de 1 ml. De uso único para uso manual com bico do tipo Luer Lock, esterilizadas a óxido de etileno, atóxicas, apirogênicas e com graduação nítida permanente de 1 ml, sem agulha, caixa com 100 unid | Unidade: caixa</t>
  </si>
  <si>
    <t>Seringa descartável 20 ml com bico tipo luer slip: Lateral composta por: cilindro em polipropileno atóxico altamente transparente, que permite a visualização nítida do fluido aspirado, com anel de retenção que não permita a saída livre do êmbolo; escala de gra</t>
  </si>
  <si>
    <t>Máscara facial (oronasal) Para ventilação não invasiva (vni), compatível com aparelhos bipap e cpap, tamanho adulto. Máscara destinada à ventilação mecânica não invasiva, confeccionada em material transparente de grau médico, livre de látex, composta por corpo</t>
  </si>
  <si>
    <t xml:space="preserve">Luva nitrílica de procedimentos tamanho p Para manuseio de pequenas quantidades de produtos químicos, descartável, 100% borracha nitrílica, ambidestra, sem cera, plastificante ou silicone em sua formulação, não contém talco, amido ou proteínas. Possuem bainha </t>
  </si>
  <si>
    <t>Sonda naso gástrica nº16. Sonda nasogástrica levine ou gástrica estéril descartável nº 16 longa – com no mínimo 40 cm e no máximo 60 cm de comprimento. Confeccionada em termoplástico polivinil (descartável) transparente, flexível, reta, inteiriça. Na extremida</t>
  </si>
  <si>
    <t>Equipo para sonda de jejunostomia. Equipo para administração de dieta enteral, confeccionado em material plástico atóxico, flexível, resistente e transparente, destinado à administração de dietas, medicamentos e hidratação por meio de sonda de jejunostomia. De</t>
  </si>
  <si>
    <t xml:space="preserve">Equipo para sonda de gastrostomia. Equipo para administração de dieta enteral, confeccionado em material plástico atóxico, flexível e transparente, estéril, destinado à administração de dietas, medicamentos e hidratação por meio de sonda de gastrostomia. Deve </t>
  </si>
  <si>
    <t>BOLSA COLETORA DE URINA</t>
  </si>
  <si>
    <t>Bacia Inox</t>
  </si>
  <si>
    <t>CATETER VENOSO CENTRAL</t>
  </si>
  <si>
    <t>COLETOR DE URINA PARA INCONTINÊNCIA URINÁRIA COM EXTENSOR</t>
  </si>
  <si>
    <t>COMPRESSA CIRÚRGICA GAZE HIDRÓFILA</t>
  </si>
  <si>
    <t>COMPRESSA DE GAZE 13 fios estéril C/10 7,5X7,5</t>
  </si>
  <si>
    <t>Cateter Nasal de Oxigênio tipo Óculos ADULTO</t>
  </si>
  <si>
    <t>Cateter Nasal de Oxigênio tipo Óculos Pediátrico</t>
  </si>
  <si>
    <t>Comadre Inox</t>
  </si>
  <si>
    <t>Compressa Gaze Não Estéril 09 Fios</t>
  </si>
  <si>
    <t>Cuba rim 26 x 12, 740 ml, inox.</t>
  </si>
  <si>
    <t>EQUIPO MACROGOTAS FLEXÍVEL</t>
  </si>
  <si>
    <t>EQUIPO MICROGOTAS.</t>
  </si>
  <si>
    <t>ESPARADRAPO IMPERMEÁVEL</t>
  </si>
  <si>
    <t>Equipo Macro gotas Fotossensível</t>
  </si>
  <si>
    <t>Equipo Macrogotas Para Alimentação Enteral</t>
  </si>
  <si>
    <t>Esparadrapo Impermeável - 5 cm x 4,5m</t>
  </si>
  <si>
    <t>Esparadrapo anti alérgico</t>
  </si>
  <si>
    <t>Esparadrapo micropore</t>
  </si>
  <si>
    <t>FITA CIRÚRGICA MICROPOROSA HIPOALERGÊNICO</t>
  </si>
  <si>
    <t>FRALDA DESCARTÁVEL GERIÁTRICA TAMANHO EG</t>
  </si>
  <si>
    <t>FRALDA DESCARTÁVEL GERIÁTRICA TAMANHO G</t>
  </si>
  <si>
    <t>FRALDA DESCARTÁVEL GERIÁTRICA TAMANHO M</t>
  </si>
  <si>
    <t>FRALDA DESCARTÁVEL GERIÁTRICA TAMANHO P</t>
  </si>
  <si>
    <t>Fita adesiva para autoclave 19 mm x 30 m</t>
  </si>
  <si>
    <t>Fixador de tubo endotraqueal adulto</t>
  </si>
  <si>
    <t>INTRACATH CATETER VENOSO CENTRAL PED 19G 8 VERDE BD</t>
  </si>
  <si>
    <t>KIT GINECOLÓGICO G</t>
  </si>
  <si>
    <t>KIT GINECOLÓGICO M</t>
  </si>
  <si>
    <t>KIT GINECOLÓGICO P</t>
  </si>
  <si>
    <t>LANCETA DESCARTÁVEL</t>
  </si>
  <si>
    <t>LENÇOL HOSPITALAR DESCARTÁVEL</t>
  </si>
  <si>
    <t>Lençol</t>
  </si>
  <si>
    <t>LÂMINA DE BISTURI Nº 11</t>
  </si>
  <si>
    <t>LÂMINA DE BISTURI Nº 15</t>
  </si>
  <si>
    <t>LÂMINA DE BISTURI Nº 22</t>
  </si>
  <si>
    <t>LÂMINA DE BISTURI Nº 24</t>
  </si>
  <si>
    <t>Lâmina De Bisturi nº 12</t>
  </si>
  <si>
    <t>MÁSCARA DE VENTURI P/OXIGENOTERAPIA (ADULTO)</t>
  </si>
  <si>
    <t>Máscara de Oxigênio Infantil Venturi</t>
  </si>
  <si>
    <t>Máscara laríngea em Silicone, 1.0</t>
  </si>
  <si>
    <t>Máscara laríngea em Silicone, 1.5</t>
  </si>
  <si>
    <t>Máscara laríngea em Silicone, 2.0</t>
  </si>
  <si>
    <t>Máscara laríngea em Silicone, 2.5</t>
  </si>
  <si>
    <t>Máscara laríngea em Silicone, 3.0</t>
  </si>
  <si>
    <t>Máscara laríngea em Silicone, 4.0</t>
  </si>
  <si>
    <t>Máscara laríngea em Silicone, 5.0</t>
  </si>
  <si>
    <t>PAPEL GRAU CIRÚRGICO X POLIÉSTER/POLIPROPILENO - 10 CM</t>
  </si>
  <si>
    <t>PAPEL GRAU CIRÚRGICO X POLIÉSTER/POLIPROPILENO - 15 CM</t>
  </si>
  <si>
    <t>PAPEL GRAU CIRÚRGICO X POLIÉSTER/POLIPROPILENO - 20 cm</t>
  </si>
  <si>
    <t>PAPEL GRAU CIRÚRGICO X POLIÉSTER/POLIPROPILENO - 5 CM</t>
  </si>
  <si>
    <t>Papel Grau Cirúrgico</t>
  </si>
  <si>
    <t>Papel Grau Cirúrgico .</t>
  </si>
  <si>
    <t>Reanimador Manual De Silicone Com Reservatório Neonatal Md</t>
  </si>
  <si>
    <t>SERINGA DESCARTÁVEL 1 ML</t>
  </si>
  <si>
    <t>SERINGA DESCARTÁVEL 10 ML</t>
  </si>
  <si>
    <t>SERINGA DESCARTÁVEL 20 ML</t>
  </si>
  <si>
    <t>SERINGA DESCARTÁVEL 5 ML</t>
  </si>
  <si>
    <t>SONDA FOLEY Nº08 COM 2 VIAS</t>
  </si>
  <si>
    <t>SONDA FOLEY Nº10 COM 2 VIAS</t>
  </si>
  <si>
    <t>SONDA FOLEY Nº12 COM 2 VIAS</t>
  </si>
  <si>
    <t>SONDA FOLEY Nº14 COM 2 VIAS</t>
  </si>
  <si>
    <t>SONDA FOLEY Nº18 COM 2 VIAS</t>
  </si>
  <si>
    <t>SONDA FOLEY Nº20 COM 2 VIAS</t>
  </si>
  <si>
    <t>SONDA FOLEY Nº22 COM 2 VIAS</t>
  </si>
  <si>
    <t>SONDA NASOENTERAL Adulto</t>
  </si>
  <si>
    <t>SONDA NASOENTERAL INFANTIL</t>
  </si>
  <si>
    <t>SONDA NASOGÁSTRICA LONGA Nº 10</t>
  </si>
  <si>
    <t>SONDA NASOGÁSTRICA LONGA Nº 16</t>
  </si>
  <si>
    <t>SONDA NASOGÁSTRICA LONGA Nº 20</t>
  </si>
  <si>
    <t>SONDA NASOGÁSTRICA LONGA Nº 8</t>
  </si>
  <si>
    <t>SONDA NASOGÁSTRICA Longa Nº 18</t>
  </si>
  <si>
    <t>SONDA URETRAL DESCARTÁVEL Nº 10</t>
  </si>
  <si>
    <t>SONDA URETRAL DESCARTÁVEL Nº 12</t>
  </si>
  <si>
    <t>SONDA URETRAL DESCARTÁVEL Nº 14</t>
  </si>
  <si>
    <t>SONDA URETRAL DESCARTÁVEL Nº 16</t>
  </si>
  <si>
    <t>SONDA URETRAL DESCARTÁVEL Nº 18</t>
  </si>
  <si>
    <t>SONDA URETRAL DESCARTÁVEL Nº 20</t>
  </si>
  <si>
    <t>Seringa descartável de 3 ml sem agulha</t>
  </si>
  <si>
    <t>Sonda Uretral Descartável nº 08</t>
  </si>
  <si>
    <t>Torneirinha Descartável 3 Vias com Trava</t>
  </si>
  <si>
    <t>Torniquete (garrote), elástico com fecho em pvc, tamanho adulto</t>
  </si>
  <si>
    <t>Touca descartável com elástico</t>
  </si>
  <si>
    <t>Umidificador Para Oxigênio 250 ml</t>
  </si>
  <si>
    <t>KIT UMIDIFICADOR 250ML OXIGÊNIO ADULTO</t>
  </si>
  <si>
    <t>Sonda nasoenteral para alimentação feita em poliuretano radiopaco</t>
  </si>
  <si>
    <t>SONDA FOLEY Nº16 COM 2 VIAS</t>
  </si>
  <si>
    <t>SONDA NASOENTERAL Nº12</t>
  </si>
  <si>
    <t>BOUGIE INTUBAÇÃO AMARELO TAMANHO ADULTO</t>
  </si>
  <si>
    <t>BOUGIE INTUBAÇÃO AMARELO TAMANHO INFANTIL</t>
  </si>
  <si>
    <t>Agulha hipodérmica tamanho 13x4,5. Caixa com 100 unidades, embaladas individualmente, qualidade Inmetro. (Exclusivo ME/EPP)</t>
  </si>
  <si>
    <t>Agulha hipodérmica tamanho 25 x 0,7 mm. Composta de cânula com bisel, trifacetado e siliconizado. Capa protetora em formato cilindrico. Cânula em aço inox, capa e canhão de polímeros atóxicos. Esterelizada, fabricado de acordo com as boas normas de fabricação.</t>
  </si>
  <si>
    <t>Agulha hipodérmica tamanho 25x08. Composta de cânula com bisel, trifacetado e siliconizado. Capa Protetora em formato cilíndrico. Cânula em aço inox, capa e canhão de polímeros atóxicos. Esterilizada, fabricado de acordo com as boas normas de fabricação. Embal</t>
  </si>
  <si>
    <t>Agulha hipodérmica tamanho 40x12 mm. Composta de cânula com bisel, trifacetado e siliconizado. Capa protetora em formato cilindrico. Cânula em aço inox, capa e canhão de polimeros atóxicos. Esterelizada, fabricado de acordo com as boas normas de fabricação. Em</t>
  </si>
  <si>
    <t>Kit de Cânulas Orofaríngeas de Guedel, em material PVC flexível, polipropileno, numeração de 00 a 05. (Exclusivo ME/EPP)</t>
  </si>
  <si>
    <t>Cateter do tipo jelco, intravenoso, periférico, calibre 24G. Agulha siliconizada com bisel, triangulado, trifacetado, cateter em material vialon, protetor de agulha, conector luer lok, translúcido. Embalado individualmente, constando externamente dados de iden</t>
  </si>
  <si>
    <t>Cateter intravenoso periférico (jelco) N 20 com dispositivo de segurança, do tipo por fora da agulha, estéril, constituído por agulha siliconizada com bisel biangulado e trifacetado, polido e afiado, isento de aspereza que proporcione penetração suave e facili</t>
  </si>
  <si>
    <t>Cateter intravenoso periférico (jelco) n 22 com dispositivo de segurança, do tipo por fora da agulha, estéril, constituído por agulha siliconizada com bisel biangulado e trifacetado, polido e afiado, isento de aspereza que proporcione penetração suave e facili</t>
  </si>
  <si>
    <t>Cateter nasal tipo óculos infantil para oxigênio terapia, confeccionado em PVC atóxico e flexível, com conector universal a redes de oxigênio. Com dispositivo para adaptação nas narinas do paciente, transparente e flexível. Regulador em polietileno com estrias</t>
  </si>
  <si>
    <t>Cuba Rim Material de Aço Inox acabamento: Natural Dimensão: 26 x 12 cm, capacidade 700ml. (Exclusivo ME/EPP)</t>
  </si>
  <si>
    <t>Equipo Macrogotas para infusão de soluções fotossensíveis. Compatível com bomba de infusão universal. Ponta perfurante trifacetado, com tampa, tubo flexível, pinça rolete reguladora de fluxo (20 gotas = 1 mL), com injetor lateral e entrada de ar. Estéril, atóx</t>
  </si>
  <si>
    <t>Equipo microgotas para administração de soluções parentais, estéril, ponta perfurante trifacetado, com tampa, tubo flexivel em PVC, atóxico e apirogênico. Pinça rolete para dosagem de volume, 60 gotas = 1 mL. Conexão luer lock, com injetor lateral, filtro de p</t>
  </si>
  <si>
    <t>Esparadrapo impermeável medindo 10 cm x 4,5 m composto de tecido 100 algodão com tratamento especial para proporcionar facilidade de rasgo que possui excelente adesividade, inclusive sobre a sua própria superfície. Apresentam bordas serrilhadas que favorecem o</t>
  </si>
  <si>
    <t>Espátula de ayres, com rigidez compatível com a finalidade, descartável, não estéril, com bordas arrendondadas, bem acabados, sem rebarbas e com a superfície lisa. Acondicionadas em pacotes com 100 unidades. (Exclusivo ME/EPP)</t>
  </si>
  <si>
    <t>Filtro HMEF, conexões ISSO cônicas, volume corrente 150ml,1500ml,espaço moro 25ml, tempo máximo de uso 48h, resistência 1,8cm H2O a 60L/ Min, umidificação 31mg H2O/600ml, eficiência bacteriana e viral 99,99. (Exclusivo ME/EPP)</t>
  </si>
  <si>
    <t>Fio cirúrgico catgut simples 5-0, absorvível, de origem animal, monofilamento 75 cm comprimento, com agulha 1/2 circular cilíndrica 20 mm. Embalado e esterilizado unitariamente e acondicionados em caixa com 24 envelopes. Caixa. (Exclusivo ME/EPP)</t>
  </si>
  <si>
    <t>Kit Cateter venoso central (acesso central) adulto, duplo lúmen 7FR x 20 cm com oclusores, com aba de sutura, abraçadeira, fio guia (pontas reta e J) 0.32x60cm com dispensador, seringa de 5 ml luer-lock com agulha hipodérmica 30x7, agulha 18gax7cm para introdu</t>
  </si>
  <si>
    <t>Kit Cateter venoso central (acesso central) infantil, duplo lúmen 4FRx13cm com oclusores, com aba de sutura, abraçadeira, fio guia (pontas reta e J) 0.18x45cm com dispensador, agulha 21gax5cm para introdução do fio guia, seringa de 5 ml luer-lock com agulha hi</t>
  </si>
  <si>
    <t>Lâmina de Bisturi Nº 15, em aço carbono, cortante, estéril, descartável, com perfeito estado de acabamento sem sinais de oxidação, sem rebarbas. Caixa c/100 unidades. Caixa. (Exclusivo ME/EPP)</t>
  </si>
  <si>
    <t>Máscara Laríngea N 1: - Material: PVC-Formato elíptico e punho de vedação flexível - Conector universal transparente - Proteção da válvula com código de cores - Isento de latéx - Estéril. (Exclusivo ME/EPP)</t>
  </si>
  <si>
    <t>Máscara Laríngea N 1,5: - Material: PVC-Formato elíptico e punho de vedação flexível - Conector universal transparente - Proteção da válvula com código de cores - Isento de latéx - Estéril. (Exclusivo ME/EPP)</t>
  </si>
  <si>
    <t>Máscara Laríngea N 2: - Material: PVC-Formato elíptico e punho de vedação flexível - Conector universal transparente - Proteção da válvula com código de cores - Isento de latéx - Estéril. (Exclusivo ME/EPP)</t>
  </si>
  <si>
    <t>Máscara Laríngea N 2,5: - Material: PVC-Formato elíptico e punho de vedação flexível - Conector universal transparente - Proteção da válvula com código de cores - Isento de latéx - Estéril. (Exclusivo ME/EPP)</t>
  </si>
  <si>
    <t>Máscara Laríngea N 3: - Material: PVC-Formato elíptico e punho de vedação flexível - Conector universal transparente - Proteção da válvula com código de cores - Isento de latéx - Estéril. (Exclusivo ME/EPP)</t>
  </si>
  <si>
    <t>Máscara Laríngea N 4: - Material: PVC-Formato elíptico e punho de vedação flexível - Conector universal transparente - Proteção da válvula com código de cores - Isento de latéx - Estéril. (Exclusivo ME/EPP)</t>
  </si>
  <si>
    <t>Máscara Laríngea N 5: - Material: PVC-Formato elíptico e punho de vedação flexível - Conector universal transparente - Proteção da válvula com código de cores - Isento de latéx - Estéril. (Exclusivo ME/EPP)</t>
  </si>
  <si>
    <t>Máscara para Ventilação não invasiva (VNI) TAMANHO P- Máscara facial para VNI CPAP BIPAP, Incluindo fixador cefálico em espuma e lycra, com orifícios de exalação e porta lateral oxigênio. Confeccionado em policarbonato e silicone. (Exclusivo ME/EPP)</t>
  </si>
  <si>
    <t>Máscara para Ventilação não invasiva (VNI) TAMANHO M- Máscara facial para VNI CPAP BIPAP, Incluindo fixador cefálico em espuma e lycra, com orifícios de exalação e porta lateral oxigênio. Confeccionado em policarbonato e silicone. (Exclusivo ME/EPP)</t>
  </si>
  <si>
    <t>Máscara para Ventilação não invasiva (VNI) TAMANHO G- Máscara facial para VNI CPAP BIPAP, Incluindo fixador cefálico em espuma e lycra, com orifícios de exalação e porta lateral oxigênio. Confeccionado em policarbonato e silicone. (Exclusivo ME/EPP)</t>
  </si>
  <si>
    <t>Pano de Campo Cirúrgico Sms estéril (óxido de etileno) de 1,30 x 2,00. 100 Polipropileno trilaminado. (Exclusivo ME/EPP)</t>
  </si>
  <si>
    <t>Seringa descartável para insulina volume 1 ml, com agulha 13x4,5 mm escala DE 2 a 100 unidades. Caixa com 100 unidades. SLIP (Cota reservada de 25 para ME/EPP)</t>
  </si>
  <si>
    <t>Seringa descartável para insulina volume 1 ml, com agulha 13x4,5 mm escala DE 2 a 100 unidades. Caixa com 100 unidades. SLIP (Ampla Concorrência)</t>
  </si>
  <si>
    <t>Sonda nasogástrica nº 10 de material descartável e de uso único, estéril, composto de tubo de PCV atóxico flexível, apresenta 4 furos e conector com tampa, embalada individualmente. Embalagem com dados de identificação, lote, data de fabricação e validade. Uni</t>
  </si>
  <si>
    <t>Sonda nasogástrica nº 12 de material descartável e de uso único, estéril, composto de tubo de PCV atóxico flexível, apresenta 4 furos e conector com tampa, embalada individualmente. Embalagem com dados de identificação, lote, data de fabricação e validade. Uni</t>
  </si>
  <si>
    <t>Sonda nasogástrica nº 14 de material descartável e de uso único, estéril, composto de tubo de PCV atóxico flexível, apresenta 4 furos e conector com tampa, embalada individualmente. Embalagem com dados de identificação, lote, data de fabricação e validade. Uni</t>
  </si>
  <si>
    <t>Sonda nasogástrica nº 16 de material descartável e de uso único, estéril, composto de tubo de PCV atóxico flexível, apresenta 4 furos e conector com tampa, embalada individualmente. Embalagem com dados de identificação, lote, data de fabricação e validade. Uni</t>
  </si>
  <si>
    <t>Sonda nasogástrica nº 18 de material descartável e de uso único, estéril, composto de tubo de PCV atóxico flexível, apresenta 4 furos e conector com tampa, embalada individualmente. Embalagem com dados de identificação, lote, data de fabricação e validade. Uni</t>
  </si>
  <si>
    <t xml:space="preserve">Sonda Uretral n10 - em látex, descartável, estéril, revestida com polímero de silicone. Resistente, extremidade lisa e arredondada. A embalagem individual deverá ser em papel grau cirúrgico, e conter as seguintes informações: identificação do produto, data de </t>
  </si>
  <si>
    <t xml:space="preserve">Sonda Uretral n12 - em látex, descartável, estéril, revestida com polímero de silicone. Resistente, extremidade lisa e arredondada. A embalagem individual deverá ser em papel grau cirúrgico, e conter as seguintes informações: identificação do produto, data de </t>
  </si>
  <si>
    <t>Luva para procedimento cirúrgico 6,5. fabricada em látex de alta qualidade, possuindo baixo índice de proteínas do látex, o que fornece maior probabilidade de reação alérgica ao látex. (Exclusivo ME/EPP)</t>
  </si>
  <si>
    <t>Luva para procedimento cirúrgico 7.0, fabricada em látex de alta qualidade, possuindo baixo índice de proteínas do látex, o que fornece menor probabilidade de reação alérgica ao látex, o que fornece menor probabilidade de reação alérgica ao látex. (Exclusivo M</t>
  </si>
  <si>
    <t>Luva para procedimento não cirúrgico tamanho grande. Material látex natural íntegro e uniforme, característica adicionais lubrificada com pó bioabsorvível , descartável, modelo atóxica, tipo ambidestra, tipo uso descartável, modelo formato anatômico, finalidad</t>
  </si>
  <si>
    <t>Luva para procedimento não cirúrgico tamanho médio. Material látex natural íntegro e uniforme, característica adicionais lubrificada com pó bioabsorvível , descartável, modelo atóxica, tipo ambidestra, tipo uso descartável, modelo formato anatômico, finalidade</t>
  </si>
  <si>
    <t>Luva para procedimento não cirúrgico tamanho pequeno. Material látex natural íntegro e uniforme, característica adicionais lubrificada com pó bioabsorvível, descartável, modelo atóxica, tipo ambidestra, tipo uso descartável, modelo formato anatômico, finalidad</t>
  </si>
  <si>
    <t>Luva látex p/ procedimento. Tamanho Extra Pequeno caixa com 100 unidades, para procedimento não cirúrgico, material látex natural íntegro e uniforme, tamanho extra pequeno, características adicionais lubrificadas com pó bioabsorvível, descartável, modelo atóxi</t>
  </si>
  <si>
    <t>Embalagem Esterilização, Papel Grau Cirúrgico, 20cm x 40cm</t>
  </si>
  <si>
    <t>Embalagem Esterilização, Papel Grau Cirúrgico, 30cm x 40cm</t>
  </si>
  <si>
    <t>Embalagem Esterilização, Papel Grau Cirúrgico, 10cm x 25cm</t>
  </si>
  <si>
    <t>Embalagem Esterilização, Papel Grau Cirúrgico, 15cm x 100m</t>
  </si>
  <si>
    <t>Indicador Biológico, Esterilização à Vapor, Terceira Geração, Autocontido, Resposta 3 a 5 horas</t>
  </si>
  <si>
    <t>Indicador Químico, Classe 5 integrador, Esterilização por Vapor</t>
  </si>
  <si>
    <t>Indicador Químico, Classe II, Bowie Dick, Esterilização à Vapor</t>
  </si>
  <si>
    <t>Saco para Autoclave e Descarte, Impermeável, Polietileno</t>
  </si>
  <si>
    <t>FRALDA DESCARTÁVEL INFANTIL M 28 UNIDADES.</t>
  </si>
  <si>
    <t>FRONHA HOSPITALAR 50 X 70.</t>
  </si>
  <si>
    <t>FRONHA LISA 70 X 50 CM.</t>
  </si>
  <si>
    <t>LENÇO UMEDECIDO INFANTIL.</t>
  </si>
  <si>
    <t>LENÇOL DE BERÇO 1,50 X 0,60 METROS.</t>
  </si>
  <si>
    <t>LENCOL HOSPITALAR COM ELASTICO</t>
  </si>
  <si>
    <t>LENCOL HOSPITALAR SEM ELASTICO</t>
  </si>
  <si>
    <t>LENÇOL LISO CASAL COM ELÁSTICO 1,90 X 1,40 METROS.</t>
  </si>
  <si>
    <t>LENÇOL LISO SOLTEIRO COM ELÁSTICO.</t>
  </si>
  <si>
    <t>LOTE 01 - AGULHA DE PUNCAO 18 G X 23 CM - ASPIRATIVA (CHIBA)</t>
  </si>
  <si>
    <t>MASCARA N-95; PROTEÇÃO FACIAL DE 5 CAMADAS; MÁSCARA SEMI DESCARTÁVEL PFF2/N95; COM CA 47329 (CERTIFICADO DE APROVAÇÃO DO MINISTÉRIO DO TRABALHO) E CERTIFICAÇÃO INMETRO VINCULADA AO C.A.; EFICIÊNCIA MÍNIMA: 98% CLASSE</t>
  </si>
  <si>
    <t>SERINGA 3ML COM AGULHA 0,55 X 20 - 24 G; COM ROSCA; CX</t>
  </si>
  <si>
    <t>SERINGA 5 ML COM AGULHA 0,7 X 25 - 22G; CX COM 100 UNS</t>
  </si>
  <si>
    <t>SERINGA PARA INSULINA; COM AGULHA; ULTRA-FINE 6 × 0,25MM; 1ML; COM ROSCA; CX COM 100 UNS</t>
  </si>
  <si>
    <t>CAMPO CIRURGICO - MATERIA-PRIMA: PLASTICO ADESIVO IODOFORADO, DESCARTAVEL; TAMANHO: APROXIMADO DE 660 X 450MM;</t>
  </si>
  <si>
    <t>CAMPO CIRURGICO - MATERIA-PRIMA: PLASTICO ADESIVO IODOFORADO, DESCARTAVEL; TAMANHO: APROXIMADO DE 660 X 850MM;</t>
  </si>
  <si>
    <t>CAMPO CIRURGICO - MATERIA-PRIMA: SMS, 60G/M2; REPELENTE A LIQUIDOS; TAMANHO: 80 X 80 CM; FENESTRA REFORCADA DE 4 X 5 CM;</t>
  </si>
  <si>
    <t>Gel condutor 1KL</t>
  </si>
  <si>
    <t>Esparadrapo 5cm por 4,5 metros</t>
  </si>
  <si>
    <t>Luva de Procedimento Não Cirúrgico de Látex com Pó Bioabsorvível Caixa com 100 unidades Tamanho M.</t>
  </si>
  <si>
    <t>Luva de Procedimento Não Cirúrgico de Látex com Pó Bioabsorvível Caixa com 100 unidades Tamanho G.</t>
  </si>
  <si>
    <t>Lençol Descartável de papel Hospitalar 70cm x 50m. Caixa com 10 rolos..</t>
  </si>
  <si>
    <t>AGULHA ODONTOLÓGICA 27G CURTA, AÇO INOXIDÁVEL SILICONIZADO, BISEL TRIFACETADO, CONEXÃO PARA SERINGA CARPULE, ESTÉRIL E DESCARTÁVEL, COM PROTETOR PLÁSTICO E LACRE. CAIXA COM 100 UNIDADES.</t>
  </si>
  <si>
    <t>AGULHA ODONTOLÓGICA 30G EXTRA CURTA, AÇO INOXIDÁVEL SILICONIZADO, BISEL TRIFACETADO, CONEXÃO PARA SERINGA CARPULE, ESTÉRIL E DESCARTÁVEL, COM PROTETOR PLÁSTICO E LACRE. CAIXA COM 100 UNIDADES.</t>
  </si>
  <si>
    <t>BABADOR ODONTOLÓGICO, EM MATERIAL IMPERMEÁVEL, FLEXÍVEL E ATÓXICO, PARA PACIENTE ADULTO, REUTILIZÁVEL. ACABAMENTO LATERAL COM VIÉS OU SOLDA ELETRÔNICA DE ALTA RESISTÊNCIA, SEM REBARBAS. SISTEMA DE FIXAÇÃO/FECHAMENTO AJUSTÁVEL (ATRAVÉS DE CORDÃO DO PRÓPRIO MATE</t>
  </si>
  <si>
    <t>BABADOR ODONTOLÓGICO, EM MATERIAL IMPERMEÁVEL, FLEXÍVEL E ATÓXICO, PARA PACIENTE INFANTIL, COM ESTAMPAS LÚDICAS E COLORIDAS, REUTILIZÁVEL. ACABAMENTO LATERAL COM VIÉS OU SOLDA ELETRÔNICA DE ALTA RESISTÊNCIA, SEM REBARBAS. SISTEMA DE FIXAÇÃO/FECHAMENTO AJUSTÁVE</t>
  </si>
  <si>
    <t>BABADOR ODONTOLÓGICO, IMPERMEÁVEL, DESCARTÁVEL, DUPLA FACE, DIMENSÕES APROXIMADAS DE 30 CM X 40 CM (OU SUPERIOR), PACOTE COM 100 UNIDADES.</t>
  </si>
  <si>
    <t>CONJUNTO DE MOLDEIRAS ODONTOLÓGICAS TOTAIS PARA PACIENTES DENTADOS ADULTOS, PERFURADAS, EM ALUMÍNIO, REUTILIZÁVEIS E AUTOCLAVÁVEIS, CONTENDO, NO MÍNIMO, 8 PEÇAS, SENDO 4 SUPERIORES E 4 INFERIORES, EM TAMANHOS DIFERENTES.</t>
  </si>
  <si>
    <t>CONJUNTO DE MOLDEIRAS ODONTOLÓGICAS TOTAIS RASAS PARA PACIENTES EDÊNTULOS OU DESDENTADOS ADULTOS, EM ALUMÍNIO, REUTILIZÁVEIS E AUTOCLAVÁVEIS, CONTENDO 8 PEÇAS, SENDO 4 SUPERIORES E 4 INFERIORES, NOS TAMANHOS Nº 1, 2, 3 E 4.</t>
  </si>
  <si>
    <t>ENVELOPE AUTOSSELANTE PARA ESTERILIZAÇÃO, DESCARTÁVEL, CONFECCIONADO EM PAPEL GRAU CIRÚRGICO E FILME PLÁSTICO TRANSPARENTE MULTICAMADAS, INDICADOR QUÍMICO PARA ESTERILIZAÇÃO A VAPOR, ISENTO DE FUROS, RASGOS, MICROFUROS E SUBSTÂNCIAS TÓXICAS, TAMANHO 19 CM × 37</t>
  </si>
  <si>
    <t>ENVELOPE AUTOSSELANTE PARA ESTERILIZAÇÃO, DESCARTÁVEL, CONFECCIONADO EM PAPEL GRAU CIRÚRGICO E FILME PLÁSTICO TRANSPARENTE MULTICAMADAS, INDICADOR QUÍMICO PARA ESTERILIZAÇÃO A VAPOR, ISENTO DE FUROS, RASGOS, MICROFUROS E SUBSTÂNCIAS TÓXICAS, TAMANHO 25 CM × 35</t>
  </si>
  <si>
    <t xml:space="preserve">ENVELOPE AUTOSSELANTE PARA ESTERILIZAÇÃO, DESCARTÁVEL, CONFECCIONADO EM PAPEL GRAU CIRÚRGICO E FILME PLÁSTICO TRANSPARENTE MULTICAMADAS, INDICADOR QUÍMICO PARA ESTERILIZAÇÃO A VAPOR, ISENTO DE FUROS, RASGOS, MICROFUROS E SUBSTÂNCIAS TÓXICAS, TAMANHO 9 CM × 26 </t>
  </si>
  <si>
    <t>FIO DE SUTURA DE NYLON 5-0, MONOFILAMENTAR, NÃO ABSORVÍVEL, PRETO, ESTÉRIL, COM APROXIMADAMENTE 45 CM, AGULHADO, COM AGULHA DE AÇO INOXIDÁVEL, TRIANGULAR CORTANTE, 3/8 DE CÍRCULO, MEDINDO APROXIMADAMENTE 20 MM, DE USO ÚNICO, CAIXA COM 24 ENVELOPES INDIVIDUAIS.</t>
  </si>
  <si>
    <t>FIO DE SUTURA DE NYLON 6-0, MONOFILAMENTAR, NÃO ABSORVÍVEL, PRETO, ESTÉRIL, COM APROXIMADAMENTE 45 CM, AGULHADO, COM AGULHA DE AÇO INOXIDÁVEL, TRIANGULAR CORTANTE, 3/8 DE CÍRCULO, MEDINDO APROXIMADAMENTE 20 MM, DE USO ÚNICO, CAIXA COM 24 ENVELOPES INDIVIDUAIS.</t>
  </si>
  <si>
    <t>FIO DE SUTURA ODONTOLÓGICO DE NYLON 3-0, MONOFILAMENTAR, NÃO ABSORVÍVEL, PRETO, ESTÉRIL, COM APROXIMADAMENTE 45 CM, AGULHADO, COM AGULHA DE AÇO INOXIDÁVEL, TRIANGULAR CORTANTE, 1/2 CÍRCULO, MEDINDO APROXIMADAMENTE 17 MM, DE USO ÚNICO, CAIXA COM 24 ENVELOPES IN</t>
  </si>
  <si>
    <t>FIO DE SUTURA ODONTOLÓGICO DE NYLON 4-0, MONOFILAMENTAR, NÃO ABSORVÍVEL, PRETO, ESTÉRIL, COM APROXIMADAMENTE 45 CM, AGULHADO, COM AGULHA DE AÇO INOXIDÁVEL, TRIANGULAR CORTANTE, 1/2 CÍRCULO, MEDINDO APROXIMADAMENTE 17 MM, DE USO ÚNICO, CAIXA COM 24 ENVELOPES IN</t>
  </si>
  <si>
    <t>FIO DE SUTURA ODONTOLÓGICO DE SEDA 3-0, MULTIFILAMENTAR TRANÇADO, NÃO ABSORVÍVEL, PRETO, ESTÉRIL, COM APROXIMADAMENTE 45 CM, AGULHADO, COM AGULHA DE AÇO INOXIDÁVEL, TRIANGULAR CORTANTE, 1/2 CÍRCULO, MEDINDO APROXIMADAMENTE 17 MM, DE USO ÚNICO, CAIXA COM 24 ENV</t>
  </si>
  <si>
    <t>LENÇOL DE BORRACHA PARA ISOLAMENTO DENTAL, EM LÁTEX DE BORRACHA NATURAL DE ALTA RESISTÊNCIA E ELASTICIDADE, ESPESSURA MÉDIA, TAMANHO APROXIMADO 15 CM X 15 CM, SABOR MENTA, TUTTI-FRUTTI OU SEM SABOR, CAIXA COM 26 UNIDADES.</t>
  </si>
  <si>
    <t>MOLDEIRA ODONTOLÓGICA DESCARTÁVEL EM ESPUMA DE POLIESTIRENO, DUPLA, PARA APLICAÇÃO DE FLÚOR, TAMANHOS SORTIDOS P, M E G, PACOTE COM 100 UNIDADES.</t>
  </si>
  <si>
    <t>SERINGA ODONTOLÓGICA CARPULE EM AÇO INOXIDÁVEL, COM REFLUXO ASPIRATIVO, AUTOCLAVÁVEL.</t>
  </si>
  <si>
    <t>AGULHA ODONTOLÓGICA 30G CURTA, AÇO INOXIDÁVEL SILICONIZADO, BISEL TRIFACETADO, CONEXÃO PARA SERINGA CARPULE, ESTÉRIL E DESCARTÁVEL, COM PROTETOR PLÁSTICO E LACRE. CAIXA COM 100 UNIDADES.</t>
  </si>
  <si>
    <t>PULSEIRA PARA IDENTIFICACAO USO HOSPITALAR - USO: PACIENTE; MODELO: ADULTO/PEDIATRICO; COR: AMARELA; MATERIA-PRIMA: MATERIAL ANTIALERGICO E RESISTENTE</t>
  </si>
  <si>
    <t>PULSEIRA PARA IDENTIFICACAO USO HOSPITALAR - USO: PACIENTE; MODELO: ADULTO/PEDIATRICO; COR: VERDE; MATERIA-PRIMA: MATERIAL ANTIALERGICO E RESISTENTE;</t>
  </si>
  <si>
    <t>CANULA DESCARTAVEL PARA TRAQUEOSTOMIA - TIPO: COM BALONETE E SISTEMA DE ASPIRACAO SUPRA CUFF; NUMERO: 7,0; MATERIA-PRIMA: PVC ATOXICO, SILICONADO, RADI</t>
  </si>
  <si>
    <t>OCULOS DE PROTECAO USO HOSPITALAR - LENTES: POLICARBONATO; APLICACAO: PROTECAO CONTRA RESPINGOS E PARTICULAS VOLANTES; COR: INCOLOR; ARMACAO: POLICARBO</t>
  </si>
  <si>
    <t>LUVA DESCARTAVEL PROCEDIMENTOS NAO CIRURGICOS - COMPOSICAO: 100% BORRACHA NITRILICA; ESTERIL: NAO; TAMANHO: M; PO: ISENTA DE PO; FORMATO: AMBIDESTRA; T</t>
  </si>
  <si>
    <t>LUVA DESCARTAVEL PROCEDIMENTOS NAO CIRURGICOS - COMPOSICAO: 100% BORRACHA NITRILICA; ESTERIL: NAO; TAMANHO: G; PO: ISENTA DE PO; FORMATO: AMBIDESTRA; T</t>
  </si>
  <si>
    <t>LUVA DESCARTAVEL PROCEDIMENTOS NAO CIRURGICOS - COMPOSICAO: 100% BORRACHA NITRILICA; ESTERIL: NAO; TAMANHO: P; PO: ISENTA DE PO; FORMATO: AMBIDESTRA; T</t>
  </si>
  <si>
    <t>SERINGA DESCARTAVEL - MATERIA-PRIMA: POLIPROPILENO; CAPACIDADE: 3ML;</t>
  </si>
  <si>
    <t>SONDA DE USO MEDICO - IDENTIFICACAO: FOLEY 2 VIAS; NUMERO/TAMANHO: 18 E CAPACIDADE BALAO EM IMPRESSOS LOCAL VISIVEL; MATERIA-PRIMA: SILICONE;</t>
  </si>
  <si>
    <t>AGULHA DE PUNCAO - MATERIA-PRIMA: ACO INOX; BISEL: TIPO HUBER, COM DISPOSITIVO DE SEGURANCA; CALIBRE: 20G X 25 MM APROXIMADAMENTE;</t>
  </si>
  <si>
    <t>Bolsa coletora de urina sistema aberto 2.000 mlCom barbante. Recipiente nao fixado ao corpo humano e para coleta de residuos organicos. Destinado a drenagem e coleta de urina de pacientes adultos em sistema aberto, quando se requer um controle aproximado na di</t>
  </si>
  <si>
    <t>FRALDA DESCARTAVEL GERIATRICA XG BIGFRAL C/7 UNI</t>
  </si>
  <si>
    <t>FRALDA DESCARTAVÉL GERIÁTRICA XG BIGFRAL C/7 UNI</t>
  </si>
  <si>
    <t>CURATIVO COMPRESSA GAZE COM EMULSAO DE PETROLATUM 7,6 CM X 7,6 CM. COBERTURA ESTERIL, NAO ADESIVA, FLEXIVEL, COMPOSTA POR MALHA TEXTIL DE ACETATO DE CELULOSE OU VISCOSE COM POROSIDADE CALIBRADA, DEVE SER UNIFORME E COM FILAMENTO CONTINUO QUE NAO DESFIA E NAO L</t>
  </si>
  <si>
    <t>CURATIVO DE HIDROCOLOIDE REVESTIDO DE ALGINATO DE CALCIO 10 CM X 10 CM. COBERTURA ESTERIL, AUTOADESIVA, FLEXIVEL, COMPOSTA MATRIZ ELASTOMERICA SINTETICA CONTENDO PARTICULAS HIDROATIVAS DE CARBOXIMETILCELULOSE DE SODIO, INTEGRADA E ASSOCIADA A FIBRAS DE ALGINAT</t>
  </si>
  <si>
    <t>CURATIVO DE HIDROCOLOIDE REVESTIDO DE ALGINATO DE CALCIO 20 CM X 20 CM. COBERTURA ESTERIL, AUTOADESIVA, FLEXIVEL, COMPOSTA MATRIZ ELASTOMERICA SINTETICA CONTENDO PARTICULAS HIDROATIVAS DE CARBOXIMETILCELULOSE DE SODIO, INTEGRADA E ASSOCIADA A FIBRAS DE ALGINAT</t>
  </si>
  <si>
    <t>Lâmina Bisturi Lâmina Bisturi, Material:Aço Inoxidável, Tamanho:Nº 15 C, Tipo:Descartável, Esterilidade:Estéril, Características Adicionais:Embalada Individualmente</t>
  </si>
  <si>
    <t>Indicador Biológico P/ Processamento De Produtos De Saúde tipo: segunda geração, apresentação: autocontido, ampola com meio de cultura, espécie: bacillus stearothermophillus, características adicionais: para esterilização a vapor</t>
  </si>
  <si>
    <t>Luva P/ Procedimento De Saúde Não Cirúrgico C/ Anvisa material: borracha natural - látex, superfície: superfície texturizada, formato: ambidestra, pó: sem pó, cor: c/ cor, tamanho: pequeno - p, esterilidade: não estéril, uso único</t>
  </si>
  <si>
    <t>Touca tipo: descartável, material: polipropileno, cor: branca, características adicionais: tamanho único com elástico</t>
  </si>
  <si>
    <t>Lâmina Bisturi material: aço carbono, tamanho: nº 15c, tipo: descartável, esterilidade: estéril, características adicionais: embalada individualmente</t>
  </si>
  <si>
    <t>AVENTAL CIRURGICO DESCARTAVEL, ESTERIL, ATOXICO, E APO ALERGICO, IMPERMEAVEL PARA FLUIDO CORPOREO E MANGA LONGA. PRODUZIDO EM MATERIAL 100 POLIPROPILENO, NA COR AZUL, POR PROCESSO SMS E GRAMATURA MEDIA 40 GR/M2</t>
  </si>
  <si>
    <t>MASCARA RESPIRATORIA PFF2, COM VALVULA DE EXALACAO CONFECCIONADA EM QUATRO CAMADAS, SENDO TRES FIBRAS SINTETICAS E UMA CAMADA FILTRANTE DE FIBRA SINTETICA COM TRATAMENTO ELETROSTATICO, COM TIRANTES DE ELASTICO PARA SUSTENTACAO DA PECA FACIAL METALICA PARA AJUS</t>
  </si>
  <si>
    <t>CPAP COM UMIDIFICADOR:EQUIPAMENTO PARA TERAPIA DE PRESSÃO POSITIVA CONTÍNUA NAS VIAS AÉREAS, COM FAIXA DE PRESSÃO DE 4 A 20 CMH?O, UMIDIFICADOR INTEGRADO COM CONTROLE DE TEMPERATURA E COMPENSAÇÃO DE VAZAMENTOS, AJUSTE DE PRESSÃO, DISPLAY DIGITAL, SISTEMA DE MO</t>
  </si>
  <si>
    <t>GEL CONDUTOR PARA ECG – 5 KG</t>
  </si>
  <si>
    <t>CAMPO CIRURGICO FENESTRADO, SMMS, ESTERIL, USO UNICO, TAMANHO M</t>
  </si>
  <si>
    <t>LENCOL, USO UNICO, EM TNT, COM ELASTICOS NAS LATERAIS, BRANCO, COMPOSTO DE 100 POLIPROPILENO. MEDINDO 2,20 X 1,40 M (VARIACAO ACEITAVEL DE ATE 5), GRAMATURA MINIMA 30 GM2, ANTI-ESTATICO</t>
  </si>
  <si>
    <t>CAMPO CIRURGICO FENESTRADO, ESTERIL, SMMS, USO UNICO, TAMANHO P</t>
  </si>
  <si>
    <t>CAMPO CIRURGICO, ESTERIL, USO UNICO, SMMS, TAMANHO M</t>
  </si>
  <si>
    <t>CAMPO CIRURGICO, ESTERIL, USO UNICO, SMMS, TAMANHO P</t>
  </si>
  <si>
    <t>LENCOL EM TNT, COR BRANCA, SEM ELASTICO, GRAMATURA 30 GM2, DIMENSOES: 2,0 X 0,90 M</t>
  </si>
  <si>
    <t>LENCOL, USO UNICO, EM TNT, COM ELASTICOS NAS LATERAIS, BRANCO</t>
  </si>
  <si>
    <t>ENVELOPE PARA ESTERILIZAÇÃO EM AUTOCLAVE -9 CM X 26 CM PACOTE COM 200</t>
  </si>
  <si>
    <t>MOLDEIRAS PRA APLICAÇÃO DE FLÚOR EM CERA, CAIMOLDEIRAS PRA APLICAÇÃO DE FLÚOR EM CERA, CAIXA COM 50 UNIDADES</t>
  </si>
  <si>
    <t>AGULHA DESCARTAVEL, 13 X 4,5 - TIPO: HIPODERMICA TAMANHO: 13 X 4,5 APRESENTACAO: ESTERIL, COM BISEL TRIFACETADO E CANHAO DE PLASTICO RESISTENTE E ATOXICO MATERIAL DE FABRICACAO: EM ACO INOX, SILICONIZADA EMBALAGEM: CAIXA C/ 100 UN ESPECIFICACAO COMPLEMENTAR: E</t>
  </si>
  <si>
    <t>AGULHA DESCARTAVEL, 25 X 6,0 - TIPO: HIPODERMICA TAMANHO: 25 X 6,0 APRESENTACAO: ESTERIL, COM BISEL TRIFACETADO E CA NHAO DE PLASTICO RESISTENTE E ATOXICO MATERIAL DE FABRICACAO: EM ACO INOX, SILICONIZADA EMBALAGEM: CX C/ 100 UN ESPECIFICACAO COMPLEMENTAR: EMB</t>
  </si>
  <si>
    <t>AGULHA DESCARTAVEL, 30 X 8MM - HIPODERMICA DESCARTAVEL SILICONIZADA, ESTERIL, 30X8MM, HASTE DE ACO, INOXIDAVEL, COM PONTA BISEL TRIFACETADO, CANHAO PLASTICO EM COR UNIVERSAL, CONECTOR PADRAO ADAPTAVEL A SERINGA E OUTROS DIS- POSITIVOS, PROTETOR PLASTICO EMBALA</t>
  </si>
  <si>
    <t>AGULHA DESCARTAVEL, 25 X 7,0 - TIPO: HIPODERMICA TAMANHO: 25 X 7,0 APRESENTACAO: ESTERIL, COM BISEL TRIFACETADO E CA NHAO DE PLASTICO RESISTENTE E ATOXICO MATERIAL DE FABRICACAO: EM ACO INOX, SILICONIZADA EMBALAGEM: CX C/ 100 UN ESPECIFICACAO COMPLEMENTAR: EMB</t>
  </si>
  <si>
    <t>AGULHA DESCARTAVEL, 40 X 12 - TIPO: HIPODERMICA TAMANHO: 40 X 12 APRESENTACAO: ESTERIL, COM BISEL TRIFACETADO E CA NHAO DE PLASTICO RESISTENTE E ATOXICO MATERIAL DE FABRICACAO: EM ACO INOX, SILICONIZADA EMBALAGEM: CX C/ 100 UN ESPECIFICACAO COMPLEMENTAR: EMBAL</t>
  </si>
  <si>
    <t>AGULHA DESCARTAVEL, 20 X 5,5 - TIPO: HIPODERMICA TAMANHO: 20 X 5,5 APRESENTACAO: ESTERIL, COM BISEL TRIFACETADO E CA NHAO PLASTICO RESISTENTE E ATOXICO MATERIAL: EM ACO INOX, SILICONIZADA EMBALAGEM: CX C/ 100 UN ESPECIFICACAO COMPLEMENTAR: EMBALADA INDIVIDUALM</t>
  </si>
  <si>
    <t>AVENTAL CIRURGICO 100% POLIPROPILENO GG - AVENTAL CIRURGICO AZUL IMPERMEAVEL GRAMATURA 50</t>
  </si>
  <si>
    <t>CATETER NASAL PVC COM PRONG DE SILICONE TIPO - OCULOS PRONG DE SILICONE INFANTIL.</t>
  </si>
  <si>
    <t>CATETER NASAL TIPO OCULOS PVC C/ PROLONG SILICONE - TAMANHO NEONATAL</t>
  </si>
  <si>
    <t xml:space="preserve">COLETOR DE URINA SIST. ABERTO - COLETOR DE URINA SISTEMA ABERTO - BOLSA COLETORA COM CAPACIDADE DE 1200 ML. C/ VALVULA ANTI-REFLU- XO, PINCA CORTA FLUXO, MEMBRANA AUTO CICATRIZANTE PARA COLETA DE AMOSTRA, VALVULA DE DRENAGEM AMPLA E ERGONOMICA, ADAPTADOR PARA </t>
  </si>
  <si>
    <t>COLETOR DE URINA SISTEMA FECHADO - COLETOR DE URINA SISTEMA FECHADO - BOLSA COLETORA COM CAPACIDADE DE 2000 ML. C/ VALVULA ANTI-REFLU- XO, PINCA CORTA FLUXO, MEMBRANA AUTO CICATRIZANTE PARA COLETA DE AMOSTRA, VALVULA DE DRENAGEM AMPLA E ERGONOMICA, ADAPTADOR P</t>
  </si>
  <si>
    <t>ELETRODO DESCARTAVEL ADULTO P/ MONITORIZACAO - CARDIACA, COMPOSTA DE ESPONJAS DUPLAS COM GEL EM KEL C/ PROTECAO ATE A UTILIZACAO, PINO DE EN- CAIXE EM ACO INOX, CONTRA PINO DE PRATA / CLORETO DE PRATA SUPORTE PROTETOR POROSO E HIPOALERGENICO FORMATO ARO FLEXIV</t>
  </si>
  <si>
    <t>EQUIPO BOMBA FOTOSSENSIVEL P/ SOLUCOES PARENTERAIS - EQUIPO SIMPLES DE USO UNICO DESCARTAVEL ESTERIL ATOXICO ASPIROGENICO COMPRIMENTO DE APROX. 2,30M CONSTITUIDO POR PONTA PERFURANTE TIPO UNIVERSAL COM FILTRO DE AR TIPO VALVULA CAMARA GOTEJADORA FLEXIVEL E TUB</t>
  </si>
  <si>
    <t>ESPARADRAPO IMPERMEAVEL COR BRANCA 10CM.X4,5M. - COR BRANCA. CONFECCIONADO COM TECIDO 100% ALGODAO. FACILIDADE NO RASGO. RESINA ACRILICA E ADESIVA A BASE DE BORRACHA NATURAL, COM EXCELENTE ADESAO, ISENTO DE SUJIDADES. ENROLADO EM CARRETEL EM EMBALAGEM COM DADO</t>
  </si>
  <si>
    <t>FILTRO DE BARREIRA HMEF PEDIATRICO - FILTRO DED BARREIRA HMEF (HYROBAC BACTERIANO) PEDIATRICO EFICIENCIA FILTRACAO 99,99% ESPACO MOR TO APROX 34ML RESISTENCIA AO FLUXO A 30 L/MIN &lt;0,2 KPA VOLUME INTERNO 39,8CM3 UMIDIFICACAO 30,5MG H20/L CONEXOES RETA 22M-15F/2</t>
  </si>
  <si>
    <t>FIO CIRURGICO INABSORVIVEL MONOFILAMENTAR - FIO CIRURGICO INABSORVIVEL MONOFILAMENTAR DE POLIAMIDA,2.0 (NYLON) COM 45CM, AGULHA 31MM, COM CURVATURA DE 3/8 CIRCULO TRIANGULAR, COR PRETO (CUTICULAR).</t>
  </si>
  <si>
    <t>FIO CIRURGICO NYLON 6.0 45CM, C/ AGULHA 3/8 - 19MM - FIO CIRURGICO INABSORVIVEL MONOFILAMENTAR DE POLAMIDA 6.0 C/ 45 CM, COM AGULHA 19MM, CURVATURA DE 3/8 CIRCULO TRIANGULAR. COR PRETO.(CUTICULAR) ACONDICIONADOO EM ENVELOPE SECUNDARIO, ESTERIL EM EMBALAGEM IND</t>
  </si>
  <si>
    <t>FIO NYLON 4.0 45CM C/ AGULHA 3/8 - 19MM - FIO CIRURGICO INABSORVIVEL MONOFILAMENTAR DE POLAMIDA 4.0 COM 45 CM, COM AGULHA 19MM, CURVATURA DE 3/8 CIRCULO TRIANGULAR. COR PRETO. ACONDI- CIONADO EM ENVELOPE SECUNDARIO, ESTERIL. EM EMBALAGEM INDIVIDUAL QUE FACILIT</t>
  </si>
  <si>
    <t>COMPRESSA DE GAZE TIPO QUEIJO - 91 CM DE LARGURA X 3 DOBRAS ALVEJADA, NAO ESTERIL 08 DOBRAS, 13 FIOS 100% ALGODAO, ALTAMENTE ABSOR- VENTE, MACIO E ISENTO DE IMPUREZAS, EMBALAGEM C/ DADOS DE IDENTIFICACAO, PROCEDENCIA, VALIDADE E REGISTRO NO MS.</t>
  </si>
  <si>
    <t>INDICADOR BIOLOGICO P/ VAPOR (03 HORAS) - INDICADOR BIOLOGICO PARA VAPOR DO TIPO AUTO CONTIDO COM TEMPO DE RESPOSTA FINAL NEGATIVA EM 3 HORAS POR METODO DE FLUORESCENCIA PARA O MONITO RAMENTO BIOLOGICO DE CICLOS DE ESTERILIZACAO A VAPOR SATURADO SOB PRESSAO CO</t>
  </si>
  <si>
    <t>INTEGRADOR QUIMICO INTERNO CLASSE 5 - CAPAZ DE REAGIR A TODOS OS PARAMETROS CRITICOS DA ESTERILIZACAO A VAPOR SATURADO SOB PRESSAO. SAO INTEGRADORES QUE TRABALHAM COM TEMPERATURA ESPECI FICA PARA 121 A 134 GRAUS CENTIGRADOS</t>
  </si>
  <si>
    <t>LENCO P/ BANHO NAO ESTERIL, ABERTO: 30X35CM - PARA BANHO DE LEITO E ASSEPSIA DE PACIENTES. EXTRA ABSORVENTE, ALTA ABSORCAO E RETENCAO DE LIQ UIDOS, MACIO E COM EMBALGEM COM PICOTE ESPECIAL Q UE FACILITA A ABERTURA . TAMANHO: 30X35 CM ABERTO . COMPOSICAO: 65% V</t>
  </si>
  <si>
    <t>LENCOL DESCARTAVEL 70CM X 50M, HOSPITAR DE PAPEL - 100% CELULOSE VIRGEM BRANCO LUXO DE FIBRAS LONGAS MEDIDA: 70CM X 50M.</t>
  </si>
  <si>
    <t>LUVA DESCARTAVEL CIRURGICA N.6,5 - LUVA CIRURGICA ESTERIL CONFECCIONADA EM COMPOSTO ESPECIAL DE LATEX NATURAL QUE LHE DA AS CARACTE- RISTICAS DE ALTA SENSIBILIDADE TATIL, FLEXIBILIDA DE E RESISTENCIA COM FORMATO ANATOMICO, COM PUNHO ALONGADO, REFORCADO C/ ESTR</t>
  </si>
  <si>
    <t>LUVA DESCARTAVEL CIRURGICA N. 7,0 - LUVA CIRURGICA ESTERIL CONFECCIONADA EM COMPOSTO ESPECIAL DE LATEX NATURA, OQUE LHE DA AS CARACTE- RISTICAS DE ALTA SENSIBILIDADE TATIL, FLEXIBILIDA DE E RESISTENCIA COM FORMATO ANATOMICO, COM PUNHO ALONGADO, REFORCADO C/ ES</t>
  </si>
  <si>
    <t>LUVA DESCARTAVEL CIRURGICA N. 7,5 - LUVA CIRURGICA ESTERIL CONFECCIONADA EM COMPOSTO ESPECIAL DE LATEX NATURAL QUE LHE DA AS CARACTE- RISTICAS DE ALTA SENSIBILIDADE TATIL, FLEXIBILIDA DE E RESISTENCIA COM FORMATO ANATOMICO, COM PUNHO ALONGADO, REFORCADO C/ EST</t>
  </si>
  <si>
    <t>LUVA DESCARTAVEL CIRURGICA No. 8,5 - LUVA CIRURGICA ESTERIL CONFECCIONADA EM COMPOSTO ESPECIAL DE LATEX NATURA, OQUE LHE DA AS CARACTE- RISTICAS DE ALTA SENSIBILIDADE TATIL, FLEXIBILIDA DE E RESISTENCIA COM FORMATO ANATOMICO, COM PUNHO ALONGADO, REFORCADO C/ E</t>
  </si>
  <si>
    <t>MASCARA LARINGEA DESCARTAVEL No. 05 - SEM LATEX</t>
  </si>
  <si>
    <t>PAPEL GRAU CIRURGICO - TAMANHO 150 MM X 250 MM - RESISTENTE A ESTERILIZACAO E AO MANUSEIO, ATOXICO C/ UMA FACE BRANCA OPACA E A OUTRA TRANSPARENTE, DECARTAVEL,TAMANHO 150 X 250, EMBALAGEM COM 200 DE IDENTIFICACAO E PROCEDENCIA E VALIDADE REGISTRO NO MS. COM FI</t>
  </si>
  <si>
    <t>PAPEL GRAU CIRURGICO - TAMANHO 150MM X 300 MM - RESISTENTE A ESTERILIZACAO E AO MANUSEIO, ATOXICO C/ UMA FACE BRANCA OPACA E A OUTRA TRANSPARENTE, DECARTAVEL, EMBALAGEM COM 200 UNIDADES, COM DADOS DE IDENTIFICACAO E PROCEDENCIA E VALIDADE REGISTRO NO MS. COM F</t>
  </si>
  <si>
    <t>PAPEL GRAU CIRURGICO - TAMANHO 300MM X 500MM - RESISTENTE A ESTERILIZACAO E AO MANUSEIO, ATOXICO C/ UMA FACE BRANCA OPACA E A OUTRA TRANSPARENTE, DECARTAVEL, EMBALAGEM COM 200 UNIDADES, COM DADOS DE IDENTIFICACAO E PROCEDENCIA E VALIDADE REGISTRO NO MS. COM FI</t>
  </si>
  <si>
    <t xml:space="preserve">PAPEL GRAU CIRURGICO - TAMANHO 200MM X 330MM - RESISTENTE A ESTERILIZACAO E AO MANUSEIO, ATOXICO C/ UMA FACE BRANCA OPACA E A OUTRA TRANSPARENTE, DECARTAVEL,TAMANHO 200X330, EMBALAGEM COM 200 UNIDADES. COM FITA PROTETORA IDENTIFICACAO E PROCEDENCIA E VALIDADE </t>
  </si>
  <si>
    <t>PULSEIRA PLASTICA IDENTIFICADORA - ADULTO - PARA IDENTIFICACAO DE PACIENTE ADULTO COM LOGOMARCA, IMPERMEAVEL, HIPOALERGENICA, COM FECHO INDESTRUTIVEL, COM AREA DE INSCRICAO QUE PERMITE O USO DE CANETA ESFEROGRAFICA DE FORMA INDELEVEL MEDINDO 2,5 X 6,2 CM DE CO</t>
  </si>
  <si>
    <t>SERINGA DESCARTAVEL, 5 ML. (SEM AGULHA) - SERINGA DE PLASTICO DESCARTAVEL 05 ML SEM AGULHA, C/ ROSCA CONFECCIONADA EM POLIPROPILENO ATOXICO, APIROGENICA INTEGRO E ADEQUADO, O PRODUTO ACABADO DE PLASTICO TRANSPARENTE, PERMITINDO A VISUALIZA- CAO NITIDA DO FLUID</t>
  </si>
  <si>
    <t>SERINGA DE PLASTICO DESCARTAVEL 10ML S/ AGULHA - SERINGA DE PLASTICO DESCARTAVEL 10ML S/ AGULHA COM BICO CONFECCIONADA EM POLIPROPILENO ATOXICO APIROGENICA INTEGRO E ADEQUADO O PRODUTO ACABADO DE PLASTICO TRASPARENTE PERMITINDO A VISUALIZA CAO NITIDA DO FLUIDO</t>
  </si>
  <si>
    <t>SERINGA DE PLASTICO DESCARTAVEL 20 ML S/ AGULHA - SERINGA DE PLASTICO DESCARTAVEL 20 ML S/ AGULHA COM BICO CONFECCIONADA EM POLIPROPILENO, ATOXICO APIROGENICA INTEGRO E ADEQUADO O PRODUTO ACABADO DE PLASTICO TRANSPARENTE PERMITINDO A VISUALIZA CAO NITIDA DO FL</t>
  </si>
  <si>
    <t>SERINGA DE PLASTICO DESCARTAVEL 3 ML SEM AGULHA - COM BICO CONFECCIONADA EM POLIPROPILENO ATOXICO APIROGENICA INTEGRO E ADEQUADO O PRODUTO ACABADO DE PLASTICO TRASPARENTE PERMITINDO A VISUALIZA CAO NITIDA DO FLUIDO ASPIRADO. O PRODUTO DEVE APRESENTAR RIGIDEZ E</t>
  </si>
  <si>
    <t xml:space="preserve">SONDA URETRAL No. 06 - ESTERIL. CONFECCIONADA EM POLIVINIL ATOXICO, FLEXIVEL SI- LICONIZADA, TRANSPARENTE INCOLOR COM COMPRIMENTO DE 38 A 40 CM, EMBALAGEM INDIVIDUAL, ESTERIL COM DADOS DE IDENTIFICACAO E PROCEDENCIA DATA DE ESTE RILIZACAO E TEMPO DE VALIDADE. </t>
  </si>
  <si>
    <t>SONDA URETRAL No. 08 - ESTERIL CONFECCIONADA EM POLIVINIL ATOXICO, FLEXIVEL SI- LICONIZADA, TRANSPARENTE INCOLOR COM COMPRIMENTO DE 38 A 40 CM, EMBALAGEM INDIVIDUAL, ESTERIL COM DADOS DE IDENTIFICACAO E PROCEDENCIA DATA DE ESTE RILIZACAO E TEMPO DE VALIDADE. R</t>
  </si>
  <si>
    <t>SONDA URETRAL No. 12 - ESTERIL CONFECCIONADA EM POLIVINIL ATOXICO, FLEXIVEL SI- LICONIZADA, TRANSPARENTE INCOLOR COM COMPRIMENTO DE 38 A 40 CM, EMBALAGEM INDIVIDUAL, ESTERIL COM DADOS DE IDENTIFICACAO E PROCEDENCIA DATA DE ESTE RILIZACAO E TEMPO DE VALIDADE. R</t>
  </si>
  <si>
    <t xml:space="preserve">SONDA URETRAL No. 14 - ESTERIL. CONFECCIONADA EM POLIVINIL ATOXICO, FLEXIVEL SI- LICONIZADA, TRANSPARENTE INCOLOR COM COMPRIMENTO DE 38 A 40 CM, EMBALAGEM INDIVIDUAL, ESTERIL COM DADOS DE IDENTIFICACAO E PROCEDENCIA DATA DE ESTE RILIZACAO E TEMPO DE VALIDADE. </t>
  </si>
  <si>
    <t>SONDA URETRAL NR 16 - ESTERIL. CONFECCIONADA EM POLIVINIL ATOXICO, FLEXIVEL SI- LICONIZADA, TRANSPARENTE INCOLOR COM COMPRIMENTO DE 38 A 40 CM, EMBALAGEM INDIVIDUAL, ESTERIL COM DADOS DE IDENTIFICACAO E PROCEDENCIA DATA DE ESTE RILIZACAO E TEMPO DE VALIDADE. R</t>
  </si>
  <si>
    <t xml:space="preserve">SONDA URETRAL No. 18 - CONFECCIONADA EM POLIVINIL ATOXICO, FLEXIVEL SI- LICONIZADA, TRANSPARENTE INCOLOR COM COMPRIMENTO DE 38 A 40 CM, EMBALAGEM INDIVIDUAL, ESTERIL COM DADOS DE IDENTIFICACAO E PROCEDENCIA DATA DE ESTE RILIZACAO E TEMPO DE VALIDADE. REGISTRO </t>
  </si>
  <si>
    <t xml:space="preserve">SONDA URETRAL No. 20 - CONFECCIONADA EM POLIVINIL ATOXICO, FLEXIVEL SI- LICONIZADA, TRANSPARENTE INCOLOR COM COMPRIMENTO DE 38 A 40 CM, EMBALAGEM INDIVIDUAL, ESTERIL COM DADOS DE IDENTIFICACAO E PROCEDENCIA DATA DE ESTE RILIZACAO E TEMPO DE VALIDADE. REGISTRO </t>
  </si>
  <si>
    <t xml:space="preserve">SONDA URETRAL No. 22 - CONFECCIONADA EM POLIVINIL ATOXICO, FLEXIVEL SI- LICONIZADA, TRANSPARENTE INCOLOR COM COMPRIMENTO DE 38 A 40 CM, EMBALAGEM INDIVIDUAL, ESTERIL COM DADOS DE IDENTIFICACAO E PROCEDENCIA DATA DE ESTE RILIZACAO E TEMPO DE VALIDADE. REGISTRO </t>
  </si>
  <si>
    <t>SERINGA DE PLASTICO DESCARTAVEL 5 ML SEM AGULHA C/ BICO - COM BICO CONFECCIONADA EM POLIPROPILENO ATOXICO APIROGENICA INTEGRO E ADEQUADO O PRODUTO ACABADO DE PLASTICO TRASPARENTE PERMITINDO A VISUALIZA CAO NITIDA DO FLUIDO ASPIRADO. O PRODUTO DEVE APRESENTAR R</t>
  </si>
  <si>
    <t xml:space="preserve">CÂNULA - CÂNULA DE TRAQUESTOMIA COM BALÃO 3,0 - CONFECCIONADA EM PVC COM BALÃO; PERMITE A VENTILAÇÃO E MANUTENÇÃO DA RESPIRAÇÃO DO PACIENTE; ATÓXICO; INODORA; SUPERFÍCIE LISA; PONTA ARREDONDADA; SILICONIZADO; ESTÉRIL; TERMOSSENSÍVEL, DESCARTÁVEL; TRANSPARENTE </t>
  </si>
  <si>
    <t xml:space="preserve">CÂNULA - CÂNULA DE TRAQUESTOMIA COM BALÃO 3,5 - CONFECCIONADA EM PVC COM BALÃO; PERMITE A VENTILAÇÃO E MANUTENÇÃO DA RESPIRAÇÃO DO PACIENTE; ATÓXICO; INODORA; SUPERFÍCIE LISA; PONTA ARREDONDADA; SILICONIZADO; ESTÉRIL; TERMOSSENSÍVEL, DESCARTÁVEL; TRANSPARENTE </t>
  </si>
  <si>
    <t xml:space="preserve">CÂNULA - CÂNULA DE TRAQUESTOMIA COM BALÃO 4,0 - CONFECCIONADA EM PVC COM BALÃO; PERMITE A VENTILAÇÃO E MANUTENÇÃO DA RESPIRAÇÃO DO PACIENTE; ATÓXICO; INODORA; SUPERFÍCIE LISA; PONTA ARREDONDADA; SILICONIZADO; ESTÉRIL; TERMOSSENSÍVEL, DESCARTÁVEL; TRANSPARENTE </t>
  </si>
  <si>
    <t xml:space="preserve">CÂNULA - CÂNULA DE TRAQUESTOMIA COM BALÃO 4,5 - CONFECCIONADA EM PVC COM BALÃO; PERMITE A VENTILAÇÃO E MANUTENÇÃO DA RESPIRAÇÃO DO PACIENTE; ATÓXICO; INODORA; SUPERFÍCIE LISA; PONTA ARREDONDADA; SILICONIZADO; ESTÉRIL; TERMOSSENSÍVEL, DESCARTÁVEL; TRANSPARENTE </t>
  </si>
  <si>
    <t xml:space="preserve">CÂNULA - CÂNULA DE TRAQUESTOMIA COM BALÃO 5,0 - CONFECCIONADA EM PVC COM BALÃO; PERMITE A VENTILAÇÃO E MANUTENÇÃO DA RESPIRAÇÃO DO PACIENTE; ATÓXICO; INODORA; SUPERFÍCIE LISA; PONTA ARREDONDADA; SILICONIZADO; ESTÉRIL; TERMOSSENSÍVEL, DESCARTÁVEL; TRANSPARENTE </t>
  </si>
  <si>
    <t xml:space="preserve">CÂNULA - CÂNULA DE TRAQUESTOMIA COM BALÃO 5,5 - CONFECCIONADA EM PVC COM BALÃO; PERMITE A VENTILAÇÃO E MANUTENÇÃO DA RESPIRAÇÃO DO PACIENTE; ATÓXICO; INODORA; SUPERFÍCIE LISA; PONTA ARREDONDADA; SILICONIZADO; ESTÉRIL; TERMOSSENSÍVEL, DESCARTÁVEL; TRANSPARENTE </t>
  </si>
  <si>
    <t xml:space="preserve">CÂNULA - CÂNULA DE TRAQUESTOMIA COM BALÃO 6,0 - CONFECCIONADA EM PVC COM BALÃO; PERMITE A VENTILAÇÃO E MANUTENÇÃO DA RESPIRAÇÃO DO PACIENTE; ATÓXICO; INODORA; SUPERFÍCIE LISA; PONTA ARREDONDADA; SILICONIZADO; ESTÉRIL; TERMOSSENSÍVEL, DESCARTÁVEL; TRANSPARENTE </t>
  </si>
  <si>
    <t>CÂNULA - CÂNULA DE TRAQUESTOMIA COM BALÃO 6,5 CONFECCIONADA EM PVC COM BALÃO; PERMITE A VENTILAÇÃO E MANUTENÇÃO DA RESPIRAÇÃO DO PACIENTE; ATÓXICO; INODORA; SUPERFÍCIE LISA; PONTA ARREDONDADA; SILICONIZADO; ESTÉRIL; TERMOSSENSÍVEL, DESCARTÁVEL; TRANSPARENTE CO</t>
  </si>
  <si>
    <t xml:space="preserve">CÂNULA - CÂNULA DE TRAQUESTOMIA COM BALÃO 7,0 - CONFECCIONADA EM PVC COM BALÃO; PERMITE A VENTILAÇÃO E MANUTENÇÃO DA RESPIRAÇÃO DO PACIENTE; ATÓXICO; INODORA; SUPERFÍCIE LISA; PONTA ARREDONDADA; SILICONIZADO; ESTÉRIL; TERMOSSENSÍVEL, DESCARTÁVEL; TRANSPARENTE </t>
  </si>
  <si>
    <t xml:space="preserve">CÂNULA - CÂNULA DE TRAQUESTOMIA COM BALÃO 7,5 - CONFECCIONADA EM PVC COM BALÃO; PERMITE A VENTILAÇÃO E MANUTENÇÃO DA RESPIRAÇÃO DO PACIENTE; ATÓXICO; INODORA; SUPERFÍCIE LISA; PONTA ARREDONDADA; SILICONIZADO; ESTÉRIL; TERMOSSENSÍVEL, DESCARTÁVEL; TRANSPARENTE </t>
  </si>
  <si>
    <t xml:space="preserve">CÂNULA - CÂNULA DE TRAQUESTOMIA COM BALÃO 8,0 - CONFECCIONADA EM PVC COM BALÃO; PERMITE A VENTILAÇÃO E MANUTENÇÃO DA RESPIRAÇÃO DO PACIENTE; ATÓXICO; INODORA; SUPERFÍCIE LISA; PONTA ARREDONDADA; SILICONIZADO; ESTÉRIL; TERMOSSENSÍVEL, DESCARTÁVEL; TRANSPARENTE </t>
  </si>
  <si>
    <t xml:space="preserve">CÂNULA - CÂNULA DE TRAQUESTOMIA COM BALÃO 8,5 - CONFECCIONADA EM PVC COM BALÃO; PERMITE A VENTILAÇÃO E MANUTENÇÃO DA RESPIRAÇÃO DO PACIENTE; ATÓXICO; INODORA; SUPERFÍCIE LISA; PONTA ARREDONDADA; SILICONIZADO; ESTÉRIL; TERMOSSENSÍVEL, DESCARTÁVEL; TRANSPARENTE </t>
  </si>
  <si>
    <t xml:space="preserve">CÂNULA - CÂNULA DE TRAQUESTOMIA COM BALÃO 9,0 - CONFECCIONADA EM PVC COM BALÃO; PERMITE A VENTILAÇÃO E MANUTENÇÃO DA RESPIRAÇÃO DO PACIENTE; ATÓXICO; INODORA; SUPERFÍCIE LISA; PONTA ARREDONDADA; SILICONIZADO; ESTÉRIL; TERMOSSENSÍVEL, DESCARTÁVEL; TRANSPARENTE </t>
  </si>
  <si>
    <t xml:space="preserve">CÂNULA - CÂNULA DE TRAQUESTOMIA COM BALÃO 9,5 - CONFECCIONADA EM PVC COM BALÃO; PERMITE A VENTILAÇÃO E MANUTENÇÃO DA RESPIRAÇÃO DO PACIENTE; ATÓXICO; INODORA; SUPERFÍCIE LISA; PONTA ARREDONDADA; SILICONIZADO; ESTÉRIL; TERMOSSENSÍVEL, DESCARTÁVEL; TRANSPARENTE </t>
  </si>
  <si>
    <t>CÂNULA - CÂNULA DE TRAQUESTOMIA SEM BALÃO 2,5 CONFECCIONADA EM PVC SEM BALÃO; PERMITE A VENTILAÇÃO E MANUTENÇÃO DA RESPIRAÇÃO DO PACIENTE; ATÓXICO; INODORA; SUPERFÍCIE LISA; PONTA ARREDONDADA; SILICONIZADO; ESTÉRIL; TERMOSSENSÍVEL, DESCARTÁVEL; TRANSPARENTE PO</t>
  </si>
  <si>
    <t xml:space="preserve">CÂNULA - CÂNULA DE TRAQUESTOMIA SEM BALÃO 3,0 - CONFECCIONADA EM PVC SEM BALÃO; PERMITE A VENTILAÇÃO E MANUTENÇÃO DA RESPIRAÇÃO DO PACIENTE; ATÓXICO; INODORA; SUPERFÍCIE LISA; PONTA ARREDONDADA; SILICONIZADO; ESTÉRIL; TERMOSSENSÍVEL, DESCARTÁVEL; TRANSPARENTE </t>
  </si>
  <si>
    <t xml:space="preserve">CÂNULA - CÂNULA DE TRAQUESTOMIA SEM BALÃO 3,5 - CONFECCIONADA EM PVC SEM BALÃO; PERMITE A VENTILAÇÃO E MANUTENÇÃO DA RESPIRAÇÃO DO PACIENTE; ATÓXICO; INODORA; SUPERFÍCIE LISA; PONTA ARREDONDADA; SILICONIZADO; ESTÉRIL; TERMOSSENSÍVEL, DESCARTÁVEL; TRANSPARENTE </t>
  </si>
  <si>
    <t xml:space="preserve">CÂNULA - CÂNULA DE TRAQUESTOMIA SEM BALÃO 4,0 - CONFECCIONADA EM PVC SEM BALÃO; PERMITE A VENTILAÇÃO E MANUTENÇÃO DA RESPIRAÇÃO DO PACIENTE; ATÓXICO; INODORA; SUPERFÍCIE LISA; PONTA ARREDONDADA; SILICONIZADO; ESTÉRIL; TERMOSSENSÍVEL, DESCARTÁVEL; TRANSPARENTE </t>
  </si>
  <si>
    <t xml:space="preserve">CÂNULA - CÂNULA DE TRAQUESTOMIA SEM BALÃO 4,5 - CONFECCIONADA EM PVC SEM BALÃO; PERMITE A VENTILAÇÃO E MANUTENÇÃO DA RESPIRAÇÃO DO PACIENTE; ATÓXICO; INODORA; SUPERFÍCIE LISA; PONTA ARREDONDADA; SILICONIZADO; ESTÉRIL; TERMOSSENSÍVEL, DESCARTÁVEL; TRANSPARENTE </t>
  </si>
  <si>
    <t xml:space="preserve">CÂNULA - CÂNULA DE TRAQUESTOMIA SEM BALÃO 5,0 - CONFECCIONADA EM PVC SEM BALÃO; PERMITE A VENTILAÇÃO E MANUTENÇÃO DA RESPIRAÇÃO DO PACIENTE; ATÓXICO; INODORA; SUPERFÍCIE LISA; PONTA ARREDONDADA; SILICONIZADO; ESTÉRIL; TERMOSSENSÍVEL, DESCARTÁVEL; TRANSPARENTE </t>
  </si>
  <si>
    <t xml:space="preserve">UMIDIFICADOR - CONJUNTO DE UMIFICADOR DE AR COMPRIMIDO - REAPROVEITÁVEL; FÁCIL PARA DESINFECÇÃO E LIMPEZA; CONFECCIONADO EM POLIPROPILENO; ACOMPANHA: 01 EXTENSÃO TRANSPARENTE - PVC - COM CONEXÃO PARA AR COMPRIMIDO, 1 FRASCO GRADUADO DE 250 ML, TRANSPARENTE; E </t>
  </si>
  <si>
    <t>COPO - COPO ASPIRADOR - COMPATÍVEL COM O ASPIRADOR CIRÚRGICO 6 L MD 600 - MEDICATE , COM CAPACIDADE DE 3 LITROS CADA FRASCO/TOTAL 6 LITROS, TAMPA COM VÁLVULA DE SEGURANÇA CONTRA TRANSBORDAMENTO, EM PLÁSTICO POLICARBONATO AUTOCLAVÁVEL, BPF, REGISTRO NO MINISTÉR</t>
  </si>
  <si>
    <t>FIO - FIO GUIA BOUGIE ADULTO TAMANHO : ADULTO PARA USO EM TUBOS TRAQUEAIS ENTRE 5.5MM A 10,0MMCOMPRIMENTO: 70 CM, ESPESSURA 5 MM (15F), SUPERFÍCIE ANTI- ADERENTE, SEGMENTO DISTAL ANGULADO, APROXIMADAMENTE 35º, COM MARCA VISUAL INDICATIVA EM SEU PONTO DE DEFLEX</t>
  </si>
  <si>
    <t>FIO - FIO GUIA BOUGIE INFANTIL - TAMANHO : INFANTIL PARA USO EM TUBOS TRAQUEAIS DE 4MM.COMPRIMENTO: 70 CM, ESPESSURA: (10F) SUPERFÍCIE ANTI- ADERENTE, SEGMENTO DISTAL ANGULADO, APROXIMADAMENTE 35º, COM MARCA VISUAL INDICATIVA EM SEU PONTO DE DEFLEXÃO, HASTE CO</t>
  </si>
  <si>
    <t>MÁSCARA DE OXIGÊNIO ALONGADA DE ALTA CONCENTRAÇÃO - ADULTO - MÁSCARA DE OXIGÊNIO COM BOLSA RESERVATORIO ADULTO - MASCARA DE OXIGENIO ALONGADA DE ALTA CONCENTRAÇÃO EM PVC , TRANSPARENTE, MACIA, CONFORTÁVEL, CONTÉM UM CLIPE NASAL AJUSTÁVEL, UMA TIRA ELÁSTICA AJU</t>
  </si>
  <si>
    <t>MÁSCARA DE OXIGÊNIO ALONGADA DE ALTA CONCENTRAÇÃO - INFANTIL - MÁSCARA DE OXIGÊNIO COM BOLSA RESERVATORIO INFANTIL - MASCARA DE OXIGENIO ALONGADA DE ALTA CONCENTRAÇÃO EM PVC , TRANSPARENTE, MACIA, CONFORTÁVEL, CONTÉM UM CLIPE NASAL AJUSTÁVEL, UMA TIRA ELÁSTICA</t>
  </si>
  <si>
    <t>MÁSCARA LARÍNGEA  AUTOCLAVÁVEL; ISENTA DE LÁTEX; CONFECCIONADA EM SILICONE; - MÁSCARA LARÍNGEA TAMANHO: Nº 1,0 - AUTOCLAVÁVEL; ISENTA DE LÁTEX; CONFECCIONADA EM SILICONE; TUBO PRINCIPAL CONFECCIONADO EM SILICONE DE ALTO NÍVEL; RESISTE AO AUTO VELAMENTO; CONEX</t>
  </si>
  <si>
    <t>MÁSCARA LARÍNGEA  AUTOCLAVÁVEL; ISENTA DE LÁTEX; CONFECCIONADA EM SILICONE; - MÁSCARA LARÍNGEA TAMANHO: Nº 1,5 - AUTOCLAVÁVEL; ISENTA DE LÁTEX; CONFECCIONADA EM SILICONE; TUBO PRINCIPAL CONFECCIONADO EM SILICONE DE ALTO NÍVEL; RESISTE AO AUTO VELAMENTO; CONEX</t>
  </si>
  <si>
    <t>MÁSCARA LARÍNGEA  AUTOCLAVÁVEL; ISENTA DE LÁTEX;CONFECCIONADA EM SILICONE;TAM 2 - MÁSCARA LARÍNGEA TAMANHO: Nº 2,0 AUTOCLAVÁVEL; ISENTA DE LÁTEX; CONFECCIONADA EM SILICONE; TUBO PRINCIPAL CONFECCIONADO EM SILICONE DE ALTO NÍVEL; RESISTE AO AUTO VELAMENTO; CON</t>
  </si>
  <si>
    <t>MÁSCARA LARÍNGEA  AUTOCLAVÁVEL; ISENTA DE LÁTEX; CONFECCIONADA EM SILICONE; - MÁSCARA LARÍNGEA TAMANHO: Nº 2,5 AUTOCLAVÁVEL; ISENTA DE LÁTEX; CONFECCIONADA EM SILICONE; TUBO PRINCIPAL CONFECCIONADO EM SILICONE DE ALTO NÍVEL; RESISTE AO AUTO VELAMENTO; CONEXÃO</t>
  </si>
  <si>
    <t>MÁSCARA LARÍNGEA  AUTOCLAVÁVEL; ISENTA DE LÁTEX; CONFECCIONADA EM SILICONE; - MÁSCARA LARÍNGEA TAMANHO: Nº 3,0 AUTOCLAVÁVEL; ISENTA DE LÁTEX; CONFECCIONADA EM SILICONE; TUBO PRINCIPAL CONFECCIONADO EM SILICONE DE ALTO NÍVEL; RESISTE AO AUTO VELAMENTO; CONEXÃO</t>
  </si>
  <si>
    <t>MÁSCARA LARÍNGEA  AUTOCLAVÁVEL; ISENTA DE LÁTEX; CONFECCIONADA EM SILICONE; - MÁSCARA LARÍNGEA TAMANHO: Nº 4,0 AUTOCLAVÁVEL; ISENTA DE LÁTEX; CONFECCIONADA EM SILICONE; TUBO PRINCIPAL CONFECCIONADO EM SILICONE DE ALTO NÍVEL; RESISTE AO AUTO VELAMENTO; CONEXÃO</t>
  </si>
  <si>
    <t>MÁSCARA LARÍNGEA  AUTOCLAVÁVEL; ISENTA DE LÁTEX; CONFECCIONADA EM SILICONE; - MÁSCARA LARÍNGEA TAMANHO: Nº 5,0 AUTOCLAVÁVEL; ISENTA DE LÁTEX; CONFECCIONADA EM SILICONE; TUBO PRINCIPAL CONFECCIONADO EM SILICONE DE ALTO NÍVEL; RESISTE AO AUTO VELAMENTO; CONEXÃO</t>
  </si>
  <si>
    <t>MÁSCARA VNI  INFANTIL- Confeccionada em silicone; para ventilação não invasiva; - MÁSCARA VNI - INFANTIL- CONFECCIONADA EM SILICONE; PARA VENTILAÇÃO NÃO INVASIVA; PARA ANESTESIA; COXIM; ABERTO; USO PERMANENTE; TRANSPARENTE; FÁCIL DE HIGIENIZAR; EMBALAGEM INDI</t>
  </si>
  <si>
    <t>MÁSCARA VNI  NEONATAL- Confeccionada em silicone; para ventilação não invasiva; - MÁSCARA VNI - NEONATAL- CONFECCIONADA EM SILICONE; PARA VENTILAÇÃO NÃO INVASIVA; PARA ANESTESIA; COXIM; ABERTO; USO PERMANENTE; TRANSPARENTE; FÁCIL DE HIGIENIZAR; EMBALAGEM INDI</t>
  </si>
  <si>
    <t>SISTEMA - SISTEMA FECHADO DE ASPIRAÇÃO TRAQUEAL - Nº 12 F - SONDA ATRAUMÁTICA, DE PONTA ARREDONDADA, GRADUADA EM CENTÍMETROS E COM MARCAÇÕES DIFERENCIADAS POR CORES, ENVOLTA EM LUVA DE PVC SILICONIZADO, CONECTOR EM T, VÁLVULA PARA CONTROLE DE VÁCUO COM TRAVA D</t>
  </si>
  <si>
    <t>SISTEMA - SISTEMA FECHADO DE ASPIRAÇÃO TRAQUEAL - Nº 14 F - SONDA ATRAUMÁTICA, DE PONTA ARREDONDADA, GRADUADA EM CENTÍMETROS E COM MARCAÇÕES DIFERENCIADAS POR CORES, ENVOLTA EM LUVA DE PVC SILICONIZADO, CONECTOR EM T, VÁLVULA PARA CONTROLE DE VÁCUO COM TRAVA D</t>
  </si>
  <si>
    <t>UMIDIFICADOR PARA OXIGÊNIO  Confeccionado em material plástico; cor: verde e br - UMIDIFICADOR PARA OXIGÊNIO COM EXTENSÃO E MÁSCARA CONFECCIONADO EM MATERIAL PLÁSTICO; COR: VERDE E BRANCO LEITOSO; COM INDICADOR DE MÁXIMO E MÍNIMO; TAMPA COM ROSCA DE METAL; SE</t>
  </si>
  <si>
    <t>GARROTE COM TRAVA PARA COLETA ADULTO.</t>
  </si>
  <si>
    <t>GARROTE COM TRAVA PARA COLETA INFANTIL EM TECIDO</t>
  </si>
  <si>
    <t>TESTE RAPIDO HCG GRAVIDEZ COM 50 TIRASSORO URINA</t>
  </si>
  <si>
    <t>TESTE RAPIDO SANGUE OCULTO NAS FEZES CAIXA C 25 UNI</t>
  </si>
  <si>
    <t>TUBO DE COLETA DE SANGUE COM EDTA 4ML TAMPA ROXA</t>
  </si>
  <si>
    <t>SACOLAENVELOPE TIPO FRONHA PLASTICO PARA RESULTADO DE EXAMES 25X12CM PACOTE C500 UNI</t>
  </si>
  <si>
    <t>AGULHA DE AÇO INOXIDÁVEL 304 E FIO DE NYLON TRIANGULAR PARA SUTURA ODONTOLOGICA COM12 CIRC CT 1,5 CM FIO 3.0 MM COMPRIMENTO DO FIO 45 CM CAIXA COM 24 UNIDADES FIO DE SUTURA</t>
  </si>
  <si>
    <t>AGULHA DE AÇO INOXIDÁVEL 304 E FIO DE NYLON TRIANGULAR PARA SUTURA ODONTOLOGICA COM12 CIRC CT 1,5 CM FIO 4.0 MM COMPRIMENTO DO FIO 45 CM CAIXA COM 24 UNIDADES FIO DE SUTURA</t>
  </si>
  <si>
    <t>AGULHA GENGIVAL 27 G LONGA 38mmx 0,4mm CAIXA COM 100 UNIDADES</t>
  </si>
  <si>
    <t>Avental cirurgico descartavel de manga comprida impermeavel de gramatura 40 ou mais com elastico nas mangas e fechamento traseiro. TAMANHO 1,00 X 1,40 COR BRANCO PACOTES COM 10 UNIDADES</t>
  </si>
  <si>
    <t>Escovas ponta dupla de nylon limpeza de instrumentais cirúrgicos MEDIDA: 17,5mm x 10 mm x 5 mm Extremidade maior com três fileiras de cerdas de nylon rígidas, ideais para superfícies amplas. Extremidade menor com uma fileira de cerdas rígidas, perfeita para ár</t>
  </si>
  <si>
    <t>GAZE GAZE COMPRESSA 13 FIOS CM2 ESTERIL 7,5 CM X 7,5 CM 15CM X 24 CM INDICADO PARA ASSEPSIAS E CURATIVOS EM CIRURGIAS PARA ABSORÇÃO DE SANGUE E SECREÇÕES LIQUIDAS CONTENÇÃO DE HEMORRAGIAS. EMBALAGEM INDIVIDUAIS COM 10 UNIDADES</t>
  </si>
  <si>
    <t>GAZE GAZE COMPRESSA 13 FIOS CM2 NÃO ESTERIL INDICADO PARA ASSEPSIAS E CURATIVOS EM CIRURGIAS PARA ABSORÇÃO DE SANGUE E SECREÇÕES LIQUIDAS. EMBALAGEM COM 500 UNIDADES</t>
  </si>
  <si>
    <t>LÂMINAS DE BISTURI DESCARTÁVEL EM AÇO CARBONO, LIVRE DE PROGÊNIO, ATÓXICO, ESTERILIZADO POR RAIO GAMA NUMERO 15 CAIXA COM 100 UNIDADES.</t>
  </si>
  <si>
    <t>LÂMINAS DE BISTURI DESCARTÁVEL EM AÇO CARBONO, LIVRE DE PROGÊNIO, ATÓXICO, ESTERILIZADO POR RAIO GAMA NUMERO 15 C CAIXA COM 100 UNIDADES</t>
  </si>
  <si>
    <t>LENÇOL DE BORRACHA- EMBALAGEM COM 26 UNIDADES- TAMANHO 13,5X13,X5 CM, USO ÚNICO, EXTRA RESISTENTE, EMBALADO INDIVIDUALMENTE COM SISTEMA EASY OPEN, PARA MAIOR SEGURANÇA E PRATICIDADE</t>
  </si>
  <si>
    <t>LUVA CIRÚRGICA ESTÉRIL INDICADAS PARA PROCEDIMENTOS CIRÚRGICOS QUE EXIJAM UM MATERIAL JÁ ESTERILIZADO E PROCEDIMENTOS QUE REQUEREM SENSIBILIDADE AO TOQUE. AMBIDESTRAS. COM PÓ - LUBRIFICADAS COM PÓ BIOABSORVÍVEL E INERTE. LÁTEX NATURAL. FORMATO ANATÔMICO. TEXTU</t>
  </si>
  <si>
    <t>MASCARA CIRURGICA DESCARTÁVEIS TIPO: ELÁSTICO, COR :BRANCA, TRIPLA CAMADA COM FILTRAÇÃO BACTERIANA MAIOR QUE 95%. SOLDA POR ULTRASSON; COM CLIP NASAL; COR VRANCA; COM ELÁSTICO. EMBALAGEM COM 50 UNIDADES. BRANCA.</t>
  </si>
  <si>
    <t>MÁSCARA DESCARTÁVEL DE PROTEÇÃO RESPIRATÓRIA N95 PFF2: CLIP NASAL; FORMATO ANATOMICO; 2 TIRAS DE ELÁSTICO PARA FIXAÇÃO; FÁCIL MANUSEIO E COLOCAÇÃO; CONFORTÁVEL; INERTE E ANTISSÉPTICO; HIPOALERGENICO E ATÓXICO; BAIXA CONDUTIVIDADE TÉRMICA; BAIXA INFLAMABILIDADE</t>
  </si>
  <si>
    <t>MOLDEIRA TOTAL PERFURADA ADULTO EM ALUMINIO INDICADA P REPRODUZIR A ARCADA MATERIAIS DE MOLDAGEM COMO ALGINATO . EMBALAGEM COM 14 UNIDADES SUPERIOR 1,2,3,5 INFERIOR 1,2,3,5 3 MOLDEIRAS SUPERIORES RASAS DESDENTADO1,2 E 3;2 LATERAIS DIREITA E ESQUERDA E 01 GIRAT</t>
  </si>
  <si>
    <t xml:space="preserve">PAPEL GRAU CIRURGICO PARA ESTERILIZAÇÃO 10 CM X 100MTS 10 CM DE LARGURA COM 100 METROS PARA ESTERELIZAÇÃO PRODUZIDA EM GRAU CIRURGICO E RECOMENDADA PARA UTILIZAÇÃO EM AUTOCLAVES DE VAPOR SATURADO . POSSUI INDICADOR QUIMICO DE CICLO; SELAGEM TRIPLA , ; SENTIDO </t>
  </si>
  <si>
    <t>PAPEL GRAU CIRÚRGICO PARA ESTERILIZAÇÃO 15 CM X100 MTS 15CM DE LARGURA C100 METROS PARA ESTERELIZAÇÃO PRODUZIDA EM GRAU CIRURGICO E RECOMENDADA PARA UTILIZAÇÃO EM AUTOCLAVES DE VAPOR SATURADO . POSSUI INDICADOR QUIMICO DE CICLO; SELAGEM TRIPLA , ; SENTIDO DE A</t>
  </si>
  <si>
    <t>PAPEL GRAU CIRÚRGICO PARA ESTERILIZAÇÃO 20CM X 100 MTS 20CM DE LARGURA C100 METROS PARA ESTERELIZAÇÃO PRODUZIDA EM GRAU CIRURGICO E RECOMENDADA PARA UTILIZAÇÃO EM AUTOCLAVES DE VAPOR SATURADO . POSSUI INDICADOR QUIMICO DE CICLO; SELAGEM TRIPLA , ; SENTIDO DE A</t>
  </si>
  <si>
    <t>PAPEL GRAU CIRÚRGICO PARA ESTERILIZAÇÃO 5 MM X 100 MTS PARA ESTERELIZAÇÃO PRODUZIDA EM GRAU CIRURGICO E RECOMENDADA PARA UTILIZAÇÃO EM AUTOCLAVES DE VAPOR SATURADO . POSSUI INDICADOR QUIMICO DE CICLO; SELAGEM TRIPLA , ; SENTIDO DE ABERTURA DE ENVELOPE, INDICAD</t>
  </si>
  <si>
    <t>PAPEL GRAU CIRÚRGICO PARA ESTERILIZAÇÃO 8 MM X 100 MTS PRODUZIDA EM GRAU CIRURGICO E RECOMENDADA PARA UTILIZAÇÃO EM AUTOCLAVES DE VAPOR SATURADO . POSSUI INDICADOR QUIMICO DE CICLO; SELAGEM TRIPLA , ; SENTIDO DE ABERTURA DE ENVELOPE, INDICADORES QUIMICOS QUE M</t>
  </si>
  <si>
    <t>SACO PLÁSTICO 9 CM X 24 CM x 0,05 POLIETILENO .Barreira protetora descartável para o arco e a haste do posicionador. Pacote com 1000 unidades.</t>
  </si>
  <si>
    <t>SELADORA PARA PAPEL GRAU CIRURGICO HOSPITALAR DE PEDAL SOLDA DE 8 MM DE LARGURA , LARGURA DE EMBALAGEM DE 400 MM , TEMPO DE EMBALAGEM 6 SEGUNDOS , COMPR 310 M ,ALTURA 940 MM, 110 220 V , INDICADA PARA SELAR EMBALAGEM DE GRAU CIRURGICO</t>
  </si>
  <si>
    <t>TOUCA DESCARTÁVEL BRANCA; SANFONADA COM ELÁSTICO, GRAMATURA 10, COR BRANCA, PRODUZIDAS A PARTIR DE POLIPROPILENO, 45 X 52 CM, DESCART´VEIS, EMBALAGEM COM 100 UNIDADES</t>
  </si>
  <si>
    <t>TOUCA DESCARTÁVEL COLORIDA; SANFONADA COM ELÁSTICO, GRAMATURA 10, COLORIDA, PRODUZIDAS A PARTIR DE POLIPROPILENO, 45 X 52 CM, DESCARTAVEIS, EMBALAGEM COM 100 UNIDADES</t>
  </si>
  <si>
    <t>Lençol Cama características adicionais: percal 400 fios, cor: branco, material: 100% algodão, medidas mínimas ( c x l ): 2,30 x 1,60, tipo fixação: sem elástico</t>
  </si>
  <si>
    <t>Lençol Cama material: cretone 100% algodão, medidas mínimas ( c x l ): 2,50 x 1,40, cor: branco, tipo fixação: sem elástico, gramatura mínima: 150, características adicionais: uso hospitalar com costura dupla</t>
  </si>
  <si>
    <t>Fronha material: 100% algodão, tipo: solteiro, comprimento: 70, largura: 50</t>
  </si>
  <si>
    <t>Lençol Cama material: 100% algodão, medidas mínimas ( c x l ): 1,90 x 0,90, cor: com cor, tipo fixação: com elástico</t>
  </si>
  <si>
    <t>CATETER ASPIRAÇÃO TRAQUEAL, MATERIAL PVC ATÓXICO FLEXÍVEL, Nº 04 TIPO USO DESCARTÁVEL, PONTA ATRAUMÁTICA, ORIFÍCIOS DISTAIS LATERALIZADOS, TIPO EMBALAGEM ESTÉRIL, EMBALAGEM INDIVIDUAL</t>
  </si>
  <si>
    <t>CATETER ASPIRAÇÃO TRAQUEAL, MATERIAL PVC ATÓXICO FLEXÍVEL, Nº 06 TIPO USO DESCARTÁVEL, PONTA ATRAUMÁTICA, ORIFÍCIOS DISTAIS LATERALIZADOS, TIPO EMBALAGEM ESTÉRIL, EMBALAGEM INDIVIDUAL</t>
  </si>
  <si>
    <t>CATETER ASPIRAÇÃO TRAQUEAL, MATERIAL PVC ATÓXICO FLEXÍVEL, Nº 08 TIPO USO DESCARTÁVEL, PONTA ATRAUMÁTICA, ORIFÍCIOS DISTAIS LATERALIZADOS, TIPO EMBALAGEM ESTÉRIL, EMBALAGEM INDIVIDUAL</t>
  </si>
  <si>
    <t>CATETER ASPIRAÇÃO TRAQUEAL, MATERIAL PVC ATÓXICO FLEXÍVEL, Nº 10 TIPO USO DESCARTÁVEL, PONTA ATRAUMÁTICA, ORIFÍCIOS DISTAIS LATERALIZADOS, TIPO EMBALAGEM ESTÉRIL, EMBALAGEM INDIVIDUAL</t>
  </si>
  <si>
    <t>CATETER ASPIRAÇÃO TRAQUEAL, MATERIAL PVC ATÓXICO FLEXÍVEL, Nº 12 TIPO USO DESCARTÁVEL, PONTA ATRAUMÁTICA, ORIFÍCIOS DISTAIS LATERALIZADOS, TIPO EMBALAGEM ESTÉRIL, EMBALAGEM INDIVIDUAL</t>
  </si>
  <si>
    <t>CATETER ASPIRAÇÃO TRAQUEAL, MATERIAL PVC ATÓXICO FLEXÍVEL, Nº 14 TIPO USO DESCARTÁVEL, PONTA ATRAUMÁTICA, ORIFÍCIOS DISTAIS LATERALIZADOS, TIPO EMBALAGEM ESTÉRIL, EMBALAGEM INDIVIDUAL</t>
  </si>
  <si>
    <t>CATETER ASPIRAÇÃO TRAQUEAL, MATERIAL PVC ATÓXICO FLEXÍVEL, Nº 16 TIPO USO DESCARTÁVEL, PONTA ATRAUMÁTICA, ORIFÍCIOS DISTAIS LATERALIZADOS, TIPO EMBALAGEM ESTÉRIL, EMBALAGEM INDIVIDUAL</t>
  </si>
  <si>
    <t>CATETER ASPIRAÇÃO TRAQUEAL, MATERIAL PVC ATÓXICO FLEXÍVEL, Nº 18 TIPO USO DESCARTÁVEL, PONTA ATRAUMÁTICA, ORIFÍCIOS DISTAIS LATERALIZADOS, TIPO EMBALAGEM ESTÉRIL, EMBALAGEM INDIVIDUAL</t>
  </si>
  <si>
    <t>CATETER ASPIRAÇÃO TRAQUEAL, MATERIAL PVC ATÓXICO FLEXÍVEL, Nº 20 TIPO USO DESCARTÁVEL, PONTA ATRAUMÁTICA, ORIFÍCIOS DISTAIS LATERALIZADOS, TIPO EMBALAGEM ESTÉRIL, EMBALAGEM INDIVIDUAL</t>
  </si>
  <si>
    <t>CONJUNTO NEBULIZAÇÃO CONTINUA OXIGÊNIO COM TRAQUÉIA EM SILICONE E MÁSCARA</t>
  </si>
  <si>
    <t>MÁSCARA LARÍNGEA, MATERIAL PVC, TAMANHO N° 1,0 TUBO SUPRAGLÓTICO, COMPONENTE 1 C/ LINHA DE REFERÊNCIA, C/ CONECTOR PADRÃO, ESTÉRIL, USO ÚNICO</t>
  </si>
  <si>
    <t>MÁSCARA LARÍNGEA, MATERIAL PVC, TAMANHO N° 1,5 TUBO SUPRAGLÓTICO, COMPONENTE 1 C/ LINHA DE REFERÊNCIA, C/ CONECTOR PADRÃO, ESTÉRIL, USO ÚNICO</t>
  </si>
  <si>
    <t>MÁSCARA LARÍNGEA, MATERIAL PVC, TAMANHO N° 2,0 TUBO SUPRAGLÓTICO, COMPONENTE 1 C/ LINHA DE REFERÊNCIA, C/ CONECTOR PADRÃO, ESTÉRIL, USO ÚNICO</t>
  </si>
  <si>
    <t>MÁSCARA LARÍNGEA, MATERIAL PVC, TAMANHO N° 2,5 TUBO SUPRAGLÓTICO, COMPONENTE 1 C/ LINHA DE REFERÊNCIA, C/ CONECTOR PADRÃO, ESTÉRIL, USO ÚNICO</t>
  </si>
  <si>
    <t>MÁSCARA LARÍNGEA, MATERIAL PVC, TAMANHO N° 3,0 TUBO SUPRAGLÓTICO, COMPONENTE 1 C/ LINHA DE REFERÊNCIA, C/ CONECTOR PADRÃO, ESTÉRIL, USO ÚNICO</t>
  </si>
  <si>
    <t>MÁSCARA LARÍNGEA, MATERIAL PVC, TAMANHO N° 4,0 TUBO SUPRAGLÓTICO, COMPONENTE 1 C/ LINHA DE REFERÊNCIA, C/ CONECTOR PADRÃO, ESTÉRIL, USO ÚNICO</t>
  </si>
  <si>
    <t>MÁSCARA LARÍNGEA, MATERIAL PVC, TAMANHO N° 5,0 TUBO SUPRAGLÓTICO, COMPONENTE 1 C/ LINHA DE REFERÊNCIA, C/ CONECTOR PADRÃO, ESTÉRIL, USO ÚNICO</t>
  </si>
  <si>
    <t>MASCARA TIPO VENTURI TAMANHO ADULTO Máscara facial alongado tamanho Adulto, confeccionada em vinil macio e transparente; com formato anatômico sob-o-queixo; Assegurando conforto e visualização da face do paciente e anel metálico que permite melhor ajuste à fac</t>
  </si>
  <si>
    <t>MASCARA TIPO VENTURI TAMANHO INFANTIL Máscara facial alongado tamanho infantil, confeccionada em vinil macio e transparente; com formato anatômico sob-o-queixo; Assegurando conforto e visualização da face do paciente e anel metálico que permite melhor ajuste à</t>
  </si>
  <si>
    <t>SISTEMA FECHADO ASPIRAÇÃO TRAQUEAL N° 12 APLICAÇÃO PARA TUBO ENDOTRAQUEAL, TIPO SONDA GRADUADA E PROTEGIDA, CONECTOR PADRÃO, VIA IRRIGAÇÃO ANTIRREFLUXO, VÁLVULA SUCÇÃO C/ TAMPA E TRAVA DE SEGURANÇA, ESTÉRIL, USO ÚNICO, EMBALAGEM INDIVIDUAL</t>
  </si>
  <si>
    <t>SISTEMA FECHADO ASPIRAÇÃO TRAQUEAL N° 14 APLICAÇÃO PARA TUBO ENDOTRAQUEAL, TIPO SONDA GRADUADA E PROTEGIDA, CONECTOR PADRÃO, VIA IRRIGAÇÃO ANTIRREFLUXO, VÁLVULA SUCÇÃO C/ TAMPA E TRAVA DE SEGURANÇA, ESTÉRIL, USO ÚNICO, EMBALAGEM INDIVIDUAL</t>
  </si>
  <si>
    <t>SISTEMA FECHADO ASPIRAÇÃO TRAQUEAL N° 16 APLICAÇÃO PARA TUBO ENDOTRAQUEAL, TIPO SONDA GRADUADA E PROTEGIDA, CONECTOR PADRÃO, VIA IRRIGAÇÃO ANTIRREFLUXO, VÁLVULA SUCÇÃO C/ TAMPA E TRAVA DE SEGURANÇA, ESTÉRIL, USO ÚNICO, EMBALAGEM INDIVIDUAL</t>
  </si>
  <si>
    <t>TUBO EXTENSOR PARA OXIGÊNIO EM PVC Confeccionado de tubo PVC com conector anelado flexível em PVC, esterilizado pelo processo de óxido de etileno embalado em P.G.C. O Conector anelado permite conexão com os tubos de calibre 14mm, 16mm e 20mm; Estéril - Extenso</t>
  </si>
  <si>
    <t>TUBO T TRAQUEIA COPO NEBULIZADOR TUBO T ( PARA DESMAME DA VENTILAÇÃO MECÂNICA 22 int x 22 int x 15mm int - autoclavavel) + TRAQUEIA + COPO NEBULIZADOR</t>
  </si>
  <si>
    <t>UMIDIFICADOR DE O2 Umidificador de O2 e fluxometro c/ extensão e Máscara Tampa e corpo de nylon com rosca em metal Frasco plástico de 250ml com níveis máximo e mínimo Conexão de entrada de oxigênio com rosca padrão 9/16 x 18 fios Adapta-se a qualquer válvula r</t>
  </si>
  <si>
    <t>BABADOR ODONTOLOGICO</t>
  </si>
  <si>
    <t>COLETOR DE MATERIAL PERFUROCORTANTE 13 LITROS</t>
  </si>
  <si>
    <t>ESCOVA DE LIMPEZA PARA INSTRUMENTAIS</t>
  </si>
  <si>
    <t>FIO DE SUTURA DE NYLON 4.0 - AGULHADO Material Nylon monofilamento Tipo fio 4-0 Cor preto Comprimento 45 cm Tipo agulha 1/2 círculo cortante comprimento agulha 1,5 cm Eterilidade:estéril</t>
  </si>
  <si>
    <t>INDICADOR BIOLOGICO</t>
  </si>
  <si>
    <t>LAMINA BISTURI 11 C/100</t>
  </si>
  <si>
    <t>LAMINA P/ BISTURI Nº 12</t>
  </si>
  <si>
    <t>LAMINA P/ BISTURI Nº 15C</t>
  </si>
  <si>
    <t>LAMINA P/ BISTURI Nº15 Lâmina de bisturi nº 15, descartável, em aço inoxidável ou aço carbonado formato anatômico, ajuste firme da lâmina, estéril, embalagem individual, especificação na embalagem, registro no m.s. cx c/ 100 unds.</t>
  </si>
  <si>
    <t>PAPEL GRAU CIRURGICO 12CMX100M</t>
  </si>
  <si>
    <t>PAPEL GRAU CIRURGICO 25CMX100M</t>
  </si>
  <si>
    <t>SUGADOR ODONTOLOGICO DESCARTAVEL - Embalagem com 40 unidades</t>
  </si>
  <si>
    <t>SWAB PARA HIGIENE ORALEMBALAGEM: 1 UNIDADEMATERIAL: COM ESPUMA RETICULADA DE POLIURETANO, FORMATO OCTAVADO, ATOXICA, MACIA. AREA DA CABECA DO SWAB 2 CM²; HASTE/CABO RESISTENTE.COMPRIMENTO: 15,2 CM.INDICACAO: PARA HIGIENE ORAL OU HIGIENE DA TRAQUEOSTOMIA DE PAC</t>
  </si>
  <si>
    <t>TOUCA DESCARTAVEL COM ELASTICO</t>
  </si>
  <si>
    <t>BABADOR ODONTOLOGICO - BABADOR ODONTOLOGICO</t>
  </si>
  <si>
    <t>CABO DE BISTURI Nº 3 - CABO DE BISTURI Nº 3</t>
  </si>
  <si>
    <t>COLETOR DE MATERIAL PERFUROCORTANTE 13 LITROS - COLETOR DE MATERIAL PERFUROCORTANTE 13 LITROS</t>
  </si>
  <si>
    <t>ESCOVA DE LIMPEZA PARA INSTRUMENTAIS - ESCOVA DE LIMPEZA PARA INSTRUMENTAIS</t>
  </si>
  <si>
    <t>INDICADOR BIOLOGICO - INDICADOR BIOLOGICO</t>
  </si>
  <si>
    <t>LAMINA BISTURI 11 C/100 - LAMINA BISTURI 11 C/100</t>
  </si>
  <si>
    <t>LAMINA P/ BISTURI Nº 12 - LAMINA P/ BISTURI Nº 12</t>
  </si>
  <si>
    <t>LAMINA P/ BISTURI Nº 15C - LAMINA P/ BISTURI Nº 15C</t>
  </si>
  <si>
    <t>LAMINA P/ BISTURI Nº15 Lâmina de bisturi nº 15, descartável, - LAMINA P/ BISTURI Nº15 Lâmina de bisturi nº 15, descartável, em aço inoxidável ou aço carbonado formato anatômico, ajuste firme da lâmina, estéril, embalagem individual, especificação na embalagem,</t>
  </si>
  <si>
    <t>PAPEL GRAU CIRURGICO 12CMX100M - PAPEL GRAU CIRURGICO 12CMX100M</t>
  </si>
  <si>
    <t>PAPEL GRAU CIRURGICO 25CMX100M - PAPEL GRAU CIRURGICO 25CMX100M</t>
  </si>
  <si>
    <t>SUGADOR ODONTOLOGICO DESCARTAVEL - Embalagem com 40 unidades - SUGADOR ODONTOLOGICO DESCARTAVEL - Embalagem com 40 unidades</t>
  </si>
  <si>
    <t>SWAB PARA HIGIENE ORAL - SWAB PARA HIGIENE ORAL EMBALAGEM: 1 UNIDADE MATERIAL: COM ESPUMA RETICULADA DE POLIURETANO, FORMATO OCTAVADO, ATOXICA, MACIA. AREA DA CABECA DO SWAB 2 CM²; HASTE/CABO RESISTENTE. COMPRIMENTO: 15,2 CM. INDICACAO: PARA HIGIENE ORAL OU HI</t>
  </si>
  <si>
    <t>TOUCA DESCARTAVEL COM ELASTICO - TOUCA DESCARTAVEL COM ELASTICO</t>
  </si>
  <si>
    <t>ASPIRADOR CIRÚRGICO DE SECREÇÃO PORTÁTIL - 3,0 LITROS (BIVOLT)</t>
  </si>
  <si>
    <t>AGULHA DESC. HIPODERMICA 0,60X25 UNID. ENBALADO INDIVIDULAMENTE , POSSUI BISEL TRIFACETADO CÂNULA SILICONIZADA E CALIBRE IDENTICADO POR COR. PRODUTO ESTÉRIL DE USO ÚNICO.</t>
  </si>
  <si>
    <t>AGULHA DESC. HIPODERMICA 0,70X25 UNID. ENBALADO INDIVIDULAMENTE , POSSUI BISEL TRIFACETADO CÂNULA SILICONIZADA E CALIBRE IDENTICADO POR COR. PRODUTO ESTÉRIL DE USO ÚNICO.</t>
  </si>
  <si>
    <t>AGULHA DESC. HIPODERMICA 0,80X25 UNID. ENBALADO INDIVIDULAMENTE , POSSUI BISEL TRIFACETADO CÂNULA SILICONIZADA E CALIBRE IDENTICADO POR COR. PRODUTO ESTÉRIL DE USO ÚNICO.</t>
  </si>
  <si>
    <t>AGULHA DESC. HIPODERMICA 1,20X40 UNID. ENBALADO INDIVIDULAMENTE , POSSUI BISEL TRIFACETADO CÂNULA SILICONIZADA E CALIBRE IDENTICADO PO COR. PRODUTO ESTÉRIL DE USO UNICO.</t>
  </si>
  <si>
    <t>AGULHA DESC. HIPODERMICA 20X5,5 UNID. ENBALADO INDIVIDULAMENTE , POSSUI BISEL TRIFACETADO CÂNULA SILICONIZADA E CALIBRE IDENTICADO POR COR. PRODUTO ESTÉRIL DE USO ÚNICO.</t>
  </si>
  <si>
    <t>AGULHA DESC.HIPODERMICA 0,45X13MM UNID. EMBALADAS INDIV. POSSUI BISEL TRIFACETADO CANULA SILICONIZADA E CALIBRE IDENTICADO POR COR, PRODUTO ESTERIL DE USO UNICO</t>
  </si>
  <si>
    <t>ATADURA DE CREPE HIPOALERGENICA, TRAMA DE 13 FIOS TAMANHO20 CM/1,80M.</t>
  </si>
  <si>
    <t>BOLSA COLETORA DE URINA SISTEMA FECHADO COM ESCALA 1.000 ML</t>
  </si>
  <si>
    <t>CABO DE BISTURI N*3 EM AÇO CIRURGICO</t>
  </si>
  <si>
    <t>CABO DE BISTURI N*4 EM AÇO CIRURGICO</t>
  </si>
  <si>
    <t>CLAMP UMBILICAL. CONFECCIONADO EM MATERIAL PLASTICO ATOXICO ESTERLIZADO A OXIDO DE ETILENO , EMBALAGEM INDIVIDUAL EM PAPEL GRAU CIRURGICO .</t>
  </si>
  <si>
    <t>COLETOR PERFUROCORTANTE 13 LTS</t>
  </si>
  <si>
    <t>EQUIPO DE MACROGOTAS BICO DE CONEXÃO LUER SLIP.</t>
  </si>
  <si>
    <t>EQUIPO P/ SORO MICROGOTAS PINÇA ROLETE C/ AGULHA BICO DE CONEXÃO LUER SLIP.</t>
  </si>
  <si>
    <t>ESCOVA CERVICAL DESCARTÁVEL. CARACTERISTICAS: PONTA ATIVA PRODUZIDA COM MICRO CERDAS EM NYLON EM FORMATO CÔNICO E EIXO DE SUSTENTAÇÃO EM AÇO INOXIDÁVEL. CABO EM POLIESTIRENO DE ALTO IMPACTO, ATÓXICO E RESISTENTE ÀS TRAÇÕES. EIXO LONGITUDINAL DA HASTE+PONTA ATI</t>
  </si>
  <si>
    <t>ESPARADRAPO IMPERMEÁVEL. ESPECIFICAÇÕES TÉCNICAS: COMPOSTO DE TECIDO 100% ALGODÃO COM RESINA ACRÍLICA IMPERMEABILIZANTE, COM APLICAÇÃO DE MASSA ADESIVA À BASE DE BORRACHA NATURAL, ÓXIDO DE ZINCO E RESINA, DIMENSÕES 10CMX4,5M, ROLO. APRESENTAÇÃO: UNIDADE</t>
  </si>
  <si>
    <t>ESPATULA DE AYRES. PRODUZIDA EM MADEIRA, RESISTENTES, PONTAS ARREDONDADAS DESCARTÁVEIS, UTILIZADA PARA COLETA DE EXAMES GINECOLÓGICOS, MEDINDO 18CM DE COMPRIMENTO.</t>
  </si>
  <si>
    <t>ESPÉCULO VAGINAL DESCARTÁVEL TAMANHO MÉDIO. PRODUZIDO EM POLIESTIRENO CRISTAL, EXCELENTE TRANSPARENCIA E TRANSMISSÃO LUMINOSA. VALVAS ANATOMICAS DE CONTORNOS LISOS E REGULARES. DISPOSITIVO DE ABERTURA (PARAFUSO BORBOLETA) FABRICADO EM POLIESTIRENO DE ALTO IMPA</t>
  </si>
  <si>
    <t>ESPÉCULO VAGINAL DESCARTÁVEL TAMANHO PEQUENO. PRODUZIDO EM POLIESTIRENO CRISTAL, EXCELENTE TRANSPARENCIA E TRANSMISSÃO LUMINOSA. VALVAS ANATOMICAS DE CONTORNOS LISOS E REGULARES. DISPOSITIVO DE ABERTURA (PARAFUSO BORBOLETA) FABRICADO EM POLIESTIRENO DE ALTO IM</t>
  </si>
  <si>
    <t>ESPÉCULO VAGINAL DESCARTÁVEL. ESPECIFICAÇÕES TÉCNICAS: TAMANHO GRANDE, PRODUZIDO EM POLIESTIRENO CRISTAL, EXCELENTE TRANSPARÊNCIA E TRANSMISSÃO LUMINOSA. VALVAS ANATÔMICAS DE CONTORNOS LISOS E REGULARES. DISPOSITIVO DE ABERTURA (PARAFUSO BORBOLETA) FABRICADO E</t>
  </si>
  <si>
    <t>FILTRO BACTERIOLÓGICO E VIRAL HMEF C/ TRAQUEIA CORRUGADA COM TAMPA. ESPECIFICAÇÕES TÉCNICAS: TROCADOR DE CALOR E UMIDADE COM FILTRO BACTERIANO E VIRAL; VOLUME CORRENTE 150  1500ML; ESPAÇO MORTO 28ML; RESISTÊNCIA 1,8CM H2OA 60L/MIN; UMIDIFICAÇÃO 31 MGH2O A 600</t>
  </si>
  <si>
    <t>FITA MICROPOROSA 10CMX4,5 MTS TIPO ESPARADRAPO NÃO-TECIDO, CONFECCIONADO EM SUBSTRATO DE NÃO TECIDO À BASE DE FIBRAS DE VISCOSE RESINA ACRILICA E MASSA ADESIVA À BASE DE POLIACRILATO HIPOALERGÊNICO, FINA ESPESSURA BOA FIXAÇÃO.</t>
  </si>
  <si>
    <t>KIT CATETER VENOSO CENTRAL DUPLO LÚMEN 7FRX13CM</t>
  </si>
  <si>
    <t>LAMINA BISTURI NR.15</t>
  </si>
  <si>
    <t>LAMINA DE BISTURI Nº 24</t>
  </si>
  <si>
    <t>LÂMINA DE BISTURI. ESPECIFICAÇÕES TÉCNICAS: LÂMINA ESTÉRIL PARA BISTURI, CONFECCIONADA EM AÇO CARBONO, ESTERILIZADA A RAIO GAMA, MODELO 11 EMBALADA INDIVIDUALMENTE.</t>
  </si>
  <si>
    <t>LÂMINA DE BISTURI. ESPECIFICAÇÕES TÉCNICAS: LÂMINA ESTÉRIL PARA BISTURI, CONFECCIONADA EM AÇO CARBONO, ESTERILIZADA A RAIO GAMA, MODELO 22. EMBALADA INDIVIDUALMENTE</t>
  </si>
  <si>
    <t>LUVA CIRÚRGICA ESTÉRIL Nº 6,0. ESPECIFICAÇÕES TÉCNICAS: PRODUTO DESCARTÁVEL, ANATÔMICA, ESTÉRIL, FABRICADO EM PURO LÁTEX, LUBRIFICADO COM PÓ BIOABSORVÍVEL. POSSUI ESPESSURA MÍNIMA DE 0,17MM E COMPRIMENTO MÍNIMO DE 280 MM. APRESENTAÇÃO: PACOTE C/ 1 PAR DE LUVAS</t>
  </si>
  <si>
    <t>LUVA CIRÚRGICA ESTÉRIL Nº 7,5. ESPECIFICAÇÕES TÉCNICAS: PRODUTO DESCARTÁVEL, ANATÔMICA, ESTÉRIL, FABRICADO EM PURO LÁTEX, LUBRIFICADO COM PÓ BIOABSORVÍVEL. POSSUI ESPESSURA MÍNIMA DE 0,17MM E COMPRIMENTO MÍNIMO DE 280 MM. APRESENTAÇÃO: PACOTE C/ 1 PAR DE LUVAS</t>
  </si>
  <si>
    <t>LUVA CIRÚRGICA ESTÉRIL Nº 8,0. ESPECIFICAÇÕES TÉCNICAS: PRODUTO DESCARTÁVEL, ANATÔMICA, ESTÉRIL, FABRICADO EM PURO LÁTEX, LUBRIFICADO COM PÓ BIOABSORVÍVEL. POSSUI ESPESSURA MÍNIMA DE 0,17MM E COMPRIMENTO MÍNIMO DE 280 MM. APRESENTAÇÃO: PACOTE C/ 1 PAR DE LUVAS</t>
  </si>
  <si>
    <t>LUVAS DE PROCEDIMENTO LATEX, COM PÓ, CAIXA COM 100 UNIDADES, TAMANHO PP</t>
  </si>
  <si>
    <t>MASCÁRA DE OXIGENIO DE ALTA CONCENTRAÇÃO COM RESERVATÓRIO ADULTO.</t>
  </si>
  <si>
    <t>MASCÁRA DE OXIGÊNIO DE ALTA CONCENTRAÇÃO COM RESERVATÓRIO INFANTIL.</t>
  </si>
  <si>
    <t>MÁSCARA LARÍNGEA DESCARTÁVEL -TAMANHO 1. 0 - 5 KG 4 ML MÁSCARA LARÍNGEA REUTILIZÁVEL, PRODUZIDA EM SILICONE, COM EXCEÇÃO DO SEU CONECTOR PROXIMAL QUE É DE POLISULFONA E QUE APRESENTE: - CONECTOR PROXIMAL: DIÂMETRO PADRÃO DE 15 MM; - TUBO CONDUTOR TRANSPARENTE,</t>
  </si>
  <si>
    <t>MÁSCARA LARÍNGEA DESCARTÁVEL -TAMANHO 3, 30 - 50 KG 20 M LMÁSCARA LARÍNGEA REUTILIZÁVEL, PRODUZIDA EM SILICONE, COM EXCEÇÃO DO SEU CONECTOR PROXIMAL QUE É DE POLISULFONA E QUE APRESENTE: - CONECTOR PROXIMAL: DIÂMETRO PADRÃO DE 15 MM; - TUBO CONDUTOR TRANSPAREN</t>
  </si>
  <si>
    <t>MÁSCARA LARÍNGEA DESCARTÁVEL -TAMANHO 1,5, 5 - 10 KG 7 ML MÁSCARA LARÍNGEA REUTILIZÁVEL, PRODUZIDA EM SILICONE, COM EXCEÇÃO DO SEU CONECTOR PROXIMAL QUE É DE POLISULFONA E QUE APRESENTE: - CONECTOR PROXIMAL: DIÂMETRO PADRÃO DE 15 MM; - TUBO CONDUTOR TRANSPAREN</t>
  </si>
  <si>
    <t>MÁSCARA LARÍNGEA DESCARTÁVEL -TAMANHO 2, 10 - 20 KG 10 ML MÁSCARA LARÍNGEA REUTILIZÁVEL, PRODUZIDA EM SILICONE, COM EXCEÇÃO DO SEU CONECTOR PROXIMAL QUE É DE POLISULFONA E QUE APRESENTE: - CONECTOR PROXIMAL: DIÂMETRO PADRÃO DE 15 MM; - TUBO CONDUTOR TRANSPAREN</t>
  </si>
  <si>
    <t>MÁSCARA LARÍNGEA DESCARTÁVEL -TAMANHO 2,5, 20 - 30 KG 14 ML MÁSCARA LARÍNGEA REUTILIZÁVEL, PRODUZIDA EM SILICONE, COM EXCEÇÃO DO SEU CONECTOR PROXIMAL QUE É DE POLISULFONA E QUE APRESENTE: - CONECTOR PROXIMAL: DIÂMETRO PADRÃO DE 15 MM; - TUBO CONDUTOR TRANSPAR</t>
  </si>
  <si>
    <t>MÁSCARA LARÍNGEA DESCARTÁVEL -TAMANHO 4, 50 - 70 KG 30 ML MÁSCARA LARÍNGEA REUTILIZÁVEL, PRODUZIDA EM SILICONE, COM EXCEÇÃO DO SEU CONECTOR PROXIMAL QUE É DE POLISULFONA E QUE APRESENTE: - CONECTOR PROXIMAL: DIÂMETRO PADRÃO DE 15 MM; - TUBO CONDUTOR TRANSPAREN</t>
  </si>
  <si>
    <t>MÁSCARA LARÍNGEA DESCARTÁVEL -TAMANHO 5, 70 - 100 KG 40 ML MÁSCARA LARÍNGEA REUTILIZÁVEL, PRODUZIDA EM SILICONE, COM EXCEÇÃO DO SEU CONECTOR PROXIMAL QUE É DE POLISULFONA E QUE APRESENTE: - CONECTOR PROXIMAL: DIÂMETRO PADRÃO DE 15 MM; - TUBO CONDUTOR TRANSPARE</t>
  </si>
  <si>
    <t>MÁSCARA LARÍNGEA DESCARTÁVEL -TAMANHO 6 ADULTOS COM MAIS DE 100 KG - 50 ML MÁSCARA LARÍNGEA REUTILIZÁVEL, PRODUZIDA EM SILICONE, COM EXCEÇÃO DO SEU CONECTOR PROXIMAL QUE É DE POLISULFONA E QUE APRESENTE: - CONECTOR PROXIMAL: DIÂMETRO PADRÃO DE 15 MM; - TUBO CO</t>
  </si>
  <si>
    <t>PAPEL GRAU CIRURGICO BOBINA 10CM X 100MTS, BOBINAS LISAS PRODUZIDAS EM PAPEL GRAU CIRÚRGICO E FILME. INDICADAS PARA ESTERILIZAÇÃO EM AUTOCLAVES A VAPOR E ÓXIDO DE ETILENO. POSSUI INDICADORES QUÍMICOS QUE MUDAM DE COR APÓS O PROCESSO DE ESTERILIZAÇÃO. BOBINAS C</t>
  </si>
  <si>
    <t>PAPEL GRAU CIRURGICO BOBINA 20CM X 100MTS, BOBINAS LISAS PRODUZIDAS EM PAPEL GRAU CIRÚRGICO E FILME. INDICADAS PARA ESTERILIZAÇÃO EM AUTOCLAVES A VAPOR E ÓXIDO DE ETILENO. POSSUI INDICADORES QUÍMICOS QUE MUDAM DE COR APÓS O PROCESSO DE ESTERILIZAÇÃO. BOBINAS C</t>
  </si>
  <si>
    <t>PAPEL GRAU CIRURGICO BOBINA 35CM X 100MTS, BOBINAS LISAS PRODUZIDAS EM PAPEL GRAU CIRÚRGICO E FILME. INDICADAS PARA ESTERILIZAÇÃO EM AUTOCLAVES A VAPOR E ÓXIDO DE ETILENO. POSSUI INDICADORES QUÍMICOS QUE MUDAM DE COR APÓS O PROCESSO DE ESTERILIZAÇÃO. BOBINAS C</t>
  </si>
  <si>
    <t>SERINGA SLIP 10ML S/AG DESCARTAVEL, ATOXICO, ESTERIL E APIROGÊNICA, PRODUZIDA EM POLIPROPILENO GRAU MEDICO,TRANSPARENTE GRADUAÇÃO E VOLUMETRIA PRECISAS E DE EXCELENTE LEGIBILIDADE PERFEITA FIXAÇÃO EM SEUS TRAÇOS E ALGARISMOS, EMBALADA INDIVIDUALMENTE.</t>
  </si>
  <si>
    <t>SERINGA SLIP 20ML S/AG DESCARTAVEL, ATOXICO, ESTERIL E APIROGÊNICA, PRODUZIDA EM POLIPROPILENO GRAU MEDICO,TRANSPARENTE GRADUAÇÃO E VOLUMETRIA PRECISAS E DE EXCELENTE LEGIBILIDADE PERFEITA FIXAÇÃO EM SEUS TRAÇOS E ALGARISMOS, EMBALADA INDIVIDUALMENTE.</t>
  </si>
  <si>
    <t>SERINGA SLIP 3ML S/AG DESCARTAVEL, ATOXICO, ESTERIL E APIROGÊNICA, PRODUZIDA EM POLIPROPILENO GRAU MEDICO,TRANSPARENTE GRADUAÇÃO E VOLUMETRIA PRECISAS E DE EXCELENTE LEGIBILIDADE PERFEITA FIXAÇÃO EM SEUS TRAÇOS E ALGARISMOS, EMBALADA INDIVIDUALMENTE.</t>
  </si>
  <si>
    <t>SERINGA SLIP 5ML S/AG DESCARTAVEL, ATOXICO, ESTERIL E APIROGÊNICA, PRODUZIDA EM POLIPROPILENO GRAU MEDICO,TRANSPARENTE GRADUAÇÃO E VOLUMETRIA PRECISAS E DE EXCELENTE LEGIBILIDADE PERFEITA FIXAÇÃO EM SEUS TRAÇOS E ALGARISMOS, EMBALADA INDIVIDUALMENTE.</t>
  </si>
  <si>
    <t>SERINGA SLIP INSULINA C/AG13MMX3,8 1ML DESCARTAVEL, ATOXICO, ESTERIL E APIROGÊNICA, PRODUZIDA EM POLIPROPILENO GRAU MEDICO,TRANSPARENTE GRADUAÇÃO E VOLUMETRIA PRECISAS E DE EXCELENTE LEGIBILIDADE PERFEITA FIXAÇÃO EM SEUS TRAÇOS E ALGARISMOS, EMBALADA INDIVIDUA</t>
  </si>
  <si>
    <t>SONDA NASOENTERAL DE SILICONE COM CONECTOR EM Y FR. N°. 12 DE 105CM COM FIO GUIA</t>
  </si>
  <si>
    <t>SONDA NASOENTERAL DE SILICONE, CONECTOR EM Y, FR N°. 10, 105 CM DE COMPRIMETO, COM FIO GUIA</t>
  </si>
  <si>
    <t>SONDA NASOGASTRICA LONGA CALIBRE 10. ESPECIFICAÇÕES TÉCNICAS: PRODUTO É CONFECCIONADO EM PVC TRANSPARENTE, FLEXÍVEL, ATÓXICO; EM FORMA DE CILINDRO RETO E INTEIRIÇO, COM EXTREMIDADE PROXIMAL ARREDONDADA, ABERTA ISENTA DE REBARBAS; DOTADA DE QUATRO ORIFÍCIOS DIS</t>
  </si>
  <si>
    <t>SONDA NASOGASTRICA LONGA CALIBRE 22. ESPECIFICAÇÕES TÉCNICAS: PRODUTO É CONFECCIONADO EM PVC TRANSPARENTE, FLEXÍVEL, ATÓXICO; EM FORMA DE CILINDRO RETO E INTEIRIÇO, COM EXTREMIDADE PROXIMAL ARREDONDADA, ABERTA ISENTA DE REBARBAS; DOTADA DE QUATRO ORIFÍCIOS DIS</t>
  </si>
  <si>
    <t>SONDA URETRAL DE ALÍVIO Nº 12. SONDA EM PVC ATÓXICO, SILICONIZADA, CONECTOR UNIVERSAL. EMBALADA INDIVIDUALMENTE.</t>
  </si>
  <si>
    <t>SONDA URETRAL DE ALÍVIO Nº 14. SONDA EM PVC ATÓXICO, SILICONIZADA, CONECTOR UNIVERSAL. EMBALADA INDIVIDUALMENTE.</t>
  </si>
  <si>
    <t>SONDA URETRAL DE ALÍVIO Nº. 10. ESPECIFICAÇÕES TÉCNICAS: PRODUTO É CONFECCIONADO EM PVC (CLORETO DE POLIVINILA) TRANSPARENTE, FLEXÍVEL, ATÓXICO; EM FORMA DE CILINDRO RETO E INTEIRIÇO, COM EXTREMIDADE PROXIMAL ARRENDONDADA, FECHADA, ISENTA DE REBARBAS; DOTADA D</t>
  </si>
  <si>
    <t xml:space="preserve">AGULHA DESCARTÁVEL 13X0,45MM, hipodérmica, em aço inox, com bisel trifacetado e siliconizado, canhão translúcido na cor padrão, apirogenica, atóxica, esterilizada em oxido de etileno, embalada individualmente em filme termoplástico e papel grau cirúrgico. com </t>
  </si>
  <si>
    <t>AGULHA DESCARTÁVEL 30X0, 80 MM, hipodérmica, em aço inox, com bisel trifacetado e siliconizado, canhão translúcido na cor padrão, apirogenica, atóxica, esterilizada em oxido de etileno, embalada individualmente em filme termoplástico e papel grau cirúrgica. co</t>
  </si>
  <si>
    <t>AGULHA DESCARTÁVEL HIPODÉRMICA 40X1,20MM, estéril com bisel trifacetadoe canhão de plástico resistente e atóxico, em aço inox, embalada individualmente em blister de acetato celulose e papel grau cirúrgico. com todos os dados de identificação do produto, proce</t>
  </si>
  <si>
    <t>ATADURA CREPE 10CM–Faixa continua de tecido 100% algodão, com propriedades elásticas no sentido longitudinal de no mínimo 50%, 13fios/cm2, com bordas delimitadas. Livre de impurezas, fios soltos, rasgos e manchas. Com comprimento mínimo de 1,8m em repouso. Enr</t>
  </si>
  <si>
    <t>ATADURA CREPE 15CM–Faixa continua de tecido 100% algodão, com propriedades elásticas no sentido longitudinal de no mínimo 50%, 13fios/cm2, com bordas delimitadas. Livre de impurezas, fios soltos, rasgos e manchas. Com comprimento mínimo de 1,8m em repouso. Enr</t>
  </si>
  <si>
    <t>ATADURA CREPE 20CM–Faixa continua de tecido 100% algodão, com propriedades elásticas no sentido longitudinal de no mínimo 50%, 13fios/cm2, com bordas delimitadas. Livre de impurezas, fios soltos, rasgos e manchas. Com comprimento mínimo de 1,8m em repouso. Enr</t>
  </si>
  <si>
    <t>BOBINA P/ ESTERILIZAÇÃO A VAPOR GRAU CIRÚRGICO(ETO) 120 mm x 100 metros.</t>
  </si>
  <si>
    <t>BOBINA P/ ESTERILIZAÇÃO A VAPOR GRAU CIRÚRGICO(ETO) 150 mm x 100 metros.</t>
  </si>
  <si>
    <t>Bobina p/ esterilização à vapor grau cirúrgico (ETO) 300mm x 100 metros.</t>
  </si>
  <si>
    <t>CATETER NASAL, TIPO ÓCULOS, ADULTOtamanho padrão para oxigênio em polivinil, atóxico, flexível, estéril, apresentando em uma das extremidades um dispositivo de silicone que se adapta as narinas, fixação sobre as orelhas como óculos, embalagem deverá conter imp</t>
  </si>
  <si>
    <t>CATETER NASAL, TIPO ÓCULOS, INFANTIL tamanho padrão para oxigênio, tipo óculos infantil, em polivinil, atóxico, flexível, estéril, apresentando em uma das extremidades um dispositivo de silicone que se adapta as narinas, fixação sobre as orelhas como óculos, e</t>
  </si>
  <si>
    <t>COLETOR DE URINA SISTEMA FECHADO 2000 ML,com válvula anti-refluxo.</t>
  </si>
  <si>
    <t>Comadre Pá Inox - 40X30cm.</t>
  </si>
  <si>
    <t>ELETRODO DESCARTÁVEL ADULTO, PARA MONITORIZAÇÃO DE ECG,com pino de aço inoxidável, contra-pino de prata, adesivo hipoalergênico, capa protetora do adesivo, gel condutor, não estéril, tamanho adulto. Embalagem contendo externamente dados de identificação, proce</t>
  </si>
  <si>
    <t>Equipos macrogotas, para administração de soluções parenterais, com ponta perfurante ISO, com tampa protetora, câmara de gotejamento flexível, com linha indicadora do nível ideal de solução, gotejador ajustado para 1ml = 20 gotas, compatível com sistema fechad</t>
  </si>
  <si>
    <t>EQUIPOS MICROGOTAS, PARA ADMINISTRAÇÃO DE SOLUÇÕES PARENTERAIS, COM PONTA PERFURANTE ISO, COM TAMPA PROTETORA, CÂMARA DE GOTEJAMENTO FLEXÍVEL, COM LINHA INDICADORA DO NÍVEL IDEAL DE SOLUÇÃO, GOTEJADOR AJUSTADO PARA 1ML = 20 GOTAS, COMPATÍVEL COM SISTEMA FECHAD</t>
  </si>
  <si>
    <t>ESPARADRAPO ROLO - Esparadrapo impermeável (10CM X 4,5M) cor branca 100% algodão, massa adesiva com boa aderência, a base de borracha natural, oxido de zinco e resinas hipoalergênicas, borda em picote, enrolado com carretel de plástico, contendo externamente d</t>
  </si>
  <si>
    <t>EXTENSOR ESTÉRIL PARA OXIGÊNIO –Extensor para oxigenoterapia, estéril, confeccionado em material transparente, flexível, atóxico e resistente a dobras e torções, destinado à condução de oxigênio entre a fonte de fornecimento e o dispositivo de administração ao</t>
  </si>
  <si>
    <t>Fio cirúrgico monofilamento diâmetro 2-0, de nylon (poliamida) preto, com 45cm aproximadamente, com agulha 3/8 circular cortante de 3,0cm, estéril, embalagem primaria de alumínio ou pgc. (caixa com 24 unidades)</t>
  </si>
  <si>
    <t>FIO CIRURGICO MONOFILAMENTO DIAMETRO 3-0, DE NYLON (POLIAMIDA) PRETO, COM 45CM APROXIMADAMENTE, COM AGULHA 3/8 CIRCULAR CORTANTE DE 3,0CM, ESTÉRIL, EMBALAGEM PRIMARIA DE ALUMINIO OU PGC. (CAIXA COM 24 UNIDADES).</t>
  </si>
  <si>
    <t>Fio cirúrgico monofilamento diâmetro 3-0, de nylon (poliamida) preto, com 45cm aproximadamente, com agulha 3/8 circular cortante de 2,0cm, estéril, embalagem primaria de alumínio ou pgc. (caixa com 24 unidades)</t>
  </si>
  <si>
    <t>FIO CIRURGICO MONOFILAMENTO DIAMETRO 4-0, DE NYLON (POLIAMIDA) PRETO, COM 45CM APROXIMADAMENTE, COM AGULHA 1/2 CIRCULAR CORTANTE DE 2,5CM, ESTÉRIL, EMBALAGEM PRIMARIA DE ALUMINIO OU PGC. (CAIXA COM 24 UNIDADES).</t>
  </si>
  <si>
    <t>FIO CIRURGICO MONOFILAMENTO DIAMETRO 5-0, DE NYLON (POLIAMIDA) PRETO, COM 45CM APROXIMADAMENTE, COM AGULHA 1/2 CIRCULAR CORTANTE DE 2,5CM, ESTÉRIL, EMBALAGEM PRIMARIA DE ALUMINIO OU PGC. (CAIXA COM 24 UNIDADES).</t>
  </si>
  <si>
    <t>FITA MICROPOROSA C/ CAPA 1,2 CM X 10M - Fita cirúrgica hipoalérgenica constituída de fibra de viscose com adesivo acrílico, excelente fixação .Cor Branca. Contendo externamente dados de procedência, fabricação, validade, n° lote e atender a legislação sanitári</t>
  </si>
  <si>
    <t>FITA MICROPOROSA C/ CAPA 10 CM X 10M - Fita cirúrgica hipoalérgenica constituída de fibra de viscose com adesivo acrílico, excelente fixação .Cor Branca. Contendo externamente dados de procedência, fabricação, validade, n° lote e atender a legislação sanitária</t>
  </si>
  <si>
    <t>FITA MICROPOROSA C/ CAPA 2,5 CM X 10M - Fita cirúrgica hipoalérgenica constituída de fibra de viscose com adesivo acrílico, excelente fixação .Cor Branca. Contendo externamente dados de procedência, fabricação, validade, n° lote e atender a legislação sanitári</t>
  </si>
  <si>
    <t xml:space="preserve">FITA MICROPOROSA C/ CAPA 5 CM X 10M - Fita cirúrgica hipoalérgenica constituída de fibra de viscose com adesivo acrílico, excelente fixação .Cor Branca. Contendo externamente dados de procedência, fabricação, validade, n° lote e atender a legislação sanitária </t>
  </si>
  <si>
    <t>FITA PARA AUTOCLAVE 19MM X 30M-Fita adesiva para auto clave, medindo 19mm x 30m. Embalagem individual, contendo externamente dados de rotulagem conforme Portaria MS-SVS, n° 01 de 23/01/96</t>
  </si>
  <si>
    <t>GARROTE EM ROLO – Garrote descartável em rolo, confeccionado em material de alta elasticidade e resistência, destinado ao uso em procedimentos de coleta de sangue e demais procedimentos que exijam compressão venosa temporária. Possui flexibilidade adequada, pr</t>
  </si>
  <si>
    <t>GARROTE PARA PROCEDIMENTOS DE PUNÇÃO VENOSA –CONFECCIONADO EM TECIDO resistente, lavável e de fácil higienização, com ajuste de pressão por meio de trava de segurança que permita rápida aplicação e liberação com apenas uma das mãos. Deverá possuir fecho resist</t>
  </si>
  <si>
    <t>INDICADOR QUIMICO TIPO INTEGRADOR, MULTIPARAMÉTRICO, TIPO 5 PARA AUTOCLAVE A VAPOR, NÃO TÓXICO, CONSTITUIDO DE TIRA DE PAPEL IMPREGNADO DE REATIVO QUIMICO SEM PRESENÇA DE CHUMBO, COM PRECISÃO EQUIVALENTE À CURVA TEÓRICA DE MORTE DE UM MICROORGANISMO, EM CONFOR</t>
  </si>
  <si>
    <t>Lâmina de bisturi n° 11, em aço inoxidável. (CAIXA COM 100 UNIDADES).</t>
  </si>
  <si>
    <t>Lâmina de bisturi n° 12, em aço inoxidável. (CAIXA COM 100 UNIDADES)</t>
  </si>
  <si>
    <t>Lâmina de bisturi nº 15, em aço inoxidável. (CAIXA COM 100 UNIDADES)</t>
  </si>
  <si>
    <t>Lâmina de bisturi n° 21em aço inoxidável. (CAIXA COM 100 UNIDADES)</t>
  </si>
  <si>
    <t>Lâmina de bisturi n° 23, em aço inoxidável. (CAIXA COM 100 UNIDADES)</t>
  </si>
  <si>
    <t>Lâmina de bisturi n° 24, em aço inoxidável. (CAIXA COM 100 UNIDADES)</t>
  </si>
  <si>
    <t>LENÇOL DE PAPEL DESCARTÁVEL, BRANCO, EM ROLO COM 70CM DE LARGURA POR 50M, complemento para cama hospitalar, com apresentação de tramas uniformes, resistente à movimentação do paciente, constituído 100% de celulose virgem branca, atóxico, apirogênico, que não s</t>
  </si>
  <si>
    <t xml:space="preserve">LUVA CIRÚRGICA ESTÉRIL N° 6.5, Luva cirúrgica, em látex natural, flexível, resistente, fino e homogêneo, proporcionando alta sensibilidade tátil ao usuário. As bordas devem ser reforçadas e arrematadas com bainhas. Não deve haver presença de furos, emendas ou </t>
  </si>
  <si>
    <t>LUVA CIRÚRGICA ESTÉRIL N° 7.0 - Luva cirúrgica, em látex natural, flexível, resistente, fino e homogêneo, proporcionando alta sensibilidade tátil ao usuário. As bordas devem ser reforçadas e arrematadas com bainhas. Não deve haver presença de furos, emendas ou</t>
  </si>
  <si>
    <t>LUVA CIRÚRGICA ESTÉRIL N° 7.5, (21201) -Luva cirúrgica, em látex natural, flexível, resistente, fino e homogêneo, proporcionando alta sensibilidade tátil ao usuário. As bordas devem ser reforçadas e arrematadas com bainhas. Não deve haver presença de furos, em</t>
  </si>
  <si>
    <t>LUVA CIRÚRGICA ESTÉRIL N° 8.0, (21210) -Luva cirúrgica, em látex natural, flexível, resistente, fino e homogêneo, proporcionando alta sensibilidade tátil ao usuário. As bordas devem ser reforçadas e arrematadas com bainhas. Não deve haver presença de furos, em</t>
  </si>
  <si>
    <t>Luva de procedimento de latex - tamanho G cx, luva para procedimento não cirúrgico, material látex natural íntegro e uniforme, tamanho grande, características adicionais lubrificada com pó bioabsorvível, descartável, apresentação atóxica, tipo ambidestra, tipo</t>
  </si>
  <si>
    <t>LUVA DE PROCEDIMENTO DE LATEX – TAMANHO M, luva para procedimento não cirúrgico, material látex natural íntegro e uniforme, tamanho médio, características adicionais lubrificada com pó bioabsorvível, descartável, apresentação atóxica, tipo ambidestra, tipo uso</t>
  </si>
  <si>
    <t>Luva de procedimento de latex -tamanho P, luva para procedimento não cirúrgico, material látex natural íntegro e uniforme, tamanho pequeno, características adicionais lubrificada com pó bioabsorvível, descartável, apresentação atóxica, tipo ambidestra, tipo us</t>
  </si>
  <si>
    <t>Luva de procedimento de latex -tamanho PP, luva para procedimento não cirúrgico, material látex natural íntegro e uniforme, tamanho pequeno, características adicionais lubrificada com pó bioabsorvível, descartável, apresentação atóxica, tipo ambidestra, tipo u</t>
  </si>
  <si>
    <t>MASCARA CIRURGICA TRIPLA CAMADA, descartável, com elastico. (CAIXACOM50UNIDADE)</t>
  </si>
  <si>
    <t>MASCARA DE OXIGENIO COM RESERVATÓRIO: MASCARA DE OXIGENIO ALTA CONCENTRAÇÃO - MD. MODELO: ADULTO; COM TUBO DE O2; COM RESERVATÓRIO; NÃO ESTÉRIL.</t>
  </si>
  <si>
    <t>MASCARA DE OXIGENIO COM RESERVATÓRIO: MASCARA DE OXIGENIO ALTA CONCENTRAÇÃO - MD. MODELO: INFANTIL; COM TUBO DE O2; COM RESERVATÓRIO; NÃO ESTÉRIL.</t>
  </si>
  <si>
    <t>MÁSCARA N95 (PFF2), máscara descartável específica para isolamento respiratório, fechada, tipo personal respirador, com filtro de 95% de eficiência para partículas maiores que 0,3 μm de diâmetro. Atóxica, hipoalergênica e inodora, embalada individualmente. Pra</t>
  </si>
  <si>
    <t>PROPÉS, SAPATILHA DESCARTÁVEL confeccionada em TNT com elástico em toda a volta, branca, tamanho único, (PACOTE COM 100 PARES).</t>
  </si>
  <si>
    <t>SERINGA DESCARTÁVEL DE 1 ML, TIPO INSULINA, DE 100 UI, com agulha 0,38 x 13 mmembalada com capa protetora, escala graduada por unidade insulínica, volume residual de 0,01 ml. Estéril, atóxica, apirogênica.</t>
  </si>
  <si>
    <t>Seringa descartável de 10 ml,bico luer lock. Estéril, atóxica, apirogênica, (CAIXA COM 100 UNIDADES)</t>
  </si>
  <si>
    <t>SERINGA DESCARTÁVEL DE 20 ML, BICO LUER LOCK.(CAIXA COM 100 UNIDADES).</t>
  </si>
  <si>
    <t>SERINGA DESCARTÁVEL DE 3 ML, BICO LUER LOCK.(CAIXA COM 100 UNIDADES).</t>
  </si>
  <si>
    <t>SERINGA DESCARTÁVEL DE 5 ML, BICO LUER LOCK.(CAIXA COM 100 UNIDADES).</t>
  </si>
  <si>
    <t>SONDA FOLEY, 2 VIAS COM BALÃO (Nº 12)–(Sonda Vesical de Demora).</t>
  </si>
  <si>
    <t>SONDA FOLEY, 2 VIAS COM BALÃO (Nº 14)–(Sonda Vesical de Demora).</t>
  </si>
  <si>
    <t>SONDA FOLEY, 2 VIAS COM BALÃO (Nº 16)–(Sonda Vesical de Demora).</t>
  </si>
  <si>
    <t>SONDA FOLEY, 2 VIAS COM BALÃO (Nº 18)–(Sonda Vesical de Demora).</t>
  </si>
  <si>
    <t>SONDA FOLEY, 2 VIAS COM BALÃO (Nº 20)–(Sonda Vesical de Demora).</t>
  </si>
  <si>
    <t>SONDA FOLEY, 2 VIAS COM BALÃO (Nº 22)–(Sonda Vesical de Demora).</t>
  </si>
  <si>
    <t>SONDA NASOGASTRICA DESCARTÁVEL, EM PVC, LONGA, ESTÉRIL, ATÓXICA, MALEÁVEL, ATRAUMÁTICA, ORIFÍCIO NAS LATERAIS E CONECTOR UNIVERSAL, COM TAMPA, COR BRANCO TRANSPARENTE, Nº 04</t>
  </si>
  <si>
    <t>SONDA NASOGASTRICA DESCARTÁVEL, EM PVC, LONGA, ESTÉRIL, ATÓXICA, MALEÁVEL, ATRAUMÁTICA, ORIFÍCIO NAS LATERAIS E CONECTOR UNIVERSAL, COM TAMPA, COR BRANCO TRANSPARENTE, Nº 06</t>
  </si>
  <si>
    <t>SONDA NASOGASTRICA DESCARTÁVEL, EM PVC, LONGA, ESTÉRIL, ATÓXICA, MALEÁVEL, ATRAUMÁTICA, ORIFÍCIO NAS LATERAIS E CONECTOR UNIVERSAL, COM TAMPA, COR BRANCO TRANSPARENTE, Nº 08</t>
  </si>
  <si>
    <t>SONDA NASOGASTRICA DESCARTÁVEL, EM PVC, LONGA, ESTÉRIL, ATÓXICA, MALEÁVEL, ATRAUMÁTICA, ORIFÍCIO NAS LATERAIS E CONECTOR UNIVERSAL, COM TAMPA, COR BRANCO TRANSPARENTE, Nº 10</t>
  </si>
  <si>
    <t>SONDA NASOGASTRICA DESCARTÁVEL, EM PVC, LONGA, ESTÉRIL, ATÓXICA, MALEÁVEL, ATRAUMÁTICA, ORIFÍCIO NAS LATERAIS E CONECTOR UNIVERSAL, COM TAMPA, COR BRANCO TRANSPARENTE, Nº 12</t>
  </si>
  <si>
    <t>SONDA NASOGASTRICA DESCARTÁVEL, EM PVC, LONGA, ESTÉRIL, ATÓXICA, MALEÁVEL, ATRAUMÁTICA, ORIFÍCIO NAS LATERAIS E CONECTOR UNIVERSAL, COM TAMPA, COR BRANCO TRANSPARENTE, Nº 14</t>
  </si>
  <si>
    <t>Sonda nasogástrica descartável, em PVC, longa, estéril, atóxica, maleável. Atraumatica, orifício nas laterais e conector universal com tampa, cor branco transparente, nº 16.</t>
  </si>
  <si>
    <t>SONDA NASOGASTRICA DESCARTÁVEL, EM PVC, LONGA, ESTÉRIL, ATÓXICA, MALEÁVEL, ATRAUMÁTICA, ORIFÍCIO NAS LATERAIS E CONECTOR UNIVERSAL, COM TAMPA, COR BRANCO TRANSPARENTE, Nº 18</t>
  </si>
  <si>
    <t>SONDA NASOGASTRICA DESCARTÁVEL, EM PVC, LONGA, ESTÉRIL, ATÓXICA, MALEÁVEL, ATRAUMÁTICA, ORIFÍCIO NAS LATERAIS E CONECTOR UNIVERSAL, COM TAMPA, COR BRANCO TRANSPARENTE, Nº 20</t>
  </si>
  <si>
    <t>SONDA NASOGASTRICA DESCARTÁVEL, EM PVC, LONGA, ESTÉRIL, ATÓXICA, MALEÁVEL, ATRAUMÁTICA, ORIFÍCIO NAS LATERAIS E CONECTOR UNIVERSAL, COM TAMPA, COR BRANCO TRANSPARENTE, Nº 22</t>
  </si>
  <si>
    <t>SONDA URETRAL (SONDA VESICAL DE ALIVIO),tamanho nº 06, confeccionada em pvc, atóxico, flexível, atraumática, identificação do calibre com conector universal, no mínimo dois furos laterais, estéril, descartável, embalagem individual com abertura em pétala e ass</t>
  </si>
  <si>
    <t>SONDA URETRAL (SONDA VESICAL DE ALIVIO),tamanho nº 08, Confeccionada em pvc, atóxico, flexível, atraumática, identificação do calibre com conector universal, no mínimo dois furos laterais, estéril, descartável, embalagem individual com abertura em pétala e ass</t>
  </si>
  <si>
    <t>SONDA URETRAL (SONDA VESICAL SONDA URETRAL (SONDA VESICAL DE ALIVIO),tamanho nº 10, Confeccionada em pvc, atóxico, flexível, atraumática, identificação do calibre com conector universal, no mínimo dois furos laterais, estéril, descartável, embalagem individual</t>
  </si>
  <si>
    <t>SONDA URETRAL (SONDA VESICAL DE ALIVIO),tamanho nº 12, Confeccionada em pvc, atóxico, flexível, atraumática, identificação do calibre com conector universal, no mínimo dois furos laterais, estéril, descartável, embalagem individual com abertura em pétala e ass</t>
  </si>
  <si>
    <t>SONDA URETRAL (SONDA VESICAL DE ALIVIO),tamanho nº 14, Confeccionada em pvc, atóxico, flexível, atraumática, identificação do calibre com conector universal, no mínimo dois furos laterais, estéril, descartável, embalagem individual com abertura em pétala e ass</t>
  </si>
  <si>
    <t>SONDA URETRAL TIPO NELATON Nº 12, estéril, descartável, confeccionada em PVC atóxico, flexível e transparente, siliconizada, calibre 12 Fr, com aproximadamente 40 cm de comprimento, ponta distal fechada, arredondada e atraumática, contendo dois orifícios later</t>
  </si>
  <si>
    <t>TOUCA CIRURGICA DESCARTAVEL EM TECICO NAO TECIDO 100%POLIPROPILENO - MATERIAL RESISTENTE E CONFORTAVEL COM ELASTICO - USO UNICO COR BRANCA - PACOTE COM 10 UNIDADES</t>
  </si>
  <si>
    <t>UMIDIFICADOR DE OXIGENIO.</t>
  </si>
  <si>
    <t>Máscara hospitalar - Tipo: não reinalante; Uso: oxigenioterapia e anestesia; Tamanho: infantil; Dados complementares: sistema completo, com bolsa reservatória de capacide de 750 ml e tubo de suprimento de gás com 2,10m de comprimento; Requisito: com reservatór</t>
  </si>
  <si>
    <t>Sonda - Tipo: Levine (sondagem gástrica); Tamanho: nº 04, longa 120 cm; Material: polivinil; Cor: transparente; Uso: descartável; Requisito: atóxica flexível, estéril, siliconizado; Dados Complementares: tampa oclusiva, adaptador universal; Apresentação: embal</t>
  </si>
  <si>
    <t>Sonda - Tipo: Levine (sondagem gástrica); Tamanho: nº 08, longa 120 cm; Material: polivinil; Cor: transparente; Uso: descartável; Requisito: atóxica flexível, estéril, siliconizado; Dados Complementares: tampa oclusiva, adaptador universal; Apresentação: embal</t>
  </si>
  <si>
    <t>Sonda - Tipo: Levine (sondagem gástrica); Tamanho: nº 22, longa 120 cm; Material: polivinil; Cor: transparente; Uso: descartável; Requisito: atóxica flexível, estéril, siliconizado; Dados Complementares: tampa oclusiva, adaptador universal; Apresentação: embal</t>
  </si>
  <si>
    <t>Sonda - Tipo: Levine (sondagem gástrica); Tamanho: nº 18, longa 120 cm; Material: polivinil; Cor: transparente; Uso: descartável; Requisito: atóxica flexível, estéril, siliconizado; Dados Complementares: tampa oclusiva, adaptador universal; Apresentação: embal</t>
  </si>
  <si>
    <t>Sonda - Tipo: Levine (sondagem gástrica); Tamanho: nº 20, longa 120 cm; Material: polivinil; Cor: transparente; Uso: descartável; Requisito: atóxica flexível, estéril, siliconizado; Dados Complementares: tampa oclusiva, adaptador universal; Apresentação: embal</t>
  </si>
  <si>
    <t>Sonda - Tipo: uretral; Material: confeccionada em pvc com paredes finas, maleáveis, flexível e transparente; Tamanho: número 22; Requisitos: ponta atraumática, com no mínimo 30cm de comprimento, conector universal com tampa, não lubrificada, estéril, atóxica e</t>
  </si>
  <si>
    <t>APARELHO ASPIRADOR CIRÚRGICO PORTÁTIL: LEVE E COMPACTO, PROJETADO PARA ASPIRAÇÃO DE SECREÇÕES E LÍQUIDOS CORPORAIS EM AMBIENTE DE EMERGÊNCIA PRÉ-HOSPITALAR (AMBULÂNCIA). O EQUIPAMENTO DEVE SER DE ALTA PERFORMANCE, FÁCIL MANUSEIO E RESISTENTE A IMPACTOS, VIBRAÇ</t>
  </si>
  <si>
    <t>ASPIRADOR PARA CENTRO CIRÚRGICO ASPIRADOR CIRÚRGICO MÓVEL, INDICADO PARA ASPIRAÇÃO DE SECREÇÕES, SANGUE E FLUIDOS EM PROCEDIMENTOS HOSPITALARES, DEVENDO ATENDER INTEGRALMENTE ÀS SEGUINTES CARACTERÍSTICAS MÍNIMAS: EQUIPAMENTO MONTADO SOBRE PEDESTAL COM 04 RODÍZ</t>
  </si>
  <si>
    <t>COMADRE DE INOX. : MATERIAL: AÇO INOXIDÁVEL AISI 304. SUPERFÍCIE POLIDA OU ESCOVADA, LISA. DIMENSÕES APROXIMADAS: COMPRIMENTO: 450 MM (45 CM); LARGURA: 300 MM (30 CM); ALTURA: 90 MM (9 CM). CAPACIDADE VOLUMÉTRICA: MÍNIMA DE 2,5 LITROS. BORDAS ARREDONDADAS. ESP</t>
  </si>
  <si>
    <t>CUBA DE AÇO INOX FORMATO RIM CONFECCIONADO EM MATERIAL: AÇO INOXIDÁVEL CIRÚRGICO FORMATO: RIM (ANATOMICAMENTE CURVADO); ACABAMENTO: POLIDO, COMPATÍVEL COM PROCESSOS DE LIMPEZA E ESTERILIZAÇÃO; BORDAS: ARREDONDADAS PARA SEGURANÇA NO MANUSEIO;</t>
  </si>
  <si>
    <t xml:space="preserve">PAPAGAIO DE INOX: MATERIAL AÇO INOXIDÁVEL AISI 304 (OU EQUIVALENTE), COM ESPESSURA MÍNIMA DE 0,6 MM, RESISTENTE À OXIDAÇÃO, FÁCIL DE HIGIENIZAR E COMPATÍVEL COM PROCESSOS DE ESTERILIZAÇÃO. ACABAMENTO: SUPERFÍCIE INTERNA E EXTERNA COM POLIMENTO FOLHA ESCOVADO, </t>
  </si>
  <si>
    <t>Fita Adesiva - Uso Cutâneo apresentação: em tiras, cor: transparente, dimensão da tira: cerca de 3,0 x 50 cm, esterilidade: não estéril, material dorso: silicone, tipo: placa de gel p/ cicatriz</t>
  </si>
  <si>
    <t>Agulha Hipodérmica material: aço inoxidável siliconizado, dimensão: 50 g x 20", tipo ponta: bisel curto trifacetado, tipo conexão: conector luer lock em latão cromado, característica adicional: uso veterinário, tipo uso: estéril, descartável, embalagem individ</t>
  </si>
  <si>
    <t>Agulha Hipodérmica material: aço inoxidável siliconizado, dimensão: 27 g x 1/2", tipo ponta: bisel curto trifacetado, tipo conexão: conector luer lock ou slip em plástico, tipo fixação: protetor plástico, tipo uso: estéril, descartável, embalagem individual</t>
  </si>
  <si>
    <t>Fio De Sutura Agulhado material fio: aço inoxidável, modelo fio: monofilamentar, diâmetro fio: nº 1, comprimento fio: 4 x cerca de 45, tipo agulha: agulha 1/2 círculo, modelo agulha: cilíndrica, comprimento agulha: cerca de 26, esterilidade: estéril, apresenta</t>
  </si>
  <si>
    <t>Fio De Sutura Agulhado material fio: seda preto, modelo fio: multifilamentar, diâmetro fio: 2-0, comprimento fio: cerca de 70, tipo agulha: agulha 3/8 círculo, modelo agulha: cilíndrica, comprimento agulha: cerca de 30, esterilidade: estéril, apresentação: emb</t>
  </si>
  <si>
    <t>Luva Cirúrgica material: borracha mista - látex c/ revestimento sintético, superfície: superfície texturizada, formato: anatômico, pó: sem pó, cor: c/ cor, tamanho: nº 8,0, apresentação: em par, esterilidade: estéril, uso único, embalagem: embalagem individual</t>
  </si>
  <si>
    <t>Luva P/ Procedimento De Saúde Não Cirúrgico C/ Anvisa material: borracha natural - látex, superfície: superfície lisa, formato: ambidestra, pó: com pó bioabsorvível, cor: c/ cor, tamanho: grande - g, esterilidade: estéril, uso único, embalagem: par em embalage</t>
  </si>
  <si>
    <t>Equipo De Infusão Venosa Gravitacional material: pvc transparente, câmara gotejamento: macrogotas, flexível, c/ respiro e filtro, regulador de fluxo manual: pinça rolete, comprimento tubo: até 180 cm, tipo injetor lateral: c/ 1 injetor, autocicatrizante, conec</t>
  </si>
  <si>
    <t>Coletor De Resíduos De Serviço De Saúde tipo de resíduo: grupo e - resíduo perfurocortante tóxico, tipo risco: risco químico, capacidade: cerca de 13, material: caixa de papelão c/ saco plástico, adicional: c/ alça, uso: uso único</t>
  </si>
  <si>
    <t>Coletor De Resíduos De Serviço De Saúde tipo de resíduo: grupo e - resíduo perfurocortante infectante, tipo risco: risco biológico, capacidade: cerca de 7, material: caixa de papelão c/ saco plástico, adicional: c/ alça, uso: uso único</t>
  </si>
  <si>
    <t>Reservatório P/ Coleta De Amostra Biológica modelo: frasco, aplicação: universal, material: polímero rígido c/ cor, graduado, volume: cerca de 50 ml, fechamento: tampa plástica, esterilidade: estéril, uso único</t>
  </si>
  <si>
    <t>Equipo De Infusão Venosa Gravitacional material: pvc transparente, sem dehp, câmara gotejamento: macrogotas, flexível, c/ respiro e filtro, regulador de fluxo manual: rolete graduado em ml/h, comprimento tubo: até 180 cm, tipo injetor lateral: c/ 1 injetor, us</t>
  </si>
  <si>
    <t>Transdutor De Pressão aplicação: estimar pressão do gás refrigerante r22 na linha d, referência: marca schneider, 50pa(0,25"wc);12/33vdc;epp101 TRANSDUTOR DE PRESSÃO: Modelos compatíveis: Sensirion SDP810-125pa / SDP31 Sensirion SDP810-500pa Honeywell HSC / SS</t>
  </si>
  <si>
    <t>AGULHA HIPODERMICA 13 X 4,5 MM</t>
  </si>
  <si>
    <t>AGULHA HIPODERMICA 20 X 5,5 MM, DESCARTAVEL</t>
  </si>
  <si>
    <t>AGULHA HIPODERMICA 25 X 6,0</t>
  </si>
  <si>
    <t>AGULHA HIPODERMICA 25 X 7,0 MM</t>
  </si>
  <si>
    <t>AGULHA HIPODERMICA 25 X 8,0 MM</t>
  </si>
  <si>
    <t>AGULHA HIPODERMICA 40X12 MM</t>
  </si>
  <si>
    <t>AGULHA PARA COLETA DE SANGUE MÚLTIPLA 25X 0,70 MM</t>
  </si>
  <si>
    <t>AGULHA PARA COLETA DE SANGUE MÚLTIPLA 25X 0,80 MM</t>
  </si>
  <si>
    <t>SERINGA DESCARTAVEL S/ AGULHA 10ML</t>
  </si>
  <si>
    <t>SERINGA DESCARTAVEL S/ AGULHA 20ML</t>
  </si>
  <si>
    <t>SERINGA DESCARTAVEL S/ AGULHA 3ML</t>
  </si>
  <si>
    <t>SERINGA DESCARTAVEL S/ AGULHA 5ML</t>
  </si>
  <si>
    <t>SERINGA PARA INSULINA</t>
  </si>
  <si>
    <t>SUPORTE PARA COLETOR PERFUROCORTANTE 13 L</t>
  </si>
  <si>
    <t>SUPORTE PARA COLETOR PERFUROCORTANTE 20 L</t>
  </si>
  <si>
    <t>SUPORTE PARA COLETOR PERFUROCORTANTE 7 L</t>
  </si>
  <si>
    <t>AGULHA ODONTOLOGICA, MATERIAL ACO INOXIDAVEL SILICONIZADO APLICACAO GENGIVAL / ANESTESIA DIMENSAO 27G LONGA - CAIXA COM 100 UNIDADES. CONTÉM REGISTRO OBRIGATÓRIO NA ANVISA.</t>
  </si>
  <si>
    <t>AGULHA ODONTOLOGICA, MATERIAL ACO INOXIDAVEL SILICONIZADO APLICACAO GENGIVAL / ANESTESIA DIMENSAO 30G CURTA - CAIXA COM 100 UNIDADES. CONTÉM REGISTRO OBRIGATORIO NA ANVISA.</t>
  </si>
  <si>
    <t>AGULHA ODONTOLOGICA, MATERIAL ACO INOXIDAVEL SILICONIZADO APLICACAO GENGIVAL / ANESTESIA DIMENSAO 30G EXTRA CURTA - CAIXA COM 100 UNIDADES. CONTÉM REGISTRO OBRIGATORIO NA ANVISA.</t>
  </si>
  <si>
    <t>MICROAPLICADOR ODONTOLÓGICO DESCARTÁVEL, TIPO MICROBRUSH. HASTE INJETADA EM POLIPROPILENO FLEXÍVEL COM DOIS PONTOS DE DOBRA. PONTA FLOCADA COM MICROCERDAS DE NYLON DE ALTA ABSORÇÃO. INDICADO PARA APLICAÇÃO DE SOLUÇÕES EM ÁREAS DE DIFÍCIL ACESSO, PREPAROS CAVIT</t>
  </si>
  <si>
    <t>COLETOR MATERIAL PERFUROCORTANTE, POLIPROPILENO, CAPACIDADE TOTAL DE 7 L, ALCASRIGIDAS E TAMPA, DESCARTAVEL, ATOXICO, APIROGENICO. CONTEM REGISTRO OBRIGATORIO NA ANVISA.</t>
  </si>
  <si>
    <t>FIO DE SUTURA NYLON - FIO CIRURGICO PRETO MONOFILAMENTAR DE POLIAMIDA NUMERO 4.0, AGULHA TRIANGULAR 3/8 E CIRCULAR, FIO 20MM, 45CM DE COMPRIMENTO. CAIXA COM 24 UNID. CONTEM REGISTRO OBRIGATORIO NA ANVISA.</t>
  </si>
  <si>
    <t>FIO DE SUTURA, MATERIAL NYLON MONOFILAMENTO, ESTERILIDADE ESTERIL, TIPO FIO 4-0, COR PRETO, COMPRIMENTO 45 CM, CARACTERISTICAS ADICIONAIS COM AGULHA, TIPO AGULHA 1,5 CIRCULO CORTANTE. CAIXA COM 24 UNID.CONTEM REGISTRO OBRIGATORIO NA ANVISA.</t>
  </si>
  <si>
    <t>INDICADOR QUÍMICO INTEGRADOR CLASSE 5 AUTOCLAVEL, COM 250 UNIDADES. CONTEM REGISTRO OBRIGATORIO NA ANVISA.</t>
  </si>
  <si>
    <t>LÂMINA BISTURI, ACO INOXIDAVEL, TAMANHO Nº 12, DESCARTAVEL, ESTERIL, EMBALADA INDIVIDUALMENTE C/ 100 UND. CONTEM REGISTRO OBRIGATORIO NA ANVISA.</t>
  </si>
  <si>
    <t>LUVA CIRURGICA, MATERIAL LATEX NATURAL, EMBALAGEM CONFORME NORMA ABNT C/ ABERTURA ASSEPTICA, TAMANHO 6,50, ESTERILIDADE ESTERIL, CARACTERISTICAS ADICIONAIS COMPRIMENTO MINIMO DE 28CM, APRESENTACAO LUBRIFICADA C/ PO BIOABSORVIVEL, ATOXICA. CONTEM REGISTRO OBRIG</t>
  </si>
  <si>
    <t>LUVA DESCARTAVEL PARA PROCEDIMENTO HOSPITALAR, LUVAS DE LATEX LEVEMENTE LUBRIFICADA COM PO BIOABSORVIVEL, COM PERFEITA ADAPTACAO ANATOMICA E SEM FALHAS, NAO ESTERELIZADA ,BOA ELASTICIDADE,RESISTENTE A TRACAO, ALTA SENSIBILIDADE TATIL, UNIFORME SEM FALHAS, DE A</t>
  </si>
  <si>
    <t>LUVA PROCEDIMENTO NITRILICA SEM PÓ TAMANHO P AZUL CAIXA COM 100. CONTEM REGISTRO OBRIGATORIO NA ANVISA.</t>
  </si>
  <si>
    <t>PAPEL GRAU CIRURGICO - RESISTENTE A ESTERILIZACAO E AO MANUSEIO, ATOXICO, COM UMA FACE BRANCA OPOPACA ACA E OUTRA E OUTRATRANSP TRANSPARENTE, ARENTE, DESCARTAVEL, MEDINDO 10 X 100 M. CONTEM REGISTRO OBRIGATORIO NA ANVISA.</t>
  </si>
  <si>
    <t>PAPEL GRAU CIRURGICO - RESISTENTE A ESTERILIZACAO E AO MANUSEIO, ATOXICO, COM UMA FACE BRANCA OPOPACA ACA E OUTRA E OUTRATRANSP TRANSPARENTE, ARENTE, DESCARTAVEL, MEDINDO 15 X 100 M. CONTEM REGISTRO OBRIGATORIO NA ANVISA.</t>
  </si>
  <si>
    <t>PAPEL GRAU CIRURGICO - RESISTENTE A ESTERILIZACAO E AO MANUSEIO, ATOXICO, COM UMA FACE BRANCA OPOPACA ACA E OUTRA E OUTRATRANSP TRANSPARENTE, ARENTE, DESCARTAVEL, MEDINDO 20 X 100 M. CONTEM REGISTRO OBRIGATORIO NA ANVISA.</t>
  </si>
  <si>
    <t>PAPEL GRAU CIRURGICO - RESISTENTE A ESTERILIZACAO E AO MANUSEIO, ATOXICO, COM UMA FACE BRANCA OPACA E OUTRA TRANSPARENTE, ARENTE, DESCARTAVEL, MEDINDO 25 X 100 M. CONTEM REGISTRO OBRIGATORIO NA ANVISA.</t>
  </si>
  <si>
    <t>PAPEL GRAU CIRURGICO - RESISTENTE A ESTERILIZACAO E AO MANUSEIO, ATOXICO, COM UMA FACE BRANCA OPOPACA ACA E OUTRA E OUTRATRANSP TRANSPARENTE, ARENTE, DESCARTAVEL, MEDINDO 30 X 100 M. CONTEM REGISTRO OBRIGATORIO NA ANVISA.</t>
  </si>
  <si>
    <t>SUGADOR DE SALIVA ODONTOLÓGICO DESCARTÁVEL.CONFECCIONADO EM TUBO DE PVC TRANSPARENTE, ATÓXICO E FLEXÍVEL, CONTENDO ARAME INTERNO EM AÇO INOX PARA PERMITIR A MODELAGEM E FIXAÇÃO DA CURVATURA PELO PROFISSIONAL. PONTEIRA MACIA, ATÓXICA, VAZADA E AROMATIZADA ARTIF</t>
  </si>
  <si>
    <t>SUGADOR CIRÚRGICO ODONTOLÓGICO DESCARTÁVEL ESTÉRIL – INDICADO PARA A SUCÇÃO DE LÍQUIDOS, SANGUE E FLUIDOS DURANTE PROCEDIMENTOS CIRÚRGICOS ODONTOLÓGICOS. PRODUTO DE USO ÚNICO, EMBALADO INDIVIDUALMENTE DE FORMA ESTÉRIL, ATÓXICO E DE ALTA EFICIÊNCIA DE SUCÇÃO. C</t>
  </si>
  <si>
    <t>CAMPO CIRURGICO 100X100CM</t>
  </si>
  <si>
    <t>CAMPO CIRURGICO 40CM X 40CM</t>
  </si>
  <si>
    <t>CAMPO CIRURGICO 70CM X 70CM</t>
  </si>
  <si>
    <t>CAMPO CIRURGICO FENESTRADO 70CM X 70CM</t>
  </si>
  <si>
    <t>CAMPO CIRÚRGICO FENESTRADO PARA ODONTOLOGIA</t>
  </si>
  <si>
    <t>FRONHA - MEDINDO (50,00 X 70,00)CM (LARG. X COMP.),NA COR AZUL CLARO, CONFECCIONADA EM TECIDO 100% ALGODAO</t>
  </si>
  <si>
    <t>LENÇOL HOSPITALAR AZUL CLARO COM BRASÃO DA PREFEITURA DE ÁGUA BOA</t>
  </si>
  <si>
    <t>LENÇOL HOSPITALAR PARA LEITO AZUL CLARO</t>
  </si>
  <si>
    <t xml:space="preserve">LENCOL HOSPITALAR - NA COR BRANCA, COM ELASTICO NAS BORDAS,MEDINDO NO MÍMIMO 220 CM DE COMPRIMENTO E 150 CM DE LARGURA, GRAMATURA 114G/M, COM 5 SERIGRAFIAS DA LOGOMARCA DO HOSPITAL, SENDO UMA EM CADA PONTA DO LENÇOL NO TOTAL DE 04(QUATRO) E 01 (UMA) NO CENTRO </t>
  </si>
  <si>
    <t>LENCOL HOSPITALAR - 100 ALGODAO, 200 FIOS,SEM ELASTICO, GRAMATURA 144G/M²,MEDINDO: 80X90CM,NA COR BRANCA, ESTAMPADO COM DESENHOS INFANTIS, QUE APRESENTE SOLIDEZ AO CLORO E RESISTENCIA A MULTIPLAS LAVAGENS, MANTENDO TEXTURA ENCORPADA, BOA APARENCIA E QUALIDADE,</t>
  </si>
  <si>
    <t>LENCOL HOSPITALAR - NA COR BRANCA, SEM ELASTICO NAS BORDAS,MEDINDO NO MÍMIMO 220 CM DE COMPRIMENTO E 150 CM DE LARGURA, GRAMATURA 114G/M, COM 3 SERIGRAFIAS DA LOGOMARCA DO HOSPITAL, SENDO UMA EM CADA PONTA DO LENÇOL NO TOTAL DE 02(DUAS) E 01 (UMA) NO CENTRO DO</t>
  </si>
  <si>
    <t>CAMPO CIRURGICO SIMPLES - EM BRIM PESADO, 100 ALGODAO,MEDINDO (160 X 300)CM , COR VERDE BANDEIRA,GRAMATURA MINIMA 260G/M2, PADRAO SARJA, COM LOGOMARCA BRANCA EM TRES EXTREMIDADES DO TECIDO,FENESTRADO,EMBALADO INDIVIDUALMENTE</t>
  </si>
  <si>
    <t>CAMPO CIRURGICO SIMPLES - EM BRIM, MEDINDO 1,60X 0,80, SEM FENESTRA, EM EMBALAGEM INDIVIDUAL,PACOTE COM 50 UNIDADES, APRESENTADO CONFORME DECRETO LEI 79094/77 COMBINADO COM O ART.31 L.8078/90</t>
  </si>
  <si>
    <t>CAMPO CIRURGICO DUPLO - EM BRIM VERDE SOLASOL,COM DUPLA CAMADA DE TECIDO, MEDINDO 30CM X 30CM, FENESTRADO, EM EMBALAGEM INDIVIDUAL, COM 10 UNIDADES, COMBINADO COM O ARTIGO 31 DA LEI 8078/90</t>
  </si>
  <si>
    <t>CAMPO CIRURGICO DUPLO MEDINDO 1,10X1,10M EM BRIM NÃO FENESTRADO</t>
  </si>
  <si>
    <t>CAMPO CIRURGICO DUPLO - EM BRIM TAPE, MEDINDO 90CM X 90CM, NAO FENESTRADO, EM EMBALAGEM INDIVIDUAL, COMBINADO COM O ARTIGO 31 DA LEI 8078/90</t>
  </si>
  <si>
    <t>CAMPO CIRURGICO DUPLO - CONFECCIONADO EM TECIDO DE BRIM, NAS CORES BRANCO E VERDE, MEDINDO 60X60 CM</t>
  </si>
  <si>
    <t>CAMPO CIRURGICO SIMPLES - CONFECCIONADO EM TECIDO DE BRIM, NAS CORES BRANCO E VERDE, MEDINDO 55X55 CM</t>
  </si>
  <si>
    <t>FRONHA, PARA SOLTEIRO, COM IMPRESSAO DE LOGO MARCA DO HOSPITAL, COM FORNECIMENTO DE TODO MATERIAL EM ALGODAO NO TAMANHO 50 X 70 CM, CORES VARIADAS</t>
  </si>
  <si>
    <t xml:space="preserve">Agulha Hipodérmica característica adicional: com sistema segurança segundo nr/32, dimensão: 26 g x 1/2", material: aço inoxidável siliconizado, tipo conexão: conector luer lock em plástico, tipo fixação: protetor plástico, tipo ponta: bisel curto trifacetado, </t>
  </si>
  <si>
    <t xml:space="preserve">Agulha Hipodérmica característica adicional: com sistema segurança segundo nr/32, dimensão: 24 g x 3/4", material: aço inoxidável siliconizado, tipo conexão: conector luer lock em plástico, tipo fixação: protetor plástico, tipo ponta: bisel curto trifacetado, </t>
  </si>
  <si>
    <t>Agulha Hipodérmica característica adicional: com sistema segurança segundo nr/32, dimensão: 23 g x 1", material: aço inoxidável siliconizado, tipo conexão: conector luer lock em plástico, tipo fixação: protetor plástico, tipo ponta: bisel curto trifacetado, ti</t>
  </si>
  <si>
    <t>Agulha Hipodérmica característica adicional: com sistema segurança segundo nr/32, dimensão: 22 g x 1", material: aço inoxidável siliconizado, tipo conexão: conector luer lock em plástico, tipo fixação: protetor plástico, tipo ponta: bisel curto trifacetado, ti</t>
  </si>
  <si>
    <t>Agulha Hipodérmica característica adicional: com sistema segurança segundo nr/32, dimensão: 21 g x 1", material: aço inoxidável siliconizado, tipo conexão: conector luer lock em plástico, tipo fixação: protetor plástico, tipo ponta: bisel curto trifacetado, ti</t>
  </si>
  <si>
    <t>Agulha Hipodérmica característica adicional: com sistema segurança segundo nr/32, dimensão: 21 g x 1 1/4", material: aço inoxidável siliconizado, tipo conexão: conector luer lock em plástico, tipo fixação: protetor plástico, tipo ponta: bisel curto trifacetado</t>
  </si>
  <si>
    <t>Agulha Hipodérmica característica adicional: com sistema segurança segundo nr/32, dimensão: 18 g x 1 1/2", material: aço inoxidável siliconizado, tipo conexão: conector luer lock em plástico, tipo fixação: protetor plástico, tipo ponta: bisel curto trifacetado</t>
  </si>
  <si>
    <t>Espéculo Uso Médico aplicação: vaginal, embalagem: embalagem individual, esterilidade: estéril, uso único, material: polímero, modelo: collin, tamanho: grande, travamento: c/ trava tipo rosca</t>
  </si>
  <si>
    <t>Espéculo Uso Médico aplicação: vaginal, embalagem: embalagem individual, esterilidade: estéril, uso único, material: polímero, modelo: collin, tamanho: médio, travamento: c/ trava tipo rosca</t>
  </si>
  <si>
    <t>Espéculo Uso Médico aplicação: vaginal, embalagem: embalagem individual, esterilidade: estéril, uso único, material: polímero, modelo: collin, tamanho: pequeno, travamento: c/ trava tipo rosca</t>
  </si>
  <si>
    <t>Espátula Uso Médico comprimento*: cerca de 18, esterilidade: descartável, material*: madeira, modelo 1: de ayres</t>
  </si>
  <si>
    <t>Equipo De Infusão Venosa Gravitacional comprimento tubo: até 180 cm, conector paciente: luer, câmara gotejamento: microgotas, flexível, c/ filtro, esterilidade: estéril, uso único, material: pvc transparente, regulador de fluxo manual: pinça rolete, tipo embal</t>
  </si>
  <si>
    <t>Equipo De Nutrição Enteral adicional: c/ clamp, comprimento total do tubo: até 180 cm, conector dieta: ponta perfurante, conector paciente: escalonado, conector via adicional: luer, câmara gotejamento: macrogotas, flexível, c/ respiro, esterilidade: estéril, u</t>
  </si>
  <si>
    <t xml:space="preserve">Cateter Periférico aplicação: venoso, componente 2: c/ sistema segurança segundo nr/32, componente adicional: c/ asa de fixação, tubo extensor, conector: conector padrão c/ tampa, diametro: 21, material agulha: agulha aço inox, modelo: tipo escalpe, tipo uso: </t>
  </si>
  <si>
    <t xml:space="preserve">Cateter Periférico aplicação: venoso, componente 2: c/ sistema segurança segundo nr/32, componente adicional: c/ asa de fixação, tubo extensor, conector: conector padrão c/ tampa, diametro: 23, material agulha: agulha aço inox, modelo: tipo escalpe, tipo uso: </t>
  </si>
  <si>
    <t xml:space="preserve">Cateter Periférico aplicação: venoso, componente 2: c/ sistema segurança segundo nr/32, componente adicional: c/ asa de fixação, tubo extensor, conector: conector padrão c/ tampa, diametro: 25, material agulha: agulha aço inox, modelo: tipo escalpe, tipo uso: </t>
  </si>
  <si>
    <t xml:space="preserve">Cateter Periférico aplicação: venoso, componente 2: c/ sistema segurança segundo nr/32, componente adicional: c/ asa de fixação, tubo extensor, conector: conector padrão c/ tampa, diametro: 27, material agulha: agulha aço inox, modelo: tipo escalpe, tipo uso: </t>
  </si>
  <si>
    <t>Indicador Químico P/ Processamento De Produtos De Saúde apresentação: fita adesiva, características adicionais: para esterilização a vapor, classe: classe i, tipo uso: externo</t>
  </si>
  <si>
    <t>Reservatório P/ Coleta De Amostra Biológica aplicação: universal, esterilidade: estéril, uso único, fechamento: tampa plástica, material: polímero rígido transparente, graduado, modelo: frasco, volume: cerca de 50 ml</t>
  </si>
  <si>
    <t>Garrote componente adicional: c/ sistema de trava em plástico, material*: faixa elástica, tamanho: tamanho adulto, tipo uso: reutilizável</t>
  </si>
  <si>
    <t>Garrote componente adicional: c/ sistema de trava em plástico, material*: faixa elástica, tamanho: tamanho infantil, tipo uso: reutilizável</t>
  </si>
  <si>
    <t>Gel Para Exame Médico aplicação: condutor, características adicionais: ph neutro, composição: a base de água, esterilidade: estéril</t>
  </si>
  <si>
    <t>Lâmina Bisturi características adicionais: embalada individualmente, esterilidade: estéril, material: aço carbono, tamanho: nº 15c, tipo: descartável</t>
  </si>
  <si>
    <t>Lâmina Bisturi características adicionais: embalada individualmente, esterilidade: estéril, material: aço inoxidável, tamanho: nº 24, tipo: descartável</t>
  </si>
  <si>
    <t>Lâmina Bisturi características adicionais: embalada individualmente, esterilidade: estéril, material: aço inoxidável, tamanho: nº 12, tipo: descartável</t>
  </si>
  <si>
    <t>Lâmina Bisturi características adicionais: embalada individualmente, esterilidade: estéril, material: aço inoxidável, tamanho: nº 23, tipo: descartável</t>
  </si>
  <si>
    <t>Lanceta características adicionais: estéril, embalagem individual, material lâmina: aço inoxidável,ponta afiada,trifacetada, uso: descartável</t>
  </si>
  <si>
    <t>Lancetador Para Glicemia Capilar componentes adicionais: c/ tampa protetora e mecanismo bloqueador, lanceta: lanceta trifacetada siliconizada, quantidade níveis profundidade: seleção de até 3 níveis de profundidade de punção, tipo: tipo caneta</t>
  </si>
  <si>
    <t>Lancetador Para Glicemia Capilar lanceta: lanceta trifacetada siliconizada, quantidade níveis profundidade: seleção de até 5 níveis de profundidade de punção, tipo: tipo caneta</t>
  </si>
  <si>
    <t>Lençol Descartável Uso Hospitalar apresentação 1: c/ elástico, dimensoes: cerca de 180 x 220 cm, gramatura 1: cerca de 30, materia prima: 100% polipropileno, não tecido tnt</t>
  </si>
  <si>
    <t>Luva Cirúrgica apresentação: em par, cor: c/ cor, embalagem: embalagem individual, esterilidade: estéril, uso único, formato: anatômico, material: borracha natural - látex, pó: com pó bioabsorvível, superfície: superfície lisa, tamanho: nº 6,5</t>
  </si>
  <si>
    <t>Luva Cirúrgica apresentação: em par, cor: c/ cor, embalagem: embalagem individual, esterilidade: estéril, uso único, formato: anatômico, material: borracha natural - látex, pó: com pó bioabsorvível, superfície: superfície lisa, tamanho: nº 7,0</t>
  </si>
  <si>
    <t>Luva Cirúrgica apresentação: em par, cor: c/ cor, embalagem: embalagem individual, esterilidade: estéril, uso único, formato: anatômico, material: borracha natural - látex, pó: com pó bioabsorvível, superfície: superfície lisa, tamanho: nº 7,5</t>
  </si>
  <si>
    <t>Luva Cirúrgica apresentação: em par, cor: c/ cor, embalagem: embalagem individual, esterilidade: estéril, uso único, formato: anatômico, material: borracha natural - látex, pó: com pó bioabsorvível, superfície: superfície lisa, tamanho: nº 8,5</t>
  </si>
  <si>
    <t>Máscara Proteção Resp. C/ Anvisa adicional 2: s/ válvula, classe: pff2, n95 ou equivalente, componente: clipe nasal, cor: c/ cor, esterilidade: descartável, filtro: eficiência filtração mín. 94% s, material: camadas fibras sintéticas, modelo: respirador tipo c</t>
  </si>
  <si>
    <t>Reservatório P/ Coleta De Amostra Biológica aplicação: p/ urina infantil, componente: c/ adesivo de fixação no paciente, esterilidade: estéril, uso único, material: polímero maleável transparente, graduado, modelo: saco, volume: cerca de 100 ml</t>
  </si>
  <si>
    <t xml:space="preserve">Seringa adicional: graduada, numerada, apresentação: embalagem individual, capacidade: 10, componente adicional: c/ sistema segurança segundo nr/32, esterilidade: estéril, descartável, material: polipropileno, tipo agulha: c/ agulha 22 g x 1", tipo bico: bico </t>
  </si>
  <si>
    <t>Seringa adicional: graduada, numerada, apresentação: embalagem individual, capacidade: 3, componente adicional: c/ sistema segurança segundo nr/32, esterilidade: estéril, descartável, material: polipropileno, tipo agulha: c/ agulha 22 g x 1", tipo bico: bico c</t>
  </si>
  <si>
    <t>Seringa adicional: graduada, numerada, apresentação: embalagem individual, capacidade: 5, componente adicional: c/ sistema segurança segundo nr/32, esterilidade: estéril, descartável, material: polipropileno, tipo agulha: c/ agulha 22 g x 1", tipo bico: bico c</t>
  </si>
  <si>
    <t>Monitor Portátil acessórios: lancetador, solução controle, componentes: com lancetas, tiras, faixa de operação: até 600, memória: 250 a 500 testes, operação: digital, tempo resposta: até 10, tipo amostra: sangue capilar, tipo de análise: quantitativo de glicos</t>
  </si>
  <si>
    <t>FRALDA DESCARTÁVEL INFANTIL – TAMANHO P - SENDO A MARCA TURMA DA MÔNICA</t>
  </si>
  <si>
    <t>FRALDA DESCARTÁVEL INFANTIL – TAMANHO M - SENDO A MARCA TURMA DA MÔNICA</t>
  </si>
  <si>
    <t>FRALDA DESCARTÁVEL INFANTIL – TAMANHO G - SENDO A MARCA TURMA DA MÔNICA</t>
  </si>
  <si>
    <t>FRALDA DESCARTÁVEL INFANTIL – TAMANHO XG - SENDO A MARCA TURMA DA MÔNICA</t>
  </si>
  <si>
    <t>FRALDA DESCARTÁVEL INFANTIL – TAMANHO XXG - SENDO A MARCA TURMA DA MÔNICA</t>
  </si>
  <si>
    <t>CURATIVO DE ALGINATO DE CALCIO - CURATIVO TECIDO EM FIBRAS ENTRELACADAS, ESTERIL, FLEXIVEL, ALTAMENTE ABSORVENTE, COMPOSTO DE 85% DE ALGINATO DE CALCIO E 15% DE CARBOXIMETILCELULOSE, QUE GARANTEM ABSORCAO VERTICAL DO EXSUDATO, INDICADO PARA FERIDAS COM ALTA EX</t>
  </si>
  <si>
    <t>CURATIVO - CURATIVO - ESPUMA DE POLIURETANO SUAVE E ANTIADERENTE, EXTRA ABSORVENTE, COMPOSTA POR MATRIZ ESPESSA QUE DIRECIONA E RETEM O EXSUDATO PARA O CENTRO DA COBERTURA, GARANTINDO GESTAO DO EXSUDATO ATRAVES DA ABSORÇAO VERTICAL, RECORTAVEL, SEM BORDAS, IMP</t>
  </si>
  <si>
    <t>CATETER INTRAVENOSO - EM POLIURETANO, RADIOPACO, MEDIA PERMANENCIA, SEMI-IMPLANTAVEL, 26G, COM DISPOSITIVO DE SEGURANCA, ESTERIL, ROTULAGEM RESPEITANDO OS ART31 L8078/90 PORTCONJN1 DE 23/1/96-MSAUDE, COMBINADO COM O ART31 L8078/90</t>
  </si>
  <si>
    <t>FRALDA DESCARTÁVEL INFANTIL TAMANHO P - SENDO A MARCA TURMA DA MÔNICA.</t>
  </si>
  <si>
    <t>FRALDA DESCARTÁVEL INFANTIL TAMANHO M - SENDO A MARCA TURMA DA MÔNICA.</t>
  </si>
  <si>
    <t>FRALDA DESCARTÁVEL INFANTIL TAMANHO G - SENDO A MARCA TURMA DA MÔNICA.</t>
  </si>
  <si>
    <t>FRALDA DESCARTÁVEL INFANTIL TAMANHO XG - SENDO A MARCA TURMA DA MÔNICA.</t>
  </si>
  <si>
    <t>FRALDA DESCARTÁVEL INFANTIL TAMANHO XXG - SENDO A MARCA TURMA DA MÔNICA.</t>
  </si>
  <si>
    <t>COMPRESSA DE GAZE ALGODONADA ESTÉRIL COSTURADA DIMENSÃO DOBRADA 10CMX15CMA, DIMENSÃO ABERTA 15CMX60CM -CONSTITUIDA POR UMA CAMADA DE PAPEL ABSORVENTE RECOBERTA POR DUAS MANTAS DE ALGODÃO HIDRÓFILO, COM ENVOLTÓRIO DE TECIDO DE GAZE 13 FIOS. EMBALADA INDIVIDUALM</t>
  </si>
  <si>
    <t>FITA ADESIVA PARA AUTOCLAVE, EM ROLO NAS DIMENSÕES 18MMX55M. ROLO.</t>
  </si>
  <si>
    <t>ATADURA - MATERIAL: ATADURA DE CREPE 10CM – CONFECCIONADA EM TECIDO 100% ALGODÃO; LARGURA: 10 CM; COMPRIMENTO: 1,80M; COR: NATURAL; CONTENDO: COM 13 FIOS POR CM2 NOS SENTIDOS LONGITUDINAL E TRANSVERSAL, E QUE A DISTANCIA ENTRE OS FIOS SEJA A MENOR POSSIVEL, DE</t>
  </si>
  <si>
    <t>ATADURA - MATERIAL: ATADURA DE CREPE 08 CONFECCIONADA EM TECIDO 100% ALGODÃO; LARGURA: 8 CM; COMPRIMENTO: 1,80M; COR: NATURAL; CONTENDO: COM 13 FIOS POR CM2 NOS SENTIDOS LONGITUDINAL E TRANSVERSAL, E QUE A DISTANCIA ENTRE OS FIOS SEJA A MENOR POSSIVEL, DEIXAND</t>
  </si>
  <si>
    <t>ATADURA - MATERIAL: ATADURA DE CREPE 15 CM – CONFECCIONADA EM TECIDO 100% ALGODÃO; LARGURA: 15 CM; COMPRIMENTO: 1,80M; COR: NATURAL; CONTENDO: COM 13 FIOS POR CM2 NOS SENTIDOS LONGITUDINAL E TRANSVERSAL, E QUE A DISTANCIA ENTRE OS FIOS SEJA A MENOR POSSIVEL, D</t>
  </si>
  <si>
    <t>ESPARADRAPO EM TECIDO DE ALGODÃO IMPERMEÁVEL BRANCO, MEDINDO 10 CM DE LARGURA POR 450 CM DE COMPRIMENTO, COM ADESIVO UNIFORMEMENTE DISTRIBUÍDO ISENTO DE SUBSTÂNCIAS ALERGÊNICAS, COM BOA ADERÊNCIA, DE FÁCIL REMOÇÃO, SEM DEIXAR RESÍDUOS NA PELE, COM BORDAS BEM A</t>
  </si>
  <si>
    <t>FITA PARA AUTOCLAVE ROLO 19 MM x 30 M PARA IDENTIFICAÇÃO PACOTES ESTERELIZADOS E VAPOR, EMBALAGEM CONSTANDO DADOS DE IDENTIFICAÇÃO E PROCEDÊNCIA, DATA DE FABRICAÇÃO E VALIDADE COM REGISTRO COM ORGÃO COMPETENTE. UNIDADE.</t>
  </si>
  <si>
    <t>ATADURA - MATERIAL: ATADURA DE CREPE; LARGURA: 20 CM; COMPRIMENTO: 4,5 M; CONTENDO: CONTENDO: 13 FIOS/CM2, CONFECIONADA EM ALGODÃO CRU OU COMPONENTE SINTÉTICO, BORDAS COM ACABAMENTO QUE IMPEÇA O DESFIAMENTO, NÃO ELASTICA, ENROLADA UNIFORMEMENTE DE FORMA CONTÍN</t>
  </si>
  <si>
    <t>LÂMINA PARA BISTURI Nº 24 - DESCARTÁVEL, EM AÇO INOXIDÁVEL, ISENTA DE REBARBAS E SINAIS DE OXIDAÇÃO, PONTA AFIADA, PERFEITA ADAPTAÇÃO AO CABO, COM PROTEÇÃO NA LÂMINA, ESTÉRIL, EMBALAGEM INDIVIDUAL DE ALUMÍNIO HERMÉTICAMENTE FECHADA, CONSTANDO EXTERNAMENTE DADO</t>
  </si>
  <si>
    <t>CABO DE BISTURI N° 4, FABRICADO EM AÇO INÓX CIRÚRGICO, UTILIZADO PARA LÂMINAS 20 A 24. UNIDADE.</t>
  </si>
  <si>
    <t>BISTURI DESCARTÁVEL COM LÂMINA DE AÇO N° 15, INOXIDÁVEL, ESTÉRIL, ATÓXICO, APIROGÊNICO. UNIDADE</t>
  </si>
  <si>
    <t>CABO DE BISTURI (INSTRUMENTAIS) - TIPO: N°3 (PARA LÂMINAS DESCARTÁVEIS DE 10 A 15); MATERIAL: CONFECCIONADO EM AÇO INOX.</t>
  </si>
  <si>
    <t>CATETER INTRAVENOSO PERIFÉRICO FLEXÍVEL PARA INFUSÃO DE MÉDIA PERMANÊNCIA N 22 G - EM POLIURETNAO OU VIALON, COM PAREDES FINAS, FLEXÍVEL, SILICONIZADO, ATÓXICO E RADIOPACO; CÂNULA EM AÇO INOXIDÁVEL, COM BISEL TRIFACETADO E BI-ANGULADO; COM DISPOSITIVO DE SEGUR</t>
  </si>
  <si>
    <t>SERINGA DESCARTÁVEL CAPACIDADE PARA 10 ML, SEM AGULHA - SERINGA ESTÉRIL, DESCARTÁVEL, CONFECCIONADA EM POLIPROPILENO, TRANSLUCIDO, ATÓXICO, COM GRADUAÇÃO EXTERNA DE BOA VISUALIZAÇÃO, BICO LUER LOCK CENTRAL, ÊMBOLO COM FORMATO ANATÔMICO, PONTEIRA DE BORRACHA AT</t>
  </si>
  <si>
    <t>AGULHA HIPODÉRMICA DESCARTÁVEL ATÓXICA, ATRAUMÁTICA, CÂNULA DE AÇO INOX, SILICONIZADA, EMBALAGEM COM FILME TRANSPARENTE E PAPEL GRAU CIRÚRGICO APIROGÊNICO, TAMANHO 25 X0, 7 MM (22 G). CAIXA C/ 100 UNIDADES.CAIXA.</t>
  </si>
  <si>
    <t>AGULHA DESCARTÁVEL 25X8 - AGULHA HIPODÉRMICA, DESCARTÁVEL, ESTÉRIL, SILICONIZADA, CONFECCIONADA EM AÇO INOXIDÁVEL, COM BISEL TRIFACETADO, EMBALADA INDIVIDUALMENTE, COM DADOS DE IDENTIFICAÇÃO E PROCEDÊNCIA, DATA E TIPO DE ESTERILIZAÇÃO E PRAZO DE VALIDADE.CAIXA</t>
  </si>
  <si>
    <t xml:space="preserve">SERINGA DESCARTÁVEL CAPACIDADE PARA 20 ML, SEM AGULHA - ESTERIL: DESCARTÁVEL; CONFECCIONADA: EM POLIPROPILENO, TRANSLÚCIDO, ATÓXICO; GRADUAÇÃO: EXTERNA DE BOA VISUALIZAÇÃO, BICO SIMPLES OU LUER LOCK CENTRAL; ÊMBOLO: COM FORMATO ANATÔMICO, PONTEIRA DE BORRACHA </t>
  </si>
  <si>
    <t>AGULHA - TIPO: HIPODÉRMICA; MATERIAL: AÇO INOXIDÁVEL; CARACTERÍSTICAS ADICIONAIS: COM BISEL TRIFACETADO; ESTERIL: SIM; DESCARTÁVEL: SIM; EMBALAGEM: INDIVIDUALMENTE, COM DADOS DE IDENTIFICAÇÃO E PROCEDÊNCIA, DATA E TIPO DE ESTERILIZAÇÃO E TEMPO DE VALIDADE.;; S</t>
  </si>
  <si>
    <t>AGULHA 40 X 12 AGULHA HIPODÉRMICA, DESCARTÁVEL, ESTÉRIL, SILICONIZADA, CONFECCIONADA EM AÇO INOXIDÁVEL, COM BISEL TRIFACETADO EMBALADA INDIVIDUAL, COM DADOS DE IDENTIFICAÇÃO E PROCEDÊNCIA, DATA E TIPO DE ESTERILIZAÇÃO E TEMPO DE VALIDADE. CALIBRE 40 X 12. APRE</t>
  </si>
  <si>
    <t>GARROTE PARA PROCEDIMENTOS ENFERMAGEM - COMPOSIÇÃO: FECHO EM PVC.</t>
  </si>
  <si>
    <t>EQUIPO - TAMANHO: ADULTO; TIPO: EQUIPO PARA SORO MACROGOTAS; PARA: INFUSÃO VENOSA DE DROGAS, TRANSPARENTE, DESCARTÁVEL, ESTÉRIL; TUBO: CONECTOR VINÍLICO DE 1,20 M DE EXTENSÃO, COM PINÇA ROLETE DE ALTA PRECISÃO, INJETOR LATERAL COM BORRACHA CICATRIZANTE PARA AD</t>
  </si>
  <si>
    <t>AGULHA PARA COLETA DE SANGUE - MODELO: À VACUO; TAMANHO: 25X08; REVESTIMENTO: PRETA; TIPO: AGULHA DESCARTÁVEL HIPODÉRMICA; MATERIAL: DESCARTÁVEL, ESTÉRIL, SILICONIZADA, CONFECCIONADA EM AÇO INOXIDÁVEL, COM BISEL TRIFACETADO; EMBALAGEM: INDIVIDUAL, COM DADOS DE</t>
  </si>
  <si>
    <t>LENÇOL HOSPITALAR DESCARTÁVEL 70X50CM - CONFECCIONADO EM PAPEL COM 100% DE CELULOSE, COR BRANCA, TEXTURA FIRME E ALTA RESISTÊNCIA, EM ROLOS, EMBALADOS INDIVIDUALMENTE EM SACO PLÁSTICO, TAMANHO 70CM X 50M, ROLOS</t>
  </si>
  <si>
    <t>FRALDA DESCARTAVEL INFANTIL - TAMANHO M - COM BARREIRAS LATERAIS ANTIVAZAMENTO, FORMATO ANATOMICO, SUPERABSORVENTE, ANTIALERGICA E ATOXICA, COBERTURA EXTERNA IMPERMEAVEL, ELASTICOS NAS PERNAS E FITAS ADESIVAS LATERAIS ABRE E FECHA, PROTEÇÃO ATÉ 12 HORAS, DERMA</t>
  </si>
  <si>
    <t>FRALDA DESCARTAVEL INFANTIL - TAMANHO P - COM BARREIRAS LATERAIS ANTIVAZAMENTO, FORMATO ANATOMICO, SUPERABSORVENTE, ANTIALERGICA E ATOXICA, COBERTURA EXTERNA IMPERMEAVEL, ELASTICOS NAS PERNAS E FITAS ADESIVAS LATERAIS ABRE E FECHA, PROTEÇÃO ATÉ 12 HORAS, DERMA</t>
  </si>
  <si>
    <t>FRALDA DESCARTAVEL INFANTIL - TAMANHO G - COM BARREIRAS LATERAIS ANTIVAZAMENTO, FORMATO ANATOMICO, SUPERABSORVENTE, ANTIALERGICA E ATOXICA, COBERTURA EXTERNA IMPERMEAVEL, ELASTICOS NAS PERNAS E FITAS ADESIVAS LATERAIS ABRE E FECHA, PROTEÇÃO ATÉ 12 HORAS, DERMA</t>
  </si>
  <si>
    <t>LENÇO UMEDECIDO, IDEAL PARA LIMPAR AS MÃOS, ROSTO DO BEBÊ E TROCA DE FRALDAS, DERMATOLOGICAMENTE TESTADOS, EMBALAGEM COM NO MINIMO 48 UNIDADES E TAMPA PARA MELHOR ACONDICIONAMENTO E MANTER O LENÇO ÚMIDO POR MAIS TEMPO DEPOIS DE ABERTO. UNIDADE.</t>
  </si>
  <si>
    <t>LENÇOL - MATERIAL: DESCARTAVEL, ATÓXICO; COR: BRANCA; TAMANHO: 2,00M X 0,90M;; GRAMATURA: 20 G/M2; TIPO: DESCARTAVEL COM ELASTICO;; CONFECCIONADO EM: TNT 100% POLIPROPILENO; PACOTE COM: 10 UNIDADES.</t>
  </si>
  <si>
    <t>LUVA DE PROCEDIMENTO TALCADA TAMANHO P - LUVA PARA PROCEDIMENTO CONFECCIONADA EM LÁTEX NATURAL E POLIURETANO, NÃO ESTÉRIL, AMBIDESTRA, ANTIDERRAPANTE, LUBRIFICADA COM SUBSTANCIA ABSORVÍVEIS PELO ORGANISMO, ALTA SENSIBILIDADE TÁTIL, FORMATO ANATÔMICO, PUNHO LON</t>
  </si>
  <si>
    <t>LUVA LONGA DESCARTÁVEL (NO MÍNIMO 70 CM) PARA INSEMINAÇÃO ARTIFICIAL CONFECCIONADA EM POLIETILENO - CAIXA 100 UND. CAIXA</t>
  </si>
  <si>
    <t>LUVA PARA PROCEDIMENTOS, DESCARTÁVEL, ESTÉRIL, TAMANHO GRANDE, SEM AMIDO AMBIDESTRA. CONFECCIONADA EM VINIL TRANSPARENTE, HIPOALÉRGICO, COM FORMATO ANATÔMICO, COM BAINHA, COM TEXTURA UNIFORME, SEM FALHAS, EMENDAS OU FUROS, E APRESENTAR ELASTICIDADE, RESISTÊNCI</t>
  </si>
  <si>
    <t>LUVA DE PROCEDIMENTO TALCADA TAMANHO G - LUVA PARA PROCEDIMENTO CONFECCIONADA EM LÁTEX NATURAL E POLIURETANO, NÃO ESTÉRIL, AMBIDESTRA, ANTIDERRAPANTE, LUBRIFICADA COM SUBSTANCIA ABSORVÍVEIS PELO ORGANISMO, ALTA SENSIBILIDADE TÁTIL, FORMATO ANATÔMICO, PUNHO LON</t>
  </si>
  <si>
    <t>TOUCA DESCARTÁVEL EM TNT, PACOTE COM 100 UNIDADES. PACOTE.</t>
  </si>
  <si>
    <t>MÁSCARA DESCARTÁVEL DE PROTEÇÃO PFF2/N-95. DESENVOLVIDA PARA IMPEDIR A PASSAGEM DE BACTÉRIAS, PARTÍCULAS E VAPORES TÓXICOS E, DESSA FORMA, PROTEGER AS PESSOAS QUE TEM CONTATO COM PORTADORES DE DOENÇAS E OS PROFISSIONAIS DA ÁREA DA SAÚDE DURANTE PROCEDIMENTOS M</t>
  </si>
  <si>
    <t>PROPE DESCARTÁVEL COM ELÁSTICO BRANCO FABRICADOS EM 100% POLIPROPILENO (TNT) GRAMATURA DE 30 G/M2. CAIXA COM 100 UNIDADES. CAIXA</t>
  </si>
  <si>
    <t>TOUCA DESCARTÁVEL DE POLIPROPILENO, TAMANHO ÚNICO, COR BRANCA, COM ELÁSTICO. CAIXA C/ 100 UNIDADES. CAIXA.</t>
  </si>
  <si>
    <t>GEL CONDUTOR - INCOLOR: SIM; INODORO: SIM; ESPECIFICAÇÃO: ESPECIALMENTE DESENVOLVIDO PARA USO COMO MEIO DE CONTATO PARA TRANSMISSÃO DE IMPULSOS ELÉTRICOS ENTRE A PELE DO PACIENTE E O ELETRODO; UTILIZAÇÃO: MONITORES CIRÚRGICOS, ELETRO-CARDIOGRAFOS, ELETROLIPOFO</t>
  </si>
  <si>
    <t>LUVA CIRÚRGICA - TIPO: CIRÚRGICA ESTÉRIL ISENTA DE PULVERIZAÇÃO Nº 8.0; MATERIAL: LÁTEX NATURAL; EMBALAGEM: EMBALADAS EM ENVELOPE ESPECIALMENTE DESENVOLVIDO PARA MANTER A ESTERILIDADE DO PRODUTO; CARACTERÍSTICAS ADICIONAIS: FORMATO ANATÔMICO PUNHO REFORÇADO, I</t>
  </si>
  <si>
    <t>LUVA CIRÚRGICA - TIPO: CIRÚRGICA ESTÉRIL ISENTA DE PULVERIZAÇÃO Nº 8.5; MATERIAL: LÁTEX NATURAL; EMBALAGEM: EMBALADAS EM ENVELOPE ESPECIALMENTE DESENVOLVIDO PARA MANTER A ESTERILIDADE DO PRODUTO; CARACTERÍSTICAS ADICIONAIS: FORMATO ANATÔMICO PUNHO REFORÇADO, I</t>
  </si>
  <si>
    <t xml:space="preserve">CÂNULA NASOFARÍNGEA: CÂNULA EMPACOTADA EM EMBALAGEM NAS SEGUINTES DIMENSÕES: 6 IN. DE COMPRIMENTO X 1.6 IN. DE LARGURA X 0.5 IN. DE PROFUNDIDADE; TAMANHO DA CÂNULA 28 FRENCH; PESO 0.5 OZ; QUE NÃO SEJA FACILMENTE DESLOCADO DURANTE O TRANSPORTE DO PACIENTE; QUE </t>
  </si>
  <si>
    <t>UMIDIFICADOR - TIPO: OXIGÊNIO; CAPACIDADE DO RESERVATÓRIO: 250 ML; COR: PADRÃO VERDE; MATERIAL: FRASCO (PLÁSTICO); CORPO EM NYLON COM ROSCA EM METAL; DEVE CONTER: NÍVEIS DE CONEXÃO DE ENTRADA DE OXIGÊNIO COM ROSCA PADRÃO, ADAPTA A TODO TIPO DE VÁLVULA REGULADO</t>
  </si>
  <si>
    <t xml:space="preserve">MÁSCARA - TIPO: LARÍNGEA; MATERIAL: SILICONE ESPECIAL DE PADRÃO MÉDICO; TAMANHO: N° 1; DISPOSITIVO: SUPRAGLÓTICO FLEXÍVEL; DEVE CONTER: 02 (DOIS) MANGUITOS PNEUMÁTICOS, CONSTITUÍDA DE 4 (QUATRO) PARTES INTEGRANTES: MÁSCARA COM UM ORIFÍCIO EM SUA EM SUA PONTA, </t>
  </si>
  <si>
    <t>MÁSCARA - TIPO: LARÍNGEA NR. 1,5-6,1 MM; CARACTERÍSITCAS MÍNIMA: DISPOSITIVO SUPRAGLÓTICO FLEXÍVEL EM SILICONE ESPECIAL DE PADRÃO MÉDICO. EMBALAGEM COM DADOS DO FABRICANTE, DATA DE FABRICAÇÃO E PRAZO DE VALIDADE. UNIDADE..</t>
  </si>
  <si>
    <t>MÁSCARA - TIPO: LARÍNGEA; TAMANHO: N.º 2 CRIANÇAS DE 10 A 20 KG.; CARACTERÍSTICAS ADICIONAIS: MÁSCARA COM UM ORIFÍCIO EM SUA EM SUA PONTA, LINHA PARA INSUFLAÇÃO COM PILOTO, TUBO DA VIA AÉREA E TUBO DE DRENAGEM, ESTERIL, USO ÚNICO; CONTENDO: DE 02 (DOIS) MANGUI</t>
  </si>
  <si>
    <t>MÁSCARA - TIPO: LARÍNGEA NR. 2,5-8,5 MM; CARACTERÍSITCAS MÍNIMA: DISPOSITIVO SUPRAGLÓTICO FLEXÍVEL EM SILICONE ESPECIAL DE PADRÃO MÉDICO. EMBALAGEM COM DADOS DO FABRICANTE, DATA DE FABRICAÇÃO E PRAZO DE VALIDADE. UNIDADE..</t>
  </si>
  <si>
    <t xml:space="preserve">MÁSCARA - TIPO: MÁSCARA LARÍNGEA; TAMANHO: N.º 3; UTILIZAÇÃO: CRIANÇAS/ ADOLESCENTES DE 30 A 50 KG.; CARACTERÍSTICAS ADICIONAIS: MÁSCARA COM UM ORIFÍCIO EM SUA EM SUA PONTA, LINHA PARA INSUFLAÇÃO COM PILOTO, TUBO DA VIA AÉREA E TUBO DE DRENAGEM, ESTERILIZÁVEL </t>
  </si>
  <si>
    <t>MÁSCARA - TIPO: LARÍNGEA; TAMANHO: N.º 4 ADULTOS DE 50 A 70 KG.; CARACTERÍSTICAS ADICIONAIS: MÁSCARA COM UM ORIFÍCIO EM SUA EM SUA PONTA, LINHA PARA INSUFLAÇÃO COM PILOTO, TUBO DA VIA AÉREA E TUBO DE DRENAGEM, ESTERIL, USO ÚNICO; CONTENDO: DE 02 (DOIS) MANGUIT</t>
  </si>
  <si>
    <t>MÁSCARA - TIPO: LARÍNGEA; TAMANHO: TAMANHO: N.º 5 ADULTOS DE 70 A 100 KG; CARACTERÍSTICAS ADICIONAIS: MÁSCARA COM UM ORIFÍCIO EM SUA EM SUA PONTA, LINHA PARA INSUFLAÇÃO COM PILOTO, TUBO DA VIA AÉREA E TUBO DE DRENAGEM, ESTERIL, USO ÚNICO; CONTENDO: DE 02 (DOIS</t>
  </si>
  <si>
    <t>LANCETAS DE TESTE PARA MEDIDAS DE GLICOSE - CAIXA: CONTENDO 200 LANCETAS CADA CAIXA.</t>
  </si>
  <si>
    <t>AGULHA HIPODERMICA DESCARTAVEL 25X7,0 MM (22GX1) - HASTES EM ACO INOX COM BICEL MEDIO TRIFACETADO CANHAO DE COR VERDE, SILICONIZADA COM MANGA DE BORRACHA E PROTETOR PLASTICO, ENCAIXE FIRME E ESTERIL. EMBALADA EM CAIXA COM 100 UNIDADES - AGULHA HIPODERMICA DESC</t>
  </si>
  <si>
    <t>AGULHA HIPODERMICA DESCARTAVEL- EM ACO INOX SILICONADO, BISEL CURTO TRIFACETADO, DIMENSOES 20X5,5 MM CX C/100 UNIDADES - AGULHA HIPODERMICA DESCARTAVEL- EM ACO INOX SILICONADO, BISEL CURTO TRIFACETADO, DIMENSOES 20X5,5 MM CX C/100 UNIDADES - DIMENSAO 24GX3/4</t>
  </si>
  <si>
    <t>ATADURA DE CREPOM ELASTICA - 10CM X 180CM - CONFECCIONADA EM FIOS DE ALGODAO CRU DE ALTA TENSAO OU COMPONENTES SINTETICOS, 13 FIOS/CM, 10CM X 180CM - PACOTES COM 12 UNID</t>
  </si>
  <si>
    <t>ATADURA DE CREPOM ELASTICA - 12CM X 180CM - PACOTE COM 12 UNIDADES - ATADURA DE CREPOM ELASTICA - 12CM X 180CM - PACOTE COM 12 UNIDADES</t>
  </si>
  <si>
    <t>ATADURA DE CREPOM ELASTICA - 15CM X 180CM - CONFECCIONADA EM FIOS DE ALGODAO CRU DE ALTA TENSAO OU COMPONENTES SINTETICOS, 13 FIOS/CM, COM BORDAS DELIMITADAS, ELASTICIDADE DE FORMA CILINDRICA, ISENTA DE DEFEITOS.</t>
  </si>
  <si>
    <t>ATADURA DE CREPOM ELASTICA - 20CM X 180CM - CONFECCIONADA EM FIOS DE ALGODAO CRU DE ALTA TENSAO OU COMPONENTES SINTETICOS, 13 FIOS/CM, COM BORDAS DELIMITADAS, ELASTICIDADE DE FORMA CILINDRICA, MEDIDA 20CM X 180CM - PACOTE C/ 12 UNIDADES</t>
  </si>
  <si>
    <t>CAMPO CIRURGICO DUPLO â?? EM BRIM TAPE, MEDINDO MEDIA 60CM X 60CM, NAO FENESTRADO, EM EMBALAGEM INDIVIDUAL - CAMPO CIRURGICO DUPLO â?? EM BRIM TAPE, MEDINDO MEDIA 60CM X 60CM, NAO FENESTRADO, EM EMBALAGEM INDIVIDUAL</t>
  </si>
  <si>
    <t>CATETER INTRAVENOSO -PARA ACESSO VENOSO CENTRAL (TIPO INTRACATH OU SIMILAR),16 G X 12", DESCARTAVEL, EM VIALON ESTERIL, RADIOPACO, PROTEGIDO POR BAINHA PLASTICA, COM MANDRIL GUIA FLEXIVEL, CALIBRE DO CATETER 16G - CATETER INTRAVENOSO -PARA ACESSO VENOSO CENTRA</t>
  </si>
  <si>
    <t>CATETER INTRAVENOSO - PARA ACESSO VENOSO CENTRAL (TIPO INTRACATH OU SIMILAR), 22 G X 8", DESCARTAVEL, EM VIALON ESTERIL, RADIOPACO 22G - CATETER INTRAVENOSO</t>
  </si>
  <si>
    <t>CATETER NASAL- TIPO OCULOS ADULTO CONFECCIONADO EM SILICONE, DESCARTAVEL - CATETER NASAL- TIPO OCULOS ADULTO</t>
  </si>
  <si>
    <t>COLETOR UNIVERSAL PARA MATERIAL DESCARTAVEL - COLETOR UNIVERSAL - FRASCO 100ML</t>
  </si>
  <si>
    <t>COMPRESSA CIRURGICA (CAMPO OPERATORIO) CONFECCIONADA COM FIOS 100% ALGODAO EM TECIDO QUADRUPLO COM FIO RADIOPACO. NAO ESTERIL COM FIO RADIOPACO; 4 CAMADAS COM CADARCO; 100% PURO ALGODAO - COMPRESSA CIRURGICA (CAMPO OPERATORIO) CONFECCIONADA COM FIOS 100% ALGOD</t>
  </si>
  <si>
    <t>CURATIVO HIDROCOLOIDE C/BORDA - CURATIVO HIDROCOLOIDE COM BORDAPLACA 15 X 20, APRESENTACAO EM CURATIVO</t>
  </si>
  <si>
    <t>EQUIPO - PARA ADMINISTRACAO DE DIETAS ENTERAIS - NUTRICAO ENTERAL, DISPOSITIVO PARA ADMINISTRACAO DE INFUSAO DE SOLUCOES ENTERAIS</t>
  </si>
  <si>
    <t>EQUIPO PARA ADMINISTRACAO DE SOLUCOES PARENTERAIS, MACROGOTAS, COM FOTOSSSENSIVEL - EQUIPO PARA ADMINISTRACAO DE SOLUCOES PARENTERAIS, MACROGOTAS, COM FOTOSSSENSIVEL</t>
  </si>
  <si>
    <t>EQUIPO PARA SORO MACROGOTAS- PARA ADMINISTRACAO DE SOLUCOES PARENTENAIS</t>
  </si>
  <si>
    <t>ESCOVA CERVICAL - ESCOVA GINECOLOGICA - UNIDADE</t>
  </si>
  <si>
    <t>ESPARADRAPO COMUM - HIPOALERGICO,ROLO MEDINDO 10 CM X 4,5 METROS,COMBOA ADESIVIDADE, EMBALAGEM EM CARRETEL COM CAPA PLASTICA DE PROTECAO, CONTENDO DADOS DE IDENTIFICACAO E PROCEDENCIA,LOTE, VALIDADE E REGISTRO NO MS.</t>
  </si>
  <si>
    <t>ESPECULO VAGINAL DESCARTAVEL TAMANHO M</t>
  </si>
  <si>
    <t>FITA AUTOCLAVE - FITA ADESIVA PARA AUTOCLAVE</t>
  </si>
  <si>
    <t>FITA MICROPOROSE 25 MM X 10M - FITA MICROPOROSE 25 MM X 10M</t>
  </si>
  <si>
    <t>FRALDA DESCARTAVEL INFANTIL TAMANHO MEDIO - PACOTES COM 32 UNIDADES - ANTI VAZAMENTO - FRALDA DESCARTAVEL INFANTIL TAMANHO MEDIO - PACOTES COM 32 UNIDADES - ANTI VAZAMENTOCAMADAS C/ GEL MAGICO QUE EVITA QUE O XIXI ENTRE EM CONTATO COM A PELE</t>
  </si>
  <si>
    <t>FRALDA GERIATRICA DESCARTAVEL TAMANHO M C/ 8 - FRALDA GERIATRICA DESCARTAVEL TAMANHO M PACOTE COM 8 UNIDADES</t>
  </si>
  <si>
    <t>FRALDA GERIATRICA DESCARTAVEL TAMANHO P - FRALDA GERIATRICA DESCARTAVEL TAMANHO P - PACOTE COM 8 UNIDADES</t>
  </si>
  <si>
    <t>FRALDA GERIATRICA TAMANHO G - FRALDA GERIATRICA DESCARTAVEL TAMANHO G â??PACOTE COM 8 UNIDADES</t>
  </si>
  <si>
    <t>FRALDA GERIATRICA XG PACOTE C/8 - FRALDA GERIATRICA XG PACOTE C/8</t>
  </si>
  <si>
    <t>FRALDA INFANTIL DESCARTAVEL-TAMANHO XG PCT -C/22 UNIDADES,ABSORCAO DE 4 CAMADAS C/ GEL MAGICO QUE EVITA QUE O XIXI ENTRE EM CONTATO COM A PELE, COBERTURA SUAVE EM TECIDO, BARREIRAS DUPLAS ANTI VAZAMENTO, FITAS REAJUSTAVEIS GRUDA E DESGRUDA, DERMACREM - "FRALDA</t>
  </si>
  <si>
    <t>FRALDA INFANTIL TAMNHO G - PACOTE MINIMO 32 UNIDADES - FRALDA INFANTIL TAMNHO G - PACOTE MINIMO 32 UNIDADES</t>
  </si>
  <si>
    <t>LAMINA PARA BISTURI 11 - C/ 100 UND - LAMINA PARA BISTURI 11</t>
  </si>
  <si>
    <t>LAMINA PARA BISTURI 24 - C/ 100 UND - LAMINA PARA BISTURI 24 - C/ 100 UND</t>
  </si>
  <si>
    <t>LAMINA PARA BISTURI N 15 100 UNID - LAMINA PARA BISTURI N 15 100 UNID</t>
  </si>
  <si>
    <t>LANCETA - EM ACO INOX, COM CORPO PLASTICO,COM DISPOSITIVO RETRATIUM, MEDINDO 1,25MM, COM PONTA FINA EM INOX 28G, ESTERIL,DESCARTAVEL, PARA TESTE DE GLICEMIA - CX C/ 100 UN - LANCETA - EM ACO INOX, COM CORPO PLASTICO,COM DISPOSITIVO RETRATIUM, MEDINDO 1,25MM, C</t>
  </si>
  <si>
    <t>LENCOL HOSPITALAR COM ELASTICO (DESCARTAVEL) - LENCOL HOSPITALAR COM ELASTICO (DESCARTAVEL) 2,00x0,90</t>
  </si>
  <si>
    <t>LUVA CIRURGICA ESTERIL- TAMANHO N 7.0 (PAR)</t>
  </si>
  <si>
    <t>SERINGA 3 ML C/100 - SERINGA 3 ML</t>
  </si>
  <si>
    <t>SERINGA DESCARTAVEL- CAPACIDADE 10 ML,CONFECCIONADA EM POLIPROPILENO CX C/100 UNIDADES - SERINGA DESCARTAVEL- CAPACIDADE 10 ML,CONFECCIONADA EM POLIPROPILENO</t>
  </si>
  <si>
    <t>SERINGAÂ DESCARTAVEL -Â SERINGAÂ SEMÂ AGULHAÂ DEÂ 5ML, ESTERIL, EM POLIPROPILENO, TRANSPARENTE, ATOXICA, CAIXA COM 100 UNIDADES - SERINGA DESCARTAVEL - SERINGA SEM AGULHA DE 5ML, ESTERIL, EM POLIPROPILENO, TRANSPARENTE, ATOXICA,</t>
  </si>
  <si>
    <t>SONDA DESCARTAVEL - EM POLIVINIL ATOXICA FLEXIVEL TRANSPARENTE, PARA URETRAL, NUMERO 10, SILICONIZADA - SONDA DESCARTAVEL - PARA URETRAL, NUMERO 10</t>
  </si>
  <si>
    <t>SONDA DESCARTAVEL - EM POLIVINIL ATOXICA FLEXIVEL TRANSPARENTE, PARA URETRAL, NUMERO 16, SILICONIZADA - SONDA DESCARTAVEL - PARA URETRAL, NUMERO 16</t>
  </si>
  <si>
    <t>SONDA DESCARTAVEL- PARA SONDAGEM URETRAL N 08 - SONDA DESCARTAVEL- PARA SONDAGEM URETRAL N 08</t>
  </si>
  <si>
    <t>SONDA DESCARTAVEL URETRAL NR 14 - SONDA DESCARTAVEL URETRAL NR 14</t>
  </si>
  <si>
    <t>SONDA FOLEY - EM COM 2 VIAS N.08, ESTERILIZADA EM BORRACHA NATURALFLEXIVEL, SILICONIZADA,COM GUIA,C/ANTI-, INCRUSTANTE, PONTA PROXIMAL ARREDONDADA COM2 ORIFICIOS CIRCULARES E LISOS, VALVULAS DE, BORRACHA COM DUPLO SEGMENTO PARA INFLAR BALAO DE FIXACA - SONDA F</t>
  </si>
  <si>
    <t>SONDA FOLEY- EM LATEX SILICONADO, ESTERIL, COM 2 VIAS NUMERO 10 - SONDA FOLEY- EM LATEX SILICONADO, ESTERIL, COM 2 VIAS NUMERO 10</t>
  </si>
  <si>
    <t>SONDA FOLEY - EM LATEX SILICONIZADO, ESTERIL, COM 2 VIAS NUMERO 18 - SONDA FOLEY - EM LATEX SILICONIZADO, ESTERIL, COM 2 VIAS NUMERO 18</t>
  </si>
  <si>
    <t>SONDA NASOGASTRICA - LONGA, DESCARTAVEL ESTERILIZADA, N.10, EM PVC, FLEXIVEL, TRANSPARENTE, ATRAUMATICA, COM BATOQUE - SONDA NASOGASTRICA - LONGA, DESCARTAVEL ESTERILIZADA, N.10,</t>
  </si>
  <si>
    <t>SONDAÂ URETRALÂ - N.12 , ESTERIL, EM MATERIAL SILICONIZADO ,MALEAVEL, UNICO ORIFICIO DISTAL TERMINAL - SONDA URETRAL - N.12</t>
  </si>
  <si>
    <t>TOUCA CIRURGICA DESCARTAVEL - CONFECCIONADA A BASE DE POLIPROPILENO, GRAMATURA P.20,NA COR BRANCA, FORMATO ANATOMICO - TOUCA CIRURGICA DESCARTAVEL - CONFECCIONADA A BASE DE POLIPROPILENO - PACOTE 100 UNIDADES</t>
  </si>
  <si>
    <t>UMIDIFICADOR- PARA OXIGENIO COMPOSTO DE COPO COM CAPACIDADE P/ 250 ML, DIMENSOES 107MM, ALTURA 205MM E PESO DE 0,225K</t>
  </si>
  <si>
    <t>INDICADOR BIOLOGICO - EM TIRA PARA CONTROLE DE ESTERILIZACAO DE AUTOCLAVE,TIRAS IMPREGNADAS COM BACILLUS STEAROTHERMOPHILUS,CONTENDO AMPOLA DE VIDRO COM CALDO NUTRIENTE,PACOTE C/ PAPEL, INDICADOR, FILME DE POLIETILENO E POLIESTER,FITA INDICADORA FIO ACO INOXID</t>
  </si>
  <si>
    <t>ASPIRADOR À VÁCUO, PORTÁTIL, CIRÚRGICO; COM ALÇA DE TRANSPORTE, PARA ASPIRAR LÍQUIDOS E SECREÇÕES; PARA USO EM EMERGÊNCIA, DE MANUSEIO SIMPLES; FLUXO DE ASPIRAÇÃO DE NO MÍNIMO 20 LITROS/MINUTO; BOTÃO REGULADOR DE VÁCUO PARA CONTROLE DA POTÊNCIA DE SUCÇÃO; FILT</t>
  </si>
  <si>
    <t>ASPIRADOR CIRÚRGICO - ASPIRADOR MÓVEL PARA CIRURGIA, ESTRUTURA EM AÇO CARBONO, COM TRATAMENTO ANTIFERRUGINOSO, PINTURA EPÓXI, RESISTENTE A LIMPEZA E DESINFECÇÃO QUÍMICA, MONTADO SOBRE 4 RODÍZIOS DE 2 DE DIÂMETRO, BOMBA COM SISTEMA , MOTOR DE EQUIPADO COM MOTOR</t>
  </si>
  <si>
    <t>Agulha Coleta Sangue À Vácuo material: aço inoxidável siliconizado, dimensão: 22 g x 1 1/4", tipo ponta: bisel curto trifacetado, tipo conexão: conector luer lock em plástico, tipo fixação: protetor plástico, característica adicional: com sistema segurança seg</t>
  </si>
  <si>
    <t>Agulha Coleta Sangue À Vácuo material: aço inoxidável siliconizado, dimensão: 21 g x 1 1/4", tipo ponta: bisel curto trifacetado, tipo conexão: conector luer lock em plástico, tipo fixação: protetor plástico, característica adicional: com sistema segurança seg</t>
  </si>
  <si>
    <t>Reservatório P/ Coleta De Amostra Biológica modelo: frasco, aplicação: universal, material: polímero rígido transparente, graduado, volume: cerca de 75 ml, fechamento: tampa plástica, esterilidade: não estéril, uso único</t>
  </si>
  <si>
    <t>Reservatório P/ Coleta De Amostra Biológica modelo: frasco, aplicação: p/ urina, material: polímero rígido transparente, graduado, volume: cerca de 100 ml, fechamento: sem tampa, componente: 1 tubo cerca 10ml, c/ tampa, esterilidade: estéril, uso único</t>
  </si>
  <si>
    <t>LOTE I - UMIDIFICADOR E MÁSCARA PARA REGULADOR OXIGÊNIO MEDICINAL</t>
  </si>
  <si>
    <t>UMIDIFICADOR DE OXIGÊNIO</t>
  </si>
  <si>
    <t>Agulha Hipodérmica material: aço inoxidável siliconizado, dimensão: 25 g x 3/4", tipo ponta: bisel curto trifacetado, tipo conexão: conector luer lock ou slip em plástico, tipo fixação: protetor plástico, tipo uso: estéril, descartável, embalagem individual Ag</t>
  </si>
  <si>
    <t>Agulha hipodérmica 25x7, com dispositivo exclusivo de segurança que atenda a NR=32, com bisel trifacetado, siliconizado, estéril, com número do lote e data da validade e registro na ANVISA/ Ministério da Saúde</t>
  </si>
  <si>
    <t>Agulha hipodérmica 30x8, com dispositivo exclusivo de segurança que atenda a NR=32, com bisel trifacetado, siliconizado, estéril, com número do lote e data da validade e registro na ANVISA/ Ministério da Saúde.</t>
  </si>
  <si>
    <t>Seringa de 1 ml- estéril, descartável, uso único, com agulha 13x0,45 mm, sem dispositivo de segurança, com conexão luer lock, embaladas individualmente e com registro na ANVISA/ Ministério da Saúde.</t>
  </si>
  <si>
    <t>Equipo descartável macrogotas, filtro antimicrobiano, composta de lanceta perfurante escalonada, regulador de fluxo tipo rolete, tubo flexível em PVC medindo no mínimo 1,50m, com injetor lateral, com membrana auto-vedante com filtro de ar hidrófobo, suspiro la</t>
  </si>
  <si>
    <t>COLETOR DE PERFUROCORTANTES 13LITROS</t>
  </si>
  <si>
    <t>CUBA RIM INOX</t>
  </si>
  <si>
    <t>KIT ASPIRAÇÃO ENDODONTICA (01 INTERMEDIÁRIO E 03 PONTAS), DIMENSÕES: 8X16X 4CM.</t>
  </si>
  <si>
    <t>MOLDEIRA METALICA PERFURADA P/ DENTADO INFERIOR Nº 04- EM MATERIAL DE ALUMÍNIO.</t>
  </si>
  <si>
    <t>MOLDEIRA METALICA PERFURADA P/ DENTADO INFERIOR Nº 05 - EM MATERIAL DE ALUMÍNIO.</t>
  </si>
  <si>
    <t>MOLDEIRA METALICA PERFURADA P/ DENTADO INFERIOR Nº 06 - EM MATERIAL DE ALUMÍNIO.</t>
  </si>
  <si>
    <t>MOLDEIRA METALICA PERFURADA P/ DENTADO INFERIOR Nº 07 - EM MATERIAL DE ALUMÍNIO.</t>
  </si>
  <si>
    <t>MOLDEIRA METALICA PERFURADA P/ DENTADO INFERIOR Nº 08- EM MATERIAL DE ALUMÍNIO.</t>
  </si>
  <si>
    <t>MOLDEIRA METALICA PERFURADA P/ DESDENTADO INFERIOR Nº 04- EM MATERIAL DE ALUMÍNIO.</t>
  </si>
  <si>
    <t>MOLDEIRA METALICA PERFURADA P/ DESDENTADO INFERIOR Nº 05- EM MATERIAL DE ALUMÍNIO.</t>
  </si>
  <si>
    <t>MOLDEIRA METALICA PERFURADA P/ DESDENTADO INFERIOR Nº 06- EM MATERIAL DE ALUMÍNIO.</t>
  </si>
  <si>
    <t>MOLDEIRA METALICA PERFURADA P/ DESDENTADO INFERIOR Nº 07- EM MATERIAL DE ALUMÍNIO.</t>
  </si>
  <si>
    <t>MOLDEIRA METALICA PERFURADA P/ DESDENTADO INFERIOR Nº 08- EM MATERIAL DE ALUMÍNIO.</t>
  </si>
  <si>
    <t>MOLDEIRA P/ PROTESE ALUMINIO Nº05</t>
  </si>
  <si>
    <t>MOLDEIRA P/ PROTESE ALUMINIO Nº06</t>
  </si>
  <si>
    <t>SERINGA TRIPLICE ODONTOLÓGICA</t>
  </si>
  <si>
    <t>AGULHA HIPODERMICA 0,45X0,13MM, CAIXA COM 100 UNIDADES</t>
  </si>
  <si>
    <t>BABADOR DESCARTÁVEL ODONTOLOGICO, PACOTE COM 100 UNIDADES.</t>
  </si>
  <si>
    <t>FITA ADESIVA PARA AUTOCLAVE, ROLO DE 19MMX30M.</t>
  </si>
  <si>
    <t>LAMINA DE BISTURI Nº 15C CAIXA COM 100UNIDADES</t>
  </si>
  <si>
    <t>LÂMINA DE BISTURY Nº 15, CAIXA COM 100 UNIDADES.</t>
  </si>
  <si>
    <t>LÂMINAS DE BISTURI N° 15C</t>
  </si>
  <si>
    <t>LÂMINAS DE BISTURI N°12</t>
  </si>
  <si>
    <t>LENÇOL DE BORRACHA, CAIXA COM 26 UNIDADES.</t>
  </si>
  <si>
    <t>LUVA DE PROCEDIMENTO EM LATEX, TAMANHO (G), CAIXA COM 100 UNIDADES.</t>
  </si>
  <si>
    <t>LUVA DE PROCEDIMENTO EM LATEX, TAMANHO (M), CAIXA COM 100 UNIDADES.</t>
  </si>
  <si>
    <t>LUVA DE PROCEDIMENTO EM LATEX, TAMANHO (P), CAIXA COM 100 UNIDADES.</t>
  </si>
  <si>
    <t>LUVA DE PROCEDIMENTO EM LATEX, TAMANHO (PP), CAIXA COM 100 UNIDADES.</t>
  </si>
  <si>
    <t>MICROBRUSH (PONTA PEQUENA) MICROAPLICADOR ODONTOLÓGICO, POTE COM 100 UNIDADES.</t>
  </si>
  <si>
    <t>MOLDEIRA DESCARTÁVEL PARA FLÚOR MÉDIA</t>
  </si>
  <si>
    <t>MOLDEIRA DESCARTÁVEL PARA FLÚOR PEQUENA</t>
  </si>
  <si>
    <t>PAPEL GRAU CIRURGICO 15CMX100M</t>
  </si>
  <si>
    <t>PAPEL GRAU CIRURGICO 20CMX100M</t>
  </si>
  <si>
    <t>SERINGA HIPODERMICA 10ML</t>
  </si>
  <si>
    <t>SERINGA HIPODERMICA 20ML</t>
  </si>
  <si>
    <t>SUGADOR ODONTOLÓGICO CIRURGICO, CAIXA COM 20 UNIDADES.</t>
  </si>
  <si>
    <t>SUGADOR ODONTOLÓGICO DESCARTAVEL, PACOTE COM 40 UNIDADES.</t>
  </si>
  <si>
    <t>TESTE DE INDICADOR BIOLÓGICO PARA AUTOCLAVE</t>
  </si>
  <si>
    <t>TOUCA DE PROTEÇÃO DESCARTÁVEL, PACOTE COM 100UNIDADES.</t>
  </si>
  <si>
    <t>FITA DE AUTOCLAVE</t>
  </si>
  <si>
    <t>Luva Cirúrgica material: borracha mista - látex c/ revestimento sintético, superfície: superfície texturizada, formato: anatômico, pó: sem pó, cor: c/ cor, tamanho: nº 7,5, apresentação: em par, esterilidade: estéril, uso único, embalagem: embalagem individual</t>
  </si>
  <si>
    <t>Lençol Descartável Uso Hospitalar materia prima: 100% fibra celulose virgem, dimensoes: cerca de 70 cm x 50 m, apresentação 1: em rolo</t>
  </si>
  <si>
    <t>Coletor De Resíduos De Serviço De Saúde tipo de resíduo: grupo e - resíduo perfurocortante tóxico, tipo risco: risco químico, capacidade: cerca de 3, material: caixa de papelão c/ saco plástico, adicional: c/ alça, uso: uso único</t>
  </si>
  <si>
    <t>Luva P/ Procedimento De Saúde Não Cirúrgico C/ Anvisa material: borracha natural - látex, superfície: superfície lisa, formato: ambidestra, pó: com pó bioabsorvível, cor: c/ cor, tamanho: extra pequeno - pp, esterilidade: não estéril, uso único</t>
  </si>
  <si>
    <t>Moldeira Odontológica material: espuma de poliestireno, tipo: p/ aplicação de flúor, modelo: dupla, tipo uso: descartável</t>
  </si>
  <si>
    <t>KIT REANIMADOR MANUAL NEONATAL COM RESERVATÓRIO DE SILICONE CONTENDO: PEÇAS 01 Máscara em silicone translúcido 100% médico 01 Conjunto de válvula superior em material policarbonado (PC), com gancho da máscara, conector do paciente, válvula do paciente, válvula</t>
  </si>
  <si>
    <t>Ressonância Magnética Bacia/Pelve Abdômen Inferior,consiste no exame para diagnóstico que retrata imagens de alta definição dos órgãos de qualquer parte do interior do corpo humano, através da utilização de forte campo magnético e ondas de rádio frequência. nã</t>
  </si>
  <si>
    <t xml:space="preserve">Tomografia Computadorizada Pelve/Bacia/Abdômen Inferior, consiste no método de diagnóstico por imagem que através de cortes axiais proporciona estudo detalhado de diferentes estruturas do corpo humano, facilita a localização, detecta alterações muito pequenas </t>
  </si>
  <si>
    <t>Radiografia De Bacia, consiste na realização de procedimento utilizando a técnica de exame de imagem com raios x em uma região do corpo humano. um feixe heterogêneo de raios x é produzido por um gerador e projetado sobre um objeto a densidade e a composição de</t>
  </si>
  <si>
    <t>Curativo / Cobertura aplicação: p/ ferida, aspecto físico: placa c/ borda, composição: à base de hidrocolóide, componente 1: c/ espuma pu, dimensão: cerca de 15 x 15, esterilidade: estéril Cobertura estéril de espuma de poliuretano semipermeavel absorvente com</t>
  </si>
  <si>
    <t>Curativo / Cobertura aplicação: p/ ferida, aspecto físico: placa, composição: à base de hidrocolóide, componente 1: c/ espuma pu, dimensão: cerca de 10 x 10, esterilidade: estéril Hidrocoloides em Gel, composto de água purificada, propilenoglicol, carbômero 94</t>
  </si>
  <si>
    <t>Sistema Fechado de Aspiração Traqueal (Trach Care) – 12FR Sistema fechado de aspiração traqueal, estéril e descartável, indicado para uso em tubo orotraqueal no tamanho 12FR. Possui cânula com conector de articulação dupla e conector em "Y" com duplo giro, gar</t>
  </si>
  <si>
    <t>Bacia inox de 5 litros</t>
  </si>
  <si>
    <t>Bacia inox de 10 litros</t>
  </si>
  <si>
    <t>Bandeja cuba rim pequena em inox</t>
  </si>
  <si>
    <t>Bandeja cuba rim média em inox</t>
  </si>
  <si>
    <t>Moldeiras descartáveis para flúor</t>
  </si>
  <si>
    <t>MANUTENCAO ASPIRADOR CIRuRGICO</t>
  </si>
  <si>
    <t>SANGUE OCULTO NAS FEZES</t>
  </si>
  <si>
    <t>MOLDEIRA DESCARTÁVEL DUPLA PARA FLUOR, PACOTE COM 50 UND</t>
  </si>
  <si>
    <t>Aspirador Cirúrgico Modelo: Elétrico Móvel, Pressão De Vácuo: Cerca De 650 Mmhg, Fluxo De Aspiração: De 31 A 49 Lpm, Tipo Frasco: 1 Frasco Em Plástico, Volume: Cerca De 3 L, Componentes: Sistema Antitransbordamento, Filtro Bacteriológico</t>
  </si>
  <si>
    <t>ASPIRADOR CIRuRGICO ELETRICO, destinado a aspiracao de secrecoes, liquidos, sangue e demais fluidos durante procedimentos medico-hospitalares e cirurgicos, com sistema de succao por bomba de vacuo, funcionamento continuo e estrutura montada em pedestal com rod</t>
  </si>
  <si>
    <t>RESSONANCIA MAGNETICA DE BACIA / PELVE / ABDOMEN INFERIOR</t>
  </si>
  <si>
    <t>Agulha gengival curta — Agulha odontológica para anestesia local, estéril, descartável, com bisel de corte regular, cânula resistente à corrosão, protetor e conexão compatível com seringa carpule. Embalagem individual que preserve a esterilidade. Embalagem ori</t>
  </si>
  <si>
    <t>Agulha gengival longa — Agulha odontológica para anestesia local, estéril, descartável, com bisel de corte regular, cânula resistente à corrosão, protetor e conexão compatível com seringa carpule. Embalagem individual que preserve a esterilidade. Embalagem ori</t>
  </si>
  <si>
    <t>Babador — Babador odontológico descartável, com camada absorvente e barreira impermeável, resistente ao manuseio durante o atendimento e sem rasgos. Embalagem original íntegra, com identificação do fabricante, lote e validade, quando aplicável. Regularização n</t>
  </si>
  <si>
    <t>Fio de sutura nylon — Fio cirúrgico de nylon, não absorvível, estéril, para sutura odontológica, com identificação do calibre e das características da agulha na embalagem individual. Embalagem original íntegra, com identificação do fabricante, lote e validade,</t>
  </si>
  <si>
    <t>Fio de sutura Seda — Fio cirúrgico de seda, não absorvível, estéril, para sutura odontológica, em embalagem individual com identificação do calibre e das características da agulha. Embalagem original íntegra, com identificação do fabricante, lote e validade, q</t>
  </si>
  <si>
    <t>Fita de autoclave — Fita adesiva com indicador químico de exposição ao processo de esterilização por vapor, com mudança visual de cor conforme parâmetros declarados pelo fabricante. Acondicionada em rolo. Não substitui os demais controles de esterilização. Emb</t>
  </si>
  <si>
    <t xml:space="preserve">Lâmina de bisturi — Lâmina descartável para bisturi, estéril, com fio de corte uniforme, sem rebarbas ou oxidação, embalada individualmente. Encaixe compatível com o cabo previsto no item 42. Embalagem original íntegra, com identificação do fabricante, lote e </t>
  </si>
  <si>
    <t>Sugador cirúrgico — Sugador para procedimentos cirúrgicos odontológicos, de uso único, estéril, com ponta de acabamento atraumático e conexão compatível com o sistema de aspiração. Embalagem individual que preserve a esterilidade. Embalagem original íntegra, c</t>
  </si>
  <si>
    <t>Sugador de saliva — Sugador odontológico de saliva, descartável, flexível, com ponta atraumática firmemente fixada e conexão compatível com o sistema de sucção. Embalagem original íntegra, com identificação do fabricante, lote e validade, quando aplicável. Reg</t>
  </si>
  <si>
    <t>Agulha Hipodérmica material: aço inoxidável siliconizado, dimensão: 21 g x 1", tipo ponta: bisel curto trifacetado, tipo conexão: conector luer lock ou slip em plástico, tipo fixação: protetor plástico, tipo uso: estéril, descartável, embalagem individual</t>
  </si>
  <si>
    <t>Cabo Bisturi Cabo Bisturi, Material:Aço Inoxidável, Tamanho:Nº 4, Aplicação:Cirurgia Estimativa de necessidade</t>
  </si>
  <si>
    <t>Cuba Uso Hospitalar Cuba Uso Hospitalar, Material:Aço Inox, Formato:Tipo Rim, Capacidade:Cerca De 700 ML</t>
  </si>
  <si>
    <t>Luva P/ Procedimento De Saúde Não Cirúrgico C/ Anvisa material: borracha natural - látex, superfície: superfície lisa, formato: ambidestra, pó: sem pó, cor: c/ cor, tamanho: pequeno - p, esterilidade: não estéril, uso único</t>
  </si>
  <si>
    <t>Luva P/ Procedimento De Saúde Não Cirúrgico C/ Anvisa material: borracha natural - látex, superfície: superfície lisa, formato: ambidestra, pó: sem pó, cor: c/ cor, tamanho: grande - g, esterilidade: não estéril, uso único</t>
  </si>
  <si>
    <t>Seringa Seringa, Material:Polipropileno, Capacidade:10 ML, Tipo Bico:Bico Central Luer Lock Ou Slip, Tipo Vedação:Êmbolo De Borracha, Adicional:Graduada, Numerada, Esterilidade:Estéril, Descartável, Apresentação:Embalagem Individual</t>
  </si>
  <si>
    <t>Seringa Seringa, Material:Polipropileno, Capacidade:20 ML, Tipo Bico:Bico Lateral Luer Slip, Tipo Vedação:Êmbolo De Borracha, Adicional:Graduada, Numerada, Esterilidade:Estéril, Descartável, Apresentação:Embalagem Individual</t>
  </si>
  <si>
    <t>Fio De Sutura Agulhado Fio De Sutura Agulhado, Material Fio:Catgut Simples, Modelo Fio:Multifilamentar, Diâmetro Fio:2-0, Comprimento Fio:Cerca De 70 CM, Tipo Agulha:Agulha 1/2 Círculo, Modelo Agulha:Cilíndrica, Comprimento Agulha:Cerca De 30 MM, Esterilidade:</t>
  </si>
  <si>
    <t>Seringa Seringa, Material:Polipropileno, Capacidade:5 ML, Tipo Bico:Bico Central Luer Lock Ou Slip, Tipo Vedação:Êmbolo De Borracha, Adicional:Graduada, Numerada, Esterilidade:Estéril, Descartável, Apresentação:Embalagem Individual</t>
  </si>
  <si>
    <t>Agulha Coleta Sangue À Vácuo material: aço inoxidável siliconizado, dimensão: 21 g x 1", tipo ponta: bisel curto trifacetado, tipo conexão: conector luer lock em plástico, tipo fixação: protetor plástico, uso: estéril, descartável, embalagem individual</t>
  </si>
  <si>
    <t>Luva Cirúrgica Luva Cirúrgica, Material:Borracha Natural - Látex, Superfície:Superfície Texturizada, Formato:Anatômico, Pó:Sem Pó, Cor:C/ Cor, Tamanho:Nº 8,5, Apresentação:Em Par, Esterilidade:Estéril, Uso Único, Embalagem:Embalagem Individual</t>
  </si>
  <si>
    <t>Luva Cirúrgica Luva Cirúrgica, Material:Borracha Natural - Látex, Superfície:Superfície Texturizada, Formato:Anatômico, Pó:Sem Pó, Cor:C/ Cor, Tamanho:Nº 7,5, Apresentação:Em Par, Esterilidade:Estéril, Uso Único, Embalagem:Embalagem Individual Estimativa de ne</t>
  </si>
  <si>
    <t>Bolsa coletora para Colostomia 30 mm - Pacote com 100 UNIDADE, BOLSA COLETORA DE URINA E SECRECAO, SISTEMA ABERTO, COM BARBANTE, DESCARTAVEL, NAO ESTERIL, COM CAPACIDADE DE 2.000 ML</t>
  </si>
  <si>
    <t>Cateter nasal de silicone tipo oculos, adulto - Pacote com 10 UNIDADE</t>
  </si>
  <si>
    <t>Cateter nasal de silicone tipo oculos, infantil - Pacote com 10 UNIDADE</t>
  </si>
  <si>
    <t>Cateter para subclavia CVC II (Cateter Venoso Central De Duplo Lumen) - 7 Fr x 20 cm</t>
  </si>
  <si>
    <t>Coletor de urina infantil, feminino - Pacote com 10 UNIDADE</t>
  </si>
  <si>
    <t>Coletor de urina infantil, masculino - Pacote com 10 UNIDADE</t>
  </si>
  <si>
    <t>Coletor perfurocortante de papelao - Capacidade de 13 LITRO</t>
  </si>
  <si>
    <t>Coletor perfurocortante de papelao - Capacidade de 20 LITRO</t>
  </si>
  <si>
    <t>Coletor universal - Pacote com 100 UNIDADE</t>
  </si>
  <si>
    <t>Compressa de gaze nao esteril 7,5 x 7,5 com 8 camadas, 9 fios, 5 dobras</t>
  </si>
  <si>
    <t>Eletrodo descartavel para monitorizacao cardiaca - Adulto</t>
  </si>
  <si>
    <t>Eletrodo descartavel para monitorizacao cardiaca - Infantil</t>
  </si>
  <si>
    <t>Equipo macrogotas para infusao intravenosa com injetor lateral, com pinca rolete regulador, com conector femea tipo luer slip</t>
  </si>
  <si>
    <t>Equipo microgotas com injetor lateral</t>
  </si>
  <si>
    <t>Equipo de infusao intravenosa para uso de medicacao, compativel com bomba de infusao da TERUFUSION*TIPO LM3 combativel com esta bomba, uma vez que a Administracao possui bomba de infusao, a qual somente recebe equipo com esta especificacao ou similar que possa</t>
  </si>
  <si>
    <t>ESPECULO VAGINAL DESCARTAVEL - TAMANHO M</t>
  </si>
  <si>
    <t>ESPECULO VAGINAL DESCARTAVEL - TAMANHO G</t>
  </si>
  <si>
    <t>Esparadrapo 4,5x10cm</t>
  </si>
  <si>
    <t>Gel condutor para ultrassonografia, INCOLOR, LITRO</t>
  </si>
  <si>
    <t>LANCETA 28 G 0,36 MM X 1,5 MM , ULTRAFINA, CAIXA COM 100 UNIDADE</t>
  </si>
  <si>
    <t>Lamina para bisturi n 11 - Caixa com 100 UNIDADE</t>
  </si>
  <si>
    <t>Lamina para bisturi n 15 - Caixa com 100 UNIDADE</t>
  </si>
  <si>
    <t>Lamina para bisturi n 20 - Caixa com 100 UNIDADE</t>
  </si>
  <si>
    <t>Lamina para bisturi n 22 - Caixa com 100 UNIDADE</t>
  </si>
  <si>
    <t>Lencol hospitalar rolo 50 x 50 m, DESCARTAVEL, MATERIAL PAPEL, APRESENTACAO: ROLO, APLICACAO: MACA HOSPITALAR</t>
  </si>
  <si>
    <t>Lencol hospitalar rolo 50 x 70 m</t>
  </si>
  <si>
    <t>Luva cirurgica esteril n 6,5 com registro na anvisa</t>
  </si>
  <si>
    <t>Luva cirurgica esteril n 7,0 com registro na anvisa</t>
  </si>
  <si>
    <t>Luva cirurgica esteril n 7,5 com registro na anvisa</t>
  </si>
  <si>
    <t>Luva cirurgica esteril n 8,0 com registro na anvisa</t>
  </si>
  <si>
    <t>Luva cirurgica esteril n 8,5 com registro na anvisa</t>
  </si>
  <si>
    <t>LUVA PARA PROCEDIMENTO NAO CIRuRGICO, MATERIAL EM LATEX, TAMANHO P, CARACTERiSTICAS ADICIONAIS: COM PO, TIPO: AMBIDESTRA, TIPO USO DESCARTAVEL, MODELO HIPOALERGICA - CAIXA COM 100 UNIDADE, COM REGISTRO NA ANVISA</t>
  </si>
  <si>
    <t>LUVA PARA PROCEDIMENTO NAO CIRuRGICO, MATERIAL NITRILA, TAMANHO P, CARACTERiSTICAS ADICIONAIS: SEM PO, TIPO: AMBIDESTRA, TIPO USO DESCARTAVEL, MODELO HIPOALERGICA - CAIXA COM 100 UNIDADE, COM REGISTRO NA ANVISA</t>
  </si>
  <si>
    <t>LUVA PARA PROCEDIMENTO NAO CIRuRGICO, MATERIAL EM LATEX, TAMANHO M, CARACTERiSTICAS ADICIONAIS: COM PO, TIPO: AMBIDESTRA, TIPO USO DESCARTAVEL, MODELO HIPOALERGICA - CAIXA COM 100 UNIDADE, COM REGISTRO NA ANVISA</t>
  </si>
  <si>
    <t>LUVA PARA PROCEDIMENTO NAO CIRuRGICO, MATERIAL NITRILA, TAMANHO M, CARACTERiSTICAS ADICIONAIS: SEM PO, TIPO: AMBIDESTRA, TIPO USO DESCARTAVEL, MODELO HIPOALERGICA - CAIXA COM 100 UNIDADE, COM REGISTRO NA ANVISA</t>
  </si>
  <si>
    <t>LUVA PARA PROCEDIMENTO NAO CIRuRGICO, MATERIAL EM LATEX, TAMANHO G, CARACTERiSTICAS ADICIONAIS: COM PO, TIPO: AMBIDESTRA, TIPO USO DESCARTAVEL, MODELO HIPOALERGICA - CAIXA COM 100 UNIDADE, COM REGISTRO NA ANVISA</t>
  </si>
  <si>
    <t>Papel grau cirurgico 100mm x 100</t>
  </si>
  <si>
    <t>Papel grau cirurgico 120mm x 100</t>
  </si>
  <si>
    <t>Papel grau cirurgico 150mm x 100</t>
  </si>
  <si>
    <t>Papel grau cirurgico 200mm x 100</t>
  </si>
  <si>
    <t>Papel grau cirurgico 250mm x 100</t>
  </si>
  <si>
    <t>Papel grau cirurgico 300mm x 100</t>
  </si>
  <si>
    <t>Papel grau cirurgico 350mm x 100</t>
  </si>
  <si>
    <t>Seringa descartavel 1 mL com agulha 13 x 0,45 mm</t>
  </si>
  <si>
    <t>Seringa descartavel 3 mL com agulha 25 x 0,7 mm</t>
  </si>
  <si>
    <t>Seringa descartavel 5 mL com agulha 25 x 0,7 mm</t>
  </si>
  <si>
    <t>Seringa descartavel 10 mL com agulha 25 x 0,7 mm</t>
  </si>
  <si>
    <t>Seringa descartavel 20 mL com agulha 25 x 0,7 mm</t>
  </si>
  <si>
    <t>Sonda de foley com 2 vias n10</t>
  </si>
  <si>
    <t>Sonda de foley com 2 vias n12</t>
  </si>
  <si>
    <t>Sonda de foley com 2 vias n14</t>
  </si>
  <si>
    <t>Sonda de foley com 2 vias n16</t>
  </si>
  <si>
    <t>Sonda de foley com 2 vias n18</t>
  </si>
  <si>
    <t>Sonda de foley com 2 vias n20</t>
  </si>
  <si>
    <t>Sonda de foley com 2 vias n22</t>
  </si>
  <si>
    <t>Sonda de foley com 2 vias n24</t>
  </si>
  <si>
    <t>Sonda de foley com 3 vias n18</t>
  </si>
  <si>
    <t>Sonda de foley com 3 vias n20</t>
  </si>
  <si>
    <t>Sonda nasogastrica curta n 06</t>
  </si>
  <si>
    <t>Sonda nasogastrica curta n 08</t>
  </si>
  <si>
    <t>Sonda nasogastrica curta n 10</t>
  </si>
  <si>
    <t>Sonda nasogastrica curta n 12</t>
  </si>
  <si>
    <t>Sonda nasogastrica curta n 14</t>
  </si>
  <si>
    <t>Sonda nasogastrica curta n 16</t>
  </si>
  <si>
    <t>Sonda nasogastrica curta n 18</t>
  </si>
  <si>
    <t>Sonda nasogastrica longa n 04</t>
  </si>
  <si>
    <t>Sonda nasogastrica longa n 06</t>
  </si>
  <si>
    <t>Sonda nasogastrica longa n 08</t>
  </si>
  <si>
    <t>Sonda nasogastrica longa n 10</t>
  </si>
  <si>
    <t>Sonda nasogastrica longa n 12</t>
  </si>
  <si>
    <t>Sonda nasogastrica longa n 14</t>
  </si>
  <si>
    <t>Sonda nasogastrica longa n 16</t>
  </si>
  <si>
    <t>Sonda nasogastrica longa n 18</t>
  </si>
  <si>
    <t>Sonda nasogastrica longa n 20</t>
  </si>
  <si>
    <t>Toucas descartaveis em tnt, clipada e sanfonada - Pacote com 100 UNIDADE</t>
  </si>
  <si>
    <t>FRALDAS GERIATRICAS TAMANHO (G), PCT C/ 8 UNIDADE - Fralda geriatrica descartavel, tamanho G, destinada a adultos com incontinencia urinaria e/ou fecal, de uso externo, com formato anatomico e dimensoes compativeis com o tamanho G, proporcionando ajuste adequa</t>
  </si>
  <si>
    <t>FRALDAS GERIATRICAS TAMANHO (M), PCT C/ 8 UNIDADE - Fralda geriatrica descartavel, tamanho M, destinada a adultos com incontinencia urinaria e/ou fecal, de uso externo, com formato anatomico e dimensoes compativeis com o tamanho M, proporcionando ajuste adequa</t>
  </si>
  <si>
    <t>FRALDAS GERIATRICAS TAMANHO (P), PCT C/ 8 UNIDADE - Fralda geriatrica descartavel, tamanho P, destinada a adultos com incontinencia urinaria e/ou fecal, de uso externo, com formato anatomico e dimensoes compativeis com o tamanho P, proporcionando ajuste adequa</t>
  </si>
  <si>
    <t>FRALDAS GERIATRICAS TAMANHO (XG), PCT C/ 8 UNIDADE - Fralda geriatrica descartavel, tamanho XG, destinada a adultos com incontinencia urinaria e/ou fecal, de uso externo, com formato anatomico e dimensoes compativeis com o tamanho XG, proporcionando ajuste ade</t>
  </si>
  <si>
    <t>Atadura de crepe (30 cm x 4,5 m). Faixa continua de tecido 100% algodao, nao esteril, 13 fios por cm com comprimento minimo de 1,8m em repouso</t>
  </si>
  <si>
    <t>Atadura de crepe (60 cm x 4,5 m). Faixa continua de tecido 100% algodao, nao esteril, 13 fios por cm com comprimento minimo de 1,8m em repouso</t>
  </si>
  <si>
    <t>Avental descartavel, com mangas tamanho grande, confeccionado em falso tecido(gramatura 20g), impermeavel a liquidos</t>
  </si>
  <si>
    <t>Compressa de gaze hidrofila, tecido 100% algodao, ESTERIL, de baixa densidade, de fios alvejados, inodoro, insipido (NBR 13843) com 13 fios por cm 2, ter 5 dobras e oito camadas, nas dimensoes 7,5 x 7.5 cm quando dobrada e 15 x 30 cm quando aberta, esteril, em</t>
  </si>
  <si>
    <t>ESPECULO VAGINAL M ESTERIL</t>
  </si>
  <si>
    <t>ESPECULO VAGINAL P ESTERIL</t>
  </si>
  <si>
    <t>Lamina de bisturi descartavel N: 11 em aco inoxidavel ou aco carbono, isenta de rebarbas e sinais de oxidacao, ponta afiada, perfeita adaptacao ao cabo, com protecao na lamina, esteril em embalagem individual</t>
  </si>
  <si>
    <t>Lamina de bisturi descartavel N: 15 em aco inoxidavel ou aco carbono, isenta de rebarbas e sinais de oxidacao, ponta afiada, perfeita adaptacao ao cabo, com protecao na lamina, esteril em embalagem individual</t>
  </si>
  <si>
    <t>Lamina de bisturi descartavel N: 24 em aco inoxidavel ou aco carbono, isenta de rebarbas e sinais de oxidacao, ponta afiada, perfeita adaptacao ao cabo, com protecao na lamina, esteril em embalagem individual</t>
  </si>
  <si>
    <t>Luva cirurgica esteril descartavel N 7.0,confeccionada em latex natural com tratamento hipoalergenico</t>
  </si>
  <si>
    <t>Luva cirurgica esteril descartavel N 7.5,confeccionada em latex natural com tratamento hipoalergenico</t>
  </si>
  <si>
    <t>Papel grau cirurgico 15 cm x 100 m para autoclave a vapor, de porosidade controlada, com indicadores quimicos para vapor que mudam de cor diferenciando os produtos ja processados. Outra face com filme termoplastico bilaminado de polietileno e polipropileno</t>
  </si>
  <si>
    <t>Aspirador Cirúrgico modelo: elétrico móvel, pressão de vácuo: cerca de 650 mmhg, fluxo de aspiração: de 15 a 30 lpm, tipo frasco: 2 frascos em plástico, volume: cerca de 5 l x 5 l, componentes: sistema antitransbordamento, filtro bacteriológico, adicionais: ac</t>
  </si>
  <si>
    <t>Seringa Odontológica material: aço inoxidável, tipo uso: autoclavável, capacidade: 1,80, características adicionais: retrocarga, tipo: carpule, aplicação: refluxo tradicional</t>
  </si>
  <si>
    <t>FRALDA GERIATRICA, ADULTO, COM FITAS AJUSTAVEIS, GEL SUPERABSORVENTES, INDICADOR DE UMIDADE, BARREIRA ANTI VAZAMENTO, TAMANHO M</t>
  </si>
  <si>
    <t>FRALDA GERIATRICA, ADULTO, COM FITAS AJUSTAVEIS, GEL SUPERABSORVENTES, INDICADOR DE UMIDADE, BARREIRA ANTIVAZAMENTO, TAMANHO G</t>
  </si>
  <si>
    <t>FRALDA GERIATRICA, ADULTO, COM FITAS AJUSTAVEIS, GEL PACOTES SUPERABSORVENTES, INDICADOR DE UMIDADE, BARREIRA ANTIVAZAMENTO, TAMANHO XG</t>
  </si>
  <si>
    <t>FRALDA INFANTIL, BARREIRAS ANTI VAZAMENTO, FITAS AJUSTAVEIS, ELASTICO NAS PERNAS, DESENHO ANATOMICO, COBERTURA FILTRANTE, FLOCOS DE GEL SUPERABSORVENTES, TAMANHO XXG</t>
  </si>
  <si>
    <t>FRALDA INFANTIL, BARREIRAS ANTI VAZAMENTO, TIPO SHORTINHO/CALCA, ELASTICO NAS PERNAS, DESENHO ANATOMICO, COBERTURA FILTRANTE, FLOCOS DE GEL SUPERABSORVENTES, TAMANHO XXG</t>
  </si>
  <si>
    <t>Equipo Especial - Uso Médico aplicação: p/ irrigação cirúrgica de soluções, bomba infusora, número vias: 4 vias, material: pvc transparente, conector solução: pontas perfurantes, regulador de fluxo manual: clamps em todas as vias, comprimento total do tubo: ce</t>
  </si>
  <si>
    <t>(4615123) - INDICADOR QUIMICO - INTEGRADOR QUIMICO, CLASSE 5 PARA AUTOCLAVE A VAPOR,PACOTE LIBERADOR DE CARGA, ROTULO COM NR DE LOTE, DATA DE FABRICACAO/VALIDADE, FORMULA E PROCEDENCIA</t>
  </si>
  <si>
    <t>(2000784) - FITA ADESIVA PARA AUTOCLAVE - MEDINDO 19 MM X 30 M, BOA ADERENCIA., EMBALAGEM CONTENDO PROCEDENCIA ,LOTE,VALIDADE E REGISTRO NO MINISTERIO DA SAUDE.</t>
  </si>
  <si>
    <t>(5814723) - INDICADOR BIOLOGICO - PACOTE TESTE DESAFIO, PRONTO PARA USO, DESCARTAVEL,COMPOSTO DE 01 INDICADOR BIOLOGICO AUTOCONTIDO, METODO DE FLUORESCENCIA, PARA ESTERILIZACAO A VAPOR SATURADO ENTRE 121 A 135°C, 01 POPULACAO DE GEOBACILLUS STEAROTHERMOPHILUS,</t>
  </si>
  <si>
    <t>(4985966) - INDICADOR BIOLOGICO - FITA DE ESPOROS DE GEOBACILLUS STEAROTHERMOPHILUS,CONCENTRACAO DE 10 ELEVADO A 6,EM AMPOLA COM MEIO DE CULTURA ESPECIFICO PARA INDICACAO DE CRESCIMENTO MICROBIANO E ENZIMA ESPECIFICA PARA LEITURA POR FLUORESCENCIA,LEITURA EM 3</t>
  </si>
  <si>
    <t>(4942094) - SERINGA DESCARTAVEL - EM PLASTICO ATOXICO E APIROGENICO,CAPACIDADE DE 1ML,BICO LUER SLIP,CORPO COM GRADUACAO MILIMETRADA E ALTO GRAU DE TRANSPARENCIA,ESTERIL,COM EMBOLO DE BORRACHA SILICONIZADA,SEM AGULHA</t>
  </si>
  <si>
    <t>(4942116) - SERINGA DESCARTAVEL - EM PLASTICO ATOXICO E APIROGENICO,CAPACIDADE DE 5ML,BICO LUER SLIP,CORPO COM GRADUACAO MILIMETRADA E ALTO GRAU DE TRANSPARENCIA,ESTERIL,COM EMBOLO DE BORRACHA SILICONIZADA,SEM AGULHA</t>
  </si>
  <si>
    <t>(4942124) - SERINGA DESCARTAVEL - EM PLASTICO ATOXICO E APIROGENICO,CAPACIDADE DE 10ML,BICO LUER SLIP,CORPO COM GRADUACAO MILIMETRADA E ALTO GRAU DE TRANSPARENCIA,ESTERIL,COM EMBOLO DE BORRACHA SILICONIZADA,SEM AGULHA</t>
  </si>
  <si>
    <t>(4942132) - SERINGA DESCARTAVEL - EM PLASTICO ATOXICO E APIROGENICO,CAPACIDADE DE 20ML,BICO LUER SLIP,CORPO COM GRADUACAO MILIMETRADA E ALTO GRAU DE TRANSPARENCIA,ESTERIL,COM EMBOLO DE BORRACHA SILICONIZADA,SEM AGULHA</t>
  </si>
  <si>
    <t>(4931912) - SERINGA DESCARTAVEL - EM PLASTICO ATOXICO E APIROGENICO,CAPACIDADE DE 20ML,BICO LUER LOCK,CORPO COM GRADUACAO MILIMETRADA E ALTO GRAU DE TRANSPARENCIA,ESTERIL,COM EMBOLO DE BORRACHA SILICONIZADA,SEM AGULHA</t>
  </si>
  <si>
    <t>Eletrodo Uso Médico aplicação 1: p/ monitorização cardíaca - ecg, modelo: de superfície, tipo: adesivo, material sensor: prata/prata clorada, adicional 1: c/ gel condutor, tamanhos: adulto, acessório: s/ cabo, esterilidade: uso único</t>
  </si>
  <si>
    <t>Lanceta material lâmina: aço inoxidável,ponta afiada,trifacetada, uso: descartável, características adicionais: estéril, embalagem individual</t>
  </si>
  <si>
    <t>Sonda Trato Digestivo aplicação: oro ou nasogástrica, modelo: levine, material: pvc, calibre: nº 14, tamanho: longa, comprimento: cerca 120, conector: conector padrão c/ tampa, componentes: ponta distal fechada, c/ orifícios laterais, esterilidade: estéril, de</t>
  </si>
  <si>
    <t>Filtro Terapia Respiratória aplicação: p/ traqueostomia, modelo: hme, tipo: troca calor e umidade, tipo membrana: higroscópico, tamanho: adulto, esterilidade: uso único</t>
  </si>
  <si>
    <t>Filtro Terapia Respiratória aplicação: p/ traqueostomia, modelo: eletrostático e hme, tipo: troca calor e umidade c/ barreira microbiológica, tamanho: adulto, esterilidade: uso único</t>
  </si>
  <si>
    <t>Fita Adesiva material: papel crepado, tipo: fita adesiva autoclave, largura: 19, comprimento: 30, aplicação: esterilização, características adicionais: com camada impermeabilizante de resina acrílica</t>
  </si>
  <si>
    <t>Tubo Supraglótico tipo: máscara laríngea, material*: pvc, vias: via p/ acesso gástrico, tamanho*: nº 4, componente 1: c/ linha de referência, conector: c/ conector padrão, adicionais: c/ proteção contra mordedura, esterilidade*: estéril, uso único</t>
  </si>
  <si>
    <t>Cateter Aspiração Traqueal material: pvc atóxico flexível, espessura: nº 12, características adicionais: ponta atraumática, orifícios distais lateralizados, tipo embalagem: estéril, embalagem individual, tipo uso: descartável</t>
  </si>
  <si>
    <t>Cateter Aspiração Traqueal material: pvc atóxico flexível, tipo lubrificação: siliconizada, espessura: nº 8, acessórios: com válvula intermitente, características adicionais: ponta atraumática, orifícios distais lateralizados, tipo embalagem: estéril, embalage</t>
  </si>
  <si>
    <t>Cateter Nasal Para Oxigênio modelo: tipo óculos, aplicação: p/ oxigenoterapia, material: tubo plástico c/ pronga de silicone, conector: compatível c/ fonte o2, tamanho: adulto, comprimento: cerca de 2,5 m, esterilidade: não estéril, uso único</t>
  </si>
  <si>
    <t>Seladora térmica para papel grau cirúrgico. Acionamento manual por alavanca. Largura de selagem padrão (30cm). Com guilhotina de corte. Bivolt</t>
  </si>
  <si>
    <t>CURATIVO ALGINATO DE CALCIO E PRATA 10X10CM MISSNER 1 UNID. -CÓDIGO CATMAT: NÃO ENCONTRADO</t>
  </si>
  <si>
    <t>(4980433) - SERINGA DESCARTAVEL - EM PLASTICO ATOXICO E APIROGENICO,CAPACIDADE DE 5ML,BICO LUER LOCK OU LUER SLIP,COM GRADUACAO MILIMETRADA E ALTO GRAU DE TRANSPARENCIA,ESTERIL,COM EMBOLO DE BORRACHA SILICONIZADA,E AGULHA ACOPLADA,DE CALIBRE 25,00X0,70MM,COM T</t>
  </si>
  <si>
    <t>(3124428) - CADARCO - TIPO FITA, EM ALGODAO CRU,MEDINDO 10MM X 50M,COR BRANCA,PECA,EMBALAGEM TRANSPARENTE COM DESCRICAO E VALIDADE DO MATERIAL IMPRESSO EM ROTULO,ROTULAGEM RESPEITANDO O DECRETO LEI 79094/77 - MS</t>
  </si>
  <si>
    <t>(4955129) - SERINGA DESCARTAVEL - EM PLATICO ATOXICO E APIROGENICO,CAPACIDADE DE 1ML,BICO LUER SLIP,CORPO COM GRADUACAO MILIMETRADA E ALTO GRAU DE TRANSPARENCIA,ESTERIL,COM EMBOLO DE BORRACHA SILICONIZADA,E AGULHA ACOPLADA,DE CALIBRE 13,00X0,45MM</t>
  </si>
  <si>
    <t>AGULHA HIPODERMICA 20X0,55 - Descartável, estéril, corpo de aço inox cromado ou material apropriado atóxico, bisel médio com protetor na haste, canhão plástico, embalagem individual, invólucro resistente ao manuseio, lacre capaz de capaz de manter sua integrid</t>
  </si>
  <si>
    <t>AGULHA HIPODÉRMICA - 25 X 0,7 - Descartável, estéril, corpo de aço inox cromado ou material apropriado atóxico, bisel médio com protetor na haste, canhão plástico, embalagem individual, invólucro resistente ao manuseio, lacre capaz de capaz de manter sua integ</t>
  </si>
  <si>
    <t>AGULHA HIPODÉRMICA - 25 X 0,8 - Descartável, estéril, corpo de aço inox cromado ou material apropriado e atóxico, bisel médio com protetor na haste, canhão plástico, embalagem individual, invólucro resistente ao manuseio, lacre capaz de capaz de manter sua int</t>
  </si>
  <si>
    <t xml:space="preserve">AGULHA HIPODERMICA - 40 X 12 - Agulha hipodérmica descartável estéril, corpo de aço inox cromado ou material apropriado e atóxico, bisel médio com protetor na haste, canhão plástico, embalagem individual, invólucro resistente ao manuseio, lacre capaz de capaz </t>
  </si>
  <si>
    <t>AGULHA HIPODÉRMICA DESCARTÁVEL - 13 X 4,5 - Agulha hipodérmica descartável estéril, corpo de aço inox cromado ou material apropriado e atóxico, bisel médio com protetor na haste, canhão plástico, embalagem individual, invólucro resistente ao manuseio, lacre ca</t>
  </si>
  <si>
    <t>ATADURA DE CREPE 10CM X 4,5M - - Confeccionada em tecido de algodão da melhor qualidade, com propriedades elásticas nos sentidos longitudinal e transversal, enrolada em si, com 13 fios por centímetro quadrado. Embalagem individual, contendo na parte externa da</t>
  </si>
  <si>
    <t>ATADURA DE CREPE 15CM X 4,5M - Confeccionada em tecido de algodão da melhor qualidade, com propriedades elásticas nos sentidos longitudinal e transversal, enrolada em si, com 13 fios por centímetro quadrado. Embalagem individual, contendo na parte externa dado</t>
  </si>
  <si>
    <t>ATADURA DE CREPE 20CM X 4,5M - - Confeccionada em tecido de algodão da melhor qualidade, com propriedades elásticas nos sentidos longitudinal e transversal, enrolada em si, com 13 fios por centímetro quadrado. Embalagem individual, contendo na parte externa da</t>
  </si>
  <si>
    <t>ATADURA DE CREPE 25CM X 4,5M - Confeccionada em tecido de algodão da melhor qualidade, com propriedades elásticas nos sentidos longitudinal e transversal, enrolada em si, com 13 fios por centímetro quadrado. Embalagem individual, contendo na parte externa dado</t>
  </si>
  <si>
    <t>ATADURA DE CREPE 30CM X 4,5M . - .Confeccionada em tecido de algodão da melhor qualidade, com propriedades elásticas nos sentidos longitudinal e transversal, enrolada em si, com 13 fios por centímetro quadrado. Embalagem individual, contendo na parte externa d</t>
  </si>
  <si>
    <t>BOLSA PARA COLOSTOMIA - drenável, com orifício 60mm, de plástico transparente, flexível, composta de uma peça de formato anatômico com barreira protetora da pele hidrocolóide, recoberta p/ papel, com guia de medição impressa, recortável, de 19mm a 64mm, drenáv</t>
  </si>
  <si>
    <t xml:space="preserve">CATETER DUPLO LÚMEM PARA ACESSO VENOSO CENTRAL. - TAMANHO 7 FR X 20 CM - Fabricado em poliuretano, termossensível e biocompátivel; deve possui marcas centimetradas ao longo do corpo do cateter; radiopaco; ponta macia e flexível; KIT contendo: 01 cateter DUPLO </t>
  </si>
  <si>
    <t>CLAMP UMBILICAL - Em PVC resistente , antialérgico, embalado individualmente em papel grau cirúrgico, contendo na parte externa dados de procedência, lote e validade. . Obedecendo ao Decreto Lei 79094/77 Art 31 da Lei 8078/90, CODIGO 447065</t>
  </si>
  <si>
    <t>COLETOR DE URINA MASCULINO TIPO URIPEN - com bordas demarcadas, descartável, com adesivo hipoalergênico, em saco plástico, com graduação, embalagem individual, estéril, com local para identificação de dados do paciente. Contendo na parte externa da embalagem d</t>
  </si>
  <si>
    <t>COLETOR DE URINA SISTEMA ABERTO - PVC resistente, 2.000mL de capacidade, e válvula anti-refluxo, descartável, haste que garanta perfeita fixação, tubo de drenagem em PVC branco transparente, firme, medindo no mínimo 1,20 m de comprimento . Embalagem contendo n</t>
  </si>
  <si>
    <t>COLETOR DE URINA SISTEMA ABERTO INFANTIL FEMININO - com bordas demarcadas, descartável, com adesivo hipoalergênico, em saco plástico, com graduação a cada 10 ml, embalagem individual, estéril, com local para identificação de dados do paciente, leito, enfermari</t>
  </si>
  <si>
    <t>COLETOR DE URINA SISTEMA ABERTO INFANTIL MASCULINO - Com bordas demarcadas, descartável, com adesivo hipoalergênico, em saco plástico, com graduação a cada 10 ml, embalagem individual, estéril, com local para identificação de dados do paciente, leito, enfermar</t>
  </si>
  <si>
    <t>COLETOR DE URINA SISTEMA FECHADO - branco transparente na face anterior, com selagem seguro, clamp de fechamento firme e seguro ao manuseio,com 2.000 ml de capacidade e válvula anti-refluxo, embalado individualmente, descartável, estéril, haste que garanta per</t>
  </si>
  <si>
    <t>COLETOR UNIVERSAL PARA EXAMES - Recipientes isentos de impurezas, em plástico resistente, com tampa rosqueada, embaladas em saco plástico, um a um, com identificação Contendo na parte externa dados de procedência, lote e validade. Capacidade 50 ml. COLETOR . C</t>
  </si>
  <si>
    <t>COMPRESSA CIRURGICA 25X28CM ESTÉRIL, confeccionada em tecido 100% algodão, com quatro camadas, alta capacidade de absorção, medindo 25 x 28 cm, com fio radiopaco (RX), bordas devidamente acabadas para evitar desprendimento de fiapos, macia, resistente e isenta</t>
  </si>
  <si>
    <t>COMPRESSA CIRÚRGICA 50 X 45CM NÃO ESTÉRIL COM 50 UNIDADES - Campo operatório medindo aproximadamente 45x50cm, confeccionado com quatro camadas de gase sobrepostas c/ mínimo 13 fios/cm2, na cor branca, insenta de impurezas e alvejantes óticos, com um cadarço du</t>
  </si>
  <si>
    <t>ELETRODO, APLICAÇÃO 1:P/ MONITORIZAÇÃO CARDÍACA - ECG, MODELO:de superfície, tipo:precordial c/ pera, material sensor:banhado a prata e silicone, tamanhos:adulto, acessório:s/ cabo, esterilidade: reutilizável. embalagem deve conter dados de procedência: data d</t>
  </si>
  <si>
    <t>EQUIPO MACROGOTAS FOTOSSENSÍVEL - Produzido com material fotoprotetor para evitar entrada de luz, compatível qualquer tipo de frasco ampola. Com injetor lateral, com câmera de gotejamento flexível, pinça rolete para controle de fluxo, com ponta vazadora com pr</t>
  </si>
  <si>
    <t xml:space="preserve">EQUIPO PARA TRANSFUSÃO DE HEMODERIVADOS - - Compatível com qualquer tipo frasco-ampola(bolsa) Com câmera tipo dupla e flexível, graduada em 100Ml, constituído de material biocompatível, filtro de no mínimo 200 micra, obrigatoriamente atóxico, obrigatoriamente </t>
  </si>
  <si>
    <t xml:space="preserve">ESPARADRAPO COMUM 10 X 4,5M - - Com dorso de tecido de algodão, na dimensão de 10cm x 4,5m, impermeabilizante em uma das faces e com massa adesiva a base de óxido de zinco e borracha na outra, na cor branca, utilizável em temperaturas até 60º centígrados, com </t>
  </si>
  <si>
    <t>ESPARADRAPO COMUM 5 CM X 4,5M - - Com dorso de tecido de algodão, na dimensão de 5cm x 4,5m, impermeabilizante em uma das faces e com massa adesiva a base de óxido de zinco e borracha na outra, na cor branca, utilizável em temperaturas até 60º centígrados, com</t>
  </si>
  <si>
    <t>ESPARADRAPO MICROPORE 10 CM X 4,5 M. - Fita hipoalergênica suave para pele, porosa,na dimensão de 50mm x 10m. Apresentável em carretel plástico com capa plástica de proteção, especificando na parte externa dados de procedência, lote e validade.</t>
  </si>
  <si>
    <t>ESPARADRAPO MICROPORE 5 CM X 4,5M. - Fita hipoalergênica suave para pele, porosa, na dimensão de 50mm x 10m. Apresentável em carretel plástico com capa plástica de proteção, especificando na parte externa dados de procedência, lote e validade.</t>
  </si>
  <si>
    <t>FILTRO VENTILAÇÃO MECÂNICA - - esterilidade: estéril, aplicação: auto umidificador, p/ circuito de respirador mec., características adicionais: espaço morto padrão p/ tamanho adulto, tipo: higroscópico, bacteriostático, bacteriano/viral, tipo uso: descartável.</t>
  </si>
  <si>
    <t>FITA ADESIVA HOSPITALAR COM RESISTÊNCIA TÉRMICA P/ AUTOCLAVE 19MM X 50M. - Fita adesiva com dorso de papel crepado tratado, com impressão de um sinalizador visual de passagem pelo processo de esterilização em autoclave e com um adesivo especial para ter um bom</t>
  </si>
  <si>
    <t xml:space="preserve">FRALDA DESCARTÁVEL INFANTIL XG - com flocos de gel superabsorventes para absorção de líquidos, cobertura filtrante, suave, atóxica, confortável, elástica com ajuste suave, para evitar vazamento, fitas adesivas reposicionáveis. contendo na parte externa, dados </t>
  </si>
  <si>
    <t>FRALDA DESCARTÁVEL INFANTIL ATÉ G - com flocos de gel superabsorventes para absorção de líquidos, cobertura filtrante, suave, atóxica, confortável, elástica com ajuste suave, para evitar vazamento, fitas adesivas reposicionáveis. contendo na parte externa, dad</t>
  </si>
  <si>
    <t>FRALDA DESCARTÁVEL INFANTIL M - com flocos de gel superabsorventes para absorção de líquidos, cobertura filtrante, suave, atóxica, confortável, elástica com ajuste suave, para evitar vazamento, fitas adesivas reposicionáveis. contendo na parte externa, dados d</t>
  </si>
  <si>
    <t>FRALDA DESCARTÁVEL INFANTIL P - com flocos de gel superabsorventes para absorção de líquidos, cobertura filtrante, suave, atóxica, confortável, elástica com ajuste suave, para evitar vazamento, fitas adesivas reposicionáveis. contendo na parte externa, dados d</t>
  </si>
  <si>
    <t xml:space="preserve">KIT PARA COLETA DE CITOLOGIA G - - contendo, um especulo tamanho GRANDE, um par de luvas, uma espátula de Ayres, uma escovinha ginecológica, lâmina para citologia embalada em estojo .Kit estéril, embalados em papel gral cirúrgico, contendo na parte externa da </t>
  </si>
  <si>
    <t>KIT PARA COLETA DE CITOLOGIA M - contendo, um especulo tamanho MÉDIO, um par de luvas, uma espátula de Ayres, uma escovinha ginecológica, lâmina para citologia embalada em estojo .Kit estéril, embalados em papel gral cirúrgico, contendo na parte externa da emb</t>
  </si>
  <si>
    <t>KIT PARA COLETA DE CITOLOGIA P - contendo, um especulo PEQUENO, um par de luvas, uma espátula de Ayres, uma escovinha ginecológica, lâmina para citologia embalada em estojo .Kit estéril, embalados em papel gral cirúrgico, contendo na parte externa da embalagem</t>
  </si>
  <si>
    <t>LÂMINA DE BISTURI DESCARTÁVEL Nº 11 - - em aço inoxidável, isentas de rebarbas e sinais de oxidação , ponta afiada resistente a fraturas, corrosão e perda de afiação, esterilização por cobalto 60, invólucro em alumínio, fio curvado em sua ponta, com forro inte</t>
  </si>
  <si>
    <t>LÂMINA DE BISTURI DESCARTÁVEL Nº 15 - em aço inoxidável, isentas de rebarbas e sinais de oxidação , ponta afiada resistente a fraturas, corrosão e perda de afiação, esterilização por cobalto 60, invólucro em alumínio, fio curvado em sua ponta, com forro intern</t>
  </si>
  <si>
    <t>LÂMINA DE BISTURI DESCARTÁVEL Nº 23 - em aço inoxidável, isentas de rebarbas e sinais de oxidação , ponta afiada resistente a fraturas, corrosão e perda de afiação, esterilização por cobalto 60, invólucro em alumínio, fio curvado em sua ponta, com forro intern</t>
  </si>
  <si>
    <t>LÂMINA DE BISTURI DESCARTÁVEL Nº 24 - em aço inoxidável, isentas de rebarbas e sinais de oxidação , ponta afiada resistente a fraturas, corrosão e perda de afiação, esterilização por cobalto 60, invólucro em alumínio, fio curvado em sua ponta, com forro intern</t>
  </si>
  <si>
    <t>LANCETAS - lancetas estéries 28G, com dispositivo de proteção para uso, para coleta sanguínea capilar, calibre ultra fino. Contendo nna parte externa da embalagem os dados de procedências, lote e validade, nº de registro do MS. Caixa com 100 unidades</t>
  </si>
  <si>
    <t>LENÇOL HOSPITALAR DESCARTÁVEL 0,70M x 50M - - celulose 100% virgem, sem conter produtos químicos agressivos, com textura tipo crepe, que o torna mais macio, flexível, econômico, grau médico, com elevada resistência a rutura, que não ocasione reação alérgica, r</t>
  </si>
  <si>
    <t xml:space="preserve">LUVA DE PROCEDIMENTO TAMANHO EXTRA PEQUENO - produzidas em borracha 10% natural, descartável, não estéreis, hipoalergênicas, sem pó, anatômicas e ambidestras, boa elasticidade, embalagem externas, contendo dados de procedência, lote, validade, nº registro MS, </t>
  </si>
  <si>
    <t>LUVA DE PROCEDIMENTO TAMANHO GRANDE –, - produzidas em borracha 10% natural, descartável, não estéreis, hipoalergênicas, sem pó, anatômicas e ambidestras, boa elasticidade, embalagem externas, contendo dados de procedência, lote, validade, nº registro MS, tama</t>
  </si>
  <si>
    <t xml:space="preserve">LUVA DE PROCEDIMENTO TAMANHO MÉDIO - produzidas em borracha 10% natural, descartável, não estéreis, hipoalergênicas, sem pó, anatômicas e ambidestras, boa elasticidade, embalagem externas, contendo dados de procedência, lote, validade, nº registro MS, tamanho </t>
  </si>
  <si>
    <t>LUVA DE PROCEDIMENTO TAMANHO PEQUENO - produzidas em borracha 10% natural, descartável, não estéreis, hipoalergênicas, sem pó, anatômicas e ambidestras, boa elasticidade, embalagem externas, contendo dados de procedência, lote, validade, nº registro MS, tamanh</t>
  </si>
  <si>
    <t>LUVA ESTÉRIL DESCARTÁVEL CIRÚRGICA N º 6,5 - Em látex natural, lubrificada c/ pó bio-absorvível esterilizadas p/ radiação gama cobalto 60, formato anatômico e elevada sensibilidade, com bainha, espessura do punho0,13-0,17mm, espessura da palma 0,14-03 20mm, es</t>
  </si>
  <si>
    <t>LUVA ESTÉRIL DESCARTÁVEL CIRÚRGICA N º 7,0. - Em látex natural, lubrificada c/ pó bio-absorvível esterilizadas p/ radiação gama cobalto 60, formato anatômico e elevada sensibilidade, com bainha, espessura do punho0,14-0,17mm, espessura da palma 0,15-03 20mm, e</t>
  </si>
  <si>
    <t>LUVA ESTÉRIL DESCARTÁVEL CIRÚRGICA Nº 7,5 - Em látex natural, lubrificada c/ pó bio-absorvível esterilizadas p/ radiação gama cobalto 60, formato anatômico e elevada sensibilidade, com bainha, espessura do punho, espessura da palma 0,15-03 20mm, espessura do d</t>
  </si>
  <si>
    <t>LUVA ESTÉRIL DESCARTÁVEL CIRÚRGICA Nº 8,0. - Em látex natural, lubrificada c/ pó bio-absorvível esterilizadas p/ radiação gama cobalto 60, formato anatômico e elevada sensibilidade, com bainha, espessura do punho 0,14-0,17mm, espessura da palma 0,15-03 20mm, e</t>
  </si>
  <si>
    <t>LUVA ESTÉRIL DESCARTÁVEL CIRÚRGICA Nº 8,5. - . Em látex natural, lubrificada c/ pó bio-absorvível esterilizadas p/ radiação gama cobalto 60, formato anatômico e elevada sensibilidade, com bainha, espessura do punho 0,14-0,17mm, espessura da palma 0,15-03 20mm,</t>
  </si>
  <si>
    <t>MÁSCARA DE VENTURE ADULTO - kit completo para tratamento de oxigênioterapia, embalado individualmente, contendo na pate externa dados de precedência, validade, lote e registro MS. CODIGO 454554</t>
  </si>
  <si>
    <t>MÁSCARA DE VENTURE INFANTIL - - kit completo para tratamento de oxigênioterapia, embalado individualmente, contendo na pate externa dados de precedência, validade, lote e registro MS. CODIGO 454555</t>
  </si>
  <si>
    <t>MÁSCARA P/ NEBULIZAÇÃO COMPLETA ADULTO - Atóxico, desmontável, inquebrável, de fácil esterilização, composta de máscara, cabeçote, injetor, recipiente, extensão, conector atóxico, apirogênio, embalagem com dados de procedência lote e validade.De acordo com Dec</t>
  </si>
  <si>
    <t xml:space="preserve">MÁSCARA P/ NEBULIZAÇÃO COMPLETA INFANTIL. - Atóxico, desmontável, inquebrável, de fácil esterilização, composta de máscara, cabeçote, injetor, recipiente, extensão, conector atóxico, apirogênio, embalagem com dados de procedência lote e validade.De acordo com </t>
  </si>
  <si>
    <t>PAPEL DE GRAU CIRÚRGICO, - BOBINAS COM 10cm x 100 M contendo na face externa da embalagem dados de procedência, lote, validade e Nº de registro MS</t>
  </si>
  <si>
    <t>PAPEL DE GRAU CIRÚRGICO - BOBINAS COM 15cm x 100 M contendo na face externa da embalagem dados de procedência, lote, validade e Nº de registro MS</t>
  </si>
  <si>
    <t>PAPEL DE GRAU CIRÚRGICO - BOBINAS COM 20 cm x 100 M - contendo na face externa da embalagem dados de procedência, lote, validade e Nº de registro MS</t>
  </si>
  <si>
    <t>PAPEL DE GRAU CIRÚRGICO - BOBINAS COM 25 cm x 100 M - contendo na face externa da embalagem dados de procedência, lote, validade e Nº de registro MS</t>
  </si>
  <si>
    <t>PAPEL DE GRAU CIRÚRGICO - BOBINAS COM 30 cm x 100 M - contendo na face externa da embalagem dados de procedência, lote, validade e Nº de registro MS</t>
  </si>
  <si>
    <t>SCALPE Nº 19. - Agulha c/ aleta desc N 21 G flexível para punção/ fixação, tubo em PVC transparente, tampas protetoras, siliconizadas, uniforme, atóxico, apirogênico, estéril, embaladas em blister de papel grau cirúrgico. Contendo na embalagem primária e secun</t>
  </si>
  <si>
    <t>SCALPE Nº 21. - Agulha c/ aleta desc N 21 G flexível para punção/ fixação, tubo em PVC transparente, tampas protetoras, siliconizadas, uniforme, atóxico, apirogênico, estéril, embaladas em blister de papel grau cirúrgico. Contendo na embalagem primária e secun</t>
  </si>
  <si>
    <t>SCALPE Nº 23. - Agulha c/ aleta desc N 21 G flexível para punção/ fixação, tubo em PVC transparente, tampas protetoras, siliconizadas, uniforme, atóxico, apirogênico, estéril, embaladas em blister de papel grau cirúrgico. Contendo na embalagem primária e secun</t>
  </si>
  <si>
    <t>SERINGA DESCARTÁVEL 10ML C / AGULHA 25 X 8,0 - c/ bico central estéril, 0,2 ml c/ retentor, flange anatômica, base do embolo c/ frisos de polipropileno transparente, com graduação de leitura nítida, translúcido, de grande resistência, embalado em blister , cil</t>
  </si>
  <si>
    <t>SERINGA DESCARTÁVEL 1ML C/ AGULHA 13X X 4,5 - c/ bico central estéril, 0,2 ml c/ retentor, flange anatômica, base do embolo c/ frisos de polipropileno transparente, com graduação de leitura nítida, translúcido, de grande resistência, embalado em blister , cili</t>
  </si>
  <si>
    <t>SERINGA DESCARTÁVEL 20ML C/ AGULHA 25 X 8 - - c/ bico central estéril, 0,2 ml c/ retentor, flange anatômica, base do embolo c/ frisos de polipropileno transparente, com graduação de leitura nítida, translúcido, de grande resistência, embalado em blister , cili</t>
  </si>
  <si>
    <t>SERINGA DESCARTÁVEL 3ML C/ AGULHA 25 X 7,0 - c/ bico central estéril, 0,2 ml c/ retentor, flange anatômica, base do embolo c/ frisos de polipropileno transparente, com graduação de leitura nítida, translúcido, de grande resistência, embalado em blister , cilin</t>
  </si>
  <si>
    <t>SERINGA DESCARTÁVEL 5ML C/ AGULHA 25 X 7,0. - c/ bico central estéril, 0,2 ml c/ retentor, flange anatômica, base do embolo c/ frisos de polipropileno transparente, com graduação de leitura nítida, translúcido, de grande resistência, embalado em blister , cili</t>
  </si>
  <si>
    <t>SONDA NASOENTERAL Nº 10 - Sonda estéril e apirogênica, fabricada em tubo de poliuretano atóxico, flexível, com linha radiopaca para raio X, comprimento de aproximadamente 90cm, conector superior em Y, ponta atraumática com peso, acompanha fio guia em aço inox.</t>
  </si>
  <si>
    <t>SONDA NASOENTERAL Nº 12 - Sonda estéril e apirogênica, fabricada em tubo de poliuretano atóxico, flexível, com linha radiopaca para raio X, comprimento 110cm, conector superior em Y, ponta atraumática com peso, acompanha fio guia em aço inox. Embalagem individ</t>
  </si>
  <si>
    <t xml:space="preserve">SONDA NASOENTERAL Nº 6 - sonda estéril e apirogênica, fabricada em tubo de poliuretano atóxico, flexível, com linha radiopaca para raio X, comprimento de aproximadamente 60cm, conector superior em Y, ponta atraumática com peso, acompanha fio guia em aço inox. </t>
  </si>
  <si>
    <t xml:space="preserve">SONDA NASOENTERAL Nº 8 - Sonda estéril e apirogênica, fabricada em tubo de poliuretano atóxico, flexível, com linha radiopaca para raio X, comprimento de aproximadamente 70cm, conector superior em Y, ponta atraumática com peso, acompanha fio guia em aço inox. </t>
  </si>
  <si>
    <t xml:space="preserve">SONDA NASOGÁSTRICA CURTA Nº 10 – - estéril apirogênica, de plástico transparente e flexível, extremo proximal aberto com dispositivo p/ fechamento e extremo distal fechado possuindo orifícios laterais, ponta atraumática, contendo na parte externa da embalagem </t>
  </si>
  <si>
    <t xml:space="preserve">SONDA NASOGÁSTRICA CURTA Nº 12 – - estéril apirogênica, de plástico transparente e flexível, extremo proximal aberto com dispositivo p/ fechamento e extremo distal fechado possuindo orifícios laterais, ponta atraumática, contendo na parte externa da embalagem </t>
  </si>
  <si>
    <t xml:space="preserve">SONDA NASOGÁSTRICA CURTA Nº 14 – - estéril apirogênica, de plástico transparente e flexível, extremo proximal aberto com dispositivo p/ fechamento e extremo distal fechado possuindo orifícios laterais, ponta atraumática, contendo na parte externa da embalagem </t>
  </si>
  <si>
    <t>SONDA NASOGÁSTRICA CURTA Nº 16 - estéril apirogênica, de plástico transparente e flexível, extremo proximal aberto com dispositivo p/ fechamento e extremo distal fechado possuindo orifícios laterais, ponta atraumática, contendo na parte externa da embalagem os</t>
  </si>
  <si>
    <t xml:space="preserve">SONDA NASOGÁSTRICA CURTA Nº 18 – - estéril apirogênica, de plástico transparente e flexível, extremo proximal aberto com dispositivo p/ fechamento e extremo distal fechado possuindo orifícios laterais, ponta atraumática, contendo na parte externa da embalagem </t>
  </si>
  <si>
    <t xml:space="preserve">SONDA NASOGÁSTRICA CURTA Nº 20 – - estéril apirogênica, de plástico transparente e flexível, extremo proximal aberto com dispositivo p/ fechamento e extremo distal fechado possuindo orifícios laterais, ponta atraumática, contendo na parte externa da embalagem </t>
  </si>
  <si>
    <t>SONDA NASOGÁSTRICA CURTA Nº 4 – - estéril apirogênica, de plástico transparente e flexível, extremo proximal aberto com dispositivo p/ fechamento e extremo distal fechado possuindo orifícios laterais, ponta atraumática, contendo na parte externa da embalagem o</t>
  </si>
  <si>
    <t>SONDA NASOGÁSTRICA CURTA Nº 6 – - estéril apirogênica, de plástico transparente e flexível, extremo proximal aberto com dispositivo p/ fechamento e extremo distal fechado possuindo orifícios laterais, ponta atraumática, contendo na parte externa da embalagem o</t>
  </si>
  <si>
    <t>SONDA NASOGÁSTRICA CURTA Nº 8– - estéril apirogênica, de plástico transparente e flexível, extremo proximal aberto com dispositivo p/ fechamento e extremo distal fechado possuindo orifícios laterais, ponta atraumática, contendo na parte externa da embalagem os</t>
  </si>
  <si>
    <t>SONDA NASOGÁSTRICA LONGA Nº 10 - estéril apirogênica, de plástico transparente e flexível, extremo proximal aberto com dispositivo p/ fechamento e extremo distal fechado possuindo orifícios laterais, ponta atraumática, contendo na parte externa da embalagem os</t>
  </si>
  <si>
    <t xml:space="preserve">SONDA NASOGÁSTRICA LONGA Nº 12 – - estéril apirogênica, de plástico transparente e flexível, extremo proximal aberto com dispositivo p/ fechamento e extremo distal fechado possuindo orifícios laterais, ponta atraumática, contendo na parte externa da embalagem </t>
  </si>
  <si>
    <t>SONDA NASOGÁSTRICA LONGA Nº 14 - estéril apirogênica, de plástico transparente e flexível, extremo proximal aberto com dispositivo p/ fechamento e extremo distal fechado possuindo orifícios laterais, ponta atraumática, contendo na parte externa da embalagem os</t>
  </si>
  <si>
    <t xml:space="preserve">SONDA NASOGÁSTRICA LONGA Nº 16 – - estéril apirogênica, de plástico transparente e flexível, extremo proximal aberto com dispositivo p/ fechamento e extremo distal fechado possuindo orifícios laterais, ponta atraumática, contendo na parte externa da embalagem </t>
  </si>
  <si>
    <t>SONDA NASOGÁSTRICA LONGA Nº 18 - estéril apirogênica, de plástico transparente e flexível, extremo proximal aberto com dispositivo p/ fechamento e extremo distal fechado possuindo orifícios laterais, ponta atraumática, contendo na parte externa da embalagem os</t>
  </si>
  <si>
    <t>SONDA NASOGÁSTRICA LONGA Nº 20 - estéril apirogênica, de plástico transparente e flexível, extremo proximal aberto com dispositivo p/ fechamento e extremo distal fechado possuindo orifícios laterais, ponta atraumática, contendo na parte externa da embalagem os</t>
  </si>
  <si>
    <t>SONDA NASOGÁSTRICA LONGA Nº 4 – - estéril apirogênica, de plástico transparente e flexível, extremo proximal aberto com dispositivo p/ fechamento e extremo distal fechado possuindo orifícios laterais, ponta atraumática, contendo na parte externa da embalagem o</t>
  </si>
  <si>
    <t>SONDA NASOGÁSTRICA LONGA Nº 6 – - estéril apirogênica, de plástico transparente e flexível, extremo proximal aberto com dispositivo p/ fechamento e extremo distal fechado possuindo orifícios laterais, ponta atraumática, contendo na parte externa da embalagem o</t>
  </si>
  <si>
    <t>SONDA NASOGÁSTRICA LONGA Nº 8 – - estéril apirogênica, de plástico transparente e flexível, extremo proximal aberto com dispositivo p/ fechamento e extremo distal fechado possuindo orifícios laterais, ponta atraumática, contendo na parte externa da embalagem o</t>
  </si>
  <si>
    <t>SONDA URETRAL Nº 08 - 8CH x 40cm, estéril, descartável, siliconizada, de plástico transparente, flexível, com extremo distal fechado, com ponta atraumática, com orifícios laterais, extremo proximal,com conector universal e dispositivo para fechamento. Embalage</t>
  </si>
  <si>
    <t>SONDA URETRAL Nº 04. - 4CH x 40cm, estéril, descartável, siliconizada, de plástico transparente, flexível, com extremo distal fechado, com ponta atraumática, com orifícios laterais, extremo proximal,com conector universal e dispositivo para fechamento. Embalag</t>
  </si>
  <si>
    <t>SONDA URETRAL Nº 06. - 6CH x 40cm, estéril, descartável, siliconizada, de plástico transparente, flexível, com extremo distal fechado, com ponta atraumática, com orifícios laterais, extremo proximal,com conector universal e dispositivo para fechamento. Embalag</t>
  </si>
  <si>
    <t>SONDA URETRAL Nº 10 - 10CH x 40cm, estéril, descartável, siliconizada, de plástico transparente, flexível, com extremo distal fechado, com ponta atraumática, com orifícios laterais, extremo proximal,com conector universal e dispositivo para fechamento. Embalag</t>
  </si>
  <si>
    <t>SONDA URETRAL Nº 12. - 12CH x 40cm, estéril, descartável, siliconizada, de plástico transparente, flexível, com extremo distal fechado, com ponta atraumática, com orifícios laterais, extremo proximal,com conector universal e dispositivo para fechamento. Embala</t>
  </si>
  <si>
    <t>SONDA URETRAL Nº 14 - 14CH x 40cm, estéril, descartável, siliconizada, de plástico transparente, flexível, com extremo distal fechado, com ponta atraumática, com orifícios laterais, extremo proximal,com conector universal e dispositivo para fechamento. Embalag</t>
  </si>
  <si>
    <t>SONDA URETRAL Nº 16. - 16CH x 40cm, estéril, descartável, siliconizada, de plástico transparente, flexível, com extremo distal fechado, com ponta atraumática, com orifícios laterais, extremo proximal,com conector universal e dispositivo para fechamento. Embala</t>
  </si>
  <si>
    <t>SONDA URETRAL Nº 18 - 18CH x 40cm, estéril, descartável, siliconizada, de plástico transparente, flexível, com extremo distal fechado, com ponta atraumática, com orifícios laterais, extremo proximal,com conector universal e dispositivo para fechamento. Embalag</t>
  </si>
  <si>
    <t>UMIDIFICADOR DE OXIGÊNIO - frasco umidificador, compatível com válvular removível de torpedo de oxigênio, fabricado em plástico resistênte estrelizável. Apresentando dados de fabricação, Validade e registro na Anvisa. CODIGO 437902 CATMAT: 437902</t>
  </si>
  <si>
    <t>385757-Comadre - Material em aço inoxidável, capacidade 3.500 ml. Tamanho Adulto Padrão mundial. Característica adicional: com alça.</t>
  </si>
  <si>
    <t>464550-Suporte para Coletor de Perfurocortante - Suporte em material de metal. Tipo: Coletor de 20 Litros.</t>
  </si>
  <si>
    <t>Absorvente higiênico externo - tipo: hospitalar, características: com capacidade para grandes fluxos, com boa capacidade absorvente, cobertura interna de falso tecido película anti humidade polpa de flocos absorventes e cobertura externa impermeável, caracterí</t>
  </si>
  <si>
    <t>Agulha hipodérmica - uso: descartável, dimensão: 13x4,5mm material: cânula de aço inoxidável, siliconizado, tipo ponta: bisel trifacetado, características adicionais: com dispositivo de segurança, atendendo a norma NR32 aprovada pela portaria MTE 485 de 11/11/</t>
  </si>
  <si>
    <t>Agulha hipodérmica - uso: descartável, dimensão: 25x7mm material: cânula de aço inoxidável, siliconizado, tipo ponta: bisel trifacetado, características adicionais: com dispositivo de segurança, atendendo a norma NR32 aprovada pela portaria MTE 485 de 11/11/20</t>
  </si>
  <si>
    <t>Agulha hipodérmica - uso: descartável, dimensão: 25x8mm material: cânula de aço inoxidável, siliconizado, tipo ponta: bisel trifacetado, características adicionais: com dispositivo de segurança, atendendo a norma NR32 aprovada pela portaria MTE 485 de 11/11/20</t>
  </si>
  <si>
    <t>Agulha hipodérmica - uso: descartável, dimensão: 0,55x20mm, 24G 3/4 - material: cânula de aço inoxidável, siliconizado, tipo ponta: bisel trifacetado, características adicionais: com dispositivo de segurança, atendendo a norma NR32 aprovada pela portaria MTE 4</t>
  </si>
  <si>
    <t>Agulha hipodérmica - uso: descartável, dimensão: 0,60x25mm, 23G 1''- material: cânula de aço inoxidável, siliconizado, tipo ponta: bisel trifacetado, características adicionais: com dispositivo de segurança, atendendo a norma NR32 aprovada pela portaria MTE 48</t>
  </si>
  <si>
    <t>Agulha hipodérmica - uso: descartável, dimensão: 40x0,2mm, material: cânula de aço inoxidável, siliconizado, tipo ponta: bisel trifacetado, características adicionais: com dispositivo de segurança, atendendo a norma NR32 aprovada pela portaria MTE 485 de 11/11</t>
  </si>
  <si>
    <t>Agulha hipodérmica - uso: descartável, dimensão: 30x0,8mm, material: cânula de aço inoxidável, siliconizado, tipo ponta: bisel trifacetado, características adicionais: com dispositivo de segurança, atendendo a norma NR32 aprovada pela portaria MTE 485 de 11/11</t>
  </si>
  <si>
    <t>Atadura, tipo: crepe - medidas: 10 cm de largura e 1,8 m de comprimento em repouso, gramatura: contendo 13 fios / CM2, material: confeccionada em tecido de algodão cru ou componentes sintéticos da melhor qualidade, características adicionais: com bordas delimi</t>
  </si>
  <si>
    <t>Atadura, tipo: crepe - medidas: 15 cm de largura e 1,8 m de comprimento em repouso, gramatura: contendo 13 fios / CM2, material: confeccionada em tecido de algodão cru ou componentes sintéticos da melhor qualidade, características adicionais: com bordas. catma</t>
  </si>
  <si>
    <t>Atadura, tipo: crepe - medidas: 20 cm de largura e 1,8 m de comprimento em repouso, gramatura: contendo 13 fios / CM2, material: confeccionada em tecido de algodão cru ou componentes sintéticos da melhor qualidade, características adicionais: com bordas delimi</t>
  </si>
  <si>
    <t>Avental hospitalar - tipo: descartável, material: TNT, gramatura: 40 G, modelo: manga longa, tamanho: único. Catmat 434250</t>
  </si>
  <si>
    <t>Bolsa coletora de urina - tipo: infantil, uso: descartável, modelo: unissex, características adicionais: com furo recortado no modelo unissex com furo oval, com fita adesiva dupla face, hipoalérgica, resistente e que não desprende do conjunto, composto por sac</t>
  </si>
  <si>
    <t>Compressa hospitalar - tipo: cirúrgica, material: 100% algodão, dimensões: cerca de 45x50cm, com cordão identificador, esterilidade: uso único, pacote com 50 unidades. Catmat 443022</t>
  </si>
  <si>
    <t>Cateter para venopunção nº 14 G - com dispositivo de segurança atendendo a norma NR 32 aprovada pela portaria MTE 485 de 11/11/2005, intravenoso para acesso periférico, com cateter externo, radiopaco, flexível, ajustado a uma agulha introdutora vazada de aço i</t>
  </si>
  <si>
    <t>Cateter para venopunção nº 16 G - com dispositivo de segurança atendendo a norma NR32 aprovada pela portaria MTE 485 de 11/11/2005, intravenoso para acesso periférico com cateter externo, radiopaco, flexível, ajustado a uma agulha introdutora vazada de aço ino</t>
  </si>
  <si>
    <t>Cateter para venopunção nº 18 G - com dispositivo de segurança atendendo a norma NR32 aprovada pela portaria MTE 485 de 11/11/2005, intravenoso para acesso periférico com cateter externo, radiopaco, flexível, ajustado a uma agulha introdutora vazada de aço ino</t>
  </si>
  <si>
    <t>Cateter para venopunção nº 20 G - com dispositivo de segurança atendendo a norma NR32 aprovada pela portaria MTE 485 de 11/11/2005, intravenoso para acesso periférico com cateter externo, radiopaco, flexível, ajustado a uma agulha introdutora vazada de aço ino</t>
  </si>
  <si>
    <t>Cateter intravenoso para acesso periférico nº 22 G – com dispositivo de segurança atendendo a Norma NR32 aprovada pela Portaria MTE 485 de 11/11/2005, com cateter externo, radiopaco, flexível, ajustado a uma agulha introdutora vazada de aço inoxidável com bise</t>
  </si>
  <si>
    <t>Cateter para venopunção nº 24 G - com dispositivo de segurança atendendo a norma NR32 aprovada pela portaria MTE 485 de 11/11/200, intravenoso para acesso periférico, com cateter externo, radiopaco, flexível, ajustado a uma agulha introdutora vazada de aço ino</t>
  </si>
  <si>
    <t xml:space="preserve">Campo cirúrgico - tipo: fenestrado de 8 à 10 cm, dimensão: 0,50x,0,50 cm, gramatura: cerca de 200 G/M2, material: tecido 100% algodão, características adicionais: kit com 10 unidades, embalagem contendo dados de identificação e procedência, lote e registro em </t>
  </si>
  <si>
    <t xml:space="preserve">Campo cirúrgico - tipo: fenestrado de 8 à 10 cm, dimensão: 0,80x,0,80 cm, gramatura: cerca de 200 G/M2, material: tecido 100% algodão, características adicionais: kit com 10 unidades, embalagem contendo dados de identificação e procedência, lote e registro em </t>
  </si>
  <si>
    <t>Campo cirúrgico - tipo: sem fenestra, dimensão: 1,60x1,60 cm, gramatura: cerca de 200 G/M2, material: tecido 100% algodão, características adicionais: kit com 10 unidades, embalagem contendo dados de identificação e procedência, lote e registro em órgão compet</t>
  </si>
  <si>
    <t>Compressa cirúrgica - dimensões: 25 x 28 cm, material: 100% algodão, características adicionais: campo operatório, com cadarço duplo, pré lavada, estéril, em tecido quadruplo sobreposto tipo tela com placa radiopaca, contento 55 a 60% de sulfato de bário ou co</t>
  </si>
  <si>
    <t>Cateter -aplicação: nasal para oxigênio, tipo óculos, tamanho: adulto, material: PVC atóxico siliconado, características adicionais: flexível, descartável, anatômica, com sistema de fixação que não cause desconforto ao paciente. Embalagem individual estéril, c</t>
  </si>
  <si>
    <t>Cateter -aplicação: nasal para oxigênio, tipo óculos, tamanho: infantil, material: PVC atóxico siliconado, características adicionais: flexível, descartável, anatômica, com sistema de fixação que não cause desconforto ao paciente. Embalagem individual estéril,</t>
  </si>
  <si>
    <t>Cânula orofaríngea Guedel - tamanho: nº 0, material: PVC atóxico, características adicionais: flexibilidade e curvatura adequada, orifício central que garanta a ventilação, borda de segurança resistente a desinfecção. Embalagem com dados de identificação e pro</t>
  </si>
  <si>
    <t>Cânula orofaríngea Guedel - tamanho: nº 1, material: PVC atóxico, características adicionais: flexibilidade e curvatura adequada, orifício central que garanta a ventilação, borda de segurança resistente a desinfecção. Embalagem com dados de identificação e pro</t>
  </si>
  <si>
    <t>Cânula orofaríngea Guedel - tamanho: nº 2, material: PVC atóxico, características adicionais: flexibilidade e curvatura adequada, orifício central que garanta a ventilação, borda de segurança resistente a desinfecção. Embalagem com dados de identificação e pro</t>
  </si>
  <si>
    <t>Cânula orofaríngea Guedel - tamanho: nº 3, material: PVC atóxico, características adicionais: flexibilidade e curvatura adequada, orifício central que garanta a ventilação, borda de segurança resistente a desinfecção. Embalagem com dados de identificação e pro</t>
  </si>
  <si>
    <t>Cânula orofaríngea Guedel - tamanho: nº 4, material: PVC atóxico, características adicionais: flexibilidade e curvatura adequada, orifício central que garanta a ventilação, borda de segurança resistente a desinfecção. Embalagem com dados de identificação e pro</t>
  </si>
  <si>
    <t>Cânula orofaríngea Guedel - tamanho: nº 5, material: PVC atóxico, características adicionais: flexibilidade e curvatura adequada, orifício central que garanta a ventilação, borda de segurança resistente a desinfecção. Embalagem com dados de identificação e pro</t>
  </si>
  <si>
    <t>Coletor de urina - tipo: sistema fechado, material: pvc, capacidade: 2.000 ML, dimensões mínimas: 1,20 M de comprimento e 0,9 cm de diâmetro interno, características adicionais: bolsa coletora confeccionada em material resistente, branco opaco na face posterio</t>
  </si>
  <si>
    <t>Clamp umbilical - material: resina de engenharia resistente, esterilidade: estéril, descartável, características adicionais: em embalagem individual de papel grau cirúrgico, que permita abertura asséptica, contendo dados de identificação e procedência, lote, d</t>
  </si>
  <si>
    <t>Cuba uso hospitalar - formato: tipo rim, dimensões: 26 x 12 cm, material: aço inoxidável, capacidade: 700 ml, características adicionais: embalagem constando os dados de identificação e registro em órgão competente. Catmat 439214</t>
  </si>
  <si>
    <t>Coletor de urina - tipo: sistema aberto, capacidade: 2 L, material: plástico, esterilidade: não estéril. Catmat419399</t>
  </si>
  <si>
    <t>Teste Bowie-Dick - De uso diário, em temperatura de 134°C por 3,5 minutos, caixa em material impermeável. Contendo indicador químico externo de processo (tipo 1) com folhas em papel poroso. Embalagem com 4 kg.</t>
  </si>
  <si>
    <t>Dreno cirúrgico - modelo: torácico, calibre: Nº 10, aplicação: drenagem de ar e líquido do espaço pleural (pulmão), material: confeccionado em pvc atóxico, tipo uso: estéril, descartável, características adicionais: apirogênico, transparente, multiperfurado, p</t>
  </si>
  <si>
    <t>Dreno cirúrgico - modelo: torácico, calibre: Nº 14, aplicação: drenagem de ar e líquido do espaço pleural (pulmão), material: confeccionado em pvc atóxico, tipo uso: estéril, descartável, características adicionais: apirogênico, transparente, multiperfurado, p</t>
  </si>
  <si>
    <t>Dreno cirúrgico - modelo: torácico, calibre: Nº 18, aplicação: drenagem de ar e líquido do espaço pleural (pulmão), material: confeccionado em pvc atóxico, tipo uso: estéril, descartável, características adicionais: apirogênico, transparente, multiperfurado, p</t>
  </si>
  <si>
    <t>Dreno cirúrgico - modelo: torácico, calibre: Nº 20, aplicação: drenagem de ar e líquido do espaço pleural (pulmão), material: confeccionado em pvc atóxico, tipo uso: estéril, descartável, características adicionais: apirogênico, transparente, multiperfurado, p</t>
  </si>
  <si>
    <t>Dreno cirúrgico - modelo: torácico, calibre: Nº 24, aplicação: drenagem de ar e líquido do espaço pleural (pulmão), material: confeccionado em pvc atóxico, tipo uso: estéril, descartável, características adicionais: apirogênico, transparente, multiperfurado, p</t>
  </si>
  <si>
    <t>Dreno cirúrgico - modelo: torácico, calibre: Nº 28, aplicação: drenagem de ar e líquido do espaço pleural (pulmão), material: confeccionado em pvc atóxico, tipo uso: estéril, descartável, características adicionais: apirogênico, transparente, multiperfurado, p</t>
  </si>
  <si>
    <t>Dreno cirúrgico - modelo: torácico, calibre: Nº 32, aplicação: drenagem de ar e líquido do espaço pleural (pulmão), material: confeccionado em pvc atóxico, tipo uso: estéril, descartável, características adicionais: apirogênico, transparente, multiperfurado, p</t>
  </si>
  <si>
    <t>Dreno cirúrgico - modelo: torácico, calibre: Nº 34, aplicação: drenagem de ar e líquido do espaço pleural (pulmão), material: confeccionado em pvc atóxico, tipo uso: estéril, descartável, características adicionais: apirogênico, transparente, multiperfurado, p</t>
  </si>
  <si>
    <t>Dreno cirúrgico - modelo: torácico, calibre: Nº 36, aplicação: drenagem de ar e líquido do espaço pleural (pulmão), material: confeccionado em pvc atóxico, tipo uso: estéril, descartável, características adicionais: apirogênico, transparente, multiperfurado, p</t>
  </si>
  <si>
    <t>Dreno cirúrgico - modelo: torácico, calibre: Nº 38, aplicação: drenagem de ar e líquido do espaço pleural (pulmão), material: confeccionado em pvc atóxico, tipo uso: estéril, descartável, características adicionais: apirogênico, transparente, multiperfurado, p</t>
  </si>
  <si>
    <t>Dreno cirúrgico - modelo: torácico, calibre: Nº 40, aplicação: drenagem de ar e líquido do espaço pleural (pulmão), material: confeccionado em pvc atóxico, tipo uso: estéril, descartável, características adicionais: apirogênico, transparente, multiperfurado, p</t>
  </si>
  <si>
    <t>Equipo para transfusão sanguínea (sangue) - Tamanho: 150cm, Lanceta perfurante para conexão ao recipiente sangue; Câmara dupla flexível sendo a primeira dotada de filtro de sangue para retenção de coágulos, e a segunda para visualização e controle de gotejamen</t>
  </si>
  <si>
    <t>Equipo macrogotas - uso: para soro, material: tudo flexível em PVC transparente, com pinça roldana, comprimento: mínimo de 1,20M, características adicionais: câmara flexível, composta de lanceta com ponta perfurante, escalonada, regulador de fluxo tipo rolete,</t>
  </si>
  <si>
    <t>Equipo -para bomba de infusão, compativel Santronic, esterilidade: estéril, não tóxico, uso único, material: pvc, características adicionais: equipo para administração de soluções venosas com câmara flexível e filtro de partículas.</t>
  </si>
  <si>
    <t>Fita hospitalar - tipo: esparadrapo impermeável, material: dorso de tecido 100% algodão, dimensões: 10 cm x 4,5 m, características adicionais: impermeabilizante em uma das faces e com massa adesiva a base de óxido de zinco e borracha na outra, na cor branca, u</t>
  </si>
  <si>
    <t>Fita hospitalar - tipo: esparadrapo impermeável, material: dorso de tecido 100% algodão, dimensões: 5 cm x 4,5 m, características adicionais: impermeabilizante em uma das faces e com massa adesiva a base de óxido de zinco e borracha na outra, na cor branca, ut</t>
  </si>
  <si>
    <t>Fita hospitalar - tipo: esparadrapo microporoso, dimensão: 10 cm x 4,5 m, material: confeccionado em tecido não tecido de fio de algodão ou viscose, características adicionais: antialérgico, massa adesiva com boa aderência, isento de substância alérgenas, enro</t>
  </si>
  <si>
    <t xml:space="preserve">Fita adesiva - aplicação: autoclave, dimensões: 19mm x 30m, material: papel crepado, características adicionais: adesivada com dorso de papel crepado, saturado e envernizado, adesivo a base de borracha natural e resinas, tinta termo-reativa e multiparamétrica </t>
  </si>
  <si>
    <t>Fio de sutura com agulha - material: Nylon monofilamento, tipo fio: 2-0, tipo agulha: 3/8 círculo cortante, comprimento da agulha: 3,0 cm, comprimento do fio: 45 cm, apresentação: caixa com 24 unidades, características adicionais: não absorvível sintético de n</t>
  </si>
  <si>
    <t>Fio de sutura com agulha - material: Nylon monofilamento, tipo fio: 3-0, tipo agulha: 3/8 círculo cortante, comprimento da agulha: mínimo de 2,0 cm, comprimento do fio: 45 cm, apresentação: caixa com 24 unidades, características adicionais: não absorvível sint</t>
  </si>
  <si>
    <t>Fio de sutura com agulha - material: Nylon monofilamento, tipo fio: 4-0, tipo agulha: 3/8 círculo cortante, comprimento da agulha: 2,5 cm, comprimento do fio: 45 cm, apresentação: caixa com 24 unidades, características adicionais: não absorvível sintético de n</t>
  </si>
  <si>
    <t>Fio de sutura com agulha - material: Nylon monofilamento, tipo fio: 5-0, tipo agulha: 3/8 círculo cortante, comprimento da agulha: 2,0 cm, comprimento do fio: 45 cm, apresentação: caixa com 24 unidades, características adicionais: não absorvível sintético de n</t>
  </si>
  <si>
    <t>Frasco coletor, tipo: universal, material: plástico transparente, capacidade: 100 ML, graduação: graduado, tipo tampa: rosqueável, uso: para exames laboratoriais de fezes, urina, escarro e esperma, características adicionais: embalagem plástica individual, con</t>
  </si>
  <si>
    <t xml:space="preserve">Filtro bacterial viral HMEF- KS - Indicado para a proteção do paciente, evitando complicações relacionadas à falta de calor e umidade no ar inspirado e impedindo microorganismos alcançarem o trato respiratório do paciente. Possui mecanismo para troca de calor </t>
  </si>
  <si>
    <t>Garrote com trava - tamanho: adulto, material: tecido/faixa elástico (a), características adicionais: trava com dois estágios:1º: alívio e 2º: retirada, antialérgicos, apresentação: unitário, tipo de uso: reutilizável. Embalagem contendo dados de identificação</t>
  </si>
  <si>
    <t>Garrote com trava - tamanho: infantil, material: tecido/faixa elástico (a), características adicionais: trava com dois estágios:1º: alívio e 2º: retirada, antialérgicos, apresentação: unitário, tipo de uso: reutilizável. Embalagem contendo dados de identificaç</t>
  </si>
  <si>
    <t>Kit máscara de venturi - tamanho: adulto, material: PVC leitoso com umidificador e máscara em PVC rígido, características adicionais: para uso contínuo de oxigênio medicinal, e adaptador para uso com umidificador, acompanha copo resistente para auxiliar no uso</t>
  </si>
  <si>
    <t>Kit máscara de venturi - tamanho: infantil, material: PVC leitoso com umidificador e máscara em PVC rígido, características adicionais: para uso contínuo de oxigênio medicinal, e adaptador para uso com umidificador, acompanha copo resistente para auxiliar no u</t>
  </si>
  <si>
    <t>Equipo macrogotas fotossensível - medindo 1,50m, câmara gotejadora padrão macro gotas (1 ml = 20 gotas/ minuto). Utilizado para administração de medicamentos sensíveis a luz.</t>
  </si>
  <si>
    <t>Lanceta, tipo: descartável - tamanho: 28G, tipo: trifacetada, material: agulha de aço inoxidável, características adicionais: com dispositivo de segurança, estéril, segurança atendendo a norma NR32 aprovada pela portaria MTE 485 de 11/11/2005. Embalagem conten</t>
  </si>
  <si>
    <t>Lençol descartável - material: papel, dimensões: 70 cm de largura 50 m de comprimento, apresentação: rolo, aplicação: maca hospitalar. Catmat 481791</t>
  </si>
  <si>
    <t>Lâmina bisturi - tamanho: Nº 24, material: aço carbono, tipo: descartável, características adicionais: embalada individualmente, esterilidade: estéril, isenta de rebarbas e sinais de oxidação, ponta afiada, perfeita adaptação ao cabo, com proteção na lâmina, e</t>
  </si>
  <si>
    <t>Luva cirúrgica - tamanho Nº 7,0, apresentação: par, material: látex natural, textura uniforme, esterilidade: estéril, descartável, dimensões mínimas: 28 cm de comprimento, formato: anatômico, características adicionais: com alta sensibilidade táctil, boa elast</t>
  </si>
  <si>
    <t>Luva cirúrgica - tamanho Nº 7,5, apresentação: par, material: látex natural, textura uniforme, esterilidade: estéril, descartável, dimensões mínimas: 28 cm de comprimento, formato: anatômico, características adicionais: com alta sensibilidade táctil, boa elast</t>
  </si>
  <si>
    <t>Luva cirúrgica - tamanho Nº 8,0, apresentação: par, material: látex natural, textura uniforme, esterilidade: estéril, descartável, dimensões mínimas: 28 cm de comprimento, formato: anatômico, características adicionais: com alta sensibilidade táctil, boa elast</t>
  </si>
  <si>
    <t>Luva cirúrgica - tamanho Nº 8,5, apresentação: par, material: látex natural, textura uniforme, esterilidade: estéril, descartável, dimensões mínimas: 28 cm de comprimento, formato: anatômico, características adicionais: com alta sensibilidade táctil, boa elast</t>
  </si>
  <si>
    <t>Luva para procedimento com pó, tamanho: pequeno, tipo: descartável, material: látex natural, dimensões mínimas: 25 cm de comprimento, apresentação: caixa com 100 unidades, tipo: ambidestra, características adicionais: não estéril, textura uniforme, com alta se</t>
  </si>
  <si>
    <t>Luva para procedimento com pó - tamanho: médio, tipo: descartável, material: látex natural, dimensões mínimas: 25 cm de comprimento, apresentação: caixa com 100 unidades, tipo: ambidestra, características adicionais: não estéril, textura uniforme, com alta sen</t>
  </si>
  <si>
    <t>Luva para procedimento com pó - tamanho: grande, tipo: descartável, material: látex natural, dimensões mínimas: 25 cm de comprimento, apresentação: caixa com 100 unidades, tipo: ambidestra, características adicionais: não estéril, textura uniforme, com alta se</t>
  </si>
  <si>
    <t>Máscara de proteção - classe: N95, PFF2, tipo: cirúrgica, tipo uso: semi-descartável, tipo fixação: tiras com vedação anatômica, elásticas tamanho e adulto, características aplicação: adicionais: filtragem bacteriana 99%, tripla camada. Embalagem contendo exte</t>
  </si>
  <si>
    <t>Máscara com reservatório de não reinalação adulto -Aplicação: Sistema de liberação de oxigênio, em alto fluxo. Máscara de não reinalação; com reservatório; transparente; vinil suave e claro para o conforto do paciente e fácil visualização; completa, com tubo d</t>
  </si>
  <si>
    <t>Máscara com reservatório de não reinalação infantil -Aplicação: Sistema de liberação de oxigênio, em alto fluxo. Máscara de não reinalação; com reservatório; transparente; vinil suave e claro para o conforto do paciente e fácil visualização; completa, com tubo</t>
  </si>
  <si>
    <t>Papel grau cirúrgico, 100mm x 100m - embalagem tubular para esterilização, embalagem tubular descartável termoselável para esterilização de material médico-hospitalar em autoclave a vapor ou óxido de etileno medindo 100mm x100 m em dupla face, sendo uma das fa</t>
  </si>
  <si>
    <t>Papel grau cirúrgico, 150mm x 100m - embalagem tubular para esterilização, embalagem tubular descartável termoselável para esterilização de material médico-hospitalar em autoclave a vapor ou óxido de etileno medindo 150mm x 100m em dupla face, sendo uma das fa</t>
  </si>
  <si>
    <t>Papel grau cirúrgico 250mm x 100m - embalagem tubular para esterilização, embalagem tubular descartável termoselável para esterilização de material médico-hospitalar em autoclave a vapor ou óxido de etileno medindo 250mm x 100m em dupla face, sendo uma das fac</t>
  </si>
  <si>
    <t>Papel grau cirúrgico, 300 mm x 100m – embalagem tubular descartável termoselável para esterilização de material médico-hospitalar em autoclave a vapor ou óxido de etileno medindo 300mm x 100m em dupla face, sendo uma das faces em papel grau cirúrgico, isento d</t>
  </si>
  <si>
    <t>Seringa - capacidade: 1 ML, medidas: com agulha 13x0,45mm, tipo uso: descartável, material: confeccionada em plásticotransparente, características adicionais: atóxico, apirogênico, cilíndrico com escala de graduação visível, com anel de retenção, flange com fo</t>
  </si>
  <si>
    <t>Seringa - capacidade: 3ML, tipo uso: descartável, com agulha, de encaixe não rosqueado, material: confeccionada em plástico transparente, características adicionais: atóxico, apirogênico, cilíndrico com escala de graduação visível, com anel de retenção, flange</t>
  </si>
  <si>
    <t>Seringa - capacidade: 5ML, tipo uso: descartável, com agulha, de encaixe não rosqueado, material: confeccionada em plástico transparente, características adicionais: atóxico, apirogênico, cilíndrico com escala de graduação visível, com anel de retenção, flange</t>
  </si>
  <si>
    <t>Seringa, capacidade: 10ML, com agulha, tipo uso: descartável, material: confeccionada em plástico transparente, características adicionais: de encaixe não rosqueado, atóxico, apirogênico, cilíndrico com escala de graduação visível, com anel de retenção, flange</t>
  </si>
  <si>
    <t>Seringa - capacidade: 20ML, medidas: com agulha, tipo uso: descartável, material: confeccionada em plástico transparente, características adicionais: de encaixe não rosqueado, atóxico, apirogênico, cilíndrico com escala de graduação visível, com anel de retenç</t>
  </si>
  <si>
    <t>Sonda de trato urinário - modelo: uretral, tamanho: Nº 04, material: pvc, esterilidade: estéril, descartável, características adicionais: confeccionada em material atóxico, maleável, transparente, atraumático, siliconizado, com orifício único, distal. Embalage</t>
  </si>
  <si>
    <t>Sonda de trato urinário - modelo: uretral, tamanho: Nº 06, material: pvc, esterilidade: estéril, descartável, características adicionais: confeccionada em material atóxico, maleável, transparente, atraumático, siliconizado, com orifício único, distal. Embalage</t>
  </si>
  <si>
    <t>Sonda de trato urinário - modelo: uretral, tamanho: Nº 08, material: pvc, esterilidade: estéril, descartável, características adicionais: confeccionada em material atóxico, maleável, transparente, atraumático, siliconizado, com orifício único, distal. Embalage</t>
  </si>
  <si>
    <t>Sonda de trato urinário - modelo: uretral, tamanho: Nº 10, material: pvc, esterilidade: estéril, descartável, características adicionais: confeccionada em material atóxico, maleável, transparente, atraumático, siliconizado, com orifício único, distal. Embalage</t>
  </si>
  <si>
    <t>Sonda de trato urinário - modelo: uretral, tamanho: Nº 12, material: pvc, esterilidade: estéril, descartável, características adicionais: confeccionada em material atóxico, maleável, transparente, atraumático, siliconizado, com orifício único, distal. Embalage</t>
  </si>
  <si>
    <t>Sonda de trato urinário - modelo: uretral, tamanho: Nº 14, material: pvc, esterilidade: estéril, descartável, características adicionais: confeccionada em material atóxico, maleável, transparente, atraumático, siliconizado, com orifício único, distal. Embalage</t>
  </si>
  <si>
    <t>Sonda de trato urinário - modelo: uretral, tamanho: Nº 16, material: pvc, esterilidade: estéril, descartável, características adicionais: confeccionada em material atóxico, maleável, transparente, atraumático, siliconizado, com orifício único, distal. Embalage</t>
  </si>
  <si>
    <t>Sonda de trato urinário - modelo: uretral, tamanho: Nº 18, material: pvc, esterilidade: estéril, descartável, características adicionais: confeccionada em material atóxico, maleável, transparente, atraumático, siliconizado, com orifício único, distal. Embalage</t>
  </si>
  <si>
    <t>Sonda de trato urinário - modelo: uretral, tamanho: Nº 20, material: pvc, esterilidade: estéril, descartável, características adicionais: confeccionada em material atóxico, maleável, transparente, atraumático, siliconizado, com orifício único, distal. Embalage</t>
  </si>
  <si>
    <t>Sonda nasogástrica curta - tamanho: Nº 04, esterilidade: estéril, descartável, material: pvc atóxico, Características adicionais: flexível, transparente, com batoqueatraumático, siliconada, com orifícios laterais, conector universal. Estéril em embalagem adequ</t>
  </si>
  <si>
    <t>Sonda nasogástrica curta - tamanho: Nº 06, esterilidade: estéril, descartável, material: pvc atóxico, características adicionais: flexível, transparente, com batoque atraumático, siliconada, com orifícios laterais, conector universal. Estéril em embalagem adeq</t>
  </si>
  <si>
    <t>Sonda nasogástrica longa - tamanho: Nº 06, esterilidade: estéril, descartável, material: pvc atóxico, características adicionais: flexível, transparente, com batoque atraumático, siliconada, com orifícios laterais, conector universal. Estéril em embalagem adeq</t>
  </si>
  <si>
    <t>Sonda nasogástrica curta - tamanho: Nº 08, esterilidade: estéril, descartável, material: pvc atóxico, características adicionais: flexível, transparente, com batoque atraumático, siliconada, com orifícios laterais, conector universal. Estéril em embalagem adeq</t>
  </si>
  <si>
    <t>Sonda nasogástrica longa - tamanho: Nº 08, esterilidade: estéril, descartável, material: pvc atóxico, características adicionais: flexível, transparente, com batoque atraumático, siliconada, com orifícios laterais, conector universal. Estéril em embalagem adeq</t>
  </si>
  <si>
    <t>Sonda nasogástrica curta - tamanho: Nº 10, esterilidade: estéril, descartável, material: pvc atóxico, características adicionais: flexível, transparente, com batoque atraumático, siliconada, com orifícios laterais, conector universal. Estéril em embalagem adeq</t>
  </si>
  <si>
    <t>Sonda nasogástrica longa - tamanho: Nº 10, esterilidade: estéril, descartável, material: pvc atóxico, características adicionais: flexível, transparente, com batoque atraumático, siliconada, com orifícios laterais, conector universal. Estéril em embalagem adeq</t>
  </si>
  <si>
    <t>Sonda nasogástrica longa - tamanho: Nº 12, esterilidade: estéril, descartável, material: pvc atóxico, características adicionais: flexível, transparente, com batoque atraumático, siliconada, com orifícios laterais, conector universal. Estéril em embalagem adeq</t>
  </si>
  <si>
    <t>Sonda nasogástrica longa - tamanho: Nº 14, esterilidade: estéril, descartável, material: pvc atóxico, características adicionais: flexível, transparente, com batoque atraumático, siliconada, com orifícios laterais, conector universal. Estéril em embalagem adeq</t>
  </si>
  <si>
    <t>Sonda nasogástrica longa - tamanho: Nº 16, esterilidade: estéril, descartável, material: pvc atóxico, características adicionais: flexível, transparente, com batoque atraumático, siliconada, com orifícios laterais, conector universal. Estéril em embalagem adeq</t>
  </si>
  <si>
    <t>Sonda nasogástrica longa - tamanho: Nº 18, esterilidade: estéril, descartável, material: pvc atóxico, características adicionais: flexível, transparente, com batoque atraumático, siliconada, com orifícios laterais, conector universal. Estéril em embalagem adeq</t>
  </si>
  <si>
    <t>Sonda nasogástrica longa - tamanho: Nº 20, esterilidade: estéril, descartável, material: pvc atóxico, características adicionais: flexível, transparente, com batoque atraumático, siliconada, com orifícios laterais, conector universal. Estéril em embalagem adeq</t>
  </si>
  <si>
    <t>Sonda nasogástrica longa - tamanho: Nº 22, esterilidade: estéril, descartável, material: pvc atóxico, características adicionais: flexível, transparente, com batoque atraumático, siliconada, com orifícios laterais, conector universal. Estéril em embalagem adeq</t>
  </si>
  <si>
    <t>Saco de polietileno transparente - STAND-UP (fica em pé), estéril (certificado), descartável, aprovado pela USEPA e standard methods. Utilizado para coleta de amostras de água. Cada saco contém 1 comprimido de 10mg de tiosulfato de sódio. Volume do saco 100mL,</t>
  </si>
  <si>
    <t>Touca hospitalar - tipo uso: descartável, material: não tecido 100 % polipropileno, tamanho: único, gramatura: cerca de 30 G/M2, características adicionais: micro perfurada, atóxica, inodora, unissex, hipoalergênica, com elástico em toda sua extensão. Embalage</t>
  </si>
  <si>
    <t>Torneira, tipo: 3 vias - uso: descartável, tipo conectores: luer lock universal, com conexão rotativa, estrutura transparente, com tampa e orientador de fluxo direcionado, estéril. Embalagem individual de papel grau cirúrgico e/ou filme termoplástico, constand</t>
  </si>
  <si>
    <t>Umidificador de oxigênio - material: frasco em PVC atóxico ou similar, capacidade mínima: 250 ml, características adicionais: graduado, de forma a permitir uma fácil visualização, tampa de rosca e orifício para saída do oxigênio em plástico resistente ou mater</t>
  </si>
  <si>
    <t>Indicador biológico - para esterilização a vapor, automático, com leitura em 24 horas, ampola devidro lacrada e quebrável, contendo data de fabricação, validade, e número de lote. Catmat 436058</t>
  </si>
  <si>
    <t>Sonda nasogástrica curta - tamanho: Nº 12, esterilidade: estéril, descartável, material: pvc atóxico, características adicionais: flexível, transparente, com batoque atraumático, siliconada, com orifícios laterais, conector universal. Estéril em embalagem adeq</t>
  </si>
  <si>
    <t>Sonda nasogástrica curta - tamanho: Nº 14, esterilidade:estéril, descartável, material: pvc atóxico, características adicionais: flexível, transparente, com batoque atraumático, siliconada, com orifícios laterais, conector universal. Estéril em embalagem adequ</t>
  </si>
  <si>
    <t>Sonda nasogástrica curta - tamanho: Nº 16, esterilidade: estéril, descartável, material: pvc atóxico, características adicionais: flexível, transparente, com batoque atraumático, siliconada, com orifícios laterais, conector universal. Estéril em embalagem adeq</t>
  </si>
  <si>
    <t>Sonda nasogástrica curta - tamanho: Nº 18, esterilidade: estéril, descartável, material: pvc atóxico, características adicionais: flexível, transparente, com batoque atraumático, siliconada, com orifícios laterais, conector universal. Estéril em embalagem adeq</t>
  </si>
  <si>
    <t>Sonda nasogástrica curta - tamanho: Nº 20, esterilidade: estéril, descartável, material: pvc atóxico, características adicionais: flexível, transparente, com batoque atraumático, siliconada, com orifícios laterais, conector universal. Estéril em embalagem adeq</t>
  </si>
  <si>
    <t>Sonda nasogástrica curta - tamanho: Nº 22, esterilidade: estéril, descartável, material: pvc atóxico, características adicionais: flexível, transparente, com batoque atraumático, siliconada, com orifícios laterais, conector universal. Estéril em embalagem adeq</t>
  </si>
  <si>
    <t>Sonda nasogástrica longa - tamanho: Nº 04, esterilidade: estéril, descartável, material: pvc atóxico, características adicionais: flexível, transparente, com batoque atraumático, siliconada, com orifícios laterais, conector universal. Estéril em embalagem adeq</t>
  </si>
  <si>
    <t>Espéculo vaginal descartável M indicado para a realização de conização, cirurgia de alta frequência ou LEEP, Modelo: Espéculo Vaginal com Ducto Aspirador, Medidas: 10x2,2 Esterilidade: Estéril por Óxido Etileno (ETO), Especificações: Espéculo vaginal descartáv</t>
  </si>
  <si>
    <t>Espéculo vaginal descartável G indicado para a realização de conização, cirurgia de alta frequência ou LEEP, Modelo: Espéculo Vaginal com Ducto Aspirador, Medidas: 11x2,95 Esterilidade: Estéril por Óxido Etileno (ETO), Especificações: Espéculo vaginal descartá</t>
  </si>
  <si>
    <t>BR 0422816 - cânula orofaríngea, polímero, tamanho nº 6, estéril, embalagem - cânula de guedel - tamanho 6</t>
  </si>
  <si>
    <t>BR 0422818 - cânula orofaríngea, polímero, tamanho nº 5, estéril, embalagem - cânula de guedel - tamanho 5.</t>
  </si>
  <si>
    <t>BR 0439663 - seringa, material: polipropileno,capacidade:1 ml, tipo bico:bicocentralluerlock ou slip, tipo vedação:êmbolode borracha, adicional: graduada(escala ui), numerada, tipo agulha:c/agulha 30 g x 1/2", componenteadicional: c/ sistema segurança segund</t>
  </si>
  <si>
    <t>BR 0439688 - seringa, polipropileno, 5 ml, bico central luerlock ou slip, êmbolo de borracha, graduada, numerada, c/ agulha 22 g x 1", estéril, descartável, embalagem individual</t>
  </si>
  <si>
    <t>BR 0439707 - seringa, polipropileno, 10 ml, bico central luerlock ou slip, êmbolo de borracha, graduada, numerada, c/agulha 22 g x 1", c/ sistema segurança segundo nr/32, estéril, descartável, embalagem individual</t>
  </si>
  <si>
    <t>BR 0439710 - seringa, polipropileno, 20 ml, bico central luerlock ou slip, êmbolo de borracha, graduada, numerada, c/agulha 22 g x 1", estéril, descartável, embalagem individual</t>
  </si>
  <si>
    <t>BR 0450958 - cânula orofaríngea guedel, tamanho:conjunto c/ diversos tamanhos, 6 unidades, material - tamanho 0 a 5.</t>
  </si>
  <si>
    <t>BR 0332346: indicador químico classe v tipo uso interno, tipo integrador para esterilização a vapor, uso interno, apresentação pílula. Descrição complementar: apresentação: pílula química que funde e migra visivelmente, após processo de esterilzação em vapor s</t>
  </si>
  <si>
    <t>BR 0279764 - cateter aspiração traqueal, pvc atóxico flexível, descartável, ponta atraumática, orifícios distais lateralizados, estéril, embalagem individual, nº 12</t>
  </si>
  <si>
    <t>BR 0279761 - cateter aspiração traqueal, pvc atóxico flexível, descartável, ponta atraumática, orifícios distais lateralizados, estéril, embalagem individual, nº 14</t>
  </si>
  <si>
    <t>BR 0461243 - eletrodo, aplicação 1:p/ monitorização cardíaca - ecg, modelo:de superfície, tipo:adesivo, material sensor:prata/prata clorada, adicional 1:c/ gel condutor, tamanhos:adulto,</t>
  </si>
  <si>
    <t>AGULHAS CURTA GENGIVAL 30G 0,3X21MM, CAIXA C/100 UNIDADES</t>
  </si>
  <si>
    <t>AGULHAS GENGIVAL EXTRA CURTA DENTAL 15MM 30G CAIXA C/ 100 UNIDADES</t>
  </si>
  <si>
    <t>AGULHAS HIPODÉRMICAS DESCARTÁVEL 20 X 0,55 MM CAIXA C/100 UNIDADES</t>
  </si>
  <si>
    <t>SUGADOR ODONTOLÓGICO DESCARTÁVEL COM 40 UNIDADES</t>
  </si>
  <si>
    <t>TOUCA ELÁSTICA SANFONADA 10G, COM 100 UNIDADES</t>
  </si>
  <si>
    <t>COLETOR PARA MATERIAL PERFUROCORTANTE - 3L</t>
  </si>
  <si>
    <t>FIO DE SUTURA ABSORVÍVEL (REABSORVÍVEL) 4-0, MONOFILAMENTAR. MONTADO EM AGULHA DE AÇO INOXIDAVEL SILICONIZADO, DE ½ CIRCULO MEDINDO APROXIMADAMENTE 16 A 19MM. PRAZO DE VALIDADE E REGISTRO NA AGÊNCIA NACIONAL DE VIGILÂNCIA SANITÁRIA.</t>
  </si>
  <si>
    <t>FIO DE SUTURA CIRÚRGICO DE NYLON MONOFILAMENTAR 4-0 (QUATRO ZEROS), ESTÉRIL, NÃO ABSORVÍVEL, DE ORIGEM SINTÉTICA, NA COR PRETA, 2,0 CM, 3/8 DE CÍRCULO, COM FIO DE APROXIMADAMENTE 45 CM. PRAZO DE VALIDADE E REGISTRO NA AGÊNCIA NACIONAL DE VIGILÂNCIA SANITÁRIA.</t>
  </si>
  <si>
    <t>FITA PARA AUTOCLAVE 19MM X 30M</t>
  </si>
  <si>
    <t xml:space="preserve">SERINGA CARPULE ODONTOLÓGICA COM REFLUXO: INSTRUMENTAL ODONTOLÓGICO CONFECCIONADO EM AÇO INOXIDÁVEL DE GRAU CIRÚRGICO, AUTOCLAVÁVEL, RESISTENTE À CORROSÃO E DE ALTA DURABILIDADE. INDICADA PARA ADMINISTRAÇÃO DE ANESTÉSICOS LOCAIS POR MEIO DE TUBETES (CARPULES) </t>
  </si>
  <si>
    <t xml:space="preserve">Fio De Sutura Agulhado material fio: poliglactina violeta, modelo fio: multifilamentar, componente fio: c/ bacteriostático / bactericida, diâmetro fio: nº 1, comprimento fio: cerca de 90, tipo agulha: agulha 1/2 círculo, modelo agulha: cilíndrica, comprimento </t>
  </si>
  <si>
    <t>Cuba Rim, Dimensões: 26x12x6cm, Capacidade 750ml, Material Aço Inoxidável, Garantia mínima de 12 meses.</t>
  </si>
  <si>
    <t>Nefrologia - Implante de Cateter Venoso Central para Hemodiálise Nefrologia - Implante de Cateter Venoso Central para Hemodiálise EFISCO 4978455 - SERVICOS DA TABELA SUS - 0418010056,IMPLANTE DE CATETER DUPLO LUMEN NA IRA (INCLUI CATETER)</t>
  </si>
  <si>
    <t>(1934635) - FIO DE SUTURA POLIGLECAPRONE - MONOFILAMENTO PARA PLASTICA 4,0 AGULHA DE 1,9CM 3/8 DE CICLO TRIANGULAR, COMPRIMENTO 70CM, APRESENTACAO EM ENVELOPE</t>
  </si>
  <si>
    <t>(601489) - FIO DE SUTURA NYLON - MONOFILAMENTO PRETO, NAO ABSORVIVEL, 45CM DE COMPRIMENTO, NUMERO 3-0, AGULHA 3/8 CIRCULO, TRIANGULAR 2,4CM, ART.31 LEI 8078/90 PORT.CONJ.N1 DE 23/1/96 M-SAUDE, ROTULAGEM RESPEITANDO O DECRETO LEI 79094/77</t>
  </si>
  <si>
    <t>(6188656) - FIO DE SUTURA DE POLIPROPILENO - MONOFILAMENTO,INABSORVIVEL, CALIBRE 2-0,COM AGULHA CILINDRICA DE 2,5CM,1/2 CIRCULO,FIO COM 70,00CM, COR AZUL,ESTERIL</t>
  </si>
  <si>
    <t>(1990373) - FIO DE SUTURA POLIGLECAPRONE - MONOFILAMENTO PARA CIRURGIA CALIBRE 3-0,C/AGULHA CIL.APROX. 2,60CM,1/2 CIRCULAR, FIO COM 70CM DE COMPRIMENTO, ENVELOPE INDIVIDUAL,INVOLUCRO INTERNO ESTERIL</t>
  </si>
  <si>
    <t>CABO BISTURI. Material: Aço Inoxidável - Tamanho: Nº 3</t>
  </si>
  <si>
    <t>SERINGA ODONTOLÓGICA. Material: Aço Inoxidável - Tipo Uso: Autoclavável Capacidade: 1,80 ML - Características Adicionais: Retrocarga - Tipo: Carpule - Aplicação: Refluxo Tradicional</t>
  </si>
  <si>
    <t>(1885626) - INDICADOR BIOLOGICO - EM TIRA PARA CONTROLE DE ESTERILIZACAO EM AUTOCLAVE, TIRAS IMPREGNADAS COM SUSEPNSAO DE ESPOROS SECOS DE BACILLUS STEAROTHERMOPHILUS, FRASCO PLASTICO CONTENDO AMPOLA DE VIDRO COM CALDO NUTRIENTE, PACOTE COM:PAPEL, INDICADOR, F</t>
  </si>
  <si>
    <t>AGULHA HIPODÉRMICA DESCARTÁVEL 25X7(Dimensão: 22 G X 1")(25mm de comprimento x 0,7 mm de diâmetro), Dimensão em Gauge (22 G X 1" ) - em aço inoxidável, siliconizada, com tampa protetora em pvc, cânula com parede fina e bisel curto trifacetado, adaptador tipo l</t>
  </si>
  <si>
    <t>AGULHA HIPODÉRMICA DESCARTÁVEL 25X8 (25mm de comprimento x 8 mm de diâmetro) ou Dimensão em Gauge (21Gx1") - em aço inoxidável, siliconizada, com tampa protetora em pvc, cânula com parede fina e bisel trifacetado, adaptador tipo luer, canhão em polipropileno c</t>
  </si>
  <si>
    <t>AGULHA HIPODÉRMICA DESCARTÁVEL 40X1,2 (40mm de comprimento x 1,2 mm de diâmetro),Dimensão em Gauge( 18 G X 1 1/2" ) - em aço inoxidável, siliconizada, com tampa protetora em pvc, cânula com parede fina e bisel trifacetado, adaptador tipo luer, canhão em polipr</t>
  </si>
  <si>
    <t>AVENTAL DESCARTÁVEL, NÃO ESTÉRIL 30gr/M² - Avental para uso hospitalar, confeccionado em tecido não tecido (TNT), fabricado em 100% de polipropileno, descartável, não estéril, aberto nas costas, fechamento com par de tiras na cintura e no pescoço, mangas compr</t>
  </si>
  <si>
    <t>AVENTAL DESCARTÁVEL, NÃO ESTÉRIL 50gr/M² - Avental para uso hospitalar, confeccionado em tecido não tecido (TNT), fabricado em 100% de polipropileno, descartável, não estéril, aberto nas costas, fechamento com par de tiras na cintura e no pescoço, mangas compr</t>
  </si>
  <si>
    <t>LUVA ANTIALÉRGICA SEM PÓ PARA PROCEDIMENTO, DESCARTÁVEL, TAMANHO “G” - Luva para procedimento não cirúrgico, fabricada em vinil ou nitrílica, tipo não estéril antialérgica, descartável, ambidestra, sem pó, anatômicas, superfície lisa, punhos com bainha, ajuste</t>
  </si>
  <si>
    <t>LUVA CIRÚRGICA ESTÉRIL Nº 7,5 - Luva descartável para procedimento - fabricada em látex natural, pulverizadas com pó bioabsorvível, superfície lisa, ambidestra, estéril, resistente à tração, com boa sensibilidade tátil, uniforme. Embalagem confeccionada em pap</t>
  </si>
  <si>
    <t>TOUCA CIRÚRGICA PARA USO HOSPITALAR - Fabricada em não tecido, 100% polipropileno, sanfonada, elástico na volta toda por processo automatizado soldado eletronicamente, com ventilação e fixação adequada à cabeça sem apertar, leve e resistente, hipoalergênica, a</t>
  </si>
  <si>
    <t>SERINGA DESCARTÁVEL DE 10 ML C/AGULHA 25 X 7 - Seringa, material polipropileno transparente, capacidade 10ml, tipo bico central simples ou luer slip, êmbolo c/rolha borracha, graduação firme e perfeitamente legível, com agulha 25x7, bisel trifacetado, tampa pr</t>
  </si>
  <si>
    <t>SERINGA DESCARTÁVEL DE 20 ML C/AGULHA 25 X 7 - Seringa, material polipropileno transparente, capacidade 20ml, tipo bico central simples ou luer slip, êmbolo c/rolha borracha, graduação firme e perfeitamente legível, com agulha 25x7, bisel trifacetado, tampa pr</t>
  </si>
  <si>
    <t>Absorvente higiênico Tipo: hospitalar Comprimento: 40 cm Largura: mínima de 10 cm Componente adicional: camada externa filme plástico resistente impermeável Características adicionais: camada interna tripla em algodão e flocos de gel</t>
  </si>
  <si>
    <t>Cateter Central Aplicação: venoso Matéria-prima: poliuretano radiopaco Diâmetro: cerca de 7 FR Vias: duplo lúmen Lúmen: 14 a 18 GAU Comprimento: cerca 20 cm Conector: padrão Componente: kit introdutor completo Componente II: revestido c/ antimicrobiano/antifún</t>
  </si>
  <si>
    <t>Cateter Aspiração Traqueal Material: PVC atóxico Flexível Espessura: Nº 6 Características adicionais: ponta atraumática, orifícios distais lateralizados Tipo embalagem: estéril, individual Tipo uso: descartável</t>
  </si>
  <si>
    <t>Cateter Aspiração Traqueal Material: PVC atóxico Flexível Espessura: Nº 8 Características adicionais: ponta atraumática, orifícios distais lateralizados Tipo embalagem: estéril, individual Tipo uso: descartável</t>
  </si>
  <si>
    <t>Cateter Aspiração Traqueal Material: PVC atóxico Flexível Espessura: Nº 10 Características adicionais: ponta atraumática, orifícios distais lateralizados Tipo embalagem: estéril, individual Tipo uso: descartável</t>
  </si>
  <si>
    <t>Cateter Aspiração Traqueal Material: PVC atóxico Flexível Espessura: Nº 18 Características adicionais: ponta atraumática, orifícios distais lateralizados Tipo embalagem: estéril, individual Tipo uso: descartável</t>
  </si>
  <si>
    <t>Cateter Aspiração Traqueal Material: PVC atóxico Flexível Espessura: Nº 20 Características adicionais: ponta atraumática, orifícios distais lateralizados Tipo embalagem: estéril, individual Tipo uso: descartável</t>
  </si>
  <si>
    <t>Coletor Universal Modelo: frasco Aplicação: universal Material: polímero rígido transparente, graduado Volume: 80 ml Fechamento: tampa plástica Esterilidade: estéril</t>
  </si>
  <si>
    <t>Dreno Cirúrgico de Blake Modelo: tubular, centro rígido c/ 4 canais Material: silicone Calibre: cerca de 24 FRENCH Componente adicional: c/ reservatório graduado – pressão negativa Volume: cerca de 100 ml Componente II: Radiopaco Tipo uso: estéril, descartável</t>
  </si>
  <si>
    <t>Dreno Cirúrgico de Kehr Modelo: Kehr em “T” Material: borracha Calibre: 12 FRENCH Comprimento: cerca de 50 cm Tipo uso: estéril, descartável Embalagem: individual</t>
  </si>
  <si>
    <t>Dreno Cirúrgico de Penrose Nº 02 Modelo: de Penrose Material: látex Dimensões: cerca de 12 mm x 30 cm Componente I: c/ gaze Componente II: radiopaco Tipo uso: estéril, descartável Embalagem: individual</t>
  </si>
  <si>
    <t>Dreno Cirúrgico de Penrose Nº 04 Modelo: de Penrose Material: látex Dimensões: cerca de 20 mm x 30 cm Componente I: c/ gaze Componente II: radiopaco Tipo uso: estéril, descartável Embalagem: individual</t>
  </si>
  <si>
    <t>Dreno Cirúrgico de Sucção 3,2 MM Modelo: tubular Material: PVC Calibre: 10 FRENCH Componente: introdutor em aço inoxidável Componente adicional: c/ reservatório graduado – pressão negativa Volume: cerca de 500 ml Conector universal: c/ conector Componente I: c</t>
  </si>
  <si>
    <t>Dreno Cirúrgico de Sucção 4,8 MM Modelo: tubular Material: PVC Calibre: 15 FRENCH Componente: introdutor em aço inoxidável Componente adicional: c/ reservatório graduado – pressão negativa Volume: cerca de 500 ml Conector universal: c/ conector Componente I: c</t>
  </si>
  <si>
    <t>Dreno Cirúrgico de Sucção 6,4 MM Modelo: tubular Material: silicone Calibre: 18 FRENCH Componente: introdutor em aço inoxidável Componente adicional: c/ reservatório graduado – pressão negativa Volume: cerca de 500 ml Conector universal: c/ conector Componente</t>
  </si>
  <si>
    <t>Eletrodo Uso Médico Aplicação 1: p/ monitorização cardíaca – ECG Modelo: de superfície Tipo: adesivo Material sensor: p/ ambiente ressonância magnética MRI Adicional 1: c/ gel condutor Tamanhos: adulto Acessório: s/ cabo Esterilidade: uso único</t>
  </si>
  <si>
    <t xml:space="preserve">Equipo de Infusão Venosa Gravitacional Material: PVC transparente, sem Deph Câmara gotejamento: macrogotas, flexível, c/ respiro e filtro Regulador de fluxo manual: rolete graduado m Ml/H Comprimento tubo: até 180 cm Tipo injetor lateral: c/ 1 injetor, uso s/ </t>
  </si>
  <si>
    <t>Equipo p/ Bomba de Infusão Material: PVC transparente, sem deph Material adicional: com segmento de silicone Câmara gotejamento: macrogotas, flexível, c/ respiro e filtro Regulador de fluxo manual: pinça rolete Comprimento total do tubo: acima de 181 cm Tipo i</t>
  </si>
  <si>
    <t>Esparadrapo Micropore - Fita Adesiva – uso cutâneo Tipo: microporosa Material dorso: à base de tecido não tecido Tipo de adesivo: sintético, hipoalergênico Largura da fita: cerca de 100 mm Cor: c/ cor Apresentação: rolo c/ capa protetora Esterilidade: não esté</t>
  </si>
  <si>
    <t>Esparadrapo Impermeável - Fita Adesiva – uso cutâneo Tipo: esparadrapo impermeável Material dorso: 100% algodão Tipo de adesivo: sintético, hipoalergênico Largura da fita: cerca de 100 mm Cor: c/ cor Apresentação: rolo c/ capa protetora Esterilidade: não estér</t>
  </si>
  <si>
    <t>Fio de Sutura S/ Agulha Algodão 0 Material: poliéster c/ algodão azul Modelo: Multifilamentar Diâmetro: 0 / 1-0 Comprimento: 15 x cerca de 45 cm Esterilidade: estéril Apresentação: embalagem individual</t>
  </si>
  <si>
    <t xml:space="preserve">Fio de Sutura Agulhado Material fio: Catgut Simples Modelo fio: Multifilamentar Diâmetro fio: 2-0 Comprimento fio: cerca de 70 cm Tipo agulha: ½ círculo Modelo agulha: cilíndrica Comprimento agulha: cerca de 40 mm Esterilidade: estéril Apresentação: embalagem </t>
  </si>
  <si>
    <t>Fio de Sutura Agulhado Nylon 0 Material fio: nylon/poliamida preto Modelo fio: monofilamentar Diâmetro fio: 0 / 1-0 Comprimento fio: cerca de 45 cm Tipo agulha: 3/8 círculo Modelo agulha: cortante reversa / invertida Comprimento agulha: cerca de 30 mm Esterili</t>
  </si>
  <si>
    <t>Fio de Sutura Agulhado Nylon 5-0 Material fio: nylon/poliamida preto Modelo fio: monofilamentar Diâmetro fio: 5-0 Comprimento fio: cerca de 45 cm Tipo agulha: 3/8 círculo Modelo agulha: cortante reversa / invertida Comprimento agulha: cerca de 20 mm Esterilida</t>
  </si>
  <si>
    <t>Fio de Sutura Agulhado Nylon 6-0 Material fio: nylon/poliamida preto Modelo fio: monofilamentar Diâmetro fio: 6-0 Comprimento fio: cerca de 45 cm Tipo agulha: 3/8 círculo Modelo agulha: cortante reversa / invertida Comprimento agulha: cerca de 20 mm Esterilida</t>
  </si>
  <si>
    <t>Fio de Sutura Agulhado Material fio: polipropileno azul Modelo fio: monofilamentar Diâmetro fio: 2-0 Comprimento fio: cerca de 70 cm Tipo agulha: ½ círculo Modelo agulha: cilíndrica Comprimento agulha: cerca de 35 mm Esterilidade: estéril Apresentação: embalag</t>
  </si>
  <si>
    <t>Fio de Sutura Agulhado Vicryl 0 Material fio: poligalactina violeta Modelo fio: multifilamentar Diâmetro fio: 0 / 1-0 Comprimento fio: cerca de 70 cm Tipo agulha: ½ círculo Modelo agulha: cilíndrica Comprimento agulha: cerca de 40 mm Esterilidade: estéril Apre</t>
  </si>
  <si>
    <t>Fio de Sutura Agulhado Vicryl 1 Material fio: Ác. Poliglicólico Violeta Modelo fio: multifilamentar Diâmetro fio: 1 Comprimento fio: cerca de 70 cm Tipo agulha: ½ círculo Modelo agulha: cilíndrica Comprimento agulha: cerca de 40 mm Esterilidade: estéril Aprese</t>
  </si>
  <si>
    <t>Lâmina Bisturi Material: Aço inoxidável Tamanho: Nº 11 Tipo: descartável Esterilidade: estéril Características adicionais: embalada individualmente</t>
  </si>
  <si>
    <t>Lâmina Bisturi Material: Aço inoxidável Tamanho: Nº 15 Tipo: descartável Esterilidade: estéril Características adicionais: embalada individualmente</t>
  </si>
  <si>
    <t>Lanceta Material lâmina: aço inoxidável, ponta afiada, trifacetada Uso: descartável Características adicionais: estéril. Embalagem individual Tipo: com sistema retrátil</t>
  </si>
  <si>
    <t>Luva Cirúrgica Material: borracha natural – látex Superfície: lisa Formato: anatômico Pó: com pó absorvível Cor: c/ cor Tamanho: nº 6,5 Apresentação: em par Esterilidade: estéril, suo único Embalagem: individual</t>
  </si>
  <si>
    <t>Máscara Gasoterapia Modelo: Venturi Material: plástico Adicional: c/ tubo corrugado Tamanho: adulto Tipo fixação: c/ clipe nasal e fixador cefálico ajustável Tipo extensão: extensor cerca de 2,0 m Tipo conector: padrão Adicionais: jogo c/ 6 diluidores p/ fluxo</t>
  </si>
  <si>
    <t xml:space="preserve">Papel Grau 100 MM x 100 M Embalagem p/ Esterilização Material: papel grau cirúrgico Composição: c/ filme polímero multilaminado Gramatura/espessura: cerca de 60 g/m2 Apresentação: rolo Componentes adicionais: termosselante Tamanho: cerca de 10 cm Componentes: </t>
  </si>
  <si>
    <t xml:space="preserve">Papel Grau 150 MM x 100 M Embalagem p/ Esterilização Material: papel grau cirúrgico Composição: c/ filme polímero multilaminado Gramatura/espessura: cerca de 60 g/m2 Apresentação: rolo Componentes adicionais: termosselante Tamanho: cerca de 15 cm Componentes: </t>
  </si>
  <si>
    <t xml:space="preserve">Papel Grau 200 MM x 100 M Embalagem p/ Esterilização Material: papel grau cirúrgico Composição: c/ filme polímero multilaminado Gramatura/espessura: cerca de 60 g/m2 Apresentação: rolo Componentes adicionais: termosselante Tamanho: cerca de 20 cm Componentes: </t>
  </si>
  <si>
    <t xml:space="preserve">Papel Grau 250 MM x 100 M Embalagem p/ Esterilização Material: papel grau cirúrgico Composição: c/ filme polímero multilaminado Gramatura/espessura: cerca de 60 g/m2 Apresentação: rolo Componentes adicionais: termosselante Tamanho: cerca de 25 cm Componentes: </t>
  </si>
  <si>
    <t xml:space="preserve">Papel Grau 300 MM x 100 M Embalagem p/ Esterilização Material: papel grau cirúrgico Composição: c/ filme polímero multilaminado Gramatura/espessura: cerca de 60 g/m2 Apresentação: rolo Componentes adicionais: termosselante Tamanho: cerca de 30 cm Componentes: </t>
  </si>
  <si>
    <t>Sonda Trato Urinário Modelo: foley Material: borracha Calibre: 12 FRENCH Vias: 2 vias Conector: padrão Volume: c/ balão cerca de 30 ml Tipo ponta: distal cilíndrica fechada Componentes: c/ orifícios laterais Esterilidade: estéril, descartável Embalagem: indivi</t>
  </si>
  <si>
    <t>Sonda Trato Urinário Modelo: foley Material: borracha Calibre: 14 FRENCH Vias: 2 vias Conector: padrão Volume: c/ balão cerca de 30 ml Tipo ponta: distal cilíndrica fechada Componentes: c/ orifícios laterais Esterilidade: estéril, descartável Embalagem: indivi</t>
  </si>
  <si>
    <t>Sonda Trato Urinário Modelo: foley Material: borracha Calibre: 16 FRENCH Vias: 2 vias Conector: padrão Volume: c/ balão cerca de 30 ml Tipo ponta: distal cilíndrica fechada Componentes: c/ orifícios laterais Esterilidade: estéril, descartável Embalagem: indivi</t>
  </si>
  <si>
    <t>Sonda Trato Urinário Modelo: foley Material: borracha Calibre: 20 FRENCH Vias: 2 vias Conector: padrão Volume: c/ balão cerca de 30 ml Tipo ponta: distal cilíndrica fechada Componentes: c/ orifícios laterais Esterilidade: estéril, descartável Embalagem: indivi</t>
  </si>
  <si>
    <t>Sonda Trato Urinário Modelo: foley Material: borracha Calibre: 22 FRENCH Vias: 2 vias Conector: padrão Volume: c/ balão cerca de 30 ml Tipo ponta: distal cilíndrica fechada Componentes: c/ orifícios laterais Esterilidade: estéril, descartável Embalagem: indivi</t>
  </si>
  <si>
    <t>Sonda Trato Urinário Modelo: foley Material: borracha Calibre: 24 FRENCH Vias: 2 vias Conector: padrão Volume: c/ balão cerca de 30 ml Tipo ponta: distal cilíndrica fechada Componentes: c/ orifícios laterais Esterilidade: estéril, descartável Embalagem: indivi</t>
  </si>
  <si>
    <t>Sonda Trato Digestivo Aplicação: oro ou nasogástrica Modelo: Levine Material: PVC Calibre: Nº 4 Tamanho: longa Comprimento: cerca de 120 cm Conector: padrão c/ tampa Componentes: ponta distal fechada, c/ orifícios laterais Esterilidade: estéril, descartável Em</t>
  </si>
  <si>
    <t>Sonda Trato Digestivo Aplicação: oro ou nasogástrica Modelo: Levine Material: PVC Calibre: Nº 12 Tamanho: longa Comprimento: cerca de 120 cm Conector: padrão c/ tampa Componentes: ponta distal fechada, c/ orifícios laterais Esterilidade: estéril, descartável E</t>
  </si>
  <si>
    <t>Sonda Trato Digestivo Aplicação: oro ou nasogástrica Modelo: Levine Material: PVC Calibre: Nº 14 Tamanho: longa Comprimento: cerca de 120 cm Conector: padrão c/ tampa Componentes: ponta distal fechada, c/ orifícios laterais Esterilidade: estéril, descartável E</t>
  </si>
  <si>
    <t>Sonda Trato Digestivo Aplicação: oro ou nasogástrica Modelo: Levine Material: PVC Calibre: Nº 18 Tamanho: longa Comprimento: cerca de 120 cm Conector: padrão c/ tampa Componentes: ponta distal fechada, c/ orifícios laterais Esterilidade: estéril, descartável E</t>
  </si>
  <si>
    <t>Sonda Trato Digestivo Aplicação: oro ou nasogástrica Modelo: Levine Material: PVC Calibre: Nº 20 Tamanho: longa Comprimento: cerca de 120 cm Conector: padrão c/ tampa Componentes: ponta distal fechada, c/ orifícios laterais Esterilidade: estéril, descartável E</t>
  </si>
  <si>
    <t>Touca Hospitalar Material*: não tecido 100% polipropileno Modelo: com elástico em toda volta Cor*: sem cor Gramatura*: cerca de 30g/m2 Tamanho*: único Tipo uso*: descartável Característica adicional 1: hipoalergênica, atóxica, inodora, unissex</t>
  </si>
  <si>
    <t>Fita Adesiva - Uso Cutâneo tipo: microporosa, material dorso: à base de tecido não tecido, tipo de adesivo: sintético, hipoalergênico, largura da fita: cerca de 50 mm, cor: c/ cor, apresentação: rolo s/ capa protetora, esterilidade: não estéril</t>
  </si>
  <si>
    <t>Gel Para Exame Médico composição: a base de água, aplicação: condutor, características adicionais: ph neutro, esterilidade: estéril Galão de 5 litros.</t>
  </si>
  <si>
    <t>Lancetador Para Glicemia Capilar quantidade níveis profundidade: seleção de até 5 níveis de profundidade de punção, tipo: tipo caneta, lanceta: lanceta trifacetada siliconizada</t>
  </si>
  <si>
    <t>Agulha odontológica, material: aço inoxidável siliconizado, aplicação: gengival / anestesia, dimensão:30 g longa, tipo ponta :com bisel trifacetado, tipo conexão: conector p/ seringa carpule, tipo uso: estéril, descartável, apresentação: c/ protetor plástico e</t>
  </si>
  <si>
    <t>Fio de sutura agulhado, material fio: nylon / poliamida preto, modelo fio: monofilamentar, diâmetro fio:4-0, comprimento fio: cerca de 70 cm, tipo agulha: agulha 1/2 círculo, modelo agulha: cilíndrica, comprimento agulha: cerca de 20 mm, esterilidade: estéril,</t>
  </si>
  <si>
    <t>Luva p/ procedimento de saúde não cirúrgico c/ anv, material: borracha natural - látex, superfície: superfície lisa, formato: ambidestra, pó: com pó bioabsorvível, cor: c/ cor, tamanho: médio - M, esterilidade: estéril, uso único, embalagem: contento 100 unid.</t>
  </si>
  <si>
    <t>Luva p/ procedimento de saúde não cirúrgico c/ anv, material: borracha natural - látex, superfície: superfície lisa, formato: ambidestra, pó: com pó bioabsorvível, cor: c/ cor, tamanho: pequeno - P, esterilidade: não estéril, uso único. Descrição complementar:</t>
  </si>
  <si>
    <t>Seringa odontologica, material: aço inoxidável, tipo uso: autoclavável, capacidade:1,80 ml, características adicionais: retrocarga, tipo: carpule, aplicação: refluxo tradicional. CATMAT 413354</t>
  </si>
  <si>
    <t>Touca hospitalar, material :não tecido 100% polipropileno, modelo: com elástico em toda volta, cor :sem cor, gramatura :cerca de 60 g/m2, tamanho :único, tipo uso :descartável, característica adicional 01:hipoalergênica, atóxica, inodora, unissex. Descrição co</t>
  </si>
  <si>
    <t>indicador químico tipo integrador, classe 5, para monitoramento e avaliação de ciclos de esterilização em autoclave a vapor. deve reagir aos parâmetros críticos do processo de esterilização: tempo, temperatura e vapor saturado. indicador de leitura imediata, c</t>
  </si>
  <si>
    <t>Circuito Respiratório material: silicone, modelo: c/ 1 traqueia, diâmetro traqueia: cerca de 22, comprimento traqueia: cerca de 150, conector: c/ válvula expiratória e conector sensor de fluxo, dreno coletor de água: sem dreno, linha adicional: c/ linha proxim</t>
  </si>
  <si>
    <t>Fio De Sutura Agulhado material fio: nylon / poliamida incolor, modelo fio: monofilamentar, diâmetro fio: 3-0, comprimento fio: cerca de 45, tipo agulha: agulha 3/8 círculo, modelo agulha: cortante reversa / invertida, comprimento agulha: cerca de 30, esterili</t>
  </si>
  <si>
    <t>Luva P/ Procedimento De Saúde Não Cirúrgico C/ Anvisa material: borracha natural - látex, superfície: superfície lisa, formato: ambidestra, pó: com pó bioabsorvível, cor: c/ cor, tamanho: médio - m, esterilidade: não estéril, uso único Luva látex de procedimen</t>
  </si>
  <si>
    <t>(4973755) - PAPEL HOSPITALAR GRAU CIRURGICO - RESISTENTE A ESTERILIZACAO,ATOXICO,COM UMA FACE BRANCA OPACA E OUTRA TRANSPARENTE,DESCARTAVEL,MEDINDO 0,08X100M,EMBALADO EM ROLO</t>
  </si>
  <si>
    <t>(1815059) - PAPEL HOSPITALAR GRAU CIRURGICO - RESISTENTE A ESTERILIZACAO, ATOXICO, COM UMA FACE BRANCA OPACA E OUTRA TRANSPARENTE, DESCARTAVEL, MEDINDO 10 CM X 100 M, EM ROLO</t>
  </si>
  <si>
    <t>(1513753) - PAPEL HOSPITALAR GRAU CIRURGICO - RESISTENTE A ESTERILIZACAO, ATOXICO, COM UMA FACE BRANCA OPACA E OUTRA TRANSPARENTE, DESCARTAVEL, MEDINDO 12 CM X 100 M, EM ROLO</t>
  </si>
  <si>
    <t>(1513761) - PAPEL HOSPITALAR GRAU CIRURGICO - RESISTENTE A ESTERILIZACAO, ATOXICO, COM UMA FACE BRANCA OPACA E OUTRA TRANSPARENTE, DESCARTAVEL, MEDINDO 15 CM X 100 M, EM ROLO</t>
  </si>
  <si>
    <t>(1513770) - PAPEL HOSPITALAR GRAU CIRURGICO - RESISTENTE A ESTERILIZACAO, ATOXICO, COM UMA FACE BRANCA OPACA E OUTRA TRANSPARENTE, DESCARTAVEL, MEDINDO 20 CM X 100 M, EM ROLO</t>
  </si>
  <si>
    <t>(1513788) - PAPEL HOSPITALAR GRAU CIRURGICO - RESISTENTE A ESTERILIZACAO, ATOXICO, COM UMA FACE BRANCA OPACA E OUTRA TRANSPARENTE, DESCARTAVEL, MEDINDO 25 CM X 100 M, EM ROLO</t>
  </si>
  <si>
    <t>(1646702) - PAPEL HOSPITALAR GRAU CIRURGICO - RESISTENTE A ESTERILIZACAO, ATOXICO, COM UMA FACE BRANCA OPACA E OUTRA TRANSPARENTE, DESCARTAVEL, MEDINDO 30 CM X 100 M, EMBALADO EM ROLO.</t>
  </si>
  <si>
    <t>(1553100) - PAPEL HOSPITALAR GRAU CIRURGICO - RESISTENTE A ESTERILIZACAO, ATOXICO, COM UMA FACE BRANCA OPACA E OUTRA TRANSPARENTE, DESCARTAVEL, MEDINDO 45CMX100MM, EM ROLO</t>
  </si>
  <si>
    <t>(2009099) - PAPEL HOSPITALAR GRAU CIRURGICO - RESISTENTE A ESTERILIZACAO, ATOXICO, COM UMA FACE BRANCA OPACA E OUTRA TRANSPARENTE, DESCARTAVEL, MEDINDO 50CM X 100 M, EM ROLO</t>
  </si>
  <si>
    <t>(5841623) - INTEGRADOR QUIMICO - PARA ESTERILIZACAO A VAPOR EM TEMPERATURAS ENTRE 121 A 135ºC,USO UNICO, PERMEAVEL AO VAPOR, CLASSE 5</t>
  </si>
  <si>
    <t>Agulha Hipodérmica Agulha Hipodérmica, Material:Aço Inoxidável Siliconizado, Dimensão:25 G X 1 1/2", Tipo Ponta:Bisel Curto Trifacetado, Tipo Conexão:Conector Luer Lock Em Plástico, Tipo Fixação:Protetor Plástico, Característica Adicional:Com Sistema Segurança</t>
  </si>
  <si>
    <t xml:space="preserve">Campo Cirúrgico Descartável Campo Cirúrgico Descartável, Modelo:Oftalmológico, Fenestrado, Material:Não Tecido 100% Polipropileno - Tipo Sms, Propriedade:Hidrorepelente, Reforço:S/ Reforço, Fixação:Adesiva, Coletor:C/ Coletor De Fluído, Dimensões:Cerca De 100 </t>
  </si>
  <si>
    <t>Cânula Orofaríngea Guedel Cânula Orofaríngea Guedel, Material*:Polímero, Tamanho*:Tamanho Nº 1 CÂNULA OROFARÍNGEA, MATERIAL POLIURETANO FLEXÍVEL, TAMANHO Nº 1, TIPO GUEDEL, TIPO USO DESCARTÁVEL, ESTERILIDADE ESTÉRIL</t>
  </si>
  <si>
    <t>Cânula Orofaríngea Guedel Cânula Orofaríngea Guedel, Material*:Polímero, Tamanho*:Tamanho Nº 2 CÂNULA OROFARÍNGEA, MATERIAL POLIURETANO FLEXÍVEL, TAMANHO Nº 2, TIPO GUEDEL, TIPO USO DESCARTÁVEL, ESTERILIDADE ESTÉRIL</t>
  </si>
  <si>
    <t>Cânula Orofaríngea Guedel Cânula Orofaríngea Guedel, Material*:Polímero, Tamanho*:Tamanho Nº 3 CÂNULA OROFARÍNGEA, MATERIAL POLIURETANO FLEXÍVEL, TAMANHO Nº 3, TIPO GUEDEL, TIPO USO DESCARTÁVEL, ESTERILIDADE ESTÉRIL</t>
  </si>
  <si>
    <t>Cânula Orofaríngea Guedel Cânula Orofaríngea Guedel, Material*:Polímero, Tamanho*:Tamanho Nº 4 CÂNULA OROFARÍNGEA, MATERIAL POLIURETANO FLEXÍVEL, TAMANHO Nº 4, TIPO GUEDEL, TIPO USO DESCARTÁVEL, ESTERILIDADE ESTÉRIL</t>
  </si>
  <si>
    <t>Cânula Orofaríngea Guedel Cânula Orofaríngea Guedel, Material*:Polímero, Tamanho*:Tamanho Nº 5 CÂNULA OROFARÍNGEA, MATERIAL POLIURETANO FLEXÍVEL, TAMANHO Nº 5, TIPO GUEDEL, TIPO USO DESCARTÁVEL, ESTERILIDADE ESTÉRIL</t>
  </si>
  <si>
    <t>Cânula Orofaríngea Guedel Cânula Orofaríngea Guedel, Material*:Polímero, Tamanho*:Tamanho Nº 0 CÂNULA OROFARÍNGEA, MATERIAL POLIURETANO, TAMANHO Nº 0, TIPO OROFARÍNGEA, CARACTERÍSTICAS ADICIONAIS GUEDEL C / CONECTOR EXTREMIDADE PROXIMAL E ORIFÍCIO, TIPO USO DE</t>
  </si>
  <si>
    <t>Dreno Cirúrgico Dreno Cirúrgico, Modelo:De Penrose, Material:Silicone, Dimensões:Cerca De 6 Mm X 30 CM, Componente I:C/ Gaze, Componente Ii:Radiopaco, Tipo Uso:Estéril, Descartável, Embalagem:Embalagem Individual DRENO CIRÚRGICO, TIPO DE PENROSE, MATERIAL LÁTE</t>
  </si>
  <si>
    <t>Dreno Cirúrgico Dreno Cirúrgico, Modelo:De Penrose, Material:Silicone, Dimensões:Cerca De 8 Mm X 30 CM, Componente I:C/ Gaze, Componente Ii:Radiopaco, Tipo Uso:Estéril, Descartável, Embalagem:Embalagem Individual DRENO CIRÚRGICO, TIPO DE PENROSE, MATERIAL LÁTE</t>
  </si>
  <si>
    <t>Dreno Cirúrgico Dreno Cirúrgico, Modelo:De Penrose, Material:Silicone, Dimensões:Cerca De 10 Mm X 30 CM, Componente I:C/ Gaze, Componente Ii:Radiopaco, Tipo Uso:Estéril, Descartável, Embalagem:Embalagem Individual DRENO CIRÚRGICO, TIPO DE PENROSE, MATERIAL LÁT</t>
  </si>
  <si>
    <t xml:space="preserve">Dreno Cirúrgico Dreno Cirúrgico, Modelo:Torácico, Material:Silicone, Calibre:32 FRENCH, Comprimento:Cerca De 50 CM, Conector Universal:C/ Conector, Componente Ii:Radiopaco, Tipo Uso:Estéril, Descartável, Embalagem:Embalagem Individual DRENO CIRÚRGICO, TIPO DE </t>
  </si>
  <si>
    <t>Dreno Cirúrgico Dreno Cirúrgico, Modelo:Torácico, Material:Pvc, Calibre:40 FRENCH, Comprimento:Cerca De 50 CM, Componente Ii:Radiopaco, Tipo Uso:Estéril, Descartável, Embalagem:Embalagem Individual DRENO CIRÚRGICO, TIPO DE SUCÇÃO CONTÍNUA, COMPONENTES TB ASPIR</t>
  </si>
  <si>
    <t>Dreno Cirúrgico Dreno Cirúrgico, Modelo:Tubular, Material:Silicone, Calibre:18 FRENCH, Componente:Introdutor Em Aço Inoxidável, Componente Adicional:C/ Reservatório Graduado - Pressão Negativa, Volume:Cerca De 500 ML, Conector Universal:C/ Conector Duplo, Comp</t>
  </si>
  <si>
    <t>Garrote Garrote, Material*:Faixa Elástica, Componente Adicional:C/ Sistema De Trava Em Plástico, Tamanho:Tamanho Adulto, Tipo Uso:Reutilizável GARROTE, MATERIAL :FAIXA ELÁSTICA, COMPONENTE ADICIONAL:C/ SISTEMA DE TRAVA EM PLÁSTICO, TAMANHO: TAMANHO ADULTO, TIP</t>
  </si>
  <si>
    <t>Luva Cirúrgica Luva Cirúrgica, Material:Borracha Sintética, Superfície:Superfície Texturizada, Formato:Anatômico, Pó:Sem Pó, Cor:C/ Cor, Tamanho:Nº 7,5, Apresentação:Em Par, Esterilidade:Estéril, Uso Único, Embalagem:Embalagem Individual LUVA CIRÚRGICA, MATERI</t>
  </si>
  <si>
    <t>Luva Cirúrgica Luva Cirúrgica, Material:Borracha Sintética, Superfície:Superfície Texturizada, Formato:Anatômico, Pó:Sem Pó, Cor:C/ Cor, Tamanho:Nº 8,0, Apresentação:Em Par, Esterilidade:Estéril, Uso Único, Embalagem:Embalagem Individual LUVA CIRÚRGICA, MATERI</t>
  </si>
  <si>
    <t>Luva Cirúrgica Luva Cirúrgica, Material:Borracha Sintética, Superfície:Superfície Texturizada, Formato:Anatômico, Pó:Sem Pó, Cor:C/ Cor, Tamanho:Nº 7,0, Apresentação:Em Par, Esterilidade:Estéril, Uso Único, Embalagem:Embalagem Individual LUVA CIRÚRGICA, MATERI</t>
  </si>
  <si>
    <t>Seringa Seringa, Material:Polipropileno, Capacidade:1 ML, Tipo Bico:Bico Central Luer Lock Ou Slip, Tipo Vedação:Êmbolo De Borracha, Adicional:Graduada (Escala Ui), Numerada, Esterilidade:Estéril, Descartável, Apresentação:Embalagem Individual SERINGA,MATERIAL</t>
  </si>
  <si>
    <t>Fralda Descartável tipo fixação: tiras ajustáveis e reposicionáveis, tamanho: infantil extra grande xg, material: tela polímerica e núcleo absorvente, revestimento externo: impermeável, característica adicional: barreira antivazamento</t>
  </si>
  <si>
    <t>Fralda Descartável tipo fixação: tiras ajustáveis e reposicionáveis, tamanho: infantil grande, material: tela polímerica e núcleo absorvente, revestimento externo: impermeável, característica adicional: p/ fluxo intenso / noturno, barreira antivazamento</t>
  </si>
  <si>
    <t>Fralda Descartável tipo fixação: tiras ajustáveis e reposicionáveis, tamanho: infantil médio, material: tela polímerica e núcleo absorvente, revestimento externo: impermeável, característica adicional: barreira antivazamento</t>
  </si>
  <si>
    <t>Fralda Descartável tipo fixação: tiras ajustáveis e reposicionáveis, tamanho: infantil pequeno, material: tela polímerica e núcleo absorvente, revestimento externo: impermeável, característica adicional: p/ fluxo intenso / noturno, barreira antivazamento</t>
  </si>
  <si>
    <t>Lâmina Bisturi material: aço inoxidável, tamanho: nº 23, tipo: descartável, esterilidade: estéril, características adicionais: embalada individualmente</t>
  </si>
  <si>
    <t>Sonda Trato Urinário modelo: uretral, material: silicone, calibre: 8, conector: conector padrão c/ tampa, comprimento: cerca 20, tipo ponta: ponta distal cilíndrica fechada, componentes: c/ orifícios laterais, esterilidade: estéril, descartável, embalagem: emb</t>
  </si>
  <si>
    <t>Espéculo Uso Médico aplicação: vaginal, modelo: collin, tamanho: grande, adicional 1: c/ lubrificante, travamento: c/ trava tipo rosca, material: polímero, esterilidade: estéril, uso único, embalagem: embalagem individual</t>
  </si>
  <si>
    <t>Espéculo Uso Médico aplicação: vaginal, modelo: collin, tamanho: médio, adicional 1: c/ lubrificante, travamento: c/ trava tipo rosca, material: polímero, esterilidade: estéril, uso único, embalagem: embalagem individual</t>
  </si>
  <si>
    <t>Espéculo Uso Médico aplicação: vaginal, modelo: collin, tamanho: pequeno, adicional 1: c/ lubrificante, travamento: c/ trava tipo rosca, material: polímero, esterilidade: estéril, uso único, embalagem: embalagem individual</t>
  </si>
  <si>
    <t>Campo Cirúrgico Descartável material: não tecido 100% polipropileno - tipo sms, propriedade: hidrorepelente, reforço: s/ reforço, dimensões: cerca de 60 x 60, cor: c/ cor, esterilidade: estéril</t>
  </si>
  <si>
    <t>SERINGA DE INSULINA DE 1ML COM AGULHA 13X0,45MM. ARESENTAR REGISTRO DO PRODUTO NA ANVISA</t>
  </si>
  <si>
    <t>ESPARADRAPO, 100 MM, 4,50 M, IMPERMEÁVEL 1 FACE, MASSA ADESIVA ZNO, RESISTENTE, BRANCA, TECIDO DE ALGODÃO</t>
  </si>
  <si>
    <t>FITA ADESICA HOSPITALAR, MICROPOROSA, NÃO TECIDO DE VISCOSE RAYON, BRANCA, 100MM, 4,5M. C/ADESIVO ACRÍLICO HIPO-ALERGÊNICO</t>
  </si>
  <si>
    <t>AGULHA, HIPODÉRMICA, 40 X 12, CORPO EM AÇO INÓX SILICONIZADO, BISEL CURTO TRIFACETADO, CONECTOR EM PLÁSTICO LUER, PROTETOR PLÁSTICO, ESTÉRIL, DESCARTÁVEL, EMBALAGEM INDIVIDUAL</t>
  </si>
  <si>
    <t>AGULHA, HIPODÉRMICA, 25 X 6, CORPO EM AÇO INÓX SILICONIZADO, BISEL CURTO TRIFACETADO, CONECTOR EM PLÁSTICO LUER, PROTETOR PLÁSTICO, ESTÉRIL, DESCARTÁVEL, EMBALAGEM INDIVIDUAL</t>
  </si>
  <si>
    <t>AGULHA, HIPODÉRMICA, 25 X 7, CORPO EM AÇO INÓX SILICONIZADO, BISEL CURTO TRIFACETADO, CONECTOR EM PLÁSTICO LUER, PROTETOR PLÁSTICO, ESTÉRIL, DESCARTÁVEL, EMBALAGEM INDIVIDUAL</t>
  </si>
  <si>
    <t>AGULHA, HIPODÉRMICA, 25 X 8, CORPO EM AÇO INÓX SILICONIZADO, BISEL CURTO TRIFACETADO, CONECTOR EM PLÁSTICO LUER, PROTETOR PLÁSTICO, ESTÉRIL, DESCARTÁVEL, EMBALAGEM INDIVIDUAL</t>
  </si>
  <si>
    <t>SERINGA, POLIPROPILENO TRANSPARENTE, 10 ML, BICO LUER LOCK, ÊMBOLO C/ PONTEIRA DE BORRACHA SILICONIZADA, GRADUADA DE 0,2 EM 0,2 ML, NUMERADA DE 1 EM 1 ML, SEM AGULHA, DESCARTÁVEL, ESTÉRIL, GRADUAÇÃO LEGÍVEL E FIRME</t>
  </si>
  <si>
    <t>SERINGA, POLIPROPILENO TRANSPARENTE, 20 ML, BICO LUER SLIP, ÊMBOLO C/ PONTEIRA DE BORRACHA SILICONIZADA, GRADUADA DE 1 EM 1 ML, NUMERADA DE 5 EM 5 ML, SEM AGULHA, DESCARTÁVEL, ESTÉRIL, GRADUAÇÃO LEGÍVEL E FIRME</t>
  </si>
  <si>
    <t>SERINGA, POLIPROPILENO TRANSPARENTE, 3 ML, BICO LUER LOCK, ÊMBOLO C/ PONTEIRA DE BORRACHA SILICONIZADA, GRADUADA DE 0,1 EM 0,1 ML, NUMERADA DE 0,5 EM 0,5 ML, SEM AGULHA, DESCARTÁVEL, ESTÉRIL, GRADUAÇÃO LEGÍVEL E FIRME</t>
  </si>
  <si>
    <t>SERINGA, POLIPROPILENO TRANSPARENTE, 5 ML, BICO LUER LOCK, ÊMBOLO C/ PONTEIRA DE BORRACHA SILICONIZADA, GRADUADA DE 0,2 EM 0,2 ML, NUMERADA DE 1 EM 1 ML, SEM AGULHA, DESCARTÁVEL, ESTÉRIL, GRADUAÇÃO LEGÍVEL E FIRME</t>
  </si>
  <si>
    <t>SERINGA POLIPROPILENO 1ML, BICO CENTRAL LUER LOCK OU SLIP, ÊMBOLO DE BORRACHA, GRADUADA (ESCALA ML), NUMERADA, ESTÉRIL, DESCARTÁVEL, EMBALAGEM INDIVIDUAL.</t>
  </si>
  <si>
    <t>LOTE I - BOLSA COLETORA DE URINA SISTEMA ABERTO – FRASCO EM PE TIPO GARRAFA, DE 1200ML</t>
  </si>
  <si>
    <t>LOTE I - BOLSA COLETORA DE URINA SISTEMA FECHADO 2000ML</t>
  </si>
  <si>
    <t>LOTE I - CATETER INTRAVENOSO 14G</t>
  </si>
  <si>
    <t>LOTE I - CATETER INTRAVENOSO 18G</t>
  </si>
  <si>
    <t>LOTE I - CATETER INTRAVENOSO 20G</t>
  </si>
  <si>
    <t>LOTE I - CATETER INTRAVENOSO 22G</t>
  </si>
  <si>
    <t>LOTE I - CATETER INTRAVENOSO 24G</t>
  </si>
  <si>
    <t>LOTE I - CLAMP UMBILICAL</t>
  </si>
  <si>
    <t>LOTE I - COMADRE HOSPITALAR INOX</t>
  </si>
  <si>
    <t>LOTE I - COMPRESSA DE GAZE ESTÉRIL 7,5X7,5 13 FIOS PACOTE COM 10 UNIDADES</t>
  </si>
  <si>
    <t>LOTE I - EQUIPO MACROGOTAS COM INJETOR LATERAL COMPLETO</t>
  </si>
  <si>
    <t>LOTE I - EQUIPO MICROGOTAS</t>
  </si>
  <si>
    <t>LOTE I - EQUIPO PARA BOMBA DE INFUSÃO</t>
  </si>
  <si>
    <t>LOTE I - ESPARADRAPO IMPERMEÁVEL 10CMx4,5M – (100% ALGODÃO, BASE DE ÓXIDO DE ZINCO, RESINAS E BORRACHA NATURAL)</t>
  </si>
  <si>
    <t>LOTE I - ESPÁTULA DE AYRES C/100 UND</t>
  </si>
  <si>
    <t>LOTE I - FITA AUTOCLAVE 19X30</t>
  </si>
  <si>
    <t>LOTE I - FITA MICROPORE 10CMX10M - (EXTRA FINA, HIPOALERGÊNICA E MICROPOROSA)</t>
  </si>
  <si>
    <t>LOTE I - FITA MICROPORE 5CMX10M – (EXTRA FINA, HIPOALERGÊNICA E MICROPOROSA)</t>
  </si>
  <si>
    <t>LOTE I - LÂMINA BISTURI N°11 C/100 UND</t>
  </si>
  <si>
    <t>LOTE I - LÂMINA BISTURI N°15 C/100UND</t>
  </si>
  <si>
    <t>LOTE I - LÂMINA BISTURI N°24 C/100 UND</t>
  </si>
  <si>
    <t>LOTE I - LANCETA 28G C/100 UNID</t>
  </si>
  <si>
    <t>LOTE I - LENÇOL DESCARTÁVEL C/ ELÁSTICO C/10 UND</t>
  </si>
  <si>
    <t>LOTE I - LENÇOL DESCARTÁVEL DE MACA - 50CMX50M</t>
  </si>
  <si>
    <t>LOTE I - LENÇOL DESCARTÁVEL DE MACA - 70CMX50M</t>
  </si>
  <si>
    <t>LOTE I - LUVA DE PROCEDIMENTO TAMANHO G EM LATEX CAIXA C/100 UND</t>
  </si>
  <si>
    <t>LOTE I - LUVA DE PROCEDIMENTO TAMANHO M EM LATEX CAIXA C/100 UND</t>
  </si>
  <si>
    <t>LOTE I - LUVA DE PROCEDIMENTO TAMANHO P EM LATEX CAIXA C/100 UND</t>
  </si>
  <si>
    <t>LOTE I - LUVA DE PROCEDIMENTO TAMANHO PP EM LATEX CAIXA C/100 UND</t>
  </si>
  <si>
    <t>LOTE I - MÁSCARA DE OXIGÊNIO DE ALTA CONCENTRAÇÃO COM RESERVATÓRIO (ADULTO OU INFANTIL)</t>
  </si>
  <si>
    <t>LOTE I - MÁSCARA PARA NEBULIZAÇÃO COM COPO NEBULIZADOR (INFANTIL OU ADULTO)</t>
  </si>
  <si>
    <t>LOTE I - PAPAGAIO HOSPITALAR INOX</t>
  </si>
  <si>
    <t>LOTE I - PAPEL GRAU CIRÚRGICO 100X100</t>
  </si>
  <si>
    <t>LOTE I - PAPEL GRAU CIRÚRGICO 150X100</t>
  </si>
  <si>
    <t>LOTE I - PAPEL GRAU CIRÚRGICO 200X100</t>
  </si>
  <si>
    <t>LOTE I - PAPEL GRAU CIRÚRGICO 250X100</t>
  </si>
  <si>
    <t>LOTE I - PAPEL GRAU CIRÚRGICO 300X100</t>
  </si>
  <si>
    <t>LOTE I - SERINGA 10ML S/ AGULHA</t>
  </si>
  <si>
    <t>LOTE I - SERINGA 1ML C/AGULHA 13X4,5</t>
  </si>
  <si>
    <t>LOTE I - SERINGA 20ML S/ AGULHA</t>
  </si>
  <si>
    <t>LOTE I - SERINGA 3ML S/ AGULHA</t>
  </si>
  <si>
    <t>LOTE I - SERINGA 5ML C/AGULHA 25X7</t>
  </si>
  <si>
    <t>LOTE I - SONDA FOLEY N° 20 2 VIAS</t>
  </si>
  <si>
    <t>LOTE I - SONDA FOLEY N°10 2 VIAS</t>
  </si>
  <si>
    <t>LOTE I - SONDA FOLEY N°12 2 VIAS</t>
  </si>
  <si>
    <t>LOTE I - SONDA FOLEY N°14 2 VIAS</t>
  </si>
  <si>
    <t>LOTE I - SONDA FOLEY N°16 2 VIAS</t>
  </si>
  <si>
    <t>LOTE I - SONDA FOLEY N°18 2 VIAS</t>
  </si>
  <si>
    <t>LOTE I - SONDA NASOENTERICA N°12</t>
  </si>
  <si>
    <t>LOTE I - SONDA NASOENTERICA N°14</t>
  </si>
  <si>
    <t>LOTE I - SONDA NASOENTERICA N°16</t>
  </si>
  <si>
    <t>LOTE I - SONDA NASOGÁSTRICA CURTA N°16</t>
  </si>
  <si>
    <t>LOTE I - SONDA NASOGÁSTRICA CURTA N°18</t>
  </si>
  <si>
    <t>LOTE I - SONDA NASOGÁSTRICA CURTA N°6</t>
  </si>
  <si>
    <t>LOTE I - SONDA NASOGÁSTRICA CURTA N°8</t>
  </si>
  <si>
    <t>LOTE I - SONDA NASOGÁSTRICA LONGA N°12</t>
  </si>
  <si>
    <t>LOTE I - SONDA NASOGÁSTRICA LONGA N°16</t>
  </si>
  <si>
    <t>LOTE I - SONDA NASOGÁSTRICA LONGA N°18</t>
  </si>
  <si>
    <t>LOTE I - SONDA URETRAL N°10</t>
  </si>
  <si>
    <t>LOTE I - SONDA URETRAL N°12</t>
  </si>
  <si>
    <t>LOTE I - SONDA URETRAL N°16</t>
  </si>
  <si>
    <t>LOTE I - SONDA URETRAL N°6</t>
  </si>
  <si>
    <t>LOTE I - SONDA URETRAL N°8</t>
  </si>
  <si>
    <t>LOTE I - TOUCA DESCARTÁVEL C/100 UND</t>
  </si>
  <si>
    <t>LOTE I - UMIDIFICADOR PLASTICO 250ML</t>
  </si>
  <si>
    <t>Cabo formato: bipolar, comprimento: comprimento mínimo 3,0, compatibilidade 1: compatível com bisturi eletrônico</t>
  </si>
  <si>
    <t>Cabo Bisturi material: aço inoxidável, tamanho: nº 4, aplicação: cirurgia</t>
  </si>
  <si>
    <t>Circuito Respiratório material: silicone, modelo: c/ 5 traqueias, diâmetro traqueia: cerca de 22, comprimento traqueia: cerca de 60, 60, 60, 60, 40, conector: c/ conector "y", dreno coletor de água: c/ 2 drenos, linha adicional: c/ linha proximal, esterilidade</t>
  </si>
  <si>
    <t>COLETOR DE MATERIAL PERFUROCORTANTE 13LTS</t>
  </si>
  <si>
    <t>COLETOR DE MATERIAL PERFUROCORTANTE 7LTS</t>
  </si>
  <si>
    <t>COLETOR DE URINA SIST FECHADO 2000ML</t>
  </si>
  <si>
    <t>COMPRESSA DE GAZE ESTERIO 7,5 X 7,5 C/ 30 X 10 UNIDADES</t>
  </si>
  <si>
    <t>EQUIPO P/SORO MACROGOTAS C/ 25</t>
  </si>
  <si>
    <t>ESPARADRAPO IMP.10 X 4,5 CM G</t>
  </si>
  <si>
    <t>ESPARADRAPO MICROPORE 2,5 X 4,5 CM</t>
  </si>
  <si>
    <t>ESPÁTULA DE AYRES PCT C/100UND</t>
  </si>
  <si>
    <t>ESPECULO VAGINAL DESCARTÁVEL TAM: M</t>
  </si>
  <si>
    <t>ESPECULO VAGINAL DESCARTÁVEL TAM: P</t>
  </si>
  <si>
    <t>FITA P/AUTOCLAVE 19X30MN</t>
  </si>
  <si>
    <t>LÂMINA DE BISTURI Nº24 C/100UNID</t>
  </si>
  <si>
    <t>LANCETAS P/AP GLICEMIA CX C/100</t>
  </si>
  <si>
    <t>LENCOL PAPEL HOSPITAL BRANCO 70X50</t>
  </si>
  <si>
    <t>SERINGA DESC. 1ML C/AG. P/INSULINA</t>
  </si>
  <si>
    <t>SERINGA DESC. 3ML C/AG</t>
  </si>
  <si>
    <t>SERINGA DESC. 5ML C/AG</t>
  </si>
  <si>
    <t>SERINGA DESC. 10ML C/AG</t>
  </si>
  <si>
    <t>SERINGA DESC. 20ML C/AG</t>
  </si>
  <si>
    <t>SONDA URETRAL Nº08</t>
  </si>
  <si>
    <t>SONDA URETRAL Nº10</t>
  </si>
  <si>
    <t>TOUCA DESC PCT C/100UND</t>
  </si>
  <si>
    <t>UMIDIFICADOR USO DE OXIGÊNIO MEDICINAL 250 ML PLÁSTICO</t>
  </si>
  <si>
    <t>CATETER NASAL TIPO ÓCULOS</t>
  </si>
  <si>
    <t>RX BACIA</t>
  </si>
  <si>
    <t>TC BACIA</t>
  </si>
  <si>
    <t>Sonda Trato Digestivo aplicação: nasoenteral, material: poliuretano, calibre: nº 6, comprimento: cerca 60, conector: conector em y c/ tampa, graduação: graduada, componentes: ponta distal fechada, c/ orifícios laterais, outros componentes: c/ fio guia, peso me</t>
  </si>
  <si>
    <t>Fio De Sutura Agulhado material fio: nylon / poliamida incolor, modelo fio: monofilamentar, diâmetro fio: 2-0, comprimento fio: cerca de 70, tipo agulha: agulha 3/8 círculo, modelo agulha: cilíndrica, comprimento agulha: cerca de 30, esterilidade: estéril, apr</t>
  </si>
  <si>
    <t>Fio De Sutura Agulhado material fio: nylon / poliamida preto, modelo fio: monofilamentar, diâmetro fio: 3-0, comprimento fio: cerca de 45, tipo agulha: agulha 3/8 círculo, modelo agulha: cilíndrica, comprimento agulha: cerca de 30, esterilidade: estéril, apres</t>
  </si>
  <si>
    <t>Fio De Sutura Agulhado material fio: nylon / poliamida preto, modelo fio: monofilamentar, diâmetro fio: 4-0, comprimento fio: cerca de 70, tipo agulha: agulha 1/2 círculo, modelo agulha: cilíndrica, comprimento agulha: cerca de 20, esterilidade: estéril, apres</t>
  </si>
  <si>
    <t>Fio De Sutura Agulhado material fio: nylon / poliamida preto, modelo fio: monofilamentar, diâmetro fio: 4-0, comprimento fio: cerca de 45, tipo agulha: agulha 3/8 círculo, modelo agulha: cortante reversa / invertida, comprimento agulha: cerca de 30, esterilida</t>
  </si>
  <si>
    <t>Fio De Sutura Agulhado material fio: nylon / poliamida preto, modelo fio: monofilamentar, diâmetro fio: 5-0, comprimento fio: cerca de 45, tipo agulha: agulha 3/8 círculo, modelo agulha: cortante reversa / invertida, comprimento agulha: cerca de 30, esterilida</t>
  </si>
  <si>
    <t>Fio De Sutura Agulhado material fio: nylon / poliamida preto, modelo fio: monofilamentar, diâmetro fio: 6-0, comprimento fio: cerca de 45, tipo agulha: agulha 1/2 círculo, modelo agulha: cortante reversa / invertida, comprimento agulha: cerca de 18, esterilida</t>
  </si>
  <si>
    <t>Fio De Sutura S/ Agulha material: catgut cromado, modelo: multifilamentar, diâmetro: 0 / 1-0, comprimento: cerca de 150, esterilidade: estéril, apresentação: embalagem individual</t>
  </si>
  <si>
    <t>Fio De Sutura S/ Agulha material: catgut cromado, modelo: multifilamentar, diâmetro: nº 1, comprimento: cerca de 150, esterilidade: estéril, apresentação: embalagem individual</t>
  </si>
  <si>
    <t>Fio De Sutura S/ Agulha material: catgut cromado, modelo: multifilamentar, diâmetro: 2-0, comprimento: cerca de 150, esterilidade: estéril, apresentação: embalagem individual</t>
  </si>
  <si>
    <t>Fio De Sutura S/ Agulha material: catgut simples, modelo: multifilamentar, diâmetro: 0 / 1-0, comprimento: cerca de 150, esterilidade: estéril, apresentação: embalagem individual</t>
  </si>
  <si>
    <t>Fio De Sutura S/ Agulha material: catgut simples, modelo: multifilamentar, diâmetro: 2-0, comprimento: cerca de 250, esterilidade: estéril, apresentação: embalagem individual</t>
  </si>
  <si>
    <t>Fio De Sutura S/ Agulha material: catgut simples, modelo: multifilamentar, diâmetro: 3-0, comprimento: cerca de 150, esterilidade: estéril, apresentação: embalagem individual</t>
  </si>
  <si>
    <t>Fio De Sutura S/ Agulha material: poliglactina violeta, modelo: multifilamentar, diâmetro: 0 / 1-0, comprimento: cerca de 150, esterilidade: estéril, apresentação: embalagem individual</t>
  </si>
  <si>
    <t>Fio De Sutura S/ Agulha material: poliglactina violeta, modelo: multifilamentar, diâmetro: nº 1, comprimento: cerca de 150, esterilidade: estéril, apresentação: embalagem individual</t>
  </si>
  <si>
    <t>Fio De Sutura S/ Agulha material: poliglactina violeta, modelo: multifilamentar, diâmetro: 2-0, comprimento: cerca de 150, esterilidade: estéril, apresentação: embalagem individual</t>
  </si>
  <si>
    <t>Fio De Sutura Agulhado material fio: poliglecaprone incolor, modelo fio: monofilamentar, diâmetro fio: 3-0, comprimento fio: cerca de 45, tipo agulha: agulha 3/8 círculo, modelo agulha: cortante, comprimento agulha: cerca de 20, esterilidade: estéril, apresent</t>
  </si>
  <si>
    <t>Fio De Sutura Agulhado material fio: poliéster c/ algodão azul, modelo fio: multifilamentar, diâmetro fio: 2-0, comprimento fio: 3 x cerca de 45, tipo agulha: agulha 1/2 círculo, modelo agulha: cilíndrica, comprimento agulha: cerca de 26, esterilidade: estéril</t>
  </si>
  <si>
    <t>fio de sutura de nylon monofilamento (cuticular), nr 2-0, com agulha de 30 mm estriada, 3/8 círculo triangular cortante, envelope com 1 fio de 45CM A 75 cm de comprimento, estéril, com tamanho de agulha desenhado em tamanho real e símbolo do tipo de agulha imp</t>
  </si>
  <si>
    <t>fio de sutura de nylon monofilamento (cuticular), nr 3-0, com agulha de 20 mm estriada, 3/8 círculo triangular cortante, envelope com 1 fio de 45CM A 75 cm de comprimento, estéril, com tamanho de agulha desenhado em tamanho real e símbolo do tipo de agulha imp</t>
  </si>
  <si>
    <t>fio de sutura de nylon monofilamento (cuticular), nr 3-0, com agulha de 30 mm estriada, 3/8 círculo triangular cortante, envelope com 1 fio de 45CM A 75 cm de comprimento, estéril, com tamanho de agulha desenhado em tamanho real e símbolo do tipo de agulha imp</t>
  </si>
  <si>
    <t>fio de sutura de nylon monofilamento (cuticular) nr 5-0, com agulha de 20 mm estriada, 3/8 círculo triangular cortante, envelope com 1 fio de 45CM A 75 cm de comprimento, estéril, com tamanho de agulha desenhado em tamanho real e símbolo do tipo de agulha impr</t>
  </si>
  <si>
    <t>fio de sutura de nylon monofilamento (cuticular) nr 5-0, com agulha de 30 mm estriada, 3/8 círculo triangular cortante, envelope com 1 fio de 45CM A 75 cm de comprimento, estéril, com tamanho de agulha desenhado em tamanho real e símbolo do tipo de agulha impr</t>
  </si>
  <si>
    <t>fio de sutura de nylon monofilamento (cuticular), nr 6-0, com agulha de 20 mm estriada, 3/8 círculao triangular cortante, envelope com 1 fio de 45CM A 75 cm de comprimento, estéril, com agulha impresso no envelope interno, embalagem interna cartonado e externa</t>
  </si>
  <si>
    <t>fio sutura, absorvível, sintético, multifilamento, transada, violeta, associação de ácido lático e ácido glicólico, nr 1-0 com agulha robusta de 1/2 circulo, cilíndrica de 40 mm, estriada, envelope com 1 fio de 45CM A 75 cm de comprimento, estéril, com tamanho</t>
  </si>
  <si>
    <t>FIO DE SUTURA, ABSORVÍVEL, SINTÉTICO, MULTIFILAMENTO, TRANÇADA, POLIGLACTINA, (VICRYL) VIOLETA, ASSOCIAÇÃO DE ÁCIDO LÁTICO E ÁCIDO GLICÓLICO, NR. 2-0, COM AGULHA ROBUSTA DE 1/2 CIRCULO, CILÍNDRICA DE 40 MM, ESTRIADA, ENVELOPE COM 1 DE 45CM A 75 CM DE COMPRIMEN</t>
  </si>
  <si>
    <t>fio de sutura CIRURGICO ESTERIL E absorvível, sintético, multifilamento, POLIGLECAPRONA 25 (MONOCRYL) - INCOLOR- nr. 3-0, com agulha robusta de 1/2 circulo, cilíndrica de 30 mm OU 3,1CM, envelope com 1 de 45CM A 75 cm de comprimento, estéril, com tamanho da ag</t>
  </si>
  <si>
    <t xml:space="preserve">Agulha Odontológica material: aço inoxidável siliconizado, aplicação: gengival / anestesia, dimensão: 27 g longa, tipo ponta*: com bisel trifacetado, tipo conexão: conector p/ seringa carpule, tipo uso: estéril, descartável, apresentação: c/ protetor plástico </t>
  </si>
  <si>
    <t>Agulha Odontológica material: aço inoxidável siliconizado, aplicação: gengival / anestesia, dimensão: 30 g extra curta, tipo ponta*: com bisel trifacetado, tipo conexão: conector p/ seringa carpule, tipo uso: estéril, descartável, apresentação: c/ protetor plá</t>
  </si>
  <si>
    <t>Lâmina Bisturi características adicionais: p/ cabo redondo, esterilidade: estéril, material: aço inoxidável, tamanho: mini ponta aguda, tipo: descartável</t>
  </si>
  <si>
    <t>Lâmina Bisturi características adicionais: embalada individualmente, esterilidade: estéril, material: aço inoxidável, tamanho: nº 15, tipo: descartável</t>
  </si>
  <si>
    <t>Luva Cirúrgica apresentação: em par, cor: c/ cor, embalagem: embalagem individual, esterilidade: estéril, uso único, formato: anatômico, material: borracha natural - látex, pó: sem pó, superfície: superfície texturizada, tamanho: nº 6,5</t>
  </si>
  <si>
    <t xml:space="preserve">Luva P/ Procedimento De Saúde Não Cirúrgico C/ Anvisa material: borracha natural - látex, superfície: superfície lisa, formato: ambidestra, pó: com pó bioabsorvível, cor: c/ cor, tamanho: extra pequeno - pp, esterilidade: estéril, uso único, embalagem: par em </t>
  </si>
  <si>
    <t>Touca Hospitalar material*: não tecido 100% polipropileno, modelo: com elástico em toda volta, cor*: sem cor, gramatura*: cerca de 20, tamanho*: único, tipo uso*: descartável, característica adicional 01: hipoalergênica, atóxica, inodora, unissex</t>
  </si>
  <si>
    <t>Fio De Sutura Agulhado material fio: nylon / poliamida incolor, modelo fio: monofilamentar, diâmetro fio: 4-0, comprimento fio: cerca de 45, tipo agulha: agulha 3/8 círculo, modelo agulha: cortante reversa / invertida, comprimento agulha: cerca de 20, esterili</t>
  </si>
  <si>
    <t>AGULHA HIPODÉRMICA DESCARTÁVEL 20 mm X 0,55 (24G x 3/4") - Estéril, de uso único, nas dimensões 0,55 mm x 20 mm (24G x 3/4"), confeccionada em aço inoxidável de alta qualidade, com cânula siliconizada, parede fina, bisel trifacetado e afiado; Canhão confeccion</t>
  </si>
  <si>
    <t>AGULHA HIPODÉRMICA DESCARTÁVEL 25X0,6 23G Estéril, confeccionada em material aço inoxidável, tipo ponta biseltrifacetado, siliconizada, canhão com código de cores padrão universal, com tipo de conector conexão luer look ou slip embalada individualmente, tipo f</t>
  </si>
  <si>
    <t>AGULHA HIPODÉRMICA DESCARTÁVEL 25X0,7 22G X 1 Estéril, confeccionada em material aço inoxidável, tipo ponta biseltrifacetado, siliconizada, canhão com código de cores padrão universal, com tipo de conector conexão luer look ou slip embalada individualmente, ti</t>
  </si>
  <si>
    <t>AGULHA HIPODÉRMICA DESCARTÁVEL 25X0,8 21G X 1 Estéril, confeccionada em aço inoxidável, com biseltrifacetado, siliconizada, canhão com código de cores padrão universal, com tipo de conector conexão luer look ou slip embalada individualmente. Embalagem com dado</t>
  </si>
  <si>
    <t xml:space="preserve">AGULHA HIPODÉRMICA DESCARTÁVEL 30X0,7 22G X 1 1/4 Estéril, confeccionada em aço inoxidável, com biseltrifacetado, siliconizada, canhão com código de cores padrão universal, com tipo de conector conexão luer look ou slip embalada individualmente. Embalagem com </t>
  </si>
  <si>
    <t xml:space="preserve">AGULHA HIPODÉRMICA DESCARTÁVEL 30X0,8 21G X 1 1/4 Estéril, confeccionada em aço inoxidável, com biseltrifacetado, siliconizada, canhão com código de cores padrão universal, com tipo de conector conexão luer look ou slip embalada individualmente. Embalagem com </t>
  </si>
  <si>
    <t>AGULHA HIPODÉRMICA DESCARTÁVEL 30X13 30G X 1/2 Estéril, confeccionada em material aço inoxidável, tipo ponta biseltrifacetado, siliconizada, canhão com código de cores padrão universal, com tipo de conector conexão luer look ou slip embalada individualmente, t</t>
  </si>
  <si>
    <t>AGULHA HIPODÉRMICA DESCARTÁVEL 40X12 18G X 1 1/2 Estéril, confeccionada em material aço inoxidável, tipo ponta biseltrifacetado, siliconizada, canhão com código de cores padrão universal, com tipo de conector conexão luer look ou slip embalada individualmente,</t>
  </si>
  <si>
    <t>Cabo de bisturi n º 4</t>
  </si>
  <si>
    <t>Cabo de bisturi n º3</t>
  </si>
  <si>
    <t xml:space="preserve">Cateter Nasal Tipo Óculos - Dispositivo destinado à administração de oxigênio por via nasal, tipo óculos, confeccionado em PVC atóxico ou material compatível, transparente, flexível, macio e resistente, proporcionando conforto ao paciente. Possui duas cânulas </t>
  </si>
  <si>
    <t>CONJUNTO PARA NEBULIZAÇÃO ADULTO, PARA APARELHO DE INALAÇÃO, COR VERDE: conjunto destinado ao uso em aparelho de inalação/nebulização, composto por máscara facial tamanho adulto, copo/recipiente para acondicionamento do medicamento e tubo/extensão para conexão</t>
  </si>
  <si>
    <t>CONJUNTO PARA NEBULIZAÇÃO INFANTIL, PARA APARELHO DE INALAÇÃO, COR VERDE: conjunto destinado ao uso em aparelho de inalação/nebulização, composto por máscara facial tamanho infantil, copo/recipiente para acondicionamento do medicamento e tubo/extensão para con</t>
  </si>
  <si>
    <t>COLETOR DE URINA SISTEMA ABERTO TIPO GARRAFA. Frasco coletor de urina em PVC translúcido escala graduada; Não estéril e atóxico. Características: conector para sonda uretro-vesicais; Pinça Corta fluxo; Tubo extensor; Cordel para sustentação ao leito e deambula</t>
  </si>
  <si>
    <t xml:space="preserve">COLETOR DE URINA SISTEMA FECHADO 2.000ML Fabricado em PVC pneumático especial atóxico, Bolsa para coleta de diurese, graduada aproximadamente até 2.000ml, transparente na parte da frente e opaca no verso, para melhor visualização do aspecto da diurese; Possui </t>
  </si>
  <si>
    <t>COLETOR DE URINA TIPO COMADRE. Cor: Branca; Material: Plástico; Tamanho adulto padrão mundial, Tipo: tipo pá, característica adicional: com cabo. Capacidade: 2 litros de urina. Embalagem individual com dados de identificação, procedência, data de fabricação, p</t>
  </si>
  <si>
    <t>COLETOR DE URINA TIPO PAPAGAIO. Cor: plástico translúcido; Material: plástico; Dimensões: 24x13cm; Possui tampa para evitar odores no ambiente; Não graduado; Capacidade: 1 litro de urina.</t>
  </si>
  <si>
    <t>Coletor de Urina Unissex Estéril 100 mL Embalagem com 10 Unidades Coletor para urina, estéril, descartável, de uso único, capacidade de 100 mL, destinado à coleta, armazenamento e transporte de amostras biológicas de urina. Confeccionado em polietileno (PE) ou</t>
  </si>
  <si>
    <t>ELETRODO DESCARTÁVEL (ECG). Para aplicação de monitorização cardíaca. Modelo: de Superfície, Tipo: Adesivo, Material Sensor: Prata/Prata Clorada, Adicional 1:C/ Gel Condutor, Esterilidade: Uso Único. Fabricado em Espuma/Gel Sólido. Maior Condutividade. Curta e</t>
  </si>
  <si>
    <t>EQUIPO MACROGOTAS FOTOSENSÍVEL. Tipo de equipo:de infusão, material:pvc cristal, comprimento:mín. 150 cm, tipo câmara:câmara flexível c/filtro ar, tipo bureta:bureta rígida c/alça, c/injetor, volume bureta:mín.150 ml, tipo gotejador:gota padrão, tipo pinça:reg</t>
  </si>
  <si>
    <t>EQUIPO MACROGOTAS. Tipo de equipo:de infusão, material:pvc cristal, comprimento:mín. 120 cm, tipo câmara:câmara flexível c/filtro ar, tipo bureta:bureta rígida c/alça, c/injetor, volume bureta:mín.150 ml, tipo gotejador:gota padrão, tipo pinça:regulador de flu</t>
  </si>
  <si>
    <t>ESPARADRAPO IMPERMEÁVEL 10 cm x 4,5m Esparadrapo impermeável, na cor branca, em tecido apropriado 100% algodão com resina acrílica, massa adesiva a base de óxido de zinco e borracha natural e resina, fácil de rasgar e excelente flexibilidade. Embalagem com cap</t>
  </si>
  <si>
    <t>ESPARADRAPO IMPERMEÁVEL 2,5 cm x 4,5m Esparadrapo impermeável, na cor branca, em tecido apropriado 100% algodão com resina acrílica, massa adesiva a base de óxido de zinco e borracha natural e resina, fácil de rasgar e excelente flexibilidade. Embalagem com ca</t>
  </si>
  <si>
    <t>ESPÉCULO DESCARTÁVEL ESTERILIZADO GRANDE. Material: polietileno, tipo: vaginal, tamanho: grande, características adicionais: estéril, descartável, sem lubrificação. Embalagem com dados de identificação, procedência, data de fabricação, prazo de validade, e Reg</t>
  </si>
  <si>
    <t>ESPÉCULO DESCARTÁVEL ESTERILIZADO MÉDIO. Material: polietileno, tipo: vaginal, tamanho: médio, características adicionais: estéril, descartável, sem lubrificação. Embalagem com dados de identificação, procedência, data de fabricação, prazo de validade, e Regis</t>
  </si>
  <si>
    <t>ESPÉCULO DESCARTÁVEL ESTERILIZADO PEQUENO. Material: polietileno, tipo: vaginal, tamanho: pequeno, características adicionais: estéril, descartável, sem lubrificação. Embalagem com dados de identificação, procedência, data de fabricação, prazo de validade, e R</t>
  </si>
  <si>
    <t>ESPÉCULO DESCARTÁVEL ESTERILIZADO PP. Material: polietileno, tipo: vaginal, tamanho: pequeno, características adicionais: estéril, descartável, sem lubrificação. Embalagem com dados de identificação, procedência, data de fabricação, prazo de validade, e Regist</t>
  </si>
  <si>
    <t>EXTENSOR EQUIPO SORO (POLIFIX) - Aplicação:p/ perfusão simultânea, derivação y, de vias:duas vias, material:pvc cristal, comprimento:mín. 20 cm, tipo pinça:pinça corta fluxo em todas vias, tipo conector:conector luer macho e luer fêmea c/ tampa, esterilidade.</t>
  </si>
  <si>
    <t>FITA ADESIVA INDICADORA PARA AUTOCLAVE-Indicador Químico, Classe: Classe I, Tipo Uso: Externo, Apresentação: Fita Adesiva, Características Adicionais: Para Esterilização A Vapor. Tamanho 19mmx30m. Confeccionada com dorso de papel crepado à base de celulose. Po</t>
  </si>
  <si>
    <t>FITA HIPOALERGÊNICA MICROPOROSA BRANCA 100cmx4,5m Confeccionada com substrato de não tecido e adesivo acrílico hipoalergênico. Embalagem com dados de identificação, procedência, data de fabricação, prazo de validade, e Registro no Ministério da Saúde.</t>
  </si>
  <si>
    <t>FITA HIPOALERGÊNICA MICROPOROSA BRANCA 25cmx10m Confeccionada com substrato de não tecido e adesivo acrílico hipoalergênico. Embalagem com dados de identificação, procedência, data de fabricação, prazo de validade, e Registro no Ministério da Saúde.</t>
  </si>
  <si>
    <t>FRALDA GERIÁTRICA DESCARTÁVEL TAMANHO: G - Unissex, com elastico nas pernas, gel absorvente, barreira, com finalidade geriátrica, incontinência, pós-parto com canais de distribuição de líquidos. Pacote com 30 unidades.</t>
  </si>
  <si>
    <t>FRALDA GERIÁTRICA DESCARTÁVEL TAMANHO: M - Unissex, com elastico nas pernas, gel absorvente, barreira, com finalidade geriátrica, incontinência, pós-parto com canais de distribuição de líquidos. Pacote com 30 unidades.</t>
  </si>
  <si>
    <t>FRALDA GERIÁTRICA DESCARTÁVEL TAMANHO: P - Unissex, com elastico nas pernas, gel absorvente, barreira, com finalidade geriátrica, incontinência, pós-parto com canais de distribuição de líquidos. Pacote com 30 unidades.</t>
  </si>
  <si>
    <t>FRALDA GERIÁTRICA DESCARTÁVEL TAMANHO: XG - Unissex, com elastico nas pernas, gel absorvente, barreira, com finalidade geriátrica, incontinência, pós-parto com canais de distribuição de líquidos. Pacote com 30 unidades.</t>
  </si>
  <si>
    <t>Gel para Ultrassom - Gel condutor para ultrassonografia, incolor ou levemente azulado, de alta viscosidade, hidrossolúvel, hipoalergênico, atóxico, inodoro, não gorduroso e isento de substâncias abrasivas que possam causar irritação à pele ou danificar os tran</t>
  </si>
  <si>
    <t>Lamina bisturi n º 15 C 100 UNIDADES</t>
  </si>
  <si>
    <t>LAMINAS DE BISTURI: Nº 10. Confeccionadas em aço carbono; Esterilizadas por exposição a Raios Gama; tipo: descartável, esterilidade: estéril, Embaladas individualmente em material aluminizado, com dados de identificação e procedência, data de fabricação, Regis</t>
  </si>
  <si>
    <t>LAMINAS DE BISTURI: Nº 11. Confeccionadas em aço carbono; Esterilizadas por exposição a Raios Gama; tipo: descartável, esterilidade: estéril, Embaladas individualmente em material aluminizado, com dados de identificação e procedência, data de fabricação, Regis</t>
  </si>
  <si>
    <t>LAMINAS DE BISTURI: Nº 15. Confeccionadas em aço carbono; Esterilizadas por exposição a Raios Gama; tipo: descartável, esterilidade: estéril, Embaladas individualmente em material aluminizado, com dados de identificação e procedência, data de fabricação, Regis</t>
  </si>
  <si>
    <t>LAMINAS DE BISTURI: Nº 22. Confeccionadas em aço carbono; Esterilizadas por exposição a Raios Gama; tipo: descartável, esterilidade: estéril, Embaladas individualmente em material aluminizado, com dados de identificação e procedência, data de fabricação, Regis</t>
  </si>
  <si>
    <t>LAMINAS DE BISTURI: Nº 23. Confeccionadas em aço carbono; Esterilizadas por exposição a Raios Gama; tipo: descartável, esterilidade: estéril, Embaladas individualmente em material aluminizado, com dados de identificação e procedência, data de fabricação, Regis</t>
  </si>
  <si>
    <t>LAMINAS DE BISTURI: Nº 24. Confeccionadas em aço carbono; Esterilizadas por exposição a Raios Gama; tipo: descartável, esterilidade: estéril, Embaladas individualmente em material aluminizado, com dados de identificação e procedência, data de fabricação, Regis</t>
  </si>
  <si>
    <t>LENÇOL TNT COM ELÁSTICO. Lençol descartável com elástico confeccionado com material não estéril em tecido não tecido. hipoalérgico e atóxico. Tamanho 90cm x 2m. Embalagem com 10 unidades.</t>
  </si>
  <si>
    <t>LUVA CIRÚRGICA ESTÉRIL Nº 6,5 Luva cirúrgica esterilizada, lubrificada com finíssimo pó bioabsorvível. Espessura mínima de 0,17mm e comprimento de 280mm e baixo teor de proteína. Embalagem com dados de identificação, procedência, data de fabricação, prazo de v</t>
  </si>
  <si>
    <t>LUVA CIRÚRGICA ESTÉRIL Nº 7.0 Luva cirúrgica esterilizada, lubrificada com finíssimo pó bioabsorvível. Espessura mínima de 0,17mm e comprimento de 280mm e baixo teor de proteína. Embalagem com dados de identificação, procedência, data de fabricação, prazo de v</t>
  </si>
  <si>
    <t>LUVA CIRÚRGICA ESTÉRIL Nº 7.5 Luva cirúrgica esterilizada, lubrificada com finíssimo pó bioabsorvível. Espessura mínima de 0,17mm e comprimento de 280mm e baixo teor de proteína. Embalagem com dados de identificação, procedência, data de fabricação, prazo de v</t>
  </si>
  <si>
    <t>LUVA CIRÚRGICA ESTÉRIL Nº 8.0 Luva cirúrgica esterilizada, lubrificada com finíssimo pó bioabsorvível. Espessura mínima de 0,17mm e comprimento de 280mm e baixo teor de proteína. Embalagem com dados de identificação, procedência, data de fabricação, prazo de v</t>
  </si>
  <si>
    <t>LUVA CIRÚRGICA ESTÉRIL Nº 8.5 Luva cirúrgica esterilizada, lubrificada com finíssimo pó bioabsorvível. Espessura mínima de 0,17mm e comprimento de 280mm e baixo teor de proteína. Embalagem com dados de identificação, procedência, data de fabricação, prazo de v</t>
  </si>
  <si>
    <t>MÁSCARA DE ALTA CONCENTRAÇÃO - ALTO FLUXO. Mascara Modelo Adulto; Com Tubo de O2; Com reservatório; Não estéril; Indicada para pacientes em unidades de terapia intensiva, semi-intensiva, leitos e ambulatórios. Indicado para oferta de alto fluxo de oxigênio, ac</t>
  </si>
  <si>
    <t xml:space="preserve">MÁSCARA DE ALTA CONCENTRAÇÃO - ALTO FLUXO. Mascara Modelo Infantil; Com Tubo de O2; Com reservatório; Não estéril; Indicada para pacientes em unidades de terapia intensiva, semi-intensiva, leitos e ambulatórios. Indicado para oferta de alto fluxo de oxigênio, </t>
  </si>
  <si>
    <t>MASCARA DE VENTURI AJUSTAVEL ADULTO. Mascara Gasoterapia Alongada Goodcome Adulto com 01 Tubo corrugado, 06 Diluidores de Oxigênio, 01 Copo para Nebulização. Tipo Fixação: com Clipe Nasal e Fixador Cefálico Ajustável, Tipo Extensão: Extensor cerca de 2,0 m, Ti</t>
  </si>
  <si>
    <t>MASCARA DE VENTURI AJUSTAVEL INFANTIL. Mascara Gasoterapia Alongada Goodcome Infantil com 01 Tubo corrugado, 06 Diluidores de Oxigênio, 01 Copo para Nebulização. Tipo Fixação: com Clipe Nasal e Fixador Cefálico Ajustável, Tipo Extensão: Extensor cerca de 2,0 m</t>
  </si>
  <si>
    <t xml:space="preserve">MASCÁRA DESCARTÁVEL TRIPLA Máscara cirúrgica, hipoalergênica, descartável. Fabricada em TNT (em tecido não tecido de uso odonto-médico-hospitalar tripla camada com elástico, 3 camadas pregas horizontais, com clipe nasal, com elemento filtrante e eficiência de </t>
  </si>
  <si>
    <t>MÁSCARA LARINGEA DE SILICONE - Nº 0</t>
  </si>
  <si>
    <t>MASCARA LARINGEA, EM SILICONE, COM MANGUITO DE ALTO VOLUME E BAIXA PRESSAO AUTOCLAVAVEL, NUMERO N.1 PARA RN ATE 5KG, NAO ESTERIL, EMBALADO EM MATERIAL QUE GARANTA A INTEGRIDADE DO PRODUTO, A APRESENTACAO DO PRODUTO DEVERA OBEDECER A LEGISLACAO ATUAL VIGENTE</t>
  </si>
  <si>
    <t>MASCARA LARINGEA, EM SILICONE, COM MANGUITO DE ALTO VOLUME E BAIXA PRESSAO, NUMERO 5,0, NAO ESTERIL, EMBALADO EM MATERIAL QUE GARANTA A INTEGRIDADE DO PRODUTO, A APRESENTACAO DO PRODUTO DEVERA OBEDECER A LEGISLACAO ATUAL VIGENTE</t>
  </si>
  <si>
    <t>MASCARA LARINGEA, EM SILICONE, COM MANGUITO DE ALTO VOLUME E BAIXA PRESSAO,AUTOCLAVAVEL, NUMERO 3,0, NAO ESTERIL, EMBALADO EM MATERIAL QUE GARANTA A INTEGRIDADE DO PRODUTO, A APRESENTACAO DO PRODUTO DEVERA OBEDECER A LEGISLACAO ATUAL VIGENTE</t>
  </si>
  <si>
    <t>MASCARA LARINGEA, EM SILICONE, COM MANGUITO DE ALTO VOLUME E BAIXA PRESSAO,AUTOCLAVAVEL, NUMERO 4,0, NAO ESTERIL, EMBALADO EM MATERIAL QUE GARANTA A INTEGRIDADE DO PRODUTO, A APRESENTACAO DO PRODUTO DEVERA OBEDECER A LEGISLACAO ATUAL VIGENTE</t>
  </si>
  <si>
    <t>MASCARA LARINGEA, EM SILICONE, COM MANGUITO DE ALTO VOLUME E BAIXA PRESSAO,AUTOCLAVAVEL, NUMERO N.2 LACTENTES 10KG, NAO ESTERIL, EMBALADO EM MATERIAL QUE GARANTA A INTEGRIDADE DO PRODUTO, A APRESENTACAO DO PRODUTO DEVERA OBEDECER A LEGISLACAO ATUAL VIGENTE</t>
  </si>
  <si>
    <t>PAPEL GRAU CIRÚRGICO 150MMx50M.</t>
  </si>
  <si>
    <t>PAPEL GRAU CIRÚRGICO 200MMx50M.</t>
  </si>
  <si>
    <t>PAPEL GRAU CIRÚRGICO 300MMx50M.</t>
  </si>
  <si>
    <t>PAPEL LENÇOL HOSPITALAR 50CMX50M - 100% celulose.</t>
  </si>
  <si>
    <t>PAPEL LENÇOL HOSPITALAR 70CMX50M - 100% celulose.</t>
  </si>
  <si>
    <t>SACO DE LIXO HOSPITALAR PARA RESÍDUOS INFECTANTES 100 LITROS. Fabricado em Polietileno virgem. Para acondicionamento de resíduos infectantes não perfuro cortantes. Tamanho: largura: 75 cm, altura: 105 cm, 3 micra, símbolo de substância infectante. Cor Branco L</t>
  </si>
  <si>
    <t>SACO DE LIXO HOSPITALAR PARA RESÍDUOS INFECTANTES 30 LITROS. Fabricado em Polietileno virgem. Para acondicionamento de resíduos infectantes não perfuro cortantes. Tamanho: largura: 59 cm, altura: 62 cm, 3 micra, símbolo de substância infectante. Cor Branco Lei</t>
  </si>
  <si>
    <t>SACO DE LIXO HOSPITALAR PARA RESÍDUOS INFECTANTES 50 LITROS. Fabricado em Polietileno virgem. Para acondicionamento de resíduos infectantes não perfuro cortantes. Tamanho: largura: 63 cm, altura: 80 cm, 3 micra, símbolo de substância infectante. Cor Branco Lei</t>
  </si>
  <si>
    <t xml:space="preserve">SERINGA DESCARTÁVEL 10ML S/AGULHA, CONECTOR LUER SLIP Seringa descartável de plástico atóxico, apirogênica, estéril, transparente, parede interna siliconizada e uniforme, com anel de retenção em sua extremidade distal, bico central de slip que garanta conexão </t>
  </si>
  <si>
    <t xml:space="preserve">SERINGA DESCARTÁVEL 20ML S/AGULHA, CONECTOR LUER SLIP Seringa descartável de plástico atóxico, apirogênica, estéril, transparente, parede interna siliconizada e uniforme, com anel de retenção em sua extremidade distal, bico central de slip que garanta conexão </t>
  </si>
  <si>
    <t xml:space="preserve">SERINGA DESCARTÁVEL 3ML S/AGULHA, CONECTOR LUER LOCK Seringa descartável de plástico atóxico, apirogênica, estéril, transparente, parede interna siliconizada e uniforme, com anel de retenção em sua extremidade distal, bico central de rosca que garanta conexão </t>
  </si>
  <si>
    <t xml:space="preserve">SERINGA DESCARTÁVEL 5ML S/AGULHA, CONECTOR LUER-LOCK Seringa descartável de plástico atóxico, apirogênica, estéril, transparente, parede interna siliconizada e uniforme, com anel de retenção em sua extremidade distal, bico central de rosca que garanta conexão </t>
  </si>
  <si>
    <t xml:space="preserve">SONDA DE NUTRIÇÃO ENTERAL (NASOGÁSTRICA) Nº 12. Sonda Trato Digestivo Nasoenteral. Material Poliuretano, tamanho 12, 120 cm, com Graduação numérica, Dupla Via. Linha Radiopaca. Dupla entrada em Y, permite acesso separado para nutrição ou medicação com tampas. </t>
  </si>
  <si>
    <t xml:space="preserve">SONDA FOLEY 2 VIAS Nº10.Sonda fabricada em látex de borracha 100% natural siliconizada, com ponta distralatraumática, balão resistente a alta pressão e de fácil insuflação, válvula de insuflação eficaz, conector universal para qualquer tipo de bolsa coletora. </t>
  </si>
  <si>
    <t>SONDA FOLEY 2 VIAS Nº12. Sonda fabricada em látex de borracha 100% natural siliconizada, com ponta distralatraumática, balão resistente a alta pressão e de fácil insuflação, válvula de insuflação eficaz, conector universal para qualquer tipo de bolsa coletora.</t>
  </si>
  <si>
    <t>SONDA FOLEY 2 VIAS Nº14. Sonda fabricada em látex de borracha 100% natural siliconizada, com ponta distralatraumática, balão resistente a alta pressão e de fácil insuflação, válvula de insuflação eficaz, conector universal para qualquer tipo de bolsa coletora.</t>
  </si>
  <si>
    <t>SONDA FOLEY 2 VIAS Nº16. Sonda fabricada em látex de borracha 100% natural siliconizada, com ponta distralatraumática, balão resistente a alta pressão e de fácil insuflação, válvula de insuflação eficaz, conector universal para qualquer tipo de bolsa coletora.</t>
  </si>
  <si>
    <t>SONDA FOLEY 2 VIAS Nº18. Sonda fabricada em látex de borracha 100% natural siliconizada, com ponta distralatraumática, balão resistente a alta pressão e de fácil insuflação, válvula de insuflação eficaz, conector universal para qualquer tipo de bolsa coletora.</t>
  </si>
  <si>
    <t>SONDA FOLEY 2 VIAS Nº20. Sonda fabricada em látex de borracha 100% natural siliconizada, com ponta distralatraumática, balão resistente a alta pressão e de fácil insuflação, válvula de insuflação eficaz, conector universal para qualquer tipo de bolsa coletora.</t>
  </si>
  <si>
    <t>SONDA FOLEY 2 VIAS Nº22. Sonda fabricada em látex de borracha 100% natural siliconizada, com ponta distralatraumática, balão resistente a alta pressão e de fácil insuflação, válvula de insuflação eficaz, conector universal para qualquer tipo de bolsa coletora.</t>
  </si>
  <si>
    <t xml:space="preserve">SONDA FOLEY 2 VIAS Nº6. Sonda fabricada em látex de borracha 100% natural siliconizada, com ponta distralatraumática, balão resistente a alta pressão e de fácil insuflação, válvula de insuflação eficaz, conector universal para qualquer tipo de bolsa coletora. </t>
  </si>
  <si>
    <t xml:space="preserve">SONDA FOLEY 2 VIAS Nº8. Sonda fabricada em látex de borracha 100% natural siliconizada, com ponta distralatraumática, balão resistente a alta pressão e de fácil insuflação, válvula de insuflação eficaz, conector universal para qualquer tipo de bolsa coletora. </t>
  </si>
  <si>
    <t>Sonda Nasogástrica Curta nº 14 (14 Fr) - Confeccionada em PVC atóxico, transparente, flexível e resistente, estéril, descartável, apirogênica e de uso único. Calibre 14 Fr, com ponta distal arredondada, atraumática, contendo orifícios laterais adequadamente di</t>
  </si>
  <si>
    <t>SONDA NASOGÁSTRICA LONGA Nº12. Sonda trato digestivo descartável composta de tubo de PVC flexível, estéril, atóxica, apirogênico. Aplicação: oro ou nasogástrica, calibre: nº 8, comprimento:cerca 120 cm, conector:conector padrão com tampa, componentes:ponta dis</t>
  </si>
  <si>
    <t>SONDA NASOGÁSTRICA LONGA Nº16. Sonda trato digestivo descartável composta de tubo de PVC flexível, estéril, atóxica, apirogênico. Aplicação: oro ou nasogástrica, calibre: nº 8, comprimento:cerca 120 cm, conector:conector padrão com tampa, componentes:ponta dis</t>
  </si>
  <si>
    <t>SONDA NASOGÁSTRICA LONGA Nº8. Sonda trato digestivo descartável composta de tubo de PVC flexível, estéril, atóxica, apirogênico. Aplicação: oro ou nasogástrica, calibre: nº 8, comprimento:cerca 120 cm, conector:conector padrão com tampa, componentes:ponta dist</t>
  </si>
  <si>
    <t>SONDA URETRAL Nº08 Sonda confeccionada em tubo de PVC, atóxico, apirogênico, cristal, transparente de paredes finas e maleável. Calibre 8FRENCH,. Diametro interno 2,8mm, Diametro externo 4,00mm, comprimento 40cm. Tubo: PVC flexivelextrusado, com ponta arredond</t>
  </si>
  <si>
    <t>SONDA URETRAL Nº12 Sonda confeccionada em tubo de PVC, atóxico, apirogênico, cristal, transparente de paredes finas e maleável. Calibre 12 FRENCH,.Diametro interno 2,8mm, Diametro externo 4,00mm, comprimento 40cm. Tubo: PVC flexivelextrusado, com ponta arredon</t>
  </si>
  <si>
    <t>TESTE INDICADOR BIOLOGICO PARA AUTOCLAVE. Utilizados para monitorar ciclos de esterilização a vapor. Terceira geração, apresentação: autocontido, ampola com meio de cultura, espécie: Bacillus Stearothermo phillus, características adicionais: resposta em 3 hora</t>
  </si>
  <si>
    <t>TOUCA DESCARTÁVEL. Fabricada em 100% polipropileno, hipoalergênica e com elástico em toda volta para melhor vedação. sem cor, Gramatura :cerca de 30 g/m2, Tamanho único, Descartável, Atóxica, Inodora, Unissex. Embalagem com dados de identificação, procedência,</t>
  </si>
  <si>
    <t xml:space="preserve">UMIDIFICADOR DE OXIGÊNIO. Frasco plástico 250mL com Extensão e Máscara para oxigênio Adulto. Material polipropileno com inserto de latão, boca larga, oxigênio, conexão borboleta de inserto latão e polipropileno, conexão saída latão cromado para mangueira. Não </t>
  </si>
  <si>
    <t>Filtro para ventilação mecânica aerovent com entrada para capnografia.</t>
  </si>
  <si>
    <t>Protetor ocular opaco para fototerapia ou uso em incubadora. Código BR0479667</t>
  </si>
  <si>
    <t>Avental impermeável pvc manga longa cor branca.</t>
  </si>
  <si>
    <t>Compressa cirúrgica de campo operatório 23 x 25cm (pacote com 50 unidades). Código BR0442722</t>
  </si>
  <si>
    <t>Seringa 3ml, bico liso, sem dispositivos de proteção, sem agulha acoplada, com rosca. Código BR 439625</t>
  </si>
  <si>
    <t>Fita cirúrgica microporosa hipoalergênica 2,5 cmx10 m (micropore). Código BR 452355</t>
  </si>
  <si>
    <t>Mascara laringea em pvc descartável - tamanho 2.0</t>
  </si>
  <si>
    <t>Mascara laringea em pvc descartável ? tamanho 1.0</t>
  </si>
  <si>
    <t>Mascara laringea em pvc descartável ? tamanho 4.0</t>
  </si>
  <si>
    <t>Mascara laringea em pvc descartável ? tamanho 5.0</t>
  </si>
  <si>
    <t>Mascara laringea em pvc descartável ? tamanho 6.0</t>
  </si>
  <si>
    <t>Mascara laringea em pvc descartável ? tamanho 1.5</t>
  </si>
  <si>
    <t>Mascara laringea em pvc descartável ? tamanho 3.0</t>
  </si>
  <si>
    <t>COMPRESSA DE GAZE 13 FIOS 7,5 X 7,5 CM EMBALAGEM COM 500 UNIDADES NÃO ESTERIL</t>
  </si>
  <si>
    <t>ESPECULO MATERIAL POLIETILENO TIPO VAGINAL TAMANHO MÉDIO ADICIONAIS C/ LUBRIFICAÇÃO ESTERIL EMBALAGEM INDIVIDUAL</t>
  </si>
  <si>
    <t>ESPECULO MATERIAL POLIETILENO TIPO VAGINAL TAMANHO PEQUENO ADICIONAIS C/ LUBRIFICAÇÃO ESTERIL EMBALAGEM INDIVIDUAL</t>
  </si>
  <si>
    <t>SERINGA DESC. 10 ML S/ AGULHA</t>
  </si>
  <si>
    <t>SERINGA DESC. 20 ML S/ AGULHA</t>
  </si>
  <si>
    <t>SERINGA DESC. 5 ML S/ AGULHA</t>
  </si>
  <si>
    <t>ABOCATH/CATETER INTRAVENOSO PERIFÉRICO, COM DISPOSITIVO DE SEGURANÇA, INDICADO NA TERAPIA INTRAVENOSA PERIFÉRICA, AGULHA SILICONADA COM BISEL BI-ANGULADO E TRIFACETADO, CÃMARA DE REFLUXO TRANSPARENTE, +</t>
  </si>
  <si>
    <t>ABOCATH/CATETER INTRAVENOSO PERIFÉRICO, COM DISPOSITIVO DE SEGURANÇA, INDICADO NA TERAPIA INTRAVENOSA PERIFÉRICA, AGULHA SILICONADA COM BISEL BI-ANGULADO E TRIFACETADO, CÃMARA DE REFLUXO TRANSPARENTE, *</t>
  </si>
  <si>
    <t>ABOCATH/CATETER INTRAVENOSO PERIFÉRICO, COM DISPOSITIVO DE SEGURANÇA, INDICADO NA TERAPIA INTRAVENOSA PERIFÉRICA, AGULHA SILICONADA COM BISEL BI-ANGULADO E TRIFACETADO, CÃMARA DE REFLUXO TRANSPARENTE,..</t>
  </si>
  <si>
    <t>ABOCATH/CATETER INTRAVENOSO PERIFÉRICO, COM DISPOSITIVO DE SEGURANÇA, INDICADO NA TERAPIA INTRAVENOSA PERIFÉRICA, AGULHA SILICONADA COM BISEL BI-ANGULADO E TRIFACETADO, CÃMARA DE REFLUXO TRANSPARENTE,#</t>
  </si>
  <si>
    <t>ABOCATH/CATETER INTRAVENOSO PERIFÉRICO, COM DISPOSITIVO DE SEGURANÇA, INDICADO NA TERAPIA INTRAVENOSA PERIFÉRICA, AGULHA SILICONADA COM BISEL BI-ANGULADO E TRIFACETADO, CÃMARA DE REFLUXO TRANSPARENTE,¨)</t>
  </si>
  <si>
    <t>ABOCATH/CATETER INTRAVENOSO PERIFÉRICO, COM DISPOSITIVO DE SEGURANÇA, INDICADO NA TERAPIA INTRAVENOSA PERIFÉRICA, AGULHA SILICONADA COM BISEL BI-ANGULADO E TRIFACETADO, CÃMARA DE REFLUXO TRANSPARENTE,</t>
  </si>
  <si>
    <t>ABOCATH/CATETER INTRAVENOSO PERIFÉRICO, COM DISPOSITIVO DE SEGURANÇA, INDICADO NA TERAPIA INTRAVENOSA PERIFÉRICA, AGULHA SILICONADA COM BISEL BI-ANGULADO E TRIFACETADO, CÃMARA DE REFLUXO TRANSPARENTE</t>
  </si>
  <si>
    <t>AGULHA DESCARTÁVEL HIPODÉRMICA DE SEGURANÇA, TAMANHO 13 X 4,5, ESTÉRIL, COM BISEL TRIFACETADO E CANHÃO DE PLÁSTICO RESISTENTE E ATÓXICO, AGULHA EM AÇO INOXIDÁVEL, SILICONIZADA. POSSUI UM PROTETOR ARTI</t>
  </si>
  <si>
    <t>AGULHA DESCARTÁVEL HIPODÉRMICA DE SEGURANÇA, TAMANHO 0,55 X 20MM, ESTÉRIL, COM BISEL TRIFACETADO E CANHÃO DE PLÁSTICO RESISTENTE E ATÓXICO, AGULHA EM AÇO INOXIDÁVEL, SILICONIZADA. POSSUI UM PROTETOR A</t>
  </si>
  <si>
    <t>AGULHA DESCARTÁVEL HIPODÉRMICA DE SEGURANÇA, TAMANHO 25 X 7, ESTÉRIL, COM BISEL TRIFACETADO E CANHÃO DE PLÁSTICO RESISTENTE E ATÓXICO, AGULHA EM AÇO INOXIDÁVEL, SILICONIZADA. POSSUI UM PROTETOR ARTICU</t>
  </si>
  <si>
    <t>AGULHA DESCARTÁVEL HIPODÉRMICA DE SEGURANÇA, TAMANHO 0,80X30MM, ESTÉRIL, COM BISEL TRIFACETADO E CANHÃO DE PLÁSTICO RESISTENTE E ATÓXICO, AGULHA EM AÇO INOXIDÁVEL, SILICONIZADA. POSSUI UM PROTETOR ART</t>
  </si>
  <si>
    <t>AGULHA DESCARTÁVEL HIPODÉRMICA DE SEGURANÇA, TAMANHO 40 X 12, ESTÉRIL, COM BISEL TRIFACETADO E CANHÃO DE PLÁSTICO RESISTENTE E ATÓXICO, AGULHA EM AÇO INOXIDÁVEL, SILICONIZADA. POSSUI UM PROTETOR ARTIC</t>
  </si>
  <si>
    <t>ESPECULO VAGINAL DESCARTÁVEL PODE SER DIVIDITO BASICAMENTE EM DUAS PARTES, AS VALVAS E O PARAFUSO. AS VALVAS SÃO PRODUZIDAS EM POLIESTIRENO CRISTAL, APRESENTANDO CONTORNOS LISOS E REGULARES, SEM REENT ..</t>
  </si>
  <si>
    <t>BR0397506 - AGULHA HIPODERMICA, MATERIAL:ACO INOXIDAVEL SILIBR0397506 AGULHA HIPODERMICA, EM ACO INOXIDAVEL SILICONIZADO, DIMENSAO 30 x 0,70, BISEL CURTO TRIFACETADO, CONECTOR LUER LOCK EM PLASTICO, PROTETOR PLASTICO, COM SISTEMA SEGURANCA SEGUNDO NR/32, ESTER</t>
  </si>
  <si>
    <t>BR0397513 - AGULHA HIPODERMICA, MATERIAL:ACO INOXIDAVEL SILIBR0397513 AGULHA HIPODERMICA, EM ACO INOXIDAVEL SILICONIZADO, DIMENSAO: 13 x 0,45, BISEL CURTO TRIFACETADO, CONECTOR LUER LOCK EM PLASTICO, PROTETOR PLASTICO, COM SISTEMA SEGURANCA SEGUNDO NR/32, ESTE</t>
  </si>
  <si>
    <t>BR0439809 - AGULHA HIPODERMICA, 25X6, ACO INOXIDAVEL SILIBR0439809 AGULHA HIPODERMICA, EM ACO INOXIDAVEL SILICONIZADO, DIMENSAO 25X6, BISEL CURTO TRIFACETADO, CONECTOR LUER LOCK OU SLIP EM PLASTICO, PROTETOR PLASTICO, ESTERIL, DESCARTAVEL (Cx COM 100 UN)</t>
  </si>
  <si>
    <t>BR0439807 - AGULHA HIPODERMICA, MATERIAL:ACO INOXIDAVEL SILIBR0439807 AGULHA HIPODERMICA, EM ACO INOXIDAVEL SILICONIZADO, DIMENSAO 25 x 0,70, BISEL CURTO TRIFACETADO, CONECTOR LUER LOCK OU SLIP EM PLASTICO, PROTETOR PLASTICO, ESTERIL, DESCARTAVEL (Cx COM 100 U</t>
  </si>
  <si>
    <t>BR0439805 - AGULHA HIPODERMICA, 30X8, ACO INOXIDAVEL SILIBR0439805 AGULHA HIPODERMICA, EM ACO INOXIDAVEL SILICONIZADO, DIMENSAO 30X8, BISEL CURTO TRIFACETADO, CONECTOR LUER LOCK OU SLIP EM PLASTICO, PROTETOR PLASTICO, ESTERIL, DESCARTAVEL (Cx COM 100 UN)</t>
  </si>
  <si>
    <t>BR0397510 - AGULHA HIPODERMICA, MATERIAL:ACO INOXIDAVEL SILBR0397510 AGULHA HIPODERMICA, EM ACO INOXIDAVEL SILICONIZADO, DIMENSAO 20 x 0,55, BISEL CURTO TRIFACETADO, CONECTOR LUER LOCK EM PLASTICO, PROTETOR PLASTICO, COM SISTEMA SEGURANCA SEGUNDO NR/32, ESTERI</t>
  </si>
  <si>
    <t>BR0397494 - AGULHA HIPODERMICA, 40X12, ACO INOXIDAVELBR0397494 AGULHA HIPODERMICA, EM ACO INOXIDAVEL SILICONIZADO, DIMENSAO 40X12, BISEL CURTO TRIFACETADO, CONECTOR LUER LOCK EM PLASTICO, PROTETOR PLASTICO,COM SISTEMA SEGURANCA SEGUNDO NR/32, TIPO USO ESTERIL,</t>
  </si>
  <si>
    <t>BR0397502 - AGULHA HIPODERMICA 25X8, ACO INOXIDAVEL SILIBR0397502 AGULHA HIPODERMICA, EM ACO INOXIDAVEL SILICONIZADO, DIMENSAO 25X8 , BISEL CURTO TRIFACETADO, CONECTOR LUER LOCK EM PLASTICO, PROTETOR PLASTICO, COM SISTEMA SEGURANCA SEGUNDO NR/32, TIPO USO ESTE</t>
  </si>
  <si>
    <t>BR0434414 - AVENTAL HOSPITALAR , MATERIAL POLIPROPILENO, UNBR0434414 - AVENTAL HOSPITALAR , MATERIAL* POLIPROPILENO, TAMANHO*UNICO, GRAMATURA CERCA DE 50 G/CM2, CARACTERISTICA ADICIONAL MANGA LONGA, PUNHO ELASTICO, ESTERILIDADE* USO UNICO, TIPO CIRURGICO</t>
  </si>
  <si>
    <t>BACIA DE ALUMINIO REDONDA N 50 (12 LITROS) PARA BANHO DE ASSENTOBACIA DE ALUMINIO REDONDA N 50 (12 LITROS) PARA BANHO DE ASSENTO</t>
  </si>
  <si>
    <t>BR0272821 - CABO BISTURI, MATERIAL:ACO INOXIDAVEL, TAMANHOBR0272821 - CABO BISTURI, MATERIAL:ACO INOXIDAVEL, TAMANHO:NÂº 3</t>
  </si>
  <si>
    <t>BR0607053 CAMPO CIRURGICO, MODELO:FENESTRADO, MATERIAL:100% ALGODAO, GRAMATURA:MINIMO DE 260 G/M2, DIMENSOES:CERCA DE 50 X 50 CM, COR:C/ COR, ESTERILIDADE:ESTERILIZAVELBR0607053 CAMPO CIRURGICO, MODELO:FENESTRADO, MATERIAL:100% ALGODAO, GRAMATURA:MINIMO DE 260</t>
  </si>
  <si>
    <t>BR0279765 - CATETER ASPIRACAO TRAQUEAL, MATERIAL:PVC ATOXICOBR0279765 CATETER ASPIRACAO TRAQUEAL, EM PVC ATOXICO FLEXIVEL, DESCARTAVEL, PONTA ATRAUMATICA, ORIFICIOS DISTAIS LATERALIZADOS, ESTERIL, EMBALAGEM INDIVIDUAL, ESPESSURA:NÂº 10</t>
  </si>
  <si>
    <t>BR0279760 - CATETER ASPIRACAO TRAQUEAL, MATERIAL:PVC ATOXICOBR0279760 - CATETER ASPIRACAO TRAQUEAL, MATERIAL:PVC ATOXICO FLEXIVEL, TIPO USO:DESCARTAVEL, CARACTERISTICAS ADICIONAIS:PONTA ATRAUMATICA, ORIFICIOS DISTAIS LATERALIZADOS, TIPO EMBALAGEM:ESTERIL, EMBA</t>
  </si>
  <si>
    <t>BR0283986 - CATETER ASPIRACAO TRAQUEAL, MATERIAL:PVC ATOXICOBR0283986 CATETER ASPIRACAO TRAQUEAL, EM PVC ATOXICO FLEXIVEL, DESCARTAVEL, PONTA ATRAUMATICA, ORIFICIOS DISTAIS LATERALIZADOS, ESTERIL, EMBALAGEM INDIVIDUAL, ESPESSURA:NÂº 18</t>
  </si>
  <si>
    <t>BR0279762 - CATETER ASPIRACAO TRAQUEAL, MATERIAL:PVC ATOXICOBR0279762 CATETER ASPIRACAO TRAQUEAL, EM PVC ATOXICO FLEXIVEL, DESCARTAVEL, PONTA ATRAUMATICA, ORIFICIOS DISTAIS LATERALIZADOS, ESTERIL, EMBALAGEM INDIVIDUAL, ESPESSURA:NÂº 16</t>
  </si>
  <si>
    <t>BR0279761 - CATETER ASPIRACAO TRAQUEAL, MATERIAL:PVC ATOXICOBR0279761 CATETER ASPIRACAO TRAQUEAL, EM PVC ATOXICO FLEXIVEL, DESCARTAVEL, PONTA ATRAUMATICA, ORIFICIOS DISTAIS LATERALIZADOS, ESTERIL, EMBALAGEM INDIVIDUAL, ESPESSURA:NÂº 14</t>
  </si>
  <si>
    <t>BR0279764 - CATETER ASPIRACAO TRAQUEAL, MATERIAL:PVC ATOXICOBR0279764 CATETER ASPIRACAO TRAQUEAL, EM PVC ATOXICO FLEXIVEL, DESCARTAVEL, PONTA ATRAUMATICA, ORIFICIOS DISTAIS LATERALIZADOS, ESTERIL, EMBALAGEM INDIVIDUAL, ESPESSURA:NÂº 12</t>
  </si>
  <si>
    <t>BR0279763 - CATETER ASPIRACAO TRAQUEAL, MATERIAL:PVC ATOXICOBR0279763 CATETER ASPIRACAO TRAQUEAL, EM PVC ATOXICO FLEXIVEL, DESCARTAVEL, PONTA ATRAUMATICA, ORIFICIOS DISTAIS LATERALIZADOS, ESTERIL, EMBALAGEM INDIVIDUAL, ESPESSURA:NÂº 8</t>
  </si>
  <si>
    <t>BR0621740 CATETER NASAL PARA OXIGENIO, MODELO:TIPO OCULOS, APLICACAO:P/ OXIGENOTERAPIA, MATERIAL:TUBO E PRONGA DE SILICONE, CONECTOR:COMPATIVEL C/ FONTE O2, TAMANHO:ADULTO, COMPRIMENTO:CERCA DE 2,5 M, ESTERILIDADE:NAO ESTERIL, USO UNICOCATETER NASAL PARA OXIGE</t>
  </si>
  <si>
    <t>BR0419392 COLETOR DE URINA, MATERIAL: PVC, TIPO: SISTEMA FECHADO, CERCA DE 2000 ML, GRADUACAO DE 100 EM 100 ML, VALVULA ANTI-REFLUXO, PINCA: CLAMP CORTA FLUXO, FILTRO HIDROFOBICO/BACTERIOLOGICO, CÃ?MARA PASTEUR FLEXIVEL, COMPONENTES PARA FIXACAO PERNA, MEMBRAN</t>
  </si>
  <si>
    <t>0419390 COLETOR DE URINA, SISTEMA ABERTO, MODELO: INFANTIL, MATERIAL: PLASTICO, EMBALAGEM INDIVIDUAL, CAPACIDADE: CERCA DE 100 ML, ADESIVO HIPOALERGENICO. PAOTE COM 10 UNIDADES0419390 COLETOR DE URINA, SISTEMA ABERTO, MODELO: INFANTIL, MATERIAL: PLASTICO, EMBA</t>
  </si>
  <si>
    <t>BR0363482 - COLETOR MATERIAL PERFUROCORTANTE, PAPELAO, 13 L,BR0363482 - COLETOR MATERIAL PERFUROCORTANTE, PAPELAO, 13 L, ALCAS RIGIDAS E TAMPA, REVESTIMENTO INTERNO EM POLIETILENO ALTA DENSIDADE, DESCARTAVEL</t>
  </si>
  <si>
    <t>BR0363483 - COLETOR MATERIAL PERFUROCORTANTE, PAPELAO, 3 L,BR0363483 - COLETOR MATERIAL PERFUROCORTANTE, PAPELAO, 3 L, ALCAS RIGIDAS E TAMPA, REVESTIMENTO INTERNO EM POLIETILENO ALTA DENSIDADE, DESCARTAVE</t>
  </si>
  <si>
    <t>BR0363484 - COLETOR MATERIAL PERFUROCORTANTE, PAPELAO, 7 L,BR0363484 - COLETOR MATERIAL PERFUROCORTANTE, PAPELAO, 7 L, ALCAS RIGIDAS E TAMPA, REVESTIMENTO INTERNO EM POLIETILENO ALTA DENSIDADE, DESCARTAVEL</t>
  </si>
  <si>
    <t>BR0401202 - COMADRE, MATERIAL:POLIPROPILENO, CAPACIDADE:2.00BR0401202 COMADRE, EM POLIPROPILENO, CAPACIDADE: 2.000 ML, TAMANHO ADULTO PADRAO MUNDIAL,TIPO PA, COM CABO</t>
  </si>
  <si>
    <t>BR0441585 COMPRESSA HOSPITALAR, CIRURGICA, 100% ALGODAO, DIMENSOES: CERCA DE 45 X 50 CM, COM CORDAO IDENTIFICADOR, USO UNICO, COM FIO RADIOPACO . PACOTE COM 50 UNIDADESBR0441585 COMPRESSA HOSPITALAR, CIRURGICA, 100% ALGODAO, DIMENSOES: CERCA DE 45 X 50 CM, COM</t>
  </si>
  <si>
    <t>BR0484921 CURATIVO / COBERTURA, PARA FERIDA, COMPOSICAO: A BASE DE HIDROGEL, COMPONENTE 2: COM CMC, USO UNICO, FRASCO COM GELBR0484921 CURATIVO / COBERTURA, PARA FERIDA, COMPOSICAO: A BASE DE HIDROGEL, COMPONENTE 2: COM CMC, USO UNICO, FRASCO COM GEL</t>
  </si>
  <si>
    <t>CURATIVO/COBERTURA, EM PLACA, APLICACAO PARA FERIDA, A BASE DE HIDROCOLOIDE (GELATINA PECTINA E CARBOXIMETILCELULOSE SODICA), CERCA DE 15 X 15 CM, COM PELICULA POLIURETANO.CURATIVO/COBERTURA, EM PLACA, APLICACAO PARA FERIDA, A BASE DE HIDROCOLOIDE (GELATINA PE</t>
  </si>
  <si>
    <t>CURATIVO/COBERTURA, PARA FERIDA, FRASCO COM GEL, A BASE DE HIDROGEL, COMPONENTE AGUA PURIFICADA, CARBOXIMETILCELULOSE SODICA - CMC, GLICERINA, ESTABILIZANTE, CLORETO DE SODIO, ESTERIL. FRASCO 85GCURATIVO/COBERTURA, PARA FERIDA, FRASCO COM GEL, A BASE DE HIDROG</t>
  </si>
  <si>
    <t>ELETRODO APARELHO MEDICO MEDICAO, ADULTO, DESCARTAVEL, COM GEL SOLIDO, ATOXICO E HIPOALERGENICO, MONITORIZACAO CARDIACA. TAMANHO ADULTO. PACOTE COM 50 UNIDADESELETRODO APARELHO MEDICO MEDICAO, ADULTO, DESCARTAVEL, COM GEL SOLIDO, ATOXICO E HIPOALERGENICO, MONI</t>
  </si>
  <si>
    <t>EQUIPO MACROGOTAS, EM PVC FLEXIVEL, COMPRIMENTO: MIN 150 CM, CÃ?MARA FLEXIVEL COM FILTROS PARA AR E BACTERIANO, GOTA PADRAO, REGULADOR DE FLUXO, COM INJETOR LATERAL"Y", AUTOCICATRIZANTEEQUIPO MACROGOTAS, EM PVC FLEXIVEL, COMPRIMENTO: MIN 150 CM, CÃ?MARA FLEXIV</t>
  </si>
  <si>
    <t>EQUIPO MICROGOTAS, EM PVC CRISTAL, COMPRIMENTO: MIN. 140 CM, CÃ?MARA FLEXIVEL COM FILTRO AR, MICROGOTAS, REGULADOR DE FLUXO, LUER COM TAMPA, ESTERIL, DESCARTAVELEQUIPO MICROGOTAS, EM PVC CRISTAL, COMPRIMENTO: MIN. 140 CM, CÃ?MARA FLEXIVEL COM FILTRO AR, MICROG</t>
  </si>
  <si>
    <t xml:space="preserve">BR0479747 ESPECULO USO MEDICO, APLICACAO:VAGINAL, MODELO:COLLIN, TAMANHO:GRANDE, TRAVAMENTO:C/ TRAVA TIPO ROSCA, MATERIAL:POLIMERO, ESTERILIDADE:ESTERIL, USO UNICO, EMBALAGEM:EMBALAGEM INDIVIDUALBR0479747 ESPECULO USO MEDICO, APLICACAO:VAGINAL, MODELO:COLLIN, </t>
  </si>
  <si>
    <t>BR0479748 ESPECULO USO MEDICO, APLICACAO:VAGINAL, MODELO:COLLIN, TAMANHO:MEDIO, TRAVAMENTO:C/ TRAVA TIPO ROSCA, MATERIAL:POLIMERO, ESTERILIDADE:ESTERIL, USO UNICO, EMBALAGEM:EMBALAGEM INDIVIDUALBR0479748 ESPECULO USO MEDICO, APLICACAO:VAGINAL, MODELO:COLLIN, T</t>
  </si>
  <si>
    <t>BR0479749 ESPECULO USO MEDICO, APLICACAO:VAGINAL, MODELO:COLLIN, TAMANHO:PEQUENO, TRAVAMENTO:C/ TRAVA TIPO ROSCA, MATERIAL:POLIMERO, ESTERILIDADE:ESTERIL, USO UNICO, EMBALAGEM:EMBALAGEM INDIVIDUALBR0479749 ESPECULO USO MEDICO, APLICACAO:VAGINAL, MODELO:COLLIN,</t>
  </si>
  <si>
    <t>BR0487450 FIO DE SUTURA, EM NYLON MONOFILAMENTO, TIPO FIO: 2-0, COR: PRETO, COMPRIMENTO: 45 CM, COM AGULHA, AGULHA: 3/8 CIRCULO CORTANTE, COMPRIMENTO AGULHA: 2,0 CM, ESTERIL.BR0487450 FIO DE SUTURA, EM NYLON MONOFILAMENTO, TIPO FIO: 2-0, COR: PRETO, COMPRIMENT</t>
  </si>
  <si>
    <t>BR0487443 FIO DE SUTURA, EM NYLON MONOFILAMENTO, TIPO FIO: 3-0, COR: PRETO, COMPRIMENTO: 45 CM, COM AGULHA, AGULHA: 3/8 CIRCULO CORTANTE, COMPRIMENTO AGULHA: 2,0 CM, ESTERIL.BR0487443 FIO DE SUTURA, EM NYLON MONOFILAMENTO, TIPO FIO: 3-0, COR: PRETO, COMPRIMENT</t>
  </si>
  <si>
    <t>BR0487382 FIO DE SUTURA, EM NYLON MONOFILAMENTO, TIPO FIO: 4-0, COR: PRETO, COMPRIMENTO: 45 CM, COM AGULHA, AGULHA: 3/8 CIRCULO CORTANTE, COMPRIMENTO AGULHA: 2,0 CM, ESTERIL. CAIXA COM 24 UNIDADES.BR0487382 FIO DE SUTURA, EM NYLON MONOFILAMENTO, TIPO FIO: 4-0,</t>
  </si>
  <si>
    <t>FIO DE SUTURA, EM NYLON MONOFILAMENTO, TIPO FIO: 5-0, COR: PRETO, COMPRIMENTO:45 CM, COM AGULHA, AGULHA:3/8 CIRCULO CORTANTE, COMPRIMENTO AGULHA: 2,0 CM, ESTERILFIO DE SUTURA, EM NYLON MONOFILAMENTO, TIPO FIO: 5-0, COR: PRETO, COMPRIMENTO:45 CM, COM AGULHA, AG</t>
  </si>
  <si>
    <t>BR0437865 - FITA HOSPITALAR, TIPO:MICROPOROSA, MATERIAL:DORSBR0437865 FITA HOSPITALAR MICROPOROSA, DORSO EM NAO TECIDO, ADESIVO ACRILICO, DIMENSOES DE 25 MM, HIPOALERGENICO, COR BRANCA. ROLO COM 10 METROS</t>
  </si>
  <si>
    <t>BR0437867 - FITA HOSPITALAR, TIPO:MICROPOROSA, MATERIAL:DORSBR0437867 FITA HOSPITALAR MICROPOROSA, DORSO EM NAO TECIDO, ADESIVO ACRILICO, DIMENSOES DE 50 MM, HIPOALERGENICO, COR BRANCA. ROLO COM 10 METROS</t>
  </si>
  <si>
    <t>BR0436313 FRASCO COLETOR, TIPO:UNIVERSAL, MATERIAL: PLASTICOTRNSPARENTE, CAPACIDADE DE 50ML, COM TAMPA ROSQUEAVELBR0436313 FRASCO COLETOR, TIPO:UNIVERSAL, MATERIAL: PLASTICOTRNSPARENTE, CAPACIDADE DE 50ML, COM TAMPA ROSQUEAVEL</t>
  </si>
  <si>
    <t>BR0438929 - GEL CONDUTOR, COMPOSICAO:A BASE DE AGUA, CARACTEBR0438929 GEL CONDUTOR, A BASE DE AGUA, PH NEUTRO. FRASCO 1KG</t>
  </si>
  <si>
    <t>BR0332350 - INDICADOR BIOLOGICO, TIPO:SEGUNDA GERACAO, APRESBR0332350 INDICADOR BIOLOGICO, SEGUNDA GERACAO, AUTOCONTIDO, AMPOLA COM MEIO DE CULTURA, ESPECIE: BACILLUS STEAROTHERMOPHILLUS, RESPOSTA EM 24 HORAS, PARA ESTERILIZACAO A VAPOR</t>
  </si>
  <si>
    <t>INDICADOR QUIMICO, TIPO: INTEGRADOR TIPO 5 PARA ESTERELIZACAO A VAPOR, CLASSE V, TIPO USO: INTERNO, APRESENTACAO: TIRA DE PAPEL, CARACTERISTICAS ADICIONAIS: COM ADESIVO, CAIXA COM 250 UNIDADES.INDICADOR QUIMICO, TIPO: INTEGRADOR TIPO 5 PARA ESTERELIZACAO A VAP</t>
  </si>
  <si>
    <t>BR0312613 LENCOL DESCARTAVEL USO HOSPITALAR, MATERIA PRIMA:100% FIBRA CELULOSE VIRGEM, DIMENSOES:CERCA DE 70 CM X 50 M, APRESENTACAO 1:EM ROLOBR0312613 LENCOL DESCARTAVEL USO HOSPITALAR, MATERIA PRIMA:100% FIBRA CELULOSE VIRGEM, DIMENSOES:CERCA DE 70 CM X 50 M</t>
  </si>
  <si>
    <t>BR0276341 - LUVA CIRURGICA, LATEX NATURAL, TAM: 7,50BR0276341 LUVA CIRURGICA, EM LATEX NATURAL, TAMANHO: 7,5, ESTERIL, COMPRIMENTO MINIMO DE 28 CM, LUBRIFICADA COM PO BIOABSORVIVEL,ATOXICA, DESCARTAVEL, ANATOMICO, ANTIDERRAPANTE</t>
  </si>
  <si>
    <t>BR0269837 - LUVA CIRURGICA, LATEX NATURAL, TAMANHO: 8BR0269837 LUVA CIRURGICA, EM LATEX NATURAL, TAMANHO: 8, ESTERIL, COMPRIMENTO MINIMO DE 28 CM, LUBRIFICADA COM PO BIOABSORVIVEL,ATOXICA, DESCARTAVEL, ANATOMICO, ANTIDERRAPANTE</t>
  </si>
  <si>
    <t>BR0269894 - LUVA PARA PROCEDIMENTO NAO CIRURGICO, PEQUENOBR0269894 - LUVA PARA PROCEDIMENTO NAO CIRURGICO, MATERIAL: LATEX NATURAL INTEGRO E UNIFORME, TAMANHO: PEQUENO, CARACTERISTICAS ADICIONAIS: LUBRIFICADA COM PO BIOABSORVIVEL, DESCARTAVEL, APRESENTACAO: AT</t>
  </si>
  <si>
    <t>BR0439655 - SERINGA, MATERIAL:POLIPROPILENO, CAPACIDADE:1 MLBR0439655 SERINGA, EM POLIPROPILENO, 1 ML, BICO CENTRAL LUER SLIP, EMBOLO DE BORRACHA, GRADUADA (ESCALA UI), NUMERADA, COM AGULHA 27,5 G X 1/2", ESTERIL, DESCARTAVEL</t>
  </si>
  <si>
    <t>BR0439626 SERINGA, MATERIAL: POLIPROPILENO, GRADUADA, NUMERADA,BICO CENTRAL LUER LOCK OU SLIP, CAPACIDADE: 10 ML, EMBALAGEM INDIVIDUAL, ESTERIL, DESCARTAVEL, VEDACAO COM EMBOLO DE BORRACHABR0439626 SERINGA, MATERIAL: POLIPROPILENO, GRADUADA, NUMERADA,BICO CENT</t>
  </si>
  <si>
    <t>BR0439627 - SERINGA, POLIPROPILENO, 20 ML, BICO CENTRAL LUERBR0439627 SERINGA, POLIPROPILENO, 20 ML, BICO CENTRAL LUER LOCK, EMBOLO DE BORRACHA, GRADUADA, NUMERADA, ESTERIL, DESCARTAVEL, EMBALAGEM INDIVIDUAL</t>
  </si>
  <si>
    <t>BR0439625 SERINGA, MATERIAL: POLIPROPILENO, GRADUADA, NUMERADA, BICO CENTRAL LUER LOCK OU SLIP, CAPACIDADE: 3 ML, EMBALAGEM INDIVIDUAL, ESTERIL, DESCARTAVEL, TEMBOLO DE BORRACHABR0439625 SERINGA, MATERIAL: POLIPROPILENO, GRADUADA, NUMERADA, BICO CENTRAL LUER L</t>
  </si>
  <si>
    <t>BR0439624 - SERINGA 5ML LUER LOCK OU SLIPBR0439624 SERINGA , EM POLIPROPILENO TRANSPARENTE (PLASTICO), 5 ML, BICO LUER LOCK, EMBOLO COM PONTEIRA DE BORRACHA SILICONIZADA, GRADUACAO FIRME E PERFEITAMENTE LEGIVEL, DESCARTAVEL, ESTERIL</t>
  </si>
  <si>
    <t>BR0439630 - SERINGA, POLIPROPILENO, 20 ML, BICO LATERAL LUERBR0439630 - SERINGA, POLIPROPILENO, 20 ML, BICO LATERAL LUER SLIP, EMBOLO DE BORRACHA, GRADUADA, NUMERADA, ESTERIL, DESCARTAVEL, EMBALAGEM INDIVIDUAL</t>
  </si>
  <si>
    <t>BR0435902 - SONDA TRATO DIGESTIVO, APLICACAO:NASOENTERALBR0435902 SONDA NASOENTERAL, EM POLIURETANO, CALIBRE: NÂº 12, CERCA 120 CM, CONECTOR EM Y COM TAMPA, GRADUADA, PONTA DISTAL FECHADA, COM ORIFICIOS LATERAIS, COM FIO GUIA</t>
  </si>
  <si>
    <t>BR0435906 - SONDA TRATO DIGESTIVO, APLICACAO:ORO OU NASOGASTBR0435906 SONDA TRATO DIGESTIVO, ORO OU NASOGASTRICA, LEVINE, EM PVC, CALIBRE: NÂº 10, LONGA, CERCA 120 CM, CONECTOR PADRAO COM TAMPA, PONTA DISTAL FECHADA, COM ORIFICIOS LATERAIS, ESTERIL</t>
  </si>
  <si>
    <t>BR0435907 - SONDA TRATO DIGESTIVO, APLICACAO:ORO OU NASOGASTBR0435907 SONDA TRATO DIGESTIVO, ORO OU NASOGASTRICA, LEVINE, EM PVC, CALIBRE: NÂº 12, LONGA, CERCA 120 CM, CONECTOR PADRAO COM TAMPA, PONTA DISTAL FECHADA, COM ORIFICIOS LATERAIS, ESTERIL</t>
  </si>
  <si>
    <t>BR0435908 - SONDA TRATO DIGESTIVO, APLICACAO:ORO OU NASOGASTBR0435908 SONDA TRATO DIGESTIVO, ORO OU NASOGASTRICA, LEVINE, EM PVC, CALIBRE: NÂº 14, LONGA, CERCA 120 CM, CONECTOR PADRAO COM TAMPA, PONTA DISTAL FECHADA, COM ORIFICIOS LATERAIS, ESTERIL</t>
  </si>
  <si>
    <t>BR0435909 - SONDA TRATO DIGESTIVO, APLICACAO:ORO OU NASOGASTBR0435909 SONDA TRATO DIGESTIVO, ORO OU NASOGASTRICA, LEVINE, EM PVC, CALIBRE: NÂº 16, LONGA, CERCA 120 CM, CONECTOR PADRAO COM TAMPA, PONTA DISTAL FECHADA, COM ORIFICIOS LATERAIS, ESTERIL</t>
  </si>
  <si>
    <t>BR0435910 - SONDA TRATO DIGESTIVO, APLICACAO:ORO OU NASOGASTBR0435910 SONDA TRATO DIGESTIVO, ORO OU NASOGASTRICA, LEVINE, EM PVC, CALIBRE: NÂº 18, LONGA, CERCA 120 CM, CONECTOR PADRAO COM TAMPA, PONTA DISTAL FECHADA, COM ORIFICIOS LATERAIS, ESTERIL</t>
  </si>
  <si>
    <t>BR0435911 - SONDA TRATO DIGESTIVO, APLICACAO:ORO OU NASOGASTBR0435911 SONDA TRATO DIGESTIVO, ORO OU NASOGASTRICA, LEVINE, EM PVC, CALIBRE: NÂº 20, LONGA, CERCA 120 CM, CONECTOR PADRAO COM TAMPA, PONTA DISTAL FECHADA, COM ORIFICIOS LATERAIS, ESTERIL</t>
  </si>
  <si>
    <t>BR0437217 - SONDA TRATO DIGESTIVO, APLICACAO:ORO OU NASOGASTBR0437217 SONDA TRATO DIGESTIVO, ORO OU NASOGASTRICA, LEVINE, EM PVC, CALIBRE: NÂº 8, LONGA, CERCA 120 CM, CONECTOR PADRAO COM TAMPA, PONTA DISTAL FECHADA, COM ORIFICIOS LATERAIS, ESTERIL</t>
  </si>
  <si>
    <t>BR0436042 - SONDA TRATO URINARIO, MODELO:URETRAL, MATERIAL:PBR0436042 SONDA TRATO URINARIO URETRAL, EM PVC, CALIBRE: 10 FRENCH, CONECTOR PADRAO COM TAMPA, CERCA 20 CM, PONTA DISTAL CILINDRICA FECHADA, COM ORIFICIOS LATERAIS, ESTERIL, DESCARTAVEL, EMBALAGEM IND</t>
  </si>
  <si>
    <t>BR0436136 SONDA TRATO URINARIO URETRAL, EM PVC, CALIBRE: 12 FRENCH, CONECTOR PADRAO COM TAMPA, CERCA 20 CM, PONTA DISTAL CILINDRICA FECHADA, COM ORIFICIOS LATERAIS, ESTERIL, DESCARTAVEL, EMBALAGEM INDIVIDUALBR0436136 SONDA TRATO URINARIO URETRAL, EM PVC, CALIB</t>
  </si>
  <si>
    <t>BR0435982 - SONDA TRATO URINARIO, MODELO:URETRAL, MATERIAL:PBR0435982 SONDA TRATO URINARIO URETRAL, EM PVC, CALIBRE: 14 FRENCH, CONECTOR PADRAO COM TAMPA, CERCA 20 CM, PONTA DISTAL CILINDRICA FECHADA, COM ORIFICIOS LATERAIS, ESTERIL, DESCARTAVEL, EMBALAGEM IND</t>
  </si>
  <si>
    <t>BR0435985 - SONDA TRATO URINARIO, MODELO:URETRAL, MATERIAL:PBR0435985 SONDA TRATO URINARIO URETRAL, EM PVC, CALIBRE: 16 FRENCH, CONECTOR PADRAO COM TAMPA, CERCA 20 CM, PONTA DISTAL CILINDRICA FECHADA, COM ORIFICIOS LATERAIS, ESTERIL, DESCARTAVEL, EMBALAGEM IND</t>
  </si>
  <si>
    <t>BR0435983 - SONDA TRATO URINARIO, MODELO:URETRAL, PVC, 18BR0435983 SONDA TRATO URINARIO URETRAL, EM PVC, CALIBRE: 18 FRENCH, CONECTOR PADRAO COM TAMPA, CERCA 20 CM, PONTA DISTAL CILINDRICA FECHADA, COM ORIFICIOS LATERAIS, ESTERIL, DESCARTAVEL, EMBALAGEM INDIVI</t>
  </si>
  <si>
    <t>BR0436228 - SONDA TRATO URINARIO, MODELO:URETRAL, MATERIAL:PBR0436228 SONDA TRATO URINARIO URETRAL, EM PVC, CALIBRE: 6 FRENCH, CONECTOR PADRAO COM TAMPA, CERCA 20 CM, PONTA DISTAL CILINDRICA FECHADA, COM ORIFICIOS LATERAIS, ESTERIL, DESCARTAVEL, EMBALAGEM INDI</t>
  </si>
  <si>
    <t>BR0438409 - SONDA TRATO URINARIO, MODELO:URETRAL, MATERIAL:PBR0438409 SONDA TRATO URINARIO URETRAL, EM PVC, CALIBRE: 8 FRENCH, CONECTOR PADRAO COM TAMPA, CERCA 20 CM, PONTA DISTAL CILINDRICA FECHADA, COM ORIFICIOS LATERAIS, ESTERIL, DESCARTAVEL, EMBALAGEM INDI</t>
  </si>
  <si>
    <t>BR0428616 TOUCA HOSPITALAR, MATERIAL :NAO TECIDO 100% POLIPROPILENO, MODELO:COM ELASTICO EM TODA VOLTA, COR :SEM COR, GRAMATURA :CERCA DE 20 G/M2, TAMANHO :UNICO, TIPO USO :DESCARTAVEL, CARACTERISTICA ADICIONAL 01:HIPOALERGENICA, ATOXICA, INODORA, UNISSEX. PAC</t>
  </si>
  <si>
    <t>BR0435410 UMIDIFICADOR, POLIPROPILENO COM INSERTO DE LATAO, 250 ML, BOCA LARGA, CORES, IDENTIFICACAO (ABNT NB 24), OXIGENIO, CONEXAO BORBOLETA DE INSERTO LATAO E POLIPROPILENO, CONEXAO SAIDA LATAO CROMADO PARA MANGUEIRA COM MASCARABR0435410 UMIDIFICADOR, POLIP</t>
  </si>
  <si>
    <t>TOUCA DESCARTÁVEL EM TNT COM ELÁSTICO – TAMANHO ÚNICO</t>
  </si>
  <si>
    <t>Luva de Látex para Procedimentos Não Cirúrgicos – Sem Pó – Caixa com 100 Unidades - TAMANHO P</t>
  </si>
  <si>
    <t>Luva de Látex para Procedimentos Não Cirúrgicos – Sem Pó – Caixa com 100 Unidades - TAMANHO M</t>
  </si>
  <si>
    <t>Luva de Látex para Procedimentos Não Cirúrgicos – Sem Pó – Caixa com 100 Unidades - TAMANHO G</t>
  </si>
  <si>
    <t>Máscara Respirador Semifacial Tipo PFF2 com Válvula – Dobrável</t>
  </si>
  <si>
    <t xml:space="preserve">Extensor Nutrição Enteral material: polímero, tipo: infusão em bólus, vias: 2 vias, em "y", dimensões: cerca de 12 fr x 30, tipo conexão: luer slip / slip, adicional 1: c/ clamp, tampas, adicional 2: conector escalonado p/ gastrostomia, esterilidade: estéril, </t>
  </si>
  <si>
    <t>Avental Procedimento - Paramentação esterilidade: não estéril, descartável, material: plástico, propriedade: impermeável, modelo manga: sem manga, tamanho: grande (g), cor: transparente, tipo fechamento: posterior p/ cintura</t>
  </si>
  <si>
    <t>Campo Cirúrgico modelo: fenestrado, material: 100% algodão, gramatura: mínimo de 260, dimensões: cerca de 50 x 50, cor: c/ cor, esterilidade: esterilizável</t>
  </si>
  <si>
    <t>Campo Cirúrgico modelo: fenestrado, material: 100% algodão, gramatura: mínimo de 260, dimensões: cerca de 75 x 75, cor: c/ cor, esterilidade: esterilizável</t>
  </si>
  <si>
    <t>LUVA PROCEDIMENTO M LATEX CAIXA C/100 UN</t>
  </si>
  <si>
    <t>LUVA PROCEDIMENTO P LATEX CAIXA C/100 UNIDADES</t>
  </si>
  <si>
    <t>PAPEL GRAU CIRÚRGICO 100 MMX100 M</t>
  </si>
  <si>
    <t>PAPEL GRAU CIRÚRGICO 200 MMX100 M</t>
  </si>
  <si>
    <t>AGULHA HIPODERMICA COM DISPOSITIVO DE SEGURANÇA 13 X 4,5</t>
  </si>
  <si>
    <t>AGULHA HIPODERMICA COM DISPOSITIVO DE SEGURANÇA 20 X 0,55</t>
  </si>
  <si>
    <t>AGULHA HIPODERMICA COM DISPOSITIVO DE SEGURANÇA 25 X 6</t>
  </si>
  <si>
    <t>AGULHA HIPODERMICA COM DISPOSITIVO DE SEGURANÇA 25 X 7</t>
  </si>
  <si>
    <t>AGULHA HIPODERMICA COM DISPOSITIVO DE SEGURANÇA 25 X 8</t>
  </si>
  <si>
    <t>AGULHA HIPODERMICA COM DISPOSITIVO DE SEGURANÇA 40 X 12</t>
  </si>
  <si>
    <t>ASPIRADOR CIRÚRGICO ELÉTRICO PORTÁTIL 2 L</t>
  </si>
  <si>
    <t>ATADURA DE CREPE 10 X 4,5 C/ 12 ROLOS 13 FIOS</t>
  </si>
  <si>
    <t>ATADURA DE CREPE 15 X 4,5 C/ 12 ROLOS 13 FIOS</t>
  </si>
  <si>
    <t>ATADURA DE CREPE 20 X 4,5 C/ 12 ROLOS 13 FIOS</t>
  </si>
  <si>
    <t>ATADURA DE CREPE 8 X 4,5 C/ 12 ROLOS 13 FIOS</t>
  </si>
  <si>
    <t>AVENTAL CIRÚRGICO SMS 40G/M² ESTÉRIL G C/ TOALHA DE MÃO</t>
  </si>
  <si>
    <t>Bougie - Guia para Intubação Traqueal Ventilado Intermediário</t>
  </si>
  <si>
    <t>CATETER CENTRAL VENOSO DUPLO LUMEM- 7FR X 20CM</t>
  </si>
  <si>
    <t>CATETER CENTRAL VENOSO MONO LUMEM- 22GAU X 20CM</t>
  </si>
  <si>
    <t>CATETER NASAL TIPO OCULOS ADULTO</t>
  </si>
  <si>
    <t>CATETER NASAL TIPO OCULOS INFANTIL</t>
  </si>
  <si>
    <t>CATETER UMBILICAL 2 FR 30 CM MONO LÚMEN ESTÉRIL</t>
  </si>
  <si>
    <t>CATETER UMBILICAL 4 FR 30 CM DUPLO LÚMEN ESTÉRIL</t>
  </si>
  <si>
    <t>CATETER UMBILICAL 5 FR 40 CM DUPLO LÚMEN ESTÉRIL</t>
  </si>
  <si>
    <t>CATETER UMBILICAL 6 FR 40 CM DUPLO LÚMEN ESTÉRIL</t>
  </si>
  <si>
    <t>CATETER UMBILICAL 6 FR 40 CM MONO LÚMEN ESTÉRIL</t>
  </si>
  <si>
    <t>CATETER UMBILICAL 8 FR 40 CM MONO LÚMEN ESTÉRIL</t>
  </si>
  <si>
    <t>COLETOR DE URINA SISTEMA ABERTO 2.000 ML</t>
  </si>
  <si>
    <t>COLETOR DE URINA SISTEMA FECHADO 2 LITROS</t>
  </si>
  <si>
    <t>COLETOR UNIVERSAL ESTÉRIL 80 ML</t>
  </si>
  <si>
    <t>COMADRE DE INOX</t>
  </si>
  <si>
    <t>CUBA RIM INOX 23x12</t>
  </si>
  <si>
    <t>EQUIPO MACROGOTAS FLEXÍVEL COM INJETOR LATERAL</t>
  </si>
  <si>
    <t>EQUIPO MACROGOTAS FOTO SENSÍVEL</t>
  </si>
  <si>
    <t>EQUIPO MICROGOTAS C/ INJETOR LATERAL</t>
  </si>
  <si>
    <t>EQUIPO TRANSFUSAO DE SANGUE C/ FILTRO</t>
  </si>
  <si>
    <t>ESPARADRAPO 10CM X 4,5M</t>
  </si>
  <si>
    <t>ESPECULO VAGINAL TAMANHO G</t>
  </si>
  <si>
    <t>ESPECULO VAGINAL TAMANHO M</t>
  </si>
  <si>
    <t>ESPECULO VAGINAL TAMANHO P</t>
  </si>
  <si>
    <t>FITA ADESIVA MICROPOROSA 12MM X 10M</t>
  </si>
  <si>
    <t>FITA P/AUTOCLAVE</t>
  </si>
  <si>
    <t>FRALDA DESCARTAVEL GERIÁTRICA G PACOTE C/8 UNID</t>
  </si>
  <si>
    <t>FRALDA DESCARTAVEL GERIÁTRICA M PACOTE C/8 UNID</t>
  </si>
  <si>
    <t>FRALDA DESCARTAVEL GERIÁTRICA ( P ) PACOTE C/8 UNID</t>
  </si>
  <si>
    <t>FRALDA DESCARTÁVEL GERIÁTRICA TAMANHO EXTRA G PACOTE COM 7 UNIDADE</t>
  </si>
  <si>
    <t>FRALDA DESCARTAVEL INFANTIL G PACOTE C/10 UNID</t>
  </si>
  <si>
    <t>FRALDA DESCARTAVEL INFANTIL M PACOTE C/10 UNID</t>
  </si>
  <si>
    <t>FRALDA DESCARTAVEL INFANTIL P PACOTE C/10 UNID</t>
  </si>
  <si>
    <t>INDICADOR BIOLÓGICO CX C/50 UNID.</t>
  </si>
  <si>
    <t>LAMINA BISTURI Nº 11 CAIXA C/ 100 UNIDADES</t>
  </si>
  <si>
    <t>LAMINA BISTURI Nº 22 CAIXA C/ 100 UNIDADES</t>
  </si>
  <si>
    <t>LANCETA</t>
  </si>
  <si>
    <t>LENÇOL DESCARTÁVEL</t>
  </si>
  <si>
    <t>LUVA PROCEDIMENTO G LATEX CAIXA C/100 UN</t>
  </si>
  <si>
    <t>LUVA PROCEDIMENTO PP LATEX CAIXA C/100 UNIDADES</t>
  </si>
  <si>
    <t>MÁSCARA LARÍNGEA N° 1</t>
  </si>
  <si>
    <t>MÁSCARA LARÍNGEA N° 1,5</t>
  </si>
  <si>
    <t>MÁSCARA LARÍNGEA N° 2</t>
  </si>
  <si>
    <t>MÁSCARA LARÍNGEA N° 2,5</t>
  </si>
  <si>
    <t>MÁSCARA LARÍNGEA N° 3</t>
  </si>
  <si>
    <t>MÁSCARA LARÍNGEA N° 4</t>
  </si>
  <si>
    <t>MÁSCARA LARÍNGEA N° 5</t>
  </si>
  <si>
    <t>MÁSCARA N95 / PFF2</t>
  </si>
  <si>
    <t>PAPAGAIO DE INOX</t>
  </si>
  <si>
    <t>PROTETOR OCULAR NEONATAL P/ FOTOTERAPIA DESCARTÁVEL G</t>
  </si>
  <si>
    <t>PROTETOR OCULAR NEONATAL P/ FOTOTERAPIA DESCARTÁVEL M</t>
  </si>
  <si>
    <t>PROTETOR OCULAR NEONATAL P/ FOTOTERAPIA DESCARTÁVEL P</t>
  </si>
  <si>
    <t>PROTETOR OCULAR NEONATAL P/ FOTOTERAPIA DESCARTÁVEL PP</t>
  </si>
  <si>
    <t>SAPATILHA MALHA (PROPE) BRANCO 20G PACOTE COM 100 UNIDADES</t>
  </si>
  <si>
    <t>SERINGA DESC. S/AGULHA BICO SLIP, ESTÉRIL APIROGENICA, ATOXICA 20ML</t>
  </si>
  <si>
    <t>SERINGA DESCARTÁVEL C/ AGULHA, ESTÉRIL, INSULINA, U 100, 1 ML</t>
  </si>
  <si>
    <t>SERINGA DESCARTÁVEL S/ AGULHA, ESTERIL, EPIROGENICA, ATOXICA - 10 ML</t>
  </si>
  <si>
    <t>SERINGA DESCARTÁVEL S/ AGULHA, ESTERIL, EPIROGENICA, ATOXICA - 5 ML</t>
  </si>
  <si>
    <t>SERINGA DESCARTÁVEL S/ AGULHA, ESTERIL, EPIROGENICA, ATOXICA -3ML</t>
  </si>
  <si>
    <t>SONDA GASTRICA LEVINE Nº 08 PACOTE C/10 UNID</t>
  </si>
  <si>
    <t>SONDA GASTRICA LEVINE Nº 10 PACOTE COM 10 UNID</t>
  </si>
  <si>
    <t>SONDA GASTRICA LEVINE Nº 12 PACOTE C/ 10 UNID</t>
  </si>
  <si>
    <t>SONDA GASTRICA LEVINE Nº 14 PACOTE C/ 10 UNID</t>
  </si>
  <si>
    <t>SONDA GASTRICA LEVINE Nº 16 PACOTE C/ 10 UNID</t>
  </si>
  <si>
    <t>SONDA GASTRICA LEVINE Nº 20 PACOTE C/ 10 UNID</t>
  </si>
  <si>
    <t>SONDA GASTRICA LEVINE Nº 22 PACOTE C / 10 UNID</t>
  </si>
  <si>
    <t>SONDA NASOENTERAL Nº 10 120 CM ESTÉRIL DESCARTÁVEL C/ FIO GUIA</t>
  </si>
  <si>
    <t>SONDA NASOENTERAL Nº 8 100 CM ESTÉRIL DESCARTÁVEL C/ FIO GUIA</t>
  </si>
  <si>
    <t>SONDA NASOGASTRICA LONGA Nº 06 PACOTE C/ 10 UNID</t>
  </si>
  <si>
    <t>SONDA NASOGASTRICA LONGA Nº 08 PACOTE C/ 10 UNID</t>
  </si>
  <si>
    <t>SONDA NASOGASTRICA LONGA Nº 10 PACOTE C/ 10 UNID</t>
  </si>
  <si>
    <t>SONDA URETRAL Nº 06 PACOTE C/10 UNID</t>
  </si>
  <si>
    <t>SONDA URETRAL Nº 08 PACOTEC/ 10 UNID</t>
  </si>
  <si>
    <t>SONDA URETRAL Nº 10 PACOTE C/ 10 UNID</t>
  </si>
  <si>
    <t>SONDA URETRAL Nº 12 PACOTE C/ 10 UNID</t>
  </si>
  <si>
    <t>SONDA URETRAL Nº 14 PACOTE C/ 10 UNID</t>
  </si>
  <si>
    <t>SONDA URETRAL Nº 16 PACOTE C/ 10 UNID</t>
  </si>
  <si>
    <t>SONDA URETRAL Nº 18 PACOTE C/ 10 UNID</t>
  </si>
  <si>
    <t>TORNEIRINHA 3 VIAS</t>
  </si>
  <si>
    <t>TOUCA DESCARTAVEL C/ ELASTICO PACOTEC/ 100 UNIDADES</t>
  </si>
  <si>
    <t>UMIDIFICADOR C/FRASCO PLÁSTICO 500ML</t>
  </si>
  <si>
    <t>Agulha Hipodérmica Descartável 20 x 0,55 mm (24G), Agulha Hipodérmica Descartável 20 x 0,55 mm (24G), estéril, descartável, confeccionada em aço inoxidável, siliconizada, com bisel trifacetado e canhão com identificação do calibre por cores, embalada individua</t>
  </si>
  <si>
    <t xml:space="preserve">Agulha Hipodérmica Descartável 25 x 0,60 mm (23G), estéril, Agulha Hipodérmica Descartável 25 x 0,60 mm (23G), estéril, descartável, confeccionada em aço inoxidável, siliconizada, com bisel trifacetado e canhão com identificação do calibre por cores, embalada </t>
  </si>
  <si>
    <t>Agulha Hipodérmica Descartável 25 x 0,80 mm (21G), Agulha Hipodérmica Descartável 25 x 0,80 mm (21G), estéril, descartável, confeccionada em aço inoxidável, siliconizada, com bisel trifacetado e canhão com identificação do calibre por cores, embalada individua</t>
  </si>
  <si>
    <t>Agulha Hipodérmica Descartável 25 x 0,70 mm (22G), Agulha Hipodérmica Descartável 25 x 0,70 mm (22G), estéril, descartável, confeccionada em aço inoxidável, siliconizada, com bisel trifacetado e canhão com identificação do calibre por cores, embalada individua</t>
  </si>
  <si>
    <t>Agulha Hipodérmica Descartável 40 x 12 mm (18G), Agulha Hipodérmica Descartável 40 x 12 mm (18G), estéril, descartável, confeccionada em aço inoxidável, siliconizada, com bisel trifacetado e canhão com identificação do calibre por cores, embalada individualmen</t>
  </si>
  <si>
    <t>Avental de proteção em PVC adulto, Avental de proteção em PVC, impermeável, tamanho adulto, mínimo 1,20 m x 0,70 m, com tiras para fixação no pescoço e cintura. Com CA válido.</t>
  </si>
  <si>
    <t>Bacia em aço inoxidável AISI 304, Bacia em aço inoxidável AISI 304, com capacidade de 3,5 litros, resistente à corrosão e altas temperaturas, superfície polida e bordas arredondadas. Autoclavável. Diâmetro aproximado de 30 cm.</t>
  </si>
  <si>
    <t>Bolsa coletora de urina, Bolsa coletora de urina, sistema fechado, capacidade de 2.000 ml, confeccionada em PVC atóxico e transparente, com válvula antirreflexo, ponto para coleta de amostra, dreno inferior, tubo extensor com pinça e suporte para fixação. Esté</t>
  </si>
  <si>
    <t>Cabo de bisturi nº 4, Cabo de bisturi nº 4, em aço inoxidável de grau cirúrgico, resistente à corrosão, autoclavável e reutilizável, compatível com lâminas nº 20, 21, 22, 23 e 24, com superfície lisa e de fácil higienização.</t>
  </si>
  <si>
    <t>Cabo de bisturi nº 3, Cabo de bisturi nº 3, em aço inoxidável de grau médico, resistente à corrosão, autoclavável e reutilizável, compatível com lâminas nº 10, 11, 12 e 15, com superfície lisa e de fácil higienização.</t>
  </si>
  <si>
    <t>Cateter Intravenoso Periférico 14G, Cateter Intravenoso Periférico 14G: tipo sobre agulha (abocath), com dispositivo de segurança, radiopaco, em poliuretano. Estéril. Caixa com 100 unidades.</t>
  </si>
  <si>
    <t>Cateter Intravenoso Periférico 16G, Cateter Intravenoso Periférico 16G: tipo sobre agulha (abocath), com dispositivo de segurança, radiopaco, em poliuretano. Estéril. Caixa com 100 unidades.</t>
  </si>
  <si>
    <t>Cateter Intravenoso Periférico 18G, Cateter Intravenoso Periférico 18G: tipo sobre agulha (abocath), com dispositivo de segurança, radiopaco, em poliuretano. Estéril. Caixa com 100 unidades.</t>
  </si>
  <si>
    <t>Cateter Intravenoso Periférico 20G, Cateter Intravenoso Periférico 20G: tipo sobre agulha (abocath), com dispositivo de segurança, radiopaco, em poliuretano. Estéril. Caixa com 100 unidades.</t>
  </si>
  <si>
    <t>Cateter Intravenoso Periférico 22G, Cateter Intravenoso Periférico 22G: tipo sobre agulha (abocath), com dispositivo de segurança, radiopaco, em poliuretano. Estéril. Caixa com 100 unidades.</t>
  </si>
  <si>
    <t>Cateter Intravenoso Periférico 24G, Cateter Intravenoso Periférico 24G: tipo sobre agulha (abocath), com dispositivo de segurança, radiopaco, em poliuretano. Estéril. Caixa com 100 unidades.</t>
  </si>
  <si>
    <t>Cateter nasal para oxigênio tipo óculos,, Cateter nasal para oxigênio tipo óculos, adulto, confeccionado em PVC e/ou silicone, macio, flexível, transparente e atóxico, com ponta nasal anatômica, conexão universal para oxigênio e resistente a dobras ou acotovel</t>
  </si>
  <si>
    <t>Cateter nasal para oxigênio tipo óculos, Cateter nasal para oxigênio tipo óculos, pediátrico, confeccionado em PVC e/ou silicone, macio, flexível, transparente e atóxico, com ponta nasal anatômica, conexão universal para oxigênio e resistente a dobras ou acoto</t>
  </si>
  <si>
    <t>Coletor de material perfurocortante, Coletor de material perfurocortante, capacidade mínima de 13 litros, confeccionado em papel incinerável, revestido internamente com material impermeabilizante, com saco plástico, cinta resistente a perfurações, alça dupla p</t>
  </si>
  <si>
    <t>Coletor de material perfurocortante 20L, Coletor de material perfurocortante, capacidade mínima de 20 litros, confeccionado em papel incinerável, revestido internamente com material impermeabilizante, com saco plástico, cinta resistente a perfurações, alça dup</t>
  </si>
  <si>
    <t>Coletor de urina feminino , Coletor de urina feminino (marreco), em aço inoxidável, com formato anatômico, abertura adaptada, alça de apoio e graduação de até 1.000 ml, resistente a produtos de desinfecção hospitalar.</t>
  </si>
  <si>
    <t>Coletor de urina masculino, Coletor de urina masculino (papagaio), em aço inoxidável, com formato anatômico, bico direcionador, alça para transporte e graduação de até 1.000 ml, autoclavável e/ou lavável.</t>
  </si>
  <si>
    <t>Compressa de gaze hidrófila não estéril, Compressa de gaze hidrófila não estéril, em 100% algodão, 7,5 x 7,5 cm, com 13 fios/cm², 8 camadas e 5 dobras, macia, absorvente e resistente, com acabamento que minimize o desprendimento de fiapos, pacote com no mínimo</t>
  </si>
  <si>
    <t>Cuba rim em aço inoxidável AISI 304, Cuba rim em aço inoxidável AISI 304, capacidade mínima de 700 ml, formato anatômico, com bordas arredondadas e acabamento polido, resistente a altas temperaturas e ciclos de autoclave, dimensões mínimas de 26 x 12 x 6 cm.</t>
  </si>
  <si>
    <t>Curativo estéril, composto por espuma de poliuretano , Curativo estéril, composto por espuma de poliuretano absorvente impregnada com complexo de prata, com película externa respirável e impermeável a líquidos, dimensões mínimas de 10 x 10 cm, embalagem indivi</t>
  </si>
  <si>
    <t>Curativo/gaze estéril, Curativo/gaze estéril, em tecido não tecido, composto por fibras de poliéster/viscose impregnadas com cloreto de sódio a 20%, indicado para feridas com elevada exsudação, dimensões mínimas de 10 x 10 cm, embalagem individual e estéril, c</t>
  </si>
  <si>
    <t>Equipo de infusão macrogotas fotossensível, Equipo de infusão macrogotas fotossensível, estéril, descartável, em PVC âmbar, com proteção fotossensível, ponta perfurante, câmara de gotejamento, pinça rolete e conector Luer Lock, comprimento mínimo de 150 cm, at</t>
  </si>
  <si>
    <t>Equipo de infusão intravenosa microgotas, Equipo de infusão intravenosa microgotas, estéril, descartável e apirogênico, em material atóxico e livre de látex, com câmara de gotejamento transparente, filtro de partículas, ponta perfurante, pinça rolete e conecto</t>
  </si>
  <si>
    <t>Equipo macrogotas para infusão gravitacional, Equipo macrogotas para infusão gravitacional, estéril, descartável e apirogênico, com ponta perfurante, câmara de gotejamento de 20 gotas/ml, filtro de partículas de 15 micras, tubo extensor em PVC flexível com com</t>
  </si>
  <si>
    <t>Esparadrapo comum impermeável, Esparadrapo comum impermeável, confeccionado em tecido 100% algodão com tratamento impermeabilizante, camada adesiva de resina acrílica, cor branca, bordas serrilhadas, dimensões mínimas de 10 cm x 4,5 m, atóxico, com registro na</t>
  </si>
  <si>
    <t>Espéculo vaginal tamanho G, Espéculo vaginal tamanho G, descartável, estéril, confeccionado em poliestireno cristal e/ou material plástico atóxico, transparente, com bordas lisas e arredondadas, sistema de abertura com rosca e/ou cremalheira, lubrificado e emb</t>
  </si>
  <si>
    <t>Espéculo vaginal tamanho M, Espéculo vaginal tamanho M, descartável, estéril, confeccionado em poliestireno cristal e/ou material plástico atóxico, transparente, com bordas lisas e arredondadas, sistema de abertura com rosca e/ou cremalheira, lubrificado e emb</t>
  </si>
  <si>
    <t>Espéculo vaginal tamanho P, Espéculo vaginal tamanho P, descartável, estéril, confeccionado em poliestireno cristal e/ou material plástico atóxico, transparente, com bordas lisas e arredondadas, sistema de abertura com rosca e/ou cremalheira, lubrificado e emb</t>
  </si>
  <si>
    <t>Extensão para oxigênio, Extensão para oxigênio, confeccionada em PVC atóxico e flexível, comprimento mínimo de 2 metros, com conectores universais em ambas as extremidades, resistente a dobras e anticolabamento, nas cores branca e/ou verde, estéril e/ou com ba</t>
  </si>
  <si>
    <t>Fio de sutura mononylon 2-0, Fio de sutura mononylon 2-0, em poliamida, monofilamentar, não absorvível e estéril, com superfície lisa, comprimento mínimo de 45 cm, agulhado com agulha em aço inoxidável 3/8 de círculo, ponta cortante, embalagem individual, caix</t>
  </si>
  <si>
    <t>Fio de sutura mononylon 3-0, Fio de sutura mononylon 3-0, em poliamida, monofilamentar, não absorvível e estéril, com superfície lisa, comprimento mínimo de 45 cm, agulhado com agulha em aço inoxidável 3/8 de círculo, ponta cortante, embalagem individual, caix</t>
  </si>
  <si>
    <t>Fio de sutura mononylon 4-0, Fio de sutura mononylon 4-0, em poliamida, monofilamentar, não absorvível e estéril, com superfície lisa, comprimento mínimo de 45 cm, agulhado com agulha em aço inoxidável 3/8 de círculo, ponta cortante, embalagem individual, caix</t>
  </si>
  <si>
    <t>Fio de sutura mononylon 5-0, Fio de sutura mononylon 5-0, em poliamida, monofilamentar, não absorvível e estéril, com superfície lisa, agulhado com agulha em aço inoxidável 3/8 de círculo, ponta cortante, embalagem individual, caixa com no mínimo 24 unidades.</t>
  </si>
  <si>
    <t>Fio de sutura mononylon 6-0, Fio de sutura mononylon 6-0, em poliamida, monofilamentar, não absorvível e estéril, com superfície lisa e uniforme, agulhado com agulha em aço inoxidável 3/8 de círculo, ponta cortante, embalagem individual, com registro na ANVISA</t>
  </si>
  <si>
    <t>Fita adesiva indicadora para autoclave, Fita adesiva indicadora para autoclave, em papel crepado, sensível à pressão, com reagente químico para indicação da exposição ao calor úmido, dimensões mínimas de 19 mm x 50 m.</t>
  </si>
  <si>
    <t>Fita adesiva transparente para uso geral, Fita adesiva transparente para uso geral, em filme de polipropileno e/ou material equivalente, com adesivo de alta aderência, transparente, resistente e de fácil desenrolamento, dimensões mínimas de 45 mm x 100 m.</t>
  </si>
  <si>
    <t>Fita microporosa 25 mm x 10 m, Fita microporosa, confeccionada em não tecido (TNT) e/ou material equivalente, com adesivo hipoalergênico, permeável ao ar e ao vapor d’água, dimensões mínimas de 25 mm x 10 m, de uso único, com registro na ANVISA.</t>
  </si>
  <si>
    <t>Fita microporosa 50 mm x 10 m, Fita microporosa, confeccionada em não tecido (TNT) e/ou material equivalente, com adesivo hipoalergênico, permeável ao ar e ao vapor d’água, dimensões mínimas de 50 mm x 10 m, de uso único, com registro na ANVISA.</t>
  </si>
  <si>
    <t>Gaze hidrófila não estéril tipo “queijo”, Gaze hidrófila não estéril tipo “queijo”, confeccionada em tecido 100% algodão, com trama uniforme, mínimo de 13 fios por cm², macia, absorvente e isenta de impurezas, amido, corantes e substâncias gordurosas, fornecid</t>
  </si>
  <si>
    <t>Gel condutor multiuso (Carbo Gel), Gel condutor multiuso (Carbo Gel), à base de água, incolor ou levemente azulado, com pH neutro, hipoalergênico, hidrossolúvel, isento de sal, álcool e substâncias gordurosas, com alta condutividade, consistência firme e não e</t>
  </si>
  <si>
    <t>Guia Bougie para intubação endotraqueal 10 FR, Guia Bougie para intubação endotraqueal 10 FR, estéril, descartável, confeccionado em material flexível com memória, com ponta distal curva e atraumática, superfície de baixa fricção e calibre 10 FR.</t>
  </si>
  <si>
    <t>Guia Bougie para intubação endotraqueal 15 FR, Guia Bougie para intubação endotraqueal 15 FR, estéril, descartável, confeccionado em material flexível com memória, com ponta distal curva e atraumática, superfície de baixa fricção e calibre 15 FR.</t>
  </si>
  <si>
    <t>Indicador biológico para monitoramento de esterilização , Indicador biológico para monitoramento de esterilização a vapor saturado em autoclave, do tipo autocontido, contendo esporos de Geobacillus stearothermophilus, com meio de cultura e indicador de crescim</t>
  </si>
  <si>
    <t>Lâmina de bisturi nº 12, Lâmina de bisturi nº 12, estéril, descartável, confeccionada em aço carbono, com corte preciso e uniforme, formato curvo em gancho, compatível com cabo de bisturi nº 3, embalagem individual estéril e registro na ANVISA, caixa com no mí</t>
  </si>
  <si>
    <t>Lâmina de bisturi nº 22, Lâmina de bisturi nº 22, estéril, descartável, confeccionada em aço carbono, com corte preciso e uniforme, compatível com cabo de bisturi nº 4, embalagem individual estéril e registro na ANVISA, caixa com no mínimo 100 unidades.</t>
  </si>
  <si>
    <t>Lençol de papel hospitalar em rolo, Lençol de papel hospitalar em rolo, descartável, confeccionado em 100% celulose virgem, cor branca, macio, absorvente e resistente, dimensões mínimas de 50 cm x 50 m, uso único.</t>
  </si>
  <si>
    <t>Lençol descartável com elástico, Lençol descartável com elástico, confeccionado em TNT 100% polipropileno, cor branca, atóxico e hipoalergênico, com elástico em toda a extensão, dimensões mínimas de 90 cm x 2,00 m, pacote com no mínimo 10 unidades.</t>
  </si>
  <si>
    <t>Luva cirúrgica estéril nº 6,0, Luva cirúrgica estéril nº 6,0, descartável, anatômica, confeccionada em látex natural e/ou material equivalente, com resistência, elasticidade e sensibilidade tátil, com pó bioabsorvível, esterilizada e de uso único, embalagem in</t>
  </si>
  <si>
    <t>Luva cirúrgica estéril nº 6,5, Luva cirúrgica estéril nº 6,5, descartável, anatômica, confeccionada em látex natural e/ou material equivalente, com resistência, elasticidade e sensibilidade tátil, com pó bioabsorvível, esterilizada e de uso único, embalagem in</t>
  </si>
  <si>
    <t>Luva cirúrgica estéril nº 7,0, Luva cirúrgica estéril nº 7,0, descartável, anatômica, confeccionada em látex natural e/ou material equivalente, com resistência, elasticidade e sensibilidade tátil, com pó bioabsorvível, esterilizada e de uso único, embalagem in</t>
  </si>
  <si>
    <t>Luva cirúrgica estéril nº 7,5, Luva cirúrgica estéril nº 7,5, descartável, anatômica, confeccionada em látex natural e/ou material equivalente, com resistência, elasticidade e sensibilidade tátil, com pó bioabsorvível, esterilizada e de uso único, embalagem in</t>
  </si>
  <si>
    <t>Luva cirúrgica estéril nº 8,0, Luva cirúrgica estéril nº 8,0, descartável, anatômica, confeccionada em látex natural e/ou material equivalente, com resistência, elasticidade e sensibilidade tátil, com pó bioabsorvível, esterilizada e de uso único, embalagem in</t>
  </si>
  <si>
    <t>Luva cirúrgica estéril nº 8,5, Luva cirúrgica estéril nº 8,5, descartável, anatômica, confeccionada em látex natural e/ou material equivalente, com resistência, elasticidade e sensibilidade tátil, com pó bioabsorvível, esterilizada e de uso único, embalagem in</t>
  </si>
  <si>
    <t>Luva cirúrgica estéril nº 9,0, Luva cirúrgica estéril nº 9,0, descartável, anatômica, confeccionada em látex natural e/ou material equivalente, com resistência, elasticidade e sensibilidade tátil, com pó bioabsorvível, esterilizada e de uso único, embalagem in</t>
  </si>
  <si>
    <t xml:space="preserve">Luva de procedimento (látex) G, Luva de procedimento (látex) G, não cirúrgica, ambidestra, descartável, confeccionada em látex de borracha natural e/ou material equivalente, superfície lisa, com pó bioabsorvível, caixa dispensadora com no mínimo 100 unidades, </t>
  </si>
  <si>
    <t xml:space="preserve">Luva de procedimento (látex) M, Luva de procedimento (látex) M, não cirúrgica, ambidestra, descartável, confeccionada em látex de borracha natural e/ou material equivalente, superfície lisa, com pó bioabsorvível, caixa dispensadora com no mínimo 100 unidades, </t>
  </si>
  <si>
    <t xml:space="preserve">Luva de procedimento (látex) P, Luva de procedimento (látex) P, não cirúrgica, ambidestra, descartável, confeccionada em látex de borracha natural e/ou material equivalente, superfície lisa, com pó bioabsorvível, caixa dispensadora com no mínimo 100 unidades, </t>
  </si>
  <si>
    <t>Luva de procedimento (látex) PP, Luva de procedimento (látex) PP, não cirúrgica, ambidestra, descartável, confeccionada em látex de borracha natural e/ou material equivalente, superfície lisa, com pó bioabsorvível, caixa dispensadora com no mínimo 100 unidades</t>
  </si>
  <si>
    <t>Máscara Cirúrgica Descartável, Máscara Cirúrgica Descartável, tripla camada, confeccionada em TNT com elemento filtrante Meltblown, eficiência de filtração bacteriana de no mínimo 95%, com clipe nasal ajustável e elásticos auriculares, hipoalergênica, cor bran</t>
  </si>
  <si>
    <t>Máscara de Oxigênio de Alta Concentração Não Reinalante Adulto, Máscara de Oxigênio de Alta Concentração Não Reinalante Adulto, confeccionada em PVC grau médico, transparente, macia e atóxica, com bolsa reservatório de no mínimo 1000 ml, válvulas unidirecionai</t>
  </si>
  <si>
    <t>Máscara Laríngea Descartável nº 1,0, Máscara Laríngea Descartável nº 1,0, confeccionada em silicone ou material equivalente de grau médico, atóxica e livre de látex, com tubo de ventilação, conector de 15 mm, manguito de baixa pressão, balão piloto e linha rad</t>
  </si>
  <si>
    <t>Máscara Laríngea Descartável nº 1,5, Máscara Laríngea Descartável nº 1,5, confeccionada em silicone ou material equivalente de grau médico, atóxica e livre de látex, com tubo de ventilação, conector de 15 mm, manguito de baixa pressão, balão piloto e linha rad</t>
  </si>
  <si>
    <t>Máscara Laríngea Descartável nº 2,0, Máscara Laríngea Descartável nº 2,0, confeccionada em silicone ou material equivalente de grau médico, atóxica e livre de látex, com tubo de ventilação, conector de 15 mm, manguito de baixa pressão, balão piloto e linha rad</t>
  </si>
  <si>
    <t>Máscara Laríngea Descartável nº 2,5, Máscara Laríngea Descartável nº 2,5, confeccionada em silicone ou material equivalente de grau médico, atóxica e livre de látex, com tubo de ventilação, conector de 15 mm, manguito de baixa pressão, balão piloto e linha rad</t>
  </si>
  <si>
    <t>Máscara Laríngea Descartável nº 3,0, Máscara Laríngea Descartável nº 3,0, confeccionada em silicone ou material equivalente de grau médico, atóxica e livre de látex, com tubo de ventilação, conector de 15 mm, manguito de baixa pressão, balão piloto e linha rad</t>
  </si>
  <si>
    <t>Máscara Laríngea Descartável nº 4,0, Máscara Laríngea Descartável nº 4,0, confeccionada em silicone ou material equivalente de grau médico, atóxica e livre de látex, com tubo de ventilação, conector de 15 mm, manguito de baixa pressão, balão piloto e linha rad</t>
  </si>
  <si>
    <t>Máscara Laríngea Descartável nº 5,0, Máscara Laríngea Descartável nº 5,0, confeccionada em silicone ou material equivalente de grau médico, atóxica e livre de látex, com tubo de ventilação, conector de 15 mm, manguito de baixa pressão, balão piloto e linha rad</t>
  </si>
  <si>
    <t>Máscara Laríngea Descartável nº 6,0, Máscara Laríngea Descartável nº 6,0, confeccionada em silicone ou material equivalente de grau médico, atóxica e livre de látex, com tubo de ventilação, conector de 15 mm, manguito de baixa pressão, balão piloto e linha rad</t>
  </si>
  <si>
    <t>Máscara Respiratória PFF2/N95 Descartável, Máscara Respiratória PFF2/N95 Descartável, sem válvula, confeccionada em material filtrante de alta eficiência, formato anatômico, clipe nasal ajustável e tirantes elásticos, atóxica, hipoalergênica e livre de fibra d</t>
  </si>
  <si>
    <t>Papel Grau Cirúrgico em Bobina 5 cm x 100 m, Papel Grau Cirúrgico em Bobina 5 cm x 100 m, tipo tubular, composto por papel grau cirúrgico com gramatura mínima de 60 g/m² e filme plástico transparente, compatível com esterilização em autoclave, com indicador qu</t>
  </si>
  <si>
    <t xml:space="preserve">Papel Grau Cirúrgico em Bobina 10 cm x 100 m, Papel Grau Cirúrgico em Bobina 10 cm x 100 m, tipo tubular, composto por papel grau cirúrgico com gramatura mínima de 60 g/m² e filme plástico transparente, compatível com esterilização em autoclave, com indicador </t>
  </si>
  <si>
    <t xml:space="preserve">Papel Grau Cirúrgico em Bobina 15 cm x 100 m, Papel Grau Cirúrgico em Bobina 15 cm x 100 m, tipo tubular, composto por papel grau cirúrgico com gramatura mínima de 60 g/m² e filme plástico transparente, compatível com esterilização em autoclave, com indicador </t>
  </si>
  <si>
    <t xml:space="preserve">Papel Grau Cirúrgico em Bobina 20 cm x 100 m, Papel Grau Cirúrgico em Bobina 20 cm x 100 m, tipo tubular, composto por papel grau cirúrgico com gramatura mínima de 60 g/m² e filme plástico transparente, compatível com esterilização em autoclave, com indicador </t>
  </si>
  <si>
    <t xml:space="preserve">Papel Grau Cirúrgico em Bobina 25 cm x 100 m, Papel Grau Cirúrgico em Bobina 25 cm x 100 m, tipo tubular, composto por papel grau cirúrgico com gramatura mínima de 60 g/m² e filme plástico transparente, compatível com esterilização em autoclave, com indicador </t>
  </si>
  <si>
    <t xml:space="preserve">Papel Grau Cirúrgico em Bobina 30 cm x 100 m, Papel Grau Cirúrgico em Bobina 30 cm x 100 m, tipo tubular, composto por papel grau cirúrgico com gramatura mínima de 60 g/m² e filme plástico transparente, compatível com esterilização em autoclave, com indicador </t>
  </si>
  <si>
    <t xml:space="preserve">Papel Grau Cirúrgico em Bobina 40 cm x 100 m, Papel Grau Cirúrgico em Bobina 40 cm x 100 m, tipo tubular, composto por papel grau cirúrgico com gramatura mínima de 60 g/m² e filme plástico transparente, compatível com esterilização em autoclave, com indicador </t>
  </si>
  <si>
    <t>Sapatilha Descartável Tipo Propé, Sapatilha Descartável Tipo Propé, confeccionada em TNT 100% polipropileno, gramatura de no mínimo 20 g/m², atóxica, hipoalergênica, resistente à umidade, com elástico em toda a borda, tamanho único, descartável e de uso único,</t>
  </si>
  <si>
    <t>Seringa Descartável 3 mL, Seringa Descartável 3 mL, estéril, de uso único, confeccionada em polipropileno transparente, com bico Luer Lock, escala graduada nítida, êmbolo com anel de retenção, sem agulha, embalagem individual estéril, registro na ANVISA, caixa</t>
  </si>
  <si>
    <t>Seringa Descartável 5 mL, Seringa Descartável 5 mL, estéril, de uso único, confeccionada em polipropileno transparente, com bico Luer Lock, escala graduada nítida, êmbolo com anel de retenção, sem agulha, embalagem individual estéril, registro na ANVISA, caixa</t>
  </si>
  <si>
    <t>Seringa Descartável 10 mL, Seringa Descartável 10 mL, estéril, de uso único, confeccionada em polipropileno transparente, com bico Luer Lock, escala graduada nítida, êmbolo com anel de vedação, sem agulha, embalagem individual estéril, registro na ANVISA, caix</t>
  </si>
  <si>
    <t>Seringa Descartável 20 mL, Seringa Descartável 20 mL, estéril, de uso único, confeccionada em polipropileno transparente, com bico Luer Lock, escala graduada nítida, êmbolo com anel de retenção, sem agulha, embalagem individual estéril, registro na ANVISA, cai</t>
  </si>
  <si>
    <t>Seringa para Insulina 1 mL 100 UI, Seringa para Insulina 1 mL 100 UI, estéril, atóxica, de uso único, com agulha fixa ou acoplada, escala graduada para 100 UI, êmbolo com anel de vedação, embalagem individual, caixa com no mínimo 100 unidades</t>
  </si>
  <si>
    <t>Sonda Nasogástrica Longa nº 10 Fr, Sonda Nasogástrica Longa nº 10 Fr, confeccionada em PVC atóxico, apirogênico, transparente e flexível, ponta distal arredondada, fechada e atraumática, no mínimo 02 furos laterais, conector universal compatível com seringas e</t>
  </si>
  <si>
    <t>Sonda Nasogástrica Longa nº 12 Fr, Sonda Nasogástrica Longa nº 12 Fr, confeccionada em PVC atóxico, apirogênico, transparente e flexível, ponta distal arredondada, fechada e atraumática, no mínimo 02 furos laterais, conector universal compatível com seringas e</t>
  </si>
  <si>
    <t>Sonda Nasogástrica Longa nº 14 Fr, Sonda Nasogástrica Longa nº 14 Fr, confeccionada em PVC atóxico, apirogênico, transparente e flexível, ponta distal arredondada, fechada e atraumática, no mínimo 02 furos laterais, conector universal compatível com seringas e</t>
  </si>
  <si>
    <t>Sonda Nasogástrica Longa nº 16 Fr, Sonda Nasogástrica Longa nº 16 Fr, confeccionada em PVC atóxico, apirogênico, transparente e flexível, ponta distal arredondada, fechada e atraumática, no mínimo 02 furos laterais, conector universal compatível com seringas e</t>
  </si>
  <si>
    <t>Sonda Nasogástrica Longa nº 18 Fr, Sonda Nasogástrica Longa nº 18 Fr, confeccionada em PVC atóxico, apirogênico, transparente e flexível, ponta distal arredondada, fechada e atraumática, no mínimo 02 furos laterais, conector universal compatível com seringas e</t>
  </si>
  <si>
    <t>Sonda Nasogástrica Longa nº 20 Fr, Sonda Nasogástrica Longa nº 20 Fr, confeccionada em PVC atóxico, apirogênico, transparente e flexível, ponta distal arredondada, fechada e atraumática, no mínimo 02 furos laterais, conector universal compatível com seringas e</t>
  </si>
  <si>
    <t>Sonda Nasogástrica Longa nº 4 Fr, Sonda Nasogástrica Longa nº 4 Fr, confeccionada em PVC atóxico, apirogênico, transparente e flexível, ponta distal arredondada, fechada e atraumática, no mínimo 02 furos laterais, conector universal compatível com seringas e e</t>
  </si>
  <si>
    <t>Sonda Nasogástrica Longa nº 6 Fr, Sonda Nasogástrica Longa nº 6 Fr, confeccionada em PVC atóxico, apirogênico, transparente e flexível, ponta distal arredondada, fechada e atraumática, no mínimo 02 furos laterais, conector universal compatível com seringas e e</t>
  </si>
  <si>
    <t>Sonda Nasogástrica Longa nº 8 Fr, Sonda Nasogástrica Longa nº 8 Fr, confeccionada em PVC atóxico, apirogênico, transparente e flexível, ponta distal arredondada, fechada e atraumática, no mínimo 02 furos laterais, conector universal compatível com seringas e e</t>
  </si>
  <si>
    <t>Sonda Uretral Descartável nº 04, 4 Fr, Sonda Uretral Descartável nº 04, 4 Fr, estéril, confeccionada em PVC atóxico, transparente, flexível e siliconizado, ponta arredondada e atraumática, no mínimo 01 orifício lateral, conector universal, embalagem individual</t>
  </si>
  <si>
    <t>Sonda Uretral Descartável nº 06, 6 Fr, Sonda Uretral Descartável nº 06, 6 Fr, estéril, confeccionada em PVC atóxico, transparente, flexível e siliconizado, ponta arredondada e atraumática, no mínimo 01 orifício lateral, conector universal, embalagem individual</t>
  </si>
  <si>
    <t>Sonda Uretral Descartável nº 08, 8 Fr, Sonda Uretral Descartável nº 08, 8 Fr, estéril, confeccionada em PVC atóxico, transparente, flexível e siliconizado, ponta arredondada e atraumática, no mínimo 01 orifício lateral, conector universal, embalagem individual</t>
  </si>
  <si>
    <t>Sonda Uretral Descartável nº 10, Sonda Uretral Descartável nº 10, 10 Fr, estéril, confeccionada em PVC atóxico, transparente, flexível e siliconizado, ponta arredondada e atraumática, no mínimo 01 orifício lateral, conector universal, embalagem individual esté</t>
  </si>
  <si>
    <t>Sonda Uretral Descartável nº 12, Sonda Uretral Descartável nº 12, 12 Fr, estéril, confeccionada em PVC atóxico, transparente, flexível e siliconizado, ponta arredondada e atraumática, no mínimo 01 orifício lateral, conector universal, embalagem individual esté</t>
  </si>
  <si>
    <t>Sonda Uretral Descartável nº 14, Sonda Uretral Descartável nº 14, 14 Fr, estéril, confeccionada em PVC atóxico, transparente, flexível e siliconizado, ponta arredondada e atraumática, no mínimo 01 orifício lateral, conector universal, embalagem individual esté</t>
  </si>
  <si>
    <t>Sonda Uretral Descartável nº 16, Sonda Uretral Descartável nº 16, 16 Fr, estéril, confeccionada em PVC atóxico, transparente, flexível e siliconizado, ponta arredondada e atraumática, no mínimo 01 orifício lateral, conector universal, embalagem individual esté</t>
  </si>
  <si>
    <t>Sonda Uretral Descartável nº 18, Sonda Uretral Descartável nº 18, 18 Fr, estéril, confeccionada em PVC atóxico, transparente, flexível e siliconizado, ponta arredondada e atraumática, no mínimo 01 orifício lateral, conector universal, embalagem individual esté</t>
  </si>
  <si>
    <t>Sonda Uretral Descartável nº 20, Sonda Uretral Descartável nº 20, 20 Fr, estéril, confeccionada em PVC atóxico, transparente, flexível e siliconizado, ponta arredondada e atraumática, no mínimo 01 orifício lateral, conector universal, embalagem individual esté</t>
  </si>
  <si>
    <t>Suporte para coletor de materiais perfurocortantes, Suporte para coletor de materiais perfurocortantes, modelo de parede, confeccionado em arame de aço carbono ou aço polido, com pintura epóxi branca, resistente à corrosão e produtos de limpeza, compatível com</t>
  </si>
  <si>
    <t>Suporte para coletor de materiais perfurocortantes 20L, Suporte para coletor de materiais perfurocortantes, modelo de parede, confeccionado em arame de aço carbono ou aço polido, com pintura epóxi branca, resistente à corrosão e produtos de limpeza, compatível</t>
  </si>
  <si>
    <t>Touca descartável sanfonada, Touca descartável sanfonada, de uso único, confeccionada em TNT 100% polipropileno, atóxica e hipoalergênica, com elástico em toda a circunferência, tamanho único, pacote com no mínimo 100 unidades</t>
  </si>
  <si>
    <t>Máscara para administração de oxigênio em traqueostomia adulto, Máscara para administração de oxigênio em traqueostomia adulto, confeccionada em PVC transparente, atóxico e livre de látex, com formato anatômico, conector universal, extensor para conexão à font</t>
  </si>
  <si>
    <t xml:space="preserve">Máscara para administração de oxigênio em traqueostomia infantil, Máscara para administração de oxigênio em traqueostomia infantil, confeccionada em PVC transparente, atóxico e livre de látex, com formato anatômico, conector universal, extensor para conexão à </t>
  </si>
  <si>
    <t xml:space="preserve">Garrote elástico em rolo, Garrote elástico em rolo, confeccionado em borracha natural e/ou material sintético de alta elasticidade e resistência, rolo picotado a cada 45 cm, contendo no mínimo 25 tiras destacáveis, largura de no mínimo 25 mm, superfície lisa, </t>
  </si>
  <si>
    <t>Cânula orofaríngea tipo Guedel nº 000, Cânula orofaríngea tipo Guedel nº 000, tamanho de no mínimo 40 mm, confeccionada em polietileno e/ou PVC de grau médico, atóxico, transparente e/ou translúcido, corpo rígido, curvatura anatômica, ponta arredondada e atrau</t>
  </si>
  <si>
    <t>Cânula orofaríngea tipo Guedel nº 00, Cânula orofaríngea tipo Guedel nº 00, tamanho de no mínimo 50 mm, confeccionada em polietileno e/ou PVC de grau médico, atóxico, transparente e/ou translúcido, corpo rígido, curvatura anatômica, ponta arredondada e atraumá</t>
  </si>
  <si>
    <t>Cânula orofaríngea tipo Guedel nº 0, Cânula orofaríngea tipo Guedel nº 0, tamanho de no mínimo 60 mm, confeccionada em polietileno e/ou PVC de grau médico, atóxico, transparente e/ou translúcido, corpo rígido, curvatura anatômica, ponta arredondada e atraumáti</t>
  </si>
  <si>
    <t>Cânula orofaríngea tipo Guedel nº 1, Cânula orofaríngea tipo Guedel nº 1, tamanho de no mínimo 70 mm, confeccionada em polietileno e/ou PVC de grau médico, atóxico, transparente e/ou translúcido, corpo rígido, curvatura anatômica, ponta arredondada e atraumáti</t>
  </si>
  <si>
    <t>Cânula orofaríngea tipo Guedel nº 2, Cânula orofaríngea tipo Guedel nº 2, tamanho de no mínimo 80 mm, confeccionada em polietileno e/ou PVC de grau médico, atóxico, transparente e/ou translúcido, corpo rígido, curvatura anatômica, ponta arredondada e atraumáti</t>
  </si>
  <si>
    <t>Cânula orofaríngea tipo Guedel nº 3, Cânula orofaríngea tipo Guedel nº 3, tamanho de no mínimo 90 mm, confeccionada em polietileno e/ou PVC de grau médico, atóxico, transparente e/ou translúcido, corpo rígido, curvatura anatômica, ponta arredondada e atraumáti</t>
  </si>
  <si>
    <t>Cânula orofaríngea tipo Guedel nº 4, Cânula orofaríngea tipo Guedel nº 4, tamanho de no mínimo 100 mm, confeccionada em polietileno e/ou PVC de grau médico, atóxico, transparente e/ou translúcido, corpo rígido, curvatura anatômica, ponta arredondada e atraumát</t>
  </si>
  <si>
    <t>Cânula orofaríngea tipo Guedel nº 5, Cânula orofaríngea tipo Guedel nº 5, tamanho de no mínimo 110 mm, confeccionada em polietileno e/ou PVC de grau médico, atóxico, transparente e/ou translúcido, corpo rígido, curvatura anatômica, ponta arredondada e atraumát</t>
  </si>
  <si>
    <t>Agulha Hipodérmica Descartável 13 x 0,45 mm (26G),, Agulha Hipodérmica Descartável 13 x 0,45 mm (26G), estéril, descartável, confeccionada em aço inoxidável, siliconizada, com bisel trifacetado e canhão com identificação do calibre por cores, embalada individu</t>
  </si>
  <si>
    <t>AGULHA, HIPODERMICA, 13 X 4,5, CORPO EM ACO INOX SILICONIZADO, BISEL CURTO TRIFACETADO, CONECTOR EM PLASTICO LUER, PROTETOR PLASTICO, ESTERIL, DESCARTAVEL, EMBALAGEM INDIVIDUAL, CAIXA COM 100 UNIDADES</t>
  </si>
  <si>
    <t>AGULHA, HIPODERMICA, 25 X 7, CORPO EM ACO INOX SILICONIZADO, BISEL CURTO TRIFACETADO, CONECTOR EM PLASTICO LUER, PROTETOR PLASTICO, ESTERIL, DESCARTAVEL, CAIXA COM 100 UNIDADES</t>
  </si>
  <si>
    <t>AGULHA, HIPODERMICA, 40 X 12, CORPO EM ACO INOX SILICONIZADO, BISEL CURTO TRIFACETADO, CONECTOR EM PLASTICO LUER, PROTETOR PLASTICO, ESTERIL, DESCARTAVEL, EMBALAGEM INDIVIDUAL, CAIXA COM 100 UNIDADES</t>
  </si>
  <si>
    <t>CATETER INTRAVENOSO, TEFLON OU POLIURETANO, 24 G, PERIFERICO, SILICONIZADO, CÃ?MARA REFLUXO, TAMPA PROTETORA, DESCARTAVEL, ESTERIL, RADIOPACO, AG. ACO INOX, BISEL CURTO, TRIFACETADO, PADRAO DE CORES UNIVERSAL (NBR/ISO 10555-5), CONECTOR LUER.</t>
  </si>
  <si>
    <t>SERINGA, POLIPROPILENO TRANSPARENTE, 10 ML, BICO LUER SLIP, EMBOLO C/ PONTEIRA DE BORRACHA SILICONIZADA, GRADUADA DE 0,2 EM 0,2ML, NUMERADA DE 1 EM 1ML, SEM AGULHA, DESCARTAVEL, ESTERIL, GRADUACAO LEGIVEL E FIRME, UNIDADE</t>
  </si>
  <si>
    <t>SERINGA, POLIPROPILENO TRANSPARENTE, 5 ML, BICO LUER LOCK, EMBOLO C/ PONTEIRA DE BORRACHA SILICONIZADA, GRADUADA DE 0,2 EM 0,2ML, NUMERADA DE 1 EM 1ML, SEM AGULHA, DESCARTAVEL, ESTERIL, GRADUACAO LEGIVEL E FIRME, UNIDADE</t>
  </si>
  <si>
    <t>SERINGA, POLIPROPILENO TRANSPARENTE, 20 ML, BICO LUER LOCK, EMBOLO C/ PONTEIRA DE BORRACHA SILICONIZADA, GRADUADA DE 1 EM 1ML, NUMERADA DE 5 EM 5ML, SEM AGULHA, DESCARTAVEL, ESTERIL, GRADUACAO LEGIVEL E FIRME, UNIDADE</t>
  </si>
  <si>
    <t>SERINGA, POLIPROPILENO TRANSPARENTE, 1 ML (ESCALA EM UI), BICO CENTRAL SIMPLES OU LUER LOCK, EMBOLO C/ROLHA BORRACHA, IMPRESSAO LEGIVEL E PERMANENTE, GRADUACAO MAXIMA 0,2 EM 0,2 ML, NUMERADA, C/ AGULHA 13 X 0,38 MM, BISEL TRIFACETADO, PROTETOR PLASTICO, UNIDAD</t>
  </si>
  <si>
    <t>ESPECULO, POLIETILENO, VAGINAL, GRANDE, C/LUBRIFICACAO, ESTERIL, DESCARTAVEL, EMBALAGEM INDIVIDUAL</t>
  </si>
  <si>
    <t>ESPECULO, POLIETILENO, VAGINAL, PEQUENO, C/LUBRIFICACAO, ESTERIL, DESCARTAVEL, EMBALAGEM INDIVIDUAL</t>
  </si>
  <si>
    <t>FITA ADESIVA HOSPITALAR, MICROPOROSA, NAO TECIDO DE VISCOSE RAYON, BRANCA, 25 MM, 10 M, C/ ADESIVO ACRILICO HIPO-ALERGENICO, UNIDADE</t>
  </si>
  <si>
    <t>FITA ADESIVA HOSPITALAR, MICROPOROSA, NAO TECIDO DE VISCOSE RAYON, BRANCA, 50 MM, 10 M, C/ ADESIVO ACRILICO HIPO-ALERGENICO, UNIADADE</t>
  </si>
  <si>
    <t>LUVA CIRURGICA, LATEX NATURAL, 7, ESTERIL, COMPRIMENTO MINIMO DE 28CM, LUBRIFICADA C/ PO BIOABSORVIVEL, ATOXICA, DESCARTAVEL, ANATOMICO, C/ ABERTURA ASSEPTICA, PAR</t>
  </si>
  <si>
    <t>LUVA CIRURGICA, LATEX NATURAL, 7,50, ESTERIL, COMPRIMENTO MINIMO DE 28CM, LUBRIFICADA C/ PO BIOABSORVIVEL, ATOXICA, DESCARTAVEL, ANATOMICO, C/ ABERTURA ASSEPTICA, PAR</t>
  </si>
  <si>
    <t>LUVA CIRURGICA, LATEX NATURAL, 6,50, ESTERIL, COMPRIMENTO MINIMO DE 28CM, LUBRIFICADA C/ PO BIOABSORVIVEL, ATOXICA, DESCARTAVEL, ANATOMICO, C/ ABERTURA ASSEPTICA, PAR</t>
  </si>
  <si>
    <t>LUVA CIRURGICA, LATEX NATURAL, 8, ESTERIL, COMPRIMENTO MINIMO DE 28CM, LUBRIFICADA C/ PO BIOABSORVIVEL, ATOXICA, DESCARTAVEL, ANATOMICO, C/ ABERTURA ASSEPTICA, PAR</t>
  </si>
  <si>
    <t>LUVA CIRURGICA, LATEX NATURAL, 8,50, ESTERIL, COMPRIMENTO MINIMO DE 28CM, LUBRIFICADA C/ PO BIOABSORVIVEL, ATOXICA, DESCARTAVEL, ANATOMICO, C/ ABERTURA ASSEPTICA, PAR</t>
  </si>
  <si>
    <t>LUVA PARA PROCEDIMENTO NAO CIRURGICO, LATEX NATURAL INTEGRO E UNIFORME, PEQUENO, LUBRIFICADA COM PO BIOABSORVIVEL, DESCARTAVEL, ATOXICA, AMBIDESTRA, DESCARTAVEL, FORMATO ANATOMICO, RESISTENTE A TRACAO, CAIXA COM 100 UNIDADES</t>
  </si>
  <si>
    <t>LUVA PARA PROCEDIMENTO NAO CIRURGICO, LATEX NATURAL INTEGRO E UNIFORME, MEDIO, LUBRIFICADA COM PO BIOABSORVIVEL, DESCARTAVEL, ATOXICA, AMBIDESTRA, DESCARTAVEL, FORMATO ANATOMICO, RESISTENTE A TRACAO, CAIXA COM 100 UNIDADES</t>
  </si>
  <si>
    <t>LUVA PARA PROCEDIMENTO NAO CIRURGICO, LATEX NATURAL INTEGRO E UNIFORME, GRANDE, LUBRIFICADA COM PO BIOABSORVIVEL, DESCARTAVEL, ATOXICA, AMBIDESTRA, DESCARTAVEL, FORMATO ANATOMICO, RESISTENTE A TRACAO, CAIXA COM 100 UNIDADES</t>
  </si>
  <si>
    <t>SONDA URETRAL, PVC ATOXICO SILICONIZADO, NÂº 12, MALEAVEL, TRANSPARENTE, ATRAUMATICA, DESCARTAVEL, ESTERIL, EMBALAGEM INDIVIDUAL</t>
  </si>
  <si>
    <t>FIO DE SUTURA, NYLON MONOFILAMENTO, 3-0, PRETO, 45 CM, COM AGULHA, 3/8 CIRCULO CORTANTE, 2,0 CM, ESTERIL, UNIDADE</t>
  </si>
  <si>
    <t>FIO DE SUTURA, NYLON MONOFILAMENTO, 4-0, PRETA, 45 CM, COM AGULHA, 3/8 CIRCULO CORTANTE, 1,95 CM, ESTERIL, UNIDADE</t>
  </si>
  <si>
    <t>PAPEL GRAU CIRURGICO, 30 CM, 100 M. UNIDADE</t>
  </si>
  <si>
    <t>PAPEL GRAU CIRURGICO, 20 CM, 100 M. UNIDADE</t>
  </si>
  <si>
    <t>PAPEL GRAU CIRURGICO, 10 CM, 100 M, INDICADOR DE ESTERILIZACAO, FILME LAMINADO 4 CAMADAS, 60 G/M2, UNIDADE</t>
  </si>
  <si>
    <t>MASCARA RESPIRATORIA, PVC, TRANSPARENTE C/PRESILHA AJUSTAVEL, ADULTO, ADMINISTRAR OXIGENACAO EM PACIENTES, CONEXAO PADRAO (15 E 22MM), UNIDADE</t>
  </si>
  <si>
    <t xml:space="preserve">SERINGA, MATERIAL POLIPROPILENO TRANSPARENTE, CAPACIDADE 3 ML, TIPO BICO BICO LUER SLIP, CARACTERISTICAS ADICIONAIS EMBOLO C/ PONTEIRA DE BORRACHA SILICONIZADA, GRADUACAO GRADUADA DE 0,1 EM 0,1ML, NUMERADA DE 0,5 EM 0,5M L, COMPONENTE SEM AGULHA, ESTERILIDADE </t>
  </si>
  <si>
    <t>INDICADOR BIOLOGICO DE ESTERILIZACAO PARA CALOR UMIDO, TESTE DE ESTERILIZACAO, KIT CONTENDO MICROORGANISMO GEOBACILLUS STEAROTHERMOPHILUS, UNIDADE.</t>
  </si>
  <si>
    <t>PAPEL LENCOL 70 X 50 DESCARTAVEL EM ROLO, NA COR BRANCA, COMPOSTO POR CELULOSE DE BOA QUALIDADE, POSSUINDO ABSORVENCIA, RESISTENCIA A UMIDADE E OUTRAS CARACTERISTICAS CONDIZENTES PARA SUA UTILIZACAO. ISENTO DE PREGAS, RASGOS, DEFEITOS, EMENDAS E SUBSTÃ?NCIAS A</t>
  </si>
  <si>
    <t>FITA ADESIVA PARA AUTOCLAVE 19MM X 30 MTS</t>
  </si>
  <si>
    <t>TOUCA SANFONADA DESCARTAVEL, PACOTE COM 100 UNIDADES TOUCA SANFONADA DESCARTAVEL CONFECCIONADA EM TECIDO NAO TECIDO (TNT), 100% POLIPROPILENO, COM ELASTICO ESPECIAL EM TODO PERIMETRO DA TOUCA, HIPOALERGENICA, ATOXICA, TAMANHO UNICO, COR BRANCA</t>
  </si>
  <si>
    <t>CATETER INTRAVENOSO, VIALON OU POLIURETANO, 22 G, PERIFERICO, SILICONIZADO, CÃ?MARA REFLUXO, TAMPA PROTETORA, DESCARTAVEL, ESTERIL, RADIOPACO, AG. ACO INOX, BISEL CURTO, TRIFACETADO</t>
  </si>
  <si>
    <t>Bolsa Coletora de urina - Bolsa Coletora de urina. Coletor de urina sistema fechado 2000ml, esteril, valvula anti refluxo, em poliuretano, tubo de drenagem em polipropileno c/ dispositivo para coleta asseptica de material para exame atraves de fluxo auto vedan</t>
  </si>
  <si>
    <t>FRALDA DESCARTAVEL GERIATRICA ADULTO - TAMANHO P COM DUAS A TRES CAMADAS DE POLPA DE CELULOSE, COM 03 FIOS DE ELASTICO E 02 FITAS ADESIVAS DE CADA LADO PARA AJUSTE DA FRALDA, COM GEL ABSORVENTE E BARREIRA ANTIVAZAMENTO.</t>
  </si>
  <si>
    <t xml:space="preserve">FRALDA DESCARTAVEL GERIATRICA ADULTO - TAMANHO M, COM DUAS A TRES CAMADAS DE POLPA DE CELULOSE, COM 03 FIOS DE ELASTICO E 02 FITAS ADESIVAS DE CADA LADO PARA AJUSTE DA FRALDA, BARREIRA ANTIVAZAMENTO, COM MAIOR QUANTIDADE DE FLOCO GEL TAMANHO MEDIO (CINTURA 80 </t>
  </si>
  <si>
    <t>FRALDA DESCARTAVEL GERIATRICA ADULTO - TAMANHO G, COM DUAS A TRES CAMADAS DE POLPA DE CELULOSE, COM 03 FIOS DE ELASTICO E 02 FITAS ADESIVAS DE CADA LADO PARA AJUSTE DA FRALDA, BARREIRA ANTIVAZAMENTO, COM MAIOR QUANTIDADE DE FLOCO GEL TAMANHO GRANDE (CINTURA 11</t>
  </si>
  <si>
    <t>Fralda geriatrica EG - Fralda descartavel de uso adulto, composto por uma camada de polpa de celulose altamente absorvente, na qual se encontram distribuidas particulas de flocos de gel, tendo como substrato um papel absorvente difusor de liquido, onde o conju</t>
  </si>
  <si>
    <t>Seringa Descartavel para Insulina 1ml com Agulha 13 x 4,5</t>
  </si>
  <si>
    <t>MASCARA DE OXIGENIO DE ALTA CONCENTRACAO ADULTO COM RESERVATORIO. ELASTICO: LATEX CLIPE NASAL: ALUMINIO MASCARA: PVC CONECTOR E TUBO DE OXIGENIO: PVC</t>
  </si>
  <si>
    <t>CATETER NASAL PARA OXIGENIO TIPO OCULOS, CONFECCIONADO EM SILICONE, COM NO MINIMO 2 M DE COMPRIMENTO.</t>
  </si>
  <si>
    <t>AGULHA, HIPODERMICA, 25 X 8, CORPO EM ACO INOX SILICONIZADO, BISEL CURTO TRIFACETADO, CONECTOR EM PLASTICO LUER, PROTETOR PLASTICO, ESTERIL, DESCARTAVEL, EMBALAGEM INDIVIDUAL, CAIXA COM 100 UNIDADES</t>
  </si>
  <si>
    <t>AGULHA, HIPODERMICA, 25 X 6, CORPO EM ACO INOX SILICONIZADO, BISEL CURTO TRIFACETADO, CONECTOR EM PLASTICO LUER, PROTETOR PLASTICO, ESTERIL, DESCARTAVEL, EMBALAGEM INDIVIDUAL, CAIXA COM 100 UNIDADES</t>
  </si>
  <si>
    <t>ESPARADRAPO, 100 MM, 4,50 M, IMPERMEAVEL 1 FACE, MASSA ADESIVA ZNO, RESISTENTE, BRANCA, TECIDO DE ALGODAO, UNIDADE</t>
  </si>
  <si>
    <t>ESPECULO, POLIETILENO, VAGINAL, MEDIO, C/LUBRIFICACAO, ESTERIL, DESCARTAVEL, EMBALAGEM INDIVIDUAL</t>
  </si>
  <si>
    <t>GEL CONDUTOR, ELETROCARDIOGRAFIA. EMBALAGEM DE 1 LITRO</t>
  </si>
  <si>
    <t>Seringa descartavel de capacidade para 10 ml com agulha. UNIDADE</t>
  </si>
  <si>
    <t>SERINGA, POLIPROPILENO TRANSPARENTE, 1 ML (ESCALA EM UI), BICO CENTRAL SIMPLES OU LUER LOCK, EMBOLO C/ROLHA BORRACHA, IMPRESSAO LEGIVEL E PERMANENTE, GRADUACAO MAXIMA 0,2 EM 0,2 ML, NUMERADA, C/ AGULHA 6 MM X 0,25 MM, BISEL TRIFACETADO, PROTETOR PLASTICO, UNID</t>
  </si>
  <si>
    <t>HCG - Teste Rapido para determinacao qualitativa de HCG para diagnostico da gravidez, por metodo imunocromatografico, para identificacao seletiva de HCG em amostras de soro e urina. Sensibilidade minima: 25mUI/Ml. Caixa com no minimo 100 testes.</t>
  </si>
  <si>
    <t>Tubo EDTA K2 4 mL -Tubo para coleta de sangue a vacuo, plastico P.E.T., incolor, esteril, medindo 13x75mm, aspiracao de 4mL, com anticoagulante EDTA Dipotassico(conteudo por tubo: 7,2mg de EDTA K2. Tubo nao siliconizado, rolha de borracha convencional, silicon</t>
  </si>
  <si>
    <t>Tubo EDTA K2 2 mL -Tubo para coleta de sangue a vacuo, plastico P.E.T., incolor, esteril, medindo 13x75mm, aspiracao de 2mL, com anticoagulante EDTA Dipotassico (conteudo por tubo: 3,6mg de EDTA K2).. Tubo nao siliconizado, rolha de borracha convencional, sili</t>
  </si>
  <si>
    <t>Tubo Citrato de Sodio 4,5 mL - Tubo para coleta de sangue a vacuo, em vidro transparente, incolor, esteril, medindo 13x75mm, aspiracao de 4,5mL, com Citrato de Sodio (conteudo liquido por tubo: 0,5mL de solucao de Citrato Tamponado 0,105M - 3,2%) proporcao 1:1</t>
  </si>
  <si>
    <t>Agulha para coleta multipla de sangue a vacuo - medindo 25x0,8mm (21G), com bisel trifacetado, siliconizada, esteril, acondicionada individualmente em involucro de plastico rigido, com lacre de seguranca em papel, contendo calibre da agulha e numero de lote. U</t>
  </si>
  <si>
    <t>Agulha para coleta multipla de sangue a vacuo -medindo 25x0,7mm (22G), com bisel trifacetado, siliconizada, esteril, acondicionada individualmente em involucro de plastico rigido, com lacre de seguranca em papel, contendo calibre da agulha e numero de lote. UN</t>
  </si>
  <si>
    <t>Tiras-teste para a determinacao semiquantitativa de dez parÃ¢metros na urina - Urobilinogenio, Glicose, Corpos Cetonicos, Bilirrubina, Proteina, Nitrito, pH, Sangue, Densidade e Leucocitos. Tiras de 5mm, embalagem com 100 testes cada.</t>
  </si>
  <si>
    <t>Coletor Descartavel de Urina - Infantil - Unissex - Coletor de urina pediatrico,unissex, tipo saco descartavel, esteril, em plastico, com fita dupla face hipoalergenica para fixacao, capacidade para ate 100 mL, com escala graduada nitida e resistente, campo pa</t>
  </si>
  <si>
    <t>Curativo hidrocoloide de carboximetilcelulose de sodio e alginato de calcio, tamanho 10x10cm, com tecnologia similar ao Comfeel plus</t>
  </si>
  <si>
    <t>Curativo hidrocoloide de carboximetilcelulose de sodio e alginato de calcio, tamanho 15x15cm, com tecnologia similar ao Comfeel plus.</t>
  </si>
  <si>
    <t>Curativo hidrocoloide de carboximetilcelulose de sodio e alginato de calcio, tamanho 20x20cm, com tecnologia similar ao Comfeel plus</t>
  </si>
  <si>
    <t>Curativo de espuma de poliuretano, tamanho 10x10cm, com tecnologia similar ao Silicare.</t>
  </si>
  <si>
    <t>Curativo de espuma de poliuretano, tamanho 15x15cm, com tecnologia similar ao Silicare.</t>
  </si>
  <si>
    <t>Curativo de espuma de poliuretano com prata, tamanho 10x10cm, com tecnologia similar ao Silicare AG</t>
  </si>
  <si>
    <t>Curativo de espuma de poliuretano com prata, tamanho 15x15cm, com tecnologia similar ao Silicare AG</t>
  </si>
  <si>
    <t>Curativo hidrocoloide de carboximetilcelulose de sodio, tamanho 10x10cm, com tecnologia similar ao Duoderm</t>
  </si>
  <si>
    <t>Curativo hidrocoloide de carboximetilcelulose de sodio, tamanho 15x15cm, com tecnologia similar ao Duoderm</t>
  </si>
  <si>
    <t>Curativo hidrocoloide de carboximetilcelulose de sodio, tamanho 20x20cm, com tecnologia similar ao Duoderm</t>
  </si>
  <si>
    <t>LÃ?MINA 15, LÃ¢mina de bisturi descartavel, de aco carbono. Caixa com 100 unidades, sendo cada lÃ¢mina embalada individualmente.</t>
  </si>
  <si>
    <t>LÃ?MINA 12, LÃ¢mina de bisturi descartavel, de aco carbono. Caixa com 100 unidades, sendo cada lÃ¢mina embalada individualmente.</t>
  </si>
  <si>
    <t>AGULHA LONGA, Com cÃ¢nula de comprimento de 30 mm, para seringa carpule de uso odontologico. As agulhas deverao ser estereis, com bisel tri facetado e siliconizado externamente em todo o corpo para que deslize continuo e suavemente. O canhao componente que per</t>
  </si>
  <si>
    <t>Seladora odontologica para papel grau cirurgico - equipamento destinado a selagem de embalagens utilizadas na esterilizacao de instrumentais odontologicos. Compativel com papel grau cirurgico e filmes plasticos, proporcionando vedacao uniforme e segura. Possui</t>
  </si>
  <si>
    <t>FRALDA DESCARTAVEL &lt;p&gt;Fralda geriátrica descartável tipo calça, tamanho GG.&lt;/p&gt;</t>
  </si>
  <si>
    <t xml:space="preserve">Agulha hipodermica material aco inoxidavel siliconizado dimensao 24gx 3 4 20 x 0 55 mm tipo ponta bisel curto trifacetado tipo conexao conector luer lock ou slip em plastico tipo fixacao protetor plastico componente adicional c sistema de seguranca segundo nr </t>
  </si>
  <si>
    <t>Avental PVC Manga longa Impermeavel Higienizavel Incolor</t>
  </si>
  <si>
    <t>Cadarco sarjado 10mmx10m para fixacao de canula de traqueostomia</t>
  </si>
  <si>
    <t>CATETER INTRAVENOSO COM DISPOSITIVO DE SEGURANCA n18</t>
  </si>
  <si>
    <t>CATETER INTRAVENOSO COM DISPOSITIVO DE SEGURANCA n20</t>
  </si>
  <si>
    <t>CATETER INTRAVENOSO COM DISPOSITIVO DE SEGURANCA n22</t>
  </si>
  <si>
    <t>CATETER INTRAVENOSO COM DISPOSITIVO DE SEGURANCA n24</t>
  </si>
  <si>
    <t>Cateter nasal tipo oculos confeccionado em PVC cateter oxigenoterapia pvc flexivel grau medico tipo oculos pronga silicone contorno arredondado descartavel esteril adulto a prova de deformacao e torcao 2 10m conector universal</t>
  </si>
  <si>
    <t>Coletor de Urina Plastico sistema aberto infantil cerca de 50ml adesivo hipoalergenico esteril descartavel embalagem individual pacote com 10 unidades</t>
  </si>
  <si>
    <t>Coletor de urina sistema Fechado reservatorio tipo bolsa graduado capacidade de 2000 ml com valvula anti refluxo e filtro bacteriano alca de sustentacao resistente tubo coletor em vinil translucido com adaptador.</t>
  </si>
  <si>
    <t>COLETOR DE URINA SISTEMA ABERTO 2000 ML.</t>
  </si>
  <si>
    <t>Escova nylon Aplicacao escova para limpeza de instrumentais cirurgicos em geral com cerdas em nylon macias medindo aproximadamente 38 mm de comprimento e diametro de aproximadamente 12 7 mm com cabo plastico em formato anatomico e comprimento total entre 17 78</t>
  </si>
  <si>
    <t>Esparadrapo impermeavel extra flexivel 10 cm x 4 50 cm 100 tecido de algodao com 9 tratamento acrilica adesivo a base de resina de borracha sintetica</t>
  </si>
  <si>
    <t>Especulo vaginal esteril descartavel de acrilico duro lubrificado tamanho pequeno</t>
  </si>
  <si>
    <t>Especulo vaginal esteril descartavel de acrilico duro lubrificado tamanho grande</t>
  </si>
  <si>
    <t>Especulo vaginal esteril descartavel de acrilico duro lubrificado tamanho medio.</t>
  </si>
  <si>
    <t>Extensor de Gastrotomia para conectar a sonda gastrica a seringa ou equipo de alimentacao</t>
  </si>
  <si>
    <t>Fita indicadora de esterelizacao classe 1 para autoclave 19 mm x 30 m de papel crepado tinta sensivel a vapor e adesivo a base de resina de borracha.</t>
  </si>
  <si>
    <t>Fita microporosa hipoalergica suave para pele 100mm x 10m com capa de rayon de viscose nao tecido.</t>
  </si>
  <si>
    <t>Fita microporosa hipoalergica suave para pele 25mm x 10m com capa de rayon de viscose nao tecido. Validade nao inferior a 18 meses. Apresentar amostra do item ofertado.</t>
  </si>
  <si>
    <t>Fita microporosa hipoalergica suave para pele 50mm x 10m com capa de rayon de viscose nao tecido</t>
  </si>
  <si>
    <t>Indicador quimico integrador classe 5 para uso em processos de esterilizacao em autoclave com pre vacuo. propriedades fisico quimicas tira indicadora quimica interna multiparametrica com no minimo dois parametros de avaliacao 121 graus celsius por no minimo 17</t>
  </si>
  <si>
    <t>Lamina bisturi aco carbono n12 cx c 100 und.</t>
  </si>
  <si>
    <t>Lamina bisturi aco carbono n15 cx c 100 und.</t>
  </si>
  <si>
    <t>Laminas de bisturi cirurgicas n 11</t>
  </si>
  <si>
    <t>Lencol Descartavel Uso Hospitalar Materia Prima 100 Polipropileno Nao Tecido Tnt Gramatura 1 Cerca De 20 a 30 G M2 Dimensoes Cerca De 100 X 200 Cm Apresentacao 1 C Elastico PACOTES COM 100 UNIDADES</t>
  </si>
  <si>
    <t>Luva cirurgica esteril par no tamanho 7 0 cx com 250 unidades</t>
  </si>
  <si>
    <t>Luva cirurgica esteril 7 5 cx com 250 unidades</t>
  </si>
  <si>
    <t>Luva cirurgica esteril par no tamanho 8 0 cx com 250 unidades. Validade nao inferior a 18 meses. Apresentar amostra do item ofertado</t>
  </si>
  <si>
    <t>Luva de latex Branca para procedimento sem po Tamanho Media caixa com 100 unidades. Apresentar amostra do item ofertado.</t>
  </si>
  <si>
    <t>Luva para procedimento nao cirurgico Material Vinil Tamanho Medio Caracteristicas Adicionais Sem po nao esterelizada branca para uso em laboratorio caixa com 100unid</t>
  </si>
  <si>
    <t>Luva procedimento material latex tamanho extra pequena caracteristicas com po ante derrapante ambidestra caixa com 100 unidades.</t>
  </si>
  <si>
    <t>Luva procedimento material latex tamanho grande caracteristicas com po ante derrapante ambidestra caixa com 100 unidades.</t>
  </si>
  <si>
    <t>Luva procedimento material latex tamanho media caracteristicas com po ante derrapante ambidestra caixa com 100 unidades.</t>
  </si>
  <si>
    <t>Luva procedimento material latex tamanho pequena caracteristicas com po ante derrapante esterilizada cor branca tipo ambidestra caixa com 100 unidades</t>
  </si>
  <si>
    <t>Mascara Respirador PFF2 N95</t>
  </si>
  <si>
    <t>Material Gasoterapia Modelo Umidificador Aquecido Saida P Oxigenio E Ar Comprimido Tamanho Unico Tipo Frasco Frasco Polissulfona Base Metalica Volume Cerca De 250 ML Componentes C Vedacao Outros Componentes Conector De Entrada E Saida Esterilidade Esterilizave</t>
  </si>
  <si>
    <t>Prope tnt 20gr pct com 100 unidades.</t>
  </si>
  <si>
    <t>Rolo de papel grau cirurgico 100mm x 100mt</t>
  </si>
  <si>
    <t>Rolo de papel grau cirurgico 150mm x 100mt</t>
  </si>
  <si>
    <t>Rolo de papel grau cirurgico 200 mm x 100mt</t>
  </si>
  <si>
    <t>SERINGA 3 ML</t>
  </si>
  <si>
    <t>Seringa 3 ml s agulha</t>
  </si>
  <si>
    <t>Seringa de 10 ml descartavel material polipropileno transparente atoxico tipo uso descartavel epirogenica sem agulha bico luerlock gravada de rosca esteril graduacao corpo 1x1ml.</t>
  </si>
  <si>
    <t>Seringa de 20 ml descartavel material polipropileno transparente atoxico tipo uso descartavel epirogenica sem agulha bico luerlock gravada de rosca esteril graduacao corpo 1x1ml</t>
  </si>
  <si>
    <t>Seringa de 20 ml descartavel material polipropileno transparente atoxico tipo uso descartavel epirogenica sem agulha bico sem rosca esteril graduacao corpo 1x1ml. Apresentar amostra do item ofertado.</t>
  </si>
  <si>
    <t>Seringa Insulina c Agulha</t>
  </si>
  <si>
    <t>Sonda foley n14 2 vias</t>
  </si>
  <si>
    <t>Sonda Foley n16 2 vias</t>
  </si>
  <si>
    <t>Sonda Foley n18 2 vias.</t>
  </si>
  <si>
    <t>Sonda Foley n20 2 vias</t>
  </si>
  <si>
    <t>Sonda Nasogastrica longa n 14.</t>
  </si>
  <si>
    <t>Sonda Nasogastrica longa n 16.</t>
  </si>
  <si>
    <t>Sonda uretral n 08</t>
  </si>
  <si>
    <t>Sonda uretral n 10.</t>
  </si>
  <si>
    <t>Sonda uretral n 12</t>
  </si>
  <si>
    <t>Sonda uretral n 14</t>
  </si>
  <si>
    <t>Toalha de papel lencol descartavel branco bobina 70m de largura x 50 metros de comprimento</t>
  </si>
  <si>
    <t>Touca sanfonada TNT 20gr branco com elastico duplo. Confeccionada em 100 prolipropileno nao tecido. Pacote com 100 unidades</t>
  </si>
  <si>
    <t>LUVA DE PROCEDIMENTO G C/100 CONFECCIONADA EM LÁTEX NATURAL, : LISA, AMBIDESTRA, LEVEMENTE LUBRIFICADA COM PÓ, RESISTENTE.</t>
  </si>
  <si>
    <t>LUVA DE PROCEDIMENTO P C/100 CONFECCIONADA EM LÁTEX NATURAL, : LISA, AMBIDESTRA, LEVEMENTE LUBRIFICADA COM PÓ, RESISTENTE.</t>
  </si>
  <si>
    <t>LUVA DE PROCEDIMENTO M C/ 100 CONFECCIONADA EM LÁTEX NATURAL: LISA, AMBIDESTRA, LEVEMENTE LUBRIFICADA COM PÓ, RESISTENTE.</t>
  </si>
  <si>
    <t>ATADURA DE CREPE 20CM X 1.80MT 13FIOS - PACOTE COM 12 UNIDADES</t>
  </si>
  <si>
    <t>ATADURA DE CREPE 15CM X 1.80MT 13FIOS - PACOTE COM 12 UNIDADES</t>
  </si>
  <si>
    <t>ATADURA DE CREPE 10CM X 1.80MT 13FIOS - PACOTE COM 12 UNIDADES</t>
  </si>
  <si>
    <t>ESPARADRAPO 10 CM X 4.5MT C/ CAPA</t>
  </si>
  <si>
    <t>LUVA DE PROCEDIMENTO PP C/100 CONFECCIONADA EM LÁTEX NATURAL, : LISA, AMBIDESTRA, LEVEMENTE LUBRIFICADA COM PÓ, RESISTENTE.</t>
  </si>
  <si>
    <t>LANCETAS AUTOMATICAS PARA MEDIÇÃO DE GLICOSE COM 100 UNIDADES</t>
  </si>
  <si>
    <t>SONDA URETRAL N.12</t>
  </si>
  <si>
    <t>ESPECULO VAGINAL DESC P ESTERIL LUBRIFICADO</t>
  </si>
  <si>
    <t>EQUIPO BOMBA DE INFUSÃO - PARA BOMBA SAMTRONIC ICATU</t>
  </si>
  <si>
    <t>LUVA CIRURGICA ESTERIL 7.5</t>
  </si>
  <si>
    <t>SERINGA DESC 10ML SEM AGULHA</t>
  </si>
  <si>
    <t>LUVA CIRURGICA ESTERIL 7.0</t>
  </si>
  <si>
    <t>LUVA CIRURGICA ESTERIL 6.5</t>
  </si>
  <si>
    <t>SERINGA DESC 20ML SEM AGULHA</t>
  </si>
  <si>
    <t>BOBINA PAPEL GRAU CIRURGICO 40CMX100MT</t>
  </si>
  <si>
    <t>ESPARADRAPO 5 CM X 4.5MT C/ CAPA</t>
  </si>
  <si>
    <t>BOBINA PAPEL GRAU CIRURGICO 15CMX100MT</t>
  </si>
  <si>
    <t>BOBINA PAPEL GRAU CIRURGICO 30CMX100MT</t>
  </si>
  <si>
    <t>COMPRESSA DE GAZE HIDROFILA TIPO QUEIJO NÃO ESTERIL , 13 FIOS, 500 GRAMAS, 4 DOBRAS, 8 CAMADAS, 91CM X 91CM, 91 METROS</t>
  </si>
  <si>
    <t>BOBINA PAPEL GRAU CIRURGICO 20CMX100MT</t>
  </si>
  <si>
    <t>TESTE BOWIE &amp; DICK P/ 7KG - TESTE QUÍMICO PARA AUTOCLAVE</t>
  </si>
  <si>
    <t>COLETOR DE URINA SISTEMA FECHADO 2000ML</t>
  </si>
  <si>
    <t>LUVA CIRURGICA ESTERIL 8.0</t>
  </si>
  <si>
    <t>FRASCO DE UMIDIFICADOR DE OXIGÊNIO 250 ML</t>
  </si>
  <si>
    <t>SONDA URETRAL N.10</t>
  </si>
  <si>
    <t>ESPECULO VAGINAL DESC M ESTERIL LUBRIFICADO</t>
  </si>
  <si>
    <t>TOUCA SANFONADA COM ELASTICO - PACOTE COM 100</t>
  </si>
  <si>
    <t>BOBINA PAPEL GRAU CIRURGICO 50CMX100MT</t>
  </si>
  <si>
    <t>SONDA URETRAL N.14</t>
  </si>
  <si>
    <t>COMADRE INOX MÍNIMO 2000 ML</t>
  </si>
  <si>
    <t>INDICADOR BIOLOGICO COM 10 UND.</t>
  </si>
  <si>
    <t>COLETOR DE URINA SISTEMA ABERTO UNISSEX SACO DE 1000 A 2000 ML</t>
  </si>
  <si>
    <t>CANETA AUTOCLAVÁVEL P/ BISTURI ELÉTRICO</t>
  </si>
  <si>
    <t>FITA AUTOCLAVE 19MM X 30MT</t>
  </si>
  <si>
    <t>MÁSCARAS KN95 PROTEÇÃO NO MÍNIMO DE 5 CAMADA RESPIRATÓRIA PFF2 N95 CLASSE S EMENTO FILTRANTE ANTICONTAMINANTE MELTBLOWN, CLIPE NASAL, EMBALDA INDIVIDUALMENTE, ELASTICO DUPLO FIXADO NA MÁSCARA, COM REGISTRO NA ANVISA</t>
  </si>
  <si>
    <t>PAPAGAIO INOX - MÍNIMO 1000 ML</t>
  </si>
  <si>
    <t>LÂMINAS DE BISTURI Nº.15 C CAIXA COM 100 UNIDADES.</t>
  </si>
  <si>
    <t>LÂMINAS DE BISTURI Nº.11 CAIXA COM 100 UNIDADE</t>
  </si>
  <si>
    <t>FILTRO BACTERIANO ADULTO HME</t>
  </si>
  <si>
    <t>TORNEIRA 3 VIAS</t>
  </si>
  <si>
    <t>MÁSCARA LARINGEA Nº 05</t>
  </si>
  <si>
    <t>REANIMADOR AMBU MANUAL SILICONE NEONATAL COM RESERVATORIO</t>
  </si>
  <si>
    <t>ESPECULO VAGINAL DESC G ESTERIL LUBRIFICADO</t>
  </si>
  <si>
    <t>LAMINA DE BISTURI CARBONO N 20 COM 100 UNIDADES</t>
  </si>
  <si>
    <t>SONDA URETRAL N.08</t>
  </si>
  <si>
    <t>MÁSCARA LARINGEA Nº 04</t>
  </si>
  <si>
    <t>SONDA URETRAL N.16</t>
  </si>
  <si>
    <t>MICRONEBULIZADOR MASCARA INFANTIL PARA OXIGENIO</t>
  </si>
  <si>
    <t>MICRONEBULIZADOR MASCARA ADULTO PARA OXIGENIO</t>
  </si>
  <si>
    <t>LUVA CIRURGICA ESTERIL 8.5</t>
  </si>
  <si>
    <t>SONDA NASOGASTRICA N.14 LONGA</t>
  </si>
  <si>
    <t>EQUIPO MICROGOTAS. DISPOSITIVO PARA INFUSÃO, CONTROLE DE FLUXO, INJETOR LATERAL, COM COMPRIMENTO MÍNIMO DE 1,50MT E DOSAGEM DE SOLUÇÕES PARENTERAIS. COMPOSTO DE LANCETA PERFURANTE PARA CONEXÃO AO RECIPIENTE DE SOLUÇÃO COM FILTRO DE AR BACTERIOLÓGICO PERMITINDO</t>
  </si>
  <si>
    <t>CUBA RIM EM INOX, CAPACIDADE MÍNIMA DE 700ML</t>
  </si>
  <si>
    <t>MASCARA LARINGEA N° 03</t>
  </si>
  <si>
    <t>CLAMP UMBILICAL ESTERIL</t>
  </si>
  <si>
    <t>MASCARA LARINGEA N° 01</t>
  </si>
  <si>
    <t>MASCARA LARINGEA N° 02</t>
  </si>
  <si>
    <t>SONDA NASOGASTRICA N.20 LONGA</t>
  </si>
  <si>
    <t>CATETER UMBILICAL Nº 6</t>
  </si>
  <si>
    <t>CATETER UMBILICAL Nº 4</t>
  </si>
  <si>
    <t>SONDA NASOGASTRICA N.08 LONGA</t>
  </si>
  <si>
    <t>SONDA NASOGASTRICA N.16 LONGA</t>
  </si>
  <si>
    <t>SONDA NASOGASTRICA N.12 LONGA</t>
  </si>
  <si>
    <t>FILTRO BACTERIANO INFANTIL HME</t>
  </si>
  <si>
    <t>SONDA NASOGASTRICA N.10 LONGA</t>
  </si>
  <si>
    <t>CATETER UMBILICAL Nº 5</t>
  </si>
  <si>
    <t>SONDA NASOGASTRICA N.18 LONGA</t>
  </si>
  <si>
    <t>SAPATILHA TIPO PROPÉ DESCARTÁVEL EM TNT BRANCA COM 50</t>
  </si>
  <si>
    <t>CATETER UMBILICAL Nº 3</t>
  </si>
  <si>
    <t>SONDA NASOGASTRICA N.20 CURTA</t>
  </si>
  <si>
    <t>SONDA NASOGASTRICA N.18 CURTA</t>
  </si>
  <si>
    <t>SONDA NASOGASTRICA N.12 CURTA</t>
  </si>
  <si>
    <t>MASCARA DE VENTURI INFANTIL</t>
  </si>
  <si>
    <t>SONDA URETRAL N.06</t>
  </si>
  <si>
    <t>SONDA NASOGASTRICA N.16 CURTA</t>
  </si>
  <si>
    <t>SONDA NASOGASTRICA N.14 CURTA</t>
  </si>
  <si>
    <t>SONDA NASOGASTRICA N.10 CURTA</t>
  </si>
  <si>
    <t>SONDA NASOGASTRICA N.08 CURTA</t>
  </si>
  <si>
    <t>SONDA URETRAL N.04</t>
  </si>
  <si>
    <t>EQUIPO MACROGOTAS COM DISPOSITIVO PARA INFUSÃO, COM INJETOR LATERAL, CONTROLE DE FLUXO E DOSAGEM DE SOLUÇÕES PARENTERAIS. COMPOSTO DE LANCETA PERFURANTE PARA CONEXÃO AO RECIPIENTE DE SOLUÇÃO COM FILTRO DE AR BACTERIOLÓGICO PERMITINDO A TROCA DE AR EM SISTEMA F</t>
  </si>
  <si>
    <t>LENCOL HOSPITALAR DE PAPEL BRANCO 70X50</t>
  </si>
  <si>
    <t>LENÇOL HOSPITALAR DESCARTÁVEL PARA MACA COR BRANCO CONFECCIONADO EM TNT COM ELÁSTICO -TAMANHO 2,00 X 0,90 CM</t>
  </si>
  <si>
    <t>Cânula Orofaríngea Guedel material*: polímero, tamanho*: tamanho nº 0</t>
  </si>
  <si>
    <t>Cânula Orofaríngea Guedel material*: polímero, tamanho*: tamanho nº 1</t>
  </si>
  <si>
    <t>Cânula Orofaríngea Guedel material*: polímero, tamanho*: tamanho nº 2</t>
  </si>
  <si>
    <t>Cânula Orofaríngea Guedel material*: polímero, tamanho*: tamanho nº 3</t>
  </si>
  <si>
    <t>Cânula Orofaríngea Guedel material*: polímero, tamanho*: tamanho nº 4</t>
  </si>
  <si>
    <t>Cânula Orofaríngea Guedel material*: polímero, tamanho*: tamanho nº 5</t>
  </si>
  <si>
    <t>Sonda Trato Digestivo aplicação: oro ou nasogástrica, modelo: levine, material: pvc, calibre: nº 8, tamanho: longa, comprimento: cerca 120, conector: conector padrão c/ tampa, componentes: ponta distal fechada, c/ orifícios laterais, esterilidade: estéril, des</t>
  </si>
  <si>
    <t>Sonda Trato Digestivo aplicação: oro ou nasogástrica, modelo: levine, material: pvc, calibre: nº 20, tamanho: longa, comprimento: cerca 120, conector: conector padrão c/ tampa, componentes: ponta distal fechada, c/ orifícios laterais, esterilidade: estéril, de</t>
  </si>
  <si>
    <t>Sonda Trato Digestivo aplicação: oro ou nasogástrica, modelo: levine, material: pvc, calibre: nº 22, tamanho: longa, comprimento: cerca 120, conector: conector padrão c/ tampa, componentes: ponta distal fechada, c/ orifícios laterais, esterilidade: estéril, de</t>
  </si>
  <si>
    <t>Sonda Trato Urinário modelo: uretral, material: pvc, calibre: 14, conector: conector padrão c/ tampa, comprimento: cerca 40, tipo ponta: ponta distal cilíndrica fechada, componentes: c/ orifícios laterais, esterilidade: estéril, descartável, embalagem: embalag</t>
  </si>
  <si>
    <t>CURATIVO DE FIBRA DE ALGINATO DE CÁLCIO, DE ALTA ABSORÇÃO, EVITANDO A MACERAÇÃO DA PELE PERILESIONAL. APRESENTAÇÃO ESTÉRIL, EM PLACA COM DIMENSÕES MÍNIMAS DE 10 CM X 10 CM, QUE PERMITA RECORTE E QUE SE MANTENHA RESISTENTE DURANTE SUA REMOÇÃO APÓS O USO, EVITAN</t>
  </si>
  <si>
    <t>CURATIVO HIDROCOLOIDE DE CONTORNO, COMPOSTO POR ALGINATO DE CÁLCIO E CARMELOSE, EM APRESENTAÇÃO ESTÉRIL COM DIMENSÃO DE NO MÍNIMO 6 CM X 8 CM, MOLDÁVEL ÀS DIFERENTES PARTES DO CORPO. - BR0484812</t>
  </si>
  <si>
    <t>CURATIVO HIDROCOLOIDE, IMPERMEÁVEL A LÍQUIDOS E BACTÉRIAS E PERMEÁVEL À TROCA GASOSA, COM BORDA ADESIVA HIPOALERGÊNICA E PARTE CENTRAL COM CARBOXIMETILCELULOSE, PODE CONTER GELATINA E PECTINA. ATRAUMÁTICO E COM BOA ADESIVIDADE E MOLDÁVEL ÀS DIFERENTES PARTES D</t>
  </si>
  <si>
    <t>AGULHA HIPODÉRMICA DESCARTÁVEL, TAMANHO 0,70X25 MM, DE USO ÚNICO atóxica, apirogênica, esterilizada por óxido de etileno, fabricada em aço inoxidável, com bisel trifacetado, provida de protetor, embalada individualmente, em caixas com no mínimo 100 unidades</t>
  </si>
  <si>
    <t>AGULHA HIPODÉRMICA DESCARTÁVEL, TAMANHO 1,20X40 MM, DE USO ÚNICO atóxica, apirogênica, esterilizada por óxido de etileno, fabricada em aço inoxidável, com bisel trifacetado, provida de protetor, embalada individualmente, em caixas com no mínimo 100 unidades</t>
  </si>
  <si>
    <t>COMPRESSA DE GAZE HIDRÓFILA NÃO ESTÉRIL, 13 FIOS, 5 DOBRAS 8 CAMADAS, 100% algodão, em pacotes com no mínimo 500 unidades</t>
  </si>
  <si>
    <t>ESPARADRAPO IMPERMEÁVEL BRANCO, 100% ALGODÃO, impermeabilizado com resina acrílica, com bordas serrilhadas, com alta durabilidade, tamanho 2,5 cm x 90 cm</t>
  </si>
  <si>
    <t>LUVA PARA PROCEDIMENTO NÃO CIRÚRGICO, FABRICADA EM LÁTEX DE BORRACHA natural, com pó bioabsorvível, com característica lisa, ambidestra e não estéril, em caixas com no mínimo 100 unidades, tamanho G</t>
  </si>
  <si>
    <t>LUVA PARA PROCEDIMENTO NÃO CIRÚRGICO, FABRICADA EM LÁTEX DE BORRACHA natural, com pó bioabsorvível, com característica lisa, ambidestra e não estéril, em caixas com no mínimo 100 unidades, tamanho M</t>
  </si>
  <si>
    <t>LUVA PARA PROCEDIMENTO NÃO CIRÚRGICO, FABRICADA EM LÁTEX DE BORRACHA natural, com pó bioabsorvível, com característica lisa, ambidestra e não estéril, em caixas com no mínimo 100 unidades, tamanho P</t>
  </si>
  <si>
    <t>SERINGA DESCARTÁVEL DE 20 ML, SEM AGULHA, FABRICADA EM POLIPROPILENO, de cor transparente, com bico Luer Lock (seringa de rosca), estéril, atóxica, apirogênica, de uso único, embalada unitariamente, em caixas com no mínimo 50 unidades</t>
  </si>
  <si>
    <t>SERINGA DESCARTÁVEL DE 5 ML, COM AGULHA 0,70X25 MM, fabricada em polipropileno, de cor transparente, com bico slip, estéril, atóxica, apirogênica, de uso único, embalada unitariamente, em caixas com no mínimo 100 unidades</t>
  </si>
  <si>
    <t>SERINGA DESCARTÁVEL DE 5 ML, SEM AGULHA, FABRICADA EM POLIPROPILENO, de cor transparente, com bico Luer Lock (seringa de rosca), estéril, atóxica, apirogênica, de uso único, embalada unitariamente, em caixas com no mínimo 100 unidades</t>
  </si>
  <si>
    <t xml:space="preserve">Fita Adesiva - Uso Cutâneo apresentação: em tiras, cor: transparente, dimensão da tira: cerca de 3,0 x 50 cm, esterilidade: não estéril, material dorso: silicone, tipo: placa de gel p/ cicatriz ATENÇÃO! ITENS EXCLUSIVOS PARA ME/EPP Havendo divergência entre a </t>
  </si>
  <si>
    <t>Dreno Cirúrgico modelo: tubular, material: silicone, calibre: 18, componente: introdutor em aço inoxidável, componente adicional: c/ reservatório graduado - pressão negativa, volume: cerca de 500, conector universal: c/ conector duplo, componente i: c/ válvula</t>
  </si>
  <si>
    <t xml:space="preserve">Agulha Hipodérmica material: aço inoxidável siliconizado, dimensão: 25 g x 5/8", tipo ponta: bisel curto trifacetado, tipo conexão: conector luer lock em plástico, tipo fixação: protetor plástico, característica adicional: com sistema segurança segundo nr/32, </t>
  </si>
  <si>
    <t>Agulha Hipodérmica material: aço inoxidável siliconizado, dimensão: 24 g x 3/4", tipo ponta: bisel curto trifacetado, tipo conexão: conector luer lock ou slip em plástico, tipo fixação: protetor plástico, tipo uso: estéril, descartável, embalagem individual</t>
  </si>
  <si>
    <t>Avental material: pvc - cloreto de polivinila, modelo: unissex, tipo: impermeável, tamanho: m</t>
  </si>
  <si>
    <t>Cateter Nasal Para Oxigênio modelo: tipo óculos, aplicação: p/ polissonografia, material: tubo plástico c/ pronga de silicone, conector: compatível c/ equipamento, tamanho: adulto, comprimento: cerca de 2,5 m, componente adicional: c/ filtro, esterilidade: est</t>
  </si>
  <si>
    <t>Bolsa Coletora De Urina Sistema Fechado capacidade*: bureta de 150, características adicionais*: bolsa reservatório de 400ml, componentes: c/ extensor em pvc, torneira 3 vias, esterilidade*: estéril, descartável, graduação: graduada, material*: conjunto c/ son</t>
  </si>
  <si>
    <t>Bolsa Coletora De Urina Sistema Fechado material*: pvc, tipo*: sistema fechado, capacidade*: cerca de 2000, graduação: graduação de 100 em 100, válvula: válvula anti-refluxo, pinça: clamp corta fluxo, componentes: alça de sustentação, outros componentes: membr</t>
  </si>
  <si>
    <t>Bolsa Coletora De Urina Sistema Fechado material*: pvc, tipo*: sistema fechado, capacidade*: cerca de 2000, graduação: graduação de 100 em 100, válvula: válvula anti-refluxo, pinça: clamp corta fluxo, filtro: filtro hidrofóbico/bacteriológico, conector: conect</t>
  </si>
  <si>
    <t>Coletor De Resíduos De Serviço De Saúde tipo de resíduo: grupo e - resíduo perfurocortante infectante, tipo risco: risco biológico, capacidade: cerca de 20, material: caixa de papelão c/ saco plástico, adicional: c/ alça, uso: uso único</t>
  </si>
  <si>
    <t>Equipo De Nutrição Enteral material: pvc sem dehp, c/ cor, tipo: p/ bomba infusão, sem segmento de silicone, 1 via, câmara gotejamento: macrogotas, flexível, regulador de fluxo manual: pinça rolete, conector dieta: ponta em cruz, conector paciente: escalonado,</t>
  </si>
  <si>
    <t>Equipo De Infusão Venosa Gravitacional material: pvc âmbar p/ solução fotossensível, volume bureta: bureta cerca de 150, características bureta: graduada, c/ alça, respiro, injetor e filtro, câmara gotejamento: microgotas, flexível, c/ filtro, regulador de flu</t>
  </si>
  <si>
    <t>Equipo De Nutrição Enteral material: pvc, c/ cor, tipo: p/ bomba infusão, com segmento de silicone, 1 via, câmara gotejamento: macrogotas, flexível, regulador de fluxo manual: pinça rolete, conector dieta: ponta perfurante c/ respiro e filtro, conector pacient</t>
  </si>
  <si>
    <t>Espéculo Uso Médico aplicação: vaginal, modelo: collin, tamanho: grande, travamento: c/ trava tipo rosca, material: polímero, esterilidade: estéril, uso único, embalagem: embalagem individual</t>
  </si>
  <si>
    <t>Espéculo Uso Médico aplicação: vaginal, modelo: collin, tamanho: médio, travamento: c/ trava tipo rosca, material: polímero, esterilidade: estéril, uso único, embalagem: embalagem individual</t>
  </si>
  <si>
    <t>Fio De Sutura Agulhado material fio: nylon / poliamida preto, modelo fio: monofilamentar, diâmetro fio: 4-0, comprimento fio: cerca de 45, tipo agulha: agulha 3/8 círculo, modelo agulha: cortante, comprimento agulha: cerca de 40, esterilidade: estéril, apresen</t>
  </si>
  <si>
    <t>Fita Adesiva - Uso Cutâneo tipo: microporosa, material dorso: à base de tecido não tecido, tipo de adesivo: sintético, hipoalergênico, largura da fita: cerca de 100 mm, cor: c/ cor, apresentação: rolo s/ capa protetora, esterilidade: não estéril</t>
  </si>
  <si>
    <t>Fita Adesiva - Uso Cutâneo tipo: microporosa, material dorso: à base de tecido não tecido, tipo de adesivo: sintético, hipoalergênico, largura da fita: cerca de 40 mm, cor: c/ cor, apresentação: rolo s/ capa protetora, esterilidade: não estéril</t>
  </si>
  <si>
    <t>Lençol Descartável Uso Hospitalar materia prima: 100% polipropileno, não tecido tnt, gramatura 1: cerca de 30, dimensoes: cerca de 100 x 200 cm, apresentação 1: c/ elástico</t>
  </si>
  <si>
    <t>Luva Cirúrgica material: borracha mista - látex c/ revestimento sintético, superfície: superfície texturizada, formato: anatômico, pó: sem pó, cor: c/ cor, tamanho: nº 7,0, apresentação: em par, esterilidade: estéril, uso único, embalagem: embalagem individual</t>
  </si>
  <si>
    <t>Luva Cirúrgica material: borracha natural - látex, superfície: superfície lisa, formato: anatômico, pó: com pó bioabsorvível, cor: c/ cor, tamanho: nº 8,5, apresentação: em par, esterilidade: estéril, uso único, embalagem: embalagem individual</t>
  </si>
  <si>
    <t>Luva De Proteção material: polietileno, aplicação: uso geral, tipo punho: curto, tamanho: grande, cor: branca, acabamento palma: liso, esterilidade: não esterilizada, tipo: ambidestra</t>
  </si>
  <si>
    <t>Material Gasoterapia modelo: umidificador aquecido, saída: p/ oxigênio e ar comprimido, tamanho: único, tipo frasco: frasco polissulfona, base metálica, volume: cerca de 250, componentes: c/ vedação, outros componentes: conector de entrada e saída, esterilidad</t>
  </si>
  <si>
    <t>Sistema Fechado Aspiração Traqueal aplicação: p/ traqueostomia, tamanho: 8 fr, tipo sonda: sonda graduada e protegida, conector: conectores padrão, vias: via irrigação antirrefluxo e aerossolterapia, válvula sucção: válvula sucção c/ tampa e trava de segurança</t>
  </si>
  <si>
    <t>Sonda Trato Digestivo aplicação: oro ou nasogástrica, modelo: levine, material: silicone, calibre: nº 14, tamanho: longa, comprimento: cerca 120, conector: conector padrão c/ tampa, componentes: ponta distal fechada, c/ orifícios laterais, esterilidade: estéri</t>
  </si>
  <si>
    <t>Sonda Trato Digestivo aplicação: oro ou nasogástrica, modelo: levine, material: silicone, calibre: nº 16, tamanho: longa, comprimento: cerca 120, conector: conector padrão c/ tampa, componentes: ponta distal fechada, c/ orifícios laterais, esterilidade: estéri</t>
  </si>
  <si>
    <t>Sonda Trato Digestivo aplicação: nasoenteral, material: silicone, calibre: nº 12, comprimento: cerca 100, conector: conector em y c/ tampa, graduação: graduada, componentes: ponta distal fechada, c/ orifícios laterais, outros componentes: c/ fio guia, peso met</t>
  </si>
  <si>
    <t>Sonda Trato Urinário modelo: uretral, material: pvc, calibre: 8, conector: conector padrão c/ tampa, comprimento: cerca 40, tipo ponta: ponta distal cilíndrica fechada, componentes: c/ orifícios laterais, esterilidade: estéril, descartável, embalagem: embalage</t>
  </si>
  <si>
    <t>Sonda Trato Urinário modelo: uretral, material: silicone, calibre: 10, conector: conector padrão c/ tampa, comprimento: cerca 40, tipo ponta: ponta distal cilíndrica fechada, componentes: c/ orifícios laterais, esterilidade: estéril, descartável, embalagem: em</t>
  </si>
  <si>
    <t>Sonda Trato Urinário modelo: uretral, material: poliuretano, calibre: 12, conector: conector c/ bolsa coletora acoplada, comprimento: cerca 30, tipo ponta: ponta distal cilíndrica fechada, componentes: c/ orifícios laterais, adicionais: lubrificada, sistema te</t>
  </si>
  <si>
    <t>Sonda Trato Urinário modelo: uretral, material: silicone, calibre: 14, conector: conector padrão c/ tampa, comprimento: cerca 40, tipo ponta: ponta distal cilíndrica fechada, componentes: c/ orifícios laterais, esterilidade: estéril, descartável, embalagem: em</t>
  </si>
  <si>
    <t>Suporte tipo: coletor de 20 litros, material: metal, aplicação: coletor de perfurocortante</t>
  </si>
  <si>
    <t>Lençol Descartável Uso Hospitalar materia prima: 100% polipropileno, não tecido tnt, gramatura 1: cerca de 40, dimensoes: cerca de 70 cm x 50 m, apresentação 1: em rolo</t>
  </si>
  <si>
    <t>LENÇOL, de borracha, em folhas com 13x13cm, espessura média,</t>
  </si>
  <si>
    <t>AGULHA HIPODÉRMICA MATERIAL: AÇO INOXIDÁVEL SILICONIZADO,, DIMENSÃO: 25 G X 1/2", TIPO PONTA: BISEL CURTO TRIFACETADO, TIPO CONEXÃO: CONECTOR LUER LOCK EM PLÁSTICO, TIPO FIXAÇÃO: PROTETOR PLÁSTICO, CARACTERÍSTICA ADICIONAL: COM SISTEMA SEGURANÇA SEGUNDO NR/32,</t>
  </si>
  <si>
    <t>FIO DE SUTURA AGULHADO MATERIAL FIO: CATGUT SIMPLES, MODELO FIO: , MULTIFILAMENTAR, DIÂMETRO FIO: 2-0, COMPRIMENTO FIO: CERCA DE 70CM, TIPO AGULHA: AGULHA 3/8 CÍRCULO, MODELO AGULHA: CILÍNDRICA, COMPRIMENTO AGULHA: CERCA DE 30MM, ESTERILIDADE: ESTÉRIL, APRESEN</t>
  </si>
  <si>
    <t>FIO DE SUTURA AGULHADO MATERIAL FIO: CATGUT SIMPLES, MODELO FIO: , MULTIFILAMENTAR, DIÂMETRO FIO: 3-0, COMPRIMENTO FIO: CERCA DE 70CM, TIPO AGULHA: AGULHA 3/8 CÍRCULO, MODELO AGULHA: CILÍNDRICA, COMPRIMENTO AGULHA: CERCA DE 30MM, ESTERILIDADE: ESTÉRIL, APRESEN</t>
  </si>
  <si>
    <t>GARROTE MATERIAL*: FAIXA ELÁSTICA, COMPONENTE ADICIONAL: C/ , SISTEMA DE TRAVA EM PLÁSTICO, TAMANHO: TAMANHO ADULTO, TIPO USO: REUTILIZÁVEL. CÓDIGO BPS: 445576</t>
  </si>
  <si>
    <t>SONDA TRATO DIGESTIVO APLICAÇÃO: ORO OU NASOGÁSTRICA, MODELO: , LEVINE, MATERIAL: SILICONE, CALIBRE: Nº 14, TAMANHO: LONGA, COMPRIMENTO: CERCA 120CM, CONECTOR: CONECTOR PADRÃO C/ TAMPA, COMPONENTES: PONTA DISTAL FECHADA, C/ ORIFÍCIOS LATERAIS, ESTERILIDADE: ES</t>
  </si>
  <si>
    <t>SONDA TRATO DIGESTIVO APLICAÇÃO: ORO OU NASOGÁSTRICA, MODELO: , LEVINE, MATERIAL: SILICONE, CALIBRE: Nº 18, TAMANHO: LONGA, COMPRIMENTO: CERCA 120CM, CONECTOR: CONECTOR PADRÃO C/ TAMPA, COMPONENTES: PONTA DISTAL FECHADA, C/ORIFÍCIOS LATERAIS, ESTERILIDADE: EST</t>
  </si>
  <si>
    <t>SONDA TRATO DIGESTIVO APLICAÇÃO: ORO OU NASOGÁSTRICA, MODELO: , LEVINE, MATERIAL: SILICONE, CALIBRE: Nº 6, TAMANHO: LONGA, COMPRIMENTO: CERCA 100CM, CONECTOR: CONECTOR PADRÃO C/ TAMPA, COMPONENTES: PONTA DISTAL FECHADA, C/ ORIFÍCIOS LATERAIS, ESTERILIDADE: EST</t>
  </si>
  <si>
    <t>SONDA TRATO DIGESTIVO APLICAÇÃO: ORO OU NASOGÁSTRICA, MODELO: , LEVINE, MATERIAL: SILICONE, CALIBRE: Nº 8, TAMANHO: LONGA, COMPRIMENTO: CERCA 100CM, CONECTOR: CONECTOR PADRÃO C/ TAMPA, COMPONENTES: PONTA DISTAL FECHADA, C/ ORIFÍCIOS LATERAIS, ESTERILIDADE: EST</t>
  </si>
  <si>
    <t xml:space="preserve">SONDA TRATO DIGESTIVO APLICAÇÃO: NASOENTERAL, MATERIAL: SILICONE,, CALIBRE: Nº 12, COMPRIMENTO: CERCA 100CM, CONECTOR: CONECTOR EM Y C/ TAMPA, GRADUAÇÃO: GRADUADA, COMPONENTES: PONTA DISTAL FECHADA, C/ ORIFÍCIOS LATERAIS, OUTROS COMPONENTES: C/ FIO GUIA, PESO </t>
  </si>
  <si>
    <t>SONDA TRATO DIGESTIVO APLICAÇÃO: ORO OU NASOGÁSTRICA, MODELO: , LEVINE, MATERIAL: PVC, CALIBRE: Nº 12, TAMANHO: CURTA, COMPRIMENTO: CERCA 50CM, CONECTOR: CONECTOR PADRÃO C/ TAMPA, COMPONENTES: PONTA DISTAL FECHADA, C/ ORIFÍCIOS LATERAIS, ESTERILIDADE: ESTÉRIL,</t>
  </si>
  <si>
    <t>SONDA TRATO DIGESTIVO APLICAÇÃO: ORO OU NASOGÁSTRICA, MODELO: , LEVINE, MATERIAL: PVC, CALIBRE: Nº 14, TAMANHO: CURTA, COMPRIMENTO: CERCA 50CM, CONECTOR: CONECTOR PADRÃO C/ TAMPA, COMPONENTES: PONTA DISTAL FECHADA, C/ ORIFÍCIOS LATERAIS, ESTERILIDADE: ESTÉRIL,</t>
  </si>
  <si>
    <t>SONDA TRATO DIGESTIVO APLICAÇÃO: ORO OU ANASOGÁSTRICA, MODELO: , LEVINE, MATERIAL: PVC, CALIBRE: Nº 16, TAMANHO: CURTA, COMPRIMENTO: CERCA 50CM, CONECTOR: CONECTOR PADRÃO C/ TAMPA, COMPONENTES: PONTA DISTAL FECHADA, C/ ORIFÍCIOS LATERAIS, ESTERILIDADE: ESTÉRIL</t>
  </si>
  <si>
    <t>SONDA TRATO DIGESTIVO APLICAÇÃO: ORO OUANASOGÁSTRICA, MODELO: , LEVINE, MATERIAL: PVC, CALIBRE: Nº 18, TAMANHO: CURTA, COMPRIMENTO: CERCA 50CM, CONECTOR: CONECTOR PADRÃO C/ TAMPA, COMPONENTES: PONTA DISTAL FECHADA, C/ ORIFÍCIOS LATERAIS, ESTERILIDADE: ESTÉRIL,</t>
  </si>
  <si>
    <t>SONDA TRATO DIGESTIVO APLICAÇÃO: ORO OUVNASOGÁSTRICA, MODELO: , LEVINE, MATERIAL: SILICONE, CALIBRE: Nº 10, TAMANHO: LONGA, COMPRIMENTO: CERCA 120CM, CONECTOR: CONECTOR PADRÃO C/ TAMPA, COMPONENTES: PONTA DISTAL FECHADA, C/ ORIFÍCIOS LATERAIS, ESTERILIDADE: ES</t>
  </si>
  <si>
    <t>SONDA TRATO DIGESTIVO APLICAÇÃO: ORO OU NASOGÁSTRICA, MODELO: , LEVINE, MATERIAL: SILICONE, CALIBRE: Nº 12, TAMANHO: LONGA, COMPRIMENTO: CERCA 120CM, CONECTOR: CONECTOR PADRÃO C/ TAMPA, COMPONENTES: PONTA DISTAL FECHADA, C/ ORIFÍCIOS LATERAIS, ESTERILIDADE: ES</t>
  </si>
  <si>
    <t>SONDA TRATO DIGESTIVO APLICAÇÃO: ORO OU NASOGÁSTRICA, MODELO: , LEVINE, MATERIAL: SILICONE, CALIBRE: Nº 16, TAMANHO: LONGA, COMPRIMENTO: CERCA 120CM, CONECTOR: CONECTOR PADRÃO C/ TAMPA, COMPONENTES: PONTA DISTAL FECHADA, C/ ORIFÍCIOS LATERAIS, ESTERILIDADE: ES</t>
  </si>
  <si>
    <t>SONDA TRATO DIGESTIVO APLICAÇÃO: ORO OU NASOGÁSTRICA, MODELO: , LEVINE, MATERIAL: SILICONE, CALIBRE: Nº 20, TAMANHO: CURTA, COMPRIMENTO: CERCA 50CM, CONECTOR: CONECTOR PADRÃO C/ TAMPA, COMPONENTES: PONTA DISTAL FECHADA, C/ ORIFÍCIOS LATERAIS, ESTERILIDADE: EST</t>
  </si>
  <si>
    <t>SONDA TRATO URINÁRIO MODELO: FOLEY,MATERIAL: SILICONE, CALIBRE: , 10FRENCH, VIAS: 2 VIAS, CONECTOR: CONECTORESPADRÃO, VOLUME: C/ BALÃO CERCA 5ML,TIPO PONTA: PONTA DISTAL CILÍNDRICA FECHADA, COMPONENTES: C/ ORIFÍCIOS LATERAIS, ESTERILIDADE: ESTÉRIL, DESCARTÁVEL</t>
  </si>
  <si>
    <t>SONDA TRATO URINÁRIO MODELO: FOLEY, MATERIAL: SILICONE, CALIBRE: , 20FRENCH, VIAS: 3 VIAS, CONECTOR: CONECTORES PADRÃO, VOLUME: C/ BALÃO CERCA 30ML, TIPO PONTA: PONTA DISTAL CILÍNDRICA FECHADA, COMPONENTES: C/ ORIFÍCIOS LATERAIS, ESTERILIDADE: ESTÉRIL, DESCART</t>
  </si>
  <si>
    <t xml:space="preserve">SONDA TRATO URINÁRIO MODELO: URETRAL, MATERIAL: SILICONE, CALIBRE:, 18FRENCH, CONECTOR: CONECTOR PADRÃO, COMPRIMENTO: CERCA 40CM, TIPO PONTA: PONTA DISTAL CILÍNDRICA C/ ORIFÍCIO, ESTERILIDADE: ESTÉRIL, DESCARTÁVEL, EMBALAGEM: EMBALAGEM INDIVIDUAL. CÓDIGO BPS: </t>
  </si>
  <si>
    <t>FIO GUIA, TIPO: BOUGIE; APLICAÇÃO : INTUBAÇÃO TRAQUEAL VENTILADO , USO: ADULTO, , COR: CONTRASTANTE; ISENTO DE LATEX; COMPRIMENTO: 70CM; TAMANHO: 15FR (5,0 MM X 700MM) PARA USO COM TUBOS ENDOTRAQUEAIS 5,5. (BR 452986).</t>
  </si>
  <si>
    <t xml:space="preserve">Agulha Hipodérmica material: aço inoxidável siliconizado, dimensão: 25 g x 1/2", tipo ponta: bisel curto trifacetado, tipo conexão: conector luer lock em plástico, tipo fixação: protetor plástico, característica adicional: com sistema segurança segundo nr/32, </t>
  </si>
  <si>
    <t>Fio De Sutura Agulhado material fio: catgut simples, modelo fio: multifilamentar, diâmetro fio: 2-0, comprimento fio: cerca de 70, tipo agulha: agulha 3/8 círculo, modelo agulha: cilíndrica, comprimento agulha: cerca de 30, esterilidade: estéril, apresentação:</t>
  </si>
  <si>
    <t>Fio De Sutura Agulhado material fio: catgut simples, modelo fio: multifilamentar, diâmetro fio: 3-0, comprimento fio: cerca de 70, tipo agulha: agulha 3/8 círculo, modelo agulha: cilíndrica, comprimento agulha: cerca de 30, esterilidade: estéril, apresentação:</t>
  </si>
  <si>
    <t>Garrote material*: faixa elástica, componente adicional: c/ sistema de trava em plástico, tamanho: tamanho adulto, tipo uso: reutilizável CONFORME TERMO DE REFERÊNCIA</t>
  </si>
  <si>
    <t>Sonda Trato Digestivo aplicação: oro ou nasogástrica, modelo: levine, material: silicone, calibre: nº 18, tamanho: longa, comprimento: cerca 120, conector: conector padrão c/ tampa, componentes: ponta distal fechada, c/ orifícios laterais, esterilidade: estéri</t>
  </si>
  <si>
    <t>Sonda Trato Digestivo aplicação: oro ou nasogástrica, modelo: levine, material: silicone, calibre: nº 6, tamanho: longa, comprimento: cerca 100, conector: conector padrão c/ tampa, componentes: ponta distal fechada, c/ orifícios laterais, esterilidade: estéril</t>
  </si>
  <si>
    <t>Sonda Trato Digestivo aplicação: oro ou nasogástrica, modelo: levine, material: silicone, calibre: nº 8, tamanho: longa, comprimento: cerca 100, conector: conector padrão c/ tampa, componentes: ponta distal fechada, c/ orifícios laterais, esterilidade: estéril</t>
  </si>
  <si>
    <t>Sonda Trato Digestivo aplicação: oro ou nasogástrica, modelo: levine, material: pvc, calibre: nº 10, tamanho: curta, comprimento: cerca 50, conector: conector padrão c/ tampa, componentes: ponta distal fechada, c/ orifícios laterais, esterilidade: estéril, des</t>
  </si>
  <si>
    <t>Sonda Trato Digestivo aplicação: oro ou nasogástrica, modelo: levine, material: pvc, calibre: nº 12, tamanho: curta, comprimento: cerca 50, conector: conector padrão c/ tampa, componentes: ponta distal fechada, c/ orifícios laterais, esterilidade: estéril, des</t>
  </si>
  <si>
    <t>Sonda Trato Digestivo aplicação: oro ou nasogástrica, modelo: levine, material: pvc, calibre: nº 14, tamanho: curta, comprimento: cerca 50, conector: conector padrão c/ tampa, componentes: ponta distal fechada, c/ orifícios laterais, esterilidade: estéril, des</t>
  </si>
  <si>
    <t>Sonda Trato Digestivo aplicação: oro ou nasogástrica, modelo: levine, material: pvc, calibre: nº 16, tamanho: curta, comprimento: cerca 50, conector: conector padrão c/ tampa, componentes: ponta distal fechada, c/ orifícios laterais, esterilidade: estéril, des</t>
  </si>
  <si>
    <t>Sonda Trato Digestivo aplicação: oro ou nasogástrica, modelo: levine, material: pvc, calibre: nº 18, tamanho: curta, comprimento: cerca 50, conector: conector padrão c/ tampa, componentes: ponta distal fechada, c/ orifícios laterais, esterilidade: estéril, des</t>
  </si>
  <si>
    <t>Sonda Trato Digestivo aplicação: oro ou nasogástrica, modelo: levine, material: silicone, calibre: nº 10, tamanho: longa, comprimento: cerca 120, conector: conector padrão c/ tampa, componentes: ponta distal fechada, c/ orifícios laterais, esterilidade: estéri</t>
  </si>
  <si>
    <t>Sonda Trato Digestivo aplicação: oro ou nasogástrica, modelo: levine, material: silicone, calibre: nº 12, tamanho: longa, comprimento: cerca 120, conector: conector padrão c/ tampa, componentes: ponta distal fechada, c/ orifícios laterais, esterilidade: estéri</t>
  </si>
  <si>
    <t>Sonda Trato Digestivo aplicação: oro ou nasogástrica, modelo: levine, material: silicone, calibre: nº 20, tamanho: curta, comprimento: cerca 50, conector: conector padrão c/ tampa, componentes: ponta distal fechada, c/ orifícios laterais, esterilidade: estéril</t>
  </si>
  <si>
    <t>Sonda Trato Urinário modelo: foley, material: silicone, calibre: 20, vias: 3 vias, conector: conectores padrão, volume: c/ balão cerca 30, tipo ponta: ponta distal cilíndrica fechada, componentes: c/ orifícios laterais, esterilidade: estéril, descartável, emba</t>
  </si>
  <si>
    <t>Sonda Trato Urinário modelo: uretral, material: silicone, calibre: 18, conector: conector padrão, comprimento: cerca 40, tipo ponta: ponta distal cilíndrica c/ orifício, esterilidade: estéril, descartável, embalagem: embalagem individual CONFORME TERMO DE REFE</t>
  </si>
  <si>
    <t>Tubo Para Coleta De Amostra Biológica material: plástico âmbar, volume: 3,5, componentes: com gel separador, uso: coleta de sangue, característica adicional: à vácuo, esterilidade: estéril, descartável CONFORME TERMO DE REFERÊNCIA</t>
  </si>
  <si>
    <t>AGULHA GENGIVAL 27G LONGA</t>
  </si>
  <si>
    <t>AGULHA GENGIVAL 30G CURTA</t>
  </si>
  <si>
    <t>CABO PARA BISTURI NÚMERO 3</t>
  </si>
  <si>
    <t>FIO DE SUTURA NYLON 4.0 INABSORVIVEL, ESTERIL, MONOFILAMENTAR, COMPOSTO DE POLIAMIDA, NA COR PRETA,</t>
  </si>
  <si>
    <t>INDICADOR BIOLÓGICO AUTOCONTIDO, COMPOSTO POR UMA AMPOLA COM ESPOROS DE GEOBACILLUS STEAROTHERMOPHILUS, COM POPULAÇÃO MÍNIMA DE 10⁵ UFC (UNIDADES FORMADORAS DE COLÔNIA), APROPRIADO PARA MONITORAMENTO DE CICLOS DE ESTERILIZAÇÃO A VAPOR SATURADO (AUTOCLAVE). DEV</t>
  </si>
  <si>
    <t>LÂMINA DE BISTURI Nº13, CAIXA COM 100 UNIDADES.</t>
  </si>
  <si>
    <t>LENCOL DE BORRACHA, COM 26 UNIDADES.</t>
  </si>
  <si>
    <t>MOLDEIRA PARA DESDENTADOCONFECCIONADO EM AÇO INOX, SEM PERFURAÇÃO I 4 -INFERIOR</t>
  </si>
  <si>
    <t>MOLDEIRA PARA DESDENTADOCONFECCIONADO EM AÇO INOX, SEM PERFURAÇÃO S4- SUPERIOR</t>
  </si>
  <si>
    <t>MOLDEIRA PARA DESDENTADOCONFECCIONADO EM AÇO INOX, SEM PERFURAÇÃO TAMANHO GINFERIOR</t>
  </si>
  <si>
    <t>MOLDEIRA PARA DESDENTADO- CONFECCIONADO EM AÇO INOX, SEM PERFURAÇÃO TAMANHO G - SUPERIOR</t>
  </si>
  <si>
    <t>MOLDEIRA PARA DESDENTADOCONFECCIONADO EM AÇO INOX, SEM PERFURAÇÃO TAMANHO MINFERIOR</t>
  </si>
  <si>
    <t>MOLDEIRA PARA DESDENTADOCONFECCIONADO EM AÇO INOX, SEM PERFURAÇÃO TAMANHO M - SUPERIOR</t>
  </si>
  <si>
    <t>MOLDEIRA PARA DESDENTADOCONFECCIONADO EM AÇO INOX, SEM PERFURAÇÃO TAMANHO P - INFERIOR</t>
  </si>
  <si>
    <t>MOLDEIRA PARA DESDENTADOCONFECCIONADO EM AÇO INOX, SEM PERFURAÇÃO TAMANHO P - SUPERIOR</t>
  </si>
  <si>
    <t>SERINGA DE PLÁSTICO DESCARTÁVEL TRANSPARENTE DE 5 ML COM ROSCA LUER LOCK</t>
  </si>
  <si>
    <t>SUGADOR CIRURGICO DESCARTAVEL ODONTOLÓGICO EMBALAGEM C/ 40 UNIDADES DE 2,5MM</t>
  </si>
  <si>
    <t>SUGADOR DESCARTAVEL ODONTOLÓGICO EMBALAGEM C/ 40 UNIDADES</t>
  </si>
  <si>
    <t>Lenço Umedecido material: não tecido, dimensões: cerca de 2,5 x 4, componentes: impregnado c/ álcool, tipo uso: descartável, embalagem: embalagem individual</t>
  </si>
  <si>
    <t>Agulha Hipodérmica característica adicional: uso veterinário, dimensão: 50 g x 20", material: aço inoxidável siliconizado, tipo conexão: conector luer lock em latão cromado, tipo ponta: bisel curto trifacetado, tipo uso: estéril, descartável, embalagem individ</t>
  </si>
  <si>
    <t>Luvas De Latex Para Procedimento Cirurgico Lubrificada com talco - tamanho g -cx 100 unid.</t>
  </si>
  <si>
    <t>Luvas de Látex Para Procedimento Cirúrgico Lubrificada com talco - tamanho M - cx 100 unid.</t>
  </si>
  <si>
    <t>Luva P/ Procedimento De Saúde Não Cirúrgico C/ Anvisa material: borracha sintética - vinil / pvc, superfície: superfície lisa, formato: ambidestra, pó: com pó bioabsorvível, cor: transparente, tamanho: extra pequeno - pp, esterilidade: não estéril, uso único E</t>
  </si>
  <si>
    <t>Luva P/ Procedimento De Saúde Não Cirúrgico C/ Anvisa material: borracha natural - látex, superfície: superfície texturizada, formato: ambidestra, pó: com pó bioabsorvível, cor: c/ cor, tamanho: pequeno - p, esterilidade: não estéril, uso único Em caso de dive</t>
  </si>
  <si>
    <t>Luva P/ Procedimento De Saúde Não Cirúrgico C/ Anvisa material: borracha natural - látex, superfície: superfície texturizada, formato: ambidestra, pó: com pó bioabsorvível, cor: c/ cor, tamanho: médio - m, esterilidade: não estéril, uso único Em caso de diverg</t>
  </si>
  <si>
    <t>Luva P/ Procedimento De Saúde Não Cirúrgico C/ Anvisa material: borracha natural - látex, superfície: superfície texturizada, formato: ambidestra, pó: com pó bioabsorvível, cor: c/ cor, tamanho: grande - g, esterilidade: não estéril, uso único Em caso de diver</t>
  </si>
  <si>
    <t>Lençol Descartável Uso Hospitalar materia prima: 100% polipropileno, não tecido tnt, gramatura 1: cerca de 40, dimensoes: cerca de 100 x 200 cm, apresentação 1: c/ elástico Em caso de divergência entre a descrição cadastrada no CATMAT/Compras.gov e o descritiv</t>
  </si>
  <si>
    <t>Agulha Hipodérmica dimensão: 25 g x 3/8", material: aço inoxidável siliconizado, tipo conexão: conector luer lock ou slip em plástico, tipo fixação: protetor plástico, tipo ponta: bisel curto trifacetado, tipo uso: estéril, descartável, embalagem individual Em</t>
  </si>
  <si>
    <t>Agulha Hipodérmica característica adicional: com sistema segurança segundo nr/32, dimensão: 18 g x 1 1/4", material: aço inoxidável siliconizado, tipo conexão: conector luer lock em plástico, tipo fixação: protetor plástico, tipo ponta: bisel curto trifacetado</t>
  </si>
  <si>
    <t>Touca características adicionais: tamanho único com elástico, cor: branca, material: polipropileno, tipo: descartável Em caso de divergência entre a descrição cadastrada no CATMAT/Compras.gov e o descritivo constante no Aviso de Dispensa, prevalecerão as espec</t>
  </si>
  <si>
    <t xml:space="preserve">Lâmina Bisturi material: aço inoxidável, tamanho: nº 24, tipo: descartável, esterilidade: estéril, características adicionais: embalada individualmente Em caso de divergência entre a descrição cadastrada no CATMAT/Compras.gov e o descritivo constante no Aviso </t>
  </si>
  <si>
    <t>Cabo Bisturi material: aço inoxidável, tamanho: nº 4, aplicação: cirurgia Em caso de divergência entre a descrição cadastrada no CATMAT/Compras.gov e o descritivo constante no Aviso de Dispensa, prevalecerão as especificações contidas no Aviso de Dispensa e em</t>
  </si>
  <si>
    <t>"Agulha Hipodérmica Descartável 40x1,20mm</t>
  </si>
  <si>
    <t>"Agulha Hipodérmica Descartável com saída lateral</t>
  </si>
  <si>
    <t>"Agulha Gengival 27 G longa (30mm)</t>
  </si>
  <si>
    <t>"Agulha Gengival 30 G curta</t>
  </si>
  <si>
    <t>"Agulha Gengival 30G Extra-Curta: 12 a 15mm</t>
  </si>
  <si>
    <t>"Alicate Perfurador de lençol de borracha Ainsworth</t>
  </si>
  <si>
    <t>"Bobina de papel grau cirúrgico 5 cm x 100 m</t>
  </si>
  <si>
    <t>"Bobina de papel grau cirúrgico 10 cm x 100 m</t>
  </si>
  <si>
    <t>"Bobina de papel grau cirúrgico 15 cm x 100 m</t>
  </si>
  <si>
    <t>"Bobina de papel grau cirúrgico 35 cm x 100 m</t>
  </si>
  <si>
    <t>Gaze estéril (13 fios).</t>
  </si>
  <si>
    <t>Indicador biológico. Caixa c/ 10 unidades.</t>
  </si>
  <si>
    <t>"Indicador Químico Integrador Classe 5</t>
  </si>
  <si>
    <t>Kit cirúrgico para microcirurgias periodontais.</t>
  </si>
  <si>
    <t>Kit cirúrgico para cirurgia periodontais</t>
  </si>
  <si>
    <t>Kit Campo Cirúrgico Odontológico em Tecido/Brim.</t>
  </si>
  <si>
    <t>"Kit Cirúrgico Estéril 12 Peças</t>
  </si>
  <si>
    <t>Lâmina de bisturi. Nº 12. Aço inoxidável descartável. Caixa c/100 unidades. Prazo de validade de 2 a 3 anos</t>
  </si>
  <si>
    <t>Lâmina de bisturi. Nº 15. Aço inoxidável descartável. Caixa c/100 unidades. Prazo de validade de 2 a 3 anos</t>
  </si>
  <si>
    <t>Lâmina de bisturi. Nº 15C</t>
  </si>
  <si>
    <t>"Lençol de Borracha Aromatizado</t>
  </si>
  <si>
    <t>"Luva cirúrgica estéril 6.5</t>
  </si>
  <si>
    <t>LUVA ÉSTERIL 7,0 CIRÚRGICA</t>
  </si>
  <si>
    <t>"Luva cirúrgica estéril 7,5</t>
  </si>
  <si>
    <t>"Luva cirúrgica estéril 8,0</t>
  </si>
  <si>
    <t>"Máscara Cirúrgica Tripla Descartável (com elástico)</t>
  </si>
  <si>
    <t>Seringa descartável, 10 ml, sem agulha, bico Luer Lock, estéril, confeccionadas em polipropileno, boa transparência, siliconização interna com deslize perfeito, com anel de</t>
  </si>
  <si>
    <t>"Touca sanfonada branca.</t>
  </si>
  <si>
    <t>AGULHA GENG CURTA 30G, 0,3X25MM, AÇO INOX CX C/ 100 , AGULHA GENG CURTA 30G, 0,3X25MM, AÇO INOX CX C/ 100</t>
  </si>
  <si>
    <t>AGULHA GENG LONGA 27G, 0,4X30MM, AÇO INOX CX C/ 100 , AGULHA GENG LONGA 27G, 0,4X30MM, AÇO INOX CX C/ 100</t>
  </si>
  <si>
    <t>BABADOR ODONTOLÓGICO DESCARTAVEL , BABADOR ODONTOLÓGICO DESCARTAVEL</t>
  </si>
  <si>
    <t>COLETOR MATERIAL PÉRFUROCORTANTE, MATERIAL:PAPELÃO, COLETOR MATERIAL PÉRFUROCORTANTE, MATERIAL:PAPELÃO, CAPACIDADE TOTAL:3 L, ACESSÓRIOS:ALÇAS RÍGIDAS E TAMPA,</t>
  </si>
  <si>
    <t>ESPELHO TOUCADOR ODONTOLÓGICO DE MÃO , ESPELHO TOUCADOR ODONTOLÓGICO DE MÃO</t>
  </si>
  <si>
    <t>FITA AUTOCLAVE 30M , FITA AUTOCLAVE 30M</t>
  </si>
  <si>
    <t>Indicador biológico para esterilização, segunda geração, autocontido, Indicador biológico para esterilização, segunda geração, autocontido, ampola com meio de cultura, BACILLUS STEAROTHERMOPHILLUS, resposta em 24 horas, para esterilização a vapor</t>
  </si>
  <si>
    <t>Indicador Químico para esterilização a vapor classe 5 AUTOADESIVO caixa com 250 , Indicador Químico para esterilização a vapor classe 5 AUTOADESIVO caixa com 250</t>
  </si>
  <si>
    <t>Lenço umedecido com quaternário de amônio, produto pronto para uso, Lenço umedecido com quaternário de amônio, produto pronto para uso, produto bactericida e virucida.</t>
  </si>
  <si>
    <t>Luva para procedimento de saúde com pó látex G c/100 un , Luva para procedimento de saúde com pó látex G c/100 un</t>
  </si>
  <si>
    <t>Luva para procedimento de saúde com pó látex M c/100 un , Luva para procedimento de saúde com pó látex M c/100 un</t>
  </si>
  <si>
    <t>Luva de procedimento látex M sem pó c/100 un , Luva de procedimento látex M sem pó c/100 un</t>
  </si>
  <si>
    <t>Luva para procedimento de saúde com pó látex P c/100 un , Luva para procedimento de saúde com pó látex P c/100 un</t>
  </si>
  <si>
    <t>Luva de procedimento látex P sem pó c/100 un , Luva de procedimento látex P sem pó c/100 un</t>
  </si>
  <si>
    <t>Papel grau cirúrgico 05 cm X 100m , Papel grau cirúrgico 05 cm X 100m</t>
  </si>
  <si>
    <t>Papel grau cirúrgico 08 cm X 100m , Papel grau cirúrgico 08 cm X 100m</t>
  </si>
  <si>
    <t>Papel grau cirúrgico 10 cm X 100m, Papel grau cirúrgico 10 cm X 100m</t>
  </si>
  <si>
    <t>Papel grau cirúrgico 12 cm X 100m , Papel grau cirúrgico 12 cm X 100m</t>
  </si>
  <si>
    <t>Papel grau cirúrgico 15 cm X 100m , Papel grau cirúrgico 15 cm X 100m</t>
  </si>
  <si>
    <t>Papel grau cirúrgico 20 cm X 100m , Papel grau cirúrgico 20 cm X 100m</t>
  </si>
  <si>
    <t>SERINGA DESCARTAVEL 10 ML, SERINGA DESCARTAVEL 10 ML</t>
  </si>
  <si>
    <t>Touca Hospitalar, Material: Não Tecido 100% Polipropileno , Touca Hospitalar, Material: Não Tecido 100% Polipropileno - Modelo: Com Elástico Em Toda Volta, Cor: Sem Cor, Gramatura: Cerca De 60 G/M2, Tamanho: Único, Tipo Uso: Descartável, Característica Adicion</t>
  </si>
  <si>
    <t>LENÇOL/DIQUE BORRACHA PARA ISOLAMENTO ABSOLUTO, DE LÁTEX NATURAL, LENÇOL/DIQUE BORRACHA PARA ISOLAMENTO ABSOLUTO, DE LÁTEX NATURAL, PRÉ-CORTADO, CX COM 26 UNIDADES</t>
  </si>
  <si>
    <t>Luva Estéril Cirúrgica C/ Pó 7.0 ou 7.5, LÁTEX NATURAL, DESCARTÁVEL, Luva Estéril Cirúrgica C/ Pó 7.0 ou 7.5, LÁTEX NATURAL, DESCARTÁVEL, EMBALADA INDIVIDUALMENTE</t>
  </si>
  <si>
    <t>LUVA DE SEGURANÇA TRICOTADA EM FIBRAS NATURAIS E FIBRAS SINTÉTICAS, PIGMENTOS EM PVC NA PALMA, PUNHO COM FIBRAS ELÁSTICAS E ACABAMENTO EM FIBRAS SINTÉTICAS. TAMANHO: ÚNICO; USO: REUTILIZÁVEL; FORMATO: ANATÔ -MICO; ESTRUTURA: SUPORTE TÊXTIL; MODELO DA ESTRUTURA</t>
  </si>
  <si>
    <t>Cânula Aspiração Manual Intra-Uterina material: polímero, ponta: ponta distal fechada, c/ orifícios laterais, haste: haste semirrígida, graduada, calibre: cerca de 6, conector: conector padrão, esterilidade: estéril, uso único</t>
  </si>
  <si>
    <t>Cânula Aspiração Manual Intra-Uterina material: polímero, ponta: ponta distal fechada, c/ orifícios laterais, haste: haste semirrígida, graduada, calibre: cerca de 8, conector: conector padrão, esterilidade: estéril, uso único</t>
  </si>
  <si>
    <t>Cânula Aspiração Manual Intra-Uterina material: polímero, ponta: ponta distal fechada, c/ orifício lateral, haste: haste semirrígida, graduada, calibre: cerca de 10, conector: conector padrão, esterilidade: estéril, uso único</t>
  </si>
  <si>
    <t>Eletrodo Uso Médico aplicação 1: p/ monitorização neuro, modelo: de superfície, tipo: cúpula, material sensor: banhado a ouro, tamanhos: adulto, acessório: c/ cabo compatível c/ equipamento, esterilidade: reutilizável</t>
  </si>
  <si>
    <t>Placa Eletrocirúrgica materia prima: espuma, tipo: adesiva, impermeável, modelo: inteira, componente: c/ gel condutor, tamanho placa: adulto, componente adicional: s/ cabo, compatível: compatível c/ bisturi, tipo uso 1: descartável</t>
  </si>
  <si>
    <t>Placa Eletrocirúrgica materia prima: espuma, tipo: adesiva, impermeável, modelo: inteira, componente: c/ gel condutor, tamanho placa: infantil, componente adicional: s/ cabo, compatível: compatível c/ bisturi, tipo uso 1: descartável</t>
  </si>
  <si>
    <t>Placa Eletrocirúrgica materia prima: espuma, tipo: adesiva, impermeável, modelo: inteira, componente: c/ gel condutor, tamanho placa: neonatal, componente adicional: s/ cabo, compatível: compatível c/ bisturi, tipo uso 1: descartável</t>
  </si>
  <si>
    <t>ASPIRADOR CIRURGICO A VACUO Compacto de facil transporte e armazenamento. Motor com cabecote duplo, tipo pistao, com aneis autolubrificantes proporcionando durabilidade e desempenho continuo. Frasco coletor com capacidade minima de 1,5 litro, fabricado em Poli</t>
  </si>
  <si>
    <t>CONJUNTO DE NEBULIZACAO CONTINUA Composto por mascara; Kit tampa e extensor, copo e traqueia. 1 UND = 1 KIT</t>
  </si>
  <si>
    <t>(L1) 6510.19034-Gel condutor em pasta, neutro, inodoro e incolor, APRESENTAÇÃO: Para utilização como meio de contato e transmissão em aparelhos de ultrassonografia, ecógrafos e dopplers, produto hipoalergênico, atóxico, umectante, hidrossolúvel, sem sal, não g</t>
  </si>
  <si>
    <t>(L2) 6510.19034-Gel condutor em pasta, neutro, inodoro e incolor, APRESENTAÇÃO: Para utilização como meio de contato e transmissão em aparelhos de ultrassonografia, ecógrafos e dopplers, produto hipoalergênico, atóxico, umectante, hidrossolúvel, sem sal, não g</t>
  </si>
  <si>
    <t>(L10) 6510.24570-Capa Sanfonada Para Vídeo Câmera e Fibra Ótica, Estéril, em material resistente que não rompa ao ser instalada aos cabos de vídeo, EMBALAGEM: Embalada individualmente em material que garanta a integridade do produto, UNID. DE MEDIDA: Unitário</t>
  </si>
  <si>
    <t>(L11) 6510.24570-Capa Sanfonada Para Vídeo Câmera e Fibra Ótica, Estéril, em material resistente que não rompa ao ser instalada aos cabos de vídeo, EMBALAGEM: Embalada individualmente em material que garanta a integridade do produto, UNID. DE MEDIDA: Unitário</t>
  </si>
  <si>
    <t>(L13) 6510.38928-Placa eletrocirúrgica, Constituída por condutor de retorno de alumínio e filme poliéster e polipropileno de não tecido (TNT), recoberta por um gel adesivo condutivo dispersivo, com um dorso de espuma impermeável que proteja a área condutiva de</t>
  </si>
  <si>
    <t>(L14) 6510.38928-Placa eletrocirúrgica, Constituída por condutor de retorno de alumínio e filme poliéster e polipropileno de não tecido (TNT), recoberta por um gel adesivo condutivo dispersivo, com um dorso de espuma impermeável que proteja a área condutiva de</t>
  </si>
  <si>
    <t>(L15) 6510.38934-Placa eletrocirúrgica, Constituída por condutor de retorno de alumínio e filme poliéster e polipropileno de não tecido (TNT), recoberta por um gel adesivo condutivo dispersivo, com um dorso de espuma impermeável que proteja a área condutiva de</t>
  </si>
  <si>
    <t>(L16) 6510.38934-Placa eletrocirúrgica, Constituída por condutor de retorno de alumínio e filme poliéster e polipropileno de não tecido (TNT), recoberta por um gel adesivo condutivo dispersivo, com um dorso de espuma impermeável que proteja a área condutiva de</t>
  </si>
  <si>
    <t>(L19) 6510.38995-Placa eletrocirurgica, Constituída por condutor de retorno de alumínio e filme poliéster e polipropileno de não tecido, Recoberta por um gel adesivo condutivo dispersivo, com um dorso de espuma impermeável que proteja a área condutiva de fluíd</t>
  </si>
  <si>
    <t>Lâmina Bisturi características adicionais: p/ cabo redondo, esterilidade: estéril, material: aço inoxidável, tamanho: mini corte simples reto, tipo: descartável Lamina de bisturi 4</t>
  </si>
  <si>
    <t>(L5) 6510.80212-Cânula, TIPO: Semi-rígida, USO: Para aspiração manual intra uterina (AMIU), MATERIAL: Polipropileno, CARACTERÍSTICAS ADICIONAIS: Descartável, Demais informações de acordo com Termo de Referência e/ou Descritivo Técnico do Processo, UNID. DE MED</t>
  </si>
  <si>
    <t>(L6) 6510.99970-Cânula, TIPO: Semi-rígida, USO: Para aspiração manual intra uterina (AMIU), TAMANHO: nº 8, MATERIAL: Polipropileno, UNID. DE MEDIDA: Unitário</t>
  </si>
  <si>
    <t>(L7) 6510.113798-Cânula, TIPO: Semi-rígida, USO: Para aspiração manual intra uterina (AMIU), MATERIAL: Polipropileno, TAMANHO: Nº 10, UNID. DE MEDIDA: Unitário</t>
  </si>
  <si>
    <t>KIT Cânula Guedel orofaringea. Características: Cores Personalizadas: Disponíveis em uma variedade de cores, as cânulas oferecem uma identificação rápida de acordo com o tamanho, contribuindo para a eficiência do procedimento. Extremidade Terminal Rígida: O fo</t>
  </si>
  <si>
    <t>AGULHA DE INFUSAO INTRAOSSEA 18G - Agulha de infusao intraossea pediatrica, calibre 18G e comprimento aproximado de 23,6 mm, indicada para obtencao rapida de acesso vascular in-traosseo em situacoes de emergencia pediatrica, especialmente quando o acesso venos</t>
  </si>
  <si>
    <t>AGULHA DE INFUSAO INTRAOSSEA 18G - Agulha de infusao intraossea pediatrica, calibre 18G e comprimento aproximado de 25 mm, indicada para obtencao rapida de acesso vascular intra-osseo em situacoes de emergencia pediatrica nas quais o acesso venoso periferico n</t>
  </si>
  <si>
    <t>ATADURA DE CREPE, nao esteril, hipoalergica, aproximadamen-te 92% algodoes cru, 8% de poliamida, trama regular com no mi-nimo 13 fios/cm2, nao abrasiva. Tamanhos: 12 cm de largura e aproximadamente 1.80 m de comprimento (em repouso) ou 4,50 m de largura e apro</t>
  </si>
  <si>
    <t>ATADURA DE CREPE, nao esteril, hipoalergica, aproximadamen-te 92% algodoes cru, 8% de poliamida, trama regular com no mi-nimo 13 fios/cm2, nao abrasiva. Tamanhos: 15 cm de largura e aproximadamente 1.80 m de comprimento (em repouso) ou 4,50 m de largura e apro</t>
  </si>
  <si>
    <t>ATADURA DE CREPE, nao esteril, hipoalergica, aproximadamen-te 92% algodoes cru, 8% de poliamida, trama regular com no mi-nimo 13 fios/cm2, nao abrasiva. Tamanhos: 20 cm de largura e aproximadamente 1.80 m de comprimento (em repouso) ou 4,50 m de largura e apro</t>
  </si>
  <si>
    <t>AVENTAL SALA DE MATERIAL E ESTERELIZACAO - Avental de seguranca impermeavel. Confeccionado em laminado de PVC du-pla face com trama de nylon / trevira. Com tiras soldadas eletroni-camente sendo uma no pescoco e duas na cintura com fivela plastica, acabamento n</t>
  </si>
  <si>
    <t>BACIA INOX 35X7,5 - atendendo a legislacao vigente. Garantia contra defeitos de fabricacao. Prazo de validade minimo deve ser de 4/5 a partir da data de entrega. Sem imperfeicoes. Totalmente feita em aco inox, mantem suas caracteristicas originais, preser-vand</t>
  </si>
  <si>
    <t>BACIA INOX 41X34,5CM - atendendo a legislacao vigente. Ga-rantia contra defeitos de fabricacao. Prazo de validade minimo deve ser de 4/5 a partir da data de entrega. Sem imperfeicoes. Totalmente feita em aco inox, mantem suas caracteristicas origi-nais, preser</t>
  </si>
  <si>
    <t>BOLSA COLETORA URINA SISTEMA FECHADO (2 L)- Coletor de urina sistema fechado com valvula de escoamento para con-trole de exercicios vesicais e protecao, com registro de esterili-zacao, capacidade 2lt em PVC especial totalmente atoxico, emba-lado individualment</t>
  </si>
  <si>
    <t>CABO DE BISTURI NÂº 3 - atendendo a legislacao vigente. Garan-tia contra defeitos de fabricacao. Sem imperfeicoes. Cabo para Bisturi 13 cm (lÃ¢minas nÂº 10 a 17). Produto Confeccionado em Aco Inoxidavel. Autolavavel.CABO DE BISTURI NÂº 3 - atendendo a legislac</t>
  </si>
  <si>
    <t>CABO DE BISTURI NÂº 4 - atendendo a legislacao vigente. Garan-tia contra defeitos de fabricacao. Sem imperfeicoes. Produto Con-feccionado em Aco Inoxidavel. Autolavavel. Cabo para Bisturi 14 cm (lÃ¢minas nÂº 18 a 36).CABO DE BISTURI NÂº 4 - atendendo a legisla</t>
  </si>
  <si>
    <t>CATETER VENOSO CENTRAL DE DUPLO LUMEN 4 FR- Cate-ter venoso central de duplo lumen, calibre 4 French (4 Fr) e com-primento de 13 cm, indicado para acesso venoso central de curta permanencia em pacientes adultos e pediatricos, destinado a ad-ministracao intrave</t>
  </si>
  <si>
    <t>CATETER VENOSO CENTRAL DE DUPLO LUMEN 5 FR- Cate-ter venoso central de duplo lumen, calibre 5 French (5 Fr) e com-primento de 15 cm, indicado para acesso venoso central de curta permanencia em pacientes adultos e pediatricos, destinado a ad-ministracao intrave</t>
  </si>
  <si>
    <t>CATETER VENOSO CENTRAL DE DUPLO LUMEN 7 FR-Cateter venoso central de duplo lumen, calibre 7 French (7 Fr) e comprimento de 20 cm, indicado para acesso venoso central de curta e media permanencia em pacientes adultos, destinado a administracao intravenosa de me</t>
  </si>
  <si>
    <t>CATETER VENOSO CENTRAL DE DUPLO LUMEN 8,5 FR- Ca-teter venoso central de duplo lumen, calibre 8,5 French (8,5 Fr) e comprimento de 20 cm, indicado para acesso venoso central de curta e media permanencia em pacientes adultos, destinado a administracao intraveno</t>
  </si>
  <si>
    <t>CLAMP CORDAO UMBILICAL- atendendo a legislacao vigente. Garantia contra defeitos de fabricacao. Prazo de validade minimo deve ser de 4/5 a partir da data de entrega. Sem imperfeicoes. Clamp Umbilical Esteril - Indicacao: - Ligadura - Fechamento do cordao umbil</t>
  </si>
  <si>
    <t>COLETOR UNIVERSAL ESTERIL 80 ML - Sem Pa fabricados com polipropileno de alta qualidade, um material resistente e dura-vel. Isso garante a integridade das amostras liquidas, evitando vazamentos indesejados e contaminacoes durante o processo de coleta e armazen</t>
  </si>
  <si>
    <t>COMADRE INOX - Atendendo a legislacao vigente. Garantia con-tra defeitos de fabricacao. Sem imperfeicoes. Utilizado para cole-tar urina em pacientes acamados ou com dificuldades de locomo-cao. Aco inoxidavel. Altamente resistente; Longa durabilidade. Inox no t</t>
  </si>
  <si>
    <t>CUBA RIM - Cuba Inox em aco inoxidavel. Totalmente feita em aco inox, mantem suas caracteristicas originais, preservando a beleza, a higiene e a durabilidade do material. CARACTERISTI-CAS: Acabamento em brilho; capacidade minima de 700 ml. Ga-rantia contra def</t>
  </si>
  <si>
    <t>EQUIPO MICRO GOTAS: Equipo microgotas com pinca rolete de alta precisao; injetor lateral em â??Yâ??â?? com area para rapida assepsia com membrana auto cicatrizante ou valvulado; dispositivo de en-trada de ar lateral com filtro hidrofobo de 15 micras; cÃ¢mara d</t>
  </si>
  <si>
    <t>ESPARADRAPO IMPERMEAVEIS MEDINDO 10 X 4,5CM, Cor branco confeccionado com tecido 100% algodao, com capa com resina acrilica impermeabilizante. nele e aplicada massa adesiva a base de borracha natural, oxido de zinco e resina. Facil de ras-gar e de excelente fl</t>
  </si>
  <si>
    <t xml:space="preserve">ESPARADRAPO IMPERMEAVEIS MEDINDO 2,5 X 4,5CM, Cor branco confeccionado com tecido 100% algodao, com capa com resina acrilica impermeabilizante. Com aplicacao de massa ade-siva a base de borracha natural, oxido de zinco e resina. Facil de rasgar e de excelente </t>
  </si>
  <si>
    <t xml:space="preserve">ESPARADRAPO IMPERMEAVEIS MEDINDO 5,0 X 4,5CM, Cor branco confeccionado com tecido 100% algodao, com capa com resina acrilica impermeabilizante. Com aplicacao de massa ade-siva a base de borracha natural, oxido de zinco e resina. Facil de rasgar e de excelente </t>
  </si>
  <si>
    <t>ESPECULO VAGINAL DESCARTAVEL, esteril, tamanho grande, lubrificado, com embalagem unitaria Garantia: contra defeitos de fabricacao. prazo de validade minimo deve ser de 4/5 a partir da data de entrega. Sem imperfeicoes. Uso hospitalar. Com registro na Anvisa o</t>
  </si>
  <si>
    <t>ESPECULO VAGINAL DESCARTAVEL, esteril, tamanho medio, lubrificado, com embalagem unitaria Garantia: contra defeitos de fabricacao. prazo de validade minimo deve ser de 4/5 a partir da data de entrega. Sem imperfeicoes. Uso hospitalar. Com registro na Anvisa ou</t>
  </si>
  <si>
    <t>ESPECULO VAGINAL DESCARTAVEL, esteril, tamanho peque-no, lubrificado, com embalagem unitaria Garantia: contra defeitos de fabricacao. prazo de validade minimo deve ser de 4/5 a partir da data de entrega. Sem imperfeicoes. Uso hospitalar. Com regis-tro na Anvis</t>
  </si>
  <si>
    <t>EXTENSOR PARA OXIGENIO PVC 2,10M - confeccionado em PVC flexivel, transparente, atoxico e livre de latex, indicado para prolongamento da tubulacao de oxigenoterapia em pacientes que utilizam cateter nasal, mascara de oxigenio, concentrador ou ci-lindro de oxig</t>
  </si>
  <si>
    <t>FILTRO VENTILACAO MECÃ?NICA TIPO HME, TAMANHO ADULTO - Filtro bacteriano viral descartavel. Aplicacao: umidifi-cacao, filtracao bacteriologica e viral em ventilacao mecÃ¢nica, efi-ciencia de retencao de contaminantes maior que 99%, filtro tipo HME, espaco mort</t>
  </si>
  <si>
    <t>FILTRO VENTILACAO MECÃ?NICA TIPO HME, TAMANHO IN-FANTIL - Filtro Bacteriologico / Viral Hepa Infantil, com barreira bacteriostatica bacteriana e viral que pode ser utilizado entre o tu-bo endotraqueal ou traqueostomia e o circuito do respirador, co-mo tambem n</t>
  </si>
  <si>
    <t>FILTRO VENTILACAO MECÃ?NICA TIPO HME, TAMANHO PE-DIATRICO/NEONATAL - Filtro HME Pediatrico / Neonatal. Dispo-sitivo medico utilizado em conjunto com respiradores mecÃ¢nicos e aparelhos de anestesia, para pacientes sob ventilacao mecÃ¢nica artificial. Sua funca</t>
  </si>
  <si>
    <t>FIO CIRURGICO POLIGLACTINA 3-0 - Fio cirurgico absorvivel sintetico de poliglactina 910 rapida, calibre 3-0, indicado para aproximacao e sutura de tecidos moles, mucosas e pele em pro-cedimentos cirurgicos que requerem suporte temporario de cica-trizacao. Prod</t>
  </si>
  <si>
    <t>FIO CIRURGICO POLIGLACTINA 2-0 - Fio cirurgico absorvivel sintetico de poliglactina 910, calibre 2-0, indicado para aproxima-cao e sutura de tecidos moles em procedimentos cirurgicos ge-rais, especialmente em cirurgias do aparelho digestivo, ginecolo-gicas, ob</t>
  </si>
  <si>
    <t>FIO CIRURGICO POLIGLACTINA 4-0 - Fio cirurgico absorvivel sintetico de poliglactina 910, calibre 4-0, indicado para aproxima-cao e sutura de tecidos moles em procedimentos cirurgicos ge-rais, ginecologicos, obstetricos, urologicos, odontologicos e gas-trointes</t>
  </si>
  <si>
    <t>FIO CIRURGICO POLIGLACTINA 5-0 -Fio cirurgico absorvivel sintetico de poliglactina 910, calibre 5-0, indicado para aproxima-cao e sutura de tecidos moles em procedimentos cirurgicos ge-rais, odontologicos, ginecologicos, obstetricos, oftalmicos e gas-trointest</t>
  </si>
  <si>
    <t>FIO CIRURGICO POLIGLACTINA 6-0 - Fio cirurgico absorvivel sintetico de poliglactina 910, calibre 6-0, indicado para aproxima-cao e sutura de tecidos moles delicados em procedimentos cirur-gicos gerais, odontologicos, oftalmicos, plasticos, ginecologicos e micr</t>
  </si>
  <si>
    <t xml:space="preserve">FIO GUIA TIPO BOUGIE PARA INTUBACAO DIFICIL 6 FR - Produto altamente flexivel para auxiliar na intubacao (apresenta flexibilidade maior que os fios guias convencionais) Guia para In-troducao de sonda endotraqueal tipo Bougie Registro Anvisa Guia P/ Introducao </t>
  </si>
  <si>
    <t>FIO GUIA TIPO BOUGIE PARA INTUBACAO DIFICIL 15 FR - Produto altamente flexivel para auxiliar na intubacao (apresenta flexibilidade maior que os fios guias convencionais) Guia para In-troducao de sonda endotraqueal tipo Bougie Registro Anvisa Guia P/ Introducao</t>
  </si>
  <si>
    <t>FIO GUIA TIPO BOUGIE PARA INTUBACAO DIFICIL 10 FR - Produto altamente flexivel para auxiliar na intubacao (apresenta flexibilidade maior que os fios guias convencionais). Guia para In-troducao de sonda endotraqueal tipo Bougie Registro Anvisa Guia P/ Introduca</t>
  </si>
  <si>
    <t>FIO NYLON 0 - caixa com 24 envelopes. Fio de sutura, material: nylon monofilamento, tipo fio: 0, cor: preta, comprimento: cerca de 45 cm, caracteristicas adicionais: com agulha, tipo agulha: 3,8 circulos cortante, comprimento agulha: cerca 2,5 cm, esterilidade</t>
  </si>
  <si>
    <t>FIO NYLON 1-0 - caixa com 24 envelopes. Fio de sutura, materi-al: nylon monofilamento, tipo fio: 1-0, cor: preta, comprimento: cerca 120 cm, caracteristicas adicionais: com agulha, tipo agulha: 1,2 circulo cilindrica, comprimento agulha: cerca 6,5 cm, esterili</t>
  </si>
  <si>
    <t>FIO NYLON 2-0 - caixa com 24 envelopes. Fio de sutura, materi-al: nylon monofilamento, tipo fio: 2-0, cor: preta, comprimento: cerca de 45 cm, caracteristicas adicionais: com agulha, tipo agu-lha: 3,8 cortes reverso, comprimento agulha: cerca 3,5 cm, esteri-li</t>
  </si>
  <si>
    <t>FIO NYLON 3-0 - caixa com 24 envelopes. Fio de sutura, materi-al: nylon monofilamento, tipo fio: 3-0, cor: preta, comprimento: cerca de 45 cm, caracteristicas adicionais: com agulha, tipo agu-lha: 3,8 cortes reverso, comprimento agulha: cerca 3,0 cm, esteri-li</t>
  </si>
  <si>
    <t>FIO NYLON 4-0 - caixa com 24 envelopes. Fio de sutura, materi-al: nylon monofilamento, tipo fio: 4-0, cor: preta, comprimento: cerca de 75 cm, caracteristicas adicionais: com agulha, tipo agu-lha: 3,8 circulos cortante, comprimento agulha: cerca 3,0 cm, es-ter</t>
  </si>
  <si>
    <t>FIO NYLON 5-0 - caixa com 24 envelopes. Fio de sutura, materi-al: nylon monofilamento, tipo fio: 5-0, cor: preta, comprimento: cerca 50 cm, caracteristicas adicionais: com agulha, tipo agulha: 3,8 circulos cortante, comprimento agulha: cerca 3,0 cm, esterili-d</t>
  </si>
  <si>
    <t>FIO NYLON 6-0 - caixa com 24 envelopes. Fio de sutura, materi-al: nylon monofilamento, tipo fio: 6-0, cor: preta, comprimento: 45 cm, caracteristicas adicionais: com agulha, tipo agulha: 3,8 circu-los cortante, comprimento agulha: 1,50 cm, esterilidade: esteri</t>
  </si>
  <si>
    <t>FITA ADESIVA AUTOCLAVE 19MM X 30M, embalada individual-mente. Confeccionada com dorso de papel crepado a base de ce-lulose. Recebe, em uma de suas faces, massa adesiva a base de borracha natural, oxido de zinco e resinas e, na outra face, uma fina camada imper</t>
  </si>
  <si>
    <t>FITA MICROPOROSA HIPOALERGENICA BRANCA 2,5CM X 4,5M - com capa, espessura fina e excelente fixacao. - Atenden-do a legislacao vigente. Garantia contra defeitos de fabricacao. Prazo de validade minimo deve ser de 4/5 a partir da data de en-trega. Sem imperfeico</t>
  </si>
  <si>
    <t>FITA MICROPOROSA HIPOALERGENICA BRANCA 5CM X 4,5M - com capa, espessura fina e excelente fixacao. - Atenden-do a legislacao vigente. Garantia contra defeitos de fabricacao. Prazo de validade minimo deve ser de 4/5 a partir da data de en-trega. Sem imperfeicoes</t>
  </si>
  <si>
    <t>FITA MICROPOROSA HIPOALERGICA 10,0CM X 10M, embala-da individualmente. Confeccionada com substrato de nao-tecido a base de fibras de viscose, resina acrilica e massa adesiva a base poli acrilato hipoalergenico. Utilizada para a fixacao de curativos, ponto fals</t>
  </si>
  <si>
    <t>FITA MICROPOROSA HIPOALERGICA 2,5CM X 10M, embalada individualmente. Confeccionada com substrato de nao-tecido a base de fibras de viscose, resina acrilica e massa adesiva a base poli acrilato hipoalergenico. Utilizada para a fixacao de curativos, ponto falso,</t>
  </si>
  <si>
    <t>FITA MICROPOROSA HIPOALERGICA 5,0CM X 10M, embalada individualmente. Confeccionada com substrato de nao-tecido a base de fibras de viscose, resina acrilica e massa adesiva a base poli acrilato hipoalergenico. Utilizada para a fixacao de curativos, ponto falso,</t>
  </si>
  <si>
    <t>GARROTE ELASTICO EM LATEX - Garrote elastico para enfer-magem confeccionado em latex natural de alta elasticidade e re-sistencia, indicado para procedimentos de puncao venosa, coleta de sangue, administracao de medicamentos intravenosos e de-mais procedimentos</t>
  </si>
  <si>
    <t>GEL CONDUTOR PARA APARELHO DE ULTRASSONOGRA-FIA 1KG - Gel inodoro e incolor, especialmente desenvolvido e fabricado com materias-primas qualificadas, para uso como meio de contato para transmissao ultrassonica, ecografos e dopplers. Produto nao gorduroso, hidr</t>
  </si>
  <si>
    <t>INDICADOR BIOLOGICO DE ESTERILIZACAO NA AUTOCLA-VE A VAPOR TESTE 03 HORAS - CAIXA COM 10 - Indicador bi-ologico monitoracao imediata do ciclo de esterilizacao na autocla-ve a vapor- atendendo a legislacao vigente. Garantia contra defei-tos de fabricacao. Prazo</t>
  </si>
  <si>
    <t>INDICADOR BIOLOGICO DE ESTERILIZACAO NA AUTOCLA-VE A VAPOR TESTE 24 HORAS - CAIXA COM 10 - Indicador bi-ologico monitoracao imediata do ciclo de esterilizacao na autocla-ve a vapor- atendendo a legislacao vigente. Garantia contra defei-tos de fabricacao. Prazo</t>
  </si>
  <si>
    <t>INDICADOR QUIMICO DE ESTERILIZACAO NA AUTOCLAVE A VAPOR - atendendo a legislacao vigente. Garantia contra defei-tos de fabricacao. Prazo de validade minimo deve ser de 4/5 a partir da data de entrega. Sem imperfeicoes. Proporciona uma lei-tura facil e imediata</t>
  </si>
  <si>
    <t>INTRACATH CATETER VENOSO CENTRAL 14 - Cateter central, aplicacao: venoso, materia prima: poliuretano radiopaco, diÃ¢metro: cerca 8 fr, vias: duplo lumen, lumen: 14 a 16 grau, comprimento: cerca 20 cm, tipo fixacao: fixacao subcutÃ¢nea, conector: conecto-res pa</t>
  </si>
  <si>
    <t xml:space="preserve">INTRACATH CATETER VENOSO CENTRAL 16 - Cateter central, aplicacao: venoso, materia prima: poliuretano radiopaco, diÃ¢metro: cerca 7 fr, vias: duplo lumen, lumen: 16 grau, comprimento: cerca 30 cm, tipo fixacao: fixacao subcutÃ¢nea, conector: conectores padrao, </t>
  </si>
  <si>
    <t>INTRACATH CATETER VENOSO CENTRAL 18 - Cateter central, aplicacao: venoso, materia prima: poliuretano radiopaco, vias: du-plo lumen, lumen: 18 grau, comprimento: cerca 20 cm, tipo fixa-cao: fixacao subcutÃ¢nea, conector: conectores padrao, Clamp em todas vias e</t>
  </si>
  <si>
    <t>INTRACATH CATETER VENOSO CENTRAL 19 - Cateter central, aplicacao: venoso, materia prima: poliuretano radiopaco, vias: mono lumen, lumen: 19 grau, comprimento: cerca 20 cm, tipo fi-xacao: fixacao subcutÃ¢nea, conector: conectores padrao, Clamp e tampa, componen</t>
  </si>
  <si>
    <t>INTRACATH CATETER VENOSO CENTRAL 22 - Cateter central, aplicacao: venoso, materia prima: poliuretano radiopaco, diÃ¢metro: cerca 5 fr, vias: triplo lumen, lumen: 20 a 22 grau, comprimento: cerca 15 cm, tipo fixacao: fixacao subcutÃ¢nea, conector: conecto-res p</t>
  </si>
  <si>
    <t xml:space="preserve">INTRACATH CATETER VENOSO CENTRAL 24 - Cateter central, aplicacao: venoso, materia prima: poliuretano radiopaco, vias: du-plo lumen, lumen: 24 graus, comprimento: cerca 20 cm, tipo fixa-cao: fixacao subcutÃ¢nea, conector: conectores padrao, Clamp em todas vias </t>
  </si>
  <si>
    <t>KIT ESTERIL PARA RETIRADA DE PONTOS. Kit composto por:1 tesoura Iris, fabricada em liga metalica, com 11 cm de compri-mento.1 pinca anatomica, fabricada em aco inox, com 14 cm de comprimento.KIT ESTERIL PARA RETIRADA DE PONTOS. Kit composto por:1 tesoura Iris,</t>
  </si>
  <si>
    <t xml:space="preserve">KIT MASCARA DE VENTURI ADULTO - atendendo a legislacao vigente. Garantia contra defeitos de fabricacao. Prazo de validade minimo deve ser de 4/5 a partir da data de entrega. Sem imperfei-coes. A Mascara de Oxigenio Venturi e utilizada para fornecer um sistema </t>
  </si>
  <si>
    <t>KIT MASCARA DE VENTURI INFANTIL - atendendo a legislacao vigente. Garantia contra defeitos de fabricacao. Prazo de validade minimo deve ser de 4/5 a partir da data de entrega. Sem imperfei-coes. A Mascara de Oxigenio Venturi e utilizada para fornecer um sistem</t>
  </si>
  <si>
    <t>LANCETA AUTOMATICA 23G CAIXA COM 100- atendendo a le-gislacao vigente. Garantia contra defeitos de fabricacao. Prazo de validade minimo deve ser de 4/5 a partir da data de entrega. Sem imperfeicoes. Atende a NR 32; Penetracao Consistente; esterili-zadas por Ra</t>
  </si>
  <si>
    <t>LENCOL DE PAPEL HOSPITALAR BRANCO - ROLO DE 70cm x 50metros - 100% CELULOSE. Produto macio e absorvente indi-cado para protecao de macas, camas e diferentes superficies. Ideal para hospitais, consultorios, clinicas, ambulatorios, atendi-mento em saude. Dimenso</t>
  </si>
  <si>
    <t xml:space="preserve">LENCOL DESCARTAVEL TNT 2,20 x 0,90m - PCT C/10 UN - DESCRICAO DO PRODUTOO Lencol Descartavel em TNT, confeccionando em 100% poli-propileno, com material nao esteril, hipoalergenico e atoxico. Sua utilizacao possui a finalidade de formar uma barreira mecÃ¢nica </t>
  </si>
  <si>
    <t>LUVA PARA PROCEDIMENTO DESCARTAVEL TAMANHO G - confeccionada em latex natural, integro e uniforme formato ana-tomico, ambidestra, lubrificada em material bioabsorvivel, atoxico, em quantidade adequada, com a presenca de talco, resistente a tracao, hipoalergica</t>
  </si>
  <si>
    <t>LUVA PARA PROCEDIMENTO DESCARTAVEL TAMANHO M - confeccionada em latex natural, integro e uniforme formato ana-tomico, ambidestra, lubrificada em material bioabsorvivel, atoxico, em quantidade adequada, com a presenca de talco, resistente a tracao, hipoalergica</t>
  </si>
  <si>
    <t>LUVA PARA PROCEDIMENTO DESCARTAVEL TAMANHO P - confeccionada em latex natural, integro e uniforme formato ana-tomico, ambidestra, lubrificada em material bioabsorvivel, atoxico, em quantidade adequada, com a presenca de talco, resistente a tracao, hipoalergica</t>
  </si>
  <si>
    <t>LUVA PARA PROCEDIMENTO DESCARTAVEL TAMANHO PP - confeccionada em latex natural, integro e uniforme formato ana-tomico, ambidestra, lubrificada em material bioabsorvivel, atoxico, em quantidade adequada, com a presenca de talco, resistente a tracao, hipoalergic</t>
  </si>
  <si>
    <t>LUVAS CIRURGICAS, ESTEREIS, DESCARTAVEIS, NÂº 6,5 - confeccionadas em latex natural, formato anatomico, com bainha, com textura uniforme, sem falhas, emendas ou furos, deve ser antiderrapante e apresentar elasticidade, resistencia a tracao e sensibilidade tati</t>
  </si>
  <si>
    <t>LUVAS CIRURGICAS, ESTEREIS, DESCARTAVEIS, NÂº 7,0 - confeccionadas em latex natural, formato anatomico, com bainha, com textura uniforme, sem falhas, emendas ou furos, deve ser antiderrapante e apresentar elasticidade, resistencia a tracao e sensibilidade tati</t>
  </si>
  <si>
    <t>LUVAS CIRURGICAS, ESTEREIS, DESCARTAVEIS, NÂº 7,5 - confeccionadas em latex natural, formato anatomico, com bainha, com textura uniforme, sem falhas, emendas ou furos, deve ser antiderrapante e apresentar elasticidade, resistencia a tracao e sensibilidade tati</t>
  </si>
  <si>
    <t>LUVAS CIRURGICAS, ESTEREIS, DESCARTAVEIS, NÂº 8,0 - confeccionadas em latex natural, formato anatomico, com bainha, com textura uniforme, sem falhas, emendas ou furos, deve ser antiderrapante e apresentar elasticidade, resistencia a tracao e sensibilidade tati</t>
  </si>
  <si>
    <t>LUVAS CIRURGICAS, ESTEREIS, DESCARTAVEIS, NÂº 9,0 - confeccionadas em latex natural, formato anatomico, com bainha, com textura uniforme, sem falhas, emendas ou furos, deve ser antiderrapante e apresentar elasticidade, resistencia a tracao e sensibilidade tati</t>
  </si>
  <si>
    <t>MASCARA CIRURGICA DESCARTAVEL TRIPLA COM ELASTI-CO CAIXA COM 50 UN. - Atendendo a legislacao vigente. Garan-tia contra defeitos de fabricacao. Prazo de validade minimo deve ser de 4/5 a partir da data de entrega. Sem imperfeicoes. ESPE-CIFICACOES TECNICAS APRO</t>
  </si>
  <si>
    <t xml:space="preserve">MASCARA LARINGEA 1,0 - Atendendo a legislacao vigente. Ga-rantia contra defeitos de fabricacao. Prazo de validade minimo deve ser de 4/5 a partir da data de entrega. Sem imperfeicoes. Esterilizada em embalagens individuais; Prontas para uso imedia-to; Formato </t>
  </si>
  <si>
    <t xml:space="preserve">MASCARA LARINGEA 1,5 - atendendo a legislacao vigente. Ga-rantia contra defeitos de fabricacao. Prazo de validade minimo deve ser de 4/5 a partir da data de entrega. Sem imperfeicoes. Esterilizada em embalagens individuais; Prontas para uso imedia-to; Formato </t>
  </si>
  <si>
    <t xml:space="preserve">MASCARA LARINGEA 2,0 - atendendo a legislacao vigente. Ga-rantia contra defeitos de fabricacao. Prazo de validade minimo deve ser de 4/5 a partir da data de entrega. Sem imperfeicoes. Esterilizada em embalagens individuais; Prontas para uso imedia-to; Formato </t>
  </si>
  <si>
    <t xml:space="preserve">MASCARA LARINGEA 2,5 - atendendo a legislacao vigente. Ga-rantia contra defeitos de fabricacao. Prazo de validade minimo deve ser de 4/5 a partir da data de entrega. Sem imperfeicoes. Esterilizada em embalagens individuais; Prontas para uso imedia-to; Formato </t>
  </si>
  <si>
    <t xml:space="preserve">MASCARA LARINGEA 3,0 - atendendo a legislacao vigente. Ga-rantia contra defeitos de fabricacao. Prazo de validade minimo deve ser de 4/5 a partir da data de entrega. Sem imperfeicoes. Esterilizada em embalagens individuais; Prontas para uso imedia-to; Formato </t>
  </si>
  <si>
    <t xml:space="preserve">MASCARA LARINGEA 4,0 - atendendo a legislacao vigente. Ga-rantia contra defeitos de fabricacao. Prazo de validade minimo deve ser de 4/5 a partir da data de entrega. Sem imperfeicoes. Esterilizada em embalagens individuais; Prontas para uso imedia-to; Formato </t>
  </si>
  <si>
    <t xml:space="preserve">MASCARA LARINGEA 5,0 - atendendo a legislacao vigente. Ga-rantia contra defeitos de fabricacao. Prazo de validade minimo deve ser de 4/5 a partir da data de entrega. Sem imperfeicoes. Esterilizada em embalagens individuais; Prontas para uso imedia-to; Formato </t>
  </si>
  <si>
    <t xml:space="preserve">MASCARA LARINGEA 6,0 - atendendo a legislacao vigente. Ga-rantia contra defeitos de fabricacao. Prazo de validade minimo deve ser de 4/5 a partir da data de entrega. Sem imperfeicoes. Esterilizada em embalagens individuais; Prontas para uso imedia-to; Formato </t>
  </si>
  <si>
    <t>MASCARA PROTETOR RESPIRATORIO DESCARTAVEL N95 OU PFF2 PARA USO HOSPITALAR - Confeccionada em material hipoalergenico , inodoro , atoxico, com resistencia adequada a sua finalidade; Formato nao conico, com design anatomico para adaptacao ao rosto, de modo a evi</t>
  </si>
  <si>
    <t>PAPAGAIO INOX - Fabricado em aco inox, facil higienizacao, Au-toclavavel: garantindo a biosseguranca tanto ao profissional como para o paciente. Capacidade de 1000 ml. Atendendo a legislacao vigente. Sem imperfeicoes.PAPAGAIO INOX - Fabricado em aco inox, faci</t>
  </si>
  <si>
    <t>PAPEL GRAU CIRURGICO 12 CM X100M - embalagem tubular descartavel termoselavel para esterilizacao de material medico hospitalar, em autoclave a vapor ou oxido de etileno, medindo 12cm x 100m de comprimento em dupla face, sendo uma das fa-ces em papel grau cirur</t>
  </si>
  <si>
    <t>PAPEL GRAU CIRURGICO 20 CM X 100 M - embalagem tubular descartavel termoselavel para esterilizacao de material medico hospitalar, em autoclave a vapor ou oxido de etileno, medindo 20cm x 100m de comprimento em dupla face, sendo uma das fa-ces em papel grau cir</t>
  </si>
  <si>
    <t>PAPEL GRAU CIRURGICO 50 CM X 100 M - embalagem tubular descartavel termoselavel para esterilizacao de material medico hospitalar, em autoclave a vapor ou oxido de etileno, medindo 50cm x 100m de comprimento em dupla face, sendo uma das fa-ces em papel grau cir</t>
  </si>
  <si>
    <t>PAPEL GRAU CIRURGICO 10CM X 100M - Atendendo a legisla-cao vigente. Garantia contra defeitos de fabricacao. Prazo de va-lidade minimo deve ser de 4/5 a partir da data de entrega. Sem imperfeicoes. Indicado para esterilizacao em autoclave a vapor ou oxido de et</t>
  </si>
  <si>
    <t>PAPEL GRAU CIRURGICO 15CM X 100M - Atendendo a legisla-cao vigente. Garantia contra defeitos de fabricacao. Prazo de va-lidade minimo deve ser de 4/5 a partir da data de entrega. Sem imperfeicoes. Indicado para esterilizacao em autoclave a vapor ou oxido de et</t>
  </si>
  <si>
    <t>SERINGA 1 ML COM AGULHA Descartavel Para Insulina, Medi-do 0,5ml X 0,30, Ultra Fine, Com Trava De Seguranca, Em Poli-propileno, Esteril, Siliconizada, Descartavel, Com Bico Rosca, Conector Universal, Embolo Com Anel Interno. Graduada Em Es-cala Numerica Para M</t>
  </si>
  <si>
    <t>SERINGA DE 1 ML - com graduacao precisa e bico tipo Luer Lock, indicada para administracao e aspiracao de pequenos vo-lumes de medicamentos e solucoes, especialmente em procedi-mentos que exigem alta precisao de dosagem, como aplicacoes intravenosas, subcutÃ¢n</t>
  </si>
  <si>
    <t>SERINGA DESCARTAVEL 10 ML SEM AGULHA - Deve apresen-tar stopper fino para melhor leitura da dosagem. Bico luerslip, es-teril, fabricada em Polipropileno incolor, corpo transparente que permite a visualizacao do nivel do medicamento, siliconada, Cilin-dro com a</t>
  </si>
  <si>
    <t>SERINGA DESCARTAVEL 20 ML SEM AGULHA - Deve apresen-tar stopper fino para melhor leitura da dosagem. Bico luerslip, es-teril, fabricada em Polipropileno incolor, corpo transparente que permite a visualizacao do nivel do medicamento, siliconada, Cilin-dro com a</t>
  </si>
  <si>
    <t>SERINGA DESCARTAVEL 3 ML SEM AGULHA - Deve apresen-tar stopper fino para melhor leitura da dosagem. Bico luerslip, es-teril, fabricada em Polipropileno incolor, corpo transparente que permite a visualizacao do nivel do medicamento, siliconada, Cilin-dro com an</t>
  </si>
  <si>
    <t>SERINGA DESCARTAVEL 5 ML SEM AGULHA - Deve apresen-tar stopper fino para melhor leitura da dosagem. Bico luerslip, es-teril, fabricada em Polipropileno incolor, corpo transparente que permite a visualizacao do nivel do medicamento, siliconada, Cilin-dro com an</t>
  </si>
  <si>
    <t xml:space="preserve">SISTEMA ABERTO P COLETA DE SECRECOES E URINA 1200ML Um frasco de urina em sistema aberto e um dispositivo medico usado para coletar e medir a urina, especialmente em pa-cientes com sondas vesicais ou que precisam de monitoramento da diurese. E composto por um </t>
  </si>
  <si>
    <t>SONDA FOLEY 3 VIAS NÂº22 SELICONE - DIÃ?METRO 7.3MM (30-50ML) SONDA VESICAL DE DEMORA EM LATEX, SILICO-NADA.Sonda Foley de latex siliconizada 3 vias, calibre 22 Fr, indi-cada para drenagem vesical continua, irrigacao da bexiga e con-trole rigoroso da diurese e</t>
  </si>
  <si>
    <t>SONDA FOLEY DE LATEX SILICONIZADA 3 VIAS NÂ° 14 Fr - in-dicada para drenagem vesical continua, irrigacao da bexiga e controle rigoroso da diurese em pacientes submetidos a procedi-mentos urologicos, pos-operatorios e tratamentos que necessi-tem de cateterizaca</t>
  </si>
  <si>
    <t>SONDA FOLEY DE LATEX SILICONIZADA 3 VIAS NÂ° 16 Fr - in-dicada para drenagem vesical continua, irrigacao da bexiga e controle rigoroso da diurese em pacientes submetidos a procedi-mentos urologicos, pos-operatorios e tratamentos que necessi-tem de cateterizaca</t>
  </si>
  <si>
    <t>SONDA FOLEY DE LATEX SILICONIZADA 3 VIAS NÂ° 18 Fr - in-dicada para drenagem vesical continua, irrigacao da bexiga e controle rigoroso da diurese em pacientes submetidos a procedi-mentos urologicos, pos-operatorios e tratamentos que necessi-tem de cateterizaca</t>
  </si>
  <si>
    <t>SONDA FOLEY DE LATEX SILICONIZADA 3 VIAS NÂ° 20 Fr - in-dicada para drenagem vesical continua, irrigacao da bexiga e controle rigoroso da diurese em pacientes submetidos a procedi-mentos urologicos, pos-operatorios e tratamentos que necessi-tem de cateterizaca</t>
  </si>
  <si>
    <t>SONDA NASOGASTRICA CURTA 10 - atendendo a legislacao vigente. Garantia contra defeitos de fabricacao. Prazo de validade minimo deve ser de 4/5 a partir da data de entrega. Sem imperfei-coes. A aspiracao e a aplicacao de succao ao trato respiratorio do paciente</t>
  </si>
  <si>
    <t>SONDA NASOGASTRICA CURTA 12 - atendendo a legislacao vigente. Garantia contra defeitos de fabricacao. Prazo de validade minimo deve ser de 4/5 a partir da data de entrega. Sem imperfei-coes. A aspiracao e a aplicacao de succao ao trato respiratorio do paciente</t>
  </si>
  <si>
    <t>SONDA NASOGASTRICA CURTA 14 - atendendo a legislacao vigente. Garantia contra defeitos de fabricacao. Prazo de validade minimo deve ser de 4/5 a partir da data de entrega. Sem imperfei-coes. A aspiracao e a aplicacao de succao ao trato respiratorio do paciente</t>
  </si>
  <si>
    <t>SONDA NASOGASTRICA CURTA 16 - atendendo a legislacao vigente. Garantia contra defeitos de fabricacao. Prazo de validade minimo deve ser de 4/5 a partir da data de entrega. Sem imperfei-coes. A aspiracao e a aplicacao de succao ao trato respiratorio do paciente</t>
  </si>
  <si>
    <t>SONDA NASOGASTRICA CURTA 18 - atendendo a legislacao vigente. Garantia contra defeitos de fabricacao. Prazo de validade minimo deve ser de 4/5 a partir da data de entrega. Sem imperfei-coes. A aspiracao e a aplicacao de succao ao trato respiratorio do paciente</t>
  </si>
  <si>
    <t>SONDA NASOGASTRICA CURTA 20 - atendendo a legislacao vigente. Garantia contra defeitos de fabricacao. Prazo de validade minimo deve ser de 4/5 a partir da data de entrega. Sem imperfei-coes. A aspiracao e a aplicacao de succao ao trato respiratorio do paciente</t>
  </si>
  <si>
    <t>SONDA NASOGASTRICA CURTA 22 - atendendo a legislacao vigente. Garantia contra defeitos de fabricacao. Prazo de validade minimo deve ser de 4/5 a partir da data de entrega. Sem imperfei-coes. A aspiracao e a aplicacao de succao ao trato respiratorio do paciente</t>
  </si>
  <si>
    <t>SONDA NASOGASTRICA CURTA 24 - atendendo a legislacao vigente. Garantia contra defeitos de fabricacao. Prazo de validade minimo deve ser de 4/5 a partir da data de entrega. Sem imperfei-coes. A aspiracao e a aplicacao de succao ao trato respiratorio do paciente</t>
  </si>
  <si>
    <t>SONDA NASOGASTRICA CURTA 4 - atendendo a legislacao vi-gente. Garantia contra defeitos de fabricacao. Prazo de validade minimo deve ser de 4/5 a partir da data de entrega. Sem imperfei-coes. A aspiracao e a aplicacao de succao ao trato respiratorio do paciente</t>
  </si>
  <si>
    <t>SONDA NASOGASTRICA CURTA 6 - atendendo a legislacao vi-gente. Garantia contra defeitos de fabricacao. Prazo de validade minimo deve ser de 4/5 a partir da data de entrega. Sem imperfei-coes. A aspiracao e a aplicacao de succao ao trato respiratorio do paciente</t>
  </si>
  <si>
    <t>SONDA NASOGASTRICA CURTA 8 - atendendo a legislacao vi-gente. Garantia contra defeitos de fabricacao. Prazo de validade minimo deve ser de 4/5 a partir da data de entrega. Sem imperfei-coes. A aspiracao e a aplicacao de succao ao trato respiratorio do paciente</t>
  </si>
  <si>
    <t>SONDA NASOGASTRICA LONGA 10 - atendendo a legislacao vigente. Garantia contra defeitos de fabricacao. Prazo de validade minimo deve ser de 4/5 a partir da data de entrega. Sem imperfei-coes. Destinado a coletar amostras do conteudo gastrico de adul-tos e crian</t>
  </si>
  <si>
    <t>SONDA NASOGASTRICA LONGA 12 - atendendo a legislacao vigente. Garantia contra defeitos de fabricacao. Prazo de validade minimo deve ser de 4/5 a partir da data de entrega. Sem imperfei-coes. Destinado a coletar amostras do conteudo gastrico de adul-tos e crian</t>
  </si>
  <si>
    <t>SONDA NASOGASTRICA LONGA 14 - atendendo a legislacao vigente. Garantia contra defeitos de fabricacao. Prazo de validade minimo deve ser de 4/5 a partir da data de entrega. Sem imperfei-coes. Destinado a coletar amostras do conteudo gastrico de adul-tos e crian</t>
  </si>
  <si>
    <t>SONDA NASOGASTRICA LONGA 16 - atendendo a legislacao vigente. Garantia contra defeitos de fabricacao. Prazo de validade minimo deve ser de 4/5 a partir da data de entrega. Sem imperfei-coes. Destinado a coletar amostras do conteudo gastrico de adul-tos e crian</t>
  </si>
  <si>
    <t>SONDA NASOGASTRICA LONGA 18 - atendendo a legislacao vigente. Garantia contra defeitos de fabricacao. Prazo de validade minimo deve ser de 4/5 a partir da data de entrega. Sem imperfei-coes. Destinado a coletar amostras do conteudo gastrico de adul-tos e crian</t>
  </si>
  <si>
    <t>SONDA NASOGASTRICA LONGA 20 - atendendo a legislacao vigente. Garantia contra defeitos de fabricacao. Prazo de validade minimo deve ser de 4/5 a partir da data de entrega. Sem imperfei-coes. Destinado a coletar amostras do conteudo gastrico de adul-tos e crian</t>
  </si>
  <si>
    <t>SONDA NASOGASTRICA LONGA 22 - atendendo a legislacao vigente. Garantia contra defeitos de fabricacao. Prazo de validade minimo deve ser de 4/5 a partir da data de entrega. Sem imperfei-coes. Destinado a coletar amostras do conteudo gastrico de adul-tos e crian</t>
  </si>
  <si>
    <t>SONDA NASOGASTRICA LONGA 24 - atendendo a legislacao vigente. Garantia contra defeitos de fabricacao. Prazo de validade minimo deve ser de 4/5 a partir da data de entrega. Sem imperfei-coes. Destinado a coletar amostras do conteudo gastrico de adul-tos e crian</t>
  </si>
  <si>
    <t>SONDA NASOGASTRICA LONGA 4 - atendendo a legislacao vi-gente. Garantia contra defeitos de fabricacao. Prazo de validade minimo deve ser de 4/5 a partir da data de entrega. Sem imperfei-coes. Destinado a coletar amostras do conteudo gastrico de adul-tos e crian</t>
  </si>
  <si>
    <t>SONDA NASOGASTRICA LONGA 6 - atendendo a legislacao vi-gente. Garantia contra defeitos de fabricacao. Prazo de validade minimo deve ser de 4/5 a partir da data de entrega. Sem imperfei-coes. Destinado a coletar amostras do conteudo gastrico de adul-tos e crian</t>
  </si>
  <si>
    <t>SONDA NASOGASTRICA LONGA 8 - atendendo a legislacao vi-gente. Garantia contra defeitos de fabricacao. Prazo de validade minimo deve ser de 4/5 a partir da data de entrega. Sem imperfei-coes. Destinado a coletar amostras do conteudo gastrico de adul-tos e crian</t>
  </si>
  <si>
    <t>SONDA URETRAL 10 - atendendo a legislacao vigente. Garantia contra defeitos de fabricacao. Prazo de validade minimo deve ser de 4/5 a partir da data de entrega. Sem imperfeicoes. O Cateter Uretral, tambem chamado de sonda uretral e um dispositivo atoxi-co, tra</t>
  </si>
  <si>
    <t>SONDA URETRAL 12 - atendendo a legislacao vigente. Garantia contra defeitos de fabricacao. Prazo de validade minimo deve ser de 4/5 a partir da data de entrega. Sem imperfeicoes. O Cateter Uretral, tambem chamado de sonda uretral e um dispositivo atoxi-co, tra</t>
  </si>
  <si>
    <t>SONDA URETRAL 14 - atendendo a legislacao vigente. Garantia contra defeitos de fabricacao. Prazo de validade minimo deve ser de 4/5 a partir da data de entrega. Sem imperfeicoes. O Cateter Uretral, tambem chamado de sonda uretral e um dispositivo atoxi-co, tra</t>
  </si>
  <si>
    <t>SONDA URETRAL 16 - atendendo a legislacao vigente. Garantia contra defeitos de fabricacao. Prazo de validade minimo deve ser de 4/5 a partir da data de entrega. Sem imperfeicoes. O Cateter Uretral, tambem chamado de sonda uretral e um dispositivo atoxi-co, tra</t>
  </si>
  <si>
    <t>SONDA URETRAL 18 - atendendo a legislacao vigente. Garantia contra defeitos de fabricacao. Prazo de validade minimo deve ser de 4/5 a partir da data de entrega. Sem imperfeicoes. O Cateter Uretral, tambem chamado de sonda uretral e um dispositivo atoxi-co, tra</t>
  </si>
  <si>
    <t>SONDA URETRAL 20 - atendendo a legislacao vigente. Garantia contra defeitos de fabricacao. Prazo de validade minimo deve ser de 4/5 a partir da data de entrega. Sem imperfeicoes. O Cateter Uretral, tambem chamado de sonda uretral e um dispositivo atoxi-co, tra</t>
  </si>
  <si>
    <t>SONDA URETRAL 22 - atendendo a legislacao vigente. Garantia contra defeitos de fabricacao. Prazo de validade minimo deve ser de 4/5 a partir da data de entrega. Sem imperfeicoes. O Cateter Uretral, tambem chamado de sonda uretral e um dispositivo atoxi-co, tra</t>
  </si>
  <si>
    <t>SONDA URETRAL 24 - atendendo a legislacao vigente. Garantia contra defeitos de fabricacao. Prazo de validade minimo deve ser de 4/5 a partir da data de entrega. Sem imperfeicoes. O Cateter Uretral, tambem chamado de sonda uretral e um dispositivo atoxi-co, tra</t>
  </si>
  <si>
    <t>SONDA URETRAL 4 - atendendo a legislacao vigente. Garantia contra defeitos de fabricacao. Prazo de validade minimo deve ser de 4/5 a partir da data de entrega. Sem imperfeicoes. O Cateter Uretral, tambem chamado de sonda uretral e um dispositivo atoxi-co, tran</t>
  </si>
  <si>
    <t>SONDA URETRAL 6 - atendendo a legislacao vigente. Garantia contra defeitos de fabricacao. Prazo de validade minimo deve ser de 4/5 a partir da data de entrega. Sem imperfeicoes. O Cateter Uretral, tambem chamado de sonda uretral e um dispositivo atoxi-co, tran</t>
  </si>
  <si>
    <t>SONDA URETRAL 8 - atendendo a legislacao vigente. Garantia contra defeitos de fabricacao. Prazo de validade minimo deve ser de 4/5 a partir da data de entrega. Sem imperfeicoes. O Cateter Uretral, tambem chamado de sonda uretral e um dispositivo atoxi-co, tran</t>
  </si>
  <si>
    <t>TOUCA HOSPITALAR - Material: nao tecido 100% polipropileno, modelo: com elastico em toda volta, cor : sem cor, gramatura : cerca de 60 Gm2, tamanho : unico, tipo uso: descartavel, hipoa-lergenica, atoxica, inodora, unissex. Embalagem com 100 unida-des.TOUCA HO</t>
  </si>
  <si>
    <t>Pote de lenço umedecido</t>
  </si>
  <si>
    <t>Pacote de fralda infantil tamanho RN</t>
  </si>
  <si>
    <t>Touca infantil para recém-nascido</t>
  </si>
  <si>
    <t>AVENTAL DE SEGURANÇA CONFECCIONADO EM PVC IMPERMEÁVEL, FLEXÍVEL E</t>
  </si>
  <si>
    <t>AVENTAL IMPERMEÁVEL DE USO OCUPACIONAL, CONFECCIONADO EM MATERIAL</t>
  </si>
  <si>
    <t>TOUCA HIGIÊNICA DESCARTÁVEL, CONFECCIONADA EM TECIDO NÃO TECIDO (TNT)</t>
  </si>
  <si>
    <t>TOUCA ÁRABE PARA PROTEÇÃO SOLAR, CONFECCIONADA EM TECIDO LEVE,</t>
  </si>
  <si>
    <t>TOUCA ÁRABE HIDROREPELENTE, CONFECCIONADA EM TECIDO RESISTENTE COM</t>
  </si>
  <si>
    <t>Agulha Hipodérmica material: aço inoxidável siliconizado, dimensão: 18 g x 1", tipo ponta: bisel simples, tipo conexão: conector luer lock ou slip em plástico, tipo fixação: protetor plástico, tipo uso: estéril, descartável, embalagem individual</t>
  </si>
  <si>
    <t>Bolsa Coletora De Urina Sistema Fechado material*: plástico, tipo*: sistema fechado, modelo: adulto, capacidade*: cerca de 1500, graduação: graduação de 100 em 100, pinça: clamp corta fluxo, componentes: alça de sustentação, outros componentes: membrana autoci</t>
  </si>
  <si>
    <t>439799 AGULHA HIPODERMICA 18G X 1 40 X 1 20 MM . Material aco inoxidavel siliconizado ponta com bisel curto trifacetado conexao Luer Lock ou Luer Slip protetor plastico esteril descartavel embalagem individual. Caixa com 100 unidades.</t>
  </si>
  <si>
    <t>439804 AGULHA HIPODERMICA 21G X 1 25 X 0 80 MM . Material aco inoxidavel siliconizado ponta com bisel curto trifacetado conexao Luer Lock ou Luer Slip protetor plastico esteril descartavel embalagem individual. Caixa com 100 unidades.</t>
  </si>
  <si>
    <t>439807 AGULHA HIPODERMICA 22G X 1 25 X 0 70 MM . Material aco inoxidavel siliconizado ponta com bisel curto trifacetado conexao Luer Lock ou Luer Slip protetor plastico esteril descartavel embalagem individual. Caixa com 100 unidades.</t>
  </si>
  <si>
    <t>439809 AGULHA HIPODERMICA 23G X 1 25 X 0 60 MM Material aco inoxidavel siliconizado ponta com bisel curto trifacetado conexao Luer Lock ou Luer Slip protetor plastico esteril descartavel embalagem individual. Caixa com 100 unidades.</t>
  </si>
  <si>
    <t>397510 AGULHA HIPODERMICA 24G X 20 X 0 55 MM . Material aco inoxidavel siliconizado ponta com bisel curto trifacetado conexao Luer Lock ou Luer Slip protetor plastico esteril descartavel embalagem individual. Caixa com 100 unidades.</t>
  </si>
  <si>
    <t>397513 AGULHA HIPODERMICA 26G X 13 X 0 45 MM . Material aco inoxidavel siliconizado ponta com bisel curto trifacetado conexao Luer Lock ou Luer Slip protetor plastico esteril descartavel embalagem individual. Caixa com 100 unidades.</t>
  </si>
  <si>
    <t>AVENTAL PARA PROCEDIMENTO Avental hospitalar material tecido nao tecido TNT gramatura leve modelo sem mangas tamanho unico cor branca tipo de fechamento posterior para pescoco e cintura esterilidade nao esteril descartavel. Pacote com 10 unidades.</t>
  </si>
  <si>
    <t>272821 CABO PARA BISTURI N 3. Material aco inoxidavel tamanho n 3 compativel com laminas n 10 a 15 Autoclavavel acabamento acetinado ou polido.</t>
  </si>
  <si>
    <t>279764 CATETER PARA ASPIRACAO TRAQUEAL N 12 Material PVC atoxico flexivel calibre 12 Fr ponta atraumatica orificios laterais conector universal esteril descartavel embalagem individual.</t>
  </si>
  <si>
    <t xml:space="preserve">437299 CATETER VENOSO CENTRAL DUPLO LUMEN 7 FR. Aplicacao venosa material poliuretano radiopaco calibre aproximado 7 Fr duplo lumen lumen 16G comprimento aproximado de 30 cm fixacao subcutanea conectores padrao clamp em todas as vias tampas protetoras esteril </t>
  </si>
  <si>
    <t>437176 CATETER INTRAVENOSO PERIFERICO 16G Material do cateter polimero radiopaco aplicacao venosa agulha em aco inoxidavel calibre 16G comprimento aproximado de 50 mm conector padrao camara de refluxo com filtro hidrofobico esteril descartavel. embalagem indiv</t>
  </si>
  <si>
    <t>437177 CATETER INTRAVENOSO PERIFERICO 18G Material do cateter polimero radiopaco aplicacao venosa agulha em aco inoxidavel calibre 18G comprimento aproximado de 45 mm conector padrao camara de refluxo com filtro hidrofobico esteril descartavel. embalagem indiv</t>
  </si>
  <si>
    <t>437184 CATETER INTRAVENOSO PERIFERICO 20G Material do cateter polimero radiopaco aplicacao venosa agulha em aco inoxidavel calibre 20G comprimento aproximado de 30 mm conector padrao camara de refluxo com filtro hidrofobico esteril descartavel. embalagem indiv</t>
  </si>
  <si>
    <t>437179 CATETER INTRAVENOSO PERIFERICO 22G Material do cateter polimero radiopaco aplicacao venosa agulha em aco inoxidavel calibre 22G comprimento aproximado de 25 mm conector padrao camara de refluxo com filtro hidrofobico esteril descartavel. embalagem indiv</t>
  </si>
  <si>
    <t>437180 CATETER INTRAVENOSO PERIFERICO 24G material do cateter polimero radiopaco aplicacao venosa agulha em aco inoxidavel calibre 24G comprimento aproximado de 20 mm conector padrao camara de refluxo com filtro hidrofobico esteril descartavel. embalagem indiv</t>
  </si>
  <si>
    <t>614942 CIRCUITO RESPIRATORIO PARA VENTILADOR PULMONAR. Circuito respiratorio completo universal destinado a ventilacao mecanica aplicavel para pacientes adultos e pediatricos confeccionado em silicone grau medico autoclavavel e reutilizavel. Composto por 04 qu</t>
  </si>
  <si>
    <t>447065 CLAMP UMBILICAL Material PVC rigido atoxico hipoalergenico descartavel esteril embalagem individual.</t>
  </si>
  <si>
    <t>432133 COLETOR DE URINA SISTEMA FECHADO Sistema fechado capacidade aproximada de 2.000 ml confeccionada em PVC graduada valvula antirrefluxo clamp corta fluxo filtro hidrofobico conector universal esteril descartavel.</t>
  </si>
  <si>
    <t>COLETOR DE URINA SISTEMA ABERTO Sistema aberto material plastico capacidade aproximada de 1.200 ml graduado nao esteril descartavel.</t>
  </si>
  <si>
    <t>619129 COLETOR UNIVERSAL 50 ML. Material plastico capacidade 50 ml graduado tampa rosqueavel com vedacao esteril descartavel.</t>
  </si>
  <si>
    <t xml:space="preserve">623117 COLETOR PARA PERFUROCORTANTE QUIMICO TOXICO 7 L Material papelao destinado a residuos quimicos toxicos confeccionado em papelao rigido capacidade aproximada de 7 litros revestimento interno em polietileno de alta densidade tampa de seguranca alcas para </t>
  </si>
  <si>
    <t>623108 COLETOR PARA PERFUROCORTANTE INFECTANTE 7 L. Destinado a residuos infectantes confeccionado em papelao rigido capacidade aproximada de 7 litros revestimento interno em polietileno de alta densidade tampa de seguranca alcas para transporte descartavel. C</t>
  </si>
  <si>
    <t xml:space="preserve">623109 COLETOR PARA PERFUROCORTANTE INFECTANTE 13 L destinado a residuos infectantes confeccionado em papelao rigido capacidade aproximada de 13 litros revestimento interno em polietileno de alta densidade tampa de seguranca alcas para transporte descartavel. </t>
  </si>
  <si>
    <t>628243 COMPRESSA DE GAZE ESTERIL 7 5 X 7 5 CM. Material tecido 100 algodao tipo 13 fios cm cor branca isenta de impurezas 8 camadas 5 dobras dimensoes 7 5 x 7 5 cm esteril descartavel embalagem individual. Com 10 unidades.</t>
  </si>
  <si>
    <t>628237 COMPRESSA DE GAZE NAO ESTERIL 7 5 X 7 5 CM. Material tecido 100 algodao tipo 13 fios cm cor branca isenta de impurezas 8 camadas 5 dobras dimensoes 7 5 x 7 5 cm nao esteril descartavel. Pacote com 500 unidades.</t>
  </si>
  <si>
    <t>461243 ELETRODO PARA MONITORIZACAO CARDIACA ECG . Descartavel autoaderente constituido por sensor em Ag AgCl cloreto de prata gel condutor solido suporte em espuma ou filme PET pino em aco inoxidavel hipoalergenico indicado para monitorizacao eletrocardiografi</t>
  </si>
  <si>
    <t>610290 EQUIPO PARA INFUSAO FOTOSSENSIVEL material PVC cristal fotossensivel comprimento minimo de 120 cm camara de gotejamento flexivel com filtro de ar gotejador macrogotas regulador de fluxo conexao Luer Slip com tampa esteril descartavel.</t>
  </si>
  <si>
    <t>396682 ESCOVA DUPLA PARA LIMPEZA DE INSTRUMENTAIS. Dupla comprimento aproximado de 18 cm cerdas de nylon em ambas as extremidades indicada para limpeza de instrumentais convencionais e canulados nao esteril reutilizavel livre de latex.</t>
  </si>
  <si>
    <t>479753 ESPECULO VAGINAL DESCARTAVEL PEQUENO. Modelo Collin tamanho pequeno material polimerico com lubrificante trava tipo rosca esteril uso unico embalagem individual.</t>
  </si>
  <si>
    <t>479752 ESPECULO VAGINAL DESCARTAVEL MEDIO Modelo Collin tamanho medio material polimerico com lubrificante trava tipo rosca esteril uso unico embalagem individual.</t>
  </si>
  <si>
    <t>479751 ESPECULO VAGINAL DESCARTAVEL GRANDE. Modelo Collin tamanho grande material polimerico com lubrificante trava tipo rosca esteril uso unico embalagem individual.</t>
  </si>
  <si>
    <t>487449 FIO DE SUTURA NYLON 2 0 Material nylon monofilamento fio 2 0 cor preta comprimento aproximado de 45 cm com agulha 1 2 circulo cortante aproximadamente 3 0 cm esteril. Caixa com 24 unidades.</t>
  </si>
  <si>
    <t>487444 FIO DE SUTURA NYLON 3 0. Material nylon monofilamento fio 3 0 cor preta comprimento aproximado de 45 cm com agulha 3 8 circulos cortante aproximadamente 2 4 cm esteril. Caixa com 24 unidades.</t>
  </si>
  <si>
    <t>487425 FIO DE SUTURA NYLON 4 0. Material nylon monofilamento fio 4 0 cor preta comprimento aproximado de 45 cm com agulha 1 2 circulo cortante aproximadamente 2 5 cm esteril. Caixa com 24 unidades.</t>
  </si>
  <si>
    <t>487417 FIO DE SUTURA NYLON 5 0. Material nylon monofilamento fio 5 0 cor preta comprimento aproximado de 45 cm com agulha 3 8 circulos cortante aproximadamente 2 0 cm esteril. Caixa com 24 unidades.</t>
  </si>
  <si>
    <t>631792 ESPARADRAPO IMPERMEAVEL 25 MM Tipo esparadrapo impermeavel dorso em tecido de algodao adesivo a base de oxido de zinco e borracha natural ou sintetica largura aproximada de 25 mm comprimento aproximado de 4 5 m cor branca alta aderencia.</t>
  </si>
  <si>
    <t>631794 ESPARADRAPO IMPERMEAVEL 50 MM Tipo esparadrapo impermeavel dorso em tecido de algodao adesivo a base de oxido de zinco e borracha natural ou sintetica largura aproximada de 50 mm comprimento aproximado de 10 metros cor branca alta aderencia.</t>
  </si>
  <si>
    <t>631772 ESPARADRAPO IMPERMEAVEL 100 MM Tipo esparadrapo impermeavel dorso em tecido de algodao adesivo a base de oxido de zinco e borracha natural ou sintetica largura aproximada de 100 mm comprimento aproximado de 4 5 metros cor branca alta aderencia.</t>
  </si>
  <si>
    <t>631708 FITA MICROPOROSA 25 MM Tipo microporosa dorso em nao tecido TNT adesivo acrilico hipoalergenico largura aproximada de 25 mm comprimento aproximado de 4 5 m cor branca ou transparente permeavel ao ar.</t>
  </si>
  <si>
    <t>631709 FITA MICROPOROSA 50 MM Tipo microporosa dorso em nao tecido TNT adesivo acrilico hipoalergenico largura aproximada de 50 mm comprimento aproximado de 10 metros cor branca ou transparente permeavel ao ar.</t>
  </si>
  <si>
    <t>631710 FITA MICROPOROSA 100 MM tipo microporosa dorso em nao tecido TNT adesivo acrilico hipoalergenico largura aproximada de 100 mm comprimento aproximado de 10 metros cor branca ou transparente permeavel ao ar.</t>
  </si>
  <si>
    <t>616005 FRALDA DESCARTAVEL INFANTIL XXXG Formato anatomico tamanho XXXG indicada para criancas acima de 18 a 27 kg com barreiras antivazamento nucleo com gel superabsorvente 12 horas de protecao cobertura macia fitas reposicionaveis produto hipoalergenico. Maxi</t>
  </si>
  <si>
    <t>616014 FRALDA GERIATRICA EG Formato anatomico tamanho extra grande EG XG indicada para usuarios acima de 120 kg com gel superabsorvente barreiras antivazamento indicador de umidade fitas reposicionaveis hipoalergenica.</t>
  </si>
  <si>
    <t>616013 FRALDA GERIATRICA G Formato anatomico tamanho grande G indicada para usuarios acima de 90 kg com gel superabsorvente barreiras antivazamento indicador de umidade fitas reposicionaveis hipoalergenica.</t>
  </si>
  <si>
    <t>616012 FRALDA GERIATRICA M Formato anatomico tamanho medio M indicada para usuarios de aproximadamente 40 a 70 kg com gel superabsorvente barreiras antivazamento indicador de umidade fitas reposicionaveis hipoalergenica.</t>
  </si>
  <si>
    <t>616016 FRALDA GERIATRICA P. Formato anatomico tamanho pequeno P indicada para usuarios de ate aproximadamente 40 kg com gel superabsorvente barreiras antivazamento indicador de umidade fitas reposicionaveis hipoalergenica.</t>
  </si>
  <si>
    <t>614779 GARROTE EM ROLO Garrote para puncao venosa material borracha sintetica isento de latex em rolo comprimento aproximado de 11 25 m largura aproximada de 25 mm destacavel em aproximadamente 25 tiras de 45 cm reutilizavel.</t>
  </si>
  <si>
    <t>332349 INDICADOR BIOLOGICO PARA AUTOCLAVE segunda geracao autocontido contendo ampola com meio de cultura e esporos de Geobacillus stearothermophilus antigo Bacillus stearothermophilus indicado para monitorizacao de esterilizacao a vapor.</t>
  </si>
  <si>
    <t>332343 FITA INDICADORA PARA AUTOCLAVE CLASSE I Indicador quimico Classe I tipo fita adesiva para monitorizacao externa de processos de esterilizacao a vapor. Com 30 metros.</t>
  </si>
  <si>
    <t>340811 TESTE BOWIE DICK CLASSE II Indicador quimico Classe II tipo Bowie Dick pacote para teste de remocao de ar e penetracao de vapor em autoclaves pre vacuo.</t>
  </si>
  <si>
    <t>445299 LAMINA DE BISTURI N 10 Lamina para bisturi aco inoxidavel n 10 esteril descartavel embalagem individual. Caixa com 100 unidades</t>
  </si>
  <si>
    <t>445300 LAMINA DE BISTURI N 11 Lamina para bisturi aco inoxidavel n 11 esteril descartavel embalagem individual. Caixa com 100 unidades</t>
  </si>
  <si>
    <t>361076 LAMINA DE BISTURI N 12 Lamina para bisturi aco inoxidavel n 12 esteril descartavel embalagem individual. Caixa com 100 unidades</t>
  </si>
  <si>
    <t>366903 LAMINA DE BISTURI N 15 Lamina para bisturi aco inoxidavel n 15 esteril descartavel embalagem individual. Caixa com 100 unidades</t>
  </si>
  <si>
    <t>361077 LAMINA DE BISTURI N 20 Lamina para bisturi aco inoxidavel n 20 esteril descartavel embalagem individual. Caixa com 100 unidades</t>
  </si>
  <si>
    <t>481804 LENCOL DESCARTAVEL 50 CM X 50 M Lencol descartavel hospitalar em papel largura aproximada de 50 cm comprimento aproximado de 50 m em rolo cor branca indicado para maca hospitalar descartavel embalagem individual. Caixa com 10 unidades</t>
  </si>
  <si>
    <t>481805 LENCOL DESCARTAVEL 70 CM X 50 M Lencol descartavel hospitalar em papel largura aproximada de 70 cm comprimento aproximado de 50 m em rolo cor branca indicado para maca hospitalar descartavel embalagem individual. Caixa com 10 unidades</t>
  </si>
  <si>
    <t>620081 LUVA CIRURGICA N 6 5 Luva cirurgica latex natural tamanho 6 5 esteril anatomica descartavel lubrificada com po bioabsorvivel comprimento minimo de 28 cm.</t>
  </si>
  <si>
    <t>620082 LUVA CIRURGICA N 7 0 Luva cirurgica latex natural tamanho 7 0 esteril anatomica descartavel lubrificada com po bioabsorvivel comprimento minimo de 28 cm.</t>
  </si>
  <si>
    <t>620077 LUVA CIRURGICA N 7 5 Luva cirurgica latex natural tamanho 7 5 esteril anatomica descartavel lubrificada com po bioabsorvivel comprimento minimo de 28 cm.</t>
  </si>
  <si>
    <t>620078 LUVA CIRURGICA N 8 0 Luva cirurgica latex natural tamanho 8 0 esteril anatomica descartavel lubrificada com po bioabsorvivel comprimento minimo de 28 cm.</t>
  </si>
  <si>
    <t>619841 LUVA DE PROCEDIMENTO M COM PO Luva para procedimento nao cirurgico latex natural tamanho M com po bioabsorvivel ambidestra nao esteril descartavel. Caixa com 100 unidades.</t>
  </si>
  <si>
    <t>619842 LUVA DE PROCEDIMENTO G COM PO Luva para procedimento nao cirurgico latex natural tamanho G com po bioabsorvivel ambidestra nao esteril descartavel. Caixa com 100 unidades.</t>
  </si>
  <si>
    <t>619839 LUVA DE PROCEDIMENTO XP SEM PO Luva para procedimento nao cirurgico latex natural tamanho XP com po bioabsorvivel ambidestra nao esteril descartavel. Caixa com 100 unidades.</t>
  </si>
  <si>
    <t>619845 LUVA DE PROCEDIMENTO P SEM PO Luva para procedimento nao cirurgico latex natural tamanho P sem po ambidestra nao esteril descartavel. Caixa com 100 unidades.</t>
  </si>
  <si>
    <t>619846 LUVA DE PROCEDIMENTO M SEM PO Luva para procedimento nao cirurgico latex natural tamanho M sem po ambidestra nao esteril descartavel. Caixa com 100 unidades.</t>
  </si>
  <si>
    <t>445872 SENSOR DE OXIMETRIA ADULTO Sensor para oximetria de pulso reutilizavel tipo dedo adulto com cabo compativel com monitor multiparametrico especificado ou equipamento equivalente conector padrao de 12 pinos reutilizavel creative medical k12</t>
  </si>
  <si>
    <t>443469 SERINGA DESCARTAVEL 1 ML Material polipropileno capacidade 1 ml bico central Luer Lock ou Luer Slip embolo com vedacao de borracha graduada esteril descartavel embalagem individual.</t>
  </si>
  <si>
    <t>439625 SERINGA DESCARTAVEL 3 ML Material polipropileno capacidade 3 ml bico central Luer Lock ou Luer Slip embolo com vedacao de borracha graduada esteril descartavel embalagem individual.</t>
  </si>
  <si>
    <t>439695 SERINGA DESCARTAVEL 5 ML Material polipropileno capacidade 5 ml bico central Luer Lock ou Luer Slip embolo com vedacao de borracha graduada esteril descartavel embalagem individual.</t>
  </si>
  <si>
    <t>439626 SERINGA DESCARTAVEL 10 ML Material polipropileno capacidade 10 ml bico central Luer Lock ou Luer Slip embolo com vedacao de borracha graduada esteril descartavel embalagem individual.</t>
  </si>
  <si>
    <t>439627 SERINGA DESCARTAVEL 20 ML Material polipropileno capacidade 20 ml bico central Luer Lock ou Luer Slip embolo com vedacao de borracha graduada esteril descartavel embalagem individual.</t>
  </si>
  <si>
    <t>435903 SONDA TRATO DIGESTIVO N 6 Sonda trato digestivo aplicacao oro ou nasogastrica modelo Levine material PVC calibre n 6 tamanho curta comprimento cerca de 50 cm conector padrao com tampa ponta distal fechada com orificios laterais esteril descartavel embal</t>
  </si>
  <si>
    <t>435904 SONDA TRATO DIGESTIVO N 8 Sonda trato digestivo aplicacao oro ou nasogastrica modelo Levine material PVC calibre n 8 tamanho curta comprimento cerca de 50 cm conector padrao com tampa ponta distal fechada com orificios laterais esteril descartavel embal</t>
  </si>
  <si>
    <t>435906 SONDA TRATO DIGESTIVO N 10 Sonda trato digestivo aplicacao oro ou nasogastrica modelo Levine material PVC calibre n 10 tamanho longa comprimento cerca de 120 cm conector padrao com tampa ponta distal fechada com orificios laterais esteril descartavel em</t>
  </si>
  <si>
    <t>438984 SONDA TRATO DIGESTIVO N 12 Sonda trato digestivo aplicacao oro ou nasogastrica modelo Levine material silicone calibre n 12 tamanho longa comprimento cerca de 120 cm conector padrao com tampa ponta distal fechada com orificios laterais esteril descartav</t>
  </si>
  <si>
    <t>435908 SONDA TRATO DIGESTIVO N 14 Sonda trato digestivo aplicacao oro ou nasogastrica modelo Levine material PVC calibre n 14 tamanho longa comprimento cerca de 120 cm conector padrao com tampa ponta distal fechada com orificios laterais esteril descartavel em</t>
  </si>
  <si>
    <t>435909 SONDA TRATO DIGESTIVO N 16 Sonda trato digestivo aplicacao oro ou nasogastrica modelo Levine material PVC calibre n 16 tamanho longa comprimento cerca de 120 cm conector padrao com tampa ponta distal fechada com orificios laterais esteril descartavel em</t>
  </si>
  <si>
    <t>435910 SONDA TRATO DIGESTIVO N 18 Sonda trato digestivo aplicacao oro ou nasogastrica modelo Levine material PVC calibre n 18 tamanho longa comprimento cerca de 120 cm conector padrao com tampa ponta distal fechada com orificios laterais esteril descartavel em</t>
  </si>
  <si>
    <t>435911 SONDA TRATO DIGESTIVO N 20 Sonda trato digestivo aplicacao oro ou nasogastrica modelo Levine material PVC calibre n 20 tamanho longa comprimento cerca de 120 cm conector padrao com tampa ponta distal fechada com orificios laterais esteril descartavel em</t>
  </si>
  <si>
    <t>435912 SONDA TRATO DIGESTIVO N 22 Sonda trato digestivo aplicacao oro ou nasogastrica modelo Levine material PVC calibre n 22 tamanho longa comprimento cerca de 120 cm conector padrao com tampa ponta distal fechada com orificios laterais esteril descartavel em</t>
  </si>
  <si>
    <t>436837 SONDA FOLEY 18 FR 3 VIAS Sonda trato urinario modelo Foley material latex natural ou silicone calibre 18 French vias 3 vias conectores padrao volume do balao cerca de 30 mL tipo ponta ponta distal cilindrica fechada componentes com orificios laterais es</t>
  </si>
  <si>
    <t>436042 SONDA URETRAL N 10 Sonda trato urinario modelo uretral material PVC calibre 10 French comprimento cerca de 40 cm conector padrao com tampa ponta distal cilindrica fechada com orificios laterais esteril descartavel embalagem individual.</t>
  </si>
  <si>
    <t>435986 SONDA URETRAL N 12. Sonda trato urinario modelo uretral material PVC calibre 12 French comprimento cerca de 40 cm conector padrao com tampa ponta distal cilindrica fechada com orificios laterais esteril descartavel embalagem individual.</t>
  </si>
  <si>
    <t>435982 SONDA URETRAL N 14. Sonda trato urinario modelo uretral material PVC calibre 14 French comprimento cerca de 40 cm conector padrao com tampa ponta distal cilindrica fechada com orificios laterais esteril descartavel embalagem individual.</t>
  </si>
  <si>
    <t>428622 TOUCA DESCARTAVEL Touca hospitalar material nao tecido TNT em polipropileno com elastico em toda volta tamanho unico descartavel hipoalergenica atoxica nao esteril. Embalagem 100 unidades</t>
  </si>
  <si>
    <t>435410 UMIDIFICADOR PARA OXIGENIO. Frasco umidificador para oxigenoterapia capacidade de 250 mL confeccionado em material transparente e resistente graduado com tampa rosqueavel conexao padrao para fluxometro de oxigenio difusor interno e extensao quando aplic</t>
  </si>
  <si>
    <t>479615 FILTRO PARA TERAPIA RESPIRATORIA HMEF . Filtro trocador de calor e umidade com barreira microbiologica HMEF membrana hidrofobica e higroscopica conexoes padrao 22 mm 15 mm acompanhado de traqueia corrugada quando aplicavel indicado para utilizacao em ci</t>
  </si>
  <si>
    <t>451079 MASCARA LARINGEA DESCARTAVEL N 4. Tubo supraglotico em PVC grau medico com via para acesso gastrico linha de referencia para posicionamento protecao contra mordedura cuff de baixa pressao e alto volume conector universal de 15 mm esteril descartavel emb</t>
  </si>
  <si>
    <t>451087 MASCARA LARINGEA DESCARTAVEL N 5. Tubo supraglotico em PVC grau medico com via para acesso gastrico linha de referencia para posicionamento protecao contra mordedura cuff de baixa pressao e alto volume conector universal de 15 mm esteril descartavel emb</t>
  </si>
  <si>
    <t>451481 MASCARA LARINGEA DESCARTAVEL N 6. Tubo supraglotico em PVC grau medico com via para acesso gastrico linha de referencia para posicionamento protecao contra mordedura cuff de baixa pressao e alto volume conector universal de 15 mm esteril descartavel emb</t>
  </si>
  <si>
    <t>AGULHA GENGIVAL DESCARTÁVEL ESTÉRIL 30G - CURTA, - material: aço inoxidável siliconizado, - aplicação: gengival , anestesia, - dimensão: 30 g curta, - tipo ponta : com bisel trifacetado, - tipo conexão: conector p/ seringa carpule, - tipo uso: estéril, - desca</t>
  </si>
  <si>
    <t xml:space="preserve">FIO DE NYLON 5.0 PARA SUTURA, -Fio de sutura, - nylon monofilamento, - tipo fio: 5-0, -cor: preto, -comprimento: 45 cm, - com agulha, tipo agulha: 1,2 círculo cortante, comprimento agulha: 1,50 cm, - estéril. - origem sintética (poliamida), - agulha de aço, - </t>
  </si>
  <si>
    <t>Fio De Sutura Agulhado material fio: nylon / poliamida preto, modelo fio: monofilamentar, diâmetro fio: 5-0, comprimento fio: cerca de 45, tipo agulha: agulha 1/2 círculo, modelo agulha: cortante reversa / invertida, comprimento agulha: cerca de 16, esterilida</t>
  </si>
  <si>
    <t>Fio De Sutura Agulhado material fio: seda preto, modelo fio: multifilamentar, diâmetro fio: 3-0, comprimento fio: cerca de 45, tipo agulha: agulha 1/2 círculo, modelo agulha: cortante reversa / invertida, comprimento agulha: cerca de 18, esterilidade: estéril,</t>
  </si>
  <si>
    <t>Fio De Sutura Agulhado material fio: seda preto, modelo fio: multifilamentar, diâmetro fio: 4-0, comprimento fio: cerca de 45, tipo agulha: agulha 1/2 círculo, modelo agulha: cortante reversa / invertida, comprimento agulha: cerca de 16, esterilidade: estéril,</t>
  </si>
  <si>
    <t>GEL CONDUTOR PARA APARELHO DE ULTRASSONOGRAFIA PARA EXAME MEDICO.GEL CONDUTOR PARA APARELHO DE ULTRASSONOGRAFIA PARA EXAME MEDICO.</t>
  </si>
  <si>
    <t>BOBINA PAPEL GRAU CIRÚRGICO 10CMX100M BOBINA PAPEL GRAU CIRÚRGICO 10CMX100M</t>
  </si>
  <si>
    <t>CURATIVO HIDROCOLÓIDE REGULAR 10X10 CURATIVO HIDROCOLÓIDE REGULAR 10X10</t>
  </si>
  <si>
    <t>EQUIPO PARA DIETA ENTERAL DE SISTEMA GRAVITACIONAL EQUIPO PARA DIETA ENTERAL DE SISTEMA GRAVITACIONAL</t>
  </si>
  <si>
    <t>EXERCITADOR/INCENTIVADOR DE FLUXO RESPIRATÓRIO EXERCITADOR/INCENTIVADOR DE FLUXO RESPIRATÓRIO</t>
  </si>
  <si>
    <t>LAMINA BISTURI N° 11 - AÇO CARBONO LAMINA BISTURI N° 11 - AÇO CARBONO CAIXA COM 100 UNIDADES</t>
  </si>
  <si>
    <t>LAMINA BISTURI N° 12 - AÇO CARBONO LAMINA BISTURI N° 12 - AÇO CARBONO CAIXA COM 100 UNIDADES</t>
  </si>
  <si>
    <t>LAMINA BISTURI N° 15 - AÇO CARBONO LAMINA BISTURI N° 15 - AÇO CARBONO CAIXA COM 100 UNIDADES</t>
  </si>
  <si>
    <t>LAMINA BISTURI N° 24 - AÇO CARBONO LAMINA BISTURI N° 24 - AÇO CARBONO CAIXA COM 100 UNIDADES</t>
  </si>
  <si>
    <t>LUVA CIRÚRGICA ESTÉRIL 7.0 LUVA CIRÚRGICA ESTÉRIL 7.0</t>
  </si>
  <si>
    <t>LUVA CIRÚRGICA ESTÉRIL 8.0 LUVA CIRÚRGICA ESTÉRIL 8.0</t>
  </si>
  <si>
    <t>PAPEL LENÇOL 70CMX50M PAPEL LENÇOL 70CMX50M</t>
  </si>
  <si>
    <t>SERINGA DESCARTÁVEL 10 ML SEM AGULHA LUER LOCK SERINGA DESCARTÁVEL 10 ML SEM AGULHA LUER LOCK CAIXA COM 100 UNIDADES</t>
  </si>
  <si>
    <t>SERINGA DESCARTÁVEL 20 ML SEM AGULHA LUER LOCK SERINGA DESCARTÁVEL 20 ML SEM AGULHA LUER LOCK CAIXA COM 50 UNIDADES</t>
  </si>
  <si>
    <t>SERINGA DESCARTÁVEL 3 ML SEM AGULHA LUER LOCK SERINGA DESCARTÁVEL 3 ML SEM AGULHA LUER LOCK CAIXA COM 100 UNIDADES</t>
  </si>
  <si>
    <t>SERINGA DESCARTÁVEL 5 ML SEM AGULHA LUER LOCK SERINGA DESCARTÁVEL 5 ML SEM AGULHA LUER LOCK CAIXA COM 100 UNIDADES</t>
  </si>
  <si>
    <t>SONDA URETRAL N° 12 SONDA URETRAL N° 12</t>
  </si>
  <si>
    <t>SUPORTE PARA CAIXA COLETORA DE PERFUROCORTANTE 13 L SUPORTE PARA CAIXA COLETORA DE PERFUROCORTANTE 13 L</t>
  </si>
  <si>
    <t>Tubo Supraglótico tipo: máscara laríngea, material*: pvc, vias: via p/ acesso gástrico, tamanho*: nº 1,5, componente 1: c/ linha de referência, conector: c/ conector padrão, esterilidade*: estéril, uso único</t>
  </si>
  <si>
    <t>Tubo Supraglótico tipo: máscara laríngea, material*: pvc aramado, tamanho*: nº 2, componente 1: c/ linha de referência, conector: c/ conector padrão, esterilidade*: estéril, uso único</t>
  </si>
  <si>
    <t>Tubo Supraglótico tipo: máscara laríngea, material*: pvc aramado, tamanho*: nº 2,5, componente 1: c/ linha de referência, conector: c/ conector padrão, esterilidade*: estéril, uso único</t>
  </si>
  <si>
    <t>Tubo Supraglótico tipo: máscara laríngea, material*: pvc aramado, tamanho*: nº 3, componente 1: c/ linha de referência, conector: c/ conector padrão, esterilidade*: estéril, uso único</t>
  </si>
  <si>
    <t>Tubo Supraglótico tipo: máscara laríngea, material*: pvc aramado, tamanho*: nº 4, componente 1: c/ linha de referência, conector: c/ conector padrão, esterilidade*: estéril, uso único</t>
  </si>
  <si>
    <t>Tubo Supraglótico tipo: máscara laríngea, material*: pvc, vias: via p/ acesso gástrico, tamanho*: nº 5, componente 1: c/ linha de referência, conector: c/ conector padrão, esterilidade*: estéril, uso único</t>
  </si>
  <si>
    <t>Dreno Cirúrgico modelo: kehr em "t", material: silicone, calibre: 8, comprimento: cerca de 40, componente ii: radiopaco, tipo uso: estéril, descartável, embalagem: embalagem individual</t>
  </si>
  <si>
    <t>Dreno Cirúrgico modelo: kehr em "t", material: silicone, calibre: 16, comprimento: cerca de 40, componente ii: radiopaco, tipo uso: estéril, descartável, embalagem: embalagem individual</t>
  </si>
  <si>
    <t>Dreno Cirúrgico modelo: kehr em "t", material: silicone, calibre: 18, comprimento: cerca de 40, componente ii: radiopaco, tipo uso: estéril, descartável, embalagem: embalagem individual</t>
  </si>
  <si>
    <t>Dreno Cirúrgico modelo: kehr em "t", material: silicone, calibre: 20, comprimento: cerca de 40, componente ii: radiopaco, tipo uso: estéril, descartável, embalagem: embalagem individual</t>
  </si>
  <si>
    <t>Dreno Cirúrgico modelo: kehr em "t", material: silicone, calibre: 8, comprimento: cerca de 40, componente ii: radiopaco, tipo uso: estéril, descartável, embalagem: embalagem individual ITEM ESPELHO (Este item somente será adjudicado caso o item nº 01 restar de</t>
  </si>
  <si>
    <t xml:space="preserve">Dreno Cirúrgico modelo: kehr em "t", material: silicone, calibre: 16, comprimento: cerca de 40, componente ii: radiopaco, tipo uso: estéril, descartável, embalagem: embalagem individual ITEM ESPELHO (Este item somente será adjudicado caso o grupo nº 01 restar </t>
  </si>
  <si>
    <t xml:space="preserve">Dreno Cirúrgico modelo: kehr em "t", material: silicone, calibre: 18, comprimento: cerca de 40, componente ii: radiopaco, tipo uso: estéril, descartável, embalagem: embalagem individual ITEM ESPELHO (Este item somente será adjudicado caso o grupo nº 01 restar </t>
  </si>
  <si>
    <t>Dreno Cirúrgico modelo: kehr em "t", material: borracha, calibre: 22, comprimento: cerca de 50, tipo uso: estéril, descartável, embalagem: embalagem individual ITEM ESPELHO (Este item somente será adjudicado caso o grupo nº 01 restar deserto ou fracassado)</t>
  </si>
  <si>
    <t>Filtro Terapia Respiratória aplicação: p/ circuito respiratório, modelo: hmef, tipo: troca calor e umidade c/ barreira microbiológica, tipo membrana: hidrófobico e higroscópico, componente: conexões padrão, componente adicional: c/ traquéia corrugada, tamanho:</t>
  </si>
  <si>
    <t>Filtro Terapia Respiratória aplicação: p/ circuito respiratório, modelo: hmef, tipo: troca calor e umidade c/ barreira microbiológica, tipo membrana: hidrófobico e higroscópico, componente: conexões padrão c/ via p/ capnografia, tamanho: infantil, esterilidade</t>
  </si>
  <si>
    <t>Cateter Aspiração Traqueal material: pvc atóxico flexível, espessura: nº 6, características adicionais: ponta atraumática, orifícios distais lateralizados, tipo embalagem: estéril, embalagem individual, tipo uso: descartável</t>
  </si>
  <si>
    <t>Cateter Aspiração Traqueal material: pvc atóxico flexível, espessura: nº 8, características adicionais: ponta atraumática, orifícios distais lateralizados, tipo embalagem: estéril, embalagem individual, tipo uso: descartável</t>
  </si>
  <si>
    <t>Bisturi Circular material: lâmina de aço inoxidável, diâmetro: 4, aplicação: dermatológico, características adicionais: haste cilíndrica em pvc rígido, embalagem: embalagem individual, esterilidade: estéril, descartável</t>
  </si>
  <si>
    <t>Bisturi Circular material: lâmina de aço inoxidável, diâmetro: 6, aplicação: dermatológico, características adicionais: haste cilíndrica em pvc rígido, embalagem: embalagem individual, esterilidade: estéril, descartável</t>
  </si>
  <si>
    <t>(L8) 6510.88924-Máscara laríngea, TIPO: Nº 1,5, dispositivo orofaríngeo tubular para manuseio supraglótico das vias aéreas, totalmente isento de látex, descartável, capaz de auxiliar nas entubações difíceis e reverter o procedimento para tubos endotraqueais, c</t>
  </si>
  <si>
    <t>(L9) 6510.88925-Máscara laríngea, TIPO: Nº 2,0, dispositivo orofaríngeo tubular para manuseio supraglótico das vias aéreas, totalmente isento de látex, descartável, capaz de auxiliar nas entubações difíceis e reverter o procedimento para tubos endotraqueais, c</t>
  </si>
  <si>
    <t xml:space="preserve">(L10) 6510.88926-Máscara laríngea, TIPO: Nº 2,5, dispositivo orofaríngeo tubular para manuseio supraglótico das vias aéreas, totalmente isento de látex, descartável, capaz de auxiliar nas entubações difíceis e reverter o procedimento para tubos endotraqueais, </t>
  </si>
  <si>
    <t xml:space="preserve">(L11) 6510.88927-Máscara laríngea, TIPO: Nº 3,0, dispositivo orofaríngeo tubular para manuseio supraglótico das vias aéreas, totalmente isento de látex, descartável, capaz de auxiliar nas entubações difíceis e reverter o procedimento para tubos endotraqueais, </t>
  </si>
  <si>
    <t xml:space="preserve">(L12) 6510.88928-Máscara laríngea, TIPO: Nº 4,0, dispositivo orofaríngeo tubular para manuseio supraglótico das vias aéreas, totalmente isento de látex, descartável, capaz de auxiliar nas entubações difíceis e reverter o procedimento para tubos endotraqueais, </t>
  </si>
  <si>
    <t xml:space="preserve">(L13) 6510.88929-Máscara laríngea, TIPO: Nº 5,0, dispositivo orofaríngeo tubular para manuseio supraglótico das vias aéreas, totalmente isento de látex, descartável, capaz de auxiliar nas entubações difíceis e reverter o procedimento para tubos endotraqueais, </t>
  </si>
  <si>
    <t xml:space="preserve">Agulha gengival para anestesia odontologica 30G curta descartavel esterilizada a oxido de etileno confeccionada em aco inoxidavel com canula de tamanho nao inferior a 1 polegada ou 25mm com bisel trifacetado e siliconizada afiado e sem rebarbas com sistema de </t>
  </si>
  <si>
    <t>Agulhas gengival para anestesia odontologica 27G longa descartavel esterilizada a oxido de etileno confeccionada em aco inoxidavel com bisel trifacetado afiado e sem rebarbas com sistema de encaixe universal embalada individualmente. Acondicionadas em caixas c</t>
  </si>
  <si>
    <t>Fio de sutura 4 0 para uso odontologico. Fio cirurgico de NYLON monofilamento preto esteril nao absorvivel diametro 4 0 medindo aproximadamente 45 cm de comprimento com agulha de circulo triangular medindo 1 7 cm com bom corte que nao quebre ou entorte com fac</t>
  </si>
  <si>
    <t>Fio de seda para sutura 3.0 uso odontologico multifilamento trancado nao absorvivel de origem natural proveniente do casulo do bicho da sede com reatividade tisular moderada 4.0 com no minimo 45 cm de comprimento esteril com agulha 1 7 triangular cortante atra</t>
  </si>
  <si>
    <t>Fio de seda para sutura 4.0 uso odontologico multifilamento trancado nao absorvivel de origem natural proveniente do casulo do bicho da seda com a reatividade tisular moderada 4.0 com no minimo 45 cm de comprimento esteril com agulha 1 7 triangular cortante at</t>
  </si>
  <si>
    <t>Indicador biologico do tipo auto contido para monitorar ciclos de esterilizacao de autoclaves com leitura de resultado em 24 horas. Frasco termoplastico contendo ampola de vidro disco de papel inoculado com esporos de Geobacillus stearothermophilus contendo po</t>
  </si>
  <si>
    <t>Integrador quimico tipo Classe 5 indicado para monitorar ciclos de esterilizacao em autoclave. Precisao rigorosa correspondente a curva de morte microbiana geobacillus correlacionados com o tempo de morte microbiana e penetracao do vapor sua leitura devera ser</t>
  </si>
  <si>
    <t>Papel grau cirurgico descartavel bobina com 08 cm de largura por 100 mts de comprimento. Composto de filme flex azul 4 camadas laminado em poliester e polipropileno pet pp 57gr m2 e papel grau cirurgico 60gr m2 impresso com dois indicadores quimicos de 1 cm2 p</t>
  </si>
  <si>
    <t>Papel grau cirurgico descartavel bobina com 12 cm de largura por 100 mts de comprimento. Composto de filme flex azul 4 camadas laminado em poliester e polipropileno pet pp 57gr m2 e papel grau cirurgico 60gr m2 impresso com dois indicadores quimicos de 1 cm2 p</t>
  </si>
  <si>
    <t>Papel grau cirurgico descartavel bobina com 15 cm de largura por 100 mts de comprimento. Composto de filme flex azul 4 camadas laminado em poliester e polipropileno pet pp 57gr m2 e papel grau cirurgico 60gr m2 impresso com dois indicadores quimicos de 1 cm2 p</t>
  </si>
  <si>
    <t>Papel grau cirurgico descartavel bobina com 20 cm de largura por 100 mts de comprimento. Composto de filme flex azul 4 camadas laminado em poliester e polipropileno pet pp 57gr m2 e papel grau cirurgico 60gr m2 impresso com dois indicadores quimicos de 1 cm2 p</t>
  </si>
  <si>
    <t>Agulha gengival para anestesia odontológica 30G curta, descartável, esterilizada a óxido de etileno, confeccionada em aço inoxidável, com cânula de tamanho não inferior a 1 polegada ou 25mm, com bisel trifacetado e siliconizada, afiado e sem rebarbas, com sist</t>
  </si>
  <si>
    <t>Agulhas gengival para anestesia odontológica 27G longa, descartável, esterilizada a óxido de etileno, confeccionada em aço inoxidável, com bisel trifacetado, afiado e sem rebarbas, com sistema de encaixe universal, embalada individualmente. Acondicionadas em c</t>
  </si>
  <si>
    <t>Fio de sutura 4-0 para uso odontológico. Fio cirúrgico de NYLON, monofilamento, preto, estéril, não absorvível, diâmetro 4,0 medindo aproximadamente 45 cm de comprimento, com agulha de círculo, triangular, medindo 1,7 cm com bom corte que não quebre ou entorte</t>
  </si>
  <si>
    <t>Fio de seda para sutura 3.0, uso odontológico, multifilamento trançado não absorvível de origem natural proveniente do casulo do bicho da sede com reatividade tisular moderada 4.0 com no mínimo 45 cm de comprimento, estéril, com agulha 1,7 triangular cortante,</t>
  </si>
  <si>
    <t>Fio de seda para sutura 4.0, uso odontológico, multifilamento trançado não absorvível de origem natural proveniente do casulo do bicho da seda com a reatividade tisular moderada 4.0 com no mínimo 45 cm de comprimento, estéril, com agulha 1,7 triangular cortant</t>
  </si>
  <si>
    <t>Indicador biológico do tipo auto-contido, para monitorar ciclos de esterilização de autoclaves, com leitura de resultado em 24 horas. Frasco termoplástico contendo ampola de vidro, disco de papel inoculado com esporos de Geobacillus stearothermophilus, contend</t>
  </si>
  <si>
    <t>Integrador químico, tipo Classe 5, indicado para monitorar ciclos de esterilização em autoclave. Precisão rigorosa correspondente a curva de morte microbiana (geobacillus), correlacionados com o tempo de morte microbiana e penetração do vapor; sua leitura deve</t>
  </si>
  <si>
    <t>Papel grau cirúrgico descartável, bobina com 08 cm de largura por 100 mts de comprimento. Composto de filme flex azul 4 camadas, laminado em poliéster e polipropileno pet/pp 57gr/m2, e papel grau cirúrgico 60gr/m2, impresso com dois indicadores químicos de 1 c</t>
  </si>
  <si>
    <t>Papel grau cirúrgico descartável, bobina com 12 cm de largura por 100 mts de comprimento. Composto de filme flex azul 4 camadas, laminado em poliéster e polipropileno pet/pp 57gr/m2, e papel grau cirúrgico 60gr/m2, impresso com dois indicadores químicos de 1 c</t>
  </si>
  <si>
    <t>Papel grau cirúrgico descartável, bobina com 15 cm de largura por 100 mts de comprimento. Composto de filme flex azul 4 camadas, laminado em poliéster e polipropileno pet/pp 57gr/m2, e papel grau cirúrgico 60gr/m2, impresso com dois indicadores químicos de 1 c</t>
  </si>
  <si>
    <t>Papel grau cirúrgico descartável, bobina com 20 cm de largura por 100 mts de comprimento. Composto de filme flex azul 4 camadas, laminado em poliéster e polipropileno pet/pp 57gr/m2, e papel grau cirúrgico 60gr/m2, impresso com dois indicadores químicos de 1 c</t>
  </si>
  <si>
    <t>Cateter Central aplicação: venoso, tipo implante: inserção periférica, matéria prima: poliuretano radiopaco, diâmetro: cerca 4 fr, vias: mono lúmen, comprimento: cerca 55, conector: conectores padrão, clamp e tampa, componente: kit introdutor completo, compone</t>
  </si>
  <si>
    <t>Campo Cirúrgico Descartável material: não tecido 100% polipropileno - tipo sms, propriedade: hidrorepelente, reforço: c/ reforço absorvente, fixação: adesiva, dimensões: cerca de 150 x 250, cor: c/ cor, esterilidade: estéril</t>
  </si>
  <si>
    <t>Extensor Infusão Vascular vias: 2 vias, material: polímero, comprimento: cerca 15, calibre: cerca 12, tipo conexão: luer lock / slip / valvulado, pressão máxima: até cerca de 100, componente adicional: c/ clamp, tipo uso: estéril, uso único</t>
  </si>
  <si>
    <t>FRALDA DESCARTAVEL GERIATRICA TAM. 'XG' , P/INCONTINENCIA URINARIA - UNIDADE</t>
  </si>
  <si>
    <t>FRALDA DESCARTAVEL GERIATRICA TAM. 'G' , P/INCONTINENCIA URINARIA - UNIDADE</t>
  </si>
  <si>
    <t>FRALDA DESCARTAVEL GERIATRICA TAM. 'M' , P/INCONTINENCIA URINARIA - UNIDADE</t>
  </si>
  <si>
    <t>FRALDA DESCARTAVEL GERIATRICA TAM. 'P' , P/INCONTINENCIA URINARIA - UNIDADE</t>
  </si>
  <si>
    <t>Fixador P/ Dispositivo Médico aplicação: p/ tubo endotraqueal, material: tira algodão, característica: 2 bandas acolchoadas, componente: c/ velcro ajustável, tamanho: adulto, tipo uso: uso único, embalagem: embalagem individual</t>
  </si>
  <si>
    <t>Fixador P/ Dispositivo Médico aplicação: p/ tubo endotraqueal, material: tira algodão, característica: 2 bandas acolchoadas, componente: c/ velcro ajustável, tamanho: infantil, tipo uso: uso único, embalagem: embalagem individual</t>
  </si>
  <si>
    <t>Tubo Supraglótico tipo: máscara laríngea, material*: silicone, vias: via p/ acesso gástrico, tamanho*: nº 1, componente 1: c/ linha de referência, conector: c/ conector padrão, esterilidade*: reutilizável</t>
  </si>
  <si>
    <t>Tubo Supraglótico tipo: máscara laríngea, material*: silicone, vias: via p/ acesso gástrico, tamanho*: nº 1,5, componente 1: c/ linha de referência, conector: c/ conector padrão, esterilidade*: reutilizável</t>
  </si>
  <si>
    <t>Tubo Supraglótico tipo: máscara laríngea, material*: silicone, vias: via p/ acesso gástrico, tamanho*: nº 2, componente 1: c/ linha de referência, conector: c/ conector padrão, esterilidade*: reutilizável</t>
  </si>
  <si>
    <t>Tubo Supraglótico tipo: máscara laríngea, material*: silicone, vias: via p/ acesso gástrico, tamanho*: nº 2,5, componente 1: c/ linha de referência, conector: c/ conector padrão, esterilidade*: reutilizável</t>
  </si>
  <si>
    <t>Tubo Supraglótico tipo: máscara laríngea, material*: silicone, vias: via p/ acesso gástrico, tamanho*: nº 3, componente 1: c/ linha de referência, conector: c/ conector padrão, esterilidade*: reutilizável</t>
  </si>
  <si>
    <t>Tubo Supraglótico tipo: máscara laríngea, material*: silicone, vias: via p/ acesso gástrico, tamanho*: nº 4, componente 1: c/ linha de referência, conector: c/ conector padrão, esterilidade*: reutilizável</t>
  </si>
  <si>
    <t>Tubo Supraglótico tipo: máscara laríngea, material*: silicone, vias: via p/ acesso gástrico, tamanho*: nº 5, componente 1: c/ linha de referência, conector: c/ conector padrão, esterilidade*: reutilizável</t>
  </si>
  <si>
    <t>Sistema Fechado Aspiração Traqueal aplicação: p/ tubo endotraqueal, tamanho: 5 fr, tipo sonda: sonda graduada e protegida, conector: conectores padrão, vias: via irrigação antirrefluxo, válvula sucção: válvula sucção c/ tampa e trava de segurança, esterilidade</t>
  </si>
  <si>
    <t>Sistema Fechado Aspiração Traqueal aplicação: p/ tubo endotraqueal, tamanho: 6 fr, tipo sonda: sonda graduada e protegida, conector: conectores padrão, vias: via irrigação antirrefluxo e aerossolterapia, válvula sucção: válvula sucção c/ tampa e trava de segur</t>
  </si>
  <si>
    <t>Sistema Fechado Aspiração Traqueal aplicação: p/ traqueostomia, tamanho: 6 fr, tipo sonda: sonda graduada e protegida, conector: conectores padrão, vias: via irrigação antirrefluxo, válvula sucção: válvula sucção c/ tampa e trava de segurança, esterilidade: es</t>
  </si>
  <si>
    <t>Sistema Fechado Aspiração Traqueal aplicação: p/ tubo endotraqueal, tamanho: 8 fr, tipo sonda: sonda graduada e protegida, conector: conectores padrão, vias: via irrigação antirrefluxo, válvula sucção: válvula sucção c/ tampa e trava de segurança, esterilidade</t>
  </si>
  <si>
    <t>Sistema Fechado Aspiração Traqueal aplicação: p/ traqueostomia, tamanho: 8 fr, tipo sonda: sonda graduada e protegida, conector: conectores padrão, vias: via irrigação antirrefluxo, válvula sucção: válvula sucção c/ tampa e trava de segurança, esterilidade: es</t>
  </si>
  <si>
    <t>Sistema Fechado Aspiração Traqueal aplicação: p/ tubo endotraqueal, tamanho: 10 fr, tipo sonda: sonda graduada e protegida, conector: conectores padrão, vias: via irrigação antirrefluxo e aerossolterapia, válvula sucção: válvula sucção c/ tampa e trava de segu</t>
  </si>
  <si>
    <t>Sistema Fechado Aspiração Traqueal aplicação: p/ traqueostomia, tamanho: 10 fr, tipo sonda: sonda graduada e protegida, conector: conectores padrão, vias: via irrigação antirrefluxo, válvula sucção: válvula sucção c/ tampa e trava de segurança, esterilidade: e</t>
  </si>
  <si>
    <t>Sistema Fechado Aspiração Traqueal aplicação: p/ tubo endotraqueal, tamanho: 12 fr, tipo sonda: sonda graduada e protegida, conector: conectores padrão, vias: via irrigação antirrefluxo e aerossolterapia, válvula sucção: válvula sucção c/ tampa e trava de segu</t>
  </si>
  <si>
    <t>Sistema Fechado Aspiração Traqueal aplicação: p/ traqueostomia, tamanho: 12 fr, tipo sonda: sonda graduada e protegida, conector: conectores padrão, vias: via irrigação antirrefluxo, válvula sucção: válvula sucção c/ tampa e trava de segurança, esterilidade: e</t>
  </si>
  <si>
    <t>Sistema Fechado Aspiração Traqueal aplicação: p/ traqueostomia, tamanho: 14 fr, tipo sonda: sonda graduada e protegida, conector: conectores padrão, vias: via irrigação antirrefluxo, válvula sucção: válvula sucção c/ tampa e trava de segurança, esterilidade: e</t>
  </si>
  <si>
    <t>Sistema Fechado Aspiração Traqueal aplicação: p/ tubo endotraqueal, tamanho: 14 fr, tipo sonda: sonda graduada e protegida, conector: conectores padrão, vias: via irrigação antirrefluxo e aerossolterapia, válvula sucção: válvula sucção c/ tampa e trava de segu</t>
  </si>
  <si>
    <t>Sistema Fechado Aspiração Traqueal aplicação: p/ tubo endotraqueal, tamanho: 16 fr, tipo sonda: sonda graduada e protegida, conector: conectores padrão, vias: via irrigação antirrefluxo e aerossolterapia, válvula sucção: válvula sucção c/ tampa e trava de segu</t>
  </si>
  <si>
    <t>Fio De Sutura Agulhado material fio: nylon / poliamida preto, modelo fio: monofilamentar, diâmetro fio: 0 / 1-0, comprimento fio: cerca de 45, tipo agulha: agulha 3/8 círculo, modelo agulha: cortante reversa / invertida, comprimento agulha: cerca de 20, esteri</t>
  </si>
  <si>
    <t>Fio De Sutura Agulhado material fio: nylon / poliamida preto, modelo fio: monofilamentar, diâmetro fio: 3-0, comprimento fio: 3 x cerca de 70, tipo agulha: agulha reta, modelo agulha: cortante reversa / invertida, comprimento agulha: cerca de 60, esterilidade:</t>
  </si>
  <si>
    <t>Fio De Sutura Agulhado material fio: poliglactina violeta, modelo fio: multifilamentar, diâmetro fio: 2-0, comprimento fio: cerca de 70, tipo agulha: agulha 1/2 círculo, modelo agulha: cortante reversa / invertida, comprimento agulha: cerca de 35, esterilidade</t>
  </si>
  <si>
    <t>Lençol Cama material: poliéster e algodão, medidas mínimas ( c x l ): 1,50 x 1,20, cor: branco, tipo fixação: traçado sem elástico, impressão: personalizada e resistente a lavagem industrial, características adicionais: uso hospitalar com costura dupla Traçado</t>
  </si>
  <si>
    <t>Lote sem nome - Circuito respiratorio de ramo duplo com dreno, adulto, para uso em ventilacao mecanica/anestesia, composto por dois ramos independentes para conducao dos gases inspiratorios e expiratorios, confeccionados em material flexivel, transparente, ato</t>
  </si>
  <si>
    <t>Lote sem nome - Compressa cirurgica campo operatorio Material: tecido algodao ou outro material adequado, com alta resistencia, impermeabilidade e capacidade de barreira contra micro-organismos, garantindo seguranca e assepsia durante procedimentos cirurgicos.</t>
  </si>
  <si>
    <t xml:space="preserve">Lote sem nome - Fio de sutura agulhado, em nylon preto, tamanho 0, esteril, monofilamentar, nao absorvivel, com agulha cirurgica compativel, de alta resistencia e adequada capacidade de penetracao, destinado a realizacao de suturas em procedimentos cirurgicos </t>
  </si>
  <si>
    <t>Lote sem nome - Aspirador cirurgico portatil, eletrico, destinado a aspiracao de secrecoes e fluidos em procedimentos medico-hospitalares, de construcao compacta e adequada ao transporte e utilizacao em ambiente assistencial. Devera possuir sistema de aspiraca</t>
  </si>
  <si>
    <t>Lote sem nome - Sonda nasogastrica esteril, descartavel, calibre aproximado N 5 (equivalente a ~5 Fr /~1,7 mm de diametro externo), indicada para aspiracao, drenagem gastrica e/ou administracao de dieta enteral e medicamentos, de uso veterinario.</t>
  </si>
  <si>
    <t>Lote sem nome - Fio de sutura agulhado, em nylon preto, tamanho 1-0, esteril, monofilamentar, nao absorvivel, com agulha cirurgica compativel, de alta resistencia e adequada capacidade de penetracao, destinado a realizacao de suturas em procedimentos cirurgico</t>
  </si>
  <si>
    <t xml:space="preserve">Lote sem nome - Envelope para esterilizacao auto selante 9x23 cm, pacote com 200 unidades, com indicador quimico de esterilizacao, filme trasparente para vizualizacao do conteudo, material resistente a umidade, rasgo e perfuracao, uso unico, produto novo e em </t>
  </si>
  <si>
    <t>Lote sem nome - Esparadrapo impermeavel 10 cm x 4,5 m Material: Filme plastico impermeavel, transparente, flexivel e resistente, que permite a transpiracao da pele, ao mesmo tempo em que impede a penetracao de agua, umidade e contaminantes externos.Adesivo hip</t>
  </si>
  <si>
    <t>Lote sem nome - Sonda nasogastrica, esteril, descartavel, confeccionada em PVC atoxico ou silicone grau medico, transparente, flexivel, com diametro aproximado de 11 mm e comprimento entre 2,5 e 3,0 metros, com ponta atraumatica, orificios laterais na extremid</t>
  </si>
  <si>
    <t>Lote sem nome - Fio de sutura agulhado, em nylon preto, tamanho 2-0, esteril, monofilamentar, nao absorvivel, com agulha cirurgica compativel, de alta resistencia e adequada capacidade de penetracao, destinado a realizacao de suturas em procedimentos cirurgico</t>
  </si>
  <si>
    <t>Lote sem nome - Fio de sutura agulhado, em nylon preto, tamanho 3-0, esteril, monofilamentar, nao absorvivel, com agulha cirurgica compativel, de alta resistencia e adequada capacidade de penetracao, destinado a realizacao de suturas em procedimentos cirurgico</t>
  </si>
  <si>
    <t>Lote sem nome - Prope sapatilha descartavel com elastico, pacote com 100 unidades, material:( TNT), nao esteril, cobertura adequada do calcado, leve resistente de facil colocacao, tamanho adequado para adultos</t>
  </si>
  <si>
    <t>Lote sem nome - Fio de sutura agulhado, em nylon preto, tamanho 4-0, esteril, monofilamentar, nao absorvivel, com agulha cirurgica compativel, de alta resistencia e adequada capacidade de penetracao, destinado a realizacao de suturas em procedimentos cirurgico</t>
  </si>
  <si>
    <t>Lote sem nome - Cabo para bisturi n 4, confeccionado em aco inoxidavel, resistente a corrosao, destinado a utilizacao com laminas de bisturi compativeis com o cabo n 4, com acabamento adequado para uso medico-hospitalar, reutilizavel e passivel de esterilizaca</t>
  </si>
  <si>
    <t>Lote sem nome - Lamina de bisturi, esteril, numero:24 descartavel, confeccionada em aco inoxidavel ou aco carbono, com excelente capacidade de corte, compativel com cabos de bisturi correspondentes ao seu tamanho, acondicionada individualmente em embalagem que</t>
  </si>
  <si>
    <t>Curativo / Cobertura aplicação: p/ ferida, aspecto físico: frasco c/ gel, composição: à base de hidrogel, componente 4: c/ phmb, esterilidade: estéril ESPECIFICAÇÕES CONFORME O TERMO DE REFERÊNCIA</t>
  </si>
  <si>
    <t>Curativo / Cobertura aplicação: p/ ferida, aspecto físico: frasco c/ gel, composição: à base de hidrogel, componente 2: c/ alginato, esterilidade: estéril ESPECIFICAÇÕES CONFORME O TERMO DE REFERÊNCIA</t>
  </si>
  <si>
    <t>Curativo / Cobertura aplicação: p/ ferida, aspecto físico: placa, composição: à base de hidrocolóide, componente 1: c/ película pu / polietileno, componente 2: c/ alginato, dimensão: cerca de 20 x 20, esterilidade: estéril ESPECIFICAÇÕES CONFORME O TERMO DE RE</t>
  </si>
  <si>
    <t>Cateter Monitorização tipo: arterial, tamanho: cerca de 4, comprimento: cerca de 12, esterilidade: estéril, uso único, material: poliuretano, componentes: kit c/ fio guia e agulha introdutora 20 ga, componente i: aba p/ sutura e fixação</t>
  </si>
  <si>
    <t>Placa Eletrocirúrgica materia prima: metálica, tamanho placa: adulto, componente adicional: s/ cabo, compatível: compatível c/ bisturi, tipo uso 1: reutilizável LOTE 25</t>
  </si>
  <si>
    <t>Agulha Hipodérmica material: aço inoxidável siliconizado, dimensão: 25 g x 3/4", tipo ponta: bisel curto trifacetado, tipo conexão: conector luer lock ou slip em plástico, tipo fixação: protetor plástico, tipo uso: estéril, descartável, embalagem individual LO</t>
  </si>
  <si>
    <t>Equipo Especial - Uso Médico aplicação: p/ irrigação cirúrgica de soluções, bomba infusora, número vias: c/ 1 via, segmento silicone, tipo: p/ uso c/ cateter irrigado - ablação, material: pvc transparente, conector solução: ponta perfurante, câmara gotejamento</t>
  </si>
  <si>
    <t>Agulha Odontológica material: polipropileno, aplicação: endodôntica, tipo ponta*: sem bisel, ponta romba, tipo cânula: cânula reta, adicional: flexível, tipo conexão: conector luer lock ou slip, tipo uso: uso único, descartável</t>
  </si>
  <si>
    <t>Fio De Sutura Agulhado material fio: poliglactina violeta, modelo fio: multifilamentar, diâmetro fio: 4-0, comprimento fio: cerca de 70, tipo agulha: agulha 1/2 círculo, modelo agulha: cortante, comprimento agulha: cerca de 16, esterilidade: estéril, apresenta</t>
  </si>
  <si>
    <t xml:space="preserve">Moldeira Odontológica material: plástico, tipo: p/ moldagem, modelo: dentados total, tamanho: nº 3, aplicação: inferior, adulto, características adicionais: perfurada, tipo uso: autoclavável MOLDEIRA ODONTOLÓGICA Especificação Detalhada: Moldeira odontológica </t>
  </si>
  <si>
    <t xml:space="preserve">Moldeira Odontológica material: plástico, tipo: p/ moldagem, modelo: dentados total, tamanho: nº 4, aplicação: inferior, adulto, características adicionais: perfurada, tipo uso: autoclavável MOLDEIRA ODONTOLÓGICA Especificação Detalhada: Moldeira odontológica </t>
  </si>
  <si>
    <t xml:space="preserve">Moldeira Odontológica material: plástico, tipo: p/ moldagem, modelo: dentados total, tamanho: nº 5, aplicação: inferior, adulto, características adicionais: perfurada, tipo uso: autoclavável MOLDEIRA ODONTOLÓGICA Especificação Detalhada: Moldeira odontológica </t>
  </si>
  <si>
    <t xml:space="preserve">Moldeira Odontológica material: plástico, tipo: p/ moldagem, modelo: dentados total, tamanho: nº 6, aplicação: inferior, adulto, características adicionais: perfurada, tipo uso: autoclavável MOLDEIRA ODONTOLÓGICA Especificação Detalhada: Moldeira odontológica </t>
  </si>
  <si>
    <t xml:space="preserve">Moldeira Odontológica material: plástico, tipo: p/ moldagem, modelo: dentados total, tamanho: nº 7, aplicação: inferior, adulto, características adicionais: perfurada, tipo uso: autoclavável MOLDEIRA ODONTOLÓGICA Especificação Detalhada: Moldeira odontológica </t>
  </si>
  <si>
    <t xml:space="preserve">Moldeira Odontológica material: plástico, tipo: p/ moldagem, modelo: dentados total, tamanho: nº 8, aplicação: inferior, adulto, características adicionais: perfurada, tipo uso: autoclavável MOLDEIRA ODONTOLÓGICA Especificação Detalhada: Moldeira odontológica </t>
  </si>
  <si>
    <t>Campo Cirúrgico modelo: fenestrado, material: 100% algodão, gramatura: mínimo de 260, dimensões: cerca de 125 x 125, cor: c/ cor, esterilidade: esterilizável CAMPO CIRÚRGICO FENESTRADO EM TECIDO (ALGODÃO) Especificações Técnicas: Composição: Confeccionado em t</t>
  </si>
  <si>
    <t>Lâmina Bisturi material: aço carbono, tamanho: nº 15, tipo: descartável, esterilidade: estéril, características adicionais: embalada individualmente LÂMINA DE BISTURI EM AÇO CARBONO N.º 15 Especificações Técnicas: Material: Confeccionada em aço carbono de alta</t>
  </si>
  <si>
    <t>Sonda Trato Urinário modelo: uretral, material: pvc, calibre: 6, conector: conector padrão c/ tampa, comprimento: cerca 40, tipo ponta: ponta distal cilíndrica fechada, componentes: c/ orifícios laterais, esterilidade: estéril, descartável, embalagem: embalage</t>
  </si>
  <si>
    <t>Fralda Descartável tipo fixação: tiras ajustáveis e reposicionáveis, tamanho: infantil grande, material: tela polímerica e núcleo absorvente, revestimento externo: impermeável, característica adicional: barreira antivazamento</t>
  </si>
  <si>
    <t>Lenço Umedecido material: não tecido, dimensões: cerca de 10 x 20, componentes: c/ emoliente, isento de álcool, característica adicional: hipoalergênico, tipo uso: descartável, uso: infantil</t>
  </si>
  <si>
    <t>Luva Cirúrgica material: borracha natural - látex, superfície: superfície texturizada, formato: anatômico, pó: com pó bioabsorvível, cor: c/ cor, tamanho: nº 7,0, apresentação: em par, esterilidade: estéril, uso único, embalagem: embalagem individual</t>
  </si>
  <si>
    <t>Cateter Central aplicação: venoso, componente: kit introdutor completo, comprimento: cerca 20, conector: conectores padrão, clamp em todas vias e tampas, diâmetro: cerca 10 fr, matéria prima: poliuretano radiopaco, tipo fixação: fixação subcutânea, tipo uso: e</t>
  </si>
  <si>
    <t>Cateter Periférico aplicação: venoso, componente 1: câmara refluxo c/ filtro, componente 2: c/ sistema segurança segundo nr/32, comprimento: cerca 50, conector: conector padrão, diametro: 14, material agulha: agulha aço inox, material cateter: polímero radiopa</t>
  </si>
  <si>
    <t>Cateter Periférico aplicação: venoso, componente 1: câmara refluxo c/ filtro, componente 2: c/ sistema segurança segundo nr/32, comprimento: cerca 50, conector: conector padrão, diametro: 16, material agulha: agulha aço inox, material cateter: polímero radiopa</t>
  </si>
  <si>
    <t>Cateter Periférico aplicação: venoso, componente 1: câmara refluxo c/ filtro, componente 2: c/ sistema segurança segundo nr/32, comprimento: cerca 30, conector: conector padrão, diametro: 20, material agulha: agulha aço inox, material cateter: polímero radiopa</t>
  </si>
  <si>
    <t>Cateter Periférico aplicação: venoso, componente 1: câmara refluxo c/ filtro, componente 2: c/ sistema segurança segundo nr/32, comprimento: cerca 25, conector: conector padrão, diametro: 22, material agulha: agulha aço inox, material cateter: polímero radiopa</t>
  </si>
  <si>
    <t>Cateter Periférico aplicação: venoso, componente 1: câmara refluxo c/ filtro, componente 2: c/ sistema segurança segundo nr/32, comprimento: cerca 20, conector: conector padrão, diametro: 24, material agulha: agulha aço inox, material cateter: polímero radiopa</t>
  </si>
  <si>
    <t>Cateter Central aplicação: venoso, componente: kit introdutor completo, comprimento: cerca 20, conector: conectores padrão, clamp em todas vias e tampas, diâmetro: cerca 7 fr, lúmen: 16 a 18, matéria prima: poliuretano radiopaco, tipo fixação: fixação subcutân</t>
  </si>
  <si>
    <t xml:space="preserve">Cateter Periférico aplicação: venoso, componente 2: c/ sistema segurança segundo nr/32, componente adicional: c/ asa de fixação, tubo extensor, conector: conector padrão c/ tampa, diametro: 19, material agulha: agulha aço inox, modelo: tipo escalpe, tipo uso: </t>
  </si>
  <si>
    <t>Eletrodo Uso Médico acessório: s/ cabo, adicional 1: c/ gel condutor, aplicação 1: p/ monitorização cardíaca - ecg, esterilidade: uso único, material sensor: prata/prata clorada, modelo: de superfície, tamanhos: adulto, tipo: adesivo</t>
  </si>
  <si>
    <t>Equipo De Transfusão De Hemocomponentes comprimento tubo: até 180 cm, conector paciente: luer, câmara gotejamento: macrogotas, câmara dupla, c/ filtro, esterilidade: estéril, uso único, material: pvc transparente, regulador de fluxo manual: pinça rolete, tipo:</t>
  </si>
  <si>
    <t>Garrote apresentação: em rolo, pré cortada, embalagem dispensadora, dimensões: cerca de 2,5 x 35, material*: borracha sintética, isento de látex natural, tipo uso: uso único, tipo*: tipo fita</t>
  </si>
  <si>
    <t xml:space="preserve">Cateter Central aplicação: venoso, componente: kit introdutor completo, comprimento: cerca 55, conector: conectores padrão, clamp em todas vias e tampas, diâmetro: cerca 5 fr, matéria prima: poliuretano radiopaco, tipo implante: inserção periférica, tipo uso: </t>
  </si>
  <si>
    <t>Cateter Central aplicação: venoso, componente: kit introdutor completo, comprimento: cerca 55, conector: conectores padrão, clamp e tampa, diâmetro: cerca 4 fr, matéria prima: poliuretano radiopaco, tipo implante: inserção periférica, tipo uso: estéril, descar</t>
  </si>
  <si>
    <t>Cateter Central aplicação: venoso, componente: kit introdutor completo, comprimento: cerca 55, conector: conectores padrão, clamp e tampa, diâmetro: cerca 5 fr, matéria prima: silicone radiopaco, tipo implante: inserção periférica, tipo uso: estéril, descartáv</t>
  </si>
  <si>
    <t>Lenço Descartável aplicação: limpeza / higiene, apresentação: dupla, umedecido, características adicionais: ph balanceado, aroma suave, sachê, tira fácil, comprimento: 20, cor: branca, largura: 11, material: fibras resistentes e flexíveis, quantidade folhas: 2</t>
  </si>
  <si>
    <t>LUVA CIRÚRGICA APRESENTAÇÃO: EM PAR, COR: C/ COR, EMBALAGEM: EMBALAGEM INDIVIDUAL, ESTERILIDADE: ESTÉRIL, USO ÚNICO, FORMATO: ANATÔMICO, MATERIAL: BORRACHA NATURAL - LÁTEX, PÓ: COM PÓ BIOABSORVÍVEL, SUPERFÍCIE: SUPERFÍCIE LISA, TAMANHO: Nº 8,0</t>
  </si>
  <si>
    <t>Aspirador Cirúrgico componentes: sistema antitransbordamento, filtro bacteriológico, fluxo de aspiração: de 31 a 49 lpm, modelo: elétrico móvel, pressão de vácuo: cerca de 650 mmhg, tipo frasco: 1 frasco em plástico, volume: cerca de 3 l</t>
  </si>
  <si>
    <t>Comadre capacidade: 3.500, característica adicional: s/alça, material: aço inoxidável, tamanho: tamanho adulto padrão mundial</t>
  </si>
  <si>
    <t>Fio De Sutura Agulhado material fio: polidioxanona violeta, modelo fio: monofilamentar, diâmetro fio: 3-0, comprimento fio: cerca de 70, tipo agulha: agulha 1/2 círculo, modelo agulha: cilíndrica, comprimento agulha: cerca de 26, esterilidade: estéril, apresen</t>
  </si>
  <si>
    <t>Luva Cirúrgica material: borracha natural - látex, superfície: superfície texturizada, formato: anatômico, pó: sem pó, cor: c/ cor, tamanho: nº 8,0, apresentação: em par, esterilidade: estéril, uso único, embalagem: embalagem individual</t>
  </si>
  <si>
    <t>Luva Cirúrgica material: borracha natural - látex, superfície: superfície texturizada, formato: anatômico, pó: sem pó, cor: c/ cor, tamanho: nº 7,5, apresentação: em par, esterilidade: estéril, uso único, embalagem: embalagem individual</t>
  </si>
  <si>
    <t>Touca Hospitalar material*: não tecido 100% polipropileno, modelo: com elástico em toda volta, cor*: com cor, gramatura*: cerca de 30, tamanho*: único, tipo uso*: descartável, característica adicional 01: hipoalergênica, atóxica, inodora, unissex</t>
  </si>
  <si>
    <t xml:space="preserve">CATETER PERIFÉRICO APLICAÇÃO: VENOSO, COMPONENTE 2: C/ SISTEMA SEGURANÇA SEGUNDO NR/32, COMPONENTE ADICIONAL: C/ ASA DE FIXAÇÃO, TUBO EXTENSOR, CONECTOR: CONECTOR PADRÃO C/ TAMPA, DIAMETRO: 21, MATERIAL AGULHA: AGULHA AÇO INOX, MODELO: TIPO ESCALPE, TIPO USO: </t>
  </si>
  <si>
    <t xml:space="preserve">CATETER PERIFÉRICO APLICAÇÃO: VENOSO, COMPONENTE 2: C/ SISTEMA SEGURANÇA SEGUNDO NR/32, COMPONENTE ADICIONAL: C/ ASA DE FIXAÇÃO, TUBO EXTENSOR, CONECTOR: CONECTOR PADRÃO C/ TAMPA, DIAMETRO: 23, MATERIAL AGULHA: AGULHA AÇO INOX, MODELO: TIPO ESCALPE, TIPO USO: </t>
  </si>
  <si>
    <t xml:space="preserve">CATETER PERIFÉRICO APLICAÇÃO: VENOSO, COMPONENTE 2: C/ SISTEMA SEGURANÇA SEGUNDO NR/32, COMPONENTE ADICIONAL: C/ ASA DE FIXAÇÃO, TUBO EXTENSOR, CONECTOR: CONECTOR PADRÃO C/ TAMPA, DIAMETRO: 25, MATERIAL AGULHA: AGULHA AÇO INOX, MODELO: TIPO ESCALPE, TIPO USO: </t>
  </si>
  <si>
    <t>CATETER PERIFÉRICO APLICAÇÃO: VENOSO, COMPONENTE 1: CÂMARA REFLUXO C/ FILTRO, COMPONENTE 2: C/ SISTEMA SEGURANÇA SEGUNDO NR/32, COMPRIMENTO: CERCA 50, CONECTOR: CONECTOR PADRÃO, DIAMETRO: 14, MATERIAL AGULHA: AGULHA AÇO INOX, MATERIAL CATETER: POLÍMERO RADIOPA</t>
  </si>
  <si>
    <t>CATETER PERIFÉRICO APLICAÇÃO: VENOSO, COMPONENTE 1: CÂMARA REFLUXO C/ FILTRO, COMPONENTE 2: C/ SISTEMA SEGURANÇA SEGUNDO NR/32, COMPRIMENTO: CERCA 45, CONECTOR: CONECTOR PADRÃO, DIAMETRO: 18, MATERIAL AGULHA: AGULHA AÇO INOX, MATERIAL CATETER: POLÍMERO RADIOPA</t>
  </si>
  <si>
    <t>CATETER PERIFÉRICO APLICAÇÃO: VENOSO, COMPONENTE 1: CÂMARA REFLUXO C/ FILTRO, COMPONENTE 2: C/ SISTEMA SEGURANÇA SEGUNDO NR/32, COMPRIMENTO: CERCA 30, CONECTOR: CONECTOR PADRÃO, DIAMETRO: 20, MATERIAL AGULHA: AGULHA AÇO INOX, MATERIAL CATETER: POLÍMERO RADIOPA</t>
  </si>
  <si>
    <t>LÂMINA BISTURI CARACTERÍSTICAS ADICIONAIS: EMBALADA INDIVIDUALMENTE, ESTERILIDADE: ESTÉRIL, MATERIAL: AÇO CARBONO, TAMANHO: Nº 11, TIPO: DESCARTÁVEL</t>
  </si>
  <si>
    <t>LÂMINA BISTURI CARACTERÍSTICAS ADICIONAIS: EMBALADA INDIVIDUALMENTE, ESTERILIDADE: ESTÉRIL, MATERIAL: AÇO INOXIDÁVEL, TAMANHO: Nº 15, TIPO: DESCARTÁVEL</t>
  </si>
  <si>
    <t>LÂMINA BISTURI CARACTERÍSTICAS ADICIONAIS: EMBALADA INDIVIDUALMENTE, ESTERILIDADE: ESTÉRIL, MATERIAL: AÇO INOXIDÁVEL, TAMANHO: Nº 23, TIPO: DESCARTÁVEL</t>
  </si>
  <si>
    <t>LANCETA CARACTERÍSTICAS ADICIONAIS: ESTÉRIL, EMBALAGEM INDIVIDUAL, MATERIAL LÂMINA: AÇO INOXIDÁVEL,PONTA AFIADA,TRIFACETADA, USO: DESCARTÁVEL</t>
  </si>
  <si>
    <t>LANCETA CARACTERÍSTICAS ADICIONAIS: ESTÉRIL, EMBALAGEM INDIVIDUAL, MATERIAL LÂMINA: AÇO INOXIDÁVEL,PONTA AFIADA,TRIFACETADA, TIPO: LÂMINA REVESTIDA COM SILICONE, USO: DESCARTÁVEL</t>
  </si>
  <si>
    <t>Luva P/ Procedimento De Saúde Não Cirúrgico C/ Anvisa material: borracha natural - látex, superfície: superfície lisa, formato: ambidestra, pó: sem pó, cor: c/ cor, tamanho: médio - m, esterilidade: não estéril, uso único Luva P/ Procedimento De Saúde Não Cirú</t>
  </si>
  <si>
    <t>Fio De Sutura Agulhado material fio: poliglactina violeta, modelo fio: multifilamentar, diâmetro fio: 0 / 1-0, comprimento fio: cerca de 70, tipo agulha: agulha 3/8 círculo, modelo agulha: cortante reversa / invertida, comprimento agulha: cerca de 30, esterili</t>
  </si>
  <si>
    <t>Fio De Sutura Agulhado material fio: poliglactina violeta, modelo fio: multifilamentar, diâmetro fio: 0 / 1-0, comprimento fio: cerca de 70, tipo agulha: agulha 1/2 círculo, modelo agulha: cilíndrica robusta, comprimento agulha: cerca de 40, esterilidade: esté</t>
  </si>
  <si>
    <t>Fio De Sutura Agulhado material fio: poliglactina violeta, modelo fio: multifilamentar, diâmetro fio: 2-0, comprimento fio: cerca de 70, tipo agulha: agulha 3/8 círculo, modelo agulha: cortante reversa / invertida, comprimento agulha: cerca de 30, esterilidade</t>
  </si>
  <si>
    <t>Fio De Sutura Agulhado material fio: poliglactina violeta, modelo fio: multifilamentar, diâmetro fio: 3-0, comprimento fio: cerca de 70, tipo agulha: agulha 1/2 círculo, modelo agulha: cortante reversa / invertida, comprimento agulha: cerca de 22, esterilidade</t>
  </si>
  <si>
    <t>Fio De Sutura Agulhado material fio: poliglactina violeta, modelo fio: multifilamentar, componente fio: c/ bacteriostático / bactericida, diâmetro fio: 4-0, comprimento fio: cerca de 70, tipo agulha: agulha 1/2 círculo, modelo agulha: cilíndrica, comprimento a</t>
  </si>
  <si>
    <t>Fio De Sutura Agulhado material fio: poliglactina violeta, modelo fio: multifilamentar, diâmetro fio: 4-0, comprimento fio: cerca de 70, tipo agulha: agulha 1/2 círculo, modelo agulha: cilíndrica, comprimento agulha: cerca de 16, esterilidade: estéril, apresen</t>
  </si>
  <si>
    <t>Torneirinha modelo: manifold c/ 3 torneiras, vias: 5 vias, material*: polímero, tipo conector: luer lock / slip / valvulado, pressão máxima: até cerca de 100, componente adicional: c/ extensor e válvula antirrefluxo, comprimento: cerca de 120, calibre: cerca d</t>
  </si>
  <si>
    <t>Agulha OdontológicaMaterial: Aço Inoxidável SiliconizadoAplicação: Gengival / AnestesiaDimensão: 27G LongaTipo de Ponta: Bisel TrifacetadoConexão: Para Seringa CarpuleUso: Estéril e descartávelApresentação: Com protetor plástico e lacre; caixa com 100 unidades</t>
  </si>
  <si>
    <t>Agulha OdontológicaMaterial: Aço Inoxidável SiliconizadoAplicação: Gengival / AnestesiaDimensão: 30G CurtaTipo de Ponta: Bisel TrifacetadoConexão: Para Seringa CarpuleUso: Estéril e descartávelApresentação: Com protetor plástico e lacre; caixa com 100 unidades</t>
  </si>
  <si>
    <t>Embalagem para EsterilizaçãoMaterial: Papel grau cirúrgicoComposição: Filme polímero multilaminadoGramatura/Espessura: Cerca de 60g/m²Apresentação: EnvelopeCaracterísticas: Autosselante, com indicador químicoTamanho: Cerca de 15 X 30cmTipo de Uso: Único</t>
  </si>
  <si>
    <t>Embalagem para EsterilizaçãoMaterial: Papel grau cirúrgicoComposição: Filme polímero multilaminadoGramatura/Espessura: Cerca de 60g/m²Apresentação: EnvelopeCaracterísticas: Autosselante, com indicador químicoTamanho: Cerca de 20 X 30cmTipo de Uso: Único</t>
  </si>
  <si>
    <t>Embalagem para EsterilizaçãoMaterial: Papel grau cirúrgicoComposição: Filme polímero multilaminadoGramatura/Espessura: Cerca de 70g/m²Apresentação: EnvelopeCaracterísticas: Termosselante, com indicador químicoTamanho: Cerca de 25 X 30cmTipo de Uso: Único</t>
  </si>
  <si>
    <t>Fio de Sutura AgulhadoMaterial do Fio: Nylon/poliamida pretoModelo: MonofilamentarDiâmetro: 4-0Comprimento: Cerca de 45cmAgulha: 1/2 círculo, cortante reversa/invertidaComprimento da Agulha: Cerca de 20mmEsterilidade: EstérilApresentação: Embalagem individual;</t>
  </si>
  <si>
    <t>Fio de Sutura AgulhadoMaterial do Fio: Seda pretaModelo: MultifilamentarDiâmetro: 3-0Comprimento: Cerca de 45cmAgulha: 1/2 círculo, cilíndricaComprimento da Agulha: Cerca de 20mmEsterilidade: EstérilApresentação: Embalagem individual; caixa com 24 envelopes</t>
  </si>
  <si>
    <t>Fio de Sutura AgulhadoMaterial do Fio: Seda pretaModelo: MultifilamentarDiâmetro: 4-0Comprimento: Cerca de 45cmAgulha: 1/2 círculo, cortante reversa/invertidaComprimento da Agulha: Cerca de 20mmEsterilidade: EstérilApresentação: Embalagem individual; caixa com</t>
  </si>
  <si>
    <t>Lâmina de BisturiTamanho: Nº 15CMaterial: Aço inoxidávelTipo: DescartávelEsterilidade: EstérilCaracterísticas Adicionais: Embalada individualmenteApresentação: Caixa com 100 lâminas</t>
  </si>
  <si>
    <t>Lençol de Borracha Pré-CortadoMaterial: Látex naturalDimensão: Cerca de 14 X 14cmAplicação: Isolamento dental, dique de borrachaTipo de Uso: Único, descartávelApresentação: Caixa com 26 unidades</t>
  </si>
  <si>
    <t>Seringa OdontológicaMaterial: Aço inoxidávelTipo de Uso: AutoclavávelCapacidade: 1,80mlCaracterísticas Adicionais: RetrocargaTipo: CarpuleAplicação: Refluxo tradicional</t>
  </si>
  <si>
    <t>Prope - Sapatilha descartaveis -Prope descartavel (protetor de calcado) confeccionado em material nao tecido (TNT), leve e resistente, de uso unico. Projetado para cobrir os calcados, evitando a contaminacao cruzada e mantendo a higiene em ambientes controlado</t>
  </si>
  <si>
    <t>Mascara Cirurgica Tripla descartavelMascara cirurgica tripla camada, confeccionada em tecido nao tecido (TNT), com camada externa e interna de polipropileno e camada intermediaria com barreira filtrante de alta eficiencia (melt blown), que atua como filtro bac</t>
  </si>
  <si>
    <t>Mascara Respiratoria PFF2 - N95 - Classe 2 - DescartavelMascara respiratoria PFF2 (Peca Facial Filtrante - Classe 2), de uso individual e nao reutilizavel (descartavel), projetada para protecao das vias respiratorias contra aerossois solidos e liquidos, inclui</t>
  </si>
  <si>
    <t>Touca descartavel sanfonadaTouca descartavel sanfonada, confeccionada em tecido nao tecido (TNT) 100% polipropileno, material leve, resistente e confortavel, garantindo protecao, higiene e assepsia em ambientes controlados. Produto nao esteril, atoxico, hipoal</t>
  </si>
  <si>
    <t>Lâmina Bisturi material: aço inoxidável, tamanho: nº 20, tipo: descartável, esterilidade: estéril, características adicionais: embalada individualmente</t>
  </si>
  <si>
    <t>Lâmina Bisturi material: aço inoxidável, tamanho: nº 21, tipo: descartável, esterilidade: estéril, características adicionais: embalada individualmente</t>
  </si>
  <si>
    <t>Lâmina Bisturi material: aço inoxidável, tamanho: nº 24, tipo: descartável, esterilidade: estéril, características adicionais: embalada individualmente</t>
  </si>
  <si>
    <t>Circuito Respiratório material: silicone, modelo: c/ 3 traqueias, diâmetro traqueia: cerca de 22, comprimento traqueia: cerca de 150, 150, 100, conector: c/ conector "y", dreno coletor de água: sem dreno, linha adicional: sem linha, componente adicional: c/ ba</t>
  </si>
  <si>
    <t>Agulha Coleta Sangue À Vácuo dimensão: 25 g x 1 1/2", material: aço inoxidável siliconizado, tipo conexão: conector luer lock em plástico, tipo fixação: protetor plástico, tipo ponta: bisel curto trifacetado, uso: estéril, descartável, embalagem individual</t>
  </si>
  <si>
    <t>Fralda Descartável tipo fixação: tiras ajustáveis e reposicionáveis, tamanho: infantil médio, material: tela polímerica e núcleo absorvente, revestimento externo: impermeável, característica adicional: p/ fluxo intenso / noturno, barreira antivazamento</t>
  </si>
  <si>
    <t>Espéculo Uso Médico aplicação: vaginal, modelo: collin, tamanho: pequeno, adicional 2: c/ ducto aspirador, travamento: c/ trava tipo rosca, material: polímero, esterilidade: estéril, uso único, embalagem: embalagem individual</t>
  </si>
  <si>
    <t xml:space="preserve">Cateter Central aplicação: venoso, componente: kit introdutor completo, componente ii: revestido c/ antimicrobiano/antifúngico, comprimento: cerca 55, conector: conectores padrão, clamp e tampa, diâmetro: cerca 4 fr, matéria prima: poliuretano radiopaco, tipo </t>
  </si>
  <si>
    <t xml:space="preserve">Eletrodo Uso Médico aplicação 1: p/ monitorização cardíaca - ecg, modelo: de superfície, tipo: precordial c/ pera, material sensor: banhado a prata e látex natural, tamanhos: adulto, acessório: s/ cabo, esterilidade: reutilizável Especificações conforme Termo </t>
  </si>
  <si>
    <t>Dreno Cirúrgico modelo: de penrose, material: borracha, dimensões: cerca de 8 mm x 30, tipo uso: estéril, descartável, embalagem: embalagem individual Especificações conforme Termo de Referência.</t>
  </si>
  <si>
    <t>Sonda Trato Urinário modelo: foley, material: silicone, calibre: 22, vias: 3 vias, conector: conectores padrão, volume: c/ balão cerca 30, tipo ponta: ponta distal cilíndrica fechada, componentes: c/ orifícios laterais, esterilidade: estéril, descartável, emba</t>
  </si>
  <si>
    <t>FRALDA DESCARTÁVEL INFANTIL TAMANHO G Para crianças com peso de 10 a 13 kg- pacote com no mínimo 46 fraldas a fralda deverá possuir formato anatômico, ultra seca, camada interna de gel com alto poder de absorção, barreira contra vazamentos e no mínimo três fio</t>
  </si>
  <si>
    <t>FRALDA DESCARTÁVEL INFANTIL TAMANHO XG Para crianças com peso de 11 a 15 kg- pacote com no mínimo 40 fraldas a fralda deverá possuir formato anatômico, ultra seca, camada interna de gel com alto poder de absorção, barreira contra vazamentos e no mínimo três fi</t>
  </si>
  <si>
    <t>FRALDA GERIÁTRICA P PARA CRIANÇAS CADEIRANTE Capacidade de uso 30 A 40KG, PACOTE COM 10 FRALDAS. A fralda deverá possuir formato anatômico, ultra seca, camada interna de gel com alto poder de absorção, barreira contra vazamentos e no mínimo três fios de elásti</t>
  </si>
  <si>
    <t>LUVAS DE PROCEDIMENTO (M) As luvas de procedimento fabricadas em látex de borracha 100% natural representam um dos Equipamentos de Proteção Individual (EPI) mais utilizados em ambientes médico-hospitalares, odontológicos e estéticos. Sua principal característi</t>
  </si>
  <si>
    <t>LUVAS DE PROCEDIMENTO (G) Luvas de procedimento fabricadas em látex de borracha 100% natural para o tamanho grande (G) mantêm as propriedades de alta elasticidade e sensibilidade tátil, sendo projetadas para oferecer conforto a usuários com mãos maiores sem co</t>
  </si>
  <si>
    <t xml:space="preserve">Fio De Sutura Agulhado material fio: poliglactina incolor, modelo fio: multifilamentar, componente fio: rápida absorção, diâmetro fio: 4-0, comprimento fio: cerca de 70, tipo agulha: agulha 1/2 círculo, modelo agulha: cortante reversa / invertida, comprimento </t>
  </si>
  <si>
    <t>Fio De Sutura Agulhado material fio: nylon / poliamida preto, modelo fio: monofilamentar, diâmetro fio: 5-0, comprimento fio: cerca de 70, tipo agulha: agulha 1/2 círculo, modelo agulha: cilíndrica, comprimento agulha: cerca de 20, esterilidade: estéril, apres</t>
  </si>
  <si>
    <t>Campo Cirúrgico Descartável modelo: fenestrado, material: não tecido polipropileno sms c/ lâmina polietileno, propriedade: hidrorepelente e impermeável, reforço: s/ reforço, fixação: adesiva, dimensões: cerca de 150 x 200, cor: c/ cor, esterilidade: estéril</t>
  </si>
  <si>
    <t>Coletor De Resíduos De Serviço De Saúde tipo de resíduo: grupo e - resíduo perfurocortante tóxico, tipo risco: risco químico, capacidade: cerca de 7, material: caixa de plástico rígida, fechamento: c/ vedação, uso: uso único</t>
  </si>
  <si>
    <t>Sonda Trato Urinário modelo: foley, material: silicone, calibre: 18, vias: 2 vias, conector: conectores padrão, volume: c/ balão cerca 5, tipo ponta: ponta distal cilíndrica fechada, componentes: c/ orifícios laterais, esterilidade: estéril, descartável, embal</t>
  </si>
  <si>
    <t>Cateter Aspiração Traqueal material: pvc atóxico flexível, tipo lubrificação: siliconizada, espessura: nº 12, acessórios: com válvula intermitente, características adicionais: ponta atraumática, orifícios distais lateralizados, tipo embalagem: estéril, embalag</t>
  </si>
  <si>
    <t>FRALDA GERIÁTRICA DESCARTÁVEL Modelo: tipo calcinha descartável (pull-up), para vestir e retirar como roupa íntima convencional. Tamanho M. Para incontinência urinária moderada a severa, com design anatômico e cintura elástica respirável. Design anatômico, ada</t>
  </si>
  <si>
    <t>Curativo / Cobertura aplicação: p/ ferida, aspecto físico: frasco c/ gel, composição: à base de hidrogel, componente 2: c/ alginato, esterilidade: estéril</t>
  </si>
  <si>
    <t>Circuito Respiratório material: silicone, modelo: c/ 2 traqueias, diâmetro traqueia: cerca de 22, comprimento traqueia: cerca de 300, 300, conector: c/ conector "y", dreno coletor de água: sem dreno, linha adicional: sem linha, esterilidade: esterilizável Circ</t>
  </si>
  <si>
    <t xml:space="preserve">Transdutor Uso Médico compatível: p/ ultrassom, aplicação: intra operatório, modelo: multifrequêncial de banda larga, formato: linear, faixa freqüência: c/ faixa frequência ajustável, componente adicional: c/ cabo Transdutor convexo C5-1s, Banda de frequência </t>
  </si>
  <si>
    <t xml:space="preserve">Transdutor Uso Médico compatível: p/ ultrassom, aplicação: intra operatório, modelo: multifrequêncial de banda larga, formato: linear, faixa freqüência: c/ faixa frequência ajustável, componente adicional: c/ cabo Transdutor Micro convexo, Banda de frequência </t>
  </si>
  <si>
    <t>Transdutor Uso Médico compatível: p/ ultrassom, aplicação: intra operatório, modelo: multifrequêncial de banda larga, formato: linear, faixa freqüência: c/ faixa frequência ajustável, componente adicional: c/ cabo Transdutor Endocavitário V11-3s, Banda de freq</t>
  </si>
  <si>
    <t>Transdutor Uso Médico compatível: p/ ultrassom, aplicação: intra operatório, modelo: multifrequêncial de banda larga, formato: linear, faixa freqüência: c/ faixa frequência ajustável, componente adicional: c/ cabo Transdutor Linear L9-3s, Banda de frequência 2</t>
  </si>
  <si>
    <t>Transdutor Uso Médico compatível: p/ ultrassom, aplicação: intra operatório, modelo: multifrequêncial de banda larga, formato: linear, faixa freqüência: c/ faixa frequência ajustável, componente adicional: c/ cabo Transdutor Linear L13-3Ns, Banda de frequência</t>
  </si>
  <si>
    <t>Transdutor Uso Médico compatível: p/ ultrassom, aplicação: intra operatório, modelo: multifrequêncial de banda larga, formato: linear, faixa freqüência: c/ faixa frequência ajustável, componente adicional: c/ cabo Transdutor Linear L14-6Ns, Banda de frequência</t>
  </si>
  <si>
    <t>Transdutor Uso Médico compatível: p/ ultrassom, aplicação: intra operatório, modelo: multifrequêncial de banda larga, formato: linear, faixa freqüência: c/ faixa frequência ajustável, componente adicional: c/ cabo Transdutor Linear Intraoperatório L16-4Hs, Ban</t>
  </si>
  <si>
    <t>Transdutor Uso Médico compatível: p/ ultrassom, aplicação: intra operatório, modelo: multifrequêncial de banda larga, formato: linear, faixa freqüência: c/ faixa frequência ajustável, componente adicional: c/ cabo Transdutor Setorial Adulto P4-2s, Banda de fre</t>
  </si>
  <si>
    <t xml:space="preserve">Transdutor Uso Médico compatível: p/ ultrassom, aplicação: intra operatório, modelo: multifrequêncial de banda larga, formato: linear, faixa freqüência: c/ faixa frequência ajustável, componente adicional: c/ cabo Transdutor Linear L20-5s, Banda de frequência </t>
  </si>
  <si>
    <t>Transdutor Uso Médico compatível: p/ ultrassom, aplicação: intra operatório, modelo: multifrequêncial de banda larga, formato: linear, faixa freqüência: c/ faixa frequência ajustável, componente adicional: c/ cabo Transdutor Setorial Pediátrico P4-2s, Banda de</t>
  </si>
  <si>
    <t xml:space="preserve">Transdutor Uso Médico compatível: p/ ultrassom, aplicação: intra operatório, modelo: multifrequêncial de banda larga, formato: linear, faixa freqüência: c/ faixa frequência ajustável, componente adicional: c/ cabo Transdutor Setorial Neonatal P10-4s, Banda de </t>
  </si>
  <si>
    <t>Transdutor Uso Médico compatível: p/ ultrassom, aplicação: intra operatório, modelo: multifrequêncial de banda larga, formato: linear, faixa freqüência: c/ faixa frequência ajustável, componente adicional: c/ cabo Transdutor Convexo 3C5A, Banda de frequência 1</t>
  </si>
  <si>
    <t>Transdutor Uso Médico compatível: p/ ultrassom, aplicação: intra operatório, modelo: multifrequêncial de banda larga, formato: linear, faixa freqüência: c/ faixa frequência ajustável, componente adicional: c/ cabo Transdutor Micro convexo C11-3, Banda de frequ</t>
  </si>
  <si>
    <t>Transdutor Uso Médico compatível: p/ ultrassom, aplicação: intra operatório, modelo: multifrequêncial de banda larga, formato: linear, faixa freqüência: c/ faixa frequência ajustável, componente adicional: c/ cabo Transdutor Linear L13-3, Banda de frequência 3</t>
  </si>
  <si>
    <t>Transdutor Uso Médico compatível: p/ ultrassom, aplicação: intra operatório, modelo: multifrequêncial de banda larga, formato: linear, faixa freqüência: c/ faixa frequência ajustável, componente adicional: c/ cabo Transdutor Setorial Adulto P4-2, Banda de freq</t>
  </si>
  <si>
    <t xml:space="preserve">Transdutor Uso Médico compatível: p/ ultrassom, aplicação: intra operatório, modelo: multifrequêncial de banda larga, formato: linear, faixa freqüência: c/ faixa frequência ajustável, componente adicional: c/ cabo Transdutor Setorial Pediátrico P8-2, Banda de </t>
  </si>
  <si>
    <t>Transdutor Uso Médico compatível: p/ ultrassom, aplicação: intra operatório, modelo: multifrequêncial de banda larga, formato: linear, faixa freqüência: c/ faixa frequência ajustável, componente adicional: c/ cabo Transdutor Setorial Neonatal P10-4, Banda de f</t>
  </si>
  <si>
    <t>Transdutor Uso Médico compatível: p/ ultrassom, aplicação: intra operatório, modelo: multifrequêncial de banda larga, formato: linear, faixa freqüência: c/ faixa frequência ajustável, componente adicional: c/ cabo Transdutor Endocavitário V10-4, Banda de frequ</t>
  </si>
  <si>
    <t>Campo Cirúrgico Descartável cor: c/ cor, dimensões: cerca de 150 x 200, esterilidade: estéril, fixação: adesiva, material: não tecido polipropileno sms c/ lâmina polietileno, modelo: fenestrado, propriedade: hidrorepelente e impermeável, reforço: s/ reforço</t>
  </si>
  <si>
    <t>Campo Cirúrgico Descartável cor: c/ cor, dimensões: cerca de 75 x 75, esterilidade: estéril, material: não tecido 100% polipropileno - tipo sms, modelo: fenestrado, propriedade: hidrorepelente, reforço: s/ reforço</t>
  </si>
  <si>
    <t>Campo Cirúrgico Descartável cor: c/ cor, dimensões: cerca de 150 x 150, esterilidade: estéril, fixação: adesiva, material: não tecido 100% polipropileno - tipo sms, propriedade: hidrorepelente, reforço: c/ reforço absorvente</t>
  </si>
  <si>
    <t>Indicador Químico apresentação: fita adesiva, características adicionais: para esterilização a vapor, classe: classe i, tipo uso: externo</t>
  </si>
  <si>
    <t>Fixador P/ Dispositivo Médico aplicação: p/ tubo endotraqueal, componente: c/ velcro ajustável, componente adicional: c/ presilha de fixação, embalagem: embalagem individual, material: tira adesiva, tamanho: adulto, tipo uso: uso único</t>
  </si>
  <si>
    <t>Indicador Químico apresentação: cartão para teste, características adicionais: para esterilização a vapor, classe: classe ii, componentes adicionais: indicador de processo, tipo: bowie dick, tipo uso: interno</t>
  </si>
  <si>
    <t>Indicador Químico apresentação: tira de papel, características adicionais: para esterilização a vapor, classe: classe v, tipo: integrador, tipo uso: interno</t>
  </si>
  <si>
    <t>Indicador Biológico aplicação: para esterilização a vapor, apresentação: autocontido, ampola com meio de cultura, características adicionais: resposta em 3 horas, espécie: bacillus stearothermophillus, tipo: terceira geração</t>
  </si>
  <si>
    <t>Curativo / Cobertura aplicação: p/ ferida, aspecto físico: placa c/ borda, composição: à base de hidrocolóide, componente 1: c/ película e espuma pu, componente 2: c/ alginato, dimensão: cerca de 10 x 10, esterilidade: estéril</t>
  </si>
  <si>
    <t>Curativo / Cobertura aplicação: p/ ferida, aspecto físico: placa c/ borda, composição: à base de hidrocolóide, dimensão: cerca de 15 x 15, esterilidade: estéril</t>
  </si>
  <si>
    <t>Curativo / Cobertura aplicação: p/ ferida, aspecto físico: placa c/ borda, composição: à base de hidrocolóide, dimensão: cerca de 10 x 10, esterilidade: estéril</t>
  </si>
  <si>
    <t>Lenço Descartável material: polipropileno e celulose, aplicação: removedor de adesivo, apresentação: embalagem individual</t>
  </si>
  <si>
    <t>MÁSCARA PROTEÇÃO RESP. C/ ANVISA ADICIONAL 2: S/ VÁLVULA, CLASSE: PFF2, N95 OU EQUIVALENTE, COMPONENTE: CLIPE NASAL, COR: C/ COR, ESTERILIDADE: DESCARTÁVEL, FILTRO: EFICIÊNCIA FILTRAÇÃO MÍN. 94% S, MATERIAL: CAMADAS FIBRAS SINTÉTICAS, MODELO: RESPIRADOR DOBRÁV</t>
  </si>
  <si>
    <t>AGULHA HIPODERMICA DESCARTAVEL 40X12 (CAIXA COM 100 UNIDADES)</t>
  </si>
  <si>
    <t>AGULHA HIPODERMICA DESCARTAVE 30 X 8 (CAIXA COM 100 UNIDADES)</t>
  </si>
  <si>
    <t>AGULHA HIPODÉRMICA DESCARTAVE 13 X 4,5 (CAIXA COM 100 UNIDADES)</t>
  </si>
  <si>
    <t>CAIXA PERFUROCORTANTE - RECIPIENTE RÍGIDO E RESISTENTE À PERFURAÇÃO DESTINADO AO DESCARTE SEGURO DE MATERIAIS PERFUROCORTANTES.</t>
  </si>
  <si>
    <t>CATETER INTRAVENOSO,VIALON OU POLIURETANO, 16 G, PERIFÉRICO, SILICONIZADO, CÂMARA REFLUXO, TAMPA PROTETORA, DESCARTÁVEL, ESTÉRIL, RADIOPACO, AG. AÇO INOX, BISEL CURTO, TRIFACETADO.</t>
  </si>
  <si>
    <t>CATETER INTRAVENOSO, POLIURETANO OCRILON, 18 G, PERIFÉRICO, CURTO, SISTEMA SEGURANÇA, AGULHA ELETROPULIDA, DESCARTÁVEL, ESTÉRIL, RADIOPACO, EMBALAGEM ABERTURA ASSÉPTICA.</t>
  </si>
  <si>
    <t>CATETER INTRAVENOSO, VIALON OU POLIURETANO, 20 G, PERIFÉRICO, SILICONIZADO, CÂMARA REFLUXO, TAMPA PROTETORA, DESCARTÁVEL, ESTÉRIL, RADIOPACO, AG. AÇO INOX, BISEL CURTO, TRIFACETADO.</t>
  </si>
  <si>
    <t>CATETER INTRAVENOSO, VIALON OU POLIURETANO, 22 G, PERIFÉRICO, SILICONIZADO, CÂMARA REFLUXO, TAMPA PROTETORA, DESCATÁVEL, ESTÉRIL, RADIOPACO,AG. AÇO INOX, BISEL CURTO, TRIFACETADO.</t>
  </si>
  <si>
    <t>CATETER TIPO ÓCULOS ADULTO 12 - DISPOSITIVO PARA ADMINISTRAÇÃO DE OXIGÊNIO POR VIA NASAL EM PACIENTES ADULTOS. ESPECIFICAÇÃO DO CALIBRE/TAMANHO A CONFIRMAR CONFORME FABRICANTE.</t>
  </si>
  <si>
    <t>CATETER NASAL, TIPO ÓCULOS PARA OXIGENOTERAPIA, EM SILICONE.</t>
  </si>
  <si>
    <t>CATETER TIPO ÓCULOS 08 - DISPOSITIVO PARA ADMINISTRAÇÃO DE OXIGÊNIO POR VIA NASAL. ESPECIFICAÇÃO DO CALIBRE/TAMANHO A CONFIRMAR CONFORME FABRICANTE.</t>
  </si>
  <si>
    <t>COLETOR UNIVERSAL DE URINA</t>
  </si>
  <si>
    <t>COLETOR DE URINA, PLÁSTICO, SISTEMA FECHADO, ADULTO, CERCA DE 1500 ML, GRADUAÇÃO DE 100 EM 100 ML, CLAMP CORTA FLUXO, ALÇA DE SUSTENTAÇÃO, MEMBRANA AUTOCICRATIZANTE, ESTÉRIL, DESCARTÁVEL</t>
  </si>
  <si>
    <t>COLETOR DE URINA INFANTIL UNISSEX - PACOTE COM 10 UNIDADES</t>
  </si>
  <si>
    <t>COLETOR PARA MATERIAL PERFUROCORTANTE 20 LITROS</t>
  </si>
  <si>
    <t>COLETOR PARA MATERIAL PERFUROCORTANTE 3 LITROS. COLETOR URINA, UNISSEX, PLÁSTICO, ESTÉRIL, GRADUADO, ADESIVO HIPO-ALÉRGICO, QUE NÃO DEIXA RESÍDUOS.</t>
  </si>
  <si>
    <t>COMPRESSA DE GAZE ESTÉRIL- DESCARTÁVEL.</t>
  </si>
  <si>
    <t>COMPRESSA DE GAZE HIDRÓFILA 100% ALGODÃO - NÃO ESTÉRIL, 8 CAMADAS, 5 DOBRAS. PACOTE COM 500 UNIDADES.</t>
  </si>
  <si>
    <t>CLAMP, PVC RÍGIDO, UMBILICAL, ATÓXICO, HIPOALERGÊNICO, DESCARTÁVEL, EMBALAGEM INDIVIDUAL.</t>
  </si>
  <si>
    <t>EQUIPO BOMBA INFUSORA, PARENTERAL, PVC CRISTAL, CÂMARA FLEXIVEL C/ FILTRO AR, GOTA PADRÃO, REGULADOR DE FLUXO, INJETOR LATERAL Y, AUTOCICRATIZANTE, LUER ROTATIVO C/ TAMPA, PERISTÁLTICA LINEAR.</t>
  </si>
  <si>
    <t>EQUIPO MACROGOTAS COMPLETO DESCARTÁVEL.</t>
  </si>
  <si>
    <t>ESPARADRAPO MICROPORE. 100MM X 4,5M.</t>
  </si>
  <si>
    <t>ESPARADRAPO, 10 CM X 4,5 M, IMPERMEÁVEL, EXTRA FLEXÍVEL, MASSA ADESIVA ZINO, RESISTENTE, BRANCA, TECIDO DE ALGODÃO P.</t>
  </si>
  <si>
    <t>ESPARADRAPO DE SEDA - FITA ADESIVA HOSPITALAR UTILIZADA PARA FIXAÇÃO DE CURATIVOS, SONDAS, CATETERES E OUTROS DISPOSITIVOS.</t>
  </si>
  <si>
    <t>ESPÁTULA USO MÉDICO, MADEIRA, 18 CM, AYRES.</t>
  </si>
  <si>
    <t>ESPÉCULO, POLIESTIRENO, VAGINAL, GRANDE, C/ LUBRIFICAÇÃO , ESTÉRIL, DESCARTÁVEL, EMBALAGEMINDIVIDUAL.</t>
  </si>
  <si>
    <t>ESPÉCULO, POLIETILENO, VAGINAL, MÉDIO, C/ LUBRIFICAÇÃO, ESTÉRIL, DESCARTÁVEL, EMBALAGEM INDIVIDUAL.</t>
  </si>
  <si>
    <t>ESPÉCULO, POLIETILENO, VAGINAL, PEQUENO, C/ LUBRIFICAÇÃO, ESTÉRIL, DESCARTÁVEL, EMBALAGEM INDIVIDUAL.</t>
  </si>
  <si>
    <t>FIO SUTURA, NYLON MONOFILAMENTO, 2-0, INCOLOR, 70 CM, COM AGULHA, 3/8 CÍRCULO CILÍNDRICA 2,0 CM, ESTÉRIL. CAIXA COM 24 UNIDADES</t>
  </si>
  <si>
    <t>FIO DE SUTURA, NYLON MONOFILAMENTO, 3-0, PRETA, 45 CM, COM AGULHA, 1/2 CÍRCULO CORTANTE ESTRIADA, 2,4 CM, ESTÉRIL.</t>
  </si>
  <si>
    <t>FIO DE SUTURA, NYLON MONOFILAMENTO, 4-0, INCOLOR, 45 CM, COM AGULHA, 1/2 CÍRCULOCORTANTE, 1,50 CM, ESTÉRIL.</t>
  </si>
  <si>
    <t>FIO DE SUTURA, NYLON MONOFILAMENTO, 5-0, INCOLOR, 45 CM, COM AGULHA, 1/2 CÍRCULO CORTANTE, 1,50 CM, ESTÉRIL.</t>
  </si>
  <si>
    <t>FITA ADESIVA PARA AUTOCLAVE 19MM X 30 METROS</t>
  </si>
  <si>
    <t>FITA P/ AUTOCLAVE 19MMX30M. COMPOSIÇÃO: PAPEL CREPADO, TINTA TERMO-REATIVA, ADESIVO A BASE DE BORRACHA E RESINA. O ADESIVO DEVERÁ SER CAPAZ DE FIXAR BEM QUANDO COLOCADO. EMBALADA INDIVIDUALMENTE.</t>
  </si>
  <si>
    <t>GARROTE, TECIDO ELÁSTICO BRANCO, 60 CM, AUTO-TRAVA, REGULAGEM DE TENSÃO AUTOMÁTICA.</t>
  </si>
  <si>
    <t>GEL CONDUTOR, P/ ULTRASSONOGRÁFIA. GEL CONDUTOR, P/ ULTRASSONOGRÁFIA.</t>
  </si>
  <si>
    <t>LÂMINA BISTURI, AÇO CARBONO, Nº 12, DESCARTÁVEL, ESTÉRIL, EMBALADA INDIVIDUALMENTE.</t>
  </si>
  <si>
    <t>LÂMINA BISTURI, AÇO CARBONO, Nº 15, DESCARTÁVEL, ESTÉRIL, EMBALADA INDIVIDUALMENTE.</t>
  </si>
  <si>
    <t>LÂMINA BISTURI, AÇO CARBONO, Nº 23, DESCARTÁVEL,ESTÉRIL. CAIXA COM 100 UNIDADES.</t>
  </si>
  <si>
    <t>LÂMINA BISTURI, AÇO CARBONO, Nº 24, DESCARTÁVEL, ESTÉRIL, EMBALADA INDIVDUALMENTE.</t>
  </si>
  <si>
    <t>LANCETAS - ESPESSURA ULTRAFINA: 28G, COM PONTA TRIANGULAR - CAIXA COM 100</t>
  </si>
  <si>
    <t>LENÇOL DE PAPEL PARA CAMA MEDINDO 70 CM DE LARGURA X 50 METROS DE COMPRIMENTO, NÃO ESTÉRIL, COR BRANCA, RESISTENTE E UNIFORME EM TODA EXTENSÃO, COM BORDA SEM REBARBAS. GARANTIA DE 12 (DOZE) MESES A PARTIR DA DATA DE ACEITE. REGISTRO NA ANVISA/MINISTÉRIO DA SAÚ</t>
  </si>
  <si>
    <t>LUVA CIRÚRGICA 7.0 - ESTÉRIL, DESTINADA Á PROCEDIMENTOS CIRÚRGICOS E INVASIVOS.</t>
  </si>
  <si>
    <t>LUVA CIRÚRGICA 7.5 - ESTÉRIL, DESTINADA Á PROCEDIMENTOS CIRÚRGICOS E INVASIVOS.</t>
  </si>
  <si>
    <t>LUVA CIRÚRGICA 8.0 - ESTÉRIL, DESTINADA Á PROCEDIMENTOS CIRÚRGICOS E INVASIVOS.</t>
  </si>
  <si>
    <t>LUVA CIRÚRGICA 8.5 - ESTÉRIL, DESTINADA Á PROCEDIMENTOS CIRÚRGICOS E INVASIVOS.</t>
  </si>
  <si>
    <t>MÁSCARA DE OXIGÊNIO ADULTO VENTURI - COM TUBO CORRUGADO 6 DILUIDORES COLORIDO.</t>
  </si>
  <si>
    <t>MÁSCARA DE OXIGÊNIO INFANTIL VENTURI - COM TUBO CORRUGADO 6 DILUIDORES COLORIDO.</t>
  </si>
  <si>
    <t xml:space="preserve">PAPEL GRAU CIRÚRGICO, MEDINDO 10CM X 100M, GRAMATURA MÍNIMA 60G/M², EM POLIÉSTER E POLIPROPILENO LAMINADO, COM REAGENTE (TINTA) INDICATIVO DE ESTERILIZAÇÃO A VAPOR. APLICAÇÃO:ESTERILIZAÇÃO DE INSTRUMENTAL CIRÚRGICO. DEVE POSSUIR REGISTRO DA ANVISA/ MINISTÉRIO </t>
  </si>
  <si>
    <t xml:space="preserve">PAPEL GRAU CIRÚRGICO, MEDINDO 15CM X 100M, GRAMATURA MÍNIMA 60G/M², EM POLIÉSTER E POLIPROPILENO LAMINADO, COM REAGENTE (TINTA) INDICATIVO DE ESTERILIZAÇÃO A VAPOR. APLICAÇÃO:ESTERILIZAÇÃO DE INSTRUMENTAL CIRÚRGICO. DEVE POSSUIR REGISTRO DA ANVISA/ MINISTÉRIO </t>
  </si>
  <si>
    <t xml:space="preserve">PAPEL GRAU CIRÚRGICO, MEDINDO 20CM X 100M, GRAMATURA MÍNIMA 60G/M², EM POLIÉSTER E POLIPROPILENO LAMINADO, COM REAGENTE (TINTA) INDICATIVO DE ESTERILIZAÇÃO A VAPOR. APLICAÇÃO:ESTERILIZAÇÃO DE INSTRUMENTAL CIRÚRGICO. DEVE POSSUIR REGISTRO DA ANVISA/ MINISTÉRIO </t>
  </si>
  <si>
    <t>PAPEL GRAU CIRÚRGICO, MEDINDO 30CM X 100M, GRAMATURA MÍNIMA 60G/M², EM POLIÉSTER E POLIPROPILENO LAMINADO, COM REAGENTE (TINTA) INDICATIVO DE ESTERILIZAÇÃO A VAPOR. APLICAÇÃO: ESTERILIZAÇÃO DE INSTRUMENTAL CIRÚRGICO. DEVE POSSUIR REGISTRO DA ANVISA/ MINISTÉRIO</t>
  </si>
  <si>
    <t>SERINGA DE INSULINA DESCARTÁVEL, COM GRADUAÇÃO ESPECÍFICA PARA ADMINISTRAÇÃO DE INSULINA POR VIA SUBCUTÂNEA.</t>
  </si>
  <si>
    <t>SERINGA, POLIPROPILENO TRANSPARENTE, 1 ML, BICO CENTRAL SIMPLES OU LUER LOCK, ÊMBOLO C/ROLHA BORRACHA, IMPRESSÃO LEGÍVEL E PERMANENTE, GRADUAÇÃO MÁXIMA 0,2 EM 0,2 ML, NUMERADA, C/AGULHA 13X0,4. Cx c/ 100 UND</t>
  </si>
  <si>
    <t>SERINGA, POLIPROPILENO TRANSPARENTE, 10 ML, BICO CENTRAL SIMPLES OU LUER LOCK, ÊMBOLO C/ROLHA BORRACHA, IMPRESSÃO LEGÍVEL E PERMANENTE, GRADUAÇÃO MÁXIMA 0,2 EM 0,2 ML, NUMERADA, C/ AGULHA 25 X. Cx c/ 100 UND</t>
  </si>
  <si>
    <t>SERINGA, POLIPROPILENO TRANSPARENTE, 20 ML, BICO CENTRAL SIMPLES OU LUER LOCK, ÊMBOLO C/ROLHA BORRACHA, IMPRESSÃO LEGÍVEL E PERMANENTE, GRADUAÇÃO MÁXIMA 0,2 EM 0,2 ML, NUMERADA, C/AGULHA 25 X. Cx c/ 100 UND</t>
  </si>
  <si>
    <t>SERINGA, POLIPROPILENO TRANSPARENTE, 3 ML, BICO CENTRAL SIMPLES OU LUER LOCK, ÊMBOLO C/ROLHA BORRACHA, IMPRESSÃO LEGÍVEL E PERMANENTE, GRADUAÇÃO MÁXIMA 0,2 EM 0,2 ML, NUMERADA, C/ AGULHA 25 X 0. Cx c/ 100 UND</t>
  </si>
  <si>
    <t>SERINGA, POLIPROPILENO TRANSPARENTE, 5 ML, BICO SIMPLES, ÊMBOLO TOTALMENTE PLÁSTICO, RESISTENTE Á CORROSÃO, SEM GRADUAÇÃO, DESCARTÁVEL, ESTÉRIL. CX c/ 100 UND.</t>
  </si>
  <si>
    <t>SONDA NASOGÁSTRICA, PVC FLEXÍVEL, CURTA, C/ORIFÍCIO NA EXTREMIDADE DISTAL, Nº14, ATÓXICA, ATRAUMÁTICA, ESTÉRIL E DESCARTÁVEL, SILICONIZADA, EMBALAGEM INDIVIDUAL (MS).</t>
  </si>
  <si>
    <t>SONDA NASOGASTRICA LONGA Nº 12. PACOTE COM 10 UNIDADES.</t>
  </si>
  <si>
    <t>SONDA NASOGÁSTRICA LONGA Nº18 PACOTE COM 10 UNIDADES.</t>
  </si>
  <si>
    <t>SONDA NASOGASTRICA LONGA 14 PACOTE COM 10 UNIDADES.</t>
  </si>
  <si>
    <t>SONDA NASOGASTRICA LONGA 06, PACOTE COM 10 UNIDADES.</t>
  </si>
  <si>
    <t>SONDA NASOGASTRICA LONGA 08 PACOTE COM 10 UNIDADES.</t>
  </si>
  <si>
    <t>SONDA NASOGASTRICA LONGA 04 PACOTE COM 10 UNIDADE S.</t>
  </si>
  <si>
    <t>SONDA URETRAL, NELATON ATÓXICO, Nº 4, COM ORIFÍCIO ÚNICO DISTAL, SILICONIZADA, DESCARTÁVEL, ESTÉRIL, APIROGÊNICA.</t>
  </si>
  <si>
    <t>SONDA URETRAL, NELATON ATÓXICO, Nº 6, COM ORIFÍCIO ÚNICO DISTAL, SILICONIZADA, DESCARTÁVEL, ESTÉRIL, APIROGÊNICA.</t>
  </si>
  <si>
    <t>SONDA URETRAL Nº 8, PACOTE COM 100</t>
  </si>
  <si>
    <t>SONDA URETRAL, NELATON ATÓXICO, Nº 10, COM ORIFÍCIO ÚNICO DISTAL, SILICONIZADA, DESCARTÁVEL, ESTÉRIL, APIROGÊNICA.</t>
  </si>
  <si>
    <t>SONDA URETRAL, NELATON ATÓXICO, Nº 12, COM ORIFÍCIO ÚNICO DISTAL, SILICONIZADA, DESCARTÁVEL, ESTÉRIL, APIROGÊNICA .</t>
  </si>
  <si>
    <t>SONDA URETRAL Nº 14</t>
  </si>
  <si>
    <t>SONDA URETRAL, NELATON ATÓXICO, Nº 16, COM ORIFÍCIO ÚNICO DISTAL, SILICONIZADA, DESCARTÁVEL, ESTÉRIL, APIROGÊNICA.</t>
  </si>
  <si>
    <t>TOUCA DESCARTÁVEL - PACOTE COM 100 UNIDADES.</t>
  </si>
  <si>
    <t>TOUCA SANFONADA DESCARTAVEL C/100 UNIDADES.</t>
  </si>
  <si>
    <t>LOTE IV - MICRO TUBO PEDIÁTRICO COM EDTA Tubo para coleta de sangue por microamostra, destinado a pacientes pediátricos, confeccionado em plástico transparente, resistente e atóxico, com EDTA K2 ou K3 como anticoagulante, destinado à coleta de sangue total par</t>
  </si>
  <si>
    <t>LOTE IV - MICRO TUBO PEDIÁTRICO COM CITRATO DE SÓDIO, Tubo para coleta de sangue por microamostra, destinado a pacientes pediátricos, confeccionado em plástico transparente, resistente e atóxico, contendo citrato de sódio 3,2% (0,109 mol/L) como anticoagulante</t>
  </si>
  <si>
    <t>LOTE I - COLETOR UNIVERSAL INDIVIDUAL 70 ML, COM PÁ, FRASCO TRANSPARENTE E TAMPA BRANCA, GRADUADO UND</t>
  </si>
  <si>
    <t>CÂNULA OROFARÍNGEA, POLIURETANO FLEXÍVEL, Nº 1, GUEDEL, DESCARTÁVEL, ESTÉRIL</t>
  </si>
  <si>
    <t>CÂNULA OROFARÍNGEA, POLIURETANO FLEXÍVEL, Nº 2, GUEDEL, DESCARTÁVEL, ESTÉRIL</t>
  </si>
  <si>
    <t>CÂNULA OROFARÍNGEA, POLIURETANO FLEXÍVEL, Nº 3, GUEDEL, DESCARTÁVEL, ESTÉRIL</t>
  </si>
  <si>
    <t>CÂNULA OROFARÍNGEA, POLIURETANO FLEXÍVEL, Nº 4, GUEDEL, DESCARTÁVEL, ESTÉRIL</t>
  </si>
  <si>
    <t>CÂNULA OROFARÍNGEA, POLIURETANO FLEXÍVEL, Nº 5, GUEDEL, DESCARTÁVEL, ESTÉRIL</t>
  </si>
  <si>
    <t>CÂNULA OROFARÍNGEA, POLIURETANO FLEXÍVEL, Nº 6, GUEDEL, DESCARTÁVEL, ESTÉRIL</t>
  </si>
  <si>
    <t>ESPÉCULO, POLIETILENO, VAGINAL, GRANDE, ESTÉRIL, DESCARTÁVEL, SEM LUBRIFICAÇÃO</t>
  </si>
  <si>
    <t>ESPÉCULO, POLIETILENO, VAGINAL, MÉDIO, ESTÉRIL, DESCARTÁVEL, SEM LUBRIFICAÇÃO</t>
  </si>
  <si>
    <t>ESPÉCULO, POLIETILENO, VAGINAL, PEQUENO, ESTÉRIL, DESCARTÁVEL, SEM LUBRIFICAÇÃO</t>
  </si>
  <si>
    <t>ESPÁTULA AYRES</t>
  </si>
  <si>
    <t>FIO DE SUTURA, NYLON MONOFILAMENTO, 2-0, PRETOCOM AGULHA, 1/2 CIR. TRG. 2.0 CM / 45 CM ( CUTICULAR )</t>
  </si>
  <si>
    <t>FIO DE SUTURA, NYLON MONOFILAMENTO, 3-0, PRETO COM AGULHA, 1/2 CIR. TRG. 2.0 CM / 45 CM ( CUTICULAR )</t>
  </si>
  <si>
    <t>FIO DE SUTURA, NYLON MONOFILAMENTO, 4-0, PRETOCOM AGULHA, 1/2 CIR. TRG. 2.0 CM / 45 CM( CUTICULAR )</t>
  </si>
  <si>
    <t>FIO DE SUTURA, NYLON MONOFILAMENTO, 0, PRETOCOM AGULHA, 3/8 CIR. TRG. 2.0. CM / 45 CM ( CUTICULAR )</t>
  </si>
  <si>
    <t>FIO DE SUTURA, NYLON MONOFILAMENTO, 2-0, PRETOCOM AGULHA, 3/8 CIR. TRG. 2.0. CM / 45 CM ( CUTICULAR )</t>
  </si>
  <si>
    <t>FIO DE SUTURA, NYLON MONOFILAMENTO, 3-0, PRETOCOM AGULHA, 3/8 CIR. TRG. 2.0. CM / 45 CM ( CUTICULAR )</t>
  </si>
  <si>
    <t>FIO DE SUTURA, NYLON MONOFILAMENTO, 4-0, PRETOCOM AGULHA, 3/8 CIR. TRG. 2.0. CM / 45 CM ( CUTICULAR )</t>
  </si>
  <si>
    <t>FIO DE SUTURA, NYLON MONOFILAMENTO, 5-0, PRETOCOM AGULHA, 3/8 CIR. TRG. 2.0. 2.0 CM / 45 CM ( CUTICULAR )</t>
  </si>
  <si>
    <t>FIO DE SUTURA, NYLON MONOFILAMENTO, 6-0, PRETOCOM AGULHA, 3/8 CIR. TRG. 2.0. CM / 45 CM ( CUTICULAR )</t>
  </si>
  <si>
    <t>FIO DE SUTURA, NYLON MONOFILAMENTO, 3-0, PRETOCOM AGULHA, 3/8 CIR. TRG. 2.4.CM / 45 CM ( CUTICULAR )</t>
  </si>
  <si>
    <t>FIO DE SUTURA, NYLON MONOFILAMENTO, 4-0, PRETOCOM AGULHA, 3/8 CIR. TRG. 2.4. CM / 45 CM ( CUTICULAR )</t>
  </si>
  <si>
    <t>FIO DE SUTURA, NYLON MONOFILAMENTO,2-0, PRETOCOM AGULHA, 1/2 CIR. TRG. 2.5.CM / 45 CM ( CUTICULAR )</t>
  </si>
  <si>
    <t>FIO DE SUTURA, NYLON MONOFILAMENTO,3-0, PRETOCOM AGULHA, 1/2 CIR. TRG. 2.5.CM / 45 CM ( CUTICULAR )</t>
  </si>
  <si>
    <t>FIO DE SUTURA, NYLON MONOFILAMENTO,4-0, PRETOCOM AGULHA, 1/2 CIR. TRG. 2.5.CM / 45 CM ( CUTICULAR )</t>
  </si>
  <si>
    <t>FIO DE SUTURA, NYLON MONOFILAMENTO,5-0, PRETOCOM AGULHA, 1/2 CIR. TRG. 2.5.CM / 45 CM ( CUTICULAR )</t>
  </si>
  <si>
    <t>FIO DE SUTURA, NYLON MONOFILAMENTO,2-0, PRETOCOM AGULHA, 3/8 CIR. TRG. 2.5.CM / 45 CM ( CUTICULAR )</t>
  </si>
  <si>
    <t>FIO DE SUTURA, NYLON MONOFILAMENTO,3-0, PRETOCOM AGULHA, 3/8 CIR. TRG. 2.5.CM / 45 CM ( CUTICULAR )</t>
  </si>
  <si>
    <t>FIO DE SUTURA, NYLON MONOFILAMENTO,4-0, PRETOCOM AGULHA, 3/8 CIR. TRG. 2.5.CM / 45 CM ( CUTICULAR )</t>
  </si>
  <si>
    <t>FIO DE SUTURA, NYLON MONOFILAMENTO,0, PRETOCOM AGULHA, 3/8 CIR. TRG. 3.0.CM / 45 CM ( CUTICULAR )</t>
  </si>
  <si>
    <t>FIO DE SUTURA, NYLON MONOFILAMENTO,1-0, PRETOCOM AGULHA, 3/8 CIR. TRG. 3.0.CM / 45 CM ( CUTICULAR )</t>
  </si>
  <si>
    <t>FIO DE SUTURA, NYLON MONOFILAMENTO,2-0, PRETOCOM AGULHA, 3/8 CIR. TRG. 3.0.CM / 45 CM ( CUTICULAR )</t>
  </si>
  <si>
    <t>FIO DE SUTURA, NYLON MONOFILAMENTO,3-0, PRETOCOM AGULHA, 3/8 CIR. TRG. 3.0.CM / 45 CM ( CUTICULAR )</t>
  </si>
  <si>
    <t>FIO DE SUTURA, NYLON MONOFILAMENTO,4-0, PRETOCOM AGULHA, 3/8 CIR. TRG. 3.0.CM / 45 CM ( CUTICULAR )</t>
  </si>
  <si>
    <t>FIO DE SUTURA, NYLON MONOFILAMENTO,5-0, PRETOCOM AGULHA, 3/8 CIR. TRG. 3.0.CM / 45 CM ( CUTICULAR )</t>
  </si>
  <si>
    <t>FIO DE SUTURA, NYLON MONOFILAMENTO,3-0, PRETOCOM AGULHA, 3/8 CIR. TRG. 3.5.CM / 45 CM ( CUTICULAR )</t>
  </si>
  <si>
    <t>FIO DE SUTURA, NYLON MONOFILAMENTO,4-0, PRETOCOM AGULHA, 3/8 CIR. TRG. 3.5.CM / 45 CM ( CUTICULAR )</t>
  </si>
  <si>
    <t>FIO DE SUTURA, NYLON MONOFILAMENTO,3-0, PRETOCOM AGULHA, 1/2 CIR. TRG. 3.0.CM / 45 CM ( CUTICULAR )</t>
  </si>
  <si>
    <t>FIO DE SUTURA, NYLON MONOFILAMENTO,4-0, PRETOCOM AGULHA, 1/2 CIR. TRG. 3.0.CM / 45 CM ( CUTICULAR )</t>
  </si>
  <si>
    <t>FIO DE SUTURA, NYLON MONOFILAMENTO,3-0, PRETOCOM AGULHA, 1/2 CIR. TRG. 3.5.CM / 45 CM ( CUTICULAR )</t>
  </si>
  <si>
    <t>FIO DE SUTURA, NYLON MONOFILAMENTO,0, PRETOCOM AGULHA, 1/2 CIR. TRG. 4.0.CM / 45 CM ( CUTICULAR )</t>
  </si>
  <si>
    <t>FIO DE SUTURA, NYLON MONOFILAMENTO,2-0, PRETOCOM AGULHA, 1/2 CIR. TRG. 4.0.CM / 45 CM ( CUTICULAR )</t>
  </si>
  <si>
    <t>FIO DE SUTURA, NYLON MONOFILAMENTO,3-0, PRETOCOM AGULHA, 1/2 CIR. TRG. 4.0.CM / 45 CM ( CUTICULAR )</t>
  </si>
  <si>
    <t>LÂMINA BISTURI, AÇO CARBONO, Nº 10, DESCARTÁVEL, ESTÉRIL, EMBALADA INDIVIDUALMENTE</t>
  </si>
  <si>
    <t>LÂMINA BISTURI, AÇO CARBONO, Nº 11, DESCARTÁVEL, ESTÉRIL, EMBALADA INDIVIDUALMENTE</t>
  </si>
  <si>
    <t>LUVA CIRÚRGICA, LÁTEX NATURAL, 8, ESTÉRIL, COMPRIMENTO MÍNIMO DE 28CM, LUBRIFICADA C/ PÓ BIOABSORVÍVEL,ATÓXICA, DESCARTÁVEL, ANATÔMICO, CONFORME NORMA ABNT C/ ABERTURA ASSÉPTICA</t>
  </si>
  <si>
    <t>SONDA FOLEY nº08, 2 VIAS, CONECTORES PADRÃO COM BALÃO 3-5CC</t>
  </si>
  <si>
    <t>SONDA FOLEY nº10, 2 VIAS, CONECTORES PADRÃO COM BALÃO 3-5CC</t>
  </si>
  <si>
    <t>SONDA FOLEY nº12, 2 VIAS, CONECTORES COM BALÃO 5-10 E 30CC</t>
  </si>
  <si>
    <t>SONDA FOLEY nº14 , 2 VIAS, CONECTORES COM BALÃO 5-10 E 30CC</t>
  </si>
  <si>
    <t>SONDA FOLEY nº16, 2 VIAS, CONECTORES COM BALÃO 5-10 E 30CC</t>
  </si>
  <si>
    <t>SONDA FOLEY nº18, 2 VIAS, CONECTORES COM BALÃO 5-10 E 30CC</t>
  </si>
  <si>
    <t>SONDA FOLEY nº20, 2 VIAS, CONECTORES COM BALÃO 5-10 E 30CC</t>
  </si>
  <si>
    <t>SONDA FOLEY nº22, 2 VIAS, CONECTORES COM BALÃO 5-10 E 30CC</t>
  </si>
  <si>
    <t>SONDA FOLEY nº24, 2 VIAS, CONECTORES COM BALÃO 5-10 E 30CC</t>
  </si>
  <si>
    <t>SONDA FOLEY nº10, 3 VIAS, CONECTORES COM BALÃO 30CC</t>
  </si>
  <si>
    <t>SONDA FOLEY nº12, 3 VIAS, CONECTORES COM BALÃO 30CC</t>
  </si>
  <si>
    <t>SONDA FOLEY nº14, 3 VIAS, CONECTORES COM BALÃO 30CC</t>
  </si>
  <si>
    <t>SONDA FOLEY nº16, 3 VIAS, CONECTORES COM BALÃO 30CC</t>
  </si>
  <si>
    <t>SONDA FOLEY nº18, 3 VIAS, CONECTORES COM BALÃO 30CC</t>
  </si>
  <si>
    <t>SONDA FOLEY nº20, 3 VIAS, CONECTORES COM BALÃO 30CC</t>
  </si>
  <si>
    <t>SONDA FOLEY nº22, 3 VIAS, CONECTORES COM BALÃO 30CC</t>
  </si>
  <si>
    <t>SONDA FOLEY nº24, 3 VIAS, CONECTORES COM BALÃO 30CC</t>
  </si>
  <si>
    <t>SONDA URETRAL DE ALÍVIO Nº 18 CAIXA C/ 10 UNIDADES</t>
  </si>
  <si>
    <t>SONDA NASOGÁSTRICA Nº04 CURTA</t>
  </si>
  <si>
    <t>SONDA NASOGÁSTRICA Nº06 CURTA</t>
  </si>
  <si>
    <t>SONDA NASOGÁSTRICA Nº08 CURTA</t>
  </si>
  <si>
    <t>SONDA NASOGÁSTRICA Nº10 CURTA</t>
  </si>
  <si>
    <t>SONDA NASOGÁSTRICA Nº12 CURTA</t>
  </si>
  <si>
    <t>SONDA NASOGÁSTRICA Nº06 LONGA</t>
  </si>
  <si>
    <t>SONDA NASOGÁSTRICA Nº10 LONGA</t>
  </si>
  <si>
    <t>SONDA NASOGÁSTRICA Nº12 LONGA</t>
  </si>
  <si>
    <t>SONDA NASOGÁSTRICA Nº14 LONGA</t>
  </si>
  <si>
    <t>TOUCA DESCARTÁVEL USO HOSPITALAR, NÃO TECIDO 100% POLIPROPILENO, COM ELÁSTICO EM TODA VOLTA, COM COR, CERCA DE 50 G/M2, ÚNICO, DESCARTÁVEL</t>
  </si>
  <si>
    <t xml:space="preserve">Filtro Terapia Respiratória aplicação: p/ traqueostomia, modelo: eletrostático e hme, tipo: troca calor e umidade c/ barreira microbiológica, tamanho: adulto, esterilidade: uso único Filtro para traqueostomia, uso adulto, destinado à proteção das vias aéreas, </t>
  </si>
  <si>
    <t>KIT DE ASPIRADOR CIRURGICO PORTÁTIL COM TUBO DE SUCÇÃO, RECIPIENTE COM TAMPA, EXTENSÃO, CONJUNTO DE FILTROS DE AR, UNIDADE DE ASPIRAÇÃO E MANUAL DE INTRUÇÕES</t>
  </si>
  <si>
    <t>Agulha Hipodérmica material: aço inoxidável siliconizado, dimensão: 25 g x 3/8", tipo ponta: bisel curto trifacetado, tipo conexão: conector luer lock ou slip em plástico, tipo fixação: protetor plástico, tipo uso: estéril, descartável, embalagem individual</t>
  </si>
  <si>
    <t>Luva P/ Procedimento De Saúde Não Cirúrgico C/ Anvisa material: borracha natural - látex, superfície: superfície texturizada, formato: ambidestra, pó: sem pó, cor: c/ cor, tamanho: médio - m, esterilidade: não estéril, uso único</t>
  </si>
  <si>
    <t>Extensor Infusão Vascular tipo: p/ bomba injetora contraste, vias: 2 vias, modelo: espiralado, em "y", material: polímero, comprimento: cerca 150, tipo conexão: luer lock / slip, pressão máxima: até cerca de 300, componente adicional: 2 seringas c/ adaptador p</t>
  </si>
  <si>
    <t>COLETOR UNIVERSAL CAPACIDADE 70 mL</t>
  </si>
  <si>
    <t>COLETOR UNIVERSAL ESTÉRIL 80 mL</t>
  </si>
  <si>
    <t>TUBO PARA COLETA À VÁCUO COM GEL SEPARADOR E ATIVADOR DE COÁGULO COM 100 TUBOS</t>
  </si>
  <si>
    <t>TUBO DE COLETA DE SANGUE À VÁCUO PARA VSH, TAMPA PRETA – COM CITRATO DE SÓDIO 3,8% - 8 MM X 120 MM, COM 100 TUBOS</t>
  </si>
  <si>
    <t>GARROTE DESCARTÁVEL PARA FLEBOTOMIA COM 25 TIRAS (TORNIQUETES)</t>
  </si>
  <si>
    <t>COLETOR DE URINA INFANTIL UNISSEX – PACOTE COM 100 UNIDADES</t>
  </si>
  <si>
    <t>CAIXA COLETORA PARA DESCARTE DE PERFUROCORTANTES EM PAPELÃO RÍGIDO COM FORRO IMPERMEÁVEL DE 13 LITROS</t>
  </si>
  <si>
    <t>CAIXA COLETORA PARA DESCARTE DE PERFUROCORTANTES EM PAPELÃO RÍGIDO COM FORRO IMPERMEÁVEL DE 20 LITROS</t>
  </si>
  <si>
    <t>Garrote material*: faixa elástica, componente adicional: c/ sistema de trava em plástico, tamanho: tamanho adulto, tipo uso: reutilizável GARROTE. FAIXA ELÁSTICA HIPOALERGÊNICA (SEM/LÁTEX) INDICADO PARA PUNÇÃO VENOSA, REALIZAÇÃO DE EXAMES, TRANSFUSÃO DE SANGUE</t>
  </si>
  <si>
    <t>Reservatório P/ Coleta De Amostra Biológica modelo: saco, aplicação: universal, material: polímero maleável transparente, graduado, volume: cerca de 2000 ml, fechamento: c/ cordão de fechamento, esterilidade: não estéril, uso único</t>
  </si>
  <si>
    <t xml:space="preserve">Bolsa Coletora De Urina Sistema Fechado material*: pvc, tipo*: sistema fechado, capacidade*: cerca de 2000, graduação: graduação de 100 em 100, válvula: válvula anti-refluxo, pinça: clamp corta fluxo, filtro: filtro hidrofóbico/bacteriológico, características </t>
  </si>
  <si>
    <t>Bolsa Coletora De Urina Sistema Fechado material*: plástico, tipo*: sistema fechado, modelo: infantil, capacidade*: cerca de 100, graduação: graduada, válvula: válvula anti-refluxo, pinça: clamp corta fluxo, componentes: c/ sistema fixação leito, esterilidade*</t>
  </si>
  <si>
    <t>Curativo / Cobertura aplicação: p/ ferida, aspecto físico: placa, composição: à base de hidrocolóide, componente 1: c/ espuma pu, dimensão: cerca de 15 x 20, esterilidade: estéril</t>
  </si>
  <si>
    <t>Placa Eletrocirúrgica materia prima: espuma, tipo: adesiva, impermeável, modelo: bipartida, componente: c/ gel condutor, tamanho placa: adulto, componente adicional: s/ cabo, compatível: compatível c/ bisturi, tipo uso 1: descartável</t>
  </si>
  <si>
    <t>Placa Eletrocirúrgica materia prima: espuma, tipo: adesiva, impermeável, modelo: bipartida, componente: c/ gel condutor, tamanho placa: infantil, componente adicional: s/ cabo, compatível: compatível c/ bisturi, tipo uso 1: descartável</t>
  </si>
  <si>
    <t>Eletrodo Uso Médico aplicação 1: p/ monitorização cardíaca - ecg, modelo: de superfície, tipo: adesivo, material sensor: prata/prata clorada, adicional 1: c/ gel condutor, tamanhos: neonatal, acessório: s/ cabo, esterilidade: uso único</t>
  </si>
  <si>
    <t>Equipo De Transfusão De Hemocomponentes material: pvc transparente, tipo: gravitacional, 2 vias, c/ derivação em y, câmara gotejamento: macrogotas, câmara dupla, c/ filtro, regulador de fluxo manual: pinça rolete, comprimento tubo: até 180 cm, conector pacient</t>
  </si>
  <si>
    <t>Espéculo Uso Médico aplicação: vaginal, modelo: collin, tamanho: médio, travamento: c/ trava tipo rosca, material: polímero, esterilidade: não estéril, uso único, embalagem: embalagem individual</t>
  </si>
  <si>
    <t>Espéculo Uso Médico aplicação: vaginal, modelo: collin, tamanho: pequeno, travamento: c/ trava tipo rosca, material: polímero, esterilidade: não estéril, uso único, embalagem: embalagem individual</t>
  </si>
  <si>
    <t>Filtro Terapia Respiratória aplicação: p/ traqueostomia, modelo: hme, tipo: troca calor e umidade, tipo membrana: higroscópico, componente: conexão oxigênio, tamanho: adulto, esterilidade: uso único</t>
  </si>
  <si>
    <t>Filtro Terapia Respiratória aplicação: p/ circuito respiratório, modelo: hmef, tipo: troca calor e umidade c/ barreira microbiológica, tipo membrana: hidrófobico e higroscópico, componente: conexões padrão, tamanho: adulto, esterilidade: estéril</t>
  </si>
  <si>
    <t>Kit Fios De Sutura aplicação: p/ ginecologia / obstetrícia, modelo: c/ 3 fios agulhados, componente 1: 3 x catgut simples 2-0, esterilidade: estéril, apresentação: conjunto completo</t>
  </si>
  <si>
    <t>Fixador P/ Dispositivo Médico aplicação: p/ tubo endotraqueal, material: tira adesiva, tamanho: neonatal, tipo uso: uso único, embalagem: embalagem individual</t>
  </si>
  <si>
    <t>Material Hospitalar tipo: clamp prendedor umbilical, componentes: plástico, embalagem: embalagem individual, esterilidade*: estéril, uso único</t>
  </si>
  <si>
    <t>Amniótomo material: plástico, comprimento*: cerca de 25, embalagem: embalagem individual, esterilidade*: estéril, descartável</t>
  </si>
  <si>
    <t>Protetor Ocular aplicação: p/ fototerapia neonatal, formato: faixa ajustável cabeça, modelo: binocular, material: hipoalergênico, tamanho: médio, esterilidade: reutilizável</t>
  </si>
  <si>
    <t>Protetor Ocular aplicação: p/ fototerapia neonatal, formato: faixa ajustável cabeça, modelo: binocular, material: hipoalergênico, tamanho: pequeno, esterilidade: reutilizável</t>
  </si>
  <si>
    <t>Protetor Ocular aplicação: p/ fototerapia neonatal, formato: faixa ajustável cabeça, modelo: binocular, material: hipoalergênico, tamanho: grande, esterilidade: reutilizável</t>
  </si>
  <si>
    <t>Sonda Trato Urinário modelo: foley, material: borracha, calibre: 6, vias: 2 vias, conector: conectores padrão, volume: c/ balão cerca 5, tipo ponta: ponta distal cilíndrica fechada, componentes: c/ orifícios laterais, esterilidade: estéril, descartável, embala</t>
  </si>
  <si>
    <t>Sonda Trato Urinário modelo: foley, material: borracha, calibre: 8, vias: 2 vias, conector: conectores padrão, volume: c/ balão cerca 5, tipo ponta: ponta distal cilíndrica fechada, componentes: c/ orifícios laterais, esterilidade: estéril, descartável, embala</t>
  </si>
  <si>
    <t>Sonda Trato Urinário modelo: foley, material: borracha, calibre: 10, vias: 2 vias, conector: conectores padrão, volume: c/ balão cerca 30, tipo ponta: ponta distal cilíndrica fechada, componentes: c/ orifícios laterais, esterilidade: estéril, descartável, emba</t>
  </si>
  <si>
    <t>Sonda Trato Urinário modelo: foley, material: borracha, calibre: 12, vias: 2 vias, conector: conectores padrão, volume: c/ balão cerca 30, tipo ponta: ponta distal cilíndrica fechada, componentes: c/ orifícios laterais, esterilidade: estéril, descartável, emba</t>
  </si>
  <si>
    <t>Sonda Trato Urinário modelo: foley, material: borracha, calibre: 14, vias: 2 vias, conector: conectores padrão, volume: c/ balão cerca 30, tipo ponta: ponta distal cilíndrica fechada, componentes: c/ orifícios laterais, esterilidade: estéril, descartável, emba</t>
  </si>
  <si>
    <t>Sonda Trato Urinário modelo: foley, material: borracha, calibre: 16, vias: 2 vias, conector: conectores padrão, volume: c/ balão cerca 30, tipo ponta: ponta distal cilíndrica fechada, componentes: c/ orifícios laterais, esterilidade: estéril, descartável, emba</t>
  </si>
  <si>
    <t>Sonda Trato Digestivo aplicação: nasoenteral, material: silicone, calibre: nº 10, comprimento: cerca 60, conector: conector em y c/ tampa, graduação: graduada, componentes: ponta distal fechada, c/ orifícios laterais, outros componentes: c/ fio guia, peso metá</t>
  </si>
  <si>
    <t xml:space="preserve">Sonda Trato Digestivo aplicação: nasoenteral, material: poliuretano, calibre: nº 12, comprimento: cerca 120, conector: conector em y c/ tampa, graduação: graduada, componentes: ponta distal fechada, c/ orifícios laterais, outros componentes: c/ fio guia, peso </t>
  </si>
  <si>
    <t>Seladora para papel grau cirúrgica com acionamento manual, com barra de solda com área útil que atinja 30 cm de comprimento e selagem não menor que 7 mm. CATMAT 306486</t>
  </si>
  <si>
    <t>BOBINA DE PAPEL GRAU CIRURGICO 10X100</t>
  </si>
  <si>
    <t>BOBINA DE PAPEL GRAU CIRURGICO 15 X 100</t>
  </si>
  <si>
    <t>BOBINA DE PAPEL GRAU CIRURGICO 20 X 100</t>
  </si>
  <si>
    <t>BOBINA DE PAPEL GRAU CIRURGICO 25 X 100</t>
  </si>
  <si>
    <t>BOBINA DE PAPEL GRAU CIRURGICO 30 X 100</t>
  </si>
  <si>
    <t>BOLSA COLETORA DE URINA SISTEMA ABERTO</t>
  </si>
  <si>
    <t>BOLSA COLETORA DE URINA SISTEMA FECHADO</t>
  </si>
  <si>
    <t>CAMPO CIRURGICO, FENESTRADO, DESCARTÁVEL, ESTERIL, 40 X 40 CM. CAMPO CIRÚRGICO ESTÉRIL, USO ÚNICO, TAMANHO 40 CM X 40 CM, COM FENESTRA ENTRE 5 E 10 CM, CONFECCIONADO EM NÃO TECIDO SSMMS 100% POLIPROPILENO GRAU MÉDIO, NÃO PREJUDICIAL À SAÚDE E HIPOALERGÊNICO, N</t>
  </si>
  <si>
    <t>CAMPO CIRURGICO, FENESTRADO, DESCARTÁVEL, ESTERIL, 50 X 50 CM. CAMPO CIRÚRGICO ESTÉRIL, USO ÚNICO, TAMANHO 50 CM X 50 CM, COM FENESTRA ENTRE 5 E 10 CM, CONFECCIONADO EM NÃO TECIDO SSMMS 100% POLIPROPILENO GRAU MÉDIO, NÃO PREJUDICIAL À SAÚDE E HIPOALERGÊNICO, N</t>
  </si>
  <si>
    <t>CAMPO CIRURGICO, FENESTRADO, DESCARTÁVEL, ESTERIL, 60 X 60 CM. CAMPO CIRÚRGICO ESTÉRIL, USO ÚNICO, TAMANHO 60 CM X 60 CM, COM FENESTRA ENTRE 5 E 10 CM, CONFECCIONADO EM NÃO TECIDO SSMMS 100% POLIPROPILENO GRAU MÉDIO, NÃO PREJUDICIAL À SAÚDE E HIPOALERGÊNICO, N</t>
  </si>
  <si>
    <t>CATETER INTRAVENOSO 14G CX/100 UND</t>
  </si>
  <si>
    <t>CATETER INTRAVENOSO 16G CX/100 UND</t>
  </si>
  <si>
    <t>CATETER INTRAVENOSO 20G CX/100 UND</t>
  </si>
  <si>
    <t>CATETER INTRAVENOSO 22G CX/100 UND</t>
  </si>
  <si>
    <t>CATETER INTRAVENOSO 24G CX/100 UND</t>
  </si>
  <si>
    <t>COLETOR DE URINA UNIVERSAL 80 ML PCT/100 UND</t>
  </si>
  <si>
    <t>COMPRESSA DE GAZE ESTERIL</t>
  </si>
  <si>
    <t>ESCOVA CERVICAL PCT COM 100 UND</t>
  </si>
  <si>
    <t>ESCOVA PARA LIMPEZA DE INSTRUMENTAL CIRURGICO</t>
  </si>
  <si>
    <t>ESPARADRAPO IMPERMEAVEL 10CM X 4,5M</t>
  </si>
  <si>
    <t>ESPARADRAPO IMPERMEAVEL 5CM X 4,5M</t>
  </si>
  <si>
    <t>ESPATULA DE AYRES C/100</t>
  </si>
  <si>
    <t>ESPECULO VAGINAL G</t>
  </si>
  <si>
    <t>FITA MICROPOROSA 10 X 4,5</t>
  </si>
  <si>
    <t>FITA MICROPOROSA 5,0 X 4,5</t>
  </si>
  <si>
    <t>GEL CONDUTOR PARA ULTRASSOM 1 KG</t>
  </si>
  <si>
    <t>LÂMINA DE BISTURI Nº10 C/100</t>
  </si>
  <si>
    <t>LÂMINA DE BISTURI Nº15 C/100</t>
  </si>
  <si>
    <t>LÂMINA DE BISTURI Nº22 C/100</t>
  </si>
  <si>
    <t>LÂMINA DE BISTURI Nº24 C/100</t>
  </si>
  <si>
    <t>PAPEL LENÇOL DESCARTAVEL 50 X 50</t>
  </si>
  <si>
    <t>PAPEL LENÇOL DESCARTAVEL 70 X 50</t>
  </si>
  <si>
    <t>SERINGA DE 1 ML COM AGULHA CX100UND</t>
  </si>
  <si>
    <t>SERINGA DE 1 ML SEM AGULHA CX100UND</t>
  </si>
  <si>
    <t>SERINGA DE 10 ML COM AGULHA CX100UND</t>
  </si>
  <si>
    <t>SERINGA DE 10 ML SEM AGULHA CX100UND</t>
  </si>
  <si>
    <t>SERINGA DE 20ML COM AGULHA CX100UND</t>
  </si>
  <si>
    <t>SERINGA DE 20ML SEM AGULHA CX100UND</t>
  </si>
  <si>
    <t>SERINGA DE 3ML COM AGULHA CX100UND</t>
  </si>
  <si>
    <t>SERINGA DE 3ML SEM AGULHA CX100UND</t>
  </si>
  <si>
    <t>SERINGA DE 5ML COM AGULHA CX100UND</t>
  </si>
  <si>
    <t>SERINGA DE 5ML SEM AGULHA CX100UND</t>
  </si>
  <si>
    <t>SERINGA DE INSULINA 1 ML COM AGULHA FIXA CX C/100UND</t>
  </si>
  <si>
    <t>SONDA FOLEY 2 VIAS Nº 20 CX/10 UND</t>
  </si>
  <si>
    <t>SONDA FOLEY 2 VIAS Nº 22 CX/10 UND</t>
  </si>
  <si>
    <t>SONDA FOLEY 2 VIAS Nº10 CX/ 10 UND</t>
  </si>
  <si>
    <t>SONDA FOLEY 2 VIAS Nº12 CX/10 UND</t>
  </si>
  <si>
    <t>SONDA FOLEY 2 VIAS Nº14 CX/10 UND</t>
  </si>
  <si>
    <t>SONDA FOLEY 2 VIAS Nº16 CX/10 UND</t>
  </si>
  <si>
    <t>SONDA FOLEY 2 VIAS Nº18 CX/10 UND</t>
  </si>
  <si>
    <t>SONDA URETRAL Nº14</t>
  </si>
  <si>
    <t>SONDA URETRAL Nº8</t>
  </si>
  <si>
    <t>TOUCA DESCARTAVEL PCT C/100</t>
  </si>
  <si>
    <t>ESPECULO AURICULAR REUTILIZAVEIS NÃO DESCARTAVEIS 2,75 MM PCT COM 5 UND</t>
  </si>
  <si>
    <t>ESPECULO AURICULAR REUTILIZAVEIS NÃO DESCARTAVEIS 4,0MM PCT COM 50 UND</t>
  </si>
  <si>
    <t>GARROTE ADULTO TORNIQUETE COM TRAVA</t>
  </si>
  <si>
    <t>GARROTE ENFERMAGEM 25 TIRAS 45CM LIVRE LÁTEX</t>
  </si>
  <si>
    <t>PESQUISA DE SANGUE OCULTO NAS FEZES - CODIGO DO PROCEDIMENTO (02.02.04.014-3)</t>
  </si>
  <si>
    <t>TOALHAS/LENÇOS UMEDECIDO PARA HIGIENE: com toalhas/lenços</t>
  </si>
  <si>
    <t>AGULHA GENGIVAL LONGA 27 G - CAIXA COM 100 UNIDADES - LONGA, NAO PIROGENICO E ATOXICA, COMPATIVEL COM SERINGA CARPULE, ESTERIL, BISEL TRIFACETADO, EMBALADO INDIVIDUALMENTE COM CAPA DE PROTECAO RIGIDA E DESCARTAVEL</t>
  </si>
  <si>
    <t>AGULHA GENGIVAL CURTA 30G - CAIXA COM 100 UNIDADES - AGULHA GENGIVAL CURTA 30 G - NAO PIROGENICO E ATOXICA, COMPATIVEL COM SERINGA CARPULE, ESTERIL, BISEL TRIFACETADO, EMBALADO INDIVIDUALMENTE COM CAPA DE PROTECAO RIGIDA E DESCARTAVEL.</t>
  </si>
  <si>
    <t>AGULHA GENGIVAL EXTRA CURTA 30 G - CAIXA COM 100 UNIDADES: NAO PIROGENICO E ATOXICA, COMPATIVEL COM SERINGA CARPULE, ESTERIL, BISEL TRIFACETADO, EMBALADO INDIVIDUALMENTE COM CAPA DE PROTECAO RIGIDA E DESCARTAVEL.</t>
  </si>
  <si>
    <t>PRENDEDOR PARA BABADOR ODONTOLOGICO - UNIDADE - DESCARTAVEL, TIPO JACARE EM FIO DE SILICONE E PREGADORES EM ACO INOX. MEDINDO 40 CM.</t>
  </si>
  <si>
    <t>FIO DE SUTURA ODONTOLOGICO DE SEDA 3.0 - CAIXA COM 24 UNIDADES - CIRURGICO NAO ABSORVIVEL DE SEDA ODONTOLOGICO, PRETO, TRANCADO, COM 45 CM DE CUMPRIMENTO, AGULHADO, AGULHA TRIANGULAR CORTANTE DE 17 MM, ½ CIRCULO, ATRAUMATICA, DE ACO INOXIDAVEL, ESTERIL POR RAD</t>
  </si>
  <si>
    <t>COLETOR DE MATERIAL PERFUROCORTANTES - 20 LITROS - UNIDADE - CONFECCIONADO A PARTIR DO PAPELAO ONDULADO (CAIXA EXTERNA E BANDEJA), PAPELAO COURO (CINTA LATERAL E FUNDO RIGIDO E POLIETILENO DE ALTA DENSIDADE (SACOLA PARA REVESTIMENTO), POSSUI TRAVA DE SEGURANCA</t>
  </si>
  <si>
    <t>FITA ADESIVA PARA AUTOCLAVE - UNIDADE - FITA PARA IDENTIFICAR VISUALMENTE SE O INSTRUMENTAL PASSOU PELO PROCESSO DE ESTERILIZACAO EM AUTOCLAVE, CONFECCIONADA EM PAPEL CREPADO, COM LISTAS BEGE- CLAROS COMPOSTAS COM UM PRODUTO QUIMICO QUE REAGE COM O VAPOR, NESS</t>
  </si>
  <si>
    <t xml:space="preserve">TESTE BOWIE DICK - UNIDADE - PACOTE CONTENDO 2 FOLHAS COM INDICADOR QUIMICO (12,5 X 11 CM), SENDO A FOLHA CENTRAL COM UM PADRAO REGULAR CORRESPONDE A UM INDICADOR CLASSICO DE BOWIE, MODELO BD125X/2, CLASSE (ISO 11,140 E E EN 867) E PARAMETRO DE CICLOS A VACUO </t>
  </si>
  <si>
    <t>INDICADOR BIOLOGICO - CAIXA COM 10 UNIDADES - COMPOSTO POR ESPOROS BACTERIANOS DE GEOBACILUS STEAROTHEMOPHILUS, INDICADO PARA MONITOTAR CICLOS DE ESTERILIZACAO A VAPOR, FABRICADO DE ACORDO COM A ISO 11138-1, COM RESULTADO EM 24 HORAS.</t>
  </si>
  <si>
    <t>Coletor de urina infantil feminino, com capacidade de 100 mL, produzido em polietileno atóxico e hipoalergénico, com formato anatómico para melhor adaptação à região perineal. Possui adesivo de fixação com bordas macias para evitar irritações, sendo de uso úni</t>
  </si>
  <si>
    <t>Coletor de urina infantil masculino, com capacidade de 100 mL, fabricado em polietileno atóxico e hipoalergénico, desenvolvido com formato adequado para a anatomia masculina. Possui adesivo de fixação seguro e bordas macias para maior conforto, sendo de uso ún</t>
  </si>
  <si>
    <t>Coletor universal descartável, com capacidade de 80 mL, fabricado em polietileno transparente de alta qualidade, atóxico e biocompatível, garantindo segurança na coleta e armazenamento de amostras biológicas.O mesmo deve presentar resistência mecânica adequada</t>
  </si>
  <si>
    <t xml:space="preserve">Bacia plástica confeccionada em plástico rígido de alta resistência, não poroso, com superfície lisa, lavável e de fácil higienização, resistente à utilização com produtos de limpeza e soluções químicas de uso rotineiro em laboratório, capacidade mínima de 10 </t>
  </si>
  <si>
    <t>Bacia plástica confeccionada em plástico rígido de alta resistência, não poroso, com superfície lisa, lavável e de fácil higienização, resistente à utilização com produtos de limpeza e soluções químicas de uso rotineiro em laboratório, capacidade mínima de 2 l</t>
  </si>
  <si>
    <t>Bacia plástica confeccionada em plástico rígido de alta resistência, não poroso, com superfície lisa, lavável e de fácil higienização, resistente à utilização com produtos de limpeza e soluções químicas de uso rotineiro em laboratório, capacidade mínima de 5 l</t>
  </si>
  <si>
    <t>Tubo para coleta de sangue a vácuo, descartável, com 4,5 mL de capacidade e EDTA como anticoagulante, projetado para máxima eficiência e precisão nos exames laboratoriais. Fabricado em material de alta resistência, totalmente transparente, garantindo integrida</t>
  </si>
  <si>
    <t>Tubo para coleta de sangue a vácuo, descartável, com 5 mL de capacidade, contendo gel separador e ativador de coágulo, garantindo a obtenção de soro de alta pureza para análises laboratoriais precisas. Desenvolvido com material de alta resistência, transparent</t>
  </si>
  <si>
    <t>Tubo para coleta de sangue a vácuo, descartável, com 9 mL de capacidade, contendo gel separador e ativador de coágulo, garantindo a obtenção de soro de alta pureza para análises laboratoriais precisas. Desenvolvido com material de alta resistência, transparent</t>
  </si>
  <si>
    <t>Garrote de látex de alta resistência, fornecido em rolo com 25 unidades, ideal para uso em procedimentos médicos e laboratoriais. Fabricado com material elástico e durável, proporciona uma compressão eficaz e confortável para a localização e punção venosa, fac</t>
  </si>
  <si>
    <t>AGULHA HIPODERMICA DESC. 20X5,5 C/ 100 UN.</t>
  </si>
  <si>
    <t>AGULHA HIPODERMICA DESC. 40X12 C/ 100 UN</t>
  </si>
  <si>
    <t>AGULHA RAQUIDIANA DESCARTAVEL 22G X 3" CX C/ 25 UNI.</t>
  </si>
  <si>
    <t>AUTO LANCETA MINI 28 G C/100 UND</t>
  </si>
  <si>
    <t>BOLSA COLETORA DE URINA SISTEMA FECHADO CAP. 2000ML</t>
  </si>
  <si>
    <t>CAMPO FENESTRADO BRIM GROSSO COR AZUL MED.1,6X2,4CM (C.CIRURGICO)</t>
  </si>
  <si>
    <t>CAMPO SIMPLES BRIM GROSSO COR AZUL MED. 1,5X2M (C.CIRURGICO)</t>
  </si>
  <si>
    <t>CANETA PARA BISTURI ELÉTRICO AUTOCLAVÁVEL</t>
  </si>
  <si>
    <t>CANETA PARA BISTURI ELÉTRICO DESCARTAVEL</t>
  </si>
  <si>
    <t>CATETER VENOSO CENTRAL SUBCLAVIA 7FR X 20CM DUPLO LUMEN</t>
  </si>
  <si>
    <t>COLETOR DE URINA SISTEMA ABERTO TIPO BOLSA, CAPACIDADE 2.000ML, PACOTE COM 100 UNI.</t>
  </si>
  <si>
    <t>CONECTOR Y PARA CONJUNTO DE TRAQUEIA COMPLETO (PARA APARELHO RESPIRATORIO MARCA LEISTUNG)</t>
  </si>
  <si>
    <t>CONECTOR Y PARA CONJUNTO DE TRAQUEIA COMPLETO (PARA APARELHO RESPIRATORIO MARCA VYAIREMEDICAL)</t>
  </si>
  <si>
    <t>EQUIPO MICROGOTAS BURETA 150ML GRADUADA</t>
  </si>
  <si>
    <t>EQUIPO MICROGOTAS PINÇA ROL. C/ INJ. LAT.</t>
  </si>
  <si>
    <t>ESPARADRAPO IMPERMEAVELL BRANCO 10CM X 4,5M</t>
  </si>
  <si>
    <t>ESPARADRAPO IMPERMEAVEL BRANCO 10CM X 4,5M</t>
  </si>
  <si>
    <t>EXTENSAO PARA OXIGENIO EMBALAGEM PLASTICA COM 3,0M (COM DOIS CONECTORES)</t>
  </si>
  <si>
    <t>FILTRO BACTERICIDA, COMPATÍVEL COM ESPIRÔMETRO MIR MINISPIR</t>
  </si>
  <si>
    <t>FILTRO BACTERIOLOGICO HMEF ADULTO P/VENTILADOR PULMONAR</t>
  </si>
  <si>
    <t>FILTRO BACTERIOLOGICO HMEF NEONATAL P/VENTILADOR PULMONAR</t>
  </si>
  <si>
    <t>FILTRO BACTERIOLOGICO HMEF PEDIATRICO P/VENTILADOR PULMONAR</t>
  </si>
  <si>
    <t>FIO GUIA BOUGIE ADULTO</t>
  </si>
  <si>
    <t>FIO GUIA BOUGIE INFANTIL</t>
  </si>
  <si>
    <t>FIXADOR DE TUBO ENDOTRAQUEAL TIPO CARDAÇO</t>
  </si>
  <si>
    <t>FIXADOR DE TUBO ENDOTRAQUEAL TIPO CARDAÇO INFANTIL</t>
  </si>
  <si>
    <t>INDICADOR BIOLOGICO DE LEITURA RAPIDA COM 50 UND</t>
  </si>
  <si>
    <t>INTEGRADOR QUIMICO CLASSE-5 C/ 250 UN</t>
  </si>
  <si>
    <t>KIT DE MASCARA DE VENTURI ADULTO</t>
  </si>
  <si>
    <t>KIT DE MASCARA DE VENTURI INFANTIL</t>
  </si>
  <si>
    <t>KIT FILTRO BACTERICIDA, COMP. COM ESPIROMETRO MIR MINISPIR E TUBO (TUBETE E/OU BOCAL) DESC.</t>
  </si>
  <si>
    <t>KIT ÓCULOS PACIENTE + ÓCULOS OPERADOR PARA PROTEÇÃO EM PROCEDIMENTOS DE LASER E LUZ PULSADA</t>
  </si>
  <si>
    <t>LAMINA P/ BISTURI Nº 23 DESCARTAVEL EM AÇO, C/ 100 UN</t>
  </si>
  <si>
    <t>LENCOL C/ ELASTICO BRIM LEVBE COR AZUL MARINHO MED. 1.6 X 2,5 M (ENFERMARIA)</t>
  </si>
  <si>
    <t>LENCOL C/ ELASTICO BRIM LEVE COR AZUL MARINHO MED. 1,6 X 2,5 M (C. CIRURGICO)</t>
  </si>
  <si>
    <t>LENÇOL DESCARTAVEL C/ ELASTICO</t>
  </si>
  <si>
    <t>LENCOL PARA BERCO BRIM LEVE COR AZUL MARINHO 1,50X0,80CM</t>
  </si>
  <si>
    <t>LENCOL PARA BERCO/INCUBADORA (TIPO FRONHA) 75X50CM COR AZUL.</t>
  </si>
  <si>
    <t>LENCOL S/ ELASTICO BRIM LEVE COR AZUL MARINHO MED. 1,6X 2,5M (ENFERMARIA)</t>
  </si>
  <si>
    <t>MASCARA CIRURGICA TRIPLA C/ ELASTICO DESC. C/50 UND.</t>
  </si>
  <si>
    <t>MASCARA LARINGEA DE SILICONE 1.0</t>
  </si>
  <si>
    <t>MASCARA LARINGEA DE SILICONE 1.5</t>
  </si>
  <si>
    <t>MASCARA LARINGEA DE SILICONE 2.0</t>
  </si>
  <si>
    <t>MASCARA LARINGEA DE SILICONE 2.5</t>
  </si>
  <si>
    <t>MASCARA LARINGEA DE SILICONE 3.0</t>
  </si>
  <si>
    <t>MASCARA LARINGEA DE SILICONE 4.0</t>
  </si>
  <si>
    <t>MASCARA LARINGEA DE SILICONE 5.0</t>
  </si>
  <si>
    <t>PAPEL GRAU CIRURGICO 10CM X 100M</t>
  </si>
  <si>
    <t>PAPEL GRAU CIRURGICO 20CM X 100M</t>
  </si>
  <si>
    <t>PROTETOR OCULAR P/ FOTOTERAPIA</t>
  </si>
  <si>
    <t>SENSOR DE OXIMETRIA INFANTIL COMPATIVEL COM APARELHO HANDHELD</t>
  </si>
  <si>
    <t>SENSOR DIXTAL DE OXIMETRIA DE PULSO P/ MONITOR MULTIPARAMETRO ENDOBRAX MODELO G3D</t>
  </si>
  <si>
    <t>SERINGA DESC. 20ML C/ AGULHA 25X7 C/ BICO LUER SLIP.</t>
  </si>
  <si>
    <t>SERINGA DESCARTAVEL 10 ML COM BICO LUER LOCK C/ AGULHA 25X7</t>
  </si>
  <si>
    <t>SONDA NASOGASTRICA CURTA N ° 20 C/10 UND</t>
  </si>
  <si>
    <t>SONDA NASOGASTRICA CURTA N 08 C/10 UN</t>
  </si>
  <si>
    <t>SONDA NASOGASTRICA CURTA Nº10, PCT C/ 10 UNID.</t>
  </si>
  <si>
    <t>SONDA NASOGASTRICA LONGA N 10 C/10 UN</t>
  </si>
  <si>
    <t>SONDA NASOGASTRICA LONGA N 12 C/10 UN</t>
  </si>
  <si>
    <t>SONDA NASOGASTRICA LONGA N 14 C/10 UN</t>
  </si>
  <si>
    <t>SONDA NASOGASTRICA LONGA N 16 C/10 UN</t>
  </si>
  <si>
    <t>SONDA NASOGASTRICA LONGA N 18 C/10 UN</t>
  </si>
  <si>
    <t>SONDA NASOGASTRICA LONGA N 20 C/10 UN</t>
  </si>
  <si>
    <t>SONDA NASOGASTRICA LONGA N 22 C/10 UN</t>
  </si>
  <si>
    <t>SONDA NASOGASTRICA LONGA Nº 08, PCT C/ 10 UNID.</t>
  </si>
  <si>
    <t>SONDA URETRAL N °04</t>
  </si>
  <si>
    <t>SONDA URETRAL N° 12 SILICONIZADA</t>
  </si>
  <si>
    <t>TESTE BOWIE &amp; DICK</t>
  </si>
  <si>
    <t>Equipo de Bomba de Infusão para nutrição enteral, 150 cm, estéril. Tubo flexível com conector para frasco de infusão e conector adaptável a sondas enterais. Fabricado em PVC de alta qualidade, transparente, para fácil visualização do líquido e monitoramento do</t>
  </si>
  <si>
    <t xml:space="preserve">Agulha Hipodérmica, Material: Aço Inoxidável Siliconizado, Dimensão: 26 G X 1/2, Tipo Ponta: Bisel Curto Trifacetado, Tipo Conexão: Conector Luer Lock Em Plástico, Tipo Fixação: Protetor Plástico, Característica Adicional: Com Sistema Segurança Segundo Nr/32, </t>
  </si>
  <si>
    <t>Agulha Hipodérmica, Material: Aço Inoxidável Siliconizado, Dimensão: 22 G X 1, Tipo Ponta: Bisel Curto Trifacetado, Tipo Conexão: Conector Luer Lock Em Plástico, Tipo Fixação: Protetor Plástico, Característica Adicional: Com Sistema Segurança Segundo Nr/32, Ti</t>
  </si>
  <si>
    <t>Agulha hipodérmica, material: aço inoxidável siliconizado, dimensão: 21 g x 1, tipo ponta: bisel curto trifacetado, tipo conexão: conector luer lock ou slip em plástico, tipo fixação: protetor plástico, tipo uso: estéril, descartável, embalagem individual. CAT</t>
  </si>
  <si>
    <t>Agulha Hipodérmica, Material: Aço Inoxidável Siliconizado, Dimensão: 18 G X 1 1/2, Tipo Ponta: Bisel Curto Trifacetado, Tipo Conexão: Conector Luer Lock Em Plástico, Tipo Fixação: Protetor Plástico, Característica Adicional: Com Sistema Segurança Segundo Nr/32</t>
  </si>
  <si>
    <t>Aspirador Cirúrgico, Modelo: Elétrico Portátil, Pressão De Vácuo: Cerca De 550 Mmhg, Fluxo De Aspiração: Até 15 Lpm, Tipo Frasco: 1 Frasco Em Plástico, Volume: Cerca De 1 L, Componentes: Sistema Antitransbordamento, Filtro Bacteriológico. CATMAT 459188.</t>
  </si>
  <si>
    <t>Aspirador Cirúrgico, Modelo: Elétrico Móvel, Pressão De Vácuo: Cerca De 650 Mmhg, Fluxo De Aspiração: De 31 A 49 Lpm, Tipo Frasco: 1 Frasco Em Plástico, Volume: Cerca De 3 L, Componentes: Sistema Antitransbordamento, Filtro Bacteriológico. CATMAT 628893.</t>
  </si>
  <si>
    <t>Avental Procedimento - Paramentação, Esterilidade: Não Estéril, Descartável, Material: Plástico, Propriedade: Impermeável, Modelo Manga: Longa C/ Punho De Elástico, Tamanho: Grande (G), Cor: Transparente, Tipo Fechamento: Posterior P/ Pescoço E Cintura. Embala</t>
  </si>
  <si>
    <t>Bolsa Coletora De Urina Sistema Fechado, Material: Pvc, Tipo: Sistema Fechado, Modelo: Diurese Horária 500ml, Capacidade: Cerca De 2000 ML, Graduação: Graduada, Válvula: Válvula Anti-Refluxo, Pinça: Clamp Corta Fluxo, Filtro: Filtro Hidrofóbico/Bacteriológico,</t>
  </si>
  <si>
    <t>Cabo Bisturi, Material: Aço Inoxidável, Tamanho: Nº 3, Características Adicionais: Longo. CATMAT 299683.</t>
  </si>
  <si>
    <t>Cabo Bisturi, Material: Aço Inoxidável, Tamanho: Nº 4, Características Adicionais: Longo. CATMAT 299116.</t>
  </si>
  <si>
    <t>Cânula Orofaríngea Guedel, Material: Polímero, Tamanho: Tamanho Nº 1. CATMAT 450963.</t>
  </si>
  <si>
    <t>Cânula Orofaríngea Guedel, Material: Polímero, Tamanho: Tamanho Nº 2. CATMAT 450964.</t>
  </si>
  <si>
    <t>Cânula Orofaríngea Guedel, Material: Polímero, Tamanho: Tamanho Nº 3. CATMAT 450965.</t>
  </si>
  <si>
    <t>Cânula Orofaríngea Guedel, Material: Polímero, Tamanho: Tamanho Nº 4. CATMAT 450966.</t>
  </si>
  <si>
    <t>Cânula Orofaríngea Guedel, Material: Polímero, Tamanho: Tamanho Nº 5. CATMAT 450967.</t>
  </si>
  <si>
    <t>Cateter Aspiração Traqueal, Material: Pvc Atóxico Flexível, Tipo Uso: Descartável, Características Adicionais: Ponta Atraumática, Orifícios Distais Lateralizados, Tipo Embalagem: Estéril, Embalagem Individual, Espessura: Nº 4. CATMAT 283987.</t>
  </si>
  <si>
    <t>Cateter Aspiração Traqueal, Material: Pvc Atóxico Flexível, Tipo Uso: Descartável, Características Adicionais: Ponta Atraumática, Orifícios Distais Lateralizados, Tipo Embalagem: Estéril, Embalagem Individual, Espessura: Nº 6. CATMAT 279760.</t>
  </si>
  <si>
    <t>Cateter Aspiração Traqueal, Material: Pvc Atóxico Flexível, Tipo Uso: Descartável, Características Adicionais: Ponta Atraumática, Orifícios Distais Lateralizados, Tipo Embalagem: Estéril, Embalagem Individual, Espessura: Nº 8. CATMAT 279763.</t>
  </si>
  <si>
    <t>Cateter Aspiração Traqueal, Material: Pvc Atóxico Flexível, Tipo Uso: Descartável, Características Adicionais: Ponta Atraumática, Orifícios Distais Lateralizados, Tipo Embalagem: Estéril, Embalagem Individual, Espessura: Nº 10. CATMAT 279765.</t>
  </si>
  <si>
    <t>Cateter Aspiração Traqueal, Material: Pvc Atóxico Flexível, Tipo Uso: Descartável, Características Adicionais: Ponta Atraumática, Orifícios Distais Lateralizados, Tipo Embalagem: Estéril, Embalagem Individual, Espessura: Nº 12. CATMAT 36419.</t>
  </si>
  <si>
    <t>Cateter Aspiração Traqueal, Material: Pvc Atóxico Flexível, Tipo Uso: Descartável, Características Adicionais: Ponta Atraumática, Orifícios Distais Lateralizados, Tipo Embalagem: Estéril, Embalagem Individual, Espessura: Nº 14. CATMAT 279761.</t>
  </si>
  <si>
    <t>Cateter Aspiração Traqueal, Material: Pvc Atóxico Flexível, Tipo Uso: Descartável, Características Adicionais: Ponta Atraumática, Orifícios Distais Lateralizados, Tipo Embalagem: Estéril, Embalagem Individual, Espessura: Nº 16. CATMAT 279762.</t>
  </si>
  <si>
    <t>Cateter Aspiração Traqueal, Material: Pvc Atóxico Flexível, Tipo Uso: Descartável, Características Adicionais: Ponta Atraumática, Orifícios Distais Lateralizados, Tipo Embalagem: Estéril, Embalagem Individual, Espessura: Nº 18. CATMAT 283986.</t>
  </si>
  <si>
    <t>Cateter Aspiração Traqueal, Material: Pvc Atóxico Flexível, Tipo Uso: Descartável, Características Adicionais: Ponta Atraumática, Orifícios Distais Lateralizados, Tipo Embalagem: Estéril, Embalagem Individual, Espessura: N 20. CATMAT 282637.</t>
  </si>
  <si>
    <t>Cateter Central, Aplicação: Venoso, Matéria Prima: Poliuretano Radiopaco, Diâmetro: Cerca 8 Fr, Vias: Duplo Lúmen, Lúmen: 14 A 16 GAU, Comprimento: Cerca 20 CM, Tipo Fixação: Fixação Subcutânea, Conector: Conectores Padrão, Clamp Em Todas Vias E Tampas, Compon</t>
  </si>
  <si>
    <t>Cateter Central, Aplicação: Venoso, Matéria Prima: Poliuretano Radiopaco, Diâmetro: Cerca 7 Fr, Vias: Duplo Lúmen, Lúmen: 14 A 18 GAU, Comprimento: Cerca 20 CM, Conector: Conectores Padrão, Componente: Kit Introdutor Completo, Componente Ii: Revestido C/ Antim</t>
  </si>
  <si>
    <t>Cateter Central, Aplicação: Venoso, Matéria Prima: Poliuretano Radiopaco, Diâmetro: Cerca 4 Fr, Vias: Duplo Lúmen, Lúmen: 20 GAU, Comprimento: Cerca 15 CM, Tipo Fixação: Fixação Subcutânea, Conector: Conectores Padrão, Clamp Em Todas Vias E Tampas, Componente:</t>
  </si>
  <si>
    <t>Cateter Nasal Para Oxigênio, Modelo: Tipo Óculos, Aplicação: P/ Oxigenoterapia, Material: Tubo E Pronga De Silicone, Conector: Compatível C/ Fonte O2, Tamanho: Neonatal, Comprimento: Cerca De 2,5 M, Esterilidade: Não Estéril, Uso Único. CATMAT 621742.</t>
  </si>
  <si>
    <t>Cateter Nasal Para Oxigênio, Modelo: Tipo Óculos, Aplicação: P/ Oxigenoterapia, Material: Tubo E Pronga De Silicone, Conector: Compatível C/ Fonte O2, Tamanho: Adulto, Comprimento: Cerca De 2,5 M, Esterilidade: Não Estéril, Uso Único. CATMAT 621740.</t>
  </si>
  <si>
    <t>Cateter Nasal Para Oxigênio, Modelo: Tipo Óculos, Aplicação: P/ Oxigenoterapia, Material: Tubo E Pronga De Silicone, Conector: Compatível C/ Fonte O2, Tamanho: Infantil, Comprimento: Cerca De 2,5 M, Esterilidade: Não Estéril, Uso Único. CATMAT 621741.</t>
  </si>
  <si>
    <t>Cateter Central, Aplicação: Venoso / Arterial, Tipo Implante: Umbilical, Matéria Prima: Pvc Radiopaco, Diâmetro: Cerca 5 Fr, Vias: Mono Lúmen, Comprimento: Cerca 40 CM, Conector: Conectores Padrão, Clamp E Tampa, Tipo Uso: Estéril, Descartável, Embalagem Indiv</t>
  </si>
  <si>
    <t>Cateter Central, Aplicação: Venoso / Arterial, Tipo Implante: Umbilical, Matéria Prima: Pvc Radiopaco, Diâmetro: Cerca 6 Fr, Vias: Mono Lúmen, Comprimento: Cerca 40 CM, Conector: Conectores Padrão, Clamp E Tampa, Tipo Uso: Estéril, Descartável, Embalagem Indiv</t>
  </si>
  <si>
    <t>Comadre, Material: Aço Inoxidável, Capacidade: 2.000 ML, Tamanho: Tamanho Adulto Padrão Mundial, Tipo: Tipo Pá, Característica Adicional: C/Alça. CATMAT 422609.</t>
  </si>
  <si>
    <t>Curativo / Cobertura, Aplicação: P/ Ferida, Aspecto Físico: Frasco C/ Gel, Composição: À Base De Hidrogel, Componente 4: C/ Phmb, Esterilidade: Estéril. CATMAT 485862.</t>
  </si>
  <si>
    <t>Curativo / Cobertura, Aplicação: P/ Ferida, Aspecto Físico: Frasco C/ Gel, Composição: À Base De Hidrogel, Componentes 5: C/ Age, Esterilidade: Estéril. CATMAT 484924.</t>
  </si>
  <si>
    <t>Curativo / Cobertura, Aplicação: P/ Ferida, Aspecto Físico: Frasco C/ Gel, Composição: À Base De Hidrogel, Componente 2: C/ Alginato, Componentes 5: C/ Age, Esterilidade: Estéril. CATMAT 484925.</t>
  </si>
  <si>
    <t>Curativo / Cobertura, Aplicação: P/ Ferida, Aspecto Físico: Placa, Composição: À Base De Hidrogel, Componente 1: C/ Película Pu / Polietileno, Dimensão: Cerca De 10 X 10 CM, Esterilidade: Estéril. CATMAT 484912.</t>
  </si>
  <si>
    <t>Curativo / Cobertura, Aplicação: P/ Ferida, Aspecto Físico: Placa, Composição: À Base De Hidrogel, Componente 1: C/ Película Pu / Polietileno, Dimensão: Cerca De 20 X 20 CM, Esterilidade: Estéril. CATMAT 484914.</t>
  </si>
  <si>
    <t>Cuba Uso Hospitalar, Material: Aço Inox, Formato: Tipo Rim, Capacidade: Cerca De 700 ML. CATMAT 439214.</t>
  </si>
  <si>
    <t>Dreno Cirúrgico, Modelo: Torácico, Material: Silicone, Calibre: 30 FRENCH, Comprimento: Cerca De 50 CM, Conector Universal: C/ Conector, Componente Ii: Radiopaco, Tipo Uso: Estéril, Descartável, Embalagem: Embalagem Individual.</t>
  </si>
  <si>
    <t>Dreno Cirúrgico, Modelo: Torácico, Material: Silicone, Calibre: 20 FRENCH, Comprimento: Cerca De 50 CM, Conector Universal: C/ Conector, Componente Ii: Radiopaco, Tipo Uso: Estéril, Descartável, Embalagem: Embalagem Individual. CATAMAT 438498.</t>
  </si>
  <si>
    <t>Dreno Cirúrgico, Modelo: Torácico, Material: Silicone, Calibre: 32 FRENCH, Comprimento: Cerca De 50 CM, Conector Universal: C/ Conector, Componente Ii: Radiopaco, Tipo Uso: Estéril, Descartável, Embalagem: Embalagem Individual. CATAMAT 438501.</t>
  </si>
  <si>
    <t>Dreno Cirúrgico, Inativo, Modelo: De Penrose, Material: Látex, Dimensões: Cerca De 6 Mm X 30 CM, Componente I: C/ Gaze, Componente Ii: Radiopaco, Tipo Uso: Estéril, Descartável, Embalagem: Embalagem Individual. CATAMAT 464736</t>
  </si>
  <si>
    <t>Dreno Cirúrgico, Modelo: De Penrose, Material: Silicone, Dimensões: Cerca De 10 Mm X 30 CM, Componente I: C/ Gaze, Componente Ii: Radiopaco, Tipo Uso: Estéril, Descartável, Embalagem: Embalagem Individual. CATAMAT 438529.</t>
  </si>
  <si>
    <t>Dreno Cirúrgico, Modelo: De Penrose, Material: Látex, Dimensões: Cerca De 12 Mm X 30 CM, Componente I: C/ Gaze, Componente Ii: Radiopaco, Tipo Uso: Estéril, Descartável, Embalagem: Embalagem Individual. CATMAT 464737.</t>
  </si>
  <si>
    <t>Dreno Cirúrgico, Modelo: Kehr Em T, Material: Borracha, Calibre: 12 FRENCH, Comprimento: Cerca De 50 CM, Tipo Uso: Estéril, Descartável, Embalagem: Embalagem Individual. CATAMAT 438509.</t>
  </si>
  <si>
    <t>Dreno Cirúrgico, Modelo: Kehr Em T, Material: Borracha, Calibre: 10 FRENCH, Comprimento: Cerca De 50 CM, Tipo Uso: Estéril, Descartável, Embalagem: Embalagem Individual. CATAMAT 438508.</t>
  </si>
  <si>
    <t>Dreno Cirúrgico, Modelo: Kehr Em T, Material: Borracha, Calibre: 16 FRENCH, Comprimento: Cerca De 50 CM, Tipo Uso: Estéril, Descartável, Embalagem: Embalagem Individual. CATAMAT 438507.</t>
  </si>
  <si>
    <t>Equipo De Infusão Venosa Gravitacional, Material: Pvc Transparente, Câmara Gotejamento: Macrogotas, Flexível, C/ Filtro, Regulador De Fluxo Manual: Pinça Rolete, Comprimento Tubo: Até 180 Cm, Tipo Injetor Lateral: C/ 1 Injetor, Autocicatrizante, Conector Pacie</t>
  </si>
  <si>
    <t>Equipo De Infusão Venosa Gravitacional, Material: Pvc Transparente, Câmara Gotejamento: Macrogotas, Flexível, C/ Filtro, Regulador De Fluxo Manual: Pinça Rolete, Comprimento Tubo: Até 180 Cm, Tipo Injetor Lateral: S/ Injetor, Conector Paciente: Luer, Adicional</t>
  </si>
  <si>
    <t>Equipo De Infusão Venosa Gravitacional, Material: Pvc Transparente, Câmara Gotejamento: Microgotas, Flexível, C/ Filtro, Regulador De Fluxo Manual: Pinça Rolete, Comprimento Tubo: Até 180 Cm, Tipo Injetor Lateral: C/ 1 Injetor, Autocicatrizante, Conector Pacie</t>
  </si>
  <si>
    <t>Equipo De Infusão Venosa Gravitacional, Material: Pvc Âmbar P/ Solução Fotossensível, Câmara Gotejamento: Microgotas, Flexível, C/ Filtro, Regulador De Fluxo Manual: Pinça Rolete, Comprimento Tubo: Até 180 Cm, Tipo Injetor Lateral: C/ 1 Injetor, Uso S/ Agulha,</t>
  </si>
  <si>
    <t>Equipo De Infusão Venosa Gravitacional, Material: Pvc Âmbar P/ Solução Fotossensível, Câmara Gotejamento: Macrogotas, Flexível, C/ Filtro, Regulador De Fluxo Manual: Pinça Rolete, Comprimento Tubo: Até 180 Cm, Tipo Injetor Lateral: C/ 1 Injetor, Autocicatrizan</t>
  </si>
  <si>
    <t xml:space="preserve">Equipo De Nutrição Enteral, Material: Pvc, C/ Cor, Tipo: Gravitacional, 1 Via, Câmara Gotejamento: Macrogotas, Flexível, C/ Respiro, Regulador De Fluxo Manual: Pinça Rolete, Conector Dieta: Ponta Perfurante, Conector Paciente: Escalonado, Comprimento Total Do </t>
  </si>
  <si>
    <t>Equipo De Transfusão De Hemocomponentes, Material: Pvc Transparente, Tipo: Gravitacional, 1 Via, Câmara Gotejamento: Macrogotas, Câmara Única, C/ Filtro, Regulador De Fluxo Manual: Pinça Rolete, Comprimento Tubo: Até 180 Cm, Conector Paciente: Luer, Esterilida</t>
  </si>
  <si>
    <t>Equipo De Transfusão De Hemocomponentes, Material: Pvc Transparente, Tipo: Gravitacional, 2 Vias, C/ Derivação Em Y, Câmara Gotejamento: Macrogotas, Câmara Dupla, C/ Filtro, Regulador De Fluxo Manual: Pinça Rolete, Comprimento Tubo: Até 180 Cm, Conector Pacien</t>
  </si>
  <si>
    <t>Equipo P/ Bomba De Infusão, Material: Pvc Âmbar P/ Solução Fotossensível, Material Adicional: Sem Segmento De Silicone, Câmara Gotejamento: Macrogotas, Flexível, C/ Filtro, Regulador De Fluxo Manual: Pinça Rolete, Comprimento Total Do Tubo: Acima De 181 Cm, Ti</t>
  </si>
  <si>
    <t>Equipo P/ Bomba De Infusão, Material: Pvc Âmbar P/ Solução Fotossensível, Material Adicional: Com Segmento De Silicone, Câmara Gotejamento: Macrogotas, Flexível, C/ Respiro E Filtro, Regulador De Fluxo Manual: Pinça Rolete, Comprimento Total Do Tubo: Até 180 C</t>
  </si>
  <si>
    <t>Espátula Uso Médico, Modelo 1: De Ayres, Material: Madeira, Comprimento: Cerca De 18 CM, Esterilidade: Descartável. Pct 100 und. CATMAT 453693.</t>
  </si>
  <si>
    <t>Fita Adesiva - Uso Cutâneo. Tipo: Microporosa, Material Dorso: À Base De Tecido Não Tecido, Tipo De Adesivo: Sintético, Hipoalergênico, Largura Da Fita: Cerca De 10 MmX4,5m, Cor: C/ Cor, Apresentação: Rolo C/ Capa Protetora, Esterilidade: Não Estéril CATMAT 63</t>
  </si>
  <si>
    <t>Fita Adesiva - Uso Cutâneo, Tipo: Microporosa, Material Dorso: À Base De Tecido Não Tecido, Tipo De Adesivo: Silicone, Hipoalergênico, Largura Da Fita: Cerca De 50 MmX4,5M, Cor: C/ Cor, apresentação: rolo c/ capa protetora, Esterilidade: Não Estéril. CATMAT 63</t>
  </si>
  <si>
    <t>Fita Adesiva - Uso Cutâneo, Tipo: Microporosa, Material Dorso: À Base De Tecido Não Tecido, Tipo De Adesivo: Sintético, Hipoalergênico, Largura Da Fita: Cerca De 25 MmX10M, Cor: C/ Cor, apresentação: rolo c/ capa protetora, Característica: Pré - Cortada, Ester</t>
  </si>
  <si>
    <t>Fixador P/ Dispositivo Médico, Aplicação: P/ Tubo Endotraqueal, Material: Cadarço Algodão, Dimensões: Cerca De 10 MM, Tipo Uso: Uso Único. Rolo 5m. CATMAT 481520.</t>
  </si>
  <si>
    <t>Fio De Sutura S/ Agulha, Material: Poliéster C/ Algodão Azul, Modelo: Multifilamentar, Diâmetro: 0 / 1-0, Comprimento: 15 X Cerca De 45 CM, Esterilidade: Estéril, Apresentação: Embalagem Individual. CATMAT 600141.</t>
  </si>
  <si>
    <t>Fio De Sutura S/ Agulha, Material: Poliéster C/ Algodão Azul, Modelo: Multifilamentar, Diâmetro: 3-0, Comprimento: 15 X Cerca De 45 CM, Esterilidade: Estéril, Apresentação: Embalagem Individual. CATMAT 600139.</t>
  </si>
  <si>
    <t xml:space="preserve">Fio De Sutura Agulhado, Material Fio: Poliéster C/ Algodão Azul, Modelo Fio: Multifilamentar, Diâmetro Fio: 2-0, Comprimento Fio: Cerca De 45 CM, Tipo Agulha: Agulha 3/8 Círculo, Modelo Agulha: Cortante Reversa / Invertida, Comprimento Agulha: Cerca De 30 MM, </t>
  </si>
  <si>
    <t>Fio De Sutura Agulhado, Material Fio: Poliéster C/ Algodão Azul, Modelo Fio: Multifilamentar, Diâmetro Fio: 2-0, Comprimento Fio: Cerca De 70 CM, Tipo Agulha: Agulha 3/8 Círculo, Modelo Agulha: Cilíndrica, Comprimento Agulha: Cerca De 30 MM, Esterilidade: Esté</t>
  </si>
  <si>
    <t xml:space="preserve">Fio De Sutura Agulhado, Material Fio: Poliéster C/ Algodão Azul, Modelo Fio: Multifilamentar, Diâmetro Fio: 3-0, Comprimento Fio: Cerca De 45 CM, Tipo Agulha: Agulha 3/8 Círculo, Modelo Agulha: Cortante Reversa / Invertida, Comprimento Agulha: Cerca De 30 MM, </t>
  </si>
  <si>
    <t>Fio De Sutura Agulhado, Material Fio: Ác. Poliglicólico Violeta, Modelo Fio: Multifilamentar, Diâmetro Fio: Nº 1, Comprimento Fio: Cerca De 70 CM, Tipo Agulha: Agulha 1/2 Círculo, Modelo Agulha: Cilíndrica, Comprimento Agulha: Cerca De 40 MM, Esterilidade: Est</t>
  </si>
  <si>
    <t>Fio De Sutura Agulhado, Material Fio: Ác. Poliglicólico Violeta, Modelo Fio: Multifilamentar, Diâmetro Fio: Nº 2, Comprimento Fio: Cerca De 70 CM, Tipo Agulha: Agulha 1/2 Círculo, Modelo Agulha: Cortante, Comprimento Agulha: Cerca De 40 MM, Esterilidade: Estér</t>
  </si>
  <si>
    <t xml:space="preserve">Fio De Sutura Agulhado, Material Fio: Ác. Poliglicólico Violeta, Modelo Fio: Multifilamentar, Diâmetro Fio: 0 / 1-0, Comprimento Fio: Cerca De 70 CM, Tipo Agulha: Agulha 1/2 Círculo, Modelo Agulha: Cilíndrica, Comprimento Agulha: Cerca De 35 MM, Esterilidade: </t>
  </si>
  <si>
    <t>Fio De Sutura Agulhado, Material Fio: Ác. Poliglicólico Violeta, Modelo Fio: Multifilamentar, Diâmetro Fio: 2-0, Comprimento Fio: Cerca De 70 CM, Tipo Agulha: Agulha 3/8 Círculo, Modelo Agulha: Cilíndrica, Comprimento Agulha: Cerca De 30 MM, Esterilidade: Esté</t>
  </si>
  <si>
    <t>Fio De Sutura Agulhado, Material Fio: Catgut Cromado, Modelo Fio: Multifilamentar, Diâmetro Fio: 0 / 1-0, Comprimento Fio: Cerca De 70 CM, Tipo Agulha: Agulha 1/2 Círculo, Modelo Agulha: Cilíndrica Robusta, Comprimento Agulha: Cerca De 35 MM, Esterilidade: Est</t>
  </si>
  <si>
    <t>Fio De Sutura Agulhado, Material Fio: Catgut Cromado, Modelo Fio: Multifilamentar, Diâmetro Fio: 0 / 1-0, Comprimento Fio: Cerca De 70 CM, Tipo Agulha: Agulha 1/2 Círculo, Modelo Agulha: Cilíndrica, Comprimento Agulha: Cerca De 40 MM, Esterilidade: Estéril. Em</t>
  </si>
  <si>
    <t>Fio De Sutura Agulhado, Material Fio: Catgut Cromado, Modelo Fio: Multifilamentar, Diâmetro Fio: 0 / 1-0, Comprimento Fio: Cerca De 70 CM, Tipo Agulha: Agulha 1/2 Círculo, Modelo Agulha: Cilíndrica, Comprimento Agulha: Cerca De 30 MM, Esterilidade: Estéril. Em</t>
  </si>
  <si>
    <t>Fio De Sutura Agulhado, Material Fio: Catgut Cromado, Modelo Fio: Multifilamentar, Diâmetro Fio: 2-0, Comprimento Fio: Cerca De 70 CM, Tipo Agulha: Agulha 1/2 Círculo, Modelo Agulha: Cilíndrica, Comprimento Agulha: Cerca De 30 MM, Esterilidade: Estéril. Embala</t>
  </si>
  <si>
    <t>Fio De Sutura Agulhado, Material Fio: Catgut Cromado, Modelo Fio: Multifilamentar, Diâmetro Fio: 2-0, Comprimento Fio: Cerca De 70 CM, Tipo Agulha: Agulha 1/2 Círculo, Modelo Agulha: Cilíndrica, Comprimento Agulha: Cerca De 40 MM, Esterilidade: Estéril. . Emba</t>
  </si>
  <si>
    <t>Fio De Sutura Agulhado, Material Fio: Catgut Cromado, Modelo Fio: Multifilamentar, Diâmetro Fio: 3-0, Comprimento Fio: Cerca De 70 CM, Tipo Agulha: Agulha 1/2 Círculo, Modelo Agulha: Cilíndrica, Comprimento Agulha: Cerca De 40 MM, Esterilidade: Estéril. Embala</t>
  </si>
  <si>
    <t>Fio De Sutura Agulhado, Material Fio: Catgut Simples, Modelo Fio: Multifilamentar, Diâmetro Fio: 0 / 1-0, Comprimento Fio: Cerca De 70 CM, Tipo Agulha: Agulha 1/2 Círculo, Modelo Agulha: Cilíndrica, Comprimento Agulha: Cerca De 30 MM, Esterilidade: Estéril. Em</t>
  </si>
  <si>
    <t>Fio De Sutura Agulhado, Material Fio: Catgut Simples, Modelo Fio: Multifilamentar, Diâmetro Fio: 0 / 1-0, Comprimento Fio: Cerca De 70 CM, Tipo Agulha: Agulha 1/2 Círculo, Modelo Agulha: Cilíndrica, Comprimento Agulha: Cerca De 40 MM, Esterilidade: Estéril. Em</t>
  </si>
  <si>
    <t>Fio De Sutura Agulhado, Material Fio: Catgut Simples, Modelo Fio: Multifilamentar, Diâmetro Fio: 2-0, Comprimento Fio: Cerca De 70 CM, Tipo Agulha: Agulha 1/2 Círculo, Modelo Agulha: Cilíndrica, Comprimento Agulha: Cerca De 20 MM, Esterilidade: Estéril. Embala</t>
  </si>
  <si>
    <t>Fio De Sutura Agulhado, Material Fio: Catgut Simples, Modelo Fio: Multifilamentar, Diâmetro Fio: 2-0, Comprimento Fio: Cerca De 70 CM, Tipo Agulha: Agulha 1/2 Círculo, Modelo Agulha: Cilíndrica, Comprimento Agulha: Cerca De 30 MM, Esterilidade: Estéril. Embala</t>
  </si>
  <si>
    <t>Fio De Sutura Agulhado, Material Fio: Catgut Simples, Modelo Fio: Multifilamentar, Diâmetro Fio: 2-0, Comprimento Fio: Cerca De 70 CM, Tipo Agulha: Agulha 1/2 Círculo, Modelo Agulha: Cilíndrica, Comprimento Agulha: Cerca De 40 MM, Esterilidade: Estéril. Embala</t>
  </si>
  <si>
    <t>Fio De Sutura Agulhado, Material Fio: Catgut Simples, Modelo Fio: Multifilamentar, Diâmetro Fio: 3-0, Comprimento Fio: Cerca De 70 CM, Tipo Agulha: Agulha 1/2 Círculo, Modelo Agulha: Cilíndrica, Comprimento Agulha: Cerca De 30 MM, Esterilidade: Estéril. Embala</t>
  </si>
  <si>
    <t>Fio De Sutura Agulhado, Material Fio: Catgut Simples, Modelo Fio: Multifilamentar, Diâmetro Fio: 3-0, Comprimento Fio: Cerca De 70 CM, Tipo Agulha: Agulha 1/2 Círculo, Modelo Agulha: Cilíndrica, Comprimento Agulha: Cerca De 40 MM, Esterilidade: Estéril. Embala</t>
  </si>
  <si>
    <t>Fio De Sutura Agulhado, Material Fio: Catgut Simples, Modelo Fio: Multifilamentar, Diâmetro Fio: 4-0, Comprimento Fio: Cerca De 70 CM, Tipo Agulha: Agulha 1/2 Círculo, Modelo Agulha: Cilíndrica, Comprimento Agulha: Cerca De 40 MM, Esterilidade: Estéril. Embala</t>
  </si>
  <si>
    <t>Fio De Sutura Agulhado, Material Fio: Nylon / Poliamida Preto, Modelo Fio: Monofilamentar, Diâmetro Fio: 0 / 1-0, Comprimento Fio: Cerca De 70 CM, Tipo Agulha: Agulha 3/8 Círculo, Modelo Agulha: Cortante Reversa / Invertida, Comprimento Agulha: Cerca De 30 MM,</t>
  </si>
  <si>
    <t>Fio De Sutura Agulhado, Material Fio: Nylon / Poliamida Preto, Modelo Fio: Monofilamentar, Diâmetro Fio: 0 / 1-0, Comprimento Fio: Cerca De 45 CM, Tipo Agulha: Agulha 3/8 Círculo, Modelo Agulha: Cortante Reversa / Invertida, Comprimento Agulha: Cerca De 40 MM,</t>
  </si>
  <si>
    <t>Fio De Sutura Agulhado, Material Fio: Nylon / Poliamida Preto, Modelo Fio: Monofilamentar, Diâmetro Fio: 0 / 1-0, Comprimento Fio: Cerca De 70 CM, Tipo Agulha: Agulha 1/2 Círculo, Modelo Agulha: Cilíndrica, Comprimento Agulha: Cerca De 40 MM, Esterilidade: Est</t>
  </si>
  <si>
    <t>Fio De Sutura Agulhado, Material Fio: Nylon / Poliamida Preto, Modelo Fio: Monofilamentar, Diâmetro Fio: 2-0, Comprimento Fio: Cerca De 45 CM, Tipo Agulha: Agulha 3/8 Círculo, Modelo Agulha: Cortante Reversa / Invertida, Comprimento Agulha: Cerca De 20 MM, Est</t>
  </si>
  <si>
    <t>Fio De Sutura Agulhado, Material Fio: Nylon / Poliamida Preto, Modelo Fio: Monofilamentar, Diâmetro Fio: 2-0, Comprimento Fio: Cerca De 45 CM, Tipo Agulha: Agulha 3/8 Círculo, Modelo Agulha: Cortante Reversa / Invertida, Comprimento Agulha: Cerca De 30 MM, Est</t>
  </si>
  <si>
    <t>Fio De Sutura Agulhado, Material Fio: Nylon / Poliamida Preto, Modelo Fio: Monofilamentar, Diâmetro Fio: 2-0, Comprimento Fio: Cerca De 45 CM, Tipo Agulha: Agulha 3/8 Círculo, Modelo Agulha: Cortante Reversa / Invertida, Comprimento Agulha: Cerca De 40 MM, Est</t>
  </si>
  <si>
    <t xml:space="preserve">Fio De Sutura Agulhado, Material Fio: Nylon / Poliamida Preto, Modelo Fio: Monofilamentar, Diâmetro Fio: 2-0, Comprimento Fio: Cerca De 45 CM, Tipo Agulha: Agulha 3/8 Círculo, Modelo Agulha: Cortante, Comprimento Agulha: Cerca De 40 MM, Esterilidade: Estéril. </t>
  </si>
  <si>
    <t>Fio De Sutura Agulhado, Material Fio: Nylon / Poliamida Preto, Modelo Fio: Monofilamentar, Diâmetro Fio: 3-0, Comprimento Fio: Cerca De 70 CM, Tipo Agulha: Agulha 3/8 Círculo, Modelo Agulha: Cortante Reversa / Invertida, Comprimento Agulha: Cerca De 20 MM, Est</t>
  </si>
  <si>
    <t>Fio De Sutura Agulhado, Material Fio: Nylon / Poliamida Preto, Modelo Fio: Monofilamentar, Diâmetro Fio: 3-0, Comprimento Fio: Cerca De 45 CM, Tipo Agulha: Agulha 3/8 Círculo, Modelo Agulha: Cortante Reversa / Invertida, Comprimento Agulha: Cerca De 30 MM, Est</t>
  </si>
  <si>
    <t>Fio De Sutura Agulhado, Material Fio: Nylon / Poliamida Preto, Modelo Fio: Monofilamentar, Diâmetro Fio: 3-0, Comprimento Fio: Cerca De 45 CM, Tipo Agulha: Agulha 3/8 Círculo, Modelo Agulha: Cortante Reversa / Invertida, Comprimento Agulha: Cerca De 35 MM, Est</t>
  </si>
  <si>
    <t xml:space="preserve">Fio De Sutura Agulhado, Material Fio: Nylon / Poliamida Preto, Modelo Fio: Monofilamentar, Diâmetro Fio: 4-0, Comprimento Fio: Cerca De 45 CM, Tipo Agulha: Agulha 3/8 Círculo, Modelo Agulha: Cortante, Comprimento Agulha: Cerca De 40 MM, Esterilidade: Estéril. </t>
  </si>
  <si>
    <t>Fio De Sutura Agulhado, Material Fio: Nylon / Poliamida Preto, Modelo Fio: Monofilamentar, Diâmetro Fio: 4-0, Comprimento Fio: Cerca De 70 CM, Tipo Agulha: Agulha 3/8 Círculo, Modelo Agulha: Cortante Reversa / Invertida, Comprimento Agulha: Cerca De 30 MM, Est</t>
  </si>
  <si>
    <t>Fio De Sutura Agulhado, Material Fio: Nylon / Poliamida Preto, Modelo Fio: Monofilamentar, Diâmetro Fio: 5-0, Comprimento Fio: Cerca De 45 CM, Tipo Agulha: Agulha 3/8 Círculo, Modelo Agulha: Cortante Reversa / Invertida, Comprimento Agulha: Cerca De 24 MM, Est</t>
  </si>
  <si>
    <t>Fio De Sutura Agulhado, Material Fio: Nylon / Poliamida Preto, Modelo Fio: Monofilamentar, Diâmetro Fio: 5-0, Comprimento Fio: Cerca De 45 CM, Tipo Agulha: Agulha 3/8 Círculo, Modelo Agulha: Cortante Reversa / Invertida, Comprimento Agulha: Cerca De 30 MM, Est</t>
  </si>
  <si>
    <t>Fio De Sutura Agulhado, Material Fio: Nylon / Poliamida Preto, Modelo Fio: Monofilamentar, Diâmetro Fio: 6-0, Comprimento Fio: Cerca De 45 CM, Tipo Agulha: Agulha 3/8 Círculo, Modelo Agulha: Cortante Reversa / Invertida, Comprimento Agulha: Cerca De 20 MM, Est</t>
  </si>
  <si>
    <t>Fio De Sutura Agulhado, Material Fio: Polipropileno Azul, Modelo Fio: Monofilamentar, Diâmetro Fio: 0 / 1-0, Comprimento Fio: Cerca De 70 CM, Tipo Agulha: Agulha 1/2 Círculo, Modelo Agulha: Cilíndrica, Comprimento Agulha: Cerca De 40 MM, Esterilidade: Estéril:</t>
  </si>
  <si>
    <t>Fio De Sutura Agulhado, Material Fio: Polipropileno Azul, Modelo Fio: Monofilamentar, Diâmetro Fio: 2-0, Comprimento Fio: Cerca De 70 CM, Tipo Agulha: Agulha 3/8 Círculo, Modelo Agulha: Cilíndrica, Comprimento Agulha: Cerca De 30 MM, Esterilidade: Estéril: Est</t>
  </si>
  <si>
    <t>Fio De Sutura Agulhado, Material Fio: Polipropileno Azul, Modelo Fio: Monofilamentar, Diâmetro Fio: 2-0, Comprimento Fio: Cerca De 70 CM, Tipo Agulha: Agulha 1/2 Círculo, Modelo Agulha: Cilíndrica, Comprimento Agulha: Cerca De 35 MM, Esterilidade: Estéril: Est</t>
  </si>
  <si>
    <t>Fio De Sutura Agulhado, Material Fio: Polipropileno Azul, Modelo Fio: Monofilamentar, Diâmetro Fio: 3-0, Comprimento Fio: Cerca De 70 CM, Tipo Agulha: Agulha 3/8 Círculo, Modelo Agulha: Cilíndrica, Comprimento Agulha: Cerca De 30 MM, Esterilidade: Estéril: Est</t>
  </si>
  <si>
    <t>Fio De Sutura Agulhado, Material Fio: Poliglecaprone Violeta, Modelo Fio: Monofilamentar, Diâmetro Fio: Nº 1, Comprimento Fio: Cerca De 70 CM, Tipo Agulha: Agulha 1/2 Círculo, Modelo Agulha: Cilíndrica, Comprimento Agulha: Cerca De 40 MM, Esterilidade: Estéril</t>
  </si>
  <si>
    <t>Fio De Sutura Agulhado, Material Fio: Poliglactina Violeta, Modelo Fio: Multifilamentar, Diâmetro Fio: 0 / 1-0, Comprimento Fio: Cerca De 70 CM, Tipo Agulha: Agulha 1/2 Círculo, Modelo Agulha: Cortante Reversa / Invertida, Comprimento Agulha: Cerca De 35 MM, E</t>
  </si>
  <si>
    <t>Fio De Sutura Agulhado, Material Fio: Poliglactina Violeta, Modelo Fio: Multifilamentar, Diâmetro Fio: 0 / 1-0, Comprimento Fio: Cerca De 70 CM, Tipo Agulha: Agulha 1/2 Círculo, Modelo Agulha: Cortante, Comprimento Agulha: Cerca De 30 MM, Esterilidade: Estéril</t>
  </si>
  <si>
    <t>Fio De Sutura Agulhado, Material Fio: Poliglactina Violeta, Modelo Fio: Multifilamentar, Diâmetro Fio: 0 / 1-0, Comprimento Fio: Cerca De 70 CM, Tipo Agulha: Agulha 1/2 Círculo, Modelo Agulha: Cilíndrica Robusta, Comprimento Agulha: Cerca De 26 MM, Esterilidad</t>
  </si>
  <si>
    <t>Fio De Sutura Agulhado, Material Fio: Poliglactina Violeta, Modelo Fio: Multifilamentar, Diâmetro Fio: 2-0, Comprimento Fio: Cerca De 70 CM, Tipo Agulha: Agulha 3/8 Círculo, Modelo Agulha: Cortante Reversa / Invertida, Comprimento Agulha: Cerca De 30 MM, Ester</t>
  </si>
  <si>
    <t>Fio De Sutura Agulhado, Material Fio: Poliglactina Violeta, Modelo Fio: Multifilamentar, Componente Fio: C/ Bacteriostático / Bactericida, Diâmetro Fio: 2-0, Comprimento Fio: Cerca De 70 CM, Tipo Agulha: Agulha 3/8 Círculo, Modelo Agulha: Cilíndrica, Comprimen</t>
  </si>
  <si>
    <t>Fio De Sutura Agulhado, Material Fio: Poliglactina Violeta, Modelo Fio: Multifilamentar, Diâmetro Fio: 2-0, Comprimento Fio: Cerca De 70 CM, Tipo Agulha: Agulha 1/2 Círculo, Modelo Agulha: Cortante Reversa / Invertida, Comprimento Agulha: Cerca De 35 MM, Ester</t>
  </si>
  <si>
    <t>Filtro Terapia Respiratória, Aplicação: P/ Circuito Respiratório, Modelo: Hmef, Tipo: Troca Calor E Umidade C/ Barreira Microbiológica, Tipo Membrana: Hidrófobico E Higroscópico, Componente: Conexões Padrão, Componente Adicional: C/ Traquéia Corrugada, Tamanho</t>
  </si>
  <si>
    <t>Fralda Descartável, Tipo Fixação: Tiras Ajustáveis E Reposicionáveis, Tamanho: Infantil Pequeno, Material: Tela Polímerica E Núcleo Absorvente, Revestimento Externo: Impermeável, Característica Adicional: P/ Fluxo Intenso / Noturno, Barreira Antivazamento. CAT</t>
  </si>
  <si>
    <t>Fralda Descartável, Tipo Fixação: Tiras Ajustáveis E Reposicionáveis, Tamanho: Infantil Médio, Material: Tela Polímerica E Núcleo Absorvente, Revestimento Externo: Impermeável, Característica Adicional: P/ Fluxo Intenso / Noturno, Barreira Antivazamento. CATMA</t>
  </si>
  <si>
    <t>Fralda Descartável, Tipo Fixação: Tiras Ajustáveis E Reposicionáveis, Tamanho: Infantil Grande, Material: Tela Polímerica E Núcleo Absorvente, Revestimento Externo: Impermeável, Característica Adicional: P/ Fluxo Intenso / Noturno, Barreira Antivazamento. CATM</t>
  </si>
  <si>
    <t>Fralda Descartável, Tipo Fixação: Tiras Ajustáveis E Reposicionáveis, Tamanho: Infantil Extra Grande Xg, Material: Tela Polímerica E Núcleo Absorvente, Revestimento Externo: Impermeável, Característica Adicional: P/ Fluxo Intenso / Noturno, Barreira Antivazame</t>
  </si>
  <si>
    <t>Garrote, Material: Faixa Elástica, Componente Adicional: C/ Sistema De Trava Em Plástico, Tamanho: Tamanho Infantil, Tipo Uso: Reutilizável. 445577.</t>
  </si>
  <si>
    <t>Garrote, Material: Faixa Elástica, Componente Adicional: C/ Sistema De Trava Em Plástico, Tamanho: Tamanho Adulto, Tipo Uso: Reutilizável. CATMAT 445576.</t>
  </si>
  <si>
    <t>Gel Para Exame Médico, Composição: A Base De Água, Aplicação: Condutor, Características Adicionais: Ph Neutro, Esterilidade: Estéril. Embalagem galão 5 litros. CATMAT 475840</t>
  </si>
  <si>
    <t>Indicador Biológico, Tipo: Terceira Geração, Apresentação: Autocontido, Ampola Com Meio De Cultura, Espécie: Bacillus Stearothermophillus, Características Adicionais: Resposta Em 3 Horas, Aplicação: Para Esterilização A Vapor. CATMAT 339628.</t>
  </si>
  <si>
    <t>Indicador Biológico, Tipo: Primeira Geração, Apresentação: Tira De Papel Impregnada Com Esporos, Espécie: Bacillus Atrophaeus, Aplicação: Para Esterilização Por Calor Seco. CATMAT 336600.</t>
  </si>
  <si>
    <t>Indicador Químico, Classe: Classe I, Tipo Uso: Externo, Apresentação: Fita Adesiva, Características Adicionais: Para Esterilização A Vapor. CATMAT 332343.</t>
  </si>
  <si>
    <t>Indicador Biológico, Tipo: Segunda Geração, Apresentação: Autocontido, Ampola Com Meio De Cultura, Espécie: Bacillus Stearothermophillus, Características Adicionais: Resposta Em 2 Horas, Aplicação: Para Esterilização A Vapor. CATMAT 380799.</t>
  </si>
  <si>
    <t>Indicador Biológico, Tipo: Terceira Geração, Apresentação: Autocontido, Ampola Com Meio De Cultura, Espécie: Bacillus Stearothermophillus, Características Adicionais: Resposta Em 3 Horas, Aplicação: Para Esterilização A Vapor, Componentes Adicionais: Com Indic</t>
  </si>
  <si>
    <t>Lâmina Bisturi, Material: Aço Inoxidável, Tamanho: Nº 11, Tipo: Descartável, Esterilidade: Estéril, Características Adicionais: Embalada Individualmente Caixa com 100 Unidades. CATMAT 445300.</t>
  </si>
  <si>
    <t>Lâmina Bisturi, Material: Aço Inoxidável, Tamanho: Nº 12, Tipo: Descartável, Esterilidade: Estéril, Características Adicionais: Embalada Individualmente Caixa com 100 Unidades. CATMAT 361076.</t>
  </si>
  <si>
    <t>Lâmina Bisturi, Material: Aço Inoxidável, Tamanho: Nº 15, Tipo: Descartável, Esterilidade: Estéril, Características Adicionais: Embalada Individualmente Caixa com 100 Unidades. CATMAT 366903.</t>
  </si>
  <si>
    <t>Lâmina Bisturi, Material: Aço Inoxidável, Tamanho: Nº 21, Tipo: Descartável, Esterilidade: Estéril, Características Adicionais: Embalada Individualmente Caixa com 100 Unidades. CATMAT 299242.</t>
  </si>
  <si>
    <t>Lâmina Bisturi, Material: Aço Inoxidável, Tamanho: Nº 22, Tipo: Descartável, Esterilidade: Estéril, Características Adicionais: Embalada Individualmente Caixa com 100 Unidades. CATMAT 242918.</t>
  </si>
  <si>
    <t>Lâmina Bisturi, Material: Aço Inoxidável, Tamanho: Nº 24, Tipo: Descartável, Esterilidade: Estéril, Características Adicionais: Embalada Individualmente Caixa com 100 Unidades. CATMAT 366902.</t>
  </si>
  <si>
    <t>Lanceta, Material Lâmina: Aço Inoxidável,Ponta Afiada,Trifacetada, Uso: Descartável, Características Adicionais: Estéril, Embalagem Individual, Tipo: Com Sistema Retrátil. Embalagem: Caixa com 100 und. CATMAT 338605.</t>
  </si>
  <si>
    <t>Lençol Descartável Uso Hospitalar, Materia Prima: 100 Polipropileno, Não Tecido Tnt, Gramatura 1: Cerca De 30 G/M2, Dimensoes: Cerca De 180 X 220 Cm, Apresentação 1: C/ Elástico. CATMAT 615779.</t>
  </si>
  <si>
    <t>Lençol Descartável Uso Hospitalar, Materia Prima: 100 Polipropileno, Não Tecido Tnt, Gramatura 1: Cerca De 30 G/M2, Dimensoes: Cerca De 70 Cm X 50 M, Apresentação 1: Em Rolo. CATMAT 481805.</t>
  </si>
  <si>
    <t>Lençol Descartável Uso Hospitalar, Materia Prima: 100 Polipropileno, Não Tecido Tnt, Gramatura 1: Cerca De 50 G/M2, Dimensoes: Cerca De 100 X 200 Cm, Apresentação 1: C/ Elástico. CATMAT 481803.</t>
  </si>
  <si>
    <t>Luva Cirúrgica, Material: Borracha Natural - Látex, Superfície: Superfície Texturizada, Formato: Anatômico, Pó: Com Pó Bioabsorvível, Cor: C/ Cor, Tamanho: Nº 7,0, Esterilidade: Estéril, Uso Único, Embalagem: Embalagem Individual. CATMAT 620082.</t>
  </si>
  <si>
    <t xml:space="preserve">Luva Cirúrgica, Material: Borracha Natural - Látex, Superfície: Superfície Texturizada, Formato: Anatômico, Pó: Com Pó Bioabsorvível, Cor: C/ Cor, Tamanho: Nº 7,5, apresentação: em par. Esterilidade: Estéril, Uso Único, Embalagem: Embalagem Individual. CATMAT </t>
  </si>
  <si>
    <t xml:space="preserve">Luva Cirúrgica, Material: Borracha Natural - Látex, Superfície: Superfície Texturizada, Formato: Anatômico, Pó: Com Pó Bioabsorvível, Cor: C/ Cor, Tamanho: Nº 8,0, Apresentação: em par, Esterilidade: Estéril, Uso Único, Embalagem: Embalagem Individual. CATMAT </t>
  </si>
  <si>
    <t xml:space="preserve">Luva Cirúrgica, Material: Borracha Natural - Látex, Superfície: Superfície Texturizada, Formato: Anatômico, Pó: Com Pó Bioabsorvível, Cor: C/ Cor, Tamanho: Nº 8,5, Apresentação: em par, Esterilidade: Estéril, Uso Único, Embalagem: Embalagem Individual. CATMAT </t>
  </si>
  <si>
    <t>Luva P/ Procedimento De Saúde Não Cirúrgico C/ Anvisa, Material: Borracha Natural - Látex, Superfície: Superfície Lisa, Formato: Ambidestra, Pó: Com Pó Bioabsorvível, Cor: C/ Cor, Tamanho: Grande - G, Esterilidade: Estéril, Uso Único, Embalagem: Par Em Embalag</t>
  </si>
  <si>
    <t>Luva P/ Procedimento De Saúde Não Cirúrgico C/ Anvisa, Material: Borracha Natural - Látex, Superfície: Superfície Lisa, Formato: Ambidestra, Pó: Com Pó Bioabsorvível, Cor: C/ Cor, Tamanho: Médio - M, Esterilidade: Estéril, Uso Único, Embalagem: Par Em Embalage</t>
  </si>
  <si>
    <t>Luva P/ Procedimento De Saúde Não Cirúrgico C/ Anvisa, Material: Borracha Natural - Látex, Superfície: Superfície Lisa, Formato: Ambidestra, Pó: Com Pó Bioabsorvível, Cor: C/ Cor, Tamanho: Pequeno - P, Esterilidade: Estéril, Uso Único, Embalagem: Par Em Embala</t>
  </si>
  <si>
    <t>Luva P/ Procedimento De Saúde Não Cirúrgico C/ Anvisa, Material: Borracha Natural - Látex, Superfície: Superfície Lisa, Formato: Ambidestra, Pó: Com Pó Bioabsorvível, Cor: C/ Cor, Tamanho: Extra Pequeno - Pp, Esterilidade: Estéril, Uso Único, Embalagem: Par Em</t>
  </si>
  <si>
    <t>Luva P/ Procedimento De Saúde Não Cirúrgico C/ Anvisa, Material: Borracha Sintética - Vinil / Pvc, Superfície: Superfície Lisa, Formato: Ambidestra, Pó: Sem Pó, Cor: C/ Cor, Tamanho: Grande - G, Esterilidade: Não Estéril, Uso Único. Caixa com 100 und. CATMAT 6</t>
  </si>
  <si>
    <t>Luva P/ Procedimento De Saúde Não Cirúrgico C/ Anvisa, Material: Borracha Sintética - Vinil / Pvc, Superfície: Superfície Lisa, Formato: Ambidestra, Pó: Sem Pó, Cor: C/ Cor, Tamanho: Médio - M, Esterilidade: Não Estéril, Uso Único. Caixa com 100 und. CATMAT 61</t>
  </si>
  <si>
    <t xml:space="preserve">Luva P/ Procedimento De Saúde Não Cirúrgico C/ Anvisa, Material: Borracha Sintética - Vinil / Pvc, Superfície: Superfície Lisa, Formato: Ambidestra, Pó: Sem Pó, Cor: C/ Cor, Tamanho: Pequeno - P, Esterilidade: Não Estéril, Uso Único. Caixa com 100 und. CATMAT </t>
  </si>
  <si>
    <t>Luva P/ Procedimento De Saúde Não Cirúrgico C/ Anvisa, Material: Borracha Sintética - Vinil / Pvc, Superfície: Superfície Lisa, Formato: Ambidestra, Pó: Sem Pó, Cor: Transparente, Tamanho: Extra Pequeno - Pp, Esterilidade: Não Estéril, Uso Único. Caixa com 100</t>
  </si>
  <si>
    <t xml:space="preserve">Máscara Gasoterapia, Modelo: Venturi, Material: Plástico, Adicional: C/ Tubo Corrugado, Tamanho: Infantil, Tipo Fixação: C/ Clipe Nasal E Fixador Cefálico Ajustável, Tipo Extensão: Extensor Cerca De 2,0 M, Tipo Conector: Conector Padrão, Adicionais: Jogo C/ 6 </t>
  </si>
  <si>
    <t>Máscara Gasoterapia, Modelo: Venturi, Material: Plástico, Adicional: C/ Tubo Corrugado, Tamanho: Adulto, Tipo Fixação: C/ Clipe Nasal E Fixador Cefálico Ajustável, Tipo Extensão: Extensor Cerca De 2,0 M, Tipo Conector: Conector Padrão, Adicionais: Jogo C/ 6 Di</t>
  </si>
  <si>
    <t>Material Hospitalar, Tipo: Clamp Prendedor Umbilical, Componentes: Plástico, Embalagem: Embalagem Individual, Esterilidade: Estéril, Uso Único. CATAMAT 447065.</t>
  </si>
  <si>
    <t>Material Gasoterapia, Modelo: Umidificador, Saída: P/ Oxigênio, Tipo Frasco: Frasco Plástico Graduado, C/ Tampa, Volume: Cerca De 250 ML, Característica Adicional: Conector Metal C/Rosca, Esterilidade: Esterilizável. CATMAT 435413.</t>
  </si>
  <si>
    <t>Reservatório P/ Coleta De Amostra Biológica, Modelo: Saco, Aplicação: Universal, Material: Polímero Maleável Transparente, Graduado, Volume: Cerca De 2000 Ml, Fechamento: C/ Cordão De Fechamento, Esterilidade: Não Estéril, Uso Único. CATMAT 619176.</t>
  </si>
  <si>
    <t>Reservatório P/ Coleta De Amostra Biológica, Modelo: Saco, Aplicação: P/ Urina Infantil, Material: Polímero Maleável Transparente, Graduado, Volume: Cerca De 100 Ml, Componente: C/ Adesivo De Fixação No Paciente, Esterilidade: Estéril, Uso Único. CATMAT 619195</t>
  </si>
  <si>
    <t>Seringa, Material: Polipropileno, Capacidade: 1 ML, Tipo Bico: Bico Compatível C/ Via Enteral, Tipo Vedação: Êmbolo De Borracha, Adicional: Graduada, Numerada, Esterilidade: Estéril, Uso Único, Apresentação: Embalagem Individual. CATMAT 630428.</t>
  </si>
  <si>
    <t>Seringa, Material: Polipropileno, Capacidade: 1 ML, Tipo Bico: Bico Central Luer Lock Ou Slip, Tipo Vedação: Êmbolo De Borracha, Adicional: Graduada (Escala Ml), Numerada, Tipo Agulha: C/ Agulha 26 G X 1/2, Componente Adicional: C/ Sistema Segurança Segundo Nr</t>
  </si>
  <si>
    <t>Seringa, Material: Polipropileno, Capacidade: 1 ML, Tipo Vedação: Êmbolo De Borracha, Adicional: Graduada (Escala Ui), Numerada, Tipo Agulha: C/ Agulha Fixa Cerca 30 G X 8 Mm, Esterilidade: Estéril, Uso Único. CATMAT 469169.</t>
  </si>
  <si>
    <t xml:space="preserve">Seringa, Material: Polipropileno, Capacidade: 3 ML, Tipo Bico: Bico Central Luer Lock Ou Slip, Adicional: Graduada, Numerada, Tipo Agulha: C/ Agulha 22 G X 1, Modelo: P/ Coleta De Sangue, Componente: C/ Tampa De Vedação De Borracha, Princípio Ativo: C/ Cálcio </t>
  </si>
  <si>
    <t>Seringa, Material: Polipropileno, Capacidade: 5 ML, Tipo Bico: Bico Central Luer Lock Ou Slip, Tipo Vedação: Êmbolo De Borracha, Adicional: Graduada, Numerada, Tipo Agulha: C/ Agulha 21 G X 1, Componente Adicional: C/ Sistema Segurança Segundo Nr/32, Esterilid</t>
  </si>
  <si>
    <t>Seringa, Material: Polipropileno, Capacidade: 5 ML, Tipo Bico: Bico Central Luer Lock Ou Slip, Tipo Vedação: Êmbolo De Borracha, Adicional: Graduada, Numerada, Componente Adicional: C/ Sistema Segurança Segundo Nr/32, Esterilidade: Estéril, Descartável, Aprese</t>
  </si>
  <si>
    <t>Seringa, Material: Polipropileno, Capacidade: 10 ML, Tipo Bico: Bico Central Luer Lock Ou Slip, Tipo Vedação: Êmbolo De Borracha, Adicional: Graduada, Numerada, Tipo Agulha: C/ Agulha 21 G X 1, Componente Adicional: C/ Sistema Segurança Segundo Nr/32, Esterili</t>
  </si>
  <si>
    <t>Seringa, Material: Polipropileno, Capacidade: 10 ML, Tipo Bico: Bico Central Luer Lock Ou Slip, Tipo Vedação: Êmbolo De Borracha, Adicional: Graduada, Numerada, Componente Adicional: C/ Sistema Segurança Segundo Nr/32, Esterilidade: Estéril, Descartável, Apres</t>
  </si>
  <si>
    <t>Seringa, Material: Polipropileno, Capacidade: 20 ML, Tipo Bico: Bico Central Luer Lock Ou Slip, Tipo Vedação: Êmbolo De Borracha, Adicional: Graduada, Numerada, Modelo: P/ Transferência De Soluções Parenterais, Componente: C/ 2 Conectores P/ Uso Sem Agulha, Co</t>
  </si>
  <si>
    <t>Seringa, Material: Polipropileno, Capacidade: 20 ML, Tipo Bico: Bico Central Luer Lock Ou Slip, Tipo Vedação: Êmbolo De Borracha, Adicional: Graduada, Numerada, Tipo Agulha: C/ Agulha 21 G X 1, Componente Adicional: C/ Sistema Segurança Segundo Nr/32, Esterili</t>
  </si>
  <si>
    <t>Seringa, Material: Polipropileno, Capacidade: 20 ML, Tipo Bico: Bico Central Luer Lock Ou Slip, Tipo Vedação: Êmbolo De Borracha, Adicional: Graduada, Numerada, Esterilidade: Estéril, Descartável, Apresentação: Embalagem Individual. CATMAT 439627.</t>
  </si>
  <si>
    <t>Sonda Trato Digestivo, Aplicação: Nasoenteral, Material: Silicone, Calibre: Nº 12, Comprimento: Cerca 100 CM, Conector: Conector Em Y C/ Tampa, Graduação: Graduada, Componentes: Ponta Distal Fechada, C/ Orifícios Laterais, Outros Componentes: C/ Fio Guia, Peso</t>
  </si>
  <si>
    <t>Sonda Trato Digestivo, Aplicação: Nasoenteral, Material: Silicone, Calibre: Nº 10, Comprimento: Cerca 100 CM, Conector: Conector Em Y C/ Tampa, Graduação: Graduada, Componentes: Ponta Distal Fechada, C/ Orifícios Laterais, Outros Componentes: C/ Fio Guia, Peso</t>
  </si>
  <si>
    <t>Sonda Trato Digestivo, Aplicação: Nasoenteral, Material: Poliuretano, Calibre: Nº 8, Comprimento: Cerca 100 CM, Conector: Conector Em Y C/ Tampa, Graduação: Graduada, Componentes: Ponta Distal Fechada, C/ Orifícios Laterais, Outros Componentes: C/ Fio Guia, Pe</t>
  </si>
  <si>
    <t>Sonda Trato Digestivo, Aplicação: Nasoenteral, Material: Silicone, Calibre: Nº 6, Comprimento: Cerca 60 CM, Conector: Conector Em Y C/ Tampa, Graduação: Graduada, Componentes: Ponta Distal Fechada, C/ Orifícios Laterais, Outros Componentes: C/ Fio Guia, Peso M</t>
  </si>
  <si>
    <t>Sonda Trato Urinário, Modelo: Foley, Material: Silicone, Calibre: 4 FRENCH, Vias: 2 Vias, Conector: Conectores Padrão, Volume: C/ Balão Cerca 5 ML, Tipo Ponta: Ponta Distal Cilíndrica Fechada, Componentes: C/ Orifícios Laterais, Esterilidade: Estéril, Descartá</t>
  </si>
  <si>
    <t>Sonda Trato Urinário, Modelo: Foley, Material: Silicone, Calibre: 6 FRENCH, Vias: 2 Vias, Conector: Conectores Padrão, Volume: C/ Balão Cerca 5 ML, Tipo Ponta: Ponta Distal Cilíndrica Fechada, Componentes: C/ Orifícios Laterais, Esterilidade: Estéril, Descartá</t>
  </si>
  <si>
    <t>Sonda Trato Urinário, Modelo: Foley, Material: Silicone, Calibre: 8 FRENCH, Vias: 2 Vias, Conector: Conectores Padrão, Volume: C/ Balão Cerca 5 ML, Tipo Ponta: Ponta Distal Cilíndrica Fechada, Componentes: C/ Orifícios Laterais, Esterilidade: Estéril, Descartá</t>
  </si>
  <si>
    <t>Sonda Trato Urinário, Modelo: Foley, Material: Silicone, Calibre: 10 FRENCH, Vias: 2 Vias, Conector: Conectores Padrão, Volume: C/ Balão Cerca 5 ML, Tipo Ponta: Ponta Distal Cilíndrica Fechada, Componentes: C/ Orifícios Laterais, Esterilidade: Estéril, Descart</t>
  </si>
  <si>
    <t>Sonda Trato Urinário, Modelo: Foley, Material: Silicone, Calibre: 12 FRENCH, Vias: 2 Vias, Conector: Conectores Padrão, Volume: C/ Balão Cerca 5 ML, Tipo Ponta: Ponta Distal Cilíndrica Fechada, Componentes: C/ Orifícios Laterais, Esterilidade: Estéril, Descart</t>
  </si>
  <si>
    <t>Sonda Trato Urinário, Modelo: Foley, Material: Silicone, Calibre: 14 FRENCH, Vias: 2 Vias, Conector: Conectores Padrão, Volume: C/ Balão Cerca 5 ML, Tipo Ponta: Ponta Distal Cilíndrica Fechada, Componentes: C/ Orifícios Laterais, Esterilidade: Estéril, Descart</t>
  </si>
  <si>
    <t>Sonda Trato Urinário, Modelo: Foley, Material: Silicone, Calibre: 16 FRENCH, Vias: 2 Vias, Conector: Conectores Padrão, Volume: C/ Balão Cerca 5 ML, Tipo Ponta: Ponta Distal Cilíndrica Fechada, Componentes: C/ Orifícios Laterais, Esterilidade: Estéril, Descart</t>
  </si>
  <si>
    <t>Sonda Trato Urinário, Modelo: Foley, Material: Silicone, Calibre: 18 FRENCH, Vias: 2 Vias, Conector: Conectores Padrão, Volume: C/ Balão Cerca 5 ML, Tipo Ponta: Ponta Distal Cilíndrica Fechada, Componentes: C/ Orifícios Laterais, Esterilidade: Estéril, Descart</t>
  </si>
  <si>
    <t>Sonda Trato Urinário, Modelo: Foley, Material: Silicone, Calibre: 20 FRENCH, Vias: 2 Vias, Conector: Conectores Padrão, Volume: C/ Balão Cerca 30 ML, Tipo Ponta: Ponta Distal Cilíndrica Fechada, Componentes: C/ Orifícios Laterais, Esterilidade: Estéril, Descar</t>
  </si>
  <si>
    <t>Sonda Trato Urinário, Modelo: Foley, Material: Silicone, Calibre: 22 FRENCH, Vias: 2 Vias, Conector: Conectores Padrão, Volume: C/ Balão Cerca 30 ML, Tipo Ponta: Ponta Distal Cilíndrica Fechada, Componentes: C/ Orifícios Laterais, Esterilidade: Estéril, Descar</t>
  </si>
  <si>
    <t>Sonda Trato Urinário, Modelo: Foley, Material: Silicone, Calibre: 24 FRENCH, Vias: 2 Vias, Conector: Conectores Padrão, Volume: C/ Balão Cerca 30 ML, Tipo Ponta: Ponta Distal Cilíndrica Fechada, Componentes: C/ Orifícios Laterais, Esterilidade: Estéril, Descar</t>
  </si>
  <si>
    <t>Sonda Trato Urinário, Modelo: Foley, Material: Silicone, Calibre: 26 FRENCH, Vias: 2 Vias, Conector: Conectores Padrão, Volume: C/ Balão Cerca 30 ML, Tipo Ponta: Ponta Distal Cilíndrica Fechada, Componentes: C/ Orifícios Laterais, Esterilidade: Estéril, Descar</t>
  </si>
  <si>
    <t>Sonda Trato Urinário, Modelo: Foley, Material: Silicone, Calibre: 16 FRENCH, Vias: 3 Vias, Conector: Conectores Padrão, Volume: C/ Balão Cerca 30 ML, Tipo Ponta: Ponta Distal Cilíndrica Fechada, Componentes: C/ Orifícios Laterais, Esterilidade: Estéril, Descar</t>
  </si>
  <si>
    <t>Sonda Trato Urinário, Modelo: Foley, Material: Silicone, Calibre: 18 FRENCH, Vias: 3 Vias, Conector: Conectores Padrão, Volume: C/ Balão Cerca 30 ML, Tipo Ponta: Ponta Distal Cilíndrica Fechada, Componentes: C/ Orifícios Laterais, Esterilidade: Estéril, Descar</t>
  </si>
  <si>
    <t>Sonda Trato Urinário, Modelo: Foley, Material: Silicone, Calibre: 20 FRENCH, Vias: 3 Vias, Conector: Conectores Padrão, Volume: C/ Balão Cerca 30 ML, Tipo Ponta: Ponta Distal Cilíndrica Fechada, Componentes: C/ Orifícios Laterais, Esterilidade: Estéril, Descar</t>
  </si>
  <si>
    <t>Sonda Trato Urinário, Modelo: Foley, Material: Silicone, Calibre: 22 FRENCH, Vias: 3 Vias, Conector: Conectores Padrão, Volume: C/ Balão Cerca 30 ML, Tipo Ponta: Ponta Distal Cilíndrica Fechada, Componentes: C/ Orifícios Laterais, Esterilidade: Estéril, Descar</t>
  </si>
  <si>
    <t xml:space="preserve">Sonda Trato Digestivo, Aplicação: Oro Ou Nasogástrica, Modelo: Levine, Material: Pvc, Calibre: Nº 4, Tamanho: Curta, Comprimento: Cerca 50 CM, Conector: Conector Padrão C/ Tampa, Componentes: Ponta Distal Fechada, C/ Orifícios Laterais, Esterilidade: Estéril, </t>
  </si>
  <si>
    <t xml:space="preserve">Sonda Trato Digestivo, Aplicação: Oro Ou Nasogástrica, Modelo: Levine, Material: Pvc, Calibre: Nº 6, Tamanho: Curta, Comprimento: Cerca 50 CM, Conector: Conector Padrão C/ Tampa, Componentes: Ponta Distal Fechada, C/ Orifícios Laterais, Esterilidade: Estéril, </t>
  </si>
  <si>
    <t xml:space="preserve">Sonda Trato Digestivo, Aplicação: Oro Ou Nasogástrica, Modelo: Levine, Material: Pvc, Calibre: Nº 8, Tamanho: Curta, Comprimento: Cerca 50 CM, Conector: Conector Padrão C/ Tampa, Componentes: Ponta Distal Fechada, C/ Orifícios Laterais, Esterilidade: Estéril, </t>
  </si>
  <si>
    <t>Sonda Trato Digestivo, Aplicação: Oro Ou Nasogástrica, Modelo: Levine, Material: Pvc, Calibre: Nº 10, Tamanho: Curta, Comprimento: Cerca 50 CM, Conector: Conector Padrão C/ Tampa, Componentes: Ponta Distal Fechada, C/ Orifícios Laterais, Esterilidade: Estéril,</t>
  </si>
  <si>
    <t>Sonda Trato Digestivo, Aplicação: Oro Ou Nasogástrica, Modelo: Levine, Material: Pvc, Calibre: Nº 12, Tamanho: Curta, Comprimento: Cerca 50 CM, Conector: Conector Padrão C/ Tampa, Componentes: Ponta Distal Fechada, C/ Orifícios Laterais, Esterilidade: Estéril,</t>
  </si>
  <si>
    <t>Sonda Trato Digestivo, Aplicação: Oro Ou Nasogástrica, Modelo: Levine, Material: Pvc, Calibre: Nº 14, Tamanho: Curta, Comprimento: Cerca 50 CM, Conector: Conector Padrão C/ Tampa, Componentes: Ponta Distal Fechada, C/ Orifícios Laterais, Esterilidade: Estéril,</t>
  </si>
  <si>
    <t>Sonda Trato Digestivo, Aplicação: Oro Ou Nasogástrica, Modelo: Levine, Material: Pvc, Calibre: Nº 16, Tamanho: Curta, Comprimento: Cerca 50 CM, Conector: Conector Padrão C/ Tampa, Componentes: Ponta Distal Fechada, C/ Orifícios Laterais, Esterilidade: Estéril,</t>
  </si>
  <si>
    <t>Sonda Trato Digestivo, Aplicação: Oro Ou Nasogástrica, Modelo: Levine, Material: Pvc, Calibre: Nº 18, Tamanho: Curta, Comprimento: Cerca 50 CM, Conector: Conector Padrão C/ Tampa, Componentes: Ponta Distal Fechada, C/ Orifícios Laterais, Esterilidade: Estéril,</t>
  </si>
  <si>
    <t>Sonda Trato Digestivo, Aplicação: Oro Ou Nasogástrica, Modelo: Levine, Material: Silicone, Calibre: Nº 20, Tamanho: Curta, Comprimento: Cerca 50 CM, Conector: Conector Padrão C/ Tampa, Componentes: Ponta Distal Fechada, C/ Orifícios Laterais, Esterilidade: Est</t>
  </si>
  <si>
    <t>Sonda Trato Digestivo, Aplicação: Oro Ou Nasogástrica, Modelo: Levine, Material: Pvc, Calibre: Nº 22 FRENCH, Tamanho: Curta, Comprimento: Cerca 50 CM, Conector: Conector Padrão C/ Tampa, Componentes: Ponta Distal Fechada, C/ Orifícios Laterais, Esterilidade: E</t>
  </si>
  <si>
    <t>Sonda Trato Digestivo, Aplicação: Oro Ou Nasogástrica, Modelo: Levine, Material: Pvc, Calibre: Nº 24 FRENCH, Tamanho: Curta, Comprimento: Cerca 50 CM, Conector: Conector Padrão C/ Tampa, Componentes: Ponta Distal Fechada, C/ Orifícios Laterais, Esterilidade: E</t>
  </si>
  <si>
    <t>Sonda Trato Digestivo, Aplicação: Oro Ou Nasogástrica, Modelo: Levine, Material: Pvc, Calibre: Nº 4, Tamanho: Longa, Comprimento: Cerca 120 CM, Conector: Conector Padrão C/ Tampa, Componentes: Ponta Distal Fechada, C/ Orifícios Laterais, Esterilidade: Estéril,</t>
  </si>
  <si>
    <t>Sonda Trato Digestivo, Aplicação: Oro Ou Nasogástrica, Modelo: Levine, Material: Pvc, Calibre: Nº 6, Tamanho: Longa, Comprimento: Cerca 120 CM, Conector: Conector Padrão C/ Tampa, Componentes: Ponta Distal Fechada, C/ Orifícios Laterais, Esterilidade: Estéril,</t>
  </si>
  <si>
    <t>Sonda Trato Digestivo, Aplicação: Oro Ou Nasogástrica, Modelo: Levine, Material: Pvc, Calibre: Nº 8, Tamanho: Longa, Comprimento: Cerca 120 CM, Conector: Conector Padrão C/ Tampa, Componentes: Ponta Distal Fechada, C/ Orifícios Laterais, Esterilidade: Estéril,</t>
  </si>
  <si>
    <t>Sonda Trato Digestivo, Aplicação: Oro Ou Nasogástrica, Modelo: Levine, Material: Pvc, Calibre: Nº 10, Tamanho: Longa, Comprimento: Cerca 120 CM, Conector: Conector Padrão C/ Tampa, Componentes: Ponta Distal Fechada, C/ Orifícios Laterais, Esterilidade: Estéril</t>
  </si>
  <si>
    <t>Sonda Trato Digestivo, Aplicação: Oro Ou Nasogástrica, Modelo: Levine, Material: Pvc, Calibre: Nº 12, Tamanho: Longa, Comprimento: Cerca 120 CM, Conector: Conector Padrão C/ Tampa, Componentes: Ponta Distal Fechada, C/ Orifícios Laterais, Esterilidade: Estéril</t>
  </si>
  <si>
    <t>Sonda Trato Digestivo, Aplicação: Oro Ou Nasogástrica, Modelo: Levine, Material: Pvc, Calibre: Nº 14, Tamanho: Longa, Comprimento: Cerca 120 CM, Conector: Conector Padrão C/ Tampa, Componentes: Ponta Distal Fechada, C/ Orifícios Laterais, Esterilidade: Estéril</t>
  </si>
  <si>
    <t>Sonda Trato Digestivo, Aplicação: Oro Ou Nasogástrica, Modelo: Levine, Material: Pvc, Calibre: Nº 16, Tamanho: Longa, Comprimento: Cerca 120 CM, Conector: Conector Padrão C/ Tampa, Componentes: Ponta Distal Fechada, C/ Orifícios Laterais, Esterilidade: Estéril</t>
  </si>
  <si>
    <t>Sonda Trato Digestivo, Aplicação: Oro Ou Nasogástrica, Modelo: Levine, Material: Pvc, Calibre: Nº 18, Tamanho: Longa, Comprimento: Cerca 120 CM, Conector: Conector Padrão C/ Tampa, Componentes: Ponta Distal Fechada, C/ Orifícios Laterais, Esterilidade: Estéril</t>
  </si>
  <si>
    <t>Sonda Trato Digestivo, Aplicação: Oro Ou Nasogástrica, Modelo: Levine, Material: Pvc, Calibre: Nº 20, Tamanho: Longa, Comprimento: Cerca 120 CM, Conector: Conector Padrão C/ Tampa, Componentes: Ponta Distal Fechada, C/ Orifícios Laterais, Esterilidade: Estéril</t>
  </si>
  <si>
    <t>Sonda Trato Urinário, Modelo: Uretral, Material: Pvc, Calibre: 4 FRENCH, Conector: Conector Padrão C/ Tampa, Comprimento: Cerca 40 CM, Tipo Ponta: Ponta Distal Cilíndrica Fechada, Componentes: C/ Orifícios Laterais, Esterilidade: Estéril, Descartável, Embalage</t>
  </si>
  <si>
    <t>Sonda Trato Urinário, Modelo: Uretral, Material: Pvc, Calibre: 6 FRENCH, Conector: Conector Padrão C/ Tampa, Comprimento: Cerca 40 CM, Tipo Ponta: Ponta Distal Cilíndrica Fechada, Componentes: C/ Orifícios Laterais, Esterilidade: Estéril, Descartável, Embalage</t>
  </si>
  <si>
    <t>Sonda Trato Urinário, Modelo: Uretral, Material: Pvc, Calibre: 8 FRENCH, Conector: Conector Padrão C/ Tampa, Comprimento: Cerca 40 CM, Tipo Ponta: Ponta Distal Cilíndrica Fechada, Componentes: C/ Orifícios Laterais, Esterilidade: Estéril, Descartável, Embalage</t>
  </si>
  <si>
    <t>Sonda Trato Urinário, Modelo: Uretral, Material: Poliuretano, Calibre: 10 FRENCH, Conector: Conector Padrão C/ Tampa, Comprimento: Cerca 40 CM, Tipo Ponta: Ponta Distal Cilíndrica Fechada, Componentes: C/ Orifícios Laterais, Esterilidade: Estéril, Descartável,</t>
  </si>
  <si>
    <t>Sonda Trato Urinário, Modelo: Uretral, Material: Poliuretano, Calibre: 12 FRENCH, Conector: Conector Padrão, Comprimento: Cerca 40 CM, Tipo Ponta: Ponta Distal Cilíndrica Fechada, Componentes: C/ Orifícios Laterais, Adicionais: Lubrificada, Esterilidade: Estér</t>
  </si>
  <si>
    <t>Sonda Trato Urinário, Modelo: Uretral, Material: Poliuretano, Calibre: 14 FRENCH, Conector: Conector Padrão C/ Tampa, Comprimento: Cerca 40 CM, Tipo Ponta: Ponta Distal Cilíndrica Fechada, Componentes: C/ Orifícios Laterais, Esterilidade: Estéril, Descartável,</t>
  </si>
  <si>
    <t>Sonda Trato Urinário, Modelo: Uretral, Material: Poliuretano, Calibre: 16 FRENCH, Conector: Conector Padrão C/ Tampa, Comprimento: Cerca 40 CM, Tipo Ponta: Ponta Distal Cilíndrica Fechada, Componentes: C/ Orifícios Laterais, Esterilidade: Estéril, Descartável,</t>
  </si>
  <si>
    <t>Sonda Trato Urinário, Modelo: Uretral, Material: Poliuretano, Calibre: 18 FRENCH, Conector: Conector Padrão C/ Tampa, Comprimento: Cerca 40 CM, Tipo Ponta: Ponta Distal Cilíndrica Fechada, Componentes: C/ Orifícios Laterais, Esterilidade: Estéril, Descartável,</t>
  </si>
  <si>
    <t>Sonda Trato Urinário, Modelo: Uretral, Material: Poliuretano, Calibre: 20 FRENCH, Conector: Conector Padrão C/ Tampa, Comprimento: Cerca 40 CM, Tipo Ponta: Ponta Distal Cilíndrica Fechada, Componentes: C/ Orifícios Laterais, Esterilidade: Estéril, Descartável,</t>
  </si>
  <si>
    <t>Suporte, Tipo: Coletor De 20 Litros, Material: Metal, Aplicação: Coletor De Perfurocortante. CATMAT 464550.</t>
  </si>
  <si>
    <t>Touca Hospitalar, Material: Não Tecido 100 Polipropileno, Modelo: Com Elástico Em Toda Volta, Cor: Com Cor, Gramatura: Cerca De 20 G/M2, Tamanho: Único, Tipo Uso: Descartável, Característica Adicional 01: Hipoalergênica, Atóxica, Inodora, Unissex. Embalagem c/</t>
  </si>
  <si>
    <t>Tubo Supraglótico, Tipo: Máscara Laríngea, Material: Pvc, Formato: Em L, Tamanho: Nº 1, Componente 1: C/ Linha De Referência, Conector: C/ Conector Padrão, Esterilidade: Estéril, Uso Único. CATMAT 451040.</t>
  </si>
  <si>
    <t>Tubo Supraglótico, Tipo: Máscara Laríngea, Material: Pvc, Formato: Em L, Tamanho: Nº 1,5, Componente 1: C/ Linha De Referência, Conector: C/ Conector Padrão, Esterilidade: Estéril, Uso Único. CATMAT 451045.</t>
  </si>
  <si>
    <t>Tubo Supraglótico, Tipo: Máscara Laríngea, Material: Pvc, Formato: Em L, Tamanho: Nº 2, Componente 1: C/ Linha De Referência, Conector: C/ Conector Padrão, Esterilidade: Estéril, Uso Único. CATMAT 451041.</t>
  </si>
  <si>
    <t>Tubo Supraglótico, Tipo: Máscara Laríngea, Material: Pvc, Formato: Em L, Tamanho: Nº 2,5, Componente 1: C/ Linha De Referência, Conector: C/ Conector Padrão, Esterilidade: Estéril, Uso Único. CATMAT 451039.</t>
  </si>
  <si>
    <t>Tubo Supraglótico, Tipo: Máscara Laríngea, Material: Pvc, Formato: Em L, Tamanho: Nº 3, Componente 1: C/ Linha De Referência, Conector: C/ Conector Padrão, Esterilidade: Estéril, Uso Único. CATMAT 451042.</t>
  </si>
  <si>
    <t>Tubo Supraglótico, Tipo: Máscara Laríngea, Material: Pvc, Formato: Em L, Tamanho: Nº 4, Componente 1: C/ Linha De Referência, Conector: C/ Conector Padrão, Esterilidade: Estéril, Uso Único. CATMAT 451043.</t>
  </si>
  <si>
    <t>Tubo Supraglótico, Tipo: Máscara Laríngea, Material: Pvc, Formato: Em L, Tamanho: Nº 5, Componente 1: C/ Linha De Referência, Conector: C/ Conector Padrão, Esterilidade: Estéril, Uso Único. CATMAT 451044.</t>
  </si>
  <si>
    <t>Tubo Supraglótico, Tipo: Máscara Laríngea, Material: Pvc, Formato: Em L, Tamanho: Nº 6, Componente 1: C/ Linha De Referência, Conector: C/ Conector Padrão, Esterilidade: Estéril, Uso Único. CATMAT 451038.</t>
  </si>
  <si>
    <t xml:space="preserve">Torneirinha, Modelo: Manifold C/ 3 Torneiras, Vias: 5 Vias, Material: Polímero, Tipo Conector: Luer Lock / Slip / Valvulado, Pressão Máxima: Até Cerca De 100 PSI, Componente Adicional: C/ Extensor E Válvula Antirrefluxo, Comprimento: Cerca De 120 CM, Calibre: </t>
  </si>
  <si>
    <t>Sensor Uso Médico, Aplicação: De Oximetria, Modelo: De Dedo, Componentes: C/ Cabo, Tamanho: Tamanho Adulto, Compatibilidade: C/ Compatibilidade Específica, Esterilidade: Reutilizável. CATMAT 445872.</t>
  </si>
  <si>
    <t xml:space="preserve">Coletor De Resíduos De Serviço De Saúde, Tipo De Resíduo: Grupo E - Resíduo Perfurocortante Infectante, Tipo Risco: Risco Biológico, Capacidade: Cerca De 1 L, Material: Caixa De Papelão C/ Saco Plástico, Componente: Encaixe P/ Desconexão De Agulha, Adicional: </t>
  </si>
  <si>
    <t>Coletor De Resíduos De Serviço De Saúde, Tipo De Resíduo: Grupo E - Resíduo Perfurocortante Infectante, Tipo Risco: Risco Biológico, Capacidade: Cerca De 13 L, Material: Caixa De Papelão C/ Saco Plástico, Adicional: C/ Alça, Uso: Uso Único. CATMAT 623109.</t>
  </si>
  <si>
    <t>Coletor De Resíduos De Serviço De Saúde, Tipo De Resíduo: Grupo E - Resíduo Perfurocortante Tóxico, Tipo Risco: Risco Químico, Capacidade: Cerca De 13 L, Material: Caixa De Papelão C/ Saco Plástico, Adicional: C/ Alça, Uso: Uso Único. CATMAT 623118.</t>
  </si>
  <si>
    <t>Coletor De Resíduos De Serviço De Saúde, Tipo De Resíduo: Grupo E - Resíduo Perfurocortante Infectante, Tipo Risco: Risco Biológico, Capacidade: Cerca De 20 L, Material: Caixa De Papelão C/ Saco Plástico, Adicional: C/ Alça, Uso: Uso Único. CATMAT 623110.</t>
  </si>
  <si>
    <t>Luva Cirúrgica, Material: Borracha Natural - Látex, Superfície: Superfície Texturizada, Formato: Anatômico, Pó: Com Pó Bioabsorvível, Cor: C/ Cor, Tamanho: Nº 6,0, Esterilidade: Estéril, Uso Único, Embalagem: Embalagem Individual. CATMAT 620080.</t>
  </si>
  <si>
    <t>Luva Cirúrgica, Material: Borracha Natural - Látex, Superfície: Superfície Texturizada, Formato: Anatômico, Pó: Com Pó Bioabsorvível, Cor: C/ Cor, Tamanho: Nº 6,5, Esterilidade: Estéril, Uso Único, Embalagem: Embalagem Individual. CATMAT 620081.</t>
  </si>
  <si>
    <t>Luva de PVC forrada palma granula 60 cm</t>
  </si>
  <si>
    <t>Luva descartável de vinil, sem pó, tamanho M, confeccionada em policloreto de vinila (PVC), ambidestra, não estéril, com superfície lisa e acabamento uniforme, proporcionando proteção das mãos contra sujeiras, contato com líquidos e agentes contaminantes em at</t>
  </si>
  <si>
    <t>Máscara cirúrgica descartável, tripla camada, confeccionada em material não tecido (TNT), com três camadas de proteção, proporcionando barreira contra partículas e gotículas. Possui elástico ou tiras para fixação, ajuste confortável ao rosto e clipe nasal flex</t>
  </si>
  <si>
    <t>Mascara Descartável Azul Pff2 Com Válvula Nuca com 100 unid</t>
  </si>
  <si>
    <t>Touca Árabe Bone EPI Brim e bordado na cor Laranja</t>
  </si>
  <si>
    <t>Touca descartável, tipo sanfonada, confeccionada em TNT (tecido não tecido), material leve, resistente e de boa qualidade, com acabamento que proporcione conforto durante o uso. Possui elástico em toda a borda,permitindo ajuste adequado à cabeça e cobertura to</t>
  </si>
  <si>
    <t>Fralda Descartável tipo fixação: tiras ajustáveis e reposicionáveis, tamanho: infantil pequeno, material: tela polímerica e núcleo absorvente, revestimento externo: impermeável, característica adicional: barreira antivazamento</t>
  </si>
  <si>
    <t>Fralda Descartável tipo fixação: cintura elástica ajustável, tipo calcinha, tamanho: infantil extra grande xxg, material: tela polímerica e núcleo absorvente, revestimento externo: impermeável, característica adicional: barreira antivazamento</t>
  </si>
  <si>
    <t>Gel Para Exame Médico composição: a base de água, aplicação: condutor, características adicionais: ph neutro, esterilidade: estéril ESPECIFICAÇÃO CONFORME O TERMO DE REFERÊNCIA.</t>
  </si>
  <si>
    <t>Luva Cirúrgica material: borracha natural - látex, superfície: superfície lisa, formato: anatômico, pó: com pó bioabsorvível, cor: c/ cor, tamanho: nº 7,0, apresentação: em par, esterilidade: estéril, uso único, embalagem: embalagem individual ESPECIFICAÇÃO CO</t>
  </si>
  <si>
    <t>Agulha Odontológica material: polipropileno e aço inoxidável, aplicação: hipodérmica / endodontia, indicação: irrigação, dimensão: cerca de 30 g x 21 mm, tipo ponta*: sem bisel, ponta romba, tipo cânula: cânula angulada, adicional: c/ cursor, tipo conexão: con</t>
  </si>
  <si>
    <t>Espéculo Uso Médico Espéculo Uso Médico, Aplicação:Vaginal, Modelo:Collin, Tamanho:Grande, Adicional 1:C/ Lubrificante, Travamento:C/ Trava Tipo Rosca, Material:Polímero, Esterilidade:Estéril, Uso Único, Embalagem:Embalagem Individual Espéculo Uso Médico Aplic</t>
  </si>
  <si>
    <t xml:space="preserve">Espéculo Uso Médico Espéculo Uso Médico, Aplicação:Vaginal, Modelo:Collin, Tamanho:Grande, Adicional 1:C/ Via P/ Iluminar Cavidade, Travamento:C/ Trava Tipo Rosca, Material:Polímero, Esterilidade:Não Estéril, Uso Único, Embalagem:Embalagem Individual Espéculo </t>
  </si>
  <si>
    <t>Espéculo Uso Médico Espéculo Uso Médico, Aplicação:Vaginal, Modelo:Collin, Tamanho:Pequeno, Adicional 1:C/ Lubrificante, Travamento:C/ Trava Tipo Rosca, Material:Polímero, Esterilidade:Estéril, Uso Único, Embalagem:Embalagem Individual Espéculo Uso Médico Apli</t>
  </si>
  <si>
    <t>Indicador Biológico P/ Processamento De Produtos De Saúde Indicador Biológico P/ Processamento De Produtos De Saúde, Tipo:Primeira Geração, Apresentação:Tira De Papel Impregnada Com Esporos, Espécie:Bacillus Atrophaeus, Aplicação:Para Esterilização Por Calor S</t>
  </si>
  <si>
    <t>Indicador Biológico P/ Processamento De Produtos De Saúde Indicador Biológico P/ Processamento De Produtos De Saúde, Tipo:Segunda Geração, Apresentação:Autocontido, Ampola Com Meio De Cultura, Espécie:Bacillus Stearothermophillus, Características Adicionais:Pa</t>
  </si>
  <si>
    <t>Lanceta Lanceta, Material Lâmina:Aço Inoxidável,Ponta Afiada,Trifacetada, Uso:Descartável, Características Adicionais:Estéril, Embalagem Individual, Tipo:Com Sistema Retrátil Lanceta Material Lâmina: Aço Inoxidável, Ponta Afiada, Trifacetada, Uso: Descartável,</t>
  </si>
  <si>
    <t>Lençol Descartável Uso Hospitalar Lençol Descartável Uso Hospitalar, Materia Prima:100% Fibra Celulose Natural, Dimensoes:Cerca De 50 Cm X 50 M, Apresentação 1:Em Rolo Lençol Descartável Uso Hospitalar Matéria Prima: 100% Fibra Celulose Natural, Dimensões: Cer</t>
  </si>
  <si>
    <t>Lençol Descartável Uso Hospitalar Lençol Descartável Uso Hospitalar, Materia Prima:100% Fibra Celulose Natural, Dimensoes:Cerca De 70 Cm X 50 M, Apresentação 1:Em Rolo Lençol Descartável Uso Hospitalar Matéria Prima: 100% Fibra Celulose Natural, Dimensões: Cer</t>
  </si>
  <si>
    <t xml:space="preserve">Seringa Seringa, Material:Polipropileno, Capacidade:1 ML, Tipo Bico:Bico Central Luer Lock Ou Slip, Tipo Vedação:Êmbolo De Borracha, Adicional:Graduada (Escala Ui), Numerada, Tipo Agulha:C/ Agulha 30 G X 1/2", Componente Adicional:C/ Sistema Segurança Segundo </t>
  </si>
  <si>
    <t>Agulha Hipodérmica Agulha Hipodérmica, Material:Aço Inoxidável Siliconizado, Dimensão:18 G X 1", Tipo Ponta:Bisel Curto Trifacetado, Tipo Conexão:Conector Luer Lock Ou Slip Em Plástico, Tipo Fixação:Protetor Plástico, Tipo Uso:Estéril, Descartável, Embalagem I</t>
  </si>
  <si>
    <t>Agulha Hipodérmica Agulha Hipodérmica, Material:Aço Inoxidável Siliconizado, Dimensão:19 G X 1 1/4", Tipo Ponta:Bisel Curto Trifacetado, Tipo Conexão:Conector Luer Lock Ou Slip Em Plástico, Tipo Fixação:Protetor Plástico, Tipo Uso:Estéril, Descartável, Embalag</t>
  </si>
  <si>
    <t>Seringa Seringa, Material:Polipropileno, Capacidade:20 ML, Tipo Bico:Bico Lateral Luer Slip, Tipo Vedação:Êmbolo De Borracha, Adicional:Graduada, Numerada, Esterilidade:Estéril, Descartável, Apresentação:Embalagem Individual Seringa Material: Polipropileno, Ca</t>
  </si>
  <si>
    <t>Sonda Trato Urinário Sonda Trato Urinário, Modelo:Uretral, Material:Silicone, Calibre:4 FRENCH, Conector:Conector Padrão C/ Tampa, Comprimento:Cerca 40 CM, Tipo Ponta:Ponta Distal Cilíndrica Fechada, Componentes:C/ Orifícios Laterais, Esterilidade:Estéril, Des</t>
  </si>
  <si>
    <t>Sonda Trato Urinário Sonda Trato Urinário, Modelo:Uretral, Material:Pvc, Calibre:6 FRENCH, Conector:Conector Padrão C/ Tampa, Comprimento:Cerca 20 CM, Tipo Ponta:Ponta Distal Cilíndrica Fechada, Componentes:C/ Orifícios Laterais, Esterilidade:Estéril, Descartá</t>
  </si>
  <si>
    <t>Sonda Trato Urinário Sonda Trato Urinário, Modelo:Uretral, Material:Poliuretano, Calibre:10 FRENCH, Conector:Conector Padrão C/ Tampa, Comprimento:Cerca 40 CM, Tipo Ponta:Ponta Distal Cilíndrica Fechada, Componentes:C/ Orifícios Laterais, Esterilidade:Estéril,</t>
  </si>
  <si>
    <t>Sonda Trato Urinário Sonda Trato Urinário, Modelo:Uretral, Material:Poliuretano, Calibre:12 FRENCH, Conector:Conector Padrão C/ Tampa, Comprimento:Cerca 40 CM, Tipo Ponta:Ponta Distal Cilíndrica Fechada, Componentes:C/ Orifícios Laterais, Esterilidade:Estéril,</t>
  </si>
  <si>
    <t>Sonda Trato Urinário Sonda Trato Urinário, Modelo:Uretral, Material:Poliuretano, Calibre:14 FRENCH, Conector:Conector Padrão, Comprimento:Cerca 40 CM, Tipo Ponta:Ponta Distal Cilíndrica Fechada, Componentes:C/ Orifícios Laterais, Adicionais:Lubrificada, Esteri</t>
  </si>
  <si>
    <t>Sonda Trato Urinário Sonda Trato Urinário, Modelo:Uretral, Material:Pvc, Calibre:16 FRENCH, Conector:Conector Padrão C/ Tampa, Comprimento:Cerca 40 CM, Tipo Ponta:Ponta Distal Cilíndrica Fechada, Componentes:C/ Orifícios Laterais, Esterilidade:Estéril, Descart</t>
  </si>
  <si>
    <t>Sonda Trato Urinário Sonda Trato Urinário, Modelo:Uretral, Material:Pvc, Calibre:18 FRENCH, Conector:Conector Padrão C/ Tampa, Comprimento:Cerca 40 CM, Tipo Ponta:Ponta Distal Cilíndrica Fechada, Componentes:C/ Orifícios Laterais, Esterilidade:Estéril, Descart</t>
  </si>
  <si>
    <t>Agulha Hipodérmica Agulha Hipodérmica, Material:Aço Inoxidável Siliconizado, Dimensão:20 G X 1 1/4", Tipo Ponta:Bisel Curto Trifacetado, Tipo Conexão:Conector Luer Lock Em Plástico, Tipo Fixação:Protetor Plástico, Característica Adicional:Com Sistema Segurança</t>
  </si>
  <si>
    <t xml:space="preserve">Agulha Coleta Sangue À Vácuo Agulha Coleta Sangue À Vácuo, Material:Aço Inoxidável Siliconizado, Dimensão:25 G X 1 1/2", Tipo Ponta:Bisel Curto Trifacetado, Tipo Conexão:Conector Luer Lock Em Plástico, Tipo Fixação:Protetor Plástico, Uso:Estéril, Descartável, </t>
  </si>
  <si>
    <t>Bacia - Uso Hospitalar Bacia - Uso Hospitalar, Material:Aço Inoxidável, Diâmetro:Cerca De 30 CM, Capacidade:Cerca De 2500 ML, Esterilidade:Esterilizável Bacia - Uso Hospitalar Material: Aço Inoxidável, Diâmetro: Cerca De 30 CM, Capacidade: Cerca De 2500 ML, Es</t>
  </si>
  <si>
    <t>Bacia - Uso Hospitalar Bacia - Uso Hospitalar, Material:Aço Inoxidável, Diâmetro:Cerca De 35 CM, Capacidade:Cerca De 3000 ML, Esterilidade:Esterilizável Bacia - Uso Hospitalar Material: Aço Inoxidável, Diâmetro: Cerca De 35 CM, Capacidade: Cerca De 3000 ML, Es</t>
  </si>
  <si>
    <t>Cabo Bisturi Cabo Bisturi, Material:Aço Inoxidável, Tamanho:Nº 3 Cabo Bisturi Material: Aço Inoxidável, Tamanho: Nº 3</t>
  </si>
  <si>
    <t>Cabo Bisturi Cabo Bisturi, Material:Aço Inoxidável, Tamanho:Nº 4, Características Adicionais:Longo Cabo Bisturi Material: Aço Inoxidável, Tamanho: Nº 4, Características Adicionais: Longo</t>
  </si>
  <si>
    <t>Campo Cirúrgico Descartável Campo Cirúrgico Descartável, Material:Não Tecido 100% Polipropileno - Tipo Sms, Propriedade:Hidrorepelente, Reforço:C/ Reforço Absorvente, Fixação:Adesiva, Dimensões:Cerca De 150 X 150 CM, Cor:C/ Cor, Esterilidade:Estéril Campo Cirú</t>
  </si>
  <si>
    <t xml:space="preserve">Campo Cirúrgico Campo Cirúrgico, Modelo:Fenestrado, Material:100% Algodão, Gramatura:Mínimo De 260 G/M2, Dimensões:Cerca De 50 X 50 CM, Cor:C/ Cor, Esterilidade:Esterilizável Campo Cirúrgico Modelo: Fenestrado, Material: 100% Algodão, Gramatura: Mínimo De 260 </t>
  </si>
  <si>
    <t>Campo Cirúrgico Descartável Campo Cirúrgico Descartável, Modelo:Fenestrado, Material:Não Tecido 100% Polipropileno - Tipo Sms, Propriedade:Hidrorepelente, Reforço:S/ Reforço, Dimensões:Cerca De 40 X 40 CM, Cor:C/ Cor, Esterilidade:Estéril Campo Cirúrgico Desca</t>
  </si>
  <si>
    <t>Campo Cirúrgico Campo Cirúrgico, Modelo:Simples, Material:100% Algodão, Gramatura:Mínimo De 200 G/M2, Dimensões:Cerca De 100 X 100 CM, Cor:C/ Cor, Esterilidade:Esterilizável Campo Cirúrgico Modelo: Simples, Material: 100% Algodão, Gramatura: Mínimo De 200 G/M2</t>
  </si>
  <si>
    <t>Campo Cirúrgico Campo Cirúrgico, Modelo:Mesa De Mayo, Fronha, Material:100% Algodão, Gramatura:Mínimo De 260 G/M2, Dimensões:Cerca De 60 X 150 CM, Cor:C/ Cor, Esterilidade:Esterilizável Campo Cirúrgico Modelo: Mesa De Mayo, Fronha, Material: 100% Algodão, Gram</t>
  </si>
  <si>
    <t>Campo Cirúrgico Descartável Campo Cirúrgico Descartável, Modelo:Fenestrado, Material:Não Tecido Polipropileno Sms C/ Lâmina Polietileno, Propriedade:Hidrorepelente E Impermeável, Reforço:S/ Reforço, Fixação:Adesiva, Dimensões:Cerca De 50 X 50 CM, Cor:C/ Cor, E</t>
  </si>
  <si>
    <t>Cânula Orofaríngea Guedel Cânula Orofaríngea Guedel, Material*:Polímero, Tamanho*:Tamanho Nº 4 Cânula Orofaríngea Guedel Material: Polímero, Tamanho: Tamanho Nº 4</t>
  </si>
  <si>
    <t>Cânula Orofaríngea Guedel Cânula Orofaríngea Guedel, Material*:Polímero, Tamanho*:Tamanho Nº 5 Cânula Orofaríngea Guedel Material: Polímero, Tamanho: Tamanho Nº 5</t>
  </si>
  <si>
    <t>Cânula Orofaríngea Guedel Cânula Orofaríngea Guedel, Material*:Polímero, Tamanho*:Tamanho Nº 0 Cânula Orofaríngea Guedel Material: Polímero, Tamanho: Tamanho Nº 0</t>
  </si>
  <si>
    <t xml:space="preserve">Avental Cirúrgico - Paramentação Avental Cirúrgico - Paramentação, Esterilidade:Esterilizável, Material:100% Algodão, Gramatura:Mínimo De 120 G/M2, Modelo Manga:Longa C/ Punho Em Malha, Tamanho:Extra Grande (Xg), Tipo Fechamento:Posterior P/ Pescoço E Cintura </t>
  </si>
  <si>
    <t>Cateter Central Cateter Central, Aplicação:Venoso, Matéria Prima:Poliuretano Radiopaco, Diâmetro:Cerca 5 Fr, Vias:Triplo Lúmen, Lúmen:20 A 22 GAU, Comprimento:Cerca 15 CM, Tipo Fixação:Fixação Subcutânea, Conector:Conectores Padrão, Clamp Em Todas Vias E Tampa</t>
  </si>
  <si>
    <t>Cateter Central Cateter Central, Aplicação:Venoso / Arterial, Tipo Implante:Umbilical, Matéria Prima:Poliuretano Radiopaco, Diâmetro:Cerca 3 Fr, Vias:Mono Lúmen, Comprimento:Cerca 40 CM, Conector:Conectores Padrão, Clamp E Tampa, Tipo Uso:Estéril, Descartável,</t>
  </si>
  <si>
    <t>Cateter Central Cateter Central, Aplicação:Venoso / Arterial, Tipo Implante:Umbilical, Matéria Prima:Poliuretano Radiopaco, Diâmetro:Cerca 4 Fr, Vias:Duplo Lúmen, Comprimento:Cerca 30 CM, Conector:Conectores Padrão, Clamp Em Todas Vias E Tampas, Tipo Uso:Estér</t>
  </si>
  <si>
    <t>Cateter Central Cateter Central, Aplicação:Venoso / Arterial, Tipo Implante:Umbilical, Matéria Prima:Poliuretano Radiopaco, Diâmetro:Cerca 5 Fr, Vias:Duplo Lúmen, Comprimento:Cerca 40 CM, Conector:Conectores Padrão, Clamp Em Todas Vias E Tampas, Tipo Uso:Estér</t>
  </si>
  <si>
    <t xml:space="preserve">Cateter Central Cateter Central, Aplicação:Venoso, Tipo Implante:Inserção Periférica, Matéria Prima:Poliuretano Radiopaco, Diâmetro:Cerca 2 Fr, Vias:Duplo Lúmen, Comprimento:Cerca 30 CM, Conector:Conectores Padrão, Clamp Em Todas Vias E Tampas, Componente:Kit </t>
  </si>
  <si>
    <t>Cateter Central Cateter Central, Aplicação:Venoso, Matéria Prima:Poliuretano Radiopaco, Vias:Mono Lúmen, Lúmen:14 GAU, Comprimento:Cerca 20 CM, Tipo Fixação:Fixação Subcutânea, Conector:Conectores Padrão, Clamp E Tampa, Componente:Kit Introdutor Completo, Tipo</t>
  </si>
  <si>
    <t>Cateter Central Cateter Central, Aplicação:Venoso, Matéria Prima:Poliuretano Radiopaco, Diâmetro:Cerca 7 Fr, Vias:Duplo Lúmen, Lúmen:14 A 18 GAU, Comprimento:Cerca 20 CM, Tipo Fixação:Fixação Subcutânea, Conector:Conectores Padrão, Clamp Em Todas Vias E Tampas</t>
  </si>
  <si>
    <t>Cateter Central Cateter Central, Aplicação:Venoso / Arterial, Tipo Implante:Umbilical, Matéria Prima:Poliuretano Radiopaco, Diâmetro:Cerca 2 Fr, Vias:Mono Lúmen, Comprimento:Cerca 30 CM, Conector:Conectores Padrão, Clamp E Tampa, Tipo Uso:Estéril, Descartável,</t>
  </si>
  <si>
    <t>Comadre Comadre, Material:Aço Inoxidável, Capacidade:3.500 ML, Tamanho:Tamanho Adulto Padrão Mundial, Característica Adicional:C/Alça Comadre Material: Aço Inoxidável, Capacidade: 3.500 ML, Tamanho: Tamanho Adulto Padrão Mundial, Característica Adicional: C/Al</t>
  </si>
  <si>
    <t>Cuba Uso Hospitalar Cuba Uso Hospitalar, Material:Aço Inox, Formato:Tipo Rim, Capacidade:Cerca De 700 ML Cuba Uso Hospitalar Material: Aço Inox, Formato: Tipo Rim, Capacidade: Cerca De 700 M</t>
  </si>
  <si>
    <t>Dreno Cirúrgico Dreno Cirúrgico, Modelo:Kehr Em "T", Material:Silicone, Calibre:10 FRENCH, Comprimento:Cerca De 40 CM, Componente Ii:Radiopaco, Tipo Uso:Estéril, Descartável, Embalagem:Embalagem Individual Dreno Cirúrgico Modelo: Kehr Em "T", Material: Silicon</t>
  </si>
  <si>
    <t>Dreno Cirúrgico Dreno Cirúrgico, Modelo:Torácico, Material:Pvc, Calibre:26 FRENCH, Comprimento:Cerca De 50 CM, Componente Ii:Radiopaco, Tipo Uso:Estéril, Descartável, Embalagem:Embalagem Individual Dreno Cirúrgico Modelo: Torácico, Material: Pvc, Calibre: 26 F</t>
  </si>
  <si>
    <t>Dreno Cirúrgico Dreno Cirúrgico, Modelo:Torácico, Material:Silicone, Calibre:28 FRENCH, Comprimento:Cerca De 50 CM, Conector Universal:C/ Conector, Componente Ii:Radiopaco, Tipo Uso:Estéril, Descartável, Embalagem:Embalagem Individual Dreno Cirúrgico Modelo: T</t>
  </si>
  <si>
    <t>Dreno Cirúrgico Dreno Cirúrgico, Modelo:Torácico, Material:Pvc, Calibre:30 FRENCH, Comprimento:Cerca De 50 CM, Componente Ii:Radiopaco, Tipo Uso:Estéril, Descartável, Embalagem:Embalagem Individual Dreno Cirúrgico Modelo: Torácico, Material: Pvc, Calibre: 30 F</t>
  </si>
  <si>
    <t>Dreno Cirúrgico Dreno Cirúrgico, Modelo:Torácico, Material:Pvc, Calibre:32 FRENCH, Comprimento:Cerca De 50 CM, Componente Ii:Radiopaco, Tipo Uso:Estéril, Descartável, Embalagem:Embalagem Individual Dreno Cirúrgico Modelo: Torácico, Material: Pvc, Calibre: 32 F</t>
  </si>
  <si>
    <t>Dreno Cirúrgico Dreno Cirúrgico, Modelo:Torácico, Material:Pvc, Calibre:34 FRENCH, Comprimento:Cerca De 50 CM, Componente Ii:Radiopaco, Tipo Uso:Estéril, Descartável, Embalagem:Embalagem Individual Dreno Cirúrgico Modelo: Torácico, Material: Pvc, Calibre: 34 F</t>
  </si>
  <si>
    <t>Dreno Cirúrgico Dreno Cirúrgico, Modelo:De Penrose, Material:Borracha, Dimensões:Cerca De 20 Mm X 30 CM, Componente Ii:Radiopaco, Tipo Uso:Estéril, Descartável, Embalagem:Embalagem Individual Dreno Cirúrgico Modelo: De Penrose, Material: Borracha, Dimensões: C</t>
  </si>
  <si>
    <t>Dreno Cirúrgico Dreno Cirúrgico, Modelo:De Penrose, Material:Látex, Dimensões:Cerca De 12 Mm X 30 CM, Componente I:C/ Gaze, Componente Ii:Radiopaco, Tipo Uso:Estéril, Descartável, Embalagem:Embalagem Individual Dreno Cirúrgico Modelo: De Penrose, Material: Lát</t>
  </si>
  <si>
    <t>Eletrodo Uso Médico Eletrodo Uso Médico, Aplicação 1:P/ Monitorização Cardíaca - Ecg, Modelo:De Superfície, Tipo:Adesivo, Material Sensor:P/ Ambiente Ressonância Magnética Mri, Adicional 1:C/ Gel Condutor, Tamanhos:Infantil, Acessório:S/ Cabo, Esterilidade:Uso</t>
  </si>
  <si>
    <t>Espátula Uso Médico Espátula Uso Médico, Modelo 1:De Ayres, Material*:Madeira, Comprimento*:Cerca De 18 CM, Esterilidade:Descartável Espátula Uso Médico Modelo 1: De Ayres, Material: Madeira, Comprimento: Cerca De 18 CM, Esterilidade: Descartável</t>
  </si>
  <si>
    <t xml:space="preserve">Espéculo Uso Médico Espéculo Uso Médico, Aplicação:Auricular, Ponta Ativa:Cerca De 10,0 MM, Adicional 2:Compatível C/ Otoscópio, Material:Polímero, Esterilidade:Reutilizável Espéculo Uso Médico Aplicação: Auricular, Ponta Ativa: Cerca De 10,0 MM, adicional 2: </t>
  </si>
  <si>
    <t xml:space="preserve">Extensor Nutrição Enteral Extensor Nutrição Enteral, Material:Polímero, Tipo:Infusão Em Bólus, Vias:2 Vias, Em "Y", Dimensões:Cerca De 12 Fr X 30 CM, Tipo Conexão:Luer Slip / Slip, Adicional 1:C/ Clamp, Tampas, Adicional 2:Conector Escalonado P/ Gastrostomia, </t>
  </si>
  <si>
    <t>Fio De Sutura Agulhado Fio De Sutura Agulhado, Material Fio:Seda Preto, Modelo Fio:Multifilamentar, Diâmetro Fio:4-0, Comprimento Fio:Cerca De 45 CM, Tipo Agulha:Agulha 3/8 Círculo, Modelo Agulha:Cilíndrica, Comprimento Agulha:Cerca De 14 MM, Esterilidade:Esté</t>
  </si>
  <si>
    <t>Fio De Sutura Agulhado Fio De Sutura Agulhado, Material Fio:Polipropileno Azul, Modelo Fio:Monofilamentar, Diâmetro Fio:Nº 1, Comprimento Fio:Cerca De 70 CM, Tipo Agulha:Agulha 1/2 Círculo, Modelo Agulha:Cilíndrica, Comprimento Agulha:Cerca De 40 MM, Esterilid</t>
  </si>
  <si>
    <t>Fio De Sutura Agulhado Fio De Sutura Agulhado, Material Fio:Polipropileno Azul, Modelo Fio:Monofilamentar, Diâmetro Fio:Nº 2, Comprimento Fio:Cerca De 45 CM, Tipo Agulha:Agulha 3/8 Círculo, Modelo Agulha:Cortante Reversa / Invertida, Comprimento Agulha:Cerca D</t>
  </si>
  <si>
    <t>Fio De Sutura S/ Agulha Fio De Sutura S/ Agulha, Material:Seda Preto, Modelo:Multifilamentar, Diâmetro:2-0, Comprimento:10 X Cerca De 75 CM, Esterilidade:Estéril, Apresentação:Embalagem Individual Fio De Sutura S/ Agulha Material: Seda Preto, Modelo: Multifila</t>
  </si>
  <si>
    <t>Fio De Sutura Agulhado Fio De Sutura Agulhado, Material Fio:Seda Preto, Modelo Fio:Multifilamentar, Diâmetro Fio:3-0, Comprimento Fio:3 X Cerca De 70 CM, Tipo Agulha:Agulha 3/8 Círculo, Modelo Agulha:Cortante Reversa / Invertida, Comprimento Agulha:Cerca De 30</t>
  </si>
  <si>
    <t>Fio De Sutura S/ Agulha Fio De Sutura S/ Agulha, Material:Catgut Cromado, Modelo:Multifilamentar, Diâmetro:2-0, Comprimento:Cerca De 150 CM, Esterilidade:Estéril, Apresentação:Embalagem Individual Fio De Sutura S/ Agulha Material: Catgut Cromado, Modelo: Multi</t>
  </si>
  <si>
    <t>Fio De Sutura Agulhado Fio De Sutura Agulhado, Material Fio:Catgut Cromado, Modelo Fio:Multifilamentar, Diâmetro Fio:2-0, Comprimento Fio:Cerca De 70 CM, Tipo Agulha:Agulha 1/2 Círculo, Modelo Agulha:Cilíndrica, Comprimento Agulha:Cerca De 40 MM, Esterilidade:</t>
  </si>
  <si>
    <t>Fio De Sutura Agulhado Fio De Sutura Agulhado, Material Fio:Catgut Cromado, Modelo Fio:Multifilamentar, Diâmetro Fio:3-0, Comprimento Fio:Cerca De 70 CM, Tipo Agulha:Agulha 3/8 Círculo, Modelo Agulha:Cilíndrica, Comprimento Agulha:Cerca De 30 MM, Esterilidade:</t>
  </si>
  <si>
    <t>Fio De Sutura S/ Agulha Fio De Sutura S/ Agulha, Material:Catgut Simples, Modelo:Multifilamentar, Diâmetro:2-0, Comprimento:Cerca De 150 CM, Esterilidade:Estéril, Apresentação:Embalagem Individual Fio De Sutura S/ Agulha Material: Catgut Simples, Modelo: Multi</t>
  </si>
  <si>
    <t>Fio De Sutura Agulhado Fio De Sutura Agulhado, Material Fio:Catgut Cromado, Modelo Fio:Multifilamentar, Diâmetro Fio:4-0, Comprimento Fio:Cerca De 70 CM, Tipo Agulha:Agulha 1/2 Círculo, Modelo Agulha:Cilíndrica, Comprimento Agulha:Cerca De 14 MM, Esterilidade:</t>
  </si>
  <si>
    <t>Fio De Sutura Agulhado Fio De Sutura Agulhado, Material Fio:Catgut Simples, Modelo Fio:Multifilamentar, Diâmetro Fio:0 / 1-0, Comprimento Fio:Cerca De 70 CM, Tipo Agulha:Agulha 1/2 Círculo, Modelo Agulha:Cilíndrica, Comprimento Agulha:Cerca De 30 MM, Esterilid</t>
  </si>
  <si>
    <t>Fio De Sutura Agulhado Fio De Sutura Agulhado, Material Fio:Catgut Simples, Modelo Fio:Multifilamentar, Diâmetro Fio:2-0, Comprimento Fio:Cerca De 70 CM, Tipo Agulha:Agulha 1/2 Círculo, Modelo Agulha:Cilíndrica, Comprimento Agulha:Cerca De 26 MM, Esterilidade:</t>
  </si>
  <si>
    <t>Fio De Sutura Agulhado Fio De Sutura Agulhado, Material Fio:Catgut Simples, Modelo Fio:Multifilamentar, Diâmetro Fio:2-0, Comprimento Fio:Cerca De 70 CM, Tipo Agulha:Agulha 1/2 Círculo, Modelo Agulha:Cilíndrica, Comprimento Agulha:Cerca De 20 MM, Esterilidade:</t>
  </si>
  <si>
    <t>Fio De Sutura Agulhado Fio De Sutura Agulhado, Material Fio:Catgut Simples, Modelo Fio:Multifilamentar, Diâmetro Fio:2-0, Comprimento Fio:Cerca De 70 CM, Tipo Agulha:Agulha 3/8 Círculo, Modelo Agulha:Cilíndrica, Comprimento Agulha:Cerca De 30 MM, Esterilidade:</t>
  </si>
  <si>
    <t>Fio De Sutura Agulhado Fio De Sutura Agulhado, Material Fio:Catgut Simples, Modelo Fio:Multifilamentar, Diâmetro Fio:3-0, Comprimento Fio:Cerca De 70 CM, Tipo Agulha:Agulha 3/8 Círculo, Modelo Agulha:Cilíndrica, Comprimento Agulha:Cerca De 26 MM, Esterilidade:</t>
  </si>
  <si>
    <t>Fio De Sutura Agulhado Fio De Sutura Agulhado, Material Fio:Catgut Simples, Modelo Fio:Multifilamentar, Diâmetro Fio:4-0, Comprimento Fio:Cerca De 70 CM, Tipo Agulha:Agulha 3/8 Círculo, Modelo Agulha:Cilíndrica, Comprimento Agulha:Cerca De 20 MM, Esterilidade:</t>
  </si>
  <si>
    <t>Fio De Sutura Agulhado Fio De Sutura Agulhado, Material Fio:Catgut Cromado, Modelo Fio:Multifilamentar, Diâmetro Fio:2-0, Comprimento Fio:Cerca De 70 CM, Tipo Agulha:Agulha 3/8 Círculo, Modelo Agulha:Cortante, Comprimento Agulha:Cerca De 30 MM, Esterilidade:Es</t>
  </si>
  <si>
    <t>Fio De Sutura Agulhado Fio De Sutura Agulhado, Material Fio:Catgut Cromado, Modelo Fio:Multifilamentar, Diâmetro Fio:5-0, Comprimento Fio:Cerca De 70 CM, Tipo Agulha:Agulha 1/2 Círculo, Modelo Agulha:Cilíndrica, Comprimento Agulha:Cerca De 20 MM, Esterilidade:</t>
  </si>
  <si>
    <t>Fio De Sutura Agulhado Fio De Sutura Agulhado, Material Fio:Seda Preto, Modelo Fio:Multifilamentar, Diâmetro Fio:3-0, Comprimento Fio:Cerca De 45 CM, Tipo Agulha:Agulha 1/2 Círculo, Modelo Agulha:Cilíndrica, Comprimento Agulha:Cerca De 30 MM, Esterilidade:Esté</t>
  </si>
  <si>
    <t>Fio De Sutura Agulhado Fio De Sutura Agulhado, Material Fio:Poliéster Verde, Modelo Fio:Multifilamentar, Componente Fio:C/ Revestimento Deslizante, Diâmetro Fio:0 / 1-0, Comprimento Fio:Cerca De 70 CM, Tipo Agulha:2 Agulhas 1/2 Círculo Nas Extremidades, Modelo</t>
  </si>
  <si>
    <t>Garrote Garrote, Material*:Borracha Natural, Látex, Tipo*:Tipo Fita, Dimensões:Cerca De 2,5 X 35 CM, Apresentação:Em Rolo, Pré Cortada, Embalagem Dispensadora, Tipo Uso:Uso Único Garrote Material: Borracha Natural, Látex, Tipo: Tipo Fita, Dimensões: Cerca De 2</t>
  </si>
  <si>
    <t>Garrote Garrote, Material*:Faixa Elástica, Componente Adicional:C/ Sistema De Trava Em Plástico, Tamanho:Tamanho Adulto, Tipo Uso:Reutilizável Garrote Material: Faixa Elástica, Componente Adicional: C/ Sistema De Trava Em Plástico, Tamanho: Tamanho Adulto, Tip</t>
  </si>
  <si>
    <t>Garrote Garrote, Material*:Faixa Elástica, Componente Adicional:C/ Sistema De Trava Em Plástico, Tamanho:Tamanho Infantil, Tipo Uso:Reutilizável Garrote Material: Faixa Elástica, Componente Adicional: C/ Sistema De Trava Em Plástico, Tamanho: Tamanho Infantil,</t>
  </si>
  <si>
    <t>Gel Para Exame Médico Gel Para Exame Médico, Composição:A Base De Água, Aplicação:Condutor, Características Adicionais:Ph Neutro, Esterilidade:Estéril Gel Para Exame Médico Composição: A Base De Água, Aplicação: Condutor, Características Adicionais: Ph Neutro,</t>
  </si>
  <si>
    <t>Indicador Biológico P/ Processamento De Produtos De Saúde Indicador Biológico P/ Processamento De Produtos De Saúde, Tipo:Segunda Geração, Apresentação:Autocontido, Ampola Com Meio De Cultura, Espécie:Bacillus Atrophaeus, Características Adicionais:Resposta Em</t>
  </si>
  <si>
    <t>Indicador Biológico P/ Processamento De Produtos De Saúde Indicador Biológico P/ Processamento De Produtos De Saúde, Tipo:Segunda Geração, Apresentação:Autocontido, Ampola Com Meio De Cultura, Espécie:Bacillus Stearothermophillus, Características Adicionais:Re</t>
  </si>
  <si>
    <t>Máscara Gasoterapia modelo: venturi, material: plástico, adicional: c/ tubo corrugado, tamanho: adulto, tipo fixação: c/ clipe nasal e fixador cefálico ajustável, tipo extensão: extensor cerca de 2,0 m, tipo conector: conector padrão, adicionais: jogo c/ 6 dil</t>
  </si>
  <si>
    <t>Máscara Gasoterapia Máscara Gasoterapia, Modelo:Venturi, Material:Plástico, Adicional:C/ Tubo Corrugado, Tamanho:Infantil, Tipo Fixação:C/ Clipe Nasal E Fixador Cefálico Ajustável, Tipo Extensão:Extensor Cerca De 2,0 M, Tipo Conector:Conector Padrão, Adicionai</t>
  </si>
  <si>
    <t>Lâmina Bisturi Lâmina Bisturi, Material:Aço Carbono, Tamanho:Nº 15, Tipo:Descartável, Esterilidade:Estéril, Características Adicionais:Embalada Individualmente Lâmina Bisturi Material: Aço Carbono, Tamanho: Nº 15, Tipo: Descartável, Esterilidade: Estéril, Cara</t>
  </si>
  <si>
    <t>Lâmina Bisturi Lâmina Bisturi, Material:Aço Carbono, Tamanho:Nº 10, Tipo:Descartável, Esterilidade:Estéril, Características Adicionais:Embalada Individualmente Lâmina Bisturi Material: Aço Carbono, Tamanho: Nº 10, Tipo: Descartável, Esterilidade: Estéril, Cara</t>
  </si>
  <si>
    <t>Lençol Descartável Uso Hospitalar Lençol Descartável Uso Hospitalar, Materia Prima:100% Polipropileno, Não Tecido Tnt, Gramatura 1:Cerca De 30 G/M2, Dimensoes:Cerca De 100 X 200 Cm, Apresentação 1:C/ Elástico Lençol Descartável Uso Hospitalar Matéria Prima: 10</t>
  </si>
  <si>
    <t>Luva Cirúrgica Luva Cirúrgica, Material:Borracha Natural - Látex, Superfície:Superfície Texturizada, Formato:Anatômico, Pó:Sem Pó, Cor:C/ Cor, Tamanho:Nº 6,0, Apresentação:Em Par, Esterilidade:Estéril, Uso Único, Embalagem:Embalagem Individual Luva Cirúrgica M</t>
  </si>
  <si>
    <t>Protetor Ocular Protetor Ocular, Aplicação:P/ Fototerapia Neonatal, Formato:Faixa Ajustável Cabeça, Modelo:Binocular, Material:Hipoalergênico, Tamanho:Pequeno, Esterilidade:Reutilizável Protetor Ocular Aplicação: P/ Fototerapia Neonatal, Formato: Faixa Ajustáv</t>
  </si>
  <si>
    <t>Aparelho Eletrográfico Aparelho Eletrográfico, Tipo:Monitorização Nervos Motores,Para Neuronavegador, Componentes:4 Canais Simultâneos,Interface Paciente/Simuladora, Tipo Filtro:Filtro Interferência Eletromagnética Ajustável, Características Adicionais:Sensibi</t>
  </si>
  <si>
    <t>Fixador P/ Dispositivo Médico Fixador P/ Dispositivo Médico, Aplicação:P/ Tubo Endotraqueal, Material:Cadarço Algodão, Dimensões:Cerca De 10 MM, Tipo Uso:Uso Único Fixador P/ Dispositivo Médico Aplicação: P/ Tubo Endotraqueal , Material: Cadarço Algodão , Dime</t>
  </si>
  <si>
    <t xml:space="preserve">Seringa Seringa, Material:Vidro, Capacidade:10 ML, Tipo Bico:Bico Central Luer Lock Ou Slip, Adicional:Graduada, Numerada, Esterilidade:Esterilizável Seringa Material: Vidro , Capacidade: 10 ML, Tipo Bico: Bico Central Luer Lock Ou Slip , Adicional: Graduada, </t>
  </si>
  <si>
    <t>Seringa Seringa, Material:Polipropileno, Capacidade:1 ML, Tipo Bico:Bico Central Luer Lock Ou Slip, Tipo Vedação:Êmbolo De Borracha, Adicional:Graduada (Escala Ml), Numerada, Tipo Agulha:C/ Agulha 26 G X 1/2", Esterilidade:Estéril, Descartável, Apresentação:Em</t>
  </si>
  <si>
    <t>Seringa Seringa, Material:Polipropileno, Capacidade:3 ML, Tipo Bico:Bico Central Luer Lock Ou Slip, Tipo Vedação:Êmbolo De Borracha, Adicional:Graduada, Numerada, Tipo Agulha:C/ Agulha 25 G X 1", Componente Adicional:C/ Sistema Segurança Segundo Nr/32, Esteril</t>
  </si>
  <si>
    <t>Agulha Hipodérmica Agulha Hipodérmica, Material:Aço Inoxidável Siliconizado, Dimensão:21 G X 1 1/4", Tipo Ponta:Bisel Curto Trifacetado, Tipo Conexão:Conector Luer Lock Ou Slip Em Plástico, Tipo Fixação:Protetor Plástico, Tipo Uso:Estéril, Descartável, Embalag</t>
  </si>
  <si>
    <t>Agulha Hipodérmica Agulha Hipodérmica, Material:Aço Inoxidável Siliconizado, Dimensão:21 G X 1 1/2", Tipo Ponta:Bisel Curto Trifacetado, Tipo Conexão:Conector Luer Lock Ou Slip Em Plástico, Tipo Fixação:Protetor Plástico, Tipo Uso:Estéril, Descartável, Embalag</t>
  </si>
  <si>
    <t>Cateter Aspiração Traqueal Cateter Aspiração Traqueal, Material:Pvc Atóxico Flexível, Espessura:Nº 12, Características Adicionais:Ponta Atraumática, Orifícios Distais Lateralizados, Tipo Embalagem:Estéril, Embalagem Individual, Tipo Uso:Descartável Cateter Asp</t>
  </si>
  <si>
    <t>Cateter Aspiração Traqueal Cateter Aspiração Traqueal, Material:Pvc Atóxico Flexível, Espessura:Nº 14, Características Adicionais:Ponta Atraumática, Orifícios Distais Lateralizados, Tipo Embalagem:Estéril, Embalagem Individual, Tipo Uso:Descartável Cateter Asp</t>
  </si>
  <si>
    <t>Cateter Aspiração Traqueal Cateter Aspiração Traqueal, Material:Pvc Atóxico Flexível, Espessura:Nº 16, Características Adicionais:Ponta Atraumática, Orifícios Distais Lateralizados, Tipo Embalagem:Estéril, Embalagem Individual, Tipo Uso:Descartável Cateter Asp</t>
  </si>
  <si>
    <t>Cateter Aspiração Traqueal Cateter Aspiração Traqueal, Material:Pvc Atóxico Flexível, Espessura:Nº 4, Características Adicionais:Ponta Atraumática, Orifícios Distais Lateralizados, Tipo Embalagem:Estéril, Embalagem Individual, Tipo Uso:Descartável Cateter Aspi</t>
  </si>
  <si>
    <t>Cateter Aspiração Traqueal Cateter Aspiração Traqueal, Material:Pvc Atóxico Flexível, Espessura:Nº 6, Características Adicionais:Ponta Atraumática, Orifícios Distais Lateralizados, Tipo Embalagem:Estéril, Embalagem Individual, Tipo Uso:Descartável Cateter Aspi</t>
  </si>
  <si>
    <t>Cateter Aspiração Traqueal Cateter Aspiração Traqueal, Material:Pvc Atóxico Flexível, Espessura:Nº 8, Características Adicionais:Ponta Atraumática, Orifícios Distais Lateralizados, Tipo Embalagem:Estéril, Embalagem Individual, Tipo Uso:Descartável Cateter Aspi</t>
  </si>
  <si>
    <t>Cateter Aspiração Traqueal Cateter Aspiração Traqueal, Material:Pvc Atóxico Flexível, Tipo Lubrificação:Siliconizada, Espessura:Nº 14, Acessórios:Com Válvula Intermitente, Características Adicionais:Ponta Atraumática, Orifícios Distais Lateralizados, Tipo Emba</t>
  </si>
  <si>
    <t>Cateter Aspiração Traqueal Cateter Aspiração Traqueal, Material:Pvc Atóxico Flexível, Tipo Lubrificação:Siliconizada, Espessura:Nº 16, Acessórios:Com Válvula Intermitente, Características Adicionais:Ponta Atraumática, Orifícios Distais Lateralizados, Tipo Emba</t>
  </si>
  <si>
    <t>Cateter Aspiração Traqueal Cateter Aspiração Traqueal, Material:Pvc Atóxico Flexível, Espessura:Nº 18, Características Adicionais:Ponta Atraumática, Orifícios Distais Lateralizados, Tipo Embalagem:Estéril, Embalagem Individual, Tipo Uso:Descartável Cateter Asp</t>
  </si>
  <si>
    <t>Cateter Aspiração Traqueal Cateter Aspiração Traqueal, Material:Pvc Atóxico Flexível, Espessura:N 20, Características Adicionais:Ponta Atraumática, Orifícios Distais Lateralizados, Tipo Embalagem:Estéril, Embalagem Individual, Tipo Uso:Descartável Cateter Aspi</t>
  </si>
  <si>
    <t>Sistema Fechado Aspiração Traqueal Sistema Fechado Aspiração Traqueal, Aplicação:P/ Tubo Endotraqueal, Tamanho:6 Fr, Tipo Sonda:Sonda Graduada E Protegida, Conector:Conectores Padrão, Vias:Via Irrigação Antirrefluxo E Aerossolterapia, Válvula Sucção:Válvula Su</t>
  </si>
  <si>
    <t>Sistema Fechado Aspiração Traqueal Sistema Fechado Aspiração Traqueal, Aplicação:P/ Tubo Endotraqueal, Tamanho:5 Fr, Tipo Sonda:Sonda Graduada E Protegida, Conector:Conectores Padrão, Vias:Via Irrigação Antirrefluxo, Válvula Sucção:Válvula Sucção C/ Tampa E Tr</t>
  </si>
  <si>
    <t>Sonda Trato Urinário Sonda Trato Urinário, Modelo:Foley, Material:Borracha, Calibre:12 FRENCH, Vias:2 Vias, Conector:Conectores Padrão, Volume:C/ Balão Cerca 30 ML, Tipo Ponta:Ponta Distal Cilíndrica Fechada, Componentes:C/ Orifícios Laterais, Esterilidade:Est</t>
  </si>
  <si>
    <t>Sonda Trato Urinário Sonda Trato Urinário, Modelo:Foley, Material:Borracha, Calibre:14 FRENCH, Vias:2 Vias, Conector:Conectores Padrão, Volume:C/ Balão Cerca 30 ML, Tipo Ponta:Ponta Distal Cilíndrica Fechada, Componentes:C/ Orifícios Laterais, Esterilidade:Est</t>
  </si>
  <si>
    <t>Sonda Trato Urinário Sonda Trato Urinário, Modelo:Foley, Material:Borracha, Calibre:10 FRENCH, Vias:3 Vias, Conector:Conectores Padrão, Volume:C/ Balão Cerca 30 ML, Tipo Ponta:Ponta Distal Cilíndrica Fechada, Componentes:C/ Orifícios Laterais, Esterilidade:Est</t>
  </si>
  <si>
    <t>Sonda Trato Urinário Sonda Trato Urinário, Modelo:Foley, Material:Borracha, Calibre:8 FRENCH, Vias:2 Vias, Conector:Conectores Padrão, Volume:C/ Balão Cerca 30 ML, Tipo Ponta:Ponta Distal Cilíndrica Fechada, Componentes:C/ Orifícios Laterais, Esterilidade:Esté</t>
  </si>
  <si>
    <t>Sonda Trato Urinário Sonda Trato Urinário, Modelo:Foley, Material:Borracha, Calibre:16 FRENCH, Vias:2 Vias, Conector:Conectores Padrão, Volume:C/ Balão Cerca 30 ML, Tipo Ponta:Ponta Distal Cilíndrica Fechada, Componentes:C/ Orifícios Laterais, Esterilidade:Est</t>
  </si>
  <si>
    <t>Sonda Trato Digestivo Sonda Trato Digestivo, Aplicação:Nasoenteral, Material:Poliuretano, Calibre:Nº 6, Comprimento:Cerca 60 CM, Conector:Conector Em Y C/ Tampa, Graduação:Graduada, Componentes:Ponta Distal Fechada, C/ Orifícios Laterais, Outros Componentes:C/</t>
  </si>
  <si>
    <t>Sonda Trato Digestivo Sonda Trato Digestivo, Aplicação:Nasoenteral, Material:Poliuretano, Calibre:Nº 8, Comprimento:Cerca 100 CM, Conector:Conector Em Y C/ Tampa, Graduação:Graduada, Componentes:Ponta Distal Fechada, C/ Orifícios Laterais, Outros Componentes:C</t>
  </si>
  <si>
    <t>Sonda Trato Digestivo Sonda Trato Digestivo, Aplicação:Nasoenteral, Material:Poliuretano, Calibre:Nº 10, Comprimento:Cerca 120 CM, Conector:Conector Em Y C/ Tampa, Graduação:Graduada, Componentes:Ponta Distal Fechada, C/ Orifícios Laterais, Outros Componentes:</t>
  </si>
  <si>
    <t>Sonda Trato Digestivo Sonda Trato Digestivo, Aplicação:Nasoenteral, Material:Poliuretano, Calibre:Nº 12, Comprimento:Cerca 120 CM, Conector:Conector Em Y C/ Tampa, Graduação:Graduada, Componentes:Ponta Distal Fechada, C/ Orifícios Laterais, Outros Componentes:</t>
  </si>
  <si>
    <t>Sonda Trato Digestivo Sonda Trato Digestivo, Aplicação:Oro Ou Nasogástrica, Modelo:Levine, Material:Pvc, Calibre:Nº 4, Tamanho:Longa, Comprimento:Cerca 120 CM, Conector:Conector Padrão C/ Tampa, Componentes:Ponta Distal Fechada, C/ Orifícios Laterais, Esterili</t>
  </si>
  <si>
    <t>Sonda Trato Digestivo Sonda Trato Digestivo, Aplicação:Oro Ou Nasogástrica, Modelo:Levine, Material:Pvc, Calibre:Nº 6, Tamanho:Curta, Comprimento:Cerca 50 CM, Conector:Conector Padrão C/ Tampa, Componentes:Ponta Distal Fechada, C/ Orifícios Laterais, Esterilid</t>
  </si>
  <si>
    <t>Sonda Trato Digestivo Sonda Trato Digestivo, Aplicação:Oro Ou Nasogástrica, Modelo:Levine, Material:Pvc, Calibre:Nº 6, Tamanho:Longa, Comprimento:Cerca 120 CM, Conector:Conector Padrão C/ Tampa, Componentes:Ponta Distal Fechada, C/ Orifícios Laterais, Esterili</t>
  </si>
  <si>
    <t>Sonda Trato Digestivo Sonda Trato Digestivo, Aplicação:Oro Ou Nasogástrica, Modelo:Levine, Material:Pvc, Calibre:Nº 8, Tamanho:Curta, Comprimento:Cerca 50 CM, Conector:Conector Padrão C/ Tampa, Componentes:Ponta Distal Fechada, C/ Orifícios Laterais, Esterilid</t>
  </si>
  <si>
    <t>Sonda Trato Digestivo Sonda Trato Digestivo, Aplicação:Oro Ou Nasogástrica, Modelo:Levine, Material:Pvc, Calibre:Nº 8, Tamanho:Longa, Comprimento:Cerca 120 CM, Conector:Conector Padrão C/ Tampa, Componentes:Ponta Distal Fechada, C/ Orifícios Laterais, Esterili</t>
  </si>
  <si>
    <t>Sonda Trato Digestivo Sonda Trato Digestivo, Aplicação:Oro Ou Nasogástrica, Modelo:Levine, Material:Pvc, Calibre:Nº 10, Tamanho:Curta, Comprimento:Cerca 50 CM, Conector:Conector Padrão C/ Tampa, Componentes:Ponta Distal Fechada, C/ Orifícios Laterais, Esterili</t>
  </si>
  <si>
    <t>Sonda Trato Digestivo Sonda Trato Digestivo, Aplicação:Oro Ou Nasogástrica, Modelo:Levine, Material:Pvc, Calibre:Nº 12, Tamanho:Curta, Comprimento:Cerca 50 CM, Conector:Conector Padrão C/ Tampa, Componentes:Ponta Distal Fechada, C/ Orifícios Laterais, Esterili</t>
  </si>
  <si>
    <t>Sonda Trato Digestivo Sonda Trato Digestivo, Aplicação:Oro Ou Nasogástrica, Modelo:Levine, Material:Pvc, Calibre:Nº 12, Tamanho:Longa, Comprimento:Cerca 120 CM, Conector:Conector Padrão C/ Tampa, Componentes:Ponta Distal Fechada, C/ Orifícios Laterais, Esteril</t>
  </si>
  <si>
    <t>Sonda Trato Digestivo Sonda Trato Digestivo, Aplicação:Oro Ou Nasogástrica, Modelo:Levine, Material:Pvc, Calibre:Nº 14, Tamanho:Curta, Comprimento:Cerca 50 CM, Conector:Conector Padrão C/ Tampa, Componentes:Ponta Distal Fechada, C/ Orifícios Laterais, Esterili</t>
  </si>
  <si>
    <t>Sonda Trato Digestivo Sonda Trato Digestivo, Aplicação:Oro Ou Nasogástrica, Modelo:Levine, Material:Pvc, Calibre:Nº 14, Tamanho:Longa, Comprimento:Cerca 120 CM, Conector:Conector Padrão C/ Tampa, Componentes:Ponta Distal Fechada, C/ Orifícios Laterais, Esteril</t>
  </si>
  <si>
    <t>Sonda Trato Digestivo Sonda Trato Digestivo, Aplicação:Oro Ou Nasogástrica, Modelo:Levine, Material:Pvc, Calibre:Nº 16, Tamanho:Curta, Comprimento:Cerca 50 CM, Conector:Conector Padrão C/ Tampa, Componentes:Ponta Distal Fechada, C/ Orifícios Laterais, Esterili</t>
  </si>
  <si>
    <t>Sonda Trato Digestivo Sonda Trato Digestivo, Aplicação:Oro Ou Nasogástrica, Modelo:Levine, Material:Pvc, Calibre:Nº 18, Tamanho:Curta, Comprimento:Cerca 50 CM, Conector:Conector Padrão C/ Tampa, Componentes:Ponta Distal Fechada, C/ Orifícios Laterais, Esterili</t>
  </si>
  <si>
    <t>Sonda Trato Digestivo Sonda Trato Digestivo, Aplicação:Oro Ou Nasogástrica, Modelo:Levine, Material:Pvc, Calibre:Nº 18, Tamanho:Longa, Comprimento:Cerca 120 CM, Conector:Conector Padrão C/ Tampa, Componentes:Ponta Distal Fechada, C/ Orifícios Laterais, Esteril</t>
  </si>
  <si>
    <t>Sonda Trato Digestivo Sonda Trato Digestivo, Aplicação:Oro Ou Nasogástrica, Modelo:Levine, Material:Silicone, Calibre:Nº 20, Tamanho:Curta, Comprimento:Cerca 50 CM, Conector:Conector Padrão C/ Tampa, Componentes:Ponta Distal Fechada, C/ Orifícios Laterais, Est</t>
  </si>
  <si>
    <t>Sonda Trato Digestivo Sonda Trato Digestivo, Aplicação:Oro Ou Nasogástrica, Modelo:Levine, Material:Pvc, Calibre:Nº 20, Tamanho:Longa, Comprimento:Cerca 120 CM, Conector:Conector Padrão C/ Tampa, Componentes:Ponta Distal Fechada, C/ Orifícios Laterais, Esteril</t>
  </si>
  <si>
    <t>Sonda Trato Digestivo Sonda Trato Digestivo, Aplicação:Oro Ou Nasogástrica, Modelo:Levine, Material:Pvc, Calibre:Nº 22, Tamanho:Longa, Comprimento:Cerca 120 CM, Conector:Conector Padrão C/ Tampa, Componentes:Ponta Distal Fechada, C/ Orifícios Laterais, Esteril</t>
  </si>
  <si>
    <t>Sonda Trato Urinário Sonda Trato Urinário, Modelo:Uretral, Material:Pvc, Calibre:4 FRENCH, Conector:Conector Padrão C/ Tampa, Comprimento:Cerca 20 CM, Tipo Ponta:Ponta Distal Cilíndrica Fechada, Componentes:C/ Orifícios Laterais, Esterilidade:Estéril, Descartá</t>
  </si>
  <si>
    <t>Sonda Trato Urinário Sonda Trato Urinário, Modelo:Uretral, Material:Poliuretano, Calibre:8 FRENCH, Conector:Conector Padrão, Comprimento:Cerca 40 CM, Tipo Ponta:Ponta Distal Cilíndrica Fechada, Componentes:C/ Orifícios Laterais, Adicionais:Lubrificada, Esteril</t>
  </si>
  <si>
    <t>Sonda Trato Urinário Sonda Trato Urinário, Modelo:Uretral, Material:Poliuretano, Calibre:10 FRENCH, Conector:Conector Padrão, Comprimento:Cerca 40 CM, Tipo Ponta:Ponta Distal Cilíndrica Fechada, Componentes:C/ Orifícios Laterais, Adicionais:Lubrificada, Esteri</t>
  </si>
  <si>
    <t>Sonda Trato Urinário Sonda Trato Urinário, Modelo:Uretral, Material:Silicone, Calibre:12 FRENCH, Conector:Conector Padrão C/ Tampa, Comprimento:Cerca 40 CM, Tipo Ponta:Ponta Distal Cilíndrica Fechada, Componentes:C/ Orifícios Laterais, Esterilidade:Estéril, De</t>
  </si>
  <si>
    <t>Sonda Trato Urinário Sonda Trato Urinário, Modelo:Uretral, Material:Poliuretano, Calibre:14 FRENCH, Conector:Conector Padrão C/ Tampa, Comprimento:Cerca 40 CM, Tipo Ponta:Ponta Distal Cilíndrica Fechada, Componentes:C/ Orifícios Laterais, Esterilidade:Estéril,</t>
  </si>
  <si>
    <t>Sonda Trato Urinário Sonda Trato Urinário, Modelo:Uretral, Material:Poliuretano, Calibre:16 FRENCH, Conector:Conector Padrão C/ Tampa, Comprimento:Cerca 40 CM, Tipo Ponta:Ponta Distal Cilíndrica Fechada, Componentes:C/ Orifícios Laterais, Esterilidade:Estéril,</t>
  </si>
  <si>
    <t>Sonda Trato Urinário Sonda Trato Urinário, Modelo:Uretral, Material:Poliuretano, Calibre:18 FRENCH, Conector:Conector Padrão C/ Tampa, Comprimento:Cerca 40 CM, Tipo Ponta:Ponta Distal Cilíndrica Fechada, Componentes:C/ Orifícios Laterais, Esterilidade:Estéril,</t>
  </si>
  <si>
    <t>Sonda Trato Urinário Sonda Trato Urinário, Modelo:Uretral, Material:Poliuretano, Calibre:20 FRENCH, Conector:Conector Padrão C/ Tampa, Comprimento:Cerca 40 CM, Tipo Ponta:Ponta Distal Cilíndrica Fechada, Componentes:C/ Orifícios Laterais, Esterilidade:Estéril,</t>
  </si>
  <si>
    <t>Torneirinha Torneirinha, Vias:3 Vias, Material*:Polímero, Tipo Conector:Luer Lock / Slip / Valvulado, Pressão Máxima:Até Cerca De 100 PSI, Componente Adicional:C/ Extensor, Comprimento:Cerca De 120 CM, Calibre:Cerca De 12 FRENCH, Tipo Uso:Estéril, Uso Único To</t>
  </si>
  <si>
    <t>Touca Hospitalar Touca Hospitalar, Material*:Não Tecido 100% Polipropileno, Modelo:Com Elástico Em Toda Volta, Cor*:Com Cor, Gramatura*:Cerca De 20 G/M2, Tamanho*:Único, Tipo Uso*:Descartável, Característica Adicional 01:Hipoalergênica, Atóxica, Inodora, Uniss</t>
  </si>
  <si>
    <t>Cateter Aspiração Traqueal Cateter Aspiração Traqueal, Material:Pvc Atóxico Flexível, Tipo Lubrificação:Siliconizada, Espessura:Nº 4, Acessórios:Com Válvula Intermitente, Características Adicionais:Ponta Atraumática, Orifícios Distais Lateralizados, Tipo Embal</t>
  </si>
  <si>
    <t>Equipo P/ Bomba De Infusão Equipo P/ Bomba De Infusão, Material:Pvc Transparente, Material Adicional:Sem Segmento De Silicone, Câmara Gotejamento:Macrogotas, Flexível, C/ Filtro, Regulador De Fluxo Manual:Pinça Rolete, Comprimento Total Do Tubo:Acima De 181 Cm</t>
  </si>
  <si>
    <t>Sistema Fechado Aspiração Traqueal Sistema Fechado Aspiração Traqueal, Aplicação:P/ Traqueostomia, Tamanho:12 Fr, Tipo Sonda:Sonda Graduada E Protegida, Conector:Conectores Padrão, Vias:Via Irrigação Antirrefluxo, Válvula Sucção:Válvula Sucção C/ Tampa E Trava</t>
  </si>
  <si>
    <t>Sistema Fechado Aspiração Traqueal Sistema Fechado Aspiração Traqueal, Aplicação:P/ Traqueostomia, Tamanho:14 Fr, Tipo Sonda:Sonda Graduada E Protegida, Conector:Conectores Padrão, Vias:Via Irrigação Antirrefluxo, Válvula Sucção:Válvula Sucção C/ Tampa E Trava</t>
  </si>
  <si>
    <t>Sistema Fechado Aspiração Traqueal Sistema Fechado Aspiração Traqueal, Aplicação:P/ Traqueostomia, Tamanho:16 Fr, Tipo Sonda:Sonda Graduada E Protegida, Conector:Conectores Padrão, Vias:Via Irrigação Antirrefluxo, Válvula Sucção:Válvula Sucção C/ Tampa E Trava</t>
  </si>
  <si>
    <t xml:space="preserve">Sistema Fechado Aspiração Traqueal Sistema Fechado Aspiração Traqueal, Aplicação:P/ Traqueostomia, Tamanho:6 Fr, Tipo Sonda:Sonda Graduada E Protegida, Conector:Conectores Padrão, Vias:Via Irrigação Antirrefluxo, Válvula Sucção:Válvula Sucção C/ Tampa E Trava </t>
  </si>
  <si>
    <t>Sistema Fechado Aspiração Traqueal Sistema Fechado Aspiração Traqueal, Aplicação:P/ Tubo Endotraqueal, Tamanho:14 Fr, Tipo Sonda:Sonda Graduada E Protegida, Conector:Conectores Padrão, Vias:Via Irrigação Antirrefluxo E Aerossolterapia, Válvula Sucção:Válvula S</t>
  </si>
  <si>
    <t>Sistema Fechado Aspiração Traqueal Sistema Fechado Aspiração Traqueal, Aplicação:P/ Tubo Endotraqueal, Tamanho:16 Fr, Tipo Sonda:Sonda Graduada E Protegida, Conector:Conectores Padrão, Vias:Via Irrigação Antirrefluxo E Aerossolterapia, Válvula Sucção:Válvula S</t>
  </si>
  <si>
    <t>Cateter Aspiração Traqueal Cateter Aspiração Traqueal, Material:Pvc Atóxico Flexível, Tipo Lubrificação:Siliconizada, Espessura:N 20, Acessórios:Com Válvula Intermitente, Características Adicionais:Ponta Atraumática, Orifícios Distais Lateralizados, Tipo Embal</t>
  </si>
  <si>
    <t>Cateter Aspiração Traqueal Cateter Aspiração Traqueal, Material:Pvc Atóxico Flexível, Tipo Lubrificação:Siliconizada, Espessura:Nº 18, Acessórios:Com Válvula Intermitente, Características Adicionais:Ponta Atraumática, Orifícios Distais Lateralizados, Tipo Emba</t>
  </si>
  <si>
    <t>Cateter Aspiração Traqueal Cateter Aspiração Traqueal, Material:Pvc Atóxico Flexível, Espessura:Nº 5, Características Adicionais:Ponta Atraumática, Um Orifício Na Extremidade, Tipo Uso:Descartável Cateter Aspiração Traqueal Material: Pvc Atóxico Flexível , Tip</t>
  </si>
  <si>
    <t>Cateter Central Cateter Central, Aplicação:Venoso / Arterial, Tipo Implante:Umbilical, Matéria Prima:Poliuretano Radiopaco, Diâmetro:Cerca 8 Fr, Vias:Mono Lúmen, Comprimento:Cerca 40 CM, Conector:Conectores Padrão, Clamp E Tampa, Tipo Uso:Estéril, Descartável,</t>
  </si>
  <si>
    <t>Sonda Trato Digestivo Sonda Trato Digestivo, Aplicação:Oro Ou Nasogástrica, Modelo:Levine, Material:Silicone, Calibre:Nº 6, Tamanho:Longa, Comprimento:Cerca 100 CM, Conector:Conector Padrão C/ Tampa, Componentes:Ponta Distal Fechada, C/ Orifícios Laterais, Est</t>
  </si>
  <si>
    <t>Sonda Trato Digestivo Sonda Trato Digestivo, Aplicação:Nasoenteral, Material:Silicone, Calibre:Nº 10, Comprimento:Cerca 60 CM, Conector:Conector Em Y C/ Tampa, Graduação:Graduada, Componentes:Ponta Distal Fechada, C/ Orifícios Laterais, Outros Componentes:C/ F</t>
  </si>
  <si>
    <t>Sonda Trato Digestivo Sonda Trato Digestivo, Aplicação:Oro Ou Nasogástrica, Modelo:Levine, Material:Pvc, Calibre:Nº 10, Tamanho:Longa, Comprimento:Cerca 120 CM, Conector:Conector Padrão C/ Tampa, Componentes:Ponta Distal Fechada, C/ Orifícios Laterais, Esteril</t>
  </si>
  <si>
    <t>Sonda Trato Digestivo Sonda Trato Digestivo, Aplicação:Oro Ou Nasogástrica, Modelo:Levine, Material:Pvc, Calibre:Nº 16, Tamanho:Longa, Comprimento:Cerca 120 CM, Conector:Conector Padrão C/ Tampa, Componentes:Ponta Distal Fechada, C/ Orifícios Laterais, Esteril</t>
  </si>
  <si>
    <t>Sonda Trato Urinário Sonda Trato Urinário, Modelo:Uretral, Material:Poliuretano, Calibre:12 FRENCH, Conector:Conector C/ Bolsa Coletora Acoplada, Comprimento:Cerca 30 CM, Tipo Ponta:Ponta Distal Cilíndrica Fechada, Componentes:C/ Orifícios Laterais, Adicionais</t>
  </si>
  <si>
    <t>Sonda Trato Urinário Sonda Trato Urinário, Modelo:Uretral, Material:Silicone, Calibre:6 FRENCH, Conector:Conector Padrão, Comprimento:Cerca 40 CM, Tipo Ponta:Ponta Distal Cilíndrica C/ Orifício, Esterilidade:Estéril, Descartável, Embalagem:Embalagem Individual</t>
  </si>
  <si>
    <t>Sonda Trato Urinário Sonda Trato Urinário, Modelo:Uretral, Material:Silicone, Calibre:8 FRENCH, Conector:Conector Padrão C/ Tampa, Comprimento:Cerca 20 CM, Tipo Ponta:Ponta Distal Cilíndrica Fechada, Componentes:C/ Orifícios Laterais, Esterilidade:Estéril, Des</t>
  </si>
  <si>
    <t>Cateter Aspiração Traqueal Cateter Aspiração Traqueal, Material:Pvc Atóxico Flexível, Tipo Lubrificação:Siliconizada, Espessura:Nº 10, Acessórios:Com Válvula Intermitente, Características Adicionais:Ponta Atraumática, Orifícios Distais Lateralizados, Tipo Emba</t>
  </si>
  <si>
    <t>Sonda Trato Urinário Sonda Trato Urinário, Modelo:Uretral, Material:Poliuretano, Calibre:12 FRENCH, Conector:Conector Padrão, Comprimento:Cerca 20 CM, Tipo Ponta:Ponta Distal Cilíndrica Fechada, Componentes:C/ Orifícios Laterais, Adicionais:Lubrificada, Esteri</t>
  </si>
  <si>
    <t>Sonda Trato Urinário Sonda Trato Urinário, Modelo:Uretral, Material:Poliuretano, Calibre:12 FRENCH, Conector:Conector Padrão, Comprimento:Cerca 40 CM, Tipo Ponta:Ponta Distal Cilíndrica Fechada, Componentes:C/ Orifícios Laterais, Adicionais:Lubrificada, Esteri</t>
  </si>
  <si>
    <t>Bolsa Coletora De Urina Sistema Fechado Bolsa Coletora De Urina Sistema Fechado, Material*:Pvc, Tipo*:Sistema Fechado, Capacidade*:Cerca De 2000 ML, Graduação:Graduação De 100 Em 100 ML, Válvula:Válvula Anti-Refluxo, Pinça:Clamp Corta Fluxo, Componentes:Alça D</t>
  </si>
  <si>
    <t>Cateter Nasal Para Oxigênio modelo: tipo óculos, aplicação: p/ oxigenoterapia, material: tubo e pronga de silicone, conector: compatível c/ fonte o2, tamanho: infantil, comprimento: cerca de 2,5 m, esterilidade: não estéril, uso único</t>
  </si>
  <si>
    <t>Extensor Infusão Vascular Extensor Infusão Vascular, Vias:2 Vias, Material:Polímero, Comprimento:Cerca 20 CM, Calibre:Cerca 12 FRENCH, Tipo Conexão:Luer Lock / Slip, Pressão Máxima:Até Cerca De 100 PSI, Componente Adicional:C/ Clamp, Tipo Uso:Estéril, Uso Únic</t>
  </si>
  <si>
    <t>Espéculo Uso Médico Espéculo Uso Médico, Aplicação:Vaginal, Modelo:Collin, Tamanho:Médio, Travamento:C/ Trava Tipo Rosca, Material:Polímero, Esterilidade:Não Estéril, Uso Único, Embalagem:Embalagem Individual Espéculo Ginecológico tamanho Médio, descartável, m</t>
  </si>
  <si>
    <t>Lâmina Bisturi Lâmina Bisturi, Material:Aço Carbono, Tamanho:Nº 11, Tipo:Descartável, Esterilidade:Estéril, Características Adicionais:Embalada Individualmente Lâmina de bisturi descartável n 11 - Em aço inoxidável ou aço carbono, isenta de rebarbas e sinais d</t>
  </si>
  <si>
    <t>Lâmina Bisturi Lâmina Bisturi, Material:Aço Inoxidável, Tamanho:Nº 12, Tipo:Descartável, Esterilidade:Estéril, Características Adicionais:Embalada Individualmente Lâmina de bisturi descartável nº 12 - Em aço inoxidável ou aço carbono, isenta de rebarbas e sina</t>
  </si>
  <si>
    <t xml:space="preserve">Lâmina Bisturi Lâmina Bisturi, Material:Aço Carbono, Tamanho:Nº 24, Tipo:Descartável, Esterilidade:Estéril, Características Adicionais:Embalada Individualmente Lâmina de bisturi descartável nº 24 – Em aço inoxidável ou aço carbono, isenta de rebarbas e sinais </t>
  </si>
  <si>
    <t>Luva Cirúrgica Luva Cirúrgica, Material:Borracha Natural - Látex, Superfície:Superfície Lisa, Formato:Anatômico, Pó:Com Pó Bioabsorvível, Cor:C/ Cor, Tamanho:Nº 7,5, Apresentação:Em Par, Esterilidade:Estéril, Uso Único, Embalagem:Embalagem Individual Luva cirú</t>
  </si>
  <si>
    <t>Luva Cirúrgica Luva Cirúrgica, Material:Borracha Natural - Látex, Superfície:Superfície Lisa, Formato:Anatômico, Pó:Com Pó Bioabsorvível, Cor:C/ Cor, Tamanho:Nº 6,5, Apresentação:Em Par, Esterilidade:Estéril, Uso Único, Embalagem:Embalagem Individual Luva cirú</t>
  </si>
  <si>
    <t>Luva P/ Procedimento De Saúde Não Cirúrgico C/ Anvisa material: borracha natural - látex, superfície: superfície texturizada, formato: ambidestra, pó: sem pó, cor: c/ cor, tamanho: grande - g, esterilidade: não estéril, uso único</t>
  </si>
  <si>
    <t>Luva P/ Procedimento De Saúde Não Cirúrgico C/ Anvisa material: borracha natural - látex, superfície: superfície lisa, formato: ambidestra, pó: com pó bioabsorvível, cor: c/ cor, tamanho: pequeno - p, esterilidade: estéril, uso único, embalagem: par em embalag</t>
  </si>
  <si>
    <t>Coletor De Resíduos De Serviço De Saúde tipo de resíduo: grupo e - resíduo perfurocortante infectante, tipo risco: risco biológico, capacidade: cerca de 3, material: caixa de papelão c/ saco plástico, adicional: c/ alça, uso: uso único</t>
  </si>
  <si>
    <t>Sonda Trato Urinário modelo: foley, material: borracha, calibre: 18, vias: 2 vias, conector: conectores padrão, volume: c/ balão cerca 30, tipo ponta: ponta distal cilíndrica fechada, componentes: c/ orifícios laterais, esterilidade: estéril, descartável, emba</t>
  </si>
  <si>
    <t>Sonda Trato Urinário Sonda Trato Urinário, Modelo:Foley, Material:Borracha, Calibre:20 FRENCH, Vias:2 Vias, Conector:Conectores Padrão, Volume:C/ Balão Cerca 30 ML, Tipo Ponta:Ponta Distal Cilíndrica Fechada, Componentes:C/ Orifícios Laterais, Esterilidade:Est</t>
  </si>
  <si>
    <t>Sonda Trato Urinário Sonda Trato Urinário, Modelo:Foley, Material:Silicone, Calibre:22 FRENCH, Vias:3 Vias, Conector:Conectores Padrão, Volume:C/ Balão Cerca 30 ML, Tipo Ponta:Ponta Distal Cilíndrica Fechada, Componentes:C/ Orifícios Laterais, Esterilidade:Est</t>
  </si>
  <si>
    <t>Sonda Trato Urinário Sonda Trato Urinário, Modelo:Uretral, Material:Pvc, Calibre:8 FRENCH, Conector:Conector Padrão C/ Tampa, Comprimento:Cerca 40 CM, Tipo Ponta:Ponta Distal Cilíndrica Fechada, Componentes:C/ Orifícios Laterais, Esterilidade:Estéril, Descartá</t>
  </si>
  <si>
    <t>Seringa Seringa, Material:Polipropileno, Capacidade:10 ML, Tipo Bico:Bico Central Luer Lock Ou Slip, Tipo Vedação:Êmbolo De Borracha, Adicional:Graduada, Numerada, Tipo Agulha:C/ Agulha 21 G X 1", Componente Adicional:C/ Sistema Segurança Segundo Nr/32, Esteri</t>
  </si>
  <si>
    <t>Lanceta material lâmina: aço inoxidável,ponta afiada,trifacetada, uso: descartável, características adicionais: estéril, embalagem individual, tipo: lâmina revestida com silicone</t>
  </si>
  <si>
    <t>Bolsa Coletora De Urina Sistema Fechado Bolsa Coletora De Urina Sistema Fechado, Material*:Pvc, Tipo*:Sistema Fechado, Capacidade*:Cerca De 2000 ML, Graduação:Graduação De 100 Em 100 ML, Válvula:Válvula Anti-Refluxo, Pinça:Clamp Corta Fluxo, Filtro:Filtro Hidr</t>
  </si>
  <si>
    <t>Coletor De Resíduos De Serviço De Saúde tipo de resíduo: grupo e - resíduo perfurocortante tóxico, tipo risco: risco químico, capacidade: cerca de 20, material: caixa de papelão c/ saco plástico, adicional: c/ alça, uso: uso único</t>
  </si>
  <si>
    <t>Coletor De Resíduos De Serviço De Saúde tipo de resíduo: grupo e - resíduo perfurocortante tóxico, tipo risco: risco químico, capacidade: cerca de 7, material: caixa de papelão c/ saco plástico, adicional: c/ alça, uso: uso único</t>
  </si>
  <si>
    <t>Equipo De Infusão Venosa Gravitacional material: pvc âmbar p/ solução fotossensível, câmara gotejamento: macrogotas, flexível, c/ filtro, regulador de fluxo manual: pinça rolete, comprimento tubo: até 180 cm, tipo injetor lateral: c/ 1 injetor, autocicatrizant</t>
  </si>
  <si>
    <t>Equipo De Infusão Venosa Gravitacional material: pvc transparente, sem dehp, câmara gotejamento: microgotas, flexível, c/ respiro, regulador de fluxo manual: pinça rolete, comprimento tubo: até 180 cm, tipo injetor lateral: c/ 1 injetor, autocicatrizante, cone</t>
  </si>
  <si>
    <t>Lâmina Bisturi Lâmina Bisturi, Material:Aço Carbono, Tamanho:Nº 22, Tipo:Descartável, Esterilidade:Estéril, Características Adicionais:Embalada Individualmente Lâmina Bisturi Material: Aço Carbono Tamanho: Nº 22 Tipo: Descartável Esterilidade: Estéril Caracter</t>
  </si>
  <si>
    <t>Lâmina Bisturi Lâmina Bisturi, Material:Aço Inoxidável, Tamanho:Nº 23, Tipo:Descartável, Esterilidade:Estéril, Características Adicionais:Embalada Individualmente Lâmina Bisturi Material: Aço Inoxidável Tamanho: Nº 23 Tipo: Descartável Esterilidade: Estéril Ca</t>
  </si>
  <si>
    <t>Lâmina Bisturi Lâmina Bisturi, Material:Aço Carbono, Tamanho:Nº 24, Tipo:Descartável, Esterilidade:Estéril, Características Adicionais:Embalada Individualmente Lâmina Bisturi Material: Aço Carbono Tamanho: Nº 24 Tipo: Descartável Esterilidade: Estéril Caracter</t>
  </si>
  <si>
    <t xml:space="preserve">Lençol Descartável Uso Hospitalar Lençol Descartável Uso Hospitalar, Materia Prima:100% Polipropileno, Não Tecido Tnt, Gramatura 1:Cerca De 50 G/M2, Dimensoes:Cerca De 100 X 200 Cm, Apresentação 1:C/ Elástico Lençol Cama Material: 100% Algodão Medidas Mínimas </t>
  </si>
  <si>
    <t>Lençol Descartável Uso Hospitalar materia prima: 100% polipropileno, não tecido tnt, gramatura 1: cerca de 40, dimensoes: cerca de 150 x 220 cm, apresentação 1: s/ elástico</t>
  </si>
  <si>
    <t>Luva Cirúrgica material: borracha sintética, superfície: superfície texturizada, formato: anatômico, pó: sem pó, cor: c/ cor, tamanho: nº 7,0, apresentação: em par, esterilidade: estéril, uso único, embalagem: embalagem individual</t>
  </si>
  <si>
    <t>Luva Cirúrgica Luva Cirúrgica, Material:Borracha Sintética, Superfície:Superfície Texturizada, Formato:Anatômico, Pó:Sem Pó, Cor:C/ Cor, Tamanho:Nº 7,5, Apresentação:Em Par, Esterilidade:Estéril, Uso Único, Embalagem:Embalagem Individual Luva Cirúrgica Materia</t>
  </si>
  <si>
    <t>Luva P/ Procedimento De Saúde Não Cirúrgico C/ Anvisa material: borracha natural - látex, superfície: superfície texturizada, formato: ambidestra, pó: com pó bioabsorvível, cor: c/ cor, tamanho: grande - g, esterilidade: não estéril, uso único</t>
  </si>
  <si>
    <t>Sonda Trato Urinário Sonda Trato Urinário, Modelo:Foley, Material:Silicone, Calibre:24 FRENCH, Vias:3 Vias, Conector:Conectores Padrão, Volume:C/ Balão Cerca 30 ML, Tipo Ponta:Ponta Distal Cilíndrica Fechada, Componentes:C/ Orifícios Laterais, Esterilidade:Est</t>
  </si>
  <si>
    <t>Lâmina Bisturi Lâmina Bisturi, Material:Aço Inoxidável, Tamanho:Nº 24, Tipo:Descartável, Esterilidade:Estéril, Características Adicionais:Embalada Individualmente Lâmina Bisturi Material: Aço Inoxidável Tamanho: Nº 24 Tipo: Descartável Esterilidade: Estéril Ca</t>
  </si>
  <si>
    <t>Cânula Orofaríngea Guedel tamanho: conjunto c/ diversos tamanhos, 8 unidades, material*: polímero</t>
  </si>
  <si>
    <t>Cânula Orofaríngea Guedel Cânula Orofaríngea Guedel, Material*:Polímero, Tamanho*:Tamanho Nº 1 Cânula Orofaríngea Guedel Material*: Polímero Tamanho*: Tamanho Nº 1</t>
  </si>
  <si>
    <t>Cânula Orofaríngea Guedel Cânula Orofaríngea Guedel, Material*:Polímero, Tamanho*:Tamanho Nº 2 Cânula Orofaríngea Guedel Material*: Polímero Tamanho*: Tamanho Nº 2</t>
  </si>
  <si>
    <t>Filtro Terapia Respiratória Filtro Terapia Respiratória, Aplicação:P/ Circuito Respiratório, Modelo:Hmef, Tipo:Troca Calor E Umidade C/ Barreira Microbiológica, Tipo Membrana:Hidrófobico E Higroscópico, Componente:Conexões Padrão C/ Via P/ Capnografia, Tamanho</t>
  </si>
  <si>
    <t>Filtro Terapia Respiratória Filtro Terapia Respiratória, Aplicação:P/ Circuito Respiratório, Modelo:Hmef, Tipo:Troca Calor E Umidade C/ Barreira Microbiológica, Tipo Membrana:Hidrófobico E Higroscópico, Componente:Conexões Padrão, Componente Adicional:C/ Traqu</t>
  </si>
  <si>
    <t>Curativo / Cobertura Curativo / Cobertura, Aplicação:P/ Ferida, Aspecto Físico:Placa, Composição:À Base De Hidrocolóide, Componente 1:C/ Película Pu / Polietileno, Dimensão:Cerca De 15 X 15 CM, Esterilidade:Estéril Curativo / Cobertura Aplicação: P/ Ferida Asp</t>
  </si>
  <si>
    <t>Circuito Respiratório material: plástico, modelo: c/ 2 traqueias, diâmetro traqueia: cerca de 22, comprimento traqueia: cerca de 150, 150, conector: c/ conector "y", dreno coletor de água: sem dreno, linha adicional: sem linha, componente adicional: c/ balão d</t>
  </si>
  <si>
    <t>Circuito Respiratório material: silicone, modelo: c/ 2 traqueias, diâmetro traqueia: cerca de 22, comprimento traqueia: cerca de 300, 300, conector: c/ conector "y", dreno coletor de água: sem dreno, linha adicional: sem linha, esterilidade: esterilizável</t>
  </si>
  <si>
    <t>Aspirador Cirúrgico Aspirador Cirúrgico, Modelo:Elétrico Móvel, Pressão De Vácuo:Cerca De 750 Mmhg, Fluxo De Aspiração:De 31 A 49 Lpm, Tipo Frasco:2 Frascos Em Plástico, Volume:Cerca De 4 L X 4 L, Componentes:Sistema Antitransbordamento, Filtro Bacteriológico,</t>
  </si>
  <si>
    <t>Fixador P/ Dispositivo Médico Fixador P/ Dispositivo Médico, Aplicação:P/ Tubo Endotraqueal, Material:Cadarço Algodão, Dimensões:Cerca De 10 MM, Tipo Uso:Uso Único CADARÇO SARJADO BRANCO 100% ALGODÃO PARA FIXAÇÃO DE TUBO ENDOTRAQUEAL 10MM. COM REGISTRO NA ANVI</t>
  </si>
  <si>
    <t>Cânula Orofaríngea Guedel Cânula Orofaríngea Guedel, Material*:Polímero, Tamanho*:Tamanho Nº 1 CÂNULA OROFARINGEA DE GUEDEL N° 1 (70MM), PVC FLEXÍVEL, POLIPROPILENO (INSERTO), COM IDENTIFICAÇÃO DO TAMANHO. EMBALADA INDIVIDUALMENTE EM EMBALAGEM TRANSPARENTE.</t>
  </si>
  <si>
    <t>Cânula Orofaríngea Guedel Cânula Orofaríngea Guedel, Material*:Polímero, Tamanho*:Tamanho Nº 2 CÂNULA OROFARINGEA DE GUEDEL N° 2 (80MM), PVC FLEXÍVEL, POLIPROPILENO (INSERTO), COM IDENTIFICAÇÃO DO TAMANHO. EMBALADA INDIVIDUALMENTE EM EMBALAGEM TRANSPARENTE.</t>
  </si>
  <si>
    <t>Cânula Orofaríngea Guedel Cânula Orofaríngea Guedel, Material*:Polímero, Tamanho*:Tamanho Nº 6, Esterelidade*:Estéril, Embalagem Individual*:Embalagem Individual CÂNULA OROFARINGEA DE GUEDEL N° 6 (120MM), PVC FLEXÍVEL, POLIPROPILENO (INSERTO), COM IDENTIFICAÇÃ</t>
  </si>
  <si>
    <t>Cateter Nasal Para Oxigênio modelo: tipo óculos, aplicação: p/ polissonografia, material: tubo plástico c/ pronga de silicone, conector: compatível c/ equipamento, tamanho: adulto, comprimento: cerca de 2,5 m, esterilidade: não estéril, uso único</t>
  </si>
  <si>
    <t>Cateter Nasal Para Oxigênio modelo: tipo óculos, aplicação: p/ oxigenoterapia, material: tubo plástico c/ pronga de silicone, conector: compatível c/ fonte o2, tamanho: infantil, comprimento: cerca de 2,5 m, esterilidade: não estéril, uso único</t>
  </si>
  <si>
    <t>Cateter Central aplicação: venoso, matéria prima: poliuretano radiopaco, diâmetro: cerca 4 fr, vias: duplo lúmen, comprimento: cerca 10, tipo fixação: fixação subcutânea, conector: conectores padrão, clamp em todas vias e tampas, componente i: c/ cabo p/ oxíme</t>
  </si>
  <si>
    <t>Cateter Central aplicação: venoso, matéria prima: poliuretano radiopaco, diâmetro: cerca 7 fr, vias: duplo lúmen, lúmen: 14 a 18, comprimento: cerca 20, conector: conectores padrão, componente: kit introdutor completo, componente ii: revestido c/ antimicrobian</t>
  </si>
  <si>
    <t>Cateter Central aplicação: venoso, matéria prima: poliuretano radiopaco, diâmetro: cerca 7 fr, vias: triplo lúmen, lúmen: 16 a 18, comprimento: cerca 20, tipo fixação: fixação subcutânea, conector: conectores padrão, clamp em todas vias e tampas, componente: k</t>
  </si>
  <si>
    <t>Curativo / Cobertura aplicação: p/ ferida, aspecto físico: placa, composição: à base de hidrocolóide, componente 1: c/ película pu / polietileno, dimensão: cerca de 20 x 20, esterilidade: estéril</t>
  </si>
  <si>
    <t>Dreno Cirúrgico modelo: de penrose, material: silicone, dimensões: cerca de 6 mm x 30, componente ii: radiopaco, tipo uso: estéril, descartável, embalagem: embalagem individual</t>
  </si>
  <si>
    <t>Dreno Cirúrgico Dreno Cirúrgico, Modelo:Kehr Em "T", Material:Borracha, Calibre:12 FRENCH, Comprimento:Cerca De 50 CM, Tipo Uso:Estéril, Descartável, Embalagem:Embalagem Individual SONDA DRENO KEHR 12FR EM FORMA DE “T”, TUBULAR, CONSTITUÍDO DE LÁTEX COM 30CM D</t>
  </si>
  <si>
    <t>Dreno Cirúrgico Dreno Cirúrgico, Modelo:Kehr Em "T", Material:Silicone, Calibre:14 FRENCH, Comprimento:Cerca De 40 CM, Componente Ii:Radiopaco, Tipo Uso:Estéril, Descartável, Embalagem:Embalagem Individual SONDA DRENO KEHR 14FR EM FORMA DE “T”, TUBULAR, CONSTI</t>
  </si>
  <si>
    <t>Dreno Cirúrgico Dreno Cirúrgico, Modelo:Torácico, Material:Pvc, Calibre:18 FRENCH, Comprimento:Cerca De 50 CM, Componente Ii:Radiopaco, Tipo Uso:Estéril, Descartável, Embalagem:Embalagem Individual SONDA DRENO KEHR 18FR EM FORMA DE “T”, TUBULAR, CONSTITUÍDO DE</t>
  </si>
  <si>
    <t>Dreno Cirúrgico Dreno Cirúrgico, Modelo:Torácico, Material:Pvc, Calibre:20 FRENCH, Comprimento:Cerca De 50 CM, Componente Ii:Radiopaco, Tipo Uso:Estéril, Descartável, Embalagem:Embalagem Individual SONDA DRENO KEHR 20FR EM FORMA DE “T”, TUBULAR, CONSTITUÍDO DE</t>
  </si>
  <si>
    <t>Dreno Cirúrgico Dreno Cirúrgico, Modelo:Torácico, Material:Pvc, Calibre:22 FRENCH, Comprimento:Cerca De 50 CM, Componente Ii:Radiopaco, Tipo Uso:Estéril, Descartável, Embalagem:Embalagem Individual SONDA DRENO KEHR 22FR EM FORMA DE “T”, TUBULAR, CONSTITUÍDO DE</t>
  </si>
  <si>
    <t>Dreno Cirúrgico Dreno Cirúrgico, Modelo:Torácico, Material:Pvc, Calibre:24 FRENCH, Comprimento:Cerca De 50 CM, Componente Ii:Radiopaco, Tipo Uso:Estéril, Descartável, Embalagem:Embalagem Individual SONDA DRENO KEHR 24FR EM FORMA DE “T”, TUBULAR, CONSTITUÍDO DE</t>
  </si>
  <si>
    <t>Dreno Cirúrgico Dreno Cirúrgico, Modelo:Torácico, Material:Pvc, Calibre:12 FRENCH, Comprimento:Cerca De 50 CM, Componente Ii:Radiopaco, Tipo Uso:Estéril, Descartável, Embalagem:Embalagem Individual DRENO TORACICO RADIOPACO 12FR, C/ CONECTOR, DESCARTAVEL, ESTER</t>
  </si>
  <si>
    <t>Dreno Cirúrgico Dreno Cirúrgico, Modelo:Torácico, Material:Pvc, Calibre:14 FRENCH, Comprimento:Cerca De 50 CM, Componente Ii:Radiopaco, Tipo Uso:Estéril, Descartável, Embalagem:Embalagem Individual DRENO TORACICO RADIOPACO 14FR, C/ CONECTOR, DESCARTAVEL, ESTER</t>
  </si>
  <si>
    <t>Dreno Cirúrgico Dreno Cirúrgico, Modelo:Torácico, Material:Pvc, Calibre:16 FRENCH, Comprimento:Cerca De 50 CM, Componente Ii:Radiopaco, Tipo Uso:Estéril, Descartável, Embalagem:Embalagem Individual DRENO TORACICO RADIOPACO 16FR, C/ CONECTOR, DESCARTAVEL, ESTER</t>
  </si>
  <si>
    <t>Dreno Cirúrgico Dreno Cirúrgico, Modelo:Torácico, Material:Pvc, Calibre:18 FRENCH, Comprimento:Cerca De 50 CM, Componente Ii:Radiopaco, Tipo Uso:Estéril, Descartável, Embalagem:Embalagem Individual DRENO TORACICO RADIOPACO 18FR, C/ CONECTOR, DESCARTAVEL, ESTER</t>
  </si>
  <si>
    <t>Dreno Cirúrgico Dreno Cirúrgico, Modelo:Torácico, Material:Pvc, Calibre:20 FRENCH, Comprimento:Cerca De 50 CM, Componente Ii:Radiopaco, Tipo Uso:Estéril, Descartável, Embalagem:Embalagem Individual DRENO TORACICO RADIOPACO 20FR, C/ CONECTOR, DESCARTAVEL, ESTER</t>
  </si>
  <si>
    <t>Dreno Cirúrgico Dreno Cirúrgico, Modelo:Torácico, Material:Pvc, Calibre:22 FRENCH, Comprimento:Cerca De 50 CM, Componente Ii:Radiopaco, Tipo Uso:Estéril, Descartável, Embalagem:Embalagem Individual DRENO TORACICO RADIOPACO 22FR, C/ CONECTOR, DESCARTAVEL, ESTER</t>
  </si>
  <si>
    <t>Dreno Cirúrgico Dreno Cirúrgico, Modelo:Torácico, Material:Pvc, Calibre:24 FRENCH, Comprimento:Cerca De 50 CM, Componente Ii:Radiopaco, Tipo Uso:Estéril, Descartável, Embalagem:Embalagem Individual DRENO TORACICO RADIOPACO 24FR, C/ CONECTOR, DESCARTAVEL, ESTER</t>
  </si>
  <si>
    <t>Dreno Cirúrgico Dreno Cirúrgico, Modelo:Torácico, Material:Pvc, Calibre:36 FRENCH, Comprimento:Cerca De 50 CM, Componente Ii:Radiopaco, Tipo Uso:Estéril, Descartável, Embalagem:Embalagem Individual DRENO TORACICO RADIOPACO 36FR, C/ CONECTOR, DESCARTAVEL, ESTER</t>
  </si>
  <si>
    <t>Dreno Cirúrgico Dreno Cirúrgico, Modelo:Torácico, Material:Pvc, Calibre:38 FRENCH, Comprimento:Cerca De 50 CM, Componente Ii:Radiopaco, Tipo Uso:Estéril, Descartável, Embalagem:Embalagem Individual DRENO TORACICO RADIOPACO 38FR, C/ CONECTOR, DESCARTAVEL, ESTER</t>
  </si>
  <si>
    <t>Dreno Cirúrgico Dreno Cirúrgico, Modelo:Torácico, Material:Pvc, Calibre:40 FRENCH, Comprimento:Cerca De 50 CM, Componente Ii:Radiopaco, Tipo Uso:Estéril, Descartável, Embalagem:Embalagem Individual DRENO TORACICO RADIOPACO 40FR, C/ CONECTOR, DESCARTAVEL, ESTER</t>
  </si>
  <si>
    <t>Equipo De Nutrição Enteral material: pvc, c/ cor, tipo: gravitacional, 1 via, câmara gotejamento: macrogotas, flexível, c/ respiro, regulador de fluxo manual: pinça rolete, conector dieta: ponta perfurante, conector paciente: escalonado, comprimento total do t</t>
  </si>
  <si>
    <t>Equipo P/ Bomba De Infusão características bureta: graduada, c/ alça, respiro, injetor e filtro, compatibilidade: c/ equipamento, comprimento total do tubo: acima de 181 cm, conector paciente: luer, conector solução: ponta perfurante, câmara gotejamento: macro</t>
  </si>
  <si>
    <t>Fita Adesiva - Uso Cutâneo tipo: microporosa, material dorso: à base de tecido não tecido, tipo de adesivo: silicone, hipoalergênico, largura da fita: cerca de 100 mm, cor: c/ cor, apresentação: rolo c/ capa protetora, esterilidade: não estéril</t>
  </si>
  <si>
    <t>Fio De Sutura Agulhado material fio: catgut cromado, modelo fio: multifilamentar, diâmetro fio: 0 / 1-0, comprimento fio: cerca de 70, tipo agulha: agulha 1/2 círculo, modelo agulha: cilíndrica, comprimento agulha: cerca de 40, esterilidade: estéril, apresenta</t>
  </si>
  <si>
    <t>Fio De Sutura Agulhado material fio: catgut cromado, modelo fio: multifilamentar, diâmetro fio: 0 / 1-0, comprimento fio: cerca de 70, tipo agulha: agulha 3/8 círculo, modelo agulha: cilíndrica, comprimento agulha: cerca de 30, esterilidade: estéril, apresenta</t>
  </si>
  <si>
    <t>Fio De Sutura Agulhado material fio: polipropileno azul, modelo fio: monofilamentar, diâmetro fio: 3-0, comprimento fio: cerca de 70, tipo agulha: agulha 1/2 círculo, modelo agulha: cilíndrica, comprimento agulha: cerca de 26, esterilidade: estéril, apresentaç</t>
  </si>
  <si>
    <t>Fio De Sutura Agulhado material fio: polipropileno azul, modelo fio: monofilamentar, diâmetro fio: 4-0, comprimento fio: cerca de 70, tipo agulha: agulha 1/2 círculo, modelo agulha: cilíndrica, comprimento agulha: cerca de 26, esterilidade: estéril, apresentaç</t>
  </si>
  <si>
    <t>Fio De Sutura Agulhado material fio: polipropileno azul, modelo fio: monofilamentar, diâmetro fio: 5-0, comprimento fio: cerca de 70, tipo agulha: 2 agulhas 1/2 círculo nas extremidades, modelo agulha: cilíndrica, comprimento agulha: cerca de 14, esterilidade:</t>
  </si>
  <si>
    <t>Fio De Sutura Agulhado material fio: poliglactina violeta, modelo fio: multifilamentar, componente fio: c/ bacteriostático / bactericida, diâmetro fio: 0 / 1-0, comprimento fio: cerca de 70, tipo agulha: agulha 1/2 círculo, modelo agulha: cilíndrica, comprimen</t>
  </si>
  <si>
    <t>Fio De Sutura Agulhado material fio: poliglactina violeta, modelo fio: multifilamentar, diâmetro fio: 3-0, comprimento fio: cerca de 70, tipo agulha: agulha 1/2 círculo, modelo agulha: cilíndrica robusta, comprimento agulha: cerca de 40, esterilidade: estéril,</t>
  </si>
  <si>
    <t>Fio De Sutura Agulhado material fio: catgut simples, modelo fio: multifilamentar, diâmetro fio: 0 / 1-0, comprimento fio: cerca de 70, tipo agulha: agulha 1/2 círculo, modelo agulha: cilíndrica, comprimento agulha: cerca de 30, esterilidade: estéril, apresenta</t>
  </si>
  <si>
    <t>Fio De Sutura Agulhado material fio: catgut simples, modelo fio: multifilamentar, diâmetro fio: 0 / 1-0, comprimento fio: cerca de 70, tipo agulha: agulha 3/8 círculo, modelo agulha: cilíndrica, comprimento agulha: cerca de 30, esterilidade: estéril, apresenta</t>
  </si>
  <si>
    <t>Fio De Sutura Agulhado material fio: polipropileno azul, modelo fio: monofilamentar, diâmetro fio: 2-0, comprimento fio: cerca de 70, tipo agulha: agulha 1/2 círculo, modelo agulha: cilíndrica, comprimento agulha: cerca de 35, esterilidade: estéril, apresentaç</t>
  </si>
  <si>
    <t xml:space="preserve">Fio De Sutura Agulhado material fio: poliglactina incolor, modelo fio: multifilamentar, componente fio: rápida absorção, diâmetro fio: 3-0, comprimento fio: cerca de 70, tipo agulha: agulha 1/2 círculo, modelo agulha: cortante reversa / invertida, comprimento </t>
  </si>
  <si>
    <t>Luva Cirúrgica material: borracha mista - látex c/ revestimento sintético, superfície: superfície texturizada, formato: anatômico, pó: sem pó, cor: c/ cor, tamanho: nº 6,5, apresentação: em par, esterilidade: estéril, uso único, embalagem: embalagem individual</t>
  </si>
  <si>
    <t>Luva Cirúrgica material: borracha sintética, superfície: superfície texturizada, formato: anatômico, pó: sem pó, cor: c/ cor, tamanho: nº 8,0, apresentação: em par, esterilidade: estéril, uso único, embalagem: embalagem individual</t>
  </si>
  <si>
    <t>Seringa adicional: graduada, numerada, apresentação: embalagem individual, capacidade: 20, componente adicional: c/ sistema segurança segundo nr/32, esterilidade: estéril, descartável, material: polipropileno, tipo bico: bico central luer lock ou slip, tipo ve</t>
  </si>
  <si>
    <t>Sonda Trato Urinário modelo: foley, material: borracha, calibre: 20, vias: 2 vias, conector: conectores padrão, volume: c/ balão cerca 30, tipo ponta: ponta distal cilíndrica fechada, componentes: c/ orifícios laterais, esterilidade: estéril, descartável, emba</t>
  </si>
  <si>
    <t>Sonda Trato Urinário modelo: foley, material: borracha, calibre: 24, vias: 2 vias, conector: conectores padrão, volume: c/ balão cerca 30, tipo ponta: ponta distal cilíndrica fechada, componentes: c/ orifícios laterais, esterilidade: estéril, descartável, emba</t>
  </si>
  <si>
    <t>Sonda Trato Urinário modelo: foley, material: borracha, calibre: 16, vias: 3 vias, conector: conectores padrão, volume: c/ balão cerca 30, tipo ponta: ponta distal cilíndrica fechada, componentes: c/ orifícios laterais, esterilidade: estéril, descartável, emba</t>
  </si>
  <si>
    <t>Sonda Trato Urinário modelo: foley, material: borracha, calibre: 20, vias: 3 vias, conector: conectores padrão, volume: c/ balão cerca 30, tipo ponta: ponta distal cilíndrica fechada, componentes: c/ orifícios laterais, esterilidade: estéril, descartável, emba</t>
  </si>
  <si>
    <t>Sonda Trato Urinário modelo: foley, material: borracha, calibre: 22, vias: 3 vias, conector: conectores padrão, volume: c/ balão cerca 30, tipo ponta: ponta distal cilíndrica fechada, componentes: c/ orifícios laterais, esterilidade: estéril, descartável, emba</t>
  </si>
  <si>
    <t>Sonda Trato Urinário modelo: uretral, material: silicone, calibre: 10, conector: conector padrão, comprimento: cerca 40, tipo ponta: ponta distal cilíndrica c/ orifício, esterilidade: estéril, descartável, embalagem: embalagem individual</t>
  </si>
  <si>
    <t>Sonda Trato Urinário modelo: uretral, material: silicone, calibre: 16, conector: conector padrão, comprimento: cerca 40, tipo ponta: ponta distal cilíndrica c/ orifício, esterilidade: estéril, descartável, embalagem: embalagem individual</t>
  </si>
  <si>
    <t>Sonda Trato Urinário modelo: uretral, material: silicone, calibre: 8, conector: conector padrão, comprimento: cerca 40, tipo ponta: ponta distal cilíndrica c/ orifício, esterilidade: estéril, descartável, embalagem: embalagem individual</t>
  </si>
  <si>
    <t>Sonda Trato Urinário modelo: uretral, material: pvc, calibre: 10, conector: conector padrão c/ tampa, comprimento: cerca 40, tipo ponta: ponta distal cilíndrica fechada, componentes: c/ orifícios laterais, esterilidade: estéril, descartável, embalagem: embalag</t>
  </si>
  <si>
    <t>Sonda Trato Urinário modelo: uretral, material: pvc, calibre: 12, conector: conector padrão c/ tampa, comprimento: cerca 40, tipo ponta: ponta distal cilíndrica fechada, componentes: c/ orifícios laterais, esterilidade: estéril, descartável, embalagem: embalag</t>
  </si>
  <si>
    <t>Ressonância Magnética de Bacia / Pelve com sedação e com contraste. Execução de exame de imagem de alta resolução sob indução anestésica e infusão de meio de contraste paramagnético (Gadolínio), incluindo filmagem, disponibilização de imagens em meio digital/p</t>
  </si>
  <si>
    <t>Ressonância Magnética de Bacia / Pelve sem sedação e com contraste. Execução de exame de imagem de alta resolução em estado de vigília ativa do paciente, sem anestesia, com infusão intravenosa de meio de contraste paramagnético (Gadolínio), incluindo disponibi</t>
  </si>
  <si>
    <t>Ressonância Magnética de bacia/pelve sem sedação e sem contraste. Execução de exame eletivo padrão de imagem em estado de vigília ativa, sem suporte anestésico e sem aplicação de contraste, voltado à análise morfoestrutural de tecidos e articulações, incluindo</t>
  </si>
  <si>
    <t>INDICADOR BIOLÓGICO DE 2º GERAÇÃO DA MARCA 2i COMPATIVEL COM A MINI INCUBADORA DE MESMA MARCA. AMPOLAS COM MEIO DE CULTURA (AUTOCONTIDA) INDICADAS PARA TESTE DE CONTROLE DE QUALIDADE EM CICLOS DE ESTERILIZAÇÃO A VAPOR EM AUTOCLAVES; FORNECE RESULTADOS CONFIÁVE</t>
  </si>
  <si>
    <t>EQUIPO DE INFUSÃO GRAVITACIONAL, TIPO SORO MACROGOTAS COM INJETOR LATERAL, GOTEJADOR 20 GOTAS = 1ML. FABRICADO EM PVC FLEXÍVEL E INCOLOR, PROVIDO DE PINÇA ROLETE, INJETOR LATERAL TIPO Y COM MEMBRANA AUTO CICATRIZANTE, CÂMARA GOTEJADORA COM DISPOSITIVO PARA ENT</t>
  </si>
  <si>
    <t>ATADURA DE CREPE 10CM X 1,8M - EM ALGODÃO, 13 FIOS POR CM2, EM FORMA CILÍNDRICA, NÃO ESTÉRIL, EMBALADO, PCT C/ 12 UND.</t>
  </si>
  <si>
    <t>LUVA CIRÚRGICA ESTÉRIL Nº 6,5. PRODUZIDA EM LÁTEX, USO ÚNICO, DESCARTÁVEL, TALCADA COM PÓ BIO ABSORVÍVEL, FORMATO ANATÔMICO, SUPERFÍCIE LISA, MICROTEXTURIZADA NA PONTA DOS DEDOS, EMBALADA OS PARES INDIVIDUALMENTE</t>
  </si>
  <si>
    <t>LUVA CIRÚRGICA ESTÉRIL Nº 7,0. PRODUZIDA EM LÁTEX, USO ÚNICO, DESCARTÁVEL, TALCADA COM PÓ BIO ABSORVÍVEL, FORMATO ANATÔMICO, SUPERFÍCIE LISA, MICROTEXTURIZADA NA PONTA DOS DEDOS, EMBALADA OS PARES INDIVIDUALMENTE</t>
  </si>
  <si>
    <t>LUVA CIRÚRGICA ESTÉRIL Nº 8,5. PRODUZIDA EM LÁTEX, USO ÚNICO, DESCARTÁVEL, TALCADA COM PÓ BIO ABSORVÍVEL, FORMATO ANATÔMICO, SUPERFÍCIE LISA, MICROTEXTURIZADA NA PONTA DOS DEDOS, EMBALADA OS PARES INDIVIDUALMENTE</t>
  </si>
  <si>
    <t>SONDA URETRAL N° 10 FR, CONFECIONADA EM PVC, COM CERCA DE 40 CM, DESCARTÁVEL, ESTÉRIL. APRESENTA CONECTOR PADRÃO COM TAMPA E PONTA DITAL CILINDRICA FECHADA COM ORIFÍCIOS LATERAIS.</t>
  </si>
  <si>
    <t>Touca</t>
  </si>
  <si>
    <t>Cânula Instrumental aplicação: p/ aspiração, comprimento total: cerca de 12, diâmetro: cerca de 3,5, esterilidade: esterilizável, haste: angulada, material: aço inoxidável, modelo: endoscópica nasal Em caso de divergência entre CATMAT/CATSER e Termo de Referên</t>
  </si>
  <si>
    <t xml:space="preserve">Caneta Uso Médico compatibilidade: conector compatível c/ bisturi elétrico, componentes: c/ cabo fixo, ponta ativa flexível, controle: comando manual, embalagem: embalagem individual, esterilidade: estéril, descartável, material: polímero, outros componentes: </t>
  </si>
  <si>
    <t xml:space="preserve">Campo Cirúrgico cor: c/ cor, dimensões: cerca de 50 x 50, esterilidade: esterilizável, gramatura: mínimo de 260, material: 100% algodão, modelo: fenestrado Em caso de divergência entre CATMAT/CATSER e Termo de Referência, prevalecerá a especificação detalhada </t>
  </si>
  <si>
    <t>Aspirador Cirúrgico adicionais: acionamento por pedal, componentes: sistema antitransbordamento, filtro bacteriológico, fluxo de aspiração: de 15 a 30 lpm, modelo: elétrico móvel, pressão de vácuo: cerca de 650 mmhg, tipo frasco: 2 frascos em plástico, volume:</t>
  </si>
  <si>
    <t>PESQUISA DE SANGUE OCULTO NAS FEZES (PSO)</t>
  </si>
  <si>
    <t>GEL CONDUTOR PARA ELETROCARDIOGRAMA SEM ELETRÓLITOS</t>
  </si>
  <si>
    <t>AGULHAS DESCARTÁVEIS HIPODÉRMICA 13 X 4,5: ESTÉREIS; PARA USO ÚNICO; CAIXA COM 100 UNIDADES.</t>
  </si>
  <si>
    <t>AGULHAS DESCARTÁVEIS HIPODÉRMICA 20 X 5,5: ESTÉREIS; PARA USO ÚNICO; CAIXA COM 100 UNIDADES.</t>
  </si>
  <si>
    <t>AGULHAS DESCARTÁVEIS HIPODÉRMICA 25 X 7: ESTÉREIS; PARA USO ÚNICO; CAIXA COM 100 UNIDADES.</t>
  </si>
  <si>
    <t>AGULHAS DESCARTÁVEIS HIPODÉRMICA 25 X 8: ESTÉREIS; PARA USO ÚNICO; CAIXA COM 100 UNIDADES.</t>
  </si>
  <si>
    <t>AGULHAS DESCARTÁVEIS HIPODÉRMICA 40 X 12: ESTÉREIS; PARA USO ÚNICO; CAIXA COM 100 UNIDADES.</t>
  </si>
  <si>
    <t>FIO DE SUTURA DE NYLON AGULHADO Nº 4-0: EM NYLON MONOFILAMENTO, TIPO FIO 4-0, COR PRETA, DE 45 CM COM AGULHA; 1/2 CIRCULO CORTANTE, COMPRIMENTO AGULHA: 2,5 CM.</t>
  </si>
  <si>
    <t>FIO DE SUTURA DE NYLON AGULHADO Nº 5-0: EM NYLON MONOFILAMENTO, TIPO FIO 5-0, COR PRETA, DE 45 CM COM AGULHA; 1/2 CIRCULO CORTANTE, COMPRIMENTO AGULHA: 2,5 CM - DESCARTÁVEL, ESTÉRIL, CAIXA COM 24 UNIDADES.</t>
  </si>
  <si>
    <t>SERINGA 1ML COM AGULHA ACOPLADA 13 X 4,5MM (INSULINA): - PARA SER UTILIZADA NA APLICAÇÃO DE INSULINA; DESCARTÁVEL; ESTÉRIL; CILINDRO EM POLIPROPILENO TRANSPARENTE COM ESCALA GRADUAÇÃO EXTERNA MILIMETRADA, NÍTIDA E PERMANENTE; SEM ESPAÇO MORTO, EM AÇO INOXIDÁVE</t>
  </si>
  <si>
    <t>SERINGA 3ML COM AGULHA ACOPLADA DESCARTÁVEL 25 X 0,7MM - DESCARTÁVEL; ESTÉRIL; CILINDRO EM POLIPROPILENO TRANSPARENTE COM ESCALA GRADUAÇÃO EXTERNA MILIMETRADA, NÍTIDA E PERMANENTE; SEM ESPAÇO MORTO, EM AÇO INOXIDÁVEL, SILICONIZADA, NIVELADA, POLIDA CILÍNDRICA,</t>
  </si>
  <si>
    <t xml:space="preserve">SERINGA 3ML SEM AGULHA ACOPLADA DESCARTÁVEL - SERINGA PLÁSTICA ESTÉRIL DESCARTÁVEL COM CAPACIDADE PARA 3 ML; CONFECCIONADA DE PLÁSTICO TRANSPARENTE ATÓXICO; COM BICO LATERAL TIPO LUER, CAPAZ DE GARANTIR CONEXÕES SEGURAS E SEM VAZAMENTO; CORPO LUBRIFICADO, COM </t>
  </si>
  <si>
    <t>SERINGA 5ML COM AGULHA ACOPLADA DESCARTÁVEL 25 X 0,7MM - DESCARTÁVEL; ESTÉRIL; CILINDRO EM POLIPROPILENO TRANSPARENTE COM ESCALA GRADUAÇÃO EXTERNA MILIMETRADA, NÍTIDA E PERMANENTE; SEM ESPAÇO MORTO, EM AÇO INOXIDÁVEL, SILICONIZADA, NIVELADA, POLIDA CILÍNDRICA,</t>
  </si>
  <si>
    <t xml:space="preserve">SERINGA 5ML SEM AGULHA ACOPLADA DESCARTÁVEL - SERINGA PLÁSTICA ESTÉRIL DESCARTÁVEL COM CAPACIDADE PARA 5 ML; CONFECCIONADA DE PLÁSTICO TRANSPARENTE ATÓXICO; COM BICO LATERAL TIPO LUER, CAPAZ DE GARANTIR CONEXÕES SEGURAS E SEM VAZAMENTO; CORPO LUBRIFICADO, COM </t>
  </si>
  <si>
    <t>SERINGA 10ML SEM AGULHA ACOPLADA DESCARTÁVEL - SERINGA PLÁSTICA ESTÉRIL DESCARTÁVEL COM CAPACIDADE PARA 10 ML; CONFECCIONADA DE PLÁSTICO TRANSPARENTE ATÓXICO; COM BICO LATERAL TIPO LUER, CAPAZ DE GARANTIR CONEXÕES SEGURAS E SEM VAZAMENTO; CORPO LUBRIFICADO, CO</t>
  </si>
  <si>
    <t>SERINGA 20ML SEM AGULHA ACOPLADA DESCARTÁVEL - SERINGA PLÁSTICA ESTÉRIL DESCARTÁVEL COM CAPACIDADE PARA 20 ML; CONFECCIONADA DE PLÁSTICO TRANSPARENTE ATÓXICO; COM BICO LATERAL TIPO LUER, CAPAZ DE GARANTIR CONEXÕES SEGURAS E SEM VAZAMENTO; CORPO LUBRIFICADO, CO</t>
  </si>
  <si>
    <t>PINÇA CHERON DESCARTÁVEL, COM 24CM - FABRICADA EM PLÁSTICO, ESTERIL. EMBALAGEM INDIVIDUAL CONTENDO DADOS DE IDENTIFICAÇÃO, PROCEDÊNCIA, LOTE E DATA DA ESTERILIZAÇÃO. APRESENTAR REGISTRO NO MINISTÉRIO DA SAÚDE/ANVISA.</t>
  </si>
  <si>
    <t>LUVA DE PROCEDIMENTO DESCARTÁVEL - CONFECCIONADA EM LÁTEX NATURAL, INTEGRO E UNIFORME, FORMATO ANATÔMICO, AMBIDESTRA, LUBRIFICADA COM MATERIAONDE L BIOABSORVIVEL, ATÓXICO, NÃO ESTERIL, RESISTENTE A TRAÇÃO, DESCARTÁVEL, USO ÚNICO, LEVEMENTE ENTALCADA, SELO DE C</t>
  </si>
  <si>
    <t>LUVA PARA PROCEDIMENTO NÃO CIRÚRGICO COM PÓ - AMBIDESTRA. COM SUPERFÍCIE MICROTEXTURIZADA ANTIDERRAPANTE. CAIXA COM 100 UNIDADES. DISPONÍVEL NOS TAMANHOS PP, P, M E G. NA CONTRATAÇÃO SERÁ INFORMADO O TAMANHO QUE DEVERÁ SER FORNECIDO.</t>
  </si>
  <si>
    <t>LUVA CIRÚRGICA ESTÉRIL 7,0 - EMBALAGEM COMPOSTA POR 1 PAR DE LUVAS; CONFECCIONADAS EM LÁTEX NATURAL; COM ALTA SENSIBILIDADE TÁTIL, BOA ELASTICIDADE E RESISTÊNCIA; FORMATO ANATÔMICO; PERFEITA ADAPTAÇÃO; ACABAMENTO NO PUNHO; TEXTURA UNIFORME; SEM FALHAS; TALCADA</t>
  </si>
  <si>
    <t>LUVA CIRÚRGICA ESTÉRIL 7,5 - EMBALAGEM COMPOSTA POR 1 PAR DE LUVAS; CONFECCIONADAS EM LÁTEX NATURAL; COM ALTA SENSIBILIDADE TÁTIL, BOA ELASTICIDADE E RESISTÊNCIA; FORMATO ANATÔMICO; PERFEITA ADAPTAÇÃO; ACABAMENTO NO PUNHO; TEXTURA UNIFORME; SEM FALHAS; TALCADA</t>
  </si>
  <si>
    <t>LUVA CIRÚRGICA ESTÉRIL 8,0 - EMBALAGEM COMPOSTA POR 1 PAR DE LUVAS; CONFECCIONADAS EM LÁTEX NATURAL; COM ALTA SENSIBILIDADE TÁTIL, BOA ELASTICIDADE E RESISTÊNCIA; FORMATO ANATÔMICO; PERFEITA ADAPTAÇÃO; ACABAMENTO NO PUNHO; TEXTURA UNIFORME; SEM FALHAS; TALCADA</t>
  </si>
  <si>
    <t>MÁSCARA CIRÚRGICA TRIPLA COM ELÁSTICO - CONFECCIONADA EM NÃO TECIDO, AGRADÁVEL AO TOQUE E MACIA, COM 3 DOBRAS, TRIPLA CAMADA COM FILTRO PROPORCIONANDO UMA BFE (EFICIÊNCIA DE FILTRAÇÃO BACTERIANA) MAIOR QUE 95%; CAMADAS SOLDADAS ELETRONICAMENTE POR ULTRASSOM. O</t>
  </si>
  <si>
    <t>ATADURA CREPOM 6 CM X 1,80 M - ATADURA DE CREPE TIPO I; MEDINDO 06 CM LARGURA POR 1,80M DE CUMPRIMENTO; COM 13 FIOS;CONFECCIONADA EM ALGODÃO 100% OU MISTO; COM PROPRIEDADES ELÁSTICAS; ENROLADA DE MANEIRA UNIFORME; COM BORDAS BEM ACABADAS; SEM FIOS SOLTOS E LIV</t>
  </si>
  <si>
    <t>ATADURA CREPOM 8CM X 1,80M - ATADURA DE CREPE TIPO I; MEDINDO 8 CM LARGURA POR 1,80M DE CUMPRIMENTO; COM 13 FIOS; CONFECCIONADA EM ALGODÃO 100% OU MISTO; COM PROPRIEDADES ELÁSTICAS; ENROLADA DE MANEIRA UNIFORME; COM BORDAS BEM ACABADAS; SEM FIOS SOLTOS E LIVRE</t>
  </si>
  <si>
    <t>ATADURA CREPOM 12CM X 1,80M - ATADURA DE CREPE TIPO I; MEDINDO 12 CM LARGURA POR 1,80M COM DE CUMPRIMENTO; COM 13 FIOS; CONFECCIONADA EM ALGODÃO 100% OU MISTO; COM PROPRIEDADES ELÁSTICAS; ENROLADA DE MANEIRA UNIFORME; COM BORDAS BEM ACABADAS; SEM FIOS SOLTOS E</t>
  </si>
  <si>
    <t>ATADURA CREPON 15CM X 1,80M - ATADURA DE CREPE TIPO I; MEDINDO 15 CM LARGURA POR 1,80M COM DE CUMPRIMENTO; COM 13 FIOS; CONFECCIONADA EM ALGODÃO 100% OU MISTO; COM PROPRIEDADES ELÁSTICAS; ENROLADA DE MANEIRA UNIFORME; COM BORDAS BEM ACABADAS; SEM FIOS SOLTOS E</t>
  </si>
  <si>
    <t>ATADURA CREPOM 20CM X 1,80M - ATADURA DE CREPE TIPO I; MEDINDO 20 CM LARGURA POR 1,80M COM DE CUMPRIMENTO; COM 13 FIOS; CONFECCIONADA EM ALGODÃO 100% OU MISTO; COM PROPRIEDADES ELÁSTICAS; ENROLADA DE MANEIRA UNIFORME; COM BORDAS BEM ACABADAS; SEM FIOS SOLTOS E</t>
  </si>
  <si>
    <t>ATADURA CREPOM 30CM X 1,80M - ATADURA DE CREPE TIPO I; MEDINDO 30 CM LARGURA POR 1,80M COM DE CUMPRIMENTO; COM 13 FIOS; CONFECCIONADA EM ALGODÃO 100% OU MISTO; COM PROPRIEDADES ELÁSTICAS; ENROLADA DE MANEIRA UNIFORME; COM BORDAS BEM ACABADAS; SEM FIOS SOLTOS E</t>
  </si>
  <si>
    <t>ESPARADRAPO EM ROLO 10CMX4,5M - COMPOSTO DE TECIDO 100% ALGODÃO COM RESINA ACRÍLICA IMPERMEABILIZANTE; NA COR BRANCA; IMPERMEÁVEL; FÁCIL DE RASGAR E DE EXCELENTE FLEXIBILIDADE, FIXAÇÃO, RESISTÊNCIA; INDICADO PARA DIVERSOS USOS, COMO FIXAÇÃO DE CURATIVOS, ATADU</t>
  </si>
  <si>
    <t>ROLO DE FITA MICROPOROSA HIPOALERGÊNICA 10CMX4,5M - COR BRANCA. CONFECCIONADA EM NAO TECIDO COM FIBRAS DE VISCOSE, DEVE PERMITIR A RESPIRAÇÃO DA PELE. A FITA DEVE POSSUIR ÓTIMA ADESÃO, NÃO DESCOLANDO DA PELE FACILMENTE. EMBALAGEM UNITÁRIA COM CAPA PROTETORA CO</t>
  </si>
  <si>
    <t>ROLO DE FITA MICROPOROSA HIPOALERGÊNICA 10CMX10M - COR BRANCA. CONFECCIONADA EM NAO TECIDO COM FIBRAS DE VISCOSE, DEVE PERMITIR A RESPIRAÇÃO DA PELE. A FITA DEVE POSSUIR ÓTIMA ADESÃO, NÃO DESCOLANDO DA PELE FACILMENTE. EMBALAGEM UNITÁRIA COM CAPA PROTETORA CON</t>
  </si>
  <si>
    <t>ROLO DE FITA MICROPOROSA HIPOALERGÊNICA 2,5CMX10M - COR BRANCA. CONFECCIONADA EM NAO TECIDO COM FIBRAS DE VISCOSE, DEVE PERMITIR A RESPIRAÇÃO DA PELE. A FITA DEVE POSSUIR ÓTIMA ADESÃO, NÃO DESCOLANDO DA PELE FACILMENTE. EMBALAGEM UNITÁRIA COM CAPA PROTETORA CO</t>
  </si>
  <si>
    <t>FITA ADESIVA INDICADORA PARA AUTOCLAVE - COR BRANCA, TAMANHO DE 19MMX30M. DORSO DE PAPEL CREPADO A BASE DE BORRACHA NATURAL, NA OUTRA FACE, FINA CAMADA IMPERMEABILIZADA DE RESINA ACRÍLICA, COM INDICADOR DE ESTERILIZAÇÃO.</t>
  </si>
  <si>
    <t>SACO PLÁSTICO PARA ACONDICIONAMENTO DE RESÍDUO INFECTANTE CAPACIDADE NOMINAL PARA 15 LITROS (4,5KG) - COR BRANCA LEITOSA. LARGURA MINIMA DE 39CM, ACEITANDO VARIAÇÃO DE 1CM; E ALTURA MÍNIMA DE 58CM. CONFECCIONADO EM POLIETILENO DE ALTA DENSIDADE; APRESENTAR SOL</t>
  </si>
  <si>
    <t>SACO PLÁSTICO PARA ACONDICIONAMENTO DE RESÍDUO INFECTANTE CAPACIDADE NOMINAL PARA 50 LITROS (15KG) - COR BRANCA LEITOSA. LARGURA MINIMA DE 63CM, ACEITANDO VARIACAO DE ± 1CM; E ALTURA MINIMA DE 80CM. CONFECCIONADO EM POLIETILENO DE ALTA DENSIDADE; APRESENTAR SO</t>
  </si>
  <si>
    <t>CATETER NASAL PARA OXIGÊNIO TIPO ÓCULOS - PARA USO PEDIÁTRICO. CONFECCIONADO EM PVC SILICONADO ATÓXICO E FLEXÍVEL. DESCARTÁVEL. EMBALADO INDIVIDUALMENTE E ESTERILIZADO.</t>
  </si>
  <si>
    <t xml:space="preserve">CATETER NASAL DESCARTÁVEL TIPO ÓCULOS PARA OXIGÊNIO - PARA UTILIZAÇÃO EM ADULTOS 12FR - COM DISPOSITIVO PARA ADAPTAÇÃO NA NARINA DO PACIENTE EM PVC (TIPO DOIS "DENTES DE GARFO"), MACIO, TRANSPARENTE, FLEXÍVEL, COM SISTEMA DE FIXAÇÃO SOBRE A ORELHA, TUBO DE NO </t>
  </si>
  <si>
    <t>ESPÁTULA DE MADEIRA MODELO AYRES - FEITA EM MADEIRA COM UMA EXTREMIDADE ARREDONDADA E A OUTRA EXTREMIDADE NO FORMATO DE CORAÇÃO, QUE PERMITE AJUSTE ANATÔMICO À ECTOCÉRVICE; COM 1,6 MM DE ESPESSURA X 1,6 CM DE LARGURA X 17,6 CM DE COMPRIMENTO; EMBALAGEM COM DAD</t>
  </si>
  <si>
    <t>EQUIPO ALIMENTAÇÃO ENTERAL MACROGOTAS - UTILIZADO PARA NUTRIÇÃO ENTERAL; COM PONTA PERFURADA ADAPTÁVEL COM FACILIDADE E SEGURANÇA EM QUALQUER TIPO DE FRASCO/AMPOLA/BOLSA; COM PROTETOR; CÂMARA DE GOTEJAMENTO FLEXÍVEL E TRANSPARENTE PERMITINDO O MONITORAMENTO DO</t>
  </si>
  <si>
    <t>EQUIPO MACROGOTAS COM RESPIRO DE AR E PONTO DE INFUSÃO LATERAL TIPO Y - COM MEMBRANA AUTOCICATRIZANTE, ESTÉRIL. FABRICADO EM PVC FLEXÍVEL E INCOLOR. DEVE POSSUIR CONTROLADOR DE FLUXO TIPO PINCA ROLETE, CÂMARA TRANSPARENTE PARA VISUALIZAÇÃO DE GOTEJAMENTO E CON</t>
  </si>
  <si>
    <t xml:space="preserve">EQUIPO MICROGOTAS ESTÉRIL - FABRICADO EM PVC FLEXÍVEL E INCOLOR. DEVE POSSUIR CONTROLADOR DE FLUXO TIPO PINÇA ROLETE, PONTA PERFURANTE COM TAMPA PROTETORA, CÂMARA TRANSPARENTE PARA VISUALIZAÇÃO DE GOTEJAMENTO E CONEXÃO LUER SLIP. TUBO COM 1,5M DE COMPRIMENTO. </t>
  </si>
  <si>
    <t>GEL CONDUTIVO PARA ULTRASSONOGRAFIA - PRODUTO INODORO COM PH NEUTRO; COMPOSTO DE CELULOSE NEUTRA PURA; PRODUTO INCOLOR; ISENTO DE GORDURA E SUJIDADE; EMBALADO EM FRASCO/BISNAGA COM NO MÍNIMO 1KG/1 LITRO E EM MATERIAL QUE GARANTA A INTEGRIDADE DO PRODUTO; A APR</t>
  </si>
  <si>
    <t>LAMINA DE BISTURI, NUMERO 11 - EM AÇO INOX, QUE PERMITA A REALIZAÇÃO DE CORTES SUAVES. ESTÉRIL, DESCARTÁVEL, EMBALADA INDIVIDUALMENTE EM FORMA DE SACHÊ. A EMBALAGEM DEVE PERMITIR A RETIRADA FÁCIL DA LÂMINA, COM ABERTURA ASSÉPTICA, APRESENTANDO DADOS DE IDENTIF</t>
  </si>
  <si>
    <t>LAMINA DE BISTURI, NUMERO 15C - EM AÇO INOX, QUE PERMITA A REALIZAÇÃO DE CORTES SUAVES. ESTÉRIL, DESCARTÁVEL, EMBALADA INDIVIDUALMENTE EM FORMA DE SACHÊ. A EMBALAGEM DEVE PERMITIR A RETIRADA FÁCIL DA LÂMINA, COM ABERTURA ASSÉPTICA, APRESENTANDO DADOS DE IDENTI</t>
  </si>
  <si>
    <t>LENÇOL DE PAPEL DESCARTÁVEL 70CM X 50M - PRODUTO EM ROLO; NA COR BRANCA; PICOTADO; 100% DE FIBRAS CELULÓSICAS; COM GRAMATURA DE NO MÍNIMO 28 G/M²; COM NO MÍNIMO 70 CM DE LARGURA E 50 M DE COMPRIMENTO; COM ALVURA MÍNIMA DE 80%; RESISTENTE; FLEXÍVEL; ISENTO DE S</t>
  </si>
  <si>
    <t>SONDA URETRAL Nº 12 - EM MATERIAL PVC ATÓXICO SILICONIZADO, COMPRIMENTO 40, TAMANHO Nº 12; EMBALADO INDIVIDUALMENTE; COM 01 VIA, ESTÉRIL, DESCARTÁVEL, TIPO SEM BALÃO; CONTENDO EXTERNAMENTE DADOS DE PROCEDÊNCIA, DATA DA ESTERILIZAÇÃO, VALIDADE, Nº DO LOTE E REG</t>
  </si>
  <si>
    <t>LANCETA SIMPLES EM FORMATO UNIVERSAL, TAMANHO 28G, ULTRA FINA E COM PONTA TRIFACETADA. ESTÉRIL. CAIXA COM 100 UNIDADES</t>
  </si>
  <si>
    <t>BACIA CONFECCIONADA EM AÇO INOXIDÁVEL, COM CAPACIDADE DE 5,5L. DIMENSÕES APROXIMADAS 40 X 8CM</t>
  </si>
  <si>
    <t>BACIA REDONDA HOSPITALAR - PRODUZIDA EM AÇO INOXIDÁVEL, COM 32CM DE DIÂMETRO E CAPACIDADE PARA 3100 ML. EM CONFORMIDADE COM AS RECOMENDAÇÕES CONTIDAS NAS NORMAS DA ABNT NO QUE COUBER. EMBALAGEM CONTENDO DADOS DE IDENTIFICACAO, PROCEDENCIA E LOTE.</t>
  </si>
  <si>
    <t>CUBA EM FORMATO DE RIM - CONFECCIONADA EM AÇO INOXIDÁVEL,ESTERILIZÁVEL. COM DIMENSÕES APROXIMADAS DE 25X11CM E CAPACIDADE PARA 700ML.</t>
  </si>
  <si>
    <t>CAIXA COLETORA PARA MATERIAIS INFECTANTES E PERFUROCORTANTES, COM CAPACIDADE DE 7L - CONFECCIONADA EM MATERIAL RESISTENTE. O BOCAL DEVE PERMITIR A COLOCAÇÃO DO RESÍDUO SEM CONTATO DA MÃO COM A CAIXA. O COLETOR DEVE SER DOTADO DE TAMPA PARA FECHAMENTO E ALÇAS Q</t>
  </si>
  <si>
    <t xml:space="preserve">CAIXA COLETORA PARA MATERIAIS INFECTANTES E PERFUROCORTANTES, COM CAPACIDADE DE 13L - CONFECCIONADA EM MATERIAL RESISTENTE. O BOCAL DEVE PERMITIR A COLOCAÇÃO DO RESÍDUO SEM CONTATO DA MÃO COM A CAIXA. O COLETOR DEVE SER DOTADO DE TAMPA PARA FECHAMENTO E ALÇAS </t>
  </si>
  <si>
    <t xml:space="preserve">CAIXA COLETORA PARA MATERIAIS INFECTANTES E PERFUROCORTANTES, COM CAPACIDADE DE 20L - CONFECCIONADA EM MATERIAL RESISTENTE. O BOCAL DEVE PERMITIR A COLOCAÇÃO DO RESÍDUO SEM CONTATO DA MÃO COM A CAIXA. O COLETOR DEVE SER DOTADO DE TAMPA PARA FECHAMENTO E ALÇAS </t>
  </si>
  <si>
    <t>Cateter Central aplicação: venoso, matéria prima: poliuretano radiopaco, vias: mono lúmen, lúmen: 16, comprimento: cerca 30, tipo fixação: fixação subcutânea, conector: conectores padrão, clamp e tampa, componente: kit introdutor completo, tipo uso: estéril, d</t>
  </si>
  <si>
    <t>Cateter Central aplicação: venoso, matéria prima: poliuretano radiopaco, vias: mono lúmen, lúmen: 18, comprimento: cerca 20, tipo fixação: fixação subcutânea, conector: conectores padrão, clamp e tampa, componente: kit introdutor completo, tipo uso: estéril, d</t>
  </si>
  <si>
    <t>Cateter Central aplicação: venoso, matéria prima: poliuretano radiopaco, vias: mono lúmen, lúmen: 22, comprimento: cerca 20, tipo fixação: fixação subcutânea, conector: conectores padrão, clamp e tampa, componente: kit introdutor completo, tipo uso: estéril, d</t>
  </si>
  <si>
    <t xml:space="preserve">Cateter Nasal Para Oxigênio modelo: tipo óculos, aplicação: p/ oxigenoterapia, material: tubo plástico c/ pronga de silicone, conector: compatível c/ fonte o2, tamanho: adulto, comprimento: cerca de 2,5 m, esterilidade: estéril, uso único Conforme Anexo. I do </t>
  </si>
  <si>
    <t>Cateter Nasal Para Oxigênio modelo: tipo óculos, aplicação: p/ oxigenoterapia, material: tubo plástico c/ pronga de silicone, conector: compatível c/ fonte o2, tamanho: neonatal, comprimento: cerca de 2,5 m, esterilidade: estéril, uso único Conforme Anexo. I d</t>
  </si>
  <si>
    <t>Cateter Nasal Para Oxigênio modelo: tipo óculos, aplicação: p/ oxigenoterapia, material: tubo plástico c/ pronga de silicone, conector: compatível c/ fonte o2, tamanho: infantil, comprimento: cerca de 2,5 m, esterilidade: estéril, uso único Conforme Anexo. I d</t>
  </si>
  <si>
    <t>Cateter Aspiração Traqueal material: pvc atóxico flexível, espessura: nº 4, características adicionais: ponta atraumática, orifícios distais lateralizados, tipo embalagem: estéril, embalagem individual, tipo uso: descartável Conforme Anexo. I do Termo de Refer</t>
  </si>
  <si>
    <t>Cateter Aspiração Traqueal material: pvc atóxico flexível, espessura: nº 6, características adicionais: ponta atraumática, orifícios distais lateralizados, tipo embalagem: estéril, embalagem individual, tipo uso: descartável Conforme Anexo. I do Termo de Refer</t>
  </si>
  <si>
    <t>Cateter Aspiração Traqueal material: pvc atóxico flexível, espessura: nº 8, características adicionais: ponta atraumática, orifícios distais lateralizados, tipo embalagem: estéril, embalagem individual, tipo uso: descartável Conforme Anexo. I do Termo de Refer</t>
  </si>
  <si>
    <t>Cateter Aspiração Traqueal material: pvc atóxico flexível, espessura: nº 10, características adicionais: ponta atraumática, orifícios distais lateralizados, tipo embalagem: estéril, embalagem individual, tipo uso: descartável Conforme Anexo. I do Termo de Refe</t>
  </si>
  <si>
    <t>Cateter Aspiração Traqueal material: pvc atóxico flexível, espessura: nº 12, características adicionais: ponta atraumática, orifícios distais lateralizados, tipo embalagem: estéril, embalagem individual, tipo uso: descartável Conforme Anexo. I do Termo de Refe</t>
  </si>
  <si>
    <t>Cateter Aspiração Traqueal material: pvc atóxico flexível, espessura: nº 14, características adicionais: ponta atraumática, orifícios distais lateralizados, tipo embalagem: estéril, embalagem individual, tipo uso: descartável Conforme Anexo. I do Termo de Refe</t>
  </si>
  <si>
    <t>Cateter Aspiração Traqueal material: pvc atóxico flexível, espessura: nº 16, características adicionais: ponta atraumática, orifícios distais lateralizados, tipo embalagem: estéril, embalagem individual, tipo uso: descartável Conforme Anexo. I do Termo de Refe</t>
  </si>
  <si>
    <t>Cateter Aspiração Traqueal material: pvc atóxico flexível, espessura: nº 18, características adicionais: ponta atraumática, orifícios distais lateralizados, tipo embalagem: estéril, embalagem individual, tipo uso: descartável Conforme Anexo. I do Termo de Refe</t>
  </si>
  <si>
    <t>Cateter Aspiração Traqueal material: pvc atóxico flexível, espessura: n 20, características adicionais: ponta atraumática, orifícios distais lateralizados, tipo embalagem: estéril, embalagem individual, tipo uso: descartável Conforme Anexo. I do Termo de Refer</t>
  </si>
  <si>
    <t>Cateter Monitorização tipo: arterial, tamanho: cerca de 4, comprimento: cerca de 12, esterilidade: estéril, uso único, material: poliuretano, componentes: kit c/ fio guia e agulha introdutora 18 ga, componente i: aba p/ sutura e fixação Conforme Anexo. I do Te</t>
  </si>
  <si>
    <t>Cateter Monitorização tipo: arterial, uso: femural, tamanho: 3, comprimento: 8, esterilidade: estéril, uso único, material: polietileno radiopaco, componentes: kit c/ fio guia e agulha introdutora, componente i: aba p/ sutura e fixação Conforme Anexo. I do Ter</t>
  </si>
  <si>
    <t>Cateter Central aplicação: venoso / arterial, tipo implante: umbilical, matéria prima: poliuretano radiopaco, diâmetro: cerca 2 fr, vias: mono lúmen, comprimento: cerca 30, conector: conectores padrão, clamp e tampa, tipo uso: estéril, descartável, embalagem i</t>
  </si>
  <si>
    <t>Cateter Central aplicação: venoso / arterial, tipo implante: umbilical, matéria prima: pvc radiopaco, diâmetro: cerca 5 fr, vias: mono lúmen, comprimento: cerca 40, conector: conectores padrão, clamp e tampa, tipo uso: estéril, descartável, embalagem individua</t>
  </si>
  <si>
    <t>Extensor Infusão Vascular tipo: p/ bomba injetora contraste, vias: 2 vias, modelo: espiralado, em "y", material: polímero, comprimento: cerca 250, tipo conexão: luer lock / slip, pressão máxima: até cerca de 300, componente adicional: seringas c/ adaptador per</t>
  </si>
  <si>
    <t xml:space="preserve">Cateter Central aplicação: venoso, tipo implante: inserção periférica, matéria prima: silicone radiopaco, diâmetro: cerca 3 fr, vias: mono lúmen, comprimento: cerca 55, conector: conectores padrão, clamp e tampa, componente: kit introdutor completo, tipo uso: </t>
  </si>
  <si>
    <t>Cateter Central aplicação: venoso, tipo implante: inserção periférica, matéria prima: poliuretano radiopaco, diâmetro: cerca 4 fr, vias: mono lúmen, comprimento: cerca 55, conector: conectores padrão, clamp e tampa, componente: kit introdutor completo, tipo us</t>
  </si>
  <si>
    <t xml:space="preserve">Cateter Central aplicação: venoso, tipo implante: inserção periférica, matéria prima: silicone radiopaco, diâmetro: cerca 5 fr, vias: mono lúmen, comprimento: cerca 55, conector: conectores padrão, clamp e tampa, componente: kit introdutor completo, tipo uso: </t>
  </si>
  <si>
    <t>Cateter Central aplicação: venoso, tipo implante: inserção periférica, matéria prima: poliuretano radiopaco, diâmetro: cerca 3 fr, vias: mono lúmen, comprimento: cerca 55, conector: conectores padrão, clamp e tampa, componente: kit introdutor completo, tipo us</t>
  </si>
  <si>
    <t>Cateter Central aplicação: venoso, tipo implante: inserção periférica, matéria prima: poliuretano radiopaco, diâmetro: cerca 5 fr, vias: mono lúmen, comprimento: cerca 55, conector: conectores padrão, clamp e tampa, componente: kit introdutor completo, tipo us</t>
  </si>
  <si>
    <t>Seladora térmica para papel grau cirúrgico e polipropileno/Bopp, com as seguintes características: espessura de selagem de 13 mm conforme normas internacionais; selagem rápida e eficiente; voltagem de 220 Volts; largura máxima de selagem de 400 mm, acionamento</t>
  </si>
  <si>
    <t>CABO PARA BISTURI TAMANHO N 3, CONFECCIONADO EM ACO INOXIDAVEL CIRuRGICO DE ALTA QUALIDADE, PASSiVEL DE ESTERILIZACAO EM AUTOCLAVE E METODOS FiSICO-QUiMICOS. COMPATiVEL COM LAMINAS DE BISTURI CIRuRGICAS DE PEQUENO PORTE (NuMEROS 10, 11, 12 E 15).</t>
  </si>
  <si>
    <t>CUBA RIM EM INOX</t>
  </si>
  <si>
    <t>MÁSCARA/RESPIRADORES, PFF2 N 95 ANVISA SEM VÁLVULA BRANCA - C.A.</t>
  </si>
  <si>
    <t>MÁSCARA CIRÚRGICA TRIPLA DISPENSER COM 50 UNIDADES BRANCA</t>
  </si>
  <si>
    <t>TOUCA BALACLAVA, MODELO NINJA, FABRICADA EM POLIESTER E ALGOD O, COR BRANCA, TAMANHO PADR O, ISOLAMENTO TERMICO.</t>
  </si>
  <si>
    <t>TOUCA DESCART VEL - GORRO DE PROTEÇ O DESCART VEL, SANFONADO, COM EL STICO, COR BRANCA, ATÓXICO,100 POLIPROPILENO (N O TECIDO), INDIVIDUAL E DE TAMANHO ÚNICO. COM VALIDADE MÍNIMA DE 24 MESES A PARTIR DA DATA DE ENTREGA. APRESENTAÇ O: PACOTES COM 100 UNIDADES.</t>
  </si>
  <si>
    <t>LUVA CIRÚRGICA ESTÉRIL DE LÁTEX COM PÓ BIOABSORVÍVEL, SUPERFICIE LISA, PUNHO COM BORDAS, EMBALAGEM CONTENDO 01 PAR TAMANHO 6,5</t>
  </si>
  <si>
    <t>LUVA CIRÚRGICA ESTÉRIL DE LÁTEX COM PÓ BIOABSORVÍVEL, SUPERFICIE LISA, PUNHO COM BORDAS, EMBALAGEM CONTENDO 01 PAR TAMANHO 7,5</t>
  </si>
  <si>
    <t>LUVA CIRÚRGICA ESTÉRIL DE LÁTEX COM PÓ BIOABSORVÍVEL, SUPERFICIE LISA, PUNHO COM BORDAS, EMBALAGEM CONTENDO 01 PAR TAMANHO 8,0</t>
  </si>
  <si>
    <t>LENÇOL DE BORRACHA PARA ISOLAMENTO; PRODUZIDO COM LÁTEX NATURAL; RESISTENTE A TRAÇÃO; NA COR AZUL; TAMANHO 13,5 X 13,5 CM. APRESENTAÇÃO: CAIXA CONTENDO 26 PEÇAS-VALIDADE MÍNIMA DE 2 ANOS,A PARTIR DA DATA DE ENTREGA</t>
  </si>
  <si>
    <t>LENÇOL DE BORRACHA PARA ISOLAMENTO; PRODUZIDO COM LÁTEX NATURAL; RESISTENTE A TRAÇÃO; TAMANHO 15 X 15 CM. APRESENTAÇÃO: CAIXA CONTENDO 26 PEÇAS-VALIDADE MÍNIMA DE 2 ANOS,A PARTIR DA DATA DE ENTREGA</t>
  </si>
  <si>
    <t>Cânula Instrumental Cânula Instrumental, Aplicação:P/ Aspiração E Descolador De Septo, Diâmetro:Cerca De 4,5 MM, Haste:Reta, Comprimento Total:Cerca De 20 CM, Material:Aço Inoxidável, Esterilidade:Esterilizável DESCOLADOR CIRÚRGICO, TIPO ASPIRADOR RAIADO, APLI</t>
  </si>
  <si>
    <t>Cânula Instrumental Cânula Instrumental, Aplicação:P/ Aspiração, Modelo:Endoscópica Nasal, Diâmetro:Cerca De 2,0 MM, Haste:Angulada, Comprimento Total:Cerca De 12 CM, Material:Aço Inoxidável, Esterilidade:Esterilizável CÂNULA, TIPO ASPIRAÇÃO, APLICAÇÃO ENDONAS</t>
  </si>
  <si>
    <t>Cânula Instrumental Cânula Instrumental, Aplicação:P/ Aspiração, Modelo:Endoscópica Nasal, Diâmetro:Cerca De 2,5 MM, Haste:Angulada, Comprimento Total:Cerca De 12 CM, Material:Aço Inoxidável, Esterilidade:Esterilizável CÂNULA, TIPO ASPIRAÇÃO, APLICAÇÃO ENDONAS</t>
  </si>
  <si>
    <t>Cânula Instrumental Cânula Instrumental, Aplicação:P/ Aspiração, Modelo:Endoscópica Nasal, Diâmetro:Cerca De 3,0 MM, Haste:Curva, Comprimento Total:Cerca De 10 CM, Material:Aço Inoxidável, Esterilidade:Esterilizável CÂNULA, TIPO ASPIRAÇÃO, APLICAÇÃO ENDONASAL,</t>
  </si>
  <si>
    <t>Cânula Instrumental Cânula Instrumental, Aplicação:P/ Aspiração, Modelo:Endoscópica Nasal, Diâmetro:Cerca De 3,5 MM, Haste:Angulada, Comprimento Total:Cerca De 12 CM, Material:Aço Inoxidável, Esterilidade:Esterilizável CÂNULA, TIPO ASPIRAÇÃO, APLICAÇÃO ENDONAS</t>
  </si>
  <si>
    <t>Cânula Instrumental Cânula Instrumental, Aplicação:P/ Aspiração, Modelo:Endoscópica Nasal, Diâmetro:Cerca De 4,0 MM, Haste:Curva, Comprimento Total:Cerca De 10 CM, Material:Aço Inoxidável, Esterilidade:Esterilizável CÂNULA, TIPO ASPIRAÇÃO, APLICAÇÃO ENDONASAL,</t>
  </si>
  <si>
    <t>Cânula Instrumental Cânula Instrumental, Aplicação:P/ Aspiração, Modelo:Endoscópica Nasal, Diâmetro:Cerca De 4,0 MM, Haste:Angulada, Comprimento Total:Cerca De 12 CM, Material:Aço Inoxidável, Esterilidade:Esterilizável CÂNULA, TIPO ASPIRAÇÃO, APLICAÇÃO ENDONAS</t>
  </si>
  <si>
    <t>Cânula Instrumental Cânula Instrumental, Aplicação:P/ Aspiração E Descolador De Septo, Modelo:Ponta Maleável Circular, Diâmetro:Cerca De 4,5 MM, Haste:Reta, Comprimento Total:Cerca De 22 CM, Material:Aço Inoxidável, Esterilidade:Esterilizável DESCOLADOR CIRÚRG</t>
  </si>
  <si>
    <t>Luva Cirúrgica material: borracha natural - látex, superfície: superfície texturizada, formato: anatômico, pó: sem pó, cor: c/ cor, tamanho: nº 7,0, apresentação: em par, esterilidade: estéril, uso único, embalagem: embalagem individual</t>
  </si>
  <si>
    <t>Luva Cirúrgica material: borracha natural - látex, superfície: superfície texturizada, formato: anatômico, pó: com pó bioabsorvível, cor: c/ cor, tamanho: nº 9,0, apresentação: em par, esterilidade: estéril, uso único, embalagem: embalagem individual</t>
  </si>
  <si>
    <t>Fio De Sutura Agulhado material fio: nylon / poliamida preto, modelo fio: monofilamentar, diâmetro fio: 2-0, comprimento fio: cerca de 45, tipo agulha: agulha 3/8 círculo, modelo agulha: cortante reversa / invertida, comprimento agulha: cerca de 20, esterilida</t>
  </si>
  <si>
    <t>Fio De Sutura Agulhado material fio: nylon / poliamida preto, modelo fio: monofilamentar, diâmetro fio: 3-0, comprimento fio: cerca de 45, tipo agulha: agulha 1/2 círculo, modelo agulha: cortante reversa / invertida, comprimento agulha: cerca de 16, esterilida</t>
  </si>
  <si>
    <t>Fio De Sutura Agulhado material fio: poliglactina violeta, modelo fio: multifilamentar, diâmetro fio: 0 / 1-0, comprimento fio: cerca de 70, tipo agulha: agulha 5/8 círculo, modelo agulha: cilíndrica, comprimento agulha: cerca de 26, esterilidade: estéril, apr</t>
  </si>
  <si>
    <t>Fio De Sutura Agulhado material fio: ác. poliglicólico violeta, modelo fio: multifilamentar, diâmetro fio: 0 / 1-0, comprimento fio: cerca de 70, tipo agulha: agulha 5/8 círculo, modelo agulha: cilíndrica, comprimento agulha: cerca de 35, esterilidade: estéril</t>
  </si>
  <si>
    <t>Fio De Sutura Agulhado material fio: ác. poliglicólico violeta, modelo fio: multifilamentar, diâmetro fio: nº 2, comprimento fio: cerca de 70, tipo agulha: agulha 1/2 círculo, modelo agulha: cortante, comprimento agulha: cerca de 40, esterilidade: estéril, apr</t>
  </si>
  <si>
    <t>Lâmina Bisturi material: aço inoxidável, tamanho: nº 22, tipo: descartável, esterilidade: estéril, características adicionais: embalada individualmente</t>
  </si>
  <si>
    <t>FRALDA DESCARTÁVEL, SISTEMA DE FECHAMENTO AJUSTÁVEL, TAMANHO INFANTIL PEQUENO (P), MATERIAL TELA POLÍMERICA E NÚCLEO ABSORVENTE, REVESTIMENTO EXTERNO IMPERMEÁVEL, CARACTERISTICAS ADICIONAIS BARREIRA ANTIVAZAMENTO.</t>
  </si>
  <si>
    <t>FRALDA DESCARTÁVEL, SISTEMA DE FECHAMENTO AJUSTÁVEL, TAMANHO INFANTIL MÉDIO (M), MATERIAL TELA POLÍMERICA E NÚCLEO ABSORVENTE, REVESTIMENTO EXTERNO IMPERMEÁVEL, CARACTERISTICAS ADICIONAIS BARREIRA ANTIVAZAMENTO.</t>
  </si>
  <si>
    <t>FRALDA DESCARTÁVEL, SISTEMA DE FECHAMENTO AJUSTÁVEL, TAMANHO INFANTIL GRANDE (G), MATERIAL TELA POLÍMERICA E NÚCLEO ABSORVENTE, REVESTIMENTO EXTERNO IMPERMEÁVEL, CARACTERISTICAS ADICIONAIS BARREIRA ANTIVAZAMENTO.</t>
  </si>
  <si>
    <t>FRALDA DESCARTÁVEL, SISTEMA DE FECHAMENTO AJUSTÁVEL, TAMANHO INFANTIL EXTRA GRANDE (XG), MATERIAL TELA POLÍMERICA E NÚCLEO ABSORVENTE, REVESTIMENTO EXTERNO IMPERMEÁVEL, CARACTERISTICAS ADICIONAIS BARREIRA ANTIVAZAMENTO.</t>
  </si>
  <si>
    <t>FRALDA DESCARTÁVEL, SISTEMA DE FECHAMENTO AJUSTÁVEL, TAMANHO INFANTIL EXTRA GRANDE (XXG), MATERIAL TELA POLÍMERICA E NÚCLEO ABSORVENTE, REVESTIMENTO EXTERNO IMPERMEÁVEL, CARACTERISTICAS ADICIONAIS BARREIRA ANTIVAZAMENTO.</t>
  </si>
  <si>
    <t>CÂNULA NASOFARÍNGEA 28FR COM SACHÊ DE GEL LUBRIFICANTE</t>
  </si>
  <si>
    <t>Placa Eletrocirúrgica Placa Eletrocirúrgica, Materia Prima:Espuma, Tipo:Adesiva, Impermeável, Modelo:Bipartida, Componente:C/ Gel Condutor, Tamanho Placa:Adulto, Componente Adicional:S/ Cabo, Compatível:Compatível C/ Bisturi, Tipo Uso 1:Descartável PLACA ELETR</t>
  </si>
  <si>
    <t>Placa Eletrocirúrgica Placa Eletrocirúrgica, Materia Prima:Espuma, Tipo:Adesiva, Impermeável, Modelo:Bipartida, Componente:C/ Gel Condutor, Tamanho Placa:Infantil, Componente Adicional:S/ Cabo, Compatível:Compatível C/ Bisturi, Tipo Uso 1:Descartável PLACA ELE</t>
  </si>
  <si>
    <t>Placa Eletrocirúrgica Placa Eletrocirúrgica, Materia Prima:Espuma, Tipo:Adesiva, Impermeável, Modelo:Bipartida, Componente:C/ Gel Condutor, Tamanho Placa:Neonatal, Componente Adicional:S/ Cabo, Compatível:Compatível C/ Bisturi, Tipo Uso 1:Descartável PLACA ELE</t>
  </si>
  <si>
    <t>Campo Cirúrgico Descartável Campo Cirúrgico Descartável, Material:Não Tecido 100% Polipropileno - Tipo Sms, Propriedade:Hidrorepelente, Reforço:S/ Reforço, Dimensões:Cerca De 100 X 100 CM, Cor:C/ Cor, Esterilidade:Estéril CAMPO CIRÚRGICO, ESTÉRIL, DESCARTÁVEL,</t>
  </si>
  <si>
    <t>Agulha hipodérmica medindo 25 x 8.</t>
  </si>
  <si>
    <t>Agulha hipodérmica medindo 40x12.</t>
  </si>
  <si>
    <t>Agulha hipodérmica medindo 25 x 7.</t>
  </si>
  <si>
    <t>Atadura Elástica 12cm - Não estéril</t>
  </si>
  <si>
    <t>Atadura elástica 20cm - não estéril</t>
  </si>
  <si>
    <t>Bolsa coletora. Bolsas Coletoras de Urina de sistema fechado. Capacidade mínima de 2000ML.</t>
  </si>
  <si>
    <t>Campo cirúrgico fenestrado estéril 40 x 40 cm, em TNT dupla face</t>
  </si>
  <si>
    <t>Cateter nasal para oxigênio tipo óculos. Modelo Adulto</t>
  </si>
  <si>
    <t>Curativo de fibras de alginato de cálcio . tamanho de 10 cm x 10 cm.</t>
  </si>
  <si>
    <t>Escova Cervical - Descartável</t>
  </si>
  <si>
    <t>Esparadrapo impermeável. Tamanho 10cm X 4,5m.</t>
  </si>
  <si>
    <t>Espátula de ayre. Em madeira</t>
  </si>
  <si>
    <t>Espéculo vaginal, tamanho P.</t>
  </si>
  <si>
    <t>Espéculo vaginal, tamanho M.</t>
  </si>
  <si>
    <t>Espéculo vaginal, tamanho G.</t>
  </si>
  <si>
    <t>Filtro Plástico para espirometria</t>
  </si>
  <si>
    <t>Fita para autoclave.</t>
  </si>
  <si>
    <t>Gel condutor para exames de ultrassom, ultrassonografia e eletrocardiograma.</t>
  </si>
  <si>
    <t>Lâmina de bisturi descartável.</t>
  </si>
  <si>
    <t>Lanceta retrátil. Sistema de punção de uso único com 1 ajuste de profundidade.</t>
  </si>
  <si>
    <t>Luva cirúrgica estéril nº 6.5 descartável</t>
  </si>
  <si>
    <t>Luva cirúrgica estéril nº 7.0 descartável</t>
  </si>
  <si>
    <t>Luva cirúrgica estéril nº 7.5 descartável</t>
  </si>
  <si>
    <t>Luva cirúrgica estéril nº 8.0 descartável</t>
  </si>
  <si>
    <t>Papel grau cirúrgico.100 mm x 50 m. Rolo Termo Selante 100 mm x 50 m</t>
  </si>
  <si>
    <t>Papel grau cirúrgico.200 mm x 50 m. Rolo Termo Selante 200 mm x 50 m</t>
  </si>
  <si>
    <t>Rolo de papel lençol. Descartável.</t>
  </si>
  <si>
    <t>Seringa descartavel 1ml. caixa com 100 unidades.</t>
  </si>
  <si>
    <t>Seringa de 3 ml. Caixa com 100 unidades.</t>
  </si>
  <si>
    <t>Seringa de 5 ml. Caixa com 100 unidades</t>
  </si>
  <si>
    <t>Seringa de 10 ml. Caixa com 100 unidades.</t>
  </si>
  <si>
    <t>Seringa descartável 20 ml sem agulha. Caixa com 100 unidades</t>
  </si>
  <si>
    <t>Sonda nasogástrica. nº12. longa descartável</t>
  </si>
  <si>
    <t>Sonda nasogástricanº.14 longa descartável</t>
  </si>
  <si>
    <t>Sonda nasoentérica. nº 12. Sonda de nutrição enteral</t>
  </si>
  <si>
    <t>Sonda nasoentérica. nº 10 Sonda de nutrição enteral</t>
  </si>
  <si>
    <t>Sonda Uretral. nº 10 – Sonda descartável</t>
  </si>
  <si>
    <t>Sonda Uretral. nº 12 – Sonda descartável</t>
  </si>
  <si>
    <t>Sonda Uretral. nº 14 – Sonda descartável</t>
  </si>
  <si>
    <t>AVENTAL HOSPITALAR - DESCARTÁVEL BRANCO NÃO ESTÉRIL - MANGA LONGA - TAM. ÚNICO</t>
  </si>
  <si>
    <t>Atadura elástica 12cm x 2,20m. Pacote com 12 unidades.</t>
  </si>
  <si>
    <t>Atadura elástica 15cm x 1,80m. Pacote com 12 unidades.</t>
  </si>
  <si>
    <t>Atadura elástica 20cm x 2,20m. Pacote com 12 unidades</t>
  </si>
  <si>
    <t>Bobinas para esterilização em autoclave 200mm x 100m</t>
  </si>
  <si>
    <t>Catéter nasal, tipo óculos, tamanho único, esterilizado</t>
  </si>
  <si>
    <t>Cateter nasal para oxigênio, tipo óculos, infantil</t>
  </si>
  <si>
    <t>Coletor de material perfurocortante, capacidade 13 litros</t>
  </si>
  <si>
    <t>Compressa cirúrgica, tipo campo operatório</t>
  </si>
  <si>
    <t>Escova cervical descartável,</t>
  </si>
  <si>
    <t>Esparadrapo Cirúrgico Impermeável,</t>
  </si>
  <si>
    <t>Espéculo vaginal,</t>
  </si>
  <si>
    <t>Extensão para oxigênio, 2 metros</t>
  </si>
  <si>
    <t>Fita adesiva para autoclave 19mm x 30m</t>
  </si>
  <si>
    <t>Gel condutor para ultrassom incolor bag 5kg</t>
  </si>
  <si>
    <t>Indicador Biológico autoclave, caixa com 10 ampolas,</t>
  </si>
  <si>
    <t>Integrador Químico classe 5 para esterilização a vapor,</t>
  </si>
  <si>
    <t>Lâmina de bisturi em aço carbono, estéril, nº 15,</t>
  </si>
  <si>
    <t>Máscara cirúrgica tripla, caixa com 50 unidades</t>
  </si>
  <si>
    <t>Seringa 10 ml hipodérmica,</t>
  </si>
  <si>
    <t>Seringa 20 ml hipodérmica Caixa com 100 unid</t>
  </si>
  <si>
    <t>Seringa 3 ml sem agulha</t>
  </si>
  <si>
    <t>Seringa de 5 ml hipodérmica Caixa com 100 unid</t>
  </si>
  <si>
    <t>Sonda uretral nº 10</t>
  </si>
  <si>
    <t>Dreno cirúrgico de Penrose, tamanho nº 1. Material: borracha. Dimensões: cerca de 20 mm (espessura) x 35 cm (comprimento). Radiopaco, estéril, descartável, embalagem individual.</t>
  </si>
  <si>
    <t>Fita adesiva cirúrgica microporosa, dorso em não tecido, adesivo hipoalergênico, tamanho: 12 mm X 10 m, cor branca.</t>
  </si>
  <si>
    <t>Sonda nasogástrica longa nº 16, fabricada em PVC atóxico, conector padrão com tampa, ponta distal fechada, com orifícios laterais, estéril, descartável, embalagem individual.</t>
  </si>
  <si>
    <t>Sonda trato urinário, tipo Foley, calibre 20 French, em silicone, 2 vias, conectores padrão, com balão de cerca de 5 ml, ponta distal cilíndrica fechada, com orifícios laterais. Estéril e descartável. Embalagem individual.</t>
  </si>
  <si>
    <t>FIO DE SUTURA AGULHADO, MODELO FIO:MONOFILAMENTAR, DIÂMETRO FIO:4-0 &lt;p&gt;CAIXA COM 24 UNIDADES&lt;/p&gt;</t>
  </si>
  <si>
    <t>LÂMINA PARA BISTURI Nº15. USO ODONTOLÓGICO. FABRICADO EM AÇO CARBONO. ESTÉRIL E APIROGÊNICO. DESCARTÁVEL E DE USO ÚNICO. EMBALAGEM CONTENDO DADOS DE IDENTIFICAÇÃO, PROCEDÊNCIA, LOTE E REGISTRO NA ANVISA. CAIXA COM 100 UNIDADES.</t>
  </si>
  <si>
    <t>LÂMINA BISTURI, MATERIAL:AÇO CARBONO, TAMANHO: Nº 12, TIPO:DESCARTÁVEL, ESTERILIDADE:ESTÉRIL, CARACTERÍSTICAS ADICIONAIS: CAIXA COM 100 UNIDADES</t>
  </si>
  <si>
    <t>LÂMINA BISTURI, MATERIAL:AÇO INOXIDÁVEL, TAMANHO:Nº 15 C, TIPO:DESCARTÁVEL, ESTERILIDADE:ESTÉRIL, CARACTERÍSTICAS ADICIONAIS: CAIXA COM 100 UNIDADES</t>
  </si>
  <si>
    <t>AGULHA HIPODERMICA NOS TAMANHOS 13 X 0 45 25 X 0 70 25 X 0 80 30 X 8 40 X 1 2. CAIXA COM 100 UNIDADES. AGULHA COM CERTIFICACAO DO INMETRO CFE. PORTARIA INMETRO N 501 DE 29 12 2011 O TAMANHO A SER ADQUIRIDO SERA CONFORME SOLICITACAO NA AUTORIZACAO DE FORNECIMEN</t>
  </si>
  <si>
    <t>ATADURA ELASTICA LARGURA 10CMX2 2M</t>
  </si>
  <si>
    <t>ATADURA ELASTICA LARGURA 12CMX2 2M</t>
  </si>
  <si>
    <t>ATADURA ELASTICA LARGURA 15CMX2 2M</t>
  </si>
  <si>
    <t>ATADURA ELASTICA LARGURA 20CMX2 2M</t>
  </si>
  <si>
    <t>ATADURA ELASTICA LARGURA 5CM X 2 2M</t>
  </si>
  <si>
    <t>ATADURA ELASTICA LARGURA 8CMX2 2M</t>
  </si>
  <si>
    <t>BOBINA COM INDICADORES PARA USO EM ESTERILIZACAO A VAPOR COMPOSTO DE PAPEL GRAU CIRURGICO E FILME PLASTICO TAMANHO 100MMX100M.</t>
  </si>
  <si>
    <t>BOBINA COM INDICADORES PARA USO EM ESTERILIZACAO A VAPOR COMPOSTO DE PAPEL GRAU CIRURGICO E FILME PLASTICO TAMANHO 300MMX100M.</t>
  </si>
  <si>
    <t>BOBINA COM INDICADORES PARA USO EM ESTERILIZACAO A VAPOR COMPOSTO DE PAPEL GRAU CIRURGICO E FILME PLASTICO TAMANHO 50MMX100M.</t>
  </si>
  <si>
    <t>BOBINA COM INDICADORES PARA USO EM ESTERILIZACAO A VAPOR COMPOSTO DE PAPEL GRAU CIRURGICO E FILME PLASTICO TAMANHO 150MMX100M.</t>
  </si>
  <si>
    <t>CABO DE BISTURI N 3</t>
  </si>
  <si>
    <t>CADARCO LARGO PARA FIXACAO DE TRAQUEOSTOMIA 10M</t>
  </si>
  <si>
    <t>CAMPO CIRURGICO ESTERIL NAO FENESTRADO 50X50CM</t>
  </si>
  <si>
    <t>CAMPO CIRURGICO ESTERIL NAO FENESTRADO 30X30CM</t>
  </si>
  <si>
    <t>CAMPO OPERATORIO COMPRESSA CIRURGICA 45CMX50CM 4 CAMADAS 100 ALGODAO 35 GRAMAS PACOTE COM 50 UNIDADES</t>
  </si>
  <si>
    <t>COLETOR DE URINA ADULTO COM FILTRO ESTERIL CAPACIDADE DE 2000 MILILITROS COM DISPOSITIVO ANTI REFLUXO SISTEMA FECHADO</t>
  </si>
  <si>
    <t>COMPRESSA CIRURGICA NAO ESTERIL CAMPO OPERATORIO 23CMX25CM 100 ALGODAO PACOTE C 50 PECAS</t>
  </si>
  <si>
    <t>CONJUNTO DE NEBULIZACAO MANGUEIRA C ROSCA COMPATIVEL COM CENTRAL DE NEBULIZACAO MEDICATE MD 400 ADULTO.</t>
  </si>
  <si>
    <t>CONJUNTO DE NEBULIZACAO MANGUEIRA C ROSCA COMPATIVEL COM CENTRAL DE NEBULIZACAO MEDICATE MD 400 INFANTIL.</t>
  </si>
  <si>
    <t>CUBA RIM INOX 26X12CM</t>
  </si>
  <si>
    <t>EQUIPO MACROGOTAS PARA SOLUCOES PARENTERAIS COM INJETOR LATERAL E CONEXAO LUER SLIP COM RESPIRO DE AR COM FILTRO. Produto com Certificacao do INMETRO cfe. Portaria INMETRO n 502 de 29 12 2011</t>
  </si>
  <si>
    <t>EQUIPO MICROGOTAS C INJETOR LATERAL LABOR IMPORT E INDICADO PARA USO NA PERFUSAO DE SOLUCOES PARENTAIS QUE NECESSITE SER ADMINISTRADA LENTAMENTE.</t>
  </si>
  <si>
    <t>ESPARADRAPO 10 CM X 4 5M</t>
  </si>
  <si>
    <t>ESPATULA DE AYRE PACOTE COM 100 UNIDADES</t>
  </si>
  <si>
    <t>ESPECULO VAGINAL DESCARTAVEL TAMANHOS PP P M e G.O TAMANHO A SER ADQUIRIDO SERA CONFORME SOLICITACAO NA AUTORIZACAO DE FORNECIMENTO.</t>
  </si>
  <si>
    <t>FIO DE SUTURA MONOFILAMENTO PRETO NYLON AGULHADO NAO ABSORVIVEL NOS TAMANHOS N 2 0 N 3 0 N 4 0 N 5 0 N 6 0 CAIXA COM 24 UNID. O TAMANHO A SER ADQUIRIDO SERA CONFORME SOLICITACAO NA AUTORIZACAO DE FORNECIMENTO</t>
  </si>
  <si>
    <t>FITA ADESIVA PARA AUTOCLAVE 19MMX30M</t>
  </si>
  <si>
    <t>FITA HIPOALERGICA MICROPOROSA 25MM X 10M</t>
  </si>
  <si>
    <t>FITA HIPOALERGICA MICROPOROSA 5CM X 4 5M</t>
  </si>
  <si>
    <t>INDICADOR BIOLOGICO PARA MONITORIZACAO DE AUTOCLAVE A VAPOR CONTENDO EM SEU INTERIOR ESPOROS INOCULADOS DE GEOBACILLUS STEAROTHERMOPHILUS CAIXA COM 8 UNID.</t>
  </si>
  <si>
    <t>LAMINA DE BISTURI N 10 N 11 e N 15 CAIXA COM 100 UNIDADES. O TAMANHO N A SER ADQUIRIDO SERA CONFORME SOLICITACAO NA AUTORIZACAO DE FORNECIMENTO.</t>
  </si>
  <si>
    <t>LANCETAS DE ACO INOX COM INVOLUCRO DE PLASTICO E PUNCAO RETRATIL</t>
  </si>
  <si>
    <t>LENCOL HOSPITALAR DESCARTAVEL 50 CM X 50 CM</t>
  </si>
  <si>
    <t>LENCOL HOSPITALAR DESCARTAVEL COM ELASTICO 0 90X2 00M PARA MACA EM TNT 40G PACOTE COM 10 UNIDADES</t>
  </si>
  <si>
    <t>LUVA CIRURGICA ESTERIL COM PO UNIDADE PAR DE LUVAS NOS TAMANHOS N 6 5 N 7 0 N 7 5 N 8 0. O TAMANHO A SER ADQUIRIDO SERA CONFORME SOLICITACAO NA AUTORIZACAO DE FORNECIMENTO.</t>
  </si>
  <si>
    <t>LUVAS DE LATEX PARA PROCEDIMENTO TAMANHOS PP P M G CAIXA COM 100 UNIDADES LUVA DE LATEX COM CERTIFICACAO DO INMETRO CFE. PORTARIA N 332 DE 26 06 2015 . O TAMANHO DA CAIXA A SER ADQUIRIDO SERA CONFORME SOLICITACAO NA AUTORIZACAO DE FORNECIMENTO.</t>
  </si>
  <si>
    <t>MASCARA DE OXIGENIO DE ALTA CONCENTRACAO COM RESERVATORIO ADULTO</t>
  </si>
  <si>
    <t>MASCARA LARINGEA NOS TAMANHOS N 1 N 1 5 N 2 N 2 5 N 3 N 4 N 5. O TAMANHO A SER ADQUIRIDO SERA CONFORME SOLICITACAO NA AUTORIZACAO DE FORNECIMENTO.</t>
  </si>
  <si>
    <t>MASCARA N95 PFF2</t>
  </si>
  <si>
    <t>PAPEL GRAU CIRURGICO COM 20CMX100M</t>
  </si>
  <si>
    <t>SERINGA HIPODERMICA SEM AGULHA 10 ML BICO LISO LUER SLIP SERINGA COM CERTIFICACAO DO INMETRO CFE. PORTARIA INMETRO N 503 DE 29 12 2011</t>
  </si>
  <si>
    <t>SERINGA HIPODERMICA SEM AGULHA 20 ML BICO LISO LUER SLIP SERINGA COM CERTIFICACAO DO INMETRO CFE. PORTARIA INMETRO N 503 DE 29 12 2011</t>
  </si>
  <si>
    <t>SERINGA HIPODERMICA SEM AGULHA 3 ML BICO LISO LUER SLIP SERINGA COM CERTIFICACAO DO INMETRO CFE. PORTARIA INMETRO N 503 DE 29 12 2011</t>
  </si>
  <si>
    <t>SERINGA HIPODERMICA SEM AGULHA 5 ML BICO LISO LUER SLIP SERINGA COM CERTIFICACAO DO INMETRO CFE. PORTARIA INMETRO N 503 DE 29 12 2011</t>
  </si>
  <si>
    <t>SONDA FOLEY COM BALAO 2 VIAS NOS TAMANHOS N 12 N 14 N 16 N 18 N 20. O TAMANHO A SER ADQUIRIDO SERA CONFORME SOLICITACAO NA AUTORIZACAO DE FORNECIMENTO.</t>
  </si>
  <si>
    <t>SONDA URETRAL NOS TAMANHOS N 6 N 8 N 14 N 16 N 18. O TAMANHO A SER ADQUIRIDO SERA CONFORME SOLICITACAO NA AUTORIZACAO DE FORNECIMENTO.</t>
  </si>
  <si>
    <t>TORNEIRA DE 3 VIAS PROJETADA PARA SUPORTAR ALTAS PRESSOES DE INFUSAO. RESISTENTE A FARMACOS E ANTISSEPTICOS. VIAS 1 VIAS LUER LOCK COM GIRO EM TORDO DO PROPRIO EIXO PARA CONEXAO E DESCONEXAO DE CATETER MINIMIZANDO O RISCO DE PERDA DO ACESSO VENOSO. 2 VIAS LUER</t>
  </si>
  <si>
    <t>TUBO EXTENSAO 203 PARA EMENDAR CATETER OXIGENIO DE SILICONE 100 PURO 6 METROS</t>
  </si>
  <si>
    <t>GARROTE LIVRE DE LATEX TIRAS 36CM CAIXA COM 25 UNID.</t>
  </si>
  <si>
    <t>SWAB PARA COLETA E TRANSPORTE DE AMOSTRAS COM MEIO DE TRANSPORTE STUART</t>
  </si>
  <si>
    <t>FRONHA PARA TRAVESSEIRO HOSPITALAR DE MEDIDA 50X70CM BRANCA LISA</t>
  </si>
  <si>
    <t>LENCOL SOLTEIRO SEM ELASTICO BRANCO LISO PARA COLCHAO DE CAMA HOSPITALAR MEDIDAS APROXIMADAS DO COLCHAO 188X88X30CM</t>
  </si>
  <si>
    <t>SUPORTE PARA COLETOR DE MATERIAIS PERFUROCORTANTES 13 LITROS Suporte para coletores de papelao de materiais perfurocortantes com capacidade de 13 litros. Fabricado com orificios para fixacao na parede com parafusos. Material Aco com pintura na cor branca. Deve</t>
  </si>
  <si>
    <t>SERINGAS DE INSULINA COM AGULHA HIPODERMICA 13X0 45 CAPACIDADE 1ML EM PLASTICO ATOXICO ESTERIL EMBALADA INDIVIDUALMENTE EM PAPEL GRAU CIRURGICO BICO TIPO SLIP DE FACIL ENCAIXE COM AGULHAS MARCACOES IMPRESSAS EM RISCAS POSSUIR ANEL DE RETENCAO NO FINAL DA SERIN</t>
  </si>
  <si>
    <t>Toucas descartaveis tnt sanfona 1805. Pacote c 100 unidades</t>
  </si>
  <si>
    <t>Seringas descartaveis 10 ml sem lumen</t>
  </si>
  <si>
    <t>Seringas descartaveis 3ml com lumen</t>
  </si>
  <si>
    <t>Seringas descartaveis 5ml com lumen</t>
  </si>
  <si>
    <t>Seringas descartaveis 20ml sem lumen</t>
  </si>
  <si>
    <t>Garrote para puncoes com processo de auto trava e regulagem de tensao com tecido elastico adequado</t>
  </si>
  <si>
    <t>Bacia de inox de uso hospitalar com dimensao de 35 cm de diametro e capacidade de volume de 5.500 ml com os devidos registros no Inmetro e Anvisa</t>
  </si>
  <si>
    <t>Cuba rim inox 26 x 12 x 6 750 ml</t>
  </si>
  <si>
    <t>Seringas descartaveis 3ml com lumen com agulha 25x06</t>
  </si>
  <si>
    <t>Lancetas compativel com aparelho glicosimetro em uso caixa com 100 unidades.</t>
  </si>
  <si>
    <t>Indicador biologico segunda geracao apresentacao autocontido ampola com meio de cultura especie bacillus stearothermophillus caracteristicas adicionais resposta em 24 horas aplicacao para esterilizacao a vapor. Caixa com 10 unidades</t>
  </si>
  <si>
    <t>Fita de autoclave fita adesiva para autoclave tamanho 19mmx30m com dorso de papel crepado a base de celulose em uma de suas faces massa adesiva a base de borracha natural oxido de zinco e resinas e na outra face uma fina camada impermeabilizante de resina acri</t>
  </si>
  <si>
    <t>Compressa de gaze nao esteril gaze uso em saude modelo compressa c dobras e camadas material tecido 100 algodao densidade cerca de 13 fios cm2 radiopacidade com elemento radiopaco dimensao fechada cerca de 10 x 10 cm esterilidade esteril uso unico compressa de</t>
  </si>
  <si>
    <t>Atadura crepe 15cm atadura de crepe 15cm x 1 80m comprimento em repouso 13 fios cm conforme ABNT NBR 14056. Pacote c 12 unidades</t>
  </si>
  <si>
    <t>Atadura 20 cm atadura de crepe 20cm x 1 80m comprimento em repouso 13 fios cm conforme ABNT NBR 14056. Pacote c 12 unidades</t>
  </si>
  <si>
    <t>Esparadrapo 5 cm esparadrapo impermeavel extra flexivel 5cm x 4 5m. composicao tecido 100 algodao com tratamento acrilico adesivo a base de oxido de zinco borracha natural e resina</t>
  </si>
  <si>
    <t>Especulo vaginal com lubrificante esteril P</t>
  </si>
  <si>
    <t>Especulo vaginal com lubrificante esteril M</t>
  </si>
  <si>
    <t>Especulo vaginal com lubrificante esteril G</t>
  </si>
  <si>
    <t>Escova cervical ginec esteril</t>
  </si>
  <si>
    <t>Espatula de ayre pacote com 100 unidades</t>
  </si>
  <si>
    <t>Gel condutor para exame gel condutor para ultrassom e ecg aspecto incolor e inodoro nao gorduroso isento de sal e alcool ph neutro. embalagem 1kg</t>
  </si>
  <si>
    <t>Frasco coletor de urina 50ml</t>
  </si>
  <si>
    <t>Tig teste rapido de gravidez teste de gravidez determinacao por tira reativa qualitativa da gonado teste de gravidez determinacao por tira reativa qualitativa da gonadotrofina corionica atraves de anticorpos monoclonais e policlonais com formacao de uma reacao</t>
  </si>
  <si>
    <t>Campo Cirurgico Esteril Sem Fenestra 30x30</t>
  </si>
  <si>
    <t>Campo Cirurgico Esteril Sem Fenestra 70x70</t>
  </si>
  <si>
    <t>Laminas para bisturi n 11. Caixa com 100 unidades</t>
  </si>
  <si>
    <t>Fixador P/ Dispositivo Médico aplicação: p/ tubo endotraqueal, material: tira tecido sintético e algodão, característica: acolchoada, componente: c/ velcro ajustável, tamanho: adulto, tipo uso: uso único, embalagem: embalagem individual Conforme Anexo. I do Te</t>
  </si>
  <si>
    <t xml:space="preserve">Fixador P/ Dispositivo Médico aplicação: p/ tubo endotraqueal, material: tira algodão, característica: 2 bandas acolchoadas, componente: c/ velcro ajustável, tamanho: infantil, tipo uso: uso único, embalagem: embalagem individual Conforme Anexo. I do Termo de </t>
  </si>
  <si>
    <t>Fixador P/ Dispositivo Médico aplicação: p/ tubo endotraqueal, material: tira adesiva, tamanho: neonatal, tipo uso: uso único, embalagem: embalagem individual Conforme Anexo. I do Termo de Referência - Descrição Detalhada e Quantitativo do Objeto</t>
  </si>
  <si>
    <t>LANCETA DESCARTAVEL - ponta trifacetada, siliconizada e esteril, tampa protetora de facil remocao, mecanismo proprio sem uso de lancetadores, de acordo com NR32/05 do MTE</t>
  </si>
  <si>
    <t>seringa para insulina, polipropileno transparente plastico, de 0,5 ml (50 UI), apirogenica e atoxica, c/ boa visualizacao, descartavel, esteril, agulha acoplada 8 x 0,33 mm 30g</t>
  </si>
  <si>
    <t>seringa para insulina, polipropileno transparente plastico, de 1 ml (100 UI), apirogenica e atoxica, c/ boa visualizacao, descartavel, esteril, agulha acoplada 8 x 0,33 mm 30g</t>
  </si>
  <si>
    <t>Bolsa Coletora De Urina Sistema Fechado material*: conjunto c/ sonda uretral 4fr, tipo*: sistema fechado, modelo: neonatal, capacidade*: bureta de 150, graduação: graduada, válvula: válvula anti-refluxo, características adicionais*: bolsa reservatório de 400ml</t>
  </si>
  <si>
    <t>Reservatório P/ Coleta De Amostra Biológica modelo: saco, aplicação: p/ urina infantil, material: polímero maleável transparente, graduado, volume: cerca de 100 ml, componente: c/ adesivo de fixação no paciente, esterilidade: estéril, uso único</t>
  </si>
  <si>
    <t>Espátula Uso Médico modelo 1: de ayres, material*: madeira, comprimento*: cerca de 18, esterilidade: descartável</t>
  </si>
  <si>
    <t>Espéculo Uso Médico aplicação: vaginal, modelo: collin, tamanho: grande, travamento: c/ trava tipo rosca, material: polímero, esterilidade: não estéril, uso único, embalagem: embalagem individual</t>
  </si>
  <si>
    <t>Filtro Uso Médico tipo: infusão de soluções, modelo: retenção bactérias, partículas e bolhas de ar, aplicação: conector luerlock, com tampa protetora, esterilidade: descartável,estéril, material estrutura: membrana hidrofílica, membrana hidrofóbica, componente</t>
  </si>
  <si>
    <t>Reservatório P/ Coleta De Amostra Biológica modelo: frasco, aplicação: universal, material: polímero rígido transparente, graduado, volume: cerca de 100 ml, fechamento: tampa plástica, esterilidade: estéril, uso único</t>
  </si>
  <si>
    <t>Torneirinha vias: 3 vias, material*: polímero, tipo conector: luer lock / slip, pressão máxima: alta pressão até 1200, tipo uso: estéril, uso único</t>
  </si>
  <si>
    <t>Seringa de 20 ml, sem agulha</t>
  </si>
  <si>
    <t>Curativo para traqueostomia de espuma poliuretano absorvente com película</t>
  </si>
  <si>
    <t>LANCETA ESTÉRIL PARA TESTE HGT, COM SISTEMA DE ATIVAÇÃO POR CONTATO E COM TRAVA DE SEGURANÇA, DESCARTÁVEIS E ESTÉREIS, DE USO ÚNICO, PARA MEDIÇÃO DE GLICOSE.</t>
  </si>
  <si>
    <t>LANCETA DESCARTÁVEL RETRÁTIL (28G), DE ACORDO COM NR32 PARA PUNÇÃO DIGITAL.</t>
  </si>
  <si>
    <t>CABO DE BISTURI N 3 MATERIAL: CONFECCIONADO EM ACO INOXIDAVEL CIRuRGICO DE ALTA RESISTENCIA A CORROSAO. DESIGN: ANATOMICO, FINO E ACHATADO, GARANTINDO PRECISAO NO MANUSEIO.</t>
  </si>
  <si>
    <t>LAMINA DE BISTURI N10 CX C/ 100 UN MATERIAL: CONFECCIONADO EM ACO INOXIDAVEL CIRuRGICO DE ALTA RESISTENCIA A CORROSAO.</t>
  </si>
  <si>
    <t>MASCARA DE VENTURI COMPONENTES: MASCARA FACIAL, ELASTICO, PRESILHA NASAL, TRAQUEIA CORRUGADA, DILUIDORES COLORIDOS (VENTURI) E EXTENSAO DE OXIGENIO.</t>
  </si>
  <si>
    <t>MASCARA LARiNGEA MODELO: REUTILIZAVEL, MATERIAL: SILICONE DE USO MEDICO, ISENTA DE LATEX, DETALHES: RESISTENTE A ESMAGAMENTO, TORCAO OU DOBRAS E COM MARCA LINEAR PARA REFERENCIA DE POSICAO AO LONGO DO CORPO DO TUBO TAMANHOS:1,0</t>
  </si>
  <si>
    <t>MASCARA LARiNGEA MODELO: REUTILIZAVEL, MATERIAL: SILICONE DE USO MEDICO, ISENTA DE LATEX, DETALHES: RESISTENTE A ESMAGAMENTO, TORCAO 27OU DOBRAS E COM MARCA LINEAR PARA REFERENCIA DE POSICAO AO LONGO DO CORPO DO TUBO TAMANHOS:2,0</t>
  </si>
  <si>
    <t>MASCARA LARiNGEA MODELO: REUTILIZAVEL, MATERIAL: SILICONE DE USO MEDICO, ISENTA DE LATEX, DETALHES: RESISTENTE A ESMAGAMENTO, TORCAO OU DOBRAS E COM MARCA LINEAR PARA REFERENCIA DE POSICAO AO LONGO DO CORPO DO TUBO TAMANHOS:4,0</t>
  </si>
  <si>
    <t>MASCARA LARiNGEA MODELO: REUTILIZAVEL, MATERIAL: SILICONE DE USO MEDICO, ISENTA DE LATEX, DETALHES: RESISTENTE A ESMAGAMENTO, TORCAO OU DOBRAS E COM MARCA LINEAR PARA REFERENCIA DE POSICAO AO LONGO DO CORPO DO TUBO TAMANHOS: 5,0</t>
  </si>
  <si>
    <t>MASCARA LARiNGEA MODELO: REUTILIZAVEL, MATERIAL: SILICONE DE USO MEDICO, ISENTA DE LATEX, DETALHES: RESISTENTE A ESMAGAMENTO, TORCAO OU DOBRAS E COM MARCA LINEAR PARA REFERENCIA DE POSICAO AO LONGO DO CORPO DO TUBO TAMANHOS:6,0</t>
  </si>
  <si>
    <t>AMBU REANIMADOR MANUAL AMBU SILICONE AUTOCLAVAVEL - (NEONATAL)</t>
  </si>
  <si>
    <t>LUVAS CIRURGICAS. &lt;p&gt;TAMANHO GG, LUVA DE VINIL, PVC, SEM P&amp;Oacute;.&lt;/p&gt;</t>
  </si>
  <si>
    <t>LÂMINA BISTURI. &lt;p&gt;CABO N&amp;ordm;&amp;nbsp; 24.&lt;/p&gt;</t>
  </si>
  <si>
    <t>SERINGAS 20ML. &lt;p&gt;DE 20 ML&lt;/p&gt;</t>
  </si>
  <si>
    <t>Campo Cirúrgico modelo: fenestrado, material: 100% algodão, gramatura: mínimo de 260, dimensões: cerca de 150 x 175, cor: c/ cor, esterilidade: esterilizável</t>
  </si>
  <si>
    <t>Fio De Sutura Agulhado material fio: nylon / poliamida preto, modelo fio: monofilamentar, diâmetro fio: 3-0, comprimento fio: cerca de 45, tipo agulha: agulha 3/8 círculo, modelo agulha: cortante reversa / invertida, comprimento agulha: cerca de 40, esterilida</t>
  </si>
  <si>
    <t>Equipo De Infusão Venosa Gravitacional material: pvc transparente, câmara gotejamento: microgotas, flexível, c/ filtro, regulador de fluxo manual: pinça rolete, comprimento tubo: até 180 cm, tipo injetor lateral: s/ injetor, conector paciente: luer, esterilida</t>
  </si>
  <si>
    <t>Sonda Trato Digestivo aplicação: nasoenteral, material: poliuretano, calibre: nº 8, comprimento: cerca 100, conector: conector em y c/ tampa, graduação: graduada, componentes: ponta distal fechada, c/ orifícios laterais, outros componentes: c/ fio guia, peso m</t>
  </si>
  <si>
    <t>Sonda Trato Urinário modelo: foley, material: silicone, calibre: 6, vias: 2 vias, conector: conectores padrão, volume: c/ balão cerca 5, tipo ponta: ponta distal cilíndrica fechada, componentes: c/ orifícios laterais, esterilidade: estéril, descartável, embala</t>
  </si>
  <si>
    <t>Sonda Trato Urinário modelo: foley, material: silicone, calibre: 12, vias: 2 vias, conector: conectores padrão, volume: c/ balão cerca 5, tipo ponta: ponta distal cilíndrica fechada, componentes: c/ orifícios laterais, esterilidade: estéril, descartável, embal</t>
  </si>
  <si>
    <t>Sonda Trato Urinário modelo: foley, material: borracha, calibre: 22, vias: 2 vias, conector: conectores padrão, volume: c/ balão cerca 30, tipo ponta: ponta distal cilíndrica fechada, componentes: c/ orifícios laterais, esterilidade: estéril, descartável, emba</t>
  </si>
  <si>
    <t>Sonda Trato Urinário modelo: foley, material: borracha, calibre: 18, vias: 3 vias, conector: conectores padrão, volume: c/ balão cerca 30, tipo ponta: ponta distal cilíndrica fechada, componentes: c/ orifícios laterais, esterilidade: estéril, descartável, emba</t>
  </si>
  <si>
    <t>Sonda Trato Urinário modelo: foley, material: borracha, calibre: 24, vias: 3 vias, conector: conectores padrão, volume: c/ balão cerca 30, tipo ponta: ponta distal cilíndrica fechada, componentes: c/ orifícios laterais, esterilidade: estéril, descartável, emba</t>
  </si>
  <si>
    <t>Sonda Trato Digestivo aplicação: oro ou nasogástrica, modelo: levine, material: pvc, calibre: nº 4, tamanho: longa, comprimento: cerca 120, conector: conector padrão c/ tampa, componentes: ponta distal fechada, c/ orifícios laterais, esterilidade: estéril, des</t>
  </si>
  <si>
    <t>Sonda Trato Digestivo aplicação: oro ou nasogástrica, modelo: levine, material: pvc, calibre: nº 6, tamanho: longa, comprimento: cerca 120, conector: conector padrão c/ tampa, componentes: ponta distal fechada, c/ orifícios laterais, esterilidade: estéril, des</t>
  </si>
  <si>
    <t>Sonda Trato Digestivo aplicação: oro ou nasogástrica, modelo: levine, material: pvc, calibre: nº 10, tamanho: longa, comprimento: cerca 120, conector: conector padrão c/ tampa, componentes: ponta distal fechada, c/ orifícios laterais, esterilidade: estéril, de</t>
  </si>
  <si>
    <t>Sonda Trato Digestivo aplicação: oro ou nasogástrica, modelo: levine, material: pvc, calibre: nº 12, tamanho: longa, comprimento: cerca 120, conector: conector padrão c/ tampa, componentes: ponta distal fechada, c/ orifícios laterais, esterilidade: estéril, de</t>
  </si>
  <si>
    <t>Sonda Trato Digestivo aplicação: oro ou nasogástrica, modelo: levine, material: pvc, calibre: nº 16, tamanho: longa, comprimento: cerca 120, conector: conector padrão c/ tampa, componentes: ponta distal fechada, c/ orifícios laterais, esterilidade: estéril, de</t>
  </si>
  <si>
    <t>Sonda Trato Digestivo aplicação: oro ou nasogástrica, modelo: levine, material: pvc, calibre: nº 18, tamanho: longa, comprimento: cerca 120, conector: conector padrão c/ tampa, componentes: ponta distal fechada, c/ orifícios laterais, esterilidade: estéril, de</t>
  </si>
  <si>
    <t>Sonda Trato Digestivo aplicação: nasoenteral, material: silicone, calibre: nº 8, comprimento: cerca 100, conector: conector em y c/ tampa, graduação: graduada, componentes: ponta distal fechada, c/ orifícios laterais, outros componentes: c/ fio guia, peso metá</t>
  </si>
  <si>
    <t>Dreno Cirúrgico modelo: kehr em "t", material: borracha, calibre: 22, comprimento: cerca de 50, tipo uso: estéril, descartável, embalagem: embalagem individual</t>
  </si>
  <si>
    <t>Sonda Trato Urinário modelo: uretral, material: silicone, calibre: 6, conector: conector padrão, comprimento: cerca 40, tipo ponta: ponta distal cilíndrica c/ orifício, esterilidade: estéril, descartável, embalagem: embalagem individual</t>
  </si>
  <si>
    <t>Sonda Trato Urinário modelo: uretral, material: pvc, calibre: 16, conector: conector padrão c/ tampa, comprimento: cerca 40, tipo ponta: ponta distal cilíndrica fechada, componentes: c/ orifícios laterais, esterilidade: estéril, descartável, embalagem: embalag</t>
  </si>
  <si>
    <t>Sonda Trato Urinário modelo: uretral, material: pvc, calibre: 18, conector: conector padrão c/ tampa, comprimento: cerca 40, tipo ponta: ponta distal cilíndrica fechada, componentes: c/ orifícios laterais, esterilidade: estéril, descartável, embalagem: embalag</t>
  </si>
  <si>
    <t>AVENTAL HOSPITALAR - CIRÚRGICO DESCARTÁVEL IMPERMEÁVEL AZUL GRANDE ESTÉRIL LONGA</t>
  </si>
  <si>
    <t>Gel condutor para eletrocardiograma, cor azul, tubo 100g</t>
  </si>
  <si>
    <t>Sonda Trato Urinário modelo: uretral, material: poliuretano, calibre: 12, conector: conector padrão, comprimento: cerca 40, tipo ponta: ponta distal cilíndrica fechada, componentes: c/ orifícios laterais, adicionais: lubrificada, esterilidade: estéril, descart</t>
  </si>
  <si>
    <t>Fixador P/ Dispositivo Médico aplicação: p/ tubo endotraqueal, material: tira adesiva, componente: c/ velcro ajustável, componente adicional: c/ presilha de fixação, tamanho: adulto, tipo uso: uso único, embalagem: embalagem individual</t>
  </si>
  <si>
    <t>Garrote material*: faixa elástica, componente adicional: c/ sistema de trava em plástico, tamanho: tamanho infantil, tipo uso: reutilizável</t>
  </si>
  <si>
    <t>Protetor Colchão aplicação: para colchonete, fechamento: revestimento face superior, fixação c/ elástico, cor: com cor, material: tecido sintético totalmente impermeável</t>
  </si>
  <si>
    <t>Lenço Umedecido material: não tecido, dimensões: cerca de 20 x 20, componentes: com emoliente, característica adicional: pré-ensaboado, tipo uso: descartável</t>
  </si>
  <si>
    <t>Dreno Cirúrgico modelo: tubular, material: pvc, calibre: cerca de 15, componente: introdutor em aço inoxidável, componente adicional: c/ reservatório graduado - pressão negativa, volume: cerca de 500, conector universal: c/ conector, componente i: c/ válvula a</t>
  </si>
  <si>
    <t>AGULHA HIPODÉRMICA, MATERIAL:AÇO INOXIDÁVEL SILICONIZADO, DIMENSÃO:21 G X 1", TIPO PONTA:BISEL CURTO TRIFACETADO, TIPO CONEXÃO:CONECTOR LUER LOCK EM PLÁSTICO, TIPO FIXAÇÃO:PROTETOR PLÁSTICO, CARACTERÍSTICA ADICIONAL:COM SISTEMA SEGURANÇA SEGUNDO NR/32, TIPO US</t>
  </si>
  <si>
    <t>AGULHA HIPODÉRMICA, MATERIAL: AÇO INOXIDÁVEL SILICONIZADO, DIMENSÃO: 22 G X 1", TIPO PONTA: BISEL CURTO TRIFACETADO, TIPO CONEXÃO: CONECTOR LUER LOCK EM PLÁSTICO, TIPO FIXAÇÃO: PROTETOR PLÁSTICO, CARACTERÍSTICA ADICIONAL: COM SISTEMA SEGURANÇA SEGUNDO NR/32, T</t>
  </si>
  <si>
    <t>AGULHA HIPODÉRMICA, MATERIAL: AÇO INOXIDÁVEL SILICONIZADO, DIMENSÃO: 18 G X 1 1/2", TIPO PONTA: BISEL CURTO TRIFACETADO, TIPO CONEXÃO: CONECTOR LUER LOCK EM PLÁSTICO, TIPO FIXAÇÃO: PROTETOR PLÁSTICO, CARACTERÍSTICA ADICIONAL: COM SISTEMA SEGURANÇA SEGUNDO NR/3</t>
  </si>
  <si>
    <t>PAPEL GRAU CIRÚRGICO 10CM. ATÓXICO E ISENTO DE ALVEJANTE. NÃO LIBERA FIBRAS DE PAPEL OU LACERAÇÃO DO FILME NA ABERTURA APÓS ESTERILIZAÇÃO. EMBALAGEM INDIVIDUAL COM DADOS DE IDENTIFICAÇÃO, PROCEDÊNCIA E LOTE. ROLO DE 10CM X 100M.</t>
  </si>
  <si>
    <t>CAMPO CIRÚRGICO DESCARTÁVEL, MATERIAL:TNT - TIPO SMS, DIMENSÕES:CERCA DE 40 X 40 CM, ESTERILIDADE:ESTÉRIL. EMBALADO INDIVIDUALMENTE.</t>
  </si>
  <si>
    <t>FIO DE SUTURA AGULHADO, MODELO FIO: MONOFILAMENTAR, DIÂMETRO FIO: 0, APRESENTAÇÃO: CAIXA COM 24 UNIDADES</t>
  </si>
  <si>
    <t>FIO DE SUTURA AGULHADO, MODELO FIO: MONOFILAMENTAR, DIÂMETRO FIO: 2-0, APRESENTAÇÃO: CAIXA COM 24 UNIDADES</t>
  </si>
  <si>
    <t>INDICADOR BIOLÓGICO, TIPO:TERCEIRA GERAÇÃO, APRESENTAÇÃO:AUTOCONTIDO, AMPOLA COM MEIO DE CULTURA, ESPÉCIE:BACILLUS STEAROTHERMOPHILLUS, CARACTERÍSTICAS ADICIONAIS:RESPOSTA EM 1 HORA, APLICAÇÃO:PARA ESTERILIZAÇÃO A VAPOR (TERMÓFILOS) CAIXA COM 100 UNIDADES</t>
  </si>
  <si>
    <t>LÂMINA BISTURI, MATERIAL:AÇO INOXIDÁVEL, TAMANHO:Nº 24, TIPO:DESCARTÁVEL, ESTERILIDADE:ESTÉRIL, CARACTERÍSTICAS ADICIONAIS:CAIXA COM 100 UNIDADES</t>
  </si>
  <si>
    <t>SERINGA, MATERIAL:POLIPROPILENO, CAPACIDADE:3 ML, TIPO BICO:BICO CENTRAL LUER LOCK OU SLIP, TIPO VEDAÇÃO:ÊMBOLO DE BORRACHA, ADICIONAL:GRADUADA, NUMERADA, TIPO AGULHA:C/ AGULHA 23 G X 1 1/2", COMPONENTE ADICIONAL:C/ SISTEMA SEGURANÇA SEGUNDO NR/32, ESTERILIDAD</t>
  </si>
  <si>
    <t>SERINGA, MATERIAL: POLIPROPILENO, CAPACIDADE: 10 ML, TIPO BICO: BICO CENTRAL LUER LOCK OU SLIP, TIPO VEDAÇÃO: ÊMBOLO DE BORRACHA, ADICIONAL: GRADUADA, NUMERADA, TIPO AGULHA: C/ AGULHA 22 G X 1", ESTERILIDADE: ESTÉRIL, DESCARTÁVEL, APRESENTAÇÃO: EMBALAGEM INDIV</t>
  </si>
  <si>
    <t>FITA ADESIVA AUTOCLAVE ROLO 19MM X 30M. MARCADOR DE INSTRUMENTAL, COR BEGE, ADESIVOS RESISTENTES À AUTOCLAVE, POSSUINDO LISTRAS QUE MUDAM DE COR APÓS ETAPAS DE ESTERILIZAÇÃO DE AUTOCLAVAGEM.</t>
  </si>
  <si>
    <t>LUVA PARA PROCEDIMENTO NÃO CIRÚRGICO, MATERIAL:LÁTEX NATURAL ÍNTEGRO E UNIFORME, TAMANHO:PEQUENO, CARACTERÍSTICAS ADICIONAIS:LUBRIFICADA COM PÓ BIOABSORVÍVEL, DESCARTÁVEL, APRESENTAÇÃO:ATÓXICA, TIPO:AMBIDESTRA, TIPO USO:DESCARTÁVEL, MODELO:FORMATO ANATÔMICO, F</t>
  </si>
  <si>
    <t>LUVA PARA PROCEDIMENTO NÃO CIRÚRGICO, MATERIAL:LÁTEX NATURAL ÍNTEGRO E UNIFORME, TAMANHO:MÉDIO, CARACTERÍSTICAS ADICIONAIS:LUBRIFICADA COM PÓ BIOABSORVÍVEL, DESCARTÁVEL, APRESENTAÇÃO:ATÓXICA, TIPO:AMBIDESTRA, TIPO USO:DESCARTÁVEL, MODELO:FORMATO ANATÔMICO, FIN</t>
  </si>
  <si>
    <t>LUVA PARA PROCEDIMENTO NÃO CIRÚRGICO, MATERIAL:LÁTEX NATURAL ÍNTEGRO E UNIFORME, TAMANHO:GRANDE, CARACTERÍSTICAS ADICIONAIS:LUBRIFICADA COM PÓ BIOABSORVÍVEL, DESCARTÁVEL, APRESENTAÇÃO:ATÓXICA, TIPO:AMBIDESTRA, TIPO USO:DESCARTÁVEL, MODELO:FORMATO ANATÔMICO, FI</t>
  </si>
  <si>
    <t>PROPÉ DESCARTÁVEL - PROPÉ OU SAPATILHA DESCARTÁVEL. FABRICADO EM POLIPROPILENO, COM ACABAMENTO EM ELÁSTICO NA BORDA SUPERIOR, QUE PERMITE MELHOR FIXAÇÃO AO PÉ DO USUÁRIO. GRAMATURA MÍNIMA 20 G/M2, ATOXICO, NA COR BRANCO. CAIXA COM 100 UNIDADES.</t>
  </si>
  <si>
    <t>SERINGA, MATERIAL:POLIPROPILENO, CAPACIDADE:5 ML, TIPO BICO:BICO CENTRAL LUER LOCK OU SLIP, TIPO VEDAÇÃO:ÊMBOLO DE BORRACHA, ADICIONAL:GRADUADA, NUMERADA, ESTERILIDADE:ESTÉRIL, DESCARTÁVEL, APRESENTAÇÃO:CAIXA COM 100 UNIDADES</t>
  </si>
  <si>
    <t>SONDA URETRAL PARA GATOS MOLE COM MANDRIL AUXILIAR. DIMENSÕES: ENTRE 11CM E 13CM DE COMPRIMENTO, 1.0MM.</t>
  </si>
  <si>
    <t>KIT CIRÚRGICO BÁSICO DE USO VETERINÁRIO. COMPONENTES: 01 CAIXA DE INOX PERFURADO COM DIMENSÕES 26CMX12CMX06CM; 01 CABO DE LÂMINA Nº 4; 10 LÂMINAS DE BISTURI PARA CABO Nº 4; 01 PAR DE AFASTADOR FARABEUF ABC; 01 PINÇA ANATÔMICA COM DENTE DE RATO 13CM; 01 PINÇA A</t>
  </si>
  <si>
    <t>FIO DE SUTURA AGULHADO, MODELO FIO: MONOFILAMENTAR, DIÂMETRO FIO: 0, APRESENTAÇÃO: CAIXA COM 24 UNIDADES Cota Referente ao item 44.</t>
  </si>
  <si>
    <t>FIO DE SUTURA AGULHADO, MODELO FIO: MONOFILAMENTAR, DIÂMETRO FIO: 2-0, APRESENTAÇÃO: CAIXA COM 24 UNIDADES Cota Referente ao item 45.</t>
  </si>
  <si>
    <t>SERINGA, MATERIAL:POLIPROPILENO, CAPACIDADE:5 ML, TIPO BICO:BICO CENTRAL LUER LOCK OU SLIP, TIPO VEDAÇÃO:ÊMBOLO DE BORRACHA, ADICIONAL:GRADUADA, NUMERADA, ESTERILIDADE:ESTÉRIL, DESCARTÁVEL, APRESENTAÇÃO:CAIXA COM 100 UNIDADES Cota Referente ao item 68.</t>
  </si>
  <si>
    <t>SERINGA DESCARTAVEL DE 3ML</t>
  </si>
  <si>
    <t>SERINGA DESCARTAVEL DE 10ML</t>
  </si>
  <si>
    <t>SERINGA DESCARTAVEL DE 20ML</t>
  </si>
  <si>
    <t>LAMINA BISTURI PARA CABO Nº 4</t>
  </si>
  <si>
    <t>LANCETA: AUTO LANCETA, aplicação: para obtenção de sangue capilar, retrátil, estéril, por radiação gama, obs: registro na anvisa; especificação técnica: lanceta: lanceta para obtenção de sangue capilar; retrátil, estéril por radiação gama; descartável; com agu</t>
  </si>
  <si>
    <t>LANCETA PARA LANCETADOR, tipo: dispositivo perfuro cortante para punção (obtenção de sangue capilar), modelo: para lancetador, material: agulha em aço inoxidável, tamanho da agulha: diâmetro: 28g/0,5 mm, uso universal, obs: registro na anvisa; especificação té</t>
  </si>
  <si>
    <t>LANCETADOR UNIVERSAL: COMPATÍVEL COM AS LANCETAS REFIS PARA PUNÇÃO 28g. Acionamento suave, com no mínimo 5 níveis de ajuste de profundidade de punção; com botão de disparo e botão ejetor de lancetas. Produto embalado individualmente com dados de lote, fabricaç</t>
  </si>
  <si>
    <t>SERINGA PARA INSULINA COM AGULHA FIXA, capacidade 30 UI. Agulha fixa (integrada) de 8 mm x 0,30 mm, descartável, estéril, atóxica; cilindro em polipropileno transparente com escala de graduação externa milimetrada, nítida e permanente com divisões de 1 em 1 un</t>
  </si>
  <si>
    <t>SERINGA PARA INSULINA COM AGULHA FIXA, capacidade 50 UI. Agulha fixa (integrada) de 6 mm x 0,25 mm, descartável, estéril, atóxica; cilindro em polipropileno transparente com escala de graduação externa milimetrada, nítida e permanente com divisões de 1 em 1 un</t>
  </si>
  <si>
    <t>SERINGA PARA INSULINA COM AGULHA FIXA, capacidade 50 UI. Agulha fixa (integrada) de 8 mm x 0,30 mm, descartável, estéril, atóxica; cilindro em polipropileno transparente com escala de graduação externa milimetrada, nítida e permanente com divisões de 1 em 1 un</t>
  </si>
  <si>
    <t>SERINGA PARA INSULINA COM AGULHA FIXA, capacidade 100 UI. Agulha fixa (integrada) de 6 mm x 0,25 mm, descartável, estéril, atóxica; cilindro em polipropileno transparente com escala de graduação externa milimetrada, nítida e permanente com divisões de 2 em 2 u</t>
  </si>
  <si>
    <t>SERINGA PARA INSULINA COM AGULHA FIXA, capacidade 100 UI. Agulha fixa (integrada) de 8 mm x 0,30 mm, descartável, estéril, atóxica; cilindro em polipropileno transparente com escala de graduação externa milimetrada, nítida e permanente com divisões de 2 em 2 u</t>
  </si>
  <si>
    <t>Adesivo universal para moldeiras; para uso em qualquer tipo de moldeiras/acrílicas/metálicas/plásticas; frasco com 10ml aproximadamente; acondicionado em embalagem original do fabricante, com nome do responsável técnico, lote, data de fabricação, validade e re</t>
  </si>
  <si>
    <t>Agente umidificador de resina, fotopolimerizável, com 45% de carga / embalagem com 2 unid. com aprox. 1,2 ml cada</t>
  </si>
  <si>
    <t xml:space="preserve">Agulha descartável para anestesia 30G / curta; agulha gengival descartável tribiselada e siliconizada para anestesia, em aço inoxidável, esterilizada; acondicionada em embalagem original do fabricante com dados de identificação do produto, data de fabricação, </t>
  </si>
  <si>
    <t>Agulha gengival descartável para anestesia longa 27G; embalagem unitária; agulha gengival descartável tribiselada e siliconizada para anestesia, longa 27G, em aço inoxidável, esterilizada; acondicionada em embalagem original do fabricante com dados de identifi</t>
  </si>
  <si>
    <t>AGULHA DESCARTÁVEL PARA APLICAÇÃO DE INSULINA EM CANETA, ESTÉRIL, ATÓXICA E APIROGÊNICA, CALIBRE 4 X 0,23 MM, CONFECCIONADA EM AÇO INOXIDÁVEL, SILICONIZADA, COM BISEL TRIFACETADO PARA APLICAÇÃO SUBCUTÂNEA, COMPATÍVEL COM CANETAS DE INSULINA DISPONÍVEIS NO MERC</t>
  </si>
  <si>
    <t>AGULHA DESCARTÁVEL PARA CANETA DE INSULINA, ESTÉRIL, ATÓXICA E APIROGÊNICA, CALIBRE 4X0,23 MM, CONFECCIONADA EM AÇO INOXIDÁVEL, SILICONIZADA, COM BISEL PENTAFACETADO, COMPATÍVEL COM CANETAS DE INSULINA DISPONÍVEIS NO MERCADO. PRODUTO DE USO ÚNICO, EMBALADO IND</t>
  </si>
  <si>
    <t>AGULHA DESCARTÁVEL PARA CANETA DE INSULINA, ESTÉRIL, ATÓXICA E APIROGÊNICA, CALIBRE 5X0,30 MM, CONFECCIONADA EM AÇO INOXIDÁVEL, SILICONIZADA, COM BISEL ADEQUADO PARA APLICAÇÃO SUBCUTÂNEA, COMPATÍVEL COM CANETAS DE INSULINA DISPONÍVEIS NO MERCADO. PRODUTO DE US</t>
  </si>
  <si>
    <t>AGULHA DESCARTÁVEL PARA CANETA DE INSULINA. CALIBRE 31G (0,25 MM)X 8MM(5/16"), ESTÉRIL, ATÓXICA E APIROGÊNICA, CONFECCIONADA EM AÇO INOXIDÁVEL, SILICONIZADA, COM PONTA DE PRECISÃO E BISEL ADEQUADO PARA APLICAÇÃO SUBCUTÂNEA, PROPORCIONANDO MAIOR CONFORTO DURANT</t>
  </si>
  <si>
    <t>AGULHA HIPODÉRMICA DESCARTÁVEL, ESTÉRIL, ATÓXICA E APIROGÊNICA, CALIBRE 13X3MM, CONFECCIONADA EM AÇO INOXIDÁVEL, SILICONIZADA, COM BISEL TRIFACETADO, CANHÃO EM PLÁSTICO RESISTENTE, COMPATÍVEL COM CONEXÕES LUER SLIP E LUER LOCK, IDENTIFICADO POR CÓDIGO DE CORES</t>
  </si>
  <si>
    <t>AGULHA HIPODÉRMICA DESCARTÁVEL, ESTÉRIL, ATÓXICA E APIROGÊNICA, CALIBRE 13X4,5MM, CONFECCIONADA EM AÇO INOXIDÁVEL, SILICONIZADA, COM BISEL TRIFACETADO, CANHÃO EM PLÁSTICO RESISTENTE, COMPATÍVEL COM CONEXÕES LUER SLIP E LUER LOCK, IDENTIFICADO POR CÓDIGO DE COR</t>
  </si>
  <si>
    <t>AGULHA HIPODÉRMICA DESCARTÁVEL, ESTÉRIL, ATÓXICA E APIROGÊNICA, CALIBRE 20X5,5MM, CONFECCIONADA EM AÇO INOXIDÁVEL, SILICONIZADA, COM BISEL TRIFACETADO, CANHÃO EM PLÁSTICO RESISTENTE, COMPATÍVEL COM CONEXÕES LUER SLIP E LUER LOCK, IDENTIFICADO POR CÓDIGO DE COR</t>
  </si>
  <si>
    <t>AGULHA HIPODÉRMICA DESCARTÁVEL, ESTÉRIL, ATÓXICA E APIROGÊNICA, CALIBRE 25X6,0MM, CONFECCIONADA EM AÇO INOXIDÁVEL, SILICONIZADA, COM BISEL TRIFACETADO, CANHÃO EM PLÁSTICO RESISTENTE, COMPATÍVEL COM CONEXÕES LUER SLIP E LUER LOCK, IDENTIFICADO POR CÓDIGO DE COR</t>
  </si>
  <si>
    <t>AGULHA HIPODÉRMICA DESCARTÁVEL, ESTÉRIL, ATÓXICA E APIROGÊNICA, CALIBRE 25X7,0MM, CONFECCIONADA EM AÇO INOXIDÁVEL, SILICONIZADA, COM BISEL TRIFACETADO, CANHÃO EM PLÁSTICO RESISTENTE, COMPATÍVEL COM CONEXÕES LUER SLIP E LUER LOCK, IDENTIFICADO POR CÓDIGO DE COR</t>
  </si>
  <si>
    <t>AGULHA HIPODÉRMICA DESCARTÁVEL, ESTÉRIL, ATÓXICA E APIROGÊNICA, CALIBRE 25X8,0MM, CONFECCIONADA EM AÇO INOXIDÁVEL, SILICONIZADA, COM BISEL TRIFACETADO, CANHÃO EM PLÁSTICO RESISTENTE, COMPATÍVEL COM CONEXÕES LUER SLIP E LUER LOCK, IDENTIFICADO POR CÓDIGO DE COR</t>
  </si>
  <si>
    <t>AGULHA HIPODÉRMICA DESCARTÁVEL, ESTÉRIL, ATÓXICA E APIROGÊNICA, CALIBRE 30X7,0MM, CONFECCIONADA EM AÇO INOXIDÁVEL, SILICONIZADA, COM BISEL TRIFACETADO, CANHÃO EM PLÁSTICO RESISTENTE, COMPATÍVEL COM CONEXÕES LUER SLIP E LUER LOCK, IDENTIFICADO POR CÓDIGO DE COR</t>
  </si>
  <si>
    <t>AGULHA HIPODÉRMICA DESCARTÁVEL, ESTÉRIL, ATÓXICA E APIROGÊNICA, CALIBRE 30X8,0MM, CONFECCIONADA EM AÇO INOXIDÁVEL, SILICONIZADA, COM BISEL TRIFACETADO, CANHÃO EM PLÁSTICO RESISTENTE, COMPATÍVEL COM CONEXÕES LUER SLIP E LUER LOCK, IDENTIFICADO POR CÓDIGO DE COR</t>
  </si>
  <si>
    <t>AGULHA HIPODÉRMICA DESCARTÁVEL, ESTÉRIL, ATÓXICA E APIROGÊNICA, CALIBRE 40X12MM, CONFECCIONADA EM AÇO INOXIDÁVEL, SILICONIZADA, COM BISEL TRIFACETADO, CANHÃO EM PLÁSTICO RESISTENTE, COMPATÍVEL COM CONEXÕES LUER SLIP E LUER LOCK, IDENTIFICADO POR CÓDIGO DE CORE</t>
  </si>
  <si>
    <t>AMBÚ REANIMADOR NEONATAL – REANIMADOR MANUAL PARA PACIENTE NEONATAL, CONFECCIONADO EM SILICONE TRANSPARENTE, AUTOCLAVÁVEL, REUTILIZÁVEL, COM RESERVATÓRIO DE OXIGÊNIO, VÁLVULA UNIDIRECIONAL, MÁSCARA FACIAL COMPATÍVEL E EXTENSÃO PARA OXIGÊNIO.</t>
  </si>
  <si>
    <t>ATADURA ELÁSTICA E COMPRESSIVA, MEDINDO 10 CM X 3 METROS EM REPOUSO, CONFECCIONADA EM TECIDO DE ALTA RESISTÊNCIA, COM COMPRESSÃO UNIFORME, ELEVADA ELASTICIDADE LONGITUDINAL E EXCELENTE RECUPERAÇÃO ELÁSTICA, PERMITINDO APLICAÇÃO DE COMPRESSÃO TERAPÊUTICA CONTÍN</t>
  </si>
  <si>
    <t>ATADURA ELÁSTICA, MEDINDO 12 CM DE LARGURA X 2,2 M DE COMPRIMENTO EM REPOUSO, CONFECCIONADA EM TECIDO SINTÉTICO MISTO, COMPOSTO POR APROXIMADAMENTE 65% POLIAMIDA E 35% POLIÉSTER OU COMPOSIÇÃO EQUIVALENTE. PRODUTO MACIO, RESISTENTE, ABSORVENTE, COM ELEVADA ELAS</t>
  </si>
  <si>
    <t>ATADURA ELÁSTICA, MEDINDO 15 CM DE LARGURA X 2,2 M DE COMPRIMENTO EM REPOUSO, CONFECCIONADA EM TECIDO SINTÉTICO MISTO, COMPOSTO POR APROXIMADAMENTE 65% POLIAMIDA E 35% POLIÉSTER OU COMPOSIÇÃO EQUIVALENTE. PRODUTO MACIO, RESISTENTE, ABSORVENTE, COM ELEVADA ELAS</t>
  </si>
  <si>
    <t>AVENTAL DE PROCEDIMENTO DESCARTÁVEL, IMPERMEÁVEL, CONFECCIONADO EM TECIDO NÃO TECIDO (TNT) LAMINADO COM FILME DE POLIETILENO (PE) OU MATERIAL EQUIVALENTE QUE PROPORCIONE BARREIRA IMPERMEÁVEL, GRAMATURA MÍNIMA DE 30 G/M², MANGA LONGA, PUNHOS COM ELÁSTICO E FECH</t>
  </si>
  <si>
    <t>BOLSA COLETORA DE URINA COM CAPACIDADE DE 750ML. SISTEMA FECHADO. FABRICADO EM PVC ATÓXICO COM VÁLVULA ANTI REFLUXO, CONECTOR DE ENTRADA E SAÍDA DE DRENAGEM, TIRAS PARA FIXAÇÃO NA PERNA (COM REGULAGEM), COM EXTENSÃO. EMBALADA INDIVIDUALMENTE EM PAPEL GRAU CIRÚ</t>
  </si>
  <si>
    <t>BOLSA COLETORA DE URINA DE PERNA 750 ML, CONFECCIONADA EM PVC ATÓXICO, FLEXÍVEL E RESISTENTE, COM SISTEMA DE FIXAÇÃO PARA PERNA E TUBO EXTENSOR COM APROXIMADAMENTE 50 CM DE COMPRIMENTO. DESTINADA À COLETA URINÁRIA, COM CONEXÃO SEGURA, ESTÉRIL, DESCARTÁVEL E DE</t>
  </si>
  <si>
    <t>BOLSA COLETORA DE URINA SISTEMA FECHADO, CONFECCIONADA EM POLICLORETO DE VINILA TRANSPARENTE COM CAPACIDADE DE 2000ML, COM VÁLVULA ANTI-REFLUXO, ESCALA GRADUADA, VÁLVULA DE DRENAGEM, ALÇA DE SUSTENTAÇÃO, PINÇA CORTA-FLUXO E PONTO DE COLETA COM MEMBRANA AUTOCIC</t>
  </si>
  <si>
    <t>BOLSA DE COLOSTOMIA INTESTINAL DE UMA PEÇA, DRENÁVEL, COM BARREIRA A PROVA DE ODOR E TRANSPARENTE/OPACA, VAZAMENTO, PLACA DE BARREIRA DE PELE DE RESINA A BASE DE HIDROCOLÓIDES (PECTINA, GELATINA E CARBOXIMETILCELULOSE SÓDICA) PLACA COM DIÂMETRO RECORTAVEL DE 1</t>
  </si>
  <si>
    <t xml:space="preserve">BOLSA PARA COLOSTOMIA DRENÁVEL OPACA. SISTEMA DE 1 PEÇA, COM BOLSA OPACA DRENÁVEL, BASE ADESIVA EM ESPIRAL DE ALTA ADERÊNCIA E FLEXIBILIDADE, COM FILTRO PARA ELIMINAÇÃO DE GASES E REDUÇÃO DE ODORES. RECORTE AJUSTÁVEL DE 10 A 70 MM, PROPORCIONANDO ADAPTAÇÃO AO </t>
  </si>
  <si>
    <t>CABO PARA LÂMINAS DE BISTURI, Nº 3. CONFECCIONADO EM AÇO INOXIDÁVEL, ESTERILIZÁVEL. EMBALAGEM UNITÁRIA CONTENDO DADOS DE IDENTIFICAÇÃO, PROCEDÊNCIA E LOTE. REGULARIZAÇÃO JUNTO À ANVISA, QUANDO APLICÁVEL.</t>
  </si>
  <si>
    <t>CABO PARA LÂMINAS DE BISTURI, Nº 4. CONFECCIONADO EM AÇO INOXIDÁVEL, ESTERILIZÁVEL. EMBALAGEM UNITÁRIA CONTENDO DADOS DE IDENTIFICAÇÃO, PROCEDÊNCIA E LOTE. REGULARIZAÇÃO JUNTO À ANVISA, QUANDO APLICÁVEL.</t>
  </si>
  <si>
    <t xml:space="preserve">CAIXA COLETORA PARA MATERIAIS PERFUROCORTANTES, 13 LITROS. COLETOR PARA DESCARTE DE MATERIAIS PERFUROCORTANTES, COM CAPACIDADE DE 13 LITROS, CONFECCIONADO EM PAPELÃO RÍGIDO E RESISTENTE, COM BANDEJA COLETORA, FUNDO REFORÇADO, SACO PLÁSTICO INTERNO IMPERMEÁVEL </t>
  </si>
  <si>
    <t xml:space="preserve">CAIXA COLETORA PARA MATERIAIS PERFUROCORTANTES, 20 LITROS. COLETOR PARA DESCARTE DE MATERIAIS PERFUROCORTANTES, COM CAPACIDADE DE 20 LITROS, CONFECCIONADO EM PAPELÃO RÍGIDO E RESISTENTE, COM BANDEJA COLETORA, FUNDO REFORÇADO, SACO PLÁSTICO INTERNO IMPERMEÁVEL </t>
  </si>
  <si>
    <t xml:space="preserve">CAIXA COLETORA PARA MATERIAIS PERFUROCORTANTES, 3 LITROS. COLETOR PARA DESCARTE DE MATERIAIS PERFUROCORTANTES, COM CAPACIDADE DE 3 LITROS, CONFECCIONADO EM PAPELÃO RÍGIDO E RESISTENTE, COM BANDEJA COLETORA, FUNDO REFORÇADO, SACO PLÁSTICO INTERNO IMPERMEÁVEL E </t>
  </si>
  <si>
    <t>CAMPO CIRÚRGICO ESTÉRIL FENESTRADO EM TNT TAMANHO 40X40, EM NÃO TECIDO, LAMINADO IMPERMEÁVEL ABSORVENTE, COMPOSTO DE POLIPROPILENO, VISCOSE E POLIETILENO, ALTA REPELÊNCIA A FLUÍDOS, DEVE OFERECER SEGURANÇA, CONFORTO E MALEABILIDADE. ESTERILIZADO EM ÓXIDO DE ET</t>
  </si>
  <si>
    <t>CAMPO CIRÚRGICO ESTÉRIL FENESTRADO EM TNT TAMANHO 50X50, EM NÃO TECIDO, LAMINADO IMPERMEÁVEL ABSORVENTE, COMPOSTO DE POLIPROPILENO, VISCOSE E POLIETILENO, ALTA REPELÊNCIA A FLUÍDOS, DEVE OFERECER SEGURANÇA, CONFORTO E MALEABILIDADE. ESTERILIZADO EM ÓXIDO DE ET</t>
  </si>
  <si>
    <t>CAMPO CIRÚRGICO ESTÉRIL FENESTRADO EM TNT TAMANHO 75X75, EM NÃO TECIDO, LAMINADO IMPERMEÁVEL ABSORVENTE, COMPOSTO DE POLIPROPILENO, VISCOSE E POLIETILENO, ALTA REPELÊNCIA A FLUÍDOS, DEVE OFERECER SEGURANÇA, CONFORTO E MALEABILIDADE. ESTERILIZADO EM ÓXIDO DE ET</t>
  </si>
  <si>
    <t xml:space="preserve">CAMPO CIRÚRGICO ESTÉRIL SEM FENESTRA EM TNT TAMANHO 40X40, EM NÃO TECIDO, LAMINADO IMPERMEÁVEL ABSORVENTE, COMPOSTO DE POLIPROPILENO, VISCOSE E POLIETILENO, ALTA REPELÊNCIA A FLUÍDOS, DEVE OFERECER SEGURANÇA, CONFORTO E MALEABILIDADE. ESTERILIZADO EM ÓXIDO DE </t>
  </si>
  <si>
    <t xml:space="preserve">CAMPO CIRÚRGICO ESTÉRIL SEM FENESTRA EM TNT TAMANHO 50X50, EM NÃO TECIDO, LAMINADO IMPERMEÁVEL ABSORVENTE, COMPOSTO DE POLIPROPILENO, VISCOSE E POLIETILENO, ALTA REPELÊNCIA A FLUÍDOS, DEVE OFERECER SEGURANÇA, CONFORTO E MALEABILIDADE. ESTERILIZADO EM ÓXIDO DE </t>
  </si>
  <si>
    <t xml:space="preserve">CAMPO CIRÚRGICO ESTÉRIL SEM FENESTRA EM TNT TAMANHO 70X70, EM NÃO TECIDO, LAMINADO IMPERMEÁVEL ABSORVENTE, COMPOSTO DE POLIPROPILENO, VISCOSE E POLIETILENO, ALTA REPELÊNCIA A FLUÍDOS, DEVE OFERECER SEGURANÇA, CONFORTO E MALEABILIDADE. ESTERILIZADO EM ÓXIDO DE </t>
  </si>
  <si>
    <t>CANETA LANCETADORA COM AJUSTE DE PROFUNDIDADE DA PENETRAÇÃO, 11 NÍVEIS, DIAL ERGONÔMICO NÍVEL DE PENETRAÇÃO, 0,7MM À 2,2MM, COM INDICADOR DE MUDANÇA DE COR, INDICANDO QUE O LANCETADOR ESTÁ ARMADO E PRONTO PARA DISPARO, DISPOSITIVO COM DURABILIDADE DE 5MIL PICA</t>
  </si>
  <si>
    <t>CATETER INTRAVENOSO PERIFÉRICO 14G COM DISPOSITIVO DE SEGURANÇA CONFORME NR 32 E NBR 10555-5, DISPOSITIVO DE SEGURANÇA ACIONADO POR BOTÃO QUE RECOBRE TODA A AGULHA. AGULHA COM BISEL TRIFACETADO, EXTREMIDADE LISA, CÔNICA E ATRAUMÁTICA, CATETER EM POLIURETANO, F</t>
  </si>
  <si>
    <t>CATETER INTRAVENOSO PERIFÉRICO 14G, COM AGULHA EM BISEL TRIFACETADO E PONTA BIANGULAR, O QUE FACILITA A PENETRAÇÃO DA PELE E COMO CONSEQUÊNCIA FACILITA A PUNÇÃO VENOSA. CÂNULA EM BIOMATERIAL TEFLON OU POLIURETANO. ESTÉRIL, ATÓXICO E APIROGÊNICO. EMBALAGEM UNIT</t>
  </si>
  <si>
    <t>CATETER INTRAVENOSO PERIFÉRICO 16G COM DISPOSITIVO DE SEGURANÇA CONFORME NR 32 E NBR 10555-5, DISPOSITIVO DE SEGURANÇA ACIONADO POR BOTÃO QUE RECOBRE TODA A AGULHA. AGULHA COM BISEL TRIFACETADO, EXTREMIDADE LISA, CÔNICA E ATRAUMÁTICA, CATETER EM POLIURETANO, F</t>
  </si>
  <si>
    <t>CATETER INTRAVENOSO PERIFÉRICO 16G, COM AGULHA EM BISEL TRIFACETADO E PONTA BIANGULAR, O QUE FACILITA A PENETRAÇÃO DA PELE E COMO CONSEQUÊNCIA FACILITA A PUNÇÃO VENOSA. CÂNULA EM BIOMATERIAL TEFLON OU POLIURETANO. ESTÉRIL, ATÓXICO E APIROGÊNICO. EMBALAGEM UNIT</t>
  </si>
  <si>
    <t>CATETER INTRAVENOSO PERIFÉRICO 18G COM DISPOSITIVO DE SEGURANÇA CONFORME NR 32 E NBR 10555-5, DISPOSITIVO DE SEGURANÇA ACIONADO POR BOTÃO QUE RECOBRE TODA A AGULHA. AGULHA COM BISEL TRIFACETADO, EXTREMIDADE LISA, CÔNICA E ATRAUMÁTICA, CATETER EM POLIURETANO, F</t>
  </si>
  <si>
    <t>CATETER INTRAVENOSO PERIFÉRICO 18G, COM AGULHA EM BISEL TRIFACETADO E PONTA BIANGULAR, O QUE FACILITA A PENETRAÇÃO DA PELE E COMO CONSEQUÊNCIA FACILITA A PUNÇÃO VENOSA. CÂNULA EM BIOMATERIAL TEFLON OU POLIURETANO. ESTÉRIL, ATÓXICO E APIROGÊNICO. EMBALAGEM UNIT</t>
  </si>
  <si>
    <t>CATETER INTRAVENOSO PERIFÉRICO 20G COM DISPOSITIVO DE SEGURANÇA CONFORME NR 32 E NBR 10555-5, DISPOSITIVO DE SEGURANÇA ACIONADO POR BOTÃO QUE RECOBRE TODA A AGULHA. AGULHA COM BISEL TRIFACETADO, EXTREMIDADE LISA, CÔNICA E ATRAUMÁTICA, CATETER EM POLIURETANO, F</t>
  </si>
  <si>
    <t>CATETER INTRAVENOSO PERIFÉRICO 20G, COM AGULHA EM BISEL TRIFACETADO E PONTA BIANGULAR, O QUE FACILITA A PENETRAÇÃO DA PELE E COMO CONSEQUÊNCIA FACILITA A PUNÇÃO VENOSA. CÂNULA EM BIOMATERIAL TEFLON OU POLIURETANO. ESTÉRIL, ATÓXICO E APIROGÊNICO. EMBALAGEM UNIT</t>
  </si>
  <si>
    <t>CATETER INTRAVENOSO PERIFÉRICO 22G COM DISPOSITIVO DE SEGURANÇA CONFORME NR 32 E NBR 10555-5, DISPOSITIVO DE SEGURANÇA ACIONADO POR BOTÃO QUE RECOBRE TODA A AGULHA. AGULHA COM BISEL TRIFACETADO, EXTREMIDADE LISA, CÔNICA E ATRAUMÁTICA, CATETER EM POLIURETANO, F</t>
  </si>
  <si>
    <t>CATETER INTRAVENOSO PERIFÉRICO 22G, COM AGULHA EM BISEL TRIFACETADO E PONTA BIANGULAR, O QUE FACILITA A PENETRAÇÃO DA PELE E COMO CONSEQUÊNCIA FACILITA A PUNÇÃO VENOSA. CÂNULA EM BIOMATERIAL TEFLON OU POLIURETANO. ESTÉRIL, ATÓXICO E APIROGÊNICO. EMBALAGEM UNIT</t>
  </si>
  <si>
    <t>CATETER INTRAVENOSO PERIFÉRICO 24G COM DISPOSITIVO DE SEGURANÇA CONFORME NR 32 E NBR 10555-5, DISPOSITIVO DE SEGURANÇA ACIONADO POR BOTÃO QUE RECOBRE TODA A AGULHA. AGULHA COM BISEL TRIFACETADO, EXTREMIDADE LISA, CÔNICA E ATRAUMÁTICA, CATETER EM POLIURETANO, F</t>
  </si>
  <si>
    <t>CATETER INTRAVENOSO PERIFÉRICO 24G, COM AGULHA EM BISEL TRIFACETADO E PONTA BIANGULAR, O QUE FACILITA A PENETRAÇÃO DA PELE E COMO CONSEQUÊNCIA FACILITA A PUNÇÃO VENOSA. CÂNULA EM BIOMATERIAL TEFLON OU POLIURETANO. ESTÉRIL, ATÓXICO E APIROGÊNICO. EMBALAGEM UNIT</t>
  </si>
  <si>
    <t>CATETER NASAL PARA OXIGÊNIO TIPO ÓCULOS, PARA USO ADULTO. CONFECCIONADO EM PVC SILICONADO ATÓXICO E FLEXÍVEL. DESCARTÁVEL. EMBALADO INDIVIDUALMENTE E ESTERILIZADO. REGULARIZAÇÃO JUNTO À ANVISA, QUANDO APLICÁVEL.</t>
  </si>
  <si>
    <t>CATETER NASAL PARA OXIGÊNIO TIPO ÓCULOS, PARA USO PEDIÁTRICO. CONFECCIONADO EM PVC SILICONADO ATÓXICO E FLEXÍVEL. DESCARTÁVEL. EMBALADO INDIVIDUALMENTE E ESTERILIZADO. REGULARIZAÇÃO JUNTO À ANVISA, QUANDO APLICÁVEL.</t>
  </si>
  <si>
    <t xml:space="preserve">COLETOR DE URINA INFANTIL DESCARTÁVEL, ESTÉRIL, UNISSEX, COM CAPACIDADE MÍNIMA DE 100ML, CONFECCIONADO EM MATERIAL PLÁSTICO ATÓXICO E TRANSPARENTE. DEVE POSSUIR ABERTURA ANATÔMICA, ADESIVO HIPOALERGÊNICO DE DUPLA FACE PARA FIXAÇÃO SEGURA, SEM CAUSAR LESÕES NA </t>
  </si>
  <si>
    <t>COLETOR DE URINA PARA PERNA, SISTEMA FECHADO, ESTÉRIL, COM CAPACIDADE DE 750ML, CONFECCIONADO EM PVC ATÓXICO. DEVE POSSUIR VÁLVULA ANTIRREFLUXO, TUBO EXTENSOR, CONECTOR UNIVERSAL, TORNEIRA PARA ESVAZIAMENTO, TIRAS ELÁSTICAS AJUSTÁVEIS PARA FIXAÇÃO NA PERNA E R</t>
  </si>
  <si>
    <t>COLETOR RÍGIDO PARA RESÍDUOS PERFUROCORTANTES, TIPO BALDE, COM CAPACIDADE DE 3 LITROS, CONFECCIONADO EM PLÁSTICO RÍGIDO RESISTENTE À PERFURAÇÃO E VAZAMENTOS, COM TAMPA DE FECHAMENTO SEGURO E ALÇA PARA TRANSPORTE. PRODUTO DESTINADO AO DESCARTE DE RESÍDUOS PERFU</t>
  </si>
  <si>
    <t xml:space="preserve">COLETOR RÍGIDO PARA RESÍDUOS PERFUROCORTANTES, TIPO BALDE, COM CAPACIDADE NOMINAL DE 13 LITROS E CAPACIDADE ÚTIL MÍNIMA DE 11 LITROS, CONFECCIONADO EM PLÁSTICO RÍGIDO RESISTENTE À PERFURAÇÃO E VAZAMENTOS, COM TAMPA DE FECHAMENTO SEGURO E ALÇA PARA TRANSPORTE. </t>
  </si>
  <si>
    <t>COLETOR UNIVERSAL, DE 80ML COM TAMPA DE ROSCA ESTÉRIL. COLETOR UNIVERSAL ESTÉRIL, COM CAPACIDADE DE 80ML, CONFECCIONADO EM MATERIAL PLÁSTICO ATÓXICO, TRANSPARENTE, COM TAMPA DE ROSCA QUE GARANTA VEDAÇÃO SEGURA. EMBALADO. REGULARIZAÇÃO JUNTO À ANVISA, QUANDO AP</t>
  </si>
  <si>
    <t>COLETOR URINÁRIO DE PERNA, SISTEMA FECHADO, ESTÉRIL, COM CAPACIDADE DE 750ML, CONFECCIONADO EM PVC ATÓXICO. DEVE POSSUIR VÁLVULA ANTIRREFLUXO, TUBO EXTENSOR EM PVC ATÓXICO COM COMPRIMENTO MÍNIMO DE 0,40 M, CONECTOR UNIVERSAL, DISPOSITIVO EXTERNO TIPO CONDOM (P</t>
  </si>
  <si>
    <t>COMADRE DE INOX. DIMENSÕES 40 X 30CM. TIPO PA 3500ML. COM ALÇA. COMADRE HOSPITALAR EM AÇO INOXIDÁVEL, TIPO PÁ, COM CAPACIDADE DE 3.500 ML, CONFECCIONADA EM AÇO INOXIDÁVEL DE ALTA RESISTÊNCIA, COM ACABAMENTO LISO, BORDAS ARREDONDADAS, ALÇA PARA MANUSEIO E SUPER</t>
  </si>
  <si>
    <t>COMADRE HOSPITALAR EM AÇO INOXIDÁVEL, TIPO PÁ, COM CAPACIDADE DE 1.800 ML, CONFECCIONADA EM AÇO INOXIDÁVEL DE ALTA RESISTÊNCIA, COM ACABAMENTO LISO, BORDAS ARREDONDADAS, ALÇA PARA MANUSEIO E SUPERFÍCIE DE FÁCIL HIGIENIZAÇÃO E DESINFECÇÃO. PRODUTO REUTILIZÁVEL.</t>
  </si>
  <si>
    <t>COMPRESSA CIRÚRGICA NÃO ADERENTE, ESTÉRIL, CONFECCIONADA EM TNT COMPOSTO POR 70% VISCOSE E 30% POLIÉSTER, MEDINDO 7,5 × 7,5 CM (FECHADA) E 15 × 15 CM (ABERTA), MACIA, ALTAMENTE ABSORVENTE E DE BAIXA ADERÊNCIA AO LEITO DA FERIDA. EMBALAGEM COM 10 UNIDADES. REGU</t>
  </si>
  <si>
    <t>COMPRESSA DE GAZE HIDRÓFILA ESTÉRIL, CONFECCIONADA EM 100% ALGODÃO, COM 13 FIOS/CM², MEDINDO 7,5 × 7,5 CM (FECHADA) E 15 × 30 CM (ABERTA), COM 5 DOBRAS E 8 CAMADAS, PESO MÍNIMO DE 1,8 G POR UNIDADE, ISENTA DE IMPUREZAS E FIOS SOLTOS. EMBALAGEM COM 10 UNIDADES.</t>
  </si>
  <si>
    <t xml:space="preserve">COMPRESSA DE GAZE HIDRÓFILA ESTÉRIL, CONFECCIONADA EM 100% ALGODÃO, COM 13 FIOS/CM², MEDINDO 10 × 10 CM (FECHADA) E 20 × 40 CM (ABERTA), COM 5 DOBRAS E 8 CAMADAS, PESO MÍNIMO DE 1,8 G POR UNIDADE. EMBALAGEM COM 10 UNIDADES. O PRODUTO DEVERÁ ATENDER À ABNT NBR </t>
  </si>
  <si>
    <t xml:space="preserve">COMPRESSA DE GAZE HIDRÓFILA NÃO ESTÉRIL, CONFECCIONADA EM 100% ALGODÃO, COM 13 FIOS/CM², MEDINDO 10 CM × 10 CM (FECHADA) E 20 CM × 40 CM (ABERTA), COM 5 DOBRAS E 8 CAMADAS, BORDAS VOLTADAS PARA O INTERIOR, ISENTA DE IMPUREZAS, FIAPOS E RESÍDUOS. EMBALAGEM COM </t>
  </si>
  <si>
    <t>COMPRESSA DE GAZE HIDRÓFILA NÃO ESTÉRIL, CONFECCIONADA EM 100% ALGODÃO, COM 13 FIOS/CM², MEDINDO 7,5 CM × 7,5 CM (FECHADA) E 15 CM × 30 CM (ABERTA), COM 5 DOBRAS E 8 CAMADAS, BORDAS VOLTADAS PARA O INTERIOR, ISENTA DE IMPUREZAS, FIAPOS E RESÍDUOS. EMBALAGEM CO</t>
  </si>
  <si>
    <t>CUBA RIM HOSPITALAR EM AÇO INOXIDÁVEL, CONFECCIONADA EM AÇO INOXIDÁVEL DE ALTA RESISTÊNCIA, COM FORMATO ANATÔMICO, ACABAMENTO LISO, RESISTENTE À CORROSÃO, REUTILIZÁVEL E DE FÁCIL HIGIENIZAÇÃO E ESTERILIZAÇÃO. CAPACIDADE DE 700 ML.</t>
  </si>
  <si>
    <t xml:space="preserve">CURATIVO DE HIDROCOLÓIDE E ALGINATO DE CÁLCIO E SÓDIO, COMPOSTO POR ÁGUA PURIFICADA, PROPILENOGLICOL, CARBOXIMETILCELULOSE SÓDICA, CARBÔMERO 940, TRIETANOLAMINA, ALGINATO DE CÁLCIO E SÓDIO, SORBATO DE POTÁSSIO, ÁCIDO BÓRICO E HIDANTOÍNA, CONTENDO CONSERVANTES </t>
  </si>
  <si>
    <t>CURATIVO EM GEL COM ALGINATO, ALTO TEOR DE ÁGUA PURIFICADA (80%), ALGINATO DE CÁLCIO E SÓDIO, GLICERINA, GOMA XANTANA, CARBOXIMETILCELULOSE SÓDICA, PROMOVE UM AMBIENTE ÚMIDO FAVORÁVEL À CICATRIZAÇÃO DE FERIDAS COM BAIXO NÍVEL DE EXSUDATO, AUXILIANDO NO DESBRID</t>
  </si>
  <si>
    <t>CURATIVO HIDROCOLOIDE COM ESPUMA PRODUTO CORRELATO MÉDICO HOSPITALAR, CLASSE III (CONFORME CLASSIFICAÇÃO DA ANVISA). É APRESENTADO NA FORMA DE CURATIVOS EM PLACAS, ESTÉRIL POR RADIAÇÃO GAMA. COMPOSTO POR UMA CAMADA DE CARBOXIMETILCELULOSE (CMC), DIÓXIDO DE SIL</t>
  </si>
  <si>
    <t>CURATIVO HIDROCOLOIDE EM PASTA 60G: CURATIVO DE HIDROCOLOIDE EM PASTA COMPOSTO DE HIDROCOLOIDES NATURAIS (GOMA XANTANA, GOMA GUAR, PECTINA E CARBOXIMETILCELULOSE SÓDICA), ÓLEO VEGETAL E GLICERINA. PROPORCIONA A REMOÇÃO NÃO TRAUMÁTICA DO CURATIVO, SEM DANIFICAR</t>
  </si>
  <si>
    <t>CURATIVO HIDROFIBRA ALTAMENTE ABSORVENTE, TAMANHO 10 CM X 20 CM, COMPOSTO DE FIBRAS DE ALGINATO DE CÁLCIO E SÓDIO, ÁCIDO ALGINICO ( GULURÔNICO E MANURÔNICO ) , EXTRAÍDO DE ALGAS MARINHAS MARROM INDICADO PARA TRATAMENTO DE FERIDAS EXSUDATIVAS. PROMOVE MANUTENÇÃ</t>
  </si>
  <si>
    <t>CURATIVO HIDROFIBRA ALTAMENTE ABSORVENTE, TAMANHO 10 CM X 10 CM COMPOSTO DE FIBRAS DE ALGINATO DE CÁLCIO E SÓDIO, ÁCIDO ALGINICO ( GULURÔNICO E MANURÔNICO ) , EXTRAÍDO DE ALGAS MARINHAS MARROM INDICADO PARA TRATAMENTO DE FERIDAS EXSUDATIVAS. PROMOVE MANUTENÇÃO</t>
  </si>
  <si>
    <t>CURATIVO TRATAMENTO PLACA, INTERATIVO COMPOSTO DE UMA CAMADA INTERNA A BASE DE 3 HIDROCOLÓIDES (GELATINA, PECTINA E CARBOXIMETILCELULOSE SÓDICA) REVESTIDO DE UMA LÂMINA DE POLIISOBUTILENO, BORRACHA BUTÍLICA, BORRACHA DE ESTIRENO-ISOPRENO-ESTIRENO, METILENO 3,5</t>
  </si>
  <si>
    <t>ELETRODO DESCARTÁVEL ADULTO PARA MONITORIZAÇÃO CARDÍACA E ECG, COM DORSO EM ESPUMA, ADESIVO ACRÍLICO HIPOALERGÊNICO, GEL SÓLIDO CONDUTOR, SENSOR EM PRATA/ CLORETO DE PRATA (AG/AGCL), PINO DE CONEXÃO EM AÇO INOXIDÁVEL E CAPA PROTETORA TRANSPARENTE. DE USO ÚNICO</t>
  </si>
  <si>
    <t>EQUIPO MACROGOTAS – ESTÉRIL, DE USO ÚNICO, DESCARTÁVEL, ATÓXICO E APIROGÊNICO, FABRICADO EM PVC FLEXÍVEL E TRANSPARENTE. COM PONTA PERFURANTE PADRÃO PARA FRASCOS E BOLSAS, DOTADA DE TAMPA PROTETORA; CÂMARA GOTEJADORA FLEXÍVEL E TRANSPARENTE; DISPOSITIVO DE ENT</t>
  </si>
  <si>
    <t xml:space="preserve">EQUIPO MACROGOTAS ESTÉRIL COM INJETOR LATERAL. EQUIPO MACROGOTAS ESTÉRIL, DE USO ÚNICO, ATÓXICO, APIROGÊNICO E BIOCOMPATÍVEL, COM PONTA PERFURANTE COM PROTETOR, CÂMARA DE MACROGOTAS FLEXÍVEL COM CAPACIDADE MÍNIMA DE 9 ML, CALIBRADO PARA 20 GOTAS/ML, FILTRO DE </t>
  </si>
  <si>
    <t>EQUIPO MICROGOTAS – ESTÉRIL, DE USO ÚNICO, DESCARTÁVEL, ATÓXICO E APIROGÊNICO, FABRICADO EM PVC FLEXÍVEL E TRANSPARENTE. COM PONTA PERFURANTE PADRÃO PARA FRASCOS E BOLSAS, DOTADA DE TAMPA PROTETORA; CÂMARA GOTEJADORA FLEXÍVEL E TRANSPARENTE, CALIBRADA PARA MIC</t>
  </si>
  <si>
    <t xml:space="preserve">EQUIPO PARA DIETA ENTERAL – ESTÉRIL, DESCARTÁVEL, DE USO ÚNICO, ATÓXICO E APIROGÊNICO, DESTINADO À ADMINISTRAÇÃO DE DIETAS ENTERAIS. FABRICADO EM PVC FLEXÍVEL, TRANSLÚCIDO, NA COR AZUL, COM COMPRIMENTO MÍNIMO DE 2,0 M. DOTADO DE CÂMARA GOTEJADORA TRANSPARENTE </t>
  </si>
  <si>
    <t>ESCOVA CERVICAL DESCARTÁVEL, CERDAS EM NYLON ADEQUADAMENTE MACIAS DE FORMATO LEVEMENTE CÔNICO, EIXO DE SUSTENTAÇÃO EM AÇO INOXIDÁVEL, CABO EM POLIESTIRENO DE ALTO IMPACTO, ATÓXICO E RESISTENTE. PACOTE COM 100 UNIDADES.</t>
  </si>
  <si>
    <t>ESPARADRAPO – MEDINDO 2,5 CM DE LARGURA E COMPRIMENTO MÍNIMO DE 4,5 M, CONFECCIONADO EM TECIDO 100% ALGODÃO COM TRATAMENTO IMPERMEABILIZANTE À BASE DE RESINA ACRÍLICA, REVESTIDO COM MASSA ADESIVA À BASE DE BORRACHA NATURAL, ÓXIDO DE ZINCO E RESINAS, PROPORCION</t>
  </si>
  <si>
    <t>ESPARADRAPO IMPERMEÁVEL – MEDINDO 10 CM DE LARGURA E COMPRIMENTO MÍNIMO DE 4,5 M, CONFECCIONADO EM TECIDO 100% ALGODÃO COM TRATAMENTO IMPERMEABILIZANTE À BASE DE RESINA ACRÍLICA, REVESTIDO COM MASSA ADESIVA BRANCA À BASE DE BORRACHA NATURAL E RESINAS, PROPORCI</t>
  </si>
  <si>
    <t>ESPARADRAPO IMPERMEÁVEL – MEDINDO 5 CM DE LARGURA E COMPRIMENTO MÍNIMO DE 4,5 M, CONFECCIONADO EM TECIDO 100% ALGODÃO COM TRATAMENTO IMPERMEABILIZANTE À BASE DE RESINA ACRÍLICA, REVESTIDO COM MASSA ADESIVA BRANCA À BASE DE BORRACHA NATURAL E RESINAS, PROPORCIO</t>
  </si>
  <si>
    <t>ESPÁTULA DE AYRES – CONFECCIONADA EM MADEIRA DE REFLORESTAMENTO, RESISTENTE, LISA, COM ACABAMENTO UNIFORME, ISENTA DE FARPAS, DE USO ÚNICO, NÃO ESTÉRIL, COM EXTREMIDADES ARREDONDADAS, INDICADA PARA COLETA DE MATERIAL EM EXAMES GINECOLÓGICOS (CITOLOGIA CERVICAL</t>
  </si>
  <si>
    <t>ESPÉCULO VAGINAL ESTÉRIL – TAMANHO GRANDE – DESCARTÁVEL, DE USO ÚNICO, CONFECCIONADO EM POLIESTIRENO CRISTAL, COM EXCELENTE TRANSPARÊNCIA E TRANSMISSÃO LUMINOSA. POSSUI VALVAS ANATÔMICAS COM SUPERFÍCIES LISAS, REGULARES E BORDAS ARREDONDADAS ATRAUMÁTICAS, PROP</t>
  </si>
  <si>
    <t>ESPÉCULO VAGINAL ESTÉRIL – TAMANHO GRANDE – DESCARTÁVEL, DE USO ÚNICO, CONFECCIONADO EM POLIESTIRENO CRISTAL, COM EXCELENTE TRANSPARÊNCIA E TRANSMISSÃO LUMINOSA. POSSUI VALVAS ANATÔMICAS COM CONTORNOS LISOS, REGULARES E BORDAS ARREDONDADAS ATRAUMÁTICAS, PROPOR</t>
  </si>
  <si>
    <t>ESPÉCULO VAGINAL ESTÉRIL – TAMANHO MÉDIO – DESCARTÁVEL, DE USO ÚNICO, ACOMPANHADO DE GEL LUBRIFICANTE, CONFECCIONADO EM POLIESTIRENO CRISTAL, COM EXCELENTE TRANSPARÊNCIA E TRANSMISSÃO LUMINOSA. POSSUI VALVAS ANATÔMICAS COM CONTORNOS LISOS, REGULARES E BORDAS A</t>
  </si>
  <si>
    <t>ESPÉCULO VAGINAL ESTÉRIL – TAMANHO MÉDIO – DESCARTÁVEL, DE USO ÚNICO, CONFECCIONADO EM POLIESTIRENO CRISTAL, COM EXCELENTE TRANSPARÊNCIA E TRANSMISSÃO LUMINOSA. POSSUI VALVAS ANATÔMICAS COM CONTORNOS LISOS, REGULARES E BORDAS ARREDONDADAS ATRAUMÁTICAS, PROPORC</t>
  </si>
  <si>
    <t>ESPÉCULO VAGINAL ESTÉRIL – TAMANHO PEQUENO – DESCARTÁVEL, DE USO ÚNICO, ACOMPANHADO DE GEL LUBRIFICANTE, CONFECCIONADO EM POLIESTIRENO CRISTAL, COM EXCELENTE TRANSPARÊNCIA E TRANSMISSÃO LUMINOSA. POSSUI VALVAS ANATÔMICAS COM CONTORNOS LISOS, REGULARES E BORDAS</t>
  </si>
  <si>
    <t>ESPÉCULO VAGINAL ESTÉRIL – TAMANHO PEQUENO – DESCARTÁVEL, DE USO ÚNICO, CONFECCIONADO EM POLIESTIRENO CRISTAL, COM EXCELENTE TRANSPARÊNCIA E TRANSMISSÃO LUMINOSA. POSSUI VALVAS ANATÔMICAS COM CONTORNOS LISOS, REGULARES E BORDAS ARREDONDADAS ATRAUMÁTICAS, PROPO</t>
  </si>
  <si>
    <t xml:space="preserve">ESPÉCULO VAGINAL GRANDE DESCARTÁVEL MODELO COLLINS PARA FONTE DE LUZ COM 2 VALVAS ARTICULADAS, QUE SE ABREM PELA AÇÃO PARAFUSO JÁ ACOPLADO AO ORIFÍCIO DE ENTRADA E EXIBINDO EM SUA EXTREMIDADE PROXIMAL ALETA LOCALIZADA NA VALVA DIREITA COM APROXIMADAMENTE 30MM </t>
  </si>
  <si>
    <t>ESPÉCULO VAGINAL MÉDIO DESCARTÁVEL MODELO COLLINS PARA FONTE DE LUZ COM 2 VALVAS ARTICULADAS, QUE SE ABREM PELA AÇÃO PARAFUSO JÁ ACOPLADO AO ORIFÍCIO DE ENTRADA E EXIBINDO EM SUA EXTREMIDADE PROXIMAL ALETA LOCALIZADA NA VALVA DIREITA COM APROXIMADAMENTE 30MM D</t>
  </si>
  <si>
    <t>ESPÉCULOS AURICULARES – CONFECCIONADOS EM PLÁSTICO RESISTENTE, DESCARTÁVEIS, DE USO ÚNICO, COMPATÍVEIS COM OTOSCÓPIOS, SEM ENCAIXE METÁLICO. CONJUNTO COM TAMANHOS VARIADOS, CONTENDO DIÂMETROS DE 2,5 MM, 3,0 MM, 3,5 MM, 4,0 MM E 8,0 MM, PARA UTILIZAÇÃO EM EXAME</t>
  </si>
  <si>
    <t>EXTENSÃO DE OXIGÊNIO ESTÉRIL EM PVC DE 2 METROS. DESCRIÇÃO: EXTENSOR DESCARTÁVEL DESTINADO A PROLONGAR A TUBULAÇÃO DE PACIENTES USUÁRIOS DE CATETER NASAL. DEVE SER CONFECCIONADO EM TUBO DE PVC, ISENTO DE LÁTEX, ATÓXICO, DE PAREDES FINAS E FLEXÍVEIS, COM DOIS M</t>
  </si>
  <si>
    <t>EXTENSÃO PARA CONCENTRADOR DE OXIGÊNIO, DESTINADA À CONEXÃO ENTRE O CONCENTRADOR E O COPO UMIDIFICADOR. CONFECCIONADA EM MATERIAL FLEXÍVEL E RESISTENTE, COM CONECTOR ROSQUEÁVEL COMPATÍVEL COM O EQUIPAMENTO. COMPRIMENTO APROXIMADO DE 30 CM.</t>
  </si>
  <si>
    <t>FIO DE SUTURA CATGUT SIMPLES 2-0, ESTÉRIL, ABSORVÍVEL, COM AGULHA CIRÚRGICA ATRAUMÁTICA EM AÇO INOXIDÁVEL, CORPO ESTRIADO, ACONDICIONADO INDIVIDUALMENTE EM EMBALAGEM ESTÉRIL, REGULARIZAÇÃO JUNTO À ANVISA, QUANDO APLICÁVEL. CAIXA COM 24 ENVELOPES.</t>
  </si>
  <si>
    <t>FIO DE SUTURA CATGUT SIMPLES 3-0, ESTÉRIL, ABSORVÍVEL, COM AGULHA CIRÚRGICA ATRAUMÁTICA EM AÇO INOXIDÁVEL, CORPO ESTRIADO, ACONDICIONADO INDIVIDUALMENTE EM EMBALAGEM ESTÉRIL, REGULARIZAÇÃO JUNTO À ANVISA, QUANDO APLICÁVEL. CAIXA COM 24 ENVELOPES.</t>
  </si>
  <si>
    <t>FIO DE SUTURA CATGUT SIMPLES 4-0, ESTÉRIL, ABSORVÍVEL, COM AGULHA CIRÚRGICA ATRAUMÁTICA EM AÇO INOXIDÁVEL, CORPO ESTRIADO, ACONDICIONADO INDIVIDUALMENTE EM EMBALAGEM ESTÉRIL, COM REGISTRO VÁLIDO NA ANVISA. CAIXA COM 24 ENVELOPES.</t>
  </si>
  <si>
    <t>FIO DE SUTURA CATGUT SIMPLES 5-0, ESTÉRIL, ABSORVÍVEL, COM AGULHA CIRÚRGICA ATRAUMÁTICA EM AÇO INOXIDÁVEL, CORPO ESTRIADO, ACONDICIONADO INDIVIDUALMENTE EM EMBALAGEM ESTÉRIL, REGULARIZAÇÃO JUNTO À ANVISA, QUANDO APLICÁVEL. CAIXA COM 24 ENVELOPES.</t>
  </si>
  <si>
    <t xml:space="preserve">FIO DE SUTURA DE NYLON MONOFILAMENTO 2.0, ESTÉRIL, NÃO ABSORVÍVEL, NA COR PRETA, COM AGULHA CIRÚRGICA TRIANGULAR ATRAUMÁTICA EM AÇO INOXIDÁVEL, CORPO COM ESTRIAS LONGITUDINAIS PARA MAIOR FIXAÇÃO NO PORTA-AGULHAS, AGULHA DE 20 MM, FIO COM 45 CM DE COMPRIMENTO, </t>
  </si>
  <si>
    <t xml:space="preserve">FIO DE SUTURA DE NYLON MONOFILAMENTO 2.0, ESTÉRIL, NÃO ABSORVÍVEL, NA COR PRETA, COM AGULHA CIRÚRGICA TRIANGULAR ATRAUMÁTICA EM AÇO INOXIDÁVEL, CORPO COM ESTRIAS LONGITUDINAIS PARA MAIOR FIXAÇÃO NO PORTA-AGULHAS, AGULHA DE 30 MM, FIO COM 45 CM DE COMPRIMENTO, </t>
  </si>
  <si>
    <t xml:space="preserve">FIO DE SUTURA DE NYLON MONOFILAMENTO 3.0, ESTÉRIL, NÃO ABSORVÍVEL, NA COR PRETA, COM AGULHA CIRÚRGICA TRIANGULAR ATRAUMÁTICA EM AÇO INOXIDÁVEL, CORPO COM ESTRIAS LONGITUDINAIS PARA MAIOR FIXAÇÃO NO PORTA-AGULHAS, AGULHA DE 20 MM, FIO COM 45 CM DE COMPRIMENTO, </t>
  </si>
  <si>
    <t xml:space="preserve">FIO DE SUTURA DE NYLON MONOFILAMENTO 3-0, ESTÉRIL, NÃO ABSORVÍVEL, NA COR PRETA, COM AGULHA CIRÚRGICA TRIANGULAR ATRAUMÁTICA EM AÇO INOXIDÁVEL, CORPO COM ESTRIAS LONGITUDINAIS PARA MAIOR FIXAÇÃO NO PORTA-AGULHAS, AGULHA DE 25 MM, FIO COM 45 CM DE COMPRIMENTO, </t>
  </si>
  <si>
    <t xml:space="preserve">FIO DE SUTURA DE NYLON MONOFILAMENTO 3-0, ESTÉRIL, NÃO ABSORVÍVEL, NA COR PRETA, COM AGULHA CIRÚRGICA TRIANGULAR ATRAUMÁTICA EM AÇO INOXIDÁVEL, CORPO COM ESTRIAS LONGITUDINAIS PARA MAIOR FIXAÇÃO NO PORTA-AGULHAS, AGULHA DE 30 MM, FIO COM 45 CM DE COMPRIMENTO, </t>
  </si>
  <si>
    <t xml:space="preserve">FIO DE SUTURA DE NYLON MONOFILAMENTO 4-0, ESTÉRIL, NÃO ABSORVÍVEL, NA COR PRETA, COM AGULHA CIRÚRGICA TRIANGULAR ATRAUMÁTICA EM AÇO INOXIDÁVEL, CORPO COM ESTRIAS LONGITUDINAIS PARA MAIOR FIXAÇÃO NO PORTA-AGULHAS, AGULHA DE 20 MM, FIO COM 45 CM DE COMPRIMENTO, </t>
  </si>
  <si>
    <t xml:space="preserve">FIO DE SUTURA DE NYLON MONOFILAMENTO 5-0, ESTÉRIL, NÃO ABSORVÍVEL, NA COR PRETA, COM AGULHA CIRÚRGICA TRIANGULAR ATRAUMÁTICA EM AÇO INOXIDÁVEL, CORPO COM ESTRIAS LONGITUDINAIS PARA MAIOR FIXAÇÃO NO PORTA-AGULHAS, AGULHA DE 20 MM, FIO COM 45 CM DE COMPRIMENTO, </t>
  </si>
  <si>
    <t xml:space="preserve">FIO DE SUTURA DE NYLON MONOFILAMENTO 6-0, ESTÉRIL, NÃO ABSORVÍVEL, NA COR PRETA, COM AGULHA CIRÚRGICA TRIANGULAR ATRAUMÁTICA EM AÇO INOXIDÁVEL, CORPO COM ESTRIAS LONGITUDINAIS PARA MAIOR FIXAÇÃO NO PORTA-AGULHAS, AGULHA DE 20 MM, FIO COM 45 CM DE COMPRIMENTO, </t>
  </si>
  <si>
    <t>FITA ADESIVA PARA AUTOCLAVE, MEDINDO 19MM × 30M, CONFECCIONADA EM PAPEL CREPADO À BASE DE CELULOSE, COM ADESIVO DE ALTA ADERÊNCIA, DESTINADA AO FECHAMENTO E IDENTIFICAÇÃO DE PACOTES A SEREM ESTERILIZADOS POR VAPOR SOB PRESSÃO. DEVE POSSUIR INDICADOR QUÍMICO DE</t>
  </si>
  <si>
    <t>FITA CIRÚRGICA MICROPOROSA HIPOALERGÊNICA, ESTAMPADA, MEDINDO 2,5 CM X 3,0 M, CONFECCIONADA EM NÃO TECIDO COM ADESIVO HIPOALERGÊNICO, ISENTA DE LÁTEX NATURAL. DE FINA ESPESSURA, FLEXÍVEL, COM EXCELENTE ADERÊNCIA, PERMITINDO A RESPIRABILIDADE DA PELE E REDUZIND</t>
  </si>
  <si>
    <t>FITA CIRÚRGICA MICROPOROSA HIPOALERGÊNICA, MEDINDO 10 CM X 10 M – COR BEGE, CONFECCIONADA EM NÃO TECIDO À BASE DE FIBRAS DE VISCOSE, COM ADESIVO ACRÍLICO HIPOALERGÊNICO À BASE DE POLIACRILATO, ISENTA DE LÁTEX. DE FINA ESPESSURA, MACIA, EXTRA FLEXÍVEL, COM EXCE</t>
  </si>
  <si>
    <t>FITA CIRÚRGICA MICROPOROSA HIPOALERGÊNICA, MEDINDO 10 CM X 10 M, CONFECCIONADA EM NÃO TECIDO À BASE DE FIBRAS DE VISCOSE, COM ADESIVO ACRÍLICO HIPOALERGÊNICO À BASE DE POLIACRILATO, ISENTA DE LÁTEX. DE FINA ESPESSURA, MACIA, EXTRA FLEXÍVEL, COM EXCELENTE ADERÊ</t>
  </si>
  <si>
    <t>FITA CIRÚRGICA MICROPOROSA HIPOALERGÊNICA, MEDINDO 2,5 CM X 10 M, CONFECCIONADA EM NÃO TECIDO À BASE DE FIBRAS DE VISCOSE, COM ADESIVO ACRÍLICO HIPOALERGÊNICO À BASE DE POLIACRILATO, ISENTA DE LÁTEX. DE FINA ESPESSURA, MACIA, EXTRA FLEXÍVEL, COM EXCELENTE ADER</t>
  </si>
  <si>
    <t>FITA CIRÚRGICA MICROPOROSA HIPOALERGÊNICA, MEDINDO 5 CM X 10 M – COR BEGE, CONFECCIONADA EM NÃO TECIDO À BASE DE FIBRAS DE VISCOSE, COM ADESIVO ACRÍLICO HIPOALERGÊNICO À BASE DE POLIACRILATO, ISENTA DE LÁTEX. DE FINA ESPESSURA, MACIA, EXTRA FLEXÍVEL, COM EXCEL</t>
  </si>
  <si>
    <t>FITA CIRÚRGICA MICROPOROSA HIPOALERGÊNICA, MEDINDO 5 CM X 10 M, CONFECCIONADA EM NÃO TECIDO À BASE DE FIBRAS DE VISCOSE, COM ADESIVO ACRÍLICO HIPOALERGÊNICO À BASE DE POLIACRILATO, ISENTA DE LÁTEX. DE FINA ESPESSURA, MACIA, EXTRA FLEXÍVEL, COM EXCELENTE ADERÊN</t>
  </si>
  <si>
    <t>FIXADOR PARA TUBO ENDOTRAQUEAL, MODELO ADULTO, DE USO ÚNICO, ISENTO DE LÁTEX, CONFECCIONADO EM MATERIAL MACIO, ATÓXICO, HIPOALERGÊNICO E QUE AUXILIE NA PREVENÇÃO DE LESÕES POR PRESSÃO. COMPOSTO POR DUAS BANDAS AJUSTÁVEIS, SENDO UMA SUPERIOR E UMA INFERIOR, COM</t>
  </si>
  <si>
    <t>FRALDA DESCARTÁVEL INFANTIL, POR UNIDADE, TAMANHO EXTRA GRANDE (EG OU XG), CARACTERÍSTICAS MÍNIMAS: SEM RESISTÊNCIA NA SUA ABERTURA; FORMATO ANATÔMICO; BARREIRAS LATERAIS ANTIVAZAMENTO; ELÁSTICO AO REDOR DAS PERNAS; REVESTIMENTO INTERNO COM COBERTURA FILTRANTE</t>
  </si>
  <si>
    <t xml:space="preserve">FRALDA DESCARTÁVEL INFANTIL, POR UNIDADE, TAMANHO GRANDE(G). CARACTERÍSTICAS MÍNIMAS: SEM RESISTÊNCIA NA SUA ABERTURA; FORMATO ANATÔMICO; BARREIRAS LATERAIS ANTIVAZAMENTO; ELÁSTICO AO REDOR DAS PERNAS; REVESTIMENTO INTERNO COM COBERTURA FILTRANTE SUAVE DE NÃO </t>
  </si>
  <si>
    <t>FRALDA DESCARTÁVEL INFANTIL, POR UNIDADE, TAMANHO MÉDIO (M). CARACTERÍSTICAS MÍNIMAS: CARACTERÍSTICAS MÍNIMAS: SEM RESISTÊNCIA NA SUA ABERTURA; FORMATO ANATÔMICO; BARREIRAS LATERAIS ANTIVAZAMENTO; ELÁSTICO AO REDOR DAS PERNAS; REVESTIMENTO INTERNO COM COBERTUR</t>
  </si>
  <si>
    <t>FRALDA DESCARTÁVEL INFANTIL, POR UNIDADE, TAMANHO PEQUENO (P). CARACTERÍSTICAS MÍNIMAS: SEM RESISTÊNCIA NA SUA ABERTURA; FORMATO ANATÔMICO; BARREIRAS LATERAIS ANTIVAZAMENTO; ELÁSTICO AO REDOR DAS PERNAS; REVESTIMENTO INTERNO COM COBERTURA FILTRANTE SUAVE DE NÃ</t>
  </si>
  <si>
    <t>FRALDA DESCARTAVEL INFANTIL, POR UNIDADE, TAMANHO RECEM-NASCIDO(RN). CARACTERÍSTICAS MÍNIMAS: SEM RESISTÊNCIA NA SUA ABERTURA; FORMATO ANATÔMICO; BARREIRAS LATERAIS ANTIVAZAMENTO; ELÁSTICO AO REDOR DAS PERNAS; REVESTIMENTO INTERNO COM COBERTURA FILTRANTE SUAVE</t>
  </si>
  <si>
    <t>FRALDA GERIÁTRICA POR UNIDADE, TAMANHO: EG. COM AS SEGUINTES CARACTERÍSTICAS: 110 ATÉ 165 CENTÍMETROS; PESO: ACIMA DE 90KG; CAPACIDADE ABSORÇÃO: CAPACIDADE ABSORÇÃO: MINIMO 1300ML E MÉDIA DE 1500ML. NÚCLEO DE FORMATO ANATÔMICO,, COBERTURA INTERIOR DE NÃO TECID</t>
  </si>
  <si>
    <t>FRALDA GERIÁTRICA POR UNIDADE, TAMANHO: G. COM AS SEGUINTES CARACTERÍSTICAS: 80 ATÉ 150 CENTÍMETROS; PESO: 70 ATÉ 90KG; CAPACIDADE ABSORÇÃO: CAPACIDADE ABSORÇÃO: MINIMO 1200ML E MÉDIA DE 1500ML. NÚCLEO DE FORMATO ANATÔMICO,, COBERTURA INTERIOR DE NÃO TECIDO, C</t>
  </si>
  <si>
    <t>FRALDA GERIÁTRICA, POR UNIDADE, TAMANHO P. COM AS SEGUINTES CARACTERÍSTICAS: CINTURA: 40 ATÉ 80 CENTÍMETROS; PESO: 20 ATÉ 40KG; CAPACIDADE ABSORÇÃO: MINIMO 800ML E MÉDIA DE 1000M. NÚCLEO DE FORMATO ANATÔMICO, COBERTURA INTERIOR DE NÃO TECIDO, COM ALOE VERA; CA</t>
  </si>
  <si>
    <t>FRALDA GERIÁTRICA, POR UNIDADE, TAMANHO: M. COM AS SEGUINTES CARACTERÍSTICAS: 70 ATÉ 120 CENTÍMETROS; PESO: 40 ATÉ 70KG; CAPACIDADE ABSORÇÃO: MINIMO 900ML E MÉDIA DE 1100ML. NÚCLEO DE FORMATO ANATÔMICO,, COBERTURA INTERIOR DE NÃO TECIDO, COM ALOE VERA; CAMADAS</t>
  </si>
  <si>
    <t>FRONHA DESCARTÁVEL PARA TRAVESSEIROS, CONFECCIONADO EM TNT, COR BRANCA, MEDIDAS APROXIMADAS: 50CM X 70CM (+/- 0,5CM). GRAMATURA: 20G. PACOTE COM 10 UNIDADES, CONTENDO DADOS DE IDENTIFICAÇÃO, PROCEDÊNCIA, LOTE E REGULARIZAÇÃO JUNTO À ANVISA, QUANDO APLICÁVEL.</t>
  </si>
  <si>
    <t>GARROTE ADULTO PARA PUNÇÃO VENOSA, CONFECCIONADO EM FAIXA ELÁSTICA DE ALTA RESISTÊNCIA, COM SISTEMA DE FECHAMENTO POR ENCAIXE, AJUSTÁVEL, REUTILIZÁVEL, DE FÁCIL HIGIENIZAÇÃO, COM COMPRIMENTO APROXIMADO ENTRE 35 E 45 CM E LARGURA ENTRE 2,0 E 2,5 CM.</t>
  </si>
  <si>
    <t>GARROTE DESCARTÁVEL, COM TIRAS DE MÍNIMO 36CM, DE FORMA ASSÉPTICA. CARACTERÍSTICAS: FORMA ASSÉPTICA, LIVRE DE LÁTEX, NÃO TALCADO, DESCARTÁVEIS E DE USO ÚNICO, LINHA DESTACÁVEL NA MEDIDA CORRETA DA TIRA. EMBALAGEM DISPENSER. QUANTIDADE POR CAIXA: 25 UN.</t>
  </si>
  <si>
    <t xml:space="preserve">GAZE ESTÉRIL PARA PREENCHIMENTO DE FERIDAS PROFUNDAS, EM FORMATO SANFONADO (Z-FOLD), COMPACTADA, DE ALTA ABSORÇÃO E SEM AGENTE HEMOSTÁTICO, DESTINADA AO TAMPONAMENTO DE FERIDAS E CONTROLE DE HEMORRAGIAS POR PREENCHIMENTO E PRESSÃO DIRETA. DIMENSÕES MÍNIMAS DE </t>
  </si>
  <si>
    <t>GAZE HEMOSTÁTICA ESTÉRIL, EM FORMATO Z-FOLD OU EQUIVALENTE, IMPREGNADA COM AGENTE HEMOSTÁTICO, COMO CAULIM OU QUITOSANA, DESTINADA AO CONTROLE DE HEMORRAGIAS EXTERNAS GRAVES POR MEIO DE TAMPONAMENTO DE FERIDAS PROFUNDAS (WOUND PACKING) E APLICAÇÃO DE PRESSÃO D</t>
  </si>
  <si>
    <t>GEL CONDUTOR PARA ELETROCARDIOGRAMA, APRESENTAÇÃO 2 KG, COM PH NEUTRO, ISENTO DE SAIS, NÃO CORROSIVO, DE ALTA CONDUTIVIDADE ELÉTRICA, ADEQUADO PARA UTILIZAÇÃO EM EXAMES DE ELETROCARDIOGRAMA. ACONDICIONADO EM BISNAGA DE 2 KG, COM SISTEMA DE FECHAMENTO QUE PERMI</t>
  </si>
  <si>
    <t>GEL CONDUTOR PARA ELETROCARDIOGRAMA, APRESENTAÇÃO 250 G, DESENVOLVIDO PARA UTILIZAÇÃO EM EXAMES DE ELETROCARDIOGRAMA, COM ALTA CONDUTIVIDADE ELÉTRICA, PH NEUTRO, ISENTO DE SAIS E NÃO CORROSIVO. DEVE APRESENTAR CONSISTÊNCIA ADEQUADA PARA APLICAÇÃO SOBRE A PELE,</t>
  </si>
  <si>
    <t>INDICADOR BIOLÓGICO PARA MONITORAMENTO DE CICLOS DE ESTERILIZAÇÃO A VAPOR SATURADO SOB PRESSÃO (AUTOCLAVE), CONTENDO ESPOROS DE GEOBACILLUS STEAROTHERMOPHILUS, PARA VERIFICAÇÃO DA EFICÁCIA DO PROCESSO DE ESTERILIZAÇÃO. SISTEMA DE LEITURA COM RESULTADO EM ATÉ 2</t>
  </si>
  <si>
    <t>INDICADOR BIOLÓGICO PARA VAPOR DO TIPO AUTO CONTIDO, COM TEMPO DE RESPOSTA FINAL NEGATIVA EM 48 HORAS, PARA O MONITORAMENTO BIOLÓGICO DE CICLOS DE ESTERILIZAÇÃO A VAPOR SATURADO SOB PRESSÃO. COMPOSTO POR UMA TIRA DE PAPEL CONTENDO UMA POPULAÇÃO MICROBIANA MINI</t>
  </si>
  <si>
    <t>KIT DE CÂNULAS OROFARÍNGEAS DE GUEDEL, DESCARTÁVEIS, DE USO ÚNICO, COMPOSTO POR 06 UNIDADES, NOS TAMANHOS 0, 1, 2, 3, 4 E 5, FABRICADAS EM PVC ATÓXICO, TRANSPARENTE, COM ACABAMENTO ADEQUADO E CONEXÕES/ESTRUTURA QUE PROPORCIONEM SEGURANÇA DURANTE O USO. EMBALAG</t>
  </si>
  <si>
    <t>KIT RETIRADA DE PONTOS DESCARTÁVEL, COMPOSTO POR: 01 PINÇA NATÔMICA EM RESINA COM 146 MM, 01 LÂMINA DE BISTURI NUMERO 12 COM CABO, 05 COMPRESSAS DE GAZE DE 11 FIOS, COM DIMENSÕES 7,5 X 7,5 DOBRADA. APRESENTAR AMOSTRA.</t>
  </si>
  <si>
    <t>KIT TRICOTOMIA DESCARTÁVEL, PARA REALIZAÇÃO DE TRICOTOMIA ANTES DE QUALQUER PROCEDIMENTO CIRURGICO OU NÃO QUE SEJA NECESSARIO A REMOÇÃO DOS PELOS CORPORAIS. COMPOSTO POR: 1 CAMPO SSMMS 100% POLLIPROPILENO 40CM X 40 CM, 1 TRICOTOMIZADOR DESCARTÁVEL, 1 AMPOLA DE</t>
  </si>
  <si>
    <t>LÂMINA DE BISTURI ESTÉRIL Nº 10, DESCARTÁVEL, CONFECCIONADA EM AÇO INOXIDÁVEL OU AÇO CARBONO, RESISTENTE À CORROSÃO E À PERDA DE AFIAÇÃO, PROPORCIONANDO CORTES PRECISOS E SUAVES. EMBALADA INDIVIDUALMENTE EM SACHÊ, COM ABERTURA ASSÉPTICA. DEVE APRESENTAR IDENTI</t>
  </si>
  <si>
    <t>LÂMINA DE BISTURI ESTÉRIL Nº 11, DESCARTÁVEL, CONFECCIONADA EM AÇO INOXIDÁVEL OU AÇO CARBONO, RESISTENTE À CORROSÃO E À PERDA DE AFIAÇÃO, PROPORCIONANDO CORTES PRECISOS E SUAVES. EMBALADA INDIVIDUALMENTE EM SACHÊ, COM ABERTURA ASSÉPTICA. DEVE APRESENTAR IDENTI</t>
  </si>
  <si>
    <t>LÂMINA DE BISTURI ESTÉRIL Nº 12, DESCARTÁVEL, CONFECCIONADA EM AÇO INOXIDÁVEL OU AÇO CARBONO, RESISTENTE À CORROSÃO E À PERDA DE AFIAÇÃO, PROPORCIONANDO CORTES PRECISOS E SUAVES. EMBALADA INDIVIDUALMENTE EM SACHÊ, COM ABERTURA ASSÉPTICA. DEVE APRESENTAR IDENTI</t>
  </si>
  <si>
    <t>LÂMINA DE BISTURI ESTÉRIL Nº 13, DESCARTÁVEL, CONFECCIONADA EM AÇO INOXIDÁVEL OU AÇO CARBONO, RESISTENTE À CORROSÃO E À PERDA DE AFIAÇÃO, PROPORCIONANDO CORTES PRECISOS E SUAVES. EMBALADA INDIVIDUALMENTE EM SACHÊ, COM ABERTURA ASSÉPTICA. DEVE APRESENTAR IDENTI</t>
  </si>
  <si>
    <t>LÂMINA DE BISTURI ESTÉRIL Nº 15, DESCARTÁVEL, CONFECCIONADA EM AÇO INOXIDÁVEL OU AÇO CARBONO, RESISTENTE À CORROSÃO E À PERDA DE AFIAÇÃO, PROPORCIONANDO CORTES PRECISOS E SUAVES. EMBALADA INDIVIDUALMENTE EM SACHÊ, COM ABERTURA ASSÉPTICA. DEVE APRESENTAR IDENTI</t>
  </si>
  <si>
    <t>LÂMINA DE BISTURI ESTÉRIL Nº 20, DESCARTÁVEL, CONFECCIONADA EM AÇO INOXIDÁVEL OU AÇO CARBONO, RESISTENTE À CORROSÃO E À PERDA DE AFIAÇÃO, PROPORCIONANDO CORTES PRECISOS E SUAVES. EMBALADA INDIVIDUALMENTE EM SACHÊ, COM ABERTURA ASSÉPTICA. DEVE APRESENTAR IDENTI</t>
  </si>
  <si>
    <t>LÂMINA DE BISTURI ESTÉRIL Nº 21, DESCARTÁVEL, CONFECCIONADA EM AÇO INOXIDÁVEL OU AÇO CARBONO, RESISTENTE À CORROSÃO E À PERDA DE AFIAÇÃO, PROPORCIONANDO CORTES PRECISOS E SUAVES. EMBALADA INDIVIDUALMENTE EM SACHÊ, COM ABERTURA ASSÉPTICA. DEVE APRESENTAR IDENTI</t>
  </si>
  <si>
    <t>LÂMINA DE BISTURI ESTÉRIL Nº 22, DESCARTÁVEL, CONFECCIONADA EM AÇO INOXIDÁVEL OU AÇO CARBONO, RESISTENTE À CORROSÃO E À PERDA DE AFIAÇÃO, PROPORCIONANDO CORTES PRECISOS E SUAVES. EMBALADA INDIVIDUALMENTE EM SACHÊ, COM ABERTURA ASSÉPTICA. DEVE APRESENTAR IDENTI</t>
  </si>
  <si>
    <t>LÂMINA DE BISTURI ESTÉRIL Nº 23, DESCARTÁVEL, CONFECCIONADA EM AÇO INOXIDÁVEL OU AÇO CARBONO, RESISTENTE À CORROSÃO E À PERDA DE AFIAÇÃO, PROPORCIONANDO CORTES PRECISOS E SUAVES. EMBALADA INDIVIDUALMENTE EM SACHÊ, COM ABERTURA ASSÉPTICA. DEVE APRESENTAR IDENTI</t>
  </si>
  <si>
    <t>LÂMINA DE BISTURI ESTÉRIL Nº 24, DESCARTÁVEL, CONFECCIONADA EM AÇO INOXIDÁVEL OU AÇO CARBONO, RESISTENTE À CORROSÃO E À PERDA DE AFIAÇÃO, PROPORCIONANDO CORTES PRECISOS E SUAVES. EMBALADA INDIVIDUALMENTE EM SACHÊ, COM ABERTURA ASSÉPTICA. DEVE APRESENTAR IDENTI</t>
  </si>
  <si>
    <t>LANCETA PARA CANETA LANCETADORA, LANCETAS DEVEM SER COMPATÍVEIS COM CANETA OFERTADA NO LOTE 124. CAIXA COM 200 UNIDADES.</t>
  </si>
  <si>
    <t>LANCETA PARA PUNÇÃO DIGITAL, DESCARTÁVEL, ESTÉRIL, DE USO ÚNICO, PARA COLETA DE SANGUE CAPILAR, COM PROFUNDIDADE DE PERFURAÇÃO DE 1,5 MM E SISTEMA DE RETRAÇÃO AUTOMÁTICA DA AGULHA APÓS O DISPARO, PROPORCIONANDO SEGURANÇA DURANTE O USO. REGULARIZAÇÃO JUNTO À AN</t>
  </si>
  <si>
    <t>LANCETA PARA TESTE DO PEZINHO, CONFECCIONADA EM PLÁSTICO RÍGIDO E DISPOSITIVO DE SEGURANÇA CONFORME NR 32, 2.5 MM(LARGURA) X 1.0 MM(PROFUNDIDADE). CAIXA COM 50 UNIDADES.</t>
  </si>
  <si>
    <t xml:space="preserve">LENÇO BARREIRA PROTETORA, LENÇO NÃO ESTERIL, BRANCO DE UM MATERIAL NÃO TRANÇADO, SATURADO COM UMA COMBINAÇÃO DE RESINA ALCOÓLICA, QUE AO SER APLICADO AO REDOR DO ESTOMA, APÓS A EVAPORAÇÃO DO ÁLCOOL FORMA UM FILME PROTETOR FLEXÍVEL ENTRE A PELE E AS PLACAS DOS </t>
  </si>
  <si>
    <t>LENÇOL DE PAPEL DESCARTÁVEL PARA MACA, EM ROLO, CONFECCIONADO EM 100% FIBRA DE CELULOSE VIRGEM, COR BRANCA, LIVRE DE CONTAMINANTES, COM MEDIDAS APROXIMADAS DE 50 CM X 50 METROS. EMBALADO INDIVIDUALMENTE.</t>
  </si>
  <si>
    <t>LENÇOL DE PAPEL DESCARTÁVEL PARA MACA, EM ROLO, CONFECCIONADO EM 100% FIBRA DE CELULOSE VIRGEM, COR BRANCA, LIVRE DE CONTAMINANTES, COM MEDIDAS APROXIMADAS DE 70 CM X 50 METROS. EMBALADO INDIVIDUALMENTE</t>
  </si>
  <si>
    <t>LENÇOL DESCARTÁVEL COM ELÁSTICO, EM TNT GRAMATURA DE 30, MÍNIMO DE 200CM X 90CM, COR BRANCA. INDICADO PARA A PROTEÇÃO DE CAMAS, COLCHÕES E MACAS. PACOTE CONTENDO 10 UNIDADES. APRESENTAR AMOSTRA.</t>
  </si>
  <si>
    <t>LENÇOL DESCARTÁVEL COM ELÁSTICO, EM TNT GRAMATURA DE 40, MÍNIMO DE 220CM X 110CM, COR BRANCA. INDICADO PARA A PROTEÇÃO DE CAMAS, COLCHÕES E MACAS. PACOTE CONTENDO 10 UNIDADES. APRESENTAR AMOSTRA.</t>
  </si>
  <si>
    <t>LUVA PARA PROCEDIMENTOS CIRÚRGICOS TAMANHO 6.0 ESTERILIZADA A RAIO GAMA, COR NATURAL, FABRICADA EM LÁTEX NATURAL, COM TEXTURA E PÓ ABSORVÍVEL. CADA PAR DEVE SER EMBALADO INDIVIDUALMENTE EM EMBALAGEM QUE CONTENHA DADOS DE IDENTIFICAÇÃO, PROCEDÊNCIA, NÚMERO DE L</t>
  </si>
  <si>
    <t>LUVA PARA PROCEDIMENTOS CIRÚRGICOS TAMANHO 6.5 ESTERILIZADA A RAIO GAMA, COR NATURAL, FABRICADA EM LÁTEX NATURAL, COM TEXTURA E PÓ ABSORVÍVEL. CADA PAR DEVE SER EMBALADO INDIVIDUALMENTE EM EMBALAGEM QUE CONTENHA DADOS DE IDENTIFICAÇÃO, PROCEDÊNCIA, NÚMERO DE L</t>
  </si>
  <si>
    <t>LUVA PARA PROCEDIMENTOS CIRÚRGICOS TAMANHO 7.0 ESTERILIZADA A RAIO GAMA, COR NATURAL, FABRICADA EM LÁTEX NATURAL, COM TEXTURA E PÓ ABSORVÍVEL. CADA PAR DEVE SER EMBALADO INDIVIDUALMENTE EM EMBALAGEM QUE CONTENHA DADOS DE IDENTIFICAÇÃO, PROCEDÊNCIA, NÚMERO DE L</t>
  </si>
  <si>
    <t>LUVA PARA PROCEDIMENTOS CIRÚRGICOS TAMANHO 7.5 ESTERILIZADA A RAIO GAMA, COR NATURAL, FABRICADA EM LÁTEX NATURAL, COM TEXTURA E PÓ ABSORVÍVEL. CADA PAR DEVE SER EMBALADO INDIVIDUALMENTE EM EMBALAGEM QUE CONTENHA DADOS DE IDENTIFICAÇÃO, PROCEDÊNCIA, NÚMERO DE L</t>
  </si>
  <si>
    <t>LUVA PARA PROCEDIMENTOS CIRÚRGICOS TAMANHO 8.0 ESTERILIZADA A RAIO GAMA, COR NATURAL, FABRICADA EM LÁTEX NATURAL, COM TEXTURA E PÓ ABSORVÍVEL. CADA PAR DEVE SER EMBALADO INDIVIDUALMENTE EM EMBALAGEM QUE CONTENHA DADOS DE IDENTIFICAÇÃO, PROCEDÊNCIA, NÚMERO DE L</t>
  </si>
  <si>
    <t>LUVA PARA PROCEDIMENTOS CIRÚRGICOS TAMANHO 8.5 ESTERILIZADA A RAIO GAMA, COR NATURAL, FABRICADA EM LÁTEX NATURAL, COM TEXTURA E PÓ ABSORVÍVEL. CADA PAR DEVE SER EMBALADO INDIVIDUALMENTE EM EMBALAGEM QUE CONTENHA DADOS DE IDENTIFICAÇÃO, PROCEDÊNCIA, NÚMERO DE L</t>
  </si>
  <si>
    <t xml:space="preserve">MÁSCARA CIRÚRGICA TRIPLA COM ELÁSTICO. CONFECCIONADA EM NÃO TECIDO, AGRADÁVEL AO TOQUE E MACIA, COM 3 DOBRAS, TRIPLA CAMADA COM FILTRO PROPORCIONANDO UMA BFE (EFICIÊNCIA DE FILTRAÇÃO BACTERIANA) MAIOR QUE 95%; CAMADAS SOLDADAS ELETRONICAMENTE POR ULTRASSOM. O </t>
  </si>
  <si>
    <t>MÁSCARA DE OXIGÊNIO DE ALTA CONCENTRAÇÃO, TAMANHO ADULTO, COM RESERVATÓRIO, CONFECCIONADA EM PVC FLEXÍVEL E TRANSPARENTE, COM PRESILHA NASAL AJUSTÁVEL E FIXADOR ELÁSTICO. ACOMPANHADA DE TUBULAÇÃO EM PVC PARA CONEXÃO À FONTE DE OXIGÊNIO, COM 2,10 M DE COMPRIMEN</t>
  </si>
  <si>
    <t xml:space="preserve">MASCARA DE VENTURI ADULTO - PACIENTES QUE NECESSITAM DE APORTE DE O2 COM FRAÇÕES DE OXIGÊNIO ELEVADA EM ALTO FLUXO. KIT COMPOSTO POR MÁSCARA TRANSPARENTE‚ FLEXÍVEL‚ ATÓXICA COM ELÁSTICO PARA AJUSTE FACIAL E ORIFÍCIOS LATERAIS; TRAQUÉIA; 6 DILUIDORES COLORIDOS </t>
  </si>
  <si>
    <t>MASCARA DE VENTURI INFANTIL - PACIENTES QUE NECESSITAM DE APORTE DE O2 COM FRAÇÕES DE OXIGÊNIO ELEVADA EM ALTO FLUXO. KIT COMPOSTO POR MÁSCARA TRANSPARENTE‚ FLEXÍVEL‚ ATÓXICA COM ELÁSTICO PARA AJUSTE FACIAL E ORIFÍCIOS LATERAIS; TRAQUÉIA; 6 DILUIDORES COLORIDO</t>
  </si>
  <si>
    <t>MÁSCARA LARÍNGEA, EM SILICONE, DESCARTÁVEL, TAMANHO 1.0</t>
  </si>
  <si>
    <t>MÁSCARA LARÍNGEA, EM SILICONE, DESCARTÁVEL, TAMANHO 1.5.</t>
  </si>
  <si>
    <t>MÁSCARA LARÍNGEA, EM SILICONE, DESCARTÁVEL, TAMANHO 2.0.</t>
  </si>
  <si>
    <t>MÁSCARA LARÍNGEA, EM SILICONE, DESCARTÁVEL, TAMANHO 2.5.</t>
  </si>
  <si>
    <t>MÁSCARA LARÍNGEA, EM SILICONE, DESCARTÁVEL, TAMANHO 3.0.</t>
  </si>
  <si>
    <t>MÁSCARA LARÍNGEA, EM SILICONE, DESCARTÁVEL, TAMANHO 4.0.</t>
  </si>
  <si>
    <t>MÁSCARA LARÍNGEA, EM SILICONE, DESCARTÁVEL, TAMANHO 5.0.</t>
  </si>
  <si>
    <t>MÁSCARA PARA OXIGENIOTERAPIA ADULTO, COM EXTENSÃO E RESERVATÓRIO.</t>
  </si>
  <si>
    <t>MÁSCARA RESPIRATÓRIA PFF2, SEM VÁLVULA DE EXALAÇÃO, TIPO SEMIFACIAL FILTRANTE, FORMATO DOBRÁVEL, CONFECCIONADA EM MATERIAL NÃO TECIDO COM FILTRO ELETROSTÁTICO, COM CLIPE NASAL E TIRAS ELÁSTICAS PARA FIXAÇÃO E AJUSTE. DESTINADA À PROTEÇÃO CONTRA POEIRAS, NÉVOAS</t>
  </si>
  <si>
    <t>PAPAGAIO EM AÇO INOXIDÁVEL: RECIPIENTE PARA USO HOSPITALAR, CONFECCIONADO EM AÇO INOXIDÁVEL, COM CAPACIDADE MÍNIMA DE 1 LITRO.</t>
  </si>
  <si>
    <t>PAPAGAIO EM PLÁSTICO: RECIPIENTE PARA USO HOSPITALAR, CONFECCIONADO EM MATERIAL PLÁSTICO RESISTENTE, COM CAPACIDADE MÍNIMA DE 1,2 LITRO.</t>
  </si>
  <si>
    <t>REMOVEDOR DE ADESIVOS LENÇO, COMPOSIÇÃO: DISILOXANE IMPREGNADO EM UM TECIDO DE VISCOSE + POLIÉSTER, EM CARTUCHO COM 30 SACHÊS, CADA SACHÊ CONTÉM 1 LENÇO DE TAMANHO MÍNIMO 15X14CM, PARA REMOÇÃO FÁCIL DA BASE ADESIVA E AS SOBRAS DE RESÍDUOS ADESIVOS MÉDICOS NA P</t>
  </si>
  <si>
    <t>SACO PARA RESÍDUOS INFECTANTES, 100 L, NA COR BRANCO LEITOSO, CONFECCIONADO EM POLIETILENO, COM ESPESSURA MÍNIMA DE 0,08 MM, RESISTENTE E ADEQUADO AO ACONDICIONAMENTO DE RESÍDUOS DE SERVIÇOS DE SAÚDE. DEVE APRESENTAR, EM CADA UNIDADE, SÍMBOLO E IDENTIFICAÇÃO D</t>
  </si>
  <si>
    <t>SACO PARA RESÍDUOS INFECTANTES, 15 L, NA COR BRANCO LEITOSO, CONFECCIONADO EM POLIETILENO, COM ESPESSURA MÍNIMA DE 0,08 MM, RESISTENTE E ADEQUADO AO ACONDICIONAMENTO DE RESÍDUOS DE SERVIÇOS DE SAÚDE. DEVE APRESENTAR, EM CADA UNIDADE, SÍMBOLO E IDENTIFICAÇÃO DE</t>
  </si>
  <si>
    <t>SACO PARA RESÍDUOS INFECTANTES, 30 L, NA COR BRANCO LEITOSO, CONFECCIONADO EM POLIETILENO, COM ESPESSURA MÍNIMA DE 0,08 MM, RESISTENTE E ADEQUADO AO ACONDICIONAMENTO DE RESÍDUOS DE SERVIÇOS DE SAÚDE. DEVE APRESENTAR, EM CADA UNIDADE, SÍMBOLO E IDENTIFICAÇÃO DE</t>
  </si>
  <si>
    <t>SACO PARA RESÍDUOS INFECTANTES, 50 L, NA COR BRANCO LEITOSO, CONFECCIONADO EM POLIETILENO, COM ESPESSURA MÍNIMA DE 0,08 MM, RESISTENTE E ADEQUADO AO ACONDICIONAMENTO DE RESÍDUOS DE SERVIÇOS DE SAÚDE. DEVE APRESENTAR, EM CADA UNIDADE, SÍMBOLO E IDENTIFICAÇÃO DE</t>
  </si>
  <si>
    <t>SERINGA 1ML (BCG), COM AGULHA FIXA, CAPACIDADE PARA 100U.I, ESCALA DE 2 EM 2 UNIDADE. AGULHA 12,7X0,3MM. EMBALADAS EM, COM BPF (BOAS PRÁTICAS DE FABRICAÇÃO) - CAIXA DE 10 UNIDADES.</t>
  </si>
  <si>
    <t>SERINGA 1ML (INSULINA), STOPPER FINO, ÊMBOLO COM ANEL DE RETENÇÃO, CAPACIDADE PARA 100 UNIDADES DE INSULINA COM GRADUAÇÃO DE 1 EM 1 UNIDADE, COM AGULHA DE 8MMX0,3 MM DE CALIBRE. COM BPF (BOAS PRÁTICAS DE FABRICAÇÃO). CX 100UND. APRESENTAR AMOSTRA..</t>
  </si>
  <si>
    <t>SERINGA 1ML (INSULINA), STOPPER FINO, ÊMBOLO COM ANEL DE RETENÇÃO, CAPACIDADE PARA 100 UNIDADES DEINSULINA COM GRADUAÇÃO DE 2 EM 2 UNIDADE, COM AGULHA DE 12,7X0,3 MM DE CALIBRE. COM BPF (BOAS PRÁTICAS DE FABRICAÇÃO). CX 100UND. APRESENTAR AMOSTRA..</t>
  </si>
  <si>
    <t>SERINGA 1ML (INSULINA), STOPPER FINO, ÊMBOLO COM ANEL DE RETENÇÃO, SEM ESPAÇO MORTO, CAPACIDADE PARA 100 UNIDADES DE INSULINA COM GRADUAÇÃO DE 2 EM 2 UNIDADE, COM AGULHA DE 6MM X 0,25MM DE CALIBRE. CX 100UND. APRESENTAR AMOSTRA..</t>
  </si>
  <si>
    <t>SERINGA 1ML (INSULINA), STOPPER FINO, ÊMBOLO COM ANEL DE RETENÇÃO, SEM ESPAÇO MORTO, CAPACIDADE PARA 100 UNIDADES DE INSULINA COM GRADUAÇÃO DE 2 EM 2 UNIDADE, COM AGULHA DE 8MM X 0,3MM DE CALIBRE. CX 100UND. APRESENTAR AMOSTRA..</t>
  </si>
  <si>
    <t xml:space="preserve">SERINGA HIPODÉRMICA 1 ML, LUER LOCK (BICO ROSCA), PARA APLICAÇÃO DE VACINAS, ESTÉRIL, DESCARTÁVEL E DE USO ÚNICO, CONFECCIONADA EM POLIPROPILENO, COM CILINDRO TRANSPARENTE GRADUADO, FLANGE PARA APOIO DOS DEDOS, ÊMBOLO COM HASTE E VEDAÇÃO EM BORRACHA ISENTA DE </t>
  </si>
  <si>
    <t>SERINGA HIPODÉRMICA 1 ML, LUER SLIP (BICO LISO), PARA APLICAÇÃO DE VACINAS, ESTÉRIL, DESCARTÁVEL E DE USO ÚNICO, CONFECCIONADA EM POLIPROPILENO, COM CILINDRO TRANSPARENTE GRADUADO, FLANGE PARA APOIO DOS DEDOS, ÊMBOLO COM HASTE E VEDAÇÃO EM BORRACHA ISENTA DE L</t>
  </si>
  <si>
    <t>SERINGA HIPODÉRMICA 10 ML, LUER LOCK (BICO ROSCA), ESTÉRIL, DESCARTÁVEL E DE USO ÚNICO, CONFECCIONADA EM POLIPROPILENO, COM CILINDRO TRANSPARENTE GRADUADO, FLANGE PARA APOIO DOS DEDOS, ÊMBOLO COM HASTE E VEDAÇÃO EM BORRACHA ISENTA DE LÁTEX, COM LUBRIFICAÇÃO IN</t>
  </si>
  <si>
    <t>SERINGA HIPODÉRMICA 10 ML, LUER SLIP (BICO LISO), ESTÉRIL, DESCARTÁVEL E DE USO ÚNICO, CONFECCIONADA EM POLIPROPILENO, COM CILINDRO TRANSPARENTE GRADUADO, FLANGE PARA APOIO DOS DEDOS, ÊMBOLO COM HASTE E VEDAÇÃO EM BORRACHA ISENTA DE LÁTEX, COM LUBRIFICAÇÃO INT</t>
  </si>
  <si>
    <t>SERINGA HIPODÉRMICA 20 ML, LUER LOCK (BICO ROSCA), ESTÉRIL, DESCARTÁVEL E DE USO ÚNICO, CONFECCIONADA EM POLIPROPILENO, COM CILINDRO TRANSPARENTE GRADUADO, FLANGE PARA APOIO DOS DEDOS, ÊMBOLO COM HASTE E VEDAÇÃO EM BORRACHA ISENTA DE LÁTEX, COM LUBRIFICAÇÃO IN</t>
  </si>
  <si>
    <t>SERINGA HIPODÉRMICA 20 ML, LUER SLIP (BICO LISO), ESTÉRIL, DESCARTÁVEL E DE USO ÚNICO, CONFECCIONADA EM POLIPROPILENO, COM CILINDRO TRANSPARENTE GRADUADO, FLANGE PARA APOIO DOS DEDOS, ÊMBOLO COM HASTE E VEDAÇÃO EM BORRACHA ISENTA DE LÁTEX, COM LUBRIFICAÇÃO INT</t>
  </si>
  <si>
    <t>SERINGA HIPODÉRMICA 3 ML, LUER LOCK (BICO ROSCA), ESTÉRIL, DESCARTÁVEL E DE USO ÚNICO, CONFECCIONADA EM POLIPROPILENO, COM CILINDRO TRANSPARENTE GRADUADO, FLANGE PARA APOIO DOS DEDOS, ÊMBOLO COM HASTE E VEDAÇÃO EM BORRACHA ISENTA DE LÁTEX, COM LUBRIFICAÇÃO INT</t>
  </si>
  <si>
    <t>SERINGA HIPODÉRMICA 3 ML, LUER SLIP (BICO LISO), ESTÉRIL, DESCARTÁVEL E DE USO ÚNICO, CONFECCIONADA EM POLIPROPILENO, COM CILINDRO TRANSPARENTE GRADUADO, FLANGE PARA APOIO DOS DEDOS, ÊMBOLO COM HASTE E VEDAÇÃO EM BORRACHA ISENTA DE LÁTEX, COM LUBRIFICAÇÃO INTE</t>
  </si>
  <si>
    <t>SERINGA HIPODÉRMICA 5 ML, LUER LOCK (BICO ROSCA), ESTÉRIL, DESCARTÁVEL E DE USO ÚNICO, CONFECCIONADA EM POLIPROPILENO, COM CILINDRO TRANSPARENTE GRADUADO, FLANGE PARA APOIO DOS DEDOS, ÊMBOLO COM HASTE E VEDAÇÃO EM BORRACHA ISENTA DE LÁTEX, COM LUBRIFICAÇÃO INT</t>
  </si>
  <si>
    <t>SERINGA HIPODÉRMICA 5 ML, LUER SLIP (BICO LISO), ESTÉRIL, DESCARTÁVEL E DE USO ÚNICO, CONFECCIONADA EM POLIPROPILENO, COM CILINDRO TRANSPARENTE GRADUADO, FLANGE PARA APOIO DOS DEDOS, ÊMBOLO COM HASTE E VEDAÇÃO EM BORRACHA ISENTA DE LÁTEX, COM LUBRIFICAÇÃO INTE</t>
  </si>
  <si>
    <t>SERINGA PARA INSULINA, 0,5 ML (50 UI), U-100, COM AGULHA FIXA DE 8 MM (5/16") × 0,30 MM (30G), ESTÉRIL, DESCARTÁVEL E DE USO ÚNICO, COM CORPO TRANSPARENTE, GRADUAÇÃO DE 1 EM 1 UNIDADE DE INSULINA, ESCALA LEGÍVEL, ÊMBOLO DE MOVIMENTO SUAVE E AGULHA COM BISEL TR</t>
  </si>
  <si>
    <t>SERINGA PARA INSULINA, 100 UI, COM AGULHA FIXA 8 MM × 0,3 MM, ESTÉRIL, DESCARTÁVEL, DE USO ÚNICO, CONFECCIONADA EM MATERIAL PLÁSTICO ATÓXICO E COMPATÍVEL COM INSULINA, COM CILINDRO TRANSPARENTE, GRADUAÇÃO DE 1 EM 1 UNIDADE DE INSULINA, ESCALA LEGÍVEL, ÊMBOLO D</t>
  </si>
  <si>
    <t>SONDA NASOENTERAL Nº 08, PARA ALIMENTAÇÃO ENTERAL, CONFECCIONADA EM SILICONE, FLEXÍVEL E BIOCOMPATÍVEL, COM FIO-GUIA PARA AUXILIAR NA INTRODUÇÃO E POSICIONAMENTO, PONTA DISTAL COM PESO EM TUNGSTÊNIO, ATRAUMÁTICA, ESTÉRIL, DE USO ÚNICO, ESTERILIZADA POR ÓXIDO D</t>
  </si>
  <si>
    <t>SONDA NASOENTERAL Nº 10, PARA ALIMENTAÇÃO ENTERAL, CONFECCIONADA EM SILICONE, FLEXÍVEL E BIOCOMPATÍVEL, COM FIO-GUIA PARA AUXILIAR NA INTRODUÇÃO E POSICIONAMENTO, PONTA DISTAL COM PESO EM TUNGSTÊNIO, ATRAUMÁTICA, ESTÉRIL, DE USO ÚNICO, ESTERILIZADA POR ÓXIDO D</t>
  </si>
  <si>
    <t>SONDA NASOENTERAL Nº 12, PARA ALIMENTAÇÃO ENTERAL, CONFECCIONADA EM SILICONE, FLEXÍVEL E BIOCOMPATÍVEL, COM FIO-GUIA PARA AUXILIAR NA INTRODUÇÃO E POSICIONAMENTO, PONTA DISTAL COM PESO EM TUNGSTÊNIO, ATRAUMÁTICA, ESTÉRIL, DE USO ÚNICO, ESTERILIZADA POR ÓXIDO D</t>
  </si>
  <si>
    <t>SONDA NASOGÁSTRICA Nº 06, LONGA, DESCARTÁVEL, CONFECCIONADA EM TUBO DE PVC ATÓXICO, FLEXÍVEL E TRANSPARENTE, COM PONTA DISTAL ATRAUMÁTICA E ORIFÍCIOS LATERAIS PARA DRENAGEM E/OU ASPIRAÇÃO DE CONTEÚDO GÁSTRICO. ESTÉRIL, DE USO ÚNICO, ACONDICIONADA INDIVIDUALMEN</t>
  </si>
  <si>
    <t>SONDA NASOGÁSTRICA Nº 08, LONGA, DESCARTÁVEL, CONFECCIONADA EM TUBO DE PVC ATÓXICO, FLEXÍVEL E TRANSPARENTE, COM PONTA DISTAL ATRAUMÁTICA E ORIFÍCIOS LATERAIS PARA DRENAGEM E/OU ASPIRAÇÃO DE CONTEÚDO GÁSTRICO. ESTÉRIL, DE USO ÚNICO, ACONDICIONADA INDIVIDUALMEN</t>
  </si>
  <si>
    <t>SONDA NASOGÁSTRICA Nº 10, LONGA, DESCARTÁVEL, CONFECCIONADA EM TUBO DE PVC ATÓXICO, FLEXÍVEL E TRANSPARENTE, COM PONTA DISTAL ATRAUMÁTICA E ORIFÍCIOS LATERAIS PARA DRENAGEM E/OU ASPIRAÇÃO DE CONTEÚDO GÁSTRICO. ESTÉRIL, DE USO ÚNICO, ACONDICIONADA INDIVIDUALMEN</t>
  </si>
  <si>
    <t>SONDA NASOGÁSTRICA Nº 12, LONGA, DESCARTÁVEL, CONFECCIONADA EM TUBO DE PVC ATÓXICO, FLEXÍVEL E TRANSPARENTE, COM PONTA DISTAL ATRAUMÁTICA E ORIFÍCIOS LATERAIS PARA DRENAGEM E/OU ASPIRAÇÃO DE CONTEÚDO GÁSTRICO. ESTÉRIL, DE USO ÚNICO, ACONDICIONADA INDIVIDUALMEN</t>
  </si>
  <si>
    <t>SONDA NASOGÁSTRICA Nº 14, LONGA, DESCARTÁVEL, CONFECCIONADA EM TUBO DE PVC ATÓXICO, FLEXÍVEL E TRANSPARENTE, COM PONTA DISTAL ATRAUMÁTICA E ORIFÍCIOS LATERAIS PARA DRENAGEM E/OU ASPIRAÇÃO DE CONTEÚDO GÁSTRICO. ESTÉRIL, DE USO ÚNICO, ACONDICIONADA INDIVIDUALMEN</t>
  </si>
  <si>
    <t>SONDA NASOGÁSTRICA Nº 16, LONGA, DESCARTÁVEL, CONFECCIONADA EM TUBO DE PVC ATÓXICO, FLEXÍVEL E TRANSPARENTE, COM PONTA DISTAL ATRAUMÁTICA E ORIFÍCIOS LATERAIS PARA DRENAGEM E/OU ASPIRAÇÃO DE CONTEÚDO GÁSTRICO. ESTÉRIL, DE USO ÚNICO, ACONDICIONADA INDIVIDUALMEN</t>
  </si>
  <si>
    <t>SONDA NASOGÁSTRICA Nº 18, LONGA, DESCARTÁVEL, CONFECCIONADA EM TUBO DE PVC ATÓXICO, FLEXÍVEL E TRANSPARENTE, COM PONTA DISTAL ATRAUMÁTICA E ORIFÍCIOS LATERAIS PARA DRENAGEM E/OU ASPIRAÇÃO DE CONTEÚDO GÁSTRICO. ESTÉRIL, DE USO ÚNICO, ACONDICIONADA INDIVIDUALMEN</t>
  </si>
  <si>
    <t>SONDA NASOGÁSTRICA Nº 20, LONGA, DESCARTÁVEL, CONFECCIONADA EM TUBO DE PVC ATÓXICO, FLEXÍVEL E TRANSPARENTE, COM PONTA DISTAL ATRAUMÁTICA E ORIFÍCIOS LATERAIS PARA DRENAGEM E/OU ASPIRAÇÃO DE CONTEÚDO GÁSTRICO. ESTÉRIL, DE USO ÚNICO, ACONDICIONADA INDIVIDUALMEN</t>
  </si>
  <si>
    <t xml:space="preserve">SONDA URETRAL DE ALÍVIO (NELATON) Nº 20, PARA CATETERISMO URETRAL INTERMITENTE, CONFECCIONADA EM MATERIAL ATÓXICO, FLEXÍVEL E BIOCOMPATÍVEL, COM PONTA DISTAL ARREDONDADA E ATRAUMÁTICA, COM ORIFÍCIO(S) LATERAL(IS) PARA DRENAGEM URINÁRIA. DE USO ÚNICO, ESTÉRIL, </t>
  </si>
  <si>
    <t xml:space="preserve">SONDA URETRAL DE ALÍVIO (NELATON) Nº 22, PARA CATETERISMO URETRAL INTERMITENTE, CONFECCIONADA EM MATERIAL ATÓXICO, FLEXÍVEL E BIOCOMPATÍVEL, COM PONTA DISTAL ARREDONDADA E ATRAUMÁTICA, COM ORIFÍCIO(S) LATERAL(IS) PARA DRENAGEM URINÁRIA. DE USO ÚNICO, ESTÉRIL, </t>
  </si>
  <si>
    <t xml:space="preserve">SONDA URETRAL DE ALÍVIO (NELATON) Nº 24, PARA CATETERISMO URETRAL INTERMITENTE, CONFECCIONADA EM MATERIAL ATÓXICO, FLEXÍVEL E BIOCOMPATÍVEL, COM PONTA DISTAL ARREDONDADA E ATRAUMÁTICA, COM ORIFÍCIO(S) LATERAL(IS) PARA DRENAGEM URINÁRIA. DE USO ÚNICO, ESTÉRIL, </t>
  </si>
  <si>
    <t>SONDA URETRAL Nº 06, DESCARTÁVEL, CONFECCIONADA EM TUBO DE PVC ATÓXICO, FLEXÍVEL E TRANSPARENTE, COM PONTA DISTAL FECHADA E ATRAUMÁTICA, 01 (UM) ORIFÍCIO LATERAL PARA DRENAGEM, CONECTOR COM TAMPA DE PROTEÇÃO E COMPRIMENTO DE APROXIMADAMENTE 40 CM. ESTÉRIL, EST</t>
  </si>
  <si>
    <t>SONDA URETRAL Nº 08, DESCARTÁVEL, CONFECCIONADA EM TUBO DE PVC ATÓXICO, FLEXÍVEL E TRANSPARENTE, COM PONTA DISTAL FECHADA E ATRAUMÁTICA, 01 (UM) ORIFÍCIO LATERAL PARA DRENAGEM, CONECTOR COM TAMPA DE PROTEÇÃO E COMPRIMENTO DE APROXIMADAMENTE 40 CM. ESTÉRIL, EST</t>
  </si>
  <si>
    <t>SONDA URETRAL Nº 10, DESCARTÁVEL, CONFECCIONADA EM TUBO DE PVC ATÓXICO, FLEXÍVEL E TRANSPARENTE, COM PONTA DISTAL FECHADA E ATRAUMÁTICA, 01 (UM) ORIFÍCIO LATERAL PARA DRENAGEM, CONECTOR COM TAMPA DE PROTEÇÃO E COMPRIMENTO DE APROXIMADAMENTE 40 CM. ESTÉRIL, EST</t>
  </si>
  <si>
    <t>SONDA URETRAL Nº 12, DESCARTÁVEL, CONFECCIONADA EM TUBO DE PVC ATÓXICO, FLEXÍVEL E TRANSPARENTE, COM PONTA DISTAL FECHADA E ATRAUMÁTICA, 01 (UM) ORIFÍCIO LATERAL PARA DRENAGEM, CONECTOR COM TAMPA DE PROTEÇÃO E COMPRIMENTO DE APROXIMADAMENTE 40 CM. ESTÉRIL, EST</t>
  </si>
  <si>
    <t>SONDA URETRAL Nº 14, DESCARTÁVEL, CONFECCIONADA EM TUBO DE PVC ATÓXICO, FLEXÍVEL E TRANSPARENTE, COM PONTA DISTAL FECHADA E ATRAUMÁTICA, 01 (UM) ORIFÍCIO LATERAL PARA DRENAGEM, CONECTOR COM TAMPA DE PROTEÇÃO E COMPRIMENTO DE APROXIMADAMENTE 40 CM. ESTÉRIL, EST</t>
  </si>
  <si>
    <t>SONDA URETRAL Nº 16, DESCARTÁVEL, CONFECCIONADA EM TUBO DE PVC ATÓXICO, FLEXÍVEL E TRANSPARENTE, COM PONTA DISTAL FECHADA E ATRAUMÁTICA, 01 (UM) ORIFÍCIO LATERAL PARA DRENAGEM, CONECTOR COM TAMPA DE PROTEÇÃO E COMPRIMENTO DE APROXIMADAMENTE 40 CM. ESTÉRIL, EST</t>
  </si>
  <si>
    <t>SONDA URETRAL Nº 18, DESCARTÁVEL, CONFECCIONADA EM TUBO DE PVC ATÓXICO, FLEXÍVEL E TRANSPARENTE, COM PONTA DISTAL FECHADA E ATRAUMÁTICA, 01 (UM) ORIFÍCIO LATERAL PARA DRENAGEM, CONECTOR COM TAMPA DE PROTEÇÃO E COMPRIMENTO DE APROXIMADAMENTE 40 CM. ESTÉRIL, EST</t>
  </si>
  <si>
    <t>TESTE BOWIE &amp; DICK PARA MONITORAMENTO DE AUTOCLAVES A VAPOR COM PRÉ-VÁCUO, DESTINADO À AVALIAÇÃO DA EFICIÊNCIA DA REMOÇÃO DE AR E DA PENETRAÇÃO DO VAPOR DURANTE O CICLO DE ESTERILIZAÇÃO. COM INDICADOR QUÍMICO CLASSE 2, CONFORME ISO 11140-1 E REQUISITOS APLICÁV</t>
  </si>
  <si>
    <t>TOUCA DESCARTÁVEL EM TNT (NÃO TECIDO) DE POLIPROPILENO HIDROFÍLICO, NA COR BRANCA, COM ELÁSTICO EM TODA A EXTENSÃO DA BORDA, PROPORCIONANDO AJUSTE ADEQUADO E COBERTURA COMPLETA DOS CABELOS. DE USO ÚNICO, LEVE E RESPIRÁVEL. PACOTE CONTENDO 100 (CEM) UNIDADES, C</t>
  </si>
  <si>
    <t>TUBO PARA COLETA DE SANGUE A VÁCUO, COM EDTA K2 OU K3 E GEL SEPARADOR, CAPACIDADE DE 6 ML, CONFECCIONADO EM PLÁSTICO RESISTENTE, COM TAMPA ADEQUADA PARA VEDAÇÃO E IDENTIFICAÇÃO DO ADITIVO, DESTINADO À COLETA E PROCESSAMENTO DE AMOSTRAS SANGUÍNEAS. USO ÚNICO.</t>
  </si>
  <si>
    <t>TUBO PARA COLETA DE SANGUE A VÁCUO, COM EDTA K2 OU K3, TAMPA ROXA, CAPACIDADE DE 6 ML, CONFECCIONADO EM PLÁSTICO RESISTENTE, DESTINADO À COLETA DE SANGUE PARA ANÁLISES HEMATOLÓGICAS. USO ÚNICO</t>
  </si>
  <si>
    <t>TUBO PARA COLETA DE SANGUE A VÁCUO, COM EDTA K2, TAMPA ROXA, CAPACIDADE DE 4 ML, CONFECCIONADO EM PLÁSTICO RESISTENTE, COM VEDAÇÃO ADEQUADA, DESTINADO À COLETA DE AMOSTRAS PARA ANÁLISES HEMATOLÓGICAS. USO ÚNICO.</t>
  </si>
  <si>
    <t>TUBO PARA COLETA DE SANGUE A VÁCUO, COM GEL SEPARADOR E EDTA K2 OU K3, CAPACIDADE DE 5 ML, CONFECCIONADO EM PLÁSTICO RESISTENTE, COM TAMPA DE VEDAÇÃO ADEQUADA, NA COR BRANCA, DESTINADO À COLETA E PROCESSAMENTO DE AMOSTRAS SANGUÍNEAS. USO ÚNICO.</t>
  </si>
  <si>
    <t>TUBO PARA COLETA DE SANGUE A VÁCUO, COM GEL SEPARADOR, CAPACIDADE DE 5 ML, CONFECCIONADO EM PLÁSTICO RESISTENTE, COM TAMPA NA COR AMARELA E VEDAÇÃO ADEQUADA. USO ÚNICO.</t>
  </si>
  <si>
    <t>TUBO PARA COLETA DE SANGUE A VÁCUO, COM GEL SEPARADOR, CAPACIDADE DE 10 ML, CONFECCIONADO EM PLÁSTICO RESISTENTE, COM TAMPA DE VEDAÇÃO ADEQUADA. USO ÚNICO.</t>
  </si>
  <si>
    <t>TUBO PARA COLETA DE SANGUE A VÁCUO, COM GEL SEPARADOR, TAMPA AMARELA/OURO, CAPACIDADE DE 5 ML, CONFECCIONADO EM PLÁSTICO RESISTENTE, COM VEDAÇÃO ADEQUADA, DESTINADO À COLETA E SEPARAÇÃO DE AMOSTRAS DE SORO. USO ÚNICO.</t>
  </si>
  <si>
    <t>TUBO PARA COLETA DE SANGUE A VÁCUO, COM K3EDTA E GEL SEPARADOR, TAMPA ROXA, CAPACIDADE DE 5 ML, CONFECCIONADO EM PLÁSTICO RESISTENTE, COM VEDAÇÃO ADEQUADA, DESTINADO À COLETA E PROCESSAMENTO DE AMOSTRAS SANGUÍNEAS. USO ÚNICO.</t>
  </si>
  <si>
    <t>TUBO PARA COLETA DE SANGUE A VÁCUO, SEM ADITIVO (TUBO SECO), TAMPA VERMELHA, CAPACIDADE DE 6 ML, CONFECCIONADO EM PLÁSTICO RESISTENTE, COM VEDAÇÃO ADEQUADA, DESTINADO À COLETA DE SANGUE PARA OBTENÇÃO DE SORO. USO ÚNICO.</t>
  </si>
  <si>
    <t>ÓCULOS DE PROTEÇÃO PARA USO HOSPITALAR. FABRICADO EM PLÁSTICO INCOLOR, COM HASTES FLEXÍVEIS, REGULÁVEIS E PROTETOR LATERAL. EMBALAGEM CONTENDO DADOS DE IDENTIFICAÇÃO, PROCEDÊNCIA E LOTE.</t>
  </si>
  <si>
    <t>UMIDIFICADOR PARA OXIGÊNIO, CAPACIDADE DE 250 ML, CONFECCIONADO EM MATERIAL PLÁSTICO ATÓXICO, RESISTENTE E TRANSPARENTE, TIPO COPO, COM TAMPA DE ROSCA, INDICAÇÃO DE NÍVEIS MÍNIMO E MÁXIMO, CONEXÃO DE ENTRADA COMPATÍVEL COM SISTEMA DE OXIGENOTERAPIA E SAÍDA PAR</t>
  </si>
  <si>
    <t>BOLSA COLETORA DE URINA DE PERNA, CAPACIDADE DE 750 ML, SISTEMA FECHADO, COM VÁLVULA ANTIRREFLUXO, TUBO EXTENSOR DE 50 CM E TIRAS ELÁSTICAS REGULÁVEIS PARA FIXAÇÃO À PERNA. DEVE POSSUIR DISPOSITIVO DE DRENAGEM.</t>
  </si>
  <si>
    <t>Campo Cirúrgico Incisional Adesivo Campo Cirúrgico Incisional Adesivo, Material:Filme À Base De Polímero, Dimensões:Cerca De 50 X 60 CM, Esterilidade:Estéril, Descartável, Embalagem:Embalagem Individual Vide Especificação Completa no Edital</t>
  </si>
  <si>
    <t>Campo Cirúrgico Descartável Campo Cirúrgico Descartável, Modelo:Hemodinâmica, Fenestrado, Material:Não Tecido Polipropileno Sms C/ Lâmina Polietileno, Propriedade:Hidrorepelente E Impermeável, Reforço:C/ Reforço Absorvente, Fixação:Adesiva, Adicional:Borda Tra</t>
  </si>
  <si>
    <t>Campo Cirúrgico Descartável Campo Cirúrgico Descartável, Material:Não Tecido Polipropileno Sms C/ Lâmina Polietileno, Propriedade:Hidrorepelente E Impermeável, Reforço:S/ Reforço, Fixação:Adesiva, Dimensões:Cerca De 100 X 150 CM, Cor:C/ Cor, Esterilidade:Estér</t>
  </si>
  <si>
    <t>Lâmina Bisturi Lâmina Bisturi, Material:Aço Carbono, Tamanho:Nº 10, Tipo:Descartável, Esterilidade:Estéril, Características Adicionais:Embalada Individualmente Vide Especificação Completa no Edital</t>
  </si>
  <si>
    <t>Lâmina Bisturi Lâmina Bisturi, Material:Aço Carbono, Tamanho:Nº 11, Tipo:Descartável, Esterilidade:Estéril, Características Adicionais:Embalada Individualmente Vide Especificação Completa no Edital</t>
  </si>
  <si>
    <t>Lâmina Bisturi Lâmina Bisturi, Material:Aço Carbono, Tamanho:Nº 12, Tipo:Descartável, Esterilidade:Estéril, Características Adicionais:Embalada Individualmente Vide Especificação Completa no Edital</t>
  </si>
  <si>
    <t>Lâmina Bisturi Lâmina Bisturi, Material:Aço Carbono, Tamanho:Nº 15, Tipo:Descartável, Esterilidade:Estéril, Características Adicionais:Embalada Individualmente Vide Especificação Completa no Edital</t>
  </si>
  <si>
    <t>Lâmina Bisturi Lâmina Bisturi, Material:Aço Carbono, Tamanho:Nº 20, Tipo:Descartável, Esterilidade:Estéril, Características Adicionais:Embalada Individualmente Vide Especificação Completa no Edital</t>
  </si>
  <si>
    <t>Lâmina Bisturi Lâmina Bisturi, Material:Aço Carbono, Tamanho:Nº 23, Tipo:Descartável, Esterilidade:Estéril, Características Adicionais:Embalada Individualmente Vide Especificação Completa no Edital</t>
  </si>
  <si>
    <t>Placa Eletrocirúrgica Placa Eletrocirúrgica, Materia Prima:Espuma, Tipo:Adesiva, Impermeável, Modelo:Inteira, Componente:C/ Gel Condutor, Tamanho Placa:Adulto, Componente Adicional:Cabo C/ Conector Cerca 3 M, Compatível:Compatível C/ Bisturi, Tipo Uso 1:Descar</t>
  </si>
  <si>
    <t>Placa Eletrocirúrgica Placa Eletrocirúrgica, Materia Prima:Espuma, Tipo:Adesiva, Impermeável, Modelo:Inteira, Componente:C/ Gel Condutor, Tamanho Placa:Neonatal, Componente Adicional:Cabo C/ Conector Cerca 3 M, Compatível:Compatível C/ Bisturi, Tipo Uso 1:Desc</t>
  </si>
  <si>
    <t>Placa Eletrocirúrgica Placa Eletrocirúrgica, Materia Prima:Espuma, Tipo:Adesiva, Impermeável, Modelo:Inteira, Componente:C/ Gel Condutor, Tamanho Placa:Tamanho Universal, Componente Adicional:Cabo C/ Conector Cerca 3 M, Compatível:Compatível C/ Bisturi, Tipo U</t>
  </si>
  <si>
    <t>Fita Adesiva - Uso Cutâneo apresentação: em tiras, cor: transparente, dimensão da tira: cerca de 3,0 x 50 cm, esterilidade: não estéril, material dorso: silicone, tipo: placa de gel p/ cicatriz ESPARADRAPO, 5CM X 4,5M</t>
  </si>
  <si>
    <t>SONDA URETRAL Nº6, DESCARTÁVEL, TUBO DE PVC, ATÓXICO, FLEXÍVEL E TRANSLÚCIDO, COM 1 FURO LATERAL E CONECTOR PADRÃO COM TAMPA, TUBO LISO SEM REBARBAS. COMPRIMENTO DE 40 A 45 CM. ESTERILIZADA POR RADIAÇÃO IONIZANTE. EMBALAGEM UNITÁRIA CONTENDO DADOS DE IDENTIFIC</t>
  </si>
  <si>
    <t>SONDA URETRAL Nº08, DESCARTÁVEL, TUBO DE PVC, ATÓXICO, FLEXÍVEL E TRANSLÚCIDO, COM 1 FURO LATERAL E CONECTOR PADRÃO COM TAMPA, TUBO LISO SEM REBARBAS. COMPRIMENTO DE 40 A 45 CM. ESTERILIZADA POR RADIAÇÃO IONIZANTE. EMBALAGEM UNITÁRIA CONTENDO DADOS DE IDENTIFI</t>
  </si>
  <si>
    <t>SONDA URETRAL Nº10, DESCARTÁVEL, TUBO DE PVC, ATÓXICO, FLEXÍVEL E TRANSLÚCIDO, COM 1 FURO LATERAL E CONECTOR PADRÃO COM TAMPA, TUBO LISO SEM REBARBAS. COMPRIMENTO DE 40 A 45 CM. ESTERILIZADA POR RADIAÇÃO IONIZANTE. EMBALAGEM UNITÁRIA CONTENDO DADOS DE IDENTIFI</t>
  </si>
  <si>
    <t>SONDA URETRAL Nº12, DESCARTÁVEL, TUBO DE PVC, ATÓXICO, FLEXÍVEL E TRANSLÚCIDO, COM 1 FURO LATERAL E CONECTOR PADRÃO COM TAMPA, TUBO LISO SEM REBARBAS. COMPRIMENTO DE 40 A 45 CM. ESTERILIZADA POR RADIAÇÃO IONIZANTE. EMBALAGEM UNITÁRIA CONTENDO DADOS DE IDENTIFI</t>
  </si>
  <si>
    <t>SONDA URETRAL Nº14, DESCARTÁVEL, TUBO DE PVC, ATÓXICO, FLEXÍVEL E TRANSLÚCIDO, COM 1 FURO LATERAL E CONECTOR PADRÃO COM TAMPA, TUBO LISO SEM REBARBAS. COMPRIMENTO DE 40 A 45 CM. ESTERILIZADA POR RADIAÇÃO IONIZANTE. EMBALAGEM UNITÁRIA CONTENDO DADOS DE IDENTIFI</t>
  </si>
  <si>
    <t>Avental Avental, Modelo:Longo, Tipo:Impermeável, Cor:Branca, Características Adicionais:Descartável/Manga Longa/Punhos Elásticos/Abertura, Aplicação:Proteção Individual Vide Especificação Completa no Edital</t>
  </si>
  <si>
    <t>CURATIVO HIDROCOLÓIDE EM PLACA REGULAR. TAMANHO 10CM X 10CM. CAIXA CONTENDO 10 CURATIVOS. CURATIVO HIDROCOLÓIDE EM PLACA REGULAR. TAMANHO 10CM X 10CM. CARACTERÍSTICAS TÉCNICAS 2.1. TIPO DE PRODUTO: CURATIVO HIDROCOLOIDE EM PLACA REGULAR. 2.2. COMPOSIÇÃO: PARTÍ</t>
  </si>
  <si>
    <t>Avental impermeavel de protecao de PVC com forro em Poliester COR BRANCO 120 X 65 cm.</t>
  </si>
  <si>
    <t>Avental impermeavel de protecao de PVC com forro em Poliester COR BRANCO 110 X 60 cm.</t>
  </si>
  <si>
    <t>Avental impermeavel de protecao de PVC com forro em Poliester COR PRETO 120 X 65 cm.</t>
  </si>
  <si>
    <t>Mascara de procedimento cirurgico Tripla Descartavel Com Filtro (BFE) Branca, com C.A. aprovado para agentes biologicos;Caixa com 50</t>
  </si>
  <si>
    <t>Agulha Hipodérmica material: aço inoxidável siliconizado, dimensão: 25 g x 1", tipo ponta: bisel curto trifacetado, tipo conexão: conector luer lock ou slip em plástico, tipo fixação: protetor plástico, tipo uso: estéril, descartável, embalagem individual</t>
  </si>
  <si>
    <t>Cateter Nasal Para Oxigênio modelo: tipo óculos, aplicação: p/ oxigenoterapia, material: tubo e pronga de silicone, conector: compatível c/ fonte o2, tamanho: adulto, comprimento: cerca de 1,5 m, esterilidade: estéril, uso único</t>
  </si>
  <si>
    <t>Equipo De Infusão Venosa Gravitacional material: sem pvc e dehp, âmbar, p/ solução fotossensível, câmara gotejamento: macrogotas, flexível, c/ respiro e filtro, regulador de fluxo manual: pinça rolete, comprimento tubo: até 180 cm, tipo injetor lateral: c/ 1 i</t>
  </si>
  <si>
    <t>Equipo De Infusão Venosa Gravitacional material: sem pvc e dehp, transparente, câmara gotejamento: microgotas, flexível, c/ respiro e filtro, regulador de fluxo manual: pinça rolete, comprimento tubo: até 180 cm, tipo injetor lateral: c/ 1 injetor, uso s/ agul</t>
  </si>
  <si>
    <t>Fita Adesiva - Uso Cutâneo tipo: microporosa, material dorso: à base de tecido não tecido, tipo de adesivo: sintético, hipoalergênico, largura da fita: cerca de 10 mm, cor: c/ cor, apresentação: rolo c/ capa protetora, esterilidade: não estéril</t>
  </si>
  <si>
    <t>Indicador Biológico P/ Processamento De Produtos De Saúde tipo: terceira geração, apresentação: autocontido, ampola com meio de cultura, espécie: bacillus stearothermophilus, aplicação: esterilização por formaldeído</t>
  </si>
  <si>
    <t>Transdutor Uso Médico compatível: p/ monitor multiparâmetro, aplicação: de pressão arterial invasiva, componente 1: s/ dispositivo de fluxo, esterilidade: estéril, descartável</t>
  </si>
  <si>
    <t>Luva Cirúrgica material: borracha natural - látex, superfície: superfície texturizada, formato: anatômico, pó: com pó bioabsorvível, cor: c/ cor, tamanho: nº 7,5, apresentação: em par, esterilidade: estéril, uso único, embalagem: embalagem individual</t>
  </si>
  <si>
    <t>Luva P/ Procedimento De Saúde Não Cirúrgico C/ Anvisa material: borracha natural - látex, superfície: superfície texturizada, formato: ambidestra, pó: com pó bioabsorvível, cor: c/ cor, tamanho: extra pequeno - pp, esterilidade: não estéril, uso único</t>
  </si>
  <si>
    <t>Cateter Aspiração Traqueal material: pvc atóxico flexível, tipo lubrificação: siliconizada, espessura: nº 14, acessórios: com válvula intermitente, características adicionais: ponta atraumática, orifícios distais lateralizados, tipo embalagem: estéril, embalag</t>
  </si>
  <si>
    <t>Avental Cirúrgico - Paramentação esterilidade: esterilizável, gramatura: mínimo de 260, material: 100% algodão, modelo manga: longa c/ punho em malha, tamanho: grande (g), tipo fechamento: posterior p/ pescoço e cintura 47537 - AVENTAL ESTÉRIL PARA USO EM PROC</t>
  </si>
  <si>
    <t>Avental Cirúrgico - Paramentação esterilidade: esterilizável, gramatura: mínimo de 260, material: 100% algodão, modelo manga: longa c/ punho em malha, tamanho: médio (m), tipo fechamento: posterior p/ pescoço e cintura 47537 - AVENTAL ESTÉRIL PARA USO EM PROCE</t>
  </si>
  <si>
    <t>Avental Cirúrgico - Paramentação esterilidade: esterilizável, gramatura: mínimo de 260, material: 100% algodão, modelo manga: longa c/ punho em malha, tamanho: médio (m), tipo fechamento: posterior p/ pescoço e cintura 47673 - AVENTAL DE PROCEDIMENTO DESCARTÁV</t>
  </si>
  <si>
    <t>Avental Cirúrgico - Paramentação esterilidade: esterilizável, gramatura: mínimo de 260, material: 100% algodão, modelo manga: longa c/ punho em malha, tamanho: pequeno (p), tipo fechamento: posterior p/ pescoço e cintura 29855 - AVENTAL DE PROCEDIMENTO IMPERME</t>
  </si>
  <si>
    <t>Avental Cirúrgico - Paramentação esterilidade: esterilizável, gramatura: mínimo de 200, material: 100% algodão, modelo manga: longa c/ punho em malha, tamanho: extra grande (xg), tipo fechamento: posterior p/ pescoço e cintura 29856 - AVENTAL DESCARTÁVEL SEM M</t>
  </si>
  <si>
    <t>Campo Cirúrgico Descartável cor: c/ cor, dimensões: cerca de 150 x 200, esterilidade: estéril, fixação: adesiva, material: não tecido polipropileno sms c/ lâmina polietileno, modelo: fenestra em "u", propriedade: hidrorepelente e impermeável, reforço: s/ refor</t>
  </si>
  <si>
    <t>Campo Cirúrgico Descartável cor: c/ cor, dimensões: cerca de 80 x 125, esterilidade: estéril, fixação: adesiva, material: não tecido 100% polipropileno - tipo sms, modelo: perneira, propriedade: hidrorepelente, reforço: s/ reforço 910838 - CAMPO OFTÁLMICO TAMA</t>
  </si>
  <si>
    <t>Campo Cirúrgico Descartável cor: c/ cor, dimensões: cerca de 80 x 125, esterilidade: estéril, fixação: adesiva, material: não tecido 100% polipropileno - tipo sms, modelo: perneira, propriedade: hidrorepelente, reforço: s/ reforço 29857 - CAMPO ESTÉRIL NÃO FEN</t>
  </si>
  <si>
    <t>Fita Adesiva - Uso Cutâneo apresentação: em tiras, cor: transparente, dimensão da tira: cerca de 3,0 x 50 cm, esterilidade: não estéril, material dorso: silicone, tipo: placa de gel p/ cicatriz 916960 - ESPARADRAPO 10 CM X 4,5 M FITA ADESIVA, IMPERMEÁVEL, DE C</t>
  </si>
  <si>
    <t>Fita Adesiva - Uso Cutâneo apresentação: em tiras, cor: transparente, dimensão da tira: cerca de 3,0 x 50 cm, esterilidade: não estéril, material dorso: silicone, tipo: placa de gel p/ cicatriz 917189 - FITA MICROPOROSA HIPOALERGÊNICA 2,5 CM X 10 M FITA ADESIV</t>
  </si>
  <si>
    <t>Fita Adesiva - Uso Cutâneo apresentação: em tiras, cor: transparente, dimensão da tira: cerca de 3,0 x 50 cm, esterilidade: não estéril, material dorso: silicone, tipo: placa de gel p/ cicatriz 917016 - FITA MICROPOROSA HIPOALERGÊNICA 5,0 C M X 10 M FITA ADESI</t>
  </si>
  <si>
    <t>Lençol Descartável Uso Hospitalar apresentação 1: c/ elástico, dimensoes: cerca de 180 x 220 cm, gramatura 1: cerca de 30, materia prima: 100% polipropileno, não tecido tnt 917116 - LENÇOL DE TNT DESCARTÁVEL COM ELÁSTICO COR BRANCO CONFECCIONADO EM TNT, 100% P</t>
  </si>
  <si>
    <t>Fita Adesiva material: papel crepado, tipo: fita adesiva autoclave, largura: 19, comprimento: 30, aplicação: esterilização, características adicionais: com camada impermeabilizante de resina acrílica Fita adesiva para autoclave, utilizada como indicador de pro</t>
  </si>
  <si>
    <t>Lanceta material lâmina: aço inoxidável,ponta afiada,trifacetada, uso: descartável, características adicionais: estéril, embalagem individual, tipo: com sistema retrátil Lanceta retrátil para coleta de sangue capilar. Agulha de 21G x 1,8 mm. Confeccionada em p</t>
  </si>
  <si>
    <t>Lençol Borracha material: natural, largura: 1, espessura: 2,50, cor: preta LENÇOL DE BORRACHA (MANTA) LISA 1000X3MM, PARA REVESTIMENTO DE MOBILIÁRIO/ BANCADA. CARACTERÍSTICAS MÍNIMAS: LENÇOL/ MANTA EM BORRACHA NATURAL, PERFIL SBR; TOTALMENTE LISA; DEMAIS ESPEC</t>
  </si>
  <si>
    <t>Agulha para sutura odontológica com fio de seda.</t>
  </si>
  <si>
    <t>Envelope auto selante para esterilização, de papel grau cirúrgico e filme (poliéster/polipropileno), descartável</t>
  </si>
  <si>
    <t>Luva de látex para procedimentos, caixa 100 unidades, tamanho P</t>
  </si>
  <si>
    <t>Luva de látex para procedimentos, caixa 100 unidades, tamanho M</t>
  </si>
  <si>
    <t>Moldeiras infantis</t>
  </si>
  <si>
    <t>Lençol de borracha para isolamento absoluto 15x15cm</t>
  </si>
  <si>
    <t>Seringas para irrigação 10ml</t>
  </si>
  <si>
    <t>LUVA PARA PROCEDIMENTO - LUVA DE PALPAÇÃO EM LÁTEX COM 5 DEDOS, USO VETERINÁRIO PARA UTILIZAÇÃO OBSTÉTRICA E NECROPSIAS EM GRANDE ANIMAIS. COM APROXIMADAMENTE 80CM.,TIPO AMBIDESTRA, LUVA DE PALPAÇÃO EM LÁTEX COM 5 DEDOS,SEM PÓ,TAMANHO MÉDIO,DESCRITIVOS DO TERM</t>
  </si>
  <si>
    <t>Seringa de insulina em polipropileno transparente capacidade 1. Especificação: Seringa de insulina em polipropileno transparente capacidade 1 mL = agulha de 13 mm x 4,5 mm bisel trifacetado, graduada em unidades internacionais (UI) para administração de insuli</t>
  </si>
  <si>
    <t>CONJUNTO DE INFUSÃO DE INSULINA SUBCUTÂNEA QUICK-SET 9MM X 60CM</t>
  </si>
  <si>
    <t>CURATIVO DE ALGINATO DE CALCIO - COM PRATA,COMPOSTO DE ALGINATO DE CALCIO,CARBOXIMETILCELULOSE E FIBRAS DE NYLON REVESTIDAS DE PRATA,TAMANHO (10 X 10)CM</t>
  </si>
  <si>
    <t>ASPIRADOR CIRÚRGICO A VÁCUO:</t>
  </si>
  <si>
    <t>LANCETAS PARA LANCETADOR</t>
  </si>
  <si>
    <t>GARROTE ELÁSTICO TIPO FITA PARA PUNÇÃO VENOSA, LIVRE DE LÁTEX</t>
  </si>
  <si>
    <t>SERINGA DESCARTÁVEL 1 ML S/ AGULHA</t>
  </si>
  <si>
    <t>SERINGA DESCARTAVEL 20ML S/ AGULHA - BICO LUER LOCK</t>
  </si>
  <si>
    <t>SERINGA DESCARTAVEL 20ML S/ AGULHA - BICO LUER SLIP</t>
  </si>
  <si>
    <t>SERINGA DESCARTÁVEL 5ML S/ AGULHA</t>
  </si>
  <si>
    <t>CATETER INTRAVENOSO N° 24, COM DISPOSITIVO DE SEGURANÇA</t>
  </si>
  <si>
    <t>EQUIPO FOTOSSENSÍVEL MACROGOTAS</t>
  </si>
  <si>
    <t>EQUIPO PARA DIETA ENTERAL</t>
  </si>
  <si>
    <t>CURATIVO HIDROCOLÓIDE</t>
  </si>
  <si>
    <t>ESPARADRAPO IMPERMEÁVEL 5CMX4,5M</t>
  </si>
  <si>
    <t>CAMPO CIRURGICO FENESTRADO</t>
  </si>
  <si>
    <t>LAMINA DE BISTURI ESTERIL Nº 15</t>
  </si>
  <si>
    <t>LAMINA DE BISTURI ESTÉRIL Nº 22</t>
  </si>
  <si>
    <t>ATADURA CREPE 6 CM X 1,80 M</t>
  </si>
  <si>
    <t>ATADURA CREPE 10 CM X 1,80 M</t>
  </si>
  <si>
    <t>ATADURA CREPE 8 CM X 1,80 M</t>
  </si>
  <si>
    <t>FITA CIRÚRGICA TRANSPARENTE DE POLIETILENO (TIPO TRANSPORE® OU EQUIVALENTE)</t>
  </si>
  <si>
    <t>FITA MICROPOROSA 25MMX10M</t>
  </si>
  <si>
    <t>FITA MICROPOROSA 50MM X10M</t>
  </si>
  <si>
    <t>MASCARA LARINGEA DESCARTÁVEL Nº 1</t>
  </si>
  <si>
    <t>MASCARA LARINGEA DESCARTÁVEL Nº 2</t>
  </si>
  <si>
    <t>MASCARA LARÍNGEA DESCARTÁVEL Nº3</t>
  </si>
  <si>
    <t>MASCARA LARÍNGEA DESCARTÁVEL Nº4</t>
  </si>
  <si>
    <t>MASCARA LARÍNGEA DESCARTÁVEL Nº5</t>
  </si>
  <si>
    <t>EXTENSÃO DE SILICONE PARA UMIDIFICADOR DE OXIGÊNIO</t>
  </si>
  <si>
    <t>KIT UMIDIFICADOR PARA OXIGENOTERAPIA COM EXTENSÃO (TRAQUEIA)</t>
  </si>
  <si>
    <t>UMIDIFICADOR PARA OXIGÊNIO 250ML</t>
  </si>
  <si>
    <t>SONDA NASOENTERAL COM GUIA Nº 12</t>
  </si>
  <si>
    <t>SONDA NASOGASTRICA CURTA Nº 10</t>
  </si>
  <si>
    <t>SONDA NASOGASTRICA CURTA Nº 12</t>
  </si>
  <si>
    <t>SONDA NASOGASTRICA CURTA Nº 14</t>
  </si>
  <si>
    <t>SONDA NASOGASTRICA CURTA Nº 16</t>
  </si>
  <si>
    <t>SONDA NASOGASTRICA CURTA Nº 18</t>
  </si>
  <si>
    <t>SONDA NASOGASTRICA CURTA Nº 20</t>
  </si>
  <si>
    <t>SONDA NASOGASTRICA CURTA Nº 22</t>
  </si>
  <si>
    <t>SONDA NASOGASTRICA CURTA Nº 4</t>
  </si>
  <si>
    <t>SONDA NASOGASTRICA CURTA Nº 6</t>
  </si>
  <si>
    <t>SONDA NASOGASTRICA CURTA Nº 8</t>
  </si>
  <si>
    <t>SONDA NASOGASTRICA LONGA N 12</t>
  </si>
  <si>
    <t>SONDA NASOGASTRICA LONGA N 14</t>
  </si>
  <si>
    <t>SONDA NASOGASTRICA LONGA N 16</t>
  </si>
  <si>
    <t>SONDA NASOGASTRICA LONGA N 18</t>
  </si>
  <si>
    <t>SONDA NASOGASTRICA LONGA N 20</t>
  </si>
  <si>
    <t>SONDA NASOGASTRICA LONGA Nº 10</t>
  </si>
  <si>
    <t>SONDA NASOGASTRICA LONGA Nº 4</t>
  </si>
  <si>
    <t>SONDA NASOGASTRICA LONGA Nº 6</t>
  </si>
  <si>
    <t>SONDA NASOGASTRICA LONGA Nº 8</t>
  </si>
  <si>
    <t>BOLSA COLETORA DE URINA (2000ML) SIST FECHADO</t>
  </si>
  <si>
    <t>BOLSA COLETORA DE URINA (ADULTO) TIPO SACO C/CORDÃO 2000 ML</t>
  </si>
  <si>
    <t>SONDA FOLEY 3 VIAS Nº16</t>
  </si>
  <si>
    <t>SONDA URETRAL Nº 10</t>
  </si>
  <si>
    <t>LUVA CIRURGICA ESTERIL 7,0</t>
  </si>
  <si>
    <t>LUVA CIRURGICA ESTERIL 7,5</t>
  </si>
  <si>
    <t>LUVA CIRURGICA ESTÉRIL Nº 6.5</t>
  </si>
  <si>
    <t>PAPEL GRAU CIRURGICO 50MM X 100M</t>
  </si>
  <si>
    <t>INDICADOR BIOLÓGICO</t>
  </si>
  <si>
    <t>PAPEL GRAU CIRURGICO 100MM X 100M</t>
  </si>
  <si>
    <t>PAPEL GRAU CIRURGICO 250MM X 100M</t>
  </si>
  <si>
    <t>ESCOVA CERVICAL</t>
  </si>
  <si>
    <t>FRASCO COLETOR DE EXAMES ESTÉRIL TAMPA VERMELHA</t>
  </si>
  <si>
    <t>SWAB COM PONTAS DE ALGODÃO ESTÉRIL E TUBO</t>
  </si>
  <si>
    <t>PAPEL LENÇOL 70CM 50M</t>
  </si>
  <si>
    <t>CATETER PERIFÉRICO INTRAVENOSO 14G (2,0 X 45mm) C/ DISPOSITIVO DE SEGURANÇA; FABRICADO EM POLIURETANO (PUR); ESTÉRIL; ATÓXICO E APIROGÊNICO; RADIOPACO; CANHÃO COLORIDO OBEDECENDO O CÓDIGO DE CORES UNIVERSAL; FILTRO DE RETENÇÃO DE BACTÉRIAS HIDROFÓBICAS; CÂMARA</t>
  </si>
  <si>
    <t>FITA TESTE P/ AUTOCLAVE 19mm X 30m - P/ CONTROLE DE TEMPERATURA; USO EM AUTOCLAVE; ASPECTO ADERÊNCIA E C/ ALTERAÇÃO DE COLORAÇÃO APÓS EXPOSIÇÃO A ALTA TEMPERATURA; EMBALADO EM ROLO C/ 19mm X 30m, EM MATERIAL QUE GARANTA A INTEGRIDADE DO PRODUTO; A APRESENTAÇÃO</t>
  </si>
  <si>
    <t>LÂMINA DE BISTURI Nº 23 EM AÇO CARBONO ESTÉRIL; C/ PERFEITO ACABAMENTO S/ SINAIS DE OXIDAÇÃO E REBARBAS; O PRODUTO DEVERÁ SER ENTREGUE C/ LAUDO QUE COMPROVE SUA ESTERILIDADE; EMBALADO EM MATERIAL QUE GARANTA A INTEGRIDADE DO PRODUTO</t>
  </si>
  <si>
    <t>EQUIPAMENTO COLETOR PARA ESTOMIA URINARIA, 1 PEÇA, RECORTAVEL DE 10-45MM</t>
  </si>
  <si>
    <t>ATADURA DE CREPE 15cm - EM TECIDO 100% ALGODÃO OU MISTO, C/ DIMENSÃO DE 15cm DE LARGURA X 1,80m DE COMPRIMENTO (EM REPOUSO), PESO 32,71g. AS BORDAS DEVEM SER DEVIDAMENTE ACABADAS, EVITANDO DESFIAMENTO. CLASSE TIPO I E ELASTICIDADE DE 50%. ENROLADA UNIFORMEMENT</t>
  </si>
  <si>
    <t>ATADURA DE CREPE 20cm - EM TECIDO 100% ALGODÃO OU MISTO, C/ DIMENSÃO DE 20cm DE LARGURA X 1,80m DE COMPRIMENTO (EM REPOUSO), PESO 42,86g. AS DOBRAS DEVEM SER DEVIDAMENTE ACABADAS, EVITANDO DESFIAMENTO. CLASSE TIPO I E ELASTICIDADE DE 50%. ENROLADA UNIFORMEMENT</t>
  </si>
  <si>
    <t>ASPIRADOR CIRURGICO PORTATIL</t>
  </si>
  <si>
    <t>Indicador biológico para esterilização a vapor (autoclave) caixa com 25 Peça de ampola para realização de teste em autoclave de temperatura a 121°C, tempo de letalidade até 23 minutos, em conformidade com a norma ABNT 14725 em vigor. (VALIDADE MINIMA: 18 MESES</t>
  </si>
  <si>
    <t>ATADURA ELÁSTICA COMPRESSIVA, ALTA COMPRESSÃO, COM PRESILHA DE FIXAÇÃO. DIMENSÕES APROXIMADAS DE: 300 X 13 CM (COMPRIMENTO X LARGURA). COMPOSIÇÃO: ALGODÃO, ELASTODIENO E POLIAMIDA. DEMAIS ESPECIFICAÇÕ</t>
  </si>
  <si>
    <t>CATETER INTRAVENOSO PERIFÉRICO COM DISPOSITIVO DE SEGURANÇA Nº 14 G.</t>
  </si>
  <si>
    <t>PAPEL LENÇOL DE USO HOSPITALAR, COM 70 CM DE LARGURA X 50 M DE COMPRIMENTO, COM LIMITE DE VARIAÇÃO EM TORNO DE 1 CM, FOLHA SI</t>
  </si>
  <si>
    <t>SONDA FOLEY 2 VIAS 100% SILICONE Nº 24 - ATÓXICA, TRANSPARENTE, ESTÉRIL, MEDINDO NO MÍNIMO 35CM DE COMPRIMENTO, COM 02 VIAS, COM GUIA, FLEXÍVEL E MALEÁVEL, ESPESSURA UNIFORME, ISENTA DE MANCHAS OU QUA</t>
  </si>
  <si>
    <t>TORNEIRA DESCARTAVEL, COM 3 VIAS, ESTERIL COM LUER LOCK.</t>
  </si>
  <si>
    <t>PAPEL GRAU CIRURGICO ROLO 15CM X 100M</t>
  </si>
  <si>
    <t>PAPEL GRAU CIRURGICO ROLO 30CM X 100M</t>
  </si>
  <si>
    <t>COLETOR PARA SECRECAO E ASPIRACAO TRAQUEAL</t>
  </si>
  <si>
    <t xml:space="preserve">Bolsa Coletora De Urina Sistema Fechado material*: pvc, tipo*: sistema fechado, modelo: diurese horária 500ml, capacidade*: cerca de 2000, graduação: graduada, válvula: válvula anti-refluxo, pinça: clamp corta fluxo, filtro: filtro hidrofóbico/bacteriológico, </t>
  </si>
  <si>
    <t>Fio De Sutura Agulhado material fio: poliglactina violeta, modelo fio: multifilamentar, diâmetro fio: 2-0, comprimento fio: cerca de 70, tipo agulha: agulha 1/2 círculo, modelo agulha: cilíndrica, comprimento agulha: cerca de 26, esterilidade: estéril, apresen</t>
  </si>
  <si>
    <t>Fio De Sutura Agulhado material fio: poliglactina violeta, modelo fio: multifilamentar, diâmetro fio: 2-0, comprimento fio: cerca de 70, tipo agulha: agulha 1/2 círculo, modelo agulha: cilíndrica, comprimento agulha: cerca de 35, esterilidade: estéril, apresen</t>
  </si>
  <si>
    <t>Aspirador Cirúrgico componentes: sistema antitransbordamento, filtro bacteriológico, fluxo de aspiração: de 15 a 30 lpm, modelo: elétrico portátil, pressão de vácuo: cerca de 550 mmhg, tipo frasco: 1 frasco em plástico, volume: cerca de 1,5 l Aspirador Cirúrgi</t>
  </si>
  <si>
    <t>PESQUISA DE SANGUE OCULTO NAS FEZES</t>
  </si>
  <si>
    <t>LUVA PARA PROCEDIMENTO NÃO CIRÚRGICO SEM PÓ TAMANHO GRANDE</t>
  </si>
  <si>
    <t>LUVA PARA PROCEDIMENTO NÃO CIRÚRGICO SEM PÓ TAMANHO MÉDIO</t>
  </si>
  <si>
    <t>LUVA PARA PROCEDIMENTO NÃO CIRÚRGICO SEM PÓ TAMANHO PEQUENO</t>
  </si>
  <si>
    <t>SERINGA DE 3 ML - SEM AGULHA - SEM DISPOSITIVO DE SEGURANÇA - DESCARTÁVEL E ESTÉRIL</t>
  </si>
  <si>
    <t>Sonda Trato Digestivo aplicação: oro ou nasogástrica, modelo: levine, material: pvc, calibre: nº 22, tamanho: curta, comprimento: cerca 50, conector: conector padrão c/ tampa, componentes: ponta distal fechada, c/ orifícios laterais, esterilidade: estéril, des</t>
  </si>
  <si>
    <t>Sonda Trato Digestivo aplicação: nasoenteral, material: silicone, calibre: nº 6, comprimento: cerca 60, conector: conector em y c/ tampa, graduação: graduada, componentes: ponta distal fechada, c/ orifícios laterais, outros componentes: c/ fio guia, peso metál</t>
  </si>
  <si>
    <t>Cateter Central aplicação: venoso, matéria prima: poliuretano radiopaco, diâmetro: cerca 7 fr, vias: duplo lúmen, lúmen: 16, comprimento: cerca 20, tipo fixação: fixação subcutânea, conector: conectores padrão, clamp em todas vias e tampas, componente: kit int</t>
  </si>
  <si>
    <t xml:space="preserve">INDICADOR BIOLÓGICO AUTO-CONTIDO PARA ESTERILIZAÇÃO-A VAPOR, MÉTODO DE LEITURA EM INCUBADORA À 60°C EM 8H A 24H. COMPOSTO POR COMPOSTO POR UMA TIRA DE PAPEL CONTENDO UMA POPULAÇÃO MICROBIANA MÍNIMA DE 100.000(CEM MIL) ESPOROS SECOS E CALIBRADOS DE GEOBACILLUS </t>
  </si>
  <si>
    <t xml:space="preserve">Cateter Central aplicação: venoso, componente: kit introdutor completo, comprimento: cerca 30, conector: conectores padrão, clamp em todas vias e tampas, diâmetro: cerca 2 fr, matéria prima: poliuretano radiopaco, tipo implante: inserção periférica, tipo uso: </t>
  </si>
  <si>
    <t>KIT DE INSTRUMENTAIS CIRURGICOS PARA CASTRAÇÃO DE ANIMAIS COM 19 ITENS</t>
  </si>
  <si>
    <t>ASPIRADOR CIRURGICO</t>
  </si>
  <si>
    <t>ESPECULO VAGINAL 2 CM - AÇO INOX - USO VETERINARIO</t>
  </si>
  <si>
    <t>ESPECULO VAGINAL 3 CM - AÇO INOX - USO VETERINARIO</t>
  </si>
  <si>
    <t>ESPECULO VAGINAL 7,5 CM - AÇO INOX - USO VETERINÁRIO</t>
  </si>
  <si>
    <t>ESPÉCULO VAGINAL 9 CM - AÇO INOX - USO VETERINÁRIO</t>
  </si>
  <si>
    <t>SONDA DE LEVINE PARA SONDAGEM GASTRICA, CALIBRE 04</t>
  </si>
  <si>
    <t>SONDA DE LEVINE PARA SONDAGEM GASTRICA, CALIBRE 06</t>
  </si>
  <si>
    <t>SONDA DE LEVINE PARA SONDAGEM GASTRICA, CALIBRE 08</t>
  </si>
  <si>
    <t>SONDA DE LEVINE PARA SONDAGEM GASTRICA, CALIBRE 10</t>
  </si>
  <si>
    <t>SONDA DE LEVINE PARA SONDAGEM GASTRICA, CALIBRE 12</t>
  </si>
  <si>
    <t>SONDA DE LEVINE PARA SONDAGEM GASTRICA, CALIBRE 14</t>
  </si>
  <si>
    <t>SONDA DE LEVINE PARA SONDAGEM GASTRICA, CALIBRE 18</t>
  </si>
  <si>
    <t>SONDA DE LEVINE PARA SONDAGEM GASTRICA, CALIBRE 20</t>
  </si>
  <si>
    <t>Comadre material: polipropileno, capacidade: 2.000, tamanho: tamanho adulto padrão mundial, tipo: tipo pá, característica adicional: com cabo</t>
  </si>
  <si>
    <t>Dreno Cirúrgico modelo: tubular, material: pvc, calibre: 10, componente: introdutor em aço inoxidável, componente adicional: c/ reservatório graduado - pressão negativa, volume: cerca de 500, conector universal: c/ conector, componente i: c/ válvula antirreflu</t>
  </si>
  <si>
    <t>Fio De Sutura S/ Agulha material: poliéster c/ algodão preto, modelo: multifilamentar, diâmetro: 0 / 1-0, comprimento: 15 x cerca de 45, esterilidade: estéril, apresentação: embalagem individual</t>
  </si>
  <si>
    <t>Fio De Sutura Agulhado material fio: polidioxanona violeta, modelo fio: monofilamentar, laçado, componente fio: c/ bacteriostático / bactericida, diâmetro fio: nº 1, comprimento fio: cerca de 250, tipo agulha: agulha 1/2 círculo, modelo agulha: cilíndrica, com</t>
  </si>
  <si>
    <t>Fio De Sutura Agulhado material fio: ác. poliglicólico violeta, modelo fio: multifilamentar, diâmetro fio: nº 1, comprimento fio: cerca de 70, tipo agulha: agulha 1/2 círculo, modelo agulha: cortante, comprimento agulha: cerca de 35, esterilidade: estéril, apr</t>
  </si>
  <si>
    <t>BOBINA PARA ESTERILIZAÇÃO DE INSTRUMENTAL 120 MM</t>
  </si>
  <si>
    <t>BOBINA PARA ESTERILIZAÇÃO DE INSTRUMENTAL 250 MM</t>
  </si>
  <si>
    <t>BOBINA PARA ESTERILIZAÇÃO DE INSTRUMENTAL 80 MM</t>
  </si>
  <si>
    <t>BOBINA PARA ESTERILIZAÇÃO DE INSTRUMENTAL 150 MM</t>
  </si>
  <si>
    <t>BOBINA PARA ESTERILIZAÇÃO DE INSTRUMENTAL 200 MM</t>
  </si>
  <si>
    <t>CIMENTO CIRURGICO KIT PO E LIQUIDO</t>
  </si>
  <si>
    <t>GAZE NAO ESTERIL 13 FIOS</t>
  </si>
  <si>
    <t>CURATIVO HIDROCOLOIDE 15X15CM</t>
  </si>
  <si>
    <t>SERINGA DESCARTAVEL 1 ML INSULINA C/ AGULHA</t>
  </si>
  <si>
    <t>Alicate Perfurador Para Lençol De Borracha, Tipo Ainsworth</t>
  </si>
  <si>
    <t>Escova P/ Limpeza Instrumentais Cirúrgicos</t>
  </si>
  <si>
    <t>Fita Crepe Para Autoclave</t>
  </si>
  <si>
    <t>Indicador Biológico A Vapor (Autoclave)</t>
  </si>
  <si>
    <t>Lençol De Borracha</t>
  </si>
  <si>
    <t>Seringa Odontológica Carpule Com Refluxo.</t>
  </si>
  <si>
    <t>Suporte Para Envelopes De Esterilização</t>
  </si>
  <si>
    <t>Filtro Terapia Respiratória aplicação: p/ circuito respiratório, modelo: hmef, tipo: troca calor e umidade c/ barreira microbiológica, tipo membrana: hidrófobico e higroscópico, componente: conexões padrão c/ via p/ capnografia, componente adicional: c/ traqué</t>
  </si>
  <si>
    <t>BACIA EM AÇO INOX, MEDINDO 35 CM - TAMANHO MEDIO.</t>
  </si>
  <si>
    <t>COMADRE HOSPITALAR INOX- 40X30CM COM BORDS ARREDONDADAS</t>
  </si>
  <si>
    <t>ESCOVA CERVICAL DESCARTÁVEL, PONTA ATIVA PRODUZIDA COM MICRO CERDAS EM NYLON E EIXO DE SUSTENTAÇÃO EM AÇO INOXIDÁVEL. CABO EM POLIESTIRENO DE ALTO IMPACTO, ATÓXICO E RESISTENTE A TRAÇÕES. COM PONTA ATIVA COM CERDAS MACIAS EM FORMATO CÔNICO, IDEAL PARA COLETA D</t>
  </si>
  <si>
    <t>MÁSCARA LARÍNGEA Nº 1,5 LACTANTE DE 5KG ATÉ 10KG, DESCARTÁVEL COM CUFF OU BALÃO</t>
  </si>
  <si>
    <t>MÁSCARA LARÍNGEA Nº 2 LACTANTES DE 10KG ATÉ 20 KG - DESCARTÁVEL COM CUFF OU BALÃO</t>
  </si>
  <si>
    <t>MÁSCARA LARÍNGEA Nº 2,5 LACTANTES DE 10KG ATÉ 20 KG - DESCARTÁVEL COM CUFF OU BALÃO</t>
  </si>
  <si>
    <t>PAPAGAIO HOSPITALAR DE INOX- 26X 13CM</t>
  </si>
  <si>
    <t>KIT MOLDEIRA LISA INFANTIL EM EM AÇO INOX</t>
  </si>
  <si>
    <t>KIT MOLDEIRA DENTADO ADULTO PERFURADA EM ALUMÍNIO</t>
  </si>
  <si>
    <t>KIT MOLDEIRA DENTADO ADULTO LISA EM AÇO INOX</t>
  </si>
  <si>
    <t>KIT MOLDEIRA ADULTO DESDENTADO LISA EM AÇO INOX</t>
  </si>
  <si>
    <t>MOLDEIRA PERFURADA DE PLÁSTICO Nº1 - EMBALAGEM COM 2 UNIDADES (1 INFERIOR E 1 SUPERIOR)</t>
  </si>
  <si>
    <t>KIT MOLDEIRA PERFURADA DE PLÁSTICO Nº 3- EMBALAGEM COM 2 UNIDADES (1 INFERIOR E 1 SUPERIOR)</t>
  </si>
  <si>
    <t>KIT MOLDEIRA PERFURADA INFANTIL EM ALUMÍNIO</t>
  </si>
  <si>
    <t>CANETA DE BISTURI ELETRICO MONOPOLAR PARA CORTE DE TECIDO E COAGULAÇÃO DE ÁREAS ESPECIFICAS</t>
  </si>
  <si>
    <t>EQUIPO UNIVERSAL PARA BOMBA DE INFUSÃO</t>
  </si>
  <si>
    <t>EXTENSÃO SILICONIZADA UMIDIFICADOR - MATERIAL GASOTERAPIA, SAÍDA: P, OXIGÊNIO, TIPO EXTENSÃO: EXTENSOR EM PVC C, CONECTORES, COMPRIMENTO EXTENSÃO: CERCA DE 2,0 M, ESTERILIDADE : ESTÉRIL, EMBALAGEM: EMBALAGEM INDIVIDUAL</t>
  </si>
  <si>
    <t>FILTRO BACTERIANO HME PARA VENTILAÇÃO MECANICA ADULTO</t>
  </si>
  <si>
    <t>FILTRO BACTERIANO HME PARA VENTILAÇÃO MECANICA INFANTIL</t>
  </si>
  <si>
    <t>FILTRO BACTERIANO HME PARA VENTILAÇÃO MECANICA NEONATAL</t>
  </si>
  <si>
    <t>KIT INTRODUÇÃO DIU - PINÇA CIRÚRGICA MODELO 1: POZZI FORMATO PONTA: PONTA RETA COMPRIMENTO TOTAL: CERCA DE 24 CM COMPONENTE: C/ CREMALHEIRA MATERIAL: AÇO INOXIDÁVEL ESTERILIDADE: ESTERILIZÁVEL CONJUNTO (KIT) COLOCAÇÃO DIU, MATERIAL: POLIETILENO,QUANTIDADE PEÇA</t>
  </si>
  <si>
    <t>GARROTE EM LATEX NATURAL 11MM DE DIÂMETRO EXTERNO - 30CM - ( FONOAUDIOLOGIA)</t>
  </si>
  <si>
    <t>SERINGA TRÍPLICE ODONTOLÓGICA COM PONTA (BICO) INCLUÍDA, PARA ACOPLAMENTO EM EQUIPO ODONTOLÓGICO. FUNÇÃO: EMISSÃO DE JATOS DE AR, ÁGUA E SPRAY (AR+ÁGUA COMBINADOS), COM ACIONAMENTO INDEPENDENTE PARA CADA FUNÇÃO. CORPO: METÁLICO, AUTOCLAVÁVEL A 134°C. PONTA (BI</t>
  </si>
  <si>
    <t>ATADURA CREME 12CM- ATADURA DE CREPOM (CREPE), TECIDO 90% POLIÉSTER 10% ELASTANO, TRAMA ABERTA COM ELASTICIDADE MODERADA PARA ENFAIXAMENTO COMPRESSIVO OU DE CONTENÇÃO. LARGURA:12 CM. COMPRIMENTO: MÍNIMO DE 1,8 M DESENROLADA EM REPOUSO. ACONDICIONAMENTO: ROLO I</t>
  </si>
  <si>
    <t>SONDA NASOENTERAL CALIBRE Nº 08 (OITO) FRENCH. MATERIAL: POLIURETANO ATÓXICO, FLEXÍVEL E DE LONGA PERMANÊNCIA. RADIOPACIDADE: LINHA RADIOPACA EM TODA A EXTENSÃO PARA CONFIRMAÇÃO RADIOLÓGICA DE POSICIONAMENTO. PONTA: DISTAL COM ORIFÍCIOS LATERAIS E FIO-GUIA MET</t>
  </si>
  <si>
    <t>SONDA NASOENTERAL CALIBRE Nº 06 (SEIS) FRENCH. MATERIAL: POLIURETANO ATÓXICO, FLEXÍVEL E DE LONGA PERMANÊNCIA. RADIOPACIDADE: LINHA RADIOPACA EM TODA A EXTENSÃO PARA CONFIRMAÇÃO RADIOLÓGICA DE POSICIONAMENTO. PONTA: DISTAL COM ORIFÍCIOS LATERAIS E FIO-GUIA MET</t>
  </si>
  <si>
    <t>COMPRESSA DE GAZE HIDRÓFILA, NÃO ESTÉRIL, 100% ALGODÃO. TRAMA: 13 FIOS/CM², EM NO MÍNIMO 5 (CINCO) DOBRAS. DIMENSÃO: APROXIMADAMENTE 7,5 CM X 7,5 CM. ACONDICIONAMENTO: PACOTE COM 500 UNIDADES. CARACTERÍSTICA: ISENTA DE AMIDO E ALVEJANTES ÓPTICOS, PARA NÃO INTE</t>
  </si>
  <si>
    <t>MÁSCARA DE OXIGÊNIO INFANTIL, SEM RESERVATÓRIO, CONFECCIONADA EM PVC TRANSPARENTE, FORMATO ANATÔMICO, COM ELÁSTICO PARA FIXAÇÃO E PRESILHA NASAL AJUSTÁVEL, ACOMPANHADA DE TUBO EXTENSOR PARA CONEXÃO À FONTE DE OXIGÊNIO, TAMANHO INFANTIL, NÃO ESTÉRIL, DESCARTÁVE</t>
  </si>
  <si>
    <t>PULSEIRA DE IDENTIFICAÇÃO – AUTISMO: PULSEIRA DE IDENTIFICAÇÃO HOSPITALAR DESTINADA À SINALIZAÇÃO DE PACIENTE COM TRANSTORNO DO ESPECTRO AUTISTA (TEA), CONFECCIONADA EM MATERIAL PLÁSTICO OU SINTÉTICO, RESISTENTE, FLEXÍVEL, IMPERMEÁVEL E CONFORTÁVEL, COM FECHAM</t>
  </si>
  <si>
    <t>Dreno Cirúrgico modelo: tubular, centro rígido c/ 4 canais, material: silicone, calibre: cerca de 10, componente ii: radiopaco, tipo uso: estéril, descartável, embalagem: embalagem individual</t>
  </si>
  <si>
    <t>Equipo De Infusão Venosa Gravitacional material: pvc transparente, câmara gotejamento: macrogotas, flexível, c/ respiro, regulador de fluxo manual: pinça rolete, comprimento tubo: até 180 cm, tipo injetor lateral: c/ 1 injetor, autocicatrizante, conector pacie</t>
  </si>
  <si>
    <t>Fio De Sutura Agulhado material fio: poliéster c/ algodão azul, modelo fio: multifilamentar, diâmetro fio: 0 / 1-0, comprimento fio: cerca de 45, tipo agulha: agulha 1/2 círculo, modelo agulha: cortante reversa / invertida, comprimento agulha: cerca de 35, est</t>
  </si>
  <si>
    <t>Fio De Sutura Agulhado material fio: poliglactina violeta, modelo fio: multifilamentar, componente fio: c/ bacteriostático / bactericida, diâmetro fio: 2-0, comprimento fio: cerca de 70, tipo agulha: agulha 1/2 círculo, modelo agulha: cilíndrica, comprimento a</t>
  </si>
  <si>
    <t>Fio De Sutura Agulhado material fio: catgut simples, modelo fio: multifilamentar, diâmetro fio: 4-0, comprimento fio: cerca de 70, tipo agulha: agulha 1/2 círculo, modelo agulha: cilíndrica, comprimento agulha: cerca de 16, esterilidade: estéril, apresentação:</t>
  </si>
  <si>
    <t>Fio De Sutura Agulhado material fio: catgut simples, modelo fio: multifilamentar, diâmetro fio: 5-0, comprimento fio: cerca de 45, tipo agulha: agulha 1/2 círculo, modelo agulha: cortante reversa / invertida, comprimento agulha: cerca de 16, esterilidade: esté</t>
  </si>
  <si>
    <t>Fio De Sutura Agulhado material fio: poliglactina violeta, modelo fio: multifilamentar, diâmetro fio: 2-0, comprimento fio: cerca de 70, tipo agulha: agulha 5/8 círculo, modelo agulha: cilíndrica, comprimento agulha: cerca de 35, esterilidade: estéril, apresen</t>
  </si>
  <si>
    <t>Fio De Sutura Agulhado material fio: poliéster verde, modelo fio: multifilamentar, componente fio: c/ revestimento deslizante, diâmetro fio: 2-0, comprimento fio: cerca de 70, tipo agulha: 2 agulhas 1/2 círculo nas extremidades, modelo agulha: cilíndrica, comp</t>
  </si>
  <si>
    <t>Transdutor Uso Médico compatível: p/ ultrassom, componente adicional: c/ cabo, faixa freqüência: c/ faixa frequência ajustável, formato: linear, modelo: multifrequêncial de banda larga, 3d/4d</t>
  </si>
  <si>
    <t>CAMPO CIRURGICO DESCARTAVEL EM TNT PARA MESA AUXILIAR 30GR TAMANHO 45x60cm (não estéril) - PACOTE COM 10 UNIDADES</t>
  </si>
  <si>
    <t>LENÇOL DE BORRACHA 15 X 15CM - USO PROFISSIONAL, DESCARTAVEL, NÃO ESTERIL, ESPESSURA MEDIA, SABOR MENTA, EMBALAGEM COM 26 UNIDADES EMBALADAS SEPARADAMENTE, COR AZUL</t>
  </si>
  <si>
    <t>MOLDEIRA DENTADA ADULTO, PERFURADA, ALUMINIO, SUPERIOR 1</t>
  </si>
  <si>
    <t>MOLDEIRA DENTADA ADULTO, PERFURADA, ALUMINIO, SUPERIOR 2</t>
  </si>
  <si>
    <t>MOLDEIRA DENTADA ADULTO, PERFURADA, ALUMINIO, SUPERIOR 3</t>
  </si>
  <si>
    <t>MOLDEIRA DENTADA ADULTO PERFURADA ALUMINIO SUPERIOR 4</t>
  </si>
  <si>
    <t>MOLDEIRA DENTADA ADULTO PERFURADA ALUNINIO INFERIOR 1</t>
  </si>
  <si>
    <t>MOLDEIRA DENTADA ADULTO PERFURADA ALUMINIO INFERIOR 2</t>
  </si>
  <si>
    <t>MOLDEIRA DENTADA ADULTO PERFURADA ALUMINIO INFERIOR 3</t>
  </si>
  <si>
    <t>MOLDEIRA DENTADA ADULTO PERFURADA ALUMINIO INFERIOR 4</t>
  </si>
  <si>
    <t>ESCOVA PLASTICA COM CERDAS DE NYLON PARA LIMPEZA DE INSTRUMENTAIS</t>
  </si>
  <si>
    <t>Cânula Instrumental aplicação: p/ aspiração e irrigação, modelo: videocirurgia, diâmetro: cerca de 5,0, haste: reta, comprimento total: cerca de 36, adicional 2: c/ 2 tubos pvc, cerca 3 m, material: aço inoxidável e polímero, esterilidade: estéril, uso único</t>
  </si>
  <si>
    <t>Cabo formato: monopolar, comprimento: comprimento mínimo 3,0, compatibilidade 1: compatível com bisturi eletrônico</t>
  </si>
  <si>
    <t>Máscara Proteção Resp. C/ Anvisa adicional 2: s/ válvula, classe: pff2, n95 ou equivalente, componente: clipe nasal, cor: c/ cor, esterilidade: descartável, filtro: eficiência filtração mín. 94% s, material: camadas fibras sintéticas, modelo: respirador dobráv</t>
  </si>
  <si>
    <t>AGULHA HIPODÉRMICA 13 X 4,5 (26G 1/2) - Cânula em aço inoxidável, cilíndrica, oca, reta, com perfeita adaptação ao canhão; bisel trifacetado com ponta afiada; canhão e protetor em polipropileno atóxico; estéril, de uso único (descartável); embalada individualm</t>
  </si>
  <si>
    <t>AGULHA DESCARTÁVEL 20 X 5,5 - Agulha hipodérmica em aço inoxidável siliconizado, dimensão 24G x 3/4", ponta com bisel curto trifacetado, conexão tipo Luer Lock ou Luer Slip em plástico, protetor plástico rígido, estéril, descartável. Embalagem individual assép</t>
  </si>
  <si>
    <t>AGULHA DESCARTÁVEL 25 X 7 - Agulha hipodérmica siliconizada, corpo de paredes finas em aço inoxidável, bisel trifacetado afiado, sem rebarbas ou resíduos, com fixação perfeita ao canhão confeccionado em plástico rígido translúcido e atóxico (cor identificadora</t>
  </si>
  <si>
    <t xml:space="preserve">AGULHA DESCARTÁVEL 40 X 12 - Agulha hipodérmica em aço inoxidável siliconizado, dimensão 18G x 1 1/2", bisel curto trifacetado, conexão Luer Lock, protetor plástico. Possui dispositivo de segurança integrado em atendimento às exigências da NR-32 (Portaria MTE </t>
  </si>
  <si>
    <t>ATADURA CREPE 10CM - Atadura de crepe 10 cm x 1,8 m em repouso, confeccionada com 13 fios por $cm^2$, em fibras que não esgarcem e que impeçam o garroteamento, elasticidade longitudinal mínima de 50%, embaladas em pacotes contendo doze unidades</t>
  </si>
  <si>
    <t>ATADURA CREPE 15CM - Atadura de crepe 15 cm x 1,8 m em repouso, confeccionada com 13 fios por cm2, em fibras que não esgarcem e que impeçam o garroteamento, elasticidade longitudinal mínima de 50%, embaladas em pacotes contendo doze unidades</t>
  </si>
  <si>
    <t>ATADURA CREPE 20CM - Atadura de crepe 20 cm x 1,8 m em repouso, confeccionada com 13 fios por cm2, em fibras que não esgarcem e que impeçam o garroteamento, elasticidade longitudinal mínima de 50%, embaladas em pacotes contendo doze unidades</t>
  </si>
  <si>
    <t xml:space="preserve">AVENTAL DESCARTÁVEL PARA PROCEDIMENTO EM USO CLÍNICO E HOSPITALAR - Descartável, não estéril, confeccionado em falso tecido 100% polipropileno, gramatura mínima 60 g/m2, impermeável para fluídos, atóxico, hipoalérgico, resistente, confortável, maleável, manga </t>
  </si>
  <si>
    <t>CATETER NASAL TIPO ÓCULOS ADULTO - Cateter nasal para oxigênio, tipo óculos, adulto, hipoalergênico, biocompatível, estéril</t>
  </si>
  <si>
    <t>CATETER INTRAVENOSO Nº 18 - Cateter intravenoso periférico nº 18G / material poliuretano, calibre 18G, aplicação periférico, características adicionais: câmara de refluxo transparente, tampa protetora, tipo uso descartável, esterilidade estéril, tipo radiopaco</t>
  </si>
  <si>
    <t>CATETER INTRAVENOSO Nº 20G - Cateter intravenoso periférico nº 20G / material poliuretano, calibre 20G, aplicação periférico, características adicionais: câmara de refluxo transparente, tampa protetora, tipo uso descartável, esterilidade estéril, tipo radiopac</t>
  </si>
  <si>
    <t>CATETER INTRAVENOSO Nº 22G - Cateter intravenoso periférico nº 22G / material poliuretano, calibre 22G, aplicação periférico, características adicionais: câmara de refluxo transparente, tampa protetora, tipo uso descartável, esterilidade estéril, tipo radiopac</t>
  </si>
  <si>
    <t>CATETER INTRAVENOSO Nº 24G - Cateter intravenoso periférico nº 24G / material poliuretano, calibre 24G, aplicação periférico, características adicionais: câmara de refluxo transparente, tampa protetora, tipo uso descartável, esterilidade estéril, tipo radiopac</t>
  </si>
  <si>
    <t>COLETOR DE URINA SISTEMA FECHADO 2000 ML - DESCRIÇÃO: COLETOR DE URINA, MATERIAL: PVC, TIPO: SISTEMA FECHADO, CAPACIDADE : CERCA DE 2000 ML, GRADUAÇÃO: GRADUAÇÃO DE 100 EM 100 ML, VÁLVULA: VÁLVULA ANTI-REFLUXO, PINÇA: CLAMP CORTA FLUXO, COMPONENTES: ALÇA DE SU</t>
  </si>
  <si>
    <t>COLETOR UNIVERSAL 80ML - Recipiente para coleta de amostras de fezes ou urina, material: polipropileno, cor translúcida, capacidade: 80ml, apresentação: contendo tampa rosqueável c/ vedação hermética e pá, graduado, não estéril, embalados individualmente</t>
  </si>
  <si>
    <t>COLETOR DE MATERIAL PERFUROCORTANTE 7 L - CAIXA COLETORA PARA LIXO CONTAMINADO DE MATERIAL PERFUROCORTANTE - COM CAPACIDADE PARA 07 LITROS, CONFECCIONADA EM PAPELÃO ONDULADO RESISTENTE À PERFURAÇÃO, COM SACO PLÁSTICO E REVESTIMENTO INTERNO PARA DESCARTE DE OBJ</t>
  </si>
  <si>
    <t>COLETOR DE MATERIAL PERFUROCORTANTE 13 L - CAIXA COLETORA PARA LIXO CONTAMINADO DE MATERIAL PERFUROCORTANTE - COM CAPACIDADE PARA 13 LITROS, CONFECCIONADA EM PAPELÃO ONDULADO RESISTENTE À PERFURAÇÃO, COM SACO PLÁSTICO E REVESTIMENTO INTERNO PARA DESCARTE DE OB</t>
  </si>
  <si>
    <t>ELETRODO DESCARTÁVEL PARA MONITORIZAÇÃO CARDÍACA CONTÍNUA - COMPATÍVEL COM QUALQUER MONITOR, CONFECCIONADO COM DORSO DE ESPUMA/EMBORRACHADO, COM FACE INFERIOR ADESIVA HIPOALERGÊNICA PROTEGIDA, COM PINO EM AÇO INOXIDÁVEL E CONTRA PINO EM PRATA E CLORETO DE PRAT</t>
  </si>
  <si>
    <t>ESCOVA CERVICAL ESTÉRIL A ÓXIDO DE ETILENO (INDIVIDUAL) - ESCOVA ENDOCERVICAL, PLÁSTICO, MICROCERDAS EM NYLON, PONTA DA ESCOVA CÔNICA, DESCARTÁVEL, ATÓXICA, ESTÉRIL, EMBALAGEM INDIVIDUAL.</t>
  </si>
  <si>
    <t>ESPARADRAPO 10CM X 4,5M - ESPARADRAPO IMPERMEÁVEL - BRANCO DE TECIDO 100% ALGODÃO COM TRATAMENTO ACRÍLICO, ADESIVO BRANCO À BASE DE BORRACHA NATURAL E RESINA DE ÓTIMA FIXAÇÃO, DIMENSÃO 10CM X 4,5M, EMBALAGEM COM 1 UNIDADE.</t>
  </si>
  <si>
    <t>ESPÁTULA DE AYRES - APLICAÇÃO: COLETA DE MATERIAL ENDOCERVICAL, TAMANHO 17 (+/-1) CM. EM MADEIRA, SUPERFÍCIE E BORDAS LISAS. DESCARTÁVEL. PACOTE COM NO MÍNIMO 100 UNIDADES.</t>
  </si>
  <si>
    <t>ESPÉCULO VAGINAL ESTÉRIL TAM "M" - ESPÉCULO VAGINAL, DESCARTÁVEL, TAMANHO MÉDIO, ESTÉRIL, MODELO COLLINS, EM POLIESTIRENO CRISTAL E POLIESTIRENO ALTO IMPACTO, CONTORNOS LISOS E REGULARES, SEM REENTRÂNCIAS, PROTUBERÂNCIAS OU REBARBAS. APRESENTADO COM PARAFUSO J</t>
  </si>
  <si>
    <t>ESPÉCULO VAGINAL ESTÉRIL TAM "P" - ESPÉCULO VAGINAL, DESCARTÁVEL, TAMANHO PEQUENO, ESTÉRIL, MODELO COLLINS, EM POLIESTIRENO CRISTAL E POLIESTIRENO ALTO IMPACTO, CONTORNOS LISOS E REGULARES, SEM REENTRÂNCIAS, PROTUBERÂNCIAS OU REBARBAS. APRESENTADO COM PARAFUSO</t>
  </si>
  <si>
    <t xml:space="preserve">ESPÉCULO VAGINAL ESTÉRIL TAM "G" - ESPÉCULO VAGINAL, DESCARTÁVEL, TAMANHO GRANDE, ESTÉRIL, MODELO COLLINS, EM POLIESTIRENO CRISTAL E POLIESTIRENO ALTO IMPACTO, CONTORNOS LISOS E REGULARES, SEM REENTRÂNCIAS, PROTUBERÂNCIAS OU REBARBAS. APRESENTADO COM PARAFUSO </t>
  </si>
  <si>
    <t xml:space="preserve">EQUIPO PARA NUTRIÇÃO COM FILTRO DE AR - EQUIPO PARA DIETA ENTERAL VIA SONDA. INFUSÃO POR GRAVIDADE, EQUIPO GRAVITACIONAL, COM PONTA PERFURANTE E TAMPA PROTETORA. CÂMARA FLEXÍVEL PARA VISUALIZAÇÃO DE GOTEJAMENTO E EXTENSÃO EM PVC AZUL COM COMPRIMENTO MÍNIMO DE </t>
  </si>
  <si>
    <t>EQUIPO PARA SORO MACRO - EQUIPO MACROGOTAS ESTÉRIL E APIROGÊNICO, COM TUBO DE PVC TRANSPARENTE DE NO MÍNIMO 1,50M, FLEXÍVEL, SEM DOBRAS, COM FILTRO DE FLUIDO, CÂMARA DE GOTEJAMENTO MALEÁVEL, PINÇA ROLETE REGULADORA, INJETOR LATERAL EM LÁTEX/SILICONE AUTOCICATR</t>
  </si>
  <si>
    <t>FIO DE SUTURA NYLON -2-0 COM AGULHA 3,0CM 3/8 DE CÍRCULO -- MONOFILAMENTO PRETO,- FIO DE 45 CM E AGULHA COM 3,0 CM,- AGULHA CT (CORTE TRIANGULAR) - ESTÉRIL - NÃO ABSORVÍVEL. - UNID</t>
  </si>
  <si>
    <t xml:space="preserve">FIO DE NYLON Nº 3-0 - POLIAMIDA MONOFILAMENTAR (NYLON) Nº 3-0 C/A 2,4 CM 3/8C TG - FIO CIRÚRGICO INABSORVÍVEL DE ORIGEM SINTÉTICA, MONOFILAMENTAR, DIÂMETRO 3-0, COM APROXIMADAMENTE 45 CM DE COMPRIMENTO, COMPOSTO DE POLIAMIDA, ENCASTOADO EM UMA AGULHA DE 2,4CM </t>
  </si>
  <si>
    <t>FIO DE NYLON Nº 4-0 - POLIAMIDA MONOFILAMENTAR (NYLON) Nº 4-0 C/A 2,4 CM 3/8C TG - FIO CIRÚRGICO INABSORVÍVEL DE ORIGEM SINTÉTICA, MONOFILAMENTAR, DIÂMETRO 4-0, COM APROXIMADAMENTE 45 CM DE COMPRIMENTO, COMPOSTO DE POLIAMIDA, ENCASTOADO EM UMA AGULHA DE 2,4 CM</t>
  </si>
  <si>
    <t>FIO DE NYLON Nº 5-0 - POLIAMIDA MONOFILAMENTAR (NYLON) Nº 5-0 C/A 1,6 CM 1/2C TG - FIO CIRÚRGICO INABSORVÍVEL DE ORIGEM SINTÉTICA, MONOFILAMENTAR, DIÂMETRO 5-0, COM APROXIMADAMENTE 45 CM DE COMPRIMENTO, COMPOSTO DE POLIAMIDA, ENCASTOADO EM UMA AGULHA DE 1,6 CM</t>
  </si>
  <si>
    <t>GAZE CURATIVO ALGODONADO ESTÉRIL TIPO ZOBEC (15 X 30 CM) - COMPRESSA ZOBEC CONFECCIONADA EM ALGODÃO QUIMICAMENTE PURO DE ALTA ABSORÇÃO, ATÓXICA, DIMENSÃO 15 X 30 CM EM ABERTO. ESTÉRIL.</t>
  </si>
  <si>
    <t>LÂMINA DE BISTURI Nº 11 - CAIXA C/ 100 UNID -LÂMINA DE BISTURI N° 11, EM AÇO INOXIDÁVEL, ESTERILIZADA COM RADIAÇÃO GAMA EMBALADA INDIVIDUALMENTE EM PAPEL ALUMÍNIO, E/OU PAPEL GRAU CIRÚRGICO COM ABERTURA EM PÉTALA, COM DADOS DE IDENTIFICAÇÃO E ESTERILIZAÇÃO. EM</t>
  </si>
  <si>
    <t>LÂMINA DE BISTURI Nº 12 - CAIXA C/ 100 UNID -LÂMINA DE BISTURI N° 12, EM AÇO INOXIDÁVEL, ESTERILIZADA COM RADIAÇÃO GAMA EMBALADA INDIVIDUALMENTE EM PAPEL ALUMÍNIO, E/OU PAPEL GRAU CIRÚRGICO COM ABERTURA EM PÉTALA, COM DADOS DE IDENTIFICAÇÃO E ESTERILIZAÇÃO. EM</t>
  </si>
  <si>
    <t>LÂMINA DE BISTURI Nº 15 - CAIXA C/ 100 UNID - LÂMINA DE BISTURI N° 15, EM AÇO INOXIDÁVEL, ESTERILIZADA COM RADIAÇÃO GAMA EMBALADA INDIVIDUALMENTE EM PAPEL ALUMÍNIO, E/OU PAPEL GRAU CIRÚRGICO COM ABERTURA EM PÉTALA, COM DADOS DE IDENTIFICAÇÃO E ESTERILIZAÇÃO. E</t>
  </si>
  <si>
    <t>LUVA CIRÚRGICA ESTÉRIL TAMANHO Nº 7 - DESCARTÁVEL, EM LÁTEX NATURAL, TEXTURA UNIFORME, FORMATO ANATÔMICO, ALTA SENSIBILIDADE TÁCTIL, BOA ELASTICIDADE, RESISTENTE A TRAÇÃO, PUNHO COM BAINHA OU FRISOS, COMPRIMENTO IGUAL OU SUPERIOR A 28 CM, LUBRIFICADA COM PÓ BI</t>
  </si>
  <si>
    <t xml:space="preserve">LUVA CIRÚRGICA ESTÉRIL TAMANHO Nº 7,5 - DESCARTÁVEL, EM LÁTEX NATURAL, TEXTURA UNIFORME, FORMATO ANATÔMICO, ALTA SENSIBILIDADE TÁCTIL, BOA ELASTICIDADE, RESISTENTE A TRAÇÃO, PUNHO COM BAINHA OU FRISOS, COMPRIMENTO IGUAL OU SUPERIOR A 28 CM, LUBRIFICADA COM PÓ </t>
  </si>
  <si>
    <t>LUVA CIRÚRGICA ESTÉRIL TAMANHO Nº 8 - DESCARTÁVEL, EM LÁTEX NATURAL, TEXTURA UNIFORME, FORMATO ANATÔMICO, ALTA SENSIBILIDADE TÁCTIL, BOA ELASTICIDADE, RESISTENTE A TRAÇÃO, PUNHO COM BAINHA OU FRISOS, COMPRIMENTO IGUAL OU SUPERIOR A 28 CM, LUBRIFICADA COM PÓ BI</t>
  </si>
  <si>
    <t>PAPEL GRAU CIRÚRGICO PARA SELADORA (AUTO CLAVE) 5 X 100 - COMPOSTO DE PAPEL CELULOSE E FILME LAMINADO COM INDICADOR QUÍMICO PARA ESTERILIZAÇÃO A ÓXIDO DE ETILENO E VAPOR, MEDINDO 5CM X 100M</t>
  </si>
  <si>
    <t>PAPEL GRAU CIRÚRGICO PARA SELADORA (AUTO CLAVE) 10 X 100 - COMPOSTO DE PAPEL CELULOSE E FILME LAMINADO COM INDICADOR QUÍMICO PARA ESTERILIZAÇÃO A ÓXIDO DE ETILENO E VAPOR, MEDINDO 10CM X 100M</t>
  </si>
  <si>
    <t>PAPEL GRAU CIRÚRGICO PARA SELADORA (AUTO CLAVE) 15 X 100 - COMPOSTO DE PAPEL CELULOSE E FILME LAMINADO COM INDICADOR QUÍMICO PARA ESTERILIZAÇÃO A ÓXIDO DE ETILENO E VAPOR, MEDINDO 15CM X 100M</t>
  </si>
  <si>
    <t>PAPEL GRAU CIRÚRGICA PARA SELADORA (AUTO CLAVE) 20 X 100 - COMPOSTO DE PAPEL CELULOSE E FILME LAMINADO COM INDICADOR QUÍMICO PARA ESTERILIZAÇÃO A ÓXIDO DE ETILENO E VAPOR, MEDINDO 20CM X 100M</t>
  </si>
  <si>
    <t>PAPEL LENÇOL 70 CM X 50M - PAPEL LENÇOL DESCARTÁVEL EM ROLO, TIPO BOBINA, USO MACA HOSPITALAR, UNIFORMEMENTE ENROLADO EM TUBO, CONFECCIONADO EM 100% DE CELULOSE, MEDINDO 50 METROS DE COMPRIMENTO E 70 CM DE LARGURA, GRAMATURA MÍNIMA DE 30GR/M2, COM ALVURA DE NO</t>
  </si>
  <si>
    <t>PROPÉ DESCARTÁVEL SAPATILHA - NÃO ESTÉRIL, NÃO TECIDO, 100% POLIPROPILENO, COM ACABAMENTO COM ELÁSTICO, COR BRANCA, ATÓXICA E APIROGÊNICO.</t>
  </si>
  <si>
    <t>REMOVEDOR DE ESPARADRAPO C/100ML - SOLUÇÃO DE ÉTER ALCOOLIZADO, COMPOSTA DE ÉTER ETÍLICO E ÁLCOOL ETÍLICO, 35% DE ÉTER V/V, 96% DE ÁLCOOL ETÍLICO V/V, COM FINALIDADE DE REMOÇÃO DE CURATIVOS. EMBALAGENS CONTENDO DADOS DE ROTULAGEM. DEVE ATENDER A RDC 199 DE 26/</t>
  </si>
  <si>
    <t>SERINGA DE INSULINA 1ML C/100 UI COM AGULHA 12,7MM X 0,33 MM - SERINGAS DESCARTÁVEIS, ESTÉREIS, ATÓXICAS, APIROGÊNICAS CILINDRO: ALTAMENTE TRANSPARENTE PERMITE A VISUALIZAÇÃO NÍTIDA DO FLUÍDO ASPIRADO APRESENTA ANEL DE RETENÇÃO QUE IMPEDE O DESPRENDIMENTO DO Ê</t>
  </si>
  <si>
    <t>SONDA FOLEY URETRAL 2 VIAS Nº 10- SONDA DE FOLEY 02 VIAS Nº 10 C/BALÃO - CONFECCIONADA EM LÁTEX SILICONIZADO, COM PONTA DISTAL ATRAUMÁTICA, ESTÉRIL, COM BALÃO RESISTENTE À ALTA PRESSÃO, FÁCIL INSUFLAÇÃO E ENCHIMENTO SIMÉTRICO, EMBALAGEM INDIVIDUAL EM PAPEL GRA</t>
  </si>
  <si>
    <t>SONDA FOLEY URETRAL 2 VIAS Nº 12- SONDA DE FOLEY 02 VIAS Nº 12 C/BALÃO - CONFECCIONADA EM LÁTEX SILICONIZADO, COM PONTA DISTAL ATRAUMÁTICA, ESTÉRIL, COM BALÃO RESISTENTE À ALTA PRESSÃO, FÁCIL INSUFLAÇÃO E ENCHIMENTO SIMÉTRICO, EMBALAGEM INDIVIDUAL EM PAPEL GRA</t>
  </si>
  <si>
    <t>SONDA FOLEY URETRAL 2 VIAS Nº 14- SONDA DE FOLEY 02 VIAS Nº 14 C/BALÃO - CONFECCIONADA EM LÁTEX SILICONIZADO, COM PONTA DISTAL ATRAUMÁTICA, ESTÉRIL, COM BALÃO RESISTENTE À ALTA PRESSÃO, FÁCIL INSUFLAÇÃO E ENCHIMENTO SIMÉTRICO, EMBALAGEM INDIVIDUAL EM PAPEL GRA</t>
  </si>
  <si>
    <t>SONDA FOLEY URETRAL 2 VIAS Nº16 - SONDA DE FOLEY 02 VIAS Nº 16 C/BALÃO - CONFECCIONADA EM LÁTEX SILICONIZADO, COM PONTA DISTAL ATRAUMÁTICA, ESTÉRIL, COM BALÃO RESISTENTE À ALTA PRESSÃO, COM VOLUME DE 20 ML À 30 ML, FÁCIL INSUFLAÇÃO E ENCHIMENTO SIMÉTRICO, EMBA</t>
  </si>
  <si>
    <t>SERINGA DESCARTÁVEL 5ML S/ AGULHA - SERINGA DESCARTÁVEL 5ML - SERINGAS DESCARTÁVEIS, ESTÉREIS, ATÓXICAS, APIROGÊNICAS CILINDRO: ALTAMENTE TRANSPARENTE PERMITE A VISUALIZAÇÃO NÍTIDA DO FLUÍDO ASPIRADO APRESENTA ANEL DE RETENÇÃO QUE IMPEDE O DESPRENDIMENTO DO ÊM</t>
  </si>
  <si>
    <t>SONDA FOLEY URETRAL 2 VIAS Nº 18- SONDA DE FOLEY 02 VIAS Nº 18 C/BALÃO - CONFECCIONADA EM LÁTEX SILICONIZADO, COM PONTA DISTAL ATRAUMÁTICA, ESTÉRIL, COM BALÃO RESISTENTE À ALTA PRESSÃO, COM VOLUME DE 20 ML À 30 ML, FÁCIL INSUFLAÇÃO E ENCHIMENTO SIMÉTRICO, EMBA</t>
  </si>
  <si>
    <t>SONDA FOLEY URETRAL 2 VIAS Nº 20- SONDA DE FOLEY 02 VIAS Nº 20 C/BALÃO - CONFECCIONADA EM LÁTEX SILICONIZADO, COM PONTA DISTAL ATRAUMÁTICA, ESTÉRIL, COM BALÃO RESISTENTE À ALTA PRESSÃO, FÁCIL INSUFLAÇÃO E ENCHIMENTO SIMÉTRICO, EMBALAGEM INDIVIDUAL EM PAPEL GRA</t>
  </si>
  <si>
    <t>SONDA FOLEY URETRAL 2 VIAS Nº 22- SONDA DE FOLEY 02 VIAS Nº 22 C/BALÃO - CONFECCIONADA EM LÁTEX SILICONIZADO, COM PONTA DISTAL ATRAUMÁTICA, ESTÉRIL, COM BALÃO RESISTENTE À ALTA PRESSÃO, FÁCIL INSUFLAÇÃO E ENCHIMENTO SIMÉTRICO, EMBALAGEM INDIVIDUAL EM PAPEL GRA</t>
  </si>
  <si>
    <t>SONDA URETRAL DE ALIVIO Nº 8- PRODUTO ESTÉRIL, DESCARTÁVEL EMBALADO INDIVIDUALMENTE EM PAPEL DE GRAU CIRÚRGICO, COM DADOS DE ESTERILIZAÇÃO E VALIDADE. DEVIDAMENTE REGISTRADO NO MINISTÉRIO DA SAÚDE.</t>
  </si>
  <si>
    <t>SONDA URETRAL DE ALIVIO Nº10- PRODUTO ESTÉRIL, DESCARTÁVEL EMBALADO INDIVIDUALMENTE EM PAPEL DE GRAU CIRÚRGICO, COM DADOS DE ESTERILIZAÇÃO E VALIDADE. DEVIDAMENTE REGISTRADO NO MINISTÉRIO DA SAÚDE.</t>
  </si>
  <si>
    <t>SONDA URETRAL DE ALIVIO N º12 -PRODUTO ESTÉRIL, DESCARTÁVEL EMBALADO INDIVIDUALMENTE EM PAPEL DE GRAU CIRÚRGICO, COM DADOS DE ESTERILIZAÇÃO E VALIDADE. DEVIDAMENTE REGISTRADO NO MINISTÉRIO DA SAÚDE.</t>
  </si>
  <si>
    <t>SONDA URETRAL DE ALIVIO Nº 14-PRODUTO ESTÉRIL, DESCARTÁVEL EMBALADO INDIVIDUALMENTE EM PAPEL DE GRAU CIRÚRGICO, COM DADOS DE ESTERILIZAÇÃO E VALIDADE. DEVIDAMENTE REGISTRADO NO MINISTÉRIO DA SAÚDE.</t>
  </si>
  <si>
    <t>SONDA URETRAL DE ALIVIO Nº 16- PRODUTO ESTÉRIL, DESCARTÁVEL EMBALADO INDIVIDUALMENTE EM PAPEL DE GRAU CIRÚRGICO, COM DADOS DE ESTERILIZAÇÃO E VALIDADE. DEVIDAMENTE REGISTRADO NO MINISTÉRIO DA SAÚDE.</t>
  </si>
  <si>
    <t>TESTE DE GRAVIDEZ HCG (CAIXA COM 100 TESTES) - TESTE RÁPIDO DE HCG 25 MUI, ENSAIO IMUNOCROMATOGRÁFICO PARA A DETECÇÃO QUALITATIVA DE GONADOTROFINA CORIÔNICA HUMANA (HCG) EM AMOSTRAS HUMANAS DE SORO, PLASMA E URINA. DESTINADO COMO AUXILIAR NA DETECÇÃO PRECOCE D</t>
  </si>
  <si>
    <t>TOUCA DESCARTÁVEL (CAIXA COM 100 UNIDADES) - TOUCA CONFECCIONADA EM FALSO TECIDO DE POLIPROPILENO/POLIÉSTER, COM EXTREMIDADES PLISSADAS, ATRAVÉS DE PRODUÇÃO TOTALMENTE AUTOMATIZADA, ELIMINANDO TODO E QUALQUER CONTATO MANUAL. PROPORCIONA MAIOR QUALIDADE, PADRON</t>
  </si>
  <si>
    <t>UMIDIFICADOR DE OXIGÊNIO 250ML - UMIDIFICADOR PARA OXIGÊNIO, CONTENDO TAMPA E CORPO DE NÁILON INJETADO, FRASCO PLÁSTICO DE 250 ML COM NÍVEIS DE MÁXIMO E MÍNIMO, CONEXÃO DE ENTRADA DE OXIGÊNIO COM ROSCA METAL PADRÃO 9/16" X 18 FIOS. ADAPTÁVEL A QUALQUER VÁLVULA</t>
  </si>
  <si>
    <t>Agulha Coleta Sangue À Vácuo Agulha Coleta Sangue À Vácuo, Material:Aço Inoxidável Siliconizado, Dimensão:21 G X 1 1/4", Tipo Ponta:Bisel Curto Trifacetado, Tipo Conexão:Conector Luer Lock Em Plástico, Tipo Fixação:Protetor Plástico, Característica Adicional:C</t>
  </si>
  <si>
    <t>Garrote Garrote, Material*:Borracha Sintética, Isento De Látex Natural, Tipo*:Tipo Fita, Dimensões:Cerca De 2,5 X 35 CM, Apresentação:Em Rolo, Pré Cortada, Embalagem Dispensadora, Tipo Uso:Uso Único GARROTE, MATERIAL :BORRACHA SINTÉTICA, ISENTO DE LÁTEX NATURA</t>
  </si>
  <si>
    <t>Indicador Biológico P/ Processamento De Produtos De Saúde Indicador Biológico P/ Processamento De Produtos De Saúde, Tipo:Terceira Geração, Apresentação:Autocontido, Ampola Com Meio De Cultura, Espécie:Geobacillus Stearothermophilus, Características Adicionais</t>
  </si>
  <si>
    <t>Lenço Descartável Lenço Descartável, Material:Papel, Comprimento:13,2 CM, Largura:21,2 CM, Cor:Branca, Aplicação:Limpeza De Lentes LENÇO UMEDECIDO PARA HIGIENE, DESCARTÁVEL, MATERIAL: FIBRAS RESISTENTES E FLEXÍVEIS, COMPRIMENTO APROXIMADO:20 X 15CM, COR: BRANC</t>
  </si>
  <si>
    <t>Seringa Seringa, Material:Polipropileno, Capacidade:3 ML, Tipo Bico:Bico Central Luer Lock Ou Slip, Adicional:Graduada, Numerada, Modelo:P/ Coleta De Sangue, Componente:C/ Tampa De Vedação De Borracha, Princípio Ativo:C/ Cálcio E Heparina De Lítio, Esterilidad</t>
  </si>
  <si>
    <t>AGULHA HIPODÉRMICA 13 X 4,5 (0,45 MM): DESCARTÁVEL, ESTÉRIL, USO ÚNICO PARA PUNÇÃO. CAIXA COM 100 UNIDADES</t>
  </si>
  <si>
    <t>AGULHA HIPODÉRMICA 20 X 5,5 (0,55 MM): DESCARTÁVEL, ESTÉRIL, DE USO ÚNICO PARA USO MANUAL. CAIXA COM 100 UNIDADES.</t>
  </si>
  <si>
    <t>AGULHA HIPODÉRMICA 25 X 6 (0,6 MM): DESCARTÁVEL, BISEL TRIFACETADO E SILICONIZADO, ADAPTADOR LUER, PROTETOR PP. CAIXA COM 100 UNIDADES.</t>
  </si>
  <si>
    <t>AGULHA HIPODÉRMICA 25 X 7 (0,7 MM): DESCARTÁVEL, ESTÉRIL, AÇO INOXIDÁVEL, BISEL TRIFACETADO. CAIXA COM 100 UNIDADES.</t>
  </si>
  <si>
    <t>AGULHA HIPODÉRMICA 25 X 8 (0,8 MM): CÂNULA DE AÇO INOX, PAREDE FINA, SILICONIZADA, BISEL TRIFACETADO, PROTETOR DE ENCAIXE. CAIXA COM 100 UNIDADES.</t>
  </si>
  <si>
    <t>AGULHA HIPODÉRMICA 30 X 0,80 MM: DESCARTÁVEL, ESTÉRIL, ACONDICIONADA EM CAIXA COM 100 UNIDADES.</t>
  </si>
  <si>
    <t>AGULHA HIPODÉRMICA 30 X 7 (0,7 MM): DESCARTÁVEL, ESTÉRIL, SILICONIZADA, AÇO INOX, BISEL TRIFACETADO. CAIXA COM 100 UNIDADES.</t>
  </si>
  <si>
    <t>AGULHA HIPODÉRMICA 40 X 12 (1,20 MM): DESCARTÁVEL, ESTÉRIL, CÂNULA SILICONIZADA, BISEL TRIFACETADO, PROTETOR PLÁSTICO. CAIXA COM 100 UNIDADES.</t>
  </si>
  <si>
    <t>ALGINATO DE CÁLCIO: CURATIVO/COBERTURA HIPOALERGÊNICA PARA FERIDAS E ÚLCERAS, TAMANHO 10 X 10 CM. CAIXA COM 10 UNIDADES.</t>
  </si>
  <si>
    <t>ATADURA DE CREPE 10 CM X 1,80 M: TECIDO 100% ALGODÃO CRU, DENSIDADE 13 FIOS/CM², ACABAMENTO LATERAL SEM DESFIAMENTO. PACOTE COM 12 UNIDADES.</t>
  </si>
  <si>
    <t>ATADURA DE CREPE 15 CM X 1,80 M: TECIDO 100% ALGODÃO CRU, DENSIDADE DE 13 FIOS/CM². PACOTE CONTENDO 12 UNIDADES.</t>
  </si>
  <si>
    <t>ATADURA DE CREPE 20 CM X 1,80 M: TECIDO 100% ALGODÃO CRU, DENSIDADE 13 FIOS/CM², ELÁSTICA LONGITUDINAL. PACOTE COM 12 UNIDADES.</t>
  </si>
  <si>
    <t>COLETOR PERFUROCORTANTE 13 LITROS: CAIXA COLETORA DE SEGURANÇA EM PAPELÃO RÍGIDO PARA RESÍDUOS DE SAÚDE DESCARTÁVEL.</t>
  </si>
  <si>
    <t>COMPRESSA DE GAZE ESTÉRIL: DIMENSÕES 7,5 X 7,5 CM OU 7,7 X 7,7 CM, DENSIDADE 13 FIOS/CM², HIDRÓFILA, 5 DOBRAS. PACOTE COM 10 UNIDADES.</t>
  </si>
  <si>
    <t>EQUIPO MACROGOTAS: DISPOSITIVO PARA INFUSÃO ENDOVENOSA, TUBO DE 1,5 M COM FILTRO DE AR E INJETOR LATERAL. ESTÉRIL, DE USO ÚNICO.</t>
  </si>
  <si>
    <t>ESPARADRAPO IMPERMEÁVEL: 100% ALGODÃO COM RESINA ACRÍLICA ADESIVA, TAMANHO 10 CM X 4,5 M.</t>
  </si>
  <si>
    <t>ESPÉCULO VAGINAL TAMANHO G: DESCARTÁVEL, INSTRUMENTAL ACRÍLICO TRANSLÚCIDO COM PARAFUSO REGULADOR ACOPLADO. USO ÚNICO.</t>
  </si>
  <si>
    <t>ESPÉCULO VAGINAL TAMANHO M: DESCARTÁVEL, PLÁSTICO/POLÍMERO CRISTAL, MODELO COLLIN, TRAVAMENTO POR ROSCA. USO ÚNICO.</t>
  </si>
  <si>
    <t>ESPÉCULO VAGINAL TAMANHO P: DESCARTÁVEL, POLÍMERO ATÓXICO TRANSLÚCIDO, MODELO COLLIN COM TRAVA TIPO ROSÁCEA.</t>
  </si>
  <si>
    <t>FITA CIRÚRGICA MICROPOROSA 12,5 MM X 10 M: HIPOALERGÊNICA, TIPO MICROPORE COR BRANCA OU PELE, CARRETEL COM CAPA PROTETORA.</t>
  </si>
  <si>
    <t>FITA CIRÚRGICA MICROPOROSA 25 MM X 10 M: BRANCA, HIPOALERGÊNICA, SUBSTRATO DE NÃO-TECIDO, ESPESSURA FINA. ROLO DE 10 M.</t>
  </si>
  <si>
    <t>GEL PARA ECG / ULTRASSOM: GEL CONDUTOR INCOLOR, FRASCO HOSPITALAR DE 1.000 ML (1 LITRO).</t>
  </si>
  <si>
    <t>INDICADOR BIOLÓGICO PARA AUTOCLAVE: INDICADOR AUTOCONTIDO PARA CICLOS A VAPOR SATURADO, LEITURA RÁPIDA. CAIXA COM 10 A 25 UNIDADES.</t>
  </si>
  <si>
    <t>LÂMINA DE BISTURI Nº 11: CONFECCIONADA EM AÇO CARBONO OU INOX, DESCARTÁVEL, ESTÉRIL, EMBALADA INDIVIDUALMENTE. CAIXA COM 100 UNIDADES.</t>
  </si>
  <si>
    <t>LENÇOL DESCARTÁVEL EM ROLO: CONFECCIONADO EM 100% FIBRA DE CELULOSE NATURAL, TEXTURA CREPE, TAMANHO 70 CM X 50 M.</t>
  </si>
  <si>
    <t>LUVA DE LÁTEX PARA PROCEDIMENTO (M): AMBIDESTRA, DESCARTÁVEL, LUBRIFICADA COM PÓ BIOABSORVÍVEL, RESISTENTE. CAIXA COM 100 UNIDADES.</t>
  </si>
  <si>
    <t>LUVA DE LÁTEX PARA PROCEDIMENTO (P): AMBIDESTRA, DESCARTÁVEL, LUBRIFICADA COM PÓ BIOABSORVÍVEL OU SEM PÓ. CAIXA COM 100 UNIDADES.</t>
  </si>
  <si>
    <t>PAPEL GRAU CIRÚRGICO 100 MM X 100 M: BOBINA/ROLO PARA ESTERILIZAÇÃO EM AUTOCLAVE, COM INDICADOR QUÍMICO TERMORREATIVO.</t>
  </si>
  <si>
    <t>PAPEL GRAU CIRÚRGICO 300 MM X 100 M: BOBINA TUBULAR EM CELULOSE BRANQUEADA PARA AUTOCLAVE COM INDICADOR QUÍMICO. ROLO DE 100 M.</t>
  </si>
  <si>
    <t>SACO PLÁSTICO BRANCO LEITOSO 110L: CLASSE II, PARA DESCARTE DE RESÍDUOS INFECTANTES E AMBULATORIAIS DE SAÚDE, PADRÃO NBR 9191. PACOTE COM 100 UNIDADES.</t>
  </si>
  <si>
    <t>SACO PLÁSTICO BRANCO LEITOSO 50L: PARA RESÍDUOS INFECTANTES DE SERVIÇOS DE SAÚDE, SOLDA ESTRELA, PADRÃO NBR 9191. PACOTE COM 100 UNIDADES.</t>
  </si>
  <si>
    <t>SERINGA DESCARTÁVEL 10 ML: CORPO EM POLIPROPILENO, BICO LUERLOCK/SLIP, ESCALA GRADUADA INDELÉVEL, SEM AGULHA. CAIXA COM 100 UNIDADES.</t>
  </si>
  <si>
    <t>SERINGA DESCARTÁVEL 20 ML: CORPO CILÍNDRICO TRANSPARENTE EM PP, BICO LUERLOCK OU SLIP, SEM AGULHA, ESTÉRIL. CAIXA COM 100 UNIDADES.</t>
  </si>
  <si>
    <t>SERINGA DESCARTÁVEL 5 ML C/100 UNIDADES.</t>
  </si>
  <si>
    <t>SERINGA PARA INSULINA 50 UI: CAPACIDADE 0,5 ML, COM AGULHA FIXA ACOPLADA DE 6 MM A 8 MM, DESCARTÁVEL.</t>
  </si>
  <si>
    <t>TESTE RÁPIDO DE GRAVIDEZ HCG CX COM 50 UNIDADES.</t>
  </si>
  <si>
    <t>AGULHA P APLICACAO DE INSULINA C CANETA ULTRAFINE 4MMX023MM C100</t>
  </si>
  <si>
    <t>BOBINA PAPEL GRAU CIRURGICO 20CM X 100M</t>
  </si>
  <si>
    <t>CAMPO CIRURGICO SMS FENESTRATO EST SREF SADESIVO FENESTRA CIRC 10CM D ASSEPTICA D ASSEPTICA EMB P GRAU CIRURGICO 40X40 CM 40GM2</t>
  </si>
  <si>
    <t>CAMPO CIRURGICO SMS S ESTERIL D ASSEPTICA EMB PAPEL GRAU CIRURGICO 40X40 CM 40GM2</t>
  </si>
  <si>
    <t>CATETER DE OCULOS NASAL PVC</t>
  </si>
  <si>
    <t>COLETOR DE URINA COM SISTEMA FECHADO 2000 ML</t>
  </si>
  <si>
    <t>COLETOR PERFUROCORTANTE 7 LT</t>
  </si>
  <si>
    <t>COLETOR UNIVERSAL PEXAME LAB 80 ML CGRAD DE 10 ML</t>
  </si>
  <si>
    <t>CUBA RIM INOX 26X12</t>
  </si>
  <si>
    <t>CURATIVO PLACA HIDROCOLOIDE 20X20 CM</t>
  </si>
  <si>
    <t>ESPARADRAPO BRANCO 10CM X 45 MT</t>
  </si>
  <si>
    <t>EXTENSOR PARA UMIDIFICADOR</t>
  </si>
  <si>
    <t>FRALDA GERIATRICA C ULTRA GEL ABSORVENTE TAM E G C 8 UNID</t>
  </si>
  <si>
    <t>FRALDA GERIATRICA C ULTRA GEL ABSORVENTE TAM G C 8 UNID</t>
  </si>
  <si>
    <t>FRALDA GERIATRICA C ULTRA GEL ABSORVENTE TAM M C 8 UNID</t>
  </si>
  <si>
    <t>FRALDA GERIATRICA C ULTRA GEL ABSORVENTE TAM P C 8 UNID</t>
  </si>
  <si>
    <t>GEL CONDUTOR P ULTRASSON GALAO C 5 LTS</t>
  </si>
  <si>
    <t>KIT PAPANICOLAU ESPATULA AYRES ESCOVA COLETA ENDOCERVICAL PAPROTEGIDA LAMINAFOSCA TAMANHO P</t>
  </si>
  <si>
    <t>KIT PAPANICOLAU ESPATULA AYRES ESCOVA COLETA ENDOCERVICAL PPROTEGIDA LAMINA FOSCA TAMANHO M</t>
  </si>
  <si>
    <t>KIT PAPANICOLAU ESPATULA AYRES ESCOVA COLETA ENDOCERVICAL PPROTEGIDA LAMINA TAMANHO G</t>
  </si>
  <si>
    <t>LAMINA DE BISTURI NO 11 CX COM 100 UNIDADES</t>
  </si>
  <si>
    <t>LAMINA DE BISTURI NO 15 CX COM 100 UNIDADES</t>
  </si>
  <si>
    <t>LAMINA DE BISTURI NO 21 CX COM 100 UNIDADES</t>
  </si>
  <si>
    <t>LAMINA DE BISTURI NO 23 CX COM 100 UNIDADES</t>
  </si>
  <si>
    <t>LANCETAS PARA GLICEMIA C CONCESSAO DE 100 LANCETADOR CX C 100</t>
  </si>
  <si>
    <t>LENCOL DESCARTAVEL C ELASTICO PCT C 10 UNID</t>
  </si>
  <si>
    <t>LUVA DE PROCEDIMENTO 100 LATEX TAM G CX C 100 UNID</t>
  </si>
  <si>
    <t>LUVA DE PROCEDIMENTO 100 LATEX TAM M CX C 100 UNID</t>
  </si>
  <si>
    <t>LUVA DE PROCEDIMENTO 100 LATEX TAM P CX C 100 UNID</t>
  </si>
  <si>
    <t>PAPEL LENCOL 50 CM X 50 M</t>
  </si>
  <si>
    <t>SACO DE LIXO P RESIDUOS INFECTANTES 100 LITROS PCT C 100 UNIDADES PACOTE COM 100 UNIDADES</t>
  </si>
  <si>
    <t>SACO DE LIXO P RESIDUOS INFECTANTES 15 LITROS PCT C 100 UNIDADES PACOTE COM 100 UNIDADES</t>
  </si>
  <si>
    <t>SACO DE LIXO P RESIDUOS INFECTANTES 50 LITROS PCT C 100 UNIDADES PACOTE COM 100 UNIDADES</t>
  </si>
  <si>
    <t>SERINGA DESCARTAVEL 10 ML</t>
  </si>
  <si>
    <t>SERINGA DESCARTAVEL 20 ML</t>
  </si>
  <si>
    <t>SERINGA DESCARTAVEL 3 ML</t>
  </si>
  <si>
    <t>SERINGA DESCARTAVEL 5 ML</t>
  </si>
  <si>
    <t>SERINGA DESCARTAVEL COM AGULHA P INSULINA DE 80 X 030 MM 1 ML</t>
  </si>
  <si>
    <t>SONDA URETRAL DESCARTAVEL NO 10</t>
  </si>
  <si>
    <t>SONDA URETRAL NO 12</t>
  </si>
  <si>
    <t>TESTE INDICADORES BIOLOGICOS P AUTOCLAVE</t>
  </si>
  <si>
    <t>TOUCA CIRURGICA TNT DESCARTABEL EMB C100 UNIDADES</t>
  </si>
  <si>
    <t>Dreno Cirúrgico modelo: de penrose, material: látex, dimensões: cerca de 12 mm x 30, componente i: c/ gaze, componente ii: radiopaco, tipo uso: estéril, descartável, embalagem: embalagem individual</t>
  </si>
  <si>
    <t>Dreno Cirúrgico modelo: de penrose, material: látex, dimensões: cerca de 20 mm x 30, componente i: c/ gaze, componente ii: radiopaco, tipo uso: estéril, descartável, embalagem: embalagem individual</t>
  </si>
  <si>
    <t>Fio De Sutura Agulhado material fio: poliéster c/ algodão azul, modelo fio: multifilamentar, diâmetro fio: 0 / 1-0, comprimento fio: cerca de 70, tipo agulha: agulha 3/8 círculo, modelo agulha: cilíndrica, comprimento agulha: cerca de 30, esterilidade: estéril</t>
  </si>
  <si>
    <t>Fio De Sutura Agulhado material fio: poliglecaprone violeta, modelo fio: monofilamentar, diâmetro fio: 2-0, comprimento fio: cerca de 70, tipo agulha: agulha 1/2 círculo, modelo agulha: cilíndrica, comprimento agulha: cerca de 26, esterilidade: estéril, aprese</t>
  </si>
  <si>
    <t>Tubo Supraglótico tipo: máscara laríngea, material*: silicone, formato: em "l", tamanho*: nº 5, componente 1: c/ linha de referência, conector: c/ conector padrão, componente adicional: c/ manopla elevação de epiglote, esterilidade*: reutilizável</t>
  </si>
  <si>
    <t>MÁSCARA RESPIRADOR PFF2</t>
  </si>
  <si>
    <t>LUVA DE PVC VERDE CANO LONGO (EPI) - TAMANHOS P, M, G E GG</t>
  </si>
  <si>
    <t>AVENTAL DE SEGURANÇA EM PVC, IMPERMEÁVEL</t>
  </si>
  <si>
    <t>LUVA CIRÚRGICA APRESENTAÇÃO: EM PAR, COR: C/ COR, EMBALAGEM: EMBALAGEM INDIVIDUAL, ESTERILIDADE: ESTÉRIL, USO ÚNICO, FORMATO: ANATÔMICO, MATERIAL: BORRACHA MISTA - LÁTEX C/ REVESTIMENTO SINTÉTICO, PÓ: SEM PÓ, SUPERFÍCIE: SUPERFÍCIE TEXTURIZADA, TAMANHO: Nº 8,0</t>
  </si>
  <si>
    <t>TOUCA APLICAÇÃO: EPI, CARACTERÍSTICAS ADICIONAIS: ANTI-CHAMA COM ABERTURA FACIAL, COR: BRANCA, MATERIAL: MALHA TECIDA COM FILAMENTOS DE META-ARAMIDA, TIPO: BALACLAVA Deve seguir descrição do TR.</t>
  </si>
  <si>
    <t>MASCARA PFF2/N95</t>
  </si>
  <si>
    <t>TOUCA DESCARTAVEL - PACOTE COM 100 UNIDADES</t>
  </si>
  <si>
    <t>AGULHA GENGIVAL LONGA 27 G DESCARTAVEL</t>
  </si>
  <si>
    <t>AGULHA GENGIVAL CURTA 30 G DESCARTAVEL</t>
  </si>
  <si>
    <t xml:space="preserve">CURATIVO DE ALGINATO DE CALCIO E PRATA Curativo de hidrofibra com alginato de cálcio e prata, tamanho 15 cm x 15 cm, com alta capacidade absorção, estéril, recortável, composto por alginato de cálcio, carboximetilcelulose sódica e prata iônica com dispensação </t>
  </si>
  <si>
    <t>FRALDA DESCARTAVEL, INFANTIL, TAMANHO P (ATE 6 KG)</t>
  </si>
  <si>
    <t>FRALDA DESCARTAVEL, INFANTIL, TAMANHO M (DE 4 A 9,5KG)</t>
  </si>
  <si>
    <t>FRALDA DESCARTAVEL, INFANTIL, TAMANHO G (DE 9 A 12,5KG)</t>
  </si>
  <si>
    <t>FRALDA DESCARTAVEL, INFANTIL, TAMANHO EG (DE 11 A 15KG)</t>
  </si>
  <si>
    <t>FRALDA DESCARTAVEL, INFANTIL, TAMANHO XXG (ACIMA DE 13KG)</t>
  </si>
  <si>
    <t>FRALDA DESCARTAVEL GERIATRICA, TAMANHO P (30 A 40KG)</t>
  </si>
  <si>
    <t>FRALDA DESCARTAVEL GERIATRICA, TAMANHO M (DE 40 A 70KG)</t>
  </si>
  <si>
    <t>FRALDA DESCARTAVEL GERIATRICA, TAMANHO G (DE 70 A 90KG)</t>
  </si>
  <si>
    <t>FRALDA DESCARTAVEL GERIATRICA, TAMANHO EG (ACIMA DE 85KG)</t>
  </si>
  <si>
    <t>FRALDA DESCARTAVEL GERIATRICA, TAMANHO P/M, SEMELHANTE A UMA ROUPA INTIMA, (TIPO CALCINHA)</t>
  </si>
  <si>
    <t>FRALDA DESCARTAVEL GERIATRICA, TAMANHO G/XG, SEMELHANTE A UMA ROUPA INTIMA, (TIPO CALCINHA)</t>
  </si>
  <si>
    <t>Agulha Gengival Descartável Curta - Agulha Odontológica descartável, confeccionada em aço inox, com protetor. Embalagem individual estéril com dados de identificação e procedência, data e tipo de esterilização e tempo de validade. Tamanho:- Curta: calibre 30 G</t>
  </si>
  <si>
    <t>AGULHA GENGIVAL 27 G (LONGA) - CX. C/ 100 - APRESENTAR AMOSTRA Marca: SR - SALDANHA RODRIGUES</t>
  </si>
  <si>
    <t>Equipo De Nutrição Enteral material: pvc, c/ cor, tipo: gravitacional, 1 via, câmara gotejamento: macrogotas, flexível, regulador de fluxo manual: pinça rolete, conector dieta: ponta perfurante, conector paciente: escalonado, comprimento total do tubo: até 180</t>
  </si>
  <si>
    <t>Campo Cirúrgico Descartável modelo: oftalmológico, fenestrado, material: não tecido 100% polipropileno - tipo sms, propriedade: hidrorepelente, reforço: s/ reforço, fixação: adesiva, coletor: c/ coletor de fluído, dimensões: cerca de 100 x 125, cor: c/ cor, es</t>
  </si>
  <si>
    <t>CABO P/ BISTURI N3 ODONTO</t>
  </si>
  <si>
    <t>Moldeira tipo vernes, para pacientes dentados, em aço inox, Inferior 1 (I-1)</t>
  </si>
  <si>
    <t>Moldeira tipo vernes, para pacientes dentados, em aço inox, Inferior 2 (I-2)</t>
  </si>
  <si>
    <t>Moldeira tipo vernes, para pacientes dentados, em aço inox, Superior 1 (S-1)</t>
  </si>
  <si>
    <t>Moldeira tipo vernes, para pacientes dentados, em aço inox, Superior 2 (S-2)</t>
  </si>
  <si>
    <t xml:space="preserve">AGULHA GENGIVAL DESCARTÁVEL CURTA, ACO INOX - 30 G: agulha gengival descartável; calibre 30 G, curta; confeccionada em aço inoxidável; siliconizada e tribiselada, esterilizada com raio gama – cobalto, embalada individualmente com lacre em plástico resistente; </t>
  </si>
  <si>
    <t xml:space="preserve">AGULHA GENGIVAL, DESCARTÁVEL, EXTRA CURTA, 30 G (CX. C/100): agulha gengival descartavel; calibre 30 g - extra curta; confeccionada em aco inoxidavel; embalada individualmente com lacre em plastico resistente; em caixa com 100 unidades; constando externamente </t>
  </si>
  <si>
    <t>Compressa de gaze - 7,5 x 7,5 Cm. Não estéril; confeccionada com 13 fios de algodão puro, com 8 dobras, embalagem com 500 unidades. De acordo com a legislação atual vigente.</t>
  </si>
  <si>
    <t>FIO DE SUTURA CIRÚRGICO ABSORVÍVEL 4-0: Fio de sutura cirúrgico sintético, absorvível, estéril, composto de copolímero obtido a partir de glicolida de lactida, revestida com poliglactina 370 e estearato de cálcio incolor, construído por trançamento. Mantém apr</t>
  </si>
  <si>
    <t xml:space="preserve">FIO, SUTURA, SEDA, Nº 4.0, COM AGULHA: Fio de sutura cirúrgico não absorvível, confeccionado em seda natural trançada, calibre 4-0, cor preta e com comprimento de 45cm. O fio deve ser fornecido estéril, em embalagem individual, com validade mínima de 24 meses </t>
  </si>
  <si>
    <t>PONTA PARA SUGADOR, DESCARTÁVEL: ponta para sugador odontológico, de plástico, descartável, atóxico, com no mínimo 40 unidades (embalada em 1 ou mais volumes). Constando externamente marca comercial, procedência e data de fabricação. Validade mínima de 60% (se</t>
  </si>
  <si>
    <t>Fita para autoclave para controle de temperatura em autoclave, medindo aproximadamente 19 mm x 30 m, com boa aderência e alteração de coloração após exposição a temperaturas elevadas, embalagem contendo identificação, procedência e data de validade.</t>
  </si>
  <si>
    <t>PAPEL GRAU CIRURGICO 10CMx100 MT</t>
  </si>
  <si>
    <t>PAPEL GRAU CIRURGICO 25CMx100 MT</t>
  </si>
  <si>
    <t>Papel grau cirurgico tubolar medindo 15 centimetros x 100 metros</t>
  </si>
  <si>
    <t>Papel grau cirurgico tubular medindo 20 centimetros x 100 metros</t>
  </si>
  <si>
    <t>Papel grau cirurgico tubular medindo 5 centimetros x 100 metros</t>
  </si>
  <si>
    <t>EQUIPO MACROGOTAS PARA ADMINISTRACAO DE SOLUCOES</t>
  </si>
  <si>
    <t>EQUIPO MICROGOTAS COM BURETA PARA ADMINISTRACAO DE</t>
  </si>
  <si>
    <t>EQUIPO PARA DIETA ENTERAL, MACROGOTAS</t>
  </si>
  <si>
    <t>ESPARADRAPO IMPERMEAVEL, NA COR BRANCA, MEDINDO:</t>
  </si>
  <si>
    <t>ESPECULO VAGINAL, MODELO COLLINS, DESCARTAVEL,</t>
  </si>
  <si>
    <t>FITA MICROPOROSA, EM ROLOS DE 25MM X 10M</t>
  </si>
  <si>
    <t>GAZE ESTÉRIL (PACOTES) - Gaze estéril destinada à limpeza, cobertura e proteção de ferimentos, conforme utilização profissional</t>
  </si>
  <si>
    <t>ATADURA DE CREPE DE ALGODÃO - Atadura de crepe de algodão, aproximadamente 13 fios, com dimensão aproximada de 15cm X 1,80m, destinada à fixação de curativos e suporte em procedimentos</t>
  </si>
  <si>
    <t>LANCETAS - Lancetas estéries, de uso único, destinadas à obtenção de amostra de sangue capilar para realização de testes de glicemia, compatíveis com o procedimento e equipamento utilizado</t>
  </si>
  <si>
    <t>PAPEL LENÇOL - Rolo com aproximadamente 70 cm de largura, destinado à proteção da superfície utilizada nos atendimentos.</t>
  </si>
  <si>
    <t>LANCETADOR UNIVERSAL - É usado principalmente para obter pequenas amostras de sangue capilar para o teste de glicemia.</t>
  </si>
  <si>
    <t>COMPRESSA DE GAZE COMPRESSA DE GAZE HIDRÓFILA, INDICADO PARA CURATIVOS E CIRURGIAS, PRODUTO ESTERILIZADO A ÓXIDO DE ETILENO, FABRICADO EM 100% ALGODÃO, ESTÉRIL, MEDINDO 7,5 CM X 7,5 CM, COM 13 FIOS/CM² EMBALAGEM CONTENDO 10 UNIDADES, APRESENTANDO 8 CAMADAS E 5</t>
  </si>
  <si>
    <t>FRALDA DESCARTÁVEL GERIÁTRICA TAMANHO G CONFORTÁVEL E SEGURANÇA PARA PESSOAS COM INCONTINÊNCIA URINÁRIA MODERADA A INTENSA. TECNOLOGIA DE RÁPIDA ABSORÇÃO E PROTEÇÃO AVANÇADA ATÉ 12 HORAS. BARREIRAS ANTIVAZAMENTOS. CAMADA EXTERNA RESPIRÁVEL, PERMITINDO A CIRCUL</t>
  </si>
  <si>
    <t>FRALDA DESCARTÁVEL GERIÁTRICA TAMANHO M CONFORTÁVEL E SEGURANÇA PARA PESSOAS COM INCONTINÊNCIA URINÁRIA MODERADA A INTENSA. TECNOLOGIA DE RÁPIDA ABSORÇÃO E PROTEÇÃO AVANÇADA ATÉ 12 HORAS. BARREIRAS ANTIVAZAMENTOS. CAMADA EXTERNA RESPIRÁVEL, PERMITINDO A CIRCUL</t>
  </si>
  <si>
    <t>FRALDA DESCARTÁVEL GERIÁTRICA TAMANHO P CONFORTÁVEL E SEGURANÇA PARA PESSOAS COM INCONTINÊNCIA URINÁRIA MODERADA A INTENSA. TECNOLOGIA DE RÁPIDA ABSORÇÃO E PROTEÇÃO AVANÇADA ATÉ 12 HORAS. BARREIRAS ANTIVAZAMENTOS. CAMADA EXTERNA RESPIRÁVEL, PERMITINDO A CIRCUL</t>
  </si>
  <si>
    <t>FRALDA DESCARTÁVEL GERIÁTRICA TAMANHO XG CONFORTÁVEL E SEGURANÇA PARA PESSOAS COM INCONTINÊNCIA URINÁRIA MODERADA A INTENSA. TECNOLOGIA DE RÁPIDA ABSORÇÃO E PROTEÇÃO AVANÇADA ATÉ 12 HORAS. BARREIRAS ANTIVAZAMENTOS. CAMADA EXTERNA RESPIRÁVEL, PERMITINDO A CIRCU</t>
  </si>
  <si>
    <t>FRALDA DESCARTÁVEL PARA USO INFANTIL NO TAMANHO PEQUENO ATÉ 5KG COMPOSTA DE FIBRAS DE CELULOSE E POLIPROPILENO FILMES DE POLIETILENO E POLIPROPILENO ADESIVOS TERMOPLÁSTICOS, FIOS ELÁSTICOS NAS PERNAS, FRAGRÂNCIA E FLOCOGEL, BARREIRAS ANTIVAZAMENTO DE ACORDO CO</t>
  </si>
  <si>
    <t>FRALDA DESCARTÁVEL PARA USO INFANTIL; NO TAMANHO EXTRA GRANDE DE 12 A 17 KG NO MÍNIMO; COMPOSTA DE FIBRAS DE CELULOSE E POLIPROPILENO; FILMES DE POLIETILENO E POLIPROPILENO; ADESIVOS TERMOPLÁSTICOS, FIOS ELÁSTICOS NAS PERNAS, FRAGRÂNCIA E FLOCOGEL, BARREIRAS A</t>
  </si>
  <si>
    <t>FRALDA DESCARTÁVEL PARA USO INFANTIL; NO TAMANHO GRANDE DE 9 A 12 KG NO MÍNIMO; COMPOSTA DE FIBRAS DE CELULOSE E POLIPROPILENO; FILMES DE POLIETILENO E POLIPROPILENO; ADESIVOS TERMOPLÁSTICOS, FIOS ELÁSTICOS NAS PERNAS, FRAGRÂNCIA E FLOCOGEL, BARREIRAS ANTIVAZA</t>
  </si>
  <si>
    <t>FRALDA DESCARTÁVEL PARA USO INFANTIL; NO TAMANHO MÉDIO DE 5 A 9 KG NO MÍNIMO; COMPOSTA DE FIBRAS DE CELULOSE E POLIPROPILENO; FILMES DE POLIETILENO E POLIPROPILENO; ADESIVOS TERMOPLÁSTICOS, FIOS ELÁSTICOS NAS PERNAS, FRAGRÂNCIA E FLOCOGEL, BARREIRAS ANTIVAZAME</t>
  </si>
  <si>
    <t>LENÇO UMEDECIDO; TAMANHO GRANDE; POTE COM 450 UNIDADES</t>
  </si>
  <si>
    <t>Fio De Sutura Agulhado material fio: polipropileno azul, modelo fio: monofilamentar, diâmetro fio: 3-0, comprimento fio: cerca de 70, tipo agulha: 2 agulhas 1/2 círculo nas extremidades, modelo agulha: cilíndrica, comprimento agulha: cerca de 30, esterilidade:</t>
  </si>
  <si>
    <t>LANCETAS SIMPLES PARA PUNÇÃO DIGITAL, ESTÉRIL E DESCARTÁVEL, FORMATO UNIVERSAL, TAMANHO 28G, CAIXA COM 100 UNIDADES</t>
  </si>
  <si>
    <t>LANCETAS PARA PUNÇÃO DIGITAL, ESTERILIZADAS, CALIBRE 28G (0,375MM), AGULHA METÁLICA COM BASE DE POLÍMERO PLÁSTICO DESENVOLVIDA PARA USO COM LANCETADOR</t>
  </si>
  <si>
    <t>SERINGA DE 1,0ml (100UI) PARA APLICAÇÃO DE INSULINA - Descartável, estéril, confeccionada em plástico transparente, atóxico, com agulha fixa de 6,0mm X 0,25mm, confeccionada em aço inoxidável, siliconizada, nivelada, polida, cilíndrica, reta, oca, com bisel tr</t>
  </si>
  <si>
    <t>SERINGA DE 0,5ml (50UI) PARA APLICAÇÃO DE INSULINA - Descartável, estéril, confeccionada em plástico transparente, atóxico, com agulha fixa de 6,0mm X 0,25mm, confeccionada em aço inoxidável, siliconizada, nivelada, polida, cilíndrica, reta, oca, com bisel tri</t>
  </si>
  <si>
    <t>LANCETAS PARA PUNÇÃO DIGITAL, ESTERILIZADAS, CALIBRE 28G (0,375MM)</t>
  </si>
  <si>
    <t>SERINGA DE 1,0ml (100UI) PARA APLICAÇÃO DE INSULINA - Descartável, estéril, confeccionada em plástico transparente</t>
  </si>
  <si>
    <t>SERINGA DE 0,5ml (50UI) PARA APLICAÇÃO DE INSULINA - Descartável, estéril, confeccionada em plástico transparente</t>
  </si>
  <si>
    <t>Eletrodo Uso Médico acessório: s/ cabo, adicional 1: c/ gel condutor, aplicação 1: p/ monitorização cardíaca - ecg, esterilidade: uso único, material sensor: prata/prata clorada, modelo: de superfície, tamanhos: adulto, tipo: adesivo ELETRODO ADULTO AUTO ADESI</t>
  </si>
  <si>
    <t>Eletrodo Uso Médico acessório: s/ cabo, adicional 1: c/ gel condutor, aplicação 1: p/ monitorização cardíaca - ecg, esterilidade: uso único, material sensor: prata/prata clorada, modelo: de superfície, tamanhos: infantil, tipo: adesivo ELETRODO INFANTIL AUTO A</t>
  </si>
  <si>
    <t>Cota Principal - ESPARADRAPO IMPERMEAVEL, BRANCO 10CMX4,5M</t>
  </si>
  <si>
    <t>Cota Principal - COMPRESSA DE GAZE, ESTERIL, 13 FIOS, 7,5 X 7,5CM (5 UN)</t>
  </si>
  <si>
    <t>Cota Principal - COLETOR UNIVERSAL (80 ML)</t>
  </si>
  <si>
    <t>AGULHA DESCARTÁVEL PARA PUNÇÃO LOMBAR 22G X 3,5"</t>
  </si>
  <si>
    <t>ESPÉCULO VAGINAL DESCARTÁVEL TAMANHO GRANDE</t>
  </si>
  <si>
    <t>FITA TESTE, TIPO BOWIE &amp; DICK, PARA MONITORIZAÇÃO DE ESTERELIZAÇÃO A VAPOR E TESTE DA EFICÁCIA DO SISTEMA DE VÁCUO EM AUTOCLAVES A VAPOR PRÉ-VÁCUO. ISENTO DE CHUMBO E METAIS PESADOS. PACOTE PRONTO ENV</t>
  </si>
  <si>
    <t>FRALDA DESCARTÁVEL INFANTIL GG, INDICADA PARA CRIANÇA COM FAIXA DE PESO ENTRE 09 A 13 KG, FORMATO ANATÔMICO, COM BARREIRAS PROTETORAS ANTIVAZAMENTO, FECHAMENTO POR MEIO DE FITAS ADESIVAS REPOSICIONÁVE</t>
  </si>
  <si>
    <t>FRASCO DE COLETA DE SECREÇÃO BRÔNQUICA, DESCARTÁVEL, ESTÉRIL COM CAPACIDADE DE 1000 ML, UTILIZADO EM SISTEMA FECHADO DE ASPIRAÇÃO COM CAPA ENVOLVENTE PARA NÃO VISUALIZAÇÃO DO CONTEÚDO, VÁLVULA DE SEGU</t>
  </si>
  <si>
    <t>GEL PARA ULTRASSONOGRAFIA - GEL CONDUTOR PARA TRANSMISSÃO ULTRASSÔNICA POR MEIO DE CONTATO, INODORO, INCOLOR, TRANSPARENTE, I</t>
  </si>
  <si>
    <t>KIT CIRCUITO RESPIRATÓRIO COMPLETO, TAMANHO ADULTO, COMPATÍVEL COM RESPIRADOR AVEA/OXISYSTEM/VELLA, PATRIMÔNIO NÚMERO 336532, COMPOSTO DE: CONJUNTO DE TRAQUEIAS EM SILICONE AUTOCLAVÁVEL, TRANSPARENTES</t>
  </si>
  <si>
    <t>MÁSCARA DE OXIGÊNIO ADULTO DE NÃO-REINALAÇÃO, TRANSPARENTE, FABRICADA EM VINIL MACIO COM PRESILHA AJUSTÁVEL DE NARIZ, COM RES</t>
  </si>
  <si>
    <t>MÁSCARA DE OXIGÊNIO TAMANHO INFANTIL COM RESERVATÓRIO E DE NÃO-REINALAÇÃO, MÁSCARA CONFECCIONADA EM VINIL MACIO, TRANSPARENTE, COM PRESILHA AJUSTÁVEL DE NARIZ; EXTENSÃO CONFECCIONADA EM PVC FLEXÍVEL,</t>
  </si>
  <si>
    <t>SONDA MÁSCARA LARINGEA DESCARTÁVEL, TAMANHO 3 - 30-50KG.</t>
  </si>
  <si>
    <t>SONDA MÁSCARA LARINGEA DESCARTÁVEL, TAMANHO 4 - 50-70KG.</t>
  </si>
  <si>
    <t>SONDA MÁSCARA LARINGEA DESCARTÁVEL, TAMANHO 5 - 70-100KG.</t>
  </si>
  <si>
    <t>ASPIRADOR CIRÚRGICO ASPIRADOR CIRÚRGICO</t>
  </si>
  <si>
    <t>Sonda Trato Urinário modelo: uretral, material: poliuretano, calibre: 10, conector: conector padrão, comprimento: cerca 20, tipo ponta: ponta distal cilíndrica fechada, componentes: c/ orifícios laterais, adicionais: lubrificada, esterilidade: estéril, descart</t>
  </si>
  <si>
    <t>Sonda Trato Urinário modelo: uretral, material: silicone, calibre: 12, conector: conector padrão c/ tampa, comprimento: cerca 40, tipo ponta: ponta distal cilíndrica fechada, componentes: c/ orifícios laterais, esterilidade: estéril, descartável, embalagem: em</t>
  </si>
  <si>
    <t>Fio De Sutura Agulhado material fio: nylon / poliamida preto, modelo fio: monofilamentar, diâmetro fio: 4-0, comprimento fio: cerca de 45, tipo agulha: agulha 1/2 círculo, modelo agulha: cortante reversa / invertida, comprimento agulha: cerca de 24, esterilida</t>
  </si>
  <si>
    <t>FRALDA DESCARTAVEL INFANTIL TAMANHO XXXG.</t>
  </si>
  <si>
    <t>001 FRALDA GERIÁTRICA DESCARTÁVEL,TAMANHO M , PARA USO ADULTO , DIURNO E NOTURNO</t>
  </si>
  <si>
    <t>002 FRALDA GERIÁTRICA DESCARTÁVEL, TAMANHO G , PARA USO ADULTO , DIURNO E NOTURNO</t>
  </si>
  <si>
    <t>Locação / Manutenção de Equipamentos Permanentes Locação de Bomba de Infusão de Seringa Quantidade: 35</t>
  </si>
  <si>
    <t>Cota Principal - SERINGA DESCARTAVEL 20 ML</t>
  </si>
  <si>
    <t>Cota Reservada - SERINGA DESCARTAVEL 20 ML</t>
  </si>
  <si>
    <t>Cota Principal - SERINGA DESCARTAVEL 10ML</t>
  </si>
  <si>
    <t>Cota Reservada - SERINGA DESCARTAVEL 10ML</t>
  </si>
  <si>
    <t>Cota Principal - SERINGA DESCARTAVEL COM DISPOSITIVO DE SEGURANCA, 3 ML</t>
  </si>
  <si>
    <t>Cota Reservada - SERINGA DESCARTAVEL COM DISPOSITIVO DE SEGURANCA, 3 ML</t>
  </si>
  <si>
    <t>Coletor De Resíduos De Serviço De Saúde tipo de resíduo: grupo e - resíduo perfurocortante infectante, tipo risco: risco biológico, capacidade: cerca de 1, material: caixa de papelão c/ saco plástico, adicional: c/ alça, uso: uso único</t>
  </si>
  <si>
    <t>Fio De Sutura Agulhado material fio: seda preto, modelo fio: multifilamentar, diâmetro fio: 4-0, comprimento fio: cerca de 45, tipo agulha: agulha 3/8 círculo, modelo agulha: cortante reversa / invertida, comprimento agulha: cerca de 14, esterilidade: estéril,</t>
  </si>
  <si>
    <t>Indicador Biológico P/ Processamento De Produtos De Saúde tipo: terceira geração, apresentação: autocontido, ampola com meio de cultura, espécie: bacillus stearothermophillus, características adicionais: resposta em 48 horas, aplicação: para esterilização a va</t>
  </si>
  <si>
    <t>Avental Cirúrgico - Paramentação esterilidade: estéril, uso único, material: não tecido 100% polipropileno - tipo sms, tipo de barreira: c/ barreira bacteriana, propriedade: hidrorepelente, gramatura: cerca de 40, modelo manga: longa c/ punho em malha, tamanho</t>
  </si>
  <si>
    <t>Dreno Cirúrgico modelo: tubular, centro rígido c/ 4 canais, material: silicone, calibre: 24, componente ii: radiopaco, tipo uso: estéril, descartável, embalagem: embalagem individual</t>
  </si>
  <si>
    <t>Extensor Infusão Vascular tipo: p/ bomba injetora contraste, vias: 2 vias, material: polímero, comprimento: cerca 120, calibre: cerca 12, tipo conexão: luer lock / slip, pressão máxima: alta pressão até 1200, tipo uso: estéril, uso único</t>
  </si>
  <si>
    <t>Equipo P/ Bomba De Infusão material: sem pvc e dehp, âmbar, p/ solução fotossensível, material adicional: com segmento de silicone, câmara gotejamento: macrogotas, flexível, c/ respiro e filtro, regulador de fluxo manual: pinça rolete, comprimento total do tub</t>
  </si>
  <si>
    <t>Equipo P/ Bomba De Infusão material: pvc transparente, material adicional: sem segmento de silicone, câmara gotejamento: macrogotas, flexível, c/ filtro, regulador de fluxo manual: pinça rolete, comprimento total do tubo: acima de 181 cm, tipo injetor lateral:</t>
  </si>
  <si>
    <t>Equipo P/ Bomba De Infusão material: sem pvc e dehp, transparente, material adicional: com segmento de silicone, câmara gotejamento: macrogotas, flexível, c/ respiro, regulador de fluxo manual: pinça rolete, comprimento total do tubo: acima de 181 cm, tipo inj</t>
  </si>
  <si>
    <t xml:space="preserve">Material Gasoterapia modelo: umidificador aquecido, saída: p/ oxigênio e ar comprimido, tamanho: único, tipo frasco: frasco plástico, base metálica, volume: cerca de 250, componentes: c/ vedação, outros componentes: conector de entrada e saída, esterilidade*: </t>
  </si>
  <si>
    <t>24003 COLETOR SISTEMA FECHADO P URINA CATMAT: 419373 BOLSA COLETORA DE URINA SISTEMA FECHADO MATERIAL*: PVC TIPO*: SISTEMA FECHADO CAPACIDADE*: CERCA DE 2000 ML GRADUAÇÃO: GRADUAÇÃO DE 100 EM 100 ML VÁLVULA: VÁLVULA ANTIREFLUXO PINÇA: CLAMP CORTA FLUXO FILTRO:</t>
  </si>
  <si>
    <t>FRALDA GERIATRICA TAMANHO XG</t>
  </si>
  <si>
    <t>FRALDA GERIATRICA TAMANHO P (MARCA BIGFRAL)</t>
  </si>
  <si>
    <t>Gel Para Exame Médico composição: a base de água, aplicação: condutor, características adicionais: ph neutro, esterilidade: estéril</t>
  </si>
  <si>
    <t>SERINGA DESCARTAVEL 5 ML SEM AGULHA</t>
  </si>
  <si>
    <t>CADARÇO SARJADO PARA FIXAÇÃO DE TRAQUEOSTOMIA</t>
  </si>
  <si>
    <t>CATETER INTRAVENOSO 22G</t>
  </si>
  <si>
    <t>LUVA PARA PROCEDIMENTO NITRILICA ANTIALERGICA - SEM TALCO - TAMANHO GRANDE</t>
  </si>
  <si>
    <t>PAPEL LENCOL DESCARTAVEL EM ROLO, BRANCO, 50X70, ESPESSURA 0,15MM</t>
  </si>
  <si>
    <t>COMPRESSA DE GAZE NÃO ESTÉRIL CONFECCIONADA COM 13 FIOS POR CM2 COM 8 CAMADAS 5 DOBRAS, MEDINDO 7,5 X 7,5 CM, EMTECIDO 100% ALGODÃO... CONF TERMO DE REFERÊNCIA.</t>
  </si>
  <si>
    <t>AGULHA PARA CANETA DE INSULINA 4MM 32G 0,23MM ATÓXICA APIROGÊNICAS CONFECCIONADAS EM AÇO INOXIDÁVEL SILICONIZADA, BISEL TRIFACETADO COMPATIBILIDADE COM TODOS OS SISTEMAS DE INSULINA (CANETAS) CAIXA COM 100UNS</t>
  </si>
  <si>
    <t>AGULHA PARA CANETA DE INSULINA 6MM 31G 0,25MM ATÓXICA APIROGÊNICAS CONFECCIONADAS EM AÇO INOXIDÁVEL SILICONIZADA, BISEL TRIFACETADO COMPATIBILIDADE COM TODOS OS SISTEMAS DE INSULINA (CANETAS)</t>
  </si>
  <si>
    <t>COLETOR DE URINA SISTEMA FECHADO, COM VALVULA ANTI REFLUXO - CONFORME TERMO DE REFERÊNCIA.</t>
  </si>
  <si>
    <t>Compressa Cirurgica; Em Tecido de 100% Algodao,isenta de Alvejante Optico; Com 04 Camadas de Tecido Sobreposto; Com Costura Reforcada,bordas Bem Acabadas; Com Cadarco Em 100% Algodao C/30cm de Comprimento. COnf. termo de referência.</t>
  </si>
  <si>
    <t>COMPRESSA CIRÚRGICA DE GAZE HIDRÓFILA, ESTÉRIL, ALTAMENTE ABSORVENTE, CONFECCIONADA EM TECIDO BRANCO 100% ALGODÃO... CONF TERMO DE REFERÊNCIA.</t>
  </si>
  <si>
    <t>ESPECULO VAGINAL DESCARTAVEL EM POLIETILENO CRISTAL, COLLINS, ELEMENTOS ARTICULADOS SIMETRICOS, CONTORNOS REGULARES E SEM REBARBAS TAMANHO Nº 3 (GRANDE)... CONF TERMO DE REFERÊNCIA.</t>
  </si>
  <si>
    <t>ESPECULO VAGINAL DESCARTAVEL EM POLIETILENO CRISTAL, COLLINS, ELEMENTOS ARTICULADOS SIMETRICOS, CONTORNOS REGULARES E SEM REBARBAS TAMANHO Nº 2 (MEDIO) - CONF TERMO DE REF.</t>
  </si>
  <si>
    <t>ESPECULO VAGINAL DESCARTAVEL EM POLIETILENO CRISTAL, COLLINS, ELEMENTOS ARTICULADOS SIMETRICOS, CONTORNOS REGULARES E SEM REBARBAS TAMANHO Nº 1(PEQUENO)...CONF TERMO DE REFERÊNCIA.</t>
  </si>
  <si>
    <t>FIO SUTURA ACIDO POLIGLICOLICO 3-0. Fio de sutura cirúrgica sintética absorvível, estéril...CONFORME TERMO DE REFERÊNCIA.</t>
  </si>
  <si>
    <t>FIO SUTURA ACIDO POLIGLICOLICO 4-0. Fio de sutura cirúrgica sintética absorvível, estéril...CONFORME TERMO DE REFERÊNCIA.</t>
  </si>
  <si>
    <t>FITA ADESIVA MICROPOROSA, HIPOALERGÊNICA, MEDINDO 12MMX10M, CONF. TERMO DE REFERÊNCIA.</t>
  </si>
  <si>
    <t>FITA ADESIVA MICROPOROSA, HIPOALERGENICA, MEDINDO 25MM X 10M, CONFORME TERMO DE REFERÊNCIA.</t>
  </si>
  <si>
    <t>FITA ADESIVA MICROPOROSA, HIPOALERGENICA, MEDINDO 50MM X 10M, CONFORME TERMO DE REFERÊNCIA.</t>
  </si>
  <si>
    <t>FRALDA DESCARTÁVEL TAM G, INFANTIL. CONF TERMO DE REFERÊNCIA.</t>
  </si>
  <si>
    <t>FRALDA DESCARTÁVEL TAM GG, INFANTIL. CONF TERMO DE REFERÊNCIA.</t>
  </si>
  <si>
    <t>FRALDA DESCARTÁVEL TAM M, INFANTIL. CONF TERMO DE REFERÊNCIA.</t>
  </si>
  <si>
    <t>FRALDA GERIÁTRICA TAM JUVENIL DESCARTÁVEL. CONF TERMO DE REFERÊNCIA.</t>
  </si>
  <si>
    <t>FRALDA DESCARTÁVEL TAM P, INFANTIL. CONF TERMO DE REFERÊNCIA.</t>
  </si>
  <si>
    <t>Fralda Descartável Tam PP RN, Infantil. CONF TERMO DE REFERÊNCIA.</t>
  </si>
  <si>
    <t>GARROTE PARA PUNÇÃO TIPO FREE HAND ZIPLOCK COM PROCESSO DE AUTO-TRAVA E REGULAGEM DE TENSÃO. CONFORME TERMO DE REFERÊNCIA.</t>
  </si>
  <si>
    <t>Gel Condutivo; para Realizacao de Exames de Ecg; Alta Condutividade, Nao Irritante, Soluvel Em Agua, Uso Externo; Incolor; conf. termo de referência.</t>
  </si>
  <si>
    <t>INDICADOR BIOLÓGICO DE LEITURA RÁPIDA 1292, COM TEMPO DE RESPOSTA DE NO MAXIMO 3(TRÊS) HORAS, PARA CICLOS DE ESTERILIZAÇÃO DE AUTOCLAVE. CAIXA COM 50 UN.</t>
  </si>
  <si>
    <t>LÂMINA DE BISTURI DE AÇO INOXIDAVEL Nº 11, DE BOM CORTE, EMBALAGEM INDIVIDUAL ALUMINIZADA , ESTÉRIL E DESCARTÁVEL - EMBALAGEM INDIVIDUAL ALUMINIZADA</t>
  </si>
  <si>
    <t>LENÇOL DE PAPEL PARA CAMA DESCARTÁVEL, EM ROLO, MEDINDO 70CM DE LARGURA X 50 METROS DE COMPRIMENTO. CONF TERMO DE REFERÊNCIA.</t>
  </si>
  <si>
    <t>Seringa descartável de 10ml sem agulha, com bico curto, (tipo "Slip" Sem rosca)... CONF TERMO DE REF.</t>
  </si>
  <si>
    <t>Seringa descartável de 3ml sem agulha, com bico curto com rosca... CONF TERMO DE REF.</t>
  </si>
  <si>
    <t>SERINGA DESCARTAVEL DE 5ML COM ROSCA SEM AGULHA, CONF TERMO DE REF.</t>
  </si>
  <si>
    <t>SERINGA DESCARTÁVEL PARA INSULINA COM CAPACIDADE PARA 100 UI...CONF TERMO DE REF.</t>
  </si>
  <si>
    <t>TOUCA DESCARTÁVEL SANFONADA CONFECCIONADA EM MATERIAL DE TNT, INDICADA PARA O SETOR HOSPITALAR. EMBALADA EM PACOTES COM NO MÍNIMO 100 UNIDADES - CONF TERMO DE REF.</t>
  </si>
  <si>
    <t>Frasco umidificador de ar comprimido em polietileno de alta densidade (PEAD); Capacidade: 250ml; conf. termo de referência.</t>
  </si>
  <si>
    <t>UMIDIFICADOR PARA OXIGENIO ADULTO FRASCO DE 250ML , COM EXTENSÃO TRANSPARENTE E MASCARA DE OXIGÊNIO ADULTO EM PVC TRANSPARENTE</t>
  </si>
  <si>
    <t>CURATIVO HIDROCOLOIDE C/ESPUMA POLIURETANO, 20CM x 20CM CURATIVO HIDROCOLOIDE COM ESPUMA DE POLIURETANO COM ESPESSURA HOMOGÊNEA. O CURATIVO É ESTÉRIL E COMPOSTO POR UMA CAMADA INTERNA COM 3 HIDROCOLÓIDES (GELATINA, PECTINA E CMC SÓDICA), COM UMA CAMADA EXTERNA</t>
  </si>
  <si>
    <t>Moldeira Odontológica material: cera c/ espuma de poliuretano, tipo: p/ aplicação de flúor, modelo: simples, tipo uso: descartável caixa com 50 unidades</t>
  </si>
  <si>
    <t>ATADURA DE CREPE 15 CM - 13 FIOS - 15cm x 1,8m, confeccionada em tecido de alta qualidade com mínimo de 13 fios/cm², com 60% algodão, 28% 8, poliamida e 12% poliéster, apresentando 1,8m em repouso de comprimento, com elasticidade longitudinal, conferida ao pro</t>
  </si>
  <si>
    <t xml:space="preserve">ATADURA DE CREPE 20 CM - 13 FIOS - 20 CM X 1,8M, CONFECCIONADA EM TECIDO DE ALTA QUALIDADE COM MÍNIMO DE 13 FIOS/CM, COM 60% ALGODÃO, 28%8, POLIAMIDA E 12% DE POLIÉSTER, APRESENTANDO 1,8 M EM REPOUSO DE COMPRIMENTO, COM ELASTICIDADE LONGITUDINAL, CONFERIDA AO </t>
  </si>
  <si>
    <t>COMPRESSA DE GAZE 7,5X7,5 ESTERIL - ESTÉRIL 7,5 x 7,5cm, Densidade: 13 fios/cm², Cor branca, pacote com 10 compressas de gaze em 100% algodão, embaladas em papel grau cirúrgico, esterilizadas por óxido de etileno, com alto grau de absorção isenta de impurezas,</t>
  </si>
  <si>
    <t>INDICADOR QUÍMICO CLASSE 5 - para esterilização autoclave. Integrador químico que usa uma tinta indicadora que muda de púrpura a verde (tinta de agente específico) e apresenta uma resposta integrada com os parâmetros críticos da Esterilização por Vapor (Presen</t>
  </si>
  <si>
    <t xml:space="preserve">LANCETAS - para punção de polpa digital em adultos e crianças com sistema único de laceta/lancetador única peça, em aço inóx, trifacetada, com sistema de trava, com dispositivo retrátil, impedindo sua reutilização e contato após o uso e descarte, medindo 23 a </t>
  </si>
  <si>
    <t xml:space="preserve">LANCETAS COM PONTA TRIANGULAR - para punção de polpa digital em adultos e crianças com sistema único de lanceta/ lancetador única peça, em aço inox, espessura ultra-fina com ponta triangular para punção indolor, com sistema de trava, com dispositivo retrátil, </t>
  </si>
  <si>
    <t>MASCARA DESCARTAVEL C/ 100 UNIDADES - Máscara cirúrgica descartável com tripla camada: máscara com camadas triplas, filtração bacteriana, resistente a líquidos, alças macias e arredondadas de elástico, caixa com 100 unidades. Embalagem contendo dados de identi</t>
  </si>
  <si>
    <t>Agulha descartável 13 x 4,5mm - Hipodérmica, estéril, siliconizada, haste de aço inoxidável com ponta de bisel cortante trifacetado, canhão plástico em cor universal, conector padrão adaptável a seringas e outros dispositivos, protetor plástico, embalagem indi</t>
  </si>
  <si>
    <t xml:space="preserve">AGULHA DESCARTAVEL 20 X 5,5 C/100 - Hipodérmica, estéril, siliconizada, haste de aço inoxidável com ponta de bisel cortante trifacetado, canhão plástico em cor universal, conector padrão adaptável a seringas e outros dispositivos, protetor plástico, embalagem </t>
  </si>
  <si>
    <t>AGULHA DESCARTÁVEL 25X6MM - Hipodérmica, estéril, siliconizada, haste de aço inoxidável com ponta bisel cortante trifacetado, canhão plástico em cor universal, conector padrão adaptável a seringas e outros dispositivos, protetor plástico, embalagem individual,</t>
  </si>
  <si>
    <t>AGULHA DESCARTÁVEL 25X7 - Hipodérmica, estéril, siliconizada, haste de aço inoxidável com ponta de bisel cortante trifacetado, canhão plástico em cor universal, conector padrão adaptável a seringas e outros dispositivos, protetor plástico, embalagem individual</t>
  </si>
  <si>
    <t>AGULHA DESCARTÁVEL 25X8 - Hipodérmica, estéril, siliconizada, haste de aço inoxidável com ponta de bisel cortante trifacetado, canhão plástico em cor universal, conector padrão adaptável a seringas e outros dispositivos, protetor plástico, embalagem individual</t>
  </si>
  <si>
    <t>AGULHA DESCARTÁVEL 30X7 - Hipodérmica, estéril, siliconizada, haste de aço inoxidável com ponta de bisel cortante trifacetado, canhão plástico em cor universal, conector padrão adaptável a seringas e outros dispositivos, protetor plástico, embalagem individual</t>
  </si>
  <si>
    <t xml:space="preserve">AGULHA DESCARTAVEL 40X12 C/ 100UN - Hipodérmica, estéril, siliconizada, haste de aço inoxidável com ponta de bisel cortante trifacetado, canhão plástico em cor universal, conector padrão adaptável a seringas e outros dispositivos, protetor plástico, embalagem </t>
  </si>
  <si>
    <t>AGULHA HIPODERMICA DESCARTAVEL 30X08MM - agulha Hipodérmica Descartável; Canhão de plástico atóxico; Sem Rebarbas; Haste Em Aço Inox; Com Bisel Trifacetado e Ponta Afiada Cilíndrica-oca-reta; Com Perfeita Adaptação Ao Canhão; Protetor plástico, atóxico Polipro</t>
  </si>
  <si>
    <t>Agulha para coleta de sangue a vacúo - 25x0.7mm (modelo 22G1). Caixa com 100 unidades.</t>
  </si>
  <si>
    <t>ATADURA DE CREPE 10CM X 1,80M - Atadura de Crepe; Em Tecido 100% Algodão Ou Misto; Com Dimensão de 10 Cm de Largura, 1,80 m de Comprimento ( Em Repouso), Peso 21,86 Gramas; As Bordas Devem Ser Devidamente Acabadas, Evitando Desfiamento; Classe Tipo i e Elastic</t>
  </si>
  <si>
    <t>AVENTAL DESCARTAVEL - uso hospitalar, 30 g/m2, manga longa, punho com elástico, branca, tamanho único, TNT 100% polipropileno, tamanho: EXTRAGRANDE.</t>
  </si>
  <si>
    <t>AVENTAL DESCARTAVEL - uso hospitalar, 30 g/m2, manga longa, punho com elástico, branca, tamanho único, TNT 100% polipropileno, tamanho: G.</t>
  </si>
  <si>
    <t>AVENTAL DESCARTAVEL - uso hospitalar, 30 g/m2, manga longa, punho com elástico, branca, tamanho único, TNT 100% polipropileno, tamanho: GG.</t>
  </si>
  <si>
    <t>AVENTAL DESCARTAVEL - uso hospitalar, 30 g/m2, manga longa, punho com elástico, branca, tamanho único, TNT 100% polipropileno, tamanho: M.</t>
  </si>
  <si>
    <t>AVENTAL DESCARTAVEL - uso hospitalar, 30 g/m2, manga longa, punho com elástico, branca, tamanho único, TNT 100% polipropileno, tamanho: P.</t>
  </si>
  <si>
    <t>AVENTAL DESCARTAVEL - uso hospitalar, 50 g/m2, manga longa, punho com elástico, branca, tamanho único, TNT 100% polipropileno, tamanho: EXTRAGRANDE.</t>
  </si>
  <si>
    <t>AVENTAL DESCARTAVEL - uso hospitalar, 50 g/m2, manga longa, punho com elástico, branca, tamanho único, TNT 100% polipropileno, tamanho: G.</t>
  </si>
  <si>
    <t>AVENTAL DESCARTAVEL - uso hospitalar, 50 g/m2, manga longa, punho com elástico, branca, tamanho único, TNT 100% polipropileno, tamanho: GG.</t>
  </si>
  <si>
    <t>AVENTAL DESCARTAVEL - uso hospitalar, 50 g/m2, manga longa, punho com elástico, branca, tamanho único, TNT 100% polipropileno, tamanho: M.</t>
  </si>
  <si>
    <t>AVENTAL DESCARTAVEL - uso hospitalar, 50 g/m2, manga longa, punho com elástico, branca, tamanho único, TNT 100% polipropileno, tamanho: P.</t>
  </si>
  <si>
    <t>BANDAGEM ABSORVENTE P/ INJEÇÃO OU PUNÇÃO VENOSA - Caixa com 500 unidades.</t>
  </si>
  <si>
    <t>BOLSA COLETORA DE URINA - EM PVC, 2L - Bolsa Coletora de Urina; Em Pvc; Com Válvula ante efluxo e câmara de Gotejamento Pasteur Transparente; Filtro de Ar Hidrófobo; Com Escala de 0 a 2000 Ml; Graduada a Mililitros; Com Clamp para Interrupção de Fluxo; Alca Pl</t>
  </si>
  <si>
    <t>CAMPO CIRÚRGICO DESCARTÁVEL 100% POLIPROPILENO - confeccionado em 100% polipropileno (não tecido), gramatura mínima de 40g/m2, cor diversa; estéril, atóxico, epirogênico; com facilidade ao manuseio; tamanho aproximadamente 0,40 x 0,40 m; sendo a embalagem inte</t>
  </si>
  <si>
    <t>CAMPO CIRÚRGICO DESCARTÁVEL COM FRESTA - confeccionado em SMS, gramatura mínima de 40g/m2, cor diversa; estéril, atóxico, epirogênico; com facilidade ao manuseio; tamanho aproximadamente 0,60 x 0,60 m; com fresta 10cm; sendo a embalagem interna em pacotes plás</t>
  </si>
  <si>
    <t>CAMPO CIRÚRGICO DESCARTÁVEL SEM FRESTA - confeccionado em SMS, gramatura mínima de 40g/m2, cor diversa; estéril, atóxico, epirogênico; com facilidade ao manuseio; tamanho aproximadamente 0,60 x 0,60 m; sem fresta; sendo a embalagem interna em pacotes plásticos</t>
  </si>
  <si>
    <t>CATETER INTRAVENOSO 20G - poliuretano, biocompatível, asas flexíveis para fixação; radiopaco, apirogenico; com conector em y, tipo luer lock e prn intermitente; uso periférico; 20g x 1.0 (25mm x 1.1mm), com dispositivo de proteção da agulha, bisel trifacetado;</t>
  </si>
  <si>
    <t>CATETER INTRAVENOSO PERIFERICO 18G - Cateter Intravenoso; Em Poliuretano, Radiopaco, Siliconizado, flexível; Transparente, Parede Fina e Ponta Levemente Afunilada; Periférico; Curta Permanência; Agulha de Bisel Curto Trifacetado, Com Protetor; câmara de Reflux</t>
  </si>
  <si>
    <t>CATETER INTRAVENOSO PERIFERICO 24G - Cateter Intravenoso; Em Poliuretano, Radiopaco, Siliconizado, flexível; Transparente, Parede Fina e Ponta Levemente Afunilada; periférico; Curta permanência; Agulha de Bisel Curto Trifacetado, Com Protetor; câmara de Reflux</t>
  </si>
  <si>
    <t>CATETER NASAL TIPO OCULOS ADULTO - Dispositivo para instilação de oxigênio ou ar comprido através de introdutores nasais do paciente promovendo a elevação da concentração de oxigênio ou de ar na arvore traqueobrônquico alveolar proporcionando elevação da satur</t>
  </si>
  <si>
    <t>CATETER NASAL TIPO OCULOS INFANTIL - Dispositivo para instilação de oxigênio ou ar comprido através de introdutores nasais do paciente promovendo a elevação da concentração de oxigênio ou de ar na arvore traqueobrônquico alveolar proporcionando elevação da sat</t>
  </si>
  <si>
    <t>COLETOR DE URINA INFANTIL FEMININO - Coletor de Urina; Infantil; Feminino; Confeccionado Em Material plástico; Com orifício Central Oval Circulado Por Adesivo Antialérgico; Capacidade para 140ml; Graduado de 100 a 140ml; não estéril</t>
  </si>
  <si>
    <t>COLETOR DE URINA INFANTIL UNISSEX - Coletor de Urina Infantil estéril; Em plástico, Com Adesivo Hipoalérgico, atóxico; Formato Retangular, Bordas Demarcadas; Modelo para Ambos Os Sexos, Com orifício Central de Diâmetro Aproximado de 2,5 x 3,0 Cm; Com Paredes S</t>
  </si>
  <si>
    <t>COLETOR PARA MATERIAL PERFUROCORTANTE - Em Material Resistente Polipropileno Grau Medico, Na Cor Amarela Translucida; Com Sistema de Abertura e Fechamento Com Tampa, Bocal e Sobre tampa de Fechamento, Deve apresentar Simbologia para resíduos Infectantes; Em Fo</t>
  </si>
  <si>
    <t>Copo Umidificador Para Oxigenoterapia - Tampa e porca injetados na cor do gás, frasco de PVC 250 ml com nível mínimo e máximo. Acompanha tampa injetada e borboleta injetada com enxerto em metal (padrão ABNT), frasco em PVC de 250 ml com boca larga nível mín. e</t>
  </si>
  <si>
    <t>CUBA RIM - em aço inox; com formato de rim; com dimensão de 26x12x06cm, 750ml;</t>
  </si>
  <si>
    <t>CURATIVO ADESIVO 10X10 - com hidrocoloide; absorvente, hipoalergênico; flexível; semipermeável com barreira microbiana e para líquidos; de carboximetilcelulose, com ou sem associação dealginato; medindo aproximadamente 10 x 10cm, com espessura homogênea de bor</t>
  </si>
  <si>
    <t>CURATIVO ADESIVO 20X20 - com hidrocoloide; absorvente, hipoalergênico; flexível; semipermeável com barreira microbiana e para líquidos; de carboximetilcelulose, com ou sem associação dealginato; medindo aproximadamente 20 x 20cm, com espessura homogênea de bor</t>
  </si>
  <si>
    <t>EQUIPO PARA DIETA ENTERAL - Equipo para administração EXCLUSIVA de dietas enterais com tubo de PVC na cor azul que indica exclusividade para nutrição enteral. No produto deverá constar número de lote e prazo de validade.</t>
  </si>
  <si>
    <t>ESCOVA CERVICAL ESTÉRIL - Composta de haste plástica cilíndrica com 16 cm e cerdas de nylon com formato levemente cônico com 2 cm de comprimento, no total 18 cm. Cerdas dispostas em aproximadamente 13 níveis paralelos da base ao ápice, tendo diâmetro maior, de</t>
  </si>
  <si>
    <t>ESPARADRAPO GRANDE 10CM X 4,5M - fabricado em tecido 100 % algodão na cor branca, NÃO ESTÉRIL; descartável e de uso único. Tamanho 10 cm x 4,5 m</t>
  </si>
  <si>
    <t>ESPATULA DE AYRES COM 100 UNIDADES - confeccionada em madeira resistente, maleável, medindo aproximadamente 0,5cm de largura x 18 cm de comprimento; extremidade superior bifurcada e arredondada e inferior arredondada, bem acabada, sem rebarbas e com superfície</t>
  </si>
  <si>
    <t>ESPECULO VAGINAL - DESCARTAVEL POLIETILENO NAO LUBRIFICADO GRANDE - Especulo Vaginal Descartável; Em Polietileno atóxico não Lubrificado; Tamanho Grande; Com Abertura Em Forma de Rosca Tipo Borboleta; Uso único, estéril; Embalado Em Material Que Garanta Sua In</t>
  </si>
  <si>
    <t>FIO DE SUTURA NYLON, NUMERO 6-0 - Fio de Sutura Nylon; Monofilamento, Composto Por Poliamida, Sintético preto, estéril; não Absorvível; Medindo 45cm de Comprimento; Número 6-0; Agulha Cilíndrica 1/2 Circulo e 1,5 Cm De comprimento; Embalado Em Material Que Pro</t>
  </si>
  <si>
    <t>FITA ADESIVA POROSA - 25 mm x 10 m, de comprimento, microporosa com dorso de não tecido, massa adesiva na face interna, hipoalergênica, cor clara. Embalagem tipo carretel com capa protetora, contendo dados de identificação, procedência, data da fabricação, val</t>
  </si>
  <si>
    <t xml:space="preserve">FITA PARA AUTOCLAVE - medindo 19mmX30cm; A Fita Autoclave deve ser utilizada apenas como indicador de que o material foi submetido às condições do processo de esterilização a vapor. Apresenta-se na cor bege com listras amarelas diagonais, que se tornam marrom </t>
  </si>
  <si>
    <t xml:space="preserve">FRONHA HOSPITALAR - Fronha para Uso Hospitalar; Com 70% Algodão 30% Poliéster; Confeccionada Com 180 Fios Pesando No Mínimo 120 G/m²; Com Aba Interna de 20 Cm, Tipo Envelope, Com Arremates Nas Extremidades; Medindo (l x C) 50 X70 Cm; Na Cor Branca, Resistente </t>
  </si>
  <si>
    <t>FRONHA IMPERMEÁVEL - Capa de Travesseiro; Adulto; Confeccionado 100% Pvc; Sem Enchimento; Antialérgico; Impermeável; Medindo (lxc) 0,50 x 0,70 Cm; Fechamento Lateral Com Zíper; Na Cor Azul; Liso; Costura Reforçada;</t>
  </si>
  <si>
    <t>GARROTE ELÁSTICO COM TRAVA - ADULTO - Confeccionado em tecido elástico e trava de segurança de PVC, trava com 2 estágios: 1º - alívio. 2º - retirada, produto antialérgico.</t>
  </si>
  <si>
    <t>GARROTE LATEX EM TIRAS - faixa elástica de borracha sintética; Livre de látex, não talcado; Uso único; Tamanho: 2,5 cm x 46 cm; Produto com validade de 2 anos, a partir da data de fabricação; caixa com 100 unid.</t>
  </si>
  <si>
    <t>GEL CONDUTOR PARA ULTRASSOM - 100G - Gel condutivo para ultrassonografia; inodoro, ph neutro; composto de carbomero, água purificada; incolor; isento de gordura e sujidade; embalado em material que garanta a integridade do produto; a apresentação do produto de</t>
  </si>
  <si>
    <t xml:space="preserve">GEL PARA CURATIVOS - composto por: carbometil celulose e água; com associação de alginato de cálcio e sódio; apresentado em: tubo de no mínimo 850mg; gel amorfo e transparente; não estéril; embalado em material apropriado que garanta a integridade do produto; </t>
  </si>
  <si>
    <t xml:space="preserve">INDICADOR BIOLÓGICO 24 HORAS CLEAN UP BIOTECNOLOGIA - para autoclave a vapor, indicador biológico autocontido para monitorização de processo de esterilização a vapor saturado. esporos impregnados de geobacillus stearothermophilus atcc7953. Fácil interpretação </t>
  </si>
  <si>
    <t>INDICADOR BIOLÓGICO 24 HORAS CRISTOFOLI - para autoclave a vapor, indicador biológico autocontido para monitorização de processo de esterilização a vapor saturado. esporos impregnados de geobacillus stearothermophilus atcc7953. Fácil interpretação dos resultad</t>
  </si>
  <si>
    <t>INDICADOR QUÍMICO - teste de bowie dick comply - para confecção de pacote teste de acordo com a aami, para identificar as falhas na retirada de ar, folha para teste de bowie &amp; dick com listras na cor creme que após o teste reagirá uniformemente para a cor, ind</t>
  </si>
  <si>
    <t>LÂMINA DE BISTURI - N°15 - Lâmina de Bisturi; Em Aço Carbono; Número 15c; Estéril; Com Perfeito Acabamento Sem Sinais de Oxidação, Sem Rebarbas, embalado Em Material Que Promova Barreira Microbiana; o Produto Deverá Ser Entregue Com Laudo Que Comprove Sua Este</t>
  </si>
  <si>
    <t>LAMINA DE BISTURI N°11 - esterilizada nº 11, utilizadas para corte de pele, tecidos e retirada de pontos em procedimentos cirúrgicos. Características técnicas: Confeccionadas em aço carbono Esterilizadas por exposição a Raios Gama Grande resistência à corrosão</t>
  </si>
  <si>
    <t>LAMINA DE BISTURI N°22 - esterilizada nº 22, utilizadas para corte de pele, tecidos e retirada de pontos em procedimentos cirúrgicos. Características técnicas: Confeccionadas em aço carbono Esterilizadas por exposição a Raios Gama Grande resistência à corrosão</t>
  </si>
  <si>
    <t>LANCETADOR, TIPO CANETA - quantidade níveis profundidade seleção de até 3 níveis de profundidade de punção, lanceta trifacetada siliconizada, componentes adicionais c/ tampa protetora e mecanismo bloqueador.</t>
  </si>
  <si>
    <t>LENÇOL HOSPITALAR - Lençol para Uso Hospitalar"; Tecido Misto 50% Algodão e 50% Poliéster, Com 180fios, Trama Fechada; Tecido Misto 50% Algodão e 50% Poliéster, Com 180fios, Trama Fechada; Pre Encolhido; Medindo 2,50 de Comprimento Por 1,60 de Largura; Sem Elá</t>
  </si>
  <si>
    <t>LUVA CIRÚRGICA ESTÉRIL 6,5 - formato anatômico, esterilizadas em radiação gama, com pó bioabsorvivel, superfície com microtextura nas pontas dos dedos, embalados em pares, tamanho 6,5</t>
  </si>
  <si>
    <t>LUVA CIRÚRGICA ESTÉRIL 7 - formato anatômico, esterilizadas em radiação gama, com pó bioabsorvivel, superfície com microtextura nas pontas dos dedos, embalados em pares, tamanho 7</t>
  </si>
  <si>
    <t>LUVA CIRÚRGICA ESTÉRIL 7,5 - formato anatômico, esterilizadas em radiação gama, com pó bioabsorvivel, superfície com microtextura nas pontas dos dedos, embalados em pares, tamanho 7,5</t>
  </si>
  <si>
    <t>LUVA CIRÚRGICA ESTÉRIL 8 - formato anatômico, esterilizadas em radiação gama, com pó bioabsorvivel, superfície com microtextura nas pontas dos dedos, embalados em pares, tamanho 8</t>
  </si>
  <si>
    <t>LUVA DE PROCEDIMENTO NÃO CIRURGICO - TAMANHO G - descartável, individual, confeccionada em látex natural, íntegro e uniforme, formato anatômico, ambidestra, lubrificada com material bio-absorvível em quantidade adequada, resistente a tração, atóxica, hipoalerg</t>
  </si>
  <si>
    <t>LUVA DE PROCEDIMENTO NÃO CIRURGICO - TAMANHO M - descartável, individual, confeccionada em látex natural, íntegro e uniforme, formato anatômico, ambidestra, lubrificada com material bio-absorvível em quantidade adequada, resistente a tração, atóxica, hipoalerg</t>
  </si>
  <si>
    <t>LUVA DE PROCEDIMENTO NÃO CIRURGICO - TAMANHO P - descartável, individual, confeccionada em látex natural, íntegro e uniforme, formato anatômico, ambidestra, lubrificada com material bio-absorvível em quantidade adequada, resistente a tração, atóxica, hipoalerg</t>
  </si>
  <si>
    <t>LUVA PARA PROCEDIMENTO - TAMANHO G - em resina vinifica, borracha vinilica, polietileno ou similar, livre de látex; com textura uniforme, sem falhas e ambidestra, descartável; não lubrificada, isenta de talco ou qualquer tipo de pó; cor leitosa, superfície ext</t>
  </si>
  <si>
    <t>LUVA PARA PROCEDIMENTO - TAMANHO GG - em resina vinifica, borracha vinilica, polietileno ou similar, livre de látex; com textura uniforme, sem falhas e ambidestra, descartável; não lubrificada, isenta de talco ou qualquer tipo de pó; cor leitosa, superfície ex</t>
  </si>
  <si>
    <t>LUVA PARA PROCEDIMENTO - TAMANHO M - em resina vinifica, borracha vinilica, polietileno ou similar, livre de látex; com textura uniforme, sem falhas e ambidestra, descartável; não lubrificada, isenta de talco ou qualquer tipo de pó; cor leitosa, superfície ext</t>
  </si>
  <si>
    <t>LUVA PARA PROCEDIMENTO - TAMANHO P - em resina vinifica, borracha vinilica, polietileno ou similar, livre de látex; com textura uniforme, sem falhas e ambidestra, descartável; não lubrificada, isenta de talco ou qualquer tipo de pó; cor leitosa, superfície ext</t>
  </si>
  <si>
    <t>MÁSCARA FACIAL ADULTA - em vinil macio, transparente para oxigenoterapia de alta concentração, não estéril; anatômico, sem rebarbas com balão reservatório de 750ml e concentração de02 entre 60% a 80%; adulta a apresentação do produto devera obedecer a legislaç</t>
  </si>
  <si>
    <t>MÁSCARA FACIAL INFANTIL - Em vinil macio, transparente para oxigenoterapia de alta concentração, não estéril, anatômico, sem rebarbas com balão reservatório de 750ml e concentração de02 entre 60% a 80%, pediátrica, a apresentação do produto devera obedecer à l</t>
  </si>
  <si>
    <t>PAPEL GRAU CIRURGICO - MEDINDO 250MM X 100M - Papel Grau cirúrgico; Resistente a 140cº Em Ambas As Faces e Rasgos Durante o Processo de Abertura Evit. Resquícios de Filme No Papel; Selagem C/larg. Mínima 9mm C/impressão de Indicadores de esterilização; Com Uma</t>
  </si>
  <si>
    <t>PAPEL GRAU CIRÚRGICO TAM 10CM X 100MT - resistente a 140Cº em ambas as faces e rasgos durante o processo de abertura evite resquícios de filme no papel; selagem com larg. mínima 9mm c/impressão de indicadores e identificadores de esterilização; com polipropile</t>
  </si>
  <si>
    <t>PAPEL GRAU CIRÚRGICO TAM 15CM X 100MT - resistente a 140Cº em ambas as faces e rasgos durante o processo de abertura evite resquícios de filme no papel; selagem c/larg. mínima 9mm c/impressão de indicadores e identificadores de esterilização; com polipropileno</t>
  </si>
  <si>
    <t>PAPEL GRAU CIRÚRGICO TAM 20CM X 100MT - resistente a 140Cº em ambas as faces e rasgos durante o processo de abertura evite resquícios de filme no papel; selagem c/larg. mínima 9mm c/impressão de indicadores e identificadores de esterilização; com polipropileno</t>
  </si>
  <si>
    <t>REANIMADOR MANUAL NEONATAL - confeccionado em silicone e policarbonato transparente; composto por balão inflável de silicone de aprox. 250 ml; composto por válvula inspiratória em polissulfona, unidirecional c/ diafragma do tipo bico de pato e valv. expirator.</t>
  </si>
  <si>
    <t>RECIPIENTE COLETOR (URINA) - individualmente embalado, tampa vermelha, vedação hermética, graduação perfeita de 10ml em 10ml e total visualização, produzidos com matéria prima virgem, isenta de lubrificante, cadastrados na ANVISA.</t>
  </si>
  <si>
    <t>SERINGAS DE 1 ML - com bico Luer Slip ou Luer-Lok™ (tipo rosca). confeccionadas em polipropileno especialmente desenvolvido para as seringas, proporcionando maior transparência. Siliconização interna que garante suavidade no deslize e controle preciso na aspir</t>
  </si>
  <si>
    <t>SERINGAS DE 10ML C/ 100 - com bico Luer Slip ou Luer-Lok™ (tipo rosca). confeccionadas em polipropileno especialmente desenvolvido para as seringas, proporcionando maior transparência. Siliconização interna que garante suavidade no deslize e controle preciso n</t>
  </si>
  <si>
    <t>SERINGAS DE 20ML C/ 100 - com bico Luer Slip ou Luer-Lok™ (tipo rosca). confeccionadas em polipropileno especialmente desenvolvido para as seringas, proporcionando maior transparência. Siliconização interna que garante suavidade no deslize e controle preciso n</t>
  </si>
  <si>
    <t>SERINGAS DE 3ML C/ 100 - com bico Luer Slip ou Luer-Lok™ (tipo rosca). confeccionadas em polipropileno especialmente desenvolvido para as seringas, proporcionando maior transparência. Siliconização interna que garante suavidade no deslize e controle preciso na</t>
  </si>
  <si>
    <t>SERINGAS DE 5ML C/ 100 - com bico Luer Slip ou Luer-Lok™ (tipo rosca). Confeccionadas em polipropileno especialmente desenvolvido para as seringas, proporcionando maior transparência. Siliconização interna que garante suavidade no deslize e controle preciso na</t>
  </si>
  <si>
    <t>SERINGAS PARA INSULINA - DE 1 ML COM AGULHA FIXA 8 X 0,3 mm - A seringa descartável com agulha fixa é estéril, transparente, atóxica, com bico que garante conexões seguras e sem vazamentos. Disponível em embalagem individual (blister). Utilizada usualmente par</t>
  </si>
  <si>
    <t>SONDA FOLEY 2 VIAS DESC N°08 - sonda Foley; Em 100% Silicone, Transparente; Lubrificação Homogênea; estéril, Descartável, Atóxica, Apirogenica; Com Balão de 3 Ml Com Gravação Da Numeração Indelével, Ponta Com 2 orifícios Laterais; Com 2 Vias, Calibre 8; Número</t>
  </si>
  <si>
    <t>SONDA FOLEY 2 VIAS DESC N°10 - sonda Foley; Em 100% Silicone, Transparente; Lubrificação Homogênea; estéril, Descartável, Atóxica, Apirogenica; Com Balão de 3 Ml Com Gravação Da Numeração Indelével, Ponta Com 2 orifícios Laterais; Com 2 Vias, Calibre 10; Númer</t>
  </si>
  <si>
    <t>SONDA FOLEY N. 12 - modelo 2 vias,tamanho 12, fabricada em Látex, descartável. Conector universal que permite perfeita adaptação em qualquer tipo de bolsa coletora. Atóxico, não-pirogênico, de uso único e estéril (Esterilizado por Óxido de Etileno). Embalado i</t>
  </si>
  <si>
    <t xml:space="preserve">SONDA FOLEY N. 18 - modelo 2 vias, tamanho 18, fabricada em Látex, descartável. Conector universal que permite perfeita adaptação em qualquer tipo de bolsa coletora. Atóxico, não-pirogênico, de uso único e estéril (Esterilizado por Óxido de Etileno). Embalado </t>
  </si>
  <si>
    <t xml:space="preserve">SONDA FOLEY N. 20 - modelo 2 vias, tamanho 20, fabricada em Látex, descartável. Conector universal que permite perfeita adaptação em qualquer tipo de bolsa coletora. Atóxico, não-pirogênico, de uso único e estéril (Esterilizado por Óxido de Etileno). Embalado </t>
  </si>
  <si>
    <t xml:space="preserve">SONDA FOLEY N. 22 - modelo 2 vias, tamanho 22, fabricada em Látex, descartável. Conector universal que permite perfeita adaptação em qualquer tipo de bolsa coletora. Atóxico, não-pirogênico, de uso único e estéril (Esterilizado por Óxido de Etileno). Embalado </t>
  </si>
  <si>
    <t>SONDA FOLEY N.14 - modelo 2 vias, tamanho 14, fabricada em Látex, descartável. Conector universal que permite perfeita adaptação em qualquer tipo de bolsa coletora. Atóxico, não-pirogênico, de uso único e estéril (Esterilizado por Óxido de Etileno). Embalado i</t>
  </si>
  <si>
    <t>SONDA FOLEY N.16 - modelo 2 vias, tamanho 16, fabricada em Látex, descartável. Conector universal que permite perfeita adaptação em qualquer tipo de bolsa coletora. Atóxico, não-pirogênico, de uso único e estéril (Esterilizado por Óxido de Etileno). Embalado i</t>
  </si>
  <si>
    <t>SONDA URETRAL - (nº04) - Sonda Uretral; Confeccionada Em Pvc, Sem Rebarbas de Manufatura; atóxica, Apirogenica, flexível, Transparente; Com 35 Cm de Comprimento, Número 04; Com Conector Universal; Siliconizada; estéril; Embalado Em Material Que Promova Barreir</t>
  </si>
  <si>
    <t xml:space="preserve">SONDA URETRAL - (nº06) - confeccionada em tubo de PVC (Poli Cloreto de Vinila), cilíndrico, sem emendas, atóxica, apirogenica, flexível, transparente, 2 orifícios laterais dimensionados de acordo com o calibre, extremidade proximal arredondada fechada, com 40 </t>
  </si>
  <si>
    <t xml:space="preserve">SONDA URETRAL - (nº08) - confeccionada em tubo de PVC (Poli Cloreto de Vinila), cilíndrico, sem emendas, atóxica, apirogenica, flexível, transparente, 2 orifícios laterais dimensionados de acordo com o calibre, extremidade proximal arredondada fechada, com 40 </t>
  </si>
  <si>
    <t xml:space="preserve">SONDA URETRAL - (nº10) - confeccionada em PVC, sem rebarbas de manufatura, atóxica, apirogenica, flexível, transparente, com 35 cm de comprimento, número 10; com conector universal; siliconizada, estéril, embalado em material que promova barreira microbiana e </t>
  </si>
  <si>
    <t>SONDA URETRAL - (nº12) - Sonda Uretral; Confeccionada Em Pvc, Sem Rebarbas de Manufatura; atóxica, Apirogenica, flexível, Transparente; Com 35 Cm de Comprimento, Número 12; Com Conector Universal; Siliconizada; estéril; Embalado Em Material Que Promova Barreir</t>
  </si>
  <si>
    <t>SONDA URETRAL - (nº14) - confeccionada em polivinil (PVC), flexível e transparente; para sondagem uretral; com no mínimo 35 cm de comprimento; com conector universal; não lubrificada; estéril, atóxica e epirogênica; embalado em material apropriado com barreira</t>
  </si>
  <si>
    <t>SONDA URETRAL - (nº16) - Sonda Uretral; Confeccionada Em Pvc, Sem Rebarbas de Manufatura; atóxica, Apirogenica, flexível, Transparente; Com 35 Cm de Comprimento, Número 16; Com Conector Universal; Siliconizada; estéril; Embalado Em Material Que Promova Barreir</t>
  </si>
  <si>
    <t>SONDA URETRAL - (nº18) - Sonda Uretral; Confeccionada Em Pvc, Sem Rebarbas de Manufatura; atóxica, Apirogenica, flexível, Transparente; Com 35 Cm de Comprimento, Número 18; Com Conector Universal; Siliconizada; estéril; Embalado Em Material Que Promova Barreir</t>
  </si>
  <si>
    <t>TOUCA HOSPITALAR - material: polipropileno não tecido, modelo: com elástico em toda volta, cor: branca, gramatura: cerca de 30 g/m2, tamanho: único, tipo uso: descartável, característica adicional: hipoalergênica, atóxica, inodora, unissex.</t>
  </si>
  <si>
    <t>MASCARA ORONASAL TAMANHO P EM SILICONE E GEL PARA USO EM VENTILACAO NAO INVASIVA COM COTOVELO SEM EXALACAO PARA USO EM EQUIPAMENTOS DE VENTILACAO INVASIVA E NAO INVASIVA COM FIXADOR CEFALICO, COM PRESILHAS PARA FIXACAO E LIBERACAO DA MASCARA DA FACE DO PACIENT</t>
  </si>
  <si>
    <t xml:space="preserve">AGULHA DE INFUSÃO INTRA-ÓSSEA ADULTO - Sistema composto de PVC com trava de segurança e mola disparadora, corpo em PVC e trava de segurança em policarbonato, com profundidade de penetração ajustável, agulha (mandril) em aço inox, embutidas totalmente no corpo </t>
  </si>
  <si>
    <t>AGULHA DE INFUSÃO INTRA-ÓSSEA PEDIATRICA - Composto de dispositivo plástico com trava de segurança e mola disparadora, corpo plástico e trava de segurança em policarbonato, com profundidade de penetração ajustável, agulha e mandril em aço inox, embutidas total</t>
  </si>
  <si>
    <t>ESPARADRAPO 10cm X 4,5m EM TECIDO 100 % ALGODÃO</t>
  </si>
  <si>
    <t>LÂMINA DE BISTURI Nº 15 EM AÇO CARBONO ESTÉRIL; C/ PERFEITO ACABAMENTO S/ SINAIS DE OXIDAÇÃO, S/ REBARBAS; EMBALADO EM MATERIAL QUE PROMOVA BARREIRA MICROBIANA; O PRODUTO DEVERÁ SER ENTREGUE C/ LAUDO QUE COMPROVE SUA ESTERILIDADE; A APRESENTAÇÃO DO PRODUTO DEV</t>
  </si>
  <si>
    <t>MÁSCARA VENTURI ADULTO - MÁSCARA CONFECCIONADA EM PVC; TRAQUÉIA CORRUGADA 15mm EM PVC; 06 DILUIDORES EM POLIPROPILENO; SUPORTE DOS DILUIDORES (24%, 28%, 31%, 35%, 40% E 50%); EXTENSÃO EM PVC P/ CONEXÃO NO UMIDIFICADOR</t>
  </si>
  <si>
    <t>MÁSCARA VENTURI INFANTIL - MÁSCARA CONFECCIONADA EM PVC; TRAQUÉIA CORRUGADA 15mm EM PVC; 06 DILUIDORES EM POLIPROPILENO; SUPORTE DOS DILUIDORES (24%, 28%, 31%, 35%, 40% E 50%); EXTENSÃO EM PVC P/ CONEXÃO NO UMIDIFICADOR</t>
  </si>
  <si>
    <t>MÁSCARA VENTURI NEONATAL - MÁSCARA CONFECCIONADA EM PVC; TRAQUÉIA CORRUGADA 15mm EM PVC; 06 DILUIDORES EM POLIPROPILENO; SUPORTE DOS DILUIDORES (24%, 28%, 31%, 35%, 40% E 50%); EXTENSÃO EM PVC P/ CONEXÃO NO UMIDIFICADOR</t>
  </si>
  <si>
    <t>TORNEIRINHA DE 3 VIAS</t>
  </si>
  <si>
    <t>LUVAS DE VINIL PARA PROCEDIMENTO TAM. MED</t>
  </si>
  <si>
    <t>Lenço umedecido (pacote com 96 unidades)</t>
  </si>
  <si>
    <t>GARROTE COM TRAVA - INFANTIL</t>
  </si>
  <si>
    <t>LUVAS NITRILICAS PARA PROCEDIMENTOS - TAMANHO P</t>
  </si>
  <si>
    <t>EQUIPO FOTOSSENSÍVEL PARA INFUSÃO DE SOLUÇÕES PARENTERAIS</t>
  </si>
  <si>
    <t>SWAB NASAL ESTÉRIL PEDIÁTRICO</t>
  </si>
  <si>
    <t>UMIDIFICADOR PARA OXIGÊNIO MEDICINAL COM FRASCO DE VIDRO 500 ML</t>
  </si>
  <si>
    <t>LÂMINA DE BISTURI N. 23</t>
  </si>
  <si>
    <t>SONDA URETRAL N. 16</t>
  </si>
  <si>
    <t>ATADURA DE CREPE 15 CM PCT C/ 12</t>
  </si>
  <si>
    <t>FITA CIRURGICA MICROPOROSA - 25 mm x 10 m</t>
  </si>
  <si>
    <t>SONDA NASOGÁSTRICA Nº 10</t>
  </si>
  <si>
    <t>SONDA DE FOLEY 2 VIAS N. 22</t>
  </si>
  <si>
    <t>CATETER NASAL PARA OXIGÊNIO, TIPO ÔCULOS - ADULTO</t>
  </si>
  <si>
    <t>CONJUNTO DE NEBULIZAÇÃO COM TRAQUÉIA PARA REDE DE OXIGÊNIO - INFANTIL</t>
  </si>
  <si>
    <t>SONDA NASOGÁSTRICA Nº 16</t>
  </si>
  <si>
    <t>INDICADOR BIOLÓGICO - 24 HORAS</t>
  </si>
  <si>
    <t>VÁLVULA PEEP REUTILIZÁVEL AJUSTÁVEL</t>
  </si>
  <si>
    <t>FILTRO HMEF ADULTO</t>
  </si>
  <si>
    <t>COLETOR DE URINA PEDIÁTRICO ESTÉRIL UNISSEX</t>
  </si>
  <si>
    <t>UMIDIFICADOR PARA CILINDRO</t>
  </si>
  <si>
    <t>COMPRESSA DE GAZE NÃO ESTÉRIL – 13 FIOS (PACOTE COM 500 UNIDADES) Compressa de gaze hidrófila não estéril; confeccionada em tecido 100% algodão purificado; dimensões de 7,5 cm x 7,5 cm quando dobrada; confeccionada com 5 dobras e 8 camadas de tecido; densidade</t>
  </si>
  <si>
    <t>ESPARADRAPO IMPERMEAVEL 05 CM X 4,5 M Esparadrapo em 100% algodão; de 05 cm por 4.5 m; hipoalérgico; branco; com faixa 100% em algodão que apresente adesividade. Forma de apresentação: Rolo.</t>
  </si>
  <si>
    <t>FITA HIPOALERGÊNICA PARA CURATIVO, EM RAYON DE VISCOSE NÃO TECIDO COM ADESIVO ACRÍLICO, TIPO MICROPOROSA – 12,5MM X 10M</t>
  </si>
  <si>
    <t>COMPRESSA CIRÚRGICA NÃO ESTERIL - CAMPO OPERATÓRIO COMPRESSA CIRÚRGICA NÃO ESTERIL - CAMPO OPERATÓRIO, EM TECIDO 100% ALGODAO, BORDAS BEM ACABADAS, SEM CADARCO, SEM FILAMENTO RADIOPACO, MEDINDO 45X50 (LXC) APROXIMADAMENTE, PESO APROXIMADO 20 GRAMAS, BRANCA, NA</t>
  </si>
  <si>
    <t>FIO NYLON 2.0 Fio cirúrgico não absorvível de nylon preto, monofilamentar, 45cm de comprimento, com agulha de corpo estriada de 3cm de comprimento, 3/8 de círculo, triangular estéril, embalado individualmente - n. 2.0.</t>
  </si>
  <si>
    <t>FIO NYLON 3.0 Fio cirúrgico não absorvível de nylon preto, monofilamentar, 45cm de comprimento, com agulha de corpo estriada de 3cm de comprimento, 3/8 de círculo, triangular estéril, embalado individualmente - n. 3.0.</t>
  </si>
  <si>
    <t>FIO NYLON N. 0 Fio de Sutura Nylon 0 de Monofilamento Preto 45cm (com agulha 3/8 de círculo triangular 40mm) Curvatura da agulha (círculo) 3/8 (135º); Calibre do fio 0; Estéril, Fio monofilamento preto de 45cm não absorvível; Agulha com tamanho de 40mm (4,0cm)</t>
  </si>
  <si>
    <t>FIO NYLON N. 1.0 Fio de Sutura de Nylon 1 de Monofilamento Preto 45cm (com agulha 3/8 circulo triangular 40mm); Curvatura da agulha (círculo) 3/8 (135º); Calibre do fio 1; Estéril, Fio monofilamento preto de 45cm não absorvível; Agulha com tamanho de 40mm (4,0</t>
  </si>
  <si>
    <t>AGULHA HIPODÉRMICA 13 X 4,5 Agulha hipodérmica 13x4,5, siliconizada, com bisel trifacetado, descartável, estéril, atóxica e apirogênica. Acondicionada individualmente em embalagem que garanta a integridade e a esterilização do produto, com abertura asséptica e</t>
  </si>
  <si>
    <t>AGULHA HIPODÉRMICA 25 X 07 Agulha Hipodérmica 25 X 07, siliconizada, com bisel trifacetado, descartável, estéril, atóxica e apirogênica. Acondicionada individualmente em embalagem que garanta a integridade e a esterilização do produto, com abertura asséptica e</t>
  </si>
  <si>
    <t>AGULHA HIPODÈRMICA 40 X 12 Agulha Hipodérmica 40 X 12, siliconizada, com bisel trifacetado, descartável, estéril, atóxica e apirogênica. Acondicionada individualmente em embalagem que garanta a integridade e a esterilização do produto, com abertura asséptica e</t>
  </si>
  <si>
    <t>LUVA CIRÚRGICA ESTÉRIL 6,5 Luva Cirúrgica de látex, baixa quantidade de pó, tamanho 6,5, com acabamento texturizado, baixa quantidade de proteína do látex, formato anatômico, com bainha e punhos resistentes que não enrolam; garantia de proteção contra penetraç</t>
  </si>
  <si>
    <t>LUVA CIRÚRGICA ESTÉRIL 7,0 Luva Cirúrgica de látex, baixa quantidade de pó, tamanho 7,0, com acabamento texturizado, baixa quantidade de proteína do látex, formato anatômico, com bainha e punhos resistentes que não enrolam; garantia de proteção contra penetraç</t>
  </si>
  <si>
    <t>LUVA CIRÚRGICA ESTÉRIL 7,5 Luva Cirúrgica de látex, baixa quantidade de pó, tamanho 7,5, com acabamento texturizado, baixa quantidade de proteína do látex, formato anatômico, com bainha e punhos resistentes que não enrolam; garantia de proteção contra penetraç</t>
  </si>
  <si>
    <t>LUVA CIRÚRGICA ESTÉRIL 8,0 Luva Cirúrgica de látex, baixa quantidade de pó, tamanho 8,0 com acabamento texturizado, baixa quantidade de proteína do látex, formato anatômico, com bainha e punhos resistentes que não enrolam; garantia de proteção contra penetraçã</t>
  </si>
  <si>
    <t>CATETER INTRAVENOSO 20 G Cateter intravenoso periférico de poliuretano ou vialon nº 20g (1,1mm x 3,0cm), com parede fina e ponta levemente afunilada, radiopaco; agulha de bisel biangulado, trifacetado e siliconizado com protetor e dispositivo de segurança retr</t>
  </si>
  <si>
    <t>CATETER INTRAVENOSO 22 G Cateter intravenoso periférico de poliuretano ou vialon nº 22g (0,9 mm x 2,5 cm), com parede fina e ponta levemente afunilada, radiopaco; agulha de bisel biangulado, trifacetado e siliconado com protetor e dispositivo de segurança retr</t>
  </si>
  <si>
    <t>CATETER INTRAVENOSO 24 G Cateter intravenoso periférico de poliuretano ou vialon nº 24g (0,7mm x 1,9cm), com parede fina e ponta levemente afunilada, radiopaco; agulha de bisel biangulado, trifacetado e siliconizado com protetor e dispositivo de segurança retr</t>
  </si>
  <si>
    <t>COLETOR PERFUROCORTANTE CAPACIDADE 13 LITROS Coletor de materiais perfurocortante, de papelão revestido internamente com material impermeável, contendo saco plástico de lixo, com sistema de abertura e fechamento com tampa e trava de segurança, retangular com c</t>
  </si>
  <si>
    <t>EQUIPO DE INFUSÃO MACROGOTAS Equipo de soro Macrogotas com penetrador trifacetado com entrada de ar com filtro de 0,22 micras, com filtro de partículas de 15 micras, adaptação segura para as ampolas plásticas e frascos, câmara flexível cristal, tubo em PVC cri</t>
  </si>
  <si>
    <t>EQUIPO DE INFUSÃO MICROGOTAS Equipo Microgotas para soro, para administração de soluções parentais, estéril, contendo conector injetor lateral superior em "Y", atóxico, apirogênico e descartável, acondicionado em embalagem plástica individualmente, esterilizad</t>
  </si>
  <si>
    <t>LÂMINA BISTURI 24 Lâmina de bisturi número 24, em aço inoxidável ou em aço carbono, descartável, estéril, embalada individualmente em material que promova barreira microbiana de abertura e transferência asséptica, acondicionada em caixa com 100 unidades. Apres</t>
  </si>
  <si>
    <t>MÁSCARA CIRÚRGICA TRIPLA COM ELÁSTICO E CLIP NASAL Máscara cirúrgica, descartável, tripla, estrutura plana, flexível e porosa; composta por grânulos de resina de polipropileno, unidos por processo térmico (duas camadas externas de não-tecido 100% polipropileno</t>
  </si>
  <si>
    <t>SERINGA DESCARTÁVEL 3ML COM DISPOSITIVO DE SEGURANÇA (NR32) Seringa descartável, sem agulha, com capacidade para 3 ml, confeccionada em plástico apropriado, atóxica, apirogênica e estéril. Cilindro altamente transparente dotado de anel de retenção que impeça o</t>
  </si>
  <si>
    <t>SERINGA DESCARTÁVEL 5ML COM DISPOSITIVO DE SEGURANÇA (NR32) Seringa descartável, sem agulha, com capacidade para 5ml,confeccionada em plástico apropriado, atóxica, apirogênica e estéril. Cilindro altamente transparente dotado de anel de retenção que impeça o d</t>
  </si>
  <si>
    <t xml:space="preserve">SERINGA DESCARTÁVEL 10ML COM DISPOSITIVO DE SEGURANÇA (NR32) Seringa descartável, sem agulha, com capacidade para 10ml, confeccionada em plástico apropriado, atóxica, apirogênica e estéril. Cilindro altamente transparente dotado de anel de retenção que impeça </t>
  </si>
  <si>
    <t>SERINGA DESCARTÁVEL 20 ML Seringa descartável, sem agulha, com capacidade para 20 ml, confeccionada em plástico apropriado, atóxica, apirogênica e estéril. Cilindro altamente transparente com anel de retenção que impeça o desprendimento do êmbolo. Escala de gr</t>
  </si>
  <si>
    <t>SONDA URETRAL Nº 10 Sonda uretral em poliuretano, estéril, flexível mas não dobrável, embalada individualmente - nº 10</t>
  </si>
  <si>
    <t>SONDA URETRAL Nº 12 Sonda uretral em poliuretano, estéril, flexível mas não dobrável, embalada individualmente - nº 12</t>
  </si>
  <si>
    <t>SONDA URETRAL Nº 04 Sonda uretral em poliuretano, estéril, flexível mas não dobrável, embalada individualmente - nº 04</t>
  </si>
  <si>
    <t>SONDA URETRAL Nº 06 Sonda uretral em poliuretano, estéril, flexível mas não dobrável, embalada individualmente - nº 06</t>
  </si>
  <si>
    <t>SONDA URETRAL Nº 08 Sonda uretral em poliuretano, estéril, flexível mas não dobrável, embalada individualmente - nº 08</t>
  </si>
  <si>
    <t>TOUCA DESCARTÁVEL SANFONADA BRANCA.(ENFERMAGEM) Tipo: Descartável, sanfonada, em tamanho único com formato adaptável; Material: Confeccionada em tecido não-tecido (TNT) 100% polipropileno, com gramatura mínima que garanta a resistência e a barreira microbiológ</t>
  </si>
  <si>
    <t>ATADURA CREPE - 10CM - 13 FIOS Atadura de crepe em tecido 100% algodão, 13 fios/cm², com 10 cm de largura e 1,80 m de comprimento (em repouso), peso entre 10 g e 20 g. Possui bordas devidamente acabadas para evitar o desfiamento, enrolada uniformemente em form</t>
  </si>
  <si>
    <t>ATADURA CREPE - 20CM - 13 FIOS Atadura de crepe em tecido 100% algodão, 13 fios/cm², com 20 cm de largura e 1,80 m de comprimento (em repouso), peso entre 20 g e 40 g. Possui bordas devidamente acabadas para evitar o desfiamento, enrolada uniformemente em form</t>
  </si>
  <si>
    <t>SUPORTE PARA CAIXA COLETORA DE MATERIAIS PERFUROCORTANTES - 13 LITROS Suporte para fixação do coletor perfurocortante de 13 litros; de aço; com pintura antioxidante epóxi;</t>
  </si>
  <si>
    <t>CAMPO CIRÚRGICO ESTÉRIL - TNT - 50CM x 50CM CAMPO CIRÚRGICO ESTÉRIL, FENESTRADO, PRODUZIDO EM TNT, DESCARTÁVEL - MEDIDAS: 50 X 50 CM</t>
  </si>
  <si>
    <t>EQUIPO PARA TRANSFUSÃO DE SANGUE TUBO COM 2,5 METROS DE COMPRIMENTO (Possibilita a movimentação do animal durante o tratamento). Tubo em PVC Flexível, ultra macio, não obstrui o fluxo da solução e permite a movimentação do animal durante a infusão. Câmara dupl</t>
  </si>
  <si>
    <t>SONDA URETRAL PARA GATOS Sonda Uretral de polietileno de baixa densidade, não possui mandril. Extremidade fechada e arredondada com dois orifícios laterais, e os orifícios de sutura do disco na base permitem fixar a sonda ao prepúcio. A conexão fêmea luer lock</t>
  </si>
  <si>
    <t>Avental manga longa descartável 50 gramatura TNT impermeável com fechamento em tiras tamanho único c/ 10 unidades</t>
  </si>
  <si>
    <t>Avental manga longa descartável 30 gramatura TNT impermeável com fechamento em tiras tamanho único c/ 10 unidades</t>
  </si>
  <si>
    <t>BABADOR ODONTOLÓGICO DESCARTÁVEL IMPERMEÁVEL C/100 UNIDADES</t>
  </si>
  <si>
    <t>Campo cirúrgico fenestrado 10 cm estéril 60cmx60cm</t>
  </si>
  <si>
    <t>ESCOVA PARA LIMPEZA DE INSTRUMENTAIS</t>
  </si>
  <si>
    <t>Laminas de bisturi descartável em aço carbono 15</t>
  </si>
  <si>
    <t>Touca descartável com laço de amarar branca c/100 unidades</t>
  </si>
  <si>
    <t>COMPRESSA DE GAZE ESTERIL 13F C/10UNI</t>
  </si>
  <si>
    <t>INDICADOR BIOLÓGICO C/10 UNIDADES</t>
  </si>
  <si>
    <t>LUVAS DE PROCEDIMENTO DE LÁTEX AMBIDESTRA PP C/100 UNIDADES</t>
  </si>
  <si>
    <t>LUVA PROCEDIMENTO 100% LÁTEX DESCARTÁVEL P - LUVAS DESCARTÁVEIS PARA PROCEDIMENTOS DE LÁTEX DE BORRACHA NATURAL, AMBIDESTRA, NÃO ESTÉRIL COM SUPERFÍCIE LISA. CAIXA COM 100</t>
  </si>
  <si>
    <t>LUVA PROCEDIMENTO 100% LÁTEX DESCARTÁVEL M - LUVAS DESCARTÁVEIS PARA PROCEDIMENTOS DE LÁTEX DE BORRACHA NATURAL, AMBIDESTRA, NÃO ESTÉRIL COM SUPERFÍCIE LISA. CAIXA COM 100</t>
  </si>
  <si>
    <t>LUVA PROCEDIMENTO 100% LÁTEX DESCARTÁVEL G - LUVAS DESCARTÁVEIS PARA PROCEDIMENTOS DE LÁTEX DE BORRACHA NATURAL, AMBIDESTRA, NÃO ESTÉRIL COM SUPERFÍCIE LISA. CAIXA COM 100</t>
  </si>
  <si>
    <t>Luvas de procedimento Nitrilica ambidestra M c/100 unidades</t>
  </si>
  <si>
    <t>Luvas de procedimento Nitrilica ambidestra P c/100 unidades</t>
  </si>
  <si>
    <t>PAPEL GRAU CIRÚRGICO 120 MM X 100 M</t>
  </si>
  <si>
    <t>PAPEL GRAU CIRÚRGICO 50 MM X 100 M</t>
  </si>
  <si>
    <t>PAPEL GRAU CIRÚRGICO 250MM X 100</t>
  </si>
  <si>
    <t>ATADURA ELÁSTICA DE CURTA TRAÇÃO - 6CM X C/ NO MIN. 4M</t>
  </si>
  <si>
    <t>ATADURA ELÁSTICA DE CURTA TRAÇÃO - 8CM X C/ NO MIN. 4M.</t>
  </si>
  <si>
    <t>Fralda Descartável tipo fixação: tiras ajustáveis e reposicionáveis, tamanho: infantil extra grande xg, material: tela polímerica e núcleo absorvente, revestimento externo: impermeável, característica adicional: barreira antivazamento FRALDA DESCART INFANTIL T</t>
  </si>
  <si>
    <t>Fralda Descartável tipo fixação: tiras ajustáveis e reposicionáveis, tamanho: infantil grande, material: tela polímerica e núcleo absorvente, revestimento externo: impermeável, característica adicional: barreira antivazamento FRALDA DESCART INFANTIL TAMANHO GR</t>
  </si>
  <si>
    <t>Fralda Descartável tipo fixação: tiras ajustáveis e reposicionáveis, tamanho: infantil médio, material: tela polímerica e núcleo absorvente, revestimento externo: impermeável, característica adicional: barreira antivazamento FRALDA DESCART INFANTIL TAMANHO MED</t>
  </si>
  <si>
    <t>Fralda Descartável tipo fixação: tiras ajustáveis e reposicionáveis, tamanho: infantil pequeno, material: tela polímerica e núcleo absorvente, revestimento externo: impermeável, característica adicional: barreira antivazamento FRALDA DESCART INFANTIL TAMANHO P</t>
  </si>
  <si>
    <t>CAMPO CIRURGICO ESTERIL 120 X 120 M</t>
  </si>
  <si>
    <t>CAMPO CIRURGICO FENESTRADO ESTERIL 80 X 80</t>
  </si>
  <si>
    <t>LUVA CIRURGICA ESTÉRIL Nº 6,0</t>
  </si>
  <si>
    <t>LUVA CIRURGICA ESTÉRIL Nº 7,5</t>
  </si>
  <si>
    <t>MÁSCARA CIRÚRGICA - BRANCA - DESCARTAVÉL - TRIPLA - COM ELÁSTICO - CAIXA COM 50 UNIDADES</t>
  </si>
  <si>
    <t>TOUCA CIRÚRGICA DESCARTAVÉL SANFONADA BRANCA - PCT C/ 100 UN.</t>
  </si>
  <si>
    <t>Eletrodo Uso Médico acessório: s/ cabo, adicional 1: c/ gel condutor, aplicação 1: p/ monitorização cardíaca - ecg, esterilidade: uso único, material sensor: prata/prata clorada, modelo: de superfície, tamanhos: neonatal, tipo: adesivo</t>
  </si>
  <si>
    <t>Equipo P/ Bomba De Infusão compatibilidade: c/ equipamento, comprimento total do tubo: acima de 181 cm, conector paciente: luer, conector solução: ponta perfurante, câmara gotejamento: macrogotas, flexível, c/ respiro, esterilidade: estéril, uso único, materia</t>
  </si>
  <si>
    <t>Equipo De Nutrição Enteral material: pvc, c/ cor, tipo: p/ bomba infusão, com segmento de silicone, 1 via, câmara gotejamento: macrogotas, flexível, regulador de fluxo manual: pinça rolete, conector dieta: ponta perfurante, conector paciente: escalonado, compr</t>
  </si>
  <si>
    <t>Eletrodo Uso Médico aplicação 1: p/ monitorização neuro, modelo: agulha, tipo: subdérmica, material sensor: aço inoxidável, dimensões: cerca de 12 a 17 x 0,40 a 0,45, acessório: c/ cabo compatível c/ equipamento, esterilidade: estéril, uso único</t>
  </si>
  <si>
    <t>Cateter Central aplicação: venoso, matéria prima: poliuretano radiopaco, diâmetro: cerca 4 fr, vias: duplo lúmen, lúmen: 20, comprimento: cerca 15, tipo fixação: fixação subcutânea, conector: conectores padrão, clamp em todas vias e tampas, componente: kit int</t>
  </si>
  <si>
    <t>Extensor Infusão Vascular vias: 2 vias, material: polímero, comprimento: cerca 10, calibre: cerca 6, tipo conexão: luer lock / slip / valvulado, pressão máxima: até cerca de 100, componente adicional: c/ clamp, tipo uso: estéril, uso único</t>
  </si>
  <si>
    <t>Dreno Cirúrgico modelo: tubular, centro rígido c/ 4 canais, material: silicone, calibre: cerca de 15, componente ii: radiopaco, tipo uso: estéril, descartável, embalagem: embalagem individual</t>
  </si>
  <si>
    <t>Agulha Odontológica material: aço inoxidável, aplicação: hipodérmica / endodontia, indicação: aspiração, dimensão: cerca de 19 g x 1 1/2, tipo ponta*: sem bisel, ponta romba, tipo cânula: cânula angulada, tipo conexão: conector luer lock, tipo uso: esterilizáv</t>
  </si>
  <si>
    <t>Fio De Sutura Agulhado material fio: polipropileno azul, modelo fio: monofilamentar, diâmetro fio: 6-0, comprimento fio: cerca de 70, tipo agulha: 2 agulhas 3/8 círculo nas extremidades, modelo agulha: cilíndrica, comprimento agulha: cerca de 10, esterilidade:</t>
  </si>
  <si>
    <t>AGULHA 13 X 4,5 - CAIXA COM 100: AGULHA HIPODÉRMICA DESCARTÁVEL, CORPO DE AÇO INOXIDÁVEL BISELADO, CANHÃO EM PLÁSTICO, PROVIDA DE PROTETOR, CALIBRE 13 X 4,5 ESTERILIZADA A OXIDO DE ETILENO, EMBALADA INDIVIDUALMENTE, CONSTANDO EXTERNAMENTE OS DADOS DE IDENTIFIC</t>
  </si>
  <si>
    <t>AGULHA 20 X 5,5 - CAIXA COM 100: AGULHA HIPODÉRMICA DESCARTÁVEL, CORPO DE AÇO INOXIDÁVEL BISELADO, CANHÃO EM PLÁSTICO, PROVIDA DE PROTETOR, CALIBRE 20 X 5,5 ESTERILIZADA A OXIDO DE ETILENO, EMBALADA INDIVIDUALMENTE, CONSTANDO EXTERNAMENTE OS DADOS DE IDENTIFIC</t>
  </si>
  <si>
    <t>AGULHA 25 X 6 - CAIXAS COM 100: AGULHA HIPODÉRMICA DESCARTÁVEL, CORPO DE AÇO INOXIDÁVEL BISELADO, CANHÃO EM PLÁSTICO, PROVIDA DE PROTETOR, CALIBRE 25 X 6 ESTERILIZADA A OXIDO DE ETILENO, EMBALADA INDIVIDUALMENTE, CONSTANDO EXTERNAMENTE OS DADOS DE IDENTIFICAÇÃ</t>
  </si>
  <si>
    <t>AGULHA 25 X 7 - CAIXA COM 100: AGULHA HIPODÉRMICA DESCARTÁVEL, CORPO DE AÇO INOXIDÁVEL BISELADO, CANHÃO EM PLÁSTICO, PROVIDA DE PROTETOR, CALIBRE 25 X 07, ESTERILIZADA A OXIDO DE ETILENO, EMBALADA INDIVIDUALMENTE, CONSTANDO EXTERNAMENTE OS DADOS DE IDENTIFICAÇ</t>
  </si>
  <si>
    <t>AGULHA 25 X 8 - CAIXA COM 100: AGULHA HIPODÉRMICA DESCARTÁVEL, CORPO DE AÇO INOXIDÁVEL BISELADO, CANHAO EM PLÁSTICO, PROVIDA DE PROTETOR, CALIBRE 25 X 08, ESTERILIZADA A OXIDO DE ETILENO, EMBALADA INDIVIDUALMENTE, CONSTANDO EXTERNAMENTE OS DADOS DE IDENTIFICAÇ</t>
  </si>
  <si>
    <t>AGULHA 30 X 7: AGULHA HIPODÉRMICA DESCARTÁVEL, CANHÃO PLÁSTICO ATÓXICO EM POLIPROPILENO SEM REBARBAS, HASTE EM AÇO INOX, COM BISEL TRIFACETADO E PONTA AFIADA CILÍNDRICA-OCA-RETA, COM PERFEITA ADAPTAÇÃO AO CANHÃO, PROTETOR PLÁSTICO, ATÓXICO EM POLIPROPILENO, DI</t>
  </si>
  <si>
    <t>AGULHA 30 X 8: AGULHA HIPODÉRMICA DESCARTÁVEL, CANHÃO PLÁSTICO ATÓXICO EM POLIPROPILENO SEM REBARBAS, HASTE EM AÇO INOX, COM BISEL TRIFACETADO E PONTA AFIADA CILÍNDRICA-OCA-RETA, COM PERFEITA ADAPTAÇÃO AO CANHÃO, PROTETOR PLÁSTICO, ATÓXICO EM POLIPROPILENO, DI</t>
  </si>
  <si>
    <t>AGULHA 40 X 12: AGULHA HIPODÉRMICA DESCARTÁVEL, CANHÃO PLÁSTICO ATÓXICO EM POLIPROPILENO SEM REBARBAS, HASTE EM AÇO INOX, COM BISEL TRIFACETADO E PONTA AFIADA CILÍNDRICA-OCA-RETA, COM PERFEITA ADAPTAÇÃO AO CANHÃO, PROTETOR PLÁSTICO, ATÓXICO EM POLIPROPILENO, D</t>
  </si>
  <si>
    <t>ATADURA DE CREPE, MEDINDO APROXIMADAMENTE 06 CM DE LARGURA X 1,80MTS DE COMPRIMENTO, COR NATURAL, COM 09 FIOS, CONSTITUÍDO DE FIOS DE ALGODÃO CRU, BORDAS DEVIDAMENTE ACABADAS, ELASTICIDADE ADEQUADA UNIFORMEMENTE ENROLADAS, ISENTA DE QUAISQUER DEFEITOS, CONSTAN</t>
  </si>
  <si>
    <t>ATADURA DE CREPE, MEDINDO APROXIMADAMENTE 10 CM DE LARGURA X 1,80MTS DE COMPRIMENTO, COR NATURAL, COM 13 FIOS, CONSTITUÍDO DE FIOS DE ALGODÃO CRU, BORDAS DEVIDAMENTE ACABADAS, ELASTICIDADE ADEQUADA UNIFORMEMENTE ENROLADAS, ISENTA DE QUAISQUER DEFEITOS, CONSTAN</t>
  </si>
  <si>
    <t>ATADURA DE CREPE, MEDINDO APROXIMADAMENTE 12 CM DE LARGURA X 1,80MTS DE COMPRIMENTO, COR NATURAL, COM 13 FIOS, CONSTITUÍDO DE FIOS DE ALGODÃO CRU, BORDAS DEVIDAMENTE ACABADAS, ELASTICIDADE ADEQUADA UNIFORMEMENTE ENROLADAS, ISENTA DE QUAISQUER DEFEITOS, CONSTAN</t>
  </si>
  <si>
    <t>ATADURA DE CREPE, MEDINDO APROXIMADAMENTE 15 CM DE LARGURA X 1,80MTS DE COMPRIMENTO, COR NATURAL, COM 13 FIOS, CONSTITUÍDO DE FIOS DE ALGODÃO CRU, BORDAS DEVIDAMENTE ACABADAS, ELASTICIDADE ADEQUADA UNIFORMEMENTE ENROLADAS, ISENTA DE QUAISQUER DEFEITOS, CONSTAN</t>
  </si>
  <si>
    <t>ATADURA DE CREPE, MEDINDO APROXIMADAMENTE 20 CM DE LARGURA X 1,80MTS DE COMPRIMENTO, COR NATURAL, COM 13 FIOS, CONSTITUÍDO DE FIOS DE ALGODÃO CRU, BORDAS DEVIDAMENTE ACABADAS, ELASTICIDADE ADEQUADA UNIFORMEMENTE ENROLADAS, ISENTA DE QUAISQUER DEFEITOS, CONSTAN</t>
  </si>
  <si>
    <t>BOLSA PARA COLOSTOMIA OPACA DRENÁVEL 47MM.</t>
  </si>
  <si>
    <t>BOLSA PARA COLOSTOMIA OPACA DRENÁVEL 57MM.</t>
  </si>
  <si>
    <t>CABO DE BISTURI N° 3</t>
  </si>
  <si>
    <t>CABO DE BISTURI N° 4</t>
  </si>
  <si>
    <t>CAMPO CIRÚRGICO DE MESA DESCARTÁVEL, ESTÉRIL. ESTERILIZADO EM ÓXIDO DE ETILENO - GRAMATURA: 50. COR: AZUL. MATERIAL: TNT 100% POLIPROPILENO ATÓXICO E HIPOALÉRGICO. TAMANHOS: 50X 50 CM. PRODUTO DE USO ÚNICO.</t>
  </si>
  <si>
    <t>CAMPO CIRÚRGICO FENESTRADO 10CM ESTÉRIL 40X40CM: PRODUTO ATÓXICO E HIPOALÉRGICO, REPELE LÍQUIDOS. UTILIZADO EM PROCEDIMENTOS LOCALIZADOS. POSSUI FENESTRA APROXIMADA DE 8CM, E DOBRA CIRÚRGICA. DUPLA EMBALAGEM GARANTINDO A ESTERILIDADE ATÉ O USO. ESTERILIZADO EM</t>
  </si>
  <si>
    <t>CATETER NASAL PARA OXIGÊNIO TIPO ÓCULOS - 110CM ADULTO. EMBALADO EM PAPEL GRAU CIRÚRGICO/FILME DE POLIÉSTER. CONFECCIONADO EM PVC, ATÓXICO E FLEXÍVEL.</t>
  </si>
  <si>
    <t>COLETOR DE URINA DE PERNA SISTEMA FECHADO ESTERILIZADO A ÓXIDO DE ETILENO, DESCARTÁVEL, CAPACIDADE 500 ML, CONFECCIONADO EM MATERIAL APROPRIADO, COM ESCALA PARA MEDIR O FLUXO URINÁRIO, FUNDO ACHATADO PARA COMPLETO ESVAZIAMENTO DO COLETOR, EMBALADO INDIVIDUALME</t>
  </si>
  <si>
    <t>COLETOR DE URINA INFANTIL FEMININO COM 10 UNIDADES.</t>
  </si>
  <si>
    <t>COLETOR DE URINA INFANTIL MASCULINO COM 10 UNIDADES.</t>
  </si>
  <si>
    <t>COLETOR DE URINA SISTEMA FECHADO ESTERILIZADO A ÓXIDO DE ETILENO, DESCARTÁVEL, CAPACIDADE 2000 ML, CONFECCIONADO EM MATERIAL APROPRIADO, COM ESCALA PARA MEDIR O FLUXO URINÁRIO, FUNDO ACHATADO PARA COMPLETO ESVAZIAMENTO DO COLETOR, EMBALADO INDIVIDUALMENTE. EMB</t>
  </si>
  <si>
    <t>COLETOR UNIVERSAL 80 ML C/ PÁ. PACOTES COM 100 UNIDADES.</t>
  </si>
  <si>
    <t>COMPRESSA DE GAZE 7,5 X 7,5CM - 11 FIOS ESTÉRIL, CONFECCIONADA COM 11 OU 13 FIOS, COM 08 DOBRAS, COMPRESSA ABERTA TEM APROXIMADAMENTE UMA ÁREA DE 420CM2, COR BRANCA, BORDAS DEVIDAMENTE VOLTADAS PARA DENTRO, QUE EVITAM SOLTURA DE FIOS, CONSTANDO EXTERNAMENTE OS</t>
  </si>
  <si>
    <t>CURATIVO HIDROCOLOIDE COM PRATA ESTÉRIL 10X10CM COBERTURA ANTIMICROBIANA, CONFECCIONADA POR FIBRAS HIDROFILICAS GELIFICANTES COMPOSTA 100% DE ÁLCOOL POLIVINILICO (PVA) E PROPRIEDADE PARA ALTA CAPACIDADE DE ABSORÇÃO E APRISIONAMENTO DE FLUIDOS E BACTERIAS EM SU</t>
  </si>
  <si>
    <t>CURATIVO PLACA HIDROCOLOIDE 10 X 10 CM</t>
  </si>
  <si>
    <t>ELETRODO DESCARTÁVEL PARA MONITORIZAÇÃO CARDÍACA ADULTO, COM DORSO EM ESPUMA, CENTRO COM GEL CONDUTOR ADESIVO, DE ADESIVO HIPOALERGÊNICO, PINO DE BRONZE REVESTIDO DE NÍQUEL, CONTRA PINO DE ABS REVESTIDO DE PRATA, EM PACOTES COM 50 UNIDADES CADA.</t>
  </si>
  <si>
    <t>EQUIPO PARA ALIMENTAÇÃO ENTERAL - EQUIPO PARA DIETA ENTERAL VIA SONDA. INFUSÃO POR GRAVIDADE, EQUIPO GRAVITACIONAL, COM PONTA PERFURANTE E TAMPA PROTETORA. CÂMARA FLEXÍVEL PARA VISUALIZAÇÃO DE GOTEJAMENTO E EXTENSÃO EM PVC AZUL COM COMPRIMENTO DE 1,20M, CONTRO</t>
  </si>
  <si>
    <t>ESPARADRAPO 10,0CMX4,5M - CONFECCIONADO EM TECIDO APROPRIADO, COR DA PELE, MEDINDO 10 CM X 4,5M, ISENTO DE SUBSTANCIAS ALÉRGICAS DE GERMES PATOGÊNICOS, IMPERMEABILIDADE DORSAL ADEQUADA A SUA FINALIDADE, FLEXIBILIDADE SUFICIENTE PARA ADAPTAR-SE AS DOBRAS DA PEL</t>
  </si>
  <si>
    <t>ESPÁTULA DE AYRES PACOTE C/100 UNID.- DE MADEIRA, RESISTENTES, PONTAS ARREDONDADAS DESCARTÁVEIS, UTILIZADA PARA COLETA DE EXAMES GINECOLÓGICOS, MEDINDO 18CM DE COMPRIMENTO, N° DO LOTE, DATA DE FABRICAÇÃO CONSTANTES NAS EMBALAGENS.</t>
  </si>
  <si>
    <t>ESPÉCULO VAGINAL DESCARTÁVEL ESTÉRIL, TAMANHO G. O ESPÉCULO DESCARTÁVEL PODE SER DIVIDIDO BASICAMENTE EM DUAS PARTES, AS VALVAS E O PARAFUSO. AS VALVAS SÃO PRODUZIDAS EM POLIESTIRENO CRISTAL, APRESENTANDO CONTORNOS LISOS E REGULARES SEM REENTRÂNCIAS E/OU PROTU</t>
  </si>
  <si>
    <t>ESPÉCULO VAGINAL DESCARTÁVEL ESTÉRIL, TAMANHO M. O ESPÉCULO DESCARTÁVEL PODE SER DIVIDIDO BASICAMENTE EM DUAS PARTES, AS VALVAS E O PARAFUSO. AS VALVAS SÃO PRODUZIDAS EM POLIESTIRENO CRISTAL, APRESENTANDO CONTORNOS LISOS E REGULARES SEM REENTRÂNCIAS E/OU PROTU</t>
  </si>
  <si>
    <t>ESPÉCULO VAGINAL DESCARTÁVEL ESTÉRIL, TAMANHO P. O ESPÉCULO DESCARTÁVEL PODE SER DIVIDIDO BASICAMENTE EM DUAS PARTES, AS VALVAS E O PARAFUSO. AS VALVAS SÃO PRODUZIDAS EM POLIESTIRENO CRISTAL, APRESENTANDO CONTORNOS LISOS E REGULARES SEM REENTRÂNCIAS E/OU PROTU</t>
  </si>
  <si>
    <t>FITA ADESIVA CIRÚRGICA 25MMX10M HIPOALERGICA E MICROPOROSA.</t>
  </si>
  <si>
    <t>FITA INTEGRADORA QUÍMICA PARA ESTERILIZAÇÃO- PACOTE COM 25 UNIDADES</t>
  </si>
  <si>
    <t>FIXADOR DE SONDA NASOGÁSTRICA - FIXADOR ADESIVO PARA FIXAÇÃO DE SONDA NASAL.</t>
  </si>
  <si>
    <t>FRASCO UMIDIFICADOR DE OXIGÊNIO COMPOSTO POR TAMPA E CORPO DE NYLON, FRASCO PLÁSTICO DE 250ML COM INDICAÇÃO DOS NÍVEIS MÁXIMO E MÍNIMO E CONEXÃO DE ENTRADA DE OXIGÊNIO COM ROSCA METAL PADRÃO 9/16 X 18 FIOS. ADAPTA-SE A QUALQUER VÁLVULA REGULADORA DE CILINDRO O</t>
  </si>
  <si>
    <t>GARROTE LÁTEX</t>
  </si>
  <si>
    <t>GARROTE PARA PUNÇÃO VENOSA EM ELÁSTICO COM PRESILHA: UTILIZADO PARA COLETA DE SANGUE E PROCEDIMENTOS DE PUNÇÃO VENOSA; TAMANHO ADULTO.</t>
  </si>
  <si>
    <t>GEL CONDUTOR PARA ULTRASSOM, ELETROCARDIOGRAMA E FISIOTERAPIA. GALÃO DE 05 LITROS.</t>
  </si>
  <si>
    <t>INDICADOR BIOLÓGICO PARA ESTERILIZAÇÃO. CAIXAS COM 10 UNIDADES.</t>
  </si>
  <si>
    <t>LÂMINA PARA BISTURI N°11 - ESTÉRIL EM AÇO INOXIDÁVEL OU AÇO CARBONO, ISENTA DE REBARBAS E SINAIS DE OXIDAÇÃO, FIO CURVADO EM SUA PONTA, PERFEITA ADAPTAÇÃO AO CABO, ESTERILIZADO A COBALTO 60, ENVELOPE EM ALUMÍNIO QUE PERMITA ABERTURA, COM ACABAMENTO ASSÉPTICO H</t>
  </si>
  <si>
    <t>LÂMINA PARA BISTURI N°15 - ESTÉRIL EM AÇO INOXIDÁVEL OU AÇO CARBONO, ISENTA DE REBARBAS E SINAIS DE OXIDAÇÃO, FIO CURVADO EM SUA PONTA, PERFEITA ADAPTAÇÃO AO CABO, ESTERILIZADO A COBALTO 60, ENVELOPE EM ALUMÍNIO QUE PERMITA ABERTURA, COM ACABAMENTO ASSÉPTICO H</t>
  </si>
  <si>
    <t>LÂMINA PARA BISTURI N°23 - ESTÉRIL EM AÇO INOXIDÁVEL OU AÇO CARBONO, ISENTA DE REBARBAS E SINAIS DE OXIDAÇÃO, FIO CURVADO EM SUA PONTA, PERFEITA ADAPTAÇÃO AO CABO, ESTERILIZADO A COBALTO 60, ENVELOPE EM ALUMÍNIO QUE PERMITA ABERTURA, COM ACABAMENTO ASSÉPTICO H</t>
  </si>
  <si>
    <t>LUVA CIRÚRGICA ESTÉRIL 6,0 -ESPESSURA: 0,17 MM - COMPRIMENTO: 280 MM - MATÉRIA PRIMA: PURO LÁTEX NATURAL - EMBALAGEM EM PAPEL GRAU CIRÚRGICO CONTENDO UM PAR, LUBRIFICADOS COM FINÍSSIMO PÓ BIO-ABSORVÍVEL - PUNHO REFORÇADO. EMBALAGEM CONTENDO DATA DE FABRICAÇÃO,</t>
  </si>
  <si>
    <t>LUVA CIRÚRGICA ESTÉRIL 6,5 -ESPESSURA: 0,17 MM - COMPRIMENTO: 280 MM - MATÉRIA PRIMA: PURO LÁTEX NATURAL - EMBALAGEM EM PAPEL GRAU CIRÚRGICO CONTENDO UM PAR, LUBRIFICADOS COM FINÍSSIMO PÓ BIO-ABSORVÍVEL - PUNHO REFORÇADO. EMBALAGEM CONTENDO DATA DE FABRICAÇÃO,</t>
  </si>
  <si>
    <t>LUVA CIRÚRGICA ESTÉRIL 7,0 -ESPESSURA: 0,17 MM - COMPRIMENTO: 280 MM - MATÉRIA PRIMA: PURO LÁTEX NATURAL - EMBALAGEM EM PAPEL GRAU CIRÚRGICO CONTENDO UM PAR, LUBRIFICADOS COM FINÍSSIMO PÓ BIO-ABSORVÍVEL - PUNHO REFORÇADO. EMBALAGEM CONTENDO DATA DE FABRICAÇÃO,</t>
  </si>
  <si>
    <t>LUVA CIRÚRGICA ESTÉRIL 7,5 - ESPESSURA: 0,17 MM - COMPRIMENTO: 280 MM - MATÉRIA PRIMA: PURO LÁTEX NATURAL - EMBALAGEM EM PAPEL GRAU CIRÚRGICO CONTENDO UM PAR, LUBRIFICADOS COM FINÍSSIMO PÓ BIO-ABSORVÍVEL - PUNHO REFORÇADO. EMBALAGEM CONTENDO DATA DE FABRICAÇÃO</t>
  </si>
  <si>
    <t>LUVA CIRÚRGICA ESTÉRIL 8,0 -ESPESSURA: 0,17 MM - COMPRIMENTO: 280 MM - MATÉRIA PRIMA: PURO LÁTEX NATURAL - EMBALAGEM EM PAPEL GRAU CIRÚRGICO CONTENDO UM PAR, LUBRIFICADOS COM FINÍSSIMO PÓ BIO-ABSORVÍVEL - PUNHO REFORÇADO. EMBALAGEM CONTENDO DATA DE FABRICAÇÃO,</t>
  </si>
  <si>
    <t>PAPEL GRAU CIRÚRGICO AUTO SELANTE 10X25 CM</t>
  </si>
  <si>
    <t>PAPEL GRAU CIRÚRGICO AUTO SELANTE 15 X 25 CM</t>
  </si>
  <si>
    <t>PAPEL GRAU CIRÚRGICO AUTO SELANTE 20X30 CM</t>
  </si>
  <si>
    <t>PAPEL LENÇOL 50 X 70: HOSPITALAR, NÃO ESTÉRIL, CONTENDO 01 ROLO DE 50CM X 70M EMBALADO INDIVIDUALMENTE - 100% DE FIBRA CELULÓSICA, VALIDADE E LOTE NA EMBALAGEM.</t>
  </si>
  <si>
    <t>SERINGA DESCARTÁVEL 10ML SEM AGULHA, COM BICO LUER SLIP, - CONFECCIONADAS EM POLIPROPILENO, PROPORCIONANDO MAIOR TRANSPARÊNCIA. SILICONIZAÇÃO INTERNA QUE GARANTE SUAVIDADE NO DESLIZE E CONTROLE PRECISO NA ASPIRAÇÃO E APLICAÇÃO DE MEDICAMENTOS. CILINDRO COM ANE</t>
  </si>
  <si>
    <t>SERINGA DESCARTÁVEL 20ML SEM AGULHA, COM BICO LUER SLIP, - CONFECCIONADAS EM POLIPROPILENO, PROPORCIONANDO MAIOR TRANSPARÊNCIA. SILICONIZAÇÃO INTERNA QUE GARANTE SUAVIDADE NO DESLIZE E CONTROLE PRECISO NA ASPIRAÇÃO E APLICAÇÃO DE MEDICAMENTOS. CILINDRO COM ANE</t>
  </si>
  <si>
    <t>SERINGA DESCARTÁVEL 3ML SEM AGULHA, COM BICO LUER SLIP, - CONFECCIONADAS EM POLIPROPILENO, PROPORCIONANDO MAIOR TRANSPARÊNCIA. SILICONIZAÇÃO INTERNA QUE GARANTE SUAVIDADE NO DESLIZE E CONTROLE PRECISO NA ASPIRAÇÃO E APLICAÇÃO DE MEDICAMENTOS. CILINDRO COM ANEL</t>
  </si>
  <si>
    <t>SERINGA DESCARTÁVEL 5ML SEM AGULHA, COM BICO LUER SLIP, - CONFECCIONADAS EM POLIPROPILENO, PROPORCIONANDO MAIOR TRANSPARÊNCIA. SILICONIZAÇÃO INTERNA QUE GARANTE SUAVIDADE NO DESLIZE E CONTROLE PRECISO NA ASPIRAÇÃO E APLICAÇÃO DE MEDICAMENTOS. CILINDRO COM ANEL</t>
  </si>
  <si>
    <t>SONDA FOLEY2 VIAS N°10 - SONDA EM BORRACHA NATURAL, SILICONIZADA, COM DUAS VIAS, DOIS ORIFÍCIOS LATERAIS EM LADOS OPOSTOS E NA MESMA ALTURA, BALÃO DE TEXTURA REFORÇADA E UNIFORME COM CAPACIDADE DE 05-15ML E VÁLVULA LUERLOCK. EMBALAGEM ESTÉRIL INDIVIDUAL, COM P</t>
  </si>
  <si>
    <t>SONDA FOLEY2 VIAS N°14 - SONDA EM BORRACHA NATURAL, SILICONIZADA, COM DUAS VIAS, DOIS ORIFÍCIOS LATERAIS EM LADOS OPOSTOS E NA MESMA ALTURA, BALÃO DE TEXTURA REFORÇADA E UNIFORME COM CAPACIDADE DE 05-15ML E VÁLVULA LUERLOCK. EMBALAGEM ESTÉRIL INDIVIDUAL, COM P</t>
  </si>
  <si>
    <t>SONDA FOLEY2 VIAS N°16 - SONDA EM BORRACHA NATURAL, SILICONIZADA, COM DUAS VIAS, DOIS ORIFÍCIOS LATERAIS EM LADOS OPOSTOS E NA MESMA ALTURA, BALÃO DE TEXTURA REFORÇADA E UNIFORME COM CAPACIDADE DE 05-15ML E VÁLVULA LUERLOCK. EMBALAGEM ESTÉRIL INDIVIDUAL, COM P</t>
  </si>
  <si>
    <t>SONDA FOLEY2 VIAS N°18 - SONDA EM BORRACHA NATURAL, SILICONIZADA, COM DUAS VIAS, DOIS ORIFÍCIOS LATERAIS EM LADOS OPOSTOS E NA MESMA ALTURA, BALÃO DE TEXTURA REFORÇADA E UNIFORME COM CAPACIDADE DE 05-15ML E VÁLVULA LUERLOCK. EMBALAGEM ESTÉRIL INDIVIDUAL, COM P</t>
  </si>
  <si>
    <t>SONDA FOLEY2 VIAS N°20 - SONDA EM BORRACHA NATURAL, SILICONIZADA, COM DUAS VIAS, DOIS ORIFÍCIOS LATERAIS EM LADOS OPOSTOS E NA MESMA ALTURA, BALÃO DE TEXTURA REFORÇADA E UNIFORME COM CAPACIDADE DE 05-15ML E VÁLVULA LUERLOCK. EMBALAGEM ESTÉRIL INDIVIDUAL, COM P</t>
  </si>
  <si>
    <t>SONDA NASOENTERAL FLEXÍVEL Nº 12, 120 CM, GRADUADA NUMERICAMENTE, DUPLA VIA, LINHA RADIOPACA E FIO GUIA LUBRIFICADO.</t>
  </si>
  <si>
    <t>SONDA URETRAL DE ALIVIO Nº 08 - PVC, ATÓXICO SILICONIZADO, ESTÉRIL APIROGÊNICO, EMBALADO INDIVIDUALMENTE.</t>
  </si>
  <si>
    <t>SONDA URETRAL DE ALIVIO Nº 10 - PVC, ATÓXICO SILICONIZADO, ESTÉRIL APIROGÊNICO, EMBALADO INDIVIDUALMENTE.</t>
  </si>
  <si>
    <t>SONDA URETRAL DE ALIVIO Nº 12 - PVC, ATÓXICO SILICONIZADO, ESTÉRIL APIROGÊNICO, EMBALADO INDIVIDUALMENTE.</t>
  </si>
  <si>
    <t>SONDA URETRAL DE ALIVIO Nº 20 - PVC, ATÓXICO SILICONIZADO, ESTÉRIL APIROGÊNICO, EMBALADO INDIVIDUALMENTE.</t>
  </si>
  <si>
    <t>TIRAS REAGENTE PARA TESTE DE URINA.</t>
  </si>
  <si>
    <t>SWAB ESTÉRIL-HASTE PLÁSTICA.</t>
  </si>
  <si>
    <t>SWAB PARA COLETA DE AMOSTRAS-MICROBIOLÓGICAS, ESTÉRIL, PONTA DE ALGODÃO HIDROFÍLICO E HASTE DE PLÁSTICO, COM MEIO DE CULTURA TIPO STUART.</t>
  </si>
  <si>
    <t>SWAB ESTÉRIL COM PONTA DE ALGODÃO</t>
  </si>
  <si>
    <t xml:space="preserve">KIT INSTRUMENTAL CAIXA DE CIRURGIA COMPLETA-COM 32 ITENS, CONTENDO 1 CAIXA DE INOX 26X12X06 CM, 1 CABO DE BISTURI Nº 4, 10 LÂMINA DE BISTURI PARA CABO Nº04, 1 PAR DE AFASTADOR FARABEUF, 1 PINÇA ANATÔMICA COM DENTE DE RATO 16 CM, 1 PINÇA ANATÔMICA COM SERRILHA </t>
  </si>
  <si>
    <t>KIT CIRURGICO CONFECCIONADO EM AÇO INOXIDAVEL CIRURGICO PARA CASTRAÇAO COMPLETO COM 19 PEÇAS CONTENDO:- 1 CABO DE BISTURI Nº 4; 3 PINÇAS HEMOSTÁTICAS KELLY RETA 16 CM; 3 PINÇAS HEMOSTATICAS KELLY CURVA 16 CM; 1 PORTA AGULHA MAYO HEGAR 16 CM; 1 PINÇA DENTE DE R</t>
  </si>
  <si>
    <t>Aspirador Cirúrgico componentes: sistema antitransbordamento, filtro bacteriológico, fluxo de aspiração: de 15 a 30 lpm, modelo: elétrico portátil, pressão de vácuo: cerca de 550 mmhg, tipo frasco: 1 frasco em plástico, volume: cerca de 1,5 l conforme condiçõe</t>
  </si>
  <si>
    <t>Fio De Sutura Agulhado material fio: poliglactina violeta, modelo fio: multifilamentar, diâmetro fio: nº 1, comprimento fio: cerca de 90, tipo agulha: agulha 1/2 círculo, modelo agulha: cilíndrica, comprimento agulha: cerca de 50, esterilidade: estéril, aprese</t>
  </si>
  <si>
    <t>Fio De Sutura Agulhado material fio: poliglactina violeta, modelo fio: multifilamentar, diâmetro fio: 0 / 1-0, comprimento fio: cerca de 90, tipo agulha: agulha 1/2 círculo, modelo agulha: cilíndrica robusta, comprimento agulha: cerca de 50, esterilidade: esté</t>
  </si>
  <si>
    <t>Fio De Sutura Agulhado material fio: polipropileno azul, modelo fio: monofilamentar, diâmetro fio: 0 / 1-0, comprimento fio: cerca de 70, tipo agulha: agulha 1/2 círculo, modelo agulha: cilíndrica, comprimento agulha: cerca de 35, esterilidade: estéril, aprese</t>
  </si>
  <si>
    <t>Equipo P/ Bomba De Infusão material: pvc âmbar p/ solução fotossensível, material adicional: sem segmento de silicone, câmara gotejamento: macrogotas, flexível, c/ filtro, regulador de fluxo manual: pinça rolete, comprimento total do tubo: acima de 181 cm, tip</t>
  </si>
  <si>
    <t>Fio De Sutura Agulhado material fio: ác. poliglicólico violeta, modelo fio: multifilamentar, diâmetro fio: nº 1, comprimento fio: cerca de 70, tipo agulha: agulha 1/2 círculo, modelo agulha: cilíndrica, comprimento agulha: cerca de 40, esterilidade: estéril, a</t>
  </si>
  <si>
    <t>Fio De Sutura Agulhado material fio: catgut simples, modelo fio: multifilamentar, laçado, diâmetro fio: 2-0, comprimento fio: cerca de 150, tipo agulha: agulha 1/2 círculo, modelo agulha: cilíndrica robusta, comprimento agulha: cerca de 40, esterilidade: estér</t>
  </si>
  <si>
    <t>EXCLUSIVO - ESPÉCULO VAGINAL DESCARTÁVEL GRAU CIRÚRGICO - TAM P</t>
  </si>
  <si>
    <t>EXCLUSIVO - Agulha descartável e estéril, 0,80 x 25 – 21G 1 – com cânula siliconizada que desliza facilmente, diminuindo a dor do paciente. Bisel trifacetado que torna a aplicação mais fácil e reduz a dor do paciente. Canhão colorido na cor verde para facilita</t>
  </si>
  <si>
    <t>EXCLUSIVO - Agulha descartável e estéril, 0,70 x 25 – 22G 1 - com cânula siliconizada que desliza facilmente, diminuindo a dor do paciente. Bisel trifacetado que torna a aplicação mais fácil e reduz a dor do paciente. Canhão colorido na cor preto para facilita</t>
  </si>
  <si>
    <t>EXCLUSIVO - TESTE BOWIE &amp; DICK- TESTE QUE CONTROLA A PENETRAÇÃO DO VAPOR E A REMOÇÃO DE AR RESIDUAL DAS AUTOCLAVES, À VÁCUO, TEM QUE SER COMPOSTO POR UMA SÉRIE DE BARREIRAS PERMEÁVEIS AO VAPOR, ONDE SE ENCONTRA A FOLHA COM INDICADOR QUIMICO, TEM QUE SER IMPRES</t>
  </si>
  <si>
    <t>EXCLUSIVO - CATETER INTRAVENOSO PERIFÉRICO Nº 14 COM DISPOSITIVO DE SEGURANÇA DO TIPO POR FORA DA AGULHA, AGULHA SILICONIZADA COM BISEL TRIANGULADO TRIFACETADO, PROTETOR DE AGULHA/CATETER QUE GARANTE A INTEGRIDADE DA AGULHA ATÉ O MOMENTO DO USO, DE FORMATO ANA</t>
  </si>
  <si>
    <t>EXCLUSIVO - CATETER INTRAVENOSO PERIFÉRICO Nº 18 COM DISPOSITIVO DE SEGURANÇA DO TIPO POR FORA DA AGULHA, AGULHA SILICONIZADA COM BISEL TRIANGULADO TRIFACETADO, PROTETOR DE AGULHA/CATETER QUE GARANTE A INTEGRIDADE DA AGULHA ATÉ O MOMENTO DO USO, DE FORMATO ANA</t>
  </si>
  <si>
    <t>EXCLUSIVO - COMPRESSA DE GAZE, NÃO ESTÉRIL, COMPOSTA POR 11 FIOS, 05 (CINCO) DOBRAS E 08 (OITO) CAMADAS, DIMENSÃO 7,5CM X 7,5CM (FECHADA) E 15CM X 30CM (ABERTA), PACOTE COM 500 UNIDADES. FABRICADO CONFORME NBR 13843.</t>
  </si>
  <si>
    <t>EXCLUSIVO - COLETOR URINÁRIO DE CAMA, COMPOSTO POR PLÁSTICO ANTIODOR, TUBO PARA CONEXÃO EM DISPOSITIVO COLETOR PARA ESTOMAS, SISTEMA ANTI-REFLUXO E VÁLVULA DE DRENAGEM, CAPACIDADE DE ATE 1500ML E SUPORTE DE CAMA</t>
  </si>
  <si>
    <t>COTA PRINCIPAL - SERINGA DE 1 ML (100UI) PARA APLICAÇÃO DE INSULINA – PARA MANUSEIO DE TRABALHADORES EM SERVIÇOS DE SAÚDE, DESCARTÁVEL, ESTÉRIL. CONFECCIONADA EM PLÁSTICO TRANSPARENTE, ATÓXICO, COM AGULHA FIXA DE 6,0 X 0,25 MM A 8,0 X 30 MM. CORPO LUBRIFICADO,</t>
  </si>
  <si>
    <t>COTA RESERVADA - SERINGA DE 1 ML (100UI) PARA APLICAÇÃO DE INSULINA – PARA MANUSEIO DE TRABALHADORES EM SERVIÇOS DE SAÚDE, DESCARTÁVEL, ESTÉRIL. CONFECCIONADA EM PLÁSTICO TRANSPARENTE, ATÓXICO, COM AGULHA FIXA DE 6,0 X 0,25 MM A 8,0 X 30 MM. CORPO LUBRIFICADO,</t>
  </si>
  <si>
    <t>EXCLUSIVO - SERINGA 10ML, HIPODÉRMICA DESCARTÁVEL, ESTÉRIL, SEM AGULHA, COM BICO LUER SLIP, COM GRADUAÇÃO NÍTIDA, EMBALAGEM INDIVIDUAL EM PAPEL GRAU CIRURGICO COM DADOS DE IDENTIFICAÇÃO C/ REGISTRO NO MINISTÉRIO DA SAÚDE</t>
  </si>
  <si>
    <t>EXCLUSIVO - SERINGA 20ML, HIPODÉRMICA DESCARTÁVEL, ESTÉRIL, SEM AGULHA, COM BICO LUER SLIP, COM GRADUAÇÃO NÍTIDA, EMBALAGEM INDIVIDUAL EM PAPEL GRAU CIRURGICO COM DADOS DE IDENTIFICAÇÃO C/ REGISTRO NO MINISTÉRIO DA SAÚDE</t>
  </si>
  <si>
    <t>EXCLUSIVO - COMPRESSA CIRÚRGICA DE GAZE, HID 7,5CM X 7,5CM, ESTÉRIL CONFECCIONADA COM 11(ONZE) FIOS, 100% ALGODÃO EM TECIDO TIPO TELA COM 08 CAMADAS E 05 DOBRAS, DIMENSÃO: 7,5CM X 7,5CM (FECHADA) E 15CM X 30CM (ABERTA). A COMPRESSA DEVERÁ SER ALVEJADA, PURIFIC</t>
  </si>
  <si>
    <t>EXCLUSIVO - TUBO DE COLETA COM EDTA K2 OU K3 COM GEL SEPARADOR 5ML</t>
  </si>
  <si>
    <t>EXCLUSIVO - GARROTE LÁTEX FREE CAIXA C/ 01 ROLO COM 25 TIRAS DE 2,5 X 36 CM CADA TIRA.</t>
  </si>
  <si>
    <t>CABO DE BISTURI Nº 3 PARA LAMINAS 10 A 17 EM AÇO INOXIDAVEL</t>
  </si>
  <si>
    <t>CABO DE BISTURI Nº 4 PARA LAMINAS 18 A 36 EM AÇO INOXIDAVEL</t>
  </si>
  <si>
    <t>CUBA RIM INOX ,750ML,,26X12X6 CM , EM AÇO INOXIDAVEL</t>
  </si>
  <si>
    <t>CUBA RIM DE INOX 250ML ,09X05 CM , EM AÇO INOXIDAVEL</t>
  </si>
  <si>
    <t>ESCOVA DUPLA PARA LIMPEZA DE INSTRUMENTAIS 18CM, CERDA DE NYLON E AÇO INOXIDAVEL</t>
  </si>
  <si>
    <t>SUGADOR CIRURGICO PARA SANGUE, EM AÇO INOXIDAVEL, USO ODONTOLOGICO</t>
  </si>
  <si>
    <t>Aspirador de secrecoes cirurgico com coletor autoclavavel de no minimo 3 litros, alca para transporte, mangueira de silicone de no minimo 2 metros, vazao de no minimo 24 litros / minuto, sistema de compressor oscilante isento de oleo, 110 V ou Bivolt. Registro</t>
  </si>
  <si>
    <t>Sonda Trato Urinário modelo: uretral, material: silicone, calibre: 16, conector: conector padrão c/ tampa, comprimento: cerca 40, tipo ponta: ponta distal cilíndrica fechada, componentes: c/ orifícios laterais, esterilidade: estéril, descartável, embalagem: em</t>
  </si>
  <si>
    <t>Sonda Trato Urinário modelo: uretral, material: pvc, calibre: 10, conector: conector padrão c/ tampa, comprimento: cerca 20, tipo ponta: ponta distal cilíndrica fechada, componentes: c/ orifícios laterais, esterilidade: estéril, descartável, embalagem: embalag</t>
  </si>
  <si>
    <t>Avental Cirúrgico - Paramentação esterilidade: esterilizável, material: 100% algodão, gramatura: mínimo de 260, modelo manga: longa c/ punho em malha, tamanho: pequeno (p), tipo fechamento: posterior p/ pescoço e cintura</t>
  </si>
  <si>
    <t>Cabo Bisturi material: aço inoxidável, tamanho: nº 3, características adicionais: longo</t>
  </si>
  <si>
    <t>Luva Cirúrgica material: borracha natural - látex, superfície: superfície texturizada, formato: anatômico, pó: sem pó, cor: c/ cor, tamanho: nº 6,0, apresentação: em par, esterilidade: estéril, uso único, embalagem: embalagem individual</t>
  </si>
  <si>
    <t>FRALDA INFANTIL HUGGIES MÁXIMA PROTEÇÃO XXXG - 18 A 25 KG FRALDA INFANTIL HUGGIES MÁXIMA PROTEÇÃO XXXG - 18 A 25 KG</t>
  </si>
  <si>
    <t>FRALDA GERIÁTRICA DERMA PLUS BIGFRAL (TAM: G 5 TROCAS AO DIA FRALDA GERIÁTRICA DERMA PLUS BIGFRAL (TAM: G 5 TROCAS AO DIA).</t>
  </si>
  <si>
    <t>Fralda Geriátrica Tena Slip Noturna M Fralda Geriátrica Tena Slip Noturna M</t>
  </si>
  <si>
    <t>FRALDAS GERIÁTRICAS TENA SLIP NOTURNA - G FRALDAS GERIÁTRICAS TENA SLIP NOTURNA - G</t>
  </si>
  <si>
    <t>LANCETAS PARA PUNÇAO DIGITAL</t>
  </si>
  <si>
    <t xml:space="preserve">Equipo P/ Bomba De Infusão material: pvc transparente, material adicional: com segmento de silicone, volume bureta: bureta cerca de 150, características bureta: graduada, c/ alça, respiro, injetor e filtro, câmara gotejamento: macrogotas, flexível, c/ respiro </t>
  </si>
  <si>
    <t>Fio De Sutura Agulhado material fio: ác. poliglicólico verde, modelo fio: multifilamentar, farpado, diâmetro fio: 2-0, comprimento fio: cerca de 15, tipo agulha: agulha 1/2 círculo, modelo agulha: cilíndrica, comprimento agulha: cerca de 26, esterilidade: esté</t>
  </si>
  <si>
    <t>Cabo Bisturi material: aço inoxidável, tamanho: nº 4, características adicionais: longo</t>
  </si>
  <si>
    <t>Cuba Uso Hospitalar material: aço inox, formato: tipo rim, capacidade: cerca de 700</t>
  </si>
  <si>
    <t>Fio De Sutura Agulhado material fio: nylon / poliamida preto, modelo fio: monofilamentar, diâmetro fio: 3-0, comprimento fio: cerca de 45, tipo agulha: agulha 3/8 círculo, modelo agulha: cortante reversa / invertida, comprimento agulha: cerca de 30, esterilida</t>
  </si>
  <si>
    <t>Fio De Sutura Agulhado material fio: nylon / poliamida preto, modelo fio: monofilamentar, diâmetro fio: 4-0, comprimento fio: cerca de 70, tipo agulha: agulha 3/8 círculo, modelo agulha: cortante reversa / invertida, comprimento agulha: cerca de 30, esterilida</t>
  </si>
  <si>
    <t>Fio De Sutura Agulhado material fio: ác. poliglicólico incolor, modelo fio: multifilamentar, diâmetro fio: 3-0, comprimento fio: cerca de 45, tipo agulha: agulha 3/8 círculo, modelo agulha: cortante reversa / invertida, comprimento agulha: cerca de 24, esteril</t>
  </si>
  <si>
    <t>Fio De Sutura Agulhado material fio: polipropileno azul, modelo fio: monofilamentar, diâmetro fio: 3-0, comprimento fio: cerca de 70, tipo agulha: agulha 1/2 círculo, modelo agulha: cilíndrica, comprimento agulha: cerca de 30, esterilidade: estéril, apresentaç</t>
  </si>
  <si>
    <t>Fio De Sutura Agulhado material fio: polipropileno azul, modelo fio: monofilamentar, diâmetro fio: 5-0, comprimento fio: cerca de 70, tipo agulha: agulha 1/2 círculo, modelo agulha: cilíndrica, comprimento agulha: cerca de 10, esterilidade: estéril, apresentaç</t>
  </si>
  <si>
    <t>Tubo Para Coleta De Amostra Biológica material: plástico âmbar, volume: 3,5, componentes: com gel separador, uso: coleta de sangue, característica adicional: à vácuo, esterilidade: estéril, descartável</t>
  </si>
  <si>
    <t>Campo Cirúrgico Descartável material: não tecido 100% polipropileno - tipo sms, propriedade: hidrorepelente, reforço: s/ reforço, coletor: c/ coletor de fluído, dimensões: cerca de 100 x 100, cor: c/ cor, esterilidade: estéril</t>
  </si>
  <si>
    <t>Campo Cirúrgico Descartável modelo: fenestra em "u", material: não tecido polipropileno sms c/ lâmina polietileno, propriedade: hidrorepelente e impermeável, reforço: c/ reforço absorvente, fixação: adesiva, dimensões: cerca de 250 x 350, cor: c/ cor, esterili</t>
  </si>
  <si>
    <t>ATADURA DE CREPE 10CM 13 FIOS.</t>
  </si>
  <si>
    <t>ATADURA DE CREPE 6CM</t>
  </si>
  <si>
    <t>COMPRESSA DE GAZE HIDRÓFILA NÃO ESTÉRIL-DENSIDADE DE 11 FIOS POR CENTÍMETRO QUADRADO COMPOSIÇÃO 100% ALGODÃO MEDIDA 7,5XM C 7,5CM.</t>
  </si>
  <si>
    <t>LÂMINA PARA BISTURI Nº 15</t>
  </si>
  <si>
    <t>MÁSCARA CIRÚRGICA DESCARTÁVEL COM ELÁSTICO-E CLIP NASAL (AJUSTE NO NARIZ), TRIPLA, CONFECCIONADA EM TECIDO NÃO TECIDO, MATERIAL 100% POLIPROPILENO NÃO ESTÉRIL, GRAMATURA DE 25G/M² A 60G/M², ATÓXICA, EFICIÊNCIA DE FILTRAGEM BACTERIANA ACIMA DE 95% CONF. NORMA A</t>
  </si>
  <si>
    <t>PAPEL GRAU CIRÚRGICO PARA ESTERILIZAÇÃO 200MM.</t>
  </si>
  <si>
    <t>TOUCA DESCARTÁVEL SANFONADA TNT, GRAMATURA 20GR,-CONFECCIONADA EM TECIDO-NÃO-TECIDO, HIDROFÓBICO E 100% POLIPROPILENO, TAMANHO ÚNICO, AJUSTÁVEL, COM CARACTERÍSTICAS HIPOALÉRGICAS E ATÓXICAS, COR BRANCA, COM PRAZO DE VALIDADE EM VIGÊNCIA.</t>
  </si>
  <si>
    <t>LUVA CIRÚRGICA ESTERIL Nº 6,5</t>
  </si>
  <si>
    <t>LUVA CIRÚRGICA ESTERIL Nº 7,0</t>
  </si>
  <si>
    <t>LUVA CIRÚRGICA ESTERIL Nº 7,5</t>
  </si>
  <si>
    <t>COLETOR EST?RIL DE URINA 80ML-EMBALADO INDIVIDUALMENTE.</t>
  </si>
  <si>
    <t>COLETOR ESTÉRIL DE URINA 80ML-EMBALADO INDIVIDUALMENTE.</t>
  </si>
  <si>
    <t>AUTO LANCETAS ESTERILIZADAS POR RADIAÇÃO, COM PENETRAÇÃO CONSISTENTE, AUTOMÁTICA-(ACIONAMENTO POR CONTATO), ESPESSURA ULTRAFINA PARA PUNÇÃO INDOLOR, DESCARTE SEGURO, COM DIÂMETRO DE 0,36 MILÍMETROS.</t>
  </si>
  <si>
    <t>CABO PARA BISTURI Nº 3,-EM INÓX.</t>
  </si>
  <si>
    <t>LÂMINA PARA BISTURI Nº 23-RETA.</t>
  </si>
  <si>
    <t>LÂMINA PARA BISTURI Nº 24-EM AÇO CARBONO ESTERILIZADO POR RAIO GAMA.</t>
  </si>
  <si>
    <t>LÂMINA PARA BISTURI Nº 21.</t>
  </si>
  <si>
    <t>SERINGA DE INSULINA 5CC COM AGULHA</t>
  </si>
  <si>
    <t>PAPEL GRAU CIRÚRGICO PARA ESTERILIZAÇÃO 250MM</t>
  </si>
  <si>
    <t>CAMPO CIRÚRGICO DUPLO, CONFECCIONADO EM TECIDO-DE ALGODÃO, NAS SEGUINTES MEDIDAS MÍNIMAS: 1,80M X 1,60M, COR AZUL ROYAL.</t>
  </si>
  <si>
    <t>COMPRESSA DE GAZE ESTÉRIL 7,5 X 7,5 COM 13 FIOS, 100% ALGODÃO</t>
  </si>
  <si>
    <t>ESCOVA CERVICAL GINECOLÓGICA PARA COLETA-DO MATERIAL ENDOCERVICAL, COM AS SEGUINTES CARACTERÍSTICAS MÍNIMAS: PONTA PROTEGIDA PARA EVITAR LESÕES NO COLO UTERINO, ATÓXICA, MACIA, CERDAS CONFECCIONADAS EM NYLON ADERIDAS FIRMEMENTE NUMA HASTE PLÁSTICA ATRAVÉS DE U</t>
  </si>
  <si>
    <t>SERINGA 3ML COM AGULHA DE 25 X 7.</t>
  </si>
  <si>
    <t>SERINGA DESCARTÁVEL - 10 ML-SEM AGULHA. EMBALADA INDIVIDUALMENTE.</t>
  </si>
  <si>
    <t>SERINGA DESCARTÁVEL DE 20ML,-SEM AGULHA BD BICO LISO.</t>
  </si>
  <si>
    <t>LUVA CIRÚRGICA ESTERIL Nº 7,5, SEM LATEX E SEM PÓ.</t>
  </si>
  <si>
    <t>LÂMINA PARA BISTURI Nº 10, CONFECCIONADA-EM AÇO CARBONO, EMBALADA POR FILME ALUMINIZADO TERMOSELADO, ESTERELIZADA POR RAIOS GAMA, COM ORIFÍCIO CENTRAL PARA INSERÇÃO DO CABO DE BISTURI, NÚMEROS 3 OU 4.~^</t>
  </si>
  <si>
    <t>ATADURA DE CREPE 20CM 13 FIOS-COM 4,5M DE COMPRIMENTO</t>
  </si>
  <si>
    <t>CAMPO CIRÚRGICO EM TNT NÃO FRENESTRADO-DE 40G, NA COR AZUL,NÃO ESTÉRIL, MEDINDO 1,0M X 1,0M, ~^</t>
  </si>
  <si>
    <t>CAMPO SMS PARA CIRURGIA 150 X 200CM ESTÉRIL-~^</t>
  </si>
  <si>
    <t>EQUIPO DE SORO MACROGOTAS</t>
  </si>
  <si>
    <t>EQUIPO PARA TRANSFUSÃO DE SANGUE, ATÓXICO,-APIROGÊNICO-ESTERIL, LANCETA PERFURANTE PARA CONEXÃO AO RECIPIENTE SANGUE, CÂMARA DUPLA FLEXÍVEL SENDO A PRIMEIRA DOTADA DE FILTRO DE SANGUE PARA RETENÇÃO DE COÁGULOS, E A SEGUNDA PARA VISUALIZAÇÃO E CONTROLE DE GOTEJ</t>
  </si>
  <si>
    <t>EXTENSOR NEONATAL PARA EQUIPO, MEDINDO 8CM X 60CM,-TUBO E CONECTORES CONFECCIONADO EM PVC, FLEXÍVEL, ESTÉRIL, ATÓXICO E LIVRE DE LÁTEX.~^</t>
  </si>
  <si>
    <t>EXTENSOR DE EQUIPO PADRÃO, TUBO EXTENSOR EM PVC-CRISTAL, FLEXÍVEL E ATÓXICO, 3 FR, CONTENDO 1 MM DE DIÂMETRO INTERNO E 2.4 MM DE DIÂMETRO EXTERNO. CONEXÃO EM UMA EXTREMIDADE LUER FÊMEA E NA OUTRA LUER MACHO PARA ACESSO VENOSO CONFORME ABNT NBR ISO 594 1 E 2, A</t>
  </si>
  <si>
    <t>LÂMINA DE BISTURI EM AÇO CARBONO DESCARTÁVEL Nº 22</t>
  </si>
  <si>
    <t>SERINGA 10ML COM AGULHA DE 25 X 7.</t>
  </si>
  <si>
    <t>SERINGA 5ML, DESCARTÁVEL, COM BICO SLIP.</t>
  </si>
  <si>
    <t>SONDA URETRAL Nº 04, COM AS SEGUINTES CARACTERÍSTICAS-MÍNIMAS: ESPESSURA DE 1,5MM, ESTÉRIL, ATÓXICA, APIROGÊNICO, DESCARTÁVEL, COMPOSTA DE TUBO PVC ATÓXICO FLEXÍVEL COM MODELO DE FURAÇÃO ESPECÍFICA E CONECTOR COM TAMPA.~^</t>
  </si>
  <si>
    <t>SONDA URETRAL Nº 6</t>
  </si>
  <si>
    <t>SONDA NASOGÁSTRICA Nº 04</t>
  </si>
  <si>
    <t>SONDA NASOGÁSTRICA Nº 06</t>
  </si>
  <si>
    <t>SONDA URETRAL Nº 8</t>
  </si>
  <si>
    <t>TUBO PARA COLETA DE SANGUE A VÁCUO COM CITRATO DE-SÓDIO 3,2%, COM AS SEGUINTES CARACTERÍSTICAS: CONFECCIONADO EM PLÁSTICO POLIETILENO TEREFTALATO, INCOLOR, ESTÉRIL, DIMENSÃO 13X75MM, VOLUME DE ASPIRAÇÃO DE 2,7ML. TUBO NÃO SILICONIZADO, ROLHA DE BORRACHA SILICO</t>
  </si>
  <si>
    <t>SUPORTE PARA COLETOR PERFUROCORTANTES, CONFECCIONADO- EM ARAME BTC, PARA COLETORES DE 13 LITROS.</t>
  </si>
  <si>
    <t>FILTRO BACTERIOLÓGICO HMEF ADULTO 48 HORAS, OS-TROCADORES PASSIVOS DE CALOR E UMIDADE (HMES) SIMULAM A CONDIÇÃO NATURAL DAS VIAS AÉREAS, CAPTURANDO O CALOR E A UMIDADE NO AR EXPIRADO DO PRÓPRIO PACIENTE.</t>
  </si>
  <si>
    <t>FILTRO BACTERIANO VIRAL HMEF PEDIÁTRICO.</t>
  </si>
  <si>
    <t>FRASCO COLETOR PARA URINA-CONFECCIONADO EM PLÁSTICO TRANSPARENTE, ESTÉRIL E DESCARTÁVEL, COM TAMPA DE PRESSÃO. ACOMPANHADO DE TUBO CÔNICO EM PLÁSTICO, ESTÉRIL E DESCARTÁVEL, COM CAPACIDADE DE 12 ML E BÉQUER GRADUADO EM PLÁSTICO TRANSPARENTE COM CAPACIDADE DE 1</t>
  </si>
  <si>
    <t>SERINGA DE VIDRO COM CAPACIDADE 10ML</t>
  </si>
  <si>
    <t>SERINGA DE VIDRO 5 ML.</t>
  </si>
  <si>
    <t>COLETOR UNIVERSAL ESTÉRIL COM CAPACIDADE DE 50ML.</t>
  </si>
  <si>
    <t>COMPRESSA CIRÚRGICA NÃO ESTÉRIL (CAMPO OPERATÓRIO),-4 CAMADAS COM CADARÇO 100 PORCENTO PURO ALGODÃO, MACIO E EXTRA-ABSORVENTE, TAMANHO: 45CM X 50CM, DERMATOLOGICAMENTE TESTADO.</t>
  </si>
  <si>
    <t>COMPRESSA CIRÚRGICA NÃO ESTÉRIL 23X25CM, HIDROFILICA.</t>
  </si>
  <si>
    <t>PAPEL GRAU CIRÚRGICO PARA ESTERILIZAÇÃO 300MM.</t>
  </si>
  <si>
    <t>LUVA CIRÚRGICA ESTERIL Nº 8,0</t>
  </si>
  <si>
    <t>LUVA CIRÚRGICA ESTÉRIL Nº 8,5</t>
  </si>
  <si>
    <t>AGULHA COLETA DE SANGUE À VÁCUO, FABRICADO EM-AÇO INOXIDÁVEL SILICONIZADO, 21 G X 1 POL, PONTA BISEL CURTO, TRIFACETADO, COM CONECTOR LUER LOCK EM PLÁSTICO, COM FIXAÇÃO COM PROTETOR PLÁSTICO, ESTÉRIL, DESCARTÁVEL</t>
  </si>
  <si>
    <t>ADAPTADOR DE AGULHA PARA COLETA DE SANGUE À VÁCUO-FABRICADO EM POLIPROPILENO, NÃO ESTÉRIL, USO ÚNICO.~^</t>
  </si>
  <si>
    <t>ATADURA DE CREPE 10CM X 4,5M-13 FIOS.</t>
  </si>
  <si>
    <t>ATADURA DE CREPE 15CM 13 FIOS-4,5 METROS.</t>
  </si>
  <si>
    <t>AVENTAL CIRÚRGICO GRAMATURA 40GR. IMPERMEÁVEL,-TAMANHO ÚNICO, MANGA LONGA, CONFECCIONADO EM TNT - TECIDO NÃO TECIDO, 100% POLIPROPILENO, MATERIAL DESCARTÁVEL, ATÓXICO, COR: BRANCO, DEVEM SER IDENTIFICADOS COM PROCEDÊNCIA, NÚMERO DE LOTE, DATA DE FABRICAÇÃO, PR</t>
  </si>
  <si>
    <t>CATETER NASAL TIPO ÓCULOS PARA OXIGÊNIO</t>
  </si>
  <si>
    <t>CATETER NASAL TIPO ÓCULOS PEDIÁTRICA.</t>
  </si>
  <si>
    <t>COLETOR DE URINA SISTEMA FECHADO PARA PERNA</t>
  </si>
  <si>
    <t>EQUIPO PARA BOMBA DE INFUSÃO COM INJETOR LATERAL</t>
  </si>
  <si>
    <t>KIT ESCOVA GINECOLÓGICA COM ESPÁTULA DE AYRE ESTÉRIL.</t>
  </si>
  <si>
    <t>LENÇOL DE PAPEL 70CM X 50M-CONFECCIONADO EM PAPÉIS PRODUZIDO COM 100% DE FIBRAS DE CELULOSE VIRGEM, ALTA ABSORÇÃO DE LÍQUIDOS, SEM FUROS, MANCHAS OU RASGOS.</t>
  </si>
  <si>
    <t>MÁSCARA DE OXIGÊNIO ADULTO MÉDIA CONCENTRAÇÃO COM-COM ALÇA ELÁSTICA.</t>
  </si>
  <si>
    <t>MÁSCARA LARÍNGEA ADULTO Nº 4.</t>
  </si>
  <si>
    <t>MÁSCARA LARÍNGEA ADULTO Nº 5.</t>
  </si>
  <si>
    <t>MÁSCARA LARÍNGEA NEONATAL Nº1.</t>
  </si>
  <si>
    <t>MÁSCARA LARÍNGEA PEDIÁTRICA Nº 1,5.</t>
  </si>
  <si>
    <t>MÁSCARA LARÍNGEA PEDIÁTRICA Nº 2.</t>
  </si>
  <si>
    <t>MÁSCARA LARÍNGEA PEDIÁTRICA Nº 2,5.</t>
  </si>
  <si>
    <t>MÁSCARA LARÍNGEA PEDIÁTRICA Nº 3.</t>
  </si>
  <si>
    <t>REANIMADOR MANUAL TIPO AMBU TAMANHO NEONATAL COM-RESERVATÓRIO, EM SILICONE, BALÃO EM SILICONE TRANSLÚCIDO AUTOCLAVÁVEL (NEONATAL 280ML), COM VÁLVULA POP-OFF MÁSCARA FACIAL EM SILICONE, VÁLVULA UNIDIRECIONAL (BICO DE PATO), RESERVATÓRIO NÃO AUTOCLAVÁVEL.~^~^</t>
  </si>
  <si>
    <t>SONDA URETRAL Nº12F.</t>
  </si>
  <si>
    <t>SONDA URETRAL Nº14F.</t>
  </si>
  <si>
    <t>FIO DE SUTURA CATGUT SIMPLES 3-0 AGULHADO-MODELO MULTIFILAMENTAR, ESTÉRIL, MATERIAL DE ORIGEM ANIMAL TEGUMENTAR, COM DIÂMETRO DO FIO 3-0, COMPRIMENTO COM CERCA DE 70 CM, COM AGULHA 3/8 CÍRCULO E MODELO CILÍNDRICA, COMPRIMENTO DA AGULHA EM 30 MM~^</t>
  </si>
  <si>
    <t>FIO DE SUTURA AGULHADO DE NYLON MONOFILAMENTO 3-0 ESTERELIZADO COM COBALTO 60.- AGULHA EM AÇO INOXIDÁVEL.</t>
  </si>
  <si>
    <t>LÂMINA DE BISTURI N° 11.</t>
  </si>
  <si>
    <t>SERINGA DESCARTÁVEL C/ AGULHA - 10ML</t>
  </si>
  <si>
    <t>FRALDA GERIÁTRICA - MÉDIA</t>
  </si>
  <si>
    <t>FRALDA DESCARTÁVEL INFANTIL, TAMANHO M, TESTADA-DERMATOLOGICAMENTE, BARREIRA ANTI VAZAMENTO, CAMADA EXTRA INTERNA E EXTERNA PARA TOQUE MACIO COM SUPERGEL PARA MAIOR ABSORÇÃO E MENOS TROCAS, FECHO AJUSTAVEL PODENDO SER ABERTA E FECHADA VARIAS VEZES, PARA CRIANÇ</t>
  </si>
  <si>
    <t>CAMPO CIRÚRGICO ESTÉRIL TNT 75CM X 75CM-~^</t>
  </si>
  <si>
    <t>CÂNULA NASOFARÍNGEA N° 8.</t>
  </si>
  <si>
    <t>COLETOR DE URINA FECHADO - PARA CAMA</t>
  </si>
  <si>
    <t>CUBA RIM, CONFECCIONADA EM AÇO INOXIDÁVEL, MEDIDAS-MÍNIMAS: 26X12CM, (TOLERÂNCIA 2CM A MAIOR).</t>
  </si>
  <si>
    <t>GARROTE PARA PUNÇÃO VENOSA 15M</t>
  </si>
  <si>
    <t>LÂMINA PARA BISTURI N° 12</t>
  </si>
  <si>
    <t>MÁSCARA DE OXIGÊNIO INFANTIL MÉDIA, CONCENTRAÇÃO COM-ALÇA ELÁSTICA.</t>
  </si>
  <si>
    <t>MÁSCARA VENTURI ADULTO CONFECCIONADA EM PVC,-ACOMPANHA 6 DILUIDORES, 1 ADAPTADOR DE ENTRADA, TUBO PARA O² E CORRUGADO. GARANTIA E CERTIFICAÇÃO DA ANVISA.</t>
  </si>
  <si>
    <t>PAPEL GRAU CIRÚRGICO-SEM O FILME DE PVC DE UM DOS LADOS GRAMATURA ENTRE 60 E 70 GRAMAS PARA ESTERILIZAÇÃO EM AUTOCLAVE A VAPOR COM POLPA DE MADEIRA, QUIMICAMENTE BRANQUEADO, ISENTO DE FUROS, RASGOS, RUGAS E SUBSTÂNCIAS TÓXICAS.</t>
  </si>
  <si>
    <t>PROPÉ DESCARTÁVEL</t>
  </si>
  <si>
    <t>REANIMADOR MANUAL TIPO AMBU TAMANHO NEONATAL.</t>
  </si>
  <si>
    <t>SONDA NASOGÁSTRICA CURTA INFANTIL NÚMERO 8</t>
  </si>
  <si>
    <t>SONDA NASOGÁSTRICA N.° 14</t>
  </si>
  <si>
    <t>Eletrodo Uso Médico aplicação 1: p/ monitorização neuro, modelo: de superfície, tipo: adesivo, material sensor: prata/prata clorada, adicional 1: c/ gel condutor, tamanhos: infantil, acessório: s/ cabo, esterilidade: uso único</t>
  </si>
  <si>
    <t>CIRCUITO RESPIRATÓRIO DE RAMO DUPLO, PADRÃO ADU 1200M, 2 TRAQUEIAS, CONECTOR Y E 90°, COMPATÍVEL COM VENTILADOR PULMONAR INFINITY SH300.</t>
  </si>
  <si>
    <t>FILTRO HMEF ADULTO/INFANTIL, COMPATÍVEL COM VENTILADOR PULMONAR INFINITY SH300.</t>
  </si>
  <si>
    <t>LUVA PROCEDIMENTO NITRÍLICA SEM PÓ - PP - CX 100 UN.</t>
  </si>
  <si>
    <t>LUVA PROCEDIMENTO NITRÍLICA SEM PÓ - P - CX 100 UN.</t>
  </si>
  <si>
    <t>LUVA PROCEDIMENTO NITRÍLICA SEM PÓ - M - CX 100 UN.</t>
  </si>
  <si>
    <t>LUVA PROCEDIMENTO NITRÍLICA SEM PÓ - G - CX 100 UN.</t>
  </si>
  <si>
    <t>LUVA LÁTEX PROCEDIMENTO SEM PÓ TAM PP CAIXA 100 UN</t>
  </si>
  <si>
    <t>LUVA LÁTEX PROCEDIMENTO SEM PÓ TAM P - CAIXA 100 UN</t>
  </si>
  <si>
    <t>LUVA LÁTEX PROCEDIMENTO SEM PÓ TAM M - CAIXA 100 UN</t>
  </si>
  <si>
    <t>LUVA LÁTEX PROCEDIMENTO SEM PÓ TAM G - CAIXA 100 UN</t>
  </si>
  <si>
    <t>EQUIPO UNIVERSAL PARA BOMBA DE INFUSÃO, CRISTAL, COMPATÍVEL COM BOMBA DE INFUSÃO CONTEC SP 750.</t>
  </si>
  <si>
    <t>FRALDA DESCARTAVEL GERIATRICA TAMANHO EXTRA GRANDE</t>
  </si>
  <si>
    <t>FRALDA DESCARTAVEL GERIATRICA TAMANHO MEDIO</t>
  </si>
  <si>
    <t>FRALDA DESCARTAVEL GERIATRICA TAMANHO GRANDE</t>
  </si>
  <si>
    <t>FRALDA DESCARTAVEL INFANTIL TAMANHO PEQUENO (P)</t>
  </si>
  <si>
    <t>FRALDA DESCARTAVEL INFANTIL - EXTRA GRANDE(XG)</t>
  </si>
  <si>
    <t>FRALDA DESCARTAVEL INFANTIL - TAMANHO GRANDE(G)</t>
  </si>
  <si>
    <t>Lote 1 - Lencois para cama com elastico, tecido percal serafin 400 fios, 100% algodao; tamanho 1,90x0,89x0,15 cm na cor branca, com serigrafia ou bordado com a logo de identificacao do Hospital Municipal Herminio Azevedo Soares e o brasao da prefeitura, (model</t>
  </si>
  <si>
    <t xml:space="preserve">Lote 1 - Lencois para leito, sem elastico, tecido percal serafin 400 fios, 100% algodao; tamanho 2,45x1,60 cm) na cor branca, com serigrafia ou bordado com a logo de identificacao do Hospital Municipal Herminio Azevedo Soares e o brasao da prefeitura, (modelo </t>
  </si>
  <si>
    <t>Lote 1 - Lencois para macas com elastico, tecido percal serafin 400 fios, 100% algodao; tamanho 1,90x0,80x0,10 cm na cor branca, com serigrafia ou bordado com a logo de identificacao do Hospital Municipal Herminio Azevedo Soares e o brasao da prefeitura, (mode</t>
  </si>
  <si>
    <t xml:space="preserve">Lote 1 - Fronha para travesseiro hospitalar, confeccionada em tecido 100% algodao, de uso hospitalar, resistente a lavagens frequentes e processos de higienizacao, com gramatura minima de 120 g/m, acabamento de boa qualidade, costuras reforcadas, sem rebarbas </t>
  </si>
  <si>
    <t>Lote 1 - Lencois para repouso dos colaboradores, com elastico, tecido percal serafin 400 fios, 100% algodao; tamanho 1,90x0,89x0,15 cm na cor verde agua, com serigrafia ou bordado com a logo de identificacao do Hospital Municipal Herminio Azevedo Soares e o br</t>
  </si>
  <si>
    <t>LAMINA DE BISTURI N 15 CX C/100UN</t>
  </si>
  <si>
    <t>ATADURA CREPE 10 CM X 1,8 M PCT C/12 UNIDADES: Atadura de crepe elástica, confeccionada em tecido 100% algodão, com textura corrugada, entrelaçamento especial de fios que proporciona elasticidade e compressão uniforme. Indicada para enfaixamentos, imobilizaçõe</t>
  </si>
  <si>
    <t>ATADURA CREPE 5 CM X 1,8 M PCT C/12 UNIDADES: Atadura de crepe elástica, confeccionada em tecido 100% algodão, com textura corrugada, entrelaçamento especial de fios que proporciona elasticidade e compressão uniforme. Indicada para enfaixamentos, imobilizações</t>
  </si>
  <si>
    <t>ATADURA CREPE 20 CM X 1,8 M PCT C/12 UNIDADES: Atadura de crepe elástica, confeccionada em tecido 100% algodão, com textura corrugada, entrelaçamento especial de fios que proporciona elasticidade e compressão uniforme. Indicada para enfaixamentos, imobilizaçõe</t>
  </si>
  <si>
    <t>BACIA INOX 40X8.2 5.5LTS; Utilizada para banho de leito, transporte e armazenamento de substâncias líquidas (soluções) e sólidas como órgãos para transplante, para transporte de espécimes para exames ou outros produtos em hospitais, clínicas e consultórios, ta</t>
  </si>
  <si>
    <t>BOLSA COLETORA DE URINA (ADULTO), SISTEMA FECHADO; é destinado a pacientes com sonda de demora. Possui canal drenável que proporciona fluxo contínuo, eliminando assim a possibilidade de contaminação, reduzindo sensivelmente o risco de infecção do trato urinári</t>
  </si>
  <si>
    <t>BOLSA DE COLOSTOMIA/ILEOSTOMIA DE UMA PEÇA DRENAVEL, TRANSPARENTE OU OPACO, RECORTAVEL 19-64MM; Bolsa de Colostomia Drenável é uma bolsa de uma peça, recortável, para colostomia/ileostomia, com barreira protetora de pele e adesivo microporoso hipoalergênico; C</t>
  </si>
  <si>
    <t>COMADRE HOSPITALAR INOX; UTILIZADA PARA A COLETA DE URINA EM PACIENTES DO SEXO FEMININO. INDICADA PARA PESSOAS COM DIFICULDADE DE LOCOMOÇÃO E, ATÉ MESMO, ACAMADAS; A COMADRE INOX É DE FÁCIL HIGIENIZAÇÃO, PROPORCIONANDO AO PACIENTE MAIOR CONFORTO; POSSUI ALTA R</t>
  </si>
  <si>
    <t>EQUIPO MACROGOTAS ; modelo completo, para administração de soluções parenterais; Ponta perfurante adaptável a qualquer tipo de frasco ou bolsa; Esterilizado por óxido de etileno.</t>
  </si>
  <si>
    <t xml:space="preserve">ESPARADRAPO ROLO 100% ALGODÃO, IMPERMEÁVEL BRANCO FÁCIL DE CORTAR 100MM X 4,5M ; SÃO IMPERMEÁVEIS COM TRATAMENTO À BASE DE ÓXIDO DE ZINCO E 100% ALGODÃO. IDEAIS PARA CURATIVOS DE ALTA COMPRESSÃO E IMOBILIZAÇÃO; IDEAL PARA CURATIVOS QUE EXIGEM ALTA COMPRESSÃO; </t>
  </si>
  <si>
    <t>ESPÁTULA DE AYRES PCT/ 100UND; UM INSTRUMENTO ESSENCIAL PARA PROFISSIONAIS DE SAÚDE. ESTE PRODUTO É IDEAL PARA ENFERMEIROS, MÉDICOS, OTORRINOLARINGOLOGISTAS E PARA USO EM AMBULATÓRIOS. COM UM PACOTE DE 100 UNIDADES, É UMA OPÇÃO ECONÔMICA E PRÁTICA PARA O SEU C</t>
  </si>
  <si>
    <t>FITA ADESIVA P/ AUTOCLAVE 19MMX30MT; FABRICADA COM DORSO DE PAPEL CREPADO TRATADO E ENVERNIZADO, ESTA FITA POSSUI ADESIVO DE ALTO DESEMPENHO À BASE DE BORRACHA NATURAL E RESINAS. NÃO ESTÉRIL, É APRESENTADA EM ROLO CORTADO E REBOBINADO EM TUBETE DE PAPELÃO, PRO</t>
  </si>
  <si>
    <t>GARROTE PARA FUNÇÃO VENOSA INFANTIL COR AZUL ; O GARROTE INFANTIL COM TRAVA É USADO PARA FIXAR A VEIA NA COLETA DE SANGUE OU TRANSFUSÃO DE SANGUE, BEM COMO PUNÇÃO VENOSA PARA OUTROS FINS MÉDICOS; ANTIALÉRGICO; LÁTEX FREE;</t>
  </si>
  <si>
    <t>GEL CONTATO HIPOALERGENICO 1KG; FOI DESENVOLVIDO PARA A REALIZAÇÃO DO CONTATO ENTRE O MEIO CONDUTOR E A PELE. ELE AUXILIA A ACOPLAR ADEQUADAMENTE ELETRODOS E CABEÇOTES E AINDA REALIZAR A CONDUÇÃO DA ENERGIA APLICADA A QUALQUER APARELHO QUE NECESSITE DE UM MEIO</t>
  </si>
  <si>
    <t>KIT CITOLOGIA EM MEIO LÍQUIDO 18ML GRANDE KIT PARA COLETA DE AMOSTRAS BIOLÓGICAS PARA EXAMES DE CITOLOGIA EM MEIO LÍQUIDO. POSSIBILITA DE FORMA PRÁTICA E SEGURA DIVERSOS EXAMES MOLECULARES EM UMA ÚNICA COLETA. COMPATÍVEL COM DIVERSAS METODOLOGIAS PARA EXAMES M</t>
  </si>
  <si>
    <t>KIT CITOLOGIA EM MEIO LÍQUIDO 18ML MÉDIO KIT PARA COLETA DE AMOSTRAS BIOLÓGICAS PARA EXAMES DE CITOLOGIA EM MEIO LÍQUIDO. POSSIBILITA DE FORMA PRÁTICA E SEGURA DIVERSOS EXAMES MOLECULARES EM UMA ÚNICA COLETA. COMPATÍVEL COM DIVERSAS METODOLOGIAS PARA EXAMES MO</t>
  </si>
  <si>
    <t xml:space="preserve">KIT CITOLOGIA EM MEIO LÍQUIDO 18ML PEQUENO KIT PARA COLETA DE AMOSTRAS BIOLÓGICAS PARA EXAMES DE CITOLOGIA EM MEIO LÍQUIDO. POSSIBILITA DE FORMA PRÁTICA E SEGURA DIVERSOS EXAMES MOLECULARES EM UMA ÚNICA COLETA. COMPATÍVEL COM DIVERSAS METODOLOGIAS PARA EXAMES </t>
  </si>
  <si>
    <t>LAMINA BISTURI N°20 COM 100 UND; Lâmina de Bisturi em Aço Carbono Descartável Descarpack é um dispositivo estéril e apirogênico, projetada para realizar o encaixe perfeito com os cabos de bisturi, proporcionando conforto e segurança ao médico durante a sua uti</t>
  </si>
  <si>
    <t>LAMINA BISTURI N°21 COM 100 UND; Lâmina de Bisturi em Aço Carbono Descartável Descarpack é um dispositivo estéril e apirogênico, projetada para realizar o encaixe perfeito com os cabos de bisturi, proporcionando conforto e segurança ao médico durante a sua uti</t>
  </si>
  <si>
    <t>LAMINA BISTURI N°22 COM 100 UND; Lâmina de Bisturi em Aço Carbono Descartável Descarpack é um dispositivo estéril e apirogênico, projetada para realizar o encaixe perfeito com os cabos de bisturi, proporcionando conforto e segurança ao médico durante a sua uti</t>
  </si>
  <si>
    <t>LANCETA PICADORA CX/100 PUNÇAO MANUAL; ESPESSURA ULTRA-FINA COM PONTA TRIANGULAR PARA PUNÇÃO INDOLOR; PENETRAÇÃO CONSISTENTE; FORMATO UNIVERSAL PARA A MAIORIA DOS LANCETADORES EXISTENTES.</t>
  </si>
  <si>
    <t>LENÇOIS HOSPITALAR DESCARTAVEL 07,7X50CM; O lençol de papel descartável apresenta-se como a melhor alternativa para quem deseja praticidade, economia, qualidade e higiene acima de tudo; Elaborado para satisfazer as necessidades dos profissionais mais exigentes</t>
  </si>
  <si>
    <t>Lençol Descartável Para Maca Sanfonado Pacote Com 10 Unidades TNT 2,00m x 0,90m Branco. TNT De Alta Qualidade, Resistente E Macio, Proporciona Toque Confortável E Segurança Ao Paciente Durante Todo O Procedimento, Sem Rasgar Com Facilidade. Medidas Amplas De 2</t>
  </si>
  <si>
    <t>LUVA PARA PROCEDIMENTOS NÃO CIRÚRGICO DE LATEX COM 100 UNIDADES GRANDE; DESENVOLVIDA PARA A PROTEÇÃO DO PROFISSIONAL DA SAÚDE EM HOSPITAIS, CONSULTÓRIOS, CLÍNICAS MÉDICAS E ODONTOLÓGICAS, EM PROCEDIMENTOS NÃO INVASIVOS E NÃO ESTÉREIS.</t>
  </si>
  <si>
    <t>LUVA PARA PROCEDIMENTOS NÃO CIRÚRGICO DE LATEX COM 100 UNIDADES MEDIA; DESENVOLVIDA PARA A PROTEÇÃO DO PROFISSIONAL DA SAÚDE EM HOSPITAIS, CONSULTÓRIOS, CLÍNICAS MÉDICAS E ODONTOLÓGICAS, EM PROCEDIMENTOS NÃO INVASIVOS E NÃO ESTÉREIS.</t>
  </si>
  <si>
    <t>LUVA PARA PROCEDIMENTOS NÃO CIRURGICO DE LATEX COM 100 UNIDADES PEQUENA;Desenvolvida para a proteção do profissional da saúde em hospitais, consultórios, clínicas médicas e odontológicas, em procedimentos não invasivos e não estéreis.</t>
  </si>
  <si>
    <t>MASCARA CIRÚRGICA TRIPLA 50UND DESCARTÁVEL; É PROJETADA PARA PROPORCIONAR CONFORTO E HIGIENE DAS VIAS RESPIRATÓRIAS EM AMBIENTES QUE NECESSITAM DE ALTA LIMPEZA, MAS NÃO EXIGEM BARREIRAS FILTRANTES. IDEAL PARA ÁREAS MÉDICAS, ESTÉTICAS, GASTRONÔMICAS E INDUSTRIA</t>
  </si>
  <si>
    <t>MASCARA PFF2-N95 SEM VÁLVULA TIPO AEROSSOL PARA USO CONTRA SÓLIDOS E LÍQUIDOS NÃO-OLEOSOS. TIPO DE PRODUTO POEIRAS, NEVOAS E FUMOS (PFF-2). TIPO DE RESPIRADOR DOBRÁVEL (3 PAINÉIS). VÁLVULA DE EXALAÇÃO NÃO VALVULADO. SISTEMA ANTIEMÇANTE : EVITA O EMBAÇAMENTO DO</t>
  </si>
  <si>
    <t>PAPEL GRAU CIRURGICO 120MM X 100M EMABALAGEM TUBULAR PARA ESTERELIZAÇÃO - FILME LAMINADO DE POLIESTER COM POLIPROBILENO MULTICAMADAS PARA ESTERELIZAÇÃO. DESCARTAVEL INDICADO PARA O USO EM ESTERELIZAÇAO NOS PROCESSOS EM VAPOR SATURADO (AUTOCLAVE).</t>
  </si>
  <si>
    <t>PAPEL GRAU CIRURGICO 30CM X 100M Embalagens de papel grau cirurgico em rolo CIPAMED são fabricadas com matéria prima de primeira linha, composto de Papel Grau Cirúrgico e filme laminado Poliéster/Polipropileno. Usado para empacotamento de artigos médico odonto</t>
  </si>
  <si>
    <t>SACO DE LIXO HOSPITALAR PARA ACONDIMENTO DE RESIDUOS INFECTANTE C/100UND 100 LITROS; SACOS PRODUZIDOS PARA ACONDICIONAMENTO DE RESÍDUOS INFECTANTES DE HOSPITAIS, CLÍNICAS, CONSULTÓRIOS DE ATENDIMENTO A SAÚDE ETC.O SACO PARA RESÍDUO INFECTANTE É CONFECCIONADO U</t>
  </si>
  <si>
    <t>SACO DE LIXO HOSPITALAR PARA ACONDIMENTO DE RESIDUOS INFECTANTE C/100UND 50 LITROS;SACOS PRODUZIDOS PARA ACONDICIONAMENTO DE RESÍDUOS INFECTANTES DE HOSPITAIS, CLÍNICAS, CONSULTÓRIOS DE ATENDIMENTO A SAÚDE ETC.O SACO PARA RESÍDUO INFECTANTE É CONFECCIONADO UTI</t>
  </si>
  <si>
    <t>SERINGA 10ML COM AGULHA COM 100UND; DESENVOLVIDA PARA APLICAÇÃO DE MEDICAMENTOS PELA VIA PARENTERAL E COLETA DE SANGUE.ESTÉRIL; DESCARTÁVEL E DE USO ÚNICO.</t>
  </si>
  <si>
    <t>SERINGA 1ML COM AGULHA PARA INSULINA C/100 UND; A SERINGA DE INSULINA 1ML COM AGULHA 0,30MM X 8MM É A ESCOLHA PERFEITA PARA A APLICAÇÃO DE INSULINA E OUTROS PROCEDIMENTOS ESTÉTICOS. FEITA DE POLIPROPILENO E AÇO INOXIDÁVEL, É RESISTENTE E SEGURA. COM CAPACIDADE</t>
  </si>
  <si>
    <t>SERINGA 5ML COM AGULHA COM 100UND; DESENVOLVIDA PARA APLICAÇÃO DE MEDICAMENTOS PELA VIA PARENTERAL E COLETA DE SANGUE.ESTÉRIL; DESCARTÁVEL E DE USO ÚNICO.</t>
  </si>
  <si>
    <t>SONDA URETAL TAM 8; A SONDA URETRAL É UMA SONDA CONFECCIONADA EM TUBO DE PVC, ATÓXICO, APIROGÊNICO, CRISTAL, TRANSPARENTE DE PAREDES FINAS E MALEÁVEIS, COM 40 CM DE COMPRIMENTO; ESTERILIZADO POR RADIAÇÃO IONIZANTE.</t>
  </si>
  <si>
    <t>TOUCA DESCARTAVEL SANFONADA C/100UND</t>
  </si>
  <si>
    <t>UMIDIFICADOR P/OXIGENIO EXT. COM MASCARA; O UMIDIFICADOR DE OXIGÊNIO É UM PRODUTO DE USO MÉDICO-HOSPITALAR PROJETADO PARA ALIAR TECNOLOGIA E FACILIDADE DE MANUSEIO, VISANDO SEU USO NA GASOTERAPIA.</t>
  </si>
  <si>
    <t xml:space="preserve">TUBO P/ COLETA DE SANGUE - GEL SEPARADOR 3,5 MLC/100UND: Material: Plástico transparente, inquebrável, tipo PET (Politereftalato de etileno).Volume de aspiração: 3,5 ml (tolerância padrão de fábrica).Aditivo: Ativador de coágulo e gel separador de soro.Cor da </t>
  </si>
  <si>
    <t xml:space="preserve">CANULAS OROFARINGEAS TAMANHOS 40 mm: CÂNULA OROFARÍNGEA TIPO GUEDEL, MATERIAL: POLÍMERO ATÓXICO (Polietileno/PVC/Poliuretano),Com anatomia curva, pontas arredondadas e macias, com orifício central/canal de aspiração e bloco de mordida reforçado. ESTERILIDADE: </t>
  </si>
  <si>
    <t>CANULAS OROFARINGEAS TAMANHOS 60mm: CÂNULA OROFARÍNGEA TIPO GUEDEL, MATERIAL: POLÍMERO ATÓXICO (Polietileno/PVC/Poliuretano),Com anatomia curva, pontas arredondadas e macias, com orifício central/canal de aspiração e bloco de mordida reforçado. ESTERILIDADE: E</t>
  </si>
  <si>
    <t xml:space="preserve">CANULAS OROFARINGEAS TAMANHOS 80 mm: CÂNULA OROFARÍNGEA TIPO GUEDEL, MATERIAL: POLÍMERO ATÓXICO (Polietileno/PVC/Poliuretano),Com anatomia curva, pontas arredondadas e macias, com orifício central/canal de aspiração e bloco de mordida reforçado. ESTERILIDADE: </t>
  </si>
  <si>
    <t>CANULAS OROFARINGEAS TAMANHOS 90mm: CÂNULA OROFARÍNGEA TIPO GUEDEL, MATERIAL: POLÍMERO ATÓXICO (Polietileno/PVC/Poliuretano),Com anatomia curva, pontas arredondadas e macias, com orifício central/canal de aspiração e bloco de mordida reforçado. ESTERILIDADE: E</t>
  </si>
  <si>
    <t>CANULAS OROFARINGEAS TAMANHOS 100 mm: CÂNULA OROFARÍNGEA TIPO GUEDEL, MATERIAL: POLÍMERO ATÓXICO (Polietileno/PVC/Poliuretano),Com anatomia curva, pontas arredondadas e macias, com orifício central/canal de aspiração e bloco de mordida reforçado. ESTERILIDADE:</t>
  </si>
  <si>
    <t xml:space="preserve">CANULAS OROFARINGEAS TAMANHOS 110mm: CÂNULA OROFARÍNGEA TIPO GUEDEL, MATERIAL: POLÍMERO ATÓXICO (Polietileno/PVC/Poliuretano),Com anatomia curva, pontas arredondadas e macias, com orifício central/canal de aspiração e bloco de mordida reforçado. ESTERILIDADE: </t>
  </si>
  <si>
    <t>MASCARA LARINGEA TAMANHOS Nº1: Dispositivo supraglótico para manejo de vias aéreas, estéril, de uso único (descartável).Material: Confeccionada em material de grau médico, flexível, atóxico,livre de látex .Estrutura: Corpo da máscara com formato elíptico e man</t>
  </si>
  <si>
    <t>MASCARA LARINGEA TAMANHOS Nº1,5:Dispositivo supraglótico para manejo de vias aéreas, estéril, de uso único (descartável).Material: Confeccionada em material de grau médico, flexível, atóxico,livre de látex .Estrutura: Corpo da máscara com formato elíptico e ma</t>
  </si>
  <si>
    <t>MASCARA LARINGEA TAMANHOS Nº2:Dispositivo supraglótico para manejo de vias aéreas, estéril, de uso único (descartável).Material: Confeccionada em material de grau médico, flexível, atóxico,livre de látex .Estrutura: Corpo da máscara com formato elíptico e mang</t>
  </si>
  <si>
    <t>MASCARA LARINGEA TAMANHOS Nº2,5: Dispositivo supraglótico para manejo de vias aéreas, estéril, de uso único (descartável).Material: Confeccionada em material de grau médico, flexível, atóxico,livre de látex .Estrutura: Corpo da máscara com formato elíptico e m</t>
  </si>
  <si>
    <t>MASCARA LARINGEA TAMANHOS Nº3:Dispositivo supraglótico para manejo de vias aéreas, estéril, de uso único (descartável).Material: Confeccionada em material de grau médico, flexível, atóxico,livre de látex .Estrutura: Corpo da máscara com formato elíptico e mang</t>
  </si>
  <si>
    <t>MASCARA LARINGEA TAMANHOS Nº4:Dispositivo supraglótico para manejo de vias aéreas, estéril, de uso único (descartável).Material: Confeccionada em material de grau médico, flexível, atóxico,livre de látex .Estrutura: Corpo da máscara com formato elíptico e mang</t>
  </si>
  <si>
    <t>MASCARA LARINGEA TAMANHOS Nº5: Dispositivo supraglótico para manejo de vias aéreas, estéril, de uso único (descartável).Material: Confeccionada em material de grau médico, flexível, atóxico,livre de látex .Estrutura: Corpo da máscara com formato elíptico e man</t>
  </si>
  <si>
    <t>Luva cirúrgica estéril tamanho 7,0 :Material: Confeccionada em látex de borracha 100% natural, de alta qualidade, flexível e atóxico. (Nota: Em caso de restrição a alergênicos, especificar: confeccionada em borracha sintética - Poliisopreno, livre de látex e p</t>
  </si>
  <si>
    <t>Luva cirúrgica estéril tamanho 7,5 :Material: Confeccionada em látex de borracha 100% natural, de alta qualidade, flexível e atóxico. (Nota: Em caso de restrição a alergênicos, especificar: confeccionada em borracha sintética - Poliisopreno, livre de látex e p</t>
  </si>
  <si>
    <t>Luva cirúrgica estéril tamanho 8,0 :Material: Confeccionada em látex de borracha 100% natural, de alta qualidade, flexível e atóxico. (Nota: Em caso de restrição a alergênicos, especificar: confeccionada em borracha sintética - Poliisopreno, livre de látex e p</t>
  </si>
  <si>
    <t>Lâmina de Bisturi Nº 15</t>
  </si>
  <si>
    <t>Lâmina de Bisturi Nº 11</t>
  </si>
  <si>
    <t>Produtos do foco (lista definida) e projeção de faturamento</t>
  </si>
  <si>
    <t>Margem bruta R$/mês</t>
  </si>
  <si>
    <t>Total / média ponderada</t>
  </si>
  <si>
    <t>Cenários (amarelo = editável): disputas de 14/10 a 31/12/2026</t>
  </si>
  <si>
    <t>Cenário</t>
  </si>
  <si>
    <t>Fatia do mercado</t>
  </si>
  <si>
    <t>Consumo das atas SRP</t>
  </si>
  <si>
    <t>Ganho/mês</t>
  </si>
  <si>
    <t>Ganho out–dez</t>
  </si>
  <si>
    <t>Fat. nov/26</t>
  </si>
  <si>
    <t>Fat. dez/26</t>
  </si>
  <si>
    <t>Fat. jan/27</t>
  </si>
  <si>
    <t>Fat. fev/27</t>
  </si>
  <si>
    <t>Fat. mar/27</t>
  </si>
  <si>
    <t>Média fat. nov–jan</t>
  </si>
  <si>
    <t>Lucro bruto jan/27</t>
  </si>
  <si>
    <t>Conservador</t>
  </si>
  <si>
    <t>Base</t>
  </si>
  <si>
    <t>Otimista</t>
  </si>
  <si>
    <t>Seu cenário</t>
  </si>
  <si>
    <t>Modelo: compra direta fatura CompraDireta1 no mês seguinte à sessão e o resto no outro; atas de registro de preço (SRP) faturam o consumo da ata ÷ 12 por mês a partir de 2 meses após a sessão. Preço homologado = referência × (1 − desconto).</t>
  </si>
  <si>
    <t>Metas diárias de captação e participação (calculadas a partir das abas Editais e Projeção)</t>
  </si>
  <si>
    <t>Editais com produtos do foco (janela)</t>
  </si>
  <si>
    <t>Meta de captação por dia</t>
  </si>
  <si>
    <t>Meta de captação por mês</t>
  </si>
  <si>
    <t>Editais nas faixas A+B (janela)</t>
  </si>
  <si>
    <t>Meta de participação por dia</t>
  </si>
  <si>
    <t>Meta de participação por mês</t>
  </si>
  <si>
    <t>% do valor coberto pelas faixas A+B</t>
  </si>
  <si>
    <t>Valor ganho por dia (cenário base)</t>
  </si>
  <si>
    <t>Vitória necessária sobre o valor disputado (base)</t>
  </si>
  <si>
    <t>Editais da faixa A ainda abertos</t>
  </si>
  <si>
    <t>Cards/dia no Cockpit hoje (todas as categorias)</t>
  </si>
  <si>
    <t>Esforço de captação vs. hoje</t>
  </si>
  <si>
    <t>Regra</t>
  </si>
  <si>
    <t>Editais (janela)</t>
  </si>
  <si>
    <t>Por dia útil</t>
  </si>
  <si>
    <t>% do valor</t>
  </si>
  <si>
    <t>A</t>
  </si>
  <si>
    <t>Obrigatório · analista sênior · revisão dupla</t>
  </si>
  <si>
    <t>B</t>
  </si>
  <si>
    <t>Participar de todos</t>
  </si>
  <si>
    <t>C</t>
  </si>
  <si>
    <t>Só com proposta-modelo</t>
  </si>
  <si>
    <t>Lista de prioridades: na aba Editais, filtre Faixa = A e Status = Aberto e ordene por Encerramento. Faixa "Sem valor" = orçamento sigiloso: avaliar caso a caso.</t>
  </si>
  <si>
    <t>Palavras-chave (separadas por ;)</t>
  </si>
  <si>
    <t>lâmina de bisturi; lâmina bisturi; lâminas de bisturi</t>
  </si>
  <si>
    <t>escova cervical; escova endocervical; escova ginecológica; citobrush</t>
  </si>
  <si>
    <t>bolsa coletora de urina; bolsa coletora sistema fechado; coletor de urina sistema fechado</t>
  </si>
  <si>
    <t>cateter nasal tipo óculos; cateter nasal de oxigênio; cânula nasal tipo óculos</t>
  </si>
  <si>
    <t>espéculo vaginal; espéculo vaginal descartável; espéculo ginecológico</t>
  </si>
  <si>
    <t>fita microporosa; fita adesiva microporosa; fita cirúrgica microporosa; micropore</t>
  </si>
  <si>
    <t>coletor de urina infantil; saco coletor de urina infantil; coletor de urina pediátrico</t>
  </si>
  <si>
    <t>bolsa coletora de urina de perna; bolsa de perna; coletor de urina de perna</t>
  </si>
  <si>
    <t>coletor de secreção; coletor de secreções; frasco coletor de secreção</t>
  </si>
  <si>
    <t>cânula de guedel; cânula orofaríngea; guedel</t>
  </si>
  <si>
    <t>envelope para esterilização; envelope autosselante; envelope auto selante</t>
  </si>
  <si>
    <t>indicador químico; fita indicadora de esterilização; indicador químico classe</t>
  </si>
  <si>
    <t>bolsa de colostomia; bolsa de ileostomia; bolsa colostomia drenável; bolsa de estomia</t>
  </si>
  <si>
    <t>bowie dick; teste bowie-dick; pacote teste bowie</t>
  </si>
  <si>
    <t>integrador químico; indicador químico integrador; integrador classe 5</t>
  </si>
  <si>
    <t>avental impermeável; avental descartável impermeável; avental de procedimento impermeável</t>
  </si>
  <si>
    <t>kit coleta citológica; kit citologia; kit preventivo; kit papanicolau</t>
  </si>
  <si>
    <t>campo cirúrgico; campo cirúrgico descartável; campo cirúrgico estéril; campo operatório</t>
  </si>
  <si>
    <t>máscara laríngea; tubo supraglótico; dispositivo supraglótico</t>
  </si>
  <si>
    <t>cabo de bisturi; cabo bisturi nº 4; cabo para lâmina de bisturi</t>
  </si>
  <si>
    <t>Licitações — plano de ação com a lista definida de 20 produtos (base: editais com proposta encerrando de 09 a 19/10/2026, MCP licitacoes)</t>
  </si>
  <si>
    <t>COMO USAR</t>
  </si>
  <si>
    <t>• Células amarelas são premissas editáveis (aba Premissas, cenários na aba Projeção, margem/desconto/custo na aba Produtos).</t>
  </si>
  <si>
    <t>• Para incluir um item de edital: digite na primeira linha vazia logo abaixo da tabela da aba Itens (Edital, Nº item, Descrição, Produto, Qtd, Vlr unit). As colunas calculadas se preenchem sozinhas.</t>
  </si>
  <si>
    <t>• O Produto do item precisa estar escrito igual à aba Produtos; o Edital precisa existir na aba Editais (inclua lá primeiro, se for novo).</t>
  </si>
  <si>
    <t>• Para incluir um produto: nova linha na tabela da aba Produtos com Produto, Classe, Margem bruta e Desconto homologado.</t>
  </si>
  <si>
    <t>• Foco = produtos com "Sim" na coluna Lista definida (aba Produtos). Para incluir ou tirar um produto do foco, troque Sim/Não. Premissa ModoFoco = Regra volta ao top N automático.</t>
  </si>
  <si>
    <t>• Status Aberto/Encerrado usa a data/hora atual do computador (NOW()). Horários de encerramento como informados pela base.</t>
  </si>
  <si>
    <t>ABAS</t>
  </si>
  <si>
    <t>• Projeção: produtos do foco com mercado mensal, margem em R$ e os cenários de faturamento (nov/26 a mar/27).</t>
  </si>
  <si>
    <t>• Metas: metas diárias de captação e participação, faixas A/B/C e comparação com o ritmo atual do Cockpit.</t>
  </si>
  <si>
    <t>• Produtos / Editais / Itens: dados completos, com fórmulas. Palavras-chave: termos da categoria "Plano de ação".</t>
  </si>
  <si>
    <t>LIMPEZA JÁ APLICADA AOS DADOS</t>
  </si>
  <si>
    <t>• Removidos: 328 itens publicados em duplicidade pelo mesmo órgão, 9 preços de lote global lançados como unitários, 22 falsos positivos de medida e 95 itens "não estéril" atribuídos a produtos estéreis.</t>
  </si>
  <si>
    <t>• Casamento item × produto: substantivo do produto nas 4 primeiras palavras da descrição e demais termos nas 15 primeiras. Regra automática; há casos limítrofes.</t>
  </si>
  <si>
    <t>• Valor = quantidade × valor unitário de referência do edital, na unidade de fornecimento de cada edital (caixa, pacote, unidade).</t>
  </si>
  <si>
    <t>• A taxa de vitória ainda não é medida no Cockpit; a fatia de mercado dos cenários é uma premissa.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</si>
</sst>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R$&quot;\ #.##0"/>
    <numFmt numFmtId="165" formatCode="#,000"/>
    <numFmt numFmtId="166" formatCode="dd/mm/\y\y\y\y\ hh:mm"/>
    <numFmt numFmtId="167" formatCode="&quot;R$&quot;\ #.##000"/>
    <numFmt numFmtId="168" formatCode="#.##0"/>
    <numFmt numFmtId="169" formatCode="#,#00"/>
    <numFmt numFmtId="170" formatCode="#,#00%"/>
    <numFmt numFmtId="171" formatCode="#,#00&quot;×&quot;"/>
  </numFmts>
  <fonts count="4" x14ac:knownFonts="1">
    <font>
      <sz val="11"/>
      <color theme="1"/>
      <name val="Aptos Narrow"/>
      <family val="2"/>
      <scheme val="minor"/>
    </font>
    <font>
      <b/>
      <sz val="11"/>
      <color theme="1"/>
      <name val="Aptos Narrow"/>
      <family val="2"/>
      <scheme val="minor"/>
    </font>
    <font>
      <b/>
      <sz val="13"/>
      <color theme="1"/>
      <name val="Aptos Narrow"/>
      <family val="2"/>
      <scheme val="minor"/>
    </font>
    <font>
      <b/>
      <sz val="14"/>
      <color theme="1"/>
      <name val="Aptos Narrow"/>
      <family val="2"/>
      <scheme val="minor"/>
    </font>
  </fonts>
  <fills count="3">
    <fill>
      <patternFill patternType="none"/>
    </fill>
    <fill>
      <patternFill patternType="gray125"/>
    </fill>
    <fill>
      <patternFill patternType="solid">
        <fgColor rgb="FFFFFFCC"/>
        <bgColor indexed="64"/>
      </patternFill>
    </fill>
  </fills>
  <borders count="1">
    <border>
      <left/>
      <right/>
      <top/>
      <bottom/>
      <diagonal/>
    </border>
  </borders>
  <cellStyleXfs count="1">
    <xf numFmtId="0" fontId="0" fillId="0" borderId="0"/>
  </cellStyleXfs>
  <cellXfs count="23">
    <xf numFmtId="0" fontId="0" fillId="0" borderId="0" xfId="0"/>
    <xf numFmtId="0" fontId="1" fillId="0" borderId="0" xfId="0" applyFont="1"/>
    <xf numFmtId="0" fontId="2" fillId="0" borderId="0" xfId="0" applyFont="1"/>
    <xf numFmtId="49" fontId="0" fillId="2" borderId="0" xfId="0" applyNumberFormat="1" applyFill="1"/>
    <xf numFmtId="1" fontId="0" fillId="0" borderId="0" xfId="0" applyNumberFormat="1"/>
    <xf numFmtId="1" fontId="0" fillId="2" borderId="0" xfId="0" applyNumberFormat="1" applyFill="1"/>
    <xf numFmtId="9" fontId="0" fillId="0" borderId="0" xfId="0" applyNumberFormat="1"/>
    <xf numFmtId="9" fontId="0" fillId="2" borderId="0" xfId="0" applyNumberFormat="1" applyFill="1"/>
    <xf numFmtId="164" fontId="0" fillId="0" borderId="0" xfId="0" applyNumberFormat="1"/>
    <xf numFmtId="164" fontId="0" fillId="2" borderId="0" xfId="0" applyNumberFormat="1" applyFill="1"/>
    <xf numFmtId="165" fontId="0" fillId="2" borderId="0" xfId="0" applyNumberFormat="1" applyFill="1"/>
    <xf numFmtId="166" fontId="0" fillId="0" borderId="0" xfId="0" applyNumberFormat="1"/>
    <xf numFmtId="167" fontId="0" fillId="0" borderId="0" xfId="0" applyNumberFormat="1"/>
    <xf numFmtId="168" fontId="0" fillId="0" borderId="0" xfId="0" applyNumberFormat="1"/>
    <xf numFmtId="169" fontId="0" fillId="0" borderId="0" xfId="0" applyNumberFormat="1"/>
    <xf numFmtId="167" fontId="0" fillId="2" borderId="0" xfId="0" applyNumberFormat="1" applyFill="1"/>
    <xf numFmtId="0" fontId="0" fillId="2" borderId="0" xfId="0" applyFill="1"/>
    <xf numFmtId="164" fontId="1" fillId="0" borderId="0" xfId="0" applyNumberFormat="1" applyFont="1"/>
    <xf numFmtId="9" fontId="1" fillId="0" borderId="0" xfId="0" applyNumberFormat="1" applyFont="1"/>
    <xf numFmtId="9" fontId="1" fillId="2" borderId="0" xfId="0" applyNumberFormat="1" applyFont="1" applyFill="1"/>
    <xf numFmtId="170" fontId="0" fillId="0" borderId="0" xfId="0" applyNumberFormat="1"/>
    <xf numFmtId="171" fontId="0" fillId="0" borderId="0" xfId="0" applyNumberFormat="1"/>
    <xf numFmtId="0" fontId="3" fillId="0" borderId="0" xfId="0" applyFont="1"/>
  </cellXfs>
  <cellStyles count="1">
    <cellStyle name="Normal" xfId="0" builtinId="0"/>
  </cellStyles>
  <dxfs count="27">
    <dxf>
      <numFmt numFmtId="167" formatCode="&quot;R$&quot;\ #.##000"/>
      <fill>
        <patternFill patternType="solid">
          <fgColor indexed="64"/>
          <bgColor rgb="FFFFFFCC"/>
        </patternFill>
      </fill>
    </dxf>
    <dxf>
      <numFmt numFmtId="1" formatCode="0"/>
    </dxf>
    <dxf>
      <fill>
        <patternFill patternType="solid">
          <fgColor indexed="64"/>
          <bgColor rgb="FFFFFFCC"/>
        </patternFill>
      </fill>
    </dxf>
    <dxf>
      <numFmt numFmtId="167" formatCode="&quot;R$&quot;\ #.##000"/>
      <fill>
        <patternFill patternType="solid">
          <fgColor indexed="64"/>
          <bgColor rgb="FFFFFFCC"/>
        </patternFill>
      </fill>
    </dxf>
    <dxf>
      <numFmt numFmtId="167" formatCode="&quot;R$&quot;\ #.##000"/>
      <fill>
        <patternFill patternType="solid">
          <fgColor indexed="64"/>
          <bgColor rgb="FFFFFFCC"/>
        </patternFill>
      </fill>
    </dxf>
    <dxf>
      <numFmt numFmtId="13" formatCode="0%"/>
      <fill>
        <patternFill patternType="solid">
          <fgColor indexed="64"/>
          <bgColor rgb="FFFFFFCC"/>
        </patternFill>
      </fill>
    </dxf>
    <dxf>
      <numFmt numFmtId="13" formatCode="0%"/>
      <fill>
        <patternFill patternType="solid">
          <fgColor indexed="64"/>
          <bgColor rgb="FFFFFFCC"/>
        </patternFill>
      </fill>
    </dxf>
    <dxf>
      <numFmt numFmtId="169" formatCode="#,#00"/>
    </dxf>
    <dxf>
      <numFmt numFmtId="1" formatCode="0"/>
    </dxf>
    <dxf>
      <numFmt numFmtId="164" formatCode="&quot;R$&quot;\ #.##0"/>
    </dxf>
    <dxf>
      <numFmt numFmtId="164" formatCode="&quot;R$&quot;\ #.##0"/>
    </dxf>
    <dxf>
      <numFmt numFmtId="13" formatCode="0%"/>
    </dxf>
    <dxf>
      <numFmt numFmtId="164" formatCode="&quot;R$&quot;\ #.##0"/>
    </dxf>
    <dxf>
      <numFmt numFmtId="164" formatCode="&quot;R$&quot;\ #.##0"/>
    </dxf>
    <dxf>
      <numFmt numFmtId="1" formatCode="0"/>
    </dxf>
    <dxf>
      <numFmt numFmtId="166" formatCode="dd/mm/\y\y\y\y\ hh:mm"/>
    </dxf>
    <dxf>
      <numFmt numFmtId="164" formatCode="&quot;R$&quot;\ #.##0"/>
    </dxf>
    <dxf>
      <numFmt numFmtId="164" formatCode="&quot;R$&quot;\ #.##0"/>
    </dxf>
    <dxf>
      <numFmt numFmtId="1" formatCode="0"/>
    </dxf>
    <dxf>
      <numFmt numFmtId="1" formatCode="0"/>
    </dxf>
    <dxf>
      <numFmt numFmtId="168" formatCode="#.##0"/>
    </dxf>
    <dxf>
      <numFmt numFmtId="167" formatCode="&quot;R$&quot;\ #.##000"/>
    </dxf>
    <dxf>
      <numFmt numFmtId="1" formatCode="0"/>
    </dxf>
    <dxf>
      <numFmt numFmtId="167" formatCode="&quot;R$&quot;\ #.##000"/>
    </dxf>
    <dxf>
      <numFmt numFmtId="13" formatCode="0%"/>
    </dxf>
    <dxf>
      <numFmt numFmtId="167" formatCode="&quot;R$&quot;\ #.##000"/>
    </dxf>
    <dxf>
      <numFmt numFmtId="166" formatCode="dd/mm/\y\y\y\y\ hh:mm"/>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A681AFC-39B8-403D-81FB-BE8FA4BE8E0B}" name="tProdutos" displayName="tProdutos" ref="A1:U274" totalsRowShown="0">
  <autoFilter ref="A1:U274" xr:uid="{EA681AFC-39B8-403D-81FB-BE8FA4BE8E0B}"/>
  <tableColumns count="21">
    <tableColumn id="1" xr3:uid="{B9CC4295-8245-4928-B91F-B8EECDA59B4E}" name="Rank"/>
    <tableColumn id="2" xr3:uid="{2FDFD885-4522-4949-8D99-9350C70AFC05}" name="Produto"/>
    <tableColumn id="3" xr3:uid="{43827A46-3BBB-4B59-BD44-3C658681E236}" name="Classe"/>
    <tableColumn id="4" xr3:uid="{F5AB380E-B4B7-45D4-AD58-0FBFC5358294}" name="Score" dataDxfId="7"/>
    <tableColumn id="5" xr3:uid="{39C9BB4B-B8CF-4CA3-B1DF-60787F8A3F94}" name="Margem bruta" dataDxfId="6"/>
    <tableColumn id="6" xr3:uid="{75C8E332-46BD-42E1-86DD-7039053C81AC}" name="Desconto homologado" dataDxfId="5"/>
    <tableColumn id="7" xr3:uid="{EC945271-7E06-4607-8555-637E39E50C6E}" name="Preço ref PNCP" dataDxfId="4"/>
    <tableColumn id="8" xr3:uid="{3033683F-723A-4D48-89B7-665F996AA608}" name="Custo landed" dataDxfId="3"/>
    <tableColumn id="9" xr3:uid="{EE07F242-FFFC-486B-9F8A-77655AF79A8E}" name="Termo de busca"/>
    <tableColumn id="10" xr3:uid="{ED96AA4C-6077-4D28-B7F3-140091200803}" name="Lista definida" dataDxfId="2"/>
    <tableColumn id="11" xr3:uid="{128DEEB8-CBBC-4D06-BF29-67B1B7FF8FCE}" name="Marg Contri (informada)" dataDxfId="0"/>
    <tableColumn id="12" xr3:uid="{50F88104-69FF-4711-B317-D39A076B0EE3}" name="Itens" dataDxfId="1">
      <calculatedColumnFormula>COUNTIFS(tItens[Produto],tProdutos[[#This Row],[Produto]])</calculatedColumnFormula>
    </tableColumn>
    <tableColumn id="13" xr3:uid="{F299D90F-ABAA-471C-A08F-A27612C5497E}" name="Editais" dataDxfId="14">
      <calculatedColumnFormula>SUMIFS(tItens[Primeira ocorrência],tItens[Produto],tProdutos[[#This Row],[Produto]])</calculatedColumnFormula>
    </tableColumn>
    <tableColumn id="14" xr3:uid="{98472D54-47CF-4CB3-A910-88E725D689D1}" name="Valor janela" dataDxfId="13">
      <calculatedColumnFormula>SUMIFS(tItens[Valor],tItens[Produto],tProdutos[[#This Row],[Produto]])</calculatedColumnFormula>
    </tableColumn>
    <tableColumn id="15" xr3:uid="{737523AE-67BF-4F2B-8795-7F089DDA6BE3}" name="Valor SRP" dataDxfId="12">
      <calculatedColumnFormula>SUMIFS(tItens[Valor],tItens[Produto],tProdutos[[#This Row],[Produto]],tItens[SRP],"Sim")</calculatedColumnFormula>
    </tableColumn>
    <tableColumn id="16" xr3:uid="{23E9AD87-AB96-4867-BDD3-47FA2562C3A7}" name="Participação SRP" dataDxfId="11">
      <calculatedColumnFormula>IF(tProdutos[[#This Row],[Valor janela]]=0,0,tProdutos[[#This Row],[Valor SRP]]/tProdutos[[#This Row],[Valor janela]])</calculatedColumnFormula>
    </tableColumn>
    <tableColumn id="17" xr3:uid="{12C82CDF-9497-4E08-A8D3-024266433E13}" name="Mercado mês ref" dataDxfId="10">
      <calculatedColumnFormula>tProdutos[[#This Row],[Valor janela]]*DiasMes/DiasJanela</calculatedColumnFormula>
    </tableColumn>
    <tableColumn id="18" xr3:uid="{CD371ED9-D852-4A5F-89C9-F7BA466F6A90}" name="Mercado mês homologado" dataDxfId="9">
      <calculatedColumnFormula>tProdutos[[#This Row],[Mercado mês ref]]*(1-IF(tProdutos[[#This Row],[Desconto homologado]]="",DescontoPadrao,tProdutos[[#This Row],[Desconto homologado]]))</calculatedColumnFormula>
    </tableColumn>
    <tableColumn id="19" xr3:uid="{50918343-ACEB-448C-A6DD-F22A86CA8456}" name="Elegível">
      <calculatedColumnFormula>IF(ModoFoco="Lista",IF(tProdutos[[#This Row],[Lista definida]]="Sim","Sim","Não"),IF(AND(tProdutos[[#This Row],[Editais]]&gt;=MinEditais,N(tProdutos[[#This Row],[Margem bruta]])&gt;=MargemMin),"Sim","Não"))</calculatedColumnFormula>
    </tableColumn>
    <tableColumn id="20" xr3:uid="{28532992-5DEC-4F52-B150-9C1096F06091}" name="Posição" dataDxfId="8">
      <calculatedColumnFormula>IF(tProdutos[[#This Row],[Elegível]]="Sim",COUNTIFS(tProdutos[Elegível],"Sim",tProdutos[Valor janela],"&gt;"&amp;tProdutos[[#This Row],[Valor janela]])+1,"")</calculatedColumnFormula>
    </tableColumn>
    <tableColumn id="21" xr3:uid="{6BDC2797-FF07-4E44-BEF4-39F708A1D32D}" name="Foco">
      <calculatedColumnFormula>IF(ModoFoco="Lista",tProdutos[[#This Row],[Elegível]],IF(AND(tProdutos[[#This Row],[Posição]]&lt;&gt;"",N(tProdutos[[#This Row],[Posição]])&lt;=TopN),"Sim","Não"))</calculatedColumnFormula>
    </tableColumn>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B09E1F8-2465-46D5-8AC8-20619178DA7B}" name="tEditais" displayName="tEditais" ref="A1:P657" totalsRowShown="0">
  <autoFilter ref="A1:P657" xr:uid="{AB09E1F8-2465-46D5-8AC8-20619178DA7B}"/>
  <tableColumns count="16">
    <tableColumn id="1" xr3:uid="{B5BE2582-B788-4E62-8616-FAAB5283F321}" name="Edital"/>
    <tableColumn id="2" xr3:uid="{69E7A5EE-BA3C-4C57-BFB2-EEC46357FEDB}" name="Órgão"/>
    <tableColumn id="3" xr3:uid="{72FB8153-B9F5-41EC-AA75-F59792D13C9D}" name="Município"/>
    <tableColumn id="4" xr3:uid="{A6083DC1-0F7C-4507-A44D-1DB298E6E62E}" name="UF"/>
    <tableColumn id="5" xr3:uid="{18D8A34D-B85B-4F9A-9D85-3F491EE98BE9}" name="Modalidade"/>
    <tableColumn id="6" xr3:uid="{846A0B5F-9A91-4B9D-9989-955FAE7377DF}" name="Encerramento" dataDxfId="15"/>
    <tableColumn id="7" xr3:uid="{CC5ACDA1-E96B-4CA2-B5F4-A00B71B84FAF}" name="Itens no edital"/>
    <tableColumn id="8" xr3:uid="{7144144A-443E-43F9-BA85-BFBA5BBA7266}" name="Link"/>
    <tableColumn id="9" xr3:uid="{86CC5DA1-70AC-4141-96F3-FE0CA84AABCE}" name="Objeto"/>
    <tableColumn id="10" xr3:uid="{25C2DB38-74B7-424E-9B59-6BD9E78E7479}" name="SRP">
      <calculatedColumnFormula>IF(ISNUMBER(SEARCH("registro de pre",tEditais[[#This Row],[Objeto]])),"Sim","Não")</calculatedColumnFormula>
    </tableColumn>
    <tableColumn id="11" xr3:uid="{A17DF45F-E471-4B4E-AA6A-680B064E0721}" name="Itens da planilha" dataDxfId="19">
      <calculatedColumnFormula>COUNTIFS(tItens[Edital],tEditais[[#This Row],[Edital]])</calculatedColumnFormula>
    </tableColumn>
    <tableColumn id="12" xr3:uid="{3BE56CB7-0525-4F63-81E1-D5A4DE153BA2}" name="Itens do foco" dataDxfId="18">
      <calculatedColumnFormula>COUNTIFS(tItens[Edital],tEditais[[#This Row],[Edital]],tItens[Foco],"Sim")</calculatedColumnFormula>
    </tableColumn>
    <tableColumn id="13" xr3:uid="{453521E5-80EF-4C89-B24D-283343413AA5}" name="Valor itens" dataDxfId="17">
      <calculatedColumnFormula>SUMIFS(tItens[Valor],tItens[Edital],tEditais[[#This Row],[Edital]])</calculatedColumnFormula>
    </tableColumn>
    <tableColumn id="14" xr3:uid="{DA012831-73B9-4897-9ADF-C362E1774278}" name="Valor foco homologado" dataDxfId="16">
      <calculatedColumnFormula>SUMIFS(tItens[Valor homologado],tItens[Edital],tEditais[[#This Row],[Edital]],tItens[Foco],"Sim")</calculatedColumnFormula>
    </tableColumn>
    <tableColumn id="15" xr3:uid="{88A2D283-197C-45A5-8D97-8D87C5B5C525}" name="Faixa">
      <calculatedColumnFormula>IF(tEditais[[#This Row],[Itens do foco]]=0,"",IF(tEditais[[#This Row],[Valor foco homologado]]&lt;=0,"Sem valor",IF(tEditais[[#This Row],[Valor foco homologado]]&gt;=FaixaA_Min,"A",IF(tEditais[[#This Row],[Valor foco homologado]]&gt;=FaixaB_Min,"B","C"))))</calculatedColumnFormula>
    </tableColumn>
    <tableColumn id="16" xr3:uid="{23CF5315-CF48-4BBF-A527-042234C91314}" name="Status">
      <calculatedColumnFormula>IF(tEditais[[#This Row],[Encerramento]]&gt;NOW(),"Aberto","Encerrado")</calculatedColumnFormula>
    </tableColumn>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AFAFD95-7368-430D-9EEA-988B39A77688}" name="tItens" displayName="tItens" ref="A1:P9465" totalsRowShown="0">
  <autoFilter ref="A1:P9465" xr:uid="{8AFAFD95-7368-430D-9EEA-988B39A77688}"/>
  <tableColumns count="16">
    <tableColumn id="1" xr3:uid="{6542E533-C204-4C35-8785-9ED6B7C15A0E}" name="Edital"/>
    <tableColumn id="2" xr3:uid="{D3ED043B-1D27-4586-833F-F0AC7318777C}" name="Nº item"/>
    <tableColumn id="3" xr3:uid="{DEF59830-3B5F-46DA-8BFF-37C2FEA16E04}" name="Descrição"/>
    <tableColumn id="4" xr3:uid="{29190683-B27D-42A6-AE0F-B2DC122A918A}" name="Produto"/>
    <tableColumn id="5" xr3:uid="{5F59988C-2DE8-4A9C-B455-AA45B8C99F1D}" name="Qtd" dataDxfId="20"/>
    <tableColumn id="6" xr3:uid="{41F94791-CD62-4EBC-AF4E-52D231C156AA}" name="Vlr unit" dataDxfId="21"/>
    <tableColumn id="7" xr3:uid="{3B879676-FEC6-4E31-8685-DAC35EF011E3}" name="Órgão">
      <calculatedColumnFormula>IFERROR(INDEX(tEditais[Órgão],MATCH(tItens[[#This Row],[Edital]],tEditais[Edital],0)),"")</calculatedColumnFormula>
    </tableColumn>
    <tableColumn id="8" xr3:uid="{5C5826BB-D85F-48FB-886D-A052A2EE90C3}" name="UF">
      <calculatedColumnFormula>IFERROR(INDEX(tEditais[UF],MATCH(tItens[[#This Row],[Edital]],tEditais[Edital],0)),"")</calculatedColumnFormula>
    </tableColumn>
    <tableColumn id="9" xr3:uid="{577557BE-A58F-4818-9A2D-020EB95E0464}" name="Encerramento" dataDxfId="26">
      <calculatedColumnFormula>IFERROR(INDEX(tEditais[Encerramento],MATCH(tItens[[#This Row],[Edital]],tEditais[Edital],0)),"")</calculatedColumnFormula>
    </tableColumn>
    <tableColumn id="10" xr3:uid="{57264116-0BCA-4775-AE87-BF5E3F7AFE74}" name="Classe">
      <calculatedColumnFormula>IFERROR(INDEX(tProdutos[Classe],MATCH(tItens[[#This Row],[Produto]],tProdutos[Produto],0)),"produto não cadastrado")</calculatedColumnFormula>
    </tableColumn>
    <tableColumn id="11" xr3:uid="{D92C023D-6E6E-4D5C-B5B3-87CCB03A9389}" name="Valor" dataDxfId="25">
      <calculatedColumnFormula>tItens[[#This Row],[Qtd]]*tItens[[#This Row],[Vlr unit]]</calculatedColumnFormula>
    </tableColumn>
    <tableColumn id="12" xr3:uid="{32589273-6BC6-4E94-A541-947CB4544AC4}" name="Desconto" dataDxfId="24">
      <calculatedColumnFormula>IFERROR(IF(INDEX(tProdutos[Desconto homologado],MATCH(tItens[[#This Row],[Produto]],tProdutos[Produto],0))="",DescontoPadrao,INDEX(tProdutos[Desconto homologado],MATCH(tItens[[#This Row],[Produto]],tProdutos[Produto],0))),DescontoPadrao)</calculatedColumnFormula>
    </tableColumn>
    <tableColumn id="13" xr3:uid="{C1BE9465-1DFE-4698-ABDC-29ABE6ED69CA}" name="Valor homologado" dataDxfId="23">
      <calculatedColumnFormula>tItens[[#This Row],[Valor]]*(1-tItens[[#This Row],[Desconto]])</calculatedColumnFormula>
    </tableColumn>
    <tableColumn id="14" xr3:uid="{7555B3BB-DC2D-4E8B-BFE0-7656F476F556}" name="Foco">
      <calculatedColumnFormula>IFERROR(INDEX(tProdutos[Foco],MATCH(tItens[[#This Row],[Produto]],tProdutos[Produto],0)),"Não")</calculatedColumnFormula>
    </tableColumn>
    <tableColumn id="15" xr3:uid="{522C8A53-999C-4268-A5E6-7AA8FC7FFBF9}" name="SRP">
      <calculatedColumnFormula>IFERROR(INDEX(tEditais[SRP],MATCH(tItens[[#This Row],[Edital]],tEditais[Edital],0)),"Não")</calculatedColumnFormula>
    </tableColumn>
    <tableColumn id="16" xr3:uid="{4AA622FA-0372-42AE-9E69-0E2BCDB1AB40}" name="Primeira ocorrência" dataDxfId="22">
      <calculatedColumnFormula>IF(COUNTIFS(INDEX(tItens[Edital],1):tItens[[#This Row],[Edital]],tItens[[#This Row],[Edital]],INDEX(tItens[Produto],1):tItens[[#This Row],[Produto]],tItens[[#This Row],[Produto]])=1,1,0)</calculatedColumnFormula>
    </tableColumn>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442842C-3157-4A0B-BB0A-32029F70CCE5}" name="tPalavrasChave" displayName="tPalavrasChave" ref="A1:B21" totalsRowShown="0">
  <autoFilter ref="A1:B21" xr:uid="{6442842C-3157-4A0B-BB0A-32029F70CCE5}"/>
  <tableColumns count="2">
    <tableColumn id="1" xr3:uid="{03C94020-50D5-4047-9EEC-A84CAB8E0AA0}" name="Produto"/>
    <tableColumn id="2" xr3:uid="{233A7A18-9CDF-403F-9B9D-68C650AB571B}" name="Palavras-chave (separadas por ;)"/>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9A0AE-BF5C-4772-BB0F-E588B49F117B}">
  <dimension ref="A1:A20"/>
  <sheetViews>
    <sheetView tabSelected="1" workbookViewId="0"/>
  </sheetViews>
  <sheetFormatPr defaultRowHeight="15" x14ac:dyDescent="0.25"/>
  <cols>
    <col min="1" max="1" width="150.7109375" customWidth="1"/>
  </cols>
  <sheetData>
    <row r="1" spans="1:1" ht="18.75" x14ac:dyDescent="0.3">
      <c r="A1" s="22" t="s">
        <v>11825</v>
      </c>
    </row>
    <row r="3" spans="1:1" x14ac:dyDescent="0.25">
      <c r="A3" s="1" t="s">
        <v>11826</v>
      </c>
    </row>
    <row r="4" spans="1:1" x14ac:dyDescent="0.25">
      <c r="A4" t="s">
        <v>11827</v>
      </c>
    </row>
    <row r="5" spans="1:1" x14ac:dyDescent="0.25">
      <c r="A5" t="s">
        <v>11828</v>
      </c>
    </row>
    <row r="6" spans="1:1" x14ac:dyDescent="0.25">
      <c r="A6" t="s">
        <v>11829</v>
      </c>
    </row>
    <row r="7" spans="1:1" x14ac:dyDescent="0.25">
      <c r="A7" t="s">
        <v>11830</v>
      </c>
    </row>
    <row r="8" spans="1:1" x14ac:dyDescent="0.25">
      <c r="A8" t="s">
        <v>11831</v>
      </c>
    </row>
    <row r="9" spans="1:1" x14ac:dyDescent="0.25">
      <c r="A9" t="s">
        <v>11832</v>
      </c>
    </row>
    <row r="11" spans="1:1" x14ac:dyDescent="0.25">
      <c r="A11" s="1" t="s">
        <v>11833</v>
      </c>
    </row>
    <row r="12" spans="1:1" x14ac:dyDescent="0.25">
      <c r="A12" t="s">
        <v>11834</v>
      </c>
    </row>
    <row r="13" spans="1:1" x14ac:dyDescent="0.25">
      <c r="A13" t="s">
        <v>11835</v>
      </c>
    </row>
    <row r="14" spans="1:1" x14ac:dyDescent="0.25">
      <c r="A14" t="s">
        <v>11836</v>
      </c>
    </row>
    <row r="16" spans="1:1" x14ac:dyDescent="0.25">
      <c r="A16" s="1" t="s">
        <v>11837</v>
      </c>
    </row>
    <row r="17" spans="1:1" x14ac:dyDescent="0.25">
      <c r="A17" t="s">
        <v>11838</v>
      </c>
    </row>
    <row r="18" spans="1:1" x14ac:dyDescent="0.25">
      <c r="A18" t="s">
        <v>11839</v>
      </c>
    </row>
    <row r="19" spans="1:1" x14ac:dyDescent="0.25">
      <c r="A19" t="s">
        <v>11840</v>
      </c>
    </row>
    <row r="20" spans="1:1" x14ac:dyDescent="0.25">
      <c r="A20" t="s">
        <v>11841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75C58-30E1-4C9C-9866-DC6913B0F780}">
  <dimension ref="A1:C18"/>
  <sheetViews>
    <sheetView workbookViewId="0"/>
  </sheetViews>
  <sheetFormatPr defaultRowHeight="15" x14ac:dyDescent="0.25"/>
  <cols>
    <col min="1" max="1" width="30.7109375" customWidth="1"/>
    <col min="2" max="2" width="14.7109375" customWidth="1"/>
    <col min="3" max="3" width="90.7109375" customWidth="1"/>
  </cols>
  <sheetData>
    <row r="1" spans="1:3" ht="17.25" x14ac:dyDescent="0.3">
      <c r="A1" s="2" t="s">
        <v>0</v>
      </c>
    </row>
    <row r="3" spans="1:3" x14ac:dyDescent="0.25">
      <c r="A3" s="1" t="s">
        <v>1</v>
      </c>
      <c r="B3" s="1" t="s">
        <v>2</v>
      </c>
      <c r="C3" s="1" t="s">
        <v>3</v>
      </c>
    </row>
    <row r="4" spans="1:3" x14ac:dyDescent="0.25">
      <c r="A4" t="s">
        <v>4</v>
      </c>
      <c r="B4" s="3" t="s">
        <v>5</v>
      </c>
      <c r="C4" t="s">
        <v>6</v>
      </c>
    </row>
    <row r="5" spans="1:3" x14ac:dyDescent="0.25">
      <c r="A5" t="s">
        <v>7</v>
      </c>
      <c r="B5" s="5">
        <v>6</v>
      </c>
      <c r="C5" t="s">
        <v>8</v>
      </c>
    </row>
    <row r="6" spans="1:3" x14ac:dyDescent="0.25">
      <c r="A6" t="s">
        <v>9</v>
      </c>
      <c r="B6" s="5">
        <v>20</v>
      </c>
      <c r="C6" t="s">
        <v>10</v>
      </c>
    </row>
    <row r="7" spans="1:3" x14ac:dyDescent="0.25">
      <c r="A7" t="s">
        <v>11</v>
      </c>
      <c r="B7" s="7">
        <v>0.3</v>
      </c>
      <c r="C7" t="s">
        <v>12</v>
      </c>
    </row>
    <row r="8" spans="1:3" x14ac:dyDescent="0.25">
      <c r="A8" t="s">
        <v>13</v>
      </c>
      <c r="B8" s="5">
        <v>10</v>
      </c>
      <c r="C8" t="s">
        <v>14</v>
      </c>
    </row>
    <row r="9" spans="1:3" x14ac:dyDescent="0.25">
      <c r="A9" t="s">
        <v>15</v>
      </c>
      <c r="B9" s="5">
        <v>10</v>
      </c>
      <c r="C9" t="s">
        <v>16</v>
      </c>
    </row>
    <row r="10" spans="1:3" x14ac:dyDescent="0.25">
      <c r="A10" t="s">
        <v>17</v>
      </c>
      <c r="B10" s="7">
        <v>0.3</v>
      </c>
      <c r="C10" t="s">
        <v>18</v>
      </c>
    </row>
    <row r="11" spans="1:3" x14ac:dyDescent="0.25">
      <c r="A11" t="s">
        <v>19</v>
      </c>
      <c r="B11" s="9">
        <v>90000</v>
      </c>
      <c r="C11" t="s">
        <v>20</v>
      </c>
    </row>
    <row r="12" spans="1:3" x14ac:dyDescent="0.25">
      <c r="A12" t="s">
        <v>21</v>
      </c>
      <c r="B12" s="9">
        <v>50000</v>
      </c>
      <c r="C12" t="s">
        <v>22</v>
      </c>
    </row>
    <row r="13" spans="1:3" x14ac:dyDescent="0.25">
      <c r="A13" t="s">
        <v>23</v>
      </c>
      <c r="B13" s="10">
        <v>0.55000000000000004</v>
      </c>
      <c r="C13" t="s">
        <v>24</v>
      </c>
    </row>
    <row r="14" spans="1:3" x14ac:dyDescent="0.25">
      <c r="A14" t="s">
        <v>25</v>
      </c>
      <c r="B14" s="10">
        <v>1</v>
      </c>
      <c r="C14" t="s">
        <v>26</v>
      </c>
    </row>
    <row r="15" spans="1:3" x14ac:dyDescent="0.25">
      <c r="A15" t="s">
        <v>27</v>
      </c>
      <c r="B15" s="10">
        <v>0.7</v>
      </c>
      <c r="C15" t="s">
        <v>28</v>
      </c>
    </row>
    <row r="16" spans="1:3" x14ac:dyDescent="0.25">
      <c r="A16" t="s">
        <v>29</v>
      </c>
      <c r="B16" s="7">
        <v>0.5</v>
      </c>
      <c r="C16" t="s">
        <v>30</v>
      </c>
    </row>
    <row r="17" spans="1:3" x14ac:dyDescent="0.25">
      <c r="A17" t="s">
        <v>31</v>
      </c>
      <c r="B17" s="5">
        <v>508</v>
      </c>
      <c r="C17" t="s">
        <v>32</v>
      </c>
    </row>
    <row r="18" spans="1:3" x14ac:dyDescent="0.25">
      <c r="A18" t="s">
        <v>33</v>
      </c>
      <c r="B18" s="5">
        <v>21</v>
      </c>
      <c r="C18" t="s">
        <v>34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0D566-D6B3-4123-9115-4A64053DA894}">
  <dimension ref="A1:L38"/>
  <sheetViews>
    <sheetView workbookViewId="0"/>
  </sheetViews>
  <sheetFormatPr defaultRowHeight="15" x14ac:dyDescent="0.25"/>
  <cols>
    <col min="1" max="1" width="13.7109375" customWidth="1"/>
    <col min="2" max="2" width="34.7109375" customWidth="1"/>
    <col min="3" max="12" width="16.7109375" customWidth="1"/>
  </cols>
  <sheetData>
    <row r="1" spans="1:11" ht="17.25" x14ac:dyDescent="0.3">
      <c r="A1" s="2" t="s">
        <v>11759</v>
      </c>
    </row>
    <row r="3" spans="1:11" x14ac:dyDescent="0.25">
      <c r="A3" s="1" t="s">
        <v>54</v>
      </c>
      <c r="B3" s="1" t="s">
        <v>36</v>
      </c>
      <c r="C3" s="1" t="s">
        <v>37</v>
      </c>
      <c r="D3" s="1" t="s">
        <v>47</v>
      </c>
      <c r="E3" s="1" t="s">
        <v>48</v>
      </c>
      <c r="F3" s="1" t="s">
        <v>51</v>
      </c>
      <c r="G3" s="1" t="s">
        <v>3235</v>
      </c>
      <c r="H3" s="1" t="s">
        <v>52</v>
      </c>
      <c r="I3" s="1" t="s">
        <v>39</v>
      </c>
      <c r="J3" s="1" t="s">
        <v>50</v>
      </c>
      <c r="K3" s="1" t="s">
        <v>11760</v>
      </c>
    </row>
    <row r="4" spans="1:11" x14ac:dyDescent="0.25">
      <c r="A4">
        <v>1</v>
      </c>
      <c r="B4" t="str">
        <f>IFERROR(INDEX(tProdutos[Produto],MATCH($A4,tProdutos[Posição],0)),"")</f>
        <v>Campo cirúrgico descartável</v>
      </c>
      <c r="C4" t="str">
        <f>IF($B4="","",INDEX(tProdutos[Classe],MATCH($B4,tProdutos[Produto],0)))</f>
        <v>DISPUTADO</v>
      </c>
      <c r="D4">
        <f>IF($B4="","",INDEX(tProdutos[Editais],MATCH($B4,tProdutos[Produto],0)))</f>
        <v>48</v>
      </c>
      <c r="E4" s="8">
        <f>IF($B4="","",INDEX(tProdutos[Valor janela],MATCH($B4,tProdutos[Produto],0)))</f>
        <v>9468606.3399999999</v>
      </c>
      <c r="F4" s="8">
        <f>IF($B4="","",INDEX(tProdutos[Mercado mês ref],MATCH($B4,tProdutos[Produto],0)))</f>
        <v>31562021.133333337</v>
      </c>
      <c r="G4" s="6">
        <f>IF($B4="","",INDEX(tProdutos[Desconto homologado],MATCH($B4,tProdutos[Produto],0)))</f>
        <v>0.28000000000000003</v>
      </c>
      <c r="H4" s="8">
        <f>IF($B4="","",INDEX(tProdutos[Mercado mês homologado],MATCH($B4,tProdutos[Produto],0)))</f>
        <v>22724655.216000002</v>
      </c>
      <c r="I4" s="6">
        <f>IF($B4="","",INDEX(tProdutos[Margem bruta],MATCH($B4,tProdutos[Produto],0)))</f>
        <v>0.61</v>
      </c>
      <c r="J4" s="6">
        <f>IF($B4="","",INDEX(tProdutos[Participação SRP],MATCH($B4,tProdutos[Produto],0)))</f>
        <v>0.11590087396114092</v>
      </c>
      <c r="K4" s="8">
        <f>IF($B4="","",$H4*$I4)</f>
        <v>13862039.68176</v>
      </c>
    </row>
    <row r="5" spans="1:11" x14ac:dyDescent="0.25">
      <c r="A5">
        <v>2</v>
      </c>
      <c r="B5" t="str">
        <f>IFERROR(INDEX(tProdutos[Produto],MATCH($A5,tProdutos[Posição],0)),"")</f>
        <v>Fita microporosa</v>
      </c>
      <c r="C5" t="str">
        <f>IF($B5="","",INDEX(tProdutos[Classe],MATCH($B5,tProdutos[Produto],0)))</f>
        <v>DISPUTADO</v>
      </c>
      <c r="D5">
        <f>IF($B5="","",INDEX(tProdutos[Editais],MATCH($B5,tProdutos[Produto],0)))</f>
        <v>54</v>
      </c>
      <c r="E5" s="8">
        <f>IF($B5="","",INDEX(tProdutos[Valor janela],MATCH($B5,tProdutos[Produto],0)))</f>
        <v>1591871.2699999998</v>
      </c>
      <c r="F5" s="8">
        <f>IF($B5="","",INDEX(tProdutos[Mercado mês ref],MATCH($B5,tProdutos[Produto],0)))</f>
        <v>5306237.5666666655</v>
      </c>
      <c r="G5" s="6">
        <f>IF($B5="","",INDEX(tProdutos[Desconto homologado],MATCH($B5,tProdutos[Produto],0)))</f>
        <v>0.33</v>
      </c>
      <c r="H5" s="8">
        <f>IF($B5="","",INDEX(tProdutos[Mercado mês homologado],MATCH($B5,tProdutos[Produto],0)))</f>
        <v>3555179.1696666656</v>
      </c>
      <c r="I5" s="6">
        <f>IF($B5="","",INDEX(tProdutos[Margem bruta],MATCH($B5,tProdutos[Produto],0)))</f>
        <v>0.55000000000000004</v>
      </c>
      <c r="J5" s="6">
        <f>IF($B5="","",INDEX(tProdutos[Participação SRP],MATCH($B5,tProdutos[Produto],0)))</f>
        <v>0.79057079156909471</v>
      </c>
      <c r="K5" s="8">
        <f>IF($B5="","",$H5*$I5)</f>
        <v>1955348.5433166663</v>
      </c>
    </row>
    <row r="6" spans="1:11" x14ac:dyDescent="0.25">
      <c r="A6">
        <v>3</v>
      </c>
      <c r="B6" t="str">
        <f>IFERROR(INDEX(tProdutos[Produto],MATCH($A6,tProdutos[Posição],0)),"")</f>
        <v>Máscara laríngea descartável</v>
      </c>
      <c r="C6" t="str">
        <f>IF($B6="","",INDEX(tProdutos[Classe],MATCH($B6,tProdutos[Produto],0)))</f>
        <v>DISPUTADO</v>
      </c>
      <c r="D6">
        <f>IF($B6="","",INDEX(tProdutos[Editais],MATCH($B6,tProdutos[Produto],0)))</f>
        <v>44</v>
      </c>
      <c r="E6" s="8">
        <f>IF($B6="","",INDEX(tProdutos[Valor janela],MATCH($B6,tProdutos[Produto],0)))</f>
        <v>1106914.4300000002</v>
      </c>
      <c r="F6" s="8">
        <f>IF($B6="","",INDEX(tProdutos[Mercado mês ref],MATCH($B6,tProdutos[Produto],0)))</f>
        <v>3689714.7666666671</v>
      </c>
      <c r="G6" s="6">
        <f>IF($B6="","",INDEX(tProdutos[Desconto homologado],MATCH($B6,tProdutos[Produto],0)))</f>
        <v>0.36</v>
      </c>
      <c r="H6" s="8">
        <f>IF($B6="","",INDEX(tProdutos[Mercado mês homologado],MATCH($B6,tProdutos[Produto],0)))</f>
        <v>2361417.450666667</v>
      </c>
      <c r="I6" s="6">
        <f>IF($B6="","",INDEX(tProdutos[Margem bruta],MATCH($B6,tProdutos[Produto],0)))</f>
        <v>0.6</v>
      </c>
      <c r="J6" s="6">
        <f>IF($B6="","",INDEX(tProdutos[Participação SRP],MATCH($B6,tProdutos[Produto],0)))</f>
        <v>0.48843303994148851</v>
      </c>
      <c r="K6" s="8">
        <f>IF($B6="","",$H6*$I6)</f>
        <v>1416850.4704000002</v>
      </c>
    </row>
    <row r="7" spans="1:11" x14ac:dyDescent="0.25">
      <c r="A7">
        <v>4</v>
      </c>
      <c r="B7" t="str">
        <f>IFERROR(INDEX(tProdutos[Produto],MATCH($A7,tProdutos[Posição],0)),"")</f>
        <v>Lâmina de bisturi</v>
      </c>
      <c r="C7" t="str">
        <f>IF($B7="","",INDEX(tProdutos[Classe],MATCH($B7,tProdutos[Produto],0)))</f>
        <v>NÚCLEO</v>
      </c>
      <c r="D7">
        <f>IF($B7="","",INDEX(tProdutos[Editais],MATCH($B7,tProdutos[Produto],0)))</f>
        <v>125</v>
      </c>
      <c r="E7" s="8">
        <f>IF($B7="","",INDEX(tProdutos[Valor janela],MATCH($B7,tProdutos[Produto],0)))</f>
        <v>1012391.7700000001</v>
      </c>
      <c r="F7" s="8">
        <f>IF($B7="","",INDEX(tProdutos[Mercado mês ref],MATCH($B7,tProdutos[Produto],0)))</f>
        <v>3374639.2333333339</v>
      </c>
      <c r="G7" s="6">
        <f>IF($B7="","",INDEX(tProdutos[Desconto homologado],MATCH($B7,tProdutos[Produto],0)))</f>
        <v>0.34</v>
      </c>
      <c r="H7" s="8">
        <f>IF($B7="","",INDEX(tProdutos[Mercado mês homologado],MATCH($B7,tProdutos[Produto],0)))</f>
        <v>2227261.8939999999</v>
      </c>
      <c r="I7" s="6">
        <f>IF($B7="","",INDEX(tProdutos[Margem bruta],MATCH($B7,tProdutos[Produto],0)))</f>
        <v>0.71</v>
      </c>
      <c r="J7" s="6">
        <f>IF($B7="","",INDEX(tProdutos[Participação SRP],MATCH($B7,tProdutos[Produto],0)))</f>
        <v>0.3456897027126169</v>
      </c>
      <c r="K7" s="8">
        <f>IF($B7="","",$H7*$I7)</f>
        <v>1581355.9447399997</v>
      </c>
    </row>
    <row r="8" spans="1:11" x14ac:dyDescent="0.25">
      <c r="A8">
        <v>5</v>
      </c>
      <c r="B8" t="str">
        <f>IFERROR(INDEX(tProdutos[Produto],MATCH($A8,tProdutos[Posição],0)),"")</f>
        <v>Bolsa de colostomia/ileostomia drenável 1 peça c/ filtro de carvão</v>
      </c>
      <c r="C8" t="str">
        <f>IF($B8="","",INDEX(tProdutos[Classe],MATCH($B8,tProdutos[Produto],0)))</f>
        <v>DISPUTADO</v>
      </c>
      <c r="D8">
        <f>IF($B8="","",INDEX(tProdutos[Editais],MATCH($B8,tProdutos[Produto],0)))</f>
        <v>12</v>
      </c>
      <c r="E8" s="8">
        <f>IF($B8="","",INDEX(tProdutos[Valor janela],MATCH($B8,tProdutos[Produto],0)))</f>
        <v>856903.5</v>
      </c>
      <c r="F8" s="8">
        <f>IF($B8="","",INDEX(tProdutos[Mercado mês ref],MATCH($B8,tProdutos[Produto],0)))</f>
        <v>2856345</v>
      </c>
      <c r="G8" s="6">
        <f>IF($B8="","",INDEX(tProdutos[Desconto homologado],MATCH($B8,tProdutos[Produto],0)))</f>
        <v>0.34</v>
      </c>
      <c r="H8" s="8">
        <f>IF($B8="","",INDEX(tProdutos[Mercado mês homologado],MATCH($B8,tProdutos[Produto],0)))</f>
        <v>1885187.6999999997</v>
      </c>
      <c r="I8" s="6">
        <f>IF($B8="","",INDEX(tProdutos[Margem bruta],MATCH($B8,tProdutos[Produto],0)))</f>
        <v>0.63</v>
      </c>
      <c r="J8" s="6">
        <f>IF($B8="","",INDEX(tProdutos[Participação SRP],MATCH($B8,tProdutos[Produto],0)))</f>
        <v>1</v>
      </c>
      <c r="K8" s="8">
        <f>IF($B8="","",$H8*$I8)</f>
        <v>1187668.2509999999</v>
      </c>
    </row>
    <row r="9" spans="1:11" x14ac:dyDescent="0.25">
      <c r="A9">
        <v>6</v>
      </c>
      <c r="B9" t="str">
        <f>IFERROR(INDEX(tProdutos[Produto],MATCH($A9,tProdutos[Posição],0)),"")</f>
        <v>Espéculo vaginal descartável</v>
      </c>
      <c r="C9" t="str">
        <f>IF($B9="","",INDEX(tProdutos[Classe],MATCH($B9,tProdutos[Produto],0)))</f>
        <v>NÚCLEO</v>
      </c>
      <c r="D9">
        <f>IF($B9="","",INDEX(tProdutos[Editais],MATCH($B9,tProdutos[Produto],0)))</f>
        <v>60</v>
      </c>
      <c r="E9" s="8">
        <f>IF($B9="","",INDEX(tProdutos[Valor janela],MATCH($B9,tProdutos[Produto],0)))</f>
        <v>792064.20000000007</v>
      </c>
      <c r="F9" s="8">
        <f>IF($B9="","",INDEX(tProdutos[Mercado mês ref],MATCH($B9,tProdutos[Produto],0)))</f>
        <v>2640214.0000000005</v>
      </c>
      <c r="G9" s="6">
        <f>IF($B9="","",INDEX(tProdutos[Desconto homologado],MATCH($B9,tProdutos[Produto],0)))</f>
        <v>0.26</v>
      </c>
      <c r="H9" s="8">
        <f>IF($B9="","",INDEX(tProdutos[Mercado mês homologado],MATCH($B9,tProdutos[Produto],0)))</f>
        <v>1953758.3600000003</v>
      </c>
      <c r="I9" s="6">
        <f>IF($B9="","",INDEX(tProdutos[Margem bruta],MATCH($B9,tProdutos[Produto],0)))</f>
        <v>0.56999999999999995</v>
      </c>
      <c r="J9" s="6">
        <f>IF($B9="","",INDEX(tProdutos[Participação SRP],MATCH($B9,tProdutos[Produto],0)))</f>
        <v>0.68772604543924598</v>
      </c>
      <c r="K9" s="8">
        <f>IF($B9="","",$H9*$I9)</f>
        <v>1113642.2652</v>
      </c>
    </row>
    <row r="10" spans="1:11" x14ac:dyDescent="0.25">
      <c r="A10">
        <v>7</v>
      </c>
      <c r="B10" t="str">
        <f>IFERROR(INDEX(tProdutos[Produto],MATCH($A10,tProdutos[Posição],0)),"")</f>
        <v>Bolsa coletora de urina</v>
      </c>
      <c r="C10" t="str">
        <f>IF($B10="","",INDEX(tProdutos[Classe],MATCH($B10,tProdutos[Produto],0)))</f>
        <v>NÚCLEO</v>
      </c>
      <c r="D10">
        <f>IF($B10="","",INDEX(tProdutos[Editais],MATCH($B10,tProdutos[Produto],0)))</f>
        <v>41</v>
      </c>
      <c r="E10" s="8">
        <f>IF($B10="","",INDEX(tProdutos[Valor janela],MATCH($B10,tProdutos[Produto],0)))</f>
        <v>651125.56000000006</v>
      </c>
      <c r="F10" s="8">
        <f>IF($B10="","",INDEX(tProdutos[Mercado mês ref],MATCH($B10,tProdutos[Produto],0)))</f>
        <v>2170418.5333333337</v>
      </c>
      <c r="G10" s="6">
        <f>IF($B10="","",INDEX(tProdutos[Desconto homologado],MATCH($B10,tProdutos[Produto],0)))</f>
        <v>0.3</v>
      </c>
      <c r="H10" s="8">
        <f>IF($B10="","",INDEX(tProdutos[Mercado mês homologado],MATCH($B10,tProdutos[Produto],0)))</f>
        <v>1519292.9733333334</v>
      </c>
      <c r="I10" s="6">
        <f>IF($B10="","",INDEX(tProdutos[Margem bruta],MATCH($B10,tProdutos[Produto],0)))</f>
        <v>0.68</v>
      </c>
      <c r="J10" s="6">
        <f>IF($B10="","",INDEX(tProdutos[Participação SRP],MATCH($B10,tProdutos[Produto],0)))</f>
        <v>0.4522117976753976</v>
      </c>
      <c r="K10" s="8">
        <f>IF($B10="","",$H10*$I10)</f>
        <v>1033119.2218666668</v>
      </c>
    </row>
    <row r="11" spans="1:11" x14ac:dyDescent="0.25">
      <c r="A11">
        <v>8</v>
      </c>
      <c r="B11" t="str">
        <f>IFERROR(INDEX(tProdutos[Produto],MATCH($A11,tProdutos[Posição],0)),"")</f>
        <v>Indicador químico para esterilização</v>
      </c>
      <c r="C11" t="str">
        <f>IF($B11="","",INDEX(tProdutos[Classe],MATCH($B11,tProdutos[Produto],0)))</f>
        <v>DISPUTADO</v>
      </c>
      <c r="D11">
        <f>IF($B11="","",INDEX(tProdutos[Editais],MATCH($B11,tProdutos[Produto],0)))</f>
        <v>15</v>
      </c>
      <c r="E11" s="8">
        <f>IF($B11="","",INDEX(tProdutos[Valor janela],MATCH($B11,tProdutos[Produto],0)))</f>
        <v>538590.35</v>
      </c>
      <c r="F11" s="8">
        <f>IF($B11="","",INDEX(tProdutos[Mercado mês ref],MATCH($B11,tProdutos[Produto],0)))</f>
        <v>1795301.1666666667</v>
      </c>
      <c r="G11" s="6">
        <f>IF($B11="","",INDEX(tProdutos[Desconto homologado],MATCH($B11,tProdutos[Produto],0)))</f>
        <v>0.51</v>
      </c>
      <c r="H11" s="8">
        <f>IF($B11="","",INDEX(tProdutos[Mercado mês homologado],MATCH($B11,tProdutos[Produto],0)))</f>
        <v>879697.57166666666</v>
      </c>
      <c r="I11" s="6">
        <f>IF($B11="","",INDEX(tProdutos[Margem bruta],MATCH($B11,tProdutos[Produto],0)))</f>
        <v>0.65</v>
      </c>
      <c r="J11" s="6">
        <f>IF($B11="","",INDEX(tProdutos[Participação SRP],MATCH($B11,tProdutos[Produto],0)))</f>
        <v>4.5866399203030657E-2</v>
      </c>
      <c r="K11" s="8">
        <f>IF($B11="","",$H11*$I11)</f>
        <v>571803.4215833334</v>
      </c>
    </row>
    <row r="12" spans="1:11" x14ac:dyDescent="0.25">
      <c r="A12">
        <v>9</v>
      </c>
      <c r="B12" t="str">
        <f>IFERROR(INDEX(tProdutos[Produto],MATCH($A12,tProdutos[Posição],0)),"")</f>
        <v>Teste Bowie-Dick descartável</v>
      </c>
      <c r="C12" t="str">
        <f>IF($B12="","",INDEX(tProdutos[Classe],MATCH($B12,tProdutos[Produto],0)))</f>
        <v>DISPUTADO</v>
      </c>
      <c r="D12">
        <f>IF($B12="","",INDEX(tProdutos[Editais],MATCH($B12,tProdutos[Produto],0)))</f>
        <v>12</v>
      </c>
      <c r="E12" s="8">
        <f>IF($B12="","",INDEX(tProdutos[Valor janela],MATCH($B12,tProdutos[Produto],0)))</f>
        <v>395266.35</v>
      </c>
      <c r="F12" s="8">
        <f>IF($B12="","",INDEX(tProdutos[Mercado mês ref],MATCH($B12,tProdutos[Produto],0)))</f>
        <v>1317554.5</v>
      </c>
      <c r="G12" s="6">
        <f>IF($B12="","",INDEX(tProdutos[Desconto homologado],MATCH($B12,tProdutos[Produto],0)))</f>
        <v>0.21</v>
      </c>
      <c r="H12" s="8">
        <f>IF($B12="","",INDEX(tProdutos[Mercado mês homologado],MATCH($B12,tProdutos[Produto],0)))</f>
        <v>1040868.0550000001</v>
      </c>
      <c r="I12" s="6">
        <f>IF($B12="","",INDEX(tProdutos[Margem bruta],MATCH($B12,tProdutos[Produto],0)))</f>
        <v>0.54</v>
      </c>
      <c r="J12" s="6">
        <f>IF($B12="","",INDEX(tProdutos[Participação SRP],MATCH($B12,tProdutos[Produto],0)))</f>
        <v>0.79344763347550329</v>
      </c>
      <c r="K12" s="8">
        <f>IF($B12="","",$H12*$I12)</f>
        <v>562068.74970000004</v>
      </c>
    </row>
    <row r="13" spans="1:11" x14ac:dyDescent="0.25">
      <c r="A13">
        <v>10</v>
      </c>
      <c r="B13" t="str">
        <f>IFERROR(INDEX(tProdutos[Produto],MATCH($A13,tProdutos[Posição],0)),"")</f>
        <v>Integrador químico</v>
      </c>
      <c r="C13" t="str">
        <f>IF($B13="","",INDEX(tProdutos[Classe],MATCH($B13,tProdutos[Produto],0)))</f>
        <v>DISPUTADO</v>
      </c>
      <c r="D13">
        <f>IF($B13="","",INDEX(tProdutos[Editais],MATCH($B13,tProdutos[Produto],0)))</f>
        <v>19</v>
      </c>
      <c r="E13" s="8">
        <f>IF($B13="","",INDEX(tProdutos[Valor janela],MATCH($B13,tProdutos[Produto],0)))</f>
        <v>318670.25</v>
      </c>
      <c r="F13" s="8">
        <f>IF($B13="","",INDEX(tProdutos[Mercado mês ref],MATCH($B13,tProdutos[Produto],0)))</f>
        <v>1062234.1666666667</v>
      </c>
      <c r="G13" s="6">
        <f>IF($B13="","",INDEX(tProdutos[Desconto homologado],MATCH($B13,tProdutos[Produto],0)))</f>
        <v>0.32</v>
      </c>
      <c r="H13" s="8">
        <f>IF($B13="","",INDEX(tProdutos[Mercado mês homologado],MATCH($B13,tProdutos[Produto],0)))</f>
        <v>722319.23333333328</v>
      </c>
      <c r="I13" s="6">
        <f>IF($B13="","",INDEX(tProdutos[Margem bruta],MATCH($B13,tProdutos[Produto],0)))</f>
        <v>0.55000000000000004</v>
      </c>
      <c r="J13" s="6">
        <f>IF($B13="","",INDEX(tProdutos[Participação SRP],MATCH($B13,tProdutos[Produto],0)))</f>
        <v>0.95108391825091931</v>
      </c>
      <c r="K13" s="8">
        <f>IF($B13="","",$H13*$I13)</f>
        <v>397275.57833333331</v>
      </c>
    </row>
    <row r="14" spans="1:11" x14ac:dyDescent="0.25">
      <c r="A14">
        <v>11</v>
      </c>
      <c r="B14" t="str">
        <f>IFERROR(INDEX(tProdutos[Produto],MATCH($A14,tProdutos[Posição],0)),"")</f>
        <v>Cateter nasal tipo óculos</v>
      </c>
      <c r="C14" t="str">
        <f>IF($B14="","",INDEX(tProdutos[Classe],MATCH($B14,tProdutos[Produto],0)))</f>
        <v>NÚCLEO</v>
      </c>
      <c r="D14">
        <f>IF($B14="","",INDEX(tProdutos[Editais],MATCH($B14,tProdutos[Produto],0)))</f>
        <v>52</v>
      </c>
      <c r="E14" s="8">
        <f>IF($B14="","",INDEX(tProdutos[Valor janela],MATCH($B14,tProdutos[Produto],0)))</f>
        <v>318415.02</v>
      </c>
      <c r="F14" s="8">
        <f>IF($B14="","",INDEX(tProdutos[Mercado mês ref],MATCH($B14,tProdutos[Produto],0)))</f>
        <v>1061383.4000000001</v>
      </c>
      <c r="G14" s="6">
        <f>IF($B14="","",INDEX(tProdutos[Desconto homologado],MATCH($B14,tProdutos[Produto],0)))</f>
        <v>0.37</v>
      </c>
      <c r="H14" s="8">
        <f>IF($B14="","",INDEX(tProdutos[Mercado mês homologado],MATCH($B14,tProdutos[Produto],0)))</f>
        <v>668671.54200000013</v>
      </c>
      <c r="I14" s="6">
        <f>IF($B14="","",INDEX(tProdutos[Margem bruta],MATCH($B14,tProdutos[Produto],0)))</f>
        <v>0.63</v>
      </c>
      <c r="J14" s="6">
        <f>IF($B14="","",INDEX(tProdutos[Participação SRP],MATCH($B14,tProdutos[Produto],0)))</f>
        <v>0.589462519701489</v>
      </c>
      <c r="K14" s="8">
        <f>IF($B14="","",$H14*$I14)</f>
        <v>421263.07146000006</v>
      </c>
    </row>
    <row r="15" spans="1:11" x14ac:dyDescent="0.25">
      <c r="A15">
        <v>12</v>
      </c>
      <c r="B15" t="str">
        <f>IFERROR(INDEX(tProdutos[Produto],MATCH($A15,tProdutos[Posição],0)),"")</f>
        <v>Avental impermeável descartável</v>
      </c>
      <c r="C15" t="str">
        <f>IF($B15="","",INDEX(tProdutos[Classe],MATCH($B15,tProdutos[Produto],0)))</f>
        <v>NÚCLEO</v>
      </c>
      <c r="D15">
        <f>IF($B15="","",INDEX(tProdutos[Editais],MATCH($B15,tProdutos[Produto],0)))</f>
        <v>23</v>
      </c>
      <c r="E15" s="8">
        <f>IF($B15="","",INDEX(tProdutos[Valor janela],MATCH($B15,tProdutos[Produto],0)))</f>
        <v>218912.69999999998</v>
      </c>
      <c r="F15" s="8">
        <f>IF($B15="","",INDEX(tProdutos[Mercado mês ref],MATCH($B15,tProdutos[Produto],0)))</f>
        <v>729709</v>
      </c>
      <c r="G15" s="6">
        <f>IF($B15="","",INDEX(tProdutos[Desconto homologado],MATCH($B15,tProdutos[Produto],0)))</f>
        <v>0.27</v>
      </c>
      <c r="H15" s="8">
        <f>IF($B15="","",INDEX(tProdutos[Mercado mês homologado],MATCH($B15,tProdutos[Produto],0)))</f>
        <v>532687.56999999995</v>
      </c>
      <c r="I15" s="6">
        <f>IF($B15="","",INDEX(tProdutos[Margem bruta],MATCH($B15,tProdutos[Produto],0)))</f>
        <v>0.63</v>
      </c>
      <c r="J15" s="6">
        <f>IF($B15="","",INDEX(tProdutos[Participação SRP],MATCH($B15,tProdutos[Produto],0)))</f>
        <v>0.35712299925952218</v>
      </c>
      <c r="K15" s="8">
        <f>IF($B15="","",$H15*$I15)</f>
        <v>335593.1691</v>
      </c>
    </row>
    <row r="16" spans="1:11" x14ac:dyDescent="0.25">
      <c r="A16">
        <v>13</v>
      </c>
      <c r="B16" t="str">
        <f>IFERROR(INDEX(tProdutos[Produto],MATCH($A16,tProdutos[Posição],0)),"")</f>
        <v>Kit para coleta citológica</v>
      </c>
      <c r="C16" t="str">
        <f>IF($B16="","",INDEX(tProdutos[Classe],MATCH($B16,tProdutos[Produto],0)))</f>
        <v>DISPUTADO</v>
      </c>
      <c r="D16">
        <f>IF($B16="","",INDEX(tProdutos[Editais],MATCH($B16,tProdutos[Produto],0)))</f>
        <v>2</v>
      </c>
      <c r="E16" s="8">
        <f>IF($B16="","",INDEX(tProdutos[Valor janela],MATCH($B16,tProdutos[Produto],0)))</f>
        <v>214700</v>
      </c>
      <c r="F16" s="8">
        <f>IF($B16="","",INDEX(tProdutos[Mercado mês ref],MATCH($B16,tProdutos[Produto],0)))</f>
        <v>715666.66666666663</v>
      </c>
      <c r="G16" s="6">
        <f>IF($B16="","",INDEX(tProdutos[Desconto homologado],MATCH($B16,tProdutos[Produto],0)))</f>
        <v>0.38</v>
      </c>
      <c r="H16" s="8">
        <f>IF($B16="","",INDEX(tProdutos[Mercado mês homologado],MATCH($B16,tProdutos[Produto],0)))</f>
        <v>443713.33333333331</v>
      </c>
      <c r="I16" s="6">
        <f>IF($B16="","",INDEX(tProdutos[Margem bruta],MATCH($B16,tProdutos[Produto],0)))</f>
        <v>0.64</v>
      </c>
      <c r="J16" s="6">
        <f>IF($B16="","",INDEX(tProdutos[Participação SRP],MATCH($B16,tProdutos[Produto],0)))</f>
        <v>1</v>
      </c>
      <c r="K16" s="8">
        <f>IF($B16="","",$H16*$I16)</f>
        <v>283976.53333333333</v>
      </c>
    </row>
    <row r="17" spans="1:12" x14ac:dyDescent="0.25">
      <c r="A17">
        <v>14</v>
      </c>
      <c r="B17" t="str">
        <f>IFERROR(INDEX(tProdutos[Produto],MATCH($A17,tProdutos[Posição],0)),"")</f>
        <v>Escova cervical</v>
      </c>
      <c r="C17" t="str">
        <f>IF($B17="","",INDEX(tProdutos[Classe],MATCH($B17,tProdutos[Produto],0)))</f>
        <v>NÚCLEO</v>
      </c>
      <c r="D17">
        <f>IF($B17="","",INDEX(tProdutos[Editais],MATCH($B17,tProdutos[Produto],0)))</f>
        <v>23</v>
      </c>
      <c r="E17" s="8">
        <f>IF($B17="","",INDEX(tProdutos[Valor janela],MATCH($B17,tProdutos[Produto],0)))</f>
        <v>191959.59999999998</v>
      </c>
      <c r="F17" s="8">
        <f>IF($B17="","",INDEX(tProdutos[Mercado mês ref],MATCH($B17,tProdutos[Produto],0)))</f>
        <v>639865.33333333326</v>
      </c>
      <c r="G17" s="6">
        <f>IF($B17="","",INDEX(tProdutos[Desconto homologado],MATCH($B17,tProdutos[Produto],0)))</f>
        <v>0.23</v>
      </c>
      <c r="H17" s="8">
        <f>IF($B17="","",INDEX(tProdutos[Mercado mês homologado],MATCH($B17,tProdutos[Produto],0)))</f>
        <v>492696.30666666664</v>
      </c>
      <c r="I17" s="6">
        <f>IF($B17="","",INDEX(tProdutos[Margem bruta],MATCH($B17,tProdutos[Produto],0)))</f>
        <v>0.63</v>
      </c>
      <c r="J17" s="6">
        <f>IF($B17="","",INDEX(tProdutos[Participação SRP],MATCH($B17,tProdutos[Produto],0)))</f>
        <v>0.91011650368098285</v>
      </c>
      <c r="K17" s="8">
        <f>IF($B17="","",$H17*$I17)</f>
        <v>310398.67319999996</v>
      </c>
    </row>
    <row r="18" spans="1:12" x14ac:dyDescent="0.25">
      <c r="A18">
        <v>15</v>
      </c>
      <c r="B18" t="str">
        <f>IFERROR(INDEX(tProdutos[Produto],MATCH($A18,tProdutos[Posição],0)),"")</f>
        <v>Envelope para esterilização</v>
      </c>
      <c r="C18" t="str">
        <f>IF($B18="","",INDEX(tProdutos[Classe],MATCH($B18,tProdutos[Produto],0)))</f>
        <v>NÚCLEO</v>
      </c>
      <c r="D18">
        <f>IF($B18="","",INDEX(tProdutos[Editais],MATCH($B18,tProdutos[Produto],0)))</f>
        <v>11</v>
      </c>
      <c r="E18" s="8">
        <f>IF($B18="","",INDEX(tProdutos[Valor janela],MATCH($B18,tProdutos[Produto],0)))</f>
        <v>79830.97</v>
      </c>
      <c r="F18" s="8">
        <f>IF($B18="","",INDEX(tProdutos[Mercado mês ref],MATCH($B18,tProdutos[Produto],0)))</f>
        <v>266103.23333333334</v>
      </c>
      <c r="G18" s="6">
        <f>IF($B18="","",INDEX(tProdutos[Desconto homologado],MATCH($B18,tProdutos[Produto],0)))</f>
        <v>0.24</v>
      </c>
      <c r="H18" s="8">
        <f>IF($B18="","",INDEX(tProdutos[Mercado mês homologado],MATCH($B18,tProdutos[Produto],0)))</f>
        <v>202238.45733333332</v>
      </c>
      <c r="I18" s="6">
        <f>IF($B18="","",INDEX(tProdutos[Margem bruta],MATCH($B18,tProdutos[Produto],0)))</f>
        <v>0.6</v>
      </c>
      <c r="J18" s="6">
        <f>IF($B18="","",INDEX(tProdutos[Participação SRP],MATCH($B18,tProdutos[Produto],0)))</f>
        <v>1</v>
      </c>
      <c r="K18" s="8">
        <f>IF($B18="","",$H18*$I18)</f>
        <v>121343.07439999998</v>
      </c>
    </row>
    <row r="19" spans="1:12" x14ac:dyDescent="0.25">
      <c r="A19">
        <v>16</v>
      </c>
      <c r="B19" t="str">
        <f>IFERROR(INDEX(tProdutos[Produto],MATCH($A19,tProdutos[Posição],0)),"")</f>
        <v>Coletor para secreção</v>
      </c>
      <c r="C19" t="str">
        <f>IF($B19="","",INDEX(tProdutos[Classe],MATCH($B19,tProdutos[Produto],0)))</f>
        <v>NÚCLEO</v>
      </c>
      <c r="D19">
        <f>IF($B19="","",INDEX(tProdutos[Editais],MATCH($B19,tProdutos[Produto],0)))</f>
        <v>6</v>
      </c>
      <c r="E19" s="8">
        <f>IF($B19="","",INDEX(tProdutos[Valor janela],MATCH($B19,tProdutos[Produto],0)))</f>
        <v>49591.4</v>
      </c>
      <c r="F19" s="8">
        <f>IF($B19="","",INDEX(tProdutos[Mercado mês ref],MATCH($B19,tProdutos[Produto],0)))</f>
        <v>165304.66666666666</v>
      </c>
      <c r="G19" s="6">
        <f>IF($B19="","",INDEX(tProdutos[Desconto homologado],MATCH($B19,tProdutos[Produto],0)))</f>
        <v>0.21</v>
      </c>
      <c r="H19" s="8">
        <f>IF($B19="","",INDEX(tProdutos[Mercado mês homologado],MATCH($B19,tProdutos[Produto],0)))</f>
        <v>130590.68666666666</v>
      </c>
      <c r="I19" s="6">
        <f>IF($B19="","",INDEX(tProdutos[Margem bruta],MATCH($B19,tProdutos[Produto],0)))</f>
        <v>0.78</v>
      </c>
      <c r="J19" s="6">
        <f>IF($B19="","",INDEX(tProdutos[Participação SRP],MATCH($B19,tProdutos[Produto],0)))</f>
        <v>0.99193408534544292</v>
      </c>
      <c r="K19" s="8">
        <f>IF($B19="","",$H19*$I19)</f>
        <v>101860.7356</v>
      </c>
    </row>
    <row r="20" spans="1:12" x14ac:dyDescent="0.25">
      <c r="A20">
        <v>17</v>
      </c>
      <c r="B20" t="str">
        <f>IFERROR(INDEX(tProdutos[Produto],MATCH($A20,tProdutos[Posição],0)),"")</f>
        <v>Coletor de urina infantil</v>
      </c>
      <c r="C20" t="str">
        <f>IF($B20="","",INDEX(tProdutos[Classe],MATCH($B20,tProdutos[Produto],0)))</f>
        <v>NÚCLEO</v>
      </c>
      <c r="D20">
        <f>IF($B20="","",INDEX(tProdutos[Editais],MATCH($B20,tProdutos[Produto],0)))</f>
        <v>24</v>
      </c>
      <c r="E20" s="8">
        <f>IF($B20="","",INDEX(tProdutos[Valor janela],MATCH($B20,tProdutos[Produto],0)))</f>
        <v>42263.09</v>
      </c>
      <c r="F20" s="8">
        <f>IF($B20="","",INDEX(tProdutos[Mercado mês ref],MATCH($B20,tProdutos[Produto],0)))</f>
        <v>140876.96666666665</v>
      </c>
      <c r="G20" s="6">
        <f>IF($B20="","",INDEX(tProdutos[Desconto homologado],MATCH($B20,tProdutos[Produto],0)))</f>
        <v>0.33</v>
      </c>
      <c r="H20" s="8">
        <f>IF($B20="","",INDEX(tProdutos[Mercado mês homologado],MATCH($B20,tProdutos[Produto],0)))</f>
        <v>94387.56766666664</v>
      </c>
      <c r="I20" s="6">
        <f>IF($B20="","",INDEX(tProdutos[Margem bruta],MATCH($B20,tProdutos[Produto],0)))</f>
        <v>0.54</v>
      </c>
      <c r="J20" s="6">
        <f>IF($B20="","",INDEX(tProdutos[Participação SRP],MATCH($B20,tProdutos[Produto],0)))</f>
        <v>0.4035966134989184</v>
      </c>
      <c r="K20" s="8">
        <f>IF($B20="","",$H20*$I20)</f>
        <v>50969.286539999986</v>
      </c>
    </row>
    <row r="21" spans="1:12" x14ac:dyDescent="0.25">
      <c r="A21">
        <v>18</v>
      </c>
      <c r="B21" t="str">
        <f>IFERROR(INDEX(tProdutos[Produto],MATCH($A21,tProdutos[Posição],0)),"")</f>
        <v>Bolsa coletora de urina de perna</v>
      </c>
      <c r="C21" t="str">
        <f>IF($B21="","",INDEX(tProdutos[Classe],MATCH($B21,tProdutos[Produto],0)))</f>
        <v>NÚCLEO</v>
      </c>
      <c r="D21">
        <f>IF($B21="","",INDEX(tProdutos[Editais],MATCH($B21,tProdutos[Produto],0)))</f>
        <v>1</v>
      </c>
      <c r="E21" s="8">
        <f>IF($B21="","",INDEX(tProdutos[Valor janela],MATCH($B21,tProdutos[Produto],0)))</f>
        <v>29601.800000000003</v>
      </c>
      <c r="F21" s="8">
        <f>IF($B21="","",INDEX(tProdutos[Mercado mês ref],MATCH($B21,tProdutos[Produto],0)))</f>
        <v>98672.666666666672</v>
      </c>
      <c r="G21" s="6">
        <f>IF($B21="","",INDEX(tProdutos[Desconto homologado],MATCH($B21,tProdutos[Produto],0)))</f>
        <v>0.37</v>
      </c>
      <c r="H21" s="8">
        <f>IF($B21="","",INDEX(tProdutos[Mercado mês homologado],MATCH($B21,tProdutos[Produto],0)))</f>
        <v>62163.780000000006</v>
      </c>
      <c r="I21" s="6">
        <f>IF($B21="","",INDEX(tProdutos[Margem bruta],MATCH($B21,tProdutos[Produto],0)))</f>
        <v>0.69</v>
      </c>
      <c r="J21" s="6">
        <f>IF($B21="","",INDEX(tProdutos[Participação SRP],MATCH($B21,tProdutos[Produto],0)))</f>
        <v>1</v>
      </c>
      <c r="K21" s="8">
        <f>IF($B21="","",$H21*$I21)</f>
        <v>42893.008200000004</v>
      </c>
    </row>
    <row r="22" spans="1:12" x14ac:dyDescent="0.25">
      <c r="A22">
        <v>19</v>
      </c>
      <c r="B22" t="str">
        <f>IFERROR(INDEX(tProdutos[Produto],MATCH($A22,tProdutos[Posição],0)),"")</f>
        <v>Cânula orofaríngea de Guedel</v>
      </c>
      <c r="C22" t="str">
        <f>IF($B22="","",INDEX(tProdutos[Classe],MATCH($B22,tProdutos[Produto],0)))</f>
        <v>NÚCLEO</v>
      </c>
      <c r="D22">
        <f>IF($B22="","",INDEX(tProdutos[Editais],MATCH($B22,tProdutos[Produto],0)))</f>
        <v>21</v>
      </c>
      <c r="E22" s="8">
        <f>IF($B22="","",INDEX(tProdutos[Valor janela],MATCH($B22,tProdutos[Produto],0)))</f>
        <v>28240.849999999988</v>
      </c>
      <c r="F22" s="8">
        <f>IF($B22="","",INDEX(tProdutos[Mercado mês ref],MATCH($B22,tProdutos[Produto],0)))</f>
        <v>94136.166666666628</v>
      </c>
      <c r="G22" s="6">
        <f>IF($B22="","",INDEX(tProdutos[Desconto homologado],MATCH($B22,tProdutos[Produto],0)))</f>
        <v>0.39</v>
      </c>
      <c r="H22" s="8">
        <f>IF($B22="","",INDEX(tProdutos[Mercado mês homologado],MATCH($B22,tProdutos[Produto],0)))</f>
        <v>57423.061666666639</v>
      </c>
      <c r="I22" s="6">
        <f>IF($B22="","",INDEX(tProdutos[Margem bruta],MATCH($B22,tProdutos[Produto],0)))</f>
        <v>0.68</v>
      </c>
      <c r="J22" s="6">
        <f>IF($B22="","",INDEX(tProdutos[Participação SRP],MATCH($B22,tProdutos[Produto],0)))</f>
        <v>0.89869851651065746</v>
      </c>
      <c r="K22" s="8">
        <f>IF($B22="","",$H22*$I22)</f>
        <v>39047.681933333319</v>
      </c>
    </row>
    <row r="23" spans="1:12" x14ac:dyDescent="0.25">
      <c r="A23">
        <v>20</v>
      </c>
      <c r="B23" t="str">
        <f>IFERROR(INDEX(tProdutos[Produto],MATCH($A23,tProdutos[Posição],0)),"")</f>
        <v>Cabo de bisturi nº 4</v>
      </c>
      <c r="C23" t="str">
        <f>IF($B23="","",INDEX(tProdutos[Classe],MATCH($B23,tProdutos[Produto],0)))</f>
        <v>FORA</v>
      </c>
      <c r="D23">
        <f>IF($B23="","",INDEX(tProdutos[Editais],MATCH($B23,tProdutos[Produto],0)))</f>
        <v>27</v>
      </c>
      <c r="E23" s="8">
        <f>IF($B23="","",INDEX(tProdutos[Valor janela],MATCH($B23,tProdutos[Produto],0)))</f>
        <v>14938.269999999999</v>
      </c>
      <c r="F23" s="8">
        <f>IF($B23="","",INDEX(tProdutos[Mercado mês ref],MATCH($B23,tProdutos[Produto],0)))</f>
        <v>49794.23333333333</v>
      </c>
      <c r="G23" s="6">
        <f>IF($B23="","",INDEX(tProdutos[Desconto homologado],MATCH($B23,tProdutos[Produto],0)))</f>
        <v>0.43</v>
      </c>
      <c r="H23" s="8">
        <f>IF($B23="","",INDEX(tProdutos[Mercado mês homologado],MATCH($B23,tProdutos[Produto],0)))</f>
        <v>28382.713</v>
      </c>
      <c r="I23" s="6">
        <f>IF($B23="","",INDEX(tProdutos[Margem bruta],MATCH($B23,tProdutos[Produto],0)))</f>
        <v>0.61</v>
      </c>
      <c r="J23" s="6">
        <f>IF($B23="","",INDEX(tProdutos[Participação SRP],MATCH($B23,tProdutos[Produto],0)))</f>
        <v>0.640711407679738</v>
      </c>
      <c r="K23" s="8">
        <f>IF($B23="","",$H23*$I23)</f>
        <v>17313.45493</v>
      </c>
    </row>
    <row r="24" spans="1:12" x14ac:dyDescent="0.25">
      <c r="A24">
        <v>21</v>
      </c>
      <c r="B24" t="str">
        <f>IFERROR(INDEX(tProdutos[Produto],MATCH($A24,tProdutos[Posição],0)),"")</f>
        <v/>
      </c>
      <c r="C24" t="str">
        <f>IF($B24="","",INDEX(tProdutos[Classe],MATCH($B24,tProdutos[Produto],0)))</f>
        <v/>
      </c>
      <c r="D24" t="str">
        <f>IF($B24="","",INDEX(tProdutos[Editais],MATCH($B24,tProdutos[Produto],0)))</f>
        <v/>
      </c>
      <c r="E24" s="8" t="str">
        <f>IF($B24="","",INDEX(tProdutos[Valor janela],MATCH($B24,tProdutos[Produto],0)))</f>
        <v/>
      </c>
      <c r="F24" s="8" t="str">
        <f>IF($B24="","",INDEX(tProdutos[Mercado mês ref],MATCH($B24,tProdutos[Produto],0)))</f>
        <v/>
      </c>
      <c r="G24" s="6" t="str">
        <f>IF($B24="","",INDEX(tProdutos[Desconto homologado],MATCH($B24,tProdutos[Produto],0)))</f>
        <v/>
      </c>
      <c r="H24" s="8" t="str">
        <f>IF($B24="","",INDEX(tProdutos[Mercado mês homologado],MATCH($B24,tProdutos[Produto],0)))</f>
        <v/>
      </c>
      <c r="I24" s="6" t="str">
        <f>IF($B24="","",INDEX(tProdutos[Margem bruta],MATCH($B24,tProdutos[Produto],0)))</f>
        <v/>
      </c>
      <c r="J24" s="6" t="str">
        <f>IF($B24="","",INDEX(tProdutos[Participação SRP],MATCH($B24,tProdutos[Produto],0)))</f>
        <v/>
      </c>
      <c r="K24" s="8" t="str">
        <f>IF($B24="","",$H24*$I24)</f>
        <v/>
      </c>
    </row>
    <row r="25" spans="1:12" x14ac:dyDescent="0.25">
      <c r="A25">
        <v>22</v>
      </c>
      <c r="B25" t="str">
        <f>IFERROR(INDEX(tProdutos[Produto],MATCH($A25,tProdutos[Posição],0)),"")</f>
        <v/>
      </c>
      <c r="C25" t="str">
        <f>IF($B25="","",INDEX(tProdutos[Classe],MATCH($B25,tProdutos[Produto],0)))</f>
        <v/>
      </c>
      <c r="D25" t="str">
        <f>IF($B25="","",INDEX(tProdutos[Editais],MATCH($B25,tProdutos[Produto],0)))</f>
        <v/>
      </c>
      <c r="E25" s="8" t="str">
        <f>IF($B25="","",INDEX(tProdutos[Valor janela],MATCH($B25,tProdutos[Produto],0)))</f>
        <v/>
      </c>
      <c r="F25" s="8" t="str">
        <f>IF($B25="","",INDEX(tProdutos[Mercado mês ref],MATCH($B25,tProdutos[Produto],0)))</f>
        <v/>
      </c>
      <c r="G25" s="6" t="str">
        <f>IF($B25="","",INDEX(tProdutos[Desconto homologado],MATCH($B25,tProdutos[Produto],0)))</f>
        <v/>
      </c>
      <c r="H25" s="8" t="str">
        <f>IF($B25="","",INDEX(tProdutos[Mercado mês homologado],MATCH($B25,tProdutos[Produto],0)))</f>
        <v/>
      </c>
      <c r="I25" s="6" t="str">
        <f>IF($B25="","",INDEX(tProdutos[Margem bruta],MATCH($B25,tProdutos[Produto],0)))</f>
        <v/>
      </c>
      <c r="J25" s="6" t="str">
        <f>IF($B25="","",INDEX(tProdutos[Participação SRP],MATCH($B25,tProdutos[Produto],0)))</f>
        <v/>
      </c>
      <c r="K25" s="8" t="str">
        <f>IF($B25="","",$H25*$I25)</f>
        <v/>
      </c>
    </row>
    <row r="26" spans="1:12" x14ac:dyDescent="0.25">
      <c r="A26">
        <v>23</v>
      </c>
      <c r="B26" t="str">
        <f>IFERROR(INDEX(tProdutos[Produto],MATCH($A26,tProdutos[Posição],0)),"")</f>
        <v/>
      </c>
      <c r="C26" t="str">
        <f>IF($B26="","",INDEX(tProdutos[Classe],MATCH($B26,tProdutos[Produto],0)))</f>
        <v/>
      </c>
      <c r="D26" t="str">
        <f>IF($B26="","",INDEX(tProdutos[Editais],MATCH($B26,tProdutos[Produto],0)))</f>
        <v/>
      </c>
      <c r="E26" s="8" t="str">
        <f>IF($B26="","",INDEX(tProdutos[Valor janela],MATCH($B26,tProdutos[Produto],0)))</f>
        <v/>
      </c>
      <c r="F26" s="8" t="str">
        <f>IF($B26="","",INDEX(tProdutos[Mercado mês ref],MATCH($B26,tProdutos[Produto],0)))</f>
        <v/>
      </c>
      <c r="G26" s="6" t="str">
        <f>IF($B26="","",INDEX(tProdutos[Desconto homologado],MATCH($B26,tProdutos[Produto],0)))</f>
        <v/>
      </c>
      <c r="H26" s="8" t="str">
        <f>IF($B26="","",INDEX(tProdutos[Mercado mês homologado],MATCH($B26,tProdutos[Produto],0)))</f>
        <v/>
      </c>
      <c r="I26" s="6" t="str">
        <f>IF($B26="","",INDEX(tProdutos[Margem bruta],MATCH($B26,tProdutos[Produto],0)))</f>
        <v/>
      </c>
      <c r="J26" s="6" t="str">
        <f>IF($B26="","",INDEX(tProdutos[Participação SRP],MATCH($B26,tProdutos[Produto],0)))</f>
        <v/>
      </c>
      <c r="K26" s="8" t="str">
        <f>IF($B26="","",$H26*$I26)</f>
        <v/>
      </c>
    </row>
    <row r="27" spans="1:12" x14ac:dyDescent="0.25">
      <c r="A27">
        <v>24</v>
      </c>
      <c r="B27" t="str">
        <f>IFERROR(INDEX(tProdutos[Produto],MATCH($A27,tProdutos[Posição],0)),"")</f>
        <v/>
      </c>
      <c r="C27" t="str">
        <f>IF($B27="","",INDEX(tProdutos[Classe],MATCH($B27,tProdutos[Produto],0)))</f>
        <v/>
      </c>
      <c r="D27" t="str">
        <f>IF($B27="","",INDEX(tProdutos[Editais],MATCH($B27,tProdutos[Produto],0)))</f>
        <v/>
      </c>
      <c r="E27" s="8" t="str">
        <f>IF($B27="","",INDEX(tProdutos[Valor janela],MATCH($B27,tProdutos[Produto],0)))</f>
        <v/>
      </c>
      <c r="F27" s="8" t="str">
        <f>IF($B27="","",INDEX(tProdutos[Mercado mês ref],MATCH($B27,tProdutos[Produto],0)))</f>
        <v/>
      </c>
      <c r="G27" s="6" t="str">
        <f>IF($B27="","",INDEX(tProdutos[Desconto homologado],MATCH($B27,tProdutos[Produto],0)))</f>
        <v/>
      </c>
      <c r="H27" s="8" t="str">
        <f>IF($B27="","",INDEX(tProdutos[Mercado mês homologado],MATCH($B27,tProdutos[Produto],0)))</f>
        <v/>
      </c>
      <c r="I27" s="6" t="str">
        <f>IF($B27="","",INDEX(tProdutos[Margem bruta],MATCH($B27,tProdutos[Produto],0)))</f>
        <v/>
      </c>
      <c r="J27" s="6" t="str">
        <f>IF($B27="","",INDEX(tProdutos[Participação SRP],MATCH($B27,tProdutos[Produto],0)))</f>
        <v/>
      </c>
      <c r="K27" s="8" t="str">
        <f>IF($B27="","",$H27*$I27)</f>
        <v/>
      </c>
    </row>
    <row r="28" spans="1:12" x14ac:dyDescent="0.25">
      <c r="A28">
        <v>25</v>
      </c>
      <c r="B28" t="str">
        <f>IFERROR(INDEX(tProdutos[Produto],MATCH($A28,tProdutos[Posição],0)),"")</f>
        <v/>
      </c>
      <c r="C28" t="str">
        <f>IF($B28="","",INDEX(tProdutos[Classe],MATCH($B28,tProdutos[Produto],0)))</f>
        <v/>
      </c>
      <c r="D28" t="str">
        <f>IF($B28="","",INDEX(tProdutos[Editais],MATCH($B28,tProdutos[Produto],0)))</f>
        <v/>
      </c>
      <c r="E28" s="8" t="str">
        <f>IF($B28="","",INDEX(tProdutos[Valor janela],MATCH($B28,tProdutos[Produto],0)))</f>
        <v/>
      </c>
      <c r="F28" s="8" t="str">
        <f>IF($B28="","",INDEX(tProdutos[Mercado mês ref],MATCH($B28,tProdutos[Produto],0)))</f>
        <v/>
      </c>
      <c r="G28" s="6" t="str">
        <f>IF($B28="","",INDEX(tProdutos[Desconto homologado],MATCH($B28,tProdutos[Produto],0)))</f>
        <v/>
      </c>
      <c r="H28" s="8" t="str">
        <f>IF($B28="","",INDEX(tProdutos[Mercado mês homologado],MATCH($B28,tProdutos[Produto],0)))</f>
        <v/>
      </c>
      <c r="I28" s="6" t="str">
        <f>IF($B28="","",INDEX(tProdutos[Margem bruta],MATCH($B28,tProdutos[Produto],0)))</f>
        <v/>
      </c>
      <c r="J28" s="6" t="str">
        <f>IF($B28="","",INDEX(tProdutos[Participação SRP],MATCH($B28,tProdutos[Produto],0)))</f>
        <v/>
      </c>
      <c r="K28" s="8" t="str">
        <f>IF($B28="","",$H28*$I28)</f>
        <v/>
      </c>
    </row>
    <row r="29" spans="1:12" x14ac:dyDescent="0.25">
      <c r="A29" s="1"/>
      <c r="B29" s="1" t="s">
        <v>11761</v>
      </c>
      <c r="C29" s="1"/>
      <c r="D29" s="1">
        <f>SUM(D4:D28)</f>
        <v>620</v>
      </c>
      <c r="E29" s="17">
        <f>SUM(E4:E28)</f>
        <v>17920857.719999999</v>
      </c>
      <c r="F29" s="17">
        <f>SUM(F4:F28)</f>
        <v>59736192.399999991</v>
      </c>
      <c r="G29" s="1"/>
      <c r="H29" s="17">
        <f>SUM(H4:H28)</f>
        <v>41582592.642000012</v>
      </c>
      <c r="I29" s="18">
        <f>IFERROR(SUMPRODUCT(I4:I28,H4:H28)/H29,0)</f>
        <v>0.61097274610375796</v>
      </c>
      <c r="J29" s="18">
        <f>IFERROR(SUMPRODUCT(J4:J28,E4:E28)/E29,0)</f>
        <v>0.35991168674933266</v>
      </c>
      <c r="K29" s="17">
        <f>SUM(K4:K28)</f>
        <v>25405830.816596668</v>
      </c>
    </row>
    <row r="31" spans="1:12" x14ac:dyDescent="0.25">
      <c r="A31" s="1" t="s">
        <v>11762</v>
      </c>
    </row>
    <row r="32" spans="1:12" x14ac:dyDescent="0.25">
      <c r="A32" s="1" t="s">
        <v>11763</v>
      </c>
      <c r="B32" s="1" t="s">
        <v>11764</v>
      </c>
      <c r="C32" s="1" t="s">
        <v>11765</v>
      </c>
      <c r="D32" s="1" t="s">
        <v>11766</v>
      </c>
      <c r="E32" s="1" t="s">
        <v>11767</v>
      </c>
      <c r="F32" s="1" t="s">
        <v>11768</v>
      </c>
      <c r="G32" s="1" t="s">
        <v>11769</v>
      </c>
      <c r="H32" s="1" t="s">
        <v>11770</v>
      </c>
      <c r="I32" s="1" t="s">
        <v>11771</v>
      </c>
      <c r="J32" s="1" t="s">
        <v>11772</v>
      </c>
      <c r="K32" s="1" t="s">
        <v>11773</v>
      </c>
      <c r="L32" s="1" t="s">
        <v>11774</v>
      </c>
    </row>
    <row r="33" spans="1:12" x14ac:dyDescent="0.25">
      <c r="A33" t="s">
        <v>11775</v>
      </c>
      <c r="B33" s="7">
        <v>0.03</v>
      </c>
      <c r="C33" s="7">
        <v>0.4</v>
      </c>
      <c r="D33" s="8">
        <f>MercadoTop*$B33</f>
        <v>1247477.7792600002</v>
      </c>
      <c r="E33" s="8">
        <f>$D33*(PesoOut+PesoNov+PesoDez)</f>
        <v>2806825.0033350005</v>
      </c>
      <c r="F33" s="8">
        <f>$D33*(1-SRPTop)*CompraDireta1*PesoOut</f>
        <v>219586.38557466105</v>
      </c>
      <c r="G33" s="8">
        <f>$D33*(1-SRPTop)*((1-CompraDireta1)*PesoOut+CompraDireta1*PesoNov)+$D33*SRPTop*$C33/12*PesoOut</f>
        <v>627065.69292822795</v>
      </c>
      <c r="H33" s="8">
        <f>$D33*(1-SRPTop)*((1-CompraDireta1)*PesoNov+CompraDireta1*PesoDez)+$D33*SRPTop*$C33/12*(PesoOut+PesoNov)</f>
        <v>701918.95005123713</v>
      </c>
      <c r="I33" s="8">
        <f>$D33*(1-SRPTop)*(1-CompraDireta1)*PesoDez+$D33*SRPTop*$C33/12*(PesoOut+PesoNov+PesoDez)</f>
        <v>313147.21901916101</v>
      </c>
      <c r="J33" s="8">
        <f>$D33*SRPTop*$C33/12*(PesoOut+PesoNov+PesoDez)</f>
        <v>33673.637378683379</v>
      </c>
      <c r="K33" s="8">
        <f>AVERAGE(F33:H33)</f>
        <v>516190.3428513754</v>
      </c>
      <c r="L33" s="8">
        <f>H33*MargemTop</f>
        <v>428853.34845507087</v>
      </c>
    </row>
    <row r="34" spans="1:12" x14ac:dyDescent="0.25">
      <c r="A34" s="1" t="s">
        <v>11776</v>
      </c>
      <c r="B34" s="19">
        <v>0.06</v>
      </c>
      <c r="C34" s="19">
        <v>0.5</v>
      </c>
      <c r="D34" s="17">
        <f>MercadoTop*$B34</f>
        <v>2494955.5585200004</v>
      </c>
      <c r="E34" s="17">
        <f>$D34*(PesoOut+PesoNov+PesoDez)</f>
        <v>5613650.006670001</v>
      </c>
      <c r="F34" s="17">
        <f>$D34*(1-SRPTop)*CompraDireta1*PesoOut</f>
        <v>439172.7711493221</v>
      </c>
      <c r="G34" s="17">
        <f>$D34*(1-SRPTop)*((1-CompraDireta1)*PesoOut+CompraDireta1*PesoNov)+$D34*SRPTop*$C34/12*PesoOut</f>
        <v>1258247.0526471836</v>
      </c>
      <c r="H34" s="17">
        <f>$D34*(1-SRPTop)*((1-CompraDireta1)*PesoNov+CompraDireta1*PesoDez)+$D34*SRPTop*$C34/12*(PesoOut+PesoNov)</f>
        <v>1415436.5974217984</v>
      </c>
      <c r="I34" s="17">
        <f>$D34*(1-SRPTop)*(1-CompraDireta1)*PesoDez+$D34*SRPTop*$C34/12*(PesoOut+PesoNov+PesoDez)</f>
        <v>643131.25672766368</v>
      </c>
      <c r="J34" s="17">
        <f>$D34*SRPTop*$C34/12*(PesoOut+PesoNov+PesoDez)</f>
        <v>84184.09344670843</v>
      </c>
      <c r="K34" s="17">
        <f>AVERAGE(F34:H34)</f>
        <v>1037618.807072768</v>
      </c>
      <c r="L34" s="17">
        <f>H34*MargemTop</f>
        <v>864793.18486255547</v>
      </c>
    </row>
    <row r="35" spans="1:12" x14ac:dyDescent="0.25">
      <c r="A35" t="s">
        <v>11777</v>
      </c>
      <c r="B35" s="7">
        <v>0.1</v>
      </c>
      <c r="C35" s="7">
        <v>0.6</v>
      </c>
      <c r="D35" s="8">
        <f>MercadoTop*$B35</f>
        <v>4158259.2642000015</v>
      </c>
      <c r="E35" s="8">
        <f>$D35*(PesoOut+PesoNov+PesoDez)</f>
        <v>9356083.3444500025</v>
      </c>
      <c r="F35" s="8">
        <f>$D35*(1-SRPTop)*CompraDireta1*PesoOut</f>
        <v>731954.61858220364</v>
      </c>
      <c r="G35" s="8">
        <f>$D35*(1-SRPTop)*((1-CompraDireta1)*PesoOut+CompraDireta1*PesoNov)+$D35*SRPTop*$C35/12*PesoOut</f>
        <v>2103937.8657298535</v>
      </c>
      <c r="H35" s="8">
        <f>$D35*(1-SRPTop)*((1-CompraDireta1)*PesoNov+CompraDireta1*PesoDez)+$D35*SRPTop*$C35/12*(PesoOut+PesoNov)</f>
        <v>2378392.1579018719</v>
      </c>
      <c r="I35" s="8">
        <f>$D35*(1-SRPTop)*(1-CompraDireta1)*PesoDez+$D35*SRPTop*$C35/12*(PesoOut+PesoNov+PesoDez)</f>
        <v>1099946.7923616758</v>
      </c>
      <c r="J35" s="8">
        <f>$D35*SRPTop*$C35/12*(PesoOut+PesoNov+PesoDez)</f>
        <v>168368.18689341692</v>
      </c>
      <c r="K35" s="8">
        <f>AVERAGE(F35:H35)</f>
        <v>1738094.8807379764</v>
      </c>
      <c r="L35" s="8">
        <f>H35*MargemTop</f>
        <v>1453132.7880249494</v>
      </c>
    </row>
    <row r="36" spans="1:12" x14ac:dyDescent="0.25">
      <c r="A36" t="s">
        <v>11778</v>
      </c>
      <c r="B36" s="7">
        <v>0.06</v>
      </c>
      <c r="C36" s="7">
        <v>0.5</v>
      </c>
      <c r="D36" s="8">
        <f>MercadoTop*$B36</f>
        <v>2494955.5585200004</v>
      </c>
      <c r="E36" s="8">
        <f>$D36*(PesoOut+PesoNov+PesoDez)</f>
        <v>5613650.006670001</v>
      </c>
      <c r="F36" s="8">
        <f>$D36*(1-SRPTop)*CompraDireta1*PesoOut</f>
        <v>439172.7711493221</v>
      </c>
      <c r="G36" s="8">
        <f>$D36*(1-SRPTop)*((1-CompraDireta1)*PesoOut+CompraDireta1*PesoNov)+$D36*SRPTop*$C36/12*PesoOut</f>
        <v>1258247.0526471836</v>
      </c>
      <c r="H36" s="8">
        <f>$D36*(1-SRPTop)*((1-CompraDireta1)*PesoNov+CompraDireta1*PesoDez)+$D36*SRPTop*$C36/12*(PesoOut+PesoNov)</f>
        <v>1415436.5974217984</v>
      </c>
      <c r="I36" s="8">
        <f>$D36*(1-SRPTop)*(1-CompraDireta1)*PesoDez+$D36*SRPTop*$C36/12*(PesoOut+PesoNov+PesoDez)</f>
        <v>643131.25672766368</v>
      </c>
      <c r="J36" s="8">
        <f>$D36*SRPTop*$C36/12*(PesoOut+PesoNov+PesoDez)</f>
        <v>84184.09344670843</v>
      </c>
      <c r="K36" s="8">
        <f>AVERAGE(F36:H36)</f>
        <v>1037618.807072768</v>
      </c>
      <c r="L36" s="8">
        <f>H36*MargemTop</f>
        <v>864793.18486255547</v>
      </c>
    </row>
    <row r="38" spans="1:12" x14ac:dyDescent="0.25">
      <c r="A38" t="s">
        <v>11779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817BE-48CF-44A8-B311-C9F9BA2E0CD8}">
  <dimension ref="A1:E22"/>
  <sheetViews>
    <sheetView workbookViewId="0"/>
  </sheetViews>
  <sheetFormatPr defaultRowHeight="15" x14ac:dyDescent="0.25"/>
  <cols>
    <col min="1" max="1" width="48.7109375" customWidth="1"/>
    <col min="2" max="2" width="44.7109375" customWidth="1"/>
    <col min="3" max="5" width="16.7109375" customWidth="1"/>
  </cols>
  <sheetData>
    <row r="1" spans="1:2" ht="17.25" x14ac:dyDescent="0.3">
      <c r="A1" s="2" t="s">
        <v>11780</v>
      </c>
    </row>
    <row r="3" spans="1:2" x14ac:dyDescent="0.25">
      <c r="A3" t="s">
        <v>11781</v>
      </c>
      <c r="B3" s="4">
        <f>COUNTIF(tEditais[Itens do foco],"&gt;0")</f>
        <v>232</v>
      </c>
    </row>
    <row r="4" spans="1:2" x14ac:dyDescent="0.25">
      <c r="A4" t="s">
        <v>11782</v>
      </c>
      <c r="B4" s="14">
        <f>B3/DiasJanela</f>
        <v>38.666666666666664</v>
      </c>
    </row>
    <row r="5" spans="1:2" x14ac:dyDescent="0.25">
      <c r="A5" t="s">
        <v>11783</v>
      </c>
      <c r="B5" s="4">
        <f>B4*DiasMes</f>
        <v>773.33333333333326</v>
      </c>
    </row>
    <row r="6" spans="1:2" x14ac:dyDescent="0.25">
      <c r="A6" t="s">
        <v>11784</v>
      </c>
      <c r="B6" s="4">
        <f>COUNTIF(tEditais[Valor foco homologado],"&gt;="&amp;FaixaB_Min)</f>
        <v>37</v>
      </c>
    </row>
    <row r="7" spans="1:2" x14ac:dyDescent="0.25">
      <c r="A7" t="s">
        <v>11785</v>
      </c>
      <c r="B7" s="14">
        <f>B6/DiasJanela</f>
        <v>6.166666666666667</v>
      </c>
    </row>
    <row r="8" spans="1:2" x14ac:dyDescent="0.25">
      <c r="A8" t="s">
        <v>11786</v>
      </c>
      <c r="B8" s="4">
        <f>B7*DiasMes</f>
        <v>123.33333333333334</v>
      </c>
    </row>
    <row r="9" spans="1:2" x14ac:dyDescent="0.25">
      <c r="A9" t="s">
        <v>11787</v>
      </c>
      <c r="B9" s="6">
        <f>IFERROR(SUMIF(tEditais[Valor foco homologado],"&gt;="&amp;FaixaB_Min)/SUM(tEditais[Valor foco homologado]),0)</f>
        <v>0.90477104240648687</v>
      </c>
    </row>
    <row r="10" spans="1:2" x14ac:dyDescent="0.25">
      <c r="A10" t="s">
        <v>11788</v>
      </c>
      <c r="B10" s="8">
        <f>Projeção!D34/DiasMes</f>
        <v>124747.77792600002</v>
      </c>
    </row>
    <row r="11" spans="1:2" x14ac:dyDescent="0.25">
      <c r="A11" t="s">
        <v>11789</v>
      </c>
      <c r="B11" s="20">
        <f>IFERROR(Projeção!B34/B9,0)</f>
        <v>6.6315119724006125E-2</v>
      </c>
    </row>
    <row r="12" spans="1:2" x14ac:dyDescent="0.25">
      <c r="A12" t="s">
        <v>11790</v>
      </c>
      <c r="B12" s="4">
        <f ca="1">COUNTIFS(tEditais[Faixa],"A",tEditais[Status],"Aberto")</f>
        <v>7</v>
      </c>
    </row>
    <row r="13" spans="1:2" x14ac:dyDescent="0.25">
      <c r="A13" t="s">
        <v>11791</v>
      </c>
      <c r="B13" s="14">
        <f>CockpitCards/CockpitDias</f>
        <v>24.19047619047619</v>
      </c>
    </row>
    <row r="14" spans="1:2" x14ac:dyDescent="0.25">
      <c r="A14" t="s">
        <v>11792</v>
      </c>
      <c r="B14" s="21">
        <f>IFERROR(B4/B13,0)</f>
        <v>1.5984251968503937</v>
      </c>
    </row>
    <row r="17" spans="1:5" x14ac:dyDescent="0.25">
      <c r="A17" s="1" t="s">
        <v>710</v>
      </c>
      <c r="B17" s="1" t="s">
        <v>11793</v>
      </c>
      <c r="C17" s="1" t="s">
        <v>11794</v>
      </c>
      <c r="D17" s="1" t="s">
        <v>11795</v>
      </c>
      <c r="E17" s="1" t="s">
        <v>11796</v>
      </c>
    </row>
    <row r="18" spans="1:5" x14ac:dyDescent="0.25">
      <c r="A18" t="s">
        <v>11797</v>
      </c>
      <c r="B18" t="s">
        <v>11798</v>
      </c>
      <c r="C18">
        <f>COUNTIF(tEditais[Faixa],$A18)</f>
        <v>20</v>
      </c>
      <c r="D18" s="14">
        <f>C18/DiasJanela</f>
        <v>3.3333333333333335</v>
      </c>
      <c r="E18" s="6">
        <f>IFERROR(SUMIFS(tEditais[Valor foco homologado],tEditais[Faixa],$A18)/SUM(tEditais[Valor foco homologado]),0)</f>
        <v>0.80983210212311374</v>
      </c>
    </row>
    <row r="19" spans="1:5" x14ac:dyDescent="0.25">
      <c r="A19" t="s">
        <v>11799</v>
      </c>
      <c r="B19" t="s">
        <v>11800</v>
      </c>
      <c r="C19">
        <f>COUNTIF(tEditais[Faixa],$A19)</f>
        <v>17</v>
      </c>
      <c r="D19" s="14">
        <f>C19/DiasJanela</f>
        <v>2.8333333333333335</v>
      </c>
      <c r="E19" s="6">
        <f>IFERROR(SUMIFS(tEditais[Valor foco homologado],tEditais[Faixa],$A19)/SUM(tEditais[Valor foco homologado]),0)</f>
        <v>9.4938940283373033E-2</v>
      </c>
    </row>
    <row r="20" spans="1:5" x14ac:dyDescent="0.25">
      <c r="A20" t="s">
        <v>11801</v>
      </c>
      <c r="B20" t="s">
        <v>11802</v>
      </c>
      <c r="C20">
        <f>COUNTIF(tEditais[Faixa],$A20)</f>
        <v>145</v>
      </c>
      <c r="D20" s="14">
        <f>C20/DiasJanela</f>
        <v>24.166666666666668</v>
      </c>
      <c r="E20" s="6">
        <f>IFERROR(SUMIFS(tEditais[Valor foco homologado],tEditais[Faixa],$A20)/SUM(tEditais[Valor foco homologado]),0)</f>
        <v>9.52289575935127E-2</v>
      </c>
    </row>
    <row r="22" spans="1:5" x14ac:dyDescent="0.25">
      <c r="A22" t="s">
        <v>11803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F2966-A1C3-4E6C-AB74-DBAC74549810}">
  <dimension ref="A1:U274"/>
  <sheetViews>
    <sheetView workbookViewId="0">
      <pane ySplit="1" topLeftCell="A2" activePane="bottomLeft" state="frozenSplit"/>
      <selection pane="bottomLeft"/>
    </sheetView>
  </sheetViews>
  <sheetFormatPr defaultRowHeight="15" x14ac:dyDescent="0.25"/>
  <cols>
    <col min="1" max="1" width="7.7109375" bestFit="1" customWidth="1"/>
    <col min="2" max="2" width="65.28515625" bestFit="1" customWidth="1"/>
    <col min="3" max="3" width="11.42578125" bestFit="1" customWidth="1"/>
    <col min="4" max="4" width="8.42578125" bestFit="1" customWidth="1"/>
    <col min="5" max="5" width="15.7109375" bestFit="1" customWidth="1"/>
    <col min="6" max="6" width="24" bestFit="1" customWidth="1"/>
    <col min="7" max="7" width="17.140625" bestFit="1" customWidth="1"/>
    <col min="8" max="8" width="15.42578125" bestFit="1" customWidth="1"/>
    <col min="9" max="9" width="36.28515625" bestFit="1" customWidth="1"/>
    <col min="10" max="10" width="15.5703125" bestFit="1" customWidth="1"/>
    <col min="11" max="11" width="25.140625" bestFit="1" customWidth="1"/>
    <col min="12" max="12" width="7.85546875" bestFit="1" customWidth="1"/>
    <col min="13" max="13" width="9.42578125" bestFit="1" customWidth="1"/>
    <col min="14" max="14" width="15.28515625" bestFit="1" customWidth="1"/>
    <col min="15" max="15" width="11.85546875" bestFit="1" customWidth="1"/>
    <col min="16" max="17" width="18.42578125" bestFit="1" customWidth="1"/>
    <col min="18" max="18" width="27.28515625" bestFit="1" customWidth="1"/>
    <col min="19" max="19" width="10.42578125" bestFit="1" customWidth="1"/>
    <col min="20" max="20" width="10.28515625" bestFit="1" customWidth="1"/>
    <col min="21" max="21" width="7.5703125" bestFit="1" customWidth="1"/>
  </cols>
  <sheetData>
    <row r="1" spans="1:21" x14ac:dyDescent="0.25">
      <c r="A1" t="s">
        <v>35</v>
      </c>
      <c r="B1" t="s">
        <v>36</v>
      </c>
      <c r="C1" t="s">
        <v>37</v>
      </c>
      <c r="D1" t="s">
        <v>38</v>
      </c>
      <c r="E1" t="s">
        <v>39</v>
      </c>
      <c r="F1" t="s">
        <v>40</v>
      </c>
      <c r="G1" t="s">
        <v>41</v>
      </c>
      <c r="H1" t="s">
        <v>42</v>
      </c>
      <c r="I1" t="s">
        <v>43</v>
      </c>
      <c r="J1" t="s">
        <v>44</v>
      </c>
      <c r="K1" t="s">
        <v>45</v>
      </c>
      <c r="L1" t="s">
        <v>46</v>
      </c>
      <c r="M1" t="s">
        <v>47</v>
      </c>
      <c r="N1" t="s">
        <v>48</v>
      </c>
      <c r="O1" t="s">
        <v>49</v>
      </c>
      <c r="P1" t="s">
        <v>50</v>
      </c>
      <c r="Q1" t="s">
        <v>51</v>
      </c>
      <c r="R1" t="s">
        <v>52</v>
      </c>
      <c r="S1" t="s">
        <v>53</v>
      </c>
      <c r="T1" t="s">
        <v>54</v>
      </c>
      <c r="U1" t="s">
        <v>55</v>
      </c>
    </row>
    <row r="2" spans="1:21" x14ac:dyDescent="0.25">
      <c r="A2">
        <v>1</v>
      </c>
      <c r="B2" t="s">
        <v>56</v>
      </c>
      <c r="C2" t="s">
        <v>57</v>
      </c>
      <c r="D2" s="14">
        <v>76.616900000000001</v>
      </c>
      <c r="E2" s="7">
        <v>0.71</v>
      </c>
      <c r="F2" s="7">
        <v>0.34</v>
      </c>
      <c r="G2" s="15">
        <v>0.24</v>
      </c>
      <c r="H2" s="15">
        <v>0.08</v>
      </c>
      <c r="I2" t="s">
        <v>58</v>
      </c>
      <c r="J2" s="16" t="s">
        <v>59</v>
      </c>
      <c r="K2" s="15">
        <v>6322.89</v>
      </c>
      <c r="L2" s="4">
        <f>COUNTIFS(tItens[Produto],tProdutos[[#This Row],[Produto]])</f>
        <v>377</v>
      </c>
      <c r="M2" s="4">
        <f>SUMIFS(tItens[Primeira ocorrência],tItens[Produto],tProdutos[[#This Row],[Produto]])</f>
        <v>125</v>
      </c>
      <c r="N2" s="8">
        <f>SUMIFS(tItens[Valor],tItens[Produto],tProdutos[[#This Row],[Produto]])</f>
        <v>1012391.7700000001</v>
      </c>
      <c r="O2" s="8">
        <f>SUMIFS(tItens[Valor],tItens[Produto],tProdutos[[#This Row],[Produto]],tItens[SRP],"Sim")</f>
        <v>349973.41000000009</v>
      </c>
      <c r="P2" s="6">
        <f>IF(tProdutos[[#This Row],[Valor janela]]=0,0,tProdutos[[#This Row],[Valor SRP]]/tProdutos[[#This Row],[Valor janela]])</f>
        <v>0.3456897027126169</v>
      </c>
      <c r="Q2" s="8">
        <f>tProdutos[[#This Row],[Valor janela]]*DiasMes/DiasJanela</f>
        <v>3374639.2333333339</v>
      </c>
      <c r="R2" s="8">
        <f>tProdutos[[#This Row],[Mercado mês ref]]*(1-IF(tProdutos[[#This Row],[Desconto homologado]]="",DescontoPadrao,tProdutos[[#This Row],[Desconto homologado]]))</f>
        <v>2227261.8939999999</v>
      </c>
      <c r="S2" t="str">
        <f>IF(ModoFoco="Lista",IF(tProdutos[[#This Row],[Lista definida]]="Sim","Sim","Não"),IF(AND(tProdutos[[#This Row],[Editais]]&gt;=MinEditais,N(tProdutos[[#This Row],[Margem bruta]])&gt;=MargemMin),"Sim","Não"))</f>
        <v>Sim</v>
      </c>
      <c r="T2" s="4">
        <f>IF(tProdutos[[#This Row],[Elegível]]="Sim",COUNTIFS(tProdutos[Elegível],"Sim",tProdutos[Valor janela],"&gt;"&amp;tProdutos[[#This Row],[Valor janela]])+1,"")</f>
        <v>4</v>
      </c>
      <c r="U2" t="str">
        <f>IF(ModoFoco="Lista",tProdutos[[#This Row],[Elegível]],IF(AND(tProdutos[[#This Row],[Posição]]&lt;&gt;"",N(tProdutos[[#This Row],[Posição]])&lt;=TopN),"Sim","Não"))</f>
        <v>Sim</v>
      </c>
    </row>
    <row r="3" spans="1:21" x14ac:dyDescent="0.25">
      <c r="A3">
        <v>2</v>
      </c>
      <c r="B3" t="s">
        <v>60</v>
      </c>
      <c r="C3" t="s">
        <v>57</v>
      </c>
      <c r="D3" s="14">
        <v>73.763239999999996</v>
      </c>
      <c r="E3" s="7">
        <v>0.63</v>
      </c>
      <c r="F3" s="7">
        <v>0.23</v>
      </c>
      <c r="G3" s="15">
        <v>0.28000000000000003</v>
      </c>
      <c r="H3" s="15">
        <v>0.12</v>
      </c>
      <c r="I3" t="s">
        <v>61</v>
      </c>
      <c r="J3" s="16" t="s">
        <v>59</v>
      </c>
      <c r="K3" s="15">
        <v>16096.96</v>
      </c>
      <c r="L3" s="4">
        <f>COUNTIFS(tItens[Produto],tProdutos[[#This Row],[Produto]])</f>
        <v>25</v>
      </c>
      <c r="M3" s="4">
        <f>SUMIFS(tItens[Primeira ocorrência],tItens[Produto],tProdutos[[#This Row],[Produto]])</f>
        <v>23</v>
      </c>
      <c r="N3" s="8">
        <f>SUMIFS(tItens[Valor],tItens[Produto],tProdutos[[#This Row],[Produto]])</f>
        <v>191959.59999999998</v>
      </c>
      <c r="O3" s="8">
        <f>SUMIFS(tItens[Valor],tItens[Produto],tProdutos[[#This Row],[Produto]],tItens[SRP],"Sim")</f>
        <v>174705.59999999998</v>
      </c>
      <c r="P3" s="6">
        <f>IF(tProdutos[[#This Row],[Valor janela]]=0,0,tProdutos[[#This Row],[Valor SRP]]/tProdutos[[#This Row],[Valor janela]])</f>
        <v>0.91011650368098285</v>
      </c>
      <c r="Q3" s="8">
        <f>tProdutos[[#This Row],[Valor janela]]*DiasMes/DiasJanela</f>
        <v>639865.33333333326</v>
      </c>
      <c r="R3" s="8">
        <f>tProdutos[[#This Row],[Mercado mês ref]]*(1-IF(tProdutos[[#This Row],[Desconto homologado]]="",DescontoPadrao,tProdutos[[#This Row],[Desconto homologado]]))</f>
        <v>492696.30666666664</v>
      </c>
      <c r="S3" t="str">
        <f>IF(ModoFoco="Lista",IF(tProdutos[[#This Row],[Lista definida]]="Sim","Sim","Não"),IF(AND(tProdutos[[#This Row],[Editais]]&gt;=MinEditais,N(tProdutos[[#This Row],[Margem bruta]])&gt;=MargemMin),"Sim","Não"))</f>
        <v>Sim</v>
      </c>
      <c r="T3" s="4">
        <f>IF(tProdutos[[#This Row],[Elegível]]="Sim",COUNTIFS(tProdutos[Elegível],"Sim",tProdutos[Valor janela],"&gt;"&amp;tProdutos[[#This Row],[Valor janela]])+1,"")</f>
        <v>14</v>
      </c>
      <c r="U3" t="str">
        <f>IF(ModoFoco="Lista",tProdutos[[#This Row],[Elegível]],IF(AND(tProdutos[[#This Row],[Posição]]&lt;&gt;"",N(tProdutos[[#This Row],[Posição]])&lt;=TopN),"Sim","Não"))</f>
        <v>Sim</v>
      </c>
    </row>
    <row r="4" spans="1:21" x14ac:dyDescent="0.25">
      <c r="A4">
        <v>3</v>
      </c>
      <c r="B4" t="s">
        <v>62</v>
      </c>
      <c r="C4" t="s">
        <v>57</v>
      </c>
      <c r="D4" s="14">
        <v>72.035840000000007</v>
      </c>
      <c r="E4" s="7">
        <v>0.68</v>
      </c>
      <c r="F4" s="7">
        <v>0.3</v>
      </c>
      <c r="G4" s="15">
        <v>3.22</v>
      </c>
      <c r="H4" s="15">
        <v>1.2</v>
      </c>
      <c r="I4" t="s">
        <v>63</v>
      </c>
      <c r="J4" s="16" t="s">
        <v>59</v>
      </c>
      <c r="K4" s="15">
        <v>23334.47</v>
      </c>
      <c r="L4" s="4">
        <f>COUNTIFS(tItens[Produto],tProdutos[[#This Row],[Produto]])</f>
        <v>63</v>
      </c>
      <c r="M4" s="4">
        <f>SUMIFS(tItens[Primeira ocorrência],tItens[Produto],tProdutos[[#This Row],[Produto]])</f>
        <v>41</v>
      </c>
      <c r="N4" s="8">
        <f>SUMIFS(tItens[Valor],tItens[Produto],tProdutos[[#This Row],[Produto]])</f>
        <v>651125.56000000006</v>
      </c>
      <c r="O4" s="8">
        <f>SUMIFS(tItens[Valor],tItens[Produto],tProdutos[[#This Row],[Produto]],tItens[SRP],"Sim")</f>
        <v>294446.65999999997</v>
      </c>
      <c r="P4" s="6">
        <f>IF(tProdutos[[#This Row],[Valor janela]]=0,0,tProdutos[[#This Row],[Valor SRP]]/tProdutos[[#This Row],[Valor janela]])</f>
        <v>0.4522117976753976</v>
      </c>
      <c r="Q4" s="8">
        <f>tProdutos[[#This Row],[Valor janela]]*DiasMes/DiasJanela</f>
        <v>2170418.5333333337</v>
      </c>
      <c r="R4" s="8">
        <f>tProdutos[[#This Row],[Mercado mês ref]]*(1-IF(tProdutos[[#This Row],[Desconto homologado]]="",DescontoPadrao,tProdutos[[#This Row],[Desconto homologado]]))</f>
        <v>1519292.9733333334</v>
      </c>
      <c r="S4" t="str">
        <f>IF(ModoFoco="Lista",IF(tProdutos[[#This Row],[Lista definida]]="Sim","Sim","Não"),IF(AND(tProdutos[[#This Row],[Editais]]&gt;=MinEditais,N(tProdutos[[#This Row],[Margem bruta]])&gt;=MargemMin),"Sim","Não"))</f>
        <v>Sim</v>
      </c>
      <c r="T4" s="4">
        <f>IF(tProdutos[[#This Row],[Elegível]]="Sim",COUNTIFS(tProdutos[Elegível],"Sim",tProdutos[Valor janela],"&gt;"&amp;tProdutos[[#This Row],[Valor janela]])+1,"")</f>
        <v>7</v>
      </c>
      <c r="U4" t="str">
        <f>IF(ModoFoco="Lista",tProdutos[[#This Row],[Elegível]],IF(AND(tProdutos[[#This Row],[Posição]]&lt;&gt;"",N(tProdutos[[#This Row],[Posição]])&lt;=TopN),"Sim","Não"))</f>
        <v>Sim</v>
      </c>
    </row>
    <row r="5" spans="1:21" x14ac:dyDescent="0.25">
      <c r="A5">
        <v>4</v>
      </c>
      <c r="B5" t="s">
        <v>64</v>
      </c>
      <c r="C5" t="s">
        <v>57</v>
      </c>
      <c r="D5" s="14">
        <v>69.851820000000004</v>
      </c>
      <c r="E5" s="7">
        <v>0.69795802609188884</v>
      </c>
      <c r="F5" s="7">
        <v>0.28197166699010301</v>
      </c>
      <c r="G5" s="15">
        <v>0.34399999999999997</v>
      </c>
      <c r="H5" s="15">
        <v>0.12</v>
      </c>
      <c r="I5" t="s">
        <v>65</v>
      </c>
      <c r="J5" s="16" t="s">
        <v>66</v>
      </c>
      <c r="K5" s="15"/>
      <c r="L5" s="4">
        <f>COUNTIFS(tItens[Produto],tProdutos[[#This Row],[Produto]])</f>
        <v>10</v>
      </c>
      <c r="M5" s="4">
        <f>SUMIFS(tItens[Primeira ocorrência],tItens[Produto],tProdutos[[#This Row],[Produto]])</f>
        <v>6</v>
      </c>
      <c r="N5" s="8">
        <f>SUMIFS(tItens[Valor],tItens[Produto],tProdutos[[#This Row],[Produto]])</f>
        <v>313322</v>
      </c>
      <c r="O5" s="8">
        <f>SUMIFS(tItens[Valor],tItens[Produto],tProdutos[[#This Row],[Produto]],tItens[SRP],"Sim")</f>
        <v>0</v>
      </c>
      <c r="P5" s="6">
        <f>IF(tProdutos[[#This Row],[Valor janela]]=0,0,tProdutos[[#This Row],[Valor SRP]]/tProdutos[[#This Row],[Valor janela]])</f>
        <v>0</v>
      </c>
      <c r="Q5" s="8">
        <f>tProdutos[[#This Row],[Valor janela]]*DiasMes/DiasJanela</f>
        <v>1044406.6666666666</v>
      </c>
      <c r="R5" s="8">
        <f>tProdutos[[#This Row],[Mercado mês ref]]*(1-IF(tProdutos[[#This Row],[Desconto homologado]]="",DescontoPadrao,tProdutos[[#This Row],[Desconto homologado]]))</f>
        <v>749913.57785108977</v>
      </c>
      <c r="S5" t="str">
        <f>IF(ModoFoco="Lista",IF(tProdutos[[#This Row],[Lista definida]]="Sim","Sim","Não"),IF(AND(tProdutos[[#This Row],[Editais]]&gt;=MinEditais,N(tProdutos[[#This Row],[Margem bruta]])&gt;=MargemMin),"Sim","Não"))</f>
        <v>Não</v>
      </c>
      <c r="T5" s="4" t="str">
        <f>IF(tProdutos[[#This Row],[Elegível]]="Sim",COUNTIFS(tProdutos[Elegível],"Sim",tProdutos[Valor janela],"&gt;"&amp;tProdutos[[#This Row],[Valor janela]])+1,"")</f>
        <v/>
      </c>
      <c r="U5" t="str">
        <f>IF(ModoFoco="Lista",tProdutos[[#This Row],[Elegível]],IF(AND(tProdutos[[#This Row],[Posição]]&lt;&gt;"",N(tProdutos[[#This Row],[Posição]])&lt;=TopN),"Sim","Não"))</f>
        <v>Não</v>
      </c>
    </row>
    <row r="6" spans="1:21" x14ac:dyDescent="0.25">
      <c r="A6">
        <v>5</v>
      </c>
      <c r="B6" t="s">
        <v>67</v>
      </c>
      <c r="C6" t="s">
        <v>57</v>
      </c>
      <c r="D6" s="14">
        <v>69.333312433945736</v>
      </c>
      <c r="E6" s="7">
        <v>0.79832601121042268</v>
      </c>
      <c r="F6" s="7">
        <v>0.35766423357664201</v>
      </c>
      <c r="G6" s="15">
        <v>6.44</v>
      </c>
      <c r="H6" s="15">
        <v>1.5</v>
      </c>
      <c r="I6" t="s">
        <v>68</v>
      </c>
      <c r="J6" s="16" t="s">
        <v>66</v>
      </c>
      <c r="K6" s="15"/>
      <c r="L6" s="4">
        <f>COUNTIFS(tItens[Produto],tProdutos[[#This Row],[Produto]])</f>
        <v>21</v>
      </c>
      <c r="M6" s="4">
        <f>SUMIFS(tItens[Primeira ocorrência],tItens[Produto],tProdutos[[#This Row],[Produto]])</f>
        <v>13</v>
      </c>
      <c r="N6" s="8">
        <f>SUMIFS(tItens[Valor],tItens[Produto],tProdutos[[#This Row],[Produto]])</f>
        <v>62758.02</v>
      </c>
      <c r="O6" s="8">
        <f>SUMIFS(tItens[Valor],tItens[Produto],tProdutos[[#This Row],[Produto]],tItens[SRP],"Sim")</f>
        <v>16240.14</v>
      </c>
      <c r="P6" s="6">
        <f>IF(tProdutos[[#This Row],[Valor janela]]=0,0,tProdutos[[#This Row],[Valor SRP]]/tProdutos[[#This Row],[Valor janela]])</f>
        <v>0.25877393837472884</v>
      </c>
      <c r="Q6" s="8">
        <f>tProdutos[[#This Row],[Valor janela]]*DiasMes/DiasJanela</f>
        <v>209193.4</v>
      </c>
      <c r="R6" s="8">
        <f>tProdutos[[#This Row],[Mercado mês ref]]*(1-IF(tProdutos[[#This Row],[Desconto homologado]]="",DescontoPadrao,tProdutos[[#This Row],[Desconto homologado]]))</f>
        <v>134372.40291970808</v>
      </c>
      <c r="S6" t="str">
        <f>IF(ModoFoco="Lista",IF(tProdutos[[#This Row],[Lista definida]]="Sim","Sim","Não"),IF(AND(tProdutos[[#This Row],[Editais]]&gt;=MinEditais,N(tProdutos[[#This Row],[Margem bruta]])&gt;=MargemMin),"Sim","Não"))</f>
        <v>Não</v>
      </c>
      <c r="T6" s="4" t="str">
        <f>IF(tProdutos[[#This Row],[Elegível]]="Sim",COUNTIFS(tProdutos[Elegível],"Sim",tProdutos[Valor janela],"&gt;"&amp;tProdutos[[#This Row],[Valor janela]])+1,"")</f>
        <v/>
      </c>
      <c r="U6" t="str">
        <f>IF(ModoFoco="Lista",tProdutos[[#This Row],[Elegível]],IF(AND(tProdutos[[#This Row],[Posição]]&lt;&gt;"",N(tProdutos[[#This Row],[Posição]])&lt;=TopN),"Sim","Não"))</f>
        <v>Não</v>
      </c>
    </row>
    <row r="7" spans="1:21" x14ac:dyDescent="0.25">
      <c r="A7">
        <v>6</v>
      </c>
      <c r="B7" t="s">
        <v>69</v>
      </c>
      <c r="C7" t="s">
        <v>57</v>
      </c>
      <c r="D7" s="14">
        <v>69.308359999999993</v>
      </c>
      <c r="E7" s="7">
        <v>0.63311285655229432</v>
      </c>
      <c r="F7" s="7">
        <v>0.38829259638568803</v>
      </c>
      <c r="G7" s="15">
        <v>0.59</v>
      </c>
      <c r="H7" s="15">
        <v>0.25</v>
      </c>
      <c r="I7" t="s">
        <v>70</v>
      </c>
      <c r="J7" s="16" t="s">
        <v>66</v>
      </c>
      <c r="K7" s="15"/>
      <c r="L7" s="4">
        <f>COUNTIFS(tItens[Produto],tProdutos[[#This Row],[Produto]])</f>
        <v>82</v>
      </c>
      <c r="M7" s="4">
        <f>SUMIFS(tItens[Primeira ocorrência],tItens[Produto],tProdutos[[#This Row],[Produto]])</f>
        <v>20</v>
      </c>
      <c r="N7" s="8">
        <f>SUMIFS(tItens[Valor],tItens[Produto],tProdutos[[#This Row],[Produto]])</f>
        <v>359968.08000000007</v>
      </c>
      <c r="O7" s="8">
        <f>SUMIFS(tItens[Valor],tItens[Produto],tProdutos[[#This Row],[Produto]],tItens[SRP],"Sim")</f>
        <v>211671.02999999997</v>
      </c>
      <c r="P7" s="6">
        <f>IF(tProdutos[[#This Row],[Valor janela]]=0,0,tProdutos[[#This Row],[Valor SRP]]/tProdutos[[#This Row],[Valor janela]])</f>
        <v>0.58802722174699473</v>
      </c>
      <c r="Q7" s="8">
        <f>tProdutos[[#This Row],[Valor janela]]*DiasMes/DiasJanela</f>
        <v>1199893.6000000003</v>
      </c>
      <c r="R7" s="8">
        <f>tProdutos[[#This Row],[Mercado mês ref]]*(1-IF(tProdutos[[#This Row],[Desconto homologado]]="",DescontoPadrao,tProdutos[[#This Row],[Desconto homologado]]))</f>
        <v>733983.79866942996</v>
      </c>
      <c r="S7" t="str">
        <f>IF(ModoFoco="Lista",IF(tProdutos[[#This Row],[Lista definida]]="Sim","Sim","Não"),IF(AND(tProdutos[[#This Row],[Editais]]&gt;=MinEditais,N(tProdutos[[#This Row],[Margem bruta]])&gt;=MargemMin),"Sim","Não"))</f>
        <v>Não</v>
      </c>
      <c r="T7" s="4" t="str">
        <f>IF(tProdutos[[#This Row],[Elegível]]="Sim",COUNTIFS(tProdutos[Elegível],"Sim",tProdutos[Valor janela],"&gt;"&amp;tProdutos[[#This Row],[Valor janela]])+1,"")</f>
        <v/>
      </c>
      <c r="U7" t="str">
        <f>IF(ModoFoco="Lista",tProdutos[[#This Row],[Elegível]],IF(AND(tProdutos[[#This Row],[Posição]]&lt;&gt;"",N(tProdutos[[#This Row],[Posição]])&lt;=TopN),"Sim","Não"))</f>
        <v>Não</v>
      </c>
    </row>
    <row r="8" spans="1:21" x14ac:dyDescent="0.25">
      <c r="A8">
        <v>7</v>
      </c>
      <c r="B8" t="s">
        <v>71</v>
      </c>
      <c r="C8" t="s">
        <v>57</v>
      </c>
      <c r="D8" s="14">
        <v>68.942799999999991</v>
      </c>
      <c r="E8" s="7">
        <v>0.60997582948802465</v>
      </c>
      <c r="F8" s="7">
        <v>0.44981412639405199</v>
      </c>
      <c r="G8" s="15">
        <v>0.222</v>
      </c>
      <c r="H8" s="15">
        <v>0.1</v>
      </c>
      <c r="I8" t="s">
        <v>72</v>
      </c>
      <c r="J8" s="16" t="s">
        <v>66</v>
      </c>
      <c r="K8" s="15"/>
      <c r="L8" s="4">
        <f>COUNTIFS(tItens[Produto],tProdutos[[#This Row],[Produto]])</f>
        <v>38</v>
      </c>
      <c r="M8" s="4">
        <f>SUMIFS(tItens[Primeira ocorrência],tItens[Produto],tProdutos[[#This Row],[Produto]])</f>
        <v>37</v>
      </c>
      <c r="N8" s="8">
        <f>SUMIFS(tItens[Valor],tItens[Produto],tProdutos[[#This Row],[Produto]])</f>
        <v>145202.81</v>
      </c>
      <c r="O8" s="8">
        <f>SUMIFS(tItens[Valor],tItens[Produto],tProdutos[[#This Row],[Produto]],tItens[SRP],"Sim")</f>
        <v>110851.84000000001</v>
      </c>
      <c r="P8" s="6">
        <f>IF(tProdutos[[#This Row],[Valor janela]]=0,0,tProdutos[[#This Row],[Valor SRP]]/tProdutos[[#This Row],[Valor janela]])</f>
        <v>0.76342764991944723</v>
      </c>
      <c r="Q8" s="8">
        <f>tProdutos[[#This Row],[Valor janela]]*DiasMes/DiasJanela</f>
        <v>484009.3666666667</v>
      </c>
      <c r="R8" s="8">
        <f>tProdutos[[#This Row],[Mercado mês ref]]*(1-IF(tProdutos[[#This Row],[Desconto homologado]]="",DescontoPadrao,tProdutos[[#This Row],[Desconto homologado]]))</f>
        <v>266295.11623296159</v>
      </c>
      <c r="S8" t="str">
        <f>IF(ModoFoco="Lista",IF(tProdutos[[#This Row],[Lista definida]]="Sim","Sim","Não"),IF(AND(tProdutos[[#This Row],[Editais]]&gt;=MinEditais,N(tProdutos[[#This Row],[Margem bruta]])&gt;=MargemMin),"Sim","Não"))</f>
        <v>Não</v>
      </c>
      <c r="T8" s="4" t="str">
        <f>IF(tProdutos[[#This Row],[Elegível]]="Sim",COUNTIFS(tProdutos[Elegível],"Sim",tProdutos[Valor janela],"&gt;"&amp;tProdutos[[#This Row],[Valor janela]])+1,"")</f>
        <v/>
      </c>
      <c r="U8" t="str">
        <f>IF(ModoFoco="Lista",tProdutos[[#This Row],[Elegível]],IF(AND(tProdutos[[#This Row],[Posição]]&lt;&gt;"",N(tProdutos[[#This Row],[Posição]])&lt;=TopN),"Sim","Não"))</f>
        <v>Não</v>
      </c>
    </row>
    <row r="9" spans="1:21" x14ac:dyDescent="0.25">
      <c r="A9">
        <v>8</v>
      </c>
      <c r="B9" t="s">
        <v>73</v>
      </c>
      <c r="C9" t="s">
        <v>57</v>
      </c>
      <c r="D9" s="14">
        <v>68.852019999999996</v>
      </c>
      <c r="E9" s="7">
        <v>0.63</v>
      </c>
      <c r="F9" s="7">
        <v>0.37</v>
      </c>
      <c r="G9" s="15">
        <v>1.05</v>
      </c>
      <c r="H9" s="15">
        <v>0.45</v>
      </c>
      <c r="I9" t="s">
        <v>74</v>
      </c>
      <c r="J9" s="16" t="s">
        <v>59</v>
      </c>
      <c r="K9" s="15">
        <v>7672.7</v>
      </c>
      <c r="L9" s="4">
        <f>COUNTIFS(tItens[Produto],tProdutos[[#This Row],[Produto]])</f>
        <v>87</v>
      </c>
      <c r="M9" s="4">
        <f>SUMIFS(tItens[Primeira ocorrência],tItens[Produto],tProdutos[[#This Row],[Produto]])</f>
        <v>52</v>
      </c>
      <c r="N9" s="8">
        <f>SUMIFS(tItens[Valor],tItens[Produto],tProdutos[[#This Row],[Produto]])</f>
        <v>318415.02</v>
      </c>
      <c r="O9" s="8">
        <f>SUMIFS(tItens[Valor],tItens[Produto],tProdutos[[#This Row],[Produto]],tItens[SRP],"Sim")</f>
        <v>187693.72000000003</v>
      </c>
      <c r="P9" s="6">
        <f>IF(tProdutos[[#This Row],[Valor janela]]=0,0,tProdutos[[#This Row],[Valor SRP]]/tProdutos[[#This Row],[Valor janela]])</f>
        <v>0.589462519701489</v>
      </c>
      <c r="Q9" s="8">
        <f>tProdutos[[#This Row],[Valor janela]]*DiasMes/DiasJanela</f>
        <v>1061383.4000000001</v>
      </c>
      <c r="R9" s="8">
        <f>tProdutos[[#This Row],[Mercado mês ref]]*(1-IF(tProdutos[[#This Row],[Desconto homologado]]="",DescontoPadrao,tProdutos[[#This Row],[Desconto homologado]]))</f>
        <v>668671.54200000013</v>
      </c>
      <c r="S9" t="str">
        <f>IF(ModoFoco="Lista",IF(tProdutos[[#This Row],[Lista definida]]="Sim","Sim","Não"),IF(AND(tProdutos[[#This Row],[Editais]]&gt;=MinEditais,N(tProdutos[[#This Row],[Margem bruta]])&gt;=MargemMin),"Sim","Não"))</f>
        <v>Sim</v>
      </c>
      <c r="T9" s="4">
        <f>IF(tProdutos[[#This Row],[Elegível]]="Sim",COUNTIFS(tProdutos[Elegível],"Sim",tProdutos[Valor janela],"&gt;"&amp;tProdutos[[#This Row],[Valor janela]])+1,"")</f>
        <v>11</v>
      </c>
      <c r="U9" t="str">
        <f>IF(ModoFoco="Lista",tProdutos[[#This Row],[Elegível]],IF(AND(tProdutos[[#This Row],[Posição]]&lt;&gt;"",N(tProdutos[[#This Row],[Posição]])&lt;=TopN),"Sim","Não"))</f>
        <v>Sim</v>
      </c>
    </row>
    <row r="10" spans="1:21" x14ac:dyDescent="0.25">
      <c r="A10">
        <v>9</v>
      </c>
      <c r="B10" t="s">
        <v>75</v>
      </c>
      <c r="C10" t="s">
        <v>57</v>
      </c>
      <c r="D10" s="14">
        <v>68.371100000000013</v>
      </c>
      <c r="E10" s="7">
        <v>0.56999999999999995</v>
      </c>
      <c r="F10" s="7">
        <v>0.26</v>
      </c>
      <c r="G10" s="15">
        <v>1.31</v>
      </c>
      <c r="H10" s="15">
        <v>0.65</v>
      </c>
      <c r="I10" t="s">
        <v>76</v>
      </c>
      <c r="J10" s="16" t="s">
        <v>59</v>
      </c>
      <c r="K10" s="15">
        <v>8910.77</v>
      </c>
      <c r="L10" s="4">
        <f>COUNTIFS(tItens[Produto],tProdutos[[#This Row],[Produto]])</f>
        <v>169</v>
      </c>
      <c r="M10" s="4">
        <f>SUMIFS(tItens[Primeira ocorrência],tItens[Produto],tProdutos[[#This Row],[Produto]])</f>
        <v>60</v>
      </c>
      <c r="N10" s="8">
        <f>SUMIFS(tItens[Valor],tItens[Produto],tProdutos[[#This Row],[Produto]])</f>
        <v>792064.20000000007</v>
      </c>
      <c r="O10" s="8">
        <f>SUMIFS(tItens[Valor],tItens[Produto],tProdutos[[#This Row],[Produto]],tItens[SRP],"Sim")</f>
        <v>544723.18000000005</v>
      </c>
      <c r="P10" s="6">
        <f>IF(tProdutos[[#This Row],[Valor janela]]=0,0,tProdutos[[#This Row],[Valor SRP]]/tProdutos[[#This Row],[Valor janela]])</f>
        <v>0.68772604543924598</v>
      </c>
      <c r="Q10" s="8">
        <f>tProdutos[[#This Row],[Valor janela]]*DiasMes/DiasJanela</f>
        <v>2640214.0000000005</v>
      </c>
      <c r="R10" s="8">
        <f>tProdutos[[#This Row],[Mercado mês ref]]*(1-IF(tProdutos[[#This Row],[Desconto homologado]]="",DescontoPadrao,tProdutos[[#This Row],[Desconto homologado]]))</f>
        <v>1953758.3600000003</v>
      </c>
      <c r="S10" t="str">
        <f>IF(ModoFoco="Lista",IF(tProdutos[[#This Row],[Lista definida]]="Sim","Sim","Não"),IF(AND(tProdutos[[#This Row],[Editais]]&gt;=MinEditais,N(tProdutos[[#This Row],[Margem bruta]])&gt;=MargemMin),"Sim","Não"))</f>
        <v>Sim</v>
      </c>
      <c r="T10" s="4">
        <f>IF(tProdutos[[#This Row],[Elegível]]="Sim",COUNTIFS(tProdutos[Elegível],"Sim",tProdutos[Valor janela],"&gt;"&amp;tProdutos[[#This Row],[Valor janela]])+1,"")</f>
        <v>6</v>
      </c>
      <c r="U10" t="str">
        <f>IF(ModoFoco="Lista",tProdutos[[#This Row],[Elegível]],IF(AND(tProdutos[[#This Row],[Posição]]&lt;&gt;"",N(tProdutos[[#This Row],[Posição]])&lt;=TopN),"Sim","Não"))</f>
        <v>Sim</v>
      </c>
    </row>
    <row r="11" spans="1:21" x14ac:dyDescent="0.25">
      <c r="A11">
        <v>10</v>
      </c>
      <c r="B11" t="s">
        <v>77</v>
      </c>
      <c r="C11" t="s">
        <v>78</v>
      </c>
      <c r="D11" s="14">
        <v>68.311700000000002</v>
      </c>
      <c r="E11" s="7">
        <v>0.55000000000000004</v>
      </c>
      <c r="F11" s="7">
        <v>0.33</v>
      </c>
      <c r="G11" s="15">
        <v>3.46</v>
      </c>
      <c r="H11" s="15">
        <v>1.8</v>
      </c>
      <c r="I11" t="s">
        <v>79</v>
      </c>
      <c r="J11" s="16" t="s">
        <v>59</v>
      </c>
      <c r="K11" s="15">
        <v>31696.46</v>
      </c>
      <c r="L11" s="4">
        <f>COUNTIFS(tItens[Produto],tProdutos[[#This Row],[Produto]])</f>
        <v>92</v>
      </c>
      <c r="M11" s="4">
        <f>SUMIFS(tItens[Primeira ocorrência],tItens[Produto],tProdutos[[#This Row],[Produto]])</f>
        <v>54</v>
      </c>
      <c r="N11" s="8">
        <f>SUMIFS(tItens[Valor],tItens[Produto],tProdutos[[#This Row],[Produto]])</f>
        <v>1591871.2699999998</v>
      </c>
      <c r="O11" s="8">
        <f>SUMIFS(tItens[Valor],tItens[Produto],tProdutos[[#This Row],[Produto]],tItens[SRP],"Sim")</f>
        <v>1258486.93</v>
      </c>
      <c r="P11" s="6">
        <f>IF(tProdutos[[#This Row],[Valor janela]]=0,0,tProdutos[[#This Row],[Valor SRP]]/tProdutos[[#This Row],[Valor janela]])</f>
        <v>0.79057079156909471</v>
      </c>
      <c r="Q11" s="8">
        <f>tProdutos[[#This Row],[Valor janela]]*DiasMes/DiasJanela</f>
        <v>5306237.5666666655</v>
      </c>
      <c r="R11" s="8">
        <f>tProdutos[[#This Row],[Mercado mês ref]]*(1-IF(tProdutos[[#This Row],[Desconto homologado]]="",DescontoPadrao,tProdutos[[#This Row],[Desconto homologado]]))</f>
        <v>3555179.1696666656</v>
      </c>
      <c r="S11" t="str">
        <f>IF(ModoFoco="Lista",IF(tProdutos[[#This Row],[Lista definida]]="Sim","Sim","Não"),IF(AND(tProdutos[[#This Row],[Editais]]&gt;=MinEditais,N(tProdutos[[#This Row],[Margem bruta]])&gt;=MargemMin),"Sim","Não"))</f>
        <v>Sim</v>
      </c>
      <c r="T11" s="4">
        <f>IF(tProdutos[[#This Row],[Elegível]]="Sim",COUNTIFS(tProdutos[Elegível],"Sim",tProdutos[Valor janela],"&gt;"&amp;tProdutos[[#This Row],[Valor janela]])+1,"")</f>
        <v>2</v>
      </c>
      <c r="U11" t="str">
        <f>IF(ModoFoco="Lista",tProdutos[[#This Row],[Elegível]],IF(AND(tProdutos[[#This Row],[Posição]]&lt;&gt;"",N(tProdutos[[#This Row],[Posição]])&lt;=TopN),"Sim","Não"))</f>
        <v>Sim</v>
      </c>
    </row>
    <row r="12" spans="1:21" x14ac:dyDescent="0.25">
      <c r="A12">
        <v>11</v>
      </c>
      <c r="B12" t="s">
        <v>80</v>
      </c>
      <c r="C12" t="s">
        <v>57</v>
      </c>
      <c r="D12" s="14">
        <v>67.747060384325422</v>
      </c>
      <c r="E12" s="7">
        <v>0.54</v>
      </c>
      <c r="F12" s="7">
        <v>0.33</v>
      </c>
      <c r="G12" s="15">
        <v>0.34</v>
      </c>
      <c r="H12" s="15">
        <v>0.18</v>
      </c>
      <c r="I12" t="s">
        <v>81</v>
      </c>
      <c r="J12" s="16" t="s">
        <v>59</v>
      </c>
      <c r="K12" s="15">
        <v>2119.44</v>
      </c>
      <c r="L12" s="4">
        <f>COUNTIFS(tItens[Produto],tProdutos[[#This Row],[Produto]])</f>
        <v>36</v>
      </c>
      <c r="M12" s="4">
        <f>SUMIFS(tItens[Primeira ocorrência],tItens[Produto],tProdutos[[#This Row],[Produto]])</f>
        <v>24</v>
      </c>
      <c r="N12" s="8">
        <f>SUMIFS(tItens[Valor],tItens[Produto],tProdutos[[#This Row],[Produto]])</f>
        <v>42263.09</v>
      </c>
      <c r="O12" s="8">
        <f>SUMIFS(tItens[Valor],tItens[Produto],tProdutos[[#This Row],[Produto]],tItens[SRP],"Sim")</f>
        <v>17057.240000000002</v>
      </c>
      <c r="P12" s="6">
        <f>IF(tProdutos[[#This Row],[Valor janela]]=0,0,tProdutos[[#This Row],[Valor SRP]]/tProdutos[[#This Row],[Valor janela]])</f>
        <v>0.4035966134989184</v>
      </c>
      <c r="Q12" s="8">
        <f>tProdutos[[#This Row],[Valor janela]]*DiasMes/DiasJanela</f>
        <v>140876.96666666665</v>
      </c>
      <c r="R12" s="8">
        <f>tProdutos[[#This Row],[Mercado mês ref]]*(1-IF(tProdutos[[#This Row],[Desconto homologado]]="",DescontoPadrao,tProdutos[[#This Row],[Desconto homologado]]))</f>
        <v>94387.56766666664</v>
      </c>
      <c r="S12" t="str">
        <f>IF(ModoFoco="Lista",IF(tProdutos[[#This Row],[Lista definida]]="Sim","Sim","Não"),IF(AND(tProdutos[[#This Row],[Editais]]&gt;=MinEditais,N(tProdutos[[#This Row],[Margem bruta]])&gt;=MargemMin),"Sim","Não"))</f>
        <v>Sim</v>
      </c>
      <c r="T12" s="4">
        <f>IF(tProdutos[[#This Row],[Elegível]]="Sim",COUNTIFS(tProdutos[Elegível],"Sim",tProdutos[Valor janela],"&gt;"&amp;tProdutos[[#This Row],[Valor janela]])+1,"")</f>
        <v>17</v>
      </c>
      <c r="U12" t="str">
        <f>IF(ModoFoco="Lista",tProdutos[[#This Row],[Elegível]],IF(AND(tProdutos[[#This Row],[Posição]]&lt;&gt;"",N(tProdutos[[#This Row],[Posição]])&lt;=TopN),"Sim","Não"))</f>
        <v>Sim</v>
      </c>
    </row>
    <row r="13" spans="1:21" x14ac:dyDescent="0.25">
      <c r="A13">
        <v>12</v>
      </c>
      <c r="B13" t="s">
        <v>82</v>
      </c>
      <c r="C13" t="s">
        <v>57</v>
      </c>
      <c r="D13" s="14">
        <v>67.61048000000001</v>
      </c>
      <c r="E13" s="7">
        <v>0.60997582948802465</v>
      </c>
      <c r="F13" s="7">
        <v>0.40487090276506099</v>
      </c>
      <c r="G13" s="15">
        <v>0.222</v>
      </c>
      <c r="H13" s="15">
        <v>0.1</v>
      </c>
      <c r="I13" t="s">
        <v>83</v>
      </c>
      <c r="J13" s="16" t="s">
        <v>66</v>
      </c>
      <c r="K13" s="15"/>
      <c r="L13" s="4">
        <f>COUNTIFS(tItens[Produto],tProdutos[[#This Row],[Produto]])</f>
        <v>30</v>
      </c>
      <c r="M13" s="4">
        <f>SUMIFS(tItens[Primeira ocorrência],tItens[Produto],tProdutos[[#This Row],[Produto]])</f>
        <v>22</v>
      </c>
      <c r="N13" s="8">
        <f>SUMIFS(tItens[Valor],tItens[Produto],tProdutos[[#This Row],[Produto]])</f>
        <v>63789.69999999999</v>
      </c>
      <c r="O13" s="8">
        <f>SUMIFS(tItens[Valor],tItens[Produto],tProdutos[[#This Row],[Produto]],tItens[SRP],"Sim")</f>
        <v>38717.440000000002</v>
      </c>
      <c r="P13" s="6">
        <f>IF(tProdutos[[#This Row],[Valor janela]]=0,0,tProdutos[[#This Row],[Valor SRP]]/tProdutos[[#This Row],[Valor janela]])</f>
        <v>0.60695441427064256</v>
      </c>
      <c r="Q13" s="8">
        <f>tProdutos[[#This Row],[Valor janela]]*DiasMes/DiasJanela</f>
        <v>212632.33333333328</v>
      </c>
      <c r="R13" s="8">
        <f>tProdutos[[#This Row],[Mercado mês ref]]*(1-IF(tProdutos[[#This Row],[Desconto homologado]]="",DescontoPadrao,tProdutos[[#This Row],[Desconto homologado]]))</f>
        <v>126543.68857962526</v>
      </c>
      <c r="S13" t="str">
        <f>IF(ModoFoco="Lista",IF(tProdutos[[#This Row],[Lista definida]]="Sim","Sim","Não"),IF(AND(tProdutos[[#This Row],[Editais]]&gt;=MinEditais,N(tProdutos[[#This Row],[Margem bruta]])&gt;=MargemMin),"Sim","Não"))</f>
        <v>Não</v>
      </c>
      <c r="T13" s="4" t="str">
        <f>IF(tProdutos[[#This Row],[Elegível]]="Sim",COUNTIFS(tProdutos[Elegível],"Sim",tProdutos[Valor janela],"&gt;"&amp;tProdutos[[#This Row],[Valor janela]])+1,"")</f>
        <v/>
      </c>
      <c r="U13" t="str">
        <f>IF(ModoFoco="Lista",tProdutos[[#This Row],[Elegível]],IF(AND(tProdutos[[#This Row],[Posição]]&lt;&gt;"",N(tProdutos[[#This Row],[Posição]])&lt;=TopN),"Sim","Não"))</f>
        <v>Não</v>
      </c>
    </row>
    <row r="14" spans="1:21" x14ac:dyDescent="0.25">
      <c r="A14">
        <v>13</v>
      </c>
      <c r="B14" t="s">
        <v>84</v>
      </c>
      <c r="C14" t="s">
        <v>57</v>
      </c>
      <c r="D14" s="14">
        <v>67.417600000000007</v>
      </c>
      <c r="E14" s="7">
        <v>0.62354188759278906</v>
      </c>
      <c r="F14" s="7">
        <v>0.167049390152086</v>
      </c>
      <c r="G14" s="15">
        <v>5.75</v>
      </c>
      <c r="H14" s="15">
        <v>2.5</v>
      </c>
      <c r="I14" t="s">
        <v>85</v>
      </c>
      <c r="J14" s="16" t="s">
        <v>66</v>
      </c>
      <c r="K14" s="15"/>
      <c r="L14" s="4">
        <f>COUNTIFS(tItens[Produto],tProdutos[[#This Row],[Produto]])</f>
        <v>0</v>
      </c>
      <c r="M14" s="4">
        <f>SUMIFS(tItens[Primeira ocorrência],tItens[Produto],tProdutos[[#This Row],[Produto]])</f>
        <v>0</v>
      </c>
      <c r="N14" s="8">
        <f>SUMIFS(tItens[Valor],tItens[Produto],tProdutos[[#This Row],[Produto]])</f>
        <v>0</v>
      </c>
      <c r="O14" s="8">
        <f>SUMIFS(tItens[Valor],tItens[Produto],tProdutos[[#This Row],[Produto]],tItens[SRP],"Sim")</f>
        <v>0</v>
      </c>
      <c r="P14" s="6">
        <f>IF(tProdutos[[#This Row],[Valor janela]]=0,0,tProdutos[[#This Row],[Valor SRP]]/tProdutos[[#This Row],[Valor janela]])</f>
        <v>0</v>
      </c>
      <c r="Q14" s="8">
        <f>tProdutos[[#This Row],[Valor janela]]*DiasMes/DiasJanela</f>
        <v>0</v>
      </c>
      <c r="R14" s="8">
        <f>tProdutos[[#This Row],[Mercado mês ref]]*(1-IF(tProdutos[[#This Row],[Desconto homologado]]="",DescontoPadrao,tProdutos[[#This Row],[Desconto homologado]]))</f>
        <v>0</v>
      </c>
      <c r="S14" t="str">
        <f>IF(ModoFoco="Lista",IF(tProdutos[[#This Row],[Lista definida]]="Sim","Sim","Não"),IF(AND(tProdutos[[#This Row],[Editais]]&gt;=MinEditais,N(tProdutos[[#This Row],[Margem bruta]])&gt;=MargemMin),"Sim","Não"))</f>
        <v>Não</v>
      </c>
      <c r="T14" s="4" t="str">
        <f>IF(tProdutos[[#This Row],[Elegível]]="Sim",COUNTIFS(tProdutos[Elegível],"Sim",tProdutos[Valor janela],"&gt;"&amp;tProdutos[[#This Row],[Valor janela]])+1,"")</f>
        <v/>
      </c>
      <c r="U14" t="str">
        <f>IF(ModoFoco="Lista",tProdutos[[#This Row],[Elegível]],IF(AND(tProdutos[[#This Row],[Posição]]&lt;&gt;"",N(tProdutos[[#This Row],[Posição]])&lt;=TopN),"Sim","Não"))</f>
        <v>Não</v>
      </c>
    </row>
    <row r="15" spans="1:21" x14ac:dyDescent="0.25">
      <c r="A15">
        <v>14</v>
      </c>
      <c r="B15" t="s">
        <v>86</v>
      </c>
      <c r="C15" t="s">
        <v>57</v>
      </c>
      <c r="D15" s="14">
        <v>66.749920000000003</v>
      </c>
      <c r="E15" s="7">
        <v>0.47967479674796742</v>
      </c>
      <c r="F15" s="7">
        <v>0.20202020202020199</v>
      </c>
      <c r="G15" s="15">
        <v>0.15</v>
      </c>
      <c r="H15" s="15">
        <v>0.08</v>
      </c>
      <c r="I15" t="s">
        <v>87</v>
      </c>
      <c r="J15" s="16" t="s">
        <v>66</v>
      </c>
      <c r="K15" s="15"/>
      <c r="L15" s="4">
        <f>COUNTIFS(tItens[Produto],tProdutos[[#This Row],[Produto]])</f>
        <v>20</v>
      </c>
      <c r="M15" s="4">
        <f>SUMIFS(tItens[Primeira ocorrência],tItens[Produto],tProdutos[[#This Row],[Produto]])</f>
        <v>17</v>
      </c>
      <c r="N15" s="8">
        <f>SUMIFS(tItens[Valor],tItens[Produto],tProdutos[[#This Row],[Produto]])</f>
        <v>274852.61</v>
      </c>
      <c r="O15" s="8">
        <f>SUMIFS(tItens[Valor],tItens[Produto],tProdutos[[#This Row],[Produto]],tItens[SRP],"Sim")</f>
        <v>267458.17</v>
      </c>
      <c r="P15" s="6">
        <f>IF(tProdutos[[#This Row],[Valor janela]]=0,0,tProdutos[[#This Row],[Valor SRP]]/tProdutos[[#This Row],[Valor janela]])</f>
        <v>0.97309670808656323</v>
      </c>
      <c r="Q15" s="8">
        <f>tProdutos[[#This Row],[Valor janela]]*DiasMes/DiasJanela</f>
        <v>916175.36666666658</v>
      </c>
      <c r="R15" s="8">
        <f>tProdutos[[#This Row],[Mercado mês ref]]*(1-IF(tProdutos[[#This Row],[Desconto homologado]]="",DescontoPadrao,tProdutos[[#This Row],[Desconto homologado]]))</f>
        <v>731089.43400673394</v>
      </c>
      <c r="S15" t="str">
        <f>IF(ModoFoco="Lista",IF(tProdutos[[#This Row],[Lista definida]]="Sim","Sim","Não"),IF(AND(tProdutos[[#This Row],[Editais]]&gt;=MinEditais,N(tProdutos[[#This Row],[Margem bruta]])&gt;=MargemMin),"Sim","Não"))</f>
        <v>Não</v>
      </c>
      <c r="T15" s="4" t="str">
        <f>IF(tProdutos[[#This Row],[Elegível]]="Sim",COUNTIFS(tProdutos[Elegível],"Sim",tProdutos[Valor janela],"&gt;"&amp;tProdutos[[#This Row],[Valor janela]])+1,"")</f>
        <v/>
      </c>
      <c r="U15" t="str">
        <f>IF(ModoFoco="Lista",tProdutos[[#This Row],[Elegível]],IF(AND(tProdutos[[#This Row],[Posição]]&lt;&gt;"",N(tProdutos[[#This Row],[Posição]])&lt;=TopN),"Sim","Não"))</f>
        <v>Não</v>
      </c>
    </row>
    <row r="16" spans="1:21" x14ac:dyDescent="0.25">
      <c r="A16">
        <v>15</v>
      </c>
      <c r="B16" t="s">
        <v>88</v>
      </c>
      <c r="C16" t="s">
        <v>57</v>
      </c>
      <c r="D16" s="14">
        <v>66.506694142886232</v>
      </c>
      <c r="E16" s="7">
        <v>0.57097341243682709</v>
      </c>
      <c r="F16" s="7">
        <v>0.30251202565473001</v>
      </c>
      <c r="G16" s="15">
        <v>0.222</v>
      </c>
      <c r="H16" s="15">
        <v>0.11</v>
      </c>
      <c r="I16" t="s">
        <v>89</v>
      </c>
      <c r="J16" s="16" t="s">
        <v>66</v>
      </c>
      <c r="K16" s="15"/>
      <c r="L16" s="4">
        <f>COUNTIFS(tItens[Produto],tProdutos[[#This Row],[Produto]])</f>
        <v>23</v>
      </c>
      <c r="M16" s="4">
        <f>SUMIFS(tItens[Primeira ocorrência],tItens[Produto],tProdutos[[#This Row],[Produto]])</f>
        <v>23</v>
      </c>
      <c r="N16" s="8">
        <f>SUMIFS(tItens[Valor],tItens[Produto],tProdutos[[#This Row],[Produto]])</f>
        <v>36883.29</v>
      </c>
      <c r="O16" s="8">
        <f>SUMIFS(tItens[Valor],tItens[Produto],tProdutos[[#This Row],[Produto]],tItens[SRP],"Sim")</f>
        <v>19415.5</v>
      </c>
      <c r="P16" s="6">
        <f>IF(tProdutos[[#This Row],[Valor janela]]=0,0,tProdutos[[#This Row],[Valor SRP]]/tProdutos[[#This Row],[Valor janela]])</f>
        <v>0.52640369121084374</v>
      </c>
      <c r="Q16" s="8">
        <f>tProdutos[[#This Row],[Valor janela]]*DiasMes/DiasJanela</f>
        <v>122944.3</v>
      </c>
      <c r="R16" s="8">
        <f>tProdutos[[#This Row],[Mercado mês ref]]*(1-IF(tProdutos[[#This Row],[Desconto homologado]]="",DescontoPadrao,tProdutos[[#This Row],[Desconto homologado]]))</f>
        <v>85752.170764297174</v>
      </c>
      <c r="S16" t="str">
        <f>IF(ModoFoco="Lista",IF(tProdutos[[#This Row],[Lista definida]]="Sim","Sim","Não"),IF(AND(tProdutos[[#This Row],[Editais]]&gt;=MinEditais,N(tProdutos[[#This Row],[Margem bruta]])&gt;=MargemMin),"Sim","Não"))</f>
        <v>Não</v>
      </c>
      <c r="T16" s="4" t="str">
        <f>IF(tProdutos[[#This Row],[Elegível]]="Sim",COUNTIFS(tProdutos[Elegível],"Sim",tProdutos[Valor janela],"&gt;"&amp;tProdutos[[#This Row],[Valor janela]])+1,"")</f>
        <v/>
      </c>
      <c r="U16" t="str">
        <f>IF(ModoFoco="Lista",tProdutos[[#This Row],[Elegível]],IF(AND(tProdutos[[#This Row],[Posição]]&lt;&gt;"",N(tProdutos[[#This Row],[Posição]])&lt;=TopN),"Sim","Não"))</f>
        <v>Não</v>
      </c>
    </row>
    <row r="17" spans="1:21" x14ac:dyDescent="0.25">
      <c r="A17">
        <v>16</v>
      </c>
      <c r="B17" t="s">
        <v>90</v>
      </c>
      <c r="C17" t="s">
        <v>78</v>
      </c>
      <c r="D17" s="14">
        <v>65.98724</v>
      </c>
      <c r="E17" s="7">
        <v>0.44250871080139376</v>
      </c>
      <c r="F17" s="7">
        <v>0.25393823957010597</v>
      </c>
      <c r="G17" s="15">
        <v>7</v>
      </c>
      <c r="H17" s="15">
        <v>4</v>
      </c>
      <c r="I17" t="s">
        <v>91</v>
      </c>
      <c r="J17" s="16" t="s">
        <v>66</v>
      </c>
      <c r="K17" s="15"/>
      <c r="L17" s="4">
        <f>COUNTIFS(tItens[Produto],tProdutos[[#This Row],[Produto]])</f>
        <v>134</v>
      </c>
      <c r="M17" s="4">
        <f>SUMIFS(tItens[Primeira ocorrência],tItens[Produto],tProdutos[[#This Row],[Produto]])</f>
        <v>80</v>
      </c>
      <c r="N17" s="8">
        <f>SUMIFS(tItens[Valor],tItens[Produto],tProdutos[[#This Row],[Produto]])</f>
        <v>2964307.1200000006</v>
      </c>
      <c r="O17" s="8">
        <f>SUMIFS(tItens[Valor],tItens[Produto],tProdutos[[#This Row],[Produto]],tItens[SRP],"Sim")</f>
        <v>1677274.7999999998</v>
      </c>
      <c r="P17" s="6">
        <f>IF(tProdutos[[#This Row],[Valor janela]]=0,0,tProdutos[[#This Row],[Valor SRP]]/tProdutos[[#This Row],[Valor janela]])</f>
        <v>0.5658235574456939</v>
      </c>
      <c r="Q17" s="8">
        <f>tProdutos[[#This Row],[Valor janela]]*DiasMes/DiasJanela</f>
        <v>9881023.7333333362</v>
      </c>
      <c r="R17" s="8">
        <f>tProdutos[[#This Row],[Mercado mês ref]]*(1-IF(tProdutos[[#This Row],[Desconto homologado]]="",DescontoPadrao,tProdutos[[#This Row],[Desconto homologado]]))</f>
        <v>7371853.9613402328</v>
      </c>
      <c r="S17" t="str">
        <f>IF(ModoFoco="Lista",IF(tProdutos[[#This Row],[Lista definida]]="Sim","Sim","Não"),IF(AND(tProdutos[[#This Row],[Editais]]&gt;=MinEditais,N(tProdutos[[#This Row],[Margem bruta]])&gt;=MargemMin),"Sim","Não"))</f>
        <v>Não</v>
      </c>
      <c r="T17" s="4" t="str">
        <f>IF(tProdutos[[#This Row],[Elegível]]="Sim",COUNTIFS(tProdutos[Elegível],"Sim",tProdutos[Valor janela],"&gt;"&amp;tProdutos[[#This Row],[Valor janela]])+1,"")</f>
        <v/>
      </c>
      <c r="U17" t="str">
        <f>IF(ModoFoco="Lista",tProdutos[[#This Row],[Elegível]],IF(AND(tProdutos[[#This Row],[Posição]]&lt;&gt;"",N(tProdutos[[#This Row],[Posição]])&lt;=TopN),"Sim","Não"))</f>
        <v>Não</v>
      </c>
    </row>
    <row r="18" spans="1:21" x14ac:dyDescent="0.25">
      <c r="A18">
        <v>17</v>
      </c>
      <c r="B18" t="s">
        <v>92</v>
      </c>
      <c r="C18" t="s">
        <v>57</v>
      </c>
      <c r="D18" s="14">
        <v>65.143837165425609</v>
      </c>
      <c r="E18" s="7">
        <v>0.69</v>
      </c>
      <c r="F18" s="7">
        <v>0.37</v>
      </c>
      <c r="G18" s="15">
        <v>9.77</v>
      </c>
      <c r="H18" s="15">
        <v>3.5</v>
      </c>
      <c r="I18" t="s">
        <v>93</v>
      </c>
      <c r="J18" s="16" t="s">
        <v>59</v>
      </c>
      <c r="K18" s="15">
        <v>34033.040000000001</v>
      </c>
      <c r="L18" s="4">
        <f>COUNTIFS(tItens[Produto],tProdutos[[#This Row],[Produto]])</f>
        <v>2</v>
      </c>
      <c r="M18" s="4">
        <f>SUMIFS(tItens[Primeira ocorrência],tItens[Produto],tProdutos[[#This Row],[Produto]])</f>
        <v>1</v>
      </c>
      <c r="N18" s="8">
        <f>SUMIFS(tItens[Valor],tItens[Produto],tProdutos[[#This Row],[Produto]])</f>
        <v>29601.800000000003</v>
      </c>
      <c r="O18" s="8">
        <f>SUMIFS(tItens[Valor],tItens[Produto],tProdutos[[#This Row],[Produto]],tItens[SRP],"Sim")</f>
        <v>29601.800000000003</v>
      </c>
      <c r="P18" s="6">
        <f>IF(tProdutos[[#This Row],[Valor janela]]=0,0,tProdutos[[#This Row],[Valor SRP]]/tProdutos[[#This Row],[Valor janela]])</f>
        <v>1</v>
      </c>
      <c r="Q18" s="8">
        <f>tProdutos[[#This Row],[Valor janela]]*DiasMes/DiasJanela</f>
        <v>98672.666666666672</v>
      </c>
      <c r="R18" s="8">
        <f>tProdutos[[#This Row],[Mercado mês ref]]*(1-IF(tProdutos[[#This Row],[Desconto homologado]]="",DescontoPadrao,tProdutos[[#This Row],[Desconto homologado]]))</f>
        <v>62163.780000000006</v>
      </c>
      <c r="S18" t="str">
        <f>IF(ModoFoco="Lista",IF(tProdutos[[#This Row],[Lista definida]]="Sim","Sim","Não"),IF(AND(tProdutos[[#This Row],[Editais]]&gt;=MinEditais,N(tProdutos[[#This Row],[Margem bruta]])&gt;=MargemMin),"Sim","Não"))</f>
        <v>Sim</v>
      </c>
      <c r="T18" s="4">
        <f>IF(tProdutos[[#This Row],[Elegível]]="Sim",COUNTIFS(tProdutos[Elegível],"Sim",tProdutos[Valor janela],"&gt;"&amp;tProdutos[[#This Row],[Valor janela]])+1,"")</f>
        <v>18</v>
      </c>
      <c r="U18" t="str">
        <f>IF(ModoFoco="Lista",tProdutos[[#This Row],[Elegível]],IF(AND(tProdutos[[#This Row],[Posição]]&lt;&gt;"",N(tProdutos[[#This Row],[Posição]])&lt;=TopN),"Sim","Não"))</f>
        <v>Sim</v>
      </c>
    </row>
    <row r="19" spans="1:21" x14ac:dyDescent="0.25">
      <c r="A19">
        <v>18</v>
      </c>
      <c r="B19" t="s">
        <v>94</v>
      </c>
      <c r="C19" t="s">
        <v>57</v>
      </c>
      <c r="D19" s="14">
        <v>65.087593899845459</v>
      </c>
      <c r="E19" s="7">
        <v>0.78</v>
      </c>
      <c r="F19" s="7">
        <v>0.21</v>
      </c>
      <c r="G19" s="15">
        <v>6.77</v>
      </c>
      <c r="H19" s="15">
        <v>1.5</v>
      </c>
      <c r="I19" t="s">
        <v>95</v>
      </c>
      <c r="J19" s="16" t="s">
        <v>59</v>
      </c>
      <c r="K19" s="15">
        <v>21595.360000000001</v>
      </c>
      <c r="L19" s="4">
        <f>COUNTIFS(tItens[Produto],tProdutos[[#This Row],[Produto]])</f>
        <v>6</v>
      </c>
      <c r="M19" s="4">
        <f>SUMIFS(tItens[Primeira ocorrência],tItens[Produto],tProdutos[[#This Row],[Produto]])</f>
        <v>6</v>
      </c>
      <c r="N19" s="8">
        <f>SUMIFS(tItens[Valor],tItens[Produto],tProdutos[[#This Row],[Produto]])</f>
        <v>49591.4</v>
      </c>
      <c r="O19" s="8">
        <f>SUMIFS(tItens[Valor],tItens[Produto],tProdutos[[#This Row],[Produto]],tItens[SRP],"Sim")</f>
        <v>49191.4</v>
      </c>
      <c r="P19" s="6">
        <f>IF(tProdutos[[#This Row],[Valor janela]]=0,0,tProdutos[[#This Row],[Valor SRP]]/tProdutos[[#This Row],[Valor janela]])</f>
        <v>0.99193408534544292</v>
      </c>
      <c r="Q19" s="8">
        <f>tProdutos[[#This Row],[Valor janela]]*DiasMes/DiasJanela</f>
        <v>165304.66666666666</v>
      </c>
      <c r="R19" s="8">
        <f>tProdutos[[#This Row],[Mercado mês ref]]*(1-IF(tProdutos[[#This Row],[Desconto homologado]]="",DescontoPadrao,tProdutos[[#This Row],[Desconto homologado]]))</f>
        <v>130590.68666666666</v>
      </c>
      <c r="S19" t="str">
        <f>IF(ModoFoco="Lista",IF(tProdutos[[#This Row],[Lista definida]]="Sim","Sim","Não"),IF(AND(tProdutos[[#This Row],[Editais]]&gt;=MinEditais,N(tProdutos[[#This Row],[Margem bruta]])&gt;=MargemMin),"Sim","Não"))</f>
        <v>Sim</v>
      </c>
      <c r="T19" s="4">
        <f>IF(tProdutos[[#This Row],[Elegível]]="Sim",COUNTIFS(tProdutos[Elegível],"Sim",tProdutos[Valor janela],"&gt;"&amp;tProdutos[[#This Row],[Valor janela]])+1,"")</f>
        <v>16</v>
      </c>
      <c r="U19" t="str">
        <f>IF(ModoFoco="Lista",tProdutos[[#This Row],[Elegível]],IF(AND(tProdutos[[#This Row],[Posição]]&lt;&gt;"",N(tProdutos[[#This Row],[Posição]])&lt;=TopN),"Sim","Não"))</f>
        <v>Sim</v>
      </c>
    </row>
    <row r="20" spans="1:21" x14ac:dyDescent="0.25">
      <c r="A20">
        <v>19</v>
      </c>
      <c r="B20" t="s">
        <v>96</v>
      </c>
      <c r="C20" t="s">
        <v>57</v>
      </c>
      <c r="D20" s="14">
        <v>64.932996966103843</v>
      </c>
      <c r="E20" s="7">
        <v>0.6085652538261368</v>
      </c>
      <c r="F20" s="7">
        <v>0.23886411318649201</v>
      </c>
      <c r="G20" s="15">
        <v>5.53</v>
      </c>
      <c r="H20" s="15">
        <v>2.5</v>
      </c>
      <c r="I20" t="s">
        <v>97</v>
      </c>
      <c r="J20" s="16" t="s">
        <v>66</v>
      </c>
      <c r="K20" s="15"/>
      <c r="L20" s="4">
        <f>COUNTIFS(tItens[Produto],tProdutos[[#This Row],[Produto]])</f>
        <v>5</v>
      </c>
      <c r="M20" s="4">
        <f>SUMIFS(tItens[Primeira ocorrência],tItens[Produto],tProdutos[[#This Row],[Produto]])</f>
        <v>5</v>
      </c>
      <c r="N20" s="8">
        <f>SUMIFS(tItens[Valor],tItens[Produto],tProdutos[[#This Row],[Produto]])</f>
        <v>2052.04</v>
      </c>
      <c r="O20" s="8">
        <f>SUMIFS(tItens[Valor],tItens[Produto],tProdutos[[#This Row],[Produto]],tItens[SRP],"Sim")</f>
        <v>335.6</v>
      </c>
      <c r="P20" s="6">
        <f>IF(tProdutos[[#This Row],[Valor janela]]=0,0,tProdutos[[#This Row],[Valor SRP]]/tProdutos[[#This Row],[Valor janela]])</f>
        <v>0.16354457028128108</v>
      </c>
      <c r="Q20" s="8">
        <f>tProdutos[[#This Row],[Valor janela]]*DiasMes/DiasJanela</f>
        <v>6840.1333333333341</v>
      </c>
      <c r="R20" s="8">
        <f>tProdutos[[#This Row],[Mercado mês ref]]*(1-IF(tProdutos[[#This Row],[Desconto homologado]]="",DescontoPadrao,tProdutos[[#This Row],[Desconto homologado]]))</f>
        <v>5206.2709505893035</v>
      </c>
      <c r="S20" t="str">
        <f>IF(ModoFoco="Lista",IF(tProdutos[[#This Row],[Lista definida]]="Sim","Sim","Não"),IF(AND(tProdutos[[#This Row],[Editais]]&gt;=MinEditais,N(tProdutos[[#This Row],[Margem bruta]])&gt;=MargemMin),"Sim","Não"))</f>
        <v>Não</v>
      </c>
      <c r="T20" s="4" t="str">
        <f>IF(tProdutos[[#This Row],[Elegível]]="Sim",COUNTIFS(tProdutos[Elegível],"Sim",tProdutos[Valor janela],"&gt;"&amp;tProdutos[[#This Row],[Valor janela]])+1,"")</f>
        <v/>
      </c>
      <c r="U20" t="str">
        <f>IF(ModoFoco="Lista",tProdutos[[#This Row],[Elegível]],IF(AND(tProdutos[[#This Row],[Posição]]&lt;&gt;"",N(tProdutos[[#This Row],[Posição]])&lt;=TopN),"Sim","Não"))</f>
        <v>Não</v>
      </c>
    </row>
    <row r="21" spans="1:21" x14ac:dyDescent="0.25">
      <c r="A21">
        <v>20</v>
      </c>
      <c r="B21" t="s">
        <v>98</v>
      </c>
      <c r="C21" t="s">
        <v>57</v>
      </c>
      <c r="D21" s="14">
        <v>64.551699443146347</v>
      </c>
      <c r="E21" s="7">
        <v>0.68</v>
      </c>
      <c r="F21" s="7">
        <v>0.39</v>
      </c>
      <c r="G21" s="15">
        <v>1.6</v>
      </c>
      <c r="H21" s="15">
        <v>0.6</v>
      </c>
      <c r="I21" t="s">
        <v>99</v>
      </c>
      <c r="J21" s="16" t="s">
        <v>59</v>
      </c>
      <c r="K21" s="15">
        <v>714.28</v>
      </c>
      <c r="L21" s="4">
        <f>COUNTIFS(tItens[Produto],tProdutos[[#This Row],[Produto]])</f>
        <v>89</v>
      </c>
      <c r="M21" s="4">
        <f>SUMIFS(tItens[Primeira ocorrência],tItens[Produto],tProdutos[[#This Row],[Produto]])</f>
        <v>21</v>
      </c>
      <c r="N21" s="8">
        <f>SUMIFS(tItens[Valor],tItens[Produto],tProdutos[[#This Row],[Produto]])</f>
        <v>28240.849999999988</v>
      </c>
      <c r="O21" s="8">
        <f>SUMIFS(tItens[Valor],tItens[Produto],tProdutos[[#This Row],[Produto]],tItens[SRP],"Sim")</f>
        <v>25380.009999999991</v>
      </c>
      <c r="P21" s="6">
        <f>IF(tProdutos[[#This Row],[Valor janela]]=0,0,tProdutos[[#This Row],[Valor SRP]]/tProdutos[[#This Row],[Valor janela]])</f>
        <v>0.89869851651065746</v>
      </c>
      <c r="Q21" s="8">
        <f>tProdutos[[#This Row],[Valor janela]]*DiasMes/DiasJanela</f>
        <v>94136.166666666628</v>
      </c>
      <c r="R21" s="8">
        <f>tProdutos[[#This Row],[Mercado mês ref]]*(1-IF(tProdutos[[#This Row],[Desconto homologado]]="",DescontoPadrao,tProdutos[[#This Row],[Desconto homologado]]))</f>
        <v>57423.061666666639</v>
      </c>
      <c r="S21" t="str">
        <f>IF(ModoFoco="Lista",IF(tProdutos[[#This Row],[Lista definida]]="Sim","Sim","Não"),IF(AND(tProdutos[[#This Row],[Editais]]&gt;=MinEditais,N(tProdutos[[#This Row],[Margem bruta]])&gt;=MargemMin),"Sim","Não"))</f>
        <v>Sim</v>
      </c>
      <c r="T21" s="4">
        <f>IF(tProdutos[[#This Row],[Elegível]]="Sim",COUNTIFS(tProdutos[Elegível],"Sim",tProdutos[Valor janela],"&gt;"&amp;tProdutos[[#This Row],[Valor janela]])+1,"")</f>
        <v>19</v>
      </c>
      <c r="U21" t="str">
        <f>IF(ModoFoco="Lista",tProdutos[[#This Row],[Elegível]],IF(AND(tProdutos[[#This Row],[Posição]]&lt;&gt;"",N(tProdutos[[#This Row],[Posição]])&lt;=TopN),"Sim","Não"))</f>
        <v>Sim</v>
      </c>
    </row>
    <row r="22" spans="1:21" x14ac:dyDescent="0.25">
      <c r="A22">
        <v>21</v>
      </c>
      <c r="B22" t="s">
        <v>100</v>
      </c>
      <c r="C22" t="s">
        <v>57</v>
      </c>
      <c r="D22" s="14">
        <v>64.385400000000004</v>
      </c>
      <c r="E22" s="7">
        <v>0.6</v>
      </c>
      <c r="F22" s="7">
        <v>0.24</v>
      </c>
      <c r="G22" s="15">
        <v>0.22</v>
      </c>
      <c r="H22" s="15">
        <v>0.1</v>
      </c>
      <c r="I22" t="s">
        <v>101</v>
      </c>
      <c r="J22" s="16" t="s">
        <v>59</v>
      </c>
      <c r="K22" s="15">
        <v>9458.74</v>
      </c>
      <c r="L22" s="4">
        <f>COUNTIFS(tItens[Produto],tProdutos[[#This Row],[Produto]])</f>
        <v>17</v>
      </c>
      <c r="M22" s="4">
        <f>SUMIFS(tItens[Primeira ocorrência],tItens[Produto],tProdutos[[#This Row],[Produto]])</f>
        <v>11</v>
      </c>
      <c r="N22" s="8">
        <f>SUMIFS(tItens[Valor],tItens[Produto],tProdutos[[#This Row],[Produto]])</f>
        <v>79830.97</v>
      </c>
      <c r="O22" s="8">
        <f>SUMIFS(tItens[Valor],tItens[Produto],tProdutos[[#This Row],[Produto]],tItens[SRP],"Sim")</f>
        <v>79830.97</v>
      </c>
      <c r="P22" s="6">
        <f>IF(tProdutos[[#This Row],[Valor janela]]=0,0,tProdutos[[#This Row],[Valor SRP]]/tProdutos[[#This Row],[Valor janela]])</f>
        <v>1</v>
      </c>
      <c r="Q22" s="8">
        <f>tProdutos[[#This Row],[Valor janela]]*DiasMes/DiasJanela</f>
        <v>266103.23333333334</v>
      </c>
      <c r="R22" s="8">
        <f>tProdutos[[#This Row],[Mercado mês ref]]*(1-IF(tProdutos[[#This Row],[Desconto homologado]]="",DescontoPadrao,tProdutos[[#This Row],[Desconto homologado]]))</f>
        <v>202238.45733333332</v>
      </c>
      <c r="S22" t="str">
        <f>IF(ModoFoco="Lista",IF(tProdutos[[#This Row],[Lista definida]]="Sim","Sim","Não"),IF(AND(tProdutos[[#This Row],[Editais]]&gt;=MinEditais,N(tProdutos[[#This Row],[Margem bruta]])&gt;=MargemMin),"Sim","Não"))</f>
        <v>Sim</v>
      </c>
      <c r="T22" s="4">
        <f>IF(tProdutos[[#This Row],[Elegível]]="Sim",COUNTIFS(tProdutos[Elegível],"Sim",tProdutos[Valor janela],"&gt;"&amp;tProdutos[[#This Row],[Valor janela]])+1,"")</f>
        <v>15</v>
      </c>
      <c r="U22" t="str">
        <f>IF(ModoFoco="Lista",tProdutos[[#This Row],[Elegível]],IF(AND(tProdutos[[#This Row],[Posição]]&lt;&gt;"",N(tProdutos[[#This Row],[Posição]])&lt;=TopN),"Sim","Não"))</f>
        <v>Sim</v>
      </c>
    </row>
    <row r="23" spans="1:21" x14ac:dyDescent="0.25">
      <c r="A23">
        <v>22</v>
      </c>
      <c r="B23" t="s">
        <v>102</v>
      </c>
      <c r="C23" t="s">
        <v>78</v>
      </c>
      <c r="D23" s="14">
        <v>63.998579999999997</v>
      </c>
      <c r="E23" s="7">
        <v>0.64266356949283776</v>
      </c>
      <c r="F23" s="7">
        <v>0.38053097345132803</v>
      </c>
      <c r="G23" s="15">
        <v>3.15</v>
      </c>
      <c r="H23" s="15">
        <v>1.3</v>
      </c>
      <c r="I23" t="s">
        <v>103</v>
      </c>
      <c r="J23" s="16" t="s">
        <v>66</v>
      </c>
      <c r="K23" s="15"/>
      <c r="L23" s="4">
        <f>COUNTIFS(tItens[Produto],tProdutos[[#This Row],[Produto]])</f>
        <v>17</v>
      </c>
      <c r="M23" s="4">
        <f>SUMIFS(tItens[Primeira ocorrência],tItens[Produto],tProdutos[[#This Row],[Produto]])</f>
        <v>15</v>
      </c>
      <c r="N23" s="8">
        <f>SUMIFS(tItens[Valor],tItens[Produto],tProdutos[[#This Row],[Produto]])</f>
        <v>36024.679999999993</v>
      </c>
      <c r="O23" s="8">
        <f>SUMIFS(tItens[Valor],tItens[Produto],tProdutos[[#This Row],[Produto]],tItens[SRP],"Sim")</f>
        <v>13830.03</v>
      </c>
      <c r="P23" s="6">
        <f>IF(tProdutos[[#This Row],[Valor janela]]=0,0,tProdutos[[#This Row],[Valor SRP]]/tProdutos[[#This Row],[Valor janela]])</f>
        <v>0.38390431226592447</v>
      </c>
      <c r="Q23" s="8">
        <f>tProdutos[[#This Row],[Valor janela]]*DiasMes/DiasJanela</f>
        <v>120082.26666666665</v>
      </c>
      <c r="R23" s="8">
        <f>tProdutos[[#This Row],[Mercado mês ref]]*(1-IF(tProdutos[[#This Row],[Desconto homologado]]="",DescontoPadrao,tProdutos[[#This Row],[Desconto homologado]]))</f>
        <v>74387.244837758029</v>
      </c>
      <c r="S23" t="str">
        <f>IF(ModoFoco="Lista",IF(tProdutos[[#This Row],[Lista definida]]="Sim","Sim","Não"),IF(AND(tProdutos[[#This Row],[Editais]]&gt;=MinEditais,N(tProdutos[[#This Row],[Margem bruta]])&gt;=MargemMin),"Sim","Não"))</f>
        <v>Não</v>
      </c>
      <c r="T23" s="4" t="str">
        <f>IF(tProdutos[[#This Row],[Elegível]]="Sim",COUNTIFS(tProdutos[Elegível],"Sim",tProdutos[Valor janela],"&gt;"&amp;tProdutos[[#This Row],[Valor janela]])+1,"")</f>
        <v/>
      </c>
      <c r="U23" t="str">
        <f>IF(ModoFoco="Lista",tProdutos[[#This Row],[Elegível]],IF(AND(tProdutos[[#This Row],[Posição]]&lt;&gt;"",N(tProdutos[[#This Row],[Posição]])&lt;=TopN),"Sim","Não"))</f>
        <v>Não</v>
      </c>
    </row>
    <row r="24" spans="1:21" x14ac:dyDescent="0.25">
      <c r="A24">
        <v>23</v>
      </c>
      <c r="B24" t="s">
        <v>104</v>
      </c>
      <c r="C24" t="s">
        <v>78</v>
      </c>
      <c r="D24" s="14">
        <v>63.842500000000001</v>
      </c>
      <c r="E24" s="7">
        <v>0.65</v>
      </c>
      <c r="F24" s="7">
        <v>0.51</v>
      </c>
      <c r="G24" s="15">
        <v>6.12</v>
      </c>
      <c r="H24" s="15">
        <v>2.5</v>
      </c>
      <c r="I24" t="s">
        <v>105</v>
      </c>
      <c r="J24" s="16" t="s">
        <v>59</v>
      </c>
      <c r="K24" s="15">
        <v>55252.67</v>
      </c>
      <c r="L24" s="4">
        <f>COUNTIFS(tItens[Produto],tProdutos[[#This Row],[Produto]])</f>
        <v>21</v>
      </c>
      <c r="M24" s="4">
        <f>SUMIFS(tItens[Primeira ocorrência],tItens[Produto],tProdutos[[#This Row],[Produto]])</f>
        <v>15</v>
      </c>
      <c r="N24" s="8">
        <f>SUMIFS(tItens[Valor],tItens[Produto],tProdutos[[#This Row],[Produto]])</f>
        <v>538590.35</v>
      </c>
      <c r="O24" s="8">
        <f>SUMIFS(tItens[Valor],tItens[Produto],tProdutos[[#This Row],[Produto]],tItens[SRP],"Sim")</f>
        <v>24703.200000000001</v>
      </c>
      <c r="P24" s="6">
        <f>IF(tProdutos[[#This Row],[Valor janela]]=0,0,tProdutos[[#This Row],[Valor SRP]]/tProdutos[[#This Row],[Valor janela]])</f>
        <v>4.5866399203030657E-2</v>
      </c>
      <c r="Q24" s="8">
        <f>tProdutos[[#This Row],[Valor janela]]*DiasMes/DiasJanela</f>
        <v>1795301.1666666667</v>
      </c>
      <c r="R24" s="8">
        <f>tProdutos[[#This Row],[Mercado mês ref]]*(1-IF(tProdutos[[#This Row],[Desconto homologado]]="",DescontoPadrao,tProdutos[[#This Row],[Desconto homologado]]))</f>
        <v>879697.57166666666</v>
      </c>
      <c r="S24" t="str">
        <f>IF(ModoFoco="Lista",IF(tProdutos[[#This Row],[Lista definida]]="Sim","Sim","Não"),IF(AND(tProdutos[[#This Row],[Editais]]&gt;=MinEditais,N(tProdutos[[#This Row],[Margem bruta]])&gt;=MargemMin),"Sim","Não"))</f>
        <v>Sim</v>
      </c>
      <c r="T24" s="4">
        <f>IF(tProdutos[[#This Row],[Elegível]]="Sim",COUNTIFS(tProdutos[Elegível],"Sim",tProdutos[Valor janela],"&gt;"&amp;tProdutos[[#This Row],[Valor janela]])+1,"")</f>
        <v>8</v>
      </c>
      <c r="U24" t="str">
        <f>IF(ModoFoco="Lista",tProdutos[[#This Row],[Elegível]],IF(AND(tProdutos[[#This Row],[Posição]]&lt;&gt;"",N(tProdutos[[#This Row],[Posição]])&lt;=TopN),"Sim","Não"))</f>
        <v>Sim</v>
      </c>
    </row>
    <row r="25" spans="1:21" x14ac:dyDescent="0.25">
      <c r="A25">
        <v>24</v>
      </c>
      <c r="B25" t="s">
        <v>106</v>
      </c>
      <c r="C25" t="s">
        <v>78</v>
      </c>
      <c r="D25" s="14">
        <v>63.771219999999992</v>
      </c>
      <c r="E25" s="7">
        <v>0.65288717475148039</v>
      </c>
      <c r="F25" s="7">
        <v>0.24377518966589001</v>
      </c>
      <c r="G25" s="15">
        <v>22.45</v>
      </c>
      <c r="H25" s="15">
        <v>9</v>
      </c>
      <c r="I25" t="s">
        <v>107</v>
      </c>
      <c r="J25" s="16" t="s">
        <v>66</v>
      </c>
      <c r="K25" s="15"/>
      <c r="L25" s="4">
        <f>COUNTIFS(tItens[Produto],tProdutos[[#This Row],[Produto]])</f>
        <v>44</v>
      </c>
      <c r="M25" s="4">
        <f>SUMIFS(tItens[Primeira ocorrência],tItens[Produto],tProdutos[[#This Row],[Produto]])</f>
        <v>12</v>
      </c>
      <c r="N25" s="8">
        <f>SUMIFS(tItens[Valor],tItens[Produto],tProdutos[[#This Row],[Produto]])</f>
        <v>562483.08000000019</v>
      </c>
      <c r="O25" s="8">
        <f>SUMIFS(tItens[Valor],tItens[Produto],tProdutos[[#This Row],[Produto]],tItens[SRP],"Sim")</f>
        <v>1861.0900000000001</v>
      </c>
      <c r="P25" s="6">
        <f>IF(tProdutos[[#This Row],[Valor janela]]=0,0,tProdutos[[#This Row],[Valor SRP]]/tProdutos[[#This Row],[Valor janela]])</f>
        <v>3.3087039702598691E-3</v>
      </c>
      <c r="Q25" s="8">
        <f>tProdutos[[#This Row],[Valor janela]]*DiasMes/DiasJanela</f>
        <v>1874943.6000000006</v>
      </c>
      <c r="R25" s="8">
        <f>tProdutos[[#This Row],[Mercado mês ref]]*(1-IF(tProdutos[[#This Row],[Desconto homologado]]="",DescontoPadrao,tProdutos[[#This Row],[Desconto homologado]]))</f>
        <v>1417878.8682971539</v>
      </c>
      <c r="S25" t="str">
        <f>IF(ModoFoco="Lista",IF(tProdutos[[#This Row],[Lista definida]]="Sim","Sim","Não"),IF(AND(tProdutos[[#This Row],[Editais]]&gt;=MinEditais,N(tProdutos[[#This Row],[Margem bruta]])&gt;=MargemMin),"Sim","Não"))</f>
        <v>Não</v>
      </c>
      <c r="T25" s="4" t="str">
        <f>IF(tProdutos[[#This Row],[Elegível]]="Sim",COUNTIFS(tProdutos[Elegível],"Sim",tProdutos[Valor janela],"&gt;"&amp;tProdutos[[#This Row],[Valor janela]])+1,"")</f>
        <v/>
      </c>
      <c r="U25" t="str">
        <f>IF(ModoFoco="Lista",tProdutos[[#This Row],[Elegível]],IF(AND(tProdutos[[#This Row],[Posição]]&lt;&gt;"",N(tProdutos[[#This Row],[Posição]])&lt;=TopN),"Sim","Não"))</f>
        <v>Não</v>
      </c>
    </row>
    <row r="26" spans="1:21" x14ac:dyDescent="0.25">
      <c r="A26">
        <v>25</v>
      </c>
      <c r="B26" t="s">
        <v>108</v>
      </c>
      <c r="C26" t="s">
        <v>57</v>
      </c>
      <c r="D26" s="14">
        <v>63.696559999999998</v>
      </c>
      <c r="E26" s="7">
        <v>0.657765352357081</v>
      </c>
      <c r="F26" s="7">
        <v>0.105498072631365</v>
      </c>
      <c r="G26" s="15">
        <v>30.36</v>
      </c>
      <c r="H26" s="15">
        <v>12</v>
      </c>
      <c r="I26" t="s">
        <v>109</v>
      </c>
      <c r="J26" s="16" t="s">
        <v>66</v>
      </c>
      <c r="K26" s="15"/>
      <c r="L26" s="4">
        <f>COUNTIFS(tItens[Produto],tProdutos[[#This Row],[Produto]])</f>
        <v>13</v>
      </c>
      <c r="M26" s="4">
        <f>SUMIFS(tItens[Primeira ocorrência],tItens[Produto],tProdutos[[#This Row],[Produto]])</f>
        <v>8</v>
      </c>
      <c r="N26" s="8">
        <f>SUMIFS(tItens[Valor],tItens[Produto],tProdutos[[#This Row],[Produto]])</f>
        <v>641266.65999999992</v>
      </c>
      <c r="O26" s="8">
        <f>SUMIFS(tItens[Valor],tItens[Produto],tProdutos[[#This Row],[Produto]],tItens[SRP],"Sim")</f>
        <v>426040.3</v>
      </c>
      <c r="P26" s="6">
        <f>IF(tProdutos[[#This Row],[Valor janela]]=0,0,tProdutos[[#This Row],[Valor SRP]]/tProdutos[[#This Row],[Valor janela]])</f>
        <v>0.66437307063492124</v>
      </c>
      <c r="Q26" s="8">
        <f>tProdutos[[#This Row],[Valor janela]]*DiasMes/DiasJanela</f>
        <v>2137555.5333333332</v>
      </c>
      <c r="R26" s="8">
        <f>tProdutos[[#This Row],[Mercado mês ref]]*(1-IF(tProdutos[[#This Row],[Desconto homologado]]="",DescontoPadrao,tProdutos[[#This Row],[Desconto homologado]]))</f>
        <v>1912047.5444241571</v>
      </c>
      <c r="S26" t="str">
        <f>IF(ModoFoco="Lista",IF(tProdutos[[#This Row],[Lista definida]]="Sim","Sim","Não"),IF(AND(tProdutos[[#This Row],[Editais]]&gt;=MinEditais,N(tProdutos[[#This Row],[Margem bruta]])&gt;=MargemMin),"Sim","Não"))</f>
        <v>Não</v>
      </c>
      <c r="T26" s="4" t="str">
        <f>IF(tProdutos[[#This Row],[Elegível]]="Sim",COUNTIFS(tProdutos[Elegível],"Sim",tProdutos[Valor janela],"&gt;"&amp;tProdutos[[#This Row],[Valor janela]])+1,"")</f>
        <v/>
      </c>
      <c r="U26" t="str">
        <f>IF(ModoFoco="Lista",tProdutos[[#This Row],[Elegível]],IF(AND(tProdutos[[#This Row],[Posição]]&lt;&gt;"",N(tProdutos[[#This Row],[Posição]])&lt;=TopN),"Sim","Não"))</f>
        <v>Não</v>
      </c>
    </row>
    <row r="27" spans="1:21" x14ac:dyDescent="0.25">
      <c r="A27">
        <v>26</v>
      </c>
      <c r="B27" t="s">
        <v>110</v>
      </c>
      <c r="C27" t="s">
        <v>57</v>
      </c>
      <c r="D27" s="14">
        <v>63.565139999999992</v>
      </c>
      <c r="E27" s="7">
        <v>0.54418092379332772</v>
      </c>
      <c r="F27" s="7">
        <v>0.30410958904109597</v>
      </c>
      <c r="G27" s="15">
        <v>0.8548</v>
      </c>
      <c r="H27" s="15">
        <v>0.45</v>
      </c>
      <c r="I27" t="s">
        <v>111</v>
      </c>
      <c r="J27" s="16" t="s">
        <v>66</v>
      </c>
      <c r="K27" s="15"/>
      <c r="L27" s="4">
        <f>COUNTIFS(tItens[Produto],tProdutos[[#This Row],[Produto]])</f>
        <v>563</v>
      </c>
      <c r="M27" s="4">
        <f>SUMIFS(tItens[Primeira ocorrência],tItens[Produto],tProdutos[[#This Row],[Produto]])</f>
        <v>68</v>
      </c>
      <c r="N27" s="8">
        <f>SUMIFS(tItens[Valor],tItens[Produto],tProdutos[[#This Row],[Produto]])</f>
        <v>444337.14000000031</v>
      </c>
      <c r="O27" s="8">
        <f>SUMIFS(tItens[Valor],tItens[Produto],tProdutos[[#This Row],[Produto]],tItens[SRP],"Sim")</f>
        <v>285248.76000000013</v>
      </c>
      <c r="P27" s="6">
        <f>IF(tProdutos[[#This Row],[Valor janela]]=0,0,tProdutos[[#This Row],[Valor SRP]]/tProdutos[[#This Row],[Valor janela]])</f>
        <v>0.64196470274800777</v>
      </c>
      <c r="Q27" s="8">
        <f>tProdutos[[#This Row],[Valor janela]]*DiasMes/DiasJanela</f>
        <v>1481123.800000001</v>
      </c>
      <c r="R27" s="8">
        <f>tProdutos[[#This Row],[Mercado mês ref]]*(1-IF(tProdutos[[#This Row],[Desconto homologado]]="",DescontoPadrao,tProdutos[[#This Row],[Desconto homologado]]))</f>
        <v>1030699.8498630143</v>
      </c>
      <c r="S27" t="str">
        <f>IF(ModoFoco="Lista",IF(tProdutos[[#This Row],[Lista definida]]="Sim","Sim","Não"),IF(AND(tProdutos[[#This Row],[Editais]]&gt;=MinEditais,N(tProdutos[[#This Row],[Margem bruta]])&gt;=MargemMin),"Sim","Não"))</f>
        <v>Não</v>
      </c>
      <c r="T27" s="4" t="str">
        <f>IF(tProdutos[[#This Row],[Elegível]]="Sim",COUNTIFS(tProdutos[Elegível],"Sim",tProdutos[Valor janela],"&gt;"&amp;tProdutos[[#This Row],[Valor janela]])+1,"")</f>
        <v/>
      </c>
      <c r="U27" t="str">
        <f>IF(ModoFoco="Lista",tProdutos[[#This Row],[Elegível]],IF(AND(tProdutos[[#This Row],[Posição]]&lt;&gt;"",N(tProdutos[[#This Row],[Posição]])&lt;=TopN),"Sim","Não"))</f>
        <v>Não</v>
      </c>
    </row>
    <row r="28" spans="1:21" x14ac:dyDescent="0.25">
      <c r="A28">
        <v>27</v>
      </c>
      <c r="B28" t="s">
        <v>112</v>
      </c>
      <c r="C28" t="s">
        <v>78</v>
      </c>
      <c r="D28" s="14">
        <v>63.077462406664772</v>
      </c>
      <c r="E28" s="7">
        <v>0.60997582948802465</v>
      </c>
      <c r="F28" s="7">
        <v>0.35273348841447499</v>
      </c>
      <c r="G28" s="15">
        <v>0.222</v>
      </c>
      <c r="H28" s="15">
        <v>0.1</v>
      </c>
      <c r="I28" t="s">
        <v>113</v>
      </c>
      <c r="J28" s="16" t="s">
        <v>66</v>
      </c>
      <c r="K28" s="15"/>
      <c r="L28" s="4">
        <f>COUNTIFS(tItens[Produto],tProdutos[[#This Row],[Produto]])</f>
        <v>10</v>
      </c>
      <c r="M28" s="4">
        <f>SUMIFS(tItens[Primeira ocorrência],tItens[Produto],tProdutos[[#This Row],[Produto]])</f>
        <v>10</v>
      </c>
      <c r="N28" s="8">
        <f>SUMIFS(tItens[Valor],tItens[Produto],tProdutos[[#This Row],[Produto]])</f>
        <v>31851.5</v>
      </c>
      <c r="O28" s="8">
        <f>SUMIFS(tItens[Valor],tItens[Produto],tProdutos[[#This Row],[Produto]],tItens[SRP],"Sim")</f>
        <v>21420.68</v>
      </c>
      <c r="P28" s="6">
        <f>IF(tProdutos[[#This Row],[Valor janela]]=0,0,tProdutos[[#This Row],[Valor SRP]]/tProdutos[[#This Row],[Valor janela]])</f>
        <v>0.67251714989874889</v>
      </c>
      <c r="Q28" s="8">
        <f>tProdutos[[#This Row],[Valor janela]]*DiasMes/DiasJanela</f>
        <v>106171.66666666667</v>
      </c>
      <c r="R28" s="8">
        <f>tProdutos[[#This Row],[Mercado mês ref]]*(1-IF(tProdutos[[#This Row],[Desconto homologado]]="",DescontoPadrao,tProdutos[[#This Row],[Desconto homologado]]))</f>
        <v>68721.364312554491</v>
      </c>
      <c r="S28" t="str">
        <f>IF(ModoFoco="Lista",IF(tProdutos[[#This Row],[Lista definida]]="Sim","Sim","Não"),IF(AND(tProdutos[[#This Row],[Editais]]&gt;=MinEditais,N(tProdutos[[#This Row],[Margem bruta]])&gt;=MargemMin),"Sim","Não"))</f>
        <v>Não</v>
      </c>
      <c r="T28" s="4" t="str">
        <f>IF(tProdutos[[#This Row],[Elegível]]="Sim",COUNTIFS(tProdutos[Elegível],"Sim",tProdutos[Valor janela],"&gt;"&amp;tProdutos[[#This Row],[Valor janela]])+1,"")</f>
        <v/>
      </c>
      <c r="U28" t="str">
        <f>IF(ModoFoco="Lista",tProdutos[[#This Row],[Elegível]],IF(AND(tProdutos[[#This Row],[Posição]]&lt;&gt;"",N(tProdutos[[#This Row],[Posição]])&lt;=TopN),"Sim","Não"))</f>
        <v>Não</v>
      </c>
    </row>
    <row r="29" spans="1:21" x14ac:dyDescent="0.25">
      <c r="A29">
        <v>28</v>
      </c>
      <c r="B29" t="s">
        <v>114</v>
      </c>
      <c r="C29" t="s">
        <v>78</v>
      </c>
      <c r="D29" s="14">
        <v>63.015839999999997</v>
      </c>
      <c r="E29" s="7">
        <v>0.35175431488534148</v>
      </c>
      <c r="F29" s="7">
        <v>0.24332656063896899</v>
      </c>
      <c r="G29" s="15">
        <v>6.0199999999999997E-2</v>
      </c>
      <c r="H29" s="15">
        <v>0.04</v>
      </c>
      <c r="I29" t="s">
        <v>115</v>
      </c>
      <c r="J29" s="16" t="s">
        <v>66</v>
      </c>
      <c r="K29" s="15"/>
      <c r="L29" s="4">
        <f>COUNTIFS(tItens[Produto],tProdutos[[#This Row],[Produto]])</f>
        <v>117</v>
      </c>
      <c r="M29" s="4">
        <f>SUMIFS(tItens[Primeira ocorrência],tItens[Produto],tProdutos[[#This Row],[Produto]])</f>
        <v>99</v>
      </c>
      <c r="N29" s="8">
        <f>SUMIFS(tItens[Valor],tItens[Produto],tProdutos[[#This Row],[Produto]])</f>
        <v>453919.97999999986</v>
      </c>
      <c r="O29" s="8">
        <f>SUMIFS(tItens[Valor],tItens[Produto],tProdutos[[#This Row],[Produto]],tItens[SRP],"Sim")</f>
        <v>245945.21</v>
      </c>
      <c r="P29" s="6">
        <f>IF(tProdutos[[#This Row],[Valor janela]]=0,0,tProdutos[[#This Row],[Valor SRP]]/tProdutos[[#This Row],[Valor janela]])</f>
        <v>0.54182503709133945</v>
      </c>
      <c r="Q29" s="8">
        <f>tProdutos[[#This Row],[Valor janela]]*DiasMes/DiasJanela</f>
        <v>1513066.5999999996</v>
      </c>
      <c r="R29" s="8">
        <f>tProdutos[[#This Row],[Mercado mês ref]]*(1-IF(tProdutos[[#This Row],[Desconto homologado]]="",DescontoPadrao,tProdutos[[#This Row],[Desconto homologado]]))</f>
        <v>1144897.3082043012</v>
      </c>
      <c r="S29" t="str">
        <f>IF(ModoFoco="Lista",IF(tProdutos[[#This Row],[Lista definida]]="Sim","Sim","Não"),IF(AND(tProdutos[[#This Row],[Editais]]&gt;=MinEditais,N(tProdutos[[#This Row],[Margem bruta]])&gt;=MargemMin),"Sim","Não"))</f>
        <v>Não</v>
      </c>
      <c r="T29" s="4" t="str">
        <f>IF(tProdutos[[#This Row],[Elegível]]="Sim",COUNTIFS(tProdutos[Elegível],"Sim",tProdutos[Valor janela],"&gt;"&amp;tProdutos[[#This Row],[Valor janela]])+1,"")</f>
        <v/>
      </c>
      <c r="U29" t="str">
        <f>IF(ModoFoco="Lista",tProdutos[[#This Row],[Elegível]],IF(AND(tProdutos[[#This Row],[Posição]]&lt;&gt;"",N(tProdutos[[#This Row],[Posição]])&lt;=TopN),"Sim","Não"))</f>
        <v>Não</v>
      </c>
    </row>
    <row r="30" spans="1:21" x14ac:dyDescent="0.25">
      <c r="A30">
        <v>29</v>
      </c>
      <c r="B30" t="s">
        <v>116</v>
      </c>
      <c r="C30" t="s">
        <v>78</v>
      </c>
      <c r="D30" s="14">
        <v>63.003320000000002</v>
      </c>
      <c r="E30" s="7">
        <v>0.56692881366959724</v>
      </c>
      <c r="F30" s="7">
        <v>0.29203539823008801</v>
      </c>
      <c r="G30" s="15">
        <v>0.2999</v>
      </c>
      <c r="H30" s="15">
        <v>0.15</v>
      </c>
      <c r="I30" t="s">
        <v>117</v>
      </c>
      <c r="J30" s="16" t="s">
        <v>66</v>
      </c>
      <c r="K30" s="15"/>
      <c r="L30" s="4">
        <f>COUNTIFS(tItens[Produto],tProdutos[[#This Row],[Produto]])</f>
        <v>0</v>
      </c>
      <c r="M30" s="4">
        <f>SUMIFS(tItens[Primeira ocorrência],tItens[Produto],tProdutos[[#This Row],[Produto]])</f>
        <v>0</v>
      </c>
      <c r="N30" s="8">
        <f>SUMIFS(tItens[Valor],tItens[Produto],tProdutos[[#This Row],[Produto]])</f>
        <v>0</v>
      </c>
      <c r="O30" s="8">
        <f>SUMIFS(tItens[Valor],tItens[Produto],tProdutos[[#This Row],[Produto]],tItens[SRP],"Sim")</f>
        <v>0</v>
      </c>
      <c r="P30" s="6">
        <f>IF(tProdutos[[#This Row],[Valor janela]]=0,0,tProdutos[[#This Row],[Valor SRP]]/tProdutos[[#This Row],[Valor janela]])</f>
        <v>0</v>
      </c>
      <c r="Q30" s="8">
        <f>tProdutos[[#This Row],[Valor janela]]*DiasMes/DiasJanela</f>
        <v>0</v>
      </c>
      <c r="R30" s="8">
        <f>tProdutos[[#This Row],[Mercado mês ref]]*(1-IF(tProdutos[[#This Row],[Desconto homologado]]="",DescontoPadrao,tProdutos[[#This Row],[Desconto homologado]]))</f>
        <v>0</v>
      </c>
      <c r="S30" t="str">
        <f>IF(ModoFoco="Lista",IF(tProdutos[[#This Row],[Lista definida]]="Sim","Sim","Não"),IF(AND(tProdutos[[#This Row],[Editais]]&gt;=MinEditais,N(tProdutos[[#This Row],[Margem bruta]])&gt;=MargemMin),"Sim","Não"))</f>
        <v>Não</v>
      </c>
      <c r="T30" s="4" t="str">
        <f>IF(tProdutos[[#This Row],[Elegível]]="Sim",COUNTIFS(tProdutos[Elegível],"Sim",tProdutos[Valor janela],"&gt;"&amp;tProdutos[[#This Row],[Valor janela]])+1,"")</f>
        <v/>
      </c>
      <c r="U30" t="str">
        <f>IF(ModoFoco="Lista",tProdutos[[#This Row],[Elegível]],IF(AND(tProdutos[[#This Row],[Posição]]&lt;&gt;"",N(tProdutos[[#This Row],[Posição]])&lt;=TopN),"Sim","Não"))</f>
        <v>Não</v>
      </c>
    </row>
    <row r="31" spans="1:21" x14ac:dyDescent="0.25">
      <c r="A31">
        <v>30</v>
      </c>
      <c r="B31" t="s">
        <v>118</v>
      </c>
      <c r="C31" t="s">
        <v>78</v>
      </c>
      <c r="D31" s="14">
        <v>62.828320000000005</v>
      </c>
      <c r="E31" s="7">
        <v>0.65211236933797911</v>
      </c>
      <c r="F31" s="7">
        <v>0.45970952208503602</v>
      </c>
      <c r="G31" s="15">
        <v>11.2</v>
      </c>
      <c r="H31" s="15">
        <v>4.5</v>
      </c>
      <c r="I31" t="s">
        <v>119</v>
      </c>
      <c r="J31" s="16" t="s">
        <v>66</v>
      </c>
      <c r="K31" s="15"/>
      <c r="L31" s="4">
        <f>COUNTIFS(tItens[Produto],tProdutos[[#This Row],[Produto]])</f>
        <v>9</v>
      </c>
      <c r="M31" s="4">
        <f>SUMIFS(tItens[Primeira ocorrência],tItens[Produto],tProdutos[[#This Row],[Produto]])</f>
        <v>7</v>
      </c>
      <c r="N31" s="8">
        <f>SUMIFS(tItens[Valor],tItens[Produto],tProdutos[[#This Row],[Produto]])</f>
        <v>245570.14999999997</v>
      </c>
      <c r="O31" s="8">
        <f>SUMIFS(tItens[Valor],tItens[Produto],tProdutos[[#This Row],[Produto]],tItens[SRP],"Sim")</f>
        <v>24354.799999999999</v>
      </c>
      <c r="P31" s="6">
        <f>IF(tProdutos[[#This Row],[Valor janela]]=0,0,tProdutos[[#This Row],[Valor SRP]]/tProdutos[[#This Row],[Valor janela]])</f>
        <v>9.9176548941310672E-2</v>
      </c>
      <c r="Q31" s="8">
        <f>tProdutos[[#This Row],[Valor janela]]*DiasMes/DiasJanela</f>
        <v>818567.16666666651</v>
      </c>
      <c r="R31" s="8">
        <f>tProdutos[[#This Row],[Mercado mês ref]]*(1-IF(tProdutos[[#This Row],[Desconto homologado]]="",DescontoPadrao,tProdutos[[#This Row],[Desconto homologado]]))</f>
        <v>442264.04568383121</v>
      </c>
      <c r="S31" t="str">
        <f>IF(ModoFoco="Lista",IF(tProdutos[[#This Row],[Lista definida]]="Sim","Sim","Não"),IF(AND(tProdutos[[#This Row],[Editais]]&gt;=MinEditais,N(tProdutos[[#This Row],[Margem bruta]])&gt;=MargemMin),"Sim","Não"))</f>
        <v>Não</v>
      </c>
      <c r="T31" s="4" t="str">
        <f>IF(tProdutos[[#This Row],[Elegível]]="Sim",COUNTIFS(tProdutos[Elegível],"Sim",tProdutos[Valor janela],"&gt;"&amp;tProdutos[[#This Row],[Valor janela]])+1,"")</f>
        <v/>
      </c>
      <c r="U31" t="str">
        <f>IF(ModoFoco="Lista",tProdutos[[#This Row],[Elegível]],IF(AND(tProdutos[[#This Row],[Posição]]&lt;&gt;"",N(tProdutos[[#This Row],[Posição]])&lt;=TopN),"Sim","Não"))</f>
        <v>Não</v>
      </c>
    </row>
    <row r="32" spans="1:21" x14ac:dyDescent="0.25">
      <c r="A32">
        <v>31</v>
      </c>
      <c r="B32" t="s">
        <v>120</v>
      </c>
      <c r="C32" t="s">
        <v>78</v>
      </c>
      <c r="D32" s="14">
        <v>62.722440000000006</v>
      </c>
      <c r="E32" s="7">
        <v>0.48255757457972992</v>
      </c>
      <c r="F32" s="7">
        <v>0.40909090909090901</v>
      </c>
      <c r="G32" s="15">
        <v>0.502</v>
      </c>
      <c r="H32" s="15">
        <v>0.3</v>
      </c>
      <c r="I32" t="s">
        <v>121</v>
      </c>
      <c r="J32" s="16" t="s">
        <v>66</v>
      </c>
      <c r="K32" s="15"/>
      <c r="L32" s="4">
        <f>COUNTIFS(tItens[Produto],tProdutos[[#This Row],[Produto]])</f>
        <v>395</v>
      </c>
      <c r="M32" s="4">
        <f>SUMIFS(tItens[Primeira ocorrência],tItens[Produto],tProdutos[[#This Row],[Produto]])</f>
        <v>84</v>
      </c>
      <c r="N32" s="8">
        <f>SUMIFS(tItens[Valor],tItens[Produto],tProdutos[[#This Row],[Produto]])</f>
        <v>1457864.5899999999</v>
      </c>
      <c r="O32" s="8">
        <f>SUMIFS(tItens[Valor],tItens[Produto],tProdutos[[#This Row],[Produto]],tItens[SRP],"Sim")</f>
        <v>988529.84000000032</v>
      </c>
      <c r="P32" s="6">
        <f>IF(tProdutos[[#This Row],[Valor janela]]=0,0,tProdutos[[#This Row],[Valor SRP]]/tProdutos[[#This Row],[Valor janela]])</f>
        <v>0.67806698014388322</v>
      </c>
      <c r="Q32" s="8">
        <f>tProdutos[[#This Row],[Valor janela]]*DiasMes/DiasJanela</f>
        <v>4859548.6333333328</v>
      </c>
      <c r="R32" s="8">
        <f>tProdutos[[#This Row],[Mercado mês ref]]*(1-IF(tProdutos[[#This Row],[Desconto homologado]]="",DescontoPadrao,tProdutos[[#This Row],[Desconto homologado]]))</f>
        <v>2871551.4651515153</v>
      </c>
      <c r="S32" t="str">
        <f>IF(ModoFoco="Lista",IF(tProdutos[[#This Row],[Lista definida]]="Sim","Sim","Não"),IF(AND(tProdutos[[#This Row],[Editais]]&gt;=MinEditais,N(tProdutos[[#This Row],[Margem bruta]])&gt;=MargemMin),"Sim","Não"))</f>
        <v>Não</v>
      </c>
      <c r="T32" s="4" t="str">
        <f>IF(tProdutos[[#This Row],[Elegível]]="Sim",COUNTIFS(tProdutos[Elegível],"Sim",tProdutos[Valor janela],"&gt;"&amp;tProdutos[[#This Row],[Valor janela]])+1,"")</f>
        <v/>
      </c>
      <c r="U32" t="str">
        <f>IF(ModoFoco="Lista",tProdutos[[#This Row],[Elegível]],IF(AND(tProdutos[[#This Row],[Posição]]&lt;&gt;"",N(tProdutos[[#This Row],[Posição]])&lt;=TopN),"Sim","Não"))</f>
        <v>Não</v>
      </c>
    </row>
    <row r="33" spans="1:21" x14ac:dyDescent="0.25">
      <c r="A33">
        <v>32</v>
      </c>
      <c r="B33" t="s">
        <v>122</v>
      </c>
      <c r="C33" t="s">
        <v>78</v>
      </c>
      <c r="D33" s="14">
        <v>62.709117773245069</v>
      </c>
      <c r="E33" s="7">
        <v>0.48563148997826611</v>
      </c>
      <c r="F33" s="7">
        <v>0.29597296536187001</v>
      </c>
      <c r="G33" s="15">
        <v>0.505</v>
      </c>
      <c r="H33" s="15">
        <v>0.3</v>
      </c>
      <c r="I33" t="s">
        <v>123</v>
      </c>
      <c r="J33" s="16" t="s">
        <v>66</v>
      </c>
      <c r="K33" s="15"/>
      <c r="L33" s="4">
        <f>COUNTIFS(tItens[Produto],tProdutos[[#This Row],[Produto]])</f>
        <v>1</v>
      </c>
      <c r="M33" s="4">
        <f>SUMIFS(tItens[Primeira ocorrência],tItens[Produto],tProdutos[[#This Row],[Produto]])</f>
        <v>1</v>
      </c>
      <c r="N33" s="8">
        <f>SUMIFS(tItens[Valor],tItens[Produto],tProdutos[[#This Row],[Produto]])</f>
        <v>5122</v>
      </c>
      <c r="O33" s="8">
        <f>SUMIFS(tItens[Valor],tItens[Produto],tProdutos[[#This Row],[Produto]],tItens[SRP],"Sim")</f>
        <v>5122</v>
      </c>
      <c r="P33" s="6">
        <f>IF(tProdutos[[#This Row],[Valor janela]]=0,0,tProdutos[[#This Row],[Valor SRP]]/tProdutos[[#This Row],[Valor janela]])</f>
        <v>1</v>
      </c>
      <c r="Q33" s="8">
        <f>tProdutos[[#This Row],[Valor janela]]*DiasMes/DiasJanela</f>
        <v>17073.333333333332</v>
      </c>
      <c r="R33" s="8">
        <f>tProdutos[[#This Row],[Mercado mês ref]]*(1-IF(tProdutos[[#This Row],[Desconto homologado]]="",DescontoPadrao,tProdutos[[#This Row],[Desconto homologado]]))</f>
        <v>12020.088238055005</v>
      </c>
      <c r="S33" t="str">
        <f>IF(ModoFoco="Lista",IF(tProdutos[[#This Row],[Lista definida]]="Sim","Sim","Não"),IF(AND(tProdutos[[#This Row],[Editais]]&gt;=MinEditais,N(tProdutos[[#This Row],[Margem bruta]])&gt;=MargemMin),"Sim","Não"))</f>
        <v>Não</v>
      </c>
      <c r="T33" s="4" t="str">
        <f>IF(tProdutos[[#This Row],[Elegível]]="Sim",COUNTIFS(tProdutos[Elegível],"Sim",tProdutos[Valor janela],"&gt;"&amp;tProdutos[[#This Row],[Valor janela]])+1,"")</f>
        <v/>
      </c>
      <c r="U33" t="str">
        <f>IF(ModoFoco="Lista",tProdutos[[#This Row],[Elegível]],IF(AND(tProdutos[[#This Row],[Posição]]&lt;&gt;"",N(tProdutos[[#This Row],[Posição]])&lt;=TopN),"Sim","Não"))</f>
        <v>Não</v>
      </c>
    </row>
    <row r="34" spans="1:21" x14ac:dyDescent="0.25">
      <c r="A34">
        <v>33</v>
      </c>
      <c r="B34" t="s">
        <v>124</v>
      </c>
      <c r="C34" t="s">
        <v>78</v>
      </c>
      <c r="D34" s="14">
        <v>62.591679999999997</v>
      </c>
      <c r="E34" s="7">
        <v>0.63</v>
      </c>
      <c r="F34" s="7">
        <v>0.34</v>
      </c>
      <c r="G34" s="15">
        <v>10.53</v>
      </c>
      <c r="H34" s="15">
        <v>4.5</v>
      </c>
      <c r="I34" t="s">
        <v>125</v>
      </c>
      <c r="J34" s="16" t="s">
        <v>59</v>
      </c>
      <c r="K34" s="15">
        <v>85687.23</v>
      </c>
      <c r="L34" s="4">
        <f>COUNTIFS(tItens[Produto],tProdutos[[#This Row],[Produto]])</f>
        <v>21</v>
      </c>
      <c r="M34" s="4">
        <f>SUMIFS(tItens[Primeira ocorrência],tItens[Produto],tProdutos[[#This Row],[Produto]])</f>
        <v>12</v>
      </c>
      <c r="N34" s="8">
        <f>SUMIFS(tItens[Valor],tItens[Produto],tProdutos[[#This Row],[Produto]])</f>
        <v>856903.5</v>
      </c>
      <c r="O34" s="8">
        <f>SUMIFS(tItens[Valor],tItens[Produto],tProdutos[[#This Row],[Produto]],tItens[SRP],"Sim")</f>
        <v>856903.5</v>
      </c>
      <c r="P34" s="6">
        <f>IF(tProdutos[[#This Row],[Valor janela]]=0,0,tProdutos[[#This Row],[Valor SRP]]/tProdutos[[#This Row],[Valor janela]])</f>
        <v>1</v>
      </c>
      <c r="Q34" s="8">
        <f>tProdutos[[#This Row],[Valor janela]]*DiasMes/DiasJanela</f>
        <v>2856345</v>
      </c>
      <c r="R34" s="8">
        <f>tProdutos[[#This Row],[Mercado mês ref]]*(1-IF(tProdutos[[#This Row],[Desconto homologado]]="",DescontoPadrao,tProdutos[[#This Row],[Desconto homologado]]))</f>
        <v>1885187.6999999997</v>
      </c>
      <c r="S34" t="str">
        <f>IF(ModoFoco="Lista",IF(tProdutos[[#This Row],[Lista definida]]="Sim","Sim","Não"),IF(AND(tProdutos[[#This Row],[Editais]]&gt;=MinEditais,N(tProdutos[[#This Row],[Margem bruta]])&gt;=MargemMin),"Sim","Não"))</f>
        <v>Sim</v>
      </c>
      <c r="T34" s="4">
        <f>IF(tProdutos[[#This Row],[Elegível]]="Sim",COUNTIFS(tProdutos[Elegível],"Sim",tProdutos[Valor janela],"&gt;"&amp;tProdutos[[#This Row],[Valor janela]])+1,"")</f>
        <v>5</v>
      </c>
      <c r="U34" t="str">
        <f>IF(ModoFoco="Lista",tProdutos[[#This Row],[Elegível]],IF(AND(tProdutos[[#This Row],[Posição]]&lt;&gt;"",N(tProdutos[[#This Row],[Posição]])&lt;=TopN),"Sim","Não"))</f>
        <v>Sim</v>
      </c>
    </row>
    <row r="35" spans="1:21" x14ac:dyDescent="0.25">
      <c r="A35">
        <v>34</v>
      </c>
      <c r="B35" t="s">
        <v>126</v>
      </c>
      <c r="C35" t="s">
        <v>78</v>
      </c>
      <c r="D35" s="14">
        <v>62.554219999999994</v>
      </c>
      <c r="E35" s="7">
        <v>0.54</v>
      </c>
      <c r="F35" s="7">
        <v>0.21</v>
      </c>
      <c r="G35" s="15">
        <v>6.6</v>
      </c>
      <c r="H35" s="15">
        <v>3.5</v>
      </c>
      <c r="I35" t="s">
        <v>127</v>
      </c>
      <c r="J35" s="16" t="s">
        <v>59</v>
      </c>
      <c r="K35" s="15">
        <v>59398.45</v>
      </c>
      <c r="L35" s="4">
        <f>COUNTIFS(tItens[Produto],tProdutos[[#This Row],[Produto]])</f>
        <v>12</v>
      </c>
      <c r="M35" s="4">
        <f>SUMIFS(tItens[Primeira ocorrência],tItens[Produto],tProdutos[[#This Row],[Produto]])</f>
        <v>12</v>
      </c>
      <c r="N35" s="8">
        <f>SUMIFS(tItens[Valor],tItens[Produto],tProdutos[[#This Row],[Produto]])</f>
        <v>395266.35</v>
      </c>
      <c r="O35" s="8">
        <f>SUMIFS(tItens[Valor],tItens[Produto],tProdutos[[#This Row],[Produto]],tItens[SRP],"Sim")</f>
        <v>313623.14999999997</v>
      </c>
      <c r="P35" s="6">
        <f>IF(tProdutos[[#This Row],[Valor janela]]=0,0,tProdutos[[#This Row],[Valor SRP]]/tProdutos[[#This Row],[Valor janela]])</f>
        <v>0.79344763347550329</v>
      </c>
      <c r="Q35" s="8">
        <f>tProdutos[[#This Row],[Valor janela]]*DiasMes/DiasJanela</f>
        <v>1317554.5</v>
      </c>
      <c r="R35" s="8">
        <f>tProdutos[[#This Row],[Mercado mês ref]]*(1-IF(tProdutos[[#This Row],[Desconto homologado]]="",DescontoPadrao,tProdutos[[#This Row],[Desconto homologado]]))</f>
        <v>1040868.0550000001</v>
      </c>
      <c r="S35" t="str">
        <f>IF(ModoFoco="Lista",IF(tProdutos[[#This Row],[Lista definida]]="Sim","Sim","Não"),IF(AND(tProdutos[[#This Row],[Editais]]&gt;=MinEditais,N(tProdutos[[#This Row],[Margem bruta]])&gt;=MargemMin),"Sim","Não"))</f>
        <v>Sim</v>
      </c>
      <c r="T35" s="4">
        <f>IF(tProdutos[[#This Row],[Elegível]]="Sim",COUNTIFS(tProdutos[Elegível],"Sim",tProdutos[Valor janela],"&gt;"&amp;tProdutos[[#This Row],[Valor janela]])+1,"")</f>
        <v>9</v>
      </c>
      <c r="U35" t="str">
        <f>IF(ModoFoco="Lista",tProdutos[[#This Row],[Elegível]],IF(AND(tProdutos[[#This Row],[Posição]]&lt;&gt;"",N(tProdutos[[#This Row],[Posição]])&lt;=TopN),"Sim","Não"))</f>
        <v>Sim</v>
      </c>
    </row>
    <row r="36" spans="1:21" x14ac:dyDescent="0.25">
      <c r="A36">
        <v>35</v>
      </c>
      <c r="B36" t="s">
        <v>128</v>
      </c>
      <c r="C36" t="s">
        <v>57</v>
      </c>
      <c r="D36" s="14">
        <v>62.146963963260944</v>
      </c>
      <c r="E36" s="7">
        <v>0.72657252888318358</v>
      </c>
      <c r="F36" s="7">
        <v>0.25750732078376398</v>
      </c>
      <c r="G36" s="15">
        <v>3.8</v>
      </c>
      <c r="H36" s="15">
        <v>1.2</v>
      </c>
      <c r="I36" t="s">
        <v>129</v>
      </c>
      <c r="J36" s="16" t="s">
        <v>66</v>
      </c>
      <c r="K36" s="15"/>
      <c r="L36" s="4">
        <f>COUNTIFS(tItens[Produto],tProdutos[[#This Row],[Produto]])</f>
        <v>0</v>
      </c>
      <c r="M36" s="4">
        <f>SUMIFS(tItens[Primeira ocorrência],tItens[Produto],tProdutos[[#This Row],[Produto]])</f>
        <v>0</v>
      </c>
      <c r="N36" s="8">
        <f>SUMIFS(tItens[Valor],tItens[Produto],tProdutos[[#This Row],[Produto]])</f>
        <v>0</v>
      </c>
      <c r="O36" s="8">
        <f>SUMIFS(tItens[Valor],tItens[Produto],tProdutos[[#This Row],[Produto]],tItens[SRP],"Sim")</f>
        <v>0</v>
      </c>
      <c r="P36" s="6">
        <f>IF(tProdutos[[#This Row],[Valor janela]]=0,0,tProdutos[[#This Row],[Valor SRP]]/tProdutos[[#This Row],[Valor janela]])</f>
        <v>0</v>
      </c>
      <c r="Q36" s="8">
        <f>tProdutos[[#This Row],[Valor janela]]*DiasMes/DiasJanela</f>
        <v>0</v>
      </c>
      <c r="R36" s="8">
        <f>tProdutos[[#This Row],[Mercado mês ref]]*(1-IF(tProdutos[[#This Row],[Desconto homologado]]="",DescontoPadrao,tProdutos[[#This Row],[Desconto homologado]]))</f>
        <v>0</v>
      </c>
      <c r="S36" t="str">
        <f>IF(ModoFoco="Lista",IF(tProdutos[[#This Row],[Lista definida]]="Sim","Sim","Não"),IF(AND(tProdutos[[#This Row],[Editais]]&gt;=MinEditais,N(tProdutos[[#This Row],[Margem bruta]])&gt;=MargemMin),"Sim","Não"))</f>
        <v>Não</v>
      </c>
      <c r="T36" s="4" t="str">
        <f>IF(tProdutos[[#This Row],[Elegível]]="Sim",COUNTIFS(tProdutos[Elegível],"Sim",tProdutos[Valor janela],"&gt;"&amp;tProdutos[[#This Row],[Valor janela]])+1,"")</f>
        <v/>
      </c>
      <c r="U36" t="str">
        <f>IF(ModoFoco="Lista",tProdutos[[#This Row],[Elegível]],IF(AND(tProdutos[[#This Row],[Posição]]&lt;&gt;"",N(tProdutos[[#This Row],[Posição]])&lt;=TopN),"Sim","Não"))</f>
        <v>Não</v>
      </c>
    </row>
    <row r="37" spans="1:21" x14ac:dyDescent="0.25">
      <c r="A37">
        <v>36</v>
      </c>
      <c r="B37" t="s">
        <v>130</v>
      </c>
      <c r="C37" t="s">
        <v>78</v>
      </c>
      <c r="D37" s="14">
        <v>62.047580000000011</v>
      </c>
      <c r="E37" s="7">
        <v>0.55000000000000004</v>
      </c>
      <c r="F37" s="7">
        <v>0.32</v>
      </c>
      <c r="G37" s="15">
        <v>0.23</v>
      </c>
      <c r="H37" s="15">
        <v>0.12</v>
      </c>
      <c r="I37" t="s">
        <v>131</v>
      </c>
      <c r="J37" s="16" t="s">
        <v>59</v>
      </c>
      <c r="K37" s="15">
        <v>30651.06</v>
      </c>
      <c r="L37" s="4">
        <f>COUNTIFS(tItens[Produto],tProdutos[[#This Row],[Produto]])</f>
        <v>19</v>
      </c>
      <c r="M37" s="4">
        <f>SUMIFS(tItens[Primeira ocorrência],tItens[Produto],tProdutos[[#This Row],[Produto]])</f>
        <v>19</v>
      </c>
      <c r="N37" s="8">
        <f>SUMIFS(tItens[Valor],tItens[Produto],tProdutos[[#This Row],[Produto]])</f>
        <v>318670.25</v>
      </c>
      <c r="O37" s="8">
        <f>SUMIFS(tItens[Valor],tItens[Produto],tProdutos[[#This Row],[Produto]],tItens[SRP],"Sim")</f>
        <v>303082.15000000002</v>
      </c>
      <c r="P37" s="6">
        <f>IF(tProdutos[[#This Row],[Valor janela]]=0,0,tProdutos[[#This Row],[Valor SRP]]/tProdutos[[#This Row],[Valor janela]])</f>
        <v>0.95108391825091931</v>
      </c>
      <c r="Q37" s="8">
        <f>tProdutos[[#This Row],[Valor janela]]*DiasMes/DiasJanela</f>
        <v>1062234.1666666667</v>
      </c>
      <c r="R37" s="8">
        <f>tProdutos[[#This Row],[Mercado mês ref]]*(1-IF(tProdutos[[#This Row],[Desconto homologado]]="",DescontoPadrao,tProdutos[[#This Row],[Desconto homologado]]))</f>
        <v>722319.23333333328</v>
      </c>
      <c r="S37" t="str">
        <f>IF(ModoFoco="Lista",IF(tProdutos[[#This Row],[Lista definida]]="Sim","Sim","Não"),IF(AND(tProdutos[[#This Row],[Editais]]&gt;=MinEditais,N(tProdutos[[#This Row],[Margem bruta]])&gt;=MargemMin),"Sim","Não"))</f>
        <v>Sim</v>
      </c>
      <c r="T37" s="4">
        <f>IF(tProdutos[[#This Row],[Elegível]]="Sim",COUNTIFS(tProdutos[Elegível],"Sim",tProdutos[Valor janela],"&gt;"&amp;tProdutos[[#This Row],[Valor janela]])+1,"")</f>
        <v>10</v>
      </c>
      <c r="U37" t="str">
        <f>IF(ModoFoco="Lista",tProdutos[[#This Row],[Elegível]],IF(AND(tProdutos[[#This Row],[Posição]]&lt;&gt;"",N(tProdutos[[#This Row],[Posição]])&lt;=TopN),"Sim","Não"))</f>
        <v>Sim</v>
      </c>
    </row>
    <row r="38" spans="1:21" x14ac:dyDescent="0.25">
      <c r="A38">
        <v>37</v>
      </c>
      <c r="B38" t="s">
        <v>132</v>
      </c>
      <c r="C38" t="s">
        <v>57</v>
      </c>
      <c r="D38" s="14">
        <v>61.894720000000007</v>
      </c>
      <c r="E38" s="7">
        <v>0.63</v>
      </c>
      <c r="F38" s="7">
        <v>0.27</v>
      </c>
      <c r="G38" s="15">
        <v>6.55</v>
      </c>
      <c r="H38" s="15">
        <v>2.5</v>
      </c>
      <c r="I38" t="s">
        <v>133</v>
      </c>
      <c r="J38" s="16" t="s">
        <v>59</v>
      </c>
      <c r="K38" s="15">
        <v>16962.490000000002</v>
      </c>
      <c r="L38" s="4">
        <f>COUNTIFS(tItens[Produto],tProdutos[[#This Row],[Produto]])</f>
        <v>27</v>
      </c>
      <c r="M38" s="4">
        <f>SUMIFS(tItens[Primeira ocorrência],tItens[Produto],tProdutos[[#This Row],[Produto]])</f>
        <v>23</v>
      </c>
      <c r="N38" s="8">
        <f>SUMIFS(tItens[Valor],tItens[Produto],tProdutos[[#This Row],[Produto]])</f>
        <v>218912.69999999998</v>
      </c>
      <c r="O38" s="8">
        <f>SUMIFS(tItens[Valor],tItens[Produto],tProdutos[[#This Row],[Produto]],tItens[SRP],"Sim")</f>
        <v>78178.759999999995</v>
      </c>
      <c r="P38" s="6">
        <f>IF(tProdutos[[#This Row],[Valor janela]]=0,0,tProdutos[[#This Row],[Valor SRP]]/tProdutos[[#This Row],[Valor janela]])</f>
        <v>0.35712299925952218</v>
      </c>
      <c r="Q38" s="8">
        <f>tProdutos[[#This Row],[Valor janela]]*DiasMes/DiasJanela</f>
        <v>729709</v>
      </c>
      <c r="R38" s="8">
        <f>tProdutos[[#This Row],[Mercado mês ref]]*(1-IF(tProdutos[[#This Row],[Desconto homologado]]="",DescontoPadrao,tProdutos[[#This Row],[Desconto homologado]]))</f>
        <v>532687.56999999995</v>
      </c>
      <c r="S38" t="str">
        <f>IF(ModoFoco="Lista",IF(tProdutos[[#This Row],[Lista definida]]="Sim","Sim","Não"),IF(AND(tProdutos[[#This Row],[Editais]]&gt;=MinEditais,N(tProdutos[[#This Row],[Margem bruta]])&gt;=MargemMin),"Sim","Não"))</f>
        <v>Sim</v>
      </c>
      <c r="T38" s="4">
        <f>IF(tProdutos[[#This Row],[Elegível]]="Sim",COUNTIFS(tProdutos[Elegível],"Sim",tProdutos[Valor janela],"&gt;"&amp;tProdutos[[#This Row],[Valor janela]])+1,"")</f>
        <v>12</v>
      </c>
      <c r="U38" t="str">
        <f>IF(ModoFoco="Lista",tProdutos[[#This Row],[Elegível]],IF(AND(tProdutos[[#This Row],[Posição]]&lt;&gt;"",N(tProdutos[[#This Row],[Posição]])&lt;=TopN),"Sim","Não"))</f>
        <v>Sim</v>
      </c>
    </row>
    <row r="39" spans="1:21" x14ac:dyDescent="0.25">
      <c r="A39">
        <v>38</v>
      </c>
      <c r="B39" t="s">
        <v>134</v>
      </c>
      <c r="C39" t="s">
        <v>78</v>
      </c>
      <c r="D39" s="14">
        <v>61.750700000000009</v>
      </c>
      <c r="E39" s="7">
        <v>0.64</v>
      </c>
      <c r="F39" s="7">
        <v>0.38</v>
      </c>
      <c r="G39" s="15">
        <v>3.5</v>
      </c>
      <c r="H39" s="15">
        <v>1.3</v>
      </c>
      <c r="I39" t="s">
        <v>135</v>
      </c>
      <c r="J39" s="16" t="s">
        <v>59</v>
      </c>
      <c r="K39" s="15">
        <v>76055.17</v>
      </c>
      <c r="L39" s="4">
        <f>COUNTIFS(tItens[Produto],tProdutos[[#This Row],[Produto]])</f>
        <v>6</v>
      </c>
      <c r="M39" s="4">
        <f>SUMIFS(tItens[Primeira ocorrência],tItens[Produto],tProdutos[[#This Row],[Produto]])</f>
        <v>2</v>
      </c>
      <c r="N39" s="8">
        <f>SUMIFS(tItens[Valor],tItens[Produto],tProdutos[[#This Row],[Produto]])</f>
        <v>214700</v>
      </c>
      <c r="O39" s="8">
        <f>SUMIFS(tItens[Valor],tItens[Produto],tProdutos[[#This Row],[Produto]],tItens[SRP],"Sim")</f>
        <v>214700</v>
      </c>
      <c r="P39" s="6">
        <f>IF(tProdutos[[#This Row],[Valor janela]]=0,0,tProdutos[[#This Row],[Valor SRP]]/tProdutos[[#This Row],[Valor janela]])</f>
        <v>1</v>
      </c>
      <c r="Q39" s="8">
        <f>tProdutos[[#This Row],[Valor janela]]*DiasMes/DiasJanela</f>
        <v>715666.66666666663</v>
      </c>
      <c r="R39" s="8">
        <f>tProdutos[[#This Row],[Mercado mês ref]]*(1-IF(tProdutos[[#This Row],[Desconto homologado]]="",DescontoPadrao,tProdutos[[#This Row],[Desconto homologado]]))</f>
        <v>443713.33333333331</v>
      </c>
      <c r="S39" t="str">
        <f>IF(ModoFoco="Lista",IF(tProdutos[[#This Row],[Lista definida]]="Sim","Sim","Não"),IF(AND(tProdutos[[#This Row],[Editais]]&gt;=MinEditais,N(tProdutos[[#This Row],[Margem bruta]])&gt;=MargemMin),"Sim","Não"))</f>
        <v>Sim</v>
      </c>
      <c r="T39" s="4">
        <f>IF(tProdutos[[#This Row],[Elegível]]="Sim",COUNTIFS(tProdutos[Elegível],"Sim",tProdutos[Valor janela],"&gt;"&amp;tProdutos[[#This Row],[Valor janela]])+1,"")</f>
        <v>13</v>
      </c>
      <c r="U39" t="str">
        <f>IF(ModoFoco="Lista",tProdutos[[#This Row],[Elegível]],IF(AND(tProdutos[[#This Row],[Posição]]&lt;&gt;"",N(tProdutos[[#This Row],[Posição]])&lt;=TopN),"Sim","Não"))</f>
        <v>Sim</v>
      </c>
    </row>
    <row r="40" spans="1:21" x14ac:dyDescent="0.25">
      <c r="A40">
        <v>39</v>
      </c>
      <c r="B40" t="s">
        <v>136</v>
      </c>
      <c r="C40" t="s">
        <v>78</v>
      </c>
      <c r="D40" s="14">
        <v>61.722299999999997</v>
      </c>
      <c r="E40" s="7">
        <v>0.55276154001209443</v>
      </c>
      <c r="F40" s="7">
        <v>0.330646209370899</v>
      </c>
      <c r="G40" s="15">
        <v>4.84</v>
      </c>
      <c r="H40" s="15">
        <v>2.5</v>
      </c>
      <c r="I40" t="s">
        <v>137</v>
      </c>
      <c r="J40" s="16" t="s">
        <v>66</v>
      </c>
      <c r="K40" s="15"/>
      <c r="L40" s="4">
        <f>COUNTIFS(tItens[Produto],tProdutos[[#This Row],[Produto]])</f>
        <v>30</v>
      </c>
      <c r="M40" s="4">
        <f>SUMIFS(tItens[Primeira ocorrência],tItens[Produto],tProdutos[[#This Row],[Produto]])</f>
        <v>17</v>
      </c>
      <c r="N40" s="8">
        <f>SUMIFS(tItens[Valor],tItens[Produto],tProdutos[[#This Row],[Produto]])</f>
        <v>149680.01999999999</v>
      </c>
      <c r="O40" s="8">
        <f>SUMIFS(tItens[Valor],tItens[Produto],tProdutos[[#This Row],[Produto]],tItens[SRP],"Sim")</f>
        <v>32155.37</v>
      </c>
      <c r="P40" s="6">
        <f>IF(tProdutos[[#This Row],[Valor janela]]=0,0,tProdutos[[#This Row],[Valor SRP]]/tProdutos[[#This Row],[Valor janela]])</f>
        <v>0.21482740314973234</v>
      </c>
      <c r="Q40" s="8">
        <f>tProdutos[[#This Row],[Valor janela]]*DiasMes/DiasJanela</f>
        <v>498933.39999999997</v>
      </c>
      <c r="R40" s="8">
        <f>tProdutos[[#This Row],[Mercado mês ref]]*(1-IF(tProdutos[[#This Row],[Desconto homologado]]="",DescontoPadrao,tProdutos[[#This Row],[Desconto homologado]]))</f>
        <v>333962.96256146545</v>
      </c>
      <c r="S40" t="str">
        <f>IF(ModoFoco="Lista",IF(tProdutos[[#This Row],[Lista definida]]="Sim","Sim","Não"),IF(AND(tProdutos[[#This Row],[Editais]]&gt;=MinEditais,N(tProdutos[[#This Row],[Margem bruta]])&gt;=MargemMin),"Sim","Não"))</f>
        <v>Não</v>
      </c>
      <c r="T40" s="4" t="str">
        <f>IF(tProdutos[[#This Row],[Elegível]]="Sim",COUNTIFS(tProdutos[Elegível],"Sim",tProdutos[Valor janela],"&gt;"&amp;tProdutos[[#This Row],[Valor janela]])+1,"")</f>
        <v/>
      </c>
      <c r="U40" t="str">
        <f>IF(ModoFoco="Lista",tProdutos[[#This Row],[Elegível]],IF(AND(tProdutos[[#This Row],[Posição]]&lt;&gt;"",N(tProdutos[[#This Row],[Posição]])&lt;=TopN),"Sim","Não"))</f>
        <v>Não</v>
      </c>
    </row>
    <row r="41" spans="1:21" x14ac:dyDescent="0.25">
      <c r="A41">
        <v>40</v>
      </c>
      <c r="B41" t="s">
        <v>138</v>
      </c>
      <c r="C41" t="s">
        <v>78</v>
      </c>
      <c r="D41" s="14">
        <v>61.644005999999997</v>
      </c>
      <c r="E41" s="7">
        <v>0.63922764227642281</v>
      </c>
      <c r="F41" s="7">
        <v>0.26998708082016998</v>
      </c>
      <c r="G41" s="15">
        <v>0.24</v>
      </c>
      <c r="H41" s="15">
        <v>0.1</v>
      </c>
      <c r="I41" t="s">
        <v>139</v>
      </c>
      <c r="J41" s="16" t="s">
        <v>66</v>
      </c>
      <c r="K41" s="15"/>
      <c r="L41" s="4">
        <f>COUNTIFS(tItens[Produto],tProdutos[[#This Row],[Produto]])</f>
        <v>3</v>
      </c>
      <c r="M41" s="4">
        <f>SUMIFS(tItens[Primeira ocorrência],tItens[Produto],tProdutos[[#This Row],[Produto]])</f>
        <v>3</v>
      </c>
      <c r="N41" s="8">
        <f>SUMIFS(tItens[Valor],tItens[Produto],tProdutos[[#This Row],[Produto]])</f>
        <v>19708.920000000002</v>
      </c>
      <c r="O41" s="8">
        <f>SUMIFS(tItens[Valor],tItens[Produto],tProdutos[[#This Row],[Produto]],tItens[SRP],"Sim")</f>
        <v>19140</v>
      </c>
      <c r="P41" s="6">
        <f>IF(tProdutos[[#This Row],[Valor janela]]=0,0,tProdutos[[#This Row],[Valor SRP]]/tProdutos[[#This Row],[Valor janela]])</f>
        <v>0.97113388252628752</v>
      </c>
      <c r="Q41" s="8">
        <f>tProdutos[[#This Row],[Valor janela]]*DiasMes/DiasJanela</f>
        <v>65696.400000000009</v>
      </c>
      <c r="R41" s="8">
        <f>tProdutos[[#This Row],[Mercado mês ref]]*(1-IF(tProdutos[[#This Row],[Desconto homologado]]="",DescontoPadrao,tProdutos[[#This Row],[Desconto homologado]]))</f>
        <v>47959.220743605794</v>
      </c>
      <c r="S41" t="str">
        <f>IF(ModoFoco="Lista",IF(tProdutos[[#This Row],[Lista definida]]="Sim","Sim","Não"),IF(AND(tProdutos[[#This Row],[Editais]]&gt;=MinEditais,N(tProdutos[[#This Row],[Margem bruta]])&gt;=MargemMin),"Sim","Não"))</f>
        <v>Não</v>
      </c>
      <c r="T41" s="4" t="str">
        <f>IF(tProdutos[[#This Row],[Elegível]]="Sim",COUNTIFS(tProdutos[Elegível],"Sim",tProdutos[Valor janela],"&gt;"&amp;tProdutos[[#This Row],[Valor janela]])+1,"")</f>
        <v/>
      </c>
      <c r="U41" t="str">
        <f>IF(ModoFoco="Lista",tProdutos[[#This Row],[Elegível]],IF(AND(tProdutos[[#This Row],[Posição]]&lt;&gt;"",N(tProdutos[[#This Row],[Posição]])&lt;=TopN),"Sim","Não"))</f>
        <v>Não</v>
      </c>
    </row>
    <row r="42" spans="1:21" x14ac:dyDescent="0.25">
      <c r="A42">
        <v>41</v>
      </c>
      <c r="B42" t="s">
        <v>140</v>
      </c>
      <c r="C42" t="s">
        <v>78</v>
      </c>
      <c r="D42" s="14">
        <v>61.327620000000003</v>
      </c>
      <c r="E42" s="7">
        <v>0.65016013796501615</v>
      </c>
      <c r="F42" s="7">
        <v>0.48560177208958899</v>
      </c>
      <c r="G42" s="15">
        <v>14.85</v>
      </c>
      <c r="H42" s="15">
        <v>6</v>
      </c>
      <c r="I42" t="s">
        <v>141</v>
      </c>
      <c r="J42" s="16" t="s">
        <v>66</v>
      </c>
      <c r="K42" s="15"/>
      <c r="L42" s="4">
        <f>COUNTIFS(tItens[Produto],tProdutos[[#This Row],[Produto]])</f>
        <v>17</v>
      </c>
      <c r="M42" s="4">
        <f>SUMIFS(tItens[Primeira ocorrência],tItens[Produto],tProdutos[[#This Row],[Produto]])</f>
        <v>11</v>
      </c>
      <c r="N42" s="8">
        <f>SUMIFS(tItens[Valor],tItens[Produto],tProdutos[[#This Row],[Produto]])</f>
        <v>79603.199999999997</v>
      </c>
      <c r="O42" s="8">
        <f>SUMIFS(tItens[Valor],tItens[Produto],tProdutos[[#This Row],[Produto]],tItens[SRP],"Sim")</f>
        <v>33370.039999999994</v>
      </c>
      <c r="P42" s="6">
        <f>IF(tProdutos[[#This Row],[Valor janela]]=0,0,tProdutos[[#This Row],[Valor SRP]]/tProdutos[[#This Row],[Valor janela]])</f>
        <v>0.41920475558771503</v>
      </c>
      <c r="Q42" s="8">
        <f>tProdutos[[#This Row],[Valor janela]]*DiasMes/DiasJanela</f>
        <v>265344</v>
      </c>
      <c r="R42" s="8">
        <f>tProdutos[[#This Row],[Mercado mês ref]]*(1-IF(tProdutos[[#This Row],[Desconto homologado]]="",DescontoPadrao,tProdutos[[#This Row],[Desconto homologado]]))</f>
        <v>136492.48338666011</v>
      </c>
      <c r="S42" t="str">
        <f>IF(ModoFoco="Lista",IF(tProdutos[[#This Row],[Lista definida]]="Sim","Sim","Não"),IF(AND(tProdutos[[#This Row],[Editais]]&gt;=MinEditais,N(tProdutos[[#This Row],[Margem bruta]])&gt;=MargemMin),"Sim","Não"))</f>
        <v>Não</v>
      </c>
      <c r="T42" s="4" t="str">
        <f>IF(tProdutos[[#This Row],[Elegível]]="Sim",COUNTIFS(tProdutos[Elegível],"Sim",tProdutos[Valor janela],"&gt;"&amp;tProdutos[[#This Row],[Valor janela]])+1,"")</f>
        <v/>
      </c>
      <c r="U42" t="str">
        <f>IF(ModoFoco="Lista",tProdutos[[#This Row],[Elegível]],IF(AND(tProdutos[[#This Row],[Posição]]&lt;&gt;"",N(tProdutos[[#This Row],[Posição]])&lt;=TopN),"Sim","Não"))</f>
        <v>Não</v>
      </c>
    </row>
    <row r="43" spans="1:21" x14ac:dyDescent="0.25">
      <c r="A43">
        <v>42</v>
      </c>
      <c r="B43" t="s">
        <v>142</v>
      </c>
      <c r="C43" t="s">
        <v>78</v>
      </c>
      <c r="D43" s="14">
        <v>61.174040000000005</v>
      </c>
      <c r="E43" s="7">
        <v>0.43974175035868018</v>
      </c>
      <c r="F43" s="7">
        <v>0.37093619495691699</v>
      </c>
      <c r="G43" s="15">
        <v>3.4</v>
      </c>
      <c r="H43" s="15">
        <v>2.2000000000000002</v>
      </c>
      <c r="I43" t="s">
        <v>143</v>
      </c>
      <c r="J43" s="16" t="s">
        <v>66</v>
      </c>
      <c r="K43" s="15"/>
      <c r="L43" s="4">
        <f>COUNTIFS(tItens[Produto],tProdutos[[#This Row],[Produto]])</f>
        <v>75</v>
      </c>
      <c r="M43" s="4">
        <f>SUMIFS(tItens[Primeira ocorrência],tItens[Produto],tProdutos[[#This Row],[Produto]])</f>
        <v>68</v>
      </c>
      <c r="N43" s="8">
        <f>SUMIFS(tItens[Valor],tItens[Produto],tProdutos[[#This Row],[Produto]])</f>
        <v>370254.13</v>
      </c>
      <c r="O43" s="8">
        <f>SUMIFS(tItens[Valor],tItens[Produto],tProdutos[[#This Row],[Produto]],tItens[SRP],"Sim")</f>
        <v>276347.53000000003</v>
      </c>
      <c r="P43" s="6">
        <f>IF(tProdutos[[#This Row],[Valor janela]]=0,0,tProdutos[[#This Row],[Valor SRP]]/tProdutos[[#This Row],[Valor janela]])</f>
        <v>0.74637257928763689</v>
      </c>
      <c r="Q43" s="8">
        <f>tProdutos[[#This Row],[Valor janela]]*DiasMes/DiasJanela</f>
        <v>1234180.4333333333</v>
      </c>
      <c r="R43" s="8">
        <f>tProdutos[[#This Row],[Mercado mês ref]]*(1-IF(tProdutos[[#This Row],[Desconto homologado]]="",DescontoPadrao,tProdutos[[#This Row],[Desconto homologado]]))</f>
        <v>776378.2395023877</v>
      </c>
      <c r="S43" t="str">
        <f>IF(ModoFoco="Lista",IF(tProdutos[[#This Row],[Lista definida]]="Sim","Sim","Não"),IF(AND(tProdutos[[#This Row],[Editais]]&gt;=MinEditais,N(tProdutos[[#This Row],[Margem bruta]])&gt;=MargemMin),"Sim","Não"))</f>
        <v>Não</v>
      </c>
      <c r="T43" s="4" t="str">
        <f>IF(tProdutos[[#This Row],[Elegível]]="Sim",COUNTIFS(tProdutos[Elegível],"Sim",tProdutos[Valor janela],"&gt;"&amp;tProdutos[[#This Row],[Valor janela]])+1,"")</f>
        <v/>
      </c>
      <c r="U43" t="str">
        <f>IF(ModoFoco="Lista",tProdutos[[#This Row],[Elegível]],IF(AND(tProdutos[[#This Row],[Posição]]&lt;&gt;"",N(tProdutos[[#This Row],[Posição]])&lt;=TopN),"Sim","Não"))</f>
        <v>Não</v>
      </c>
    </row>
    <row r="44" spans="1:21" x14ac:dyDescent="0.25">
      <c r="A44">
        <v>43</v>
      </c>
      <c r="B44" t="s">
        <v>144</v>
      </c>
      <c r="C44" t="s">
        <v>78</v>
      </c>
      <c r="D44" s="14">
        <v>60.781379999999999</v>
      </c>
      <c r="E44" s="7">
        <v>0.51897018970189701</v>
      </c>
      <c r="F44" s="7">
        <v>0.371428571428571</v>
      </c>
      <c r="G44" s="15">
        <v>8.1</v>
      </c>
      <c r="H44" s="15">
        <v>4.5</v>
      </c>
      <c r="I44" t="s">
        <v>145</v>
      </c>
      <c r="J44" s="16" t="s">
        <v>66</v>
      </c>
      <c r="K44" s="15"/>
      <c r="L44" s="4">
        <f>COUNTIFS(tItens[Produto],tProdutos[[#This Row],[Produto]])</f>
        <v>49</v>
      </c>
      <c r="M44" s="4">
        <f>SUMIFS(tItens[Primeira ocorrência],tItens[Produto],tProdutos[[#This Row],[Produto]])</f>
        <v>28</v>
      </c>
      <c r="N44" s="8">
        <f>SUMIFS(tItens[Valor],tItens[Produto],tProdutos[[#This Row],[Produto]])</f>
        <v>3086640.6199999996</v>
      </c>
      <c r="O44" s="8">
        <f>SUMIFS(tItens[Valor],tItens[Produto],tProdutos[[#This Row],[Produto]],tItens[SRP],"Sim")</f>
        <v>1319128.76</v>
      </c>
      <c r="P44" s="6">
        <f>IF(tProdutos[[#This Row],[Valor janela]]=0,0,tProdutos[[#This Row],[Valor SRP]]/tProdutos[[#This Row],[Valor janela]])</f>
        <v>0.42736713547170263</v>
      </c>
      <c r="Q44" s="8">
        <f>tProdutos[[#This Row],[Valor janela]]*DiasMes/DiasJanela</f>
        <v>10288802.066666665</v>
      </c>
      <c r="R44" s="8">
        <f>tProdutos[[#This Row],[Mercado mês ref]]*(1-IF(tProdutos[[#This Row],[Desconto homologado]]="",DescontoPadrao,tProdutos[[#This Row],[Desconto homologado]]))</f>
        <v>6467247.0133333365</v>
      </c>
      <c r="S44" t="str">
        <f>IF(ModoFoco="Lista",IF(tProdutos[[#This Row],[Lista definida]]="Sim","Sim","Não"),IF(AND(tProdutos[[#This Row],[Editais]]&gt;=MinEditais,N(tProdutos[[#This Row],[Margem bruta]])&gt;=MargemMin),"Sim","Não"))</f>
        <v>Não</v>
      </c>
      <c r="T44" s="4" t="str">
        <f>IF(tProdutos[[#This Row],[Elegível]]="Sim",COUNTIFS(tProdutos[Elegível],"Sim",tProdutos[Valor janela],"&gt;"&amp;tProdutos[[#This Row],[Valor janela]])+1,"")</f>
        <v/>
      </c>
      <c r="U44" t="str">
        <f>IF(ModoFoco="Lista",tProdutos[[#This Row],[Elegível]],IF(AND(tProdutos[[#This Row],[Posição]]&lt;&gt;"",N(tProdutos[[#This Row],[Posição]])&lt;=TopN),"Sim","Não"))</f>
        <v>Não</v>
      </c>
    </row>
    <row r="45" spans="1:21" x14ac:dyDescent="0.25">
      <c r="A45">
        <v>44</v>
      </c>
      <c r="B45" t="s">
        <v>146</v>
      </c>
      <c r="C45" t="s">
        <v>78</v>
      </c>
      <c r="D45" s="14">
        <v>60.518317000000003</v>
      </c>
      <c r="E45" s="7">
        <v>0.76270758444490661</v>
      </c>
      <c r="F45" s="7">
        <v>0.17898379508054499</v>
      </c>
      <c r="G45" s="15">
        <v>32.840000000000003</v>
      </c>
      <c r="H45" s="15">
        <v>9</v>
      </c>
      <c r="I45" t="s">
        <v>147</v>
      </c>
      <c r="J45" s="16" t="s">
        <v>66</v>
      </c>
      <c r="K45" s="15"/>
      <c r="L45" s="4">
        <f>COUNTIFS(tItens[Produto],tProdutos[[#This Row],[Produto]])</f>
        <v>2</v>
      </c>
      <c r="M45" s="4">
        <f>SUMIFS(tItens[Primeira ocorrência],tItens[Produto],tProdutos[[#This Row],[Produto]])</f>
        <v>2</v>
      </c>
      <c r="N45" s="8">
        <f>SUMIFS(tItens[Valor],tItens[Produto],tProdutos[[#This Row],[Produto]])</f>
        <v>237.6</v>
      </c>
      <c r="O45" s="8">
        <f>SUMIFS(tItens[Valor],tItens[Produto],tProdutos[[#This Row],[Produto]],tItens[SRP],"Sim")</f>
        <v>0</v>
      </c>
      <c r="P45" s="6">
        <f>IF(tProdutos[[#This Row],[Valor janela]]=0,0,tProdutos[[#This Row],[Valor SRP]]/tProdutos[[#This Row],[Valor janela]])</f>
        <v>0</v>
      </c>
      <c r="Q45" s="8">
        <f>tProdutos[[#This Row],[Valor janela]]*DiasMes/DiasJanela</f>
        <v>792</v>
      </c>
      <c r="R45" s="8">
        <f>tProdutos[[#This Row],[Mercado mês ref]]*(1-IF(tProdutos[[#This Row],[Desconto homologado]]="",DescontoPadrao,tProdutos[[#This Row],[Desconto homologado]]))</f>
        <v>650.24483429620841</v>
      </c>
      <c r="S45" t="str">
        <f>IF(ModoFoco="Lista",IF(tProdutos[[#This Row],[Lista definida]]="Sim","Sim","Não"),IF(AND(tProdutos[[#This Row],[Editais]]&gt;=MinEditais,N(tProdutos[[#This Row],[Margem bruta]])&gt;=MargemMin),"Sim","Não"))</f>
        <v>Não</v>
      </c>
      <c r="T45" s="4" t="str">
        <f>IF(tProdutos[[#This Row],[Elegível]]="Sim",COUNTIFS(tProdutos[Elegível],"Sim",tProdutos[Valor janela],"&gt;"&amp;tProdutos[[#This Row],[Valor janela]])+1,"")</f>
        <v/>
      </c>
      <c r="U45" t="str">
        <f>IF(ModoFoco="Lista",tProdutos[[#This Row],[Elegível]],IF(AND(tProdutos[[#This Row],[Posição]]&lt;&gt;"",N(tProdutos[[#This Row],[Posição]])&lt;=TopN),"Sim","Não"))</f>
        <v>Não</v>
      </c>
    </row>
    <row r="46" spans="1:21" x14ac:dyDescent="0.25">
      <c r="A46">
        <v>45</v>
      </c>
      <c r="B46" t="s">
        <v>148</v>
      </c>
      <c r="C46" t="s">
        <v>78</v>
      </c>
      <c r="D46" s="14">
        <v>60.346779999999995</v>
      </c>
      <c r="E46" s="7">
        <v>0.56707317073170738</v>
      </c>
      <c r="F46" s="7">
        <v>0.27667269439421299</v>
      </c>
      <c r="G46" s="15">
        <v>4</v>
      </c>
      <c r="H46" s="15">
        <v>2</v>
      </c>
      <c r="I46" t="s">
        <v>149</v>
      </c>
      <c r="J46" s="16" t="s">
        <v>66</v>
      </c>
      <c r="K46" s="15"/>
      <c r="L46" s="4">
        <f>COUNTIFS(tItens[Produto],tProdutos[[#This Row],[Produto]])</f>
        <v>0</v>
      </c>
      <c r="M46" s="4">
        <f>SUMIFS(tItens[Primeira ocorrência],tItens[Produto],tProdutos[[#This Row],[Produto]])</f>
        <v>0</v>
      </c>
      <c r="N46" s="8">
        <f>SUMIFS(tItens[Valor],tItens[Produto],tProdutos[[#This Row],[Produto]])</f>
        <v>0</v>
      </c>
      <c r="O46" s="8">
        <f>SUMIFS(tItens[Valor],tItens[Produto],tProdutos[[#This Row],[Produto]],tItens[SRP],"Sim")</f>
        <v>0</v>
      </c>
      <c r="P46" s="6">
        <f>IF(tProdutos[[#This Row],[Valor janela]]=0,0,tProdutos[[#This Row],[Valor SRP]]/tProdutos[[#This Row],[Valor janela]])</f>
        <v>0</v>
      </c>
      <c r="Q46" s="8">
        <f>tProdutos[[#This Row],[Valor janela]]*DiasMes/DiasJanela</f>
        <v>0</v>
      </c>
      <c r="R46" s="8">
        <f>tProdutos[[#This Row],[Mercado mês ref]]*(1-IF(tProdutos[[#This Row],[Desconto homologado]]="",DescontoPadrao,tProdutos[[#This Row],[Desconto homologado]]))</f>
        <v>0</v>
      </c>
      <c r="S46" t="str">
        <f>IF(ModoFoco="Lista",IF(tProdutos[[#This Row],[Lista definida]]="Sim","Sim","Não"),IF(AND(tProdutos[[#This Row],[Editais]]&gt;=MinEditais,N(tProdutos[[#This Row],[Margem bruta]])&gt;=MargemMin),"Sim","Não"))</f>
        <v>Não</v>
      </c>
      <c r="T46" s="4" t="str">
        <f>IF(tProdutos[[#This Row],[Elegível]]="Sim",COUNTIFS(tProdutos[Elegível],"Sim",tProdutos[Valor janela],"&gt;"&amp;tProdutos[[#This Row],[Valor janela]])+1,"")</f>
        <v/>
      </c>
      <c r="U46" t="str">
        <f>IF(ModoFoco="Lista",tProdutos[[#This Row],[Elegível]],IF(AND(tProdutos[[#This Row],[Posição]]&lt;&gt;"",N(tProdutos[[#This Row],[Posição]])&lt;=TopN),"Sim","Não"))</f>
        <v>Não</v>
      </c>
    </row>
    <row r="47" spans="1:21" x14ac:dyDescent="0.25">
      <c r="A47">
        <v>46</v>
      </c>
      <c r="B47" t="s">
        <v>150</v>
      </c>
      <c r="C47" t="s">
        <v>78</v>
      </c>
      <c r="D47" s="14">
        <v>60.216299999999997</v>
      </c>
      <c r="E47" s="7">
        <v>0.36474419769876354</v>
      </c>
      <c r="F47" s="7">
        <v>0.24874026568941801</v>
      </c>
      <c r="G47" s="15">
        <v>0.40889999999999999</v>
      </c>
      <c r="H47" s="15">
        <v>0.3</v>
      </c>
      <c r="I47" t="s">
        <v>151</v>
      </c>
      <c r="J47" s="16" t="s">
        <v>66</v>
      </c>
      <c r="K47" s="15"/>
      <c r="L47" s="4">
        <f>COUNTIFS(tItens[Produto],tProdutos[[#This Row],[Produto]])</f>
        <v>15</v>
      </c>
      <c r="M47" s="4">
        <f>SUMIFS(tItens[Primeira ocorrência],tItens[Produto],tProdutos[[#This Row],[Produto]])</f>
        <v>9</v>
      </c>
      <c r="N47" s="8">
        <f>SUMIFS(tItens[Valor],tItens[Produto],tProdutos[[#This Row],[Produto]])</f>
        <v>50590.400000000001</v>
      </c>
      <c r="O47" s="8">
        <f>SUMIFS(tItens[Valor],tItens[Produto],tProdutos[[#This Row],[Produto]],tItens[SRP],"Sim")</f>
        <v>50551.4</v>
      </c>
      <c r="P47" s="6">
        <f>IF(tProdutos[[#This Row],[Valor janela]]=0,0,tProdutos[[#This Row],[Valor SRP]]/tProdutos[[#This Row],[Valor janela]])</f>
        <v>0.9992291027546728</v>
      </c>
      <c r="Q47" s="8">
        <f>tProdutos[[#This Row],[Valor janela]]*DiasMes/DiasJanela</f>
        <v>168634.66666666666</v>
      </c>
      <c r="R47" s="8">
        <f>tProdutos[[#This Row],[Mercado mês ref]]*(1-IF(tProdutos[[#This Row],[Desconto homologado]]="",DescontoPadrao,tProdutos[[#This Row],[Desconto homologado]]))</f>
        <v>126688.43487555356</v>
      </c>
      <c r="S47" t="str">
        <f>IF(ModoFoco="Lista",IF(tProdutos[[#This Row],[Lista definida]]="Sim","Sim","Não"),IF(AND(tProdutos[[#This Row],[Editais]]&gt;=MinEditais,N(tProdutos[[#This Row],[Margem bruta]])&gt;=MargemMin),"Sim","Não"))</f>
        <v>Não</v>
      </c>
      <c r="T47" s="4" t="str">
        <f>IF(tProdutos[[#This Row],[Elegível]]="Sim",COUNTIFS(tProdutos[Elegível],"Sim",tProdutos[Valor janela],"&gt;"&amp;tProdutos[[#This Row],[Valor janela]])+1,"")</f>
        <v/>
      </c>
      <c r="U47" t="str">
        <f>IF(ModoFoco="Lista",tProdutos[[#This Row],[Elegível]],IF(AND(tProdutos[[#This Row],[Posição]]&lt;&gt;"",N(tProdutos[[#This Row],[Posição]])&lt;=TopN),"Sim","Não"))</f>
        <v>Não</v>
      </c>
    </row>
    <row r="48" spans="1:21" x14ac:dyDescent="0.25">
      <c r="A48">
        <v>47</v>
      </c>
      <c r="B48" t="s">
        <v>152</v>
      </c>
      <c r="C48" t="s">
        <v>78</v>
      </c>
      <c r="D48" s="14">
        <v>60.097000000000008</v>
      </c>
      <c r="E48" s="7">
        <v>0.68943556006578721</v>
      </c>
      <c r="F48" s="7">
        <v>0.33154310923563801</v>
      </c>
      <c r="G48" s="15">
        <v>69.7</v>
      </c>
      <c r="H48" s="15">
        <v>25</v>
      </c>
      <c r="I48" t="s">
        <v>153</v>
      </c>
      <c r="J48" s="16" t="s">
        <v>66</v>
      </c>
      <c r="K48" s="15"/>
      <c r="L48" s="4">
        <f>COUNTIFS(tItens[Produto],tProdutos[[#This Row],[Produto]])</f>
        <v>9</v>
      </c>
      <c r="M48" s="4">
        <f>SUMIFS(tItens[Primeira ocorrência],tItens[Produto],tProdutos[[#This Row],[Produto]])</f>
        <v>3</v>
      </c>
      <c r="N48" s="8">
        <f>SUMIFS(tItens[Valor],tItens[Produto],tProdutos[[#This Row],[Produto]])</f>
        <v>3576194.8000000003</v>
      </c>
      <c r="O48" s="8">
        <f>SUMIFS(tItens[Valor],tItens[Produto],tProdutos[[#This Row],[Produto]],tItens[SRP],"Sim")</f>
        <v>0</v>
      </c>
      <c r="P48" s="6">
        <f>IF(tProdutos[[#This Row],[Valor janela]]=0,0,tProdutos[[#This Row],[Valor SRP]]/tProdutos[[#This Row],[Valor janela]])</f>
        <v>0</v>
      </c>
      <c r="Q48" s="8">
        <f>tProdutos[[#This Row],[Valor janela]]*DiasMes/DiasJanela</f>
        <v>11920649.333333334</v>
      </c>
      <c r="R48" s="8">
        <f>tProdutos[[#This Row],[Mercado mês ref]]*(1-IF(tProdutos[[#This Row],[Desconto homologado]]="",DescontoPadrao,tProdutos[[#This Row],[Desconto homologado]]))</f>
        <v>7968440.1892522648</v>
      </c>
      <c r="S48" t="str">
        <f>IF(ModoFoco="Lista",IF(tProdutos[[#This Row],[Lista definida]]="Sim","Sim","Não"),IF(AND(tProdutos[[#This Row],[Editais]]&gt;=MinEditais,N(tProdutos[[#This Row],[Margem bruta]])&gt;=MargemMin),"Sim","Não"))</f>
        <v>Não</v>
      </c>
      <c r="T48" s="4" t="str">
        <f>IF(tProdutos[[#This Row],[Elegível]]="Sim",COUNTIFS(tProdutos[Elegível],"Sim",tProdutos[Valor janela],"&gt;"&amp;tProdutos[[#This Row],[Valor janela]])+1,"")</f>
        <v/>
      </c>
      <c r="U48" t="str">
        <f>IF(ModoFoco="Lista",tProdutos[[#This Row],[Elegível]],IF(AND(tProdutos[[#This Row],[Posição]]&lt;&gt;"",N(tProdutos[[#This Row],[Posição]])&lt;=TopN),"Sim","Não"))</f>
        <v>Não</v>
      </c>
    </row>
    <row r="49" spans="1:21" x14ac:dyDescent="0.25">
      <c r="A49">
        <v>48</v>
      </c>
      <c r="B49" t="s">
        <v>154</v>
      </c>
      <c r="C49" t="s">
        <v>78</v>
      </c>
      <c r="D49" s="14">
        <v>59.872379999999993</v>
      </c>
      <c r="E49" s="7">
        <v>0.56707317073170738</v>
      </c>
      <c r="F49" s="7">
        <v>0.48690097134476601</v>
      </c>
      <c r="G49" s="15">
        <v>12</v>
      </c>
      <c r="H49" s="15">
        <v>6</v>
      </c>
      <c r="I49" t="s">
        <v>155</v>
      </c>
      <c r="J49" s="16" t="s">
        <v>66</v>
      </c>
      <c r="K49" s="15"/>
      <c r="L49" s="4">
        <f>COUNTIFS(tItens[Produto],tProdutos[[#This Row],[Produto]])</f>
        <v>33</v>
      </c>
      <c r="M49" s="4">
        <f>SUMIFS(tItens[Primeira ocorrência],tItens[Produto],tProdutos[[#This Row],[Produto]])</f>
        <v>21</v>
      </c>
      <c r="N49" s="8">
        <f>SUMIFS(tItens[Valor],tItens[Produto],tProdutos[[#This Row],[Produto]])</f>
        <v>1231544.3199999998</v>
      </c>
      <c r="O49" s="8">
        <f>SUMIFS(tItens[Valor],tItens[Produto],tProdutos[[#This Row],[Produto]],tItens[SRP],"Sim")</f>
        <v>1173696.42</v>
      </c>
      <c r="P49" s="6">
        <f>IF(tProdutos[[#This Row],[Valor janela]]=0,0,tProdutos[[#This Row],[Valor SRP]]/tProdutos[[#This Row],[Valor janela]])</f>
        <v>0.95302816223455122</v>
      </c>
      <c r="Q49" s="8">
        <f>tProdutos[[#This Row],[Valor janela]]*DiasMes/DiasJanela</f>
        <v>4105147.7333333329</v>
      </c>
      <c r="R49" s="8">
        <f>tProdutos[[#This Row],[Mercado mês ref]]*(1-IF(tProdutos[[#This Row],[Desconto homologado]]="",DescontoPadrao,tProdutos[[#This Row],[Desconto homologado]]))</f>
        <v>2106347.3144595684</v>
      </c>
      <c r="S49" t="str">
        <f>IF(ModoFoco="Lista",IF(tProdutos[[#This Row],[Lista definida]]="Sim","Sim","Não"),IF(AND(tProdutos[[#This Row],[Editais]]&gt;=MinEditais,N(tProdutos[[#This Row],[Margem bruta]])&gt;=MargemMin),"Sim","Não"))</f>
        <v>Não</v>
      </c>
      <c r="T49" s="4" t="str">
        <f>IF(tProdutos[[#This Row],[Elegível]]="Sim",COUNTIFS(tProdutos[Elegível],"Sim",tProdutos[Valor janela],"&gt;"&amp;tProdutos[[#This Row],[Valor janela]])+1,"")</f>
        <v/>
      </c>
      <c r="U49" t="str">
        <f>IF(ModoFoco="Lista",tProdutos[[#This Row],[Elegível]],IF(AND(tProdutos[[#This Row],[Posição]]&lt;&gt;"",N(tProdutos[[#This Row],[Posição]])&lt;=TopN),"Sim","Não"))</f>
        <v>Não</v>
      </c>
    </row>
    <row r="50" spans="1:21" x14ac:dyDescent="0.25">
      <c r="A50">
        <v>49</v>
      </c>
      <c r="B50" t="s">
        <v>156</v>
      </c>
      <c r="C50" t="s">
        <v>78</v>
      </c>
      <c r="D50" s="14">
        <v>59.840319999999991</v>
      </c>
      <c r="E50" s="7">
        <v>0.47445115979073599</v>
      </c>
      <c r="F50" s="7">
        <v>0.27131852489802799</v>
      </c>
      <c r="G50" s="15">
        <v>10.210000000000001</v>
      </c>
      <c r="H50" s="15">
        <v>5.5</v>
      </c>
      <c r="I50" t="s">
        <v>157</v>
      </c>
      <c r="J50" s="16" t="s">
        <v>66</v>
      </c>
      <c r="K50" s="15"/>
      <c r="L50" s="4">
        <f>COUNTIFS(tItens[Produto],tProdutos[[#This Row],[Produto]])</f>
        <v>67</v>
      </c>
      <c r="M50" s="4">
        <f>SUMIFS(tItens[Primeira ocorrência],tItens[Produto],tProdutos[[#This Row],[Produto]])</f>
        <v>57</v>
      </c>
      <c r="N50" s="8">
        <f>SUMIFS(tItens[Valor],tItens[Produto],tProdutos[[#This Row],[Produto]])</f>
        <v>292209.71000000008</v>
      </c>
      <c r="O50" s="8">
        <f>SUMIFS(tItens[Valor],tItens[Produto],tProdutos[[#This Row],[Produto]],tItens[SRP],"Sim")</f>
        <v>126537.98</v>
      </c>
      <c r="P50" s="6">
        <f>IF(tProdutos[[#This Row],[Valor janela]]=0,0,tProdutos[[#This Row],[Valor SRP]]/tProdutos[[#This Row],[Valor janela]])</f>
        <v>0.43303824503299349</v>
      </c>
      <c r="Q50" s="8">
        <f>tProdutos[[#This Row],[Valor janela]]*DiasMes/DiasJanela</f>
        <v>974032.36666666681</v>
      </c>
      <c r="R50" s="8">
        <f>tProdutos[[#This Row],[Mercado mês ref]]*(1-IF(tProdutos[[#This Row],[Desconto homologado]]="",DescontoPadrao,tProdutos[[#This Row],[Desconto homologado]]))</f>
        <v>709759.34173973161</v>
      </c>
      <c r="S50" t="str">
        <f>IF(ModoFoco="Lista",IF(tProdutos[[#This Row],[Lista definida]]="Sim","Sim","Não"),IF(AND(tProdutos[[#This Row],[Editais]]&gt;=MinEditais,N(tProdutos[[#This Row],[Margem bruta]])&gt;=MargemMin),"Sim","Não"))</f>
        <v>Não</v>
      </c>
      <c r="T50" s="4" t="str">
        <f>IF(tProdutos[[#This Row],[Elegível]]="Sim",COUNTIFS(tProdutos[Elegível],"Sim",tProdutos[Valor janela],"&gt;"&amp;tProdutos[[#This Row],[Valor janela]])+1,"")</f>
        <v/>
      </c>
      <c r="U50" t="str">
        <f>IF(ModoFoco="Lista",tProdutos[[#This Row],[Elegível]],IF(AND(tProdutos[[#This Row],[Posição]]&lt;&gt;"",N(tProdutos[[#This Row],[Posição]])&lt;=TopN),"Sim","Não"))</f>
        <v>Não</v>
      </c>
    </row>
    <row r="51" spans="1:21" x14ac:dyDescent="0.25">
      <c r="A51">
        <v>50</v>
      </c>
      <c r="B51" t="s">
        <v>158</v>
      </c>
      <c r="C51" t="s">
        <v>78</v>
      </c>
      <c r="D51" s="14">
        <v>59.474020970095772</v>
      </c>
      <c r="E51" s="7">
        <v>0.38153310104529631</v>
      </c>
      <c r="F51" s="7">
        <v>0.26086956521739102</v>
      </c>
      <c r="G51" s="15">
        <v>0.49</v>
      </c>
      <c r="H51" s="15">
        <v>0.35</v>
      </c>
      <c r="I51" t="s">
        <v>159</v>
      </c>
      <c r="J51" s="16" t="s">
        <v>66</v>
      </c>
      <c r="K51" s="15"/>
      <c r="L51" s="4">
        <f>COUNTIFS(tItens[Produto],tProdutos[[#This Row],[Produto]])</f>
        <v>12</v>
      </c>
      <c r="M51" s="4">
        <f>SUMIFS(tItens[Primeira ocorrência],tItens[Produto],tProdutos[[#This Row],[Produto]])</f>
        <v>8</v>
      </c>
      <c r="N51" s="8">
        <f>SUMIFS(tItens[Valor],tItens[Produto],tProdutos[[#This Row],[Produto]])</f>
        <v>439791.7</v>
      </c>
      <c r="O51" s="8">
        <f>SUMIFS(tItens[Valor],tItens[Produto],tProdutos[[#This Row],[Produto]],tItens[SRP],"Sim")</f>
        <v>175886.7</v>
      </c>
      <c r="P51" s="6">
        <f>IF(tProdutos[[#This Row],[Valor janela]]=0,0,tProdutos[[#This Row],[Valor SRP]]/tProdutos[[#This Row],[Valor janela]])</f>
        <v>0.399931831364712</v>
      </c>
      <c r="Q51" s="8">
        <f>tProdutos[[#This Row],[Valor janela]]*DiasMes/DiasJanela</f>
        <v>1465972.3333333333</v>
      </c>
      <c r="R51" s="8">
        <f>tProdutos[[#This Row],[Mercado mês ref]]*(1-IF(tProdutos[[#This Row],[Desconto homologado]]="",DescontoPadrao,tProdutos[[#This Row],[Desconto homologado]]))</f>
        <v>1083544.7681159424</v>
      </c>
      <c r="S51" t="str">
        <f>IF(ModoFoco="Lista",IF(tProdutos[[#This Row],[Lista definida]]="Sim","Sim","Não"),IF(AND(tProdutos[[#This Row],[Editais]]&gt;=MinEditais,N(tProdutos[[#This Row],[Margem bruta]])&gt;=MargemMin),"Sim","Não"))</f>
        <v>Não</v>
      </c>
      <c r="T51" s="4" t="str">
        <f>IF(tProdutos[[#This Row],[Elegível]]="Sim",COUNTIFS(tProdutos[Elegível],"Sim",tProdutos[Valor janela],"&gt;"&amp;tProdutos[[#This Row],[Valor janela]])+1,"")</f>
        <v/>
      </c>
      <c r="U51" t="str">
        <f>IF(ModoFoco="Lista",tProdutos[[#This Row],[Elegível]],IF(AND(tProdutos[[#This Row],[Posição]]&lt;&gt;"",N(tProdutos[[#This Row],[Posição]])&lt;=TopN),"Sim","Não"))</f>
        <v>Não</v>
      </c>
    </row>
    <row r="52" spans="1:21" x14ac:dyDescent="0.25">
      <c r="A52">
        <v>51</v>
      </c>
      <c r="B52" t="s">
        <v>160</v>
      </c>
      <c r="C52" t="s">
        <v>78</v>
      </c>
      <c r="D52" s="14">
        <v>59.430799999999998</v>
      </c>
      <c r="E52" s="7">
        <v>0.61</v>
      </c>
      <c r="F52" s="7">
        <v>0.28000000000000003</v>
      </c>
      <c r="G52" s="15">
        <v>3</v>
      </c>
      <c r="H52" s="15">
        <v>1.2</v>
      </c>
      <c r="I52" t="s">
        <v>161</v>
      </c>
      <c r="J52" s="16" t="s">
        <v>59</v>
      </c>
      <c r="K52" s="15">
        <v>211485</v>
      </c>
      <c r="L52" s="4">
        <f>COUNTIFS(tItens[Produto],tProdutos[[#This Row],[Produto]])</f>
        <v>91</v>
      </c>
      <c r="M52" s="4">
        <f>SUMIFS(tItens[Primeira ocorrência],tItens[Produto],tProdutos[[#This Row],[Produto]])</f>
        <v>48</v>
      </c>
      <c r="N52" s="8">
        <f>SUMIFS(tItens[Valor],tItens[Produto],tProdutos[[#This Row],[Produto]])</f>
        <v>9468606.3399999999</v>
      </c>
      <c r="O52" s="8">
        <f>SUMIFS(tItens[Valor],tItens[Produto],tProdutos[[#This Row],[Produto]],tItens[SRP],"Sim")</f>
        <v>1097419.7499999998</v>
      </c>
      <c r="P52" s="6">
        <f>IF(tProdutos[[#This Row],[Valor janela]]=0,0,tProdutos[[#This Row],[Valor SRP]]/tProdutos[[#This Row],[Valor janela]])</f>
        <v>0.11590087396114092</v>
      </c>
      <c r="Q52" s="8">
        <f>tProdutos[[#This Row],[Valor janela]]*DiasMes/DiasJanela</f>
        <v>31562021.133333337</v>
      </c>
      <c r="R52" s="8">
        <f>tProdutos[[#This Row],[Mercado mês ref]]*(1-IF(tProdutos[[#This Row],[Desconto homologado]]="",DescontoPadrao,tProdutos[[#This Row],[Desconto homologado]]))</f>
        <v>22724655.216000002</v>
      </c>
      <c r="S52" t="str">
        <f>IF(ModoFoco="Lista",IF(tProdutos[[#This Row],[Lista definida]]="Sim","Sim","Não"),IF(AND(tProdutos[[#This Row],[Editais]]&gt;=MinEditais,N(tProdutos[[#This Row],[Margem bruta]])&gt;=MargemMin),"Sim","Não"))</f>
        <v>Sim</v>
      </c>
      <c r="T52" s="4">
        <f>IF(tProdutos[[#This Row],[Elegível]]="Sim",COUNTIFS(tProdutos[Elegível],"Sim",tProdutos[Valor janela],"&gt;"&amp;tProdutos[[#This Row],[Valor janela]])+1,"")</f>
        <v>1</v>
      </c>
      <c r="U52" t="str">
        <f>IF(ModoFoco="Lista",tProdutos[[#This Row],[Elegível]],IF(AND(tProdutos[[#This Row],[Posição]]&lt;&gt;"",N(tProdutos[[#This Row],[Posição]])&lt;=TopN),"Sim","Não"))</f>
        <v>Sim</v>
      </c>
    </row>
    <row r="53" spans="1:21" x14ac:dyDescent="0.25">
      <c r="A53">
        <v>52</v>
      </c>
      <c r="B53" t="s">
        <v>162</v>
      </c>
      <c r="C53" t="s">
        <v>78</v>
      </c>
      <c r="D53" s="14">
        <v>59.403599999999997</v>
      </c>
      <c r="E53" s="7">
        <v>0.40056285178236389</v>
      </c>
      <c r="F53" s="7">
        <v>0.41269841269841301</v>
      </c>
      <c r="G53" s="15">
        <v>0.65</v>
      </c>
      <c r="H53" s="15">
        <v>0.45</v>
      </c>
      <c r="I53" t="s">
        <v>163</v>
      </c>
      <c r="J53" s="16" t="s">
        <v>66</v>
      </c>
      <c r="K53" s="15"/>
      <c r="L53" s="4">
        <f>COUNTIFS(tItens[Produto],tProdutos[[#This Row],[Produto]])</f>
        <v>13</v>
      </c>
      <c r="M53" s="4">
        <f>SUMIFS(tItens[Primeira ocorrência],tItens[Produto],tProdutos[[#This Row],[Produto]])</f>
        <v>12</v>
      </c>
      <c r="N53" s="8">
        <f>SUMIFS(tItens[Valor],tItens[Produto],tProdutos[[#This Row],[Produto]])</f>
        <v>61195.43</v>
      </c>
      <c r="O53" s="8">
        <f>SUMIFS(tItens[Valor],tItens[Produto],tProdutos[[#This Row],[Produto]],tItens[SRP],"Sim")</f>
        <v>18541.75</v>
      </c>
      <c r="P53" s="6">
        <f>IF(tProdutos[[#This Row],[Valor janela]]=0,0,tProdutos[[#This Row],[Valor SRP]]/tProdutos[[#This Row],[Valor janela]])</f>
        <v>0.30299239665445604</v>
      </c>
      <c r="Q53" s="8">
        <f>tProdutos[[#This Row],[Valor janela]]*DiasMes/DiasJanela</f>
        <v>203984.76666666669</v>
      </c>
      <c r="R53" s="8">
        <f>tProdutos[[#This Row],[Mercado mês ref]]*(1-IF(tProdutos[[#This Row],[Desconto homologado]]="",DescontoPadrao,tProdutos[[#This Row],[Desconto homologado]]))</f>
        <v>119800.5772486772</v>
      </c>
      <c r="S53" t="str">
        <f>IF(ModoFoco="Lista",IF(tProdutos[[#This Row],[Lista definida]]="Sim","Sim","Não"),IF(AND(tProdutos[[#This Row],[Editais]]&gt;=MinEditais,N(tProdutos[[#This Row],[Margem bruta]])&gt;=MargemMin),"Sim","Não"))</f>
        <v>Não</v>
      </c>
      <c r="T53" s="4" t="str">
        <f>IF(tProdutos[[#This Row],[Elegível]]="Sim",COUNTIFS(tProdutos[Elegível],"Sim",tProdutos[Valor janela],"&gt;"&amp;tProdutos[[#This Row],[Valor janela]])+1,"")</f>
        <v/>
      </c>
      <c r="U53" t="str">
        <f>IF(ModoFoco="Lista",tProdutos[[#This Row],[Elegível]],IF(AND(tProdutos[[#This Row],[Posição]]&lt;&gt;"",N(tProdutos[[#This Row],[Posição]])&lt;=TopN),"Sim","Não"))</f>
        <v>Não</v>
      </c>
    </row>
    <row r="54" spans="1:21" x14ac:dyDescent="0.25">
      <c r="A54">
        <v>53</v>
      </c>
      <c r="B54" t="s">
        <v>164</v>
      </c>
      <c r="C54" t="s">
        <v>78</v>
      </c>
      <c r="D54" s="14">
        <v>59.382179999999991</v>
      </c>
      <c r="E54" s="7">
        <v>0.53889450137104933</v>
      </c>
      <c r="F54" s="7">
        <v>0.445300462249615</v>
      </c>
      <c r="G54" s="15">
        <v>8.4499999999999993</v>
      </c>
      <c r="H54" s="15">
        <v>4.5</v>
      </c>
      <c r="I54" t="s">
        <v>165</v>
      </c>
      <c r="J54" s="16" t="s">
        <v>66</v>
      </c>
      <c r="K54" s="15"/>
      <c r="L54" s="4">
        <f>COUNTIFS(tItens[Produto],tProdutos[[#This Row],[Produto]])</f>
        <v>62</v>
      </c>
      <c r="M54" s="4">
        <f>SUMIFS(tItens[Primeira ocorrência],tItens[Produto],tProdutos[[#This Row],[Produto]])</f>
        <v>27</v>
      </c>
      <c r="N54" s="8">
        <f>SUMIFS(tItens[Valor],tItens[Produto],tProdutos[[#This Row],[Produto]])</f>
        <v>182150.23999999996</v>
      </c>
      <c r="O54" s="8">
        <f>SUMIFS(tItens[Valor],tItens[Produto],tProdutos[[#This Row],[Produto]],tItens[SRP],"Sim")</f>
        <v>168823.99000000002</v>
      </c>
      <c r="P54" s="6">
        <f>IF(tProdutos[[#This Row],[Valor janela]]=0,0,tProdutos[[#This Row],[Valor SRP]]/tProdutos[[#This Row],[Valor janela]])</f>
        <v>0.92683923995927786</v>
      </c>
      <c r="Q54" s="8">
        <f>tProdutos[[#This Row],[Valor janela]]*DiasMes/DiasJanela</f>
        <v>607167.46666666656</v>
      </c>
      <c r="R54" s="8">
        <f>tProdutos[[#This Row],[Mercado mês ref]]*(1-IF(tProdutos[[#This Row],[Desconto homologado]]="",DescontoPadrao,tProdutos[[#This Row],[Desconto homologado]]))</f>
        <v>336795.51309707219</v>
      </c>
      <c r="S54" t="str">
        <f>IF(ModoFoco="Lista",IF(tProdutos[[#This Row],[Lista definida]]="Sim","Sim","Não"),IF(AND(tProdutos[[#This Row],[Editais]]&gt;=MinEditais,N(tProdutos[[#This Row],[Margem bruta]])&gt;=MargemMin),"Sim","Não"))</f>
        <v>Não</v>
      </c>
      <c r="T54" s="4" t="str">
        <f>IF(tProdutos[[#This Row],[Elegível]]="Sim",COUNTIFS(tProdutos[Elegível],"Sim",tProdutos[Valor janela],"&gt;"&amp;tProdutos[[#This Row],[Valor janela]])+1,"")</f>
        <v/>
      </c>
      <c r="U54" t="str">
        <f>IF(ModoFoco="Lista",tProdutos[[#This Row],[Elegível]],IF(AND(tProdutos[[#This Row],[Posição]]&lt;&gt;"",N(tProdutos[[#This Row],[Posição]])&lt;=TopN),"Sim","Não"))</f>
        <v>Não</v>
      </c>
    </row>
    <row r="55" spans="1:21" x14ac:dyDescent="0.25">
      <c r="A55">
        <v>54</v>
      </c>
      <c r="B55" t="s">
        <v>166</v>
      </c>
      <c r="C55" t="s">
        <v>78</v>
      </c>
      <c r="D55" s="14">
        <v>59.112940000000002</v>
      </c>
      <c r="E55" s="7">
        <v>0.32479301857238774</v>
      </c>
      <c r="F55" s="7">
        <v>0.280240576156911</v>
      </c>
      <c r="G55" s="15">
        <v>1.0900000000000001</v>
      </c>
      <c r="H55" s="15">
        <v>0.85</v>
      </c>
      <c r="I55" t="s">
        <v>167</v>
      </c>
      <c r="J55" s="16" t="s">
        <v>66</v>
      </c>
      <c r="K55" s="15"/>
      <c r="L55" s="4">
        <f>COUNTIFS(tItens[Produto],tProdutos[[#This Row],[Produto]])</f>
        <v>0</v>
      </c>
      <c r="M55" s="4">
        <f>SUMIFS(tItens[Primeira ocorrência],tItens[Produto],tProdutos[[#This Row],[Produto]])</f>
        <v>0</v>
      </c>
      <c r="N55" s="8">
        <f>SUMIFS(tItens[Valor],tItens[Produto],tProdutos[[#This Row],[Produto]])</f>
        <v>0</v>
      </c>
      <c r="O55" s="8">
        <f>SUMIFS(tItens[Valor],tItens[Produto],tProdutos[[#This Row],[Produto]],tItens[SRP],"Sim")</f>
        <v>0</v>
      </c>
      <c r="P55" s="6">
        <f>IF(tProdutos[[#This Row],[Valor janela]]=0,0,tProdutos[[#This Row],[Valor SRP]]/tProdutos[[#This Row],[Valor janela]])</f>
        <v>0</v>
      </c>
      <c r="Q55" s="8">
        <f>tProdutos[[#This Row],[Valor janela]]*DiasMes/DiasJanela</f>
        <v>0</v>
      </c>
      <c r="R55" s="8">
        <f>tProdutos[[#This Row],[Mercado mês ref]]*(1-IF(tProdutos[[#This Row],[Desconto homologado]]="",DescontoPadrao,tProdutos[[#This Row],[Desconto homologado]]))</f>
        <v>0</v>
      </c>
      <c r="S55" t="str">
        <f>IF(ModoFoco="Lista",IF(tProdutos[[#This Row],[Lista definida]]="Sim","Sim","Não"),IF(AND(tProdutos[[#This Row],[Editais]]&gt;=MinEditais,N(tProdutos[[#This Row],[Margem bruta]])&gt;=MargemMin),"Sim","Não"))</f>
        <v>Não</v>
      </c>
      <c r="T55" s="4" t="str">
        <f>IF(tProdutos[[#This Row],[Elegível]]="Sim",COUNTIFS(tProdutos[Elegível],"Sim",tProdutos[Valor janela],"&gt;"&amp;tProdutos[[#This Row],[Valor janela]])+1,"")</f>
        <v/>
      </c>
      <c r="U55" t="str">
        <f>IF(ModoFoco="Lista",tProdutos[[#This Row],[Elegível]],IF(AND(tProdutos[[#This Row],[Posição]]&lt;&gt;"",N(tProdutos[[#This Row],[Posição]])&lt;=TopN),"Sim","Não"))</f>
        <v>Não</v>
      </c>
    </row>
    <row r="56" spans="1:21" x14ac:dyDescent="0.25">
      <c r="A56">
        <v>55</v>
      </c>
      <c r="B56" t="s">
        <v>168</v>
      </c>
      <c r="C56" t="s">
        <v>78</v>
      </c>
      <c r="D56" s="14">
        <v>58.906799999999997</v>
      </c>
      <c r="E56" s="7">
        <v>0.64319217367997861</v>
      </c>
      <c r="F56" s="7">
        <v>0.185584547695298</v>
      </c>
      <c r="G56" s="15">
        <v>364</v>
      </c>
      <c r="H56" s="15">
        <v>150</v>
      </c>
      <c r="I56" t="s">
        <v>169</v>
      </c>
      <c r="J56" s="16" t="s">
        <v>66</v>
      </c>
      <c r="K56" s="15"/>
      <c r="L56" s="4">
        <f>COUNTIFS(tItens[Produto],tProdutos[[#This Row],[Produto]])</f>
        <v>0</v>
      </c>
      <c r="M56" s="4">
        <f>SUMIFS(tItens[Primeira ocorrência],tItens[Produto],tProdutos[[#This Row],[Produto]])</f>
        <v>0</v>
      </c>
      <c r="N56" s="8">
        <f>SUMIFS(tItens[Valor],tItens[Produto],tProdutos[[#This Row],[Produto]])</f>
        <v>0</v>
      </c>
      <c r="O56" s="8">
        <f>SUMIFS(tItens[Valor],tItens[Produto],tProdutos[[#This Row],[Produto]],tItens[SRP],"Sim")</f>
        <v>0</v>
      </c>
      <c r="P56" s="6">
        <f>IF(tProdutos[[#This Row],[Valor janela]]=0,0,tProdutos[[#This Row],[Valor SRP]]/tProdutos[[#This Row],[Valor janela]])</f>
        <v>0</v>
      </c>
      <c r="Q56" s="8">
        <f>tProdutos[[#This Row],[Valor janela]]*DiasMes/DiasJanela</f>
        <v>0</v>
      </c>
      <c r="R56" s="8">
        <f>tProdutos[[#This Row],[Mercado mês ref]]*(1-IF(tProdutos[[#This Row],[Desconto homologado]]="",DescontoPadrao,tProdutos[[#This Row],[Desconto homologado]]))</f>
        <v>0</v>
      </c>
      <c r="S56" t="str">
        <f>IF(ModoFoco="Lista",IF(tProdutos[[#This Row],[Lista definida]]="Sim","Sim","Não"),IF(AND(tProdutos[[#This Row],[Editais]]&gt;=MinEditais,N(tProdutos[[#This Row],[Margem bruta]])&gt;=MargemMin),"Sim","Não"))</f>
        <v>Não</v>
      </c>
      <c r="T56" s="4" t="str">
        <f>IF(tProdutos[[#This Row],[Elegível]]="Sim",COUNTIFS(tProdutos[Elegível],"Sim",tProdutos[Valor janela],"&gt;"&amp;tProdutos[[#This Row],[Valor janela]])+1,"")</f>
        <v/>
      </c>
      <c r="U56" t="str">
        <f>IF(ModoFoco="Lista",tProdutos[[#This Row],[Elegível]],IF(AND(tProdutos[[#This Row],[Posição]]&lt;&gt;"",N(tProdutos[[#This Row],[Posição]])&lt;=TopN),"Sim","Não"))</f>
        <v>Não</v>
      </c>
    </row>
    <row r="57" spans="1:21" x14ac:dyDescent="0.25">
      <c r="A57">
        <v>56</v>
      </c>
      <c r="B57" t="s">
        <v>170</v>
      </c>
      <c r="C57" t="s">
        <v>78</v>
      </c>
      <c r="D57" s="14">
        <v>58.573540000000001</v>
      </c>
      <c r="E57" s="7">
        <v>0.6</v>
      </c>
      <c r="F57" s="7">
        <v>0.36</v>
      </c>
      <c r="G57" s="15">
        <v>15</v>
      </c>
      <c r="H57" s="15">
        <v>7</v>
      </c>
      <c r="I57" t="s">
        <v>171</v>
      </c>
      <c r="J57" s="16" t="s">
        <v>59</v>
      </c>
      <c r="K57" s="15">
        <v>8938.33</v>
      </c>
      <c r="L57" s="4">
        <f>COUNTIFS(tItens[Produto],tProdutos[[#This Row],[Produto]])</f>
        <v>246</v>
      </c>
      <c r="M57" s="4">
        <f>SUMIFS(tItens[Primeira ocorrência],tItens[Produto],tProdutos[[#This Row],[Produto]])</f>
        <v>44</v>
      </c>
      <c r="N57" s="8">
        <f>SUMIFS(tItens[Valor],tItens[Produto],tProdutos[[#This Row],[Produto]])</f>
        <v>1106914.4300000002</v>
      </c>
      <c r="O57" s="8">
        <f>SUMIFS(tItens[Valor],tItens[Produto],tProdutos[[#This Row],[Produto]],tItens[SRP],"Sim")</f>
        <v>540653.58000000007</v>
      </c>
      <c r="P57" s="6">
        <f>IF(tProdutos[[#This Row],[Valor janela]]=0,0,tProdutos[[#This Row],[Valor SRP]]/tProdutos[[#This Row],[Valor janela]])</f>
        <v>0.48843303994148851</v>
      </c>
      <c r="Q57" s="8">
        <f>tProdutos[[#This Row],[Valor janela]]*DiasMes/DiasJanela</f>
        <v>3689714.7666666671</v>
      </c>
      <c r="R57" s="8">
        <f>tProdutos[[#This Row],[Mercado mês ref]]*(1-IF(tProdutos[[#This Row],[Desconto homologado]]="",DescontoPadrao,tProdutos[[#This Row],[Desconto homologado]]))</f>
        <v>2361417.450666667</v>
      </c>
      <c r="S57" t="str">
        <f>IF(ModoFoco="Lista",IF(tProdutos[[#This Row],[Lista definida]]="Sim","Sim","Não"),IF(AND(tProdutos[[#This Row],[Editais]]&gt;=MinEditais,N(tProdutos[[#This Row],[Margem bruta]])&gt;=MargemMin),"Sim","Não"))</f>
        <v>Sim</v>
      </c>
      <c r="T57" s="4">
        <f>IF(tProdutos[[#This Row],[Elegível]]="Sim",COUNTIFS(tProdutos[Elegível],"Sim",tProdutos[Valor janela],"&gt;"&amp;tProdutos[[#This Row],[Valor janela]])+1,"")</f>
        <v>3</v>
      </c>
      <c r="U57" t="str">
        <f>IF(ModoFoco="Lista",tProdutos[[#This Row],[Elegível]],IF(AND(tProdutos[[#This Row],[Posição]]&lt;&gt;"",N(tProdutos[[#This Row],[Posição]])&lt;=TopN),"Sim","Não"))</f>
        <v>Sim</v>
      </c>
    </row>
    <row r="58" spans="1:21" x14ac:dyDescent="0.25">
      <c r="A58">
        <v>57</v>
      </c>
      <c r="B58" t="s">
        <v>172</v>
      </c>
      <c r="C58" t="s">
        <v>78</v>
      </c>
      <c r="D58" s="14">
        <v>58.464662447980928</v>
      </c>
      <c r="E58" s="7">
        <v>0.55470383275261326</v>
      </c>
      <c r="F58" s="7">
        <v>0.33578431372549</v>
      </c>
      <c r="G58" s="15">
        <v>0.35</v>
      </c>
      <c r="H58" s="15">
        <v>0.18</v>
      </c>
      <c r="I58" t="s">
        <v>173</v>
      </c>
      <c r="J58" s="16" t="s">
        <v>66</v>
      </c>
      <c r="K58" s="15"/>
      <c r="L58" s="4">
        <f>COUNTIFS(tItens[Produto],tProdutos[[#This Row],[Produto]])</f>
        <v>25</v>
      </c>
      <c r="M58" s="4">
        <f>SUMIFS(tItens[Primeira ocorrência],tItens[Produto],tProdutos[[#This Row],[Produto]])</f>
        <v>24</v>
      </c>
      <c r="N58" s="8">
        <f>SUMIFS(tItens[Valor],tItens[Produto],tProdutos[[#This Row],[Produto]])</f>
        <v>9879.6</v>
      </c>
      <c r="O58" s="8">
        <f>SUMIFS(tItens[Valor],tItens[Produto],tProdutos[[#This Row],[Produto]],tItens[SRP],"Sim")</f>
        <v>4263.8</v>
      </c>
      <c r="P58" s="6">
        <f>IF(tProdutos[[#This Row],[Valor janela]]=0,0,tProdutos[[#This Row],[Valor SRP]]/tProdutos[[#This Row],[Valor janela]])</f>
        <v>0.43157617717316493</v>
      </c>
      <c r="Q58" s="8">
        <f>tProdutos[[#This Row],[Valor janela]]*DiasMes/DiasJanela</f>
        <v>32932</v>
      </c>
      <c r="R58" s="8">
        <f>tProdutos[[#This Row],[Mercado mês ref]]*(1-IF(tProdutos[[#This Row],[Desconto homologado]]="",DescontoPadrao,tProdutos[[#This Row],[Desconto homologado]]))</f>
        <v>21873.950980392165</v>
      </c>
      <c r="S58" t="str">
        <f>IF(ModoFoco="Lista",IF(tProdutos[[#This Row],[Lista definida]]="Sim","Sim","Não"),IF(AND(tProdutos[[#This Row],[Editais]]&gt;=MinEditais,N(tProdutos[[#This Row],[Margem bruta]])&gt;=MargemMin),"Sim","Não"))</f>
        <v>Não</v>
      </c>
      <c r="T58" s="4" t="str">
        <f>IF(tProdutos[[#This Row],[Elegível]]="Sim",COUNTIFS(tProdutos[Elegível],"Sim",tProdutos[Valor janela],"&gt;"&amp;tProdutos[[#This Row],[Valor janela]])+1,"")</f>
        <v/>
      </c>
      <c r="U58" t="str">
        <f>IF(ModoFoco="Lista",tProdutos[[#This Row],[Elegível]],IF(AND(tProdutos[[#This Row],[Posição]]&lt;&gt;"",N(tProdutos[[#This Row],[Posição]])&lt;=TopN),"Sim","Não"))</f>
        <v>Não</v>
      </c>
    </row>
    <row r="59" spans="1:21" x14ac:dyDescent="0.25">
      <c r="A59">
        <v>58</v>
      </c>
      <c r="B59" t="s">
        <v>174</v>
      </c>
      <c r="C59" t="s">
        <v>78</v>
      </c>
      <c r="D59" s="14">
        <v>58.34522381314185</v>
      </c>
      <c r="E59" s="7">
        <v>0.59012844566315492</v>
      </c>
      <c r="F59" s="7">
        <v>0.50491678656591998</v>
      </c>
      <c r="G59" s="15">
        <v>8.4500000000000006E-2</v>
      </c>
      <c r="H59" s="15">
        <v>0.04</v>
      </c>
      <c r="I59" t="s">
        <v>175</v>
      </c>
      <c r="J59" s="16" t="s">
        <v>66</v>
      </c>
      <c r="K59" s="15"/>
      <c r="L59" s="4">
        <f>COUNTIFS(tItens[Produto],tProdutos[[#This Row],[Produto]])</f>
        <v>2</v>
      </c>
      <c r="M59" s="4">
        <f>SUMIFS(tItens[Primeira ocorrência],tItens[Produto],tProdutos[[#This Row],[Produto]])</f>
        <v>2</v>
      </c>
      <c r="N59" s="8">
        <f>SUMIFS(tItens[Valor],tItens[Produto],tProdutos[[#This Row],[Produto]])</f>
        <v>17262.75</v>
      </c>
      <c r="O59" s="8">
        <f>SUMIFS(tItens[Valor],tItens[Produto],tProdutos[[#This Row],[Produto]],tItens[SRP],"Sim")</f>
        <v>17262.75</v>
      </c>
      <c r="P59" s="6">
        <f>IF(tProdutos[[#This Row],[Valor janela]]=0,0,tProdutos[[#This Row],[Valor SRP]]/tProdutos[[#This Row],[Valor janela]])</f>
        <v>1</v>
      </c>
      <c r="Q59" s="8">
        <f>tProdutos[[#This Row],[Valor janela]]*DiasMes/DiasJanela</f>
        <v>57542.5</v>
      </c>
      <c r="R59" s="8">
        <f>tProdutos[[#This Row],[Mercado mês ref]]*(1-IF(tProdutos[[#This Row],[Desconto homologado]]="",DescontoPadrao,tProdutos[[#This Row],[Desconto homologado]]))</f>
        <v>28488.32580903055</v>
      </c>
      <c r="S59" t="str">
        <f>IF(ModoFoco="Lista",IF(tProdutos[[#This Row],[Lista definida]]="Sim","Sim","Não"),IF(AND(tProdutos[[#This Row],[Editais]]&gt;=MinEditais,N(tProdutos[[#This Row],[Margem bruta]])&gt;=MargemMin),"Sim","Não"))</f>
        <v>Não</v>
      </c>
      <c r="T59" s="4" t="str">
        <f>IF(tProdutos[[#This Row],[Elegível]]="Sim",COUNTIFS(tProdutos[Elegível],"Sim",tProdutos[Valor janela],"&gt;"&amp;tProdutos[[#This Row],[Valor janela]])+1,"")</f>
        <v/>
      </c>
      <c r="U59" t="str">
        <f>IF(ModoFoco="Lista",tProdutos[[#This Row],[Elegível]],IF(AND(tProdutos[[#This Row],[Posição]]&lt;&gt;"",N(tProdutos[[#This Row],[Posição]])&lt;=TopN),"Sim","Não"))</f>
        <v>Não</v>
      </c>
    </row>
    <row r="60" spans="1:21" x14ac:dyDescent="0.25">
      <c r="A60">
        <v>59</v>
      </c>
      <c r="B60" t="s">
        <v>176</v>
      </c>
      <c r="C60" t="s">
        <v>78</v>
      </c>
      <c r="D60" s="14">
        <v>58.256819999999991</v>
      </c>
      <c r="E60" s="7">
        <v>0.370288248337029</v>
      </c>
      <c r="F60" s="7">
        <v>0.39921530161843999</v>
      </c>
      <c r="G60" s="15">
        <v>0.55000000000000004</v>
      </c>
      <c r="H60" s="15">
        <v>0.4</v>
      </c>
      <c r="I60" t="s">
        <v>177</v>
      </c>
      <c r="J60" s="16" t="s">
        <v>66</v>
      </c>
      <c r="K60" s="15"/>
      <c r="L60" s="4">
        <f>COUNTIFS(tItens[Produto],tProdutos[[#This Row],[Produto]])</f>
        <v>18</v>
      </c>
      <c r="M60" s="4">
        <f>SUMIFS(tItens[Primeira ocorrência],tItens[Produto],tProdutos[[#This Row],[Produto]])</f>
        <v>10</v>
      </c>
      <c r="N60" s="8">
        <f>SUMIFS(tItens[Valor],tItens[Produto],tProdutos[[#This Row],[Produto]])</f>
        <v>921635.48</v>
      </c>
      <c r="O60" s="8">
        <f>SUMIFS(tItens[Valor],tItens[Produto],tProdutos[[#This Row],[Produto]],tItens[SRP],"Sim")</f>
        <v>302210.2</v>
      </c>
      <c r="P60" s="6">
        <f>IF(tProdutos[[#This Row],[Valor janela]]=0,0,tProdutos[[#This Row],[Valor SRP]]/tProdutos[[#This Row],[Valor janela]])</f>
        <v>0.32790642999117181</v>
      </c>
      <c r="Q60" s="8">
        <f>tProdutos[[#This Row],[Valor janela]]*DiasMes/DiasJanela</f>
        <v>3072118.2666666671</v>
      </c>
      <c r="R60" s="8">
        <f>tProdutos[[#This Row],[Mercado mês ref]]*(1-IF(tProdutos[[#This Row],[Desconto homologado]]="",DescontoPadrao,tProdutos[[#This Row],[Desconto homologado]]))</f>
        <v>1845681.6462318145</v>
      </c>
      <c r="S60" t="str">
        <f>IF(ModoFoco="Lista",IF(tProdutos[[#This Row],[Lista definida]]="Sim","Sim","Não"),IF(AND(tProdutos[[#This Row],[Editais]]&gt;=MinEditais,N(tProdutos[[#This Row],[Margem bruta]])&gt;=MargemMin),"Sim","Não"))</f>
        <v>Não</v>
      </c>
      <c r="T60" s="4" t="str">
        <f>IF(tProdutos[[#This Row],[Elegível]]="Sim",COUNTIFS(tProdutos[Elegível],"Sim",tProdutos[Valor janela],"&gt;"&amp;tProdutos[[#This Row],[Valor janela]])+1,"")</f>
        <v/>
      </c>
      <c r="U60" t="str">
        <f>IF(ModoFoco="Lista",tProdutos[[#This Row],[Elegível]],IF(AND(tProdutos[[#This Row],[Posição]]&lt;&gt;"",N(tProdutos[[#This Row],[Posição]])&lt;=TopN),"Sim","Não"))</f>
        <v>Não</v>
      </c>
    </row>
    <row r="61" spans="1:21" x14ac:dyDescent="0.25">
      <c r="A61">
        <v>60</v>
      </c>
      <c r="B61" t="s">
        <v>178</v>
      </c>
      <c r="C61" t="s">
        <v>78</v>
      </c>
      <c r="D61" s="14">
        <v>58.071199999999997</v>
      </c>
      <c r="E61" s="7">
        <v>0.34923195813392272</v>
      </c>
      <c r="F61" s="7">
        <v>0.49882919126848801</v>
      </c>
      <c r="G61" s="15">
        <v>0.1799</v>
      </c>
      <c r="H61" s="15">
        <v>0.12</v>
      </c>
      <c r="I61" t="s">
        <v>179</v>
      </c>
      <c r="J61" s="16" t="s">
        <v>66</v>
      </c>
      <c r="K61" s="15"/>
      <c r="L61" s="4">
        <f>COUNTIFS(tItens[Produto],tProdutos[[#This Row],[Produto]])</f>
        <v>4</v>
      </c>
      <c r="M61" s="4">
        <f>SUMIFS(tItens[Primeira ocorrência],tItens[Produto],tProdutos[[#This Row],[Produto]])</f>
        <v>4</v>
      </c>
      <c r="N61" s="8">
        <f>SUMIFS(tItens[Valor],tItens[Produto],tProdutos[[#This Row],[Produto]])</f>
        <v>36943.199999999997</v>
      </c>
      <c r="O61" s="8">
        <f>SUMIFS(tItens[Valor],tItens[Produto],tProdutos[[#This Row],[Produto]],tItens[SRP],"Sim")</f>
        <v>0</v>
      </c>
      <c r="P61" s="6">
        <f>IF(tProdutos[[#This Row],[Valor janela]]=0,0,tProdutos[[#This Row],[Valor SRP]]/tProdutos[[#This Row],[Valor janela]])</f>
        <v>0</v>
      </c>
      <c r="Q61" s="8">
        <f>tProdutos[[#This Row],[Valor janela]]*DiasMes/DiasJanela</f>
        <v>123144</v>
      </c>
      <c r="R61" s="8">
        <f>tProdutos[[#This Row],[Mercado mês ref]]*(1-IF(tProdutos[[#This Row],[Desconto homologado]]="",DescontoPadrao,tProdutos[[#This Row],[Desconto homologado]]))</f>
        <v>61716.178070433314</v>
      </c>
      <c r="S61" t="str">
        <f>IF(ModoFoco="Lista",IF(tProdutos[[#This Row],[Lista definida]]="Sim","Sim","Não"),IF(AND(tProdutos[[#This Row],[Editais]]&gt;=MinEditais,N(tProdutos[[#This Row],[Margem bruta]])&gt;=MargemMin),"Sim","Não"))</f>
        <v>Não</v>
      </c>
      <c r="T61" s="4" t="str">
        <f>IF(tProdutos[[#This Row],[Elegível]]="Sim",COUNTIFS(tProdutos[Elegível],"Sim",tProdutos[Valor janela],"&gt;"&amp;tProdutos[[#This Row],[Valor janela]])+1,"")</f>
        <v/>
      </c>
      <c r="U61" t="str">
        <f>IF(ModoFoco="Lista",tProdutos[[#This Row],[Elegível]],IF(AND(tProdutos[[#This Row],[Posição]]&lt;&gt;"",N(tProdutos[[#This Row],[Posição]])&lt;=TopN),"Sim","Não"))</f>
        <v>Não</v>
      </c>
    </row>
    <row r="62" spans="1:21" x14ac:dyDescent="0.25">
      <c r="A62">
        <v>61</v>
      </c>
      <c r="B62" t="s">
        <v>180</v>
      </c>
      <c r="C62" t="s">
        <v>78</v>
      </c>
      <c r="D62" s="14">
        <v>57.886879999999998</v>
      </c>
      <c r="E62" s="7">
        <v>0.31643132220795889</v>
      </c>
      <c r="F62" s="7">
        <v>0.33333333333333298</v>
      </c>
      <c r="G62" s="15">
        <v>0.56999999999999995</v>
      </c>
      <c r="H62" s="15">
        <v>0.45</v>
      </c>
      <c r="I62" t="s">
        <v>181</v>
      </c>
      <c r="J62" s="16" t="s">
        <v>66</v>
      </c>
      <c r="K62" s="15"/>
      <c r="L62" s="4">
        <f>COUNTIFS(tItens[Produto],tProdutos[[#This Row],[Produto]])</f>
        <v>18</v>
      </c>
      <c r="M62" s="4">
        <f>SUMIFS(tItens[Primeira ocorrência],tItens[Produto],tProdutos[[#This Row],[Produto]])</f>
        <v>16</v>
      </c>
      <c r="N62" s="8">
        <f>SUMIFS(tItens[Valor],tItens[Produto],tProdutos[[#This Row],[Produto]])</f>
        <v>16148.98</v>
      </c>
      <c r="O62" s="8">
        <f>SUMIFS(tItens[Valor],tItens[Produto],tProdutos[[#This Row],[Produto]],tItens[SRP],"Sim")</f>
        <v>6414.38</v>
      </c>
      <c r="P62" s="6">
        <f>IF(tProdutos[[#This Row],[Valor janela]]=0,0,tProdutos[[#This Row],[Valor SRP]]/tProdutos[[#This Row],[Valor janela]])</f>
        <v>0.39720031853404986</v>
      </c>
      <c r="Q62" s="8">
        <f>tProdutos[[#This Row],[Valor janela]]*DiasMes/DiasJanela</f>
        <v>53829.933333333327</v>
      </c>
      <c r="R62" s="8">
        <f>tProdutos[[#This Row],[Mercado mês ref]]*(1-IF(tProdutos[[#This Row],[Desconto homologado]]="",DescontoPadrao,tProdutos[[#This Row],[Desconto homologado]]))</f>
        <v>35886.622222222235</v>
      </c>
      <c r="S62" t="str">
        <f>IF(ModoFoco="Lista",IF(tProdutos[[#This Row],[Lista definida]]="Sim","Sim","Não"),IF(AND(tProdutos[[#This Row],[Editais]]&gt;=MinEditais,N(tProdutos[[#This Row],[Margem bruta]])&gt;=MargemMin),"Sim","Não"))</f>
        <v>Não</v>
      </c>
      <c r="T62" s="4" t="str">
        <f>IF(tProdutos[[#This Row],[Elegível]]="Sim",COUNTIFS(tProdutos[Elegível],"Sim",tProdutos[Valor janela],"&gt;"&amp;tProdutos[[#This Row],[Valor janela]])+1,"")</f>
        <v/>
      </c>
      <c r="U62" t="str">
        <f>IF(ModoFoco="Lista",tProdutos[[#This Row],[Elegível]],IF(AND(tProdutos[[#This Row],[Posição]]&lt;&gt;"",N(tProdutos[[#This Row],[Posição]])&lt;=TopN),"Sim","Não"))</f>
        <v>Não</v>
      </c>
    </row>
    <row r="63" spans="1:21" x14ac:dyDescent="0.25">
      <c r="A63">
        <v>62</v>
      </c>
      <c r="B63" t="s">
        <v>182</v>
      </c>
      <c r="C63" t="s">
        <v>78</v>
      </c>
      <c r="D63" s="14">
        <v>57.825845009625915</v>
      </c>
      <c r="E63" s="7">
        <v>0.53170731707317076</v>
      </c>
      <c r="F63" s="7">
        <v>0.35691391041019399</v>
      </c>
      <c r="G63" s="15">
        <v>2.5000000000000001E-2</v>
      </c>
      <c r="H63" s="15">
        <v>1.2E-2</v>
      </c>
      <c r="I63" t="s">
        <v>183</v>
      </c>
      <c r="J63" s="16" t="s">
        <v>66</v>
      </c>
      <c r="K63" s="15"/>
      <c r="L63" s="4">
        <f>COUNTIFS(tItens[Produto],tProdutos[[#This Row],[Produto]])</f>
        <v>1</v>
      </c>
      <c r="M63" s="4">
        <f>SUMIFS(tItens[Primeira ocorrência],tItens[Produto],tProdutos[[#This Row],[Produto]])</f>
        <v>1</v>
      </c>
      <c r="N63" s="8">
        <f>SUMIFS(tItens[Valor],tItens[Produto],tProdutos[[#This Row],[Produto]])</f>
        <v>27.54</v>
      </c>
      <c r="O63" s="8">
        <f>SUMIFS(tItens[Valor],tItens[Produto],tProdutos[[#This Row],[Produto]],tItens[SRP],"Sim")</f>
        <v>0</v>
      </c>
      <c r="P63" s="6">
        <f>IF(tProdutos[[#This Row],[Valor janela]]=0,0,tProdutos[[#This Row],[Valor SRP]]/tProdutos[[#This Row],[Valor janela]])</f>
        <v>0</v>
      </c>
      <c r="Q63" s="8">
        <f>tProdutos[[#This Row],[Valor janela]]*DiasMes/DiasJanela</f>
        <v>91.8</v>
      </c>
      <c r="R63" s="8">
        <f>tProdutos[[#This Row],[Mercado mês ref]]*(1-IF(tProdutos[[#This Row],[Desconto homologado]]="",DescontoPadrao,tProdutos[[#This Row],[Desconto homologado]]))</f>
        <v>59.035303024344195</v>
      </c>
      <c r="S63" t="str">
        <f>IF(ModoFoco="Lista",IF(tProdutos[[#This Row],[Lista definida]]="Sim","Sim","Não"),IF(AND(tProdutos[[#This Row],[Editais]]&gt;=MinEditais,N(tProdutos[[#This Row],[Margem bruta]])&gt;=MargemMin),"Sim","Não"))</f>
        <v>Não</v>
      </c>
      <c r="T63" s="4" t="str">
        <f>IF(tProdutos[[#This Row],[Elegível]]="Sim",COUNTIFS(tProdutos[Elegível],"Sim",tProdutos[Valor janela],"&gt;"&amp;tProdutos[[#This Row],[Valor janela]])+1,"")</f>
        <v/>
      </c>
      <c r="U63" t="str">
        <f>IF(ModoFoco="Lista",tProdutos[[#This Row],[Elegível]],IF(AND(tProdutos[[#This Row],[Posição]]&lt;&gt;"",N(tProdutos[[#This Row],[Posição]])&lt;=TopN),"Sim","Não"))</f>
        <v>Não</v>
      </c>
    </row>
    <row r="64" spans="1:21" x14ac:dyDescent="0.25">
      <c r="A64">
        <v>63</v>
      </c>
      <c r="B64" t="s">
        <v>184</v>
      </c>
      <c r="C64" t="s">
        <v>185</v>
      </c>
      <c r="D64" s="14">
        <v>57.305900000000001</v>
      </c>
      <c r="E64" s="7">
        <v>0.4227642276422765</v>
      </c>
      <c r="F64" s="7">
        <v>0.363567906332742</v>
      </c>
      <c r="G64" s="15">
        <v>2.1</v>
      </c>
      <c r="H64" s="15">
        <v>1.4</v>
      </c>
      <c r="I64" t="s">
        <v>186</v>
      </c>
      <c r="J64" s="16" t="s">
        <v>66</v>
      </c>
      <c r="K64" s="15"/>
      <c r="L64" s="4">
        <f>COUNTIFS(tItens[Produto],tProdutos[[#This Row],[Produto]])</f>
        <v>237</v>
      </c>
      <c r="M64" s="4">
        <f>SUMIFS(tItens[Primeira ocorrência],tItens[Produto],tProdutos[[#This Row],[Produto]])</f>
        <v>44</v>
      </c>
      <c r="N64" s="8">
        <f>SUMIFS(tItens[Valor],tItens[Produto],tProdutos[[#This Row],[Produto]])</f>
        <v>309623.28000000026</v>
      </c>
      <c r="O64" s="8">
        <f>SUMIFS(tItens[Valor],tItens[Produto],tProdutos[[#This Row],[Produto]],tItens[SRP],"Sim")</f>
        <v>168312.64000000004</v>
      </c>
      <c r="P64" s="6">
        <f>IF(tProdutos[[#This Row],[Valor janela]]=0,0,tProdutos[[#This Row],[Valor SRP]]/tProdutos[[#This Row],[Valor janela]])</f>
        <v>0.54360460234127062</v>
      </c>
      <c r="Q64" s="8">
        <f>tProdutos[[#This Row],[Valor janela]]*DiasMes/DiasJanela</f>
        <v>1032077.6000000009</v>
      </c>
      <c r="R64" s="8">
        <f>tProdutos[[#This Row],[Mercado mês ref]]*(1-IF(tProdutos[[#This Row],[Desconto homologado]]="",DescontoPadrao,tProdutos[[#This Row],[Desconto homologado]]))</f>
        <v>656847.30779507942</v>
      </c>
      <c r="S64" t="str">
        <f>IF(ModoFoco="Lista",IF(tProdutos[[#This Row],[Lista definida]]="Sim","Sim","Não"),IF(AND(tProdutos[[#This Row],[Editais]]&gt;=MinEditais,N(tProdutos[[#This Row],[Margem bruta]])&gt;=MargemMin),"Sim","Não"))</f>
        <v>Não</v>
      </c>
      <c r="T64" s="4" t="str">
        <f>IF(tProdutos[[#This Row],[Elegível]]="Sim",COUNTIFS(tProdutos[Elegível],"Sim",tProdutos[Valor janela],"&gt;"&amp;tProdutos[[#This Row],[Valor janela]])+1,"")</f>
        <v/>
      </c>
      <c r="U64" t="str">
        <f>IF(ModoFoco="Lista",tProdutos[[#This Row],[Elegível]],IF(AND(tProdutos[[#This Row],[Posição]]&lt;&gt;"",N(tProdutos[[#This Row],[Posição]])&lt;=TopN),"Sim","Não"))</f>
        <v>Não</v>
      </c>
    </row>
    <row r="65" spans="1:21" x14ac:dyDescent="0.25">
      <c r="A65">
        <v>64</v>
      </c>
      <c r="B65" t="s">
        <v>187</v>
      </c>
      <c r="C65" t="s">
        <v>78</v>
      </c>
      <c r="D65" s="14">
        <v>57.295319999999997</v>
      </c>
      <c r="E65" s="7">
        <v>0.40127140633108471</v>
      </c>
      <c r="F65" s="7">
        <v>0.44298820445609399</v>
      </c>
      <c r="G65" s="15">
        <v>0.94</v>
      </c>
      <c r="H65" s="15">
        <v>0.65</v>
      </c>
      <c r="I65" t="s">
        <v>188</v>
      </c>
      <c r="J65" s="16" t="s">
        <v>66</v>
      </c>
      <c r="K65" s="15"/>
      <c r="L65" s="4">
        <f>COUNTIFS(tItens[Produto],tProdutos[[#This Row],[Produto]])</f>
        <v>43</v>
      </c>
      <c r="M65" s="4">
        <f>SUMIFS(tItens[Primeira ocorrência],tItens[Produto],tProdutos[[#This Row],[Produto]])</f>
        <v>39</v>
      </c>
      <c r="N65" s="8">
        <f>SUMIFS(tItens[Valor],tItens[Produto],tProdutos[[#This Row],[Produto]])</f>
        <v>287117.59000000003</v>
      </c>
      <c r="O65" s="8">
        <f>SUMIFS(tItens[Valor],tItens[Produto],tProdutos[[#This Row],[Produto]],tItens[SRP],"Sim")</f>
        <v>175894.55000000002</v>
      </c>
      <c r="P65" s="6">
        <f>IF(tProdutos[[#This Row],[Valor janela]]=0,0,tProdutos[[#This Row],[Valor SRP]]/tProdutos[[#This Row],[Valor janela]])</f>
        <v>0.61262199226456315</v>
      </c>
      <c r="Q65" s="8">
        <f>tProdutos[[#This Row],[Valor janela]]*DiasMes/DiasJanela</f>
        <v>957058.63333333342</v>
      </c>
      <c r="R65" s="8">
        <f>tProdutos[[#This Row],[Mercado mês ref]]*(1-IF(tProdutos[[#This Row],[Desconto homologado]]="",DescontoPadrao,tProdutos[[#This Row],[Desconto homologado]]))</f>
        <v>533092.94779379677</v>
      </c>
      <c r="S65" t="str">
        <f>IF(ModoFoco="Lista",IF(tProdutos[[#This Row],[Lista definida]]="Sim","Sim","Não"),IF(AND(tProdutos[[#This Row],[Editais]]&gt;=MinEditais,N(tProdutos[[#This Row],[Margem bruta]])&gt;=MargemMin),"Sim","Não"))</f>
        <v>Não</v>
      </c>
      <c r="T65" s="4" t="str">
        <f>IF(tProdutos[[#This Row],[Elegível]]="Sim",COUNTIFS(tProdutos[Elegível],"Sim",tProdutos[Valor janela],"&gt;"&amp;tProdutos[[#This Row],[Valor janela]])+1,"")</f>
        <v/>
      </c>
      <c r="U65" t="str">
        <f>IF(ModoFoco="Lista",tProdutos[[#This Row],[Elegível]],IF(AND(tProdutos[[#This Row],[Posição]]&lt;&gt;"",N(tProdutos[[#This Row],[Posição]])&lt;=TopN),"Sim","Não"))</f>
        <v>Não</v>
      </c>
    </row>
    <row r="66" spans="1:21" x14ac:dyDescent="0.25">
      <c r="A66">
        <v>65</v>
      </c>
      <c r="B66" t="s">
        <v>189</v>
      </c>
      <c r="C66" t="s">
        <v>78</v>
      </c>
      <c r="D66" s="14">
        <v>57.039520000000003</v>
      </c>
      <c r="E66" s="7">
        <v>0.39156229400131848</v>
      </c>
      <c r="F66" s="7">
        <v>0.33088052268966101</v>
      </c>
      <c r="G66" s="15">
        <v>3.7</v>
      </c>
      <c r="H66" s="15">
        <v>2.6</v>
      </c>
      <c r="I66" t="s">
        <v>190</v>
      </c>
      <c r="J66" s="16" t="s">
        <v>66</v>
      </c>
      <c r="K66" s="15"/>
      <c r="L66" s="4">
        <f>COUNTIFS(tItens[Produto],tProdutos[[#This Row],[Produto]])</f>
        <v>27</v>
      </c>
      <c r="M66" s="4">
        <f>SUMIFS(tItens[Primeira ocorrência],tItens[Produto],tProdutos[[#This Row],[Produto]])</f>
        <v>8</v>
      </c>
      <c r="N66" s="8">
        <f>SUMIFS(tItens[Valor],tItens[Produto],tProdutos[[#This Row],[Produto]])</f>
        <v>556828.82999999984</v>
      </c>
      <c r="O66" s="8">
        <f>SUMIFS(tItens[Valor],tItens[Produto],tProdutos[[#This Row],[Produto]],tItens[SRP],"Sim")</f>
        <v>543276.08999999985</v>
      </c>
      <c r="P66" s="6">
        <f>IF(tProdutos[[#This Row],[Valor janela]]=0,0,tProdutos[[#This Row],[Valor SRP]]/tProdutos[[#This Row],[Valor janela]])</f>
        <v>0.97566085075013087</v>
      </c>
      <c r="Q66" s="8">
        <f>tProdutos[[#This Row],[Valor janela]]*DiasMes/DiasJanela</f>
        <v>1856096.0999999996</v>
      </c>
      <c r="R66" s="8">
        <f>tProdutos[[#This Row],[Mercado mês ref]]*(1-IF(tProdutos[[#This Row],[Desconto homologado]]="",DescontoPadrao,tProdutos[[#This Row],[Desconto homologado]]))</f>
        <v>1241950.0522697587</v>
      </c>
      <c r="S66" t="str">
        <f>IF(ModoFoco="Lista",IF(tProdutos[[#This Row],[Lista definida]]="Sim","Sim","Não"),IF(AND(tProdutos[[#This Row],[Editais]]&gt;=MinEditais,N(tProdutos[[#This Row],[Margem bruta]])&gt;=MargemMin),"Sim","Não"))</f>
        <v>Não</v>
      </c>
      <c r="T66" s="4" t="str">
        <f>IF(tProdutos[[#This Row],[Elegível]]="Sim",COUNTIFS(tProdutos[Elegível],"Sim",tProdutos[Valor janela],"&gt;"&amp;tProdutos[[#This Row],[Valor janela]])+1,"")</f>
        <v/>
      </c>
      <c r="U66" t="str">
        <f>IF(ModoFoco="Lista",tProdutos[[#This Row],[Elegível]],IF(AND(tProdutos[[#This Row],[Posição]]&lt;&gt;"",N(tProdutos[[#This Row],[Posição]])&lt;=TopN),"Sim","Não"))</f>
        <v>Não</v>
      </c>
    </row>
    <row r="67" spans="1:21" x14ac:dyDescent="0.25">
      <c r="A67">
        <v>66</v>
      </c>
      <c r="B67" t="s">
        <v>191</v>
      </c>
      <c r="C67" t="s">
        <v>78</v>
      </c>
      <c r="D67" s="14">
        <v>56.595640000000003</v>
      </c>
      <c r="E67" s="7">
        <v>0.42946797889031518</v>
      </c>
      <c r="F67" s="7">
        <v>0.374129526462396</v>
      </c>
      <c r="G67" s="15">
        <v>3.42</v>
      </c>
      <c r="H67" s="15">
        <v>2</v>
      </c>
      <c r="I67" t="s">
        <v>192</v>
      </c>
      <c r="J67" s="16" t="s">
        <v>66</v>
      </c>
      <c r="K67" s="15"/>
      <c r="L67" s="4">
        <f>COUNTIFS(tItens[Produto],tProdutos[[#This Row],[Produto]])</f>
        <v>8</v>
      </c>
      <c r="M67" s="4">
        <f>SUMIFS(tItens[Primeira ocorrência],tItens[Produto],tProdutos[[#This Row],[Produto]])</f>
        <v>4</v>
      </c>
      <c r="N67" s="8">
        <f>SUMIFS(tItens[Valor],tItens[Produto],tProdutos[[#This Row],[Produto]])</f>
        <v>67957.149999999994</v>
      </c>
      <c r="O67" s="8">
        <f>SUMIFS(tItens[Valor],tItens[Produto],tProdutos[[#This Row],[Produto]],tItens[SRP],"Sim")</f>
        <v>59700</v>
      </c>
      <c r="P67" s="6">
        <f>IF(tProdutos[[#This Row],[Valor janela]]=0,0,tProdutos[[#This Row],[Valor SRP]]/tProdutos[[#This Row],[Valor janela]])</f>
        <v>0.87849475735812943</v>
      </c>
      <c r="Q67" s="8">
        <f>tProdutos[[#This Row],[Valor janela]]*DiasMes/DiasJanela</f>
        <v>226523.83333333334</v>
      </c>
      <c r="R67" s="8">
        <f>tProdutos[[#This Row],[Mercado mês ref]]*(1-IF(tProdutos[[#This Row],[Desconto homologado]]="",DescontoPadrao,tProdutos[[#This Row],[Desconto homologado]]))</f>
        <v>141774.57883588661</v>
      </c>
      <c r="S67" t="str">
        <f>IF(ModoFoco="Lista",IF(tProdutos[[#This Row],[Lista definida]]="Sim","Sim","Não"),IF(AND(tProdutos[[#This Row],[Editais]]&gt;=MinEditais,N(tProdutos[[#This Row],[Margem bruta]])&gt;=MargemMin),"Sim","Não"))</f>
        <v>Não</v>
      </c>
      <c r="T67" s="4" t="str">
        <f>IF(tProdutos[[#This Row],[Elegível]]="Sim",COUNTIFS(tProdutos[Elegível],"Sim",tProdutos[Valor janela],"&gt;"&amp;tProdutos[[#This Row],[Valor janela]])+1,"")</f>
        <v/>
      </c>
      <c r="U67" t="str">
        <f>IF(ModoFoco="Lista",tProdutos[[#This Row],[Elegível]],IF(AND(tProdutos[[#This Row],[Posição]]&lt;&gt;"",N(tProdutos[[#This Row],[Posição]])&lt;=TopN),"Sim","Não"))</f>
        <v>Não</v>
      </c>
    </row>
    <row r="68" spans="1:21" x14ac:dyDescent="0.25">
      <c r="A68">
        <v>67</v>
      </c>
      <c r="B68" t="s">
        <v>193</v>
      </c>
      <c r="C68" t="s">
        <v>78</v>
      </c>
      <c r="D68" s="14">
        <v>56.524882020804952</v>
      </c>
      <c r="E68" s="7">
        <v>0.46500099147332952</v>
      </c>
      <c r="F68" s="7">
        <v>0.293849658314351</v>
      </c>
      <c r="G68" s="15">
        <v>6.15</v>
      </c>
      <c r="H68" s="15">
        <v>3.8</v>
      </c>
      <c r="I68" t="s">
        <v>194</v>
      </c>
      <c r="J68" s="16" t="s">
        <v>66</v>
      </c>
      <c r="K68" s="15"/>
      <c r="L68" s="4">
        <f>COUNTIFS(tItens[Produto],tProdutos[[#This Row],[Produto]])</f>
        <v>11</v>
      </c>
      <c r="M68" s="4">
        <f>SUMIFS(tItens[Primeira ocorrência],tItens[Produto],tProdutos[[#This Row],[Produto]])</f>
        <v>7</v>
      </c>
      <c r="N68" s="8">
        <f>SUMIFS(tItens[Valor],tItens[Produto],tProdutos[[#This Row],[Produto]])</f>
        <v>25013.63</v>
      </c>
      <c r="O68" s="8">
        <f>SUMIFS(tItens[Valor],tItens[Produto],tProdutos[[#This Row],[Produto]],tItens[SRP],"Sim")</f>
        <v>24542.39</v>
      </c>
      <c r="P68" s="6">
        <f>IF(tProdutos[[#This Row],[Valor janela]]=0,0,tProdutos[[#This Row],[Valor SRP]]/tProdutos[[#This Row],[Valor janela]])</f>
        <v>0.98116067120206052</v>
      </c>
      <c r="Q68" s="8">
        <f>tProdutos[[#This Row],[Valor janela]]*DiasMes/DiasJanela</f>
        <v>83378.766666666677</v>
      </c>
      <c r="R68" s="8">
        <f>tProdutos[[#This Row],[Mercado mês ref]]*(1-IF(tProdutos[[#This Row],[Desconto homologado]]="",DescontoPadrao,tProdutos[[#This Row],[Desconto homologado]]))</f>
        <v>58877.944570994674</v>
      </c>
      <c r="S68" t="str">
        <f>IF(ModoFoco="Lista",IF(tProdutos[[#This Row],[Lista definida]]="Sim","Sim","Não"),IF(AND(tProdutos[[#This Row],[Editais]]&gt;=MinEditais,N(tProdutos[[#This Row],[Margem bruta]])&gt;=MargemMin),"Sim","Não"))</f>
        <v>Não</v>
      </c>
      <c r="T68" s="4" t="str">
        <f>IF(tProdutos[[#This Row],[Elegível]]="Sim",COUNTIFS(tProdutos[Elegível],"Sim",tProdutos[Valor janela],"&gt;"&amp;tProdutos[[#This Row],[Valor janela]])+1,"")</f>
        <v/>
      </c>
      <c r="U68" t="str">
        <f>IF(ModoFoco="Lista",tProdutos[[#This Row],[Elegível]],IF(AND(tProdutos[[#This Row],[Posição]]&lt;&gt;"",N(tProdutos[[#This Row],[Posição]])&lt;=TopN),"Sim","Não"))</f>
        <v>Não</v>
      </c>
    </row>
    <row r="69" spans="1:21" x14ac:dyDescent="0.25">
      <c r="A69">
        <v>68</v>
      </c>
      <c r="B69" t="s">
        <v>195</v>
      </c>
      <c r="C69" t="s">
        <v>185</v>
      </c>
      <c r="D69" s="14">
        <v>56.49306244884918</v>
      </c>
      <c r="E69" s="7">
        <v>0.34995971581337448</v>
      </c>
      <c r="F69" s="7">
        <v>0.27813657840171302</v>
      </c>
      <c r="G69" s="15">
        <v>0.66600000000000004</v>
      </c>
      <c r="H69" s="15">
        <v>0.5</v>
      </c>
      <c r="I69" t="s">
        <v>196</v>
      </c>
      <c r="J69" s="16" t="s">
        <v>66</v>
      </c>
      <c r="K69" s="15"/>
      <c r="L69" s="4">
        <f>COUNTIFS(tItens[Produto],tProdutos[[#This Row],[Produto]])</f>
        <v>15</v>
      </c>
      <c r="M69" s="4">
        <f>SUMIFS(tItens[Primeira ocorrência],tItens[Produto],tProdutos[[#This Row],[Produto]])</f>
        <v>14</v>
      </c>
      <c r="N69" s="8">
        <f>SUMIFS(tItens[Valor],tItens[Produto],tProdutos[[#This Row],[Produto]])</f>
        <v>167950.24</v>
      </c>
      <c r="O69" s="8">
        <f>SUMIFS(tItens[Valor],tItens[Produto],tProdutos[[#This Row],[Produto]],tItens[SRP],"Sim")</f>
        <v>0.84</v>
      </c>
      <c r="P69" s="6">
        <f>IF(tProdutos[[#This Row],[Valor janela]]=0,0,tProdutos[[#This Row],[Valor SRP]]/tProdutos[[#This Row],[Valor janela]])</f>
        <v>5.0014813911549039E-6</v>
      </c>
      <c r="Q69" s="8">
        <f>tProdutos[[#This Row],[Valor janela]]*DiasMes/DiasJanela</f>
        <v>559834.1333333333</v>
      </c>
      <c r="R69" s="8">
        <f>tProdutos[[#This Row],[Mercado mês ref]]*(1-IF(tProdutos[[#This Row],[Desconto homologado]]="",DescontoPadrao,tProdutos[[#This Row],[Desconto homologado]]))</f>
        <v>404123.78301551158</v>
      </c>
      <c r="S69" t="str">
        <f>IF(ModoFoco="Lista",IF(tProdutos[[#This Row],[Lista definida]]="Sim","Sim","Não"),IF(AND(tProdutos[[#This Row],[Editais]]&gt;=MinEditais,N(tProdutos[[#This Row],[Margem bruta]])&gt;=MargemMin),"Sim","Não"))</f>
        <v>Não</v>
      </c>
      <c r="T69" s="4" t="str">
        <f>IF(tProdutos[[#This Row],[Elegível]]="Sim",COUNTIFS(tProdutos[Elegível],"Sim",tProdutos[Valor janela],"&gt;"&amp;tProdutos[[#This Row],[Valor janela]])+1,"")</f>
        <v/>
      </c>
      <c r="U69" t="str">
        <f>IF(ModoFoco="Lista",tProdutos[[#This Row],[Elegível]],IF(AND(tProdutos[[#This Row],[Posição]]&lt;&gt;"",N(tProdutos[[#This Row],[Posição]])&lt;=TopN),"Sim","Não"))</f>
        <v>Não</v>
      </c>
    </row>
    <row r="70" spans="1:21" x14ac:dyDescent="0.25">
      <c r="A70">
        <v>69</v>
      </c>
      <c r="B70" t="s">
        <v>197</v>
      </c>
      <c r="C70" t="s">
        <v>185</v>
      </c>
      <c r="D70" s="14">
        <v>56.485099999999981</v>
      </c>
      <c r="E70" s="7">
        <v>0.32655826558265599</v>
      </c>
      <c r="F70" s="7">
        <v>0.26394818195200997</v>
      </c>
      <c r="G70" s="15">
        <v>0.45</v>
      </c>
      <c r="H70" s="15">
        <v>0.35</v>
      </c>
      <c r="I70" t="s">
        <v>198</v>
      </c>
      <c r="J70" s="16" t="s">
        <v>66</v>
      </c>
      <c r="K70" s="15"/>
      <c r="L70" s="4">
        <f>COUNTIFS(tItens[Produto],tProdutos[[#This Row],[Produto]])</f>
        <v>11</v>
      </c>
      <c r="M70" s="4">
        <f>SUMIFS(tItens[Primeira ocorrência],tItens[Produto],tProdutos[[#This Row],[Produto]])</f>
        <v>11</v>
      </c>
      <c r="N70" s="8">
        <f>SUMIFS(tItens[Valor],tItens[Produto],tProdutos[[#This Row],[Produto]])</f>
        <v>21009.89</v>
      </c>
      <c r="O70" s="8">
        <f>SUMIFS(tItens[Valor],tItens[Produto],tProdutos[[#This Row],[Produto]],tItens[SRP],"Sim")</f>
        <v>9409.89</v>
      </c>
      <c r="P70" s="6">
        <f>IF(tProdutos[[#This Row],[Valor janela]]=0,0,tProdutos[[#This Row],[Valor SRP]]/tProdutos[[#This Row],[Valor janela]])</f>
        <v>0.4478790702854703</v>
      </c>
      <c r="Q70" s="8">
        <f>tProdutos[[#This Row],[Valor janela]]*DiasMes/DiasJanela</f>
        <v>70032.96666666666</v>
      </c>
      <c r="R70" s="8">
        <f>tProdutos[[#This Row],[Mercado mês ref]]*(1-IF(tProdutos[[#This Row],[Desconto homologado]]="",DescontoPadrao,tProdutos[[#This Row],[Desconto homologado]]))</f>
        <v>51547.892438294279</v>
      </c>
      <c r="S70" t="str">
        <f>IF(ModoFoco="Lista",IF(tProdutos[[#This Row],[Lista definida]]="Sim","Sim","Não"),IF(AND(tProdutos[[#This Row],[Editais]]&gt;=MinEditais,N(tProdutos[[#This Row],[Margem bruta]])&gt;=MargemMin),"Sim","Não"))</f>
        <v>Não</v>
      </c>
      <c r="T70" s="4" t="str">
        <f>IF(tProdutos[[#This Row],[Elegível]]="Sim",COUNTIFS(tProdutos[Elegível],"Sim",tProdutos[Valor janela],"&gt;"&amp;tProdutos[[#This Row],[Valor janela]])+1,"")</f>
        <v/>
      </c>
      <c r="U70" t="str">
        <f>IF(ModoFoco="Lista",tProdutos[[#This Row],[Elegível]],IF(AND(tProdutos[[#This Row],[Posição]]&lt;&gt;"",N(tProdutos[[#This Row],[Posição]])&lt;=TopN),"Sim","Não"))</f>
        <v>Não</v>
      </c>
    </row>
    <row r="71" spans="1:21" x14ac:dyDescent="0.25">
      <c r="A71">
        <v>70</v>
      </c>
      <c r="B71" t="s">
        <v>199</v>
      </c>
      <c r="C71" t="s">
        <v>185</v>
      </c>
      <c r="D71" s="14">
        <v>56.374726465976579</v>
      </c>
      <c r="E71" s="7">
        <v>0.40578670492587288</v>
      </c>
      <c r="F71" s="7">
        <v>0.30903115871470299</v>
      </c>
      <c r="G71" s="15">
        <v>0.51</v>
      </c>
      <c r="H71" s="15">
        <v>0.35</v>
      </c>
      <c r="I71" t="s">
        <v>200</v>
      </c>
      <c r="J71" s="16" t="s">
        <v>66</v>
      </c>
      <c r="K71" s="15"/>
      <c r="L71" s="4">
        <f>COUNTIFS(tItens[Produto],tProdutos[[#This Row],[Produto]])</f>
        <v>0</v>
      </c>
      <c r="M71" s="4">
        <f>SUMIFS(tItens[Primeira ocorrência],tItens[Produto],tProdutos[[#This Row],[Produto]])</f>
        <v>0</v>
      </c>
      <c r="N71" s="8">
        <f>SUMIFS(tItens[Valor],tItens[Produto],tProdutos[[#This Row],[Produto]])</f>
        <v>0</v>
      </c>
      <c r="O71" s="8">
        <f>SUMIFS(tItens[Valor],tItens[Produto],tProdutos[[#This Row],[Produto]],tItens[SRP],"Sim")</f>
        <v>0</v>
      </c>
      <c r="P71" s="6">
        <f>IF(tProdutos[[#This Row],[Valor janela]]=0,0,tProdutos[[#This Row],[Valor SRP]]/tProdutos[[#This Row],[Valor janela]])</f>
        <v>0</v>
      </c>
      <c r="Q71" s="8">
        <f>tProdutos[[#This Row],[Valor janela]]*DiasMes/DiasJanela</f>
        <v>0</v>
      </c>
      <c r="R71" s="8">
        <f>tProdutos[[#This Row],[Mercado mês ref]]*(1-IF(tProdutos[[#This Row],[Desconto homologado]]="",DescontoPadrao,tProdutos[[#This Row],[Desconto homologado]]))</f>
        <v>0</v>
      </c>
      <c r="S71" t="str">
        <f>IF(ModoFoco="Lista",IF(tProdutos[[#This Row],[Lista definida]]="Sim","Sim","Não"),IF(AND(tProdutos[[#This Row],[Editais]]&gt;=MinEditais,N(tProdutos[[#This Row],[Margem bruta]])&gt;=MargemMin),"Sim","Não"))</f>
        <v>Não</v>
      </c>
      <c r="T71" s="4" t="str">
        <f>IF(tProdutos[[#This Row],[Elegível]]="Sim",COUNTIFS(tProdutos[Elegível],"Sim",tProdutos[Valor janela],"&gt;"&amp;tProdutos[[#This Row],[Valor janela]])+1,"")</f>
        <v/>
      </c>
      <c r="U71" t="str">
        <f>IF(ModoFoco="Lista",tProdutos[[#This Row],[Elegível]],IF(AND(tProdutos[[#This Row],[Posição]]&lt;&gt;"",N(tProdutos[[#This Row],[Posição]])&lt;=TopN),"Sim","Não"))</f>
        <v>Não</v>
      </c>
    </row>
    <row r="72" spans="1:21" x14ac:dyDescent="0.25">
      <c r="A72">
        <v>71</v>
      </c>
      <c r="B72" t="s">
        <v>201</v>
      </c>
      <c r="C72" t="s">
        <v>78</v>
      </c>
      <c r="D72" s="14">
        <v>56.257896405317609</v>
      </c>
      <c r="E72" s="7">
        <v>0.30731707317073187</v>
      </c>
      <c r="F72" s="7">
        <v>0.27203065134099602</v>
      </c>
      <c r="G72" s="15">
        <v>0.25</v>
      </c>
      <c r="H72" s="15">
        <v>0.2</v>
      </c>
      <c r="I72" t="s">
        <v>202</v>
      </c>
      <c r="J72" s="16" t="s">
        <v>66</v>
      </c>
      <c r="K72" s="15"/>
      <c r="L72" s="4">
        <f>COUNTIFS(tItens[Produto],tProdutos[[#This Row],[Produto]])</f>
        <v>22</v>
      </c>
      <c r="M72" s="4">
        <f>SUMIFS(tItens[Primeira ocorrência],tItens[Produto],tProdutos[[#This Row],[Produto]])</f>
        <v>17</v>
      </c>
      <c r="N72" s="8">
        <f>SUMIFS(tItens[Valor],tItens[Produto],tProdutos[[#This Row],[Produto]])</f>
        <v>159008.44999999998</v>
      </c>
      <c r="O72" s="8">
        <f>SUMIFS(tItens[Valor],tItens[Produto],tProdutos[[#This Row],[Produto]],tItens[SRP],"Sim")</f>
        <v>5672.3799999999992</v>
      </c>
      <c r="P72" s="6">
        <f>IF(tProdutos[[#This Row],[Valor janela]]=0,0,tProdutos[[#This Row],[Valor SRP]]/tProdutos[[#This Row],[Valor janela]])</f>
        <v>3.567345005878618E-2</v>
      </c>
      <c r="Q72" s="8">
        <f>tProdutos[[#This Row],[Valor janela]]*DiasMes/DiasJanela</f>
        <v>530028.16666666663</v>
      </c>
      <c r="R72" s="8">
        <f>tProdutos[[#This Row],[Mercado mês ref]]*(1-IF(tProdutos[[#This Row],[Desconto homologado]]="",DescontoPadrao,tProdutos[[#This Row],[Desconto homologado]]))</f>
        <v>385844.25925925933</v>
      </c>
      <c r="S72" t="str">
        <f>IF(ModoFoco="Lista",IF(tProdutos[[#This Row],[Lista definida]]="Sim","Sim","Não"),IF(AND(tProdutos[[#This Row],[Editais]]&gt;=MinEditais,N(tProdutos[[#This Row],[Margem bruta]])&gt;=MargemMin),"Sim","Não"))</f>
        <v>Não</v>
      </c>
      <c r="T72" s="4" t="str">
        <f>IF(tProdutos[[#This Row],[Elegível]]="Sim",COUNTIFS(tProdutos[Elegível],"Sim",tProdutos[Valor janela],"&gt;"&amp;tProdutos[[#This Row],[Valor janela]])+1,"")</f>
        <v/>
      </c>
      <c r="U72" t="str">
        <f>IF(ModoFoco="Lista",tProdutos[[#This Row],[Elegível]],IF(AND(tProdutos[[#This Row],[Posição]]&lt;&gt;"",N(tProdutos[[#This Row],[Posição]])&lt;=TopN),"Sim","Não"))</f>
        <v>Não</v>
      </c>
    </row>
    <row r="73" spans="1:21" x14ac:dyDescent="0.25">
      <c r="A73">
        <v>72</v>
      </c>
      <c r="B73" t="s">
        <v>203</v>
      </c>
      <c r="C73" t="s">
        <v>185</v>
      </c>
      <c r="D73" s="14">
        <v>56.169800000000016</v>
      </c>
      <c r="E73" s="7">
        <v>0.33162173727000432</v>
      </c>
      <c r="F73" s="7">
        <v>0.36541598694942901</v>
      </c>
      <c r="G73" s="15">
        <v>2.85</v>
      </c>
      <c r="H73" s="15">
        <v>2.2000000000000002</v>
      </c>
      <c r="I73" t="s">
        <v>204</v>
      </c>
      <c r="J73" s="16" t="s">
        <v>66</v>
      </c>
      <c r="K73" s="15"/>
      <c r="L73" s="4">
        <f>COUNTIFS(tItens[Produto],tProdutos[[#This Row],[Produto]])</f>
        <v>0</v>
      </c>
      <c r="M73" s="4">
        <f>SUMIFS(tItens[Primeira ocorrência],tItens[Produto],tProdutos[[#This Row],[Produto]])</f>
        <v>0</v>
      </c>
      <c r="N73" s="8">
        <f>SUMIFS(tItens[Valor],tItens[Produto],tProdutos[[#This Row],[Produto]])</f>
        <v>0</v>
      </c>
      <c r="O73" s="8">
        <f>SUMIFS(tItens[Valor],tItens[Produto],tProdutos[[#This Row],[Produto]],tItens[SRP],"Sim")</f>
        <v>0</v>
      </c>
      <c r="P73" s="6">
        <f>IF(tProdutos[[#This Row],[Valor janela]]=0,0,tProdutos[[#This Row],[Valor SRP]]/tProdutos[[#This Row],[Valor janela]])</f>
        <v>0</v>
      </c>
      <c r="Q73" s="8">
        <f>tProdutos[[#This Row],[Valor janela]]*DiasMes/DiasJanela</f>
        <v>0</v>
      </c>
      <c r="R73" s="8">
        <f>tProdutos[[#This Row],[Mercado mês ref]]*(1-IF(tProdutos[[#This Row],[Desconto homologado]]="",DescontoPadrao,tProdutos[[#This Row],[Desconto homologado]]))</f>
        <v>0</v>
      </c>
      <c r="S73" t="str">
        <f>IF(ModoFoco="Lista",IF(tProdutos[[#This Row],[Lista definida]]="Sim","Sim","Não"),IF(AND(tProdutos[[#This Row],[Editais]]&gt;=MinEditais,N(tProdutos[[#This Row],[Margem bruta]])&gt;=MargemMin),"Sim","Não"))</f>
        <v>Não</v>
      </c>
      <c r="T73" s="4" t="str">
        <f>IF(tProdutos[[#This Row],[Elegível]]="Sim",COUNTIFS(tProdutos[Elegível],"Sim",tProdutos[Valor janela],"&gt;"&amp;tProdutos[[#This Row],[Valor janela]])+1,"")</f>
        <v/>
      </c>
      <c r="U73" t="str">
        <f>IF(ModoFoco="Lista",tProdutos[[#This Row],[Elegível]],IF(AND(tProdutos[[#This Row],[Posição]]&lt;&gt;"",N(tProdutos[[#This Row],[Posição]])&lt;=TopN),"Sim","Não"))</f>
        <v>Não</v>
      </c>
    </row>
    <row r="74" spans="1:21" x14ac:dyDescent="0.25">
      <c r="A74">
        <v>73</v>
      </c>
      <c r="B74" t="s">
        <v>205</v>
      </c>
      <c r="C74" t="s">
        <v>185</v>
      </c>
      <c r="D74" s="14">
        <v>56.134220226521954</v>
      </c>
      <c r="E74" s="7">
        <v>0.7526132404181185</v>
      </c>
      <c r="F74" s="7">
        <v>0.468911625815156</v>
      </c>
      <c r="G74" s="15">
        <v>21</v>
      </c>
      <c r="H74" s="15">
        <v>6</v>
      </c>
      <c r="I74" t="s">
        <v>206</v>
      </c>
      <c r="J74" s="16" t="s">
        <v>66</v>
      </c>
      <c r="K74" s="15"/>
      <c r="L74" s="4">
        <f>COUNTIFS(tItens[Produto],tProdutos[[#This Row],[Produto]])</f>
        <v>22</v>
      </c>
      <c r="M74" s="4">
        <f>SUMIFS(tItens[Primeira ocorrência],tItens[Produto],tProdutos[[#This Row],[Produto]])</f>
        <v>11</v>
      </c>
      <c r="N74" s="8">
        <f>SUMIFS(tItens[Valor],tItens[Produto],tProdutos[[#This Row],[Produto]])</f>
        <v>102368.26</v>
      </c>
      <c r="O74" s="8">
        <f>SUMIFS(tItens[Valor],tItens[Produto],tProdutos[[#This Row],[Produto]],tItens[SRP],"Sim")</f>
        <v>63590.76</v>
      </c>
      <c r="P74" s="6">
        <f>IF(tProdutos[[#This Row],[Valor janela]]=0,0,tProdutos[[#This Row],[Valor SRP]]/tProdutos[[#This Row],[Valor janela]])</f>
        <v>0.62119606213879186</v>
      </c>
      <c r="Q74" s="8">
        <f>tProdutos[[#This Row],[Valor janela]]*DiasMes/DiasJanela</f>
        <v>341227.53333333333</v>
      </c>
      <c r="R74" s="8">
        <f>tProdutos[[#This Row],[Mercado mês ref]]*(1-IF(tProdutos[[#This Row],[Desconto homologado]]="",DescontoPadrao,tProdutos[[#This Row],[Desconto homologado]]))</f>
        <v>181221.97590510466</v>
      </c>
      <c r="S74" t="str">
        <f>IF(ModoFoco="Lista",IF(tProdutos[[#This Row],[Lista definida]]="Sim","Sim","Não"),IF(AND(tProdutos[[#This Row],[Editais]]&gt;=MinEditais,N(tProdutos[[#This Row],[Margem bruta]])&gt;=MargemMin),"Sim","Não"))</f>
        <v>Não</v>
      </c>
      <c r="T74" s="4" t="str">
        <f>IF(tProdutos[[#This Row],[Elegível]]="Sim",COUNTIFS(tProdutos[Elegível],"Sim",tProdutos[Valor janela],"&gt;"&amp;tProdutos[[#This Row],[Valor janela]])+1,"")</f>
        <v/>
      </c>
      <c r="U74" t="str">
        <f>IF(ModoFoco="Lista",tProdutos[[#This Row],[Elegível]],IF(AND(tProdutos[[#This Row],[Posição]]&lt;&gt;"",N(tProdutos[[#This Row],[Posição]])&lt;=TopN),"Sim","Não"))</f>
        <v>Não</v>
      </c>
    </row>
    <row r="75" spans="1:21" x14ac:dyDescent="0.25">
      <c r="A75">
        <v>74</v>
      </c>
      <c r="B75" t="s">
        <v>207</v>
      </c>
      <c r="C75" t="s">
        <v>78</v>
      </c>
      <c r="D75" s="14">
        <v>55.98810993466487</v>
      </c>
      <c r="E75" s="7">
        <v>0.63015268501047617</v>
      </c>
      <c r="F75" s="7">
        <v>0.23949864498644999</v>
      </c>
      <c r="G75" s="15">
        <v>21.07</v>
      </c>
      <c r="H75" s="15">
        <v>9</v>
      </c>
      <c r="I75" t="s">
        <v>208</v>
      </c>
      <c r="J75" s="16" t="s">
        <v>66</v>
      </c>
      <c r="K75" s="15"/>
      <c r="L75" s="4">
        <f>COUNTIFS(tItens[Produto],tProdutos[[#This Row],[Produto]])</f>
        <v>0</v>
      </c>
      <c r="M75" s="4">
        <f>SUMIFS(tItens[Primeira ocorrência],tItens[Produto],tProdutos[[#This Row],[Produto]])</f>
        <v>0</v>
      </c>
      <c r="N75" s="8">
        <f>SUMIFS(tItens[Valor],tItens[Produto],tProdutos[[#This Row],[Produto]])</f>
        <v>0</v>
      </c>
      <c r="O75" s="8">
        <f>SUMIFS(tItens[Valor],tItens[Produto],tProdutos[[#This Row],[Produto]],tItens[SRP],"Sim")</f>
        <v>0</v>
      </c>
      <c r="P75" s="6">
        <f>IF(tProdutos[[#This Row],[Valor janela]]=0,0,tProdutos[[#This Row],[Valor SRP]]/tProdutos[[#This Row],[Valor janela]])</f>
        <v>0</v>
      </c>
      <c r="Q75" s="8">
        <f>tProdutos[[#This Row],[Valor janela]]*DiasMes/DiasJanela</f>
        <v>0</v>
      </c>
      <c r="R75" s="8">
        <f>tProdutos[[#This Row],[Mercado mês ref]]*(1-IF(tProdutos[[#This Row],[Desconto homologado]]="",DescontoPadrao,tProdutos[[#This Row],[Desconto homologado]]))</f>
        <v>0</v>
      </c>
      <c r="S75" t="str">
        <f>IF(ModoFoco="Lista",IF(tProdutos[[#This Row],[Lista definida]]="Sim","Sim","Não"),IF(AND(tProdutos[[#This Row],[Editais]]&gt;=MinEditais,N(tProdutos[[#This Row],[Margem bruta]])&gt;=MargemMin),"Sim","Não"))</f>
        <v>Não</v>
      </c>
      <c r="T75" s="4" t="str">
        <f>IF(tProdutos[[#This Row],[Elegível]]="Sim",COUNTIFS(tProdutos[Elegível],"Sim",tProdutos[Valor janela],"&gt;"&amp;tProdutos[[#This Row],[Valor janela]])+1,"")</f>
        <v/>
      </c>
      <c r="U75" t="str">
        <f>IF(ModoFoco="Lista",tProdutos[[#This Row],[Elegível]],IF(AND(tProdutos[[#This Row],[Posição]]&lt;&gt;"",N(tProdutos[[#This Row],[Posição]])&lt;=TopN),"Sim","Não"))</f>
        <v>Não</v>
      </c>
    </row>
    <row r="76" spans="1:21" x14ac:dyDescent="0.25">
      <c r="A76">
        <v>75</v>
      </c>
      <c r="B76" t="s">
        <v>209</v>
      </c>
      <c r="C76" t="s">
        <v>185</v>
      </c>
      <c r="D76" s="14">
        <v>55.877840000000006</v>
      </c>
      <c r="E76" s="7">
        <v>0.4086853063652589</v>
      </c>
      <c r="F76" s="7">
        <v>0.16442507504040599</v>
      </c>
      <c r="G76" s="15">
        <v>2.0499999999999998</v>
      </c>
      <c r="H76" s="15">
        <v>1.4</v>
      </c>
      <c r="I76" t="s">
        <v>210</v>
      </c>
      <c r="J76" s="16" t="s">
        <v>66</v>
      </c>
      <c r="K76" s="15"/>
      <c r="L76" s="4">
        <f>COUNTIFS(tItens[Produto],tProdutos[[#This Row],[Produto]])</f>
        <v>21</v>
      </c>
      <c r="M76" s="4">
        <f>SUMIFS(tItens[Primeira ocorrência],tItens[Produto],tProdutos[[#This Row],[Produto]])</f>
        <v>21</v>
      </c>
      <c r="N76" s="8">
        <f>SUMIFS(tItens[Valor],tItens[Produto],tProdutos[[#This Row],[Produto]])</f>
        <v>241235.93</v>
      </c>
      <c r="O76" s="8">
        <f>SUMIFS(tItens[Valor],tItens[Produto],tProdutos[[#This Row],[Produto]],tItens[SRP],"Sim")</f>
        <v>156694.53</v>
      </c>
      <c r="P76" s="6">
        <f>IF(tProdutos[[#This Row],[Valor janela]]=0,0,tProdutos[[#This Row],[Valor SRP]]/tProdutos[[#This Row],[Valor janela]])</f>
        <v>0.64954888768020591</v>
      </c>
      <c r="Q76" s="8">
        <f>tProdutos[[#This Row],[Valor janela]]*DiasMes/DiasJanela</f>
        <v>804119.7666666666</v>
      </c>
      <c r="R76" s="8">
        <f>tProdutos[[#This Row],[Mercado mês ref]]*(1-IF(tProdutos[[#This Row],[Desconto homologado]]="",DescontoPadrao,tProdutos[[#This Row],[Desconto homologado]]))</f>
        <v>671902.31369102618</v>
      </c>
      <c r="S76" t="str">
        <f>IF(ModoFoco="Lista",IF(tProdutos[[#This Row],[Lista definida]]="Sim","Sim","Não"),IF(AND(tProdutos[[#This Row],[Editais]]&gt;=MinEditais,N(tProdutos[[#This Row],[Margem bruta]])&gt;=MargemMin),"Sim","Não"))</f>
        <v>Não</v>
      </c>
      <c r="T76" s="4" t="str">
        <f>IF(tProdutos[[#This Row],[Elegível]]="Sim",COUNTIFS(tProdutos[Elegível],"Sim",tProdutos[Valor janela],"&gt;"&amp;tProdutos[[#This Row],[Valor janela]])+1,"")</f>
        <v/>
      </c>
      <c r="U76" t="str">
        <f>IF(ModoFoco="Lista",tProdutos[[#This Row],[Elegível]],IF(AND(tProdutos[[#This Row],[Posição]]&lt;&gt;"",N(tProdutos[[#This Row],[Posição]])&lt;=TopN),"Sim","Não"))</f>
        <v>Não</v>
      </c>
    </row>
    <row r="77" spans="1:21" x14ac:dyDescent="0.25">
      <c r="A77">
        <v>76</v>
      </c>
      <c r="B77" t="s">
        <v>211</v>
      </c>
      <c r="C77" t="s">
        <v>185</v>
      </c>
      <c r="D77" s="14">
        <v>55.487489490690031</v>
      </c>
      <c r="E77" s="7">
        <v>0.38880918220946931</v>
      </c>
      <c r="F77" s="7">
        <v>0.391489361702128</v>
      </c>
      <c r="G77" s="15">
        <v>1.7</v>
      </c>
      <c r="H77" s="15">
        <v>1.2</v>
      </c>
      <c r="I77" t="s">
        <v>212</v>
      </c>
      <c r="J77" s="16" t="s">
        <v>66</v>
      </c>
      <c r="K77" s="15"/>
      <c r="L77" s="4">
        <f>COUNTIFS(tItens[Produto],tProdutos[[#This Row],[Produto]])</f>
        <v>0</v>
      </c>
      <c r="M77" s="4">
        <f>SUMIFS(tItens[Primeira ocorrência],tItens[Produto],tProdutos[[#This Row],[Produto]])</f>
        <v>0</v>
      </c>
      <c r="N77" s="8">
        <f>SUMIFS(tItens[Valor],tItens[Produto],tProdutos[[#This Row],[Produto]])</f>
        <v>0</v>
      </c>
      <c r="O77" s="8">
        <f>SUMIFS(tItens[Valor],tItens[Produto],tProdutos[[#This Row],[Produto]],tItens[SRP],"Sim")</f>
        <v>0</v>
      </c>
      <c r="P77" s="6">
        <f>IF(tProdutos[[#This Row],[Valor janela]]=0,0,tProdutos[[#This Row],[Valor SRP]]/tProdutos[[#This Row],[Valor janela]])</f>
        <v>0</v>
      </c>
      <c r="Q77" s="8">
        <f>tProdutos[[#This Row],[Valor janela]]*DiasMes/DiasJanela</f>
        <v>0</v>
      </c>
      <c r="R77" s="8">
        <f>tProdutos[[#This Row],[Mercado mês ref]]*(1-IF(tProdutos[[#This Row],[Desconto homologado]]="",DescontoPadrao,tProdutos[[#This Row],[Desconto homologado]]))</f>
        <v>0</v>
      </c>
      <c r="S77" t="str">
        <f>IF(ModoFoco="Lista",IF(tProdutos[[#This Row],[Lista definida]]="Sim","Sim","Não"),IF(AND(tProdutos[[#This Row],[Editais]]&gt;=MinEditais,N(tProdutos[[#This Row],[Margem bruta]])&gt;=MargemMin),"Sim","Não"))</f>
        <v>Não</v>
      </c>
      <c r="T77" s="4" t="str">
        <f>IF(tProdutos[[#This Row],[Elegível]]="Sim",COUNTIFS(tProdutos[Elegível],"Sim",tProdutos[Valor janela],"&gt;"&amp;tProdutos[[#This Row],[Valor janela]])+1,"")</f>
        <v/>
      </c>
      <c r="U77" t="str">
        <f>IF(ModoFoco="Lista",tProdutos[[#This Row],[Elegível]],IF(AND(tProdutos[[#This Row],[Posição]]&lt;&gt;"",N(tProdutos[[#This Row],[Posição]])&lt;=TopN),"Sim","Não"))</f>
        <v>Não</v>
      </c>
    </row>
    <row r="78" spans="1:21" x14ac:dyDescent="0.25">
      <c r="A78">
        <v>77</v>
      </c>
      <c r="B78" t="s">
        <v>213</v>
      </c>
      <c r="C78" t="s">
        <v>78</v>
      </c>
      <c r="D78" s="14">
        <v>55.413339999999991</v>
      </c>
      <c r="E78" s="7">
        <v>0.37346162452450227</v>
      </c>
      <c r="F78" s="7">
        <v>0.35909822866344598</v>
      </c>
      <c r="G78" s="15">
        <v>0.54500000000000004</v>
      </c>
      <c r="H78" s="15">
        <v>0.35</v>
      </c>
      <c r="I78" t="s">
        <v>214</v>
      </c>
      <c r="J78" s="16" t="s">
        <v>66</v>
      </c>
      <c r="K78" s="15"/>
      <c r="L78" s="4">
        <f>COUNTIFS(tItens[Produto],tProdutos[[#This Row],[Produto]])</f>
        <v>2</v>
      </c>
      <c r="M78" s="4">
        <f>SUMIFS(tItens[Primeira ocorrência],tItens[Produto],tProdutos[[#This Row],[Produto]])</f>
        <v>2</v>
      </c>
      <c r="N78" s="8">
        <f>SUMIFS(tItens[Valor],tItens[Produto],tProdutos[[#This Row],[Produto]])</f>
        <v>13923.599999999999</v>
      </c>
      <c r="O78" s="8">
        <f>SUMIFS(tItens[Valor],tItens[Produto],tProdutos[[#This Row],[Produto]],tItens[SRP],"Sim")</f>
        <v>825.6</v>
      </c>
      <c r="P78" s="6">
        <f>IF(tProdutos[[#This Row],[Valor janela]]=0,0,tProdutos[[#This Row],[Valor SRP]]/tProdutos[[#This Row],[Valor janela]])</f>
        <v>5.9295009911229865E-2</v>
      </c>
      <c r="Q78" s="8">
        <f>tProdutos[[#This Row],[Valor janela]]*DiasMes/DiasJanela</f>
        <v>46412</v>
      </c>
      <c r="R78" s="8">
        <f>tProdutos[[#This Row],[Mercado mês ref]]*(1-IF(tProdutos[[#This Row],[Desconto homologado]]="",DescontoPadrao,tProdutos[[#This Row],[Desconto homologado]]))</f>
        <v>29745.533011272146</v>
      </c>
      <c r="S78" t="str">
        <f>IF(ModoFoco="Lista",IF(tProdutos[[#This Row],[Lista definida]]="Sim","Sim","Não"),IF(AND(tProdutos[[#This Row],[Editais]]&gt;=MinEditais,N(tProdutos[[#This Row],[Margem bruta]])&gt;=MargemMin),"Sim","Não"))</f>
        <v>Não</v>
      </c>
      <c r="T78" s="4" t="str">
        <f>IF(tProdutos[[#This Row],[Elegível]]="Sim",COUNTIFS(tProdutos[Elegível],"Sim",tProdutos[Valor janela],"&gt;"&amp;tProdutos[[#This Row],[Valor janela]])+1,"")</f>
        <v/>
      </c>
      <c r="U78" t="str">
        <f>IF(ModoFoco="Lista",tProdutos[[#This Row],[Elegível]],IF(AND(tProdutos[[#This Row],[Posição]]&lt;&gt;"",N(tProdutos[[#This Row],[Posição]])&lt;=TopN),"Sim","Não"))</f>
        <v>Não</v>
      </c>
    </row>
    <row r="79" spans="1:21" x14ac:dyDescent="0.25">
      <c r="A79">
        <v>78</v>
      </c>
      <c r="B79" t="s">
        <v>215</v>
      </c>
      <c r="C79" t="s">
        <v>185</v>
      </c>
      <c r="D79" s="14">
        <v>55.024920000000002</v>
      </c>
      <c r="E79" s="7">
        <v>0.60037523452157604</v>
      </c>
      <c r="F79" s="7">
        <v>0.27710245735301298</v>
      </c>
      <c r="G79" s="15">
        <v>260</v>
      </c>
      <c r="H79" s="15">
        <v>120</v>
      </c>
      <c r="I79" t="s">
        <v>216</v>
      </c>
      <c r="J79" s="16" t="s">
        <v>66</v>
      </c>
      <c r="K79" s="15"/>
      <c r="L79" s="4">
        <f>COUNTIFS(tItens[Produto],tProdutos[[#This Row],[Produto]])</f>
        <v>9</v>
      </c>
      <c r="M79" s="4">
        <f>SUMIFS(tItens[Primeira ocorrência],tItens[Produto],tProdutos[[#This Row],[Produto]])</f>
        <v>6</v>
      </c>
      <c r="N79" s="8">
        <f>SUMIFS(tItens[Valor],tItens[Produto],tProdutos[[#This Row],[Produto]])</f>
        <v>61553.03</v>
      </c>
      <c r="O79" s="8">
        <f>SUMIFS(tItens[Valor],tItens[Produto],tProdutos[[#This Row],[Produto]],tItens[SRP],"Sim")</f>
        <v>12871.029999999999</v>
      </c>
      <c r="P79" s="6">
        <f>IF(tProdutos[[#This Row],[Valor janela]]=0,0,tProdutos[[#This Row],[Valor SRP]]/tProdutos[[#This Row],[Valor janela]])</f>
        <v>0.20910473456790021</v>
      </c>
      <c r="Q79" s="8">
        <f>tProdutos[[#This Row],[Valor janela]]*DiasMes/DiasJanela</f>
        <v>205176.76666666669</v>
      </c>
      <c r="R79" s="8">
        <f>tProdutos[[#This Row],[Mercado mês ref]]*(1-IF(tProdutos[[#This Row],[Desconto homologado]]="",DescontoPadrao,tProdutos[[#This Row],[Desconto homologado]]))</f>
        <v>148321.7804315876</v>
      </c>
      <c r="S79" t="str">
        <f>IF(ModoFoco="Lista",IF(tProdutos[[#This Row],[Lista definida]]="Sim","Sim","Não"),IF(AND(tProdutos[[#This Row],[Editais]]&gt;=MinEditais,N(tProdutos[[#This Row],[Margem bruta]])&gt;=MargemMin),"Sim","Não"))</f>
        <v>Não</v>
      </c>
      <c r="T79" s="4" t="str">
        <f>IF(tProdutos[[#This Row],[Elegível]]="Sim",COUNTIFS(tProdutos[Elegível],"Sim",tProdutos[Valor janela],"&gt;"&amp;tProdutos[[#This Row],[Valor janela]])+1,"")</f>
        <v/>
      </c>
      <c r="U79" t="str">
        <f>IF(ModoFoco="Lista",tProdutos[[#This Row],[Elegível]],IF(AND(tProdutos[[#This Row],[Posição]]&lt;&gt;"",N(tProdutos[[#This Row],[Posição]])&lt;=TopN),"Sim","Não"))</f>
        <v>Não</v>
      </c>
    </row>
    <row r="80" spans="1:21" x14ac:dyDescent="0.25">
      <c r="A80">
        <v>79</v>
      </c>
      <c r="B80" t="s">
        <v>217</v>
      </c>
      <c r="C80" t="s">
        <v>185</v>
      </c>
      <c r="D80" s="14">
        <v>54.816816534578685</v>
      </c>
      <c r="E80" s="7">
        <v>0.57241794640168631</v>
      </c>
      <c r="F80" s="7">
        <v>0.25339382757704798</v>
      </c>
      <c r="G80" s="15">
        <v>1.62</v>
      </c>
      <c r="H80" s="15">
        <v>0.8</v>
      </c>
      <c r="I80" t="s">
        <v>218</v>
      </c>
      <c r="J80" s="16" t="s">
        <v>66</v>
      </c>
      <c r="K80" s="15"/>
      <c r="L80" s="4">
        <f>COUNTIFS(tItens[Produto],tProdutos[[#This Row],[Produto]])</f>
        <v>1</v>
      </c>
      <c r="M80" s="4">
        <f>SUMIFS(tItens[Primeira ocorrência],tItens[Produto],tProdutos[[#This Row],[Produto]])</f>
        <v>1</v>
      </c>
      <c r="N80" s="8">
        <f>SUMIFS(tItens[Valor],tItens[Produto],tProdutos[[#This Row],[Produto]])</f>
        <v>32.5</v>
      </c>
      <c r="O80" s="8">
        <f>SUMIFS(tItens[Valor],tItens[Produto],tProdutos[[#This Row],[Produto]],tItens[SRP],"Sim")</f>
        <v>0</v>
      </c>
      <c r="P80" s="6">
        <f>IF(tProdutos[[#This Row],[Valor janela]]=0,0,tProdutos[[#This Row],[Valor SRP]]/tProdutos[[#This Row],[Valor janela]])</f>
        <v>0</v>
      </c>
      <c r="Q80" s="8">
        <f>tProdutos[[#This Row],[Valor janela]]*DiasMes/DiasJanela</f>
        <v>108.33333333333333</v>
      </c>
      <c r="R80" s="8">
        <f>tProdutos[[#This Row],[Mercado mês ref]]*(1-IF(tProdutos[[#This Row],[Desconto homologado]]="",DescontoPadrao,tProdutos[[#This Row],[Desconto homologado]]))</f>
        <v>80.882335345819797</v>
      </c>
      <c r="S80" t="str">
        <f>IF(ModoFoco="Lista",IF(tProdutos[[#This Row],[Lista definida]]="Sim","Sim","Não"),IF(AND(tProdutos[[#This Row],[Editais]]&gt;=MinEditais,N(tProdutos[[#This Row],[Margem bruta]])&gt;=MargemMin),"Sim","Não"))</f>
        <v>Não</v>
      </c>
      <c r="T80" s="4" t="str">
        <f>IF(tProdutos[[#This Row],[Elegível]]="Sim",COUNTIFS(tProdutos[Elegível],"Sim",tProdutos[Valor janela],"&gt;"&amp;tProdutos[[#This Row],[Valor janela]])+1,"")</f>
        <v/>
      </c>
      <c r="U80" t="str">
        <f>IF(ModoFoco="Lista",tProdutos[[#This Row],[Elegível]],IF(AND(tProdutos[[#This Row],[Posição]]&lt;&gt;"",N(tProdutos[[#This Row],[Posição]])&lt;=TopN),"Sim","Não"))</f>
        <v>Não</v>
      </c>
    </row>
    <row r="81" spans="1:21" x14ac:dyDescent="0.25">
      <c r="A81">
        <v>80</v>
      </c>
      <c r="B81" t="s">
        <v>219</v>
      </c>
      <c r="C81" t="s">
        <v>185</v>
      </c>
      <c r="D81" s="14">
        <v>53.514688869979331</v>
      </c>
      <c r="E81" s="7">
        <v>0.56707317073170738</v>
      </c>
      <c r="F81" s="7">
        <v>0.26909055558256001</v>
      </c>
      <c r="G81" s="15">
        <v>0.2</v>
      </c>
      <c r="H81" s="15">
        <v>0.1</v>
      </c>
      <c r="I81" t="s">
        <v>220</v>
      </c>
      <c r="J81" s="16" t="s">
        <v>66</v>
      </c>
      <c r="K81" s="15"/>
      <c r="L81" s="4">
        <f>COUNTIFS(tItens[Produto],tProdutos[[#This Row],[Produto]])</f>
        <v>0</v>
      </c>
      <c r="M81" s="4">
        <f>SUMIFS(tItens[Primeira ocorrência],tItens[Produto],tProdutos[[#This Row],[Produto]])</f>
        <v>0</v>
      </c>
      <c r="N81" s="8">
        <f>SUMIFS(tItens[Valor],tItens[Produto],tProdutos[[#This Row],[Produto]])</f>
        <v>0</v>
      </c>
      <c r="O81" s="8">
        <f>SUMIFS(tItens[Valor],tItens[Produto],tProdutos[[#This Row],[Produto]],tItens[SRP],"Sim")</f>
        <v>0</v>
      </c>
      <c r="P81" s="6">
        <f>IF(tProdutos[[#This Row],[Valor janela]]=0,0,tProdutos[[#This Row],[Valor SRP]]/tProdutos[[#This Row],[Valor janela]])</f>
        <v>0</v>
      </c>
      <c r="Q81" s="8">
        <f>tProdutos[[#This Row],[Valor janela]]*DiasMes/DiasJanela</f>
        <v>0</v>
      </c>
      <c r="R81" s="8">
        <f>tProdutos[[#This Row],[Mercado mês ref]]*(1-IF(tProdutos[[#This Row],[Desconto homologado]]="",DescontoPadrao,tProdutos[[#This Row],[Desconto homologado]]))</f>
        <v>0</v>
      </c>
      <c r="S81" t="str">
        <f>IF(ModoFoco="Lista",IF(tProdutos[[#This Row],[Lista definida]]="Sim","Sim","Não"),IF(AND(tProdutos[[#This Row],[Editais]]&gt;=MinEditais,N(tProdutos[[#This Row],[Margem bruta]])&gt;=MargemMin),"Sim","Não"))</f>
        <v>Não</v>
      </c>
      <c r="T81" s="4" t="str">
        <f>IF(tProdutos[[#This Row],[Elegível]]="Sim",COUNTIFS(tProdutos[Elegível],"Sim",tProdutos[Valor janela],"&gt;"&amp;tProdutos[[#This Row],[Valor janela]])+1,"")</f>
        <v/>
      </c>
      <c r="U81" t="str">
        <f>IF(ModoFoco="Lista",tProdutos[[#This Row],[Elegível]],IF(AND(tProdutos[[#This Row],[Posição]]&lt;&gt;"",N(tProdutos[[#This Row],[Posição]])&lt;=TopN),"Sim","Não"))</f>
        <v>Não</v>
      </c>
    </row>
    <row r="82" spans="1:21" x14ac:dyDescent="0.25">
      <c r="A82">
        <v>81</v>
      </c>
      <c r="B82" t="s">
        <v>221</v>
      </c>
      <c r="C82" t="s">
        <v>185</v>
      </c>
      <c r="D82" s="14">
        <v>53.271820000000005</v>
      </c>
      <c r="E82" s="7">
        <v>0.3672607879924954</v>
      </c>
      <c r="F82" s="7">
        <v>0.35408560311283999</v>
      </c>
      <c r="G82" s="15">
        <v>1.3</v>
      </c>
      <c r="H82" s="15">
        <v>0.95</v>
      </c>
      <c r="I82" t="s">
        <v>222</v>
      </c>
      <c r="J82" s="16" t="s">
        <v>66</v>
      </c>
      <c r="K82" s="15"/>
      <c r="L82" s="4">
        <f>COUNTIFS(tItens[Produto],tProdutos[[#This Row],[Produto]])</f>
        <v>46</v>
      </c>
      <c r="M82" s="4">
        <f>SUMIFS(tItens[Primeira ocorrência],tItens[Produto],tProdutos[[#This Row],[Produto]])</f>
        <v>13</v>
      </c>
      <c r="N82" s="8">
        <f>SUMIFS(tItens[Valor],tItens[Produto],tProdutos[[#This Row],[Produto]])</f>
        <v>858341.77999999991</v>
      </c>
      <c r="O82" s="8">
        <f>SUMIFS(tItens[Valor],tItens[Produto],tProdutos[[#This Row],[Produto]],tItens[SRP],"Sim")</f>
        <v>322916.8</v>
      </c>
      <c r="P82" s="6">
        <f>IF(tProdutos[[#This Row],[Valor janela]]=0,0,tProdutos[[#This Row],[Valor SRP]]/tProdutos[[#This Row],[Valor janela]])</f>
        <v>0.37621004537376712</v>
      </c>
      <c r="Q82" s="8">
        <f>tProdutos[[#This Row],[Valor janela]]*DiasMes/DiasJanela</f>
        <v>2861139.2666666661</v>
      </c>
      <c r="R82" s="8">
        <f>tProdutos[[#This Row],[Mercado mês ref]]*(1-IF(tProdutos[[#This Row],[Desconto homologado]]="",DescontoPadrao,tProdutos[[#This Row],[Desconto homologado]]))</f>
        <v>1848051.0438391708</v>
      </c>
      <c r="S82" t="str">
        <f>IF(ModoFoco="Lista",IF(tProdutos[[#This Row],[Lista definida]]="Sim","Sim","Não"),IF(AND(tProdutos[[#This Row],[Editais]]&gt;=MinEditais,N(tProdutos[[#This Row],[Margem bruta]])&gt;=MargemMin),"Sim","Não"))</f>
        <v>Não</v>
      </c>
      <c r="T82" s="4" t="str">
        <f>IF(tProdutos[[#This Row],[Elegível]]="Sim",COUNTIFS(tProdutos[Elegível],"Sim",tProdutos[Valor janela],"&gt;"&amp;tProdutos[[#This Row],[Valor janela]])+1,"")</f>
        <v/>
      </c>
      <c r="U82" t="str">
        <f>IF(ModoFoco="Lista",tProdutos[[#This Row],[Elegível]],IF(AND(tProdutos[[#This Row],[Posição]]&lt;&gt;"",N(tProdutos[[#This Row],[Posição]])&lt;=TopN),"Sim","Não"))</f>
        <v>Não</v>
      </c>
    </row>
    <row r="83" spans="1:21" x14ac:dyDescent="0.25">
      <c r="A83">
        <v>82</v>
      </c>
      <c r="B83" t="s">
        <v>223</v>
      </c>
      <c r="C83" t="s">
        <v>185</v>
      </c>
      <c r="D83" s="14">
        <v>53.265059147700043</v>
      </c>
      <c r="E83" s="7">
        <v>0.47787719083220992</v>
      </c>
      <c r="F83" s="7">
        <v>0.36263736263736301</v>
      </c>
      <c r="G83" s="15">
        <v>5.97</v>
      </c>
      <c r="H83" s="15">
        <v>3.6</v>
      </c>
      <c r="I83" t="s">
        <v>224</v>
      </c>
      <c r="J83" s="16" t="s">
        <v>66</v>
      </c>
      <c r="K83" s="15"/>
      <c r="L83" s="4">
        <f>COUNTIFS(tItens[Produto],tProdutos[[#This Row],[Produto]])</f>
        <v>10</v>
      </c>
      <c r="M83" s="4">
        <f>SUMIFS(tItens[Primeira ocorrência],tItens[Produto],tProdutos[[#This Row],[Produto]])</f>
        <v>8</v>
      </c>
      <c r="N83" s="8">
        <f>SUMIFS(tItens[Valor],tItens[Produto],tProdutos[[#This Row],[Produto]])</f>
        <v>15823.5</v>
      </c>
      <c r="O83" s="8">
        <f>SUMIFS(tItens[Valor],tItens[Produto],tProdutos[[#This Row],[Produto]],tItens[SRP],"Sim")</f>
        <v>13373.5</v>
      </c>
      <c r="P83" s="6">
        <f>IF(tProdutos[[#This Row],[Valor janela]]=0,0,tProdutos[[#This Row],[Valor SRP]]/tProdutos[[#This Row],[Valor janela]])</f>
        <v>0.84516699845166998</v>
      </c>
      <c r="Q83" s="8">
        <f>tProdutos[[#This Row],[Valor janela]]*DiasMes/DiasJanela</f>
        <v>52745</v>
      </c>
      <c r="R83" s="8">
        <f>tProdutos[[#This Row],[Mercado mês ref]]*(1-IF(tProdutos[[#This Row],[Desconto homologado]]="",DescontoPadrao,tProdutos[[#This Row],[Desconto homologado]]))</f>
        <v>33617.69230769229</v>
      </c>
      <c r="S83" t="str">
        <f>IF(ModoFoco="Lista",IF(tProdutos[[#This Row],[Lista definida]]="Sim","Sim","Não"),IF(AND(tProdutos[[#This Row],[Editais]]&gt;=MinEditais,N(tProdutos[[#This Row],[Margem bruta]])&gt;=MargemMin),"Sim","Não"))</f>
        <v>Não</v>
      </c>
      <c r="T83" s="4" t="str">
        <f>IF(tProdutos[[#This Row],[Elegível]]="Sim",COUNTIFS(tProdutos[Elegível],"Sim",tProdutos[Valor janela],"&gt;"&amp;tProdutos[[#This Row],[Valor janela]])+1,"")</f>
        <v/>
      </c>
      <c r="U83" t="str">
        <f>IF(ModoFoco="Lista",tProdutos[[#This Row],[Elegível]],IF(AND(tProdutos[[#This Row],[Posição]]&lt;&gt;"",N(tProdutos[[#This Row],[Posição]])&lt;=TopN),"Sim","Não"))</f>
        <v>Não</v>
      </c>
    </row>
    <row r="84" spans="1:21" x14ac:dyDescent="0.25">
      <c r="A84">
        <v>83</v>
      </c>
      <c r="B84" t="s">
        <v>225</v>
      </c>
      <c r="C84" t="s">
        <v>185</v>
      </c>
      <c r="D84" s="14">
        <v>53.193244631666083</v>
      </c>
      <c r="E84" s="7">
        <v>0.43500576930728529</v>
      </c>
      <c r="F84" s="7">
        <v>0.27745664739884401</v>
      </c>
      <c r="G84" s="15">
        <v>0.18390000000000001</v>
      </c>
      <c r="H84" s="15">
        <v>0.12</v>
      </c>
      <c r="I84" t="s">
        <v>226</v>
      </c>
      <c r="J84" s="16" t="s">
        <v>66</v>
      </c>
      <c r="K84" s="15"/>
      <c r="L84" s="4">
        <f>COUNTIFS(tItens[Produto],tProdutos[[#This Row],[Produto]])</f>
        <v>8</v>
      </c>
      <c r="M84" s="4">
        <f>SUMIFS(tItens[Primeira ocorrência],tItens[Produto],tProdutos[[#This Row],[Produto]])</f>
        <v>5</v>
      </c>
      <c r="N84" s="8">
        <f>SUMIFS(tItens[Valor],tItens[Produto],tProdutos[[#This Row],[Produto]])</f>
        <v>11731.390000000001</v>
      </c>
      <c r="O84" s="8">
        <f>SUMIFS(tItens[Valor],tItens[Produto],tProdutos[[#This Row],[Produto]],tItens[SRP],"Sim")</f>
        <v>8596</v>
      </c>
      <c r="P84" s="6">
        <f>IF(tProdutos[[#This Row],[Valor janela]]=0,0,tProdutos[[#This Row],[Valor SRP]]/tProdutos[[#This Row],[Valor janela]])</f>
        <v>0.73273499559728206</v>
      </c>
      <c r="Q84" s="8">
        <f>tProdutos[[#This Row],[Valor janela]]*DiasMes/DiasJanela</f>
        <v>39104.633333333339</v>
      </c>
      <c r="R84" s="8">
        <f>tProdutos[[#This Row],[Mercado mês ref]]*(1-IF(tProdutos[[#This Row],[Desconto homologado]]="",DescontoPadrao,tProdutos[[#This Row],[Desconto homologado]]))</f>
        <v>28254.792870905589</v>
      </c>
      <c r="S84" t="str">
        <f>IF(ModoFoco="Lista",IF(tProdutos[[#This Row],[Lista definida]]="Sim","Sim","Não"),IF(AND(tProdutos[[#This Row],[Editais]]&gt;=MinEditais,N(tProdutos[[#This Row],[Margem bruta]])&gt;=MargemMin),"Sim","Não"))</f>
        <v>Não</v>
      </c>
      <c r="T84" s="4" t="str">
        <f>IF(tProdutos[[#This Row],[Elegível]]="Sim",COUNTIFS(tProdutos[Elegível],"Sim",tProdutos[Valor janela],"&gt;"&amp;tProdutos[[#This Row],[Valor janela]])+1,"")</f>
        <v/>
      </c>
      <c r="U84" t="str">
        <f>IF(ModoFoco="Lista",tProdutos[[#This Row],[Elegível]],IF(AND(tProdutos[[#This Row],[Posição]]&lt;&gt;"",N(tProdutos[[#This Row],[Posição]])&lt;=TopN),"Sim","Não"))</f>
        <v>Não</v>
      </c>
    </row>
    <row r="85" spans="1:21" x14ac:dyDescent="0.25">
      <c r="A85">
        <v>84</v>
      </c>
      <c r="B85" t="s">
        <v>227</v>
      </c>
      <c r="C85" t="s">
        <v>185</v>
      </c>
      <c r="D85" s="14">
        <v>53.162039999999998</v>
      </c>
      <c r="E85" s="7">
        <v>0.58429522566830616</v>
      </c>
      <c r="F85" s="7">
        <v>0.38</v>
      </c>
      <c r="G85" s="15">
        <v>72.900000000000006</v>
      </c>
      <c r="H85" s="15">
        <v>35</v>
      </c>
      <c r="I85" t="s">
        <v>228</v>
      </c>
      <c r="J85" s="16" t="s">
        <v>66</v>
      </c>
      <c r="K85" s="15"/>
      <c r="L85" s="4">
        <f>COUNTIFS(tItens[Produto],tProdutos[[#This Row],[Produto]])</f>
        <v>13</v>
      </c>
      <c r="M85" s="4">
        <f>SUMIFS(tItens[Primeira ocorrência],tItens[Produto],tProdutos[[#This Row],[Produto]])</f>
        <v>5</v>
      </c>
      <c r="N85" s="8">
        <f>SUMIFS(tItens[Valor],tItens[Produto],tProdutos[[#This Row],[Produto]])</f>
        <v>890348</v>
      </c>
      <c r="O85" s="8">
        <f>SUMIFS(tItens[Valor],tItens[Produto],tProdutos[[#This Row],[Produto]],tItens[SRP],"Sim")</f>
        <v>624000</v>
      </c>
      <c r="P85" s="6">
        <f>IF(tProdutos[[#This Row],[Valor janela]]=0,0,tProdutos[[#This Row],[Valor SRP]]/tProdutos[[#This Row],[Valor janela]])</f>
        <v>0.70084955545472105</v>
      </c>
      <c r="Q85" s="8">
        <f>tProdutos[[#This Row],[Valor janela]]*DiasMes/DiasJanela</f>
        <v>2967826.6666666665</v>
      </c>
      <c r="R85" s="8">
        <f>tProdutos[[#This Row],[Mercado mês ref]]*(1-IF(tProdutos[[#This Row],[Desconto homologado]]="",DescontoPadrao,tProdutos[[#This Row],[Desconto homologado]]))</f>
        <v>1840052.5333333332</v>
      </c>
      <c r="S85" t="str">
        <f>IF(ModoFoco="Lista",IF(tProdutos[[#This Row],[Lista definida]]="Sim","Sim","Não"),IF(AND(tProdutos[[#This Row],[Editais]]&gt;=MinEditais,N(tProdutos[[#This Row],[Margem bruta]])&gt;=MargemMin),"Sim","Não"))</f>
        <v>Não</v>
      </c>
      <c r="T85" s="4" t="str">
        <f>IF(tProdutos[[#This Row],[Elegível]]="Sim",COUNTIFS(tProdutos[Elegível],"Sim",tProdutos[Valor janela],"&gt;"&amp;tProdutos[[#This Row],[Valor janela]])+1,"")</f>
        <v/>
      </c>
      <c r="U85" t="str">
        <f>IF(ModoFoco="Lista",tProdutos[[#This Row],[Elegível]],IF(AND(tProdutos[[#This Row],[Posição]]&lt;&gt;"",N(tProdutos[[#This Row],[Posição]])&lt;=TopN),"Sim","Não"))</f>
        <v>Não</v>
      </c>
    </row>
    <row r="86" spans="1:21" x14ac:dyDescent="0.25">
      <c r="A86">
        <v>85</v>
      </c>
      <c r="B86" t="s">
        <v>229</v>
      </c>
      <c r="C86" t="s">
        <v>185</v>
      </c>
      <c r="D86" s="14">
        <v>53.018599999999985</v>
      </c>
      <c r="E86" s="7">
        <v>0.48290093385339972</v>
      </c>
      <c r="F86" s="7">
        <v>0.33093491191658198</v>
      </c>
      <c r="G86" s="15">
        <v>15.07</v>
      </c>
      <c r="H86" s="15">
        <v>9</v>
      </c>
      <c r="I86" t="s">
        <v>230</v>
      </c>
      <c r="J86" s="16" t="s">
        <v>66</v>
      </c>
      <c r="K86" s="15"/>
      <c r="L86" s="4">
        <f>COUNTIFS(tItens[Produto],tProdutos[[#This Row],[Produto]])</f>
        <v>61</v>
      </c>
      <c r="M86" s="4">
        <f>SUMIFS(tItens[Primeira ocorrência],tItens[Produto],tProdutos[[#This Row],[Produto]])</f>
        <v>33</v>
      </c>
      <c r="N86" s="8">
        <f>SUMIFS(tItens[Valor],tItens[Produto],tProdutos[[#This Row],[Produto]])</f>
        <v>5854809.4499999993</v>
      </c>
      <c r="O86" s="8">
        <f>SUMIFS(tItens[Valor],tItens[Produto],tProdutos[[#This Row],[Produto]],tItens[SRP],"Sim")</f>
        <v>3487015.9499999997</v>
      </c>
      <c r="P86" s="6">
        <f>IF(tProdutos[[#This Row],[Valor janela]]=0,0,tProdutos[[#This Row],[Valor SRP]]/tProdutos[[#This Row],[Valor janela]])</f>
        <v>0.5955814582488248</v>
      </c>
      <c r="Q86" s="8">
        <f>tProdutos[[#This Row],[Valor janela]]*DiasMes/DiasJanela</f>
        <v>19516031.499999996</v>
      </c>
      <c r="R86" s="8">
        <f>tProdutos[[#This Row],[Mercado mês ref]]*(1-IF(tProdutos[[#This Row],[Desconto homologado]]="",DescontoPadrao,tProdutos[[#This Row],[Desconto homologado]]))</f>
        <v>13057495.334586259</v>
      </c>
      <c r="S86" t="str">
        <f>IF(ModoFoco="Lista",IF(tProdutos[[#This Row],[Lista definida]]="Sim","Sim","Não"),IF(AND(tProdutos[[#This Row],[Editais]]&gt;=MinEditais,N(tProdutos[[#This Row],[Margem bruta]])&gt;=MargemMin),"Sim","Não"))</f>
        <v>Não</v>
      </c>
      <c r="T86" s="4" t="str">
        <f>IF(tProdutos[[#This Row],[Elegível]]="Sim",COUNTIFS(tProdutos[Elegível],"Sim",tProdutos[Valor janela],"&gt;"&amp;tProdutos[[#This Row],[Valor janela]])+1,"")</f>
        <v/>
      </c>
      <c r="U86" t="str">
        <f>IF(ModoFoco="Lista",tProdutos[[#This Row],[Elegível]],IF(AND(tProdutos[[#This Row],[Posição]]&lt;&gt;"",N(tProdutos[[#This Row],[Posição]])&lt;=TopN),"Sim","Não"))</f>
        <v>Não</v>
      </c>
    </row>
    <row r="87" spans="1:21" x14ac:dyDescent="0.25">
      <c r="A87">
        <v>86</v>
      </c>
      <c r="B87" t="s">
        <v>231</v>
      </c>
      <c r="C87" t="s">
        <v>185</v>
      </c>
      <c r="D87" s="14">
        <v>52.686169346098403</v>
      </c>
      <c r="E87" s="7">
        <v>0.43307200929152162</v>
      </c>
      <c r="F87" s="7">
        <v>0.37653949394071001</v>
      </c>
      <c r="G87" s="15">
        <v>1.68</v>
      </c>
      <c r="H87" s="15">
        <v>1.1000000000000001</v>
      </c>
      <c r="I87" t="s">
        <v>232</v>
      </c>
      <c r="J87" s="16" t="s">
        <v>66</v>
      </c>
      <c r="K87" s="15"/>
      <c r="L87" s="4">
        <f>COUNTIFS(tItens[Produto],tProdutos[[#This Row],[Produto]])</f>
        <v>0</v>
      </c>
      <c r="M87" s="4">
        <f>SUMIFS(tItens[Primeira ocorrência],tItens[Produto],tProdutos[[#This Row],[Produto]])</f>
        <v>0</v>
      </c>
      <c r="N87" s="8">
        <f>SUMIFS(tItens[Valor],tItens[Produto],tProdutos[[#This Row],[Produto]])</f>
        <v>0</v>
      </c>
      <c r="O87" s="8">
        <f>SUMIFS(tItens[Valor],tItens[Produto],tProdutos[[#This Row],[Produto]],tItens[SRP],"Sim")</f>
        <v>0</v>
      </c>
      <c r="P87" s="6">
        <f>IF(tProdutos[[#This Row],[Valor janela]]=0,0,tProdutos[[#This Row],[Valor SRP]]/tProdutos[[#This Row],[Valor janela]])</f>
        <v>0</v>
      </c>
      <c r="Q87" s="8">
        <f>tProdutos[[#This Row],[Valor janela]]*DiasMes/DiasJanela</f>
        <v>0</v>
      </c>
      <c r="R87" s="8">
        <f>tProdutos[[#This Row],[Mercado mês ref]]*(1-IF(tProdutos[[#This Row],[Desconto homologado]]="",DescontoPadrao,tProdutos[[#This Row],[Desconto homologado]]))</f>
        <v>0</v>
      </c>
      <c r="S87" t="str">
        <f>IF(ModoFoco="Lista",IF(tProdutos[[#This Row],[Lista definida]]="Sim","Sim","Não"),IF(AND(tProdutos[[#This Row],[Editais]]&gt;=MinEditais,N(tProdutos[[#This Row],[Margem bruta]])&gt;=MargemMin),"Sim","Não"))</f>
        <v>Não</v>
      </c>
      <c r="T87" s="4" t="str">
        <f>IF(tProdutos[[#This Row],[Elegível]]="Sim",COUNTIFS(tProdutos[Elegível],"Sim",tProdutos[Valor janela],"&gt;"&amp;tProdutos[[#This Row],[Valor janela]])+1,"")</f>
        <v/>
      </c>
      <c r="U87" t="str">
        <f>IF(ModoFoco="Lista",tProdutos[[#This Row],[Elegível]],IF(AND(tProdutos[[#This Row],[Posição]]&lt;&gt;"",N(tProdutos[[#This Row],[Posição]])&lt;=TopN),"Sim","Não"))</f>
        <v>Não</v>
      </c>
    </row>
    <row r="88" spans="1:21" x14ac:dyDescent="0.25">
      <c r="A88">
        <v>87</v>
      </c>
      <c r="B88" t="s">
        <v>233</v>
      </c>
      <c r="C88" t="s">
        <v>185</v>
      </c>
      <c r="D88" s="14">
        <v>52.519241891881713</v>
      </c>
      <c r="E88" s="7">
        <v>0.18783787213522507</v>
      </c>
      <c r="F88" s="7">
        <v>0.246270084162204</v>
      </c>
      <c r="G88" s="15">
        <v>9.6100000000000005E-2</v>
      </c>
      <c r="H88" s="15">
        <v>0.08</v>
      </c>
      <c r="I88" t="s">
        <v>234</v>
      </c>
      <c r="J88" s="16" t="s">
        <v>66</v>
      </c>
      <c r="K88" s="15"/>
      <c r="L88" s="4">
        <f>COUNTIFS(tItens[Produto],tProdutos[[#This Row],[Produto]])</f>
        <v>36</v>
      </c>
      <c r="M88" s="4">
        <f>SUMIFS(tItens[Primeira ocorrência],tItens[Produto],tProdutos[[#This Row],[Produto]])</f>
        <v>32</v>
      </c>
      <c r="N88" s="8">
        <f>SUMIFS(tItens[Valor],tItens[Produto],tProdutos[[#This Row],[Produto]])</f>
        <v>210564.36000000002</v>
      </c>
      <c r="O88" s="8">
        <f>SUMIFS(tItens[Valor],tItens[Produto],tProdutos[[#This Row],[Produto]],tItens[SRP],"Sim")</f>
        <v>88616.659999999989</v>
      </c>
      <c r="P88" s="6">
        <f>IF(tProdutos[[#This Row],[Valor janela]]=0,0,tProdutos[[#This Row],[Valor SRP]]/tProdutos[[#This Row],[Valor janela]])</f>
        <v>0.42085308263943616</v>
      </c>
      <c r="Q88" s="8">
        <f>tProdutos[[#This Row],[Valor janela]]*DiasMes/DiasJanela</f>
        <v>701881.20000000007</v>
      </c>
      <c r="R88" s="8">
        <f>tProdutos[[#This Row],[Mercado mês ref]]*(1-IF(tProdutos[[#This Row],[Desconto homologado]]="",DescontoPadrao,tProdutos[[#This Row],[Desconto homologado]]))</f>
        <v>529028.85780413134</v>
      </c>
      <c r="S88" t="str">
        <f>IF(ModoFoco="Lista",IF(tProdutos[[#This Row],[Lista definida]]="Sim","Sim","Não"),IF(AND(tProdutos[[#This Row],[Editais]]&gt;=MinEditais,N(tProdutos[[#This Row],[Margem bruta]])&gt;=MargemMin),"Sim","Não"))</f>
        <v>Não</v>
      </c>
      <c r="T88" s="4" t="str">
        <f>IF(tProdutos[[#This Row],[Elegível]]="Sim",COUNTIFS(tProdutos[Elegível],"Sim",tProdutos[Valor janela],"&gt;"&amp;tProdutos[[#This Row],[Valor janela]])+1,"")</f>
        <v/>
      </c>
      <c r="U88" t="str">
        <f>IF(ModoFoco="Lista",tProdutos[[#This Row],[Elegível]],IF(AND(tProdutos[[#This Row],[Posição]]&lt;&gt;"",N(tProdutos[[#This Row],[Posição]])&lt;=TopN),"Sim","Não"))</f>
        <v>Não</v>
      </c>
    </row>
    <row r="89" spans="1:21" x14ac:dyDescent="0.25">
      <c r="A89">
        <v>88</v>
      </c>
      <c r="B89" t="s">
        <v>235</v>
      </c>
      <c r="C89" t="s">
        <v>185</v>
      </c>
      <c r="D89" s="14">
        <v>52.364282956088637</v>
      </c>
      <c r="E89" s="7">
        <v>0.38153310104529625</v>
      </c>
      <c r="F89" s="7">
        <v>0.39258144764429198</v>
      </c>
      <c r="G89" s="15">
        <v>5.88</v>
      </c>
      <c r="H89" s="15">
        <v>4.2</v>
      </c>
      <c r="I89" t="s">
        <v>236</v>
      </c>
      <c r="J89" s="16" t="s">
        <v>66</v>
      </c>
      <c r="K89" s="15"/>
      <c r="L89" s="4">
        <f>COUNTIFS(tItens[Produto],tProdutos[[#This Row],[Produto]])</f>
        <v>2</v>
      </c>
      <c r="M89" s="4">
        <f>SUMIFS(tItens[Primeira ocorrência],tItens[Produto],tProdutos[[#This Row],[Produto]])</f>
        <v>1</v>
      </c>
      <c r="N89" s="8">
        <f>SUMIFS(tItens[Valor],tItens[Produto],tProdutos[[#This Row],[Produto]])</f>
        <v>2206.1999999999998</v>
      </c>
      <c r="O89" s="8">
        <f>SUMIFS(tItens[Valor],tItens[Produto],tProdutos[[#This Row],[Produto]],tItens[SRP],"Sim")</f>
        <v>2206.1999999999998</v>
      </c>
      <c r="P89" s="6">
        <f>IF(tProdutos[[#This Row],[Valor janela]]=0,0,tProdutos[[#This Row],[Valor SRP]]/tProdutos[[#This Row],[Valor janela]])</f>
        <v>1</v>
      </c>
      <c r="Q89" s="8">
        <f>tProdutos[[#This Row],[Valor janela]]*DiasMes/DiasJanela</f>
        <v>7354</v>
      </c>
      <c r="R89" s="8">
        <f>tProdutos[[#This Row],[Mercado mês ref]]*(1-IF(tProdutos[[#This Row],[Desconto homologado]]="",DescontoPadrao,tProdutos[[#This Row],[Desconto homologado]]))</f>
        <v>4466.9560340238768</v>
      </c>
      <c r="S89" t="str">
        <f>IF(ModoFoco="Lista",IF(tProdutos[[#This Row],[Lista definida]]="Sim","Sim","Não"),IF(AND(tProdutos[[#This Row],[Editais]]&gt;=MinEditais,N(tProdutos[[#This Row],[Margem bruta]])&gt;=MargemMin),"Sim","Não"))</f>
        <v>Não</v>
      </c>
      <c r="T89" s="4" t="str">
        <f>IF(tProdutos[[#This Row],[Elegível]]="Sim",COUNTIFS(tProdutos[Elegível],"Sim",tProdutos[Valor janela],"&gt;"&amp;tProdutos[[#This Row],[Valor janela]])+1,"")</f>
        <v/>
      </c>
      <c r="U89" t="str">
        <f>IF(ModoFoco="Lista",tProdutos[[#This Row],[Elegível]],IF(AND(tProdutos[[#This Row],[Posição]]&lt;&gt;"",N(tProdutos[[#This Row],[Posição]])&lt;=TopN),"Sim","Não"))</f>
        <v>Não</v>
      </c>
    </row>
    <row r="90" spans="1:21" x14ac:dyDescent="0.25">
      <c r="A90">
        <v>89</v>
      </c>
      <c r="B90" t="s">
        <v>237</v>
      </c>
      <c r="C90" t="s">
        <v>185</v>
      </c>
      <c r="D90" s="14">
        <v>52.12431999999999</v>
      </c>
      <c r="E90" s="7">
        <v>0.354854136776662</v>
      </c>
      <c r="F90" s="7">
        <v>0.281629856521038</v>
      </c>
      <c r="G90" s="15">
        <v>51</v>
      </c>
      <c r="H90" s="15">
        <v>38</v>
      </c>
      <c r="I90" t="s">
        <v>238</v>
      </c>
      <c r="J90" s="16" t="s">
        <v>66</v>
      </c>
      <c r="K90" s="15"/>
      <c r="L90" s="4">
        <f>COUNTIFS(tItens[Produto],tProdutos[[#This Row],[Produto]])</f>
        <v>18</v>
      </c>
      <c r="M90" s="4">
        <f>SUMIFS(tItens[Primeira ocorrência],tItens[Produto],tProdutos[[#This Row],[Produto]])</f>
        <v>4</v>
      </c>
      <c r="N90" s="8">
        <f>SUMIFS(tItens[Valor],tItens[Produto],tProdutos[[#This Row],[Produto]])</f>
        <v>91448.01999999999</v>
      </c>
      <c r="O90" s="8">
        <f>SUMIFS(tItens[Valor],tItens[Produto],tProdutos[[#This Row],[Produto]],tItens[SRP],"Sim")</f>
        <v>60400.06</v>
      </c>
      <c r="P90" s="6">
        <f>IF(tProdutos[[#This Row],[Valor janela]]=0,0,tProdutos[[#This Row],[Valor SRP]]/tProdutos[[#This Row],[Valor janela]])</f>
        <v>0.66048515867265367</v>
      </c>
      <c r="Q90" s="8">
        <f>tProdutos[[#This Row],[Valor janela]]*DiasMes/DiasJanela</f>
        <v>304826.73333333334</v>
      </c>
      <c r="R90" s="8">
        <f>tProdutos[[#This Row],[Mercado mês ref]]*(1-IF(tProdutos[[#This Row],[Desconto homologado]]="",DescontoPadrao,tProdutos[[#This Row],[Desconto homologado]]))</f>
        <v>218978.42416088996</v>
      </c>
      <c r="S90" t="str">
        <f>IF(ModoFoco="Lista",IF(tProdutos[[#This Row],[Lista definida]]="Sim","Sim","Não"),IF(AND(tProdutos[[#This Row],[Editais]]&gt;=MinEditais,N(tProdutos[[#This Row],[Margem bruta]])&gt;=MargemMin),"Sim","Não"))</f>
        <v>Não</v>
      </c>
      <c r="T90" s="4" t="str">
        <f>IF(tProdutos[[#This Row],[Elegível]]="Sim",COUNTIFS(tProdutos[Elegível],"Sim",tProdutos[Valor janela],"&gt;"&amp;tProdutos[[#This Row],[Valor janela]])+1,"")</f>
        <v/>
      </c>
      <c r="U90" t="str">
        <f>IF(ModoFoco="Lista",tProdutos[[#This Row],[Elegível]],IF(AND(tProdutos[[#This Row],[Posição]]&lt;&gt;"",N(tProdutos[[#This Row],[Posição]])&lt;=TopN),"Sim","Não"))</f>
        <v>Não</v>
      </c>
    </row>
    <row r="91" spans="1:21" x14ac:dyDescent="0.25">
      <c r="A91">
        <v>90</v>
      </c>
      <c r="B91" t="s">
        <v>239</v>
      </c>
      <c r="C91" t="s">
        <v>185</v>
      </c>
      <c r="D91" s="14">
        <v>52.093133782894668</v>
      </c>
      <c r="E91" s="7">
        <v>0.66697936210131337</v>
      </c>
      <c r="F91" s="7">
        <v>0.34905660377358499</v>
      </c>
      <c r="G91" s="15">
        <v>1.04</v>
      </c>
      <c r="H91" s="15">
        <v>0.4</v>
      </c>
      <c r="I91" t="s">
        <v>240</v>
      </c>
      <c r="J91" s="16" t="s">
        <v>66</v>
      </c>
      <c r="K91" s="15"/>
      <c r="L91" s="4">
        <f>COUNTIFS(tItens[Produto],tProdutos[[#This Row],[Produto]])</f>
        <v>2</v>
      </c>
      <c r="M91" s="4">
        <f>SUMIFS(tItens[Primeira ocorrência],tItens[Produto],tProdutos[[#This Row],[Produto]])</f>
        <v>2</v>
      </c>
      <c r="N91" s="8">
        <f>SUMIFS(tItens[Valor],tItens[Produto],tProdutos[[#This Row],[Produto]])</f>
        <v>0</v>
      </c>
      <c r="O91" s="8">
        <f>SUMIFS(tItens[Valor],tItens[Produto],tProdutos[[#This Row],[Produto]],tItens[SRP],"Sim")</f>
        <v>0</v>
      </c>
      <c r="P91" s="6">
        <f>IF(tProdutos[[#This Row],[Valor janela]]=0,0,tProdutos[[#This Row],[Valor SRP]]/tProdutos[[#This Row],[Valor janela]])</f>
        <v>0</v>
      </c>
      <c r="Q91" s="8">
        <f>tProdutos[[#This Row],[Valor janela]]*DiasMes/DiasJanela</f>
        <v>0</v>
      </c>
      <c r="R91" s="8">
        <f>tProdutos[[#This Row],[Mercado mês ref]]*(1-IF(tProdutos[[#This Row],[Desconto homologado]]="",DescontoPadrao,tProdutos[[#This Row],[Desconto homologado]]))</f>
        <v>0</v>
      </c>
      <c r="S91" t="str">
        <f>IF(ModoFoco="Lista",IF(tProdutos[[#This Row],[Lista definida]]="Sim","Sim","Não"),IF(AND(tProdutos[[#This Row],[Editais]]&gt;=MinEditais,N(tProdutos[[#This Row],[Margem bruta]])&gt;=MargemMin),"Sim","Não"))</f>
        <v>Não</v>
      </c>
      <c r="T91" s="4" t="str">
        <f>IF(tProdutos[[#This Row],[Elegível]]="Sim",COUNTIFS(tProdutos[Elegível],"Sim",tProdutos[Valor janela],"&gt;"&amp;tProdutos[[#This Row],[Valor janela]])+1,"")</f>
        <v/>
      </c>
      <c r="U91" t="str">
        <f>IF(ModoFoco="Lista",tProdutos[[#This Row],[Elegível]],IF(AND(tProdutos[[#This Row],[Posição]]&lt;&gt;"",N(tProdutos[[#This Row],[Posição]])&lt;=TopN),"Sim","Não"))</f>
        <v>Não</v>
      </c>
    </row>
    <row r="92" spans="1:21" x14ac:dyDescent="0.25">
      <c r="A92">
        <v>91</v>
      </c>
      <c r="B92" t="s">
        <v>241</v>
      </c>
      <c r="C92" t="s">
        <v>78</v>
      </c>
      <c r="D92" s="14">
        <v>51.777256999999999</v>
      </c>
      <c r="E92" s="7">
        <v>0.23730833399539208</v>
      </c>
      <c r="F92" s="7">
        <v>0.36881329157903497</v>
      </c>
      <c r="G92" s="15">
        <v>0.1535</v>
      </c>
      <c r="H92" s="15">
        <v>0.12</v>
      </c>
      <c r="I92" t="s">
        <v>242</v>
      </c>
      <c r="J92" s="16" t="s">
        <v>66</v>
      </c>
      <c r="K92" s="15"/>
      <c r="L92" s="4">
        <f>COUNTIFS(tItens[Produto],tProdutos[[#This Row],[Produto]])</f>
        <v>24</v>
      </c>
      <c r="M92" s="4">
        <f>SUMIFS(tItens[Primeira ocorrência],tItens[Produto],tProdutos[[#This Row],[Produto]])</f>
        <v>18</v>
      </c>
      <c r="N92" s="8">
        <f>SUMIFS(tItens[Valor],tItens[Produto],tProdutos[[#This Row],[Produto]])</f>
        <v>208148.9</v>
      </c>
      <c r="O92" s="8">
        <f>SUMIFS(tItens[Valor],tItens[Produto],tProdutos[[#This Row],[Produto]],tItens[SRP],"Sim")</f>
        <v>128885</v>
      </c>
      <c r="P92" s="6">
        <f>IF(tProdutos[[#This Row],[Valor janela]]=0,0,tProdutos[[#This Row],[Valor SRP]]/tProdutos[[#This Row],[Valor janela]])</f>
        <v>0.61919616197827609</v>
      </c>
      <c r="Q92" s="8">
        <f>tProdutos[[#This Row],[Valor janela]]*DiasMes/DiasJanela</f>
        <v>693829.66666666663</v>
      </c>
      <c r="R92" s="8">
        <f>tProdutos[[#This Row],[Mercado mês ref]]*(1-IF(tProdutos[[#This Row],[Desconto homologado]]="",DescontoPadrao,tProdutos[[#This Row],[Desconto homologado]]))</f>
        <v>437936.06350814865</v>
      </c>
      <c r="S92" t="str">
        <f>IF(ModoFoco="Lista",IF(tProdutos[[#This Row],[Lista definida]]="Sim","Sim","Não"),IF(AND(tProdutos[[#This Row],[Editais]]&gt;=MinEditais,N(tProdutos[[#This Row],[Margem bruta]])&gt;=MargemMin),"Sim","Não"))</f>
        <v>Não</v>
      </c>
      <c r="T92" s="4" t="str">
        <f>IF(tProdutos[[#This Row],[Elegível]]="Sim",COUNTIFS(tProdutos[Elegível],"Sim",tProdutos[Valor janela],"&gt;"&amp;tProdutos[[#This Row],[Valor janela]])+1,"")</f>
        <v/>
      </c>
      <c r="U92" t="str">
        <f>IF(ModoFoco="Lista",tProdutos[[#This Row],[Elegível]],IF(AND(tProdutos[[#This Row],[Posição]]&lt;&gt;"",N(tProdutos[[#This Row],[Posição]])&lt;=TopN),"Sim","Não"))</f>
        <v>Não</v>
      </c>
    </row>
    <row r="93" spans="1:21" x14ac:dyDescent="0.25">
      <c r="A93">
        <v>92</v>
      </c>
      <c r="B93" t="s">
        <v>243</v>
      </c>
      <c r="C93" t="s">
        <v>185</v>
      </c>
      <c r="D93" s="14">
        <v>51.721454157769138</v>
      </c>
      <c r="E93" s="7">
        <v>0.65133409723358981</v>
      </c>
      <c r="F93" s="7">
        <v>0.24077669902912599</v>
      </c>
      <c r="G93" s="15">
        <v>2.98</v>
      </c>
      <c r="H93" s="15">
        <v>1.2</v>
      </c>
      <c r="I93" t="s">
        <v>244</v>
      </c>
      <c r="J93" s="16" t="s">
        <v>66</v>
      </c>
      <c r="K93" s="15"/>
      <c r="L93" s="4">
        <f>COUNTIFS(tItens[Produto],tProdutos[[#This Row],[Produto]])</f>
        <v>2</v>
      </c>
      <c r="M93" s="4">
        <f>SUMIFS(tItens[Primeira ocorrência],tItens[Produto],tProdutos[[#This Row],[Produto]])</f>
        <v>1</v>
      </c>
      <c r="N93" s="8">
        <f>SUMIFS(tItens[Valor],tItens[Produto],tProdutos[[#This Row],[Produto]])</f>
        <v>214959.22</v>
      </c>
      <c r="O93" s="8">
        <f>SUMIFS(tItens[Valor],tItens[Produto],tProdutos[[#This Row],[Produto]],tItens[SRP],"Sim")</f>
        <v>214959.22</v>
      </c>
      <c r="P93" s="6">
        <f>IF(tProdutos[[#This Row],[Valor janela]]=0,0,tProdutos[[#This Row],[Valor SRP]]/tProdutos[[#This Row],[Valor janela]])</f>
        <v>1</v>
      </c>
      <c r="Q93" s="8">
        <f>tProdutos[[#This Row],[Valor janela]]*DiasMes/DiasJanela</f>
        <v>716530.7333333334</v>
      </c>
      <c r="R93" s="8">
        <f>tProdutos[[#This Row],[Mercado mês ref]]*(1-IF(tProdutos[[#This Row],[Desconto homologado]]="",DescontoPadrao,tProdutos[[#This Row],[Desconto homologado]]))</f>
        <v>544006.82860841439</v>
      </c>
      <c r="S93" t="str">
        <f>IF(ModoFoco="Lista",IF(tProdutos[[#This Row],[Lista definida]]="Sim","Sim","Não"),IF(AND(tProdutos[[#This Row],[Editais]]&gt;=MinEditais,N(tProdutos[[#This Row],[Margem bruta]])&gt;=MargemMin),"Sim","Não"))</f>
        <v>Não</v>
      </c>
      <c r="T93" s="4" t="str">
        <f>IF(tProdutos[[#This Row],[Elegível]]="Sim",COUNTIFS(tProdutos[Elegível],"Sim",tProdutos[Valor janela],"&gt;"&amp;tProdutos[[#This Row],[Valor janela]])+1,"")</f>
        <v/>
      </c>
      <c r="U93" t="str">
        <f>IF(ModoFoco="Lista",tProdutos[[#This Row],[Elegível]],IF(AND(tProdutos[[#This Row],[Posição]]&lt;&gt;"",N(tProdutos[[#This Row],[Posição]])&lt;=TopN),"Sim","Não"))</f>
        <v>Não</v>
      </c>
    </row>
    <row r="94" spans="1:21" x14ac:dyDescent="0.25">
      <c r="A94">
        <v>93</v>
      </c>
      <c r="B94" t="s">
        <v>245</v>
      </c>
      <c r="C94" t="s">
        <v>185</v>
      </c>
      <c r="D94" s="14">
        <v>51.511439999999993</v>
      </c>
      <c r="E94" s="7">
        <v>0.34919496253786075</v>
      </c>
      <c r="F94" s="7">
        <v>0.34516963542284401</v>
      </c>
      <c r="G94" s="15">
        <v>61.2</v>
      </c>
      <c r="H94" s="15">
        <v>46</v>
      </c>
      <c r="I94" t="s">
        <v>246</v>
      </c>
      <c r="J94" s="16" t="s">
        <v>66</v>
      </c>
      <c r="K94" s="15"/>
      <c r="L94" s="4">
        <f>COUNTIFS(tItens[Produto],tProdutos[[#This Row],[Produto]])</f>
        <v>131</v>
      </c>
      <c r="M94" s="4">
        <f>SUMIFS(tItens[Primeira ocorrência],tItens[Produto],tProdutos[[#This Row],[Produto]])</f>
        <v>40</v>
      </c>
      <c r="N94" s="8">
        <f>SUMIFS(tItens[Valor],tItens[Produto],tProdutos[[#This Row],[Produto]])</f>
        <v>2342643.9900000002</v>
      </c>
      <c r="O94" s="8">
        <f>SUMIFS(tItens[Valor],tItens[Produto],tProdutos[[#This Row],[Produto]],tItens[SRP],"Sim")</f>
        <v>946178.53999999992</v>
      </c>
      <c r="P94" s="6">
        <f>IF(tProdutos[[#This Row],[Valor janela]]=0,0,tProdutos[[#This Row],[Valor SRP]]/tProdutos[[#This Row],[Valor janela]])</f>
        <v>0.40389344007836198</v>
      </c>
      <c r="Q94" s="8">
        <f>tProdutos[[#This Row],[Valor janela]]*DiasMes/DiasJanela</f>
        <v>7808813.3000000007</v>
      </c>
      <c r="R94" s="8">
        <f>tProdutos[[#This Row],[Mercado mês ref]]*(1-IF(tProdutos[[#This Row],[Desconto homologado]]="",DescontoPadrao,tProdutos[[#This Row],[Desconto homologado]]))</f>
        <v>5113448.0601539453</v>
      </c>
      <c r="S94" t="str">
        <f>IF(ModoFoco="Lista",IF(tProdutos[[#This Row],[Lista definida]]="Sim","Sim","Não"),IF(AND(tProdutos[[#This Row],[Editais]]&gt;=MinEditais,N(tProdutos[[#This Row],[Margem bruta]])&gt;=MargemMin),"Sim","Não"))</f>
        <v>Não</v>
      </c>
      <c r="T94" s="4" t="str">
        <f>IF(tProdutos[[#This Row],[Elegível]]="Sim",COUNTIFS(tProdutos[Elegível],"Sim",tProdutos[Valor janela],"&gt;"&amp;tProdutos[[#This Row],[Valor janela]])+1,"")</f>
        <v/>
      </c>
      <c r="U94" t="str">
        <f>IF(ModoFoco="Lista",tProdutos[[#This Row],[Elegível]],IF(AND(tProdutos[[#This Row],[Posição]]&lt;&gt;"",N(tProdutos[[#This Row],[Posição]])&lt;=TopN),"Sim","Não"))</f>
        <v>Não</v>
      </c>
    </row>
    <row r="95" spans="1:21" x14ac:dyDescent="0.25">
      <c r="A95">
        <v>94</v>
      </c>
      <c r="B95" t="s">
        <v>247</v>
      </c>
      <c r="C95" t="s">
        <v>185</v>
      </c>
      <c r="D95" s="14">
        <v>51.279310000000002</v>
      </c>
      <c r="E95" s="7">
        <v>6.1991869918699205E-2</v>
      </c>
      <c r="F95" s="7">
        <v>0.27353256199762999</v>
      </c>
      <c r="G95" s="15">
        <v>0.6</v>
      </c>
      <c r="H95" s="15">
        <v>0.65</v>
      </c>
      <c r="I95" t="s">
        <v>248</v>
      </c>
      <c r="J95" s="16" t="s">
        <v>66</v>
      </c>
      <c r="K95" s="15"/>
      <c r="L95" s="4">
        <f>COUNTIFS(tItens[Produto],tProdutos[[#This Row],[Produto]])</f>
        <v>27</v>
      </c>
      <c r="M95" s="4">
        <f>SUMIFS(tItens[Primeira ocorrência],tItens[Produto],tProdutos[[#This Row],[Produto]])</f>
        <v>24</v>
      </c>
      <c r="N95" s="8">
        <f>SUMIFS(tItens[Valor],tItens[Produto],tProdutos[[#This Row],[Produto]])</f>
        <v>886303.5</v>
      </c>
      <c r="O95" s="8">
        <f>SUMIFS(tItens[Valor],tItens[Produto],tProdutos[[#This Row],[Produto]],tItens[SRP],"Sim")</f>
        <v>600569</v>
      </c>
      <c r="P95" s="6">
        <f>IF(tProdutos[[#This Row],[Valor janela]]=0,0,tProdutos[[#This Row],[Valor SRP]]/tProdutos[[#This Row],[Valor janela]])</f>
        <v>0.67761099894110766</v>
      </c>
      <c r="Q95" s="8">
        <f>tProdutos[[#This Row],[Valor janela]]*DiasMes/DiasJanela</f>
        <v>2954345</v>
      </c>
      <c r="R95" s="8">
        <f>tProdutos[[#This Row],[Mercado mês ref]]*(1-IF(tProdutos[[#This Row],[Desconto homologado]]="",DescontoPadrao,tProdutos[[#This Row],[Desconto homologado]]))</f>
        <v>2146235.443125112</v>
      </c>
      <c r="S95" t="str">
        <f>IF(ModoFoco="Lista",IF(tProdutos[[#This Row],[Lista definida]]="Sim","Sim","Não"),IF(AND(tProdutos[[#This Row],[Editais]]&gt;=MinEditais,N(tProdutos[[#This Row],[Margem bruta]])&gt;=MargemMin),"Sim","Não"))</f>
        <v>Não</v>
      </c>
      <c r="T95" s="4" t="str">
        <f>IF(tProdutos[[#This Row],[Elegível]]="Sim",COUNTIFS(tProdutos[Elegível],"Sim",tProdutos[Valor janela],"&gt;"&amp;tProdutos[[#This Row],[Valor janela]])+1,"")</f>
        <v/>
      </c>
      <c r="U95" t="str">
        <f>IF(ModoFoco="Lista",tProdutos[[#This Row],[Elegível]],IF(AND(tProdutos[[#This Row],[Posição]]&lt;&gt;"",N(tProdutos[[#This Row],[Posição]])&lt;=TopN),"Sim","Não"))</f>
        <v>Não</v>
      </c>
    </row>
    <row r="96" spans="1:21" x14ac:dyDescent="0.25">
      <c r="A96">
        <v>95</v>
      </c>
      <c r="B96" t="s">
        <v>249</v>
      </c>
      <c r="C96" t="s">
        <v>185</v>
      </c>
      <c r="D96" s="14">
        <v>51.190069631888235</v>
      </c>
      <c r="E96" s="7">
        <v>0.51042200244296476</v>
      </c>
      <c r="F96" s="7">
        <v>0.45399945399945402</v>
      </c>
      <c r="G96" s="15">
        <v>6.19</v>
      </c>
      <c r="H96" s="15">
        <v>3.5</v>
      </c>
      <c r="I96" t="s">
        <v>250</v>
      </c>
      <c r="J96" s="16" t="s">
        <v>66</v>
      </c>
      <c r="K96" s="15"/>
      <c r="L96" s="4">
        <f>COUNTIFS(tItens[Produto],tProdutos[[#This Row],[Produto]])</f>
        <v>26</v>
      </c>
      <c r="M96" s="4">
        <f>SUMIFS(tItens[Primeira ocorrência],tItens[Produto],tProdutos[[#This Row],[Produto]])</f>
        <v>25</v>
      </c>
      <c r="N96" s="8">
        <f>SUMIFS(tItens[Valor],tItens[Produto],tProdutos[[#This Row],[Produto]])</f>
        <v>88282.64</v>
      </c>
      <c r="O96" s="8">
        <f>SUMIFS(tItens[Valor],tItens[Produto],tProdutos[[#This Row],[Produto]],tItens[SRP],"Sim")</f>
        <v>71733.5</v>
      </c>
      <c r="P96" s="6">
        <f>IF(tProdutos[[#This Row],[Valor janela]]=0,0,tProdutos[[#This Row],[Valor SRP]]/tProdutos[[#This Row],[Valor janela]])</f>
        <v>0.81254366656910126</v>
      </c>
      <c r="Q96" s="8">
        <f>tProdutos[[#This Row],[Valor janela]]*DiasMes/DiasJanela</f>
        <v>294275.46666666667</v>
      </c>
      <c r="R96" s="8">
        <f>tProdutos[[#This Row],[Mercado mês ref]]*(1-IF(tProdutos[[#This Row],[Desconto homologado]]="",DescontoPadrao,tProdutos[[#This Row],[Desconto homologado]]))</f>
        <v>160674.56547456546</v>
      </c>
      <c r="S96" t="str">
        <f>IF(ModoFoco="Lista",IF(tProdutos[[#This Row],[Lista definida]]="Sim","Sim","Não"),IF(AND(tProdutos[[#This Row],[Editais]]&gt;=MinEditais,N(tProdutos[[#This Row],[Margem bruta]])&gt;=MargemMin),"Sim","Não"))</f>
        <v>Não</v>
      </c>
      <c r="T96" s="4" t="str">
        <f>IF(tProdutos[[#This Row],[Elegível]]="Sim",COUNTIFS(tProdutos[Elegível],"Sim",tProdutos[Valor janela],"&gt;"&amp;tProdutos[[#This Row],[Valor janela]])+1,"")</f>
        <v/>
      </c>
      <c r="U96" t="str">
        <f>IF(ModoFoco="Lista",tProdutos[[#This Row],[Elegível]],IF(AND(tProdutos[[#This Row],[Posição]]&lt;&gt;"",N(tProdutos[[#This Row],[Posição]])&lt;=TopN),"Sim","Não"))</f>
        <v>Não</v>
      </c>
    </row>
    <row r="97" spans="1:21" x14ac:dyDescent="0.25">
      <c r="A97">
        <v>96</v>
      </c>
      <c r="B97" t="s">
        <v>251</v>
      </c>
      <c r="C97" t="s">
        <v>185</v>
      </c>
      <c r="D97" s="14">
        <v>51.067841663861437</v>
      </c>
      <c r="E97" s="7">
        <v>0.4738736449864499</v>
      </c>
      <c r="F97" s="7">
        <v>0.36759020274436599</v>
      </c>
      <c r="G97" s="15">
        <v>1.1519999999999999</v>
      </c>
      <c r="H97" s="15">
        <v>0.7</v>
      </c>
      <c r="I97" t="s">
        <v>252</v>
      </c>
      <c r="J97" s="16" t="s">
        <v>66</v>
      </c>
      <c r="K97" s="15"/>
      <c r="L97" s="4">
        <f>COUNTIFS(tItens[Produto],tProdutos[[#This Row],[Produto]])</f>
        <v>31</v>
      </c>
      <c r="M97" s="4">
        <f>SUMIFS(tItens[Primeira ocorrência],tItens[Produto],tProdutos[[#This Row],[Produto]])</f>
        <v>9</v>
      </c>
      <c r="N97" s="8">
        <f>SUMIFS(tItens[Valor],tItens[Produto],tProdutos[[#This Row],[Produto]])</f>
        <v>759457.50000000012</v>
      </c>
      <c r="O97" s="8">
        <f>SUMIFS(tItens[Valor],tItens[Produto],tProdutos[[#This Row],[Produto]],tItens[SRP],"Sim")</f>
        <v>644632.20000000007</v>
      </c>
      <c r="P97" s="6">
        <f>IF(tProdutos[[#This Row],[Valor janela]]=0,0,tProdutos[[#This Row],[Valor SRP]]/tProdutos[[#This Row],[Valor janela]])</f>
        <v>0.84880615439310292</v>
      </c>
      <c r="Q97" s="8">
        <f>tProdutos[[#This Row],[Valor janela]]*DiasMes/DiasJanela</f>
        <v>2531525.0000000005</v>
      </c>
      <c r="R97" s="8">
        <f>tProdutos[[#This Row],[Mercado mês ref]]*(1-IF(tProdutos[[#This Row],[Desconto homologado]]="",DescontoPadrao,tProdutos[[#This Row],[Desconto homologado]]))</f>
        <v>1600961.2119975691</v>
      </c>
      <c r="S97" t="str">
        <f>IF(ModoFoco="Lista",IF(tProdutos[[#This Row],[Lista definida]]="Sim","Sim","Não"),IF(AND(tProdutos[[#This Row],[Editais]]&gt;=MinEditais,N(tProdutos[[#This Row],[Margem bruta]])&gt;=MargemMin),"Sim","Não"))</f>
        <v>Não</v>
      </c>
      <c r="T97" s="4" t="str">
        <f>IF(tProdutos[[#This Row],[Elegível]]="Sim",COUNTIFS(tProdutos[Elegível],"Sim",tProdutos[Valor janela],"&gt;"&amp;tProdutos[[#This Row],[Valor janela]])+1,"")</f>
        <v/>
      </c>
      <c r="U97" t="str">
        <f>IF(ModoFoco="Lista",tProdutos[[#This Row],[Elegível]],IF(AND(tProdutos[[#This Row],[Posição]]&lt;&gt;"",N(tProdutos[[#This Row],[Posição]])&lt;=TopN),"Sim","Não"))</f>
        <v>Não</v>
      </c>
    </row>
    <row r="98" spans="1:21" x14ac:dyDescent="0.25">
      <c r="A98">
        <v>97</v>
      </c>
      <c r="B98" t="s">
        <v>253</v>
      </c>
      <c r="C98" t="s">
        <v>185</v>
      </c>
      <c r="D98" s="14">
        <v>51.029347966045528</v>
      </c>
      <c r="E98" s="7">
        <v>0.31968641114982566</v>
      </c>
      <c r="F98" s="7">
        <v>0.31735159817351599</v>
      </c>
      <c r="G98" s="15">
        <v>2.8</v>
      </c>
      <c r="H98" s="15">
        <v>2.2000000000000002</v>
      </c>
      <c r="I98" t="s">
        <v>254</v>
      </c>
      <c r="J98" s="16" t="s">
        <v>66</v>
      </c>
      <c r="K98" s="15"/>
      <c r="L98" s="4">
        <f>COUNTIFS(tItens[Produto],tProdutos[[#This Row],[Produto]])</f>
        <v>71</v>
      </c>
      <c r="M98" s="4">
        <f>SUMIFS(tItens[Primeira ocorrência],tItens[Produto],tProdutos[[#This Row],[Produto]])</f>
        <v>24</v>
      </c>
      <c r="N98" s="8">
        <f>SUMIFS(tItens[Valor],tItens[Produto],tProdutos[[#This Row],[Produto]])</f>
        <v>49864.760000000009</v>
      </c>
      <c r="O98" s="8">
        <f>SUMIFS(tItens[Valor],tItens[Produto],tProdutos[[#This Row],[Produto]],tItens[SRP],"Sim")</f>
        <v>44629.26</v>
      </c>
      <c r="P98" s="6">
        <f>IF(tProdutos[[#This Row],[Valor janela]]=0,0,tProdutos[[#This Row],[Valor SRP]]/tProdutos[[#This Row],[Valor janela]])</f>
        <v>0.89500601226196608</v>
      </c>
      <c r="Q98" s="8">
        <f>tProdutos[[#This Row],[Valor janela]]*DiasMes/DiasJanela</f>
        <v>166215.8666666667</v>
      </c>
      <c r="R98" s="8">
        <f>tProdutos[[#This Row],[Mercado mês ref]]*(1-IF(tProdutos[[#This Row],[Desconto homologado]]="",DescontoPadrao,tProdutos[[#This Row],[Desconto homologado]]))</f>
        <v>113466.99573820397</v>
      </c>
      <c r="S98" t="str">
        <f>IF(ModoFoco="Lista",IF(tProdutos[[#This Row],[Lista definida]]="Sim","Sim","Não"),IF(AND(tProdutos[[#This Row],[Editais]]&gt;=MinEditais,N(tProdutos[[#This Row],[Margem bruta]])&gt;=MargemMin),"Sim","Não"))</f>
        <v>Não</v>
      </c>
      <c r="T98" s="4" t="str">
        <f>IF(tProdutos[[#This Row],[Elegível]]="Sim",COUNTIFS(tProdutos[Elegível],"Sim",tProdutos[Valor janela],"&gt;"&amp;tProdutos[[#This Row],[Valor janela]])+1,"")</f>
        <v/>
      </c>
      <c r="U98" t="str">
        <f>IF(ModoFoco="Lista",tProdutos[[#This Row],[Elegível]],IF(AND(tProdutos[[#This Row],[Posição]]&lt;&gt;"",N(tProdutos[[#This Row],[Posição]])&lt;=TopN),"Sim","Não"))</f>
        <v>Não</v>
      </c>
    </row>
    <row r="99" spans="1:21" x14ac:dyDescent="0.25">
      <c r="A99">
        <v>98</v>
      </c>
      <c r="B99" t="s">
        <v>255</v>
      </c>
      <c r="C99" t="s">
        <v>78</v>
      </c>
      <c r="D99" s="14">
        <v>50.826039000000002</v>
      </c>
      <c r="E99" s="7">
        <v>0.24953095684803009</v>
      </c>
      <c r="F99" s="7">
        <v>0.30555555555555602</v>
      </c>
      <c r="G99" s="15">
        <v>0.156</v>
      </c>
      <c r="H99" s="15">
        <v>0.12</v>
      </c>
      <c r="I99" t="s">
        <v>256</v>
      </c>
      <c r="J99" s="16" t="s">
        <v>66</v>
      </c>
      <c r="K99" s="15"/>
      <c r="L99" s="4">
        <f>COUNTIFS(tItens[Produto],tProdutos[[#This Row],[Produto]])</f>
        <v>13</v>
      </c>
      <c r="M99" s="4">
        <f>SUMIFS(tItens[Primeira ocorrência],tItens[Produto],tProdutos[[#This Row],[Produto]])</f>
        <v>6</v>
      </c>
      <c r="N99" s="8">
        <f>SUMIFS(tItens[Valor],tItens[Produto],tProdutos[[#This Row],[Produto]])</f>
        <v>122072.4</v>
      </c>
      <c r="O99" s="8">
        <f>SUMIFS(tItens[Valor],tItens[Produto],tProdutos[[#This Row],[Produto]],tItens[SRP],"Sim")</f>
        <v>107572.4</v>
      </c>
      <c r="P99" s="6">
        <f>IF(tProdutos[[#This Row],[Valor janela]]=0,0,tProdutos[[#This Row],[Valor SRP]]/tProdutos[[#This Row],[Valor janela]])</f>
        <v>0.88121803126669096</v>
      </c>
      <c r="Q99" s="8">
        <f>tProdutos[[#This Row],[Valor janela]]*DiasMes/DiasJanela</f>
        <v>406908</v>
      </c>
      <c r="R99" s="8">
        <f>tProdutos[[#This Row],[Mercado mês ref]]*(1-IF(tProdutos[[#This Row],[Desconto homologado]]="",DescontoPadrao,tProdutos[[#This Row],[Desconto homologado]]))</f>
        <v>282574.99999999983</v>
      </c>
      <c r="S99" t="str">
        <f>IF(ModoFoco="Lista",IF(tProdutos[[#This Row],[Lista definida]]="Sim","Sim","Não"),IF(AND(tProdutos[[#This Row],[Editais]]&gt;=MinEditais,N(tProdutos[[#This Row],[Margem bruta]])&gt;=MargemMin),"Sim","Não"))</f>
        <v>Não</v>
      </c>
      <c r="T99" s="4" t="str">
        <f>IF(tProdutos[[#This Row],[Elegível]]="Sim",COUNTIFS(tProdutos[Elegível],"Sim",tProdutos[Valor janela],"&gt;"&amp;tProdutos[[#This Row],[Valor janela]])+1,"")</f>
        <v/>
      </c>
      <c r="U99" t="str">
        <f>IF(ModoFoco="Lista",tProdutos[[#This Row],[Elegível]],IF(AND(tProdutos[[#This Row],[Posição]]&lt;&gt;"",N(tProdutos[[#This Row],[Posição]])&lt;=TopN),"Sim","Não"))</f>
        <v>Não</v>
      </c>
    </row>
    <row r="100" spans="1:21" x14ac:dyDescent="0.25">
      <c r="A100">
        <v>99</v>
      </c>
      <c r="B100" t="s">
        <v>257</v>
      </c>
      <c r="C100" t="s">
        <v>185</v>
      </c>
      <c r="D100" s="14">
        <v>50.498126799730926</v>
      </c>
      <c r="E100" s="7">
        <v>0.50155630768959225</v>
      </c>
      <c r="F100" s="7">
        <v>0.500812004991805</v>
      </c>
      <c r="G100" s="15">
        <v>6.0799000000000003</v>
      </c>
      <c r="H100" s="15">
        <v>3.5</v>
      </c>
      <c r="I100" t="s">
        <v>258</v>
      </c>
      <c r="J100" s="16" t="s">
        <v>66</v>
      </c>
      <c r="K100" s="15"/>
      <c r="L100" s="4">
        <f>COUNTIFS(tItens[Produto],tProdutos[[#This Row],[Produto]])</f>
        <v>34</v>
      </c>
      <c r="M100" s="4">
        <f>SUMIFS(tItens[Primeira ocorrência],tItens[Produto],tProdutos[[#This Row],[Produto]])</f>
        <v>25</v>
      </c>
      <c r="N100" s="8">
        <f>SUMIFS(tItens[Valor],tItens[Produto],tProdutos[[#This Row],[Produto]])</f>
        <v>133848.41</v>
      </c>
      <c r="O100" s="8">
        <f>SUMIFS(tItens[Valor],tItens[Produto],tProdutos[[#This Row],[Produto]],tItens[SRP],"Sim")</f>
        <v>92423.07</v>
      </c>
      <c r="P100" s="6">
        <f>IF(tProdutos[[#This Row],[Valor janela]]=0,0,tProdutos[[#This Row],[Valor SRP]]/tProdutos[[#This Row],[Valor janela]])</f>
        <v>0.69050555027138538</v>
      </c>
      <c r="Q100" s="8">
        <f>tProdutos[[#This Row],[Valor janela]]*DiasMes/DiasJanela</f>
        <v>446161.3666666667</v>
      </c>
      <c r="R100" s="8">
        <f>tProdutos[[#This Row],[Mercado mês ref]]*(1-IF(tProdutos[[#This Row],[Desconto homologado]]="",DescontoPadrao,tProdutos[[#This Row],[Desconto homologado]]))</f>
        <v>222718.39807644946</v>
      </c>
      <c r="S100" t="str">
        <f>IF(ModoFoco="Lista",IF(tProdutos[[#This Row],[Lista definida]]="Sim","Sim","Não"),IF(AND(tProdutos[[#This Row],[Editais]]&gt;=MinEditais,N(tProdutos[[#This Row],[Margem bruta]])&gt;=MargemMin),"Sim","Não"))</f>
        <v>Não</v>
      </c>
      <c r="T100" s="4" t="str">
        <f>IF(tProdutos[[#This Row],[Elegível]]="Sim",COUNTIFS(tProdutos[Elegível],"Sim",tProdutos[Valor janela],"&gt;"&amp;tProdutos[[#This Row],[Valor janela]])+1,"")</f>
        <v/>
      </c>
      <c r="U100" t="str">
        <f>IF(ModoFoco="Lista",tProdutos[[#This Row],[Elegível]],IF(AND(tProdutos[[#This Row],[Posição]]&lt;&gt;"",N(tProdutos[[#This Row],[Posição]])&lt;=TopN),"Sim","Não"))</f>
        <v>Não</v>
      </c>
    </row>
    <row r="101" spans="1:21" x14ac:dyDescent="0.25">
      <c r="A101">
        <v>100</v>
      </c>
      <c r="B101" t="s">
        <v>259</v>
      </c>
      <c r="C101" t="s">
        <v>185</v>
      </c>
      <c r="D101" s="14">
        <v>50.394324668326448</v>
      </c>
      <c r="E101" s="7">
        <v>0.35060975609756106</v>
      </c>
      <c r="F101" s="7">
        <v>0.374798283789543</v>
      </c>
      <c r="G101" s="15">
        <v>2</v>
      </c>
      <c r="H101" s="15">
        <v>1.5</v>
      </c>
      <c r="I101" t="s">
        <v>260</v>
      </c>
      <c r="J101" s="16" t="s">
        <v>66</v>
      </c>
      <c r="K101" s="15"/>
      <c r="L101" s="4">
        <f>COUNTIFS(tItens[Produto],tProdutos[[#This Row],[Produto]])</f>
        <v>20</v>
      </c>
      <c r="M101" s="4">
        <f>SUMIFS(tItens[Primeira ocorrência],tItens[Produto],tProdutos[[#This Row],[Produto]])</f>
        <v>19</v>
      </c>
      <c r="N101" s="8">
        <f>SUMIFS(tItens[Valor],tItens[Produto],tProdutos[[#This Row],[Produto]])</f>
        <v>84054.92</v>
      </c>
      <c r="O101" s="8">
        <f>SUMIFS(tItens[Valor],tItens[Produto],tProdutos[[#This Row],[Produto]],tItens[SRP],"Sim")</f>
        <v>51958.55</v>
      </c>
      <c r="P101" s="6">
        <f>IF(tProdutos[[#This Row],[Valor janela]]=0,0,tProdutos[[#This Row],[Valor SRP]]/tProdutos[[#This Row],[Valor janela]])</f>
        <v>0.61815001430017424</v>
      </c>
      <c r="Q101" s="8">
        <f>tProdutos[[#This Row],[Valor janela]]*DiasMes/DiasJanela</f>
        <v>280183.06666666665</v>
      </c>
      <c r="R101" s="8">
        <f>tProdutos[[#This Row],[Mercado mês ref]]*(1-IF(tProdutos[[#This Row],[Desconto homologado]]="",DescontoPadrao,tProdutos[[#This Row],[Desconto homologado]]))</f>
        <v>175170.93413310891</v>
      </c>
      <c r="S101" t="str">
        <f>IF(ModoFoco="Lista",IF(tProdutos[[#This Row],[Lista definida]]="Sim","Sim","Não"),IF(AND(tProdutos[[#This Row],[Editais]]&gt;=MinEditais,N(tProdutos[[#This Row],[Margem bruta]])&gt;=MargemMin),"Sim","Não"))</f>
        <v>Não</v>
      </c>
      <c r="T101" s="4" t="str">
        <f>IF(tProdutos[[#This Row],[Elegível]]="Sim",COUNTIFS(tProdutos[Elegível],"Sim",tProdutos[Valor janela],"&gt;"&amp;tProdutos[[#This Row],[Valor janela]])+1,"")</f>
        <v/>
      </c>
      <c r="U101" t="str">
        <f>IF(ModoFoco="Lista",tProdutos[[#This Row],[Elegível]],IF(AND(tProdutos[[#This Row],[Posição]]&lt;&gt;"",N(tProdutos[[#This Row],[Posição]])&lt;=TopN),"Sim","Não"))</f>
        <v>Não</v>
      </c>
    </row>
    <row r="102" spans="1:21" x14ac:dyDescent="0.25">
      <c r="A102">
        <v>101</v>
      </c>
      <c r="B102" t="s">
        <v>261</v>
      </c>
      <c r="C102" t="s">
        <v>185</v>
      </c>
      <c r="D102" s="14">
        <v>50.383822791538535</v>
      </c>
      <c r="E102" s="7">
        <v>0.47750210260723303</v>
      </c>
      <c r="F102" s="7">
        <v>0.113924050632911</v>
      </c>
      <c r="G102" s="15">
        <v>1.1599999999999999</v>
      </c>
      <c r="H102" s="15">
        <v>0.7</v>
      </c>
      <c r="I102" t="s">
        <v>262</v>
      </c>
      <c r="J102" s="16" t="s">
        <v>66</v>
      </c>
      <c r="K102" s="15"/>
      <c r="L102" s="4">
        <f>COUNTIFS(tItens[Produto],tProdutos[[#This Row],[Produto]])</f>
        <v>3</v>
      </c>
      <c r="M102" s="4">
        <f>SUMIFS(tItens[Primeira ocorrência],tItens[Produto],tProdutos[[#This Row],[Produto]])</f>
        <v>3</v>
      </c>
      <c r="N102" s="8">
        <f>SUMIFS(tItens[Valor],tItens[Produto],tProdutos[[#This Row],[Produto]])</f>
        <v>2044</v>
      </c>
      <c r="O102" s="8">
        <f>SUMIFS(tItens[Valor],tItens[Produto],tProdutos[[#This Row],[Produto]],tItens[SRP],"Sim")</f>
        <v>1084</v>
      </c>
      <c r="P102" s="6">
        <f>IF(tProdutos[[#This Row],[Valor janela]]=0,0,tProdutos[[#This Row],[Valor SRP]]/tProdutos[[#This Row],[Valor janela]])</f>
        <v>0.53033268101761255</v>
      </c>
      <c r="Q102" s="8">
        <f>tProdutos[[#This Row],[Valor janela]]*DiasMes/DiasJanela</f>
        <v>6813.333333333333</v>
      </c>
      <c r="R102" s="8">
        <f>tProdutos[[#This Row],[Mercado mês ref]]*(1-IF(tProdutos[[#This Row],[Desconto homologado]]="",DescontoPadrao,tProdutos[[#This Row],[Desconto homologado]]))</f>
        <v>6037.1308016877665</v>
      </c>
      <c r="S102" t="str">
        <f>IF(ModoFoco="Lista",IF(tProdutos[[#This Row],[Lista definida]]="Sim","Sim","Não"),IF(AND(tProdutos[[#This Row],[Editais]]&gt;=MinEditais,N(tProdutos[[#This Row],[Margem bruta]])&gt;=MargemMin),"Sim","Não"))</f>
        <v>Não</v>
      </c>
      <c r="T102" s="4" t="str">
        <f>IF(tProdutos[[#This Row],[Elegível]]="Sim",COUNTIFS(tProdutos[Elegível],"Sim",tProdutos[Valor janela],"&gt;"&amp;tProdutos[[#This Row],[Valor janela]])+1,"")</f>
        <v/>
      </c>
      <c r="U102" t="str">
        <f>IF(ModoFoco="Lista",tProdutos[[#This Row],[Elegível]],IF(AND(tProdutos[[#This Row],[Posição]]&lt;&gt;"",N(tProdutos[[#This Row],[Posição]])&lt;=TopN),"Sim","Não"))</f>
        <v>Não</v>
      </c>
    </row>
    <row r="103" spans="1:21" x14ac:dyDescent="0.25">
      <c r="A103">
        <v>102</v>
      </c>
      <c r="B103" t="s">
        <v>263</v>
      </c>
      <c r="C103" t="s">
        <v>185</v>
      </c>
      <c r="D103" s="14">
        <v>50.329044000000003</v>
      </c>
      <c r="E103" s="7">
        <v>0.19284828441504753</v>
      </c>
      <c r="F103" s="7">
        <v>0.31541218637992802</v>
      </c>
      <c r="G103" s="15">
        <v>1.18</v>
      </c>
      <c r="H103" s="15">
        <v>1.1000000000000001</v>
      </c>
      <c r="I103" t="s">
        <v>264</v>
      </c>
      <c r="J103" s="16" t="s">
        <v>66</v>
      </c>
      <c r="K103" s="15"/>
      <c r="L103" s="4">
        <f>COUNTIFS(tItens[Produto],tProdutos[[#This Row],[Produto]])</f>
        <v>0</v>
      </c>
      <c r="M103" s="4">
        <f>SUMIFS(tItens[Primeira ocorrência],tItens[Produto],tProdutos[[#This Row],[Produto]])</f>
        <v>0</v>
      </c>
      <c r="N103" s="8">
        <f>SUMIFS(tItens[Valor],tItens[Produto],tProdutos[[#This Row],[Produto]])</f>
        <v>0</v>
      </c>
      <c r="O103" s="8">
        <f>SUMIFS(tItens[Valor],tItens[Produto],tProdutos[[#This Row],[Produto]],tItens[SRP],"Sim")</f>
        <v>0</v>
      </c>
      <c r="P103" s="6">
        <f>IF(tProdutos[[#This Row],[Valor janela]]=0,0,tProdutos[[#This Row],[Valor SRP]]/tProdutos[[#This Row],[Valor janela]])</f>
        <v>0</v>
      </c>
      <c r="Q103" s="8">
        <f>tProdutos[[#This Row],[Valor janela]]*DiasMes/DiasJanela</f>
        <v>0</v>
      </c>
      <c r="R103" s="8">
        <f>tProdutos[[#This Row],[Mercado mês ref]]*(1-IF(tProdutos[[#This Row],[Desconto homologado]]="",DescontoPadrao,tProdutos[[#This Row],[Desconto homologado]]))</f>
        <v>0</v>
      </c>
      <c r="S103" t="str">
        <f>IF(ModoFoco="Lista",IF(tProdutos[[#This Row],[Lista definida]]="Sim","Sim","Não"),IF(AND(tProdutos[[#This Row],[Editais]]&gt;=MinEditais,N(tProdutos[[#This Row],[Margem bruta]])&gt;=MargemMin),"Sim","Não"))</f>
        <v>Não</v>
      </c>
      <c r="T103" s="4" t="str">
        <f>IF(tProdutos[[#This Row],[Elegível]]="Sim",COUNTIFS(tProdutos[Elegível],"Sim",tProdutos[Valor janela],"&gt;"&amp;tProdutos[[#This Row],[Valor janela]])+1,"")</f>
        <v/>
      </c>
      <c r="U103" t="str">
        <f>IF(ModoFoco="Lista",tProdutos[[#This Row],[Elegível]],IF(AND(tProdutos[[#This Row],[Posição]]&lt;&gt;"",N(tProdutos[[#This Row],[Posição]])&lt;=TopN),"Sim","Não"))</f>
        <v>Não</v>
      </c>
    </row>
    <row r="104" spans="1:21" x14ac:dyDescent="0.25">
      <c r="A104">
        <v>103</v>
      </c>
      <c r="B104" t="s">
        <v>265</v>
      </c>
      <c r="C104" t="s">
        <v>78</v>
      </c>
      <c r="D104" s="14">
        <v>50.298461000000003</v>
      </c>
      <c r="E104" s="7">
        <v>0.22528883183568679</v>
      </c>
      <c r="F104" s="7">
        <v>0.377587663709337</v>
      </c>
      <c r="G104" s="15">
        <v>0.19</v>
      </c>
      <c r="H104" s="15">
        <v>0.17</v>
      </c>
      <c r="I104" t="s">
        <v>266</v>
      </c>
      <c r="J104" s="16" t="s">
        <v>66</v>
      </c>
      <c r="K104" s="15"/>
      <c r="L104" s="4">
        <f>COUNTIFS(tItens[Produto],tProdutos[[#This Row],[Produto]])</f>
        <v>94</v>
      </c>
      <c r="M104" s="4">
        <f>SUMIFS(tItens[Primeira ocorrência],tItens[Produto],tProdutos[[#This Row],[Produto]])</f>
        <v>74</v>
      </c>
      <c r="N104" s="8">
        <f>SUMIFS(tItens[Valor],tItens[Produto],tProdutos[[#This Row],[Produto]])</f>
        <v>2357949.42</v>
      </c>
      <c r="O104" s="8">
        <f>SUMIFS(tItens[Valor],tItens[Produto],tProdutos[[#This Row],[Produto]],tItens[SRP],"Sim")</f>
        <v>930058.30000000016</v>
      </c>
      <c r="P104" s="6">
        <f>IF(tProdutos[[#This Row],[Valor janela]]=0,0,tProdutos[[#This Row],[Valor SRP]]/tProdutos[[#This Row],[Valor janela]])</f>
        <v>0.39443522075210596</v>
      </c>
      <c r="Q104" s="8">
        <f>tProdutos[[#This Row],[Valor janela]]*DiasMes/DiasJanela</f>
        <v>7859831.3999999994</v>
      </c>
      <c r="R104" s="8">
        <f>tProdutos[[#This Row],[Mercado mês ref]]*(1-IF(tProdutos[[#This Row],[Desconto homologado]]="",DescontoPadrao,tProdutos[[#This Row],[Desconto homologado]]))</f>
        <v>4892056.0245247129</v>
      </c>
      <c r="S104" t="str">
        <f>IF(ModoFoco="Lista",IF(tProdutos[[#This Row],[Lista definida]]="Sim","Sim","Não"),IF(AND(tProdutos[[#This Row],[Editais]]&gt;=MinEditais,N(tProdutos[[#This Row],[Margem bruta]])&gt;=MargemMin),"Sim","Não"))</f>
        <v>Não</v>
      </c>
      <c r="T104" s="4" t="str">
        <f>IF(tProdutos[[#This Row],[Elegível]]="Sim",COUNTIFS(tProdutos[Elegível],"Sim",tProdutos[Valor janela],"&gt;"&amp;tProdutos[[#This Row],[Valor janela]])+1,"")</f>
        <v/>
      </c>
      <c r="U104" t="str">
        <f>IF(ModoFoco="Lista",tProdutos[[#This Row],[Elegível]],IF(AND(tProdutos[[#This Row],[Posição]]&lt;&gt;"",N(tProdutos[[#This Row],[Posição]])&lt;=TopN),"Sim","Não"))</f>
        <v>Não</v>
      </c>
    </row>
    <row r="105" spans="1:21" x14ac:dyDescent="0.25">
      <c r="A105">
        <v>104</v>
      </c>
      <c r="B105" t="s">
        <v>267</v>
      </c>
      <c r="C105" t="s">
        <v>185</v>
      </c>
      <c r="D105" s="14">
        <v>50.218680000000006</v>
      </c>
      <c r="E105" s="7">
        <v>0.21951219512195119</v>
      </c>
      <c r="F105" s="7">
        <v>0.19963672657401599</v>
      </c>
      <c r="G105" s="15">
        <v>7.5</v>
      </c>
      <c r="H105" s="15">
        <v>6</v>
      </c>
      <c r="I105" t="s">
        <v>268</v>
      </c>
      <c r="J105" s="16" t="s">
        <v>66</v>
      </c>
      <c r="K105" s="15"/>
      <c r="L105" s="4">
        <f>COUNTIFS(tItens[Produto],tProdutos[[#This Row],[Produto]])</f>
        <v>217</v>
      </c>
      <c r="M105" s="4">
        <f>SUMIFS(tItens[Primeira ocorrência],tItens[Produto],tProdutos[[#This Row],[Produto]])</f>
        <v>118</v>
      </c>
      <c r="N105" s="8">
        <f>SUMIFS(tItens[Valor],tItens[Produto],tProdutos[[#This Row],[Produto]])</f>
        <v>3998290.2500000009</v>
      </c>
      <c r="O105" s="8">
        <f>SUMIFS(tItens[Valor],tItens[Produto],tProdutos[[#This Row],[Produto]],tItens[SRP],"Sim")</f>
        <v>2658404.19</v>
      </c>
      <c r="P105" s="6">
        <f>IF(tProdutos[[#This Row],[Valor janela]]=0,0,tProdutos[[#This Row],[Valor SRP]]/tProdutos[[#This Row],[Valor janela]])</f>
        <v>0.66488524438664731</v>
      </c>
      <c r="Q105" s="8">
        <f>tProdutos[[#This Row],[Valor janela]]*DiasMes/DiasJanela</f>
        <v>13327634.16666667</v>
      </c>
      <c r="R105" s="8">
        <f>tProdutos[[#This Row],[Mercado mês ref]]*(1-IF(tProdutos[[#This Row],[Desconto homologado]]="",DescontoPadrao,tProdutos[[#This Row],[Desconto homologado]]))</f>
        <v>10666948.908657322</v>
      </c>
      <c r="S105" t="str">
        <f>IF(ModoFoco="Lista",IF(tProdutos[[#This Row],[Lista definida]]="Sim","Sim","Não"),IF(AND(tProdutos[[#This Row],[Editais]]&gt;=MinEditais,N(tProdutos[[#This Row],[Margem bruta]])&gt;=MargemMin),"Sim","Não"))</f>
        <v>Não</v>
      </c>
      <c r="T105" s="4" t="str">
        <f>IF(tProdutos[[#This Row],[Elegível]]="Sim",COUNTIFS(tProdutos[Elegível],"Sim",tProdutos[Valor janela],"&gt;"&amp;tProdutos[[#This Row],[Valor janela]])+1,"")</f>
        <v/>
      </c>
      <c r="U105" t="str">
        <f>IF(ModoFoco="Lista",tProdutos[[#This Row],[Elegível]],IF(AND(tProdutos[[#This Row],[Posição]]&lt;&gt;"",N(tProdutos[[#This Row],[Posição]])&lt;=TopN),"Sim","Não"))</f>
        <v>Não</v>
      </c>
    </row>
    <row r="106" spans="1:21" x14ac:dyDescent="0.25">
      <c r="A106">
        <v>105</v>
      </c>
      <c r="B106" t="s">
        <v>269</v>
      </c>
      <c r="C106" t="s">
        <v>185</v>
      </c>
      <c r="D106" s="14">
        <v>50.099288999999999</v>
      </c>
      <c r="E106" s="7">
        <v>0.10403185664509706</v>
      </c>
      <c r="F106" s="7">
        <v>0.28935117103332197</v>
      </c>
      <c r="G106" s="15">
        <v>0.98</v>
      </c>
      <c r="H106" s="15">
        <v>0.9</v>
      </c>
      <c r="I106" t="s">
        <v>270</v>
      </c>
      <c r="J106" s="16" t="s">
        <v>66</v>
      </c>
      <c r="K106" s="15"/>
      <c r="L106" s="4">
        <f>COUNTIFS(tItens[Produto],tProdutos[[#This Row],[Produto]])</f>
        <v>26</v>
      </c>
      <c r="M106" s="4">
        <f>SUMIFS(tItens[Primeira ocorrência],tItens[Produto],tProdutos[[#This Row],[Produto]])</f>
        <v>18</v>
      </c>
      <c r="N106" s="8">
        <f>SUMIFS(tItens[Valor],tItens[Produto],tProdutos[[#This Row],[Produto]])</f>
        <v>276055.15000000008</v>
      </c>
      <c r="O106" s="8">
        <f>SUMIFS(tItens[Valor],tItens[Produto],tProdutos[[#This Row],[Produto]],tItens[SRP],"Sim")</f>
        <v>143664.95000000001</v>
      </c>
      <c r="P106" s="6">
        <f>IF(tProdutos[[#This Row],[Valor janela]]=0,0,tProdutos[[#This Row],[Valor SRP]]/tProdutos[[#This Row],[Valor janela]])</f>
        <v>0.52042119120038144</v>
      </c>
      <c r="Q106" s="8">
        <f>tProdutos[[#This Row],[Valor janela]]*DiasMes/DiasJanela</f>
        <v>920183.8333333336</v>
      </c>
      <c r="R106" s="8">
        <f>tProdutos[[#This Row],[Mercado mês ref]]*(1-IF(tProdutos[[#This Row],[Desconto homologado]]="",DescontoPadrao,tProdutos[[#This Row],[Desconto homologado]]))</f>
        <v>653927.56359240238</v>
      </c>
      <c r="S106" t="str">
        <f>IF(ModoFoco="Lista",IF(tProdutos[[#This Row],[Lista definida]]="Sim","Sim","Não"),IF(AND(tProdutos[[#This Row],[Editais]]&gt;=MinEditais,N(tProdutos[[#This Row],[Margem bruta]])&gt;=MargemMin),"Sim","Não"))</f>
        <v>Não</v>
      </c>
      <c r="T106" s="4" t="str">
        <f>IF(tProdutos[[#This Row],[Elegível]]="Sim",COUNTIFS(tProdutos[Elegível],"Sim",tProdutos[Valor janela],"&gt;"&amp;tProdutos[[#This Row],[Valor janela]])+1,"")</f>
        <v/>
      </c>
      <c r="U106" t="str">
        <f>IF(ModoFoco="Lista",tProdutos[[#This Row],[Elegível]],IF(AND(tProdutos[[#This Row],[Posição]]&lt;&gt;"",N(tProdutos[[#This Row],[Posição]])&lt;=TopN),"Sim","Não"))</f>
        <v>Não</v>
      </c>
    </row>
    <row r="107" spans="1:21" x14ac:dyDescent="0.25">
      <c r="A107">
        <v>106</v>
      </c>
      <c r="B107" t="s">
        <v>271</v>
      </c>
      <c r="C107" t="s">
        <v>185</v>
      </c>
      <c r="D107" s="14">
        <v>50.090419086886925</v>
      </c>
      <c r="E107" s="7">
        <v>0.53027830459136416</v>
      </c>
      <c r="F107" s="7">
        <v>0.35422602089268801</v>
      </c>
      <c r="G107" s="15">
        <v>5.53</v>
      </c>
      <c r="H107" s="15">
        <v>3</v>
      </c>
      <c r="I107" t="s">
        <v>272</v>
      </c>
      <c r="J107" s="16" t="s">
        <v>66</v>
      </c>
      <c r="K107" s="15"/>
      <c r="L107" s="4">
        <f>COUNTIFS(tItens[Produto],tProdutos[[#This Row],[Produto]])</f>
        <v>5</v>
      </c>
      <c r="M107" s="4">
        <f>SUMIFS(tItens[Primeira ocorrência],tItens[Produto],tProdutos[[#This Row],[Produto]])</f>
        <v>3</v>
      </c>
      <c r="N107" s="8">
        <f>SUMIFS(tItens[Valor],tItens[Produto],tProdutos[[#This Row],[Produto]])</f>
        <v>58000</v>
      </c>
      <c r="O107" s="8">
        <f>SUMIFS(tItens[Valor],tItens[Produto],tProdutos[[#This Row],[Produto]],tItens[SRP],"Sim")</f>
        <v>9625</v>
      </c>
      <c r="P107" s="6">
        <f>IF(tProdutos[[#This Row],[Valor janela]]=0,0,tProdutos[[#This Row],[Valor SRP]]/tProdutos[[#This Row],[Valor janela]])</f>
        <v>0.16594827586206898</v>
      </c>
      <c r="Q107" s="8">
        <f>tProdutos[[#This Row],[Valor janela]]*DiasMes/DiasJanela</f>
        <v>193333.33333333334</v>
      </c>
      <c r="R107" s="8">
        <f>tProdutos[[#This Row],[Mercado mês ref]]*(1-IF(tProdutos[[#This Row],[Desconto homologado]]="",DescontoPadrao,tProdutos[[#This Row],[Desconto homologado]]))</f>
        <v>124849.63596074701</v>
      </c>
      <c r="S107" t="str">
        <f>IF(ModoFoco="Lista",IF(tProdutos[[#This Row],[Lista definida]]="Sim","Sim","Não"),IF(AND(tProdutos[[#This Row],[Editais]]&gt;=MinEditais,N(tProdutos[[#This Row],[Margem bruta]])&gt;=MargemMin),"Sim","Não"))</f>
        <v>Não</v>
      </c>
      <c r="T107" s="4" t="str">
        <f>IF(tProdutos[[#This Row],[Elegível]]="Sim",COUNTIFS(tProdutos[Elegível],"Sim",tProdutos[Valor janela],"&gt;"&amp;tProdutos[[#This Row],[Valor janela]])+1,"")</f>
        <v/>
      </c>
      <c r="U107" t="str">
        <f>IF(ModoFoco="Lista",tProdutos[[#This Row],[Elegível]],IF(AND(tProdutos[[#This Row],[Posição]]&lt;&gt;"",N(tProdutos[[#This Row],[Posição]])&lt;=TopN),"Sim","Não"))</f>
        <v>Não</v>
      </c>
    </row>
    <row r="108" spans="1:21" x14ac:dyDescent="0.25">
      <c r="A108">
        <v>107</v>
      </c>
      <c r="B108" t="s">
        <v>273</v>
      </c>
      <c r="C108" t="s">
        <v>185</v>
      </c>
      <c r="D108" s="14">
        <v>49.961759999999998</v>
      </c>
      <c r="E108" s="7">
        <v>0.44713139930264145</v>
      </c>
      <c r="F108" s="7">
        <v>0.33168166649812902</v>
      </c>
      <c r="G108" s="15">
        <v>140.94999999999999</v>
      </c>
      <c r="H108" s="15">
        <v>90</v>
      </c>
      <c r="I108" t="s">
        <v>274</v>
      </c>
      <c r="J108" s="16" t="s">
        <v>66</v>
      </c>
      <c r="K108" s="15"/>
      <c r="L108" s="4">
        <f>COUNTIFS(tItens[Produto],tProdutos[[#This Row],[Produto]])</f>
        <v>25</v>
      </c>
      <c r="M108" s="4">
        <f>SUMIFS(tItens[Primeira ocorrência],tItens[Produto],tProdutos[[#This Row],[Produto]])</f>
        <v>6</v>
      </c>
      <c r="N108" s="8">
        <f>SUMIFS(tItens[Valor],tItens[Produto],tProdutos[[#This Row],[Produto]])</f>
        <v>985257.75</v>
      </c>
      <c r="O108" s="8">
        <f>SUMIFS(tItens[Valor],tItens[Produto],tProdutos[[#This Row],[Produto]],tItens[SRP],"Sim")</f>
        <v>981561.5</v>
      </c>
      <c r="P108" s="6">
        <f>IF(tProdutos[[#This Row],[Valor janela]]=0,0,tProdutos[[#This Row],[Valor SRP]]/tProdutos[[#This Row],[Valor janela]])</f>
        <v>0.99624844361792642</v>
      </c>
      <c r="Q108" s="8">
        <f>tProdutos[[#This Row],[Valor janela]]*DiasMes/DiasJanela</f>
        <v>3284192.5</v>
      </c>
      <c r="R108" s="8">
        <f>tProdutos[[#This Row],[Mercado mês ref]]*(1-IF(tProdutos[[#This Row],[Desconto homologado]]="",DescontoPadrao,tProdutos[[#This Row],[Desconto homologado]]))</f>
        <v>2194886.0584993432</v>
      </c>
      <c r="S108" t="str">
        <f>IF(ModoFoco="Lista",IF(tProdutos[[#This Row],[Lista definida]]="Sim","Sim","Não"),IF(AND(tProdutos[[#This Row],[Editais]]&gt;=MinEditais,N(tProdutos[[#This Row],[Margem bruta]])&gt;=MargemMin),"Sim","Não"))</f>
        <v>Não</v>
      </c>
      <c r="T108" s="4" t="str">
        <f>IF(tProdutos[[#This Row],[Elegível]]="Sim",COUNTIFS(tProdutos[Elegível],"Sim",tProdutos[Valor janela],"&gt;"&amp;tProdutos[[#This Row],[Valor janela]])+1,"")</f>
        <v/>
      </c>
      <c r="U108" t="str">
        <f>IF(ModoFoco="Lista",tProdutos[[#This Row],[Elegível]],IF(AND(tProdutos[[#This Row],[Posição]]&lt;&gt;"",N(tProdutos[[#This Row],[Posição]])&lt;=TopN),"Sim","Não"))</f>
        <v>Não</v>
      </c>
    </row>
    <row r="109" spans="1:21" x14ac:dyDescent="0.25">
      <c r="A109">
        <v>108</v>
      </c>
      <c r="B109" t="s">
        <v>275</v>
      </c>
      <c r="C109" t="s">
        <v>185</v>
      </c>
      <c r="D109" s="14">
        <v>49.94753</v>
      </c>
      <c r="E109" s="7">
        <v>0.18224932249322501</v>
      </c>
      <c r="F109" s="7">
        <v>0.405797101449275</v>
      </c>
      <c r="G109" s="15">
        <v>0.18</v>
      </c>
      <c r="H109" s="15">
        <v>0.17</v>
      </c>
      <c r="I109" t="s">
        <v>276</v>
      </c>
      <c r="J109" s="16" t="s">
        <v>66</v>
      </c>
      <c r="K109" s="15"/>
      <c r="L109" s="4">
        <f>COUNTIFS(tItens[Produto],tProdutos[[#This Row],[Produto]])</f>
        <v>117</v>
      </c>
      <c r="M109" s="4">
        <f>SUMIFS(tItens[Primeira ocorrência],tItens[Produto],tProdutos[[#This Row],[Produto]])</f>
        <v>69</v>
      </c>
      <c r="N109" s="8">
        <f>SUMIFS(tItens[Valor],tItens[Produto],tProdutos[[#This Row],[Produto]])</f>
        <v>16918423.749999996</v>
      </c>
      <c r="O109" s="8">
        <f>SUMIFS(tItens[Valor],tItens[Produto],tProdutos[[#This Row],[Produto]],tItens[SRP],"Sim")</f>
        <v>6894327.9500000002</v>
      </c>
      <c r="P109" s="6">
        <f>IF(tProdutos[[#This Row],[Valor janela]]=0,0,tProdutos[[#This Row],[Valor SRP]]/tProdutos[[#This Row],[Valor janela]])</f>
        <v>0.40750415357104419</v>
      </c>
      <c r="Q109" s="8">
        <f>tProdutos[[#This Row],[Valor janela]]*DiasMes/DiasJanela</f>
        <v>56394745.833333321</v>
      </c>
      <c r="R109" s="8">
        <f>tProdutos[[#This Row],[Mercado mês ref]]*(1-IF(tProdutos[[#This Row],[Desconto homologado]]="",DescontoPadrao,tProdutos[[#This Row],[Desconto homologado]]))</f>
        <v>33509921.437198084</v>
      </c>
      <c r="S109" t="str">
        <f>IF(ModoFoco="Lista",IF(tProdutos[[#This Row],[Lista definida]]="Sim","Sim","Não"),IF(AND(tProdutos[[#This Row],[Editais]]&gt;=MinEditais,N(tProdutos[[#This Row],[Margem bruta]])&gt;=MargemMin),"Sim","Não"))</f>
        <v>Não</v>
      </c>
      <c r="T109" s="4" t="str">
        <f>IF(tProdutos[[#This Row],[Elegível]]="Sim",COUNTIFS(tProdutos[Elegível],"Sim",tProdutos[Valor janela],"&gt;"&amp;tProdutos[[#This Row],[Valor janela]])+1,"")</f>
        <v/>
      </c>
      <c r="U109" t="str">
        <f>IF(ModoFoco="Lista",tProdutos[[#This Row],[Elegível]],IF(AND(tProdutos[[#This Row],[Posição]]&lt;&gt;"",N(tProdutos[[#This Row],[Posição]])&lt;=TopN),"Sim","Não"))</f>
        <v>Não</v>
      </c>
    </row>
    <row r="110" spans="1:21" x14ac:dyDescent="0.25">
      <c r="A110">
        <v>109</v>
      </c>
      <c r="B110" t="s">
        <v>277</v>
      </c>
      <c r="C110" t="s">
        <v>78</v>
      </c>
      <c r="D110" s="14">
        <v>49.900405999999997</v>
      </c>
      <c r="E110" s="7">
        <v>0.25677797550507708</v>
      </c>
      <c r="F110" s="7">
        <v>0.50460666194188497</v>
      </c>
      <c r="G110" s="15">
        <v>6.9900000000000004E-2</v>
      </c>
      <c r="H110" s="15">
        <v>0.06</v>
      </c>
      <c r="I110" t="s">
        <v>278</v>
      </c>
      <c r="J110" s="16" t="s">
        <v>66</v>
      </c>
      <c r="K110" s="15"/>
      <c r="L110" s="4">
        <f>COUNTIFS(tItens[Produto],tProdutos[[#This Row],[Produto]])</f>
        <v>107</v>
      </c>
      <c r="M110" s="4">
        <f>SUMIFS(tItens[Primeira ocorrência],tItens[Produto],tProdutos[[#This Row],[Produto]])</f>
        <v>78</v>
      </c>
      <c r="N110" s="8">
        <f>SUMIFS(tItens[Valor],tItens[Produto],tProdutos[[#This Row],[Produto]])</f>
        <v>4008732.9299999988</v>
      </c>
      <c r="O110" s="8">
        <f>SUMIFS(tItens[Valor],tItens[Produto],tProdutos[[#This Row],[Produto]],tItens[SRP],"Sim")</f>
        <v>2854297.4299999997</v>
      </c>
      <c r="P110" s="6">
        <f>IF(tProdutos[[#This Row],[Valor janela]]=0,0,tProdutos[[#This Row],[Valor SRP]]/tProdutos[[#This Row],[Valor janela]])</f>
        <v>0.7120198526171212</v>
      </c>
      <c r="Q110" s="8">
        <f>tProdutos[[#This Row],[Valor janela]]*DiasMes/DiasJanela</f>
        <v>13362443.099999996</v>
      </c>
      <c r="R110" s="8">
        <f>tProdutos[[#This Row],[Mercado mês ref]]*(1-IF(tProdutos[[#This Row],[Desconto homologado]]="",DescontoPadrao,tProdutos[[#This Row],[Desconto homologado]]))</f>
        <v>6619665.2919206247</v>
      </c>
      <c r="S110" t="str">
        <f>IF(ModoFoco="Lista",IF(tProdutos[[#This Row],[Lista definida]]="Sim","Sim","Não"),IF(AND(tProdutos[[#This Row],[Editais]]&gt;=MinEditais,N(tProdutos[[#This Row],[Margem bruta]])&gt;=MargemMin),"Sim","Não"))</f>
        <v>Não</v>
      </c>
      <c r="T110" s="4" t="str">
        <f>IF(tProdutos[[#This Row],[Elegível]]="Sim",COUNTIFS(tProdutos[Elegível],"Sim",tProdutos[Valor janela],"&gt;"&amp;tProdutos[[#This Row],[Valor janela]])+1,"")</f>
        <v/>
      </c>
      <c r="U110" t="str">
        <f>IF(ModoFoco="Lista",tProdutos[[#This Row],[Elegível]],IF(AND(tProdutos[[#This Row],[Posição]]&lt;&gt;"",N(tProdutos[[#This Row],[Posição]])&lt;=TopN),"Sim","Não"))</f>
        <v>Não</v>
      </c>
    </row>
    <row r="111" spans="1:21" x14ac:dyDescent="0.25">
      <c r="A111">
        <v>110</v>
      </c>
      <c r="B111" t="s">
        <v>279</v>
      </c>
      <c r="C111" t="s">
        <v>185</v>
      </c>
      <c r="D111" s="14">
        <v>49.735480327254955</v>
      </c>
      <c r="E111" s="7">
        <v>0.10141206675224668</v>
      </c>
      <c r="F111" s="7">
        <v>0.28909090909090901</v>
      </c>
      <c r="G111" s="15">
        <v>0.38</v>
      </c>
      <c r="H111" s="15">
        <v>0.35</v>
      </c>
      <c r="I111" t="s">
        <v>280</v>
      </c>
      <c r="J111" s="16" t="s">
        <v>66</v>
      </c>
      <c r="K111" s="15"/>
      <c r="L111" s="4">
        <f>COUNTIFS(tItens[Produto],tProdutos[[#This Row],[Produto]])</f>
        <v>91</v>
      </c>
      <c r="M111" s="4">
        <f>SUMIFS(tItens[Primeira ocorrência],tItens[Produto],tProdutos[[#This Row],[Produto]])</f>
        <v>50</v>
      </c>
      <c r="N111" s="8">
        <f>SUMIFS(tItens[Valor],tItens[Produto],tProdutos[[#This Row],[Produto]])</f>
        <v>701205.23999999987</v>
      </c>
      <c r="O111" s="8">
        <f>SUMIFS(tItens[Valor],tItens[Produto],tProdutos[[#This Row],[Produto]],tItens[SRP],"Sim")</f>
        <v>270700.67000000004</v>
      </c>
      <c r="P111" s="6">
        <f>IF(tProdutos[[#This Row],[Valor janela]]=0,0,tProdutos[[#This Row],[Valor SRP]]/tProdutos[[#This Row],[Valor janela]])</f>
        <v>0.38605055204664485</v>
      </c>
      <c r="Q111" s="8">
        <f>tProdutos[[#This Row],[Valor janela]]*DiasMes/DiasJanela</f>
        <v>2337350.7999999993</v>
      </c>
      <c r="R111" s="8">
        <f>tProdutos[[#This Row],[Mercado mês ref]]*(1-IF(tProdutos[[#This Row],[Desconto homologado]]="",DescontoPadrao,tProdutos[[#This Row],[Desconto homologado]]))</f>
        <v>1661643.9323636359</v>
      </c>
      <c r="S111" t="str">
        <f>IF(ModoFoco="Lista",IF(tProdutos[[#This Row],[Lista definida]]="Sim","Sim","Não"),IF(AND(tProdutos[[#This Row],[Editais]]&gt;=MinEditais,N(tProdutos[[#This Row],[Margem bruta]])&gt;=MargemMin),"Sim","Não"))</f>
        <v>Não</v>
      </c>
      <c r="T111" s="4" t="str">
        <f>IF(tProdutos[[#This Row],[Elegível]]="Sim",COUNTIFS(tProdutos[Elegível],"Sim",tProdutos[Valor janela],"&gt;"&amp;tProdutos[[#This Row],[Valor janela]])+1,"")</f>
        <v/>
      </c>
      <c r="U111" t="str">
        <f>IF(ModoFoco="Lista",tProdutos[[#This Row],[Elegível]],IF(AND(tProdutos[[#This Row],[Posição]]&lt;&gt;"",N(tProdutos[[#This Row],[Posição]])&lt;=TopN),"Sim","Não"))</f>
        <v>Não</v>
      </c>
    </row>
    <row r="112" spans="1:21" x14ac:dyDescent="0.25">
      <c r="A112">
        <v>111</v>
      </c>
      <c r="B112" t="s">
        <v>281</v>
      </c>
      <c r="C112" t="s">
        <v>78</v>
      </c>
      <c r="D112" s="14">
        <v>49.650455000000001</v>
      </c>
      <c r="E112" s="7">
        <v>0.27268292682926842</v>
      </c>
      <c r="F112" s="7">
        <v>0.42461538461538501</v>
      </c>
      <c r="G112" s="15">
        <v>0.25</v>
      </c>
      <c r="H112" s="15">
        <v>0.21</v>
      </c>
      <c r="I112" t="s">
        <v>282</v>
      </c>
      <c r="J112" s="16" t="s">
        <v>66</v>
      </c>
      <c r="K112" s="15"/>
      <c r="L112" s="4">
        <f>COUNTIFS(tItens[Produto],tProdutos[[#This Row],[Produto]])</f>
        <v>130</v>
      </c>
      <c r="M112" s="4">
        <f>SUMIFS(tItens[Primeira ocorrência],tItens[Produto],tProdutos[[#This Row],[Produto]])</f>
        <v>95</v>
      </c>
      <c r="N112" s="8">
        <f>SUMIFS(tItens[Valor],tItens[Produto],tProdutos[[#This Row],[Produto]])</f>
        <v>5048308.7799999993</v>
      </c>
      <c r="O112" s="8">
        <f>SUMIFS(tItens[Valor],tItens[Produto],tProdutos[[#This Row],[Produto]],tItens[SRP],"Sim")</f>
        <v>1278934.54</v>
      </c>
      <c r="P112" s="6">
        <f>IF(tProdutos[[#This Row],[Valor janela]]=0,0,tProdutos[[#This Row],[Valor SRP]]/tProdutos[[#This Row],[Valor janela]])</f>
        <v>0.2533392064025054</v>
      </c>
      <c r="Q112" s="8">
        <f>tProdutos[[#This Row],[Valor janela]]*DiasMes/DiasJanela</f>
        <v>16827695.933333334</v>
      </c>
      <c r="R112" s="8">
        <f>tProdutos[[#This Row],[Mercado mês ref]]*(1-IF(tProdutos[[#This Row],[Desconto homologado]]="",DescontoPadrao,tProdutos[[#This Row],[Desconto homologado]]))</f>
        <v>9682397.3524102494</v>
      </c>
      <c r="S112" t="str">
        <f>IF(ModoFoco="Lista",IF(tProdutos[[#This Row],[Lista definida]]="Sim","Sim","Não"),IF(AND(tProdutos[[#This Row],[Editais]]&gt;=MinEditais,N(tProdutos[[#This Row],[Margem bruta]])&gt;=MargemMin),"Sim","Não"))</f>
        <v>Não</v>
      </c>
      <c r="T112" s="4" t="str">
        <f>IF(tProdutos[[#This Row],[Elegível]]="Sim",COUNTIFS(tProdutos[Elegível],"Sim",tProdutos[Valor janela],"&gt;"&amp;tProdutos[[#This Row],[Valor janela]])+1,"")</f>
        <v/>
      </c>
      <c r="U112" t="str">
        <f>IF(ModoFoco="Lista",tProdutos[[#This Row],[Elegível]],IF(AND(tProdutos[[#This Row],[Posição]]&lt;&gt;"",N(tProdutos[[#This Row],[Posição]])&lt;=TopN),"Sim","Não"))</f>
        <v>Não</v>
      </c>
    </row>
    <row r="113" spans="1:21" x14ac:dyDescent="0.25">
      <c r="A113">
        <v>112</v>
      </c>
      <c r="B113" t="s">
        <v>283</v>
      </c>
      <c r="C113" t="s">
        <v>185</v>
      </c>
      <c r="D113" s="14">
        <v>49.637245999999998</v>
      </c>
      <c r="E113" s="7">
        <v>0.13414634146341475</v>
      </c>
      <c r="F113" s="7">
        <v>0.40540540540540498</v>
      </c>
      <c r="G113" s="15">
        <v>0.14000000000000001</v>
      </c>
      <c r="H113" s="15">
        <v>0.14000000000000001</v>
      </c>
      <c r="I113" t="s">
        <v>284</v>
      </c>
      <c r="J113" s="16" t="s">
        <v>66</v>
      </c>
      <c r="K113" s="15"/>
      <c r="L113" s="4">
        <f>COUNTIFS(tItens[Produto],tProdutos[[#This Row],[Produto]])</f>
        <v>86</v>
      </c>
      <c r="M113" s="4">
        <f>SUMIFS(tItens[Primeira ocorrência],tItens[Produto],tProdutos[[#This Row],[Produto]])</f>
        <v>66</v>
      </c>
      <c r="N113" s="8">
        <f>SUMIFS(tItens[Valor],tItens[Produto],tProdutos[[#This Row],[Produto]])</f>
        <v>1744017.1</v>
      </c>
      <c r="O113" s="8">
        <f>SUMIFS(tItens[Valor],tItens[Produto],tProdutos[[#This Row],[Produto]],tItens[SRP],"Sim")</f>
        <v>764950.5</v>
      </c>
      <c r="P113" s="6">
        <f>IF(tProdutos[[#This Row],[Valor janela]]=0,0,tProdutos[[#This Row],[Valor SRP]]/tProdutos[[#This Row],[Valor janela]])</f>
        <v>0.43861410533188006</v>
      </c>
      <c r="Q113" s="8">
        <f>tProdutos[[#This Row],[Valor janela]]*DiasMes/DiasJanela</f>
        <v>5813390.333333333</v>
      </c>
      <c r="R113" s="8">
        <f>tProdutos[[#This Row],[Mercado mês ref]]*(1-IF(tProdutos[[#This Row],[Desconto homologado]]="",DescontoPadrao,tProdutos[[#This Row],[Desconto homologado]]))</f>
        <v>3456610.4684684705</v>
      </c>
      <c r="S113" t="str">
        <f>IF(ModoFoco="Lista",IF(tProdutos[[#This Row],[Lista definida]]="Sim","Sim","Não"),IF(AND(tProdutos[[#This Row],[Editais]]&gt;=MinEditais,N(tProdutos[[#This Row],[Margem bruta]])&gt;=MargemMin),"Sim","Não"))</f>
        <v>Não</v>
      </c>
      <c r="T113" s="4" t="str">
        <f>IF(tProdutos[[#This Row],[Elegível]]="Sim",COUNTIFS(tProdutos[Elegível],"Sim",tProdutos[Valor janela],"&gt;"&amp;tProdutos[[#This Row],[Valor janela]])+1,"")</f>
        <v/>
      </c>
      <c r="U113" t="str">
        <f>IF(ModoFoco="Lista",tProdutos[[#This Row],[Elegível]],IF(AND(tProdutos[[#This Row],[Posição]]&lt;&gt;"",N(tProdutos[[#This Row],[Posição]])&lt;=TopN),"Sim","Não"))</f>
        <v>Não</v>
      </c>
    </row>
    <row r="114" spans="1:21" x14ac:dyDescent="0.25">
      <c r="A114">
        <v>113</v>
      </c>
      <c r="B114" t="s">
        <v>285</v>
      </c>
      <c r="C114" t="s">
        <v>185</v>
      </c>
      <c r="D114" s="14">
        <v>49.514608000000003</v>
      </c>
      <c r="E114" s="7">
        <v>0.25677797550507708</v>
      </c>
      <c r="F114" s="7">
        <v>0.46385052802599502</v>
      </c>
      <c r="G114" s="15">
        <v>9.3200000000000005E-2</v>
      </c>
      <c r="H114" s="15">
        <v>0.08</v>
      </c>
      <c r="I114" t="s">
        <v>286</v>
      </c>
      <c r="J114" s="16" t="s">
        <v>66</v>
      </c>
      <c r="K114" s="15"/>
      <c r="L114" s="4">
        <f>COUNTIFS(tItens[Produto],tProdutos[[#This Row],[Produto]])</f>
        <v>0</v>
      </c>
      <c r="M114" s="4">
        <f>SUMIFS(tItens[Primeira ocorrência],tItens[Produto],tProdutos[[#This Row],[Produto]])</f>
        <v>0</v>
      </c>
      <c r="N114" s="8">
        <f>SUMIFS(tItens[Valor],tItens[Produto],tProdutos[[#This Row],[Produto]])</f>
        <v>0</v>
      </c>
      <c r="O114" s="8">
        <f>SUMIFS(tItens[Valor],tItens[Produto],tProdutos[[#This Row],[Produto]],tItens[SRP],"Sim")</f>
        <v>0</v>
      </c>
      <c r="P114" s="6">
        <f>IF(tProdutos[[#This Row],[Valor janela]]=0,0,tProdutos[[#This Row],[Valor SRP]]/tProdutos[[#This Row],[Valor janela]])</f>
        <v>0</v>
      </c>
      <c r="Q114" s="8">
        <f>tProdutos[[#This Row],[Valor janela]]*DiasMes/DiasJanela</f>
        <v>0</v>
      </c>
      <c r="R114" s="8">
        <f>tProdutos[[#This Row],[Mercado mês ref]]*(1-IF(tProdutos[[#This Row],[Desconto homologado]]="",DescontoPadrao,tProdutos[[#This Row],[Desconto homologado]]))</f>
        <v>0</v>
      </c>
      <c r="S114" t="str">
        <f>IF(ModoFoco="Lista",IF(tProdutos[[#This Row],[Lista definida]]="Sim","Sim","Não"),IF(AND(tProdutos[[#This Row],[Editais]]&gt;=MinEditais,N(tProdutos[[#This Row],[Margem bruta]])&gt;=MargemMin),"Sim","Não"))</f>
        <v>Não</v>
      </c>
      <c r="T114" s="4" t="str">
        <f>IF(tProdutos[[#This Row],[Elegível]]="Sim",COUNTIFS(tProdutos[Elegível],"Sim",tProdutos[Valor janela],"&gt;"&amp;tProdutos[[#This Row],[Valor janela]])+1,"")</f>
        <v/>
      </c>
      <c r="U114" t="str">
        <f>IF(ModoFoco="Lista",tProdutos[[#This Row],[Elegível]],IF(AND(tProdutos[[#This Row],[Posição]]&lt;&gt;"",N(tProdutos[[#This Row],[Posição]])&lt;=TopN),"Sim","Não"))</f>
        <v>Não</v>
      </c>
    </row>
    <row r="115" spans="1:21" x14ac:dyDescent="0.25">
      <c r="A115">
        <v>114</v>
      </c>
      <c r="B115" t="s">
        <v>287</v>
      </c>
      <c r="C115" t="s">
        <v>185</v>
      </c>
      <c r="D115" s="14">
        <v>48.927462000000006</v>
      </c>
      <c r="E115" s="7">
        <v>8.0030487804878092E-2</v>
      </c>
      <c r="F115" s="7">
        <v>0.46344491178876002</v>
      </c>
      <c r="G115" s="15">
        <v>0.64</v>
      </c>
      <c r="H115" s="15">
        <v>0.68</v>
      </c>
      <c r="I115" t="s">
        <v>288</v>
      </c>
      <c r="J115" s="16" t="s">
        <v>66</v>
      </c>
      <c r="K115" s="15"/>
      <c r="L115" s="4">
        <f>COUNTIFS(tItens[Produto],tProdutos[[#This Row],[Produto]])</f>
        <v>25</v>
      </c>
      <c r="M115" s="4">
        <f>SUMIFS(tItens[Primeira ocorrência],tItens[Produto],tProdutos[[#This Row],[Produto]])</f>
        <v>21</v>
      </c>
      <c r="N115" s="8">
        <f>SUMIFS(tItens[Valor],tItens[Produto],tProdutos[[#This Row],[Produto]])</f>
        <v>790162</v>
      </c>
      <c r="O115" s="8">
        <f>SUMIFS(tItens[Valor],tItens[Produto],tProdutos[[#This Row],[Produto]],tItens[SRP],"Sim")</f>
        <v>354709.5</v>
      </c>
      <c r="P115" s="6">
        <f>IF(tProdutos[[#This Row],[Valor janela]]=0,0,tProdutos[[#This Row],[Valor SRP]]/tProdutos[[#This Row],[Valor janela]])</f>
        <v>0.44890731267765344</v>
      </c>
      <c r="Q115" s="8">
        <f>tProdutos[[#This Row],[Valor janela]]*DiasMes/DiasJanela</f>
        <v>2633873.3333333335</v>
      </c>
      <c r="R115" s="8">
        <f>tProdutos[[#This Row],[Mercado mês ref]]*(1-IF(tProdutos[[#This Row],[Desconto homologado]]="",DescontoPadrao,tProdutos[[#This Row],[Desconto homologado]]))</f>
        <v>1413218.1387038995</v>
      </c>
      <c r="S115" t="str">
        <f>IF(ModoFoco="Lista",IF(tProdutos[[#This Row],[Lista definida]]="Sim","Sim","Não"),IF(AND(tProdutos[[#This Row],[Editais]]&gt;=MinEditais,N(tProdutos[[#This Row],[Margem bruta]])&gt;=MargemMin),"Sim","Não"))</f>
        <v>Não</v>
      </c>
      <c r="T115" s="4" t="str">
        <f>IF(tProdutos[[#This Row],[Elegível]]="Sim",COUNTIFS(tProdutos[Elegível],"Sim",tProdutos[Valor janela],"&gt;"&amp;tProdutos[[#This Row],[Valor janela]])+1,"")</f>
        <v/>
      </c>
      <c r="U115" t="str">
        <f>IF(ModoFoco="Lista",tProdutos[[#This Row],[Elegível]],IF(AND(tProdutos[[#This Row],[Posição]]&lt;&gt;"",N(tProdutos[[#This Row],[Posição]])&lt;=TopN),"Sim","Não"))</f>
        <v>Não</v>
      </c>
    </row>
    <row r="116" spans="1:21" x14ac:dyDescent="0.25">
      <c r="A116">
        <v>115</v>
      </c>
      <c r="B116" t="s">
        <v>289</v>
      </c>
      <c r="C116" t="s">
        <v>78</v>
      </c>
      <c r="D116" s="14">
        <v>48.692062999999997</v>
      </c>
      <c r="E116" s="7">
        <v>0.20836236933797911</v>
      </c>
      <c r="F116" s="7">
        <v>0.35849056603773599</v>
      </c>
      <c r="G116" s="15">
        <v>0.35</v>
      </c>
      <c r="H116" s="15">
        <v>0.32</v>
      </c>
      <c r="I116" t="s">
        <v>290</v>
      </c>
      <c r="J116" s="16" t="s">
        <v>66</v>
      </c>
      <c r="K116" s="15"/>
      <c r="L116" s="4">
        <f>COUNTIFS(tItens[Produto],tProdutos[[#This Row],[Produto]])</f>
        <v>98</v>
      </c>
      <c r="M116" s="4">
        <f>SUMIFS(tItens[Primeira ocorrência],tItens[Produto],tProdutos[[#This Row],[Produto]])</f>
        <v>77</v>
      </c>
      <c r="N116" s="8">
        <f>SUMIFS(tItens[Valor],tItens[Produto],tProdutos[[#This Row],[Produto]])</f>
        <v>6116980.4100000001</v>
      </c>
      <c r="O116" s="8">
        <f>SUMIFS(tItens[Valor],tItens[Produto],tProdutos[[#This Row],[Produto]],tItens[SRP],"Sim")</f>
        <v>1136440.17</v>
      </c>
      <c r="P116" s="6">
        <f>IF(tProdutos[[#This Row],[Valor janela]]=0,0,tProdutos[[#This Row],[Valor SRP]]/tProdutos[[#This Row],[Valor janela]])</f>
        <v>0.18578450376302577</v>
      </c>
      <c r="Q116" s="8">
        <f>tProdutos[[#This Row],[Valor janela]]*DiasMes/DiasJanela</f>
        <v>20389934.699999999</v>
      </c>
      <c r="R116" s="8">
        <f>tProdutos[[#This Row],[Mercado mês ref]]*(1-IF(tProdutos[[#This Row],[Desconto homologado]]="",DescontoPadrao,tProdutos[[#This Row],[Desconto homologado]]))</f>
        <v>13080335.467924524</v>
      </c>
      <c r="S116" t="str">
        <f>IF(ModoFoco="Lista",IF(tProdutos[[#This Row],[Lista definida]]="Sim","Sim","Não"),IF(AND(tProdutos[[#This Row],[Editais]]&gt;=MinEditais,N(tProdutos[[#This Row],[Margem bruta]])&gt;=MargemMin),"Sim","Não"))</f>
        <v>Não</v>
      </c>
      <c r="T116" s="4" t="str">
        <f>IF(tProdutos[[#This Row],[Elegível]]="Sim",COUNTIFS(tProdutos[Elegível],"Sim",tProdutos[Valor janela],"&gt;"&amp;tProdutos[[#This Row],[Valor janela]])+1,"")</f>
        <v/>
      </c>
      <c r="U116" t="str">
        <f>IF(ModoFoco="Lista",tProdutos[[#This Row],[Elegível]],IF(AND(tProdutos[[#This Row],[Posição]]&lt;&gt;"",N(tProdutos[[#This Row],[Posição]])&lt;=TopN),"Sim","Não"))</f>
        <v>Não</v>
      </c>
    </row>
    <row r="117" spans="1:21" x14ac:dyDescent="0.25">
      <c r="A117">
        <v>116</v>
      </c>
      <c r="B117" t="s">
        <v>291</v>
      </c>
      <c r="C117" t="s">
        <v>185</v>
      </c>
      <c r="D117" s="14">
        <v>48.674824999999998</v>
      </c>
      <c r="E117" s="7">
        <v>0.47840141052012941</v>
      </c>
      <c r="F117" s="7">
        <v>0.36175431622503101</v>
      </c>
      <c r="G117" s="15">
        <v>4.9800000000000004</v>
      </c>
      <c r="H117" s="15">
        <v>3</v>
      </c>
      <c r="I117" t="s">
        <v>292</v>
      </c>
      <c r="J117" s="16" t="s">
        <v>66</v>
      </c>
      <c r="K117" s="15"/>
      <c r="L117" s="4">
        <f>COUNTIFS(tItens[Produto],tProdutos[[#This Row],[Produto]])</f>
        <v>1</v>
      </c>
      <c r="M117" s="4">
        <f>SUMIFS(tItens[Primeira ocorrência],tItens[Produto],tProdutos[[#This Row],[Produto]])</f>
        <v>1</v>
      </c>
      <c r="N117" s="8">
        <f>SUMIFS(tItens[Valor],tItens[Produto],tProdutos[[#This Row],[Produto]])</f>
        <v>79.5</v>
      </c>
      <c r="O117" s="8">
        <f>SUMIFS(tItens[Valor],tItens[Produto],tProdutos[[#This Row],[Produto]],tItens[SRP],"Sim")</f>
        <v>0</v>
      </c>
      <c r="P117" s="6">
        <f>IF(tProdutos[[#This Row],[Valor janela]]=0,0,tProdutos[[#This Row],[Valor SRP]]/tProdutos[[#This Row],[Valor janela]])</f>
        <v>0</v>
      </c>
      <c r="Q117" s="8">
        <f>tProdutos[[#This Row],[Valor janela]]*DiasMes/DiasJanela</f>
        <v>265</v>
      </c>
      <c r="R117" s="8">
        <f>tProdutos[[#This Row],[Mercado mês ref]]*(1-IF(tProdutos[[#This Row],[Desconto homologado]]="",DescontoPadrao,tProdutos[[#This Row],[Desconto homologado]]))</f>
        <v>169.13510620036681</v>
      </c>
      <c r="S117" t="str">
        <f>IF(ModoFoco="Lista",IF(tProdutos[[#This Row],[Lista definida]]="Sim","Sim","Não"),IF(AND(tProdutos[[#This Row],[Editais]]&gt;=MinEditais,N(tProdutos[[#This Row],[Margem bruta]])&gt;=MargemMin),"Sim","Não"))</f>
        <v>Não</v>
      </c>
      <c r="T117" s="4" t="str">
        <f>IF(tProdutos[[#This Row],[Elegível]]="Sim",COUNTIFS(tProdutos[Elegível],"Sim",tProdutos[Valor janela],"&gt;"&amp;tProdutos[[#This Row],[Valor janela]])+1,"")</f>
        <v/>
      </c>
      <c r="U117" t="str">
        <f>IF(ModoFoco="Lista",tProdutos[[#This Row],[Elegível]],IF(AND(tProdutos[[#This Row],[Posição]]&lt;&gt;"",N(tProdutos[[#This Row],[Posição]])&lt;=TopN),"Sim","Não"))</f>
        <v>Não</v>
      </c>
    </row>
    <row r="118" spans="1:21" x14ac:dyDescent="0.25">
      <c r="A118">
        <v>117</v>
      </c>
      <c r="B118" t="s">
        <v>293</v>
      </c>
      <c r="C118" t="s">
        <v>185</v>
      </c>
      <c r="D118" s="14">
        <v>48.668267549588251</v>
      </c>
      <c r="E118" s="7">
        <v>0.47346736980883319</v>
      </c>
      <c r="F118" s="7">
        <v>0.45236440369319098</v>
      </c>
      <c r="G118" s="15">
        <v>5.92</v>
      </c>
      <c r="H118" s="15">
        <v>3.6</v>
      </c>
      <c r="I118" t="s">
        <v>294</v>
      </c>
      <c r="J118" s="16" t="s">
        <v>66</v>
      </c>
      <c r="K118" s="15"/>
      <c r="L118" s="4">
        <f>COUNTIFS(tItens[Produto],tProdutos[[#This Row],[Produto]])</f>
        <v>11</v>
      </c>
      <c r="M118" s="4">
        <f>SUMIFS(tItens[Primeira ocorrência],tItens[Produto],tProdutos[[#This Row],[Produto]])</f>
        <v>9</v>
      </c>
      <c r="N118" s="8">
        <f>SUMIFS(tItens[Valor],tItens[Produto],tProdutos[[#This Row],[Produto]])</f>
        <v>17482.5</v>
      </c>
      <c r="O118" s="8">
        <f>SUMIFS(tItens[Valor],tItens[Produto],tProdutos[[#This Row],[Produto]],tItens[SRP],"Sim")</f>
        <v>12773</v>
      </c>
      <c r="P118" s="6">
        <f>IF(tProdutos[[#This Row],[Valor janela]]=0,0,tProdutos[[#This Row],[Valor SRP]]/tProdutos[[#This Row],[Valor janela]])</f>
        <v>0.73061633061633058</v>
      </c>
      <c r="Q118" s="8">
        <f>tProdutos[[#This Row],[Valor janela]]*DiasMes/DiasJanela</f>
        <v>58275</v>
      </c>
      <c r="R118" s="8">
        <f>tProdutos[[#This Row],[Mercado mês ref]]*(1-IF(tProdutos[[#This Row],[Desconto homologado]]="",DescontoPadrao,tProdutos[[#This Row],[Desconto homologado]]))</f>
        <v>31913.464374779294</v>
      </c>
      <c r="S118" t="str">
        <f>IF(ModoFoco="Lista",IF(tProdutos[[#This Row],[Lista definida]]="Sim","Sim","Não"),IF(AND(tProdutos[[#This Row],[Editais]]&gt;=MinEditais,N(tProdutos[[#This Row],[Margem bruta]])&gt;=MargemMin),"Sim","Não"))</f>
        <v>Não</v>
      </c>
      <c r="T118" s="4" t="str">
        <f>IF(tProdutos[[#This Row],[Elegível]]="Sim",COUNTIFS(tProdutos[Elegível],"Sim",tProdutos[Valor janela],"&gt;"&amp;tProdutos[[#This Row],[Valor janela]])+1,"")</f>
        <v/>
      </c>
      <c r="U118" t="str">
        <f>IF(ModoFoco="Lista",tProdutos[[#This Row],[Elegível]],IF(AND(tProdutos[[#This Row],[Posição]]&lt;&gt;"",N(tProdutos[[#This Row],[Posição]])&lt;=TopN),"Sim","Não"))</f>
        <v>Não</v>
      </c>
    </row>
    <row r="119" spans="1:21" x14ac:dyDescent="0.25">
      <c r="A119">
        <v>118</v>
      </c>
      <c r="B119" t="s">
        <v>295</v>
      </c>
      <c r="C119" t="s">
        <v>185</v>
      </c>
      <c r="D119" s="14">
        <v>48.615613999999994</v>
      </c>
      <c r="E119" s="7">
        <v>0.13414634146341464</v>
      </c>
      <c r="F119" s="7">
        <v>0.219311377245509</v>
      </c>
      <c r="G119" s="15">
        <v>0.12</v>
      </c>
      <c r="H119" s="15">
        <v>0.12</v>
      </c>
      <c r="I119" t="s">
        <v>296</v>
      </c>
      <c r="J119" s="16" t="s">
        <v>66</v>
      </c>
      <c r="K119" s="15"/>
      <c r="L119" s="4">
        <f>COUNTIFS(tItens[Produto],tProdutos[[#This Row],[Produto]])</f>
        <v>17</v>
      </c>
      <c r="M119" s="4">
        <f>SUMIFS(tItens[Primeira ocorrência],tItens[Produto],tProdutos[[#This Row],[Produto]])</f>
        <v>10</v>
      </c>
      <c r="N119" s="8">
        <f>SUMIFS(tItens[Valor],tItens[Produto],tProdutos[[#This Row],[Produto]])</f>
        <v>311621.7</v>
      </c>
      <c r="O119" s="8">
        <f>SUMIFS(tItens[Valor],tItens[Produto],tProdutos[[#This Row],[Produto]],tItens[SRP],"Sim")</f>
        <v>227050.8</v>
      </c>
      <c r="P119" s="6">
        <f>IF(tProdutos[[#This Row],[Valor janela]]=0,0,tProdutos[[#This Row],[Valor SRP]]/tProdutos[[#This Row],[Valor janela]])</f>
        <v>0.72861036314223293</v>
      </c>
      <c r="Q119" s="8">
        <f>tProdutos[[#This Row],[Valor janela]]*DiasMes/DiasJanela</f>
        <v>1038739</v>
      </c>
      <c r="R119" s="8">
        <f>tProdutos[[#This Row],[Mercado mês ref]]*(1-IF(tProdutos[[#This Row],[Desconto homologado]]="",DescontoPadrao,tProdutos[[#This Row],[Desconto homologado]]))</f>
        <v>810931.71931137727</v>
      </c>
      <c r="S119" t="str">
        <f>IF(ModoFoco="Lista",IF(tProdutos[[#This Row],[Lista definida]]="Sim","Sim","Não"),IF(AND(tProdutos[[#This Row],[Editais]]&gt;=MinEditais,N(tProdutos[[#This Row],[Margem bruta]])&gt;=MargemMin),"Sim","Não"))</f>
        <v>Não</v>
      </c>
      <c r="T119" s="4" t="str">
        <f>IF(tProdutos[[#This Row],[Elegível]]="Sim",COUNTIFS(tProdutos[Elegível],"Sim",tProdutos[Valor janela],"&gt;"&amp;tProdutos[[#This Row],[Valor janela]])+1,"")</f>
        <v/>
      </c>
      <c r="U119" t="str">
        <f>IF(ModoFoco="Lista",tProdutos[[#This Row],[Elegível]],IF(AND(tProdutos[[#This Row],[Posição]]&lt;&gt;"",N(tProdutos[[#This Row],[Posição]])&lt;=TopN),"Sim","Não"))</f>
        <v>Não</v>
      </c>
    </row>
    <row r="120" spans="1:21" x14ac:dyDescent="0.25">
      <c r="A120">
        <v>119</v>
      </c>
      <c r="B120" t="s">
        <v>297</v>
      </c>
      <c r="C120" t="s">
        <v>185</v>
      </c>
      <c r="D120" s="14">
        <v>48.611107538725307</v>
      </c>
      <c r="E120" s="7">
        <v>0.15936538006156775</v>
      </c>
      <c r="F120" s="7">
        <v>0.249544626593807</v>
      </c>
      <c r="G120" s="15">
        <v>8.2400000000000001E-2</v>
      </c>
      <c r="H120" s="15">
        <v>0.08</v>
      </c>
      <c r="I120" t="s">
        <v>298</v>
      </c>
      <c r="J120" s="16" t="s">
        <v>66</v>
      </c>
      <c r="K120" s="15"/>
      <c r="L120" s="4">
        <f>COUNTIFS(tItens[Produto],tProdutos[[#This Row],[Produto]])</f>
        <v>33</v>
      </c>
      <c r="M120" s="4">
        <f>SUMIFS(tItens[Primeira ocorrência],tItens[Produto],tProdutos[[#This Row],[Produto]])</f>
        <v>22</v>
      </c>
      <c r="N120" s="8">
        <f>SUMIFS(tItens[Valor],tItens[Produto],tProdutos[[#This Row],[Produto]])</f>
        <v>191171.85</v>
      </c>
      <c r="O120" s="8">
        <f>SUMIFS(tItens[Valor],tItens[Produto],tProdutos[[#This Row],[Produto]],tItens[SRP],"Sim")</f>
        <v>36959.79</v>
      </c>
      <c r="P120" s="6">
        <f>IF(tProdutos[[#This Row],[Valor janela]]=0,0,tProdutos[[#This Row],[Valor SRP]]/tProdutos[[#This Row],[Valor janela]])</f>
        <v>0.19333280501287192</v>
      </c>
      <c r="Q120" s="8">
        <f>tProdutos[[#This Row],[Valor janela]]*DiasMes/DiasJanela</f>
        <v>637239.5</v>
      </c>
      <c r="R120" s="8">
        <f>tProdutos[[#This Row],[Mercado mês ref]]*(1-IF(tProdutos[[#This Row],[Desconto homologado]]="",DescontoPadrao,tProdutos[[#This Row],[Desconto homologado]]))</f>
        <v>478219.80692167568</v>
      </c>
      <c r="S120" t="str">
        <f>IF(ModoFoco="Lista",IF(tProdutos[[#This Row],[Lista definida]]="Sim","Sim","Não"),IF(AND(tProdutos[[#This Row],[Editais]]&gt;=MinEditais,N(tProdutos[[#This Row],[Margem bruta]])&gt;=MargemMin),"Sim","Não"))</f>
        <v>Não</v>
      </c>
      <c r="T120" s="4" t="str">
        <f>IF(tProdutos[[#This Row],[Elegível]]="Sim",COUNTIFS(tProdutos[Elegível],"Sim",tProdutos[Valor janela],"&gt;"&amp;tProdutos[[#This Row],[Valor janela]])+1,"")</f>
        <v/>
      </c>
      <c r="U120" t="str">
        <f>IF(ModoFoco="Lista",tProdutos[[#This Row],[Elegível]],IF(AND(tProdutos[[#This Row],[Posição]]&lt;&gt;"",N(tProdutos[[#This Row],[Posição]])&lt;=TopN),"Sim","Não"))</f>
        <v>Não</v>
      </c>
    </row>
    <row r="121" spans="1:21" x14ac:dyDescent="0.25">
      <c r="A121">
        <v>120</v>
      </c>
      <c r="B121" t="s">
        <v>299</v>
      </c>
      <c r="C121" t="s">
        <v>185</v>
      </c>
      <c r="D121" s="14">
        <v>48.451427999999993</v>
      </c>
      <c r="E121" s="7">
        <v>0.22073170731707337</v>
      </c>
      <c r="F121" s="7">
        <v>0.42211465163381601</v>
      </c>
      <c r="G121" s="15">
        <v>0.2</v>
      </c>
      <c r="H121" s="15">
        <v>0.18</v>
      </c>
      <c r="I121" t="s">
        <v>300</v>
      </c>
      <c r="J121" s="16" t="s">
        <v>66</v>
      </c>
      <c r="K121" s="15"/>
      <c r="L121" s="4">
        <f>COUNTIFS(tItens[Produto],tProdutos[[#This Row],[Produto]])</f>
        <v>41</v>
      </c>
      <c r="M121" s="4">
        <f>SUMIFS(tItens[Primeira ocorrência],tItens[Produto],tProdutos[[#This Row],[Produto]])</f>
        <v>29</v>
      </c>
      <c r="N121" s="8">
        <f>SUMIFS(tItens[Valor],tItens[Produto],tProdutos[[#This Row],[Produto]])</f>
        <v>2401103.91</v>
      </c>
      <c r="O121" s="8">
        <f>SUMIFS(tItens[Valor],tItens[Produto],tProdutos[[#This Row],[Produto]],tItens[SRP],"Sim")</f>
        <v>2370285.91</v>
      </c>
      <c r="P121" s="6">
        <f>IF(tProdutos[[#This Row],[Valor janela]]=0,0,tProdutos[[#This Row],[Valor SRP]]/tProdutos[[#This Row],[Valor janela]])</f>
        <v>0.98716507025304046</v>
      </c>
      <c r="Q121" s="8">
        <f>tProdutos[[#This Row],[Valor janela]]*DiasMes/DiasJanela</f>
        <v>8003679.7000000002</v>
      </c>
      <c r="R121" s="8">
        <f>tProdutos[[#This Row],[Mercado mês ref]]*(1-IF(tProdutos[[#This Row],[Desconto homologado]]="",DescontoPadrao,tProdutos[[#This Row],[Desconto homologado]]))</f>
        <v>4625209.2316458551</v>
      </c>
      <c r="S121" t="str">
        <f>IF(ModoFoco="Lista",IF(tProdutos[[#This Row],[Lista definida]]="Sim","Sim","Não"),IF(AND(tProdutos[[#This Row],[Editais]]&gt;=MinEditais,N(tProdutos[[#This Row],[Margem bruta]])&gt;=MargemMin),"Sim","Não"))</f>
        <v>Não</v>
      </c>
      <c r="T121" s="4" t="str">
        <f>IF(tProdutos[[#This Row],[Elegível]]="Sim",COUNTIFS(tProdutos[Elegível],"Sim",tProdutos[Valor janela],"&gt;"&amp;tProdutos[[#This Row],[Valor janela]])+1,"")</f>
        <v/>
      </c>
      <c r="U121" t="str">
        <f>IF(ModoFoco="Lista",tProdutos[[#This Row],[Elegível]],IF(AND(tProdutos[[#This Row],[Posição]]&lt;&gt;"",N(tProdutos[[#This Row],[Posição]])&lt;=TopN),"Sim","Não"))</f>
        <v>Não</v>
      </c>
    </row>
    <row r="122" spans="1:21" x14ac:dyDescent="0.25">
      <c r="A122">
        <v>121</v>
      </c>
      <c r="B122" t="s">
        <v>301</v>
      </c>
      <c r="C122" t="s">
        <v>185</v>
      </c>
      <c r="D122" s="14">
        <v>48.375272473867092</v>
      </c>
      <c r="E122" s="7">
        <v>0.44496560350218894</v>
      </c>
      <c r="F122" s="7">
        <v>0.37334194659776099</v>
      </c>
      <c r="G122" s="15">
        <v>0.624</v>
      </c>
      <c r="H122" s="15">
        <v>0.4</v>
      </c>
      <c r="I122" t="s">
        <v>302</v>
      </c>
      <c r="J122" s="16" t="s">
        <v>66</v>
      </c>
      <c r="K122" s="15"/>
      <c r="L122" s="4">
        <f>COUNTIFS(tItens[Produto],tProdutos[[#This Row],[Produto]])</f>
        <v>3</v>
      </c>
      <c r="M122" s="4">
        <f>SUMIFS(tItens[Primeira ocorrência],tItens[Produto],tProdutos[[#This Row],[Produto]])</f>
        <v>2</v>
      </c>
      <c r="N122" s="8">
        <f>SUMIFS(tItens[Valor],tItens[Produto],tProdutos[[#This Row],[Produto]])</f>
        <v>333775</v>
      </c>
      <c r="O122" s="8">
        <f>SUMIFS(tItens[Valor],tItens[Produto],tProdutos[[#This Row],[Produto]],tItens[SRP],"Sim")</f>
        <v>333775</v>
      </c>
      <c r="P122" s="6">
        <f>IF(tProdutos[[#This Row],[Valor janela]]=0,0,tProdutos[[#This Row],[Valor SRP]]/tProdutos[[#This Row],[Valor janela]])</f>
        <v>1</v>
      </c>
      <c r="Q122" s="8">
        <f>tProdutos[[#This Row],[Valor janela]]*DiasMes/DiasJanela</f>
        <v>1112583.3333333333</v>
      </c>
      <c r="R122" s="8">
        <f>tProdutos[[#This Row],[Mercado mês ref]]*(1-IF(tProdutos[[#This Row],[Desconto homologado]]="",DescontoPadrao,tProdutos[[#This Row],[Desconto homologado]]))</f>
        <v>697209.30591444101</v>
      </c>
      <c r="S122" t="str">
        <f>IF(ModoFoco="Lista",IF(tProdutos[[#This Row],[Lista definida]]="Sim","Sim","Não"),IF(AND(tProdutos[[#This Row],[Editais]]&gt;=MinEditais,N(tProdutos[[#This Row],[Margem bruta]])&gt;=MargemMin),"Sim","Não"))</f>
        <v>Não</v>
      </c>
      <c r="T122" s="4" t="str">
        <f>IF(tProdutos[[#This Row],[Elegível]]="Sim",COUNTIFS(tProdutos[Elegível],"Sim",tProdutos[Valor janela],"&gt;"&amp;tProdutos[[#This Row],[Valor janela]])+1,"")</f>
        <v/>
      </c>
      <c r="U122" t="str">
        <f>IF(ModoFoco="Lista",tProdutos[[#This Row],[Elegível]],IF(AND(tProdutos[[#This Row],[Posição]]&lt;&gt;"",N(tProdutos[[#This Row],[Posição]])&lt;=TopN),"Sim","Não"))</f>
        <v>Não</v>
      </c>
    </row>
    <row r="123" spans="1:21" x14ac:dyDescent="0.25">
      <c r="A123">
        <v>122</v>
      </c>
      <c r="B123" t="s">
        <v>303</v>
      </c>
      <c r="C123" t="s">
        <v>185</v>
      </c>
      <c r="D123" s="14">
        <v>48.13816713995341</v>
      </c>
      <c r="E123" s="7">
        <v>0.18094924192485173</v>
      </c>
      <c r="F123" s="7">
        <v>0.35748048048048098</v>
      </c>
      <c r="G123" s="15">
        <v>0.37</v>
      </c>
      <c r="H123" s="15">
        <v>0.35</v>
      </c>
      <c r="I123" t="s">
        <v>304</v>
      </c>
      <c r="J123" s="16" t="s">
        <v>66</v>
      </c>
      <c r="K123" s="15"/>
      <c r="L123" s="4">
        <f>COUNTIFS(tItens[Produto],tProdutos[[#This Row],[Produto]])</f>
        <v>21</v>
      </c>
      <c r="M123" s="4">
        <f>SUMIFS(tItens[Primeira ocorrência],tItens[Produto],tProdutos[[#This Row],[Produto]])</f>
        <v>16</v>
      </c>
      <c r="N123" s="8">
        <f>SUMIFS(tItens[Valor],tItens[Produto],tProdutos[[#This Row],[Produto]])</f>
        <v>230090</v>
      </c>
      <c r="O123" s="8">
        <f>SUMIFS(tItens[Valor],tItens[Produto],tProdutos[[#This Row],[Produto]],tItens[SRP],"Sim")</f>
        <v>84155</v>
      </c>
      <c r="P123" s="6">
        <f>IF(tProdutos[[#This Row],[Valor janela]]=0,0,tProdutos[[#This Row],[Valor SRP]]/tProdutos[[#This Row],[Valor janela]])</f>
        <v>0.36574818549263333</v>
      </c>
      <c r="Q123" s="8">
        <f>tProdutos[[#This Row],[Valor janela]]*DiasMes/DiasJanela</f>
        <v>766966.66666666663</v>
      </c>
      <c r="R123" s="8">
        <f>tProdutos[[#This Row],[Mercado mês ref]]*(1-IF(tProdutos[[#This Row],[Desconto homologado]]="",DescontoPadrao,tProdutos[[#This Row],[Desconto homologado]]))</f>
        <v>492791.05415415374</v>
      </c>
      <c r="S123" t="str">
        <f>IF(ModoFoco="Lista",IF(tProdutos[[#This Row],[Lista definida]]="Sim","Sim","Não"),IF(AND(tProdutos[[#This Row],[Editais]]&gt;=MinEditais,N(tProdutos[[#This Row],[Margem bruta]])&gt;=MargemMin),"Sim","Não"))</f>
        <v>Não</v>
      </c>
      <c r="T123" s="4" t="str">
        <f>IF(tProdutos[[#This Row],[Elegível]]="Sim",COUNTIFS(tProdutos[Elegível],"Sim",tProdutos[Valor janela],"&gt;"&amp;tProdutos[[#This Row],[Valor janela]])+1,"")</f>
        <v/>
      </c>
      <c r="U123" t="str">
        <f>IF(ModoFoco="Lista",tProdutos[[#This Row],[Elegível]],IF(AND(tProdutos[[#This Row],[Posição]]&lt;&gt;"",N(tProdutos[[#This Row],[Posição]])&lt;=TopN),"Sim","Não"))</f>
        <v>Não</v>
      </c>
    </row>
    <row r="124" spans="1:21" x14ac:dyDescent="0.25">
      <c r="A124">
        <v>123</v>
      </c>
      <c r="B124" t="s">
        <v>305</v>
      </c>
      <c r="C124" t="s">
        <v>185</v>
      </c>
      <c r="D124" s="14">
        <v>48.123762620215778</v>
      </c>
      <c r="E124" s="7">
        <v>0.49491869918699194</v>
      </c>
      <c r="F124" s="7">
        <v>0.328125</v>
      </c>
      <c r="G124" s="15">
        <v>0.6</v>
      </c>
      <c r="H124" s="15">
        <v>0.35</v>
      </c>
      <c r="I124" t="s">
        <v>306</v>
      </c>
      <c r="J124" s="16" t="s">
        <v>66</v>
      </c>
      <c r="K124" s="15"/>
      <c r="L124" s="4">
        <f>COUNTIFS(tItens[Produto],tProdutos[[#This Row],[Produto]])</f>
        <v>0</v>
      </c>
      <c r="M124" s="4">
        <f>SUMIFS(tItens[Primeira ocorrência],tItens[Produto],tProdutos[[#This Row],[Produto]])</f>
        <v>0</v>
      </c>
      <c r="N124" s="8">
        <f>SUMIFS(tItens[Valor],tItens[Produto],tProdutos[[#This Row],[Produto]])</f>
        <v>0</v>
      </c>
      <c r="O124" s="8">
        <f>SUMIFS(tItens[Valor],tItens[Produto],tProdutos[[#This Row],[Produto]],tItens[SRP],"Sim")</f>
        <v>0</v>
      </c>
      <c r="P124" s="6">
        <f>IF(tProdutos[[#This Row],[Valor janela]]=0,0,tProdutos[[#This Row],[Valor SRP]]/tProdutos[[#This Row],[Valor janela]])</f>
        <v>0</v>
      </c>
      <c r="Q124" s="8">
        <f>tProdutos[[#This Row],[Valor janela]]*DiasMes/DiasJanela</f>
        <v>0</v>
      </c>
      <c r="R124" s="8">
        <f>tProdutos[[#This Row],[Mercado mês ref]]*(1-IF(tProdutos[[#This Row],[Desconto homologado]]="",DescontoPadrao,tProdutos[[#This Row],[Desconto homologado]]))</f>
        <v>0</v>
      </c>
      <c r="S124" t="str">
        <f>IF(ModoFoco="Lista",IF(tProdutos[[#This Row],[Lista definida]]="Sim","Sim","Não"),IF(AND(tProdutos[[#This Row],[Editais]]&gt;=MinEditais,N(tProdutos[[#This Row],[Margem bruta]])&gt;=MargemMin),"Sim","Não"))</f>
        <v>Não</v>
      </c>
      <c r="T124" s="4" t="str">
        <f>IF(tProdutos[[#This Row],[Elegível]]="Sim",COUNTIFS(tProdutos[Elegível],"Sim",tProdutos[Valor janela],"&gt;"&amp;tProdutos[[#This Row],[Valor janela]])+1,"")</f>
        <v/>
      </c>
      <c r="U124" t="str">
        <f>IF(ModoFoco="Lista",tProdutos[[#This Row],[Elegível]],IF(AND(tProdutos[[#This Row],[Posição]]&lt;&gt;"",N(tProdutos[[#This Row],[Posição]])&lt;=TopN),"Sim","Não"))</f>
        <v>Não</v>
      </c>
    </row>
    <row r="125" spans="1:21" x14ac:dyDescent="0.25">
      <c r="A125">
        <v>124</v>
      </c>
      <c r="B125" t="s">
        <v>307</v>
      </c>
      <c r="C125" t="s">
        <v>185</v>
      </c>
      <c r="D125" s="14">
        <v>48.035828999999993</v>
      </c>
      <c r="E125" s="7">
        <v>0.44018082422203542</v>
      </c>
      <c r="F125" s="7">
        <v>0.31242158092848199</v>
      </c>
      <c r="G125" s="15">
        <v>4.6399999999999997</v>
      </c>
      <c r="H125" s="15">
        <v>3</v>
      </c>
      <c r="I125" t="s">
        <v>308</v>
      </c>
      <c r="J125" s="16" t="s">
        <v>66</v>
      </c>
      <c r="K125" s="15"/>
      <c r="L125" s="4">
        <f>COUNTIFS(tItens[Produto],tProdutos[[#This Row],[Produto]])</f>
        <v>0</v>
      </c>
      <c r="M125" s="4">
        <f>SUMIFS(tItens[Primeira ocorrência],tItens[Produto],tProdutos[[#This Row],[Produto]])</f>
        <v>0</v>
      </c>
      <c r="N125" s="8">
        <f>SUMIFS(tItens[Valor],tItens[Produto],tProdutos[[#This Row],[Produto]])</f>
        <v>0</v>
      </c>
      <c r="O125" s="8">
        <f>SUMIFS(tItens[Valor],tItens[Produto],tProdutos[[#This Row],[Produto]],tItens[SRP],"Sim")</f>
        <v>0</v>
      </c>
      <c r="P125" s="6">
        <f>IF(tProdutos[[#This Row],[Valor janela]]=0,0,tProdutos[[#This Row],[Valor SRP]]/tProdutos[[#This Row],[Valor janela]])</f>
        <v>0</v>
      </c>
      <c r="Q125" s="8">
        <f>tProdutos[[#This Row],[Valor janela]]*DiasMes/DiasJanela</f>
        <v>0</v>
      </c>
      <c r="R125" s="8">
        <f>tProdutos[[#This Row],[Mercado mês ref]]*(1-IF(tProdutos[[#This Row],[Desconto homologado]]="",DescontoPadrao,tProdutos[[#This Row],[Desconto homologado]]))</f>
        <v>0</v>
      </c>
      <c r="S125" t="str">
        <f>IF(ModoFoco="Lista",IF(tProdutos[[#This Row],[Lista definida]]="Sim","Sim","Não"),IF(AND(tProdutos[[#This Row],[Editais]]&gt;=MinEditais,N(tProdutos[[#This Row],[Margem bruta]])&gt;=MargemMin),"Sim","Não"))</f>
        <v>Não</v>
      </c>
      <c r="T125" s="4" t="str">
        <f>IF(tProdutos[[#This Row],[Elegível]]="Sim",COUNTIFS(tProdutos[Elegível],"Sim",tProdutos[Valor janela],"&gt;"&amp;tProdutos[[#This Row],[Valor janela]])+1,"")</f>
        <v/>
      </c>
      <c r="U125" t="str">
        <f>IF(ModoFoco="Lista",tProdutos[[#This Row],[Elegível]],IF(AND(tProdutos[[#This Row],[Posição]]&lt;&gt;"",N(tProdutos[[#This Row],[Posição]])&lt;=TopN),"Sim","Não"))</f>
        <v>Não</v>
      </c>
    </row>
    <row r="126" spans="1:21" x14ac:dyDescent="0.25">
      <c r="A126">
        <v>125</v>
      </c>
      <c r="B126" t="s">
        <v>309</v>
      </c>
      <c r="C126" t="s">
        <v>78</v>
      </c>
      <c r="D126" s="14">
        <v>47.904435999999997</v>
      </c>
      <c r="E126" s="7">
        <v>0.22660167972447945</v>
      </c>
      <c r="F126" s="7">
        <v>0.329229323455968</v>
      </c>
      <c r="G126" s="15">
        <v>1.0091666666666701</v>
      </c>
      <c r="H126" s="15">
        <v>0.8</v>
      </c>
      <c r="I126" t="s">
        <v>310</v>
      </c>
      <c r="J126" s="16" t="s">
        <v>66</v>
      </c>
      <c r="K126" s="15"/>
      <c r="L126" s="4">
        <f>COUNTIFS(tItens[Produto],tProdutos[[#This Row],[Produto]])</f>
        <v>31</v>
      </c>
      <c r="M126" s="4">
        <f>SUMIFS(tItens[Primeira ocorrência],tItens[Produto],tProdutos[[#This Row],[Produto]])</f>
        <v>11</v>
      </c>
      <c r="N126" s="8">
        <f>SUMIFS(tItens[Valor],tItens[Produto],tProdutos[[#This Row],[Produto]])</f>
        <v>519510.07999999996</v>
      </c>
      <c r="O126" s="8">
        <f>SUMIFS(tItens[Valor],tItens[Produto],tProdutos[[#This Row],[Produto]],tItens[SRP],"Sim")</f>
        <v>476847.57999999996</v>
      </c>
      <c r="P126" s="6">
        <f>IF(tProdutos[[#This Row],[Valor janela]]=0,0,tProdutos[[#This Row],[Valor SRP]]/tProdutos[[#This Row],[Valor janela]])</f>
        <v>0.91787936049287056</v>
      </c>
      <c r="Q126" s="8">
        <f>tProdutos[[#This Row],[Valor janela]]*DiasMes/DiasJanela</f>
        <v>1731700.2666666666</v>
      </c>
      <c r="R126" s="8">
        <f>tProdutos[[#This Row],[Mercado mês ref]]*(1-IF(tProdutos[[#This Row],[Desconto homologado]]="",DescontoPadrao,tProdutos[[#This Row],[Desconto homologado]]))</f>
        <v>1161573.7594434805</v>
      </c>
      <c r="S126" t="str">
        <f>IF(ModoFoco="Lista",IF(tProdutos[[#This Row],[Lista definida]]="Sim","Sim","Não"),IF(AND(tProdutos[[#This Row],[Editais]]&gt;=MinEditais,N(tProdutos[[#This Row],[Margem bruta]])&gt;=MargemMin),"Sim","Não"))</f>
        <v>Não</v>
      </c>
      <c r="T126" s="4" t="str">
        <f>IF(tProdutos[[#This Row],[Elegível]]="Sim",COUNTIFS(tProdutos[Elegível],"Sim",tProdutos[Valor janela],"&gt;"&amp;tProdutos[[#This Row],[Valor janela]])+1,"")</f>
        <v/>
      </c>
      <c r="U126" t="str">
        <f>IF(ModoFoco="Lista",tProdutos[[#This Row],[Elegível]],IF(AND(tProdutos[[#This Row],[Posição]]&lt;&gt;"",N(tProdutos[[#This Row],[Posição]])&lt;=TopN),"Sim","Não"))</f>
        <v>Não</v>
      </c>
    </row>
    <row r="127" spans="1:21" x14ac:dyDescent="0.25">
      <c r="A127">
        <v>126</v>
      </c>
      <c r="B127" t="s">
        <v>311</v>
      </c>
      <c r="C127" t="s">
        <v>185</v>
      </c>
      <c r="D127" s="14">
        <v>47.709122999999991</v>
      </c>
      <c r="E127" s="7">
        <v>0.17059822546898451</v>
      </c>
      <c r="F127" s="7">
        <v>0.29046182846371399</v>
      </c>
      <c r="G127" s="15">
        <v>3.7641</v>
      </c>
      <c r="H127" s="15">
        <v>3.2</v>
      </c>
      <c r="I127" t="s">
        <v>312</v>
      </c>
      <c r="J127" s="16" t="s">
        <v>66</v>
      </c>
      <c r="K127" s="15"/>
      <c r="L127" s="4">
        <f>COUNTIFS(tItens[Produto],tProdutos[[#This Row],[Produto]])</f>
        <v>102</v>
      </c>
      <c r="M127" s="4">
        <f>SUMIFS(tItens[Primeira ocorrência],tItens[Produto],tProdutos[[#This Row],[Produto]])</f>
        <v>55</v>
      </c>
      <c r="N127" s="8">
        <f>SUMIFS(tItens[Valor],tItens[Produto],tProdutos[[#This Row],[Produto]])</f>
        <v>798870.33999999985</v>
      </c>
      <c r="O127" s="8">
        <f>SUMIFS(tItens[Valor],tItens[Produto],tProdutos[[#This Row],[Produto]],tItens[SRP],"Sim")</f>
        <v>641391.11</v>
      </c>
      <c r="P127" s="6">
        <f>IF(tProdutos[[#This Row],[Valor janela]]=0,0,tProdutos[[#This Row],[Valor SRP]]/tProdutos[[#This Row],[Valor janela]])</f>
        <v>0.80287260383205628</v>
      </c>
      <c r="Q127" s="8">
        <f>tProdutos[[#This Row],[Valor janela]]*DiasMes/DiasJanela</f>
        <v>2662901.1333333328</v>
      </c>
      <c r="R127" s="8">
        <f>tProdutos[[#This Row],[Mercado mês ref]]*(1-IF(tProdutos[[#This Row],[Desconto homologado]]="",DescontoPadrao,tProdutos[[#This Row],[Desconto homologado]]))</f>
        <v>1889430.001127237</v>
      </c>
      <c r="S127" t="str">
        <f>IF(ModoFoco="Lista",IF(tProdutos[[#This Row],[Lista definida]]="Sim","Sim","Não"),IF(AND(tProdutos[[#This Row],[Editais]]&gt;=MinEditais,N(tProdutos[[#This Row],[Margem bruta]])&gt;=MargemMin),"Sim","Não"))</f>
        <v>Não</v>
      </c>
      <c r="T127" s="4" t="str">
        <f>IF(tProdutos[[#This Row],[Elegível]]="Sim",COUNTIFS(tProdutos[Elegível],"Sim",tProdutos[Valor janela],"&gt;"&amp;tProdutos[[#This Row],[Valor janela]])+1,"")</f>
        <v/>
      </c>
      <c r="U127" t="str">
        <f>IF(ModoFoco="Lista",tProdutos[[#This Row],[Elegível]],IF(AND(tProdutos[[#This Row],[Posição]]&lt;&gt;"",N(tProdutos[[#This Row],[Posição]])&lt;=TopN),"Sim","Não"))</f>
        <v>Não</v>
      </c>
    </row>
    <row r="128" spans="1:21" x14ac:dyDescent="0.25">
      <c r="A128">
        <v>127</v>
      </c>
      <c r="B128" t="s">
        <v>313</v>
      </c>
      <c r="C128" t="s">
        <v>185</v>
      </c>
      <c r="D128" s="14">
        <v>47.646087000000009</v>
      </c>
      <c r="E128" s="7">
        <v>7.7329247773689214E-2</v>
      </c>
      <c r="F128" s="7">
        <v>0.35766373163696302</v>
      </c>
      <c r="G128" s="15">
        <v>0.17829999999999999</v>
      </c>
      <c r="H128" s="15">
        <v>0.19</v>
      </c>
      <c r="I128" t="s">
        <v>314</v>
      </c>
      <c r="J128" s="16" t="s">
        <v>66</v>
      </c>
      <c r="K128" s="15"/>
      <c r="L128" s="4">
        <f>COUNTIFS(tItens[Produto],tProdutos[[#This Row],[Produto]])</f>
        <v>243</v>
      </c>
      <c r="M128" s="4">
        <f>SUMIFS(tItens[Primeira ocorrência],tItens[Produto],tProdutos[[#This Row],[Produto]])</f>
        <v>81</v>
      </c>
      <c r="N128" s="8">
        <f>SUMIFS(tItens[Valor],tItens[Produto],tProdutos[[#This Row],[Produto]])</f>
        <v>5579889.2499999991</v>
      </c>
      <c r="O128" s="8">
        <f>SUMIFS(tItens[Valor],tItens[Produto],tProdutos[[#This Row],[Produto]],tItens[SRP],"Sim")</f>
        <v>2193871.0100000007</v>
      </c>
      <c r="P128" s="6">
        <f>IF(tProdutos[[#This Row],[Valor janela]]=0,0,tProdutos[[#This Row],[Valor SRP]]/tProdutos[[#This Row],[Valor janela]])</f>
        <v>0.39317465127108053</v>
      </c>
      <c r="Q128" s="8">
        <f>tProdutos[[#This Row],[Valor janela]]*DiasMes/DiasJanela</f>
        <v>18599630.833333332</v>
      </c>
      <c r="R128" s="8">
        <f>tProdutos[[#This Row],[Mercado mês ref]]*(1-IF(tProdutos[[#This Row],[Desconto homologado]]="",DescontoPadrao,tProdutos[[#This Row],[Desconto homologado]]))</f>
        <v>11947217.462413415</v>
      </c>
      <c r="S128" t="str">
        <f>IF(ModoFoco="Lista",IF(tProdutos[[#This Row],[Lista definida]]="Sim","Sim","Não"),IF(AND(tProdutos[[#This Row],[Editais]]&gt;=MinEditais,N(tProdutos[[#This Row],[Margem bruta]])&gt;=MargemMin),"Sim","Não"))</f>
        <v>Não</v>
      </c>
      <c r="T128" s="4" t="str">
        <f>IF(tProdutos[[#This Row],[Elegível]]="Sim",COUNTIFS(tProdutos[Elegível],"Sim",tProdutos[Valor janela],"&gt;"&amp;tProdutos[[#This Row],[Valor janela]])+1,"")</f>
        <v/>
      </c>
      <c r="U128" t="str">
        <f>IF(ModoFoco="Lista",tProdutos[[#This Row],[Elegível]],IF(AND(tProdutos[[#This Row],[Posição]]&lt;&gt;"",N(tProdutos[[#This Row],[Posição]])&lt;=TopN),"Sim","Não"))</f>
        <v>Não</v>
      </c>
    </row>
    <row r="129" spans="1:21" x14ac:dyDescent="0.25">
      <c r="A129">
        <v>128</v>
      </c>
      <c r="B129" t="s">
        <v>315</v>
      </c>
      <c r="C129" t="s">
        <v>185</v>
      </c>
      <c r="D129" s="14">
        <v>47.533673480579438</v>
      </c>
      <c r="E129" s="7">
        <v>1.0452961672474004E-2</v>
      </c>
      <c r="F129" s="7">
        <v>0.38432036097010702</v>
      </c>
      <c r="G129" s="15">
        <v>7.0000000000000007E-2</v>
      </c>
      <c r="H129" s="15">
        <v>0.08</v>
      </c>
      <c r="I129" t="s">
        <v>316</v>
      </c>
      <c r="J129" s="16" t="s">
        <v>66</v>
      </c>
      <c r="K129" s="15"/>
      <c r="L129" s="4">
        <f>COUNTIFS(tItens[Produto],tProdutos[[#This Row],[Produto]])</f>
        <v>328</v>
      </c>
      <c r="M129" s="4">
        <f>SUMIFS(tItens[Primeira ocorrência],tItens[Produto],tProdutos[[#This Row],[Produto]])</f>
        <v>87</v>
      </c>
      <c r="N129" s="8">
        <f>SUMIFS(tItens[Valor],tItens[Produto],tProdutos[[#This Row],[Produto]])</f>
        <v>2833704.09</v>
      </c>
      <c r="O129" s="8">
        <f>SUMIFS(tItens[Valor],tItens[Produto],tProdutos[[#This Row],[Produto]],tItens[SRP],"Sim")</f>
        <v>1605536.3600000003</v>
      </c>
      <c r="P129" s="6">
        <f>IF(tProdutos[[#This Row],[Valor janela]]=0,0,tProdutos[[#This Row],[Valor SRP]]/tProdutos[[#This Row],[Valor janela]])</f>
        <v>0.5665857510196135</v>
      </c>
      <c r="Q129" s="8">
        <f>tProdutos[[#This Row],[Valor janela]]*DiasMes/DiasJanela</f>
        <v>9445680.2999999989</v>
      </c>
      <c r="R129" s="8">
        <f>tProdutos[[#This Row],[Mercado mês ref]]*(1-IF(tProdutos[[#This Row],[Desconto homologado]]="",DescontoPadrao,tProdutos[[#This Row],[Desconto homologado]]))</f>
        <v>5815513.0374957705</v>
      </c>
      <c r="S129" t="str">
        <f>IF(ModoFoco="Lista",IF(tProdutos[[#This Row],[Lista definida]]="Sim","Sim","Não"),IF(AND(tProdutos[[#This Row],[Editais]]&gt;=MinEditais,N(tProdutos[[#This Row],[Margem bruta]])&gt;=MargemMin),"Sim","Não"))</f>
        <v>Não</v>
      </c>
      <c r="T129" s="4" t="str">
        <f>IF(tProdutos[[#This Row],[Elegível]]="Sim",COUNTIFS(tProdutos[Elegível],"Sim",tProdutos[Valor janela],"&gt;"&amp;tProdutos[[#This Row],[Valor janela]])+1,"")</f>
        <v/>
      </c>
      <c r="U129" t="str">
        <f>IF(ModoFoco="Lista",tProdutos[[#This Row],[Elegível]],IF(AND(tProdutos[[#This Row],[Posição]]&lt;&gt;"",N(tProdutos[[#This Row],[Posição]])&lt;=TopN),"Sim","Não"))</f>
        <v>Não</v>
      </c>
    </row>
    <row r="130" spans="1:21" x14ac:dyDescent="0.25">
      <c r="A130">
        <v>129</v>
      </c>
      <c r="B130" t="s">
        <v>317</v>
      </c>
      <c r="C130" t="s">
        <v>185</v>
      </c>
      <c r="D130" s="14">
        <v>47.488616</v>
      </c>
      <c r="E130" s="7">
        <v>0.13414634146341475</v>
      </c>
      <c r="F130" s="7">
        <v>0.5</v>
      </c>
      <c r="G130" s="15">
        <v>0.19</v>
      </c>
      <c r="H130" s="15">
        <v>0.19</v>
      </c>
      <c r="I130" t="s">
        <v>318</v>
      </c>
      <c r="J130" s="16" t="s">
        <v>66</v>
      </c>
      <c r="K130" s="15"/>
      <c r="L130" s="4">
        <f>COUNTIFS(tItens[Produto],tProdutos[[#This Row],[Produto]])</f>
        <v>40</v>
      </c>
      <c r="M130" s="4">
        <f>SUMIFS(tItens[Primeira ocorrência],tItens[Produto],tProdutos[[#This Row],[Produto]])</f>
        <v>25</v>
      </c>
      <c r="N130" s="8">
        <f>SUMIFS(tItens[Valor],tItens[Produto],tProdutos[[#This Row],[Produto]])</f>
        <v>9876744.9000000004</v>
      </c>
      <c r="O130" s="8">
        <f>SUMIFS(tItens[Valor],tItens[Produto],tProdutos[[#This Row],[Produto]],tItens[SRP],"Sim")</f>
        <v>6984107.7000000002</v>
      </c>
      <c r="P130" s="6">
        <f>IF(tProdutos[[#This Row],[Valor janela]]=0,0,tProdutos[[#This Row],[Valor SRP]]/tProdutos[[#This Row],[Valor janela]])</f>
        <v>0.70712646430708159</v>
      </c>
      <c r="Q130" s="8">
        <f>tProdutos[[#This Row],[Valor janela]]*DiasMes/DiasJanela</f>
        <v>32922483</v>
      </c>
      <c r="R130" s="8">
        <f>tProdutos[[#This Row],[Mercado mês ref]]*(1-IF(tProdutos[[#This Row],[Desconto homologado]]="",DescontoPadrao,tProdutos[[#This Row],[Desconto homologado]]))</f>
        <v>16461241.5</v>
      </c>
      <c r="S130" t="str">
        <f>IF(ModoFoco="Lista",IF(tProdutos[[#This Row],[Lista definida]]="Sim","Sim","Não"),IF(AND(tProdutos[[#This Row],[Editais]]&gt;=MinEditais,N(tProdutos[[#This Row],[Margem bruta]])&gt;=MargemMin),"Sim","Não"))</f>
        <v>Não</v>
      </c>
      <c r="T130" s="4" t="str">
        <f>IF(tProdutos[[#This Row],[Elegível]]="Sim",COUNTIFS(tProdutos[Elegível],"Sim",tProdutos[Valor janela],"&gt;"&amp;tProdutos[[#This Row],[Valor janela]])+1,"")</f>
        <v/>
      </c>
      <c r="U130" t="str">
        <f>IF(ModoFoco="Lista",tProdutos[[#This Row],[Elegível]],IF(AND(tProdutos[[#This Row],[Posição]]&lt;&gt;"",N(tProdutos[[#This Row],[Posição]])&lt;=TopN),"Sim","Não"))</f>
        <v>Não</v>
      </c>
    </row>
    <row r="131" spans="1:21" x14ac:dyDescent="0.25">
      <c r="A131">
        <v>130</v>
      </c>
      <c r="B131" t="s">
        <v>319</v>
      </c>
      <c r="C131" t="s">
        <v>185</v>
      </c>
      <c r="D131" s="14">
        <v>47.450596770163912</v>
      </c>
      <c r="E131" s="7">
        <v>0.13414634146341475</v>
      </c>
      <c r="F131" s="7">
        <v>0.210006500066517</v>
      </c>
      <c r="G131" s="15">
        <v>0.08</v>
      </c>
      <c r="H131" s="15">
        <v>0.08</v>
      </c>
      <c r="I131" t="s">
        <v>320</v>
      </c>
      <c r="J131" s="16" t="s">
        <v>66</v>
      </c>
      <c r="K131" s="15"/>
      <c r="L131" s="4">
        <f>COUNTIFS(tItens[Produto],tProdutos[[#This Row],[Produto]])</f>
        <v>7</v>
      </c>
      <c r="M131" s="4">
        <f>SUMIFS(tItens[Primeira ocorrência],tItens[Produto],tProdutos[[#This Row],[Produto]])</f>
        <v>6</v>
      </c>
      <c r="N131" s="8">
        <f>SUMIFS(tItens[Valor],tItens[Produto],tProdutos[[#This Row],[Produto]])</f>
        <v>117325.6</v>
      </c>
      <c r="O131" s="8">
        <f>SUMIFS(tItens[Valor],tItens[Produto],tProdutos[[#This Row],[Produto]],tItens[SRP],"Sim")</f>
        <v>92263.6</v>
      </c>
      <c r="P131" s="6">
        <f>IF(tProdutos[[#This Row],[Valor janela]]=0,0,tProdutos[[#This Row],[Valor SRP]]/tProdutos[[#This Row],[Valor janela]])</f>
        <v>0.78638933020585444</v>
      </c>
      <c r="Q131" s="8">
        <f>tProdutos[[#This Row],[Valor janela]]*DiasMes/DiasJanela</f>
        <v>391085.33333333331</v>
      </c>
      <c r="R131" s="8">
        <f>tProdutos[[#This Row],[Mercado mês ref]]*(1-IF(tProdutos[[#This Row],[Desconto homologado]]="",DescontoPadrao,tProdutos[[#This Row],[Desconto homologado]]))</f>
        <v>308954.87125265284</v>
      </c>
      <c r="S131" t="str">
        <f>IF(ModoFoco="Lista",IF(tProdutos[[#This Row],[Lista definida]]="Sim","Sim","Não"),IF(AND(tProdutos[[#This Row],[Editais]]&gt;=MinEditais,N(tProdutos[[#This Row],[Margem bruta]])&gt;=MargemMin),"Sim","Não"))</f>
        <v>Não</v>
      </c>
      <c r="T131" s="4" t="str">
        <f>IF(tProdutos[[#This Row],[Elegível]]="Sim",COUNTIFS(tProdutos[Elegível],"Sim",tProdutos[Valor janela],"&gt;"&amp;tProdutos[[#This Row],[Valor janela]])+1,"")</f>
        <v/>
      </c>
      <c r="U131" t="str">
        <f>IF(ModoFoco="Lista",tProdutos[[#This Row],[Elegível]],IF(AND(tProdutos[[#This Row],[Posição]]&lt;&gt;"",N(tProdutos[[#This Row],[Posição]])&lt;=TopN),"Sim","Não"))</f>
        <v>Não</v>
      </c>
    </row>
    <row r="132" spans="1:21" x14ac:dyDescent="0.25">
      <c r="A132">
        <v>131</v>
      </c>
      <c r="B132" t="s">
        <v>321</v>
      </c>
      <c r="C132" t="s">
        <v>185</v>
      </c>
      <c r="D132" s="14">
        <v>47.444331000000005</v>
      </c>
      <c r="E132" s="7">
        <v>5.5432372505543448E-2</v>
      </c>
      <c r="F132" s="7">
        <v>0.380257510729614</v>
      </c>
      <c r="G132" s="15">
        <v>1.1000000000000001</v>
      </c>
      <c r="H132" s="15">
        <v>1.2</v>
      </c>
      <c r="I132" t="s">
        <v>322</v>
      </c>
      <c r="J132" s="16" t="s">
        <v>66</v>
      </c>
      <c r="K132" s="15"/>
      <c r="L132" s="4">
        <f>COUNTIFS(tItens[Produto],tProdutos[[#This Row],[Produto]])</f>
        <v>10</v>
      </c>
      <c r="M132" s="4">
        <f>SUMIFS(tItens[Primeira ocorrência],tItens[Produto],tProdutos[[#This Row],[Produto]])</f>
        <v>6</v>
      </c>
      <c r="N132" s="8">
        <f>SUMIFS(tItens[Valor],tItens[Produto],tProdutos[[#This Row],[Produto]])</f>
        <v>36092.9</v>
      </c>
      <c r="O132" s="8">
        <f>SUMIFS(tItens[Valor],tItens[Produto],tProdutos[[#This Row],[Produto]],tItens[SRP],"Sim")</f>
        <v>30229.9</v>
      </c>
      <c r="P132" s="6">
        <f>IF(tProdutos[[#This Row],[Valor janela]]=0,0,tProdutos[[#This Row],[Valor SRP]]/tProdutos[[#This Row],[Valor janela]])</f>
        <v>0.83755807928983261</v>
      </c>
      <c r="Q132" s="8">
        <f>tProdutos[[#This Row],[Valor janela]]*DiasMes/DiasJanela</f>
        <v>120309.66666666667</v>
      </c>
      <c r="R132" s="8">
        <f>tProdutos[[#This Row],[Mercado mês ref]]*(1-IF(tProdutos[[#This Row],[Desconto homologado]]="",DescontoPadrao,tProdutos[[#This Row],[Desconto homologado]]))</f>
        <v>74561.012303290379</v>
      </c>
      <c r="S132" t="str">
        <f>IF(ModoFoco="Lista",IF(tProdutos[[#This Row],[Lista definida]]="Sim","Sim","Não"),IF(AND(tProdutos[[#This Row],[Editais]]&gt;=MinEditais,N(tProdutos[[#This Row],[Margem bruta]])&gt;=MargemMin),"Sim","Não"))</f>
        <v>Não</v>
      </c>
      <c r="T132" s="4" t="str">
        <f>IF(tProdutos[[#This Row],[Elegível]]="Sim",COUNTIFS(tProdutos[Elegível],"Sim",tProdutos[Valor janela],"&gt;"&amp;tProdutos[[#This Row],[Valor janela]])+1,"")</f>
        <v/>
      </c>
      <c r="U132" t="str">
        <f>IF(ModoFoco="Lista",tProdutos[[#This Row],[Elegível]],IF(AND(tProdutos[[#This Row],[Posição]]&lt;&gt;"",N(tProdutos[[#This Row],[Posição]])&lt;=TopN),"Sim","Não"))</f>
        <v>Não</v>
      </c>
    </row>
    <row r="133" spans="1:21" x14ac:dyDescent="0.25">
      <c r="A133">
        <v>132</v>
      </c>
      <c r="B133" t="s">
        <v>323</v>
      </c>
      <c r="C133" t="s">
        <v>185</v>
      </c>
      <c r="D133" s="14">
        <v>46.803382115949454</v>
      </c>
      <c r="E133" s="7">
        <v>0.13279132791327908</v>
      </c>
      <c r="F133" s="7">
        <v>0.42242759676970199</v>
      </c>
      <c r="G133" s="15">
        <v>0.22500000000000001</v>
      </c>
      <c r="H133" s="15">
        <v>0.2</v>
      </c>
      <c r="I133" t="s">
        <v>324</v>
      </c>
      <c r="J133" s="16" t="s">
        <v>66</v>
      </c>
      <c r="K133" s="15"/>
      <c r="L133" s="4">
        <f>COUNTIFS(tItens[Produto],tProdutos[[#This Row],[Produto]])</f>
        <v>11</v>
      </c>
      <c r="M133" s="4">
        <f>SUMIFS(tItens[Primeira ocorrência],tItens[Produto],tProdutos[[#This Row],[Produto]])</f>
        <v>4</v>
      </c>
      <c r="N133" s="8">
        <f>SUMIFS(tItens[Valor],tItens[Produto],tProdutos[[#This Row],[Produto]])</f>
        <v>502871.2</v>
      </c>
      <c r="O133" s="8">
        <f>SUMIFS(tItens[Valor],tItens[Produto],tProdutos[[#This Row],[Produto]],tItens[SRP],"Sim")</f>
        <v>456327</v>
      </c>
      <c r="P133" s="6">
        <f>IF(tProdutos[[#This Row],[Valor janela]]=0,0,tProdutos[[#This Row],[Valor SRP]]/tProdutos[[#This Row],[Valor janela]])</f>
        <v>0.9074430987497395</v>
      </c>
      <c r="Q133" s="8">
        <f>tProdutos[[#This Row],[Valor janela]]*DiasMes/DiasJanela</f>
        <v>1676237.3333333333</v>
      </c>
      <c r="R133" s="8">
        <f>tProdutos[[#This Row],[Mercado mês ref]]*(1-IF(tProdutos[[#This Row],[Desconto homologado]]="",DescontoPadrao,tProdutos[[#This Row],[Desconto homologado]]))</f>
        <v>968148.42499767942</v>
      </c>
      <c r="S133" t="str">
        <f>IF(ModoFoco="Lista",IF(tProdutos[[#This Row],[Lista definida]]="Sim","Sim","Não"),IF(AND(tProdutos[[#This Row],[Editais]]&gt;=MinEditais,N(tProdutos[[#This Row],[Margem bruta]])&gt;=MargemMin),"Sim","Não"))</f>
        <v>Não</v>
      </c>
      <c r="T133" s="4" t="str">
        <f>IF(tProdutos[[#This Row],[Elegível]]="Sim",COUNTIFS(tProdutos[Elegível],"Sim",tProdutos[Valor janela],"&gt;"&amp;tProdutos[[#This Row],[Valor janela]])+1,"")</f>
        <v/>
      </c>
      <c r="U133" t="str">
        <f>IF(ModoFoco="Lista",tProdutos[[#This Row],[Elegível]],IF(AND(tProdutos[[#This Row],[Posição]]&lt;&gt;"",N(tProdutos[[#This Row],[Posição]])&lt;=TopN),"Sim","Não"))</f>
        <v>Não</v>
      </c>
    </row>
    <row r="134" spans="1:21" x14ac:dyDescent="0.25">
      <c r="A134">
        <v>133</v>
      </c>
      <c r="B134" t="s">
        <v>325</v>
      </c>
      <c r="C134" t="s">
        <v>185</v>
      </c>
      <c r="D134" s="14">
        <v>46.592570345702114</v>
      </c>
      <c r="E134" s="7">
        <v>0.29157427937915747</v>
      </c>
      <c r="F134" s="7">
        <v>0.35562332485672099</v>
      </c>
      <c r="G134" s="15">
        <v>0.22</v>
      </c>
      <c r="H134" s="15">
        <v>0.18</v>
      </c>
      <c r="I134" t="s">
        <v>326</v>
      </c>
      <c r="J134" s="16" t="s">
        <v>66</v>
      </c>
      <c r="K134" s="15"/>
      <c r="L134" s="4">
        <f>COUNTIFS(tItens[Produto],tProdutos[[#This Row],[Produto]])</f>
        <v>21</v>
      </c>
      <c r="M134" s="4">
        <f>SUMIFS(tItens[Primeira ocorrência],tItens[Produto],tProdutos[[#This Row],[Produto]])</f>
        <v>3</v>
      </c>
      <c r="N134" s="8">
        <f>SUMIFS(tItens[Valor],tItens[Produto],tProdutos[[#This Row],[Produto]])</f>
        <v>156956.5</v>
      </c>
      <c r="O134" s="8">
        <f>SUMIFS(tItens[Valor],tItens[Produto],tProdutos[[#This Row],[Produto]],tItens[SRP],"Sim")</f>
        <v>156956.5</v>
      </c>
      <c r="P134" s="6">
        <f>IF(tProdutos[[#This Row],[Valor janela]]=0,0,tProdutos[[#This Row],[Valor SRP]]/tProdutos[[#This Row],[Valor janela]])</f>
        <v>1</v>
      </c>
      <c r="Q134" s="8">
        <f>tProdutos[[#This Row],[Valor janela]]*DiasMes/DiasJanela</f>
        <v>523188.33333333331</v>
      </c>
      <c r="R134" s="8">
        <f>tProdutos[[#This Row],[Mercado mês ref]]*(1-IF(tProdutos[[#This Row],[Desconto homologado]]="",DescontoPadrao,tProdutos[[#This Row],[Desconto homologado]]))</f>
        <v>337130.35870708688</v>
      </c>
      <c r="S134" t="str">
        <f>IF(ModoFoco="Lista",IF(tProdutos[[#This Row],[Lista definida]]="Sim","Sim","Não"),IF(AND(tProdutos[[#This Row],[Editais]]&gt;=MinEditais,N(tProdutos[[#This Row],[Margem bruta]])&gt;=MargemMin),"Sim","Não"))</f>
        <v>Não</v>
      </c>
      <c r="T134" s="4" t="str">
        <f>IF(tProdutos[[#This Row],[Elegível]]="Sim",COUNTIFS(tProdutos[Elegível],"Sim",tProdutos[Valor janela],"&gt;"&amp;tProdutos[[#This Row],[Valor janela]])+1,"")</f>
        <v/>
      </c>
      <c r="U134" t="str">
        <f>IF(ModoFoco="Lista",tProdutos[[#This Row],[Elegível]],IF(AND(tProdutos[[#This Row],[Posição]]&lt;&gt;"",N(tProdutos[[#This Row],[Posição]])&lt;=TopN),"Sim","Não"))</f>
        <v>Não</v>
      </c>
    </row>
    <row r="135" spans="1:21" x14ac:dyDescent="0.25">
      <c r="A135">
        <v>134</v>
      </c>
      <c r="B135" t="s">
        <v>327</v>
      </c>
      <c r="C135" t="s">
        <v>185</v>
      </c>
      <c r="D135" s="14">
        <v>46.436886165302383</v>
      </c>
      <c r="E135" s="7">
        <v>0.27193301783764101</v>
      </c>
      <c r="F135" s="7">
        <v>0.49969483918783197</v>
      </c>
      <c r="G135" s="15">
        <v>6.7000000000000004E-2</v>
      </c>
      <c r="H135" s="15">
        <v>0.05</v>
      </c>
      <c r="I135" t="s">
        <v>328</v>
      </c>
      <c r="J135" s="16" t="s">
        <v>66</v>
      </c>
      <c r="K135" s="15"/>
      <c r="L135" s="4">
        <f>COUNTIFS(tItens[Produto],tProdutos[[#This Row],[Produto]])</f>
        <v>19</v>
      </c>
      <c r="M135" s="4">
        <f>SUMIFS(tItens[Primeira ocorrência],tItens[Produto],tProdutos[[#This Row],[Produto]])</f>
        <v>18</v>
      </c>
      <c r="N135" s="8">
        <f>SUMIFS(tItens[Valor],tItens[Produto],tProdutos[[#This Row],[Produto]])</f>
        <v>78197.59</v>
      </c>
      <c r="O135" s="8">
        <f>SUMIFS(tItens[Valor],tItens[Produto],tProdutos[[#This Row],[Produto]],tItens[SRP],"Sim")</f>
        <v>24147.58</v>
      </c>
      <c r="P135" s="6">
        <f>IF(tProdutos[[#This Row],[Valor janela]]=0,0,tProdutos[[#This Row],[Valor SRP]]/tProdutos[[#This Row],[Valor janela]])</f>
        <v>0.30880209991126328</v>
      </c>
      <c r="Q135" s="8">
        <f>tProdutos[[#This Row],[Valor janela]]*DiasMes/DiasJanela</f>
        <v>260658.6333333333</v>
      </c>
      <c r="R135" s="8">
        <f>tProdutos[[#This Row],[Mercado mês ref]]*(1-IF(tProdutos[[#This Row],[Desconto homologado]]="",DescontoPadrao,tProdutos[[#This Row],[Desconto homologado]]))</f>
        <v>130408.85946691326</v>
      </c>
      <c r="S135" t="str">
        <f>IF(ModoFoco="Lista",IF(tProdutos[[#This Row],[Lista definida]]="Sim","Sim","Não"),IF(AND(tProdutos[[#This Row],[Editais]]&gt;=MinEditais,N(tProdutos[[#This Row],[Margem bruta]])&gt;=MargemMin),"Sim","Não"))</f>
        <v>Não</v>
      </c>
      <c r="T135" s="4" t="str">
        <f>IF(tProdutos[[#This Row],[Elegível]]="Sim",COUNTIFS(tProdutos[Elegível],"Sim",tProdutos[Valor janela],"&gt;"&amp;tProdutos[[#This Row],[Valor janela]])+1,"")</f>
        <v/>
      </c>
      <c r="U135" t="str">
        <f>IF(ModoFoco="Lista",tProdutos[[#This Row],[Elegível]],IF(AND(tProdutos[[#This Row],[Posição]]&lt;&gt;"",N(tProdutos[[#This Row],[Posição]])&lt;=TopN),"Sim","Não"))</f>
        <v>Não</v>
      </c>
    </row>
    <row r="136" spans="1:21" x14ac:dyDescent="0.25">
      <c r="A136">
        <v>135</v>
      </c>
      <c r="B136" t="s">
        <v>329</v>
      </c>
      <c r="C136" t="s">
        <v>185</v>
      </c>
      <c r="D136" s="14">
        <v>46.246936608209843</v>
      </c>
      <c r="E136" s="7">
        <v>0.10868005738880948</v>
      </c>
      <c r="F136" s="7">
        <v>0.46441781031074703</v>
      </c>
      <c r="G136" s="15">
        <v>0.68</v>
      </c>
      <c r="H136" s="15">
        <v>0.7</v>
      </c>
      <c r="I136" t="s">
        <v>330</v>
      </c>
      <c r="J136" s="16" t="s">
        <v>66</v>
      </c>
      <c r="K136" s="15"/>
      <c r="L136" s="4">
        <f>COUNTIFS(tItens[Produto],tProdutos[[#This Row],[Produto]])</f>
        <v>14</v>
      </c>
      <c r="M136" s="4">
        <f>SUMIFS(tItens[Primeira ocorrência],tItens[Produto],tProdutos[[#This Row],[Produto]])</f>
        <v>13</v>
      </c>
      <c r="N136" s="8">
        <f>SUMIFS(tItens[Valor],tItens[Produto],tProdutos[[#This Row],[Produto]])</f>
        <v>75514.78</v>
      </c>
      <c r="O136" s="8">
        <f>SUMIFS(tItens[Valor],tItens[Produto],tProdutos[[#This Row],[Produto]],tItens[SRP],"Sim")</f>
        <v>63475.78</v>
      </c>
      <c r="P136" s="6">
        <f>IF(tProdutos[[#This Row],[Valor janela]]=0,0,tProdutos[[#This Row],[Valor SRP]]/tProdutos[[#This Row],[Valor janela]])</f>
        <v>0.84057425579469347</v>
      </c>
      <c r="Q136" s="8">
        <f>tProdutos[[#This Row],[Valor janela]]*DiasMes/DiasJanela</f>
        <v>251715.93333333335</v>
      </c>
      <c r="R136" s="8">
        <f>tProdutos[[#This Row],[Mercado mês ref]]*(1-IF(tProdutos[[#This Row],[Desconto homologado]]="",DescontoPadrao,tProdutos[[#This Row],[Desconto homologado]]))</f>
        <v>134814.5707543407</v>
      </c>
      <c r="S136" t="str">
        <f>IF(ModoFoco="Lista",IF(tProdutos[[#This Row],[Lista definida]]="Sim","Sim","Não"),IF(AND(tProdutos[[#This Row],[Editais]]&gt;=MinEditais,N(tProdutos[[#This Row],[Margem bruta]])&gt;=MargemMin),"Sim","Não"))</f>
        <v>Não</v>
      </c>
      <c r="T136" s="4" t="str">
        <f>IF(tProdutos[[#This Row],[Elegível]]="Sim",COUNTIFS(tProdutos[Elegível],"Sim",tProdutos[Valor janela],"&gt;"&amp;tProdutos[[#This Row],[Valor janela]])+1,"")</f>
        <v/>
      </c>
      <c r="U136" t="str">
        <f>IF(ModoFoco="Lista",tProdutos[[#This Row],[Elegível]],IF(AND(tProdutos[[#This Row],[Posição]]&lt;&gt;"",N(tProdutos[[#This Row],[Posição]])&lt;=TopN),"Sim","Não"))</f>
        <v>Não</v>
      </c>
    </row>
    <row r="137" spans="1:21" x14ac:dyDescent="0.25">
      <c r="A137">
        <v>136</v>
      </c>
      <c r="B137" t="s">
        <v>331</v>
      </c>
      <c r="C137" t="s">
        <v>185</v>
      </c>
      <c r="D137" s="14">
        <v>46.190818999999991</v>
      </c>
      <c r="E137" s="7">
        <v>0.25403377110694192</v>
      </c>
      <c r="F137" s="7">
        <v>0.45927812223206399</v>
      </c>
      <c r="G137" s="15">
        <v>0.8125</v>
      </c>
      <c r="H137" s="15">
        <v>0.7</v>
      </c>
      <c r="I137" t="s">
        <v>332</v>
      </c>
      <c r="J137" s="16" t="s">
        <v>66</v>
      </c>
      <c r="K137" s="15"/>
      <c r="L137" s="4">
        <f>COUNTIFS(tItens[Produto],tProdutos[[#This Row],[Produto]])</f>
        <v>17</v>
      </c>
      <c r="M137" s="4">
        <f>SUMIFS(tItens[Primeira ocorrência],tItens[Produto],tProdutos[[#This Row],[Produto]])</f>
        <v>12</v>
      </c>
      <c r="N137" s="8">
        <f>SUMIFS(tItens[Valor],tItens[Produto],tProdutos[[#This Row],[Produto]])</f>
        <v>260114.5</v>
      </c>
      <c r="O137" s="8">
        <f>SUMIFS(tItens[Valor],tItens[Produto],tProdutos[[#This Row],[Produto]],tItens[SRP],"Sim")</f>
        <v>212701.5</v>
      </c>
      <c r="P137" s="6">
        <f>IF(tProdutos[[#This Row],[Valor janela]]=0,0,tProdutos[[#This Row],[Valor SRP]]/tProdutos[[#This Row],[Valor janela]])</f>
        <v>0.81772257986386765</v>
      </c>
      <c r="Q137" s="8">
        <f>tProdutos[[#This Row],[Valor janela]]*DiasMes/DiasJanela</f>
        <v>867048.33333333337</v>
      </c>
      <c r="R137" s="8">
        <f>tProdutos[[#This Row],[Mercado mês ref]]*(1-IF(tProdutos[[#This Row],[Desconto homologado]]="",DescontoPadrao,tProdutos[[#This Row],[Desconto homologado]]))</f>
        <v>468832.00291555934</v>
      </c>
      <c r="S137" t="str">
        <f>IF(ModoFoco="Lista",IF(tProdutos[[#This Row],[Lista definida]]="Sim","Sim","Não"),IF(AND(tProdutos[[#This Row],[Editais]]&gt;=MinEditais,N(tProdutos[[#This Row],[Margem bruta]])&gt;=MargemMin),"Sim","Não"))</f>
        <v>Não</v>
      </c>
      <c r="T137" s="4" t="str">
        <f>IF(tProdutos[[#This Row],[Elegível]]="Sim",COUNTIFS(tProdutos[Elegível],"Sim",tProdutos[Valor janela],"&gt;"&amp;tProdutos[[#This Row],[Valor janela]])+1,"")</f>
        <v/>
      </c>
      <c r="U137" t="str">
        <f>IF(ModoFoco="Lista",tProdutos[[#This Row],[Elegível]],IF(AND(tProdutos[[#This Row],[Posição]]&lt;&gt;"",N(tProdutos[[#This Row],[Posição]])&lt;=TopN),"Sim","Não"))</f>
        <v>Não</v>
      </c>
    </row>
    <row r="138" spans="1:21" x14ac:dyDescent="0.25">
      <c r="A138">
        <v>137</v>
      </c>
      <c r="B138" t="s">
        <v>333</v>
      </c>
      <c r="C138" t="s">
        <v>185</v>
      </c>
      <c r="D138" s="14">
        <v>46.068945999999997</v>
      </c>
      <c r="E138" s="7">
        <v>0.23190401258851312</v>
      </c>
      <c r="F138" s="7">
        <v>0.48951048951048998</v>
      </c>
      <c r="G138" s="15">
        <v>0.62</v>
      </c>
      <c r="H138" s="15">
        <v>0.55000000000000004</v>
      </c>
      <c r="I138" t="s">
        <v>334</v>
      </c>
      <c r="J138" s="16" t="s">
        <v>66</v>
      </c>
      <c r="K138" s="15"/>
      <c r="L138" s="4">
        <f>COUNTIFS(tItens[Produto],tProdutos[[#This Row],[Produto]])</f>
        <v>77</v>
      </c>
      <c r="M138" s="4">
        <f>SUMIFS(tItens[Primeira ocorrência],tItens[Produto],tProdutos[[#This Row],[Produto]])</f>
        <v>57</v>
      </c>
      <c r="N138" s="8">
        <f>SUMIFS(tItens[Valor],tItens[Produto],tProdutos[[#This Row],[Produto]])</f>
        <v>6094766.9699999988</v>
      </c>
      <c r="O138" s="8">
        <f>SUMIFS(tItens[Valor],tItens[Produto],tProdutos[[#This Row],[Produto]],tItens[SRP],"Sim")</f>
        <v>3898873.41</v>
      </c>
      <c r="P138" s="6">
        <f>IF(tProdutos[[#This Row],[Valor janela]]=0,0,tProdutos[[#This Row],[Valor SRP]]/tProdutos[[#This Row],[Valor janela]])</f>
        <v>0.63970836443645041</v>
      </c>
      <c r="Q138" s="8">
        <f>tProdutos[[#This Row],[Valor janela]]*DiasMes/DiasJanela</f>
        <v>20315889.899999995</v>
      </c>
      <c r="R138" s="8">
        <f>tProdutos[[#This Row],[Mercado mês ref]]*(1-IF(tProdutos[[#This Row],[Desconto homologado]]="",DescontoPadrao,tProdutos[[#This Row],[Desconto homologado]]))</f>
        <v>10371048.690209776</v>
      </c>
      <c r="S138" t="str">
        <f>IF(ModoFoco="Lista",IF(tProdutos[[#This Row],[Lista definida]]="Sim","Sim","Não"),IF(AND(tProdutos[[#This Row],[Editais]]&gt;=MinEditais,N(tProdutos[[#This Row],[Margem bruta]])&gt;=MargemMin),"Sim","Não"))</f>
        <v>Não</v>
      </c>
      <c r="T138" s="4" t="str">
        <f>IF(tProdutos[[#This Row],[Elegível]]="Sim",COUNTIFS(tProdutos[Elegível],"Sim",tProdutos[Valor janela],"&gt;"&amp;tProdutos[[#This Row],[Valor janela]])+1,"")</f>
        <v/>
      </c>
      <c r="U138" t="str">
        <f>IF(ModoFoco="Lista",tProdutos[[#This Row],[Elegível]],IF(AND(tProdutos[[#This Row],[Posição]]&lt;&gt;"",N(tProdutos[[#This Row],[Posição]])&lt;=TopN),"Sim","Não"))</f>
        <v>Não</v>
      </c>
    </row>
    <row r="139" spans="1:21" x14ac:dyDescent="0.25">
      <c r="A139">
        <v>138</v>
      </c>
      <c r="B139" t="s">
        <v>335</v>
      </c>
      <c r="C139" t="s">
        <v>185</v>
      </c>
      <c r="D139" s="14">
        <v>46.042188279461136</v>
      </c>
      <c r="E139" s="7">
        <v>6.7542213883677427E-2</v>
      </c>
      <c r="F139" s="7">
        <v>0.419047619047619</v>
      </c>
      <c r="G139" s="15">
        <v>0.65</v>
      </c>
      <c r="H139" s="15">
        <v>0.7</v>
      </c>
      <c r="I139" t="s">
        <v>336</v>
      </c>
      <c r="J139" s="16" t="s">
        <v>66</v>
      </c>
      <c r="K139" s="15"/>
      <c r="L139" s="4">
        <f>COUNTIFS(tItens[Produto],tProdutos[[#This Row],[Produto]])</f>
        <v>12</v>
      </c>
      <c r="M139" s="4">
        <f>SUMIFS(tItens[Primeira ocorrência],tItens[Produto],tProdutos[[#This Row],[Produto]])</f>
        <v>11</v>
      </c>
      <c r="N139" s="8">
        <f>SUMIFS(tItens[Valor],tItens[Produto],tProdutos[[#This Row],[Produto]])</f>
        <v>61810.9</v>
      </c>
      <c r="O139" s="8">
        <f>SUMIFS(tItens[Valor],tItens[Produto],tProdutos[[#This Row],[Produto]],tItens[SRP],"Sim")</f>
        <v>53910</v>
      </c>
      <c r="P139" s="6">
        <f>IF(tProdutos[[#This Row],[Valor janela]]=0,0,tProdutos[[#This Row],[Valor SRP]]/tProdutos[[#This Row],[Valor janela]])</f>
        <v>0.87217626664552694</v>
      </c>
      <c r="Q139" s="8">
        <f>tProdutos[[#This Row],[Valor janela]]*DiasMes/DiasJanela</f>
        <v>206036.33333333334</v>
      </c>
      <c r="R139" s="8">
        <f>tProdutos[[#This Row],[Mercado mês ref]]*(1-IF(tProdutos[[#This Row],[Desconto homologado]]="",DescontoPadrao,tProdutos[[#This Row],[Desconto homologado]]))</f>
        <v>119697.29841269842</v>
      </c>
      <c r="S139" t="str">
        <f>IF(ModoFoco="Lista",IF(tProdutos[[#This Row],[Lista definida]]="Sim","Sim","Não"),IF(AND(tProdutos[[#This Row],[Editais]]&gt;=MinEditais,N(tProdutos[[#This Row],[Margem bruta]])&gt;=MargemMin),"Sim","Não"))</f>
        <v>Não</v>
      </c>
      <c r="T139" s="4" t="str">
        <f>IF(tProdutos[[#This Row],[Elegível]]="Sim",COUNTIFS(tProdutos[Elegível],"Sim",tProdutos[Valor janela],"&gt;"&amp;tProdutos[[#This Row],[Valor janela]])+1,"")</f>
        <v/>
      </c>
      <c r="U139" t="str">
        <f>IF(ModoFoco="Lista",tProdutos[[#This Row],[Elegível]],IF(AND(tProdutos[[#This Row],[Posição]]&lt;&gt;"",N(tProdutos[[#This Row],[Posição]])&lt;=TopN),"Sim","Não"))</f>
        <v>Não</v>
      </c>
    </row>
    <row r="140" spans="1:21" x14ac:dyDescent="0.25">
      <c r="A140">
        <v>139</v>
      </c>
      <c r="B140" t="s">
        <v>337</v>
      </c>
      <c r="C140" t="s">
        <v>185</v>
      </c>
      <c r="D140" s="14">
        <v>45.810679998855385</v>
      </c>
      <c r="E140" s="7">
        <v>0.31968641114982566</v>
      </c>
      <c r="F140" s="7">
        <v>5.4990549905499002E-2</v>
      </c>
      <c r="G140" s="15">
        <v>2.8</v>
      </c>
      <c r="H140" s="15">
        <v>2.2000000000000002</v>
      </c>
      <c r="I140" t="s">
        <v>338</v>
      </c>
      <c r="J140" s="16" t="s">
        <v>66</v>
      </c>
      <c r="K140" s="15"/>
      <c r="L140" s="4">
        <f>COUNTIFS(tItens[Produto],tProdutos[[#This Row],[Produto]])</f>
        <v>0</v>
      </c>
      <c r="M140" s="4">
        <f>SUMIFS(tItens[Primeira ocorrência],tItens[Produto],tProdutos[[#This Row],[Produto]])</f>
        <v>0</v>
      </c>
      <c r="N140" s="8">
        <f>SUMIFS(tItens[Valor],tItens[Produto],tProdutos[[#This Row],[Produto]])</f>
        <v>0</v>
      </c>
      <c r="O140" s="8">
        <f>SUMIFS(tItens[Valor],tItens[Produto],tProdutos[[#This Row],[Produto]],tItens[SRP],"Sim")</f>
        <v>0</v>
      </c>
      <c r="P140" s="6">
        <f>IF(tProdutos[[#This Row],[Valor janela]]=0,0,tProdutos[[#This Row],[Valor SRP]]/tProdutos[[#This Row],[Valor janela]])</f>
        <v>0</v>
      </c>
      <c r="Q140" s="8">
        <f>tProdutos[[#This Row],[Valor janela]]*DiasMes/DiasJanela</f>
        <v>0</v>
      </c>
      <c r="R140" s="8">
        <f>tProdutos[[#This Row],[Mercado mês ref]]*(1-IF(tProdutos[[#This Row],[Desconto homologado]]="",DescontoPadrao,tProdutos[[#This Row],[Desconto homologado]]))</f>
        <v>0</v>
      </c>
      <c r="S140" t="str">
        <f>IF(ModoFoco="Lista",IF(tProdutos[[#This Row],[Lista definida]]="Sim","Sim","Não"),IF(AND(tProdutos[[#This Row],[Editais]]&gt;=MinEditais,N(tProdutos[[#This Row],[Margem bruta]])&gt;=MargemMin),"Sim","Não"))</f>
        <v>Não</v>
      </c>
      <c r="T140" s="4" t="str">
        <f>IF(tProdutos[[#This Row],[Elegível]]="Sim",COUNTIFS(tProdutos[Elegível],"Sim",tProdutos[Valor janela],"&gt;"&amp;tProdutos[[#This Row],[Valor janela]])+1,"")</f>
        <v/>
      </c>
      <c r="U140" t="str">
        <f>IF(ModoFoco="Lista",tProdutos[[#This Row],[Elegível]],IF(AND(tProdutos[[#This Row],[Posição]]&lt;&gt;"",N(tProdutos[[#This Row],[Posição]])&lt;=TopN),"Sim","Não"))</f>
        <v>Não</v>
      </c>
    </row>
    <row r="141" spans="1:21" x14ac:dyDescent="0.25">
      <c r="A141">
        <v>140</v>
      </c>
      <c r="B141" t="s">
        <v>339</v>
      </c>
      <c r="C141" t="s">
        <v>185</v>
      </c>
      <c r="D141" s="14">
        <v>45.738058000000009</v>
      </c>
      <c r="E141" s="7">
        <v>0.14146341463414636</v>
      </c>
      <c r="F141" s="7">
        <v>0.35388629091804102</v>
      </c>
      <c r="G141" s="15">
        <v>0.625</v>
      </c>
      <c r="H141" s="15">
        <v>0.55000000000000004</v>
      </c>
      <c r="I141" t="s">
        <v>340</v>
      </c>
      <c r="J141" s="16" t="s">
        <v>66</v>
      </c>
      <c r="K141" s="15"/>
      <c r="L141" s="4">
        <f>COUNTIFS(tItens[Produto],tProdutos[[#This Row],[Produto]])</f>
        <v>170</v>
      </c>
      <c r="M141" s="4">
        <f>SUMIFS(tItens[Primeira ocorrência],tItens[Produto],tProdutos[[#This Row],[Produto]])</f>
        <v>53</v>
      </c>
      <c r="N141" s="8">
        <f>SUMIFS(tItens[Valor],tItens[Produto],tProdutos[[#This Row],[Produto]])</f>
        <v>5967727.4600000018</v>
      </c>
      <c r="O141" s="8">
        <f>SUMIFS(tItens[Valor],tItens[Produto],tProdutos[[#This Row],[Produto]],tItens[SRP],"Sim")</f>
        <v>4620722.9600000009</v>
      </c>
      <c r="P141" s="6">
        <f>IF(tProdutos[[#This Row],[Valor janela]]=0,0,tProdutos[[#This Row],[Valor SRP]]/tProdutos[[#This Row],[Valor janela]])</f>
        <v>0.77428518493369658</v>
      </c>
      <c r="Q141" s="8">
        <f>tProdutos[[#This Row],[Valor janela]]*DiasMes/DiasJanela</f>
        <v>19892424.866666671</v>
      </c>
      <c r="R141" s="8">
        <f>tProdutos[[#This Row],[Mercado mês ref]]*(1-IF(tProdutos[[#This Row],[Desconto homologado]]="",DescontoPadrao,tProdutos[[#This Row],[Desconto homologado]]))</f>
        <v>12852768.413236195</v>
      </c>
      <c r="S141" t="str">
        <f>IF(ModoFoco="Lista",IF(tProdutos[[#This Row],[Lista definida]]="Sim","Sim","Não"),IF(AND(tProdutos[[#This Row],[Editais]]&gt;=MinEditais,N(tProdutos[[#This Row],[Margem bruta]])&gt;=MargemMin),"Sim","Não"))</f>
        <v>Não</v>
      </c>
      <c r="T141" s="4" t="str">
        <f>IF(tProdutos[[#This Row],[Elegível]]="Sim",COUNTIFS(tProdutos[Elegível],"Sim",tProdutos[Valor janela],"&gt;"&amp;tProdutos[[#This Row],[Valor janela]])+1,"")</f>
        <v/>
      </c>
      <c r="U141" t="str">
        <f>IF(ModoFoco="Lista",tProdutos[[#This Row],[Elegível]],IF(AND(tProdutos[[#This Row],[Posição]]&lt;&gt;"",N(tProdutos[[#This Row],[Posição]])&lt;=TopN),"Sim","Não"))</f>
        <v>Não</v>
      </c>
    </row>
    <row r="142" spans="1:21" x14ac:dyDescent="0.25">
      <c r="A142">
        <v>141</v>
      </c>
      <c r="B142" t="s">
        <v>341</v>
      </c>
      <c r="C142" t="s">
        <v>185</v>
      </c>
      <c r="D142" s="14">
        <v>45.522787000000008</v>
      </c>
      <c r="E142" s="7">
        <v>0.14634146341463417</v>
      </c>
      <c r="F142" s="7">
        <v>0.46918578497525898</v>
      </c>
      <c r="G142" s="15">
        <v>16</v>
      </c>
      <c r="H142" s="15">
        <v>14</v>
      </c>
      <c r="I142" t="s">
        <v>342</v>
      </c>
      <c r="J142" s="16" t="s">
        <v>66</v>
      </c>
      <c r="K142" s="15"/>
      <c r="L142" s="4">
        <f>COUNTIFS(tItens[Produto],tProdutos[[#This Row],[Produto]])</f>
        <v>45</v>
      </c>
      <c r="M142" s="4">
        <f>SUMIFS(tItens[Primeira ocorrência],tItens[Produto],tProdutos[[#This Row],[Produto]])</f>
        <v>39</v>
      </c>
      <c r="N142" s="8">
        <f>SUMIFS(tItens[Valor],tItens[Produto],tProdutos[[#This Row],[Produto]])</f>
        <v>7406905.6000000006</v>
      </c>
      <c r="O142" s="8">
        <f>SUMIFS(tItens[Valor],tItens[Produto],tProdutos[[#This Row],[Produto]],tItens[SRP],"Sim")</f>
        <v>5992842.4000000004</v>
      </c>
      <c r="P142" s="6">
        <f>IF(tProdutos[[#This Row],[Valor janela]]=0,0,tProdutos[[#This Row],[Valor SRP]]/tProdutos[[#This Row],[Valor janela]])</f>
        <v>0.8090885348937078</v>
      </c>
      <c r="Q142" s="8">
        <f>tProdutos[[#This Row],[Valor janela]]*DiasMes/DiasJanela</f>
        <v>24689685.333333332</v>
      </c>
      <c r="R142" s="8">
        <f>tProdutos[[#This Row],[Mercado mês ref]]*(1-IF(tProdutos[[#This Row],[Desconto homologado]]="",DescontoPadrao,tProdutos[[#This Row],[Desconto homologado]]))</f>
        <v>13105635.939421194</v>
      </c>
      <c r="S142" t="str">
        <f>IF(ModoFoco="Lista",IF(tProdutos[[#This Row],[Lista definida]]="Sim","Sim","Não"),IF(AND(tProdutos[[#This Row],[Editais]]&gt;=MinEditais,N(tProdutos[[#This Row],[Margem bruta]])&gt;=MargemMin),"Sim","Não"))</f>
        <v>Não</v>
      </c>
      <c r="T142" s="4" t="str">
        <f>IF(tProdutos[[#This Row],[Elegível]]="Sim",COUNTIFS(tProdutos[Elegível],"Sim",tProdutos[Valor janela],"&gt;"&amp;tProdutos[[#This Row],[Valor janela]])+1,"")</f>
        <v/>
      </c>
      <c r="U142" t="str">
        <f>IF(ModoFoco="Lista",tProdutos[[#This Row],[Elegível]],IF(AND(tProdutos[[#This Row],[Posição]]&lt;&gt;"",N(tProdutos[[#This Row],[Posição]])&lt;=TopN),"Sim","Não"))</f>
        <v>Não</v>
      </c>
    </row>
    <row r="143" spans="1:21" x14ac:dyDescent="0.25">
      <c r="A143">
        <v>142</v>
      </c>
      <c r="B143" t="s">
        <v>343</v>
      </c>
      <c r="C143" t="s">
        <v>185</v>
      </c>
      <c r="D143" s="14">
        <v>45.293286999999999</v>
      </c>
      <c r="E143" s="7">
        <v>0.10987007066332356</v>
      </c>
      <c r="F143" s="7">
        <v>0.35412234042553198</v>
      </c>
      <c r="G143" s="15">
        <v>1.07</v>
      </c>
      <c r="H143" s="15">
        <v>1.1000000000000001</v>
      </c>
      <c r="I143" t="s">
        <v>344</v>
      </c>
      <c r="J143" s="16" t="s">
        <v>66</v>
      </c>
      <c r="K143" s="15"/>
      <c r="L143" s="4">
        <f>COUNTIFS(tItens[Produto],tProdutos[[#This Row],[Produto]])</f>
        <v>227</v>
      </c>
      <c r="M143" s="4">
        <f>SUMIFS(tItens[Primeira ocorrência],tItens[Produto],tProdutos[[#This Row],[Produto]])</f>
        <v>65</v>
      </c>
      <c r="N143" s="8">
        <f>SUMIFS(tItens[Valor],tItens[Produto],tProdutos[[#This Row],[Produto]])</f>
        <v>1595704.68</v>
      </c>
      <c r="O143" s="8">
        <f>SUMIFS(tItens[Valor],tItens[Produto],tProdutos[[#This Row],[Produto]],tItens[SRP],"Sim")</f>
        <v>1142576.3999999999</v>
      </c>
      <c r="P143" s="6">
        <f>IF(tProdutos[[#This Row],[Valor janela]]=0,0,tProdutos[[#This Row],[Valor SRP]]/tProdutos[[#This Row],[Valor janela]])</f>
        <v>0.71603249292970672</v>
      </c>
      <c r="Q143" s="8">
        <f>tProdutos[[#This Row],[Valor janela]]*DiasMes/DiasJanela</f>
        <v>5319015.5999999996</v>
      </c>
      <c r="R143" s="8">
        <f>tProdutos[[#This Row],[Mercado mês ref]]*(1-IF(tProdutos[[#This Row],[Desconto homologado]]="",DescontoPadrao,tProdutos[[#This Row],[Desconto homologado]]))</f>
        <v>3435433.3469680841</v>
      </c>
      <c r="S143" t="str">
        <f>IF(ModoFoco="Lista",IF(tProdutos[[#This Row],[Lista definida]]="Sim","Sim","Não"),IF(AND(tProdutos[[#This Row],[Editais]]&gt;=MinEditais,N(tProdutos[[#This Row],[Margem bruta]])&gt;=MargemMin),"Sim","Não"))</f>
        <v>Não</v>
      </c>
      <c r="T143" s="4" t="str">
        <f>IF(tProdutos[[#This Row],[Elegível]]="Sim",COUNTIFS(tProdutos[Elegível],"Sim",tProdutos[Valor janela],"&gt;"&amp;tProdutos[[#This Row],[Valor janela]])+1,"")</f>
        <v/>
      </c>
      <c r="U143" t="str">
        <f>IF(ModoFoco="Lista",tProdutos[[#This Row],[Elegível]],IF(AND(tProdutos[[#This Row],[Posição]]&lt;&gt;"",N(tProdutos[[#This Row],[Posição]])&lt;=TopN),"Sim","Não"))</f>
        <v>Não</v>
      </c>
    </row>
    <row r="144" spans="1:21" x14ac:dyDescent="0.25">
      <c r="A144">
        <v>143</v>
      </c>
      <c r="B144" t="s">
        <v>345</v>
      </c>
      <c r="C144" t="s">
        <v>185</v>
      </c>
      <c r="D144" s="14">
        <v>44.928670999999994</v>
      </c>
      <c r="E144" s="7">
        <v>8.5365853658536661E-2</v>
      </c>
      <c r="F144" s="7">
        <v>0.412394275616498</v>
      </c>
      <c r="G144" s="15">
        <v>1.28</v>
      </c>
      <c r="H144" s="15">
        <v>1.2</v>
      </c>
      <c r="I144" t="s">
        <v>346</v>
      </c>
      <c r="J144" s="16" t="s">
        <v>66</v>
      </c>
      <c r="K144" s="15"/>
      <c r="L144" s="4">
        <f>COUNTIFS(tItens[Produto],tProdutos[[#This Row],[Produto]])</f>
        <v>149</v>
      </c>
      <c r="M144" s="4">
        <f>SUMIFS(tItens[Primeira ocorrência],tItens[Produto],tProdutos[[#This Row],[Produto]])</f>
        <v>43</v>
      </c>
      <c r="N144" s="8">
        <f>SUMIFS(tItens[Valor],tItens[Produto],tProdutos[[#This Row],[Produto]])</f>
        <v>15319085.140000001</v>
      </c>
      <c r="O144" s="8">
        <f>SUMIFS(tItens[Valor],tItens[Produto],tProdutos[[#This Row],[Produto]],tItens[SRP],"Sim")</f>
        <v>12068706.26</v>
      </c>
      <c r="P144" s="6">
        <f>IF(tProdutos[[#This Row],[Valor janela]]=0,0,tProdutos[[#This Row],[Valor SRP]]/tProdutos[[#This Row],[Valor janela]])</f>
        <v>0.78782160616675045</v>
      </c>
      <c r="Q144" s="8">
        <f>tProdutos[[#This Row],[Valor janela]]*DiasMes/DiasJanela</f>
        <v>51063617.133333333</v>
      </c>
      <c r="R144" s="8">
        <f>tProdutos[[#This Row],[Mercado mês ref]]*(1-IF(tProdutos[[#This Row],[Desconto homologado]]="",DescontoPadrao,tProdutos[[#This Row],[Desconto homologado]]))</f>
        <v>30005273.735274136</v>
      </c>
      <c r="S144" t="str">
        <f>IF(ModoFoco="Lista",IF(tProdutos[[#This Row],[Lista definida]]="Sim","Sim","Não"),IF(AND(tProdutos[[#This Row],[Editais]]&gt;=MinEditais,N(tProdutos[[#This Row],[Margem bruta]])&gt;=MargemMin),"Sim","Não"))</f>
        <v>Não</v>
      </c>
      <c r="T144" s="4" t="str">
        <f>IF(tProdutos[[#This Row],[Elegível]]="Sim",COUNTIFS(tProdutos[Elegível],"Sim",tProdutos[Valor janela],"&gt;"&amp;tProdutos[[#This Row],[Valor janela]])+1,"")</f>
        <v/>
      </c>
      <c r="U144" t="str">
        <f>IF(ModoFoco="Lista",tProdutos[[#This Row],[Elegível]],IF(AND(tProdutos[[#This Row],[Posição]]&lt;&gt;"",N(tProdutos[[#This Row],[Posição]])&lt;=TopN),"Sim","Não"))</f>
        <v>Não</v>
      </c>
    </row>
    <row r="145" spans="1:21" x14ac:dyDescent="0.25">
      <c r="A145">
        <v>144</v>
      </c>
      <c r="B145" t="s">
        <v>347</v>
      </c>
      <c r="C145" t="s">
        <v>185</v>
      </c>
      <c r="D145" s="14">
        <v>44.80195335942205</v>
      </c>
      <c r="E145" s="7">
        <v>9.5714194739858885E-2</v>
      </c>
      <c r="F145" s="7">
        <v>0.26356465005931201</v>
      </c>
      <c r="G145" s="15">
        <v>3.83</v>
      </c>
      <c r="H145" s="15">
        <v>4</v>
      </c>
      <c r="I145" t="s">
        <v>348</v>
      </c>
      <c r="J145" s="16" t="s">
        <v>66</v>
      </c>
      <c r="K145" s="15"/>
      <c r="L145" s="4">
        <f>COUNTIFS(tItens[Produto],tProdutos[[#This Row],[Produto]])</f>
        <v>153</v>
      </c>
      <c r="M145" s="4">
        <f>SUMIFS(tItens[Primeira ocorrência],tItens[Produto],tProdutos[[#This Row],[Produto]])</f>
        <v>28</v>
      </c>
      <c r="N145" s="8">
        <f>SUMIFS(tItens[Valor],tItens[Produto],tProdutos[[#This Row],[Produto]])</f>
        <v>138047.71000000002</v>
      </c>
      <c r="O145" s="8">
        <f>SUMIFS(tItens[Valor],tItens[Produto],tProdutos[[#This Row],[Produto]],tItens[SRP],"Sim")</f>
        <v>43770.610000000008</v>
      </c>
      <c r="P145" s="6">
        <f>IF(tProdutos[[#This Row],[Valor janela]]=0,0,tProdutos[[#This Row],[Valor SRP]]/tProdutos[[#This Row],[Valor janela]])</f>
        <v>0.31706871486676602</v>
      </c>
      <c r="Q145" s="8">
        <f>tProdutos[[#This Row],[Valor janela]]*DiasMes/DiasJanela</f>
        <v>460159.03333333338</v>
      </c>
      <c r="R145" s="8">
        <f>tProdutos[[#This Row],[Mercado mês ref]]*(1-IF(tProdutos[[#This Row],[Desconto homologado]]="",DescontoPadrao,tProdutos[[#This Row],[Desconto homologado]]))</f>
        <v>338877.37874120206</v>
      </c>
      <c r="S145" t="str">
        <f>IF(ModoFoco="Lista",IF(tProdutos[[#This Row],[Lista definida]]="Sim","Sim","Não"),IF(AND(tProdutos[[#This Row],[Editais]]&gt;=MinEditais,N(tProdutos[[#This Row],[Margem bruta]])&gt;=MargemMin),"Sim","Não"))</f>
        <v>Não</v>
      </c>
      <c r="T145" s="4" t="str">
        <f>IF(tProdutos[[#This Row],[Elegível]]="Sim",COUNTIFS(tProdutos[Elegível],"Sim",tProdutos[Valor janela],"&gt;"&amp;tProdutos[[#This Row],[Valor janela]])+1,"")</f>
        <v/>
      </c>
      <c r="U145" t="str">
        <f>IF(ModoFoco="Lista",tProdutos[[#This Row],[Elegível]],IF(AND(tProdutos[[#This Row],[Posição]]&lt;&gt;"",N(tProdutos[[#This Row],[Posição]])&lt;=TopN),"Sim","Não"))</f>
        <v>Não</v>
      </c>
    </row>
    <row r="146" spans="1:21" x14ac:dyDescent="0.25">
      <c r="A146">
        <v>145</v>
      </c>
      <c r="B146" t="s">
        <v>349</v>
      </c>
      <c r="C146" t="s">
        <v>185</v>
      </c>
      <c r="D146" s="14">
        <v>43.307964188143053</v>
      </c>
      <c r="E146" s="7">
        <v>0.22978177150192569</v>
      </c>
      <c r="F146" s="7">
        <v>0.38826228254635797</v>
      </c>
      <c r="G146" s="15">
        <v>0.38</v>
      </c>
      <c r="H146" s="15">
        <v>0.3</v>
      </c>
      <c r="I146" t="s">
        <v>350</v>
      </c>
      <c r="J146" s="16" t="s">
        <v>66</v>
      </c>
      <c r="K146" s="15"/>
      <c r="L146" s="4">
        <f>COUNTIFS(tItens[Produto],tProdutos[[#This Row],[Produto]])</f>
        <v>16</v>
      </c>
      <c r="M146" s="4">
        <f>SUMIFS(tItens[Primeira ocorrência],tItens[Produto],tProdutos[[#This Row],[Produto]])</f>
        <v>14</v>
      </c>
      <c r="N146" s="8">
        <f>SUMIFS(tItens[Valor],tItens[Produto],tProdutos[[#This Row],[Produto]])</f>
        <v>810269.7</v>
      </c>
      <c r="O146" s="8">
        <f>SUMIFS(tItens[Valor],tItens[Produto],tProdutos[[#This Row],[Produto]],tItens[SRP],"Sim")</f>
        <v>396863.39999999997</v>
      </c>
      <c r="P146" s="6">
        <f>IF(tProdutos[[#This Row],[Valor janela]]=0,0,tProdutos[[#This Row],[Valor SRP]]/tProdutos[[#This Row],[Valor janela]])</f>
        <v>0.48979173230839063</v>
      </c>
      <c r="Q146" s="8">
        <f>tProdutos[[#This Row],[Valor janela]]*DiasMes/DiasJanela</f>
        <v>2700899</v>
      </c>
      <c r="R146" s="8">
        <f>tProdutos[[#This Row],[Mercado mês ref]]*(1-IF(tProdutos[[#This Row],[Desconto homologado]]="",DescontoPadrao,tProdutos[[#This Row],[Desconto homologado]]))</f>
        <v>1652241.7893328243</v>
      </c>
      <c r="S146" t="str">
        <f>IF(ModoFoco="Lista",IF(tProdutos[[#This Row],[Lista definida]]="Sim","Sim","Não"),IF(AND(tProdutos[[#This Row],[Editais]]&gt;=MinEditais,N(tProdutos[[#This Row],[Margem bruta]])&gt;=MargemMin),"Sim","Não"))</f>
        <v>Não</v>
      </c>
      <c r="T146" s="4" t="str">
        <f>IF(tProdutos[[#This Row],[Elegível]]="Sim",COUNTIFS(tProdutos[Elegível],"Sim",tProdutos[Valor janela],"&gt;"&amp;tProdutos[[#This Row],[Valor janela]])+1,"")</f>
        <v/>
      </c>
      <c r="U146" t="str">
        <f>IF(ModoFoco="Lista",tProdutos[[#This Row],[Elegível]],IF(AND(tProdutos[[#This Row],[Posição]]&lt;&gt;"",N(tProdutos[[#This Row],[Posição]])&lt;=TopN),"Sim","Não"))</f>
        <v>Não</v>
      </c>
    </row>
    <row r="147" spans="1:21" x14ac:dyDescent="0.25">
      <c r="A147">
        <v>146</v>
      </c>
      <c r="B147" t="s">
        <v>351</v>
      </c>
      <c r="C147" t="s">
        <v>185</v>
      </c>
      <c r="D147" s="14">
        <v>43.252997150000013</v>
      </c>
      <c r="E147" s="7">
        <v>-2.0986954055587148E-2</v>
      </c>
      <c r="F147" s="7">
        <v>0.33518005540166201</v>
      </c>
      <c r="G147" s="15">
        <v>0.43</v>
      </c>
      <c r="H147" s="15">
        <v>0.45</v>
      </c>
      <c r="I147" t="s">
        <v>352</v>
      </c>
      <c r="J147" s="16" t="s">
        <v>66</v>
      </c>
      <c r="K147" s="15"/>
      <c r="L147" s="4">
        <f>COUNTIFS(tItens[Produto],tProdutos[[#This Row],[Produto]])</f>
        <v>115</v>
      </c>
      <c r="M147" s="4">
        <f>SUMIFS(tItens[Primeira ocorrência],tItens[Produto],tProdutos[[#This Row],[Produto]])</f>
        <v>33</v>
      </c>
      <c r="N147" s="8">
        <f>SUMIFS(tItens[Valor],tItens[Produto],tProdutos[[#This Row],[Produto]])</f>
        <v>3536401.3</v>
      </c>
      <c r="O147" s="8">
        <f>SUMIFS(tItens[Valor],tItens[Produto],tProdutos[[#This Row],[Produto]],tItens[SRP],"Sim")</f>
        <v>1016818.5</v>
      </c>
      <c r="P147" s="6">
        <f>IF(tProdutos[[#This Row],[Valor janela]]=0,0,tProdutos[[#This Row],[Valor SRP]]/tProdutos[[#This Row],[Valor janela]])</f>
        <v>0.2875291613539448</v>
      </c>
      <c r="Q147" s="8">
        <f>tProdutos[[#This Row],[Valor janela]]*DiasMes/DiasJanela</f>
        <v>11788004.333333334</v>
      </c>
      <c r="R147" s="8">
        <f>tProdutos[[#This Row],[Mercado mês ref]]*(1-IF(tProdutos[[#This Row],[Desconto homologado]]="",DescontoPadrao,tProdutos[[#This Row],[Desconto homologado]]))</f>
        <v>7836900.3878116356</v>
      </c>
      <c r="S147" t="str">
        <f>IF(ModoFoco="Lista",IF(tProdutos[[#This Row],[Lista definida]]="Sim","Sim","Não"),IF(AND(tProdutos[[#This Row],[Editais]]&gt;=MinEditais,N(tProdutos[[#This Row],[Margem bruta]])&gt;=MargemMin),"Sim","Não"))</f>
        <v>Não</v>
      </c>
      <c r="T147" s="4" t="str">
        <f>IF(tProdutos[[#This Row],[Elegível]]="Sim",COUNTIFS(tProdutos[Elegível],"Sim",tProdutos[Valor janela],"&gt;"&amp;tProdutos[[#This Row],[Valor janela]])+1,"")</f>
        <v/>
      </c>
      <c r="U147" t="str">
        <f>IF(ModoFoco="Lista",tProdutos[[#This Row],[Elegível]],IF(AND(tProdutos[[#This Row],[Posição]]&lt;&gt;"",N(tProdutos[[#This Row],[Posição]])&lt;=TopN),"Sim","Não"))</f>
        <v>Não</v>
      </c>
    </row>
    <row r="148" spans="1:21" x14ac:dyDescent="0.25">
      <c r="A148">
        <v>147</v>
      </c>
      <c r="B148" t="s">
        <v>353</v>
      </c>
      <c r="C148" t="s">
        <v>185</v>
      </c>
      <c r="D148" s="14">
        <v>43.183467670172277</v>
      </c>
      <c r="E148" s="7">
        <v>0.30453521402683914</v>
      </c>
      <c r="F148" s="7">
        <v>0.44729172947442503</v>
      </c>
      <c r="G148" s="15">
        <v>14.94</v>
      </c>
      <c r="H148" s="15">
        <v>12</v>
      </c>
      <c r="I148" t="s">
        <v>354</v>
      </c>
      <c r="J148" s="16" t="s">
        <v>66</v>
      </c>
      <c r="K148" s="15"/>
      <c r="L148" s="4">
        <f>COUNTIFS(tItens[Produto],tProdutos[[#This Row],[Produto]])</f>
        <v>14</v>
      </c>
      <c r="M148" s="4">
        <f>SUMIFS(tItens[Primeira ocorrência],tItens[Produto],tProdutos[[#This Row],[Produto]])</f>
        <v>4</v>
      </c>
      <c r="N148" s="8">
        <f>SUMIFS(tItens[Valor],tItens[Produto],tProdutos[[#This Row],[Produto]])</f>
        <v>36788.1</v>
      </c>
      <c r="O148" s="8">
        <f>SUMIFS(tItens[Valor],tItens[Produto],tProdutos[[#This Row],[Produto]],tItens[SRP],"Sim")</f>
        <v>35360</v>
      </c>
      <c r="P148" s="6">
        <f>IF(tProdutos[[#This Row],[Valor janela]]=0,0,tProdutos[[#This Row],[Valor SRP]]/tProdutos[[#This Row],[Valor janela]])</f>
        <v>0.96118038169951703</v>
      </c>
      <c r="Q148" s="8">
        <f>tProdutos[[#This Row],[Valor janela]]*DiasMes/DiasJanela</f>
        <v>122627</v>
      </c>
      <c r="R148" s="8">
        <f>tProdutos[[#This Row],[Mercado mês ref]]*(1-IF(tProdutos[[#This Row],[Desconto homologado]]="",DescontoPadrao,tProdutos[[#This Row],[Desconto homologado]]))</f>
        <v>67776.957089739692</v>
      </c>
      <c r="S148" t="str">
        <f>IF(ModoFoco="Lista",IF(tProdutos[[#This Row],[Lista definida]]="Sim","Sim","Não"),IF(AND(tProdutos[[#This Row],[Editais]]&gt;=MinEditais,N(tProdutos[[#This Row],[Margem bruta]])&gt;=MargemMin),"Sim","Não"))</f>
        <v>Não</v>
      </c>
      <c r="T148" s="4" t="str">
        <f>IF(tProdutos[[#This Row],[Elegível]]="Sim",COUNTIFS(tProdutos[Elegível],"Sim",tProdutos[Valor janela],"&gt;"&amp;tProdutos[[#This Row],[Valor janela]])+1,"")</f>
        <v/>
      </c>
      <c r="U148" t="str">
        <f>IF(ModoFoco="Lista",tProdutos[[#This Row],[Elegível]],IF(AND(tProdutos[[#This Row],[Posição]]&lt;&gt;"",N(tProdutos[[#This Row],[Posição]])&lt;=TopN),"Sim","Não"))</f>
        <v>Não</v>
      </c>
    </row>
    <row r="149" spans="1:21" x14ac:dyDescent="0.25">
      <c r="A149">
        <v>148</v>
      </c>
      <c r="B149" t="s">
        <v>355</v>
      </c>
      <c r="C149" t="s">
        <v>185</v>
      </c>
      <c r="D149" s="14">
        <v>42.990952022705784</v>
      </c>
      <c r="E149" s="7">
        <v>0.53934153089136772</v>
      </c>
      <c r="F149" s="7">
        <v>0.434133915574964</v>
      </c>
      <c r="G149" s="15">
        <v>46.99</v>
      </c>
      <c r="H149" s="15">
        <v>25</v>
      </c>
      <c r="I149" t="s">
        <v>356</v>
      </c>
      <c r="J149" s="16" t="s">
        <v>66</v>
      </c>
      <c r="K149" s="15"/>
      <c r="L149" s="4">
        <f>COUNTIFS(tItens[Produto],tProdutos[[#This Row],[Produto]])</f>
        <v>2</v>
      </c>
      <c r="M149" s="4">
        <f>SUMIFS(tItens[Primeira ocorrência],tItens[Produto],tProdutos[[#This Row],[Produto]])</f>
        <v>2</v>
      </c>
      <c r="N149" s="8">
        <f>SUMIFS(tItens[Valor],tItens[Produto],tProdutos[[#This Row],[Produto]])</f>
        <v>41522.499999999993</v>
      </c>
      <c r="O149" s="8">
        <f>SUMIFS(tItens[Valor],tItens[Produto],tProdutos[[#This Row],[Produto]],tItens[SRP],"Sim")</f>
        <v>41522.499999999993</v>
      </c>
      <c r="P149" s="6">
        <f>IF(tProdutos[[#This Row],[Valor janela]]=0,0,tProdutos[[#This Row],[Valor SRP]]/tProdutos[[#This Row],[Valor janela]])</f>
        <v>1</v>
      </c>
      <c r="Q149" s="8">
        <f>tProdutos[[#This Row],[Valor janela]]*DiasMes/DiasJanela</f>
        <v>138408.33333333331</v>
      </c>
      <c r="R149" s="8">
        <f>tProdutos[[#This Row],[Mercado mês ref]]*(1-IF(tProdutos[[#This Row],[Desconto homologado]]="",DescontoPadrao,tProdutos[[#This Row],[Desconto homologado]]))</f>
        <v>78320.581635128518</v>
      </c>
      <c r="S149" t="str">
        <f>IF(ModoFoco="Lista",IF(tProdutos[[#This Row],[Lista definida]]="Sim","Sim","Não"),IF(AND(tProdutos[[#This Row],[Editais]]&gt;=MinEditais,N(tProdutos[[#This Row],[Margem bruta]])&gt;=MargemMin),"Sim","Não"))</f>
        <v>Não</v>
      </c>
      <c r="T149" s="4" t="str">
        <f>IF(tProdutos[[#This Row],[Elegível]]="Sim",COUNTIFS(tProdutos[Elegível],"Sim",tProdutos[Valor janela],"&gt;"&amp;tProdutos[[#This Row],[Valor janela]])+1,"")</f>
        <v/>
      </c>
      <c r="U149" t="str">
        <f>IF(ModoFoco="Lista",tProdutos[[#This Row],[Elegível]],IF(AND(tProdutos[[#This Row],[Posição]]&lt;&gt;"",N(tProdutos[[#This Row],[Posição]])&lt;=TopN),"Sim","Não"))</f>
        <v>Não</v>
      </c>
    </row>
    <row r="150" spans="1:21" x14ac:dyDescent="0.25">
      <c r="A150">
        <v>149</v>
      </c>
      <c r="B150" t="s">
        <v>357</v>
      </c>
      <c r="C150" t="s">
        <v>185</v>
      </c>
      <c r="D150" s="14">
        <v>42.714604600000001</v>
      </c>
      <c r="E150" s="7">
        <v>-0.51524390243902385</v>
      </c>
      <c r="F150" s="7">
        <v>0.38730158730158698</v>
      </c>
      <c r="G150" s="15">
        <v>0.4</v>
      </c>
      <c r="H150" s="15">
        <v>0.7</v>
      </c>
      <c r="I150" t="s">
        <v>358</v>
      </c>
      <c r="J150" s="16" t="s">
        <v>66</v>
      </c>
      <c r="K150" s="15"/>
      <c r="L150" s="4">
        <f>COUNTIFS(tItens[Produto],tProdutos[[#This Row],[Produto]])</f>
        <v>5</v>
      </c>
      <c r="M150" s="4">
        <f>SUMIFS(tItens[Primeira ocorrência],tItens[Produto],tProdutos[[#This Row],[Produto]])</f>
        <v>4</v>
      </c>
      <c r="N150" s="8">
        <f>SUMIFS(tItens[Valor],tItens[Produto],tProdutos[[#This Row],[Produto]])</f>
        <v>60112</v>
      </c>
      <c r="O150" s="8">
        <f>SUMIFS(tItens[Valor],tItens[Produto],tProdutos[[#This Row],[Produto]],tItens[SRP],"Sim")</f>
        <v>55322</v>
      </c>
      <c r="P150" s="6">
        <f>IF(tProdutos[[#This Row],[Valor janela]]=0,0,tProdutos[[#This Row],[Valor SRP]]/tProdutos[[#This Row],[Valor janela]])</f>
        <v>0.92031541123236627</v>
      </c>
      <c r="Q150" s="8">
        <f>tProdutos[[#This Row],[Valor janela]]*DiasMes/DiasJanela</f>
        <v>200373.33333333334</v>
      </c>
      <c r="R150" s="8">
        <f>tProdutos[[#This Row],[Mercado mês ref]]*(1-IF(tProdutos[[#This Row],[Desconto homologado]]="",DescontoPadrao,tProdutos[[#This Row],[Desconto homologado]]))</f>
        <v>122768.42328042333</v>
      </c>
      <c r="S150" t="str">
        <f>IF(ModoFoco="Lista",IF(tProdutos[[#This Row],[Lista definida]]="Sim","Sim","Não"),IF(AND(tProdutos[[#This Row],[Editais]]&gt;=MinEditais,N(tProdutos[[#This Row],[Margem bruta]])&gt;=MargemMin),"Sim","Não"))</f>
        <v>Não</v>
      </c>
      <c r="T150" s="4" t="str">
        <f>IF(tProdutos[[#This Row],[Elegível]]="Sim",COUNTIFS(tProdutos[Elegível],"Sim",tProdutos[Valor janela],"&gt;"&amp;tProdutos[[#This Row],[Valor janela]])+1,"")</f>
        <v/>
      </c>
      <c r="U150" t="str">
        <f>IF(ModoFoco="Lista",tProdutos[[#This Row],[Elegível]],IF(AND(tProdutos[[#This Row],[Posição]]&lt;&gt;"",N(tProdutos[[#This Row],[Posição]])&lt;=TopN),"Sim","Não"))</f>
        <v>Não</v>
      </c>
    </row>
    <row r="151" spans="1:21" x14ac:dyDescent="0.25">
      <c r="A151">
        <v>150</v>
      </c>
      <c r="B151" t="s">
        <v>359</v>
      </c>
      <c r="C151" t="s">
        <v>185</v>
      </c>
      <c r="D151" s="14">
        <v>42.701443314598507</v>
      </c>
      <c r="E151" s="7">
        <v>0.2578397212543555</v>
      </c>
      <c r="F151" s="7">
        <v>0.39303196084077202</v>
      </c>
      <c r="G151" s="15">
        <v>0.14000000000000001</v>
      </c>
      <c r="H151" s="15">
        <v>0.12</v>
      </c>
      <c r="I151" t="s">
        <v>360</v>
      </c>
      <c r="J151" s="16" t="s">
        <v>66</v>
      </c>
      <c r="K151" s="15"/>
      <c r="L151" s="4">
        <f>COUNTIFS(tItens[Produto],tProdutos[[#This Row],[Produto]])</f>
        <v>1</v>
      </c>
      <c r="M151" s="4">
        <f>SUMIFS(tItens[Primeira ocorrência],tItens[Produto],tProdutos[[#This Row],[Produto]])</f>
        <v>1</v>
      </c>
      <c r="N151" s="8">
        <f>SUMIFS(tItens[Valor],tItens[Produto],tProdutos[[#This Row],[Produto]])</f>
        <v>0</v>
      </c>
      <c r="O151" s="8">
        <f>SUMIFS(tItens[Valor],tItens[Produto],tProdutos[[#This Row],[Produto]],tItens[SRP],"Sim")</f>
        <v>0</v>
      </c>
      <c r="P151" s="6">
        <f>IF(tProdutos[[#This Row],[Valor janela]]=0,0,tProdutos[[#This Row],[Valor SRP]]/tProdutos[[#This Row],[Valor janela]])</f>
        <v>0</v>
      </c>
      <c r="Q151" s="8">
        <f>tProdutos[[#This Row],[Valor janela]]*DiasMes/DiasJanela</f>
        <v>0</v>
      </c>
      <c r="R151" s="8">
        <f>tProdutos[[#This Row],[Mercado mês ref]]*(1-IF(tProdutos[[#This Row],[Desconto homologado]]="",DescontoPadrao,tProdutos[[#This Row],[Desconto homologado]]))</f>
        <v>0</v>
      </c>
      <c r="S151" t="str">
        <f>IF(ModoFoco="Lista",IF(tProdutos[[#This Row],[Lista definida]]="Sim","Sim","Não"),IF(AND(tProdutos[[#This Row],[Editais]]&gt;=MinEditais,N(tProdutos[[#This Row],[Margem bruta]])&gt;=MargemMin),"Sim","Não"))</f>
        <v>Não</v>
      </c>
      <c r="T151" s="4" t="str">
        <f>IF(tProdutos[[#This Row],[Elegível]]="Sim",COUNTIFS(tProdutos[Elegível],"Sim",tProdutos[Valor janela],"&gt;"&amp;tProdutos[[#This Row],[Valor janela]])+1,"")</f>
        <v/>
      </c>
      <c r="U151" t="str">
        <f>IF(ModoFoco="Lista",tProdutos[[#This Row],[Elegível]],IF(AND(tProdutos[[#This Row],[Posição]]&lt;&gt;"",N(tProdutos[[#This Row],[Posição]])&lt;=TopN),"Sim","Não"))</f>
        <v>Não</v>
      </c>
    </row>
    <row r="152" spans="1:21" x14ac:dyDescent="0.25">
      <c r="A152">
        <v>151</v>
      </c>
      <c r="B152" t="s">
        <v>361</v>
      </c>
      <c r="C152" t="s">
        <v>185</v>
      </c>
      <c r="D152" s="14">
        <v>42.64030849168369</v>
      </c>
      <c r="E152" s="7">
        <v>0.17971758664955073</v>
      </c>
      <c r="F152" s="7">
        <v>0.44444444444444398</v>
      </c>
      <c r="G152" s="15">
        <v>0.95</v>
      </c>
      <c r="H152" s="15">
        <v>0.9</v>
      </c>
      <c r="I152" t="s">
        <v>362</v>
      </c>
      <c r="J152" s="16" t="s">
        <v>66</v>
      </c>
      <c r="K152" s="15"/>
      <c r="L152" s="4">
        <f>COUNTIFS(tItens[Produto],tProdutos[[#This Row],[Produto]])</f>
        <v>0</v>
      </c>
      <c r="M152" s="4">
        <f>SUMIFS(tItens[Primeira ocorrência],tItens[Produto],tProdutos[[#This Row],[Produto]])</f>
        <v>0</v>
      </c>
      <c r="N152" s="8">
        <f>SUMIFS(tItens[Valor],tItens[Produto],tProdutos[[#This Row],[Produto]])</f>
        <v>0</v>
      </c>
      <c r="O152" s="8">
        <f>SUMIFS(tItens[Valor],tItens[Produto],tProdutos[[#This Row],[Produto]],tItens[SRP],"Sim")</f>
        <v>0</v>
      </c>
      <c r="P152" s="6">
        <f>IF(tProdutos[[#This Row],[Valor janela]]=0,0,tProdutos[[#This Row],[Valor SRP]]/tProdutos[[#This Row],[Valor janela]])</f>
        <v>0</v>
      </c>
      <c r="Q152" s="8">
        <f>tProdutos[[#This Row],[Valor janela]]*DiasMes/DiasJanela</f>
        <v>0</v>
      </c>
      <c r="R152" s="8">
        <f>tProdutos[[#This Row],[Mercado mês ref]]*(1-IF(tProdutos[[#This Row],[Desconto homologado]]="",DescontoPadrao,tProdutos[[#This Row],[Desconto homologado]]))</f>
        <v>0</v>
      </c>
      <c r="S152" t="str">
        <f>IF(ModoFoco="Lista",IF(tProdutos[[#This Row],[Lista definida]]="Sim","Sim","Não"),IF(AND(tProdutos[[#This Row],[Editais]]&gt;=MinEditais,N(tProdutos[[#This Row],[Margem bruta]])&gt;=MargemMin),"Sim","Não"))</f>
        <v>Não</v>
      </c>
      <c r="T152" s="4" t="str">
        <f>IF(tProdutos[[#This Row],[Elegível]]="Sim",COUNTIFS(tProdutos[Elegível],"Sim",tProdutos[Valor janela],"&gt;"&amp;tProdutos[[#This Row],[Valor janela]])+1,"")</f>
        <v/>
      </c>
      <c r="U152" t="str">
        <f>IF(ModoFoco="Lista",tProdutos[[#This Row],[Elegível]],IF(AND(tProdutos[[#This Row],[Posição]]&lt;&gt;"",N(tProdutos[[#This Row],[Posição]])&lt;=TopN),"Sim","Não"))</f>
        <v>Não</v>
      </c>
    </row>
    <row r="153" spans="1:21" x14ac:dyDescent="0.25">
      <c r="A153">
        <v>152</v>
      </c>
      <c r="B153" t="s">
        <v>363</v>
      </c>
      <c r="C153" t="s">
        <v>185</v>
      </c>
      <c r="D153" s="14">
        <v>42.4284368</v>
      </c>
      <c r="E153" s="7">
        <v>1.7471025774087545E-2</v>
      </c>
      <c r="F153" s="7">
        <v>0.36454545454545501</v>
      </c>
      <c r="G153" s="15">
        <v>7.0499999999999993E-2</v>
      </c>
      <c r="H153" s="15">
        <v>0.08</v>
      </c>
      <c r="I153" t="s">
        <v>364</v>
      </c>
      <c r="J153" s="16" t="s">
        <v>66</v>
      </c>
      <c r="K153" s="15"/>
      <c r="L153" s="4">
        <f>COUNTIFS(tItens[Produto],tProdutos[[#This Row],[Produto]])</f>
        <v>19</v>
      </c>
      <c r="M153" s="4">
        <f>SUMIFS(tItens[Primeira ocorrência],tItens[Produto],tProdutos[[#This Row],[Produto]])</f>
        <v>14</v>
      </c>
      <c r="N153" s="8">
        <f>SUMIFS(tItens[Valor],tItens[Produto],tProdutos[[#This Row],[Produto]])</f>
        <v>523186.3</v>
      </c>
      <c r="O153" s="8">
        <f>SUMIFS(tItens[Valor],tItens[Produto],tProdutos[[#This Row],[Produto]],tItens[SRP],"Sim")</f>
        <v>193469.3</v>
      </c>
      <c r="P153" s="6">
        <f>IF(tProdutos[[#This Row],[Valor janela]]=0,0,tProdutos[[#This Row],[Valor SRP]]/tProdutos[[#This Row],[Valor janela]])</f>
        <v>0.36979045513997594</v>
      </c>
      <c r="Q153" s="8">
        <f>tProdutos[[#This Row],[Valor janela]]*DiasMes/DiasJanela</f>
        <v>1743954.3333333333</v>
      </c>
      <c r="R153" s="8">
        <f>tProdutos[[#This Row],[Mercado mês ref]]*(1-IF(tProdutos[[#This Row],[Desconto homologado]]="",DescontoPadrao,tProdutos[[#This Row],[Desconto homologado]]))</f>
        <v>1108203.7081818173</v>
      </c>
      <c r="S153" t="str">
        <f>IF(ModoFoco="Lista",IF(tProdutos[[#This Row],[Lista definida]]="Sim","Sim","Não"),IF(AND(tProdutos[[#This Row],[Editais]]&gt;=MinEditais,N(tProdutos[[#This Row],[Margem bruta]])&gt;=MargemMin),"Sim","Não"))</f>
        <v>Não</v>
      </c>
      <c r="T153" s="4" t="str">
        <f>IF(tProdutos[[#This Row],[Elegível]]="Sim",COUNTIFS(tProdutos[Elegível],"Sim",tProdutos[Valor janela],"&gt;"&amp;tProdutos[[#This Row],[Valor janela]])+1,"")</f>
        <v/>
      </c>
      <c r="U153" t="str">
        <f>IF(ModoFoco="Lista",tProdutos[[#This Row],[Elegível]],IF(AND(tProdutos[[#This Row],[Posição]]&lt;&gt;"",N(tProdutos[[#This Row],[Posição]])&lt;=TopN),"Sim","Não"))</f>
        <v>Não</v>
      </c>
    </row>
    <row r="154" spans="1:21" x14ac:dyDescent="0.25">
      <c r="A154">
        <v>153</v>
      </c>
      <c r="B154" t="s">
        <v>365</v>
      </c>
      <c r="C154" t="s">
        <v>185</v>
      </c>
      <c r="D154" s="14">
        <v>42.348210399999999</v>
      </c>
      <c r="E154" s="7">
        <v>-1.0162601626016119E-2</v>
      </c>
      <c r="F154" s="7">
        <v>0.41120529659182697</v>
      </c>
      <c r="G154" s="15">
        <v>0.6</v>
      </c>
      <c r="H154" s="15">
        <v>0.7</v>
      </c>
      <c r="I154" t="s">
        <v>366</v>
      </c>
      <c r="J154" s="16" t="s">
        <v>66</v>
      </c>
      <c r="K154" s="15"/>
      <c r="L154" s="4">
        <f>COUNTIFS(tItens[Produto],tProdutos[[#This Row],[Produto]])</f>
        <v>16</v>
      </c>
      <c r="M154" s="4">
        <f>SUMIFS(tItens[Primeira ocorrência],tItens[Produto],tProdutos[[#This Row],[Produto]])</f>
        <v>15</v>
      </c>
      <c r="N154" s="8">
        <f>SUMIFS(tItens[Valor],tItens[Produto],tProdutos[[#This Row],[Produto]])</f>
        <v>241729.42</v>
      </c>
      <c r="O154" s="8">
        <f>SUMIFS(tItens[Valor],tItens[Produto],tProdutos[[#This Row],[Produto]],tItens[SRP],"Sim")</f>
        <v>67742.52</v>
      </c>
      <c r="P154" s="6">
        <f>IF(tProdutos[[#This Row],[Valor janela]]=0,0,tProdutos[[#This Row],[Valor SRP]]/tProdutos[[#This Row],[Valor janela]])</f>
        <v>0.2802411059439931</v>
      </c>
      <c r="Q154" s="8">
        <f>tProdutos[[#This Row],[Valor janela]]*DiasMes/DiasJanela</f>
        <v>805764.7333333334</v>
      </c>
      <c r="R154" s="8">
        <f>tProdutos[[#This Row],[Mercado mês ref]]*(1-IF(tProdutos[[#This Row],[Desconto homologado]]="",DescontoPadrao,tProdutos[[#This Row],[Desconto homologado]]))</f>
        <v>474430.00717976573</v>
      </c>
      <c r="S154" t="str">
        <f>IF(ModoFoco="Lista",IF(tProdutos[[#This Row],[Lista definida]]="Sim","Sim","Não"),IF(AND(tProdutos[[#This Row],[Editais]]&gt;=MinEditais,N(tProdutos[[#This Row],[Margem bruta]])&gt;=MargemMin),"Sim","Não"))</f>
        <v>Não</v>
      </c>
      <c r="T154" s="4" t="str">
        <f>IF(tProdutos[[#This Row],[Elegível]]="Sim",COUNTIFS(tProdutos[Elegível],"Sim",tProdutos[Valor janela],"&gt;"&amp;tProdutos[[#This Row],[Valor janela]])+1,"")</f>
        <v/>
      </c>
      <c r="U154" t="str">
        <f>IF(ModoFoco="Lista",tProdutos[[#This Row],[Elegível]],IF(AND(tProdutos[[#This Row],[Posição]]&lt;&gt;"",N(tProdutos[[#This Row],[Posição]])&lt;=TopN),"Sim","Não"))</f>
        <v>Não</v>
      </c>
    </row>
    <row r="155" spans="1:21" x14ac:dyDescent="0.25">
      <c r="A155">
        <v>154</v>
      </c>
      <c r="B155" t="s">
        <v>367</v>
      </c>
      <c r="C155" t="s">
        <v>185</v>
      </c>
      <c r="D155" s="14">
        <v>42.282960999999993</v>
      </c>
      <c r="E155" s="7">
        <v>0.54825026511134678</v>
      </c>
      <c r="F155" s="7">
        <v>0.42396313364055299</v>
      </c>
      <c r="G155" s="15">
        <v>23</v>
      </c>
      <c r="H155" s="15">
        <v>12</v>
      </c>
      <c r="I155" t="s">
        <v>368</v>
      </c>
      <c r="J155" s="16" t="s">
        <v>66</v>
      </c>
      <c r="K155" s="15"/>
      <c r="L155" s="4">
        <f>COUNTIFS(tItens[Produto],tProdutos[[#This Row],[Produto]])</f>
        <v>0</v>
      </c>
      <c r="M155" s="4">
        <f>SUMIFS(tItens[Primeira ocorrência],tItens[Produto],tProdutos[[#This Row],[Produto]])</f>
        <v>0</v>
      </c>
      <c r="N155" s="8">
        <f>SUMIFS(tItens[Valor],tItens[Produto],tProdutos[[#This Row],[Produto]])</f>
        <v>0</v>
      </c>
      <c r="O155" s="8">
        <f>SUMIFS(tItens[Valor],tItens[Produto],tProdutos[[#This Row],[Produto]],tItens[SRP],"Sim")</f>
        <v>0</v>
      </c>
      <c r="P155" s="6">
        <f>IF(tProdutos[[#This Row],[Valor janela]]=0,0,tProdutos[[#This Row],[Valor SRP]]/tProdutos[[#This Row],[Valor janela]])</f>
        <v>0</v>
      </c>
      <c r="Q155" s="8">
        <f>tProdutos[[#This Row],[Valor janela]]*DiasMes/DiasJanela</f>
        <v>0</v>
      </c>
      <c r="R155" s="8">
        <f>tProdutos[[#This Row],[Mercado mês ref]]*(1-IF(tProdutos[[#This Row],[Desconto homologado]]="",DescontoPadrao,tProdutos[[#This Row],[Desconto homologado]]))</f>
        <v>0</v>
      </c>
      <c r="S155" t="str">
        <f>IF(ModoFoco="Lista",IF(tProdutos[[#This Row],[Lista definida]]="Sim","Sim","Não"),IF(AND(tProdutos[[#This Row],[Editais]]&gt;=MinEditais,N(tProdutos[[#This Row],[Margem bruta]])&gt;=MargemMin),"Sim","Não"))</f>
        <v>Não</v>
      </c>
      <c r="T155" s="4" t="str">
        <f>IF(tProdutos[[#This Row],[Elegível]]="Sim",COUNTIFS(tProdutos[Elegível],"Sim",tProdutos[Valor janela],"&gt;"&amp;tProdutos[[#This Row],[Valor janela]])+1,"")</f>
        <v/>
      </c>
      <c r="U155" t="str">
        <f>IF(ModoFoco="Lista",tProdutos[[#This Row],[Elegível]],IF(AND(tProdutos[[#This Row],[Posição]]&lt;&gt;"",N(tProdutos[[#This Row],[Posição]])&lt;=TopN),"Sim","Não"))</f>
        <v>Não</v>
      </c>
    </row>
    <row r="156" spans="1:21" x14ac:dyDescent="0.25">
      <c r="A156">
        <v>155</v>
      </c>
      <c r="B156" t="s">
        <v>369</v>
      </c>
      <c r="C156" t="s">
        <v>185</v>
      </c>
      <c r="D156" s="14">
        <v>42.23053206741023</v>
      </c>
      <c r="E156" s="7">
        <v>0.15164369034994696</v>
      </c>
      <c r="F156" s="7">
        <v>0.35816618911174802</v>
      </c>
      <c r="G156" s="15">
        <v>1.38</v>
      </c>
      <c r="H156" s="15">
        <v>1.2</v>
      </c>
      <c r="I156" t="s">
        <v>370</v>
      </c>
      <c r="J156" s="16" t="s">
        <v>66</v>
      </c>
      <c r="K156" s="15"/>
      <c r="L156" s="4">
        <f>COUNTIFS(tItens[Produto],tProdutos[[#This Row],[Produto]])</f>
        <v>6</v>
      </c>
      <c r="M156" s="4">
        <f>SUMIFS(tItens[Primeira ocorrência],tItens[Produto],tProdutos[[#This Row],[Produto]])</f>
        <v>5</v>
      </c>
      <c r="N156" s="8">
        <f>SUMIFS(tItens[Valor],tItens[Produto],tProdutos[[#This Row],[Produto]])</f>
        <v>332894.60000000003</v>
      </c>
      <c r="O156" s="8">
        <f>SUMIFS(tItens[Valor],tItens[Produto],tProdutos[[#This Row],[Produto]],tItens[SRP],"Sim")</f>
        <v>332634.2</v>
      </c>
      <c r="P156" s="6">
        <f>IF(tProdutos[[#This Row],[Valor janela]]=0,0,tProdutos[[#This Row],[Valor SRP]]/tProdutos[[#This Row],[Valor janela]])</f>
        <v>0.99921777042943916</v>
      </c>
      <c r="Q156" s="8">
        <f>tProdutos[[#This Row],[Valor janela]]*DiasMes/DiasJanela</f>
        <v>1109648.6666666667</v>
      </c>
      <c r="R156" s="8">
        <f>tProdutos[[#This Row],[Mercado mês ref]]*(1-IF(tProdutos[[#This Row],[Desconto homologado]]="",DescontoPadrao,tProdutos[[#This Row],[Desconto homologado]]))</f>
        <v>712210.03247373435</v>
      </c>
      <c r="S156" t="str">
        <f>IF(ModoFoco="Lista",IF(tProdutos[[#This Row],[Lista definida]]="Sim","Sim","Não"),IF(AND(tProdutos[[#This Row],[Editais]]&gt;=MinEditais,N(tProdutos[[#This Row],[Margem bruta]])&gt;=MargemMin),"Sim","Não"))</f>
        <v>Não</v>
      </c>
      <c r="T156" s="4" t="str">
        <f>IF(tProdutos[[#This Row],[Elegível]]="Sim",COUNTIFS(tProdutos[Elegível],"Sim",tProdutos[Valor janela],"&gt;"&amp;tProdutos[[#This Row],[Valor janela]])+1,"")</f>
        <v/>
      </c>
      <c r="U156" t="str">
        <f>IF(ModoFoco="Lista",tProdutos[[#This Row],[Elegível]],IF(AND(tProdutos[[#This Row],[Posição]]&lt;&gt;"",N(tProdutos[[#This Row],[Posição]])&lt;=TopN),"Sim","Não"))</f>
        <v>Não</v>
      </c>
    </row>
    <row r="157" spans="1:21" x14ac:dyDescent="0.25">
      <c r="A157">
        <v>156</v>
      </c>
      <c r="B157" t="s">
        <v>371</v>
      </c>
      <c r="C157" t="s">
        <v>185</v>
      </c>
      <c r="D157" s="14">
        <v>42.215028015470772</v>
      </c>
      <c r="E157" s="7">
        <v>0.13916786226685818</v>
      </c>
      <c r="F157" s="7">
        <v>0.217826086956522</v>
      </c>
      <c r="G157" s="15">
        <v>0.34</v>
      </c>
      <c r="H157" s="15">
        <v>0.3</v>
      </c>
      <c r="I157" t="s">
        <v>372</v>
      </c>
      <c r="J157" s="16" t="s">
        <v>66</v>
      </c>
      <c r="K157" s="15"/>
      <c r="L157" s="4">
        <f>COUNTIFS(tItens[Produto],tProdutos[[#This Row],[Produto]])</f>
        <v>31</v>
      </c>
      <c r="M157" s="4">
        <f>SUMIFS(tItens[Primeira ocorrência],tItens[Produto],tProdutos[[#This Row],[Produto]])</f>
        <v>28</v>
      </c>
      <c r="N157" s="8">
        <f>SUMIFS(tItens[Valor],tItens[Produto],tProdutos[[#This Row],[Produto]])</f>
        <v>539935.72</v>
      </c>
      <c r="O157" s="8">
        <f>SUMIFS(tItens[Valor],tItens[Produto],tProdutos[[#This Row],[Produto]],tItens[SRP],"Sim")</f>
        <v>106842</v>
      </c>
      <c r="P157" s="6">
        <f>IF(tProdutos[[#This Row],[Valor janela]]=0,0,tProdutos[[#This Row],[Valor SRP]]/tProdutos[[#This Row],[Valor janela]])</f>
        <v>0.19787911049856083</v>
      </c>
      <c r="Q157" s="8">
        <f>tProdutos[[#This Row],[Valor janela]]*DiasMes/DiasJanela</f>
        <v>1799785.7333333332</v>
      </c>
      <c r="R157" s="8">
        <f>tProdutos[[#This Row],[Mercado mês ref]]*(1-IF(tProdutos[[#This Row],[Desconto homologado]]="",DescontoPadrao,tProdutos[[#This Row],[Desconto homologado]]))</f>
        <v>1407745.4496811586</v>
      </c>
      <c r="S157" t="str">
        <f>IF(ModoFoco="Lista",IF(tProdutos[[#This Row],[Lista definida]]="Sim","Sim","Não"),IF(AND(tProdutos[[#This Row],[Editais]]&gt;=MinEditais,N(tProdutos[[#This Row],[Margem bruta]])&gt;=MargemMin),"Sim","Não"))</f>
        <v>Não</v>
      </c>
      <c r="T157" s="4" t="str">
        <f>IF(tProdutos[[#This Row],[Elegível]]="Sim",COUNTIFS(tProdutos[Elegível],"Sim",tProdutos[Valor janela],"&gt;"&amp;tProdutos[[#This Row],[Valor janela]])+1,"")</f>
        <v/>
      </c>
      <c r="U157" t="str">
        <f>IF(ModoFoco="Lista",tProdutos[[#This Row],[Elegível]],IF(AND(tProdutos[[#This Row],[Posição]]&lt;&gt;"",N(tProdutos[[#This Row],[Posição]])&lt;=TopN),"Sim","Não"))</f>
        <v>Não</v>
      </c>
    </row>
    <row r="158" spans="1:21" x14ac:dyDescent="0.25">
      <c r="A158">
        <v>157</v>
      </c>
      <c r="B158" t="s">
        <v>373</v>
      </c>
      <c r="C158" t="s">
        <v>185</v>
      </c>
      <c r="D158" s="14">
        <v>41.721210450000008</v>
      </c>
      <c r="E158" s="7">
        <v>-0.13928112965340178</v>
      </c>
      <c r="F158" s="7">
        <v>0.340132997843278</v>
      </c>
      <c r="G158" s="15">
        <v>2.2800000000000001E-2</v>
      </c>
      <c r="H158" s="15">
        <v>0.03</v>
      </c>
      <c r="I158" t="s">
        <v>374</v>
      </c>
      <c r="J158" s="16" t="s">
        <v>66</v>
      </c>
      <c r="K158" s="15"/>
      <c r="L158" s="4">
        <f>COUNTIFS(tItens[Produto],tProdutos[[#This Row],[Produto]])</f>
        <v>1</v>
      </c>
      <c r="M158" s="4">
        <f>SUMIFS(tItens[Primeira ocorrência],tItens[Produto],tProdutos[[#This Row],[Produto]])</f>
        <v>1</v>
      </c>
      <c r="N158" s="8">
        <f>SUMIFS(tItens[Valor],tItens[Produto],tProdutos[[#This Row],[Produto]])</f>
        <v>4571</v>
      </c>
      <c r="O158" s="8">
        <f>SUMIFS(tItens[Valor],tItens[Produto],tProdutos[[#This Row],[Produto]],tItens[SRP],"Sim")</f>
        <v>0</v>
      </c>
      <c r="P158" s="6">
        <f>IF(tProdutos[[#This Row],[Valor janela]]=0,0,tProdutos[[#This Row],[Valor SRP]]/tProdutos[[#This Row],[Valor janela]])</f>
        <v>0</v>
      </c>
      <c r="Q158" s="8">
        <f>tProdutos[[#This Row],[Valor janela]]*DiasMes/DiasJanela</f>
        <v>15236.666666666666</v>
      </c>
      <c r="R158" s="8">
        <f>tProdutos[[#This Row],[Mercado mês ref]]*(1-IF(tProdutos[[#This Row],[Desconto homologado]]="",DescontoPadrao,tProdutos[[#This Row],[Desconto homologado]]))</f>
        <v>10054.173556194588</v>
      </c>
      <c r="S158" t="str">
        <f>IF(ModoFoco="Lista",IF(tProdutos[[#This Row],[Lista definida]]="Sim","Sim","Não"),IF(AND(tProdutos[[#This Row],[Editais]]&gt;=MinEditais,N(tProdutos[[#This Row],[Margem bruta]])&gt;=MargemMin),"Sim","Não"))</f>
        <v>Não</v>
      </c>
      <c r="T158" s="4" t="str">
        <f>IF(tProdutos[[#This Row],[Elegível]]="Sim",COUNTIFS(tProdutos[Elegível],"Sim",tProdutos[Valor janela],"&gt;"&amp;tProdutos[[#This Row],[Valor janela]])+1,"")</f>
        <v/>
      </c>
      <c r="U158" t="str">
        <f>IF(ModoFoco="Lista",tProdutos[[#This Row],[Elegível]],IF(AND(tProdutos[[#This Row],[Posição]]&lt;&gt;"",N(tProdutos[[#This Row],[Posição]])&lt;=TopN),"Sim","Não"))</f>
        <v>Não</v>
      </c>
    </row>
    <row r="159" spans="1:21" x14ac:dyDescent="0.25">
      <c r="A159">
        <v>158</v>
      </c>
      <c r="B159" t="s">
        <v>375</v>
      </c>
      <c r="C159" t="s">
        <v>185</v>
      </c>
      <c r="D159" s="14">
        <v>41.656156550000006</v>
      </c>
      <c r="E159" s="7">
        <v>6.487804878048975E-2</v>
      </c>
      <c r="F159" s="7">
        <v>0.25005895299481201</v>
      </c>
      <c r="G159" s="15">
        <v>1.6666666666666701</v>
      </c>
      <c r="H159" s="15">
        <v>1.8</v>
      </c>
      <c r="I159" t="s">
        <v>376</v>
      </c>
      <c r="J159" s="16" t="s">
        <v>66</v>
      </c>
      <c r="K159" s="15"/>
      <c r="L159" s="4">
        <f>COUNTIFS(tItens[Produto],tProdutos[[#This Row],[Produto]])</f>
        <v>146</v>
      </c>
      <c r="M159" s="4">
        <f>SUMIFS(tItens[Primeira ocorrência],tItens[Produto],tProdutos[[#This Row],[Produto]])</f>
        <v>37</v>
      </c>
      <c r="N159" s="8">
        <f>SUMIFS(tItens[Valor],tItens[Produto],tProdutos[[#This Row],[Produto]])</f>
        <v>393299.02000000014</v>
      </c>
      <c r="O159" s="8">
        <f>SUMIFS(tItens[Valor],tItens[Produto],tProdutos[[#This Row],[Produto]],tItens[SRP],"Sim")</f>
        <v>181230.85000000006</v>
      </c>
      <c r="P159" s="6">
        <f>IF(tProdutos[[#This Row],[Valor janela]]=0,0,tProdutos[[#This Row],[Valor SRP]]/tProdutos[[#This Row],[Valor janela]])</f>
        <v>0.46079659695058484</v>
      </c>
      <c r="Q159" s="8">
        <f>tProdutos[[#This Row],[Valor janela]]*DiasMes/DiasJanela</f>
        <v>1310996.7333333336</v>
      </c>
      <c r="R159" s="8">
        <f>tProdutos[[#This Row],[Mercado mês ref]]*(1-IF(tProdutos[[#This Row],[Desconto homologado]]="",DescontoPadrao,tProdutos[[#This Row],[Desconto homologado]]))</f>
        <v>983170.26281638141</v>
      </c>
      <c r="S159" t="str">
        <f>IF(ModoFoco="Lista",IF(tProdutos[[#This Row],[Lista definida]]="Sim","Sim","Não"),IF(AND(tProdutos[[#This Row],[Editais]]&gt;=MinEditais,N(tProdutos[[#This Row],[Margem bruta]])&gt;=MargemMin),"Sim","Não"))</f>
        <v>Não</v>
      </c>
      <c r="T159" s="4" t="str">
        <f>IF(tProdutos[[#This Row],[Elegível]]="Sim",COUNTIFS(tProdutos[Elegível],"Sim",tProdutos[Valor janela],"&gt;"&amp;tProdutos[[#This Row],[Valor janela]])+1,"")</f>
        <v/>
      </c>
      <c r="U159" t="str">
        <f>IF(ModoFoco="Lista",tProdutos[[#This Row],[Elegível]],IF(AND(tProdutos[[#This Row],[Posição]]&lt;&gt;"",N(tProdutos[[#This Row],[Posição]])&lt;=TopN),"Sim","Não"))</f>
        <v>Não</v>
      </c>
    </row>
    <row r="160" spans="1:21" x14ac:dyDescent="0.25">
      <c r="A160">
        <v>159</v>
      </c>
      <c r="B160" t="s">
        <v>377</v>
      </c>
      <c r="C160" t="s">
        <v>185</v>
      </c>
      <c r="D160" s="14">
        <v>41.600466249999997</v>
      </c>
      <c r="E160" s="7">
        <v>-0.16482554960078755</v>
      </c>
      <c r="F160" s="7">
        <v>0.29186603777106501</v>
      </c>
      <c r="G160" s="15">
        <v>0.1784</v>
      </c>
      <c r="H160" s="15">
        <v>0.24</v>
      </c>
      <c r="I160" t="s">
        <v>378</v>
      </c>
      <c r="J160" s="16" t="s">
        <v>66</v>
      </c>
      <c r="K160" s="15"/>
      <c r="L160" s="4">
        <f>COUNTIFS(tItens[Produto],tProdutos[[#This Row],[Produto]])</f>
        <v>29</v>
      </c>
      <c r="M160" s="4">
        <f>SUMIFS(tItens[Primeira ocorrência],tItens[Produto],tProdutos[[#This Row],[Produto]])</f>
        <v>10</v>
      </c>
      <c r="N160" s="8">
        <f>SUMIFS(tItens[Valor],tItens[Produto],tProdutos[[#This Row],[Produto]])</f>
        <v>118978.1</v>
      </c>
      <c r="O160" s="8">
        <f>SUMIFS(tItens[Valor],tItens[Produto],tProdutos[[#This Row],[Produto]],tItens[SRP],"Sim")</f>
        <v>63065.599999999999</v>
      </c>
      <c r="P160" s="6">
        <f>IF(tProdutos[[#This Row],[Valor janela]]=0,0,tProdutos[[#This Row],[Valor SRP]]/tProdutos[[#This Row],[Valor janela]])</f>
        <v>0.53006057417289398</v>
      </c>
      <c r="Q160" s="8">
        <f>tProdutos[[#This Row],[Valor janela]]*DiasMes/DiasJanela</f>
        <v>396593.66666666669</v>
      </c>
      <c r="R160" s="8">
        <f>tProdutos[[#This Row],[Mercado mês ref]]*(1-IF(tProdutos[[#This Row],[Desconto homologado]]="",DescontoPadrao,tProdutos[[#This Row],[Desconto homologado]]))</f>
        <v>280841.44457156816</v>
      </c>
      <c r="S160" t="str">
        <f>IF(ModoFoco="Lista",IF(tProdutos[[#This Row],[Lista definida]]="Sim","Sim","Não"),IF(AND(tProdutos[[#This Row],[Editais]]&gt;=MinEditais,N(tProdutos[[#This Row],[Margem bruta]])&gt;=MargemMin),"Sim","Não"))</f>
        <v>Não</v>
      </c>
      <c r="T160" s="4" t="str">
        <f>IF(tProdutos[[#This Row],[Elegível]]="Sim",COUNTIFS(tProdutos[Elegível],"Sim",tProdutos[Valor janela],"&gt;"&amp;tProdutos[[#This Row],[Valor janela]])+1,"")</f>
        <v/>
      </c>
      <c r="U160" t="str">
        <f>IF(ModoFoco="Lista",tProdutos[[#This Row],[Elegível]],IF(AND(tProdutos[[#This Row],[Posição]]&lt;&gt;"",N(tProdutos[[#This Row],[Posição]])&lt;=TopN),"Sim","Não"))</f>
        <v>Não</v>
      </c>
    </row>
    <row r="161" spans="1:21" x14ac:dyDescent="0.25">
      <c r="A161">
        <v>160</v>
      </c>
      <c r="B161" t="s">
        <v>379</v>
      </c>
      <c r="C161" t="s">
        <v>185</v>
      </c>
      <c r="D161" s="14">
        <v>41.52623659999999</v>
      </c>
      <c r="E161" s="7">
        <v>-6.189599631845355E-2</v>
      </c>
      <c r="F161" s="7">
        <v>0.49504950495049499</v>
      </c>
      <c r="G161" s="15">
        <v>0.53</v>
      </c>
      <c r="H161" s="15">
        <v>0.65</v>
      </c>
      <c r="I161" t="s">
        <v>380</v>
      </c>
      <c r="J161" s="16" t="s">
        <v>66</v>
      </c>
      <c r="K161" s="15"/>
      <c r="L161" s="4">
        <f>COUNTIFS(tItens[Produto],tProdutos[[#This Row],[Produto]])</f>
        <v>21</v>
      </c>
      <c r="M161" s="4">
        <f>SUMIFS(tItens[Primeira ocorrência],tItens[Produto],tProdutos[[#This Row],[Produto]])</f>
        <v>19</v>
      </c>
      <c r="N161" s="8">
        <f>SUMIFS(tItens[Valor],tItens[Produto],tProdutos[[#This Row],[Produto]])</f>
        <v>415694.5</v>
      </c>
      <c r="O161" s="8">
        <f>SUMIFS(tItens[Valor],tItens[Produto],tProdutos[[#This Row],[Produto]],tItens[SRP],"Sim")</f>
        <v>218592.7</v>
      </c>
      <c r="P161" s="6">
        <f>IF(tProdutos[[#This Row],[Valor janela]]=0,0,tProdutos[[#This Row],[Valor SRP]]/tProdutos[[#This Row],[Valor janela]])</f>
        <v>0.52584939180095003</v>
      </c>
      <c r="Q161" s="8">
        <f>tProdutos[[#This Row],[Valor janela]]*DiasMes/DiasJanela</f>
        <v>1385648.3333333333</v>
      </c>
      <c r="R161" s="8">
        <f>tProdutos[[#This Row],[Mercado mês ref]]*(1-IF(tProdutos[[#This Row],[Desconto homologado]]="",DescontoPadrao,tProdutos[[#This Row],[Desconto homologado]]))</f>
        <v>699683.81188118807</v>
      </c>
      <c r="S161" t="str">
        <f>IF(ModoFoco="Lista",IF(tProdutos[[#This Row],[Lista definida]]="Sim","Sim","Não"),IF(AND(tProdutos[[#This Row],[Editais]]&gt;=MinEditais,N(tProdutos[[#This Row],[Margem bruta]])&gt;=MargemMin),"Sim","Não"))</f>
        <v>Não</v>
      </c>
      <c r="T161" s="4" t="str">
        <f>IF(tProdutos[[#This Row],[Elegível]]="Sim",COUNTIFS(tProdutos[Elegível],"Sim",tProdutos[Valor janela],"&gt;"&amp;tProdutos[[#This Row],[Valor janela]])+1,"")</f>
        <v/>
      </c>
      <c r="U161" t="str">
        <f>IF(ModoFoco="Lista",tProdutos[[#This Row],[Elegível]],IF(AND(tProdutos[[#This Row],[Posição]]&lt;&gt;"",N(tProdutos[[#This Row],[Posição]])&lt;=TopN),"Sim","Não"))</f>
        <v>Não</v>
      </c>
    </row>
    <row r="162" spans="1:21" x14ac:dyDescent="0.25">
      <c r="A162">
        <v>161</v>
      </c>
      <c r="B162" t="s">
        <v>381</v>
      </c>
      <c r="C162" t="s">
        <v>185</v>
      </c>
      <c r="D162" s="14">
        <v>41.409610649999998</v>
      </c>
      <c r="E162" s="7">
        <v>-0.1091800269483878</v>
      </c>
      <c r="F162" s="7">
        <v>0.41112828438949001</v>
      </c>
      <c r="G162" s="15">
        <v>0.1249</v>
      </c>
      <c r="H162" s="15">
        <v>0.16</v>
      </c>
      <c r="I162" t="s">
        <v>382</v>
      </c>
      <c r="J162" s="16" t="s">
        <v>66</v>
      </c>
      <c r="K162" s="15"/>
      <c r="L162" s="4">
        <f>COUNTIFS(tItens[Produto],tProdutos[[#This Row],[Produto]])</f>
        <v>22</v>
      </c>
      <c r="M162" s="4">
        <f>SUMIFS(tItens[Primeira ocorrência],tItens[Produto],tProdutos[[#This Row],[Produto]])</f>
        <v>10</v>
      </c>
      <c r="N162" s="8">
        <f>SUMIFS(tItens[Valor],tItens[Produto],tProdutos[[#This Row],[Produto]])</f>
        <v>235620.1</v>
      </c>
      <c r="O162" s="8">
        <f>SUMIFS(tItens[Valor],tItens[Produto],tProdutos[[#This Row],[Produto]],tItens[SRP],"Sim")</f>
        <v>99529.1</v>
      </c>
      <c r="P162" s="6">
        <f>IF(tProdutos[[#This Row],[Valor janela]]=0,0,tProdutos[[#This Row],[Valor SRP]]/tProdutos[[#This Row],[Valor janela]])</f>
        <v>0.42241345284209625</v>
      </c>
      <c r="Q162" s="8">
        <f>tProdutos[[#This Row],[Valor janela]]*DiasMes/DiasJanela</f>
        <v>785400.33333333337</v>
      </c>
      <c r="R162" s="8">
        <f>tProdutos[[#This Row],[Mercado mês ref]]*(1-IF(tProdutos[[#This Row],[Desconto homologado]]="",DescontoPadrao,tProdutos[[#This Row],[Desconto homologado]]))</f>
        <v>462500.04173106642</v>
      </c>
      <c r="S162" t="str">
        <f>IF(ModoFoco="Lista",IF(tProdutos[[#This Row],[Lista definida]]="Sim","Sim","Não"),IF(AND(tProdutos[[#This Row],[Editais]]&gt;=MinEditais,N(tProdutos[[#This Row],[Margem bruta]])&gt;=MargemMin),"Sim","Não"))</f>
        <v>Não</v>
      </c>
      <c r="T162" s="4" t="str">
        <f>IF(tProdutos[[#This Row],[Elegível]]="Sim",COUNTIFS(tProdutos[Elegível],"Sim",tProdutos[Valor janela],"&gt;"&amp;tProdutos[[#This Row],[Valor janela]])+1,"")</f>
        <v/>
      </c>
      <c r="U162" t="str">
        <f>IF(ModoFoco="Lista",tProdutos[[#This Row],[Elegível]],IF(AND(tProdutos[[#This Row],[Posição]]&lt;&gt;"",N(tProdutos[[#This Row],[Posição]])&lt;=TopN),"Sim","Não"))</f>
        <v>Não</v>
      </c>
    </row>
    <row r="163" spans="1:21" x14ac:dyDescent="0.25">
      <c r="A163">
        <v>162</v>
      </c>
      <c r="B163" t="s">
        <v>383</v>
      </c>
      <c r="C163" t="s">
        <v>185</v>
      </c>
      <c r="D163" s="14">
        <v>41.369916500000009</v>
      </c>
      <c r="E163" s="7">
        <v>-0.35501355013550118</v>
      </c>
      <c r="F163" s="7">
        <v>0.48749999999999999</v>
      </c>
      <c r="G163" s="15">
        <v>4.3200000000000002E-2</v>
      </c>
      <c r="H163" s="15">
        <v>0.06</v>
      </c>
      <c r="I163" t="s">
        <v>384</v>
      </c>
      <c r="J163" s="16" t="s">
        <v>66</v>
      </c>
      <c r="K163" s="15"/>
      <c r="L163" s="4">
        <f>COUNTIFS(tItens[Produto],tProdutos[[#This Row],[Produto]])</f>
        <v>41</v>
      </c>
      <c r="M163" s="4">
        <f>SUMIFS(tItens[Primeira ocorrência],tItens[Produto],tProdutos[[#This Row],[Produto]])</f>
        <v>34</v>
      </c>
      <c r="N163" s="8">
        <f>SUMIFS(tItens[Valor],tItens[Produto],tProdutos[[#This Row],[Produto]])</f>
        <v>5008516.3100000005</v>
      </c>
      <c r="O163" s="8">
        <f>SUMIFS(tItens[Valor],tItens[Produto],tProdutos[[#This Row],[Produto]],tItens[SRP],"Sim")</f>
        <v>4413864.2</v>
      </c>
      <c r="P163" s="6">
        <f>IF(tProdutos[[#This Row],[Valor janela]]=0,0,tProdutos[[#This Row],[Valor SRP]]/tProdutos[[#This Row],[Valor janela]])</f>
        <v>0.88127180322589382</v>
      </c>
      <c r="Q163" s="8">
        <f>tProdutos[[#This Row],[Valor janela]]*DiasMes/DiasJanela</f>
        <v>16695054.366666669</v>
      </c>
      <c r="R163" s="8">
        <f>tProdutos[[#This Row],[Mercado mês ref]]*(1-IF(tProdutos[[#This Row],[Desconto homologado]]="",DescontoPadrao,tProdutos[[#This Row],[Desconto homologado]]))</f>
        <v>8556215.362916667</v>
      </c>
      <c r="S163" t="str">
        <f>IF(ModoFoco="Lista",IF(tProdutos[[#This Row],[Lista definida]]="Sim","Sim","Não"),IF(AND(tProdutos[[#This Row],[Editais]]&gt;=MinEditais,N(tProdutos[[#This Row],[Margem bruta]])&gt;=MargemMin),"Sim","Não"))</f>
        <v>Não</v>
      </c>
      <c r="T163" s="4" t="str">
        <f>IF(tProdutos[[#This Row],[Elegível]]="Sim",COUNTIFS(tProdutos[Elegível],"Sim",tProdutos[Valor janela],"&gt;"&amp;tProdutos[[#This Row],[Valor janela]])+1,"")</f>
        <v/>
      </c>
      <c r="U163" t="str">
        <f>IF(ModoFoco="Lista",tProdutos[[#This Row],[Elegível]],IF(AND(tProdutos[[#This Row],[Posição]]&lt;&gt;"",N(tProdutos[[#This Row],[Posição]])&lt;=TopN),"Sim","Não"))</f>
        <v>Não</v>
      </c>
    </row>
    <row r="164" spans="1:21" x14ac:dyDescent="0.25">
      <c r="A164">
        <v>163</v>
      </c>
      <c r="B164" t="s">
        <v>385</v>
      </c>
      <c r="C164" t="s">
        <v>185</v>
      </c>
      <c r="D164" s="14">
        <v>40.825527200000003</v>
      </c>
      <c r="E164" s="7">
        <v>-3.077816492450625E-2</v>
      </c>
      <c r="F164" s="7">
        <v>0.46969696969697</v>
      </c>
      <c r="G164" s="15">
        <v>8.4000000000000005E-2</v>
      </c>
      <c r="H164" s="15">
        <v>0.1</v>
      </c>
      <c r="I164" t="s">
        <v>386</v>
      </c>
      <c r="J164" s="16" t="s">
        <v>66</v>
      </c>
      <c r="K164" s="15"/>
      <c r="L164" s="4">
        <f>COUNTIFS(tItens[Produto],tProdutos[[#This Row],[Produto]])</f>
        <v>35</v>
      </c>
      <c r="M164" s="4">
        <f>SUMIFS(tItens[Primeira ocorrência],tItens[Produto],tProdutos[[#This Row],[Produto]])</f>
        <v>32</v>
      </c>
      <c r="N164" s="8">
        <f>SUMIFS(tItens[Valor],tItens[Produto],tProdutos[[#This Row],[Produto]])</f>
        <v>1128757.9100000001</v>
      </c>
      <c r="O164" s="8">
        <f>SUMIFS(tItens[Valor],tItens[Produto],tProdutos[[#This Row],[Produto]],tItens[SRP],"Sim")</f>
        <v>355423.89999999997</v>
      </c>
      <c r="P164" s="6">
        <f>IF(tProdutos[[#This Row],[Valor janela]]=0,0,tProdutos[[#This Row],[Valor SRP]]/tProdutos[[#This Row],[Valor janela]])</f>
        <v>0.31488053979617286</v>
      </c>
      <c r="Q164" s="8">
        <f>tProdutos[[#This Row],[Valor janela]]*DiasMes/DiasJanela</f>
        <v>3762526.3666666672</v>
      </c>
      <c r="R164" s="8">
        <f>tProdutos[[#This Row],[Mercado mês ref]]*(1-IF(tProdutos[[#This Row],[Desconto homologado]]="",DescontoPadrao,tProdutos[[#This Row],[Desconto homologado]]))</f>
        <v>1995279.1338383832</v>
      </c>
      <c r="S164" t="str">
        <f>IF(ModoFoco="Lista",IF(tProdutos[[#This Row],[Lista definida]]="Sim","Sim","Não"),IF(AND(tProdutos[[#This Row],[Editais]]&gt;=MinEditais,N(tProdutos[[#This Row],[Margem bruta]])&gt;=MargemMin),"Sim","Não"))</f>
        <v>Não</v>
      </c>
      <c r="T164" s="4" t="str">
        <f>IF(tProdutos[[#This Row],[Elegível]]="Sim",COUNTIFS(tProdutos[Elegível],"Sim",tProdutos[Valor janela],"&gt;"&amp;tProdutos[[#This Row],[Valor janela]])+1,"")</f>
        <v/>
      </c>
      <c r="U164" t="str">
        <f>IF(ModoFoco="Lista",tProdutos[[#This Row],[Elegível]],IF(AND(tProdutos[[#This Row],[Posição]]&lt;&gt;"",N(tProdutos[[#This Row],[Posição]])&lt;=TopN),"Sim","Não"))</f>
        <v>Não</v>
      </c>
    </row>
    <row r="165" spans="1:21" x14ac:dyDescent="0.25">
      <c r="A165">
        <v>164</v>
      </c>
      <c r="B165" t="s">
        <v>387</v>
      </c>
      <c r="C165" t="s">
        <v>185</v>
      </c>
      <c r="D165" s="14">
        <v>40.032878514953858</v>
      </c>
      <c r="E165" s="7">
        <v>0.14336704342653195</v>
      </c>
      <c r="F165" s="7">
        <v>0.30458221024258803</v>
      </c>
      <c r="G165" s="15">
        <v>10.25</v>
      </c>
      <c r="H165" s="15">
        <v>9</v>
      </c>
      <c r="I165" t="s">
        <v>388</v>
      </c>
      <c r="J165" s="16" t="s">
        <v>66</v>
      </c>
      <c r="K165" s="15"/>
      <c r="L165" s="4">
        <f>COUNTIFS(tItens[Produto],tProdutos[[#This Row],[Produto]])</f>
        <v>31</v>
      </c>
      <c r="M165" s="4">
        <f>SUMIFS(tItens[Primeira ocorrência],tItens[Produto],tProdutos[[#This Row],[Produto]])</f>
        <v>17</v>
      </c>
      <c r="N165" s="8">
        <f>SUMIFS(tItens[Valor],tItens[Produto],tProdutos[[#This Row],[Produto]])</f>
        <v>12397534.74</v>
      </c>
      <c r="O165" s="8">
        <f>SUMIFS(tItens[Valor],tItens[Produto],tProdutos[[#This Row],[Produto]],tItens[SRP],"Sim")</f>
        <v>29629.300000000003</v>
      </c>
      <c r="P165" s="6">
        <f>IF(tProdutos[[#This Row],[Valor janela]]=0,0,tProdutos[[#This Row],[Valor SRP]]/tProdutos[[#This Row],[Valor janela]])</f>
        <v>2.3899348234453911E-3</v>
      </c>
      <c r="Q165" s="8">
        <f>tProdutos[[#This Row],[Valor janela]]*DiasMes/DiasJanela</f>
        <v>41325115.800000004</v>
      </c>
      <c r="R165" s="8">
        <f>tProdutos[[#This Row],[Mercado mês ref]]*(1-IF(tProdutos[[#This Row],[Desconto homologado]]="",DescontoPadrao,tProdutos[[#This Row],[Desconto homologado]]))</f>
        <v>28738220.691105109</v>
      </c>
      <c r="S165" t="str">
        <f>IF(ModoFoco="Lista",IF(tProdutos[[#This Row],[Lista definida]]="Sim","Sim","Não"),IF(AND(tProdutos[[#This Row],[Editais]]&gt;=MinEditais,N(tProdutos[[#This Row],[Margem bruta]])&gt;=MargemMin),"Sim","Não"))</f>
        <v>Não</v>
      </c>
      <c r="T165" s="4" t="str">
        <f>IF(tProdutos[[#This Row],[Elegível]]="Sim",COUNTIFS(tProdutos[Elegível],"Sim",tProdutos[Valor janela],"&gt;"&amp;tProdutos[[#This Row],[Valor janela]])+1,"")</f>
        <v/>
      </c>
      <c r="U165" t="str">
        <f>IF(ModoFoco="Lista",tProdutos[[#This Row],[Elegível]],IF(AND(tProdutos[[#This Row],[Posição]]&lt;&gt;"",N(tProdutos[[#This Row],[Posição]])&lt;=TopN),"Sim","Não"))</f>
        <v>Não</v>
      </c>
    </row>
    <row r="166" spans="1:21" x14ac:dyDescent="0.25">
      <c r="A166">
        <v>165</v>
      </c>
      <c r="B166" t="s">
        <v>389</v>
      </c>
      <c r="C166" t="s">
        <v>185</v>
      </c>
      <c r="D166" s="14">
        <v>39.860686250000008</v>
      </c>
      <c r="E166" s="7">
        <v>-4.0650406504065151E-2</v>
      </c>
      <c r="F166" s="7">
        <v>0.39163140573577798</v>
      </c>
      <c r="G166" s="15">
        <v>1.5</v>
      </c>
      <c r="H166" s="15">
        <v>1.6</v>
      </c>
      <c r="I166" t="s">
        <v>390</v>
      </c>
      <c r="J166" s="16" t="s">
        <v>66</v>
      </c>
      <c r="K166" s="15"/>
      <c r="L166" s="4">
        <f>COUNTIFS(tItens[Produto],tProdutos[[#This Row],[Produto]])</f>
        <v>26</v>
      </c>
      <c r="M166" s="4">
        <f>SUMIFS(tItens[Primeira ocorrência],tItens[Produto],tProdutos[[#This Row],[Produto]])</f>
        <v>14</v>
      </c>
      <c r="N166" s="8">
        <f>SUMIFS(tItens[Valor],tItens[Produto],tProdutos[[#This Row],[Produto]])</f>
        <v>2626373.86</v>
      </c>
      <c r="O166" s="8">
        <f>SUMIFS(tItens[Valor],tItens[Produto],tProdutos[[#This Row],[Produto]],tItens[SRP],"Sim")</f>
        <v>2136949.36</v>
      </c>
      <c r="P166" s="6">
        <f>IF(tProdutos[[#This Row],[Valor janela]]=0,0,tProdutos[[#This Row],[Valor SRP]]/tProdutos[[#This Row],[Valor janela]])</f>
        <v>0.81365010235062274</v>
      </c>
      <c r="Q166" s="8">
        <f>tProdutos[[#This Row],[Valor janela]]*DiasMes/DiasJanela</f>
        <v>8754579.5333333332</v>
      </c>
      <c r="R166" s="8">
        <f>tProdutos[[#This Row],[Mercado mês ref]]*(1-IF(tProdutos[[#This Row],[Desconto homologado]]="",DescontoPadrao,tProdutos[[#This Row],[Desconto homologado]]))</f>
        <v>5326011.2440683292</v>
      </c>
      <c r="S166" t="str">
        <f>IF(ModoFoco="Lista",IF(tProdutos[[#This Row],[Lista definida]]="Sim","Sim","Não"),IF(AND(tProdutos[[#This Row],[Editais]]&gt;=MinEditais,N(tProdutos[[#This Row],[Margem bruta]])&gt;=MargemMin),"Sim","Não"))</f>
        <v>Não</v>
      </c>
      <c r="T166" s="4" t="str">
        <f>IF(tProdutos[[#This Row],[Elegível]]="Sim",COUNTIFS(tProdutos[Elegível],"Sim",tProdutos[Valor janela],"&gt;"&amp;tProdutos[[#This Row],[Valor janela]])+1,"")</f>
        <v/>
      </c>
      <c r="U166" t="str">
        <f>IF(ModoFoco="Lista",tProdutos[[#This Row],[Elegível]],IF(AND(tProdutos[[#This Row],[Posição]]&lt;&gt;"",N(tProdutos[[#This Row],[Posição]])&lt;=TopN),"Sim","Não"))</f>
        <v>Não</v>
      </c>
    </row>
    <row r="167" spans="1:21" x14ac:dyDescent="0.25">
      <c r="A167">
        <v>166</v>
      </c>
      <c r="B167" t="s">
        <v>391</v>
      </c>
      <c r="C167" t="s">
        <v>185</v>
      </c>
      <c r="D167" s="14">
        <v>39.588920185529688</v>
      </c>
      <c r="E167" s="7">
        <v>0.16744840525328342</v>
      </c>
      <c r="F167" s="7">
        <v>0.36956521739130399</v>
      </c>
      <c r="G167" s="15">
        <v>0.26</v>
      </c>
      <c r="H167" s="15">
        <v>0.25</v>
      </c>
      <c r="I167" t="s">
        <v>392</v>
      </c>
      <c r="J167" s="16" t="s">
        <v>66</v>
      </c>
      <c r="K167" s="15"/>
      <c r="L167" s="4">
        <f>COUNTIFS(tItens[Produto],tProdutos[[#This Row],[Produto]])</f>
        <v>0</v>
      </c>
      <c r="M167" s="4">
        <f>SUMIFS(tItens[Primeira ocorrência],tItens[Produto],tProdutos[[#This Row],[Produto]])</f>
        <v>0</v>
      </c>
      <c r="N167" s="8">
        <f>SUMIFS(tItens[Valor],tItens[Produto],tProdutos[[#This Row],[Produto]])</f>
        <v>0</v>
      </c>
      <c r="O167" s="8">
        <f>SUMIFS(tItens[Valor],tItens[Produto],tProdutos[[#This Row],[Produto]],tItens[SRP],"Sim")</f>
        <v>0</v>
      </c>
      <c r="P167" s="6">
        <f>IF(tProdutos[[#This Row],[Valor janela]]=0,0,tProdutos[[#This Row],[Valor SRP]]/tProdutos[[#This Row],[Valor janela]])</f>
        <v>0</v>
      </c>
      <c r="Q167" s="8">
        <f>tProdutos[[#This Row],[Valor janela]]*DiasMes/DiasJanela</f>
        <v>0</v>
      </c>
      <c r="R167" s="8">
        <f>tProdutos[[#This Row],[Mercado mês ref]]*(1-IF(tProdutos[[#This Row],[Desconto homologado]]="",DescontoPadrao,tProdutos[[#This Row],[Desconto homologado]]))</f>
        <v>0</v>
      </c>
      <c r="S167" t="str">
        <f>IF(ModoFoco="Lista",IF(tProdutos[[#This Row],[Lista definida]]="Sim","Sim","Não"),IF(AND(tProdutos[[#This Row],[Editais]]&gt;=MinEditais,N(tProdutos[[#This Row],[Margem bruta]])&gt;=MargemMin),"Sim","Não"))</f>
        <v>Não</v>
      </c>
      <c r="T167" s="4" t="str">
        <f>IF(tProdutos[[#This Row],[Elegível]]="Sim",COUNTIFS(tProdutos[Elegível],"Sim",tProdutos[Valor janela],"&gt;"&amp;tProdutos[[#This Row],[Valor janela]])+1,"")</f>
        <v/>
      </c>
      <c r="U167" t="str">
        <f>IF(ModoFoco="Lista",tProdutos[[#This Row],[Elegível]],IF(AND(tProdutos[[#This Row],[Posição]]&lt;&gt;"",N(tProdutos[[#This Row],[Posição]])&lt;=TopN),"Sim","Não"))</f>
        <v>Não</v>
      </c>
    </row>
    <row r="168" spans="1:21" x14ac:dyDescent="0.25">
      <c r="A168">
        <v>167</v>
      </c>
      <c r="B168" t="s">
        <v>393</v>
      </c>
      <c r="C168" t="s">
        <v>185</v>
      </c>
      <c r="D168" s="14">
        <v>39.524097735726748</v>
      </c>
      <c r="E168" s="7">
        <v>0.2826398852223817</v>
      </c>
      <c r="F168" s="7">
        <v>0.286445012787724</v>
      </c>
      <c r="G168" s="15">
        <v>10.88</v>
      </c>
      <c r="H168" s="15">
        <v>8</v>
      </c>
      <c r="I168" t="s">
        <v>394</v>
      </c>
      <c r="J168" s="16" t="s">
        <v>66</v>
      </c>
      <c r="K168" s="15"/>
      <c r="L168" s="4">
        <f>COUNTIFS(tItens[Produto],tProdutos[[#This Row],[Produto]])</f>
        <v>13</v>
      </c>
      <c r="M168" s="4">
        <f>SUMIFS(tItens[Primeira ocorrência],tItens[Produto],tProdutos[[#This Row],[Produto]])</f>
        <v>10</v>
      </c>
      <c r="N168" s="8">
        <f>SUMIFS(tItens[Valor],tItens[Produto],tProdutos[[#This Row],[Produto]])</f>
        <v>53363.1</v>
      </c>
      <c r="O168" s="8">
        <f>SUMIFS(tItens[Valor],tItens[Produto],tProdutos[[#This Row],[Produto]],tItens[SRP],"Sim")</f>
        <v>45304.800000000003</v>
      </c>
      <c r="P168" s="6">
        <f>IF(tProdutos[[#This Row],[Valor janela]]=0,0,tProdutos[[#This Row],[Valor SRP]]/tProdutos[[#This Row],[Valor janela]])</f>
        <v>0.84899115681060511</v>
      </c>
      <c r="Q168" s="8">
        <f>tProdutos[[#This Row],[Valor janela]]*DiasMes/DiasJanela</f>
        <v>177877</v>
      </c>
      <c r="R168" s="8">
        <f>tProdutos[[#This Row],[Mercado mês ref]]*(1-IF(tProdutos[[#This Row],[Desconto homologado]]="",DescontoPadrao,tProdutos[[#This Row],[Desconto homologado]]))</f>
        <v>126925.02046035801</v>
      </c>
      <c r="S168" t="str">
        <f>IF(ModoFoco="Lista",IF(tProdutos[[#This Row],[Lista definida]]="Sim","Sim","Não"),IF(AND(tProdutos[[#This Row],[Editais]]&gt;=MinEditais,N(tProdutos[[#This Row],[Margem bruta]])&gt;=MargemMin),"Sim","Não"))</f>
        <v>Não</v>
      </c>
      <c r="T168" s="4" t="str">
        <f>IF(tProdutos[[#This Row],[Elegível]]="Sim",COUNTIFS(tProdutos[Elegível],"Sim",tProdutos[Valor janela],"&gt;"&amp;tProdutos[[#This Row],[Valor janela]])+1,"")</f>
        <v/>
      </c>
      <c r="U168" t="str">
        <f>IF(ModoFoco="Lista",tProdutos[[#This Row],[Elegível]],IF(AND(tProdutos[[#This Row],[Posição]]&lt;&gt;"",N(tProdutos[[#This Row],[Posição]])&lt;=TopN),"Sim","Não"))</f>
        <v>Não</v>
      </c>
    </row>
    <row r="169" spans="1:21" x14ac:dyDescent="0.25">
      <c r="A169">
        <v>168</v>
      </c>
      <c r="B169" t="s">
        <v>395</v>
      </c>
      <c r="C169" t="s">
        <v>185</v>
      </c>
      <c r="D169" s="14">
        <v>39.227921600000009</v>
      </c>
      <c r="E169" s="7">
        <v>0.28787609043973661</v>
      </c>
      <c r="F169" s="7">
        <v>0.32733224222585899</v>
      </c>
      <c r="G169" s="15">
        <v>4.1099999999999998E-2</v>
      </c>
      <c r="H169" s="15">
        <v>0.03</v>
      </c>
      <c r="I169" t="s">
        <v>396</v>
      </c>
      <c r="J169" s="16" t="s">
        <v>66</v>
      </c>
      <c r="K169" s="15"/>
      <c r="L169" s="4">
        <f>COUNTIFS(tItens[Produto],tProdutos[[#This Row],[Produto]])</f>
        <v>0</v>
      </c>
      <c r="M169" s="4">
        <f>SUMIFS(tItens[Primeira ocorrência],tItens[Produto],tProdutos[[#This Row],[Produto]])</f>
        <v>0</v>
      </c>
      <c r="N169" s="8">
        <f>SUMIFS(tItens[Valor],tItens[Produto],tProdutos[[#This Row],[Produto]])</f>
        <v>0</v>
      </c>
      <c r="O169" s="8">
        <f>SUMIFS(tItens[Valor],tItens[Produto],tProdutos[[#This Row],[Produto]],tItens[SRP],"Sim")</f>
        <v>0</v>
      </c>
      <c r="P169" s="6">
        <f>IF(tProdutos[[#This Row],[Valor janela]]=0,0,tProdutos[[#This Row],[Valor SRP]]/tProdutos[[#This Row],[Valor janela]])</f>
        <v>0</v>
      </c>
      <c r="Q169" s="8">
        <f>tProdutos[[#This Row],[Valor janela]]*DiasMes/DiasJanela</f>
        <v>0</v>
      </c>
      <c r="R169" s="8">
        <f>tProdutos[[#This Row],[Mercado mês ref]]*(1-IF(tProdutos[[#This Row],[Desconto homologado]]="",DescontoPadrao,tProdutos[[#This Row],[Desconto homologado]]))</f>
        <v>0</v>
      </c>
      <c r="S169" t="str">
        <f>IF(ModoFoco="Lista",IF(tProdutos[[#This Row],[Lista definida]]="Sim","Sim","Não"),IF(AND(tProdutos[[#This Row],[Editais]]&gt;=MinEditais,N(tProdutos[[#This Row],[Margem bruta]])&gt;=MargemMin),"Sim","Não"))</f>
        <v>Não</v>
      </c>
      <c r="T169" s="4" t="str">
        <f>IF(tProdutos[[#This Row],[Elegível]]="Sim",COUNTIFS(tProdutos[Elegível],"Sim",tProdutos[Valor janela],"&gt;"&amp;tProdutos[[#This Row],[Valor janela]])+1,"")</f>
        <v/>
      </c>
      <c r="U169" t="str">
        <f>IF(ModoFoco="Lista",tProdutos[[#This Row],[Elegível]],IF(AND(tProdutos[[#This Row],[Posição]]&lt;&gt;"",N(tProdutos[[#This Row],[Posição]])&lt;=TopN),"Sim","Não"))</f>
        <v>Não</v>
      </c>
    </row>
    <row r="170" spans="1:21" x14ac:dyDescent="0.25">
      <c r="A170">
        <v>169</v>
      </c>
      <c r="B170" t="s">
        <v>397</v>
      </c>
      <c r="C170" t="s">
        <v>185</v>
      </c>
      <c r="D170" s="14">
        <v>38.982819849999998</v>
      </c>
      <c r="E170" s="7">
        <v>-6.4595985823379776E-2</v>
      </c>
      <c r="F170" s="7">
        <v>0.336426116838488</v>
      </c>
      <c r="G170" s="15">
        <v>9.7598000000000003</v>
      </c>
      <c r="H170" s="15">
        <v>12</v>
      </c>
      <c r="I170" t="s">
        <v>398</v>
      </c>
      <c r="J170" s="16" t="s">
        <v>66</v>
      </c>
      <c r="K170" s="15"/>
      <c r="L170" s="4">
        <f>COUNTIFS(tItens[Produto],tProdutos[[#This Row],[Produto]])</f>
        <v>6</v>
      </c>
      <c r="M170" s="4">
        <f>SUMIFS(tItens[Primeira ocorrência],tItens[Produto],tProdutos[[#This Row],[Produto]])</f>
        <v>4</v>
      </c>
      <c r="N170" s="8">
        <f>SUMIFS(tItens[Valor],tItens[Produto],tProdutos[[#This Row],[Produto]])</f>
        <v>99951</v>
      </c>
      <c r="O170" s="8">
        <f>SUMIFS(tItens[Valor],tItens[Produto],tProdutos[[#This Row],[Produto]],tItens[SRP],"Sim")</f>
        <v>99951</v>
      </c>
      <c r="P170" s="6">
        <f>IF(tProdutos[[#This Row],[Valor janela]]=0,0,tProdutos[[#This Row],[Valor SRP]]/tProdutos[[#This Row],[Valor janela]])</f>
        <v>1</v>
      </c>
      <c r="Q170" s="8">
        <f>tProdutos[[#This Row],[Valor janela]]*DiasMes/DiasJanela</f>
        <v>333170</v>
      </c>
      <c r="R170" s="8">
        <f>tProdutos[[#This Row],[Mercado mês ref]]*(1-IF(tProdutos[[#This Row],[Desconto homologado]]="",DescontoPadrao,tProdutos[[#This Row],[Desconto homologado]]))</f>
        <v>221082.91065292095</v>
      </c>
      <c r="S170" t="str">
        <f>IF(ModoFoco="Lista",IF(tProdutos[[#This Row],[Lista definida]]="Sim","Sim","Não"),IF(AND(tProdutos[[#This Row],[Editais]]&gt;=MinEditais,N(tProdutos[[#This Row],[Margem bruta]])&gt;=MargemMin),"Sim","Não"))</f>
        <v>Não</v>
      </c>
      <c r="T170" s="4" t="str">
        <f>IF(tProdutos[[#This Row],[Elegível]]="Sim",COUNTIFS(tProdutos[Elegível],"Sim",tProdutos[Valor janela],"&gt;"&amp;tProdutos[[#This Row],[Valor janela]])+1,"")</f>
        <v/>
      </c>
      <c r="U170" t="str">
        <f>IF(ModoFoco="Lista",tProdutos[[#This Row],[Elegível]],IF(AND(tProdutos[[#This Row],[Posição]]&lt;&gt;"",N(tProdutos[[#This Row],[Posição]])&lt;=TopN),"Sim","Não"))</f>
        <v>Não</v>
      </c>
    </row>
    <row r="171" spans="1:21" x14ac:dyDescent="0.25">
      <c r="A171">
        <v>170</v>
      </c>
      <c r="B171" t="s">
        <v>399</v>
      </c>
      <c r="C171" t="s">
        <v>185</v>
      </c>
      <c r="D171" s="14">
        <v>38.870182322628295</v>
      </c>
      <c r="E171" s="7">
        <v>0.19220021905406279</v>
      </c>
      <c r="F171" s="7">
        <v>0.30009041591320101</v>
      </c>
      <c r="G171" s="15">
        <v>8.0389999999999997</v>
      </c>
      <c r="H171" s="15">
        <v>7.5</v>
      </c>
      <c r="I171" t="s">
        <v>400</v>
      </c>
      <c r="J171" s="16" t="s">
        <v>66</v>
      </c>
      <c r="K171" s="15"/>
      <c r="L171" s="4">
        <f>COUNTIFS(tItens[Produto],tProdutos[[#This Row],[Produto]])</f>
        <v>31</v>
      </c>
      <c r="M171" s="4">
        <f>SUMIFS(tItens[Primeira ocorrência],tItens[Produto],tProdutos[[#This Row],[Produto]])</f>
        <v>18</v>
      </c>
      <c r="N171" s="8">
        <f>SUMIFS(tItens[Valor],tItens[Produto],tProdutos[[#This Row],[Produto]])</f>
        <v>148853.31999999995</v>
      </c>
      <c r="O171" s="8">
        <f>SUMIFS(tItens[Valor],tItens[Produto],tProdutos[[#This Row],[Produto]],tItens[SRP],"Sim")</f>
        <v>143336.87999999998</v>
      </c>
      <c r="P171" s="6">
        <f>IF(tProdutos[[#This Row],[Valor janela]]=0,0,tProdutos[[#This Row],[Valor SRP]]/tProdutos[[#This Row],[Valor janela]])</f>
        <v>0.96294043021680686</v>
      </c>
      <c r="Q171" s="8">
        <f>tProdutos[[#This Row],[Valor janela]]*DiasMes/DiasJanela</f>
        <v>496177.73333333316</v>
      </c>
      <c r="R171" s="8">
        <f>tProdutos[[#This Row],[Mercado mês ref]]*(1-IF(tProdutos[[#This Row],[Desconto homologado]]="",DescontoPadrao,tProdutos[[#This Row],[Desconto homologado]]))</f>
        <v>347279.5509704639</v>
      </c>
      <c r="S171" t="str">
        <f>IF(ModoFoco="Lista",IF(tProdutos[[#This Row],[Lista definida]]="Sim","Sim","Não"),IF(AND(tProdutos[[#This Row],[Editais]]&gt;=MinEditais,N(tProdutos[[#This Row],[Margem bruta]])&gt;=MargemMin),"Sim","Não"))</f>
        <v>Não</v>
      </c>
      <c r="T171" s="4" t="str">
        <f>IF(tProdutos[[#This Row],[Elegível]]="Sim",COUNTIFS(tProdutos[Elegível],"Sim",tProdutos[Valor janela],"&gt;"&amp;tProdutos[[#This Row],[Valor janela]])+1,"")</f>
        <v/>
      </c>
      <c r="U171" t="str">
        <f>IF(ModoFoco="Lista",tProdutos[[#This Row],[Elegível]],IF(AND(tProdutos[[#This Row],[Posição]]&lt;&gt;"",N(tProdutos[[#This Row],[Posição]])&lt;=TopN),"Sim","Não"))</f>
        <v>Não</v>
      </c>
    </row>
    <row r="172" spans="1:21" x14ac:dyDescent="0.25">
      <c r="A172">
        <v>171</v>
      </c>
      <c r="B172" t="s">
        <v>401</v>
      </c>
      <c r="C172" t="s">
        <v>185</v>
      </c>
      <c r="D172" s="14">
        <v>38.7688994367292</v>
      </c>
      <c r="E172" s="7">
        <v>0.10868005738880948</v>
      </c>
      <c r="F172" s="7">
        <v>0.38211382113821102</v>
      </c>
      <c r="G172" s="15">
        <v>0.68</v>
      </c>
      <c r="H172" s="15">
        <v>0.7</v>
      </c>
      <c r="I172" t="s">
        <v>402</v>
      </c>
      <c r="J172" s="16" t="s">
        <v>66</v>
      </c>
      <c r="K172" s="15"/>
      <c r="L172" s="4">
        <f>COUNTIFS(tItens[Produto],tProdutos[[#This Row],[Produto]])</f>
        <v>5</v>
      </c>
      <c r="M172" s="4">
        <f>SUMIFS(tItens[Primeira ocorrência],tItens[Produto],tProdutos[[#This Row],[Produto]])</f>
        <v>4</v>
      </c>
      <c r="N172" s="8">
        <f>SUMIFS(tItens[Valor],tItens[Produto],tProdutos[[#This Row],[Produto]])</f>
        <v>9276.4600000000009</v>
      </c>
      <c r="O172" s="8">
        <f>SUMIFS(tItens[Valor],tItens[Produto],tProdutos[[#This Row],[Produto]],tItens[SRP],"Sim")</f>
        <v>1105</v>
      </c>
      <c r="P172" s="6">
        <f>IF(tProdutos[[#This Row],[Valor janela]]=0,0,tProdutos[[#This Row],[Valor SRP]]/tProdutos[[#This Row],[Valor janela]])</f>
        <v>0.11911871554450727</v>
      </c>
      <c r="Q172" s="8">
        <f>tProdutos[[#This Row],[Valor janela]]*DiasMes/DiasJanela</f>
        <v>30921.533333333336</v>
      </c>
      <c r="R172" s="8">
        <f>tProdutos[[#This Row],[Mercado mês ref]]*(1-IF(tProdutos[[#This Row],[Desconto homologado]]="",DescontoPadrao,tProdutos[[#This Row],[Desconto homologado]]))</f>
        <v>19105.98807588077</v>
      </c>
      <c r="S172" t="str">
        <f>IF(ModoFoco="Lista",IF(tProdutos[[#This Row],[Lista definida]]="Sim","Sim","Não"),IF(AND(tProdutos[[#This Row],[Editais]]&gt;=MinEditais,N(tProdutos[[#This Row],[Margem bruta]])&gt;=MargemMin),"Sim","Não"))</f>
        <v>Não</v>
      </c>
      <c r="T172" s="4" t="str">
        <f>IF(tProdutos[[#This Row],[Elegível]]="Sim",COUNTIFS(tProdutos[Elegível],"Sim",tProdutos[Valor janela],"&gt;"&amp;tProdutos[[#This Row],[Valor janela]])+1,"")</f>
        <v/>
      </c>
      <c r="U172" t="str">
        <f>IF(ModoFoco="Lista",tProdutos[[#This Row],[Elegível]],IF(AND(tProdutos[[#This Row],[Posição]]&lt;&gt;"",N(tProdutos[[#This Row],[Posição]])&lt;=TopN),"Sim","Não"))</f>
        <v>Não</v>
      </c>
    </row>
    <row r="173" spans="1:21" x14ac:dyDescent="0.25">
      <c r="A173">
        <v>172</v>
      </c>
      <c r="B173" t="s">
        <v>403</v>
      </c>
      <c r="C173" t="s">
        <v>185</v>
      </c>
      <c r="D173" s="14">
        <v>38.387436500000007</v>
      </c>
      <c r="E173" s="7">
        <v>-7.0791195716835453E-2</v>
      </c>
      <c r="F173" s="7">
        <v>0.35326086956521702</v>
      </c>
      <c r="G173" s="15">
        <v>0.82</v>
      </c>
      <c r="H173" s="15">
        <v>0.9</v>
      </c>
      <c r="I173" t="s">
        <v>404</v>
      </c>
      <c r="J173" s="16" t="s">
        <v>66</v>
      </c>
      <c r="K173" s="15"/>
      <c r="L173" s="4">
        <f>COUNTIFS(tItens[Produto],tProdutos[[#This Row],[Produto]])</f>
        <v>33</v>
      </c>
      <c r="M173" s="4">
        <f>SUMIFS(tItens[Primeira ocorrência],tItens[Produto],tProdutos[[#This Row],[Produto]])</f>
        <v>32</v>
      </c>
      <c r="N173" s="8">
        <f>SUMIFS(tItens[Valor],tItens[Produto],tProdutos[[#This Row],[Produto]])</f>
        <v>226914.71</v>
      </c>
      <c r="O173" s="8">
        <f>SUMIFS(tItens[Valor],tItens[Produto],tProdutos[[#This Row],[Produto]],tItens[SRP],"Sim")</f>
        <v>68993.05</v>
      </c>
      <c r="P173" s="6">
        <f>IF(tProdutos[[#This Row],[Valor janela]]=0,0,tProdutos[[#This Row],[Valor SRP]]/tProdutos[[#This Row],[Valor janela]])</f>
        <v>0.30404838011603569</v>
      </c>
      <c r="Q173" s="8">
        <f>tProdutos[[#This Row],[Valor janela]]*DiasMes/DiasJanela</f>
        <v>756382.3666666667</v>
      </c>
      <c r="R173" s="8">
        <f>tProdutos[[#This Row],[Mercado mês ref]]*(1-IF(tProdutos[[#This Row],[Desconto homologado]]="",DescontoPadrao,tProdutos[[#This Row],[Desconto homologado]]))</f>
        <v>489182.07409420318</v>
      </c>
      <c r="S173" t="str">
        <f>IF(ModoFoco="Lista",IF(tProdutos[[#This Row],[Lista definida]]="Sim","Sim","Não"),IF(AND(tProdutos[[#This Row],[Editais]]&gt;=MinEditais,N(tProdutos[[#This Row],[Margem bruta]])&gt;=MargemMin),"Sim","Não"))</f>
        <v>Não</v>
      </c>
      <c r="T173" s="4" t="str">
        <f>IF(tProdutos[[#This Row],[Elegível]]="Sim",COUNTIFS(tProdutos[Elegível],"Sim",tProdutos[Valor janela],"&gt;"&amp;tProdutos[[#This Row],[Valor janela]])+1,"")</f>
        <v/>
      </c>
      <c r="U173" t="str">
        <f>IF(ModoFoco="Lista",tProdutos[[#This Row],[Elegível]],IF(AND(tProdutos[[#This Row],[Posição]]&lt;&gt;"",N(tProdutos[[#This Row],[Posição]])&lt;=TopN),"Sim","Não"))</f>
        <v>Não</v>
      </c>
    </row>
    <row r="174" spans="1:21" x14ac:dyDescent="0.25">
      <c r="A174">
        <v>173</v>
      </c>
      <c r="B174" t="s">
        <v>405</v>
      </c>
      <c r="C174" t="s">
        <v>185</v>
      </c>
      <c r="D174" s="14">
        <v>38.280614392458311</v>
      </c>
      <c r="E174" s="7">
        <v>0.1882621951219513</v>
      </c>
      <c r="F174" s="7">
        <v>0.43839061190276601</v>
      </c>
      <c r="G174" s="15">
        <v>4.8</v>
      </c>
      <c r="H174" s="15">
        <v>4.5</v>
      </c>
      <c r="I174" t="s">
        <v>406</v>
      </c>
      <c r="J174" s="16" t="s">
        <v>66</v>
      </c>
      <c r="K174" s="15"/>
      <c r="L174" s="4">
        <f>COUNTIFS(tItens[Produto],tProdutos[[#This Row],[Produto]])</f>
        <v>9</v>
      </c>
      <c r="M174" s="4">
        <f>SUMIFS(tItens[Primeira ocorrência],tItens[Produto],tProdutos[[#This Row],[Produto]])</f>
        <v>6</v>
      </c>
      <c r="N174" s="8">
        <f>SUMIFS(tItens[Valor],tItens[Produto],tProdutos[[#This Row],[Produto]])</f>
        <v>27143</v>
      </c>
      <c r="O174" s="8">
        <f>SUMIFS(tItens[Valor],tItens[Produto],tProdutos[[#This Row],[Produto]],tItens[SRP],"Sim")</f>
        <v>27143</v>
      </c>
      <c r="P174" s="6">
        <f>IF(tProdutos[[#This Row],[Valor janela]]=0,0,tProdutos[[#This Row],[Valor SRP]]/tProdutos[[#This Row],[Valor janela]])</f>
        <v>1</v>
      </c>
      <c r="Q174" s="8">
        <f>tProdutos[[#This Row],[Valor janela]]*DiasMes/DiasJanela</f>
        <v>90476.666666666672</v>
      </c>
      <c r="R174" s="8">
        <f>tProdutos[[#This Row],[Mercado mês ref]]*(1-IF(tProdutos[[#This Row],[Desconto homologado]]="",DescontoPadrao,tProdutos[[#This Row],[Desconto homologado]]))</f>
        <v>50812.545403744072</v>
      </c>
      <c r="S174" t="str">
        <f>IF(ModoFoco="Lista",IF(tProdutos[[#This Row],[Lista definida]]="Sim","Sim","Não"),IF(AND(tProdutos[[#This Row],[Editais]]&gt;=MinEditais,N(tProdutos[[#This Row],[Margem bruta]])&gt;=MargemMin),"Sim","Não"))</f>
        <v>Não</v>
      </c>
      <c r="T174" s="4" t="str">
        <f>IF(tProdutos[[#This Row],[Elegível]]="Sim",COUNTIFS(tProdutos[Elegível],"Sim",tProdutos[Valor janela],"&gt;"&amp;tProdutos[[#This Row],[Valor janela]])+1,"")</f>
        <v/>
      </c>
      <c r="U174" t="str">
        <f>IF(ModoFoco="Lista",tProdutos[[#This Row],[Elegível]],IF(AND(tProdutos[[#This Row],[Posição]]&lt;&gt;"",N(tProdutos[[#This Row],[Posição]])&lt;=TopN),"Sim","Não"))</f>
        <v>Não</v>
      </c>
    </row>
    <row r="175" spans="1:21" x14ac:dyDescent="0.25">
      <c r="A175">
        <v>174</v>
      </c>
      <c r="B175" t="s">
        <v>407</v>
      </c>
      <c r="C175" t="s">
        <v>185</v>
      </c>
      <c r="D175" s="14">
        <v>38.052052000000003</v>
      </c>
      <c r="E175" s="7">
        <v>-3.9024390243902474E-2</v>
      </c>
      <c r="F175" s="7">
        <v>0.31311274509803899</v>
      </c>
      <c r="G175" s="15">
        <v>0.35</v>
      </c>
      <c r="H175" s="15">
        <v>0.42</v>
      </c>
      <c r="I175" t="s">
        <v>408</v>
      </c>
      <c r="J175" s="16" t="s">
        <v>66</v>
      </c>
      <c r="K175" s="15"/>
      <c r="L175" s="4">
        <f>COUNTIFS(tItens[Produto],tProdutos[[#This Row],[Produto]])</f>
        <v>6</v>
      </c>
      <c r="M175" s="4">
        <f>SUMIFS(tItens[Primeira ocorrência],tItens[Produto],tProdutos[[#This Row],[Produto]])</f>
        <v>4</v>
      </c>
      <c r="N175" s="8">
        <f>SUMIFS(tItens[Valor],tItens[Produto],tProdutos[[#This Row],[Produto]])</f>
        <v>10522908.890000001</v>
      </c>
      <c r="O175" s="8">
        <f>SUMIFS(tItens[Valor],tItens[Produto],tProdutos[[#This Row],[Produto]],tItens[SRP],"Sim")</f>
        <v>5236298.8899999997</v>
      </c>
      <c r="P175" s="6">
        <f>IF(tProdutos[[#This Row],[Valor janela]]=0,0,tProdutos[[#This Row],[Valor SRP]]/tProdutos[[#This Row],[Valor janela]])</f>
        <v>0.49760944855999789</v>
      </c>
      <c r="Q175" s="8">
        <f>tProdutos[[#This Row],[Valor janela]]*DiasMes/DiasJanela</f>
        <v>35076362.966666669</v>
      </c>
      <c r="R175" s="8">
        <f>tProdutos[[#This Row],[Mercado mês ref]]*(1-IF(tProdutos[[#This Row],[Desconto homologado]]="",DescontoPadrao,tProdutos[[#This Row],[Desconto homologado]]))</f>
        <v>24093506.670118473</v>
      </c>
      <c r="S175" t="str">
        <f>IF(ModoFoco="Lista",IF(tProdutos[[#This Row],[Lista definida]]="Sim","Sim","Não"),IF(AND(tProdutos[[#This Row],[Editais]]&gt;=MinEditais,N(tProdutos[[#This Row],[Margem bruta]])&gt;=MargemMin),"Sim","Não"))</f>
        <v>Não</v>
      </c>
      <c r="T175" s="4" t="str">
        <f>IF(tProdutos[[#This Row],[Elegível]]="Sim",COUNTIFS(tProdutos[Elegível],"Sim",tProdutos[Valor janela],"&gt;"&amp;tProdutos[[#This Row],[Valor janela]])+1,"")</f>
        <v/>
      </c>
      <c r="U175" t="str">
        <f>IF(ModoFoco="Lista",tProdutos[[#This Row],[Elegível]],IF(AND(tProdutos[[#This Row],[Posição]]&lt;&gt;"",N(tProdutos[[#This Row],[Posição]])&lt;=TopN),"Sim","Não"))</f>
        <v>Não</v>
      </c>
    </row>
    <row r="176" spans="1:21" x14ac:dyDescent="0.25">
      <c r="A176">
        <v>175</v>
      </c>
      <c r="B176" t="s">
        <v>409</v>
      </c>
      <c r="C176" t="s">
        <v>185</v>
      </c>
      <c r="D176" s="14">
        <v>37.685368800000006</v>
      </c>
      <c r="E176" s="7">
        <v>-8.0010800108001323E-2</v>
      </c>
      <c r="F176" s="7">
        <v>0.24924924924924899</v>
      </c>
      <c r="G176" s="15">
        <v>2.71</v>
      </c>
      <c r="H176" s="15">
        <v>3</v>
      </c>
      <c r="I176" t="s">
        <v>410</v>
      </c>
      <c r="J176" s="16" t="s">
        <v>66</v>
      </c>
      <c r="K176" s="15"/>
      <c r="L176" s="4">
        <f>COUNTIFS(tItens[Produto],tProdutos[[#This Row],[Produto]])</f>
        <v>71</v>
      </c>
      <c r="M176" s="4">
        <f>SUMIFS(tItens[Primeira ocorrência],tItens[Produto],tProdutos[[#This Row],[Produto]])</f>
        <v>42</v>
      </c>
      <c r="N176" s="8">
        <f>SUMIFS(tItens[Valor],tItens[Produto],tProdutos[[#This Row],[Produto]])</f>
        <v>1657906.54</v>
      </c>
      <c r="O176" s="8">
        <f>SUMIFS(tItens[Valor],tItens[Produto],tProdutos[[#This Row],[Produto]],tItens[SRP],"Sim")</f>
        <v>722414</v>
      </c>
      <c r="P176" s="6">
        <f>IF(tProdutos[[#This Row],[Valor janela]]=0,0,tProdutos[[#This Row],[Valor SRP]]/tProdutos[[#This Row],[Valor janela]])</f>
        <v>0.43573867559506702</v>
      </c>
      <c r="Q176" s="8">
        <f>tProdutos[[#This Row],[Valor janela]]*DiasMes/DiasJanela</f>
        <v>5526355.1333333338</v>
      </c>
      <c r="R176" s="8">
        <f>tProdutos[[#This Row],[Mercado mês ref]]*(1-IF(tProdutos[[#This Row],[Desconto homologado]]="",DescontoPadrao,tProdutos[[#This Row],[Desconto homologado]]))</f>
        <v>4148915.2652652673</v>
      </c>
      <c r="S176" t="str">
        <f>IF(ModoFoco="Lista",IF(tProdutos[[#This Row],[Lista definida]]="Sim","Sim","Não"),IF(AND(tProdutos[[#This Row],[Editais]]&gt;=MinEditais,N(tProdutos[[#This Row],[Margem bruta]])&gt;=MargemMin),"Sim","Não"))</f>
        <v>Não</v>
      </c>
      <c r="T176" s="4" t="str">
        <f>IF(tProdutos[[#This Row],[Elegível]]="Sim",COUNTIFS(tProdutos[Elegível],"Sim",tProdutos[Valor janela],"&gt;"&amp;tProdutos[[#This Row],[Valor janela]])+1,"")</f>
        <v/>
      </c>
      <c r="U176" t="str">
        <f>IF(ModoFoco="Lista",tProdutos[[#This Row],[Elegível]],IF(AND(tProdutos[[#This Row],[Posição]]&lt;&gt;"",N(tProdutos[[#This Row],[Posição]])&lt;=TopN),"Sim","Não"))</f>
        <v>Não</v>
      </c>
    </row>
    <row r="177" spans="1:21" x14ac:dyDescent="0.25">
      <c r="A177">
        <v>176</v>
      </c>
      <c r="B177" t="s">
        <v>411</v>
      </c>
      <c r="C177" t="s">
        <v>185</v>
      </c>
      <c r="D177" s="14">
        <v>37.128451349999999</v>
      </c>
      <c r="E177" s="7">
        <v>-1.0615563298490125</v>
      </c>
      <c r="F177" s="7">
        <v>0.50029835957199398</v>
      </c>
      <c r="G177" s="15">
        <v>2.1</v>
      </c>
      <c r="H177" s="15">
        <v>5</v>
      </c>
      <c r="I177" t="s">
        <v>412</v>
      </c>
      <c r="J177" s="16" t="s">
        <v>66</v>
      </c>
      <c r="K177" s="15"/>
      <c r="L177" s="4">
        <f>COUNTIFS(tItens[Produto],tProdutos[[#This Row],[Produto]])</f>
        <v>86</v>
      </c>
      <c r="M177" s="4">
        <f>SUMIFS(tItens[Primeira ocorrência],tItens[Produto],tProdutos[[#This Row],[Produto]])</f>
        <v>69</v>
      </c>
      <c r="N177" s="8">
        <f>SUMIFS(tItens[Valor],tItens[Produto],tProdutos[[#This Row],[Produto]])</f>
        <v>2315237.1499999994</v>
      </c>
      <c r="O177" s="8">
        <f>SUMIFS(tItens[Valor],tItens[Produto],tProdutos[[#This Row],[Produto]],tItens[SRP],"Sim")</f>
        <v>483317.93000000011</v>
      </c>
      <c r="P177" s="6">
        <f>IF(tProdutos[[#This Row],[Valor janela]]=0,0,tProdutos[[#This Row],[Valor SRP]]/tProdutos[[#This Row],[Valor janela]])</f>
        <v>0.20875525861357236</v>
      </c>
      <c r="Q177" s="8">
        <f>tProdutos[[#This Row],[Valor janela]]*DiasMes/DiasJanela</f>
        <v>7717457.1666666642</v>
      </c>
      <c r="R177" s="8">
        <f>tProdutos[[#This Row],[Mercado mês ref]]*(1-IF(tProdutos[[#This Row],[Desconto homologado]]="",DescontoPadrao,tProdutos[[#This Row],[Desconto homologado]]))</f>
        <v>3856426.0061162035</v>
      </c>
      <c r="S177" t="str">
        <f>IF(ModoFoco="Lista",IF(tProdutos[[#This Row],[Lista definida]]="Sim","Sim","Não"),IF(AND(tProdutos[[#This Row],[Editais]]&gt;=MinEditais,N(tProdutos[[#This Row],[Margem bruta]])&gt;=MargemMin),"Sim","Não"))</f>
        <v>Não</v>
      </c>
      <c r="T177" s="4" t="str">
        <f>IF(tProdutos[[#This Row],[Elegível]]="Sim",COUNTIFS(tProdutos[Elegível],"Sim",tProdutos[Valor janela],"&gt;"&amp;tProdutos[[#This Row],[Valor janela]])+1,"")</f>
        <v/>
      </c>
      <c r="U177" t="str">
        <f>IF(ModoFoco="Lista",tProdutos[[#This Row],[Elegível]],IF(AND(tProdutos[[#This Row],[Posição]]&lt;&gt;"",N(tProdutos[[#This Row],[Posição]])&lt;=TopN),"Sim","Não"))</f>
        <v>Não</v>
      </c>
    </row>
    <row r="178" spans="1:21" x14ac:dyDescent="0.25">
      <c r="A178">
        <v>177</v>
      </c>
      <c r="B178" t="s">
        <v>413</v>
      </c>
      <c r="C178" t="s">
        <v>185</v>
      </c>
      <c r="D178" s="14">
        <v>36.589321850000005</v>
      </c>
      <c r="E178" s="7">
        <v>0.10756451303009695</v>
      </c>
      <c r="F178" s="7">
        <v>0.477732793522267</v>
      </c>
      <c r="G178" s="15">
        <v>1.3583000000000001</v>
      </c>
      <c r="H178" s="15">
        <v>1.4</v>
      </c>
      <c r="I178" t="s">
        <v>414</v>
      </c>
      <c r="J178" s="16" t="s">
        <v>66</v>
      </c>
      <c r="K178" s="15"/>
      <c r="L178" s="4">
        <f>COUNTIFS(tItens[Produto],tProdutos[[#This Row],[Produto]])</f>
        <v>79</v>
      </c>
      <c r="M178" s="4">
        <f>SUMIFS(tItens[Primeira ocorrência],tItens[Produto],tProdutos[[#This Row],[Produto]])</f>
        <v>32</v>
      </c>
      <c r="N178" s="8">
        <f>SUMIFS(tItens[Valor],tItens[Produto],tProdutos[[#This Row],[Produto]])</f>
        <v>229537.45</v>
      </c>
      <c r="O178" s="8">
        <f>SUMIFS(tItens[Valor],tItens[Produto],tProdutos[[#This Row],[Produto]],tItens[SRP],"Sim")</f>
        <v>67620.650000000009</v>
      </c>
      <c r="P178" s="6">
        <f>IF(tProdutos[[#This Row],[Valor janela]]=0,0,tProdutos[[#This Row],[Valor SRP]]/tProdutos[[#This Row],[Valor janela]])</f>
        <v>0.29459528281768405</v>
      </c>
      <c r="Q178" s="8">
        <f>tProdutos[[#This Row],[Valor janela]]*DiasMes/DiasJanela</f>
        <v>765124.83333333337</v>
      </c>
      <c r="R178" s="8">
        <f>tProdutos[[#This Row],[Mercado mês ref]]*(1-IF(tProdutos[[#This Row],[Desconto homologado]]="",DescontoPadrao,tProdutos[[#This Row],[Desconto homologado]]))</f>
        <v>399599.60931174102</v>
      </c>
      <c r="S178" t="str">
        <f>IF(ModoFoco="Lista",IF(tProdutos[[#This Row],[Lista definida]]="Sim","Sim","Não"),IF(AND(tProdutos[[#This Row],[Editais]]&gt;=MinEditais,N(tProdutos[[#This Row],[Margem bruta]])&gt;=MargemMin),"Sim","Não"))</f>
        <v>Não</v>
      </c>
      <c r="T178" s="4" t="str">
        <f>IF(tProdutos[[#This Row],[Elegível]]="Sim",COUNTIFS(tProdutos[Elegível],"Sim",tProdutos[Valor janela],"&gt;"&amp;tProdutos[[#This Row],[Valor janela]])+1,"")</f>
        <v/>
      </c>
      <c r="U178" t="str">
        <f>IF(ModoFoco="Lista",tProdutos[[#This Row],[Elegível]],IF(AND(tProdutos[[#This Row],[Posição]]&lt;&gt;"",N(tProdutos[[#This Row],[Posição]])&lt;=TopN),"Sim","Não"))</f>
        <v>Não</v>
      </c>
    </row>
    <row r="179" spans="1:21" x14ac:dyDescent="0.25">
      <c r="A179">
        <v>178</v>
      </c>
      <c r="B179" t="s">
        <v>415</v>
      </c>
      <c r="C179" t="s">
        <v>185</v>
      </c>
      <c r="D179" s="14">
        <v>35.768532950000001</v>
      </c>
      <c r="E179" s="7">
        <v>-0.18610090210491137</v>
      </c>
      <c r="F179" s="7">
        <v>0.31793478260869601</v>
      </c>
      <c r="G179" s="15">
        <v>0.1095</v>
      </c>
      <c r="H179" s="15">
        <v>0.15</v>
      </c>
      <c r="I179" t="s">
        <v>416</v>
      </c>
      <c r="J179" s="16" t="s">
        <v>66</v>
      </c>
      <c r="K179" s="15"/>
      <c r="L179" s="4">
        <f>COUNTIFS(tItens[Produto],tProdutos[[#This Row],[Produto]])</f>
        <v>9</v>
      </c>
      <c r="M179" s="4">
        <f>SUMIFS(tItens[Primeira ocorrência],tItens[Produto],tProdutos[[#This Row],[Produto]])</f>
        <v>4</v>
      </c>
      <c r="N179" s="8">
        <f>SUMIFS(tItens[Valor],tItens[Produto],tProdutos[[#This Row],[Produto]])</f>
        <v>72350.399999999994</v>
      </c>
      <c r="O179" s="8">
        <f>SUMIFS(tItens[Valor],tItens[Produto],tProdutos[[#This Row],[Produto]],tItens[SRP],"Sim")</f>
        <v>72350.399999999994</v>
      </c>
      <c r="P179" s="6">
        <f>IF(tProdutos[[#This Row],[Valor janela]]=0,0,tProdutos[[#This Row],[Valor SRP]]/tProdutos[[#This Row],[Valor janela]])</f>
        <v>1</v>
      </c>
      <c r="Q179" s="8">
        <f>tProdutos[[#This Row],[Valor janela]]*DiasMes/DiasJanela</f>
        <v>241168</v>
      </c>
      <c r="R179" s="8">
        <f>tProdutos[[#This Row],[Mercado mês ref]]*(1-IF(tProdutos[[#This Row],[Desconto homologado]]="",DescontoPadrao,tProdutos[[#This Row],[Desconto homologado]]))</f>
        <v>164492.30434782599</v>
      </c>
      <c r="S179" t="str">
        <f>IF(ModoFoco="Lista",IF(tProdutos[[#This Row],[Lista definida]]="Sim","Sim","Não"),IF(AND(tProdutos[[#This Row],[Editais]]&gt;=MinEditais,N(tProdutos[[#This Row],[Margem bruta]])&gt;=MargemMin),"Sim","Não"))</f>
        <v>Não</v>
      </c>
      <c r="T179" s="4" t="str">
        <f>IF(tProdutos[[#This Row],[Elegível]]="Sim",COUNTIFS(tProdutos[Elegível],"Sim",tProdutos[Valor janela],"&gt;"&amp;tProdutos[[#This Row],[Valor janela]])+1,"")</f>
        <v/>
      </c>
      <c r="U179" t="str">
        <f>IF(ModoFoco="Lista",tProdutos[[#This Row],[Elegível]],IF(AND(tProdutos[[#This Row],[Posição]]&lt;&gt;"",N(tProdutos[[#This Row],[Posição]])&lt;=TopN),"Sim","Não"))</f>
        <v>Não</v>
      </c>
    </row>
    <row r="180" spans="1:21" x14ac:dyDescent="0.25">
      <c r="A180">
        <v>179</v>
      </c>
      <c r="B180" t="s">
        <v>417</v>
      </c>
      <c r="C180" t="s">
        <v>185</v>
      </c>
      <c r="D180" s="14">
        <v>34.589615250000008</v>
      </c>
      <c r="E180" s="7">
        <v>-0.15263127968572276</v>
      </c>
      <c r="F180" s="7">
        <v>0.27842432580405202</v>
      </c>
      <c r="G180" s="15">
        <v>29.6246875</v>
      </c>
      <c r="H180" s="15">
        <v>35</v>
      </c>
      <c r="I180" t="s">
        <v>418</v>
      </c>
      <c r="J180" s="16" t="s">
        <v>66</v>
      </c>
      <c r="K180" s="15"/>
      <c r="L180" s="4">
        <f>COUNTIFS(tItens[Produto],tProdutos[[#This Row],[Produto]])</f>
        <v>20</v>
      </c>
      <c r="M180" s="4">
        <f>SUMIFS(tItens[Primeira ocorrência],tItens[Produto],tProdutos[[#This Row],[Produto]])</f>
        <v>17</v>
      </c>
      <c r="N180" s="8">
        <f>SUMIFS(tItens[Valor],tItens[Produto],tProdutos[[#This Row],[Produto]])</f>
        <v>1868310.4700000004</v>
      </c>
      <c r="O180" s="8">
        <f>SUMIFS(tItens[Valor],tItens[Produto],tProdutos[[#This Row],[Produto]],tItens[SRP],"Sim")</f>
        <v>67115.94</v>
      </c>
      <c r="P180" s="6">
        <f>IF(tProdutos[[#This Row],[Valor janela]]=0,0,tProdutos[[#This Row],[Valor SRP]]/tProdutos[[#This Row],[Valor janela]])</f>
        <v>3.5923333448963646E-2</v>
      </c>
      <c r="Q180" s="8">
        <f>tProdutos[[#This Row],[Valor janela]]*DiasMes/DiasJanela</f>
        <v>6227701.5666666673</v>
      </c>
      <c r="R180" s="8">
        <f>tProdutos[[#This Row],[Mercado mês ref]]*(1-IF(tProdutos[[#This Row],[Desconto homologado]]="",DescontoPadrao,tProdutos[[#This Row],[Desconto homologado]]))</f>
        <v>4493757.9566586623</v>
      </c>
      <c r="S180" t="str">
        <f>IF(ModoFoco="Lista",IF(tProdutos[[#This Row],[Lista definida]]="Sim","Sim","Não"),IF(AND(tProdutos[[#This Row],[Editais]]&gt;=MinEditais,N(tProdutos[[#This Row],[Margem bruta]])&gt;=MargemMin),"Sim","Não"))</f>
        <v>Não</v>
      </c>
      <c r="T180" s="4" t="str">
        <f>IF(tProdutos[[#This Row],[Elegível]]="Sim",COUNTIFS(tProdutos[Elegível],"Sim",tProdutos[Valor janela],"&gt;"&amp;tProdutos[[#This Row],[Valor janela]])+1,"")</f>
        <v/>
      </c>
      <c r="U180" t="str">
        <f>IF(ModoFoco="Lista",tProdutos[[#This Row],[Elegível]],IF(AND(tProdutos[[#This Row],[Posição]]&lt;&gt;"",N(tProdutos[[#This Row],[Posição]])&lt;=TopN),"Sim","Não"))</f>
        <v>Não</v>
      </c>
    </row>
    <row r="181" spans="1:21" x14ac:dyDescent="0.25">
      <c r="A181">
        <v>180</v>
      </c>
      <c r="B181" t="s">
        <v>419</v>
      </c>
      <c r="C181" t="s">
        <v>185</v>
      </c>
      <c r="D181" s="14">
        <v>34.252323350000005</v>
      </c>
      <c r="E181" s="7">
        <v>2.2172949002218223E-3</v>
      </c>
      <c r="F181" s="7">
        <v>0.26185567010309302</v>
      </c>
      <c r="G181" s="15">
        <v>4.4000000000000004</v>
      </c>
      <c r="H181" s="15">
        <v>4.5</v>
      </c>
      <c r="I181" t="s">
        <v>420</v>
      </c>
      <c r="J181" s="16" t="s">
        <v>66</v>
      </c>
      <c r="K181" s="15"/>
      <c r="L181" s="4">
        <f>COUNTIFS(tItens[Produto],tProdutos[[#This Row],[Produto]])</f>
        <v>11</v>
      </c>
      <c r="M181" s="4">
        <f>SUMIFS(tItens[Primeira ocorrência],tItens[Produto],tProdutos[[#This Row],[Produto]])</f>
        <v>5</v>
      </c>
      <c r="N181" s="8">
        <f>SUMIFS(tItens[Valor],tItens[Produto],tProdutos[[#This Row],[Produto]])</f>
        <v>1677587.2000000002</v>
      </c>
      <c r="O181" s="8">
        <f>SUMIFS(tItens[Valor],tItens[Produto],tProdutos[[#This Row],[Produto]],tItens[SRP],"Sim")</f>
        <v>1401710.2000000002</v>
      </c>
      <c r="P181" s="6">
        <f>IF(tProdutos[[#This Row],[Valor janela]]=0,0,tProdutos[[#This Row],[Valor SRP]]/tProdutos[[#This Row],[Valor janela]])</f>
        <v>0.83555132037249691</v>
      </c>
      <c r="Q181" s="8">
        <f>tProdutos[[#This Row],[Valor janela]]*DiasMes/DiasJanela</f>
        <v>5591957.333333334</v>
      </c>
      <c r="R181" s="8">
        <f>tProdutos[[#This Row],[Mercado mês ref]]*(1-IF(tProdutos[[#This Row],[Desconto homologado]]="",DescontoPadrao,tProdutos[[#This Row],[Desconto homologado]]))</f>
        <v>4127671.598625429</v>
      </c>
      <c r="S181" t="str">
        <f>IF(ModoFoco="Lista",IF(tProdutos[[#This Row],[Lista definida]]="Sim","Sim","Não"),IF(AND(tProdutos[[#This Row],[Editais]]&gt;=MinEditais,N(tProdutos[[#This Row],[Margem bruta]])&gt;=MargemMin),"Sim","Não"))</f>
        <v>Não</v>
      </c>
      <c r="T181" s="4" t="str">
        <f>IF(tProdutos[[#This Row],[Elegível]]="Sim",COUNTIFS(tProdutos[Elegível],"Sim",tProdutos[Valor janela],"&gt;"&amp;tProdutos[[#This Row],[Valor janela]])+1,"")</f>
        <v/>
      </c>
      <c r="U181" t="str">
        <f>IF(ModoFoco="Lista",tProdutos[[#This Row],[Elegível]],IF(AND(tProdutos[[#This Row],[Posição]]&lt;&gt;"",N(tProdutos[[#This Row],[Posição]])&lt;=TopN),"Sim","Não"))</f>
        <v>Não</v>
      </c>
    </row>
    <row r="182" spans="1:21" x14ac:dyDescent="0.25">
      <c r="A182">
        <v>181</v>
      </c>
      <c r="B182" t="s">
        <v>421</v>
      </c>
      <c r="C182" t="s">
        <v>185</v>
      </c>
      <c r="D182" s="14">
        <v>30.848254241134256</v>
      </c>
      <c r="E182" s="7">
        <v>0.61</v>
      </c>
      <c r="F182" s="7">
        <v>0.43</v>
      </c>
      <c r="G182" s="15">
        <v>7.7</v>
      </c>
      <c r="H182" s="15">
        <v>3.5</v>
      </c>
      <c r="I182" t="s">
        <v>422</v>
      </c>
      <c r="J182" s="16" t="s">
        <v>59</v>
      </c>
      <c r="K182" s="15">
        <v>1118.4000000000001</v>
      </c>
      <c r="L182" s="4">
        <f>COUNTIFS(tItens[Produto],tProdutos[[#This Row],[Produto]])</f>
        <v>27</v>
      </c>
      <c r="M182" s="4">
        <f>SUMIFS(tItens[Primeira ocorrência],tItens[Produto],tProdutos[[#This Row],[Produto]])</f>
        <v>27</v>
      </c>
      <c r="N182" s="8">
        <f>SUMIFS(tItens[Valor],tItens[Produto],tProdutos[[#This Row],[Produto]])</f>
        <v>14938.269999999999</v>
      </c>
      <c r="O182" s="8">
        <f>SUMIFS(tItens[Valor],tItens[Produto],tProdutos[[#This Row],[Produto]],tItens[SRP],"Sim")</f>
        <v>9571.119999999999</v>
      </c>
      <c r="P182" s="6">
        <f>IF(tProdutos[[#This Row],[Valor janela]]=0,0,tProdutos[[#This Row],[Valor SRP]]/tProdutos[[#This Row],[Valor janela]])</f>
        <v>0.640711407679738</v>
      </c>
      <c r="Q182" s="8">
        <f>tProdutos[[#This Row],[Valor janela]]*DiasMes/DiasJanela</f>
        <v>49794.23333333333</v>
      </c>
      <c r="R182" s="8">
        <f>tProdutos[[#This Row],[Mercado mês ref]]*(1-IF(tProdutos[[#This Row],[Desconto homologado]]="",DescontoPadrao,tProdutos[[#This Row],[Desconto homologado]]))</f>
        <v>28382.713</v>
      </c>
      <c r="S182" t="str">
        <f>IF(ModoFoco="Lista",IF(tProdutos[[#This Row],[Lista definida]]="Sim","Sim","Não"),IF(AND(tProdutos[[#This Row],[Editais]]&gt;=MinEditais,N(tProdutos[[#This Row],[Margem bruta]])&gt;=MargemMin),"Sim","Não"))</f>
        <v>Sim</v>
      </c>
      <c r="T182" s="4">
        <f>IF(tProdutos[[#This Row],[Elegível]]="Sim",COUNTIFS(tProdutos[Elegível],"Sim",tProdutos[Valor janela],"&gt;"&amp;tProdutos[[#This Row],[Valor janela]])+1,"")</f>
        <v>20</v>
      </c>
      <c r="U182" t="str">
        <f>IF(ModoFoco="Lista",tProdutos[[#This Row],[Elegível]],IF(AND(tProdutos[[#This Row],[Posição]]&lt;&gt;"",N(tProdutos[[#This Row],[Posição]])&lt;=TopN),"Sim","Não"))</f>
        <v>Sim</v>
      </c>
    </row>
    <row r="183" spans="1:21" x14ac:dyDescent="0.25">
      <c r="A183">
        <v>182</v>
      </c>
      <c r="B183" t="s">
        <v>423</v>
      </c>
      <c r="C183" t="s">
        <v>185</v>
      </c>
      <c r="D183" s="14">
        <v>30.280024963797079</v>
      </c>
      <c r="E183" s="7">
        <v>0.56707317073170738</v>
      </c>
      <c r="F183" s="7">
        <v>0.38271604938271597</v>
      </c>
      <c r="G183" s="15">
        <v>7</v>
      </c>
      <c r="H183" s="15">
        <v>3.5</v>
      </c>
      <c r="I183" t="s">
        <v>424</v>
      </c>
      <c r="J183" s="16" t="s">
        <v>66</v>
      </c>
      <c r="K183" s="15"/>
      <c r="L183" s="4">
        <f>COUNTIFS(tItens[Produto],tProdutos[[#This Row],[Produto]])</f>
        <v>44</v>
      </c>
      <c r="M183" s="4">
        <f>SUMIFS(tItens[Primeira ocorrência],tItens[Produto],tProdutos[[#This Row],[Produto]])</f>
        <v>44</v>
      </c>
      <c r="N183" s="8">
        <f>SUMIFS(tItens[Valor],tItens[Produto],tProdutos[[#This Row],[Produto]])</f>
        <v>134229.71000000002</v>
      </c>
      <c r="O183" s="8">
        <f>SUMIFS(tItens[Valor],tItens[Produto],tProdutos[[#This Row],[Produto]],tItens[SRP],"Sim")</f>
        <v>12005.279999999999</v>
      </c>
      <c r="P183" s="6">
        <f>IF(tProdutos[[#This Row],[Valor janela]]=0,0,tProdutos[[#This Row],[Valor SRP]]/tProdutos[[#This Row],[Valor janela]])</f>
        <v>8.9438321814149763E-2</v>
      </c>
      <c r="Q183" s="8">
        <f>tProdutos[[#This Row],[Valor janela]]*DiasMes/DiasJanela</f>
        <v>447432.3666666667</v>
      </c>
      <c r="R183" s="8">
        <f>tProdutos[[#This Row],[Mercado mês ref]]*(1-IF(tProdutos[[#This Row],[Desconto homologado]]="",DescontoPadrao,tProdutos[[#This Row],[Desconto homologado]]))</f>
        <v>276192.81893004122</v>
      </c>
      <c r="S183" t="str">
        <f>IF(ModoFoco="Lista",IF(tProdutos[[#This Row],[Lista definida]]="Sim","Sim","Não"),IF(AND(tProdutos[[#This Row],[Editais]]&gt;=MinEditais,N(tProdutos[[#This Row],[Margem bruta]])&gt;=MargemMin),"Sim","Não"))</f>
        <v>Não</v>
      </c>
      <c r="T183" s="4" t="str">
        <f>IF(tProdutos[[#This Row],[Elegível]]="Sim",COUNTIFS(tProdutos[Elegível],"Sim",tProdutos[Valor janela],"&gt;"&amp;tProdutos[[#This Row],[Valor janela]])+1,"")</f>
        <v/>
      </c>
      <c r="U183" t="str">
        <f>IF(ModoFoco="Lista",tProdutos[[#This Row],[Elegível]],IF(AND(tProdutos[[#This Row],[Posição]]&lt;&gt;"",N(tProdutos[[#This Row],[Posição]])&lt;=TopN),"Sim","Não"))</f>
        <v>Não</v>
      </c>
    </row>
    <row r="184" spans="1:21" x14ac:dyDescent="0.25">
      <c r="A184">
        <v>183</v>
      </c>
      <c r="B184" t="s">
        <v>425</v>
      </c>
      <c r="C184" t="s">
        <v>185</v>
      </c>
      <c r="D184" s="14">
        <v>29.114267999999992</v>
      </c>
      <c r="E184" s="7">
        <v>0.66439780676876548</v>
      </c>
      <c r="F184" s="7">
        <v>0.27454046510837898</v>
      </c>
      <c r="G184" s="15">
        <v>12.9</v>
      </c>
      <c r="H184" s="15">
        <v>5</v>
      </c>
      <c r="I184" t="s">
        <v>426</v>
      </c>
      <c r="J184" s="16" t="s">
        <v>66</v>
      </c>
      <c r="K184" s="15"/>
      <c r="L184" s="4">
        <f>COUNTIFS(tItens[Produto],tProdutos[[#This Row],[Produto]])</f>
        <v>2</v>
      </c>
      <c r="M184" s="4">
        <f>SUMIFS(tItens[Primeira ocorrência],tItens[Produto],tProdutos[[#This Row],[Produto]])</f>
        <v>2</v>
      </c>
      <c r="N184" s="8">
        <f>SUMIFS(tItens[Valor],tItens[Produto],tProdutos[[#This Row],[Produto]])</f>
        <v>1591.5</v>
      </c>
      <c r="O184" s="8">
        <f>SUMIFS(tItens[Valor],tItens[Produto],tProdutos[[#This Row],[Produto]],tItens[SRP],"Sim")</f>
        <v>660.5</v>
      </c>
      <c r="P184" s="6">
        <f>IF(tProdutos[[#This Row],[Valor janela]]=0,0,tProdutos[[#This Row],[Valor SRP]]/tProdutos[[#This Row],[Valor janela]])</f>
        <v>0.41501727929626137</v>
      </c>
      <c r="Q184" s="8">
        <f>tProdutos[[#This Row],[Valor janela]]*DiasMes/DiasJanela</f>
        <v>5305</v>
      </c>
      <c r="R184" s="8">
        <f>tProdutos[[#This Row],[Mercado mês ref]]*(1-IF(tProdutos[[#This Row],[Desconto homologado]]="",DescontoPadrao,tProdutos[[#This Row],[Desconto homologado]]))</f>
        <v>3848.5628326000497</v>
      </c>
      <c r="S184" t="str">
        <f>IF(ModoFoco="Lista",IF(tProdutos[[#This Row],[Lista definida]]="Sim","Sim","Não"),IF(AND(tProdutos[[#This Row],[Editais]]&gt;=MinEditais,N(tProdutos[[#This Row],[Margem bruta]])&gt;=MargemMin),"Sim","Não"))</f>
        <v>Não</v>
      </c>
      <c r="T184" s="4" t="str">
        <f>IF(tProdutos[[#This Row],[Elegível]]="Sim",COUNTIFS(tProdutos[Elegível],"Sim",tProdutos[Valor janela],"&gt;"&amp;tProdutos[[#This Row],[Valor janela]])+1,"")</f>
        <v/>
      </c>
      <c r="U184" t="str">
        <f>IF(ModoFoco="Lista",tProdutos[[#This Row],[Elegível]],IF(AND(tProdutos[[#This Row],[Posição]]&lt;&gt;"",N(tProdutos[[#This Row],[Posição]])&lt;=TopN),"Sim","Não"))</f>
        <v>Não</v>
      </c>
    </row>
    <row r="185" spans="1:21" x14ac:dyDescent="0.25">
      <c r="A185">
        <v>184</v>
      </c>
      <c r="B185" t="s">
        <v>427</v>
      </c>
      <c r="C185" t="s">
        <v>185</v>
      </c>
      <c r="D185" s="14">
        <v>27.413669436465533</v>
      </c>
      <c r="E185" s="7">
        <v>0.33735689397710311</v>
      </c>
      <c r="F185" s="7">
        <v>0.26040061633282002</v>
      </c>
      <c r="G185" s="15">
        <v>3.92</v>
      </c>
      <c r="H185" s="15">
        <v>3</v>
      </c>
      <c r="I185" t="s">
        <v>428</v>
      </c>
      <c r="J185" s="16" t="s">
        <v>66</v>
      </c>
      <c r="K185" s="15"/>
      <c r="L185" s="4">
        <f>COUNTIFS(tItens[Produto],tProdutos[[#This Row],[Produto]])</f>
        <v>2</v>
      </c>
      <c r="M185" s="4">
        <f>SUMIFS(tItens[Primeira ocorrência],tItens[Produto],tProdutos[[#This Row],[Produto]])</f>
        <v>2</v>
      </c>
      <c r="N185" s="8">
        <f>SUMIFS(tItens[Valor],tItens[Produto],tProdutos[[#This Row],[Produto]])</f>
        <v>8665.35</v>
      </c>
      <c r="O185" s="8">
        <f>SUMIFS(tItens[Valor],tItens[Produto],tProdutos[[#This Row],[Produto]],tItens[SRP],"Sim")</f>
        <v>8665.35</v>
      </c>
      <c r="P185" s="6">
        <f>IF(tProdutos[[#This Row],[Valor janela]]=0,0,tProdutos[[#This Row],[Valor SRP]]/tProdutos[[#This Row],[Valor janela]])</f>
        <v>1</v>
      </c>
      <c r="Q185" s="8">
        <f>tProdutos[[#This Row],[Valor janela]]*DiasMes/DiasJanela</f>
        <v>28884.5</v>
      </c>
      <c r="R185" s="8">
        <f>tProdutos[[#This Row],[Mercado mês ref]]*(1-IF(tProdutos[[#This Row],[Desconto homologado]]="",DescontoPadrao,tProdutos[[#This Row],[Desconto homologado]]))</f>
        <v>21362.958397534658</v>
      </c>
      <c r="S185" t="str">
        <f>IF(ModoFoco="Lista",IF(tProdutos[[#This Row],[Lista definida]]="Sim","Sim","Não"),IF(AND(tProdutos[[#This Row],[Editais]]&gt;=MinEditais,N(tProdutos[[#This Row],[Margem bruta]])&gt;=MargemMin),"Sim","Não"))</f>
        <v>Não</v>
      </c>
      <c r="T185" s="4" t="str">
        <f>IF(tProdutos[[#This Row],[Elegível]]="Sim",COUNTIFS(tProdutos[Elegível],"Sim",tProdutos[Valor janela],"&gt;"&amp;tProdutos[[#This Row],[Valor janela]])+1,"")</f>
        <v/>
      </c>
      <c r="U185" t="str">
        <f>IF(ModoFoco="Lista",tProdutos[[#This Row],[Elegível]],IF(AND(tProdutos[[#This Row],[Posição]]&lt;&gt;"",N(tProdutos[[#This Row],[Posição]])&lt;=TopN),"Sim","Não"))</f>
        <v>Não</v>
      </c>
    </row>
    <row r="186" spans="1:21" x14ac:dyDescent="0.25">
      <c r="A186" t="s">
        <v>429</v>
      </c>
      <c r="B186" t="s">
        <v>430</v>
      </c>
      <c r="C186" t="s">
        <v>431</v>
      </c>
      <c r="D186" s="14">
        <v>73.426958571428585</v>
      </c>
      <c r="E186" s="7">
        <v>0.65365853658536588</v>
      </c>
      <c r="F186" s="7"/>
      <c r="G186" s="15">
        <v>0.3</v>
      </c>
      <c r="H186" s="15">
        <v>0.12</v>
      </c>
      <c r="I186" t="s">
        <v>432</v>
      </c>
      <c r="J186" s="16" t="s">
        <v>66</v>
      </c>
      <c r="K186" s="15"/>
      <c r="L186" s="4">
        <f>COUNTIFS(tItens[Produto],tProdutos[[#This Row],[Produto]])</f>
        <v>0</v>
      </c>
      <c r="M186" s="4">
        <f>SUMIFS(tItens[Primeira ocorrência],tItens[Produto],tProdutos[[#This Row],[Produto]])</f>
        <v>0</v>
      </c>
      <c r="N186" s="8">
        <f>SUMIFS(tItens[Valor],tItens[Produto],tProdutos[[#This Row],[Produto]])</f>
        <v>0</v>
      </c>
      <c r="O186" s="8">
        <f>SUMIFS(tItens[Valor],tItens[Produto],tProdutos[[#This Row],[Produto]],tItens[SRP],"Sim")</f>
        <v>0</v>
      </c>
      <c r="P186" s="6">
        <f>IF(tProdutos[[#This Row],[Valor janela]]=0,0,tProdutos[[#This Row],[Valor SRP]]/tProdutos[[#This Row],[Valor janela]])</f>
        <v>0</v>
      </c>
      <c r="Q186" s="8">
        <f>tProdutos[[#This Row],[Valor janela]]*DiasMes/DiasJanela</f>
        <v>0</v>
      </c>
      <c r="R186" s="8">
        <f>tProdutos[[#This Row],[Mercado mês ref]]*(1-IF(tProdutos[[#This Row],[Desconto homologado]]="",DescontoPadrao,tProdutos[[#This Row],[Desconto homologado]]))</f>
        <v>0</v>
      </c>
      <c r="S186" t="str">
        <f>IF(ModoFoco="Lista",IF(tProdutos[[#This Row],[Lista definida]]="Sim","Sim","Não"),IF(AND(tProdutos[[#This Row],[Editais]]&gt;=MinEditais,N(tProdutos[[#This Row],[Margem bruta]])&gt;=MargemMin),"Sim","Não"))</f>
        <v>Não</v>
      </c>
      <c r="T186" s="4" t="str">
        <f>IF(tProdutos[[#This Row],[Elegível]]="Sim",COUNTIFS(tProdutos[Elegível],"Sim",tProdutos[Valor janela],"&gt;"&amp;tProdutos[[#This Row],[Valor janela]])+1,"")</f>
        <v/>
      </c>
      <c r="U186" t="str">
        <f>IF(ModoFoco="Lista",tProdutos[[#This Row],[Elegível]],IF(AND(tProdutos[[#This Row],[Posição]]&lt;&gt;"",N(tProdutos[[#This Row],[Posição]])&lt;=TopN),"Sim","Não"))</f>
        <v>Não</v>
      </c>
    </row>
    <row r="187" spans="1:21" x14ac:dyDescent="0.25">
      <c r="A187" t="s">
        <v>433</v>
      </c>
      <c r="B187" t="s">
        <v>434</v>
      </c>
      <c r="C187" t="s">
        <v>431</v>
      </c>
      <c r="D187" s="14">
        <v>72.977745714285717</v>
      </c>
      <c r="E187" s="7"/>
      <c r="F187" s="7">
        <v>0.113785557986871</v>
      </c>
      <c r="G187" s="15"/>
      <c r="H187" s="15">
        <v>0.08</v>
      </c>
      <c r="I187" t="s">
        <v>435</v>
      </c>
      <c r="J187" s="16" t="s">
        <v>66</v>
      </c>
      <c r="K187" s="15"/>
      <c r="L187" s="4">
        <f>COUNTIFS(tItens[Produto],tProdutos[[#This Row],[Produto]])</f>
        <v>0</v>
      </c>
      <c r="M187" s="4">
        <f>SUMIFS(tItens[Primeira ocorrência],tItens[Produto],tProdutos[[#This Row],[Produto]])</f>
        <v>0</v>
      </c>
      <c r="N187" s="8">
        <f>SUMIFS(tItens[Valor],tItens[Produto],tProdutos[[#This Row],[Produto]])</f>
        <v>0</v>
      </c>
      <c r="O187" s="8">
        <f>SUMIFS(tItens[Valor],tItens[Produto],tProdutos[[#This Row],[Produto]],tItens[SRP],"Sim")</f>
        <v>0</v>
      </c>
      <c r="P187" s="6">
        <f>IF(tProdutos[[#This Row],[Valor janela]]=0,0,tProdutos[[#This Row],[Valor SRP]]/tProdutos[[#This Row],[Valor janela]])</f>
        <v>0</v>
      </c>
      <c r="Q187" s="8">
        <f>tProdutos[[#This Row],[Valor janela]]*DiasMes/DiasJanela</f>
        <v>0</v>
      </c>
      <c r="R187" s="8">
        <f>tProdutos[[#This Row],[Mercado mês ref]]*(1-IF(tProdutos[[#This Row],[Desconto homologado]]="",DescontoPadrao,tProdutos[[#This Row],[Desconto homologado]]))</f>
        <v>0</v>
      </c>
      <c r="S187" t="str">
        <f>IF(ModoFoco="Lista",IF(tProdutos[[#This Row],[Lista definida]]="Sim","Sim","Não"),IF(AND(tProdutos[[#This Row],[Editais]]&gt;=MinEditais,N(tProdutos[[#This Row],[Margem bruta]])&gt;=MargemMin),"Sim","Não"))</f>
        <v>Não</v>
      </c>
      <c r="T187" s="4" t="str">
        <f>IF(tProdutos[[#This Row],[Elegível]]="Sim",COUNTIFS(tProdutos[Elegível],"Sim",tProdutos[Valor janela],"&gt;"&amp;tProdutos[[#This Row],[Valor janela]])+1,"")</f>
        <v/>
      </c>
      <c r="U187" t="str">
        <f>IF(ModoFoco="Lista",tProdutos[[#This Row],[Elegível]],IF(AND(tProdutos[[#This Row],[Posição]]&lt;&gt;"",N(tProdutos[[#This Row],[Posição]])&lt;=TopN),"Sim","Não"))</f>
        <v>Não</v>
      </c>
    </row>
    <row r="188" spans="1:21" x14ac:dyDescent="0.25">
      <c r="A188" t="s">
        <v>436</v>
      </c>
      <c r="B188" t="s">
        <v>437</v>
      </c>
      <c r="C188" t="s">
        <v>431</v>
      </c>
      <c r="D188" s="14">
        <v>72.245118571428577</v>
      </c>
      <c r="E188" s="7"/>
      <c r="F188" s="7">
        <v>0.23334221878164699</v>
      </c>
      <c r="G188" s="15"/>
      <c r="H188" s="15">
        <v>1</v>
      </c>
      <c r="I188" t="s">
        <v>438</v>
      </c>
      <c r="J188" s="16" t="s">
        <v>66</v>
      </c>
      <c r="K188" s="15"/>
      <c r="L188" s="4">
        <f>COUNTIFS(tItens[Produto],tProdutos[[#This Row],[Produto]])</f>
        <v>7</v>
      </c>
      <c r="M188" s="4">
        <f>SUMIFS(tItens[Primeira ocorrência],tItens[Produto],tProdutos[[#This Row],[Produto]])</f>
        <v>7</v>
      </c>
      <c r="N188" s="8">
        <f>SUMIFS(tItens[Valor],tItens[Produto],tProdutos[[#This Row],[Produto]])</f>
        <v>51127.32</v>
      </c>
      <c r="O188" s="8">
        <f>SUMIFS(tItens[Valor],tItens[Produto],tProdutos[[#This Row],[Produto]],tItens[SRP],"Sim")</f>
        <v>37130</v>
      </c>
      <c r="P188" s="6">
        <f>IF(tProdutos[[#This Row],[Valor janela]]=0,0,tProdutos[[#This Row],[Valor SRP]]/tProdutos[[#This Row],[Valor janela]])</f>
        <v>0.72622621330435466</v>
      </c>
      <c r="Q188" s="8">
        <f>tProdutos[[#This Row],[Valor janela]]*DiasMes/DiasJanela</f>
        <v>170424.4</v>
      </c>
      <c r="R188" s="8">
        <f>tProdutos[[#This Row],[Mercado mês ref]]*(1-IF(tProdutos[[#This Row],[Desconto homologado]]="",DescontoPadrao,tProdutos[[#This Row],[Desconto homologado]]))</f>
        <v>130657.19236946908</v>
      </c>
      <c r="S188" t="str">
        <f>IF(ModoFoco="Lista",IF(tProdutos[[#This Row],[Lista definida]]="Sim","Sim","Não"),IF(AND(tProdutos[[#This Row],[Editais]]&gt;=MinEditais,N(tProdutos[[#This Row],[Margem bruta]])&gt;=MargemMin),"Sim","Não"))</f>
        <v>Não</v>
      </c>
      <c r="T188" s="4" t="str">
        <f>IF(tProdutos[[#This Row],[Elegível]]="Sim",COUNTIFS(tProdutos[Elegível],"Sim",tProdutos[Valor janela],"&gt;"&amp;tProdutos[[#This Row],[Valor janela]])+1,"")</f>
        <v/>
      </c>
      <c r="U188" t="str">
        <f>IF(ModoFoco="Lista",tProdutos[[#This Row],[Elegível]],IF(AND(tProdutos[[#This Row],[Posição]]&lt;&gt;"",N(tProdutos[[#This Row],[Posição]])&lt;=TopN),"Sim","Não"))</f>
        <v>Não</v>
      </c>
    </row>
    <row r="189" spans="1:21" x14ac:dyDescent="0.25">
      <c r="A189" t="s">
        <v>439</v>
      </c>
      <c r="B189" t="s">
        <v>440</v>
      </c>
      <c r="C189" t="s">
        <v>431</v>
      </c>
      <c r="D189" s="14">
        <v>71.164064285714289</v>
      </c>
      <c r="E189" s="7">
        <v>0.65365853658536588</v>
      </c>
      <c r="F189" s="7"/>
      <c r="G189" s="15">
        <v>0.3</v>
      </c>
      <c r="H189" s="15">
        <v>0.12</v>
      </c>
      <c r="I189" t="s">
        <v>441</v>
      </c>
      <c r="J189" s="16" t="s">
        <v>66</v>
      </c>
      <c r="K189" s="15"/>
      <c r="L189" s="4">
        <f>COUNTIFS(tItens[Produto],tProdutos[[#This Row],[Produto]])</f>
        <v>0</v>
      </c>
      <c r="M189" s="4">
        <f>SUMIFS(tItens[Primeira ocorrência],tItens[Produto],tProdutos[[#This Row],[Produto]])</f>
        <v>0</v>
      </c>
      <c r="N189" s="8">
        <f>SUMIFS(tItens[Valor],tItens[Produto],tProdutos[[#This Row],[Produto]])</f>
        <v>0</v>
      </c>
      <c r="O189" s="8">
        <f>SUMIFS(tItens[Valor],tItens[Produto],tProdutos[[#This Row],[Produto]],tItens[SRP],"Sim")</f>
        <v>0</v>
      </c>
      <c r="P189" s="6">
        <f>IF(tProdutos[[#This Row],[Valor janela]]=0,0,tProdutos[[#This Row],[Valor SRP]]/tProdutos[[#This Row],[Valor janela]])</f>
        <v>0</v>
      </c>
      <c r="Q189" s="8">
        <f>tProdutos[[#This Row],[Valor janela]]*DiasMes/DiasJanela</f>
        <v>0</v>
      </c>
      <c r="R189" s="8">
        <f>tProdutos[[#This Row],[Mercado mês ref]]*(1-IF(tProdutos[[#This Row],[Desconto homologado]]="",DescontoPadrao,tProdutos[[#This Row],[Desconto homologado]]))</f>
        <v>0</v>
      </c>
      <c r="S189" t="str">
        <f>IF(ModoFoco="Lista",IF(tProdutos[[#This Row],[Lista definida]]="Sim","Sim","Não"),IF(AND(tProdutos[[#This Row],[Editais]]&gt;=MinEditais,N(tProdutos[[#This Row],[Margem bruta]])&gt;=MargemMin),"Sim","Não"))</f>
        <v>Não</v>
      </c>
      <c r="T189" s="4" t="str">
        <f>IF(tProdutos[[#This Row],[Elegível]]="Sim",COUNTIFS(tProdutos[Elegível],"Sim",tProdutos[Valor janela],"&gt;"&amp;tProdutos[[#This Row],[Valor janela]])+1,"")</f>
        <v/>
      </c>
      <c r="U189" t="str">
        <f>IF(ModoFoco="Lista",tProdutos[[#This Row],[Elegível]],IF(AND(tProdutos[[#This Row],[Posição]]&lt;&gt;"",N(tProdutos[[#This Row],[Posição]])&lt;=TopN),"Sim","Não"))</f>
        <v>Não</v>
      </c>
    </row>
    <row r="190" spans="1:21" x14ac:dyDescent="0.25">
      <c r="A190" t="s">
        <v>442</v>
      </c>
      <c r="B190" t="s">
        <v>443</v>
      </c>
      <c r="C190" t="s">
        <v>431</v>
      </c>
      <c r="D190" s="14">
        <v>71.164064285714289</v>
      </c>
      <c r="E190" s="7">
        <v>0.62479674796747964</v>
      </c>
      <c r="F190" s="7"/>
      <c r="G190" s="15">
        <v>0.3</v>
      </c>
      <c r="H190" s="15">
        <v>0.13</v>
      </c>
      <c r="I190" t="s">
        <v>444</v>
      </c>
      <c r="J190" s="16" t="s">
        <v>66</v>
      </c>
      <c r="K190" s="15"/>
      <c r="L190" s="4">
        <f>COUNTIFS(tItens[Produto],tProdutos[[#This Row],[Produto]])</f>
        <v>0</v>
      </c>
      <c r="M190" s="4">
        <f>SUMIFS(tItens[Primeira ocorrência],tItens[Produto],tProdutos[[#This Row],[Produto]])</f>
        <v>0</v>
      </c>
      <c r="N190" s="8">
        <f>SUMIFS(tItens[Valor],tItens[Produto],tProdutos[[#This Row],[Produto]])</f>
        <v>0</v>
      </c>
      <c r="O190" s="8">
        <f>SUMIFS(tItens[Valor],tItens[Produto],tProdutos[[#This Row],[Produto]],tItens[SRP],"Sim")</f>
        <v>0</v>
      </c>
      <c r="P190" s="6">
        <f>IF(tProdutos[[#This Row],[Valor janela]]=0,0,tProdutos[[#This Row],[Valor SRP]]/tProdutos[[#This Row],[Valor janela]])</f>
        <v>0</v>
      </c>
      <c r="Q190" s="8">
        <f>tProdutos[[#This Row],[Valor janela]]*DiasMes/DiasJanela</f>
        <v>0</v>
      </c>
      <c r="R190" s="8">
        <f>tProdutos[[#This Row],[Mercado mês ref]]*(1-IF(tProdutos[[#This Row],[Desconto homologado]]="",DescontoPadrao,tProdutos[[#This Row],[Desconto homologado]]))</f>
        <v>0</v>
      </c>
      <c r="S190" t="str">
        <f>IF(ModoFoco="Lista",IF(tProdutos[[#This Row],[Lista definida]]="Sim","Sim","Não"),IF(AND(tProdutos[[#This Row],[Editais]]&gt;=MinEditais,N(tProdutos[[#This Row],[Margem bruta]])&gt;=MargemMin),"Sim","Não"))</f>
        <v>Não</v>
      </c>
      <c r="T190" s="4" t="str">
        <f>IF(tProdutos[[#This Row],[Elegível]]="Sim",COUNTIFS(tProdutos[Elegível],"Sim",tProdutos[Valor janela],"&gt;"&amp;tProdutos[[#This Row],[Valor janela]])+1,"")</f>
        <v/>
      </c>
      <c r="U190" t="str">
        <f>IF(ModoFoco="Lista",tProdutos[[#This Row],[Elegível]],IF(AND(tProdutos[[#This Row],[Posição]]&lt;&gt;"",N(tProdutos[[#This Row],[Posição]])&lt;=TopN),"Sim","Não"))</f>
        <v>Não</v>
      </c>
    </row>
    <row r="191" spans="1:21" x14ac:dyDescent="0.25">
      <c r="A191" t="s">
        <v>445</v>
      </c>
      <c r="B191" t="s">
        <v>446</v>
      </c>
      <c r="C191" t="s">
        <v>431</v>
      </c>
      <c r="D191" s="14">
        <v>69.975740000000002</v>
      </c>
      <c r="E191" s="7"/>
      <c r="F191" s="7"/>
      <c r="G191" s="15"/>
      <c r="H191" s="15">
        <v>0.08</v>
      </c>
      <c r="I191" t="s">
        <v>447</v>
      </c>
      <c r="J191" s="16" t="s">
        <v>66</v>
      </c>
      <c r="K191" s="15"/>
      <c r="L191" s="4">
        <f>COUNTIFS(tItens[Produto],tProdutos[[#This Row],[Produto]])</f>
        <v>0</v>
      </c>
      <c r="M191" s="4">
        <f>SUMIFS(tItens[Primeira ocorrência],tItens[Produto],tProdutos[[#This Row],[Produto]])</f>
        <v>0</v>
      </c>
      <c r="N191" s="8">
        <f>SUMIFS(tItens[Valor],tItens[Produto],tProdutos[[#This Row],[Produto]])</f>
        <v>0</v>
      </c>
      <c r="O191" s="8">
        <f>SUMIFS(tItens[Valor],tItens[Produto],tProdutos[[#This Row],[Produto]],tItens[SRP],"Sim")</f>
        <v>0</v>
      </c>
      <c r="P191" s="6">
        <f>IF(tProdutos[[#This Row],[Valor janela]]=0,0,tProdutos[[#This Row],[Valor SRP]]/tProdutos[[#This Row],[Valor janela]])</f>
        <v>0</v>
      </c>
      <c r="Q191" s="8">
        <f>tProdutos[[#This Row],[Valor janela]]*DiasMes/DiasJanela</f>
        <v>0</v>
      </c>
      <c r="R191" s="8">
        <f>tProdutos[[#This Row],[Mercado mês ref]]*(1-IF(tProdutos[[#This Row],[Desconto homologado]]="",DescontoPadrao,tProdutos[[#This Row],[Desconto homologado]]))</f>
        <v>0</v>
      </c>
      <c r="S191" t="str">
        <f>IF(ModoFoco="Lista",IF(tProdutos[[#This Row],[Lista definida]]="Sim","Sim","Não"),IF(AND(tProdutos[[#This Row],[Editais]]&gt;=MinEditais,N(tProdutos[[#This Row],[Margem bruta]])&gt;=MargemMin),"Sim","Não"))</f>
        <v>Não</v>
      </c>
      <c r="T191" s="4" t="str">
        <f>IF(tProdutos[[#This Row],[Elegível]]="Sim",COUNTIFS(tProdutos[Elegível],"Sim",tProdutos[Valor janela],"&gt;"&amp;tProdutos[[#This Row],[Valor janela]])+1,"")</f>
        <v/>
      </c>
      <c r="U191" t="str">
        <f>IF(ModoFoco="Lista",tProdutos[[#This Row],[Elegível]],IF(AND(tProdutos[[#This Row],[Posição]]&lt;&gt;"",N(tProdutos[[#This Row],[Posição]])&lt;=TopN),"Sim","Não"))</f>
        <v>Não</v>
      </c>
    </row>
    <row r="192" spans="1:21" x14ac:dyDescent="0.25">
      <c r="A192" t="s">
        <v>448</v>
      </c>
      <c r="B192" t="s">
        <v>449</v>
      </c>
      <c r="C192" t="s">
        <v>431</v>
      </c>
      <c r="D192" s="14">
        <v>69.793961428571436</v>
      </c>
      <c r="E192" s="7"/>
      <c r="F192" s="7">
        <v>0.164944294848239</v>
      </c>
      <c r="G192" s="15"/>
      <c r="H192" s="15">
        <v>4</v>
      </c>
      <c r="I192" t="s">
        <v>450</v>
      </c>
      <c r="J192" s="16" t="s">
        <v>66</v>
      </c>
      <c r="K192" s="15"/>
      <c r="L192" s="4">
        <f>COUNTIFS(tItens[Produto],tProdutos[[#This Row],[Produto]])</f>
        <v>0</v>
      </c>
      <c r="M192" s="4">
        <f>SUMIFS(tItens[Primeira ocorrência],tItens[Produto],tProdutos[[#This Row],[Produto]])</f>
        <v>0</v>
      </c>
      <c r="N192" s="8">
        <f>SUMIFS(tItens[Valor],tItens[Produto],tProdutos[[#This Row],[Produto]])</f>
        <v>0</v>
      </c>
      <c r="O192" s="8">
        <f>SUMIFS(tItens[Valor],tItens[Produto],tProdutos[[#This Row],[Produto]],tItens[SRP],"Sim")</f>
        <v>0</v>
      </c>
      <c r="P192" s="6">
        <f>IF(tProdutos[[#This Row],[Valor janela]]=0,0,tProdutos[[#This Row],[Valor SRP]]/tProdutos[[#This Row],[Valor janela]])</f>
        <v>0</v>
      </c>
      <c r="Q192" s="8">
        <f>tProdutos[[#This Row],[Valor janela]]*DiasMes/DiasJanela</f>
        <v>0</v>
      </c>
      <c r="R192" s="8">
        <f>tProdutos[[#This Row],[Mercado mês ref]]*(1-IF(tProdutos[[#This Row],[Desconto homologado]]="",DescontoPadrao,tProdutos[[#This Row],[Desconto homologado]]))</f>
        <v>0</v>
      </c>
      <c r="S192" t="str">
        <f>IF(ModoFoco="Lista",IF(tProdutos[[#This Row],[Lista definida]]="Sim","Sim","Não"),IF(AND(tProdutos[[#This Row],[Editais]]&gt;=MinEditais,N(tProdutos[[#This Row],[Margem bruta]])&gt;=MargemMin),"Sim","Não"))</f>
        <v>Não</v>
      </c>
      <c r="T192" s="4" t="str">
        <f>IF(tProdutos[[#This Row],[Elegível]]="Sim",COUNTIFS(tProdutos[Elegível],"Sim",tProdutos[Valor janela],"&gt;"&amp;tProdutos[[#This Row],[Valor janela]])+1,"")</f>
        <v/>
      </c>
      <c r="U192" t="str">
        <f>IF(ModoFoco="Lista",tProdutos[[#This Row],[Elegível]],IF(AND(tProdutos[[#This Row],[Posição]]&lt;&gt;"",N(tProdutos[[#This Row],[Posição]])&lt;=TopN),"Sim","Não"))</f>
        <v>Não</v>
      </c>
    </row>
    <row r="193" spans="1:21" x14ac:dyDescent="0.25">
      <c r="A193" t="s">
        <v>451</v>
      </c>
      <c r="B193" t="s">
        <v>452</v>
      </c>
      <c r="C193" t="s">
        <v>431</v>
      </c>
      <c r="D193" s="14">
        <v>67.70675</v>
      </c>
      <c r="E193" s="7"/>
      <c r="F193" s="7">
        <v>0.25847457627118697</v>
      </c>
      <c r="G193" s="15"/>
      <c r="H193" s="15">
        <v>3.5</v>
      </c>
      <c r="I193" t="s">
        <v>453</v>
      </c>
      <c r="J193" s="16" t="s">
        <v>66</v>
      </c>
      <c r="K193" s="15"/>
      <c r="L193" s="4">
        <f>COUNTIFS(tItens[Produto],tProdutos[[#This Row],[Produto]])</f>
        <v>0</v>
      </c>
      <c r="M193" s="4">
        <f>SUMIFS(tItens[Primeira ocorrência],tItens[Produto],tProdutos[[#This Row],[Produto]])</f>
        <v>0</v>
      </c>
      <c r="N193" s="8">
        <f>SUMIFS(tItens[Valor],tItens[Produto],tProdutos[[#This Row],[Produto]])</f>
        <v>0</v>
      </c>
      <c r="O193" s="8">
        <f>SUMIFS(tItens[Valor],tItens[Produto],tProdutos[[#This Row],[Produto]],tItens[SRP],"Sim")</f>
        <v>0</v>
      </c>
      <c r="P193" s="6">
        <f>IF(tProdutos[[#This Row],[Valor janela]]=0,0,tProdutos[[#This Row],[Valor SRP]]/tProdutos[[#This Row],[Valor janela]])</f>
        <v>0</v>
      </c>
      <c r="Q193" s="8">
        <f>tProdutos[[#This Row],[Valor janela]]*DiasMes/DiasJanela</f>
        <v>0</v>
      </c>
      <c r="R193" s="8">
        <f>tProdutos[[#This Row],[Mercado mês ref]]*(1-IF(tProdutos[[#This Row],[Desconto homologado]]="",DescontoPadrao,tProdutos[[#This Row],[Desconto homologado]]))</f>
        <v>0</v>
      </c>
      <c r="S193" t="str">
        <f>IF(ModoFoco="Lista",IF(tProdutos[[#This Row],[Lista definida]]="Sim","Sim","Não"),IF(AND(tProdutos[[#This Row],[Editais]]&gt;=MinEditais,N(tProdutos[[#This Row],[Margem bruta]])&gt;=MargemMin),"Sim","Não"))</f>
        <v>Não</v>
      </c>
      <c r="T193" s="4" t="str">
        <f>IF(tProdutos[[#This Row],[Elegível]]="Sim",COUNTIFS(tProdutos[Elegível],"Sim",tProdutos[Valor janela],"&gt;"&amp;tProdutos[[#This Row],[Valor janela]])+1,"")</f>
        <v/>
      </c>
      <c r="U193" t="str">
        <f>IF(ModoFoco="Lista",tProdutos[[#This Row],[Elegível]],IF(AND(tProdutos[[#This Row],[Posição]]&lt;&gt;"",N(tProdutos[[#This Row],[Posição]])&lt;=TopN),"Sim","Não"))</f>
        <v>Não</v>
      </c>
    </row>
    <row r="194" spans="1:21" x14ac:dyDescent="0.25">
      <c r="A194" t="s">
        <v>454</v>
      </c>
      <c r="B194" t="s">
        <v>455</v>
      </c>
      <c r="C194" t="s">
        <v>431</v>
      </c>
      <c r="D194" s="14">
        <v>67.205930000000009</v>
      </c>
      <c r="E194" s="7"/>
      <c r="F194" s="7">
        <v>0.29595946765523801</v>
      </c>
      <c r="G194" s="15"/>
      <c r="H194" s="15">
        <v>4</v>
      </c>
      <c r="I194" t="s">
        <v>456</v>
      </c>
      <c r="J194" s="16" t="s">
        <v>66</v>
      </c>
      <c r="K194" s="15"/>
      <c r="L194" s="4">
        <f>COUNTIFS(tItens[Produto],tProdutos[[#This Row],[Produto]])</f>
        <v>102</v>
      </c>
      <c r="M194" s="4">
        <f>SUMIFS(tItens[Primeira ocorrência],tItens[Produto],tProdutos[[#This Row],[Produto]])</f>
        <v>25</v>
      </c>
      <c r="N194" s="8">
        <f>SUMIFS(tItens[Valor],tItens[Produto],tProdutos[[#This Row],[Produto]])</f>
        <v>1366197.6399999994</v>
      </c>
      <c r="O194" s="8">
        <f>SUMIFS(tItens[Valor],tItens[Produto],tProdutos[[#This Row],[Produto]],tItens[SRP],"Sim")</f>
        <v>1273271.5099999998</v>
      </c>
      <c r="P194" s="6">
        <f>IF(tProdutos[[#This Row],[Valor janela]]=0,0,tProdutos[[#This Row],[Valor SRP]]/tProdutos[[#This Row],[Valor janela]])</f>
        <v>0.93198192759284837</v>
      </c>
      <c r="Q194" s="8">
        <f>tProdutos[[#This Row],[Valor janela]]*DiasMes/DiasJanela</f>
        <v>4553992.1333333319</v>
      </c>
      <c r="R194" s="8">
        <f>tProdutos[[#This Row],[Mercado mês ref]]*(1-IF(tProdutos[[#This Row],[Desconto homologado]]="",DescontoPadrao,tProdutos[[#This Row],[Desconto homologado]]))</f>
        <v>3206195.0458458574</v>
      </c>
      <c r="S194" t="str">
        <f>IF(ModoFoco="Lista",IF(tProdutos[[#This Row],[Lista definida]]="Sim","Sim","Não"),IF(AND(tProdutos[[#This Row],[Editais]]&gt;=MinEditais,N(tProdutos[[#This Row],[Margem bruta]])&gt;=MargemMin),"Sim","Não"))</f>
        <v>Não</v>
      </c>
      <c r="T194" s="4" t="str">
        <f>IF(tProdutos[[#This Row],[Elegível]]="Sim",COUNTIFS(tProdutos[Elegível],"Sim",tProdutos[Valor janela],"&gt;"&amp;tProdutos[[#This Row],[Valor janela]])+1,"")</f>
        <v/>
      </c>
      <c r="U194" t="str">
        <f>IF(ModoFoco="Lista",tProdutos[[#This Row],[Elegível]],IF(AND(tProdutos[[#This Row],[Posição]]&lt;&gt;"",N(tProdutos[[#This Row],[Posição]])&lt;=TopN),"Sim","Não"))</f>
        <v>Não</v>
      </c>
    </row>
    <row r="195" spans="1:21" x14ac:dyDescent="0.25">
      <c r="A195" t="s">
        <v>457</v>
      </c>
      <c r="B195" t="s">
        <v>458</v>
      </c>
      <c r="C195" t="s">
        <v>431</v>
      </c>
      <c r="D195" s="14">
        <v>66.558302857142834</v>
      </c>
      <c r="E195" s="7"/>
      <c r="F195" s="7">
        <v>0.33411214953271001</v>
      </c>
      <c r="G195" s="15"/>
      <c r="H195" s="15">
        <v>1.5</v>
      </c>
      <c r="I195" t="s">
        <v>459</v>
      </c>
      <c r="J195" s="16" t="s">
        <v>66</v>
      </c>
      <c r="K195" s="15"/>
      <c r="L195" s="4">
        <f>COUNTIFS(tItens[Produto],tProdutos[[#This Row],[Produto]])</f>
        <v>3</v>
      </c>
      <c r="M195" s="4">
        <f>SUMIFS(tItens[Primeira ocorrência],tItens[Produto],tProdutos[[#This Row],[Produto]])</f>
        <v>3</v>
      </c>
      <c r="N195" s="8">
        <f>SUMIFS(tItens[Valor],tItens[Produto],tProdutos[[#This Row],[Produto]])</f>
        <v>833</v>
      </c>
      <c r="O195" s="8">
        <f>SUMIFS(tItens[Valor],tItens[Produto],tProdutos[[#This Row],[Produto]],tItens[SRP],"Sim")</f>
        <v>833</v>
      </c>
      <c r="P195" s="6">
        <f>IF(tProdutos[[#This Row],[Valor janela]]=0,0,tProdutos[[#This Row],[Valor SRP]]/tProdutos[[#This Row],[Valor janela]])</f>
        <v>1</v>
      </c>
      <c r="Q195" s="8">
        <f>tProdutos[[#This Row],[Valor janela]]*DiasMes/DiasJanela</f>
        <v>2776.6666666666665</v>
      </c>
      <c r="R195" s="8">
        <f>tProdutos[[#This Row],[Mercado mês ref]]*(1-IF(tProdutos[[#This Row],[Desconto homologado]]="",DescontoPadrao,tProdutos[[#This Row],[Desconto homologado]]))</f>
        <v>1848.9485981308419</v>
      </c>
      <c r="S195" t="str">
        <f>IF(ModoFoco="Lista",IF(tProdutos[[#This Row],[Lista definida]]="Sim","Sim","Não"),IF(AND(tProdutos[[#This Row],[Editais]]&gt;=MinEditais,N(tProdutos[[#This Row],[Margem bruta]])&gt;=MargemMin),"Sim","Não"))</f>
        <v>Não</v>
      </c>
      <c r="T195" s="4" t="str">
        <f>IF(tProdutos[[#This Row],[Elegível]]="Sim",COUNTIFS(tProdutos[Elegível],"Sim",tProdutos[Valor janela],"&gt;"&amp;tProdutos[[#This Row],[Valor janela]])+1,"")</f>
        <v/>
      </c>
      <c r="U195" t="str">
        <f>IF(ModoFoco="Lista",tProdutos[[#This Row],[Elegível]],IF(AND(tProdutos[[#This Row],[Posição]]&lt;&gt;"",N(tProdutos[[#This Row],[Posição]])&lt;=TopN),"Sim","Não"))</f>
        <v>Não</v>
      </c>
    </row>
    <row r="196" spans="1:21" x14ac:dyDescent="0.25">
      <c r="A196" t="s">
        <v>460</v>
      </c>
      <c r="B196" t="s">
        <v>461</v>
      </c>
      <c r="C196" t="s">
        <v>431</v>
      </c>
      <c r="D196" s="14">
        <v>66.236055714285712</v>
      </c>
      <c r="E196" s="7"/>
      <c r="F196" s="7">
        <v>0.44096385542168698</v>
      </c>
      <c r="G196" s="15"/>
      <c r="H196" s="15">
        <v>1.1000000000000001</v>
      </c>
      <c r="I196" t="s">
        <v>462</v>
      </c>
      <c r="J196" s="16" t="s">
        <v>66</v>
      </c>
      <c r="K196" s="15"/>
      <c r="L196" s="4">
        <f>COUNTIFS(tItens[Produto],tProdutos[[#This Row],[Produto]])</f>
        <v>262</v>
      </c>
      <c r="M196" s="4">
        <f>SUMIFS(tItens[Primeira ocorrência],tItens[Produto],tProdutos[[#This Row],[Produto]])</f>
        <v>72</v>
      </c>
      <c r="N196" s="8">
        <f>SUMIFS(tItens[Valor],tItens[Produto],tProdutos[[#This Row],[Produto]])</f>
        <v>1341220.2100000002</v>
      </c>
      <c r="O196" s="8">
        <f>SUMIFS(tItens[Valor],tItens[Produto],tProdutos[[#This Row],[Produto]],tItens[SRP],"Sim")</f>
        <v>868690.87000000011</v>
      </c>
      <c r="P196" s="6">
        <f>IF(tProdutos[[#This Row],[Valor janela]]=0,0,tProdutos[[#This Row],[Valor SRP]]/tProdutos[[#This Row],[Valor janela]])</f>
        <v>0.64768698199082464</v>
      </c>
      <c r="Q196" s="8">
        <f>tProdutos[[#This Row],[Valor janela]]*DiasMes/DiasJanela</f>
        <v>4470734.0333333341</v>
      </c>
      <c r="R196" s="8">
        <f>tProdutos[[#This Row],[Mercado mês ref]]*(1-IF(tProdutos[[#This Row],[Desconto homologado]]="",DescontoPadrao,tProdutos[[#This Row],[Desconto homologado]]))</f>
        <v>2499301.9174297182</v>
      </c>
      <c r="S196" t="str">
        <f>IF(ModoFoco="Lista",IF(tProdutos[[#This Row],[Lista definida]]="Sim","Sim","Não"),IF(AND(tProdutos[[#This Row],[Editais]]&gt;=MinEditais,N(tProdutos[[#This Row],[Margem bruta]])&gt;=MargemMin),"Sim","Não"))</f>
        <v>Não</v>
      </c>
      <c r="T196" s="4" t="str">
        <f>IF(tProdutos[[#This Row],[Elegível]]="Sim",COUNTIFS(tProdutos[Elegível],"Sim",tProdutos[Valor janela],"&gt;"&amp;tProdutos[[#This Row],[Valor janela]])+1,"")</f>
        <v/>
      </c>
      <c r="U196" t="str">
        <f>IF(ModoFoco="Lista",tProdutos[[#This Row],[Elegível]],IF(AND(tProdutos[[#This Row],[Posição]]&lt;&gt;"",N(tProdutos[[#This Row],[Posição]])&lt;=TopN),"Sim","Não"))</f>
        <v>Não</v>
      </c>
    </row>
    <row r="197" spans="1:21" x14ac:dyDescent="0.25">
      <c r="A197" t="s">
        <v>463</v>
      </c>
      <c r="B197" t="s">
        <v>464</v>
      </c>
      <c r="C197" t="s">
        <v>431</v>
      </c>
      <c r="D197" s="14">
        <v>66.06520571428571</v>
      </c>
      <c r="E197" s="7"/>
      <c r="F197" s="7"/>
      <c r="G197" s="15"/>
      <c r="H197" s="15">
        <v>6</v>
      </c>
      <c r="I197" t="s">
        <v>465</v>
      </c>
      <c r="J197" s="16" t="s">
        <v>66</v>
      </c>
      <c r="K197" s="15"/>
      <c r="L197" s="4">
        <f>COUNTIFS(tItens[Produto],tProdutos[[#This Row],[Produto]])</f>
        <v>5</v>
      </c>
      <c r="M197" s="4">
        <f>SUMIFS(tItens[Primeira ocorrência],tItens[Produto],tProdutos[[#This Row],[Produto]])</f>
        <v>4</v>
      </c>
      <c r="N197" s="8">
        <f>SUMIFS(tItens[Valor],tItens[Produto],tProdutos[[#This Row],[Produto]])</f>
        <v>26437.5</v>
      </c>
      <c r="O197" s="8">
        <f>SUMIFS(tItens[Valor],tItens[Produto],tProdutos[[#This Row],[Produto]],tItens[SRP],"Sim")</f>
        <v>0</v>
      </c>
      <c r="P197" s="6">
        <f>IF(tProdutos[[#This Row],[Valor janela]]=0,0,tProdutos[[#This Row],[Valor SRP]]/tProdutos[[#This Row],[Valor janela]])</f>
        <v>0</v>
      </c>
      <c r="Q197" s="8">
        <f>tProdutos[[#This Row],[Valor janela]]*DiasMes/DiasJanela</f>
        <v>88125</v>
      </c>
      <c r="R197" s="8">
        <f>tProdutos[[#This Row],[Mercado mês ref]]*(1-IF(tProdutos[[#This Row],[Desconto homologado]]="",DescontoPadrao,tProdutos[[#This Row],[Desconto homologado]]))</f>
        <v>61687.499999999993</v>
      </c>
      <c r="S197" t="str">
        <f>IF(ModoFoco="Lista",IF(tProdutos[[#This Row],[Lista definida]]="Sim","Sim","Não"),IF(AND(tProdutos[[#This Row],[Editais]]&gt;=MinEditais,N(tProdutos[[#This Row],[Margem bruta]])&gt;=MargemMin),"Sim","Não"))</f>
        <v>Não</v>
      </c>
      <c r="T197" s="4" t="str">
        <f>IF(tProdutos[[#This Row],[Elegível]]="Sim",COUNTIFS(tProdutos[Elegível],"Sim",tProdutos[Valor janela],"&gt;"&amp;tProdutos[[#This Row],[Valor janela]])+1,"")</f>
        <v/>
      </c>
      <c r="U197" t="str">
        <f>IF(ModoFoco="Lista",tProdutos[[#This Row],[Elegível]],IF(AND(tProdutos[[#This Row],[Posição]]&lt;&gt;"",N(tProdutos[[#This Row],[Posição]])&lt;=TopN),"Sim","Não"))</f>
        <v>Não</v>
      </c>
    </row>
    <row r="198" spans="1:21" x14ac:dyDescent="0.25">
      <c r="A198" t="s">
        <v>466</v>
      </c>
      <c r="B198" t="s">
        <v>467</v>
      </c>
      <c r="C198" t="s">
        <v>431</v>
      </c>
      <c r="D198" s="14">
        <v>65.438221428571438</v>
      </c>
      <c r="E198" s="7"/>
      <c r="F198" s="7">
        <v>0.25007144898542499</v>
      </c>
      <c r="G198" s="15"/>
      <c r="H198" s="15">
        <v>2.8</v>
      </c>
      <c r="I198" t="s">
        <v>468</v>
      </c>
      <c r="J198" s="16" t="s">
        <v>66</v>
      </c>
      <c r="K198" s="15"/>
      <c r="L198" s="4">
        <f>COUNTIFS(tItens[Produto],tProdutos[[#This Row],[Produto]])</f>
        <v>43</v>
      </c>
      <c r="M198" s="4">
        <f>SUMIFS(tItens[Primeira ocorrência],tItens[Produto],tProdutos[[#This Row],[Produto]])</f>
        <v>40</v>
      </c>
      <c r="N198" s="8">
        <f>SUMIFS(tItens[Valor],tItens[Produto],tProdutos[[#This Row],[Produto]])</f>
        <v>175576.04</v>
      </c>
      <c r="O198" s="8">
        <f>SUMIFS(tItens[Valor],tItens[Produto],tProdutos[[#This Row],[Produto]],tItens[SRP],"Sim")</f>
        <v>155845.87000000002</v>
      </c>
      <c r="P198" s="6">
        <f>IF(tProdutos[[#This Row],[Valor janela]]=0,0,tProdutos[[#This Row],[Valor SRP]]/tProdutos[[#This Row],[Valor janela]])</f>
        <v>0.88762606788488918</v>
      </c>
      <c r="Q198" s="8">
        <f>tProdutos[[#This Row],[Valor janela]]*DiasMes/DiasJanela</f>
        <v>585253.46666666667</v>
      </c>
      <c r="R198" s="8">
        <f>tProdutos[[#This Row],[Mercado mês ref]]*(1-IF(tProdutos[[#This Row],[Desconto homologado]]="",DescontoPadrao,tProdutos[[#This Row],[Desconto homologado]]))</f>
        <v>438898.28423359024</v>
      </c>
      <c r="S198" t="str">
        <f>IF(ModoFoco="Lista",IF(tProdutos[[#This Row],[Lista definida]]="Sim","Sim","Não"),IF(AND(tProdutos[[#This Row],[Editais]]&gt;=MinEditais,N(tProdutos[[#This Row],[Margem bruta]])&gt;=MargemMin),"Sim","Não"))</f>
        <v>Não</v>
      </c>
      <c r="T198" s="4" t="str">
        <f>IF(tProdutos[[#This Row],[Elegível]]="Sim",COUNTIFS(tProdutos[Elegível],"Sim",tProdutos[Valor janela],"&gt;"&amp;tProdutos[[#This Row],[Valor janela]])+1,"")</f>
        <v/>
      </c>
      <c r="U198" t="str">
        <f>IF(ModoFoco="Lista",tProdutos[[#This Row],[Elegível]],IF(AND(tProdutos[[#This Row],[Posição]]&lt;&gt;"",N(tProdutos[[#This Row],[Posição]])&lt;=TopN),"Sim","Não"))</f>
        <v>Não</v>
      </c>
    </row>
    <row r="199" spans="1:21" x14ac:dyDescent="0.25">
      <c r="A199" t="s">
        <v>469</v>
      </c>
      <c r="B199" t="s">
        <v>470</v>
      </c>
      <c r="C199" t="s">
        <v>431</v>
      </c>
      <c r="D199" s="14">
        <v>65.416072857142865</v>
      </c>
      <c r="E199" s="7"/>
      <c r="F199" s="7">
        <v>0.47925413282186802</v>
      </c>
      <c r="G199" s="15"/>
      <c r="H199" s="15">
        <v>1.2</v>
      </c>
      <c r="I199" t="s">
        <v>471</v>
      </c>
      <c r="J199" s="16" t="s">
        <v>66</v>
      </c>
      <c r="K199" s="15"/>
      <c r="L199" s="4">
        <f>COUNTIFS(tItens[Produto],tProdutos[[#This Row],[Produto]])</f>
        <v>1</v>
      </c>
      <c r="M199" s="4">
        <f>SUMIFS(tItens[Primeira ocorrência],tItens[Produto],tProdutos[[#This Row],[Produto]])</f>
        <v>1</v>
      </c>
      <c r="N199" s="8">
        <f>SUMIFS(tItens[Valor],tItens[Produto],tProdutos[[#This Row],[Produto]])</f>
        <v>1344</v>
      </c>
      <c r="O199" s="8">
        <f>SUMIFS(tItens[Valor],tItens[Produto],tProdutos[[#This Row],[Produto]],tItens[SRP],"Sim")</f>
        <v>1344</v>
      </c>
      <c r="P199" s="6">
        <f>IF(tProdutos[[#This Row],[Valor janela]]=0,0,tProdutos[[#This Row],[Valor SRP]]/tProdutos[[#This Row],[Valor janela]])</f>
        <v>1</v>
      </c>
      <c r="Q199" s="8">
        <f>tProdutos[[#This Row],[Valor janela]]*DiasMes/DiasJanela</f>
        <v>4480</v>
      </c>
      <c r="R199" s="8">
        <f>tProdutos[[#This Row],[Mercado mês ref]]*(1-IF(tProdutos[[#This Row],[Desconto homologado]]="",DescontoPadrao,tProdutos[[#This Row],[Desconto homologado]]))</f>
        <v>2332.9414849580312</v>
      </c>
      <c r="S199" t="str">
        <f>IF(ModoFoco="Lista",IF(tProdutos[[#This Row],[Lista definida]]="Sim","Sim","Não"),IF(AND(tProdutos[[#This Row],[Editais]]&gt;=MinEditais,N(tProdutos[[#This Row],[Margem bruta]])&gt;=MargemMin),"Sim","Não"))</f>
        <v>Não</v>
      </c>
      <c r="T199" s="4" t="str">
        <f>IF(tProdutos[[#This Row],[Elegível]]="Sim",COUNTIFS(tProdutos[Elegível],"Sim",tProdutos[Valor janela],"&gt;"&amp;tProdutos[[#This Row],[Valor janela]])+1,"")</f>
        <v/>
      </c>
      <c r="U199" t="str">
        <f>IF(ModoFoco="Lista",tProdutos[[#This Row],[Elegível]],IF(AND(tProdutos[[#This Row],[Posição]]&lt;&gt;"",N(tProdutos[[#This Row],[Posição]])&lt;=TopN),"Sim","Não"))</f>
        <v>Não</v>
      </c>
    </row>
    <row r="200" spans="1:21" x14ac:dyDescent="0.25">
      <c r="A200" t="s">
        <v>472</v>
      </c>
      <c r="B200" t="s">
        <v>473</v>
      </c>
      <c r="C200" t="s">
        <v>431</v>
      </c>
      <c r="D200" s="14">
        <v>65.294668571428574</v>
      </c>
      <c r="E200" s="7"/>
      <c r="F200" s="7">
        <v>0.27272727272727298</v>
      </c>
      <c r="G200" s="15"/>
      <c r="H200" s="15">
        <v>0.35</v>
      </c>
      <c r="I200" t="s">
        <v>474</v>
      </c>
      <c r="J200" s="16" t="s">
        <v>66</v>
      </c>
      <c r="K200" s="15"/>
      <c r="L200" s="4">
        <f>COUNTIFS(tItens[Produto],tProdutos[[#This Row],[Produto]])</f>
        <v>0</v>
      </c>
      <c r="M200" s="4">
        <f>SUMIFS(tItens[Primeira ocorrência],tItens[Produto],tProdutos[[#This Row],[Produto]])</f>
        <v>0</v>
      </c>
      <c r="N200" s="8">
        <f>SUMIFS(tItens[Valor],tItens[Produto],tProdutos[[#This Row],[Produto]])</f>
        <v>0</v>
      </c>
      <c r="O200" s="8">
        <f>SUMIFS(tItens[Valor],tItens[Produto],tProdutos[[#This Row],[Produto]],tItens[SRP],"Sim")</f>
        <v>0</v>
      </c>
      <c r="P200" s="6">
        <f>IF(tProdutos[[#This Row],[Valor janela]]=0,0,tProdutos[[#This Row],[Valor SRP]]/tProdutos[[#This Row],[Valor janela]])</f>
        <v>0</v>
      </c>
      <c r="Q200" s="8">
        <f>tProdutos[[#This Row],[Valor janela]]*DiasMes/DiasJanela</f>
        <v>0</v>
      </c>
      <c r="R200" s="8">
        <f>tProdutos[[#This Row],[Mercado mês ref]]*(1-IF(tProdutos[[#This Row],[Desconto homologado]]="",DescontoPadrao,tProdutos[[#This Row],[Desconto homologado]]))</f>
        <v>0</v>
      </c>
      <c r="S200" t="str">
        <f>IF(ModoFoco="Lista",IF(tProdutos[[#This Row],[Lista definida]]="Sim","Sim","Não"),IF(AND(tProdutos[[#This Row],[Editais]]&gt;=MinEditais,N(tProdutos[[#This Row],[Margem bruta]])&gt;=MargemMin),"Sim","Não"))</f>
        <v>Não</v>
      </c>
      <c r="T200" s="4" t="str">
        <f>IF(tProdutos[[#This Row],[Elegível]]="Sim",COUNTIFS(tProdutos[Elegível],"Sim",tProdutos[Valor janela],"&gt;"&amp;tProdutos[[#This Row],[Valor janela]])+1,"")</f>
        <v/>
      </c>
      <c r="U200" t="str">
        <f>IF(ModoFoco="Lista",tProdutos[[#This Row],[Elegível]],IF(AND(tProdutos[[#This Row],[Posição]]&lt;&gt;"",N(tProdutos[[#This Row],[Posição]])&lt;=TopN),"Sim","Não"))</f>
        <v>Não</v>
      </c>
    </row>
    <row r="201" spans="1:21" x14ac:dyDescent="0.25">
      <c r="A201" t="s">
        <v>475</v>
      </c>
      <c r="B201" t="s">
        <v>476</v>
      </c>
      <c r="C201" t="s">
        <v>431</v>
      </c>
      <c r="D201" s="14">
        <v>64.887785714285727</v>
      </c>
      <c r="E201" s="7"/>
      <c r="F201" s="7">
        <v>0.43265506519011498</v>
      </c>
      <c r="G201" s="15"/>
      <c r="H201" s="15">
        <v>6</v>
      </c>
      <c r="I201" t="s">
        <v>477</v>
      </c>
      <c r="J201" s="16" t="s">
        <v>66</v>
      </c>
      <c r="K201" s="15"/>
      <c r="L201" s="4">
        <f>COUNTIFS(tItens[Produto],tProdutos[[#This Row],[Produto]])</f>
        <v>3</v>
      </c>
      <c r="M201" s="4">
        <f>SUMIFS(tItens[Primeira ocorrência],tItens[Produto],tProdutos[[#This Row],[Produto]])</f>
        <v>3</v>
      </c>
      <c r="N201" s="8">
        <f>SUMIFS(tItens[Valor],tItens[Produto],tProdutos[[#This Row],[Produto]])</f>
        <v>35918.850000000006</v>
      </c>
      <c r="O201" s="8">
        <f>SUMIFS(tItens[Valor],tItens[Produto],tProdutos[[#This Row],[Produto]],tItens[SRP],"Sim")</f>
        <v>33654.200000000004</v>
      </c>
      <c r="P201" s="6">
        <f>IF(tProdutos[[#This Row],[Valor janela]]=0,0,tProdutos[[#This Row],[Valor SRP]]/tProdutos[[#This Row],[Valor janela]])</f>
        <v>0.93695093244911787</v>
      </c>
      <c r="Q201" s="8">
        <f>tProdutos[[#This Row],[Valor janela]]*DiasMes/DiasJanela</f>
        <v>119729.50000000001</v>
      </c>
      <c r="R201" s="8">
        <f>tProdutos[[#This Row],[Mercado mês ref]]*(1-IF(tProdutos[[#This Row],[Desconto homologado]]="",DescontoPadrao,tProdutos[[#This Row],[Desconto homologado]]))</f>
        <v>67927.92537232014</v>
      </c>
      <c r="S201" t="str">
        <f>IF(ModoFoco="Lista",IF(tProdutos[[#This Row],[Lista definida]]="Sim","Sim","Não"),IF(AND(tProdutos[[#This Row],[Editais]]&gt;=MinEditais,N(tProdutos[[#This Row],[Margem bruta]])&gt;=MargemMin),"Sim","Não"))</f>
        <v>Não</v>
      </c>
      <c r="T201" s="4" t="str">
        <f>IF(tProdutos[[#This Row],[Elegível]]="Sim",COUNTIFS(tProdutos[Elegível],"Sim",tProdutos[Valor janela],"&gt;"&amp;tProdutos[[#This Row],[Valor janela]])+1,"")</f>
        <v/>
      </c>
      <c r="U201" t="str">
        <f>IF(ModoFoco="Lista",tProdutos[[#This Row],[Elegível]],IF(AND(tProdutos[[#This Row],[Posição]]&lt;&gt;"",N(tProdutos[[#This Row],[Posição]])&lt;=TopN),"Sim","Não"))</f>
        <v>Não</v>
      </c>
    </row>
    <row r="202" spans="1:21" x14ac:dyDescent="0.25">
      <c r="A202" t="s">
        <v>478</v>
      </c>
      <c r="B202" t="s">
        <v>479</v>
      </c>
      <c r="C202" t="s">
        <v>431</v>
      </c>
      <c r="D202" s="14">
        <v>64.84662142857141</v>
      </c>
      <c r="E202" s="7"/>
      <c r="F202" s="7">
        <v>0.41266209000762799</v>
      </c>
      <c r="G202" s="15"/>
      <c r="H202" s="15">
        <v>0.8</v>
      </c>
      <c r="I202" t="s">
        <v>480</v>
      </c>
      <c r="J202" s="16" t="s">
        <v>66</v>
      </c>
      <c r="K202" s="15"/>
      <c r="L202" s="4">
        <f>COUNTIFS(tItens[Produto],tProdutos[[#This Row],[Produto]])</f>
        <v>24</v>
      </c>
      <c r="M202" s="4">
        <f>SUMIFS(tItens[Primeira ocorrência],tItens[Produto],tProdutos[[#This Row],[Produto]])</f>
        <v>10</v>
      </c>
      <c r="N202" s="8">
        <f>SUMIFS(tItens[Valor],tItens[Produto],tProdutos[[#This Row],[Produto]])</f>
        <v>27648.43</v>
      </c>
      <c r="O202" s="8">
        <f>SUMIFS(tItens[Valor],tItens[Produto],tProdutos[[#This Row],[Produto]],tItens[SRP],"Sim")</f>
        <v>26777.43</v>
      </c>
      <c r="P202" s="6">
        <f>IF(tProdutos[[#This Row],[Valor janela]]=0,0,tProdutos[[#This Row],[Valor SRP]]/tProdutos[[#This Row],[Valor janela]])</f>
        <v>0.96849730708036585</v>
      </c>
      <c r="Q202" s="8">
        <f>tProdutos[[#This Row],[Valor janela]]*DiasMes/DiasJanela</f>
        <v>92161.433333333334</v>
      </c>
      <c r="R202" s="8">
        <f>tProdutos[[#This Row],[Mercado mês ref]]*(1-IF(tProdutos[[#This Row],[Desconto homologado]]="",DescontoPadrao,tProdutos[[#This Row],[Desconto homologado]]))</f>
        <v>54129.903635901326</v>
      </c>
      <c r="S202" t="str">
        <f>IF(ModoFoco="Lista",IF(tProdutos[[#This Row],[Lista definida]]="Sim","Sim","Não"),IF(AND(tProdutos[[#This Row],[Editais]]&gt;=MinEditais,N(tProdutos[[#This Row],[Margem bruta]])&gt;=MargemMin),"Sim","Não"))</f>
        <v>Não</v>
      </c>
      <c r="T202" s="4" t="str">
        <f>IF(tProdutos[[#This Row],[Elegível]]="Sim",COUNTIFS(tProdutos[Elegível],"Sim",tProdutos[Valor janela],"&gt;"&amp;tProdutos[[#This Row],[Valor janela]])+1,"")</f>
        <v/>
      </c>
      <c r="U202" t="str">
        <f>IF(ModoFoco="Lista",tProdutos[[#This Row],[Elegível]],IF(AND(tProdutos[[#This Row],[Posição]]&lt;&gt;"",N(tProdutos[[#This Row],[Posição]])&lt;=TopN),"Sim","Não"))</f>
        <v>Não</v>
      </c>
    </row>
    <row r="203" spans="1:21" x14ac:dyDescent="0.25">
      <c r="A203" t="s">
        <v>481</v>
      </c>
      <c r="B203" t="s">
        <v>482</v>
      </c>
      <c r="C203" t="s">
        <v>431</v>
      </c>
      <c r="D203" s="14">
        <v>63.659972857142854</v>
      </c>
      <c r="E203" s="7"/>
      <c r="F203" s="7">
        <v>0.29214514354940102</v>
      </c>
      <c r="G203" s="15"/>
      <c r="H203" s="15">
        <v>0.05</v>
      </c>
      <c r="I203" t="s">
        <v>483</v>
      </c>
      <c r="J203" s="16" t="s">
        <v>66</v>
      </c>
      <c r="K203" s="15"/>
      <c r="L203" s="4">
        <f>COUNTIFS(tItens[Produto],tProdutos[[#This Row],[Produto]])</f>
        <v>5</v>
      </c>
      <c r="M203" s="4">
        <f>SUMIFS(tItens[Primeira ocorrência],tItens[Produto],tProdutos[[#This Row],[Produto]])</f>
        <v>4</v>
      </c>
      <c r="N203" s="8">
        <f>SUMIFS(tItens[Valor],tItens[Produto],tProdutos[[#This Row],[Produto]])</f>
        <v>122408.92</v>
      </c>
      <c r="O203" s="8">
        <f>SUMIFS(tItens[Valor],tItens[Produto],tProdutos[[#This Row],[Produto]],tItens[SRP],"Sim")</f>
        <v>103061.32</v>
      </c>
      <c r="P203" s="6">
        <f>IF(tProdutos[[#This Row],[Valor janela]]=0,0,tProdutos[[#This Row],[Valor SRP]]/tProdutos[[#This Row],[Valor janela]])</f>
        <v>0.84194289108996312</v>
      </c>
      <c r="Q203" s="8">
        <f>tProdutos[[#This Row],[Valor janela]]*DiasMes/DiasJanela</f>
        <v>408029.73333333334</v>
      </c>
      <c r="R203" s="8">
        <f>tProdutos[[#This Row],[Mercado mês ref]]*(1-IF(tProdutos[[#This Row],[Desconto homologado]]="",DescontoPadrao,tProdutos[[#This Row],[Desconto homologado]]))</f>
        <v>288825.82831624284</v>
      </c>
      <c r="S203" t="str">
        <f>IF(ModoFoco="Lista",IF(tProdutos[[#This Row],[Lista definida]]="Sim","Sim","Não"),IF(AND(tProdutos[[#This Row],[Editais]]&gt;=MinEditais,N(tProdutos[[#This Row],[Margem bruta]])&gt;=MargemMin),"Sim","Não"))</f>
        <v>Não</v>
      </c>
      <c r="T203" s="4" t="str">
        <f>IF(tProdutos[[#This Row],[Elegível]]="Sim",COUNTIFS(tProdutos[Elegível],"Sim",tProdutos[Valor janela],"&gt;"&amp;tProdutos[[#This Row],[Valor janela]])+1,"")</f>
        <v/>
      </c>
      <c r="U203" t="str">
        <f>IF(ModoFoco="Lista",tProdutos[[#This Row],[Elegível]],IF(AND(tProdutos[[#This Row],[Posição]]&lt;&gt;"",N(tProdutos[[#This Row],[Posição]])&lt;=TopN),"Sim","Não"))</f>
        <v>Não</v>
      </c>
    </row>
    <row r="204" spans="1:21" x14ac:dyDescent="0.25">
      <c r="A204" t="s">
        <v>484</v>
      </c>
      <c r="B204" t="s">
        <v>485</v>
      </c>
      <c r="C204" t="s">
        <v>431</v>
      </c>
      <c r="D204" s="14">
        <v>63.427655714285706</v>
      </c>
      <c r="E204" s="7"/>
      <c r="F204" s="7">
        <v>0.371991013159302</v>
      </c>
      <c r="G204" s="15"/>
      <c r="H204" s="15">
        <v>6.5</v>
      </c>
      <c r="I204" t="s">
        <v>486</v>
      </c>
      <c r="J204" s="16" t="s">
        <v>66</v>
      </c>
      <c r="K204" s="15"/>
      <c r="L204" s="4">
        <f>COUNTIFS(tItens[Produto],tProdutos[[#This Row],[Produto]])</f>
        <v>23</v>
      </c>
      <c r="M204" s="4">
        <f>SUMIFS(tItens[Primeira ocorrência],tItens[Produto],tProdutos[[#This Row],[Produto]])</f>
        <v>8</v>
      </c>
      <c r="N204" s="8">
        <f>SUMIFS(tItens[Valor],tItens[Produto],tProdutos[[#This Row],[Produto]])</f>
        <v>2030468.04</v>
      </c>
      <c r="O204" s="8">
        <f>SUMIFS(tItens[Valor],tItens[Produto],tProdutos[[#This Row],[Produto]],tItens[SRP],"Sim")</f>
        <v>1610842.04</v>
      </c>
      <c r="P204" s="6">
        <f>IF(tProdutos[[#This Row],[Valor janela]]=0,0,tProdutos[[#This Row],[Valor SRP]]/tProdutos[[#This Row],[Valor janela]])</f>
        <v>0.79333533366031217</v>
      </c>
      <c r="Q204" s="8">
        <f>tProdutos[[#This Row],[Valor janela]]*DiasMes/DiasJanela</f>
        <v>6768226.7999999998</v>
      </c>
      <c r="R204" s="8">
        <f>tProdutos[[#This Row],[Mercado mês ref]]*(1-IF(tProdutos[[#This Row],[Desconto homologado]]="",DescontoPadrao,tProdutos[[#This Row],[Desconto homologado]]))</f>
        <v>4250507.2553760586</v>
      </c>
      <c r="S204" t="str">
        <f>IF(ModoFoco="Lista",IF(tProdutos[[#This Row],[Lista definida]]="Sim","Sim","Não"),IF(AND(tProdutos[[#This Row],[Editais]]&gt;=MinEditais,N(tProdutos[[#This Row],[Margem bruta]])&gt;=MargemMin),"Sim","Não"))</f>
        <v>Não</v>
      </c>
      <c r="T204" s="4" t="str">
        <f>IF(tProdutos[[#This Row],[Elegível]]="Sim",COUNTIFS(tProdutos[Elegível],"Sim",tProdutos[Valor janela],"&gt;"&amp;tProdutos[[#This Row],[Valor janela]])+1,"")</f>
        <v/>
      </c>
      <c r="U204" t="str">
        <f>IF(ModoFoco="Lista",tProdutos[[#This Row],[Elegível]],IF(AND(tProdutos[[#This Row],[Posição]]&lt;&gt;"",N(tProdutos[[#This Row],[Posição]])&lt;=TopN),"Sim","Não"))</f>
        <v>Não</v>
      </c>
    </row>
    <row r="205" spans="1:21" x14ac:dyDescent="0.25">
      <c r="A205" t="s">
        <v>487</v>
      </c>
      <c r="B205" t="s">
        <v>488</v>
      </c>
      <c r="C205" t="s">
        <v>431</v>
      </c>
      <c r="D205" s="14">
        <v>63.203547142857147</v>
      </c>
      <c r="E205" s="7"/>
      <c r="F205" s="7">
        <v>0.18126754267078801</v>
      </c>
      <c r="G205" s="15"/>
      <c r="H205" s="15">
        <v>1</v>
      </c>
      <c r="I205" t="s">
        <v>489</v>
      </c>
      <c r="J205" s="16" t="s">
        <v>66</v>
      </c>
      <c r="K205" s="15"/>
      <c r="L205" s="4">
        <f>COUNTIFS(tItens[Produto],tProdutos[[#This Row],[Produto]])</f>
        <v>1</v>
      </c>
      <c r="M205" s="4">
        <f>SUMIFS(tItens[Primeira ocorrência],tItens[Produto],tProdutos[[#This Row],[Produto]])</f>
        <v>1</v>
      </c>
      <c r="N205" s="8">
        <f>SUMIFS(tItens[Valor],tItens[Produto],tProdutos[[#This Row],[Produto]])</f>
        <v>0</v>
      </c>
      <c r="O205" s="8">
        <f>SUMIFS(tItens[Valor],tItens[Produto],tProdutos[[#This Row],[Produto]],tItens[SRP],"Sim")</f>
        <v>0</v>
      </c>
      <c r="P205" s="6">
        <f>IF(tProdutos[[#This Row],[Valor janela]]=0,0,tProdutos[[#This Row],[Valor SRP]]/tProdutos[[#This Row],[Valor janela]])</f>
        <v>0</v>
      </c>
      <c r="Q205" s="8">
        <f>tProdutos[[#This Row],[Valor janela]]*DiasMes/DiasJanela</f>
        <v>0</v>
      </c>
      <c r="R205" s="8">
        <f>tProdutos[[#This Row],[Mercado mês ref]]*(1-IF(tProdutos[[#This Row],[Desconto homologado]]="",DescontoPadrao,tProdutos[[#This Row],[Desconto homologado]]))</f>
        <v>0</v>
      </c>
      <c r="S205" t="str">
        <f>IF(ModoFoco="Lista",IF(tProdutos[[#This Row],[Lista definida]]="Sim","Sim","Não"),IF(AND(tProdutos[[#This Row],[Editais]]&gt;=MinEditais,N(tProdutos[[#This Row],[Margem bruta]])&gt;=MargemMin),"Sim","Não"))</f>
        <v>Não</v>
      </c>
      <c r="T205" s="4" t="str">
        <f>IF(tProdutos[[#This Row],[Elegível]]="Sim",COUNTIFS(tProdutos[Elegível],"Sim",tProdutos[Valor janela],"&gt;"&amp;tProdutos[[#This Row],[Valor janela]])+1,"")</f>
        <v/>
      </c>
      <c r="U205" t="str">
        <f>IF(ModoFoco="Lista",tProdutos[[#This Row],[Elegível]],IF(AND(tProdutos[[#This Row],[Posição]]&lt;&gt;"",N(tProdutos[[#This Row],[Posição]])&lt;=TopN),"Sim","Não"))</f>
        <v>Não</v>
      </c>
    </row>
    <row r="206" spans="1:21" x14ac:dyDescent="0.25">
      <c r="A206" t="s">
        <v>490</v>
      </c>
      <c r="B206" t="s">
        <v>491</v>
      </c>
      <c r="C206" t="s">
        <v>431</v>
      </c>
      <c r="D206" s="14">
        <v>62.330864285714291</v>
      </c>
      <c r="E206" s="7"/>
      <c r="F206" s="7">
        <v>0.25452095116757401</v>
      </c>
      <c r="G206" s="15"/>
      <c r="H206" s="15">
        <v>2</v>
      </c>
      <c r="I206" t="s">
        <v>492</v>
      </c>
      <c r="J206" s="16" t="s">
        <v>66</v>
      </c>
      <c r="K206" s="15"/>
      <c r="L206" s="4">
        <f>COUNTIFS(tItens[Produto],tProdutos[[#This Row],[Produto]])</f>
        <v>0</v>
      </c>
      <c r="M206" s="4">
        <f>SUMIFS(tItens[Primeira ocorrência],tItens[Produto],tProdutos[[#This Row],[Produto]])</f>
        <v>0</v>
      </c>
      <c r="N206" s="8">
        <f>SUMIFS(tItens[Valor],tItens[Produto],tProdutos[[#This Row],[Produto]])</f>
        <v>0</v>
      </c>
      <c r="O206" s="8">
        <f>SUMIFS(tItens[Valor],tItens[Produto],tProdutos[[#This Row],[Produto]],tItens[SRP],"Sim")</f>
        <v>0</v>
      </c>
      <c r="P206" s="6">
        <f>IF(tProdutos[[#This Row],[Valor janela]]=0,0,tProdutos[[#This Row],[Valor SRP]]/tProdutos[[#This Row],[Valor janela]])</f>
        <v>0</v>
      </c>
      <c r="Q206" s="8">
        <f>tProdutos[[#This Row],[Valor janela]]*DiasMes/DiasJanela</f>
        <v>0</v>
      </c>
      <c r="R206" s="8">
        <f>tProdutos[[#This Row],[Mercado mês ref]]*(1-IF(tProdutos[[#This Row],[Desconto homologado]]="",DescontoPadrao,tProdutos[[#This Row],[Desconto homologado]]))</f>
        <v>0</v>
      </c>
      <c r="S206" t="str">
        <f>IF(ModoFoco="Lista",IF(tProdutos[[#This Row],[Lista definida]]="Sim","Sim","Não"),IF(AND(tProdutos[[#This Row],[Editais]]&gt;=MinEditais,N(tProdutos[[#This Row],[Margem bruta]])&gt;=MargemMin),"Sim","Não"))</f>
        <v>Não</v>
      </c>
      <c r="T206" s="4" t="str">
        <f>IF(tProdutos[[#This Row],[Elegível]]="Sim",COUNTIFS(tProdutos[Elegível],"Sim",tProdutos[Valor janela],"&gt;"&amp;tProdutos[[#This Row],[Valor janela]])+1,"")</f>
        <v/>
      </c>
      <c r="U206" t="str">
        <f>IF(ModoFoco="Lista",tProdutos[[#This Row],[Elegível]],IF(AND(tProdutos[[#This Row],[Posição]]&lt;&gt;"",N(tProdutos[[#This Row],[Posição]])&lt;=TopN),"Sim","Não"))</f>
        <v>Não</v>
      </c>
    </row>
    <row r="207" spans="1:21" x14ac:dyDescent="0.25">
      <c r="A207" t="s">
        <v>493</v>
      </c>
      <c r="B207" t="s">
        <v>494</v>
      </c>
      <c r="C207" t="s">
        <v>431</v>
      </c>
      <c r="D207" s="14">
        <v>62.112365714285716</v>
      </c>
      <c r="E207" s="7"/>
      <c r="F207" s="7">
        <v>0.253736324829619</v>
      </c>
      <c r="G207" s="15"/>
      <c r="H207" s="15">
        <v>1.2</v>
      </c>
      <c r="I207" t="s">
        <v>495</v>
      </c>
      <c r="J207" s="16" t="s">
        <v>66</v>
      </c>
      <c r="K207" s="15"/>
      <c r="L207" s="4">
        <f>COUNTIFS(tItens[Produto],tProdutos[[#This Row],[Produto]])</f>
        <v>271</v>
      </c>
      <c r="M207" s="4">
        <f>SUMIFS(tItens[Primeira ocorrência],tItens[Produto],tProdutos[[#This Row],[Produto]])</f>
        <v>75</v>
      </c>
      <c r="N207" s="8">
        <f>SUMIFS(tItens[Valor],tItens[Produto],tProdutos[[#This Row],[Produto]])</f>
        <v>7315472.54</v>
      </c>
      <c r="O207" s="8">
        <f>SUMIFS(tItens[Valor],tItens[Produto],tProdutos[[#This Row],[Produto]],tItens[SRP],"Sim")</f>
        <v>2170780.17</v>
      </c>
      <c r="P207" s="6">
        <f>IF(tProdutos[[#This Row],[Valor janela]]=0,0,tProdutos[[#This Row],[Valor SRP]]/tProdutos[[#This Row],[Valor janela]])</f>
        <v>0.29673820223238784</v>
      </c>
      <c r="Q207" s="8">
        <f>tProdutos[[#This Row],[Valor janela]]*DiasMes/DiasJanela</f>
        <v>24384908.466666669</v>
      </c>
      <c r="R207" s="8">
        <f>tProdutos[[#This Row],[Mercado mês ref]]*(1-IF(tProdutos[[#This Row],[Desconto homologado]]="",DescontoPadrao,tProdutos[[#This Row],[Desconto homologado]]))</f>
        <v>18197571.411028009</v>
      </c>
      <c r="S207" t="str">
        <f>IF(ModoFoco="Lista",IF(tProdutos[[#This Row],[Lista definida]]="Sim","Sim","Não"),IF(AND(tProdutos[[#This Row],[Editais]]&gt;=MinEditais,N(tProdutos[[#This Row],[Margem bruta]])&gt;=MargemMin),"Sim","Não"))</f>
        <v>Não</v>
      </c>
      <c r="T207" s="4" t="str">
        <f>IF(tProdutos[[#This Row],[Elegível]]="Sim",COUNTIFS(tProdutos[Elegível],"Sim",tProdutos[Valor janela],"&gt;"&amp;tProdutos[[#This Row],[Valor janela]])+1,"")</f>
        <v/>
      </c>
      <c r="U207" t="str">
        <f>IF(ModoFoco="Lista",tProdutos[[#This Row],[Elegível]],IF(AND(tProdutos[[#This Row],[Posição]]&lt;&gt;"",N(tProdutos[[#This Row],[Posição]])&lt;=TopN),"Sim","Não"))</f>
        <v>Não</v>
      </c>
    </row>
    <row r="208" spans="1:21" x14ac:dyDescent="0.25">
      <c r="A208" t="s">
        <v>496</v>
      </c>
      <c r="B208" t="s">
        <v>497</v>
      </c>
      <c r="C208" t="s">
        <v>431</v>
      </c>
      <c r="D208" s="14">
        <v>62.045895714285713</v>
      </c>
      <c r="E208" s="7"/>
      <c r="F208" s="7">
        <v>0.41672290818337099</v>
      </c>
      <c r="G208" s="15"/>
      <c r="H208" s="15">
        <v>0.6</v>
      </c>
      <c r="I208" t="s">
        <v>498</v>
      </c>
      <c r="J208" s="16" t="s">
        <v>66</v>
      </c>
      <c r="K208" s="15"/>
      <c r="L208" s="4">
        <f>COUNTIFS(tItens[Produto],tProdutos[[#This Row],[Produto]])</f>
        <v>0</v>
      </c>
      <c r="M208" s="4">
        <f>SUMIFS(tItens[Primeira ocorrência],tItens[Produto],tProdutos[[#This Row],[Produto]])</f>
        <v>0</v>
      </c>
      <c r="N208" s="8">
        <f>SUMIFS(tItens[Valor],tItens[Produto],tProdutos[[#This Row],[Produto]])</f>
        <v>0</v>
      </c>
      <c r="O208" s="8">
        <f>SUMIFS(tItens[Valor],tItens[Produto],tProdutos[[#This Row],[Produto]],tItens[SRP],"Sim")</f>
        <v>0</v>
      </c>
      <c r="P208" s="6">
        <f>IF(tProdutos[[#This Row],[Valor janela]]=0,0,tProdutos[[#This Row],[Valor SRP]]/tProdutos[[#This Row],[Valor janela]])</f>
        <v>0</v>
      </c>
      <c r="Q208" s="8">
        <f>tProdutos[[#This Row],[Valor janela]]*DiasMes/DiasJanela</f>
        <v>0</v>
      </c>
      <c r="R208" s="8">
        <f>tProdutos[[#This Row],[Mercado mês ref]]*(1-IF(tProdutos[[#This Row],[Desconto homologado]]="",DescontoPadrao,tProdutos[[#This Row],[Desconto homologado]]))</f>
        <v>0</v>
      </c>
      <c r="S208" t="str">
        <f>IF(ModoFoco="Lista",IF(tProdutos[[#This Row],[Lista definida]]="Sim","Sim","Não"),IF(AND(tProdutos[[#This Row],[Editais]]&gt;=MinEditais,N(tProdutos[[#This Row],[Margem bruta]])&gt;=MargemMin),"Sim","Não"))</f>
        <v>Não</v>
      </c>
      <c r="T208" s="4" t="str">
        <f>IF(tProdutos[[#This Row],[Elegível]]="Sim",COUNTIFS(tProdutos[Elegível],"Sim",tProdutos[Valor janela],"&gt;"&amp;tProdutos[[#This Row],[Valor janela]])+1,"")</f>
        <v/>
      </c>
      <c r="U208" t="str">
        <f>IF(ModoFoco="Lista",tProdutos[[#This Row],[Elegível]],IF(AND(tProdutos[[#This Row],[Posição]]&lt;&gt;"",N(tProdutos[[#This Row],[Posição]])&lt;=TopN),"Sim","Não"))</f>
        <v>Não</v>
      </c>
    </row>
    <row r="209" spans="1:21" x14ac:dyDescent="0.25">
      <c r="A209" t="s">
        <v>499</v>
      </c>
      <c r="B209" t="s">
        <v>500</v>
      </c>
      <c r="C209" t="s">
        <v>431</v>
      </c>
      <c r="D209" s="14">
        <v>60.491974285714292</v>
      </c>
      <c r="E209" s="7"/>
      <c r="F209" s="7">
        <v>0.267022226451467</v>
      </c>
      <c r="G209" s="15"/>
      <c r="H209" s="15">
        <v>0.9</v>
      </c>
      <c r="I209" t="s">
        <v>501</v>
      </c>
      <c r="J209" s="16" t="s">
        <v>66</v>
      </c>
      <c r="K209" s="15"/>
      <c r="L209" s="4">
        <f>COUNTIFS(tItens[Produto],tProdutos[[#This Row],[Produto]])</f>
        <v>6</v>
      </c>
      <c r="M209" s="4">
        <f>SUMIFS(tItens[Primeira ocorrência],tItens[Produto],tProdutos[[#This Row],[Produto]])</f>
        <v>6</v>
      </c>
      <c r="N209" s="8">
        <f>SUMIFS(tItens[Valor],tItens[Produto],tProdutos[[#This Row],[Produto]])</f>
        <v>9392.2000000000007</v>
      </c>
      <c r="O209" s="8">
        <f>SUMIFS(tItens[Valor],tItens[Produto],tProdutos[[#This Row],[Produto]],tItens[SRP],"Sim")</f>
        <v>6284.3</v>
      </c>
      <c r="P209" s="6">
        <f>IF(tProdutos[[#This Row],[Valor janela]]=0,0,tProdutos[[#This Row],[Valor SRP]]/tProdutos[[#This Row],[Valor janela]])</f>
        <v>0.66909776197270077</v>
      </c>
      <c r="Q209" s="8">
        <f>tProdutos[[#This Row],[Valor janela]]*DiasMes/DiasJanela</f>
        <v>31307.333333333332</v>
      </c>
      <c r="R209" s="8">
        <f>tProdutos[[#This Row],[Mercado mês ref]]*(1-IF(tProdutos[[#This Row],[Desconto homologado]]="",DescontoPadrao,tProdutos[[#This Row],[Desconto homologado]]))</f>
        <v>22947.579482408437</v>
      </c>
      <c r="S209" t="str">
        <f>IF(ModoFoco="Lista",IF(tProdutos[[#This Row],[Lista definida]]="Sim","Sim","Não"),IF(AND(tProdutos[[#This Row],[Editais]]&gt;=MinEditais,N(tProdutos[[#This Row],[Margem bruta]])&gt;=MargemMin),"Sim","Não"))</f>
        <v>Não</v>
      </c>
      <c r="T209" s="4" t="str">
        <f>IF(tProdutos[[#This Row],[Elegível]]="Sim",COUNTIFS(tProdutos[Elegível],"Sim",tProdutos[Valor janela],"&gt;"&amp;tProdutos[[#This Row],[Valor janela]])+1,"")</f>
        <v/>
      </c>
      <c r="U209" t="str">
        <f>IF(ModoFoco="Lista",tProdutos[[#This Row],[Elegível]],IF(AND(tProdutos[[#This Row],[Posição]]&lt;&gt;"",N(tProdutos[[#This Row],[Posição]])&lt;=TopN),"Sim","Não"))</f>
        <v>Não</v>
      </c>
    </row>
    <row r="210" spans="1:21" x14ac:dyDescent="0.25">
      <c r="A210" t="s">
        <v>502</v>
      </c>
      <c r="B210" t="s">
        <v>503</v>
      </c>
      <c r="C210" t="s">
        <v>431</v>
      </c>
      <c r="D210" s="14">
        <v>60.246664285714282</v>
      </c>
      <c r="E210" s="7"/>
      <c r="F210" s="7">
        <v>0.54492561591744004</v>
      </c>
      <c r="G210" s="15"/>
      <c r="H210" s="15">
        <v>2.5</v>
      </c>
      <c r="I210" t="s">
        <v>504</v>
      </c>
      <c r="J210" s="16" t="s">
        <v>66</v>
      </c>
      <c r="K210" s="15"/>
      <c r="L210" s="4">
        <f>COUNTIFS(tItens[Produto],tProdutos[[#This Row],[Produto]])</f>
        <v>11</v>
      </c>
      <c r="M210" s="4">
        <f>SUMIFS(tItens[Primeira ocorrência],tItens[Produto],tProdutos[[#This Row],[Produto]])</f>
        <v>7</v>
      </c>
      <c r="N210" s="8">
        <f>SUMIFS(tItens[Valor],tItens[Produto],tProdutos[[#This Row],[Produto]])</f>
        <v>608639.92000000004</v>
      </c>
      <c r="O210" s="8">
        <f>SUMIFS(tItens[Valor],tItens[Produto],tProdutos[[#This Row],[Produto]],tItens[SRP],"Sim")</f>
        <v>7720</v>
      </c>
      <c r="P210" s="6">
        <f>IF(tProdutos[[#This Row],[Valor janela]]=0,0,tProdutos[[#This Row],[Valor SRP]]/tProdutos[[#This Row],[Valor janela]])</f>
        <v>1.2684018491590232E-2</v>
      </c>
      <c r="Q210" s="8">
        <f>tProdutos[[#This Row],[Valor janela]]*DiasMes/DiasJanela</f>
        <v>2028799.7333333334</v>
      </c>
      <c r="R210" s="8">
        <f>tProdutos[[#This Row],[Mercado mês ref]]*(1-IF(tProdutos[[#This Row],[Desconto homologado]]="",DescontoPadrao,tProdutos[[#This Row],[Desconto homologado]]))</f>
        <v>923254.78907352861</v>
      </c>
      <c r="S210" t="str">
        <f>IF(ModoFoco="Lista",IF(tProdutos[[#This Row],[Lista definida]]="Sim","Sim","Não"),IF(AND(tProdutos[[#This Row],[Editais]]&gt;=MinEditais,N(tProdutos[[#This Row],[Margem bruta]])&gt;=MargemMin),"Sim","Não"))</f>
        <v>Não</v>
      </c>
      <c r="T210" s="4" t="str">
        <f>IF(tProdutos[[#This Row],[Elegível]]="Sim",COUNTIFS(tProdutos[Elegível],"Sim",tProdutos[Valor janela],"&gt;"&amp;tProdutos[[#This Row],[Valor janela]])+1,"")</f>
        <v/>
      </c>
      <c r="U210" t="str">
        <f>IF(ModoFoco="Lista",tProdutos[[#This Row],[Elegível]],IF(AND(tProdutos[[#This Row],[Posição]]&lt;&gt;"",N(tProdutos[[#This Row],[Posição]])&lt;=TopN),"Sim","Não"))</f>
        <v>Não</v>
      </c>
    </row>
    <row r="211" spans="1:21" x14ac:dyDescent="0.25">
      <c r="A211" t="s">
        <v>505</v>
      </c>
      <c r="B211" t="s">
        <v>506</v>
      </c>
      <c r="C211" t="s">
        <v>431</v>
      </c>
      <c r="D211" s="14">
        <v>60.10068285714285</v>
      </c>
      <c r="E211" s="7"/>
      <c r="F211" s="7">
        <v>0.36894008590895599</v>
      </c>
      <c r="G211" s="15"/>
      <c r="H211" s="15">
        <v>0.2</v>
      </c>
      <c r="I211" t="s">
        <v>507</v>
      </c>
      <c r="J211" s="16" t="s">
        <v>66</v>
      </c>
      <c r="K211" s="15"/>
      <c r="L211" s="4">
        <f>COUNTIFS(tItens[Produto],tProdutos[[#This Row],[Produto]])</f>
        <v>4</v>
      </c>
      <c r="M211" s="4">
        <f>SUMIFS(tItens[Primeira ocorrência],tItens[Produto],tProdutos[[#This Row],[Produto]])</f>
        <v>3</v>
      </c>
      <c r="N211" s="8">
        <f>SUMIFS(tItens[Valor],tItens[Produto],tProdutos[[#This Row],[Produto]])</f>
        <v>74348.75</v>
      </c>
      <c r="O211" s="8">
        <f>SUMIFS(tItens[Valor],tItens[Produto],tProdutos[[#This Row],[Produto]],tItens[SRP],"Sim")</f>
        <v>74348.75</v>
      </c>
      <c r="P211" s="6">
        <f>IF(tProdutos[[#This Row],[Valor janela]]=0,0,tProdutos[[#This Row],[Valor SRP]]/tProdutos[[#This Row],[Valor janela]])</f>
        <v>1</v>
      </c>
      <c r="Q211" s="8">
        <f>tProdutos[[#This Row],[Valor janela]]*DiasMes/DiasJanela</f>
        <v>247829.16666666666</v>
      </c>
      <c r="R211" s="8">
        <f>tProdutos[[#This Row],[Mercado mês ref]]*(1-IF(tProdutos[[#This Row],[Desconto homologado]]="",DescontoPadrao,tProdutos[[#This Row],[Desconto homologado]]))</f>
        <v>156395.0526259217</v>
      </c>
      <c r="S211" t="str">
        <f>IF(ModoFoco="Lista",IF(tProdutos[[#This Row],[Lista definida]]="Sim","Sim","Não"),IF(AND(tProdutos[[#This Row],[Editais]]&gt;=MinEditais,N(tProdutos[[#This Row],[Margem bruta]])&gt;=MargemMin),"Sim","Não"))</f>
        <v>Não</v>
      </c>
      <c r="T211" s="4" t="str">
        <f>IF(tProdutos[[#This Row],[Elegível]]="Sim",COUNTIFS(tProdutos[Elegível],"Sim",tProdutos[Valor janela],"&gt;"&amp;tProdutos[[#This Row],[Valor janela]])+1,"")</f>
        <v/>
      </c>
      <c r="U211" t="str">
        <f>IF(ModoFoco="Lista",tProdutos[[#This Row],[Elegível]],IF(AND(tProdutos[[#This Row],[Posição]]&lt;&gt;"",N(tProdutos[[#This Row],[Posição]])&lt;=TopN),"Sim","Não"))</f>
        <v>Não</v>
      </c>
    </row>
    <row r="212" spans="1:21" x14ac:dyDescent="0.25">
      <c r="A212" t="s">
        <v>508</v>
      </c>
      <c r="B212" t="s">
        <v>509</v>
      </c>
      <c r="C212" t="s">
        <v>431</v>
      </c>
      <c r="D212" s="14">
        <v>60.028602857142857</v>
      </c>
      <c r="E212" s="7"/>
      <c r="F212" s="7">
        <v>0.54086317722681398</v>
      </c>
      <c r="G212" s="15"/>
      <c r="H212" s="15">
        <v>1</v>
      </c>
      <c r="I212" t="s">
        <v>510</v>
      </c>
      <c r="J212" s="16" t="s">
        <v>66</v>
      </c>
      <c r="K212" s="15"/>
      <c r="L212" s="4">
        <f>COUNTIFS(tItens[Produto],tProdutos[[#This Row],[Produto]])</f>
        <v>3</v>
      </c>
      <c r="M212" s="4">
        <f>SUMIFS(tItens[Primeira ocorrência],tItens[Produto],tProdutos[[#This Row],[Produto]])</f>
        <v>3</v>
      </c>
      <c r="N212" s="8">
        <f>SUMIFS(tItens[Valor],tItens[Produto],tProdutos[[#This Row],[Produto]])</f>
        <v>168548.5</v>
      </c>
      <c r="O212" s="8">
        <f>SUMIFS(tItens[Valor],tItens[Produto],tProdutos[[#This Row],[Produto]],tItens[SRP],"Sim")</f>
        <v>168548.5</v>
      </c>
      <c r="P212" s="6">
        <f>IF(tProdutos[[#This Row],[Valor janela]]=0,0,tProdutos[[#This Row],[Valor SRP]]/tProdutos[[#This Row],[Valor janela]])</f>
        <v>1</v>
      </c>
      <c r="Q212" s="8">
        <f>tProdutos[[#This Row],[Valor janela]]*DiasMes/DiasJanela</f>
        <v>561828.33333333337</v>
      </c>
      <c r="R212" s="8">
        <f>tProdutos[[#This Row],[Mercado mês ref]]*(1-IF(tProdutos[[#This Row],[Desconto homologado]]="",DescontoPadrao,tProdutos[[#This Row],[Desconto homologado]]))</f>
        <v>257956.07591062115</v>
      </c>
      <c r="S212" t="str">
        <f>IF(ModoFoco="Lista",IF(tProdutos[[#This Row],[Lista definida]]="Sim","Sim","Não"),IF(AND(tProdutos[[#This Row],[Editais]]&gt;=MinEditais,N(tProdutos[[#This Row],[Margem bruta]])&gt;=MargemMin),"Sim","Não"))</f>
        <v>Não</v>
      </c>
      <c r="T212" s="4" t="str">
        <f>IF(tProdutos[[#This Row],[Elegível]]="Sim",COUNTIFS(tProdutos[Elegível],"Sim",tProdutos[Valor janela],"&gt;"&amp;tProdutos[[#This Row],[Valor janela]])+1,"")</f>
        <v/>
      </c>
      <c r="U212" t="str">
        <f>IF(ModoFoco="Lista",tProdutos[[#This Row],[Elegível]],IF(AND(tProdutos[[#This Row],[Posição]]&lt;&gt;"",N(tProdutos[[#This Row],[Posição]])&lt;=TopN),"Sim","Não"))</f>
        <v>Não</v>
      </c>
    </row>
    <row r="213" spans="1:21" x14ac:dyDescent="0.25">
      <c r="A213" t="s">
        <v>511</v>
      </c>
      <c r="B213" t="s">
        <v>512</v>
      </c>
      <c r="C213" t="s">
        <v>431</v>
      </c>
      <c r="D213" s="14">
        <v>59.927574285714286</v>
      </c>
      <c r="E213" s="7"/>
      <c r="F213" s="7">
        <v>0.32579365079365102</v>
      </c>
      <c r="G213" s="15"/>
      <c r="H213" s="15">
        <v>1</v>
      </c>
      <c r="I213" t="s">
        <v>513</v>
      </c>
      <c r="J213" s="16" t="s">
        <v>66</v>
      </c>
      <c r="K213" s="15"/>
      <c r="L213" s="4">
        <f>COUNTIFS(tItens[Produto],tProdutos[[#This Row],[Produto]])</f>
        <v>73</v>
      </c>
      <c r="M213" s="4">
        <f>SUMIFS(tItens[Primeira ocorrência],tItens[Produto],tProdutos[[#This Row],[Produto]])</f>
        <v>52</v>
      </c>
      <c r="N213" s="8">
        <f>SUMIFS(tItens[Valor],tItens[Produto],tProdutos[[#This Row],[Produto]])</f>
        <v>100376.11</v>
      </c>
      <c r="O213" s="8">
        <f>SUMIFS(tItens[Valor],tItens[Produto],tProdutos[[#This Row],[Produto]],tItens[SRP],"Sim")</f>
        <v>50361.969999999987</v>
      </c>
      <c r="P213" s="6">
        <f>IF(tProdutos[[#This Row],[Valor janela]]=0,0,tProdutos[[#This Row],[Valor SRP]]/tProdutos[[#This Row],[Valor janela]])</f>
        <v>0.50173263339254714</v>
      </c>
      <c r="Q213" s="8">
        <f>tProdutos[[#This Row],[Valor janela]]*DiasMes/DiasJanela</f>
        <v>334587.03333333333</v>
      </c>
      <c r="R213" s="8">
        <f>tProdutos[[#This Row],[Mercado mês ref]]*(1-IF(tProdutos[[#This Row],[Desconto homologado]]="",DescontoPadrao,tProdutos[[#This Row],[Desconto homologado]]))</f>
        <v>225580.70223544966</v>
      </c>
      <c r="S213" t="str">
        <f>IF(ModoFoco="Lista",IF(tProdutos[[#This Row],[Lista definida]]="Sim","Sim","Não"),IF(AND(tProdutos[[#This Row],[Editais]]&gt;=MinEditais,N(tProdutos[[#This Row],[Margem bruta]])&gt;=MargemMin),"Sim","Não"))</f>
        <v>Não</v>
      </c>
      <c r="T213" s="4" t="str">
        <f>IF(tProdutos[[#This Row],[Elegível]]="Sim",COUNTIFS(tProdutos[Elegível],"Sim",tProdutos[Valor janela],"&gt;"&amp;tProdutos[[#This Row],[Valor janela]])+1,"")</f>
        <v/>
      </c>
      <c r="U213" t="str">
        <f>IF(ModoFoco="Lista",tProdutos[[#This Row],[Elegível]],IF(AND(tProdutos[[#This Row],[Posição]]&lt;&gt;"",N(tProdutos[[#This Row],[Posição]])&lt;=TopN),"Sim","Não"))</f>
        <v>Não</v>
      </c>
    </row>
    <row r="214" spans="1:21" x14ac:dyDescent="0.25">
      <c r="A214" t="s">
        <v>514</v>
      </c>
      <c r="B214" t="s">
        <v>515</v>
      </c>
      <c r="C214" t="s">
        <v>431</v>
      </c>
      <c r="D214" s="14">
        <v>59.440864285714269</v>
      </c>
      <c r="E214" s="7"/>
      <c r="F214" s="7">
        <v>0.33728831611460203</v>
      </c>
      <c r="G214" s="15"/>
      <c r="H214" s="15">
        <v>4</v>
      </c>
      <c r="I214" t="s">
        <v>516</v>
      </c>
      <c r="J214" s="16" t="s">
        <v>66</v>
      </c>
      <c r="K214" s="15"/>
      <c r="L214" s="4">
        <f>COUNTIFS(tItens[Produto],tProdutos[[#This Row],[Produto]])</f>
        <v>21</v>
      </c>
      <c r="M214" s="4">
        <f>SUMIFS(tItens[Primeira ocorrência],tItens[Produto],tProdutos[[#This Row],[Produto]])</f>
        <v>2</v>
      </c>
      <c r="N214" s="8">
        <f>SUMIFS(tItens[Valor],tItens[Produto],tProdutos[[#This Row],[Produto]])</f>
        <v>94228.60000000002</v>
      </c>
      <c r="O214" s="8">
        <f>SUMIFS(tItens[Valor],tItens[Produto],tProdutos[[#This Row],[Produto]],tItens[SRP],"Sim")</f>
        <v>105.1</v>
      </c>
      <c r="P214" s="6">
        <f>IF(tProdutos[[#This Row],[Valor janela]]=0,0,tProdutos[[#This Row],[Valor SRP]]/tProdutos[[#This Row],[Valor janela]])</f>
        <v>1.1153726151083639E-3</v>
      </c>
      <c r="Q214" s="8">
        <f>tProdutos[[#This Row],[Valor janela]]*DiasMes/DiasJanela</f>
        <v>314095.33333333343</v>
      </c>
      <c r="R214" s="8">
        <f>tProdutos[[#This Row],[Mercado mês ref]]*(1-IF(tProdutos[[#This Row],[Desconto homologado]]="",DescontoPadrao,tProdutos[[#This Row],[Desconto homologado]]))</f>
        <v>208154.64725387876</v>
      </c>
      <c r="S214" t="str">
        <f>IF(ModoFoco="Lista",IF(tProdutos[[#This Row],[Lista definida]]="Sim","Sim","Não"),IF(AND(tProdutos[[#This Row],[Editais]]&gt;=MinEditais,N(tProdutos[[#This Row],[Margem bruta]])&gt;=MargemMin),"Sim","Não"))</f>
        <v>Não</v>
      </c>
      <c r="T214" s="4" t="str">
        <f>IF(tProdutos[[#This Row],[Elegível]]="Sim",COUNTIFS(tProdutos[Elegível],"Sim",tProdutos[Valor janela],"&gt;"&amp;tProdutos[[#This Row],[Valor janela]])+1,"")</f>
        <v/>
      </c>
      <c r="U214" t="str">
        <f>IF(ModoFoco="Lista",tProdutos[[#This Row],[Elegível]],IF(AND(tProdutos[[#This Row],[Posição]]&lt;&gt;"",N(tProdutos[[#This Row],[Posição]])&lt;=TopN),"Sim","Não"))</f>
        <v>Não</v>
      </c>
    </row>
    <row r="215" spans="1:21" x14ac:dyDescent="0.25">
      <c r="A215" t="s">
        <v>517</v>
      </c>
      <c r="B215" t="s">
        <v>518</v>
      </c>
      <c r="C215" t="s">
        <v>431</v>
      </c>
      <c r="D215" s="14">
        <v>58.748551428571432</v>
      </c>
      <c r="E215" s="7"/>
      <c r="F215" s="7">
        <v>0.37028924906606597</v>
      </c>
      <c r="G215" s="15"/>
      <c r="H215" s="15">
        <v>18</v>
      </c>
      <c r="I215" t="s">
        <v>519</v>
      </c>
      <c r="J215" s="16" t="s">
        <v>66</v>
      </c>
      <c r="K215" s="15"/>
      <c r="L215" s="4">
        <f>COUNTIFS(tItens[Produto],tProdutos[[#This Row],[Produto]])</f>
        <v>2</v>
      </c>
      <c r="M215" s="4">
        <f>SUMIFS(tItens[Primeira ocorrência],tItens[Produto],tProdutos[[#This Row],[Produto]])</f>
        <v>2</v>
      </c>
      <c r="N215" s="8">
        <f>SUMIFS(tItens[Valor],tItens[Produto],tProdutos[[#This Row],[Produto]])</f>
        <v>7254.95</v>
      </c>
      <c r="O215" s="8">
        <f>SUMIFS(tItens[Valor],tItens[Produto],tProdutos[[#This Row],[Produto]],tItens[SRP],"Sim")</f>
        <v>5548.57</v>
      </c>
      <c r="P215" s="6">
        <f>IF(tProdutos[[#This Row],[Valor janela]]=0,0,tProdutos[[#This Row],[Valor SRP]]/tProdutos[[#This Row],[Valor janela]])</f>
        <v>0.76479782769005988</v>
      </c>
      <c r="Q215" s="8">
        <f>tProdutos[[#This Row],[Valor janela]]*DiasMes/DiasJanela</f>
        <v>24183.166666666668</v>
      </c>
      <c r="R215" s="8">
        <f>tProdutos[[#This Row],[Mercado mês ref]]*(1-IF(tProdutos[[#This Row],[Desconto homologado]]="",DescontoPadrao,tProdutos[[#This Row],[Desconto homologado]]))</f>
        <v>15228.40004162715</v>
      </c>
      <c r="S215" t="str">
        <f>IF(ModoFoco="Lista",IF(tProdutos[[#This Row],[Lista definida]]="Sim","Sim","Não"),IF(AND(tProdutos[[#This Row],[Editais]]&gt;=MinEditais,N(tProdutos[[#This Row],[Margem bruta]])&gt;=MargemMin),"Sim","Não"))</f>
        <v>Não</v>
      </c>
      <c r="T215" s="4" t="str">
        <f>IF(tProdutos[[#This Row],[Elegível]]="Sim",COUNTIFS(tProdutos[Elegível],"Sim",tProdutos[Valor janela],"&gt;"&amp;tProdutos[[#This Row],[Valor janela]])+1,"")</f>
        <v/>
      </c>
      <c r="U215" t="str">
        <f>IF(ModoFoco="Lista",tProdutos[[#This Row],[Elegível]],IF(AND(tProdutos[[#This Row],[Posição]]&lt;&gt;"",N(tProdutos[[#This Row],[Posição]])&lt;=TopN),"Sim","Não"))</f>
        <v>Não</v>
      </c>
    </row>
    <row r="216" spans="1:21" x14ac:dyDescent="0.25">
      <c r="A216" t="s">
        <v>520</v>
      </c>
      <c r="B216" t="s">
        <v>521</v>
      </c>
      <c r="C216" t="s">
        <v>431</v>
      </c>
      <c r="D216" s="14">
        <v>58.722735714285704</v>
      </c>
      <c r="E216" s="7"/>
      <c r="F216" s="7">
        <v>0.20254361398888801</v>
      </c>
      <c r="G216" s="15"/>
      <c r="H216" s="15">
        <v>3</v>
      </c>
      <c r="I216" t="s">
        <v>522</v>
      </c>
      <c r="J216" s="16" t="s">
        <v>66</v>
      </c>
      <c r="K216" s="15"/>
      <c r="L216" s="4">
        <f>COUNTIFS(tItens[Produto],tProdutos[[#This Row],[Produto]])</f>
        <v>27</v>
      </c>
      <c r="M216" s="4">
        <f>SUMIFS(tItens[Primeira ocorrência],tItens[Produto],tProdutos[[#This Row],[Produto]])</f>
        <v>9</v>
      </c>
      <c r="N216" s="8">
        <f>SUMIFS(tItens[Valor],tItens[Produto],tProdutos[[#This Row],[Produto]])</f>
        <v>642692.76</v>
      </c>
      <c r="O216" s="8">
        <f>SUMIFS(tItens[Valor],tItens[Produto],tProdutos[[#This Row],[Produto]],tItens[SRP],"Sim")</f>
        <v>33354.400000000001</v>
      </c>
      <c r="P216" s="6">
        <f>IF(tProdutos[[#This Row],[Valor janela]]=0,0,tProdutos[[#This Row],[Valor SRP]]/tProdutos[[#This Row],[Valor janela]])</f>
        <v>5.1897892859412327E-2</v>
      </c>
      <c r="Q216" s="8">
        <f>tProdutos[[#This Row],[Valor janela]]*DiasMes/DiasJanela</f>
        <v>2142309.1999999997</v>
      </c>
      <c r="R216" s="8">
        <f>tProdutos[[#This Row],[Mercado mês ref]]*(1-IF(tProdutos[[#This Row],[Desconto homologado]]="",DescontoPadrao,tProdutos[[#This Row],[Desconto homologado]]))</f>
        <v>1708398.1523503563</v>
      </c>
      <c r="S216" t="str">
        <f>IF(ModoFoco="Lista",IF(tProdutos[[#This Row],[Lista definida]]="Sim","Sim","Não"),IF(AND(tProdutos[[#This Row],[Editais]]&gt;=MinEditais,N(tProdutos[[#This Row],[Margem bruta]])&gt;=MargemMin),"Sim","Não"))</f>
        <v>Não</v>
      </c>
      <c r="T216" s="4" t="str">
        <f>IF(tProdutos[[#This Row],[Elegível]]="Sim",COUNTIFS(tProdutos[Elegível],"Sim",tProdutos[Valor janela],"&gt;"&amp;tProdutos[[#This Row],[Valor janela]])+1,"")</f>
        <v/>
      </c>
      <c r="U216" t="str">
        <f>IF(ModoFoco="Lista",tProdutos[[#This Row],[Elegível]],IF(AND(tProdutos[[#This Row],[Posição]]&lt;&gt;"",N(tProdutos[[#This Row],[Posição]])&lt;=TopN),"Sim","Não"))</f>
        <v>Não</v>
      </c>
    </row>
    <row r="217" spans="1:21" x14ac:dyDescent="0.25">
      <c r="A217" t="s">
        <v>523</v>
      </c>
      <c r="B217" t="s">
        <v>524</v>
      </c>
      <c r="C217" t="s">
        <v>431</v>
      </c>
      <c r="D217" s="14">
        <v>58.471329999999995</v>
      </c>
      <c r="E217" s="7">
        <v>0.81961382113821135</v>
      </c>
      <c r="F217" s="7"/>
      <c r="G217" s="15">
        <v>1.2</v>
      </c>
      <c r="H217" s="15">
        <v>0.25</v>
      </c>
      <c r="I217" t="s">
        <v>525</v>
      </c>
      <c r="J217" s="16" t="s">
        <v>66</v>
      </c>
      <c r="K217" s="15"/>
      <c r="L217" s="4">
        <f>COUNTIFS(tItens[Produto],tProdutos[[#This Row],[Produto]])</f>
        <v>2</v>
      </c>
      <c r="M217" s="4">
        <f>SUMIFS(tItens[Primeira ocorrência],tItens[Produto],tProdutos[[#This Row],[Produto]])</f>
        <v>2</v>
      </c>
      <c r="N217" s="8">
        <f>SUMIFS(tItens[Valor],tItens[Produto],tProdutos[[#This Row],[Produto]])</f>
        <v>2178</v>
      </c>
      <c r="O217" s="8">
        <f>SUMIFS(tItens[Valor],tItens[Produto],tProdutos[[#This Row],[Produto]],tItens[SRP],"Sim")</f>
        <v>2178</v>
      </c>
      <c r="P217" s="6">
        <f>IF(tProdutos[[#This Row],[Valor janela]]=0,0,tProdutos[[#This Row],[Valor SRP]]/tProdutos[[#This Row],[Valor janela]])</f>
        <v>1</v>
      </c>
      <c r="Q217" s="8">
        <f>tProdutos[[#This Row],[Valor janela]]*DiasMes/DiasJanela</f>
        <v>7260</v>
      </c>
      <c r="R217" s="8">
        <f>tProdutos[[#This Row],[Mercado mês ref]]*(1-IF(tProdutos[[#This Row],[Desconto homologado]]="",DescontoPadrao,tProdutos[[#This Row],[Desconto homologado]]))</f>
        <v>5082</v>
      </c>
      <c r="S217" t="str">
        <f>IF(ModoFoco="Lista",IF(tProdutos[[#This Row],[Lista definida]]="Sim","Sim","Não"),IF(AND(tProdutos[[#This Row],[Editais]]&gt;=MinEditais,N(tProdutos[[#This Row],[Margem bruta]])&gt;=MargemMin),"Sim","Não"))</f>
        <v>Não</v>
      </c>
      <c r="T217" s="4" t="str">
        <f>IF(tProdutos[[#This Row],[Elegível]]="Sim",COUNTIFS(tProdutos[Elegível],"Sim",tProdutos[Valor janela],"&gt;"&amp;tProdutos[[#This Row],[Valor janela]])+1,"")</f>
        <v/>
      </c>
      <c r="U217" t="str">
        <f>IF(ModoFoco="Lista",tProdutos[[#This Row],[Elegível]],IF(AND(tProdutos[[#This Row],[Posição]]&lt;&gt;"",N(tProdutos[[#This Row],[Posição]])&lt;=TopN),"Sim","Não"))</f>
        <v>Não</v>
      </c>
    </row>
    <row r="218" spans="1:21" x14ac:dyDescent="0.25">
      <c r="A218" t="s">
        <v>526</v>
      </c>
      <c r="B218" t="s">
        <v>527</v>
      </c>
      <c r="C218" t="s">
        <v>431</v>
      </c>
      <c r="D218" s="14">
        <v>58.277165714285715</v>
      </c>
      <c r="E218" s="7"/>
      <c r="F218" s="7">
        <v>0.349382849728961</v>
      </c>
      <c r="G218" s="15"/>
      <c r="H218" s="15">
        <v>2.5</v>
      </c>
      <c r="I218" t="s">
        <v>528</v>
      </c>
      <c r="J218" s="16" t="s">
        <v>66</v>
      </c>
      <c r="K218" s="15"/>
      <c r="L218" s="4">
        <f>COUNTIFS(tItens[Produto],tProdutos[[#This Row],[Produto]])</f>
        <v>0</v>
      </c>
      <c r="M218" s="4">
        <f>SUMIFS(tItens[Primeira ocorrência],tItens[Produto],tProdutos[[#This Row],[Produto]])</f>
        <v>0</v>
      </c>
      <c r="N218" s="8">
        <f>SUMIFS(tItens[Valor],tItens[Produto],tProdutos[[#This Row],[Produto]])</f>
        <v>0</v>
      </c>
      <c r="O218" s="8">
        <f>SUMIFS(tItens[Valor],tItens[Produto],tProdutos[[#This Row],[Produto]],tItens[SRP],"Sim")</f>
        <v>0</v>
      </c>
      <c r="P218" s="6">
        <f>IF(tProdutos[[#This Row],[Valor janela]]=0,0,tProdutos[[#This Row],[Valor SRP]]/tProdutos[[#This Row],[Valor janela]])</f>
        <v>0</v>
      </c>
      <c r="Q218" s="8">
        <f>tProdutos[[#This Row],[Valor janela]]*DiasMes/DiasJanela</f>
        <v>0</v>
      </c>
      <c r="R218" s="8">
        <f>tProdutos[[#This Row],[Mercado mês ref]]*(1-IF(tProdutos[[#This Row],[Desconto homologado]]="",DescontoPadrao,tProdutos[[#This Row],[Desconto homologado]]))</f>
        <v>0</v>
      </c>
      <c r="S218" t="str">
        <f>IF(ModoFoco="Lista",IF(tProdutos[[#This Row],[Lista definida]]="Sim","Sim","Não"),IF(AND(tProdutos[[#This Row],[Editais]]&gt;=MinEditais,N(tProdutos[[#This Row],[Margem bruta]])&gt;=MargemMin),"Sim","Não"))</f>
        <v>Não</v>
      </c>
      <c r="T218" s="4" t="str">
        <f>IF(tProdutos[[#This Row],[Elegível]]="Sim",COUNTIFS(tProdutos[Elegível],"Sim",tProdutos[Valor janela],"&gt;"&amp;tProdutos[[#This Row],[Valor janela]])+1,"")</f>
        <v/>
      </c>
      <c r="U218" t="str">
        <f>IF(ModoFoco="Lista",tProdutos[[#This Row],[Elegível]],IF(AND(tProdutos[[#This Row],[Posição]]&lt;&gt;"",N(tProdutos[[#This Row],[Posição]])&lt;=TopN),"Sim","Não"))</f>
        <v>Não</v>
      </c>
    </row>
    <row r="219" spans="1:21" x14ac:dyDescent="0.25">
      <c r="A219" t="s">
        <v>529</v>
      </c>
      <c r="B219" t="s">
        <v>530</v>
      </c>
      <c r="C219" t="s">
        <v>431</v>
      </c>
      <c r="D219" s="14">
        <v>57.967231428571431</v>
      </c>
      <c r="E219" s="7"/>
      <c r="F219" s="7">
        <v>0.457328385899815</v>
      </c>
      <c r="G219" s="15"/>
      <c r="H219" s="15">
        <v>3.5</v>
      </c>
      <c r="I219" t="s">
        <v>531</v>
      </c>
      <c r="J219" s="16" t="s">
        <v>66</v>
      </c>
      <c r="K219" s="15"/>
      <c r="L219" s="4">
        <f>COUNTIFS(tItens[Produto],tProdutos[[#This Row],[Produto]])</f>
        <v>13</v>
      </c>
      <c r="M219" s="4">
        <f>SUMIFS(tItens[Primeira ocorrência],tItens[Produto],tProdutos[[#This Row],[Produto]])</f>
        <v>10</v>
      </c>
      <c r="N219" s="8">
        <f>SUMIFS(tItens[Valor],tItens[Produto],tProdutos[[#This Row],[Produto]])</f>
        <v>141324.03</v>
      </c>
      <c r="O219" s="8">
        <f>SUMIFS(tItens[Valor],tItens[Produto],tProdutos[[#This Row],[Produto]],tItens[SRP],"Sim")</f>
        <v>40074.359999999993</v>
      </c>
      <c r="P219" s="6">
        <f>IF(tProdutos[[#This Row],[Valor janela]]=0,0,tProdutos[[#This Row],[Valor SRP]]/tProdutos[[#This Row],[Valor janela]])</f>
        <v>0.28356366571205188</v>
      </c>
      <c r="Q219" s="8">
        <f>tProdutos[[#This Row],[Valor janela]]*DiasMes/DiasJanela</f>
        <v>471080.10000000003</v>
      </c>
      <c r="R219" s="8">
        <f>tProdutos[[#This Row],[Mercado mês ref]]*(1-IF(tProdutos[[#This Row],[Desconto homologado]]="",DescontoPadrao,tProdutos[[#This Row],[Desconto homologado]]))</f>
        <v>255641.79823747661</v>
      </c>
      <c r="S219" t="str">
        <f>IF(ModoFoco="Lista",IF(tProdutos[[#This Row],[Lista definida]]="Sim","Sim","Não"),IF(AND(tProdutos[[#This Row],[Editais]]&gt;=MinEditais,N(tProdutos[[#This Row],[Margem bruta]])&gt;=MargemMin),"Sim","Não"))</f>
        <v>Não</v>
      </c>
      <c r="T219" s="4" t="str">
        <f>IF(tProdutos[[#This Row],[Elegível]]="Sim",COUNTIFS(tProdutos[Elegível],"Sim",tProdutos[Valor janela],"&gt;"&amp;tProdutos[[#This Row],[Valor janela]])+1,"")</f>
        <v/>
      </c>
      <c r="U219" t="str">
        <f>IF(ModoFoco="Lista",tProdutos[[#This Row],[Elegível]],IF(AND(tProdutos[[#This Row],[Posição]]&lt;&gt;"",N(tProdutos[[#This Row],[Posição]])&lt;=TopN),"Sim","Não"))</f>
        <v>Não</v>
      </c>
    </row>
    <row r="220" spans="1:21" x14ac:dyDescent="0.25">
      <c r="A220" t="s">
        <v>532</v>
      </c>
      <c r="B220" t="s">
        <v>533</v>
      </c>
      <c r="C220" t="s">
        <v>431</v>
      </c>
      <c r="D220" s="14">
        <v>57.840629999999997</v>
      </c>
      <c r="E220" s="7"/>
      <c r="F220" s="7">
        <v>0.224431161160627</v>
      </c>
      <c r="G220" s="15"/>
      <c r="H220" s="15">
        <v>0.3</v>
      </c>
      <c r="I220" t="s">
        <v>534</v>
      </c>
      <c r="J220" s="16" t="s">
        <v>66</v>
      </c>
      <c r="K220" s="15"/>
      <c r="L220" s="4">
        <f>COUNTIFS(tItens[Produto],tProdutos[[#This Row],[Produto]])</f>
        <v>1</v>
      </c>
      <c r="M220" s="4">
        <f>SUMIFS(tItens[Primeira ocorrência],tItens[Produto],tProdutos[[#This Row],[Produto]])</f>
        <v>1</v>
      </c>
      <c r="N220" s="8">
        <f>SUMIFS(tItens[Valor],tItens[Produto],tProdutos[[#This Row],[Produto]])</f>
        <v>722</v>
      </c>
      <c r="O220" s="8">
        <f>SUMIFS(tItens[Valor],tItens[Produto],tProdutos[[#This Row],[Produto]],tItens[SRP],"Sim")</f>
        <v>0</v>
      </c>
      <c r="P220" s="6">
        <f>IF(tProdutos[[#This Row],[Valor janela]]=0,0,tProdutos[[#This Row],[Valor SRP]]/tProdutos[[#This Row],[Valor janela]])</f>
        <v>0</v>
      </c>
      <c r="Q220" s="8">
        <f>tProdutos[[#This Row],[Valor janela]]*DiasMes/DiasJanela</f>
        <v>2406.6666666666665</v>
      </c>
      <c r="R220" s="8">
        <f>tProdutos[[#This Row],[Mercado mês ref]]*(1-IF(tProdutos[[#This Row],[Desconto homologado]]="",DescontoPadrao,tProdutos[[#This Row],[Desconto homologado]]))</f>
        <v>1866.5356721400908</v>
      </c>
      <c r="S220" t="str">
        <f>IF(ModoFoco="Lista",IF(tProdutos[[#This Row],[Lista definida]]="Sim","Sim","Não"),IF(AND(tProdutos[[#This Row],[Editais]]&gt;=MinEditais,N(tProdutos[[#This Row],[Margem bruta]])&gt;=MargemMin),"Sim","Não"))</f>
        <v>Não</v>
      </c>
      <c r="T220" s="4" t="str">
        <f>IF(tProdutos[[#This Row],[Elegível]]="Sim",COUNTIFS(tProdutos[Elegível],"Sim",tProdutos[Valor janela],"&gt;"&amp;tProdutos[[#This Row],[Valor janela]])+1,"")</f>
        <v/>
      </c>
      <c r="U220" t="str">
        <f>IF(ModoFoco="Lista",tProdutos[[#This Row],[Elegível]],IF(AND(tProdutos[[#This Row],[Posição]]&lt;&gt;"",N(tProdutos[[#This Row],[Posição]])&lt;=TopN),"Sim","Não"))</f>
        <v>Não</v>
      </c>
    </row>
    <row r="221" spans="1:21" x14ac:dyDescent="0.25">
      <c r="A221" t="s">
        <v>535</v>
      </c>
      <c r="B221" t="s">
        <v>536</v>
      </c>
      <c r="C221" t="s">
        <v>431</v>
      </c>
      <c r="D221" s="14">
        <v>57.038205714285709</v>
      </c>
      <c r="E221" s="7"/>
      <c r="F221" s="7">
        <v>0.30373352277212101</v>
      </c>
      <c r="G221" s="15"/>
      <c r="H221" s="15">
        <v>60</v>
      </c>
      <c r="I221" t="s">
        <v>537</v>
      </c>
      <c r="J221" s="16" t="s">
        <v>66</v>
      </c>
      <c r="K221" s="15"/>
      <c r="L221" s="4">
        <f>COUNTIFS(tItens[Produto],tProdutos[[#This Row],[Produto]])</f>
        <v>1</v>
      </c>
      <c r="M221" s="4">
        <f>SUMIFS(tItens[Primeira ocorrência],tItens[Produto],tProdutos[[#This Row],[Produto]])</f>
        <v>1</v>
      </c>
      <c r="N221" s="8">
        <f>SUMIFS(tItens[Valor],tItens[Produto],tProdutos[[#This Row],[Produto]])</f>
        <v>8535</v>
      </c>
      <c r="O221" s="8">
        <f>SUMIFS(tItens[Valor],tItens[Produto],tProdutos[[#This Row],[Produto]],tItens[SRP],"Sim")</f>
        <v>0</v>
      </c>
      <c r="P221" s="6">
        <f>IF(tProdutos[[#This Row],[Valor janela]]=0,0,tProdutos[[#This Row],[Valor SRP]]/tProdutos[[#This Row],[Valor janela]])</f>
        <v>0</v>
      </c>
      <c r="Q221" s="8">
        <f>tProdutos[[#This Row],[Valor janela]]*DiasMes/DiasJanela</f>
        <v>28450</v>
      </c>
      <c r="R221" s="8">
        <f>tProdutos[[#This Row],[Mercado mês ref]]*(1-IF(tProdutos[[#This Row],[Desconto homologado]]="",DescontoPadrao,tProdutos[[#This Row],[Desconto homologado]]))</f>
        <v>19808.781277133159</v>
      </c>
      <c r="S221" t="str">
        <f>IF(ModoFoco="Lista",IF(tProdutos[[#This Row],[Lista definida]]="Sim","Sim","Não"),IF(AND(tProdutos[[#This Row],[Editais]]&gt;=MinEditais,N(tProdutos[[#This Row],[Margem bruta]])&gt;=MargemMin),"Sim","Não"))</f>
        <v>Não</v>
      </c>
      <c r="T221" s="4" t="str">
        <f>IF(tProdutos[[#This Row],[Elegível]]="Sim",COUNTIFS(tProdutos[Elegível],"Sim",tProdutos[Valor janela],"&gt;"&amp;tProdutos[[#This Row],[Valor janela]])+1,"")</f>
        <v/>
      </c>
      <c r="U221" t="str">
        <f>IF(ModoFoco="Lista",tProdutos[[#This Row],[Elegível]],IF(AND(tProdutos[[#This Row],[Posição]]&lt;&gt;"",N(tProdutos[[#This Row],[Posição]])&lt;=TopN),"Sim","Não"))</f>
        <v>Não</v>
      </c>
    </row>
    <row r="222" spans="1:21" x14ac:dyDescent="0.25">
      <c r="A222" t="s">
        <v>538</v>
      </c>
      <c r="B222" t="s">
        <v>539</v>
      </c>
      <c r="C222" t="s">
        <v>431</v>
      </c>
      <c r="D222" s="14">
        <v>56.92530142857143</v>
      </c>
      <c r="E222" s="7"/>
      <c r="F222" s="7">
        <v>0.19082632767309299</v>
      </c>
      <c r="G222" s="15"/>
      <c r="H222" s="15">
        <v>2</v>
      </c>
      <c r="I222" t="s">
        <v>540</v>
      </c>
      <c r="J222" s="16" t="s">
        <v>66</v>
      </c>
      <c r="K222" s="15"/>
      <c r="L222" s="4">
        <f>COUNTIFS(tItens[Produto],tProdutos[[#This Row],[Produto]])</f>
        <v>2</v>
      </c>
      <c r="M222" s="4">
        <f>SUMIFS(tItens[Primeira ocorrência],tItens[Produto],tProdutos[[#This Row],[Produto]])</f>
        <v>2</v>
      </c>
      <c r="N222" s="8">
        <f>SUMIFS(tItens[Valor],tItens[Produto],tProdutos[[#This Row],[Produto]])</f>
        <v>0</v>
      </c>
      <c r="O222" s="8">
        <f>SUMIFS(tItens[Valor],tItens[Produto],tProdutos[[#This Row],[Produto]],tItens[SRP],"Sim")</f>
        <v>0</v>
      </c>
      <c r="P222" s="6">
        <f>IF(tProdutos[[#This Row],[Valor janela]]=0,0,tProdutos[[#This Row],[Valor SRP]]/tProdutos[[#This Row],[Valor janela]])</f>
        <v>0</v>
      </c>
      <c r="Q222" s="8">
        <f>tProdutos[[#This Row],[Valor janela]]*DiasMes/DiasJanela</f>
        <v>0</v>
      </c>
      <c r="R222" s="8">
        <f>tProdutos[[#This Row],[Mercado mês ref]]*(1-IF(tProdutos[[#This Row],[Desconto homologado]]="",DescontoPadrao,tProdutos[[#This Row],[Desconto homologado]]))</f>
        <v>0</v>
      </c>
      <c r="S222" t="str">
        <f>IF(ModoFoco="Lista",IF(tProdutos[[#This Row],[Lista definida]]="Sim","Sim","Não"),IF(AND(tProdutos[[#This Row],[Editais]]&gt;=MinEditais,N(tProdutos[[#This Row],[Margem bruta]])&gt;=MargemMin),"Sim","Não"))</f>
        <v>Não</v>
      </c>
      <c r="T222" s="4" t="str">
        <f>IF(tProdutos[[#This Row],[Elegível]]="Sim",COUNTIFS(tProdutos[Elegível],"Sim",tProdutos[Valor janela],"&gt;"&amp;tProdutos[[#This Row],[Valor janela]])+1,"")</f>
        <v/>
      </c>
      <c r="U222" t="str">
        <f>IF(ModoFoco="Lista",tProdutos[[#This Row],[Elegível]],IF(AND(tProdutos[[#This Row],[Posição]]&lt;&gt;"",N(tProdutos[[#This Row],[Posição]])&lt;=TopN),"Sim","Não"))</f>
        <v>Não</v>
      </c>
    </row>
    <row r="223" spans="1:21" x14ac:dyDescent="0.25">
      <c r="A223" t="s">
        <v>541</v>
      </c>
      <c r="B223" t="s">
        <v>542</v>
      </c>
      <c r="C223" t="s">
        <v>431</v>
      </c>
      <c r="D223" s="14">
        <v>56.626829999999998</v>
      </c>
      <c r="E223" s="7"/>
      <c r="F223" s="7"/>
      <c r="G223" s="15"/>
      <c r="H223" s="15">
        <v>0.12</v>
      </c>
      <c r="I223" t="s">
        <v>543</v>
      </c>
      <c r="J223" s="16" t="s">
        <v>66</v>
      </c>
      <c r="K223" s="15"/>
      <c r="L223" s="4">
        <f>COUNTIFS(tItens[Produto],tProdutos[[#This Row],[Produto]])</f>
        <v>10</v>
      </c>
      <c r="M223" s="4">
        <f>SUMIFS(tItens[Primeira ocorrência],tItens[Produto],tProdutos[[#This Row],[Produto]])</f>
        <v>10</v>
      </c>
      <c r="N223" s="8">
        <f>SUMIFS(tItens[Valor],tItens[Produto],tProdutos[[#This Row],[Produto]])</f>
        <v>55931.380000000005</v>
      </c>
      <c r="O223" s="8">
        <f>SUMIFS(tItens[Valor],tItens[Produto],tProdutos[[#This Row],[Produto]],tItens[SRP],"Sim")</f>
        <v>33225.129999999997</v>
      </c>
      <c r="P223" s="6">
        <f>IF(tProdutos[[#This Row],[Valor janela]]=0,0,tProdutos[[#This Row],[Valor SRP]]/tProdutos[[#This Row],[Valor janela]])</f>
        <v>0.59403379641267562</v>
      </c>
      <c r="Q223" s="8">
        <f>tProdutos[[#This Row],[Valor janela]]*DiasMes/DiasJanela</f>
        <v>186437.93333333335</v>
      </c>
      <c r="R223" s="8">
        <f>tProdutos[[#This Row],[Mercado mês ref]]*(1-IF(tProdutos[[#This Row],[Desconto homologado]]="",DescontoPadrao,tProdutos[[#This Row],[Desconto homologado]]))</f>
        <v>130506.55333333333</v>
      </c>
      <c r="S223" t="str">
        <f>IF(ModoFoco="Lista",IF(tProdutos[[#This Row],[Lista definida]]="Sim","Sim","Não"),IF(AND(tProdutos[[#This Row],[Editais]]&gt;=MinEditais,N(tProdutos[[#This Row],[Margem bruta]])&gt;=MargemMin),"Sim","Não"))</f>
        <v>Não</v>
      </c>
      <c r="T223" s="4" t="str">
        <f>IF(tProdutos[[#This Row],[Elegível]]="Sim",COUNTIFS(tProdutos[Elegível],"Sim",tProdutos[Valor janela],"&gt;"&amp;tProdutos[[#This Row],[Valor janela]])+1,"")</f>
        <v/>
      </c>
      <c r="U223" t="str">
        <f>IF(ModoFoco="Lista",tProdutos[[#This Row],[Elegível]],IF(AND(tProdutos[[#This Row],[Posição]]&lt;&gt;"",N(tProdutos[[#This Row],[Posição]])&lt;=TopN),"Sim","Não"))</f>
        <v>Não</v>
      </c>
    </row>
    <row r="224" spans="1:21" x14ac:dyDescent="0.25">
      <c r="A224" t="s">
        <v>544</v>
      </c>
      <c r="B224" t="s">
        <v>545</v>
      </c>
      <c r="C224" t="s">
        <v>431</v>
      </c>
      <c r="D224" s="14">
        <v>56.4315</v>
      </c>
      <c r="E224" s="7"/>
      <c r="F224" s="7">
        <v>0.232170978627672</v>
      </c>
      <c r="G224" s="15"/>
      <c r="H224" s="15">
        <v>2.5</v>
      </c>
      <c r="I224" t="s">
        <v>546</v>
      </c>
      <c r="J224" s="16" t="s">
        <v>66</v>
      </c>
      <c r="K224" s="15"/>
      <c r="L224" s="4">
        <f>COUNTIFS(tItens[Produto],tProdutos[[#This Row],[Produto]])</f>
        <v>0</v>
      </c>
      <c r="M224" s="4">
        <f>SUMIFS(tItens[Primeira ocorrência],tItens[Produto],tProdutos[[#This Row],[Produto]])</f>
        <v>0</v>
      </c>
      <c r="N224" s="8">
        <f>SUMIFS(tItens[Valor],tItens[Produto],tProdutos[[#This Row],[Produto]])</f>
        <v>0</v>
      </c>
      <c r="O224" s="8">
        <f>SUMIFS(tItens[Valor],tItens[Produto],tProdutos[[#This Row],[Produto]],tItens[SRP],"Sim")</f>
        <v>0</v>
      </c>
      <c r="P224" s="6">
        <f>IF(tProdutos[[#This Row],[Valor janela]]=0,0,tProdutos[[#This Row],[Valor SRP]]/tProdutos[[#This Row],[Valor janela]])</f>
        <v>0</v>
      </c>
      <c r="Q224" s="8">
        <f>tProdutos[[#This Row],[Valor janela]]*DiasMes/DiasJanela</f>
        <v>0</v>
      </c>
      <c r="R224" s="8">
        <f>tProdutos[[#This Row],[Mercado mês ref]]*(1-IF(tProdutos[[#This Row],[Desconto homologado]]="",DescontoPadrao,tProdutos[[#This Row],[Desconto homologado]]))</f>
        <v>0</v>
      </c>
      <c r="S224" t="str">
        <f>IF(ModoFoco="Lista",IF(tProdutos[[#This Row],[Lista definida]]="Sim","Sim","Não"),IF(AND(tProdutos[[#This Row],[Editais]]&gt;=MinEditais,N(tProdutos[[#This Row],[Margem bruta]])&gt;=MargemMin),"Sim","Não"))</f>
        <v>Não</v>
      </c>
      <c r="T224" s="4" t="str">
        <f>IF(tProdutos[[#This Row],[Elegível]]="Sim",COUNTIFS(tProdutos[Elegível],"Sim",tProdutos[Valor janela],"&gt;"&amp;tProdutos[[#This Row],[Valor janela]])+1,"")</f>
        <v/>
      </c>
      <c r="U224" t="str">
        <f>IF(ModoFoco="Lista",tProdutos[[#This Row],[Elegível]],IF(AND(tProdutos[[#This Row],[Posição]]&lt;&gt;"",N(tProdutos[[#This Row],[Posição]])&lt;=TopN),"Sim","Não"))</f>
        <v>Não</v>
      </c>
    </row>
    <row r="225" spans="1:21" x14ac:dyDescent="0.25">
      <c r="A225" t="s">
        <v>547</v>
      </c>
      <c r="B225" t="s">
        <v>548</v>
      </c>
      <c r="C225" t="s">
        <v>431</v>
      </c>
      <c r="D225" s="14">
        <v>55.795311428571431</v>
      </c>
      <c r="E225" s="7"/>
      <c r="F225" s="7">
        <v>0.26448955575169197</v>
      </c>
      <c r="G225" s="15"/>
      <c r="H225" s="15">
        <v>4</v>
      </c>
      <c r="I225" t="s">
        <v>549</v>
      </c>
      <c r="J225" s="16" t="s">
        <v>66</v>
      </c>
      <c r="K225" s="15"/>
      <c r="L225" s="4">
        <f>COUNTIFS(tItens[Produto],tProdutos[[#This Row],[Produto]])</f>
        <v>0</v>
      </c>
      <c r="M225" s="4">
        <f>SUMIFS(tItens[Primeira ocorrência],tItens[Produto],tProdutos[[#This Row],[Produto]])</f>
        <v>0</v>
      </c>
      <c r="N225" s="8">
        <f>SUMIFS(tItens[Valor],tItens[Produto],tProdutos[[#This Row],[Produto]])</f>
        <v>0</v>
      </c>
      <c r="O225" s="8">
        <f>SUMIFS(tItens[Valor],tItens[Produto],tProdutos[[#This Row],[Produto]],tItens[SRP],"Sim")</f>
        <v>0</v>
      </c>
      <c r="P225" s="6">
        <f>IF(tProdutos[[#This Row],[Valor janela]]=0,0,tProdutos[[#This Row],[Valor SRP]]/tProdutos[[#This Row],[Valor janela]])</f>
        <v>0</v>
      </c>
      <c r="Q225" s="8">
        <f>tProdutos[[#This Row],[Valor janela]]*DiasMes/DiasJanela</f>
        <v>0</v>
      </c>
      <c r="R225" s="8">
        <f>tProdutos[[#This Row],[Mercado mês ref]]*(1-IF(tProdutos[[#This Row],[Desconto homologado]]="",DescontoPadrao,tProdutos[[#This Row],[Desconto homologado]]))</f>
        <v>0</v>
      </c>
      <c r="S225" t="str">
        <f>IF(ModoFoco="Lista",IF(tProdutos[[#This Row],[Lista definida]]="Sim","Sim","Não"),IF(AND(tProdutos[[#This Row],[Editais]]&gt;=MinEditais,N(tProdutos[[#This Row],[Margem bruta]])&gt;=MargemMin),"Sim","Não"))</f>
        <v>Não</v>
      </c>
      <c r="T225" s="4" t="str">
        <f>IF(tProdutos[[#This Row],[Elegível]]="Sim",COUNTIFS(tProdutos[Elegível],"Sim",tProdutos[Valor janela],"&gt;"&amp;tProdutos[[#This Row],[Valor janela]])+1,"")</f>
        <v/>
      </c>
      <c r="U225" t="str">
        <f>IF(ModoFoco="Lista",tProdutos[[#This Row],[Elegível]],IF(AND(tProdutos[[#This Row],[Posição]]&lt;&gt;"",N(tProdutos[[#This Row],[Posição]])&lt;=TopN),"Sim","Não"))</f>
        <v>Não</v>
      </c>
    </row>
    <row r="226" spans="1:21" x14ac:dyDescent="0.25">
      <c r="A226" t="s">
        <v>550</v>
      </c>
      <c r="B226" t="s">
        <v>551</v>
      </c>
      <c r="C226" t="s">
        <v>431</v>
      </c>
      <c r="D226" s="14">
        <v>55.739818571428579</v>
      </c>
      <c r="E226" s="7"/>
      <c r="F226" s="7">
        <v>0.71401513972830499</v>
      </c>
      <c r="G226" s="15"/>
      <c r="H226" s="15">
        <v>2.2000000000000002</v>
      </c>
      <c r="I226" t="s">
        <v>552</v>
      </c>
      <c r="J226" s="16" t="s">
        <v>66</v>
      </c>
      <c r="K226" s="15"/>
      <c r="L226" s="4">
        <f>COUNTIFS(tItens[Produto],tProdutos[[#This Row],[Produto]])</f>
        <v>7</v>
      </c>
      <c r="M226" s="4">
        <f>SUMIFS(tItens[Primeira ocorrência],tItens[Produto],tProdutos[[#This Row],[Produto]])</f>
        <v>5</v>
      </c>
      <c r="N226" s="8">
        <f>SUMIFS(tItens[Valor],tItens[Produto],tProdutos[[#This Row],[Produto]])</f>
        <v>189782</v>
      </c>
      <c r="O226" s="8">
        <f>SUMIFS(tItens[Valor],tItens[Produto],tProdutos[[#This Row],[Produto]],tItens[SRP],"Sim")</f>
        <v>3814</v>
      </c>
      <c r="P226" s="6">
        <f>IF(tProdutos[[#This Row],[Valor janela]]=0,0,tProdutos[[#This Row],[Valor SRP]]/tProdutos[[#This Row],[Valor janela]])</f>
        <v>2.009674257832671E-2</v>
      </c>
      <c r="Q226" s="8">
        <f>tProdutos[[#This Row],[Valor janela]]*DiasMes/DiasJanela</f>
        <v>632606.66666666663</v>
      </c>
      <c r="R226" s="8">
        <f>tProdutos[[#This Row],[Mercado mês ref]]*(1-IF(tProdutos[[#This Row],[Desconto homologado]]="",DescontoPadrao,tProdutos[[#This Row],[Desconto homologado]]))</f>
        <v>180915.92917360939</v>
      </c>
      <c r="S226" t="str">
        <f>IF(ModoFoco="Lista",IF(tProdutos[[#This Row],[Lista definida]]="Sim","Sim","Não"),IF(AND(tProdutos[[#This Row],[Editais]]&gt;=MinEditais,N(tProdutos[[#This Row],[Margem bruta]])&gt;=MargemMin),"Sim","Não"))</f>
        <v>Não</v>
      </c>
      <c r="T226" s="4" t="str">
        <f>IF(tProdutos[[#This Row],[Elegível]]="Sim",COUNTIFS(tProdutos[Elegível],"Sim",tProdutos[Valor janela],"&gt;"&amp;tProdutos[[#This Row],[Valor janela]])+1,"")</f>
        <v/>
      </c>
      <c r="U226" t="str">
        <f>IF(ModoFoco="Lista",tProdutos[[#This Row],[Elegível]],IF(AND(tProdutos[[#This Row],[Posição]]&lt;&gt;"",N(tProdutos[[#This Row],[Posição]])&lt;=TopN),"Sim","Não"))</f>
        <v>Não</v>
      </c>
    </row>
    <row r="227" spans="1:21" x14ac:dyDescent="0.25">
      <c r="A227" t="s">
        <v>553</v>
      </c>
      <c r="B227" t="s">
        <v>554</v>
      </c>
      <c r="C227" t="s">
        <v>431</v>
      </c>
      <c r="D227" s="14">
        <v>55.460120000000003</v>
      </c>
      <c r="E227" s="7"/>
      <c r="F227" s="7"/>
      <c r="G227" s="15"/>
      <c r="H227" s="15">
        <v>40</v>
      </c>
      <c r="I227" t="s">
        <v>555</v>
      </c>
      <c r="J227" s="16" t="s">
        <v>66</v>
      </c>
      <c r="K227" s="15"/>
      <c r="L227" s="4">
        <f>COUNTIFS(tItens[Produto],tProdutos[[#This Row],[Produto]])</f>
        <v>3</v>
      </c>
      <c r="M227" s="4">
        <f>SUMIFS(tItens[Primeira ocorrência],tItens[Produto],tProdutos[[#This Row],[Produto]])</f>
        <v>1</v>
      </c>
      <c r="N227" s="8">
        <f>SUMIFS(tItens[Valor],tItens[Produto],tProdutos[[#This Row],[Produto]])</f>
        <v>0</v>
      </c>
      <c r="O227" s="8">
        <f>SUMIFS(tItens[Valor],tItens[Produto],tProdutos[[#This Row],[Produto]],tItens[SRP],"Sim")</f>
        <v>0</v>
      </c>
      <c r="P227" s="6">
        <f>IF(tProdutos[[#This Row],[Valor janela]]=0,0,tProdutos[[#This Row],[Valor SRP]]/tProdutos[[#This Row],[Valor janela]])</f>
        <v>0</v>
      </c>
      <c r="Q227" s="8">
        <f>tProdutos[[#This Row],[Valor janela]]*DiasMes/DiasJanela</f>
        <v>0</v>
      </c>
      <c r="R227" s="8">
        <f>tProdutos[[#This Row],[Mercado mês ref]]*(1-IF(tProdutos[[#This Row],[Desconto homologado]]="",DescontoPadrao,tProdutos[[#This Row],[Desconto homologado]]))</f>
        <v>0</v>
      </c>
      <c r="S227" t="str">
        <f>IF(ModoFoco="Lista",IF(tProdutos[[#This Row],[Lista definida]]="Sim","Sim","Não"),IF(AND(tProdutos[[#This Row],[Editais]]&gt;=MinEditais,N(tProdutos[[#This Row],[Margem bruta]])&gt;=MargemMin),"Sim","Não"))</f>
        <v>Não</v>
      </c>
      <c r="T227" s="4" t="str">
        <f>IF(tProdutos[[#This Row],[Elegível]]="Sim",COUNTIFS(tProdutos[Elegível],"Sim",tProdutos[Valor janela],"&gt;"&amp;tProdutos[[#This Row],[Valor janela]])+1,"")</f>
        <v/>
      </c>
      <c r="U227" t="str">
        <f>IF(ModoFoco="Lista",tProdutos[[#This Row],[Elegível]],IF(AND(tProdutos[[#This Row],[Posição]]&lt;&gt;"",N(tProdutos[[#This Row],[Posição]])&lt;=TopN),"Sim","Não"))</f>
        <v>Não</v>
      </c>
    </row>
    <row r="228" spans="1:21" x14ac:dyDescent="0.25">
      <c r="A228" t="s">
        <v>556</v>
      </c>
      <c r="B228" t="s">
        <v>557</v>
      </c>
      <c r="C228" t="s">
        <v>431</v>
      </c>
      <c r="D228" s="14">
        <v>55.397657142857149</v>
      </c>
      <c r="E228" s="7">
        <v>0.48048780487804887</v>
      </c>
      <c r="F228" s="7">
        <v>9.2927353535048302E-2</v>
      </c>
      <c r="G228" s="15">
        <v>0.2</v>
      </c>
      <c r="H228" s="15">
        <v>0.12</v>
      </c>
      <c r="I228" t="s">
        <v>558</v>
      </c>
      <c r="J228" s="16" t="s">
        <v>66</v>
      </c>
      <c r="K228" s="15"/>
      <c r="L228" s="4">
        <f>COUNTIFS(tItens[Produto],tProdutos[[#This Row],[Produto]])</f>
        <v>0</v>
      </c>
      <c r="M228" s="4">
        <f>SUMIFS(tItens[Primeira ocorrência],tItens[Produto],tProdutos[[#This Row],[Produto]])</f>
        <v>0</v>
      </c>
      <c r="N228" s="8">
        <f>SUMIFS(tItens[Valor],tItens[Produto],tProdutos[[#This Row],[Produto]])</f>
        <v>0</v>
      </c>
      <c r="O228" s="8">
        <f>SUMIFS(tItens[Valor],tItens[Produto],tProdutos[[#This Row],[Produto]],tItens[SRP],"Sim")</f>
        <v>0</v>
      </c>
      <c r="P228" s="6">
        <f>IF(tProdutos[[#This Row],[Valor janela]]=0,0,tProdutos[[#This Row],[Valor SRP]]/tProdutos[[#This Row],[Valor janela]])</f>
        <v>0</v>
      </c>
      <c r="Q228" s="8">
        <f>tProdutos[[#This Row],[Valor janela]]*DiasMes/DiasJanela</f>
        <v>0</v>
      </c>
      <c r="R228" s="8">
        <f>tProdutos[[#This Row],[Mercado mês ref]]*(1-IF(tProdutos[[#This Row],[Desconto homologado]]="",DescontoPadrao,tProdutos[[#This Row],[Desconto homologado]]))</f>
        <v>0</v>
      </c>
      <c r="S228" t="str">
        <f>IF(ModoFoco="Lista",IF(tProdutos[[#This Row],[Lista definida]]="Sim","Sim","Não"),IF(AND(tProdutos[[#This Row],[Editais]]&gt;=MinEditais,N(tProdutos[[#This Row],[Margem bruta]])&gt;=MargemMin),"Sim","Não"))</f>
        <v>Não</v>
      </c>
      <c r="T228" s="4" t="str">
        <f>IF(tProdutos[[#This Row],[Elegível]]="Sim",COUNTIFS(tProdutos[Elegível],"Sim",tProdutos[Valor janela],"&gt;"&amp;tProdutos[[#This Row],[Valor janela]])+1,"")</f>
        <v/>
      </c>
      <c r="U228" t="str">
        <f>IF(ModoFoco="Lista",tProdutos[[#This Row],[Elegível]],IF(AND(tProdutos[[#This Row],[Posição]]&lt;&gt;"",N(tProdutos[[#This Row],[Posição]])&lt;=TopN),"Sim","Não"))</f>
        <v>Não</v>
      </c>
    </row>
    <row r="229" spans="1:21" x14ac:dyDescent="0.25">
      <c r="A229" t="s">
        <v>559</v>
      </c>
      <c r="B229" t="s">
        <v>560</v>
      </c>
      <c r="C229" t="s">
        <v>431</v>
      </c>
      <c r="D229" s="14">
        <v>55.136488571428572</v>
      </c>
      <c r="E229" s="7">
        <v>0.78353658536585369</v>
      </c>
      <c r="F229" s="7"/>
      <c r="G229" s="15">
        <v>6</v>
      </c>
      <c r="H229" s="15">
        <v>1.5</v>
      </c>
      <c r="I229" t="s">
        <v>561</v>
      </c>
      <c r="J229" s="16" t="s">
        <v>66</v>
      </c>
      <c r="K229" s="15"/>
      <c r="L229" s="4">
        <f>COUNTIFS(tItens[Produto],tProdutos[[#This Row],[Produto]])</f>
        <v>0</v>
      </c>
      <c r="M229" s="4">
        <f>SUMIFS(tItens[Primeira ocorrência],tItens[Produto],tProdutos[[#This Row],[Produto]])</f>
        <v>0</v>
      </c>
      <c r="N229" s="8">
        <f>SUMIFS(tItens[Valor],tItens[Produto],tProdutos[[#This Row],[Produto]])</f>
        <v>0</v>
      </c>
      <c r="O229" s="8">
        <f>SUMIFS(tItens[Valor],tItens[Produto],tProdutos[[#This Row],[Produto]],tItens[SRP],"Sim")</f>
        <v>0</v>
      </c>
      <c r="P229" s="6">
        <f>IF(tProdutos[[#This Row],[Valor janela]]=0,0,tProdutos[[#This Row],[Valor SRP]]/tProdutos[[#This Row],[Valor janela]])</f>
        <v>0</v>
      </c>
      <c r="Q229" s="8">
        <f>tProdutos[[#This Row],[Valor janela]]*DiasMes/DiasJanela</f>
        <v>0</v>
      </c>
      <c r="R229" s="8">
        <f>tProdutos[[#This Row],[Mercado mês ref]]*(1-IF(tProdutos[[#This Row],[Desconto homologado]]="",DescontoPadrao,tProdutos[[#This Row],[Desconto homologado]]))</f>
        <v>0</v>
      </c>
      <c r="S229" t="str">
        <f>IF(ModoFoco="Lista",IF(tProdutos[[#This Row],[Lista definida]]="Sim","Sim","Não"),IF(AND(tProdutos[[#This Row],[Editais]]&gt;=MinEditais,N(tProdutos[[#This Row],[Margem bruta]])&gt;=MargemMin),"Sim","Não"))</f>
        <v>Não</v>
      </c>
      <c r="T229" s="4" t="str">
        <f>IF(tProdutos[[#This Row],[Elegível]]="Sim",COUNTIFS(tProdutos[Elegível],"Sim",tProdutos[Valor janela],"&gt;"&amp;tProdutos[[#This Row],[Valor janela]])+1,"")</f>
        <v/>
      </c>
      <c r="U229" t="str">
        <f>IF(ModoFoco="Lista",tProdutos[[#This Row],[Elegível]],IF(AND(tProdutos[[#This Row],[Posição]]&lt;&gt;"",N(tProdutos[[#This Row],[Posição]])&lt;=TopN),"Sim","Não"))</f>
        <v>Não</v>
      </c>
    </row>
    <row r="230" spans="1:21" x14ac:dyDescent="0.25">
      <c r="A230" t="s">
        <v>562</v>
      </c>
      <c r="B230" t="s">
        <v>563</v>
      </c>
      <c r="C230" t="s">
        <v>431</v>
      </c>
      <c r="D230" s="14">
        <v>55.030214285714273</v>
      </c>
      <c r="E230" s="7"/>
      <c r="F230" s="7">
        <v>0.272819766623699</v>
      </c>
      <c r="G230" s="15"/>
      <c r="H230" s="15">
        <v>18</v>
      </c>
      <c r="I230" t="s">
        <v>564</v>
      </c>
      <c r="J230" s="16" t="s">
        <v>66</v>
      </c>
      <c r="K230" s="15"/>
      <c r="L230" s="4">
        <f>COUNTIFS(tItens[Produto],tProdutos[[#This Row],[Produto]])</f>
        <v>0</v>
      </c>
      <c r="M230" s="4">
        <f>SUMIFS(tItens[Primeira ocorrência],tItens[Produto],tProdutos[[#This Row],[Produto]])</f>
        <v>0</v>
      </c>
      <c r="N230" s="8">
        <f>SUMIFS(tItens[Valor],tItens[Produto],tProdutos[[#This Row],[Produto]])</f>
        <v>0</v>
      </c>
      <c r="O230" s="8">
        <f>SUMIFS(tItens[Valor],tItens[Produto],tProdutos[[#This Row],[Produto]],tItens[SRP],"Sim")</f>
        <v>0</v>
      </c>
      <c r="P230" s="6">
        <f>IF(tProdutos[[#This Row],[Valor janela]]=0,0,tProdutos[[#This Row],[Valor SRP]]/tProdutos[[#This Row],[Valor janela]])</f>
        <v>0</v>
      </c>
      <c r="Q230" s="8">
        <f>tProdutos[[#This Row],[Valor janela]]*DiasMes/DiasJanela</f>
        <v>0</v>
      </c>
      <c r="R230" s="8">
        <f>tProdutos[[#This Row],[Mercado mês ref]]*(1-IF(tProdutos[[#This Row],[Desconto homologado]]="",DescontoPadrao,tProdutos[[#This Row],[Desconto homologado]]))</f>
        <v>0</v>
      </c>
      <c r="S230" t="str">
        <f>IF(ModoFoco="Lista",IF(tProdutos[[#This Row],[Lista definida]]="Sim","Sim","Não"),IF(AND(tProdutos[[#This Row],[Editais]]&gt;=MinEditais,N(tProdutos[[#This Row],[Margem bruta]])&gt;=MargemMin),"Sim","Não"))</f>
        <v>Não</v>
      </c>
      <c r="T230" s="4" t="str">
        <f>IF(tProdutos[[#This Row],[Elegível]]="Sim",COUNTIFS(tProdutos[Elegível],"Sim",tProdutos[Valor janela],"&gt;"&amp;tProdutos[[#This Row],[Valor janela]])+1,"")</f>
        <v/>
      </c>
      <c r="U230" t="str">
        <f>IF(ModoFoco="Lista",tProdutos[[#This Row],[Elegível]],IF(AND(tProdutos[[#This Row],[Posição]]&lt;&gt;"",N(tProdutos[[#This Row],[Posição]])&lt;=TopN),"Sim","Não"))</f>
        <v>Não</v>
      </c>
    </row>
    <row r="231" spans="1:21" x14ac:dyDescent="0.25">
      <c r="A231" t="s">
        <v>565</v>
      </c>
      <c r="B231" t="s">
        <v>566</v>
      </c>
      <c r="C231" t="s">
        <v>431</v>
      </c>
      <c r="D231" s="14">
        <v>54.694294285714285</v>
      </c>
      <c r="E231" s="7"/>
      <c r="F231" s="7">
        <v>0.1816062551698</v>
      </c>
      <c r="G231" s="15"/>
      <c r="H231" s="15">
        <v>22</v>
      </c>
      <c r="I231" t="s">
        <v>567</v>
      </c>
      <c r="J231" s="16" t="s">
        <v>66</v>
      </c>
      <c r="K231" s="15"/>
      <c r="L231" s="4">
        <f>COUNTIFS(tItens[Produto],tProdutos[[#This Row],[Produto]])</f>
        <v>20</v>
      </c>
      <c r="M231" s="4">
        <f>SUMIFS(tItens[Primeira ocorrência],tItens[Produto],tProdutos[[#This Row],[Produto]])</f>
        <v>13</v>
      </c>
      <c r="N231" s="8">
        <f>SUMIFS(tItens[Valor],tItens[Produto],tProdutos[[#This Row],[Produto]])</f>
        <v>68912.299999999988</v>
      </c>
      <c r="O231" s="8">
        <f>SUMIFS(tItens[Valor],tItens[Produto],tProdutos[[#This Row],[Produto]],tItens[SRP],"Sim")</f>
        <v>52061.400000000009</v>
      </c>
      <c r="P231" s="6">
        <f>IF(tProdutos[[#This Row],[Valor janela]]=0,0,tProdutos[[#This Row],[Valor SRP]]/tProdutos[[#This Row],[Valor janela]])</f>
        <v>0.755473260941806</v>
      </c>
      <c r="Q231" s="8">
        <f>tProdutos[[#This Row],[Valor janela]]*DiasMes/DiasJanela</f>
        <v>229707.66666666663</v>
      </c>
      <c r="R231" s="8">
        <f>tProdutos[[#This Row],[Mercado mês ref]]*(1-IF(tProdutos[[#This Row],[Desconto homologado]]="",DescontoPadrao,tProdutos[[#This Row],[Desconto homologado]]))</f>
        <v>187991.31753954061</v>
      </c>
      <c r="S231" t="str">
        <f>IF(ModoFoco="Lista",IF(tProdutos[[#This Row],[Lista definida]]="Sim","Sim","Não"),IF(AND(tProdutos[[#This Row],[Editais]]&gt;=MinEditais,N(tProdutos[[#This Row],[Margem bruta]])&gt;=MargemMin),"Sim","Não"))</f>
        <v>Não</v>
      </c>
      <c r="T231" s="4" t="str">
        <f>IF(tProdutos[[#This Row],[Elegível]]="Sim",COUNTIFS(tProdutos[Elegível],"Sim",tProdutos[Valor janela],"&gt;"&amp;tProdutos[[#This Row],[Valor janela]])+1,"")</f>
        <v/>
      </c>
      <c r="U231" t="str">
        <f>IF(ModoFoco="Lista",tProdutos[[#This Row],[Elegível]],IF(AND(tProdutos[[#This Row],[Posição]]&lt;&gt;"",N(tProdutos[[#This Row],[Posição]])&lt;=TopN),"Sim","Não"))</f>
        <v>Não</v>
      </c>
    </row>
    <row r="232" spans="1:21" x14ac:dyDescent="0.25">
      <c r="A232" t="s">
        <v>568</v>
      </c>
      <c r="B232" t="s">
        <v>569</v>
      </c>
      <c r="C232" t="s">
        <v>431</v>
      </c>
      <c r="D232" s="14">
        <v>54.326891951484825</v>
      </c>
      <c r="E232" s="7">
        <v>0.34959349593495936</v>
      </c>
      <c r="F232" s="7"/>
      <c r="G232" s="15">
        <v>9</v>
      </c>
      <c r="H232" s="15">
        <v>6</v>
      </c>
      <c r="I232" t="s">
        <v>570</v>
      </c>
      <c r="J232" s="16" t="s">
        <v>66</v>
      </c>
      <c r="K232" s="15"/>
      <c r="L232" s="4">
        <f>COUNTIFS(tItens[Produto],tProdutos[[#This Row],[Produto]])</f>
        <v>46</v>
      </c>
      <c r="M232" s="4">
        <f>SUMIFS(tItens[Primeira ocorrência],tItens[Produto],tProdutos[[#This Row],[Produto]])</f>
        <v>24</v>
      </c>
      <c r="N232" s="8">
        <f>SUMIFS(tItens[Valor],tItens[Produto],tProdutos[[#This Row],[Produto]])</f>
        <v>369879.97</v>
      </c>
      <c r="O232" s="8">
        <f>SUMIFS(tItens[Valor],tItens[Produto],tProdutos[[#This Row],[Produto]],tItens[SRP],"Sim")</f>
        <v>80182.31</v>
      </c>
      <c r="P232" s="6">
        <f>IF(tProdutos[[#This Row],[Valor janela]]=0,0,tProdutos[[#This Row],[Valor SRP]]/tProdutos[[#This Row],[Valor janela]])</f>
        <v>0.21677927031301533</v>
      </c>
      <c r="Q232" s="8">
        <f>tProdutos[[#This Row],[Valor janela]]*DiasMes/DiasJanela</f>
        <v>1232933.2333333332</v>
      </c>
      <c r="R232" s="8">
        <f>tProdutos[[#This Row],[Mercado mês ref]]*(1-IF(tProdutos[[#This Row],[Desconto homologado]]="",DescontoPadrao,tProdutos[[#This Row],[Desconto homologado]]))</f>
        <v>863053.26333333319</v>
      </c>
      <c r="S232" t="str">
        <f>IF(ModoFoco="Lista",IF(tProdutos[[#This Row],[Lista definida]]="Sim","Sim","Não"),IF(AND(tProdutos[[#This Row],[Editais]]&gt;=MinEditais,N(tProdutos[[#This Row],[Margem bruta]])&gt;=MargemMin),"Sim","Não"))</f>
        <v>Não</v>
      </c>
      <c r="T232" s="4" t="str">
        <f>IF(tProdutos[[#This Row],[Elegível]]="Sim",COUNTIFS(tProdutos[Elegível],"Sim",tProdutos[Valor janela],"&gt;"&amp;tProdutos[[#This Row],[Valor janela]])+1,"")</f>
        <v/>
      </c>
      <c r="U232" t="str">
        <f>IF(ModoFoco="Lista",tProdutos[[#This Row],[Elegível]],IF(AND(tProdutos[[#This Row],[Posição]]&lt;&gt;"",N(tProdutos[[#This Row],[Posição]])&lt;=TopN),"Sim","Não"))</f>
        <v>Não</v>
      </c>
    </row>
    <row r="233" spans="1:21" x14ac:dyDescent="0.25">
      <c r="A233" t="s">
        <v>571</v>
      </c>
      <c r="B233" t="s">
        <v>572</v>
      </c>
      <c r="C233" t="s">
        <v>431</v>
      </c>
      <c r="D233" s="14">
        <v>54.058834285714291</v>
      </c>
      <c r="E233" s="7"/>
      <c r="F233" s="7">
        <v>0.21965364503385801</v>
      </c>
      <c r="G233" s="15"/>
      <c r="H233" s="15">
        <v>6</v>
      </c>
      <c r="I233" t="s">
        <v>573</v>
      </c>
      <c r="J233" s="16" t="s">
        <v>66</v>
      </c>
      <c r="K233" s="15"/>
      <c r="L233" s="4">
        <f>COUNTIFS(tItens[Produto],tProdutos[[#This Row],[Produto]])</f>
        <v>2</v>
      </c>
      <c r="M233" s="4">
        <f>SUMIFS(tItens[Primeira ocorrência],tItens[Produto],tProdutos[[#This Row],[Produto]])</f>
        <v>1</v>
      </c>
      <c r="N233" s="8">
        <f>SUMIFS(tItens[Valor],tItens[Produto],tProdutos[[#This Row],[Produto]])</f>
        <v>0</v>
      </c>
      <c r="O233" s="8">
        <f>SUMIFS(tItens[Valor],tItens[Produto],tProdutos[[#This Row],[Produto]],tItens[SRP],"Sim")</f>
        <v>0</v>
      </c>
      <c r="P233" s="6">
        <f>IF(tProdutos[[#This Row],[Valor janela]]=0,0,tProdutos[[#This Row],[Valor SRP]]/tProdutos[[#This Row],[Valor janela]])</f>
        <v>0</v>
      </c>
      <c r="Q233" s="8">
        <f>tProdutos[[#This Row],[Valor janela]]*DiasMes/DiasJanela</f>
        <v>0</v>
      </c>
      <c r="R233" s="8">
        <f>tProdutos[[#This Row],[Mercado mês ref]]*(1-IF(tProdutos[[#This Row],[Desconto homologado]]="",DescontoPadrao,tProdutos[[#This Row],[Desconto homologado]]))</f>
        <v>0</v>
      </c>
      <c r="S233" t="str">
        <f>IF(ModoFoco="Lista",IF(tProdutos[[#This Row],[Lista definida]]="Sim","Sim","Não"),IF(AND(tProdutos[[#This Row],[Editais]]&gt;=MinEditais,N(tProdutos[[#This Row],[Margem bruta]])&gt;=MargemMin),"Sim","Não"))</f>
        <v>Não</v>
      </c>
      <c r="T233" s="4" t="str">
        <f>IF(tProdutos[[#This Row],[Elegível]]="Sim",COUNTIFS(tProdutos[Elegível],"Sim",tProdutos[Valor janela],"&gt;"&amp;tProdutos[[#This Row],[Valor janela]])+1,"")</f>
        <v/>
      </c>
      <c r="U233" t="str">
        <f>IF(ModoFoco="Lista",tProdutos[[#This Row],[Elegível]],IF(AND(tProdutos[[#This Row],[Posição]]&lt;&gt;"",N(tProdutos[[#This Row],[Posição]])&lt;=TopN),"Sim","Não"))</f>
        <v>Não</v>
      </c>
    </row>
    <row r="234" spans="1:21" x14ac:dyDescent="0.25">
      <c r="A234" t="s">
        <v>574</v>
      </c>
      <c r="B234" t="s">
        <v>575</v>
      </c>
      <c r="C234" t="s">
        <v>431</v>
      </c>
      <c r="D234" s="14">
        <v>53.848228571428571</v>
      </c>
      <c r="E234" s="7"/>
      <c r="F234" s="7">
        <v>0.31845403469778399</v>
      </c>
      <c r="G234" s="15"/>
      <c r="H234" s="15">
        <v>30</v>
      </c>
      <c r="I234" t="s">
        <v>576</v>
      </c>
      <c r="J234" s="16" t="s">
        <v>66</v>
      </c>
      <c r="K234" s="15"/>
      <c r="L234" s="4">
        <f>COUNTIFS(tItens[Produto],tProdutos[[#This Row],[Produto]])</f>
        <v>1</v>
      </c>
      <c r="M234" s="4">
        <f>SUMIFS(tItens[Primeira ocorrência],tItens[Produto],tProdutos[[#This Row],[Produto]])</f>
        <v>1</v>
      </c>
      <c r="N234" s="8">
        <f>SUMIFS(tItens[Valor],tItens[Produto],tProdutos[[#This Row],[Produto]])</f>
        <v>1426.2</v>
      </c>
      <c r="O234" s="8">
        <f>SUMIFS(tItens[Valor],tItens[Produto],tProdutos[[#This Row],[Produto]],tItens[SRP],"Sim")</f>
        <v>1426.2</v>
      </c>
      <c r="P234" s="6">
        <f>IF(tProdutos[[#This Row],[Valor janela]]=0,0,tProdutos[[#This Row],[Valor SRP]]/tProdutos[[#This Row],[Valor janela]])</f>
        <v>1</v>
      </c>
      <c r="Q234" s="8">
        <f>tProdutos[[#This Row],[Valor janela]]*DiasMes/DiasJanela</f>
        <v>4754</v>
      </c>
      <c r="R234" s="8">
        <f>tProdutos[[#This Row],[Mercado mês ref]]*(1-IF(tProdutos[[#This Row],[Desconto homologado]]="",DescontoPadrao,tProdutos[[#This Row],[Desconto homologado]]))</f>
        <v>3240.069519046735</v>
      </c>
      <c r="S234" t="str">
        <f>IF(ModoFoco="Lista",IF(tProdutos[[#This Row],[Lista definida]]="Sim","Sim","Não"),IF(AND(tProdutos[[#This Row],[Editais]]&gt;=MinEditais,N(tProdutos[[#This Row],[Margem bruta]])&gt;=MargemMin),"Sim","Não"))</f>
        <v>Não</v>
      </c>
      <c r="T234" s="4" t="str">
        <f>IF(tProdutos[[#This Row],[Elegível]]="Sim",COUNTIFS(tProdutos[Elegível],"Sim",tProdutos[Valor janela],"&gt;"&amp;tProdutos[[#This Row],[Valor janela]])+1,"")</f>
        <v/>
      </c>
      <c r="U234" t="str">
        <f>IF(ModoFoco="Lista",tProdutos[[#This Row],[Elegível]],IF(AND(tProdutos[[#This Row],[Posição]]&lt;&gt;"",N(tProdutos[[#This Row],[Posição]])&lt;=TopN),"Sim","Não"))</f>
        <v>Não</v>
      </c>
    </row>
    <row r="235" spans="1:21" x14ac:dyDescent="0.25">
      <c r="A235" t="s">
        <v>577</v>
      </c>
      <c r="B235" t="s">
        <v>578</v>
      </c>
      <c r="C235" t="s">
        <v>431</v>
      </c>
      <c r="D235" s="14">
        <v>53.591455714285722</v>
      </c>
      <c r="E235" s="7"/>
      <c r="F235" s="7">
        <v>0.36014625228519198</v>
      </c>
      <c r="G235" s="15"/>
      <c r="H235" s="15">
        <v>6</v>
      </c>
      <c r="I235" t="s">
        <v>579</v>
      </c>
      <c r="J235" s="16" t="s">
        <v>66</v>
      </c>
      <c r="K235" s="15"/>
      <c r="L235" s="4">
        <f>COUNTIFS(tItens[Produto],tProdutos[[#This Row],[Produto]])</f>
        <v>41</v>
      </c>
      <c r="M235" s="4">
        <f>SUMIFS(tItens[Primeira ocorrência],tItens[Produto],tProdutos[[#This Row],[Produto]])</f>
        <v>30</v>
      </c>
      <c r="N235" s="8">
        <f>SUMIFS(tItens[Valor],tItens[Produto],tProdutos[[#This Row],[Produto]])</f>
        <v>590341.27</v>
      </c>
      <c r="O235" s="8">
        <f>SUMIFS(tItens[Valor],tItens[Produto],tProdutos[[#This Row],[Produto]],tItens[SRP],"Sim")</f>
        <v>346728.54</v>
      </c>
      <c r="P235" s="6">
        <f>IF(tProdutos[[#This Row],[Valor janela]]=0,0,tProdutos[[#This Row],[Valor SRP]]/tProdutos[[#This Row],[Valor janela]])</f>
        <v>0.58733576258356457</v>
      </c>
      <c r="Q235" s="8">
        <f>tProdutos[[#This Row],[Valor janela]]*DiasMes/DiasJanela</f>
        <v>1967804.2333333334</v>
      </c>
      <c r="R235" s="8">
        <f>tProdutos[[#This Row],[Mercado mês ref]]*(1-IF(tProdutos[[#This Row],[Desconto homologado]]="",DescontoPadrao,tProdutos[[#This Row],[Desconto homologado]]))</f>
        <v>1259106.9134673979</v>
      </c>
      <c r="S235" t="str">
        <f>IF(ModoFoco="Lista",IF(tProdutos[[#This Row],[Lista definida]]="Sim","Sim","Não"),IF(AND(tProdutos[[#This Row],[Editais]]&gt;=MinEditais,N(tProdutos[[#This Row],[Margem bruta]])&gt;=MargemMin),"Sim","Não"))</f>
        <v>Não</v>
      </c>
      <c r="T235" s="4" t="str">
        <f>IF(tProdutos[[#This Row],[Elegível]]="Sim",COUNTIFS(tProdutos[Elegível],"Sim",tProdutos[Valor janela],"&gt;"&amp;tProdutos[[#This Row],[Valor janela]])+1,"")</f>
        <v/>
      </c>
      <c r="U235" t="str">
        <f>IF(ModoFoco="Lista",tProdutos[[#This Row],[Elegível]],IF(AND(tProdutos[[#This Row],[Posição]]&lt;&gt;"",N(tProdutos[[#This Row],[Posição]])&lt;=TopN),"Sim","Não"))</f>
        <v>Não</v>
      </c>
    </row>
    <row r="236" spans="1:21" x14ac:dyDescent="0.25">
      <c r="A236" t="s">
        <v>580</v>
      </c>
      <c r="B236" t="s">
        <v>581</v>
      </c>
      <c r="C236" t="s">
        <v>431</v>
      </c>
      <c r="D236" s="14">
        <v>53.103118571428574</v>
      </c>
      <c r="E236" s="7"/>
      <c r="F236" s="7"/>
      <c r="G236" s="15"/>
      <c r="H236" s="15">
        <v>1.2</v>
      </c>
      <c r="I236" t="s">
        <v>582</v>
      </c>
      <c r="J236" s="16" t="s">
        <v>66</v>
      </c>
      <c r="K236" s="15"/>
      <c r="L236" s="4">
        <f>COUNTIFS(tItens[Produto],tProdutos[[#This Row],[Produto]])</f>
        <v>0</v>
      </c>
      <c r="M236" s="4">
        <f>SUMIFS(tItens[Primeira ocorrência],tItens[Produto],tProdutos[[#This Row],[Produto]])</f>
        <v>0</v>
      </c>
      <c r="N236" s="8">
        <f>SUMIFS(tItens[Valor],tItens[Produto],tProdutos[[#This Row],[Produto]])</f>
        <v>0</v>
      </c>
      <c r="O236" s="8">
        <f>SUMIFS(tItens[Valor],tItens[Produto],tProdutos[[#This Row],[Produto]],tItens[SRP],"Sim")</f>
        <v>0</v>
      </c>
      <c r="P236" s="6">
        <f>IF(tProdutos[[#This Row],[Valor janela]]=0,0,tProdutos[[#This Row],[Valor SRP]]/tProdutos[[#This Row],[Valor janela]])</f>
        <v>0</v>
      </c>
      <c r="Q236" s="8">
        <f>tProdutos[[#This Row],[Valor janela]]*DiasMes/DiasJanela</f>
        <v>0</v>
      </c>
      <c r="R236" s="8">
        <f>tProdutos[[#This Row],[Mercado mês ref]]*(1-IF(tProdutos[[#This Row],[Desconto homologado]]="",DescontoPadrao,tProdutos[[#This Row],[Desconto homologado]]))</f>
        <v>0</v>
      </c>
      <c r="S236" t="str">
        <f>IF(ModoFoco="Lista",IF(tProdutos[[#This Row],[Lista definida]]="Sim","Sim","Não"),IF(AND(tProdutos[[#This Row],[Editais]]&gt;=MinEditais,N(tProdutos[[#This Row],[Margem bruta]])&gt;=MargemMin),"Sim","Não"))</f>
        <v>Não</v>
      </c>
      <c r="T236" s="4" t="str">
        <f>IF(tProdutos[[#This Row],[Elegível]]="Sim",COUNTIFS(tProdutos[Elegível],"Sim",tProdutos[Valor janela],"&gt;"&amp;tProdutos[[#This Row],[Valor janela]])+1,"")</f>
        <v/>
      </c>
      <c r="U236" t="str">
        <f>IF(ModoFoco="Lista",tProdutos[[#This Row],[Elegível]],IF(AND(tProdutos[[#This Row],[Posição]]&lt;&gt;"",N(tProdutos[[#This Row],[Posição]])&lt;=TopN),"Sim","Não"))</f>
        <v>Não</v>
      </c>
    </row>
    <row r="237" spans="1:21" x14ac:dyDescent="0.25">
      <c r="A237" t="s">
        <v>583</v>
      </c>
      <c r="B237" t="s">
        <v>584</v>
      </c>
      <c r="C237" t="s">
        <v>431</v>
      </c>
      <c r="D237" s="14">
        <v>52.619760000000007</v>
      </c>
      <c r="E237" s="7"/>
      <c r="F237" s="7">
        <v>1.8306728813864401E-2</v>
      </c>
      <c r="G237" s="15"/>
      <c r="H237" s="15">
        <v>0.45</v>
      </c>
      <c r="I237" t="s">
        <v>585</v>
      </c>
      <c r="J237" s="16" t="s">
        <v>66</v>
      </c>
      <c r="K237" s="15"/>
      <c r="L237" s="4">
        <f>COUNTIFS(tItens[Produto],tProdutos[[#This Row],[Produto]])</f>
        <v>23</v>
      </c>
      <c r="M237" s="4">
        <f>SUMIFS(tItens[Primeira ocorrência],tItens[Produto],tProdutos[[#This Row],[Produto]])</f>
        <v>4</v>
      </c>
      <c r="N237" s="8">
        <f>SUMIFS(tItens[Valor],tItens[Produto],tProdutos[[#This Row],[Produto]])</f>
        <v>18156.8</v>
      </c>
      <c r="O237" s="8">
        <f>SUMIFS(tItens[Valor],tItens[Produto],tProdutos[[#This Row],[Produto]],tItens[SRP],"Sim")</f>
        <v>18156.8</v>
      </c>
      <c r="P237" s="6">
        <f>IF(tProdutos[[#This Row],[Valor janela]]=0,0,tProdutos[[#This Row],[Valor SRP]]/tProdutos[[#This Row],[Valor janela]])</f>
        <v>1</v>
      </c>
      <c r="Q237" s="8">
        <f>tProdutos[[#This Row],[Valor janela]]*DiasMes/DiasJanela</f>
        <v>60522.666666666664</v>
      </c>
      <c r="R237" s="8">
        <f>tProdutos[[#This Row],[Mercado mês ref]]*(1-IF(tProdutos[[#This Row],[Desconto homologado]]="",DescontoPadrao,tProdutos[[#This Row],[Desconto homologado]]))</f>
        <v>59414.694620908085</v>
      </c>
      <c r="S237" t="str">
        <f>IF(ModoFoco="Lista",IF(tProdutos[[#This Row],[Lista definida]]="Sim","Sim","Não"),IF(AND(tProdutos[[#This Row],[Editais]]&gt;=MinEditais,N(tProdutos[[#This Row],[Margem bruta]])&gt;=MargemMin),"Sim","Não"))</f>
        <v>Não</v>
      </c>
      <c r="T237" s="4" t="str">
        <f>IF(tProdutos[[#This Row],[Elegível]]="Sim",COUNTIFS(tProdutos[Elegível],"Sim",tProdutos[Valor janela],"&gt;"&amp;tProdutos[[#This Row],[Valor janela]])+1,"")</f>
        <v/>
      </c>
      <c r="U237" t="str">
        <f>IF(ModoFoco="Lista",tProdutos[[#This Row],[Elegível]],IF(AND(tProdutos[[#This Row],[Posição]]&lt;&gt;"",N(tProdutos[[#This Row],[Posição]])&lt;=TopN),"Sim","Não"))</f>
        <v>Não</v>
      </c>
    </row>
    <row r="238" spans="1:21" x14ac:dyDescent="0.25">
      <c r="A238" t="s">
        <v>586</v>
      </c>
      <c r="B238" t="s">
        <v>587</v>
      </c>
      <c r="C238" t="s">
        <v>431</v>
      </c>
      <c r="D238" s="14">
        <v>52.327530000000003</v>
      </c>
      <c r="E238" s="7"/>
      <c r="F238" s="7">
        <v>0.35356200527704501</v>
      </c>
      <c r="G238" s="15"/>
      <c r="H238" s="15">
        <v>1.5</v>
      </c>
      <c r="I238" t="s">
        <v>588</v>
      </c>
      <c r="J238" s="16" t="s">
        <v>66</v>
      </c>
      <c r="K238" s="15"/>
      <c r="L238" s="4">
        <f>COUNTIFS(tItens[Produto],tProdutos[[#This Row],[Produto]])</f>
        <v>2</v>
      </c>
      <c r="M238" s="4">
        <f>SUMIFS(tItens[Primeira ocorrência],tItens[Produto],tProdutos[[#This Row],[Produto]])</f>
        <v>1</v>
      </c>
      <c r="N238" s="8">
        <f>SUMIFS(tItens[Valor],tItens[Produto],tProdutos[[#This Row],[Produto]])</f>
        <v>507.9</v>
      </c>
      <c r="O238" s="8">
        <f>SUMIFS(tItens[Valor],tItens[Produto],tProdutos[[#This Row],[Produto]],tItens[SRP],"Sim")</f>
        <v>507.9</v>
      </c>
      <c r="P238" s="6">
        <f>IF(tProdutos[[#This Row],[Valor janela]]=0,0,tProdutos[[#This Row],[Valor SRP]]/tProdutos[[#This Row],[Valor janela]])</f>
        <v>1</v>
      </c>
      <c r="Q238" s="8">
        <f>tProdutos[[#This Row],[Valor janela]]*DiasMes/DiasJanela</f>
        <v>1693</v>
      </c>
      <c r="R238" s="8">
        <f>tProdutos[[#This Row],[Mercado mês ref]]*(1-IF(tProdutos[[#This Row],[Desconto homologado]]="",DescontoPadrao,tProdutos[[#This Row],[Desconto homologado]]))</f>
        <v>1094.4195250659629</v>
      </c>
      <c r="S238" t="str">
        <f>IF(ModoFoco="Lista",IF(tProdutos[[#This Row],[Lista definida]]="Sim","Sim","Não"),IF(AND(tProdutos[[#This Row],[Editais]]&gt;=MinEditais,N(tProdutos[[#This Row],[Margem bruta]])&gt;=MargemMin),"Sim","Não"))</f>
        <v>Não</v>
      </c>
      <c r="T238" s="4" t="str">
        <f>IF(tProdutos[[#This Row],[Elegível]]="Sim",COUNTIFS(tProdutos[Elegível],"Sim",tProdutos[Valor janela],"&gt;"&amp;tProdutos[[#This Row],[Valor janela]])+1,"")</f>
        <v/>
      </c>
      <c r="U238" t="str">
        <f>IF(ModoFoco="Lista",tProdutos[[#This Row],[Elegível]],IF(AND(tProdutos[[#This Row],[Posição]]&lt;&gt;"",N(tProdutos[[#This Row],[Posição]])&lt;=TopN),"Sim","Não"))</f>
        <v>Não</v>
      </c>
    </row>
    <row r="239" spans="1:21" x14ac:dyDescent="0.25">
      <c r="A239" t="s">
        <v>589</v>
      </c>
      <c r="B239" t="s">
        <v>590</v>
      </c>
      <c r="C239" t="s">
        <v>431</v>
      </c>
      <c r="D239" s="14">
        <v>52.160735714285714</v>
      </c>
      <c r="E239" s="7">
        <v>0.74024390243902438</v>
      </c>
      <c r="F239" s="7">
        <v>0.229036419569316</v>
      </c>
      <c r="G239" s="15">
        <v>30</v>
      </c>
      <c r="H239" s="15">
        <v>9</v>
      </c>
      <c r="I239" t="s">
        <v>591</v>
      </c>
      <c r="J239" s="16" t="s">
        <v>66</v>
      </c>
      <c r="K239" s="15"/>
      <c r="L239" s="4">
        <f>COUNTIFS(tItens[Produto],tProdutos[[#This Row],[Produto]])</f>
        <v>0</v>
      </c>
      <c r="M239" s="4">
        <f>SUMIFS(tItens[Primeira ocorrência],tItens[Produto],tProdutos[[#This Row],[Produto]])</f>
        <v>0</v>
      </c>
      <c r="N239" s="8">
        <f>SUMIFS(tItens[Valor],tItens[Produto],tProdutos[[#This Row],[Produto]])</f>
        <v>0</v>
      </c>
      <c r="O239" s="8">
        <f>SUMIFS(tItens[Valor],tItens[Produto],tProdutos[[#This Row],[Produto]],tItens[SRP],"Sim")</f>
        <v>0</v>
      </c>
      <c r="P239" s="6">
        <f>IF(tProdutos[[#This Row],[Valor janela]]=0,0,tProdutos[[#This Row],[Valor SRP]]/tProdutos[[#This Row],[Valor janela]])</f>
        <v>0</v>
      </c>
      <c r="Q239" s="8">
        <f>tProdutos[[#This Row],[Valor janela]]*DiasMes/DiasJanela</f>
        <v>0</v>
      </c>
      <c r="R239" s="8">
        <f>tProdutos[[#This Row],[Mercado mês ref]]*(1-IF(tProdutos[[#This Row],[Desconto homologado]]="",DescontoPadrao,tProdutos[[#This Row],[Desconto homologado]]))</f>
        <v>0</v>
      </c>
      <c r="S239" t="str">
        <f>IF(ModoFoco="Lista",IF(tProdutos[[#This Row],[Lista definida]]="Sim","Sim","Não"),IF(AND(tProdutos[[#This Row],[Editais]]&gt;=MinEditais,N(tProdutos[[#This Row],[Margem bruta]])&gt;=MargemMin),"Sim","Não"))</f>
        <v>Não</v>
      </c>
      <c r="T239" s="4" t="str">
        <f>IF(tProdutos[[#This Row],[Elegível]]="Sim",COUNTIFS(tProdutos[Elegível],"Sim",tProdutos[Valor janela],"&gt;"&amp;tProdutos[[#This Row],[Valor janela]])+1,"")</f>
        <v/>
      </c>
      <c r="U239" t="str">
        <f>IF(ModoFoco="Lista",tProdutos[[#This Row],[Elegível]],IF(AND(tProdutos[[#This Row],[Posição]]&lt;&gt;"",N(tProdutos[[#This Row],[Posição]])&lt;=TopN),"Sim","Não"))</f>
        <v>Não</v>
      </c>
    </row>
    <row r="240" spans="1:21" x14ac:dyDescent="0.25">
      <c r="A240" t="s">
        <v>592</v>
      </c>
      <c r="B240" t="s">
        <v>593</v>
      </c>
      <c r="C240" t="s">
        <v>431</v>
      </c>
      <c r="D240" s="14">
        <v>51.21978571428572</v>
      </c>
      <c r="E240" s="7"/>
      <c r="F240" s="7">
        <v>0.17845604638805801</v>
      </c>
      <c r="G240" s="15"/>
      <c r="H240" s="15">
        <v>15</v>
      </c>
      <c r="I240" t="s">
        <v>594</v>
      </c>
      <c r="J240" s="16" t="s">
        <v>66</v>
      </c>
      <c r="K240" s="15"/>
      <c r="L240" s="4">
        <f>COUNTIFS(tItens[Produto],tProdutos[[#This Row],[Produto]])</f>
        <v>0</v>
      </c>
      <c r="M240" s="4">
        <f>SUMIFS(tItens[Primeira ocorrência],tItens[Produto],tProdutos[[#This Row],[Produto]])</f>
        <v>0</v>
      </c>
      <c r="N240" s="8">
        <f>SUMIFS(tItens[Valor],tItens[Produto],tProdutos[[#This Row],[Produto]])</f>
        <v>0</v>
      </c>
      <c r="O240" s="8">
        <f>SUMIFS(tItens[Valor],tItens[Produto],tProdutos[[#This Row],[Produto]],tItens[SRP],"Sim")</f>
        <v>0</v>
      </c>
      <c r="P240" s="6">
        <f>IF(tProdutos[[#This Row],[Valor janela]]=0,0,tProdutos[[#This Row],[Valor SRP]]/tProdutos[[#This Row],[Valor janela]])</f>
        <v>0</v>
      </c>
      <c r="Q240" s="8">
        <f>tProdutos[[#This Row],[Valor janela]]*DiasMes/DiasJanela</f>
        <v>0</v>
      </c>
      <c r="R240" s="8">
        <f>tProdutos[[#This Row],[Mercado mês ref]]*(1-IF(tProdutos[[#This Row],[Desconto homologado]]="",DescontoPadrao,tProdutos[[#This Row],[Desconto homologado]]))</f>
        <v>0</v>
      </c>
      <c r="S240" t="str">
        <f>IF(ModoFoco="Lista",IF(tProdutos[[#This Row],[Lista definida]]="Sim","Sim","Não"),IF(AND(tProdutos[[#This Row],[Editais]]&gt;=MinEditais,N(tProdutos[[#This Row],[Margem bruta]])&gt;=MargemMin),"Sim","Não"))</f>
        <v>Não</v>
      </c>
      <c r="T240" s="4" t="str">
        <f>IF(tProdutos[[#This Row],[Elegível]]="Sim",COUNTIFS(tProdutos[Elegível],"Sim",tProdutos[Valor janela],"&gt;"&amp;tProdutos[[#This Row],[Valor janela]])+1,"")</f>
        <v/>
      </c>
      <c r="U240" t="str">
        <f>IF(ModoFoco="Lista",tProdutos[[#This Row],[Elegível]],IF(AND(tProdutos[[#This Row],[Posição]]&lt;&gt;"",N(tProdutos[[#This Row],[Posição]])&lt;=TopN),"Sim","Não"))</f>
        <v>Não</v>
      </c>
    </row>
    <row r="241" spans="1:21" x14ac:dyDescent="0.25">
      <c r="A241" t="s">
        <v>595</v>
      </c>
      <c r="B241" t="s">
        <v>596</v>
      </c>
      <c r="C241" t="s">
        <v>431</v>
      </c>
      <c r="D241" s="14">
        <v>50.500588571428572</v>
      </c>
      <c r="E241" s="7"/>
      <c r="F241" s="7">
        <v>0.35501453488372098</v>
      </c>
      <c r="G241" s="15"/>
      <c r="H241" s="15">
        <v>180</v>
      </c>
      <c r="I241" t="s">
        <v>597</v>
      </c>
      <c r="J241" s="16" t="s">
        <v>66</v>
      </c>
      <c r="K241" s="15"/>
      <c r="L241" s="4">
        <f>COUNTIFS(tItens[Produto],tProdutos[[#This Row],[Produto]])</f>
        <v>6</v>
      </c>
      <c r="M241" s="4">
        <f>SUMIFS(tItens[Primeira ocorrência],tItens[Produto],tProdutos[[#This Row],[Produto]])</f>
        <v>4</v>
      </c>
      <c r="N241" s="8">
        <f>SUMIFS(tItens[Valor],tItens[Produto],tProdutos[[#This Row],[Produto]])</f>
        <v>278280</v>
      </c>
      <c r="O241" s="8">
        <f>SUMIFS(tItens[Valor],tItens[Produto],tProdutos[[#This Row],[Produto]],tItens[SRP],"Sim")</f>
        <v>93000</v>
      </c>
      <c r="P241" s="6">
        <f>IF(tProdutos[[#This Row],[Valor janela]]=0,0,tProdutos[[#This Row],[Valor SRP]]/tProdutos[[#This Row],[Valor janela]])</f>
        <v>0.33419577404053469</v>
      </c>
      <c r="Q241" s="8">
        <f>tProdutos[[#This Row],[Valor janela]]*DiasMes/DiasJanela</f>
        <v>927600</v>
      </c>
      <c r="R241" s="8">
        <f>tProdutos[[#This Row],[Mercado mês ref]]*(1-IF(tProdutos[[#This Row],[Desconto homologado]]="",DescontoPadrao,tProdutos[[#This Row],[Desconto homologado]]))</f>
        <v>598288.5174418604</v>
      </c>
      <c r="S241" t="str">
        <f>IF(ModoFoco="Lista",IF(tProdutos[[#This Row],[Lista definida]]="Sim","Sim","Não"),IF(AND(tProdutos[[#This Row],[Editais]]&gt;=MinEditais,N(tProdutos[[#This Row],[Margem bruta]])&gt;=MargemMin),"Sim","Não"))</f>
        <v>Não</v>
      </c>
      <c r="T241" s="4" t="str">
        <f>IF(tProdutos[[#This Row],[Elegível]]="Sim",COUNTIFS(tProdutos[Elegível],"Sim",tProdutos[Valor janela],"&gt;"&amp;tProdutos[[#This Row],[Valor janela]])+1,"")</f>
        <v/>
      </c>
      <c r="U241" t="str">
        <f>IF(ModoFoco="Lista",tProdutos[[#This Row],[Elegível]],IF(AND(tProdutos[[#This Row],[Posição]]&lt;&gt;"",N(tProdutos[[#This Row],[Posição]])&lt;=TopN),"Sim","Não"))</f>
        <v>Não</v>
      </c>
    </row>
    <row r="242" spans="1:21" x14ac:dyDescent="0.25">
      <c r="A242" t="s">
        <v>598</v>
      </c>
      <c r="B242" t="s">
        <v>599</v>
      </c>
      <c r="C242" t="s">
        <v>431</v>
      </c>
      <c r="D242" s="14">
        <v>50.370271428571428</v>
      </c>
      <c r="E242" s="7">
        <v>0.84538327526132406</v>
      </c>
      <c r="F242" s="7"/>
      <c r="G242" s="15">
        <v>14</v>
      </c>
      <c r="H242" s="15">
        <v>2.5</v>
      </c>
      <c r="I242" t="s">
        <v>600</v>
      </c>
      <c r="J242" s="16" t="s">
        <v>66</v>
      </c>
      <c r="K242" s="15"/>
      <c r="L242" s="4">
        <f>COUNTIFS(tItens[Produto],tProdutos[[#This Row],[Produto]])</f>
        <v>0</v>
      </c>
      <c r="M242" s="4">
        <f>SUMIFS(tItens[Primeira ocorrência],tItens[Produto],tProdutos[[#This Row],[Produto]])</f>
        <v>0</v>
      </c>
      <c r="N242" s="8">
        <f>SUMIFS(tItens[Valor],tItens[Produto],tProdutos[[#This Row],[Produto]])</f>
        <v>0</v>
      </c>
      <c r="O242" s="8">
        <f>SUMIFS(tItens[Valor],tItens[Produto],tProdutos[[#This Row],[Produto]],tItens[SRP],"Sim")</f>
        <v>0</v>
      </c>
      <c r="P242" s="6">
        <f>IF(tProdutos[[#This Row],[Valor janela]]=0,0,tProdutos[[#This Row],[Valor SRP]]/tProdutos[[#This Row],[Valor janela]])</f>
        <v>0</v>
      </c>
      <c r="Q242" s="8">
        <f>tProdutos[[#This Row],[Valor janela]]*DiasMes/DiasJanela</f>
        <v>0</v>
      </c>
      <c r="R242" s="8">
        <f>tProdutos[[#This Row],[Mercado mês ref]]*(1-IF(tProdutos[[#This Row],[Desconto homologado]]="",DescontoPadrao,tProdutos[[#This Row],[Desconto homologado]]))</f>
        <v>0</v>
      </c>
      <c r="S242" t="str">
        <f>IF(ModoFoco="Lista",IF(tProdutos[[#This Row],[Lista definida]]="Sim","Sim","Não"),IF(AND(tProdutos[[#This Row],[Editais]]&gt;=MinEditais,N(tProdutos[[#This Row],[Margem bruta]])&gt;=MargemMin),"Sim","Não"))</f>
        <v>Não</v>
      </c>
      <c r="T242" s="4" t="str">
        <f>IF(tProdutos[[#This Row],[Elegível]]="Sim",COUNTIFS(tProdutos[Elegível],"Sim",tProdutos[Valor janela],"&gt;"&amp;tProdutos[[#This Row],[Valor janela]])+1,"")</f>
        <v/>
      </c>
      <c r="U242" t="str">
        <f>IF(ModoFoco="Lista",tProdutos[[#This Row],[Elegível]],IF(AND(tProdutos[[#This Row],[Posição]]&lt;&gt;"",N(tProdutos[[#This Row],[Posição]])&lt;=TopN),"Sim","Não"))</f>
        <v>Não</v>
      </c>
    </row>
    <row r="243" spans="1:21" x14ac:dyDescent="0.25">
      <c r="A243" t="s">
        <v>601</v>
      </c>
      <c r="B243" t="s">
        <v>602</v>
      </c>
      <c r="C243" t="s">
        <v>431</v>
      </c>
      <c r="D243" s="14">
        <v>50.099024285714286</v>
      </c>
      <c r="E243" s="7">
        <v>0.85569105691056913</v>
      </c>
      <c r="F243" s="7"/>
      <c r="G243" s="15">
        <v>1.2</v>
      </c>
      <c r="H243" s="15">
        <v>0.2</v>
      </c>
      <c r="I243" t="s">
        <v>603</v>
      </c>
      <c r="J243" s="16" t="s">
        <v>66</v>
      </c>
      <c r="K243" s="15"/>
      <c r="L243" s="4">
        <f>COUNTIFS(tItens[Produto],tProdutos[[#This Row],[Produto]])</f>
        <v>0</v>
      </c>
      <c r="M243" s="4">
        <f>SUMIFS(tItens[Primeira ocorrência],tItens[Produto],tProdutos[[#This Row],[Produto]])</f>
        <v>0</v>
      </c>
      <c r="N243" s="8">
        <f>SUMIFS(tItens[Valor],tItens[Produto],tProdutos[[#This Row],[Produto]])</f>
        <v>0</v>
      </c>
      <c r="O243" s="8">
        <f>SUMIFS(tItens[Valor],tItens[Produto],tProdutos[[#This Row],[Produto]],tItens[SRP],"Sim")</f>
        <v>0</v>
      </c>
      <c r="P243" s="6">
        <f>IF(tProdutos[[#This Row],[Valor janela]]=0,0,tProdutos[[#This Row],[Valor SRP]]/tProdutos[[#This Row],[Valor janela]])</f>
        <v>0</v>
      </c>
      <c r="Q243" s="8">
        <f>tProdutos[[#This Row],[Valor janela]]*DiasMes/DiasJanela</f>
        <v>0</v>
      </c>
      <c r="R243" s="8">
        <f>tProdutos[[#This Row],[Mercado mês ref]]*(1-IF(tProdutos[[#This Row],[Desconto homologado]]="",DescontoPadrao,tProdutos[[#This Row],[Desconto homologado]]))</f>
        <v>0</v>
      </c>
      <c r="S243" t="str">
        <f>IF(ModoFoco="Lista",IF(tProdutos[[#This Row],[Lista definida]]="Sim","Sim","Não"),IF(AND(tProdutos[[#This Row],[Editais]]&gt;=MinEditais,N(tProdutos[[#This Row],[Margem bruta]])&gt;=MargemMin),"Sim","Não"))</f>
        <v>Não</v>
      </c>
      <c r="T243" s="4" t="str">
        <f>IF(tProdutos[[#This Row],[Elegível]]="Sim",COUNTIFS(tProdutos[Elegível],"Sim",tProdutos[Valor janela],"&gt;"&amp;tProdutos[[#This Row],[Valor janela]])+1,"")</f>
        <v/>
      </c>
      <c r="U243" t="str">
        <f>IF(ModoFoco="Lista",tProdutos[[#This Row],[Elegível]],IF(AND(tProdutos[[#This Row],[Posição]]&lt;&gt;"",N(tProdutos[[#This Row],[Posição]])&lt;=TopN),"Sim","Não"))</f>
        <v>Não</v>
      </c>
    </row>
    <row r="244" spans="1:21" x14ac:dyDescent="0.25">
      <c r="A244" t="s">
        <v>604</v>
      </c>
      <c r="B244" t="s">
        <v>605</v>
      </c>
      <c r="C244" t="s">
        <v>431</v>
      </c>
      <c r="D244" s="14">
        <v>50.08425857142857</v>
      </c>
      <c r="E244" s="7"/>
      <c r="F244" s="7">
        <v>0.248255084107457</v>
      </c>
      <c r="G244" s="15"/>
      <c r="H244" s="15">
        <v>0.8</v>
      </c>
      <c r="I244" t="s">
        <v>606</v>
      </c>
      <c r="J244" s="16" t="s">
        <v>66</v>
      </c>
      <c r="K244" s="15"/>
      <c r="L244" s="4">
        <f>COUNTIFS(tItens[Produto],tProdutos[[#This Row],[Produto]])</f>
        <v>0</v>
      </c>
      <c r="M244" s="4">
        <f>SUMIFS(tItens[Primeira ocorrência],tItens[Produto],tProdutos[[#This Row],[Produto]])</f>
        <v>0</v>
      </c>
      <c r="N244" s="8">
        <f>SUMIFS(tItens[Valor],tItens[Produto],tProdutos[[#This Row],[Produto]])</f>
        <v>0</v>
      </c>
      <c r="O244" s="8">
        <f>SUMIFS(tItens[Valor],tItens[Produto],tProdutos[[#This Row],[Produto]],tItens[SRP],"Sim")</f>
        <v>0</v>
      </c>
      <c r="P244" s="6">
        <f>IF(tProdutos[[#This Row],[Valor janela]]=0,0,tProdutos[[#This Row],[Valor SRP]]/tProdutos[[#This Row],[Valor janela]])</f>
        <v>0</v>
      </c>
      <c r="Q244" s="8">
        <f>tProdutos[[#This Row],[Valor janela]]*DiasMes/DiasJanela</f>
        <v>0</v>
      </c>
      <c r="R244" s="8">
        <f>tProdutos[[#This Row],[Mercado mês ref]]*(1-IF(tProdutos[[#This Row],[Desconto homologado]]="",DescontoPadrao,tProdutos[[#This Row],[Desconto homologado]]))</f>
        <v>0</v>
      </c>
      <c r="S244" t="str">
        <f>IF(ModoFoco="Lista",IF(tProdutos[[#This Row],[Lista definida]]="Sim","Sim","Não"),IF(AND(tProdutos[[#This Row],[Editais]]&gt;=MinEditais,N(tProdutos[[#This Row],[Margem bruta]])&gt;=MargemMin),"Sim","Não"))</f>
        <v>Não</v>
      </c>
      <c r="T244" s="4" t="str">
        <f>IF(tProdutos[[#This Row],[Elegível]]="Sim",COUNTIFS(tProdutos[Elegível],"Sim",tProdutos[Valor janela],"&gt;"&amp;tProdutos[[#This Row],[Valor janela]])+1,"")</f>
        <v/>
      </c>
      <c r="U244" t="str">
        <f>IF(ModoFoco="Lista",tProdutos[[#This Row],[Elegível]],IF(AND(tProdutos[[#This Row],[Posição]]&lt;&gt;"",N(tProdutos[[#This Row],[Posição]])&lt;=TopN),"Sim","Não"))</f>
        <v>Não</v>
      </c>
    </row>
    <row r="245" spans="1:21" x14ac:dyDescent="0.25">
      <c r="A245" t="s">
        <v>607</v>
      </c>
      <c r="B245" t="s">
        <v>608</v>
      </c>
      <c r="C245" t="s">
        <v>431</v>
      </c>
      <c r="D245" s="14">
        <v>49.95119714285714</v>
      </c>
      <c r="E245" s="7"/>
      <c r="F245" s="7">
        <v>0.26124207414322898</v>
      </c>
      <c r="G245" s="15"/>
      <c r="H245" s="15">
        <v>1.7</v>
      </c>
      <c r="I245" t="s">
        <v>609</v>
      </c>
      <c r="J245" s="16" t="s">
        <v>66</v>
      </c>
      <c r="K245" s="15"/>
      <c r="L245" s="4">
        <f>COUNTIFS(tItens[Produto],tProdutos[[#This Row],[Produto]])</f>
        <v>0</v>
      </c>
      <c r="M245" s="4">
        <f>SUMIFS(tItens[Primeira ocorrência],tItens[Produto],tProdutos[[#This Row],[Produto]])</f>
        <v>0</v>
      </c>
      <c r="N245" s="8">
        <f>SUMIFS(tItens[Valor],tItens[Produto],tProdutos[[#This Row],[Produto]])</f>
        <v>0</v>
      </c>
      <c r="O245" s="8">
        <f>SUMIFS(tItens[Valor],tItens[Produto],tProdutos[[#This Row],[Produto]],tItens[SRP],"Sim")</f>
        <v>0</v>
      </c>
      <c r="P245" s="6">
        <f>IF(tProdutos[[#This Row],[Valor janela]]=0,0,tProdutos[[#This Row],[Valor SRP]]/tProdutos[[#This Row],[Valor janela]])</f>
        <v>0</v>
      </c>
      <c r="Q245" s="8">
        <f>tProdutos[[#This Row],[Valor janela]]*DiasMes/DiasJanela</f>
        <v>0</v>
      </c>
      <c r="R245" s="8">
        <f>tProdutos[[#This Row],[Mercado mês ref]]*(1-IF(tProdutos[[#This Row],[Desconto homologado]]="",DescontoPadrao,tProdutos[[#This Row],[Desconto homologado]]))</f>
        <v>0</v>
      </c>
      <c r="S245" t="str">
        <f>IF(ModoFoco="Lista",IF(tProdutos[[#This Row],[Lista definida]]="Sim","Sim","Não"),IF(AND(tProdutos[[#This Row],[Editais]]&gt;=MinEditais,N(tProdutos[[#This Row],[Margem bruta]])&gt;=MargemMin),"Sim","Não"))</f>
        <v>Não</v>
      </c>
      <c r="T245" s="4" t="str">
        <f>IF(tProdutos[[#This Row],[Elegível]]="Sim",COUNTIFS(tProdutos[Elegível],"Sim",tProdutos[Valor janela],"&gt;"&amp;tProdutos[[#This Row],[Valor janela]])+1,"")</f>
        <v/>
      </c>
      <c r="U245" t="str">
        <f>IF(ModoFoco="Lista",tProdutos[[#This Row],[Elegível]],IF(AND(tProdutos[[#This Row],[Posição]]&lt;&gt;"",N(tProdutos[[#This Row],[Posição]])&lt;=TopN),"Sim","Não"))</f>
        <v>Não</v>
      </c>
    </row>
    <row r="246" spans="1:21" x14ac:dyDescent="0.25">
      <c r="A246" t="s">
        <v>610</v>
      </c>
      <c r="B246" t="s">
        <v>611</v>
      </c>
      <c r="C246" t="s">
        <v>431</v>
      </c>
      <c r="D246" s="14">
        <v>49.923195714285718</v>
      </c>
      <c r="E246" s="7">
        <v>0.30313588850174222</v>
      </c>
      <c r="F246" s="7"/>
      <c r="G246" s="15">
        <v>35</v>
      </c>
      <c r="H246" s="15">
        <v>25</v>
      </c>
      <c r="I246" t="s">
        <v>612</v>
      </c>
      <c r="J246" s="16" t="s">
        <v>66</v>
      </c>
      <c r="K246" s="15"/>
      <c r="L246" s="4">
        <f>COUNTIFS(tItens[Produto],tProdutos[[#This Row],[Produto]])</f>
        <v>29</v>
      </c>
      <c r="M246" s="4">
        <f>SUMIFS(tItens[Primeira ocorrência],tItens[Produto],tProdutos[[#This Row],[Produto]])</f>
        <v>24</v>
      </c>
      <c r="N246" s="8">
        <f>SUMIFS(tItens[Valor],tItens[Produto],tProdutos[[#This Row],[Produto]])</f>
        <v>91346.37000000001</v>
      </c>
      <c r="O246" s="8">
        <f>SUMIFS(tItens[Valor],tItens[Produto],tProdutos[[#This Row],[Produto]],tItens[SRP],"Sim")</f>
        <v>73455.77</v>
      </c>
      <c r="P246" s="6">
        <f>IF(tProdutos[[#This Row],[Valor janela]]=0,0,tProdutos[[#This Row],[Valor SRP]]/tProdutos[[#This Row],[Valor janela]])</f>
        <v>0.80414547397997316</v>
      </c>
      <c r="Q246" s="8">
        <f>tProdutos[[#This Row],[Valor janela]]*DiasMes/DiasJanela</f>
        <v>304487.90000000002</v>
      </c>
      <c r="R246" s="8">
        <f>tProdutos[[#This Row],[Mercado mês ref]]*(1-IF(tProdutos[[#This Row],[Desconto homologado]]="",DescontoPadrao,tProdutos[[#This Row],[Desconto homologado]]))</f>
        <v>213141.53</v>
      </c>
      <c r="S246" t="str">
        <f>IF(ModoFoco="Lista",IF(tProdutos[[#This Row],[Lista definida]]="Sim","Sim","Não"),IF(AND(tProdutos[[#This Row],[Editais]]&gt;=MinEditais,N(tProdutos[[#This Row],[Margem bruta]])&gt;=MargemMin),"Sim","Não"))</f>
        <v>Não</v>
      </c>
      <c r="T246" s="4" t="str">
        <f>IF(tProdutos[[#This Row],[Elegível]]="Sim",COUNTIFS(tProdutos[Elegível],"Sim",tProdutos[Valor janela],"&gt;"&amp;tProdutos[[#This Row],[Valor janela]])+1,"")</f>
        <v/>
      </c>
      <c r="U246" t="str">
        <f>IF(ModoFoco="Lista",tProdutos[[#This Row],[Elegível]],IF(AND(tProdutos[[#This Row],[Posição]]&lt;&gt;"",N(tProdutos[[#This Row],[Posição]])&lt;=TopN),"Sim","Não"))</f>
        <v>Não</v>
      </c>
    </row>
    <row r="247" spans="1:21" x14ac:dyDescent="0.25">
      <c r="A247" t="s">
        <v>613</v>
      </c>
      <c r="B247" t="s">
        <v>614</v>
      </c>
      <c r="C247" t="s">
        <v>431</v>
      </c>
      <c r="D247" s="14">
        <v>49.493581428571424</v>
      </c>
      <c r="E247" s="7">
        <v>0.91341463414634161</v>
      </c>
      <c r="F247" s="7">
        <v>0.22500000000000001</v>
      </c>
      <c r="G247" s="15">
        <v>2.5</v>
      </c>
      <c r="H247" s="15">
        <v>0.25</v>
      </c>
      <c r="I247" t="s">
        <v>615</v>
      </c>
      <c r="J247" s="16" t="s">
        <v>66</v>
      </c>
      <c r="K247" s="15"/>
      <c r="L247" s="4">
        <f>COUNTIFS(tItens[Produto],tProdutos[[#This Row],[Produto]])</f>
        <v>0</v>
      </c>
      <c r="M247" s="4">
        <f>SUMIFS(tItens[Primeira ocorrência],tItens[Produto],tProdutos[[#This Row],[Produto]])</f>
        <v>0</v>
      </c>
      <c r="N247" s="8">
        <f>SUMIFS(tItens[Valor],tItens[Produto],tProdutos[[#This Row],[Produto]])</f>
        <v>0</v>
      </c>
      <c r="O247" s="8">
        <f>SUMIFS(tItens[Valor],tItens[Produto],tProdutos[[#This Row],[Produto]],tItens[SRP],"Sim")</f>
        <v>0</v>
      </c>
      <c r="P247" s="6">
        <f>IF(tProdutos[[#This Row],[Valor janela]]=0,0,tProdutos[[#This Row],[Valor SRP]]/tProdutos[[#This Row],[Valor janela]])</f>
        <v>0</v>
      </c>
      <c r="Q247" s="8">
        <f>tProdutos[[#This Row],[Valor janela]]*DiasMes/DiasJanela</f>
        <v>0</v>
      </c>
      <c r="R247" s="8">
        <f>tProdutos[[#This Row],[Mercado mês ref]]*(1-IF(tProdutos[[#This Row],[Desconto homologado]]="",DescontoPadrao,tProdutos[[#This Row],[Desconto homologado]]))</f>
        <v>0</v>
      </c>
      <c r="S247" t="str">
        <f>IF(ModoFoco="Lista",IF(tProdutos[[#This Row],[Lista definida]]="Sim","Sim","Não"),IF(AND(tProdutos[[#This Row],[Editais]]&gt;=MinEditais,N(tProdutos[[#This Row],[Margem bruta]])&gt;=MargemMin),"Sim","Não"))</f>
        <v>Não</v>
      </c>
      <c r="T247" s="4" t="str">
        <f>IF(tProdutos[[#This Row],[Elegível]]="Sim",COUNTIFS(tProdutos[Elegível],"Sim",tProdutos[Valor janela],"&gt;"&amp;tProdutos[[#This Row],[Valor janela]])+1,"")</f>
        <v/>
      </c>
      <c r="U247" t="str">
        <f>IF(ModoFoco="Lista",tProdutos[[#This Row],[Elegível]],IF(AND(tProdutos[[#This Row],[Posição]]&lt;&gt;"",N(tProdutos[[#This Row],[Posição]])&lt;=TopN),"Sim","Não"))</f>
        <v>Não</v>
      </c>
    </row>
    <row r="248" spans="1:21" x14ac:dyDescent="0.25">
      <c r="A248" t="s">
        <v>616</v>
      </c>
      <c r="B248" t="s">
        <v>617</v>
      </c>
      <c r="C248" t="s">
        <v>431</v>
      </c>
      <c r="D248" s="14">
        <v>49.361928571428571</v>
      </c>
      <c r="E248" s="7">
        <v>0.84607046070460701</v>
      </c>
      <c r="F248" s="7"/>
      <c r="G248" s="15">
        <v>9</v>
      </c>
      <c r="H248" s="15">
        <v>1.6</v>
      </c>
      <c r="I248" t="s">
        <v>618</v>
      </c>
      <c r="J248" s="16" t="s">
        <v>66</v>
      </c>
      <c r="K248" s="15"/>
      <c r="L248" s="4">
        <f>COUNTIFS(tItens[Produto],tProdutos[[#This Row],[Produto]])</f>
        <v>0</v>
      </c>
      <c r="M248" s="4">
        <f>SUMIFS(tItens[Primeira ocorrência],tItens[Produto],tProdutos[[#This Row],[Produto]])</f>
        <v>0</v>
      </c>
      <c r="N248" s="8">
        <f>SUMIFS(tItens[Valor],tItens[Produto],tProdutos[[#This Row],[Produto]])</f>
        <v>0</v>
      </c>
      <c r="O248" s="8">
        <f>SUMIFS(tItens[Valor],tItens[Produto],tProdutos[[#This Row],[Produto]],tItens[SRP],"Sim")</f>
        <v>0</v>
      </c>
      <c r="P248" s="6">
        <f>IF(tProdutos[[#This Row],[Valor janela]]=0,0,tProdutos[[#This Row],[Valor SRP]]/tProdutos[[#This Row],[Valor janela]])</f>
        <v>0</v>
      </c>
      <c r="Q248" s="8">
        <f>tProdutos[[#This Row],[Valor janela]]*DiasMes/DiasJanela</f>
        <v>0</v>
      </c>
      <c r="R248" s="8">
        <f>tProdutos[[#This Row],[Mercado mês ref]]*(1-IF(tProdutos[[#This Row],[Desconto homologado]]="",DescontoPadrao,tProdutos[[#This Row],[Desconto homologado]]))</f>
        <v>0</v>
      </c>
      <c r="S248" t="str">
        <f>IF(ModoFoco="Lista",IF(tProdutos[[#This Row],[Lista definida]]="Sim","Sim","Não"),IF(AND(tProdutos[[#This Row],[Editais]]&gt;=MinEditais,N(tProdutos[[#This Row],[Margem bruta]])&gt;=MargemMin),"Sim","Não"))</f>
        <v>Não</v>
      </c>
      <c r="T248" s="4" t="str">
        <f>IF(tProdutos[[#This Row],[Elegível]]="Sim",COUNTIFS(tProdutos[Elegível],"Sim",tProdutos[Valor janela],"&gt;"&amp;tProdutos[[#This Row],[Valor janela]])+1,"")</f>
        <v/>
      </c>
      <c r="U248" t="str">
        <f>IF(ModoFoco="Lista",tProdutos[[#This Row],[Elegível]],IF(AND(tProdutos[[#This Row],[Posição]]&lt;&gt;"",N(tProdutos[[#This Row],[Posição]])&lt;=TopN),"Sim","Não"))</f>
        <v>Não</v>
      </c>
    </row>
    <row r="249" spans="1:21" x14ac:dyDescent="0.25">
      <c r="A249" t="s">
        <v>619</v>
      </c>
      <c r="B249" t="s">
        <v>620</v>
      </c>
      <c r="C249" t="s">
        <v>431</v>
      </c>
      <c r="D249" s="14">
        <v>49.127595714285718</v>
      </c>
      <c r="E249" s="7"/>
      <c r="F249" s="7"/>
      <c r="G249" s="15"/>
      <c r="H249" s="15">
        <v>0.1</v>
      </c>
      <c r="I249" t="s">
        <v>621</v>
      </c>
      <c r="J249" s="16" t="s">
        <v>66</v>
      </c>
      <c r="K249" s="15"/>
      <c r="L249" s="4">
        <f>COUNTIFS(tItens[Produto],tProdutos[[#This Row],[Produto]])</f>
        <v>1</v>
      </c>
      <c r="M249" s="4">
        <f>SUMIFS(tItens[Primeira ocorrência],tItens[Produto],tProdutos[[#This Row],[Produto]])</f>
        <v>1</v>
      </c>
      <c r="N249" s="8">
        <f>SUMIFS(tItens[Valor],tItens[Produto],tProdutos[[#This Row],[Produto]])</f>
        <v>2057.4</v>
      </c>
      <c r="O249" s="8">
        <f>SUMIFS(tItens[Valor],tItens[Produto],tProdutos[[#This Row],[Produto]],tItens[SRP],"Sim")</f>
        <v>2057.4</v>
      </c>
      <c r="P249" s="6">
        <f>IF(tProdutos[[#This Row],[Valor janela]]=0,0,tProdutos[[#This Row],[Valor SRP]]/tProdutos[[#This Row],[Valor janela]])</f>
        <v>1</v>
      </c>
      <c r="Q249" s="8">
        <f>tProdutos[[#This Row],[Valor janela]]*DiasMes/DiasJanela</f>
        <v>6858</v>
      </c>
      <c r="R249" s="8">
        <f>tProdutos[[#This Row],[Mercado mês ref]]*(1-IF(tProdutos[[#This Row],[Desconto homologado]]="",DescontoPadrao,tProdutos[[#This Row],[Desconto homologado]]))</f>
        <v>4800.5999999999995</v>
      </c>
      <c r="S249" t="str">
        <f>IF(ModoFoco="Lista",IF(tProdutos[[#This Row],[Lista definida]]="Sim","Sim","Não"),IF(AND(tProdutos[[#This Row],[Editais]]&gt;=MinEditais,N(tProdutos[[#This Row],[Margem bruta]])&gt;=MargemMin),"Sim","Não"))</f>
        <v>Não</v>
      </c>
      <c r="T249" s="4" t="str">
        <f>IF(tProdutos[[#This Row],[Elegível]]="Sim",COUNTIFS(tProdutos[Elegível],"Sim",tProdutos[Valor janela],"&gt;"&amp;tProdutos[[#This Row],[Valor janela]])+1,"")</f>
        <v/>
      </c>
      <c r="U249" t="str">
        <f>IF(ModoFoco="Lista",tProdutos[[#This Row],[Elegível]],IF(AND(tProdutos[[#This Row],[Posição]]&lt;&gt;"",N(tProdutos[[#This Row],[Posição]])&lt;=TopN),"Sim","Não"))</f>
        <v>Não</v>
      </c>
    </row>
    <row r="250" spans="1:21" x14ac:dyDescent="0.25">
      <c r="A250" t="s">
        <v>622</v>
      </c>
      <c r="B250" t="s">
        <v>623</v>
      </c>
      <c r="C250" t="s">
        <v>431</v>
      </c>
      <c r="D250" s="14">
        <v>49.127595714285718</v>
      </c>
      <c r="E250" s="7">
        <v>0.80758807588075887</v>
      </c>
      <c r="F250" s="7"/>
      <c r="G250" s="15">
        <v>9</v>
      </c>
      <c r="H250" s="15">
        <v>2</v>
      </c>
      <c r="I250" t="s">
        <v>624</v>
      </c>
      <c r="J250" s="16" t="s">
        <v>66</v>
      </c>
      <c r="K250" s="15"/>
      <c r="L250" s="4">
        <f>COUNTIFS(tItens[Produto],tProdutos[[#This Row],[Produto]])</f>
        <v>0</v>
      </c>
      <c r="M250" s="4">
        <f>SUMIFS(tItens[Primeira ocorrência],tItens[Produto],tProdutos[[#This Row],[Produto]])</f>
        <v>0</v>
      </c>
      <c r="N250" s="8">
        <f>SUMIFS(tItens[Valor],tItens[Produto],tProdutos[[#This Row],[Produto]])</f>
        <v>0</v>
      </c>
      <c r="O250" s="8">
        <f>SUMIFS(tItens[Valor],tItens[Produto],tProdutos[[#This Row],[Produto]],tItens[SRP],"Sim")</f>
        <v>0</v>
      </c>
      <c r="P250" s="6">
        <f>IF(tProdutos[[#This Row],[Valor janela]]=0,0,tProdutos[[#This Row],[Valor SRP]]/tProdutos[[#This Row],[Valor janela]])</f>
        <v>0</v>
      </c>
      <c r="Q250" s="8">
        <f>tProdutos[[#This Row],[Valor janela]]*DiasMes/DiasJanela</f>
        <v>0</v>
      </c>
      <c r="R250" s="8">
        <f>tProdutos[[#This Row],[Mercado mês ref]]*(1-IF(tProdutos[[#This Row],[Desconto homologado]]="",DescontoPadrao,tProdutos[[#This Row],[Desconto homologado]]))</f>
        <v>0</v>
      </c>
      <c r="S250" t="str">
        <f>IF(ModoFoco="Lista",IF(tProdutos[[#This Row],[Lista definida]]="Sim","Sim","Não"),IF(AND(tProdutos[[#This Row],[Editais]]&gt;=MinEditais,N(tProdutos[[#This Row],[Margem bruta]])&gt;=MargemMin),"Sim","Não"))</f>
        <v>Não</v>
      </c>
      <c r="T250" s="4" t="str">
        <f>IF(tProdutos[[#This Row],[Elegível]]="Sim",COUNTIFS(tProdutos[Elegível],"Sim",tProdutos[Valor janela],"&gt;"&amp;tProdutos[[#This Row],[Valor janela]])+1,"")</f>
        <v/>
      </c>
      <c r="U250" t="str">
        <f>IF(ModoFoco="Lista",tProdutos[[#This Row],[Elegível]],IF(AND(tProdutos[[#This Row],[Posição]]&lt;&gt;"",N(tProdutos[[#This Row],[Posição]])&lt;=TopN),"Sim","Não"))</f>
        <v>Não</v>
      </c>
    </row>
    <row r="251" spans="1:21" x14ac:dyDescent="0.25">
      <c r="A251" t="s">
        <v>625</v>
      </c>
      <c r="B251" t="s">
        <v>626</v>
      </c>
      <c r="C251" t="s">
        <v>431</v>
      </c>
      <c r="D251" s="14">
        <v>49.127595714285718</v>
      </c>
      <c r="E251" s="7">
        <v>0.826829268292683</v>
      </c>
      <c r="F251" s="7"/>
      <c r="G251" s="15">
        <v>2</v>
      </c>
      <c r="H251" s="15">
        <v>0.4</v>
      </c>
      <c r="I251" t="s">
        <v>627</v>
      </c>
      <c r="J251" s="16" t="s">
        <v>66</v>
      </c>
      <c r="K251" s="15"/>
      <c r="L251" s="4">
        <f>COUNTIFS(tItens[Produto],tProdutos[[#This Row],[Produto]])</f>
        <v>0</v>
      </c>
      <c r="M251" s="4">
        <f>SUMIFS(tItens[Primeira ocorrência],tItens[Produto],tProdutos[[#This Row],[Produto]])</f>
        <v>0</v>
      </c>
      <c r="N251" s="8">
        <f>SUMIFS(tItens[Valor],tItens[Produto],tProdutos[[#This Row],[Produto]])</f>
        <v>0</v>
      </c>
      <c r="O251" s="8">
        <f>SUMIFS(tItens[Valor],tItens[Produto],tProdutos[[#This Row],[Produto]],tItens[SRP],"Sim")</f>
        <v>0</v>
      </c>
      <c r="P251" s="6">
        <f>IF(tProdutos[[#This Row],[Valor janela]]=0,0,tProdutos[[#This Row],[Valor SRP]]/tProdutos[[#This Row],[Valor janela]])</f>
        <v>0</v>
      </c>
      <c r="Q251" s="8">
        <f>tProdutos[[#This Row],[Valor janela]]*DiasMes/DiasJanela</f>
        <v>0</v>
      </c>
      <c r="R251" s="8">
        <f>tProdutos[[#This Row],[Mercado mês ref]]*(1-IF(tProdutos[[#This Row],[Desconto homologado]]="",DescontoPadrao,tProdutos[[#This Row],[Desconto homologado]]))</f>
        <v>0</v>
      </c>
      <c r="S251" t="str">
        <f>IF(ModoFoco="Lista",IF(tProdutos[[#This Row],[Lista definida]]="Sim","Sim","Não"),IF(AND(tProdutos[[#This Row],[Editais]]&gt;=MinEditais,N(tProdutos[[#This Row],[Margem bruta]])&gt;=MargemMin),"Sim","Não"))</f>
        <v>Não</v>
      </c>
      <c r="T251" s="4" t="str">
        <f>IF(tProdutos[[#This Row],[Elegível]]="Sim",COUNTIFS(tProdutos[Elegível],"Sim",tProdutos[Valor janela],"&gt;"&amp;tProdutos[[#This Row],[Valor janela]])+1,"")</f>
        <v/>
      </c>
      <c r="U251" t="str">
        <f>IF(ModoFoco="Lista",tProdutos[[#This Row],[Elegível]],IF(AND(tProdutos[[#This Row],[Posição]]&lt;&gt;"",N(tProdutos[[#This Row],[Posição]])&lt;=TopN),"Sim","Não"))</f>
        <v>Não</v>
      </c>
    </row>
    <row r="252" spans="1:21" x14ac:dyDescent="0.25">
      <c r="A252" t="s">
        <v>628</v>
      </c>
      <c r="B252" t="s">
        <v>629</v>
      </c>
      <c r="C252" t="s">
        <v>431</v>
      </c>
      <c r="D252" s="14">
        <v>49.127595714285718</v>
      </c>
      <c r="E252" s="7">
        <v>0.87804878048780488</v>
      </c>
      <c r="F252" s="7"/>
      <c r="G252" s="15">
        <v>0.4</v>
      </c>
      <c r="H252" s="15">
        <v>0.05</v>
      </c>
      <c r="I252" t="s">
        <v>630</v>
      </c>
      <c r="J252" s="16" t="s">
        <v>66</v>
      </c>
      <c r="K252" s="15"/>
      <c r="L252" s="4">
        <f>COUNTIFS(tItens[Produto],tProdutos[[#This Row],[Produto]])</f>
        <v>0</v>
      </c>
      <c r="M252" s="4">
        <f>SUMIFS(tItens[Primeira ocorrência],tItens[Produto],tProdutos[[#This Row],[Produto]])</f>
        <v>0</v>
      </c>
      <c r="N252" s="8">
        <f>SUMIFS(tItens[Valor],tItens[Produto],tProdutos[[#This Row],[Produto]])</f>
        <v>0</v>
      </c>
      <c r="O252" s="8">
        <f>SUMIFS(tItens[Valor],tItens[Produto],tProdutos[[#This Row],[Produto]],tItens[SRP],"Sim")</f>
        <v>0</v>
      </c>
      <c r="P252" s="6">
        <f>IF(tProdutos[[#This Row],[Valor janela]]=0,0,tProdutos[[#This Row],[Valor SRP]]/tProdutos[[#This Row],[Valor janela]])</f>
        <v>0</v>
      </c>
      <c r="Q252" s="8">
        <f>tProdutos[[#This Row],[Valor janela]]*DiasMes/DiasJanela</f>
        <v>0</v>
      </c>
      <c r="R252" s="8">
        <f>tProdutos[[#This Row],[Mercado mês ref]]*(1-IF(tProdutos[[#This Row],[Desconto homologado]]="",DescontoPadrao,tProdutos[[#This Row],[Desconto homologado]]))</f>
        <v>0</v>
      </c>
      <c r="S252" t="str">
        <f>IF(ModoFoco="Lista",IF(tProdutos[[#This Row],[Lista definida]]="Sim","Sim","Não"),IF(AND(tProdutos[[#This Row],[Editais]]&gt;=MinEditais,N(tProdutos[[#This Row],[Margem bruta]])&gt;=MargemMin),"Sim","Não"))</f>
        <v>Não</v>
      </c>
      <c r="T252" s="4" t="str">
        <f>IF(tProdutos[[#This Row],[Elegível]]="Sim",COUNTIFS(tProdutos[Elegível],"Sim",tProdutos[Valor janela],"&gt;"&amp;tProdutos[[#This Row],[Valor janela]])+1,"")</f>
        <v/>
      </c>
      <c r="U252" t="str">
        <f>IF(ModoFoco="Lista",tProdutos[[#This Row],[Elegível]],IF(AND(tProdutos[[#This Row],[Posição]]&lt;&gt;"",N(tProdutos[[#This Row],[Posição]])&lt;=TopN),"Sim","Não"))</f>
        <v>Não</v>
      </c>
    </row>
    <row r="253" spans="1:21" x14ac:dyDescent="0.25">
      <c r="A253" t="s">
        <v>631</v>
      </c>
      <c r="B253" t="s">
        <v>632</v>
      </c>
      <c r="C253" t="s">
        <v>431</v>
      </c>
      <c r="D253" s="14">
        <v>48.64188142857143</v>
      </c>
      <c r="E253" s="7">
        <v>0.86146341463414633</v>
      </c>
      <c r="F253" s="7"/>
      <c r="G253" s="15">
        <v>25</v>
      </c>
      <c r="H253" s="15">
        <v>4</v>
      </c>
      <c r="I253" t="s">
        <v>633</v>
      </c>
      <c r="J253" s="16" t="s">
        <v>66</v>
      </c>
      <c r="K253" s="15"/>
      <c r="L253" s="4">
        <f>COUNTIFS(tItens[Produto],tProdutos[[#This Row],[Produto]])</f>
        <v>0</v>
      </c>
      <c r="M253" s="4">
        <f>SUMIFS(tItens[Primeira ocorrência],tItens[Produto],tProdutos[[#This Row],[Produto]])</f>
        <v>0</v>
      </c>
      <c r="N253" s="8">
        <f>SUMIFS(tItens[Valor],tItens[Produto],tProdutos[[#This Row],[Produto]])</f>
        <v>0</v>
      </c>
      <c r="O253" s="8">
        <f>SUMIFS(tItens[Valor],tItens[Produto],tProdutos[[#This Row],[Produto]],tItens[SRP],"Sim")</f>
        <v>0</v>
      </c>
      <c r="P253" s="6">
        <f>IF(tProdutos[[#This Row],[Valor janela]]=0,0,tProdutos[[#This Row],[Valor SRP]]/tProdutos[[#This Row],[Valor janela]])</f>
        <v>0</v>
      </c>
      <c r="Q253" s="8">
        <f>tProdutos[[#This Row],[Valor janela]]*DiasMes/DiasJanela</f>
        <v>0</v>
      </c>
      <c r="R253" s="8">
        <f>tProdutos[[#This Row],[Mercado mês ref]]*(1-IF(tProdutos[[#This Row],[Desconto homologado]]="",DescontoPadrao,tProdutos[[#This Row],[Desconto homologado]]))</f>
        <v>0</v>
      </c>
      <c r="S253" t="str">
        <f>IF(ModoFoco="Lista",IF(tProdutos[[#This Row],[Lista definida]]="Sim","Sim","Não"),IF(AND(tProdutos[[#This Row],[Editais]]&gt;=MinEditais,N(tProdutos[[#This Row],[Margem bruta]])&gt;=MargemMin),"Sim","Não"))</f>
        <v>Não</v>
      </c>
      <c r="T253" s="4" t="str">
        <f>IF(tProdutos[[#This Row],[Elegível]]="Sim",COUNTIFS(tProdutos[Elegível],"Sim",tProdutos[Valor janela],"&gt;"&amp;tProdutos[[#This Row],[Valor janela]])+1,"")</f>
        <v/>
      </c>
      <c r="U253" t="str">
        <f>IF(ModoFoco="Lista",tProdutos[[#This Row],[Elegível]],IF(AND(tProdutos[[#This Row],[Posição]]&lt;&gt;"",N(tProdutos[[#This Row],[Posição]])&lt;=TopN),"Sim","Não"))</f>
        <v>Não</v>
      </c>
    </row>
    <row r="254" spans="1:21" x14ac:dyDescent="0.25">
      <c r="A254" t="s">
        <v>634</v>
      </c>
      <c r="B254" t="s">
        <v>635</v>
      </c>
      <c r="C254" t="s">
        <v>431</v>
      </c>
      <c r="D254" s="14">
        <v>47.265731428571428</v>
      </c>
      <c r="E254" s="7"/>
      <c r="F254" s="7"/>
      <c r="G254" s="15"/>
      <c r="H254" s="15">
        <v>3</v>
      </c>
      <c r="I254" t="s">
        <v>636</v>
      </c>
      <c r="J254" s="16" t="s">
        <v>66</v>
      </c>
      <c r="K254" s="15"/>
      <c r="L254" s="4">
        <f>COUNTIFS(tItens[Produto],tProdutos[[#This Row],[Produto]])</f>
        <v>0</v>
      </c>
      <c r="M254" s="4">
        <f>SUMIFS(tItens[Primeira ocorrência],tItens[Produto],tProdutos[[#This Row],[Produto]])</f>
        <v>0</v>
      </c>
      <c r="N254" s="8">
        <f>SUMIFS(tItens[Valor],tItens[Produto],tProdutos[[#This Row],[Produto]])</f>
        <v>0</v>
      </c>
      <c r="O254" s="8">
        <f>SUMIFS(tItens[Valor],tItens[Produto],tProdutos[[#This Row],[Produto]],tItens[SRP],"Sim")</f>
        <v>0</v>
      </c>
      <c r="P254" s="6">
        <f>IF(tProdutos[[#This Row],[Valor janela]]=0,0,tProdutos[[#This Row],[Valor SRP]]/tProdutos[[#This Row],[Valor janela]])</f>
        <v>0</v>
      </c>
      <c r="Q254" s="8">
        <f>tProdutos[[#This Row],[Valor janela]]*DiasMes/DiasJanela</f>
        <v>0</v>
      </c>
      <c r="R254" s="8">
        <f>tProdutos[[#This Row],[Mercado mês ref]]*(1-IF(tProdutos[[#This Row],[Desconto homologado]]="",DescontoPadrao,tProdutos[[#This Row],[Desconto homologado]]))</f>
        <v>0</v>
      </c>
      <c r="S254" t="str">
        <f>IF(ModoFoco="Lista",IF(tProdutos[[#This Row],[Lista definida]]="Sim","Sim","Não"),IF(AND(tProdutos[[#This Row],[Editais]]&gt;=MinEditais,N(tProdutos[[#This Row],[Margem bruta]])&gt;=MargemMin),"Sim","Não"))</f>
        <v>Não</v>
      </c>
      <c r="T254" s="4" t="str">
        <f>IF(tProdutos[[#This Row],[Elegível]]="Sim",COUNTIFS(tProdutos[Elegível],"Sim",tProdutos[Valor janela],"&gt;"&amp;tProdutos[[#This Row],[Valor janela]])+1,"")</f>
        <v/>
      </c>
      <c r="U254" t="str">
        <f>IF(ModoFoco="Lista",tProdutos[[#This Row],[Elegível]],IF(AND(tProdutos[[#This Row],[Posição]]&lt;&gt;"",N(tProdutos[[#This Row],[Posição]])&lt;=TopN),"Sim","Não"))</f>
        <v>Não</v>
      </c>
    </row>
    <row r="255" spans="1:21" x14ac:dyDescent="0.25">
      <c r="A255" t="s">
        <v>637</v>
      </c>
      <c r="B255" t="s">
        <v>638</v>
      </c>
      <c r="C255" t="s">
        <v>431</v>
      </c>
      <c r="D255" s="14">
        <v>47.206304285714282</v>
      </c>
      <c r="E255" s="7"/>
      <c r="F255" s="7">
        <v>0.487179487179487</v>
      </c>
      <c r="G255" s="15"/>
      <c r="H255" s="15">
        <v>2.5</v>
      </c>
      <c r="I255" t="s">
        <v>639</v>
      </c>
      <c r="J255" s="16" t="s">
        <v>66</v>
      </c>
      <c r="K255" s="15"/>
      <c r="L255" s="4">
        <f>COUNTIFS(tItens[Produto],tProdutos[[#This Row],[Produto]])</f>
        <v>19</v>
      </c>
      <c r="M255" s="4">
        <f>SUMIFS(tItens[Primeira ocorrência],tItens[Produto],tProdutos[[#This Row],[Produto]])</f>
        <v>15</v>
      </c>
      <c r="N255" s="8">
        <f>SUMIFS(tItens[Valor],tItens[Produto],tProdutos[[#This Row],[Produto]])</f>
        <v>55514.64</v>
      </c>
      <c r="O255" s="8">
        <f>SUMIFS(tItens[Valor],tItens[Produto],tProdutos[[#This Row],[Produto]],tItens[SRP],"Sim")</f>
        <v>17100.740000000002</v>
      </c>
      <c r="P255" s="6">
        <f>IF(tProdutos[[#This Row],[Valor janela]]=0,0,tProdutos[[#This Row],[Valor SRP]]/tProdutos[[#This Row],[Valor janela]])</f>
        <v>0.30804018543576978</v>
      </c>
      <c r="Q255" s="8">
        <f>tProdutos[[#This Row],[Valor janela]]*DiasMes/DiasJanela</f>
        <v>185048.80000000002</v>
      </c>
      <c r="R255" s="8">
        <f>tProdutos[[#This Row],[Mercado mês ref]]*(1-IF(tProdutos[[#This Row],[Desconto homologado]]="",DescontoPadrao,tProdutos[[#This Row],[Desconto homologado]]))</f>
        <v>94896.820512820559</v>
      </c>
      <c r="S255" t="str">
        <f>IF(ModoFoco="Lista",IF(tProdutos[[#This Row],[Lista definida]]="Sim","Sim","Não"),IF(AND(tProdutos[[#This Row],[Editais]]&gt;=MinEditais,N(tProdutos[[#This Row],[Margem bruta]])&gt;=MargemMin),"Sim","Não"))</f>
        <v>Não</v>
      </c>
      <c r="T255" s="4" t="str">
        <f>IF(tProdutos[[#This Row],[Elegível]]="Sim",COUNTIFS(tProdutos[Elegível],"Sim",tProdutos[Valor janela],"&gt;"&amp;tProdutos[[#This Row],[Valor janela]])+1,"")</f>
        <v/>
      </c>
      <c r="U255" t="str">
        <f>IF(ModoFoco="Lista",tProdutos[[#This Row],[Elegível]],IF(AND(tProdutos[[#This Row],[Posição]]&lt;&gt;"",N(tProdutos[[#This Row],[Posição]])&lt;=TopN),"Sim","Não"))</f>
        <v>Não</v>
      </c>
    </row>
    <row r="256" spans="1:21" x14ac:dyDescent="0.25">
      <c r="A256" t="s">
        <v>640</v>
      </c>
      <c r="B256" t="s">
        <v>641</v>
      </c>
      <c r="C256" t="s">
        <v>431</v>
      </c>
      <c r="D256" s="14">
        <v>46.699024285714287</v>
      </c>
      <c r="E256" s="7">
        <v>0.34959349593495925</v>
      </c>
      <c r="F256" s="7"/>
      <c r="G256" s="15">
        <v>12</v>
      </c>
      <c r="H256" s="15">
        <v>8</v>
      </c>
      <c r="I256" t="s">
        <v>642</v>
      </c>
      <c r="J256" s="16" t="s">
        <v>66</v>
      </c>
      <c r="K256" s="15"/>
      <c r="L256" s="4">
        <f>COUNTIFS(tItens[Produto],tProdutos[[#This Row],[Produto]])</f>
        <v>36</v>
      </c>
      <c r="M256" s="4">
        <f>SUMIFS(tItens[Primeira ocorrência],tItens[Produto],tProdutos[[#This Row],[Produto]])</f>
        <v>34</v>
      </c>
      <c r="N256" s="8">
        <f>SUMIFS(tItens[Valor],tItens[Produto],tProdutos[[#This Row],[Produto]])</f>
        <v>75879.710000000006</v>
      </c>
      <c r="O256" s="8">
        <f>SUMIFS(tItens[Valor],tItens[Produto],tProdutos[[#This Row],[Produto]],tItens[SRP],"Sim")</f>
        <v>65019.719999999994</v>
      </c>
      <c r="P256" s="6">
        <f>IF(tProdutos[[#This Row],[Valor janela]]=0,0,tProdutos[[#This Row],[Valor SRP]]/tProdutos[[#This Row],[Valor janela]])</f>
        <v>0.85687886788180911</v>
      </c>
      <c r="Q256" s="8">
        <f>tProdutos[[#This Row],[Valor janela]]*DiasMes/DiasJanela</f>
        <v>252932.3666666667</v>
      </c>
      <c r="R256" s="8">
        <f>tProdutos[[#This Row],[Mercado mês ref]]*(1-IF(tProdutos[[#This Row],[Desconto homologado]]="",DescontoPadrao,tProdutos[[#This Row],[Desconto homologado]]))</f>
        <v>177052.65666666668</v>
      </c>
      <c r="S256" t="str">
        <f>IF(ModoFoco="Lista",IF(tProdutos[[#This Row],[Lista definida]]="Sim","Sim","Não"),IF(AND(tProdutos[[#This Row],[Editais]]&gt;=MinEditais,N(tProdutos[[#This Row],[Margem bruta]])&gt;=MargemMin),"Sim","Não"))</f>
        <v>Não</v>
      </c>
      <c r="T256" s="4" t="str">
        <f>IF(tProdutos[[#This Row],[Elegível]]="Sim",COUNTIFS(tProdutos[Elegível],"Sim",tProdutos[Valor janela],"&gt;"&amp;tProdutos[[#This Row],[Valor janela]])+1,"")</f>
        <v/>
      </c>
      <c r="U256" t="str">
        <f>IF(ModoFoco="Lista",tProdutos[[#This Row],[Elegível]],IF(AND(tProdutos[[#This Row],[Posição]]&lt;&gt;"",N(tProdutos[[#This Row],[Posição]])&lt;=TopN),"Sim","Não"))</f>
        <v>Não</v>
      </c>
    </row>
    <row r="257" spans="1:21" x14ac:dyDescent="0.25">
      <c r="A257" t="s">
        <v>643</v>
      </c>
      <c r="B257" t="s">
        <v>644</v>
      </c>
      <c r="C257" t="s">
        <v>431</v>
      </c>
      <c r="D257" s="14">
        <v>45.496079999999999</v>
      </c>
      <c r="E257" s="7"/>
      <c r="F257" s="7">
        <v>0.232056709658364</v>
      </c>
      <c r="G257" s="15"/>
      <c r="H257" s="15">
        <v>4.5</v>
      </c>
      <c r="I257" t="s">
        <v>645</v>
      </c>
      <c r="J257" s="16" t="s">
        <v>66</v>
      </c>
      <c r="K257" s="15"/>
      <c r="L257" s="4">
        <f>COUNTIFS(tItens[Produto],tProdutos[[#This Row],[Produto]])</f>
        <v>0</v>
      </c>
      <c r="M257" s="4">
        <f>SUMIFS(tItens[Primeira ocorrência],tItens[Produto],tProdutos[[#This Row],[Produto]])</f>
        <v>0</v>
      </c>
      <c r="N257" s="8">
        <f>SUMIFS(tItens[Valor],tItens[Produto],tProdutos[[#This Row],[Produto]])</f>
        <v>0</v>
      </c>
      <c r="O257" s="8">
        <f>SUMIFS(tItens[Valor],tItens[Produto],tProdutos[[#This Row],[Produto]],tItens[SRP],"Sim")</f>
        <v>0</v>
      </c>
      <c r="P257" s="6">
        <f>IF(tProdutos[[#This Row],[Valor janela]]=0,0,tProdutos[[#This Row],[Valor SRP]]/tProdutos[[#This Row],[Valor janela]])</f>
        <v>0</v>
      </c>
      <c r="Q257" s="8">
        <f>tProdutos[[#This Row],[Valor janela]]*DiasMes/DiasJanela</f>
        <v>0</v>
      </c>
      <c r="R257" s="8">
        <f>tProdutos[[#This Row],[Mercado mês ref]]*(1-IF(tProdutos[[#This Row],[Desconto homologado]]="",DescontoPadrao,tProdutos[[#This Row],[Desconto homologado]]))</f>
        <v>0</v>
      </c>
      <c r="S257" t="str">
        <f>IF(ModoFoco="Lista",IF(tProdutos[[#This Row],[Lista definida]]="Sim","Sim","Não"),IF(AND(tProdutos[[#This Row],[Editais]]&gt;=MinEditais,N(tProdutos[[#This Row],[Margem bruta]])&gt;=MargemMin),"Sim","Não"))</f>
        <v>Não</v>
      </c>
      <c r="T257" s="4" t="str">
        <f>IF(tProdutos[[#This Row],[Elegível]]="Sim",COUNTIFS(tProdutos[Elegível],"Sim",tProdutos[Valor janela],"&gt;"&amp;tProdutos[[#This Row],[Valor janela]])+1,"")</f>
        <v/>
      </c>
      <c r="U257" t="str">
        <f>IF(ModoFoco="Lista",tProdutos[[#This Row],[Elegível]],IF(AND(tProdutos[[#This Row],[Posição]]&lt;&gt;"",N(tProdutos[[#This Row],[Posição]])&lt;=TopN),"Sim","Não"))</f>
        <v>Não</v>
      </c>
    </row>
    <row r="258" spans="1:21" x14ac:dyDescent="0.25">
      <c r="A258" t="s">
        <v>646</v>
      </c>
      <c r="B258" t="s">
        <v>647</v>
      </c>
      <c r="C258" t="s">
        <v>431</v>
      </c>
      <c r="D258" s="14">
        <v>45.285498571428569</v>
      </c>
      <c r="E258" s="7"/>
      <c r="F258" s="7">
        <v>0.130234325738454</v>
      </c>
      <c r="G258" s="15"/>
      <c r="H258" s="15">
        <v>25</v>
      </c>
      <c r="I258" t="s">
        <v>648</v>
      </c>
      <c r="J258" s="16" t="s">
        <v>66</v>
      </c>
      <c r="K258" s="15"/>
      <c r="L258" s="4">
        <f>COUNTIFS(tItens[Produto],tProdutos[[#This Row],[Produto]])</f>
        <v>1</v>
      </c>
      <c r="M258" s="4">
        <f>SUMIFS(tItens[Primeira ocorrência],tItens[Produto],tProdutos[[#This Row],[Produto]])</f>
        <v>1</v>
      </c>
      <c r="N258" s="8">
        <f>SUMIFS(tItens[Valor],tItens[Produto],tProdutos[[#This Row],[Produto]])</f>
        <v>530.15</v>
      </c>
      <c r="O258" s="8">
        <f>SUMIFS(tItens[Valor],tItens[Produto],tProdutos[[#This Row],[Produto]],tItens[SRP],"Sim")</f>
        <v>530.15</v>
      </c>
      <c r="P258" s="6">
        <f>IF(tProdutos[[#This Row],[Valor janela]]=0,0,tProdutos[[#This Row],[Valor SRP]]/tProdutos[[#This Row],[Valor janela]])</f>
        <v>1</v>
      </c>
      <c r="Q258" s="8">
        <f>tProdutos[[#This Row],[Valor janela]]*DiasMes/DiasJanela</f>
        <v>1767.1666666666667</v>
      </c>
      <c r="R258" s="8">
        <f>tProdutos[[#This Row],[Mercado mês ref]]*(1-IF(tProdutos[[#This Row],[Desconto homologado]]="",DescontoPadrao,tProdutos[[#This Row],[Desconto homologado]]))</f>
        <v>1537.0209073658623</v>
      </c>
      <c r="S258" t="str">
        <f>IF(ModoFoco="Lista",IF(tProdutos[[#This Row],[Lista definida]]="Sim","Sim","Não"),IF(AND(tProdutos[[#This Row],[Editais]]&gt;=MinEditais,N(tProdutos[[#This Row],[Margem bruta]])&gt;=MargemMin),"Sim","Não"))</f>
        <v>Não</v>
      </c>
      <c r="T258" s="4" t="str">
        <f>IF(tProdutos[[#This Row],[Elegível]]="Sim",COUNTIFS(tProdutos[Elegível],"Sim",tProdutos[Valor janela],"&gt;"&amp;tProdutos[[#This Row],[Valor janela]])+1,"")</f>
        <v/>
      </c>
      <c r="U258" t="str">
        <f>IF(ModoFoco="Lista",tProdutos[[#This Row],[Elegível]],IF(AND(tProdutos[[#This Row],[Posição]]&lt;&gt;"",N(tProdutos[[#This Row],[Posição]])&lt;=TopN),"Sim","Não"))</f>
        <v>Não</v>
      </c>
    </row>
    <row r="259" spans="1:21" x14ac:dyDescent="0.25">
      <c r="A259" t="s">
        <v>649</v>
      </c>
      <c r="B259" t="s">
        <v>650</v>
      </c>
      <c r="C259" t="s">
        <v>431</v>
      </c>
      <c r="D259" s="14">
        <v>45.241881428571432</v>
      </c>
      <c r="E259" s="7">
        <v>0.89609756097560977</v>
      </c>
      <c r="F259" s="7"/>
      <c r="G259" s="15">
        <v>25</v>
      </c>
      <c r="H259" s="15">
        <v>3</v>
      </c>
      <c r="I259" t="s">
        <v>651</v>
      </c>
      <c r="J259" s="16" t="s">
        <v>66</v>
      </c>
      <c r="K259" s="15"/>
      <c r="L259" s="4">
        <f>COUNTIFS(tItens[Produto],tProdutos[[#This Row],[Produto]])</f>
        <v>0</v>
      </c>
      <c r="M259" s="4">
        <f>SUMIFS(tItens[Primeira ocorrência],tItens[Produto],tProdutos[[#This Row],[Produto]])</f>
        <v>0</v>
      </c>
      <c r="N259" s="8">
        <f>SUMIFS(tItens[Valor],tItens[Produto],tProdutos[[#This Row],[Produto]])</f>
        <v>0</v>
      </c>
      <c r="O259" s="8">
        <f>SUMIFS(tItens[Valor],tItens[Produto],tProdutos[[#This Row],[Produto]],tItens[SRP],"Sim")</f>
        <v>0</v>
      </c>
      <c r="P259" s="6">
        <f>IF(tProdutos[[#This Row],[Valor janela]]=0,0,tProdutos[[#This Row],[Valor SRP]]/tProdutos[[#This Row],[Valor janela]])</f>
        <v>0</v>
      </c>
      <c r="Q259" s="8">
        <f>tProdutos[[#This Row],[Valor janela]]*DiasMes/DiasJanela</f>
        <v>0</v>
      </c>
      <c r="R259" s="8">
        <f>tProdutos[[#This Row],[Mercado mês ref]]*(1-IF(tProdutos[[#This Row],[Desconto homologado]]="",DescontoPadrao,tProdutos[[#This Row],[Desconto homologado]]))</f>
        <v>0</v>
      </c>
      <c r="S259" t="str">
        <f>IF(ModoFoco="Lista",IF(tProdutos[[#This Row],[Lista definida]]="Sim","Sim","Não"),IF(AND(tProdutos[[#This Row],[Editais]]&gt;=MinEditais,N(tProdutos[[#This Row],[Margem bruta]])&gt;=MargemMin),"Sim","Não"))</f>
        <v>Não</v>
      </c>
      <c r="T259" s="4" t="str">
        <f>IF(tProdutos[[#This Row],[Elegível]]="Sim",COUNTIFS(tProdutos[Elegível],"Sim",tProdutos[Valor janela],"&gt;"&amp;tProdutos[[#This Row],[Valor janela]])+1,"")</f>
        <v/>
      </c>
      <c r="U259" t="str">
        <f>IF(ModoFoco="Lista",tProdutos[[#This Row],[Elegível]],IF(AND(tProdutos[[#This Row],[Posição]]&lt;&gt;"",N(tProdutos[[#This Row],[Posição]])&lt;=TopN),"Sim","Não"))</f>
        <v>Não</v>
      </c>
    </row>
    <row r="260" spans="1:21" x14ac:dyDescent="0.25">
      <c r="A260" t="s">
        <v>652</v>
      </c>
      <c r="B260" t="s">
        <v>653</v>
      </c>
      <c r="C260" t="s">
        <v>431</v>
      </c>
      <c r="D260" s="14">
        <v>44.720880000000001</v>
      </c>
      <c r="E260" s="7">
        <v>0.95925394548063125</v>
      </c>
      <c r="F260" s="7"/>
      <c r="G260" s="15">
        <v>85</v>
      </c>
      <c r="H260" s="15">
        <v>4</v>
      </c>
      <c r="I260" t="s">
        <v>654</v>
      </c>
      <c r="J260" s="16" t="s">
        <v>66</v>
      </c>
      <c r="K260" s="15"/>
      <c r="L260" s="4">
        <f>COUNTIFS(tItens[Produto],tProdutos[[#This Row],[Produto]])</f>
        <v>2</v>
      </c>
      <c r="M260" s="4">
        <f>SUMIFS(tItens[Primeira ocorrência],tItens[Produto],tProdutos[[#This Row],[Produto]])</f>
        <v>2</v>
      </c>
      <c r="N260" s="8">
        <f>SUMIFS(tItens[Valor],tItens[Produto],tProdutos[[#This Row],[Produto]])</f>
        <v>756.7</v>
      </c>
      <c r="O260" s="8">
        <f>SUMIFS(tItens[Valor],tItens[Produto],tProdutos[[#This Row],[Produto]],tItens[SRP],"Sim")</f>
        <v>450</v>
      </c>
      <c r="P260" s="6">
        <f>IF(tProdutos[[#This Row],[Valor janela]]=0,0,tProdutos[[#This Row],[Valor SRP]]/tProdutos[[#This Row],[Valor janela]])</f>
        <v>0.59468745870225981</v>
      </c>
      <c r="Q260" s="8">
        <f>tProdutos[[#This Row],[Valor janela]]*DiasMes/DiasJanela</f>
        <v>2522.3333333333335</v>
      </c>
      <c r="R260" s="8">
        <f>tProdutos[[#This Row],[Mercado mês ref]]*(1-IF(tProdutos[[#This Row],[Desconto homologado]]="",DescontoPadrao,tProdutos[[#This Row],[Desconto homologado]]))</f>
        <v>1765.6333333333334</v>
      </c>
      <c r="S260" t="str">
        <f>IF(ModoFoco="Lista",IF(tProdutos[[#This Row],[Lista definida]]="Sim","Sim","Não"),IF(AND(tProdutos[[#This Row],[Editais]]&gt;=MinEditais,N(tProdutos[[#This Row],[Margem bruta]])&gt;=MargemMin),"Sim","Não"))</f>
        <v>Não</v>
      </c>
      <c r="T260" s="4" t="str">
        <f>IF(tProdutos[[#This Row],[Elegível]]="Sim",COUNTIFS(tProdutos[Elegível],"Sim",tProdutos[Valor janela],"&gt;"&amp;tProdutos[[#This Row],[Valor janela]])+1,"")</f>
        <v/>
      </c>
      <c r="U260" t="str">
        <f>IF(ModoFoco="Lista",tProdutos[[#This Row],[Elegível]],IF(AND(tProdutos[[#This Row],[Posição]]&lt;&gt;"",N(tProdutos[[#This Row],[Posição]])&lt;=TopN),"Sim","Não"))</f>
        <v>Não</v>
      </c>
    </row>
    <row r="261" spans="1:21" x14ac:dyDescent="0.25">
      <c r="A261" t="s">
        <v>655</v>
      </c>
      <c r="B261" t="s">
        <v>656</v>
      </c>
      <c r="C261" t="s">
        <v>431</v>
      </c>
      <c r="D261" s="14">
        <v>44.270452857142857</v>
      </c>
      <c r="E261" s="7">
        <v>0.62059620596205956</v>
      </c>
      <c r="F261" s="7"/>
      <c r="G261" s="15">
        <v>9</v>
      </c>
      <c r="H261" s="15">
        <v>3.5</v>
      </c>
      <c r="I261" t="s">
        <v>657</v>
      </c>
      <c r="J261" s="16" t="s">
        <v>66</v>
      </c>
      <c r="K261" s="15"/>
      <c r="L261" s="4">
        <f>COUNTIFS(tItens[Produto],tProdutos[[#This Row],[Produto]])</f>
        <v>0</v>
      </c>
      <c r="M261" s="4">
        <f>SUMIFS(tItens[Primeira ocorrência],tItens[Produto],tProdutos[[#This Row],[Produto]])</f>
        <v>0</v>
      </c>
      <c r="N261" s="8">
        <f>SUMIFS(tItens[Valor],tItens[Produto],tProdutos[[#This Row],[Produto]])</f>
        <v>0</v>
      </c>
      <c r="O261" s="8">
        <f>SUMIFS(tItens[Valor],tItens[Produto],tProdutos[[#This Row],[Produto]],tItens[SRP],"Sim")</f>
        <v>0</v>
      </c>
      <c r="P261" s="6">
        <f>IF(tProdutos[[#This Row],[Valor janela]]=0,0,tProdutos[[#This Row],[Valor SRP]]/tProdutos[[#This Row],[Valor janela]])</f>
        <v>0</v>
      </c>
      <c r="Q261" s="8">
        <f>tProdutos[[#This Row],[Valor janela]]*DiasMes/DiasJanela</f>
        <v>0</v>
      </c>
      <c r="R261" s="8">
        <f>tProdutos[[#This Row],[Mercado mês ref]]*(1-IF(tProdutos[[#This Row],[Desconto homologado]]="",DescontoPadrao,tProdutos[[#This Row],[Desconto homologado]]))</f>
        <v>0</v>
      </c>
      <c r="S261" t="str">
        <f>IF(ModoFoco="Lista",IF(tProdutos[[#This Row],[Lista definida]]="Sim","Sim","Não"),IF(AND(tProdutos[[#This Row],[Editais]]&gt;=MinEditais,N(tProdutos[[#This Row],[Margem bruta]])&gt;=MargemMin),"Sim","Não"))</f>
        <v>Não</v>
      </c>
      <c r="T261" s="4" t="str">
        <f>IF(tProdutos[[#This Row],[Elegível]]="Sim",COUNTIFS(tProdutos[Elegível],"Sim",tProdutos[Valor janela],"&gt;"&amp;tProdutos[[#This Row],[Valor janela]])+1,"")</f>
        <v/>
      </c>
      <c r="U261" t="str">
        <f>IF(ModoFoco="Lista",tProdutos[[#This Row],[Elegível]],IF(AND(tProdutos[[#This Row],[Posição]]&lt;&gt;"",N(tProdutos[[#This Row],[Posição]])&lt;=TopN),"Sim","Não"))</f>
        <v>Não</v>
      </c>
    </row>
    <row r="262" spans="1:21" x14ac:dyDescent="0.25">
      <c r="A262" t="s">
        <v>658</v>
      </c>
      <c r="B262" t="s">
        <v>659</v>
      </c>
      <c r="C262" t="s">
        <v>431</v>
      </c>
      <c r="D262" s="14">
        <v>43.299024285714289</v>
      </c>
      <c r="E262" s="7"/>
      <c r="F262" s="7"/>
      <c r="G262" s="15"/>
      <c r="H262" s="15">
        <v>18</v>
      </c>
      <c r="I262" t="s">
        <v>119</v>
      </c>
      <c r="J262" s="16" t="s">
        <v>66</v>
      </c>
      <c r="K262" s="15"/>
      <c r="L262" s="4">
        <f>COUNTIFS(tItens[Produto],tProdutos[[#This Row],[Produto]])</f>
        <v>0</v>
      </c>
      <c r="M262" s="4">
        <f>SUMIFS(tItens[Primeira ocorrência],tItens[Produto],tProdutos[[#This Row],[Produto]])</f>
        <v>0</v>
      </c>
      <c r="N262" s="8">
        <f>SUMIFS(tItens[Valor],tItens[Produto],tProdutos[[#This Row],[Produto]])</f>
        <v>0</v>
      </c>
      <c r="O262" s="8">
        <f>SUMIFS(tItens[Valor],tItens[Produto],tProdutos[[#This Row],[Produto]],tItens[SRP],"Sim")</f>
        <v>0</v>
      </c>
      <c r="P262" s="6">
        <f>IF(tProdutos[[#This Row],[Valor janela]]=0,0,tProdutos[[#This Row],[Valor SRP]]/tProdutos[[#This Row],[Valor janela]])</f>
        <v>0</v>
      </c>
      <c r="Q262" s="8">
        <f>tProdutos[[#This Row],[Valor janela]]*DiasMes/DiasJanela</f>
        <v>0</v>
      </c>
      <c r="R262" s="8">
        <f>tProdutos[[#This Row],[Mercado mês ref]]*(1-IF(tProdutos[[#This Row],[Desconto homologado]]="",DescontoPadrao,tProdutos[[#This Row],[Desconto homologado]]))</f>
        <v>0</v>
      </c>
      <c r="S262" t="str">
        <f>IF(ModoFoco="Lista",IF(tProdutos[[#This Row],[Lista definida]]="Sim","Sim","Não"),IF(AND(tProdutos[[#This Row],[Editais]]&gt;=MinEditais,N(tProdutos[[#This Row],[Margem bruta]])&gt;=MargemMin),"Sim","Não"))</f>
        <v>Não</v>
      </c>
      <c r="T262" s="4" t="str">
        <f>IF(tProdutos[[#This Row],[Elegível]]="Sim",COUNTIFS(tProdutos[Elegível],"Sim",tProdutos[Valor janela],"&gt;"&amp;tProdutos[[#This Row],[Valor janela]])+1,"")</f>
        <v/>
      </c>
      <c r="U262" t="str">
        <f>IF(ModoFoco="Lista",tProdutos[[#This Row],[Elegível]],IF(AND(tProdutos[[#This Row],[Posição]]&lt;&gt;"",N(tProdutos[[#This Row],[Posição]])&lt;=TopN),"Sim","Não"))</f>
        <v>Não</v>
      </c>
    </row>
    <row r="263" spans="1:21" x14ac:dyDescent="0.25">
      <c r="A263" t="s">
        <v>660</v>
      </c>
      <c r="B263" t="s">
        <v>661</v>
      </c>
      <c r="C263" t="s">
        <v>431</v>
      </c>
      <c r="D263" s="14">
        <v>43.299024285714289</v>
      </c>
      <c r="E263" s="7"/>
      <c r="F263" s="7"/>
      <c r="G263" s="15"/>
      <c r="H263" s="15">
        <v>6</v>
      </c>
      <c r="I263" t="s">
        <v>662</v>
      </c>
      <c r="J263" s="16" t="s">
        <v>66</v>
      </c>
      <c r="K263" s="15"/>
      <c r="L263" s="4">
        <f>COUNTIFS(tItens[Produto],tProdutos[[#This Row],[Produto]])</f>
        <v>0</v>
      </c>
      <c r="M263" s="4">
        <f>SUMIFS(tItens[Primeira ocorrência],tItens[Produto],tProdutos[[#This Row],[Produto]])</f>
        <v>0</v>
      </c>
      <c r="N263" s="8">
        <f>SUMIFS(tItens[Valor],tItens[Produto],tProdutos[[#This Row],[Produto]])</f>
        <v>0</v>
      </c>
      <c r="O263" s="8">
        <f>SUMIFS(tItens[Valor],tItens[Produto],tProdutos[[#This Row],[Produto]],tItens[SRP],"Sim")</f>
        <v>0</v>
      </c>
      <c r="P263" s="6">
        <f>IF(tProdutos[[#This Row],[Valor janela]]=0,0,tProdutos[[#This Row],[Valor SRP]]/tProdutos[[#This Row],[Valor janela]])</f>
        <v>0</v>
      </c>
      <c r="Q263" s="8">
        <f>tProdutos[[#This Row],[Valor janela]]*DiasMes/DiasJanela</f>
        <v>0</v>
      </c>
      <c r="R263" s="8">
        <f>tProdutos[[#This Row],[Mercado mês ref]]*(1-IF(tProdutos[[#This Row],[Desconto homologado]]="",DescontoPadrao,tProdutos[[#This Row],[Desconto homologado]]))</f>
        <v>0</v>
      </c>
      <c r="S263" t="str">
        <f>IF(ModoFoco="Lista",IF(tProdutos[[#This Row],[Lista definida]]="Sim","Sim","Não"),IF(AND(tProdutos[[#This Row],[Editais]]&gt;=MinEditais,N(tProdutos[[#This Row],[Margem bruta]])&gt;=MargemMin),"Sim","Não"))</f>
        <v>Não</v>
      </c>
      <c r="T263" s="4" t="str">
        <f>IF(tProdutos[[#This Row],[Elegível]]="Sim",COUNTIFS(tProdutos[Elegível],"Sim",tProdutos[Valor janela],"&gt;"&amp;tProdutos[[#This Row],[Valor janela]])+1,"")</f>
        <v/>
      </c>
      <c r="U263" t="str">
        <f>IF(ModoFoco="Lista",tProdutos[[#This Row],[Elegível]],IF(AND(tProdutos[[#This Row],[Posição]]&lt;&gt;"",N(tProdutos[[#This Row],[Posição]])&lt;=TopN),"Sim","Não"))</f>
        <v>Não</v>
      </c>
    </row>
    <row r="264" spans="1:21" x14ac:dyDescent="0.25">
      <c r="A264" t="s">
        <v>663</v>
      </c>
      <c r="B264" t="s">
        <v>664</v>
      </c>
      <c r="C264" t="s">
        <v>431</v>
      </c>
      <c r="D264" s="14">
        <v>43.299024285714289</v>
      </c>
      <c r="E264" s="7"/>
      <c r="F264" s="7"/>
      <c r="G264" s="15"/>
      <c r="H264" s="15">
        <v>9</v>
      </c>
      <c r="I264" t="s">
        <v>665</v>
      </c>
      <c r="J264" s="16" t="s">
        <v>66</v>
      </c>
      <c r="K264" s="15"/>
      <c r="L264" s="4">
        <f>COUNTIFS(tItens[Produto],tProdutos[[#This Row],[Produto]])</f>
        <v>0</v>
      </c>
      <c r="M264" s="4">
        <f>SUMIFS(tItens[Primeira ocorrência],tItens[Produto],tProdutos[[#This Row],[Produto]])</f>
        <v>0</v>
      </c>
      <c r="N264" s="8">
        <f>SUMIFS(tItens[Valor],tItens[Produto],tProdutos[[#This Row],[Produto]])</f>
        <v>0</v>
      </c>
      <c r="O264" s="8">
        <f>SUMIFS(tItens[Valor],tItens[Produto],tProdutos[[#This Row],[Produto]],tItens[SRP],"Sim")</f>
        <v>0</v>
      </c>
      <c r="P264" s="6">
        <f>IF(tProdutos[[#This Row],[Valor janela]]=0,0,tProdutos[[#This Row],[Valor SRP]]/tProdutos[[#This Row],[Valor janela]])</f>
        <v>0</v>
      </c>
      <c r="Q264" s="8">
        <f>tProdutos[[#This Row],[Valor janela]]*DiasMes/DiasJanela</f>
        <v>0</v>
      </c>
      <c r="R264" s="8">
        <f>tProdutos[[#This Row],[Mercado mês ref]]*(1-IF(tProdutos[[#This Row],[Desconto homologado]]="",DescontoPadrao,tProdutos[[#This Row],[Desconto homologado]]))</f>
        <v>0</v>
      </c>
      <c r="S264" t="str">
        <f>IF(ModoFoco="Lista",IF(tProdutos[[#This Row],[Lista definida]]="Sim","Sim","Não"),IF(AND(tProdutos[[#This Row],[Editais]]&gt;=MinEditais,N(tProdutos[[#This Row],[Margem bruta]])&gt;=MargemMin),"Sim","Não"))</f>
        <v>Não</v>
      </c>
      <c r="T264" s="4" t="str">
        <f>IF(tProdutos[[#This Row],[Elegível]]="Sim",COUNTIFS(tProdutos[Elegível],"Sim",tProdutos[Valor janela],"&gt;"&amp;tProdutos[[#This Row],[Valor janela]])+1,"")</f>
        <v/>
      </c>
      <c r="U264" t="str">
        <f>IF(ModoFoco="Lista",tProdutos[[#This Row],[Elegível]],IF(AND(tProdutos[[#This Row],[Posição]]&lt;&gt;"",N(tProdutos[[#This Row],[Posição]])&lt;=TopN),"Sim","Não"))</f>
        <v>Não</v>
      </c>
    </row>
    <row r="265" spans="1:21" x14ac:dyDescent="0.25">
      <c r="A265" t="s">
        <v>666</v>
      </c>
      <c r="B265" t="s">
        <v>667</v>
      </c>
      <c r="C265" t="s">
        <v>431</v>
      </c>
      <c r="D265" s="14">
        <v>41.841881428571433</v>
      </c>
      <c r="E265" s="7">
        <v>0.88455284552845526</v>
      </c>
      <c r="F265" s="7"/>
      <c r="G265" s="15">
        <v>90</v>
      </c>
      <c r="H265" s="15">
        <v>12</v>
      </c>
      <c r="I265" t="s">
        <v>668</v>
      </c>
      <c r="J265" s="16" t="s">
        <v>66</v>
      </c>
      <c r="K265" s="15"/>
      <c r="L265" s="4">
        <f>COUNTIFS(tItens[Produto],tProdutos[[#This Row],[Produto]])</f>
        <v>0</v>
      </c>
      <c r="M265" s="4">
        <f>SUMIFS(tItens[Primeira ocorrência],tItens[Produto],tProdutos[[#This Row],[Produto]])</f>
        <v>0</v>
      </c>
      <c r="N265" s="8">
        <f>SUMIFS(tItens[Valor],tItens[Produto],tProdutos[[#This Row],[Produto]])</f>
        <v>0</v>
      </c>
      <c r="O265" s="8">
        <f>SUMIFS(tItens[Valor],tItens[Produto],tProdutos[[#This Row],[Produto]],tItens[SRP],"Sim")</f>
        <v>0</v>
      </c>
      <c r="P265" s="6">
        <f>IF(tProdutos[[#This Row],[Valor janela]]=0,0,tProdutos[[#This Row],[Valor SRP]]/tProdutos[[#This Row],[Valor janela]])</f>
        <v>0</v>
      </c>
      <c r="Q265" s="8">
        <f>tProdutos[[#This Row],[Valor janela]]*DiasMes/DiasJanela</f>
        <v>0</v>
      </c>
      <c r="R265" s="8">
        <f>tProdutos[[#This Row],[Mercado mês ref]]*(1-IF(tProdutos[[#This Row],[Desconto homologado]]="",DescontoPadrao,tProdutos[[#This Row],[Desconto homologado]]))</f>
        <v>0</v>
      </c>
      <c r="S265" t="str">
        <f>IF(ModoFoco="Lista",IF(tProdutos[[#This Row],[Lista definida]]="Sim","Sim","Não"),IF(AND(tProdutos[[#This Row],[Editais]]&gt;=MinEditais,N(tProdutos[[#This Row],[Margem bruta]])&gt;=MargemMin),"Sim","Não"))</f>
        <v>Não</v>
      </c>
      <c r="T265" s="4" t="str">
        <f>IF(tProdutos[[#This Row],[Elegível]]="Sim",COUNTIFS(tProdutos[Elegível],"Sim",tProdutos[Valor janela],"&gt;"&amp;tProdutos[[#This Row],[Valor janela]])+1,"")</f>
        <v/>
      </c>
      <c r="U265" t="str">
        <f>IF(ModoFoco="Lista",tProdutos[[#This Row],[Elegível]],IF(AND(tProdutos[[#This Row],[Posição]]&lt;&gt;"",N(tProdutos[[#This Row],[Posição]])&lt;=TopN),"Sim","Não"))</f>
        <v>Não</v>
      </c>
    </row>
    <row r="266" spans="1:21" x14ac:dyDescent="0.25">
      <c r="A266" t="s">
        <v>669</v>
      </c>
      <c r="B266" t="s">
        <v>670</v>
      </c>
      <c r="C266" t="s">
        <v>431</v>
      </c>
      <c r="D266" s="14">
        <v>41.611409999999999</v>
      </c>
      <c r="E266" s="7">
        <v>0.33481152993348129</v>
      </c>
      <c r="F266" s="7">
        <v>0.53825503355704696</v>
      </c>
      <c r="G266" s="15">
        <v>22</v>
      </c>
      <c r="H266" s="15">
        <v>15</v>
      </c>
      <c r="I266" t="s">
        <v>671</v>
      </c>
      <c r="J266" s="16" t="s">
        <v>66</v>
      </c>
      <c r="K266" s="15"/>
      <c r="L266" s="4">
        <f>COUNTIFS(tItens[Produto],tProdutos[[#This Row],[Produto]])</f>
        <v>14</v>
      </c>
      <c r="M266" s="4">
        <f>SUMIFS(tItens[Primeira ocorrência],tItens[Produto],tProdutos[[#This Row],[Produto]])</f>
        <v>12</v>
      </c>
      <c r="N266" s="8">
        <f>SUMIFS(tItens[Valor],tItens[Produto],tProdutos[[#This Row],[Produto]])</f>
        <v>36573.69</v>
      </c>
      <c r="O266" s="8">
        <f>SUMIFS(tItens[Valor],tItens[Produto],tProdutos[[#This Row],[Produto]],tItens[SRP],"Sim")</f>
        <v>30947.69</v>
      </c>
      <c r="P266" s="6">
        <f>IF(tProdutos[[#This Row],[Valor janela]]=0,0,tProdutos[[#This Row],[Valor SRP]]/tProdutos[[#This Row],[Valor janela]])</f>
        <v>0.84617357450123287</v>
      </c>
      <c r="Q266" s="8">
        <f>tProdutos[[#This Row],[Valor janela]]*DiasMes/DiasJanela</f>
        <v>121912.3</v>
      </c>
      <c r="R266" s="8">
        <f>tProdutos[[#This Row],[Mercado mês ref]]*(1-IF(tProdutos[[#This Row],[Desconto homologado]]="",DescontoPadrao,tProdutos[[#This Row],[Desconto homologado]]))</f>
        <v>56292.390872483229</v>
      </c>
      <c r="S266" t="str">
        <f>IF(ModoFoco="Lista",IF(tProdutos[[#This Row],[Lista definida]]="Sim","Sim","Não"),IF(AND(tProdutos[[#This Row],[Editais]]&gt;=MinEditais,N(tProdutos[[#This Row],[Margem bruta]])&gt;=MargemMin),"Sim","Não"))</f>
        <v>Não</v>
      </c>
      <c r="T266" s="4" t="str">
        <f>IF(tProdutos[[#This Row],[Elegível]]="Sim",COUNTIFS(tProdutos[Elegível],"Sim",tProdutos[Valor janela],"&gt;"&amp;tProdutos[[#This Row],[Valor janela]])+1,"")</f>
        <v/>
      </c>
      <c r="U266" t="str">
        <f>IF(ModoFoco="Lista",tProdutos[[#This Row],[Elegível]],IF(AND(tProdutos[[#This Row],[Posição]]&lt;&gt;"",N(tProdutos[[#This Row],[Posição]])&lt;=TopN),"Sim","Não"))</f>
        <v>Não</v>
      </c>
    </row>
    <row r="267" spans="1:21" x14ac:dyDescent="0.25">
      <c r="A267" t="s">
        <v>672</v>
      </c>
      <c r="B267" t="s">
        <v>673</v>
      </c>
      <c r="C267" t="s">
        <v>431</v>
      </c>
      <c r="D267" s="14">
        <v>41.356167142857146</v>
      </c>
      <c r="E267" s="7">
        <v>0.44250871080139376</v>
      </c>
      <c r="F267" s="7"/>
      <c r="G267" s="15">
        <v>70</v>
      </c>
      <c r="H267" s="15">
        <v>40</v>
      </c>
      <c r="I267" t="s">
        <v>674</v>
      </c>
      <c r="J267" s="16" t="s">
        <v>66</v>
      </c>
      <c r="K267" s="15"/>
      <c r="L267" s="4">
        <f>COUNTIFS(tItens[Produto],tProdutos[[#This Row],[Produto]])</f>
        <v>1</v>
      </c>
      <c r="M267" s="4">
        <f>SUMIFS(tItens[Primeira ocorrência],tItens[Produto],tProdutos[[#This Row],[Produto]])</f>
        <v>1</v>
      </c>
      <c r="N267" s="8">
        <f>SUMIFS(tItens[Valor],tItens[Produto],tProdutos[[#This Row],[Produto]])</f>
        <v>25260</v>
      </c>
      <c r="O267" s="8">
        <f>SUMIFS(tItens[Valor],tItens[Produto],tProdutos[[#This Row],[Produto]],tItens[SRP],"Sim")</f>
        <v>0</v>
      </c>
      <c r="P267" s="6">
        <f>IF(tProdutos[[#This Row],[Valor janela]]=0,0,tProdutos[[#This Row],[Valor SRP]]/tProdutos[[#This Row],[Valor janela]])</f>
        <v>0</v>
      </c>
      <c r="Q267" s="8">
        <f>tProdutos[[#This Row],[Valor janela]]*DiasMes/DiasJanela</f>
        <v>84200</v>
      </c>
      <c r="R267" s="8">
        <f>tProdutos[[#This Row],[Mercado mês ref]]*(1-IF(tProdutos[[#This Row],[Desconto homologado]]="",DescontoPadrao,tProdutos[[#This Row],[Desconto homologado]]))</f>
        <v>58939.999999999993</v>
      </c>
      <c r="S267" t="str">
        <f>IF(ModoFoco="Lista",IF(tProdutos[[#This Row],[Lista definida]]="Sim","Sim","Não"),IF(AND(tProdutos[[#This Row],[Editais]]&gt;=MinEditais,N(tProdutos[[#This Row],[Margem bruta]])&gt;=MargemMin),"Sim","Não"))</f>
        <v>Não</v>
      </c>
      <c r="T267" s="4" t="str">
        <f>IF(tProdutos[[#This Row],[Elegível]]="Sim",COUNTIFS(tProdutos[Elegível],"Sim",tProdutos[Valor janela],"&gt;"&amp;tProdutos[[#This Row],[Valor janela]])+1,"")</f>
        <v/>
      </c>
      <c r="U267" t="str">
        <f>IF(ModoFoco="Lista",tProdutos[[#This Row],[Elegível]],IF(AND(tProdutos[[#This Row],[Posição]]&lt;&gt;"",N(tProdutos[[#This Row],[Posição]])&lt;=TopN),"Sim","Não"))</f>
        <v>Não</v>
      </c>
    </row>
    <row r="268" spans="1:21" x14ac:dyDescent="0.25">
      <c r="A268" t="s">
        <v>675</v>
      </c>
      <c r="B268" t="s">
        <v>676</v>
      </c>
      <c r="C268" t="s">
        <v>431</v>
      </c>
      <c r="D268" s="14">
        <v>41.356167142857146</v>
      </c>
      <c r="E268" s="7"/>
      <c r="F268" s="7"/>
      <c r="G268" s="15"/>
      <c r="H268" s="15">
        <v>4.5</v>
      </c>
      <c r="I268" t="s">
        <v>677</v>
      </c>
      <c r="J268" s="16" t="s">
        <v>66</v>
      </c>
      <c r="K268" s="15"/>
      <c r="L268" s="4">
        <f>COUNTIFS(tItens[Produto],tProdutos[[#This Row],[Produto]])</f>
        <v>0</v>
      </c>
      <c r="M268" s="4">
        <f>SUMIFS(tItens[Primeira ocorrência],tItens[Produto],tProdutos[[#This Row],[Produto]])</f>
        <v>0</v>
      </c>
      <c r="N268" s="8">
        <f>SUMIFS(tItens[Valor],tItens[Produto],tProdutos[[#This Row],[Produto]])</f>
        <v>0</v>
      </c>
      <c r="O268" s="8">
        <f>SUMIFS(tItens[Valor],tItens[Produto],tProdutos[[#This Row],[Produto]],tItens[SRP],"Sim")</f>
        <v>0</v>
      </c>
      <c r="P268" s="6">
        <f>IF(tProdutos[[#This Row],[Valor janela]]=0,0,tProdutos[[#This Row],[Valor SRP]]/tProdutos[[#This Row],[Valor janela]])</f>
        <v>0</v>
      </c>
      <c r="Q268" s="8">
        <f>tProdutos[[#This Row],[Valor janela]]*DiasMes/DiasJanela</f>
        <v>0</v>
      </c>
      <c r="R268" s="8">
        <f>tProdutos[[#This Row],[Mercado mês ref]]*(1-IF(tProdutos[[#This Row],[Desconto homologado]]="",DescontoPadrao,tProdutos[[#This Row],[Desconto homologado]]))</f>
        <v>0</v>
      </c>
      <c r="S268" t="str">
        <f>IF(ModoFoco="Lista",IF(tProdutos[[#This Row],[Lista definida]]="Sim","Sim","Não"),IF(AND(tProdutos[[#This Row],[Editais]]&gt;=MinEditais,N(tProdutos[[#This Row],[Margem bruta]])&gt;=MargemMin),"Sim","Não"))</f>
        <v>Não</v>
      </c>
      <c r="T268" s="4" t="str">
        <f>IF(tProdutos[[#This Row],[Elegível]]="Sim",COUNTIFS(tProdutos[Elegível],"Sim",tProdutos[Valor janela],"&gt;"&amp;tProdutos[[#This Row],[Valor janela]])+1,"")</f>
        <v/>
      </c>
      <c r="U268" t="str">
        <f>IF(ModoFoco="Lista",tProdutos[[#This Row],[Elegível]],IF(AND(tProdutos[[#This Row],[Posição]]&lt;&gt;"",N(tProdutos[[#This Row],[Posição]])&lt;=TopN),"Sim","Não"))</f>
        <v>Não</v>
      </c>
    </row>
    <row r="269" spans="1:21" x14ac:dyDescent="0.25">
      <c r="A269" t="s">
        <v>678</v>
      </c>
      <c r="B269" t="s">
        <v>679</v>
      </c>
      <c r="C269" t="s">
        <v>431</v>
      </c>
      <c r="D269" s="14">
        <v>41.333799999999997</v>
      </c>
      <c r="E269" s="7"/>
      <c r="F269" s="7">
        <v>0.32552954292084701</v>
      </c>
      <c r="G269" s="15"/>
      <c r="H269" s="15">
        <v>6</v>
      </c>
      <c r="I269" t="s">
        <v>680</v>
      </c>
      <c r="J269" s="16" t="s">
        <v>66</v>
      </c>
      <c r="K269" s="15"/>
      <c r="L269" s="4">
        <f>COUNTIFS(tItens[Produto],tProdutos[[#This Row],[Produto]])</f>
        <v>1</v>
      </c>
      <c r="M269" s="4">
        <f>SUMIFS(tItens[Primeira ocorrência],tItens[Produto],tProdutos[[#This Row],[Produto]])</f>
        <v>1</v>
      </c>
      <c r="N269" s="8">
        <f>SUMIFS(tItens[Valor],tItens[Produto],tProdutos[[#This Row],[Produto]])</f>
        <v>0</v>
      </c>
      <c r="O269" s="8">
        <f>SUMIFS(tItens[Valor],tItens[Produto],tProdutos[[#This Row],[Produto]],tItens[SRP],"Sim")</f>
        <v>0</v>
      </c>
      <c r="P269" s="6">
        <f>IF(tProdutos[[#This Row],[Valor janela]]=0,0,tProdutos[[#This Row],[Valor SRP]]/tProdutos[[#This Row],[Valor janela]])</f>
        <v>0</v>
      </c>
      <c r="Q269" s="8">
        <f>tProdutos[[#This Row],[Valor janela]]*DiasMes/DiasJanela</f>
        <v>0</v>
      </c>
      <c r="R269" s="8">
        <f>tProdutos[[#This Row],[Mercado mês ref]]*(1-IF(tProdutos[[#This Row],[Desconto homologado]]="",DescontoPadrao,tProdutos[[#This Row],[Desconto homologado]]))</f>
        <v>0</v>
      </c>
      <c r="S269" t="str">
        <f>IF(ModoFoco="Lista",IF(tProdutos[[#This Row],[Lista definida]]="Sim","Sim","Não"),IF(AND(tProdutos[[#This Row],[Editais]]&gt;=MinEditais,N(tProdutos[[#This Row],[Margem bruta]])&gt;=MargemMin),"Sim","Não"))</f>
        <v>Não</v>
      </c>
      <c r="T269" s="4" t="str">
        <f>IF(tProdutos[[#This Row],[Elegível]]="Sim",COUNTIFS(tProdutos[Elegível],"Sim",tProdutos[Valor janela],"&gt;"&amp;tProdutos[[#This Row],[Valor janela]])+1,"")</f>
        <v/>
      </c>
      <c r="U269" t="str">
        <f>IF(ModoFoco="Lista",tProdutos[[#This Row],[Elegível]],IF(AND(tProdutos[[#This Row],[Posição]]&lt;&gt;"",N(tProdutos[[#This Row],[Posição]])&lt;=TopN),"Sim","Não"))</f>
        <v>Não</v>
      </c>
    </row>
    <row r="270" spans="1:21" x14ac:dyDescent="0.25">
      <c r="A270" t="s">
        <v>681</v>
      </c>
      <c r="B270" t="s">
        <v>682</v>
      </c>
      <c r="C270" t="s">
        <v>431</v>
      </c>
      <c r="D270" s="14">
        <v>39.89902428571429</v>
      </c>
      <c r="E270" s="7">
        <v>0.72942073170731714</v>
      </c>
      <c r="F270" s="7"/>
      <c r="G270" s="15">
        <v>80</v>
      </c>
      <c r="H270" s="15">
        <v>25</v>
      </c>
      <c r="I270" t="s">
        <v>683</v>
      </c>
      <c r="J270" s="16" t="s">
        <v>66</v>
      </c>
      <c r="K270" s="15"/>
      <c r="L270" s="4">
        <f>COUNTIFS(tItens[Produto],tProdutos[[#This Row],[Produto]])</f>
        <v>10</v>
      </c>
      <c r="M270" s="4">
        <f>SUMIFS(tItens[Primeira ocorrência],tItens[Produto],tProdutos[[#This Row],[Produto]])</f>
        <v>7</v>
      </c>
      <c r="N270" s="8">
        <f>SUMIFS(tItens[Valor],tItens[Produto],tProdutos[[#This Row],[Produto]])</f>
        <v>38916.36</v>
      </c>
      <c r="O270" s="8">
        <f>SUMIFS(tItens[Valor],tItens[Produto],tProdutos[[#This Row],[Produto]],tItens[SRP],"Sim")</f>
        <v>30418.7</v>
      </c>
      <c r="P270" s="6">
        <f>IF(tProdutos[[#This Row],[Valor janela]]=0,0,tProdutos[[#This Row],[Valor SRP]]/tProdutos[[#This Row],[Valor janela]])</f>
        <v>0.7816429902488311</v>
      </c>
      <c r="Q270" s="8">
        <f>tProdutos[[#This Row],[Valor janela]]*DiasMes/DiasJanela</f>
        <v>129721.2</v>
      </c>
      <c r="R270" s="8">
        <f>tProdutos[[#This Row],[Mercado mês ref]]*(1-IF(tProdutos[[#This Row],[Desconto homologado]]="",DescontoPadrao,tProdutos[[#This Row],[Desconto homologado]]))</f>
        <v>90804.84</v>
      </c>
      <c r="S270" t="str">
        <f>IF(ModoFoco="Lista",IF(tProdutos[[#This Row],[Lista definida]]="Sim","Sim","Não"),IF(AND(tProdutos[[#This Row],[Editais]]&gt;=MinEditais,N(tProdutos[[#This Row],[Margem bruta]])&gt;=MargemMin),"Sim","Não"))</f>
        <v>Não</v>
      </c>
      <c r="T270" s="4" t="str">
        <f>IF(tProdutos[[#This Row],[Elegível]]="Sim",COUNTIFS(tProdutos[Elegível],"Sim",tProdutos[Valor janela],"&gt;"&amp;tProdutos[[#This Row],[Valor janela]])+1,"")</f>
        <v/>
      </c>
      <c r="U270" t="str">
        <f>IF(ModoFoco="Lista",tProdutos[[#This Row],[Elegível]],IF(AND(tProdutos[[#This Row],[Posição]]&lt;&gt;"",N(tProdutos[[#This Row],[Posição]])&lt;=TopN),"Sim","Não"))</f>
        <v>Não</v>
      </c>
    </row>
    <row r="271" spans="1:21" x14ac:dyDescent="0.25">
      <c r="A271" t="s">
        <v>684</v>
      </c>
      <c r="B271" t="s">
        <v>685</v>
      </c>
      <c r="C271" t="s">
        <v>431</v>
      </c>
      <c r="D271" s="14">
        <v>34.080516857142854</v>
      </c>
      <c r="E271" s="7">
        <v>0.71138211382113825</v>
      </c>
      <c r="F271" s="7"/>
      <c r="G271" s="15">
        <v>15</v>
      </c>
      <c r="H271" s="15">
        <v>5</v>
      </c>
      <c r="I271" t="s">
        <v>686</v>
      </c>
      <c r="J271" s="16" t="s">
        <v>66</v>
      </c>
      <c r="K271" s="15"/>
      <c r="L271" s="4">
        <f>COUNTIFS(tItens[Produto],tProdutos[[#This Row],[Produto]])</f>
        <v>0</v>
      </c>
      <c r="M271" s="4">
        <f>SUMIFS(tItens[Primeira ocorrência],tItens[Produto],tProdutos[[#This Row],[Produto]])</f>
        <v>0</v>
      </c>
      <c r="N271" s="8">
        <f>SUMIFS(tItens[Valor],tItens[Produto],tProdutos[[#This Row],[Produto]])</f>
        <v>0</v>
      </c>
      <c r="O271" s="8">
        <f>SUMIFS(tItens[Valor],tItens[Produto],tProdutos[[#This Row],[Produto]],tItens[SRP],"Sim")</f>
        <v>0</v>
      </c>
      <c r="P271" s="6">
        <f>IF(tProdutos[[#This Row],[Valor janela]]=0,0,tProdutos[[#This Row],[Valor SRP]]/tProdutos[[#This Row],[Valor janela]])</f>
        <v>0</v>
      </c>
      <c r="Q271" s="8">
        <f>tProdutos[[#This Row],[Valor janela]]*DiasMes/DiasJanela</f>
        <v>0</v>
      </c>
      <c r="R271" s="8">
        <f>tProdutos[[#This Row],[Mercado mês ref]]*(1-IF(tProdutos[[#This Row],[Desconto homologado]]="",DescontoPadrao,tProdutos[[#This Row],[Desconto homologado]]))</f>
        <v>0</v>
      </c>
      <c r="S271" t="str">
        <f>IF(ModoFoco="Lista",IF(tProdutos[[#This Row],[Lista definida]]="Sim","Sim","Não"),IF(AND(tProdutos[[#This Row],[Editais]]&gt;=MinEditais,N(tProdutos[[#This Row],[Margem bruta]])&gt;=MargemMin),"Sim","Não"))</f>
        <v>Não</v>
      </c>
      <c r="T271" s="4" t="str">
        <f>IF(tProdutos[[#This Row],[Elegível]]="Sim",COUNTIFS(tProdutos[Elegível],"Sim",tProdutos[Valor janela],"&gt;"&amp;tProdutos[[#This Row],[Valor janela]])+1,"")</f>
        <v/>
      </c>
      <c r="U271" t="str">
        <f>IF(ModoFoco="Lista",tProdutos[[#This Row],[Elegível]],IF(AND(tProdutos[[#This Row],[Posição]]&lt;&gt;"",N(tProdutos[[#This Row],[Posição]])&lt;=TopN),"Sim","Não"))</f>
        <v>Não</v>
      </c>
    </row>
    <row r="272" spans="1:21" x14ac:dyDescent="0.25">
      <c r="A272" t="s">
        <v>687</v>
      </c>
      <c r="B272" t="s">
        <v>688</v>
      </c>
      <c r="C272" t="s">
        <v>431</v>
      </c>
      <c r="D272" s="14">
        <v>34.080516857142854</v>
      </c>
      <c r="E272" s="7">
        <v>0.71138211382113825</v>
      </c>
      <c r="F272" s="7"/>
      <c r="G272" s="15">
        <v>15</v>
      </c>
      <c r="H272" s="15">
        <v>5</v>
      </c>
      <c r="I272" t="s">
        <v>689</v>
      </c>
      <c r="J272" s="16" t="s">
        <v>66</v>
      </c>
      <c r="K272" s="15"/>
      <c r="L272" s="4">
        <f>COUNTIFS(tItens[Produto],tProdutos[[#This Row],[Produto]])</f>
        <v>1</v>
      </c>
      <c r="M272" s="4">
        <f>SUMIFS(tItens[Primeira ocorrência],tItens[Produto],tProdutos[[#This Row],[Produto]])</f>
        <v>1</v>
      </c>
      <c r="N272" s="8">
        <f>SUMIFS(tItens[Valor],tItens[Produto],tProdutos[[#This Row],[Produto]])</f>
        <v>660.5</v>
      </c>
      <c r="O272" s="8">
        <f>SUMIFS(tItens[Valor],tItens[Produto],tProdutos[[#This Row],[Produto]],tItens[SRP],"Sim")</f>
        <v>660.5</v>
      </c>
      <c r="P272" s="6">
        <f>IF(tProdutos[[#This Row],[Valor janela]]=0,0,tProdutos[[#This Row],[Valor SRP]]/tProdutos[[#This Row],[Valor janela]])</f>
        <v>1</v>
      </c>
      <c r="Q272" s="8">
        <f>tProdutos[[#This Row],[Valor janela]]*DiasMes/DiasJanela</f>
        <v>2201.6666666666665</v>
      </c>
      <c r="R272" s="8">
        <f>tProdutos[[#This Row],[Mercado mês ref]]*(1-IF(tProdutos[[#This Row],[Desconto homologado]]="",DescontoPadrao,tProdutos[[#This Row],[Desconto homologado]]))</f>
        <v>1541.1666666666665</v>
      </c>
      <c r="S272" t="str">
        <f>IF(ModoFoco="Lista",IF(tProdutos[[#This Row],[Lista definida]]="Sim","Sim","Não"),IF(AND(tProdutos[[#This Row],[Editais]]&gt;=MinEditais,N(tProdutos[[#This Row],[Margem bruta]])&gt;=MargemMin),"Sim","Não"))</f>
        <v>Não</v>
      </c>
      <c r="T272" s="4" t="str">
        <f>IF(tProdutos[[#This Row],[Elegível]]="Sim",COUNTIFS(tProdutos[Elegível],"Sim",tProdutos[Valor janela],"&gt;"&amp;tProdutos[[#This Row],[Valor janela]])+1,"")</f>
        <v/>
      </c>
      <c r="U272" t="str">
        <f>IF(ModoFoco="Lista",tProdutos[[#This Row],[Elegível]],IF(AND(tProdutos[[#This Row],[Posição]]&lt;&gt;"",N(tProdutos[[#This Row],[Posição]])&lt;=TopN),"Sim","Não"))</f>
        <v>Não</v>
      </c>
    </row>
    <row r="273" spans="1:21" x14ac:dyDescent="0.25">
      <c r="A273" t="s">
        <v>690</v>
      </c>
      <c r="B273" t="s">
        <v>691</v>
      </c>
      <c r="C273" t="s">
        <v>431</v>
      </c>
      <c r="D273" s="14">
        <v>33.291124285714282</v>
      </c>
      <c r="E273" s="7"/>
      <c r="F273" s="7">
        <v>0.47738981110475098</v>
      </c>
      <c r="G273" s="15"/>
      <c r="H273" s="15">
        <v>5</v>
      </c>
      <c r="I273" t="s">
        <v>692</v>
      </c>
      <c r="J273" s="16" t="s">
        <v>66</v>
      </c>
      <c r="K273" s="15"/>
      <c r="L273" s="4">
        <f>COUNTIFS(tItens[Produto],tProdutos[[#This Row],[Produto]])</f>
        <v>0</v>
      </c>
      <c r="M273" s="4">
        <f>SUMIFS(tItens[Primeira ocorrência],tItens[Produto],tProdutos[[#This Row],[Produto]])</f>
        <v>0</v>
      </c>
      <c r="N273" s="8">
        <f>SUMIFS(tItens[Valor],tItens[Produto],tProdutos[[#This Row],[Produto]])</f>
        <v>0</v>
      </c>
      <c r="O273" s="8">
        <f>SUMIFS(tItens[Valor],tItens[Produto],tProdutos[[#This Row],[Produto]],tItens[SRP],"Sim")</f>
        <v>0</v>
      </c>
      <c r="P273" s="6">
        <f>IF(tProdutos[[#This Row],[Valor janela]]=0,0,tProdutos[[#This Row],[Valor SRP]]/tProdutos[[#This Row],[Valor janela]])</f>
        <v>0</v>
      </c>
      <c r="Q273" s="8">
        <f>tProdutos[[#This Row],[Valor janela]]*DiasMes/DiasJanela</f>
        <v>0</v>
      </c>
      <c r="R273" s="8">
        <f>tProdutos[[#This Row],[Mercado mês ref]]*(1-IF(tProdutos[[#This Row],[Desconto homologado]]="",DescontoPadrao,tProdutos[[#This Row],[Desconto homologado]]))</f>
        <v>0</v>
      </c>
      <c r="S273" t="str">
        <f>IF(ModoFoco="Lista",IF(tProdutos[[#This Row],[Lista definida]]="Sim","Sim","Não"),IF(AND(tProdutos[[#This Row],[Editais]]&gt;=MinEditais,N(tProdutos[[#This Row],[Margem bruta]])&gt;=MargemMin),"Sim","Não"))</f>
        <v>Não</v>
      </c>
      <c r="T273" s="4" t="str">
        <f>IF(tProdutos[[#This Row],[Elegível]]="Sim",COUNTIFS(tProdutos[Elegível],"Sim",tProdutos[Valor janela],"&gt;"&amp;tProdutos[[#This Row],[Valor janela]])+1,"")</f>
        <v/>
      </c>
      <c r="U273" t="str">
        <f>IF(ModoFoco="Lista",tProdutos[[#This Row],[Elegível]],IF(AND(tProdutos[[#This Row],[Posição]]&lt;&gt;"",N(tProdutos[[#This Row],[Posição]])&lt;=TopN),"Sim","Não"))</f>
        <v>Não</v>
      </c>
    </row>
    <row r="274" spans="1:21" x14ac:dyDescent="0.25">
      <c r="A274" t="s">
        <v>693</v>
      </c>
      <c r="B274" t="s">
        <v>694</v>
      </c>
      <c r="C274" t="s">
        <v>431</v>
      </c>
      <c r="D274" s="14">
        <v>31.650575714285708</v>
      </c>
      <c r="E274" s="7"/>
      <c r="F274" s="7">
        <v>0.61577111781048699</v>
      </c>
      <c r="G274" s="15"/>
      <c r="H274" s="15">
        <v>22</v>
      </c>
      <c r="I274" t="s">
        <v>695</v>
      </c>
      <c r="J274" s="16" t="s">
        <v>66</v>
      </c>
      <c r="K274" s="15"/>
      <c r="L274" s="4">
        <f>COUNTIFS(tItens[Produto],tProdutos[[#This Row],[Produto]])</f>
        <v>17</v>
      </c>
      <c r="M274" s="4">
        <f>SUMIFS(tItens[Primeira ocorrência],tItens[Produto],tProdutos[[#This Row],[Produto]])</f>
        <v>13</v>
      </c>
      <c r="N274" s="8">
        <f>SUMIFS(tItens[Valor],tItens[Produto],tProdutos[[#This Row],[Produto]])</f>
        <v>55448.079999999994</v>
      </c>
      <c r="O274" s="8">
        <f>SUMIFS(tItens[Valor],tItens[Produto],tProdutos[[#This Row],[Produto]],tItens[SRP],"Sim")</f>
        <v>22155.39</v>
      </c>
      <c r="P274" s="6">
        <f>IF(tProdutos[[#This Row],[Valor janela]]=0,0,tProdutos[[#This Row],[Valor SRP]]/tProdutos[[#This Row],[Valor janela]])</f>
        <v>0.39957001216272958</v>
      </c>
      <c r="Q274" s="8">
        <f>tProdutos[[#This Row],[Valor janela]]*DiasMes/DiasJanela</f>
        <v>184826.93333333332</v>
      </c>
      <c r="R274" s="8">
        <f>tProdutos[[#This Row],[Mercado mês ref]]*(1-IF(tProdutos[[#This Row],[Desconto homologado]]="",DescontoPadrao,tProdutos[[#This Row],[Desconto homologado]]))</f>
        <v>71015.845993182302</v>
      </c>
      <c r="S274" t="str">
        <f>IF(ModoFoco="Lista",IF(tProdutos[[#This Row],[Lista definida]]="Sim","Sim","Não"),IF(AND(tProdutos[[#This Row],[Editais]]&gt;=MinEditais,N(tProdutos[[#This Row],[Margem bruta]])&gt;=MargemMin),"Sim","Não"))</f>
        <v>Não</v>
      </c>
      <c r="T274" s="4" t="str">
        <f>IF(tProdutos[[#This Row],[Elegível]]="Sim",COUNTIFS(tProdutos[Elegível],"Sim",tProdutos[Valor janela],"&gt;"&amp;tProdutos[[#This Row],[Valor janela]])+1,"")</f>
        <v/>
      </c>
      <c r="U274" t="str">
        <f>IF(ModoFoco="Lista",tProdutos[[#This Row],[Elegível]],IF(AND(tProdutos[[#This Row],[Posição]]&lt;&gt;"",N(tProdutos[[#This Row],[Posição]])&lt;=TopN),"Sim","Não"))</f>
        <v>Não</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1D312-9CA4-452D-AA48-A48EDDA4E1A4}">
  <dimension ref="A1:P657"/>
  <sheetViews>
    <sheetView workbookViewId="0">
      <pane ySplit="1" topLeftCell="A2" activePane="bottomLeft" state="frozenSplit"/>
      <selection pane="bottomLeft"/>
    </sheetView>
  </sheetViews>
  <sheetFormatPr defaultRowHeight="15" x14ac:dyDescent="0.25"/>
  <cols>
    <col min="1" max="1" width="28.7109375" bestFit="1" customWidth="1"/>
    <col min="2" max="2" width="85.28515625" bestFit="1" customWidth="1"/>
    <col min="3" max="3" width="27.7109375" bestFit="1" customWidth="1"/>
    <col min="4" max="4" width="5.5703125" bestFit="1" customWidth="1"/>
    <col min="5" max="5" width="31.140625" bestFit="1" customWidth="1"/>
    <col min="6" max="6" width="16.140625" bestFit="1" customWidth="1"/>
    <col min="7" max="7" width="16.28515625" bestFit="1" customWidth="1"/>
    <col min="8" max="9" width="60.7109375" customWidth="1"/>
    <col min="10" max="10" width="6.85546875" bestFit="1" customWidth="1"/>
    <col min="11" max="11" width="18.140625" bestFit="1" customWidth="1"/>
    <col min="12" max="12" width="15" bestFit="1" customWidth="1"/>
    <col min="13" max="13" width="15.28515625" bestFit="1" customWidth="1"/>
    <col min="14" max="14" width="24.28515625" bestFit="1" customWidth="1"/>
    <col min="15" max="15" width="7.85546875" bestFit="1" customWidth="1"/>
    <col min="16" max="16" width="10" bestFit="1" customWidth="1"/>
  </cols>
  <sheetData>
    <row r="1" spans="1:16" x14ac:dyDescent="0.25">
      <c r="A1" t="s">
        <v>696</v>
      </c>
      <c r="B1" t="s">
        <v>697</v>
      </c>
      <c r="C1" t="s">
        <v>698</v>
      </c>
      <c r="D1" t="s">
        <v>699</v>
      </c>
      <c r="E1" t="s">
        <v>700</v>
      </c>
      <c r="F1" t="s">
        <v>701</v>
      </c>
      <c r="G1" t="s">
        <v>702</v>
      </c>
      <c r="H1" t="s">
        <v>703</v>
      </c>
      <c r="I1" t="s">
        <v>704</v>
      </c>
      <c r="J1" t="s">
        <v>705</v>
      </c>
      <c r="K1" t="s">
        <v>706</v>
      </c>
      <c r="L1" t="s">
        <v>707</v>
      </c>
      <c r="M1" t="s">
        <v>708</v>
      </c>
      <c r="N1" t="s">
        <v>709</v>
      </c>
      <c r="O1" t="s">
        <v>710</v>
      </c>
      <c r="P1" t="s">
        <v>711</v>
      </c>
    </row>
    <row r="2" spans="1:16" x14ac:dyDescent="0.25">
      <c r="A2" t="s">
        <v>712</v>
      </c>
      <c r="B2" t="s">
        <v>713</v>
      </c>
      <c r="C2" t="s">
        <v>714</v>
      </c>
      <c r="D2" t="s">
        <v>715</v>
      </c>
      <c r="E2" t="s">
        <v>716</v>
      </c>
      <c r="F2" s="11">
        <v>46304.385416666664</v>
      </c>
      <c r="G2">
        <v>38</v>
      </c>
      <c r="H2" t="s">
        <v>717</v>
      </c>
      <c r="I2" t="s">
        <v>718</v>
      </c>
      <c r="J2" t="str">
        <f>IF(ISNUMBER(SEARCH("registro de pre",tEditais[[#This Row],[Objeto]])),"Sim","Não")</f>
        <v>Não</v>
      </c>
      <c r="K2" s="4">
        <f>COUNTIFS(tItens[Edital],tEditais[[#This Row],[Edital]])</f>
        <v>3</v>
      </c>
      <c r="L2" s="4">
        <f>COUNTIFS(tItens[Edital],tEditais[[#This Row],[Edital]],tItens[Foco],"Sim")</f>
        <v>0</v>
      </c>
      <c r="M2" s="8">
        <f>SUMIFS(tItens[Valor],tItens[Edital],tEditais[[#This Row],[Edital]])</f>
        <v>0</v>
      </c>
      <c r="N2" s="8">
        <f>SUMIFS(tItens[Valor homologado],tItens[Edital],tEditais[[#This Row],[Edital]],tItens[Foco],"Sim")</f>
        <v>0</v>
      </c>
      <c r="O2" t="str">
        <f>IF(tEditais[[#This Row],[Itens do foco]]=0,"",IF(tEditais[[#This Row],[Valor foco homologado]]&lt;=0,"Sem valor",IF(tEditais[[#This Row],[Valor foco homologado]]&gt;=FaixaA_Min,"A",IF(tEditais[[#This Row],[Valor foco homologado]]&gt;=FaixaB_Min,"B","C"))))</f>
        <v/>
      </c>
      <c r="P2" t="str">
        <f ca="1">IF(tEditais[[#This Row],[Encerramento]]&gt;NOW(),"Aberto","Encerrado")</f>
        <v>Encerrado</v>
      </c>
    </row>
    <row r="3" spans="1:16" x14ac:dyDescent="0.25">
      <c r="A3" t="s">
        <v>719</v>
      </c>
      <c r="B3" t="s">
        <v>713</v>
      </c>
      <c r="C3" t="s">
        <v>714</v>
      </c>
      <c r="D3" t="s">
        <v>715</v>
      </c>
      <c r="E3" t="s">
        <v>716</v>
      </c>
      <c r="F3" s="11">
        <v>46304.385416666664</v>
      </c>
      <c r="G3">
        <v>65</v>
      </c>
      <c r="H3" t="s">
        <v>720</v>
      </c>
      <c r="I3" t="s">
        <v>721</v>
      </c>
      <c r="J3" t="str">
        <f>IF(ISNUMBER(SEARCH("registro de pre",tEditais[[#This Row],[Objeto]])),"Sim","Não")</f>
        <v>Não</v>
      </c>
      <c r="K3" s="4">
        <f>COUNTIFS(tItens[Edital],tEditais[[#This Row],[Edital]])</f>
        <v>4</v>
      </c>
      <c r="L3" s="4">
        <f>COUNTIFS(tItens[Edital],tEditais[[#This Row],[Edital]],tItens[Foco],"Sim")</f>
        <v>0</v>
      </c>
      <c r="M3" s="8">
        <f>SUMIFS(tItens[Valor],tItens[Edital],tEditais[[#This Row],[Edital]])</f>
        <v>0</v>
      </c>
      <c r="N3" s="8">
        <f>SUMIFS(tItens[Valor homologado],tItens[Edital],tEditais[[#This Row],[Edital]],tItens[Foco],"Sim")</f>
        <v>0</v>
      </c>
      <c r="O3" t="str">
        <f>IF(tEditais[[#This Row],[Itens do foco]]=0,"",IF(tEditais[[#This Row],[Valor foco homologado]]&lt;=0,"Sem valor",IF(tEditais[[#This Row],[Valor foco homologado]]&gt;=FaixaA_Min,"A",IF(tEditais[[#This Row],[Valor foco homologado]]&gt;=FaixaB_Min,"B","C"))))</f>
        <v/>
      </c>
      <c r="P3" t="str">
        <f ca="1">IF(tEditais[[#This Row],[Encerramento]]&gt;NOW(),"Aberto","Encerrado")</f>
        <v>Encerrado</v>
      </c>
    </row>
    <row r="4" spans="1:16" x14ac:dyDescent="0.25">
      <c r="A4" t="s">
        <v>722</v>
      </c>
      <c r="B4" t="s">
        <v>723</v>
      </c>
      <c r="C4" t="s">
        <v>724</v>
      </c>
      <c r="D4" t="s">
        <v>715</v>
      </c>
      <c r="E4" t="s">
        <v>716</v>
      </c>
      <c r="F4" s="11">
        <v>46308.4375</v>
      </c>
      <c r="G4">
        <v>168</v>
      </c>
      <c r="H4" t="s">
        <v>725</v>
      </c>
      <c r="I4" t="s">
        <v>726</v>
      </c>
      <c r="J4" t="str">
        <f>IF(ISNUMBER(SEARCH("registro de pre",tEditais[[#This Row],[Objeto]])),"Sim","Não")</f>
        <v>Sim</v>
      </c>
      <c r="K4" s="4">
        <f>COUNTIFS(tItens[Edital],tEditais[[#This Row],[Edital]])</f>
        <v>9</v>
      </c>
      <c r="L4" s="4">
        <f>COUNTIFS(tItens[Edital],tEditais[[#This Row],[Edital]],tItens[Foco],"Sim")</f>
        <v>2</v>
      </c>
      <c r="M4" s="8">
        <f>SUMIFS(tItens[Valor],tItens[Edital],tEditais[[#This Row],[Edital]])</f>
        <v>0</v>
      </c>
      <c r="N4" s="8">
        <f>SUMIFS(tItens[Valor homologado],tItens[Edital],tEditais[[#This Row],[Edital]],tItens[Foco],"Sim")</f>
        <v>0</v>
      </c>
      <c r="O4" t="str">
        <f>IF(tEditais[[#This Row],[Itens do foco]]=0,"",IF(tEditais[[#This Row],[Valor foco homologado]]&lt;=0,"Sem valor",IF(tEditais[[#This Row],[Valor foco homologado]]&gt;=FaixaA_Min,"A",IF(tEditais[[#This Row],[Valor foco homologado]]&gt;=FaixaB_Min,"B","C"))))</f>
        <v>Sem valor</v>
      </c>
      <c r="P4" t="str">
        <f ca="1">IF(tEditais[[#This Row],[Encerramento]]&gt;NOW(),"Aberto","Encerrado")</f>
        <v>Encerrado</v>
      </c>
    </row>
    <row r="5" spans="1:16" x14ac:dyDescent="0.25">
      <c r="A5" t="s">
        <v>727</v>
      </c>
      <c r="B5" t="s">
        <v>728</v>
      </c>
      <c r="C5" t="s">
        <v>729</v>
      </c>
      <c r="D5" t="s">
        <v>730</v>
      </c>
      <c r="E5" t="s">
        <v>716</v>
      </c>
      <c r="F5" s="11">
        <v>46308.333333333336</v>
      </c>
      <c r="G5">
        <v>29</v>
      </c>
      <c r="H5" t="s">
        <v>731</v>
      </c>
      <c r="I5" t="s">
        <v>732</v>
      </c>
      <c r="J5" t="str">
        <f>IF(ISNUMBER(SEARCH("registro de pre",tEditais[[#This Row],[Objeto]])),"Sim","Não")</f>
        <v>Sim</v>
      </c>
      <c r="K5" s="4">
        <f>COUNTIFS(tItens[Edital],tEditais[[#This Row],[Edital]])</f>
        <v>1</v>
      </c>
      <c r="L5" s="4">
        <f>COUNTIFS(tItens[Edital],tEditais[[#This Row],[Edital]],tItens[Foco],"Sim")</f>
        <v>1</v>
      </c>
      <c r="M5" s="8">
        <f>SUMIFS(tItens[Valor],tItens[Edital],tEditais[[#This Row],[Edital]])</f>
        <v>220</v>
      </c>
      <c r="N5" s="8">
        <f>SUMIFS(tItens[Valor homologado],tItens[Edital],tEditais[[#This Row],[Edital]],tItens[Foco],"Sim")</f>
        <v>147.39999999999998</v>
      </c>
      <c r="O5" t="str">
        <f>IF(tEditais[[#This Row],[Itens do foco]]=0,"",IF(tEditais[[#This Row],[Valor foco homologado]]&lt;=0,"Sem valor",IF(tEditais[[#This Row],[Valor foco homologado]]&gt;=FaixaA_Min,"A",IF(tEditais[[#This Row],[Valor foco homologado]]&gt;=FaixaB_Min,"B","C"))))</f>
        <v>C</v>
      </c>
      <c r="P5" t="str">
        <f ca="1">IF(tEditais[[#This Row],[Encerramento]]&gt;NOW(),"Aberto","Encerrado")</f>
        <v>Encerrado</v>
      </c>
    </row>
    <row r="6" spans="1:16" x14ac:dyDescent="0.25">
      <c r="A6" t="s">
        <v>733</v>
      </c>
      <c r="B6" t="s">
        <v>734</v>
      </c>
      <c r="C6" t="s">
        <v>735</v>
      </c>
      <c r="D6" t="s">
        <v>730</v>
      </c>
      <c r="E6" t="s">
        <v>716</v>
      </c>
      <c r="F6" s="11">
        <v>46308.354166666664</v>
      </c>
      <c r="G6">
        <v>187</v>
      </c>
      <c r="H6" t="s">
        <v>736</v>
      </c>
      <c r="I6" t="s">
        <v>737</v>
      </c>
      <c r="J6" t="str">
        <f>IF(ISNUMBER(SEARCH("registro de pre",tEditais[[#This Row],[Objeto]])),"Sim","Não")</f>
        <v>Não</v>
      </c>
      <c r="K6" s="4">
        <f>COUNTIFS(tItens[Edital],tEditais[[#This Row],[Edital]])</f>
        <v>72</v>
      </c>
      <c r="L6" s="4">
        <f>COUNTIFS(tItens[Edital],tEditais[[#This Row],[Edital]],tItens[Foco],"Sim")</f>
        <v>2</v>
      </c>
      <c r="M6" s="8">
        <f>SUMIFS(tItens[Valor],tItens[Edital],tEditais[[#This Row],[Edital]])</f>
        <v>713246.27999999991</v>
      </c>
      <c r="N6" s="8">
        <f>SUMIFS(tItens[Valor homologado],tItens[Edital],tEditais[[#This Row],[Edital]],tItens[Foco],"Sim")</f>
        <v>10772.079999999998</v>
      </c>
      <c r="O6" t="str">
        <f>IF(tEditais[[#This Row],[Itens do foco]]=0,"",IF(tEditais[[#This Row],[Valor foco homologado]]&lt;=0,"Sem valor",IF(tEditais[[#This Row],[Valor foco homologado]]&gt;=FaixaA_Min,"A",IF(tEditais[[#This Row],[Valor foco homologado]]&gt;=FaixaB_Min,"B","C"))))</f>
        <v>C</v>
      </c>
      <c r="P6" t="str">
        <f ca="1">IF(tEditais[[#This Row],[Encerramento]]&gt;NOW(),"Aberto","Encerrado")</f>
        <v>Encerrado</v>
      </c>
    </row>
    <row r="7" spans="1:16" x14ac:dyDescent="0.25">
      <c r="A7" t="s">
        <v>738</v>
      </c>
      <c r="B7" t="s">
        <v>739</v>
      </c>
      <c r="C7" t="s">
        <v>740</v>
      </c>
      <c r="D7" t="s">
        <v>730</v>
      </c>
      <c r="E7" t="s">
        <v>716</v>
      </c>
      <c r="F7" s="11">
        <v>46308.375</v>
      </c>
      <c r="G7">
        <v>9</v>
      </c>
      <c r="H7" t="s">
        <v>741</v>
      </c>
      <c r="I7" t="s">
        <v>742</v>
      </c>
      <c r="J7" t="str">
        <f>IF(ISNUMBER(SEARCH("registro de pre",tEditais[[#This Row],[Objeto]])),"Sim","Não")</f>
        <v>Não</v>
      </c>
      <c r="K7" s="4">
        <f>COUNTIFS(tItens[Edital],tEditais[[#This Row],[Edital]])</f>
        <v>4</v>
      </c>
      <c r="L7" s="4">
        <f>COUNTIFS(tItens[Edital],tEditais[[#This Row],[Edital]],tItens[Foco],"Sim")</f>
        <v>0</v>
      </c>
      <c r="M7" s="8">
        <f>SUMIFS(tItens[Valor],tItens[Edital],tEditais[[#This Row],[Edital]])</f>
        <v>0</v>
      </c>
      <c r="N7" s="8">
        <f>SUMIFS(tItens[Valor homologado],tItens[Edital],tEditais[[#This Row],[Edital]],tItens[Foco],"Sim")</f>
        <v>0</v>
      </c>
      <c r="O7" t="str">
        <f>IF(tEditais[[#This Row],[Itens do foco]]=0,"",IF(tEditais[[#This Row],[Valor foco homologado]]&lt;=0,"Sem valor",IF(tEditais[[#This Row],[Valor foco homologado]]&gt;=FaixaA_Min,"A",IF(tEditais[[#This Row],[Valor foco homologado]]&gt;=FaixaB_Min,"B","C"))))</f>
        <v/>
      </c>
      <c r="P7" t="str">
        <f ca="1">IF(tEditais[[#This Row],[Encerramento]]&gt;NOW(),"Aberto","Encerrado")</f>
        <v>Encerrado</v>
      </c>
    </row>
    <row r="8" spans="1:16" x14ac:dyDescent="0.25">
      <c r="A8" t="s">
        <v>743</v>
      </c>
      <c r="B8" t="s">
        <v>744</v>
      </c>
      <c r="C8" t="s">
        <v>740</v>
      </c>
      <c r="D8" t="s">
        <v>730</v>
      </c>
      <c r="E8" t="s">
        <v>716</v>
      </c>
      <c r="F8" s="11">
        <v>46308.375</v>
      </c>
      <c r="G8">
        <v>207</v>
      </c>
      <c r="H8" t="s">
        <v>745</v>
      </c>
      <c r="I8" t="s">
        <v>746</v>
      </c>
      <c r="J8" t="str">
        <f>IF(ISNUMBER(SEARCH("registro de pre",tEditais[[#This Row],[Objeto]])),"Sim","Não")</f>
        <v>Não</v>
      </c>
      <c r="K8" s="4">
        <f>COUNTIFS(tItens[Edital],tEditais[[#This Row],[Edital]])</f>
        <v>29</v>
      </c>
      <c r="L8" s="4">
        <f>COUNTIFS(tItens[Edital],tEditais[[#This Row],[Edital]],tItens[Foco],"Sim")</f>
        <v>2</v>
      </c>
      <c r="M8" s="8">
        <f>SUMIFS(tItens[Valor],tItens[Edital],tEditais[[#This Row],[Edital]])</f>
        <v>36662.049999999996</v>
      </c>
      <c r="N8" s="8">
        <f>SUMIFS(tItens[Valor homologado],tItens[Edital],tEditais[[#This Row],[Edital]],tItens[Foco],"Sim")</f>
        <v>107.07839999999999</v>
      </c>
      <c r="O8" t="str">
        <f>IF(tEditais[[#This Row],[Itens do foco]]=0,"",IF(tEditais[[#This Row],[Valor foco homologado]]&lt;=0,"Sem valor",IF(tEditais[[#This Row],[Valor foco homologado]]&gt;=FaixaA_Min,"A",IF(tEditais[[#This Row],[Valor foco homologado]]&gt;=FaixaB_Min,"B","C"))))</f>
        <v>C</v>
      </c>
      <c r="P8" t="str">
        <f ca="1">IF(tEditais[[#This Row],[Encerramento]]&gt;NOW(),"Aberto","Encerrado")</f>
        <v>Encerrado</v>
      </c>
    </row>
    <row r="9" spans="1:16" x14ac:dyDescent="0.25">
      <c r="A9" t="s">
        <v>747</v>
      </c>
      <c r="B9" t="s">
        <v>748</v>
      </c>
      <c r="C9" t="s">
        <v>740</v>
      </c>
      <c r="D9" t="s">
        <v>730</v>
      </c>
      <c r="E9" t="s">
        <v>716</v>
      </c>
      <c r="F9" s="11">
        <v>46309.375</v>
      </c>
      <c r="G9">
        <v>1</v>
      </c>
      <c r="H9" t="s">
        <v>749</v>
      </c>
      <c r="I9" t="s">
        <v>750</v>
      </c>
      <c r="J9" t="str">
        <f>IF(ISNUMBER(SEARCH("registro de pre",tEditais[[#This Row],[Objeto]])),"Sim","Não")</f>
        <v>Não</v>
      </c>
      <c r="K9" s="4">
        <f>COUNTIFS(tItens[Edital],tEditais[[#This Row],[Edital]])</f>
        <v>1</v>
      </c>
      <c r="L9" s="4">
        <f>COUNTIFS(tItens[Edital],tEditais[[#This Row],[Edital]],tItens[Foco],"Sim")</f>
        <v>0</v>
      </c>
      <c r="M9" s="8">
        <f>SUMIFS(tItens[Valor],tItens[Edital],tEditais[[#This Row],[Edital]])</f>
        <v>0</v>
      </c>
      <c r="N9" s="8">
        <f>SUMIFS(tItens[Valor homologado],tItens[Edital],tEditais[[#This Row],[Edital]],tItens[Foco],"Sim")</f>
        <v>0</v>
      </c>
      <c r="O9" t="str">
        <f>IF(tEditais[[#This Row],[Itens do foco]]=0,"",IF(tEditais[[#This Row],[Valor foco homologado]]&lt;=0,"Sem valor",IF(tEditais[[#This Row],[Valor foco homologado]]&gt;=FaixaA_Min,"A",IF(tEditais[[#This Row],[Valor foco homologado]]&gt;=FaixaB_Min,"B","C"))))</f>
        <v/>
      </c>
      <c r="P9" t="str">
        <f ca="1">IF(tEditais[[#This Row],[Encerramento]]&gt;NOW(),"Aberto","Encerrado")</f>
        <v>Encerrado</v>
      </c>
    </row>
    <row r="10" spans="1:16" x14ac:dyDescent="0.25">
      <c r="A10" t="s">
        <v>751</v>
      </c>
      <c r="B10" t="s">
        <v>752</v>
      </c>
      <c r="C10" t="s">
        <v>753</v>
      </c>
      <c r="D10" t="s">
        <v>730</v>
      </c>
      <c r="E10" t="s">
        <v>716</v>
      </c>
      <c r="F10" s="11">
        <v>46309.375</v>
      </c>
      <c r="G10">
        <v>51</v>
      </c>
      <c r="I10" t="s">
        <v>754</v>
      </c>
      <c r="J10" t="str">
        <f>IF(ISNUMBER(SEARCH("registro de pre",tEditais[[#This Row],[Objeto]])),"Sim","Não")</f>
        <v>Sim</v>
      </c>
      <c r="K10" s="4">
        <f>COUNTIFS(tItens[Edital],tEditais[[#This Row],[Edital]])</f>
        <v>1</v>
      </c>
      <c r="L10" s="4">
        <f>COUNTIFS(tItens[Edital],tEditais[[#This Row],[Edital]],tItens[Foco],"Sim")</f>
        <v>1</v>
      </c>
      <c r="M10" s="8">
        <f>SUMIFS(tItens[Valor],tItens[Edital],tEditais[[#This Row],[Edital]])</f>
        <v>0</v>
      </c>
      <c r="N10" s="8">
        <f>SUMIFS(tItens[Valor homologado],tItens[Edital],tEditais[[#This Row],[Edital]],tItens[Foco],"Sim")</f>
        <v>0</v>
      </c>
      <c r="O10" t="str">
        <f>IF(tEditais[[#This Row],[Itens do foco]]=0,"",IF(tEditais[[#This Row],[Valor foco homologado]]&lt;=0,"Sem valor",IF(tEditais[[#This Row],[Valor foco homologado]]&gt;=FaixaA_Min,"A",IF(tEditais[[#This Row],[Valor foco homologado]]&gt;=FaixaB_Min,"B","C"))))</f>
        <v>Sem valor</v>
      </c>
      <c r="P10" t="str">
        <f ca="1">IF(tEditais[[#This Row],[Encerramento]]&gt;NOW(),"Aberto","Encerrado")</f>
        <v>Encerrado</v>
      </c>
    </row>
    <row r="11" spans="1:16" x14ac:dyDescent="0.25">
      <c r="A11" t="s">
        <v>755</v>
      </c>
      <c r="B11" t="s">
        <v>748</v>
      </c>
      <c r="C11" t="s">
        <v>740</v>
      </c>
      <c r="D11" t="s">
        <v>730</v>
      </c>
      <c r="E11" t="s">
        <v>716</v>
      </c>
      <c r="F11" s="11">
        <v>46311.375</v>
      </c>
      <c r="G11">
        <v>10</v>
      </c>
      <c r="H11" t="s">
        <v>756</v>
      </c>
      <c r="I11" t="s">
        <v>757</v>
      </c>
      <c r="J11" t="str">
        <f>IF(ISNUMBER(SEARCH("registro de pre",tEditais[[#This Row],[Objeto]])),"Sim","Não")</f>
        <v>Sim</v>
      </c>
      <c r="K11" s="4">
        <f>COUNTIFS(tItens[Edital],tEditais[[#This Row],[Edital]])</f>
        <v>2</v>
      </c>
      <c r="L11" s="4">
        <f>COUNTIFS(tItens[Edital],tEditais[[#This Row],[Edital]],tItens[Foco],"Sim")</f>
        <v>0</v>
      </c>
      <c r="M11" s="8">
        <f>SUMIFS(tItens[Valor],tItens[Edital],tEditais[[#This Row],[Edital]])</f>
        <v>0</v>
      </c>
      <c r="N11" s="8">
        <f>SUMIFS(tItens[Valor homologado],tItens[Edital],tEditais[[#This Row],[Edital]],tItens[Foco],"Sim")</f>
        <v>0</v>
      </c>
      <c r="O11" t="str">
        <f>IF(tEditais[[#This Row],[Itens do foco]]=0,"",IF(tEditais[[#This Row],[Valor foco homologado]]&lt;=0,"Sem valor",IF(tEditais[[#This Row],[Valor foco homologado]]&gt;=FaixaA_Min,"A",IF(tEditais[[#This Row],[Valor foco homologado]]&gt;=FaixaB_Min,"B","C"))))</f>
        <v/>
      </c>
      <c r="P11" t="str">
        <f ca="1">IF(tEditais[[#This Row],[Encerramento]]&gt;NOW(),"Aberto","Encerrado")</f>
        <v>Aberto</v>
      </c>
    </row>
    <row r="12" spans="1:16" x14ac:dyDescent="0.25">
      <c r="A12" t="s">
        <v>758</v>
      </c>
      <c r="B12" t="s">
        <v>759</v>
      </c>
      <c r="C12" t="s">
        <v>760</v>
      </c>
      <c r="D12" t="s">
        <v>730</v>
      </c>
      <c r="E12" t="s">
        <v>716</v>
      </c>
      <c r="F12" s="11">
        <v>46311.416666666664</v>
      </c>
      <c r="G12">
        <v>12</v>
      </c>
      <c r="H12" t="s">
        <v>761</v>
      </c>
      <c r="I12" t="s">
        <v>762</v>
      </c>
      <c r="J12" t="str">
        <f>IF(ISNUMBER(SEARCH("registro de pre",tEditais[[#This Row],[Objeto]])),"Sim","Não")</f>
        <v>Sim</v>
      </c>
      <c r="K12" s="4">
        <f>COUNTIFS(tItens[Edital],tEditais[[#This Row],[Edital]])</f>
        <v>12</v>
      </c>
      <c r="L12" s="4">
        <f>COUNTIFS(tItens[Edital],tEditais[[#This Row],[Edital]],tItens[Foco],"Sim")</f>
        <v>0</v>
      </c>
      <c r="M12" s="8">
        <f>SUMIFS(tItens[Valor],tItens[Edital],tEditais[[#This Row],[Edital]])</f>
        <v>0</v>
      </c>
      <c r="N12" s="8">
        <f>SUMIFS(tItens[Valor homologado],tItens[Edital],tEditais[[#This Row],[Edital]],tItens[Foco],"Sim")</f>
        <v>0</v>
      </c>
      <c r="O12" t="str">
        <f>IF(tEditais[[#This Row],[Itens do foco]]=0,"",IF(tEditais[[#This Row],[Valor foco homologado]]&lt;=0,"Sem valor",IF(tEditais[[#This Row],[Valor foco homologado]]&gt;=FaixaA_Min,"A",IF(tEditais[[#This Row],[Valor foco homologado]]&gt;=FaixaB_Min,"B","C"))))</f>
        <v/>
      </c>
      <c r="P12" t="str">
        <f ca="1">IF(tEditais[[#This Row],[Encerramento]]&gt;NOW(),"Aberto","Encerrado")</f>
        <v>Aberto</v>
      </c>
    </row>
    <row r="13" spans="1:16" x14ac:dyDescent="0.25">
      <c r="A13" t="s">
        <v>763</v>
      </c>
      <c r="B13" t="s">
        <v>748</v>
      </c>
      <c r="C13" t="s">
        <v>740</v>
      </c>
      <c r="D13" t="s">
        <v>730</v>
      </c>
      <c r="E13" t="s">
        <v>716</v>
      </c>
      <c r="F13" s="11">
        <v>46314.375</v>
      </c>
      <c r="G13">
        <v>44</v>
      </c>
      <c r="H13" t="s">
        <v>764</v>
      </c>
      <c r="I13" t="s">
        <v>765</v>
      </c>
      <c r="J13" t="str">
        <f>IF(ISNUMBER(SEARCH("registro de pre",tEditais[[#This Row],[Objeto]])),"Sim","Não")</f>
        <v>Sim</v>
      </c>
      <c r="K13" s="4">
        <f>COUNTIFS(tItens[Edital],tEditais[[#This Row],[Edital]])</f>
        <v>10</v>
      </c>
      <c r="L13" s="4">
        <f>COUNTIFS(tItens[Edital],tEditais[[#This Row],[Edital]],tItens[Foco],"Sim")</f>
        <v>3</v>
      </c>
      <c r="M13" s="8">
        <f>SUMIFS(tItens[Valor],tItens[Edital],tEditais[[#This Row],[Edital]])</f>
        <v>0</v>
      </c>
      <c r="N13" s="8">
        <f>SUMIFS(tItens[Valor homologado],tItens[Edital],tEditais[[#This Row],[Edital]],tItens[Foco],"Sim")</f>
        <v>0</v>
      </c>
      <c r="O13" t="str">
        <f>IF(tEditais[[#This Row],[Itens do foco]]=0,"",IF(tEditais[[#This Row],[Valor foco homologado]]&lt;=0,"Sem valor",IF(tEditais[[#This Row],[Valor foco homologado]]&gt;=FaixaA_Min,"A",IF(tEditais[[#This Row],[Valor foco homologado]]&gt;=FaixaB_Min,"B","C"))))</f>
        <v>Sem valor</v>
      </c>
      <c r="P13" t="str">
        <f ca="1">IF(tEditais[[#This Row],[Encerramento]]&gt;NOW(),"Aberto","Encerrado")</f>
        <v>Aberto</v>
      </c>
    </row>
    <row r="14" spans="1:16" x14ac:dyDescent="0.25">
      <c r="A14" t="s">
        <v>766</v>
      </c>
      <c r="B14" t="s">
        <v>767</v>
      </c>
      <c r="C14" t="s">
        <v>768</v>
      </c>
      <c r="D14" t="s">
        <v>769</v>
      </c>
      <c r="E14" t="s">
        <v>716</v>
      </c>
      <c r="F14" s="11">
        <v>46308.291666666664</v>
      </c>
      <c r="G14">
        <v>197</v>
      </c>
      <c r="H14" t="s">
        <v>770</v>
      </c>
      <c r="I14" t="s">
        <v>771</v>
      </c>
      <c r="J14" t="str">
        <f>IF(ISNUMBER(SEARCH("registro de pre",tEditais[[#This Row],[Objeto]])),"Sim","Não")</f>
        <v>Sim</v>
      </c>
      <c r="K14" s="4">
        <f>COUNTIFS(tItens[Edital],tEditais[[#This Row],[Edital]])</f>
        <v>14</v>
      </c>
      <c r="L14" s="4">
        <f>COUNTIFS(tItens[Edital],tEditais[[#This Row],[Edital]],tItens[Foco],"Sim")</f>
        <v>3</v>
      </c>
      <c r="M14" s="8">
        <f>SUMIFS(tItens[Valor],tItens[Edital],tEditais[[#This Row],[Edital]])</f>
        <v>0</v>
      </c>
      <c r="N14" s="8">
        <f>SUMIFS(tItens[Valor homologado],tItens[Edital],tEditais[[#This Row],[Edital]],tItens[Foco],"Sim")</f>
        <v>0</v>
      </c>
      <c r="O14" t="str">
        <f>IF(tEditais[[#This Row],[Itens do foco]]=0,"",IF(tEditais[[#This Row],[Valor foco homologado]]&lt;=0,"Sem valor",IF(tEditais[[#This Row],[Valor foco homologado]]&gt;=FaixaA_Min,"A",IF(tEditais[[#This Row],[Valor foco homologado]]&gt;=FaixaB_Min,"B","C"))))</f>
        <v>Sem valor</v>
      </c>
      <c r="P14" t="str">
        <f ca="1">IF(tEditais[[#This Row],[Encerramento]]&gt;NOW(),"Aberto","Encerrado")</f>
        <v>Encerrado</v>
      </c>
    </row>
    <row r="15" spans="1:16" x14ac:dyDescent="0.25">
      <c r="A15" t="s">
        <v>772</v>
      </c>
      <c r="B15" t="s">
        <v>767</v>
      </c>
      <c r="C15" t="s">
        <v>768</v>
      </c>
      <c r="D15" t="s">
        <v>769</v>
      </c>
      <c r="E15" t="s">
        <v>716</v>
      </c>
      <c r="F15" s="11">
        <v>46308.291666666664</v>
      </c>
      <c r="G15">
        <v>271</v>
      </c>
      <c r="H15" t="s">
        <v>773</v>
      </c>
      <c r="I15" t="s">
        <v>774</v>
      </c>
      <c r="J15" t="str">
        <f>IF(ISNUMBER(SEARCH("registro de pre",tEditais[[#This Row],[Objeto]])),"Sim","Não")</f>
        <v>Sim</v>
      </c>
      <c r="K15" s="4">
        <f>COUNTIFS(tItens[Edital],tEditais[[#This Row],[Edital]])</f>
        <v>1</v>
      </c>
      <c r="L15" s="4">
        <f>COUNTIFS(tItens[Edital],tEditais[[#This Row],[Edital]],tItens[Foco],"Sim")</f>
        <v>0</v>
      </c>
      <c r="M15" s="8">
        <f>SUMIFS(tItens[Valor],tItens[Edital],tEditais[[#This Row],[Edital]])</f>
        <v>0</v>
      </c>
      <c r="N15" s="8">
        <f>SUMIFS(tItens[Valor homologado],tItens[Edital],tEditais[[#This Row],[Edital]],tItens[Foco],"Sim")</f>
        <v>0</v>
      </c>
      <c r="O15" t="str">
        <f>IF(tEditais[[#This Row],[Itens do foco]]=0,"",IF(tEditais[[#This Row],[Valor foco homologado]]&lt;=0,"Sem valor",IF(tEditais[[#This Row],[Valor foco homologado]]&gt;=FaixaA_Min,"A",IF(tEditais[[#This Row],[Valor foco homologado]]&gt;=FaixaB_Min,"B","C"))))</f>
        <v/>
      </c>
      <c r="P15" t="str">
        <f ca="1">IF(tEditais[[#This Row],[Encerramento]]&gt;NOW(),"Aberto","Encerrado")</f>
        <v>Encerrado</v>
      </c>
    </row>
    <row r="16" spans="1:16" x14ac:dyDescent="0.25">
      <c r="A16" t="s">
        <v>775</v>
      </c>
      <c r="B16" t="s">
        <v>767</v>
      </c>
      <c r="C16" t="s">
        <v>768</v>
      </c>
      <c r="D16" t="s">
        <v>769</v>
      </c>
      <c r="E16" t="s">
        <v>716</v>
      </c>
      <c r="F16" s="11">
        <v>46308.291666666664</v>
      </c>
      <c r="G16">
        <v>147</v>
      </c>
      <c r="H16" t="s">
        <v>776</v>
      </c>
      <c r="I16" t="s">
        <v>777</v>
      </c>
      <c r="J16" t="str">
        <f>IF(ISNUMBER(SEARCH("registro de pre",tEditais[[#This Row],[Objeto]])),"Sim","Não")</f>
        <v>Sim</v>
      </c>
      <c r="K16" s="4">
        <f>COUNTIFS(tItens[Edital],tEditais[[#This Row],[Edital]])</f>
        <v>67</v>
      </c>
      <c r="L16" s="4">
        <f>COUNTIFS(tItens[Edital],tEditais[[#This Row],[Edital]],tItens[Foco],"Sim")</f>
        <v>8</v>
      </c>
      <c r="M16" s="8">
        <f>SUMIFS(tItens[Valor],tItens[Edital],tEditais[[#This Row],[Edital]])</f>
        <v>0</v>
      </c>
      <c r="N16" s="8">
        <f>SUMIFS(tItens[Valor homologado],tItens[Edital],tEditais[[#This Row],[Edital]],tItens[Foco],"Sim")</f>
        <v>0</v>
      </c>
      <c r="O16" t="str">
        <f>IF(tEditais[[#This Row],[Itens do foco]]=0,"",IF(tEditais[[#This Row],[Valor foco homologado]]&lt;=0,"Sem valor",IF(tEditais[[#This Row],[Valor foco homologado]]&gt;=FaixaA_Min,"A",IF(tEditais[[#This Row],[Valor foco homologado]]&gt;=FaixaB_Min,"B","C"))))</f>
        <v>Sem valor</v>
      </c>
      <c r="P16" t="str">
        <f ca="1">IF(tEditais[[#This Row],[Encerramento]]&gt;NOW(),"Aberto","Encerrado")</f>
        <v>Encerrado</v>
      </c>
    </row>
    <row r="17" spans="1:16" x14ac:dyDescent="0.25">
      <c r="A17" t="s">
        <v>778</v>
      </c>
      <c r="B17" t="s">
        <v>779</v>
      </c>
      <c r="C17" t="s">
        <v>780</v>
      </c>
      <c r="D17" t="s">
        <v>769</v>
      </c>
      <c r="E17" t="s">
        <v>716</v>
      </c>
      <c r="F17" s="11">
        <v>46309.385416666664</v>
      </c>
      <c r="G17">
        <v>80</v>
      </c>
      <c r="H17" t="s">
        <v>781</v>
      </c>
      <c r="I17" t="s">
        <v>782</v>
      </c>
      <c r="J17" t="str">
        <f>IF(ISNUMBER(SEARCH("registro de pre",tEditais[[#This Row],[Objeto]])),"Sim","Não")</f>
        <v>Não</v>
      </c>
      <c r="K17" s="4">
        <f>COUNTIFS(tItens[Edital],tEditais[[#This Row],[Edital]])</f>
        <v>4</v>
      </c>
      <c r="L17" s="4">
        <f>COUNTIFS(tItens[Edital],tEditais[[#This Row],[Edital]],tItens[Foco],"Sim")</f>
        <v>0</v>
      </c>
      <c r="M17" s="8">
        <f>SUMIFS(tItens[Valor],tItens[Edital],tEditais[[#This Row],[Edital]])</f>
        <v>0</v>
      </c>
      <c r="N17" s="8">
        <f>SUMIFS(tItens[Valor homologado],tItens[Edital],tEditais[[#This Row],[Edital]],tItens[Foco],"Sim")</f>
        <v>0</v>
      </c>
      <c r="O17" t="str">
        <f>IF(tEditais[[#This Row],[Itens do foco]]=0,"",IF(tEditais[[#This Row],[Valor foco homologado]]&lt;=0,"Sem valor",IF(tEditais[[#This Row],[Valor foco homologado]]&gt;=FaixaA_Min,"A",IF(tEditais[[#This Row],[Valor foco homologado]]&gt;=FaixaB_Min,"B","C"))))</f>
        <v/>
      </c>
      <c r="P17" t="str">
        <f ca="1">IF(tEditais[[#This Row],[Encerramento]]&gt;NOW(),"Aberto","Encerrado")</f>
        <v>Encerrado</v>
      </c>
    </row>
    <row r="18" spans="1:16" x14ac:dyDescent="0.25">
      <c r="A18" t="s">
        <v>783</v>
      </c>
      <c r="B18" t="s">
        <v>784</v>
      </c>
      <c r="C18" t="s">
        <v>780</v>
      </c>
      <c r="D18" t="s">
        <v>769</v>
      </c>
      <c r="E18" t="s">
        <v>716</v>
      </c>
      <c r="F18" s="11">
        <v>46310.385416666664</v>
      </c>
      <c r="G18">
        <v>22</v>
      </c>
      <c r="H18" t="s">
        <v>785</v>
      </c>
      <c r="I18" t="s">
        <v>786</v>
      </c>
      <c r="J18" t="str">
        <f>IF(ISNUMBER(SEARCH("registro de pre",tEditais[[#This Row],[Objeto]])),"Sim","Não")</f>
        <v>Não</v>
      </c>
      <c r="K18" s="4">
        <f>COUNTIFS(tItens[Edital],tEditais[[#This Row],[Edital]])</f>
        <v>2</v>
      </c>
      <c r="L18" s="4">
        <f>COUNTIFS(tItens[Edital],tEditais[[#This Row],[Edital]],tItens[Foco],"Sim")</f>
        <v>0</v>
      </c>
      <c r="M18" s="8">
        <f>SUMIFS(tItens[Valor],tItens[Edital],tEditais[[#This Row],[Edital]])</f>
        <v>0</v>
      </c>
      <c r="N18" s="8">
        <f>SUMIFS(tItens[Valor homologado],tItens[Edital],tEditais[[#This Row],[Edital]],tItens[Foco],"Sim")</f>
        <v>0</v>
      </c>
      <c r="O18" t="str">
        <f>IF(tEditais[[#This Row],[Itens do foco]]=0,"",IF(tEditais[[#This Row],[Valor foco homologado]]&lt;=0,"Sem valor",IF(tEditais[[#This Row],[Valor foco homologado]]&gt;=FaixaA_Min,"A",IF(tEditais[[#This Row],[Valor foco homologado]]&gt;=FaixaB_Min,"B","C"))))</f>
        <v/>
      </c>
      <c r="P18" t="str">
        <f ca="1">IF(tEditais[[#This Row],[Encerramento]]&gt;NOW(),"Aberto","Encerrado")</f>
        <v>Encerrado</v>
      </c>
    </row>
    <row r="19" spans="1:16" x14ac:dyDescent="0.25">
      <c r="A19" t="s">
        <v>787</v>
      </c>
      <c r="B19" t="s">
        <v>788</v>
      </c>
      <c r="C19" t="s">
        <v>780</v>
      </c>
      <c r="D19" t="s">
        <v>769</v>
      </c>
      <c r="E19" t="s">
        <v>716</v>
      </c>
      <c r="F19" s="11">
        <v>46311.40625</v>
      </c>
      <c r="G19">
        <v>16</v>
      </c>
      <c r="H19" t="s">
        <v>789</v>
      </c>
      <c r="I19" t="s">
        <v>790</v>
      </c>
      <c r="J19" t="str">
        <f>IF(ISNUMBER(SEARCH("registro de pre",tEditais[[#This Row],[Objeto]])),"Sim","Não")</f>
        <v>Não</v>
      </c>
      <c r="K19" s="4">
        <f>COUNTIFS(tItens[Edital],tEditais[[#This Row],[Edital]])</f>
        <v>10</v>
      </c>
      <c r="L19" s="4">
        <f>COUNTIFS(tItens[Edital],tEditais[[#This Row],[Edital]],tItens[Foco],"Sim")</f>
        <v>5</v>
      </c>
      <c r="M19" s="8">
        <f>SUMIFS(tItens[Valor],tItens[Edital],tEditais[[#This Row],[Edital]])</f>
        <v>0</v>
      </c>
      <c r="N19" s="8">
        <f>SUMIFS(tItens[Valor homologado],tItens[Edital],tEditais[[#This Row],[Edital]],tItens[Foco],"Sim")</f>
        <v>0</v>
      </c>
      <c r="O19" t="str">
        <f>IF(tEditais[[#This Row],[Itens do foco]]=0,"",IF(tEditais[[#This Row],[Valor foco homologado]]&lt;=0,"Sem valor",IF(tEditais[[#This Row],[Valor foco homologado]]&gt;=FaixaA_Min,"A",IF(tEditais[[#This Row],[Valor foco homologado]]&gt;=FaixaB_Min,"B","C"))))</f>
        <v>Sem valor</v>
      </c>
      <c r="P19" t="str">
        <f ca="1">IF(tEditais[[#This Row],[Encerramento]]&gt;NOW(),"Aberto","Encerrado")</f>
        <v>Aberto</v>
      </c>
    </row>
    <row r="20" spans="1:16" x14ac:dyDescent="0.25">
      <c r="A20" t="s">
        <v>791</v>
      </c>
      <c r="B20" t="s">
        <v>792</v>
      </c>
      <c r="C20" t="s">
        <v>793</v>
      </c>
      <c r="D20" t="s">
        <v>769</v>
      </c>
      <c r="E20" t="s">
        <v>716</v>
      </c>
      <c r="F20" s="11">
        <v>46311.416666666664</v>
      </c>
      <c r="G20">
        <v>83</v>
      </c>
      <c r="H20" t="s">
        <v>794</v>
      </c>
      <c r="I20" t="s">
        <v>795</v>
      </c>
      <c r="J20" t="str">
        <f>IF(ISNUMBER(SEARCH("registro de pre",tEditais[[#This Row],[Objeto]])),"Sim","Não")</f>
        <v>Não</v>
      </c>
      <c r="K20" s="4">
        <f>COUNTIFS(tItens[Edital],tEditais[[#This Row],[Edital]])</f>
        <v>4</v>
      </c>
      <c r="L20" s="4">
        <f>COUNTIFS(tItens[Edital],tEditais[[#This Row],[Edital]],tItens[Foco],"Sim")</f>
        <v>0</v>
      </c>
      <c r="M20" s="8">
        <f>SUMIFS(tItens[Valor],tItens[Edital],tEditais[[#This Row],[Edital]])</f>
        <v>29222.799999999999</v>
      </c>
      <c r="N20" s="8">
        <f>SUMIFS(tItens[Valor homologado],tItens[Edital],tEditais[[#This Row],[Edital]],tItens[Foco],"Sim")</f>
        <v>0</v>
      </c>
      <c r="O20" t="str">
        <f>IF(tEditais[[#This Row],[Itens do foco]]=0,"",IF(tEditais[[#This Row],[Valor foco homologado]]&lt;=0,"Sem valor",IF(tEditais[[#This Row],[Valor foco homologado]]&gt;=FaixaA_Min,"A",IF(tEditais[[#This Row],[Valor foco homologado]]&gt;=FaixaB_Min,"B","C"))))</f>
        <v/>
      </c>
      <c r="P20" t="str">
        <f ca="1">IF(tEditais[[#This Row],[Encerramento]]&gt;NOW(),"Aberto","Encerrado")</f>
        <v>Aberto</v>
      </c>
    </row>
    <row r="21" spans="1:16" x14ac:dyDescent="0.25">
      <c r="A21" t="s">
        <v>796</v>
      </c>
      <c r="B21" t="s">
        <v>797</v>
      </c>
      <c r="C21" t="s">
        <v>798</v>
      </c>
      <c r="D21" t="s">
        <v>799</v>
      </c>
      <c r="E21" t="s">
        <v>800</v>
      </c>
      <c r="F21" s="11">
        <v>46310.375</v>
      </c>
      <c r="G21">
        <v>199</v>
      </c>
      <c r="H21" t="s">
        <v>801</v>
      </c>
      <c r="I21" t="s">
        <v>802</v>
      </c>
      <c r="J21" t="str">
        <f>IF(ISNUMBER(SEARCH("registro de pre",tEditais[[#This Row],[Objeto]])),"Sim","Não")</f>
        <v>Não</v>
      </c>
      <c r="K21" s="4">
        <f>COUNTIFS(tItens[Edital],tEditais[[#This Row],[Edital]])</f>
        <v>31</v>
      </c>
      <c r="L21" s="4">
        <f>COUNTIFS(tItens[Edital],tEditais[[#This Row],[Edital]],tItens[Foco],"Sim")</f>
        <v>7</v>
      </c>
      <c r="M21" s="8">
        <f>SUMIFS(tItens[Valor],tItens[Edital],tEditais[[#This Row],[Edital]])</f>
        <v>5107.05</v>
      </c>
      <c r="N21" s="8">
        <f>SUMIFS(tItens[Valor homologado],tItens[Edital],tEditais[[#This Row],[Edital]],tItens[Foco],"Sim")</f>
        <v>279.82249999999993</v>
      </c>
      <c r="O21" t="str">
        <f>IF(tEditais[[#This Row],[Itens do foco]]=0,"",IF(tEditais[[#This Row],[Valor foco homologado]]&lt;=0,"Sem valor",IF(tEditais[[#This Row],[Valor foco homologado]]&gt;=FaixaA_Min,"A",IF(tEditais[[#This Row],[Valor foco homologado]]&gt;=FaixaB_Min,"B","C"))))</f>
        <v>C</v>
      </c>
      <c r="P21" t="str">
        <f ca="1">IF(tEditais[[#This Row],[Encerramento]]&gt;NOW(),"Aberto","Encerrado")</f>
        <v>Encerrado</v>
      </c>
    </row>
    <row r="22" spans="1:16" x14ac:dyDescent="0.25">
      <c r="A22" t="s">
        <v>803</v>
      </c>
      <c r="B22" t="s">
        <v>804</v>
      </c>
      <c r="C22" t="s">
        <v>805</v>
      </c>
      <c r="D22" t="s">
        <v>806</v>
      </c>
      <c r="E22" t="s">
        <v>716</v>
      </c>
      <c r="F22" s="11">
        <v>46304.333333333336</v>
      </c>
      <c r="G22">
        <v>6</v>
      </c>
      <c r="H22" t="s">
        <v>807</v>
      </c>
      <c r="I22" t="s">
        <v>808</v>
      </c>
      <c r="J22" t="str">
        <f>IF(ISNUMBER(SEARCH("registro de pre",tEditais[[#This Row],[Objeto]])),"Sim","Não")</f>
        <v>Sim</v>
      </c>
      <c r="K22" s="4">
        <f>COUNTIFS(tItens[Edital],tEditais[[#This Row],[Edital]])</f>
        <v>1</v>
      </c>
      <c r="L22" s="4">
        <f>COUNTIFS(tItens[Edital],tEditais[[#This Row],[Edital]],tItens[Foco],"Sim")</f>
        <v>0</v>
      </c>
      <c r="M22" s="8">
        <f>SUMIFS(tItens[Valor],tItens[Edital],tEditais[[#This Row],[Edital]])</f>
        <v>0</v>
      </c>
      <c r="N22" s="8">
        <f>SUMIFS(tItens[Valor homologado],tItens[Edital],tEditais[[#This Row],[Edital]],tItens[Foco],"Sim")</f>
        <v>0</v>
      </c>
      <c r="O22" t="str">
        <f>IF(tEditais[[#This Row],[Itens do foco]]=0,"",IF(tEditais[[#This Row],[Valor foco homologado]]&lt;=0,"Sem valor",IF(tEditais[[#This Row],[Valor foco homologado]]&gt;=FaixaA_Min,"A",IF(tEditais[[#This Row],[Valor foco homologado]]&gt;=FaixaB_Min,"B","C"))))</f>
        <v/>
      </c>
      <c r="P22" t="str">
        <f ca="1">IF(tEditais[[#This Row],[Encerramento]]&gt;NOW(),"Aberto","Encerrado")</f>
        <v>Encerrado</v>
      </c>
    </row>
    <row r="23" spans="1:16" x14ac:dyDescent="0.25">
      <c r="A23" t="s">
        <v>809</v>
      </c>
      <c r="B23" t="s">
        <v>810</v>
      </c>
      <c r="C23" t="s">
        <v>811</v>
      </c>
      <c r="D23" t="s">
        <v>806</v>
      </c>
      <c r="E23" t="s">
        <v>716</v>
      </c>
      <c r="F23" s="11">
        <v>46304.375</v>
      </c>
      <c r="G23">
        <v>63</v>
      </c>
      <c r="H23" t="s">
        <v>812</v>
      </c>
      <c r="I23" t="s">
        <v>813</v>
      </c>
      <c r="J23" t="str">
        <f>IF(ISNUMBER(SEARCH("registro de pre",tEditais[[#This Row],[Objeto]])),"Sim","Não")</f>
        <v>Sim</v>
      </c>
      <c r="K23" s="4">
        <f>COUNTIFS(tItens[Edital],tEditais[[#This Row],[Edital]])</f>
        <v>2</v>
      </c>
      <c r="L23" s="4">
        <f>COUNTIFS(tItens[Edital],tEditais[[#This Row],[Edital]],tItens[Foco],"Sim")</f>
        <v>0</v>
      </c>
      <c r="M23" s="8">
        <f>SUMIFS(tItens[Valor],tItens[Edital],tEditais[[#This Row],[Edital]])</f>
        <v>12996.720000000001</v>
      </c>
      <c r="N23" s="8">
        <f>SUMIFS(tItens[Valor homologado],tItens[Edital],tEditais[[#This Row],[Edital]],tItens[Foco],"Sim")</f>
        <v>0</v>
      </c>
      <c r="O23" t="str">
        <f>IF(tEditais[[#This Row],[Itens do foco]]=0,"",IF(tEditais[[#This Row],[Valor foco homologado]]&lt;=0,"Sem valor",IF(tEditais[[#This Row],[Valor foco homologado]]&gt;=FaixaA_Min,"A",IF(tEditais[[#This Row],[Valor foco homologado]]&gt;=FaixaB_Min,"B","C"))))</f>
        <v/>
      </c>
      <c r="P23" t="str">
        <f ca="1">IF(tEditais[[#This Row],[Encerramento]]&gt;NOW(),"Aberto","Encerrado")</f>
        <v>Encerrado</v>
      </c>
    </row>
    <row r="24" spans="1:16" x14ac:dyDescent="0.25">
      <c r="A24" t="s">
        <v>814</v>
      </c>
      <c r="B24" t="s">
        <v>804</v>
      </c>
      <c r="C24" t="s">
        <v>805</v>
      </c>
      <c r="D24" t="s">
        <v>806</v>
      </c>
      <c r="E24" t="s">
        <v>716</v>
      </c>
      <c r="F24" s="11">
        <v>46304.375</v>
      </c>
      <c r="G24">
        <v>6</v>
      </c>
      <c r="I24" t="s">
        <v>808</v>
      </c>
      <c r="J24" t="str">
        <f>IF(ISNUMBER(SEARCH("registro de pre",tEditais[[#This Row],[Objeto]])),"Sim","Não")</f>
        <v>Sim</v>
      </c>
      <c r="K24" s="4">
        <f>COUNTIFS(tItens[Edital],tEditais[[#This Row],[Edital]])</f>
        <v>1</v>
      </c>
      <c r="L24" s="4">
        <f>COUNTIFS(tItens[Edital],tEditais[[#This Row],[Edital]],tItens[Foco],"Sim")</f>
        <v>0</v>
      </c>
      <c r="M24" s="8">
        <f>SUMIFS(tItens[Valor],tItens[Edital],tEditais[[#This Row],[Edital]])</f>
        <v>0</v>
      </c>
      <c r="N24" s="8">
        <f>SUMIFS(tItens[Valor homologado],tItens[Edital],tEditais[[#This Row],[Edital]],tItens[Foco],"Sim")</f>
        <v>0</v>
      </c>
      <c r="O24" t="str">
        <f>IF(tEditais[[#This Row],[Itens do foco]]=0,"",IF(tEditais[[#This Row],[Valor foco homologado]]&lt;=0,"Sem valor",IF(tEditais[[#This Row],[Valor foco homologado]]&gt;=FaixaA_Min,"A",IF(tEditais[[#This Row],[Valor foco homologado]]&gt;=FaixaB_Min,"B","C"))))</f>
        <v/>
      </c>
      <c r="P24" t="str">
        <f ca="1">IF(tEditais[[#This Row],[Encerramento]]&gt;NOW(),"Aberto","Encerrado")</f>
        <v>Encerrado</v>
      </c>
    </row>
    <row r="25" spans="1:16" x14ac:dyDescent="0.25">
      <c r="A25" t="s">
        <v>815</v>
      </c>
      <c r="B25" t="s">
        <v>816</v>
      </c>
      <c r="C25" t="s">
        <v>817</v>
      </c>
      <c r="D25" t="s">
        <v>806</v>
      </c>
      <c r="E25" t="s">
        <v>716</v>
      </c>
      <c r="F25" s="11">
        <v>46304.416666666664</v>
      </c>
      <c r="G25">
        <v>446</v>
      </c>
      <c r="H25" t="s">
        <v>818</v>
      </c>
      <c r="I25" t="s">
        <v>819</v>
      </c>
      <c r="J25" t="str">
        <f>IF(ISNUMBER(SEARCH("registro de pre",tEditais[[#This Row],[Objeto]])),"Sim","Não")</f>
        <v>Sim</v>
      </c>
      <c r="K25" s="4">
        <f>COUNTIFS(tItens[Edital],tEditais[[#This Row],[Edital]])</f>
        <v>116</v>
      </c>
      <c r="L25" s="4">
        <f>COUNTIFS(tItens[Edital],tEditais[[#This Row],[Edital]],tItens[Foco],"Sim")</f>
        <v>12</v>
      </c>
      <c r="M25" s="8">
        <f>SUMIFS(tItens[Valor],tItens[Edital],tEditais[[#This Row],[Edital]])</f>
        <v>965381.09999999986</v>
      </c>
      <c r="N25" s="8">
        <f>SUMIFS(tItens[Valor homologado],tItens[Edital],tEditais[[#This Row],[Edital]],tItens[Foco],"Sim")</f>
        <v>106165.50999999998</v>
      </c>
      <c r="O25" t="str">
        <f>IF(tEditais[[#This Row],[Itens do foco]]=0,"",IF(tEditais[[#This Row],[Valor foco homologado]]&lt;=0,"Sem valor",IF(tEditais[[#This Row],[Valor foco homologado]]&gt;=FaixaA_Min,"A",IF(tEditais[[#This Row],[Valor foco homologado]]&gt;=FaixaB_Min,"B","C"))))</f>
        <v>A</v>
      </c>
      <c r="P25" t="str">
        <f ca="1">IF(tEditais[[#This Row],[Encerramento]]&gt;NOW(),"Aberto","Encerrado")</f>
        <v>Encerrado</v>
      </c>
    </row>
    <row r="26" spans="1:16" x14ac:dyDescent="0.25">
      <c r="A26" t="s">
        <v>820</v>
      </c>
      <c r="B26" t="s">
        <v>821</v>
      </c>
      <c r="C26" t="s">
        <v>822</v>
      </c>
      <c r="D26" t="s">
        <v>806</v>
      </c>
      <c r="E26" t="s">
        <v>716</v>
      </c>
      <c r="F26" s="11">
        <v>46304.416666666664</v>
      </c>
      <c r="G26">
        <v>9</v>
      </c>
      <c r="I26" t="s">
        <v>823</v>
      </c>
      <c r="J26" t="str">
        <f>IF(ISNUMBER(SEARCH("registro de pre",tEditais[[#This Row],[Objeto]])),"Sim","Não")</f>
        <v>Não</v>
      </c>
      <c r="K26" s="4">
        <f>COUNTIFS(tItens[Edital],tEditais[[#This Row],[Edital]])</f>
        <v>5</v>
      </c>
      <c r="L26" s="4">
        <f>COUNTIFS(tItens[Edital],tEditais[[#This Row],[Edital]],tItens[Foco],"Sim")</f>
        <v>0</v>
      </c>
      <c r="M26" s="8">
        <f>SUMIFS(tItens[Valor],tItens[Edital],tEditais[[#This Row],[Edital]])</f>
        <v>573426.69999999995</v>
      </c>
      <c r="N26" s="8">
        <f>SUMIFS(tItens[Valor homologado],tItens[Edital],tEditais[[#This Row],[Edital]],tItens[Foco],"Sim")</f>
        <v>0</v>
      </c>
      <c r="O26" t="str">
        <f>IF(tEditais[[#This Row],[Itens do foco]]=0,"",IF(tEditais[[#This Row],[Valor foco homologado]]&lt;=0,"Sem valor",IF(tEditais[[#This Row],[Valor foco homologado]]&gt;=FaixaA_Min,"A",IF(tEditais[[#This Row],[Valor foco homologado]]&gt;=FaixaB_Min,"B","C"))))</f>
        <v/>
      </c>
      <c r="P26" t="str">
        <f ca="1">IF(tEditais[[#This Row],[Encerramento]]&gt;NOW(),"Aberto","Encerrado")</f>
        <v>Encerrado</v>
      </c>
    </row>
    <row r="27" spans="1:16" x14ac:dyDescent="0.25">
      <c r="A27" t="s">
        <v>824</v>
      </c>
      <c r="B27" t="s">
        <v>825</v>
      </c>
      <c r="C27" t="s">
        <v>822</v>
      </c>
      <c r="D27" t="s">
        <v>806</v>
      </c>
      <c r="E27" t="s">
        <v>716</v>
      </c>
      <c r="F27" s="11">
        <v>46304.416666666664</v>
      </c>
      <c r="G27">
        <v>9</v>
      </c>
      <c r="H27" t="s">
        <v>826</v>
      </c>
      <c r="I27" t="s">
        <v>827</v>
      </c>
      <c r="J27" t="str">
        <f>IF(ISNUMBER(SEARCH("registro de pre",tEditais[[#This Row],[Objeto]])),"Sim","Não")</f>
        <v>Sim</v>
      </c>
      <c r="K27" s="4">
        <f>COUNTIFS(tItens[Edital],tEditais[[#This Row],[Edital]])</f>
        <v>5</v>
      </c>
      <c r="L27" s="4">
        <f>COUNTIFS(tItens[Edital],tEditais[[#This Row],[Edital]],tItens[Foco],"Sim")</f>
        <v>0</v>
      </c>
      <c r="M27" s="8">
        <f>SUMIFS(tItens[Valor],tItens[Edital],tEditais[[#This Row],[Edital]])</f>
        <v>573426.69999999995</v>
      </c>
      <c r="N27" s="8">
        <f>SUMIFS(tItens[Valor homologado],tItens[Edital],tEditais[[#This Row],[Edital]],tItens[Foco],"Sim")</f>
        <v>0</v>
      </c>
      <c r="O27" t="str">
        <f>IF(tEditais[[#This Row],[Itens do foco]]=0,"",IF(tEditais[[#This Row],[Valor foco homologado]]&lt;=0,"Sem valor",IF(tEditais[[#This Row],[Valor foco homologado]]&gt;=FaixaA_Min,"A",IF(tEditais[[#This Row],[Valor foco homologado]]&gt;=FaixaB_Min,"B","C"))))</f>
        <v/>
      </c>
      <c r="P27" t="str">
        <f ca="1">IF(tEditais[[#This Row],[Encerramento]]&gt;NOW(),"Aberto","Encerrado")</f>
        <v>Encerrado</v>
      </c>
    </row>
    <row r="28" spans="1:16" x14ac:dyDescent="0.25">
      <c r="A28" t="s">
        <v>828</v>
      </c>
      <c r="B28" t="s">
        <v>829</v>
      </c>
      <c r="C28" t="s">
        <v>822</v>
      </c>
      <c r="D28" t="s">
        <v>806</v>
      </c>
      <c r="E28" t="s">
        <v>800</v>
      </c>
      <c r="F28" s="11">
        <v>46304.4375</v>
      </c>
      <c r="G28">
        <v>1</v>
      </c>
      <c r="I28" t="s">
        <v>830</v>
      </c>
      <c r="J28" t="str">
        <f>IF(ISNUMBER(SEARCH("registro de pre",tEditais[[#This Row],[Objeto]])),"Sim","Não")</f>
        <v>Não</v>
      </c>
      <c r="K28" s="4">
        <f>COUNTIFS(tItens[Edital],tEditais[[#This Row],[Edital]])</f>
        <v>1</v>
      </c>
      <c r="L28" s="4">
        <f>COUNTIFS(tItens[Edital],tEditais[[#This Row],[Edital]],tItens[Foco],"Sim")</f>
        <v>0</v>
      </c>
      <c r="M28" s="8">
        <f>SUMIFS(tItens[Valor],tItens[Edital],tEditais[[#This Row],[Edital]])</f>
        <v>3390</v>
      </c>
      <c r="N28" s="8">
        <f>SUMIFS(tItens[Valor homologado],tItens[Edital],tEditais[[#This Row],[Edital]],tItens[Foco],"Sim")</f>
        <v>0</v>
      </c>
      <c r="O28" t="str">
        <f>IF(tEditais[[#This Row],[Itens do foco]]=0,"",IF(tEditais[[#This Row],[Valor foco homologado]]&lt;=0,"Sem valor",IF(tEditais[[#This Row],[Valor foco homologado]]&gt;=FaixaA_Min,"A",IF(tEditais[[#This Row],[Valor foco homologado]]&gt;=FaixaB_Min,"B","C"))))</f>
        <v/>
      </c>
      <c r="P28" t="str">
        <f ca="1">IF(tEditais[[#This Row],[Encerramento]]&gt;NOW(),"Aberto","Encerrado")</f>
        <v>Encerrado</v>
      </c>
    </row>
    <row r="29" spans="1:16" x14ac:dyDescent="0.25">
      <c r="A29" t="s">
        <v>831</v>
      </c>
      <c r="B29" t="s">
        <v>821</v>
      </c>
      <c r="C29" t="s">
        <v>822</v>
      </c>
      <c r="D29" t="s">
        <v>806</v>
      </c>
      <c r="E29" t="s">
        <v>800</v>
      </c>
      <c r="F29" s="11">
        <v>46304.645833333336</v>
      </c>
      <c r="G29">
        <v>1</v>
      </c>
      <c r="I29" t="s">
        <v>832</v>
      </c>
      <c r="J29" t="str">
        <f>IF(ISNUMBER(SEARCH("registro de pre",tEditais[[#This Row],[Objeto]])),"Sim","Não")</f>
        <v>Não</v>
      </c>
      <c r="K29" s="4">
        <f>COUNTIFS(tItens[Edital],tEditais[[#This Row],[Edital]])</f>
        <v>1</v>
      </c>
      <c r="L29" s="4">
        <f>COUNTIFS(tItens[Edital],tEditais[[#This Row],[Edital]],tItens[Foco],"Sim")</f>
        <v>0</v>
      </c>
      <c r="M29" s="8">
        <f>SUMIFS(tItens[Valor],tItens[Edital],tEditais[[#This Row],[Edital]])</f>
        <v>24000</v>
      </c>
      <c r="N29" s="8">
        <f>SUMIFS(tItens[Valor homologado],tItens[Edital],tEditais[[#This Row],[Edital]],tItens[Foco],"Sim")</f>
        <v>0</v>
      </c>
      <c r="O29" t="str">
        <f>IF(tEditais[[#This Row],[Itens do foco]]=0,"",IF(tEditais[[#This Row],[Valor foco homologado]]&lt;=0,"Sem valor",IF(tEditais[[#This Row],[Valor foco homologado]]&gt;=FaixaA_Min,"A",IF(tEditais[[#This Row],[Valor foco homologado]]&gt;=FaixaB_Min,"B","C"))))</f>
        <v/>
      </c>
      <c r="P29" t="str">
        <f ca="1">IF(tEditais[[#This Row],[Encerramento]]&gt;NOW(),"Aberto","Encerrado")</f>
        <v>Encerrado</v>
      </c>
    </row>
    <row r="30" spans="1:16" x14ac:dyDescent="0.25">
      <c r="A30" t="s">
        <v>833</v>
      </c>
      <c r="B30" t="s">
        <v>834</v>
      </c>
      <c r="C30" t="s">
        <v>835</v>
      </c>
      <c r="D30" t="s">
        <v>806</v>
      </c>
      <c r="E30" t="s">
        <v>716</v>
      </c>
      <c r="F30" s="11">
        <v>46304.708333333336</v>
      </c>
      <c r="G30">
        <v>603</v>
      </c>
      <c r="H30" t="s">
        <v>836</v>
      </c>
      <c r="I30" t="s">
        <v>837</v>
      </c>
      <c r="J30" t="str">
        <f>IF(ISNUMBER(SEARCH("registro de pre",tEditais[[#This Row],[Objeto]])),"Sim","Não")</f>
        <v>Não</v>
      </c>
      <c r="K30" s="4">
        <f>COUNTIFS(tItens[Edital],tEditais[[#This Row],[Edital]])</f>
        <v>79</v>
      </c>
      <c r="L30" s="4">
        <f>COUNTIFS(tItens[Edital],tEditais[[#This Row],[Edital]],tItens[Foco],"Sim")</f>
        <v>5</v>
      </c>
      <c r="M30" s="8">
        <f>SUMIFS(tItens[Valor],tItens[Edital],tEditais[[#This Row],[Edital]])</f>
        <v>0</v>
      </c>
      <c r="N30" s="8">
        <f>SUMIFS(tItens[Valor homologado],tItens[Edital],tEditais[[#This Row],[Edital]],tItens[Foco],"Sim")</f>
        <v>0</v>
      </c>
      <c r="O30" t="str">
        <f>IF(tEditais[[#This Row],[Itens do foco]]=0,"",IF(tEditais[[#This Row],[Valor foco homologado]]&lt;=0,"Sem valor",IF(tEditais[[#This Row],[Valor foco homologado]]&gt;=FaixaA_Min,"A",IF(tEditais[[#This Row],[Valor foco homologado]]&gt;=FaixaB_Min,"B","C"))))</f>
        <v>Sem valor</v>
      </c>
      <c r="P30" t="str">
        <f ca="1">IF(tEditais[[#This Row],[Encerramento]]&gt;NOW(),"Aberto","Encerrado")</f>
        <v>Encerrado</v>
      </c>
    </row>
    <row r="31" spans="1:16" x14ac:dyDescent="0.25">
      <c r="A31" t="s">
        <v>838</v>
      </c>
      <c r="B31" t="s">
        <v>839</v>
      </c>
      <c r="C31" t="s">
        <v>840</v>
      </c>
      <c r="D31" t="s">
        <v>806</v>
      </c>
      <c r="E31" t="s">
        <v>841</v>
      </c>
      <c r="F31" s="11">
        <v>46305.333333333336</v>
      </c>
      <c r="G31">
        <v>22</v>
      </c>
      <c r="I31" t="s">
        <v>842</v>
      </c>
      <c r="J31" t="str">
        <f>IF(ISNUMBER(SEARCH("registro de pre",tEditais[[#This Row],[Objeto]])),"Sim","Não")</f>
        <v>Não</v>
      </c>
      <c r="K31" s="4">
        <f>COUNTIFS(tItens[Edital],tEditais[[#This Row],[Edital]])</f>
        <v>2</v>
      </c>
      <c r="L31" s="4">
        <f>COUNTIFS(tItens[Edital],tEditais[[#This Row],[Edital]],tItens[Foco],"Sim")</f>
        <v>0</v>
      </c>
      <c r="M31" s="8">
        <f>SUMIFS(tItens[Valor],tItens[Edital],tEditais[[#This Row],[Edital]])</f>
        <v>11230</v>
      </c>
      <c r="N31" s="8">
        <f>SUMIFS(tItens[Valor homologado],tItens[Edital],tEditais[[#This Row],[Edital]],tItens[Foco],"Sim")</f>
        <v>0</v>
      </c>
      <c r="O31" t="str">
        <f>IF(tEditais[[#This Row],[Itens do foco]]=0,"",IF(tEditais[[#This Row],[Valor foco homologado]]&lt;=0,"Sem valor",IF(tEditais[[#This Row],[Valor foco homologado]]&gt;=FaixaA_Min,"A",IF(tEditais[[#This Row],[Valor foco homologado]]&gt;=FaixaB_Min,"B","C"))))</f>
        <v/>
      </c>
      <c r="P31" t="str">
        <f ca="1">IF(tEditais[[#This Row],[Encerramento]]&gt;NOW(),"Aberto","Encerrado")</f>
        <v>Encerrado</v>
      </c>
    </row>
    <row r="32" spans="1:16" x14ac:dyDescent="0.25">
      <c r="A32" t="s">
        <v>843</v>
      </c>
      <c r="B32" t="s">
        <v>821</v>
      </c>
      <c r="C32" t="s">
        <v>844</v>
      </c>
      <c r="D32" t="s">
        <v>806</v>
      </c>
      <c r="E32" t="s">
        <v>716</v>
      </c>
      <c r="F32" s="11">
        <v>46308.375</v>
      </c>
      <c r="G32">
        <v>10</v>
      </c>
      <c r="I32" t="s">
        <v>823</v>
      </c>
      <c r="J32" t="str">
        <f>IF(ISNUMBER(SEARCH("registro de pre",tEditais[[#This Row],[Objeto]])),"Sim","Não")</f>
        <v>Não</v>
      </c>
      <c r="K32" s="4">
        <f>COUNTIFS(tItens[Edital],tEditais[[#This Row],[Edital]])</f>
        <v>6</v>
      </c>
      <c r="L32" s="4">
        <f>COUNTIFS(tItens[Edital],tEditais[[#This Row],[Edital]],tItens[Foco],"Sim")</f>
        <v>0</v>
      </c>
      <c r="M32" s="8">
        <f>SUMIFS(tItens[Valor],tItens[Edital],tEditais[[#This Row],[Edital]])</f>
        <v>414742</v>
      </c>
      <c r="N32" s="8">
        <f>SUMIFS(tItens[Valor homologado],tItens[Edital],tEditais[[#This Row],[Edital]],tItens[Foco],"Sim")</f>
        <v>0</v>
      </c>
      <c r="O32" t="str">
        <f>IF(tEditais[[#This Row],[Itens do foco]]=0,"",IF(tEditais[[#This Row],[Valor foco homologado]]&lt;=0,"Sem valor",IF(tEditais[[#This Row],[Valor foco homologado]]&gt;=FaixaA_Min,"A",IF(tEditais[[#This Row],[Valor foco homologado]]&gt;=FaixaB_Min,"B","C"))))</f>
        <v/>
      </c>
      <c r="P32" t="str">
        <f ca="1">IF(tEditais[[#This Row],[Encerramento]]&gt;NOW(),"Aberto","Encerrado")</f>
        <v>Encerrado</v>
      </c>
    </row>
    <row r="33" spans="1:16" x14ac:dyDescent="0.25">
      <c r="A33" t="s">
        <v>845</v>
      </c>
      <c r="B33" t="s">
        <v>825</v>
      </c>
      <c r="C33" t="s">
        <v>822</v>
      </c>
      <c r="D33" t="s">
        <v>806</v>
      </c>
      <c r="E33" t="s">
        <v>716</v>
      </c>
      <c r="F33" s="11">
        <v>46308.375</v>
      </c>
      <c r="G33">
        <v>10</v>
      </c>
      <c r="H33" t="s">
        <v>846</v>
      </c>
      <c r="I33" t="s">
        <v>847</v>
      </c>
      <c r="J33" t="str">
        <f>IF(ISNUMBER(SEARCH("registro de pre",tEditais[[#This Row],[Objeto]])),"Sim","Não")</f>
        <v>Não</v>
      </c>
      <c r="K33" s="4">
        <f>COUNTIFS(tItens[Edital],tEditais[[#This Row],[Edital]])</f>
        <v>6</v>
      </c>
      <c r="L33" s="4">
        <f>COUNTIFS(tItens[Edital],tEditais[[#This Row],[Edital]],tItens[Foco],"Sim")</f>
        <v>0</v>
      </c>
      <c r="M33" s="8">
        <f>SUMIFS(tItens[Valor],tItens[Edital],tEditais[[#This Row],[Edital]])</f>
        <v>414742</v>
      </c>
      <c r="N33" s="8">
        <f>SUMIFS(tItens[Valor homologado],tItens[Edital],tEditais[[#This Row],[Edital]],tItens[Foco],"Sim")</f>
        <v>0</v>
      </c>
      <c r="O33" t="str">
        <f>IF(tEditais[[#This Row],[Itens do foco]]=0,"",IF(tEditais[[#This Row],[Valor foco homologado]]&lt;=0,"Sem valor",IF(tEditais[[#This Row],[Valor foco homologado]]&gt;=FaixaA_Min,"A",IF(tEditais[[#This Row],[Valor foco homologado]]&gt;=FaixaB_Min,"B","C"))))</f>
        <v/>
      </c>
      <c r="P33" t="str">
        <f ca="1">IF(tEditais[[#This Row],[Encerramento]]&gt;NOW(),"Aberto","Encerrado")</f>
        <v>Encerrado</v>
      </c>
    </row>
    <row r="34" spans="1:16" x14ac:dyDescent="0.25">
      <c r="A34" t="s">
        <v>848</v>
      </c>
      <c r="B34" t="s">
        <v>849</v>
      </c>
      <c r="C34" t="s">
        <v>850</v>
      </c>
      <c r="D34" t="s">
        <v>806</v>
      </c>
      <c r="E34" t="s">
        <v>716</v>
      </c>
      <c r="F34" s="11">
        <v>46308.375</v>
      </c>
      <c r="G34">
        <v>88</v>
      </c>
      <c r="I34" t="s">
        <v>823</v>
      </c>
      <c r="J34" t="str">
        <f>IF(ISNUMBER(SEARCH("registro de pre",tEditais[[#This Row],[Objeto]])),"Sim","Não")</f>
        <v>Não</v>
      </c>
      <c r="K34" s="4">
        <f>COUNTIFS(tItens[Edital],tEditais[[#This Row],[Edital]])</f>
        <v>12</v>
      </c>
      <c r="L34" s="4">
        <f>COUNTIFS(tItens[Edital],tEditais[[#This Row],[Edital]],tItens[Foco],"Sim")</f>
        <v>2</v>
      </c>
      <c r="M34" s="8">
        <f>SUMIFS(tItens[Valor],tItens[Edital],tEditais[[#This Row],[Edital]])</f>
        <v>4303.96</v>
      </c>
      <c r="N34" s="8">
        <f>SUMIFS(tItens[Valor homologado],tItens[Edital],tEditais[[#This Row],[Edital]],tItens[Foco],"Sim")</f>
        <v>23.135999999999999</v>
      </c>
      <c r="O34" t="str">
        <f>IF(tEditais[[#This Row],[Itens do foco]]=0,"",IF(tEditais[[#This Row],[Valor foco homologado]]&lt;=0,"Sem valor",IF(tEditais[[#This Row],[Valor foco homologado]]&gt;=FaixaA_Min,"A",IF(tEditais[[#This Row],[Valor foco homologado]]&gt;=FaixaB_Min,"B","C"))))</f>
        <v>C</v>
      </c>
      <c r="P34" t="str">
        <f ca="1">IF(tEditais[[#This Row],[Encerramento]]&gt;NOW(),"Aberto","Encerrado")</f>
        <v>Encerrado</v>
      </c>
    </row>
    <row r="35" spans="1:16" x14ac:dyDescent="0.25">
      <c r="A35" t="s">
        <v>851</v>
      </c>
      <c r="B35" t="s">
        <v>821</v>
      </c>
      <c r="C35" t="s">
        <v>822</v>
      </c>
      <c r="D35" t="s">
        <v>806</v>
      </c>
      <c r="E35" t="s">
        <v>716</v>
      </c>
      <c r="F35" s="11">
        <v>46308.416666666664</v>
      </c>
      <c r="G35">
        <v>7</v>
      </c>
      <c r="I35" t="s">
        <v>823</v>
      </c>
      <c r="J35" t="str">
        <f>IF(ISNUMBER(SEARCH("registro de pre",tEditais[[#This Row],[Objeto]])),"Sim","Não")</f>
        <v>Não</v>
      </c>
      <c r="K35" s="4">
        <f>COUNTIFS(tItens[Edital],tEditais[[#This Row],[Edital]])</f>
        <v>3</v>
      </c>
      <c r="L35" s="4">
        <f>COUNTIFS(tItens[Edital],tEditais[[#This Row],[Edital]],tItens[Foco],"Sim")</f>
        <v>0</v>
      </c>
      <c r="M35" s="8">
        <f>SUMIFS(tItens[Valor],tItens[Edital],tEditais[[#This Row],[Edital]])</f>
        <v>198975.5</v>
      </c>
      <c r="N35" s="8">
        <f>SUMIFS(tItens[Valor homologado],tItens[Edital],tEditais[[#This Row],[Edital]],tItens[Foco],"Sim")</f>
        <v>0</v>
      </c>
      <c r="O35" t="str">
        <f>IF(tEditais[[#This Row],[Itens do foco]]=0,"",IF(tEditais[[#This Row],[Valor foco homologado]]&lt;=0,"Sem valor",IF(tEditais[[#This Row],[Valor foco homologado]]&gt;=FaixaA_Min,"A",IF(tEditais[[#This Row],[Valor foco homologado]]&gt;=FaixaB_Min,"B","C"))))</f>
        <v/>
      </c>
      <c r="P35" t="str">
        <f ca="1">IF(tEditais[[#This Row],[Encerramento]]&gt;NOW(),"Aberto","Encerrado")</f>
        <v>Encerrado</v>
      </c>
    </row>
    <row r="36" spans="1:16" x14ac:dyDescent="0.25">
      <c r="A36" t="s">
        <v>852</v>
      </c>
      <c r="B36" t="s">
        <v>853</v>
      </c>
      <c r="C36" t="s">
        <v>854</v>
      </c>
      <c r="D36" t="s">
        <v>806</v>
      </c>
      <c r="E36" t="s">
        <v>716</v>
      </c>
      <c r="F36" s="11">
        <v>46308.416666666664</v>
      </c>
      <c r="G36">
        <v>125</v>
      </c>
      <c r="H36" t="s">
        <v>855</v>
      </c>
      <c r="I36" t="s">
        <v>856</v>
      </c>
      <c r="J36" t="str">
        <f>IF(ISNUMBER(SEARCH("registro de pre",tEditais[[#This Row],[Objeto]])),"Sim","Não")</f>
        <v>Não</v>
      </c>
      <c r="K36" s="4">
        <f>COUNTIFS(tItens[Edital],tEditais[[#This Row],[Edital]])</f>
        <v>37</v>
      </c>
      <c r="L36" s="4">
        <f>COUNTIFS(tItens[Edital],tEditais[[#This Row],[Edital]],tItens[Foco],"Sim")</f>
        <v>6</v>
      </c>
      <c r="M36" s="8">
        <f>SUMIFS(tItens[Valor],tItens[Edital],tEditais[[#This Row],[Edital]])</f>
        <v>1575591</v>
      </c>
      <c r="N36" s="8">
        <f>SUMIFS(tItens[Valor homologado],tItens[Edital],tEditais[[#This Row],[Edital]],tItens[Foco],"Sim")</f>
        <v>218171.64999999997</v>
      </c>
      <c r="O36" t="str">
        <f>IF(tEditais[[#This Row],[Itens do foco]]=0,"",IF(tEditais[[#This Row],[Valor foco homologado]]&lt;=0,"Sem valor",IF(tEditais[[#This Row],[Valor foco homologado]]&gt;=FaixaA_Min,"A",IF(tEditais[[#This Row],[Valor foco homologado]]&gt;=FaixaB_Min,"B","C"))))</f>
        <v>A</v>
      </c>
      <c r="P36" t="str">
        <f ca="1">IF(tEditais[[#This Row],[Encerramento]]&gt;NOW(),"Aberto","Encerrado")</f>
        <v>Encerrado</v>
      </c>
    </row>
    <row r="37" spans="1:16" x14ac:dyDescent="0.25">
      <c r="A37" t="s">
        <v>857</v>
      </c>
      <c r="B37" t="s">
        <v>825</v>
      </c>
      <c r="C37" t="s">
        <v>822</v>
      </c>
      <c r="D37" t="s">
        <v>806</v>
      </c>
      <c r="E37" t="s">
        <v>716</v>
      </c>
      <c r="F37" s="11">
        <v>46308.416666666664</v>
      </c>
      <c r="G37">
        <v>10</v>
      </c>
      <c r="H37" t="s">
        <v>858</v>
      </c>
      <c r="I37" t="s">
        <v>859</v>
      </c>
      <c r="J37" t="str">
        <f>IF(ISNUMBER(SEARCH("registro de pre",tEditais[[#This Row],[Objeto]])),"Sim","Não")</f>
        <v>Sim</v>
      </c>
      <c r="K37" s="4">
        <f>COUNTIFS(tItens[Edital],tEditais[[#This Row],[Edital]])</f>
        <v>2</v>
      </c>
      <c r="L37" s="4">
        <f>COUNTIFS(tItens[Edital],tEditais[[#This Row],[Edital]],tItens[Foco],"Sim")</f>
        <v>0</v>
      </c>
      <c r="M37" s="8">
        <f>SUMIFS(tItens[Valor],tItens[Edital],tEditais[[#This Row],[Edital]])</f>
        <v>3309929.9000000004</v>
      </c>
      <c r="N37" s="8">
        <f>SUMIFS(tItens[Valor homologado],tItens[Edital],tEditais[[#This Row],[Edital]],tItens[Foco],"Sim")</f>
        <v>0</v>
      </c>
      <c r="O37" t="str">
        <f>IF(tEditais[[#This Row],[Itens do foco]]=0,"",IF(tEditais[[#This Row],[Valor foco homologado]]&lt;=0,"Sem valor",IF(tEditais[[#This Row],[Valor foco homologado]]&gt;=FaixaA_Min,"A",IF(tEditais[[#This Row],[Valor foco homologado]]&gt;=FaixaB_Min,"B","C"))))</f>
        <v/>
      </c>
      <c r="P37" t="str">
        <f ca="1">IF(tEditais[[#This Row],[Encerramento]]&gt;NOW(),"Aberto","Encerrado")</f>
        <v>Encerrado</v>
      </c>
    </row>
    <row r="38" spans="1:16" x14ac:dyDescent="0.25">
      <c r="A38" t="s">
        <v>860</v>
      </c>
      <c r="B38" t="s">
        <v>825</v>
      </c>
      <c r="C38" t="s">
        <v>822</v>
      </c>
      <c r="D38" t="s">
        <v>806</v>
      </c>
      <c r="E38" t="s">
        <v>716</v>
      </c>
      <c r="F38" s="11">
        <v>46308.416666666664</v>
      </c>
      <c r="G38">
        <v>7</v>
      </c>
      <c r="H38" t="s">
        <v>861</v>
      </c>
      <c r="I38" t="s">
        <v>862</v>
      </c>
      <c r="J38" t="str">
        <f>IF(ISNUMBER(SEARCH("registro de pre",tEditais[[#This Row],[Objeto]])),"Sim","Não")</f>
        <v>Sim</v>
      </c>
      <c r="K38" s="4">
        <f>COUNTIFS(tItens[Edital],tEditais[[#This Row],[Edital]])</f>
        <v>3</v>
      </c>
      <c r="L38" s="4">
        <f>COUNTIFS(tItens[Edital],tEditais[[#This Row],[Edital]],tItens[Foco],"Sim")</f>
        <v>0</v>
      </c>
      <c r="M38" s="8">
        <f>SUMIFS(tItens[Valor],tItens[Edital],tEditais[[#This Row],[Edital]])</f>
        <v>198975.5</v>
      </c>
      <c r="N38" s="8">
        <f>SUMIFS(tItens[Valor homologado],tItens[Edital],tEditais[[#This Row],[Edital]],tItens[Foco],"Sim")</f>
        <v>0</v>
      </c>
      <c r="O38" t="str">
        <f>IF(tEditais[[#This Row],[Itens do foco]]=0,"",IF(tEditais[[#This Row],[Valor foco homologado]]&lt;=0,"Sem valor",IF(tEditais[[#This Row],[Valor foco homologado]]&gt;=FaixaA_Min,"A",IF(tEditais[[#This Row],[Valor foco homologado]]&gt;=FaixaB_Min,"B","C"))))</f>
        <v/>
      </c>
      <c r="P38" t="str">
        <f ca="1">IF(tEditais[[#This Row],[Encerramento]]&gt;NOW(),"Aberto","Encerrado")</f>
        <v>Encerrado</v>
      </c>
    </row>
    <row r="39" spans="1:16" x14ac:dyDescent="0.25">
      <c r="A39" t="s">
        <v>863</v>
      </c>
      <c r="B39" t="s">
        <v>821</v>
      </c>
      <c r="C39" t="s">
        <v>822</v>
      </c>
      <c r="D39" t="s">
        <v>806</v>
      </c>
      <c r="E39" t="s">
        <v>716</v>
      </c>
      <c r="F39" s="11">
        <v>46308.416666666664</v>
      </c>
      <c r="G39">
        <v>10</v>
      </c>
      <c r="I39" t="s">
        <v>823</v>
      </c>
      <c r="J39" t="str">
        <f>IF(ISNUMBER(SEARCH("registro de pre",tEditais[[#This Row],[Objeto]])),"Sim","Não")</f>
        <v>Não</v>
      </c>
      <c r="K39" s="4">
        <f>COUNTIFS(tItens[Edital],tEditais[[#This Row],[Edital]])</f>
        <v>2</v>
      </c>
      <c r="L39" s="4">
        <f>COUNTIFS(tItens[Edital],tEditais[[#This Row],[Edital]],tItens[Foco],"Sim")</f>
        <v>0</v>
      </c>
      <c r="M39" s="8">
        <f>SUMIFS(tItens[Valor],tItens[Edital],tEditais[[#This Row],[Edital]])</f>
        <v>107096</v>
      </c>
      <c r="N39" s="8">
        <f>SUMIFS(tItens[Valor homologado],tItens[Edital],tEditais[[#This Row],[Edital]],tItens[Foco],"Sim")</f>
        <v>0</v>
      </c>
      <c r="O39" t="str">
        <f>IF(tEditais[[#This Row],[Itens do foco]]=0,"",IF(tEditais[[#This Row],[Valor foco homologado]]&lt;=0,"Sem valor",IF(tEditais[[#This Row],[Valor foco homologado]]&gt;=FaixaA_Min,"A",IF(tEditais[[#This Row],[Valor foco homologado]]&gt;=FaixaB_Min,"B","C"))))</f>
        <v/>
      </c>
      <c r="P39" t="str">
        <f ca="1">IF(tEditais[[#This Row],[Encerramento]]&gt;NOW(),"Aberto","Encerrado")</f>
        <v>Encerrado</v>
      </c>
    </row>
    <row r="40" spans="1:16" x14ac:dyDescent="0.25">
      <c r="A40" t="s">
        <v>864</v>
      </c>
      <c r="B40" t="s">
        <v>821</v>
      </c>
      <c r="C40" t="s">
        <v>822</v>
      </c>
      <c r="D40" t="s">
        <v>806</v>
      </c>
      <c r="E40" t="s">
        <v>800</v>
      </c>
      <c r="F40" s="11">
        <v>46308.729166666664</v>
      </c>
      <c r="G40">
        <v>3</v>
      </c>
      <c r="I40" t="s">
        <v>865</v>
      </c>
      <c r="J40" t="str">
        <f>IF(ISNUMBER(SEARCH("registro de pre",tEditais[[#This Row],[Objeto]])),"Sim","Não")</f>
        <v>Não</v>
      </c>
      <c r="K40" s="4">
        <f>COUNTIFS(tItens[Edital],tEditais[[#This Row],[Edital]])</f>
        <v>1</v>
      </c>
      <c r="L40" s="4">
        <f>COUNTIFS(tItens[Edital],tEditais[[#This Row],[Edital]],tItens[Foco],"Sim")</f>
        <v>0</v>
      </c>
      <c r="M40" s="8">
        <f>SUMIFS(tItens[Valor],tItens[Edital],tEditais[[#This Row],[Edital]])</f>
        <v>2076</v>
      </c>
      <c r="N40" s="8">
        <f>SUMIFS(tItens[Valor homologado],tItens[Edital],tEditais[[#This Row],[Edital]],tItens[Foco],"Sim")</f>
        <v>0</v>
      </c>
      <c r="O40" t="str">
        <f>IF(tEditais[[#This Row],[Itens do foco]]=0,"",IF(tEditais[[#This Row],[Valor foco homologado]]&lt;=0,"Sem valor",IF(tEditais[[#This Row],[Valor foco homologado]]&gt;=FaixaA_Min,"A",IF(tEditais[[#This Row],[Valor foco homologado]]&gt;=FaixaB_Min,"B","C"))))</f>
        <v/>
      </c>
      <c r="P40" t="str">
        <f ca="1">IF(tEditais[[#This Row],[Encerramento]]&gt;NOW(),"Aberto","Encerrado")</f>
        <v>Encerrado</v>
      </c>
    </row>
    <row r="41" spans="1:16" x14ac:dyDescent="0.25">
      <c r="A41" t="s">
        <v>866</v>
      </c>
      <c r="B41" t="s">
        <v>825</v>
      </c>
      <c r="C41" t="s">
        <v>822</v>
      </c>
      <c r="D41" t="s">
        <v>806</v>
      </c>
      <c r="E41" t="s">
        <v>716</v>
      </c>
      <c r="F41" s="11">
        <v>46309.416666666664</v>
      </c>
      <c r="G41">
        <v>8</v>
      </c>
      <c r="H41" t="s">
        <v>867</v>
      </c>
      <c r="I41" t="s">
        <v>868</v>
      </c>
      <c r="J41" t="str">
        <f>IF(ISNUMBER(SEARCH("registro de pre",tEditais[[#This Row],[Objeto]])),"Sim","Não")</f>
        <v>Sim</v>
      </c>
      <c r="K41" s="4">
        <f>COUNTIFS(tItens[Edital],tEditais[[#This Row],[Edital]])</f>
        <v>2</v>
      </c>
      <c r="L41" s="4">
        <f>COUNTIFS(tItens[Edital],tEditais[[#This Row],[Edital]],tItens[Foco],"Sim")</f>
        <v>0</v>
      </c>
      <c r="M41" s="8">
        <f>SUMIFS(tItens[Valor],tItens[Edital],tEditais[[#This Row],[Edital]])</f>
        <v>2235211.2000000002</v>
      </c>
      <c r="N41" s="8">
        <f>SUMIFS(tItens[Valor homologado],tItens[Edital],tEditais[[#This Row],[Edital]],tItens[Foco],"Sim")</f>
        <v>0</v>
      </c>
      <c r="O41" t="str">
        <f>IF(tEditais[[#This Row],[Itens do foco]]=0,"",IF(tEditais[[#This Row],[Valor foco homologado]]&lt;=0,"Sem valor",IF(tEditais[[#This Row],[Valor foco homologado]]&gt;=FaixaA_Min,"A",IF(tEditais[[#This Row],[Valor foco homologado]]&gt;=FaixaB_Min,"B","C"))))</f>
        <v/>
      </c>
      <c r="P41" t="str">
        <f ca="1">IF(tEditais[[#This Row],[Encerramento]]&gt;NOW(),"Aberto","Encerrado")</f>
        <v>Encerrado</v>
      </c>
    </row>
    <row r="42" spans="1:16" x14ac:dyDescent="0.25">
      <c r="A42" t="s">
        <v>869</v>
      </c>
      <c r="B42" t="s">
        <v>821</v>
      </c>
      <c r="C42" t="s">
        <v>822</v>
      </c>
      <c r="D42" t="s">
        <v>806</v>
      </c>
      <c r="E42" t="s">
        <v>716</v>
      </c>
      <c r="F42" s="11">
        <v>46309.416666666664</v>
      </c>
      <c r="G42">
        <v>8</v>
      </c>
      <c r="I42" t="s">
        <v>823</v>
      </c>
      <c r="J42" t="str">
        <f>IF(ISNUMBER(SEARCH("registro de pre",tEditais[[#This Row],[Objeto]])),"Sim","Não")</f>
        <v>Não</v>
      </c>
      <c r="K42" s="4">
        <f>COUNTIFS(tItens[Edital],tEditais[[#This Row],[Edital]])</f>
        <v>2</v>
      </c>
      <c r="L42" s="4">
        <f>COUNTIFS(tItens[Edital],tEditais[[#This Row],[Edital]],tItens[Foco],"Sim")</f>
        <v>0</v>
      </c>
      <c r="M42" s="8">
        <f>SUMIFS(tItens[Valor],tItens[Edital],tEditais[[#This Row],[Edital]])</f>
        <v>2235211.2000000002</v>
      </c>
      <c r="N42" s="8">
        <f>SUMIFS(tItens[Valor homologado],tItens[Edital],tEditais[[#This Row],[Edital]],tItens[Foco],"Sim")</f>
        <v>0</v>
      </c>
      <c r="O42" t="str">
        <f>IF(tEditais[[#This Row],[Itens do foco]]=0,"",IF(tEditais[[#This Row],[Valor foco homologado]]&lt;=0,"Sem valor",IF(tEditais[[#This Row],[Valor foco homologado]]&gt;=FaixaA_Min,"A",IF(tEditais[[#This Row],[Valor foco homologado]]&gt;=FaixaB_Min,"B","C"))))</f>
        <v/>
      </c>
      <c r="P42" t="str">
        <f ca="1">IF(tEditais[[#This Row],[Encerramento]]&gt;NOW(),"Aberto","Encerrado")</f>
        <v>Encerrado</v>
      </c>
    </row>
    <row r="43" spans="1:16" x14ac:dyDescent="0.25">
      <c r="A43" t="s">
        <v>870</v>
      </c>
      <c r="B43" t="s">
        <v>825</v>
      </c>
      <c r="C43" t="s">
        <v>822</v>
      </c>
      <c r="D43" t="s">
        <v>806</v>
      </c>
      <c r="E43" t="s">
        <v>716</v>
      </c>
      <c r="F43" s="11">
        <v>46309.416666666664</v>
      </c>
      <c r="G43">
        <v>6</v>
      </c>
      <c r="H43" t="s">
        <v>871</v>
      </c>
      <c r="I43" t="s">
        <v>872</v>
      </c>
      <c r="J43" t="str">
        <f>IF(ISNUMBER(SEARCH("registro de pre",tEditais[[#This Row],[Objeto]])),"Sim","Não")</f>
        <v>Sim</v>
      </c>
      <c r="K43" s="4">
        <f>COUNTIFS(tItens[Edital],tEditais[[#This Row],[Edital]])</f>
        <v>4</v>
      </c>
      <c r="L43" s="4">
        <f>COUNTIFS(tItens[Edital],tEditais[[#This Row],[Edital]],tItens[Foco],"Sim")</f>
        <v>0</v>
      </c>
      <c r="M43" s="8">
        <f>SUMIFS(tItens[Valor],tItens[Edital],tEditais[[#This Row],[Edital]])</f>
        <v>496912</v>
      </c>
      <c r="N43" s="8">
        <f>SUMIFS(tItens[Valor homologado],tItens[Edital],tEditais[[#This Row],[Edital]],tItens[Foco],"Sim")</f>
        <v>0</v>
      </c>
      <c r="O43" t="str">
        <f>IF(tEditais[[#This Row],[Itens do foco]]=0,"",IF(tEditais[[#This Row],[Valor foco homologado]]&lt;=0,"Sem valor",IF(tEditais[[#This Row],[Valor foco homologado]]&gt;=FaixaA_Min,"A",IF(tEditais[[#This Row],[Valor foco homologado]]&gt;=FaixaB_Min,"B","C"))))</f>
        <v/>
      </c>
      <c r="P43" t="str">
        <f ca="1">IF(tEditais[[#This Row],[Encerramento]]&gt;NOW(),"Aberto","Encerrado")</f>
        <v>Encerrado</v>
      </c>
    </row>
    <row r="44" spans="1:16" x14ac:dyDescent="0.25">
      <c r="A44" t="s">
        <v>873</v>
      </c>
      <c r="B44" t="s">
        <v>825</v>
      </c>
      <c r="C44" t="s">
        <v>822</v>
      </c>
      <c r="D44" t="s">
        <v>806</v>
      </c>
      <c r="E44" t="s">
        <v>716</v>
      </c>
      <c r="F44" s="11">
        <v>46309.416666666664</v>
      </c>
      <c r="G44">
        <v>7</v>
      </c>
      <c r="H44" t="s">
        <v>874</v>
      </c>
      <c r="I44" t="s">
        <v>875</v>
      </c>
      <c r="J44" t="str">
        <f>IF(ISNUMBER(SEARCH("registro de pre",tEditais[[#This Row],[Objeto]])),"Sim","Não")</f>
        <v>Sim</v>
      </c>
      <c r="K44" s="4">
        <f>COUNTIFS(tItens[Edital],tEditais[[#This Row],[Edital]])</f>
        <v>2</v>
      </c>
      <c r="L44" s="4">
        <f>COUNTIFS(tItens[Edital],tEditais[[#This Row],[Edital]],tItens[Foco],"Sim")</f>
        <v>2</v>
      </c>
      <c r="M44" s="8">
        <f>SUMIFS(tItens[Valor],tItens[Edital],tEditais[[#This Row],[Edital]])</f>
        <v>303204.19999999995</v>
      </c>
      <c r="N44" s="8">
        <f>SUMIFS(tItens[Valor homologado],tItens[Edital],tEditais[[#This Row],[Edital]],tItens[Foco],"Sim")</f>
        <v>200114.77199999997</v>
      </c>
      <c r="O44" t="str">
        <f>IF(tEditais[[#This Row],[Itens do foco]]=0,"",IF(tEditais[[#This Row],[Valor foco homologado]]&lt;=0,"Sem valor",IF(tEditais[[#This Row],[Valor foco homologado]]&gt;=FaixaA_Min,"A",IF(tEditais[[#This Row],[Valor foco homologado]]&gt;=FaixaB_Min,"B","C"))))</f>
        <v>A</v>
      </c>
      <c r="P44" t="str">
        <f ca="1">IF(tEditais[[#This Row],[Encerramento]]&gt;NOW(),"Aberto","Encerrado")</f>
        <v>Encerrado</v>
      </c>
    </row>
    <row r="45" spans="1:16" x14ac:dyDescent="0.25">
      <c r="A45" t="s">
        <v>876</v>
      </c>
      <c r="B45" t="s">
        <v>821</v>
      </c>
      <c r="C45" t="s">
        <v>822</v>
      </c>
      <c r="D45" t="s">
        <v>806</v>
      </c>
      <c r="E45" t="s">
        <v>716</v>
      </c>
      <c r="F45" s="11">
        <v>46309.416666666664</v>
      </c>
      <c r="G45">
        <v>6</v>
      </c>
      <c r="I45" t="s">
        <v>823</v>
      </c>
      <c r="J45" t="str">
        <f>IF(ISNUMBER(SEARCH("registro de pre",tEditais[[#This Row],[Objeto]])),"Sim","Não")</f>
        <v>Não</v>
      </c>
      <c r="K45" s="4">
        <f>COUNTIFS(tItens[Edital],tEditais[[#This Row],[Edital]])</f>
        <v>4</v>
      </c>
      <c r="L45" s="4">
        <f>COUNTIFS(tItens[Edital],tEditais[[#This Row],[Edital]],tItens[Foco],"Sim")</f>
        <v>0</v>
      </c>
      <c r="M45" s="8">
        <f>SUMIFS(tItens[Valor],tItens[Edital],tEditais[[#This Row],[Edital]])</f>
        <v>496912</v>
      </c>
      <c r="N45" s="8">
        <f>SUMIFS(tItens[Valor homologado],tItens[Edital],tEditais[[#This Row],[Edital]],tItens[Foco],"Sim")</f>
        <v>0</v>
      </c>
      <c r="O45" t="str">
        <f>IF(tEditais[[#This Row],[Itens do foco]]=0,"",IF(tEditais[[#This Row],[Valor foco homologado]]&lt;=0,"Sem valor",IF(tEditais[[#This Row],[Valor foco homologado]]&gt;=FaixaA_Min,"A",IF(tEditais[[#This Row],[Valor foco homologado]]&gt;=FaixaB_Min,"B","C"))))</f>
        <v/>
      </c>
      <c r="P45" t="str">
        <f ca="1">IF(tEditais[[#This Row],[Encerramento]]&gt;NOW(),"Aberto","Encerrado")</f>
        <v>Encerrado</v>
      </c>
    </row>
    <row r="46" spans="1:16" x14ac:dyDescent="0.25">
      <c r="A46" t="s">
        <v>877</v>
      </c>
      <c r="B46" t="s">
        <v>821</v>
      </c>
      <c r="C46" t="s">
        <v>822</v>
      </c>
      <c r="D46" t="s">
        <v>806</v>
      </c>
      <c r="E46" t="s">
        <v>800</v>
      </c>
      <c r="F46" s="11">
        <v>46309.479166666664</v>
      </c>
      <c r="G46">
        <v>2</v>
      </c>
      <c r="I46" t="s">
        <v>878</v>
      </c>
      <c r="J46" t="str">
        <f>IF(ISNUMBER(SEARCH("registro de pre",tEditais[[#This Row],[Objeto]])),"Sim","Não")</f>
        <v>Não</v>
      </c>
      <c r="K46" s="4">
        <f>COUNTIFS(tItens[Edital],tEditais[[#This Row],[Edital]])</f>
        <v>2</v>
      </c>
      <c r="L46" s="4">
        <f>COUNTIFS(tItens[Edital],tEditais[[#This Row],[Edital]],tItens[Foco],"Sim")</f>
        <v>0</v>
      </c>
      <c r="M46" s="8">
        <f>SUMIFS(tItens[Valor],tItens[Edital],tEditais[[#This Row],[Edital]])</f>
        <v>20880</v>
      </c>
      <c r="N46" s="8">
        <f>SUMIFS(tItens[Valor homologado],tItens[Edital],tEditais[[#This Row],[Edital]],tItens[Foco],"Sim")</f>
        <v>0</v>
      </c>
      <c r="O46" t="str">
        <f>IF(tEditais[[#This Row],[Itens do foco]]=0,"",IF(tEditais[[#This Row],[Valor foco homologado]]&lt;=0,"Sem valor",IF(tEditais[[#This Row],[Valor foco homologado]]&gt;=FaixaA_Min,"A",IF(tEditais[[#This Row],[Valor foco homologado]]&gt;=FaixaB_Min,"B","C"))))</f>
        <v/>
      </c>
      <c r="P46" t="str">
        <f ca="1">IF(tEditais[[#This Row],[Encerramento]]&gt;NOW(),"Aberto","Encerrado")</f>
        <v>Encerrado</v>
      </c>
    </row>
    <row r="47" spans="1:16" x14ac:dyDescent="0.25">
      <c r="A47" t="s">
        <v>879</v>
      </c>
      <c r="B47" t="s">
        <v>880</v>
      </c>
      <c r="C47" t="s">
        <v>822</v>
      </c>
      <c r="D47" t="s">
        <v>806</v>
      </c>
      <c r="E47" t="s">
        <v>800</v>
      </c>
      <c r="F47" s="11">
        <v>46309.479166666664</v>
      </c>
      <c r="G47">
        <v>4</v>
      </c>
      <c r="I47" t="s">
        <v>881</v>
      </c>
      <c r="J47" t="str">
        <f>IF(ISNUMBER(SEARCH("registro de pre",tEditais[[#This Row],[Objeto]])),"Sim","Não")</f>
        <v>Não</v>
      </c>
      <c r="K47" s="4">
        <f>COUNTIFS(tItens[Edital],tEditais[[#This Row],[Edital]])</f>
        <v>1</v>
      </c>
      <c r="L47" s="4">
        <f>COUNTIFS(tItens[Edital],tEditais[[#This Row],[Edital]],tItens[Foco],"Sim")</f>
        <v>0</v>
      </c>
      <c r="M47" s="8">
        <f>SUMIFS(tItens[Valor],tItens[Edital],tEditais[[#This Row],[Edital]])</f>
        <v>1268.5</v>
      </c>
      <c r="N47" s="8">
        <f>SUMIFS(tItens[Valor homologado],tItens[Edital],tEditais[[#This Row],[Edital]],tItens[Foco],"Sim")</f>
        <v>0</v>
      </c>
      <c r="O47" t="str">
        <f>IF(tEditais[[#This Row],[Itens do foco]]=0,"",IF(tEditais[[#This Row],[Valor foco homologado]]&lt;=0,"Sem valor",IF(tEditais[[#This Row],[Valor foco homologado]]&gt;=FaixaA_Min,"A",IF(tEditais[[#This Row],[Valor foco homologado]]&gt;=FaixaB_Min,"B","C"))))</f>
        <v/>
      </c>
      <c r="P47" t="str">
        <f ca="1">IF(tEditais[[#This Row],[Encerramento]]&gt;NOW(),"Aberto","Encerrado")</f>
        <v>Encerrado</v>
      </c>
    </row>
    <row r="48" spans="1:16" x14ac:dyDescent="0.25">
      <c r="A48" t="s">
        <v>882</v>
      </c>
      <c r="B48" t="s">
        <v>880</v>
      </c>
      <c r="C48" t="s">
        <v>883</v>
      </c>
      <c r="D48" t="s">
        <v>806</v>
      </c>
      <c r="E48" t="s">
        <v>800</v>
      </c>
      <c r="F48" s="11">
        <v>46309.645833333336</v>
      </c>
      <c r="G48">
        <v>75</v>
      </c>
      <c r="I48" t="s">
        <v>884</v>
      </c>
      <c r="J48" t="str">
        <f>IF(ISNUMBER(SEARCH("registro de pre",tEditais[[#This Row],[Objeto]])),"Sim","Não")</f>
        <v>Não</v>
      </c>
      <c r="K48" s="4">
        <f>COUNTIFS(tItens[Edital],tEditais[[#This Row],[Edital]])</f>
        <v>9</v>
      </c>
      <c r="L48" s="4">
        <f>COUNTIFS(tItens[Edital],tEditais[[#This Row],[Edital]],tItens[Foco],"Sim")</f>
        <v>0</v>
      </c>
      <c r="M48" s="8">
        <f>SUMIFS(tItens[Valor],tItens[Edital],tEditais[[#This Row],[Edital]])</f>
        <v>2758.3900000000003</v>
      </c>
      <c r="N48" s="8">
        <f>SUMIFS(tItens[Valor homologado],tItens[Edital],tEditais[[#This Row],[Edital]],tItens[Foco],"Sim")</f>
        <v>0</v>
      </c>
      <c r="O48" t="str">
        <f>IF(tEditais[[#This Row],[Itens do foco]]=0,"",IF(tEditais[[#This Row],[Valor foco homologado]]&lt;=0,"Sem valor",IF(tEditais[[#This Row],[Valor foco homologado]]&gt;=FaixaA_Min,"A",IF(tEditais[[#This Row],[Valor foco homologado]]&gt;=FaixaB_Min,"B","C"))))</f>
        <v/>
      </c>
      <c r="P48" t="str">
        <f ca="1">IF(tEditais[[#This Row],[Encerramento]]&gt;NOW(),"Aberto","Encerrado")</f>
        <v>Encerrado</v>
      </c>
    </row>
    <row r="49" spans="1:16" x14ac:dyDescent="0.25">
      <c r="A49" t="s">
        <v>885</v>
      </c>
      <c r="B49" t="s">
        <v>886</v>
      </c>
      <c r="C49" t="s">
        <v>822</v>
      </c>
      <c r="D49" t="s">
        <v>806</v>
      </c>
      <c r="E49" t="s">
        <v>800</v>
      </c>
      <c r="F49" s="11">
        <v>46310.333333333336</v>
      </c>
      <c r="G49">
        <v>22</v>
      </c>
      <c r="H49" t="s">
        <v>887</v>
      </c>
      <c r="I49" t="s">
        <v>888</v>
      </c>
      <c r="J49" t="str">
        <f>IF(ISNUMBER(SEARCH("registro de pre",tEditais[[#This Row],[Objeto]])),"Sim","Não")</f>
        <v>Não</v>
      </c>
      <c r="K49" s="4">
        <f>COUNTIFS(tItens[Edital],tEditais[[#This Row],[Edital]])</f>
        <v>4</v>
      </c>
      <c r="L49" s="4">
        <f>COUNTIFS(tItens[Edital],tEditais[[#This Row],[Edital]],tItens[Foco],"Sim")</f>
        <v>0</v>
      </c>
      <c r="M49" s="8">
        <f>SUMIFS(tItens[Valor],tItens[Edital],tEditais[[#This Row],[Edital]])</f>
        <v>2128.6000000000004</v>
      </c>
      <c r="N49" s="8">
        <f>SUMIFS(tItens[Valor homologado],tItens[Edital],tEditais[[#This Row],[Edital]],tItens[Foco],"Sim")</f>
        <v>0</v>
      </c>
      <c r="O49" t="str">
        <f>IF(tEditais[[#This Row],[Itens do foco]]=0,"",IF(tEditais[[#This Row],[Valor foco homologado]]&lt;=0,"Sem valor",IF(tEditais[[#This Row],[Valor foco homologado]]&gt;=FaixaA_Min,"A",IF(tEditais[[#This Row],[Valor foco homologado]]&gt;=FaixaB_Min,"B","C"))))</f>
        <v/>
      </c>
      <c r="P49" t="str">
        <f ca="1">IF(tEditais[[#This Row],[Encerramento]]&gt;NOW(),"Aberto","Encerrado")</f>
        <v>Encerrado</v>
      </c>
    </row>
    <row r="50" spans="1:16" x14ac:dyDescent="0.25">
      <c r="A50" t="s">
        <v>889</v>
      </c>
      <c r="B50" t="s">
        <v>825</v>
      </c>
      <c r="C50" t="s">
        <v>822</v>
      </c>
      <c r="D50" t="s">
        <v>806</v>
      </c>
      <c r="E50" t="s">
        <v>716</v>
      </c>
      <c r="F50" s="11">
        <v>46310.375</v>
      </c>
      <c r="G50">
        <v>2</v>
      </c>
      <c r="H50" t="s">
        <v>890</v>
      </c>
      <c r="I50" t="s">
        <v>891</v>
      </c>
      <c r="J50" t="str">
        <f>IF(ISNUMBER(SEARCH("registro de pre",tEditais[[#This Row],[Objeto]])),"Sim","Não")</f>
        <v>Não</v>
      </c>
      <c r="K50" s="4">
        <f>COUNTIFS(tItens[Edital],tEditais[[#This Row],[Edital]])</f>
        <v>2</v>
      </c>
      <c r="L50" s="4">
        <f>COUNTIFS(tItens[Edital],tEditais[[#This Row],[Edital]],tItens[Foco],"Sim")</f>
        <v>0</v>
      </c>
      <c r="M50" s="8">
        <f>SUMIFS(tItens[Valor],tItens[Edital],tEditais[[#This Row],[Edital]])</f>
        <v>154200</v>
      </c>
      <c r="N50" s="8">
        <f>SUMIFS(tItens[Valor homologado],tItens[Edital],tEditais[[#This Row],[Edital]],tItens[Foco],"Sim")</f>
        <v>0</v>
      </c>
      <c r="O50" t="str">
        <f>IF(tEditais[[#This Row],[Itens do foco]]=0,"",IF(tEditais[[#This Row],[Valor foco homologado]]&lt;=0,"Sem valor",IF(tEditais[[#This Row],[Valor foco homologado]]&gt;=FaixaA_Min,"A",IF(tEditais[[#This Row],[Valor foco homologado]]&gt;=FaixaB_Min,"B","C"))))</f>
        <v/>
      </c>
      <c r="P50" t="str">
        <f ca="1">IF(tEditais[[#This Row],[Encerramento]]&gt;NOW(),"Aberto","Encerrado")</f>
        <v>Encerrado</v>
      </c>
    </row>
    <row r="51" spans="1:16" x14ac:dyDescent="0.25">
      <c r="A51" t="s">
        <v>892</v>
      </c>
      <c r="B51" t="s">
        <v>821</v>
      </c>
      <c r="C51" t="s">
        <v>822</v>
      </c>
      <c r="D51" t="s">
        <v>806</v>
      </c>
      <c r="E51" t="s">
        <v>716</v>
      </c>
      <c r="F51" s="11">
        <v>46310.375</v>
      </c>
      <c r="G51">
        <v>8</v>
      </c>
      <c r="I51" t="s">
        <v>823</v>
      </c>
      <c r="J51" t="str">
        <f>IF(ISNUMBER(SEARCH("registro de pre",tEditais[[#This Row],[Objeto]])),"Sim","Não")</f>
        <v>Não</v>
      </c>
      <c r="K51" s="4">
        <f>COUNTIFS(tItens[Edital],tEditais[[#This Row],[Edital]])</f>
        <v>1</v>
      </c>
      <c r="L51" s="4">
        <f>COUNTIFS(tItens[Edital],tEditais[[#This Row],[Edital]],tItens[Foco],"Sim")</f>
        <v>0</v>
      </c>
      <c r="M51" s="8">
        <f>SUMIFS(tItens[Valor],tItens[Edital],tEditais[[#This Row],[Edital]])</f>
        <v>35040</v>
      </c>
      <c r="N51" s="8">
        <f>SUMIFS(tItens[Valor homologado],tItens[Edital],tEditais[[#This Row],[Edital]],tItens[Foco],"Sim")</f>
        <v>0</v>
      </c>
      <c r="O51" t="str">
        <f>IF(tEditais[[#This Row],[Itens do foco]]=0,"",IF(tEditais[[#This Row],[Valor foco homologado]]&lt;=0,"Sem valor",IF(tEditais[[#This Row],[Valor foco homologado]]&gt;=FaixaA_Min,"A",IF(tEditais[[#This Row],[Valor foco homologado]]&gt;=FaixaB_Min,"B","C"))))</f>
        <v/>
      </c>
      <c r="P51" t="str">
        <f ca="1">IF(tEditais[[#This Row],[Encerramento]]&gt;NOW(),"Aberto","Encerrado")</f>
        <v>Encerrado</v>
      </c>
    </row>
    <row r="52" spans="1:16" x14ac:dyDescent="0.25">
      <c r="A52" t="s">
        <v>893</v>
      </c>
      <c r="B52" t="s">
        <v>894</v>
      </c>
      <c r="C52" t="s">
        <v>895</v>
      </c>
      <c r="D52" t="s">
        <v>806</v>
      </c>
      <c r="E52" t="s">
        <v>716</v>
      </c>
      <c r="F52" s="11">
        <v>46310.375</v>
      </c>
      <c r="G52">
        <v>13</v>
      </c>
      <c r="H52" t="s">
        <v>896</v>
      </c>
      <c r="I52" t="s">
        <v>897</v>
      </c>
      <c r="J52" t="str">
        <f>IF(ISNUMBER(SEARCH("registro de pre",tEditais[[#This Row],[Objeto]])),"Sim","Não")</f>
        <v>Sim</v>
      </c>
      <c r="K52" s="4">
        <f>COUNTIFS(tItens[Edital],tEditais[[#This Row],[Edital]])</f>
        <v>13</v>
      </c>
      <c r="L52" s="4">
        <f>COUNTIFS(tItens[Edital],tEditais[[#This Row],[Edital]],tItens[Foco],"Sim")</f>
        <v>0</v>
      </c>
      <c r="M52" s="8">
        <f>SUMIFS(tItens[Valor],tItens[Edital],tEditais[[#This Row],[Edital]])</f>
        <v>1044685</v>
      </c>
      <c r="N52" s="8">
        <f>SUMIFS(tItens[Valor homologado],tItens[Edital],tEditais[[#This Row],[Edital]],tItens[Foco],"Sim")</f>
        <v>0</v>
      </c>
      <c r="O52" t="str">
        <f>IF(tEditais[[#This Row],[Itens do foco]]=0,"",IF(tEditais[[#This Row],[Valor foco homologado]]&lt;=0,"Sem valor",IF(tEditais[[#This Row],[Valor foco homologado]]&gt;=FaixaA_Min,"A",IF(tEditais[[#This Row],[Valor foco homologado]]&gt;=FaixaB_Min,"B","C"))))</f>
        <v/>
      </c>
      <c r="P52" t="str">
        <f ca="1">IF(tEditais[[#This Row],[Encerramento]]&gt;NOW(),"Aberto","Encerrado")</f>
        <v>Encerrado</v>
      </c>
    </row>
    <row r="53" spans="1:16" x14ac:dyDescent="0.25">
      <c r="A53" t="s">
        <v>898</v>
      </c>
      <c r="B53" t="s">
        <v>821</v>
      </c>
      <c r="C53" t="s">
        <v>844</v>
      </c>
      <c r="D53" t="s">
        <v>806</v>
      </c>
      <c r="E53" t="s">
        <v>716</v>
      </c>
      <c r="F53" s="11">
        <v>46310.375</v>
      </c>
      <c r="G53">
        <v>2</v>
      </c>
      <c r="I53" t="s">
        <v>823</v>
      </c>
      <c r="J53" t="str">
        <f>IF(ISNUMBER(SEARCH("registro de pre",tEditais[[#This Row],[Objeto]])),"Sim","Não")</f>
        <v>Não</v>
      </c>
      <c r="K53" s="4">
        <f>COUNTIFS(tItens[Edital],tEditais[[#This Row],[Edital]])</f>
        <v>2</v>
      </c>
      <c r="L53" s="4">
        <f>COUNTIFS(tItens[Edital],tEditais[[#This Row],[Edital]],tItens[Foco],"Sim")</f>
        <v>0</v>
      </c>
      <c r="M53" s="8">
        <f>SUMIFS(tItens[Valor],tItens[Edital],tEditais[[#This Row],[Edital]])</f>
        <v>154200</v>
      </c>
      <c r="N53" s="8">
        <f>SUMIFS(tItens[Valor homologado],tItens[Edital],tEditais[[#This Row],[Edital]],tItens[Foco],"Sim")</f>
        <v>0</v>
      </c>
      <c r="O53" t="str">
        <f>IF(tEditais[[#This Row],[Itens do foco]]=0,"",IF(tEditais[[#This Row],[Valor foco homologado]]&lt;=0,"Sem valor",IF(tEditais[[#This Row],[Valor foco homologado]]&gt;=FaixaA_Min,"A",IF(tEditais[[#This Row],[Valor foco homologado]]&gt;=FaixaB_Min,"B","C"))))</f>
        <v/>
      </c>
      <c r="P53" t="str">
        <f ca="1">IF(tEditais[[#This Row],[Encerramento]]&gt;NOW(),"Aberto","Encerrado")</f>
        <v>Encerrado</v>
      </c>
    </row>
    <row r="54" spans="1:16" x14ac:dyDescent="0.25">
      <c r="A54" t="s">
        <v>899</v>
      </c>
      <c r="B54" t="s">
        <v>825</v>
      </c>
      <c r="C54" t="s">
        <v>822</v>
      </c>
      <c r="D54" t="s">
        <v>806</v>
      </c>
      <c r="E54" t="s">
        <v>716</v>
      </c>
      <c r="F54" s="11">
        <v>46310.375</v>
      </c>
      <c r="G54">
        <v>8</v>
      </c>
      <c r="H54" t="s">
        <v>900</v>
      </c>
      <c r="I54" t="s">
        <v>901</v>
      </c>
      <c r="J54" t="str">
        <f>IF(ISNUMBER(SEARCH("registro de pre",tEditais[[#This Row],[Objeto]])),"Sim","Não")</f>
        <v>Não</v>
      </c>
      <c r="K54" s="4">
        <f>COUNTIFS(tItens[Edital],tEditais[[#This Row],[Edital]])</f>
        <v>3</v>
      </c>
      <c r="L54" s="4">
        <f>COUNTIFS(tItens[Edital],tEditais[[#This Row],[Edital]],tItens[Foco],"Sim")</f>
        <v>0</v>
      </c>
      <c r="M54" s="8">
        <f>SUMIFS(tItens[Valor],tItens[Edital],tEditais[[#This Row],[Edital]])</f>
        <v>150240</v>
      </c>
      <c r="N54" s="8">
        <f>SUMIFS(tItens[Valor homologado],tItens[Edital],tEditais[[#This Row],[Edital]],tItens[Foco],"Sim")</f>
        <v>0</v>
      </c>
      <c r="O54" t="str">
        <f>IF(tEditais[[#This Row],[Itens do foco]]=0,"",IF(tEditais[[#This Row],[Valor foco homologado]]&lt;=0,"Sem valor",IF(tEditais[[#This Row],[Valor foco homologado]]&gt;=FaixaA_Min,"A",IF(tEditais[[#This Row],[Valor foco homologado]]&gt;=FaixaB_Min,"B","C"))))</f>
        <v/>
      </c>
      <c r="P54" t="str">
        <f ca="1">IF(tEditais[[#This Row],[Encerramento]]&gt;NOW(),"Aberto","Encerrado")</f>
        <v>Encerrado</v>
      </c>
    </row>
    <row r="55" spans="1:16" x14ac:dyDescent="0.25">
      <c r="A55" t="s">
        <v>902</v>
      </c>
      <c r="B55" t="s">
        <v>825</v>
      </c>
      <c r="C55" t="s">
        <v>822</v>
      </c>
      <c r="D55" t="s">
        <v>806</v>
      </c>
      <c r="E55" t="s">
        <v>716</v>
      </c>
      <c r="F55" s="11">
        <v>46310.458333333336</v>
      </c>
      <c r="G55">
        <v>6</v>
      </c>
      <c r="H55" t="s">
        <v>903</v>
      </c>
      <c r="I55" t="s">
        <v>904</v>
      </c>
      <c r="J55" t="str">
        <f>IF(ISNUMBER(SEARCH("registro de pre",tEditais[[#This Row],[Objeto]])),"Sim","Não")</f>
        <v>Não</v>
      </c>
      <c r="K55" s="4">
        <f>COUNTIFS(tItens[Edital],tEditais[[#This Row],[Edital]])</f>
        <v>1</v>
      </c>
      <c r="L55" s="4">
        <f>COUNTIFS(tItens[Edital],tEditais[[#This Row],[Edital]],tItens[Foco],"Sim")</f>
        <v>0</v>
      </c>
      <c r="M55" s="8">
        <f>SUMIFS(tItens[Valor],tItens[Edital],tEditais[[#This Row],[Edital]])</f>
        <v>3120</v>
      </c>
      <c r="N55" s="8">
        <f>SUMIFS(tItens[Valor homologado],tItens[Edital],tEditais[[#This Row],[Edital]],tItens[Foco],"Sim")</f>
        <v>0</v>
      </c>
      <c r="O55" t="str">
        <f>IF(tEditais[[#This Row],[Itens do foco]]=0,"",IF(tEditais[[#This Row],[Valor foco homologado]]&lt;=0,"Sem valor",IF(tEditais[[#This Row],[Valor foco homologado]]&gt;=FaixaA_Min,"A",IF(tEditais[[#This Row],[Valor foco homologado]]&gt;=FaixaB_Min,"B","C"))))</f>
        <v/>
      </c>
      <c r="P55" t="str">
        <f ca="1">IF(tEditais[[#This Row],[Encerramento]]&gt;NOW(),"Aberto","Encerrado")</f>
        <v>Encerrado</v>
      </c>
    </row>
    <row r="56" spans="1:16" x14ac:dyDescent="0.25">
      <c r="A56" t="s">
        <v>905</v>
      </c>
      <c r="B56" t="s">
        <v>821</v>
      </c>
      <c r="C56" t="s">
        <v>822</v>
      </c>
      <c r="D56" t="s">
        <v>806</v>
      </c>
      <c r="E56" t="s">
        <v>716</v>
      </c>
      <c r="F56" s="11">
        <v>46310.583333333336</v>
      </c>
      <c r="G56">
        <v>7</v>
      </c>
      <c r="I56" t="s">
        <v>823</v>
      </c>
      <c r="J56" t="str">
        <f>IF(ISNUMBER(SEARCH("registro de pre",tEditais[[#This Row],[Objeto]])),"Sim","Não")</f>
        <v>Não</v>
      </c>
      <c r="K56" s="4">
        <f>COUNTIFS(tItens[Edital],tEditais[[#This Row],[Edital]])</f>
        <v>4</v>
      </c>
      <c r="L56" s="4">
        <f>COUNTIFS(tItens[Edital],tEditais[[#This Row],[Edital]],tItens[Foco],"Sim")</f>
        <v>0</v>
      </c>
      <c r="M56" s="8">
        <f>SUMIFS(tItens[Valor],tItens[Edital],tEditais[[#This Row],[Edital]])</f>
        <v>346293.6</v>
      </c>
      <c r="N56" s="8">
        <f>SUMIFS(tItens[Valor homologado],tItens[Edital],tEditais[[#This Row],[Edital]],tItens[Foco],"Sim")</f>
        <v>0</v>
      </c>
      <c r="O56" t="str">
        <f>IF(tEditais[[#This Row],[Itens do foco]]=0,"",IF(tEditais[[#This Row],[Valor foco homologado]]&lt;=0,"Sem valor",IF(tEditais[[#This Row],[Valor foco homologado]]&gt;=FaixaA_Min,"A",IF(tEditais[[#This Row],[Valor foco homologado]]&gt;=FaixaB_Min,"B","C"))))</f>
        <v/>
      </c>
      <c r="P56" t="str">
        <f ca="1">IF(tEditais[[#This Row],[Encerramento]]&gt;NOW(),"Aberto","Encerrado")</f>
        <v>Encerrado</v>
      </c>
    </row>
    <row r="57" spans="1:16" x14ac:dyDescent="0.25">
      <c r="A57" t="s">
        <v>906</v>
      </c>
      <c r="B57" t="s">
        <v>825</v>
      </c>
      <c r="C57" t="s">
        <v>822</v>
      </c>
      <c r="D57" t="s">
        <v>806</v>
      </c>
      <c r="E57" t="s">
        <v>716</v>
      </c>
      <c r="F57" s="11">
        <v>46310.583333333336</v>
      </c>
      <c r="G57">
        <v>7</v>
      </c>
      <c r="H57" t="s">
        <v>907</v>
      </c>
      <c r="I57" t="s">
        <v>908</v>
      </c>
      <c r="J57" t="str">
        <f>IF(ISNUMBER(SEARCH("registro de pre",tEditais[[#This Row],[Objeto]])),"Sim","Não")</f>
        <v>Não</v>
      </c>
      <c r="K57" s="4">
        <f>COUNTIFS(tItens[Edital],tEditais[[#This Row],[Edital]])</f>
        <v>4</v>
      </c>
      <c r="L57" s="4">
        <f>COUNTIFS(tItens[Edital],tEditais[[#This Row],[Edital]],tItens[Foco],"Sim")</f>
        <v>0</v>
      </c>
      <c r="M57" s="8">
        <f>SUMIFS(tItens[Valor],tItens[Edital],tEditais[[#This Row],[Edital]])</f>
        <v>346293.6</v>
      </c>
      <c r="N57" s="8">
        <f>SUMIFS(tItens[Valor homologado],tItens[Edital],tEditais[[#This Row],[Edital]],tItens[Foco],"Sim")</f>
        <v>0</v>
      </c>
      <c r="O57" t="str">
        <f>IF(tEditais[[#This Row],[Itens do foco]]=0,"",IF(tEditais[[#This Row],[Valor foco homologado]]&lt;=0,"Sem valor",IF(tEditais[[#This Row],[Valor foco homologado]]&gt;=FaixaA_Min,"A",IF(tEditais[[#This Row],[Valor foco homologado]]&gt;=FaixaB_Min,"B","C"))))</f>
        <v/>
      </c>
      <c r="P57" t="str">
        <f ca="1">IF(tEditais[[#This Row],[Encerramento]]&gt;NOW(),"Aberto","Encerrado")</f>
        <v>Encerrado</v>
      </c>
    </row>
    <row r="58" spans="1:16" x14ac:dyDescent="0.25">
      <c r="A58" t="s">
        <v>909</v>
      </c>
      <c r="B58" t="s">
        <v>821</v>
      </c>
      <c r="C58" t="s">
        <v>822</v>
      </c>
      <c r="D58" t="s">
        <v>806</v>
      </c>
      <c r="E58" t="s">
        <v>716</v>
      </c>
      <c r="F58" s="11">
        <v>46310.583333333336</v>
      </c>
      <c r="G58">
        <v>3</v>
      </c>
      <c r="I58" t="s">
        <v>823</v>
      </c>
      <c r="J58" t="str">
        <f>IF(ISNUMBER(SEARCH("registro de pre",tEditais[[#This Row],[Objeto]])),"Sim","Não")</f>
        <v>Não</v>
      </c>
      <c r="K58" s="4">
        <f>COUNTIFS(tItens[Edital],tEditais[[#This Row],[Edital]])</f>
        <v>3</v>
      </c>
      <c r="L58" s="4">
        <f>COUNTIFS(tItens[Edital],tEditais[[#This Row],[Edital]],tItens[Foco],"Sim")</f>
        <v>0</v>
      </c>
      <c r="M58" s="8">
        <f>SUMIFS(tItens[Valor],tItens[Edital],tEditais[[#This Row],[Edital]])</f>
        <v>3241015.8000000003</v>
      </c>
      <c r="N58" s="8">
        <f>SUMIFS(tItens[Valor homologado],tItens[Edital],tEditais[[#This Row],[Edital]],tItens[Foco],"Sim")</f>
        <v>0</v>
      </c>
      <c r="O58" t="str">
        <f>IF(tEditais[[#This Row],[Itens do foco]]=0,"",IF(tEditais[[#This Row],[Valor foco homologado]]&lt;=0,"Sem valor",IF(tEditais[[#This Row],[Valor foco homologado]]&gt;=FaixaA_Min,"A",IF(tEditais[[#This Row],[Valor foco homologado]]&gt;=FaixaB_Min,"B","C"))))</f>
        <v/>
      </c>
      <c r="P58" t="str">
        <f ca="1">IF(tEditais[[#This Row],[Encerramento]]&gt;NOW(),"Aberto","Encerrado")</f>
        <v>Encerrado</v>
      </c>
    </row>
    <row r="59" spans="1:16" x14ac:dyDescent="0.25">
      <c r="A59" t="s">
        <v>910</v>
      </c>
      <c r="B59" t="s">
        <v>821</v>
      </c>
      <c r="C59" t="s">
        <v>911</v>
      </c>
      <c r="D59" t="s">
        <v>806</v>
      </c>
      <c r="E59" t="s">
        <v>800</v>
      </c>
      <c r="F59" s="11">
        <v>46310.6875</v>
      </c>
      <c r="G59">
        <v>4</v>
      </c>
      <c r="I59" t="s">
        <v>912</v>
      </c>
      <c r="J59" t="str">
        <f>IF(ISNUMBER(SEARCH("registro de pre",tEditais[[#This Row],[Objeto]])),"Sim","Não")</f>
        <v>Não</v>
      </c>
      <c r="K59" s="4">
        <f>COUNTIFS(tItens[Edital],tEditais[[#This Row],[Edital]])</f>
        <v>1</v>
      </c>
      <c r="L59" s="4">
        <f>COUNTIFS(tItens[Edital],tEditais[[#This Row],[Edital]],tItens[Foco],"Sim")</f>
        <v>0</v>
      </c>
      <c r="M59" s="8">
        <f>SUMIFS(tItens[Valor],tItens[Edital],tEditais[[#This Row],[Edital]])</f>
        <v>5160</v>
      </c>
      <c r="N59" s="8">
        <f>SUMIFS(tItens[Valor homologado],tItens[Edital],tEditais[[#This Row],[Edital]],tItens[Foco],"Sim")</f>
        <v>0</v>
      </c>
      <c r="O59" t="str">
        <f>IF(tEditais[[#This Row],[Itens do foco]]=0,"",IF(tEditais[[#This Row],[Valor foco homologado]]&lt;=0,"Sem valor",IF(tEditais[[#This Row],[Valor foco homologado]]&gt;=FaixaA_Min,"A",IF(tEditais[[#This Row],[Valor foco homologado]]&gt;=FaixaB_Min,"B","C"))))</f>
        <v/>
      </c>
      <c r="P59" t="str">
        <f ca="1">IF(tEditais[[#This Row],[Encerramento]]&gt;NOW(),"Aberto","Encerrado")</f>
        <v>Aberto</v>
      </c>
    </row>
    <row r="60" spans="1:16" x14ac:dyDescent="0.25">
      <c r="A60" t="s">
        <v>913</v>
      </c>
      <c r="B60" t="s">
        <v>914</v>
      </c>
      <c r="C60" t="s">
        <v>915</v>
      </c>
      <c r="D60" t="s">
        <v>806</v>
      </c>
      <c r="E60" t="s">
        <v>716</v>
      </c>
      <c r="F60" s="11">
        <v>46311.375</v>
      </c>
      <c r="G60">
        <v>550</v>
      </c>
      <c r="H60" t="s">
        <v>916</v>
      </c>
      <c r="I60" t="s">
        <v>917</v>
      </c>
      <c r="J60" t="str">
        <f>IF(ISNUMBER(SEARCH("registro de pre",tEditais[[#This Row],[Objeto]])),"Sim","Não")</f>
        <v>Sim</v>
      </c>
      <c r="K60" s="4">
        <f>COUNTIFS(tItens[Edital],tEditais[[#This Row],[Edital]])</f>
        <v>2</v>
      </c>
      <c r="L60" s="4">
        <f>COUNTIFS(tItens[Edital],tEditais[[#This Row],[Edital]],tItens[Foco],"Sim")</f>
        <v>0</v>
      </c>
      <c r="M60" s="8">
        <f>SUMIFS(tItens[Valor],tItens[Edital],tEditais[[#This Row],[Edital]])</f>
        <v>90610</v>
      </c>
      <c r="N60" s="8">
        <f>SUMIFS(tItens[Valor homologado],tItens[Edital],tEditais[[#This Row],[Edital]],tItens[Foco],"Sim")</f>
        <v>0</v>
      </c>
      <c r="O60" t="str">
        <f>IF(tEditais[[#This Row],[Itens do foco]]=0,"",IF(tEditais[[#This Row],[Valor foco homologado]]&lt;=0,"Sem valor",IF(tEditais[[#This Row],[Valor foco homologado]]&gt;=FaixaA_Min,"A",IF(tEditais[[#This Row],[Valor foco homologado]]&gt;=FaixaB_Min,"B","C"))))</f>
        <v/>
      </c>
      <c r="P60" t="str">
        <f ca="1">IF(tEditais[[#This Row],[Encerramento]]&gt;NOW(),"Aberto","Encerrado")</f>
        <v>Aberto</v>
      </c>
    </row>
    <row r="61" spans="1:16" x14ac:dyDescent="0.25">
      <c r="A61" t="s">
        <v>918</v>
      </c>
      <c r="B61" t="s">
        <v>825</v>
      </c>
      <c r="C61" t="s">
        <v>822</v>
      </c>
      <c r="D61" t="s">
        <v>806</v>
      </c>
      <c r="E61" t="s">
        <v>716</v>
      </c>
      <c r="F61" s="11">
        <v>46311.416666666664</v>
      </c>
      <c r="G61">
        <v>10</v>
      </c>
      <c r="H61" t="s">
        <v>919</v>
      </c>
      <c r="I61" t="s">
        <v>920</v>
      </c>
      <c r="J61" t="str">
        <f>IF(ISNUMBER(SEARCH("registro de pre",tEditais[[#This Row],[Objeto]])),"Sim","Não")</f>
        <v>Sim</v>
      </c>
      <c r="K61" s="4">
        <f>COUNTIFS(tItens[Edital],tEditais[[#This Row],[Edital]])</f>
        <v>2</v>
      </c>
      <c r="L61" s="4">
        <f>COUNTIFS(tItens[Edital],tEditais[[#This Row],[Edital]],tItens[Foco],"Sim")</f>
        <v>0</v>
      </c>
      <c r="M61" s="8">
        <f>SUMIFS(tItens[Valor],tItens[Edital],tEditais[[#This Row],[Edital]])</f>
        <v>1473727.2</v>
      </c>
      <c r="N61" s="8">
        <f>SUMIFS(tItens[Valor homologado],tItens[Edital],tEditais[[#This Row],[Edital]],tItens[Foco],"Sim")</f>
        <v>0</v>
      </c>
      <c r="O61" t="str">
        <f>IF(tEditais[[#This Row],[Itens do foco]]=0,"",IF(tEditais[[#This Row],[Valor foco homologado]]&lt;=0,"Sem valor",IF(tEditais[[#This Row],[Valor foco homologado]]&gt;=FaixaA_Min,"A",IF(tEditais[[#This Row],[Valor foco homologado]]&gt;=FaixaB_Min,"B","C"))))</f>
        <v/>
      </c>
      <c r="P61" t="str">
        <f ca="1">IF(tEditais[[#This Row],[Encerramento]]&gt;NOW(),"Aberto","Encerrado")</f>
        <v>Aberto</v>
      </c>
    </row>
    <row r="62" spans="1:16" x14ac:dyDescent="0.25">
      <c r="A62" t="s">
        <v>921</v>
      </c>
      <c r="B62" t="s">
        <v>821</v>
      </c>
      <c r="C62" t="s">
        <v>822</v>
      </c>
      <c r="D62" t="s">
        <v>806</v>
      </c>
      <c r="E62" t="s">
        <v>716</v>
      </c>
      <c r="F62" s="11">
        <v>46311.416666666664</v>
      </c>
      <c r="G62">
        <v>10</v>
      </c>
      <c r="I62" t="s">
        <v>823</v>
      </c>
      <c r="J62" t="str">
        <f>IF(ISNUMBER(SEARCH("registro de pre",tEditais[[#This Row],[Objeto]])),"Sim","Não")</f>
        <v>Não</v>
      </c>
      <c r="K62" s="4">
        <f>COUNTIFS(tItens[Edital],tEditais[[#This Row],[Edital]])</f>
        <v>2</v>
      </c>
      <c r="L62" s="4">
        <f>COUNTIFS(tItens[Edital],tEditais[[#This Row],[Edital]],tItens[Foco],"Sim")</f>
        <v>0</v>
      </c>
      <c r="M62" s="8">
        <f>SUMIFS(tItens[Valor],tItens[Edital],tEditais[[#This Row],[Edital]])</f>
        <v>1473727.2</v>
      </c>
      <c r="N62" s="8">
        <f>SUMIFS(tItens[Valor homologado],tItens[Edital],tEditais[[#This Row],[Edital]],tItens[Foco],"Sim")</f>
        <v>0</v>
      </c>
      <c r="O62" t="str">
        <f>IF(tEditais[[#This Row],[Itens do foco]]=0,"",IF(tEditais[[#This Row],[Valor foco homologado]]&lt;=0,"Sem valor",IF(tEditais[[#This Row],[Valor foco homologado]]&gt;=FaixaA_Min,"A",IF(tEditais[[#This Row],[Valor foco homologado]]&gt;=FaixaB_Min,"B","C"))))</f>
        <v/>
      </c>
      <c r="P62" t="str">
        <f ca="1">IF(tEditais[[#This Row],[Encerramento]]&gt;NOW(),"Aberto","Encerrado")</f>
        <v>Aberto</v>
      </c>
    </row>
    <row r="63" spans="1:16" x14ac:dyDescent="0.25">
      <c r="A63" t="s">
        <v>922</v>
      </c>
      <c r="B63" t="s">
        <v>825</v>
      </c>
      <c r="C63" t="s">
        <v>822</v>
      </c>
      <c r="D63" t="s">
        <v>806</v>
      </c>
      <c r="E63" t="s">
        <v>716</v>
      </c>
      <c r="F63" s="11">
        <v>46311.416666666664</v>
      </c>
      <c r="G63">
        <v>5</v>
      </c>
      <c r="H63" t="s">
        <v>923</v>
      </c>
      <c r="I63" t="s">
        <v>924</v>
      </c>
      <c r="J63" t="str">
        <f>IF(ISNUMBER(SEARCH("registro de pre",tEditais[[#This Row],[Objeto]])),"Sim","Não")</f>
        <v>Sim</v>
      </c>
      <c r="K63" s="4">
        <f>COUNTIFS(tItens[Edital],tEditais[[#This Row],[Edital]])</f>
        <v>2</v>
      </c>
      <c r="L63" s="4">
        <f>COUNTIFS(tItens[Edital],tEditais[[#This Row],[Edital]],tItens[Foco],"Sim")</f>
        <v>0</v>
      </c>
      <c r="M63" s="8">
        <f>SUMIFS(tItens[Valor],tItens[Edital],tEditais[[#This Row],[Edital]])</f>
        <v>75392.5</v>
      </c>
      <c r="N63" s="8">
        <f>SUMIFS(tItens[Valor homologado],tItens[Edital],tEditais[[#This Row],[Edital]],tItens[Foco],"Sim")</f>
        <v>0</v>
      </c>
      <c r="O63" t="str">
        <f>IF(tEditais[[#This Row],[Itens do foco]]=0,"",IF(tEditais[[#This Row],[Valor foco homologado]]&lt;=0,"Sem valor",IF(tEditais[[#This Row],[Valor foco homologado]]&gt;=FaixaA_Min,"A",IF(tEditais[[#This Row],[Valor foco homologado]]&gt;=FaixaB_Min,"B","C"))))</f>
        <v/>
      </c>
      <c r="P63" t="str">
        <f ca="1">IF(tEditais[[#This Row],[Encerramento]]&gt;NOW(),"Aberto","Encerrado")</f>
        <v>Aberto</v>
      </c>
    </row>
    <row r="64" spans="1:16" x14ac:dyDescent="0.25">
      <c r="A64" t="s">
        <v>925</v>
      </c>
      <c r="B64" t="s">
        <v>821</v>
      </c>
      <c r="C64" t="s">
        <v>822</v>
      </c>
      <c r="D64" t="s">
        <v>806</v>
      </c>
      <c r="E64" t="s">
        <v>716</v>
      </c>
      <c r="F64" s="11">
        <v>46311.416666666664</v>
      </c>
      <c r="G64">
        <v>5</v>
      </c>
      <c r="I64" t="s">
        <v>823</v>
      </c>
      <c r="J64" t="str">
        <f>IF(ISNUMBER(SEARCH("registro de pre",tEditais[[#This Row],[Objeto]])),"Sim","Não")</f>
        <v>Não</v>
      </c>
      <c r="K64" s="4">
        <f>COUNTIFS(tItens[Edital],tEditais[[#This Row],[Edital]])</f>
        <v>2</v>
      </c>
      <c r="L64" s="4">
        <f>COUNTIFS(tItens[Edital],tEditais[[#This Row],[Edital]],tItens[Foco],"Sim")</f>
        <v>0</v>
      </c>
      <c r="M64" s="8">
        <f>SUMIFS(tItens[Valor],tItens[Edital],tEditais[[#This Row],[Edital]])</f>
        <v>75392.5</v>
      </c>
      <c r="N64" s="8">
        <f>SUMIFS(tItens[Valor homologado],tItens[Edital],tEditais[[#This Row],[Edital]],tItens[Foco],"Sim")</f>
        <v>0</v>
      </c>
      <c r="O64" t="str">
        <f>IF(tEditais[[#This Row],[Itens do foco]]=0,"",IF(tEditais[[#This Row],[Valor foco homologado]]&lt;=0,"Sem valor",IF(tEditais[[#This Row],[Valor foco homologado]]&gt;=FaixaA_Min,"A",IF(tEditais[[#This Row],[Valor foco homologado]]&gt;=FaixaB_Min,"B","C"))))</f>
        <v/>
      </c>
      <c r="P64" t="str">
        <f ca="1">IF(tEditais[[#This Row],[Encerramento]]&gt;NOW(),"Aberto","Encerrado")</f>
        <v>Aberto</v>
      </c>
    </row>
    <row r="65" spans="1:16" x14ac:dyDescent="0.25">
      <c r="A65" t="s">
        <v>926</v>
      </c>
      <c r="B65" t="s">
        <v>821</v>
      </c>
      <c r="C65" t="s">
        <v>822</v>
      </c>
      <c r="D65" t="s">
        <v>806</v>
      </c>
      <c r="E65" t="s">
        <v>800</v>
      </c>
      <c r="F65" s="11">
        <v>46311.4375</v>
      </c>
      <c r="G65">
        <v>27</v>
      </c>
      <c r="I65" t="s">
        <v>927</v>
      </c>
      <c r="J65" t="str">
        <f>IF(ISNUMBER(SEARCH("registro de pre",tEditais[[#This Row],[Objeto]])),"Sim","Não")</f>
        <v>Não</v>
      </c>
      <c r="K65" s="4">
        <f>COUNTIFS(tItens[Edital],tEditais[[#This Row],[Edital]])</f>
        <v>3</v>
      </c>
      <c r="L65" s="4">
        <f>COUNTIFS(tItens[Edital],tEditais[[#This Row],[Edital]],tItens[Foco],"Sim")</f>
        <v>1</v>
      </c>
      <c r="M65" s="8">
        <f>SUMIFS(tItens[Valor],tItens[Edital],tEditais[[#This Row],[Edital]])</f>
        <v>1001.4</v>
      </c>
      <c r="N65" s="8">
        <f>SUMIFS(tItens[Valor homologado],tItens[Edital],tEditais[[#This Row],[Edital]],tItens[Foco],"Sim")</f>
        <v>253.43999999999997</v>
      </c>
      <c r="O65" t="str">
        <f>IF(tEditais[[#This Row],[Itens do foco]]=0,"",IF(tEditais[[#This Row],[Valor foco homologado]]&lt;=0,"Sem valor",IF(tEditais[[#This Row],[Valor foco homologado]]&gt;=FaixaA_Min,"A",IF(tEditais[[#This Row],[Valor foco homologado]]&gt;=FaixaB_Min,"B","C"))))</f>
        <v>C</v>
      </c>
      <c r="P65" t="str">
        <f ca="1">IF(tEditais[[#This Row],[Encerramento]]&gt;NOW(),"Aberto","Encerrado")</f>
        <v>Aberto</v>
      </c>
    </row>
    <row r="66" spans="1:16" x14ac:dyDescent="0.25">
      <c r="A66" t="s">
        <v>928</v>
      </c>
      <c r="B66" t="s">
        <v>821</v>
      </c>
      <c r="C66" t="s">
        <v>822</v>
      </c>
      <c r="D66" t="s">
        <v>806</v>
      </c>
      <c r="E66" t="s">
        <v>800</v>
      </c>
      <c r="F66" s="11">
        <v>46311.4375</v>
      </c>
      <c r="G66">
        <v>1</v>
      </c>
      <c r="I66" t="s">
        <v>929</v>
      </c>
      <c r="J66" t="str">
        <f>IF(ISNUMBER(SEARCH("registro de pre",tEditais[[#This Row],[Objeto]])),"Sim","Não")</f>
        <v>Não</v>
      </c>
      <c r="K66" s="4">
        <f>COUNTIFS(tItens[Edital],tEditais[[#This Row],[Edital]])</f>
        <v>1</v>
      </c>
      <c r="L66" s="4">
        <f>COUNTIFS(tItens[Edital],tEditais[[#This Row],[Edital]],tItens[Foco],"Sim")</f>
        <v>0</v>
      </c>
      <c r="M66" s="8">
        <f>SUMIFS(tItens[Valor],tItens[Edital],tEditais[[#This Row],[Edital]])</f>
        <v>4290</v>
      </c>
      <c r="N66" s="8">
        <f>SUMIFS(tItens[Valor homologado],tItens[Edital],tEditais[[#This Row],[Edital]],tItens[Foco],"Sim")</f>
        <v>0</v>
      </c>
      <c r="O66" t="str">
        <f>IF(tEditais[[#This Row],[Itens do foco]]=0,"",IF(tEditais[[#This Row],[Valor foco homologado]]&lt;=0,"Sem valor",IF(tEditais[[#This Row],[Valor foco homologado]]&gt;=FaixaA_Min,"A",IF(tEditais[[#This Row],[Valor foco homologado]]&gt;=FaixaB_Min,"B","C"))))</f>
        <v/>
      </c>
      <c r="P66" t="str">
        <f ca="1">IF(tEditais[[#This Row],[Encerramento]]&gt;NOW(),"Aberto","Encerrado")</f>
        <v>Aberto</v>
      </c>
    </row>
    <row r="67" spans="1:16" x14ac:dyDescent="0.25">
      <c r="A67" t="s">
        <v>930</v>
      </c>
      <c r="B67" t="s">
        <v>931</v>
      </c>
      <c r="C67" t="s">
        <v>932</v>
      </c>
      <c r="D67" t="s">
        <v>806</v>
      </c>
      <c r="E67" t="s">
        <v>716</v>
      </c>
      <c r="F67" s="11">
        <v>46311.4375</v>
      </c>
      <c r="G67">
        <v>210</v>
      </c>
      <c r="H67" t="s">
        <v>933</v>
      </c>
      <c r="I67" t="s">
        <v>934</v>
      </c>
      <c r="J67" t="str">
        <f>IF(ISNUMBER(SEARCH("registro de pre",tEditais[[#This Row],[Objeto]])),"Sim","Não")</f>
        <v>Não</v>
      </c>
      <c r="K67" s="4">
        <f>COUNTIFS(tItens[Edital],tEditais[[#This Row],[Edital]])</f>
        <v>9</v>
      </c>
      <c r="L67" s="4">
        <f>COUNTIFS(tItens[Edital],tEditais[[#This Row],[Edital]],tItens[Foco],"Sim")</f>
        <v>1</v>
      </c>
      <c r="M67" s="8">
        <f>SUMIFS(tItens[Valor],tItens[Edital],tEditais[[#This Row],[Edital]])</f>
        <v>0</v>
      </c>
      <c r="N67" s="8">
        <f>SUMIFS(tItens[Valor homologado],tItens[Edital],tEditais[[#This Row],[Edital]],tItens[Foco],"Sim")</f>
        <v>0</v>
      </c>
      <c r="O67" t="str">
        <f>IF(tEditais[[#This Row],[Itens do foco]]=0,"",IF(tEditais[[#This Row],[Valor foco homologado]]&lt;=0,"Sem valor",IF(tEditais[[#This Row],[Valor foco homologado]]&gt;=FaixaA_Min,"A",IF(tEditais[[#This Row],[Valor foco homologado]]&gt;=FaixaB_Min,"B","C"))))</f>
        <v>Sem valor</v>
      </c>
      <c r="P67" t="str">
        <f ca="1">IF(tEditais[[#This Row],[Encerramento]]&gt;NOW(),"Aberto","Encerrado")</f>
        <v>Aberto</v>
      </c>
    </row>
    <row r="68" spans="1:16" x14ac:dyDescent="0.25">
      <c r="A68" t="s">
        <v>935</v>
      </c>
      <c r="B68" t="s">
        <v>936</v>
      </c>
      <c r="C68" t="s">
        <v>937</v>
      </c>
      <c r="D68" t="s">
        <v>806</v>
      </c>
      <c r="E68" t="s">
        <v>800</v>
      </c>
      <c r="F68" s="11">
        <v>46311.479166666664</v>
      </c>
      <c r="G68">
        <v>4</v>
      </c>
      <c r="I68" t="s">
        <v>938</v>
      </c>
      <c r="J68" t="str">
        <f>IF(ISNUMBER(SEARCH("registro de pre",tEditais[[#This Row],[Objeto]])),"Sim","Não")</f>
        <v>Não</v>
      </c>
      <c r="K68" s="4">
        <f>COUNTIFS(tItens[Edital],tEditais[[#This Row],[Edital]])</f>
        <v>1</v>
      </c>
      <c r="L68" s="4">
        <f>COUNTIFS(tItens[Edital],tEditais[[#This Row],[Edital]],tItens[Foco],"Sim")</f>
        <v>0</v>
      </c>
      <c r="M68" s="8">
        <f>SUMIFS(tItens[Valor],tItens[Edital],tEditais[[#This Row],[Edital]])</f>
        <v>35</v>
      </c>
      <c r="N68" s="8">
        <f>SUMIFS(tItens[Valor homologado],tItens[Edital],tEditais[[#This Row],[Edital]],tItens[Foco],"Sim")</f>
        <v>0</v>
      </c>
      <c r="O68" t="str">
        <f>IF(tEditais[[#This Row],[Itens do foco]]=0,"",IF(tEditais[[#This Row],[Valor foco homologado]]&lt;=0,"Sem valor",IF(tEditais[[#This Row],[Valor foco homologado]]&gt;=FaixaA_Min,"A",IF(tEditais[[#This Row],[Valor foco homologado]]&gt;=FaixaB_Min,"B","C"))))</f>
        <v/>
      </c>
      <c r="P68" t="str">
        <f ca="1">IF(tEditais[[#This Row],[Encerramento]]&gt;NOW(),"Aberto","Encerrado")</f>
        <v>Aberto</v>
      </c>
    </row>
    <row r="69" spans="1:16" x14ac:dyDescent="0.25">
      <c r="A69" t="s">
        <v>939</v>
      </c>
      <c r="B69" t="s">
        <v>936</v>
      </c>
      <c r="C69" t="s">
        <v>937</v>
      </c>
      <c r="D69" t="s">
        <v>806</v>
      </c>
      <c r="E69" t="s">
        <v>800</v>
      </c>
      <c r="F69" s="11">
        <v>46311.645833333336</v>
      </c>
      <c r="G69">
        <v>6</v>
      </c>
      <c r="I69" t="s">
        <v>940</v>
      </c>
      <c r="J69" t="str">
        <f>IF(ISNUMBER(SEARCH("registro de pre",tEditais[[#This Row],[Objeto]])),"Sim","Não")</f>
        <v>Não</v>
      </c>
      <c r="K69" s="4">
        <f>COUNTIFS(tItens[Edital],tEditais[[#This Row],[Edital]])</f>
        <v>1</v>
      </c>
      <c r="L69" s="4">
        <f>COUNTIFS(tItens[Edital],tEditais[[#This Row],[Edital]],tItens[Foco],"Sim")</f>
        <v>0</v>
      </c>
      <c r="M69" s="8">
        <f>SUMIFS(tItens[Valor],tItens[Edital],tEditais[[#This Row],[Edital]])</f>
        <v>5.8</v>
      </c>
      <c r="N69" s="8">
        <f>SUMIFS(tItens[Valor homologado],tItens[Edital],tEditais[[#This Row],[Edital]],tItens[Foco],"Sim")</f>
        <v>0</v>
      </c>
      <c r="O69" t="str">
        <f>IF(tEditais[[#This Row],[Itens do foco]]=0,"",IF(tEditais[[#This Row],[Valor foco homologado]]&lt;=0,"Sem valor",IF(tEditais[[#This Row],[Valor foco homologado]]&gt;=FaixaA_Min,"A",IF(tEditais[[#This Row],[Valor foco homologado]]&gt;=FaixaB_Min,"B","C"))))</f>
        <v/>
      </c>
      <c r="P69" t="str">
        <f ca="1">IF(tEditais[[#This Row],[Encerramento]]&gt;NOW(),"Aberto","Encerrado")</f>
        <v>Aberto</v>
      </c>
    </row>
    <row r="70" spans="1:16" x14ac:dyDescent="0.25">
      <c r="A70" t="s">
        <v>941</v>
      </c>
      <c r="B70" t="s">
        <v>936</v>
      </c>
      <c r="C70" t="s">
        <v>937</v>
      </c>
      <c r="D70" t="s">
        <v>806</v>
      </c>
      <c r="E70" t="s">
        <v>800</v>
      </c>
      <c r="F70" s="11">
        <v>46311.6875</v>
      </c>
      <c r="G70">
        <v>1</v>
      </c>
      <c r="I70" t="s">
        <v>942</v>
      </c>
      <c r="J70" t="str">
        <f>IF(ISNUMBER(SEARCH("registro de pre",tEditais[[#This Row],[Objeto]])),"Sim","Não")</f>
        <v>Não</v>
      </c>
      <c r="K70" s="4">
        <f>COUNTIFS(tItens[Edital],tEditais[[#This Row],[Edital]])</f>
        <v>1</v>
      </c>
      <c r="L70" s="4">
        <f>COUNTIFS(tItens[Edital],tEditais[[#This Row],[Edital]],tItens[Foco],"Sim")</f>
        <v>0</v>
      </c>
      <c r="M70" s="8">
        <f>SUMIFS(tItens[Valor],tItens[Edital],tEditais[[#This Row],[Edital]])</f>
        <v>470</v>
      </c>
      <c r="N70" s="8">
        <f>SUMIFS(tItens[Valor homologado],tItens[Edital],tEditais[[#This Row],[Edital]],tItens[Foco],"Sim")</f>
        <v>0</v>
      </c>
      <c r="O70" t="str">
        <f>IF(tEditais[[#This Row],[Itens do foco]]=0,"",IF(tEditais[[#This Row],[Valor foco homologado]]&lt;=0,"Sem valor",IF(tEditais[[#This Row],[Valor foco homologado]]&gt;=FaixaA_Min,"A",IF(tEditais[[#This Row],[Valor foco homologado]]&gt;=FaixaB_Min,"B","C"))))</f>
        <v/>
      </c>
      <c r="P70" t="str">
        <f ca="1">IF(tEditais[[#This Row],[Encerramento]]&gt;NOW(),"Aberto","Encerrado")</f>
        <v>Aberto</v>
      </c>
    </row>
    <row r="71" spans="1:16" x14ac:dyDescent="0.25">
      <c r="A71" t="s">
        <v>943</v>
      </c>
      <c r="B71" t="s">
        <v>944</v>
      </c>
      <c r="C71" t="s">
        <v>945</v>
      </c>
      <c r="D71" t="s">
        <v>806</v>
      </c>
      <c r="E71" t="s">
        <v>716</v>
      </c>
      <c r="F71" s="11">
        <v>46314.333333333336</v>
      </c>
      <c r="G71">
        <v>54</v>
      </c>
      <c r="H71" t="s">
        <v>946</v>
      </c>
      <c r="I71" t="s">
        <v>947</v>
      </c>
      <c r="J71" t="str">
        <f>IF(ISNUMBER(SEARCH("registro de pre",tEditais[[#This Row],[Objeto]])),"Sim","Não")</f>
        <v>Sim</v>
      </c>
      <c r="K71" s="4">
        <f>COUNTIFS(tItens[Edital],tEditais[[#This Row],[Edital]])</f>
        <v>27</v>
      </c>
      <c r="L71" s="4">
        <f>COUNTIFS(tItens[Edital],tEditais[[#This Row],[Edital]],tItens[Foco],"Sim")</f>
        <v>0</v>
      </c>
      <c r="M71" s="8">
        <f>SUMIFS(tItens[Valor],tItens[Edital],tEditais[[#This Row],[Edital]])</f>
        <v>1083951.1000000001</v>
      </c>
      <c r="N71" s="8">
        <f>SUMIFS(tItens[Valor homologado],tItens[Edital],tEditais[[#This Row],[Edital]],tItens[Foco],"Sim")</f>
        <v>0</v>
      </c>
      <c r="O71" t="str">
        <f>IF(tEditais[[#This Row],[Itens do foco]]=0,"",IF(tEditais[[#This Row],[Valor foco homologado]]&lt;=0,"Sem valor",IF(tEditais[[#This Row],[Valor foco homologado]]&gt;=FaixaA_Min,"A",IF(tEditais[[#This Row],[Valor foco homologado]]&gt;=FaixaB_Min,"B","C"))))</f>
        <v/>
      </c>
      <c r="P71" t="str">
        <f ca="1">IF(tEditais[[#This Row],[Encerramento]]&gt;NOW(),"Aberto","Encerrado")</f>
        <v>Aberto</v>
      </c>
    </row>
    <row r="72" spans="1:16" x14ac:dyDescent="0.25">
      <c r="A72" t="s">
        <v>948</v>
      </c>
      <c r="B72" t="s">
        <v>825</v>
      </c>
      <c r="C72" t="s">
        <v>822</v>
      </c>
      <c r="D72" t="s">
        <v>806</v>
      </c>
      <c r="E72" t="s">
        <v>716</v>
      </c>
      <c r="F72" s="11">
        <v>46314.375</v>
      </c>
      <c r="G72">
        <v>7</v>
      </c>
      <c r="H72" t="s">
        <v>949</v>
      </c>
      <c r="I72" t="s">
        <v>950</v>
      </c>
      <c r="J72" t="str">
        <f>IF(ISNUMBER(SEARCH("registro de pre",tEditais[[#This Row],[Objeto]])),"Sim","Não")</f>
        <v>Não</v>
      </c>
      <c r="K72" s="4">
        <f>COUNTIFS(tItens[Edital],tEditais[[#This Row],[Edital]])</f>
        <v>2</v>
      </c>
      <c r="L72" s="4">
        <f>COUNTIFS(tItens[Edital],tEditais[[#This Row],[Edital]],tItens[Foco],"Sim")</f>
        <v>0</v>
      </c>
      <c r="M72" s="8">
        <f>SUMIFS(tItens[Valor],tItens[Edital],tEditais[[#This Row],[Edital]])</f>
        <v>12698.05</v>
      </c>
      <c r="N72" s="8">
        <f>SUMIFS(tItens[Valor homologado],tItens[Edital],tEditais[[#This Row],[Edital]],tItens[Foco],"Sim")</f>
        <v>0</v>
      </c>
      <c r="O72" t="str">
        <f>IF(tEditais[[#This Row],[Itens do foco]]=0,"",IF(tEditais[[#This Row],[Valor foco homologado]]&lt;=0,"Sem valor",IF(tEditais[[#This Row],[Valor foco homologado]]&gt;=FaixaA_Min,"A",IF(tEditais[[#This Row],[Valor foco homologado]]&gt;=FaixaB_Min,"B","C"))))</f>
        <v/>
      </c>
      <c r="P72" t="str">
        <f ca="1">IF(tEditais[[#This Row],[Encerramento]]&gt;NOW(),"Aberto","Encerrado")</f>
        <v>Aberto</v>
      </c>
    </row>
    <row r="73" spans="1:16" x14ac:dyDescent="0.25">
      <c r="A73" t="s">
        <v>951</v>
      </c>
      <c r="B73" t="s">
        <v>739</v>
      </c>
      <c r="C73" t="s">
        <v>822</v>
      </c>
      <c r="D73" t="s">
        <v>806</v>
      </c>
      <c r="E73" t="s">
        <v>716</v>
      </c>
      <c r="F73" s="11">
        <v>46314.375</v>
      </c>
      <c r="G73">
        <v>95</v>
      </c>
      <c r="H73" t="s">
        <v>952</v>
      </c>
      <c r="I73" t="s">
        <v>953</v>
      </c>
      <c r="J73" t="str">
        <f>IF(ISNUMBER(SEARCH("registro de pre",tEditais[[#This Row],[Objeto]])),"Sim","Não")</f>
        <v>Sim</v>
      </c>
      <c r="K73" s="4">
        <f>COUNTIFS(tItens[Edital],tEditais[[#This Row],[Edital]])</f>
        <v>4</v>
      </c>
      <c r="L73" s="4">
        <f>COUNTIFS(tItens[Edital],tEditais[[#This Row],[Edital]],tItens[Foco],"Sim")</f>
        <v>1</v>
      </c>
      <c r="M73" s="8">
        <f>SUMIFS(tItens[Valor],tItens[Edital],tEditais[[#This Row],[Edital]])</f>
        <v>0</v>
      </c>
      <c r="N73" s="8">
        <f>SUMIFS(tItens[Valor homologado],tItens[Edital],tEditais[[#This Row],[Edital]],tItens[Foco],"Sim")</f>
        <v>0</v>
      </c>
      <c r="O73" t="str">
        <f>IF(tEditais[[#This Row],[Itens do foco]]=0,"",IF(tEditais[[#This Row],[Valor foco homologado]]&lt;=0,"Sem valor",IF(tEditais[[#This Row],[Valor foco homologado]]&gt;=FaixaA_Min,"A",IF(tEditais[[#This Row],[Valor foco homologado]]&gt;=FaixaB_Min,"B","C"))))</f>
        <v>Sem valor</v>
      </c>
      <c r="P73" t="str">
        <f ca="1">IF(tEditais[[#This Row],[Encerramento]]&gt;NOW(),"Aberto","Encerrado")</f>
        <v>Aberto</v>
      </c>
    </row>
    <row r="74" spans="1:16" x14ac:dyDescent="0.25">
      <c r="A74" t="s">
        <v>954</v>
      </c>
      <c r="B74" t="s">
        <v>821</v>
      </c>
      <c r="C74" t="s">
        <v>844</v>
      </c>
      <c r="D74" t="s">
        <v>806</v>
      </c>
      <c r="E74" t="s">
        <v>716</v>
      </c>
      <c r="F74" s="11">
        <v>46314.375</v>
      </c>
      <c r="G74">
        <v>7</v>
      </c>
      <c r="I74" t="s">
        <v>823</v>
      </c>
      <c r="J74" t="str">
        <f>IF(ISNUMBER(SEARCH("registro de pre",tEditais[[#This Row],[Objeto]])),"Sim","Não")</f>
        <v>Não</v>
      </c>
      <c r="K74" s="4">
        <f>COUNTIFS(tItens[Edital],tEditais[[#This Row],[Edital]])</f>
        <v>2</v>
      </c>
      <c r="L74" s="4">
        <f>COUNTIFS(tItens[Edital],tEditais[[#This Row],[Edital]],tItens[Foco],"Sim")</f>
        <v>0</v>
      </c>
      <c r="M74" s="8">
        <f>SUMIFS(tItens[Valor],tItens[Edital],tEditais[[#This Row],[Edital]])</f>
        <v>12698.05</v>
      </c>
      <c r="N74" s="8">
        <f>SUMIFS(tItens[Valor homologado],tItens[Edital],tEditais[[#This Row],[Edital]],tItens[Foco],"Sim")</f>
        <v>0</v>
      </c>
      <c r="O74" t="str">
        <f>IF(tEditais[[#This Row],[Itens do foco]]=0,"",IF(tEditais[[#This Row],[Valor foco homologado]]&lt;=0,"Sem valor",IF(tEditais[[#This Row],[Valor foco homologado]]&gt;=FaixaA_Min,"A",IF(tEditais[[#This Row],[Valor foco homologado]]&gt;=FaixaB_Min,"B","C"))))</f>
        <v/>
      </c>
      <c r="P74" t="str">
        <f ca="1">IF(tEditais[[#This Row],[Encerramento]]&gt;NOW(),"Aberto","Encerrado")</f>
        <v>Aberto</v>
      </c>
    </row>
    <row r="75" spans="1:16" x14ac:dyDescent="0.25">
      <c r="A75" t="s">
        <v>955</v>
      </c>
      <c r="B75" t="s">
        <v>739</v>
      </c>
      <c r="C75" t="s">
        <v>822</v>
      </c>
      <c r="D75" t="s">
        <v>806</v>
      </c>
      <c r="E75" t="s">
        <v>716</v>
      </c>
      <c r="F75" s="11">
        <v>46314.375</v>
      </c>
      <c r="G75">
        <v>26</v>
      </c>
      <c r="H75" t="s">
        <v>956</v>
      </c>
      <c r="I75" t="s">
        <v>957</v>
      </c>
      <c r="J75" t="str">
        <f>IF(ISNUMBER(SEARCH("registro de pre",tEditais[[#This Row],[Objeto]])),"Sim","Não")</f>
        <v>Sim</v>
      </c>
      <c r="K75" s="4">
        <f>COUNTIFS(tItens[Edital],tEditais[[#This Row],[Edital]])</f>
        <v>1</v>
      </c>
      <c r="L75" s="4">
        <f>COUNTIFS(tItens[Edital],tEditais[[#This Row],[Edital]],tItens[Foco],"Sim")</f>
        <v>0</v>
      </c>
      <c r="M75" s="8">
        <f>SUMIFS(tItens[Valor],tItens[Edital],tEditais[[#This Row],[Edital]])</f>
        <v>0</v>
      </c>
      <c r="N75" s="8">
        <f>SUMIFS(tItens[Valor homologado],tItens[Edital],tEditais[[#This Row],[Edital]],tItens[Foco],"Sim")</f>
        <v>0</v>
      </c>
      <c r="O75" t="str">
        <f>IF(tEditais[[#This Row],[Itens do foco]]=0,"",IF(tEditais[[#This Row],[Valor foco homologado]]&lt;=0,"Sem valor",IF(tEditais[[#This Row],[Valor foco homologado]]&gt;=FaixaA_Min,"A",IF(tEditais[[#This Row],[Valor foco homologado]]&gt;=FaixaB_Min,"B","C"))))</f>
        <v/>
      </c>
      <c r="P75" t="str">
        <f ca="1">IF(tEditais[[#This Row],[Encerramento]]&gt;NOW(),"Aberto","Encerrado")</f>
        <v>Aberto</v>
      </c>
    </row>
    <row r="76" spans="1:16" x14ac:dyDescent="0.25">
      <c r="A76" t="s">
        <v>958</v>
      </c>
      <c r="B76" t="s">
        <v>821</v>
      </c>
      <c r="C76" t="s">
        <v>822</v>
      </c>
      <c r="D76" t="s">
        <v>806</v>
      </c>
      <c r="E76" t="s">
        <v>716</v>
      </c>
      <c r="F76" s="11">
        <v>46314.416666666664</v>
      </c>
      <c r="G76">
        <v>7</v>
      </c>
      <c r="I76" t="s">
        <v>823</v>
      </c>
      <c r="J76" t="str">
        <f>IF(ISNUMBER(SEARCH("registro de pre",tEditais[[#This Row],[Objeto]])),"Sim","Não")</f>
        <v>Não</v>
      </c>
      <c r="K76" s="4">
        <f>COUNTIFS(tItens[Edital],tEditais[[#This Row],[Edital]])</f>
        <v>3</v>
      </c>
      <c r="L76" s="4">
        <f>COUNTIFS(tItens[Edital],tEditais[[#This Row],[Edital]],tItens[Foco],"Sim")</f>
        <v>0</v>
      </c>
      <c r="M76" s="8">
        <f>SUMIFS(tItens[Valor],tItens[Edital],tEditais[[#This Row],[Edital]])</f>
        <v>94324.6</v>
      </c>
      <c r="N76" s="8">
        <f>SUMIFS(tItens[Valor homologado],tItens[Edital],tEditais[[#This Row],[Edital]],tItens[Foco],"Sim")</f>
        <v>0</v>
      </c>
      <c r="O76" t="str">
        <f>IF(tEditais[[#This Row],[Itens do foco]]=0,"",IF(tEditais[[#This Row],[Valor foco homologado]]&lt;=0,"Sem valor",IF(tEditais[[#This Row],[Valor foco homologado]]&gt;=FaixaA_Min,"A",IF(tEditais[[#This Row],[Valor foco homologado]]&gt;=FaixaB_Min,"B","C"))))</f>
        <v/>
      </c>
      <c r="P76" t="str">
        <f ca="1">IF(tEditais[[#This Row],[Encerramento]]&gt;NOW(),"Aberto","Encerrado")</f>
        <v>Aberto</v>
      </c>
    </row>
    <row r="77" spans="1:16" x14ac:dyDescent="0.25">
      <c r="A77" t="s">
        <v>959</v>
      </c>
      <c r="B77" t="s">
        <v>821</v>
      </c>
      <c r="C77" t="s">
        <v>822</v>
      </c>
      <c r="D77" t="s">
        <v>806</v>
      </c>
      <c r="E77" t="s">
        <v>716</v>
      </c>
      <c r="F77" s="11">
        <v>46314.416666666664</v>
      </c>
      <c r="G77">
        <v>8</v>
      </c>
      <c r="I77" t="s">
        <v>823</v>
      </c>
      <c r="J77" t="str">
        <f>IF(ISNUMBER(SEARCH("registro de pre",tEditais[[#This Row],[Objeto]])),"Sim","Não")</f>
        <v>Não</v>
      </c>
      <c r="K77" s="4">
        <f>COUNTIFS(tItens[Edital],tEditais[[#This Row],[Edital]])</f>
        <v>4</v>
      </c>
      <c r="L77" s="4">
        <f>COUNTIFS(tItens[Edital],tEditais[[#This Row],[Edital]],tItens[Foco],"Sim")</f>
        <v>1</v>
      </c>
      <c r="M77" s="8">
        <f>SUMIFS(tItens[Valor],tItens[Edital],tEditais[[#This Row],[Edital]])</f>
        <v>1861317.5000000002</v>
      </c>
      <c r="N77" s="8">
        <f>SUMIFS(tItens[Valor homologado],tItens[Edital],tEditais[[#This Row],[Edital]],tItens[Foco],"Sim")</f>
        <v>22642.62</v>
      </c>
      <c r="O77" t="str">
        <f>IF(tEditais[[#This Row],[Itens do foco]]=0,"",IF(tEditais[[#This Row],[Valor foco homologado]]&lt;=0,"Sem valor",IF(tEditais[[#This Row],[Valor foco homologado]]&gt;=FaixaA_Min,"A",IF(tEditais[[#This Row],[Valor foco homologado]]&gt;=FaixaB_Min,"B","C"))))</f>
        <v>C</v>
      </c>
      <c r="P77" t="str">
        <f ca="1">IF(tEditais[[#This Row],[Encerramento]]&gt;NOW(),"Aberto","Encerrado")</f>
        <v>Aberto</v>
      </c>
    </row>
    <row r="78" spans="1:16" x14ac:dyDescent="0.25">
      <c r="A78" t="s">
        <v>960</v>
      </c>
      <c r="B78" t="s">
        <v>821</v>
      </c>
      <c r="C78" t="s">
        <v>822</v>
      </c>
      <c r="D78" t="s">
        <v>806</v>
      </c>
      <c r="E78" t="s">
        <v>716</v>
      </c>
      <c r="F78" s="11">
        <v>46314.416666666664</v>
      </c>
      <c r="G78">
        <v>6</v>
      </c>
      <c r="I78" t="s">
        <v>823</v>
      </c>
      <c r="J78" t="str">
        <f>IF(ISNUMBER(SEARCH("registro de pre",tEditais[[#This Row],[Objeto]])),"Sim","Não")</f>
        <v>Não</v>
      </c>
      <c r="K78" s="4">
        <f>COUNTIFS(tItens[Edital],tEditais[[#This Row],[Edital]])</f>
        <v>1</v>
      </c>
      <c r="L78" s="4">
        <f>COUNTIFS(tItens[Edital],tEditais[[#This Row],[Edital]],tItens[Foco],"Sim")</f>
        <v>0</v>
      </c>
      <c r="M78" s="8">
        <f>SUMIFS(tItens[Valor],tItens[Edital],tEditais[[#This Row],[Edital]])</f>
        <v>5236296</v>
      </c>
      <c r="N78" s="8">
        <f>SUMIFS(tItens[Valor homologado],tItens[Edital],tEditais[[#This Row],[Edital]],tItens[Foco],"Sim")</f>
        <v>0</v>
      </c>
      <c r="O78" t="str">
        <f>IF(tEditais[[#This Row],[Itens do foco]]=0,"",IF(tEditais[[#This Row],[Valor foco homologado]]&lt;=0,"Sem valor",IF(tEditais[[#This Row],[Valor foco homologado]]&gt;=FaixaA_Min,"A",IF(tEditais[[#This Row],[Valor foco homologado]]&gt;=FaixaB_Min,"B","C"))))</f>
        <v/>
      </c>
      <c r="P78" t="str">
        <f ca="1">IF(tEditais[[#This Row],[Encerramento]]&gt;NOW(),"Aberto","Encerrado")</f>
        <v>Aberto</v>
      </c>
    </row>
    <row r="79" spans="1:16" x14ac:dyDescent="0.25">
      <c r="A79" t="s">
        <v>961</v>
      </c>
      <c r="B79" t="s">
        <v>825</v>
      </c>
      <c r="C79" t="s">
        <v>822</v>
      </c>
      <c r="D79" t="s">
        <v>806</v>
      </c>
      <c r="E79" t="s">
        <v>716</v>
      </c>
      <c r="F79" s="11">
        <v>46314.416666666664</v>
      </c>
      <c r="G79">
        <v>6</v>
      </c>
      <c r="H79" t="s">
        <v>962</v>
      </c>
      <c r="I79" t="s">
        <v>963</v>
      </c>
      <c r="J79" t="str">
        <f>IF(ISNUMBER(SEARCH("registro de pre",tEditais[[#This Row],[Objeto]])),"Sim","Não")</f>
        <v>Sim</v>
      </c>
      <c r="K79" s="4">
        <f>COUNTIFS(tItens[Edital],tEditais[[#This Row],[Edital]])</f>
        <v>1</v>
      </c>
      <c r="L79" s="4">
        <f>COUNTIFS(tItens[Edital],tEditais[[#This Row],[Edital]],tItens[Foco],"Sim")</f>
        <v>0</v>
      </c>
      <c r="M79" s="8">
        <f>SUMIFS(tItens[Valor],tItens[Edital],tEditais[[#This Row],[Edital]])</f>
        <v>5236296</v>
      </c>
      <c r="N79" s="8">
        <f>SUMIFS(tItens[Valor homologado],tItens[Edital],tEditais[[#This Row],[Edital]],tItens[Foco],"Sim")</f>
        <v>0</v>
      </c>
      <c r="O79" t="str">
        <f>IF(tEditais[[#This Row],[Itens do foco]]=0,"",IF(tEditais[[#This Row],[Valor foco homologado]]&lt;=0,"Sem valor",IF(tEditais[[#This Row],[Valor foco homologado]]&gt;=FaixaA_Min,"A",IF(tEditais[[#This Row],[Valor foco homologado]]&gt;=FaixaB_Min,"B","C"))))</f>
        <v/>
      </c>
      <c r="P79" t="str">
        <f ca="1">IF(tEditais[[#This Row],[Encerramento]]&gt;NOW(),"Aberto","Encerrado")</f>
        <v>Aberto</v>
      </c>
    </row>
    <row r="80" spans="1:16" x14ac:dyDescent="0.25">
      <c r="A80" t="s">
        <v>964</v>
      </c>
      <c r="B80" t="s">
        <v>825</v>
      </c>
      <c r="C80" t="s">
        <v>822</v>
      </c>
      <c r="D80" t="s">
        <v>806</v>
      </c>
      <c r="E80" t="s">
        <v>716</v>
      </c>
      <c r="F80" s="11">
        <v>46314.416666666664</v>
      </c>
      <c r="G80">
        <v>7</v>
      </c>
      <c r="H80" t="s">
        <v>965</v>
      </c>
      <c r="I80" t="s">
        <v>966</v>
      </c>
      <c r="J80" t="str">
        <f>IF(ISNUMBER(SEARCH("registro de pre",tEditais[[#This Row],[Objeto]])),"Sim","Não")</f>
        <v>Sim</v>
      </c>
      <c r="K80" s="4">
        <f>COUNTIFS(tItens[Edital],tEditais[[#This Row],[Edital]])</f>
        <v>2</v>
      </c>
      <c r="L80" s="4">
        <f>COUNTIFS(tItens[Edital],tEditais[[#This Row],[Edital]],tItens[Foco],"Sim")</f>
        <v>0</v>
      </c>
      <c r="M80" s="8">
        <f>SUMIFS(tItens[Valor],tItens[Edital],tEditais[[#This Row],[Edital]])</f>
        <v>212124.79999999999</v>
      </c>
      <c r="N80" s="8">
        <f>SUMIFS(tItens[Valor homologado],tItens[Edital],tEditais[[#This Row],[Edital]],tItens[Foco],"Sim")</f>
        <v>0</v>
      </c>
      <c r="O80" t="str">
        <f>IF(tEditais[[#This Row],[Itens do foco]]=0,"",IF(tEditais[[#This Row],[Valor foco homologado]]&lt;=0,"Sem valor",IF(tEditais[[#This Row],[Valor foco homologado]]&gt;=FaixaA_Min,"A",IF(tEditais[[#This Row],[Valor foco homologado]]&gt;=FaixaB_Min,"B","C"))))</f>
        <v/>
      </c>
      <c r="P80" t="str">
        <f ca="1">IF(tEditais[[#This Row],[Encerramento]]&gt;NOW(),"Aberto","Encerrado")</f>
        <v>Aberto</v>
      </c>
    </row>
    <row r="81" spans="1:16" x14ac:dyDescent="0.25">
      <c r="A81" t="s">
        <v>967</v>
      </c>
      <c r="B81" t="s">
        <v>821</v>
      </c>
      <c r="C81" t="s">
        <v>822</v>
      </c>
      <c r="D81" t="s">
        <v>806</v>
      </c>
      <c r="E81" t="s">
        <v>716</v>
      </c>
      <c r="F81" s="11">
        <v>46314.416666666664</v>
      </c>
      <c r="G81">
        <v>8</v>
      </c>
      <c r="I81" t="s">
        <v>823</v>
      </c>
      <c r="J81" t="str">
        <f>IF(ISNUMBER(SEARCH("registro de pre",tEditais[[#This Row],[Objeto]])),"Sim","Não")</f>
        <v>Não</v>
      </c>
      <c r="K81" s="4">
        <f>COUNTIFS(tItens[Edital],tEditais[[#This Row],[Edital]])</f>
        <v>2</v>
      </c>
      <c r="L81" s="4">
        <f>COUNTIFS(tItens[Edital],tEditais[[#This Row],[Edital]],tItens[Foco],"Sim")</f>
        <v>0</v>
      </c>
      <c r="M81" s="8">
        <f>SUMIFS(tItens[Valor],tItens[Edital],tEditais[[#This Row],[Edital]])</f>
        <v>605270.6</v>
      </c>
      <c r="N81" s="8">
        <f>SUMIFS(tItens[Valor homologado],tItens[Edital],tEditais[[#This Row],[Edital]],tItens[Foco],"Sim")</f>
        <v>0</v>
      </c>
      <c r="O81" t="str">
        <f>IF(tEditais[[#This Row],[Itens do foco]]=0,"",IF(tEditais[[#This Row],[Valor foco homologado]]&lt;=0,"Sem valor",IF(tEditais[[#This Row],[Valor foco homologado]]&gt;=FaixaA_Min,"A",IF(tEditais[[#This Row],[Valor foco homologado]]&gt;=FaixaB_Min,"B","C"))))</f>
        <v/>
      </c>
      <c r="P81" t="str">
        <f ca="1">IF(tEditais[[#This Row],[Encerramento]]&gt;NOW(),"Aberto","Encerrado")</f>
        <v>Aberto</v>
      </c>
    </row>
    <row r="82" spans="1:16" x14ac:dyDescent="0.25">
      <c r="A82" t="s">
        <v>968</v>
      </c>
      <c r="B82" t="s">
        <v>825</v>
      </c>
      <c r="C82" t="s">
        <v>822</v>
      </c>
      <c r="D82" t="s">
        <v>806</v>
      </c>
      <c r="E82" t="s">
        <v>716</v>
      </c>
      <c r="F82" s="11">
        <v>46314.416666666664</v>
      </c>
      <c r="G82">
        <v>8</v>
      </c>
      <c r="H82" t="s">
        <v>969</v>
      </c>
      <c r="I82" t="s">
        <v>970</v>
      </c>
      <c r="J82" t="str">
        <f>IF(ISNUMBER(SEARCH("registro de pre",tEditais[[#This Row],[Objeto]])),"Sim","Não")</f>
        <v>Sim</v>
      </c>
      <c r="K82" s="4">
        <f>COUNTIFS(tItens[Edital],tEditais[[#This Row],[Edital]])</f>
        <v>2</v>
      </c>
      <c r="L82" s="4">
        <f>COUNTIFS(tItens[Edital],tEditais[[#This Row],[Edital]],tItens[Foco],"Sim")</f>
        <v>0</v>
      </c>
      <c r="M82" s="8">
        <f>SUMIFS(tItens[Valor],tItens[Edital],tEditais[[#This Row],[Edital]])</f>
        <v>605270.6</v>
      </c>
      <c r="N82" s="8">
        <f>SUMIFS(tItens[Valor homologado],tItens[Edital],tEditais[[#This Row],[Edital]],tItens[Foco],"Sim")</f>
        <v>0</v>
      </c>
      <c r="O82" t="str">
        <f>IF(tEditais[[#This Row],[Itens do foco]]=0,"",IF(tEditais[[#This Row],[Valor foco homologado]]&lt;=0,"Sem valor",IF(tEditais[[#This Row],[Valor foco homologado]]&gt;=FaixaA_Min,"A",IF(tEditais[[#This Row],[Valor foco homologado]]&gt;=FaixaB_Min,"B","C"))))</f>
        <v/>
      </c>
      <c r="P82" t="str">
        <f ca="1">IF(tEditais[[#This Row],[Encerramento]]&gt;NOW(),"Aberto","Encerrado")</f>
        <v>Aberto</v>
      </c>
    </row>
    <row r="83" spans="1:16" x14ac:dyDescent="0.25">
      <c r="A83" t="s">
        <v>971</v>
      </c>
      <c r="B83" t="s">
        <v>821</v>
      </c>
      <c r="C83" t="s">
        <v>822</v>
      </c>
      <c r="D83" t="s">
        <v>806</v>
      </c>
      <c r="E83" t="s">
        <v>716</v>
      </c>
      <c r="F83" s="11">
        <v>46314.416666666664</v>
      </c>
      <c r="G83">
        <v>7</v>
      </c>
      <c r="I83" t="s">
        <v>823</v>
      </c>
      <c r="J83" t="str">
        <f>IF(ISNUMBER(SEARCH("registro de pre",tEditais[[#This Row],[Objeto]])),"Sim","Não")</f>
        <v>Não</v>
      </c>
      <c r="K83" s="4">
        <f>COUNTIFS(tItens[Edital],tEditais[[#This Row],[Edital]])</f>
        <v>2</v>
      </c>
      <c r="L83" s="4">
        <f>COUNTIFS(tItens[Edital],tEditais[[#This Row],[Edital]],tItens[Foco],"Sim")</f>
        <v>0</v>
      </c>
      <c r="M83" s="8">
        <f>SUMIFS(tItens[Valor],tItens[Edital],tEditais[[#This Row],[Edital]])</f>
        <v>212124.79999999999</v>
      </c>
      <c r="N83" s="8">
        <f>SUMIFS(tItens[Valor homologado],tItens[Edital],tEditais[[#This Row],[Edital]],tItens[Foco],"Sim")</f>
        <v>0</v>
      </c>
      <c r="O83" t="str">
        <f>IF(tEditais[[#This Row],[Itens do foco]]=0,"",IF(tEditais[[#This Row],[Valor foco homologado]]&lt;=0,"Sem valor",IF(tEditais[[#This Row],[Valor foco homologado]]&gt;=FaixaA_Min,"A",IF(tEditais[[#This Row],[Valor foco homologado]]&gt;=FaixaB_Min,"B","C"))))</f>
        <v/>
      </c>
      <c r="P83" t="str">
        <f ca="1">IF(tEditais[[#This Row],[Encerramento]]&gt;NOW(),"Aberto","Encerrado")</f>
        <v>Aberto</v>
      </c>
    </row>
    <row r="84" spans="1:16" x14ac:dyDescent="0.25">
      <c r="A84" t="s">
        <v>972</v>
      </c>
      <c r="B84" t="s">
        <v>825</v>
      </c>
      <c r="C84" t="s">
        <v>822</v>
      </c>
      <c r="D84" t="s">
        <v>806</v>
      </c>
      <c r="E84" t="s">
        <v>716</v>
      </c>
      <c r="F84" s="11">
        <v>46314.416666666664</v>
      </c>
      <c r="G84">
        <v>7</v>
      </c>
      <c r="H84" t="s">
        <v>973</v>
      </c>
      <c r="I84" t="s">
        <v>974</v>
      </c>
      <c r="J84" t="str">
        <f>IF(ISNUMBER(SEARCH("registro de pre",tEditais[[#This Row],[Objeto]])),"Sim","Não")</f>
        <v>Sim</v>
      </c>
      <c r="K84" s="4">
        <f>COUNTIFS(tItens[Edital],tEditais[[#This Row],[Edital]])</f>
        <v>3</v>
      </c>
      <c r="L84" s="4">
        <f>COUNTIFS(tItens[Edital],tEditais[[#This Row],[Edital]],tItens[Foco],"Sim")</f>
        <v>0</v>
      </c>
      <c r="M84" s="8">
        <f>SUMIFS(tItens[Valor],tItens[Edital],tEditais[[#This Row],[Edital]])</f>
        <v>94324.6</v>
      </c>
      <c r="N84" s="8">
        <f>SUMIFS(tItens[Valor homologado],tItens[Edital],tEditais[[#This Row],[Edital]],tItens[Foco],"Sim")</f>
        <v>0</v>
      </c>
      <c r="O84" t="str">
        <f>IF(tEditais[[#This Row],[Itens do foco]]=0,"",IF(tEditais[[#This Row],[Valor foco homologado]]&lt;=0,"Sem valor",IF(tEditais[[#This Row],[Valor foco homologado]]&gt;=FaixaA_Min,"A",IF(tEditais[[#This Row],[Valor foco homologado]]&gt;=FaixaB_Min,"B","C"))))</f>
        <v/>
      </c>
      <c r="P84" t="str">
        <f ca="1">IF(tEditais[[#This Row],[Encerramento]]&gt;NOW(),"Aberto","Encerrado")</f>
        <v>Aberto</v>
      </c>
    </row>
    <row r="85" spans="1:16" x14ac:dyDescent="0.25">
      <c r="A85" t="s">
        <v>975</v>
      </c>
      <c r="B85" t="s">
        <v>976</v>
      </c>
      <c r="C85" t="s">
        <v>977</v>
      </c>
      <c r="D85" t="s">
        <v>978</v>
      </c>
      <c r="E85" t="s">
        <v>800</v>
      </c>
      <c r="F85" s="11">
        <v>46304.333333333336</v>
      </c>
      <c r="G85">
        <v>8</v>
      </c>
      <c r="I85" t="s">
        <v>979</v>
      </c>
      <c r="J85" t="str">
        <f>IF(ISNUMBER(SEARCH("registro de pre",tEditais[[#This Row],[Objeto]])),"Sim","Não")</f>
        <v>Não</v>
      </c>
      <c r="K85" s="4">
        <f>COUNTIFS(tItens[Edital],tEditais[[#This Row],[Edital]])</f>
        <v>1</v>
      </c>
      <c r="L85" s="4">
        <f>COUNTIFS(tItens[Edital],tEditais[[#This Row],[Edital]],tItens[Foco],"Sim")</f>
        <v>1</v>
      </c>
      <c r="M85" s="8">
        <f>SUMIFS(tItens[Valor],tItens[Edital],tEditais[[#This Row],[Edital]])</f>
        <v>400</v>
      </c>
      <c r="N85" s="8">
        <f>SUMIFS(tItens[Valor homologado],tItens[Edital],tEditais[[#This Row],[Edital]],tItens[Foco],"Sim")</f>
        <v>316</v>
      </c>
      <c r="O85" t="str">
        <f>IF(tEditais[[#This Row],[Itens do foco]]=0,"",IF(tEditais[[#This Row],[Valor foco homologado]]&lt;=0,"Sem valor",IF(tEditais[[#This Row],[Valor foco homologado]]&gt;=FaixaA_Min,"A",IF(tEditais[[#This Row],[Valor foco homologado]]&gt;=FaixaB_Min,"B","C"))))</f>
        <v>C</v>
      </c>
      <c r="P85" t="str">
        <f ca="1">IF(tEditais[[#This Row],[Encerramento]]&gt;NOW(),"Aberto","Encerrado")</f>
        <v>Encerrado</v>
      </c>
    </row>
    <row r="86" spans="1:16" x14ac:dyDescent="0.25">
      <c r="A86" t="s">
        <v>980</v>
      </c>
      <c r="B86" t="s">
        <v>976</v>
      </c>
      <c r="C86" t="s">
        <v>981</v>
      </c>
      <c r="D86" t="s">
        <v>978</v>
      </c>
      <c r="E86" t="s">
        <v>800</v>
      </c>
      <c r="F86" s="11">
        <v>46304.583333333336</v>
      </c>
      <c r="G86">
        <v>6</v>
      </c>
      <c r="I86" t="s">
        <v>982</v>
      </c>
      <c r="J86" t="str">
        <f>IF(ISNUMBER(SEARCH("registro de pre",tEditais[[#This Row],[Objeto]])),"Sim","Não")</f>
        <v>Não</v>
      </c>
      <c r="K86" s="4">
        <f>COUNTIFS(tItens[Edital],tEditais[[#This Row],[Edital]])</f>
        <v>3</v>
      </c>
      <c r="L86" s="4">
        <f>COUNTIFS(tItens[Edital],tEditais[[#This Row],[Edital]],tItens[Foco],"Sim")</f>
        <v>0</v>
      </c>
      <c r="M86" s="8">
        <f>SUMIFS(tItens[Valor],tItens[Edital],tEditais[[#This Row],[Edital]])</f>
        <v>62</v>
      </c>
      <c r="N86" s="8">
        <f>SUMIFS(tItens[Valor homologado],tItens[Edital],tEditais[[#This Row],[Edital]],tItens[Foco],"Sim")</f>
        <v>0</v>
      </c>
      <c r="O86" t="str">
        <f>IF(tEditais[[#This Row],[Itens do foco]]=0,"",IF(tEditais[[#This Row],[Valor foco homologado]]&lt;=0,"Sem valor",IF(tEditais[[#This Row],[Valor foco homologado]]&gt;=FaixaA_Min,"A",IF(tEditais[[#This Row],[Valor foco homologado]]&gt;=FaixaB_Min,"B","C"))))</f>
        <v/>
      </c>
      <c r="P86" t="str">
        <f ca="1">IF(tEditais[[#This Row],[Encerramento]]&gt;NOW(),"Aberto","Encerrado")</f>
        <v>Encerrado</v>
      </c>
    </row>
    <row r="87" spans="1:16" x14ac:dyDescent="0.25">
      <c r="A87" t="s">
        <v>983</v>
      </c>
      <c r="B87" t="s">
        <v>984</v>
      </c>
      <c r="C87" t="s">
        <v>985</v>
      </c>
      <c r="D87" t="s">
        <v>978</v>
      </c>
      <c r="E87" t="s">
        <v>716</v>
      </c>
      <c r="F87" s="11">
        <v>46308.374305555553</v>
      </c>
      <c r="G87">
        <v>404</v>
      </c>
      <c r="I87" t="s">
        <v>986</v>
      </c>
      <c r="J87" t="str">
        <f>IF(ISNUMBER(SEARCH("registro de pre",tEditais[[#This Row],[Objeto]])),"Sim","Não")</f>
        <v>Não</v>
      </c>
      <c r="K87" s="4">
        <f>COUNTIFS(tItens[Edital],tEditais[[#This Row],[Edital]])</f>
        <v>111</v>
      </c>
      <c r="L87" s="4">
        <f>COUNTIFS(tItens[Edital],tEditais[[#This Row],[Edital]],tItens[Foco],"Sim")</f>
        <v>21</v>
      </c>
      <c r="M87" s="8">
        <f>SUMIFS(tItens[Valor],tItens[Edital],tEditais[[#This Row],[Edital]])</f>
        <v>2636504.9900000002</v>
      </c>
      <c r="N87" s="8">
        <f>SUMIFS(tItens[Valor homologado],tItens[Edital],tEditais[[#This Row],[Edital]],tItens[Foco],"Sim")</f>
        <v>209108.41999999995</v>
      </c>
      <c r="O87" t="str">
        <f>IF(tEditais[[#This Row],[Itens do foco]]=0,"",IF(tEditais[[#This Row],[Valor foco homologado]]&lt;=0,"Sem valor",IF(tEditais[[#This Row],[Valor foco homologado]]&gt;=FaixaA_Min,"A",IF(tEditais[[#This Row],[Valor foco homologado]]&gt;=FaixaB_Min,"B","C"))))</f>
        <v>A</v>
      </c>
      <c r="P87" t="str">
        <f ca="1">IF(tEditais[[#This Row],[Encerramento]]&gt;NOW(),"Aberto","Encerrado")</f>
        <v>Encerrado</v>
      </c>
    </row>
    <row r="88" spans="1:16" x14ac:dyDescent="0.25">
      <c r="A88" t="s">
        <v>987</v>
      </c>
      <c r="B88" t="s">
        <v>988</v>
      </c>
      <c r="C88" t="s">
        <v>989</v>
      </c>
      <c r="D88" t="s">
        <v>978</v>
      </c>
      <c r="E88" t="s">
        <v>716</v>
      </c>
      <c r="F88" s="11">
        <v>46308.374305555553</v>
      </c>
      <c r="G88">
        <v>182</v>
      </c>
      <c r="H88" t="s">
        <v>990</v>
      </c>
      <c r="I88" t="s">
        <v>991</v>
      </c>
      <c r="J88" t="str">
        <f>IF(ISNUMBER(SEARCH("registro de pre",tEditais[[#This Row],[Objeto]])),"Sim","Não")</f>
        <v>Sim</v>
      </c>
      <c r="K88" s="4">
        <f>COUNTIFS(tItens[Edital],tEditais[[#This Row],[Edital]])</f>
        <v>4</v>
      </c>
      <c r="L88" s="4">
        <f>COUNTIFS(tItens[Edital],tEditais[[#This Row],[Edital]],tItens[Foco],"Sim")</f>
        <v>0</v>
      </c>
      <c r="M88" s="8">
        <f>SUMIFS(tItens[Valor],tItens[Edital],tEditais[[#This Row],[Edital]])</f>
        <v>27390</v>
      </c>
      <c r="N88" s="8">
        <f>SUMIFS(tItens[Valor homologado],tItens[Edital],tEditais[[#This Row],[Edital]],tItens[Foco],"Sim")</f>
        <v>0</v>
      </c>
      <c r="O88" t="str">
        <f>IF(tEditais[[#This Row],[Itens do foco]]=0,"",IF(tEditais[[#This Row],[Valor foco homologado]]&lt;=0,"Sem valor",IF(tEditais[[#This Row],[Valor foco homologado]]&gt;=FaixaA_Min,"A",IF(tEditais[[#This Row],[Valor foco homologado]]&gt;=FaixaB_Min,"B","C"))))</f>
        <v/>
      </c>
      <c r="P88" t="str">
        <f ca="1">IF(tEditais[[#This Row],[Encerramento]]&gt;NOW(),"Aberto","Encerrado")</f>
        <v>Encerrado</v>
      </c>
    </row>
    <row r="89" spans="1:16" x14ac:dyDescent="0.25">
      <c r="A89" t="s">
        <v>992</v>
      </c>
      <c r="B89" t="s">
        <v>993</v>
      </c>
      <c r="C89" t="s">
        <v>977</v>
      </c>
      <c r="D89" t="s">
        <v>978</v>
      </c>
      <c r="E89" t="s">
        <v>716</v>
      </c>
      <c r="F89" s="11">
        <v>46308.375</v>
      </c>
      <c r="G89">
        <v>15</v>
      </c>
      <c r="H89" t="s">
        <v>994</v>
      </c>
      <c r="I89" t="s">
        <v>995</v>
      </c>
      <c r="J89" t="str">
        <f>IF(ISNUMBER(SEARCH("registro de pre",tEditais[[#This Row],[Objeto]])),"Sim","Não")</f>
        <v>Não</v>
      </c>
      <c r="K89" s="4">
        <f>COUNTIFS(tItens[Edital],tEditais[[#This Row],[Edital]])</f>
        <v>8</v>
      </c>
      <c r="L89" s="4">
        <f>COUNTIFS(tItens[Edital],tEditais[[#This Row],[Edital]],tItens[Foco],"Sim")</f>
        <v>0</v>
      </c>
      <c r="M89" s="8">
        <f>SUMIFS(tItens[Valor],tItens[Edital],tEditais[[#This Row],[Edital]])</f>
        <v>0</v>
      </c>
      <c r="N89" s="8">
        <f>SUMIFS(tItens[Valor homologado],tItens[Edital],tEditais[[#This Row],[Edital]],tItens[Foco],"Sim")</f>
        <v>0</v>
      </c>
      <c r="O89" t="str">
        <f>IF(tEditais[[#This Row],[Itens do foco]]=0,"",IF(tEditais[[#This Row],[Valor foco homologado]]&lt;=0,"Sem valor",IF(tEditais[[#This Row],[Valor foco homologado]]&gt;=FaixaA_Min,"A",IF(tEditais[[#This Row],[Valor foco homologado]]&gt;=FaixaB_Min,"B","C"))))</f>
        <v/>
      </c>
      <c r="P89" t="str">
        <f ca="1">IF(tEditais[[#This Row],[Encerramento]]&gt;NOW(),"Aberto","Encerrado")</f>
        <v>Encerrado</v>
      </c>
    </row>
    <row r="90" spans="1:16" x14ac:dyDescent="0.25">
      <c r="A90" t="s">
        <v>996</v>
      </c>
      <c r="B90" t="s">
        <v>993</v>
      </c>
      <c r="C90" t="s">
        <v>977</v>
      </c>
      <c r="D90" t="s">
        <v>978</v>
      </c>
      <c r="E90" t="s">
        <v>716</v>
      </c>
      <c r="F90" s="11">
        <v>46308.375</v>
      </c>
      <c r="G90">
        <v>4</v>
      </c>
      <c r="H90" t="s">
        <v>997</v>
      </c>
      <c r="I90" t="s">
        <v>998</v>
      </c>
      <c r="J90" t="str">
        <f>IF(ISNUMBER(SEARCH("registro de pre",tEditais[[#This Row],[Objeto]])),"Sim","Não")</f>
        <v>Sim</v>
      </c>
      <c r="K90" s="4">
        <f>COUNTIFS(tItens[Edital],tEditais[[#This Row],[Edital]])</f>
        <v>2</v>
      </c>
      <c r="L90" s="4">
        <f>COUNTIFS(tItens[Edital],tEditais[[#This Row],[Edital]],tItens[Foco],"Sim")</f>
        <v>0</v>
      </c>
      <c r="M90" s="8">
        <f>SUMIFS(tItens[Valor],tItens[Edital],tEditais[[#This Row],[Edital]])</f>
        <v>0</v>
      </c>
      <c r="N90" s="8">
        <f>SUMIFS(tItens[Valor homologado],tItens[Edital],tEditais[[#This Row],[Edital]],tItens[Foco],"Sim")</f>
        <v>0</v>
      </c>
      <c r="O90" t="str">
        <f>IF(tEditais[[#This Row],[Itens do foco]]=0,"",IF(tEditais[[#This Row],[Valor foco homologado]]&lt;=0,"Sem valor",IF(tEditais[[#This Row],[Valor foco homologado]]&gt;=FaixaA_Min,"A",IF(tEditais[[#This Row],[Valor foco homologado]]&gt;=FaixaB_Min,"B","C"))))</f>
        <v/>
      </c>
      <c r="P90" t="str">
        <f ca="1">IF(tEditais[[#This Row],[Encerramento]]&gt;NOW(),"Aberto","Encerrado")</f>
        <v>Encerrado</v>
      </c>
    </row>
    <row r="91" spans="1:16" x14ac:dyDescent="0.25">
      <c r="A91" t="s">
        <v>999</v>
      </c>
      <c r="B91" t="s">
        <v>993</v>
      </c>
      <c r="C91" t="s">
        <v>977</v>
      </c>
      <c r="D91" t="s">
        <v>978</v>
      </c>
      <c r="E91" t="s">
        <v>716</v>
      </c>
      <c r="F91" s="11">
        <v>46308.375</v>
      </c>
      <c r="G91">
        <v>2</v>
      </c>
      <c r="H91" t="s">
        <v>994</v>
      </c>
      <c r="I91" t="s">
        <v>1000</v>
      </c>
      <c r="J91" t="str">
        <f>IF(ISNUMBER(SEARCH("registro de pre",tEditais[[#This Row],[Objeto]])),"Sim","Não")</f>
        <v>Não</v>
      </c>
      <c r="K91" s="4">
        <f>COUNTIFS(tItens[Edital],tEditais[[#This Row],[Edital]])</f>
        <v>2</v>
      </c>
      <c r="L91" s="4">
        <f>COUNTIFS(tItens[Edital],tEditais[[#This Row],[Edital]],tItens[Foco],"Sim")</f>
        <v>0</v>
      </c>
      <c r="M91" s="8">
        <f>SUMIFS(tItens[Valor],tItens[Edital],tEditais[[#This Row],[Edital]])</f>
        <v>0</v>
      </c>
      <c r="N91" s="8">
        <f>SUMIFS(tItens[Valor homologado],tItens[Edital],tEditais[[#This Row],[Edital]],tItens[Foco],"Sim")</f>
        <v>0</v>
      </c>
      <c r="O91" t="str">
        <f>IF(tEditais[[#This Row],[Itens do foco]]=0,"",IF(tEditais[[#This Row],[Valor foco homologado]]&lt;=0,"Sem valor",IF(tEditais[[#This Row],[Valor foco homologado]]&gt;=FaixaA_Min,"A",IF(tEditais[[#This Row],[Valor foco homologado]]&gt;=FaixaB_Min,"B","C"))))</f>
        <v/>
      </c>
      <c r="P91" t="str">
        <f ca="1">IF(tEditais[[#This Row],[Encerramento]]&gt;NOW(),"Aberto","Encerrado")</f>
        <v>Encerrado</v>
      </c>
    </row>
    <row r="92" spans="1:16" x14ac:dyDescent="0.25">
      <c r="A92" t="s">
        <v>1001</v>
      </c>
      <c r="B92" t="s">
        <v>993</v>
      </c>
      <c r="C92" t="s">
        <v>977</v>
      </c>
      <c r="D92" t="s">
        <v>978</v>
      </c>
      <c r="E92" t="s">
        <v>716</v>
      </c>
      <c r="F92" s="11">
        <v>46308.375</v>
      </c>
      <c r="G92">
        <v>2</v>
      </c>
      <c r="H92" t="s">
        <v>1002</v>
      </c>
      <c r="I92" t="s">
        <v>1003</v>
      </c>
      <c r="J92" t="str">
        <f>IF(ISNUMBER(SEARCH("registro de pre",tEditais[[#This Row],[Objeto]])),"Sim","Não")</f>
        <v>Sim</v>
      </c>
      <c r="K92" s="4">
        <f>COUNTIFS(tItens[Edital],tEditais[[#This Row],[Edital]])</f>
        <v>2</v>
      </c>
      <c r="L92" s="4">
        <f>COUNTIFS(tItens[Edital],tEditais[[#This Row],[Edital]],tItens[Foco],"Sim")</f>
        <v>0</v>
      </c>
      <c r="M92" s="8">
        <f>SUMIFS(tItens[Valor],tItens[Edital],tEditais[[#This Row],[Edital]])</f>
        <v>0</v>
      </c>
      <c r="N92" s="8">
        <f>SUMIFS(tItens[Valor homologado],tItens[Edital],tEditais[[#This Row],[Edital]],tItens[Foco],"Sim")</f>
        <v>0</v>
      </c>
      <c r="O92" t="str">
        <f>IF(tEditais[[#This Row],[Itens do foco]]=0,"",IF(tEditais[[#This Row],[Valor foco homologado]]&lt;=0,"Sem valor",IF(tEditais[[#This Row],[Valor foco homologado]]&gt;=FaixaA_Min,"A",IF(tEditais[[#This Row],[Valor foco homologado]]&gt;=FaixaB_Min,"B","C"))))</f>
        <v/>
      </c>
      <c r="P92" t="str">
        <f ca="1">IF(tEditais[[#This Row],[Encerramento]]&gt;NOW(),"Aberto","Encerrado")</f>
        <v>Encerrado</v>
      </c>
    </row>
    <row r="93" spans="1:16" x14ac:dyDescent="0.25">
      <c r="A93" t="s">
        <v>1004</v>
      </c>
      <c r="B93" t="s">
        <v>976</v>
      </c>
      <c r="C93" t="s">
        <v>1005</v>
      </c>
      <c r="D93" t="s">
        <v>978</v>
      </c>
      <c r="E93" t="s">
        <v>800</v>
      </c>
      <c r="F93" s="11">
        <v>46308.604166666664</v>
      </c>
      <c r="G93">
        <v>6</v>
      </c>
      <c r="I93" t="s">
        <v>1006</v>
      </c>
      <c r="J93" t="str">
        <f>IF(ISNUMBER(SEARCH("registro de pre",tEditais[[#This Row],[Objeto]])),"Sim","Não")</f>
        <v>Não</v>
      </c>
      <c r="K93" s="4">
        <f>COUNTIFS(tItens[Edital],tEditais[[#This Row],[Edital]])</f>
        <v>4</v>
      </c>
      <c r="L93" s="4">
        <f>COUNTIFS(tItens[Edital],tEditais[[#This Row],[Edital]],tItens[Foco],"Sim")</f>
        <v>0</v>
      </c>
      <c r="M93" s="8">
        <f>SUMIFS(tItens[Valor],tItens[Edital],tEditais[[#This Row],[Edital]])</f>
        <v>669</v>
      </c>
      <c r="N93" s="8">
        <f>SUMIFS(tItens[Valor homologado],tItens[Edital],tEditais[[#This Row],[Edital]],tItens[Foco],"Sim")</f>
        <v>0</v>
      </c>
      <c r="O93" t="str">
        <f>IF(tEditais[[#This Row],[Itens do foco]]=0,"",IF(tEditais[[#This Row],[Valor foco homologado]]&lt;=0,"Sem valor",IF(tEditais[[#This Row],[Valor foco homologado]]&gt;=FaixaA_Min,"A",IF(tEditais[[#This Row],[Valor foco homologado]]&gt;=FaixaB_Min,"B","C"))))</f>
        <v/>
      </c>
      <c r="P93" t="str">
        <f ca="1">IF(tEditais[[#This Row],[Encerramento]]&gt;NOW(),"Aberto","Encerrado")</f>
        <v>Encerrado</v>
      </c>
    </row>
    <row r="94" spans="1:16" x14ac:dyDescent="0.25">
      <c r="A94" t="s">
        <v>1007</v>
      </c>
      <c r="B94" t="s">
        <v>886</v>
      </c>
      <c r="C94" t="s">
        <v>1008</v>
      </c>
      <c r="D94" t="s">
        <v>978</v>
      </c>
      <c r="E94" t="s">
        <v>716</v>
      </c>
      <c r="F94" s="11">
        <v>46309.333333333336</v>
      </c>
      <c r="G94">
        <v>34</v>
      </c>
      <c r="H94" t="s">
        <v>1009</v>
      </c>
      <c r="I94" t="s">
        <v>1010</v>
      </c>
      <c r="J94" t="str">
        <f>IF(ISNUMBER(SEARCH("registro de pre",tEditais[[#This Row],[Objeto]])),"Sim","Não")</f>
        <v>Não</v>
      </c>
      <c r="K94" s="4">
        <f>COUNTIFS(tItens[Edital],tEditais[[#This Row],[Edital]])</f>
        <v>7</v>
      </c>
      <c r="L94" s="4">
        <f>COUNTIFS(tItens[Edital],tEditais[[#This Row],[Edital]],tItens[Foco],"Sim")</f>
        <v>5</v>
      </c>
      <c r="M94" s="8">
        <f>SUMIFS(tItens[Valor],tItens[Edital],tEditais[[#This Row],[Edital]])</f>
        <v>3092.52</v>
      </c>
      <c r="N94" s="8">
        <f>SUMIFS(tItens[Valor homologado],tItens[Edital],tEditais[[#This Row],[Edital]],tItens[Foco],"Sim")</f>
        <v>36.234000000000002</v>
      </c>
      <c r="O94" t="str">
        <f>IF(tEditais[[#This Row],[Itens do foco]]=0,"",IF(tEditais[[#This Row],[Valor foco homologado]]&lt;=0,"Sem valor",IF(tEditais[[#This Row],[Valor foco homologado]]&gt;=FaixaA_Min,"A",IF(tEditais[[#This Row],[Valor foco homologado]]&gt;=FaixaB_Min,"B","C"))))</f>
        <v>C</v>
      </c>
      <c r="P94" t="str">
        <f ca="1">IF(tEditais[[#This Row],[Encerramento]]&gt;NOW(),"Aberto","Encerrado")</f>
        <v>Encerrado</v>
      </c>
    </row>
    <row r="95" spans="1:16" x14ac:dyDescent="0.25">
      <c r="A95" t="s">
        <v>1011</v>
      </c>
      <c r="B95" t="s">
        <v>1012</v>
      </c>
      <c r="C95" t="s">
        <v>1013</v>
      </c>
      <c r="D95" t="s">
        <v>978</v>
      </c>
      <c r="E95" t="s">
        <v>716</v>
      </c>
      <c r="F95" s="11">
        <v>46310.374305555553</v>
      </c>
      <c r="G95">
        <v>65</v>
      </c>
      <c r="I95" t="s">
        <v>1014</v>
      </c>
      <c r="J95" t="str">
        <f>IF(ISNUMBER(SEARCH("registro de pre",tEditais[[#This Row],[Objeto]])),"Sim","Não")</f>
        <v>Não</v>
      </c>
      <c r="K95" s="4">
        <f>COUNTIFS(tItens[Edital],tEditais[[#This Row],[Edital]])</f>
        <v>1</v>
      </c>
      <c r="L95" s="4">
        <f>COUNTIFS(tItens[Edital],tEditais[[#This Row],[Edital]],tItens[Foco],"Sim")</f>
        <v>0</v>
      </c>
      <c r="M95" s="8">
        <f>SUMIFS(tItens[Valor],tItens[Edital],tEditais[[#This Row],[Edital]])</f>
        <v>758.28</v>
      </c>
      <c r="N95" s="8">
        <f>SUMIFS(tItens[Valor homologado],tItens[Edital],tEditais[[#This Row],[Edital]],tItens[Foco],"Sim")</f>
        <v>0</v>
      </c>
      <c r="O95" t="str">
        <f>IF(tEditais[[#This Row],[Itens do foco]]=0,"",IF(tEditais[[#This Row],[Valor foco homologado]]&lt;=0,"Sem valor",IF(tEditais[[#This Row],[Valor foco homologado]]&gt;=FaixaA_Min,"A",IF(tEditais[[#This Row],[Valor foco homologado]]&gt;=FaixaB_Min,"B","C"))))</f>
        <v/>
      </c>
      <c r="P95" t="str">
        <f ca="1">IF(tEditais[[#This Row],[Encerramento]]&gt;NOW(),"Aberto","Encerrado")</f>
        <v>Encerrado</v>
      </c>
    </row>
    <row r="96" spans="1:16" x14ac:dyDescent="0.25">
      <c r="A96" t="s">
        <v>1015</v>
      </c>
      <c r="B96" t="s">
        <v>1016</v>
      </c>
      <c r="C96" t="s">
        <v>1017</v>
      </c>
      <c r="D96" t="s">
        <v>978</v>
      </c>
      <c r="E96" t="s">
        <v>716</v>
      </c>
      <c r="F96" s="11">
        <v>46310.375</v>
      </c>
      <c r="G96">
        <v>120</v>
      </c>
      <c r="H96" t="s">
        <v>1018</v>
      </c>
      <c r="I96" t="s">
        <v>1019</v>
      </c>
      <c r="J96" t="str">
        <f>IF(ISNUMBER(SEARCH("registro de pre",tEditais[[#This Row],[Objeto]])),"Sim","Não")</f>
        <v>Sim</v>
      </c>
      <c r="K96" s="4">
        <f>COUNTIFS(tItens[Edital],tEditais[[#This Row],[Edital]])</f>
        <v>2</v>
      </c>
      <c r="L96" s="4">
        <f>COUNTIFS(tItens[Edital],tEditais[[#This Row],[Edital]],tItens[Foco],"Sim")</f>
        <v>0</v>
      </c>
      <c r="M96" s="8">
        <f>SUMIFS(tItens[Valor],tItens[Edital],tEditais[[#This Row],[Edital]])</f>
        <v>0</v>
      </c>
      <c r="N96" s="8">
        <f>SUMIFS(tItens[Valor homologado],tItens[Edital],tEditais[[#This Row],[Edital]],tItens[Foco],"Sim")</f>
        <v>0</v>
      </c>
      <c r="O96" t="str">
        <f>IF(tEditais[[#This Row],[Itens do foco]]=0,"",IF(tEditais[[#This Row],[Valor foco homologado]]&lt;=0,"Sem valor",IF(tEditais[[#This Row],[Valor foco homologado]]&gt;=FaixaA_Min,"A",IF(tEditais[[#This Row],[Valor foco homologado]]&gt;=FaixaB_Min,"B","C"))))</f>
        <v/>
      </c>
      <c r="P96" t="str">
        <f ca="1">IF(tEditais[[#This Row],[Encerramento]]&gt;NOW(),"Aberto","Encerrado")</f>
        <v>Encerrado</v>
      </c>
    </row>
    <row r="97" spans="1:16" x14ac:dyDescent="0.25">
      <c r="A97" t="s">
        <v>1020</v>
      </c>
      <c r="B97" t="s">
        <v>976</v>
      </c>
      <c r="C97" t="s">
        <v>977</v>
      </c>
      <c r="D97" t="s">
        <v>978</v>
      </c>
      <c r="E97" t="s">
        <v>716</v>
      </c>
      <c r="F97" s="11">
        <v>46310.375</v>
      </c>
      <c r="G97">
        <v>8</v>
      </c>
      <c r="H97" t="s">
        <v>1021</v>
      </c>
      <c r="I97" t="s">
        <v>1022</v>
      </c>
      <c r="J97" t="str">
        <f>IF(ISNUMBER(SEARCH("registro de pre",tEditais[[#This Row],[Objeto]])),"Sim","Não")</f>
        <v>Sim</v>
      </c>
      <c r="K97" s="4">
        <f>COUNTIFS(tItens[Edital],tEditais[[#This Row],[Edital]])</f>
        <v>2</v>
      </c>
      <c r="L97" s="4">
        <f>COUNTIFS(tItens[Edital],tEditais[[#This Row],[Edital]],tItens[Foco],"Sim")</f>
        <v>0</v>
      </c>
      <c r="M97" s="8">
        <f>SUMIFS(tItens[Valor],tItens[Edital],tEditais[[#This Row],[Edital]])</f>
        <v>157702.75</v>
      </c>
      <c r="N97" s="8">
        <f>SUMIFS(tItens[Valor homologado],tItens[Edital],tEditais[[#This Row],[Edital]],tItens[Foco],"Sim")</f>
        <v>0</v>
      </c>
      <c r="O97" t="str">
        <f>IF(tEditais[[#This Row],[Itens do foco]]=0,"",IF(tEditais[[#This Row],[Valor foco homologado]]&lt;=0,"Sem valor",IF(tEditais[[#This Row],[Valor foco homologado]]&gt;=FaixaA_Min,"A",IF(tEditais[[#This Row],[Valor foco homologado]]&gt;=FaixaB_Min,"B","C"))))</f>
        <v/>
      </c>
      <c r="P97" t="str">
        <f ca="1">IF(tEditais[[#This Row],[Encerramento]]&gt;NOW(),"Aberto","Encerrado")</f>
        <v>Encerrado</v>
      </c>
    </row>
    <row r="98" spans="1:16" x14ac:dyDescent="0.25">
      <c r="A98" t="s">
        <v>1023</v>
      </c>
      <c r="B98" t="s">
        <v>1024</v>
      </c>
      <c r="C98" t="s">
        <v>1025</v>
      </c>
      <c r="D98" t="s">
        <v>978</v>
      </c>
      <c r="E98" t="s">
        <v>716</v>
      </c>
      <c r="F98" s="11">
        <v>46310.375</v>
      </c>
      <c r="G98">
        <v>122</v>
      </c>
      <c r="H98" t="s">
        <v>1026</v>
      </c>
      <c r="I98" t="s">
        <v>1027</v>
      </c>
      <c r="J98" t="str">
        <f>IF(ISNUMBER(SEARCH("registro de pre",tEditais[[#This Row],[Objeto]])),"Sim","Não")</f>
        <v>Não</v>
      </c>
      <c r="K98" s="4">
        <f>COUNTIFS(tItens[Edital],tEditais[[#This Row],[Edital]])</f>
        <v>57</v>
      </c>
      <c r="L98" s="4">
        <f>COUNTIFS(tItens[Edital],tEditais[[#This Row],[Edital]],tItens[Foco],"Sim")</f>
        <v>12</v>
      </c>
      <c r="M98" s="8">
        <f>SUMIFS(tItens[Valor],tItens[Edital],tEditais[[#This Row],[Edital]])</f>
        <v>0</v>
      </c>
      <c r="N98" s="8">
        <f>SUMIFS(tItens[Valor homologado],tItens[Edital],tEditais[[#This Row],[Edital]],tItens[Foco],"Sim")</f>
        <v>0</v>
      </c>
      <c r="O98" t="str">
        <f>IF(tEditais[[#This Row],[Itens do foco]]=0,"",IF(tEditais[[#This Row],[Valor foco homologado]]&lt;=0,"Sem valor",IF(tEditais[[#This Row],[Valor foco homologado]]&gt;=FaixaA_Min,"A",IF(tEditais[[#This Row],[Valor foco homologado]]&gt;=FaixaB_Min,"B","C"))))</f>
        <v>Sem valor</v>
      </c>
      <c r="P98" t="str">
        <f ca="1">IF(tEditais[[#This Row],[Encerramento]]&gt;NOW(),"Aberto","Encerrado")</f>
        <v>Encerrado</v>
      </c>
    </row>
    <row r="99" spans="1:16" x14ac:dyDescent="0.25">
      <c r="A99" t="s">
        <v>1028</v>
      </c>
      <c r="B99" t="s">
        <v>993</v>
      </c>
      <c r="C99" t="s">
        <v>977</v>
      </c>
      <c r="D99" t="s">
        <v>978</v>
      </c>
      <c r="E99" t="s">
        <v>716</v>
      </c>
      <c r="F99" s="11">
        <v>46311.375</v>
      </c>
      <c r="G99">
        <v>32</v>
      </c>
      <c r="H99" t="s">
        <v>994</v>
      </c>
      <c r="I99" t="s">
        <v>1029</v>
      </c>
      <c r="J99" t="str">
        <f>IF(ISNUMBER(SEARCH("registro de pre",tEditais[[#This Row],[Objeto]])),"Sim","Não")</f>
        <v>Não</v>
      </c>
      <c r="K99" s="4">
        <f>COUNTIFS(tItens[Edital],tEditais[[#This Row],[Edital]])</f>
        <v>9</v>
      </c>
      <c r="L99" s="4">
        <f>COUNTIFS(tItens[Edital],tEditais[[#This Row],[Edital]],tItens[Foco],"Sim")</f>
        <v>3</v>
      </c>
      <c r="M99" s="8">
        <f>SUMIFS(tItens[Valor],tItens[Edital],tEditais[[#This Row],[Edital]])</f>
        <v>0</v>
      </c>
      <c r="N99" s="8">
        <f>SUMIFS(tItens[Valor homologado],tItens[Edital],tEditais[[#This Row],[Edital]],tItens[Foco],"Sim")</f>
        <v>0</v>
      </c>
      <c r="O99" t="str">
        <f>IF(tEditais[[#This Row],[Itens do foco]]=0,"",IF(tEditais[[#This Row],[Valor foco homologado]]&lt;=0,"Sem valor",IF(tEditais[[#This Row],[Valor foco homologado]]&gt;=FaixaA_Min,"A",IF(tEditais[[#This Row],[Valor foco homologado]]&gt;=FaixaB_Min,"B","C"))))</f>
        <v>Sem valor</v>
      </c>
      <c r="P99" t="str">
        <f ca="1">IF(tEditais[[#This Row],[Encerramento]]&gt;NOW(),"Aberto","Encerrado")</f>
        <v>Aberto</v>
      </c>
    </row>
    <row r="100" spans="1:16" x14ac:dyDescent="0.25">
      <c r="A100" t="s">
        <v>1030</v>
      </c>
      <c r="B100" t="s">
        <v>993</v>
      </c>
      <c r="C100" t="s">
        <v>977</v>
      </c>
      <c r="D100" t="s">
        <v>978</v>
      </c>
      <c r="E100" t="s">
        <v>716</v>
      </c>
      <c r="F100" s="11">
        <v>46311.375</v>
      </c>
      <c r="G100">
        <v>33</v>
      </c>
      <c r="H100" t="s">
        <v>994</v>
      </c>
      <c r="I100" t="s">
        <v>1031</v>
      </c>
      <c r="J100" t="str">
        <f>IF(ISNUMBER(SEARCH("registro de pre",tEditais[[#This Row],[Objeto]])),"Sim","Não")</f>
        <v>Não</v>
      </c>
      <c r="K100" s="4">
        <f>COUNTIFS(tItens[Edital],tEditais[[#This Row],[Edital]])</f>
        <v>28</v>
      </c>
      <c r="L100" s="4">
        <f>COUNTIFS(tItens[Edital],tEditais[[#This Row],[Edital]],tItens[Foco],"Sim")</f>
        <v>0</v>
      </c>
      <c r="M100" s="8">
        <f>SUMIFS(tItens[Valor],tItens[Edital],tEditais[[#This Row],[Edital]])</f>
        <v>0</v>
      </c>
      <c r="N100" s="8">
        <f>SUMIFS(tItens[Valor homologado],tItens[Edital],tEditais[[#This Row],[Edital]],tItens[Foco],"Sim")</f>
        <v>0</v>
      </c>
      <c r="O100" t="str">
        <f>IF(tEditais[[#This Row],[Itens do foco]]=0,"",IF(tEditais[[#This Row],[Valor foco homologado]]&lt;=0,"Sem valor",IF(tEditais[[#This Row],[Valor foco homologado]]&gt;=FaixaA_Min,"A",IF(tEditais[[#This Row],[Valor foco homologado]]&gt;=FaixaB_Min,"B","C"))))</f>
        <v/>
      </c>
      <c r="P100" t="str">
        <f ca="1">IF(tEditais[[#This Row],[Encerramento]]&gt;NOW(),"Aberto","Encerrado")</f>
        <v>Aberto</v>
      </c>
    </row>
    <row r="101" spans="1:16" x14ac:dyDescent="0.25">
      <c r="A101" t="s">
        <v>1032</v>
      </c>
      <c r="B101" t="s">
        <v>993</v>
      </c>
      <c r="C101" t="s">
        <v>977</v>
      </c>
      <c r="D101" t="s">
        <v>978</v>
      </c>
      <c r="E101" t="s">
        <v>716</v>
      </c>
      <c r="F101" s="11">
        <v>46311.375</v>
      </c>
      <c r="G101">
        <v>33</v>
      </c>
      <c r="H101" t="s">
        <v>1033</v>
      </c>
      <c r="I101" t="s">
        <v>1034</v>
      </c>
      <c r="J101" t="str">
        <f>IF(ISNUMBER(SEARCH("registro de pre",tEditais[[#This Row],[Objeto]])),"Sim","Não")</f>
        <v>Sim</v>
      </c>
      <c r="K101" s="4">
        <f>COUNTIFS(tItens[Edital],tEditais[[#This Row],[Edital]])</f>
        <v>14</v>
      </c>
      <c r="L101" s="4">
        <f>COUNTIFS(tItens[Edital],tEditais[[#This Row],[Edital]],tItens[Foco],"Sim")</f>
        <v>0</v>
      </c>
      <c r="M101" s="8">
        <f>SUMIFS(tItens[Valor],tItens[Edital],tEditais[[#This Row],[Edital]])</f>
        <v>0</v>
      </c>
      <c r="N101" s="8">
        <f>SUMIFS(tItens[Valor homologado],tItens[Edital],tEditais[[#This Row],[Edital]],tItens[Foco],"Sim")</f>
        <v>0</v>
      </c>
      <c r="O101" t="str">
        <f>IF(tEditais[[#This Row],[Itens do foco]]=0,"",IF(tEditais[[#This Row],[Valor foco homologado]]&lt;=0,"Sem valor",IF(tEditais[[#This Row],[Valor foco homologado]]&gt;=FaixaA_Min,"A",IF(tEditais[[#This Row],[Valor foco homologado]]&gt;=FaixaB_Min,"B","C"))))</f>
        <v/>
      </c>
      <c r="P101" t="str">
        <f ca="1">IF(tEditais[[#This Row],[Encerramento]]&gt;NOW(),"Aberto","Encerrado")</f>
        <v>Aberto</v>
      </c>
    </row>
    <row r="102" spans="1:16" x14ac:dyDescent="0.25">
      <c r="A102" t="s">
        <v>1035</v>
      </c>
      <c r="B102" t="s">
        <v>993</v>
      </c>
      <c r="C102" t="s">
        <v>977</v>
      </c>
      <c r="D102" t="s">
        <v>978</v>
      </c>
      <c r="E102" t="s">
        <v>716</v>
      </c>
      <c r="F102" s="11">
        <v>46311.375</v>
      </c>
      <c r="G102">
        <v>32</v>
      </c>
      <c r="H102" t="s">
        <v>1036</v>
      </c>
      <c r="I102" t="s">
        <v>1037</v>
      </c>
      <c r="J102" t="str">
        <f>IF(ISNUMBER(SEARCH("registro de pre",tEditais[[#This Row],[Objeto]])),"Sim","Não")</f>
        <v>Sim</v>
      </c>
      <c r="K102" s="4">
        <f>COUNTIFS(tItens[Edital],tEditais[[#This Row],[Edital]])</f>
        <v>14</v>
      </c>
      <c r="L102" s="4">
        <f>COUNTIFS(tItens[Edital],tEditais[[#This Row],[Edital]],tItens[Foco],"Sim")</f>
        <v>3</v>
      </c>
      <c r="M102" s="8">
        <f>SUMIFS(tItens[Valor],tItens[Edital],tEditais[[#This Row],[Edital]])</f>
        <v>0</v>
      </c>
      <c r="N102" s="8">
        <f>SUMIFS(tItens[Valor homologado],tItens[Edital],tEditais[[#This Row],[Edital]],tItens[Foco],"Sim")</f>
        <v>0</v>
      </c>
      <c r="O102" t="str">
        <f>IF(tEditais[[#This Row],[Itens do foco]]=0,"",IF(tEditais[[#This Row],[Valor foco homologado]]&lt;=0,"Sem valor",IF(tEditais[[#This Row],[Valor foco homologado]]&gt;=FaixaA_Min,"A",IF(tEditais[[#This Row],[Valor foco homologado]]&gt;=FaixaB_Min,"B","C"))))</f>
        <v>Sem valor</v>
      </c>
      <c r="P102" t="str">
        <f ca="1">IF(tEditais[[#This Row],[Encerramento]]&gt;NOW(),"Aberto","Encerrado")</f>
        <v>Aberto</v>
      </c>
    </row>
    <row r="103" spans="1:16" x14ac:dyDescent="0.25">
      <c r="A103" t="s">
        <v>1038</v>
      </c>
      <c r="B103" t="s">
        <v>976</v>
      </c>
      <c r="C103" t="s">
        <v>977</v>
      </c>
      <c r="D103" t="s">
        <v>978</v>
      </c>
      <c r="E103" t="s">
        <v>716</v>
      </c>
      <c r="F103" s="11">
        <v>46314.375</v>
      </c>
      <c r="G103">
        <v>4</v>
      </c>
      <c r="H103" t="s">
        <v>1039</v>
      </c>
      <c r="I103" t="s">
        <v>1040</v>
      </c>
      <c r="J103" t="str">
        <f>IF(ISNUMBER(SEARCH("registro de pre",tEditais[[#This Row],[Objeto]])),"Sim","Não")</f>
        <v>Sim</v>
      </c>
      <c r="K103" s="4">
        <f>COUNTIFS(tItens[Edital],tEditais[[#This Row],[Edital]])</f>
        <v>2</v>
      </c>
      <c r="L103" s="4">
        <f>COUNTIFS(tItens[Edital],tEditais[[#This Row],[Edital]],tItens[Foco],"Sim")</f>
        <v>0</v>
      </c>
      <c r="M103" s="8">
        <f>SUMIFS(tItens[Valor],tItens[Edital],tEditais[[#This Row],[Edital]])</f>
        <v>30656.04</v>
      </c>
      <c r="N103" s="8">
        <f>SUMIFS(tItens[Valor homologado],tItens[Edital],tEditais[[#This Row],[Edital]],tItens[Foco],"Sim")</f>
        <v>0</v>
      </c>
      <c r="O103" t="str">
        <f>IF(tEditais[[#This Row],[Itens do foco]]=0,"",IF(tEditais[[#This Row],[Valor foco homologado]]&lt;=0,"Sem valor",IF(tEditais[[#This Row],[Valor foco homologado]]&gt;=FaixaA_Min,"A",IF(tEditais[[#This Row],[Valor foco homologado]]&gt;=FaixaB_Min,"B","C"))))</f>
        <v/>
      </c>
      <c r="P103" t="str">
        <f ca="1">IF(tEditais[[#This Row],[Encerramento]]&gt;NOW(),"Aberto","Encerrado")</f>
        <v>Aberto</v>
      </c>
    </row>
    <row r="104" spans="1:16" x14ac:dyDescent="0.25">
      <c r="A104" t="s">
        <v>1041</v>
      </c>
      <c r="B104" t="s">
        <v>976</v>
      </c>
      <c r="C104" t="s">
        <v>977</v>
      </c>
      <c r="D104" t="s">
        <v>978</v>
      </c>
      <c r="E104" t="s">
        <v>716</v>
      </c>
      <c r="F104" s="11">
        <v>46314.375</v>
      </c>
      <c r="G104">
        <v>4</v>
      </c>
      <c r="I104" t="s">
        <v>1042</v>
      </c>
      <c r="J104" t="str">
        <f>IF(ISNUMBER(SEARCH("registro de pre",tEditais[[#This Row],[Objeto]])),"Sim","Não")</f>
        <v>Sim</v>
      </c>
      <c r="K104" s="4">
        <f>COUNTIFS(tItens[Edital],tEditais[[#This Row],[Edital]])</f>
        <v>1</v>
      </c>
      <c r="L104" s="4">
        <f>COUNTIFS(tItens[Edital],tEditais[[#This Row],[Edital]],tItens[Foco],"Sim")</f>
        <v>0</v>
      </c>
      <c r="M104" s="8">
        <f>SUMIFS(tItens[Valor],tItens[Edital],tEditais[[#This Row],[Edital]])</f>
        <v>23661.600000000002</v>
      </c>
      <c r="N104" s="8">
        <f>SUMIFS(tItens[Valor homologado],tItens[Edital],tEditais[[#This Row],[Edital]],tItens[Foco],"Sim")</f>
        <v>0</v>
      </c>
      <c r="O104" t="str">
        <f>IF(tEditais[[#This Row],[Itens do foco]]=0,"",IF(tEditais[[#This Row],[Valor foco homologado]]&lt;=0,"Sem valor",IF(tEditais[[#This Row],[Valor foco homologado]]&gt;=FaixaA_Min,"A",IF(tEditais[[#This Row],[Valor foco homologado]]&gt;=FaixaB_Min,"B","C"))))</f>
        <v/>
      </c>
      <c r="P104" t="str">
        <f ca="1">IF(tEditais[[#This Row],[Encerramento]]&gt;NOW(),"Aberto","Encerrado")</f>
        <v>Aberto</v>
      </c>
    </row>
    <row r="105" spans="1:16" x14ac:dyDescent="0.25">
      <c r="A105" t="s">
        <v>1043</v>
      </c>
      <c r="B105" t="s">
        <v>976</v>
      </c>
      <c r="C105" t="s">
        <v>977</v>
      </c>
      <c r="D105" t="s">
        <v>978</v>
      </c>
      <c r="E105" t="s">
        <v>716</v>
      </c>
      <c r="F105" s="11">
        <v>46314.375</v>
      </c>
      <c r="G105">
        <v>3</v>
      </c>
      <c r="I105" t="s">
        <v>1042</v>
      </c>
      <c r="J105" t="str">
        <f>IF(ISNUMBER(SEARCH("registro de pre",tEditais[[#This Row],[Objeto]])),"Sim","Não")</f>
        <v>Sim</v>
      </c>
      <c r="K105" s="4">
        <f>COUNTIFS(tItens[Edital],tEditais[[#This Row],[Edital]])</f>
        <v>1</v>
      </c>
      <c r="L105" s="4">
        <f>COUNTIFS(tItens[Edital],tEditais[[#This Row],[Edital]],tItens[Foco],"Sim")</f>
        <v>0</v>
      </c>
      <c r="M105" s="8">
        <f>SUMIFS(tItens[Valor],tItens[Edital],tEditais[[#This Row],[Edital]])</f>
        <v>748.80000000000007</v>
      </c>
      <c r="N105" s="8">
        <f>SUMIFS(tItens[Valor homologado],tItens[Edital],tEditais[[#This Row],[Edital]],tItens[Foco],"Sim")</f>
        <v>0</v>
      </c>
      <c r="O105" t="str">
        <f>IF(tEditais[[#This Row],[Itens do foco]]=0,"",IF(tEditais[[#This Row],[Valor foco homologado]]&lt;=0,"Sem valor",IF(tEditais[[#This Row],[Valor foco homologado]]&gt;=FaixaA_Min,"A",IF(tEditais[[#This Row],[Valor foco homologado]]&gt;=FaixaB_Min,"B","C"))))</f>
        <v/>
      </c>
      <c r="P105" t="str">
        <f ca="1">IF(tEditais[[#This Row],[Encerramento]]&gt;NOW(),"Aberto","Encerrado")</f>
        <v>Aberto</v>
      </c>
    </row>
    <row r="106" spans="1:16" x14ac:dyDescent="0.25">
      <c r="A106" t="s">
        <v>1044</v>
      </c>
      <c r="B106" t="s">
        <v>886</v>
      </c>
      <c r="C106" t="s">
        <v>1045</v>
      </c>
      <c r="D106" t="s">
        <v>1046</v>
      </c>
      <c r="E106" t="s">
        <v>716</v>
      </c>
      <c r="F106" s="11">
        <v>46304.333333333336</v>
      </c>
      <c r="G106">
        <v>38</v>
      </c>
      <c r="H106" t="s">
        <v>1047</v>
      </c>
      <c r="I106" t="s">
        <v>1048</v>
      </c>
      <c r="J106" t="str">
        <f>IF(ISNUMBER(SEARCH("registro de pre",tEditais[[#This Row],[Objeto]])),"Sim","Não")</f>
        <v>Não</v>
      </c>
      <c r="K106" s="4">
        <f>COUNTIFS(tItens[Edital],tEditais[[#This Row],[Edital]])</f>
        <v>6</v>
      </c>
      <c r="L106" s="4">
        <f>COUNTIFS(tItens[Edital],tEditais[[#This Row],[Edital]],tItens[Foco],"Sim")</f>
        <v>0</v>
      </c>
      <c r="M106" s="8">
        <f>SUMIFS(tItens[Valor],tItens[Edital],tEditais[[#This Row],[Edital]])</f>
        <v>2155036.9</v>
      </c>
      <c r="N106" s="8">
        <f>SUMIFS(tItens[Valor homologado],tItens[Edital],tEditais[[#This Row],[Edital]],tItens[Foco],"Sim")</f>
        <v>0</v>
      </c>
      <c r="O106" t="str">
        <f>IF(tEditais[[#This Row],[Itens do foco]]=0,"",IF(tEditais[[#This Row],[Valor foco homologado]]&lt;=0,"Sem valor",IF(tEditais[[#This Row],[Valor foco homologado]]&gt;=FaixaA_Min,"A",IF(tEditais[[#This Row],[Valor foco homologado]]&gt;=FaixaB_Min,"B","C"))))</f>
        <v/>
      </c>
      <c r="P106" t="str">
        <f ca="1">IF(tEditais[[#This Row],[Encerramento]]&gt;NOW(),"Aberto","Encerrado")</f>
        <v>Encerrado</v>
      </c>
    </row>
    <row r="107" spans="1:16" x14ac:dyDescent="0.25">
      <c r="A107" t="s">
        <v>1049</v>
      </c>
      <c r="B107" t="s">
        <v>1050</v>
      </c>
      <c r="C107" t="s">
        <v>1045</v>
      </c>
      <c r="D107" t="s">
        <v>1046</v>
      </c>
      <c r="E107" t="s">
        <v>716</v>
      </c>
      <c r="F107" s="11">
        <v>46308.354166666664</v>
      </c>
      <c r="G107">
        <v>8</v>
      </c>
      <c r="H107" t="s">
        <v>1051</v>
      </c>
      <c r="I107" t="s">
        <v>1052</v>
      </c>
      <c r="J107" t="str">
        <f>IF(ISNUMBER(SEARCH("registro de pre",tEditais[[#This Row],[Objeto]])),"Sim","Não")</f>
        <v>Sim</v>
      </c>
      <c r="K107" s="4">
        <f>COUNTIFS(tItens[Edital],tEditais[[#This Row],[Edital]])</f>
        <v>8</v>
      </c>
      <c r="L107" s="4">
        <f>COUNTIFS(tItens[Edital],tEditais[[#This Row],[Edital]],tItens[Foco],"Sim")</f>
        <v>2</v>
      </c>
      <c r="M107" s="8">
        <f>SUMIFS(tItens[Valor],tItens[Edital],tEditais[[#This Row],[Edital]])</f>
        <v>2260202.33</v>
      </c>
      <c r="N107" s="8">
        <f>SUMIFS(tItens[Valor homologado],tItens[Edital],tEditais[[#This Row],[Edital]],tItens[Foco],"Sim")</f>
        <v>620346.81599999988</v>
      </c>
      <c r="O107" t="str">
        <f>IF(tEditais[[#This Row],[Itens do foco]]=0,"",IF(tEditais[[#This Row],[Valor foco homologado]]&lt;=0,"Sem valor",IF(tEditais[[#This Row],[Valor foco homologado]]&gt;=FaixaA_Min,"A",IF(tEditais[[#This Row],[Valor foco homologado]]&gt;=FaixaB_Min,"B","C"))))</f>
        <v>A</v>
      </c>
      <c r="P107" t="str">
        <f ca="1">IF(tEditais[[#This Row],[Encerramento]]&gt;NOW(),"Aberto","Encerrado")</f>
        <v>Encerrado</v>
      </c>
    </row>
    <row r="108" spans="1:16" x14ac:dyDescent="0.25">
      <c r="A108" t="s">
        <v>1053</v>
      </c>
      <c r="B108" t="s">
        <v>1054</v>
      </c>
      <c r="C108" t="s">
        <v>1045</v>
      </c>
      <c r="D108" t="s">
        <v>1046</v>
      </c>
      <c r="E108" t="s">
        <v>716</v>
      </c>
      <c r="F108" s="11">
        <v>46308.583333333336</v>
      </c>
      <c r="G108">
        <v>183</v>
      </c>
      <c r="H108" t="s">
        <v>1055</v>
      </c>
      <c r="I108" t="s">
        <v>1056</v>
      </c>
      <c r="J108" t="str">
        <f>IF(ISNUMBER(SEARCH("registro de pre",tEditais[[#This Row],[Objeto]])),"Sim","Não")</f>
        <v>Sim</v>
      </c>
      <c r="K108" s="4">
        <f>COUNTIFS(tItens[Edital],tEditais[[#This Row],[Edital]])</f>
        <v>54</v>
      </c>
      <c r="L108" s="4">
        <f>COUNTIFS(tItens[Edital],tEditais[[#This Row],[Edital]],tItens[Foco],"Sim")</f>
        <v>17</v>
      </c>
      <c r="M108" s="8">
        <f>SUMIFS(tItens[Valor],tItens[Edital],tEditais[[#This Row],[Edital]])</f>
        <v>161595.50000000003</v>
      </c>
      <c r="N108" s="8">
        <f>SUMIFS(tItens[Valor homologado],tItens[Edital],tEditais[[#This Row],[Edital]],tItens[Foco],"Sim")</f>
        <v>60475.076799999995</v>
      </c>
      <c r="O108" t="str">
        <f>IF(tEditais[[#This Row],[Itens do foco]]=0,"",IF(tEditais[[#This Row],[Valor foco homologado]]&lt;=0,"Sem valor",IF(tEditais[[#This Row],[Valor foco homologado]]&gt;=FaixaA_Min,"A",IF(tEditais[[#This Row],[Valor foco homologado]]&gt;=FaixaB_Min,"B","C"))))</f>
        <v>B</v>
      </c>
      <c r="P108" t="str">
        <f ca="1">IF(tEditais[[#This Row],[Encerramento]]&gt;NOW(),"Aberto","Encerrado")</f>
        <v>Encerrado</v>
      </c>
    </row>
    <row r="109" spans="1:16" x14ac:dyDescent="0.25">
      <c r="A109" t="s">
        <v>1057</v>
      </c>
      <c r="B109" t="s">
        <v>1050</v>
      </c>
      <c r="C109" t="s">
        <v>1045</v>
      </c>
      <c r="D109" t="s">
        <v>1046</v>
      </c>
      <c r="E109" t="s">
        <v>716</v>
      </c>
      <c r="F109" s="11">
        <v>46310.354166666664</v>
      </c>
      <c r="G109">
        <v>3</v>
      </c>
      <c r="H109" t="s">
        <v>1058</v>
      </c>
      <c r="I109" t="s">
        <v>1059</v>
      </c>
      <c r="J109" t="str">
        <f>IF(ISNUMBER(SEARCH("registro de pre",tEditais[[#This Row],[Objeto]])),"Sim","Não")</f>
        <v>Sim</v>
      </c>
      <c r="K109" s="4">
        <f>COUNTIFS(tItens[Edital],tEditais[[#This Row],[Edital]])</f>
        <v>1</v>
      </c>
      <c r="L109" s="4">
        <f>COUNTIFS(tItens[Edital],tEditais[[#This Row],[Edital]],tItens[Foco],"Sim")</f>
        <v>0</v>
      </c>
      <c r="M109" s="8">
        <f>SUMIFS(tItens[Valor],tItens[Edital],tEditais[[#This Row],[Edital]])</f>
        <v>0</v>
      </c>
      <c r="N109" s="8">
        <f>SUMIFS(tItens[Valor homologado],tItens[Edital],tEditais[[#This Row],[Edital]],tItens[Foco],"Sim")</f>
        <v>0</v>
      </c>
      <c r="O109" t="str">
        <f>IF(tEditais[[#This Row],[Itens do foco]]=0,"",IF(tEditais[[#This Row],[Valor foco homologado]]&lt;=0,"Sem valor",IF(tEditais[[#This Row],[Valor foco homologado]]&gt;=FaixaA_Min,"A",IF(tEditais[[#This Row],[Valor foco homologado]]&gt;=FaixaB_Min,"B","C"))))</f>
        <v/>
      </c>
      <c r="P109" t="str">
        <f ca="1">IF(tEditais[[#This Row],[Encerramento]]&gt;NOW(),"Aberto","Encerrado")</f>
        <v>Encerrado</v>
      </c>
    </row>
    <row r="110" spans="1:16" x14ac:dyDescent="0.25">
      <c r="A110" t="s">
        <v>1060</v>
      </c>
      <c r="B110" t="s">
        <v>1061</v>
      </c>
      <c r="C110" t="s">
        <v>1045</v>
      </c>
      <c r="D110" t="s">
        <v>1046</v>
      </c>
      <c r="E110" t="s">
        <v>716</v>
      </c>
      <c r="F110" s="11">
        <v>46310.583333333336</v>
      </c>
      <c r="G110">
        <v>23</v>
      </c>
      <c r="H110" t="s">
        <v>1062</v>
      </c>
      <c r="I110" t="s">
        <v>1063</v>
      </c>
      <c r="J110" t="str">
        <f>IF(ISNUMBER(SEARCH("registro de pre",tEditais[[#This Row],[Objeto]])),"Sim","Não")</f>
        <v>Não</v>
      </c>
      <c r="K110" s="4">
        <f>COUNTIFS(tItens[Edital],tEditais[[#This Row],[Edital]])</f>
        <v>1</v>
      </c>
      <c r="L110" s="4">
        <f>COUNTIFS(tItens[Edital],tEditais[[#This Row],[Edital]],tItens[Foco],"Sim")</f>
        <v>0</v>
      </c>
      <c r="M110" s="8">
        <f>SUMIFS(tItens[Valor],tItens[Edital],tEditais[[#This Row],[Edital]])</f>
        <v>900</v>
      </c>
      <c r="N110" s="8">
        <f>SUMIFS(tItens[Valor homologado],tItens[Edital],tEditais[[#This Row],[Edital]],tItens[Foco],"Sim")</f>
        <v>0</v>
      </c>
      <c r="O110" t="str">
        <f>IF(tEditais[[#This Row],[Itens do foco]]=0,"",IF(tEditais[[#This Row],[Valor foco homologado]]&lt;=0,"Sem valor",IF(tEditais[[#This Row],[Valor foco homologado]]&gt;=FaixaA_Min,"A",IF(tEditais[[#This Row],[Valor foco homologado]]&gt;=FaixaB_Min,"B","C"))))</f>
        <v/>
      </c>
      <c r="P110" t="str">
        <f ca="1">IF(tEditais[[#This Row],[Encerramento]]&gt;NOW(),"Aberto","Encerrado")</f>
        <v>Encerrado</v>
      </c>
    </row>
    <row r="111" spans="1:16" x14ac:dyDescent="0.25">
      <c r="A111" t="s">
        <v>1064</v>
      </c>
      <c r="B111" t="s">
        <v>1065</v>
      </c>
      <c r="C111" t="s">
        <v>1045</v>
      </c>
      <c r="D111" t="s">
        <v>1046</v>
      </c>
      <c r="E111" t="s">
        <v>800</v>
      </c>
      <c r="F111" s="11">
        <v>46311.333333333336</v>
      </c>
      <c r="G111">
        <v>8</v>
      </c>
      <c r="H111" t="s">
        <v>1066</v>
      </c>
      <c r="I111" t="s">
        <v>1067</v>
      </c>
      <c r="J111" t="str">
        <f>IF(ISNUMBER(SEARCH("registro de pre",tEditais[[#This Row],[Objeto]])),"Sim","Não")</f>
        <v>Não</v>
      </c>
      <c r="K111" s="4">
        <f>COUNTIFS(tItens[Edital],tEditais[[#This Row],[Edital]])</f>
        <v>1</v>
      </c>
      <c r="L111" s="4">
        <f>COUNTIFS(tItens[Edital],tEditais[[#This Row],[Edital]],tItens[Foco],"Sim")</f>
        <v>0</v>
      </c>
      <c r="M111" s="8">
        <f>SUMIFS(tItens[Valor],tItens[Edital],tEditais[[#This Row],[Edital]])</f>
        <v>66.12</v>
      </c>
      <c r="N111" s="8">
        <f>SUMIFS(tItens[Valor homologado],tItens[Edital],tEditais[[#This Row],[Edital]],tItens[Foco],"Sim")</f>
        <v>0</v>
      </c>
      <c r="O111" t="str">
        <f>IF(tEditais[[#This Row],[Itens do foco]]=0,"",IF(tEditais[[#This Row],[Valor foco homologado]]&lt;=0,"Sem valor",IF(tEditais[[#This Row],[Valor foco homologado]]&gt;=FaixaA_Min,"A",IF(tEditais[[#This Row],[Valor foco homologado]]&gt;=FaixaB_Min,"B","C"))))</f>
        <v/>
      </c>
      <c r="P111" t="str">
        <f ca="1">IF(tEditais[[#This Row],[Encerramento]]&gt;NOW(),"Aberto","Encerrado")</f>
        <v>Aberto</v>
      </c>
    </row>
    <row r="112" spans="1:16" x14ac:dyDescent="0.25">
      <c r="A112" t="s">
        <v>1068</v>
      </c>
      <c r="B112" t="s">
        <v>739</v>
      </c>
      <c r="C112" t="s">
        <v>1045</v>
      </c>
      <c r="D112" t="s">
        <v>1046</v>
      </c>
      <c r="E112" t="s">
        <v>716</v>
      </c>
      <c r="F112" s="11">
        <v>46311.416666666664</v>
      </c>
      <c r="G112">
        <v>92</v>
      </c>
      <c r="H112" t="s">
        <v>1069</v>
      </c>
      <c r="I112" t="s">
        <v>1070</v>
      </c>
      <c r="J112" t="str">
        <f>IF(ISNUMBER(SEARCH("registro de pre",tEditais[[#This Row],[Objeto]])),"Sim","Não")</f>
        <v>Não</v>
      </c>
      <c r="K112" s="4">
        <f>COUNTIFS(tItens[Edital],tEditais[[#This Row],[Edital]])</f>
        <v>7</v>
      </c>
      <c r="L112" s="4">
        <f>COUNTIFS(tItens[Edital],tEditais[[#This Row],[Edital]],tItens[Foco],"Sim")</f>
        <v>0</v>
      </c>
      <c r="M112" s="8">
        <f>SUMIFS(tItens[Valor],tItens[Edital],tEditais[[#This Row],[Edital]])</f>
        <v>0</v>
      </c>
      <c r="N112" s="8">
        <f>SUMIFS(tItens[Valor homologado],tItens[Edital],tEditais[[#This Row],[Edital]],tItens[Foco],"Sim")</f>
        <v>0</v>
      </c>
      <c r="O112" t="str">
        <f>IF(tEditais[[#This Row],[Itens do foco]]=0,"",IF(tEditais[[#This Row],[Valor foco homologado]]&lt;=0,"Sem valor",IF(tEditais[[#This Row],[Valor foco homologado]]&gt;=FaixaA_Min,"A",IF(tEditais[[#This Row],[Valor foco homologado]]&gt;=FaixaB_Min,"B","C"))))</f>
        <v/>
      </c>
      <c r="P112" t="str">
        <f ca="1">IF(tEditais[[#This Row],[Encerramento]]&gt;NOW(),"Aberto","Encerrado")</f>
        <v>Aberto</v>
      </c>
    </row>
    <row r="113" spans="1:16" x14ac:dyDescent="0.25">
      <c r="A113" t="s">
        <v>1071</v>
      </c>
      <c r="B113" t="s">
        <v>739</v>
      </c>
      <c r="C113" t="s">
        <v>1045</v>
      </c>
      <c r="D113" t="s">
        <v>1046</v>
      </c>
      <c r="E113" t="s">
        <v>716</v>
      </c>
      <c r="F113" s="11">
        <v>46314.416666666664</v>
      </c>
      <c r="G113">
        <v>91</v>
      </c>
      <c r="H113" t="s">
        <v>1072</v>
      </c>
      <c r="I113" t="s">
        <v>1073</v>
      </c>
      <c r="J113" t="str">
        <f>IF(ISNUMBER(SEARCH("registro de pre",tEditais[[#This Row],[Objeto]])),"Sim","Não")</f>
        <v>Não</v>
      </c>
      <c r="K113" s="4">
        <f>COUNTIFS(tItens[Edital],tEditais[[#This Row],[Edital]])</f>
        <v>41</v>
      </c>
      <c r="L113" s="4">
        <f>COUNTIFS(tItens[Edital],tEditais[[#This Row],[Edital]],tItens[Foco],"Sim")</f>
        <v>9</v>
      </c>
      <c r="M113" s="8">
        <f>SUMIFS(tItens[Valor],tItens[Edital],tEditais[[#This Row],[Edital]])</f>
        <v>0</v>
      </c>
      <c r="N113" s="8">
        <f>SUMIFS(tItens[Valor homologado],tItens[Edital],tEditais[[#This Row],[Edital]],tItens[Foco],"Sim")</f>
        <v>0</v>
      </c>
      <c r="O113" t="str">
        <f>IF(tEditais[[#This Row],[Itens do foco]]=0,"",IF(tEditais[[#This Row],[Valor foco homologado]]&lt;=0,"Sem valor",IF(tEditais[[#This Row],[Valor foco homologado]]&gt;=FaixaA_Min,"A",IF(tEditais[[#This Row],[Valor foco homologado]]&gt;=FaixaB_Min,"B","C"))))</f>
        <v>Sem valor</v>
      </c>
      <c r="P113" t="str">
        <f ca="1">IF(tEditais[[#This Row],[Encerramento]]&gt;NOW(),"Aberto","Encerrado")</f>
        <v>Aberto</v>
      </c>
    </row>
    <row r="114" spans="1:16" x14ac:dyDescent="0.25">
      <c r="A114" t="s">
        <v>1074</v>
      </c>
      <c r="B114" t="s">
        <v>1075</v>
      </c>
      <c r="C114" t="s">
        <v>1076</v>
      </c>
      <c r="D114" t="s">
        <v>1077</v>
      </c>
      <c r="E114" t="s">
        <v>716</v>
      </c>
      <c r="F114" s="11">
        <v>46304.368055555555</v>
      </c>
      <c r="G114">
        <v>11</v>
      </c>
      <c r="H114" t="s">
        <v>1078</v>
      </c>
      <c r="I114" t="s">
        <v>1079</v>
      </c>
      <c r="J114" t="str">
        <f>IF(ISNUMBER(SEARCH("registro de pre",tEditais[[#This Row],[Objeto]])),"Sim","Não")</f>
        <v>Não</v>
      </c>
      <c r="K114" s="4">
        <f>COUNTIFS(tItens[Edital],tEditais[[#This Row],[Edital]])</f>
        <v>10</v>
      </c>
      <c r="L114" s="4">
        <f>COUNTIFS(tItens[Edital],tEditais[[#This Row],[Edital]],tItens[Foco],"Sim")</f>
        <v>0</v>
      </c>
      <c r="M114" s="8">
        <f>SUMIFS(tItens[Valor],tItens[Edital],tEditais[[#This Row],[Edital]])</f>
        <v>12970262</v>
      </c>
      <c r="N114" s="8">
        <f>SUMIFS(tItens[Valor homologado],tItens[Edital],tEditais[[#This Row],[Edital]],tItens[Foco],"Sim")</f>
        <v>0</v>
      </c>
      <c r="O114" t="str">
        <f>IF(tEditais[[#This Row],[Itens do foco]]=0,"",IF(tEditais[[#This Row],[Valor foco homologado]]&lt;=0,"Sem valor",IF(tEditais[[#This Row],[Valor foco homologado]]&gt;=FaixaA_Min,"A",IF(tEditais[[#This Row],[Valor foco homologado]]&gt;=FaixaB_Min,"B","C"))))</f>
        <v/>
      </c>
      <c r="P114" t="str">
        <f ca="1">IF(tEditais[[#This Row],[Encerramento]]&gt;NOW(),"Aberto","Encerrado")</f>
        <v>Encerrado</v>
      </c>
    </row>
    <row r="115" spans="1:16" x14ac:dyDescent="0.25">
      <c r="A115" t="s">
        <v>1080</v>
      </c>
      <c r="B115" t="s">
        <v>1081</v>
      </c>
      <c r="C115" t="s">
        <v>1082</v>
      </c>
      <c r="D115" t="s">
        <v>1077</v>
      </c>
      <c r="E115" t="s">
        <v>716</v>
      </c>
      <c r="F115" s="11">
        <v>46304.375</v>
      </c>
      <c r="G115">
        <v>71</v>
      </c>
      <c r="H115" t="s">
        <v>1083</v>
      </c>
      <c r="I115" t="s">
        <v>1084</v>
      </c>
      <c r="J115" t="str">
        <f>IF(ISNUMBER(SEARCH("registro de pre",tEditais[[#This Row],[Objeto]])),"Sim","Não")</f>
        <v>Não</v>
      </c>
      <c r="K115" s="4">
        <f>COUNTIFS(tItens[Edital],tEditais[[#This Row],[Edital]])</f>
        <v>5</v>
      </c>
      <c r="L115" s="4">
        <f>COUNTIFS(tItens[Edital],tEditais[[#This Row],[Edital]],tItens[Foco],"Sim")</f>
        <v>2</v>
      </c>
      <c r="M115" s="8">
        <f>SUMIFS(tItens[Valor],tItens[Edital],tEditais[[#This Row],[Edital]])</f>
        <v>8919.42</v>
      </c>
      <c r="N115" s="8">
        <f>SUMIFS(tItens[Valor homologado],tItens[Edital],tEditais[[#This Row],[Edital]],tItens[Foco],"Sim")</f>
        <v>703.0175999999999</v>
      </c>
      <c r="O115" t="str">
        <f>IF(tEditais[[#This Row],[Itens do foco]]=0,"",IF(tEditais[[#This Row],[Valor foco homologado]]&lt;=0,"Sem valor",IF(tEditais[[#This Row],[Valor foco homologado]]&gt;=FaixaA_Min,"A",IF(tEditais[[#This Row],[Valor foco homologado]]&gt;=FaixaB_Min,"B","C"))))</f>
        <v>C</v>
      </c>
      <c r="P115" t="str">
        <f ca="1">IF(tEditais[[#This Row],[Encerramento]]&gt;NOW(),"Aberto","Encerrado")</f>
        <v>Encerrado</v>
      </c>
    </row>
    <row r="116" spans="1:16" x14ac:dyDescent="0.25">
      <c r="A116" t="s">
        <v>1085</v>
      </c>
      <c r="B116" t="s">
        <v>739</v>
      </c>
      <c r="C116" t="s">
        <v>1082</v>
      </c>
      <c r="D116" t="s">
        <v>1077</v>
      </c>
      <c r="E116" t="s">
        <v>716</v>
      </c>
      <c r="F116" s="11">
        <v>46304.375</v>
      </c>
      <c r="G116">
        <v>20</v>
      </c>
      <c r="H116" t="s">
        <v>1086</v>
      </c>
      <c r="I116" t="s">
        <v>1087</v>
      </c>
      <c r="J116" t="str">
        <f>IF(ISNUMBER(SEARCH("registro de pre",tEditais[[#This Row],[Objeto]])),"Sim","Não")</f>
        <v>Não</v>
      </c>
      <c r="K116" s="4">
        <f>COUNTIFS(tItens[Edital],tEditais[[#This Row],[Edital]])</f>
        <v>6</v>
      </c>
      <c r="L116" s="4">
        <f>COUNTIFS(tItens[Edital],tEditais[[#This Row],[Edital]],tItens[Foco],"Sim")</f>
        <v>0</v>
      </c>
      <c r="M116" s="8">
        <f>SUMIFS(tItens[Valor],tItens[Edital],tEditais[[#This Row],[Edital]])</f>
        <v>0</v>
      </c>
      <c r="N116" s="8">
        <f>SUMIFS(tItens[Valor homologado],tItens[Edital],tEditais[[#This Row],[Edital]],tItens[Foco],"Sim")</f>
        <v>0</v>
      </c>
      <c r="O116" t="str">
        <f>IF(tEditais[[#This Row],[Itens do foco]]=0,"",IF(tEditais[[#This Row],[Valor foco homologado]]&lt;=0,"Sem valor",IF(tEditais[[#This Row],[Valor foco homologado]]&gt;=FaixaA_Min,"A",IF(tEditais[[#This Row],[Valor foco homologado]]&gt;=FaixaB_Min,"B","C"))))</f>
        <v/>
      </c>
      <c r="P116" t="str">
        <f ca="1">IF(tEditais[[#This Row],[Encerramento]]&gt;NOW(),"Aberto","Encerrado")</f>
        <v>Encerrado</v>
      </c>
    </row>
    <row r="117" spans="1:16" x14ac:dyDescent="0.25">
      <c r="A117" t="s">
        <v>1088</v>
      </c>
      <c r="B117" t="s">
        <v>1089</v>
      </c>
      <c r="C117" t="s">
        <v>1082</v>
      </c>
      <c r="D117" t="s">
        <v>1077</v>
      </c>
      <c r="E117" t="s">
        <v>716</v>
      </c>
      <c r="F117" s="11">
        <v>46308.333333333336</v>
      </c>
      <c r="G117">
        <v>2</v>
      </c>
      <c r="I117" t="s">
        <v>1090</v>
      </c>
      <c r="J117" t="str">
        <f>IF(ISNUMBER(SEARCH("registro de pre",tEditais[[#This Row],[Objeto]])),"Sim","Não")</f>
        <v>Não</v>
      </c>
      <c r="K117" s="4">
        <f>COUNTIFS(tItens[Edital],tEditais[[#This Row],[Edital]])</f>
        <v>1</v>
      </c>
      <c r="L117" s="4">
        <f>COUNTIFS(tItens[Edital],tEditais[[#This Row],[Edital]],tItens[Foco],"Sim")</f>
        <v>0</v>
      </c>
      <c r="M117" s="8">
        <f>SUMIFS(tItens[Valor],tItens[Edital],tEditais[[#This Row],[Edital]])</f>
        <v>80337.599999999991</v>
      </c>
      <c r="N117" s="8">
        <f>SUMIFS(tItens[Valor homologado],tItens[Edital],tEditais[[#This Row],[Edital]],tItens[Foco],"Sim")</f>
        <v>0</v>
      </c>
      <c r="O117" t="str">
        <f>IF(tEditais[[#This Row],[Itens do foco]]=0,"",IF(tEditais[[#This Row],[Valor foco homologado]]&lt;=0,"Sem valor",IF(tEditais[[#This Row],[Valor foco homologado]]&gt;=FaixaA_Min,"A",IF(tEditais[[#This Row],[Valor foco homologado]]&gt;=FaixaB_Min,"B","C"))))</f>
        <v/>
      </c>
      <c r="P117" t="str">
        <f ca="1">IF(tEditais[[#This Row],[Encerramento]]&gt;NOW(),"Aberto","Encerrado")</f>
        <v>Encerrado</v>
      </c>
    </row>
    <row r="118" spans="1:16" x14ac:dyDescent="0.25">
      <c r="A118" t="s">
        <v>1091</v>
      </c>
      <c r="B118" t="s">
        <v>1092</v>
      </c>
      <c r="C118" t="s">
        <v>1093</v>
      </c>
      <c r="D118" t="s">
        <v>1077</v>
      </c>
      <c r="E118" t="s">
        <v>716</v>
      </c>
      <c r="F118" s="11">
        <v>46308.333333333336</v>
      </c>
      <c r="G118">
        <v>3</v>
      </c>
      <c r="H118" t="s">
        <v>1094</v>
      </c>
      <c r="I118" t="s">
        <v>1095</v>
      </c>
      <c r="J118" t="str">
        <f>IF(ISNUMBER(SEARCH("registro de pre",tEditais[[#This Row],[Objeto]])),"Sim","Não")</f>
        <v>Não</v>
      </c>
      <c r="K118" s="4">
        <f>COUNTIFS(tItens[Edital],tEditais[[#This Row],[Edital]])</f>
        <v>2</v>
      </c>
      <c r="L118" s="4">
        <f>COUNTIFS(tItens[Edital],tEditais[[#This Row],[Edital]],tItens[Foco],"Sim")</f>
        <v>0</v>
      </c>
      <c r="M118" s="8">
        <f>SUMIFS(tItens[Valor],tItens[Edital],tEditais[[#This Row],[Edital]])</f>
        <v>604000</v>
      </c>
      <c r="N118" s="8">
        <f>SUMIFS(tItens[Valor homologado],tItens[Edital],tEditais[[#This Row],[Edital]],tItens[Foco],"Sim")</f>
        <v>0</v>
      </c>
      <c r="O118" t="str">
        <f>IF(tEditais[[#This Row],[Itens do foco]]=0,"",IF(tEditais[[#This Row],[Valor foco homologado]]&lt;=0,"Sem valor",IF(tEditais[[#This Row],[Valor foco homologado]]&gt;=FaixaA_Min,"A",IF(tEditais[[#This Row],[Valor foco homologado]]&gt;=FaixaB_Min,"B","C"))))</f>
        <v/>
      </c>
      <c r="P118" t="str">
        <f ca="1">IF(tEditais[[#This Row],[Encerramento]]&gt;NOW(),"Aberto","Encerrado")</f>
        <v>Encerrado</v>
      </c>
    </row>
    <row r="119" spans="1:16" x14ac:dyDescent="0.25">
      <c r="A119" t="s">
        <v>1096</v>
      </c>
      <c r="B119" t="s">
        <v>1081</v>
      </c>
      <c r="C119" t="s">
        <v>1097</v>
      </c>
      <c r="D119" t="s">
        <v>1077</v>
      </c>
      <c r="E119" t="s">
        <v>716</v>
      </c>
      <c r="F119" s="11">
        <v>46308.375</v>
      </c>
      <c r="G119">
        <v>80</v>
      </c>
      <c r="H119" t="s">
        <v>1098</v>
      </c>
      <c r="I119" t="s">
        <v>1099</v>
      </c>
      <c r="J119" t="str">
        <f>IF(ISNUMBER(SEARCH("registro de pre",tEditais[[#This Row],[Objeto]])),"Sim","Não")</f>
        <v>Não</v>
      </c>
      <c r="K119" s="4">
        <f>COUNTIFS(tItens[Edital],tEditais[[#This Row],[Edital]])</f>
        <v>27</v>
      </c>
      <c r="L119" s="4">
        <f>COUNTIFS(tItens[Edital],tEditais[[#This Row],[Edital]],tItens[Foco],"Sim")</f>
        <v>0</v>
      </c>
      <c r="M119" s="8">
        <f>SUMIFS(tItens[Valor],tItens[Edital],tEditais[[#This Row],[Edital]])</f>
        <v>110000.60999999997</v>
      </c>
      <c r="N119" s="8">
        <f>SUMIFS(tItens[Valor homologado],tItens[Edital],tEditais[[#This Row],[Edital]],tItens[Foco],"Sim")</f>
        <v>0</v>
      </c>
      <c r="O119" t="str">
        <f>IF(tEditais[[#This Row],[Itens do foco]]=0,"",IF(tEditais[[#This Row],[Valor foco homologado]]&lt;=0,"Sem valor",IF(tEditais[[#This Row],[Valor foco homologado]]&gt;=FaixaA_Min,"A",IF(tEditais[[#This Row],[Valor foco homologado]]&gt;=FaixaB_Min,"B","C"))))</f>
        <v/>
      </c>
      <c r="P119" t="str">
        <f ca="1">IF(tEditais[[#This Row],[Encerramento]]&gt;NOW(),"Aberto","Encerrado")</f>
        <v>Encerrado</v>
      </c>
    </row>
    <row r="120" spans="1:16" x14ac:dyDescent="0.25">
      <c r="A120" t="s">
        <v>1100</v>
      </c>
      <c r="B120" t="s">
        <v>1089</v>
      </c>
      <c r="C120" t="s">
        <v>1101</v>
      </c>
      <c r="D120" t="s">
        <v>1077</v>
      </c>
      <c r="E120" t="s">
        <v>716</v>
      </c>
      <c r="F120" s="11">
        <v>46308.375</v>
      </c>
      <c r="G120">
        <v>38</v>
      </c>
      <c r="H120" t="s">
        <v>1102</v>
      </c>
      <c r="I120" t="s">
        <v>1103</v>
      </c>
      <c r="J120" t="str">
        <f>IF(ISNUMBER(SEARCH("registro de pre",tEditais[[#This Row],[Objeto]])),"Sim","Não")</f>
        <v>Não</v>
      </c>
      <c r="K120" s="4">
        <f>COUNTIFS(tItens[Edital],tEditais[[#This Row],[Edital]])</f>
        <v>34</v>
      </c>
      <c r="L120" s="4">
        <f>COUNTIFS(tItens[Edital],tEditais[[#This Row],[Edital]],tItens[Foco],"Sim")</f>
        <v>12</v>
      </c>
      <c r="M120" s="8">
        <f>SUMIFS(tItens[Valor],tItens[Edital],tEditais[[#This Row],[Edital]])</f>
        <v>18464214</v>
      </c>
      <c r="N120" s="8">
        <f>SUMIFS(tItens[Valor homologado],tItens[Edital],tEditais[[#This Row],[Edital]],tItens[Foco],"Sim")</f>
        <v>5685680.879999999</v>
      </c>
      <c r="O120" t="str">
        <f>IF(tEditais[[#This Row],[Itens do foco]]=0,"",IF(tEditais[[#This Row],[Valor foco homologado]]&lt;=0,"Sem valor",IF(tEditais[[#This Row],[Valor foco homologado]]&gt;=FaixaA_Min,"A",IF(tEditais[[#This Row],[Valor foco homologado]]&gt;=FaixaB_Min,"B","C"))))</f>
        <v>A</v>
      </c>
      <c r="P120" t="str">
        <f ca="1">IF(tEditais[[#This Row],[Encerramento]]&gt;NOW(),"Aberto","Encerrado")</f>
        <v>Encerrado</v>
      </c>
    </row>
    <row r="121" spans="1:16" x14ac:dyDescent="0.25">
      <c r="A121" t="s">
        <v>1104</v>
      </c>
      <c r="B121" t="s">
        <v>739</v>
      </c>
      <c r="C121" t="s">
        <v>1082</v>
      </c>
      <c r="D121" t="s">
        <v>1077</v>
      </c>
      <c r="E121" t="s">
        <v>716</v>
      </c>
      <c r="F121" s="11">
        <v>46308.375</v>
      </c>
      <c r="G121">
        <v>12</v>
      </c>
      <c r="H121" t="s">
        <v>1105</v>
      </c>
      <c r="I121" t="s">
        <v>1106</v>
      </c>
      <c r="J121" t="str">
        <f>IF(ISNUMBER(SEARCH("registro de pre",tEditais[[#This Row],[Objeto]])),"Sim","Não")</f>
        <v>Não</v>
      </c>
      <c r="K121" s="4">
        <f>COUNTIFS(tItens[Edital],tEditais[[#This Row],[Edital]])</f>
        <v>7</v>
      </c>
      <c r="L121" s="4">
        <f>COUNTIFS(tItens[Edital],tEditais[[#This Row],[Edital]],tItens[Foco],"Sim")</f>
        <v>1</v>
      </c>
      <c r="M121" s="8">
        <f>SUMIFS(tItens[Valor],tItens[Edital],tEditais[[#This Row],[Edital]])</f>
        <v>0</v>
      </c>
      <c r="N121" s="8">
        <f>SUMIFS(tItens[Valor homologado],tItens[Edital],tEditais[[#This Row],[Edital]],tItens[Foco],"Sim")</f>
        <v>0</v>
      </c>
      <c r="O121" t="str">
        <f>IF(tEditais[[#This Row],[Itens do foco]]=0,"",IF(tEditais[[#This Row],[Valor foco homologado]]&lt;=0,"Sem valor",IF(tEditais[[#This Row],[Valor foco homologado]]&gt;=FaixaA_Min,"A",IF(tEditais[[#This Row],[Valor foco homologado]]&gt;=FaixaB_Min,"B","C"))))</f>
        <v>Sem valor</v>
      </c>
      <c r="P121" t="str">
        <f ca="1">IF(tEditais[[#This Row],[Encerramento]]&gt;NOW(),"Aberto","Encerrado")</f>
        <v>Encerrado</v>
      </c>
    </row>
    <row r="122" spans="1:16" x14ac:dyDescent="0.25">
      <c r="A122" t="s">
        <v>1107</v>
      </c>
      <c r="B122" t="s">
        <v>1092</v>
      </c>
      <c r="C122" t="s">
        <v>1093</v>
      </c>
      <c r="D122" t="s">
        <v>1077</v>
      </c>
      <c r="E122" t="s">
        <v>716</v>
      </c>
      <c r="F122" s="11">
        <v>46309.333333333336</v>
      </c>
      <c r="G122">
        <v>168</v>
      </c>
      <c r="H122" t="s">
        <v>1108</v>
      </c>
      <c r="I122" t="s">
        <v>1109</v>
      </c>
      <c r="J122" t="str">
        <f>IF(ISNUMBER(SEARCH("registro de pre",tEditais[[#This Row],[Objeto]])),"Sim","Não")</f>
        <v>Não</v>
      </c>
      <c r="K122" s="4">
        <f>COUNTIFS(tItens[Edital],tEditais[[#This Row],[Edital]])</f>
        <v>3</v>
      </c>
      <c r="L122" s="4">
        <f>COUNTIFS(tItens[Edital],tEditais[[#This Row],[Edital]],tItens[Foco],"Sim")</f>
        <v>1</v>
      </c>
      <c r="M122" s="8">
        <f>SUMIFS(tItens[Valor],tItens[Edital],tEditais[[#This Row],[Edital]])</f>
        <v>3637.05</v>
      </c>
      <c r="N122" s="8">
        <f>SUMIFS(tItens[Valor homologado],tItens[Edital],tEditais[[#This Row],[Edital]],tItens[Foco],"Sim")</f>
        <v>150.05250000000001</v>
      </c>
      <c r="O122" t="str">
        <f>IF(tEditais[[#This Row],[Itens do foco]]=0,"",IF(tEditais[[#This Row],[Valor foco homologado]]&lt;=0,"Sem valor",IF(tEditais[[#This Row],[Valor foco homologado]]&gt;=FaixaA_Min,"A",IF(tEditais[[#This Row],[Valor foco homologado]]&gt;=FaixaB_Min,"B","C"))))</f>
        <v>C</v>
      </c>
      <c r="P122" t="str">
        <f ca="1">IF(tEditais[[#This Row],[Encerramento]]&gt;NOW(),"Aberto","Encerrado")</f>
        <v>Encerrado</v>
      </c>
    </row>
    <row r="123" spans="1:16" x14ac:dyDescent="0.25">
      <c r="A123" t="s">
        <v>1110</v>
      </c>
      <c r="B123" t="s">
        <v>1111</v>
      </c>
      <c r="C123" t="s">
        <v>1082</v>
      </c>
      <c r="D123" t="s">
        <v>1077</v>
      </c>
      <c r="E123" t="s">
        <v>716</v>
      </c>
      <c r="F123" s="11">
        <v>46309.375</v>
      </c>
      <c r="G123">
        <v>3</v>
      </c>
      <c r="I123" t="s">
        <v>1112</v>
      </c>
      <c r="J123" t="str">
        <f>IF(ISNUMBER(SEARCH("registro de pre",tEditais[[#This Row],[Objeto]])),"Sim","Não")</f>
        <v>Sim</v>
      </c>
      <c r="K123" s="4">
        <f>COUNTIFS(tItens[Edital],tEditais[[#This Row],[Edital]])</f>
        <v>3</v>
      </c>
      <c r="L123" s="4">
        <f>COUNTIFS(tItens[Edital],tEditais[[#This Row],[Edital]],tItens[Foco],"Sim")</f>
        <v>0</v>
      </c>
      <c r="M123" s="8">
        <f>SUMIFS(tItens[Valor],tItens[Edital],tEditais[[#This Row],[Edital]])</f>
        <v>596570</v>
      </c>
      <c r="N123" s="8">
        <f>SUMIFS(tItens[Valor homologado],tItens[Edital],tEditais[[#This Row],[Edital]],tItens[Foco],"Sim")</f>
        <v>0</v>
      </c>
      <c r="O123" t="str">
        <f>IF(tEditais[[#This Row],[Itens do foco]]=0,"",IF(tEditais[[#This Row],[Valor foco homologado]]&lt;=0,"Sem valor",IF(tEditais[[#This Row],[Valor foco homologado]]&gt;=FaixaA_Min,"A",IF(tEditais[[#This Row],[Valor foco homologado]]&gt;=FaixaB_Min,"B","C"))))</f>
        <v/>
      </c>
      <c r="P123" t="str">
        <f ca="1">IF(tEditais[[#This Row],[Encerramento]]&gt;NOW(),"Aberto","Encerrado")</f>
        <v>Encerrado</v>
      </c>
    </row>
    <row r="124" spans="1:16" x14ac:dyDescent="0.25">
      <c r="A124" t="s">
        <v>1113</v>
      </c>
      <c r="B124" t="s">
        <v>1089</v>
      </c>
      <c r="C124" t="s">
        <v>1082</v>
      </c>
      <c r="D124" t="s">
        <v>1077</v>
      </c>
      <c r="E124" t="s">
        <v>716</v>
      </c>
      <c r="F124" s="11">
        <v>46309.415972222225</v>
      </c>
      <c r="G124">
        <v>7</v>
      </c>
      <c r="I124" t="s">
        <v>1114</v>
      </c>
      <c r="J124" t="str">
        <f>IF(ISNUMBER(SEARCH("registro de pre",tEditais[[#This Row],[Objeto]])),"Sim","Não")</f>
        <v>Não</v>
      </c>
      <c r="K124" s="4">
        <f>COUNTIFS(tItens[Edital],tEditais[[#This Row],[Edital]])</f>
        <v>4</v>
      </c>
      <c r="L124" s="4">
        <f>COUNTIFS(tItens[Edital],tEditais[[#This Row],[Edital]],tItens[Foco],"Sim")</f>
        <v>0</v>
      </c>
      <c r="M124" s="8">
        <f>SUMIFS(tItens[Valor],tItens[Edital],tEditais[[#This Row],[Edital]])</f>
        <v>4711870</v>
      </c>
      <c r="N124" s="8">
        <f>SUMIFS(tItens[Valor homologado],tItens[Edital],tEditais[[#This Row],[Edital]],tItens[Foco],"Sim")</f>
        <v>0</v>
      </c>
      <c r="O124" t="str">
        <f>IF(tEditais[[#This Row],[Itens do foco]]=0,"",IF(tEditais[[#This Row],[Valor foco homologado]]&lt;=0,"Sem valor",IF(tEditais[[#This Row],[Valor foco homologado]]&gt;=FaixaA_Min,"A",IF(tEditais[[#This Row],[Valor foco homologado]]&gt;=FaixaB_Min,"B","C"))))</f>
        <v/>
      </c>
      <c r="P124" t="str">
        <f ca="1">IF(tEditais[[#This Row],[Encerramento]]&gt;NOW(),"Aberto","Encerrado")</f>
        <v>Encerrado</v>
      </c>
    </row>
    <row r="125" spans="1:16" x14ac:dyDescent="0.25">
      <c r="A125" t="s">
        <v>1115</v>
      </c>
      <c r="B125" t="s">
        <v>1116</v>
      </c>
      <c r="C125" t="s">
        <v>1117</v>
      </c>
      <c r="D125" t="s">
        <v>1077</v>
      </c>
      <c r="E125" t="s">
        <v>716</v>
      </c>
      <c r="F125" s="11">
        <v>46309.645833333336</v>
      </c>
      <c r="G125">
        <v>3</v>
      </c>
      <c r="I125" t="s">
        <v>1118</v>
      </c>
      <c r="J125" t="str">
        <f>IF(ISNUMBER(SEARCH("registro de pre",tEditais[[#This Row],[Objeto]])),"Sim","Não")</f>
        <v>Não</v>
      </c>
      <c r="K125" s="4">
        <f>COUNTIFS(tItens[Edital],tEditais[[#This Row],[Edital]])</f>
        <v>1</v>
      </c>
      <c r="L125" s="4">
        <f>COUNTIFS(tItens[Edital],tEditais[[#This Row],[Edital]],tItens[Foco],"Sim")</f>
        <v>0</v>
      </c>
      <c r="M125" s="8">
        <f>SUMIFS(tItens[Valor],tItens[Edital],tEditais[[#This Row],[Edital]])</f>
        <v>61880</v>
      </c>
      <c r="N125" s="8">
        <f>SUMIFS(tItens[Valor homologado],tItens[Edital],tEditais[[#This Row],[Edital]],tItens[Foco],"Sim")</f>
        <v>0</v>
      </c>
      <c r="O125" t="str">
        <f>IF(tEditais[[#This Row],[Itens do foco]]=0,"",IF(tEditais[[#This Row],[Valor foco homologado]]&lt;=0,"Sem valor",IF(tEditais[[#This Row],[Valor foco homologado]]&gt;=FaixaA_Min,"A",IF(tEditais[[#This Row],[Valor foco homologado]]&gt;=FaixaB_Min,"B","C"))))</f>
        <v/>
      </c>
      <c r="P125" t="str">
        <f ca="1">IF(tEditais[[#This Row],[Encerramento]]&gt;NOW(),"Aberto","Encerrado")</f>
        <v>Encerrado</v>
      </c>
    </row>
    <row r="126" spans="1:16" x14ac:dyDescent="0.25">
      <c r="A126" t="s">
        <v>1119</v>
      </c>
      <c r="B126" t="s">
        <v>1089</v>
      </c>
      <c r="C126" t="s">
        <v>1082</v>
      </c>
      <c r="D126" t="s">
        <v>1077</v>
      </c>
      <c r="E126" t="s">
        <v>716</v>
      </c>
      <c r="F126" s="11">
        <v>46310.332638888889</v>
      </c>
      <c r="G126">
        <v>3</v>
      </c>
      <c r="I126" t="s">
        <v>1120</v>
      </c>
      <c r="J126" t="str">
        <f>IF(ISNUMBER(SEARCH("registro de pre",tEditais[[#This Row],[Objeto]])),"Sim","Não")</f>
        <v>Não</v>
      </c>
      <c r="K126" s="4">
        <f>COUNTIFS(tItens[Edital],tEditais[[#This Row],[Edital]])</f>
        <v>2</v>
      </c>
      <c r="L126" s="4">
        <f>COUNTIFS(tItens[Edital],tEditais[[#This Row],[Edital]],tItens[Foco],"Sim")</f>
        <v>0</v>
      </c>
      <c r="M126" s="8">
        <f>SUMIFS(tItens[Valor],tItens[Edital],tEditais[[#This Row],[Edital]])</f>
        <v>171226</v>
      </c>
      <c r="N126" s="8">
        <f>SUMIFS(tItens[Valor homologado],tItens[Edital],tEditais[[#This Row],[Edital]],tItens[Foco],"Sim")</f>
        <v>0</v>
      </c>
      <c r="O126" t="str">
        <f>IF(tEditais[[#This Row],[Itens do foco]]=0,"",IF(tEditais[[#This Row],[Valor foco homologado]]&lt;=0,"Sem valor",IF(tEditais[[#This Row],[Valor foco homologado]]&gt;=FaixaA_Min,"A",IF(tEditais[[#This Row],[Valor foco homologado]]&gt;=FaixaB_Min,"B","C"))))</f>
        <v/>
      </c>
      <c r="P126" t="str">
        <f ca="1">IF(tEditais[[#This Row],[Encerramento]]&gt;NOW(),"Aberto","Encerrado")</f>
        <v>Encerrado</v>
      </c>
    </row>
    <row r="127" spans="1:16" x14ac:dyDescent="0.25">
      <c r="A127" t="s">
        <v>1121</v>
      </c>
      <c r="B127" t="s">
        <v>1092</v>
      </c>
      <c r="C127" t="s">
        <v>1093</v>
      </c>
      <c r="D127" t="s">
        <v>1077</v>
      </c>
      <c r="E127" t="s">
        <v>716</v>
      </c>
      <c r="F127" s="11">
        <v>46310.333333333336</v>
      </c>
      <c r="G127">
        <v>15</v>
      </c>
      <c r="H127" t="s">
        <v>1122</v>
      </c>
      <c r="I127" t="s">
        <v>1123</v>
      </c>
      <c r="J127" t="str">
        <f>IF(ISNUMBER(SEARCH("registro de pre",tEditais[[#This Row],[Objeto]])),"Sim","Não")</f>
        <v>Não</v>
      </c>
      <c r="K127" s="4">
        <f>COUNTIFS(tItens[Edital],tEditais[[#This Row],[Edital]])</f>
        <v>3</v>
      </c>
      <c r="L127" s="4">
        <f>COUNTIFS(tItens[Edital],tEditais[[#This Row],[Edital]],tItens[Foco],"Sim")</f>
        <v>0</v>
      </c>
      <c r="M127" s="8">
        <f>SUMIFS(tItens[Valor],tItens[Edital],tEditais[[#This Row],[Edital]])</f>
        <v>132952.40000000002</v>
      </c>
      <c r="N127" s="8">
        <f>SUMIFS(tItens[Valor homologado],tItens[Edital],tEditais[[#This Row],[Edital]],tItens[Foco],"Sim")</f>
        <v>0</v>
      </c>
      <c r="O127" t="str">
        <f>IF(tEditais[[#This Row],[Itens do foco]]=0,"",IF(tEditais[[#This Row],[Valor foco homologado]]&lt;=0,"Sem valor",IF(tEditais[[#This Row],[Valor foco homologado]]&gt;=FaixaA_Min,"A",IF(tEditais[[#This Row],[Valor foco homologado]]&gt;=FaixaB_Min,"B","C"))))</f>
        <v/>
      </c>
      <c r="P127" t="str">
        <f ca="1">IF(tEditais[[#This Row],[Encerramento]]&gt;NOW(),"Aberto","Encerrado")</f>
        <v>Encerrado</v>
      </c>
    </row>
    <row r="128" spans="1:16" x14ac:dyDescent="0.25">
      <c r="A128" t="s">
        <v>1124</v>
      </c>
      <c r="B128" t="s">
        <v>1125</v>
      </c>
      <c r="C128" t="s">
        <v>1126</v>
      </c>
      <c r="D128" t="s">
        <v>1077</v>
      </c>
      <c r="E128" t="s">
        <v>716</v>
      </c>
      <c r="F128" s="11">
        <v>46310.625</v>
      </c>
      <c r="G128">
        <v>3</v>
      </c>
      <c r="H128" t="s">
        <v>1127</v>
      </c>
      <c r="I128" t="s">
        <v>1128</v>
      </c>
      <c r="J128" t="str">
        <f>IF(ISNUMBER(SEARCH("registro de pre",tEditais[[#This Row],[Objeto]])),"Sim","Não")</f>
        <v>Sim</v>
      </c>
      <c r="K128" s="4">
        <f>COUNTIFS(tItens[Edital],tEditais[[#This Row],[Edital]])</f>
        <v>3</v>
      </c>
      <c r="L128" s="4">
        <f>COUNTIFS(tItens[Edital],tEditais[[#This Row],[Edital]],tItens[Foco],"Sim")</f>
        <v>0</v>
      </c>
      <c r="M128" s="8">
        <f>SUMIFS(tItens[Valor],tItens[Edital],tEditais[[#This Row],[Edital]])</f>
        <v>3353915.1</v>
      </c>
      <c r="N128" s="8">
        <f>SUMIFS(tItens[Valor homologado],tItens[Edital],tEditais[[#This Row],[Edital]],tItens[Foco],"Sim")</f>
        <v>0</v>
      </c>
      <c r="O128" t="str">
        <f>IF(tEditais[[#This Row],[Itens do foco]]=0,"",IF(tEditais[[#This Row],[Valor foco homologado]]&lt;=0,"Sem valor",IF(tEditais[[#This Row],[Valor foco homologado]]&gt;=FaixaA_Min,"A",IF(tEditais[[#This Row],[Valor foco homologado]]&gt;=FaixaB_Min,"B","C"))))</f>
        <v/>
      </c>
      <c r="P128" t="str">
        <f ca="1">IF(tEditais[[#This Row],[Encerramento]]&gt;NOW(),"Aberto","Encerrado")</f>
        <v>Encerrado</v>
      </c>
    </row>
    <row r="129" spans="1:16" x14ac:dyDescent="0.25">
      <c r="A129" t="s">
        <v>1129</v>
      </c>
      <c r="B129" t="s">
        <v>1130</v>
      </c>
      <c r="C129" t="s">
        <v>1082</v>
      </c>
      <c r="D129" t="s">
        <v>1077</v>
      </c>
      <c r="E129" t="s">
        <v>716</v>
      </c>
      <c r="F129" s="11">
        <v>46311.333333333336</v>
      </c>
      <c r="G129">
        <v>110</v>
      </c>
      <c r="I129" t="s">
        <v>1131</v>
      </c>
      <c r="J129" t="str">
        <f>IF(ISNUMBER(SEARCH("registro de pre",tEditais[[#This Row],[Objeto]])),"Sim","Não")</f>
        <v>Não</v>
      </c>
      <c r="K129" s="4">
        <f>COUNTIFS(tItens[Edital],tEditais[[#This Row],[Edital]])</f>
        <v>2</v>
      </c>
      <c r="L129" s="4">
        <f>COUNTIFS(tItens[Edital],tEditais[[#This Row],[Edital]],tItens[Foco],"Sim")</f>
        <v>0</v>
      </c>
      <c r="M129" s="8">
        <f>SUMIFS(tItens[Valor],tItens[Edital],tEditais[[#This Row],[Edital]])</f>
        <v>2908.36</v>
      </c>
      <c r="N129" s="8">
        <f>SUMIFS(tItens[Valor homologado],tItens[Edital],tEditais[[#This Row],[Edital]],tItens[Foco],"Sim")</f>
        <v>0</v>
      </c>
      <c r="O129" t="str">
        <f>IF(tEditais[[#This Row],[Itens do foco]]=0,"",IF(tEditais[[#This Row],[Valor foco homologado]]&lt;=0,"Sem valor",IF(tEditais[[#This Row],[Valor foco homologado]]&gt;=FaixaA_Min,"A",IF(tEditais[[#This Row],[Valor foco homologado]]&gt;=FaixaB_Min,"B","C"))))</f>
        <v/>
      </c>
      <c r="P129" t="str">
        <f ca="1">IF(tEditais[[#This Row],[Encerramento]]&gt;NOW(),"Aberto","Encerrado")</f>
        <v>Aberto</v>
      </c>
    </row>
    <row r="130" spans="1:16" x14ac:dyDescent="0.25">
      <c r="A130" t="s">
        <v>1132</v>
      </c>
      <c r="B130" t="s">
        <v>1133</v>
      </c>
      <c r="C130" t="s">
        <v>1134</v>
      </c>
      <c r="D130" t="s">
        <v>1077</v>
      </c>
      <c r="E130" t="s">
        <v>716</v>
      </c>
      <c r="F130" s="11">
        <v>46311.375</v>
      </c>
      <c r="G130">
        <v>57</v>
      </c>
      <c r="H130" t="s">
        <v>1135</v>
      </c>
      <c r="I130" t="s">
        <v>1136</v>
      </c>
      <c r="J130" t="str">
        <f>IF(ISNUMBER(SEARCH("registro de pre",tEditais[[#This Row],[Objeto]])),"Sim","Não")</f>
        <v>Sim</v>
      </c>
      <c r="K130" s="4">
        <f>COUNTIFS(tItens[Edital],tEditais[[#This Row],[Edital]])</f>
        <v>14</v>
      </c>
      <c r="L130" s="4">
        <f>COUNTIFS(tItens[Edital],tEditais[[#This Row],[Edital]],tItens[Foco],"Sim")</f>
        <v>2</v>
      </c>
      <c r="M130" s="8">
        <f>SUMIFS(tItens[Valor],tItens[Edital],tEditais[[#This Row],[Edital]])</f>
        <v>0</v>
      </c>
      <c r="N130" s="8">
        <f>SUMIFS(tItens[Valor homologado],tItens[Edital],tEditais[[#This Row],[Edital]],tItens[Foco],"Sim")</f>
        <v>0</v>
      </c>
      <c r="O130" t="str">
        <f>IF(tEditais[[#This Row],[Itens do foco]]=0,"",IF(tEditais[[#This Row],[Valor foco homologado]]&lt;=0,"Sem valor",IF(tEditais[[#This Row],[Valor foco homologado]]&gt;=FaixaA_Min,"A",IF(tEditais[[#This Row],[Valor foco homologado]]&gt;=FaixaB_Min,"B","C"))))</f>
        <v>Sem valor</v>
      </c>
      <c r="P130" t="str">
        <f ca="1">IF(tEditais[[#This Row],[Encerramento]]&gt;NOW(),"Aberto","Encerrado")</f>
        <v>Aberto</v>
      </c>
    </row>
    <row r="131" spans="1:16" x14ac:dyDescent="0.25">
      <c r="A131" t="s">
        <v>1137</v>
      </c>
      <c r="B131" t="s">
        <v>1138</v>
      </c>
      <c r="C131" t="s">
        <v>1139</v>
      </c>
      <c r="D131" t="s">
        <v>1077</v>
      </c>
      <c r="E131" t="s">
        <v>716</v>
      </c>
      <c r="F131" s="11">
        <v>46311.416666666664</v>
      </c>
      <c r="G131">
        <v>10</v>
      </c>
      <c r="H131" t="s">
        <v>1140</v>
      </c>
      <c r="I131" t="s">
        <v>1141</v>
      </c>
      <c r="J131" t="str">
        <f>IF(ISNUMBER(SEARCH("registro de pre",tEditais[[#This Row],[Objeto]])),"Sim","Não")</f>
        <v>Sim</v>
      </c>
      <c r="K131" s="4">
        <f>COUNTIFS(tItens[Edital],tEditais[[#This Row],[Edital]])</f>
        <v>3</v>
      </c>
      <c r="L131" s="4">
        <f>COUNTIFS(tItens[Edital],tEditais[[#This Row],[Edital]],tItens[Foco],"Sim")</f>
        <v>0</v>
      </c>
      <c r="M131" s="8">
        <f>SUMIFS(tItens[Valor],tItens[Edital],tEditais[[#This Row],[Edital]])</f>
        <v>197421.12</v>
      </c>
      <c r="N131" s="8">
        <f>SUMIFS(tItens[Valor homologado],tItens[Edital],tEditais[[#This Row],[Edital]],tItens[Foco],"Sim")</f>
        <v>0</v>
      </c>
      <c r="O131" t="str">
        <f>IF(tEditais[[#This Row],[Itens do foco]]=0,"",IF(tEditais[[#This Row],[Valor foco homologado]]&lt;=0,"Sem valor",IF(tEditais[[#This Row],[Valor foco homologado]]&gt;=FaixaA_Min,"A",IF(tEditais[[#This Row],[Valor foco homologado]]&gt;=FaixaB_Min,"B","C"))))</f>
        <v/>
      </c>
      <c r="P131" t="str">
        <f ca="1">IF(tEditais[[#This Row],[Encerramento]]&gt;NOW(),"Aberto","Encerrado")</f>
        <v>Aberto</v>
      </c>
    </row>
    <row r="132" spans="1:16" x14ac:dyDescent="0.25">
      <c r="A132" t="s">
        <v>1142</v>
      </c>
      <c r="B132" t="s">
        <v>752</v>
      </c>
      <c r="C132" t="s">
        <v>1143</v>
      </c>
      <c r="D132" t="s">
        <v>1144</v>
      </c>
      <c r="E132" t="s">
        <v>716</v>
      </c>
      <c r="F132" s="11">
        <v>46304.3125</v>
      </c>
      <c r="G132">
        <v>382</v>
      </c>
      <c r="I132" t="s">
        <v>1145</v>
      </c>
      <c r="J132" t="str">
        <f>IF(ISNUMBER(SEARCH("registro de pre",tEditais[[#This Row],[Objeto]])),"Sim","Não")</f>
        <v>Não</v>
      </c>
      <c r="K132" s="4">
        <f>COUNTIFS(tItens[Edital],tEditais[[#This Row],[Edital]])</f>
        <v>122</v>
      </c>
      <c r="L132" s="4">
        <f>COUNTIFS(tItens[Edital],tEditais[[#This Row],[Edital]],tItens[Foco],"Sim")</f>
        <v>12</v>
      </c>
      <c r="M132" s="8">
        <f>SUMIFS(tItens[Valor],tItens[Edital],tEditais[[#This Row],[Edital]])</f>
        <v>0</v>
      </c>
      <c r="N132" s="8">
        <f>SUMIFS(tItens[Valor homologado],tItens[Edital],tEditais[[#This Row],[Edital]],tItens[Foco],"Sim")</f>
        <v>0</v>
      </c>
      <c r="O132" t="str">
        <f>IF(tEditais[[#This Row],[Itens do foco]]=0,"",IF(tEditais[[#This Row],[Valor foco homologado]]&lt;=0,"Sem valor",IF(tEditais[[#This Row],[Valor foco homologado]]&gt;=FaixaA_Min,"A",IF(tEditais[[#This Row],[Valor foco homologado]]&gt;=FaixaB_Min,"B","C"))))</f>
        <v>Sem valor</v>
      </c>
      <c r="P132" t="str">
        <f ca="1">IF(tEditais[[#This Row],[Encerramento]]&gt;NOW(),"Aberto","Encerrado")</f>
        <v>Encerrado</v>
      </c>
    </row>
    <row r="133" spans="1:16" x14ac:dyDescent="0.25">
      <c r="A133" t="s">
        <v>1146</v>
      </c>
      <c r="B133" t="s">
        <v>1147</v>
      </c>
      <c r="C133" t="s">
        <v>1148</v>
      </c>
      <c r="D133" t="s">
        <v>1144</v>
      </c>
      <c r="E133" t="s">
        <v>716</v>
      </c>
      <c r="F133" s="11">
        <v>46308.291666666664</v>
      </c>
      <c r="G133">
        <v>798</v>
      </c>
      <c r="I133" t="s">
        <v>1149</v>
      </c>
      <c r="J133" t="str">
        <f>IF(ISNUMBER(SEARCH("registro de pre",tEditais[[#This Row],[Objeto]])),"Sim","Não")</f>
        <v>Não</v>
      </c>
      <c r="K133" s="4">
        <f>COUNTIFS(tItens[Edital],tEditais[[#This Row],[Edital]])</f>
        <v>228</v>
      </c>
      <c r="L133" s="4">
        <f>COUNTIFS(tItens[Edital],tEditais[[#This Row],[Edital]],tItens[Foco],"Sim")</f>
        <v>26</v>
      </c>
      <c r="M133" s="8">
        <f>SUMIFS(tItens[Valor],tItens[Edital],tEditais[[#This Row],[Edital]])</f>
        <v>0</v>
      </c>
      <c r="N133" s="8">
        <f>SUMIFS(tItens[Valor homologado],tItens[Edital],tEditais[[#This Row],[Edital]],tItens[Foco],"Sim")</f>
        <v>0</v>
      </c>
      <c r="O133" t="str">
        <f>IF(tEditais[[#This Row],[Itens do foco]]=0,"",IF(tEditais[[#This Row],[Valor foco homologado]]&lt;=0,"Sem valor",IF(tEditais[[#This Row],[Valor foco homologado]]&gt;=FaixaA_Min,"A",IF(tEditais[[#This Row],[Valor foco homologado]]&gt;=FaixaB_Min,"B","C"))))</f>
        <v>Sem valor</v>
      </c>
      <c r="P133" t="str">
        <f ca="1">IF(tEditais[[#This Row],[Encerramento]]&gt;NOW(),"Aberto","Encerrado")</f>
        <v>Encerrado</v>
      </c>
    </row>
    <row r="134" spans="1:16" x14ac:dyDescent="0.25">
      <c r="A134" t="s">
        <v>1150</v>
      </c>
      <c r="B134" t="s">
        <v>752</v>
      </c>
      <c r="C134" t="s">
        <v>1143</v>
      </c>
      <c r="D134" t="s">
        <v>1144</v>
      </c>
      <c r="E134" t="s">
        <v>716</v>
      </c>
      <c r="F134" s="11">
        <v>46308.3125</v>
      </c>
      <c r="G134">
        <v>111</v>
      </c>
      <c r="I134" t="s">
        <v>1151</v>
      </c>
      <c r="J134" t="str">
        <f>IF(ISNUMBER(SEARCH("registro de pre",tEditais[[#This Row],[Objeto]])),"Sim","Não")</f>
        <v>Não</v>
      </c>
      <c r="K134" s="4">
        <f>COUNTIFS(tItens[Edital],tEditais[[#This Row],[Edital]])</f>
        <v>6</v>
      </c>
      <c r="L134" s="4">
        <f>COUNTIFS(tItens[Edital],tEditais[[#This Row],[Edital]],tItens[Foco],"Sim")</f>
        <v>0</v>
      </c>
      <c r="M134" s="8">
        <f>SUMIFS(tItens[Valor],tItens[Edital],tEditais[[#This Row],[Edital]])</f>
        <v>0</v>
      </c>
      <c r="N134" s="8">
        <f>SUMIFS(tItens[Valor homologado],tItens[Edital],tEditais[[#This Row],[Edital]],tItens[Foco],"Sim")</f>
        <v>0</v>
      </c>
      <c r="O134" t="str">
        <f>IF(tEditais[[#This Row],[Itens do foco]]=0,"",IF(tEditais[[#This Row],[Valor foco homologado]]&lt;=0,"Sem valor",IF(tEditais[[#This Row],[Valor foco homologado]]&gt;=FaixaA_Min,"A",IF(tEditais[[#This Row],[Valor foco homologado]]&gt;=FaixaB_Min,"B","C"))))</f>
        <v/>
      </c>
      <c r="P134" t="str">
        <f ca="1">IF(tEditais[[#This Row],[Encerramento]]&gt;NOW(),"Aberto","Encerrado")</f>
        <v>Encerrado</v>
      </c>
    </row>
    <row r="135" spans="1:16" x14ac:dyDescent="0.25">
      <c r="A135" t="s">
        <v>1152</v>
      </c>
      <c r="B135" t="s">
        <v>752</v>
      </c>
      <c r="C135" t="s">
        <v>1153</v>
      </c>
      <c r="D135" t="s">
        <v>1144</v>
      </c>
      <c r="E135" t="s">
        <v>1154</v>
      </c>
      <c r="F135" s="11">
        <v>46308.332638888889</v>
      </c>
      <c r="G135">
        <v>340</v>
      </c>
      <c r="I135" t="s">
        <v>1155</v>
      </c>
      <c r="J135" t="str">
        <f>IF(ISNUMBER(SEARCH("registro de pre",tEditais[[#This Row],[Objeto]])),"Sim","Não")</f>
        <v>Sim</v>
      </c>
      <c r="K135" s="4">
        <f>COUNTIFS(tItens[Edital],tEditais[[#This Row],[Edital]])</f>
        <v>94</v>
      </c>
      <c r="L135" s="4">
        <f>COUNTIFS(tItens[Edital],tEditais[[#This Row],[Edital]],tItens[Foco],"Sim")</f>
        <v>24</v>
      </c>
      <c r="M135" s="8">
        <f>SUMIFS(tItens[Valor],tItens[Edital],tEditais[[#This Row],[Edital]])</f>
        <v>1264103.92</v>
      </c>
      <c r="N135" s="8">
        <f>SUMIFS(tItens[Valor homologado],tItens[Edital],tEditais[[#This Row],[Edital]],tItens[Foco],"Sim")</f>
        <v>96196.779999999984</v>
      </c>
      <c r="O135" t="str">
        <f>IF(tEditais[[#This Row],[Itens do foco]]=0,"",IF(tEditais[[#This Row],[Valor foco homologado]]&lt;=0,"Sem valor",IF(tEditais[[#This Row],[Valor foco homologado]]&gt;=FaixaA_Min,"A",IF(tEditais[[#This Row],[Valor foco homologado]]&gt;=FaixaB_Min,"B","C"))))</f>
        <v>A</v>
      </c>
      <c r="P135" t="str">
        <f ca="1">IF(tEditais[[#This Row],[Encerramento]]&gt;NOW(),"Aberto","Encerrado")</f>
        <v>Encerrado</v>
      </c>
    </row>
    <row r="136" spans="1:16" x14ac:dyDescent="0.25">
      <c r="A136" t="s">
        <v>1156</v>
      </c>
      <c r="B136" t="s">
        <v>886</v>
      </c>
      <c r="C136" t="s">
        <v>1157</v>
      </c>
      <c r="D136" t="s">
        <v>1144</v>
      </c>
      <c r="E136" t="s">
        <v>800</v>
      </c>
      <c r="F136" s="11">
        <v>46308.333333333336</v>
      </c>
      <c r="G136">
        <v>8</v>
      </c>
      <c r="H136" t="s">
        <v>1158</v>
      </c>
      <c r="I136" t="s">
        <v>1159</v>
      </c>
      <c r="J136" t="str">
        <f>IF(ISNUMBER(SEARCH("registro de pre",tEditais[[#This Row],[Objeto]])),"Sim","Não")</f>
        <v>Não</v>
      </c>
      <c r="K136" s="4">
        <f>COUNTIFS(tItens[Edital],tEditais[[#This Row],[Edital]])</f>
        <v>3</v>
      </c>
      <c r="L136" s="4">
        <f>COUNTIFS(tItens[Edital],tEditais[[#This Row],[Edital]],tItens[Foco],"Sim")</f>
        <v>0</v>
      </c>
      <c r="M136" s="8">
        <f>SUMIFS(tItens[Valor],tItens[Edital],tEditais[[#This Row],[Edital]])</f>
        <v>2848.26</v>
      </c>
      <c r="N136" s="8">
        <f>SUMIFS(tItens[Valor homologado],tItens[Edital],tEditais[[#This Row],[Edital]],tItens[Foco],"Sim")</f>
        <v>0</v>
      </c>
      <c r="O136" t="str">
        <f>IF(tEditais[[#This Row],[Itens do foco]]=0,"",IF(tEditais[[#This Row],[Valor foco homologado]]&lt;=0,"Sem valor",IF(tEditais[[#This Row],[Valor foco homologado]]&gt;=FaixaA_Min,"A",IF(tEditais[[#This Row],[Valor foco homologado]]&gt;=FaixaB_Min,"B","C"))))</f>
        <v/>
      </c>
      <c r="P136" t="str">
        <f ca="1">IF(tEditais[[#This Row],[Encerramento]]&gt;NOW(),"Aberto","Encerrado")</f>
        <v>Encerrado</v>
      </c>
    </row>
    <row r="137" spans="1:16" x14ac:dyDescent="0.25">
      <c r="A137" t="s">
        <v>1160</v>
      </c>
      <c r="B137" t="s">
        <v>1161</v>
      </c>
      <c r="C137" t="s">
        <v>1162</v>
      </c>
      <c r="D137" t="s">
        <v>1144</v>
      </c>
      <c r="E137" t="s">
        <v>716</v>
      </c>
      <c r="F137" s="11">
        <v>46308.333333333336</v>
      </c>
      <c r="G137">
        <v>135</v>
      </c>
      <c r="I137" t="s">
        <v>1163</v>
      </c>
      <c r="J137" t="str">
        <f>IF(ISNUMBER(SEARCH("registro de pre",tEditais[[#This Row],[Objeto]])),"Sim","Não")</f>
        <v>Não</v>
      </c>
      <c r="K137" s="4">
        <f>COUNTIFS(tItens[Edital],tEditais[[#This Row],[Edital]])</f>
        <v>17</v>
      </c>
      <c r="L137" s="4">
        <f>COUNTIFS(tItens[Edital],tEditais[[#This Row],[Edital]],tItens[Foco],"Sim")</f>
        <v>3</v>
      </c>
      <c r="M137" s="8">
        <f>SUMIFS(tItens[Valor],tItens[Edital],tEditais[[#This Row],[Edital]])</f>
        <v>42924.540000000023</v>
      </c>
      <c r="N137" s="8">
        <f>SUMIFS(tItens[Valor homologado],tItens[Edital],tEditais[[#This Row],[Edital]],tItens[Foco],"Sim")</f>
        <v>2751.9359999999997</v>
      </c>
      <c r="O137" t="str">
        <f>IF(tEditais[[#This Row],[Itens do foco]]=0,"",IF(tEditais[[#This Row],[Valor foco homologado]]&lt;=0,"Sem valor",IF(tEditais[[#This Row],[Valor foco homologado]]&gt;=FaixaA_Min,"A",IF(tEditais[[#This Row],[Valor foco homologado]]&gt;=FaixaB_Min,"B","C"))))</f>
        <v>C</v>
      </c>
      <c r="P137" t="str">
        <f ca="1">IF(tEditais[[#This Row],[Encerramento]]&gt;NOW(),"Aberto","Encerrado")</f>
        <v>Encerrado</v>
      </c>
    </row>
    <row r="138" spans="1:16" x14ac:dyDescent="0.25">
      <c r="A138" t="s">
        <v>1164</v>
      </c>
      <c r="B138" t="s">
        <v>1165</v>
      </c>
      <c r="C138" t="s">
        <v>1166</v>
      </c>
      <c r="D138" t="s">
        <v>1144</v>
      </c>
      <c r="E138" t="s">
        <v>1154</v>
      </c>
      <c r="F138" s="11">
        <v>46308.333333333336</v>
      </c>
      <c r="G138">
        <v>722</v>
      </c>
      <c r="I138" t="s">
        <v>1167</v>
      </c>
      <c r="J138" t="str">
        <f>IF(ISNUMBER(SEARCH("registro de pre",tEditais[[#This Row],[Objeto]])),"Sim","Não")</f>
        <v>Não</v>
      </c>
      <c r="K138" s="4">
        <f>COUNTIFS(tItens[Edital],tEditais[[#This Row],[Edital]])</f>
        <v>61</v>
      </c>
      <c r="L138" s="4">
        <f>COUNTIFS(tItens[Edital],tEditais[[#This Row],[Edital]],tItens[Foco],"Sim")</f>
        <v>15</v>
      </c>
      <c r="M138" s="8">
        <f>SUMIFS(tItens[Valor],tItens[Edital],tEditais[[#This Row],[Edital]])</f>
        <v>312399.23</v>
      </c>
      <c r="N138" s="8">
        <f>SUMIFS(tItens[Valor homologado],tItens[Edital],tEditais[[#This Row],[Edital]],tItens[Foco],"Sim")</f>
        <v>6577.3329999999996</v>
      </c>
      <c r="O138" t="str">
        <f>IF(tEditais[[#This Row],[Itens do foco]]=0,"",IF(tEditais[[#This Row],[Valor foco homologado]]&lt;=0,"Sem valor",IF(tEditais[[#This Row],[Valor foco homologado]]&gt;=FaixaA_Min,"A",IF(tEditais[[#This Row],[Valor foco homologado]]&gt;=FaixaB_Min,"B","C"))))</f>
        <v>C</v>
      </c>
      <c r="P138" t="str">
        <f ca="1">IF(tEditais[[#This Row],[Encerramento]]&gt;NOW(),"Aberto","Encerrado")</f>
        <v>Encerrado</v>
      </c>
    </row>
    <row r="139" spans="1:16" x14ac:dyDescent="0.25">
      <c r="A139" t="s">
        <v>1168</v>
      </c>
      <c r="B139" t="s">
        <v>1169</v>
      </c>
      <c r="C139" t="s">
        <v>1170</v>
      </c>
      <c r="D139" t="s">
        <v>1144</v>
      </c>
      <c r="E139" t="s">
        <v>716</v>
      </c>
      <c r="F139" s="11">
        <v>46309.333333333336</v>
      </c>
      <c r="G139">
        <v>10</v>
      </c>
      <c r="I139" t="s">
        <v>1171</v>
      </c>
      <c r="J139" t="str">
        <f>IF(ISNUMBER(SEARCH("registro de pre",tEditais[[#This Row],[Objeto]])),"Sim","Não")</f>
        <v>Não</v>
      </c>
      <c r="K139" s="4">
        <f>COUNTIFS(tItens[Edital],tEditais[[#This Row],[Edital]])</f>
        <v>8</v>
      </c>
      <c r="L139" s="4">
        <f>COUNTIFS(tItens[Edital],tEditais[[#This Row],[Edital]],tItens[Foco],"Sim")</f>
        <v>0</v>
      </c>
      <c r="M139" s="8">
        <f>SUMIFS(tItens[Valor],tItens[Edital],tEditais[[#This Row],[Edital]])</f>
        <v>0</v>
      </c>
      <c r="N139" s="8">
        <f>SUMIFS(tItens[Valor homologado],tItens[Edital],tEditais[[#This Row],[Edital]],tItens[Foco],"Sim")</f>
        <v>0</v>
      </c>
      <c r="O139" t="str">
        <f>IF(tEditais[[#This Row],[Itens do foco]]=0,"",IF(tEditais[[#This Row],[Valor foco homologado]]&lt;=0,"Sem valor",IF(tEditais[[#This Row],[Valor foco homologado]]&gt;=FaixaA_Min,"A",IF(tEditais[[#This Row],[Valor foco homologado]]&gt;=FaixaB_Min,"B","C"))))</f>
        <v/>
      </c>
      <c r="P139" t="str">
        <f ca="1">IF(tEditais[[#This Row],[Encerramento]]&gt;NOW(),"Aberto","Encerrado")</f>
        <v>Encerrado</v>
      </c>
    </row>
    <row r="140" spans="1:16" x14ac:dyDescent="0.25">
      <c r="A140" t="s">
        <v>1172</v>
      </c>
      <c r="B140" t="s">
        <v>1173</v>
      </c>
      <c r="C140" t="s">
        <v>1174</v>
      </c>
      <c r="D140" t="s">
        <v>1144</v>
      </c>
      <c r="E140" t="s">
        <v>716</v>
      </c>
      <c r="F140" s="11">
        <v>46309.333333333336</v>
      </c>
      <c r="G140">
        <v>108</v>
      </c>
      <c r="I140" t="s">
        <v>1175</v>
      </c>
      <c r="J140" t="str">
        <f>IF(ISNUMBER(SEARCH("registro de pre",tEditais[[#This Row],[Objeto]])),"Sim","Não")</f>
        <v>Sim</v>
      </c>
      <c r="K140" s="4">
        <f>COUNTIFS(tItens[Edital],tEditais[[#This Row],[Edital]])</f>
        <v>16</v>
      </c>
      <c r="L140" s="4">
        <f>COUNTIFS(tItens[Edital],tEditais[[#This Row],[Edital]],tItens[Foco],"Sim")</f>
        <v>2</v>
      </c>
      <c r="M140" s="8">
        <f>SUMIFS(tItens[Valor],tItens[Edital],tEditais[[#This Row],[Edital]])</f>
        <v>84266.64999999998</v>
      </c>
      <c r="N140" s="8">
        <f>SUMIFS(tItens[Valor homologado],tItens[Edital],tEditais[[#This Row],[Edital]],tItens[Foco],"Sim")</f>
        <v>2002.3020000000001</v>
      </c>
      <c r="O140" t="str">
        <f>IF(tEditais[[#This Row],[Itens do foco]]=0,"",IF(tEditais[[#This Row],[Valor foco homologado]]&lt;=0,"Sem valor",IF(tEditais[[#This Row],[Valor foco homologado]]&gt;=FaixaA_Min,"A",IF(tEditais[[#This Row],[Valor foco homologado]]&gt;=FaixaB_Min,"B","C"))))</f>
        <v>C</v>
      </c>
      <c r="P140" t="str">
        <f ca="1">IF(tEditais[[#This Row],[Encerramento]]&gt;NOW(),"Aberto","Encerrado")</f>
        <v>Encerrado</v>
      </c>
    </row>
    <row r="141" spans="1:16" x14ac:dyDescent="0.25">
      <c r="A141" t="s">
        <v>1176</v>
      </c>
      <c r="B141" t="s">
        <v>1177</v>
      </c>
      <c r="C141" t="s">
        <v>1178</v>
      </c>
      <c r="D141" t="s">
        <v>1144</v>
      </c>
      <c r="E141" t="s">
        <v>716</v>
      </c>
      <c r="F141" s="11">
        <v>46309.354166666664</v>
      </c>
      <c r="G141">
        <v>232</v>
      </c>
      <c r="H141" t="s">
        <v>1179</v>
      </c>
      <c r="I141" t="s">
        <v>1180</v>
      </c>
      <c r="J141" t="str">
        <f>IF(ISNUMBER(SEARCH("registro de pre",tEditais[[#This Row],[Objeto]])),"Sim","Não")</f>
        <v>Sim</v>
      </c>
      <c r="K141" s="4">
        <f>COUNTIFS(tItens[Edital],tEditais[[#This Row],[Edital]])</f>
        <v>3</v>
      </c>
      <c r="L141" s="4">
        <f>COUNTIFS(tItens[Edital],tEditais[[#This Row],[Edital]],tItens[Foco],"Sim")</f>
        <v>0</v>
      </c>
      <c r="M141" s="8">
        <f>SUMIFS(tItens[Valor],tItens[Edital],tEditais[[#This Row],[Edital]])</f>
        <v>15100</v>
      </c>
      <c r="N141" s="8">
        <f>SUMIFS(tItens[Valor homologado],tItens[Edital],tEditais[[#This Row],[Edital]],tItens[Foco],"Sim")</f>
        <v>0</v>
      </c>
      <c r="O141" t="str">
        <f>IF(tEditais[[#This Row],[Itens do foco]]=0,"",IF(tEditais[[#This Row],[Valor foco homologado]]&lt;=0,"Sem valor",IF(tEditais[[#This Row],[Valor foco homologado]]&gt;=FaixaA_Min,"A",IF(tEditais[[#This Row],[Valor foco homologado]]&gt;=FaixaB_Min,"B","C"))))</f>
        <v/>
      </c>
      <c r="P141" t="str">
        <f ca="1">IF(tEditais[[#This Row],[Encerramento]]&gt;NOW(),"Aberto","Encerrado")</f>
        <v>Encerrado</v>
      </c>
    </row>
    <row r="142" spans="1:16" x14ac:dyDescent="0.25">
      <c r="A142" t="s">
        <v>1181</v>
      </c>
      <c r="B142" t="s">
        <v>752</v>
      </c>
      <c r="C142" t="s">
        <v>1182</v>
      </c>
      <c r="D142" t="s">
        <v>1144</v>
      </c>
      <c r="E142" t="s">
        <v>716</v>
      </c>
      <c r="F142" s="11">
        <v>46309.354166666664</v>
      </c>
      <c r="G142">
        <v>32</v>
      </c>
      <c r="H142" t="s">
        <v>1183</v>
      </c>
      <c r="I142" t="s">
        <v>1184</v>
      </c>
      <c r="J142" t="str">
        <f>IF(ISNUMBER(SEARCH("registro de pre",tEditais[[#This Row],[Objeto]])),"Sim","Não")</f>
        <v>Sim</v>
      </c>
      <c r="K142" s="4">
        <f>COUNTIFS(tItens[Edital],tEditais[[#This Row],[Edital]])</f>
        <v>11</v>
      </c>
      <c r="L142" s="4">
        <f>COUNTIFS(tItens[Edital],tEditais[[#This Row],[Edital]],tItens[Foco],"Sim")</f>
        <v>0</v>
      </c>
      <c r="M142" s="8">
        <f>SUMIFS(tItens[Valor],tItens[Edital],tEditais[[#This Row],[Edital]])</f>
        <v>617511.6</v>
      </c>
      <c r="N142" s="8">
        <f>SUMIFS(tItens[Valor homologado],tItens[Edital],tEditais[[#This Row],[Edital]],tItens[Foco],"Sim")</f>
        <v>0</v>
      </c>
      <c r="O142" t="str">
        <f>IF(tEditais[[#This Row],[Itens do foco]]=0,"",IF(tEditais[[#This Row],[Valor foco homologado]]&lt;=0,"Sem valor",IF(tEditais[[#This Row],[Valor foco homologado]]&gt;=FaixaA_Min,"A",IF(tEditais[[#This Row],[Valor foco homologado]]&gt;=FaixaB_Min,"B","C"))))</f>
        <v/>
      </c>
      <c r="P142" t="str">
        <f ca="1">IF(tEditais[[#This Row],[Encerramento]]&gt;NOW(),"Aberto","Encerrado")</f>
        <v>Encerrado</v>
      </c>
    </row>
    <row r="143" spans="1:16" x14ac:dyDescent="0.25">
      <c r="A143" t="s">
        <v>1185</v>
      </c>
      <c r="B143" t="s">
        <v>1186</v>
      </c>
      <c r="C143" t="s">
        <v>1187</v>
      </c>
      <c r="D143" t="s">
        <v>1144</v>
      </c>
      <c r="E143" t="s">
        <v>716</v>
      </c>
      <c r="F143" s="11">
        <v>46310.291666666664</v>
      </c>
      <c r="G143">
        <v>19</v>
      </c>
      <c r="I143" t="s">
        <v>1188</v>
      </c>
      <c r="J143" t="str">
        <f>IF(ISNUMBER(SEARCH("registro de pre",tEditais[[#This Row],[Objeto]])),"Sim","Não")</f>
        <v>Não</v>
      </c>
      <c r="K143" s="4">
        <f>COUNTIFS(tItens[Edital],tEditais[[#This Row],[Edital]])</f>
        <v>4</v>
      </c>
      <c r="L143" s="4">
        <f>COUNTIFS(tItens[Edital],tEditais[[#This Row],[Edital]],tItens[Foco],"Sim")</f>
        <v>0</v>
      </c>
      <c r="M143" s="8">
        <f>SUMIFS(tItens[Valor],tItens[Edital],tEditais[[#This Row],[Edital]])</f>
        <v>24091.5</v>
      </c>
      <c r="N143" s="8">
        <f>SUMIFS(tItens[Valor homologado],tItens[Edital],tEditais[[#This Row],[Edital]],tItens[Foco],"Sim")</f>
        <v>0</v>
      </c>
      <c r="O143" t="str">
        <f>IF(tEditais[[#This Row],[Itens do foco]]=0,"",IF(tEditais[[#This Row],[Valor foco homologado]]&lt;=0,"Sem valor",IF(tEditais[[#This Row],[Valor foco homologado]]&gt;=FaixaA_Min,"A",IF(tEditais[[#This Row],[Valor foco homologado]]&gt;=FaixaB_Min,"B","C"))))</f>
        <v/>
      </c>
      <c r="P143" t="str">
        <f ca="1">IF(tEditais[[#This Row],[Encerramento]]&gt;NOW(),"Aberto","Encerrado")</f>
        <v>Encerrado</v>
      </c>
    </row>
    <row r="144" spans="1:16" x14ac:dyDescent="0.25">
      <c r="A144" t="s">
        <v>1189</v>
      </c>
      <c r="B144" t="s">
        <v>1190</v>
      </c>
      <c r="C144" t="s">
        <v>1191</v>
      </c>
      <c r="D144" t="s">
        <v>1144</v>
      </c>
      <c r="E144" t="s">
        <v>716</v>
      </c>
      <c r="F144" s="11">
        <v>46310.3125</v>
      </c>
      <c r="G144">
        <v>422</v>
      </c>
      <c r="I144" t="s">
        <v>1192</v>
      </c>
      <c r="J144" t="str">
        <f>IF(ISNUMBER(SEARCH("registro de pre",tEditais[[#This Row],[Objeto]])),"Sim","Não")</f>
        <v>Sim</v>
      </c>
      <c r="K144" s="4">
        <f>COUNTIFS(tItens[Edital],tEditais[[#This Row],[Edital]])</f>
        <v>36</v>
      </c>
      <c r="L144" s="4">
        <f>COUNTIFS(tItens[Edital],tEditais[[#This Row],[Edital]],tItens[Foco],"Sim")</f>
        <v>15</v>
      </c>
      <c r="M144" s="8">
        <f>SUMIFS(tItens[Valor],tItens[Edital],tEditais[[#This Row],[Edital]])</f>
        <v>192307.3</v>
      </c>
      <c r="N144" s="8">
        <f>SUMIFS(tItens[Valor homologado],tItens[Edital],tEditais[[#This Row],[Edital]],tItens[Foco],"Sim")</f>
        <v>36275.484000000011</v>
      </c>
      <c r="O144" t="str">
        <f>IF(tEditais[[#This Row],[Itens do foco]]=0,"",IF(tEditais[[#This Row],[Valor foco homologado]]&lt;=0,"Sem valor",IF(tEditais[[#This Row],[Valor foco homologado]]&gt;=FaixaA_Min,"A",IF(tEditais[[#This Row],[Valor foco homologado]]&gt;=FaixaB_Min,"B","C"))))</f>
        <v>C</v>
      </c>
      <c r="P144" t="str">
        <f ca="1">IF(tEditais[[#This Row],[Encerramento]]&gt;NOW(),"Aberto","Encerrado")</f>
        <v>Encerrado</v>
      </c>
    </row>
    <row r="145" spans="1:16" x14ac:dyDescent="0.25">
      <c r="A145" t="s">
        <v>1193</v>
      </c>
      <c r="B145" t="s">
        <v>1194</v>
      </c>
      <c r="C145" t="s">
        <v>1195</v>
      </c>
      <c r="D145" t="s">
        <v>1144</v>
      </c>
      <c r="E145" t="s">
        <v>716</v>
      </c>
      <c r="F145" s="11">
        <v>46310.333333333336</v>
      </c>
      <c r="G145">
        <v>391</v>
      </c>
      <c r="I145" t="s">
        <v>1196</v>
      </c>
      <c r="J145" t="str">
        <f>IF(ISNUMBER(SEARCH("registro de pre",tEditais[[#This Row],[Objeto]])),"Sim","Não")</f>
        <v>Não</v>
      </c>
      <c r="K145" s="4">
        <f>COUNTIFS(tItens[Edital],tEditais[[#This Row],[Edital]])</f>
        <v>134</v>
      </c>
      <c r="L145" s="4">
        <f>COUNTIFS(tItens[Edital],tEditais[[#This Row],[Edital]],tItens[Foco],"Sim")</f>
        <v>25</v>
      </c>
      <c r="M145" s="8">
        <f>SUMIFS(tItens[Valor],tItens[Edital],tEditais[[#This Row],[Edital]])</f>
        <v>1449737.8000000003</v>
      </c>
      <c r="N145" s="8">
        <f>SUMIFS(tItens[Valor homologado],tItens[Edital],tEditais[[#This Row],[Edital]],tItens[Foco],"Sim")</f>
        <v>196098.58400000003</v>
      </c>
      <c r="O145" t="str">
        <f>IF(tEditais[[#This Row],[Itens do foco]]=0,"",IF(tEditais[[#This Row],[Valor foco homologado]]&lt;=0,"Sem valor",IF(tEditais[[#This Row],[Valor foco homologado]]&gt;=FaixaA_Min,"A",IF(tEditais[[#This Row],[Valor foco homologado]]&gt;=FaixaB_Min,"B","C"))))</f>
        <v>A</v>
      </c>
      <c r="P145" t="str">
        <f ca="1">IF(tEditais[[#This Row],[Encerramento]]&gt;NOW(),"Aberto","Encerrado")</f>
        <v>Encerrado</v>
      </c>
    </row>
    <row r="146" spans="1:16" x14ac:dyDescent="0.25">
      <c r="A146" t="s">
        <v>1197</v>
      </c>
      <c r="B146" t="s">
        <v>1198</v>
      </c>
      <c r="C146" t="s">
        <v>1199</v>
      </c>
      <c r="D146" t="s">
        <v>1144</v>
      </c>
      <c r="E146" t="s">
        <v>716</v>
      </c>
      <c r="F146" s="11">
        <v>46310.374305555553</v>
      </c>
      <c r="G146">
        <v>148</v>
      </c>
      <c r="I146" t="s">
        <v>1200</v>
      </c>
      <c r="J146" t="str">
        <f>IF(ISNUMBER(SEARCH("registro de pre",tEditais[[#This Row],[Objeto]])),"Sim","Não")</f>
        <v>Sim</v>
      </c>
      <c r="K146" s="4">
        <f>COUNTIFS(tItens[Edital],tEditais[[#This Row],[Edital]])</f>
        <v>44</v>
      </c>
      <c r="L146" s="4">
        <f>COUNTIFS(tItens[Edital],tEditais[[#This Row],[Edital]],tItens[Foco],"Sim")</f>
        <v>3</v>
      </c>
      <c r="M146" s="8">
        <f>SUMIFS(tItens[Valor],tItens[Edital],tEditais[[#This Row],[Edital]])</f>
        <v>1326589.45</v>
      </c>
      <c r="N146" s="8">
        <f>SUMIFS(tItens[Valor homologado],tItens[Edital],tEditais[[#This Row],[Edital]],tItens[Foco],"Sim")</f>
        <v>30283.157999999999</v>
      </c>
      <c r="O146" t="str">
        <f>IF(tEditais[[#This Row],[Itens do foco]]=0,"",IF(tEditais[[#This Row],[Valor foco homologado]]&lt;=0,"Sem valor",IF(tEditais[[#This Row],[Valor foco homologado]]&gt;=FaixaA_Min,"A",IF(tEditais[[#This Row],[Valor foco homologado]]&gt;=FaixaB_Min,"B","C"))))</f>
        <v>C</v>
      </c>
      <c r="P146" t="str">
        <f ca="1">IF(tEditais[[#This Row],[Encerramento]]&gt;NOW(),"Aberto","Encerrado")</f>
        <v>Encerrado</v>
      </c>
    </row>
    <row r="147" spans="1:16" x14ac:dyDescent="0.25">
      <c r="A147" t="s">
        <v>1201</v>
      </c>
      <c r="B147" t="s">
        <v>1202</v>
      </c>
      <c r="C147" t="s">
        <v>1203</v>
      </c>
      <c r="D147" t="s">
        <v>1144</v>
      </c>
      <c r="E147" t="s">
        <v>716</v>
      </c>
      <c r="F147" s="11">
        <v>46310.416666666664</v>
      </c>
      <c r="G147">
        <v>23</v>
      </c>
      <c r="I147" t="s">
        <v>1204</v>
      </c>
      <c r="J147" t="str">
        <f>IF(ISNUMBER(SEARCH("registro de pre",tEditais[[#This Row],[Objeto]])),"Sim","Não")</f>
        <v>Não</v>
      </c>
      <c r="K147" s="4">
        <f>COUNTIFS(tItens[Edital],tEditais[[#This Row],[Edital]])</f>
        <v>6</v>
      </c>
      <c r="L147" s="4">
        <f>COUNTIFS(tItens[Edital],tEditais[[#This Row],[Edital]],tItens[Foco],"Sim")</f>
        <v>0</v>
      </c>
      <c r="M147" s="8">
        <f>SUMIFS(tItens[Valor],tItens[Edital],tEditais[[#This Row],[Edital]])</f>
        <v>2806.2</v>
      </c>
      <c r="N147" s="8">
        <f>SUMIFS(tItens[Valor homologado],tItens[Edital],tEditais[[#This Row],[Edital]],tItens[Foco],"Sim")</f>
        <v>0</v>
      </c>
      <c r="O147" t="str">
        <f>IF(tEditais[[#This Row],[Itens do foco]]=0,"",IF(tEditais[[#This Row],[Valor foco homologado]]&lt;=0,"Sem valor",IF(tEditais[[#This Row],[Valor foco homologado]]&gt;=FaixaA_Min,"A",IF(tEditais[[#This Row],[Valor foco homologado]]&gt;=FaixaB_Min,"B","C"))))</f>
        <v/>
      </c>
      <c r="P147" t="str">
        <f ca="1">IF(tEditais[[#This Row],[Encerramento]]&gt;NOW(),"Aberto","Encerrado")</f>
        <v>Encerrado</v>
      </c>
    </row>
    <row r="148" spans="1:16" x14ac:dyDescent="0.25">
      <c r="A148" t="s">
        <v>1205</v>
      </c>
      <c r="B148" t="s">
        <v>1206</v>
      </c>
      <c r="C148" t="s">
        <v>1207</v>
      </c>
      <c r="D148" t="s">
        <v>1144</v>
      </c>
      <c r="E148" t="s">
        <v>716</v>
      </c>
      <c r="F148" s="11">
        <v>46311.319444444445</v>
      </c>
      <c r="G148">
        <v>156</v>
      </c>
      <c r="I148" t="s">
        <v>1208</v>
      </c>
      <c r="J148" t="str">
        <f>IF(ISNUMBER(SEARCH("registro de pre",tEditais[[#This Row],[Objeto]])),"Sim","Não")</f>
        <v>Sim</v>
      </c>
      <c r="K148" s="4">
        <f>COUNTIFS(tItens[Edital],tEditais[[#This Row],[Edital]])</f>
        <v>48</v>
      </c>
      <c r="L148" s="4">
        <f>COUNTIFS(tItens[Edital],tEditais[[#This Row],[Edital]],tItens[Foco],"Sim")</f>
        <v>6</v>
      </c>
      <c r="M148" s="8">
        <f>SUMIFS(tItens[Valor],tItens[Edital],tEditais[[#This Row],[Edital]])</f>
        <v>82479.909999999989</v>
      </c>
      <c r="N148" s="8">
        <f>SUMIFS(tItens[Valor homologado],tItens[Edital],tEditais[[#This Row],[Edital]],tItens[Foco],"Sim")</f>
        <v>8710.8499999999985</v>
      </c>
      <c r="O148" t="str">
        <f>IF(tEditais[[#This Row],[Itens do foco]]=0,"",IF(tEditais[[#This Row],[Valor foco homologado]]&lt;=0,"Sem valor",IF(tEditais[[#This Row],[Valor foco homologado]]&gt;=FaixaA_Min,"A",IF(tEditais[[#This Row],[Valor foco homologado]]&gt;=FaixaB_Min,"B","C"))))</f>
        <v>C</v>
      </c>
      <c r="P148" t="str">
        <f ca="1">IF(tEditais[[#This Row],[Encerramento]]&gt;NOW(),"Aberto","Encerrado")</f>
        <v>Aberto</v>
      </c>
    </row>
    <row r="149" spans="1:16" x14ac:dyDescent="0.25">
      <c r="A149" t="s">
        <v>1209</v>
      </c>
      <c r="B149" t="s">
        <v>752</v>
      </c>
      <c r="C149" t="s">
        <v>1210</v>
      </c>
      <c r="D149" t="s">
        <v>1144</v>
      </c>
      <c r="E149" t="s">
        <v>716</v>
      </c>
      <c r="F149" s="11">
        <v>46311.333333333336</v>
      </c>
      <c r="G149">
        <v>250</v>
      </c>
      <c r="I149" t="s">
        <v>1211</v>
      </c>
      <c r="J149" t="str">
        <f>IF(ISNUMBER(SEARCH("registro de pre",tEditais[[#This Row],[Objeto]])),"Sim","Não")</f>
        <v>Sim</v>
      </c>
      <c r="K149" s="4">
        <f>COUNTIFS(tItens[Edital],tEditais[[#This Row],[Edital]])</f>
        <v>100</v>
      </c>
      <c r="L149" s="4">
        <f>COUNTIFS(tItens[Edital],tEditais[[#This Row],[Edital]],tItens[Foco],"Sim")</f>
        <v>20</v>
      </c>
      <c r="M149" s="8">
        <f>SUMIFS(tItens[Valor],tItens[Edital],tEditais[[#This Row],[Edital]])</f>
        <v>5939456.8499999996</v>
      </c>
      <c r="N149" s="8">
        <f>SUMIFS(tItens[Valor homologado],tItens[Edital],tEditais[[#This Row],[Edital]],tItens[Foco],"Sim")</f>
        <v>210654.41000000003</v>
      </c>
      <c r="O149" t="str">
        <f>IF(tEditais[[#This Row],[Itens do foco]]=0,"",IF(tEditais[[#This Row],[Valor foco homologado]]&lt;=0,"Sem valor",IF(tEditais[[#This Row],[Valor foco homologado]]&gt;=FaixaA_Min,"A",IF(tEditais[[#This Row],[Valor foco homologado]]&gt;=FaixaB_Min,"B","C"))))</f>
        <v>A</v>
      </c>
      <c r="P149" t="str">
        <f ca="1">IF(tEditais[[#This Row],[Encerramento]]&gt;NOW(),"Aberto","Encerrado")</f>
        <v>Aberto</v>
      </c>
    </row>
    <row r="150" spans="1:16" x14ac:dyDescent="0.25">
      <c r="A150" t="s">
        <v>1212</v>
      </c>
      <c r="B150" t="s">
        <v>1213</v>
      </c>
      <c r="C150" t="s">
        <v>1214</v>
      </c>
      <c r="D150" t="s">
        <v>1144</v>
      </c>
      <c r="E150" t="s">
        <v>800</v>
      </c>
      <c r="F150" s="11">
        <v>46311.333333333336</v>
      </c>
      <c r="G150">
        <v>15</v>
      </c>
      <c r="I150" t="s">
        <v>1215</v>
      </c>
      <c r="J150" t="str">
        <f>IF(ISNUMBER(SEARCH("registro de pre",tEditais[[#This Row],[Objeto]])),"Sim","Não")</f>
        <v>Não</v>
      </c>
      <c r="K150" s="4">
        <f>COUNTIFS(tItens[Edital],tEditais[[#This Row],[Edital]])</f>
        <v>1</v>
      </c>
      <c r="L150" s="4">
        <f>COUNTIFS(tItens[Edital],tEditais[[#This Row],[Edital]],tItens[Foco],"Sim")</f>
        <v>0</v>
      </c>
      <c r="M150" s="8">
        <f>SUMIFS(tItens[Valor],tItens[Edital],tEditais[[#This Row],[Edital]])</f>
        <v>1213.6600000000001</v>
      </c>
      <c r="N150" s="8">
        <f>SUMIFS(tItens[Valor homologado],tItens[Edital],tEditais[[#This Row],[Edital]],tItens[Foco],"Sim")</f>
        <v>0</v>
      </c>
      <c r="O150" t="str">
        <f>IF(tEditais[[#This Row],[Itens do foco]]=0,"",IF(tEditais[[#This Row],[Valor foco homologado]]&lt;=0,"Sem valor",IF(tEditais[[#This Row],[Valor foco homologado]]&gt;=FaixaA_Min,"A",IF(tEditais[[#This Row],[Valor foco homologado]]&gt;=FaixaB_Min,"B","C"))))</f>
        <v/>
      </c>
      <c r="P150" t="str">
        <f ca="1">IF(tEditais[[#This Row],[Encerramento]]&gt;NOW(),"Aberto","Encerrado")</f>
        <v>Aberto</v>
      </c>
    </row>
    <row r="151" spans="1:16" x14ac:dyDescent="0.25">
      <c r="A151" t="s">
        <v>1216</v>
      </c>
      <c r="B151" t="s">
        <v>752</v>
      </c>
      <c r="C151" t="s">
        <v>1217</v>
      </c>
      <c r="D151" t="s">
        <v>1144</v>
      </c>
      <c r="E151" t="s">
        <v>716</v>
      </c>
      <c r="F151" s="11">
        <v>46311.333333333336</v>
      </c>
      <c r="G151">
        <v>1261</v>
      </c>
      <c r="I151" t="s">
        <v>1218</v>
      </c>
      <c r="J151" t="str">
        <f>IF(ISNUMBER(SEARCH("registro de pre",tEditais[[#This Row],[Objeto]])),"Sim","Não")</f>
        <v>Sim</v>
      </c>
      <c r="K151" s="4">
        <f>COUNTIFS(tItens[Edital],tEditais[[#This Row],[Edital]])</f>
        <v>186</v>
      </c>
      <c r="L151" s="4">
        <f>COUNTIFS(tItens[Edital],tEditais[[#This Row],[Edital]],tItens[Foco],"Sim")</f>
        <v>42</v>
      </c>
      <c r="M151" s="8">
        <f>SUMIFS(tItens[Valor],tItens[Edital],tEditais[[#This Row],[Edital]])</f>
        <v>1178171.8000000003</v>
      </c>
      <c r="N151" s="8">
        <f>SUMIFS(tItens[Valor homologado],tItens[Edital],tEditais[[#This Row],[Edital]],tItens[Foco],"Sim")</f>
        <v>192263.46500000011</v>
      </c>
      <c r="O151" t="str">
        <f>IF(tEditais[[#This Row],[Itens do foco]]=0,"",IF(tEditais[[#This Row],[Valor foco homologado]]&lt;=0,"Sem valor",IF(tEditais[[#This Row],[Valor foco homologado]]&gt;=FaixaA_Min,"A",IF(tEditais[[#This Row],[Valor foco homologado]]&gt;=FaixaB_Min,"B","C"))))</f>
        <v>A</v>
      </c>
      <c r="P151" t="str">
        <f ca="1">IF(tEditais[[#This Row],[Encerramento]]&gt;NOW(),"Aberto","Encerrado")</f>
        <v>Aberto</v>
      </c>
    </row>
    <row r="152" spans="1:16" x14ac:dyDescent="0.25">
      <c r="A152" t="s">
        <v>1219</v>
      </c>
      <c r="B152" t="s">
        <v>1220</v>
      </c>
      <c r="C152" t="s">
        <v>1221</v>
      </c>
      <c r="D152" t="s">
        <v>1144</v>
      </c>
      <c r="E152" t="s">
        <v>716</v>
      </c>
      <c r="F152" s="11">
        <v>46311.354166666664</v>
      </c>
      <c r="G152">
        <v>68</v>
      </c>
      <c r="H152" t="s">
        <v>1222</v>
      </c>
      <c r="I152" t="s">
        <v>1223</v>
      </c>
      <c r="J152" t="str">
        <f>IF(ISNUMBER(SEARCH("registro de pre",tEditais[[#This Row],[Objeto]])),"Sim","Não")</f>
        <v>Sim</v>
      </c>
      <c r="K152" s="4">
        <f>COUNTIFS(tItens[Edital],tEditais[[#This Row],[Edital]])</f>
        <v>32</v>
      </c>
      <c r="L152" s="4">
        <f>COUNTIFS(tItens[Edital],tEditais[[#This Row],[Edital]],tItens[Foco],"Sim")</f>
        <v>3</v>
      </c>
      <c r="M152" s="8">
        <f>SUMIFS(tItens[Valor],tItens[Edital],tEditais[[#This Row],[Edital]])</f>
        <v>1005663.6000000001</v>
      </c>
      <c r="N152" s="8">
        <f>SUMIFS(tItens[Valor homologado],tItens[Edital],tEditais[[#This Row],[Edital]],tItens[Foco],"Sim")</f>
        <v>4705.8689999999997</v>
      </c>
      <c r="O152" t="str">
        <f>IF(tEditais[[#This Row],[Itens do foco]]=0,"",IF(tEditais[[#This Row],[Valor foco homologado]]&lt;=0,"Sem valor",IF(tEditais[[#This Row],[Valor foco homologado]]&gt;=FaixaA_Min,"A",IF(tEditais[[#This Row],[Valor foco homologado]]&gt;=FaixaB_Min,"B","C"))))</f>
        <v>C</v>
      </c>
      <c r="P152" t="str">
        <f ca="1">IF(tEditais[[#This Row],[Encerramento]]&gt;NOW(),"Aberto","Encerrado")</f>
        <v>Aberto</v>
      </c>
    </row>
    <row r="153" spans="1:16" x14ac:dyDescent="0.25">
      <c r="A153" t="s">
        <v>1224</v>
      </c>
      <c r="B153" t="s">
        <v>1147</v>
      </c>
      <c r="C153" t="s">
        <v>1148</v>
      </c>
      <c r="D153" t="s">
        <v>1144</v>
      </c>
      <c r="E153" t="s">
        <v>716</v>
      </c>
      <c r="F153" s="11">
        <v>46311.75</v>
      </c>
      <c r="G153">
        <v>110</v>
      </c>
      <c r="I153" t="s">
        <v>1225</v>
      </c>
      <c r="J153" t="str">
        <f>IF(ISNUMBER(SEARCH("registro de pre",tEditais[[#This Row],[Objeto]])),"Sim","Não")</f>
        <v>Não</v>
      </c>
      <c r="K153" s="4">
        <f>COUNTIFS(tItens[Edital],tEditais[[#This Row],[Edital]])</f>
        <v>6</v>
      </c>
      <c r="L153" s="4">
        <f>COUNTIFS(tItens[Edital],tEditais[[#This Row],[Edital]],tItens[Foco],"Sim")</f>
        <v>1</v>
      </c>
      <c r="M153" s="8">
        <f>SUMIFS(tItens[Valor],tItens[Edital],tEditais[[#This Row],[Edital]])</f>
        <v>0</v>
      </c>
      <c r="N153" s="8">
        <f>SUMIFS(tItens[Valor homologado],tItens[Edital],tEditais[[#This Row],[Edital]],tItens[Foco],"Sim")</f>
        <v>0</v>
      </c>
      <c r="O153" t="str">
        <f>IF(tEditais[[#This Row],[Itens do foco]]=0,"",IF(tEditais[[#This Row],[Valor foco homologado]]&lt;=0,"Sem valor",IF(tEditais[[#This Row],[Valor foco homologado]]&gt;=FaixaA_Min,"A",IF(tEditais[[#This Row],[Valor foco homologado]]&gt;=FaixaB_Min,"B","C"))))</f>
        <v>Sem valor</v>
      </c>
      <c r="P153" t="str">
        <f ca="1">IF(tEditais[[#This Row],[Encerramento]]&gt;NOW(),"Aberto","Encerrado")</f>
        <v>Aberto</v>
      </c>
    </row>
    <row r="154" spans="1:16" x14ac:dyDescent="0.25">
      <c r="A154" t="s">
        <v>1226</v>
      </c>
      <c r="B154" t="s">
        <v>752</v>
      </c>
      <c r="C154" t="s">
        <v>1227</v>
      </c>
      <c r="D154" t="s">
        <v>1144</v>
      </c>
      <c r="E154" t="s">
        <v>716</v>
      </c>
      <c r="F154" s="11">
        <v>46314.3125</v>
      </c>
      <c r="G154">
        <v>184</v>
      </c>
      <c r="I154" t="s">
        <v>1228</v>
      </c>
      <c r="J154" t="str">
        <f>IF(ISNUMBER(SEARCH("registro de pre",tEditais[[#This Row],[Objeto]])),"Sim","Não")</f>
        <v>Sim</v>
      </c>
      <c r="K154" s="4">
        <f>COUNTIFS(tItens[Edital],tEditais[[#This Row],[Edital]])</f>
        <v>14</v>
      </c>
      <c r="L154" s="4">
        <f>COUNTIFS(tItens[Edital],tEditais[[#This Row],[Edital]],tItens[Foco],"Sim")</f>
        <v>2</v>
      </c>
      <c r="M154" s="8">
        <f>SUMIFS(tItens[Valor],tItens[Edital],tEditais[[#This Row],[Edital]])</f>
        <v>9883.7199999999993</v>
      </c>
      <c r="N154" s="8">
        <f>SUMIFS(tItens[Valor homologado],tItens[Edital],tEditais[[#This Row],[Edital]],tItens[Foco],"Sim")</f>
        <v>1498.104</v>
      </c>
      <c r="O154" t="str">
        <f>IF(tEditais[[#This Row],[Itens do foco]]=0,"",IF(tEditais[[#This Row],[Valor foco homologado]]&lt;=0,"Sem valor",IF(tEditais[[#This Row],[Valor foco homologado]]&gt;=FaixaA_Min,"A",IF(tEditais[[#This Row],[Valor foco homologado]]&gt;=FaixaB_Min,"B","C"))))</f>
        <v>C</v>
      </c>
      <c r="P154" t="str">
        <f ca="1">IF(tEditais[[#This Row],[Encerramento]]&gt;NOW(),"Aberto","Encerrado")</f>
        <v>Aberto</v>
      </c>
    </row>
    <row r="155" spans="1:16" x14ac:dyDescent="0.25">
      <c r="A155" t="s">
        <v>1229</v>
      </c>
      <c r="B155" t="s">
        <v>1230</v>
      </c>
      <c r="C155" t="s">
        <v>1227</v>
      </c>
      <c r="D155" t="s">
        <v>1144</v>
      </c>
      <c r="E155" t="s">
        <v>716</v>
      </c>
      <c r="F155" s="11">
        <v>46314.3125</v>
      </c>
      <c r="G155">
        <v>184</v>
      </c>
      <c r="H155" t="s">
        <v>1231</v>
      </c>
      <c r="I155" t="s">
        <v>1228</v>
      </c>
      <c r="J155" t="str">
        <f>IF(ISNUMBER(SEARCH("registro de pre",tEditais[[#This Row],[Objeto]])),"Sim","Não")</f>
        <v>Sim</v>
      </c>
      <c r="K155" s="4">
        <f>COUNTIFS(tItens[Edital],tEditais[[#This Row],[Edital]])</f>
        <v>14</v>
      </c>
      <c r="L155" s="4">
        <f>COUNTIFS(tItens[Edital],tEditais[[#This Row],[Edital]],tItens[Foco],"Sim")</f>
        <v>2</v>
      </c>
      <c r="M155" s="8">
        <f>SUMIFS(tItens[Valor],tItens[Edital],tEditais[[#This Row],[Edital]])</f>
        <v>9883.7199999999993</v>
      </c>
      <c r="N155" s="8">
        <f>SUMIFS(tItens[Valor homologado],tItens[Edital],tEditais[[#This Row],[Edital]],tItens[Foco],"Sim")</f>
        <v>1498.104</v>
      </c>
      <c r="O155" t="str">
        <f>IF(tEditais[[#This Row],[Itens do foco]]=0,"",IF(tEditais[[#This Row],[Valor foco homologado]]&lt;=0,"Sem valor",IF(tEditais[[#This Row],[Valor foco homologado]]&gt;=FaixaA_Min,"A",IF(tEditais[[#This Row],[Valor foco homologado]]&gt;=FaixaB_Min,"B","C"))))</f>
        <v>C</v>
      </c>
      <c r="P155" t="str">
        <f ca="1">IF(tEditais[[#This Row],[Encerramento]]&gt;NOW(),"Aberto","Encerrado")</f>
        <v>Aberto</v>
      </c>
    </row>
    <row r="156" spans="1:16" x14ac:dyDescent="0.25">
      <c r="A156" t="s">
        <v>1232</v>
      </c>
      <c r="B156" t="s">
        <v>739</v>
      </c>
      <c r="C156" t="s">
        <v>1233</v>
      </c>
      <c r="D156" t="s">
        <v>1234</v>
      </c>
      <c r="E156" t="s">
        <v>716</v>
      </c>
      <c r="F156" s="11">
        <v>46304.395833333336</v>
      </c>
      <c r="G156">
        <v>85</v>
      </c>
      <c r="H156" t="s">
        <v>1235</v>
      </c>
      <c r="I156" t="s">
        <v>1236</v>
      </c>
      <c r="J156" t="str">
        <f>IF(ISNUMBER(SEARCH("registro de pre",tEditais[[#This Row],[Objeto]])),"Sim","Não")</f>
        <v>Não</v>
      </c>
      <c r="K156" s="4">
        <f>COUNTIFS(tItens[Edital],tEditais[[#This Row],[Edital]])</f>
        <v>2</v>
      </c>
      <c r="L156" s="4">
        <f>COUNTIFS(tItens[Edital],tEditais[[#This Row],[Edital]],tItens[Foco],"Sim")</f>
        <v>0</v>
      </c>
      <c r="M156" s="8">
        <f>SUMIFS(tItens[Valor],tItens[Edital],tEditais[[#This Row],[Edital]])</f>
        <v>0</v>
      </c>
      <c r="N156" s="8">
        <f>SUMIFS(tItens[Valor homologado],tItens[Edital],tEditais[[#This Row],[Edital]],tItens[Foco],"Sim")</f>
        <v>0</v>
      </c>
      <c r="O156" t="str">
        <f>IF(tEditais[[#This Row],[Itens do foco]]=0,"",IF(tEditais[[#This Row],[Valor foco homologado]]&lt;=0,"Sem valor",IF(tEditais[[#This Row],[Valor foco homologado]]&gt;=FaixaA_Min,"A",IF(tEditais[[#This Row],[Valor foco homologado]]&gt;=FaixaB_Min,"B","C"))))</f>
        <v/>
      </c>
      <c r="P156" t="str">
        <f ca="1">IF(tEditais[[#This Row],[Encerramento]]&gt;NOW(),"Aberto","Encerrado")</f>
        <v>Encerrado</v>
      </c>
    </row>
    <row r="157" spans="1:16" x14ac:dyDescent="0.25">
      <c r="A157" t="s">
        <v>1237</v>
      </c>
      <c r="B157" t="s">
        <v>1238</v>
      </c>
      <c r="C157" t="s">
        <v>1239</v>
      </c>
      <c r="D157" t="s">
        <v>1234</v>
      </c>
      <c r="E157" t="s">
        <v>716</v>
      </c>
      <c r="F157" s="11">
        <v>46308.354166666664</v>
      </c>
      <c r="G157">
        <v>62</v>
      </c>
      <c r="H157" t="s">
        <v>1240</v>
      </c>
      <c r="I157" t="s">
        <v>1241</v>
      </c>
      <c r="J157" t="str">
        <f>IF(ISNUMBER(SEARCH("registro de pre",tEditais[[#This Row],[Objeto]])),"Sim","Não")</f>
        <v>Não</v>
      </c>
      <c r="K157" s="4">
        <f>COUNTIFS(tItens[Edital],tEditais[[#This Row],[Edital]])</f>
        <v>9</v>
      </c>
      <c r="L157" s="4">
        <f>COUNTIFS(tItens[Edital],tEditais[[#This Row],[Edital]],tItens[Foco],"Sim")</f>
        <v>3</v>
      </c>
      <c r="M157" s="8">
        <f>SUMIFS(tItens[Valor],tItens[Edital],tEditais[[#This Row],[Edital]])</f>
        <v>274965</v>
      </c>
      <c r="N157" s="8">
        <f>SUMIFS(tItens[Valor homologado],tItens[Edital],tEditais[[#This Row],[Edital]],tItens[Foco],"Sim")</f>
        <v>87148.799999999988</v>
      </c>
      <c r="O157" t="str">
        <f>IF(tEditais[[#This Row],[Itens do foco]]=0,"",IF(tEditais[[#This Row],[Valor foco homologado]]&lt;=0,"Sem valor",IF(tEditais[[#This Row],[Valor foco homologado]]&gt;=FaixaA_Min,"A",IF(tEditais[[#This Row],[Valor foco homologado]]&gt;=FaixaB_Min,"B","C"))))</f>
        <v>B</v>
      </c>
      <c r="P157" t="str">
        <f ca="1">IF(tEditais[[#This Row],[Encerramento]]&gt;NOW(),"Aberto","Encerrado")</f>
        <v>Encerrado</v>
      </c>
    </row>
    <row r="158" spans="1:16" x14ac:dyDescent="0.25">
      <c r="A158" t="s">
        <v>1242</v>
      </c>
      <c r="B158" t="s">
        <v>1243</v>
      </c>
      <c r="C158" t="s">
        <v>1244</v>
      </c>
      <c r="D158" t="s">
        <v>1234</v>
      </c>
      <c r="E158" t="s">
        <v>716</v>
      </c>
      <c r="F158" s="11">
        <v>46309.333333333336</v>
      </c>
      <c r="G158">
        <v>185</v>
      </c>
      <c r="H158" t="s">
        <v>1245</v>
      </c>
      <c r="I158" t="s">
        <v>1246</v>
      </c>
      <c r="J158" t="str">
        <f>IF(ISNUMBER(SEARCH("registro de pre",tEditais[[#This Row],[Objeto]])),"Sim","Não")</f>
        <v>Não</v>
      </c>
      <c r="K158" s="4">
        <f>COUNTIFS(tItens[Edital],tEditais[[#This Row],[Edital]])</f>
        <v>1</v>
      </c>
      <c r="L158" s="4">
        <f>COUNTIFS(tItens[Edital],tEditais[[#This Row],[Edital]],tItens[Foco],"Sim")</f>
        <v>0</v>
      </c>
      <c r="M158" s="8">
        <f>SUMIFS(tItens[Valor],tItens[Edital],tEditais[[#This Row],[Edital]])</f>
        <v>545.90000000000009</v>
      </c>
      <c r="N158" s="8">
        <f>SUMIFS(tItens[Valor homologado],tItens[Edital],tEditais[[#This Row],[Edital]],tItens[Foco],"Sim")</f>
        <v>0</v>
      </c>
      <c r="O158" t="str">
        <f>IF(tEditais[[#This Row],[Itens do foco]]=0,"",IF(tEditais[[#This Row],[Valor foco homologado]]&lt;=0,"Sem valor",IF(tEditais[[#This Row],[Valor foco homologado]]&gt;=FaixaA_Min,"A",IF(tEditais[[#This Row],[Valor foco homologado]]&gt;=FaixaB_Min,"B","C"))))</f>
        <v/>
      </c>
      <c r="P158" t="str">
        <f ca="1">IF(tEditais[[#This Row],[Encerramento]]&gt;NOW(),"Aberto","Encerrado")</f>
        <v>Encerrado</v>
      </c>
    </row>
    <row r="159" spans="1:16" x14ac:dyDescent="0.25">
      <c r="A159" t="s">
        <v>1247</v>
      </c>
      <c r="B159" t="s">
        <v>1248</v>
      </c>
      <c r="C159" t="s">
        <v>1249</v>
      </c>
      <c r="D159" t="s">
        <v>1234</v>
      </c>
      <c r="E159" t="s">
        <v>716</v>
      </c>
      <c r="F159" s="11">
        <v>46309.374305555553</v>
      </c>
      <c r="G159">
        <v>50</v>
      </c>
      <c r="I159" t="s">
        <v>1250</v>
      </c>
      <c r="J159" t="str">
        <f>IF(ISNUMBER(SEARCH("registro de pre",tEditais[[#This Row],[Objeto]])),"Sim","Não")</f>
        <v>Sim</v>
      </c>
      <c r="K159" s="4">
        <f>COUNTIFS(tItens[Edital],tEditais[[#This Row],[Edital]])</f>
        <v>2</v>
      </c>
      <c r="L159" s="4">
        <f>COUNTIFS(tItens[Edital],tEditais[[#This Row],[Edital]],tItens[Foco],"Sim")</f>
        <v>0</v>
      </c>
      <c r="M159" s="8">
        <f>SUMIFS(tItens[Valor],tItens[Edital],tEditais[[#This Row],[Edital]])</f>
        <v>0</v>
      </c>
      <c r="N159" s="8">
        <f>SUMIFS(tItens[Valor homologado],tItens[Edital],tEditais[[#This Row],[Edital]],tItens[Foco],"Sim")</f>
        <v>0</v>
      </c>
      <c r="O159" t="str">
        <f>IF(tEditais[[#This Row],[Itens do foco]]=0,"",IF(tEditais[[#This Row],[Valor foco homologado]]&lt;=0,"Sem valor",IF(tEditais[[#This Row],[Valor foco homologado]]&gt;=FaixaA_Min,"A",IF(tEditais[[#This Row],[Valor foco homologado]]&gt;=FaixaB_Min,"B","C"))))</f>
        <v/>
      </c>
      <c r="P159" t="str">
        <f ca="1">IF(tEditais[[#This Row],[Encerramento]]&gt;NOW(),"Aberto","Encerrado")</f>
        <v>Encerrado</v>
      </c>
    </row>
    <row r="160" spans="1:16" x14ac:dyDescent="0.25">
      <c r="A160" t="s">
        <v>1251</v>
      </c>
      <c r="B160" t="s">
        <v>1252</v>
      </c>
      <c r="C160" t="s">
        <v>1253</v>
      </c>
      <c r="D160" t="s">
        <v>1234</v>
      </c>
      <c r="E160" t="s">
        <v>716</v>
      </c>
      <c r="F160" s="11">
        <v>46309.375</v>
      </c>
      <c r="G160">
        <v>140</v>
      </c>
      <c r="H160" t="s">
        <v>1254</v>
      </c>
      <c r="I160" t="s">
        <v>1255</v>
      </c>
      <c r="J160" t="str">
        <f>IF(ISNUMBER(SEARCH("registro de pre",tEditais[[#This Row],[Objeto]])),"Sim","Não")</f>
        <v>Sim</v>
      </c>
      <c r="K160" s="4">
        <f>COUNTIFS(tItens[Edital],tEditais[[#This Row],[Edital]])</f>
        <v>10</v>
      </c>
      <c r="L160" s="4">
        <f>COUNTIFS(tItens[Edital],tEditais[[#This Row],[Edital]],tItens[Foco],"Sim")</f>
        <v>4</v>
      </c>
      <c r="M160" s="8">
        <f>SUMIFS(tItens[Valor],tItens[Edital],tEditais[[#This Row],[Edital]])</f>
        <v>0</v>
      </c>
      <c r="N160" s="8">
        <f>SUMIFS(tItens[Valor homologado],tItens[Edital],tEditais[[#This Row],[Edital]],tItens[Foco],"Sim")</f>
        <v>0</v>
      </c>
      <c r="O160" t="str">
        <f>IF(tEditais[[#This Row],[Itens do foco]]=0,"",IF(tEditais[[#This Row],[Valor foco homologado]]&lt;=0,"Sem valor",IF(tEditais[[#This Row],[Valor foco homologado]]&gt;=FaixaA_Min,"A",IF(tEditais[[#This Row],[Valor foco homologado]]&gt;=FaixaB_Min,"B","C"))))</f>
        <v>Sem valor</v>
      </c>
      <c r="P160" t="str">
        <f ca="1">IF(tEditais[[#This Row],[Encerramento]]&gt;NOW(),"Aberto","Encerrado")</f>
        <v>Encerrado</v>
      </c>
    </row>
    <row r="161" spans="1:16" x14ac:dyDescent="0.25">
      <c r="A161" t="s">
        <v>1256</v>
      </c>
      <c r="B161" t="s">
        <v>739</v>
      </c>
      <c r="C161" t="s">
        <v>1233</v>
      </c>
      <c r="D161" t="s">
        <v>1234</v>
      </c>
      <c r="E161" t="s">
        <v>716</v>
      </c>
      <c r="F161" s="11">
        <v>46309.395833333336</v>
      </c>
      <c r="G161">
        <v>21</v>
      </c>
      <c r="H161" t="s">
        <v>1257</v>
      </c>
      <c r="I161" t="s">
        <v>1258</v>
      </c>
      <c r="J161" t="str">
        <f>IF(ISNUMBER(SEARCH("registro de pre",tEditais[[#This Row],[Objeto]])),"Sim","Não")</f>
        <v>Não</v>
      </c>
      <c r="K161" s="4">
        <f>COUNTIFS(tItens[Edital],tEditais[[#This Row],[Edital]])</f>
        <v>3</v>
      </c>
      <c r="L161" s="4">
        <f>COUNTIFS(tItens[Edital],tEditais[[#This Row],[Edital]],tItens[Foco],"Sim")</f>
        <v>0</v>
      </c>
      <c r="M161" s="8">
        <f>SUMIFS(tItens[Valor],tItens[Edital],tEditais[[#This Row],[Edital]])</f>
        <v>0</v>
      </c>
      <c r="N161" s="8">
        <f>SUMIFS(tItens[Valor homologado],tItens[Edital],tEditais[[#This Row],[Edital]],tItens[Foco],"Sim")</f>
        <v>0</v>
      </c>
      <c r="O161" t="str">
        <f>IF(tEditais[[#This Row],[Itens do foco]]=0,"",IF(tEditais[[#This Row],[Valor foco homologado]]&lt;=0,"Sem valor",IF(tEditais[[#This Row],[Valor foco homologado]]&gt;=FaixaA_Min,"A",IF(tEditais[[#This Row],[Valor foco homologado]]&gt;=FaixaB_Min,"B","C"))))</f>
        <v/>
      </c>
      <c r="P161" t="str">
        <f ca="1">IF(tEditais[[#This Row],[Encerramento]]&gt;NOW(),"Aberto","Encerrado")</f>
        <v>Encerrado</v>
      </c>
    </row>
    <row r="162" spans="1:16" x14ac:dyDescent="0.25">
      <c r="A162" t="s">
        <v>1259</v>
      </c>
      <c r="B162" t="s">
        <v>1260</v>
      </c>
      <c r="C162" t="s">
        <v>1261</v>
      </c>
      <c r="D162" t="s">
        <v>1234</v>
      </c>
      <c r="E162" t="s">
        <v>716</v>
      </c>
      <c r="F162" s="11">
        <v>46310.375</v>
      </c>
      <c r="G162">
        <v>224</v>
      </c>
      <c r="H162" t="s">
        <v>1262</v>
      </c>
      <c r="I162" t="s">
        <v>1263</v>
      </c>
      <c r="J162" t="str">
        <f>IF(ISNUMBER(SEARCH("registro de pre",tEditais[[#This Row],[Objeto]])),"Sim","Não")</f>
        <v>Sim</v>
      </c>
      <c r="K162" s="4">
        <f>COUNTIFS(tItens[Edital],tEditais[[#This Row],[Edital]])</f>
        <v>7</v>
      </c>
      <c r="L162" s="4">
        <f>COUNTIFS(tItens[Edital],tEditais[[#This Row],[Edital]],tItens[Foco],"Sim")</f>
        <v>0</v>
      </c>
      <c r="M162" s="8">
        <f>SUMIFS(tItens[Valor],tItens[Edital],tEditais[[#This Row],[Edital]])</f>
        <v>0</v>
      </c>
      <c r="N162" s="8">
        <f>SUMIFS(tItens[Valor homologado],tItens[Edital],tEditais[[#This Row],[Edital]],tItens[Foco],"Sim")</f>
        <v>0</v>
      </c>
      <c r="O162" t="str">
        <f>IF(tEditais[[#This Row],[Itens do foco]]=0,"",IF(tEditais[[#This Row],[Valor foco homologado]]&lt;=0,"Sem valor",IF(tEditais[[#This Row],[Valor foco homologado]]&gt;=FaixaA_Min,"A",IF(tEditais[[#This Row],[Valor foco homologado]]&gt;=FaixaB_Min,"B","C"))))</f>
        <v/>
      </c>
      <c r="P162" t="str">
        <f ca="1">IF(tEditais[[#This Row],[Encerramento]]&gt;NOW(),"Aberto","Encerrado")</f>
        <v>Encerrado</v>
      </c>
    </row>
    <row r="163" spans="1:16" x14ac:dyDescent="0.25">
      <c r="A163" t="s">
        <v>1264</v>
      </c>
      <c r="B163" t="s">
        <v>739</v>
      </c>
      <c r="C163" t="s">
        <v>1233</v>
      </c>
      <c r="D163" t="s">
        <v>1234</v>
      </c>
      <c r="E163" t="s">
        <v>716</v>
      </c>
      <c r="F163" s="11">
        <v>46310.395833333336</v>
      </c>
      <c r="G163">
        <v>26</v>
      </c>
      <c r="H163" t="s">
        <v>1265</v>
      </c>
      <c r="I163" t="s">
        <v>1266</v>
      </c>
      <c r="J163" t="str">
        <f>IF(ISNUMBER(SEARCH("registro de pre",tEditais[[#This Row],[Objeto]])),"Sim","Não")</f>
        <v>Não</v>
      </c>
      <c r="K163" s="4">
        <f>COUNTIFS(tItens[Edital],tEditais[[#This Row],[Edital]])</f>
        <v>3</v>
      </c>
      <c r="L163" s="4">
        <f>COUNTIFS(tItens[Edital],tEditais[[#This Row],[Edital]],tItens[Foco],"Sim")</f>
        <v>0</v>
      </c>
      <c r="M163" s="8">
        <f>SUMIFS(tItens[Valor],tItens[Edital],tEditais[[#This Row],[Edital]])</f>
        <v>0</v>
      </c>
      <c r="N163" s="8">
        <f>SUMIFS(tItens[Valor homologado],tItens[Edital],tEditais[[#This Row],[Edital]],tItens[Foco],"Sim")</f>
        <v>0</v>
      </c>
      <c r="O163" t="str">
        <f>IF(tEditais[[#This Row],[Itens do foco]]=0,"",IF(tEditais[[#This Row],[Valor foco homologado]]&lt;=0,"Sem valor",IF(tEditais[[#This Row],[Valor foco homologado]]&gt;=FaixaA_Min,"A",IF(tEditais[[#This Row],[Valor foco homologado]]&gt;=FaixaB_Min,"B","C"))))</f>
        <v/>
      </c>
      <c r="P163" t="str">
        <f ca="1">IF(tEditais[[#This Row],[Encerramento]]&gt;NOW(),"Aberto","Encerrado")</f>
        <v>Encerrado</v>
      </c>
    </row>
    <row r="164" spans="1:16" x14ac:dyDescent="0.25">
      <c r="A164" t="s">
        <v>1267</v>
      </c>
      <c r="B164" t="s">
        <v>1268</v>
      </c>
      <c r="C164" t="s">
        <v>1269</v>
      </c>
      <c r="D164" t="s">
        <v>1234</v>
      </c>
      <c r="E164" t="s">
        <v>716</v>
      </c>
      <c r="F164" s="11">
        <v>46310.416666666664</v>
      </c>
      <c r="G164">
        <v>208</v>
      </c>
      <c r="H164" t="s">
        <v>1270</v>
      </c>
      <c r="I164" t="s">
        <v>1271</v>
      </c>
      <c r="J164" t="str">
        <f>IF(ISNUMBER(SEARCH("registro de pre",tEditais[[#This Row],[Objeto]])),"Sim","Não")</f>
        <v>Sim</v>
      </c>
      <c r="K164" s="4">
        <f>COUNTIFS(tItens[Edital],tEditais[[#This Row],[Edital]])</f>
        <v>83</v>
      </c>
      <c r="L164" s="4">
        <f>COUNTIFS(tItens[Edital],tEditais[[#This Row],[Edital]],tItens[Foco],"Sim")</f>
        <v>8</v>
      </c>
      <c r="M164" s="8">
        <f>SUMIFS(tItens[Valor],tItens[Edital],tEditais[[#This Row],[Edital]])</f>
        <v>3314517.9300000006</v>
      </c>
      <c r="N164" s="8">
        <f>SUMIFS(tItens[Valor homologado],tItens[Edital],tEditais[[#This Row],[Edital]],tItens[Foco],"Sim")</f>
        <v>59318.259999999995</v>
      </c>
      <c r="O164" t="str">
        <f>IF(tEditais[[#This Row],[Itens do foco]]=0,"",IF(tEditais[[#This Row],[Valor foco homologado]]&lt;=0,"Sem valor",IF(tEditais[[#This Row],[Valor foco homologado]]&gt;=FaixaA_Min,"A",IF(tEditais[[#This Row],[Valor foco homologado]]&gt;=FaixaB_Min,"B","C"))))</f>
        <v>B</v>
      </c>
      <c r="P164" t="str">
        <f ca="1">IF(tEditais[[#This Row],[Encerramento]]&gt;NOW(),"Aberto","Encerrado")</f>
        <v>Encerrado</v>
      </c>
    </row>
    <row r="165" spans="1:16" x14ac:dyDescent="0.25">
      <c r="A165" t="s">
        <v>1272</v>
      </c>
      <c r="B165" t="s">
        <v>1273</v>
      </c>
      <c r="C165" t="s">
        <v>1274</v>
      </c>
      <c r="D165" t="s">
        <v>1234</v>
      </c>
      <c r="E165" t="s">
        <v>716</v>
      </c>
      <c r="F165" s="11">
        <v>46311.375</v>
      </c>
      <c r="G165">
        <v>376</v>
      </c>
      <c r="H165" t="s">
        <v>1275</v>
      </c>
      <c r="I165" t="s">
        <v>1276</v>
      </c>
      <c r="J165" t="str">
        <f>IF(ISNUMBER(SEARCH("registro de pre",tEditais[[#This Row],[Objeto]])),"Sim","Não")</f>
        <v>Sim</v>
      </c>
      <c r="K165" s="4">
        <f>COUNTIFS(tItens[Edital],tEditais[[#This Row],[Edital]])</f>
        <v>49</v>
      </c>
      <c r="L165" s="4">
        <f>COUNTIFS(tItens[Edital],tEditais[[#This Row],[Edital]],tItens[Foco],"Sim")</f>
        <v>4</v>
      </c>
      <c r="M165" s="8">
        <f>SUMIFS(tItens[Valor],tItens[Edital],tEditais[[#This Row],[Edital]])</f>
        <v>0</v>
      </c>
      <c r="N165" s="8">
        <f>SUMIFS(tItens[Valor homologado],tItens[Edital],tEditais[[#This Row],[Edital]],tItens[Foco],"Sim")</f>
        <v>0</v>
      </c>
      <c r="O165" t="str">
        <f>IF(tEditais[[#This Row],[Itens do foco]]=0,"",IF(tEditais[[#This Row],[Valor foco homologado]]&lt;=0,"Sem valor",IF(tEditais[[#This Row],[Valor foco homologado]]&gt;=FaixaA_Min,"A",IF(tEditais[[#This Row],[Valor foco homologado]]&gt;=FaixaB_Min,"B","C"))))</f>
        <v>Sem valor</v>
      </c>
      <c r="P165" t="str">
        <f ca="1">IF(tEditais[[#This Row],[Encerramento]]&gt;NOW(),"Aberto","Encerrado")</f>
        <v>Aberto</v>
      </c>
    </row>
    <row r="166" spans="1:16" x14ac:dyDescent="0.25">
      <c r="A166" t="s">
        <v>1277</v>
      </c>
      <c r="B166" t="s">
        <v>1278</v>
      </c>
      <c r="C166" t="s">
        <v>1279</v>
      </c>
      <c r="D166" t="s">
        <v>1234</v>
      </c>
      <c r="E166" t="s">
        <v>716</v>
      </c>
      <c r="F166" s="11">
        <v>46314.354166666664</v>
      </c>
      <c r="G166">
        <v>1106</v>
      </c>
      <c r="H166" t="s">
        <v>1280</v>
      </c>
      <c r="I166" t="s">
        <v>1281</v>
      </c>
      <c r="J166" t="str">
        <f>IF(ISNUMBER(SEARCH("registro de pre",tEditais[[#This Row],[Objeto]])),"Sim","Não")</f>
        <v>Sim</v>
      </c>
      <c r="K166" s="4">
        <f>COUNTIFS(tItens[Edital],tEditais[[#This Row],[Edital]])</f>
        <v>104</v>
      </c>
      <c r="L166" s="4">
        <f>COUNTIFS(tItens[Edital],tEditais[[#This Row],[Edital]],tItens[Foco],"Sim")</f>
        <v>16</v>
      </c>
      <c r="M166" s="8">
        <f>SUMIFS(tItens[Valor],tItens[Edital],tEditais[[#This Row],[Edital]])</f>
        <v>0</v>
      </c>
      <c r="N166" s="8">
        <f>SUMIFS(tItens[Valor homologado],tItens[Edital],tEditais[[#This Row],[Edital]],tItens[Foco],"Sim")</f>
        <v>0</v>
      </c>
      <c r="O166" t="str">
        <f>IF(tEditais[[#This Row],[Itens do foco]]=0,"",IF(tEditais[[#This Row],[Valor foco homologado]]&lt;=0,"Sem valor",IF(tEditais[[#This Row],[Valor foco homologado]]&gt;=FaixaA_Min,"A",IF(tEditais[[#This Row],[Valor foco homologado]]&gt;=FaixaB_Min,"B","C"))))</f>
        <v>Sem valor</v>
      </c>
      <c r="P166" t="str">
        <f ca="1">IF(tEditais[[#This Row],[Encerramento]]&gt;NOW(),"Aberto","Encerrado")</f>
        <v>Aberto</v>
      </c>
    </row>
    <row r="167" spans="1:16" x14ac:dyDescent="0.25">
      <c r="A167" t="s">
        <v>1282</v>
      </c>
      <c r="B167" t="s">
        <v>1283</v>
      </c>
      <c r="C167" t="s">
        <v>1284</v>
      </c>
      <c r="D167" t="s">
        <v>1285</v>
      </c>
      <c r="E167" t="s">
        <v>716</v>
      </c>
      <c r="F167" s="11">
        <v>46304.333333333336</v>
      </c>
      <c r="G167">
        <v>264</v>
      </c>
      <c r="H167" t="s">
        <v>1286</v>
      </c>
      <c r="I167" t="s">
        <v>1287</v>
      </c>
      <c r="J167" t="str">
        <f>IF(ISNUMBER(SEARCH("registro de pre",tEditais[[#This Row],[Objeto]])),"Sim","Não")</f>
        <v>Sim</v>
      </c>
      <c r="K167" s="4">
        <f>COUNTIFS(tItens[Edital],tEditais[[#This Row],[Edital]])</f>
        <v>86</v>
      </c>
      <c r="L167" s="4">
        <f>COUNTIFS(tItens[Edital],tEditais[[#This Row],[Edital]],tItens[Foco],"Sim")</f>
        <v>18</v>
      </c>
      <c r="M167" s="8">
        <f>SUMIFS(tItens[Valor],tItens[Edital],tEditais[[#This Row],[Edital]])</f>
        <v>617846.32000000007</v>
      </c>
      <c r="N167" s="8">
        <f>SUMIFS(tItens[Valor homologado],tItens[Edital],tEditais[[#This Row],[Edital]],tItens[Foco],"Sim")</f>
        <v>73703.925200000012</v>
      </c>
      <c r="O167" t="str">
        <f>IF(tEditais[[#This Row],[Itens do foco]]=0,"",IF(tEditais[[#This Row],[Valor foco homologado]]&lt;=0,"Sem valor",IF(tEditais[[#This Row],[Valor foco homologado]]&gt;=FaixaA_Min,"A",IF(tEditais[[#This Row],[Valor foco homologado]]&gt;=FaixaB_Min,"B","C"))))</f>
        <v>B</v>
      </c>
      <c r="P167" t="str">
        <f ca="1">IF(tEditais[[#This Row],[Encerramento]]&gt;NOW(),"Aberto","Encerrado")</f>
        <v>Encerrado</v>
      </c>
    </row>
    <row r="168" spans="1:16" x14ac:dyDescent="0.25">
      <c r="A168" t="s">
        <v>1288</v>
      </c>
      <c r="B168" t="s">
        <v>1289</v>
      </c>
      <c r="C168" t="s">
        <v>1290</v>
      </c>
      <c r="D168" t="s">
        <v>1285</v>
      </c>
      <c r="E168" t="s">
        <v>716</v>
      </c>
      <c r="F168" s="11">
        <v>46304.333333333336</v>
      </c>
      <c r="G168">
        <v>120</v>
      </c>
      <c r="H168" t="s">
        <v>1291</v>
      </c>
      <c r="I168" t="s">
        <v>1292</v>
      </c>
      <c r="J168" t="str">
        <f>IF(ISNUMBER(SEARCH("registro de pre",tEditais[[#This Row],[Objeto]])),"Sim","Não")</f>
        <v>Não</v>
      </c>
      <c r="K168" s="4">
        <f>COUNTIFS(tItens[Edital],tEditais[[#This Row],[Edital]])</f>
        <v>3</v>
      </c>
      <c r="L168" s="4">
        <f>COUNTIFS(tItens[Edital],tEditais[[#This Row],[Edital]],tItens[Foco],"Sim")</f>
        <v>0</v>
      </c>
      <c r="M168" s="8">
        <f>SUMIFS(tItens[Valor],tItens[Edital],tEditais[[#This Row],[Edital]])</f>
        <v>0</v>
      </c>
      <c r="N168" s="8">
        <f>SUMIFS(tItens[Valor homologado],tItens[Edital],tEditais[[#This Row],[Edital]],tItens[Foco],"Sim")</f>
        <v>0</v>
      </c>
      <c r="O168" t="str">
        <f>IF(tEditais[[#This Row],[Itens do foco]]=0,"",IF(tEditais[[#This Row],[Valor foco homologado]]&lt;=0,"Sem valor",IF(tEditais[[#This Row],[Valor foco homologado]]&gt;=FaixaA_Min,"A",IF(tEditais[[#This Row],[Valor foco homologado]]&gt;=FaixaB_Min,"B","C"))))</f>
        <v/>
      </c>
      <c r="P168" t="str">
        <f ca="1">IF(tEditais[[#This Row],[Encerramento]]&gt;NOW(),"Aberto","Encerrado")</f>
        <v>Encerrado</v>
      </c>
    </row>
    <row r="169" spans="1:16" x14ac:dyDescent="0.25">
      <c r="A169" t="s">
        <v>1293</v>
      </c>
      <c r="B169" t="s">
        <v>739</v>
      </c>
      <c r="C169" t="s">
        <v>1294</v>
      </c>
      <c r="D169" t="s">
        <v>1285</v>
      </c>
      <c r="E169" t="s">
        <v>716</v>
      </c>
      <c r="F169" s="11">
        <v>46304.333333333336</v>
      </c>
      <c r="G169">
        <v>13</v>
      </c>
      <c r="H169" t="s">
        <v>1295</v>
      </c>
      <c r="I169" t="s">
        <v>1296</v>
      </c>
      <c r="J169" t="str">
        <f>IF(ISNUMBER(SEARCH("registro de pre",tEditais[[#This Row],[Objeto]])),"Sim","Não")</f>
        <v>Não</v>
      </c>
      <c r="K169" s="4">
        <f>COUNTIFS(tItens[Edital],tEditais[[#This Row],[Edital]])</f>
        <v>1</v>
      </c>
      <c r="L169" s="4">
        <f>COUNTIFS(tItens[Edital],tEditais[[#This Row],[Edital]],tItens[Foco],"Sim")</f>
        <v>0</v>
      </c>
      <c r="M169" s="8">
        <f>SUMIFS(tItens[Valor],tItens[Edital],tEditais[[#This Row],[Edital]])</f>
        <v>0</v>
      </c>
      <c r="N169" s="8">
        <f>SUMIFS(tItens[Valor homologado],tItens[Edital],tEditais[[#This Row],[Edital]],tItens[Foco],"Sim")</f>
        <v>0</v>
      </c>
      <c r="O169" t="str">
        <f>IF(tEditais[[#This Row],[Itens do foco]]=0,"",IF(tEditais[[#This Row],[Valor foco homologado]]&lt;=0,"Sem valor",IF(tEditais[[#This Row],[Valor foco homologado]]&gt;=FaixaA_Min,"A",IF(tEditais[[#This Row],[Valor foco homologado]]&gt;=FaixaB_Min,"B","C"))))</f>
        <v/>
      </c>
      <c r="P169" t="str">
        <f ca="1">IF(tEditais[[#This Row],[Encerramento]]&gt;NOW(),"Aberto","Encerrado")</f>
        <v>Encerrado</v>
      </c>
    </row>
    <row r="170" spans="1:16" x14ac:dyDescent="0.25">
      <c r="A170" t="s">
        <v>1297</v>
      </c>
      <c r="B170" t="s">
        <v>1298</v>
      </c>
      <c r="C170" t="s">
        <v>1299</v>
      </c>
      <c r="D170" t="s">
        <v>1285</v>
      </c>
      <c r="E170" t="s">
        <v>716</v>
      </c>
      <c r="F170" s="11">
        <v>46304.354166666664</v>
      </c>
      <c r="G170">
        <v>28</v>
      </c>
      <c r="H170" t="s">
        <v>1300</v>
      </c>
      <c r="I170" t="s">
        <v>1301</v>
      </c>
      <c r="J170" t="str">
        <f>IF(ISNUMBER(SEARCH("registro de pre",tEditais[[#This Row],[Objeto]])),"Sim","Não")</f>
        <v>Sim</v>
      </c>
      <c r="K170" s="4">
        <f>COUNTIFS(tItens[Edital],tEditais[[#This Row],[Edital]])</f>
        <v>3</v>
      </c>
      <c r="L170" s="4">
        <f>COUNTIFS(tItens[Edital],tEditais[[#This Row],[Edital]],tItens[Foco],"Sim")</f>
        <v>1</v>
      </c>
      <c r="M170" s="8">
        <f>SUMIFS(tItens[Valor],tItens[Edital],tEditais[[#This Row],[Edital]])</f>
        <v>21635.920000000002</v>
      </c>
      <c r="N170" s="8">
        <f>SUMIFS(tItens[Valor homologado],tItens[Edital],tEditais[[#This Row],[Edital]],tItens[Foco],"Sim")</f>
        <v>198.99840000000003</v>
      </c>
      <c r="O170" t="str">
        <f>IF(tEditais[[#This Row],[Itens do foco]]=0,"",IF(tEditais[[#This Row],[Valor foco homologado]]&lt;=0,"Sem valor",IF(tEditais[[#This Row],[Valor foco homologado]]&gt;=FaixaA_Min,"A",IF(tEditais[[#This Row],[Valor foco homologado]]&gt;=FaixaB_Min,"B","C"))))</f>
        <v>C</v>
      </c>
      <c r="P170" t="str">
        <f ca="1">IF(tEditais[[#This Row],[Encerramento]]&gt;NOW(),"Aberto","Encerrado")</f>
        <v>Encerrado</v>
      </c>
    </row>
    <row r="171" spans="1:16" x14ac:dyDescent="0.25">
      <c r="A171" t="s">
        <v>1302</v>
      </c>
      <c r="B171" t="s">
        <v>1303</v>
      </c>
      <c r="C171" t="s">
        <v>1304</v>
      </c>
      <c r="D171" t="s">
        <v>1285</v>
      </c>
      <c r="E171" t="s">
        <v>800</v>
      </c>
      <c r="F171" s="11">
        <v>46304.354166666664</v>
      </c>
      <c r="G171">
        <v>6</v>
      </c>
      <c r="H171" t="s">
        <v>1305</v>
      </c>
      <c r="I171" t="s">
        <v>1306</v>
      </c>
      <c r="J171" t="str">
        <f>IF(ISNUMBER(SEARCH("registro de pre",tEditais[[#This Row],[Objeto]])),"Sim","Não")</f>
        <v>Não</v>
      </c>
      <c r="K171" s="4">
        <f>COUNTIFS(tItens[Edital],tEditais[[#This Row],[Edital]])</f>
        <v>2</v>
      </c>
      <c r="L171" s="4">
        <f>COUNTIFS(tItens[Edital],tEditais[[#This Row],[Edital]],tItens[Foco],"Sim")</f>
        <v>0</v>
      </c>
      <c r="M171" s="8">
        <f>SUMIFS(tItens[Valor],tItens[Edital],tEditais[[#This Row],[Edital]])</f>
        <v>0</v>
      </c>
      <c r="N171" s="8">
        <f>SUMIFS(tItens[Valor homologado],tItens[Edital],tEditais[[#This Row],[Edital]],tItens[Foco],"Sim")</f>
        <v>0</v>
      </c>
      <c r="O171" t="str">
        <f>IF(tEditais[[#This Row],[Itens do foco]]=0,"",IF(tEditais[[#This Row],[Valor foco homologado]]&lt;=0,"Sem valor",IF(tEditais[[#This Row],[Valor foco homologado]]&gt;=FaixaA_Min,"A",IF(tEditais[[#This Row],[Valor foco homologado]]&gt;=FaixaB_Min,"B","C"))))</f>
        <v/>
      </c>
      <c r="P171" t="str">
        <f ca="1">IF(tEditais[[#This Row],[Encerramento]]&gt;NOW(),"Aberto","Encerrado")</f>
        <v>Encerrado</v>
      </c>
    </row>
    <row r="172" spans="1:16" x14ac:dyDescent="0.25">
      <c r="A172" t="s">
        <v>1307</v>
      </c>
      <c r="B172" t="s">
        <v>1308</v>
      </c>
      <c r="C172" t="s">
        <v>1309</v>
      </c>
      <c r="D172" t="s">
        <v>1285</v>
      </c>
      <c r="E172" t="s">
        <v>716</v>
      </c>
      <c r="F172" s="11">
        <v>46304.374305555553</v>
      </c>
      <c r="G172">
        <v>236</v>
      </c>
      <c r="H172" t="s">
        <v>1310</v>
      </c>
      <c r="I172" t="s">
        <v>1311</v>
      </c>
      <c r="J172" t="str">
        <f>IF(ISNUMBER(SEARCH("registro de pre",tEditais[[#This Row],[Objeto]])),"Sim","Não")</f>
        <v>Não</v>
      </c>
      <c r="K172" s="4">
        <f>COUNTIFS(tItens[Edital],tEditais[[#This Row],[Edital]])</f>
        <v>3</v>
      </c>
      <c r="L172" s="4">
        <f>COUNTIFS(tItens[Edital],tEditais[[#This Row],[Edital]],tItens[Foco],"Sim")</f>
        <v>0</v>
      </c>
      <c r="M172" s="8">
        <f>SUMIFS(tItens[Valor],tItens[Edital],tEditais[[#This Row],[Edital]])</f>
        <v>3464.2</v>
      </c>
      <c r="N172" s="8">
        <f>SUMIFS(tItens[Valor homologado],tItens[Edital],tEditais[[#This Row],[Edital]],tItens[Foco],"Sim")</f>
        <v>0</v>
      </c>
      <c r="O172" t="str">
        <f>IF(tEditais[[#This Row],[Itens do foco]]=0,"",IF(tEditais[[#This Row],[Valor foco homologado]]&lt;=0,"Sem valor",IF(tEditais[[#This Row],[Valor foco homologado]]&gt;=FaixaA_Min,"A",IF(tEditais[[#This Row],[Valor foco homologado]]&gt;=FaixaB_Min,"B","C"))))</f>
        <v/>
      </c>
      <c r="P172" t="str">
        <f ca="1">IF(tEditais[[#This Row],[Encerramento]]&gt;NOW(),"Aberto","Encerrado")</f>
        <v>Encerrado</v>
      </c>
    </row>
    <row r="173" spans="1:16" x14ac:dyDescent="0.25">
      <c r="A173" t="s">
        <v>1312</v>
      </c>
      <c r="B173" t="s">
        <v>1313</v>
      </c>
      <c r="C173" t="s">
        <v>1314</v>
      </c>
      <c r="D173" t="s">
        <v>1285</v>
      </c>
      <c r="E173" t="s">
        <v>716</v>
      </c>
      <c r="F173" s="11">
        <v>46304.375</v>
      </c>
      <c r="G173">
        <v>693</v>
      </c>
      <c r="H173" t="s">
        <v>1315</v>
      </c>
      <c r="I173" t="s">
        <v>1316</v>
      </c>
      <c r="J173" t="str">
        <f>IF(ISNUMBER(SEARCH("registro de pre",tEditais[[#This Row],[Objeto]])),"Sim","Não")</f>
        <v>Sim</v>
      </c>
      <c r="K173" s="4">
        <f>COUNTIFS(tItens[Edital],tEditais[[#This Row],[Edital]])</f>
        <v>38</v>
      </c>
      <c r="L173" s="4">
        <f>COUNTIFS(tItens[Edital],tEditais[[#This Row],[Edital]],tItens[Foco],"Sim")</f>
        <v>10</v>
      </c>
      <c r="M173" s="8">
        <f>SUMIFS(tItens[Valor],tItens[Edital],tEditais[[#This Row],[Edital]])</f>
        <v>19349.25</v>
      </c>
      <c r="N173" s="8">
        <f>SUMIFS(tItens[Valor homologado],tItens[Edital],tEditais[[#This Row],[Edital]],tItens[Foco],"Sim")</f>
        <v>7798.4589999999989</v>
      </c>
      <c r="O173" t="str">
        <f>IF(tEditais[[#This Row],[Itens do foco]]=0,"",IF(tEditais[[#This Row],[Valor foco homologado]]&lt;=0,"Sem valor",IF(tEditais[[#This Row],[Valor foco homologado]]&gt;=FaixaA_Min,"A",IF(tEditais[[#This Row],[Valor foco homologado]]&gt;=FaixaB_Min,"B","C"))))</f>
        <v>C</v>
      </c>
      <c r="P173" t="str">
        <f ca="1">IF(tEditais[[#This Row],[Encerramento]]&gt;NOW(),"Aberto","Encerrado")</f>
        <v>Encerrado</v>
      </c>
    </row>
    <row r="174" spans="1:16" x14ac:dyDescent="0.25">
      <c r="A174" t="s">
        <v>1317</v>
      </c>
      <c r="B174" t="s">
        <v>1318</v>
      </c>
      <c r="C174" t="s">
        <v>1319</v>
      </c>
      <c r="D174" t="s">
        <v>1285</v>
      </c>
      <c r="E174" t="s">
        <v>716</v>
      </c>
      <c r="F174" s="11">
        <v>46304.375</v>
      </c>
      <c r="G174">
        <v>7</v>
      </c>
      <c r="H174" t="s">
        <v>1320</v>
      </c>
      <c r="I174" t="s">
        <v>1321</v>
      </c>
      <c r="J174" t="str">
        <f>IF(ISNUMBER(SEARCH("registro de pre",tEditais[[#This Row],[Objeto]])),"Sim","Não")</f>
        <v>Não</v>
      </c>
      <c r="K174" s="4">
        <f>COUNTIFS(tItens[Edital],tEditais[[#This Row],[Edital]])</f>
        <v>3</v>
      </c>
      <c r="L174" s="4">
        <f>COUNTIFS(tItens[Edital],tEditais[[#This Row],[Edital]],tItens[Foco],"Sim")</f>
        <v>0</v>
      </c>
      <c r="M174" s="8">
        <f>SUMIFS(tItens[Valor],tItens[Edital],tEditais[[#This Row],[Edital]])</f>
        <v>0</v>
      </c>
      <c r="N174" s="8">
        <f>SUMIFS(tItens[Valor homologado],tItens[Edital],tEditais[[#This Row],[Edital]],tItens[Foco],"Sim")</f>
        <v>0</v>
      </c>
      <c r="O174" t="str">
        <f>IF(tEditais[[#This Row],[Itens do foco]]=0,"",IF(tEditais[[#This Row],[Valor foco homologado]]&lt;=0,"Sem valor",IF(tEditais[[#This Row],[Valor foco homologado]]&gt;=FaixaA_Min,"A",IF(tEditais[[#This Row],[Valor foco homologado]]&gt;=FaixaB_Min,"B","C"))))</f>
        <v/>
      </c>
      <c r="P174" t="str">
        <f ca="1">IF(tEditais[[#This Row],[Encerramento]]&gt;NOW(),"Aberto","Encerrado")</f>
        <v>Encerrado</v>
      </c>
    </row>
    <row r="175" spans="1:16" x14ac:dyDescent="0.25">
      <c r="A175" t="s">
        <v>1322</v>
      </c>
      <c r="B175" t="s">
        <v>1323</v>
      </c>
      <c r="C175" t="s">
        <v>1324</v>
      </c>
      <c r="D175" t="s">
        <v>1285</v>
      </c>
      <c r="E175" t="s">
        <v>716</v>
      </c>
      <c r="F175" s="11">
        <v>46304.375</v>
      </c>
      <c r="G175">
        <v>105</v>
      </c>
      <c r="H175" t="s">
        <v>1325</v>
      </c>
      <c r="I175" t="s">
        <v>1326</v>
      </c>
      <c r="J175" t="str">
        <f>IF(ISNUMBER(SEARCH("registro de pre",tEditais[[#This Row],[Objeto]])),"Sim","Não")</f>
        <v>Sim</v>
      </c>
      <c r="K175" s="4">
        <f>COUNTIFS(tItens[Edital],tEditais[[#This Row],[Edital]])</f>
        <v>32</v>
      </c>
      <c r="L175" s="4">
        <f>COUNTIFS(tItens[Edital],tEditais[[#This Row],[Edital]],tItens[Foco],"Sim")</f>
        <v>10</v>
      </c>
      <c r="M175" s="8">
        <f>SUMIFS(tItens[Valor],tItens[Edital],tEditais[[#This Row],[Edital]])</f>
        <v>0</v>
      </c>
      <c r="N175" s="8">
        <f>SUMIFS(tItens[Valor homologado],tItens[Edital],tEditais[[#This Row],[Edital]],tItens[Foco],"Sim")</f>
        <v>0</v>
      </c>
      <c r="O175" t="str">
        <f>IF(tEditais[[#This Row],[Itens do foco]]=0,"",IF(tEditais[[#This Row],[Valor foco homologado]]&lt;=0,"Sem valor",IF(tEditais[[#This Row],[Valor foco homologado]]&gt;=FaixaA_Min,"A",IF(tEditais[[#This Row],[Valor foco homologado]]&gt;=FaixaB_Min,"B","C"))))</f>
        <v>Sem valor</v>
      </c>
      <c r="P175" t="str">
        <f ca="1">IF(tEditais[[#This Row],[Encerramento]]&gt;NOW(),"Aberto","Encerrado")</f>
        <v>Encerrado</v>
      </c>
    </row>
    <row r="176" spans="1:16" x14ac:dyDescent="0.25">
      <c r="A176" t="s">
        <v>1327</v>
      </c>
      <c r="B176" t="s">
        <v>1313</v>
      </c>
      <c r="C176" t="s">
        <v>1314</v>
      </c>
      <c r="D176" t="s">
        <v>1285</v>
      </c>
      <c r="E176" t="s">
        <v>716</v>
      </c>
      <c r="F176" s="11">
        <v>46304.375</v>
      </c>
      <c r="G176">
        <v>9</v>
      </c>
      <c r="H176" t="s">
        <v>1328</v>
      </c>
      <c r="I176" t="s">
        <v>1329</v>
      </c>
      <c r="J176" t="str">
        <f>IF(ISNUMBER(SEARCH("registro de pre",tEditais[[#This Row],[Objeto]])),"Sim","Não")</f>
        <v>Sim</v>
      </c>
      <c r="K176" s="4">
        <f>COUNTIFS(tItens[Edital],tEditais[[#This Row],[Edital]])</f>
        <v>4</v>
      </c>
      <c r="L176" s="4">
        <f>COUNTIFS(tItens[Edital],tEditais[[#This Row],[Edital]],tItens[Foco],"Sim")</f>
        <v>0</v>
      </c>
      <c r="M176" s="8">
        <f>SUMIFS(tItens[Valor],tItens[Edital],tEditais[[#This Row],[Edital]])</f>
        <v>195427.91999999998</v>
      </c>
      <c r="N176" s="8">
        <f>SUMIFS(tItens[Valor homologado],tItens[Edital],tEditais[[#This Row],[Edital]],tItens[Foco],"Sim")</f>
        <v>0</v>
      </c>
      <c r="O176" t="str">
        <f>IF(tEditais[[#This Row],[Itens do foco]]=0,"",IF(tEditais[[#This Row],[Valor foco homologado]]&lt;=0,"Sem valor",IF(tEditais[[#This Row],[Valor foco homologado]]&gt;=FaixaA_Min,"A",IF(tEditais[[#This Row],[Valor foco homologado]]&gt;=FaixaB_Min,"B","C"))))</f>
        <v/>
      </c>
      <c r="P176" t="str">
        <f ca="1">IF(tEditais[[#This Row],[Encerramento]]&gt;NOW(),"Aberto","Encerrado")</f>
        <v>Encerrado</v>
      </c>
    </row>
    <row r="177" spans="1:16" x14ac:dyDescent="0.25">
      <c r="A177" t="s">
        <v>1330</v>
      </c>
      <c r="B177" t="s">
        <v>1331</v>
      </c>
      <c r="C177" t="s">
        <v>1332</v>
      </c>
      <c r="D177" t="s">
        <v>1285</v>
      </c>
      <c r="E177" t="s">
        <v>716</v>
      </c>
      <c r="F177" s="11">
        <v>46304.375</v>
      </c>
      <c r="G177">
        <v>9</v>
      </c>
      <c r="H177" t="s">
        <v>1333</v>
      </c>
      <c r="I177" t="s">
        <v>1334</v>
      </c>
      <c r="J177" t="str">
        <f>IF(ISNUMBER(SEARCH("registro de pre",tEditais[[#This Row],[Objeto]])),"Sim","Não")</f>
        <v>Sim</v>
      </c>
      <c r="K177" s="4">
        <f>COUNTIFS(tItens[Edital],tEditais[[#This Row],[Edital]])</f>
        <v>9</v>
      </c>
      <c r="L177" s="4">
        <f>COUNTIFS(tItens[Edital],tEditais[[#This Row],[Edital]],tItens[Foco],"Sim")</f>
        <v>0</v>
      </c>
      <c r="M177" s="8">
        <f>SUMIFS(tItens[Valor],tItens[Edital],tEditais[[#This Row],[Edital]])</f>
        <v>0</v>
      </c>
      <c r="N177" s="8">
        <f>SUMIFS(tItens[Valor homologado],tItens[Edital],tEditais[[#This Row],[Edital]],tItens[Foco],"Sim")</f>
        <v>0</v>
      </c>
      <c r="O177" t="str">
        <f>IF(tEditais[[#This Row],[Itens do foco]]=0,"",IF(tEditais[[#This Row],[Valor foco homologado]]&lt;=0,"Sem valor",IF(tEditais[[#This Row],[Valor foco homologado]]&gt;=FaixaA_Min,"A",IF(tEditais[[#This Row],[Valor foco homologado]]&gt;=FaixaB_Min,"B","C"))))</f>
        <v/>
      </c>
      <c r="P177" t="str">
        <f ca="1">IF(tEditais[[#This Row],[Encerramento]]&gt;NOW(),"Aberto","Encerrado")</f>
        <v>Encerrado</v>
      </c>
    </row>
    <row r="178" spans="1:16" x14ac:dyDescent="0.25">
      <c r="A178" t="s">
        <v>1335</v>
      </c>
      <c r="B178" t="s">
        <v>1336</v>
      </c>
      <c r="C178" t="s">
        <v>1337</v>
      </c>
      <c r="D178" t="s">
        <v>1285</v>
      </c>
      <c r="E178" t="s">
        <v>716</v>
      </c>
      <c r="F178" s="11">
        <v>46304.375</v>
      </c>
      <c r="G178">
        <v>36</v>
      </c>
      <c r="I178" t="s">
        <v>1338</v>
      </c>
      <c r="J178" t="str">
        <f>IF(ISNUMBER(SEARCH("registro de pre",tEditais[[#This Row],[Objeto]])),"Sim","Não")</f>
        <v>Não</v>
      </c>
      <c r="K178" s="4">
        <f>COUNTIFS(tItens[Edital],tEditais[[#This Row],[Edital]])</f>
        <v>1</v>
      </c>
      <c r="L178" s="4">
        <f>COUNTIFS(tItens[Edital],tEditais[[#This Row],[Edital]],tItens[Foco],"Sim")</f>
        <v>0</v>
      </c>
      <c r="M178" s="8">
        <f>SUMIFS(tItens[Valor],tItens[Edital],tEditais[[#This Row],[Edital]])</f>
        <v>1330.44</v>
      </c>
      <c r="N178" s="8">
        <f>SUMIFS(tItens[Valor homologado],tItens[Edital],tEditais[[#This Row],[Edital]],tItens[Foco],"Sim")</f>
        <v>0</v>
      </c>
      <c r="O178" t="str">
        <f>IF(tEditais[[#This Row],[Itens do foco]]=0,"",IF(tEditais[[#This Row],[Valor foco homologado]]&lt;=0,"Sem valor",IF(tEditais[[#This Row],[Valor foco homologado]]&gt;=FaixaA_Min,"A",IF(tEditais[[#This Row],[Valor foco homologado]]&gt;=FaixaB_Min,"B","C"))))</f>
        <v/>
      </c>
      <c r="P178" t="str">
        <f ca="1">IF(tEditais[[#This Row],[Encerramento]]&gt;NOW(),"Aberto","Encerrado")</f>
        <v>Encerrado</v>
      </c>
    </row>
    <row r="179" spans="1:16" x14ac:dyDescent="0.25">
      <c r="A179" t="s">
        <v>1339</v>
      </c>
      <c r="B179" t="s">
        <v>1340</v>
      </c>
      <c r="C179" t="s">
        <v>1341</v>
      </c>
      <c r="D179" t="s">
        <v>1285</v>
      </c>
      <c r="E179" t="s">
        <v>716</v>
      </c>
      <c r="F179" s="11">
        <v>46304.375</v>
      </c>
      <c r="G179">
        <v>173</v>
      </c>
      <c r="H179" t="s">
        <v>1342</v>
      </c>
      <c r="I179" t="s">
        <v>1343</v>
      </c>
      <c r="J179" t="str">
        <f>IF(ISNUMBER(SEARCH("registro de pre",tEditais[[#This Row],[Objeto]])),"Sim","Não")</f>
        <v>Não</v>
      </c>
      <c r="K179" s="4">
        <f>COUNTIFS(tItens[Edital],tEditais[[#This Row],[Edital]])</f>
        <v>15</v>
      </c>
      <c r="L179" s="4">
        <f>COUNTIFS(tItens[Edital],tEditais[[#This Row],[Edital]],tItens[Foco],"Sim")</f>
        <v>4</v>
      </c>
      <c r="M179" s="8">
        <f>SUMIFS(tItens[Valor],tItens[Edital],tEditais[[#This Row],[Edital]])</f>
        <v>10761.859999999999</v>
      </c>
      <c r="N179" s="8">
        <f>SUMIFS(tItens[Valor homologado],tItens[Edital],tEditais[[#This Row],[Edital]],tItens[Foco],"Sim")</f>
        <v>571.79759999999987</v>
      </c>
      <c r="O179" t="str">
        <f>IF(tEditais[[#This Row],[Itens do foco]]=0,"",IF(tEditais[[#This Row],[Valor foco homologado]]&lt;=0,"Sem valor",IF(tEditais[[#This Row],[Valor foco homologado]]&gt;=FaixaA_Min,"A",IF(tEditais[[#This Row],[Valor foco homologado]]&gt;=FaixaB_Min,"B","C"))))</f>
        <v>C</v>
      </c>
      <c r="P179" t="str">
        <f ca="1">IF(tEditais[[#This Row],[Encerramento]]&gt;NOW(),"Aberto","Encerrado")</f>
        <v>Encerrado</v>
      </c>
    </row>
    <row r="180" spans="1:16" x14ac:dyDescent="0.25">
      <c r="A180" t="s">
        <v>1344</v>
      </c>
      <c r="B180" t="s">
        <v>1345</v>
      </c>
      <c r="C180" t="s">
        <v>1346</v>
      </c>
      <c r="D180" t="s">
        <v>1285</v>
      </c>
      <c r="E180" t="s">
        <v>716</v>
      </c>
      <c r="F180" s="11">
        <v>46308.326388888891</v>
      </c>
      <c r="G180">
        <v>31</v>
      </c>
      <c r="I180" t="s">
        <v>1347</v>
      </c>
      <c r="J180" t="str">
        <f>IF(ISNUMBER(SEARCH("registro de pre",tEditais[[#This Row],[Objeto]])),"Sim","Não")</f>
        <v>Sim</v>
      </c>
      <c r="K180" s="4">
        <f>COUNTIFS(tItens[Edital],tEditais[[#This Row],[Edital]])</f>
        <v>3</v>
      </c>
      <c r="L180" s="4">
        <f>COUNTIFS(tItens[Edital],tEditais[[#This Row],[Edital]],tItens[Foco],"Sim")</f>
        <v>0</v>
      </c>
      <c r="M180" s="8">
        <f>SUMIFS(tItens[Valor],tItens[Edital],tEditais[[#This Row],[Edital]])</f>
        <v>21822</v>
      </c>
      <c r="N180" s="8">
        <f>SUMIFS(tItens[Valor homologado],tItens[Edital],tEditais[[#This Row],[Edital]],tItens[Foco],"Sim")</f>
        <v>0</v>
      </c>
      <c r="O180" t="str">
        <f>IF(tEditais[[#This Row],[Itens do foco]]=0,"",IF(tEditais[[#This Row],[Valor foco homologado]]&lt;=0,"Sem valor",IF(tEditais[[#This Row],[Valor foco homologado]]&gt;=FaixaA_Min,"A",IF(tEditais[[#This Row],[Valor foco homologado]]&gt;=FaixaB_Min,"B","C"))))</f>
        <v/>
      </c>
      <c r="P180" t="str">
        <f ca="1">IF(tEditais[[#This Row],[Encerramento]]&gt;NOW(),"Aberto","Encerrado")</f>
        <v>Encerrado</v>
      </c>
    </row>
    <row r="181" spans="1:16" x14ac:dyDescent="0.25">
      <c r="A181" t="s">
        <v>1348</v>
      </c>
      <c r="B181" t="s">
        <v>1349</v>
      </c>
      <c r="C181" t="s">
        <v>1350</v>
      </c>
      <c r="D181" t="s">
        <v>1285</v>
      </c>
      <c r="E181" t="s">
        <v>716</v>
      </c>
      <c r="F181" s="11">
        <v>46308.333333333336</v>
      </c>
      <c r="G181">
        <v>136</v>
      </c>
      <c r="H181" t="s">
        <v>1351</v>
      </c>
      <c r="I181" t="s">
        <v>1352</v>
      </c>
      <c r="J181" t="str">
        <f>IF(ISNUMBER(SEARCH("registro de pre",tEditais[[#This Row],[Objeto]])),"Sim","Não")</f>
        <v>Não</v>
      </c>
      <c r="K181" s="4">
        <f>COUNTIFS(tItens[Edital],tEditais[[#This Row],[Edital]])</f>
        <v>5</v>
      </c>
      <c r="L181" s="4">
        <f>COUNTIFS(tItens[Edital],tEditais[[#This Row],[Edital]],tItens[Foco],"Sim")</f>
        <v>1</v>
      </c>
      <c r="M181" s="8">
        <f>SUMIFS(tItens[Valor],tItens[Edital],tEditais[[#This Row],[Edital]])</f>
        <v>0</v>
      </c>
      <c r="N181" s="8">
        <f>SUMIFS(tItens[Valor homologado],tItens[Edital],tEditais[[#This Row],[Edital]],tItens[Foco],"Sim")</f>
        <v>0</v>
      </c>
      <c r="O181" t="str">
        <f>IF(tEditais[[#This Row],[Itens do foco]]=0,"",IF(tEditais[[#This Row],[Valor foco homologado]]&lt;=0,"Sem valor",IF(tEditais[[#This Row],[Valor foco homologado]]&gt;=FaixaA_Min,"A",IF(tEditais[[#This Row],[Valor foco homologado]]&gt;=FaixaB_Min,"B","C"))))</f>
        <v>Sem valor</v>
      </c>
      <c r="P181" t="str">
        <f ca="1">IF(tEditais[[#This Row],[Encerramento]]&gt;NOW(),"Aberto","Encerrado")</f>
        <v>Encerrado</v>
      </c>
    </row>
    <row r="182" spans="1:16" x14ac:dyDescent="0.25">
      <c r="A182" t="s">
        <v>1353</v>
      </c>
      <c r="B182" t="s">
        <v>739</v>
      </c>
      <c r="C182" t="s">
        <v>1294</v>
      </c>
      <c r="D182" t="s">
        <v>1285</v>
      </c>
      <c r="E182" t="s">
        <v>800</v>
      </c>
      <c r="F182" s="11">
        <v>46308.333333333336</v>
      </c>
      <c r="G182">
        <v>10</v>
      </c>
      <c r="H182" t="s">
        <v>1354</v>
      </c>
      <c r="I182" t="s">
        <v>1355</v>
      </c>
      <c r="J182" t="str">
        <f>IF(ISNUMBER(SEARCH("registro de pre",tEditais[[#This Row],[Objeto]])),"Sim","Não")</f>
        <v>Não</v>
      </c>
      <c r="K182" s="4">
        <f>COUNTIFS(tItens[Edital],tEditais[[#This Row],[Edital]])</f>
        <v>1</v>
      </c>
      <c r="L182" s="4">
        <f>COUNTIFS(tItens[Edital],tEditais[[#This Row],[Edital]],tItens[Foco],"Sim")</f>
        <v>0</v>
      </c>
      <c r="M182" s="8">
        <f>SUMIFS(tItens[Valor],tItens[Edital],tEditais[[#This Row],[Edital]])</f>
        <v>0</v>
      </c>
      <c r="N182" s="8">
        <f>SUMIFS(tItens[Valor homologado],tItens[Edital],tEditais[[#This Row],[Edital]],tItens[Foco],"Sim")</f>
        <v>0</v>
      </c>
      <c r="O182" t="str">
        <f>IF(tEditais[[#This Row],[Itens do foco]]=0,"",IF(tEditais[[#This Row],[Valor foco homologado]]&lt;=0,"Sem valor",IF(tEditais[[#This Row],[Valor foco homologado]]&gt;=FaixaA_Min,"A",IF(tEditais[[#This Row],[Valor foco homologado]]&gt;=FaixaB_Min,"B","C"))))</f>
        <v/>
      </c>
      <c r="P182" t="str">
        <f ca="1">IF(tEditais[[#This Row],[Encerramento]]&gt;NOW(),"Aberto","Encerrado")</f>
        <v>Encerrado</v>
      </c>
    </row>
    <row r="183" spans="1:16" x14ac:dyDescent="0.25">
      <c r="A183" t="s">
        <v>1356</v>
      </c>
      <c r="B183" t="s">
        <v>1357</v>
      </c>
      <c r="C183" t="s">
        <v>1358</v>
      </c>
      <c r="D183" t="s">
        <v>1285</v>
      </c>
      <c r="E183" t="s">
        <v>716</v>
      </c>
      <c r="F183" s="11">
        <v>46308.333333333336</v>
      </c>
      <c r="G183">
        <v>211</v>
      </c>
      <c r="H183" t="s">
        <v>1359</v>
      </c>
      <c r="I183" t="s">
        <v>1360</v>
      </c>
      <c r="J183" t="str">
        <f>IF(ISNUMBER(SEARCH("registro de pre",tEditais[[#This Row],[Objeto]])),"Sim","Não")</f>
        <v>Sim</v>
      </c>
      <c r="K183" s="4">
        <f>COUNTIFS(tItens[Edital],tEditais[[#This Row],[Edital]])</f>
        <v>13</v>
      </c>
      <c r="L183" s="4">
        <f>COUNTIFS(tItens[Edital],tEditais[[#This Row],[Edital]],tItens[Foco],"Sim")</f>
        <v>2</v>
      </c>
      <c r="M183" s="8">
        <f>SUMIFS(tItens[Valor],tItens[Edital],tEditais[[#This Row],[Edital]])</f>
        <v>32580.200000000004</v>
      </c>
      <c r="N183" s="8">
        <f>SUMIFS(tItens[Valor homologado],tItens[Edital],tEditais[[#This Row],[Edital]],tItens[Foco],"Sim")</f>
        <v>406.29599999999994</v>
      </c>
      <c r="O183" t="str">
        <f>IF(tEditais[[#This Row],[Itens do foco]]=0,"",IF(tEditais[[#This Row],[Valor foco homologado]]&lt;=0,"Sem valor",IF(tEditais[[#This Row],[Valor foco homologado]]&gt;=FaixaA_Min,"A",IF(tEditais[[#This Row],[Valor foco homologado]]&gt;=FaixaB_Min,"B","C"))))</f>
        <v>C</v>
      </c>
      <c r="P183" t="str">
        <f ca="1">IF(tEditais[[#This Row],[Encerramento]]&gt;NOW(),"Aberto","Encerrado")</f>
        <v>Encerrado</v>
      </c>
    </row>
    <row r="184" spans="1:16" x14ac:dyDescent="0.25">
      <c r="A184" t="s">
        <v>1361</v>
      </c>
      <c r="B184" t="s">
        <v>1318</v>
      </c>
      <c r="C184" t="s">
        <v>1319</v>
      </c>
      <c r="D184" t="s">
        <v>1285</v>
      </c>
      <c r="E184" t="s">
        <v>800</v>
      </c>
      <c r="F184" s="11">
        <v>46308.333333333336</v>
      </c>
      <c r="G184">
        <v>1</v>
      </c>
      <c r="H184" t="s">
        <v>1362</v>
      </c>
      <c r="I184" t="s">
        <v>1363</v>
      </c>
      <c r="J184" t="str">
        <f>IF(ISNUMBER(SEARCH("registro de pre",tEditais[[#This Row],[Objeto]])),"Sim","Não")</f>
        <v>Não</v>
      </c>
      <c r="K184" s="4">
        <f>COUNTIFS(tItens[Edital],tEditais[[#This Row],[Edital]])</f>
        <v>1</v>
      </c>
      <c r="L184" s="4">
        <f>COUNTIFS(tItens[Edital],tEditais[[#This Row],[Edital]],tItens[Foco],"Sim")</f>
        <v>0</v>
      </c>
      <c r="M184" s="8">
        <f>SUMIFS(tItens[Valor],tItens[Edital],tEditais[[#This Row],[Edital]])</f>
        <v>0</v>
      </c>
      <c r="N184" s="8">
        <f>SUMIFS(tItens[Valor homologado],tItens[Edital],tEditais[[#This Row],[Edital]],tItens[Foco],"Sim")</f>
        <v>0</v>
      </c>
      <c r="O184" t="str">
        <f>IF(tEditais[[#This Row],[Itens do foco]]=0,"",IF(tEditais[[#This Row],[Valor foco homologado]]&lt;=0,"Sem valor",IF(tEditais[[#This Row],[Valor foco homologado]]&gt;=FaixaA_Min,"A",IF(tEditais[[#This Row],[Valor foco homologado]]&gt;=FaixaB_Min,"B","C"))))</f>
        <v/>
      </c>
      <c r="P184" t="str">
        <f ca="1">IF(tEditais[[#This Row],[Encerramento]]&gt;NOW(),"Aberto","Encerrado")</f>
        <v>Encerrado</v>
      </c>
    </row>
    <row r="185" spans="1:16" x14ac:dyDescent="0.25">
      <c r="A185" t="s">
        <v>1364</v>
      </c>
      <c r="B185" t="s">
        <v>1365</v>
      </c>
      <c r="C185" t="s">
        <v>1366</v>
      </c>
      <c r="D185" t="s">
        <v>1285</v>
      </c>
      <c r="E185" t="s">
        <v>716</v>
      </c>
      <c r="F185" s="11">
        <v>46308.353472222225</v>
      </c>
      <c r="G185">
        <v>2</v>
      </c>
      <c r="I185" t="s">
        <v>1367</v>
      </c>
      <c r="J185" t="str">
        <f>IF(ISNUMBER(SEARCH("registro de pre",tEditais[[#This Row],[Objeto]])),"Sim","Não")</f>
        <v>Sim</v>
      </c>
      <c r="K185" s="4">
        <f>COUNTIFS(tItens[Edital],tEditais[[#This Row],[Edital]])</f>
        <v>2</v>
      </c>
      <c r="L185" s="4">
        <f>COUNTIFS(tItens[Edital],tEditais[[#This Row],[Edital]],tItens[Foco],"Sim")</f>
        <v>0</v>
      </c>
      <c r="M185" s="8">
        <f>SUMIFS(tItens[Valor],tItens[Edital],tEditais[[#This Row],[Edital]])</f>
        <v>76500</v>
      </c>
      <c r="N185" s="8">
        <f>SUMIFS(tItens[Valor homologado],tItens[Edital],tEditais[[#This Row],[Edital]],tItens[Foco],"Sim")</f>
        <v>0</v>
      </c>
      <c r="O185" t="str">
        <f>IF(tEditais[[#This Row],[Itens do foco]]=0,"",IF(tEditais[[#This Row],[Valor foco homologado]]&lt;=0,"Sem valor",IF(tEditais[[#This Row],[Valor foco homologado]]&gt;=FaixaA_Min,"A",IF(tEditais[[#This Row],[Valor foco homologado]]&gt;=FaixaB_Min,"B","C"))))</f>
        <v/>
      </c>
      <c r="P185" t="str">
        <f ca="1">IF(tEditais[[#This Row],[Encerramento]]&gt;NOW(),"Aberto","Encerrado")</f>
        <v>Encerrado</v>
      </c>
    </row>
    <row r="186" spans="1:16" x14ac:dyDescent="0.25">
      <c r="A186" t="s">
        <v>1368</v>
      </c>
      <c r="B186" t="s">
        <v>1369</v>
      </c>
      <c r="C186" t="s">
        <v>1370</v>
      </c>
      <c r="D186" t="s">
        <v>1285</v>
      </c>
      <c r="E186" t="s">
        <v>716</v>
      </c>
      <c r="F186" s="11">
        <v>46308.354166666664</v>
      </c>
      <c r="G186">
        <v>43</v>
      </c>
      <c r="H186" t="s">
        <v>1371</v>
      </c>
      <c r="I186" t="s">
        <v>1372</v>
      </c>
      <c r="J186" t="str">
        <f>IF(ISNUMBER(SEARCH("registro de pre",tEditais[[#This Row],[Objeto]])),"Sim","Não")</f>
        <v>Sim</v>
      </c>
      <c r="K186" s="4">
        <f>COUNTIFS(tItens[Edital],tEditais[[#This Row],[Edital]])</f>
        <v>3</v>
      </c>
      <c r="L186" s="4">
        <f>COUNTIFS(tItens[Edital],tEditais[[#This Row],[Edital]],tItens[Foco],"Sim")</f>
        <v>1</v>
      </c>
      <c r="M186" s="8">
        <f>SUMIFS(tItens[Valor],tItens[Edital],tEditais[[#This Row],[Edital]])</f>
        <v>0</v>
      </c>
      <c r="N186" s="8">
        <f>SUMIFS(tItens[Valor homologado],tItens[Edital],tEditais[[#This Row],[Edital]],tItens[Foco],"Sim")</f>
        <v>0</v>
      </c>
      <c r="O186" t="str">
        <f>IF(tEditais[[#This Row],[Itens do foco]]=0,"",IF(tEditais[[#This Row],[Valor foco homologado]]&lt;=0,"Sem valor",IF(tEditais[[#This Row],[Valor foco homologado]]&gt;=FaixaA_Min,"A",IF(tEditais[[#This Row],[Valor foco homologado]]&gt;=FaixaB_Min,"B","C"))))</f>
        <v>Sem valor</v>
      </c>
      <c r="P186" t="str">
        <f ca="1">IF(tEditais[[#This Row],[Encerramento]]&gt;NOW(),"Aberto","Encerrado")</f>
        <v>Encerrado</v>
      </c>
    </row>
    <row r="187" spans="1:16" x14ac:dyDescent="0.25">
      <c r="A187" t="s">
        <v>1373</v>
      </c>
      <c r="B187" t="s">
        <v>1374</v>
      </c>
      <c r="C187" t="s">
        <v>1375</v>
      </c>
      <c r="D187" t="s">
        <v>1285</v>
      </c>
      <c r="E187" t="s">
        <v>716</v>
      </c>
      <c r="F187" s="11">
        <v>46308.354166666664</v>
      </c>
      <c r="G187">
        <v>216</v>
      </c>
      <c r="I187" t="s">
        <v>1376</v>
      </c>
      <c r="J187" t="str">
        <f>IF(ISNUMBER(SEARCH("registro de pre",tEditais[[#This Row],[Objeto]])),"Sim","Não")</f>
        <v>Sim</v>
      </c>
      <c r="K187" s="4">
        <f>COUNTIFS(tItens[Edital],tEditais[[#This Row],[Edital]])</f>
        <v>13</v>
      </c>
      <c r="L187" s="4">
        <f>COUNTIFS(tItens[Edital],tEditais[[#This Row],[Edital]],tItens[Foco],"Sim")</f>
        <v>0</v>
      </c>
      <c r="M187" s="8">
        <f>SUMIFS(tItens[Valor],tItens[Edital],tEditais[[#This Row],[Edital]])</f>
        <v>34453.790000000008</v>
      </c>
      <c r="N187" s="8">
        <f>SUMIFS(tItens[Valor homologado],tItens[Edital],tEditais[[#This Row],[Edital]],tItens[Foco],"Sim")</f>
        <v>0</v>
      </c>
      <c r="O187" t="str">
        <f>IF(tEditais[[#This Row],[Itens do foco]]=0,"",IF(tEditais[[#This Row],[Valor foco homologado]]&lt;=0,"Sem valor",IF(tEditais[[#This Row],[Valor foco homologado]]&gt;=FaixaA_Min,"A",IF(tEditais[[#This Row],[Valor foco homologado]]&gt;=FaixaB_Min,"B","C"))))</f>
        <v/>
      </c>
      <c r="P187" t="str">
        <f ca="1">IF(tEditais[[#This Row],[Encerramento]]&gt;NOW(),"Aberto","Encerrado")</f>
        <v>Encerrado</v>
      </c>
    </row>
    <row r="188" spans="1:16" x14ac:dyDescent="0.25">
      <c r="A188" t="s">
        <v>1377</v>
      </c>
      <c r="B188" t="s">
        <v>739</v>
      </c>
      <c r="C188" t="s">
        <v>1294</v>
      </c>
      <c r="D188" t="s">
        <v>1285</v>
      </c>
      <c r="E188" t="s">
        <v>716</v>
      </c>
      <c r="F188" s="11">
        <v>46308.375</v>
      </c>
      <c r="G188">
        <v>61</v>
      </c>
      <c r="H188" t="s">
        <v>1378</v>
      </c>
      <c r="I188" t="s">
        <v>1379</v>
      </c>
      <c r="J188" t="str">
        <f>IF(ISNUMBER(SEARCH("registro de pre",tEditais[[#This Row],[Objeto]])),"Sim","Não")</f>
        <v>Não</v>
      </c>
      <c r="K188" s="4">
        <f>COUNTIFS(tItens[Edital],tEditais[[#This Row],[Edital]])</f>
        <v>14</v>
      </c>
      <c r="L188" s="4">
        <f>COUNTIFS(tItens[Edital],tEditais[[#This Row],[Edital]],tItens[Foco],"Sim")</f>
        <v>0</v>
      </c>
      <c r="M188" s="8">
        <f>SUMIFS(tItens[Valor],tItens[Edital],tEditais[[#This Row],[Edital]])</f>
        <v>0</v>
      </c>
      <c r="N188" s="8">
        <f>SUMIFS(tItens[Valor homologado],tItens[Edital],tEditais[[#This Row],[Edital]],tItens[Foco],"Sim")</f>
        <v>0</v>
      </c>
      <c r="O188" t="str">
        <f>IF(tEditais[[#This Row],[Itens do foco]]=0,"",IF(tEditais[[#This Row],[Valor foco homologado]]&lt;=0,"Sem valor",IF(tEditais[[#This Row],[Valor foco homologado]]&gt;=FaixaA_Min,"A",IF(tEditais[[#This Row],[Valor foco homologado]]&gt;=FaixaB_Min,"B","C"))))</f>
        <v/>
      </c>
      <c r="P188" t="str">
        <f ca="1">IF(tEditais[[#This Row],[Encerramento]]&gt;NOW(),"Aberto","Encerrado")</f>
        <v>Encerrado</v>
      </c>
    </row>
    <row r="189" spans="1:16" x14ac:dyDescent="0.25">
      <c r="A189" t="s">
        <v>1380</v>
      </c>
      <c r="B189" t="s">
        <v>1381</v>
      </c>
      <c r="C189" t="s">
        <v>1382</v>
      </c>
      <c r="D189" t="s">
        <v>1285</v>
      </c>
      <c r="E189" t="s">
        <v>716</v>
      </c>
      <c r="F189" s="11">
        <v>46308.375</v>
      </c>
      <c r="G189">
        <v>26</v>
      </c>
      <c r="H189" t="s">
        <v>1383</v>
      </c>
      <c r="I189" t="s">
        <v>1384</v>
      </c>
      <c r="J189" t="str">
        <f>IF(ISNUMBER(SEARCH("registro de pre",tEditais[[#This Row],[Objeto]])),"Sim","Não")</f>
        <v>Sim</v>
      </c>
      <c r="K189" s="4">
        <f>COUNTIFS(tItens[Edital],tEditais[[#This Row],[Edital]])</f>
        <v>1</v>
      </c>
      <c r="L189" s="4">
        <f>COUNTIFS(tItens[Edital],tEditais[[#This Row],[Edital]],tItens[Foco],"Sim")</f>
        <v>0</v>
      </c>
      <c r="M189" s="8">
        <f>SUMIFS(tItens[Valor],tItens[Edital],tEditais[[#This Row],[Edital]])</f>
        <v>1932.9999999999998</v>
      </c>
      <c r="N189" s="8">
        <f>SUMIFS(tItens[Valor homologado],tItens[Edital],tEditais[[#This Row],[Edital]],tItens[Foco],"Sim")</f>
        <v>0</v>
      </c>
      <c r="O189" t="str">
        <f>IF(tEditais[[#This Row],[Itens do foco]]=0,"",IF(tEditais[[#This Row],[Valor foco homologado]]&lt;=0,"Sem valor",IF(tEditais[[#This Row],[Valor foco homologado]]&gt;=FaixaA_Min,"A",IF(tEditais[[#This Row],[Valor foco homologado]]&gt;=FaixaB_Min,"B","C"))))</f>
        <v/>
      </c>
      <c r="P189" t="str">
        <f ca="1">IF(tEditais[[#This Row],[Encerramento]]&gt;NOW(),"Aberto","Encerrado")</f>
        <v>Encerrado</v>
      </c>
    </row>
    <row r="190" spans="1:16" x14ac:dyDescent="0.25">
      <c r="A190" t="s">
        <v>1385</v>
      </c>
      <c r="B190" t="s">
        <v>1386</v>
      </c>
      <c r="C190" t="s">
        <v>1387</v>
      </c>
      <c r="D190" t="s">
        <v>1285</v>
      </c>
      <c r="E190" t="s">
        <v>716</v>
      </c>
      <c r="F190" s="11">
        <v>46308.375</v>
      </c>
      <c r="G190">
        <v>403</v>
      </c>
      <c r="H190" t="s">
        <v>1388</v>
      </c>
      <c r="I190" t="s">
        <v>1389</v>
      </c>
      <c r="J190" t="str">
        <f>IF(ISNUMBER(SEARCH("registro de pre",tEditais[[#This Row],[Objeto]])),"Sim","Não")</f>
        <v>Não</v>
      </c>
      <c r="K190" s="4">
        <f>COUNTIFS(tItens[Edital],tEditais[[#This Row],[Edital]])</f>
        <v>110</v>
      </c>
      <c r="L190" s="4">
        <f>COUNTIFS(tItens[Edital],tEditais[[#This Row],[Edital]],tItens[Foco],"Sim")</f>
        <v>17</v>
      </c>
      <c r="M190" s="8">
        <f>SUMIFS(tItens[Valor],tItens[Edital],tEditais[[#This Row],[Edital]])</f>
        <v>3230833.58</v>
      </c>
      <c r="N190" s="8">
        <f>SUMIFS(tItens[Valor homologado],tItens[Edital],tEditais[[#This Row],[Edital]],tItens[Foco],"Sim")</f>
        <v>107976.80600000001</v>
      </c>
      <c r="O190" t="str">
        <f>IF(tEditais[[#This Row],[Itens do foco]]=0,"",IF(tEditais[[#This Row],[Valor foco homologado]]&lt;=0,"Sem valor",IF(tEditais[[#This Row],[Valor foco homologado]]&gt;=FaixaA_Min,"A",IF(tEditais[[#This Row],[Valor foco homologado]]&gt;=FaixaB_Min,"B","C"))))</f>
        <v>A</v>
      </c>
      <c r="P190" t="str">
        <f ca="1">IF(tEditais[[#This Row],[Encerramento]]&gt;NOW(),"Aberto","Encerrado")</f>
        <v>Encerrado</v>
      </c>
    </row>
    <row r="191" spans="1:16" x14ac:dyDescent="0.25">
      <c r="A191" t="s">
        <v>1390</v>
      </c>
      <c r="B191" t="s">
        <v>1391</v>
      </c>
      <c r="C191" t="s">
        <v>1319</v>
      </c>
      <c r="D191" t="s">
        <v>1285</v>
      </c>
      <c r="E191" t="s">
        <v>716</v>
      </c>
      <c r="F191" s="11">
        <v>46308.375</v>
      </c>
      <c r="G191">
        <v>18</v>
      </c>
      <c r="H191" t="s">
        <v>1392</v>
      </c>
      <c r="I191" t="s">
        <v>1393</v>
      </c>
      <c r="J191" t="str">
        <f>IF(ISNUMBER(SEARCH("registro de pre",tEditais[[#This Row],[Objeto]])),"Sim","Não")</f>
        <v>Não</v>
      </c>
      <c r="K191" s="4">
        <f>COUNTIFS(tItens[Edital],tEditais[[#This Row],[Edital]])</f>
        <v>15</v>
      </c>
      <c r="L191" s="4">
        <f>COUNTIFS(tItens[Edital],tEditais[[#This Row],[Edital]],tItens[Foco],"Sim")</f>
        <v>0</v>
      </c>
      <c r="M191" s="8">
        <f>SUMIFS(tItens[Valor],tItens[Edital],tEditais[[#This Row],[Edital]])</f>
        <v>0</v>
      </c>
      <c r="N191" s="8">
        <f>SUMIFS(tItens[Valor homologado],tItens[Edital],tEditais[[#This Row],[Edital]],tItens[Foco],"Sim")</f>
        <v>0</v>
      </c>
      <c r="O191" t="str">
        <f>IF(tEditais[[#This Row],[Itens do foco]]=0,"",IF(tEditais[[#This Row],[Valor foco homologado]]&lt;=0,"Sem valor",IF(tEditais[[#This Row],[Valor foco homologado]]&gt;=FaixaA_Min,"A",IF(tEditais[[#This Row],[Valor foco homologado]]&gt;=FaixaB_Min,"B","C"))))</f>
        <v/>
      </c>
      <c r="P191" t="str">
        <f ca="1">IF(tEditais[[#This Row],[Encerramento]]&gt;NOW(),"Aberto","Encerrado")</f>
        <v>Encerrado</v>
      </c>
    </row>
    <row r="192" spans="1:16" x14ac:dyDescent="0.25">
      <c r="A192" t="s">
        <v>1394</v>
      </c>
      <c r="B192" t="s">
        <v>1391</v>
      </c>
      <c r="C192" t="s">
        <v>1319</v>
      </c>
      <c r="D192" t="s">
        <v>1285</v>
      </c>
      <c r="E192" t="s">
        <v>716</v>
      </c>
      <c r="F192" s="11">
        <v>46308.375</v>
      </c>
      <c r="G192">
        <v>22</v>
      </c>
      <c r="H192" t="s">
        <v>1395</v>
      </c>
      <c r="I192" t="s">
        <v>1396</v>
      </c>
      <c r="J192" t="str">
        <f>IF(ISNUMBER(SEARCH("registro de pre",tEditais[[#This Row],[Objeto]])),"Sim","Não")</f>
        <v>Não</v>
      </c>
      <c r="K192" s="4">
        <f>COUNTIFS(tItens[Edital],tEditais[[#This Row],[Edital]])</f>
        <v>6</v>
      </c>
      <c r="L192" s="4">
        <f>COUNTIFS(tItens[Edital],tEditais[[#This Row],[Edital]],tItens[Foco],"Sim")</f>
        <v>2</v>
      </c>
      <c r="M192" s="8">
        <f>SUMIFS(tItens[Valor],tItens[Edital],tEditais[[#This Row],[Edital]])</f>
        <v>0</v>
      </c>
      <c r="N192" s="8">
        <f>SUMIFS(tItens[Valor homologado],tItens[Edital],tEditais[[#This Row],[Edital]],tItens[Foco],"Sim")</f>
        <v>0</v>
      </c>
      <c r="O192" t="str">
        <f>IF(tEditais[[#This Row],[Itens do foco]]=0,"",IF(tEditais[[#This Row],[Valor foco homologado]]&lt;=0,"Sem valor",IF(tEditais[[#This Row],[Valor foco homologado]]&gt;=FaixaA_Min,"A",IF(tEditais[[#This Row],[Valor foco homologado]]&gt;=FaixaB_Min,"B","C"))))</f>
        <v>Sem valor</v>
      </c>
      <c r="P192" t="str">
        <f ca="1">IF(tEditais[[#This Row],[Encerramento]]&gt;NOW(),"Aberto","Encerrado")</f>
        <v>Encerrado</v>
      </c>
    </row>
    <row r="193" spans="1:16" x14ac:dyDescent="0.25">
      <c r="A193" t="s">
        <v>1397</v>
      </c>
      <c r="B193" t="s">
        <v>1398</v>
      </c>
      <c r="C193" t="s">
        <v>1399</v>
      </c>
      <c r="D193" t="s">
        <v>1285</v>
      </c>
      <c r="E193" t="s">
        <v>716</v>
      </c>
      <c r="F193" s="11">
        <v>46308.416666666664</v>
      </c>
      <c r="G193">
        <v>43</v>
      </c>
      <c r="H193" t="s">
        <v>1400</v>
      </c>
      <c r="I193" t="s">
        <v>1401</v>
      </c>
      <c r="J193" t="str">
        <f>IF(ISNUMBER(SEARCH("registro de pre",tEditais[[#This Row],[Objeto]])),"Sim","Não")</f>
        <v>Não</v>
      </c>
      <c r="K193" s="4">
        <f>COUNTIFS(tItens[Edital],tEditais[[#This Row],[Edital]])</f>
        <v>10</v>
      </c>
      <c r="L193" s="4">
        <f>COUNTIFS(tItens[Edital],tEditais[[#This Row],[Edital]],tItens[Foco],"Sim")</f>
        <v>0</v>
      </c>
      <c r="M193" s="8">
        <f>SUMIFS(tItens[Valor],tItens[Edital],tEditais[[#This Row],[Edital]])</f>
        <v>0</v>
      </c>
      <c r="N193" s="8">
        <f>SUMIFS(tItens[Valor homologado],tItens[Edital],tEditais[[#This Row],[Edital]],tItens[Foco],"Sim")</f>
        <v>0</v>
      </c>
      <c r="O193" t="str">
        <f>IF(tEditais[[#This Row],[Itens do foco]]=0,"",IF(tEditais[[#This Row],[Valor foco homologado]]&lt;=0,"Sem valor",IF(tEditais[[#This Row],[Valor foco homologado]]&gt;=FaixaA_Min,"A",IF(tEditais[[#This Row],[Valor foco homologado]]&gt;=FaixaB_Min,"B","C"))))</f>
        <v/>
      </c>
      <c r="P193" t="str">
        <f ca="1">IF(tEditais[[#This Row],[Encerramento]]&gt;NOW(),"Aberto","Encerrado")</f>
        <v>Encerrado</v>
      </c>
    </row>
    <row r="194" spans="1:16" x14ac:dyDescent="0.25">
      <c r="A194" t="s">
        <v>1402</v>
      </c>
      <c r="B194" t="s">
        <v>1403</v>
      </c>
      <c r="C194" t="s">
        <v>1404</v>
      </c>
      <c r="D194" t="s">
        <v>1285</v>
      </c>
      <c r="E194" t="s">
        <v>716</v>
      </c>
      <c r="F194" s="11">
        <v>46308.458333333336</v>
      </c>
      <c r="G194">
        <v>324</v>
      </c>
      <c r="I194" t="s">
        <v>1405</v>
      </c>
      <c r="J194" t="str">
        <f>IF(ISNUMBER(SEARCH("registro de pre",tEditais[[#This Row],[Objeto]])),"Sim","Não")</f>
        <v>Sim</v>
      </c>
      <c r="K194" s="4">
        <f>COUNTIFS(tItens[Edital],tEditais[[#This Row],[Edital]])</f>
        <v>80</v>
      </c>
      <c r="L194" s="4">
        <f>COUNTIFS(tItens[Edital],tEditais[[#This Row],[Edital]],tItens[Foco],"Sim")</f>
        <v>20</v>
      </c>
      <c r="M194" s="8">
        <f>SUMIFS(tItens[Valor],tItens[Edital],tEditais[[#This Row],[Edital]])</f>
        <v>222813.69000000003</v>
      </c>
      <c r="N194" s="8">
        <f>SUMIFS(tItens[Valor homologado],tItens[Edital],tEditais[[#This Row],[Edital]],tItens[Foco],"Sim")</f>
        <v>26924.817199999998</v>
      </c>
      <c r="O194" t="str">
        <f>IF(tEditais[[#This Row],[Itens do foco]]=0,"",IF(tEditais[[#This Row],[Valor foco homologado]]&lt;=0,"Sem valor",IF(tEditais[[#This Row],[Valor foco homologado]]&gt;=FaixaA_Min,"A",IF(tEditais[[#This Row],[Valor foco homologado]]&gt;=FaixaB_Min,"B","C"))))</f>
        <v>C</v>
      </c>
      <c r="P194" t="str">
        <f ca="1">IF(tEditais[[#This Row],[Encerramento]]&gt;NOW(),"Aberto","Encerrado")</f>
        <v>Encerrado</v>
      </c>
    </row>
    <row r="195" spans="1:16" x14ac:dyDescent="0.25">
      <c r="A195" t="s">
        <v>1406</v>
      </c>
      <c r="B195" t="s">
        <v>1407</v>
      </c>
      <c r="C195" t="s">
        <v>1408</v>
      </c>
      <c r="D195" t="s">
        <v>1285</v>
      </c>
      <c r="E195" t="s">
        <v>716</v>
      </c>
      <c r="F195" s="11">
        <v>46308.5</v>
      </c>
      <c r="G195">
        <v>69</v>
      </c>
      <c r="H195" t="s">
        <v>1409</v>
      </c>
      <c r="I195" t="s">
        <v>1410</v>
      </c>
      <c r="J195" t="str">
        <f>IF(ISNUMBER(SEARCH("registro de pre",tEditais[[#This Row],[Objeto]])),"Sim","Não")</f>
        <v>Sim</v>
      </c>
      <c r="K195" s="4">
        <f>COUNTIFS(tItens[Edital],tEditais[[#This Row],[Edital]])</f>
        <v>10</v>
      </c>
      <c r="L195" s="4">
        <f>COUNTIFS(tItens[Edital],tEditais[[#This Row],[Edital]],tItens[Foco],"Sim")</f>
        <v>1</v>
      </c>
      <c r="M195" s="8">
        <f>SUMIFS(tItens[Valor],tItens[Edital],tEditais[[#This Row],[Edital]])</f>
        <v>44047.7</v>
      </c>
      <c r="N195" s="8">
        <f>SUMIFS(tItens[Valor homologado],tItens[Edital],tEditais[[#This Row],[Edital]],tItens[Foco],"Sim")</f>
        <v>94.024000000000001</v>
      </c>
      <c r="O195" t="str">
        <f>IF(tEditais[[#This Row],[Itens do foco]]=0,"",IF(tEditais[[#This Row],[Valor foco homologado]]&lt;=0,"Sem valor",IF(tEditais[[#This Row],[Valor foco homologado]]&gt;=FaixaA_Min,"A",IF(tEditais[[#This Row],[Valor foco homologado]]&gt;=FaixaB_Min,"B","C"))))</f>
        <v>C</v>
      </c>
      <c r="P195" t="str">
        <f ca="1">IF(tEditais[[#This Row],[Encerramento]]&gt;NOW(),"Aberto","Encerrado")</f>
        <v>Encerrado</v>
      </c>
    </row>
    <row r="196" spans="1:16" x14ac:dyDescent="0.25">
      <c r="A196" t="s">
        <v>1411</v>
      </c>
      <c r="B196" t="s">
        <v>1412</v>
      </c>
      <c r="C196" t="s">
        <v>1413</v>
      </c>
      <c r="D196" t="s">
        <v>1285</v>
      </c>
      <c r="E196" t="s">
        <v>716</v>
      </c>
      <c r="F196" s="11">
        <v>46308.520833333336</v>
      </c>
      <c r="G196">
        <v>138</v>
      </c>
      <c r="I196" t="s">
        <v>1414</v>
      </c>
      <c r="J196" t="str">
        <f>IF(ISNUMBER(SEARCH("registro de pre",tEditais[[#This Row],[Objeto]])),"Sim","Não")</f>
        <v>Sim</v>
      </c>
      <c r="K196" s="4">
        <f>COUNTIFS(tItens[Edital],tEditais[[#This Row],[Edital]])</f>
        <v>9</v>
      </c>
      <c r="L196" s="4">
        <f>COUNTIFS(tItens[Edital],tEditais[[#This Row],[Edital]],tItens[Foco],"Sim")</f>
        <v>1</v>
      </c>
      <c r="M196" s="8">
        <f>SUMIFS(tItens[Valor],tItens[Edital],tEditais[[#This Row],[Edital]])</f>
        <v>117431.7</v>
      </c>
      <c r="N196" s="8">
        <f>SUMIFS(tItens[Valor homologado],tItens[Edital],tEditais[[#This Row],[Edital]],tItens[Foco],"Sim")</f>
        <v>146.12399999999997</v>
      </c>
      <c r="O196" t="str">
        <f>IF(tEditais[[#This Row],[Itens do foco]]=0,"",IF(tEditais[[#This Row],[Valor foco homologado]]&lt;=0,"Sem valor",IF(tEditais[[#This Row],[Valor foco homologado]]&gt;=FaixaA_Min,"A",IF(tEditais[[#This Row],[Valor foco homologado]]&gt;=FaixaB_Min,"B","C"))))</f>
        <v>C</v>
      </c>
      <c r="P196" t="str">
        <f ca="1">IF(tEditais[[#This Row],[Encerramento]]&gt;NOW(),"Aberto","Encerrado")</f>
        <v>Encerrado</v>
      </c>
    </row>
    <row r="197" spans="1:16" x14ac:dyDescent="0.25">
      <c r="A197" t="s">
        <v>1415</v>
      </c>
      <c r="B197" t="s">
        <v>1416</v>
      </c>
      <c r="C197" t="s">
        <v>1417</v>
      </c>
      <c r="D197" t="s">
        <v>1285</v>
      </c>
      <c r="E197" t="s">
        <v>716</v>
      </c>
      <c r="F197" s="11">
        <v>46309.3125</v>
      </c>
      <c r="G197">
        <v>149</v>
      </c>
      <c r="H197" t="s">
        <v>1418</v>
      </c>
      <c r="I197" t="s">
        <v>1419</v>
      </c>
      <c r="J197" t="str">
        <f>IF(ISNUMBER(SEARCH("registro de pre",tEditais[[#This Row],[Objeto]])),"Sim","Não")</f>
        <v>Não</v>
      </c>
      <c r="K197" s="4">
        <f>COUNTIFS(tItens[Edital],tEditais[[#This Row],[Edital]])</f>
        <v>20</v>
      </c>
      <c r="L197" s="4">
        <f>COUNTIFS(tItens[Edital],tEditais[[#This Row],[Edital]],tItens[Foco],"Sim")</f>
        <v>1</v>
      </c>
      <c r="M197" s="8">
        <f>SUMIFS(tItens[Valor],tItens[Edital],tEditais[[#This Row],[Edital]])</f>
        <v>97910.14</v>
      </c>
      <c r="N197" s="8">
        <f>SUMIFS(tItens[Valor homologado],tItens[Edital],tEditais[[#This Row],[Edital]],tItens[Foco],"Sim")</f>
        <v>97.125599999999991</v>
      </c>
      <c r="O197" t="str">
        <f>IF(tEditais[[#This Row],[Itens do foco]]=0,"",IF(tEditais[[#This Row],[Valor foco homologado]]&lt;=0,"Sem valor",IF(tEditais[[#This Row],[Valor foco homologado]]&gt;=FaixaA_Min,"A",IF(tEditais[[#This Row],[Valor foco homologado]]&gt;=FaixaB_Min,"B","C"))))</f>
        <v>C</v>
      </c>
      <c r="P197" t="str">
        <f ca="1">IF(tEditais[[#This Row],[Encerramento]]&gt;NOW(),"Aberto","Encerrado")</f>
        <v>Encerrado</v>
      </c>
    </row>
    <row r="198" spans="1:16" x14ac:dyDescent="0.25">
      <c r="A198" t="s">
        <v>1420</v>
      </c>
      <c r="B198" t="s">
        <v>1421</v>
      </c>
      <c r="C198" t="s">
        <v>1422</v>
      </c>
      <c r="D198" t="s">
        <v>1285</v>
      </c>
      <c r="E198" t="s">
        <v>716</v>
      </c>
      <c r="F198" s="11">
        <v>46309.333333333336</v>
      </c>
      <c r="G198">
        <v>20</v>
      </c>
      <c r="H198" t="s">
        <v>1423</v>
      </c>
      <c r="I198" t="s">
        <v>1424</v>
      </c>
      <c r="J198" t="str">
        <f>IF(ISNUMBER(SEARCH("registro de pre",tEditais[[#This Row],[Objeto]])),"Sim","Não")</f>
        <v>Sim</v>
      </c>
      <c r="K198" s="4">
        <f>COUNTIFS(tItens[Edital],tEditais[[#This Row],[Edital]])</f>
        <v>4</v>
      </c>
      <c r="L198" s="4">
        <f>COUNTIFS(tItens[Edital],tEditais[[#This Row],[Edital]],tItens[Foco],"Sim")</f>
        <v>0</v>
      </c>
      <c r="M198" s="8">
        <f>SUMIFS(tItens[Valor],tItens[Edital],tEditais[[#This Row],[Edital]])</f>
        <v>0</v>
      </c>
      <c r="N198" s="8">
        <f>SUMIFS(tItens[Valor homologado],tItens[Edital],tEditais[[#This Row],[Edital]],tItens[Foco],"Sim")</f>
        <v>0</v>
      </c>
      <c r="O198" t="str">
        <f>IF(tEditais[[#This Row],[Itens do foco]]=0,"",IF(tEditais[[#This Row],[Valor foco homologado]]&lt;=0,"Sem valor",IF(tEditais[[#This Row],[Valor foco homologado]]&gt;=FaixaA_Min,"A",IF(tEditais[[#This Row],[Valor foco homologado]]&gt;=FaixaB_Min,"B","C"))))</f>
        <v/>
      </c>
      <c r="P198" t="str">
        <f ca="1">IF(tEditais[[#This Row],[Encerramento]]&gt;NOW(),"Aberto","Encerrado")</f>
        <v>Encerrado</v>
      </c>
    </row>
    <row r="199" spans="1:16" x14ac:dyDescent="0.25">
      <c r="A199" t="s">
        <v>1425</v>
      </c>
      <c r="B199" t="s">
        <v>1426</v>
      </c>
      <c r="C199" t="s">
        <v>1427</v>
      </c>
      <c r="D199" t="s">
        <v>1285</v>
      </c>
      <c r="E199" t="s">
        <v>716</v>
      </c>
      <c r="F199" s="11">
        <v>46309.333333333336</v>
      </c>
      <c r="G199">
        <v>85</v>
      </c>
      <c r="H199" t="s">
        <v>1428</v>
      </c>
      <c r="I199" t="s">
        <v>1429</v>
      </c>
      <c r="J199" t="str">
        <f>IF(ISNUMBER(SEARCH("registro de pre",tEditais[[#This Row],[Objeto]])),"Sim","Não")</f>
        <v>Sim</v>
      </c>
      <c r="K199" s="4">
        <f>COUNTIFS(tItens[Edital],tEditais[[#This Row],[Edital]])</f>
        <v>7</v>
      </c>
      <c r="L199" s="4">
        <f>COUNTIFS(tItens[Edital],tEditais[[#This Row],[Edital]],tItens[Foco],"Sim")</f>
        <v>1</v>
      </c>
      <c r="M199" s="8">
        <f>SUMIFS(tItens[Valor],tItens[Edital],tEditais[[#This Row],[Edital]])</f>
        <v>0</v>
      </c>
      <c r="N199" s="8">
        <f>SUMIFS(tItens[Valor homologado],tItens[Edital],tEditais[[#This Row],[Edital]],tItens[Foco],"Sim")</f>
        <v>0</v>
      </c>
      <c r="O199" t="str">
        <f>IF(tEditais[[#This Row],[Itens do foco]]=0,"",IF(tEditais[[#This Row],[Valor foco homologado]]&lt;=0,"Sem valor",IF(tEditais[[#This Row],[Valor foco homologado]]&gt;=FaixaA_Min,"A",IF(tEditais[[#This Row],[Valor foco homologado]]&gt;=FaixaB_Min,"B","C"))))</f>
        <v>Sem valor</v>
      </c>
      <c r="P199" t="str">
        <f ca="1">IF(tEditais[[#This Row],[Encerramento]]&gt;NOW(),"Aberto","Encerrado")</f>
        <v>Encerrado</v>
      </c>
    </row>
    <row r="200" spans="1:16" x14ac:dyDescent="0.25">
      <c r="A200" t="s">
        <v>1430</v>
      </c>
      <c r="B200" t="s">
        <v>1431</v>
      </c>
      <c r="C200" t="s">
        <v>1432</v>
      </c>
      <c r="D200" t="s">
        <v>1285</v>
      </c>
      <c r="E200" t="s">
        <v>716</v>
      </c>
      <c r="F200" s="11">
        <v>46309.333333333336</v>
      </c>
      <c r="G200">
        <v>501</v>
      </c>
      <c r="H200" t="s">
        <v>1433</v>
      </c>
      <c r="I200" t="s">
        <v>1434</v>
      </c>
      <c r="J200" t="str">
        <f>IF(ISNUMBER(SEARCH("registro de pre",tEditais[[#This Row],[Objeto]])),"Sim","Não")</f>
        <v>Não</v>
      </c>
      <c r="K200" s="4">
        <f>COUNTIFS(tItens[Edital],tEditais[[#This Row],[Edital]])</f>
        <v>106</v>
      </c>
      <c r="L200" s="4">
        <f>COUNTIFS(tItens[Edital],tEditais[[#This Row],[Edital]],tItens[Foco],"Sim")</f>
        <v>20</v>
      </c>
      <c r="M200" s="8">
        <f>SUMIFS(tItens[Valor],tItens[Edital],tEditais[[#This Row],[Edital]])</f>
        <v>1046460.2899999995</v>
      </c>
      <c r="N200" s="8">
        <f>SUMIFS(tItens[Valor homologado],tItens[Edital],tEditais[[#This Row],[Edital]],tItens[Foco],"Sim")</f>
        <v>36118.343999999997</v>
      </c>
      <c r="O200" t="str">
        <f>IF(tEditais[[#This Row],[Itens do foco]]=0,"",IF(tEditais[[#This Row],[Valor foco homologado]]&lt;=0,"Sem valor",IF(tEditais[[#This Row],[Valor foco homologado]]&gt;=FaixaA_Min,"A",IF(tEditais[[#This Row],[Valor foco homologado]]&gt;=FaixaB_Min,"B","C"))))</f>
        <v>C</v>
      </c>
      <c r="P200" t="str">
        <f ca="1">IF(tEditais[[#This Row],[Encerramento]]&gt;NOW(),"Aberto","Encerrado")</f>
        <v>Encerrado</v>
      </c>
    </row>
    <row r="201" spans="1:16" x14ac:dyDescent="0.25">
      <c r="A201" t="s">
        <v>1435</v>
      </c>
      <c r="B201" t="s">
        <v>1436</v>
      </c>
      <c r="C201" t="s">
        <v>1437</v>
      </c>
      <c r="D201" t="s">
        <v>1285</v>
      </c>
      <c r="E201" t="s">
        <v>716</v>
      </c>
      <c r="F201" s="11">
        <v>46309.333333333336</v>
      </c>
      <c r="G201">
        <v>199</v>
      </c>
      <c r="I201" t="s">
        <v>1438</v>
      </c>
      <c r="J201" t="str">
        <f>IF(ISNUMBER(SEARCH("registro de pre",tEditais[[#This Row],[Objeto]])),"Sim","Não")</f>
        <v>Sim</v>
      </c>
      <c r="K201" s="4">
        <f>COUNTIFS(tItens[Edital],tEditais[[#This Row],[Edital]])</f>
        <v>22</v>
      </c>
      <c r="L201" s="4">
        <f>COUNTIFS(tItens[Edital],tEditais[[#This Row],[Edital]],tItens[Foco],"Sim")</f>
        <v>3</v>
      </c>
      <c r="M201" s="8">
        <f>SUMIFS(tItens[Valor],tItens[Edital],tEditais[[#This Row],[Edital]])</f>
        <v>270499.19999999995</v>
      </c>
      <c r="N201" s="8">
        <f>SUMIFS(tItens[Valor homologado],tItens[Edital],tEditais[[#This Row],[Edital]],tItens[Foco],"Sim")</f>
        <v>5546.643</v>
      </c>
      <c r="O201" t="str">
        <f>IF(tEditais[[#This Row],[Itens do foco]]=0,"",IF(tEditais[[#This Row],[Valor foco homologado]]&lt;=0,"Sem valor",IF(tEditais[[#This Row],[Valor foco homologado]]&gt;=FaixaA_Min,"A",IF(tEditais[[#This Row],[Valor foco homologado]]&gt;=FaixaB_Min,"B","C"))))</f>
        <v>C</v>
      </c>
      <c r="P201" t="str">
        <f ca="1">IF(tEditais[[#This Row],[Encerramento]]&gt;NOW(),"Aberto","Encerrado")</f>
        <v>Encerrado</v>
      </c>
    </row>
    <row r="202" spans="1:16" x14ac:dyDescent="0.25">
      <c r="A202" t="s">
        <v>1439</v>
      </c>
      <c r="B202" t="s">
        <v>1440</v>
      </c>
      <c r="C202" t="s">
        <v>1441</v>
      </c>
      <c r="D202" t="s">
        <v>1285</v>
      </c>
      <c r="E202" t="s">
        <v>716</v>
      </c>
      <c r="F202" s="11">
        <v>46309.354166666664</v>
      </c>
      <c r="G202">
        <v>4</v>
      </c>
      <c r="H202" t="s">
        <v>1442</v>
      </c>
      <c r="I202" t="s">
        <v>1443</v>
      </c>
      <c r="J202" t="str">
        <f>IF(ISNUMBER(SEARCH("registro de pre",tEditais[[#This Row],[Objeto]])),"Sim","Não")</f>
        <v>Sim</v>
      </c>
      <c r="K202" s="4">
        <f>COUNTIFS(tItens[Edital],tEditais[[#This Row],[Edital]])</f>
        <v>4</v>
      </c>
      <c r="L202" s="4">
        <f>COUNTIFS(tItens[Edital],tEditais[[#This Row],[Edital]],tItens[Foco],"Sim")</f>
        <v>0</v>
      </c>
      <c r="M202" s="8">
        <f>SUMIFS(tItens[Valor],tItens[Edital],tEditais[[#This Row],[Edital]])</f>
        <v>118629</v>
      </c>
      <c r="N202" s="8">
        <f>SUMIFS(tItens[Valor homologado],tItens[Edital],tEditais[[#This Row],[Edital]],tItens[Foco],"Sim")</f>
        <v>0</v>
      </c>
      <c r="O202" t="str">
        <f>IF(tEditais[[#This Row],[Itens do foco]]=0,"",IF(tEditais[[#This Row],[Valor foco homologado]]&lt;=0,"Sem valor",IF(tEditais[[#This Row],[Valor foco homologado]]&gt;=FaixaA_Min,"A",IF(tEditais[[#This Row],[Valor foco homologado]]&gt;=FaixaB_Min,"B","C"))))</f>
        <v/>
      </c>
      <c r="P202" t="str">
        <f ca="1">IF(tEditais[[#This Row],[Encerramento]]&gt;NOW(),"Aberto","Encerrado")</f>
        <v>Encerrado</v>
      </c>
    </row>
    <row r="203" spans="1:16" x14ac:dyDescent="0.25">
      <c r="A203" t="s">
        <v>1444</v>
      </c>
      <c r="B203" t="s">
        <v>1445</v>
      </c>
      <c r="C203" t="s">
        <v>1446</v>
      </c>
      <c r="D203" t="s">
        <v>1285</v>
      </c>
      <c r="E203" t="s">
        <v>716</v>
      </c>
      <c r="F203" s="11">
        <v>46309.354166666664</v>
      </c>
      <c r="G203">
        <v>69</v>
      </c>
      <c r="H203" t="s">
        <v>1447</v>
      </c>
      <c r="I203" t="s">
        <v>1448</v>
      </c>
      <c r="J203" t="str">
        <f>IF(ISNUMBER(SEARCH("registro de pre",tEditais[[#This Row],[Objeto]])),"Sim","Não")</f>
        <v>Sim</v>
      </c>
      <c r="K203" s="4">
        <f>COUNTIFS(tItens[Edital],tEditais[[#This Row],[Edital]])</f>
        <v>5</v>
      </c>
      <c r="L203" s="4">
        <f>COUNTIFS(tItens[Edital],tEditais[[#This Row],[Edital]],tItens[Foco],"Sim")</f>
        <v>1</v>
      </c>
      <c r="M203" s="8">
        <f>SUMIFS(tItens[Valor],tItens[Edital],tEditais[[#This Row],[Edital]])</f>
        <v>0</v>
      </c>
      <c r="N203" s="8">
        <f>SUMIFS(tItens[Valor homologado],tItens[Edital],tEditais[[#This Row],[Edital]],tItens[Foco],"Sim")</f>
        <v>0</v>
      </c>
      <c r="O203" t="str">
        <f>IF(tEditais[[#This Row],[Itens do foco]]=0,"",IF(tEditais[[#This Row],[Valor foco homologado]]&lt;=0,"Sem valor",IF(tEditais[[#This Row],[Valor foco homologado]]&gt;=FaixaA_Min,"A",IF(tEditais[[#This Row],[Valor foco homologado]]&gt;=FaixaB_Min,"B","C"))))</f>
        <v>Sem valor</v>
      </c>
      <c r="P203" t="str">
        <f ca="1">IF(tEditais[[#This Row],[Encerramento]]&gt;NOW(),"Aberto","Encerrado")</f>
        <v>Encerrado</v>
      </c>
    </row>
    <row r="204" spans="1:16" x14ac:dyDescent="0.25">
      <c r="A204" t="s">
        <v>1449</v>
      </c>
      <c r="B204" t="s">
        <v>1450</v>
      </c>
      <c r="C204" t="s">
        <v>1451</v>
      </c>
      <c r="D204" t="s">
        <v>1285</v>
      </c>
      <c r="E204" t="s">
        <v>716</v>
      </c>
      <c r="F204" s="11">
        <v>46309.374305555553</v>
      </c>
      <c r="G204">
        <v>21</v>
      </c>
      <c r="H204" t="s">
        <v>1452</v>
      </c>
      <c r="I204" t="s">
        <v>1453</v>
      </c>
      <c r="J204" t="str">
        <f>IF(ISNUMBER(SEARCH("registro de pre",tEditais[[#This Row],[Objeto]])),"Sim","Não")</f>
        <v>Sim</v>
      </c>
      <c r="K204" s="4">
        <f>COUNTIFS(tItens[Edital],tEditais[[#This Row],[Edital]])</f>
        <v>2</v>
      </c>
      <c r="L204" s="4">
        <f>COUNTIFS(tItens[Edital],tEditais[[#This Row],[Edital]],tItens[Foco],"Sim")</f>
        <v>1</v>
      </c>
      <c r="M204" s="8">
        <f>SUMIFS(tItens[Valor],tItens[Edital],tEditais[[#This Row],[Edital]])</f>
        <v>37028.239999999998</v>
      </c>
      <c r="N204" s="8">
        <f>SUMIFS(tItens[Valor homologado],tItens[Edital],tEditais[[#This Row],[Edital]],tItens[Foco],"Sim")</f>
        <v>19731.959999999995</v>
      </c>
      <c r="O204" t="str">
        <f>IF(tEditais[[#This Row],[Itens do foco]]=0,"",IF(tEditais[[#This Row],[Valor foco homologado]]&lt;=0,"Sem valor",IF(tEditais[[#This Row],[Valor foco homologado]]&gt;=FaixaA_Min,"A",IF(tEditais[[#This Row],[Valor foco homologado]]&gt;=FaixaB_Min,"B","C"))))</f>
        <v>C</v>
      </c>
      <c r="P204" t="str">
        <f ca="1">IF(tEditais[[#This Row],[Encerramento]]&gt;NOW(),"Aberto","Encerrado")</f>
        <v>Encerrado</v>
      </c>
    </row>
    <row r="205" spans="1:16" x14ac:dyDescent="0.25">
      <c r="A205" t="s">
        <v>1454</v>
      </c>
      <c r="B205" t="s">
        <v>1450</v>
      </c>
      <c r="C205" t="s">
        <v>1451</v>
      </c>
      <c r="D205" t="s">
        <v>1285</v>
      </c>
      <c r="E205" t="s">
        <v>716</v>
      </c>
      <c r="F205" s="11">
        <v>46309.374305555553</v>
      </c>
      <c r="G205">
        <v>2</v>
      </c>
      <c r="H205" t="s">
        <v>1455</v>
      </c>
      <c r="I205" t="s">
        <v>1456</v>
      </c>
      <c r="J205" t="str">
        <f>IF(ISNUMBER(SEARCH("registro de pre",tEditais[[#This Row],[Objeto]])),"Sim","Não")</f>
        <v>Sim</v>
      </c>
      <c r="K205" s="4">
        <f>COUNTIFS(tItens[Edital],tEditais[[#This Row],[Edital]])</f>
        <v>1</v>
      </c>
      <c r="L205" s="4">
        <f>COUNTIFS(tItens[Edital],tEditais[[#This Row],[Edital]],tItens[Foco],"Sim")</f>
        <v>1</v>
      </c>
      <c r="M205" s="8">
        <f>SUMIFS(tItens[Valor],tItens[Edital],tEditais[[#This Row],[Edital]])</f>
        <v>13968.48</v>
      </c>
      <c r="N205" s="8">
        <f>SUMIFS(tItens[Valor homologado],tItens[Edital],tEditais[[#This Row],[Edital]],tItens[Foco],"Sim")</f>
        <v>11035.099200000001</v>
      </c>
      <c r="O205" t="str">
        <f>IF(tEditais[[#This Row],[Itens do foco]]=0,"",IF(tEditais[[#This Row],[Valor foco homologado]]&lt;=0,"Sem valor",IF(tEditais[[#This Row],[Valor foco homologado]]&gt;=FaixaA_Min,"A",IF(tEditais[[#This Row],[Valor foco homologado]]&gt;=FaixaB_Min,"B","C"))))</f>
        <v>C</v>
      </c>
      <c r="P205" t="str">
        <f ca="1">IF(tEditais[[#This Row],[Encerramento]]&gt;NOW(),"Aberto","Encerrado")</f>
        <v>Encerrado</v>
      </c>
    </row>
    <row r="206" spans="1:16" x14ac:dyDescent="0.25">
      <c r="A206" t="s">
        <v>1457</v>
      </c>
      <c r="B206" t="s">
        <v>1458</v>
      </c>
      <c r="C206" t="s">
        <v>1459</v>
      </c>
      <c r="D206" t="s">
        <v>1285</v>
      </c>
      <c r="E206" t="s">
        <v>716</v>
      </c>
      <c r="F206" s="11">
        <v>46309.375</v>
      </c>
      <c r="G206">
        <v>15</v>
      </c>
      <c r="I206" t="s">
        <v>1460</v>
      </c>
      <c r="J206" t="str">
        <f>IF(ISNUMBER(SEARCH("registro de pre",tEditais[[#This Row],[Objeto]])),"Sim","Não")</f>
        <v>Não</v>
      </c>
      <c r="K206" s="4">
        <f>COUNTIFS(tItens[Edital],tEditais[[#This Row],[Edital]])</f>
        <v>2</v>
      </c>
      <c r="L206" s="4">
        <f>COUNTIFS(tItens[Edital],tEditais[[#This Row],[Edital]],tItens[Foco],"Sim")</f>
        <v>0</v>
      </c>
      <c r="M206" s="8">
        <f>SUMIFS(tItens[Valor],tItens[Edital],tEditais[[#This Row],[Edital]])</f>
        <v>223585.6</v>
      </c>
      <c r="N206" s="8">
        <f>SUMIFS(tItens[Valor homologado],tItens[Edital],tEditais[[#This Row],[Edital]],tItens[Foco],"Sim")</f>
        <v>0</v>
      </c>
      <c r="O206" t="str">
        <f>IF(tEditais[[#This Row],[Itens do foco]]=0,"",IF(tEditais[[#This Row],[Valor foco homologado]]&lt;=0,"Sem valor",IF(tEditais[[#This Row],[Valor foco homologado]]&gt;=FaixaA_Min,"A",IF(tEditais[[#This Row],[Valor foco homologado]]&gt;=FaixaB_Min,"B","C"))))</f>
        <v/>
      </c>
      <c r="P206" t="str">
        <f ca="1">IF(tEditais[[#This Row],[Encerramento]]&gt;NOW(),"Aberto","Encerrado")</f>
        <v>Encerrado</v>
      </c>
    </row>
    <row r="207" spans="1:16" x14ac:dyDescent="0.25">
      <c r="A207" t="s">
        <v>1461</v>
      </c>
      <c r="B207" t="s">
        <v>1462</v>
      </c>
      <c r="C207" t="s">
        <v>1463</v>
      </c>
      <c r="D207" t="s">
        <v>1285</v>
      </c>
      <c r="E207" t="s">
        <v>716</v>
      </c>
      <c r="F207" s="11">
        <v>46309.375</v>
      </c>
      <c r="G207">
        <v>192</v>
      </c>
      <c r="H207" t="s">
        <v>1464</v>
      </c>
      <c r="I207" t="s">
        <v>1465</v>
      </c>
      <c r="J207" t="str">
        <f>IF(ISNUMBER(SEARCH("registro de pre",tEditais[[#This Row],[Objeto]])),"Sim","Não")</f>
        <v>Não</v>
      </c>
      <c r="K207" s="4">
        <f>COUNTIFS(tItens[Edital],tEditais[[#This Row],[Edital]])</f>
        <v>12</v>
      </c>
      <c r="L207" s="4">
        <f>COUNTIFS(tItens[Edital],tEditais[[#This Row],[Edital]],tItens[Foco],"Sim")</f>
        <v>0</v>
      </c>
      <c r="M207" s="8">
        <f>SUMIFS(tItens[Valor],tItens[Edital],tEditais[[#This Row],[Edital]])</f>
        <v>52247.710000000006</v>
      </c>
      <c r="N207" s="8">
        <f>SUMIFS(tItens[Valor homologado],tItens[Edital],tEditais[[#This Row],[Edital]],tItens[Foco],"Sim")</f>
        <v>0</v>
      </c>
      <c r="O207" t="str">
        <f>IF(tEditais[[#This Row],[Itens do foco]]=0,"",IF(tEditais[[#This Row],[Valor foco homologado]]&lt;=0,"Sem valor",IF(tEditais[[#This Row],[Valor foco homologado]]&gt;=FaixaA_Min,"A",IF(tEditais[[#This Row],[Valor foco homologado]]&gt;=FaixaB_Min,"B","C"))))</f>
        <v/>
      </c>
      <c r="P207" t="str">
        <f ca="1">IF(tEditais[[#This Row],[Encerramento]]&gt;NOW(),"Aberto","Encerrado")</f>
        <v>Encerrado</v>
      </c>
    </row>
    <row r="208" spans="1:16" x14ac:dyDescent="0.25">
      <c r="A208" t="s">
        <v>1466</v>
      </c>
      <c r="B208" t="s">
        <v>1467</v>
      </c>
      <c r="C208" t="s">
        <v>1468</v>
      </c>
      <c r="D208" t="s">
        <v>1285</v>
      </c>
      <c r="E208" t="s">
        <v>716</v>
      </c>
      <c r="F208" s="11">
        <v>46309.375</v>
      </c>
      <c r="G208">
        <v>16</v>
      </c>
      <c r="I208" t="s">
        <v>1469</v>
      </c>
      <c r="J208" t="str">
        <f>IF(ISNUMBER(SEARCH("registro de pre",tEditais[[#This Row],[Objeto]])),"Sim","Não")</f>
        <v>Sim</v>
      </c>
      <c r="K208" s="4">
        <f>COUNTIFS(tItens[Edital],tEditais[[#This Row],[Edital]])</f>
        <v>1</v>
      </c>
      <c r="L208" s="4">
        <f>COUNTIFS(tItens[Edital],tEditais[[#This Row],[Edital]],tItens[Foco],"Sim")</f>
        <v>0</v>
      </c>
      <c r="M208" s="8">
        <f>SUMIFS(tItens[Valor],tItens[Edital],tEditais[[#This Row],[Edital]])</f>
        <v>0</v>
      </c>
      <c r="N208" s="8">
        <f>SUMIFS(tItens[Valor homologado],tItens[Edital],tEditais[[#This Row],[Edital]],tItens[Foco],"Sim")</f>
        <v>0</v>
      </c>
      <c r="O208" t="str">
        <f>IF(tEditais[[#This Row],[Itens do foco]]=0,"",IF(tEditais[[#This Row],[Valor foco homologado]]&lt;=0,"Sem valor",IF(tEditais[[#This Row],[Valor foco homologado]]&gt;=FaixaA_Min,"A",IF(tEditais[[#This Row],[Valor foco homologado]]&gt;=FaixaB_Min,"B","C"))))</f>
        <v/>
      </c>
      <c r="P208" t="str">
        <f ca="1">IF(tEditais[[#This Row],[Encerramento]]&gt;NOW(),"Aberto","Encerrado")</f>
        <v>Encerrado</v>
      </c>
    </row>
    <row r="209" spans="1:16" x14ac:dyDescent="0.25">
      <c r="A209" t="s">
        <v>1470</v>
      </c>
      <c r="B209" t="s">
        <v>1471</v>
      </c>
      <c r="C209" t="s">
        <v>1472</v>
      </c>
      <c r="D209" t="s">
        <v>1285</v>
      </c>
      <c r="E209" t="s">
        <v>716</v>
      </c>
      <c r="F209" s="11">
        <v>46309.375</v>
      </c>
      <c r="G209">
        <v>11</v>
      </c>
      <c r="H209" t="s">
        <v>1473</v>
      </c>
      <c r="I209" t="s">
        <v>1474</v>
      </c>
      <c r="J209" t="str">
        <f>IF(ISNUMBER(SEARCH("registro de pre",tEditais[[#This Row],[Objeto]])),"Sim","Não")</f>
        <v>Sim</v>
      </c>
      <c r="K209" s="4">
        <f>COUNTIFS(tItens[Edital],tEditais[[#This Row],[Edital]])</f>
        <v>2</v>
      </c>
      <c r="L209" s="4">
        <f>COUNTIFS(tItens[Edital],tEditais[[#This Row],[Edital]],tItens[Foco],"Sim")</f>
        <v>0</v>
      </c>
      <c r="M209" s="8">
        <f>SUMIFS(tItens[Valor],tItens[Edital],tEditais[[#This Row],[Edital]])</f>
        <v>25008.5</v>
      </c>
      <c r="N209" s="8">
        <f>SUMIFS(tItens[Valor homologado],tItens[Edital],tEditais[[#This Row],[Edital]],tItens[Foco],"Sim")</f>
        <v>0</v>
      </c>
      <c r="O209" t="str">
        <f>IF(tEditais[[#This Row],[Itens do foco]]=0,"",IF(tEditais[[#This Row],[Valor foco homologado]]&lt;=0,"Sem valor",IF(tEditais[[#This Row],[Valor foco homologado]]&gt;=FaixaA_Min,"A",IF(tEditais[[#This Row],[Valor foco homologado]]&gt;=FaixaB_Min,"B","C"))))</f>
        <v/>
      </c>
      <c r="P209" t="str">
        <f ca="1">IF(tEditais[[#This Row],[Encerramento]]&gt;NOW(),"Aberto","Encerrado")</f>
        <v>Encerrado</v>
      </c>
    </row>
    <row r="210" spans="1:16" x14ac:dyDescent="0.25">
      <c r="A210" t="s">
        <v>1475</v>
      </c>
      <c r="B210" t="s">
        <v>1381</v>
      </c>
      <c r="C210" t="s">
        <v>1382</v>
      </c>
      <c r="D210" t="s">
        <v>1285</v>
      </c>
      <c r="E210" t="s">
        <v>716</v>
      </c>
      <c r="F210" s="11">
        <v>46309.375</v>
      </c>
      <c r="G210">
        <v>343</v>
      </c>
      <c r="H210" t="s">
        <v>1476</v>
      </c>
      <c r="I210" t="s">
        <v>1477</v>
      </c>
      <c r="J210" t="str">
        <f>IF(ISNUMBER(SEARCH("registro de pre",tEditais[[#This Row],[Objeto]])),"Sim","Não")</f>
        <v>Sim</v>
      </c>
      <c r="K210" s="4">
        <f>COUNTIFS(tItens[Edital],tEditais[[#This Row],[Edital]])</f>
        <v>1</v>
      </c>
      <c r="L210" s="4">
        <f>COUNTIFS(tItens[Edital],tEditais[[#This Row],[Edital]],tItens[Foco],"Sim")</f>
        <v>0</v>
      </c>
      <c r="M210" s="8">
        <f>SUMIFS(tItens[Valor],tItens[Edital],tEditais[[#This Row],[Edital]])</f>
        <v>21400</v>
      </c>
      <c r="N210" s="8">
        <f>SUMIFS(tItens[Valor homologado],tItens[Edital],tEditais[[#This Row],[Edital]],tItens[Foco],"Sim")</f>
        <v>0</v>
      </c>
      <c r="O210" t="str">
        <f>IF(tEditais[[#This Row],[Itens do foco]]=0,"",IF(tEditais[[#This Row],[Valor foco homologado]]&lt;=0,"Sem valor",IF(tEditais[[#This Row],[Valor foco homologado]]&gt;=FaixaA_Min,"A",IF(tEditais[[#This Row],[Valor foco homologado]]&gt;=FaixaB_Min,"B","C"))))</f>
        <v/>
      </c>
      <c r="P210" t="str">
        <f ca="1">IF(tEditais[[#This Row],[Encerramento]]&gt;NOW(),"Aberto","Encerrado")</f>
        <v>Encerrado</v>
      </c>
    </row>
    <row r="211" spans="1:16" x14ac:dyDescent="0.25">
      <c r="A211" t="s">
        <v>1478</v>
      </c>
      <c r="B211" t="s">
        <v>1467</v>
      </c>
      <c r="C211" t="s">
        <v>1468</v>
      </c>
      <c r="D211" t="s">
        <v>1285</v>
      </c>
      <c r="E211" t="s">
        <v>716</v>
      </c>
      <c r="F211" s="11">
        <v>46309.395833333336</v>
      </c>
      <c r="G211">
        <v>16</v>
      </c>
      <c r="I211" t="s">
        <v>1469</v>
      </c>
      <c r="J211" t="str">
        <f>IF(ISNUMBER(SEARCH("registro de pre",tEditais[[#This Row],[Objeto]])),"Sim","Não")</f>
        <v>Sim</v>
      </c>
      <c r="K211" s="4">
        <f>COUNTIFS(tItens[Edital],tEditais[[#This Row],[Edital]])</f>
        <v>1</v>
      </c>
      <c r="L211" s="4">
        <f>COUNTIFS(tItens[Edital],tEditais[[#This Row],[Edital]],tItens[Foco],"Sim")</f>
        <v>0</v>
      </c>
      <c r="M211" s="8">
        <f>SUMIFS(tItens[Valor],tItens[Edital],tEditais[[#This Row],[Edital]])</f>
        <v>1084</v>
      </c>
      <c r="N211" s="8">
        <f>SUMIFS(tItens[Valor homologado],tItens[Edital],tEditais[[#This Row],[Edital]],tItens[Foco],"Sim")</f>
        <v>0</v>
      </c>
      <c r="O211" t="str">
        <f>IF(tEditais[[#This Row],[Itens do foco]]=0,"",IF(tEditais[[#This Row],[Valor foco homologado]]&lt;=0,"Sem valor",IF(tEditais[[#This Row],[Valor foco homologado]]&gt;=FaixaA_Min,"A",IF(tEditais[[#This Row],[Valor foco homologado]]&gt;=FaixaB_Min,"B","C"))))</f>
        <v/>
      </c>
      <c r="P211" t="str">
        <f ca="1">IF(tEditais[[#This Row],[Encerramento]]&gt;NOW(),"Aberto","Encerrado")</f>
        <v>Encerrado</v>
      </c>
    </row>
    <row r="212" spans="1:16" x14ac:dyDescent="0.25">
      <c r="A212" t="s">
        <v>1479</v>
      </c>
      <c r="B212" t="s">
        <v>739</v>
      </c>
      <c r="C212" t="s">
        <v>1319</v>
      </c>
      <c r="D212" t="s">
        <v>1285</v>
      </c>
      <c r="E212" t="s">
        <v>716</v>
      </c>
      <c r="F212" s="11">
        <v>46309.416666666664</v>
      </c>
      <c r="G212">
        <v>83</v>
      </c>
      <c r="H212" t="s">
        <v>1480</v>
      </c>
      <c r="I212" t="s">
        <v>1481</v>
      </c>
      <c r="J212" t="str">
        <f>IF(ISNUMBER(SEARCH("registro de pre",tEditais[[#This Row],[Objeto]])),"Sim","Não")</f>
        <v>Sim</v>
      </c>
      <c r="K212" s="4">
        <f>COUNTIFS(tItens[Edital],tEditais[[#This Row],[Edital]])</f>
        <v>32</v>
      </c>
      <c r="L212" s="4">
        <f>COUNTIFS(tItens[Edital],tEditais[[#This Row],[Edital]],tItens[Foco],"Sim")</f>
        <v>5</v>
      </c>
      <c r="M212" s="8">
        <f>SUMIFS(tItens[Valor],tItens[Edital],tEditais[[#This Row],[Edital]])</f>
        <v>0</v>
      </c>
      <c r="N212" s="8">
        <f>SUMIFS(tItens[Valor homologado],tItens[Edital],tEditais[[#This Row],[Edital]],tItens[Foco],"Sim")</f>
        <v>0</v>
      </c>
      <c r="O212" t="str">
        <f>IF(tEditais[[#This Row],[Itens do foco]]=0,"",IF(tEditais[[#This Row],[Valor foco homologado]]&lt;=0,"Sem valor",IF(tEditais[[#This Row],[Valor foco homologado]]&gt;=FaixaA_Min,"A",IF(tEditais[[#This Row],[Valor foco homologado]]&gt;=FaixaB_Min,"B","C"))))</f>
        <v>Sem valor</v>
      </c>
      <c r="P212" t="str">
        <f ca="1">IF(tEditais[[#This Row],[Encerramento]]&gt;NOW(),"Aberto","Encerrado")</f>
        <v>Encerrado</v>
      </c>
    </row>
    <row r="213" spans="1:16" x14ac:dyDescent="0.25">
      <c r="A213" t="s">
        <v>1482</v>
      </c>
      <c r="B213" t="s">
        <v>1426</v>
      </c>
      <c r="C213" t="s">
        <v>1427</v>
      </c>
      <c r="D213" t="s">
        <v>1285</v>
      </c>
      <c r="E213" t="s">
        <v>716</v>
      </c>
      <c r="F213" s="11">
        <v>46309.583333333336</v>
      </c>
      <c r="G213">
        <v>294</v>
      </c>
      <c r="H213" t="s">
        <v>1483</v>
      </c>
      <c r="I213" t="s">
        <v>1484</v>
      </c>
      <c r="J213" t="str">
        <f>IF(ISNUMBER(SEARCH("registro de pre",tEditais[[#This Row],[Objeto]])),"Sim","Não")</f>
        <v>Sim</v>
      </c>
      <c r="K213" s="4">
        <f>COUNTIFS(tItens[Edital],tEditais[[#This Row],[Edital]])</f>
        <v>80</v>
      </c>
      <c r="L213" s="4">
        <f>COUNTIFS(tItens[Edital],tEditais[[#This Row],[Edital]],tItens[Foco],"Sim")</f>
        <v>19</v>
      </c>
      <c r="M213" s="8">
        <f>SUMIFS(tItens[Valor],tItens[Edital],tEditais[[#This Row],[Edital]])</f>
        <v>0</v>
      </c>
      <c r="N213" s="8">
        <f>SUMIFS(tItens[Valor homologado],tItens[Edital],tEditais[[#This Row],[Edital]],tItens[Foco],"Sim")</f>
        <v>0</v>
      </c>
      <c r="O213" t="str">
        <f>IF(tEditais[[#This Row],[Itens do foco]]=0,"",IF(tEditais[[#This Row],[Valor foco homologado]]&lt;=0,"Sem valor",IF(tEditais[[#This Row],[Valor foco homologado]]&gt;=FaixaA_Min,"A",IF(tEditais[[#This Row],[Valor foco homologado]]&gt;=FaixaB_Min,"B","C"))))</f>
        <v>Sem valor</v>
      </c>
      <c r="P213" t="str">
        <f ca="1">IF(tEditais[[#This Row],[Encerramento]]&gt;NOW(),"Aberto","Encerrado")</f>
        <v>Encerrado</v>
      </c>
    </row>
    <row r="214" spans="1:16" x14ac:dyDescent="0.25">
      <c r="A214" t="s">
        <v>1485</v>
      </c>
      <c r="B214" t="s">
        <v>1486</v>
      </c>
      <c r="C214" t="s">
        <v>1487</v>
      </c>
      <c r="D214" t="s">
        <v>1285</v>
      </c>
      <c r="E214" t="s">
        <v>716</v>
      </c>
      <c r="F214" s="11">
        <v>46309.583333333336</v>
      </c>
      <c r="G214">
        <v>12</v>
      </c>
      <c r="H214" t="s">
        <v>1488</v>
      </c>
      <c r="I214" t="s">
        <v>1489</v>
      </c>
      <c r="J214" t="str">
        <f>IF(ISNUMBER(SEARCH("registro de pre",tEditais[[#This Row],[Objeto]])),"Sim","Não")</f>
        <v>Não</v>
      </c>
      <c r="K214" s="4">
        <f>COUNTIFS(tItens[Edital],tEditais[[#This Row],[Edital]])</f>
        <v>1</v>
      </c>
      <c r="L214" s="4">
        <f>COUNTIFS(tItens[Edital],tEditais[[#This Row],[Edital]],tItens[Foco],"Sim")</f>
        <v>0</v>
      </c>
      <c r="M214" s="8">
        <f>SUMIFS(tItens[Valor],tItens[Edital],tEditais[[#This Row],[Edital]])</f>
        <v>75664</v>
      </c>
      <c r="N214" s="8">
        <f>SUMIFS(tItens[Valor homologado],tItens[Edital],tEditais[[#This Row],[Edital]],tItens[Foco],"Sim")</f>
        <v>0</v>
      </c>
      <c r="O214" t="str">
        <f>IF(tEditais[[#This Row],[Itens do foco]]=0,"",IF(tEditais[[#This Row],[Valor foco homologado]]&lt;=0,"Sem valor",IF(tEditais[[#This Row],[Valor foco homologado]]&gt;=FaixaA_Min,"A",IF(tEditais[[#This Row],[Valor foco homologado]]&gt;=FaixaB_Min,"B","C"))))</f>
        <v/>
      </c>
      <c r="P214" t="str">
        <f ca="1">IF(tEditais[[#This Row],[Encerramento]]&gt;NOW(),"Aberto","Encerrado")</f>
        <v>Encerrado</v>
      </c>
    </row>
    <row r="215" spans="1:16" x14ac:dyDescent="0.25">
      <c r="A215" t="s">
        <v>1490</v>
      </c>
      <c r="B215" t="s">
        <v>886</v>
      </c>
      <c r="C215" t="s">
        <v>1491</v>
      </c>
      <c r="D215" t="s">
        <v>1285</v>
      </c>
      <c r="E215" t="s">
        <v>800</v>
      </c>
      <c r="F215" s="11">
        <v>46310.333333333336</v>
      </c>
      <c r="G215">
        <v>61</v>
      </c>
      <c r="H215" t="s">
        <v>1492</v>
      </c>
      <c r="I215" t="s">
        <v>1493</v>
      </c>
      <c r="J215" t="str">
        <f>IF(ISNUMBER(SEARCH("registro de pre",tEditais[[#This Row],[Objeto]])),"Sim","Não")</f>
        <v>Não</v>
      </c>
      <c r="K215" s="4">
        <f>COUNTIFS(tItens[Edital],tEditais[[#This Row],[Edital]])</f>
        <v>4</v>
      </c>
      <c r="L215" s="4">
        <f>COUNTIFS(tItens[Edital],tEditais[[#This Row],[Edital]],tItens[Foco],"Sim")</f>
        <v>2</v>
      </c>
      <c r="M215" s="8">
        <f>SUMIFS(tItens[Valor],tItens[Edital],tEditais[[#This Row],[Edital]])</f>
        <v>2480.1999999999998</v>
      </c>
      <c r="N215" s="8">
        <f>SUMIFS(tItens[Valor homologado],tItens[Edital],tEditais[[#This Row],[Edital]],tItens[Foco],"Sim")</f>
        <v>664.21399999999994</v>
      </c>
      <c r="O215" t="str">
        <f>IF(tEditais[[#This Row],[Itens do foco]]=0,"",IF(tEditais[[#This Row],[Valor foco homologado]]&lt;=0,"Sem valor",IF(tEditais[[#This Row],[Valor foco homologado]]&gt;=FaixaA_Min,"A",IF(tEditais[[#This Row],[Valor foco homologado]]&gt;=FaixaB_Min,"B","C"))))</f>
        <v>C</v>
      </c>
      <c r="P215" t="str">
        <f ca="1">IF(tEditais[[#This Row],[Encerramento]]&gt;NOW(),"Aberto","Encerrado")</f>
        <v>Encerrado</v>
      </c>
    </row>
    <row r="216" spans="1:16" x14ac:dyDescent="0.25">
      <c r="A216" t="s">
        <v>1494</v>
      </c>
      <c r="B216" t="s">
        <v>1495</v>
      </c>
      <c r="C216" t="s">
        <v>1496</v>
      </c>
      <c r="D216" t="s">
        <v>1285</v>
      </c>
      <c r="E216" t="s">
        <v>716</v>
      </c>
      <c r="F216" s="11">
        <v>46310.353472222225</v>
      </c>
      <c r="G216">
        <v>119</v>
      </c>
      <c r="H216" t="s">
        <v>1497</v>
      </c>
      <c r="I216" t="s">
        <v>1498</v>
      </c>
      <c r="J216" t="str">
        <f>IF(ISNUMBER(SEARCH("registro de pre",tEditais[[#This Row],[Objeto]])),"Sim","Não")</f>
        <v>Sim</v>
      </c>
      <c r="K216" s="4">
        <f>COUNTIFS(tItens[Edital],tEditais[[#This Row],[Edital]])</f>
        <v>11</v>
      </c>
      <c r="L216" s="4">
        <f>COUNTIFS(tItens[Edital],tEditais[[#This Row],[Edital]],tItens[Foco],"Sim")</f>
        <v>0</v>
      </c>
      <c r="M216" s="8">
        <f>SUMIFS(tItens[Valor],tItens[Edital],tEditais[[#This Row],[Edital]])</f>
        <v>10216.099999999999</v>
      </c>
      <c r="N216" s="8">
        <f>SUMIFS(tItens[Valor homologado],tItens[Edital],tEditais[[#This Row],[Edital]],tItens[Foco],"Sim")</f>
        <v>0</v>
      </c>
      <c r="O216" t="str">
        <f>IF(tEditais[[#This Row],[Itens do foco]]=0,"",IF(tEditais[[#This Row],[Valor foco homologado]]&lt;=0,"Sem valor",IF(tEditais[[#This Row],[Valor foco homologado]]&gt;=FaixaA_Min,"A",IF(tEditais[[#This Row],[Valor foco homologado]]&gt;=FaixaB_Min,"B","C"))))</f>
        <v/>
      </c>
      <c r="P216" t="str">
        <f ca="1">IF(tEditais[[#This Row],[Encerramento]]&gt;NOW(),"Aberto","Encerrado")</f>
        <v>Encerrado</v>
      </c>
    </row>
    <row r="217" spans="1:16" x14ac:dyDescent="0.25">
      <c r="A217" t="s">
        <v>1499</v>
      </c>
      <c r="B217" t="s">
        <v>1500</v>
      </c>
      <c r="C217" t="s">
        <v>1501</v>
      </c>
      <c r="D217" t="s">
        <v>1285</v>
      </c>
      <c r="E217" t="s">
        <v>716</v>
      </c>
      <c r="F217" s="11">
        <v>46310.354166666664</v>
      </c>
      <c r="G217">
        <v>83</v>
      </c>
      <c r="H217" t="s">
        <v>1502</v>
      </c>
      <c r="I217" t="s">
        <v>1503</v>
      </c>
      <c r="J217" t="str">
        <f>IF(ISNUMBER(SEARCH("registro de pre",tEditais[[#This Row],[Objeto]])),"Sim","Não")</f>
        <v>Sim</v>
      </c>
      <c r="K217" s="4">
        <f>COUNTIFS(tItens[Edital],tEditais[[#This Row],[Edital]])</f>
        <v>25</v>
      </c>
      <c r="L217" s="4">
        <f>COUNTIFS(tItens[Edital],tEditais[[#This Row],[Edital]],tItens[Foco],"Sim")</f>
        <v>3</v>
      </c>
      <c r="M217" s="8">
        <f>SUMIFS(tItens[Valor],tItens[Edital],tEditais[[#This Row],[Edital]])</f>
        <v>394677.94000000006</v>
      </c>
      <c r="N217" s="8">
        <f>SUMIFS(tItens[Valor homologado],tItens[Edital],tEditais[[#This Row],[Edital]],tItens[Foco],"Sim")</f>
        <v>4887.4660000000003</v>
      </c>
      <c r="O217" t="str">
        <f>IF(tEditais[[#This Row],[Itens do foco]]=0,"",IF(tEditais[[#This Row],[Valor foco homologado]]&lt;=0,"Sem valor",IF(tEditais[[#This Row],[Valor foco homologado]]&gt;=FaixaA_Min,"A",IF(tEditais[[#This Row],[Valor foco homologado]]&gt;=FaixaB_Min,"B","C"))))</f>
        <v>C</v>
      </c>
      <c r="P217" t="str">
        <f ca="1">IF(tEditais[[#This Row],[Encerramento]]&gt;NOW(),"Aberto","Encerrado")</f>
        <v>Encerrado</v>
      </c>
    </row>
    <row r="218" spans="1:16" x14ac:dyDescent="0.25">
      <c r="A218" t="s">
        <v>1504</v>
      </c>
      <c r="B218" t="s">
        <v>1505</v>
      </c>
      <c r="C218" t="s">
        <v>1506</v>
      </c>
      <c r="D218" t="s">
        <v>1285</v>
      </c>
      <c r="E218" t="s">
        <v>1154</v>
      </c>
      <c r="F218" s="11">
        <v>46310.354166666664</v>
      </c>
      <c r="G218">
        <v>407</v>
      </c>
      <c r="I218" t="s">
        <v>1507</v>
      </c>
      <c r="J218" t="str">
        <f>IF(ISNUMBER(SEARCH("registro de pre",tEditais[[#This Row],[Objeto]])),"Sim","Não")</f>
        <v>Sim</v>
      </c>
      <c r="K218" s="4">
        <f>COUNTIFS(tItens[Edital],tEditais[[#This Row],[Edital]])</f>
        <v>92</v>
      </c>
      <c r="L218" s="4">
        <f>COUNTIFS(tItens[Edital],tEditais[[#This Row],[Edital]],tItens[Foco],"Sim")</f>
        <v>16</v>
      </c>
      <c r="M218" s="8">
        <f>SUMIFS(tItens[Valor],tItens[Edital],tEditais[[#This Row],[Edital]])</f>
        <v>1024984.2099999998</v>
      </c>
      <c r="N218" s="8">
        <f>SUMIFS(tItens[Valor homologado],tItens[Edital],tEditais[[#This Row],[Edital]],tItens[Foco],"Sim")</f>
        <v>65025.770000000004</v>
      </c>
      <c r="O218" t="str">
        <f>IF(tEditais[[#This Row],[Itens do foco]]=0,"",IF(tEditais[[#This Row],[Valor foco homologado]]&lt;=0,"Sem valor",IF(tEditais[[#This Row],[Valor foco homologado]]&gt;=FaixaA_Min,"A",IF(tEditais[[#This Row],[Valor foco homologado]]&gt;=FaixaB_Min,"B","C"))))</f>
        <v>B</v>
      </c>
      <c r="P218" t="str">
        <f ca="1">IF(tEditais[[#This Row],[Encerramento]]&gt;NOW(),"Aberto","Encerrado")</f>
        <v>Encerrado</v>
      </c>
    </row>
    <row r="219" spans="1:16" x14ac:dyDescent="0.25">
      <c r="A219" t="s">
        <v>1508</v>
      </c>
      <c r="B219" t="s">
        <v>1509</v>
      </c>
      <c r="C219" t="s">
        <v>1510</v>
      </c>
      <c r="D219" t="s">
        <v>1285</v>
      </c>
      <c r="E219" t="s">
        <v>716</v>
      </c>
      <c r="F219" s="11">
        <v>46310.354861111111</v>
      </c>
      <c r="G219">
        <v>155</v>
      </c>
      <c r="H219" t="s">
        <v>1511</v>
      </c>
      <c r="I219" t="s">
        <v>1512</v>
      </c>
      <c r="J219" t="str">
        <f>IF(ISNUMBER(SEARCH("registro de pre",tEditais[[#This Row],[Objeto]])),"Sim","Não")</f>
        <v>Não</v>
      </c>
      <c r="K219" s="4">
        <f>COUNTIFS(tItens[Edital],tEditais[[#This Row],[Edital]])</f>
        <v>58</v>
      </c>
      <c r="L219" s="4">
        <f>COUNTIFS(tItens[Edital],tEditais[[#This Row],[Edital]],tItens[Foco],"Sim")</f>
        <v>11</v>
      </c>
      <c r="M219" s="8">
        <f>SUMIFS(tItens[Valor],tItens[Edital],tEditais[[#This Row],[Edital]])</f>
        <v>2461544.2899999996</v>
      </c>
      <c r="N219" s="8">
        <f>SUMIFS(tItens[Valor homologado],tItens[Edital],tEditais[[#This Row],[Edital]],tItens[Foco],"Sim")</f>
        <v>32266.063999999998</v>
      </c>
      <c r="O219" t="str">
        <f>IF(tEditais[[#This Row],[Itens do foco]]=0,"",IF(tEditais[[#This Row],[Valor foco homologado]]&lt;=0,"Sem valor",IF(tEditais[[#This Row],[Valor foco homologado]]&gt;=FaixaA_Min,"A",IF(tEditais[[#This Row],[Valor foco homologado]]&gt;=FaixaB_Min,"B","C"))))</f>
        <v>C</v>
      </c>
      <c r="P219" t="str">
        <f ca="1">IF(tEditais[[#This Row],[Encerramento]]&gt;NOW(),"Aberto","Encerrado")</f>
        <v>Encerrado</v>
      </c>
    </row>
    <row r="220" spans="1:16" x14ac:dyDescent="0.25">
      <c r="A220" t="s">
        <v>1513</v>
      </c>
      <c r="B220" t="s">
        <v>1514</v>
      </c>
      <c r="C220" t="s">
        <v>1515</v>
      </c>
      <c r="D220" t="s">
        <v>1285</v>
      </c>
      <c r="E220" t="s">
        <v>716</v>
      </c>
      <c r="F220" s="11">
        <v>46310.368055555555</v>
      </c>
      <c r="G220">
        <v>13</v>
      </c>
      <c r="H220" t="s">
        <v>1516</v>
      </c>
      <c r="I220" t="s">
        <v>1517</v>
      </c>
      <c r="J220" t="str">
        <f>IF(ISNUMBER(SEARCH("registro de pre",tEditais[[#This Row],[Objeto]])),"Sim","Não")</f>
        <v>Não</v>
      </c>
      <c r="K220" s="4">
        <f>COUNTIFS(tItens[Edital],tEditais[[#This Row],[Edital]])</f>
        <v>8</v>
      </c>
      <c r="L220" s="4">
        <f>COUNTIFS(tItens[Edital],tEditais[[#This Row],[Edital]],tItens[Foco],"Sim")</f>
        <v>2</v>
      </c>
      <c r="M220" s="8">
        <f>SUMIFS(tItens[Valor],tItens[Edital],tEditais[[#This Row],[Edital]])</f>
        <v>5944443.3600000003</v>
      </c>
      <c r="N220" s="8">
        <f>SUMIFS(tItens[Valor homologado],tItens[Edital],tEditais[[#This Row],[Edital]],tItens[Foco],"Sim")</f>
        <v>103144.60799999999</v>
      </c>
      <c r="O220" t="str">
        <f>IF(tEditais[[#This Row],[Itens do foco]]=0,"",IF(tEditais[[#This Row],[Valor foco homologado]]&lt;=0,"Sem valor",IF(tEditais[[#This Row],[Valor foco homologado]]&gt;=FaixaA_Min,"A",IF(tEditais[[#This Row],[Valor foco homologado]]&gt;=FaixaB_Min,"B","C"))))</f>
        <v>A</v>
      </c>
      <c r="P220" t="str">
        <f ca="1">IF(tEditais[[#This Row],[Encerramento]]&gt;NOW(),"Aberto","Encerrado")</f>
        <v>Encerrado</v>
      </c>
    </row>
    <row r="221" spans="1:16" x14ac:dyDescent="0.25">
      <c r="A221" t="s">
        <v>1518</v>
      </c>
      <c r="B221" t="s">
        <v>1519</v>
      </c>
      <c r="C221" t="s">
        <v>1520</v>
      </c>
      <c r="D221" t="s">
        <v>1285</v>
      </c>
      <c r="E221" t="s">
        <v>716</v>
      </c>
      <c r="F221" s="11">
        <v>46310.374305555553</v>
      </c>
      <c r="G221">
        <v>33</v>
      </c>
      <c r="H221" t="s">
        <v>1521</v>
      </c>
      <c r="I221" t="s">
        <v>1522</v>
      </c>
      <c r="J221" t="str">
        <f>IF(ISNUMBER(SEARCH("registro de pre",tEditais[[#This Row],[Objeto]])),"Sim","Não")</f>
        <v>Não</v>
      </c>
      <c r="K221" s="4">
        <f>COUNTIFS(tItens[Edital],tEditais[[#This Row],[Edital]])</f>
        <v>9</v>
      </c>
      <c r="L221" s="4">
        <f>COUNTIFS(tItens[Edital],tEditais[[#This Row],[Edital]],tItens[Foco],"Sim")</f>
        <v>0</v>
      </c>
      <c r="M221" s="8">
        <f>SUMIFS(tItens[Valor],tItens[Edital],tEditais[[#This Row],[Edital]])</f>
        <v>65154.75</v>
      </c>
      <c r="N221" s="8">
        <f>SUMIFS(tItens[Valor homologado],tItens[Edital],tEditais[[#This Row],[Edital]],tItens[Foco],"Sim")</f>
        <v>0</v>
      </c>
      <c r="O221" t="str">
        <f>IF(tEditais[[#This Row],[Itens do foco]]=0,"",IF(tEditais[[#This Row],[Valor foco homologado]]&lt;=0,"Sem valor",IF(tEditais[[#This Row],[Valor foco homologado]]&gt;=FaixaA_Min,"A",IF(tEditais[[#This Row],[Valor foco homologado]]&gt;=FaixaB_Min,"B","C"))))</f>
        <v/>
      </c>
      <c r="P221" t="str">
        <f ca="1">IF(tEditais[[#This Row],[Encerramento]]&gt;NOW(),"Aberto","Encerrado")</f>
        <v>Encerrado</v>
      </c>
    </row>
    <row r="222" spans="1:16" x14ac:dyDescent="0.25">
      <c r="A222" t="s">
        <v>1523</v>
      </c>
      <c r="B222" t="s">
        <v>1524</v>
      </c>
      <c r="C222" t="s">
        <v>1525</v>
      </c>
      <c r="D222" t="s">
        <v>1285</v>
      </c>
      <c r="E222" t="s">
        <v>716</v>
      </c>
      <c r="F222" s="11">
        <v>46310.374305555553</v>
      </c>
      <c r="G222">
        <v>13</v>
      </c>
      <c r="H222" t="s">
        <v>1526</v>
      </c>
      <c r="I222" t="s">
        <v>1527</v>
      </c>
      <c r="J222" t="str">
        <f>IF(ISNUMBER(SEARCH("registro de pre",tEditais[[#This Row],[Objeto]])),"Sim","Não")</f>
        <v>Sim</v>
      </c>
      <c r="K222" s="4">
        <f>COUNTIFS(tItens[Edital],tEditais[[#This Row],[Edital]])</f>
        <v>1</v>
      </c>
      <c r="L222" s="4">
        <f>COUNTIFS(tItens[Edital],tEditais[[#This Row],[Edital]],tItens[Foco],"Sim")</f>
        <v>0</v>
      </c>
      <c r="M222" s="8">
        <f>SUMIFS(tItens[Valor],tItens[Edital],tEditais[[#This Row],[Edital]])</f>
        <v>0</v>
      </c>
      <c r="N222" s="8">
        <f>SUMIFS(tItens[Valor homologado],tItens[Edital],tEditais[[#This Row],[Edital]],tItens[Foco],"Sim")</f>
        <v>0</v>
      </c>
      <c r="O222" t="str">
        <f>IF(tEditais[[#This Row],[Itens do foco]]=0,"",IF(tEditais[[#This Row],[Valor foco homologado]]&lt;=0,"Sem valor",IF(tEditais[[#This Row],[Valor foco homologado]]&gt;=FaixaA_Min,"A",IF(tEditais[[#This Row],[Valor foco homologado]]&gt;=FaixaB_Min,"B","C"))))</f>
        <v/>
      </c>
      <c r="P222" t="str">
        <f ca="1">IF(tEditais[[#This Row],[Encerramento]]&gt;NOW(),"Aberto","Encerrado")</f>
        <v>Encerrado</v>
      </c>
    </row>
    <row r="223" spans="1:16" x14ac:dyDescent="0.25">
      <c r="A223" t="s">
        <v>1528</v>
      </c>
      <c r="B223" t="s">
        <v>1529</v>
      </c>
      <c r="C223" t="s">
        <v>1530</v>
      </c>
      <c r="D223" t="s">
        <v>1285</v>
      </c>
      <c r="E223" t="s">
        <v>716</v>
      </c>
      <c r="F223" s="11">
        <v>46310.374305555553</v>
      </c>
      <c r="G223">
        <v>9</v>
      </c>
      <c r="H223" t="s">
        <v>1531</v>
      </c>
      <c r="I223" t="s">
        <v>1532</v>
      </c>
      <c r="J223" t="str">
        <f>IF(ISNUMBER(SEARCH("registro de pre",tEditais[[#This Row],[Objeto]])),"Sim","Não")</f>
        <v>Não</v>
      </c>
      <c r="K223" s="4">
        <f>COUNTIFS(tItens[Edital],tEditais[[#This Row],[Edital]])</f>
        <v>4</v>
      </c>
      <c r="L223" s="4">
        <f>COUNTIFS(tItens[Edital],tEditais[[#This Row],[Edital]],tItens[Foco],"Sim")</f>
        <v>0</v>
      </c>
      <c r="M223" s="8">
        <f>SUMIFS(tItens[Valor],tItens[Edital],tEditais[[#This Row],[Edital]])</f>
        <v>28068.2</v>
      </c>
      <c r="N223" s="8">
        <f>SUMIFS(tItens[Valor homologado],tItens[Edital],tEditais[[#This Row],[Edital]],tItens[Foco],"Sim")</f>
        <v>0</v>
      </c>
      <c r="O223" t="str">
        <f>IF(tEditais[[#This Row],[Itens do foco]]=0,"",IF(tEditais[[#This Row],[Valor foco homologado]]&lt;=0,"Sem valor",IF(tEditais[[#This Row],[Valor foco homologado]]&gt;=FaixaA_Min,"A",IF(tEditais[[#This Row],[Valor foco homologado]]&gt;=FaixaB_Min,"B","C"))))</f>
        <v/>
      </c>
      <c r="P223" t="str">
        <f ca="1">IF(tEditais[[#This Row],[Encerramento]]&gt;NOW(),"Aberto","Encerrado")</f>
        <v>Encerrado</v>
      </c>
    </row>
    <row r="224" spans="1:16" x14ac:dyDescent="0.25">
      <c r="A224" t="s">
        <v>1533</v>
      </c>
      <c r="B224" t="s">
        <v>1391</v>
      </c>
      <c r="C224" t="s">
        <v>1319</v>
      </c>
      <c r="D224" t="s">
        <v>1285</v>
      </c>
      <c r="E224" t="s">
        <v>716</v>
      </c>
      <c r="F224" s="11">
        <v>46310.375</v>
      </c>
      <c r="G224">
        <v>18</v>
      </c>
      <c r="H224" t="s">
        <v>1534</v>
      </c>
      <c r="I224" t="s">
        <v>1535</v>
      </c>
      <c r="J224" t="str">
        <f>IF(ISNUMBER(SEARCH("registro de pre",tEditais[[#This Row],[Objeto]])),"Sim","Não")</f>
        <v>Não</v>
      </c>
      <c r="K224" s="4">
        <f>COUNTIFS(tItens[Edital],tEditais[[#This Row],[Edital]])</f>
        <v>3</v>
      </c>
      <c r="L224" s="4">
        <f>COUNTIFS(tItens[Edital],tEditais[[#This Row],[Edital]],tItens[Foco],"Sim")</f>
        <v>2</v>
      </c>
      <c r="M224" s="8">
        <f>SUMIFS(tItens[Valor],tItens[Edital],tEditais[[#This Row],[Edital]])</f>
        <v>0</v>
      </c>
      <c r="N224" s="8">
        <f>SUMIFS(tItens[Valor homologado],tItens[Edital],tEditais[[#This Row],[Edital]],tItens[Foco],"Sim")</f>
        <v>0</v>
      </c>
      <c r="O224" t="str">
        <f>IF(tEditais[[#This Row],[Itens do foco]]=0,"",IF(tEditais[[#This Row],[Valor foco homologado]]&lt;=0,"Sem valor",IF(tEditais[[#This Row],[Valor foco homologado]]&gt;=FaixaA_Min,"A",IF(tEditais[[#This Row],[Valor foco homologado]]&gt;=FaixaB_Min,"B","C"))))</f>
        <v>Sem valor</v>
      </c>
      <c r="P224" t="str">
        <f ca="1">IF(tEditais[[#This Row],[Encerramento]]&gt;NOW(),"Aberto","Encerrado")</f>
        <v>Encerrado</v>
      </c>
    </row>
    <row r="225" spans="1:16" x14ac:dyDescent="0.25">
      <c r="A225" t="s">
        <v>1536</v>
      </c>
      <c r="B225" t="s">
        <v>1537</v>
      </c>
      <c r="C225" t="s">
        <v>1538</v>
      </c>
      <c r="D225" t="s">
        <v>1285</v>
      </c>
      <c r="E225" t="s">
        <v>800</v>
      </c>
      <c r="F225" s="11">
        <v>46310.375</v>
      </c>
      <c r="G225">
        <v>9</v>
      </c>
      <c r="H225" t="s">
        <v>1539</v>
      </c>
      <c r="I225" t="s">
        <v>1540</v>
      </c>
      <c r="J225" t="str">
        <f>IF(ISNUMBER(SEARCH("registro de pre",tEditais[[#This Row],[Objeto]])),"Sim","Não")</f>
        <v>Não</v>
      </c>
      <c r="K225" s="4">
        <f>COUNTIFS(tItens[Edital],tEditais[[#This Row],[Edital]])</f>
        <v>5</v>
      </c>
      <c r="L225" s="4">
        <f>COUNTIFS(tItens[Edital],tEditais[[#This Row],[Edital]],tItens[Foco],"Sim")</f>
        <v>0</v>
      </c>
      <c r="M225" s="8">
        <f>SUMIFS(tItens[Valor],tItens[Edital],tEditais[[#This Row],[Edital]])</f>
        <v>6065.16</v>
      </c>
      <c r="N225" s="8">
        <f>SUMIFS(tItens[Valor homologado],tItens[Edital],tEditais[[#This Row],[Edital]],tItens[Foco],"Sim")</f>
        <v>0</v>
      </c>
      <c r="O225" t="str">
        <f>IF(tEditais[[#This Row],[Itens do foco]]=0,"",IF(tEditais[[#This Row],[Valor foco homologado]]&lt;=0,"Sem valor",IF(tEditais[[#This Row],[Valor foco homologado]]&gt;=FaixaA_Min,"A",IF(tEditais[[#This Row],[Valor foco homologado]]&gt;=FaixaB_Min,"B","C"))))</f>
        <v/>
      </c>
      <c r="P225" t="str">
        <f ca="1">IF(tEditais[[#This Row],[Encerramento]]&gt;NOW(),"Aberto","Encerrado")</f>
        <v>Encerrado</v>
      </c>
    </row>
    <row r="226" spans="1:16" x14ac:dyDescent="0.25">
      <c r="A226" t="s">
        <v>1541</v>
      </c>
      <c r="B226" t="s">
        <v>1542</v>
      </c>
      <c r="C226" t="s">
        <v>1543</v>
      </c>
      <c r="D226" t="s">
        <v>1285</v>
      </c>
      <c r="E226" t="s">
        <v>716</v>
      </c>
      <c r="F226" s="11">
        <v>46310.375</v>
      </c>
      <c r="G226">
        <v>212</v>
      </c>
      <c r="H226" t="s">
        <v>1544</v>
      </c>
      <c r="I226" t="s">
        <v>1545</v>
      </c>
      <c r="J226" t="str">
        <f>IF(ISNUMBER(SEARCH("registro de pre",tEditais[[#This Row],[Objeto]])),"Sim","Não")</f>
        <v>Sim</v>
      </c>
      <c r="K226" s="4">
        <f>COUNTIFS(tItens[Edital],tEditais[[#This Row],[Edital]])</f>
        <v>19</v>
      </c>
      <c r="L226" s="4">
        <f>COUNTIFS(tItens[Edital],tEditais[[#This Row],[Edital]],tItens[Foco],"Sim")</f>
        <v>0</v>
      </c>
      <c r="M226" s="8">
        <f>SUMIFS(tItens[Valor],tItens[Edital],tEditais[[#This Row],[Edital]])</f>
        <v>1474467.1</v>
      </c>
      <c r="N226" s="8">
        <f>SUMIFS(tItens[Valor homologado],tItens[Edital],tEditais[[#This Row],[Edital]],tItens[Foco],"Sim")</f>
        <v>0</v>
      </c>
      <c r="O226" t="str">
        <f>IF(tEditais[[#This Row],[Itens do foco]]=0,"",IF(tEditais[[#This Row],[Valor foco homologado]]&lt;=0,"Sem valor",IF(tEditais[[#This Row],[Valor foco homologado]]&gt;=FaixaA_Min,"A",IF(tEditais[[#This Row],[Valor foco homologado]]&gt;=FaixaB_Min,"B","C"))))</f>
        <v/>
      </c>
      <c r="P226" t="str">
        <f ca="1">IF(tEditais[[#This Row],[Encerramento]]&gt;NOW(),"Aberto","Encerrado")</f>
        <v>Encerrado</v>
      </c>
    </row>
    <row r="227" spans="1:16" x14ac:dyDescent="0.25">
      <c r="A227" t="s">
        <v>1546</v>
      </c>
      <c r="B227" t="s">
        <v>1391</v>
      </c>
      <c r="C227" t="s">
        <v>1319</v>
      </c>
      <c r="D227" t="s">
        <v>1285</v>
      </c>
      <c r="E227" t="s">
        <v>716</v>
      </c>
      <c r="F227" s="11">
        <v>46310.375</v>
      </c>
      <c r="G227">
        <v>37</v>
      </c>
      <c r="H227" t="s">
        <v>1547</v>
      </c>
      <c r="I227" t="s">
        <v>1548</v>
      </c>
      <c r="J227" t="str">
        <f>IF(ISNUMBER(SEARCH("registro de pre",tEditais[[#This Row],[Objeto]])),"Sim","Não")</f>
        <v>Não</v>
      </c>
      <c r="K227" s="4">
        <f>COUNTIFS(tItens[Edital],tEditais[[#This Row],[Edital]])</f>
        <v>10</v>
      </c>
      <c r="L227" s="4">
        <f>COUNTIFS(tItens[Edital],tEditais[[#This Row],[Edital]],tItens[Foco],"Sim")</f>
        <v>0</v>
      </c>
      <c r="M227" s="8">
        <f>SUMIFS(tItens[Valor],tItens[Edital],tEditais[[#This Row],[Edital]])</f>
        <v>0</v>
      </c>
      <c r="N227" s="8">
        <f>SUMIFS(tItens[Valor homologado],tItens[Edital],tEditais[[#This Row],[Edital]],tItens[Foco],"Sim")</f>
        <v>0</v>
      </c>
      <c r="O227" t="str">
        <f>IF(tEditais[[#This Row],[Itens do foco]]=0,"",IF(tEditais[[#This Row],[Valor foco homologado]]&lt;=0,"Sem valor",IF(tEditais[[#This Row],[Valor foco homologado]]&gt;=FaixaA_Min,"A",IF(tEditais[[#This Row],[Valor foco homologado]]&gt;=FaixaB_Min,"B","C"))))</f>
        <v/>
      </c>
      <c r="P227" t="str">
        <f ca="1">IF(tEditais[[#This Row],[Encerramento]]&gt;NOW(),"Aberto","Encerrado")</f>
        <v>Encerrado</v>
      </c>
    </row>
    <row r="228" spans="1:16" x14ac:dyDescent="0.25">
      <c r="A228" t="s">
        <v>1549</v>
      </c>
      <c r="B228" t="s">
        <v>1550</v>
      </c>
      <c r="C228" t="s">
        <v>1551</v>
      </c>
      <c r="D228" t="s">
        <v>1285</v>
      </c>
      <c r="E228" t="s">
        <v>716</v>
      </c>
      <c r="F228" s="11">
        <v>46310.415972222225</v>
      </c>
      <c r="G228">
        <v>7</v>
      </c>
      <c r="H228" t="s">
        <v>1552</v>
      </c>
      <c r="I228" t="s">
        <v>1553</v>
      </c>
      <c r="J228" t="str">
        <f>IF(ISNUMBER(SEARCH("registro de pre",tEditais[[#This Row],[Objeto]])),"Sim","Não")</f>
        <v>Sim</v>
      </c>
      <c r="K228" s="4">
        <f>COUNTIFS(tItens[Edital],tEditais[[#This Row],[Edital]])</f>
        <v>1</v>
      </c>
      <c r="L228" s="4">
        <f>COUNTIFS(tItens[Edital],tEditais[[#This Row],[Edital]],tItens[Foco],"Sim")</f>
        <v>1</v>
      </c>
      <c r="M228" s="8">
        <f>SUMIFS(tItens[Valor],tItens[Edital],tEditais[[#This Row],[Edital]])</f>
        <v>238</v>
      </c>
      <c r="N228" s="8">
        <f>SUMIFS(tItens[Valor homologado],tItens[Edital],tEditais[[#This Row],[Edital]],tItens[Foco],"Sim")</f>
        <v>166.6</v>
      </c>
      <c r="O228" t="str">
        <f>IF(tEditais[[#This Row],[Itens do foco]]=0,"",IF(tEditais[[#This Row],[Valor foco homologado]]&lt;=0,"Sem valor",IF(tEditais[[#This Row],[Valor foco homologado]]&gt;=FaixaA_Min,"A",IF(tEditais[[#This Row],[Valor foco homologado]]&gt;=FaixaB_Min,"B","C"))))</f>
        <v>C</v>
      </c>
      <c r="P228" t="str">
        <f ca="1">IF(tEditais[[#This Row],[Encerramento]]&gt;NOW(),"Aberto","Encerrado")</f>
        <v>Encerrado</v>
      </c>
    </row>
    <row r="229" spans="1:16" x14ac:dyDescent="0.25">
      <c r="A229" t="s">
        <v>1554</v>
      </c>
      <c r="B229" t="s">
        <v>1555</v>
      </c>
      <c r="C229" t="s">
        <v>1556</v>
      </c>
      <c r="D229" t="s">
        <v>1285</v>
      </c>
      <c r="E229" t="s">
        <v>716</v>
      </c>
      <c r="F229" s="11">
        <v>46310.520833333336</v>
      </c>
      <c r="G229">
        <v>4</v>
      </c>
      <c r="H229" t="s">
        <v>1557</v>
      </c>
      <c r="I229" t="s">
        <v>1558</v>
      </c>
      <c r="J229" t="str">
        <f>IF(ISNUMBER(SEARCH("registro de pre",tEditais[[#This Row],[Objeto]])),"Sim","Não")</f>
        <v>Sim</v>
      </c>
      <c r="K229" s="4">
        <f>COUNTIFS(tItens[Edital],tEditais[[#This Row],[Edital]])</f>
        <v>1</v>
      </c>
      <c r="L229" s="4">
        <f>COUNTIFS(tItens[Edital],tEditais[[#This Row],[Edital]],tItens[Foco],"Sim")</f>
        <v>0</v>
      </c>
      <c r="M229" s="8">
        <f>SUMIFS(tItens[Valor],tItens[Edital],tEditais[[#This Row],[Edital]])</f>
        <v>55504</v>
      </c>
      <c r="N229" s="8">
        <f>SUMIFS(tItens[Valor homologado],tItens[Edital],tEditais[[#This Row],[Edital]],tItens[Foco],"Sim")</f>
        <v>0</v>
      </c>
      <c r="O229" t="str">
        <f>IF(tEditais[[#This Row],[Itens do foco]]=0,"",IF(tEditais[[#This Row],[Valor foco homologado]]&lt;=0,"Sem valor",IF(tEditais[[#This Row],[Valor foco homologado]]&gt;=FaixaA_Min,"A",IF(tEditais[[#This Row],[Valor foco homologado]]&gt;=FaixaB_Min,"B","C"))))</f>
        <v/>
      </c>
      <c r="P229" t="str">
        <f ca="1">IF(tEditais[[#This Row],[Encerramento]]&gt;NOW(),"Aberto","Encerrado")</f>
        <v>Encerrado</v>
      </c>
    </row>
    <row r="230" spans="1:16" x14ac:dyDescent="0.25">
      <c r="A230" t="s">
        <v>1559</v>
      </c>
      <c r="B230" t="s">
        <v>1555</v>
      </c>
      <c r="C230" t="s">
        <v>1556</v>
      </c>
      <c r="D230" t="s">
        <v>1285</v>
      </c>
      <c r="E230" t="s">
        <v>716</v>
      </c>
      <c r="F230" s="11">
        <v>46310.520833333336</v>
      </c>
      <c r="G230">
        <v>4</v>
      </c>
      <c r="I230" t="s">
        <v>1560</v>
      </c>
      <c r="J230" t="str">
        <f>IF(ISNUMBER(SEARCH("registro de pre",tEditais[[#This Row],[Objeto]])),"Sim","Não")</f>
        <v>Sim</v>
      </c>
      <c r="K230" s="4">
        <f>COUNTIFS(tItens[Edital],tEditais[[#This Row],[Edital]])</f>
        <v>1</v>
      </c>
      <c r="L230" s="4">
        <f>COUNTIFS(tItens[Edital],tEditais[[#This Row],[Edital]],tItens[Foco],"Sim")</f>
        <v>0</v>
      </c>
      <c r="M230" s="8">
        <f>SUMIFS(tItens[Valor],tItens[Edital],tEditais[[#This Row],[Edital]])</f>
        <v>55504</v>
      </c>
      <c r="N230" s="8">
        <f>SUMIFS(tItens[Valor homologado],tItens[Edital],tEditais[[#This Row],[Edital]],tItens[Foco],"Sim")</f>
        <v>0</v>
      </c>
      <c r="O230" t="str">
        <f>IF(tEditais[[#This Row],[Itens do foco]]=0,"",IF(tEditais[[#This Row],[Valor foco homologado]]&lt;=0,"Sem valor",IF(tEditais[[#This Row],[Valor foco homologado]]&gt;=FaixaA_Min,"A",IF(tEditais[[#This Row],[Valor foco homologado]]&gt;=FaixaB_Min,"B","C"))))</f>
        <v/>
      </c>
      <c r="P230" t="str">
        <f ca="1">IF(tEditais[[#This Row],[Encerramento]]&gt;NOW(),"Aberto","Encerrado")</f>
        <v>Encerrado</v>
      </c>
    </row>
    <row r="231" spans="1:16" x14ac:dyDescent="0.25">
      <c r="A231" t="s">
        <v>1561</v>
      </c>
      <c r="B231" t="s">
        <v>1562</v>
      </c>
      <c r="C231" t="s">
        <v>1563</v>
      </c>
      <c r="D231" t="s">
        <v>1285</v>
      </c>
      <c r="E231" t="s">
        <v>716</v>
      </c>
      <c r="F231" s="11">
        <v>46310.541666666664</v>
      </c>
      <c r="G231">
        <v>15</v>
      </c>
      <c r="H231" t="s">
        <v>1564</v>
      </c>
      <c r="I231" t="s">
        <v>1565</v>
      </c>
      <c r="J231" t="str">
        <f>IF(ISNUMBER(SEARCH("registro de pre",tEditais[[#This Row],[Objeto]])),"Sim","Não")</f>
        <v>Sim</v>
      </c>
      <c r="K231" s="4">
        <f>COUNTIFS(tItens[Edital],tEditais[[#This Row],[Edital]])</f>
        <v>3</v>
      </c>
      <c r="L231" s="4">
        <f>COUNTIFS(tItens[Edital],tEditais[[#This Row],[Edital]],tItens[Foco],"Sim")</f>
        <v>0</v>
      </c>
      <c r="M231" s="8">
        <f>SUMIFS(tItens[Valor],tItens[Edital],tEditais[[#This Row],[Edital]])</f>
        <v>0</v>
      </c>
      <c r="N231" s="8">
        <f>SUMIFS(tItens[Valor homologado],tItens[Edital],tEditais[[#This Row],[Edital]],tItens[Foco],"Sim")</f>
        <v>0</v>
      </c>
      <c r="O231" t="str">
        <f>IF(tEditais[[#This Row],[Itens do foco]]=0,"",IF(tEditais[[#This Row],[Valor foco homologado]]&lt;=0,"Sem valor",IF(tEditais[[#This Row],[Valor foco homologado]]&gt;=FaixaA_Min,"A",IF(tEditais[[#This Row],[Valor foco homologado]]&gt;=FaixaB_Min,"B","C"))))</f>
        <v/>
      </c>
      <c r="P231" t="str">
        <f ca="1">IF(tEditais[[#This Row],[Encerramento]]&gt;NOW(),"Aberto","Encerrado")</f>
        <v>Encerrado</v>
      </c>
    </row>
    <row r="232" spans="1:16" x14ac:dyDescent="0.25">
      <c r="A232" t="s">
        <v>1566</v>
      </c>
      <c r="B232" t="s">
        <v>739</v>
      </c>
      <c r="C232" t="s">
        <v>1515</v>
      </c>
      <c r="D232" t="s">
        <v>1285</v>
      </c>
      <c r="E232" t="s">
        <v>800</v>
      </c>
      <c r="F232" s="11">
        <v>46311.333333333336</v>
      </c>
      <c r="G232">
        <v>18</v>
      </c>
      <c r="H232" t="s">
        <v>1567</v>
      </c>
      <c r="I232" t="s">
        <v>1568</v>
      </c>
      <c r="J232" t="str">
        <f>IF(ISNUMBER(SEARCH("registro de pre",tEditais[[#This Row],[Objeto]])),"Sim","Não")</f>
        <v>Não</v>
      </c>
      <c r="K232" s="4">
        <f>COUNTIFS(tItens[Edital],tEditais[[#This Row],[Edital]])</f>
        <v>2</v>
      </c>
      <c r="L232" s="4">
        <f>COUNTIFS(tItens[Edital],tEditais[[#This Row],[Edital]],tItens[Foco],"Sim")</f>
        <v>1</v>
      </c>
      <c r="M232" s="8">
        <f>SUMIFS(tItens[Valor],tItens[Edital],tEditais[[#This Row],[Edital]])</f>
        <v>0</v>
      </c>
      <c r="N232" s="8">
        <f>SUMIFS(tItens[Valor homologado],tItens[Edital],tEditais[[#This Row],[Edital]],tItens[Foco],"Sim")</f>
        <v>0</v>
      </c>
      <c r="O232" t="str">
        <f>IF(tEditais[[#This Row],[Itens do foco]]=0,"",IF(tEditais[[#This Row],[Valor foco homologado]]&lt;=0,"Sem valor",IF(tEditais[[#This Row],[Valor foco homologado]]&gt;=FaixaA_Min,"A",IF(tEditais[[#This Row],[Valor foco homologado]]&gt;=FaixaB_Min,"B","C"))))</f>
        <v>Sem valor</v>
      </c>
      <c r="P232" t="str">
        <f ca="1">IF(tEditais[[#This Row],[Encerramento]]&gt;NOW(),"Aberto","Encerrado")</f>
        <v>Aberto</v>
      </c>
    </row>
    <row r="233" spans="1:16" x14ac:dyDescent="0.25">
      <c r="A233" t="s">
        <v>1569</v>
      </c>
      <c r="B233" t="s">
        <v>1570</v>
      </c>
      <c r="C233" t="s">
        <v>1515</v>
      </c>
      <c r="D233" t="s">
        <v>1285</v>
      </c>
      <c r="E233" t="s">
        <v>800</v>
      </c>
      <c r="F233" s="11">
        <v>46311.333333333336</v>
      </c>
      <c r="G233">
        <v>54</v>
      </c>
      <c r="H233" t="s">
        <v>1571</v>
      </c>
      <c r="I233" t="s">
        <v>1572</v>
      </c>
      <c r="J233" t="str">
        <f>IF(ISNUMBER(SEARCH("registro de pre",tEditais[[#This Row],[Objeto]])),"Sim","Não")</f>
        <v>Não</v>
      </c>
      <c r="K233" s="4">
        <f>COUNTIFS(tItens[Edital],tEditais[[#This Row],[Edital]])</f>
        <v>4</v>
      </c>
      <c r="L233" s="4">
        <f>COUNTIFS(tItens[Edital],tEditais[[#This Row],[Edital]],tItens[Foco],"Sim")</f>
        <v>0</v>
      </c>
      <c r="M233" s="8">
        <f>SUMIFS(tItens[Valor],tItens[Edital],tEditais[[#This Row],[Edital]])</f>
        <v>762.7</v>
      </c>
      <c r="N233" s="8">
        <f>SUMIFS(tItens[Valor homologado],tItens[Edital],tEditais[[#This Row],[Edital]],tItens[Foco],"Sim")</f>
        <v>0</v>
      </c>
      <c r="O233" t="str">
        <f>IF(tEditais[[#This Row],[Itens do foco]]=0,"",IF(tEditais[[#This Row],[Valor foco homologado]]&lt;=0,"Sem valor",IF(tEditais[[#This Row],[Valor foco homologado]]&gt;=FaixaA_Min,"A",IF(tEditais[[#This Row],[Valor foco homologado]]&gt;=FaixaB_Min,"B","C"))))</f>
        <v/>
      </c>
      <c r="P233" t="str">
        <f ca="1">IF(tEditais[[#This Row],[Encerramento]]&gt;NOW(),"Aberto","Encerrado")</f>
        <v>Aberto</v>
      </c>
    </row>
    <row r="234" spans="1:16" x14ac:dyDescent="0.25">
      <c r="A234" t="s">
        <v>1573</v>
      </c>
      <c r="B234" t="s">
        <v>886</v>
      </c>
      <c r="C234" t="s">
        <v>1319</v>
      </c>
      <c r="D234" t="s">
        <v>1285</v>
      </c>
      <c r="E234" t="s">
        <v>800</v>
      </c>
      <c r="F234" s="11">
        <v>46311.333333333336</v>
      </c>
      <c r="G234">
        <v>7</v>
      </c>
      <c r="H234" t="s">
        <v>1574</v>
      </c>
      <c r="I234" t="s">
        <v>1575</v>
      </c>
      <c r="J234" t="str">
        <f>IF(ISNUMBER(SEARCH("registro de pre",tEditais[[#This Row],[Objeto]])),"Sim","Não")</f>
        <v>Não</v>
      </c>
      <c r="K234" s="4">
        <f>COUNTIFS(tItens[Edital],tEditais[[#This Row],[Edital]])</f>
        <v>1</v>
      </c>
      <c r="L234" s="4">
        <f>COUNTIFS(tItens[Edital],tEditais[[#This Row],[Edital]],tItens[Foco],"Sim")</f>
        <v>1</v>
      </c>
      <c r="M234" s="8">
        <f>SUMIFS(tItens[Valor],tItens[Edital],tEditais[[#This Row],[Edital]])</f>
        <v>477.84000000000003</v>
      </c>
      <c r="N234" s="8">
        <f>SUMIFS(tItens[Valor homologado],tItens[Edital],tEditais[[#This Row],[Edital]],tItens[Foco],"Sim")</f>
        <v>315.37439999999998</v>
      </c>
      <c r="O234" t="str">
        <f>IF(tEditais[[#This Row],[Itens do foco]]=0,"",IF(tEditais[[#This Row],[Valor foco homologado]]&lt;=0,"Sem valor",IF(tEditais[[#This Row],[Valor foco homologado]]&gt;=FaixaA_Min,"A",IF(tEditais[[#This Row],[Valor foco homologado]]&gt;=FaixaB_Min,"B","C"))))</f>
        <v>C</v>
      </c>
      <c r="P234" t="str">
        <f ca="1">IF(tEditais[[#This Row],[Encerramento]]&gt;NOW(),"Aberto","Encerrado")</f>
        <v>Aberto</v>
      </c>
    </row>
    <row r="235" spans="1:16" x14ac:dyDescent="0.25">
      <c r="A235" t="s">
        <v>1576</v>
      </c>
      <c r="B235" t="s">
        <v>1577</v>
      </c>
      <c r="C235" t="s">
        <v>1578</v>
      </c>
      <c r="D235" t="s">
        <v>1285</v>
      </c>
      <c r="E235" t="s">
        <v>716</v>
      </c>
      <c r="F235" s="11">
        <v>46311.375</v>
      </c>
      <c r="G235">
        <v>11</v>
      </c>
      <c r="H235" t="s">
        <v>1579</v>
      </c>
      <c r="I235" t="s">
        <v>1580</v>
      </c>
      <c r="J235" t="str">
        <f>IF(ISNUMBER(SEARCH("registro de pre",tEditais[[#This Row],[Objeto]])),"Sim","Não")</f>
        <v>Sim</v>
      </c>
      <c r="K235" s="4">
        <f>COUNTIFS(tItens[Edital],tEditais[[#This Row],[Edital]])</f>
        <v>2</v>
      </c>
      <c r="L235" s="4">
        <f>COUNTIFS(tItens[Edital],tEditais[[#This Row],[Edital]],tItens[Foco],"Sim")</f>
        <v>0</v>
      </c>
      <c r="M235" s="8">
        <f>SUMIFS(tItens[Valor],tItens[Edital],tEditais[[#This Row],[Edital]])</f>
        <v>2599</v>
      </c>
      <c r="N235" s="8">
        <f>SUMIFS(tItens[Valor homologado],tItens[Edital],tEditais[[#This Row],[Edital]],tItens[Foco],"Sim")</f>
        <v>0</v>
      </c>
      <c r="O235" t="str">
        <f>IF(tEditais[[#This Row],[Itens do foco]]=0,"",IF(tEditais[[#This Row],[Valor foco homologado]]&lt;=0,"Sem valor",IF(tEditais[[#This Row],[Valor foco homologado]]&gt;=FaixaA_Min,"A",IF(tEditais[[#This Row],[Valor foco homologado]]&gt;=FaixaB_Min,"B","C"))))</f>
        <v/>
      </c>
      <c r="P235" t="str">
        <f ca="1">IF(tEditais[[#This Row],[Encerramento]]&gt;NOW(),"Aberto","Encerrado")</f>
        <v>Aberto</v>
      </c>
    </row>
    <row r="236" spans="1:16" x14ac:dyDescent="0.25">
      <c r="A236" t="s">
        <v>1581</v>
      </c>
      <c r="B236" t="s">
        <v>1582</v>
      </c>
      <c r="C236" t="s">
        <v>1583</v>
      </c>
      <c r="D236" t="s">
        <v>1285</v>
      </c>
      <c r="E236" t="s">
        <v>716</v>
      </c>
      <c r="F236" s="11">
        <v>46311.375</v>
      </c>
      <c r="G236">
        <v>50</v>
      </c>
      <c r="H236" t="s">
        <v>1584</v>
      </c>
      <c r="I236" t="s">
        <v>1585</v>
      </c>
      <c r="J236" t="str">
        <f>IF(ISNUMBER(SEARCH("registro de pre",tEditais[[#This Row],[Objeto]])),"Sim","Não")</f>
        <v>Não</v>
      </c>
      <c r="K236" s="4">
        <f>COUNTIFS(tItens[Edital],tEditais[[#This Row],[Edital]])</f>
        <v>1</v>
      </c>
      <c r="L236" s="4">
        <f>COUNTIFS(tItens[Edital],tEditais[[#This Row],[Edital]],tItens[Foco],"Sim")</f>
        <v>0</v>
      </c>
      <c r="M236" s="8">
        <f>SUMIFS(tItens[Valor],tItens[Edital],tEditais[[#This Row],[Edital]])</f>
        <v>54250.05</v>
      </c>
      <c r="N236" s="8">
        <f>SUMIFS(tItens[Valor homologado],tItens[Edital],tEditais[[#This Row],[Edital]],tItens[Foco],"Sim")</f>
        <v>0</v>
      </c>
      <c r="O236" t="str">
        <f>IF(tEditais[[#This Row],[Itens do foco]]=0,"",IF(tEditais[[#This Row],[Valor foco homologado]]&lt;=0,"Sem valor",IF(tEditais[[#This Row],[Valor foco homologado]]&gt;=FaixaA_Min,"A",IF(tEditais[[#This Row],[Valor foco homologado]]&gt;=FaixaB_Min,"B","C"))))</f>
        <v/>
      </c>
      <c r="P236" t="str">
        <f ca="1">IF(tEditais[[#This Row],[Encerramento]]&gt;NOW(),"Aberto","Encerrado")</f>
        <v>Aberto</v>
      </c>
    </row>
    <row r="237" spans="1:16" x14ac:dyDescent="0.25">
      <c r="A237" t="s">
        <v>1586</v>
      </c>
      <c r="B237" t="s">
        <v>1458</v>
      </c>
      <c r="C237" t="s">
        <v>1459</v>
      </c>
      <c r="D237" t="s">
        <v>1285</v>
      </c>
      <c r="E237" t="s">
        <v>716</v>
      </c>
      <c r="F237" s="11">
        <v>46311.375</v>
      </c>
      <c r="G237">
        <v>39</v>
      </c>
      <c r="I237" t="s">
        <v>1587</v>
      </c>
      <c r="J237" t="str">
        <f>IF(ISNUMBER(SEARCH("registro de pre",tEditais[[#This Row],[Objeto]])),"Sim","Não")</f>
        <v>Não</v>
      </c>
      <c r="K237" s="4">
        <f>COUNTIFS(tItens[Edital],tEditais[[#This Row],[Edital]])</f>
        <v>1</v>
      </c>
      <c r="L237" s="4">
        <f>COUNTIFS(tItens[Edital],tEditais[[#This Row],[Edital]],tItens[Foco],"Sim")</f>
        <v>0</v>
      </c>
      <c r="M237" s="8">
        <f>SUMIFS(tItens[Valor],tItens[Edital],tEditais[[#This Row],[Edital]])</f>
        <v>43.41</v>
      </c>
      <c r="N237" s="8">
        <f>SUMIFS(tItens[Valor homologado],tItens[Edital],tEditais[[#This Row],[Edital]],tItens[Foco],"Sim")</f>
        <v>0</v>
      </c>
      <c r="O237" t="str">
        <f>IF(tEditais[[#This Row],[Itens do foco]]=0,"",IF(tEditais[[#This Row],[Valor foco homologado]]&lt;=0,"Sem valor",IF(tEditais[[#This Row],[Valor foco homologado]]&gt;=FaixaA_Min,"A",IF(tEditais[[#This Row],[Valor foco homologado]]&gt;=FaixaB_Min,"B","C"))))</f>
        <v/>
      </c>
      <c r="P237" t="str">
        <f ca="1">IF(tEditais[[#This Row],[Encerramento]]&gt;NOW(),"Aberto","Encerrado")</f>
        <v>Aberto</v>
      </c>
    </row>
    <row r="238" spans="1:16" x14ac:dyDescent="0.25">
      <c r="A238" t="s">
        <v>1588</v>
      </c>
      <c r="B238" t="s">
        <v>1589</v>
      </c>
      <c r="C238" t="s">
        <v>1319</v>
      </c>
      <c r="D238" t="s">
        <v>1285</v>
      </c>
      <c r="E238" t="s">
        <v>716</v>
      </c>
      <c r="F238" s="11">
        <v>46311.416666666664</v>
      </c>
      <c r="G238">
        <v>18</v>
      </c>
      <c r="I238" t="s">
        <v>1590</v>
      </c>
      <c r="J238" t="str">
        <f>IF(ISNUMBER(SEARCH("registro de pre",tEditais[[#This Row],[Objeto]])),"Sim","Não")</f>
        <v>Não</v>
      </c>
      <c r="K238" s="4">
        <f>COUNTIFS(tItens[Edital],tEditais[[#This Row],[Edital]])</f>
        <v>9</v>
      </c>
      <c r="L238" s="4">
        <f>COUNTIFS(tItens[Edital],tEditais[[#This Row],[Edital]],tItens[Foco],"Sim")</f>
        <v>2</v>
      </c>
      <c r="M238" s="8">
        <f>SUMIFS(tItens[Valor],tItens[Edital],tEditais[[#This Row],[Edital]])</f>
        <v>0</v>
      </c>
      <c r="N238" s="8">
        <f>SUMIFS(tItens[Valor homologado],tItens[Edital],tEditais[[#This Row],[Edital]],tItens[Foco],"Sim")</f>
        <v>0</v>
      </c>
      <c r="O238" t="str">
        <f>IF(tEditais[[#This Row],[Itens do foco]]=0,"",IF(tEditais[[#This Row],[Valor foco homologado]]&lt;=0,"Sem valor",IF(tEditais[[#This Row],[Valor foco homologado]]&gt;=FaixaA_Min,"A",IF(tEditais[[#This Row],[Valor foco homologado]]&gt;=FaixaB_Min,"B","C"))))</f>
        <v>Sem valor</v>
      </c>
      <c r="P238" t="str">
        <f ca="1">IF(tEditais[[#This Row],[Encerramento]]&gt;NOW(),"Aberto","Encerrado")</f>
        <v>Aberto</v>
      </c>
    </row>
    <row r="239" spans="1:16" x14ac:dyDescent="0.25">
      <c r="A239" t="s">
        <v>1591</v>
      </c>
      <c r="B239" t="s">
        <v>752</v>
      </c>
      <c r="C239" t="s">
        <v>1592</v>
      </c>
      <c r="D239" t="s">
        <v>1285</v>
      </c>
      <c r="E239" t="s">
        <v>716</v>
      </c>
      <c r="F239" s="11">
        <v>46314.3125</v>
      </c>
      <c r="G239">
        <v>22</v>
      </c>
      <c r="I239" t="s">
        <v>1593</v>
      </c>
      <c r="J239" t="str">
        <f>IF(ISNUMBER(SEARCH("registro de pre",tEditais[[#This Row],[Objeto]])),"Sim","Não")</f>
        <v>Sim</v>
      </c>
      <c r="K239" s="4">
        <f>COUNTIFS(tItens[Edital],tEditais[[#This Row],[Edital]])</f>
        <v>2</v>
      </c>
      <c r="L239" s="4">
        <f>COUNTIFS(tItens[Edital],tEditais[[#This Row],[Edital]],tItens[Foco],"Sim")</f>
        <v>1</v>
      </c>
      <c r="M239" s="8">
        <f>SUMIFS(tItens[Valor],tItens[Edital],tEditais[[#This Row],[Edital]])</f>
        <v>137614</v>
      </c>
      <c r="N239" s="8">
        <f>SUMIFS(tItens[Valor homologado],tItens[Edital],tEditais[[#This Row],[Edital]],tItens[Foco],"Sim")</f>
        <v>11866.64</v>
      </c>
      <c r="O239" t="str">
        <f>IF(tEditais[[#This Row],[Itens do foco]]=0,"",IF(tEditais[[#This Row],[Valor foco homologado]]&lt;=0,"Sem valor",IF(tEditais[[#This Row],[Valor foco homologado]]&gt;=FaixaA_Min,"A",IF(tEditais[[#This Row],[Valor foco homologado]]&gt;=FaixaB_Min,"B","C"))))</f>
        <v>C</v>
      </c>
      <c r="P239" t="str">
        <f ca="1">IF(tEditais[[#This Row],[Encerramento]]&gt;NOW(),"Aberto","Encerrado")</f>
        <v>Aberto</v>
      </c>
    </row>
    <row r="240" spans="1:16" x14ac:dyDescent="0.25">
      <c r="A240" t="s">
        <v>1594</v>
      </c>
      <c r="B240" t="s">
        <v>1595</v>
      </c>
      <c r="C240" t="s">
        <v>1596</v>
      </c>
      <c r="D240" t="s">
        <v>1285</v>
      </c>
      <c r="E240" t="s">
        <v>716</v>
      </c>
      <c r="F240" s="11">
        <v>46314.353472222225</v>
      </c>
      <c r="G240">
        <v>129</v>
      </c>
      <c r="H240" t="s">
        <v>1597</v>
      </c>
      <c r="I240" t="s">
        <v>1598</v>
      </c>
      <c r="J240" t="str">
        <f>IF(ISNUMBER(SEARCH("registro de pre",tEditais[[#This Row],[Objeto]])),"Sim","Não")</f>
        <v>Não</v>
      </c>
      <c r="K240" s="4">
        <f>COUNTIFS(tItens[Edital],tEditais[[#This Row],[Edital]])</f>
        <v>46</v>
      </c>
      <c r="L240" s="4">
        <f>COUNTIFS(tItens[Edital],tEditais[[#This Row],[Edital]],tItens[Foco],"Sim")</f>
        <v>5</v>
      </c>
      <c r="M240" s="8">
        <f>SUMIFS(tItens[Valor],tItens[Edital],tEditais[[#This Row],[Edital]])</f>
        <v>99047.829999999987</v>
      </c>
      <c r="N240" s="8">
        <f>SUMIFS(tItens[Valor homologado],tItens[Edital],tEditais[[#This Row],[Edital]],tItens[Foco],"Sim")</f>
        <v>5218.9579999999996</v>
      </c>
      <c r="O240" t="str">
        <f>IF(tEditais[[#This Row],[Itens do foco]]=0,"",IF(tEditais[[#This Row],[Valor foco homologado]]&lt;=0,"Sem valor",IF(tEditais[[#This Row],[Valor foco homologado]]&gt;=FaixaA_Min,"A",IF(tEditais[[#This Row],[Valor foco homologado]]&gt;=FaixaB_Min,"B","C"))))</f>
        <v>C</v>
      </c>
      <c r="P240" t="str">
        <f ca="1">IF(tEditais[[#This Row],[Encerramento]]&gt;NOW(),"Aberto","Encerrado")</f>
        <v>Aberto</v>
      </c>
    </row>
    <row r="241" spans="1:16" x14ac:dyDescent="0.25">
      <c r="A241" t="s">
        <v>1599</v>
      </c>
      <c r="B241" t="s">
        <v>752</v>
      </c>
      <c r="C241" t="s">
        <v>1491</v>
      </c>
      <c r="D241" t="s">
        <v>1285</v>
      </c>
      <c r="E241" t="s">
        <v>716</v>
      </c>
      <c r="F241" s="11">
        <v>46314.354166666664</v>
      </c>
      <c r="G241">
        <v>115</v>
      </c>
      <c r="H241" t="s">
        <v>1600</v>
      </c>
      <c r="I241" t="s">
        <v>1601</v>
      </c>
      <c r="J241" t="str">
        <f>IF(ISNUMBER(SEARCH("registro de pre",tEditais[[#This Row],[Objeto]])),"Sim","Não")</f>
        <v>Não</v>
      </c>
      <c r="K241" s="4">
        <f>COUNTIFS(tItens[Edital],tEditais[[#This Row],[Edital]])</f>
        <v>40</v>
      </c>
      <c r="L241" s="4">
        <f>COUNTIFS(tItens[Edital],tEditais[[#This Row],[Edital]],tItens[Foco],"Sim")</f>
        <v>7</v>
      </c>
      <c r="M241" s="8">
        <f>SUMIFS(tItens[Valor],tItens[Edital],tEditais[[#This Row],[Edital]])</f>
        <v>950889.8</v>
      </c>
      <c r="N241" s="8">
        <f>SUMIFS(tItens[Valor homologado],tItens[Edital],tEditais[[#This Row],[Edital]],tItens[Foco],"Sim")</f>
        <v>164239.04000000004</v>
      </c>
      <c r="O241" t="str">
        <f>IF(tEditais[[#This Row],[Itens do foco]]=0,"",IF(tEditais[[#This Row],[Valor foco homologado]]&lt;=0,"Sem valor",IF(tEditais[[#This Row],[Valor foco homologado]]&gt;=FaixaA_Min,"A",IF(tEditais[[#This Row],[Valor foco homologado]]&gt;=FaixaB_Min,"B","C"))))</f>
        <v>A</v>
      </c>
      <c r="P241" t="str">
        <f ca="1">IF(tEditais[[#This Row],[Encerramento]]&gt;NOW(),"Aberto","Encerrado")</f>
        <v>Aberto</v>
      </c>
    </row>
    <row r="242" spans="1:16" x14ac:dyDescent="0.25">
      <c r="A242" t="s">
        <v>1602</v>
      </c>
      <c r="B242" t="s">
        <v>1445</v>
      </c>
      <c r="C242" t="s">
        <v>1446</v>
      </c>
      <c r="D242" t="s">
        <v>1285</v>
      </c>
      <c r="E242" t="s">
        <v>716</v>
      </c>
      <c r="F242" s="11">
        <v>46314.354166666664</v>
      </c>
      <c r="G242">
        <v>41</v>
      </c>
      <c r="H242" t="s">
        <v>1603</v>
      </c>
      <c r="I242" t="s">
        <v>1604</v>
      </c>
      <c r="J242" t="str">
        <f>IF(ISNUMBER(SEARCH("registro de pre",tEditais[[#This Row],[Objeto]])),"Sim","Não")</f>
        <v>Sim</v>
      </c>
      <c r="K242" s="4">
        <f>COUNTIFS(tItens[Edital],tEditais[[#This Row],[Edital]])</f>
        <v>6</v>
      </c>
      <c r="L242" s="4">
        <f>COUNTIFS(tItens[Edital],tEditais[[#This Row],[Edital]],tItens[Foco],"Sim")</f>
        <v>0</v>
      </c>
      <c r="M242" s="8">
        <f>SUMIFS(tItens[Valor],tItens[Edital],tEditais[[#This Row],[Edital]])</f>
        <v>0</v>
      </c>
      <c r="N242" s="8">
        <f>SUMIFS(tItens[Valor homologado],tItens[Edital],tEditais[[#This Row],[Edital]],tItens[Foco],"Sim")</f>
        <v>0</v>
      </c>
      <c r="O242" t="str">
        <f>IF(tEditais[[#This Row],[Itens do foco]]=0,"",IF(tEditais[[#This Row],[Valor foco homologado]]&lt;=0,"Sem valor",IF(tEditais[[#This Row],[Valor foco homologado]]&gt;=FaixaA_Min,"A",IF(tEditais[[#This Row],[Valor foco homologado]]&gt;=FaixaB_Min,"B","C"))))</f>
        <v/>
      </c>
      <c r="P242" t="str">
        <f ca="1">IF(tEditais[[#This Row],[Encerramento]]&gt;NOW(),"Aberto","Encerrado")</f>
        <v>Aberto</v>
      </c>
    </row>
    <row r="243" spans="1:16" x14ac:dyDescent="0.25">
      <c r="A243" t="s">
        <v>1605</v>
      </c>
      <c r="B243" t="s">
        <v>1606</v>
      </c>
      <c r="C243" t="s">
        <v>1607</v>
      </c>
      <c r="D243" t="s">
        <v>1285</v>
      </c>
      <c r="E243" t="s">
        <v>716</v>
      </c>
      <c r="F243" s="11">
        <v>46314.354166666664</v>
      </c>
      <c r="G243">
        <v>346</v>
      </c>
      <c r="H243" t="s">
        <v>1608</v>
      </c>
      <c r="I243" t="s">
        <v>1609</v>
      </c>
      <c r="J243" t="str">
        <f>IF(ISNUMBER(SEARCH("registro de pre",tEditais[[#This Row],[Objeto]])),"Sim","Não")</f>
        <v>Sim</v>
      </c>
      <c r="K243" s="4">
        <f>COUNTIFS(tItens[Edital],tEditais[[#This Row],[Edital]])</f>
        <v>23</v>
      </c>
      <c r="L243" s="4">
        <f>COUNTIFS(tItens[Edital],tEditais[[#This Row],[Edital]],tItens[Foco],"Sim")</f>
        <v>3</v>
      </c>
      <c r="M243" s="8">
        <f>SUMIFS(tItens[Valor],tItens[Edital],tEditais[[#This Row],[Edital]])</f>
        <v>0</v>
      </c>
      <c r="N243" s="8">
        <f>SUMIFS(tItens[Valor homologado],tItens[Edital],tEditais[[#This Row],[Edital]],tItens[Foco],"Sim")</f>
        <v>0</v>
      </c>
      <c r="O243" t="str">
        <f>IF(tEditais[[#This Row],[Itens do foco]]=0,"",IF(tEditais[[#This Row],[Valor foco homologado]]&lt;=0,"Sem valor",IF(tEditais[[#This Row],[Valor foco homologado]]&gt;=FaixaA_Min,"A",IF(tEditais[[#This Row],[Valor foco homologado]]&gt;=FaixaB_Min,"B","C"))))</f>
        <v>Sem valor</v>
      </c>
      <c r="P243" t="str">
        <f ca="1">IF(tEditais[[#This Row],[Encerramento]]&gt;NOW(),"Aberto","Encerrado")</f>
        <v>Aberto</v>
      </c>
    </row>
    <row r="244" spans="1:16" x14ac:dyDescent="0.25">
      <c r="A244" t="s">
        <v>1610</v>
      </c>
      <c r="B244" t="s">
        <v>1611</v>
      </c>
      <c r="C244" t="s">
        <v>1612</v>
      </c>
      <c r="D244" t="s">
        <v>1285</v>
      </c>
      <c r="E244" t="s">
        <v>716</v>
      </c>
      <c r="F244" s="11">
        <v>46314.375</v>
      </c>
      <c r="G244">
        <v>19</v>
      </c>
      <c r="H244" t="s">
        <v>1613</v>
      </c>
      <c r="I244" t="s">
        <v>1614</v>
      </c>
      <c r="J244" t="str">
        <f>IF(ISNUMBER(SEARCH("registro de pre",tEditais[[#This Row],[Objeto]])),"Sim","Não")</f>
        <v>Sim</v>
      </c>
      <c r="K244" s="4">
        <f>COUNTIFS(tItens[Edital],tEditais[[#This Row],[Edital]])</f>
        <v>6</v>
      </c>
      <c r="L244" s="4">
        <f>COUNTIFS(tItens[Edital],tEditais[[#This Row],[Edital]],tItens[Foco],"Sim")</f>
        <v>0</v>
      </c>
      <c r="M244" s="8">
        <f>SUMIFS(tItens[Valor],tItens[Edital],tEditais[[#This Row],[Edital]])</f>
        <v>41101</v>
      </c>
      <c r="N244" s="8">
        <f>SUMIFS(tItens[Valor homologado],tItens[Edital],tEditais[[#This Row],[Edital]],tItens[Foco],"Sim")</f>
        <v>0</v>
      </c>
      <c r="O244" t="str">
        <f>IF(tEditais[[#This Row],[Itens do foco]]=0,"",IF(tEditais[[#This Row],[Valor foco homologado]]&lt;=0,"Sem valor",IF(tEditais[[#This Row],[Valor foco homologado]]&gt;=FaixaA_Min,"A",IF(tEditais[[#This Row],[Valor foco homologado]]&gt;=FaixaB_Min,"B","C"))))</f>
        <v/>
      </c>
      <c r="P244" t="str">
        <f ca="1">IF(tEditais[[#This Row],[Encerramento]]&gt;NOW(),"Aberto","Encerrado")</f>
        <v>Aberto</v>
      </c>
    </row>
    <row r="245" spans="1:16" x14ac:dyDescent="0.25">
      <c r="A245" t="s">
        <v>1615</v>
      </c>
      <c r="B245" t="s">
        <v>1616</v>
      </c>
      <c r="C245" t="s">
        <v>1617</v>
      </c>
      <c r="D245" t="s">
        <v>1285</v>
      </c>
      <c r="E245" t="s">
        <v>716</v>
      </c>
      <c r="F245" s="11">
        <v>46314.375</v>
      </c>
      <c r="G245">
        <v>133</v>
      </c>
      <c r="H245" t="s">
        <v>1618</v>
      </c>
      <c r="I245" t="s">
        <v>1619</v>
      </c>
      <c r="J245" t="str">
        <f>IF(ISNUMBER(SEARCH("registro de pre",tEditais[[#This Row],[Objeto]])),"Sim","Não")</f>
        <v>Sim</v>
      </c>
      <c r="K245" s="4">
        <f>COUNTIFS(tItens[Edital],tEditais[[#This Row],[Edital]])</f>
        <v>25</v>
      </c>
      <c r="L245" s="4">
        <f>COUNTIFS(tItens[Edital],tEditais[[#This Row],[Edital]],tItens[Foco],"Sim")</f>
        <v>7</v>
      </c>
      <c r="M245" s="8">
        <f>SUMIFS(tItens[Valor],tItens[Edital],tEditais[[#This Row],[Edital]])</f>
        <v>199201.64999999997</v>
      </c>
      <c r="N245" s="8">
        <f>SUMIFS(tItens[Valor homologado],tItens[Edital],tEditais[[#This Row],[Edital]],tItens[Foco],"Sim")</f>
        <v>4695.5520000000006</v>
      </c>
      <c r="O245" t="str">
        <f>IF(tEditais[[#This Row],[Itens do foco]]=0,"",IF(tEditais[[#This Row],[Valor foco homologado]]&lt;=0,"Sem valor",IF(tEditais[[#This Row],[Valor foco homologado]]&gt;=FaixaA_Min,"A",IF(tEditais[[#This Row],[Valor foco homologado]]&gt;=FaixaB_Min,"B","C"))))</f>
        <v>C</v>
      </c>
      <c r="P245" t="str">
        <f ca="1">IF(tEditais[[#This Row],[Encerramento]]&gt;NOW(),"Aberto","Encerrado")</f>
        <v>Aberto</v>
      </c>
    </row>
    <row r="246" spans="1:16" x14ac:dyDescent="0.25">
      <c r="A246" t="s">
        <v>1620</v>
      </c>
      <c r="B246" t="s">
        <v>1621</v>
      </c>
      <c r="C246" t="s">
        <v>1622</v>
      </c>
      <c r="D246" t="s">
        <v>1285</v>
      </c>
      <c r="E246" t="s">
        <v>716</v>
      </c>
      <c r="F246" s="11">
        <v>46314.4375</v>
      </c>
      <c r="G246">
        <v>249</v>
      </c>
      <c r="I246" t="s">
        <v>1623</v>
      </c>
      <c r="J246" t="str">
        <f>IF(ISNUMBER(SEARCH("registro de pre",tEditais[[#This Row],[Objeto]])),"Sim","Não")</f>
        <v>Sim</v>
      </c>
      <c r="K246" s="4">
        <f>COUNTIFS(tItens[Edital],tEditais[[#This Row],[Edital]])</f>
        <v>15</v>
      </c>
      <c r="L246" s="4">
        <f>COUNTIFS(tItens[Edital],tEditais[[#This Row],[Edital]],tItens[Foco],"Sim")</f>
        <v>4</v>
      </c>
      <c r="M246" s="8">
        <f>SUMIFS(tItens[Valor],tItens[Edital],tEditais[[#This Row],[Edital]])</f>
        <v>45031.46</v>
      </c>
      <c r="N246" s="8">
        <f>SUMIFS(tItens[Valor homologado],tItens[Edital],tEditais[[#This Row],[Edital]],tItens[Foco],"Sim")</f>
        <v>396.4883999999999</v>
      </c>
      <c r="O246" t="str">
        <f>IF(tEditais[[#This Row],[Itens do foco]]=0,"",IF(tEditais[[#This Row],[Valor foco homologado]]&lt;=0,"Sem valor",IF(tEditais[[#This Row],[Valor foco homologado]]&gt;=FaixaA_Min,"A",IF(tEditais[[#This Row],[Valor foco homologado]]&gt;=FaixaB_Min,"B","C"))))</f>
        <v>C</v>
      </c>
      <c r="P246" t="str">
        <f ca="1">IF(tEditais[[#This Row],[Encerramento]]&gt;NOW(),"Aberto","Encerrado")</f>
        <v>Aberto</v>
      </c>
    </row>
    <row r="247" spans="1:16" x14ac:dyDescent="0.25">
      <c r="A247" t="s">
        <v>1624</v>
      </c>
      <c r="B247" t="s">
        <v>1621</v>
      </c>
      <c r="C247" t="s">
        <v>1622</v>
      </c>
      <c r="D247" t="s">
        <v>1285</v>
      </c>
      <c r="E247" t="s">
        <v>716</v>
      </c>
      <c r="F247" s="11">
        <v>46314.4375</v>
      </c>
      <c r="G247">
        <v>249</v>
      </c>
      <c r="I247" t="s">
        <v>1625</v>
      </c>
      <c r="J247" t="str">
        <f>IF(ISNUMBER(SEARCH("registro de pre",tEditais[[#This Row],[Objeto]])),"Sim","Não")</f>
        <v>Sim</v>
      </c>
      <c r="K247" s="4">
        <f>COUNTIFS(tItens[Edital],tEditais[[#This Row],[Edital]])</f>
        <v>14</v>
      </c>
      <c r="L247" s="4">
        <f>COUNTIFS(tItens[Edital],tEditais[[#This Row],[Edital]],tItens[Foco],"Sim")</f>
        <v>4</v>
      </c>
      <c r="M247" s="8">
        <f>SUMIFS(tItens[Valor],tItens[Edital],tEditais[[#This Row],[Edital]])</f>
        <v>36339.46</v>
      </c>
      <c r="N247" s="8">
        <f>SUMIFS(tItens[Valor homologado],tItens[Edital],tEditais[[#This Row],[Edital]],tItens[Foco],"Sim")</f>
        <v>396.4883999999999</v>
      </c>
      <c r="O247" t="str">
        <f>IF(tEditais[[#This Row],[Itens do foco]]=0,"",IF(tEditais[[#This Row],[Valor foco homologado]]&lt;=0,"Sem valor",IF(tEditais[[#This Row],[Valor foco homologado]]&gt;=FaixaA_Min,"A",IF(tEditais[[#This Row],[Valor foco homologado]]&gt;=FaixaB_Min,"B","C"))))</f>
        <v>C</v>
      </c>
      <c r="P247" t="str">
        <f ca="1">IF(tEditais[[#This Row],[Encerramento]]&gt;NOW(),"Aberto","Encerrado")</f>
        <v>Aberto</v>
      </c>
    </row>
    <row r="248" spans="1:16" x14ac:dyDescent="0.25">
      <c r="A248" t="s">
        <v>1626</v>
      </c>
      <c r="B248" t="s">
        <v>1627</v>
      </c>
      <c r="C248" t="s">
        <v>1628</v>
      </c>
      <c r="D248" t="s">
        <v>1629</v>
      </c>
      <c r="E248" t="s">
        <v>716</v>
      </c>
      <c r="F248" s="11">
        <v>46304.368055555555</v>
      </c>
      <c r="G248">
        <v>30</v>
      </c>
      <c r="H248" t="s">
        <v>1630</v>
      </c>
      <c r="I248" t="s">
        <v>1631</v>
      </c>
      <c r="J248" t="str">
        <f>IF(ISNUMBER(SEARCH("registro de pre",tEditais[[#This Row],[Objeto]])),"Sim","Não")</f>
        <v>Não</v>
      </c>
      <c r="K248" s="4">
        <f>COUNTIFS(tItens[Edital],tEditais[[#This Row],[Edital]])</f>
        <v>1</v>
      </c>
      <c r="L248" s="4">
        <f>COUNTIFS(tItens[Edital],tEditais[[#This Row],[Edital]],tItens[Foco],"Sim")</f>
        <v>0</v>
      </c>
      <c r="M248" s="8">
        <f>SUMIFS(tItens[Valor],tItens[Edital],tEditais[[#This Row],[Edital]])</f>
        <v>0</v>
      </c>
      <c r="N248" s="8">
        <f>SUMIFS(tItens[Valor homologado],tItens[Edital],tEditais[[#This Row],[Edital]],tItens[Foco],"Sim")</f>
        <v>0</v>
      </c>
      <c r="O248" t="str">
        <f>IF(tEditais[[#This Row],[Itens do foco]]=0,"",IF(tEditais[[#This Row],[Valor foco homologado]]&lt;=0,"Sem valor",IF(tEditais[[#This Row],[Valor foco homologado]]&gt;=FaixaA_Min,"A",IF(tEditais[[#This Row],[Valor foco homologado]]&gt;=FaixaB_Min,"B","C"))))</f>
        <v/>
      </c>
      <c r="P248" t="str">
        <f ca="1">IF(tEditais[[#This Row],[Encerramento]]&gt;NOW(),"Aberto","Encerrado")</f>
        <v>Encerrado</v>
      </c>
    </row>
    <row r="249" spans="1:16" x14ac:dyDescent="0.25">
      <c r="A249" t="s">
        <v>1632</v>
      </c>
      <c r="B249" t="s">
        <v>1633</v>
      </c>
      <c r="C249" t="s">
        <v>1634</v>
      </c>
      <c r="D249" t="s">
        <v>1629</v>
      </c>
      <c r="E249" t="s">
        <v>716</v>
      </c>
      <c r="F249" s="11">
        <v>46304.374305555553</v>
      </c>
      <c r="G249">
        <v>193</v>
      </c>
      <c r="H249" t="s">
        <v>1635</v>
      </c>
      <c r="I249" t="s">
        <v>1636</v>
      </c>
      <c r="J249" t="str">
        <f>IF(ISNUMBER(SEARCH("registro de pre",tEditais[[#This Row],[Objeto]])),"Sim","Não")</f>
        <v>Sim</v>
      </c>
      <c r="K249" s="4">
        <f>COUNTIFS(tItens[Edital],tEditais[[#This Row],[Edital]])</f>
        <v>56</v>
      </c>
      <c r="L249" s="4">
        <f>COUNTIFS(tItens[Edital],tEditais[[#This Row],[Edital]],tItens[Foco],"Sim")</f>
        <v>19</v>
      </c>
      <c r="M249" s="8">
        <f>SUMIFS(tItens[Valor],tItens[Edital],tEditais[[#This Row],[Edital]])</f>
        <v>142450.35</v>
      </c>
      <c r="N249" s="8">
        <f>SUMIFS(tItens[Valor homologado],tItens[Edital],tEditais[[#This Row],[Edital]],tItens[Foco],"Sim")</f>
        <v>11098.431499999999</v>
      </c>
      <c r="O249" t="str">
        <f>IF(tEditais[[#This Row],[Itens do foco]]=0,"",IF(tEditais[[#This Row],[Valor foco homologado]]&lt;=0,"Sem valor",IF(tEditais[[#This Row],[Valor foco homologado]]&gt;=FaixaA_Min,"A",IF(tEditais[[#This Row],[Valor foco homologado]]&gt;=FaixaB_Min,"B","C"))))</f>
        <v>C</v>
      </c>
      <c r="P249" t="str">
        <f ca="1">IF(tEditais[[#This Row],[Encerramento]]&gt;NOW(),"Aberto","Encerrado")</f>
        <v>Encerrado</v>
      </c>
    </row>
    <row r="250" spans="1:16" x14ac:dyDescent="0.25">
      <c r="A250" t="s">
        <v>1637</v>
      </c>
      <c r="B250" t="s">
        <v>1638</v>
      </c>
      <c r="C250" t="s">
        <v>1639</v>
      </c>
      <c r="D250" t="s">
        <v>1629</v>
      </c>
      <c r="E250" t="s">
        <v>716</v>
      </c>
      <c r="F250" s="11">
        <v>46304.375</v>
      </c>
      <c r="G250">
        <v>186</v>
      </c>
      <c r="I250" t="s">
        <v>1640</v>
      </c>
      <c r="J250" t="str">
        <f>IF(ISNUMBER(SEARCH("registro de pre",tEditais[[#This Row],[Objeto]])),"Sim","Não")</f>
        <v>Não</v>
      </c>
      <c r="K250" s="4">
        <f>COUNTIFS(tItens[Edital],tEditais[[#This Row],[Edital]])</f>
        <v>80</v>
      </c>
      <c r="L250" s="4">
        <f>COUNTIFS(tItens[Edital],tEditais[[#This Row],[Edital]],tItens[Foco],"Sim")</f>
        <v>13</v>
      </c>
      <c r="M250" s="8">
        <f>SUMIFS(tItens[Valor],tItens[Edital],tEditais[[#This Row],[Edital]])</f>
        <v>267045.99</v>
      </c>
      <c r="N250" s="8">
        <f>SUMIFS(tItens[Valor homologado],tItens[Edital],tEditais[[#This Row],[Edital]],tItens[Foco],"Sim")</f>
        <v>5026.3062000000009</v>
      </c>
      <c r="O250" t="str">
        <f>IF(tEditais[[#This Row],[Itens do foco]]=0,"",IF(tEditais[[#This Row],[Valor foco homologado]]&lt;=0,"Sem valor",IF(tEditais[[#This Row],[Valor foco homologado]]&gt;=FaixaA_Min,"A",IF(tEditais[[#This Row],[Valor foco homologado]]&gt;=FaixaB_Min,"B","C"))))</f>
        <v>C</v>
      </c>
      <c r="P250" t="str">
        <f ca="1">IF(tEditais[[#This Row],[Encerramento]]&gt;NOW(),"Aberto","Encerrado")</f>
        <v>Encerrado</v>
      </c>
    </row>
    <row r="251" spans="1:16" x14ac:dyDescent="0.25">
      <c r="A251" t="s">
        <v>1641</v>
      </c>
      <c r="B251" t="s">
        <v>1642</v>
      </c>
      <c r="C251" t="s">
        <v>1643</v>
      </c>
      <c r="D251" t="s">
        <v>1629</v>
      </c>
      <c r="E251" t="s">
        <v>716</v>
      </c>
      <c r="F251" s="11">
        <v>46308.374305555553</v>
      </c>
      <c r="G251">
        <v>23</v>
      </c>
      <c r="I251" t="s">
        <v>1644</v>
      </c>
      <c r="J251" t="str">
        <f>IF(ISNUMBER(SEARCH("registro de pre",tEditais[[#This Row],[Objeto]])),"Sim","Não")</f>
        <v>Sim</v>
      </c>
      <c r="K251" s="4">
        <f>COUNTIFS(tItens[Edital],tEditais[[#This Row],[Edital]])</f>
        <v>7</v>
      </c>
      <c r="L251" s="4">
        <f>COUNTIFS(tItens[Edital],tEditais[[#This Row],[Edital]],tItens[Foco],"Sim")</f>
        <v>0</v>
      </c>
      <c r="M251" s="8">
        <f>SUMIFS(tItens[Valor],tItens[Edital],tEditais[[#This Row],[Edital]])</f>
        <v>27829.999999999996</v>
      </c>
      <c r="N251" s="8">
        <f>SUMIFS(tItens[Valor homologado],tItens[Edital],tEditais[[#This Row],[Edital]],tItens[Foco],"Sim")</f>
        <v>0</v>
      </c>
      <c r="O251" t="str">
        <f>IF(tEditais[[#This Row],[Itens do foco]]=0,"",IF(tEditais[[#This Row],[Valor foco homologado]]&lt;=0,"Sem valor",IF(tEditais[[#This Row],[Valor foco homologado]]&gt;=FaixaA_Min,"A",IF(tEditais[[#This Row],[Valor foco homologado]]&gt;=FaixaB_Min,"B","C"))))</f>
        <v/>
      </c>
      <c r="P251" t="str">
        <f ca="1">IF(tEditais[[#This Row],[Encerramento]]&gt;NOW(),"Aberto","Encerrado")</f>
        <v>Encerrado</v>
      </c>
    </row>
    <row r="252" spans="1:16" x14ac:dyDescent="0.25">
      <c r="A252" t="s">
        <v>1645</v>
      </c>
      <c r="B252" t="s">
        <v>1646</v>
      </c>
      <c r="C252" t="s">
        <v>1647</v>
      </c>
      <c r="D252" t="s">
        <v>1629</v>
      </c>
      <c r="E252" t="s">
        <v>716</v>
      </c>
      <c r="F252" s="11">
        <v>46310.375</v>
      </c>
      <c r="G252">
        <v>68</v>
      </c>
      <c r="H252" t="s">
        <v>1648</v>
      </c>
      <c r="I252" t="s">
        <v>1649</v>
      </c>
      <c r="J252" t="str">
        <f>IF(ISNUMBER(SEARCH("registro de pre",tEditais[[#This Row],[Objeto]])),"Sim","Não")</f>
        <v>Sim</v>
      </c>
      <c r="K252" s="4">
        <f>COUNTIFS(tItens[Edital],tEditais[[#This Row],[Edital]])</f>
        <v>5</v>
      </c>
      <c r="L252" s="4">
        <f>COUNTIFS(tItens[Edital],tEditais[[#This Row],[Edital]],tItens[Foco],"Sim")</f>
        <v>0</v>
      </c>
      <c r="M252" s="8">
        <f>SUMIFS(tItens[Valor],tItens[Edital],tEditais[[#This Row],[Edital]])</f>
        <v>38037.619999999995</v>
      </c>
      <c r="N252" s="8">
        <f>SUMIFS(tItens[Valor homologado],tItens[Edital],tEditais[[#This Row],[Edital]],tItens[Foco],"Sim")</f>
        <v>0</v>
      </c>
      <c r="O252" t="str">
        <f>IF(tEditais[[#This Row],[Itens do foco]]=0,"",IF(tEditais[[#This Row],[Valor foco homologado]]&lt;=0,"Sem valor",IF(tEditais[[#This Row],[Valor foco homologado]]&gt;=FaixaA_Min,"A",IF(tEditais[[#This Row],[Valor foco homologado]]&gt;=FaixaB_Min,"B","C"))))</f>
        <v/>
      </c>
      <c r="P252" t="str">
        <f ca="1">IF(tEditais[[#This Row],[Encerramento]]&gt;NOW(),"Aberto","Encerrado")</f>
        <v>Encerrado</v>
      </c>
    </row>
    <row r="253" spans="1:16" x14ac:dyDescent="0.25">
      <c r="A253" t="s">
        <v>1650</v>
      </c>
      <c r="B253" t="s">
        <v>886</v>
      </c>
      <c r="C253" t="s">
        <v>1643</v>
      </c>
      <c r="D253" t="s">
        <v>1629</v>
      </c>
      <c r="E253" t="s">
        <v>716</v>
      </c>
      <c r="F253" s="11">
        <v>46310.416666666664</v>
      </c>
      <c r="G253">
        <v>230</v>
      </c>
      <c r="H253" t="s">
        <v>1651</v>
      </c>
      <c r="I253" t="s">
        <v>1652</v>
      </c>
      <c r="J253" t="str">
        <f>IF(ISNUMBER(SEARCH("registro de pre",tEditais[[#This Row],[Objeto]])),"Sim","Não")</f>
        <v>Não</v>
      </c>
      <c r="K253" s="4">
        <f>COUNTIFS(tItens[Edital],tEditais[[#This Row],[Edital]])</f>
        <v>11</v>
      </c>
      <c r="L253" s="4">
        <f>COUNTIFS(tItens[Edital],tEditais[[#This Row],[Edital]],tItens[Foco],"Sim")</f>
        <v>0</v>
      </c>
      <c r="M253" s="8">
        <f>SUMIFS(tItens[Valor],tItens[Edital],tEditais[[#This Row],[Edital]])</f>
        <v>95931.99</v>
      </c>
      <c r="N253" s="8">
        <f>SUMIFS(tItens[Valor homologado],tItens[Edital],tEditais[[#This Row],[Edital]],tItens[Foco],"Sim")</f>
        <v>0</v>
      </c>
      <c r="O253" t="str">
        <f>IF(tEditais[[#This Row],[Itens do foco]]=0,"",IF(tEditais[[#This Row],[Valor foco homologado]]&lt;=0,"Sem valor",IF(tEditais[[#This Row],[Valor foco homologado]]&gt;=FaixaA_Min,"A",IF(tEditais[[#This Row],[Valor foco homologado]]&gt;=FaixaB_Min,"B","C"))))</f>
        <v/>
      </c>
      <c r="P253" t="str">
        <f ca="1">IF(tEditais[[#This Row],[Encerramento]]&gt;NOW(),"Aberto","Encerrado")</f>
        <v>Encerrado</v>
      </c>
    </row>
    <row r="254" spans="1:16" x14ac:dyDescent="0.25">
      <c r="A254" t="s">
        <v>1653</v>
      </c>
      <c r="B254" t="s">
        <v>886</v>
      </c>
      <c r="C254" t="s">
        <v>1654</v>
      </c>
      <c r="D254" t="s">
        <v>1629</v>
      </c>
      <c r="E254" t="s">
        <v>800</v>
      </c>
      <c r="F254" s="11">
        <v>46310.4375</v>
      </c>
      <c r="G254">
        <v>34</v>
      </c>
      <c r="H254" t="s">
        <v>1655</v>
      </c>
      <c r="I254" t="s">
        <v>1656</v>
      </c>
      <c r="J254" t="str">
        <f>IF(ISNUMBER(SEARCH("registro de pre",tEditais[[#This Row],[Objeto]])),"Sim","Não")</f>
        <v>Não</v>
      </c>
      <c r="K254" s="4">
        <f>COUNTIFS(tItens[Edital],tEditais[[#This Row],[Edital]])</f>
        <v>4</v>
      </c>
      <c r="L254" s="4">
        <f>COUNTIFS(tItens[Edital],tEditais[[#This Row],[Edital]],tItens[Foco],"Sim")</f>
        <v>0</v>
      </c>
      <c r="M254" s="8">
        <f>SUMIFS(tItens[Valor],tItens[Edital],tEditais[[#This Row],[Edital]])</f>
        <v>4763</v>
      </c>
      <c r="N254" s="8">
        <f>SUMIFS(tItens[Valor homologado],tItens[Edital],tEditais[[#This Row],[Edital]],tItens[Foco],"Sim")</f>
        <v>0</v>
      </c>
      <c r="O254" t="str">
        <f>IF(tEditais[[#This Row],[Itens do foco]]=0,"",IF(tEditais[[#This Row],[Valor foco homologado]]&lt;=0,"Sem valor",IF(tEditais[[#This Row],[Valor foco homologado]]&gt;=FaixaA_Min,"A",IF(tEditais[[#This Row],[Valor foco homologado]]&gt;=FaixaB_Min,"B","C"))))</f>
        <v/>
      </c>
      <c r="P254" t="str">
        <f ca="1">IF(tEditais[[#This Row],[Encerramento]]&gt;NOW(),"Aberto","Encerrado")</f>
        <v>Encerrado</v>
      </c>
    </row>
    <row r="255" spans="1:16" x14ac:dyDescent="0.25">
      <c r="A255" t="s">
        <v>1657</v>
      </c>
      <c r="B255" t="s">
        <v>1658</v>
      </c>
      <c r="C255" t="s">
        <v>1659</v>
      </c>
      <c r="D255" t="s">
        <v>1629</v>
      </c>
      <c r="E255" t="s">
        <v>716</v>
      </c>
      <c r="F255" s="11">
        <v>46314.374305555553</v>
      </c>
      <c r="G255">
        <v>104</v>
      </c>
      <c r="H255" t="s">
        <v>1660</v>
      </c>
      <c r="I255" t="s">
        <v>1661</v>
      </c>
      <c r="J255" t="str">
        <f>IF(ISNUMBER(SEARCH("registro de pre",tEditais[[#This Row],[Objeto]])),"Sim","Não")</f>
        <v>Não</v>
      </c>
      <c r="K255" s="4">
        <f>COUNTIFS(tItens[Edital],tEditais[[#This Row],[Edital]])</f>
        <v>1</v>
      </c>
      <c r="L255" s="4">
        <f>COUNTIFS(tItens[Edital],tEditais[[#This Row],[Edital]],tItens[Foco],"Sim")</f>
        <v>0</v>
      </c>
      <c r="M255" s="8">
        <f>SUMIFS(tItens[Valor],tItens[Edital],tEditais[[#This Row],[Edital]])</f>
        <v>2995</v>
      </c>
      <c r="N255" s="8">
        <f>SUMIFS(tItens[Valor homologado],tItens[Edital],tEditais[[#This Row],[Edital]],tItens[Foco],"Sim")</f>
        <v>0</v>
      </c>
      <c r="O255" t="str">
        <f>IF(tEditais[[#This Row],[Itens do foco]]=0,"",IF(tEditais[[#This Row],[Valor foco homologado]]&lt;=0,"Sem valor",IF(tEditais[[#This Row],[Valor foco homologado]]&gt;=FaixaA_Min,"A",IF(tEditais[[#This Row],[Valor foco homologado]]&gt;=FaixaB_Min,"B","C"))))</f>
        <v/>
      </c>
      <c r="P255" t="str">
        <f ca="1">IF(tEditais[[#This Row],[Encerramento]]&gt;NOW(),"Aberto","Encerrado")</f>
        <v>Aberto</v>
      </c>
    </row>
    <row r="256" spans="1:16" x14ac:dyDescent="0.25">
      <c r="A256" t="s">
        <v>1662</v>
      </c>
      <c r="B256" t="s">
        <v>1663</v>
      </c>
      <c r="C256" t="s">
        <v>1664</v>
      </c>
      <c r="D256" t="s">
        <v>1629</v>
      </c>
      <c r="E256" t="s">
        <v>716</v>
      </c>
      <c r="F256" s="11">
        <v>46314.375</v>
      </c>
      <c r="G256">
        <v>31</v>
      </c>
      <c r="H256" t="s">
        <v>1665</v>
      </c>
      <c r="I256" t="s">
        <v>1666</v>
      </c>
      <c r="J256" t="str">
        <f>IF(ISNUMBER(SEARCH("registro de pre",tEditais[[#This Row],[Objeto]])),"Sim","Não")</f>
        <v>Sim</v>
      </c>
      <c r="K256" s="4">
        <f>COUNTIFS(tItens[Edital],tEditais[[#This Row],[Edital]])</f>
        <v>16</v>
      </c>
      <c r="L256" s="4">
        <f>COUNTIFS(tItens[Edital],tEditais[[#This Row],[Edital]],tItens[Foco],"Sim")</f>
        <v>0</v>
      </c>
      <c r="M256" s="8">
        <f>SUMIFS(tItens[Valor],tItens[Edital],tEditais[[#This Row],[Edital]])</f>
        <v>0</v>
      </c>
      <c r="N256" s="8">
        <f>SUMIFS(tItens[Valor homologado],tItens[Edital],tEditais[[#This Row],[Edital]],tItens[Foco],"Sim")</f>
        <v>0</v>
      </c>
      <c r="O256" t="str">
        <f>IF(tEditais[[#This Row],[Itens do foco]]=0,"",IF(tEditais[[#This Row],[Valor foco homologado]]&lt;=0,"Sem valor",IF(tEditais[[#This Row],[Valor foco homologado]]&gt;=FaixaA_Min,"A",IF(tEditais[[#This Row],[Valor foco homologado]]&gt;=FaixaB_Min,"B","C"))))</f>
        <v/>
      </c>
      <c r="P256" t="str">
        <f ca="1">IF(tEditais[[#This Row],[Encerramento]]&gt;NOW(),"Aberto","Encerrado")</f>
        <v>Aberto</v>
      </c>
    </row>
    <row r="257" spans="1:16" x14ac:dyDescent="0.25">
      <c r="A257" t="s">
        <v>1667</v>
      </c>
      <c r="B257" t="s">
        <v>1668</v>
      </c>
      <c r="C257" t="s">
        <v>1669</v>
      </c>
      <c r="D257" t="s">
        <v>1670</v>
      </c>
      <c r="E257" t="s">
        <v>716</v>
      </c>
      <c r="F257" s="11">
        <v>46304.375</v>
      </c>
      <c r="G257">
        <v>130</v>
      </c>
      <c r="I257" t="s">
        <v>1671</v>
      </c>
      <c r="J257" t="str">
        <f>IF(ISNUMBER(SEARCH("registro de pre",tEditais[[#This Row],[Objeto]])),"Sim","Não")</f>
        <v>Sim</v>
      </c>
      <c r="K257" s="4">
        <f>COUNTIFS(tItens[Edital],tEditais[[#This Row],[Edital]])</f>
        <v>20</v>
      </c>
      <c r="L257" s="4">
        <f>COUNTIFS(tItens[Edital],tEditais[[#This Row],[Edital]],tItens[Foco],"Sim")</f>
        <v>2</v>
      </c>
      <c r="M257" s="8">
        <f>SUMIFS(tItens[Valor],tItens[Edital],tEditais[[#This Row],[Edital]])</f>
        <v>152406.20000000001</v>
      </c>
      <c r="N257" s="8">
        <f>SUMIFS(tItens[Valor homologado],tItens[Edital],tEditais[[#This Row],[Edital]],tItens[Foco],"Sim")</f>
        <v>7831.1399999999994</v>
      </c>
      <c r="O257" t="str">
        <f>IF(tEditais[[#This Row],[Itens do foco]]=0,"",IF(tEditais[[#This Row],[Valor foco homologado]]&lt;=0,"Sem valor",IF(tEditais[[#This Row],[Valor foco homologado]]&gt;=FaixaA_Min,"A",IF(tEditais[[#This Row],[Valor foco homologado]]&gt;=FaixaB_Min,"B","C"))))</f>
        <v>C</v>
      </c>
      <c r="P257" t="str">
        <f ca="1">IF(tEditais[[#This Row],[Encerramento]]&gt;NOW(),"Aberto","Encerrado")</f>
        <v>Encerrado</v>
      </c>
    </row>
    <row r="258" spans="1:16" x14ac:dyDescent="0.25">
      <c r="A258" t="s">
        <v>1672</v>
      </c>
      <c r="B258" t="s">
        <v>1673</v>
      </c>
      <c r="C258" t="s">
        <v>1674</v>
      </c>
      <c r="D258" t="s">
        <v>1670</v>
      </c>
      <c r="E258" t="s">
        <v>716</v>
      </c>
      <c r="F258" s="11">
        <v>46308.353472222225</v>
      </c>
      <c r="G258">
        <v>12</v>
      </c>
      <c r="H258" t="s">
        <v>1675</v>
      </c>
      <c r="I258" t="s">
        <v>1676</v>
      </c>
      <c r="J258" t="str">
        <f>IF(ISNUMBER(SEARCH("registro de pre",tEditais[[#This Row],[Objeto]])),"Sim","Não")</f>
        <v>Sim</v>
      </c>
      <c r="K258" s="4">
        <f>COUNTIFS(tItens[Edital],tEditais[[#This Row],[Edital]])</f>
        <v>8</v>
      </c>
      <c r="L258" s="4">
        <f>COUNTIFS(tItens[Edital],tEditais[[#This Row],[Edital]],tItens[Foco],"Sim")</f>
        <v>3</v>
      </c>
      <c r="M258" s="8">
        <f>SUMIFS(tItens[Valor],tItens[Edital],tEditais[[#This Row],[Edital]])</f>
        <v>74432</v>
      </c>
      <c r="N258" s="8">
        <f>SUMIFS(tItens[Valor homologado],tItens[Edital],tEditais[[#This Row],[Edital]],tItens[Foco],"Sim")</f>
        <v>18308.16</v>
      </c>
      <c r="O258" t="str">
        <f>IF(tEditais[[#This Row],[Itens do foco]]=0,"",IF(tEditais[[#This Row],[Valor foco homologado]]&lt;=0,"Sem valor",IF(tEditais[[#This Row],[Valor foco homologado]]&gt;=FaixaA_Min,"A",IF(tEditais[[#This Row],[Valor foco homologado]]&gt;=FaixaB_Min,"B","C"))))</f>
        <v>C</v>
      </c>
      <c r="P258" t="str">
        <f ca="1">IF(tEditais[[#This Row],[Encerramento]]&gt;NOW(),"Aberto","Encerrado")</f>
        <v>Encerrado</v>
      </c>
    </row>
    <row r="259" spans="1:16" x14ac:dyDescent="0.25">
      <c r="A259" t="s">
        <v>1677</v>
      </c>
      <c r="B259" t="s">
        <v>1678</v>
      </c>
      <c r="C259" t="s">
        <v>1679</v>
      </c>
      <c r="D259" t="s">
        <v>1670</v>
      </c>
      <c r="E259" t="s">
        <v>716</v>
      </c>
      <c r="F259" s="11">
        <v>46308.375</v>
      </c>
      <c r="G259">
        <v>17</v>
      </c>
      <c r="H259" t="s">
        <v>1680</v>
      </c>
      <c r="I259" t="s">
        <v>1681</v>
      </c>
      <c r="J259" t="str">
        <f>IF(ISNUMBER(SEARCH("registro de pre",tEditais[[#This Row],[Objeto]])),"Sim","Não")</f>
        <v>Não</v>
      </c>
      <c r="K259" s="4">
        <f>COUNTIFS(tItens[Edital],tEditais[[#This Row],[Edital]])</f>
        <v>11</v>
      </c>
      <c r="L259" s="4">
        <f>COUNTIFS(tItens[Edital],tEditais[[#This Row],[Edital]],tItens[Foco],"Sim")</f>
        <v>4</v>
      </c>
      <c r="M259" s="8">
        <f>SUMIFS(tItens[Valor],tItens[Edital],tEditais[[#This Row],[Edital]])</f>
        <v>0</v>
      </c>
      <c r="N259" s="8">
        <f>SUMIFS(tItens[Valor homologado],tItens[Edital],tEditais[[#This Row],[Edital]],tItens[Foco],"Sim")</f>
        <v>0</v>
      </c>
      <c r="O259" t="str">
        <f>IF(tEditais[[#This Row],[Itens do foco]]=0,"",IF(tEditais[[#This Row],[Valor foco homologado]]&lt;=0,"Sem valor",IF(tEditais[[#This Row],[Valor foco homologado]]&gt;=FaixaA_Min,"A",IF(tEditais[[#This Row],[Valor foco homologado]]&gt;=FaixaB_Min,"B","C"))))</f>
        <v>Sem valor</v>
      </c>
      <c r="P259" t="str">
        <f ca="1">IF(tEditais[[#This Row],[Encerramento]]&gt;NOW(),"Aberto","Encerrado")</f>
        <v>Encerrado</v>
      </c>
    </row>
    <row r="260" spans="1:16" x14ac:dyDescent="0.25">
      <c r="A260" t="s">
        <v>1682</v>
      </c>
      <c r="B260" t="s">
        <v>1683</v>
      </c>
      <c r="C260" t="s">
        <v>1684</v>
      </c>
      <c r="D260" t="s">
        <v>1670</v>
      </c>
      <c r="E260" t="s">
        <v>716</v>
      </c>
      <c r="F260" s="11">
        <v>46308.416666666664</v>
      </c>
      <c r="G260">
        <v>150</v>
      </c>
      <c r="H260" t="s">
        <v>1685</v>
      </c>
      <c r="I260" t="s">
        <v>1686</v>
      </c>
      <c r="J260" t="str">
        <f>IF(ISNUMBER(SEARCH("registro de pre",tEditais[[#This Row],[Objeto]])),"Sim","Não")</f>
        <v>Não</v>
      </c>
      <c r="K260" s="4">
        <f>COUNTIFS(tItens[Edital],tEditais[[#This Row],[Edital]])</f>
        <v>40</v>
      </c>
      <c r="L260" s="4">
        <f>COUNTIFS(tItens[Edital],tEditais[[#This Row],[Edital]],tItens[Foco],"Sim")</f>
        <v>9</v>
      </c>
      <c r="M260" s="8">
        <f>SUMIFS(tItens[Valor],tItens[Edital],tEditais[[#This Row],[Edital]])</f>
        <v>290152.40000000002</v>
      </c>
      <c r="N260" s="8">
        <f>SUMIFS(tItens[Valor homologado],tItens[Edital],tEditais[[#This Row],[Edital]],tItens[Foco],"Sim")</f>
        <v>16409.103500000001</v>
      </c>
      <c r="O260" t="str">
        <f>IF(tEditais[[#This Row],[Itens do foco]]=0,"",IF(tEditais[[#This Row],[Valor foco homologado]]&lt;=0,"Sem valor",IF(tEditais[[#This Row],[Valor foco homologado]]&gt;=FaixaA_Min,"A",IF(tEditais[[#This Row],[Valor foco homologado]]&gt;=FaixaB_Min,"B","C"))))</f>
        <v>C</v>
      </c>
      <c r="P260" t="str">
        <f ca="1">IF(tEditais[[#This Row],[Encerramento]]&gt;NOW(),"Aberto","Encerrado")</f>
        <v>Encerrado</v>
      </c>
    </row>
    <row r="261" spans="1:16" x14ac:dyDescent="0.25">
      <c r="A261" t="s">
        <v>1687</v>
      </c>
      <c r="B261" t="s">
        <v>1688</v>
      </c>
      <c r="C261" t="s">
        <v>1689</v>
      </c>
      <c r="D261" t="s">
        <v>1670</v>
      </c>
      <c r="E261" t="s">
        <v>716</v>
      </c>
      <c r="F261" s="11">
        <v>46309.374305555553</v>
      </c>
      <c r="G261">
        <v>11</v>
      </c>
      <c r="I261" t="s">
        <v>1690</v>
      </c>
      <c r="J261" t="str">
        <f>IF(ISNUMBER(SEARCH("registro de pre",tEditais[[#This Row],[Objeto]])),"Sim","Não")</f>
        <v>Não</v>
      </c>
      <c r="K261" s="4">
        <f>COUNTIFS(tItens[Edital],tEditais[[#This Row],[Edital]])</f>
        <v>5</v>
      </c>
      <c r="L261" s="4">
        <f>COUNTIFS(tItens[Edital],tEditais[[#This Row],[Edital]],tItens[Foco],"Sim")</f>
        <v>0</v>
      </c>
      <c r="M261" s="8">
        <f>SUMIFS(tItens[Valor],tItens[Edital],tEditais[[#This Row],[Edital]])</f>
        <v>74170</v>
      </c>
      <c r="N261" s="8">
        <f>SUMIFS(tItens[Valor homologado],tItens[Edital],tEditais[[#This Row],[Edital]],tItens[Foco],"Sim")</f>
        <v>0</v>
      </c>
      <c r="O261" t="str">
        <f>IF(tEditais[[#This Row],[Itens do foco]]=0,"",IF(tEditais[[#This Row],[Valor foco homologado]]&lt;=0,"Sem valor",IF(tEditais[[#This Row],[Valor foco homologado]]&gt;=FaixaA_Min,"A",IF(tEditais[[#This Row],[Valor foco homologado]]&gt;=FaixaB_Min,"B","C"))))</f>
        <v/>
      </c>
      <c r="P261" t="str">
        <f ca="1">IF(tEditais[[#This Row],[Encerramento]]&gt;NOW(),"Aberto","Encerrado")</f>
        <v>Encerrado</v>
      </c>
    </row>
    <row r="262" spans="1:16" x14ac:dyDescent="0.25">
      <c r="A262" t="s">
        <v>1691</v>
      </c>
      <c r="B262" t="s">
        <v>1692</v>
      </c>
      <c r="C262" t="s">
        <v>1693</v>
      </c>
      <c r="D262" t="s">
        <v>1670</v>
      </c>
      <c r="E262" t="s">
        <v>716</v>
      </c>
      <c r="F262" s="11">
        <v>46309.375</v>
      </c>
      <c r="G262">
        <v>570</v>
      </c>
      <c r="H262" t="s">
        <v>1694</v>
      </c>
      <c r="I262" t="s">
        <v>1695</v>
      </c>
      <c r="J262" t="str">
        <f>IF(ISNUMBER(SEARCH("registro de pre",tEditais[[#This Row],[Objeto]])),"Sim","Não")</f>
        <v>Sim</v>
      </c>
      <c r="K262" s="4">
        <f>COUNTIFS(tItens[Edital],tEditais[[#This Row],[Edital]])</f>
        <v>3</v>
      </c>
      <c r="L262" s="4">
        <f>COUNTIFS(tItens[Edital],tEditais[[#This Row],[Edital]],tItens[Foco],"Sim")</f>
        <v>0</v>
      </c>
      <c r="M262" s="8">
        <f>SUMIFS(tItens[Valor],tItens[Edital],tEditais[[#This Row],[Edital]])</f>
        <v>43140</v>
      </c>
      <c r="N262" s="8">
        <f>SUMIFS(tItens[Valor homologado],tItens[Edital],tEditais[[#This Row],[Edital]],tItens[Foco],"Sim")</f>
        <v>0</v>
      </c>
      <c r="O262" t="str">
        <f>IF(tEditais[[#This Row],[Itens do foco]]=0,"",IF(tEditais[[#This Row],[Valor foco homologado]]&lt;=0,"Sem valor",IF(tEditais[[#This Row],[Valor foco homologado]]&gt;=FaixaA_Min,"A",IF(tEditais[[#This Row],[Valor foco homologado]]&gt;=FaixaB_Min,"B","C"))))</f>
        <v/>
      </c>
      <c r="P262" t="str">
        <f ca="1">IF(tEditais[[#This Row],[Encerramento]]&gt;NOW(),"Aberto","Encerrado")</f>
        <v>Encerrado</v>
      </c>
    </row>
    <row r="263" spans="1:16" x14ac:dyDescent="0.25">
      <c r="A263" t="s">
        <v>1696</v>
      </c>
      <c r="B263" t="s">
        <v>1688</v>
      </c>
      <c r="C263" t="s">
        <v>1689</v>
      </c>
      <c r="D263" t="s">
        <v>1670</v>
      </c>
      <c r="E263" t="s">
        <v>716</v>
      </c>
      <c r="F263" s="11">
        <v>46309.375</v>
      </c>
      <c r="G263">
        <v>11</v>
      </c>
      <c r="H263" t="s">
        <v>1697</v>
      </c>
      <c r="I263" t="s">
        <v>1698</v>
      </c>
      <c r="J263" t="str">
        <f>IF(ISNUMBER(SEARCH("registro de pre",tEditais[[#This Row],[Objeto]])),"Sim","Não")</f>
        <v>Não</v>
      </c>
      <c r="K263" s="4">
        <f>COUNTIFS(tItens[Edital],tEditais[[#This Row],[Edital]])</f>
        <v>5</v>
      </c>
      <c r="L263" s="4">
        <f>COUNTIFS(tItens[Edital],tEditais[[#This Row],[Edital]],tItens[Foco],"Sim")</f>
        <v>0</v>
      </c>
      <c r="M263" s="8">
        <f>SUMIFS(tItens[Valor],tItens[Edital],tEditais[[#This Row],[Edital]])</f>
        <v>74170</v>
      </c>
      <c r="N263" s="8">
        <f>SUMIFS(tItens[Valor homologado],tItens[Edital],tEditais[[#This Row],[Edital]],tItens[Foco],"Sim")</f>
        <v>0</v>
      </c>
      <c r="O263" t="str">
        <f>IF(tEditais[[#This Row],[Itens do foco]]=0,"",IF(tEditais[[#This Row],[Valor foco homologado]]&lt;=0,"Sem valor",IF(tEditais[[#This Row],[Valor foco homologado]]&gt;=FaixaA_Min,"A",IF(tEditais[[#This Row],[Valor foco homologado]]&gt;=FaixaB_Min,"B","C"))))</f>
        <v/>
      </c>
      <c r="P263" t="str">
        <f ca="1">IF(tEditais[[#This Row],[Encerramento]]&gt;NOW(),"Aberto","Encerrado")</f>
        <v>Encerrado</v>
      </c>
    </row>
    <row r="264" spans="1:16" x14ac:dyDescent="0.25">
      <c r="A264" t="s">
        <v>1699</v>
      </c>
      <c r="B264" t="s">
        <v>1700</v>
      </c>
      <c r="C264" t="s">
        <v>1684</v>
      </c>
      <c r="D264" t="s">
        <v>1670</v>
      </c>
      <c r="E264" t="s">
        <v>716</v>
      </c>
      <c r="F264" s="11">
        <v>46309.40625</v>
      </c>
      <c r="G264">
        <v>219</v>
      </c>
      <c r="I264" t="s">
        <v>1701</v>
      </c>
      <c r="J264" t="str">
        <f>IF(ISNUMBER(SEARCH("registro de pre",tEditais[[#This Row],[Objeto]])),"Sim","Não")</f>
        <v>Não</v>
      </c>
      <c r="K264" s="4">
        <f>COUNTIFS(tItens[Edital],tEditais[[#This Row],[Edital]])</f>
        <v>49</v>
      </c>
      <c r="L264" s="4">
        <f>COUNTIFS(tItens[Edital],tEditais[[#This Row],[Edital]],tItens[Foco],"Sim")</f>
        <v>10</v>
      </c>
      <c r="M264" s="8">
        <f>SUMIFS(tItens[Valor],tItens[Edital],tEditais[[#This Row],[Edital]])</f>
        <v>391415.66000000003</v>
      </c>
      <c r="N264" s="8">
        <f>SUMIFS(tItens[Valor homologado],tItens[Edital],tEditais[[#This Row],[Edital]],tItens[Foco],"Sim")</f>
        <v>17328.693200000002</v>
      </c>
      <c r="O264" t="str">
        <f>IF(tEditais[[#This Row],[Itens do foco]]=0,"",IF(tEditais[[#This Row],[Valor foco homologado]]&lt;=0,"Sem valor",IF(tEditais[[#This Row],[Valor foco homologado]]&gt;=FaixaA_Min,"A",IF(tEditais[[#This Row],[Valor foco homologado]]&gt;=FaixaB_Min,"B","C"))))</f>
        <v>C</v>
      </c>
      <c r="P264" t="str">
        <f ca="1">IF(tEditais[[#This Row],[Encerramento]]&gt;NOW(),"Aberto","Encerrado")</f>
        <v>Encerrado</v>
      </c>
    </row>
    <row r="265" spans="1:16" x14ac:dyDescent="0.25">
      <c r="A265" t="s">
        <v>1702</v>
      </c>
      <c r="B265" t="s">
        <v>1703</v>
      </c>
      <c r="C265" t="s">
        <v>1704</v>
      </c>
      <c r="D265" t="s">
        <v>1670</v>
      </c>
      <c r="E265" t="s">
        <v>716</v>
      </c>
      <c r="F265" s="11">
        <v>46311.333333333336</v>
      </c>
      <c r="G265">
        <v>367</v>
      </c>
      <c r="H265" t="s">
        <v>1705</v>
      </c>
      <c r="I265" t="s">
        <v>1706</v>
      </c>
      <c r="J265" t="str">
        <f>IF(ISNUMBER(SEARCH("registro de pre",tEditais[[#This Row],[Objeto]])),"Sim","Não")</f>
        <v>Sim</v>
      </c>
      <c r="K265" s="4">
        <f>COUNTIFS(tItens[Edital],tEditais[[#This Row],[Edital]])</f>
        <v>48</v>
      </c>
      <c r="L265" s="4">
        <f>COUNTIFS(tItens[Edital],tEditais[[#This Row],[Edital]],tItens[Foco],"Sim")</f>
        <v>8</v>
      </c>
      <c r="M265" s="8">
        <f>SUMIFS(tItens[Valor],tItens[Edital],tEditais[[#This Row],[Edital]])</f>
        <v>591372.85000000009</v>
      </c>
      <c r="N265" s="8">
        <f>SUMIFS(tItens[Valor homologado],tItens[Edital],tEditais[[#This Row],[Edital]],tItens[Foco],"Sim")</f>
        <v>13951.566000000001</v>
      </c>
      <c r="O265" t="str">
        <f>IF(tEditais[[#This Row],[Itens do foco]]=0,"",IF(tEditais[[#This Row],[Valor foco homologado]]&lt;=0,"Sem valor",IF(tEditais[[#This Row],[Valor foco homologado]]&gt;=FaixaA_Min,"A",IF(tEditais[[#This Row],[Valor foco homologado]]&gt;=FaixaB_Min,"B","C"))))</f>
        <v>C</v>
      </c>
      <c r="P265" t="str">
        <f ca="1">IF(tEditais[[#This Row],[Encerramento]]&gt;NOW(),"Aberto","Encerrado")</f>
        <v>Aberto</v>
      </c>
    </row>
    <row r="266" spans="1:16" x14ac:dyDescent="0.25">
      <c r="A266" t="s">
        <v>1707</v>
      </c>
      <c r="B266" t="s">
        <v>1708</v>
      </c>
      <c r="C266" t="s">
        <v>1679</v>
      </c>
      <c r="D266" t="s">
        <v>1670</v>
      </c>
      <c r="E266" t="s">
        <v>716</v>
      </c>
      <c r="F266" s="11">
        <v>46311.375</v>
      </c>
      <c r="G266">
        <v>22</v>
      </c>
      <c r="H266" t="s">
        <v>1709</v>
      </c>
      <c r="I266" t="s">
        <v>1710</v>
      </c>
      <c r="J266" t="str">
        <f>IF(ISNUMBER(SEARCH("registro de pre",tEditais[[#This Row],[Objeto]])),"Sim","Não")</f>
        <v>Sim</v>
      </c>
      <c r="K266" s="4">
        <f>COUNTIFS(tItens[Edital],tEditais[[#This Row],[Edital]])</f>
        <v>1</v>
      </c>
      <c r="L266" s="4">
        <f>COUNTIFS(tItens[Edital],tEditais[[#This Row],[Edital]],tItens[Foco],"Sim")</f>
        <v>0</v>
      </c>
      <c r="M266" s="8">
        <f>SUMIFS(tItens[Valor],tItens[Edital],tEditais[[#This Row],[Edital]])</f>
        <v>2260</v>
      </c>
      <c r="N266" s="8">
        <f>SUMIFS(tItens[Valor homologado],tItens[Edital],tEditais[[#This Row],[Edital]],tItens[Foco],"Sim")</f>
        <v>0</v>
      </c>
      <c r="O266" t="str">
        <f>IF(tEditais[[#This Row],[Itens do foco]]=0,"",IF(tEditais[[#This Row],[Valor foco homologado]]&lt;=0,"Sem valor",IF(tEditais[[#This Row],[Valor foco homologado]]&gt;=FaixaA_Min,"A",IF(tEditais[[#This Row],[Valor foco homologado]]&gt;=FaixaB_Min,"B","C"))))</f>
        <v/>
      </c>
      <c r="P266" t="str">
        <f ca="1">IF(tEditais[[#This Row],[Encerramento]]&gt;NOW(),"Aberto","Encerrado")</f>
        <v>Aberto</v>
      </c>
    </row>
    <row r="267" spans="1:16" x14ac:dyDescent="0.25">
      <c r="A267" t="s">
        <v>1711</v>
      </c>
      <c r="B267" t="s">
        <v>1712</v>
      </c>
      <c r="C267" t="s">
        <v>1713</v>
      </c>
      <c r="D267" t="s">
        <v>1670</v>
      </c>
      <c r="E267" t="s">
        <v>716</v>
      </c>
      <c r="F267" s="11">
        <v>46314.375</v>
      </c>
      <c r="G267">
        <v>109</v>
      </c>
      <c r="H267" t="s">
        <v>1714</v>
      </c>
      <c r="I267" t="s">
        <v>1715</v>
      </c>
      <c r="J267" t="str">
        <f>IF(ISNUMBER(SEARCH("registro de pre",tEditais[[#This Row],[Objeto]])),"Sim","Não")</f>
        <v>Sim</v>
      </c>
      <c r="K267" s="4">
        <f>COUNTIFS(tItens[Edital],tEditais[[#This Row],[Edital]])</f>
        <v>2</v>
      </c>
      <c r="L267" s="4">
        <f>COUNTIFS(tItens[Edital],tEditais[[#This Row],[Edital]],tItens[Foco],"Sim")</f>
        <v>0</v>
      </c>
      <c r="M267" s="8">
        <f>SUMIFS(tItens[Valor],tItens[Edital],tEditais[[#This Row],[Edital]])</f>
        <v>71900.97</v>
      </c>
      <c r="N267" s="8">
        <f>SUMIFS(tItens[Valor homologado],tItens[Edital],tEditais[[#This Row],[Edital]],tItens[Foco],"Sim")</f>
        <v>0</v>
      </c>
      <c r="O267" t="str">
        <f>IF(tEditais[[#This Row],[Itens do foco]]=0,"",IF(tEditais[[#This Row],[Valor foco homologado]]&lt;=0,"Sem valor",IF(tEditais[[#This Row],[Valor foco homologado]]&gt;=FaixaA_Min,"A",IF(tEditais[[#This Row],[Valor foco homologado]]&gt;=FaixaB_Min,"B","C"))))</f>
        <v/>
      </c>
      <c r="P267" t="str">
        <f ca="1">IF(tEditais[[#This Row],[Encerramento]]&gt;NOW(),"Aberto","Encerrado")</f>
        <v>Aberto</v>
      </c>
    </row>
    <row r="268" spans="1:16" x14ac:dyDescent="0.25">
      <c r="A268" t="s">
        <v>1716</v>
      </c>
      <c r="B268" t="s">
        <v>739</v>
      </c>
      <c r="C268" t="s">
        <v>1717</v>
      </c>
      <c r="D268" t="s">
        <v>1718</v>
      </c>
      <c r="E268" t="s">
        <v>716</v>
      </c>
      <c r="F268" s="11">
        <v>46304.416666666664</v>
      </c>
      <c r="G268">
        <v>85</v>
      </c>
      <c r="H268" t="s">
        <v>1719</v>
      </c>
      <c r="I268" t="s">
        <v>1720</v>
      </c>
      <c r="J268" t="str">
        <f>IF(ISNUMBER(SEARCH("registro de pre",tEditais[[#This Row],[Objeto]])),"Sim","Não")</f>
        <v>Não</v>
      </c>
      <c r="K268" s="4">
        <f>COUNTIFS(tItens[Edital],tEditais[[#This Row],[Edital]])</f>
        <v>4</v>
      </c>
      <c r="L268" s="4">
        <f>COUNTIFS(tItens[Edital],tEditais[[#This Row],[Edital]],tItens[Foco],"Sim")</f>
        <v>0</v>
      </c>
      <c r="M268" s="8">
        <f>SUMIFS(tItens[Valor],tItens[Edital],tEditais[[#This Row],[Edital]])</f>
        <v>0</v>
      </c>
      <c r="N268" s="8">
        <f>SUMIFS(tItens[Valor homologado],tItens[Edital],tEditais[[#This Row],[Edital]],tItens[Foco],"Sim")</f>
        <v>0</v>
      </c>
      <c r="O268" t="str">
        <f>IF(tEditais[[#This Row],[Itens do foco]]=0,"",IF(tEditais[[#This Row],[Valor foco homologado]]&lt;=0,"Sem valor",IF(tEditais[[#This Row],[Valor foco homologado]]&gt;=FaixaA_Min,"A",IF(tEditais[[#This Row],[Valor foco homologado]]&gt;=FaixaB_Min,"B","C"))))</f>
        <v/>
      </c>
      <c r="P268" t="str">
        <f ca="1">IF(tEditais[[#This Row],[Encerramento]]&gt;NOW(),"Aberto","Encerrado")</f>
        <v>Encerrado</v>
      </c>
    </row>
    <row r="269" spans="1:16" x14ac:dyDescent="0.25">
      <c r="A269" t="s">
        <v>1721</v>
      </c>
      <c r="B269" t="s">
        <v>1722</v>
      </c>
      <c r="C269" t="s">
        <v>1723</v>
      </c>
      <c r="D269" t="s">
        <v>1718</v>
      </c>
      <c r="E269" t="s">
        <v>716</v>
      </c>
      <c r="F269" s="11">
        <v>46308.333333333336</v>
      </c>
      <c r="G269">
        <v>11</v>
      </c>
      <c r="H269" t="s">
        <v>1724</v>
      </c>
      <c r="I269" t="s">
        <v>1725</v>
      </c>
      <c r="J269" t="str">
        <f>IF(ISNUMBER(SEARCH("registro de pre",tEditais[[#This Row],[Objeto]])),"Sim","Não")</f>
        <v>Sim</v>
      </c>
      <c r="K269" s="4">
        <f>COUNTIFS(tItens[Edital],tEditais[[#This Row],[Edital]])</f>
        <v>1</v>
      </c>
      <c r="L269" s="4">
        <f>COUNTIFS(tItens[Edital],tEditais[[#This Row],[Edital]],tItens[Foco],"Sim")</f>
        <v>0</v>
      </c>
      <c r="M269" s="8">
        <f>SUMIFS(tItens[Valor],tItens[Edital],tEditais[[#This Row],[Edital]])</f>
        <v>9117</v>
      </c>
      <c r="N269" s="8">
        <f>SUMIFS(tItens[Valor homologado],tItens[Edital],tEditais[[#This Row],[Edital]],tItens[Foco],"Sim")</f>
        <v>0</v>
      </c>
      <c r="O269" t="str">
        <f>IF(tEditais[[#This Row],[Itens do foco]]=0,"",IF(tEditais[[#This Row],[Valor foco homologado]]&lt;=0,"Sem valor",IF(tEditais[[#This Row],[Valor foco homologado]]&gt;=FaixaA_Min,"A",IF(tEditais[[#This Row],[Valor foco homologado]]&gt;=FaixaB_Min,"B","C"))))</f>
        <v/>
      </c>
      <c r="P269" t="str">
        <f ca="1">IF(tEditais[[#This Row],[Encerramento]]&gt;NOW(),"Aberto","Encerrado")</f>
        <v>Encerrado</v>
      </c>
    </row>
    <row r="270" spans="1:16" x14ac:dyDescent="0.25">
      <c r="A270" t="s">
        <v>1726</v>
      </c>
      <c r="B270" t="s">
        <v>1727</v>
      </c>
      <c r="C270" t="s">
        <v>1728</v>
      </c>
      <c r="D270" t="s">
        <v>1718</v>
      </c>
      <c r="E270" t="s">
        <v>716</v>
      </c>
      <c r="F270" s="11">
        <v>46308.374305555553</v>
      </c>
      <c r="G270">
        <v>8</v>
      </c>
      <c r="H270" t="s">
        <v>1729</v>
      </c>
      <c r="I270" t="s">
        <v>1730</v>
      </c>
      <c r="J270" t="str">
        <f>IF(ISNUMBER(SEARCH("registro de pre",tEditais[[#This Row],[Objeto]])),"Sim","Não")</f>
        <v>Não</v>
      </c>
      <c r="K270" s="4">
        <f>COUNTIFS(tItens[Edital],tEditais[[#This Row],[Edital]])</f>
        <v>1</v>
      </c>
      <c r="L270" s="4">
        <f>COUNTIFS(tItens[Edital],tEditais[[#This Row],[Edital]],tItens[Foco],"Sim")</f>
        <v>0</v>
      </c>
      <c r="M270" s="8">
        <f>SUMIFS(tItens[Valor],tItens[Edital],tEditais[[#This Row],[Edital]])</f>
        <v>0</v>
      </c>
      <c r="N270" s="8">
        <f>SUMIFS(tItens[Valor homologado],tItens[Edital],tEditais[[#This Row],[Edital]],tItens[Foco],"Sim")</f>
        <v>0</v>
      </c>
      <c r="O270" t="str">
        <f>IF(tEditais[[#This Row],[Itens do foco]]=0,"",IF(tEditais[[#This Row],[Valor foco homologado]]&lt;=0,"Sem valor",IF(tEditais[[#This Row],[Valor foco homologado]]&gt;=FaixaA_Min,"A",IF(tEditais[[#This Row],[Valor foco homologado]]&gt;=FaixaB_Min,"B","C"))))</f>
        <v/>
      </c>
      <c r="P270" t="str">
        <f ca="1">IF(tEditais[[#This Row],[Encerramento]]&gt;NOW(),"Aberto","Encerrado")</f>
        <v>Encerrado</v>
      </c>
    </row>
    <row r="271" spans="1:16" x14ac:dyDescent="0.25">
      <c r="A271" t="s">
        <v>1731</v>
      </c>
      <c r="B271" t="s">
        <v>1732</v>
      </c>
      <c r="C271" t="s">
        <v>1733</v>
      </c>
      <c r="D271" t="s">
        <v>1718</v>
      </c>
      <c r="E271" t="s">
        <v>716</v>
      </c>
      <c r="F271" s="11">
        <v>46308.375</v>
      </c>
      <c r="G271">
        <v>43</v>
      </c>
      <c r="H271" t="s">
        <v>1734</v>
      </c>
      <c r="I271" t="s">
        <v>1735</v>
      </c>
      <c r="J271" t="str">
        <f>IF(ISNUMBER(SEARCH("registro de pre",tEditais[[#This Row],[Objeto]])),"Sim","Não")</f>
        <v>Não</v>
      </c>
      <c r="K271" s="4">
        <f>COUNTIFS(tItens[Edital],tEditais[[#This Row],[Edital]])</f>
        <v>1</v>
      </c>
      <c r="L271" s="4">
        <f>COUNTIFS(tItens[Edital],tEditais[[#This Row],[Edital]],tItens[Foco],"Sim")</f>
        <v>0</v>
      </c>
      <c r="M271" s="8">
        <f>SUMIFS(tItens[Valor],tItens[Edital],tEditais[[#This Row],[Edital]])</f>
        <v>12.5</v>
      </c>
      <c r="N271" s="8">
        <f>SUMIFS(tItens[Valor homologado],tItens[Edital],tEditais[[#This Row],[Edital]],tItens[Foco],"Sim")</f>
        <v>0</v>
      </c>
      <c r="O271" t="str">
        <f>IF(tEditais[[#This Row],[Itens do foco]]=0,"",IF(tEditais[[#This Row],[Valor foco homologado]]&lt;=0,"Sem valor",IF(tEditais[[#This Row],[Valor foco homologado]]&gt;=FaixaA_Min,"A",IF(tEditais[[#This Row],[Valor foco homologado]]&gt;=FaixaB_Min,"B","C"))))</f>
        <v/>
      </c>
      <c r="P271" t="str">
        <f ca="1">IF(tEditais[[#This Row],[Encerramento]]&gt;NOW(),"Aberto","Encerrado")</f>
        <v>Encerrado</v>
      </c>
    </row>
    <row r="272" spans="1:16" x14ac:dyDescent="0.25">
      <c r="A272" t="s">
        <v>1736</v>
      </c>
      <c r="B272" t="s">
        <v>1737</v>
      </c>
      <c r="C272" t="s">
        <v>1717</v>
      </c>
      <c r="D272" t="s">
        <v>1718</v>
      </c>
      <c r="E272" t="s">
        <v>800</v>
      </c>
      <c r="F272" s="11">
        <v>46309.5</v>
      </c>
      <c r="G272">
        <v>6</v>
      </c>
      <c r="I272" t="s">
        <v>1738</v>
      </c>
      <c r="J272" t="str">
        <f>IF(ISNUMBER(SEARCH("registro de pre",tEditais[[#This Row],[Objeto]])),"Sim","Não")</f>
        <v>Não</v>
      </c>
      <c r="K272" s="4">
        <f>COUNTIFS(tItens[Edital],tEditais[[#This Row],[Edital]])</f>
        <v>4</v>
      </c>
      <c r="L272" s="4">
        <f>COUNTIFS(tItens[Edital],tEditais[[#This Row],[Edital]],tItens[Foco],"Sim")</f>
        <v>0</v>
      </c>
      <c r="M272" s="8">
        <f>SUMIFS(tItens[Valor],tItens[Edital],tEditais[[#This Row],[Edital]])</f>
        <v>12018.74</v>
      </c>
      <c r="N272" s="8">
        <f>SUMIFS(tItens[Valor homologado],tItens[Edital],tEditais[[#This Row],[Edital]],tItens[Foco],"Sim")</f>
        <v>0</v>
      </c>
      <c r="O272" t="str">
        <f>IF(tEditais[[#This Row],[Itens do foco]]=0,"",IF(tEditais[[#This Row],[Valor foco homologado]]&lt;=0,"Sem valor",IF(tEditais[[#This Row],[Valor foco homologado]]&gt;=FaixaA_Min,"A",IF(tEditais[[#This Row],[Valor foco homologado]]&gt;=FaixaB_Min,"B","C"))))</f>
        <v/>
      </c>
      <c r="P272" t="str">
        <f ca="1">IF(tEditais[[#This Row],[Encerramento]]&gt;NOW(),"Aberto","Encerrado")</f>
        <v>Encerrado</v>
      </c>
    </row>
    <row r="273" spans="1:16" x14ac:dyDescent="0.25">
      <c r="A273" t="s">
        <v>1739</v>
      </c>
      <c r="B273" t="s">
        <v>752</v>
      </c>
      <c r="C273" t="s">
        <v>1740</v>
      </c>
      <c r="D273" t="s">
        <v>1718</v>
      </c>
      <c r="E273" t="s">
        <v>716</v>
      </c>
      <c r="F273" s="11">
        <v>46310.364583333336</v>
      </c>
      <c r="G273">
        <v>397</v>
      </c>
      <c r="H273" t="s">
        <v>1741</v>
      </c>
      <c r="I273" t="s">
        <v>1742</v>
      </c>
      <c r="J273" t="str">
        <f>IF(ISNUMBER(SEARCH("registro de pre",tEditais[[#This Row],[Objeto]])),"Sim","Não")</f>
        <v>Sim</v>
      </c>
      <c r="K273" s="4">
        <f>COUNTIFS(tItens[Edital],tEditais[[#This Row],[Edital]])</f>
        <v>41</v>
      </c>
      <c r="L273" s="4">
        <f>COUNTIFS(tItens[Edital],tEditais[[#This Row],[Edital]],tItens[Foco],"Sim")</f>
        <v>4</v>
      </c>
      <c r="M273" s="8">
        <f>SUMIFS(tItens[Valor],tItens[Edital],tEditais[[#This Row],[Edital]])</f>
        <v>594428.62999999989</v>
      </c>
      <c r="N273" s="8">
        <f>SUMIFS(tItens[Valor homologado],tItens[Edital],tEditais[[#This Row],[Edital]],tItens[Foco],"Sim")</f>
        <v>24737.030999999995</v>
      </c>
      <c r="O273" t="str">
        <f>IF(tEditais[[#This Row],[Itens do foco]]=0,"",IF(tEditais[[#This Row],[Valor foco homologado]]&lt;=0,"Sem valor",IF(tEditais[[#This Row],[Valor foco homologado]]&gt;=FaixaA_Min,"A",IF(tEditais[[#This Row],[Valor foco homologado]]&gt;=FaixaB_Min,"B","C"))))</f>
        <v>C</v>
      </c>
      <c r="P273" t="str">
        <f ca="1">IF(tEditais[[#This Row],[Encerramento]]&gt;NOW(),"Aberto","Encerrado")</f>
        <v>Encerrado</v>
      </c>
    </row>
    <row r="274" spans="1:16" x14ac:dyDescent="0.25">
      <c r="A274" t="s">
        <v>1743</v>
      </c>
      <c r="B274" t="s">
        <v>1744</v>
      </c>
      <c r="C274" t="s">
        <v>1717</v>
      </c>
      <c r="D274" t="s">
        <v>1718</v>
      </c>
      <c r="E274" t="s">
        <v>716</v>
      </c>
      <c r="F274" s="11">
        <v>46310.375</v>
      </c>
      <c r="G274">
        <v>102</v>
      </c>
      <c r="H274" t="s">
        <v>1745</v>
      </c>
      <c r="I274" t="s">
        <v>1746</v>
      </c>
      <c r="J274" t="str">
        <f>IF(ISNUMBER(SEARCH("registro de pre",tEditais[[#This Row],[Objeto]])),"Sim","Não")</f>
        <v>Não</v>
      </c>
      <c r="K274" s="4">
        <f>COUNTIFS(tItens[Edital],tEditais[[#This Row],[Edital]])</f>
        <v>8</v>
      </c>
      <c r="L274" s="4">
        <f>COUNTIFS(tItens[Edital],tEditais[[#This Row],[Edital]],tItens[Foco],"Sim")</f>
        <v>0</v>
      </c>
      <c r="M274" s="8">
        <f>SUMIFS(tItens[Valor],tItens[Edital],tEditais[[#This Row],[Edital]])</f>
        <v>5198.01</v>
      </c>
      <c r="N274" s="8">
        <f>SUMIFS(tItens[Valor homologado],tItens[Edital],tEditais[[#This Row],[Edital]],tItens[Foco],"Sim")</f>
        <v>0</v>
      </c>
      <c r="O274" t="str">
        <f>IF(tEditais[[#This Row],[Itens do foco]]=0,"",IF(tEditais[[#This Row],[Valor foco homologado]]&lt;=0,"Sem valor",IF(tEditais[[#This Row],[Valor foco homologado]]&gt;=FaixaA_Min,"A",IF(tEditais[[#This Row],[Valor foco homologado]]&gt;=FaixaB_Min,"B","C"))))</f>
        <v/>
      </c>
      <c r="P274" t="str">
        <f ca="1">IF(tEditais[[#This Row],[Encerramento]]&gt;NOW(),"Aberto","Encerrado")</f>
        <v>Encerrado</v>
      </c>
    </row>
    <row r="275" spans="1:16" x14ac:dyDescent="0.25">
      <c r="A275" t="s">
        <v>1747</v>
      </c>
      <c r="B275" t="s">
        <v>1748</v>
      </c>
      <c r="C275" t="s">
        <v>1717</v>
      </c>
      <c r="D275" t="s">
        <v>1718</v>
      </c>
      <c r="E275" t="s">
        <v>800</v>
      </c>
      <c r="F275" s="11">
        <v>46310.625</v>
      </c>
      <c r="G275">
        <v>3</v>
      </c>
      <c r="I275" t="s">
        <v>1749</v>
      </c>
      <c r="J275" t="str">
        <f>IF(ISNUMBER(SEARCH("registro de pre",tEditais[[#This Row],[Objeto]])),"Sim","Não")</f>
        <v>Não</v>
      </c>
      <c r="K275" s="4">
        <f>COUNTIFS(tItens[Edital],tEditais[[#This Row],[Edital]])</f>
        <v>1</v>
      </c>
      <c r="L275" s="4">
        <f>COUNTIFS(tItens[Edital],tEditais[[#This Row],[Edital]],tItens[Foco],"Sim")</f>
        <v>0</v>
      </c>
      <c r="M275" s="8">
        <f>SUMIFS(tItens[Valor],tItens[Edital],tEditais[[#This Row],[Edital]])</f>
        <v>22936.799999999999</v>
      </c>
      <c r="N275" s="8">
        <f>SUMIFS(tItens[Valor homologado],tItens[Edital],tEditais[[#This Row],[Edital]],tItens[Foco],"Sim")</f>
        <v>0</v>
      </c>
      <c r="O275" t="str">
        <f>IF(tEditais[[#This Row],[Itens do foco]]=0,"",IF(tEditais[[#This Row],[Valor foco homologado]]&lt;=0,"Sem valor",IF(tEditais[[#This Row],[Valor foco homologado]]&gt;=FaixaA_Min,"A",IF(tEditais[[#This Row],[Valor foco homologado]]&gt;=FaixaB_Min,"B","C"))))</f>
        <v/>
      </c>
      <c r="P275" t="str">
        <f ca="1">IF(tEditais[[#This Row],[Encerramento]]&gt;NOW(),"Aberto","Encerrado")</f>
        <v>Encerrado</v>
      </c>
    </row>
    <row r="276" spans="1:16" x14ac:dyDescent="0.25">
      <c r="A276" t="s">
        <v>1750</v>
      </c>
      <c r="B276" t="s">
        <v>1751</v>
      </c>
      <c r="C276" t="s">
        <v>1752</v>
      </c>
      <c r="D276" t="s">
        <v>1718</v>
      </c>
      <c r="E276" t="s">
        <v>841</v>
      </c>
      <c r="F276" s="11">
        <v>46311</v>
      </c>
      <c r="G276">
        <v>119</v>
      </c>
      <c r="H276" t="s">
        <v>1753</v>
      </c>
      <c r="I276" t="s">
        <v>1754</v>
      </c>
      <c r="J276" t="str">
        <f>IF(ISNUMBER(SEARCH("registro de pre",tEditais[[#This Row],[Objeto]])),"Sim","Não")</f>
        <v>Não</v>
      </c>
      <c r="K276" s="4">
        <f>COUNTIFS(tItens[Edital],tEditais[[#This Row],[Edital]])</f>
        <v>3</v>
      </c>
      <c r="L276" s="4">
        <f>COUNTIFS(tItens[Edital],tEditais[[#This Row],[Edital]],tItens[Foco],"Sim")</f>
        <v>0</v>
      </c>
      <c r="M276" s="8">
        <f>SUMIFS(tItens[Valor],tItens[Edital],tEditais[[#This Row],[Edital]])</f>
        <v>155258</v>
      </c>
      <c r="N276" s="8">
        <f>SUMIFS(tItens[Valor homologado],tItens[Edital],tEditais[[#This Row],[Edital]],tItens[Foco],"Sim")</f>
        <v>0</v>
      </c>
      <c r="O276" t="str">
        <f>IF(tEditais[[#This Row],[Itens do foco]]=0,"",IF(tEditais[[#This Row],[Valor foco homologado]]&lt;=0,"Sem valor",IF(tEditais[[#This Row],[Valor foco homologado]]&gt;=FaixaA_Min,"A",IF(tEditais[[#This Row],[Valor foco homologado]]&gt;=FaixaB_Min,"B","C"))))</f>
        <v/>
      </c>
      <c r="P276" t="str">
        <f ca="1">IF(tEditais[[#This Row],[Encerramento]]&gt;NOW(),"Aberto","Encerrado")</f>
        <v>Aberto</v>
      </c>
    </row>
    <row r="277" spans="1:16" x14ac:dyDescent="0.25">
      <c r="A277" t="s">
        <v>1755</v>
      </c>
      <c r="B277" t="s">
        <v>1756</v>
      </c>
      <c r="C277" t="s">
        <v>1717</v>
      </c>
      <c r="D277" t="s">
        <v>1718</v>
      </c>
      <c r="E277" t="s">
        <v>716</v>
      </c>
      <c r="F277" s="11">
        <v>46311.375</v>
      </c>
      <c r="G277">
        <v>80</v>
      </c>
      <c r="H277" t="s">
        <v>1757</v>
      </c>
      <c r="I277" t="s">
        <v>1758</v>
      </c>
      <c r="J277" t="str">
        <f>IF(ISNUMBER(SEARCH("registro de pre",tEditais[[#This Row],[Objeto]])),"Sim","Não")</f>
        <v>Não</v>
      </c>
      <c r="K277" s="4">
        <f>COUNTIFS(tItens[Edital],tEditais[[#This Row],[Edital]])</f>
        <v>4</v>
      </c>
      <c r="L277" s="4">
        <f>COUNTIFS(tItens[Edital],tEditais[[#This Row],[Edital]],tItens[Foco],"Sim")</f>
        <v>0</v>
      </c>
      <c r="M277" s="8">
        <f>SUMIFS(tItens[Valor],tItens[Edital],tEditais[[#This Row],[Edital]])</f>
        <v>1718992.7999999998</v>
      </c>
      <c r="N277" s="8">
        <f>SUMIFS(tItens[Valor homologado],tItens[Edital],tEditais[[#This Row],[Edital]],tItens[Foco],"Sim")</f>
        <v>0</v>
      </c>
      <c r="O277" t="str">
        <f>IF(tEditais[[#This Row],[Itens do foco]]=0,"",IF(tEditais[[#This Row],[Valor foco homologado]]&lt;=0,"Sem valor",IF(tEditais[[#This Row],[Valor foco homologado]]&gt;=FaixaA_Min,"A",IF(tEditais[[#This Row],[Valor foco homologado]]&gt;=FaixaB_Min,"B","C"))))</f>
        <v/>
      </c>
      <c r="P277" t="str">
        <f ca="1">IF(tEditais[[#This Row],[Encerramento]]&gt;NOW(),"Aberto","Encerrado")</f>
        <v>Aberto</v>
      </c>
    </row>
    <row r="278" spans="1:16" x14ac:dyDescent="0.25">
      <c r="A278" t="s">
        <v>1759</v>
      </c>
      <c r="B278" t="s">
        <v>1748</v>
      </c>
      <c r="C278" t="s">
        <v>1717</v>
      </c>
      <c r="D278" t="s">
        <v>1718</v>
      </c>
      <c r="E278" t="s">
        <v>800</v>
      </c>
      <c r="F278" s="11">
        <v>46311.541666666664</v>
      </c>
      <c r="G278">
        <v>9</v>
      </c>
      <c r="I278" t="s">
        <v>1760</v>
      </c>
      <c r="J278" t="str">
        <f>IF(ISNUMBER(SEARCH("registro de pre",tEditais[[#This Row],[Objeto]])),"Sim","Não")</f>
        <v>Não</v>
      </c>
      <c r="K278" s="4">
        <f>COUNTIFS(tItens[Edital],tEditais[[#This Row],[Edital]])</f>
        <v>1</v>
      </c>
      <c r="L278" s="4">
        <f>COUNTIFS(tItens[Edital],tEditais[[#This Row],[Edital]],tItens[Foco],"Sim")</f>
        <v>0</v>
      </c>
      <c r="M278" s="8">
        <f>SUMIFS(tItens[Valor],tItens[Edital],tEditais[[#This Row],[Edital]])</f>
        <v>7183.5</v>
      </c>
      <c r="N278" s="8">
        <f>SUMIFS(tItens[Valor homologado],tItens[Edital],tEditais[[#This Row],[Edital]],tItens[Foco],"Sim")</f>
        <v>0</v>
      </c>
      <c r="O278" t="str">
        <f>IF(tEditais[[#This Row],[Itens do foco]]=0,"",IF(tEditais[[#This Row],[Valor foco homologado]]&lt;=0,"Sem valor",IF(tEditais[[#This Row],[Valor foco homologado]]&gt;=FaixaA_Min,"A",IF(tEditais[[#This Row],[Valor foco homologado]]&gt;=FaixaB_Min,"B","C"))))</f>
        <v/>
      </c>
      <c r="P278" t="str">
        <f ca="1">IF(tEditais[[#This Row],[Encerramento]]&gt;NOW(),"Aberto","Encerrado")</f>
        <v>Aberto</v>
      </c>
    </row>
    <row r="279" spans="1:16" x14ac:dyDescent="0.25">
      <c r="A279" t="s">
        <v>1761</v>
      </c>
      <c r="B279" t="s">
        <v>1762</v>
      </c>
      <c r="C279" t="s">
        <v>1763</v>
      </c>
      <c r="D279" t="s">
        <v>1718</v>
      </c>
      <c r="E279" t="s">
        <v>716</v>
      </c>
      <c r="F279" s="11">
        <v>46314.332638888889</v>
      </c>
      <c r="G279">
        <v>136</v>
      </c>
      <c r="H279" t="s">
        <v>1764</v>
      </c>
      <c r="I279" t="s">
        <v>1765</v>
      </c>
      <c r="J279" t="str">
        <f>IF(ISNUMBER(SEARCH("registro de pre",tEditais[[#This Row],[Objeto]])),"Sim","Não")</f>
        <v>Sim</v>
      </c>
      <c r="K279" s="4">
        <f>COUNTIFS(tItens[Edital],tEditais[[#This Row],[Edital]])</f>
        <v>5</v>
      </c>
      <c r="L279" s="4">
        <f>COUNTIFS(tItens[Edital],tEditais[[#This Row],[Edital]],tItens[Foco],"Sim")</f>
        <v>0</v>
      </c>
      <c r="M279" s="8">
        <f>SUMIFS(tItens[Valor],tItens[Edital],tEditais[[#This Row],[Edital]])</f>
        <v>4371.74</v>
      </c>
      <c r="N279" s="8">
        <f>SUMIFS(tItens[Valor homologado],tItens[Edital],tEditais[[#This Row],[Edital]],tItens[Foco],"Sim")</f>
        <v>0</v>
      </c>
      <c r="O279" t="str">
        <f>IF(tEditais[[#This Row],[Itens do foco]]=0,"",IF(tEditais[[#This Row],[Valor foco homologado]]&lt;=0,"Sem valor",IF(tEditais[[#This Row],[Valor foco homologado]]&gt;=FaixaA_Min,"A",IF(tEditais[[#This Row],[Valor foco homologado]]&gt;=FaixaB_Min,"B","C"))))</f>
        <v/>
      </c>
      <c r="P279" t="str">
        <f ca="1">IF(tEditais[[#This Row],[Encerramento]]&gt;NOW(),"Aberto","Encerrado")</f>
        <v>Aberto</v>
      </c>
    </row>
    <row r="280" spans="1:16" x14ac:dyDescent="0.25">
      <c r="A280" t="s">
        <v>1766</v>
      </c>
      <c r="B280" t="s">
        <v>1767</v>
      </c>
      <c r="C280" t="s">
        <v>1768</v>
      </c>
      <c r="D280" t="s">
        <v>1769</v>
      </c>
      <c r="E280" t="s">
        <v>716</v>
      </c>
      <c r="F280" s="11">
        <v>46304.333333333336</v>
      </c>
      <c r="G280">
        <v>30</v>
      </c>
      <c r="H280" t="s">
        <v>1770</v>
      </c>
      <c r="I280" t="s">
        <v>1771</v>
      </c>
      <c r="J280" t="str">
        <f>IF(ISNUMBER(SEARCH("registro de pre",tEditais[[#This Row],[Objeto]])),"Sim","Não")</f>
        <v>Não</v>
      </c>
      <c r="K280" s="4">
        <f>COUNTIFS(tItens[Edital],tEditais[[#This Row],[Edital]])</f>
        <v>1</v>
      </c>
      <c r="L280" s="4">
        <f>COUNTIFS(tItens[Edital],tEditais[[#This Row],[Edital]],tItens[Foco],"Sim")</f>
        <v>0</v>
      </c>
      <c r="M280" s="8">
        <f>SUMIFS(tItens[Valor],tItens[Edital],tEditais[[#This Row],[Edital]])</f>
        <v>5201.3999999999996</v>
      </c>
      <c r="N280" s="8">
        <f>SUMIFS(tItens[Valor homologado],tItens[Edital],tEditais[[#This Row],[Edital]],tItens[Foco],"Sim")</f>
        <v>0</v>
      </c>
      <c r="O280" t="str">
        <f>IF(tEditais[[#This Row],[Itens do foco]]=0,"",IF(tEditais[[#This Row],[Valor foco homologado]]&lt;=0,"Sem valor",IF(tEditais[[#This Row],[Valor foco homologado]]&gt;=FaixaA_Min,"A",IF(tEditais[[#This Row],[Valor foco homologado]]&gt;=FaixaB_Min,"B","C"))))</f>
        <v/>
      </c>
      <c r="P280" t="str">
        <f ca="1">IF(tEditais[[#This Row],[Encerramento]]&gt;NOW(),"Aberto","Encerrado")</f>
        <v>Encerrado</v>
      </c>
    </row>
    <row r="281" spans="1:16" x14ac:dyDescent="0.25">
      <c r="A281" t="s">
        <v>1772</v>
      </c>
      <c r="B281" t="s">
        <v>1773</v>
      </c>
      <c r="C281" t="s">
        <v>1774</v>
      </c>
      <c r="D281" t="s">
        <v>1769</v>
      </c>
      <c r="E281" t="s">
        <v>841</v>
      </c>
      <c r="F281" s="11">
        <v>46304.333333333336</v>
      </c>
      <c r="G281">
        <v>215</v>
      </c>
      <c r="I281" t="s">
        <v>1775</v>
      </c>
      <c r="J281" t="str">
        <f>IF(ISNUMBER(SEARCH("registro de pre",tEditais[[#This Row],[Objeto]])),"Sim","Não")</f>
        <v>Não</v>
      </c>
      <c r="K281" s="4">
        <f>COUNTIFS(tItens[Edital],tEditais[[#This Row],[Edital]])</f>
        <v>1</v>
      </c>
      <c r="L281" s="4">
        <f>COUNTIFS(tItens[Edital],tEditais[[#This Row],[Edital]],tItens[Foco],"Sim")</f>
        <v>0</v>
      </c>
      <c r="M281" s="8">
        <f>SUMIFS(tItens[Valor],tItens[Edital],tEditais[[#This Row],[Edital]])</f>
        <v>1245</v>
      </c>
      <c r="N281" s="8">
        <f>SUMIFS(tItens[Valor homologado],tItens[Edital],tEditais[[#This Row],[Edital]],tItens[Foco],"Sim")</f>
        <v>0</v>
      </c>
      <c r="O281" t="str">
        <f>IF(tEditais[[#This Row],[Itens do foco]]=0,"",IF(tEditais[[#This Row],[Valor foco homologado]]&lt;=0,"Sem valor",IF(tEditais[[#This Row],[Valor foco homologado]]&gt;=FaixaA_Min,"A",IF(tEditais[[#This Row],[Valor foco homologado]]&gt;=FaixaB_Min,"B","C"))))</f>
        <v/>
      </c>
      <c r="P281" t="str">
        <f ca="1">IF(tEditais[[#This Row],[Encerramento]]&gt;NOW(),"Aberto","Encerrado")</f>
        <v>Encerrado</v>
      </c>
    </row>
    <row r="282" spans="1:16" x14ac:dyDescent="0.25">
      <c r="A282" t="s">
        <v>1776</v>
      </c>
      <c r="B282" t="s">
        <v>1777</v>
      </c>
      <c r="C282" t="s">
        <v>1778</v>
      </c>
      <c r="D282" t="s">
        <v>1769</v>
      </c>
      <c r="E282" t="s">
        <v>716</v>
      </c>
      <c r="F282" s="11">
        <v>46304.371527777781</v>
      </c>
      <c r="G282">
        <v>43</v>
      </c>
      <c r="I282" t="s">
        <v>1779</v>
      </c>
      <c r="J282" t="str">
        <f>IF(ISNUMBER(SEARCH("registro de pre",tEditais[[#This Row],[Objeto]])),"Sim","Não")</f>
        <v>Sim</v>
      </c>
      <c r="K282" s="4">
        <f>COUNTIFS(tItens[Edital],tEditais[[#This Row],[Edital]])</f>
        <v>1</v>
      </c>
      <c r="L282" s="4">
        <f>COUNTIFS(tItens[Edital],tEditais[[#This Row],[Edital]],tItens[Foco],"Sim")</f>
        <v>0</v>
      </c>
      <c r="M282" s="8">
        <f>SUMIFS(tItens[Valor],tItens[Edital],tEditais[[#This Row],[Edital]])</f>
        <v>1802.1</v>
      </c>
      <c r="N282" s="8">
        <f>SUMIFS(tItens[Valor homologado],tItens[Edital],tEditais[[#This Row],[Edital]],tItens[Foco],"Sim")</f>
        <v>0</v>
      </c>
      <c r="O282" t="str">
        <f>IF(tEditais[[#This Row],[Itens do foco]]=0,"",IF(tEditais[[#This Row],[Valor foco homologado]]&lt;=0,"Sem valor",IF(tEditais[[#This Row],[Valor foco homologado]]&gt;=FaixaA_Min,"A",IF(tEditais[[#This Row],[Valor foco homologado]]&gt;=FaixaB_Min,"B","C"))))</f>
        <v/>
      </c>
      <c r="P282" t="str">
        <f ca="1">IF(tEditais[[#This Row],[Encerramento]]&gt;NOW(),"Aberto","Encerrado")</f>
        <v>Encerrado</v>
      </c>
    </row>
    <row r="283" spans="1:16" x14ac:dyDescent="0.25">
      <c r="A283" t="s">
        <v>1780</v>
      </c>
      <c r="B283" t="s">
        <v>1781</v>
      </c>
      <c r="C283" t="s">
        <v>1782</v>
      </c>
      <c r="D283" t="s">
        <v>1769</v>
      </c>
      <c r="E283" t="s">
        <v>716</v>
      </c>
      <c r="F283" s="11">
        <v>46304.395833333336</v>
      </c>
      <c r="G283">
        <v>11</v>
      </c>
      <c r="H283" t="s">
        <v>1783</v>
      </c>
      <c r="I283" t="s">
        <v>1784</v>
      </c>
      <c r="J283" t="str">
        <f>IF(ISNUMBER(SEARCH("registro de pre",tEditais[[#This Row],[Objeto]])),"Sim","Não")</f>
        <v>Não</v>
      </c>
      <c r="K283" s="4">
        <f>COUNTIFS(tItens[Edital],tEditais[[#This Row],[Edital]])</f>
        <v>1</v>
      </c>
      <c r="L283" s="4">
        <f>COUNTIFS(tItens[Edital],tEditais[[#This Row],[Edital]],tItens[Foco],"Sim")</f>
        <v>0</v>
      </c>
      <c r="M283" s="8">
        <f>SUMIFS(tItens[Valor],tItens[Edital],tEditais[[#This Row],[Edital]])</f>
        <v>3557.34</v>
      </c>
      <c r="N283" s="8">
        <f>SUMIFS(tItens[Valor homologado],tItens[Edital],tEditais[[#This Row],[Edital]],tItens[Foco],"Sim")</f>
        <v>0</v>
      </c>
      <c r="O283" t="str">
        <f>IF(tEditais[[#This Row],[Itens do foco]]=0,"",IF(tEditais[[#This Row],[Valor foco homologado]]&lt;=0,"Sem valor",IF(tEditais[[#This Row],[Valor foco homologado]]&gt;=FaixaA_Min,"A",IF(tEditais[[#This Row],[Valor foco homologado]]&gt;=FaixaB_Min,"B","C"))))</f>
        <v/>
      </c>
      <c r="P283" t="str">
        <f ca="1">IF(tEditais[[#This Row],[Encerramento]]&gt;NOW(),"Aberto","Encerrado")</f>
        <v>Encerrado</v>
      </c>
    </row>
    <row r="284" spans="1:16" x14ac:dyDescent="0.25">
      <c r="A284" t="s">
        <v>1785</v>
      </c>
      <c r="B284" t="s">
        <v>1786</v>
      </c>
      <c r="C284" t="s">
        <v>1787</v>
      </c>
      <c r="D284" t="s">
        <v>1769</v>
      </c>
      <c r="E284" t="s">
        <v>716</v>
      </c>
      <c r="F284" s="11">
        <v>46308.374305555553</v>
      </c>
      <c r="G284">
        <v>17</v>
      </c>
      <c r="H284" t="s">
        <v>1788</v>
      </c>
      <c r="I284" t="s">
        <v>1789</v>
      </c>
      <c r="J284" t="str">
        <f>IF(ISNUMBER(SEARCH("registro de pre",tEditais[[#This Row],[Objeto]])),"Sim","Não")</f>
        <v>Não</v>
      </c>
      <c r="K284" s="4">
        <f>COUNTIFS(tItens[Edital],tEditais[[#This Row],[Edital]])</f>
        <v>1</v>
      </c>
      <c r="L284" s="4">
        <f>COUNTIFS(tItens[Edital],tEditais[[#This Row],[Edital]],tItens[Foco],"Sim")</f>
        <v>0</v>
      </c>
      <c r="M284" s="8">
        <f>SUMIFS(tItens[Valor],tItens[Edital],tEditais[[#This Row],[Edital]])</f>
        <v>11272.92</v>
      </c>
      <c r="N284" s="8">
        <f>SUMIFS(tItens[Valor homologado],tItens[Edital],tEditais[[#This Row],[Edital]],tItens[Foco],"Sim")</f>
        <v>0</v>
      </c>
      <c r="O284" t="str">
        <f>IF(tEditais[[#This Row],[Itens do foco]]=0,"",IF(tEditais[[#This Row],[Valor foco homologado]]&lt;=0,"Sem valor",IF(tEditais[[#This Row],[Valor foco homologado]]&gt;=FaixaA_Min,"A",IF(tEditais[[#This Row],[Valor foco homologado]]&gt;=FaixaB_Min,"B","C"))))</f>
        <v/>
      </c>
      <c r="P284" t="str">
        <f ca="1">IF(tEditais[[#This Row],[Encerramento]]&gt;NOW(),"Aberto","Encerrado")</f>
        <v>Encerrado</v>
      </c>
    </row>
    <row r="285" spans="1:16" x14ac:dyDescent="0.25">
      <c r="A285" t="s">
        <v>1790</v>
      </c>
      <c r="B285" t="s">
        <v>1791</v>
      </c>
      <c r="C285" t="s">
        <v>1792</v>
      </c>
      <c r="D285" t="s">
        <v>1769</v>
      </c>
      <c r="E285" t="s">
        <v>841</v>
      </c>
      <c r="F285" s="11">
        <v>46308.375</v>
      </c>
      <c r="G285">
        <v>45</v>
      </c>
      <c r="I285" t="s">
        <v>1793</v>
      </c>
      <c r="J285" t="str">
        <f>IF(ISNUMBER(SEARCH("registro de pre",tEditais[[#This Row],[Objeto]])),"Sim","Não")</f>
        <v>Não</v>
      </c>
      <c r="K285" s="4">
        <f>COUNTIFS(tItens[Edital],tEditais[[#This Row],[Edital]])</f>
        <v>1</v>
      </c>
      <c r="L285" s="4">
        <f>COUNTIFS(tItens[Edital],tEditais[[#This Row],[Edital]],tItens[Foco],"Sim")</f>
        <v>0</v>
      </c>
      <c r="M285" s="8">
        <f>SUMIFS(tItens[Valor],tItens[Edital],tEditais[[#This Row],[Edital]])</f>
        <v>122640</v>
      </c>
      <c r="N285" s="8">
        <f>SUMIFS(tItens[Valor homologado],tItens[Edital],tEditais[[#This Row],[Edital]],tItens[Foco],"Sim")</f>
        <v>0</v>
      </c>
      <c r="O285" t="str">
        <f>IF(tEditais[[#This Row],[Itens do foco]]=0,"",IF(tEditais[[#This Row],[Valor foco homologado]]&lt;=0,"Sem valor",IF(tEditais[[#This Row],[Valor foco homologado]]&gt;=FaixaA_Min,"A",IF(tEditais[[#This Row],[Valor foco homologado]]&gt;=FaixaB_Min,"B","C"))))</f>
        <v/>
      </c>
      <c r="P285" t="str">
        <f ca="1">IF(tEditais[[#This Row],[Encerramento]]&gt;NOW(),"Aberto","Encerrado")</f>
        <v>Encerrado</v>
      </c>
    </row>
    <row r="286" spans="1:16" x14ac:dyDescent="0.25">
      <c r="A286" t="s">
        <v>1794</v>
      </c>
      <c r="B286" t="s">
        <v>1795</v>
      </c>
      <c r="C286" t="s">
        <v>1796</v>
      </c>
      <c r="D286" t="s">
        <v>1769</v>
      </c>
      <c r="E286" t="s">
        <v>716</v>
      </c>
      <c r="F286" s="11">
        <v>46308.385416666664</v>
      </c>
      <c r="G286">
        <v>118</v>
      </c>
      <c r="H286" t="s">
        <v>1797</v>
      </c>
      <c r="I286" t="s">
        <v>1798</v>
      </c>
      <c r="J286" t="str">
        <f>IF(ISNUMBER(SEARCH("registro de pre",tEditais[[#This Row],[Objeto]])),"Sim","Não")</f>
        <v>Sim</v>
      </c>
      <c r="K286" s="4">
        <f>COUNTIFS(tItens[Edital],tEditais[[#This Row],[Edital]])</f>
        <v>9</v>
      </c>
      <c r="L286" s="4">
        <f>COUNTIFS(tItens[Edital],tEditais[[#This Row],[Edital]],tItens[Foco],"Sim")</f>
        <v>1</v>
      </c>
      <c r="M286" s="8">
        <f>SUMIFS(tItens[Valor],tItens[Edital],tEditais[[#This Row],[Edital]])</f>
        <v>15462.84</v>
      </c>
      <c r="N286" s="8">
        <f>SUMIFS(tItens[Valor homologado],tItens[Edital],tEditais[[#This Row],[Edital]],tItens[Foco],"Sim")</f>
        <v>434.67599999999999</v>
      </c>
      <c r="O286" t="str">
        <f>IF(tEditais[[#This Row],[Itens do foco]]=0,"",IF(tEditais[[#This Row],[Valor foco homologado]]&lt;=0,"Sem valor",IF(tEditais[[#This Row],[Valor foco homologado]]&gt;=FaixaA_Min,"A",IF(tEditais[[#This Row],[Valor foco homologado]]&gt;=FaixaB_Min,"B","C"))))</f>
        <v>C</v>
      </c>
      <c r="P286" t="str">
        <f ca="1">IF(tEditais[[#This Row],[Encerramento]]&gt;NOW(),"Aberto","Encerrado")</f>
        <v>Encerrado</v>
      </c>
    </row>
    <row r="287" spans="1:16" x14ac:dyDescent="0.25">
      <c r="A287" t="s">
        <v>1799</v>
      </c>
      <c r="B287" t="s">
        <v>1800</v>
      </c>
      <c r="C287" t="s">
        <v>1801</v>
      </c>
      <c r="D287" t="s">
        <v>1769</v>
      </c>
      <c r="E287" t="s">
        <v>800</v>
      </c>
      <c r="F287" s="11">
        <v>46309.333333333336</v>
      </c>
      <c r="G287">
        <v>94</v>
      </c>
      <c r="H287" t="s">
        <v>1802</v>
      </c>
      <c r="I287" t="s">
        <v>1803</v>
      </c>
      <c r="J287" t="str">
        <f>IF(ISNUMBER(SEARCH("registro de pre",tEditais[[#This Row],[Objeto]])),"Sim","Não")</f>
        <v>Sim</v>
      </c>
      <c r="K287" s="4">
        <f>COUNTIFS(tItens[Edital],tEditais[[#This Row],[Edital]])</f>
        <v>15</v>
      </c>
      <c r="L287" s="4">
        <f>COUNTIFS(tItens[Edital],tEditais[[#This Row],[Edital]],tItens[Foco],"Sim")</f>
        <v>2</v>
      </c>
      <c r="M287" s="8">
        <f>SUMIFS(tItens[Valor],tItens[Edital],tEditais[[#This Row],[Edital]])</f>
        <v>5987.4699999999993</v>
      </c>
      <c r="N287" s="8">
        <f>SUMIFS(tItens[Valor homologado],tItens[Edital],tEditais[[#This Row],[Edital]],tItens[Foco],"Sim")</f>
        <v>365.93339999999995</v>
      </c>
      <c r="O287" t="str">
        <f>IF(tEditais[[#This Row],[Itens do foco]]=0,"",IF(tEditais[[#This Row],[Valor foco homologado]]&lt;=0,"Sem valor",IF(tEditais[[#This Row],[Valor foco homologado]]&gt;=FaixaA_Min,"A",IF(tEditais[[#This Row],[Valor foco homologado]]&gt;=FaixaB_Min,"B","C"))))</f>
        <v>C</v>
      </c>
      <c r="P287" t="str">
        <f ca="1">IF(tEditais[[#This Row],[Encerramento]]&gt;NOW(),"Aberto","Encerrado")</f>
        <v>Encerrado</v>
      </c>
    </row>
    <row r="288" spans="1:16" x14ac:dyDescent="0.25">
      <c r="A288" t="s">
        <v>1804</v>
      </c>
      <c r="B288" t="s">
        <v>1805</v>
      </c>
      <c r="C288" t="s">
        <v>1806</v>
      </c>
      <c r="D288" t="s">
        <v>1769</v>
      </c>
      <c r="E288" t="s">
        <v>716</v>
      </c>
      <c r="F288" s="11">
        <v>46309.374305555553</v>
      </c>
      <c r="G288">
        <v>195</v>
      </c>
      <c r="H288" t="s">
        <v>1807</v>
      </c>
      <c r="I288" t="s">
        <v>1808</v>
      </c>
      <c r="J288" t="str">
        <f>IF(ISNUMBER(SEARCH("registro de pre",tEditais[[#This Row],[Objeto]])),"Sim","Não")</f>
        <v>Não</v>
      </c>
      <c r="K288" s="4">
        <f>COUNTIFS(tItens[Edital],tEditais[[#This Row],[Edital]])</f>
        <v>76</v>
      </c>
      <c r="L288" s="4">
        <f>COUNTIFS(tItens[Edital],tEditais[[#This Row],[Edital]],tItens[Foco],"Sim")</f>
        <v>11</v>
      </c>
      <c r="M288" s="8">
        <f>SUMIFS(tItens[Valor],tItens[Edital],tEditais[[#This Row],[Edital]])</f>
        <v>681643.40000000026</v>
      </c>
      <c r="N288" s="8">
        <f>SUMIFS(tItens[Valor homologado],tItens[Edital],tEditais[[#This Row],[Edital]],tItens[Foco],"Sim")</f>
        <v>37521.722000000002</v>
      </c>
      <c r="O288" t="str">
        <f>IF(tEditais[[#This Row],[Itens do foco]]=0,"",IF(tEditais[[#This Row],[Valor foco homologado]]&lt;=0,"Sem valor",IF(tEditais[[#This Row],[Valor foco homologado]]&gt;=FaixaA_Min,"A",IF(tEditais[[#This Row],[Valor foco homologado]]&gt;=FaixaB_Min,"B","C"))))</f>
        <v>C</v>
      </c>
      <c r="P288" t="str">
        <f ca="1">IF(tEditais[[#This Row],[Encerramento]]&gt;NOW(),"Aberto","Encerrado")</f>
        <v>Encerrado</v>
      </c>
    </row>
    <row r="289" spans="1:16" x14ac:dyDescent="0.25">
      <c r="A289" t="s">
        <v>1809</v>
      </c>
      <c r="B289" t="s">
        <v>1810</v>
      </c>
      <c r="C289" t="s">
        <v>1792</v>
      </c>
      <c r="D289" t="s">
        <v>1769</v>
      </c>
      <c r="E289" t="s">
        <v>716</v>
      </c>
      <c r="F289" s="11">
        <v>46309.415972222225</v>
      </c>
      <c r="G289">
        <v>7</v>
      </c>
      <c r="H289" t="s">
        <v>1811</v>
      </c>
      <c r="I289" t="s">
        <v>1812</v>
      </c>
      <c r="J289" t="str">
        <f>IF(ISNUMBER(SEARCH("registro de pre",tEditais[[#This Row],[Objeto]])),"Sim","Não")</f>
        <v>Não</v>
      </c>
      <c r="K289" s="4">
        <f>COUNTIFS(tItens[Edital],tEditais[[#This Row],[Edital]])</f>
        <v>4</v>
      </c>
      <c r="L289" s="4">
        <f>COUNTIFS(tItens[Edital],tEditais[[#This Row],[Edital]],tItens[Foco],"Sim")</f>
        <v>0</v>
      </c>
      <c r="M289" s="8">
        <f>SUMIFS(tItens[Valor],tItens[Edital],tEditais[[#This Row],[Edital]])</f>
        <v>1896715.6</v>
      </c>
      <c r="N289" s="8">
        <f>SUMIFS(tItens[Valor homologado],tItens[Edital],tEditais[[#This Row],[Edital]],tItens[Foco],"Sim")</f>
        <v>0</v>
      </c>
      <c r="O289" t="str">
        <f>IF(tEditais[[#This Row],[Itens do foco]]=0,"",IF(tEditais[[#This Row],[Valor foco homologado]]&lt;=0,"Sem valor",IF(tEditais[[#This Row],[Valor foco homologado]]&gt;=FaixaA_Min,"A",IF(tEditais[[#This Row],[Valor foco homologado]]&gt;=FaixaB_Min,"B","C"))))</f>
        <v/>
      </c>
      <c r="P289" t="str">
        <f ca="1">IF(tEditais[[#This Row],[Encerramento]]&gt;NOW(),"Aberto","Encerrado")</f>
        <v>Encerrado</v>
      </c>
    </row>
    <row r="290" spans="1:16" x14ac:dyDescent="0.25">
      <c r="A290" t="s">
        <v>1813</v>
      </c>
      <c r="B290" t="s">
        <v>1814</v>
      </c>
      <c r="C290" t="s">
        <v>1815</v>
      </c>
      <c r="D290" t="s">
        <v>1769</v>
      </c>
      <c r="E290" t="s">
        <v>716</v>
      </c>
      <c r="F290" s="11">
        <v>46310.374305555553</v>
      </c>
      <c r="G290">
        <v>96</v>
      </c>
      <c r="H290" t="s">
        <v>1816</v>
      </c>
      <c r="I290" t="s">
        <v>1817</v>
      </c>
      <c r="J290" t="str">
        <f>IF(ISNUMBER(SEARCH("registro de pre",tEditais[[#This Row],[Objeto]])),"Sim","Não")</f>
        <v>Não</v>
      </c>
      <c r="K290" s="4">
        <f>COUNTIFS(tItens[Edital],tEditais[[#This Row],[Edital]])</f>
        <v>12</v>
      </c>
      <c r="L290" s="4">
        <f>COUNTIFS(tItens[Edital],tEditais[[#This Row],[Edital]],tItens[Foco],"Sim")</f>
        <v>6</v>
      </c>
      <c r="M290" s="8">
        <f>SUMIFS(tItens[Valor],tItens[Edital],tEditais[[#This Row],[Edital]])</f>
        <v>182498</v>
      </c>
      <c r="N290" s="8">
        <f>SUMIFS(tItens[Valor homologado],tItens[Edital],tEditais[[#This Row],[Edital]],tItens[Foco],"Sim")</f>
        <v>33513</v>
      </c>
      <c r="O290" t="str">
        <f>IF(tEditais[[#This Row],[Itens do foco]]=0,"",IF(tEditais[[#This Row],[Valor foco homologado]]&lt;=0,"Sem valor",IF(tEditais[[#This Row],[Valor foco homologado]]&gt;=FaixaA_Min,"A",IF(tEditais[[#This Row],[Valor foco homologado]]&gt;=FaixaB_Min,"B","C"))))</f>
        <v>C</v>
      </c>
      <c r="P290" t="str">
        <f ca="1">IF(tEditais[[#This Row],[Encerramento]]&gt;NOW(),"Aberto","Encerrado")</f>
        <v>Encerrado</v>
      </c>
    </row>
    <row r="291" spans="1:16" x14ac:dyDescent="0.25">
      <c r="A291" t="s">
        <v>1818</v>
      </c>
      <c r="B291" t="s">
        <v>739</v>
      </c>
      <c r="C291" t="s">
        <v>1819</v>
      </c>
      <c r="D291" t="s">
        <v>1769</v>
      </c>
      <c r="E291" t="s">
        <v>716</v>
      </c>
      <c r="F291" s="11">
        <v>46310.375</v>
      </c>
      <c r="G291">
        <v>20</v>
      </c>
      <c r="H291" t="s">
        <v>1820</v>
      </c>
      <c r="I291" t="s">
        <v>1821</v>
      </c>
      <c r="J291" t="str">
        <f>IF(ISNUMBER(SEARCH("registro de pre",tEditais[[#This Row],[Objeto]])),"Sim","Não")</f>
        <v>Não</v>
      </c>
      <c r="K291" s="4">
        <f>COUNTIFS(tItens[Edital],tEditais[[#This Row],[Edital]])</f>
        <v>1</v>
      </c>
      <c r="L291" s="4">
        <f>COUNTIFS(tItens[Edital],tEditais[[#This Row],[Edital]],tItens[Foco],"Sim")</f>
        <v>0</v>
      </c>
      <c r="M291" s="8">
        <f>SUMIFS(tItens[Valor],tItens[Edital],tEditais[[#This Row],[Edital]])</f>
        <v>0</v>
      </c>
      <c r="N291" s="8">
        <f>SUMIFS(tItens[Valor homologado],tItens[Edital],tEditais[[#This Row],[Edital]],tItens[Foco],"Sim")</f>
        <v>0</v>
      </c>
      <c r="O291" t="str">
        <f>IF(tEditais[[#This Row],[Itens do foco]]=0,"",IF(tEditais[[#This Row],[Valor foco homologado]]&lt;=0,"Sem valor",IF(tEditais[[#This Row],[Valor foco homologado]]&gt;=FaixaA_Min,"A",IF(tEditais[[#This Row],[Valor foco homologado]]&gt;=FaixaB_Min,"B","C"))))</f>
        <v/>
      </c>
      <c r="P291" t="str">
        <f ca="1">IF(tEditais[[#This Row],[Encerramento]]&gt;NOW(),"Aberto","Encerrado")</f>
        <v>Encerrado</v>
      </c>
    </row>
    <row r="292" spans="1:16" x14ac:dyDescent="0.25">
      <c r="A292" t="s">
        <v>1822</v>
      </c>
      <c r="B292" t="s">
        <v>1823</v>
      </c>
      <c r="C292" t="s">
        <v>1819</v>
      </c>
      <c r="D292" t="s">
        <v>1769</v>
      </c>
      <c r="E292" t="s">
        <v>716</v>
      </c>
      <c r="F292" s="11">
        <v>46310.416666666664</v>
      </c>
      <c r="G292">
        <v>66</v>
      </c>
      <c r="H292" t="s">
        <v>1824</v>
      </c>
      <c r="I292" t="s">
        <v>1825</v>
      </c>
      <c r="J292" t="str">
        <f>IF(ISNUMBER(SEARCH("registro de pre",tEditais[[#This Row],[Objeto]])),"Sim","Não")</f>
        <v>Não</v>
      </c>
      <c r="K292" s="4">
        <f>COUNTIFS(tItens[Edital],tEditais[[#This Row],[Edital]])</f>
        <v>1</v>
      </c>
      <c r="L292" s="4">
        <f>COUNTIFS(tItens[Edital],tEditais[[#This Row],[Edital]],tItens[Foco],"Sim")</f>
        <v>0</v>
      </c>
      <c r="M292" s="8">
        <f>SUMIFS(tItens[Valor],tItens[Edital],tEditais[[#This Row],[Edital]])</f>
        <v>1536.47</v>
      </c>
      <c r="N292" s="8">
        <f>SUMIFS(tItens[Valor homologado],tItens[Edital],tEditais[[#This Row],[Edital]],tItens[Foco],"Sim")</f>
        <v>0</v>
      </c>
      <c r="O292" t="str">
        <f>IF(tEditais[[#This Row],[Itens do foco]]=0,"",IF(tEditais[[#This Row],[Valor foco homologado]]&lt;=0,"Sem valor",IF(tEditais[[#This Row],[Valor foco homologado]]&gt;=FaixaA_Min,"A",IF(tEditais[[#This Row],[Valor foco homologado]]&gt;=FaixaB_Min,"B","C"))))</f>
        <v/>
      </c>
      <c r="P292" t="str">
        <f ca="1">IF(tEditais[[#This Row],[Encerramento]]&gt;NOW(),"Aberto","Encerrado")</f>
        <v>Encerrado</v>
      </c>
    </row>
    <row r="293" spans="1:16" x14ac:dyDescent="0.25">
      <c r="A293" t="s">
        <v>1826</v>
      </c>
      <c r="B293" t="s">
        <v>1827</v>
      </c>
      <c r="C293" t="s">
        <v>1828</v>
      </c>
      <c r="D293" t="s">
        <v>1769</v>
      </c>
      <c r="E293" t="s">
        <v>716</v>
      </c>
      <c r="F293" s="11">
        <v>46311.415972222225</v>
      </c>
      <c r="G293">
        <v>5</v>
      </c>
      <c r="H293" t="s">
        <v>1829</v>
      </c>
      <c r="I293" t="s">
        <v>1830</v>
      </c>
      <c r="J293" t="str">
        <f>IF(ISNUMBER(SEARCH("registro de pre",tEditais[[#This Row],[Objeto]])),"Sim","Não")</f>
        <v>Não</v>
      </c>
      <c r="K293" s="4">
        <f>COUNTIFS(tItens[Edital],tEditais[[#This Row],[Edital]])</f>
        <v>5</v>
      </c>
      <c r="L293" s="4">
        <f>COUNTIFS(tItens[Edital],tEditais[[#This Row],[Edital]],tItens[Foco],"Sim")</f>
        <v>0</v>
      </c>
      <c r="M293" s="8">
        <f>SUMIFS(tItens[Valor],tItens[Edital],tEditais[[#This Row],[Edital]])</f>
        <v>411110</v>
      </c>
      <c r="N293" s="8">
        <f>SUMIFS(tItens[Valor homologado],tItens[Edital],tEditais[[#This Row],[Edital]],tItens[Foco],"Sim")</f>
        <v>0</v>
      </c>
      <c r="O293" t="str">
        <f>IF(tEditais[[#This Row],[Itens do foco]]=0,"",IF(tEditais[[#This Row],[Valor foco homologado]]&lt;=0,"Sem valor",IF(tEditais[[#This Row],[Valor foco homologado]]&gt;=FaixaA_Min,"A",IF(tEditais[[#This Row],[Valor foco homologado]]&gt;=FaixaB_Min,"B","C"))))</f>
        <v/>
      </c>
      <c r="P293" t="str">
        <f ca="1">IF(tEditais[[#This Row],[Encerramento]]&gt;NOW(),"Aberto","Encerrado")</f>
        <v>Aberto</v>
      </c>
    </row>
    <row r="294" spans="1:16" x14ac:dyDescent="0.25">
      <c r="A294" t="s">
        <v>1831</v>
      </c>
      <c r="B294" t="s">
        <v>739</v>
      </c>
      <c r="C294" t="s">
        <v>1801</v>
      </c>
      <c r="D294" t="s">
        <v>1769</v>
      </c>
      <c r="E294" t="s">
        <v>716</v>
      </c>
      <c r="F294" s="11">
        <v>46314.374305555553</v>
      </c>
      <c r="G294">
        <v>30</v>
      </c>
      <c r="H294" t="s">
        <v>1832</v>
      </c>
      <c r="I294" t="s">
        <v>1833</v>
      </c>
      <c r="J294" t="str">
        <f>IF(ISNUMBER(SEARCH("registro de pre",tEditais[[#This Row],[Objeto]])),"Sim","Não")</f>
        <v>Não</v>
      </c>
      <c r="K294" s="4">
        <f>COUNTIFS(tItens[Edital],tEditais[[#This Row],[Edital]])</f>
        <v>1</v>
      </c>
      <c r="L294" s="4">
        <f>COUNTIFS(tItens[Edital],tEditais[[#This Row],[Edital]],tItens[Foco],"Sim")</f>
        <v>0</v>
      </c>
      <c r="M294" s="8">
        <f>SUMIFS(tItens[Valor],tItens[Edital],tEditais[[#This Row],[Edital]])</f>
        <v>0</v>
      </c>
      <c r="N294" s="8">
        <f>SUMIFS(tItens[Valor homologado],tItens[Edital],tEditais[[#This Row],[Edital]],tItens[Foco],"Sim")</f>
        <v>0</v>
      </c>
      <c r="O294" t="str">
        <f>IF(tEditais[[#This Row],[Itens do foco]]=0,"",IF(tEditais[[#This Row],[Valor foco homologado]]&lt;=0,"Sem valor",IF(tEditais[[#This Row],[Valor foco homologado]]&gt;=FaixaA_Min,"A",IF(tEditais[[#This Row],[Valor foco homologado]]&gt;=FaixaB_Min,"B","C"))))</f>
        <v/>
      </c>
      <c r="P294" t="str">
        <f ca="1">IF(tEditais[[#This Row],[Encerramento]]&gt;NOW(),"Aberto","Encerrado")</f>
        <v>Aberto</v>
      </c>
    </row>
    <row r="295" spans="1:16" x14ac:dyDescent="0.25">
      <c r="A295" t="s">
        <v>1834</v>
      </c>
      <c r="B295" t="s">
        <v>752</v>
      </c>
      <c r="C295" t="s">
        <v>1819</v>
      </c>
      <c r="D295" t="s">
        <v>1769</v>
      </c>
      <c r="E295" t="s">
        <v>716</v>
      </c>
      <c r="F295" s="11">
        <v>46314.375</v>
      </c>
      <c r="G295">
        <v>31</v>
      </c>
      <c r="H295" t="s">
        <v>1835</v>
      </c>
      <c r="I295" t="s">
        <v>1836</v>
      </c>
      <c r="J295" t="str">
        <f>IF(ISNUMBER(SEARCH("registro de pre",tEditais[[#This Row],[Objeto]])),"Sim","Não")</f>
        <v>Sim</v>
      </c>
      <c r="K295" s="4">
        <f>COUNTIFS(tItens[Edital],tEditais[[#This Row],[Edital]])</f>
        <v>2</v>
      </c>
      <c r="L295" s="4">
        <f>COUNTIFS(tItens[Edital],tEditais[[#This Row],[Edital]],tItens[Foco],"Sim")</f>
        <v>1</v>
      </c>
      <c r="M295" s="8">
        <f>SUMIFS(tItens[Valor],tItens[Edital],tEditais[[#This Row],[Edital]])</f>
        <v>0</v>
      </c>
      <c r="N295" s="8">
        <f>SUMIFS(tItens[Valor homologado],tItens[Edital],tEditais[[#This Row],[Edital]],tItens[Foco],"Sim")</f>
        <v>0</v>
      </c>
      <c r="O295" t="str">
        <f>IF(tEditais[[#This Row],[Itens do foco]]=0,"",IF(tEditais[[#This Row],[Valor foco homologado]]&lt;=0,"Sem valor",IF(tEditais[[#This Row],[Valor foco homologado]]&gt;=FaixaA_Min,"A",IF(tEditais[[#This Row],[Valor foco homologado]]&gt;=FaixaB_Min,"B","C"))))</f>
        <v>Sem valor</v>
      </c>
      <c r="P295" t="str">
        <f ca="1">IF(tEditais[[#This Row],[Encerramento]]&gt;NOW(),"Aberto","Encerrado")</f>
        <v>Aberto</v>
      </c>
    </row>
    <row r="296" spans="1:16" x14ac:dyDescent="0.25">
      <c r="A296" t="s">
        <v>1837</v>
      </c>
      <c r="B296" t="s">
        <v>1838</v>
      </c>
      <c r="C296" t="s">
        <v>1839</v>
      </c>
      <c r="D296" t="s">
        <v>1840</v>
      </c>
      <c r="E296" t="s">
        <v>716</v>
      </c>
      <c r="F296" s="11">
        <v>46304.354166666664</v>
      </c>
      <c r="G296">
        <v>16</v>
      </c>
      <c r="I296" t="s">
        <v>1841</v>
      </c>
      <c r="J296" t="str">
        <f>IF(ISNUMBER(SEARCH("registro de pre",tEditais[[#This Row],[Objeto]])),"Sim","Não")</f>
        <v>Sim</v>
      </c>
      <c r="K296" s="4">
        <f>COUNTIFS(tItens[Edital],tEditais[[#This Row],[Edital]])</f>
        <v>4</v>
      </c>
      <c r="L296" s="4">
        <f>COUNTIFS(tItens[Edital],tEditais[[#This Row],[Edital]],tItens[Foco],"Sim")</f>
        <v>1</v>
      </c>
      <c r="M296" s="8">
        <f>SUMIFS(tItens[Valor],tItens[Edital],tEditais[[#This Row],[Edital]])</f>
        <v>364493</v>
      </c>
      <c r="N296" s="8">
        <f>SUMIFS(tItens[Valor homologado],tItens[Edital],tEditais[[#This Row],[Edital]],tItens[Foco],"Sim")</f>
        <v>64779.519999999997</v>
      </c>
      <c r="O296" t="str">
        <f>IF(tEditais[[#This Row],[Itens do foco]]=0,"",IF(tEditais[[#This Row],[Valor foco homologado]]&lt;=0,"Sem valor",IF(tEditais[[#This Row],[Valor foco homologado]]&gt;=FaixaA_Min,"A",IF(tEditais[[#This Row],[Valor foco homologado]]&gt;=FaixaB_Min,"B","C"))))</f>
        <v>B</v>
      </c>
      <c r="P296" t="str">
        <f ca="1">IF(tEditais[[#This Row],[Encerramento]]&gt;NOW(),"Aberto","Encerrado")</f>
        <v>Encerrado</v>
      </c>
    </row>
    <row r="297" spans="1:16" x14ac:dyDescent="0.25">
      <c r="A297" t="s">
        <v>1842</v>
      </c>
      <c r="B297" t="s">
        <v>1838</v>
      </c>
      <c r="C297" t="s">
        <v>1839</v>
      </c>
      <c r="D297" t="s">
        <v>1840</v>
      </c>
      <c r="E297" t="s">
        <v>716</v>
      </c>
      <c r="F297" s="11">
        <v>46304.375</v>
      </c>
      <c r="G297">
        <v>7</v>
      </c>
      <c r="I297" t="s">
        <v>1843</v>
      </c>
      <c r="J297" t="str">
        <f>IF(ISNUMBER(SEARCH("registro de pre",tEditais[[#This Row],[Objeto]])),"Sim","Não")</f>
        <v>Sim</v>
      </c>
      <c r="K297" s="4">
        <f>COUNTIFS(tItens[Edital],tEditais[[#This Row],[Edital]])</f>
        <v>5</v>
      </c>
      <c r="L297" s="4">
        <f>COUNTIFS(tItens[Edital],tEditais[[#This Row],[Edital]],tItens[Foco],"Sim")</f>
        <v>0</v>
      </c>
      <c r="M297" s="8">
        <f>SUMIFS(tItens[Valor],tItens[Edital],tEditais[[#This Row],[Edital]])</f>
        <v>305801</v>
      </c>
      <c r="N297" s="8">
        <f>SUMIFS(tItens[Valor homologado],tItens[Edital],tEditais[[#This Row],[Edital]],tItens[Foco],"Sim")</f>
        <v>0</v>
      </c>
      <c r="O297" t="str">
        <f>IF(tEditais[[#This Row],[Itens do foco]]=0,"",IF(tEditais[[#This Row],[Valor foco homologado]]&lt;=0,"Sem valor",IF(tEditais[[#This Row],[Valor foco homologado]]&gt;=FaixaA_Min,"A",IF(tEditais[[#This Row],[Valor foco homologado]]&gt;=FaixaB_Min,"B","C"))))</f>
        <v/>
      </c>
      <c r="P297" t="str">
        <f ca="1">IF(tEditais[[#This Row],[Encerramento]]&gt;NOW(),"Aberto","Encerrado")</f>
        <v>Encerrado</v>
      </c>
    </row>
    <row r="298" spans="1:16" x14ac:dyDescent="0.25">
      <c r="A298" t="s">
        <v>1844</v>
      </c>
      <c r="B298" t="s">
        <v>752</v>
      </c>
      <c r="C298" t="s">
        <v>1845</v>
      </c>
      <c r="D298" t="s">
        <v>1840</v>
      </c>
      <c r="E298" t="s">
        <v>716</v>
      </c>
      <c r="F298" s="11">
        <v>46304.375</v>
      </c>
      <c r="G298">
        <v>48</v>
      </c>
      <c r="H298" t="s">
        <v>1846</v>
      </c>
      <c r="I298" t="s">
        <v>1847</v>
      </c>
      <c r="J298" t="str">
        <f>IF(ISNUMBER(SEARCH("registro de pre",tEditais[[#This Row],[Objeto]])),"Sim","Não")</f>
        <v>Não</v>
      </c>
      <c r="K298" s="4">
        <f>COUNTIFS(tItens[Edital],tEditais[[#This Row],[Edital]])</f>
        <v>18</v>
      </c>
      <c r="L298" s="4">
        <f>COUNTIFS(tItens[Edital],tEditais[[#This Row],[Edital]],tItens[Foco],"Sim")</f>
        <v>2</v>
      </c>
      <c r="M298" s="8">
        <f>SUMIFS(tItens[Valor],tItens[Edital],tEditais[[#This Row],[Edital]])</f>
        <v>124607.29999999999</v>
      </c>
      <c r="N298" s="8">
        <f>SUMIFS(tItens[Valor homologado],tItens[Edital],tEditais[[#This Row],[Edital]],tItens[Foco],"Sim")</f>
        <v>15223.536</v>
      </c>
      <c r="O298" t="str">
        <f>IF(tEditais[[#This Row],[Itens do foco]]=0,"",IF(tEditais[[#This Row],[Valor foco homologado]]&lt;=0,"Sem valor",IF(tEditais[[#This Row],[Valor foco homologado]]&gt;=FaixaA_Min,"A",IF(tEditais[[#This Row],[Valor foco homologado]]&gt;=FaixaB_Min,"B","C"))))</f>
        <v>C</v>
      </c>
      <c r="P298" t="str">
        <f ca="1">IF(tEditais[[#This Row],[Encerramento]]&gt;NOW(),"Aberto","Encerrado")</f>
        <v>Encerrado</v>
      </c>
    </row>
    <row r="299" spans="1:16" x14ac:dyDescent="0.25">
      <c r="A299" t="s">
        <v>1848</v>
      </c>
      <c r="B299" t="s">
        <v>1849</v>
      </c>
      <c r="C299" t="s">
        <v>1850</v>
      </c>
      <c r="D299" t="s">
        <v>1840</v>
      </c>
      <c r="E299" t="s">
        <v>716</v>
      </c>
      <c r="F299" s="11">
        <v>46304.395833333336</v>
      </c>
      <c r="G299">
        <v>44</v>
      </c>
      <c r="H299" t="s">
        <v>1851</v>
      </c>
      <c r="I299" t="s">
        <v>1852</v>
      </c>
      <c r="J299" t="str">
        <f>IF(ISNUMBER(SEARCH("registro de pre",tEditais[[#This Row],[Objeto]])),"Sim","Não")</f>
        <v>Não</v>
      </c>
      <c r="K299" s="4">
        <f>COUNTIFS(tItens[Edital],tEditais[[#This Row],[Edital]])</f>
        <v>1</v>
      </c>
      <c r="L299" s="4">
        <f>COUNTIFS(tItens[Edital],tEditais[[#This Row],[Edital]],tItens[Foco],"Sim")</f>
        <v>0</v>
      </c>
      <c r="M299" s="8">
        <f>SUMIFS(tItens[Valor],tItens[Edital],tEditais[[#This Row],[Edital]])</f>
        <v>1731.09</v>
      </c>
      <c r="N299" s="8">
        <f>SUMIFS(tItens[Valor homologado],tItens[Edital],tEditais[[#This Row],[Edital]],tItens[Foco],"Sim")</f>
        <v>0</v>
      </c>
      <c r="O299" t="str">
        <f>IF(tEditais[[#This Row],[Itens do foco]]=0,"",IF(tEditais[[#This Row],[Valor foco homologado]]&lt;=0,"Sem valor",IF(tEditais[[#This Row],[Valor foco homologado]]&gt;=FaixaA_Min,"A",IF(tEditais[[#This Row],[Valor foco homologado]]&gt;=FaixaB_Min,"B","C"))))</f>
        <v/>
      </c>
      <c r="P299" t="str">
        <f ca="1">IF(tEditais[[#This Row],[Encerramento]]&gt;NOW(),"Aberto","Encerrado")</f>
        <v>Encerrado</v>
      </c>
    </row>
    <row r="300" spans="1:16" x14ac:dyDescent="0.25">
      <c r="A300" t="s">
        <v>1853</v>
      </c>
      <c r="B300" t="s">
        <v>1854</v>
      </c>
      <c r="C300" t="s">
        <v>1855</v>
      </c>
      <c r="D300" t="s">
        <v>1840</v>
      </c>
      <c r="E300" t="s">
        <v>716</v>
      </c>
      <c r="F300" s="11">
        <v>46304.583333333336</v>
      </c>
      <c r="G300">
        <v>155</v>
      </c>
      <c r="H300" t="s">
        <v>1856</v>
      </c>
      <c r="I300" t="s">
        <v>1857</v>
      </c>
      <c r="J300" t="str">
        <f>IF(ISNUMBER(SEARCH("registro de pre",tEditais[[#This Row],[Objeto]])),"Sim","Não")</f>
        <v>Sim</v>
      </c>
      <c r="K300" s="4">
        <f>COUNTIFS(tItens[Edital],tEditais[[#This Row],[Edital]])</f>
        <v>1</v>
      </c>
      <c r="L300" s="4">
        <f>COUNTIFS(tItens[Edital],tEditais[[#This Row],[Edital]],tItens[Foco],"Sim")</f>
        <v>0</v>
      </c>
      <c r="M300" s="8">
        <f>SUMIFS(tItens[Valor],tItens[Edital],tEditais[[#This Row],[Edital]])</f>
        <v>52020</v>
      </c>
      <c r="N300" s="8">
        <f>SUMIFS(tItens[Valor homologado],tItens[Edital],tEditais[[#This Row],[Edital]],tItens[Foco],"Sim")</f>
        <v>0</v>
      </c>
      <c r="O300" t="str">
        <f>IF(tEditais[[#This Row],[Itens do foco]]=0,"",IF(tEditais[[#This Row],[Valor foco homologado]]&lt;=0,"Sem valor",IF(tEditais[[#This Row],[Valor foco homologado]]&gt;=FaixaA_Min,"A",IF(tEditais[[#This Row],[Valor foco homologado]]&gt;=FaixaB_Min,"B","C"))))</f>
        <v/>
      </c>
      <c r="P300" t="str">
        <f ca="1">IF(tEditais[[#This Row],[Encerramento]]&gt;NOW(),"Aberto","Encerrado")</f>
        <v>Encerrado</v>
      </c>
    </row>
    <row r="301" spans="1:16" x14ac:dyDescent="0.25">
      <c r="A301" t="s">
        <v>1858</v>
      </c>
      <c r="B301" t="s">
        <v>1859</v>
      </c>
      <c r="C301" t="s">
        <v>1839</v>
      </c>
      <c r="D301" t="s">
        <v>1840</v>
      </c>
      <c r="E301" t="s">
        <v>800</v>
      </c>
      <c r="F301" s="11">
        <v>46307.583333333336</v>
      </c>
      <c r="G301">
        <v>7</v>
      </c>
      <c r="I301" t="s">
        <v>1860</v>
      </c>
      <c r="J301" t="str">
        <f>IF(ISNUMBER(SEARCH("registro de pre",tEditais[[#This Row],[Objeto]])),"Sim","Não")</f>
        <v>Não</v>
      </c>
      <c r="K301" s="4">
        <f>COUNTIFS(tItens[Edital],tEditais[[#This Row],[Edital]])</f>
        <v>3</v>
      </c>
      <c r="L301" s="4">
        <f>COUNTIFS(tItens[Edital],tEditais[[#This Row],[Edital]],tItens[Foco],"Sim")</f>
        <v>0</v>
      </c>
      <c r="M301" s="8">
        <f>SUMIFS(tItens[Valor],tItens[Edital],tEditais[[#This Row],[Edital]])</f>
        <v>31245</v>
      </c>
      <c r="N301" s="8">
        <f>SUMIFS(tItens[Valor homologado],tItens[Edital],tEditais[[#This Row],[Edital]],tItens[Foco],"Sim")</f>
        <v>0</v>
      </c>
      <c r="O301" t="str">
        <f>IF(tEditais[[#This Row],[Itens do foco]]=0,"",IF(tEditais[[#This Row],[Valor foco homologado]]&lt;=0,"Sem valor",IF(tEditais[[#This Row],[Valor foco homologado]]&gt;=FaixaA_Min,"A",IF(tEditais[[#This Row],[Valor foco homologado]]&gt;=FaixaB_Min,"B","C"))))</f>
        <v/>
      </c>
      <c r="P301" t="str">
        <f ca="1">IF(tEditais[[#This Row],[Encerramento]]&gt;NOW(),"Aberto","Encerrado")</f>
        <v>Encerrado</v>
      </c>
    </row>
    <row r="302" spans="1:16" x14ac:dyDescent="0.25">
      <c r="A302" t="s">
        <v>1861</v>
      </c>
      <c r="B302" t="s">
        <v>1862</v>
      </c>
      <c r="C302" t="s">
        <v>1863</v>
      </c>
      <c r="D302" t="s">
        <v>1840</v>
      </c>
      <c r="E302" t="s">
        <v>716</v>
      </c>
      <c r="F302" s="11">
        <v>46308.333333333336</v>
      </c>
      <c r="G302">
        <v>235</v>
      </c>
      <c r="H302" t="s">
        <v>1864</v>
      </c>
      <c r="I302" t="s">
        <v>1865</v>
      </c>
      <c r="J302" t="str">
        <f>IF(ISNUMBER(SEARCH("registro de pre",tEditais[[#This Row],[Objeto]])),"Sim","Não")</f>
        <v>Sim</v>
      </c>
      <c r="K302" s="4">
        <f>COUNTIFS(tItens[Edital],tEditais[[#This Row],[Edital]])</f>
        <v>105</v>
      </c>
      <c r="L302" s="4">
        <f>COUNTIFS(tItens[Edital],tEditais[[#This Row],[Edital]],tItens[Foco],"Sim")</f>
        <v>10</v>
      </c>
      <c r="M302" s="8">
        <f>SUMIFS(tItens[Valor],tItens[Edital],tEditais[[#This Row],[Edital]])</f>
        <v>1091468.1000000001</v>
      </c>
      <c r="N302" s="8">
        <f>SUMIFS(tItens[Valor homologado],tItens[Edital],tEditais[[#This Row],[Edital]],tItens[Foco],"Sim")</f>
        <v>35926.18</v>
      </c>
      <c r="O302" t="str">
        <f>IF(tEditais[[#This Row],[Itens do foco]]=0,"",IF(tEditais[[#This Row],[Valor foco homologado]]&lt;=0,"Sem valor",IF(tEditais[[#This Row],[Valor foco homologado]]&gt;=FaixaA_Min,"A",IF(tEditais[[#This Row],[Valor foco homologado]]&gt;=FaixaB_Min,"B","C"))))</f>
        <v>C</v>
      </c>
      <c r="P302" t="str">
        <f ca="1">IF(tEditais[[#This Row],[Encerramento]]&gt;NOW(),"Aberto","Encerrado")</f>
        <v>Encerrado</v>
      </c>
    </row>
    <row r="303" spans="1:16" x14ac:dyDescent="0.25">
      <c r="A303" t="s">
        <v>1866</v>
      </c>
      <c r="B303" t="s">
        <v>752</v>
      </c>
      <c r="C303" t="s">
        <v>1867</v>
      </c>
      <c r="D303" t="s">
        <v>1840</v>
      </c>
      <c r="E303" t="s">
        <v>716</v>
      </c>
      <c r="F303" s="11">
        <v>46308.375</v>
      </c>
      <c r="G303">
        <v>55</v>
      </c>
      <c r="H303" t="s">
        <v>1868</v>
      </c>
      <c r="I303" t="s">
        <v>1869</v>
      </c>
      <c r="J303" t="str">
        <f>IF(ISNUMBER(SEARCH("registro de pre",tEditais[[#This Row],[Objeto]])),"Sim","Não")</f>
        <v>Sim</v>
      </c>
      <c r="K303" s="4">
        <f>COUNTIFS(tItens[Edital],tEditais[[#This Row],[Edital]])</f>
        <v>2</v>
      </c>
      <c r="L303" s="4">
        <f>COUNTIFS(tItens[Edital],tEditais[[#This Row],[Edital]],tItens[Foco],"Sim")</f>
        <v>0</v>
      </c>
      <c r="M303" s="8">
        <f>SUMIFS(tItens[Valor],tItens[Edital],tEditais[[#This Row],[Edital]])</f>
        <v>924.14</v>
      </c>
      <c r="N303" s="8">
        <f>SUMIFS(tItens[Valor homologado],tItens[Edital],tEditais[[#This Row],[Edital]],tItens[Foco],"Sim")</f>
        <v>0</v>
      </c>
      <c r="O303" t="str">
        <f>IF(tEditais[[#This Row],[Itens do foco]]=0,"",IF(tEditais[[#This Row],[Valor foco homologado]]&lt;=0,"Sem valor",IF(tEditais[[#This Row],[Valor foco homologado]]&gt;=FaixaA_Min,"A",IF(tEditais[[#This Row],[Valor foco homologado]]&gt;=FaixaB_Min,"B","C"))))</f>
        <v/>
      </c>
      <c r="P303" t="str">
        <f ca="1">IF(tEditais[[#This Row],[Encerramento]]&gt;NOW(),"Aberto","Encerrado")</f>
        <v>Encerrado</v>
      </c>
    </row>
    <row r="304" spans="1:16" x14ac:dyDescent="0.25">
      <c r="A304" t="s">
        <v>1870</v>
      </c>
      <c r="B304" t="s">
        <v>1871</v>
      </c>
      <c r="C304" t="s">
        <v>1872</v>
      </c>
      <c r="D304" t="s">
        <v>1840</v>
      </c>
      <c r="E304" t="s">
        <v>716</v>
      </c>
      <c r="F304" s="11">
        <v>46308.375</v>
      </c>
      <c r="G304">
        <v>336</v>
      </c>
      <c r="H304" t="s">
        <v>1873</v>
      </c>
      <c r="I304" t="s">
        <v>1874</v>
      </c>
      <c r="J304" t="str">
        <f>IF(ISNUMBER(SEARCH("registro de pre",tEditais[[#This Row],[Objeto]])),"Sim","Não")</f>
        <v>Não</v>
      </c>
      <c r="K304" s="4">
        <f>COUNTIFS(tItens[Edital],tEditais[[#This Row],[Edital]])</f>
        <v>126</v>
      </c>
      <c r="L304" s="4">
        <f>COUNTIFS(tItens[Edital],tEditais[[#This Row],[Edital]],tItens[Foco],"Sim")</f>
        <v>14</v>
      </c>
      <c r="M304" s="8">
        <f>SUMIFS(tItens[Valor],tItens[Edital],tEditais[[#This Row],[Edital]])</f>
        <v>984272.94000000018</v>
      </c>
      <c r="N304" s="8">
        <f>SUMIFS(tItens[Valor homologado],tItens[Edital],tEditais[[#This Row],[Edital]],tItens[Foco],"Sim")</f>
        <v>25498.777299999998</v>
      </c>
      <c r="O304" t="str">
        <f>IF(tEditais[[#This Row],[Itens do foco]]=0,"",IF(tEditais[[#This Row],[Valor foco homologado]]&lt;=0,"Sem valor",IF(tEditais[[#This Row],[Valor foco homologado]]&gt;=FaixaA_Min,"A",IF(tEditais[[#This Row],[Valor foco homologado]]&gt;=FaixaB_Min,"B","C"))))</f>
        <v>C</v>
      </c>
      <c r="P304" t="str">
        <f ca="1">IF(tEditais[[#This Row],[Encerramento]]&gt;NOW(),"Aberto","Encerrado")</f>
        <v>Encerrado</v>
      </c>
    </row>
    <row r="305" spans="1:16" x14ac:dyDescent="0.25">
      <c r="A305" t="s">
        <v>1875</v>
      </c>
      <c r="B305" t="s">
        <v>752</v>
      </c>
      <c r="C305" t="s">
        <v>1867</v>
      </c>
      <c r="D305" t="s">
        <v>1840</v>
      </c>
      <c r="E305" t="s">
        <v>716</v>
      </c>
      <c r="F305" s="11">
        <v>46308.375</v>
      </c>
      <c r="G305">
        <v>29</v>
      </c>
      <c r="H305" t="s">
        <v>1876</v>
      </c>
      <c r="I305" t="s">
        <v>1877</v>
      </c>
      <c r="J305" t="str">
        <f>IF(ISNUMBER(SEARCH("registro de pre",tEditais[[#This Row],[Objeto]])),"Sim","Não")</f>
        <v>Sim</v>
      </c>
      <c r="K305" s="4">
        <f>COUNTIFS(tItens[Edital],tEditais[[#This Row],[Edital]])</f>
        <v>11</v>
      </c>
      <c r="L305" s="4">
        <f>COUNTIFS(tItens[Edital],tEditais[[#This Row],[Edital]],tItens[Foco],"Sim")</f>
        <v>4</v>
      </c>
      <c r="M305" s="8">
        <f>SUMIFS(tItens[Valor],tItens[Edital],tEditais[[#This Row],[Edital]])</f>
        <v>54571.200000000004</v>
      </c>
      <c r="N305" s="8">
        <f>SUMIFS(tItens[Valor homologado],tItens[Edital],tEditais[[#This Row],[Edital]],tItens[Foco],"Sim")</f>
        <v>407.56400000000008</v>
      </c>
      <c r="O305" t="str">
        <f>IF(tEditais[[#This Row],[Itens do foco]]=0,"",IF(tEditais[[#This Row],[Valor foco homologado]]&lt;=0,"Sem valor",IF(tEditais[[#This Row],[Valor foco homologado]]&gt;=FaixaA_Min,"A",IF(tEditais[[#This Row],[Valor foco homologado]]&gt;=FaixaB_Min,"B","C"))))</f>
        <v>C</v>
      </c>
      <c r="P305" t="str">
        <f ca="1">IF(tEditais[[#This Row],[Encerramento]]&gt;NOW(),"Aberto","Encerrado")</f>
        <v>Encerrado</v>
      </c>
    </row>
    <row r="306" spans="1:16" x14ac:dyDescent="0.25">
      <c r="A306" t="s">
        <v>1878</v>
      </c>
      <c r="B306" t="s">
        <v>1879</v>
      </c>
      <c r="C306" t="s">
        <v>1880</v>
      </c>
      <c r="D306" t="s">
        <v>1840</v>
      </c>
      <c r="E306" t="s">
        <v>716</v>
      </c>
      <c r="F306" s="11">
        <v>46308.416666666664</v>
      </c>
      <c r="G306">
        <v>122</v>
      </c>
      <c r="H306" t="s">
        <v>1881</v>
      </c>
      <c r="I306" t="s">
        <v>1882</v>
      </c>
      <c r="J306" t="str">
        <f>IF(ISNUMBER(SEARCH("registro de pre",tEditais[[#This Row],[Objeto]])),"Sim","Não")</f>
        <v>Sim</v>
      </c>
      <c r="K306" s="4">
        <f>COUNTIFS(tItens[Edital],tEditais[[#This Row],[Edital]])</f>
        <v>10</v>
      </c>
      <c r="L306" s="4">
        <f>COUNTIFS(tItens[Edital],tEditais[[#This Row],[Edital]],tItens[Foco],"Sim")</f>
        <v>0</v>
      </c>
      <c r="M306" s="8">
        <f>SUMIFS(tItens[Valor],tItens[Edital],tEditais[[#This Row],[Edital]])</f>
        <v>11466.05</v>
      </c>
      <c r="N306" s="8">
        <f>SUMIFS(tItens[Valor homologado],tItens[Edital],tEditais[[#This Row],[Edital]],tItens[Foco],"Sim")</f>
        <v>0</v>
      </c>
      <c r="O306" t="str">
        <f>IF(tEditais[[#This Row],[Itens do foco]]=0,"",IF(tEditais[[#This Row],[Valor foco homologado]]&lt;=0,"Sem valor",IF(tEditais[[#This Row],[Valor foco homologado]]&gt;=FaixaA_Min,"A",IF(tEditais[[#This Row],[Valor foco homologado]]&gt;=FaixaB_Min,"B","C"))))</f>
        <v/>
      </c>
      <c r="P306" t="str">
        <f ca="1">IF(tEditais[[#This Row],[Encerramento]]&gt;NOW(),"Aberto","Encerrado")</f>
        <v>Encerrado</v>
      </c>
    </row>
    <row r="307" spans="1:16" x14ac:dyDescent="0.25">
      <c r="A307" t="s">
        <v>1883</v>
      </c>
      <c r="B307" t="s">
        <v>1884</v>
      </c>
      <c r="C307" t="s">
        <v>1885</v>
      </c>
      <c r="D307" t="s">
        <v>1840</v>
      </c>
      <c r="E307" t="s">
        <v>800</v>
      </c>
      <c r="F307" s="11">
        <v>46309.333333333336</v>
      </c>
      <c r="G307">
        <v>10</v>
      </c>
      <c r="H307" t="s">
        <v>1886</v>
      </c>
      <c r="I307" t="s">
        <v>1887</v>
      </c>
      <c r="J307" t="str">
        <f>IF(ISNUMBER(SEARCH("registro de pre",tEditais[[#This Row],[Objeto]])),"Sim","Não")</f>
        <v>Não</v>
      </c>
      <c r="K307" s="4">
        <f>COUNTIFS(tItens[Edital],tEditais[[#This Row],[Edital]])</f>
        <v>2</v>
      </c>
      <c r="L307" s="4">
        <f>COUNTIFS(tItens[Edital],tEditais[[#This Row],[Edital]],tItens[Foco],"Sim")</f>
        <v>0</v>
      </c>
      <c r="M307" s="8">
        <f>SUMIFS(tItens[Valor],tItens[Edital],tEditais[[#This Row],[Edital]])</f>
        <v>1077.3599999999999</v>
      </c>
      <c r="N307" s="8">
        <f>SUMIFS(tItens[Valor homologado],tItens[Edital],tEditais[[#This Row],[Edital]],tItens[Foco],"Sim")</f>
        <v>0</v>
      </c>
      <c r="O307" t="str">
        <f>IF(tEditais[[#This Row],[Itens do foco]]=0,"",IF(tEditais[[#This Row],[Valor foco homologado]]&lt;=0,"Sem valor",IF(tEditais[[#This Row],[Valor foco homologado]]&gt;=FaixaA_Min,"A",IF(tEditais[[#This Row],[Valor foco homologado]]&gt;=FaixaB_Min,"B","C"))))</f>
        <v/>
      </c>
      <c r="P307" t="str">
        <f ca="1">IF(tEditais[[#This Row],[Encerramento]]&gt;NOW(),"Aberto","Encerrado")</f>
        <v>Encerrado</v>
      </c>
    </row>
    <row r="308" spans="1:16" x14ac:dyDescent="0.25">
      <c r="A308" t="s">
        <v>1888</v>
      </c>
      <c r="B308" t="s">
        <v>1889</v>
      </c>
      <c r="C308" t="s">
        <v>1890</v>
      </c>
      <c r="D308" t="s">
        <v>1840</v>
      </c>
      <c r="E308" t="s">
        <v>716</v>
      </c>
      <c r="F308" s="11">
        <v>46309.333333333336</v>
      </c>
      <c r="G308">
        <v>48</v>
      </c>
      <c r="H308" t="s">
        <v>1891</v>
      </c>
      <c r="I308" t="s">
        <v>1892</v>
      </c>
      <c r="J308" t="str">
        <f>IF(ISNUMBER(SEARCH("registro de pre",tEditais[[#This Row],[Objeto]])),"Sim","Não")</f>
        <v>Sim</v>
      </c>
      <c r="K308" s="4">
        <f>COUNTIFS(tItens[Edital],tEditais[[#This Row],[Edital]])</f>
        <v>1</v>
      </c>
      <c r="L308" s="4">
        <f>COUNTIFS(tItens[Edital],tEditais[[#This Row],[Edital]],tItens[Foco],"Sim")</f>
        <v>0</v>
      </c>
      <c r="M308" s="8">
        <f>SUMIFS(tItens[Valor],tItens[Edital],tEditais[[#This Row],[Edital]])</f>
        <v>609.09999999999991</v>
      </c>
      <c r="N308" s="8">
        <f>SUMIFS(tItens[Valor homologado],tItens[Edital],tEditais[[#This Row],[Edital]],tItens[Foco],"Sim")</f>
        <v>0</v>
      </c>
      <c r="O308" t="str">
        <f>IF(tEditais[[#This Row],[Itens do foco]]=0,"",IF(tEditais[[#This Row],[Valor foco homologado]]&lt;=0,"Sem valor",IF(tEditais[[#This Row],[Valor foco homologado]]&gt;=FaixaA_Min,"A",IF(tEditais[[#This Row],[Valor foco homologado]]&gt;=FaixaB_Min,"B","C"))))</f>
        <v/>
      </c>
      <c r="P308" t="str">
        <f ca="1">IF(tEditais[[#This Row],[Encerramento]]&gt;NOW(),"Aberto","Encerrado")</f>
        <v>Encerrado</v>
      </c>
    </row>
    <row r="309" spans="1:16" x14ac:dyDescent="0.25">
      <c r="A309" t="s">
        <v>1893</v>
      </c>
      <c r="B309" t="s">
        <v>1838</v>
      </c>
      <c r="C309" t="s">
        <v>1839</v>
      </c>
      <c r="D309" t="s">
        <v>1840</v>
      </c>
      <c r="E309" t="s">
        <v>716</v>
      </c>
      <c r="F309" s="11">
        <v>46309.374305555553</v>
      </c>
      <c r="G309">
        <v>5</v>
      </c>
      <c r="H309" t="s">
        <v>1894</v>
      </c>
      <c r="I309" t="s">
        <v>1895</v>
      </c>
      <c r="J309" t="str">
        <f>IF(ISNUMBER(SEARCH("registro de pre",tEditais[[#This Row],[Objeto]])),"Sim","Não")</f>
        <v>Sim</v>
      </c>
      <c r="K309" s="4">
        <f>COUNTIFS(tItens[Edital],tEditais[[#This Row],[Edital]])</f>
        <v>1</v>
      </c>
      <c r="L309" s="4">
        <f>COUNTIFS(tItens[Edital],tEditais[[#This Row],[Edital]],tItens[Foco],"Sim")</f>
        <v>0</v>
      </c>
      <c r="M309" s="8">
        <f>SUMIFS(tItens[Valor],tItens[Edital],tEditais[[#This Row],[Edital]])</f>
        <v>38586.239999999998</v>
      </c>
      <c r="N309" s="8">
        <f>SUMIFS(tItens[Valor homologado],tItens[Edital],tEditais[[#This Row],[Edital]],tItens[Foco],"Sim")</f>
        <v>0</v>
      </c>
      <c r="O309" t="str">
        <f>IF(tEditais[[#This Row],[Itens do foco]]=0,"",IF(tEditais[[#This Row],[Valor foco homologado]]&lt;=0,"Sem valor",IF(tEditais[[#This Row],[Valor foco homologado]]&gt;=FaixaA_Min,"A",IF(tEditais[[#This Row],[Valor foco homologado]]&gt;=FaixaB_Min,"B","C"))))</f>
        <v/>
      </c>
      <c r="P309" t="str">
        <f ca="1">IF(tEditais[[#This Row],[Encerramento]]&gt;NOW(),"Aberto","Encerrado")</f>
        <v>Encerrado</v>
      </c>
    </row>
    <row r="310" spans="1:16" x14ac:dyDescent="0.25">
      <c r="A310" t="s">
        <v>1896</v>
      </c>
      <c r="B310" t="s">
        <v>1897</v>
      </c>
      <c r="C310" t="s">
        <v>1839</v>
      </c>
      <c r="D310" t="s">
        <v>1840</v>
      </c>
      <c r="E310" t="s">
        <v>800</v>
      </c>
      <c r="F310" s="11">
        <v>46309.375</v>
      </c>
      <c r="G310">
        <v>9</v>
      </c>
      <c r="I310" t="s">
        <v>1898</v>
      </c>
      <c r="J310" t="str">
        <f>IF(ISNUMBER(SEARCH("registro de pre",tEditais[[#This Row],[Objeto]])),"Sim","Não")</f>
        <v>Não</v>
      </c>
      <c r="K310" s="4">
        <f>COUNTIFS(tItens[Edital],tEditais[[#This Row],[Edital]])</f>
        <v>4</v>
      </c>
      <c r="L310" s="4">
        <f>COUNTIFS(tItens[Edital],tEditais[[#This Row],[Edital]],tItens[Foco],"Sim")</f>
        <v>0</v>
      </c>
      <c r="M310" s="8">
        <f>SUMIFS(tItens[Valor],tItens[Edital],tEditais[[#This Row],[Edital]])</f>
        <v>12698.48</v>
      </c>
      <c r="N310" s="8">
        <f>SUMIFS(tItens[Valor homologado],tItens[Edital],tEditais[[#This Row],[Edital]],tItens[Foco],"Sim")</f>
        <v>0</v>
      </c>
      <c r="O310" t="str">
        <f>IF(tEditais[[#This Row],[Itens do foco]]=0,"",IF(tEditais[[#This Row],[Valor foco homologado]]&lt;=0,"Sem valor",IF(tEditais[[#This Row],[Valor foco homologado]]&gt;=FaixaA_Min,"A",IF(tEditais[[#This Row],[Valor foco homologado]]&gt;=FaixaB_Min,"B","C"))))</f>
        <v/>
      </c>
      <c r="P310" t="str">
        <f ca="1">IF(tEditais[[#This Row],[Encerramento]]&gt;NOW(),"Aberto","Encerrado")</f>
        <v>Encerrado</v>
      </c>
    </row>
    <row r="311" spans="1:16" x14ac:dyDescent="0.25">
      <c r="A311" t="s">
        <v>1899</v>
      </c>
      <c r="B311" t="s">
        <v>752</v>
      </c>
      <c r="C311" t="s">
        <v>1900</v>
      </c>
      <c r="D311" t="s">
        <v>1840</v>
      </c>
      <c r="E311" t="s">
        <v>716</v>
      </c>
      <c r="F311" s="11">
        <v>46309.375</v>
      </c>
      <c r="G311">
        <v>89</v>
      </c>
      <c r="H311" t="s">
        <v>1901</v>
      </c>
      <c r="I311" t="s">
        <v>1902</v>
      </c>
      <c r="J311" t="str">
        <f>IF(ISNUMBER(SEARCH("registro de pre",tEditais[[#This Row],[Objeto]])),"Sim","Não")</f>
        <v>Não</v>
      </c>
      <c r="K311" s="4">
        <f>COUNTIFS(tItens[Edital],tEditais[[#This Row],[Edital]])</f>
        <v>2</v>
      </c>
      <c r="L311" s="4">
        <f>COUNTIFS(tItens[Edital],tEditais[[#This Row],[Edital]],tItens[Foco],"Sim")</f>
        <v>0</v>
      </c>
      <c r="M311" s="8">
        <f>SUMIFS(tItens[Valor],tItens[Edital],tEditais[[#This Row],[Edital]])</f>
        <v>19466</v>
      </c>
      <c r="N311" s="8">
        <f>SUMIFS(tItens[Valor homologado],tItens[Edital],tEditais[[#This Row],[Edital]],tItens[Foco],"Sim")</f>
        <v>0</v>
      </c>
      <c r="O311" t="str">
        <f>IF(tEditais[[#This Row],[Itens do foco]]=0,"",IF(tEditais[[#This Row],[Valor foco homologado]]&lt;=0,"Sem valor",IF(tEditais[[#This Row],[Valor foco homologado]]&gt;=FaixaA_Min,"A",IF(tEditais[[#This Row],[Valor foco homologado]]&gt;=FaixaB_Min,"B","C"))))</f>
        <v/>
      </c>
      <c r="P311" t="str">
        <f ca="1">IF(tEditais[[#This Row],[Encerramento]]&gt;NOW(),"Aberto","Encerrado")</f>
        <v>Encerrado</v>
      </c>
    </row>
    <row r="312" spans="1:16" x14ac:dyDescent="0.25">
      <c r="A312" t="s">
        <v>1903</v>
      </c>
      <c r="B312" t="s">
        <v>1904</v>
      </c>
      <c r="C312" t="s">
        <v>1839</v>
      </c>
      <c r="D312" t="s">
        <v>1840</v>
      </c>
      <c r="E312" t="s">
        <v>800</v>
      </c>
      <c r="F312" s="11">
        <v>46309.395833333336</v>
      </c>
      <c r="G312">
        <v>1</v>
      </c>
      <c r="I312" t="s">
        <v>1905</v>
      </c>
      <c r="J312" t="str">
        <f>IF(ISNUMBER(SEARCH("registro de pre",tEditais[[#This Row],[Objeto]])),"Sim","Não")</f>
        <v>Não</v>
      </c>
      <c r="K312" s="4">
        <f>COUNTIFS(tItens[Edital],tEditais[[#This Row],[Edital]])</f>
        <v>1</v>
      </c>
      <c r="L312" s="4">
        <f>COUNTIFS(tItens[Edital],tEditais[[#This Row],[Edital]],tItens[Foco],"Sim")</f>
        <v>0</v>
      </c>
      <c r="M312" s="8">
        <f>SUMIFS(tItens[Valor],tItens[Edital],tEditais[[#This Row],[Edital]])</f>
        <v>49504.740000000005</v>
      </c>
      <c r="N312" s="8">
        <f>SUMIFS(tItens[Valor homologado],tItens[Edital],tEditais[[#This Row],[Edital]],tItens[Foco],"Sim")</f>
        <v>0</v>
      </c>
      <c r="O312" t="str">
        <f>IF(tEditais[[#This Row],[Itens do foco]]=0,"",IF(tEditais[[#This Row],[Valor foco homologado]]&lt;=0,"Sem valor",IF(tEditais[[#This Row],[Valor foco homologado]]&gt;=FaixaA_Min,"A",IF(tEditais[[#This Row],[Valor foco homologado]]&gt;=FaixaB_Min,"B","C"))))</f>
        <v/>
      </c>
      <c r="P312" t="str">
        <f ca="1">IF(tEditais[[#This Row],[Encerramento]]&gt;NOW(),"Aberto","Encerrado")</f>
        <v>Encerrado</v>
      </c>
    </row>
    <row r="313" spans="1:16" x14ac:dyDescent="0.25">
      <c r="A313" t="s">
        <v>1906</v>
      </c>
      <c r="B313" t="s">
        <v>1907</v>
      </c>
      <c r="C313" t="s">
        <v>1908</v>
      </c>
      <c r="D313" t="s">
        <v>1840</v>
      </c>
      <c r="E313" t="s">
        <v>716</v>
      </c>
      <c r="F313" s="11">
        <v>46309.416666666664</v>
      </c>
      <c r="G313">
        <v>23</v>
      </c>
      <c r="H313" t="s">
        <v>1909</v>
      </c>
      <c r="I313" t="s">
        <v>1910</v>
      </c>
      <c r="J313" t="str">
        <f>IF(ISNUMBER(SEARCH("registro de pre",tEditais[[#This Row],[Objeto]])),"Sim","Não")</f>
        <v>Sim</v>
      </c>
      <c r="K313" s="4">
        <f>COUNTIFS(tItens[Edital],tEditais[[#This Row],[Edital]])</f>
        <v>13</v>
      </c>
      <c r="L313" s="4">
        <f>COUNTIFS(tItens[Edital],tEditais[[#This Row],[Edital]],tItens[Foco],"Sim")</f>
        <v>0</v>
      </c>
      <c r="M313" s="8">
        <f>SUMIFS(tItens[Valor],tItens[Edital],tEditais[[#This Row],[Edital]])</f>
        <v>2382227.8400000003</v>
      </c>
      <c r="N313" s="8">
        <f>SUMIFS(tItens[Valor homologado],tItens[Edital],tEditais[[#This Row],[Edital]],tItens[Foco],"Sim")</f>
        <v>0</v>
      </c>
      <c r="O313" t="str">
        <f>IF(tEditais[[#This Row],[Itens do foco]]=0,"",IF(tEditais[[#This Row],[Valor foco homologado]]&lt;=0,"Sem valor",IF(tEditais[[#This Row],[Valor foco homologado]]&gt;=FaixaA_Min,"A",IF(tEditais[[#This Row],[Valor foco homologado]]&gt;=FaixaB_Min,"B","C"))))</f>
        <v/>
      </c>
      <c r="P313" t="str">
        <f ca="1">IF(tEditais[[#This Row],[Encerramento]]&gt;NOW(),"Aberto","Encerrado")</f>
        <v>Encerrado</v>
      </c>
    </row>
    <row r="314" spans="1:16" x14ac:dyDescent="0.25">
      <c r="A314" t="s">
        <v>1911</v>
      </c>
      <c r="B314" t="s">
        <v>752</v>
      </c>
      <c r="C314" t="s">
        <v>1912</v>
      </c>
      <c r="D314" t="s">
        <v>1840</v>
      </c>
      <c r="E314" t="s">
        <v>716</v>
      </c>
      <c r="F314" s="11">
        <v>46310.333333333336</v>
      </c>
      <c r="G314">
        <v>110</v>
      </c>
      <c r="H314" t="s">
        <v>1913</v>
      </c>
      <c r="I314" t="s">
        <v>1914</v>
      </c>
      <c r="J314" t="str">
        <f>IF(ISNUMBER(SEARCH("registro de pre",tEditais[[#This Row],[Objeto]])),"Sim","Não")</f>
        <v>Sim</v>
      </c>
      <c r="K314" s="4">
        <f>COUNTIFS(tItens[Edital],tEditais[[#This Row],[Edital]])</f>
        <v>50</v>
      </c>
      <c r="L314" s="4">
        <f>COUNTIFS(tItens[Edital],tEditais[[#This Row],[Edital]],tItens[Foco],"Sim")</f>
        <v>3</v>
      </c>
      <c r="M314" s="8">
        <f>SUMIFS(tItens[Valor],tItens[Edital],tEditais[[#This Row],[Edital]])</f>
        <v>119343.86999999998</v>
      </c>
      <c r="N314" s="8">
        <f>SUMIFS(tItens[Valor homologado],tItens[Edital],tEditais[[#This Row],[Edital]],tItens[Foco],"Sim")</f>
        <v>7812.663599999999</v>
      </c>
      <c r="O314" t="str">
        <f>IF(tEditais[[#This Row],[Itens do foco]]=0,"",IF(tEditais[[#This Row],[Valor foco homologado]]&lt;=0,"Sem valor",IF(tEditais[[#This Row],[Valor foco homologado]]&gt;=FaixaA_Min,"A",IF(tEditais[[#This Row],[Valor foco homologado]]&gt;=FaixaB_Min,"B","C"))))</f>
        <v>C</v>
      </c>
      <c r="P314" t="str">
        <f ca="1">IF(tEditais[[#This Row],[Encerramento]]&gt;NOW(),"Aberto","Encerrado")</f>
        <v>Encerrado</v>
      </c>
    </row>
    <row r="315" spans="1:16" x14ac:dyDescent="0.25">
      <c r="A315" t="s">
        <v>1915</v>
      </c>
      <c r="B315" t="s">
        <v>1916</v>
      </c>
      <c r="C315" t="s">
        <v>1839</v>
      </c>
      <c r="D315" t="s">
        <v>1840</v>
      </c>
      <c r="E315" t="s">
        <v>800</v>
      </c>
      <c r="F315" s="11">
        <v>46310.333333333336</v>
      </c>
      <c r="G315">
        <v>42</v>
      </c>
      <c r="H315" t="s">
        <v>1917</v>
      </c>
      <c r="I315" t="s">
        <v>1918</v>
      </c>
      <c r="J315" t="str">
        <f>IF(ISNUMBER(SEARCH("registro de pre",tEditais[[#This Row],[Objeto]])),"Sim","Não")</f>
        <v>Não</v>
      </c>
      <c r="K315" s="4">
        <f>COUNTIFS(tItens[Edital],tEditais[[#This Row],[Edital]])</f>
        <v>4</v>
      </c>
      <c r="L315" s="4">
        <f>COUNTIFS(tItens[Edital],tEditais[[#This Row],[Edital]],tItens[Foco],"Sim")</f>
        <v>1</v>
      </c>
      <c r="M315" s="8">
        <f>SUMIFS(tItens[Valor],tItens[Edital],tEditais[[#This Row],[Edital]])</f>
        <v>1660.3</v>
      </c>
      <c r="N315" s="8">
        <f>SUMIFS(tItens[Valor homologado],tItens[Edital],tEditais[[#This Row],[Edital]],tItens[Foco],"Sim")</f>
        <v>39.998999999999995</v>
      </c>
      <c r="O315" t="str">
        <f>IF(tEditais[[#This Row],[Itens do foco]]=0,"",IF(tEditais[[#This Row],[Valor foco homologado]]&lt;=0,"Sem valor",IF(tEditais[[#This Row],[Valor foco homologado]]&gt;=FaixaA_Min,"A",IF(tEditais[[#This Row],[Valor foco homologado]]&gt;=FaixaB_Min,"B","C"))))</f>
        <v>C</v>
      </c>
      <c r="P315" t="str">
        <f ca="1">IF(tEditais[[#This Row],[Encerramento]]&gt;NOW(),"Aberto","Encerrado")</f>
        <v>Encerrado</v>
      </c>
    </row>
    <row r="316" spans="1:16" x14ac:dyDescent="0.25">
      <c r="A316" t="s">
        <v>1919</v>
      </c>
      <c r="B316" t="s">
        <v>1871</v>
      </c>
      <c r="C316" t="s">
        <v>1872</v>
      </c>
      <c r="D316" t="s">
        <v>1840</v>
      </c>
      <c r="E316" t="s">
        <v>716</v>
      </c>
      <c r="F316" s="11">
        <v>46310.375</v>
      </c>
      <c r="G316">
        <v>117</v>
      </c>
      <c r="H316" t="s">
        <v>1920</v>
      </c>
      <c r="I316" t="s">
        <v>1921</v>
      </c>
      <c r="J316" t="str">
        <f>IF(ISNUMBER(SEARCH("registro de pre",tEditais[[#This Row],[Objeto]])),"Sim","Não")</f>
        <v>Não</v>
      </c>
      <c r="K316" s="4">
        <f>COUNTIFS(tItens[Edital],tEditais[[#This Row],[Edital]])</f>
        <v>7</v>
      </c>
      <c r="L316" s="4">
        <f>COUNTIFS(tItens[Edital],tEditais[[#This Row],[Edital]],tItens[Foco],"Sim")</f>
        <v>1</v>
      </c>
      <c r="M316" s="8">
        <f>SUMIFS(tItens[Valor],tItens[Edital],tEditais[[#This Row],[Edital]])</f>
        <v>11878.050000000001</v>
      </c>
      <c r="N316" s="8">
        <f>SUMIFS(tItens[Valor homologado],tItens[Edital],tEditais[[#This Row],[Edital]],tItens[Foco],"Sim")</f>
        <v>353.29</v>
      </c>
      <c r="O316" t="str">
        <f>IF(tEditais[[#This Row],[Itens do foco]]=0,"",IF(tEditais[[#This Row],[Valor foco homologado]]&lt;=0,"Sem valor",IF(tEditais[[#This Row],[Valor foco homologado]]&gt;=FaixaA_Min,"A",IF(tEditais[[#This Row],[Valor foco homologado]]&gt;=FaixaB_Min,"B","C"))))</f>
        <v>C</v>
      </c>
      <c r="P316" t="str">
        <f ca="1">IF(tEditais[[#This Row],[Encerramento]]&gt;NOW(),"Aberto","Encerrado")</f>
        <v>Encerrado</v>
      </c>
    </row>
    <row r="317" spans="1:16" x14ac:dyDescent="0.25">
      <c r="A317" t="s">
        <v>1922</v>
      </c>
      <c r="B317" t="s">
        <v>1923</v>
      </c>
      <c r="C317" t="s">
        <v>1839</v>
      </c>
      <c r="D317" t="s">
        <v>1840</v>
      </c>
      <c r="E317" t="s">
        <v>716</v>
      </c>
      <c r="F317" s="11">
        <v>46311.333333333336</v>
      </c>
      <c r="G317">
        <v>41</v>
      </c>
      <c r="H317" t="s">
        <v>1924</v>
      </c>
      <c r="I317" t="s">
        <v>1925</v>
      </c>
      <c r="J317" t="str">
        <f>IF(ISNUMBER(SEARCH("registro de pre",tEditais[[#This Row],[Objeto]])),"Sim","Não")</f>
        <v>Não</v>
      </c>
      <c r="K317" s="4">
        <f>COUNTIFS(tItens[Edital],tEditais[[#This Row],[Edital]])</f>
        <v>2</v>
      </c>
      <c r="L317" s="4">
        <f>COUNTIFS(tItens[Edital],tEditais[[#This Row],[Edital]],tItens[Foco],"Sim")</f>
        <v>0</v>
      </c>
      <c r="M317" s="8">
        <f>SUMIFS(tItens[Valor],tItens[Edital],tEditais[[#This Row],[Edital]])</f>
        <v>11364.8</v>
      </c>
      <c r="N317" s="8">
        <f>SUMIFS(tItens[Valor homologado],tItens[Edital],tEditais[[#This Row],[Edital]],tItens[Foco],"Sim")</f>
        <v>0</v>
      </c>
      <c r="O317" t="str">
        <f>IF(tEditais[[#This Row],[Itens do foco]]=0,"",IF(tEditais[[#This Row],[Valor foco homologado]]&lt;=0,"Sem valor",IF(tEditais[[#This Row],[Valor foco homologado]]&gt;=FaixaA_Min,"A",IF(tEditais[[#This Row],[Valor foco homologado]]&gt;=FaixaB_Min,"B","C"))))</f>
        <v/>
      </c>
      <c r="P317" t="str">
        <f ca="1">IF(tEditais[[#This Row],[Encerramento]]&gt;NOW(),"Aberto","Encerrado")</f>
        <v>Aberto</v>
      </c>
    </row>
    <row r="318" spans="1:16" x14ac:dyDescent="0.25">
      <c r="A318" t="s">
        <v>1926</v>
      </c>
      <c r="B318" t="s">
        <v>1927</v>
      </c>
      <c r="C318" t="s">
        <v>1839</v>
      </c>
      <c r="D318" t="s">
        <v>1840</v>
      </c>
      <c r="E318" t="s">
        <v>800</v>
      </c>
      <c r="F318" s="11">
        <v>46311.333333333336</v>
      </c>
      <c r="G318">
        <v>21</v>
      </c>
      <c r="H318" t="s">
        <v>1928</v>
      </c>
      <c r="I318" t="s">
        <v>1929</v>
      </c>
      <c r="J318" t="str">
        <f>IF(ISNUMBER(SEARCH("registro de pre",tEditais[[#This Row],[Objeto]])),"Sim","Não")</f>
        <v>Não</v>
      </c>
      <c r="K318" s="4">
        <f>COUNTIFS(tItens[Edital],tEditais[[#This Row],[Edital]])</f>
        <v>1</v>
      </c>
      <c r="L318" s="4">
        <f>COUNTIFS(tItens[Edital],tEditais[[#This Row],[Edital]],tItens[Foco],"Sim")</f>
        <v>0</v>
      </c>
      <c r="M318" s="8">
        <f>SUMIFS(tItens[Valor],tItens[Edital],tEditais[[#This Row],[Edital]])</f>
        <v>288.39999999999998</v>
      </c>
      <c r="N318" s="8">
        <f>SUMIFS(tItens[Valor homologado],tItens[Edital],tEditais[[#This Row],[Edital]],tItens[Foco],"Sim")</f>
        <v>0</v>
      </c>
      <c r="O318" t="str">
        <f>IF(tEditais[[#This Row],[Itens do foco]]=0,"",IF(tEditais[[#This Row],[Valor foco homologado]]&lt;=0,"Sem valor",IF(tEditais[[#This Row],[Valor foco homologado]]&gt;=FaixaA_Min,"A",IF(tEditais[[#This Row],[Valor foco homologado]]&gt;=FaixaB_Min,"B","C"))))</f>
        <v/>
      </c>
      <c r="P318" t="str">
        <f ca="1">IF(tEditais[[#This Row],[Encerramento]]&gt;NOW(),"Aberto","Encerrado")</f>
        <v>Aberto</v>
      </c>
    </row>
    <row r="319" spans="1:16" x14ac:dyDescent="0.25">
      <c r="A319" t="s">
        <v>1930</v>
      </c>
      <c r="B319" t="s">
        <v>1838</v>
      </c>
      <c r="C319" t="s">
        <v>1839</v>
      </c>
      <c r="D319" t="s">
        <v>1840</v>
      </c>
      <c r="E319" t="s">
        <v>716</v>
      </c>
      <c r="F319" s="11">
        <v>46311.354166666664</v>
      </c>
      <c r="G319">
        <v>12</v>
      </c>
      <c r="I319" t="s">
        <v>1931</v>
      </c>
      <c r="J319" t="str">
        <f>IF(ISNUMBER(SEARCH("registro de pre",tEditais[[#This Row],[Objeto]])),"Sim","Não")</f>
        <v>Sim</v>
      </c>
      <c r="K319" s="4">
        <f>COUNTIFS(tItens[Edital],tEditais[[#This Row],[Edital]])</f>
        <v>10</v>
      </c>
      <c r="L319" s="4">
        <f>COUNTIFS(tItens[Edital],tEditais[[#This Row],[Edital]],tItens[Foco],"Sim")</f>
        <v>1</v>
      </c>
      <c r="M319" s="8">
        <f>SUMIFS(tItens[Valor],tItens[Edital],tEditais[[#This Row],[Edital]])</f>
        <v>193787.7</v>
      </c>
      <c r="N319" s="8">
        <f>SUMIFS(tItens[Valor homologado],tItens[Edital],tEditais[[#This Row],[Edital]],tItens[Foco],"Sim")</f>
        <v>44553.599999999999</v>
      </c>
      <c r="O319" t="str">
        <f>IF(tEditais[[#This Row],[Itens do foco]]=0,"",IF(tEditais[[#This Row],[Valor foco homologado]]&lt;=0,"Sem valor",IF(tEditais[[#This Row],[Valor foco homologado]]&gt;=FaixaA_Min,"A",IF(tEditais[[#This Row],[Valor foco homologado]]&gt;=FaixaB_Min,"B","C"))))</f>
        <v>C</v>
      </c>
      <c r="P319" t="str">
        <f ca="1">IF(tEditais[[#This Row],[Encerramento]]&gt;NOW(),"Aberto","Encerrado")</f>
        <v>Aberto</v>
      </c>
    </row>
    <row r="320" spans="1:16" x14ac:dyDescent="0.25">
      <c r="A320" t="s">
        <v>1932</v>
      </c>
      <c r="B320" t="s">
        <v>1933</v>
      </c>
      <c r="C320" t="s">
        <v>1839</v>
      </c>
      <c r="D320" t="s">
        <v>1840</v>
      </c>
      <c r="E320" t="s">
        <v>716</v>
      </c>
      <c r="F320" s="11">
        <v>46311.375</v>
      </c>
      <c r="G320">
        <v>40</v>
      </c>
      <c r="H320" t="s">
        <v>1934</v>
      </c>
      <c r="I320" t="s">
        <v>1935</v>
      </c>
      <c r="J320" t="str">
        <f>IF(ISNUMBER(SEARCH("registro de pre",tEditais[[#This Row],[Objeto]])),"Sim","Não")</f>
        <v>Sim</v>
      </c>
      <c r="K320" s="4">
        <f>COUNTIFS(tItens[Edital],tEditais[[#This Row],[Edital]])</f>
        <v>19</v>
      </c>
      <c r="L320" s="4">
        <f>COUNTIFS(tItens[Edital],tEditais[[#This Row],[Edital]],tItens[Foco],"Sim")</f>
        <v>6</v>
      </c>
      <c r="M320" s="8">
        <f>SUMIFS(tItens[Valor],tItens[Edital],tEditais[[#This Row],[Edital]])</f>
        <v>119747.4</v>
      </c>
      <c r="N320" s="8">
        <f>SUMIFS(tItens[Valor homologado],tItens[Edital],tEditais[[#This Row],[Edital]],tItens[Foco],"Sim")</f>
        <v>277.18400000000003</v>
      </c>
      <c r="O320" t="str">
        <f>IF(tEditais[[#This Row],[Itens do foco]]=0,"",IF(tEditais[[#This Row],[Valor foco homologado]]&lt;=0,"Sem valor",IF(tEditais[[#This Row],[Valor foco homologado]]&gt;=FaixaA_Min,"A",IF(tEditais[[#This Row],[Valor foco homologado]]&gt;=FaixaB_Min,"B","C"))))</f>
        <v>C</v>
      </c>
      <c r="P320" t="str">
        <f ca="1">IF(tEditais[[#This Row],[Encerramento]]&gt;NOW(),"Aberto","Encerrado")</f>
        <v>Aberto</v>
      </c>
    </row>
    <row r="321" spans="1:16" x14ac:dyDescent="0.25">
      <c r="A321" t="s">
        <v>1936</v>
      </c>
      <c r="B321" t="s">
        <v>1683</v>
      </c>
      <c r="C321" t="s">
        <v>1839</v>
      </c>
      <c r="D321" t="s">
        <v>1840</v>
      </c>
      <c r="E321" t="s">
        <v>716</v>
      </c>
      <c r="F321" s="11">
        <v>46311.375</v>
      </c>
      <c r="G321">
        <v>87</v>
      </c>
      <c r="H321" t="s">
        <v>1937</v>
      </c>
      <c r="I321" t="s">
        <v>1938</v>
      </c>
      <c r="J321" t="str">
        <f>IF(ISNUMBER(SEARCH("registro de pre",tEditais[[#This Row],[Objeto]])),"Sim","Não")</f>
        <v>Não</v>
      </c>
      <c r="K321" s="4">
        <f>COUNTIFS(tItens[Edital],tEditais[[#This Row],[Edital]])</f>
        <v>23</v>
      </c>
      <c r="L321" s="4">
        <f>COUNTIFS(tItens[Edital],tEditais[[#This Row],[Edital]],tItens[Foco],"Sim")</f>
        <v>6</v>
      </c>
      <c r="M321" s="8">
        <f>SUMIFS(tItens[Valor],tItens[Edital],tEditais[[#This Row],[Edital]])</f>
        <v>282469.55</v>
      </c>
      <c r="N321" s="8">
        <f>SUMIFS(tItens[Valor homologado],tItens[Edital],tEditais[[#This Row],[Edital]],tItens[Foco],"Sim")</f>
        <v>17030.61</v>
      </c>
      <c r="O321" t="str">
        <f>IF(tEditais[[#This Row],[Itens do foco]]=0,"",IF(tEditais[[#This Row],[Valor foco homologado]]&lt;=0,"Sem valor",IF(tEditais[[#This Row],[Valor foco homologado]]&gt;=FaixaA_Min,"A",IF(tEditais[[#This Row],[Valor foco homologado]]&gt;=FaixaB_Min,"B","C"))))</f>
        <v>C</v>
      </c>
      <c r="P321" t="str">
        <f ca="1">IF(tEditais[[#This Row],[Encerramento]]&gt;NOW(),"Aberto","Encerrado")</f>
        <v>Aberto</v>
      </c>
    </row>
    <row r="322" spans="1:16" x14ac:dyDescent="0.25">
      <c r="A322" t="s">
        <v>1939</v>
      </c>
      <c r="B322" t="s">
        <v>1940</v>
      </c>
      <c r="C322" t="s">
        <v>1885</v>
      </c>
      <c r="D322" t="s">
        <v>1840</v>
      </c>
      <c r="E322" t="s">
        <v>716</v>
      </c>
      <c r="F322" s="11">
        <v>46314.374305555553</v>
      </c>
      <c r="G322">
        <v>2</v>
      </c>
      <c r="H322" t="s">
        <v>1941</v>
      </c>
      <c r="I322" t="s">
        <v>1942</v>
      </c>
      <c r="J322" t="str">
        <f>IF(ISNUMBER(SEARCH("registro de pre",tEditais[[#This Row],[Objeto]])),"Sim","Não")</f>
        <v>Não</v>
      </c>
      <c r="K322" s="4">
        <f>COUNTIFS(tItens[Edital],tEditais[[#This Row],[Edital]])</f>
        <v>2</v>
      </c>
      <c r="L322" s="4">
        <f>COUNTIFS(tItens[Edital],tEditais[[#This Row],[Edital]],tItens[Foco],"Sim")</f>
        <v>0</v>
      </c>
      <c r="M322" s="8">
        <f>SUMIFS(tItens[Valor],tItens[Edital],tEditais[[#This Row],[Edital]])</f>
        <v>85260.000000000015</v>
      </c>
      <c r="N322" s="8">
        <f>SUMIFS(tItens[Valor homologado],tItens[Edital],tEditais[[#This Row],[Edital]],tItens[Foco],"Sim")</f>
        <v>0</v>
      </c>
      <c r="O322" t="str">
        <f>IF(tEditais[[#This Row],[Itens do foco]]=0,"",IF(tEditais[[#This Row],[Valor foco homologado]]&lt;=0,"Sem valor",IF(tEditais[[#This Row],[Valor foco homologado]]&gt;=FaixaA_Min,"A",IF(tEditais[[#This Row],[Valor foco homologado]]&gt;=FaixaB_Min,"B","C"))))</f>
        <v/>
      </c>
      <c r="P322" t="str">
        <f ca="1">IF(tEditais[[#This Row],[Encerramento]]&gt;NOW(),"Aberto","Encerrado")</f>
        <v>Aberto</v>
      </c>
    </row>
    <row r="323" spans="1:16" x14ac:dyDescent="0.25">
      <c r="A323" t="s">
        <v>1943</v>
      </c>
      <c r="B323" t="s">
        <v>1944</v>
      </c>
      <c r="C323" t="s">
        <v>1839</v>
      </c>
      <c r="D323" t="s">
        <v>1840</v>
      </c>
      <c r="E323" t="s">
        <v>716</v>
      </c>
      <c r="F323" s="11">
        <v>46314.375</v>
      </c>
      <c r="G323">
        <v>22</v>
      </c>
      <c r="I323" t="s">
        <v>1945</v>
      </c>
      <c r="J323" t="str">
        <f>IF(ISNUMBER(SEARCH("registro de pre",tEditais[[#This Row],[Objeto]])),"Sim","Não")</f>
        <v>Não</v>
      </c>
      <c r="K323" s="4">
        <f>COUNTIFS(tItens[Edital],tEditais[[#This Row],[Edital]])</f>
        <v>11</v>
      </c>
      <c r="L323" s="4">
        <f>COUNTIFS(tItens[Edital],tEditais[[#This Row],[Edital]],tItens[Foco],"Sim")</f>
        <v>1</v>
      </c>
      <c r="M323" s="8">
        <f>SUMIFS(tItens[Valor],tItens[Edital],tEditais[[#This Row],[Edital]])</f>
        <v>107471.8</v>
      </c>
      <c r="N323" s="8">
        <f>SUMIFS(tItens[Valor homologado],tItens[Edital],tEditais[[#This Row],[Edital]],tItens[Foco],"Sim")</f>
        <v>11821.48</v>
      </c>
      <c r="O323" t="str">
        <f>IF(tEditais[[#This Row],[Itens do foco]]=0,"",IF(tEditais[[#This Row],[Valor foco homologado]]&lt;=0,"Sem valor",IF(tEditais[[#This Row],[Valor foco homologado]]&gt;=FaixaA_Min,"A",IF(tEditais[[#This Row],[Valor foco homologado]]&gt;=FaixaB_Min,"B","C"))))</f>
        <v>C</v>
      </c>
      <c r="P323" t="str">
        <f ca="1">IF(tEditais[[#This Row],[Encerramento]]&gt;NOW(),"Aberto","Encerrado")</f>
        <v>Aberto</v>
      </c>
    </row>
    <row r="324" spans="1:16" x14ac:dyDescent="0.25">
      <c r="A324" t="s">
        <v>1946</v>
      </c>
      <c r="B324" t="s">
        <v>1947</v>
      </c>
      <c r="C324" t="s">
        <v>1948</v>
      </c>
      <c r="D324" t="s">
        <v>1949</v>
      </c>
      <c r="E324" t="s">
        <v>716</v>
      </c>
      <c r="F324" s="11">
        <v>46308.291666666664</v>
      </c>
      <c r="G324">
        <v>315</v>
      </c>
      <c r="H324" t="s">
        <v>1950</v>
      </c>
      <c r="I324" t="s">
        <v>1951</v>
      </c>
      <c r="J324" t="str">
        <f>IF(ISNUMBER(SEARCH("registro de pre",tEditais[[#This Row],[Objeto]])),"Sim","Não")</f>
        <v>Sim</v>
      </c>
      <c r="K324" s="4">
        <f>COUNTIFS(tItens[Edital],tEditais[[#This Row],[Edital]])</f>
        <v>65</v>
      </c>
      <c r="L324" s="4">
        <f>COUNTIFS(tItens[Edital],tEditais[[#This Row],[Edital]],tItens[Foco],"Sim")</f>
        <v>7</v>
      </c>
      <c r="M324" s="8">
        <f>SUMIFS(tItens[Valor],tItens[Edital],tEditais[[#This Row],[Edital]])</f>
        <v>383190.65</v>
      </c>
      <c r="N324" s="8">
        <f>SUMIFS(tItens[Valor homologado],tItens[Edital],tEditais[[#This Row],[Edital]],tItens[Foco],"Sim")</f>
        <v>11027.061</v>
      </c>
      <c r="O324" t="str">
        <f>IF(tEditais[[#This Row],[Itens do foco]]=0,"",IF(tEditais[[#This Row],[Valor foco homologado]]&lt;=0,"Sem valor",IF(tEditais[[#This Row],[Valor foco homologado]]&gt;=FaixaA_Min,"A",IF(tEditais[[#This Row],[Valor foco homologado]]&gt;=FaixaB_Min,"B","C"))))</f>
        <v>C</v>
      </c>
      <c r="P324" t="str">
        <f ca="1">IF(tEditais[[#This Row],[Encerramento]]&gt;NOW(),"Aberto","Encerrado")</f>
        <v>Encerrado</v>
      </c>
    </row>
    <row r="325" spans="1:16" x14ac:dyDescent="0.25">
      <c r="A325" t="s">
        <v>1952</v>
      </c>
      <c r="B325" t="s">
        <v>1953</v>
      </c>
      <c r="C325" t="s">
        <v>1954</v>
      </c>
      <c r="D325" t="s">
        <v>1949</v>
      </c>
      <c r="E325" t="s">
        <v>800</v>
      </c>
      <c r="F325" s="11">
        <v>46309.333333333336</v>
      </c>
      <c r="G325">
        <v>61</v>
      </c>
      <c r="H325" t="s">
        <v>1955</v>
      </c>
      <c r="I325" t="s">
        <v>1956</v>
      </c>
      <c r="J325" t="str">
        <f>IF(ISNUMBER(SEARCH("registro de pre",tEditais[[#This Row],[Objeto]])),"Sim","Não")</f>
        <v>Não</v>
      </c>
      <c r="K325" s="4">
        <f>COUNTIFS(tItens[Edital],tEditais[[#This Row],[Edital]])</f>
        <v>3</v>
      </c>
      <c r="L325" s="4">
        <f>COUNTIFS(tItens[Edital],tEditais[[#This Row],[Edital]],tItens[Foco],"Sim")</f>
        <v>1</v>
      </c>
      <c r="M325" s="8">
        <f>SUMIFS(tItens[Valor],tItens[Edital],tEditais[[#This Row],[Edital]])</f>
        <v>116737.5</v>
      </c>
      <c r="N325" s="8">
        <f>SUMIFS(tItens[Valor homologado],tItens[Edital],tEditais[[#This Row],[Edital]],tItens[Foco],"Sim")</f>
        <v>309.51000000000005</v>
      </c>
      <c r="O325" t="str">
        <f>IF(tEditais[[#This Row],[Itens do foco]]=0,"",IF(tEditais[[#This Row],[Valor foco homologado]]&lt;=0,"Sem valor",IF(tEditais[[#This Row],[Valor foco homologado]]&gt;=FaixaA_Min,"A",IF(tEditais[[#This Row],[Valor foco homologado]]&gt;=FaixaB_Min,"B","C"))))</f>
        <v>C</v>
      </c>
      <c r="P325" t="str">
        <f ca="1">IF(tEditais[[#This Row],[Encerramento]]&gt;NOW(),"Aberto","Encerrado")</f>
        <v>Encerrado</v>
      </c>
    </row>
    <row r="326" spans="1:16" x14ac:dyDescent="0.25">
      <c r="A326" t="s">
        <v>1957</v>
      </c>
      <c r="B326" t="s">
        <v>1958</v>
      </c>
      <c r="C326" t="s">
        <v>1959</v>
      </c>
      <c r="D326" t="s">
        <v>1949</v>
      </c>
      <c r="E326" t="s">
        <v>716</v>
      </c>
      <c r="F326" s="11">
        <v>46310.374305555553</v>
      </c>
      <c r="G326">
        <v>169</v>
      </c>
      <c r="I326" t="s">
        <v>1960</v>
      </c>
      <c r="J326" t="str">
        <f>IF(ISNUMBER(SEARCH("registro de pre",tEditais[[#This Row],[Objeto]])),"Sim","Não")</f>
        <v>Não</v>
      </c>
      <c r="K326" s="4">
        <f>COUNTIFS(tItens[Edital],tEditais[[#This Row],[Edital]])</f>
        <v>23</v>
      </c>
      <c r="L326" s="4">
        <f>COUNTIFS(tItens[Edital],tEditais[[#This Row],[Edital]],tItens[Foco],"Sim")</f>
        <v>3</v>
      </c>
      <c r="M326" s="8">
        <f>SUMIFS(tItens[Valor],tItens[Edital],tEditais[[#This Row],[Edital]])</f>
        <v>285732.3</v>
      </c>
      <c r="N326" s="8">
        <f>SUMIFS(tItens[Valor homologado],tItens[Edital],tEditais[[#This Row],[Edital]],tItens[Foco],"Sim")</f>
        <v>26778.28</v>
      </c>
      <c r="O326" t="str">
        <f>IF(tEditais[[#This Row],[Itens do foco]]=0,"",IF(tEditais[[#This Row],[Valor foco homologado]]&lt;=0,"Sem valor",IF(tEditais[[#This Row],[Valor foco homologado]]&gt;=FaixaA_Min,"A",IF(tEditais[[#This Row],[Valor foco homologado]]&gt;=FaixaB_Min,"B","C"))))</f>
        <v>C</v>
      </c>
      <c r="P326" t="str">
        <f ca="1">IF(tEditais[[#This Row],[Encerramento]]&gt;NOW(),"Aberto","Encerrado")</f>
        <v>Encerrado</v>
      </c>
    </row>
    <row r="327" spans="1:16" x14ac:dyDescent="0.25">
      <c r="A327" t="s">
        <v>1961</v>
      </c>
      <c r="B327" t="s">
        <v>1962</v>
      </c>
      <c r="C327" t="s">
        <v>1963</v>
      </c>
      <c r="D327" t="s">
        <v>1949</v>
      </c>
      <c r="E327" t="s">
        <v>716</v>
      </c>
      <c r="F327" s="11">
        <v>46311.333333333336</v>
      </c>
      <c r="G327">
        <v>9</v>
      </c>
      <c r="H327" t="s">
        <v>1964</v>
      </c>
      <c r="I327" t="s">
        <v>1965</v>
      </c>
      <c r="J327" t="str">
        <f>IF(ISNUMBER(SEARCH("registro de pre",tEditais[[#This Row],[Objeto]])),"Sim","Não")</f>
        <v>Não</v>
      </c>
      <c r="K327" s="4">
        <f>COUNTIFS(tItens[Edital],tEditais[[#This Row],[Edital]])</f>
        <v>2</v>
      </c>
      <c r="L327" s="4">
        <f>COUNTIFS(tItens[Edital],tEditais[[#This Row],[Edital]],tItens[Foco],"Sim")</f>
        <v>1</v>
      </c>
      <c r="M327" s="8">
        <f>SUMIFS(tItens[Valor],tItens[Edital],tEditais[[#This Row],[Edital]])</f>
        <v>4866.7999999999993</v>
      </c>
      <c r="N327" s="8">
        <f>SUMIFS(tItens[Valor homologado],tItens[Edital],tEditais[[#This Row],[Edital]],tItens[Foco],"Sim")</f>
        <v>966.04200000000003</v>
      </c>
      <c r="O327" t="str">
        <f>IF(tEditais[[#This Row],[Itens do foco]]=0,"",IF(tEditais[[#This Row],[Valor foco homologado]]&lt;=0,"Sem valor",IF(tEditais[[#This Row],[Valor foco homologado]]&gt;=FaixaA_Min,"A",IF(tEditais[[#This Row],[Valor foco homologado]]&gt;=FaixaB_Min,"B","C"))))</f>
        <v>C</v>
      </c>
      <c r="P327" t="str">
        <f ca="1">IF(tEditais[[#This Row],[Encerramento]]&gt;NOW(),"Aberto","Encerrado")</f>
        <v>Aberto</v>
      </c>
    </row>
    <row r="328" spans="1:16" x14ac:dyDescent="0.25">
      <c r="A328" t="s">
        <v>1966</v>
      </c>
      <c r="B328" t="s">
        <v>1967</v>
      </c>
      <c r="C328" t="s">
        <v>1968</v>
      </c>
      <c r="D328" t="s">
        <v>1949</v>
      </c>
      <c r="E328" t="s">
        <v>716</v>
      </c>
      <c r="F328" s="11">
        <v>46314.291666666664</v>
      </c>
      <c r="G328">
        <v>62</v>
      </c>
      <c r="I328" t="s">
        <v>1969</v>
      </c>
      <c r="J328" t="str">
        <f>IF(ISNUMBER(SEARCH("registro de pre",tEditais[[#This Row],[Objeto]])),"Sim","Não")</f>
        <v>Sim</v>
      </c>
      <c r="K328" s="4">
        <f>COUNTIFS(tItens[Edital],tEditais[[#This Row],[Edital]])</f>
        <v>2</v>
      </c>
      <c r="L328" s="4">
        <f>COUNTIFS(tItens[Edital],tEditais[[#This Row],[Edital]],tItens[Foco],"Sim")</f>
        <v>0</v>
      </c>
      <c r="M328" s="8">
        <f>SUMIFS(tItens[Valor],tItens[Edital],tEditais[[#This Row],[Edital]])</f>
        <v>38504</v>
      </c>
      <c r="N328" s="8">
        <f>SUMIFS(tItens[Valor homologado],tItens[Edital],tEditais[[#This Row],[Edital]],tItens[Foco],"Sim")</f>
        <v>0</v>
      </c>
      <c r="O328" t="str">
        <f>IF(tEditais[[#This Row],[Itens do foco]]=0,"",IF(tEditais[[#This Row],[Valor foco homologado]]&lt;=0,"Sem valor",IF(tEditais[[#This Row],[Valor foco homologado]]&gt;=FaixaA_Min,"A",IF(tEditais[[#This Row],[Valor foco homologado]]&gt;=FaixaB_Min,"B","C"))))</f>
        <v/>
      </c>
      <c r="P328" t="str">
        <f ca="1">IF(tEditais[[#This Row],[Encerramento]]&gt;NOW(),"Aberto","Encerrado")</f>
        <v>Aberto</v>
      </c>
    </row>
    <row r="329" spans="1:16" x14ac:dyDescent="0.25">
      <c r="A329" t="s">
        <v>1970</v>
      </c>
      <c r="B329" t="s">
        <v>1971</v>
      </c>
      <c r="C329" t="s">
        <v>1972</v>
      </c>
      <c r="D329" t="s">
        <v>1973</v>
      </c>
      <c r="E329" t="s">
        <v>716</v>
      </c>
      <c r="F329" s="11">
        <v>46304.354166666664</v>
      </c>
      <c r="G329">
        <v>18</v>
      </c>
      <c r="H329" t="s">
        <v>1974</v>
      </c>
      <c r="I329" t="s">
        <v>1975</v>
      </c>
      <c r="J329" t="str">
        <f>IF(ISNUMBER(SEARCH("registro de pre",tEditais[[#This Row],[Objeto]])),"Sim","Não")</f>
        <v>Sim</v>
      </c>
      <c r="K329" s="4">
        <f>COUNTIFS(tItens[Edital],tEditais[[#This Row],[Edital]])</f>
        <v>1</v>
      </c>
      <c r="L329" s="4">
        <f>COUNTIFS(tItens[Edital],tEditais[[#This Row],[Edital]],tItens[Foco],"Sim")</f>
        <v>0</v>
      </c>
      <c r="M329" s="8">
        <f>SUMIFS(tItens[Valor],tItens[Edital],tEditais[[#This Row],[Edital]])</f>
        <v>1845</v>
      </c>
      <c r="N329" s="8">
        <f>SUMIFS(tItens[Valor homologado],tItens[Edital],tEditais[[#This Row],[Edital]],tItens[Foco],"Sim")</f>
        <v>0</v>
      </c>
      <c r="O329" t="str">
        <f>IF(tEditais[[#This Row],[Itens do foco]]=0,"",IF(tEditais[[#This Row],[Valor foco homologado]]&lt;=0,"Sem valor",IF(tEditais[[#This Row],[Valor foco homologado]]&gt;=FaixaA_Min,"A",IF(tEditais[[#This Row],[Valor foco homologado]]&gt;=FaixaB_Min,"B","C"))))</f>
        <v/>
      </c>
      <c r="P329" t="str">
        <f ca="1">IF(tEditais[[#This Row],[Encerramento]]&gt;NOW(),"Aberto","Encerrado")</f>
        <v>Encerrado</v>
      </c>
    </row>
    <row r="330" spans="1:16" x14ac:dyDescent="0.25">
      <c r="A330" t="s">
        <v>1976</v>
      </c>
      <c r="B330" t="s">
        <v>1977</v>
      </c>
      <c r="C330" t="s">
        <v>1978</v>
      </c>
      <c r="D330" t="s">
        <v>1973</v>
      </c>
      <c r="E330" t="s">
        <v>716</v>
      </c>
      <c r="F330" s="11">
        <v>46304.354166666664</v>
      </c>
      <c r="G330">
        <v>65</v>
      </c>
      <c r="I330" t="s">
        <v>1979</v>
      </c>
      <c r="J330" t="str">
        <f>IF(ISNUMBER(SEARCH("registro de pre",tEditais[[#This Row],[Objeto]])),"Sim","Não")</f>
        <v>Sim</v>
      </c>
      <c r="K330" s="4">
        <f>COUNTIFS(tItens[Edital],tEditais[[#This Row],[Edital]])</f>
        <v>1</v>
      </c>
      <c r="L330" s="4">
        <f>COUNTIFS(tItens[Edital],tEditais[[#This Row],[Edital]],tItens[Foco],"Sim")</f>
        <v>0</v>
      </c>
      <c r="M330" s="8">
        <f>SUMIFS(tItens[Valor],tItens[Edital],tEditais[[#This Row],[Edital]])</f>
        <v>17200</v>
      </c>
      <c r="N330" s="8">
        <f>SUMIFS(tItens[Valor homologado],tItens[Edital],tEditais[[#This Row],[Edital]],tItens[Foco],"Sim")</f>
        <v>0</v>
      </c>
      <c r="O330" t="str">
        <f>IF(tEditais[[#This Row],[Itens do foco]]=0,"",IF(tEditais[[#This Row],[Valor foco homologado]]&lt;=0,"Sem valor",IF(tEditais[[#This Row],[Valor foco homologado]]&gt;=FaixaA_Min,"A",IF(tEditais[[#This Row],[Valor foco homologado]]&gt;=FaixaB_Min,"B","C"))))</f>
        <v/>
      </c>
      <c r="P330" t="str">
        <f ca="1">IF(tEditais[[#This Row],[Encerramento]]&gt;NOW(),"Aberto","Encerrado")</f>
        <v>Encerrado</v>
      </c>
    </row>
    <row r="331" spans="1:16" x14ac:dyDescent="0.25">
      <c r="A331" t="s">
        <v>1980</v>
      </c>
      <c r="B331" t="s">
        <v>1981</v>
      </c>
      <c r="C331" t="s">
        <v>1982</v>
      </c>
      <c r="D331" t="s">
        <v>1973</v>
      </c>
      <c r="E331" t="s">
        <v>716</v>
      </c>
      <c r="F331" s="11">
        <v>46304.374305555553</v>
      </c>
      <c r="G331">
        <v>33</v>
      </c>
      <c r="H331" t="s">
        <v>1983</v>
      </c>
      <c r="I331" t="s">
        <v>1984</v>
      </c>
      <c r="J331" t="str">
        <f>IF(ISNUMBER(SEARCH("registro de pre",tEditais[[#This Row],[Objeto]])),"Sim","Não")</f>
        <v>Sim</v>
      </c>
      <c r="K331" s="4">
        <f>COUNTIFS(tItens[Edital],tEditais[[#This Row],[Edital]])</f>
        <v>23</v>
      </c>
      <c r="L331" s="4">
        <f>COUNTIFS(tItens[Edital],tEditais[[#This Row],[Edital]],tItens[Foco],"Sim")</f>
        <v>0</v>
      </c>
      <c r="M331" s="8">
        <f>SUMIFS(tItens[Valor],tItens[Edital],tEditais[[#This Row],[Edital]])</f>
        <v>43436</v>
      </c>
      <c r="N331" s="8">
        <f>SUMIFS(tItens[Valor homologado],tItens[Edital],tEditais[[#This Row],[Edital]],tItens[Foco],"Sim")</f>
        <v>0</v>
      </c>
      <c r="O331" t="str">
        <f>IF(tEditais[[#This Row],[Itens do foco]]=0,"",IF(tEditais[[#This Row],[Valor foco homologado]]&lt;=0,"Sem valor",IF(tEditais[[#This Row],[Valor foco homologado]]&gt;=FaixaA_Min,"A",IF(tEditais[[#This Row],[Valor foco homologado]]&gt;=FaixaB_Min,"B","C"))))</f>
        <v/>
      </c>
      <c r="P331" t="str">
        <f ca="1">IF(tEditais[[#This Row],[Encerramento]]&gt;NOW(),"Aberto","Encerrado")</f>
        <v>Encerrado</v>
      </c>
    </row>
    <row r="332" spans="1:16" x14ac:dyDescent="0.25">
      <c r="A332" t="s">
        <v>1985</v>
      </c>
      <c r="B332" t="s">
        <v>1981</v>
      </c>
      <c r="C332" t="s">
        <v>1982</v>
      </c>
      <c r="D332" t="s">
        <v>1973</v>
      </c>
      <c r="E332" t="s">
        <v>716</v>
      </c>
      <c r="F332" s="11">
        <v>46304.374305555553</v>
      </c>
      <c r="G332">
        <v>33</v>
      </c>
      <c r="I332" t="s">
        <v>1986</v>
      </c>
      <c r="J332" t="str">
        <f>IF(ISNUMBER(SEARCH("registro de pre",tEditais[[#This Row],[Objeto]])),"Sim","Não")</f>
        <v>Sim</v>
      </c>
      <c r="K332" s="4">
        <f>COUNTIFS(tItens[Edital],tEditais[[#This Row],[Edital]])</f>
        <v>9</v>
      </c>
      <c r="L332" s="4">
        <f>COUNTIFS(tItens[Edital],tEditais[[#This Row],[Edital]],tItens[Foco],"Sim")</f>
        <v>0</v>
      </c>
      <c r="M332" s="8">
        <f>SUMIFS(tItens[Valor],tItens[Edital],tEditais[[#This Row],[Edital]])</f>
        <v>15914</v>
      </c>
      <c r="N332" s="8">
        <f>SUMIFS(tItens[Valor homologado],tItens[Edital],tEditais[[#This Row],[Edital]],tItens[Foco],"Sim")</f>
        <v>0</v>
      </c>
      <c r="O332" t="str">
        <f>IF(tEditais[[#This Row],[Itens do foco]]=0,"",IF(tEditais[[#This Row],[Valor foco homologado]]&lt;=0,"Sem valor",IF(tEditais[[#This Row],[Valor foco homologado]]&gt;=FaixaA_Min,"A",IF(tEditais[[#This Row],[Valor foco homologado]]&gt;=FaixaB_Min,"B","C"))))</f>
        <v/>
      </c>
      <c r="P332" t="str">
        <f ca="1">IF(tEditais[[#This Row],[Encerramento]]&gt;NOW(),"Aberto","Encerrado")</f>
        <v>Encerrado</v>
      </c>
    </row>
    <row r="333" spans="1:16" x14ac:dyDescent="0.25">
      <c r="A333" t="s">
        <v>1987</v>
      </c>
      <c r="B333" t="s">
        <v>1988</v>
      </c>
      <c r="C333" t="s">
        <v>1989</v>
      </c>
      <c r="D333" t="s">
        <v>1973</v>
      </c>
      <c r="E333" t="s">
        <v>716</v>
      </c>
      <c r="F333" s="11">
        <v>46304.375</v>
      </c>
      <c r="G333">
        <v>192</v>
      </c>
      <c r="H333" t="s">
        <v>1990</v>
      </c>
      <c r="I333" t="s">
        <v>1991</v>
      </c>
      <c r="J333" t="str">
        <f>IF(ISNUMBER(SEARCH("registro de pre",tEditais[[#This Row],[Objeto]])),"Sim","Não")</f>
        <v>Não</v>
      </c>
      <c r="K333" s="4">
        <f>COUNTIFS(tItens[Edital],tEditais[[#This Row],[Edital]])</f>
        <v>10</v>
      </c>
      <c r="L333" s="4">
        <f>COUNTIFS(tItens[Edital],tEditais[[#This Row],[Edital]],tItens[Foco],"Sim")</f>
        <v>2</v>
      </c>
      <c r="M333" s="8">
        <f>SUMIFS(tItens[Valor],tItens[Edital],tEditais[[#This Row],[Edital]])</f>
        <v>29564.99</v>
      </c>
      <c r="N333" s="8">
        <f>SUMIFS(tItens[Valor homologado],tItens[Edital],tEditais[[#This Row],[Edital]],tItens[Foco],"Sim")</f>
        <v>91.515599999999992</v>
      </c>
      <c r="O333" t="str">
        <f>IF(tEditais[[#This Row],[Itens do foco]]=0,"",IF(tEditais[[#This Row],[Valor foco homologado]]&lt;=0,"Sem valor",IF(tEditais[[#This Row],[Valor foco homologado]]&gt;=FaixaA_Min,"A",IF(tEditais[[#This Row],[Valor foco homologado]]&gt;=FaixaB_Min,"B","C"))))</f>
        <v>C</v>
      </c>
      <c r="P333" t="str">
        <f ca="1">IF(tEditais[[#This Row],[Encerramento]]&gt;NOW(),"Aberto","Encerrado")</f>
        <v>Encerrado</v>
      </c>
    </row>
    <row r="334" spans="1:16" x14ac:dyDescent="0.25">
      <c r="A334" t="s">
        <v>1992</v>
      </c>
      <c r="B334" t="s">
        <v>1993</v>
      </c>
      <c r="C334" t="s">
        <v>1994</v>
      </c>
      <c r="D334" t="s">
        <v>1973</v>
      </c>
      <c r="E334" t="s">
        <v>716</v>
      </c>
      <c r="F334" s="11">
        <v>46308.333333333336</v>
      </c>
      <c r="G334">
        <v>264</v>
      </c>
      <c r="H334" t="s">
        <v>1995</v>
      </c>
      <c r="I334" t="s">
        <v>1996</v>
      </c>
      <c r="J334" t="str">
        <f>IF(ISNUMBER(SEARCH("registro de pre",tEditais[[#This Row],[Objeto]])),"Sim","Não")</f>
        <v>Sim</v>
      </c>
      <c r="K334" s="4">
        <f>COUNTIFS(tItens[Edital],tEditais[[#This Row],[Edital]])</f>
        <v>91</v>
      </c>
      <c r="L334" s="4">
        <f>COUNTIFS(tItens[Edital],tEditais[[#This Row],[Edital]],tItens[Foco],"Sim")</f>
        <v>21</v>
      </c>
      <c r="M334" s="8">
        <f>SUMIFS(tItens[Valor],tItens[Edital],tEditais[[#This Row],[Edital]])</f>
        <v>582619.33000000019</v>
      </c>
      <c r="N334" s="8">
        <f>SUMIFS(tItens[Valor homologado],tItens[Edital],tEditais[[#This Row],[Edital]],tItens[Foco],"Sim")</f>
        <v>51268.816999999981</v>
      </c>
      <c r="O334" t="str">
        <f>IF(tEditais[[#This Row],[Itens do foco]]=0,"",IF(tEditais[[#This Row],[Valor foco homologado]]&lt;=0,"Sem valor",IF(tEditais[[#This Row],[Valor foco homologado]]&gt;=FaixaA_Min,"A",IF(tEditais[[#This Row],[Valor foco homologado]]&gt;=FaixaB_Min,"B","C"))))</f>
        <v>B</v>
      </c>
      <c r="P334" t="str">
        <f ca="1">IF(tEditais[[#This Row],[Encerramento]]&gt;NOW(),"Aberto","Encerrado")</f>
        <v>Encerrado</v>
      </c>
    </row>
    <row r="335" spans="1:16" x14ac:dyDescent="0.25">
      <c r="A335" t="s">
        <v>1997</v>
      </c>
      <c r="B335" t="s">
        <v>1998</v>
      </c>
      <c r="C335" t="s">
        <v>1999</v>
      </c>
      <c r="D335" t="s">
        <v>1973</v>
      </c>
      <c r="E335" t="s">
        <v>716</v>
      </c>
      <c r="F335" s="11">
        <v>46308.333333333336</v>
      </c>
      <c r="G335">
        <v>64</v>
      </c>
      <c r="H335" t="s">
        <v>2000</v>
      </c>
      <c r="I335" t="s">
        <v>2001</v>
      </c>
      <c r="J335" t="str">
        <f>IF(ISNUMBER(SEARCH("registro de pre",tEditais[[#This Row],[Objeto]])),"Sim","Não")</f>
        <v>Sim</v>
      </c>
      <c r="K335" s="4">
        <f>COUNTIFS(tItens[Edital],tEditais[[#This Row],[Edital]])</f>
        <v>13</v>
      </c>
      <c r="L335" s="4">
        <f>COUNTIFS(tItens[Edital],tEditais[[#This Row],[Edital]],tItens[Foco],"Sim")</f>
        <v>10</v>
      </c>
      <c r="M335" s="8">
        <f>SUMIFS(tItens[Valor],tItens[Edital],tEditais[[#This Row],[Edital]])</f>
        <v>45101.56</v>
      </c>
      <c r="N335" s="8">
        <f>SUMIFS(tItens[Valor homologado],tItens[Edital],tEditais[[#This Row],[Edital]],tItens[Foco],"Sim")</f>
        <v>12116.3734</v>
      </c>
      <c r="O335" t="str">
        <f>IF(tEditais[[#This Row],[Itens do foco]]=0,"",IF(tEditais[[#This Row],[Valor foco homologado]]&lt;=0,"Sem valor",IF(tEditais[[#This Row],[Valor foco homologado]]&gt;=FaixaA_Min,"A",IF(tEditais[[#This Row],[Valor foco homologado]]&gt;=FaixaB_Min,"B","C"))))</f>
        <v>C</v>
      </c>
      <c r="P335" t="str">
        <f ca="1">IF(tEditais[[#This Row],[Encerramento]]&gt;NOW(),"Aberto","Encerrado")</f>
        <v>Encerrado</v>
      </c>
    </row>
    <row r="336" spans="1:16" x14ac:dyDescent="0.25">
      <c r="A336" t="s">
        <v>2002</v>
      </c>
      <c r="B336" t="s">
        <v>2003</v>
      </c>
      <c r="C336" t="s">
        <v>2004</v>
      </c>
      <c r="D336" t="s">
        <v>1973</v>
      </c>
      <c r="E336" t="s">
        <v>800</v>
      </c>
      <c r="F336" s="11">
        <v>46308.333333333336</v>
      </c>
      <c r="G336">
        <v>59</v>
      </c>
      <c r="I336" t="s">
        <v>2005</v>
      </c>
      <c r="J336" t="str">
        <f>IF(ISNUMBER(SEARCH("registro de pre",tEditais[[#This Row],[Objeto]])),"Sim","Não")</f>
        <v>Não</v>
      </c>
      <c r="K336" s="4">
        <f>COUNTIFS(tItens[Edital],tEditais[[#This Row],[Edital]])</f>
        <v>6</v>
      </c>
      <c r="L336" s="4">
        <f>COUNTIFS(tItens[Edital],tEditais[[#This Row],[Edital]],tItens[Foco],"Sim")</f>
        <v>2</v>
      </c>
      <c r="M336" s="8">
        <f>SUMIFS(tItens[Valor],tItens[Edital],tEditais[[#This Row],[Edital]])</f>
        <v>4804</v>
      </c>
      <c r="N336" s="8">
        <f>SUMIFS(tItens[Valor homologado],tItens[Edital],tEditais[[#This Row],[Edital]],tItens[Foco],"Sim")</f>
        <v>1731.6</v>
      </c>
      <c r="O336" t="str">
        <f>IF(tEditais[[#This Row],[Itens do foco]]=0,"",IF(tEditais[[#This Row],[Valor foco homologado]]&lt;=0,"Sem valor",IF(tEditais[[#This Row],[Valor foco homologado]]&gt;=FaixaA_Min,"A",IF(tEditais[[#This Row],[Valor foco homologado]]&gt;=FaixaB_Min,"B","C"))))</f>
        <v>C</v>
      </c>
      <c r="P336" t="str">
        <f ca="1">IF(tEditais[[#This Row],[Encerramento]]&gt;NOW(),"Aberto","Encerrado")</f>
        <v>Encerrado</v>
      </c>
    </row>
    <row r="337" spans="1:16" x14ac:dyDescent="0.25">
      <c r="A337" t="s">
        <v>2006</v>
      </c>
      <c r="B337" t="s">
        <v>2007</v>
      </c>
      <c r="C337" t="s">
        <v>2008</v>
      </c>
      <c r="D337" t="s">
        <v>1973</v>
      </c>
      <c r="E337" t="s">
        <v>716</v>
      </c>
      <c r="F337" s="11">
        <v>46308.34375</v>
      </c>
      <c r="G337">
        <v>23</v>
      </c>
      <c r="I337" t="s">
        <v>2009</v>
      </c>
      <c r="J337" t="str">
        <f>IF(ISNUMBER(SEARCH("registro de pre",tEditais[[#This Row],[Objeto]])),"Sim","Não")</f>
        <v>Sim</v>
      </c>
      <c r="K337" s="4">
        <f>COUNTIFS(tItens[Edital],tEditais[[#This Row],[Edital]])</f>
        <v>13</v>
      </c>
      <c r="L337" s="4">
        <f>COUNTIFS(tItens[Edital],tEditais[[#This Row],[Edital]],tItens[Foco],"Sim")</f>
        <v>1</v>
      </c>
      <c r="M337" s="8">
        <f>SUMIFS(tItens[Valor],tItens[Edital],tEditais[[#This Row],[Edital]])</f>
        <v>50530.2</v>
      </c>
      <c r="N337" s="8">
        <f>SUMIFS(tItens[Valor homologado],tItens[Edital],tEditais[[#This Row],[Edital]],tItens[Foco],"Sim")</f>
        <v>773.3</v>
      </c>
      <c r="O337" t="str">
        <f>IF(tEditais[[#This Row],[Itens do foco]]=0,"",IF(tEditais[[#This Row],[Valor foco homologado]]&lt;=0,"Sem valor",IF(tEditais[[#This Row],[Valor foco homologado]]&gt;=FaixaA_Min,"A",IF(tEditais[[#This Row],[Valor foco homologado]]&gt;=FaixaB_Min,"B","C"))))</f>
        <v>C</v>
      </c>
      <c r="P337" t="str">
        <f ca="1">IF(tEditais[[#This Row],[Encerramento]]&gt;NOW(),"Aberto","Encerrado")</f>
        <v>Encerrado</v>
      </c>
    </row>
    <row r="338" spans="1:16" x14ac:dyDescent="0.25">
      <c r="A338" t="s">
        <v>2010</v>
      </c>
      <c r="B338" t="s">
        <v>2011</v>
      </c>
      <c r="C338" t="s">
        <v>2012</v>
      </c>
      <c r="D338" t="s">
        <v>1973</v>
      </c>
      <c r="E338" t="s">
        <v>716</v>
      </c>
      <c r="F338" s="11">
        <v>46308.347222222219</v>
      </c>
      <c r="G338">
        <v>262</v>
      </c>
      <c r="H338" t="s">
        <v>2013</v>
      </c>
      <c r="I338" t="s">
        <v>2014</v>
      </c>
      <c r="J338" t="str">
        <f>IF(ISNUMBER(SEARCH("registro de pre",tEditais[[#This Row],[Objeto]])),"Sim","Não")</f>
        <v>Sim</v>
      </c>
      <c r="K338" s="4">
        <f>COUNTIFS(tItens[Edital],tEditais[[#This Row],[Edital]])</f>
        <v>73</v>
      </c>
      <c r="L338" s="4">
        <f>COUNTIFS(tItens[Edital],tEditais[[#This Row],[Edital]],tItens[Foco],"Sim")</f>
        <v>8</v>
      </c>
      <c r="M338" s="8">
        <f>SUMIFS(tItens[Valor],tItens[Edital],tEditais[[#This Row],[Edital]])</f>
        <v>198549.35000000003</v>
      </c>
      <c r="N338" s="8">
        <f>SUMIFS(tItens[Valor homologado],tItens[Edital],tEditais[[#This Row],[Edital]],tItens[Foco],"Sim")</f>
        <v>8890.5959999999995</v>
      </c>
      <c r="O338" t="str">
        <f>IF(tEditais[[#This Row],[Itens do foco]]=0,"",IF(tEditais[[#This Row],[Valor foco homologado]]&lt;=0,"Sem valor",IF(tEditais[[#This Row],[Valor foco homologado]]&gt;=FaixaA_Min,"A",IF(tEditais[[#This Row],[Valor foco homologado]]&gt;=FaixaB_Min,"B","C"))))</f>
        <v>C</v>
      </c>
      <c r="P338" t="str">
        <f ca="1">IF(tEditais[[#This Row],[Encerramento]]&gt;NOW(),"Aberto","Encerrado")</f>
        <v>Encerrado</v>
      </c>
    </row>
    <row r="339" spans="1:16" x14ac:dyDescent="0.25">
      <c r="A339" t="s">
        <v>2015</v>
      </c>
      <c r="B339" t="s">
        <v>2016</v>
      </c>
      <c r="C339" t="s">
        <v>2017</v>
      </c>
      <c r="D339" t="s">
        <v>1973</v>
      </c>
      <c r="E339" t="s">
        <v>716</v>
      </c>
      <c r="F339" s="11">
        <v>46308.353472222225</v>
      </c>
      <c r="G339">
        <v>98</v>
      </c>
      <c r="I339" t="s">
        <v>2018</v>
      </c>
      <c r="J339" t="str">
        <f>IF(ISNUMBER(SEARCH("registro de pre",tEditais[[#This Row],[Objeto]])),"Sim","Não")</f>
        <v>Não</v>
      </c>
      <c r="K339" s="4">
        <f>COUNTIFS(tItens[Edital],tEditais[[#This Row],[Edital]])</f>
        <v>5</v>
      </c>
      <c r="L339" s="4">
        <f>COUNTIFS(tItens[Edital],tEditais[[#This Row],[Edital]],tItens[Foco],"Sim")</f>
        <v>0</v>
      </c>
      <c r="M339" s="8">
        <f>SUMIFS(tItens[Valor],tItens[Edital],tEditais[[#This Row],[Edital]])</f>
        <v>34925.879999999997</v>
      </c>
      <c r="N339" s="8">
        <f>SUMIFS(tItens[Valor homologado],tItens[Edital],tEditais[[#This Row],[Edital]],tItens[Foco],"Sim")</f>
        <v>0</v>
      </c>
      <c r="O339" t="str">
        <f>IF(tEditais[[#This Row],[Itens do foco]]=0,"",IF(tEditais[[#This Row],[Valor foco homologado]]&lt;=0,"Sem valor",IF(tEditais[[#This Row],[Valor foco homologado]]&gt;=FaixaA_Min,"A",IF(tEditais[[#This Row],[Valor foco homologado]]&gt;=FaixaB_Min,"B","C"))))</f>
        <v/>
      </c>
      <c r="P339" t="str">
        <f ca="1">IF(tEditais[[#This Row],[Encerramento]]&gt;NOW(),"Aberto","Encerrado")</f>
        <v>Encerrado</v>
      </c>
    </row>
    <row r="340" spans="1:16" x14ac:dyDescent="0.25">
      <c r="A340" t="s">
        <v>2019</v>
      </c>
      <c r="B340" t="s">
        <v>2020</v>
      </c>
      <c r="C340" t="s">
        <v>2021</v>
      </c>
      <c r="D340" t="s">
        <v>1973</v>
      </c>
      <c r="E340" t="s">
        <v>716</v>
      </c>
      <c r="F340" s="11">
        <v>46308.354166666664</v>
      </c>
      <c r="G340">
        <v>62</v>
      </c>
      <c r="H340" t="s">
        <v>2022</v>
      </c>
      <c r="I340" t="s">
        <v>2023</v>
      </c>
      <c r="J340" t="str">
        <f>IF(ISNUMBER(SEARCH("registro de pre",tEditais[[#This Row],[Objeto]])),"Sim","Não")</f>
        <v>Sim</v>
      </c>
      <c r="K340" s="4">
        <f>COUNTIFS(tItens[Edital],tEditais[[#This Row],[Edital]])</f>
        <v>4</v>
      </c>
      <c r="L340" s="4">
        <f>COUNTIFS(tItens[Edital],tEditais[[#This Row],[Edital]],tItens[Foco],"Sim")</f>
        <v>1</v>
      </c>
      <c r="M340" s="8">
        <f>SUMIFS(tItens[Valor],tItens[Edital],tEditais[[#This Row],[Edital]])</f>
        <v>5333.2199999999993</v>
      </c>
      <c r="N340" s="8">
        <f>SUMIFS(tItens[Valor homologado],tItens[Edital],tEditais[[#This Row],[Edital]],tItens[Foco],"Sim")</f>
        <v>465.76919999999996</v>
      </c>
      <c r="O340" t="str">
        <f>IF(tEditais[[#This Row],[Itens do foco]]=0,"",IF(tEditais[[#This Row],[Valor foco homologado]]&lt;=0,"Sem valor",IF(tEditais[[#This Row],[Valor foco homologado]]&gt;=FaixaA_Min,"A",IF(tEditais[[#This Row],[Valor foco homologado]]&gt;=FaixaB_Min,"B","C"))))</f>
        <v>C</v>
      </c>
      <c r="P340" t="str">
        <f ca="1">IF(tEditais[[#This Row],[Encerramento]]&gt;NOW(),"Aberto","Encerrado")</f>
        <v>Encerrado</v>
      </c>
    </row>
    <row r="341" spans="1:16" x14ac:dyDescent="0.25">
      <c r="A341" t="s">
        <v>2024</v>
      </c>
      <c r="B341" t="s">
        <v>2025</v>
      </c>
      <c r="C341" t="s">
        <v>2026</v>
      </c>
      <c r="D341" t="s">
        <v>1973</v>
      </c>
      <c r="E341" t="s">
        <v>716</v>
      </c>
      <c r="F341" s="11">
        <v>46308.375</v>
      </c>
      <c r="G341">
        <v>353</v>
      </c>
      <c r="I341" t="s">
        <v>2027</v>
      </c>
      <c r="J341" t="str">
        <f>IF(ISNUMBER(SEARCH("registro de pre",tEditais[[#This Row],[Objeto]])),"Sim","Não")</f>
        <v>Sim</v>
      </c>
      <c r="K341" s="4">
        <f>COUNTIFS(tItens[Edital],tEditais[[#This Row],[Edital]])</f>
        <v>103</v>
      </c>
      <c r="L341" s="4">
        <f>COUNTIFS(tItens[Edital],tEditais[[#This Row],[Edital]],tItens[Foco],"Sim")</f>
        <v>15</v>
      </c>
      <c r="M341" s="8">
        <f>SUMIFS(tItens[Valor],tItens[Edital],tEditais[[#This Row],[Edital]])</f>
        <v>1778325.3</v>
      </c>
      <c r="N341" s="8">
        <f>SUMIFS(tItens[Valor homologado],tItens[Edital],tEditais[[#This Row],[Edital]],tItens[Foco],"Sim")</f>
        <v>54222.746000000014</v>
      </c>
      <c r="O341" t="str">
        <f>IF(tEditais[[#This Row],[Itens do foco]]=0,"",IF(tEditais[[#This Row],[Valor foco homologado]]&lt;=0,"Sem valor",IF(tEditais[[#This Row],[Valor foco homologado]]&gt;=FaixaA_Min,"A",IF(tEditais[[#This Row],[Valor foco homologado]]&gt;=FaixaB_Min,"B","C"))))</f>
        <v>B</v>
      </c>
      <c r="P341" t="str">
        <f ca="1">IF(tEditais[[#This Row],[Encerramento]]&gt;NOW(),"Aberto","Encerrado")</f>
        <v>Encerrado</v>
      </c>
    </row>
    <row r="342" spans="1:16" x14ac:dyDescent="0.25">
      <c r="A342" t="s">
        <v>2028</v>
      </c>
      <c r="B342" t="s">
        <v>2029</v>
      </c>
      <c r="C342" t="s">
        <v>2030</v>
      </c>
      <c r="D342" t="s">
        <v>1973</v>
      </c>
      <c r="E342" t="s">
        <v>716</v>
      </c>
      <c r="F342" s="11">
        <v>46308.375</v>
      </c>
      <c r="G342">
        <v>310</v>
      </c>
      <c r="H342" t="s">
        <v>2031</v>
      </c>
      <c r="I342" t="s">
        <v>982</v>
      </c>
      <c r="J342" t="str">
        <f>IF(ISNUMBER(SEARCH("registro de pre",tEditais[[#This Row],[Objeto]])),"Sim","Não")</f>
        <v>Não</v>
      </c>
      <c r="K342" s="4">
        <f>COUNTIFS(tItens[Edital],tEditais[[#This Row],[Edital]])</f>
        <v>120</v>
      </c>
      <c r="L342" s="4">
        <f>COUNTIFS(tItens[Edital],tEditais[[#This Row],[Edital]],tItens[Foco],"Sim")</f>
        <v>28</v>
      </c>
      <c r="M342" s="8">
        <f>SUMIFS(tItens[Valor],tItens[Edital],tEditais[[#This Row],[Edital]])</f>
        <v>575169.31000000006</v>
      </c>
      <c r="N342" s="8">
        <f>SUMIFS(tItens[Valor homologado],tItens[Edital],tEditais[[#This Row],[Edital]],tItens[Foco],"Sim")</f>
        <v>61984.666000000012</v>
      </c>
      <c r="O342" t="str">
        <f>IF(tEditais[[#This Row],[Itens do foco]]=0,"",IF(tEditais[[#This Row],[Valor foco homologado]]&lt;=0,"Sem valor",IF(tEditais[[#This Row],[Valor foco homologado]]&gt;=FaixaA_Min,"A",IF(tEditais[[#This Row],[Valor foco homologado]]&gt;=FaixaB_Min,"B","C"))))</f>
        <v>B</v>
      </c>
      <c r="P342" t="str">
        <f ca="1">IF(tEditais[[#This Row],[Encerramento]]&gt;NOW(),"Aberto","Encerrado")</f>
        <v>Encerrado</v>
      </c>
    </row>
    <row r="343" spans="1:16" x14ac:dyDescent="0.25">
      <c r="A343" t="s">
        <v>2032</v>
      </c>
      <c r="B343" t="s">
        <v>2033</v>
      </c>
      <c r="C343" t="s">
        <v>2034</v>
      </c>
      <c r="D343" t="s">
        <v>1973</v>
      </c>
      <c r="E343" t="s">
        <v>716</v>
      </c>
      <c r="F343" s="11">
        <v>46309.332638888889</v>
      </c>
      <c r="G343">
        <v>355</v>
      </c>
      <c r="H343" t="s">
        <v>2035</v>
      </c>
      <c r="I343" t="s">
        <v>2036</v>
      </c>
      <c r="J343" t="str">
        <f>IF(ISNUMBER(SEARCH("registro de pre",tEditais[[#This Row],[Objeto]])),"Sim","Não")</f>
        <v>Sim</v>
      </c>
      <c r="K343" s="4">
        <f>COUNTIFS(tItens[Edital],tEditais[[#This Row],[Edital]])</f>
        <v>70</v>
      </c>
      <c r="L343" s="4">
        <f>COUNTIFS(tItens[Edital],tEditais[[#This Row],[Edital]],tItens[Foco],"Sim")</f>
        <v>10</v>
      </c>
      <c r="M343" s="8">
        <f>SUMIFS(tItens[Valor],tItens[Edital],tEditais[[#This Row],[Edital]])</f>
        <v>217480.76</v>
      </c>
      <c r="N343" s="8">
        <f>SUMIFS(tItens[Valor homologado],tItens[Edital],tEditais[[#This Row],[Edital]],tItens[Foco],"Sim")</f>
        <v>9483.3860000000004</v>
      </c>
      <c r="O343" t="str">
        <f>IF(tEditais[[#This Row],[Itens do foco]]=0,"",IF(tEditais[[#This Row],[Valor foco homologado]]&lt;=0,"Sem valor",IF(tEditais[[#This Row],[Valor foco homologado]]&gt;=FaixaA_Min,"A",IF(tEditais[[#This Row],[Valor foco homologado]]&gt;=FaixaB_Min,"B","C"))))</f>
        <v>C</v>
      </c>
      <c r="P343" t="str">
        <f ca="1">IF(tEditais[[#This Row],[Encerramento]]&gt;NOW(),"Aberto","Encerrado")</f>
        <v>Encerrado</v>
      </c>
    </row>
    <row r="344" spans="1:16" x14ac:dyDescent="0.25">
      <c r="A344" t="s">
        <v>2037</v>
      </c>
      <c r="B344" t="s">
        <v>2038</v>
      </c>
      <c r="C344" t="s">
        <v>2039</v>
      </c>
      <c r="D344" t="s">
        <v>1973</v>
      </c>
      <c r="E344" t="s">
        <v>800</v>
      </c>
      <c r="F344" s="11">
        <v>46309.333333333336</v>
      </c>
      <c r="G344">
        <v>1</v>
      </c>
      <c r="I344" t="s">
        <v>2040</v>
      </c>
      <c r="J344" t="str">
        <f>IF(ISNUMBER(SEARCH("registro de pre",tEditais[[#This Row],[Objeto]])),"Sim","Não")</f>
        <v>Não</v>
      </c>
      <c r="K344" s="4">
        <f>COUNTIFS(tItens[Edital],tEditais[[#This Row],[Edital]])</f>
        <v>1</v>
      </c>
      <c r="L344" s="4">
        <f>COUNTIFS(tItens[Edital],tEditais[[#This Row],[Edital]],tItens[Foco],"Sim")</f>
        <v>0</v>
      </c>
      <c r="M344" s="8">
        <f>SUMIFS(tItens[Valor],tItens[Edital],tEditais[[#This Row],[Edital]])</f>
        <v>2644.2000000000003</v>
      </c>
      <c r="N344" s="8">
        <f>SUMIFS(tItens[Valor homologado],tItens[Edital],tEditais[[#This Row],[Edital]],tItens[Foco],"Sim")</f>
        <v>0</v>
      </c>
      <c r="O344" t="str">
        <f>IF(tEditais[[#This Row],[Itens do foco]]=0,"",IF(tEditais[[#This Row],[Valor foco homologado]]&lt;=0,"Sem valor",IF(tEditais[[#This Row],[Valor foco homologado]]&gt;=FaixaA_Min,"A",IF(tEditais[[#This Row],[Valor foco homologado]]&gt;=FaixaB_Min,"B","C"))))</f>
        <v/>
      </c>
      <c r="P344" t="str">
        <f ca="1">IF(tEditais[[#This Row],[Encerramento]]&gt;NOW(),"Aberto","Encerrado")</f>
        <v>Encerrado</v>
      </c>
    </row>
    <row r="345" spans="1:16" x14ac:dyDescent="0.25">
      <c r="A345" t="s">
        <v>2041</v>
      </c>
      <c r="B345" t="s">
        <v>2042</v>
      </c>
      <c r="C345" t="s">
        <v>2043</v>
      </c>
      <c r="D345" t="s">
        <v>1973</v>
      </c>
      <c r="E345" t="s">
        <v>716</v>
      </c>
      <c r="F345" s="11">
        <v>46309.333333333336</v>
      </c>
      <c r="G345">
        <v>188</v>
      </c>
      <c r="I345" t="s">
        <v>2044</v>
      </c>
      <c r="J345" t="str">
        <f>IF(ISNUMBER(SEARCH("registro de pre",tEditais[[#This Row],[Objeto]])),"Sim","Não")</f>
        <v>Não</v>
      </c>
      <c r="K345" s="4">
        <f>COUNTIFS(tItens[Edital],tEditais[[#This Row],[Edital]])</f>
        <v>61</v>
      </c>
      <c r="L345" s="4">
        <f>COUNTIFS(tItens[Edital],tEditais[[#This Row],[Edital]],tItens[Foco],"Sim")</f>
        <v>13</v>
      </c>
      <c r="M345" s="8">
        <f>SUMIFS(tItens[Valor],tItens[Edital],tEditais[[#This Row],[Edital]])</f>
        <v>747223.10999999987</v>
      </c>
      <c r="N345" s="8">
        <f>SUMIFS(tItens[Valor homologado],tItens[Edital],tEditais[[#This Row],[Edital]],tItens[Foco],"Sim")</f>
        <v>78277.643299999996</v>
      </c>
      <c r="O345" t="str">
        <f>IF(tEditais[[#This Row],[Itens do foco]]=0,"",IF(tEditais[[#This Row],[Valor foco homologado]]&lt;=0,"Sem valor",IF(tEditais[[#This Row],[Valor foco homologado]]&gt;=FaixaA_Min,"A",IF(tEditais[[#This Row],[Valor foco homologado]]&gt;=FaixaB_Min,"B","C"))))</f>
        <v>B</v>
      </c>
      <c r="P345" t="str">
        <f ca="1">IF(tEditais[[#This Row],[Encerramento]]&gt;NOW(),"Aberto","Encerrado")</f>
        <v>Encerrado</v>
      </c>
    </row>
    <row r="346" spans="1:16" x14ac:dyDescent="0.25">
      <c r="A346" t="s">
        <v>2045</v>
      </c>
      <c r="B346" t="s">
        <v>2046</v>
      </c>
      <c r="C346" t="s">
        <v>2047</v>
      </c>
      <c r="D346" t="s">
        <v>1973</v>
      </c>
      <c r="E346" t="s">
        <v>716</v>
      </c>
      <c r="F346" s="11">
        <v>46309.333333333336</v>
      </c>
      <c r="G346">
        <v>389</v>
      </c>
      <c r="H346" t="s">
        <v>2048</v>
      </c>
      <c r="I346" t="s">
        <v>2049</v>
      </c>
      <c r="J346" t="str">
        <f>IF(ISNUMBER(SEARCH("registro de pre",tEditais[[#This Row],[Objeto]])),"Sim","Não")</f>
        <v>Não</v>
      </c>
      <c r="K346" s="4">
        <f>COUNTIFS(tItens[Edital],tEditais[[#This Row],[Edital]])</f>
        <v>91</v>
      </c>
      <c r="L346" s="4">
        <f>COUNTIFS(tItens[Edital],tEditais[[#This Row],[Edital]],tItens[Foco],"Sim")</f>
        <v>14</v>
      </c>
      <c r="M346" s="8">
        <f>SUMIFS(tItens[Valor],tItens[Edital],tEditais[[#This Row],[Edital]])</f>
        <v>673812.54999999993</v>
      </c>
      <c r="N346" s="8">
        <f>SUMIFS(tItens[Valor homologado],tItens[Edital],tEditais[[#This Row],[Edital]],tItens[Foco],"Sim")</f>
        <v>15426.220000000003</v>
      </c>
      <c r="O346" t="str">
        <f>IF(tEditais[[#This Row],[Itens do foco]]=0,"",IF(tEditais[[#This Row],[Valor foco homologado]]&lt;=0,"Sem valor",IF(tEditais[[#This Row],[Valor foco homologado]]&gt;=FaixaA_Min,"A",IF(tEditais[[#This Row],[Valor foco homologado]]&gt;=FaixaB_Min,"B","C"))))</f>
        <v>C</v>
      </c>
      <c r="P346" t="str">
        <f ca="1">IF(tEditais[[#This Row],[Encerramento]]&gt;NOW(),"Aberto","Encerrado")</f>
        <v>Encerrado</v>
      </c>
    </row>
    <row r="347" spans="1:16" x14ac:dyDescent="0.25">
      <c r="A347" t="s">
        <v>2050</v>
      </c>
      <c r="B347" t="s">
        <v>2051</v>
      </c>
      <c r="C347" t="s">
        <v>2052</v>
      </c>
      <c r="D347" t="s">
        <v>1973</v>
      </c>
      <c r="E347" t="s">
        <v>716</v>
      </c>
      <c r="F347" s="11">
        <v>46309.361111111109</v>
      </c>
      <c r="G347">
        <v>30</v>
      </c>
      <c r="H347" t="s">
        <v>2053</v>
      </c>
      <c r="I347" t="s">
        <v>2054</v>
      </c>
      <c r="J347" t="str">
        <f>IF(ISNUMBER(SEARCH("registro de pre",tEditais[[#This Row],[Objeto]])),"Sim","Não")</f>
        <v>Sim</v>
      </c>
      <c r="K347" s="4">
        <f>COUNTIFS(tItens[Edital],tEditais[[#This Row],[Edital]])</f>
        <v>13</v>
      </c>
      <c r="L347" s="4">
        <f>COUNTIFS(tItens[Edital],tEditais[[#This Row],[Edital]],tItens[Foco],"Sim")</f>
        <v>6</v>
      </c>
      <c r="M347" s="8">
        <f>SUMIFS(tItens[Valor],tItens[Edital],tEditais[[#This Row],[Edital]])</f>
        <v>3792.9</v>
      </c>
      <c r="N347" s="8">
        <f>SUMIFS(tItens[Valor homologado],tItens[Edital],tEditais[[#This Row],[Edital]],tItens[Foco],"Sim")</f>
        <v>339.03800000000001</v>
      </c>
      <c r="O347" t="str">
        <f>IF(tEditais[[#This Row],[Itens do foco]]=0,"",IF(tEditais[[#This Row],[Valor foco homologado]]&lt;=0,"Sem valor",IF(tEditais[[#This Row],[Valor foco homologado]]&gt;=FaixaA_Min,"A",IF(tEditais[[#This Row],[Valor foco homologado]]&gt;=FaixaB_Min,"B","C"))))</f>
        <v>C</v>
      </c>
      <c r="P347" t="str">
        <f ca="1">IF(tEditais[[#This Row],[Encerramento]]&gt;NOW(),"Aberto","Encerrado")</f>
        <v>Encerrado</v>
      </c>
    </row>
    <row r="348" spans="1:16" x14ac:dyDescent="0.25">
      <c r="A348" t="s">
        <v>2055</v>
      </c>
      <c r="B348" t="s">
        <v>2056</v>
      </c>
      <c r="C348" t="s">
        <v>2057</v>
      </c>
      <c r="D348" t="s">
        <v>1973</v>
      </c>
      <c r="E348" t="s">
        <v>716</v>
      </c>
      <c r="F348" s="11">
        <v>46309.374305555553</v>
      </c>
      <c r="G348">
        <v>25</v>
      </c>
      <c r="I348" t="s">
        <v>2058</v>
      </c>
      <c r="J348" t="str">
        <f>IF(ISNUMBER(SEARCH("registro de pre",tEditais[[#This Row],[Objeto]])),"Sim","Não")</f>
        <v>Sim</v>
      </c>
      <c r="K348" s="4">
        <f>COUNTIFS(tItens[Edital],tEditais[[#This Row],[Edital]])</f>
        <v>4</v>
      </c>
      <c r="L348" s="4">
        <f>COUNTIFS(tItens[Edital],tEditais[[#This Row],[Edital]],tItens[Foco],"Sim")</f>
        <v>0</v>
      </c>
      <c r="M348" s="8">
        <f>SUMIFS(tItens[Valor],tItens[Edital],tEditais[[#This Row],[Edital]])</f>
        <v>168214.8</v>
      </c>
      <c r="N348" s="8">
        <f>SUMIFS(tItens[Valor homologado],tItens[Edital],tEditais[[#This Row],[Edital]],tItens[Foco],"Sim")</f>
        <v>0</v>
      </c>
      <c r="O348" t="str">
        <f>IF(tEditais[[#This Row],[Itens do foco]]=0,"",IF(tEditais[[#This Row],[Valor foco homologado]]&lt;=0,"Sem valor",IF(tEditais[[#This Row],[Valor foco homologado]]&gt;=FaixaA_Min,"A",IF(tEditais[[#This Row],[Valor foco homologado]]&gt;=FaixaB_Min,"B","C"))))</f>
        <v/>
      </c>
      <c r="P348" t="str">
        <f ca="1">IF(tEditais[[#This Row],[Encerramento]]&gt;NOW(),"Aberto","Encerrado")</f>
        <v>Encerrado</v>
      </c>
    </row>
    <row r="349" spans="1:16" x14ac:dyDescent="0.25">
      <c r="A349" t="s">
        <v>2059</v>
      </c>
      <c r="B349" t="s">
        <v>2060</v>
      </c>
      <c r="C349" t="s">
        <v>2061</v>
      </c>
      <c r="D349" t="s">
        <v>1973</v>
      </c>
      <c r="E349" t="s">
        <v>716</v>
      </c>
      <c r="F349" s="11">
        <v>46309.374305555553</v>
      </c>
      <c r="G349">
        <v>48</v>
      </c>
      <c r="H349" t="s">
        <v>2062</v>
      </c>
      <c r="I349" t="s">
        <v>2063</v>
      </c>
      <c r="J349" t="str">
        <f>IF(ISNUMBER(SEARCH("registro de pre",tEditais[[#This Row],[Objeto]])),"Sim","Não")</f>
        <v>Sim</v>
      </c>
      <c r="K349" s="4">
        <f>COUNTIFS(tItens[Edital],tEditais[[#This Row],[Edital]])</f>
        <v>10</v>
      </c>
      <c r="L349" s="4">
        <f>COUNTIFS(tItens[Edital],tEditais[[#This Row],[Edital]],tItens[Foco],"Sim")</f>
        <v>0</v>
      </c>
      <c r="M349" s="8">
        <f>SUMIFS(tItens[Valor],tItens[Edital],tEditais[[#This Row],[Edital]])</f>
        <v>2587.25</v>
      </c>
      <c r="N349" s="8">
        <f>SUMIFS(tItens[Valor homologado],tItens[Edital],tEditais[[#This Row],[Edital]],tItens[Foco],"Sim")</f>
        <v>0</v>
      </c>
      <c r="O349" t="str">
        <f>IF(tEditais[[#This Row],[Itens do foco]]=0,"",IF(tEditais[[#This Row],[Valor foco homologado]]&lt;=0,"Sem valor",IF(tEditais[[#This Row],[Valor foco homologado]]&gt;=FaixaA_Min,"A",IF(tEditais[[#This Row],[Valor foco homologado]]&gt;=FaixaB_Min,"B","C"))))</f>
        <v/>
      </c>
      <c r="P349" t="str">
        <f ca="1">IF(tEditais[[#This Row],[Encerramento]]&gt;NOW(),"Aberto","Encerrado")</f>
        <v>Encerrado</v>
      </c>
    </row>
    <row r="350" spans="1:16" x14ac:dyDescent="0.25">
      <c r="A350" t="s">
        <v>2064</v>
      </c>
      <c r="B350" t="s">
        <v>2056</v>
      </c>
      <c r="C350" t="s">
        <v>2057</v>
      </c>
      <c r="D350" t="s">
        <v>1973</v>
      </c>
      <c r="E350" t="s">
        <v>716</v>
      </c>
      <c r="F350" s="11">
        <v>46309.374305555553</v>
      </c>
      <c r="G350">
        <v>25</v>
      </c>
      <c r="H350" t="s">
        <v>2065</v>
      </c>
      <c r="I350" t="s">
        <v>2066</v>
      </c>
      <c r="J350" t="str">
        <f>IF(ISNUMBER(SEARCH("registro de pre",tEditais[[#This Row],[Objeto]])),"Sim","Não")</f>
        <v>Não</v>
      </c>
      <c r="K350" s="4">
        <f>COUNTIFS(tItens[Edital],tEditais[[#This Row],[Edital]])</f>
        <v>1</v>
      </c>
      <c r="L350" s="4">
        <f>COUNTIFS(tItens[Edital],tEditais[[#This Row],[Edital]],tItens[Foco],"Sim")</f>
        <v>0</v>
      </c>
      <c r="M350" s="8">
        <f>SUMIFS(tItens[Valor],tItens[Edital],tEditais[[#This Row],[Edital]])</f>
        <v>7155.42</v>
      </c>
      <c r="N350" s="8">
        <f>SUMIFS(tItens[Valor homologado],tItens[Edital],tEditais[[#This Row],[Edital]],tItens[Foco],"Sim")</f>
        <v>0</v>
      </c>
      <c r="O350" t="str">
        <f>IF(tEditais[[#This Row],[Itens do foco]]=0,"",IF(tEditais[[#This Row],[Valor foco homologado]]&lt;=0,"Sem valor",IF(tEditais[[#This Row],[Valor foco homologado]]&gt;=FaixaA_Min,"A",IF(tEditais[[#This Row],[Valor foco homologado]]&gt;=FaixaB_Min,"B","C"))))</f>
        <v/>
      </c>
      <c r="P350" t="str">
        <f ca="1">IF(tEditais[[#This Row],[Encerramento]]&gt;NOW(),"Aberto","Encerrado")</f>
        <v>Encerrado</v>
      </c>
    </row>
    <row r="351" spans="1:16" x14ac:dyDescent="0.25">
      <c r="A351" t="s">
        <v>2067</v>
      </c>
      <c r="B351" t="s">
        <v>2068</v>
      </c>
      <c r="C351" t="s">
        <v>2052</v>
      </c>
      <c r="D351" t="s">
        <v>1973</v>
      </c>
      <c r="E351" t="s">
        <v>716</v>
      </c>
      <c r="F351" s="11">
        <v>46309.375</v>
      </c>
      <c r="G351">
        <v>5</v>
      </c>
      <c r="H351" t="s">
        <v>2069</v>
      </c>
      <c r="I351" t="s">
        <v>2070</v>
      </c>
      <c r="J351" t="str">
        <f>IF(ISNUMBER(SEARCH("registro de pre",tEditais[[#This Row],[Objeto]])),"Sim","Não")</f>
        <v>Não</v>
      </c>
      <c r="K351" s="4">
        <f>COUNTIFS(tItens[Edital],tEditais[[#This Row],[Edital]])</f>
        <v>3</v>
      </c>
      <c r="L351" s="4">
        <f>COUNTIFS(tItens[Edital],tEditais[[#This Row],[Edital]],tItens[Foco],"Sim")</f>
        <v>0</v>
      </c>
      <c r="M351" s="8">
        <f>SUMIFS(tItens[Valor],tItens[Edital],tEditais[[#This Row],[Edital]])</f>
        <v>27647.5</v>
      </c>
      <c r="N351" s="8">
        <f>SUMIFS(tItens[Valor homologado],tItens[Edital],tEditais[[#This Row],[Edital]],tItens[Foco],"Sim")</f>
        <v>0</v>
      </c>
      <c r="O351" t="str">
        <f>IF(tEditais[[#This Row],[Itens do foco]]=0,"",IF(tEditais[[#This Row],[Valor foco homologado]]&lt;=0,"Sem valor",IF(tEditais[[#This Row],[Valor foco homologado]]&gt;=FaixaA_Min,"A",IF(tEditais[[#This Row],[Valor foco homologado]]&gt;=FaixaB_Min,"B","C"))))</f>
        <v/>
      </c>
      <c r="P351" t="str">
        <f ca="1">IF(tEditais[[#This Row],[Encerramento]]&gt;NOW(),"Aberto","Encerrado")</f>
        <v>Encerrado</v>
      </c>
    </row>
    <row r="352" spans="1:16" x14ac:dyDescent="0.25">
      <c r="A352" t="s">
        <v>2071</v>
      </c>
      <c r="B352" t="s">
        <v>2042</v>
      </c>
      <c r="C352" t="s">
        <v>2043</v>
      </c>
      <c r="D352" t="s">
        <v>1973</v>
      </c>
      <c r="E352" t="s">
        <v>716</v>
      </c>
      <c r="F352" s="11">
        <v>46309.375</v>
      </c>
      <c r="G352">
        <v>188</v>
      </c>
      <c r="H352" t="s">
        <v>2072</v>
      </c>
      <c r="I352" t="s">
        <v>2073</v>
      </c>
      <c r="J352" t="str">
        <f>IF(ISNUMBER(SEARCH("registro de pre",tEditais[[#This Row],[Objeto]])),"Sim","Não")</f>
        <v>Sim</v>
      </c>
      <c r="K352" s="4">
        <f>COUNTIFS(tItens[Edital],tEditais[[#This Row],[Edital]])</f>
        <v>54</v>
      </c>
      <c r="L352" s="4">
        <f>COUNTIFS(tItens[Edital],tEditais[[#This Row],[Edital]],tItens[Foco],"Sim")</f>
        <v>15</v>
      </c>
      <c r="M352" s="8">
        <f>SUMIFS(tItens[Valor],tItens[Edital],tEditais[[#This Row],[Edital]])</f>
        <v>665071.67999999993</v>
      </c>
      <c r="N352" s="8">
        <f>SUMIFS(tItens[Valor homologado],tItens[Edital],tEditais[[#This Row],[Edital]],tItens[Foco],"Sim")</f>
        <v>79540.238799999992</v>
      </c>
      <c r="O352" t="str">
        <f>IF(tEditais[[#This Row],[Itens do foco]]=0,"",IF(tEditais[[#This Row],[Valor foco homologado]]&lt;=0,"Sem valor",IF(tEditais[[#This Row],[Valor foco homologado]]&gt;=FaixaA_Min,"A",IF(tEditais[[#This Row],[Valor foco homologado]]&gt;=FaixaB_Min,"B","C"))))</f>
        <v>B</v>
      </c>
      <c r="P352" t="str">
        <f ca="1">IF(tEditais[[#This Row],[Encerramento]]&gt;NOW(),"Aberto","Encerrado")</f>
        <v>Encerrado</v>
      </c>
    </row>
    <row r="353" spans="1:16" x14ac:dyDescent="0.25">
      <c r="A353" t="s">
        <v>2074</v>
      </c>
      <c r="B353" t="s">
        <v>2075</v>
      </c>
      <c r="C353" t="s">
        <v>2052</v>
      </c>
      <c r="D353" t="s">
        <v>1973</v>
      </c>
      <c r="E353" t="s">
        <v>716</v>
      </c>
      <c r="F353" s="11">
        <v>46309.375</v>
      </c>
      <c r="G353">
        <v>27</v>
      </c>
      <c r="I353" t="s">
        <v>2076</v>
      </c>
      <c r="J353" t="str">
        <f>IF(ISNUMBER(SEARCH("registro de pre",tEditais[[#This Row],[Objeto]])),"Sim","Não")</f>
        <v>Não</v>
      </c>
      <c r="K353" s="4">
        <f>COUNTIFS(tItens[Edital],tEditais[[#This Row],[Edital]])</f>
        <v>1</v>
      </c>
      <c r="L353" s="4">
        <f>COUNTIFS(tItens[Edital],tEditais[[#This Row],[Edital]],tItens[Foco],"Sim")</f>
        <v>0</v>
      </c>
      <c r="M353" s="8">
        <f>SUMIFS(tItens[Valor],tItens[Edital],tEditais[[#This Row],[Edital]])</f>
        <v>16842</v>
      </c>
      <c r="N353" s="8">
        <f>SUMIFS(tItens[Valor homologado],tItens[Edital],tEditais[[#This Row],[Edital]],tItens[Foco],"Sim")</f>
        <v>0</v>
      </c>
      <c r="O353" t="str">
        <f>IF(tEditais[[#This Row],[Itens do foco]]=0,"",IF(tEditais[[#This Row],[Valor foco homologado]]&lt;=0,"Sem valor",IF(tEditais[[#This Row],[Valor foco homologado]]&gt;=FaixaA_Min,"A",IF(tEditais[[#This Row],[Valor foco homologado]]&gt;=FaixaB_Min,"B","C"))))</f>
        <v/>
      </c>
      <c r="P353" t="str">
        <f ca="1">IF(tEditais[[#This Row],[Encerramento]]&gt;NOW(),"Aberto","Encerrado")</f>
        <v>Encerrado</v>
      </c>
    </row>
    <row r="354" spans="1:16" x14ac:dyDescent="0.25">
      <c r="A354" t="s">
        <v>2077</v>
      </c>
      <c r="B354" t="s">
        <v>2078</v>
      </c>
      <c r="C354" t="s">
        <v>1740</v>
      </c>
      <c r="D354" t="s">
        <v>1973</v>
      </c>
      <c r="E354" t="s">
        <v>716</v>
      </c>
      <c r="F354" s="11">
        <v>46309.5625</v>
      </c>
      <c r="G354">
        <v>55</v>
      </c>
      <c r="I354" t="s">
        <v>2079</v>
      </c>
      <c r="J354" t="str">
        <f>IF(ISNUMBER(SEARCH("registro de pre",tEditais[[#This Row],[Objeto]])),"Sim","Não")</f>
        <v>Sim</v>
      </c>
      <c r="K354" s="4">
        <f>COUNTIFS(tItens[Edital],tEditais[[#This Row],[Edital]])</f>
        <v>21</v>
      </c>
      <c r="L354" s="4">
        <f>COUNTIFS(tItens[Edital],tEditais[[#This Row],[Edital]],tItens[Foco],"Sim")</f>
        <v>0</v>
      </c>
      <c r="M354" s="8">
        <f>SUMIFS(tItens[Valor],tItens[Edital],tEditais[[#This Row],[Edital]])</f>
        <v>7751.0800000000008</v>
      </c>
      <c r="N354" s="8">
        <f>SUMIFS(tItens[Valor homologado],tItens[Edital],tEditais[[#This Row],[Edital]],tItens[Foco],"Sim")</f>
        <v>0</v>
      </c>
      <c r="O354" t="str">
        <f>IF(tEditais[[#This Row],[Itens do foco]]=0,"",IF(tEditais[[#This Row],[Valor foco homologado]]&lt;=0,"Sem valor",IF(tEditais[[#This Row],[Valor foco homologado]]&gt;=FaixaA_Min,"A",IF(tEditais[[#This Row],[Valor foco homologado]]&gt;=FaixaB_Min,"B","C"))))</f>
        <v/>
      </c>
      <c r="P354" t="str">
        <f ca="1">IF(tEditais[[#This Row],[Encerramento]]&gt;NOW(),"Aberto","Encerrado")</f>
        <v>Encerrado</v>
      </c>
    </row>
    <row r="355" spans="1:16" x14ac:dyDescent="0.25">
      <c r="A355" t="s">
        <v>2080</v>
      </c>
      <c r="B355" t="s">
        <v>2078</v>
      </c>
      <c r="C355" t="s">
        <v>1740</v>
      </c>
      <c r="D355" t="s">
        <v>1973</v>
      </c>
      <c r="E355" t="s">
        <v>716</v>
      </c>
      <c r="F355" s="11">
        <v>46309.5625</v>
      </c>
      <c r="G355">
        <v>55</v>
      </c>
      <c r="H355" t="s">
        <v>2081</v>
      </c>
      <c r="I355" t="s">
        <v>2082</v>
      </c>
      <c r="J355" t="str">
        <f>IF(ISNUMBER(SEARCH("registro de pre",tEditais[[#This Row],[Objeto]])),"Sim","Não")</f>
        <v>Sim</v>
      </c>
      <c r="K355" s="4">
        <f>COUNTIFS(tItens[Edital],tEditais[[#This Row],[Edital]])</f>
        <v>23</v>
      </c>
      <c r="L355" s="4">
        <f>COUNTIFS(tItens[Edital],tEditais[[#This Row],[Edital]],tItens[Foco],"Sim")</f>
        <v>0</v>
      </c>
      <c r="M355" s="8">
        <f>SUMIFS(tItens[Valor],tItens[Edital],tEditais[[#This Row],[Edital]])</f>
        <v>9424.2200000000012</v>
      </c>
      <c r="N355" s="8">
        <f>SUMIFS(tItens[Valor homologado],tItens[Edital],tEditais[[#This Row],[Edital]],tItens[Foco],"Sim")</f>
        <v>0</v>
      </c>
      <c r="O355" t="str">
        <f>IF(tEditais[[#This Row],[Itens do foco]]=0,"",IF(tEditais[[#This Row],[Valor foco homologado]]&lt;=0,"Sem valor",IF(tEditais[[#This Row],[Valor foco homologado]]&gt;=FaixaA_Min,"A",IF(tEditais[[#This Row],[Valor foco homologado]]&gt;=FaixaB_Min,"B","C"))))</f>
        <v/>
      </c>
      <c r="P355" t="str">
        <f ca="1">IF(tEditais[[#This Row],[Encerramento]]&gt;NOW(),"Aberto","Encerrado")</f>
        <v>Encerrado</v>
      </c>
    </row>
    <row r="356" spans="1:16" x14ac:dyDescent="0.25">
      <c r="A356" t="s">
        <v>2083</v>
      </c>
      <c r="B356" t="s">
        <v>2084</v>
      </c>
      <c r="C356" t="s">
        <v>2085</v>
      </c>
      <c r="D356" t="s">
        <v>1973</v>
      </c>
      <c r="E356" t="s">
        <v>716</v>
      </c>
      <c r="F356" s="11">
        <v>46310.3125</v>
      </c>
      <c r="G356">
        <v>389</v>
      </c>
      <c r="I356" t="s">
        <v>2086</v>
      </c>
      <c r="J356" t="str">
        <f>IF(ISNUMBER(SEARCH("registro de pre",tEditais[[#This Row],[Objeto]])),"Sim","Não")</f>
        <v>Não</v>
      </c>
      <c r="K356" s="4">
        <f>COUNTIFS(tItens[Edital],tEditais[[#This Row],[Edital]])</f>
        <v>18</v>
      </c>
      <c r="L356" s="4">
        <f>COUNTIFS(tItens[Edital],tEditais[[#This Row],[Edital]],tItens[Foco],"Sim")</f>
        <v>1</v>
      </c>
      <c r="M356" s="8">
        <f>SUMIFS(tItens[Valor],tItens[Edital],tEditais[[#This Row],[Edital]])</f>
        <v>134974</v>
      </c>
      <c r="N356" s="8">
        <f>SUMIFS(tItens[Valor homologado],tItens[Edital],tEditais[[#This Row],[Edital]],tItens[Foco],"Sim")</f>
        <v>1446.7199999999998</v>
      </c>
      <c r="O356" t="str">
        <f>IF(tEditais[[#This Row],[Itens do foco]]=0,"",IF(tEditais[[#This Row],[Valor foco homologado]]&lt;=0,"Sem valor",IF(tEditais[[#This Row],[Valor foco homologado]]&gt;=FaixaA_Min,"A",IF(tEditais[[#This Row],[Valor foco homologado]]&gt;=FaixaB_Min,"B","C"))))</f>
        <v>C</v>
      </c>
      <c r="P356" t="str">
        <f ca="1">IF(tEditais[[#This Row],[Encerramento]]&gt;NOW(),"Aberto","Encerrado")</f>
        <v>Encerrado</v>
      </c>
    </row>
    <row r="357" spans="1:16" x14ac:dyDescent="0.25">
      <c r="A357" t="s">
        <v>2087</v>
      </c>
      <c r="B357" t="s">
        <v>2088</v>
      </c>
      <c r="C357" t="s">
        <v>2052</v>
      </c>
      <c r="D357" t="s">
        <v>1973</v>
      </c>
      <c r="E357" t="s">
        <v>800</v>
      </c>
      <c r="F357" s="11">
        <v>46310.333333333336</v>
      </c>
      <c r="G357">
        <v>8</v>
      </c>
      <c r="H357" t="s">
        <v>2089</v>
      </c>
      <c r="I357" t="s">
        <v>2090</v>
      </c>
      <c r="J357" t="str">
        <f>IF(ISNUMBER(SEARCH("registro de pre",tEditais[[#This Row],[Objeto]])),"Sim","Não")</f>
        <v>Não</v>
      </c>
      <c r="K357" s="4">
        <f>COUNTIFS(tItens[Edital],tEditais[[#This Row],[Edital]])</f>
        <v>2</v>
      </c>
      <c r="L357" s="4">
        <f>COUNTIFS(tItens[Edital],tEditais[[#This Row],[Edital]],tItens[Foco],"Sim")</f>
        <v>0</v>
      </c>
      <c r="M357" s="8">
        <f>SUMIFS(tItens[Valor],tItens[Edital],tEditais[[#This Row],[Edital]])</f>
        <v>636</v>
      </c>
      <c r="N357" s="8">
        <f>SUMIFS(tItens[Valor homologado],tItens[Edital],tEditais[[#This Row],[Edital]],tItens[Foco],"Sim")</f>
        <v>0</v>
      </c>
      <c r="O357" t="str">
        <f>IF(tEditais[[#This Row],[Itens do foco]]=0,"",IF(tEditais[[#This Row],[Valor foco homologado]]&lt;=0,"Sem valor",IF(tEditais[[#This Row],[Valor foco homologado]]&gt;=FaixaA_Min,"A",IF(tEditais[[#This Row],[Valor foco homologado]]&gt;=FaixaB_Min,"B","C"))))</f>
        <v/>
      </c>
      <c r="P357" t="str">
        <f ca="1">IF(tEditais[[#This Row],[Encerramento]]&gt;NOW(),"Aberto","Encerrado")</f>
        <v>Encerrado</v>
      </c>
    </row>
    <row r="358" spans="1:16" x14ac:dyDescent="0.25">
      <c r="A358" t="s">
        <v>2091</v>
      </c>
      <c r="B358" t="s">
        <v>2092</v>
      </c>
      <c r="C358" t="s">
        <v>2093</v>
      </c>
      <c r="D358" t="s">
        <v>1973</v>
      </c>
      <c r="E358" t="s">
        <v>800</v>
      </c>
      <c r="F358" s="11">
        <v>46310.333333333336</v>
      </c>
      <c r="G358">
        <v>3</v>
      </c>
      <c r="H358" t="s">
        <v>2094</v>
      </c>
      <c r="I358" t="s">
        <v>2095</v>
      </c>
      <c r="J358" t="str">
        <f>IF(ISNUMBER(SEARCH("registro de pre",tEditais[[#This Row],[Objeto]])),"Sim","Não")</f>
        <v>Não</v>
      </c>
      <c r="K358" s="4">
        <f>COUNTIFS(tItens[Edital],tEditais[[#This Row],[Edital]])</f>
        <v>1</v>
      </c>
      <c r="L358" s="4">
        <f>COUNTIFS(tItens[Edital],tEditais[[#This Row],[Edital]],tItens[Foco],"Sim")</f>
        <v>0</v>
      </c>
      <c r="M358" s="8">
        <f>SUMIFS(tItens[Valor],tItens[Edital],tEditais[[#This Row],[Edital]])</f>
        <v>66</v>
      </c>
      <c r="N358" s="8">
        <f>SUMIFS(tItens[Valor homologado],tItens[Edital],tEditais[[#This Row],[Edital]],tItens[Foco],"Sim")</f>
        <v>0</v>
      </c>
      <c r="O358" t="str">
        <f>IF(tEditais[[#This Row],[Itens do foco]]=0,"",IF(tEditais[[#This Row],[Valor foco homologado]]&lt;=0,"Sem valor",IF(tEditais[[#This Row],[Valor foco homologado]]&gt;=FaixaA_Min,"A",IF(tEditais[[#This Row],[Valor foco homologado]]&gt;=FaixaB_Min,"B","C"))))</f>
        <v/>
      </c>
      <c r="P358" t="str">
        <f ca="1">IF(tEditais[[#This Row],[Encerramento]]&gt;NOW(),"Aberto","Encerrado")</f>
        <v>Encerrado</v>
      </c>
    </row>
    <row r="359" spans="1:16" x14ac:dyDescent="0.25">
      <c r="A359" t="s">
        <v>2096</v>
      </c>
      <c r="B359" t="s">
        <v>2097</v>
      </c>
      <c r="C359" t="s">
        <v>2098</v>
      </c>
      <c r="D359" t="s">
        <v>1973</v>
      </c>
      <c r="E359" t="s">
        <v>716</v>
      </c>
      <c r="F359" s="11">
        <v>46310.333333333336</v>
      </c>
      <c r="G359">
        <v>17</v>
      </c>
      <c r="H359" t="s">
        <v>2099</v>
      </c>
      <c r="I359" t="s">
        <v>2100</v>
      </c>
      <c r="J359" t="str">
        <f>IF(ISNUMBER(SEARCH("registro de pre",tEditais[[#This Row],[Objeto]])),"Sim","Não")</f>
        <v>Sim</v>
      </c>
      <c r="K359" s="4">
        <f>COUNTIFS(tItens[Edital],tEditais[[#This Row],[Edital]])</f>
        <v>2</v>
      </c>
      <c r="L359" s="4">
        <f>COUNTIFS(tItens[Edital],tEditais[[#This Row],[Edital]],tItens[Foco],"Sim")</f>
        <v>0</v>
      </c>
      <c r="M359" s="8">
        <f>SUMIFS(tItens[Valor],tItens[Edital],tEditais[[#This Row],[Edital]])</f>
        <v>13780.5</v>
      </c>
      <c r="N359" s="8">
        <f>SUMIFS(tItens[Valor homologado],tItens[Edital],tEditais[[#This Row],[Edital]],tItens[Foco],"Sim")</f>
        <v>0</v>
      </c>
      <c r="O359" t="str">
        <f>IF(tEditais[[#This Row],[Itens do foco]]=0,"",IF(tEditais[[#This Row],[Valor foco homologado]]&lt;=0,"Sem valor",IF(tEditais[[#This Row],[Valor foco homologado]]&gt;=FaixaA_Min,"A",IF(tEditais[[#This Row],[Valor foco homologado]]&gt;=FaixaB_Min,"B","C"))))</f>
        <v/>
      </c>
      <c r="P359" t="str">
        <f ca="1">IF(tEditais[[#This Row],[Encerramento]]&gt;NOW(),"Aberto","Encerrado")</f>
        <v>Encerrado</v>
      </c>
    </row>
    <row r="360" spans="1:16" x14ac:dyDescent="0.25">
      <c r="A360" t="s">
        <v>2101</v>
      </c>
      <c r="B360" t="s">
        <v>2102</v>
      </c>
      <c r="C360" t="s">
        <v>2103</v>
      </c>
      <c r="D360" t="s">
        <v>1973</v>
      </c>
      <c r="E360" t="s">
        <v>800</v>
      </c>
      <c r="F360" s="11">
        <v>46310.353472222225</v>
      </c>
      <c r="G360">
        <v>21</v>
      </c>
      <c r="H360" t="s">
        <v>2104</v>
      </c>
      <c r="I360" t="s">
        <v>2105</v>
      </c>
      <c r="J360" t="str">
        <f>IF(ISNUMBER(SEARCH("registro de pre",tEditais[[#This Row],[Objeto]])),"Sim","Não")</f>
        <v>Não</v>
      </c>
      <c r="K360" s="4">
        <f>COUNTIFS(tItens[Edital],tEditais[[#This Row],[Edital]])</f>
        <v>10</v>
      </c>
      <c r="L360" s="4">
        <f>COUNTIFS(tItens[Edital],tEditais[[#This Row],[Edital]],tItens[Foco],"Sim")</f>
        <v>2</v>
      </c>
      <c r="M360" s="8">
        <f>SUMIFS(tItens[Valor],tItens[Edital],tEditais[[#This Row],[Edital]])</f>
        <v>4020.5800000000004</v>
      </c>
      <c r="N360" s="8">
        <f>SUMIFS(tItens[Valor homologado],tItens[Edital],tEditais[[#This Row],[Edital]],tItens[Foco],"Sim")</f>
        <v>175.578</v>
      </c>
      <c r="O360" t="str">
        <f>IF(tEditais[[#This Row],[Itens do foco]]=0,"",IF(tEditais[[#This Row],[Valor foco homologado]]&lt;=0,"Sem valor",IF(tEditais[[#This Row],[Valor foco homologado]]&gt;=FaixaA_Min,"A",IF(tEditais[[#This Row],[Valor foco homologado]]&gt;=FaixaB_Min,"B","C"))))</f>
        <v>C</v>
      </c>
      <c r="P360" t="str">
        <f ca="1">IF(tEditais[[#This Row],[Encerramento]]&gt;NOW(),"Aberto","Encerrado")</f>
        <v>Encerrado</v>
      </c>
    </row>
    <row r="361" spans="1:16" x14ac:dyDescent="0.25">
      <c r="A361" t="s">
        <v>2106</v>
      </c>
      <c r="B361" t="s">
        <v>2102</v>
      </c>
      <c r="C361" t="s">
        <v>2057</v>
      </c>
      <c r="D361" t="s">
        <v>1973</v>
      </c>
      <c r="E361" t="s">
        <v>716</v>
      </c>
      <c r="F361" s="11">
        <v>46310.354166666664</v>
      </c>
      <c r="G361">
        <v>2</v>
      </c>
      <c r="H361" t="s">
        <v>2107</v>
      </c>
      <c r="I361" t="s">
        <v>2108</v>
      </c>
      <c r="J361" t="str">
        <f>IF(ISNUMBER(SEARCH("registro de pre",tEditais[[#This Row],[Objeto]])),"Sim","Não")</f>
        <v>Não</v>
      </c>
      <c r="K361" s="4">
        <f>COUNTIFS(tItens[Edital],tEditais[[#This Row],[Edital]])</f>
        <v>2</v>
      </c>
      <c r="L361" s="4">
        <f>COUNTIFS(tItens[Edital],tEditais[[#This Row],[Edital]],tItens[Foco],"Sim")</f>
        <v>0</v>
      </c>
      <c r="M361" s="8">
        <f>SUMIFS(tItens[Valor],tItens[Edital],tEditais[[#This Row],[Edital]])</f>
        <v>2991800</v>
      </c>
      <c r="N361" s="8">
        <f>SUMIFS(tItens[Valor homologado],tItens[Edital],tEditais[[#This Row],[Edital]],tItens[Foco],"Sim")</f>
        <v>0</v>
      </c>
      <c r="O361" t="str">
        <f>IF(tEditais[[#This Row],[Itens do foco]]=0,"",IF(tEditais[[#This Row],[Valor foco homologado]]&lt;=0,"Sem valor",IF(tEditais[[#This Row],[Valor foco homologado]]&gt;=FaixaA_Min,"A",IF(tEditais[[#This Row],[Valor foco homologado]]&gt;=FaixaB_Min,"B","C"))))</f>
        <v/>
      </c>
      <c r="P361" t="str">
        <f ca="1">IF(tEditais[[#This Row],[Encerramento]]&gt;NOW(),"Aberto","Encerrado")</f>
        <v>Encerrado</v>
      </c>
    </row>
    <row r="362" spans="1:16" x14ac:dyDescent="0.25">
      <c r="A362" t="s">
        <v>2109</v>
      </c>
      <c r="B362" t="s">
        <v>2110</v>
      </c>
      <c r="C362" t="s">
        <v>2111</v>
      </c>
      <c r="D362" t="s">
        <v>1973</v>
      </c>
      <c r="E362" t="s">
        <v>716</v>
      </c>
      <c r="F362" s="11">
        <v>46310.354166666664</v>
      </c>
      <c r="G362">
        <v>383</v>
      </c>
      <c r="I362" t="s">
        <v>2112</v>
      </c>
      <c r="J362" t="str">
        <f>IF(ISNUMBER(SEARCH("registro de pre",tEditais[[#This Row],[Objeto]])),"Sim","Não")</f>
        <v>Não</v>
      </c>
      <c r="K362" s="4">
        <f>COUNTIFS(tItens[Edital],tEditais[[#This Row],[Edital]])</f>
        <v>28</v>
      </c>
      <c r="L362" s="4">
        <f>COUNTIFS(tItens[Edital],tEditais[[#This Row],[Edital]],tItens[Foco],"Sim")</f>
        <v>5</v>
      </c>
      <c r="M362" s="8">
        <f>SUMIFS(tItens[Valor],tItens[Edital],tEditais[[#This Row],[Edital]])</f>
        <v>44071.850000000006</v>
      </c>
      <c r="N362" s="8">
        <f>SUMIFS(tItens[Valor homologado],tItens[Edital],tEditais[[#This Row],[Edital]],tItens[Foco],"Sim")</f>
        <v>2131.2840000000001</v>
      </c>
      <c r="O362" t="str">
        <f>IF(tEditais[[#This Row],[Itens do foco]]=0,"",IF(tEditais[[#This Row],[Valor foco homologado]]&lt;=0,"Sem valor",IF(tEditais[[#This Row],[Valor foco homologado]]&gt;=FaixaA_Min,"A",IF(tEditais[[#This Row],[Valor foco homologado]]&gt;=FaixaB_Min,"B","C"))))</f>
        <v>C</v>
      </c>
      <c r="P362" t="str">
        <f ca="1">IF(tEditais[[#This Row],[Encerramento]]&gt;NOW(),"Aberto","Encerrado")</f>
        <v>Encerrado</v>
      </c>
    </row>
    <row r="363" spans="1:16" x14ac:dyDescent="0.25">
      <c r="A363" t="s">
        <v>2113</v>
      </c>
      <c r="B363" t="s">
        <v>2114</v>
      </c>
      <c r="C363" t="s">
        <v>2115</v>
      </c>
      <c r="D363" t="s">
        <v>1973</v>
      </c>
      <c r="E363" t="s">
        <v>716</v>
      </c>
      <c r="F363" s="11">
        <v>46310.354166666664</v>
      </c>
      <c r="G363">
        <v>182</v>
      </c>
      <c r="I363" t="s">
        <v>2116</v>
      </c>
      <c r="J363" t="str">
        <f>IF(ISNUMBER(SEARCH("registro de pre",tEditais[[#This Row],[Objeto]])),"Sim","Não")</f>
        <v>Não</v>
      </c>
      <c r="K363" s="4">
        <f>COUNTIFS(tItens[Edital],tEditais[[#This Row],[Edital]])</f>
        <v>24</v>
      </c>
      <c r="L363" s="4">
        <f>COUNTIFS(tItens[Edital],tEditais[[#This Row],[Edital]],tItens[Foco],"Sim")</f>
        <v>1</v>
      </c>
      <c r="M363" s="8">
        <f>SUMIFS(tItens[Valor],tItens[Edital],tEditais[[#This Row],[Edital]])</f>
        <v>36237.349999999991</v>
      </c>
      <c r="N363" s="8">
        <f>SUMIFS(tItens[Valor homologado],tItens[Edital],tEditais[[#This Row],[Edital]],tItens[Foco],"Sim")</f>
        <v>216.43299999999999</v>
      </c>
      <c r="O363" t="str">
        <f>IF(tEditais[[#This Row],[Itens do foco]]=0,"",IF(tEditais[[#This Row],[Valor foco homologado]]&lt;=0,"Sem valor",IF(tEditais[[#This Row],[Valor foco homologado]]&gt;=FaixaA_Min,"A",IF(tEditais[[#This Row],[Valor foco homologado]]&gt;=FaixaB_Min,"B","C"))))</f>
        <v>C</v>
      </c>
      <c r="P363" t="str">
        <f ca="1">IF(tEditais[[#This Row],[Encerramento]]&gt;NOW(),"Aberto","Encerrado")</f>
        <v>Encerrado</v>
      </c>
    </row>
    <row r="364" spans="1:16" x14ac:dyDescent="0.25">
      <c r="A364" t="s">
        <v>2117</v>
      </c>
      <c r="B364" t="s">
        <v>2118</v>
      </c>
      <c r="C364" t="s">
        <v>2119</v>
      </c>
      <c r="D364" t="s">
        <v>1973</v>
      </c>
      <c r="E364" t="s">
        <v>716</v>
      </c>
      <c r="F364" s="11">
        <v>46310.374305555553</v>
      </c>
      <c r="G364">
        <v>68</v>
      </c>
      <c r="I364" t="s">
        <v>2120</v>
      </c>
      <c r="J364" t="str">
        <f>IF(ISNUMBER(SEARCH("registro de pre",tEditais[[#This Row],[Objeto]])),"Sim","Não")</f>
        <v>Não</v>
      </c>
      <c r="K364" s="4">
        <f>COUNTIFS(tItens[Edital],tEditais[[#This Row],[Edital]])</f>
        <v>1</v>
      </c>
      <c r="L364" s="4">
        <f>COUNTIFS(tItens[Edital],tEditais[[#This Row],[Edital]],tItens[Foco],"Sim")</f>
        <v>0</v>
      </c>
      <c r="M364" s="8">
        <f>SUMIFS(tItens[Valor],tItens[Edital],tEditais[[#This Row],[Edital]])</f>
        <v>142.65</v>
      </c>
      <c r="N364" s="8">
        <f>SUMIFS(tItens[Valor homologado],tItens[Edital],tEditais[[#This Row],[Edital]],tItens[Foco],"Sim")</f>
        <v>0</v>
      </c>
      <c r="O364" t="str">
        <f>IF(tEditais[[#This Row],[Itens do foco]]=0,"",IF(tEditais[[#This Row],[Valor foco homologado]]&lt;=0,"Sem valor",IF(tEditais[[#This Row],[Valor foco homologado]]&gt;=FaixaA_Min,"A",IF(tEditais[[#This Row],[Valor foco homologado]]&gt;=FaixaB_Min,"B","C"))))</f>
        <v/>
      </c>
      <c r="P364" t="str">
        <f ca="1">IF(tEditais[[#This Row],[Encerramento]]&gt;NOW(),"Aberto","Encerrado")</f>
        <v>Encerrado</v>
      </c>
    </row>
    <row r="365" spans="1:16" x14ac:dyDescent="0.25">
      <c r="A365" t="s">
        <v>2121</v>
      </c>
      <c r="B365" t="s">
        <v>2068</v>
      </c>
      <c r="C365" t="s">
        <v>2052</v>
      </c>
      <c r="D365" t="s">
        <v>1973</v>
      </c>
      <c r="E365" t="s">
        <v>716</v>
      </c>
      <c r="F365" s="11">
        <v>46310.375</v>
      </c>
      <c r="G365">
        <v>7</v>
      </c>
      <c r="H365" t="s">
        <v>2122</v>
      </c>
      <c r="I365" t="s">
        <v>2123</v>
      </c>
      <c r="J365" t="str">
        <f>IF(ISNUMBER(SEARCH("registro de pre",tEditais[[#This Row],[Objeto]])),"Sim","Não")</f>
        <v>Sim</v>
      </c>
      <c r="K365" s="4">
        <f>COUNTIFS(tItens[Edital],tEditais[[#This Row],[Edital]])</f>
        <v>3</v>
      </c>
      <c r="L365" s="4">
        <f>COUNTIFS(tItens[Edital],tEditais[[#This Row],[Edital]],tItens[Foco],"Sim")</f>
        <v>0</v>
      </c>
      <c r="M365" s="8">
        <f>SUMIFS(tItens[Valor],tItens[Edital],tEditais[[#This Row],[Edital]])</f>
        <v>16677.2</v>
      </c>
      <c r="N365" s="8">
        <f>SUMIFS(tItens[Valor homologado],tItens[Edital],tEditais[[#This Row],[Edital]],tItens[Foco],"Sim")</f>
        <v>0</v>
      </c>
      <c r="O365" t="str">
        <f>IF(tEditais[[#This Row],[Itens do foco]]=0,"",IF(tEditais[[#This Row],[Valor foco homologado]]&lt;=0,"Sem valor",IF(tEditais[[#This Row],[Valor foco homologado]]&gt;=FaixaA_Min,"A",IF(tEditais[[#This Row],[Valor foco homologado]]&gt;=FaixaB_Min,"B","C"))))</f>
        <v/>
      </c>
      <c r="P365" t="str">
        <f ca="1">IF(tEditais[[#This Row],[Encerramento]]&gt;NOW(),"Aberto","Encerrado")</f>
        <v>Encerrado</v>
      </c>
    </row>
    <row r="366" spans="1:16" x14ac:dyDescent="0.25">
      <c r="A366" t="s">
        <v>2124</v>
      </c>
      <c r="B366" t="s">
        <v>2068</v>
      </c>
      <c r="C366" t="s">
        <v>2052</v>
      </c>
      <c r="D366" t="s">
        <v>1973</v>
      </c>
      <c r="E366" t="s">
        <v>716</v>
      </c>
      <c r="F366" s="11">
        <v>46310.375</v>
      </c>
      <c r="G366">
        <v>28</v>
      </c>
      <c r="H366" t="s">
        <v>2125</v>
      </c>
      <c r="I366" t="s">
        <v>2126</v>
      </c>
      <c r="J366" t="str">
        <f>IF(ISNUMBER(SEARCH("registro de pre",tEditais[[#This Row],[Objeto]])),"Sim","Não")</f>
        <v>Sim</v>
      </c>
      <c r="K366" s="4">
        <f>COUNTIFS(tItens[Edital],tEditais[[#This Row],[Edital]])</f>
        <v>8</v>
      </c>
      <c r="L366" s="4">
        <f>COUNTIFS(tItens[Edital],tEditais[[#This Row],[Edital]],tItens[Foco],"Sim")</f>
        <v>0</v>
      </c>
      <c r="M366" s="8">
        <f>SUMIFS(tItens[Valor],tItens[Edital],tEditais[[#This Row],[Edital]])</f>
        <v>2337460.62</v>
      </c>
      <c r="N366" s="8">
        <f>SUMIFS(tItens[Valor homologado],tItens[Edital],tEditais[[#This Row],[Edital]],tItens[Foco],"Sim")</f>
        <v>0</v>
      </c>
      <c r="O366" t="str">
        <f>IF(tEditais[[#This Row],[Itens do foco]]=0,"",IF(tEditais[[#This Row],[Valor foco homologado]]&lt;=0,"Sem valor",IF(tEditais[[#This Row],[Valor foco homologado]]&gt;=FaixaA_Min,"A",IF(tEditais[[#This Row],[Valor foco homologado]]&gt;=FaixaB_Min,"B","C"))))</f>
        <v/>
      </c>
      <c r="P366" t="str">
        <f ca="1">IF(tEditais[[#This Row],[Encerramento]]&gt;NOW(),"Aberto","Encerrado")</f>
        <v>Encerrado</v>
      </c>
    </row>
    <row r="367" spans="1:16" x14ac:dyDescent="0.25">
      <c r="A367" t="s">
        <v>2127</v>
      </c>
      <c r="B367" t="s">
        <v>2128</v>
      </c>
      <c r="C367" t="s">
        <v>2129</v>
      </c>
      <c r="D367" t="s">
        <v>1973</v>
      </c>
      <c r="E367" t="s">
        <v>716</v>
      </c>
      <c r="F367" s="11">
        <v>46310.375</v>
      </c>
      <c r="G367">
        <v>61</v>
      </c>
      <c r="H367" t="s">
        <v>2130</v>
      </c>
      <c r="I367" t="s">
        <v>2131</v>
      </c>
      <c r="J367" t="str">
        <f>IF(ISNUMBER(SEARCH("registro de pre",tEditais[[#This Row],[Objeto]])),"Sim","Não")</f>
        <v>Sim</v>
      </c>
      <c r="K367" s="4">
        <f>COUNTIFS(tItens[Edital],tEditais[[#This Row],[Edital]])</f>
        <v>3</v>
      </c>
      <c r="L367" s="4">
        <f>COUNTIFS(tItens[Edital],tEditais[[#This Row],[Edital]],tItens[Foco],"Sim")</f>
        <v>0</v>
      </c>
      <c r="M367" s="8">
        <f>SUMIFS(tItens[Valor],tItens[Edital],tEditais[[#This Row],[Edital]])</f>
        <v>177120.8</v>
      </c>
      <c r="N367" s="8">
        <f>SUMIFS(tItens[Valor homologado],tItens[Edital],tEditais[[#This Row],[Edital]],tItens[Foco],"Sim")</f>
        <v>0</v>
      </c>
      <c r="O367" t="str">
        <f>IF(tEditais[[#This Row],[Itens do foco]]=0,"",IF(tEditais[[#This Row],[Valor foco homologado]]&lt;=0,"Sem valor",IF(tEditais[[#This Row],[Valor foco homologado]]&gt;=FaixaA_Min,"A",IF(tEditais[[#This Row],[Valor foco homologado]]&gt;=FaixaB_Min,"B","C"))))</f>
        <v/>
      </c>
      <c r="P367" t="str">
        <f ca="1">IF(tEditais[[#This Row],[Encerramento]]&gt;NOW(),"Aberto","Encerrado")</f>
        <v>Encerrado</v>
      </c>
    </row>
    <row r="368" spans="1:16" x14ac:dyDescent="0.25">
      <c r="A368" t="s">
        <v>2132</v>
      </c>
      <c r="B368" t="s">
        <v>1089</v>
      </c>
      <c r="C368" t="s">
        <v>2052</v>
      </c>
      <c r="D368" t="s">
        <v>1973</v>
      </c>
      <c r="E368" t="s">
        <v>716</v>
      </c>
      <c r="F368" s="11">
        <v>46310.381944444445</v>
      </c>
      <c r="G368">
        <v>28</v>
      </c>
      <c r="I368" t="s">
        <v>2133</v>
      </c>
      <c r="J368" t="str">
        <f>IF(ISNUMBER(SEARCH("registro de pre",tEditais[[#This Row],[Objeto]])),"Sim","Não")</f>
        <v>Sim</v>
      </c>
      <c r="K368" s="4">
        <f>COUNTIFS(tItens[Edital],tEditais[[#This Row],[Edital]])</f>
        <v>9</v>
      </c>
      <c r="L368" s="4">
        <f>COUNTIFS(tItens[Edital],tEditais[[#This Row],[Edital]],tItens[Foco],"Sim")</f>
        <v>0</v>
      </c>
      <c r="M368" s="8">
        <f>SUMIFS(tItens[Valor],tItens[Edital],tEditais[[#This Row],[Edital]])</f>
        <v>1100616.6200000001</v>
      </c>
      <c r="N368" s="8">
        <f>SUMIFS(tItens[Valor homologado],tItens[Edital],tEditais[[#This Row],[Edital]],tItens[Foco],"Sim")</f>
        <v>0</v>
      </c>
      <c r="O368" t="str">
        <f>IF(tEditais[[#This Row],[Itens do foco]]=0,"",IF(tEditais[[#This Row],[Valor foco homologado]]&lt;=0,"Sem valor",IF(tEditais[[#This Row],[Valor foco homologado]]&gt;=FaixaA_Min,"A",IF(tEditais[[#This Row],[Valor foco homologado]]&gt;=FaixaB_Min,"B","C"))))</f>
        <v/>
      </c>
      <c r="P368" t="str">
        <f ca="1">IF(tEditais[[#This Row],[Encerramento]]&gt;NOW(),"Aberto","Encerrado")</f>
        <v>Encerrado</v>
      </c>
    </row>
    <row r="369" spans="1:16" x14ac:dyDescent="0.25">
      <c r="A369" t="s">
        <v>2134</v>
      </c>
      <c r="B369" t="s">
        <v>2135</v>
      </c>
      <c r="C369" t="s">
        <v>2136</v>
      </c>
      <c r="D369" t="s">
        <v>1973</v>
      </c>
      <c r="E369" t="s">
        <v>716</v>
      </c>
      <c r="F369" s="11">
        <v>46310.395833333336</v>
      </c>
      <c r="G369">
        <v>28</v>
      </c>
      <c r="H369" t="s">
        <v>2137</v>
      </c>
      <c r="I369" t="s">
        <v>2138</v>
      </c>
      <c r="J369" t="str">
        <f>IF(ISNUMBER(SEARCH("registro de pre",tEditais[[#This Row],[Objeto]])),"Sim","Não")</f>
        <v>Não</v>
      </c>
      <c r="K369" s="4">
        <f>COUNTIFS(tItens[Edital],tEditais[[#This Row],[Edital]])</f>
        <v>1</v>
      </c>
      <c r="L369" s="4">
        <f>COUNTIFS(tItens[Edital],tEditais[[#This Row],[Edital]],tItens[Foco],"Sim")</f>
        <v>1</v>
      </c>
      <c r="M369" s="8">
        <f>SUMIFS(tItens[Valor],tItens[Edital],tEditais[[#This Row],[Edital]])</f>
        <v>40</v>
      </c>
      <c r="N369" s="8">
        <f>SUMIFS(tItens[Valor homologado],tItens[Edital],tEditais[[#This Row],[Edital]],tItens[Foco],"Sim")</f>
        <v>26.4</v>
      </c>
      <c r="O369" t="str">
        <f>IF(tEditais[[#This Row],[Itens do foco]]=0,"",IF(tEditais[[#This Row],[Valor foco homologado]]&lt;=0,"Sem valor",IF(tEditais[[#This Row],[Valor foco homologado]]&gt;=FaixaA_Min,"A",IF(tEditais[[#This Row],[Valor foco homologado]]&gt;=FaixaB_Min,"B","C"))))</f>
        <v>C</v>
      </c>
      <c r="P369" t="str">
        <f ca="1">IF(tEditais[[#This Row],[Encerramento]]&gt;NOW(),"Aberto","Encerrado")</f>
        <v>Encerrado</v>
      </c>
    </row>
    <row r="370" spans="1:16" x14ac:dyDescent="0.25">
      <c r="A370" t="s">
        <v>2139</v>
      </c>
      <c r="B370" t="s">
        <v>1089</v>
      </c>
      <c r="C370" t="s">
        <v>2052</v>
      </c>
      <c r="D370" t="s">
        <v>1973</v>
      </c>
      <c r="E370" t="s">
        <v>716</v>
      </c>
      <c r="F370" s="11">
        <v>46310.395833333336</v>
      </c>
      <c r="G370">
        <v>7</v>
      </c>
      <c r="I370" t="s">
        <v>2140</v>
      </c>
      <c r="J370" t="str">
        <f>IF(ISNUMBER(SEARCH("registro de pre",tEditais[[#This Row],[Objeto]])),"Sim","Não")</f>
        <v>Sim</v>
      </c>
      <c r="K370" s="4">
        <f>COUNTIFS(tItens[Edital],tEditais[[#This Row],[Edital]])</f>
        <v>3</v>
      </c>
      <c r="L370" s="4">
        <f>COUNTIFS(tItens[Edital],tEditais[[#This Row],[Edital]],tItens[Foco],"Sim")</f>
        <v>0</v>
      </c>
      <c r="M370" s="8">
        <f>SUMIFS(tItens[Valor],tItens[Edital],tEditais[[#This Row],[Edital]])</f>
        <v>16677.2</v>
      </c>
      <c r="N370" s="8">
        <f>SUMIFS(tItens[Valor homologado],tItens[Edital],tEditais[[#This Row],[Edital]],tItens[Foco],"Sim")</f>
        <v>0</v>
      </c>
      <c r="O370" t="str">
        <f>IF(tEditais[[#This Row],[Itens do foco]]=0,"",IF(tEditais[[#This Row],[Valor foco homologado]]&lt;=0,"Sem valor",IF(tEditais[[#This Row],[Valor foco homologado]]&gt;=FaixaA_Min,"A",IF(tEditais[[#This Row],[Valor foco homologado]]&gt;=FaixaB_Min,"B","C"))))</f>
        <v/>
      </c>
      <c r="P370" t="str">
        <f ca="1">IF(tEditais[[#This Row],[Encerramento]]&gt;NOW(),"Aberto","Encerrado")</f>
        <v>Encerrado</v>
      </c>
    </row>
    <row r="371" spans="1:16" x14ac:dyDescent="0.25">
      <c r="A371" t="s">
        <v>2141</v>
      </c>
      <c r="B371" t="s">
        <v>2142</v>
      </c>
      <c r="C371" t="s">
        <v>2143</v>
      </c>
      <c r="D371" t="s">
        <v>1973</v>
      </c>
      <c r="E371" t="s">
        <v>716</v>
      </c>
      <c r="F371" s="11">
        <v>46310.541666666664</v>
      </c>
      <c r="G371">
        <v>119</v>
      </c>
      <c r="H371" t="s">
        <v>2144</v>
      </c>
      <c r="I371" t="s">
        <v>2145</v>
      </c>
      <c r="J371" t="str">
        <f>IF(ISNUMBER(SEARCH("registro de pre",tEditais[[#This Row],[Objeto]])),"Sim","Não")</f>
        <v>Sim</v>
      </c>
      <c r="K371" s="4">
        <f>COUNTIFS(tItens[Edital],tEditais[[#This Row],[Edital]])</f>
        <v>1</v>
      </c>
      <c r="L371" s="4">
        <f>COUNTIFS(tItens[Edital],tEditais[[#This Row],[Edital]],tItens[Foco],"Sim")</f>
        <v>1</v>
      </c>
      <c r="M371" s="8">
        <f>SUMIFS(tItens[Valor],tItens[Edital],tEditais[[#This Row],[Edital]])</f>
        <v>666.7</v>
      </c>
      <c r="N371" s="8">
        <f>SUMIFS(tItens[Valor homologado],tItens[Edital],tEditais[[#This Row],[Edital]],tItens[Foco],"Sim")</f>
        <v>406.68700000000001</v>
      </c>
      <c r="O371" t="str">
        <f>IF(tEditais[[#This Row],[Itens do foco]]=0,"",IF(tEditais[[#This Row],[Valor foco homologado]]&lt;=0,"Sem valor",IF(tEditais[[#This Row],[Valor foco homologado]]&gt;=FaixaA_Min,"A",IF(tEditais[[#This Row],[Valor foco homologado]]&gt;=FaixaB_Min,"B","C"))))</f>
        <v>C</v>
      </c>
      <c r="P371" t="str">
        <f ca="1">IF(tEditais[[#This Row],[Encerramento]]&gt;NOW(),"Aberto","Encerrado")</f>
        <v>Encerrado</v>
      </c>
    </row>
    <row r="372" spans="1:16" x14ac:dyDescent="0.25">
      <c r="A372" t="s">
        <v>2146</v>
      </c>
      <c r="B372" t="s">
        <v>2147</v>
      </c>
      <c r="C372" t="s">
        <v>2148</v>
      </c>
      <c r="D372" t="s">
        <v>1973</v>
      </c>
      <c r="E372" t="s">
        <v>716</v>
      </c>
      <c r="F372" s="11">
        <v>46311.333333333336</v>
      </c>
      <c r="G372">
        <v>423</v>
      </c>
      <c r="H372" t="s">
        <v>2149</v>
      </c>
      <c r="I372" t="s">
        <v>2150</v>
      </c>
      <c r="J372" t="str">
        <f>IF(ISNUMBER(SEARCH("registro de pre",tEditais[[#This Row],[Objeto]])),"Sim","Não")</f>
        <v>Sim</v>
      </c>
      <c r="K372" s="4">
        <f>COUNTIFS(tItens[Edital],tEditais[[#This Row],[Edital]])</f>
        <v>139</v>
      </c>
      <c r="L372" s="4">
        <f>COUNTIFS(tItens[Edital],tEditais[[#This Row],[Edital]],tItens[Foco],"Sim")</f>
        <v>21</v>
      </c>
      <c r="M372" s="8">
        <f>SUMIFS(tItens[Valor],tItens[Edital],tEditais[[#This Row],[Edital]])</f>
        <v>1253292.78</v>
      </c>
      <c r="N372" s="8">
        <f>SUMIFS(tItens[Valor homologado],tItens[Edital],tEditais[[#This Row],[Edital]],tItens[Foco],"Sim")</f>
        <v>122198.79699999998</v>
      </c>
      <c r="O372" t="str">
        <f>IF(tEditais[[#This Row],[Itens do foco]]=0,"",IF(tEditais[[#This Row],[Valor foco homologado]]&lt;=0,"Sem valor",IF(tEditais[[#This Row],[Valor foco homologado]]&gt;=FaixaA_Min,"A",IF(tEditais[[#This Row],[Valor foco homologado]]&gt;=FaixaB_Min,"B","C"))))</f>
        <v>A</v>
      </c>
      <c r="P372" t="str">
        <f ca="1">IF(tEditais[[#This Row],[Encerramento]]&gt;NOW(),"Aberto","Encerrado")</f>
        <v>Aberto</v>
      </c>
    </row>
    <row r="373" spans="1:16" x14ac:dyDescent="0.25">
      <c r="A373" t="s">
        <v>2151</v>
      </c>
      <c r="B373" t="s">
        <v>2152</v>
      </c>
      <c r="C373" t="s">
        <v>2153</v>
      </c>
      <c r="D373" t="s">
        <v>1973</v>
      </c>
      <c r="E373" t="s">
        <v>716</v>
      </c>
      <c r="F373" s="11">
        <v>46311.34375</v>
      </c>
      <c r="G373">
        <v>19</v>
      </c>
      <c r="I373" t="s">
        <v>2154</v>
      </c>
      <c r="J373" t="str">
        <f>IF(ISNUMBER(SEARCH("registro de pre",tEditais[[#This Row],[Objeto]])),"Sim","Não")</f>
        <v>Não</v>
      </c>
      <c r="K373" s="4">
        <f>COUNTIFS(tItens[Edital],tEditais[[#This Row],[Edital]])</f>
        <v>3</v>
      </c>
      <c r="L373" s="4">
        <f>COUNTIFS(tItens[Edital],tEditais[[#This Row],[Edital]],tItens[Foco],"Sim")</f>
        <v>0</v>
      </c>
      <c r="M373" s="8">
        <f>SUMIFS(tItens[Valor],tItens[Edital],tEditais[[#This Row],[Edital]])</f>
        <v>47382</v>
      </c>
      <c r="N373" s="8">
        <f>SUMIFS(tItens[Valor homologado],tItens[Edital],tEditais[[#This Row],[Edital]],tItens[Foco],"Sim")</f>
        <v>0</v>
      </c>
      <c r="O373" t="str">
        <f>IF(tEditais[[#This Row],[Itens do foco]]=0,"",IF(tEditais[[#This Row],[Valor foco homologado]]&lt;=0,"Sem valor",IF(tEditais[[#This Row],[Valor foco homologado]]&gt;=FaixaA_Min,"A",IF(tEditais[[#This Row],[Valor foco homologado]]&gt;=FaixaB_Min,"B","C"))))</f>
        <v/>
      </c>
      <c r="P373" t="str">
        <f ca="1">IF(tEditais[[#This Row],[Encerramento]]&gt;NOW(),"Aberto","Encerrado")</f>
        <v>Aberto</v>
      </c>
    </row>
    <row r="374" spans="1:16" x14ac:dyDescent="0.25">
      <c r="A374" t="s">
        <v>2155</v>
      </c>
      <c r="B374" t="s">
        <v>2156</v>
      </c>
      <c r="C374" t="s">
        <v>2157</v>
      </c>
      <c r="D374" t="s">
        <v>1973</v>
      </c>
      <c r="E374" t="s">
        <v>716</v>
      </c>
      <c r="F374" s="11">
        <v>46311.354166666664</v>
      </c>
      <c r="G374">
        <v>46</v>
      </c>
      <c r="I374" t="s">
        <v>2158</v>
      </c>
      <c r="J374" t="str">
        <f>IF(ISNUMBER(SEARCH("registro de pre",tEditais[[#This Row],[Objeto]])),"Sim","Não")</f>
        <v>Sim</v>
      </c>
      <c r="K374" s="4">
        <f>COUNTIFS(tItens[Edital],tEditais[[#This Row],[Edital]])</f>
        <v>5</v>
      </c>
      <c r="L374" s="4">
        <f>COUNTIFS(tItens[Edital],tEditais[[#This Row],[Edital]],tItens[Foco],"Sim")</f>
        <v>2</v>
      </c>
      <c r="M374" s="8">
        <f>SUMIFS(tItens[Valor],tItens[Edital],tEditais[[#This Row],[Edital]])</f>
        <v>20013.739999999998</v>
      </c>
      <c r="N374" s="8">
        <f>SUMIFS(tItens[Valor homologado],tItens[Edital],tEditais[[#This Row],[Edital]],tItens[Foco],"Sim")</f>
        <v>5443.4785999999995</v>
      </c>
      <c r="O374" t="str">
        <f>IF(tEditais[[#This Row],[Itens do foco]]=0,"",IF(tEditais[[#This Row],[Valor foco homologado]]&lt;=0,"Sem valor",IF(tEditais[[#This Row],[Valor foco homologado]]&gt;=FaixaA_Min,"A",IF(tEditais[[#This Row],[Valor foco homologado]]&gt;=FaixaB_Min,"B","C"))))</f>
        <v>C</v>
      </c>
      <c r="P374" t="str">
        <f ca="1">IF(tEditais[[#This Row],[Encerramento]]&gt;NOW(),"Aberto","Encerrado")</f>
        <v>Aberto</v>
      </c>
    </row>
    <row r="375" spans="1:16" x14ac:dyDescent="0.25">
      <c r="A375" t="s">
        <v>2159</v>
      </c>
      <c r="B375" t="s">
        <v>2051</v>
      </c>
      <c r="C375" t="s">
        <v>2052</v>
      </c>
      <c r="D375" t="s">
        <v>1973</v>
      </c>
      <c r="E375" t="s">
        <v>716</v>
      </c>
      <c r="F375" s="11">
        <v>46311.361111111109</v>
      </c>
      <c r="G375">
        <v>27</v>
      </c>
      <c r="H375" t="s">
        <v>2160</v>
      </c>
      <c r="I375" t="s">
        <v>2161</v>
      </c>
      <c r="J375" t="str">
        <f>IF(ISNUMBER(SEARCH("registro de pre",tEditais[[#This Row],[Objeto]])),"Sim","Não")</f>
        <v>Sim</v>
      </c>
      <c r="K375" s="4">
        <f>COUNTIFS(tItens[Edital],tEditais[[#This Row],[Edital]])</f>
        <v>3</v>
      </c>
      <c r="L375" s="4">
        <f>COUNTIFS(tItens[Edital],tEditais[[#This Row],[Edital]],tItens[Foco],"Sim")</f>
        <v>1</v>
      </c>
      <c r="M375" s="8">
        <f>SUMIFS(tItens[Valor],tItens[Edital],tEditais[[#This Row],[Edital]])</f>
        <v>186210</v>
      </c>
      <c r="N375" s="8">
        <f>SUMIFS(tItens[Valor homologado],tItens[Edital],tEditais[[#This Row],[Edital]],tItens[Foco],"Sim")</f>
        <v>19747</v>
      </c>
      <c r="O375" t="str">
        <f>IF(tEditais[[#This Row],[Itens do foco]]=0,"",IF(tEditais[[#This Row],[Valor foco homologado]]&lt;=0,"Sem valor",IF(tEditais[[#This Row],[Valor foco homologado]]&gt;=FaixaA_Min,"A",IF(tEditais[[#This Row],[Valor foco homologado]]&gt;=FaixaB_Min,"B","C"))))</f>
        <v>C</v>
      </c>
      <c r="P375" t="str">
        <f ca="1">IF(tEditais[[#This Row],[Encerramento]]&gt;NOW(),"Aberto","Encerrado")</f>
        <v>Aberto</v>
      </c>
    </row>
    <row r="376" spans="1:16" x14ac:dyDescent="0.25">
      <c r="A376" t="s">
        <v>2162</v>
      </c>
      <c r="B376" t="s">
        <v>2163</v>
      </c>
      <c r="C376" t="s">
        <v>2164</v>
      </c>
      <c r="D376" t="s">
        <v>1973</v>
      </c>
      <c r="E376" t="s">
        <v>716</v>
      </c>
      <c r="F376" s="11">
        <v>46311.375</v>
      </c>
      <c r="G376">
        <v>227</v>
      </c>
      <c r="I376" t="s">
        <v>2165</v>
      </c>
      <c r="J376" t="str">
        <f>IF(ISNUMBER(SEARCH("registro de pre",tEditais[[#This Row],[Objeto]])),"Sim","Não")</f>
        <v>Sim</v>
      </c>
      <c r="K376" s="4">
        <f>COUNTIFS(tItens[Edital],tEditais[[#This Row],[Edital]])</f>
        <v>91</v>
      </c>
      <c r="L376" s="4">
        <f>COUNTIFS(tItens[Edital],tEditais[[#This Row],[Edital]],tItens[Foco],"Sim")</f>
        <v>15</v>
      </c>
      <c r="M376" s="8">
        <f>SUMIFS(tItens[Valor],tItens[Edital],tEditais[[#This Row],[Edital]])</f>
        <v>441646.65000000014</v>
      </c>
      <c r="N376" s="8">
        <f>SUMIFS(tItens[Valor homologado],tItens[Edital],tEditais[[#This Row],[Edital]],tItens[Foco],"Sim")</f>
        <v>11461.672000000002</v>
      </c>
      <c r="O376" t="str">
        <f>IF(tEditais[[#This Row],[Itens do foco]]=0,"",IF(tEditais[[#This Row],[Valor foco homologado]]&lt;=0,"Sem valor",IF(tEditais[[#This Row],[Valor foco homologado]]&gt;=FaixaA_Min,"A",IF(tEditais[[#This Row],[Valor foco homologado]]&gt;=FaixaB_Min,"B","C"))))</f>
        <v>C</v>
      </c>
      <c r="P376" t="str">
        <f ca="1">IF(tEditais[[#This Row],[Encerramento]]&gt;NOW(),"Aberto","Encerrado")</f>
        <v>Aberto</v>
      </c>
    </row>
    <row r="377" spans="1:16" x14ac:dyDescent="0.25">
      <c r="A377" t="s">
        <v>2166</v>
      </c>
      <c r="B377" t="s">
        <v>2167</v>
      </c>
      <c r="C377" t="s">
        <v>2168</v>
      </c>
      <c r="D377" t="s">
        <v>1973</v>
      </c>
      <c r="E377" t="s">
        <v>716</v>
      </c>
      <c r="F377" s="11">
        <v>46311.541666666664</v>
      </c>
      <c r="G377">
        <v>63</v>
      </c>
      <c r="I377" t="s">
        <v>2169</v>
      </c>
      <c r="J377" t="str">
        <f>IF(ISNUMBER(SEARCH("registro de pre",tEditais[[#This Row],[Objeto]])),"Sim","Não")</f>
        <v>Sim</v>
      </c>
      <c r="K377" s="4">
        <f>COUNTIFS(tItens[Edital],tEditais[[#This Row],[Edital]])</f>
        <v>2</v>
      </c>
      <c r="L377" s="4">
        <f>COUNTIFS(tItens[Edital],tEditais[[#This Row],[Edital]],tItens[Foco],"Sim")</f>
        <v>0</v>
      </c>
      <c r="M377" s="8">
        <f>SUMIFS(tItens[Valor],tItens[Edital],tEditais[[#This Row],[Edital]])</f>
        <v>5991.44</v>
      </c>
      <c r="N377" s="8">
        <f>SUMIFS(tItens[Valor homologado],tItens[Edital],tEditais[[#This Row],[Edital]],tItens[Foco],"Sim")</f>
        <v>0</v>
      </c>
      <c r="O377" t="str">
        <f>IF(tEditais[[#This Row],[Itens do foco]]=0,"",IF(tEditais[[#This Row],[Valor foco homologado]]&lt;=0,"Sem valor",IF(tEditais[[#This Row],[Valor foco homologado]]&gt;=FaixaA_Min,"A",IF(tEditais[[#This Row],[Valor foco homologado]]&gt;=FaixaB_Min,"B","C"))))</f>
        <v/>
      </c>
      <c r="P377" t="str">
        <f ca="1">IF(tEditais[[#This Row],[Encerramento]]&gt;NOW(),"Aberto","Encerrado")</f>
        <v>Aberto</v>
      </c>
    </row>
    <row r="378" spans="1:16" x14ac:dyDescent="0.25">
      <c r="A378" t="s">
        <v>2170</v>
      </c>
      <c r="B378" t="s">
        <v>2167</v>
      </c>
      <c r="C378" t="s">
        <v>2168</v>
      </c>
      <c r="D378" t="s">
        <v>1973</v>
      </c>
      <c r="E378" t="s">
        <v>716</v>
      </c>
      <c r="F378" s="11">
        <v>46311.541666666664</v>
      </c>
      <c r="G378">
        <v>63</v>
      </c>
      <c r="H378" t="s">
        <v>2171</v>
      </c>
      <c r="I378" t="s">
        <v>2172</v>
      </c>
      <c r="J378" t="str">
        <f>IF(ISNUMBER(SEARCH("registro de pre",tEditais[[#This Row],[Objeto]])),"Sim","Não")</f>
        <v>Sim</v>
      </c>
      <c r="K378" s="4">
        <f>COUNTIFS(tItens[Edital],tEditais[[#This Row],[Edital]])</f>
        <v>4</v>
      </c>
      <c r="L378" s="4">
        <f>COUNTIFS(tItens[Edital],tEditais[[#This Row],[Edital]],tItens[Foco],"Sim")</f>
        <v>0</v>
      </c>
      <c r="M378" s="8">
        <f>SUMIFS(tItens[Valor],tItens[Edital],tEditais[[#This Row],[Edital]])</f>
        <v>13111.519999999999</v>
      </c>
      <c r="N378" s="8">
        <f>SUMIFS(tItens[Valor homologado],tItens[Edital],tEditais[[#This Row],[Edital]],tItens[Foco],"Sim")</f>
        <v>0</v>
      </c>
      <c r="O378" t="str">
        <f>IF(tEditais[[#This Row],[Itens do foco]]=0,"",IF(tEditais[[#This Row],[Valor foco homologado]]&lt;=0,"Sem valor",IF(tEditais[[#This Row],[Valor foco homologado]]&gt;=FaixaA_Min,"A",IF(tEditais[[#This Row],[Valor foco homologado]]&gt;=FaixaB_Min,"B","C"))))</f>
        <v/>
      </c>
      <c r="P378" t="str">
        <f ca="1">IF(tEditais[[#This Row],[Encerramento]]&gt;NOW(),"Aberto","Encerrado")</f>
        <v>Aberto</v>
      </c>
    </row>
    <row r="379" spans="1:16" x14ac:dyDescent="0.25">
      <c r="A379" t="s">
        <v>2173</v>
      </c>
      <c r="B379" t="s">
        <v>2174</v>
      </c>
      <c r="C379" t="s">
        <v>2175</v>
      </c>
      <c r="D379" t="s">
        <v>1973</v>
      </c>
      <c r="E379" t="s">
        <v>716</v>
      </c>
      <c r="F379" s="11">
        <v>46311.5625</v>
      </c>
      <c r="G379">
        <v>30</v>
      </c>
      <c r="H379" t="s">
        <v>2176</v>
      </c>
      <c r="I379" t="s">
        <v>2177</v>
      </c>
      <c r="J379" t="str">
        <f>IF(ISNUMBER(SEARCH("registro de pre",tEditais[[#This Row],[Objeto]])),"Sim","Não")</f>
        <v>Não</v>
      </c>
      <c r="K379" s="4">
        <f>COUNTIFS(tItens[Edital],tEditais[[#This Row],[Edital]])</f>
        <v>1</v>
      </c>
      <c r="L379" s="4">
        <f>COUNTIFS(tItens[Edital],tEditais[[#This Row],[Edital]],tItens[Foco],"Sim")</f>
        <v>0</v>
      </c>
      <c r="M379" s="8">
        <f>SUMIFS(tItens[Valor],tItens[Edital],tEditais[[#This Row],[Edital]])</f>
        <v>51.7</v>
      </c>
      <c r="N379" s="8">
        <f>SUMIFS(tItens[Valor homologado],tItens[Edital],tEditais[[#This Row],[Edital]],tItens[Foco],"Sim")</f>
        <v>0</v>
      </c>
      <c r="O379" t="str">
        <f>IF(tEditais[[#This Row],[Itens do foco]]=0,"",IF(tEditais[[#This Row],[Valor foco homologado]]&lt;=0,"Sem valor",IF(tEditais[[#This Row],[Valor foco homologado]]&gt;=FaixaA_Min,"A",IF(tEditais[[#This Row],[Valor foco homologado]]&gt;=FaixaB_Min,"B","C"))))</f>
        <v/>
      </c>
      <c r="P379" t="str">
        <f ca="1">IF(tEditais[[#This Row],[Encerramento]]&gt;NOW(),"Aberto","Encerrado")</f>
        <v>Aberto</v>
      </c>
    </row>
    <row r="380" spans="1:16" x14ac:dyDescent="0.25">
      <c r="A380" t="s">
        <v>2178</v>
      </c>
      <c r="B380" t="s">
        <v>2179</v>
      </c>
      <c r="C380" t="s">
        <v>2180</v>
      </c>
      <c r="D380" t="s">
        <v>1973</v>
      </c>
      <c r="E380" t="s">
        <v>716</v>
      </c>
      <c r="F380" s="11">
        <v>46314.354166666664</v>
      </c>
      <c r="G380">
        <v>194</v>
      </c>
      <c r="H380" t="s">
        <v>2181</v>
      </c>
      <c r="I380" t="s">
        <v>2182</v>
      </c>
      <c r="J380" t="str">
        <f>IF(ISNUMBER(SEARCH("registro de pre",tEditais[[#This Row],[Objeto]])),"Sim","Não")</f>
        <v>Não</v>
      </c>
      <c r="K380" s="4">
        <f>COUNTIFS(tItens[Edital],tEditais[[#This Row],[Edital]])</f>
        <v>18</v>
      </c>
      <c r="L380" s="4">
        <f>COUNTIFS(tItens[Edital],tEditais[[#This Row],[Edital]],tItens[Foco],"Sim")</f>
        <v>5</v>
      </c>
      <c r="M380" s="8">
        <f>SUMIFS(tItens[Valor],tItens[Edital],tEditais[[#This Row],[Edital]])</f>
        <v>23425.72</v>
      </c>
      <c r="N380" s="8">
        <f>SUMIFS(tItens[Valor homologado],tItens[Edital],tEditais[[#This Row],[Edital]],tItens[Foco],"Sim")</f>
        <v>380.10720000000003</v>
      </c>
      <c r="O380" t="str">
        <f>IF(tEditais[[#This Row],[Itens do foco]]=0,"",IF(tEditais[[#This Row],[Valor foco homologado]]&lt;=0,"Sem valor",IF(tEditais[[#This Row],[Valor foco homologado]]&gt;=FaixaA_Min,"A",IF(tEditais[[#This Row],[Valor foco homologado]]&gt;=FaixaB_Min,"B","C"))))</f>
        <v>C</v>
      </c>
      <c r="P380" t="str">
        <f ca="1">IF(tEditais[[#This Row],[Encerramento]]&gt;NOW(),"Aberto","Encerrado")</f>
        <v>Aberto</v>
      </c>
    </row>
    <row r="381" spans="1:16" x14ac:dyDescent="0.25">
      <c r="A381" t="s">
        <v>2183</v>
      </c>
      <c r="B381" t="s">
        <v>2068</v>
      </c>
      <c r="C381" t="s">
        <v>2052</v>
      </c>
      <c r="D381" t="s">
        <v>1973</v>
      </c>
      <c r="E381" t="s">
        <v>716</v>
      </c>
      <c r="F381" s="11">
        <v>46314.375</v>
      </c>
      <c r="G381">
        <v>13</v>
      </c>
      <c r="H381" t="s">
        <v>2184</v>
      </c>
      <c r="I381" t="s">
        <v>2185</v>
      </c>
      <c r="J381" t="str">
        <f>IF(ISNUMBER(SEARCH("registro de pre",tEditais[[#This Row],[Objeto]])),"Sim","Não")</f>
        <v>Sim</v>
      </c>
      <c r="K381" s="4">
        <f>COUNTIFS(tItens[Edital],tEditais[[#This Row],[Edital]])</f>
        <v>6</v>
      </c>
      <c r="L381" s="4">
        <f>COUNTIFS(tItens[Edital],tEditais[[#This Row],[Edital]],tItens[Foco],"Sim")</f>
        <v>6</v>
      </c>
      <c r="M381" s="8">
        <f>SUMIFS(tItens[Valor],tItens[Edital],tEditais[[#This Row],[Edital]])</f>
        <v>137230.39999999999</v>
      </c>
      <c r="N381" s="8">
        <f>SUMIFS(tItens[Valor homologado],tItens[Edital],tEditais[[#This Row],[Edital]],tItens[Foco],"Sim")</f>
        <v>87827.456000000006</v>
      </c>
      <c r="O381" t="str">
        <f>IF(tEditais[[#This Row],[Itens do foco]]=0,"",IF(tEditais[[#This Row],[Valor foco homologado]]&lt;=0,"Sem valor",IF(tEditais[[#This Row],[Valor foco homologado]]&gt;=FaixaA_Min,"A",IF(tEditais[[#This Row],[Valor foco homologado]]&gt;=FaixaB_Min,"B","C"))))</f>
        <v>B</v>
      </c>
      <c r="P381" t="str">
        <f ca="1">IF(tEditais[[#This Row],[Encerramento]]&gt;NOW(),"Aberto","Encerrado")</f>
        <v>Aberto</v>
      </c>
    </row>
    <row r="382" spans="1:16" x14ac:dyDescent="0.25">
      <c r="A382" t="s">
        <v>2186</v>
      </c>
      <c r="B382" t="s">
        <v>2187</v>
      </c>
      <c r="C382" t="s">
        <v>2129</v>
      </c>
      <c r="D382" t="s">
        <v>1973</v>
      </c>
      <c r="E382" t="s">
        <v>716</v>
      </c>
      <c r="F382" s="11">
        <v>46314.375</v>
      </c>
      <c r="G382">
        <v>34</v>
      </c>
      <c r="H382" t="s">
        <v>2188</v>
      </c>
      <c r="I382" t="s">
        <v>2189</v>
      </c>
      <c r="J382" t="str">
        <f>IF(ISNUMBER(SEARCH("registro de pre",tEditais[[#This Row],[Objeto]])),"Sim","Não")</f>
        <v>Não</v>
      </c>
      <c r="K382" s="4">
        <f>COUNTIFS(tItens[Edital],tEditais[[#This Row],[Edital]])</f>
        <v>16</v>
      </c>
      <c r="L382" s="4">
        <f>COUNTIFS(tItens[Edital],tEditais[[#This Row],[Edital]],tItens[Foco],"Sim")</f>
        <v>2</v>
      </c>
      <c r="M382" s="8">
        <f>SUMIFS(tItens[Valor],tItens[Edital],tEditais[[#This Row],[Edital]])</f>
        <v>118908.22</v>
      </c>
      <c r="N382" s="8">
        <f>SUMIFS(tItens[Valor homologado],tItens[Edital],tEditais[[#This Row],[Edital]],tItens[Foco],"Sim")</f>
        <v>790.21799999999985</v>
      </c>
      <c r="O382" t="str">
        <f>IF(tEditais[[#This Row],[Itens do foco]]=0,"",IF(tEditais[[#This Row],[Valor foco homologado]]&lt;=0,"Sem valor",IF(tEditais[[#This Row],[Valor foco homologado]]&gt;=FaixaA_Min,"A",IF(tEditais[[#This Row],[Valor foco homologado]]&gt;=FaixaB_Min,"B","C"))))</f>
        <v>C</v>
      </c>
      <c r="P382" t="str">
        <f ca="1">IF(tEditais[[#This Row],[Encerramento]]&gt;NOW(),"Aberto","Encerrado")</f>
        <v>Aberto</v>
      </c>
    </row>
    <row r="383" spans="1:16" x14ac:dyDescent="0.25">
      <c r="A383" t="s">
        <v>2190</v>
      </c>
      <c r="B383" t="s">
        <v>1089</v>
      </c>
      <c r="C383" t="s">
        <v>2052</v>
      </c>
      <c r="D383" t="s">
        <v>1973</v>
      </c>
      <c r="E383" t="s">
        <v>716</v>
      </c>
      <c r="F383" s="11">
        <v>46314.381944444445</v>
      </c>
      <c r="G383">
        <v>13</v>
      </c>
      <c r="I383" t="s">
        <v>2191</v>
      </c>
      <c r="J383" t="str">
        <f>IF(ISNUMBER(SEARCH("registro de pre",tEditais[[#This Row],[Objeto]])),"Sim","Não")</f>
        <v>Sim</v>
      </c>
      <c r="K383" s="4">
        <f>COUNTIFS(tItens[Edital],tEditais[[#This Row],[Edital]])</f>
        <v>6</v>
      </c>
      <c r="L383" s="4">
        <f>COUNTIFS(tItens[Edital],tEditais[[#This Row],[Edital]],tItens[Foco],"Sim")</f>
        <v>6</v>
      </c>
      <c r="M383" s="8">
        <f>SUMIFS(tItens[Valor],tItens[Edital],tEditais[[#This Row],[Edital]])</f>
        <v>137230.39999999999</v>
      </c>
      <c r="N383" s="8">
        <f>SUMIFS(tItens[Valor homologado],tItens[Edital],tEditais[[#This Row],[Edital]],tItens[Foco],"Sim")</f>
        <v>87827.456000000006</v>
      </c>
      <c r="O383" t="str">
        <f>IF(tEditais[[#This Row],[Itens do foco]]=0,"",IF(tEditais[[#This Row],[Valor foco homologado]]&lt;=0,"Sem valor",IF(tEditais[[#This Row],[Valor foco homologado]]&gt;=FaixaA_Min,"A",IF(tEditais[[#This Row],[Valor foco homologado]]&gt;=FaixaB_Min,"B","C"))))</f>
        <v>B</v>
      </c>
      <c r="P383" t="str">
        <f ca="1">IF(tEditais[[#This Row],[Encerramento]]&gt;NOW(),"Aberto","Encerrado")</f>
        <v>Aberto</v>
      </c>
    </row>
    <row r="384" spans="1:16" x14ac:dyDescent="0.25">
      <c r="A384" t="s">
        <v>2192</v>
      </c>
      <c r="B384" t="s">
        <v>2193</v>
      </c>
      <c r="C384" t="s">
        <v>2194</v>
      </c>
      <c r="D384" t="s">
        <v>1973</v>
      </c>
      <c r="E384" t="s">
        <v>716</v>
      </c>
      <c r="F384" s="11">
        <v>46314.541666666664</v>
      </c>
      <c r="G384">
        <v>85</v>
      </c>
      <c r="I384" t="s">
        <v>2195</v>
      </c>
      <c r="J384" t="str">
        <f>IF(ISNUMBER(SEARCH("registro de pre",tEditais[[#This Row],[Objeto]])),"Sim","Não")</f>
        <v>Sim</v>
      </c>
      <c r="K384" s="4">
        <f>COUNTIFS(tItens[Edital],tEditais[[#This Row],[Edital]])</f>
        <v>11</v>
      </c>
      <c r="L384" s="4">
        <f>COUNTIFS(tItens[Edital],tEditais[[#This Row],[Edital]],tItens[Foco],"Sim")</f>
        <v>1</v>
      </c>
      <c r="M384" s="8">
        <f>SUMIFS(tItens[Valor],tItens[Edital],tEditais[[#This Row],[Edital]])</f>
        <v>64590.200000000004</v>
      </c>
      <c r="N384" s="8">
        <f>SUMIFS(tItens[Valor homologado],tItens[Edital],tEditais[[#This Row],[Edital]],tItens[Foco],"Sim")</f>
        <v>4898.72</v>
      </c>
      <c r="O384" t="str">
        <f>IF(tEditais[[#This Row],[Itens do foco]]=0,"",IF(tEditais[[#This Row],[Valor foco homologado]]&lt;=0,"Sem valor",IF(tEditais[[#This Row],[Valor foco homologado]]&gt;=FaixaA_Min,"A",IF(tEditais[[#This Row],[Valor foco homologado]]&gt;=FaixaB_Min,"B","C"))))</f>
        <v>C</v>
      </c>
      <c r="P384" t="str">
        <f ca="1">IF(tEditais[[#This Row],[Encerramento]]&gt;NOW(),"Aberto","Encerrado")</f>
        <v>Aberto</v>
      </c>
    </row>
    <row r="385" spans="1:16" x14ac:dyDescent="0.25">
      <c r="A385" t="s">
        <v>2196</v>
      </c>
      <c r="B385" t="s">
        <v>2193</v>
      </c>
      <c r="C385" t="s">
        <v>2194</v>
      </c>
      <c r="D385" t="s">
        <v>1973</v>
      </c>
      <c r="E385" t="s">
        <v>716</v>
      </c>
      <c r="F385" s="11">
        <v>46314.541666666664</v>
      </c>
      <c r="G385">
        <v>85</v>
      </c>
      <c r="H385" t="s">
        <v>2197</v>
      </c>
      <c r="I385" t="s">
        <v>2198</v>
      </c>
      <c r="J385" t="str">
        <f>IF(ISNUMBER(SEARCH("registro de pre",tEditais[[#This Row],[Objeto]])),"Sim","Não")</f>
        <v>Sim</v>
      </c>
      <c r="K385" s="4">
        <f>COUNTIFS(tItens[Edital],tEditais[[#This Row],[Edital]])</f>
        <v>11</v>
      </c>
      <c r="L385" s="4">
        <f>COUNTIFS(tItens[Edital],tEditais[[#This Row],[Edital]],tItens[Foco],"Sim")</f>
        <v>1</v>
      </c>
      <c r="M385" s="8">
        <f>SUMIFS(tItens[Valor],tItens[Edital],tEditais[[#This Row],[Edital]])</f>
        <v>64590.200000000004</v>
      </c>
      <c r="N385" s="8">
        <f>SUMIFS(tItens[Valor homologado],tItens[Edital],tEditais[[#This Row],[Edital]],tItens[Foco],"Sim")</f>
        <v>4898.72</v>
      </c>
      <c r="O385" t="str">
        <f>IF(tEditais[[#This Row],[Itens do foco]]=0,"",IF(tEditais[[#This Row],[Valor foco homologado]]&lt;=0,"Sem valor",IF(tEditais[[#This Row],[Valor foco homologado]]&gt;=FaixaA_Min,"A",IF(tEditais[[#This Row],[Valor foco homologado]]&gt;=FaixaB_Min,"B","C"))))</f>
        <v>C</v>
      </c>
      <c r="P385" t="str">
        <f ca="1">IF(tEditais[[#This Row],[Encerramento]]&gt;NOW(),"Aberto","Encerrado")</f>
        <v>Aberto</v>
      </c>
    </row>
    <row r="386" spans="1:16" x14ac:dyDescent="0.25">
      <c r="A386" t="s">
        <v>2199</v>
      </c>
      <c r="B386" t="s">
        <v>2200</v>
      </c>
      <c r="C386" t="s">
        <v>2201</v>
      </c>
      <c r="D386" t="s">
        <v>2202</v>
      </c>
      <c r="E386" t="s">
        <v>800</v>
      </c>
      <c r="F386" s="11">
        <v>46304.333333333336</v>
      </c>
      <c r="G386">
        <v>1</v>
      </c>
      <c r="H386" t="s">
        <v>2203</v>
      </c>
      <c r="I386" t="s">
        <v>2204</v>
      </c>
      <c r="J386" t="str">
        <f>IF(ISNUMBER(SEARCH("registro de pre",tEditais[[#This Row],[Objeto]])),"Sim","Não")</f>
        <v>Não</v>
      </c>
      <c r="K386" s="4">
        <f>COUNTIFS(tItens[Edital],tEditais[[#This Row],[Edital]])</f>
        <v>1</v>
      </c>
      <c r="L386" s="4">
        <f>COUNTIFS(tItens[Edital],tEditais[[#This Row],[Edital]],tItens[Foco],"Sim")</f>
        <v>0</v>
      </c>
      <c r="M386" s="8">
        <f>SUMIFS(tItens[Valor],tItens[Edital],tEditais[[#This Row],[Edital]])</f>
        <v>8351.25</v>
      </c>
      <c r="N386" s="8">
        <f>SUMIFS(tItens[Valor homologado],tItens[Edital],tEditais[[#This Row],[Edital]],tItens[Foco],"Sim")</f>
        <v>0</v>
      </c>
      <c r="O386" t="str">
        <f>IF(tEditais[[#This Row],[Itens do foco]]=0,"",IF(tEditais[[#This Row],[Valor foco homologado]]&lt;=0,"Sem valor",IF(tEditais[[#This Row],[Valor foco homologado]]&gt;=FaixaA_Min,"A",IF(tEditais[[#This Row],[Valor foco homologado]]&gt;=FaixaB_Min,"B","C"))))</f>
        <v/>
      </c>
      <c r="P386" t="str">
        <f ca="1">IF(tEditais[[#This Row],[Encerramento]]&gt;NOW(),"Aberto","Encerrado")</f>
        <v>Encerrado</v>
      </c>
    </row>
    <row r="387" spans="1:16" x14ac:dyDescent="0.25">
      <c r="A387" t="s">
        <v>2205</v>
      </c>
      <c r="B387" t="s">
        <v>2206</v>
      </c>
      <c r="C387" t="s">
        <v>2201</v>
      </c>
      <c r="D387" t="s">
        <v>2202</v>
      </c>
      <c r="E387" t="s">
        <v>800</v>
      </c>
      <c r="F387" s="11">
        <v>46304.373611111114</v>
      </c>
      <c r="G387">
        <v>9</v>
      </c>
      <c r="H387" t="s">
        <v>2207</v>
      </c>
      <c r="I387" t="s">
        <v>2208</v>
      </c>
      <c r="J387" t="str">
        <f>IF(ISNUMBER(SEARCH("registro de pre",tEditais[[#This Row],[Objeto]])),"Sim","Não")</f>
        <v>Não</v>
      </c>
      <c r="K387" s="4">
        <f>COUNTIFS(tItens[Edital],tEditais[[#This Row],[Edital]])</f>
        <v>5</v>
      </c>
      <c r="L387" s="4">
        <f>COUNTIFS(tItens[Edital],tEditais[[#This Row],[Edital]],tItens[Foco],"Sim")</f>
        <v>1</v>
      </c>
      <c r="M387" s="8">
        <f>SUMIFS(tItens[Valor],tItens[Edital],tEditais[[#This Row],[Edital]])</f>
        <v>18213</v>
      </c>
      <c r="N387" s="8">
        <f>SUMIFS(tItens[Valor homologado],tItens[Edital],tEditais[[#This Row],[Edital]],tItens[Foco],"Sim")</f>
        <v>12096</v>
      </c>
      <c r="O387" t="str">
        <f>IF(tEditais[[#This Row],[Itens do foco]]=0,"",IF(tEditais[[#This Row],[Valor foco homologado]]&lt;=0,"Sem valor",IF(tEditais[[#This Row],[Valor foco homologado]]&gt;=FaixaA_Min,"A",IF(tEditais[[#This Row],[Valor foco homologado]]&gt;=FaixaB_Min,"B","C"))))</f>
        <v>C</v>
      </c>
      <c r="P387" t="str">
        <f ca="1">IF(tEditais[[#This Row],[Encerramento]]&gt;NOW(),"Aberto","Encerrado")</f>
        <v>Encerrado</v>
      </c>
    </row>
    <row r="388" spans="1:16" x14ac:dyDescent="0.25">
      <c r="A388" t="s">
        <v>2209</v>
      </c>
      <c r="B388" t="s">
        <v>1683</v>
      </c>
      <c r="C388" t="s">
        <v>2201</v>
      </c>
      <c r="D388" t="s">
        <v>2202</v>
      </c>
      <c r="E388" t="s">
        <v>716</v>
      </c>
      <c r="F388" s="11">
        <v>46304.374305555553</v>
      </c>
      <c r="G388">
        <v>3</v>
      </c>
      <c r="H388" t="s">
        <v>2210</v>
      </c>
      <c r="I388" t="s">
        <v>2211</v>
      </c>
      <c r="J388" t="str">
        <f>IF(ISNUMBER(SEARCH("registro de pre",tEditais[[#This Row],[Objeto]])),"Sim","Não")</f>
        <v>Não</v>
      </c>
      <c r="K388" s="4">
        <f>COUNTIFS(tItens[Edital],tEditais[[#This Row],[Edital]])</f>
        <v>1</v>
      </c>
      <c r="L388" s="4">
        <f>COUNTIFS(tItens[Edital],tEditais[[#This Row],[Edital]],tItens[Foco],"Sim")</f>
        <v>0</v>
      </c>
      <c r="M388" s="8">
        <f>SUMIFS(tItens[Valor],tItens[Edital],tEditais[[#This Row],[Edital]])</f>
        <v>52469.999999999993</v>
      </c>
      <c r="N388" s="8">
        <f>SUMIFS(tItens[Valor homologado],tItens[Edital],tEditais[[#This Row],[Edital]],tItens[Foco],"Sim")</f>
        <v>0</v>
      </c>
      <c r="O388" t="str">
        <f>IF(tEditais[[#This Row],[Itens do foco]]=0,"",IF(tEditais[[#This Row],[Valor foco homologado]]&lt;=0,"Sem valor",IF(tEditais[[#This Row],[Valor foco homologado]]&gt;=FaixaA_Min,"A",IF(tEditais[[#This Row],[Valor foco homologado]]&gt;=FaixaB_Min,"B","C"))))</f>
        <v/>
      </c>
      <c r="P388" t="str">
        <f ca="1">IF(tEditais[[#This Row],[Encerramento]]&gt;NOW(),"Aberto","Encerrado")</f>
        <v>Encerrado</v>
      </c>
    </row>
    <row r="389" spans="1:16" x14ac:dyDescent="0.25">
      <c r="A389" t="s">
        <v>2212</v>
      </c>
      <c r="B389" t="s">
        <v>2213</v>
      </c>
      <c r="C389" t="s">
        <v>2214</v>
      </c>
      <c r="D389" t="s">
        <v>2202</v>
      </c>
      <c r="E389" t="s">
        <v>716</v>
      </c>
      <c r="F389" s="11">
        <v>46304.375</v>
      </c>
      <c r="G389">
        <v>8</v>
      </c>
      <c r="H389" t="s">
        <v>2215</v>
      </c>
      <c r="I389" t="s">
        <v>2216</v>
      </c>
      <c r="J389" t="str">
        <f>IF(ISNUMBER(SEARCH("registro de pre",tEditais[[#This Row],[Objeto]])),"Sim","Não")</f>
        <v>Sim</v>
      </c>
      <c r="K389" s="4">
        <f>COUNTIFS(tItens[Edital],tEditais[[#This Row],[Edital]])</f>
        <v>4</v>
      </c>
      <c r="L389" s="4">
        <f>COUNTIFS(tItens[Edital],tEditais[[#This Row],[Edital]],tItens[Foco],"Sim")</f>
        <v>0</v>
      </c>
      <c r="M389" s="8">
        <f>SUMIFS(tItens[Valor],tItens[Edital],tEditais[[#This Row],[Edital]])</f>
        <v>2258104</v>
      </c>
      <c r="N389" s="8">
        <f>SUMIFS(tItens[Valor homologado],tItens[Edital],tEditais[[#This Row],[Edital]],tItens[Foco],"Sim")</f>
        <v>0</v>
      </c>
      <c r="O389" t="str">
        <f>IF(tEditais[[#This Row],[Itens do foco]]=0,"",IF(tEditais[[#This Row],[Valor foco homologado]]&lt;=0,"Sem valor",IF(tEditais[[#This Row],[Valor foco homologado]]&gt;=FaixaA_Min,"A",IF(tEditais[[#This Row],[Valor foco homologado]]&gt;=FaixaB_Min,"B","C"))))</f>
        <v/>
      </c>
      <c r="P389" t="str">
        <f ca="1">IF(tEditais[[#This Row],[Encerramento]]&gt;NOW(),"Aberto","Encerrado")</f>
        <v>Encerrado</v>
      </c>
    </row>
    <row r="390" spans="1:16" x14ac:dyDescent="0.25">
      <c r="A390" t="s">
        <v>2217</v>
      </c>
      <c r="B390" t="s">
        <v>752</v>
      </c>
      <c r="C390" t="s">
        <v>2218</v>
      </c>
      <c r="D390" t="s">
        <v>2202</v>
      </c>
      <c r="E390" t="s">
        <v>716</v>
      </c>
      <c r="F390" s="11">
        <v>46304.416666666664</v>
      </c>
      <c r="G390">
        <v>53</v>
      </c>
      <c r="H390" t="s">
        <v>2219</v>
      </c>
      <c r="I390" t="s">
        <v>2220</v>
      </c>
      <c r="J390" t="str">
        <f>IF(ISNUMBER(SEARCH("registro de pre",tEditais[[#This Row],[Objeto]])),"Sim","Não")</f>
        <v>Não</v>
      </c>
      <c r="K390" s="4">
        <f>COUNTIFS(tItens[Edital],tEditais[[#This Row],[Edital]])</f>
        <v>9</v>
      </c>
      <c r="L390" s="4">
        <f>COUNTIFS(tItens[Edital],tEditais[[#This Row],[Edital]],tItens[Foco],"Sim")</f>
        <v>7</v>
      </c>
      <c r="M390" s="8">
        <f>SUMIFS(tItens[Valor],tItens[Edital],tEditais[[#This Row],[Edital]])</f>
        <v>186468.98000000004</v>
      </c>
      <c r="N390" s="8">
        <f>SUMIFS(tItens[Valor homologado],tItens[Edital],tEditais[[#This Row],[Edital]],tItens[Foco],"Sim")</f>
        <v>97354.304000000018</v>
      </c>
      <c r="O390" t="str">
        <f>IF(tEditais[[#This Row],[Itens do foco]]=0,"",IF(tEditais[[#This Row],[Valor foco homologado]]&lt;=0,"Sem valor",IF(tEditais[[#This Row],[Valor foco homologado]]&gt;=FaixaA_Min,"A",IF(tEditais[[#This Row],[Valor foco homologado]]&gt;=FaixaB_Min,"B","C"))))</f>
        <v>A</v>
      </c>
      <c r="P390" t="str">
        <f ca="1">IF(tEditais[[#This Row],[Encerramento]]&gt;NOW(),"Aberto","Encerrado")</f>
        <v>Encerrado</v>
      </c>
    </row>
    <row r="391" spans="1:16" x14ac:dyDescent="0.25">
      <c r="A391" t="s">
        <v>2221</v>
      </c>
      <c r="B391" t="s">
        <v>752</v>
      </c>
      <c r="C391" t="s">
        <v>2218</v>
      </c>
      <c r="D391" t="s">
        <v>2202</v>
      </c>
      <c r="E391" t="s">
        <v>716</v>
      </c>
      <c r="F391" s="11">
        <v>46304.416666666664</v>
      </c>
      <c r="G391">
        <v>13</v>
      </c>
      <c r="H391" t="s">
        <v>2222</v>
      </c>
      <c r="I391" t="s">
        <v>2223</v>
      </c>
      <c r="J391" t="str">
        <f>IF(ISNUMBER(SEARCH("registro de pre",tEditais[[#This Row],[Objeto]])),"Sim","Não")</f>
        <v>Não</v>
      </c>
      <c r="K391" s="4">
        <f>COUNTIFS(tItens[Edital],tEditais[[#This Row],[Edital]])</f>
        <v>13</v>
      </c>
      <c r="L391" s="4">
        <f>COUNTIFS(tItens[Edital],tEditais[[#This Row],[Edital]],tItens[Foco],"Sim")</f>
        <v>0</v>
      </c>
      <c r="M391" s="8">
        <f>SUMIFS(tItens[Valor],tItens[Edital],tEditais[[#This Row],[Edital]])</f>
        <v>84680.99000000002</v>
      </c>
      <c r="N391" s="8">
        <f>SUMIFS(tItens[Valor homologado],tItens[Edital],tEditais[[#This Row],[Edital]],tItens[Foco],"Sim")</f>
        <v>0</v>
      </c>
      <c r="O391" t="str">
        <f>IF(tEditais[[#This Row],[Itens do foco]]=0,"",IF(tEditais[[#This Row],[Valor foco homologado]]&lt;=0,"Sem valor",IF(tEditais[[#This Row],[Valor foco homologado]]&gt;=FaixaA_Min,"A",IF(tEditais[[#This Row],[Valor foco homologado]]&gt;=FaixaB_Min,"B","C"))))</f>
        <v/>
      </c>
      <c r="P391" t="str">
        <f ca="1">IF(tEditais[[#This Row],[Encerramento]]&gt;NOW(),"Aberto","Encerrado")</f>
        <v>Encerrado</v>
      </c>
    </row>
    <row r="392" spans="1:16" x14ac:dyDescent="0.25">
      <c r="A392" t="s">
        <v>2224</v>
      </c>
      <c r="B392" t="s">
        <v>2200</v>
      </c>
      <c r="C392" t="s">
        <v>2201</v>
      </c>
      <c r="D392" t="s">
        <v>2202</v>
      </c>
      <c r="E392" t="s">
        <v>800</v>
      </c>
      <c r="F392" s="11">
        <v>46308.333333333336</v>
      </c>
      <c r="G392">
        <v>3</v>
      </c>
      <c r="H392" t="s">
        <v>2225</v>
      </c>
      <c r="I392" t="s">
        <v>2226</v>
      </c>
      <c r="J392" t="str">
        <f>IF(ISNUMBER(SEARCH("registro de pre",tEditais[[#This Row],[Objeto]])),"Sim","Não")</f>
        <v>Não</v>
      </c>
      <c r="K392" s="4">
        <f>COUNTIFS(tItens[Edital],tEditais[[#This Row],[Edital]])</f>
        <v>3</v>
      </c>
      <c r="L392" s="4">
        <f>COUNTIFS(tItens[Edital],tEditais[[#This Row],[Edital]],tItens[Foco],"Sim")</f>
        <v>0</v>
      </c>
      <c r="M392" s="8">
        <f>SUMIFS(tItens[Valor],tItens[Edital],tEditais[[#This Row],[Edital]])</f>
        <v>15426</v>
      </c>
      <c r="N392" s="8">
        <f>SUMIFS(tItens[Valor homologado],tItens[Edital],tEditais[[#This Row],[Edital]],tItens[Foco],"Sim")</f>
        <v>0</v>
      </c>
      <c r="O392" t="str">
        <f>IF(tEditais[[#This Row],[Itens do foco]]=0,"",IF(tEditais[[#This Row],[Valor foco homologado]]&lt;=0,"Sem valor",IF(tEditais[[#This Row],[Valor foco homologado]]&gt;=FaixaA_Min,"A",IF(tEditais[[#This Row],[Valor foco homologado]]&gt;=FaixaB_Min,"B","C"))))</f>
        <v/>
      </c>
      <c r="P392" t="str">
        <f ca="1">IF(tEditais[[#This Row],[Encerramento]]&gt;NOW(),"Aberto","Encerrado")</f>
        <v>Encerrado</v>
      </c>
    </row>
    <row r="393" spans="1:16" x14ac:dyDescent="0.25">
      <c r="A393" t="s">
        <v>2227</v>
      </c>
      <c r="B393" t="s">
        <v>2200</v>
      </c>
      <c r="C393" t="s">
        <v>2201</v>
      </c>
      <c r="D393" t="s">
        <v>2202</v>
      </c>
      <c r="E393" t="s">
        <v>800</v>
      </c>
      <c r="F393" s="11">
        <v>46308.333333333336</v>
      </c>
      <c r="G393">
        <v>5</v>
      </c>
      <c r="H393" t="s">
        <v>2228</v>
      </c>
      <c r="I393" t="s">
        <v>2229</v>
      </c>
      <c r="J393" t="str">
        <f>IF(ISNUMBER(SEARCH("registro de pre",tEditais[[#This Row],[Objeto]])),"Sim","Não")</f>
        <v>Não</v>
      </c>
      <c r="K393" s="4">
        <f>COUNTIFS(tItens[Edital],tEditais[[#This Row],[Edital]])</f>
        <v>1</v>
      </c>
      <c r="L393" s="4">
        <f>COUNTIFS(tItens[Edital],tEditais[[#This Row],[Edital]],tItens[Foco],"Sim")</f>
        <v>0</v>
      </c>
      <c r="M393" s="8">
        <f>SUMIFS(tItens[Valor],tItens[Edital],tEditais[[#This Row],[Edital]])</f>
        <v>2234</v>
      </c>
      <c r="N393" s="8">
        <f>SUMIFS(tItens[Valor homologado],tItens[Edital],tEditais[[#This Row],[Edital]],tItens[Foco],"Sim")</f>
        <v>0</v>
      </c>
      <c r="O393" t="str">
        <f>IF(tEditais[[#This Row],[Itens do foco]]=0,"",IF(tEditais[[#This Row],[Valor foco homologado]]&lt;=0,"Sem valor",IF(tEditais[[#This Row],[Valor foco homologado]]&gt;=FaixaA_Min,"A",IF(tEditais[[#This Row],[Valor foco homologado]]&gt;=FaixaB_Min,"B","C"))))</f>
        <v/>
      </c>
      <c r="P393" t="str">
        <f ca="1">IF(tEditais[[#This Row],[Encerramento]]&gt;NOW(),"Aberto","Encerrado")</f>
        <v>Encerrado</v>
      </c>
    </row>
    <row r="394" spans="1:16" x14ac:dyDescent="0.25">
      <c r="A394" t="s">
        <v>2230</v>
      </c>
      <c r="B394" t="s">
        <v>2200</v>
      </c>
      <c r="C394" t="s">
        <v>2201</v>
      </c>
      <c r="D394" t="s">
        <v>2202</v>
      </c>
      <c r="E394" t="s">
        <v>800</v>
      </c>
      <c r="F394" s="11">
        <v>46308.333333333336</v>
      </c>
      <c r="G394">
        <v>3</v>
      </c>
      <c r="H394" t="s">
        <v>2231</v>
      </c>
      <c r="I394" t="s">
        <v>2232</v>
      </c>
      <c r="J394" t="str">
        <f>IF(ISNUMBER(SEARCH("registro de pre",tEditais[[#This Row],[Objeto]])),"Sim","Não")</f>
        <v>Não</v>
      </c>
      <c r="K394" s="4">
        <f>COUNTIFS(tItens[Edital],tEditais[[#This Row],[Edital]])</f>
        <v>1</v>
      </c>
      <c r="L394" s="4">
        <f>COUNTIFS(tItens[Edital],tEditais[[#This Row],[Edital]],tItens[Foco],"Sim")</f>
        <v>0</v>
      </c>
      <c r="M394" s="8">
        <f>SUMIFS(tItens[Valor],tItens[Edital],tEditais[[#This Row],[Edital]])</f>
        <v>450</v>
      </c>
      <c r="N394" s="8">
        <f>SUMIFS(tItens[Valor homologado],tItens[Edital],tEditais[[#This Row],[Edital]],tItens[Foco],"Sim")</f>
        <v>0</v>
      </c>
      <c r="O394" t="str">
        <f>IF(tEditais[[#This Row],[Itens do foco]]=0,"",IF(tEditais[[#This Row],[Valor foco homologado]]&lt;=0,"Sem valor",IF(tEditais[[#This Row],[Valor foco homologado]]&gt;=FaixaA_Min,"A",IF(tEditais[[#This Row],[Valor foco homologado]]&gt;=FaixaB_Min,"B","C"))))</f>
        <v/>
      </c>
      <c r="P394" t="str">
        <f ca="1">IF(tEditais[[#This Row],[Encerramento]]&gt;NOW(),"Aberto","Encerrado")</f>
        <v>Encerrado</v>
      </c>
    </row>
    <row r="395" spans="1:16" x14ac:dyDescent="0.25">
      <c r="A395" t="s">
        <v>2233</v>
      </c>
      <c r="B395" t="s">
        <v>2234</v>
      </c>
      <c r="C395" t="s">
        <v>2235</v>
      </c>
      <c r="D395" t="s">
        <v>2202</v>
      </c>
      <c r="E395" t="s">
        <v>716</v>
      </c>
      <c r="F395" s="11">
        <v>46308.374305555553</v>
      </c>
      <c r="G395">
        <v>115</v>
      </c>
      <c r="H395" t="s">
        <v>2236</v>
      </c>
      <c r="I395" t="s">
        <v>2237</v>
      </c>
      <c r="J395" t="str">
        <f>IF(ISNUMBER(SEARCH("registro de pre",tEditais[[#This Row],[Objeto]])),"Sim","Não")</f>
        <v>Sim</v>
      </c>
      <c r="K395" s="4">
        <f>COUNTIFS(tItens[Edital],tEditais[[#This Row],[Edital]])</f>
        <v>15</v>
      </c>
      <c r="L395" s="4">
        <f>COUNTIFS(tItens[Edital],tEditais[[#This Row],[Edital]],tItens[Foco],"Sim")</f>
        <v>3</v>
      </c>
      <c r="M395" s="8">
        <f>SUMIFS(tItens[Valor],tItens[Edital],tEditais[[#This Row],[Edital]])</f>
        <v>20631.54</v>
      </c>
      <c r="N395" s="8">
        <f>SUMIFS(tItens[Valor homologado],tItens[Edital],tEditais[[#This Row],[Edital]],tItens[Foco],"Sim")</f>
        <v>394.57219999999995</v>
      </c>
      <c r="O395" t="str">
        <f>IF(tEditais[[#This Row],[Itens do foco]]=0,"",IF(tEditais[[#This Row],[Valor foco homologado]]&lt;=0,"Sem valor",IF(tEditais[[#This Row],[Valor foco homologado]]&gt;=FaixaA_Min,"A",IF(tEditais[[#This Row],[Valor foco homologado]]&gt;=FaixaB_Min,"B","C"))))</f>
        <v>C</v>
      </c>
      <c r="P395" t="str">
        <f ca="1">IF(tEditais[[#This Row],[Encerramento]]&gt;NOW(),"Aberto","Encerrado")</f>
        <v>Encerrado</v>
      </c>
    </row>
    <row r="396" spans="1:16" x14ac:dyDescent="0.25">
      <c r="A396" t="s">
        <v>2238</v>
      </c>
      <c r="B396" t="s">
        <v>1683</v>
      </c>
      <c r="C396" t="s">
        <v>2201</v>
      </c>
      <c r="D396" t="s">
        <v>2202</v>
      </c>
      <c r="E396" t="s">
        <v>716</v>
      </c>
      <c r="F396" s="11">
        <v>46308.374305555553</v>
      </c>
      <c r="G396">
        <v>10</v>
      </c>
      <c r="H396" t="s">
        <v>2239</v>
      </c>
      <c r="I396" t="s">
        <v>2240</v>
      </c>
      <c r="J396" t="str">
        <f>IF(ISNUMBER(SEARCH("registro de pre",tEditais[[#This Row],[Objeto]])),"Sim","Não")</f>
        <v>Não</v>
      </c>
      <c r="K396" s="4">
        <f>COUNTIFS(tItens[Edital],tEditais[[#This Row],[Edital]])</f>
        <v>2</v>
      </c>
      <c r="L396" s="4">
        <f>COUNTIFS(tItens[Edital],tEditais[[#This Row],[Edital]],tItens[Foco],"Sim")</f>
        <v>1</v>
      </c>
      <c r="M396" s="8">
        <f>SUMIFS(tItens[Valor],tItens[Edital],tEditais[[#This Row],[Edital]])</f>
        <v>242.5</v>
      </c>
      <c r="N396" s="8">
        <f>SUMIFS(tItens[Valor homologado],tItens[Edital],tEditais[[#This Row],[Edital]],tItens[Foco],"Sim")</f>
        <v>26.23</v>
      </c>
      <c r="O396" t="str">
        <f>IF(tEditais[[#This Row],[Itens do foco]]=0,"",IF(tEditais[[#This Row],[Valor foco homologado]]&lt;=0,"Sem valor",IF(tEditais[[#This Row],[Valor foco homologado]]&gt;=FaixaA_Min,"A",IF(tEditais[[#This Row],[Valor foco homologado]]&gt;=FaixaB_Min,"B","C"))))</f>
        <v>C</v>
      </c>
      <c r="P396" t="str">
        <f ca="1">IF(tEditais[[#This Row],[Encerramento]]&gt;NOW(),"Aberto","Encerrado")</f>
        <v>Encerrado</v>
      </c>
    </row>
    <row r="397" spans="1:16" x14ac:dyDescent="0.25">
      <c r="A397" t="s">
        <v>2241</v>
      </c>
      <c r="B397" t="s">
        <v>752</v>
      </c>
      <c r="C397" t="s">
        <v>2242</v>
      </c>
      <c r="D397" t="s">
        <v>2202</v>
      </c>
      <c r="E397" t="s">
        <v>716</v>
      </c>
      <c r="F397" s="11">
        <v>46308.375</v>
      </c>
      <c r="G397">
        <v>22</v>
      </c>
      <c r="H397" t="s">
        <v>2243</v>
      </c>
      <c r="I397" t="s">
        <v>2244</v>
      </c>
      <c r="J397" t="str">
        <f>IF(ISNUMBER(SEARCH("registro de pre",tEditais[[#This Row],[Objeto]])),"Sim","Não")</f>
        <v>Não</v>
      </c>
      <c r="K397" s="4">
        <f>COUNTIFS(tItens[Edital],tEditais[[#This Row],[Edital]])</f>
        <v>3</v>
      </c>
      <c r="L397" s="4">
        <f>COUNTIFS(tItens[Edital],tEditais[[#This Row],[Edital]],tItens[Foco],"Sim")</f>
        <v>0</v>
      </c>
      <c r="M397" s="8">
        <f>SUMIFS(tItens[Valor],tItens[Edital],tEditais[[#This Row],[Edital]])</f>
        <v>0</v>
      </c>
      <c r="N397" s="8">
        <f>SUMIFS(tItens[Valor homologado],tItens[Edital],tEditais[[#This Row],[Edital]],tItens[Foco],"Sim")</f>
        <v>0</v>
      </c>
      <c r="O397" t="str">
        <f>IF(tEditais[[#This Row],[Itens do foco]]=0,"",IF(tEditais[[#This Row],[Valor foco homologado]]&lt;=0,"Sem valor",IF(tEditais[[#This Row],[Valor foco homologado]]&gt;=FaixaA_Min,"A",IF(tEditais[[#This Row],[Valor foco homologado]]&gt;=FaixaB_Min,"B","C"))))</f>
        <v/>
      </c>
      <c r="P397" t="str">
        <f ca="1">IF(tEditais[[#This Row],[Encerramento]]&gt;NOW(),"Aberto","Encerrado")</f>
        <v>Encerrado</v>
      </c>
    </row>
    <row r="398" spans="1:16" x14ac:dyDescent="0.25">
      <c r="A398" t="s">
        <v>2245</v>
      </c>
      <c r="B398" t="s">
        <v>2246</v>
      </c>
      <c r="C398" t="s">
        <v>2247</v>
      </c>
      <c r="D398" t="s">
        <v>2202</v>
      </c>
      <c r="E398" t="s">
        <v>716</v>
      </c>
      <c r="F398" s="11">
        <v>46308.375</v>
      </c>
      <c r="G398">
        <v>42</v>
      </c>
      <c r="H398" t="s">
        <v>2248</v>
      </c>
      <c r="I398" t="s">
        <v>2249</v>
      </c>
      <c r="J398" t="str">
        <f>IF(ISNUMBER(SEARCH("registro de pre",tEditais[[#This Row],[Objeto]])),"Sim","Não")</f>
        <v>Sim</v>
      </c>
      <c r="K398" s="4">
        <f>COUNTIFS(tItens[Edital],tEditais[[#This Row],[Edital]])</f>
        <v>4</v>
      </c>
      <c r="L398" s="4">
        <f>COUNTIFS(tItens[Edital],tEditais[[#This Row],[Edital]],tItens[Foco],"Sim")</f>
        <v>0</v>
      </c>
      <c r="M398" s="8">
        <f>SUMIFS(tItens[Valor],tItens[Edital],tEditais[[#This Row],[Edital]])</f>
        <v>813952.8</v>
      </c>
      <c r="N398" s="8">
        <f>SUMIFS(tItens[Valor homologado],tItens[Edital],tEditais[[#This Row],[Edital]],tItens[Foco],"Sim")</f>
        <v>0</v>
      </c>
      <c r="O398" t="str">
        <f>IF(tEditais[[#This Row],[Itens do foco]]=0,"",IF(tEditais[[#This Row],[Valor foco homologado]]&lt;=0,"Sem valor",IF(tEditais[[#This Row],[Valor foco homologado]]&gt;=FaixaA_Min,"A",IF(tEditais[[#This Row],[Valor foco homologado]]&gt;=FaixaB_Min,"B","C"))))</f>
        <v/>
      </c>
      <c r="P398" t="str">
        <f ca="1">IF(tEditais[[#This Row],[Encerramento]]&gt;NOW(),"Aberto","Encerrado")</f>
        <v>Encerrado</v>
      </c>
    </row>
    <row r="399" spans="1:16" x14ac:dyDescent="0.25">
      <c r="A399" t="s">
        <v>2250</v>
      </c>
      <c r="B399" t="s">
        <v>752</v>
      </c>
      <c r="C399" t="s">
        <v>2251</v>
      </c>
      <c r="D399" t="s">
        <v>2202</v>
      </c>
      <c r="E399" t="s">
        <v>716</v>
      </c>
      <c r="F399" s="11">
        <v>46308.415972222225</v>
      </c>
      <c r="G399">
        <v>172</v>
      </c>
      <c r="H399" t="s">
        <v>2252</v>
      </c>
      <c r="I399" t="s">
        <v>2253</v>
      </c>
      <c r="J399" t="str">
        <f>IF(ISNUMBER(SEARCH("registro de pre",tEditais[[#This Row],[Objeto]])),"Sim","Não")</f>
        <v>Não</v>
      </c>
      <c r="K399" s="4">
        <f>COUNTIFS(tItens[Edital],tEditais[[#This Row],[Edital]])</f>
        <v>14</v>
      </c>
      <c r="L399" s="4">
        <f>COUNTIFS(tItens[Edital],tEditais[[#This Row],[Edital]],tItens[Foco],"Sim")</f>
        <v>1</v>
      </c>
      <c r="M399" s="8">
        <f>SUMIFS(tItens[Valor],tItens[Edital],tEditais[[#This Row],[Edital]])</f>
        <v>46065.880000000005</v>
      </c>
      <c r="N399" s="8">
        <f>SUMIFS(tItens[Valor homologado],tItens[Edital],tEditais[[#This Row],[Edital]],tItens[Foco],"Sim")</f>
        <v>1979.3399999999997</v>
      </c>
      <c r="O399" t="str">
        <f>IF(tEditais[[#This Row],[Itens do foco]]=0,"",IF(tEditais[[#This Row],[Valor foco homologado]]&lt;=0,"Sem valor",IF(tEditais[[#This Row],[Valor foco homologado]]&gt;=FaixaA_Min,"A",IF(tEditais[[#This Row],[Valor foco homologado]]&gt;=FaixaB_Min,"B","C"))))</f>
        <v>C</v>
      </c>
      <c r="P399" t="str">
        <f ca="1">IF(tEditais[[#This Row],[Encerramento]]&gt;NOW(),"Aberto","Encerrado")</f>
        <v>Encerrado</v>
      </c>
    </row>
    <row r="400" spans="1:16" x14ac:dyDescent="0.25">
      <c r="A400" t="s">
        <v>2254</v>
      </c>
      <c r="B400" t="s">
        <v>2255</v>
      </c>
      <c r="C400" t="s">
        <v>2256</v>
      </c>
      <c r="D400" t="s">
        <v>2202</v>
      </c>
      <c r="E400" t="s">
        <v>716</v>
      </c>
      <c r="F400" s="11">
        <v>46308.416666666664</v>
      </c>
      <c r="G400">
        <v>67</v>
      </c>
      <c r="H400" t="s">
        <v>2257</v>
      </c>
      <c r="I400" t="s">
        <v>2258</v>
      </c>
      <c r="J400" t="str">
        <f>IF(ISNUMBER(SEARCH("registro de pre",tEditais[[#This Row],[Objeto]])),"Sim","Não")</f>
        <v>Sim</v>
      </c>
      <c r="K400" s="4">
        <f>COUNTIFS(tItens[Edital],tEditais[[#This Row],[Edital]])</f>
        <v>9</v>
      </c>
      <c r="L400" s="4">
        <f>COUNTIFS(tItens[Edital],tEditais[[#This Row],[Edital]],tItens[Foco],"Sim")</f>
        <v>1</v>
      </c>
      <c r="M400" s="8">
        <f>SUMIFS(tItens[Valor],tItens[Edital],tEditais[[#This Row],[Edital]])</f>
        <v>28332.84</v>
      </c>
      <c r="N400" s="8">
        <f>SUMIFS(tItens[Valor homologado],tItens[Edital],tEditais[[#This Row],[Edital]],tItens[Foco],"Sim")</f>
        <v>1132.0319999999999</v>
      </c>
      <c r="O400" t="str">
        <f>IF(tEditais[[#This Row],[Itens do foco]]=0,"",IF(tEditais[[#This Row],[Valor foco homologado]]&lt;=0,"Sem valor",IF(tEditais[[#This Row],[Valor foco homologado]]&gt;=FaixaA_Min,"A",IF(tEditais[[#This Row],[Valor foco homologado]]&gt;=FaixaB_Min,"B","C"))))</f>
        <v>C</v>
      </c>
      <c r="P400" t="str">
        <f ca="1">IF(tEditais[[#This Row],[Encerramento]]&gt;NOW(),"Aberto","Encerrado")</f>
        <v>Encerrado</v>
      </c>
    </row>
    <row r="401" spans="1:16" x14ac:dyDescent="0.25">
      <c r="A401" t="s">
        <v>2259</v>
      </c>
      <c r="B401" t="s">
        <v>2260</v>
      </c>
      <c r="C401" t="s">
        <v>2201</v>
      </c>
      <c r="D401" t="s">
        <v>2202</v>
      </c>
      <c r="E401" t="s">
        <v>716</v>
      </c>
      <c r="F401" s="11">
        <v>46308.416666666664</v>
      </c>
      <c r="G401">
        <v>73</v>
      </c>
      <c r="H401" t="s">
        <v>2261</v>
      </c>
      <c r="I401" t="s">
        <v>2262</v>
      </c>
      <c r="J401" t="str">
        <f>IF(ISNUMBER(SEARCH("registro de pre",tEditais[[#This Row],[Objeto]])),"Sim","Não")</f>
        <v>Não</v>
      </c>
      <c r="K401" s="4">
        <f>COUNTIFS(tItens[Edital],tEditais[[#This Row],[Edital]])</f>
        <v>20</v>
      </c>
      <c r="L401" s="4">
        <f>COUNTIFS(tItens[Edital],tEditais[[#This Row],[Edital]],tItens[Foco],"Sim")</f>
        <v>0</v>
      </c>
      <c r="M401" s="8">
        <f>SUMIFS(tItens[Valor],tItens[Edital],tEditais[[#This Row],[Edital]])</f>
        <v>0</v>
      </c>
      <c r="N401" s="8">
        <f>SUMIFS(tItens[Valor homologado],tItens[Edital],tEditais[[#This Row],[Edital]],tItens[Foco],"Sim")</f>
        <v>0</v>
      </c>
      <c r="O401" t="str">
        <f>IF(tEditais[[#This Row],[Itens do foco]]=0,"",IF(tEditais[[#This Row],[Valor foco homologado]]&lt;=0,"Sem valor",IF(tEditais[[#This Row],[Valor foco homologado]]&gt;=FaixaA_Min,"A",IF(tEditais[[#This Row],[Valor foco homologado]]&gt;=FaixaB_Min,"B","C"))))</f>
        <v/>
      </c>
      <c r="P401" t="str">
        <f ca="1">IF(tEditais[[#This Row],[Encerramento]]&gt;NOW(),"Aberto","Encerrado")</f>
        <v>Encerrado</v>
      </c>
    </row>
    <row r="402" spans="1:16" x14ac:dyDescent="0.25">
      <c r="A402" t="s">
        <v>2263</v>
      </c>
      <c r="B402" t="s">
        <v>2264</v>
      </c>
      <c r="C402" t="s">
        <v>2265</v>
      </c>
      <c r="D402" t="s">
        <v>2202</v>
      </c>
      <c r="E402" t="s">
        <v>716</v>
      </c>
      <c r="F402" s="11">
        <v>46308.416666666664</v>
      </c>
      <c r="G402">
        <v>33</v>
      </c>
      <c r="H402" t="s">
        <v>2266</v>
      </c>
      <c r="I402" t="s">
        <v>2267</v>
      </c>
      <c r="J402" t="str">
        <f>IF(ISNUMBER(SEARCH("registro de pre",tEditais[[#This Row],[Objeto]])),"Sim","Não")</f>
        <v>Não</v>
      </c>
      <c r="K402" s="4">
        <f>COUNTIFS(tItens[Edital],tEditais[[#This Row],[Edital]])</f>
        <v>2</v>
      </c>
      <c r="L402" s="4">
        <f>COUNTIFS(tItens[Edital],tEditais[[#This Row],[Edital]],tItens[Foco],"Sim")</f>
        <v>0</v>
      </c>
      <c r="M402" s="8">
        <f>SUMIFS(tItens[Valor],tItens[Edital],tEditais[[#This Row],[Edital]])</f>
        <v>24499.91</v>
      </c>
      <c r="N402" s="8">
        <f>SUMIFS(tItens[Valor homologado],tItens[Edital],tEditais[[#This Row],[Edital]],tItens[Foco],"Sim")</f>
        <v>0</v>
      </c>
      <c r="O402" t="str">
        <f>IF(tEditais[[#This Row],[Itens do foco]]=0,"",IF(tEditais[[#This Row],[Valor foco homologado]]&lt;=0,"Sem valor",IF(tEditais[[#This Row],[Valor foco homologado]]&gt;=FaixaA_Min,"A",IF(tEditais[[#This Row],[Valor foco homologado]]&gt;=FaixaB_Min,"B","C"))))</f>
        <v/>
      </c>
      <c r="P402" t="str">
        <f ca="1">IF(tEditais[[#This Row],[Encerramento]]&gt;NOW(),"Aberto","Encerrado")</f>
        <v>Encerrado</v>
      </c>
    </row>
    <row r="403" spans="1:16" x14ac:dyDescent="0.25">
      <c r="A403" t="s">
        <v>2268</v>
      </c>
      <c r="B403" t="s">
        <v>2200</v>
      </c>
      <c r="C403" t="s">
        <v>2201</v>
      </c>
      <c r="D403" t="s">
        <v>2202</v>
      </c>
      <c r="E403" t="s">
        <v>800</v>
      </c>
      <c r="F403" s="11">
        <v>46308.458333333336</v>
      </c>
      <c r="G403">
        <v>1</v>
      </c>
      <c r="H403" t="s">
        <v>2269</v>
      </c>
      <c r="I403" t="s">
        <v>2270</v>
      </c>
      <c r="J403" t="str">
        <f>IF(ISNUMBER(SEARCH("registro de pre",tEditais[[#This Row],[Objeto]])),"Sim","Não")</f>
        <v>Sim</v>
      </c>
      <c r="K403" s="4">
        <f>COUNTIFS(tItens[Edital],tEditais[[#This Row],[Edital]])</f>
        <v>1</v>
      </c>
      <c r="L403" s="4">
        <f>COUNTIFS(tItens[Edital],tEditais[[#This Row],[Edital]],tItens[Foco],"Sim")</f>
        <v>0</v>
      </c>
      <c r="M403" s="8">
        <f>SUMIFS(tItens[Valor],tItens[Edital],tEditais[[#This Row],[Edital]])</f>
        <v>40560</v>
      </c>
      <c r="N403" s="8">
        <f>SUMIFS(tItens[Valor homologado],tItens[Edital],tEditais[[#This Row],[Edital]],tItens[Foco],"Sim")</f>
        <v>0</v>
      </c>
      <c r="O403" t="str">
        <f>IF(tEditais[[#This Row],[Itens do foco]]=0,"",IF(tEditais[[#This Row],[Valor foco homologado]]&lt;=0,"Sem valor",IF(tEditais[[#This Row],[Valor foco homologado]]&gt;=FaixaA_Min,"A",IF(tEditais[[#This Row],[Valor foco homologado]]&gt;=FaixaB_Min,"B","C"))))</f>
        <v/>
      </c>
      <c r="P403" t="str">
        <f ca="1">IF(tEditais[[#This Row],[Encerramento]]&gt;NOW(),"Aberto","Encerrado")</f>
        <v>Encerrado</v>
      </c>
    </row>
    <row r="404" spans="1:16" x14ac:dyDescent="0.25">
      <c r="A404" t="s">
        <v>2271</v>
      </c>
      <c r="B404" t="s">
        <v>2272</v>
      </c>
      <c r="C404" t="s">
        <v>2201</v>
      </c>
      <c r="D404" t="s">
        <v>2202</v>
      </c>
      <c r="E404" t="s">
        <v>800</v>
      </c>
      <c r="F404" s="11">
        <v>46308.5</v>
      </c>
      <c r="G404">
        <v>20</v>
      </c>
      <c r="H404" t="s">
        <v>2273</v>
      </c>
      <c r="I404" t="s">
        <v>2274</v>
      </c>
      <c r="J404" t="str">
        <f>IF(ISNUMBER(SEARCH("registro de pre",tEditais[[#This Row],[Objeto]])),"Sim","Não")</f>
        <v>Não</v>
      </c>
      <c r="K404" s="4">
        <f>COUNTIFS(tItens[Edital],tEditais[[#This Row],[Edital]])</f>
        <v>3</v>
      </c>
      <c r="L404" s="4">
        <f>COUNTIFS(tItens[Edital],tEditais[[#This Row],[Edital]],tItens[Foco],"Sim")</f>
        <v>0</v>
      </c>
      <c r="M404" s="8">
        <f>SUMIFS(tItens[Valor],tItens[Edital],tEditais[[#This Row],[Edital]])</f>
        <v>1372.5</v>
      </c>
      <c r="N404" s="8">
        <f>SUMIFS(tItens[Valor homologado],tItens[Edital],tEditais[[#This Row],[Edital]],tItens[Foco],"Sim")</f>
        <v>0</v>
      </c>
      <c r="O404" t="str">
        <f>IF(tEditais[[#This Row],[Itens do foco]]=0,"",IF(tEditais[[#This Row],[Valor foco homologado]]&lt;=0,"Sem valor",IF(tEditais[[#This Row],[Valor foco homologado]]&gt;=FaixaA_Min,"A",IF(tEditais[[#This Row],[Valor foco homologado]]&gt;=FaixaB_Min,"B","C"))))</f>
        <v/>
      </c>
      <c r="P404" t="str">
        <f ca="1">IF(tEditais[[#This Row],[Encerramento]]&gt;NOW(),"Aberto","Encerrado")</f>
        <v>Encerrado</v>
      </c>
    </row>
    <row r="405" spans="1:16" x14ac:dyDescent="0.25">
      <c r="A405" t="s">
        <v>2275</v>
      </c>
      <c r="B405" t="s">
        <v>1683</v>
      </c>
      <c r="C405" t="s">
        <v>2201</v>
      </c>
      <c r="D405" t="s">
        <v>2202</v>
      </c>
      <c r="E405" t="s">
        <v>716</v>
      </c>
      <c r="F405" s="11">
        <v>46308.541666666664</v>
      </c>
      <c r="G405">
        <v>17</v>
      </c>
      <c r="H405" t="s">
        <v>2276</v>
      </c>
      <c r="I405" t="s">
        <v>2277</v>
      </c>
      <c r="J405" t="str">
        <f>IF(ISNUMBER(SEARCH("registro de pre",tEditais[[#This Row],[Objeto]])),"Sim","Não")</f>
        <v>Não</v>
      </c>
      <c r="K405" s="4">
        <f>COUNTIFS(tItens[Edital],tEditais[[#This Row],[Edital]])</f>
        <v>11</v>
      </c>
      <c r="L405" s="4">
        <f>COUNTIFS(tItens[Edital],tEditais[[#This Row],[Edital]],tItens[Foco],"Sim")</f>
        <v>3</v>
      </c>
      <c r="M405" s="8">
        <f>SUMIFS(tItens[Valor],tItens[Edital],tEditais[[#This Row],[Edital]])</f>
        <v>195276.52999999997</v>
      </c>
      <c r="N405" s="8">
        <f>SUMIFS(tItens[Valor homologado],tItens[Edital],tEditais[[#This Row],[Edital]],tItens[Foco],"Sim")</f>
        <v>1829.8499999999997</v>
      </c>
      <c r="O405" t="str">
        <f>IF(tEditais[[#This Row],[Itens do foco]]=0,"",IF(tEditais[[#This Row],[Valor foco homologado]]&lt;=0,"Sem valor",IF(tEditais[[#This Row],[Valor foco homologado]]&gt;=FaixaA_Min,"A",IF(tEditais[[#This Row],[Valor foco homologado]]&gt;=FaixaB_Min,"B","C"))))</f>
        <v>C</v>
      </c>
      <c r="P405" t="str">
        <f ca="1">IF(tEditais[[#This Row],[Encerramento]]&gt;NOW(),"Aberto","Encerrado")</f>
        <v>Encerrado</v>
      </c>
    </row>
    <row r="406" spans="1:16" x14ac:dyDescent="0.25">
      <c r="A406" t="s">
        <v>2278</v>
      </c>
      <c r="B406" t="s">
        <v>2279</v>
      </c>
      <c r="C406" t="s">
        <v>2201</v>
      </c>
      <c r="D406" t="s">
        <v>2202</v>
      </c>
      <c r="E406" t="s">
        <v>800</v>
      </c>
      <c r="F406" s="11">
        <v>46309.333333333336</v>
      </c>
      <c r="G406">
        <v>8</v>
      </c>
      <c r="H406" t="s">
        <v>2280</v>
      </c>
      <c r="I406" t="s">
        <v>2281</v>
      </c>
      <c r="J406" t="str">
        <f>IF(ISNUMBER(SEARCH("registro de pre",tEditais[[#This Row],[Objeto]])),"Sim","Não")</f>
        <v>Não</v>
      </c>
      <c r="K406" s="4">
        <f>COUNTIFS(tItens[Edital],tEditais[[#This Row],[Edital]])</f>
        <v>1</v>
      </c>
      <c r="L406" s="4">
        <f>COUNTIFS(tItens[Edital],tEditais[[#This Row],[Edital]],tItens[Foco],"Sim")</f>
        <v>0</v>
      </c>
      <c r="M406" s="8">
        <f>SUMIFS(tItens[Valor],tItens[Edital],tEditais[[#This Row],[Edital]])</f>
        <v>80.16</v>
      </c>
      <c r="N406" s="8">
        <f>SUMIFS(tItens[Valor homologado],tItens[Edital],tEditais[[#This Row],[Edital]],tItens[Foco],"Sim")</f>
        <v>0</v>
      </c>
      <c r="O406" t="str">
        <f>IF(tEditais[[#This Row],[Itens do foco]]=0,"",IF(tEditais[[#This Row],[Valor foco homologado]]&lt;=0,"Sem valor",IF(tEditais[[#This Row],[Valor foco homologado]]&gt;=FaixaA_Min,"A",IF(tEditais[[#This Row],[Valor foco homologado]]&gt;=FaixaB_Min,"B","C"))))</f>
        <v/>
      </c>
      <c r="P406" t="str">
        <f ca="1">IF(tEditais[[#This Row],[Encerramento]]&gt;NOW(),"Aberto","Encerrado")</f>
        <v>Encerrado</v>
      </c>
    </row>
    <row r="407" spans="1:16" x14ac:dyDescent="0.25">
      <c r="A407" t="s">
        <v>2282</v>
      </c>
      <c r="B407" t="s">
        <v>2200</v>
      </c>
      <c r="C407" t="s">
        <v>2201</v>
      </c>
      <c r="D407" t="s">
        <v>2202</v>
      </c>
      <c r="E407" t="s">
        <v>800</v>
      </c>
      <c r="F407" s="11">
        <v>46309.333333333336</v>
      </c>
      <c r="G407">
        <v>8</v>
      </c>
      <c r="H407" t="s">
        <v>2283</v>
      </c>
      <c r="I407" t="s">
        <v>2284</v>
      </c>
      <c r="J407" t="str">
        <f>IF(ISNUMBER(SEARCH("registro de pre",tEditais[[#This Row],[Objeto]])),"Sim","Não")</f>
        <v>Não</v>
      </c>
      <c r="K407" s="4">
        <f>COUNTIFS(tItens[Edital],tEditais[[#This Row],[Edital]])</f>
        <v>8</v>
      </c>
      <c r="L407" s="4">
        <f>COUNTIFS(tItens[Edital],tEditais[[#This Row],[Edital]],tItens[Foco],"Sim")</f>
        <v>0</v>
      </c>
      <c r="M407" s="8">
        <f>SUMIFS(tItens[Valor],tItens[Edital],tEditais[[#This Row],[Edital]])</f>
        <v>65433.119999999995</v>
      </c>
      <c r="N407" s="8">
        <f>SUMIFS(tItens[Valor homologado],tItens[Edital],tEditais[[#This Row],[Edital]],tItens[Foco],"Sim")</f>
        <v>0</v>
      </c>
      <c r="O407" t="str">
        <f>IF(tEditais[[#This Row],[Itens do foco]]=0,"",IF(tEditais[[#This Row],[Valor foco homologado]]&lt;=0,"Sem valor",IF(tEditais[[#This Row],[Valor foco homologado]]&gt;=FaixaA_Min,"A",IF(tEditais[[#This Row],[Valor foco homologado]]&gt;=FaixaB_Min,"B","C"))))</f>
        <v/>
      </c>
      <c r="P407" t="str">
        <f ca="1">IF(tEditais[[#This Row],[Encerramento]]&gt;NOW(),"Aberto","Encerrado")</f>
        <v>Encerrado</v>
      </c>
    </row>
    <row r="408" spans="1:16" x14ac:dyDescent="0.25">
      <c r="A408" t="s">
        <v>2285</v>
      </c>
      <c r="B408" t="s">
        <v>886</v>
      </c>
      <c r="C408" t="s">
        <v>2201</v>
      </c>
      <c r="D408" t="s">
        <v>2202</v>
      </c>
      <c r="E408" t="s">
        <v>716</v>
      </c>
      <c r="F408" s="11">
        <v>46309.333333333336</v>
      </c>
      <c r="G408">
        <v>9</v>
      </c>
      <c r="H408" t="s">
        <v>2286</v>
      </c>
      <c r="I408" t="s">
        <v>2287</v>
      </c>
      <c r="J408" t="str">
        <f>IF(ISNUMBER(SEARCH("registro de pre",tEditais[[#This Row],[Objeto]])),"Sim","Não")</f>
        <v>Não</v>
      </c>
      <c r="K408" s="4">
        <f>COUNTIFS(tItens[Edital],tEditais[[#This Row],[Edital]])</f>
        <v>1</v>
      </c>
      <c r="L408" s="4">
        <f>COUNTIFS(tItens[Edital],tEditais[[#This Row],[Edital]],tItens[Foco],"Sim")</f>
        <v>0</v>
      </c>
      <c r="M408" s="8">
        <f>SUMIFS(tItens[Valor],tItens[Edital],tEditais[[#This Row],[Edital]])</f>
        <v>54900</v>
      </c>
      <c r="N408" s="8">
        <f>SUMIFS(tItens[Valor homologado],tItens[Edital],tEditais[[#This Row],[Edital]],tItens[Foco],"Sim")</f>
        <v>0</v>
      </c>
      <c r="O408" t="str">
        <f>IF(tEditais[[#This Row],[Itens do foco]]=0,"",IF(tEditais[[#This Row],[Valor foco homologado]]&lt;=0,"Sem valor",IF(tEditais[[#This Row],[Valor foco homologado]]&gt;=FaixaA_Min,"A",IF(tEditais[[#This Row],[Valor foco homologado]]&gt;=FaixaB_Min,"B","C"))))</f>
        <v/>
      </c>
      <c r="P408" t="str">
        <f ca="1">IF(tEditais[[#This Row],[Encerramento]]&gt;NOW(),"Aberto","Encerrado")</f>
        <v>Encerrado</v>
      </c>
    </row>
    <row r="409" spans="1:16" x14ac:dyDescent="0.25">
      <c r="A409" t="s">
        <v>2288</v>
      </c>
      <c r="B409" t="s">
        <v>2289</v>
      </c>
      <c r="C409" t="s">
        <v>2290</v>
      </c>
      <c r="D409" t="s">
        <v>2202</v>
      </c>
      <c r="E409" t="s">
        <v>716</v>
      </c>
      <c r="F409" s="11">
        <v>46309.375694444447</v>
      </c>
      <c r="G409">
        <v>192</v>
      </c>
      <c r="H409" t="s">
        <v>2291</v>
      </c>
      <c r="I409" t="s">
        <v>2292</v>
      </c>
      <c r="J409" t="str">
        <f>IF(ISNUMBER(SEARCH("registro de pre",tEditais[[#This Row],[Objeto]])),"Sim","Não")</f>
        <v>Sim</v>
      </c>
      <c r="K409" s="4">
        <f>COUNTIFS(tItens[Edital],tEditais[[#This Row],[Edital]])</f>
        <v>11</v>
      </c>
      <c r="L409" s="4">
        <f>COUNTIFS(tItens[Edital],tEditais[[#This Row],[Edital]],tItens[Foco],"Sim")</f>
        <v>1</v>
      </c>
      <c r="M409" s="8">
        <f>SUMIFS(tItens[Valor],tItens[Edital],tEditais[[#This Row],[Edital]])</f>
        <v>138229.4</v>
      </c>
      <c r="N409" s="8">
        <f>SUMIFS(tItens[Valor homologado],tItens[Edital],tEditais[[#This Row],[Edital]],tItens[Foco],"Sim")</f>
        <v>842.95199999999988</v>
      </c>
      <c r="O409" t="str">
        <f>IF(tEditais[[#This Row],[Itens do foco]]=0,"",IF(tEditais[[#This Row],[Valor foco homologado]]&lt;=0,"Sem valor",IF(tEditais[[#This Row],[Valor foco homologado]]&gt;=FaixaA_Min,"A",IF(tEditais[[#This Row],[Valor foco homologado]]&gt;=FaixaB_Min,"B","C"))))</f>
        <v>C</v>
      </c>
      <c r="P409" t="str">
        <f ca="1">IF(tEditais[[#This Row],[Encerramento]]&gt;NOW(),"Aberto","Encerrado")</f>
        <v>Encerrado</v>
      </c>
    </row>
    <row r="410" spans="1:16" x14ac:dyDescent="0.25">
      <c r="A410" t="s">
        <v>2293</v>
      </c>
      <c r="B410" t="s">
        <v>886</v>
      </c>
      <c r="C410" t="s">
        <v>2214</v>
      </c>
      <c r="D410" t="s">
        <v>2202</v>
      </c>
      <c r="E410" t="s">
        <v>800</v>
      </c>
      <c r="F410" s="11">
        <v>46309.427777777775</v>
      </c>
      <c r="G410">
        <v>14</v>
      </c>
      <c r="H410" t="s">
        <v>2294</v>
      </c>
      <c r="I410" t="s">
        <v>2295</v>
      </c>
      <c r="J410" t="str">
        <f>IF(ISNUMBER(SEARCH("registro de pre",tEditais[[#This Row],[Objeto]])),"Sim","Não")</f>
        <v>Não</v>
      </c>
      <c r="K410" s="4">
        <f>COUNTIFS(tItens[Edital],tEditais[[#This Row],[Edital]])</f>
        <v>1</v>
      </c>
      <c r="L410" s="4">
        <f>COUNTIFS(tItens[Edital],tEditais[[#This Row],[Edital]],tItens[Foco],"Sim")</f>
        <v>0</v>
      </c>
      <c r="M410" s="8">
        <f>SUMIFS(tItens[Valor],tItens[Edital],tEditais[[#This Row],[Edital]])</f>
        <v>1047.5</v>
      </c>
      <c r="N410" s="8">
        <f>SUMIFS(tItens[Valor homologado],tItens[Edital],tEditais[[#This Row],[Edital]],tItens[Foco],"Sim")</f>
        <v>0</v>
      </c>
      <c r="O410" t="str">
        <f>IF(tEditais[[#This Row],[Itens do foco]]=0,"",IF(tEditais[[#This Row],[Valor foco homologado]]&lt;=0,"Sem valor",IF(tEditais[[#This Row],[Valor foco homologado]]&gt;=FaixaA_Min,"A",IF(tEditais[[#This Row],[Valor foco homologado]]&gt;=FaixaB_Min,"B","C"))))</f>
        <v/>
      </c>
      <c r="P410" t="str">
        <f ca="1">IF(tEditais[[#This Row],[Encerramento]]&gt;NOW(),"Aberto","Encerrado")</f>
        <v>Encerrado</v>
      </c>
    </row>
    <row r="411" spans="1:16" x14ac:dyDescent="0.25">
      <c r="A411" t="s">
        <v>2296</v>
      </c>
      <c r="B411" t="s">
        <v>2297</v>
      </c>
      <c r="C411" t="s">
        <v>2298</v>
      </c>
      <c r="D411" t="s">
        <v>2202</v>
      </c>
      <c r="E411" t="s">
        <v>716</v>
      </c>
      <c r="F411" s="11">
        <v>46309.583333333336</v>
      </c>
      <c r="G411">
        <v>6</v>
      </c>
      <c r="H411" t="s">
        <v>2299</v>
      </c>
      <c r="I411" t="s">
        <v>2300</v>
      </c>
      <c r="J411" t="str">
        <f>IF(ISNUMBER(SEARCH("registro de pre",tEditais[[#This Row],[Objeto]])),"Sim","Não")</f>
        <v>Sim</v>
      </c>
      <c r="K411" s="4">
        <f>COUNTIFS(tItens[Edital],tEditais[[#This Row],[Edital]])</f>
        <v>4</v>
      </c>
      <c r="L411" s="4">
        <f>COUNTIFS(tItens[Edital],tEditais[[#This Row],[Edital]],tItens[Foco],"Sim")</f>
        <v>0</v>
      </c>
      <c r="M411" s="8">
        <f>SUMIFS(tItens[Valor],tItens[Edital],tEditais[[#This Row],[Edital]])</f>
        <v>225600</v>
      </c>
      <c r="N411" s="8">
        <f>SUMIFS(tItens[Valor homologado],tItens[Edital],tEditais[[#This Row],[Edital]],tItens[Foco],"Sim")</f>
        <v>0</v>
      </c>
      <c r="O411" t="str">
        <f>IF(tEditais[[#This Row],[Itens do foco]]=0,"",IF(tEditais[[#This Row],[Valor foco homologado]]&lt;=0,"Sem valor",IF(tEditais[[#This Row],[Valor foco homologado]]&gt;=FaixaA_Min,"A",IF(tEditais[[#This Row],[Valor foco homologado]]&gt;=FaixaB_Min,"B","C"))))</f>
        <v/>
      </c>
      <c r="P411" t="str">
        <f ca="1">IF(tEditais[[#This Row],[Encerramento]]&gt;NOW(),"Aberto","Encerrado")</f>
        <v>Encerrado</v>
      </c>
    </row>
    <row r="412" spans="1:16" x14ac:dyDescent="0.25">
      <c r="A412" t="s">
        <v>2301</v>
      </c>
      <c r="B412" t="s">
        <v>2200</v>
      </c>
      <c r="C412" t="s">
        <v>2201</v>
      </c>
      <c r="D412" t="s">
        <v>2202</v>
      </c>
      <c r="E412" t="s">
        <v>800</v>
      </c>
      <c r="F412" s="11">
        <v>46310.333333333336</v>
      </c>
      <c r="G412">
        <v>1</v>
      </c>
      <c r="H412" t="s">
        <v>2302</v>
      </c>
      <c r="I412" t="s">
        <v>2303</v>
      </c>
      <c r="J412" t="str">
        <f>IF(ISNUMBER(SEARCH("registro de pre",tEditais[[#This Row],[Objeto]])),"Sim","Não")</f>
        <v>Não</v>
      </c>
      <c r="K412" s="4">
        <f>COUNTIFS(tItens[Edital],tEditais[[#This Row],[Edital]])</f>
        <v>1</v>
      </c>
      <c r="L412" s="4">
        <f>COUNTIFS(tItens[Edital],tEditais[[#This Row],[Edital]],tItens[Foco],"Sim")</f>
        <v>0</v>
      </c>
      <c r="M412" s="8">
        <f>SUMIFS(tItens[Valor],tItens[Edital],tEditais[[#This Row],[Edital]])</f>
        <v>2358</v>
      </c>
      <c r="N412" s="8">
        <f>SUMIFS(tItens[Valor homologado],tItens[Edital],tEditais[[#This Row],[Edital]],tItens[Foco],"Sim")</f>
        <v>0</v>
      </c>
      <c r="O412" t="str">
        <f>IF(tEditais[[#This Row],[Itens do foco]]=0,"",IF(tEditais[[#This Row],[Valor foco homologado]]&lt;=0,"Sem valor",IF(tEditais[[#This Row],[Valor foco homologado]]&gt;=FaixaA_Min,"A",IF(tEditais[[#This Row],[Valor foco homologado]]&gt;=FaixaB_Min,"B","C"))))</f>
        <v/>
      </c>
      <c r="P412" t="str">
        <f ca="1">IF(tEditais[[#This Row],[Encerramento]]&gt;NOW(),"Aberto","Encerrado")</f>
        <v>Encerrado</v>
      </c>
    </row>
    <row r="413" spans="1:16" x14ac:dyDescent="0.25">
      <c r="A413" t="s">
        <v>2304</v>
      </c>
      <c r="B413" t="s">
        <v>2200</v>
      </c>
      <c r="C413" t="s">
        <v>2201</v>
      </c>
      <c r="D413" t="s">
        <v>2202</v>
      </c>
      <c r="E413" t="s">
        <v>800</v>
      </c>
      <c r="F413" s="11">
        <v>46310.333333333336</v>
      </c>
      <c r="G413">
        <v>5</v>
      </c>
      <c r="H413" t="s">
        <v>2305</v>
      </c>
      <c r="I413" t="s">
        <v>2306</v>
      </c>
      <c r="J413" t="str">
        <f>IF(ISNUMBER(SEARCH("registro de pre",tEditais[[#This Row],[Objeto]])),"Sim","Não")</f>
        <v>Não</v>
      </c>
      <c r="K413" s="4">
        <f>COUNTIFS(tItens[Edital],tEditais[[#This Row],[Edital]])</f>
        <v>1</v>
      </c>
      <c r="L413" s="4">
        <f>COUNTIFS(tItens[Edital],tEditais[[#This Row],[Edital]],tItens[Foco],"Sim")</f>
        <v>0</v>
      </c>
      <c r="M413" s="8">
        <f>SUMIFS(tItens[Valor],tItens[Edital],tEditais[[#This Row],[Edital]])</f>
        <v>3290</v>
      </c>
      <c r="N413" s="8">
        <f>SUMIFS(tItens[Valor homologado],tItens[Edital],tEditais[[#This Row],[Edital]],tItens[Foco],"Sim")</f>
        <v>0</v>
      </c>
      <c r="O413" t="str">
        <f>IF(tEditais[[#This Row],[Itens do foco]]=0,"",IF(tEditais[[#This Row],[Valor foco homologado]]&lt;=0,"Sem valor",IF(tEditais[[#This Row],[Valor foco homologado]]&gt;=FaixaA_Min,"A",IF(tEditais[[#This Row],[Valor foco homologado]]&gt;=FaixaB_Min,"B","C"))))</f>
        <v/>
      </c>
      <c r="P413" t="str">
        <f ca="1">IF(tEditais[[#This Row],[Encerramento]]&gt;NOW(),"Aberto","Encerrado")</f>
        <v>Encerrado</v>
      </c>
    </row>
    <row r="414" spans="1:16" x14ac:dyDescent="0.25">
      <c r="A414" t="s">
        <v>2307</v>
      </c>
      <c r="B414" t="s">
        <v>2200</v>
      </c>
      <c r="C414" t="s">
        <v>2201</v>
      </c>
      <c r="D414" t="s">
        <v>2202</v>
      </c>
      <c r="E414" t="s">
        <v>800</v>
      </c>
      <c r="F414" s="11">
        <v>46310.333333333336</v>
      </c>
      <c r="G414">
        <v>3</v>
      </c>
      <c r="H414" t="s">
        <v>2308</v>
      </c>
      <c r="I414" t="s">
        <v>2309</v>
      </c>
      <c r="J414" t="str">
        <f>IF(ISNUMBER(SEARCH("registro de pre",tEditais[[#This Row],[Objeto]])),"Sim","Não")</f>
        <v>Não</v>
      </c>
      <c r="K414" s="4">
        <f>COUNTIFS(tItens[Edital],tEditais[[#This Row],[Edital]])</f>
        <v>3</v>
      </c>
      <c r="L414" s="4">
        <f>COUNTIFS(tItens[Edital],tEditais[[#This Row],[Edital]],tItens[Foco],"Sim")</f>
        <v>3</v>
      </c>
      <c r="M414" s="8">
        <f>SUMIFS(tItens[Valor],tItens[Edital],tEditais[[#This Row],[Edital]])</f>
        <v>3940</v>
      </c>
      <c r="N414" s="8">
        <f>SUMIFS(tItens[Valor homologado],tItens[Edital],tEditais[[#This Row],[Edital]],tItens[Foco],"Sim")</f>
        <v>2600.3999999999996</v>
      </c>
      <c r="O414" t="str">
        <f>IF(tEditais[[#This Row],[Itens do foco]]=0,"",IF(tEditais[[#This Row],[Valor foco homologado]]&lt;=0,"Sem valor",IF(tEditais[[#This Row],[Valor foco homologado]]&gt;=FaixaA_Min,"A",IF(tEditais[[#This Row],[Valor foco homologado]]&gt;=FaixaB_Min,"B","C"))))</f>
        <v>C</v>
      </c>
      <c r="P414" t="str">
        <f ca="1">IF(tEditais[[#This Row],[Encerramento]]&gt;NOW(),"Aberto","Encerrado")</f>
        <v>Encerrado</v>
      </c>
    </row>
    <row r="415" spans="1:16" x14ac:dyDescent="0.25">
      <c r="A415" t="s">
        <v>2310</v>
      </c>
      <c r="B415" t="s">
        <v>2279</v>
      </c>
      <c r="C415" t="s">
        <v>2311</v>
      </c>
      <c r="D415" t="s">
        <v>2202</v>
      </c>
      <c r="E415" t="s">
        <v>800</v>
      </c>
      <c r="F415" s="11">
        <v>46310.333333333336</v>
      </c>
      <c r="G415">
        <v>3</v>
      </c>
      <c r="H415" t="s">
        <v>2312</v>
      </c>
      <c r="I415" t="s">
        <v>2313</v>
      </c>
      <c r="J415" t="str">
        <f>IF(ISNUMBER(SEARCH("registro de pre",tEditais[[#This Row],[Objeto]])),"Sim","Não")</f>
        <v>Não</v>
      </c>
      <c r="K415" s="4">
        <f>COUNTIFS(tItens[Edital],tEditais[[#This Row],[Edital]])</f>
        <v>2</v>
      </c>
      <c r="L415" s="4">
        <f>COUNTIFS(tItens[Edital],tEditais[[#This Row],[Edital]],tItens[Foco],"Sim")</f>
        <v>0</v>
      </c>
      <c r="M415" s="8">
        <f>SUMIFS(tItens[Valor],tItens[Edital],tEditais[[#This Row],[Edital]])</f>
        <v>2984</v>
      </c>
      <c r="N415" s="8">
        <f>SUMIFS(tItens[Valor homologado],tItens[Edital],tEditais[[#This Row],[Edital]],tItens[Foco],"Sim")</f>
        <v>0</v>
      </c>
      <c r="O415" t="str">
        <f>IF(tEditais[[#This Row],[Itens do foco]]=0,"",IF(tEditais[[#This Row],[Valor foco homologado]]&lt;=0,"Sem valor",IF(tEditais[[#This Row],[Valor foco homologado]]&gt;=FaixaA_Min,"A",IF(tEditais[[#This Row],[Valor foco homologado]]&gt;=FaixaB_Min,"B","C"))))</f>
        <v/>
      </c>
      <c r="P415" t="str">
        <f ca="1">IF(tEditais[[#This Row],[Encerramento]]&gt;NOW(),"Aberto","Encerrado")</f>
        <v>Encerrado</v>
      </c>
    </row>
    <row r="416" spans="1:16" x14ac:dyDescent="0.25">
      <c r="A416" t="s">
        <v>2314</v>
      </c>
      <c r="B416" t="s">
        <v>2200</v>
      </c>
      <c r="C416" t="s">
        <v>2201</v>
      </c>
      <c r="D416" t="s">
        <v>2202</v>
      </c>
      <c r="E416" t="s">
        <v>800</v>
      </c>
      <c r="F416" s="11">
        <v>46310.375</v>
      </c>
      <c r="G416">
        <v>1</v>
      </c>
      <c r="H416" t="s">
        <v>2315</v>
      </c>
      <c r="I416" t="s">
        <v>2316</v>
      </c>
      <c r="J416" t="str">
        <f>IF(ISNUMBER(SEARCH("registro de pre",tEditais[[#This Row],[Objeto]])),"Sim","Não")</f>
        <v>Sim</v>
      </c>
      <c r="K416" s="4">
        <f>COUNTIFS(tItens[Edital],tEditais[[#This Row],[Edital]])</f>
        <v>1</v>
      </c>
      <c r="L416" s="4">
        <f>COUNTIFS(tItens[Edital],tEditais[[#This Row],[Edital]],tItens[Foco],"Sim")</f>
        <v>0</v>
      </c>
      <c r="M416" s="8">
        <f>SUMIFS(tItens[Valor],tItens[Edital],tEditais[[#This Row],[Edital]])</f>
        <v>29915.600000000002</v>
      </c>
      <c r="N416" s="8">
        <f>SUMIFS(tItens[Valor homologado],tItens[Edital],tEditais[[#This Row],[Edital]],tItens[Foco],"Sim")</f>
        <v>0</v>
      </c>
      <c r="O416" t="str">
        <f>IF(tEditais[[#This Row],[Itens do foco]]=0,"",IF(tEditais[[#This Row],[Valor foco homologado]]&lt;=0,"Sem valor",IF(tEditais[[#This Row],[Valor foco homologado]]&gt;=FaixaA_Min,"A",IF(tEditais[[#This Row],[Valor foco homologado]]&gt;=FaixaB_Min,"B","C"))))</f>
        <v/>
      </c>
      <c r="P416" t="str">
        <f ca="1">IF(tEditais[[#This Row],[Encerramento]]&gt;NOW(),"Aberto","Encerrado")</f>
        <v>Encerrado</v>
      </c>
    </row>
    <row r="417" spans="1:16" x14ac:dyDescent="0.25">
      <c r="A417" t="s">
        <v>2317</v>
      </c>
      <c r="B417" t="s">
        <v>2318</v>
      </c>
      <c r="C417" t="s">
        <v>2319</v>
      </c>
      <c r="D417" t="s">
        <v>2202</v>
      </c>
      <c r="E417" t="s">
        <v>716</v>
      </c>
      <c r="F417" s="11">
        <v>46310.375</v>
      </c>
      <c r="G417">
        <v>11</v>
      </c>
      <c r="H417" t="s">
        <v>2320</v>
      </c>
      <c r="I417" t="s">
        <v>2321</v>
      </c>
      <c r="J417" t="str">
        <f>IF(ISNUMBER(SEARCH("registro de pre",tEditais[[#This Row],[Objeto]])),"Sim","Não")</f>
        <v>Sim</v>
      </c>
      <c r="K417" s="4">
        <f>COUNTIFS(tItens[Edital],tEditais[[#This Row],[Edital]])</f>
        <v>1</v>
      </c>
      <c r="L417" s="4">
        <f>COUNTIFS(tItens[Edital],tEditais[[#This Row],[Edital]],tItens[Foco],"Sim")</f>
        <v>0</v>
      </c>
      <c r="M417" s="8">
        <f>SUMIFS(tItens[Valor],tItens[Edital],tEditais[[#This Row],[Edital]])</f>
        <v>3104.3999999999996</v>
      </c>
      <c r="N417" s="8">
        <f>SUMIFS(tItens[Valor homologado],tItens[Edital],tEditais[[#This Row],[Edital]],tItens[Foco],"Sim")</f>
        <v>0</v>
      </c>
      <c r="O417" t="str">
        <f>IF(tEditais[[#This Row],[Itens do foco]]=0,"",IF(tEditais[[#This Row],[Valor foco homologado]]&lt;=0,"Sem valor",IF(tEditais[[#This Row],[Valor foco homologado]]&gt;=FaixaA_Min,"A",IF(tEditais[[#This Row],[Valor foco homologado]]&gt;=FaixaB_Min,"B","C"))))</f>
        <v/>
      </c>
      <c r="P417" t="str">
        <f ca="1">IF(tEditais[[#This Row],[Encerramento]]&gt;NOW(),"Aberto","Encerrado")</f>
        <v>Encerrado</v>
      </c>
    </row>
    <row r="418" spans="1:16" x14ac:dyDescent="0.25">
      <c r="A418" t="s">
        <v>2322</v>
      </c>
      <c r="B418" t="s">
        <v>2323</v>
      </c>
      <c r="C418" t="s">
        <v>2319</v>
      </c>
      <c r="D418" t="s">
        <v>2202</v>
      </c>
      <c r="E418" t="s">
        <v>716</v>
      </c>
      <c r="F418" s="11">
        <v>46310.375</v>
      </c>
      <c r="G418">
        <v>10</v>
      </c>
      <c r="H418" t="s">
        <v>2324</v>
      </c>
      <c r="I418" t="s">
        <v>2325</v>
      </c>
      <c r="J418" t="str">
        <f>IF(ISNUMBER(SEARCH("registro de pre",tEditais[[#This Row],[Objeto]])),"Sim","Não")</f>
        <v>Não</v>
      </c>
      <c r="K418" s="4">
        <f>COUNTIFS(tItens[Edital],tEditais[[#This Row],[Edital]])</f>
        <v>5</v>
      </c>
      <c r="L418" s="4">
        <f>COUNTIFS(tItens[Edital],tEditais[[#This Row],[Edital]],tItens[Foco],"Sim")</f>
        <v>0</v>
      </c>
      <c r="M418" s="8">
        <f>SUMIFS(tItens[Valor],tItens[Edital],tEditais[[#This Row],[Edital]])</f>
        <v>198410</v>
      </c>
      <c r="N418" s="8">
        <f>SUMIFS(tItens[Valor homologado],tItens[Edital],tEditais[[#This Row],[Edital]],tItens[Foco],"Sim")</f>
        <v>0</v>
      </c>
      <c r="O418" t="str">
        <f>IF(tEditais[[#This Row],[Itens do foco]]=0,"",IF(tEditais[[#This Row],[Valor foco homologado]]&lt;=0,"Sem valor",IF(tEditais[[#This Row],[Valor foco homologado]]&gt;=FaixaA_Min,"A",IF(tEditais[[#This Row],[Valor foco homologado]]&gt;=FaixaB_Min,"B","C"))))</f>
        <v/>
      </c>
      <c r="P418" t="str">
        <f ca="1">IF(tEditais[[#This Row],[Encerramento]]&gt;NOW(),"Aberto","Encerrado")</f>
        <v>Encerrado</v>
      </c>
    </row>
    <row r="419" spans="1:16" x14ac:dyDescent="0.25">
      <c r="A419" t="s">
        <v>2326</v>
      </c>
      <c r="B419" t="s">
        <v>2255</v>
      </c>
      <c r="C419" t="s">
        <v>2256</v>
      </c>
      <c r="D419" t="s">
        <v>2202</v>
      </c>
      <c r="E419" t="s">
        <v>800</v>
      </c>
      <c r="F419" s="11">
        <v>46310.416666666664</v>
      </c>
      <c r="G419">
        <v>8</v>
      </c>
      <c r="H419" t="s">
        <v>2327</v>
      </c>
      <c r="I419" t="s">
        <v>2328</v>
      </c>
      <c r="J419" t="str">
        <f>IF(ISNUMBER(SEARCH("registro de pre",tEditais[[#This Row],[Objeto]])),"Sim","Não")</f>
        <v>Não</v>
      </c>
      <c r="K419" s="4">
        <f>COUNTIFS(tItens[Edital],tEditais[[#This Row],[Edital]])</f>
        <v>3</v>
      </c>
      <c r="L419" s="4">
        <f>COUNTIFS(tItens[Edital],tEditais[[#This Row],[Edital]],tItens[Foco],"Sim")</f>
        <v>3</v>
      </c>
      <c r="M419" s="8">
        <f>SUMIFS(tItens[Valor],tItens[Edital],tEditais[[#This Row],[Edital]])</f>
        <v>6301.92</v>
      </c>
      <c r="N419" s="8">
        <f>SUMIFS(tItens[Valor homologado],tItens[Edital],tEditais[[#This Row],[Edital]],tItens[Foco],"Sim")</f>
        <v>4663.4208000000008</v>
      </c>
      <c r="O419" t="str">
        <f>IF(tEditais[[#This Row],[Itens do foco]]=0,"",IF(tEditais[[#This Row],[Valor foco homologado]]&lt;=0,"Sem valor",IF(tEditais[[#This Row],[Valor foco homologado]]&gt;=FaixaA_Min,"A",IF(tEditais[[#This Row],[Valor foco homologado]]&gt;=FaixaB_Min,"B","C"))))</f>
        <v>C</v>
      </c>
      <c r="P419" t="str">
        <f ca="1">IF(tEditais[[#This Row],[Encerramento]]&gt;NOW(),"Aberto","Encerrado")</f>
        <v>Encerrado</v>
      </c>
    </row>
    <row r="420" spans="1:16" x14ac:dyDescent="0.25">
      <c r="A420" t="s">
        <v>2329</v>
      </c>
      <c r="B420" t="s">
        <v>2330</v>
      </c>
      <c r="C420" t="s">
        <v>2331</v>
      </c>
      <c r="D420" t="s">
        <v>2202</v>
      </c>
      <c r="E420" t="s">
        <v>716</v>
      </c>
      <c r="F420" s="11">
        <v>46310.416666666664</v>
      </c>
      <c r="G420">
        <v>35</v>
      </c>
      <c r="H420" t="s">
        <v>2332</v>
      </c>
      <c r="I420" t="s">
        <v>2333</v>
      </c>
      <c r="J420" t="str">
        <f>IF(ISNUMBER(SEARCH("registro de pre",tEditais[[#This Row],[Objeto]])),"Sim","Não")</f>
        <v>Sim</v>
      </c>
      <c r="K420" s="4">
        <f>COUNTIFS(tItens[Edital],tEditais[[#This Row],[Edital]])</f>
        <v>7</v>
      </c>
      <c r="L420" s="4">
        <f>COUNTIFS(tItens[Edital],tEditais[[#This Row],[Edital]],tItens[Foco],"Sim")</f>
        <v>0</v>
      </c>
      <c r="M420" s="8">
        <f>SUMIFS(tItens[Valor],tItens[Edital],tEditais[[#This Row],[Edital]])</f>
        <v>152701.25999999998</v>
      </c>
      <c r="N420" s="8">
        <f>SUMIFS(tItens[Valor homologado],tItens[Edital],tEditais[[#This Row],[Edital]],tItens[Foco],"Sim")</f>
        <v>0</v>
      </c>
      <c r="O420" t="str">
        <f>IF(tEditais[[#This Row],[Itens do foco]]=0,"",IF(tEditais[[#This Row],[Valor foco homologado]]&lt;=0,"Sem valor",IF(tEditais[[#This Row],[Valor foco homologado]]&gt;=FaixaA_Min,"A",IF(tEditais[[#This Row],[Valor foco homologado]]&gt;=FaixaB_Min,"B","C"))))</f>
        <v/>
      </c>
      <c r="P420" t="str">
        <f ca="1">IF(tEditais[[#This Row],[Encerramento]]&gt;NOW(),"Aberto","Encerrado")</f>
        <v>Encerrado</v>
      </c>
    </row>
    <row r="421" spans="1:16" x14ac:dyDescent="0.25">
      <c r="A421" t="s">
        <v>2334</v>
      </c>
      <c r="B421" t="s">
        <v>2335</v>
      </c>
      <c r="C421" t="s">
        <v>2336</v>
      </c>
      <c r="D421" t="s">
        <v>2202</v>
      </c>
      <c r="E421" t="s">
        <v>716</v>
      </c>
      <c r="F421" s="11">
        <v>46310.416666666664</v>
      </c>
      <c r="G421">
        <v>21</v>
      </c>
      <c r="H421" t="s">
        <v>2337</v>
      </c>
      <c r="I421" t="s">
        <v>2338</v>
      </c>
      <c r="J421" t="str">
        <f>IF(ISNUMBER(SEARCH("registro de pre",tEditais[[#This Row],[Objeto]])),"Sim","Não")</f>
        <v>Não</v>
      </c>
      <c r="K421" s="4">
        <f>COUNTIFS(tItens[Edital],tEditais[[#This Row],[Edital]])</f>
        <v>7</v>
      </c>
      <c r="L421" s="4">
        <f>COUNTIFS(tItens[Edital],tEditais[[#This Row],[Edital]],tItens[Foco],"Sim")</f>
        <v>0</v>
      </c>
      <c r="M421" s="8">
        <f>SUMIFS(tItens[Valor],tItens[Edital],tEditais[[#This Row],[Edital]])</f>
        <v>397821.25</v>
      </c>
      <c r="N421" s="8">
        <f>SUMIFS(tItens[Valor homologado],tItens[Edital],tEditais[[#This Row],[Edital]],tItens[Foco],"Sim")</f>
        <v>0</v>
      </c>
      <c r="O421" t="str">
        <f>IF(tEditais[[#This Row],[Itens do foco]]=0,"",IF(tEditais[[#This Row],[Valor foco homologado]]&lt;=0,"Sem valor",IF(tEditais[[#This Row],[Valor foco homologado]]&gt;=FaixaA_Min,"A",IF(tEditais[[#This Row],[Valor foco homologado]]&gt;=FaixaB_Min,"B","C"))))</f>
        <v/>
      </c>
      <c r="P421" t="str">
        <f ca="1">IF(tEditais[[#This Row],[Encerramento]]&gt;NOW(),"Aberto","Encerrado")</f>
        <v>Encerrado</v>
      </c>
    </row>
    <row r="422" spans="1:16" x14ac:dyDescent="0.25">
      <c r="A422" t="s">
        <v>2339</v>
      </c>
      <c r="B422" t="s">
        <v>2279</v>
      </c>
      <c r="C422" t="s">
        <v>2201</v>
      </c>
      <c r="D422" t="s">
        <v>2202</v>
      </c>
      <c r="E422" t="s">
        <v>800</v>
      </c>
      <c r="F422" s="11">
        <v>46310.416666666664</v>
      </c>
      <c r="G422">
        <v>14</v>
      </c>
      <c r="H422" t="s">
        <v>2340</v>
      </c>
      <c r="I422" t="s">
        <v>2341</v>
      </c>
      <c r="J422" t="str">
        <f>IF(ISNUMBER(SEARCH("registro de pre",tEditais[[#This Row],[Objeto]])),"Sim","Não")</f>
        <v>Não</v>
      </c>
      <c r="K422" s="4">
        <f>COUNTIFS(tItens[Edital],tEditais[[#This Row],[Edital]])</f>
        <v>4</v>
      </c>
      <c r="L422" s="4">
        <f>COUNTIFS(tItens[Edital],tEditais[[#This Row],[Edital]],tItens[Foco],"Sim")</f>
        <v>0</v>
      </c>
      <c r="M422" s="8">
        <f>SUMIFS(tItens[Valor],tItens[Edital],tEditais[[#This Row],[Edital]])</f>
        <v>17117.350000000002</v>
      </c>
      <c r="N422" s="8">
        <f>SUMIFS(tItens[Valor homologado],tItens[Edital],tEditais[[#This Row],[Edital]],tItens[Foco],"Sim")</f>
        <v>0</v>
      </c>
      <c r="O422" t="str">
        <f>IF(tEditais[[#This Row],[Itens do foco]]=0,"",IF(tEditais[[#This Row],[Valor foco homologado]]&lt;=0,"Sem valor",IF(tEditais[[#This Row],[Valor foco homologado]]&gt;=FaixaA_Min,"A",IF(tEditais[[#This Row],[Valor foco homologado]]&gt;=FaixaB_Min,"B","C"))))</f>
        <v/>
      </c>
      <c r="P422" t="str">
        <f ca="1">IF(tEditais[[#This Row],[Encerramento]]&gt;NOW(),"Aberto","Encerrado")</f>
        <v>Encerrado</v>
      </c>
    </row>
    <row r="423" spans="1:16" x14ac:dyDescent="0.25">
      <c r="A423" t="s">
        <v>2342</v>
      </c>
      <c r="B423" t="s">
        <v>739</v>
      </c>
      <c r="C423" t="s">
        <v>2201</v>
      </c>
      <c r="D423" t="s">
        <v>2202</v>
      </c>
      <c r="E423" t="s">
        <v>716</v>
      </c>
      <c r="F423" s="11">
        <v>46310.416666666664</v>
      </c>
      <c r="G423">
        <v>160</v>
      </c>
      <c r="H423" t="s">
        <v>2343</v>
      </c>
      <c r="I423" t="s">
        <v>2344</v>
      </c>
      <c r="J423" t="str">
        <f>IF(ISNUMBER(SEARCH("registro de pre",tEditais[[#This Row],[Objeto]])),"Sim","Não")</f>
        <v>Não</v>
      </c>
      <c r="K423" s="4">
        <f>COUNTIFS(tItens[Edital],tEditais[[#This Row],[Edital]])</f>
        <v>1</v>
      </c>
      <c r="L423" s="4">
        <f>COUNTIFS(tItens[Edital],tEditais[[#This Row],[Edital]],tItens[Foco],"Sim")</f>
        <v>1</v>
      </c>
      <c r="M423" s="8">
        <f>SUMIFS(tItens[Valor],tItens[Edital],tEditais[[#This Row],[Edital]])</f>
        <v>0</v>
      </c>
      <c r="N423" s="8">
        <f>SUMIFS(tItens[Valor homologado],tItens[Edital],tEditais[[#This Row],[Edital]],tItens[Foco],"Sim")</f>
        <v>0</v>
      </c>
      <c r="O423" t="str">
        <f>IF(tEditais[[#This Row],[Itens do foco]]=0,"",IF(tEditais[[#This Row],[Valor foco homologado]]&lt;=0,"Sem valor",IF(tEditais[[#This Row],[Valor foco homologado]]&gt;=FaixaA_Min,"A",IF(tEditais[[#This Row],[Valor foco homologado]]&gt;=FaixaB_Min,"B","C"))))</f>
        <v>Sem valor</v>
      </c>
      <c r="P423" t="str">
        <f ca="1">IF(tEditais[[#This Row],[Encerramento]]&gt;NOW(),"Aberto","Encerrado")</f>
        <v>Encerrado</v>
      </c>
    </row>
    <row r="424" spans="1:16" x14ac:dyDescent="0.25">
      <c r="A424" t="s">
        <v>2345</v>
      </c>
      <c r="B424" t="s">
        <v>2279</v>
      </c>
      <c r="C424" t="s">
        <v>2201</v>
      </c>
      <c r="D424" t="s">
        <v>2202</v>
      </c>
      <c r="E424" t="s">
        <v>800</v>
      </c>
      <c r="F424" s="11">
        <v>46310.5</v>
      </c>
      <c r="G424">
        <v>15</v>
      </c>
      <c r="H424" t="s">
        <v>2346</v>
      </c>
      <c r="I424" t="s">
        <v>2347</v>
      </c>
      <c r="J424" t="str">
        <f>IF(ISNUMBER(SEARCH("registro de pre",tEditais[[#This Row],[Objeto]])),"Sim","Não")</f>
        <v>Não</v>
      </c>
      <c r="K424" s="4">
        <f>COUNTIFS(tItens[Edital],tEditais[[#This Row],[Edital]])</f>
        <v>2</v>
      </c>
      <c r="L424" s="4">
        <f>COUNTIFS(tItens[Edital],tEditais[[#This Row],[Edital]],tItens[Foco],"Sim")</f>
        <v>0</v>
      </c>
      <c r="M424" s="8">
        <f>SUMIFS(tItens[Valor],tItens[Edital],tEditais[[#This Row],[Edital]])</f>
        <v>443.5</v>
      </c>
      <c r="N424" s="8">
        <f>SUMIFS(tItens[Valor homologado],tItens[Edital],tEditais[[#This Row],[Edital]],tItens[Foco],"Sim")</f>
        <v>0</v>
      </c>
      <c r="O424" t="str">
        <f>IF(tEditais[[#This Row],[Itens do foco]]=0,"",IF(tEditais[[#This Row],[Valor foco homologado]]&lt;=0,"Sem valor",IF(tEditais[[#This Row],[Valor foco homologado]]&gt;=FaixaA_Min,"A",IF(tEditais[[#This Row],[Valor foco homologado]]&gt;=FaixaB_Min,"B","C"))))</f>
        <v/>
      </c>
      <c r="P424" t="str">
        <f ca="1">IF(tEditais[[#This Row],[Encerramento]]&gt;NOW(),"Aberto","Encerrado")</f>
        <v>Encerrado</v>
      </c>
    </row>
    <row r="425" spans="1:16" x14ac:dyDescent="0.25">
      <c r="A425" t="s">
        <v>2348</v>
      </c>
      <c r="B425" t="s">
        <v>2200</v>
      </c>
      <c r="C425" t="s">
        <v>2201</v>
      </c>
      <c r="D425" t="s">
        <v>2202</v>
      </c>
      <c r="E425" t="s">
        <v>800</v>
      </c>
      <c r="F425" s="11">
        <v>46310.5</v>
      </c>
      <c r="G425">
        <v>5</v>
      </c>
      <c r="H425" t="s">
        <v>2349</v>
      </c>
      <c r="I425" t="s">
        <v>2350</v>
      </c>
      <c r="J425" t="str">
        <f>IF(ISNUMBER(SEARCH("registro de pre",tEditais[[#This Row],[Objeto]])),"Sim","Não")</f>
        <v>Não</v>
      </c>
      <c r="K425" s="4">
        <f>COUNTIFS(tItens[Edital],tEditais[[#This Row],[Edital]])</f>
        <v>5</v>
      </c>
      <c r="L425" s="4">
        <f>COUNTIFS(tItens[Edital],tEditais[[#This Row],[Edital]],tItens[Foco],"Sim")</f>
        <v>0</v>
      </c>
      <c r="M425" s="8">
        <f>SUMIFS(tItens[Valor],tItens[Edital],tEditais[[#This Row],[Edital]])</f>
        <v>124043.09</v>
      </c>
      <c r="N425" s="8">
        <f>SUMIFS(tItens[Valor homologado],tItens[Edital],tEditais[[#This Row],[Edital]],tItens[Foco],"Sim")</f>
        <v>0</v>
      </c>
      <c r="O425" t="str">
        <f>IF(tEditais[[#This Row],[Itens do foco]]=0,"",IF(tEditais[[#This Row],[Valor foco homologado]]&lt;=0,"Sem valor",IF(tEditais[[#This Row],[Valor foco homologado]]&gt;=FaixaA_Min,"A",IF(tEditais[[#This Row],[Valor foco homologado]]&gt;=FaixaB_Min,"B","C"))))</f>
        <v/>
      </c>
      <c r="P425" t="str">
        <f ca="1">IF(tEditais[[#This Row],[Encerramento]]&gt;NOW(),"Aberto","Encerrado")</f>
        <v>Encerrado</v>
      </c>
    </row>
    <row r="426" spans="1:16" x14ac:dyDescent="0.25">
      <c r="A426" t="s">
        <v>2351</v>
      </c>
      <c r="B426" t="s">
        <v>2352</v>
      </c>
      <c r="C426" t="s">
        <v>2353</v>
      </c>
      <c r="D426" t="s">
        <v>2202</v>
      </c>
      <c r="E426" t="s">
        <v>800</v>
      </c>
      <c r="F426" s="11">
        <v>46310.5</v>
      </c>
      <c r="G426">
        <v>2</v>
      </c>
      <c r="I426" t="s">
        <v>2354</v>
      </c>
      <c r="J426" t="str">
        <f>IF(ISNUMBER(SEARCH("registro de pre",tEditais[[#This Row],[Objeto]])),"Sim","Não")</f>
        <v>Não</v>
      </c>
      <c r="K426" s="4">
        <f>COUNTIFS(tItens[Edital],tEditais[[#This Row],[Edital]])</f>
        <v>1</v>
      </c>
      <c r="L426" s="4">
        <f>COUNTIFS(tItens[Edital],tEditais[[#This Row],[Edital]],tItens[Foco],"Sim")</f>
        <v>0</v>
      </c>
      <c r="M426" s="8">
        <f>SUMIFS(tItens[Valor],tItens[Edital],tEditais[[#This Row],[Edital]])</f>
        <v>5443.2</v>
      </c>
      <c r="N426" s="8">
        <f>SUMIFS(tItens[Valor homologado],tItens[Edital],tEditais[[#This Row],[Edital]],tItens[Foco],"Sim")</f>
        <v>0</v>
      </c>
      <c r="O426" t="str">
        <f>IF(tEditais[[#This Row],[Itens do foco]]=0,"",IF(tEditais[[#This Row],[Valor foco homologado]]&lt;=0,"Sem valor",IF(tEditais[[#This Row],[Valor foco homologado]]&gt;=FaixaA_Min,"A",IF(tEditais[[#This Row],[Valor foco homologado]]&gt;=FaixaB_Min,"B","C"))))</f>
        <v/>
      </c>
      <c r="P426" t="str">
        <f ca="1">IF(tEditais[[#This Row],[Encerramento]]&gt;NOW(),"Aberto","Encerrado")</f>
        <v>Encerrado</v>
      </c>
    </row>
    <row r="427" spans="1:16" x14ac:dyDescent="0.25">
      <c r="A427" t="s">
        <v>2355</v>
      </c>
      <c r="B427" t="s">
        <v>2206</v>
      </c>
      <c r="C427" t="s">
        <v>2201</v>
      </c>
      <c r="D427" t="s">
        <v>2202</v>
      </c>
      <c r="E427" t="s">
        <v>800</v>
      </c>
      <c r="F427" s="11">
        <v>46311.333333333336</v>
      </c>
      <c r="G427">
        <v>10</v>
      </c>
      <c r="H427" t="s">
        <v>2356</v>
      </c>
      <c r="I427" t="s">
        <v>2357</v>
      </c>
      <c r="J427" t="str">
        <f>IF(ISNUMBER(SEARCH("registro de pre",tEditais[[#This Row],[Objeto]])),"Sim","Não")</f>
        <v>Não</v>
      </c>
      <c r="K427" s="4">
        <f>COUNTIFS(tItens[Edital],tEditais[[#This Row],[Edital]])</f>
        <v>1</v>
      </c>
      <c r="L427" s="4">
        <f>COUNTIFS(tItens[Edital],tEditais[[#This Row],[Edital]],tItens[Foco],"Sim")</f>
        <v>0</v>
      </c>
      <c r="M427" s="8">
        <f>SUMIFS(tItens[Valor],tItens[Edital],tEditais[[#This Row],[Edital]])</f>
        <v>488.88</v>
      </c>
      <c r="N427" s="8">
        <f>SUMIFS(tItens[Valor homologado],tItens[Edital],tEditais[[#This Row],[Edital]],tItens[Foco],"Sim")</f>
        <v>0</v>
      </c>
      <c r="O427" t="str">
        <f>IF(tEditais[[#This Row],[Itens do foco]]=0,"",IF(tEditais[[#This Row],[Valor foco homologado]]&lt;=0,"Sem valor",IF(tEditais[[#This Row],[Valor foco homologado]]&gt;=FaixaA_Min,"A",IF(tEditais[[#This Row],[Valor foco homologado]]&gt;=FaixaB_Min,"B","C"))))</f>
        <v/>
      </c>
      <c r="P427" t="str">
        <f ca="1">IF(tEditais[[#This Row],[Encerramento]]&gt;NOW(),"Aberto","Encerrado")</f>
        <v>Aberto</v>
      </c>
    </row>
    <row r="428" spans="1:16" x14ac:dyDescent="0.25">
      <c r="A428" t="s">
        <v>2358</v>
      </c>
      <c r="B428" t="s">
        <v>2318</v>
      </c>
      <c r="C428" t="s">
        <v>2319</v>
      </c>
      <c r="D428" t="s">
        <v>2202</v>
      </c>
      <c r="E428" t="s">
        <v>716</v>
      </c>
      <c r="F428" s="11">
        <v>46311.333333333336</v>
      </c>
      <c r="G428">
        <v>110</v>
      </c>
      <c r="H428" t="s">
        <v>2359</v>
      </c>
      <c r="I428" t="s">
        <v>2360</v>
      </c>
      <c r="J428" t="str">
        <f>IF(ISNUMBER(SEARCH("registro de pre",tEditais[[#This Row],[Objeto]])),"Sim","Não")</f>
        <v>Sim</v>
      </c>
      <c r="K428" s="4">
        <f>COUNTIFS(tItens[Edital],tEditais[[#This Row],[Edital]])</f>
        <v>21</v>
      </c>
      <c r="L428" s="4">
        <f>COUNTIFS(tItens[Edital],tEditais[[#This Row],[Edital]],tItens[Foco],"Sim")</f>
        <v>0</v>
      </c>
      <c r="M428" s="8">
        <f>SUMIFS(tItens[Valor],tItens[Edital],tEditais[[#This Row],[Edital]])</f>
        <v>965598.1</v>
      </c>
      <c r="N428" s="8">
        <f>SUMIFS(tItens[Valor homologado],tItens[Edital],tEditais[[#This Row],[Edital]],tItens[Foco],"Sim")</f>
        <v>0</v>
      </c>
      <c r="O428" t="str">
        <f>IF(tEditais[[#This Row],[Itens do foco]]=0,"",IF(tEditais[[#This Row],[Valor foco homologado]]&lt;=0,"Sem valor",IF(tEditais[[#This Row],[Valor foco homologado]]&gt;=FaixaA_Min,"A",IF(tEditais[[#This Row],[Valor foco homologado]]&gt;=FaixaB_Min,"B","C"))))</f>
        <v/>
      </c>
      <c r="P428" t="str">
        <f ca="1">IF(tEditais[[#This Row],[Encerramento]]&gt;NOW(),"Aberto","Encerrado")</f>
        <v>Aberto</v>
      </c>
    </row>
    <row r="429" spans="1:16" x14ac:dyDescent="0.25">
      <c r="A429" t="s">
        <v>2361</v>
      </c>
      <c r="B429" t="s">
        <v>2260</v>
      </c>
      <c r="C429" t="s">
        <v>2201</v>
      </c>
      <c r="D429" t="s">
        <v>2202</v>
      </c>
      <c r="E429" t="s">
        <v>716</v>
      </c>
      <c r="F429" s="11">
        <v>46311.416666666664</v>
      </c>
      <c r="G429">
        <v>37</v>
      </c>
      <c r="H429" t="s">
        <v>2362</v>
      </c>
      <c r="I429" t="s">
        <v>2363</v>
      </c>
      <c r="J429" t="str">
        <f>IF(ISNUMBER(SEARCH("registro de pre",tEditais[[#This Row],[Objeto]])),"Sim","Não")</f>
        <v>Não</v>
      </c>
      <c r="K429" s="4">
        <f>COUNTIFS(tItens[Edital],tEditais[[#This Row],[Edital]])</f>
        <v>8</v>
      </c>
      <c r="L429" s="4">
        <f>COUNTIFS(tItens[Edital],tEditais[[#This Row],[Edital]],tItens[Foco],"Sim")</f>
        <v>6</v>
      </c>
      <c r="M429" s="8">
        <f>SUMIFS(tItens[Valor],tItens[Edital],tEditais[[#This Row],[Edital]])</f>
        <v>0</v>
      </c>
      <c r="N429" s="8">
        <f>SUMIFS(tItens[Valor homologado],tItens[Edital],tEditais[[#This Row],[Edital]],tItens[Foco],"Sim")</f>
        <v>0</v>
      </c>
      <c r="O429" t="str">
        <f>IF(tEditais[[#This Row],[Itens do foco]]=0,"",IF(tEditais[[#This Row],[Valor foco homologado]]&lt;=0,"Sem valor",IF(tEditais[[#This Row],[Valor foco homologado]]&gt;=FaixaA_Min,"A",IF(tEditais[[#This Row],[Valor foco homologado]]&gt;=FaixaB_Min,"B","C"))))</f>
        <v>Sem valor</v>
      </c>
      <c r="P429" t="str">
        <f ca="1">IF(tEditais[[#This Row],[Encerramento]]&gt;NOW(),"Aberto","Encerrado")</f>
        <v>Aberto</v>
      </c>
    </row>
    <row r="430" spans="1:16" x14ac:dyDescent="0.25">
      <c r="A430" t="s">
        <v>2364</v>
      </c>
      <c r="B430" t="s">
        <v>739</v>
      </c>
      <c r="C430" t="s">
        <v>2201</v>
      </c>
      <c r="D430" t="s">
        <v>2202</v>
      </c>
      <c r="E430" t="s">
        <v>716</v>
      </c>
      <c r="F430" s="11">
        <v>46314.416666666664</v>
      </c>
      <c r="G430">
        <v>93</v>
      </c>
      <c r="H430" t="s">
        <v>2365</v>
      </c>
      <c r="I430" t="s">
        <v>2366</v>
      </c>
      <c r="J430" t="str">
        <f>IF(ISNUMBER(SEARCH("registro de pre",tEditais[[#This Row],[Objeto]])),"Sim","Não")</f>
        <v>Não</v>
      </c>
      <c r="K430" s="4">
        <f>COUNTIFS(tItens[Edital],tEditais[[#This Row],[Edital]])</f>
        <v>6</v>
      </c>
      <c r="L430" s="4">
        <f>COUNTIFS(tItens[Edital],tEditais[[#This Row],[Edital]],tItens[Foco],"Sim")</f>
        <v>0</v>
      </c>
      <c r="M430" s="8">
        <f>SUMIFS(tItens[Valor],tItens[Edital],tEditais[[#This Row],[Edital]])</f>
        <v>0</v>
      </c>
      <c r="N430" s="8">
        <f>SUMIFS(tItens[Valor homologado],tItens[Edital],tEditais[[#This Row],[Edital]],tItens[Foco],"Sim")</f>
        <v>0</v>
      </c>
      <c r="O430" t="str">
        <f>IF(tEditais[[#This Row],[Itens do foco]]=0,"",IF(tEditais[[#This Row],[Valor foco homologado]]&lt;=0,"Sem valor",IF(tEditais[[#This Row],[Valor foco homologado]]&gt;=FaixaA_Min,"A",IF(tEditais[[#This Row],[Valor foco homologado]]&gt;=FaixaB_Min,"B","C"))))</f>
        <v/>
      </c>
      <c r="P430" t="str">
        <f ca="1">IF(tEditais[[#This Row],[Encerramento]]&gt;NOW(),"Aberto","Encerrado")</f>
        <v>Aberto</v>
      </c>
    </row>
    <row r="431" spans="1:16" x14ac:dyDescent="0.25">
      <c r="A431" t="s">
        <v>2367</v>
      </c>
      <c r="B431" t="s">
        <v>1683</v>
      </c>
      <c r="C431" t="s">
        <v>2201</v>
      </c>
      <c r="D431" t="s">
        <v>2202</v>
      </c>
      <c r="E431" t="s">
        <v>716</v>
      </c>
      <c r="F431" s="11">
        <v>46314.416666666664</v>
      </c>
      <c r="G431">
        <v>6</v>
      </c>
      <c r="H431" t="s">
        <v>2368</v>
      </c>
      <c r="I431" t="s">
        <v>2369</v>
      </c>
      <c r="J431" t="str">
        <f>IF(ISNUMBER(SEARCH("registro de pre",tEditais[[#This Row],[Objeto]])),"Sim","Não")</f>
        <v>Não</v>
      </c>
      <c r="K431" s="4">
        <f>COUNTIFS(tItens[Edital],tEditais[[#This Row],[Edital]])</f>
        <v>1</v>
      </c>
      <c r="L431" s="4">
        <f>COUNTIFS(tItens[Edital],tEditais[[#This Row],[Edital]],tItens[Foco],"Sim")</f>
        <v>0</v>
      </c>
      <c r="M431" s="8">
        <f>SUMIFS(tItens[Valor],tItens[Edital],tEditais[[#This Row],[Edital]])</f>
        <v>1521</v>
      </c>
      <c r="N431" s="8">
        <f>SUMIFS(tItens[Valor homologado],tItens[Edital],tEditais[[#This Row],[Edital]],tItens[Foco],"Sim")</f>
        <v>0</v>
      </c>
      <c r="O431" t="str">
        <f>IF(tEditais[[#This Row],[Itens do foco]]=0,"",IF(tEditais[[#This Row],[Valor foco homologado]]&lt;=0,"Sem valor",IF(tEditais[[#This Row],[Valor foco homologado]]&gt;=FaixaA_Min,"A",IF(tEditais[[#This Row],[Valor foco homologado]]&gt;=FaixaB_Min,"B","C"))))</f>
        <v/>
      </c>
      <c r="P431" t="str">
        <f ca="1">IF(tEditais[[#This Row],[Encerramento]]&gt;NOW(),"Aberto","Encerrado")</f>
        <v>Aberto</v>
      </c>
    </row>
    <row r="432" spans="1:16" x14ac:dyDescent="0.25">
      <c r="A432" t="s">
        <v>2370</v>
      </c>
      <c r="B432" t="s">
        <v>2371</v>
      </c>
      <c r="C432" t="s">
        <v>2372</v>
      </c>
      <c r="D432" t="s">
        <v>2373</v>
      </c>
      <c r="E432" t="s">
        <v>716</v>
      </c>
      <c r="F432" s="11">
        <v>46304.332638888889</v>
      </c>
      <c r="G432">
        <v>170</v>
      </c>
      <c r="I432" t="s">
        <v>2374</v>
      </c>
      <c r="J432" t="str">
        <f>IF(ISNUMBER(SEARCH("registro de pre",tEditais[[#This Row],[Objeto]])),"Sim","Não")</f>
        <v>Não</v>
      </c>
      <c r="K432" s="4">
        <f>COUNTIFS(tItens[Edital],tEditais[[#This Row],[Edital]])</f>
        <v>76</v>
      </c>
      <c r="L432" s="4">
        <f>COUNTIFS(tItens[Edital],tEditais[[#This Row],[Edital]],tItens[Foco],"Sim")</f>
        <v>11</v>
      </c>
      <c r="M432" s="8">
        <f>SUMIFS(tItens[Valor],tItens[Edital],tEditais[[#This Row],[Edital]])</f>
        <v>0</v>
      </c>
      <c r="N432" s="8">
        <f>SUMIFS(tItens[Valor homologado],tItens[Edital],tEditais[[#This Row],[Edital]],tItens[Foco],"Sim")</f>
        <v>0</v>
      </c>
      <c r="O432" t="str">
        <f>IF(tEditais[[#This Row],[Itens do foco]]=0,"",IF(tEditais[[#This Row],[Valor foco homologado]]&lt;=0,"Sem valor",IF(tEditais[[#This Row],[Valor foco homologado]]&gt;=FaixaA_Min,"A",IF(tEditais[[#This Row],[Valor foco homologado]]&gt;=FaixaB_Min,"B","C"))))</f>
        <v>Sem valor</v>
      </c>
      <c r="P432" t="str">
        <f ca="1">IF(tEditais[[#This Row],[Encerramento]]&gt;NOW(),"Aberto","Encerrado")</f>
        <v>Encerrado</v>
      </c>
    </row>
    <row r="433" spans="1:16" x14ac:dyDescent="0.25">
      <c r="A433" t="s">
        <v>2375</v>
      </c>
      <c r="B433" t="s">
        <v>2376</v>
      </c>
      <c r="C433" t="s">
        <v>2377</v>
      </c>
      <c r="D433" t="s">
        <v>2373</v>
      </c>
      <c r="E433" t="s">
        <v>716</v>
      </c>
      <c r="F433" s="11">
        <v>46304.375</v>
      </c>
      <c r="G433">
        <v>149</v>
      </c>
      <c r="H433" t="s">
        <v>2378</v>
      </c>
      <c r="I433" t="s">
        <v>2379</v>
      </c>
      <c r="J433" t="str">
        <f>IF(ISNUMBER(SEARCH("registro de pre",tEditais[[#This Row],[Objeto]])),"Sim","Não")</f>
        <v>Sim</v>
      </c>
      <c r="K433" s="4">
        <f>COUNTIFS(tItens[Edital],tEditais[[#This Row],[Edital]])</f>
        <v>3</v>
      </c>
      <c r="L433" s="4">
        <f>COUNTIFS(tItens[Edital],tEditais[[#This Row],[Edital]],tItens[Foco],"Sim")</f>
        <v>0</v>
      </c>
      <c r="M433" s="8">
        <f>SUMIFS(tItens[Valor],tItens[Edital],tEditais[[#This Row],[Edital]])</f>
        <v>7035.9</v>
      </c>
      <c r="N433" s="8">
        <f>SUMIFS(tItens[Valor homologado],tItens[Edital],tEditais[[#This Row],[Edital]],tItens[Foco],"Sim")</f>
        <v>0</v>
      </c>
      <c r="O433" t="str">
        <f>IF(tEditais[[#This Row],[Itens do foco]]=0,"",IF(tEditais[[#This Row],[Valor foco homologado]]&lt;=0,"Sem valor",IF(tEditais[[#This Row],[Valor foco homologado]]&gt;=FaixaA_Min,"A",IF(tEditais[[#This Row],[Valor foco homologado]]&gt;=FaixaB_Min,"B","C"))))</f>
        <v/>
      </c>
      <c r="P433" t="str">
        <f ca="1">IF(tEditais[[#This Row],[Encerramento]]&gt;NOW(),"Aberto","Encerrado")</f>
        <v>Encerrado</v>
      </c>
    </row>
    <row r="434" spans="1:16" x14ac:dyDescent="0.25">
      <c r="A434" t="s">
        <v>2380</v>
      </c>
      <c r="B434" t="s">
        <v>2381</v>
      </c>
      <c r="C434" t="s">
        <v>2382</v>
      </c>
      <c r="D434" t="s">
        <v>2373</v>
      </c>
      <c r="E434" t="s">
        <v>716</v>
      </c>
      <c r="F434" s="11">
        <v>46308.375</v>
      </c>
      <c r="G434">
        <v>190</v>
      </c>
      <c r="I434" t="s">
        <v>2383</v>
      </c>
      <c r="J434" t="str">
        <f>IF(ISNUMBER(SEARCH("registro de pre",tEditais[[#This Row],[Objeto]])),"Sim","Não")</f>
        <v>Sim</v>
      </c>
      <c r="K434" s="4">
        <f>COUNTIFS(tItens[Edital],tEditais[[#This Row],[Edital]])</f>
        <v>73</v>
      </c>
      <c r="L434" s="4">
        <f>COUNTIFS(tItens[Edital],tEditais[[#This Row],[Edital]],tItens[Foco],"Sim")</f>
        <v>11</v>
      </c>
      <c r="M434" s="8">
        <f>SUMIFS(tItens[Valor],tItens[Edital],tEditais[[#This Row],[Edital]])</f>
        <v>87440</v>
      </c>
      <c r="N434" s="8">
        <f>SUMIFS(tItens[Valor homologado],tItens[Edital],tEditais[[#This Row],[Edital]],tItens[Foco],"Sim")</f>
        <v>8138.7999999999993</v>
      </c>
      <c r="O434" t="str">
        <f>IF(tEditais[[#This Row],[Itens do foco]]=0,"",IF(tEditais[[#This Row],[Valor foco homologado]]&lt;=0,"Sem valor",IF(tEditais[[#This Row],[Valor foco homologado]]&gt;=FaixaA_Min,"A",IF(tEditais[[#This Row],[Valor foco homologado]]&gt;=FaixaB_Min,"B","C"))))</f>
        <v>C</v>
      </c>
      <c r="P434" t="str">
        <f ca="1">IF(tEditais[[#This Row],[Encerramento]]&gt;NOW(),"Aberto","Encerrado")</f>
        <v>Encerrado</v>
      </c>
    </row>
    <row r="435" spans="1:16" x14ac:dyDescent="0.25">
      <c r="A435" t="s">
        <v>2384</v>
      </c>
      <c r="B435" t="s">
        <v>2385</v>
      </c>
      <c r="C435" t="s">
        <v>2386</v>
      </c>
      <c r="D435" t="s">
        <v>2373</v>
      </c>
      <c r="E435" t="s">
        <v>800</v>
      </c>
      <c r="F435" s="11">
        <v>46308.375</v>
      </c>
      <c r="G435">
        <v>5</v>
      </c>
      <c r="H435" t="s">
        <v>2387</v>
      </c>
      <c r="I435" t="s">
        <v>2388</v>
      </c>
      <c r="J435" t="str">
        <f>IF(ISNUMBER(SEARCH("registro de pre",tEditais[[#This Row],[Objeto]])),"Sim","Não")</f>
        <v>Não</v>
      </c>
      <c r="K435" s="4">
        <f>COUNTIFS(tItens[Edital],tEditais[[#This Row],[Edital]])</f>
        <v>1</v>
      </c>
      <c r="L435" s="4">
        <f>COUNTIFS(tItens[Edital],tEditais[[#This Row],[Edital]],tItens[Foco],"Sim")</f>
        <v>0</v>
      </c>
      <c r="M435" s="8">
        <f>SUMIFS(tItens[Valor],tItens[Edital],tEditais[[#This Row],[Edital]])</f>
        <v>10620</v>
      </c>
      <c r="N435" s="8">
        <f>SUMIFS(tItens[Valor homologado],tItens[Edital],tEditais[[#This Row],[Edital]],tItens[Foco],"Sim")</f>
        <v>0</v>
      </c>
      <c r="O435" t="str">
        <f>IF(tEditais[[#This Row],[Itens do foco]]=0,"",IF(tEditais[[#This Row],[Valor foco homologado]]&lt;=0,"Sem valor",IF(tEditais[[#This Row],[Valor foco homologado]]&gt;=FaixaA_Min,"A",IF(tEditais[[#This Row],[Valor foco homologado]]&gt;=FaixaB_Min,"B","C"))))</f>
        <v/>
      </c>
      <c r="P435" t="str">
        <f ca="1">IF(tEditais[[#This Row],[Encerramento]]&gt;NOW(),"Aberto","Encerrado")</f>
        <v>Encerrado</v>
      </c>
    </row>
    <row r="436" spans="1:16" x14ac:dyDescent="0.25">
      <c r="A436" t="s">
        <v>2389</v>
      </c>
      <c r="B436" t="s">
        <v>2390</v>
      </c>
      <c r="C436" t="s">
        <v>2391</v>
      </c>
      <c r="D436" t="s">
        <v>2373</v>
      </c>
      <c r="E436" t="s">
        <v>716</v>
      </c>
      <c r="F436" s="11">
        <v>46309.333333333336</v>
      </c>
      <c r="G436">
        <v>169</v>
      </c>
      <c r="H436" t="s">
        <v>2392</v>
      </c>
      <c r="I436" t="s">
        <v>2393</v>
      </c>
      <c r="J436" t="str">
        <f>IF(ISNUMBER(SEARCH("registro de pre",tEditais[[#This Row],[Objeto]])),"Sim","Não")</f>
        <v>Não</v>
      </c>
      <c r="K436" s="4">
        <f>COUNTIFS(tItens[Edital],tEditais[[#This Row],[Edital]])</f>
        <v>1</v>
      </c>
      <c r="L436" s="4">
        <f>COUNTIFS(tItens[Edital],tEditais[[#This Row],[Edital]],tItens[Foco],"Sim")</f>
        <v>0</v>
      </c>
      <c r="M436" s="8">
        <f>SUMIFS(tItens[Valor],tItens[Edital],tEditais[[#This Row],[Edital]])</f>
        <v>715.1</v>
      </c>
      <c r="N436" s="8">
        <f>SUMIFS(tItens[Valor homologado],tItens[Edital],tEditais[[#This Row],[Edital]],tItens[Foco],"Sim")</f>
        <v>0</v>
      </c>
      <c r="O436" t="str">
        <f>IF(tEditais[[#This Row],[Itens do foco]]=0,"",IF(tEditais[[#This Row],[Valor foco homologado]]&lt;=0,"Sem valor",IF(tEditais[[#This Row],[Valor foco homologado]]&gt;=FaixaA_Min,"A",IF(tEditais[[#This Row],[Valor foco homologado]]&gt;=FaixaB_Min,"B","C"))))</f>
        <v/>
      </c>
      <c r="P436" t="str">
        <f ca="1">IF(tEditais[[#This Row],[Encerramento]]&gt;NOW(),"Aberto","Encerrado")</f>
        <v>Encerrado</v>
      </c>
    </row>
    <row r="437" spans="1:16" x14ac:dyDescent="0.25">
      <c r="A437" t="s">
        <v>2394</v>
      </c>
      <c r="B437" t="s">
        <v>2279</v>
      </c>
      <c r="C437" t="s">
        <v>2395</v>
      </c>
      <c r="D437" t="s">
        <v>2373</v>
      </c>
      <c r="E437" t="s">
        <v>800</v>
      </c>
      <c r="F437" s="11">
        <v>46309.333333333336</v>
      </c>
      <c r="G437">
        <v>30</v>
      </c>
      <c r="H437" t="s">
        <v>2396</v>
      </c>
      <c r="I437" t="s">
        <v>2397</v>
      </c>
      <c r="J437" t="str">
        <f>IF(ISNUMBER(SEARCH("registro de pre",tEditais[[#This Row],[Objeto]])),"Sim","Não")</f>
        <v>Não</v>
      </c>
      <c r="K437" s="4">
        <f>COUNTIFS(tItens[Edital],tEditais[[#This Row],[Edital]])</f>
        <v>4</v>
      </c>
      <c r="L437" s="4">
        <f>COUNTIFS(tItens[Edital],tEditais[[#This Row],[Edital]],tItens[Foco],"Sim")</f>
        <v>1</v>
      </c>
      <c r="M437" s="8">
        <f>SUMIFS(tItens[Valor],tItens[Edital],tEditais[[#This Row],[Edital]])</f>
        <v>120.07</v>
      </c>
      <c r="N437" s="8">
        <f>SUMIFS(tItens[Valor homologado],tItens[Edital],tEditais[[#This Row],[Edital]],tItens[Foco],"Sim")</f>
        <v>6.4110999999999994</v>
      </c>
      <c r="O437" t="str">
        <f>IF(tEditais[[#This Row],[Itens do foco]]=0,"",IF(tEditais[[#This Row],[Valor foco homologado]]&lt;=0,"Sem valor",IF(tEditais[[#This Row],[Valor foco homologado]]&gt;=FaixaA_Min,"A",IF(tEditais[[#This Row],[Valor foco homologado]]&gt;=FaixaB_Min,"B","C"))))</f>
        <v>C</v>
      </c>
      <c r="P437" t="str">
        <f ca="1">IF(tEditais[[#This Row],[Encerramento]]&gt;NOW(),"Aberto","Encerrado")</f>
        <v>Encerrado</v>
      </c>
    </row>
    <row r="438" spans="1:16" x14ac:dyDescent="0.25">
      <c r="A438" t="s">
        <v>2398</v>
      </c>
      <c r="B438" t="s">
        <v>2385</v>
      </c>
      <c r="C438" t="s">
        <v>2386</v>
      </c>
      <c r="D438" t="s">
        <v>2373</v>
      </c>
      <c r="E438" t="s">
        <v>716</v>
      </c>
      <c r="F438" s="11">
        <v>46310.374305555553</v>
      </c>
      <c r="G438">
        <v>3</v>
      </c>
      <c r="H438" t="s">
        <v>2399</v>
      </c>
      <c r="I438" t="s">
        <v>2400</v>
      </c>
      <c r="J438" t="str">
        <f>IF(ISNUMBER(SEARCH("registro de pre",tEditais[[#This Row],[Objeto]])),"Sim","Não")</f>
        <v>Não</v>
      </c>
      <c r="K438" s="4">
        <f>COUNTIFS(tItens[Edital],tEditais[[#This Row],[Edital]])</f>
        <v>1</v>
      </c>
      <c r="L438" s="4">
        <f>COUNTIFS(tItens[Edital],tEditais[[#This Row],[Edital]],tItens[Foco],"Sim")</f>
        <v>0</v>
      </c>
      <c r="M438" s="8">
        <f>SUMIFS(tItens[Valor],tItens[Edital],tEditais[[#This Row],[Edital]])</f>
        <v>0</v>
      </c>
      <c r="N438" s="8">
        <f>SUMIFS(tItens[Valor homologado],tItens[Edital],tEditais[[#This Row],[Edital]],tItens[Foco],"Sim")</f>
        <v>0</v>
      </c>
      <c r="O438" t="str">
        <f>IF(tEditais[[#This Row],[Itens do foco]]=0,"",IF(tEditais[[#This Row],[Valor foco homologado]]&lt;=0,"Sem valor",IF(tEditais[[#This Row],[Valor foco homologado]]&gt;=FaixaA_Min,"A",IF(tEditais[[#This Row],[Valor foco homologado]]&gt;=FaixaB_Min,"B","C"))))</f>
        <v/>
      </c>
      <c r="P438" t="str">
        <f ca="1">IF(tEditais[[#This Row],[Encerramento]]&gt;NOW(),"Aberto","Encerrado")</f>
        <v>Encerrado</v>
      </c>
    </row>
    <row r="439" spans="1:16" x14ac:dyDescent="0.25">
      <c r="A439" t="s">
        <v>2401</v>
      </c>
      <c r="B439" t="s">
        <v>2402</v>
      </c>
      <c r="C439" t="s">
        <v>2403</v>
      </c>
      <c r="D439" t="s">
        <v>2373</v>
      </c>
      <c r="E439" t="s">
        <v>716</v>
      </c>
      <c r="F439" s="11">
        <v>46310.395138888889</v>
      </c>
      <c r="G439">
        <v>128</v>
      </c>
      <c r="H439" t="s">
        <v>2404</v>
      </c>
      <c r="I439" t="s">
        <v>2405</v>
      </c>
      <c r="J439" t="str">
        <f>IF(ISNUMBER(SEARCH("registro de pre",tEditais[[#This Row],[Objeto]])),"Sim","Não")</f>
        <v>Sim</v>
      </c>
      <c r="K439" s="4">
        <f>COUNTIFS(tItens[Edital],tEditais[[#This Row],[Edital]])</f>
        <v>8</v>
      </c>
      <c r="L439" s="4">
        <f>COUNTIFS(tItens[Edital],tEditais[[#This Row],[Edital]],tItens[Foco],"Sim")</f>
        <v>1</v>
      </c>
      <c r="M439" s="8">
        <f>SUMIFS(tItens[Valor],tItens[Edital],tEditais[[#This Row],[Edital]])</f>
        <v>0</v>
      </c>
      <c r="N439" s="8">
        <f>SUMIFS(tItens[Valor homologado],tItens[Edital],tEditais[[#This Row],[Edital]],tItens[Foco],"Sim")</f>
        <v>0</v>
      </c>
      <c r="O439" t="str">
        <f>IF(tEditais[[#This Row],[Itens do foco]]=0,"",IF(tEditais[[#This Row],[Valor foco homologado]]&lt;=0,"Sem valor",IF(tEditais[[#This Row],[Valor foco homologado]]&gt;=FaixaA_Min,"A",IF(tEditais[[#This Row],[Valor foco homologado]]&gt;=FaixaB_Min,"B","C"))))</f>
        <v>Sem valor</v>
      </c>
      <c r="P439" t="str">
        <f ca="1">IF(tEditais[[#This Row],[Encerramento]]&gt;NOW(),"Aberto","Encerrado")</f>
        <v>Encerrado</v>
      </c>
    </row>
    <row r="440" spans="1:16" x14ac:dyDescent="0.25">
      <c r="A440" t="s">
        <v>2406</v>
      </c>
      <c r="B440" t="s">
        <v>2407</v>
      </c>
      <c r="C440" t="s">
        <v>2395</v>
      </c>
      <c r="D440" t="s">
        <v>2373</v>
      </c>
      <c r="E440" t="s">
        <v>800</v>
      </c>
      <c r="F440" s="11">
        <v>46311.333333333336</v>
      </c>
      <c r="G440">
        <v>14</v>
      </c>
      <c r="H440" t="s">
        <v>2408</v>
      </c>
      <c r="I440" t="s">
        <v>2409</v>
      </c>
      <c r="J440" t="str">
        <f>IF(ISNUMBER(SEARCH("registro de pre",tEditais[[#This Row],[Objeto]])),"Sim","Não")</f>
        <v>Não</v>
      </c>
      <c r="K440" s="4">
        <f>COUNTIFS(tItens[Edital],tEditais[[#This Row],[Edital]])</f>
        <v>1</v>
      </c>
      <c r="L440" s="4">
        <f>COUNTIFS(tItens[Edital],tEditais[[#This Row],[Edital]],tItens[Foco],"Sim")</f>
        <v>0</v>
      </c>
      <c r="M440" s="8">
        <f>SUMIFS(tItens[Valor],tItens[Edital],tEditais[[#This Row],[Edital]])</f>
        <v>0</v>
      </c>
      <c r="N440" s="8">
        <f>SUMIFS(tItens[Valor homologado],tItens[Edital],tEditais[[#This Row],[Edital]],tItens[Foco],"Sim")</f>
        <v>0</v>
      </c>
      <c r="O440" t="str">
        <f>IF(tEditais[[#This Row],[Itens do foco]]=0,"",IF(tEditais[[#This Row],[Valor foco homologado]]&lt;=0,"Sem valor",IF(tEditais[[#This Row],[Valor foco homologado]]&gt;=FaixaA_Min,"A",IF(tEditais[[#This Row],[Valor foco homologado]]&gt;=FaixaB_Min,"B","C"))))</f>
        <v/>
      </c>
      <c r="P440" t="str">
        <f ca="1">IF(tEditais[[#This Row],[Encerramento]]&gt;NOW(),"Aberto","Encerrado")</f>
        <v>Aberto</v>
      </c>
    </row>
    <row r="441" spans="1:16" x14ac:dyDescent="0.25">
      <c r="A441" t="s">
        <v>2410</v>
      </c>
      <c r="B441" t="s">
        <v>739</v>
      </c>
      <c r="C441" t="s">
        <v>2411</v>
      </c>
      <c r="D441" t="s">
        <v>2373</v>
      </c>
      <c r="E441" t="s">
        <v>716</v>
      </c>
      <c r="F441" s="11">
        <v>46311.375</v>
      </c>
      <c r="G441">
        <v>119</v>
      </c>
      <c r="H441" t="s">
        <v>2412</v>
      </c>
      <c r="I441" t="s">
        <v>2413</v>
      </c>
      <c r="J441" t="str">
        <f>IF(ISNUMBER(SEARCH("registro de pre",tEditais[[#This Row],[Objeto]])),"Sim","Não")</f>
        <v>Não</v>
      </c>
      <c r="K441" s="4">
        <f>COUNTIFS(tItens[Edital],tEditais[[#This Row],[Edital]])</f>
        <v>41</v>
      </c>
      <c r="L441" s="4">
        <f>COUNTIFS(tItens[Edital],tEditais[[#This Row],[Edital]],tItens[Foco],"Sim")</f>
        <v>10</v>
      </c>
      <c r="M441" s="8">
        <f>SUMIFS(tItens[Valor],tItens[Edital],tEditais[[#This Row],[Edital]])</f>
        <v>0</v>
      </c>
      <c r="N441" s="8">
        <f>SUMIFS(tItens[Valor homologado],tItens[Edital],tEditais[[#This Row],[Edital]],tItens[Foco],"Sim")</f>
        <v>0</v>
      </c>
      <c r="O441" t="str">
        <f>IF(tEditais[[#This Row],[Itens do foco]]=0,"",IF(tEditais[[#This Row],[Valor foco homologado]]&lt;=0,"Sem valor",IF(tEditais[[#This Row],[Valor foco homologado]]&gt;=FaixaA_Min,"A",IF(tEditais[[#This Row],[Valor foco homologado]]&gt;=FaixaB_Min,"B","C"))))</f>
        <v>Sem valor</v>
      </c>
      <c r="P441" t="str">
        <f ca="1">IF(tEditais[[#This Row],[Encerramento]]&gt;NOW(),"Aberto","Encerrado")</f>
        <v>Aberto</v>
      </c>
    </row>
    <row r="442" spans="1:16" x14ac:dyDescent="0.25">
      <c r="A442" t="s">
        <v>2414</v>
      </c>
      <c r="B442" t="s">
        <v>2415</v>
      </c>
      <c r="C442" t="s">
        <v>2416</v>
      </c>
      <c r="D442" t="s">
        <v>2373</v>
      </c>
      <c r="E442" t="s">
        <v>716</v>
      </c>
      <c r="F442" s="11">
        <v>46314.375694444447</v>
      </c>
      <c r="G442">
        <v>84</v>
      </c>
      <c r="I442" t="s">
        <v>2417</v>
      </c>
      <c r="J442" t="str">
        <f>IF(ISNUMBER(SEARCH("registro de pre",tEditais[[#This Row],[Objeto]])),"Sim","Não")</f>
        <v>Não</v>
      </c>
      <c r="K442" s="4">
        <f>COUNTIFS(tItens[Edital],tEditais[[#This Row],[Edital]])</f>
        <v>1</v>
      </c>
      <c r="L442" s="4">
        <f>COUNTIFS(tItens[Edital],tEditais[[#This Row],[Edital]],tItens[Foco],"Sim")</f>
        <v>0</v>
      </c>
      <c r="M442" s="8">
        <f>SUMIFS(tItens[Valor],tItens[Edital],tEditais[[#This Row],[Edital]])</f>
        <v>0</v>
      </c>
      <c r="N442" s="8">
        <f>SUMIFS(tItens[Valor homologado],tItens[Edital],tEditais[[#This Row],[Edital]],tItens[Foco],"Sim")</f>
        <v>0</v>
      </c>
      <c r="O442" t="str">
        <f>IF(tEditais[[#This Row],[Itens do foco]]=0,"",IF(tEditais[[#This Row],[Valor foco homologado]]&lt;=0,"Sem valor",IF(tEditais[[#This Row],[Valor foco homologado]]&gt;=FaixaA_Min,"A",IF(tEditais[[#This Row],[Valor foco homologado]]&gt;=FaixaB_Min,"B","C"))))</f>
        <v/>
      </c>
      <c r="P442" t="str">
        <f ca="1">IF(tEditais[[#This Row],[Encerramento]]&gt;NOW(),"Aberto","Encerrado")</f>
        <v>Aberto</v>
      </c>
    </row>
    <row r="443" spans="1:16" x14ac:dyDescent="0.25">
      <c r="A443" t="s">
        <v>2418</v>
      </c>
      <c r="B443" t="s">
        <v>2419</v>
      </c>
      <c r="C443" t="s">
        <v>2420</v>
      </c>
      <c r="D443" t="s">
        <v>2373</v>
      </c>
      <c r="E443" t="s">
        <v>716</v>
      </c>
      <c r="F443" s="11">
        <v>46314.415972222225</v>
      </c>
      <c r="G443">
        <v>155</v>
      </c>
      <c r="H443" t="s">
        <v>2421</v>
      </c>
      <c r="I443" t="s">
        <v>2422</v>
      </c>
      <c r="J443" t="str">
        <f>IF(ISNUMBER(SEARCH("registro de pre",tEditais[[#This Row],[Objeto]])),"Sim","Não")</f>
        <v>Não</v>
      </c>
      <c r="K443" s="4">
        <f>COUNTIFS(tItens[Edital],tEditais[[#This Row],[Edital]])</f>
        <v>63</v>
      </c>
      <c r="L443" s="4">
        <f>COUNTIFS(tItens[Edital],tEditais[[#This Row],[Edital]],tItens[Foco],"Sim")</f>
        <v>12</v>
      </c>
      <c r="M443" s="8">
        <f>SUMIFS(tItens[Valor],tItens[Edital],tEditais[[#This Row],[Edital]])</f>
        <v>741283.1</v>
      </c>
      <c r="N443" s="8">
        <f>SUMIFS(tItens[Valor homologado],tItens[Edital],tEditais[[#This Row],[Edital]],tItens[Foco],"Sim")</f>
        <v>81503.669999999984</v>
      </c>
      <c r="O443" t="str">
        <f>IF(tEditais[[#This Row],[Itens do foco]]=0,"",IF(tEditais[[#This Row],[Valor foco homologado]]&lt;=0,"Sem valor",IF(tEditais[[#This Row],[Valor foco homologado]]&gt;=FaixaA_Min,"A",IF(tEditais[[#This Row],[Valor foco homologado]]&gt;=FaixaB_Min,"B","C"))))</f>
        <v>B</v>
      </c>
      <c r="P443" t="str">
        <f ca="1">IF(tEditais[[#This Row],[Encerramento]]&gt;NOW(),"Aberto","Encerrado")</f>
        <v>Aberto</v>
      </c>
    </row>
    <row r="444" spans="1:16" x14ac:dyDescent="0.25">
      <c r="A444" t="s">
        <v>2423</v>
      </c>
      <c r="B444" t="s">
        <v>2424</v>
      </c>
      <c r="C444" t="s">
        <v>2425</v>
      </c>
      <c r="D444" t="s">
        <v>2426</v>
      </c>
      <c r="E444" t="s">
        <v>716</v>
      </c>
      <c r="F444" s="11">
        <v>46304.375</v>
      </c>
      <c r="G444">
        <v>135</v>
      </c>
      <c r="H444" t="s">
        <v>2427</v>
      </c>
      <c r="I444" t="s">
        <v>2428</v>
      </c>
      <c r="J444" t="str">
        <f>IF(ISNUMBER(SEARCH("registro de pre",tEditais[[#This Row],[Objeto]])),"Sim","Não")</f>
        <v>Sim</v>
      </c>
      <c r="K444" s="4">
        <f>COUNTIFS(tItens[Edital],tEditais[[#This Row],[Edital]])</f>
        <v>1</v>
      </c>
      <c r="L444" s="4">
        <f>COUNTIFS(tItens[Edital],tEditais[[#This Row],[Edital]],tItens[Foco],"Sim")</f>
        <v>0</v>
      </c>
      <c r="M444" s="8">
        <f>SUMIFS(tItens[Valor],tItens[Edital],tEditais[[#This Row],[Edital]])</f>
        <v>6284.3</v>
      </c>
      <c r="N444" s="8">
        <f>SUMIFS(tItens[Valor homologado],tItens[Edital],tEditais[[#This Row],[Edital]],tItens[Foco],"Sim")</f>
        <v>0</v>
      </c>
      <c r="O444" t="str">
        <f>IF(tEditais[[#This Row],[Itens do foco]]=0,"",IF(tEditais[[#This Row],[Valor foco homologado]]&lt;=0,"Sem valor",IF(tEditais[[#This Row],[Valor foco homologado]]&gt;=FaixaA_Min,"A",IF(tEditais[[#This Row],[Valor foco homologado]]&gt;=FaixaB_Min,"B","C"))))</f>
        <v/>
      </c>
      <c r="P444" t="str">
        <f ca="1">IF(tEditais[[#This Row],[Encerramento]]&gt;NOW(),"Aberto","Encerrado")</f>
        <v>Encerrado</v>
      </c>
    </row>
    <row r="445" spans="1:16" x14ac:dyDescent="0.25">
      <c r="A445" t="s">
        <v>2429</v>
      </c>
      <c r="B445" t="s">
        <v>2430</v>
      </c>
      <c r="C445" t="s">
        <v>2431</v>
      </c>
      <c r="D445" t="s">
        <v>2426</v>
      </c>
      <c r="E445" t="s">
        <v>716</v>
      </c>
      <c r="F445" s="11">
        <v>46304.375</v>
      </c>
      <c r="G445">
        <v>13</v>
      </c>
      <c r="I445" t="s">
        <v>2432</v>
      </c>
      <c r="J445" t="str">
        <f>IF(ISNUMBER(SEARCH("registro de pre",tEditais[[#This Row],[Objeto]])),"Sim","Não")</f>
        <v>Sim</v>
      </c>
      <c r="K445" s="4">
        <f>COUNTIFS(tItens[Edital],tEditais[[#This Row],[Edital]])</f>
        <v>1</v>
      </c>
      <c r="L445" s="4">
        <f>COUNTIFS(tItens[Edital],tEditais[[#This Row],[Edital]],tItens[Foco],"Sim")</f>
        <v>0</v>
      </c>
      <c r="M445" s="8">
        <f>SUMIFS(tItens[Valor],tItens[Edital],tEditais[[#This Row],[Edital]])</f>
        <v>6452.5</v>
      </c>
      <c r="N445" s="8">
        <f>SUMIFS(tItens[Valor homologado],tItens[Edital],tEditais[[#This Row],[Edital]],tItens[Foco],"Sim")</f>
        <v>0</v>
      </c>
      <c r="O445" t="str">
        <f>IF(tEditais[[#This Row],[Itens do foco]]=0,"",IF(tEditais[[#This Row],[Valor foco homologado]]&lt;=0,"Sem valor",IF(tEditais[[#This Row],[Valor foco homologado]]&gt;=FaixaA_Min,"A",IF(tEditais[[#This Row],[Valor foco homologado]]&gt;=FaixaB_Min,"B","C"))))</f>
        <v/>
      </c>
      <c r="P445" t="str">
        <f ca="1">IF(tEditais[[#This Row],[Encerramento]]&gt;NOW(),"Aberto","Encerrado")</f>
        <v>Encerrado</v>
      </c>
    </row>
    <row r="446" spans="1:16" x14ac:dyDescent="0.25">
      <c r="A446" t="s">
        <v>2433</v>
      </c>
      <c r="B446" t="s">
        <v>2434</v>
      </c>
      <c r="C446" t="s">
        <v>2435</v>
      </c>
      <c r="D446" t="s">
        <v>2426</v>
      </c>
      <c r="E446" t="s">
        <v>716</v>
      </c>
      <c r="F446" s="11">
        <v>46304.375</v>
      </c>
      <c r="G446">
        <v>106</v>
      </c>
      <c r="H446" t="s">
        <v>2436</v>
      </c>
      <c r="I446" t="s">
        <v>2437</v>
      </c>
      <c r="J446" t="str">
        <f>IF(ISNUMBER(SEARCH("registro de pre",tEditais[[#This Row],[Objeto]])),"Sim","Não")</f>
        <v>Não</v>
      </c>
      <c r="K446" s="4">
        <f>COUNTIFS(tItens[Edital],tEditais[[#This Row],[Edital]])</f>
        <v>9</v>
      </c>
      <c r="L446" s="4">
        <f>COUNTIFS(tItens[Edital],tEditais[[#This Row],[Edital]],tItens[Foco],"Sim")</f>
        <v>1</v>
      </c>
      <c r="M446" s="8">
        <f>SUMIFS(tItens[Valor],tItens[Edital],tEditais[[#This Row],[Edital]])</f>
        <v>33101.599999999999</v>
      </c>
      <c r="N446" s="8">
        <f>SUMIFS(tItens[Valor homologado],tItens[Edital],tEditais[[#This Row],[Edital]],tItens[Foco],"Sim")</f>
        <v>2765</v>
      </c>
      <c r="O446" t="str">
        <f>IF(tEditais[[#This Row],[Itens do foco]]=0,"",IF(tEditais[[#This Row],[Valor foco homologado]]&lt;=0,"Sem valor",IF(tEditais[[#This Row],[Valor foco homologado]]&gt;=FaixaA_Min,"A",IF(tEditais[[#This Row],[Valor foco homologado]]&gt;=FaixaB_Min,"B","C"))))</f>
        <v>C</v>
      </c>
      <c r="P446" t="str">
        <f ca="1">IF(tEditais[[#This Row],[Encerramento]]&gt;NOW(),"Aberto","Encerrado")</f>
        <v>Encerrado</v>
      </c>
    </row>
    <row r="447" spans="1:16" x14ac:dyDescent="0.25">
      <c r="A447" t="s">
        <v>2438</v>
      </c>
      <c r="B447" t="s">
        <v>2439</v>
      </c>
      <c r="C447" t="s">
        <v>2440</v>
      </c>
      <c r="D447" t="s">
        <v>2426</v>
      </c>
      <c r="E447" t="s">
        <v>716</v>
      </c>
      <c r="F447" s="11">
        <v>46308.416666666664</v>
      </c>
      <c r="G447">
        <v>58</v>
      </c>
      <c r="H447" t="s">
        <v>2441</v>
      </c>
      <c r="I447" t="s">
        <v>2442</v>
      </c>
      <c r="J447" t="str">
        <f>IF(ISNUMBER(SEARCH("registro de pre",tEditais[[#This Row],[Objeto]])),"Sim","Não")</f>
        <v>Sim</v>
      </c>
      <c r="K447" s="4">
        <f>COUNTIFS(tItens[Edital],tEditais[[#This Row],[Edital]])</f>
        <v>10</v>
      </c>
      <c r="L447" s="4">
        <f>COUNTIFS(tItens[Edital],tEditais[[#This Row],[Edital]],tItens[Foco],"Sim")</f>
        <v>2</v>
      </c>
      <c r="M447" s="8">
        <f>SUMIFS(tItens[Valor],tItens[Edital],tEditais[[#This Row],[Edital]])</f>
        <v>30043.300000000003</v>
      </c>
      <c r="N447" s="8">
        <f>SUMIFS(tItens[Valor homologado],tItens[Edital],tEditais[[#This Row],[Edital]],tItens[Foco],"Sim")</f>
        <v>5358.66</v>
      </c>
      <c r="O447" t="str">
        <f>IF(tEditais[[#This Row],[Itens do foco]]=0,"",IF(tEditais[[#This Row],[Valor foco homologado]]&lt;=0,"Sem valor",IF(tEditais[[#This Row],[Valor foco homologado]]&gt;=FaixaA_Min,"A",IF(tEditais[[#This Row],[Valor foco homologado]]&gt;=FaixaB_Min,"B","C"))))</f>
        <v>C</v>
      </c>
      <c r="P447" t="str">
        <f ca="1">IF(tEditais[[#This Row],[Encerramento]]&gt;NOW(),"Aberto","Encerrado")</f>
        <v>Encerrado</v>
      </c>
    </row>
    <row r="448" spans="1:16" x14ac:dyDescent="0.25">
      <c r="A448" t="s">
        <v>2443</v>
      </c>
      <c r="B448" t="s">
        <v>2444</v>
      </c>
      <c r="C448" t="s">
        <v>2445</v>
      </c>
      <c r="D448" t="s">
        <v>2426</v>
      </c>
      <c r="E448" t="s">
        <v>716</v>
      </c>
      <c r="F448" s="11">
        <v>46309.354166666664</v>
      </c>
      <c r="G448">
        <v>281</v>
      </c>
      <c r="H448" t="s">
        <v>2446</v>
      </c>
      <c r="I448" t="s">
        <v>2447</v>
      </c>
      <c r="J448" t="str">
        <f>IF(ISNUMBER(SEARCH("registro de pre",tEditais[[#This Row],[Objeto]])),"Sim","Não")</f>
        <v>Sim</v>
      </c>
      <c r="K448" s="4">
        <f>COUNTIFS(tItens[Edital],tEditais[[#This Row],[Edital]])</f>
        <v>69</v>
      </c>
      <c r="L448" s="4">
        <f>COUNTIFS(tItens[Edital],tEditais[[#This Row],[Edital]],tItens[Foco],"Sim")</f>
        <v>12</v>
      </c>
      <c r="M448" s="8">
        <f>SUMIFS(tItens[Valor],tItens[Edital],tEditais[[#This Row],[Edital]])</f>
        <v>1139407.6999999997</v>
      </c>
      <c r="N448" s="8">
        <f>SUMIFS(tItens[Valor homologado],tItens[Edital],tEditais[[#This Row],[Edital]],tItens[Foco],"Sim")</f>
        <v>30477.385999999999</v>
      </c>
      <c r="O448" t="str">
        <f>IF(tEditais[[#This Row],[Itens do foco]]=0,"",IF(tEditais[[#This Row],[Valor foco homologado]]&lt;=0,"Sem valor",IF(tEditais[[#This Row],[Valor foco homologado]]&gt;=FaixaA_Min,"A",IF(tEditais[[#This Row],[Valor foco homologado]]&gt;=FaixaB_Min,"B","C"))))</f>
        <v>C</v>
      </c>
      <c r="P448" t="str">
        <f ca="1">IF(tEditais[[#This Row],[Encerramento]]&gt;NOW(),"Aberto","Encerrado")</f>
        <v>Encerrado</v>
      </c>
    </row>
    <row r="449" spans="1:16" x14ac:dyDescent="0.25">
      <c r="A449" t="s">
        <v>2448</v>
      </c>
      <c r="B449" t="s">
        <v>2449</v>
      </c>
      <c r="C449" t="s">
        <v>2450</v>
      </c>
      <c r="D449" t="s">
        <v>2426</v>
      </c>
      <c r="E449" t="s">
        <v>716</v>
      </c>
      <c r="F449" s="11">
        <v>46309.375</v>
      </c>
      <c r="G449">
        <v>14</v>
      </c>
      <c r="I449" t="s">
        <v>2451</v>
      </c>
      <c r="J449" t="str">
        <f>IF(ISNUMBER(SEARCH("registro de pre",tEditais[[#This Row],[Objeto]])),"Sim","Não")</f>
        <v>Não</v>
      </c>
      <c r="K449" s="4">
        <f>COUNTIFS(tItens[Edital],tEditais[[#This Row],[Edital]])</f>
        <v>1</v>
      </c>
      <c r="L449" s="4">
        <f>COUNTIFS(tItens[Edital],tEditais[[#This Row],[Edital]],tItens[Foco],"Sim")</f>
        <v>0</v>
      </c>
      <c r="M449" s="8">
        <f>SUMIFS(tItens[Valor],tItens[Edital],tEditais[[#This Row],[Edital]])</f>
        <v>44120</v>
      </c>
      <c r="N449" s="8">
        <f>SUMIFS(tItens[Valor homologado],tItens[Edital],tEditais[[#This Row],[Edital]],tItens[Foco],"Sim")</f>
        <v>0</v>
      </c>
      <c r="O449" t="str">
        <f>IF(tEditais[[#This Row],[Itens do foco]]=0,"",IF(tEditais[[#This Row],[Valor foco homologado]]&lt;=0,"Sem valor",IF(tEditais[[#This Row],[Valor foco homologado]]&gt;=FaixaA_Min,"A",IF(tEditais[[#This Row],[Valor foco homologado]]&gt;=FaixaB_Min,"B","C"))))</f>
        <v/>
      </c>
      <c r="P449" t="str">
        <f ca="1">IF(tEditais[[#This Row],[Encerramento]]&gt;NOW(),"Aberto","Encerrado")</f>
        <v>Encerrado</v>
      </c>
    </row>
    <row r="450" spans="1:16" x14ac:dyDescent="0.25">
      <c r="A450" t="s">
        <v>2452</v>
      </c>
      <c r="B450" t="s">
        <v>2439</v>
      </c>
      <c r="C450" t="s">
        <v>2440</v>
      </c>
      <c r="D450" t="s">
        <v>2426</v>
      </c>
      <c r="E450" t="s">
        <v>716</v>
      </c>
      <c r="F450" s="11">
        <v>46309.416666666664</v>
      </c>
      <c r="G450">
        <v>538</v>
      </c>
      <c r="H450" t="s">
        <v>2453</v>
      </c>
      <c r="I450" t="s">
        <v>2454</v>
      </c>
      <c r="J450" t="str">
        <f>IF(ISNUMBER(SEARCH("registro de pre",tEditais[[#This Row],[Objeto]])),"Sim","Não")</f>
        <v>Não</v>
      </c>
      <c r="K450" s="4">
        <f>COUNTIFS(tItens[Edital],tEditais[[#This Row],[Edital]])</f>
        <v>234</v>
      </c>
      <c r="L450" s="4">
        <f>COUNTIFS(tItens[Edital],tEditais[[#This Row],[Edital]],tItens[Foco],"Sim")</f>
        <v>30</v>
      </c>
      <c r="M450" s="8">
        <f>SUMIFS(tItens[Valor],tItens[Edital],tEditais[[#This Row],[Edital]])</f>
        <v>1507281.22</v>
      </c>
      <c r="N450" s="8">
        <f>SUMIFS(tItens[Valor homologado],tItens[Edital],tEditais[[#This Row],[Edital]],tItens[Foco],"Sim")</f>
        <v>70369.178800000023</v>
      </c>
      <c r="O450" t="str">
        <f>IF(tEditais[[#This Row],[Itens do foco]]=0,"",IF(tEditais[[#This Row],[Valor foco homologado]]&lt;=0,"Sem valor",IF(tEditais[[#This Row],[Valor foco homologado]]&gt;=FaixaA_Min,"A",IF(tEditais[[#This Row],[Valor foco homologado]]&gt;=FaixaB_Min,"B","C"))))</f>
        <v>B</v>
      </c>
      <c r="P450" t="str">
        <f ca="1">IF(tEditais[[#This Row],[Encerramento]]&gt;NOW(),"Aberto","Encerrado")</f>
        <v>Encerrado</v>
      </c>
    </row>
    <row r="451" spans="1:16" x14ac:dyDescent="0.25">
      <c r="A451" t="s">
        <v>2455</v>
      </c>
      <c r="B451" t="s">
        <v>2456</v>
      </c>
      <c r="C451" t="s">
        <v>2457</v>
      </c>
      <c r="D451" t="s">
        <v>2426</v>
      </c>
      <c r="E451" t="s">
        <v>716</v>
      </c>
      <c r="F451" s="11">
        <v>46310.375694444447</v>
      </c>
      <c r="G451">
        <v>34</v>
      </c>
      <c r="H451" t="s">
        <v>2458</v>
      </c>
      <c r="I451" t="s">
        <v>2459</v>
      </c>
      <c r="J451" t="str">
        <f>IF(ISNUMBER(SEARCH("registro de pre",tEditais[[#This Row],[Objeto]])),"Sim","Não")</f>
        <v>Sim</v>
      </c>
      <c r="K451" s="4">
        <f>COUNTIFS(tItens[Edital],tEditais[[#This Row],[Edital]])</f>
        <v>6</v>
      </c>
      <c r="L451" s="4">
        <f>COUNTIFS(tItens[Edital],tEditais[[#This Row],[Edital]],tItens[Foco],"Sim")</f>
        <v>0</v>
      </c>
      <c r="M451" s="8">
        <f>SUMIFS(tItens[Valor],tItens[Edital],tEditais[[#This Row],[Edital]])</f>
        <v>25794.68</v>
      </c>
      <c r="N451" s="8">
        <f>SUMIFS(tItens[Valor homologado],tItens[Edital],tEditais[[#This Row],[Edital]],tItens[Foco],"Sim")</f>
        <v>0</v>
      </c>
      <c r="O451" t="str">
        <f>IF(tEditais[[#This Row],[Itens do foco]]=0,"",IF(tEditais[[#This Row],[Valor foco homologado]]&lt;=0,"Sem valor",IF(tEditais[[#This Row],[Valor foco homologado]]&gt;=FaixaA_Min,"A",IF(tEditais[[#This Row],[Valor foco homologado]]&gt;=FaixaB_Min,"B","C"))))</f>
        <v/>
      </c>
      <c r="P451" t="str">
        <f ca="1">IF(tEditais[[#This Row],[Encerramento]]&gt;NOW(),"Aberto","Encerrado")</f>
        <v>Encerrado</v>
      </c>
    </row>
    <row r="452" spans="1:16" x14ac:dyDescent="0.25">
      <c r="A452" t="s">
        <v>2460</v>
      </c>
      <c r="B452" t="s">
        <v>2461</v>
      </c>
      <c r="C452" t="s">
        <v>2462</v>
      </c>
      <c r="D452" t="s">
        <v>2426</v>
      </c>
      <c r="E452" t="s">
        <v>716</v>
      </c>
      <c r="F452" s="11">
        <v>46310.416666666664</v>
      </c>
      <c r="G452">
        <v>7</v>
      </c>
      <c r="H452" t="s">
        <v>2463</v>
      </c>
      <c r="I452" t="s">
        <v>2464</v>
      </c>
      <c r="J452" t="str">
        <f>IF(ISNUMBER(SEARCH("registro de pre",tEditais[[#This Row],[Objeto]])),"Sim","Não")</f>
        <v>Não</v>
      </c>
      <c r="K452" s="4">
        <f>COUNTIFS(tItens[Edital],tEditais[[#This Row],[Edital]])</f>
        <v>3</v>
      </c>
      <c r="L452" s="4">
        <f>COUNTIFS(tItens[Edital],tEditais[[#This Row],[Edital]],tItens[Foco],"Sim")</f>
        <v>0</v>
      </c>
      <c r="M452" s="8">
        <f>SUMIFS(tItens[Valor],tItens[Edital],tEditais[[#This Row],[Edital]])</f>
        <v>10447.450000000001</v>
      </c>
      <c r="N452" s="8">
        <f>SUMIFS(tItens[Valor homologado],tItens[Edital],tEditais[[#This Row],[Edital]],tItens[Foco],"Sim")</f>
        <v>0</v>
      </c>
      <c r="O452" t="str">
        <f>IF(tEditais[[#This Row],[Itens do foco]]=0,"",IF(tEditais[[#This Row],[Valor foco homologado]]&lt;=0,"Sem valor",IF(tEditais[[#This Row],[Valor foco homologado]]&gt;=FaixaA_Min,"A",IF(tEditais[[#This Row],[Valor foco homologado]]&gt;=FaixaB_Min,"B","C"))))</f>
        <v/>
      </c>
      <c r="P452" t="str">
        <f ca="1">IF(tEditais[[#This Row],[Encerramento]]&gt;NOW(),"Aberto","Encerrado")</f>
        <v>Encerrado</v>
      </c>
    </row>
    <row r="453" spans="1:16" x14ac:dyDescent="0.25">
      <c r="A453" t="s">
        <v>2465</v>
      </c>
      <c r="B453" t="s">
        <v>2461</v>
      </c>
      <c r="C453" t="s">
        <v>2462</v>
      </c>
      <c r="D453" t="s">
        <v>2426</v>
      </c>
      <c r="E453" t="s">
        <v>716</v>
      </c>
      <c r="F453" s="11">
        <v>46310.416666666664</v>
      </c>
      <c r="G453">
        <v>33</v>
      </c>
      <c r="H453" t="s">
        <v>2466</v>
      </c>
      <c r="I453" t="s">
        <v>2467</v>
      </c>
      <c r="J453" t="str">
        <f>IF(ISNUMBER(SEARCH("registro de pre",tEditais[[#This Row],[Objeto]])),"Sim","Não")</f>
        <v>Sim</v>
      </c>
      <c r="K453" s="4">
        <f>COUNTIFS(tItens[Edital],tEditais[[#This Row],[Edital]])</f>
        <v>2</v>
      </c>
      <c r="L453" s="4">
        <f>COUNTIFS(tItens[Edital],tEditais[[#This Row],[Edital]],tItens[Foco],"Sim")</f>
        <v>0</v>
      </c>
      <c r="M453" s="8">
        <f>SUMIFS(tItens[Valor],tItens[Edital],tEditais[[#This Row],[Edital]])</f>
        <v>3816.3</v>
      </c>
      <c r="N453" s="8">
        <f>SUMIFS(tItens[Valor homologado],tItens[Edital],tEditais[[#This Row],[Edital]],tItens[Foco],"Sim")</f>
        <v>0</v>
      </c>
      <c r="O453" t="str">
        <f>IF(tEditais[[#This Row],[Itens do foco]]=0,"",IF(tEditais[[#This Row],[Valor foco homologado]]&lt;=0,"Sem valor",IF(tEditais[[#This Row],[Valor foco homologado]]&gt;=FaixaA_Min,"A",IF(tEditais[[#This Row],[Valor foco homologado]]&gt;=FaixaB_Min,"B","C"))))</f>
        <v/>
      </c>
      <c r="P453" t="str">
        <f ca="1">IF(tEditais[[#This Row],[Encerramento]]&gt;NOW(),"Aberto","Encerrado")</f>
        <v>Encerrado</v>
      </c>
    </row>
    <row r="454" spans="1:16" x14ac:dyDescent="0.25">
      <c r="A454" t="s">
        <v>2468</v>
      </c>
      <c r="B454" t="s">
        <v>2469</v>
      </c>
      <c r="C454" t="s">
        <v>2470</v>
      </c>
      <c r="D454" t="s">
        <v>2426</v>
      </c>
      <c r="E454" t="s">
        <v>716</v>
      </c>
      <c r="F454" s="11">
        <v>46310.729166666664</v>
      </c>
      <c r="G454">
        <v>1016</v>
      </c>
      <c r="H454" t="s">
        <v>2471</v>
      </c>
      <c r="I454" t="s">
        <v>2472</v>
      </c>
      <c r="J454" t="str">
        <f>IF(ISNUMBER(SEARCH("registro de pre",tEditais[[#This Row],[Objeto]])),"Sim","Não")</f>
        <v>Sim</v>
      </c>
      <c r="K454" s="4">
        <f>COUNTIFS(tItens[Edital],tEditais[[#This Row],[Edital]])</f>
        <v>325</v>
      </c>
      <c r="L454" s="4">
        <f>COUNTIFS(tItens[Edital],tEditais[[#This Row],[Edital]],tItens[Foco],"Sim")</f>
        <v>41</v>
      </c>
      <c r="M454" s="8">
        <f>SUMIFS(tItens[Valor],tItens[Edital],tEditais[[#This Row],[Edital]])</f>
        <v>9824.9899999999852</v>
      </c>
      <c r="N454" s="8">
        <f>SUMIFS(tItens[Valor homologado],tItens[Edital],tEditais[[#This Row],[Edital]],tItens[Foco],"Sim")</f>
        <v>316.48969999999997</v>
      </c>
      <c r="O454" t="str">
        <f>IF(tEditais[[#This Row],[Itens do foco]]=0,"",IF(tEditais[[#This Row],[Valor foco homologado]]&lt;=0,"Sem valor",IF(tEditais[[#This Row],[Valor foco homologado]]&gt;=FaixaA_Min,"A",IF(tEditais[[#This Row],[Valor foco homologado]]&gt;=FaixaB_Min,"B","C"))))</f>
        <v>C</v>
      </c>
      <c r="P454" t="str">
        <f ca="1">IF(tEditais[[#This Row],[Encerramento]]&gt;NOW(),"Aberto","Encerrado")</f>
        <v>Aberto</v>
      </c>
    </row>
    <row r="455" spans="1:16" x14ac:dyDescent="0.25">
      <c r="A455" t="s">
        <v>2473</v>
      </c>
      <c r="B455" t="s">
        <v>2474</v>
      </c>
      <c r="C455" t="s">
        <v>2475</v>
      </c>
      <c r="D455" t="s">
        <v>2426</v>
      </c>
      <c r="E455" t="s">
        <v>716</v>
      </c>
      <c r="F455" s="11">
        <v>46311.340277777781</v>
      </c>
      <c r="G455">
        <v>35</v>
      </c>
      <c r="H455" t="s">
        <v>2476</v>
      </c>
      <c r="I455" t="s">
        <v>2477</v>
      </c>
      <c r="J455" t="str">
        <f>IF(ISNUMBER(SEARCH("registro de pre",tEditais[[#This Row],[Objeto]])),"Sim","Não")</f>
        <v>Não</v>
      </c>
      <c r="K455" s="4">
        <f>COUNTIFS(tItens[Edital],tEditais[[#This Row],[Edital]])</f>
        <v>3</v>
      </c>
      <c r="L455" s="4">
        <f>COUNTIFS(tItens[Edital],tEditais[[#This Row],[Edital]],tItens[Foco],"Sim")</f>
        <v>0</v>
      </c>
      <c r="M455" s="8">
        <f>SUMIFS(tItens[Valor],tItens[Edital],tEditais[[#This Row],[Edital]])</f>
        <v>0</v>
      </c>
      <c r="N455" s="8">
        <f>SUMIFS(tItens[Valor homologado],tItens[Edital],tEditais[[#This Row],[Edital]],tItens[Foco],"Sim")</f>
        <v>0</v>
      </c>
      <c r="O455" t="str">
        <f>IF(tEditais[[#This Row],[Itens do foco]]=0,"",IF(tEditais[[#This Row],[Valor foco homologado]]&lt;=0,"Sem valor",IF(tEditais[[#This Row],[Valor foco homologado]]&gt;=FaixaA_Min,"A",IF(tEditais[[#This Row],[Valor foco homologado]]&gt;=FaixaB_Min,"B","C"))))</f>
        <v/>
      </c>
      <c r="P455" t="str">
        <f ca="1">IF(tEditais[[#This Row],[Encerramento]]&gt;NOW(),"Aberto","Encerrado")</f>
        <v>Aberto</v>
      </c>
    </row>
    <row r="456" spans="1:16" x14ac:dyDescent="0.25">
      <c r="A456" t="s">
        <v>2478</v>
      </c>
      <c r="B456" t="s">
        <v>2430</v>
      </c>
      <c r="C456" t="s">
        <v>2431</v>
      </c>
      <c r="D456" t="s">
        <v>2426</v>
      </c>
      <c r="E456" t="s">
        <v>716</v>
      </c>
      <c r="F456" s="11">
        <v>46311.375</v>
      </c>
      <c r="G456">
        <v>11</v>
      </c>
      <c r="I456" t="s">
        <v>2479</v>
      </c>
      <c r="J456" t="str">
        <f>IF(ISNUMBER(SEARCH("registro de pre",tEditais[[#This Row],[Objeto]])),"Sim","Não")</f>
        <v>Não</v>
      </c>
      <c r="K456" s="4">
        <f>COUNTIFS(tItens[Edital],tEditais[[#This Row],[Edital]])</f>
        <v>7</v>
      </c>
      <c r="L456" s="4">
        <f>COUNTIFS(tItens[Edital],tEditais[[#This Row],[Edital]],tItens[Foco],"Sim")</f>
        <v>0</v>
      </c>
      <c r="M456" s="8">
        <f>SUMIFS(tItens[Valor],tItens[Edital],tEditais[[#This Row],[Edital]])</f>
        <v>14080.5</v>
      </c>
      <c r="N456" s="8">
        <f>SUMIFS(tItens[Valor homologado],tItens[Edital],tEditais[[#This Row],[Edital]],tItens[Foco],"Sim")</f>
        <v>0</v>
      </c>
      <c r="O456" t="str">
        <f>IF(tEditais[[#This Row],[Itens do foco]]=0,"",IF(tEditais[[#This Row],[Valor foco homologado]]&lt;=0,"Sem valor",IF(tEditais[[#This Row],[Valor foco homologado]]&gt;=FaixaA_Min,"A",IF(tEditais[[#This Row],[Valor foco homologado]]&gt;=FaixaB_Min,"B","C"))))</f>
        <v/>
      </c>
      <c r="P456" t="str">
        <f ca="1">IF(tEditais[[#This Row],[Encerramento]]&gt;NOW(),"Aberto","Encerrado")</f>
        <v>Aberto</v>
      </c>
    </row>
    <row r="457" spans="1:16" x14ac:dyDescent="0.25">
      <c r="A457" t="s">
        <v>2480</v>
      </c>
      <c r="B457" t="s">
        <v>2461</v>
      </c>
      <c r="C457" t="s">
        <v>2462</v>
      </c>
      <c r="D457" t="s">
        <v>2426</v>
      </c>
      <c r="E457" t="s">
        <v>716</v>
      </c>
      <c r="F457" s="11">
        <v>46314.416666666664</v>
      </c>
      <c r="G457">
        <v>85</v>
      </c>
      <c r="H457" t="s">
        <v>2481</v>
      </c>
      <c r="I457" t="s">
        <v>2482</v>
      </c>
      <c r="J457" t="str">
        <f>IF(ISNUMBER(SEARCH("registro de pre",tEditais[[#This Row],[Objeto]])),"Sim","Não")</f>
        <v>Sim</v>
      </c>
      <c r="K457" s="4">
        <f>COUNTIFS(tItens[Edital],tEditais[[#This Row],[Edital]])</f>
        <v>1</v>
      </c>
      <c r="L457" s="4">
        <f>COUNTIFS(tItens[Edital],tEditais[[#This Row],[Edital]],tItens[Foco],"Sim")</f>
        <v>0</v>
      </c>
      <c r="M457" s="8">
        <f>SUMIFS(tItens[Valor],tItens[Edital],tEditais[[#This Row],[Edital]])</f>
        <v>18520.82</v>
      </c>
      <c r="N457" s="8">
        <f>SUMIFS(tItens[Valor homologado],tItens[Edital],tEditais[[#This Row],[Edital]],tItens[Foco],"Sim")</f>
        <v>0</v>
      </c>
      <c r="O457" t="str">
        <f>IF(tEditais[[#This Row],[Itens do foco]]=0,"",IF(tEditais[[#This Row],[Valor foco homologado]]&lt;=0,"Sem valor",IF(tEditais[[#This Row],[Valor foco homologado]]&gt;=FaixaA_Min,"A",IF(tEditais[[#This Row],[Valor foco homologado]]&gt;=FaixaB_Min,"B","C"))))</f>
        <v/>
      </c>
      <c r="P457" t="str">
        <f ca="1">IF(tEditais[[#This Row],[Encerramento]]&gt;NOW(),"Aberto","Encerrado")</f>
        <v>Aberto</v>
      </c>
    </row>
    <row r="458" spans="1:16" x14ac:dyDescent="0.25">
      <c r="A458" t="s">
        <v>2483</v>
      </c>
      <c r="B458" t="s">
        <v>1089</v>
      </c>
      <c r="C458" t="s">
        <v>2484</v>
      </c>
      <c r="D458" t="s">
        <v>2485</v>
      </c>
      <c r="E458" t="s">
        <v>716</v>
      </c>
      <c r="F458" s="11">
        <v>46310.395833333336</v>
      </c>
      <c r="G458">
        <v>30</v>
      </c>
      <c r="H458" t="s">
        <v>2486</v>
      </c>
      <c r="I458" t="s">
        <v>2487</v>
      </c>
      <c r="J458" t="str">
        <f>IF(ISNUMBER(SEARCH("registro de pre",tEditais[[#This Row],[Objeto]])),"Sim","Não")</f>
        <v>Não</v>
      </c>
      <c r="K458" s="4">
        <f>COUNTIFS(tItens[Edital],tEditais[[#This Row],[Edital]])</f>
        <v>4</v>
      </c>
      <c r="L458" s="4">
        <f>COUNTIFS(tItens[Edital],tEditais[[#This Row],[Edital]],tItens[Foco],"Sim")</f>
        <v>1</v>
      </c>
      <c r="M458" s="8">
        <f>SUMIFS(tItens[Valor],tItens[Edital],tEditais[[#This Row],[Edital]])</f>
        <v>841556</v>
      </c>
      <c r="N458" s="8">
        <f>SUMIFS(tItens[Valor homologado],tItens[Edital],tEditais[[#This Row],[Edital]],tItens[Foco],"Sim")</f>
        <v>10909.44</v>
      </c>
      <c r="O458" t="str">
        <f>IF(tEditais[[#This Row],[Itens do foco]]=0,"",IF(tEditais[[#This Row],[Valor foco homologado]]&lt;=0,"Sem valor",IF(tEditais[[#This Row],[Valor foco homologado]]&gt;=FaixaA_Min,"A",IF(tEditais[[#This Row],[Valor foco homologado]]&gt;=FaixaB_Min,"B","C"))))</f>
        <v>C</v>
      </c>
      <c r="P458" t="str">
        <f ca="1">IF(tEditais[[#This Row],[Encerramento]]&gt;NOW(),"Aberto","Encerrado")</f>
        <v>Encerrado</v>
      </c>
    </row>
    <row r="459" spans="1:16" x14ac:dyDescent="0.25">
      <c r="A459" t="s">
        <v>2488</v>
      </c>
      <c r="B459" t="s">
        <v>2489</v>
      </c>
      <c r="C459" t="s">
        <v>2490</v>
      </c>
      <c r="D459" t="s">
        <v>2485</v>
      </c>
      <c r="E459" t="s">
        <v>716</v>
      </c>
      <c r="F459" s="11">
        <v>46314.416666666664</v>
      </c>
      <c r="G459">
        <v>83</v>
      </c>
      <c r="H459" t="s">
        <v>2491</v>
      </c>
      <c r="I459" t="s">
        <v>2492</v>
      </c>
      <c r="J459" t="str">
        <f>IF(ISNUMBER(SEARCH("registro de pre",tEditais[[#This Row],[Objeto]])),"Sim","Não")</f>
        <v>Não</v>
      </c>
      <c r="K459" s="4">
        <f>COUNTIFS(tItens[Edital],tEditais[[#This Row],[Edital]])</f>
        <v>1</v>
      </c>
      <c r="L459" s="4">
        <f>COUNTIFS(tItens[Edital],tEditais[[#This Row],[Edital]],tItens[Foco],"Sim")</f>
        <v>0</v>
      </c>
      <c r="M459" s="8">
        <f>SUMIFS(tItens[Valor],tItens[Edital],tEditais[[#This Row],[Edital]])</f>
        <v>4538</v>
      </c>
      <c r="N459" s="8">
        <f>SUMIFS(tItens[Valor homologado],tItens[Edital],tEditais[[#This Row],[Edital]],tItens[Foco],"Sim")</f>
        <v>0</v>
      </c>
      <c r="O459" t="str">
        <f>IF(tEditais[[#This Row],[Itens do foco]]=0,"",IF(tEditais[[#This Row],[Valor foco homologado]]&lt;=0,"Sem valor",IF(tEditais[[#This Row],[Valor foco homologado]]&gt;=FaixaA_Min,"A",IF(tEditais[[#This Row],[Valor foco homologado]]&gt;=FaixaB_Min,"B","C"))))</f>
        <v/>
      </c>
      <c r="P459" t="str">
        <f ca="1">IF(tEditais[[#This Row],[Encerramento]]&gt;NOW(),"Aberto","Encerrado")</f>
        <v>Aberto</v>
      </c>
    </row>
    <row r="460" spans="1:16" x14ac:dyDescent="0.25">
      <c r="A460" t="s">
        <v>2493</v>
      </c>
      <c r="B460" t="s">
        <v>2494</v>
      </c>
      <c r="C460" t="s">
        <v>2495</v>
      </c>
      <c r="D460" t="s">
        <v>2496</v>
      </c>
      <c r="E460" t="s">
        <v>841</v>
      </c>
      <c r="F460" s="11">
        <v>46304.354166666664</v>
      </c>
      <c r="G460">
        <v>75</v>
      </c>
      <c r="I460" t="s">
        <v>2497</v>
      </c>
      <c r="J460" t="str">
        <f>IF(ISNUMBER(SEARCH("registro de pre",tEditais[[#This Row],[Objeto]])),"Sim","Não")</f>
        <v>Não</v>
      </c>
      <c r="K460" s="4">
        <f>COUNTIFS(tItens[Edital],tEditais[[#This Row],[Edital]])</f>
        <v>1</v>
      </c>
      <c r="L460" s="4">
        <f>COUNTIFS(tItens[Edital],tEditais[[#This Row],[Edital]],tItens[Foco],"Sim")</f>
        <v>0</v>
      </c>
      <c r="M460" s="8">
        <f>SUMIFS(tItens[Valor],tItens[Edital],tEditais[[#This Row],[Edital]])</f>
        <v>528</v>
      </c>
      <c r="N460" s="8">
        <f>SUMIFS(tItens[Valor homologado],tItens[Edital],tEditais[[#This Row],[Edital]],tItens[Foco],"Sim")</f>
        <v>0</v>
      </c>
      <c r="O460" t="str">
        <f>IF(tEditais[[#This Row],[Itens do foco]]=0,"",IF(tEditais[[#This Row],[Valor foco homologado]]&lt;=0,"Sem valor",IF(tEditais[[#This Row],[Valor foco homologado]]&gt;=FaixaA_Min,"A",IF(tEditais[[#This Row],[Valor foco homologado]]&gt;=FaixaB_Min,"B","C"))))</f>
        <v/>
      </c>
      <c r="P460" t="str">
        <f ca="1">IF(tEditais[[#This Row],[Encerramento]]&gt;NOW(),"Aberto","Encerrado")</f>
        <v>Encerrado</v>
      </c>
    </row>
    <row r="461" spans="1:16" x14ac:dyDescent="0.25">
      <c r="A461" t="s">
        <v>2498</v>
      </c>
      <c r="B461" t="s">
        <v>2499</v>
      </c>
      <c r="C461" t="s">
        <v>2500</v>
      </c>
      <c r="D461" t="s">
        <v>2496</v>
      </c>
      <c r="E461" t="s">
        <v>800</v>
      </c>
      <c r="F461" s="11">
        <v>46304.364583333336</v>
      </c>
      <c r="G461">
        <v>9</v>
      </c>
      <c r="H461" t="s">
        <v>2501</v>
      </c>
      <c r="I461" t="s">
        <v>2502</v>
      </c>
      <c r="J461" t="str">
        <f>IF(ISNUMBER(SEARCH("registro de pre",tEditais[[#This Row],[Objeto]])),"Sim","Não")</f>
        <v>Não</v>
      </c>
      <c r="K461" s="4">
        <f>COUNTIFS(tItens[Edital],tEditais[[#This Row],[Edital]])</f>
        <v>1</v>
      </c>
      <c r="L461" s="4">
        <f>COUNTIFS(tItens[Edital],tEditais[[#This Row],[Edital]],tItens[Foco],"Sim")</f>
        <v>0</v>
      </c>
      <c r="M461" s="8">
        <f>SUMIFS(tItens[Valor],tItens[Edital],tEditais[[#This Row],[Edital]])</f>
        <v>304.8</v>
      </c>
      <c r="N461" s="8">
        <f>SUMIFS(tItens[Valor homologado],tItens[Edital],tEditais[[#This Row],[Edital]],tItens[Foco],"Sim")</f>
        <v>0</v>
      </c>
      <c r="O461" t="str">
        <f>IF(tEditais[[#This Row],[Itens do foco]]=0,"",IF(tEditais[[#This Row],[Valor foco homologado]]&lt;=0,"Sem valor",IF(tEditais[[#This Row],[Valor foco homologado]]&gt;=FaixaA_Min,"A",IF(tEditais[[#This Row],[Valor foco homologado]]&gt;=FaixaB_Min,"B","C"))))</f>
        <v/>
      </c>
      <c r="P461" t="str">
        <f ca="1">IF(tEditais[[#This Row],[Encerramento]]&gt;NOW(),"Aberto","Encerrado")</f>
        <v>Encerrado</v>
      </c>
    </row>
    <row r="462" spans="1:16" x14ac:dyDescent="0.25">
      <c r="A462" t="s">
        <v>2503</v>
      </c>
      <c r="B462" t="s">
        <v>2504</v>
      </c>
      <c r="C462" t="s">
        <v>2505</v>
      </c>
      <c r="D462" t="s">
        <v>2496</v>
      </c>
      <c r="E462" t="s">
        <v>1154</v>
      </c>
      <c r="F462" s="11">
        <v>46304.375</v>
      </c>
      <c r="G462">
        <v>150</v>
      </c>
      <c r="I462" t="s">
        <v>2506</v>
      </c>
      <c r="J462" t="str">
        <f>IF(ISNUMBER(SEARCH("registro de pre",tEditais[[#This Row],[Objeto]])),"Sim","Não")</f>
        <v>Não</v>
      </c>
      <c r="K462" s="4">
        <f>COUNTIFS(tItens[Edital],tEditais[[#This Row],[Edital]])</f>
        <v>52</v>
      </c>
      <c r="L462" s="4">
        <f>COUNTIFS(tItens[Edital],tEditais[[#This Row],[Edital]],tItens[Foco],"Sim")</f>
        <v>7</v>
      </c>
      <c r="M462" s="8">
        <f>SUMIFS(tItens[Valor],tItens[Edital],tEditais[[#This Row],[Edital]])</f>
        <v>137161.65</v>
      </c>
      <c r="N462" s="8">
        <f>SUMIFS(tItens[Valor homologado],tItens[Edital],tEditais[[#This Row],[Edital]],tItens[Foco],"Sim")</f>
        <v>8805.6419999999998</v>
      </c>
      <c r="O462" t="str">
        <f>IF(tEditais[[#This Row],[Itens do foco]]=0,"",IF(tEditais[[#This Row],[Valor foco homologado]]&lt;=0,"Sem valor",IF(tEditais[[#This Row],[Valor foco homologado]]&gt;=FaixaA_Min,"A",IF(tEditais[[#This Row],[Valor foco homologado]]&gt;=FaixaB_Min,"B","C"))))</f>
        <v>C</v>
      </c>
      <c r="P462" t="str">
        <f ca="1">IF(tEditais[[#This Row],[Encerramento]]&gt;NOW(),"Aberto","Encerrado")</f>
        <v>Encerrado</v>
      </c>
    </row>
    <row r="463" spans="1:16" x14ac:dyDescent="0.25">
      <c r="A463" t="s">
        <v>2507</v>
      </c>
      <c r="B463" t="s">
        <v>739</v>
      </c>
      <c r="C463" t="s">
        <v>2508</v>
      </c>
      <c r="D463" t="s">
        <v>2496</v>
      </c>
      <c r="E463" t="s">
        <v>716</v>
      </c>
      <c r="F463" s="11">
        <v>46304.375</v>
      </c>
      <c r="G463">
        <v>71</v>
      </c>
      <c r="H463" t="s">
        <v>2509</v>
      </c>
      <c r="I463" t="s">
        <v>2510</v>
      </c>
      <c r="J463" t="str">
        <f>IF(ISNUMBER(SEARCH("registro de pre",tEditais[[#This Row],[Objeto]])),"Sim","Não")</f>
        <v>Não</v>
      </c>
      <c r="K463" s="4">
        <f>COUNTIFS(tItens[Edital],tEditais[[#This Row],[Edital]])</f>
        <v>39</v>
      </c>
      <c r="L463" s="4">
        <f>COUNTIFS(tItens[Edital],tEditais[[#This Row],[Edital]],tItens[Foco],"Sim")</f>
        <v>3</v>
      </c>
      <c r="M463" s="8">
        <f>SUMIFS(tItens[Valor],tItens[Edital],tEditais[[#This Row],[Edital]])</f>
        <v>0</v>
      </c>
      <c r="N463" s="8">
        <f>SUMIFS(tItens[Valor homologado],tItens[Edital],tEditais[[#This Row],[Edital]],tItens[Foco],"Sim")</f>
        <v>0</v>
      </c>
      <c r="O463" t="str">
        <f>IF(tEditais[[#This Row],[Itens do foco]]=0,"",IF(tEditais[[#This Row],[Valor foco homologado]]&lt;=0,"Sem valor",IF(tEditais[[#This Row],[Valor foco homologado]]&gt;=FaixaA_Min,"A",IF(tEditais[[#This Row],[Valor foco homologado]]&gt;=FaixaB_Min,"B","C"))))</f>
        <v>Sem valor</v>
      </c>
      <c r="P463" t="str">
        <f ca="1">IF(tEditais[[#This Row],[Encerramento]]&gt;NOW(),"Aberto","Encerrado")</f>
        <v>Encerrado</v>
      </c>
    </row>
    <row r="464" spans="1:16" x14ac:dyDescent="0.25">
      <c r="A464" t="s">
        <v>2511</v>
      </c>
      <c r="B464" t="s">
        <v>2512</v>
      </c>
      <c r="C464" t="s">
        <v>2513</v>
      </c>
      <c r="D464" t="s">
        <v>2496</v>
      </c>
      <c r="E464" t="s">
        <v>716</v>
      </c>
      <c r="F464" s="11">
        <v>46304.583333333336</v>
      </c>
      <c r="G464">
        <v>35</v>
      </c>
      <c r="H464" t="s">
        <v>2514</v>
      </c>
      <c r="I464" t="s">
        <v>2515</v>
      </c>
      <c r="J464" t="str">
        <f>IF(ISNUMBER(SEARCH("registro de pre",tEditais[[#This Row],[Objeto]])),"Sim","Não")</f>
        <v>Sim</v>
      </c>
      <c r="K464" s="4">
        <f>COUNTIFS(tItens[Edital],tEditais[[#This Row],[Edital]])</f>
        <v>1</v>
      </c>
      <c r="L464" s="4">
        <f>COUNTIFS(tItens[Edital],tEditais[[#This Row],[Edital]],tItens[Foco],"Sim")</f>
        <v>0</v>
      </c>
      <c r="M464" s="8">
        <f>SUMIFS(tItens[Valor],tItens[Edital],tEditais[[#This Row],[Edital]])</f>
        <v>5358</v>
      </c>
      <c r="N464" s="8">
        <f>SUMIFS(tItens[Valor homologado],tItens[Edital],tEditais[[#This Row],[Edital]],tItens[Foco],"Sim")</f>
        <v>0</v>
      </c>
      <c r="O464" t="str">
        <f>IF(tEditais[[#This Row],[Itens do foco]]=0,"",IF(tEditais[[#This Row],[Valor foco homologado]]&lt;=0,"Sem valor",IF(tEditais[[#This Row],[Valor foco homologado]]&gt;=FaixaA_Min,"A",IF(tEditais[[#This Row],[Valor foco homologado]]&gt;=FaixaB_Min,"B","C"))))</f>
        <v/>
      </c>
      <c r="P464" t="str">
        <f ca="1">IF(tEditais[[#This Row],[Encerramento]]&gt;NOW(),"Aberto","Encerrado")</f>
        <v>Encerrado</v>
      </c>
    </row>
    <row r="465" spans="1:16" x14ac:dyDescent="0.25">
      <c r="A465" t="s">
        <v>2516</v>
      </c>
      <c r="B465" t="s">
        <v>2517</v>
      </c>
      <c r="C465" t="s">
        <v>2518</v>
      </c>
      <c r="D465" t="s">
        <v>2496</v>
      </c>
      <c r="E465" t="s">
        <v>716</v>
      </c>
      <c r="F465" s="11">
        <v>46308.332638888889</v>
      </c>
      <c r="G465">
        <v>69</v>
      </c>
      <c r="H465" t="s">
        <v>2519</v>
      </c>
      <c r="I465" t="s">
        <v>2520</v>
      </c>
      <c r="J465" t="str">
        <f>IF(ISNUMBER(SEARCH("registro de pre",tEditais[[#This Row],[Objeto]])),"Sim","Não")</f>
        <v>Não</v>
      </c>
      <c r="K465" s="4">
        <f>COUNTIFS(tItens[Edital],tEditais[[#This Row],[Edital]])</f>
        <v>2</v>
      </c>
      <c r="L465" s="4">
        <f>COUNTIFS(tItens[Edital],tEditais[[#This Row],[Edital]],tItens[Foco],"Sim")</f>
        <v>0</v>
      </c>
      <c r="M465" s="8">
        <f>SUMIFS(tItens[Valor],tItens[Edital],tEditais[[#This Row],[Edital]])</f>
        <v>298.5</v>
      </c>
      <c r="N465" s="8">
        <f>SUMIFS(tItens[Valor homologado],tItens[Edital],tEditais[[#This Row],[Edital]],tItens[Foco],"Sim")</f>
        <v>0</v>
      </c>
      <c r="O465" t="str">
        <f>IF(tEditais[[#This Row],[Itens do foco]]=0,"",IF(tEditais[[#This Row],[Valor foco homologado]]&lt;=0,"Sem valor",IF(tEditais[[#This Row],[Valor foco homologado]]&gt;=FaixaA_Min,"A",IF(tEditais[[#This Row],[Valor foco homologado]]&gt;=FaixaB_Min,"B","C"))))</f>
        <v/>
      </c>
      <c r="P465" t="str">
        <f ca="1">IF(tEditais[[#This Row],[Encerramento]]&gt;NOW(),"Aberto","Encerrado")</f>
        <v>Encerrado</v>
      </c>
    </row>
    <row r="466" spans="1:16" x14ac:dyDescent="0.25">
      <c r="A466" t="s">
        <v>2521</v>
      </c>
      <c r="B466" t="s">
        <v>2522</v>
      </c>
      <c r="C466" t="s">
        <v>2523</v>
      </c>
      <c r="D466" t="s">
        <v>2496</v>
      </c>
      <c r="E466" t="s">
        <v>716</v>
      </c>
      <c r="F466" s="11">
        <v>46308.333333333336</v>
      </c>
      <c r="G466">
        <v>39</v>
      </c>
      <c r="I466" t="s">
        <v>2524</v>
      </c>
      <c r="J466" t="str">
        <f>IF(ISNUMBER(SEARCH("registro de pre",tEditais[[#This Row],[Objeto]])),"Sim","Não")</f>
        <v>Sim</v>
      </c>
      <c r="K466" s="4">
        <f>COUNTIFS(tItens[Edital],tEditais[[#This Row],[Edital]])</f>
        <v>7</v>
      </c>
      <c r="L466" s="4">
        <f>COUNTIFS(tItens[Edital],tEditais[[#This Row],[Edital]],tItens[Foco],"Sim")</f>
        <v>0</v>
      </c>
      <c r="M466" s="8">
        <f>SUMIFS(tItens[Valor],tItens[Edital],tEditais[[#This Row],[Edital]])</f>
        <v>0</v>
      </c>
      <c r="N466" s="8">
        <f>SUMIFS(tItens[Valor homologado],tItens[Edital],tEditais[[#This Row],[Edital]],tItens[Foco],"Sim")</f>
        <v>0</v>
      </c>
      <c r="O466" t="str">
        <f>IF(tEditais[[#This Row],[Itens do foco]]=0,"",IF(tEditais[[#This Row],[Valor foco homologado]]&lt;=0,"Sem valor",IF(tEditais[[#This Row],[Valor foco homologado]]&gt;=FaixaA_Min,"A",IF(tEditais[[#This Row],[Valor foco homologado]]&gt;=FaixaB_Min,"B","C"))))</f>
        <v/>
      </c>
      <c r="P466" t="str">
        <f ca="1">IF(tEditais[[#This Row],[Encerramento]]&gt;NOW(),"Aberto","Encerrado")</f>
        <v>Encerrado</v>
      </c>
    </row>
    <row r="467" spans="1:16" x14ac:dyDescent="0.25">
      <c r="A467" t="s">
        <v>2525</v>
      </c>
      <c r="B467" t="s">
        <v>886</v>
      </c>
      <c r="C467" t="s">
        <v>2500</v>
      </c>
      <c r="D467" t="s">
        <v>2496</v>
      </c>
      <c r="E467" t="s">
        <v>800</v>
      </c>
      <c r="F467" s="11">
        <v>46308.333333333336</v>
      </c>
      <c r="G467">
        <v>10</v>
      </c>
      <c r="H467" t="s">
        <v>2526</v>
      </c>
      <c r="I467" t="s">
        <v>2527</v>
      </c>
      <c r="J467" t="str">
        <f>IF(ISNUMBER(SEARCH("registro de pre",tEditais[[#This Row],[Objeto]])),"Sim","Não")</f>
        <v>Não</v>
      </c>
      <c r="K467" s="4">
        <f>COUNTIFS(tItens[Edital],tEditais[[#This Row],[Edital]])</f>
        <v>1</v>
      </c>
      <c r="L467" s="4">
        <f>COUNTIFS(tItens[Edital],tEditais[[#This Row],[Edital]],tItens[Foco],"Sim")</f>
        <v>0</v>
      </c>
      <c r="M467" s="8">
        <f>SUMIFS(tItens[Valor],tItens[Edital],tEditais[[#This Row],[Edital]])</f>
        <v>1245.5999999999999</v>
      </c>
      <c r="N467" s="8">
        <f>SUMIFS(tItens[Valor homologado],tItens[Edital],tEditais[[#This Row],[Edital]],tItens[Foco],"Sim")</f>
        <v>0</v>
      </c>
      <c r="O467" t="str">
        <f>IF(tEditais[[#This Row],[Itens do foco]]=0,"",IF(tEditais[[#This Row],[Valor foco homologado]]&lt;=0,"Sem valor",IF(tEditais[[#This Row],[Valor foco homologado]]&gt;=FaixaA_Min,"A",IF(tEditais[[#This Row],[Valor foco homologado]]&gt;=FaixaB_Min,"B","C"))))</f>
        <v/>
      </c>
      <c r="P467" t="str">
        <f ca="1">IF(tEditais[[#This Row],[Encerramento]]&gt;NOW(),"Aberto","Encerrado")</f>
        <v>Encerrado</v>
      </c>
    </row>
    <row r="468" spans="1:16" x14ac:dyDescent="0.25">
      <c r="A468" t="s">
        <v>2528</v>
      </c>
      <c r="B468" t="s">
        <v>2529</v>
      </c>
      <c r="C468" t="s">
        <v>2530</v>
      </c>
      <c r="D468" t="s">
        <v>2496</v>
      </c>
      <c r="E468" t="s">
        <v>716</v>
      </c>
      <c r="F468" s="11">
        <v>46308.353472222225</v>
      </c>
      <c r="G468">
        <v>14</v>
      </c>
      <c r="I468" t="s">
        <v>2531</v>
      </c>
      <c r="J468" t="str">
        <f>IF(ISNUMBER(SEARCH("registro de pre",tEditais[[#This Row],[Objeto]])),"Sim","Não")</f>
        <v>Não</v>
      </c>
      <c r="K468" s="4">
        <f>COUNTIFS(tItens[Edital],tEditais[[#This Row],[Edital]])</f>
        <v>2</v>
      </c>
      <c r="L468" s="4">
        <f>COUNTIFS(tItens[Edital],tEditais[[#This Row],[Edital]],tItens[Foco],"Sim")</f>
        <v>0</v>
      </c>
      <c r="M468" s="8">
        <f>SUMIFS(tItens[Valor],tItens[Edital],tEditais[[#This Row],[Edital]])</f>
        <v>23070</v>
      </c>
      <c r="N468" s="8">
        <f>SUMIFS(tItens[Valor homologado],tItens[Edital],tEditais[[#This Row],[Edital]],tItens[Foco],"Sim")</f>
        <v>0</v>
      </c>
      <c r="O468" t="str">
        <f>IF(tEditais[[#This Row],[Itens do foco]]=0,"",IF(tEditais[[#This Row],[Valor foco homologado]]&lt;=0,"Sem valor",IF(tEditais[[#This Row],[Valor foco homologado]]&gt;=FaixaA_Min,"A",IF(tEditais[[#This Row],[Valor foco homologado]]&gt;=FaixaB_Min,"B","C"))))</f>
        <v/>
      </c>
      <c r="P468" t="str">
        <f ca="1">IF(tEditais[[#This Row],[Encerramento]]&gt;NOW(),"Aberto","Encerrado")</f>
        <v>Encerrado</v>
      </c>
    </row>
    <row r="469" spans="1:16" x14ac:dyDescent="0.25">
      <c r="A469" t="s">
        <v>2532</v>
      </c>
      <c r="B469" t="s">
        <v>739</v>
      </c>
      <c r="C469" t="s">
        <v>2533</v>
      </c>
      <c r="D469" t="s">
        <v>2496</v>
      </c>
      <c r="E469" t="s">
        <v>716</v>
      </c>
      <c r="F469" s="11">
        <v>46308.374305555553</v>
      </c>
      <c r="G469">
        <v>70</v>
      </c>
      <c r="H469" t="s">
        <v>2534</v>
      </c>
      <c r="I469" t="s">
        <v>2535</v>
      </c>
      <c r="J469" t="str">
        <f>IF(ISNUMBER(SEARCH("registro de pre",tEditais[[#This Row],[Objeto]])),"Sim","Não")</f>
        <v>Não</v>
      </c>
      <c r="K469" s="4">
        <f>COUNTIFS(tItens[Edital],tEditais[[#This Row],[Edital]])</f>
        <v>8</v>
      </c>
      <c r="L469" s="4">
        <f>COUNTIFS(tItens[Edital],tEditais[[#This Row],[Edital]],tItens[Foco],"Sim")</f>
        <v>0</v>
      </c>
      <c r="M469" s="8">
        <f>SUMIFS(tItens[Valor],tItens[Edital],tEditais[[#This Row],[Edital]])</f>
        <v>0</v>
      </c>
      <c r="N469" s="8">
        <f>SUMIFS(tItens[Valor homologado],tItens[Edital],tEditais[[#This Row],[Edital]],tItens[Foco],"Sim")</f>
        <v>0</v>
      </c>
      <c r="O469" t="str">
        <f>IF(tEditais[[#This Row],[Itens do foco]]=0,"",IF(tEditais[[#This Row],[Valor foco homologado]]&lt;=0,"Sem valor",IF(tEditais[[#This Row],[Valor foco homologado]]&gt;=FaixaA_Min,"A",IF(tEditais[[#This Row],[Valor foco homologado]]&gt;=FaixaB_Min,"B","C"))))</f>
        <v/>
      </c>
      <c r="P469" t="str">
        <f ca="1">IF(tEditais[[#This Row],[Encerramento]]&gt;NOW(),"Aberto","Encerrado")</f>
        <v>Encerrado</v>
      </c>
    </row>
    <row r="470" spans="1:16" x14ac:dyDescent="0.25">
      <c r="A470" t="s">
        <v>2536</v>
      </c>
      <c r="B470" t="s">
        <v>886</v>
      </c>
      <c r="C470" t="s">
        <v>2533</v>
      </c>
      <c r="D470" t="s">
        <v>2496</v>
      </c>
      <c r="E470" t="s">
        <v>716</v>
      </c>
      <c r="F470" s="11">
        <v>46308.375</v>
      </c>
      <c r="G470">
        <v>84</v>
      </c>
      <c r="H470" t="s">
        <v>2537</v>
      </c>
      <c r="I470" t="s">
        <v>2538</v>
      </c>
      <c r="J470" t="str">
        <f>IF(ISNUMBER(SEARCH("registro de pre",tEditais[[#This Row],[Objeto]])),"Sim","Não")</f>
        <v>Não</v>
      </c>
      <c r="K470" s="4">
        <f>COUNTIFS(tItens[Edital],tEditais[[#This Row],[Edital]])</f>
        <v>19</v>
      </c>
      <c r="L470" s="4">
        <f>COUNTIFS(tItens[Edital],tEditais[[#This Row],[Edital]],tItens[Foco],"Sim")</f>
        <v>1</v>
      </c>
      <c r="M470" s="8">
        <f>SUMIFS(tItens[Valor],tItens[Edital],tEditais[[#This Row],[Edital]])</f>
        <v>30475.07</v>
      </c>
      <c r="N470" s="8">
        <f>SUMIFS(tItens[Valor homologado],tItens[Edital],tEditais[[#This Row],[Edital]],tItens[Foco],"Sim")</f>
        <v>387.24839999999995</v>
      </c>
      <c r="O470" t="str">
        <f>IF(tEditais[[#This Row],[Itens do foco]]=0,"",IF(tEditais[[#This Row],[Valor foco homologado]]&lt;=0,"Sem valor",IF(tEditais[[#This Row],[Valor foco homologado]]&gt;=FaixaA_Min,"A",IF(tEditais[[#This Row],[Valor foco homologado]]&gt;=FaixaB_Min,"B","C"))))</f>
        <v>C</v>
      </c>
      <c r="P470" t="str">
        <f ca="1">IF(tEditais[[#This Row],[Encerramento]]&gt;NOW(),"Aberto","Encerrado")</f>
        <v>Encerrado</v>
      </c>
    </row>
    <row r="471" spans="1:16" x14ac:dyDescent="0.25">
      <c r="A471" t="s">
        <v>2539</v>
      </c>
      <c r="B471" t="s">
        <v>2540</v>
      </c>
      <c r="C471" t="s">
        <v>2541</v>
      </c>
      <c r="D471" t="s">
        <v>2496</v>
      </c>
      <c r="E471" t="s">
        <v>716</v>
      </c>
      <c r="F471" s="11">
        <v>46308.375</v>
      </c>
      <c r="G471">
        <v>200</v>
      </c>
      <c r="I471" t="s">
        <v>2542</v>
      </c>
      <c r="J471" t="str">
        <f>IF(ISNUMBER(SEARCH("registro de pre",tEditais[[#This Row],[Objeto]])),"Sim","Não")</f>
        <v>Sim</v>
      </c>
      <c r="K471" s="4">
        <f>COUNTIFS(tItens[Edital],tEditais[[#This Row],[Edital]])</f>
        <v>5</v>
      </c>
      <c r="L471" s="4">
        <f>COUNTIFS(tItens[Edital],tEditais[[#This Row],[Edital]],tItens[Foco],"Sim")</f>
        <v>0</v>
      </c>
      <c r="M471" s="8">
        <f>SUMIFS(tItens[Valor],tItens[Edital],tEditais[[#This Row],[Edital]])</f>
        <v>43950</v>
      </c>
      <c r="N471" s="8">
        <f>SUMIFS(tItens[Valor homologado],tItens[Edital],tEditais[[#This Row],[Edital]],tItens[Foco],"Sim")</f>
        <v>0</v>
      </c>
      <c r="O471" t="str">
        <f>IF(tEditais[[#This Row],[Itens do foco]]=0,"",IF(tEditais[[#This Row],[Valor foco homologado]]&lt;=0,"Sem valor",IF(tEditais[[#This Row],[Valor foco homologado]]&gt;=FaixaA_Min,"A",IF(tEditais[[#This Row],[Valor foco homologado]]&gt;=FaixaB_Min,"B","C"))))</f>
        <v/>
      </c>
      <c r="P471" t="str">
        <f ca="1">IF(tEditais[[#This Row],[Encerramento]]&gt;NOW(),"Aberto","Encerrado")</f>
        <v>Encerrado</v>
      </c>
    </row>
    <row r="472" spans="1:16" x14ac:dyDescent="0.25">
      <c r="A472" t="s">
        <v>2543</v>
      </c>
      <c r="B472" t="s">
        <v>2544</v>
      </c>
      <c r="C472" t="s">
        <v>2500</v>
      </c>
      <c r="D472" t="s">
        <v>2496</v>
      </c>
      <c r="E472" t="s">
        <v>716</v>
      </c>
      <c r="F472" s="11">
        <v>46308.375</v>
      </c>
      <c r="G472">
        <v>7</v>
      </c>
      <c r="H472" t="s">
        <v>2545</v>
      </c>
      <c r="I472" t="s">
        <v>2546</v>
      </c>
      <c r="J472" t="str">
        <f>IF(ISNUMBER(SEARCH("registro de pre",tEditais[[#This Row],[Objeto]])),"Sim","Não")</f>
        <v>Não</v>
      </c>
      <c r="K472" s="4">
        <f>COUNTIFS(tItens[Edital],tEditais[[#This Row],[Edital]])</f>
        <v>1</v>
      </c>
      <c r="L472" s="4">
        <f>COUNTIFS(tItens[Edital],tEditais[[#This Row],[Edital]],tItens[Foco],"Sim")</f>
        <v>0</v>
      </c>
      <c r="M472" s="8">
        <f>SUMIFS(tItens[Valor],tItens[Edital],tEditais[[#This Row],[Edital]])</f>
        <v>179650</v>
      </c>
      <c r="N472" s="8">
        <f>SUMIFS(tItens[Valor homologado],tItens[Edital],tEditais[[#This Row],[Edital]],tItens[Foco],"Sim")</f>
        <v>0</v>
      </c>
      <c r="O472" t="str">
        <f>IF(tEditais[[#This Row],[Itens do foco]]=0,"",IF(tEditais[[#This Row],[Valor foco homologado]]&lt;=0,"Sem valor",IF(tEditais[[#This Row],[Valor foco homologado]]&gt;=FaixaA_Min,"A",IF(tEditais[[#This Row],[Valor foco homologado]]&gt;=FaixaB_Min,"B","C"))))</f>
        <v/>
      </c>
      <c r="P472" t="str">
        <f ca="1">IF(tEditais[[#This Row],[Encerramento]]&gt;NOW(),"Aberto","Encerrado")</f>
        <v>Encerrado</v>
      </c>
    </row>
    <row r="473" spans="1:16" x14ac:dyDescent="0.25">
      <c r="A473" t="s">
        <v>2547</v>
      </c>
      <c r="B473" t="s">
        <v>739</v>
      </c>
      <c r="C473" t="s">
        <v>2548</v>
      </c>
      <c r="D473" t="s">
        <v>2496</v>
      </c>
      <c r="E473" t="s">
        <v>716</v>
      </c>
      <c r="F473" s="11">
        <v>46308.416666666664</v>
      </c>
      <c r="G473">
        <v>64</v>
      </c>
      <c r="H473" t="s">
        <v>2549</v>
      </c>
      <c r="I473" t="s">
        <v>2550</v>
      </c>
      <c r="J473" t="str">
        <f>IF(ISNUMBER(SEARCH("registro de pre",tEditais[[#This Row],[Objeto]])),"Sim","Não")</f>
        <v>Sim</v>
      </c>
      <c r="K473" s="4">
        <f>COUNTIFS(tItens[Edital],tEditais[[#This Row],[Edital]])</f>
        <v>5</v>
      </c>
      <c r="L473" s="4">
        <f>COUNTIFS(tItens[Edital],tEditais[[#This Row],[Edital]],tItens[Foco],"Sim")</f>
        <v>1</v>
      </c>
      <c r="M473" s="8">
        <f>SUMIFS(tItens[Valor],tItens[Edital],tEditais[[#This Row],[Edital]])</f>
        <v>0</v>
      </c>
      <c r="N473" s="8">
        <f>SUMIFS(tItens[Valor homologado],tItens[Edital],tEditais[[#This Row],[Edital]],tItens[Foco],"Sim")</f>
        <v>0</v>
      </c>
      <c r="O473" t="str">
        <f>IF(tEditais[[#This Row],[Itens do foco]]=0,"",IF(tEditais[[#This Row],[Valor foco homologado]]&lt;=0,"Sem valor",IF(tEditais[[#This Row],[Valor foco homologado]]&gt;=FaixaA_Min,"A",IF(tEditais[[#This Row],[Valor foco homologado]]&gt;=FaixaB_Min,"B","C"))))</f>
        <v>Sem valor</v>
      </c>
      <c r="P473" t="str">
        <f ca="1">IF(tEditais[[#This Row],[Encerramento]]&gt;NOW(),"Aberto","Encerrado")</f>
        <v>Encerrado</v>
      </c>
    </row>
    <row r="474" spans="1:16" x14ac:dyDescent="0.25">
      <c r="A474" t="s">
        <v>2551</v>
      </c>
      <c r="B474" t="s">
        <v>2552</v>
      </c>
      <c r="C474" t="s">
        <v>2553</v>
      </c>
      <c r="D474" t="s">
        <v>2496</v>
      </c>
      <c r="E474" t="s">
        <v>716</v>
      </c>
      <c r="F474" s="11">
        <v>46309.333333333336</v>
      </c>
      <c r="G474">
        <v>115</v>
      </c>
      <c r="H474" t="s">
        <v>2554</v>
      </c>
      <c r="I474" t="s">
        <v>2555</v>
      </c>
      <c r="J474" t="str">
        <f>IF(ISNUMBER(SEARCH("registro de pre",tEditais[[#This Row],[Objeto]])),"Sim","Não")</f>
        <v>Sim</v>
      </c>
      <c r="K474" s="4">
        <f>COUNTIFS(tItens[Edital],tEditais[[#This Row],[Edital]])</f>
        <v>41</v>
      </c>
      <c r="L474" s="4">
        <f>COUNTIFS(tItens[Edital],tEditais[[#This Row],[Edital]],tItens[Foco],"Sim")</f>
        <v>7</v>
      </c>
      <c r="M474" s="8">
        <f>SUMIFS(tItens[Valor],tItens[Edital],tEditais[[#This Row],[Edital]])</f>
        <v>575289.75</v>
      </c>
      <c r="N474" s="8">
        <f>SUMIFS(tItens[Valor homologado],tItens[Edital],tEditais[[#This Row],[Edital]],tItens[Foco],"Sim")</f>
        <v>42853.854999999996</v>
      </c>
      <c r="O474" t="str">
        <f>IF(tEditais[[#This Row],[Itens do foco]]=0,"",IF(tEditais[[#This Row],[Valor foco homologado]]&lt;=0,"Sem valor",IF(tEditais[[#This Row],[Valor foco homologado]]&gt;=FaixaA_Min,"A",IF(tEditais[[#This Row],[Valor foco homologado]]&gt;=FaixaB_Min,"B","C"))))</f>
        <v>C</v>
      </c>
      <c r="P474" t="str">
        <f ca="1">IF(tEditais[[#This Row],[Encerramento]]&gt;NOW(),"Aberto","Encerrado")</f>
        <v>Encerrado</v>
      </c>
    </row>
    <row r="475" spans="1:16" x14ac:dyDescent="0.25">
      <c r="A475" t="s">
        <v>2556</v>
      </c>
      <c r="B475" t="s">
        <v>2557</v>
      </c>
      <c r="C475" t="s">
        <v>2500</v>
      </c>
      <c r="D475" t="s">
        <v>2496</v>
      </c>
      <c r="E475" t="s">
        <v>800</v>
      </c>
      <c r="F475" s="11">
        <v>46309.395833333336</v>
      </c>
      <c r="G475">
        <v>1</v>
      </c>
      <c r="H475" t="s">
        <v>2558</v>
      </c>
      <c r="I475" t="s">
        <v>2559</v>
      </c>
      <c r="J475" t="str">
        <f>IF(ISNUMBER(SEARCH("registro de pre",tEditais[[#This Row],[Objeto]])),"Sim","Não")</f>
        <v>Não</v>
      </c>
      <c r="K475" s="4">
        <f>COUNTIFS(tItens[Edital],tEditais[[#This Row],[Edital]])</f>
        <v>1</v>
      </c>
      <c r="L475" s="4">
        <f>COUNTIFS(tItens[Edital],tEditais[[#This Row],[Edital]],tItens[Foco],"Sim")</f>
        <v>0</v>
      </c>
      <c r="M475" s="8">
        <f>SUMIFS(tItens[Valor],tItens[Edital],tEditais[[#This Row],[Edital]])</f>
        <v>520</v>
      </c>
      <c r="N475" s="8">
        <f>SUMIFS(tItens[Valor homologado],tItens[Edital],tEditais[[#This Row],[Edital]],tItens[Foco],"Sim")</f>
        <v>0</v>
      </c>
      <c r="O475" t="str">
        <f>IF(tEditais[[#This Row],[Itens do foco]]=0,"",IF(tEditais[[#This Row],[Valor foco homologado]]&lt;=0,"Sem valor",IF(tEditais[[#This Row],[Valor foco homologado]]&gt;=FaixaA_Min,"A",IF(tEditais[[#This Row],[Valor foco homologado]]&gt;=FaixaB_Min,"B","C"))))</f>
        <v/>
      </c>
      <c r="P475" t="str">
        <f ca="1">IF(tEditais[[#This Row],[Encerramento]]&gt;NOW(),"Aberto","Encerrado")</f>
        <v>Encerrado</v>
      </c>
    </row>
    <row r="476" spans="1:16" x14ac:dyDescent="0.25">
      <c r="A476" t="s">
        <v>2560</v>
      </c>
      <c r="B476" t="s">
        <v>2561</v>
      </c>
      <c r="C476" t="s">
        <v>2562</v>
      </c>
      <c r="D476" t="s">
        <v>2496</v>
      </c>
      <c r="E476" t="s">
        <v>716</v>
      </c>
      <c r="F476" s="11">
        <v>46309.561805555553</v>
      </c>
      <c r="G476">
        <v>269</v>
      </c>
      <c r="I476" t="s">
        <v>2563</v>
      </c>
      <c r="J476" t="str">
        <f>IF(ISNUMBER(SEARCH("registro de pre",tEditais[[#This Row],[Objeto]])),"Sim","Não")</f>
        <v>Não</v>
      </c>
      <c r="K476" s="4">
        <f>COUNTIFS(tItens[Edital],tEditais[[#This Row],[Edital]])</f>
        <v>24</v>
      </c>
      <c r="L476" s="4">
        <f>COUNTIFS(tItens[Edital],tEditais[[#This Row],[Edital]],tItens[Foco],"Sim")</f>
        <v>7</v>
      </c>
      <c r="M476" s="8">
        <f>SUMIFS(tItens[Valor],tItens[Edital],tEditais[[#This Row],[Edital]])</f>
        <v>28284.6</v>
      </c>
      <c r="N476" s="8">
        <f>SUMIFS(tItens[Valor homologado],tItens[Edital],tEditais[[#This Row],[Edital]],tItens[Foco],"Sim")</f>
        <v>4305.34</v>
      </c>
      <c r="O476" t="str">
        <f>IF(tEditais[[#This Row],[Itens do foco]]=0,"",IF(tEditais[[#This Row],[Valor foco homologado]]&lt;=0,"Sem valor",IF(tEditais[[#This Row],[Valor foco homologado]]&gt;=FaixaA_Min,"A",IF(tEditais[[#This Row],[Valor foco homologado]]&gt;=FaixaB_Min,"B","C"))))</f>
        <v>C</v>
      </c>
      <c r="P476" t="str">
        <f ca="1">IF(tEditais[[#This Row],[Encerramento]]&gt;NOW(),"Aberto","Encerrado")</f>
        <v>Encerrado</v>
      </c>
    </row>
    <row r="477" spans="1:16" x14ac:dyDescent="0.25">
      <c r="A477" t="s">
        <v>2564</v>
      </c>
      <c r="B477" t="s">
        <v>2565</v>
      </c>
      <c r="C477" t="s">
        <v>2500</v>
      </c>
      <c r="D477" t="s">
        <v>2496</v>
      </c>
      <c r="E477" t="s">
        <v>716</v>
      </c>
      <c r="F477" s="11">
        <v>46309.604166666664</v>
      </c>
      <c r="G477">
        <v>15</v>
      </c>
      <c r="H477" t="s">
        <v>2566</v>
      </c>
      <c r="I477" t="s">
        <v>2567</v>
      </c>
      <c r="J477" t="str">
        <f>IF(ISNUMBER(SEARCH("registro de pre",tEditais[[#This Row],[Objeto]])),"Sim","Não")</f>
        <v>Não</v>
      </c>
      <c r="K477" s="4">
        <f>COUNTIFS(tItens[Edital],tEditais[[#This Row],[Edital]])</f>
        <v>4</v>
      </c>
      <c r="L477" s="4">
        <f>COUNTIFS(tItens[Edital],tEditais[[#This Row],[Edital]],tItens[Foco],"Sim")</f>
        <v>1</v>
      </c>
      <c r="M477" s="8">
        <f>SUMIFS(tItens[Valor],tItens[Edital],tEditais[[#This Row],[Edital]])</f>
        <v>633.66</v>
      </c>
      <c r="N477" s="8">
        <f>SUMIFS(tItens[Valor homologado],tItens[Edital],tEditais[[#This Row],[Edital]],tItens[Foco],"Sim")</f>
        <v>92.46</v>
      </c>
      <c r="O477" t="str">
        <f>IF(tEditais[[#This Row],[Itens do foco]]=0,"",IF(tEditais[[#This Row],[Valor foco homologado]]&lt;=0,"Sem valor",IF(tEditais[[#This Row],[Valor foco homologado]]&gt;=FaixaA_Min,"A",IF(tEditais[[#This Row],[Valor foco homologado]]&gt;=FaixaB_Min,"B","C"))))</f>
        <v>C</v>
      </c>
      <c r="P477" t="str">
        <f ca="1">IF(tEditais[[#This Row],[Encerramento]]&gt;NOW(),"Aberto","Encerrado")</f>
        <v>Encerrado</v>
      </c>
    </row>
    <row r="478" spans="1:16" x14ac:dyDescent="0.25">
      <c r="A478" t="s">
        <v>2568</v>
      </c>
      <c r="B478" t="s">
        <v>2569</v>
      </c>
      <c r="C478" t="s">
        <v>2570</v>
      </c>
      <c r="D478" t="s">
        <v>2496</v>
      </c>
      <c r="E478" t="s">
        <v>716</v>
      </c>
      <c r="F478" s="11">
        <v>46310.333333333336</v>
      </c>
      <c r="G478">
        <v>79</v>
      </c>
      <c r="I478" t="s">
        <v>2571</v>
      </c>
      <c r="J478" t="str">
        <f>IF(ISNUMBER(SEARCH("registro de pre",tEditais[[#This Row],[Objeto]])),"Sim","Não")</f>
        <v>Sim</v>
      </c>
      <c r="K478" s="4">
        <f>COUNTIFS(tItens[Edital],tEditais[[#This Row],[Edital]])</f>
        <v>4</v>
      </c>
      <c r="L478" s="4">
        <f>COUNTIFS(tItens[Edital],tEditais[[#This Row],[Edital]],tItens[Foco],"Sim")</f>
        <v>3</v>
      </c>
      <c r="M478" s="8">
        <f>SUMIFS(tItens[Valor],tItens[Edital],tEditais[[#This Row],[Edital]])</f>
        <v>9623.2000000000007</v>
      </c>
      <c r="N478" s="8">
        <f>SUMIFS(tItens[Valor homologado],tItens[Edital],tEditais[[#This Row],[Edital]],tItens[Foco],"Sim")</f>
        <v>1118.172</v>
      </c>
      <c r="O478" t="str">
        <f>IF(tEditais[[#This Row],[Itens do foco]]=0,"",IF(tEditais[[#This Row],[Valor foco homologado]]&lt;=0,"Sem valor",IF(tEditais[[#This Row],[Valor foco homologado]]&gt;=FaixaA_Min,"A",IF(tEditais[[#This Row],[Valor foco homologado]]&gt;=FaixaB_Min,"B","C"))))</f>
        <v>C</v>
      </c>
      <c r="P478" t="str">
        <f ca="1">IF(tEditais[[#This Row],[Encerramento]]&gt;NOW(),"Aberto","Encerrado")</f>
        <v>Encerrado</v>
      </c>
    </row>
    <row r="479" spans="1:16" x14ac:dyDescent="0.25">
      <c r="A479" t="s">
        <v>2572</v>
      </c>
      <c r="B479" t="s">
        <v>2573</v>
      </c>
      <c r="C479" t="s">
        <v>2574</v>
      </c>
      <c r="D479" t="s">
        <v>2496</v>
      </c>
      <c r="E479" t="s">
        <v>716</v>
      </c>
      <c r="F479" s="11">
        <v>46310.354166666664</v>
      </c>
      <c r="G479">
        <v>166</v>
      </c>
      <c r="I479" t="s">
        <v>2575</v>
      </c>
      <c r="J479" t="str">
        <f>IF(ISNUMBER(SEARCH("registro de pre",tEditais[[#This Row],[Objeto]])),"Sim","Não")</f>
        <v>Não</v>
      </c>
      <c r="K479" s="4">
        <f>COUNTIFS(tItens[Edital],tEditais[[#This Row],[Edital]])</f>
        <v>57</v>
      </c>
      <c r="L479" s="4">
        <f>COUNTIFS(tItens[Edital],tEditais[[#This Row],[Edital]],tItens[Foco],"Sim")</f>
        <v>6</v>
      </c>
      <c r="M479" s="8">
        <f>SUMIFS(tItens[Valor],tItens[Edital],tEditais[[#This Row],[Edital]])</f>
        <v>77598.709999999992</v>
      </c>
      <c r="N479" s="8">
        <f>SUMIFS(tItens[Valor homologado],tItens[Edital],tEditais[[#This Row],[Edital]],tItens[Foco],"Sim")</f>
        <v>10515.921199999997</v>
      </c>
      <c r="O479" t="str">
        <f>IF(tEditais[[#This Row],[Itens do foco]]=0,"",IF(tEditais[[#This Row],[Valor foco homologado]]&lt;=0,"Sem valor",IF(tEditais[[#This Row],[Valor foco homologado]]&gt;=FaixaA_Min,"A",IF(tEditais[[#This Row],[Valor foco homologado]]&gt;=FaixaB_Min,"B","C"))))</f>
        <v>C</v>
      </c>
      <c r="P479" t="str">
        <f ca="1">IF(tEditais[[#This Row],[Encerramento]]&gt;NOW(),"Aberto","Encerrado")</f>
        <v>Encerrado</v>
      </c>
    </row>
    <row r="480" spans="1:16" x14ac:dyDescent="0.25">
      <c r="A480" t="s">
        <v>2576</v>
      </c>
      <c r="B480" t="s">
        <v>739</v>
      </c>
      <c r="C480" t="s">
        <v>2533</v>
      </c>
      <c r="D480" t="s">
        <v>2496</v>
      </c>
      <c r="E480" t="s">
        <v>716</v>
      </c>
      <c r="F480" s="11">
        <v>46310.374305555553</v>
      </c>
      <c r="G480">
        <v>27</v>
      </c>
      <c r="H480" t="s">
        <v>2577</v>
      </c>
      <c r="I480" t="s">
        <v>2578</v>
      </c>
      <c r="J480" t="str">
        <f>IF(ISNUMBER(SEARCH("registro de pre",tEditais[[#This Row],[Objeto]])),"Sim","Não")</f>
        <v>Não</v>
      </c>
      <c r="K480" s="4">
        <f>COUNTIFS(tItens[Edital],tEditais[[#This Row],[Edital]])</f>
        <v>1</v>
      </c>
      <c r="L480" s="4">
        <f>COUNTIFS(tItens[Edital],tEditais[[#This Row],[Edital]],tItens[Foco],"Sim")</f>
        <v>0</v>
      </c>
      <c r="M480" s="8">
        <f>SUMIFS(tItens[Valor],tItens[Edital],tEditais[[#This Row],[Edital]])</f>
        <v>0</v>
      </c>
      <c r="N480" s="8">
        <f>SUMIFS(tItens[Valor homologado],tItens[Edital],tEditais[[#This Row],[Edital]],tItens[Foco],"Sim")</f>
        <v>0</v>
      </c>
      <c r="O480" t="str">
        <f>IF(tEditais[[#This Row],[Itens do foco]]=0,"",IF(tEditais[[#This Row],[Valor foco homologado]]&lt;=0,"Sem valor",IF(tEditais[[#This Row],[Valor foco homologado]]&gt;=FaixaA_Min,"A",IF(tEditais[[#This Row],[Valor foco homologado]]&gt;=FaixaB_Min,"B","C"))))</f>
        <v/>
      </c>
      <c r="P480" t="str">
        <f ca="1">IF(tEditais[[#This Row],[Encerramento]]&gt;NOW(),"Aberto","Encerrado")</f>
        <v>Encerrado</v>
      </c>
    </row>
    <row r="481" spans="1:16" x14ac:dyDescent="0.25">
      <c r="A481" t="s">
        <v>2579</v>
      </c>
      <c r="B481" t="s">
        <v>2580</v>
      </c>
      <c r="C481" t="s">
        <v>2581</v>
      </c>
      <c r="D481" t="s">
        <v>2496</v>
      </c>
      <c r="E481" t="s">
        <v>716</v>
      </c>
      <c r="F481" s="11">
        <v>46310.374305555553</v>
      </c>
      <c r="G481">
        <v>83</v>
      </c>
      <c r="I481" t="s">
        <v>2582</v>
      </c>
      <c r="J481" t="str">
        <f>IF(ISNUMBER(SEARCH("registro de pre",tEditais[[#This Row],[Objeto]])),"Sim","Não")</f>
        <v>Sim</v>
      </c>
      <c r="K481" s="4">
        <f>COUNTIFS(tItens[Edital],tEditais[[#This Row],[Edital]])</f>
        <v>27</v>
      </c>
      <c r="L481" s="4">
        <f>COUNTIFS(tItens[Edital],tEditais[[#This Row],[Edital]],tItens[Foco],"Sim")</f>
        <v>5</v>
      </c>
      <c r="M481" s="8">
        <f>SUMIFS(tItens[Valor],tItens[Edital],tEditais[[#This Row],[Edital]])</f>
        <v>73227.100000000006</v>
      </c>
      <c r="N481" s="8">
        <f>SUMIFS(tItens[Valor homologado],tItens[Edital],tEditais[[#This Row],[Edital]],tItens[Foco],"Sim")</f>
        <v>11053.7</v>
      </c>
      <c r="O481" t="str">
        <f>IF(tEditais[[#This Row],[Itens do foco]]=0,"",IF(tEditais[[#This Row],[Valor foco homologado]]&lt;=0,"Sem valor",IF(tEditais[[#This Row],[Valor foco homologado]]&gt;=FaixaA_Min,"A",IF(tEditais[[#This Row],[Valor foco homologado]]&gt;=FaixaB_Min,"B","C"))))</f>
        <v>C</v>
      </c>
      <c r="P481" t="str">
        <f ca="1">IF(tEditais[[#This Row],[Encerramento]]&gt;NOW(),"Aberto","Encerrado")</f>
        <v>Encerrado</v>
      </c>
    </row>
    <row r="482" spans="1:16" x14ac:dyDescent="0.25">
      <c r="A482" t="s">
        <v>2583</v>
      </c>
      <c r="B482" t="s">
        <v>739</v>
      </c>
      <c r="C482" t="s">
        <v>2508</v>
      </c>
      <c r="D482" t="s">
        <v>2496</v>
      </c>
      <c r="E482" t="s">
        <v>716</v>
      </c>
      <c r="F482" s="11">
        <v>46310.375</v>
      </c>
      <c r="G482">
        <v>59</v>
      </c>
      <c r="H482" t="s">
        <v>2584</v>
      </c>
      <c r="I482" t="s">
        <v>2585</v>
      </c>
      <c r="J482" t="str">
        <f>IF(ISNUMBER(SEARCH("registro de pre",tEditais[[#This Row],[Objeto]])),"Sim","Não")</f>
        <v>Não</v>
      </c>
      <c r="K482" s="4">
        <f>COUNTIFS(tItens[Edital],tEditais[[#This Row],[Edital]])</f>
        <v>9</v>
      </c>
      <c r="L482" s="4">
        <f>COUNTIFS(tItens[Edital],tEditais[[#This Row],[Edital]],tItens[Foco],"Sim")</f>
        <v>0</v>
      </c>
      <c r="M482" s="8">
        <f>SUMIFS(tItens[Valor],tItens[Edital],tEditais[[#This Row],[Edital]])</f>
        <v>0</v>
      </c>
      <c r="N482" s="8">
        <f>SUMIFS(tItens[Valor homologado],tItens[Edital],tEditais[[#This Row],[Edital]],tItens[Foco],"Sim")</f>
        <v>0</v>
      </c>
      <c r="O482" t="str">
        <f>IF(tEditais[[#This Row],[Itens do foco]]=0,"",IF(tEditais[[#This Row],[Valor foco homologado]]&lt;=0,"Sem valor",IF(tEditais[[#This Row],[Valor foco homologado]]&gt;=FaixaA_Min,"A",IF(tEditais[[#This Row],[Valor foco homologado]]&gt;=FaixaB_Min,"B","C"))))</f>
        <v/>
      </c>
      <c r="P482" t="str">
        <f ca="1">IF(tEditais[[#This Row],[Encerramento]]&gt;NOW(),"Aberto","Encerrado")</f>
        <v>Encerrado</v>
      </c>
    </row>
    <row r="483" spans="1:16" x14ac:dyDescent="0.25">
      <c r="A483" t="s">
        <v>2586</v>
      </c>
      <c r="B483" t="s">
        <v>2587</v>
      </c>
      <c r="C483" t="s">
        <v>2588</v>
      </c>
      <c r="D483" t="s">
        <v>2496</v>
      </c>
      <c r="E483" t="s">
        <v>716</v>
      </c>
      <c r="F483" s="11">
        <v>46310.375</v>
      </c>
      <c r="G483">
        <v>112</v>
      </c>
      <c r="H483" t="s">
        <v>2589</v>
      </c>
      <c r="I483" t="s">
        <v>2590</v>
      </c>
      <c r="J483" t="str">
        <f>IF(ISNUMBER(SEARCH("registro de pre",tEditais[[#This Row],[Objeto]])),"Sim","Não")</f>
        <v>Sim</v>
      </c>
      <c r="K483" s="4">
        <f>COUNTIFS(tItens[Edital],tEditais[[#This Row],[Edital]])</f>
        <v>3</v>
      </c>
      <c r="L483" s="4">
        <f>COUNTIFS(tItens[Edital],tEditais[[#This Row],[Edital]],tItens[Foco],"Sim")</f>
        <v>0</v>
      </c>
      <c r="M483" s="8">
        <f>SUMIFS(tItens[Valor],tItens[Edital],tEditais[[#This Row],[Edital]])</f>
        <v>17300</v>
      </c>
      <c r="N483" s="8">
        <f>SUMIFS(tItens[Valor homologado],tItens[Edital],tEditais[[#This Row],[Edital]],tItens[Foco],"Sim")</f>
        <v>0</v>
      </c>
      <c r="O483" t="str">
        <f>IF(tEditais[[#This Row],[Itens do foco]]=0,"",IF(tEditais[[#This Row],[Valor foco homologado]]&lt;=0,"Sem valor",IF(tEditais[[#This Row],[Valor foco homologado]]&gt;=FaixaA_Min,"A",IF(tEditais[[#This Row],[Valor foco homologado]]&gt;=FaixaB_Min,"B","C"))))</f>
        <v/>
      </c>
      <c r="P483" t="str">
        <f ca="1">IF(tEditais[[#This Row],[Encerramento]]&gt;NOW(),"Aberto","Encerrado")</f>
        <v>Encerrado</v>
      </c>
    </row>
    <row r="484" spans="1:16" x14ac:dyDescent="0.25">
      <c r="A484" t="s">
        <v>2591</v>
      </c>
      <c r="B484" t="s">
        <v>739</v>
      </c>
      <c r="C484" t="s">
        <v>2508</v>
      </c>
      <c r="D484" t="s">
        <v>2496</v>
      </c>
      <c r="E484" t="s">
        <v>716</v>
      </c>
      <c r="F484" s="11">
        <v>46310.375</v>
      </c>
      <c r="G484">
        <v>41</v>
      </c>
      <c r="H484" t="s">
        <v>2592</v>
      </c>
      <c r="I484" t="s">
        <v>2593</v>
      </c>
      <c r="J484" t="str">
        <f>IF(ISNUMBER(SEARCH("registro de pre",tEditais[[#This Row],[Objeto]])),"Sim","Não")</f>
        <v>Não</v>
      </c>
      <c r="K484" s="4">
        <f>COUNTIFS(tItens[Edital],tEditais[[#This Row],[Edital]])</f>
        <v>14</v>
      </c>
      <c r="L484" s="4">
        <f>COUNTIFS(tItens[Edital],tEditais[[#This Row],[Edital]],tItens[Foco],"Sim")</f>
        <v>7</v>
      </c>
      <c r="M484" s="8">
        <f>SUMIFS(tItens[Valor],tItens[Edital],tEditais[[#This Row],[Edital]])</f>
        <v>0</v>
      </c>
      <c r="N484" s="8">
        <f>SUMIFS(tItens[Valor homologado],tItens[Edital],tEditais[[#This Row],[Edital]],tItens[Foco],"Sim")</f>
        <v>0</v>
      </c>
      <c r="O484" t="str">
        <f>IF(tEditais[[#This Row],[Itens do foco]]=0,"",IF(tEditais[[#This Row],[Valor foco homologado]]&lt;=0,"Sem valor",IF(tEditais[[#This Row],[Valor foco homologado]]&gt;=FaixaA_Min,"A",IF(tEditais[[#This Row],[Valor foco homologado]]&gt;=FaixaB_Min,"B","C"))))</f>
        <v>Sem valor</v>
      </c>
      <c r="P484" t="str">
        <f ca="1">IF(tEditais[[#This Row],[Encerramento]]&gt;NOW(),"Aberto","Encerrado")</f>
        <v>Encerrado</v>
      </c>
    </row>
    <row r="485" spans="1:16" x14ac:dyDescent="0.25">
      <c r="A485" t="s">
        <v>2594</v>
      </c>
      <c r="B485" t="s">
        <v>2544</v>
      </c>
      <c r="C485" t="s">
        <v>2500</v>
      </c>
      <c r="D485" t="s">
        <v>2496</v>
      </c>
      <c r="E485" t="s">
        <v>716</v>
      </c>
      <c r="F485" s="11">
        <v>46310.375</v>
      </c>
      <c r="G485">
        <v>18</v>
      </c>
      <c r="H485" t="s">
        <v>2595</v>
      </c>
      <c r="I485" t="s">
        <v>2596</v>
      </c>
      <c r="J485" t="str">
        <f>IF(ISNUMBER(SEARCH("registro de pre",tEditais[[#This Row],[Objeto]])),"Sim","Não")</f>
        <v>Não</v>
      </c>
      <c r="K485" s="4">
        <f>COUNTIFS(tItens[Edital],tEditais[[#This Row],[Edital]])</f>
        <v>2</v>
      </c>
      <c r="L485" s="4">
        <f>COUNTIFS(tItens[Edital],tEditais[[#This Row],[Edital]],tItens[Foco],"Sim")</f>
        <v>0</v>
      </c>
      <c r="M485" s="8">
        <f>SUMIFS(tItens[Valor],tItens[Edital],tEditais[[#This Row],[Edital]])</f>
        <v>1035.3600000000001</v>
      </c>
      <c r="N485" s="8">
        <f>SUMIFS(tItens[Valor homologado],tItens[Edital],tEditais[[#This Row],[Edital]],tItens[Foco],"Sim")</f>
        <v>0</v>
      </c>
      <c r="O485" t="str">
        <f>IF(tEditais[[#This Row],[Itens do foco]]=0,"",IF(tEditais[[#This Row],[Valor foco homologado]]&lt;=0,"Sem valor",IF(tEditais[[#This Row],[Valor foco homologado]]&gt;=FaixaA_Min,"A",IF(tEditais[[#This Row],[Valor foco homologado]]&gt;=FaixaB_Min,"B","C"))))</f>
        <v/>
      </c>
      <c r="P485" t="str">
        <f ca="1">IF(tEditais[[#This Row],[Encerramento]]&gt;NOW(),"Aberto","Encerrado")</f>
        <v>Encerrado</v>
      </c>
    </row>
    <row r="486" spans="1:16" x14ac:dyDescent="0.25">
      <c r="A486" t="s">
        <v>2597</v>
      </c>
      <c r="B486" t="s">
        <v>2540</v>
      </c>
      <c r="C486" t="s">
        <v>2541</v>
      </c>
      <c r="D486" t="s">
        <v>2496</v>
      </c>
      <c r="E486" t="s">
        <v>716</v>
      </c>
      <c r="F486" s="11">
        <v>46310.375694444447</v>
      </c>
      <c r="G486">
        <v>24</v>
      </c>
      <c r="H486" t="s">
        <v>2598</v>
      </c>
      <c r="I486" t="s">
        <v>2599</v>
      </c>
      <c r="J486" t="str">
        <f>IF(ISNUMBER(SEARCH("registro de pre",tEditais[[#This Row],[Objeto]])),"Sim","Não")</f>
        <v>Não</v>
      </c>
      <c r="K486" s="4">
        <f>COUNTIFS(tItens[Edital],tEditais[[#This Row],[Edital]])</f>
        <v>1</v>
      </c>
      <c r="L486" s="4">
        <f>COUNTIFS(tItens[Edital],tEditais[[#This Row],[Edital]],tItens[Foco],"Sim")</f>
        <v>0</v>
      </c>
      <c r="M486" s="8">
        <f>SUMIFS(tItens[Valor],tItens[Edital],tEditais[[#This Row],[Edital]])</f>
        <v>56.000000000000007</v>
      </c>
      <c r="N486" s="8">
        <f>SUMIFS(tItens[Valor homologado],tItens[Edital],tEditais[[#This Row],[Edital]],tItens[Foco],"Sim")</f>
        <v>0</v>
      </c>
      <c r="O486" t="str">
        <f>IF(tEditais[[#This Row],[Itens do foco]]=0,"",IF(tEditais[[#This Row],[Valor foco homologado]]&lt;=0,"Sem valor",IF(tEditais[[#This Row],[Valor foco homologado]]&gt;=FaixaA_Min,"A",IF(tEditais[[#This Row],[Valor foco homologado]]&gt;=FaixaB_Min,"B","C"))))</f>
        <v/>
      </c>
      <c r="P486" t="str">
        <f ca="1">IF(tEditais[[#This Row],[Encerramento]]&gt;NOW(),"Aberto","Encerrado")</f>
        <v>Encerrado</v>
      </c>
    </row>
    <row r="487" spans="1:16" x14ac:dyDescent="0.25">
      <c r="A487" t="s">
        <v>2600</v>
      </c>
      <c r="B487" t="s">
        <v>2601</v>
      </c>
      <c r="C487" t="s">
        <v>2602</v>
      </c>
      <c r="D487" t="s">
        <v>2496</v>
      </c>
      <c r="E487" t="s">
        <v>716</v>
      </c>
      <c r="F487" s="11">
        <v>46310.559027777781</v>
      </c>
      <c r="G487">
        <v>4</v>
      </c>
      <c r="I487" t="s">
        <v>2603</v>
      </c>
      <c r="J487" t="str">
        <f>IF(ISNUMBER(SEARCH("registro de pre",tEditais[[#This Row],[Objeto]])),"Sim","Não")</f>
        <v>Não</v>
      </c>
      <c r="K487" s="4">
        <f>COUNTIFS(tItens[Edital],tEditais[[#This Row],[Edital]])</f>
        <v>1</v>
      </c>
      <c r="L487" s="4">
        <f>COUNTIFS(tItens[Edital],tEditais[[#This Row],[Edital]],tItens[Foco],"Sim")</f>
        <v>0</v>
      </c>
      <c r="M487" s="8">
        <f>SUMIFS(tItens[Valor],tItens[Edital],tEditais[[#This Row],[Edital]])</f>
        <v>36000</v>
      </c>
      <c r="N487" s="8">
        <f>SUMIFS(tItens[Valor homologado],tItens[Edital],tEditais[[#This Row],[Edital]],tItens[Foco],"Sim")</f>
        <v>0</v>
      </c>
      <c r="O487" t="str">
        <f>IF(tEditais[[#This Row],[Itens do foco]]=0,"",IF(tEditais[[#This Row],[Valor foco homologado]]&lt;=0,"Sem valor",IF(tEditais[[#This Row],[Valor foco homologado]]&gt;=FaixaA_Min,"A",IF(tEditais[[#This Row],[Valor foco homologado]]&gt;=FaixaB_Min,"B","C"))))</f>
        <v/>
      </c>
      <c r="P487" t="str">
        <f ca="1">IF(tEditais[[#This Row],[Encerramento]]&gt;NOW(),"Aberto","Encerrado")</f>
        <v>Encerrado</v>
      </c>
    </row>
    <row r="488" spans="1:16" x14ac:dyDescent="0.25">
      <c r="A488" t="s">
        <v>2604</v>
      </c>
      <c r="B488" t="s">
        <v>2605</v>
      </c>
      <c r="C488" t="s">
        <v>2606</v>
      </c>
      <c r="D488" t="s">
        <v>2496</v>
      </c>
      <c r="E488" t="s">
        <v>716</v>
      </c>
      <c r="F488" s="11">
        <v>46311.326388888891</v>
      </c>
      <c r="G488">
        <v>39</v>
      </c>
      <c r="H488" t="s">
        <v>2607</v>
      </c>
      <c r="I488" t="s">
        <v>2608</v>
      </c>
      <c r="J488" t="str">
        <f>IF(ISNUMBER(SEARCH("registro de pre",tEditais[[#This Row],[Objeto]])),"Sim","Não")</f>
        <v>Não</v>
      </c>
      <c r="K488" s="4">
        <f>COUNTIFS(tItens[Edital],tEditais[[#This Row],[Edital]])</f>
        <v>9</v>
      </c>
      <c r="L488" s="4">
        <f>COUNTIFS(tItens[Edital],tEditais[[#This Row],[Edital]],tItens[Foco],"Sim")</f>
        <v>6</v>
      </c>
      <c r="M488" s="8">
        <f>SUMIFS(tItens[Valor],tItens[Edital],tEditais[[#This Row],[Edital]])</f>
        <v>2602.15</v>
      </c>
      <c r="N488" s="8">
        <f>SUMIFS(tItens[Valor homologado],tItens[Edital],tEditais[[#This Row],[Edital]],tItens[Foco],"Sim")</f>
        <v>1224.1826000000001</v>
      </c>
      <c r="O488" t="str">
        <f>IF(tEditais[[#This Row],[Itens do foco]]=0,"",IF(tEditais[[#This Row],[Valor foco homologado]]&lt;=0,"Sem valor",IF(tEditais[[#This Row],[Valor foco homologado]]&gt;=FaixaA_Min,"A",IF(tEditais[[#This Row],[Valor foco homologado]]&gt;=FaixaB_Min,"B","C"))))</f>
        <v>C</v>
      </c>
      <c r="P488" t="str">
        <f ca="1">IF(tEditais[[#This Row],[Encerramento]]&gt;NOW(),"Aberto","Encerrado")</f>
        <v>Aberto</v>
      </c>
    </row>
    <row r="489" spans="1:16" x14ac:dyDescent="0.25">
      <c r="A489" t="s">
        <v>2609</v>
      </c>
      <c r="B489" t="s">
        <v>2610</v>
      </c>
      <c r="C489" t="s">
        <v>2611</v>
      </c>
      <c r="D489" t="s">
        <v>2496</v>
      </c>
      <c r="E489" t="s">
        <v>716</v>
      </c>
      <c r="F489" s="11">
        <v>46311.332638888889</v>
      </c>
      <c r="G489">
        <v>28</v>
      </c>
      <c r="I489" t="s">
        <v>2612</v>
      </c>
      <c r="J489" t="str">
        <f>IF(ISNUMBER(SEARCH("registro de pre",tEditais[[#This Row],[Objeto]])),"Sim","Não")</f>
        <v>Não</v>
      </c>
      <c r="K489" s="4">
        <f>COUNTIFS(tItens[Edital],tEditais[[#This Row],[Edital]])</f>
        <v>3</v>
      </c>
      <c r="L489" s="4">
        <f>COUNTIFS(tItens[Edital],tEditais[[#This Row],[Edital]],tItens[Foco],"Sim")</f>
        <v>1</v>
      </c>
      <c r="M489" s="8">
        <f>SUMIFS(tItens[Valor],tItens[Edital],tEditais[[#This Row],[Edital]])</f>
        <v>805.37</v>
      </c>
      <c r="N489" s="8">
        <f>SUMIFS(tItens[Valor homologado],tItens[Edital],tEditais[[#This Row],[Edital]],tItens[Foco],"Sim")</f>
        <v>22.967999999999996</v>
      </c>
      <c r="O489" t="str">
        <f>IF(tEditais[[#This Row],[Itens do foco]]=0,"",IF(tEditais[[#This Row],[Valor foco homologado]]&lt;=0,"Sem valor",IF(tEditais[[#This Row],[Valor foco homologado]]&gt;=FaixaA_Min,"A",IF(tEditais[[#This Row],[Valor foco homologado]]&gt;=FaixaB_Min,"B","C"))))</f>
        <v>C</v>
      </c>
      <c r="P489" t="str">
        <f ca="1">IF(tEditais[[#This Row],[Encerramento]]&gt;NOW(),"Aberto","Encerrado")</f>
        <v>Aberto</v>
      </c>
    </row>
    <row r="490" spans="1:16" x14ac:dyDescent="0.25">
      <c r="A490" t="s">
        <v>2613</v>
      </c>
      <c r="B490" t="s">
        <v>886</v>
      </c>
      <c r="C490" t="s">
        <v>2533</v>
      </c>
      <c r="D490" t="s">
        <v>2496</v>
      </c>
      <c r="E490" t="s">
        <v>800</v>
      </c>
      <c r="F490" s="11">
        <v>46311.333333333336</v>
      </c>
      <c r="G490">
        <v>28</v>
      </c>
      <c r="H490" t="s">
        <v>2614</v>
      </c>
      <c r="I490" t="s">
        <v>2615</v>
      </c>
      <c r="J490" t="str">
        <f>IF(ISNUMBER(SEARCH("registro de pre",tEditais[[#This Row],[Objeto]])),"Sim","Não")</f>
        <v>Não</v>
      </c>
      <c r="K490" s="4">
        <f>COUNTIFS(tItens[Edital],tEditais[[#This Row],[Edital]])</f>
        <v>5</v>
      </c>
      <c r="L490" s="4">
        <f>COUNTIFS(tItens[Edital],tEditais[[#This Row],[Edital]],tItens[Foco],"Sim")</f>
        <v>0</v>
      </c>
      <c r="M490" s="8">
        <f>SUMIFS(tItens[Valor],tItens[Edital],tEditais[[#This Row],[Edital]])</f>
        <v>848.96</v>
      </c>
      <c r="N490" s="8">
        <f>SUMIFS(tItens[Valor homologado],tItens[Edital],tEditais[[#This Row],[Edital]],tItens[Foco],"Sim")</f>
        <v>0</v>
      </c>
      <c r="O490" t="str">
        <f>IF(tEditais[[#This Row],[Itens do foco]]=0,"",IF(tEditais[[#This Row],[Valor foco homologado]]&lt;=0,"Sem valor",IF(tEditais[[#This Row],[Valor foco homologado]]&gt;=FaixaA_Min,"A",IF(tEditais[[#This Row],[Valor foco homologado]]&gt;=FaixaB_Min,"B","C"))))</f>
        <v/>
      </c>
      <c r="P490" t="str">
        <f ca="1">IF(tEditais[[#This Row],[Encerramento]]&gt;NOW(),"Aberto","Encerrado")</f>
        <v>Aberto</v>
      </c>
    </row>
    <row r="491" spans="1:16" x14ac:dyDescent="0.25">
      <c r="A491" t="s">
        <v>2616</v>
      </c>
      <c r="B491" t="s">
        <v>739</v>
      </c>
      <c r="C491" t="s">
        <v>2508</v>
      </c>
      <c r="D491" t="s">
        <v>2496</v>
      </c>
      <c r="E491" t="s">
        <v>716</v>
      </c>
      <c r="F491" s="11">
        <v>46311.375</v>
      </c>
      <c r="G491">
        <v>56</v>
      </c>
      <c r="H491" t="s">
        <v>2617</v>
      </c>
      <c r="I491" t="s">
        <v>2618</v>
      </c>
      <c r="J491" t="str">
        <f>IF(ISNUMBER(SEARCH("registro de pre",tEditais[[#This Row],[Objeto]])),"Sim","Não")</f>
        <v>Não</v>
      </c>
      <c r="K491" s="4">
        <f>COUNTIFS(tItens[Edital],tEditais[[#This Row],[Edital]])</f>
        <v>51</v>
      </c>
      <c r="L491" s="4">
        <f>COUNTIFS(tItens[Edital],tEditais[[#This Row],[Edital]],tItens[Foco],"Sim")</f>
        <v>0</v>
      </c>
      <c r="M491" s="8">
        <f>SUMIFS(tItens[Valor],tItens[Edital],tEditais[[#This Row],[Edital]])</f>
        <v>0</v>
      </c>
      <c r="N491" s="8">
        <f>SUMIFS(tItens[Valor homologado],tItens[Edital],tEditais[[#This Row],[Edital]],tItens[Foco],"Sim")</f>
        <v>0</v>
      </c>
      <c r="O491" t="str">
        <f>IF(tEditais[[#This Row],[Itens do foco]]=0,"",IF(tEditais[[#This Row],[Valor foco homologado]]&lt;=0,"Sem valor",IF(tEditais[[#This Row],[Valor foco homologado]]&gt;=FaixaA_Min,"A",IF(tEditais[[#This Row],[Valor foco homologado]]&gt;=FaixaB_Min,"B","C"))))</f>
        <v/>
      </c>
      <c r="P491" t="str">
        <f ca="1">IF(tEditais[[#This Row],[Encerramento]]&gt;NOW(),"Aberto","Encerrado")</f>
        <v>Aberto</v>
      </c>
    </row>
    <row r="492" spans="1:16" x14ac:dyDescent="0.25">
      <c r="A492" t="s">
        <v>2619</v>
      </c>
      <c r="B492" t="s">
        <v>2544</v>
      </c>
      <c r="C492" t="s">
        <v>2500</v>
      </c>
      <c r="D492" t="s">
        <v>2496</v>
      </c>
      <c r="E492" t="s">
        <v>716</v>
      </c>
      <c r="F492" s="11">
        <v>46311.375</v>
      </c>
      <c r="G492">
        <v>3</v>
      </c>
      <c r="H492" t="s">
        <v>2620</v>
      </c>
      <c r="I492" t="s">
        <v>2559</v>
      </c>
      <c r="J492" t="str">
        <f>IF(ISNUMBER(SEARCH("registro de pre",tEditais[[#This Row],[Objeto]])),"Sim","Não")</f>
        <v>Não</v>
      </c>
      <c r="K492" s="4">
        <f>COUNTIFS(tItens[Edital],tEditais[[#This Row],[Edital]])</f>
        <v>2</v>
      </c>
      <c r="L492" s="4">
        <f>COUNTIFS(tItens[Edital],tEditais[[#This Row],[Edital]],tItens[Foco],"Sim")</f>
        <v>0</v>
      </c>
      <c r="M492" s="8">
        <f>SUMIFS(tItens[Valor],tItens[Edital],tEditais[[#This Row],[Edital]])</f>
        <v>258651.2</v>
      </c>
      <c r="N492" s="8">
        <f>SUMIFS(tItens[Valor homologado],tItens[Edital],tEditais[[#This Row],[Edital]],tItens[Foco],"Sim")</f>
        <v>0</v>
      </c>
      <c r="O492" t="str">
        <f>IF(tEditais[[#This Row],[Itens do foco]]=0,"",IF(tEditais[[#This Row],[Valor foco homologado]]&lt;=0,"Sem valor",IF(tEditais[[#This Row],[Valor foco homologado]]&gt;=FaixaA_Min,"A",IF(tEditais[[#This Row],[Valor foco homologado]]&gt;=FaixaB_Min,"B","C"))))</f>
        <v/>
      </c>
      <c r="P492" t="str">
        <f ca="1">IF(tEditais[[#This Row],[Encerramento]]&gt;NOW(),"Aberto","Encerrado")</f>
        <v>Aberto</v>
      </c>
    </row>
    <row r="493" spans="1:16" x14ac:dyDescent="0.25">
      <c r="A493" t="s">
        <v>2621</v>
      </c>
      <c r="B493" t="s">
        <v>2622</v>
      </c>
      <c r="C493" t="s">
        <v>2500</v>
      </c>
      <c r="D493" t="s">
        <v>2496</v>
      </c>
      <c r="E493" t="s">
        <v>716</v>
      </c>
      <c r="F493" s="11">
        <v>46311.415972222225</v>
      </c>
      <c r="G493">
        <v>9</v>
      </c>
      <c r="H493" t="s">
        <v>2623</v>
      </c>
      <c r="I493" t="s">
        <v>2624</v>
      </c>
      <c r="J493" t="str">
        <f>IF(ISNUMBER(SEARCH("registro de pre",tEditais[[#This Row],[Objeto]])),"Sim","Não")</f>
        <v>Sim</v>
      </c>
      <c r="K493" s="4">
        <f>COUNTIFS(tItens[Edital],tEditais[[#This Row],[Edital]])</f>
        <v>1</v>
      </c>
      <c r="L493" s="4">
        <f>COUNTIFS(tItens[Edital],tEditais[[#This Row],[Edital]],tItens[Foco],"Sim")</f>
        <v>0</v>
      </c>
      <c r="M493" s="8">
        <f>SUMIFS(tItens[Valor],tItens[Edital],tEditais[[#This Row],[Edital]])</f>
        <v>2439.6000000000004</v>
      </c>
      <c r="N493" s="8">
        <f>SUMIFS(tItens[Valor homologado],tItens[Edital],tEditais[[#This Row],[Edital]],tItens[Foco],"Sim")</f>
        <v>0</v>
      </c>
      <c r="O493" t="str">
        <f>IF(tEditais[[#This Row],[Itens do foco]]=0,"",IF(tEditais[[#This Row],[Valor foco homologado]]&lt;=0,"Sem valor",IF(tEditais[[#This Row],[Valor foco homologado]]&gt;=FaixaA_Min,"A",IF(tEditais[[#This Row],[Valor foco homologado]]&gt;=FaixaB_Min,"B","C"))))</f>
        <v/>
      </c>
      <c r="P493" t="str">
        <f ca="1">IF(tEditais[[#This Row],[Encerramento]]&gt;NOW(),"Aberto","Encerrado")</f>
        <v>Aberto</v>
      </c>
    </row>
    <row r="494" spans="1:16" x14ac:dyDescent="0.25">
      <c r="A494" t="s">
        <v>2625</v>
      </c>
      <c r="B494" t="s">
        <v>886</v>
      </c>
      <c r="C494" t="s">
        <v>2500</v>
      </c>
      <c r="D494" t="s">
        <v>2496</v>
      </c>
      <c r="E494" t="s">
        <v>716</v>
      </c>
      <c r="F494" s="11">
        <v>46311.625</v>
      </c>
      <c r="G494">
        <v>69</v>
      </c>
      <c r="H494" t="s">
        <v>2626</v>
      </c>
      <c r="I494" t="s">
        <v>2627</v>
      </c>
      <c r="J494" t="str">
        <f>IF(ISNUMBER(SEARCH("registro de pre",tEditais[[#This Row],[Objeto]])),"Sim","Não")</f>
        <v>Não</v>
      </c>
      <c r="K494" s="4">
        <f>COUNTIFS(tItens[Edital],tEditais[[#This Row],[Edital]])</f>
        <v>25</v>
      </c>
      <c r="L494" s="4">
        <f>COUNTIFS(tItens[Edital],tEditais[[#This Row],[Edital]],tItens[Foco],"Sim")</f>
        <v>2</v>
      </c>
      <c r="M494" s="8">
        <f>SUMIFS(tItens[Valor],tItens[Edital],tEditais[[#This Row],[Edital]])</f>
        <v>1892455</v>
      </c>
      <c r="N494" s="8">
        <f>SUMIFS(tItens[Valor homologado],tItens[Edital],tEditais[[#This Row],[Edital]],tItens[Foco],"Sim")</f>
        <v>70000</v>
      </c>
      <c r="O494" t="str">
        <f>IF(tEditais[[#This Row],[Itens do foco]]=0,"",IF(tEditais[[#This Row],[Valor foco homologado]]&lt;=0,"Sem valor",IF(tEditais[[#This Row],[Valor foco homologado]]&gt;=FaixaA_Min,"A",IF(tEditais[[#This Row],[Valor foco homologado]]&gt;=FaixaB_Min,"B","C"))))</f>
        <v>B</v>
      </c>
      <c r="P494" t="str">
        <f ca="1">IF(tEditais[[#This Row],[Encerramento]]&gt;NOW(),"Aberto","Encerrado")</f>
        <v>Aberto</v>
      </c>
    </row>
    <row r="495" spans="1:16" x14ac:dyDescent="0.25">
      <c r="A495" t="s">
        <v>2628</v>
      </c>
      <c r="B495" t="s">
        <v>2569</v>
      </c>
      <c r="C495" t="s">
        <v>2570</v>
      </c>
      <c r="D495" t="s">
        <v>2496</v>
      </c>
      <c r="E495" t="s">
        <v>716</v>
      </c>
      <c r="F495" s="11">
        <v>46314.333333333336</v>
      </c>
      <c r="G495">
        <v>85</v>
      </c>
      <c r="I495" t="s">
        <v>2629</v>
      </c>
      <c r="J495" t="str">
        <f>IF(ISNUMBER(SEARCH("registro de pre",tEditais[[#This Row],[Objeto]])),"Sim","Não")</f>
        <v>Sim</v>
      </c>
      <c r="K495" s="4">
        <f>COUNTIFS(tItens[Edital],tEditais[[#This Row],[Edital]])</f>
        <v>22</v>
      </c>
      <c r="L495" s="4">
        <f>COUNTIFS(tItens[Edital],tEditais[[#This Row],[Edital]],tItens[Foco],"Sim")</f>
        <v>2</v>
      </c>
      <c r="M495" s="8">
        <f>SUMIFS(tItens[Valor],tItens[Edital],tEditais[[#This Row],[Edital]])</f>
        <v>395693.4</v>
      </c>
      <c r="N495" s="8">
        <f>SUMIFS(tItens[Valor homologado],tItens[Edital],tEditais[[#This Row],[Edital]],tItens[Foco],"Sim")</f>
        <v>10110.99</v>
      </c>
      <c r="O495" t="str">
        <f>IF(tEditais[[#This Row],[Itens do foco]]=0,"",IF(tEditais[[#This Row],[Valor foco homologado]]&lt;=0,"Sem valor",IF(tEditais[[#This Row],[Valor foco homologado]]&gt;=FaixaA_Min,"A",IF(tEditais[[#This Row],[Valor foco homologado]]&gt;=FaixaB_Min,"B","C"))))</f>
        <v>C</v>
      </c>
      <c r="P495" t="str">
        <f ca="1">IF(tEditais[[#This Row],[Encerramento]]&gt;NOW(),"Aberto","Encerrado")</f>
        <v>Aberto</v>
      </c>
    </row>
    <row r="496" spans="1:16" x14ac:dyDescent="0.25">
      <c r="A496" t="s">
        <v>2630</v>
      </c>
      <c r="B496" t="s">
        <v>2631</v>
      </c>
      <c r="C496" t="s">
        <v>2632</v>
      </c>
      <c r="D496" t="s">
        <v>2496</v>
      </c>
      <c r="E496" t="s">
        <v>716</v>
      </c>
      <c r="F496" s="11">
        <v>46314.375</v>
      </c>
      <c r="G496">
        <v>10</v>
      </c>
      <c r="H496" t="s">
        <v>2633</v>
      </c>
      <c r="I496" t="s">
        <v>2634</v>
      </c>
      <c r="J496" t="str">
        <f>IF(ISNUMBER(SEARCH("registro de pre",tEditais[[#This Row],[Objeto]])),"Sim","Não")</f>
        <v>Não</v>
      </c>
      <c r="K496" s="4">
        <f>COUNTIFS(tItens[Edital],tEditais[[#This Row],[Edital]])</f>
        <v>4</v>
      </c>
      <c r="L496" s="4">
        <f>COUNTIFS(tItens[Edital],tEditais[[#This Row],[Edital]],tItens[Foco],"Sim")</f>
        <v>1</v>
      </c>
      <c r="M496" s="8">
        <f>SUMIFS(tItens[Valor],tItens[Edital],tEditais[[#This Row],[Edital]])</f>
        <v>146.5</v>
      </c>
      <c r="N496" s="8">
        <f>SUMIFS(tItens[Valor homologado],tItens[Edital],tEditais[[#This Row],[Edital]],tItens[Foco],"Sim")</f>
        <v>13.680000000000001</v>
      </c>
      <c r="O496" t="str">
        <f>IF(tEditais[[#This Row],[Itens do foco]]=0,"",IF(tEditais[[#This Row],[Valor foco homologado]]&lt;=0,"Sem valor",IF(tEditais[[#This Row],[Valor foco homologado]]&gt;=FaixaA_Min,"A",IF(tEditais[[#This Row],[Valor foco homologado]]&gt;=FaixaB_Min,"B","C"))))</f>
        <v>C</v>
      </c>
      <c r="P496" t="str">
        <f ca="1">IF(tEditais[[#This Row],[Encerramento]]&gt;NOW(),"Aberto","Encerrado")</f>
        <v>Aberto</v>
      </c>
    </row>
    <row r="497" spans="1:16" x14ac:dyDescent="0.25">
      <c r="A497" t="s">
        <v>2635</v>
      </c>
      <c r="B497" t="s">
        <v>2636</v>
      </c>
      <c r="C497" t="s">
        <v>2637</v>
      </c>
      <c r="D497" t="s">
        <v>2638</v>
      </c>
      <c r="E497" t="s">
        <v>716</v>
      </c>
      <c r="F497" s="11">
        <v>46304.333333333336</v>
      </c>
      <c r="G497">
        <v>8</v>
      </c>
      <c r="I497" t="s">
        <v>2639</v>
      </c>
      <c r="J497" t="str">
        <f>IF(ISNUMBER(SEARCH("registro de pre",tEditais[[#This Row],[Objeto]])),"Sim","Não")</f>
        <v>Sim</v>
      </c>
      <c r="K497" s="4">
        <f>COUNTIFS(tItens[Edital],tEditais[[#This Row],[Edital]])</f>
        <v>8</v>
      </c>
      <c r="L497" s="4">
        <f>COUNTIFS(tItens[Edital],tEditais[[#This Row],[Edital]],tItens[Foco],"Sim")</f>
        <v>0</v>
      </c>
      <c r="M497" s="8">
        <f>SUMIFS(tItens[Valor],tItens[Edital],tEditais[[#This Row],[Edital]])</f>
        <v>2610132</v>
      </c>
      <c r="N497" s="8">
        <f>SUMIFS(tItens[Valor homologado],tItens[Edital],tEditais[[#This Row],[Edital]],tItens[Foco],"Sim")</f>
        <v>0</v>
      </c>
      <c r="O497" t="str">
        <f>IF(tEditais[[#This Row],[Itens do foco]]=0,"",IF(tEditais[[#This Row],[Valor foco homologado]]&lt;=0,"Sem valor",IF(tEditais[[#This Row],[Valor foco homologado]]&gt;=FaixaA_Min,"A",IF(tEditais[[#This Row],[Valor foco homologado]]&gt;=FaixaB_Min,"B","C"))))</f>
        <v/>
      </c>
      <c r="P497" t="str">
        <f ca="1">IF(tEditais[[#This Row],[Encerramento]]&gt;NOW(),"Aberto","Encerrado")</f>
        <v>Encerrado</v>
      </c>
    </row>
    <row r="498" spans="1:16" x14ac:dyDescent="0.25">
      <c r="A498" t="s">
        <v>2640</v>
      </c>
      <c r="B498" t="s">
        <v>2641</v>
      </c>
      <c r="C498" t="s">
        <v>2637</v>
      </c>
      <c r="D498" t="s">
        <v>2638</v>
      </c>
      <c r="E498" t="s">
        <v>716</v>
      </c>
      <c r="F498" s="11">
        <v>46308.375</v>
      </c>
      <c r="G498">
        <v>163</v>
      </c>
      <c r="H498" t="s">
        <v>2642</v>
      </c>
      <c r="I498" t="s">
        <v>2643</v>
      </c>
      <c r="J498" t="str">
        <f>IF(ISNUMBER(SEARCH("registro de pre",tEditais[[#This Row],[Objeto]])),"Sim","Não")</f>
        <v>Sim</v>
      </c>
      <c r="K498" s="4">
        <f>COUNTIFS(tItens[Edital],tEditais[[#This Row],[Edital]])</f>
        <v>4</v>
      </c>
      <c r="L498" s="4">
        <f>COUNTIFS(tItens[Edital],tEditais[[#This Row],[Edital]],tItens[Foco],"Sim")</f>
        <v>0</v>
      </c>
      <c r="M498" s="8">
        <f>SUMIFS(tItens[Valor],tItens[Edital],tEditais[[#This Row],[Edital]])</f>
        <v>7283.39</v>
      </c>
      <c r="N498" s="8">
        <f>SUMIFS(tItens[Valor homologado],tItens[Edital],tEditais[[#This Row],[Edital]],tItens[Foco],"Sim")</f>
        <v>0</v>
      </c>
      <c r="O498" t="str">
        <f>IF(tEditais[[#This Row],[Itens do foco]]=0,"",IF(tEditais[[#This Row],[Valor foco homologado]]&lt;=0,"Sem valor",IF(tEditais[[#This Row],[Valor foco homologado]]&gt;=FaixaA_Min,"A",IF(tEditais[[#This Row],[Valor foco homologado]]&gt;=FaixaB_Min,"B","C"))))</f>
        <v/>
      </c>
      <c r="P498" t="str">
        <f ca="1">IF(tEditais[[#This Row],[Encerramento]]&gt;NOW(),"Aberto","Encerrado")</f>
        <v>Encerrado</v>
      </c>
    </row>
    <row r="499" spans="1:16" x14ac:dyDescent="0.25">
      <c r="A499" t="s">
        <v>2644</v>
      </c>
      <c r="B499" t="s">
        <v>2645</v>
      </c>
      <c r="C499" t="s">
        <v>2646</v>
      </c>
      <c r="D499" t="s">
        <v>2638</v>
      </c>
      <c r="E499" t="s">
        <v>716</v>
      </c>
      <c r="F499" s="11">
        <v>46309.332638888889</v>
      </c>
      <c r="G499">
        <v>737</v>
      </c>
      <c r="I499" t="s">
        <v>2647</v>
      </c>
      <c r="J499" t="str">
        <f>IF(ISNUMBER(SEARCH("registro de pre",tEditais[[#This Row],[Objeto]])),"Sim","Não")</f>
        <v>Sim</v>
      </c>
      <c r="K499" s="4">
        <f>COUNTIFS(tItens[Edital],tEditais[[#This Row],[Edital]])</f>
        <v>230</v>
      </c>
      <c r="L499" s="4">
        <f>COUNTIFS(tItens[Edital],tEditais[[#This Row],[Edital]],tItens[Foco],"Sim")</f>
        <v>45</v>
      </c>
      <c r="M499" s="8">
        <f>SUMIFS(tItens[Valor],tItens[Edital],tEditais[[#This Row],[Edital]])</f>
        <v>20667585.559999999</v>
      </c>
      <c r="N499" s="8">
        <f>SUMIFS(tItens[Valor homologado],tItens[Edital],tEditais[[#This Row],[Edital]],tItens[Foco],"Sim")</f>
        <v>1195377.7200999996</v>
      </c>
      <c r="O499" t="str">
        <f>IF(tEditais[[#This Row],[Itens do foco]]=0,"",IF(tEditais[[#This Row],[Valor foco homologado]]&lt;=0,"Sem valor",IF(tEditais[[#This Row],[Valor foco homologado]]&gt;=FaixaA_Min,"A",IF(tEditais[[#This Row],[Valor foco homologado]]&gt;=FaixaB_Min,"B","C"))))</f>
        <v>A</v>
      </c>
      <c r="P499" t="str">
        <f ca="1">IF(tEditais[[#This Row],[Encerramento]]&gt;NOW(),"Aberto","Encerrado")</f>
        <v>Encerrado</v>
      </c>
    </row>
    <row r="500" spans="1:16" x14ac:dyDescent="0.25">
      <c r="A500" t="s">
        <v>2648</v>
      </c>
      <c r="B500" t="s">
        <v>739</v>
      </c>
      <c r="C500" t="s">
        <v>2649</v>
      </c>
      <c r="D500" t="s">
        <v>2638</v>
      </c>
      <c r="E500" t="s">
        <v>716</v>
      </c>
      <c r="F500" s="11">
        <v>46309.375</v>
      </c>
      <c r="G500">
        <v>46</v>
      </c>
      <c r="H500" t="s">
        <v>2650</v>
      </c>
      <c r="I500" t="s">
        <v>2651</v>
      </c>
      <c r="J500" t="str">
        <f>IF(ISNUMBER(SEARCH("registro de pre",tEditais[[#This Row],[Objeto]])),"Sim","Não")</f>
        <v>Sim</v>
      </c>
      <c r="K500" s="4">
        <f>COUNTIFS(tItens[Edital],tEditais[[#This Row],[Edital]])</f>
        <v>12</v>
      </c>
      <c r="L500" s="4">
        <f>COUNTIFS(tItens[Edital],tEditais[[#This Row],[Edital]],tItens[Foco],"Sim")</f>
        <v>8</v>
      </c>
      <c r="M500" s="8">
        <f>SUMIFS(tItens[Valor],tItens[Edital],tEditais[[#This Row],[Edital]])</f>
        <v>0</v>
      </c>
      <c r="N500" s="8">
        <f>SUMIFS(tItens[Valor homologado],tItens[Edital],tEditais[[#This Row],[Edital]],tItens[Foco],"Sim")</f>
        <v>0</v>
      </c>
      <c r="O500" t="str">
        <f>IF(tEditais[[#This Row],[Itens do foco]]=0,"",IF(tEditais[[#This Row],[Valor foco homologado]]&lt;=0,"Sem valor",IF(tEditais[[#This Row],[Valor foco homologado]]&gt;=FaixaA_Min,"A",IF(tEditais[[#This Row],[Valor foco homologado]]&gt;=FaixaB_Min,"B","C"))))</f>
        <v>Sem valor</v>
      </c>
      <c r="P500" t="str">
        <f ca="1">IF(tEditais[[#This Row],[Encerramento]]&gt;NOW(),"Aberto","Encerrado")</f>
        <v>Encerrado</v>
      </c>
    </row>
    <row r="501" spans="1:16" x14ac:dyDescent="0.25">
      <c r="A501" t="s">
        <v>2652</v>
      </c>
      <c r="B501" t="s">
        <v>2653</v>
      </c>
      <c r="C501" t="s">
        <v>2654</v>
      </c>
      <c r="D501" t="s">
        <v>2638</v>
      </c>
      <c r="E501" t="s">
        <v>716</v>
      </c>
      <c r="F501" s="11">
        <v>46309.583333333336</v>
      </c>
      <c r="G501">
        <v>22</v>
      </c>
      <c r="H501" t="s">
        <v>2655</v>
      </c>
      <c r="I501" t="s">
        <v>2656</v>
      </c>
      <c r="J501" t="str">
        <f>IF(ISNUMBER(SEARCH("registro de pre",tEditais[[#This Row],[Objeto]])),"Sim","Não")</f>
        <v>Não</v>
      </c>
      <c r="K501" s="4">
        <f>COUNTIFS(tItens[Edital],tEditais[[#This Row],[Edital]])</f>
        <v>1</v>
      </c>
      <c r="L501" s="4">
        <f>COUNTIFS(tItens[Edital],tEditais[[#This Row],[Edital]],tItens[Foco],"Sim")</f>
        <v>0</v>
      </c>
      <c r="M501" s="8">
        <f>SUMIFS(tItens[Valor],tItens[Edital],tEditais[[#This Row],[Edital]])</f>
        <v>0</v>
      </c>
      <c r="N501" s="8">
        <f>SUMIFS(tItens[Valor homologado],tItens[Edital],tEditais[[#This Row],[Edital]],tItens[Foco],"Sim")</f>
        <v>0</v>
      </c>
      <c r="O501" t="str">
        <f>IF(tEditais[[#This Row],[Itens do foco]]=0,"",IF(tEditais[[#This Row],[Valor foco homologado]]&lt;=0,"Sem valor",IF(tEditais[[#This Row],[Valor foco homologado]]&gt;=FaixaA_Min,"A",IF(tEditais[[#This Row],[Valor foco homologado]]&gt;=FaixaB_Min,"B","C"))))</f>
        <v/>
      </c>
      <c r="P501" t="str">
        <f ca="1">IF(tEditais[[#This Row],[Encerramento]]&gt;NOW(),"Aberto","Encerrado")</f>
        <v>Encerrado</v>
      </c>
    </row>
    <row r="502" spans="1:16" x14ac:dyDescent="0.25">
      <c r="A502" t="s">
        <v>2657</v>
      </c>
      <c r="B502" t="s">
        <v>2658</v>
      </c>
      <c r="C502" t="s">
        <v>2659</v>
      </c>
      <c r="D502" t="s">
        <v>2638</v>
      </c>
      <c r="E502" t="s">
        <v>716</v>
      </c>
      <c r="F502" s="11">
        <v>46310.354166666664</v>
      </c>
      <c r="G502">
        <v>12</v>
      </c>
      <c r="H502" t="s">
        <v>2660</v>
      </c>
      <c r="I502" t="s">
        <v>2661</v>
      </c>
      <c r="J502" t="str">
        <f>IF(ISNUMBER(SEARCH("registro de pre",tEditais[[#This Row],[Objeto]])),"Sim","Não")</f>
        <v>Não</v>
      </c>
      <c r="K502" s="4">
        <f>COUNTIFS(tItens[Edital],tEditais[[#This Row],[Edital]])</f>
        <v>5</v>
      </c>
      <c r="L502" s="4">
        <f>COUNTIFS(tItens[Edital],tEditais[[#This Row],[Edital]],tItens[Foco],"Sim")</f>
        <v>0</v>
      </c>
      <c r="M502" s="8">
        <f>SUMIFS(tItens[Valor],tItens[Edital],tEditais[[#This Row],[Edital]])</f>
        <v>119988</v>
      </c>
      <c r="N502" s="8">
        <f>SUMIFS(tItens[Valor homologado],tItens[Edital],tEditais[[#This Row],[Edital]],tItens[Foco],"Sim")</f>
        <v>0</v>
      </c>
      <c r="O502" t="str">
        <f>IF(tEditais[[#This Row],[Itens do foco]]=0,"",IF(tEditais[[#This Row],[Valor foco homologado]]&lt;=0,"Sem valor",IF(tEditais[[#This Row],[Valor foco homologado]]&gt;=FaixaA_Min,"A",IF(tEditais[[#This Row],[Valor foco homologado]]&gt;=FaixaB_Min,"B","C"))))</f>
        <v/>
      </c>
      <c r="P502" t="str">
        <f ca="1">IF(tEditais[[#This Row],[Encerramento]]&gt;NOW(),"Aberto","Encerrado")</f>
        <v>Encerrado</v>
      </c>
    </row>
    <row r="503" spans="1:16" x14ac:dyDescent="0.25">
      <c r="A503" t="s">
        <v>2662</v>
      </c>
      <c r="B503" t="s">
        <v>739</v>
      </c>
      <c r="C503" t="s">
        <v>2649</v>
      </c>
      <c r="D503" t="s">
        <v>2638</v>
      </c>
      <c r="E503" t="s">
        <v>716</v>
      </c>
      <c r="F503" s="11">
        <v>46310.354166666664</v>
      </c>
      <c r="G503">
        <v>68</v>
      </c>
      <c r="H503" t="s">
        <v>2663</v>
      </c>
      <c r="I503" t="s">
        <v>2664</v>
      </c>
      <c r="J503" t="str">
        <f>IF(ISNUMBER(SEARCH("registro de pre",tEditais[[#This Row],[Objeto]])),"Sim","Não")</f>
        <v>Sim</v>
      </c>
      <c r="K503" s="4">
        <f>COUNTIFS(tItens[Edital],tEditais[[#This Row],[Edital]])</f>
        <v>3</v>
      </c>
      <c r="L503" s="4">
        <f>COUNTIFS(tItens[Edital],tEditais[[#This Row],[Edital]],tItens[Foco],"Sim")</f>
        <v>1</v>
      </c>
      <c r="M503" s="8">
        <f>SUMIFS(tItens[Valor],tItens[Edital],tEditais[[#This Row],[Edital]])</f>
        <v>0</v>
      </c>
      <c r="N503" s="8">
        <f>SUMIFS(tItens[Valor homologado],tItens[Edital],tEditais[[#This Row],[Edital]],tItens[Foco],"Sim")</f>
        <v>0</v>
      </c>
      <c r="O503" t="str">
        <f>IF(tEditais[[#This Row],[Itens do foco]]=0,"",IF(tEditais[[#This Row],[Valor foco homologado]]&lt;=0,"Sem valor",IF(tEditais[[#This Row],[Valor foco homologado]]&gt;=FaixaA_Min,"A",IF(tEditais[[#This Row],[Valor foco homologado]]&gt;=FaixaB_Min,"B","C"))))</f>
        <v>Sem valor</v>
      </c>
      <c r="P503" t="str">
        <f ca="1">IF(tEditais[[#This Row],[Encerramento]]&gt;NOW(),"Aberto","Encerrado")</f>
        <v>Encerrado</v>
      </c>
    </row>
    <row r="504" spans="1:16" x14ac:dyDescent="0.25">
      <c r="A504" t="s">
        <v>2665</v>
      </c>
      <c r="B504" t="s">
        <v>752</v>
      </c>
      <c r="C504" t="s">
        <v>2666</v>
      </c>
      <c r="D504" t="s">
        <v>2638</v>
      </c>
      <c r="E504" t="s">
        <v>716</v>
      </c>
      <c r="F504" s="11">
        <v>46310.374305555553</v>
      </c>
      <c r="G504">
        <v>16</v>
      </c>
      <c r="I504" t="s">
        <v>2667</v>
      </c>
      <c r="J504" t="str">
        <f>IF(ISNUMBER(SEARCH("registro de pre",tEditais[[#This Row],[Objeto]])),"Sim","Não")</f>
        <v>Sim</v>
      </c>
      <c r="K504" s="4">
        <f>COUNTIFS(tItens[Edital],tEditais[[#This Row],[Edital]])</f>
        <v>1</v>
      </c>
      <c r="L504" s="4">
        <f>COUNTIFS(tItens[Edital],tEditais[[#This Row],[Edital]],tItens[Foco],"Sim")</f>
        <v>0</v>
      </c>
      <c r="M504" s="8">
        <f>SUMIFS(tItens[Valor],tItens[Edital],tEditais[[#This Row],[Edital]])</f>
        <v>84</v>
      </c>
      <c r="N504" s="8">
        <f>SUMIFS(tItens[Valor homologado],tItens[Edital],tEditais[[#This Row],[Edital]],tItens[Foco],"Sim")</f>
        <v>0</v>
      </c>
      <c r="O504" t="str">
        <f>IF(tEditais[[#This Row],[Itens do foco]]=0,"",IF(tEditais[[#This Row],[Valor foco homologado]]&lt;=0,"Sem valor",IF(tEditais[[#This Row],[Valor foco homologado]]&gt;=FaixaA_Min,"A",IF(tEditais[[#This Row],[Valor foco homologado]]&gt;=FaixaB_Min,"B","C"))))</f>
        <v/>
      </c>
      <c r="P504" t="str">
        <f ca="1">IF(tEditais[[#This Row],[Encerramento]]&gt;NOW(),"Aberto","Encerrado")</f>
        <v>Encerrado</v>
      </c>
    </row>
    <row r="505" spans="1:16" x14ac:dyDescent="0.25">
      <c r="A505" t="s">
        <v>2668</v>
      </c>
      <c r="B505" t="s">
        <v>2669</v>
      </c>
      <c r="C505" t="s">
        <v>2670</v>
      </c>
      <c r="D505" t="s">
        <v>2638</v>
      </c>
      <c r="E505" t="s">
        <v>716</v>
      </c>
      <c r="F505" s="11">
        <v>46311.354166666664</v>
      </c>
      <c r="G505">
        <v>74</v>
      </c>
      <c r="H505" t="s">
        <v>2671</v>
      </c>
      <c r="I505" t="s">
        <v>2672</v>
      </c>
      <c r="J505" t="str">
        <f>IF(ISNUMBER(SEARCH("registro de pre",tEditais[[#This Row],[Objeto]])),"Sim","Não")</f>
        <v>Não</v>
      </c>
      <c r="K505" s="4">
        <f>COUNTIFS(tItens[Edital],tEditais[[#This Row],[Edital]])</f>
        <v>4</v>
      </c>
      <c r="L505" s="4">
        <f>COUNTIFS(tItens[Edital],tEditais[[#This Row],[Edital]],tItens[Foco],"Sim")</f>
        <v>3</v>
      </c>
      <c r="M505" s="8">
        <f>SUMIFS(tItens[Valor],tItens[Edital],tEditais[[#This Row],[Edital]])</f>
        <v>49706.74</v>
      </c>
      <c r="N505" s="8">
        <f>SUMIFS(tItens[Valor homologado],tItens[Edital],tEditais[[#This Row],[Edital]],tItens[Foco],"Sim")</f>
        <v>9087.7991999999995</v>
      </c>
      <c r="O505" t="str">
        <f>IF(tEditais[[#This Row],[Itens do foco]]=0,"",IF(tEditais[[#This Row],[Valor foco homologado]]&lt;=0,"Sem valor",IF(tEditais[[#This Row],[Valor foco homologado]]&gt;=FaixaA_Min,"A",IF(tEditais[[#This Row],[Valor foco homologado]]&gt;=FaixaB_Min,"B","C"))))</f>
        <v>C</v>
      </c>
      <c r="P505" t="str">
        <f ca="1">IF(tEditais[[#This Row],[Encerramento]]&gt;NOW(),"Aberto","Encerrado")</f>
        <v>Aberto</v>
      </c>
    </row>
    <row r="506" spans="1:16" x14ac:dyDescent="0.25">
      <c r="A506" t="s">
        <v>2673</v>
      </c>
      <c r="B506" t="s">
        <v>2674</v>
      </c>
      <c r="C506" t="s">
        <v>2649</v>
      </c>
      <c r="D506" t="s">
        <v>2638</v>
      </c>
      <c r="E506" t="s">
        <v>716</v>
      </c>
      <c r="F506" s="11">
        <v>46311.416666666664</v>
      </c>
      <c r="G506">
        <v>148</v>
      </c>
      <c r="H506" t="s">
        <v>2675</v>
      </c>
      <c r="I506" t="s">
        <v>2676</v>
      </c>
      <c r="J506" t="str">
        <f>IF(ISNUMBER(SEARCH("registro de pre",tEditais[[#This Row],[Objeto]])),"Sim","Não")</f>
        <v>Não</v>
      </c>
      <c r="K506" s="4">
        <f>COUNTIFS(tItens[Edital],tEditais[[#This Row],[Edital]])</f>
        <v>33</v>
      </c>
      <c r="L506" s="4">
        <f>COUNTIFS(tItens[Edital],tEditais[[#This Row],[Edital]],tItens[Foco],"Sim")</f>
        <v>4</v>
      </c>
      <c r="M506" s="8">
        <f>SUMIFS(tItens[Valor],tItens[Edital],tEditais[[#This Row],[Edital]])</f>
        <v>24456.300000000003</v>
      </c>
      <c r="N506" s="8">
        <f>SUMIFS(tItens[Valor homologado],tItens[Edital],tEditais[[#This Row],[Edital]],tItens[Foco],"Sim")</f>
        <v>1772.4046999999998</v>
      </c>
      <c r="O506" t="str">
        <f>IF(tEditais[[#This Row],[Itens do foco]]=0,"",IF(tEditais[[#This Row],[Valor foco homologado]]&lt;=0,"Sem valor",IF(tEditais[[#This Row],[Valor foco homologado]]&gt;=FaixaA_Min,"A",IF(tEditais[[#This Row],[Valor foco homologado]]&gt;=FaixaB_Min,"B","C"))))</f>
        <v>C</v>
      </c>
      <c r="P506" t="str">
        <f ca="1">IF(tEditais[[#This Row],[Encerramento]]&gt;NOW(),"Aberto","Encerrado")</f>
        <v>Aberto</v>
      </c>
    </row>
    <row r="507" spans="1:16" x14ac:dyDescent="0.25">
      <c r="A507" t="s">
        <v>2677</v>
      </c>
      <c r="B507" t="s">
        <v>2678</v>
      </c>
      <c r="C507" t="s">
        <v>2654</v>
      </c>
      <c r="D507" t="s">
        <v>2638</v>
      </c>
      <c r="E507" t="s">
        <v>716</v>
      </c>
      <c r="F507" s="11">
        <v>46314.354166666664</v>
      </c>
      <c r="G507">
        <v>68</v>
      </c>
      <c r="H507" t="s">
        <v>2679</v>
      </c>
      <c r="I507" t="s">
        <v>2680</v>
      </c>
      <c r="J507" t="str">
        <f>IF(ISNUMBER(SEARCH("registro de pre",tEditais[[#This Row],[Objeto]])),"Sim","Não")</f>
        <v>Não</v>
      </c>
      <c r="K507" s="4">
        <f>COUNTIFS(tItens[Edital],tEditais[[#This Row],[Edital]])</f>
        <v>18</v>
      </c>
      <c r="L507" s="4">
        <f>COUNTIFS(tItens[Edital],tEditais[[#This Row],[Edital]],tItens[Foco],"Sim")</f>
        <v>5</v>
      </c>
      <c r="M507" s="8">
        <f>SUMIFS(tItens[Valor],tItens[Edital],tEditais[[#This Row],[Edital]])</f>
        <v>1452866.5</v>
      </c>
      <c r="N507" s="8">
        <f>SUMIFS(tItens[Valor homologado],tItens[Edital],tEditais[[#This Row],[Edital]],tItens[Foco],"Sim")</f>
        <v>149964.48000000001</v>
      </c>
      <c r="O507" t="str">
        <f>IF(tEditais[[#This Row],[Itens do foco]]=0,"",IF(tEditais[[#This Row],[Valor foco homologado]]&lt;=0,"Sem valor",IF(tEditais[[#This Row],[Valor foco homologado]]&gt;=FaixaA_Min,"A",IF(tEditais[[#This Row],[Valor foco homologado]]&gt;=FaixaB_Min,"B","C"))))</f>
        <v>A</v>
      </c>
      <c r="P507" t="str">
        <f ca="1">IF(tEditais[[#This Row],[Encerramento]]&gt;NOW(),"Aberto","Encerrado")</f>
        <v>Aberto</v>
      </c>
    </row>
    <row r="508" spans="1:16" x14ac:dyDescent="0.25">
      <c r="A508" t="s">
        <v>2681</v>
      </c>
      <c r="B508" t="s">
        <v>2674</v>
      </c>
      <c r="C508" t="s">
        <v>2649</v>
      </c>
      <c r="D508" t="s">
        <v>2638</v>
      </c>
      <c r="E508" t="s">
        <v>716</v>
      </c>
      <c r="F508" s="11">
        <v>46314.583333333336</v>
      </c>
      <c r="G508">
        <v>144</v>
      </c>
      <c r="H508" t="s">
        <v>2682</v>
      </c>
      <c r="I508" t="s">
        <v>2683</v>
      </c>
      <c r="J508" t="str">
        <f>IF(ISNUMBER(SEARCH("registro de pre",tEditais[[#This Row],[Objeto]])),"Sim","Não")</f>
        <v>Não</v>
      </c>
      <c r="K508" s="4">
        <f>COUNTIFS(tItens[Edital],tEditais[[#This Row],[Edital]])</f>
        <v>4</v>
      </c>
      <c r="L508" s="4">
        <f>COUNTIFS(tItens[Edital],tEditais[[#This Row],[Edital]],tItens[Foco],"Sim")</f>
        <v>0</v>
      </c>
      <c r="M508" s="8">
        <f>SUMIFS(tItens[Valor],tItens[Edital],tEditais[[#This Row],[Edital]])</f>
        <v>2288.67</v>
      </c>
      <c r="N508" s="8">
        <f>SUMIFS(tItens[Valor homologado],tItens[Edital],tEditais[[#This Row],[Edital]],tItens[Foco],"Sim")</f>
        <v>0</v>
      </c>
      <c r="O508" t="str">
        <f>IF(tEditais[[#This Row],[Itens do foco]]=0,"",IF(tEditais[[#This Row],[Valor foco homologado]]&lt;=0,"Sem valor",IF(tEditais[[#This Row],[Valor foco homologado]]&gt;=FaixaA_Min,"A",IF(tEditais[[#This Row],[Valor foco homologado]]&gt;=FaixaB_Min,"B","C"))))</f>
        <v/>
      </c>
      <c r="P508" t="str">
        <f ca="1">IF(tEditais[[#This Row],[Encerramento]]&gt;NOW(),"Aberto","Encerrado")</f>
        <v>Aberto</v>
      </c>
    </row>
    <row r="509" spans="1:16" x14ac:dyDescent="0.25">
      <c r="A509" t="s">
        <v>2684</v>
      </c>
      <c r="B509" t="s">
        <v>752</v>
      </c>
      <c r="C509" t="s">
        <v>2685</v>
      </c>
      <c r="D509" t="s">
        <v>2686</v>
      </c>
      <c r="E509" t="s">
        <v>716</v>
      </c>
      <c r="F509" s="11">
        <v>46309.395833333336</v>
      </c>
      <c r="G509">
        <v>204</v>
      </c>
      <c r="H509" t="s">
        <v>2687</v>
      </c>
      <c r="I509" t="s">
        <v>2688</v>
      </c>
      <c r="J509" t="str">
        <f>IF(ISNUMBER(SEARCH("registro de pre",tEditais[[#This Row],[Objeto]])),"Sim","Não")</f>
        <v>Sim</v>
      </c>
      <c r="K509" s="4">
        <f>COUNTIFS(tItens[Edital],tEditais[[#This Row],[Edital]])</f>
        <v>7</v>
      </c>
      <c r="L509" s="4">
        <f>COUNTIFS(tItens[Edital],tEditais[[#This Row],[Edital]],tItens[Foco],"Sim")</f>
        <v>1</v>
      </c>
      <c r="M509" s="8">
        <f>SUMIFS(tItens[Valor],tItens[Edital],tEditais[[#This Row],[Edital]])</f>
        <v>41305.1</v>
      </c>
      <c r="N509" s="8">
        <f>SUMIFS(tItens[Valor homologado],tItens[Edital],tEditais[[#This Row],[Edital]],tItens[Foco],"Sim")</f>
        <v>2210.46</v>
      </c>
      <c r="O509" t="str">
        <f>IF(tEditais[[#This Row],[Itens do foco]]=0,"",IF(tEditais[[#This Row],[Valor foco homologado]]&lt;=0,"Sem valor",IF(tEditais[[#This Row],[Valor foco homologado]]&gt;=FaixaA_Min,"A",IF(tEditais[[#This Row],[Valor foco homologado]]&gt;=FaixaB_Min,"B","C"))))</f>
        <v>C</v>
      </c>
      <c r="P509" t="str">
        <f ca="1">IF(tEditais[[#This Row],[Encerramento]]&gt;NOW(),"Aberto","Encerrado")</f>
        <v>Encerrado</v>
      </c>
    </row>
    <row r="510" spans="1:16" x14ac:dyDescent="0.25">
      <c r="A510" t="s">
        <v>2689</v>
      </c>
      <c r="B510" t="s">
        <v>2690</v>
      </c>
      <c r="C510" t="s">
        <v>2691</v>
      </c>
      <c r="D510" t="s">
        <v>2686</v>
      </c>
      <c r="E510" t="s">
        <v>800</v>
      </c>
      <c r="F510" s="11">
        <v>46309.479166666664</v>
      </c>
      <c r="G510">
        <v>2</v>
      </c>
      <c r="H510" t="s">
        <v>2692</v>
      </c>
      <c r="I510" t="s">
        <v>2693</v>
      </c>
      <c r="J510" t="str">
        <f>IF(ISNUMBER(SEARCH("registro de pre",tEditais[[#This Row],[Objeto]])),"Sim","Não")</f>
        <v>Não</v>
      </c>
      <c r="K510" s="4">
        <f>COUNTIFS(tItens[Edital],tEditais[[#This Row],[Edital]])</f>
        <v>1</v>
      </c>
      <c r="L510" s="4">
        <f>COUNTIFS(tItens[Edital],tEditais[[#This Row],[Edital]],tItens[Foco],"Sim")</f>
        <v>0</v>
      </c>
      <c r="M510" s="8">
        <f>SUMIFS(tItens[Valor],tItens[Edital],tEditais[[#This Row],[Edital]])</f>
        <v>0</v>
      </c>
      <c r="N510" s="8">
        <f>SUMIFS(tItens[Valor homologado],tItens[Edital],tEditais[[#This Row],[Edital]],tItens[Foco],"Sim")</f>
        <v>0</v>
      </c>
      <c r="O510" t="str">
        <f>IF(tEditais[[#This Row],[Itens do foco]]=0,"",IF(tEditais[[#This Row],[Valor foco homologado]]&lt;=0,"Sem valor",IF(tEditais[[#This Row],[Valor foco homologado]]&gt;=FaixaA_Min,"A",IF(tEditais[[#This Row],[Valor foco homologado]]&gt;=FaixaB_Min,"B","C"))))</f>
        <v/>
      </c>
      <c r="P510" t="str">
        <f ca="1">IF(tEditais[[#This Row],[Encerramento]]&gt;NOW(),"Aberto","Encerrado")</f>
        <v>Encerrado</v>
      </c>
    </row>
    <row r="511" spans="1:16" x14ac:dyDescent="0.25">
      <c r="A511" t="s">
        <v>2694</v>
      </c>
      <c r="B511" t="s">
        <v>2695</v>
      </c>
      <c r="C511" t="s">
        <v>2696</v>
      </c>
      <c r="D511" t="s">
        <v>2686</v>
      </c>
      <c r="E511" t="s">
        <v>716</v>
      </c>
      <c r="F511" s="11">
        <v>46310.458333333336</v>
      </c>
      <c r="G511">
        <v>28</v>
      </c>
      <c r="I511" t="s">
        <v>2697</v>
      </c>
      <c r="J511" t="str">
        <f>IF(ISNUMBER(SEARCH("registro de pre",tEditais[[#This Row],[Objeto]])),"Sim","Não")</f>
        <v>Sim</v>
      </c>
      <c r="K511" s="4">
        <f>COUNTIFS(tItens[Edital],tEditais[[#This Row],[Edital]])</f>
        <v>1</v>
      </c>
      <c r="L511" s="4">
        <f>COUNTIFS(tItens[Edital],tEditais[[#This Row],[Edital]],tItens[Foco],"Sim")</f>
        <v>0</v>
      </c>
      <c r="M511" s="8">
        <f>SUMIFS(tItens[Valor],tItens[Edital],tEditais[[#This Row],[Edital]])</f>
        <v>18700</v>
      </c>
      <c r="N511" s="8">
        <f>SUMIFS(tItens[Valor homologado],tItens[Edital],tEditais[[#This Row],[Edital]],tItens[Foco],"Sim")</f>
        <v>0</v>
      </c>
      <c r="O511" t="str">
        <f>IF(tEditais[[#This Row],[Itens do foco]]=0,"",IF(tEditais[[#This Row],[Valor foco homologado]]&lt;=0,"Sem valor",IF(tEditais[[#This Row],[Valor foco homologado]]&gt;=FaixaA_Min,"A",IF(tEditais[[#This Row],[Valor foco homologado]]&gt;=FaixaB_Min,"B","C"))))</f>
        <v/>
      </c>
      <c r="P511" t="str">
        <f ca="1">IF(tEditais[[#This Row],[Encerramento]]&gt;NOW(),"Aberto","Encerrado")</f>
        <v>Encerrado</v>
      </c>
    </row>
    <row r="512" spans="1:16" x14ac:dyDescent="0.25">
      <c r="A512" t="s">
        <v>2698</v>
      </c>
      <c r="B512" t="s">
        <v>752</v>
      </c>
      <c r="C512" t="s">
        <v>2691</v>
      </c>
      <c r="D512" t="s">
        <v>2686</v>
      </c>
      <c r="E512" t="s">
        <v>800</v>
      </c>
      <c r="F512" s="11">
        <v>46310.583333333336</v>
      </c>
      <c r="G512">
        <v>7</v>
      </c>
      <c r="H512" t="s">
        <v>2699</v>
      </c>
      <c r="I512" t="s">
        <v>2700</v>
      </c>
      <c r="J512" t="str">
        <f>IF(ISNUMBER(SEARCH("registro de pre",tEditais[[#This Row],[Objeto]])),"Sim","Não")</f>
        <v>Não</v>
      </c>
      <c r="K512" s="4">
        <f>COUNTIFS(tItens[Edital],tEditais[[#This Row],[Edital]])</f>
        <v>1</v>
      </c>
      <c r="L512" s="4">
        <f>COUNTIFS(tItens[Edital],tEditais[[#This Row],[Edital]],tItens[Foco],"Sim")</f>
        <v>0</v>
      </c>
      <c r="M512" s="8">
        <f>SUMIFS(tItens[Valor],tItens[Edital],tEditais[[#This Row],[Edital]])</f>
        <v>8535</v>
      </c>
      <c r="N512" s="8">
        <f>SUMIFS(tItens[Valor homologado],tItens[Edital],tEditais[[#This Row],[Edital]],tItens[Foco],"Sim")</f>
        <v>0</v>
      </c>
      <c r="O512" t="str">
        <f>IF(tEditais[[#This Row],[Itens do foco]]=0,"",IF(tEditais[[#This Row],[Valor foco homologado]]&lt;=0,"Sem valor",IF(tEditais[[#This Row],[Valor foco homologado]]&gt;=FaixaA_Min,"A",IF(tEditais[[#This Row],[Valor foco homologado]]&gt;=FaixaB_Min,"B","C"))))</f>
        <v/>
      </c>
      <c r="P512" t="str">
        <f ca="1">IF(tEditais[[#This Row],[Encerramento]]&gt;NOW(),"Aberto","Encerrado")</f>
        <v>Encerrado</v>
      </c>
    </row>
    <row r="513" spans="1:16" x14ac:dyDescent="0.25">
      <c r="A513" t="s">
        <v>2701</v>
      </c>
      <c r="B513" t="s">
        <v>2702</v>
      </c>
      <c r="C513" t="s">
        <v>2691</v>
      </c>
      <c r="D513" t="s">
        <v>2686</v>
      </c>
      <c r="E513" t="s">
        <v>800</v>
      </c>
      <c r="F513" s="11">
        <v>46311.375</v>
      </c>
      <c r="G513">
        <v>2</v>
      </c>
      <c r="H513" t="s">
        <v>2703</v>
      </c>
      <c r="I513" t="s">
        <v>2704</v>
      </c>
      <c r="J513" t="str">
        <f>IF(ISNUMBER(SEARCH("registro de pre",tEditais[[#This Row],[Objeto]])),"Sim","Não")</f>
        <v>Não</v>
      </c>
      <c r="K513" s="4">
        <f>COUNTIFS(tItens[Edital],tEditais[[#This Row],[Edital]])</f>
        <v>1</v>
      </c>
      <c r="L513" s="4">
        <f>COUNTIFS(tItens[Edital],tEditais[[#This Row],[Edital]],tItens[Foco],"Sim")</f>
        <v>0</v>
      </c>
      <c r="M513" s="8">
        <f>SUMIFS(tItens[Valor],tItens[Edital],tEditais[[#This Row],[Edital]])</f>
        <v>14057.999999999998</v>
      </c>
      <c r="N513" s="8">
        <f>SUMIFS(tItens[Valor homologado],tItens[Edital],tEditais[[#This Row],[Edital]],tItens[Foco],"Sim")</f>
        <v>0</v>
      </c>
      <c r="O513" t="str">
        <f>IF(tEditais[[#This Row],[Itens do foco]]=0,"",IF(tEditais[[#This Row],[Valor foco homologado]]&lt;=0,"Sem valor",IF(tEditais[[#This Row],[Valor foco homologado]]&gt;=FaixaA_Min,"A",IF(tEditais[[#This Row],[Valor foco homologado]]&gt;=FaixaB_Min,"B","C"))))</f>
        <v/>
      </c>
      <c r="P513" t="str">
        <f ca="1">IF(tEditais[[#This Row],[Encerramento]]&gt;NOW(),"Aberto","Encerrado")</f>
        <v>Aberto</v>
      </c>
    </row>
    <row r="514" spans="1:16" x14ac:dyDescent="0.25">
      <c r="A514" t="s">
        <v>2705</v>
      </c>
      <c r="B514" t="s">
        <v>2706</v>
      </c>
      <c r="C514" t="s">
        <v>2707</v>
      </c>
      <c r="D514" t="s">
        <v>2708</v>
      </c>
      <c r="E514" t="s">
        <v>800</v>
      </c>
      <c r="F514" s="11">
        <v>46304.333333333336</v>
      </c>
      <c r="G514">
        <v>12</v>
      </c>
      <c r="H514" t="s">
        <v>2709</v>
      </c>
      <c r="I514" t="s">
        <v>2710</v>
      </c>
      <c r="J514" t="str">
        <f>IF(ISNUMBER(SEARCH("registro de pre",tEditais[[#This Row],[Objeto]])),"Sim","Não")</f>
        <v>Não</v>
      </c>
      <c r="K514" s="4">
        <f>COUNTIFS(tItens[Edital],tEditais[[#This Row],[Edital]])</f>
        <v>2</v>
      </c>
      <c r="L514" s="4">
        <f>COUNTIFS(tItens[Edital],tEditais[[#This Row],[Edital]],tItens[Foco],"Sim")</f>
        <v>0</v>
      </c>
      <c r="M514" s="8">
        <f>SUMIFS(tItens[Valor],tItens[Edital],tEditais[[#This Row],[Edital]])</f>
        <v>269</v>
      </c>
      <c r="N514" s="8">
        <f>SUMIFS(tItens[Valor homologado],tItens[Edital],tEditais[[#This Row],[Edital]],tItens[Foco],"Sim")</f>
        <v>0</v>
      </c>
      <c r="O514" t="str">
        <f>IF(tEditais[[#This Row],[Itens do foco]]=0,"",IF(tEditais[[#This Row],[Valor foco homologado]]&lt;=0,"Sem valor",IF(tEditais[[#This Row],[Valor foco homologado]]&gt;=FaixaA_Min,"A",IF(tEditais[[#This Row],[Valor foco homologado]]&gt;=FaixaB_Min,"B","C"))))</f>
        <v/>
      </c>
      <c r="P514" t="str">
        <f ca="1">IF(tEditais[[#This Row],[Encerramento]]&gt;NOW(),"Aberto","Encerrado")</f>
        <v>Encerrado</v>
      </c>
    </row>
    <row r="515" spans="1:16" x14ac:dyDescent="0.25">
      <c r="A515" t="s">
        <v>2711</v>
      </c>
      <c r="B515" t="s">
        <v>2712</v>
      </c>
      <c r="C515" t="s">
        <v>2713</v>
      </c>
      <c r="D515" t="s">
        <v>2708</v>
      </c>
      <c r="E515" t="s">
        <v>716</v>
      </c>
      <c r="F515" s="11">
        <v>46304.333333333336</v>
      </c>
      <c r="G515">
        <v>7</v>
      </c>
      <c r="I515" t="s">
        <v>2714</v>
      </c>
      <c r="J515" t="str">
        <f>IF(ISNUMBER(SEARCH("registro de pre",tEditais[[#This Row],[Objeto]])),"Sim","Não")</f>
        <v>Não</v>
      </c>
      <c r="K515" s="4">
        <f>COUNTIFS(tItens[Edital],tEditais[[#This Row],[Edital]])</f>
        <v>1</v>
      </c>
      <c r="L515" s="4">
        <f>COUNTIFS(tItens[Edital],tEditais[[#This Row],[Edital]],tItens[Foco],"Sim")</f>
        <v>0</v>
      </c>
      <c r="M515" s="8">
        <f>SUMIFS(tItens[Valor],tItens[Edital],tEditais[[#This Row],[Edital]])</f>
        <v>0</v>
      </c>
      <c r="N515" s="8">
        <f>SUMIFS(tItens[Valor homologado],tItens[Edital],tEditais[[#This Row],[Edital]],tItens[Foco],"Sim")</f>
        <v>0</v>
      </c>
      <c r="O515" t="str">
        <f>IF(tEditais[[#This Row],[Itens do foco]]=0,"",IF(tEditais[[#This Row],[Valor foco homologado]]&lt;=0,"Sem valor",IF(tEditais[[#This Row],[Valor foco homologado]]&gt;=FaixaA_Min,"A",IF(tEditais[[#This Row],[Valor foco homologado]]&gt;=FaixaB_Min,"B","C"))))</f>
        <v/>
      </c>
      <c r="P515" t="str">
        <f ca="1">IF(tEditais[[#This Row],[Encerramento]]&gt;NOW(),"Aberto","Encerrado")</f>
        <v>Encerrado</v>
      </c>
    </row>
    <row r="516" spans="1:16" x14ac:dyDescent="0.25">
      <c r="A516" t="s">
        <v>2715</v>
      </c>
      <c r="B516" t="s">
        <v>1089</v>
      </c>
      <c r="C516" t="s">
        <v>2716</v>
      </c>
      <c r="D516" t="s">
        <v>2708</v>
      </c>
      <c r="E516" t="s">
        <v>716</v>
      </c>
      <c r="F516" s="11">
        <v>46304.333333333336</v>
      </c>
      <c r="G516">
        <v>13</v>
      </c>
      <c r="H516" t="s">
        <v>2717</v>
      </c>
      <c r="I516" t="s">
        <v>2718</v>
      </c>
      <c r="J516" t="str">
        <f>IF(ISNUMBER(SEARCH("registro de pre",tEditais[[#This Row],[Objeto]])),"Sim","Não")</f>
        <v>Não</v>
      </c>
      <c r="K516" s="4">
        <f>COUNTIFS(tItens[Edital],tEditais[[#This Row],[Edital]])</f>
        <v>1</v>
      </c>
      <c r="L516" s="4">
        <f>COUNTIFS(tItens[Edital],tEditais[[#This Row],[Edital]],tItens[Foco],"Sim")</f>
        <v>0</v>
      </c>
      <c r="M516" s="8">
        <f>SUMIFS(tItens[Valor],tItens[Edital],tEditais[[#This Row],[Edital]])</f>
        <v>0</v>
      </c>
      <c r="N516" s="8">
        <f>SUMIFS(tItens[Valor homologado],tItens[Edital],tEditais[[#This Row],[Edital]],tItens[Foco],"Sim")</f>
        <v>0</v>
      </c>
      <c r="O516" t="str">
        <f>IF(tEditais[[#This Row],[Itens do foco]]=0,"",IF(tEditais[[#This Row],[Valor foco homologado]]&lt;=0,"Sem valor",IF(tEditais[[#This Row],[Valor foco homologado]]&gt;=FaixaA_Min,"A",IF(tEditais[[#This Row],[Valor foco homologado]]&gt;=FaixaB_Min,"B","C"))))</f>
        <v/>
      </c>
      <c r="P516" t="str">
        <f ca="1">IF(tEditais[[#This Row],[Encerramento]]&gt;NOW(),"Aberto","Encerrado")</f>
        <v>Encerrado</v>
      </c>
    </row>
    <row r="517" spans="1:16" x14ac:dyDescent="0.25">
      <c r="A517" t="s">
        <v>2719</v>
      </c>
      <c r="B517" t="s">
        <v>2720</v>
      </c>
      <c r="C517" t="s">
        <v>2721</v>
      </c>
      <c r="D517" t="s">
        <v>2708</v>
      </c>
      <c r="E517" t="s">
        <v>716</v>
      </c>
      <c r="F517" s="11">
        <v>46304.333333333336</v>
      </c>
      <c r="G517">
        <v>3</v>
      </c>
      <c r="I517" t="s">
        <v>2722</v>
      </c>
      <c r="J517" t="str">
        <f>IF(ISNUMBER(SEARCH("registro de pre",tEditais[[#This Row],[Objeto]])),"Sim","Não")</f>
        <v>Sim</v>
      </c>
      <c r="K517" s="4">
        <f>COUNTIFS(tItens[Edital],tEditais[[#This Row],[Edital]])</f>
        <v>1</v>
      </c>
      <c r="L517" s="4">
        <f>COUNTIFS(tItens[Edital],tEditais[[#This Row],[Edital]],tItens[Foco],"Sim")</f>
        <v>0</v>
      </c>
      <c r="M517" s="8">
        <f>SUMIFS(tItens[Valor],tItens[Edital],tEditais[[#This Row],[Edital]])</f>
        <v>0</v>
      </c>
      <c r="N517" s="8">
        <f>SUMIFS(tItens[Valor homologado],tItens[Edital],tEditais[[#This Row],[Edital]],tItens[Foco],"Sim")</f>
        <v>0</v>
      </c>
      <c r="O517" t="str">
        <f>IF(tEditais[[#This Row],[Itens do foco]]=0,"",IF(tEditais[[#This Row],[Valor foco homologado]]&lt;=0,"Sem valor",IF(tEditais[[#This Row],[Valor foco homologado]]&gt;=FaixaA_Min,"A",IF(tEditais[[#This Row],[Valor foco homologado]]&gt;=FaixaB_Min,"B","C"))))</f>
        <v/>
      </c>
      <c r="P517" t="str">
        <f ca="1">IF(tEditais[[#This Row],[Encerramento]]&gt;NOW(),"Aberto","Encerrado")</f>
        <v>Encerrado</v>
      </c>
    </row>
    <row r="518" spans="1:16" x14ac:dyDescent="0.25">
      <c r="A518" t="s">
        <v>2723</v>
      </c>
      <c r="B518" t="s">
        <v>2724</v>
      </c>
      <c r="C518" t="s">
        <v>2725</v>
      </c>
      <c r="D518" t="s">
        <v>2708</v>
      </c>
      <c r="E518" t="s">
        <v>800</v>
      </c>
      <c r="F518" s="11">
        <v>46304.333333333336</v>
      </c>
      <c r="G518">
        <v>20</v>
      </c>
      <c r="H518" t="s">
        <v>2726</v>
      </c>
      <c r="I518" t="s">
        <v>2727</v>
      </c>
      <c r="J518" t="str">
        <f>IF(ISNUMBER(SEARCH("registro de pre",tEditais[[#This Row],[Objeto]])),"Sim","Não")</f>
        <v>Não</v>
      </c>
      <c r="K518" s="4">
        <f>COUNTIFS(tItens[Edital],tEditais[[#This Row],[Edital]])</f>
        <v>3</v>
      </c>
      <c r="L518" s="4">
        <f>COUNTIFS(tItens[Edital],tEditais[[#This Row],[Edital]],tItens[Foco],"Sim")</f>
        <v>0</v>
      </c>
      <c r="M518" s="8">
        <f>SUMIFS(tItens[Valor],tItens[Edital],tEditais[[#This Row],[Edital]])</f>
        <v>169.88</v>
      </c>
      <c r="N518" s="8">
        <f>SUMIFS(tItens[Valor homologado],tItens[Edital],tEditais[[#This Row],[Edital]],tItens[Foco],"Sim")</f>
        <v>0</v>
      </c>
      <c r="O518" t="str">
        <f>IF(tEditais[[#This Row],[Itens do foco]]=0,"",IF(tEditais[[#This Row],[Valor foco homologado]]&lt;=0,"Sem valor",IF(tEditais[[#This Row],[Valor foco homologado]]&gt;=FaixaA_Min,"A",IF(tEditais[[#This Row],[Valor foco homologado]]&gt;=FaixaB_Min,"B","C"))))</f>
        <v/>
      </c>
      <c r="P518" t="str">
        <f ca="1">IF(tEditais[[#This Row],[Encerramento]]&gt;NOW(),"Aberto","Encerrado")</f>
        <v>Encerrado</v>
      </c>
    </row>
    <row r="519" spans="1:16" x14ac:dyDescent="0.25">
      <c r="A519" t="s">
        <v>2728</v>
      </c>
      <c r="B519" t="s">
        <v>2729</v>
      </c>
      <c r="C519" t="s">
        <v>2730</v>
      </c>
      <c r="D519" t="s">
        <v>2708</v>
      </c>
      <c r="E519" t="s">
        <v>716</v>
      </c>
      <c r="F519" s="11">
        <v>46304.354166666664</v>
      </c>
      <c r="G519">
        <v>217</v>
      </c>
      <c r="H519" t="s">
        <v>2731</v>
      </c>
      <c r="I519" t="s">
        <v>2732</v>
      </c>
      <c r="J519" t="str">
        <f>IF(ISNUMBER(SEARCH("registro de pre",tEditais[[#This Row],[Objeto]])),"Sim","Não")</f>
        <v>Sim</v>
      </c>
      <c r="K519" s="4">
        <f>COUNTIFS(tItens[Edital],tEditais[[#This Row],[Edital]])</f>
        <v>70</v>
      </c>
      <c r="L519" s="4">
        <f>COUNTIFS(tItens[Edital],tEditais[[#This Row],[Edital]],tItens[Foco],"Sim")</f>
        <v>12</v>
      </c>
      <c r="M519" s="8">
        <f>SUMIFS(tItens[Valor],tItens[Edital],tEditais[[#This Row],[Edital]])</f>
        <v>434747.30000000005</v>
      </c>
      <c r="N519" s="8">
        <f>SUMIFS(tItens[Valor homologado],tItens[Edital],tEditais[[#This Row],[Edital]],tItens[Foco],"Sim")</f>
        <v>15742.152999999998</v>
      </c>
      <c r="O519" t="str">
        <f>IF(tEditais[[#This Row],[Itens do foco]]=0,"",IF(tEditais[[#This Row],[Valor foco homologado]]&lt;=0,"Sem valor",IF(tEditais[[#This Row],[Valor foco homologado]]&gt;=FaixaA_Min,"A",IF(tEditais[[#This Row],[Valor foco homologado]]&gt;=FaixaB_Min,"B","C"))))</f>
        <v>C</v>
      </c>
      <c r="P519" t="str">
        <f ca="1">IF(tEditais[[#This Row],[Encerramento]]&gt;NOW(),"Aberto","Encerrado")</f>
        <v>Encerrado</v>
      </c>
    </row>
    <row r="520" spans="1:16" x14ac:dyDescent="0.25">
      <c r="A520" t="s">
        <v>2733</v>
      </c>
      <c r="B520" t="s">
        <v>2734</v>
      </c>
      <c r="C520" t="s">
        <v>2735</v>
      </c>
      <c r="D520" t="s">
        <v>2708</v>
      </c>
      <c r="E520" t="s">
        <v>716</v>
      </c>
      <c r="F520" s="11">
        <v>46304.354166666664</v>
      </c>
      <c r="G520">
        <v>24</v>
      </c>
      <c r="I520" t="s">
        <v>2736</v>
      </c>
      <c r="J520" t="str">
        <f>IF(ISNUMBER(SEARCH("registro de pre",tEditais[[#This Row],[Objeto]])),"Sim","Não")</f>
        <v>Sim</v>
      </c>
      <c r="K520" s="4">
        <f>COUNTIFS(tItens[Edital],tEditais[[#This Row],[Edital]])</f>
        <v>3</v>
      </c>
      <c r="L520" s="4">
        <f>COUNTIFS(tItens[Edital],tEditais[[#This Row],[Edital]],tItens[Foco],"Sim")</f>
        <v>1</v>
      </c>
      <c r="M520" s="8">
        <f>SUMIFS(tItens[Valor],tItens[Edital],tEditais[[#This Row],[Edital]])</f>
        <v>6390</v>
      </c>
      <c r="N520" s="8">
        <f>SUMIFS(tItens[Valor homologado],tItens[Edital],tEditais[[#This Row],[Edital]],tItens[Foco],"Sim")</f>
        <v>1795.1999999999998</v>
      </c>
      <c r="O520" t="str">
        <f>IF(tEditais[[#This Row],[Itens do foco]]=0,"",IF(tEditais[[#This Row],[Valor foco homologado]]&lt;=0,"Sem valor",IF(tEditais[[#This Row],[Valor foco homologado]]&gt;=FaixaA_Min,"A",IF(tEditais[[#This Row],[Valor foco homologado]]&gt;=FaixaB_Min,"B","C"))))</f>
        <v>C</v>
      </c>
      <c r="P520" t="str">
        <f ca="1">IF(tEditais[[#This Row],[Encerramento]]&gt;NOW(),"Aberto","Encerrado")</f>
        <v>Encerrado</v>
      </c>
    </row>
    <row r="521" spans="1:16" x14ac:dyDescent="0.25">
      <c r="A521" t="s">
        <v>2737</v>
      </c>
      <c r="B521" t="s">
        <v>2738</v>
      </c>
      <c r="C521" t="s">
        <v>2739</v>
      </c>
      <c r="D521" t="s">
        <v>2708</v>
      </c>
      <c r="E521" t="s">
        <v>716</v>
      </c>
      <c r="F521" s="11">
        <v>46304.354166666664</v>
      </c>
      <c r="G521">
        <v>55</v>
      </c>
      <c r="H521" t="s">
        <v>2740</v>
      </c>
      <c r="I521" t="s">
        <v>2741</v>
      </c>
      <c r="J521" t="str">
        <f>IF(ISNUMBER(SEARCH("registro de pre",tEditais[[#This Row],[Objeto]])),"Sim","Não")</f>
        <v>Sim</v>
      </c>
      <c r="K521" s="4">
        <f>COUNTIFS(tItens[Edital],tEditais[[#This Row],[Edital]])</f>
        <v>1</v>
      </c>
      <c r="L521" s="4">
        <f>COUNTIFS(tItens[Edital],tEditais[[#This Row],[Edital]],tItens[Foco],"Sim")</f>
        <v>0</v>
      </c>
      <c r="M521" s="8">
        <f>SUMIFS(tItens[Valor],tItens[Edital],tEditais[[#This Row],[Edital]])</f>
        <v>66146.400000000009</v>
      </c>
      <c r="N521" s="8">
        <f>SUMIFS(tItens[Valor homologado],tItens[Edital],tEditais[[#This Row],[Edital]],tItens[Foco],"Sim")</f>
        <v>0</v>
      </c>
      <c r="O521" t="str">
        <f>IF(tEditais[[#This Row],[Itens do foco]]=0,"",IF(tEditais[[#This Row],[Valor foco homologado]]&lt;=0,"Sem valor",IF(tEditais[[#This Row],[Valor foco homologado]]&gt;=FaixaA_Min,"A",IF(tEditais[[#This Row],[Valor foco homologado]]&gt;=FaixaB_Min,"B","C"))))</f>
        <v/>
      </c>
      <c r="P521" t="str">
        <f ca="1">IF(tEditais[[#This Row],[Encerramento]]&gt;NOW(),"Aberto","Encerrado")</f>
        <v>Encerrado</v>
      </c>
    </row>
    <row r="522" spans="1:16" x14ac:dyDescent="0.25">
      <c r="A522" t="s">
        <v>2742</v>
      </c>
      <c r="B522" t="s">
        <v>2734</v>
      </c>
      <c r="C522" t="s">
        <v>2735</v>
      </c>
      <c r="D522" t="s">
        <v>2708</v>
      </c>
      <c r="E522" t="s">
        <v>716</v>
      </c>
      <c r="F522" s="11">
        <v>46304.354166666664</v>
      </c>
      <c r="G522">
        <v>18</v>
      </c>
      <c r="I522" t="s">
        <v>2743</v>
      </c>
      <c r="J522" t="str">
        <f>IF(ISNUMBER(SEARCH("registro de pre",tEditais[[#This Row],[Objeto]])),"Sim","Não")</f>
        <v>Sim</v>
      </c>
      <c r="K522" s="4">
        <f>COUNTIFS(tItens[Edital],tEditais[[#This Row],[Edital]])</f>
        <v>2</v>
      </c>
      <c r="L522" s="4">
        <f>COUNTIFS(tItens[Edital],tEditais[[#This Row],[Edital]],tItens[Foco],"Sim")</f>
        <v>0</v>
      </c>
      <c r="M522" s="8">
        <f>SUMIFS(tItens[Valor],tItens[Edital],tEditais[[#This Row],[Edital]])</f>
        <v>114600</v>
      </c>
      <c r="N522" s="8">
        <f>SUMIFS(tItens[Valor homologado],tItens[Edital],tEditais[[#This Row],[Edital]],tItens[Foco],"Sim")</f>
        <v>0</v>
      </c>
      <c r="O522" t="str">
        <f>IF(tEditais[[#This Row],[Itens do foco]]=0,"",IF(tEditais[[#This Row],[Valor foco homologado]]&lt;=0,"Sem valor",IF(tEditais[[#This Row],[Valor foco homologado]]&gt;=FaixaA_Min,"A",IF(tEditais[[#This Row],[Valor foco homologado]]&gt;=FaixaB_Min,"B","C"))))</f>
        <v/>
      </c>
      <c r="P522" t="str">
        <f ca="1">IF(tEditais[[#This Row],[Encerramento]]&gt;NOW(),"Aberto","Encerrado")</f>
        <v>Encerrado</v>
      </c>
    </row>
    <row r="523" spans="1:16" x14ac:dyDescent="0.25">
      <c r="A523" t="s">
        <v>2744</v>
      </c>
      <c r="B523" t="s">
        <v>2745</v>
      </c>
      <c r="C523" t="s">
        <v>2725</v>
      </c>
      <c r="D523" t="s">
        <v>2708</v>
      </c>
      <c r="E523" t="s">
        <v>716</v>
      </c>
      <c r="F523" s="11">
        <v>46304.354166666664</v>
      </c>
      <c r="G523">
        <v>6</v>
      </c>
      <c r="H523" t="s">
        <v>2746</v>
      </c>
      <c r="I523" t="s">
        <v>2747</v>
      </c>
      <c r="J523" t="str">
        <f>IF(ISNUMBER(SEARCH("registro de pre",tEditais[[#This Row],[Objeto]])),"Sim","Não")</f>
        <v>Sim</v>
      </c>
      <c r="K523" s="4">
        <f>COUNTIFS(tItens[Edital],tEditais[[#This Row],[Edital]])</f>
        <v>1</v>
      </c>
      <c r="L523" s="4">
        <f>COUNTIFS(tItens[Edital],tEditais[[#This Row],[Edital]],tItens[Foco],"Sim")</f>
        <v>0</v>
      </c>
      <c r="M523" s="8">
        <f>SUMIFS(tItens[Valor],tItens[Edital],tEditais[[#This Row],[Edital]])</f>
        <v>37762.5</v>
      </c>
      <c r="N523" s="8">
        <f>SUMIFS(tItens[Valor homologado],tItens[Edital],tEditais[[#This Row],[Edital]],tItens[Foco],"Sim")</f>
        <v>0</v>
      </c>
      <c r="O523" t="str">
        <f>IF(tEditais[[#This Row],[Itens do foco]]=0,"",IF(tEditais[[#This Row],[Valor foco homologado]]&lt;=0,"Sem valor",IF(tEditais[[#This Row],[Valor foco homologado]]&gt;=FaixaA_Min,"A",IF(tEditais[[#This Row],[Valor foco homologado]]&gt;=FaixaB_Min,"B","C"))))</f>
        <v/>
      </c>
      <c r="P523" t="str">
        <f ca="1">IF(tEditais[[#This Row],[Encerramento]]&gt;NOW(),"Aberto","Encerrado")</f>
        <v>Encerrado</v>
      </c>
    </row>
    <row r="524" spans="1:16" x14ac:dyDescent="0.25">
      <c r="A524" t="s">
        <v>2748</v>
      </c>
      <c r="B524" t="s">
        <v>2749</v>
      </c>
      <c r="C524" t="s">
        <v>2750</v>
      </c>
      <c r="D524" t="s">
        <v>2708</v>
      </c>
      <c r="E524" t="s">
        <v>716</v>
      </c>
      <c r="F524" s="11">
        <v>46304.368055555555</v>
      </c>
      <c r="G524">
        <v>157</v>
      </c>
      <c r="I524" t="s">
        <v>2751</v>
      </c>
      <c r="J524" t="str">
        <f>IF(ISNUMBER(SEARCH("registro de pre",tEditais[[#This Row],[Objeto]])),"Sim","Não")</f>
        <v>Sim</v>
      </c>
      <c r="K524" s="4">
        <f>COUNTIFS(tItens[Edital],tEditais[[#This Row],[Edital]])</f>
        <v>1</v>
      </c>
      <c r="L524" s="4">
        <f>COUNTIFS(tItens[Edital],tEditais[[#This Row],[Edital]],tItens[Foco],"Sim")</f>
        <v>0</v>
      </c>
      <c r="M524" s="8">
        <f>SUMIFS(tItens[Valor],tItens[Edital],tEditais[[#This Row],[Edital]])</f>
        <v>836.46</v>
      </c>
      <c r="N524" s="8">
        <f>SUMIFS(tItens[Valor homologado],tItens[Edital],tEditais[[#This Row],[Edital]],tItens[Foco],"Sim")</f>
        <v>0</v>
      </c>
      <c r="O524" t="str">
        <f>IF(tEditais[[#This Row],[Itens do foco]]=0,"",IF(tEditais[[#This Row],[Valor foco homologado]]&lt;=0,"Sem valor",IF(tEditais[[#This Row],[Valor foco homologado]]&gt;=FaixaA_Min,"A",IF(tEditais[[#This Row],[Valor foco homologado]]&gt;=FaixaB_Min,"B","C"))))</f>
        <v/>
      </c>
      <c r="P524" t="str">
        <f ca="1">IF(tEditais[[#This Row],[Encerramento]]&gt;NOW(),"Aberto","Encerrado")</f>
        <v>Encerrado</v>
      </c>
    </row>
    <row r="525" spans="1:16" x14ac:dyDescent="0.25">
      <c r="A525" t="s">
        <v>2752</v>
      </c>
      <c r="B525" t="s">
        <v>2753</v>
      </c>
      <c r="C525" t="s">
        <v>2754</v>
      </c>
      <c r="D525" t="s">
        <v>2708</v>
      </c>
      <c r="E525" t="s">
        <v>716</v>
      </c>
      <c r="F525" s="11">
        <v>46304.374305555553</v>
      </c>
      <c r="G525">
        <v>32</v>
      </c>
      <c r="H525" t="s">
        <v>2755</v>
      </c>
      <c r="I525" t="s">
        <v>2756</v>
      </c>
      <c r="J525" t="str">
        <f>IF(ISNUMBER(SEARCH("registro de pre",tEditais[[#This Row],[Objeto]])),"Sim","Não")</f>
        <v>Sim</v>
      </c>
      <c r="K525" s="4">
        <f>COUNTIFS(tItens[Edital],tEditais[[#This Row],[Edital]])</f>
        <v>6</v>
      </c>
      <c r="L525" s="4">
        <f>COUNTIFS(tItens[Edital],tEditais[[#This Row],[Edital]],tItens[Foco],"Sim")</f>
        <v>0</v>
      </c>
      <c r="M525" s="8">
        <f>SUMIFS(tItens[Valor],tItens[Edital],tEditais[[#This Row],[Edital]])</f>
        <v>431428.29</v>
      </c>
      <c r="N525" s="8">
        <f>SUMIFS(tItens[Valor homologado],tItens[Edital],tEditais[[#This Row],[Edital]],tItens[Foco],"Sim")</f>
        <v>0</v>
      </c>
      <c r="O525" t="str">
        <f>IF(tEditais[[#This Row],[Itens do foco]]=0,"",IF(tEditais[[#This Row],[Valor foco homologado]]&lt;=0,"Sem valor",IF(tEditais[[#This Row],[Valor foco homologado]]&gt;=FaixaA_Min,"A",IF(tEditais[[#This Row],[Valor foco homologado]]&gt;=FaixaB_Min,"B","C"))))</f>
        <v/>
      </c>
      <c r="P525" t="str">
        <f ca="1">IF(tEditais[[#This Row],[Encerramento]]&gt;NOW(),"Aberto","Encerrado")</f>
        <v>Encerrado</v>
      </c>
    </row>
    <row r="526" spans="1:16" x14ac:dyDescent="0.25">
      <c r="A526" t="s">
        <v>2757</v>
      </c>
      <c r="B526" t="s">
        <v>2758</v>
      </c>
      <c r="C526" t="s">
        <v>2759</v>
      </c>
      <c r="D526" t="s">
        <v>2708</v>
      </c>
      <c r="E526" t="s">
        <v>716</v>
      </c>
      <c r="F526" s="11">
        <v>46304.375</v>
      </c>
      <c r="G526">
        <v>8</v>
      </c>
      <c r="H526" t="s">
        <v>2760</v>
      </c>
      <c r="I526" t="s">
        <v>2761</v>
      </c>
      <c r="J526" t="str">
        <f>IF(ISNUMBER(SEARCH("registro de pre",tEditais[[#This Row],[Objeto]])),"Sim","Não")</f>
        <v>Sim</v>
      </c>
      <c r="K526" s="4">
        <f>COUNTIFS(tItens[Edital],tEditais[[#This Row],[Edital]])</f>
        <v>3</v>
      </c>
      <c r="L526" s="4">
        <f>COUNTIFS(tItens[Edital],tEditais[[#This Row],[Edital]],tItens[Foco],"Sim")</f>
        <v>1</v>
      </c>
      <c r="M526" s="8">
        <f>SUMIFS(tItens[Valor],tItens[Edital],tEditais[[#This Row],[Edital]])</f>
        <v>137172.45000000001</v>
      </c>
      <c r="N526" s="8">
        <f>SUMIFS(tItens[Valor homologado],tItens[Edital],tEditais[[#This Row],[Edital]],tItens[Foco],"Sim")</f>
        <v>10725.790500000001</v>
      </c>
      <c r="O526" t="str">
        <f>IF(tEditais[[#This Row],[Itens do foco]]=0,"",IF(tEditais[[#This Row],[Valor foco homologado]]&lt;=0,"Sem valor",IF(tEditais[[#This Row],[Valor foco homologado]]&gt;=FaixaA_Min,"A",IF(tEditais[[#This Row],[Valor foco homologado]]&gt;=FaixaB_Min,"B","C"))))</f>
        <v>C</v>
      </c>
      <c r="P526" t="str">
        <f ca="1">IF(tEditais[[#This Row],[Encerramento]]&gt;NOW(),"Aberto","Encerrado")</f>
        <v>Encerrado</v>
      </c>
    </row>
    <row r="527" spans="1:16" x14ac:dyDescent="0.25">
      <c r="A527" t="s">
        <v>2762</v>
      </c>
      <c r="B527" t="s">
        <v>1089</v>
      </c>
      <c r="C527" t="s">
        <v>2763</v>
      </c>
      <c r="D527" t="s">
        <v>2708</v>
      </c>
      <c r="E527" t="s">
        <v>716</v>
      </c>
      <c r="F527" s="11">
        <v>46304.375</v>
      </c>
      <c r="G527">
        <v>3</v>
      </c>
      <c r="H527" t="s">
        <v>2764</v>
      </c>
      <c r="I527" t="s">
        <v>2765</v>
      </c>
      <c r="J527" t="str">
        <f>IF(ISNUMBER(SEARCH("registro de pre",tEditais[[#This Row],[Objeto]])),"Sim","Não")</f>
        <v>Não</v>
      </c>
      <c r="K527" s="4">
        <f>COUNTIFS(tItens[Edital],tEditais[[#This Row],[Edital]])</f>
        <v>1</v>
      </c>
      <c r="L527" s="4">
        <f>COUNTIFS(tItens[Edital],tEditais[[#This Row],[Edital]],tItens[Foco],"Sim")</f>
        <v>1</v>
      </c>
      <c r="M527" s="8">
        <f>SUMIFS(tItens[Valor],tItens[Edital],tEditais[[#This Row],[Edital]])</f>
        <v>0</v>
      </c>
      <c r="N527" s="8">
        <f>SUMIFS(tItens[Valor homologado],tItens[Edital],tEditais[[#This Row],[Edital]],tItens[Foco],"Sim")</f>
        <v>0</v>
      </c>
      <c r="O527" t="str">
        <f>IF(tEditais[[#This Row],[Itens do foco]]=0,"",IF(tEditais[[#This Row],[Valor foco homologado]]&lt;=0,"Sem valor",IF(tEditais[[#This Row],[Valor foco homologado]]&gt;=FaixaA_Min,"A",IF(tEditais[[#This Row],[Valor foco homologado]]&gt;=FaixaB_Min,"B","C"))))</f>
        <v>Sem valor</v>
      </c>
      <c r="P527" t="str">
        <f ca="1">IF(tEditais[[#This Row],[Encerramento]]&gt;NOW(),"Aberto","Encerrado")</f>
        <v>Encerrado</v>
      </c>
    </row>
    <row r="528" spans="1:16" x14ac:dyDescent="0.25">
      <c r="A528" t="s">
        <v>2766</v>
      </c>
      <c r="B528" t="s">
        <v>1206</v>
      </c>
      <c r="C528" t="s">
        <v>2763</v>
      </c>
      <c r="D528" t="s">
        <v>2708</v>
      </c>
      <c r="E528" t="s">
        <v>716</v>
      </c>
      <c r="F528" s="11">
        <v>46304.375</v>
      </c>
      <c r="G528">
        <v>4</v>
      </c>
      <c r="H528" t="s">
        <v>2767</v>
      </c>
      <c r="I528" t="s">
        <v>2768</v>
      </c>
      <c r="J528" t="str">
        <f>IF(ISNUMBER(SEARCH("registro de pre",tEditais[[#This Row],[Objeto]])),"Sim","Não")</f>
        <v>Não</v>
      </c>
      <c r="K528" s="4">
        <f>COUNTIFS(tItens[Edital],tEditais[[#This Row],[Edital]])</f>
        <v>4</v>
      </c>
      <c r="L528" s="4">
        <f>COUNTIFS(tItens[Edital],tEditais[[#This Row],[Edital]],tItens[Foco],"Sim")</f>
        <v>0</v>
      </c>
      <c r="M528" s="8">
        <f>SUMIFS(tItens[Valor],tItens[Edital],tEditais[[#This Row],[Edital]])</f>
        <v>0</v>
      </c>
      <c r="N528" s="8">
        <f>SUMIFS(tItens[Valor homologado],tItens[Edital],tEditais[[#This Row],[Edital]],tItens[Foco],"Sim")</f>
        <v>0</v>
      </c>
      <c r="O528" t="str">
        <f>IF(tEditais[[#This Row],[Itens do foco]]=0,"",IF(tEditais[[#This Row],[Valor foco homologado]]&lt;=0,"Sem valor",IF(tEditais[[#This Row],[Valor foco homologado]]&gt;=FaixaA_Min,"A",IF(tEditais[[#This Row],[Valor foco homologado]]&gt;=FaixaB_Min,"B","C"))))</f>
        <v/>
      </c>
      <c r="P528" t="str">
        <f ca="1">IF(tEditais[[#This Row],[Encerramento]]&gt;NOW(),"Aberto","Encerrado")</f>
        <v>Encerrado</v>
      </c>
    </row>
    <row r="529" spans="1:16" x14ac:dyDescent="0.25">
      <c r="A529" t="s">
        <v>2769</v>
      </c>
      <c r="B529" t="s">
        <v>2770</v>
      </c>
      <c r="C529" t="s">
        <v>2707</v>
      </c>
      <c r="D529" t="s">
        <v>2708</v>
      </c>
      <c r="E529" t="s">
        <v>716</v>
      </c>
      <c r="F529" s="11">
        <v>46304.375</v>
      </c>
      <c r="G529">
        <v>3</v>
      </c>
      <c r="H529" t="s">
        <v>2771</v>
      </c>
      <c r="I529" t="s">
        <v>2772</v>
      </c>
      <c r="J529" t="str">
        <f>IF(ISNUMBER(SEARCH("registro de pre",tEditais[[#This Row],[Objeto]])),"Sim","Não")</f>
        <v>Não</v>
      </c>
      <c r="K529" s="4">
        <f>COUNTIFS(tItens[Edital],tEditais[[#This Row],[Edital]])</f>
        <v>1</v>
      </c>
      <c r="L529" s="4">
        <f>COUNTIFS(tItens[Edital],tEditais[[#This Row],[Edital]],tItens[Foco],"Sim")</f>
        <v>0</v>
      </c>
      <c r="M529" s="8">
        <f>SUMIFS(tItens[Valor],tItens[Edital],tEditais[[#This Row],[Edital]])</f>
        <v>37559.879999999997</v>
      </c>
      <c r="N529" s="8">
        <f>SUMIFS(tItens[Valor homologado],tItens[Edital],tEditais[[#This Row],[Edital]],tItens[Foco],"Sim")</f>
        <v>0</v>
      </c>
      <c r="O529" t="str">
        <f>IF(tEditais[[#This Row],[Itens do foco]]=0,"",IF(tEditais[[#This Row],[Valor foco homologado]]&lt;=0,"Sem valor",IF(tEditais[[#This Row],[Valor foco homologado]]&gt;=FaixaA_Min,"A",IF(tEditais[[#This Row],[Valor foco homologado]]&gt;=FaixaB_Min,"B","C"))))</f>
        <v/>
      </c>
      <c r="P529" t="str">
        <f ca="1">IF(tEditais[[#This Row],[Encerramento]]&gt;NOW(),"Aberto","Encerrado")</f>
        <v>Encerrado</v>
      </c>
    </row>
    <row r="530" spans="1:16" x14ac:dyDescent="0.25">
      <c r="A530" t="s">
        <v>2773</v>
      </c>
      <c r="B530" t="s">
        <v>2774</v>
      </c>
      <c r="C530" t="s">
        <v>2775</v>
      </c>
      <c r="D530" t="s">
        <v>2708</v>
      </c>
      <c r="E530" t="s">
        <v>1154</v>
      </c>
      <c r="F530" s="11">
        <v>46304.375</v>
      </c>
      <c r="G530">
        <v>137</v>
      </c>
      <c r="I530" t="s">
        <v>2776</v>
      </c>
      <c r="J530" t="str">
        <f>IF(ISNUMBER(SEARCH("registro de pre",tEditais[[#This Row],[Objeto]])),"Sim","Não")</f>
        <v>Não</v>
      </c>
      <c r="K530" s="4">
        <f>COUNTIFS(tItens[Edital],tEditais[[#This Row],[Edital]])</f>
        <v>1</v>
      </c>
      <c r="L530" s="4">
        <f>COUNTIFS(tItens[Edital],tEditais[[#This Row],[Edital]],tItens[Foco],"Sim")</f>
        <v>0</v>
      </c>
      <c r="M530" s="8">
        <f>SUMIFS(tItens[Valor],tItens[Edital],tEditais[[#This Row],[Edital]])</f>
        <v>789</v>
      </c>
      <c r="N530" s="8">
        <f>SUMIFS(tItens[Valor homologado],tItens[Edital],tEditais[[#This Row],[Edital]],tItens[Foco],"Sim")</f>
        <v>0</v>
      </c>
      <c r="O530" t="str">
        <f>IF(tEditais[[#This Row],[Itens do foco]]=0,"",IF(tEditais[[#This Row],[Valor foco homologado]]&lt;=0,"Sem valor",IF(tEditais[[#This Row],[Valor foco homologado]]&gt;=FaixaA_Min,"A",IF(tEditais[[#This Row],[Valor foco homologado]]&gt;=FaixaB_Min,"B","C"))))</f>
        <v/>
      </c>
      <c r="P530" t="str">
        <f ca="1">IF(tEditais[[#This Row],[Encerramento]]&gt;NOW(),"Aberto","Encerrado")</f>
        <v>Encerrado</v>
      </c>
    </row>
    <row r="531" spans="1:16" x14ac:dyDescent="0.25">
      <c r="A531" t="s">
        <v>2777</v>
      </c>
      <c r="B531" t="s">
        <v>2778</v>
      </c>
      <c r="C531" t="s">
        <v>2779</v>
      </c>
      <c r="D531" t="s">
        <v>2708</v>
      </c>
      <c r="E531" t="s">
        <v>716</v>
      </c>
      <c r="F531" s="11">
        <v>46304.395833333336</v>
      </c>
      <c r="G531">
        <v>5</v>
      </c>
      <c r="I531" t="s">
        <v>2780</v>
      </c>
      <c r="J531" t="str">
        <f>IF(ISNUMBER(SEARCH("registro de pre",tEditais[[#This Row],[Objeto]])),"Sim","Não")</f>
        <v>Não</v>
      </c>
      <c r="K531" s="4">
        <f>COUNTIFS(tItens[Edital],tEditais[[#This Row],[Edital]])</f>
        <v>4</v>
      </c>
      <c r="L531" s="4">
        <f>COUNTIFS(tItens[Edital],tEditais[[#This Row],[Edital]],tItens[Foco],"Sim")</f>
        <v>0</v>
      </c>
      <c r="M531" s="8">
        <f>SUMIFS(tItens[Valor],tItens[Edital],tEditais[[#This Row],[Edital]])</f>
        <v>0</v>
      </c>
      <c r="N531" s="8">
        <f>SUMIFS(tItens[Valor homologado],tItens[Edital],tEditais[[#This Row],[Edital]],tItens[Foco],"Sim")</f>
        <v>0</v>
      </c>
      <c r="O531" t="str">
        <f>IF(tEditais[[#This Row],[Itens do foco]]=0,"",IF(tEditais[[#This Row],[Valor foco homologado]]&lt;=0,"Sem valor",IF(tEditais[[#This Row],[Valor foco homologado]]&gt;=FaixaA_Min,"A",IF(tEditais[[#This Row],[Valor foco homologado]]&gt;=FaixaB_Min,"B","C"))))</f>
        <v/>
      </c>
      <c r="P531" t="str">
        <f ca="1">IF(tEditais[[#This Row],[Encerramento]]&gt;NOW(),"Aberto","Encerrado")</f>
        <v>Encerrado</v>
      </c>
    </row>
    <row r="532" spans="1:16" x14ac:dyDescent="0.25">
      <c r="A532" t="s">
        <v>2781</v>
      </c>
      <c r="B532" t="s">
        <v>2782</v>
      </c>
      <c r="C532" t="s">
        <v>2783</v>
      </c>
      <c r="D532" t="s">
        <v>2708</v>
      </c>
      <c r="E532" t="s">
        <v>716</v>
      </c>
      <c r="F532" s="11">
        <v>46304.395833333336</v>
      </c>
      <c r="G532">
        <v>30</v>
      </c>
      <c r="H532" t="s">
        <v>2784</v>
      </c>
      <c r="I532" t="s">
        <v>2785</v>
      </c>
      <c r="J532" t="str">
        <f>IF(ISNUMBER(SEARCH("registro de pre",tEditais[[#This Row],[Objeto]])),"Sim","Não")</f>
        <v>Sim</v>
      </c>
      <c r="K532" s="4">
        <f>COUNTIFS(tItens[Edital],tEditais[[#This Row],[Edital]])</f>
        <v>22</v>
      </c>
      <c r="L532" s="4">
        <f>COUNTIFS(tItens[Edital],tEditais[[#This Row],[Edital]],tItens[Foco],"Sim")</f>
        <v>6</v>
      </c>
      <c r="M532" s="8">
        <f>SUMIFS(tItens[Valor],tItens[Edital],tEditais[[#This Row],[Edital]])</f>
        <v>248416</v>
      </c>
      <c r="N532" s="8">
        <f>SUMIFS(tItens[Valor homologado],tItens[Edital],tEditais[[#This Row],[Edital]],tItens[Foco],"Sim")</f>
        <v>1386.0099999999998</v>
      </c>
      <c r="O532" t="str">
        <f>IF(tEditais[[#This Row],[Itens do foco]]=0,"",IF(tEditais[[#This Row],[Valor foco homologado]]&lt;=0,"Sem valor",IF(tEditais[[#This Row],[Valor foco homologado]]&gt;=FaixaA_Min,"A",IF(tEditais[[#This Row],[Valor foco homologado]]&gt;=FaixaB_Min,"B","C"))))</f>
        <v>C</v>
      </c>
      <c r="P532" t="str">
        <f ca="1">IF(tEditais[[#This Row],[Encerramento]]&gt;NOW(),"Aberto","Encerrado")</f>
        <v>Encerrado</v>
      </c>
    </row>
    <row r="533" spans="1:16" x14ac:dyDescent="0.25">
      <c r="A533" t="s">
        <v>2786</v>
      </c>
      <c r="B533" t="s">
        <v>2787</v>
      </c>
      <c r="C533" t="s">
        <v>2788</v>
      </c>
      <c r="D533" t="s">
        <v>2708</v>
      </c>
      <c r="E533" t="s">
        <v>716</v>
      </c>
      <c r="F533" s="11">
        <v>46304.395833333336</v>
      </c>
      <c r="G533">
        <v>151</v>
      </c>
      <c r="H533" t="s">
        <v>2789</v>
      </c>
      <c r="I533" t="s">
        <v>2790</v>
      </c>
      <c r="J533" t="str">
        <f>IF(ISNUMBER(SEARCH("registro de pre",tEditais[[#This Row],[Objeto]])),"Sim","Não")</f>
        <v>Não</v>
      </c>
      <c r="K533" s="4">
        <f>COUNTIFS(tItens[Edital],tEditais[[#This Row],[Edital]])</f>
        <v>1</v>
      </c>
      <c r="L533" s="4">
        <f>COUNTIFS(tItens[Edital],tEditais[[#This Row],[Edital]],tItens[Foco],"Sim")</f>
        <v>0</v>
      </c>
      <c r="M533" s="8">
        <f>SUMIFS(tItens[Valor],tItens[Edital],tEditais[[#This Row],[Edital]])</f>
        <v>649.80000000000007</v>
      </c>
      <c r="N533" s="8">
        <f>SUMIFS(tItens[Valor homologado],tItens[Edital],tEditais[[#This Row],[Edital]],tItens[Foco],"Sim")</f>
        <v>0</v>
      </c>
      <c r="O533" t="str">
        <f>IF(tEditais[[#This Row],[Itens do foco]]=0,"",IF(tEditais[[#This Row],[Valor foco homologado]]&lt;=0,"Sem valor",IF(tEditais[[#This Row],[Valor foco homologado]]&gt;=FaixaA_Min,"A",IF(tEditais[[#This Row],[Valor foco homologado]]&gt;=FaixaB_Min,"B","C"))))</f>
        <v/>
      </c>
      <c r="P533" t="str">
        <f ca="1">IF(tEditais[[#This Row],[Encerramento]]&gt;NOW(),"Aberto","Encerrado")</f>
        <v>Encerrado</v>
      </c>
    </row>
    <row r="534" spans="1:16" x14ac:dyDescent="0.25">
      <c r="A534" t="s">
        <v>2791</v>
      </c>
      <c r="B534" t="s">
        <v>1089</v>
      </c>
      <c r="C534" t="s">
        <v>2763</v>
      </c>
      <c r="D534" t="s">
        <v>2708</v>
      </c>
      <c r="E534" t="s">
        <v>716</v>
      </c>
      <c r="F534" s="11">
        <v>46304.416666666664</v>
      </c>
      <c r="G534">
        <v>2</v>
      </c>
      <c r="H534" t="s">
        <v>2792</v>
      </c>
      <c r="I534" t="s">
        <v>2793</v>
      </c>
      <c r="J534" t="str">
        <f>IF(ISNUMBER(SEARCH("registro de pre",tEditais[[#This Row],[Objeto]])),"Sim","Não")</f>
        <v>Não</v>
      </c>
      <c r="K534" s="4">
        <f>COUNTIFS(tItens[Edital],tEditais[[#This Row],[Edital]])</f>
        <v>1</v>
      </c>
      <c r="L534" s="4">
        <f>COUNTIFS(tItens[Edital],tEditais[[#This Row],[Edital]],tItens[Foco],"Sim")</f>
        <v>0</v>
      </c>
      <c r="M534" s="8">
        <f>SUMIFS(tItens[Valor],tItens[Edital],tEditais[[#This Row],[Edital]])</f>
        <v>0</v>
      </c>
      <c r="N534" s="8">
        <f>SUMIFS(tItens[Valor homologado],tItens[Edital],tEditais[[#This Row],[Edital]],tItens[Foco],"Sim")</f>
        <v>0</v>
      </c>
      <c r="O534" t="str">
        <f>IF(tEditais[[#This Row],[Itens do foco]]=0,"",IF(tEditais[[#This Row],[Valor foco homologado]]&lt;=0,"Sem valor",IF(tEditais[[#This Row],[Valor foco homologado]]&gt;=FaixaA_Min,"A",IF(tEditais[[#This Row],[Valor foco homologado]]&gt;=FaixaB_Min,"B","C"))))</f>
        <v/>
      </c>
      <c r="P534" t="str">
        <f ca="1">IF(tEditais[[#This Row],[Encerramento]]&gt;NOW(),"Aberto","Encerrado")</f>
        <v>Encerrado</v>
      </c>
    </row>
    <row r="535" spans="1:16" x14ac:dyDescent="0.25">
      <c r="A535" t="s">
        <v>2794</v>
      </c>
      <c r="B535" t="s">
        <v>1089</v>
      </c>
      <c r="C535" t="s">
        <v>2763</v>
      </c>
      <c r="D535" t="s">
        <v>2708</v>
      </c>
      <c r="E535" t="s">
        <v>716</v>
      </c>
      <c r="F535" s="11">
        <v>46304.458333333336</v>
      </c>
      <c r="G535">
        <v>1</v>
      </c>
      <c r="H535" t="s">
        <v>2795</v>
      </c>
      <c r="I535" t="s">
        <v>2796</v>
      </c>
      <c r="J535" t="str">
        <f>IF(ISNUMBER(SEARCH("registro de pre",tEditais[[#This Row],[Objeto]])),"Sim","Não")</f>
        <v>Não</v>
      </c>
      <c r="K535" s="4">
        <f>COUNTIFS(tItens[Edital],tEditais[[#This Row],[Edital]])</f>
        <v>1</v>
      </c>
      <c r="L535" s="4">
        <f>COUNTIFS(tItens[Edital],tEditais[[#This Row],[Edital]],tItens[Foco],"Sim")</f>
        <v>0</v>
      </c>
      <c r="M535" s="8">
        <f>SUMIFS(tItens[Valor],tItens[Edital],tEditais[[#This Row],[Edital]])</f>
        <v>0</v>
      </c>
      <c r="N535" s="8">
        <f>SUMIFS(tItens[Valor homologado],tItens[Edital],tEditais[[#This Row],[Edital]],tItens[Foco],"Sim")</f>
        <v>0</v>
      </c>
      <c r="O535" t="str">
        <f>IF(tEditais[[#This Row],[Itens do foco]]=0,"",IF(tEditais[[#This Row],[Valor foco homologado]]&lt;=0,"Sem valor",IF(tEditais[[#This Row],[Valor foco homologado]]&gt;=FaixaA_Min,"A",IF(tEditais[[#This Row],[Valor foco homologado]]&gt;=FaixaB_Min,"B","C"))))</f>
        <v/>
      </c>
      <c r="P535" t="str">
        <f ca="1">IF(tEditais[[#This Row],[Encerramento]]&gt;NOW(),"Aberto","Encerrado")</f>
        <v>Encerrado</v>
      </c>
    </row>
    <row r="536" spans="1:16" x14ac:dyDescent="0.25">
      <c r="A536" t="s">
        <v>2797</v>
      </c>
      <c r="B536" t="s">
        <v>2738</v>
      </c>
      <c r="C536" t="s">
        <v>2739</v>
      </c>
      <c r="D536" t="s">
        <v>2708</v>
      </c>
      <c r="E536" t="s">
        <v>716</v>
      </c>
      <c r="F536" s="11">
        <v>46304.5625</v>
      </c>
      <c r="G536">
        <v>54</v>
      </c>
      <c r="H536" t="s">
        <v>2798</v>
      </c>
      <c r="I536" t="s">
        <v>2799</v>
      </c>
      <c r="J536" t="str">
        <f>IF(ISNUMBER(SEARCH("registro de pre",tEditais[[#This Row],[Objeto]])),"Sim","Não")</f>
        <v>Sim</v>
      </c>
      <c r="K536" s="4">
        <f>COUNTIFS(tItens[Edital],tEditais[[#This Row],[Edital]])</f>
        <v>6</v>
      </c>
      <c r="L536" s="4">
        <f>COUNTIFS(tItens[Edital],tEditais[[#This Row],[Edital]],tItens[Foco],"Sim")</f>
        <v>4</v>
      </c>
      <c r="M536" s="8">
        <f>SUMIFS(tItens[Valor],tItens[Edital],tEditais[[#This Row],[Edital]])</f>
        <v>14263.380000000003</v>
      </c>
      <c r="N536" s="8">
        <f>SUMIFS(tItens[Valor homologado],tItens[Edital],tEditais[[#This Row],[Edital]],tItens[Foco],"Sim")</f>
        <v>3354.9972000000002</v>
      </c>
      <c r="O536" t="str">
        <f>IF(tEditais[[#This Row],[Itens do foco]]=0,"",IF(tEditais[[#This Row],[Valor foco homologado]]&lt;=0,"Sem valor",IF(tEditais[[#This Row],[Valor foco homologado]]&gt;=FaixaA_Min,"A",IF(tEditais[[#This Row],[Valor foco homologado]]&gt;=FaixaB_Min,"B","C"))))</f>
        <v>C</v>
      </c>
      <c r="P536" t="str">
        <f ca="1">IF(tEditais[[#This Row],[Encerramento]]&gt;NOW(),"Aberto","Encerrado")</f>
        <v>Encerrado</v>
      </c>
    </row>
    <row r="537" spans="1:16" x14ac:dyDescent="0.25">
      <c r="A537" t="s">
        <v>2800</v>
      </c>
      <c r="B537" t="s">
        <v>2758</v>
      </c>
      <c r="C537" t="s">
        <v>2759</v>
      </c>
      <c r="D537" t="s">
        <v>2708</v>
      </c>
      <c r="E537" t="s">
        <v>716</v>
      </c>
      <c r="F537" s="11">
        <v>46304.583333333336</v>
      </c>
      <c r="G537">
        <v>19</v>
      </c>
      <c r="H537" t="s">
        <v>2760</v>
      </c>
      <c r="I537" t="s">
        <v>2801</v>
      </c>
      <c r="J537" t="str">
        <f>IF(ISNUMBER(SEARCH("registro de pre",tEditais[[#This Row],[Objeto]])),"Sim","Não")</f>
        <v>Sim</v>
      </c>
      <c r="K537" s="4">
        <f>COUNTIFS(tItens[Edital],tEditais[[#This Row],[Edital]])</f>
        <v>8</v>
      </c>
      <c r="L537" s="4">
        <f>COUNTIFS(tItens[Edital],tEditais[[#This Row],[Edital]],tItens[Foco],"Sim")</f>
        <v>0</v>
      </c>
      <c r="M537" s="8">
        <f>SUMIFS(tItens[Valor],tItens[Edital],tEditais[[#This Row],[Edital]])</f>
        <v>4221.2999999999993</v>
      </c>
      <c r="N537" s="8">
        <f>SUMIFS(tItens[Valor homologado],tItens[Edital],tEditais[[#This Row],[Edital]],tItens[Foco],"Sim")</f>
        <v>0</v>
      </c>
      <c r="O537" t="str">
        <f>IF(tEditais[[#This Row],[Itens do foco]]=0,"",IF(tEditais[[#This Row],[Valor foco homologado]]&lt;=0,"Sem valor",IF(tEditais[[#This Row],[Valor foco homologado]]&gt;=FaixaA_Min,"A",IF(tEditais[[#This Row],[Valor foco homologado]]&gt;=FaixaB_Min,"B","C"))))</f>
        <v/>
      </c>
      <c r="P537" t="str">
        <f ca="1">IF(tEditais[[#This Row],[Encerramento]]&gt;NOW(),"Aberto","Encerrado")</f>
        <v>Encerrado</v>
      </c>
    </row>
    <row r="538" spans="1:16" x14ac:dyDescent="0.25">
      <c r="A538" t="s">
        <v>2802</v>
      </c>
      <c r="B538" t="s">
        <v>2803</v>
      </c>
      <c r="C538" t="s">
        <v>2763</v>
      </c>
      <c r="D538" t="s">
        <v>2708</v>
      </c>
      <c r="E538" t="s">
        <v>800</v>
      </c>
      <c r="F538" s="11">
        <v>46308.333333333336</v>
      </c>
      <c r="G538">
        <v>5</v>
      </c>
      <c r="H538" t="s">
        <v>2804</v>
      </c>
      <c r="I538" t="s">
        <v>2805</v>
      </c>
      <c r="J538" t="str">
        <f>IF(ISNUMBER(SEARCH("registro de pre",tEditais[[#This Row],[Objeto]])),"Sim","Não")</f>
        <v>Não</v>
      </c>
      <c r="K538" s="4">
        <f>COUNTIFS(tItens[Edital],tEditais[[#This Row],[Edital]])</f>
        <v>1</v>
      </c>
      <c r="L538" s="4">
        <f>COUNTIFS(tItens[Edital],tEditais[[#This Row],[Edital]],tItens[Foco],"Sim")</f>
        <v>0</v>
      </c>
      <c r="M538" s="8">
        <f>SUMIFS(tItens[Valor],tItens[Edital],tEditais[[#This Row],[Edital]])</f>
        <v>406.70000000000005</v>
      </c>
      <c r="N538" s="8">
        <f>SUMIFS(tItens[Valor homologado],tItens[Edital],tEditais[[#This Row],[Edital]],tItens[Foco],"Sim")</f>
        <v>0</v>
      </c>
      <c r="O538" t="str">
        <f>IF(tEditais[[#This Row],[Itens do foco]]=0,"",IF(tEditais[[#This Row],[Valor foco homologado]]&lt;=0,"Sem valor",IF(tEditais[[#This Row],[Valor foco homologado]]&gt;=FaixaA_Min,"A",IF(tEditais[[#This Row],[Valor foco homologado]]&gt;=FaixaB_Min,"B","C"))))</f>
        <v/>
      </c>
      <c r="P538" t="str">
        <f ca="1">IF(tEditais[[#This Row],[Encerramento]]&gt;NOW(),"Aberto","Encerrado")</f>
        <v>Encerrado</v>
      </c>
    </row>
    <row r="539" spans="1:16" x14ac:dyDescent="0.25">
      <c r="A539" t="s">
        <v>2806</v>
      </c>
      <c r="B539" t="s">
        <v>1089</v>
      </c>
      <c r="C539" t="s">
        <v>2807</v>
      </c>
      <c r="D539" t="s">
        <v>2708</v>
      </c>
      <c r="E539" t="s">
        <v>716</v>
      </c>
      <c r="F539" s="11">
        <v>46308.333333333336</v>
      </c>
      <c r="G539">
        <v>14</v>
      </c>
      <c r="H539" t="s">
        <v>2808</v>
      </c>
      <c r="I539" t="s">
        <v>2809</v>
      </c>
      <c r="J539" t="str">
        <f>IF(ISNUMBER(SEARCH("registro de pre",tEditais[[#This Row],[Objeto]])),"Sim","Não")</f>
        <v>Não</v>
      </c>
      <c r="K539" s="4">
        <f>COUNTIFS(tItens[Edital],tEditais[[#This Row],[Edital]])</f>
        <v>5</v>
      </c>
      <c r="L539" s="4">
        <f>COUNTIFS(tItens[Edital],tEditais[[#This Row],[Edital]],tItens[Foco],"Sim")</f>
        <v>0</v>
      </c>
      <c r="M539" s="8">
        <f>SUMIFS(tItens[Valor],tItens[Edital],tEditais[[#This Row],[Edital]])</f>
        <v>0</v>
      </c>
      <c r="N539" s="8">
        <f>SUMIFS(tItens[Valor homologado],tItens[Edital],tEditais[[#This Row],[Edital]],tItens[Foco],"Sim")</f>
        <v>0</v>
      </c>
      <c r="O539" t="str">
        <f>IF(tEditais[[#This Row],[Itens do foco]]=0,"",IF(tEditais[[#This Row],[Valor foco homologado]]&lt;=0,"Sem valor",IF(tEditais[[#This Row],[Valor foco homologado]]&gt;=FaixaA_Min,"A",IF(tEditais[[#This Row],[Valor foco homologado]]&gt;=FaixaB_Min,"B","C"))))</f>
        <v/>
      </c>
      <c r="P539" t="str">
        <f ca="1">IF(tEditais[[#This Row],[Encerramento]]&gt;NOW(),"Aberto","Encerrado")</f>
        <v>Encerrado</v>
      </c>
    </row>
    <row r="540" spans="1:16" x14ac:dyDescent="0.25">
      <c r="A540" t="s">
        <v>2810</v>
      </c>
      <c r="B540" t="s">
        <v>1089</v>
      </c>
      <c r="C540" t="s">
        <v>2811</v>
      </c>
      <c r="D540" t="s">
        <v>2708</v>
      </c>
      <c r="E540" t="s">
        <v>716</v>
      </c>
      <c r="F540" s="11">
        <v>46308.333333333336</v>
      </c>
      <c r="G540">
        <v>5</v>
      </c>
      <c r="H540" t="s">
        <v>2812</v>
      </c>
      <c r="I540" t="s">
        <v>2813</v>
      </c>
      <c r="J540" t="str">
        <f>IF(ISNUMBER(SEARCH("registro de pre",tEditais[[#This Row],[Objeto]])),"Sim","Não")</f>
        <v>Não</v>
      </c>
      <c r="K540" s="4">
        <f>COUNTIFS(tItens[Edital],tEditais[[#This Row],[Edital]])</f>
        <v>1</v>
      </c>
      <c r="L540" s="4">
        <f>COUNTIFS(tItens[Edital],tEditais[[#This Row],[Edital]],tItens[Foco],"Sim")</f>
        <v>0</v>
      </c>
      <c r="M540" s="8">
        <f>SUMIFS(tItens[Valor],tItens[Edital],tEditais[[#This Row],[Edital]])</f>
        <v>0</v>
      </c>
      <c r="N540" s="8">
        <f>SUMIFS(tItens[Valor homologado],tItens[Edital],tEditais[[#This Row],[Edital]],tItens[Foco],"Sim")</f>
        <v>0</v>
      </c>
      <c r="O540" t="str">
        <f>IF(tEditais[[#This Row],[Itens do foco]]=0,"",IF(tEditais[[#This Row],[Valor foco homologado]]&lt;=0,"Sem valor",IF(tEditais[[#This Row],[Valor foco homologado]]&gt;=FaixaA_Min,"A",IF(tEditais[[#This Row],[Valor foco homologado]]&gt;=FaixaB_Min,"B","C"))))</f>
        <v/>
      </c>
      <c r="P540" t="str">
        <f ca="1">IF(tEditais[[#This Row],[Encerramento]]&gt;NOW(),"Aberto","Encerrado")</f>
        <v>Encerrado</v>
      </c>
    </row>
    <row r="541" spans="1:16" x14ac:dyDescent="0.25">
      <c r="A541" t="s">
        <v>2814</v>
      </c>
      <c r="B541" t="s">
        <v>886</v>
      </c>
      <c r="C541" t="s">
        <v>2815</v>
      </c>
      <c r="D541" t="s">
        <v>2708</v>
      </c>
      <c r="E541" t="s">
        <v>800</v>
      </c>
      <c r="F541" s="11">
        <v>46308.333333333336</v>
      </c>
      <c r="G541">
        <v>2</v>
      </c>
      <c r="H541" t="s">
        <v>2816</v>
      </c>
      <c r="I541" t="s">
        <v>2817</v>
      </c>
      <c r="J541" t="str">
        <f>IF(ISNUMBER(SEARCH("registro de pre",tEditais[[#This Row],[Objeto]])),"Sim","Não")</f>
        <v>Não</v>
      </c>
      <c r="K541" s="4">
        <f>COUNTIFS(tItens[Edital],tEditais[[#This Row],[Edital]])</f>
        <v>1</v>
      </c>
      <c r="L541" s="4">
        <f>COUNTIFS(tItens[Edital],tEditais[[#This Row],[Edital]],tItens[Foco],"Sim")</f>
        <v>0</v>
      </c>
      <c r="M541" s="8">
        <f>SUMIFS(tItens[Valor],tItens[Edital],tEditais[[#This Row],[Edital]])</f>
        <v>1421</v>
      </c>
      <c r="N541" s="8">
        <f>SUMIFS(tItens[Valor homologado],tItens[Edital],tEditais[[#This Row],[Edital]],tItens[Foco],"Sim")</f>
        <v>0</v>
      </c>
      <c r="O541" t="str">
        <f>IF(tEditais[[#This Row],[Itens do foco]]=0,"",IF(tEditais[[#This Row],[Valor foco homologado]]&lt;=0,"Sem valor",IF(tEditais[[#This Row],[Valor foco homologado]]&gt;=FaixaA_Min,"A",IF(tEditais[[#This Row],[Valor foco homologado]]&gt;=FaixaB_Min,"B","C"))))</f>
        <v/>
      </c>
      <c r="P541" t="str">
        <f ca="1">IF(tEditais[[#This Row],[Encerramento]]&gt;NOW(),"Aberto","Encerrado")</f>
        <v>Encerrado</v>
      </c>
    </row>
    <row r="542" spans="1:16" x14ac:dyDescent="0.25">
      <c r="A542" t="s">
        <v>2818</v>
      </c>
      <c r="B542" t="s">
        <v>2819</v>
      </c>
      <c r="C542" t="s">
        <v>2788</v>
      </c>
      <c r="D542" t="s">
        <v>2708</v>
      </c>
      <c r="E542" t="s">
        <v>716</v>
      </c>
      <c r="F542" s="11">
        <v>46308.353472222225</v>
      </c>
      <c r="G542">
        <v>64</v>
      </c>
      <c r="I542" t="s">
        <v>2820</v>
      </c>
      <c r="J542" t="str">
        <f>IF(ISNUMBER(SEARCH("registro de pre",tEditais[[#This Row],[Objeto]])),"Sim","Não")</f>
        <v>Sim</v>
      </c>
      <c r="K542" s="4">
        <f>COUNTIFS(tItens[Edital],tEditais[[#This Row],[Edital]])</f>
        <v>10</v>
      </c>
      <c r="L542" s="4">
        <f>COUNTIFS(tItens[Edital],tEditais[[#This Row],[Edital]],tItens[Foco],"Sim")</f>
        <v>0</v>
      </c>
      <c r="M542" s="8">
        <f>SUMIFS(tItens[Valor],tItens[Edital],tEditais[[#This Row],[Edital]])</f>
        <v>60400.06</v>
      </c>
      <c r="N542" s="8">
        <f>SUMIFS(tItens[Valor homologado],tItens[Edital],tEditais[[#This Row],[Edital]],tItens[Foco],"Sim")</f>
        <v>0</v>
      </c>
      <c r="O542" t="str">
        <f>IF(tEditais[[#This Row],[Itens do foco]]=0,"",IF(tEditais[[#This Row],[Valor foco homologado]]&lt;=0,"Sem valor",IF(tEditais[[#This Row],[Valor foco homologado]]&gt;=FaixaA_Min,"A",IF(tEditais[[#This Row],[Valor foco homologado]]&gt;=FaixaB_Min,"B","C"))))</f>
        <v/>
      </c>
      <c r="P542" t="str">
        <f ca="1">IF(tEditais[[#This Row],[Encerramento]]&gt;NOW(),"Aberto","Encerrado")</f>
        <v>Encerrado</v>
      </c>
    </row>
    <row r="543" spans="1:16" x14ac:dyDescent="0.25">
      <c r="A543" t="s">
        <v>2821</v>
      </c>
      <c r="B543" t="s">
        <v>2822</v>
      </c>
      <c r="C543" t="s">
        <v>2823</v>
      </c>
      <c r="D543" t="s">
        <v>2708</v>
      </c>
      <c r="E543" t="s">
        <v>716</v>
      </c>
      <c r="F543" s="11">
        <v>46308.354166666664</v>
      </c>
      <c r="G543">
        <v>20</v>
      </c>
      <c r="H543" t="s">
        <v>2824</v>
      </c>
      <c r="I543" t="s">
        <v>2825</v>
      </c>
      <c r="J543" t="str">
        <f>IF(ISNUMBER(SEARCH("registro de pre",tEditais[[#This Row],[Objeto]])),"Sim","Não")</f>
        <v>Sim</v>
      </c>
      <c r="K543" s="4">
        <f>COUNTIFS(tItens[Edital],tEditais[[#This Row],[Edital]])</f>
        <v>1</v>
      </c>
      <c r="L543" s="4">
        <f>COUNTIFS(tItens[Edital],tEditais[[#This Row],[Edital]],tItens[Foco],"Sim")</f>
        <v>0</v>
      </c>
      <c r="M543" s="8">
        <f>SUMIFS(tItens[Valor],tItens[Edital],tEditais[[#This Row],[Edital]])</f>
        <v>8360</v>
      </c>
      <c r="N543" s="8">
        <f>SUMIFS(tItens[Valor homologado],tItens[Edital],tEditais[[#This Row],[Edital]],tItens[Foco],"Sim")</f>
        <v>0</v>
      </c>
      <c r="O543" t="str">
        <f>IF(tEditais[[#This Row],[Itens do foco]]=0,"",IF(tEditais[[#This Row],[Valor foco homologado]]&lt;=0,"Sem valor",IF(tEditais[[#This Row],[Valor foco homologado]]&gt;=FaixaA_Min,"A",IF(tEditais[[#This Row],[Valor foco homologado]]&gt;=FaixaB_Min,"B","C"))))</f>
        <v/>
      </c>
      <c r="P543" t="str">
        <f ca="1">IF(tEditais[[#This Row],[Encerramento]]&gt;NOW(),"Aberto","Encerrado")</f>
        <v>Encerrado</v>
      </c>
    </row>
    <row r="544" spans="1:16" x14ac:dyDescent="0.25">
      <c r="A544" t="s">
        <v>2826</v>
      </c>
      <c r="B544" t="s">
        <v>2827</v>
      </c>
      <c r="C544" t="s">
        <v>2828</v>
      </c>
      <c r="D544" t="s">
        <v>2708</v>
      </c>
      <c r="E544" t="s">
        <v>716</v>
      </c>
      <c r="F544" s="11">
        <v>46308.354166666664</v>
      </c>
      <c r="G544">
        <v>40</v>
      </c>
      <c r="H544" t="s">
        <v>2829</v>
      </c>
      <c r="I544" t="s">
        <v>2830</v>
      </c>
      <c r="J544" t="str">
        <f>IF(ISNUMBER(SEARCH("registro de pre",tEditais[[#This Row],[Objeto]])),"Sim","Não")</f>
        <v>Não</v>
      </c>
      <c r="K544" s="4">
        <f>COUNTIFS(tItens[Edital],tEditais[[#This Row],[Edital]])</f>
        <v>3</v>
      </c>
      <c r="L544" s="4">
        <f>COUNTIFS(tItens[Edital],tEditais[[#This Row],[Edital]],tItens[Foco],"Sim")</f>
        <v>0</v>
      </c>
      <c r="M544" s="8">
        <f>SUMIFS(tItens[Valor],tItens[Edital],tEditais[[#This Row],[Edital]])</f>
        <v>129789.99999999999</v>
      </c>
      <c r="N544" s="8">
        <f>SUMIFS(tItens[Valor homologado],tItens[Edital],tEditais[[#This Row],[Edital]],tItens[Foco],"Sim")</f>
        <v>0</v>
      </c>
      <c r="O544" t="str">
        <f>IF(tEditais[[#This Row],[Itens do foco]]=0,"",IF(tEditais[[#This Row],[Valor foco homologado]]&lt;=0,"Sem valor",IF(tEditais[[#This Row],[Valor foco homologado]]&gt;=FaixaA_Min,"A",IF(tEditais[[#This Row],[Valor foco homologado]]&gt;=FaixaB_Min,"B","C"))))</f>
        <v/>
      </c>
      <c r="P544" t="str">
        <f ca="1">IF(tEditais[[#This Row],[Encerramento]]&gt;NOW(),"Aberto","Encerrado")</f>
        <v>Encerrado</v>
      </c>
    </row>
    <row r="545" spans="1:16" x14ac:dyDescent="0.25">
      <c r="A545" t="s">
        <v>2831</v>
      </c>
      <c r="B545" t="s">
        <v>2832</v>
      </c>
      <c r="C545" t="s">
        <v>2833</v>
      </c>
      <c r="D545" t="s">
        <v>2708</v>
      </c>
      <c r="E545" t="s">
        <v>716</v>
      </c>
      <c r="F545" s="11">
        <v>46308.364583333336</v>
      </c>
      <c r="G545">
        <v>279</v>
      </c>
      <c r="I545" t="s">
        <v>2834</v>
      </c>
      <c r="J545" t="str">
        <f>IF(ISNUMBER(SEARCH("registro de pre",tEditais[[#This Row],[Objeto]])),"Sim","Não")</f>
        <v>Sim</v>
      </c>
      <c r="K545" s="4">
        <f>COUNTIFS(tItens[Edital],tEditais[[#This Row],[Edital]])</f>
        <v>7</v>
      </c>
      <c r="L545" s="4">
        <f>COUNTIFS(tItens[Edital],tEditais[[#This Row],[Edital]],tItens[Foco],"Sim")</f>
        <v>1</v>
      </c>
      <c r="M545" s="8">
        <f>SUMIFS(tItens[Valor],tItens[Edital],tEditais[[#This Row],[Edital]])</f>
        <v>19396.25</v>
      </c>
      <c r="N545" s="8">
        <f>SUMIFS(tItens[Valor homologado],tItens[Edital],tEditais[[#This Row],[Edital]],tItens[Foco],"Sim")</f>
        <v>1363.326</v>
      </c>
      <c r="O545" t="str">
        <f>IF(tEditais[[#This Row],[Itens do foco]]=0,"",IF(tEditais[[#This Row],[Valor foco homologado]]&lt;=0,"Sem valor",IF(tEditais[[#This Row],[Valor foco homologado]]&gt;=FaixaA_Min,"A",IF(tEditais[[#This Row],[Valor foco homologado]]&gt;=FaixaB_Min,"B","C"))))</f>
        <v>C</v>
      </c>
      <c r="P545" t="str">
        <f ca="1">IF(tEditais[[#This Row],[Encerramento]]&gt;NOW(),"Aberto","Encerrado")</f>
        <v>Encerrado</v>
      </c>
    </row>
    <row r="546" spans="1:16" x14ac:dyDescent="0.25">
      <c r="A546" t="s">
        <v>2835</v>
      </c>
      <c r="B546" t="s">
        <v>1089</v>
      </c>
      <c r="C546" t="s">
        <v>2763</v>
      </c>
      <c r="D546" t="s">
        <v>2708</v>
      </c>
      <c r="E546" t="s">
        <v>2836</v>
      </c>
      <c r="F546" s="11">
        <v>46308.374305555553</v>
      </c>
      <c r="G546">
        <v>6</v>
      </c>
      <c r="H546" t="s">
        <v>2837</v>
      </c>
      <c r="I546" t="s">
        <v>2838</v>
      </c>
      <c r="J546" t="str">
        <f>IF(ISNUMBER(SEARCH("registro de pre",tEditais[[#This Row],[Objeto]])),"Sim","Não")</f>
        <v>Não</v>
      </c>
      <c r="K546" s="4">
        <f>COUNTIFS(tItens[Edital],tEditais[[#This Row],[Edital]])</f>
        <v>3</v>
      </c>
      <c r="L546" s="4">
        <f>COUNTIFS(tItens[Edital],tEditais[[#This Row],[Edital]],tItens[Foco],"Sim")</f>
        <v>0</v>
      </c>
      <c r="M546" s="8">
        <f>SUMIFS(tItens[Valor],tItens[Edital],tEditais[[#This Row],[Edital]])</f>
        <v>0</v>
      </c>
      <c r="N546" s="8">
        <f>SUMIFS(tItens[Valor homologado],tItens[Edital],tEditais[[#This Row],[Edital]],tItens[Foco],"Sim")</f>
        <v>0</v>
      </c>
      <c r="O546" t="str">
        <f>IF(tEditais[[#This Row],[Itens do foco]]=0,"",IF(tEditais[[#This Row],[Valor foco homologado]]&lt;=0,"Sem valor",IF(tEditais[[#This Row],[Valor foco homologado]]&gt;=FaixaA_Min,"A",IF(tEditais[[#This Row],[Valor foco homologado]]&gt;=FaixaB_Min,"B","C"))))</f>
        <v/>
      </c>
      <c r="P546" t="str">
        <f ca="1">IF(tEditais[[#This Row],[Encerramento]]&gt;NOW(),"Aberto","Encerrado")</f>
        <v>Encerrado</v>
      </c>
    </row>
    <row r="547" spans="1:16" x14ac:dyDescent="0.25">
      <c r="A547" t="s">
        <v>2839</v>
      </c>
      <c r="B547" t="s">
        <v>2840</v>
      </c>
      <c r="C547" t="s">
        <v>2841</v>
      </c>
      <c r="D547" t="s">
        <v>2708</v>
      </c>
      <c r="E547" t="s">
        <v>716</v>
      </c>
      <c r="F547" s="11">
        <v>46308.374305555553</v>
      </c>
      <c r="G547">
        <v>140</v>
      </c>
      <c r="I547" t="s">
        <v>2842</v>
      </c>
      <c r="J547" t="str">
        <f>IF(ISNUMBER(SEARCH("registro de pre",tEditais[[#This Row],[Objeto]])),"Sim","Não")</f>
        <v>Sim</v>
      </c>
      <c r="K547" s="4">
        <f>COUNTIFS(tItens[Edital],tEditais[[#This Row],[Edital]])</f>
        <v>29</v>
      </c>
      <c r="L547" s="4">
        <f>COUNTIFS(tItens[Edital],tEditais[[#This Row],[Edital]],tItens[Foco],"Sim")</f>
        <v>4</v>
      </c>
      <c r="M547" s="8">
        <f>SUMIFS(tItens[Valor],tItens[Edital],tEditais[[#This Row],[Edital]])</f>
        <v>0</v>
      </c>
      <c r="N547" s="8">
        <f>SUMIFS(tItens[Valor homologado],tItens[Edital],tEditais[[#This Row],[Edital]],tItens[Foco],"Sim")</f>
        <v>0</v>
      </c>
      <c r="O547" t="str">
        <f>IF(tEditais[[#This Row],[Itens do foco]]=0,"",IF(tEditais[[#This Row],[Valor foco homologado]]&lt;=0,"Sem valor",IF(tEditais[[#This Row],[Valor foco homologado]]&gt;=FaixaA_Min,"A",IF(tEditais[[#This Row],[Valor foco homologado]]&gt;=FaixaB_Min,"B","C"))))</f>
        <v>Sem valor</v>
      </c>
      <c r="P547" t="str">
        <f ca="1">IF(tEditais[[#This Row],[Encerramento]]&gt;NOW(),"Aberto","Encerrado")</f>
        <v>Encerrado</v>
      </c>
    </row>
    <row r="548" spans="1:16" x14ac:dyDescent="0.25">
      <c r="A548" t="s">
        <v>2843</v>
      </c>
      <c r="B548" t="s">
        <v>2844</v>
      </c>
      <c r="C548" t="s">
        <v>2845</v>
      </c>
      <c r="D548" t="s">
        <v>2708</v>
      </c>
      <c r="E548" t="s">
        <v>716</v>
      </c>
      <c r="F548" s="11">
        <v>46308.375</v>
      </c>
      <c r="G548">
        <v>18</v>
      </c>
      <c r="H548" t="s">
        <v>2846</v>
      </c>
      <c r="I548" t="s">
        <v>2847</v>
      </c>
      <c r="J548" t="str">
        <f>IF(ISNUMBER(SEARCH("registro de pre",tEditais[[#This Row],[Objeto]])),"Sim","Não")</f>
        <v>Não</v>
      </c>
      <c r="K548" s="4">
        <f>COUNTIFS(tItens[Edital],tEditais[[#This Row],[Edital]])</f>
        <v>2</v>
      </c>
      <c r="L548" s="4">
        <f>COUNTIFS(tItens[Edital],tEditais[[#This Row],[Edital]],tItens[Foco],"Sim")</f>
        <v>0</v>
      </c>
      <c r="M548" s="8">
        <f>SUMIFS(tItens[Valor],tItens[Edital],tEditais[[#This Row],[Edital]])</f>
        <v>0</v>
      </c>
      <c r="N548" s="8">
        <f>SUMIFS(tItens[Valor homologado],tItens[Edital],tEditais[[#This Row],[Edital]],tItens[Foco],"Sim")</f>
        <v>0</v>
      </c>
      <c r="O548" t="str">
        <f>IF(tEditais[[#This Row],[Itens do foco]]=0,"",IF(tEditais[[#This Row],[Valor foco homologado]]&lt;=0,"Sem valor",IF(tEditais[[#This Row],[Valor foco homologado]]&gt;=FaixaA_Min,"A",IF(tEditais[[#This Row],[Valor foco homologado]]&gt;=FaixaB_Min,"B","C"))))</f>
        <v/>
      </c>
      <c r="P548" t="str">
        <f ca="1">IF(tEditais[[#This Row],[Encerramento]]&gt;NOW(),"Aberto","Encerrado")</f>
        <v>Encerrado</v>
      </c>
    </row>
    <row r="549" spans="1:16" x14ac:dyDescent="0.25">
      <c r="A549" t="s">
        <v>2848</v>
      </c>
      <c r="B549" t="s">
        <v>2849</v>
      </c>
      <c r="C549" t="s">
        <v>2850</v>
      </c>
      <c r="D549" t="s">
        <v>2708</v>
      </c>
      <c r="E549" t="s">
        <v>716</v>
      </c>
      <c r="F549" s="11">
        <v>46308.375</v>
      </c>
      <c r="G549">
        <v>7</v>
      </c>
      <c r="H549" t="s">
        <v>2851</v>
      </c>
      <c r="I549" t="s">
        <v>2852</v>
      </c>
      <c r="J549" t="str">
        <f>IF(ISNUMBER(SEARCH("registro de pre",tEditais[[#This Row],[Objeto]])),"Sim","Não")</f>
        <v>Não</v>
      </c>
      <c r="K549" s="4">
        <f>COUNTIFS(tItens[Edital],tEditais[[#This Row],[Edital]])</f>
        <v>7</v>
      </c>
      <c r="L549" s="4">
        <f>COUNTIFS(tItens[Edital],tEditais[[#This Row],[Edital]],tItens[Foco],"Sim")</f>
        <v>0</v>
      </c>
      <c r="M549" s="8">
        <f>SUMIFS(tItens[Valor],tItens[Edital],tEditais[[#This Row],[Edital]])</f>
        <v>0</v>
      </c>
      <c r="N549" s="8">
        <f>SUMIFS(tItens[Valor homologado],tItens[Edital],tEditais[[#This Row],[Edital]],tItens[Foco],"Sim")</f>
        <v>0</v>
      </c>
      <c r="O549" t="str">
        <f>IF(tEditais[[#This Row],[Itens do foco]]=0,"",IF(tEditais[[#This Row],[Valor foco homologado]]&lt;=0,"Sem valor",IF(tEditais[[#This Row],[Valor foco homologado]]&gt;=FaixaA_Min,"A",IF(tEditais[[#This Row],[Valor foco homologado]]&gt;=FaixaB_Min,"B","C"))))</f>
        <v/>
      </c>
      <c r="P549" t="str">
        <f ca="1">IF(tEditais[[#This Row],[Encerramento]]&gt;NOW(),"Aberto","Encerrado")</f>
        <v>Encerrado</v>
      </c>
    </row>
    <row r="550" spans="1:16" x14ac:dyDescent="0.25">
      <c r="A550" t="s">
        <v>2853</v>
      </c>
      <c r="B550" t="s">
        <v>2854</v>
      </c>
      <c r="C550" t="s">
        <v>2855</v>
      </c>
      <c r="D550" t="s">
        <v>2708</v>
      </c>
      <c r="E550" t="s">
        <v>716</v>
      </c>
      <c r="F550" s="11">
        <v>46308.375</v>
      </c>
      <c r="G550">
        <v>29</v>
      </c>
      <c r="H550" t="s">
        <v>2856</v>
      </c>
      <c r="I550" t="s">
        <v>2857</v>
      </c>
      <c r="J550" t="str">
        <f>IF(ISNUMBER(SEARCH("registro de pre",tEditais[[#This Row],[Objeto]])),"Sim","Não")</f>
        <v>Não</v>
      </c>
      <c r="K550" s="4">
        <f>COUNTIFS(tItens[Edital],tEditais[[#This Row],[Edital]])</f>
        <v>1</v>
      </c>
      <c r="L550" s="4">
        <f>COUNTIFS(tItens[Edital],tEditais[[#This Row],[Edital]],tItens[Foco],"Sim")</f>
        <v>0</v>
      </c>
      <c r="M550" s="8">
        <f>SUMIFS(tItens[Valor],tItens[Edital],tEditais[[#This Row],[Edital]])</f>
        <v>0</v>
      </c>
      <c r="N550" s="8">
        <f>SUMIFS(tItens[Valor homologado],tItens[Edital],tEditais[[#This Row],[Edital]],tItens[Foco],"Sim")</f>
        <v>0</v>
      </c>
      <c r="O550" t="str">
        <f>IF(tEditais[[#This Row],[Itens do foco]]=0,"",IF(tEditais[[#This Row],[Valor foco homologado]]&lt;=0,"Sem valor",IF(tEditais[[#This Row],[Valor foco homologado]]&gt;=FaixaA_Min,"A",IF(tEditais[[#This Row],[Valor foco homologado]]&gt;=FaixaB_Min,"B","C"))))</f>
        <v/>
      </c>
      <c r="P550" t="str">
        <f ca="1">IF(tEditais[[#This Row],[Encerramento]]&gt;NOW(),"Aberto","Encerrado")</f>
        <v>Encerrado</v>
      </c>
    </row>
    <row r="551" spans="1:16" x14ac:dyDescent="0.25">
      <c r="A551" t="s">
        <v>2858</v>
      </c>
      <c r="B551" t="s">
        <v>2859</v>
      </c>
      <c r="C551" t="s">
        <v>2860</v>
      </c>
      <c r="D551" t="s">
        <v>2708</v>
      </c>
      <c r="E551" t="s">
        <v>716</v>
      </c>
      <c r="F551" s="11">
        <v>46308.375</v>
      </c>
      <c r="G551">
        <v>95</v>
      </c>
      <c r="I551" t="s">
        <v>2861</v>
      </c>
      <c r="J551" t="str">
        <f>IF(ISNUMBER(SEARCH("registro de pre",tEditais[[#This Row],[Objeto]])),"Sim","Não")</f>
        <v>Sim</v>
      </c>
      <c r="K551" s="4">
        <f>COUNTIFS(tItens[Edital],tEditais[[#This Row],[Edital]])</f>
        <v>11</v>
      </c>
      <c r="L551" s="4">
        <f>COUNTIFS(tItens[Edital],tEditais[[#This Row],[Edital]],tItens[Foco],"Sim")</f>
        <v>0</v>
      </c>
      <c r="M551" s="8">
        <f>SUMIFS(tItens[Valor],tItens[Edital],tEditais[[#This Row],[Edital]])</f>
        <v>5875.2499999999991</v>
      </c>
      <c r="N551" s="8">
        <f>SUMIFS(tItens[Valor homologado],tItens[Edital],tEditais[[#This Row],[Edital]],tItens[Foco],"Sim")</f>
        <v>0</v>
      </c>
      <c r="O551" t="str">
        <f>IF(tEditais[[#This Row],[Itens do foco]]=0,"",IF(tEditais[[#This Row],[Valor foco homologado]]&lt;=0,"Sem valor",IF(tEditais[[#This Row],[Valor foco homologado]]&gt;=FaixaA_Min,"A",IF(tEditais[[#This Row],[Valor foco homologado]]&gt;=FaixaB_Min,"B","C"))))</f>
        <v/>
      </c>
      <c r="P551" t="str">
        <f ca="1">IF(tEditais[[#This Row],[Encerramento]]&gt;NOW(),"Aberto","Encerrado")</f>
        <v>Encerrado</v>
      </c>
    </row>
    <row r="552" spans="1:16" x14ac:dyDescent="0.25">
      <c r="A552" t="s">
        <v>2862</v>
      </c>
      <c r="B552" t="s">
        <v>2844</v>
      </c>
      <c r="C552" t="s">
        <v>2845</v>
      </c>
      <c r="D552" t="s">
        <v>2708</v>
      </c>
      <c r="E552" t="s">
        <v>716</v>
      </c>
      <c r="F552" s="11">
        <v>46308.375</v>
      </c>
      <c r="G552">
        <v>23</v>
      </c>
      <c r="H552" t="s">
        <v>2863</v>
      </c>
      <c r="I552" t="s">
        <v>2864</v>
      </c>
      <c r="J552" t="str">
        <f>IF(ISNUMBER(SEARCH("registro de pre",tEditais[[#This Row],[Objeto]])),"Sim","Não")</f>
        <v>Não</v>
      </c>
      <c r="K552" s="4">
        <f>COUNTIFS(tItens[Edital],tEditais[[#This Row],[Edital]])</f>
        <v>2</v>
      </c>
      <c r="L552" s="4">
        <f>COUNTIFS(tItens[Edital],tEditais[[#This Row],[Edital]],tItens[Foco],"Sim")</f>
        <v>0</v>
      </c>
      <c r="M552" s="8">
        <f>SUMIFS(tItens[Valor],tItens[Edital],tEditais[[#This Row],[Edital]])</f>
        <v>0</v>
      </c>
      <c r="N552" s="8">
        <f>SUMIFS(tItens[Valor homologado],tItens[Edital],tEditais[[#This Row],[Edital]],tItens[Foco],"Sim")</f>
        <v>0</v>
      </c>
      <c r="O552" t="str">
        <f>IF(tEditais[[#This Row],[Itens do foco]]=0,"",IF(tEditais[[#This Row],[Valor foco homologado]]&lt;=0,"Sem valor",IF(tEditais[[#This Row],[Valor foco homologado]]&gt;=FaixaA_Min,"A",IF(tEditais[[#This Row],[Valor foco homologado]]&gt;=FaixaB_Min,"B","C"))))</f>
        <v/>
      </c>
      <c r="P552" t="str">
        <f ca="1">IF(tEditais[[#This Row],[Encerramento]]&gt;NOW(),"Aberto","Encerrado")</f>
        <v>Encerrado</v>
      </c>
    </row>
    <row r="553" spans="1:16" x14ac:dyDescent="0.25">
      <c r="A553" t="s">
        <v>2865</v>
      </c>
      <c r="B553" t="s">
        <v>2866</v>
      </c>
      <c r="C553" t="s">
        <v>2867</v>
      </c>
      <c r="D553" t="s">
        <v>2708</v>
      </c>
      <c r="E553" t="s">
        <v>716</v>
      </c>
      <c r="F553" s="11">
        <v>46308.375</v>
      </c>
      <c r="G553">
        <v>6</v>
      </c>
      <c r="H553" t="s">
        <v>2868</v>
      </c>
      <c r="I553" t="s">
        <v>2869</v>
      </c>
      <c r="J553" t="str">
        <f>IF(ISNUMBER(SEARCH("registro de pre",tEditais[[#This Row],[Objeto]])),"Sim","Não")</f>
        <v>Não</v>
      </c>
      <c r="K553" s="4">
        <f>COUNTIFS(tItens[Edital],tEditais[[#This Row],[Edital]])</f>
        <v>1</v>
      </c>
      <c r="L553" s="4">
        <f>COUNTIFS(tItens[Edital],tEditais[[#This Row],[Edital]],tItens[Foco],"Sim")</f>
        <v>0</v>
      </c>
      <c r="M553" s="8">
        <f>SUMIFS(tItens[Valor],tItens[Edital],tEditais[[#This Row],[Edital]])</f>
        <v>816.48</v>
      </c>
      <c r="N553" s="8">
        <f>SUMIFS(tItens[Valor homologado],tItens[Edital],tEditais[[#This Row],[Edital]],tItens[Foco],"Sim")</f>
        <v>0</v>
      </c>
      <c r="O553" t="str">
        <f>IF(tEditais[[#This Row],[Itens do foco]]=0,"",IF(tEditais[[#This Row],[Valor foco homologado]]&lt;=0,"Sem valor",IF(tEditais[[#This Row],[Valor foco homologado]]&gt;=FaixaA_Min,"A",IF(tEditais[[#This Row],[Valor foco homologado]]&gt;=FaixaB_Min,"B","C"))))</f>
        <v/>
      </c>
      <c r="P553" t="str">
        <f ca="1">IF(tEditais[[#This Row],[Encerramento]]&gt;NOW(),"Aberto","Encerrado")</f>
        <v>Encerrado</v>
      </c>
    </row>
    <row r="554" spans="1:16" x14ac:dyDescent="0.25">
      <c r="A554" t="s">
        <v>2870</v>
      </c>
      <c r="B554" t="s">
        <v>2871</v>
      </c>
      <c r="C554" t="s">
        <v>2872</v>
      </c>
      <c r="D554" t="s">
        <v>2708</v>
      </c>
      <c r="E554" t="s">
        <v>716</v>
      </c>
      <c r="F554" s="11">
        <v>46308.375694444447</v>
      </c>
      <c r="G554">
        <v>155</v>
      </c>
      <c r="I554" t="s">
        <v>2873</v>
      </c>
      <c r="J554" t="str">
        <f>IF(ISNUMBER(SEARCH("registro de pre",tEditais[[#This Row],[Objeto]])),"Sim","Não")</f>
        <v>Sim</v>
      </c>
      <c r="K554" s="4">
        <f>COUNTIFS(tItens[Edital],tEditais[[#This Row],[Edital]])</f>
        <v>61</v>
      </c>
      <c r="L554" s="4">
        <f>COUNTIFS(tItens[Edital],tEditais[[#This Row],[Edital]],tItens[Foco],"Sim")</f>
        <v>8</v>
      </c>
      <c r="M554" s="8">
        <f>SUMIFS(tItens[Valor],tItens[Edital],tEditais[[#This Row],[Edital]])</f>
        <v>137879.64999999997</v>
      </c>
      <c r="N554" s="8">
        <f>SUMIFS(tItens[Valor homologado],tItens[Edital],tEditais[[#This Row],[Edital]],tItens[Foco],"Sim")</f>
        <v>7887.9680000000008</v>
      </c>
      <c r="O554" t="str">
        <f>IF(tEditais[[#This Row],[Itens do foco]]=0,"",IF(tEditais[[#This Row],[Valor foco homologado]]&lt;=0,"Sem valor",IF(tEditais[[#This Row],[Valor foco homologado]]&gt;=FaixaA_Min,"A",IF(tEditais[[#This Row],[Valor foco homologado]]&gt;=FaixaB_Min,"B","C"))))</f>
        <v>C</v>
      </c>
      <c r="P554" t="str">
        <f ca="1">IF(tEditais[[#This Row],[Encerramento]]&gt;NOW(),"Aberto","Encerrado")</f>
        <v>Encerrado</v>
      </c>
    </row>
    <row r="555" spans="1:16" x14ac:dyDescent="0.25">
      <c r="A555" t="s">
        <v>2874</v>
      </c>
      <c r="B555" t="s">
        <v>1933</v>
      </c>
      <c r="C555" t="s">
        <v>2763</v>
      </c>
      <c r="D555" t="s">
        <v>2708</v>
      </c>
      <c r="E555" t="s">
        <v>716</v>
      </c>
      <c r="F555" s="11">
        <v>46308.416666666664</v>
      </c>
      <c r="G555">
        <v>181</v>
      </c>
      <c r="H555" t="s">
        <v>2875</v>
      </c>
      <c r="I555" t="s">
        <v>2876</v>
      </c>
      <c r="J555" t="str">
        <f>IF(ISNUMBER(SEARCH("registro de pre",tEditais[[#This Row],[Objeto]])),"Sim","Não")</f>
        <v>Não</v>
      </c>
      <c r="K555" s="4">
        <f>COUNTIFS(tItens[Edital],tEditais[[#This Row],[Edital]])</f>
        <v>5</v>
      </c>
      <c r="L555" s="4">
        <f>COUNTIFS(tItens[Edital],tEditais[[#This Row],[Edital]],tItens[Foco],"Sim")</f>
        <v>0</v>
      </c>
      <c r="M555" s="8">
        <f>SUMIFS(tItens[Valor],tItens[Edital],tEditais[[#This Row],[Edital]])</f>
        <v>107399</v>
      </c>
      <c r="N555" s="8">
        <f>SUMIFS(tItens[Valor homologado],tItens[Edital],tEditais[[#This Row],[Edital]],tItens[Foco],"Sim")</f>
        <v>0</v>
      </c>
      <c r="O555" t="str">
        <f>IF(tEditais[[#This Row],[Itens do foco]]=0,"",IF(tEditais[[#This Row],[Valor foco homologado]]&lt;=0,"Sem valor",IF(tEditais[[#This Row],[Valor foco homologado]]&gt;=FaixaA_Min,"A",IF(tEditais[[#This Row],[Valor foco homologado]]&gt;=FaixaB_Min,"B","C"))))</f>
        <v/>
      </c>
      <c r="P555" t="str">
        <f ca="1">IF(tEditais[[#This Row],[Encerramento]]&gt;NOW(),"Aberto","Encerrado")</f>
        <v>Encerrado</v>
      </c>
    </row>
    <row r="556" spans="1:16" x14ac:dyDescent="0.25">
      <c r="A556" t="s">
        <v>2877</v>
      </c>
      <c r="B556" t="s">
        <v>2878</v>
      </c>
      <c r="C556" t="s">
        <v>2879</v>
      </c>
      <c r="D556" t="s">
        <v>2708</v>
      </c>
      <c r="E556" t="s">
        <v>716</v>
      </c>
      <c r="F556" s="11">
        <v>46308.561805555553</v>
      </c>
      <c r="G556">
        <v>85</v>
      </c>
      <c r="H556" t="s">
        <v>2880</v>
      </c>
      <c r="I556" t="s">
        <v>2881</v>
      </c>
      <c r="J556" t="str">
        <f>IF(ISNUMBER(SEARCH("registro de pre",tEditais[[#This Row],[Objeto]])),"Sim","Não")</f>
        <v>Sim</v>
      </c>
      <c r="K556" s="4">
        <f>COUNTIFS(tItens[Edital],tEditais[[#This Row],[Edital]])</f>
        <v>37</v>
      </c>
      <c r="L556" s="4">
        <f>COUNTIFS(tItens[Edital],tEditais[[#This Row],[Edital]],tItens[Foco],"Sim")</f>
        <v>6</v>
      </c>
      <c r="M556" s="8">
        <f>SUMIFS(tItens[Valor],tItens[Edital],tEditais[[#This Row],[Edital]])</f>
        <v>374630.3</v>
      </c>
      <c r="N556" s="8">
        <f>SUMIFS(tItens[Valor homologado],tItens[Edital],tEditais[[#This Row],[Edital]],tItens[Foco],"Sim")</f>
        <v>8977.387999999999</v>
      </c>
      <c r="O556" t="str">
        <f>IF(tEditais[[#This Row],[Itens do foco]]=0,"",IF(tEditais[[#This Row],[Valor foco homologado]]&lt;=0,"Sem valor",IF(tEditais[[#This Row],[Valor foco homologado]]&gt;=FaixaA_Min,"A",IF(tEditais[[#This Row],[Valor foco homologado]]&gt;=FaixaB_Min,"B","C"))))</f>
        <v>C</v>
      </c>
      <c r="P556" t="str">
        <f ca="1">IF(tEditais[[#This Row],[Encerramento]]&gt;NOW(),"Aberto","Encerrado")</f>
        <v>Encerrado</v>
      </c>
    </row>
    <row r="557" spans="1:16" x14ac:dyDescent="0.25">
      <c r="A557" t="s">
        <v>2882</v>
      </c>
      <c r="B557" t="s">
        <v>2883</v>
      </c>
      <c r="C557" t="s">
        <v>2884</v>
      </c>
      <c r="D557" t="s">
        <v>2708</v>
      </c>
      <c r="E557" t="s">
        <v>716</v>
      </c>
      <c r="F557" s="11">
        <v>46309.291666666664</v>
      </c>
      <c r="G557">
        <v>119</v>
      </c>
      <c r="H557" t="s">
        <v>2885</v>
      </c>
      <c r="I557" t="s">
        <v>2886</v>
      </c>
      <c r="J557" t="str">
        <f>IF(ISNUMBER(SEARCH("registro de pre",tEditais[[#This Row],[Objeto]])),"Sim","Não")</f>
        <v>Sim</v>
      </c>
      <c r="K557" s="4">
        <f>COUNTIFS(tItens[Edital],tEditais[[#This Row],[Edital]])</f>
        <v>42</v>
      </c>
      <c r="L557" s="4">
        <f>COUNTIFS(tItens[Edital],tEditais[[#This Row],[Edital]],tItens[Foco],"Sim")</f>
        <v>6</v>
      </c>
      <c r="M557" s="8">
        <f>SUMIFS(tItens[Valor],tItens[Edital],tEditais[[#This Row],[Edital]])</f>
        <v>200221.1</v>
      </c>
      <c r="N557" s="8">
        <f>SUMIFS(tItens[Valor homologado],tItens[Edital],tEditais[[#This Row],[Edital]],tItens[Foco],"Sim")</f>
        <v>2277.6059999999998</v>
      </c>
      <c r="O557" t="str">
        <f>IF(tEditais[[#This Row],[Itens do foco]]=0,"",IF(tEditais[[#This Row],[Valor foco homologado]]&lt;=0,"Sem valor",IF(tEditais[[#This Row],[Valor foco homologado]]&gt;=FaixaA_Min,"A",IF(tEditais[[#This Row],[Valor foco homologado]]&gt;=FaixaB_Min,"B","C"))))</f>
        <v>C</v>
      </c>
      <c r="P557" t="str">
        <f ca="1">IF(tEditais[[#This Row],[Encerramento]]&gt;NOW(),"Aberto","Encerrado")</f>
        <v>Encerrado</v>
      </c>
    </row>
    <row r="558" spans="1:16" x14ac:dyDescent="0.25">
      <c r="A558" t="s">
        <v>2887</v>
      </c>
      <c r="B558" t="s">
        <v>1089</v>
      </c>
      <c r="C558" t="s">
        <v>2763</v>
      </c>
      <c r="D558" t="s">
        <v>2708</v>
      </c>
      <c r="E558" t="s">
        <v>716</v>
      </c>
      <c r="F558" s="11">
        <v>46309.333333333336</v>
      </c>
      <c r="G558">
        <v>3</v>
      </c>
      <c r="H558" t="s">
        <v>2888</v>
      </c>
      <c r="I558" t="s">
        <v>2889</v>
      </c>
      <c r="J558" t="str">
        <f>IF(ISNUMBER(SEARCH("registro de pre",tEditais[[#This Row],[Objeto]])),"Sim","Não")</f>
        <v>Não</v>
      </c>
      <c r="K558" s="4">
        <f>COUNTIFS(tItens[Edital],tEditais[[#This Row],[Edital]])</f>
        <v>2</v>
      </c>
      <c r="L558" s="4">
        <f>COUNTIFS(tItens[Edital],tEditais[[#This Row],[Edital]],tItens[Foco],"Sim")</f>
        <v>0</v>
      </c>
      <c r="M558" s="8">
        <f>SUMIFS(tItens[Valor],tItens[Edital],tEditais[[#This Row],[Edital]])</f>
        <v>0</v>
      </c>
      <c r="N558" s="8">
        <f>SUMIFS(tItens[Valor homologado],tItens[Edital],tEditais[[#This Row],[Edital]],tItens[Foco],"Sim")</f>
        <v>0</v>
      </c>
      <c r="O558" t="str">
        <f>IF(tEditais[[#This Row],[Itens do foco]]=0,"",IF(tEditais[[#This Row],[Valor foco homologado]]&lt;=0,"Sem valor",IF(tEditais[[#This Row],[Valor foco homologado]]&gt;=FaixaA_Min,"A",IF(tEditais[[#This Row],[Valor foco homologado]]&gt;=FaixaB_Min,"B","C"))))</f>
        <v/>
      </c>
      <c r="P558" t="str">
        <f ca="1">IF(tEditais[[#This Row],[Encerramento]]&gt;NOW(),"Aberto","Encerrado")</f>
        <v>Encerrado</v>
      </c>
    </row>
    <row r="559" spans="1:16" x14ac:dyDescent="0.25">
      <c r="A559" t="s">
        <v>2890</v>
      </c>
      <c r="B559" t="s">
        <v>1089</v>
      </c>
      <c r="C559" t="s">
        <v>2763</v>
      </c>
      <c r="D559" t="s">
        <v>2708</v>
      </c>
      <c r="E559" t="s">
        <v>716</v>
      </c>
      <c r="F559" s="11">
        <v>46309.333333333336</v>
      </c>
      <c r="G559">
        <v>5</v>
      </c>
      <c r="H559" t="s">
        <v>2891</v>
      </c>
      <c r="I559" t="s">
        <v>2892</v>
      </c>
      <c r="J559" t="str">
        <f>IF(ISNUMBER(SEARCH("registro de pre",tEditais[[#This Row],[Objeto]])),"Sim","Não")</f>
        <v>Não</v>
      </c>
      <c r="K559" s="4">
        <f>COUNTIFS(tItens[Edital],tEditais[[#This Row],[Edital]])</f>
        <v>5</v>
      </c>
      <c r="L559" s="4">
        <f>COUNTIFS(tItens[Edital],tEditais[[#This Row],[Edital]],tItens[Foco],"Sim")</f>
        <v>1</v>
      </c>
      <c r="M559" s="8">
        <f>SUMIFS(tItens[Valor],tItens[Edital],tEditais[[#This Row],[Edital]])</f>
        <v>0</v>
      </c>
      <c r="N559" s="8">
        <f>SUMIFS(tItens[Valor homologado],tItens[Edital],tEditais[[#This Row],[Edital]],tItens[Foco],"Sim")</f>
        <v>0</v>
      </c>
      <c r="O559" t="str">
        <f>IF(tEditais[[#This Row],[Itens do foco]]=0,"",IF(tEditais[[#This Row],[Valor foco homologado]]&lt;=0,"Sem valor",IF(tEditais[[#This Row],[Valor foco homologado]]&gt;=FaixaA_Min,"A",IF(tEditais[[#This Row],[Valor foco homologado]]&gt;=FaixaB_Min,"B","C"))))</f>
        <v>Sem valor</v>
      </c>
      <c r="P559" t="str">
        <f ca="1">IF(tEditais[[#This Row],[Encerramento]]&gt;NOW(),"Aberto","Encerrado")</f>
        <v>Encerrado</v>
      </c>
    </row>
    <row r="560" spans="1:16" x14ac:dyDescent="0.25">
      <c r="A560" t="s">
        <v>2893</v>
      </c>
      <c r="B560" t="s">
        <v>2894</v>
      </c>
      <c r="C560" t="s">
        <v>2895</v>
      </c>
      <c r="D560" t="s">
        <v>2708</v>
      </c>
      <c r="E560" t="s">
        <v>716</v>
      </c>
      <c r="F560" s="11">
        <v>46309.333333333336</v>
      </c>
      <c r="G560">
        <v>40</v>
      </c>
      <c r="I560" t="s">
        <v>2896</v>
      </c>
      <c r="J560" t="str">
        <f>IF(ISNUMBER(SEARCH("registro de pre",tEditais[[#This Row],[Objeto]])),"Sim","Não")</f>
        <v>Não</v>
      </c>
      <c r="K560" s="4">
        <f>COUNTIFS(tItens[Edital],tEditais[[#This Row],[Edital]])</f>
        <v>3</v>
      </c>
      <c r="L560" s="4">
        <f>COUNTIFS(tItens[Edital],tEditais[[#This Row],[Edital]],tItens[Foco],"Sim")</f>
        <v>1</v>
      </c>
      <c r="M560" s="8">
        <f>SUMIFS(tItens[Valor],tItens[Edital],tEditais[[#This Row],[Edital]])</f>
        <v>150375.79999999999</v>
      </c>
      <c r="N560" s="8">
        <f>SUMIFS(tItens[Valor homologado],tItens[Edital],tEditais[[#This Row],[Edital]],tItens[Foco],"Sim")</f>
        <v>7897.1399999999994</v>
      </c>
      <c r="O560" t="str">
        <f>IF(tEditais[[#This Row],[Itens do foco]]=0,"",IF(tEditais[[#This Row],[Valor foco homologado]]&lt;=0,"Sem valor",IF(tEditais[[#This Row],[Valor foco homologado]]&gt;=FaixaA_Min,"A",IF(tEditais[[#This Row],[Valor foco homologado]]&gt;=FaixaB_Min,"B","C"))))</f>
        <v>C</v>
      </c>
      <c r="P560" t="str">
        <f ca="1">IF(tEditais[[#This Row],[Encerramento]]&gt;NOW(),"Aberto","Encerrado")</f>
        <v>Encerrado</v>
      </c>
    </row>
    <row r="561" spans="1:16" x14ac:dyDescent="0.25">
      <c r="A561" t="s">
        <v>2897</v>
      </c>
      <c r="B561" t="s">
        <v>2898</v>
      </c>
      <c r="C561" t="s">
        <v>2763</v>
      </c>
      <c r="D561" t="s">
        <v>2708</v>
      </c>
      <c r="E561" t="s">
        <v>800</v>
      </c>
      <c r="F561" s="11">
        <v>46309.333333333336</v>
      </c>
      <c r="G561">
        <v>15</v>
      </c>
      <c r="H561" t="s">
        <v>2899</v>
      </c>
      <c r="I561" t="s">
        <v>2900</v>
      </c>
      <c r="J561" t="str">
        <f>IF(ISNUMBER(SEARCH("registro de pre",tEditais[[#This Row],[Objeto]])),"Sim","Não")</f>
        <v>Não</v>
      </c>
      <c r="K561" s="4">
        <f>COUNTIFS(tItens[Edital],tEditais[[#This Row],[Edital]])</f>
        <v>2</v>
      </c>
      <c r="L561" s="4">
        <f>COUNTIFS(tItens[Edital],tEditais[[#This Row],[Edital]],tItens[Foco],"Sim")</f>
        <v>0</v>
      </c>
      <c r="M561" s="8">
        <f>SUMIFS(tItens[Valor],tItens[Edital],tEditais[[#This Row],[Edital]])</f>
        <v>0</v>
      </c>
      <c r="N561" s="8">
        <f>SUMIFS(tItens[Valor homologado],tItens[Edital],tEditais[[#This Row],[Edital]],tItens[Foco],"Sim")</f>
        <v>0</v>
      </c>
      <c r="O561" t="str">
        <f>IF(tEditais[[#This Row],[Itens do foco]]=0,"",IF(tEditais[[#This Row],[Valor foco homologado]]&lt;=0,"Sem valor",IF(tEditais[[#This Row],[Valor foco homologado]]&gt;=FaixaA_Min,"A",IF(tEditais[[#This Row],[Valor foco homologado]]&gt;=FaixaB_Min,"B","C"))))</f>
        <v/>
      </c>
      <c r="P561" t="str">
        <f ca="1">IF(tEditais[[#This Row],[Encerramento]]&gt;NOW(),"Aberto","Encerrado")</f>
        <v>Encerrado</v>
      </c>
    </row>
    <row r="562" spans="1:16" x14ac:dyDescent="0.25">
      <c r="A562" t="s">
        <v>2901</v>
      </c>
      <c r="B562" t="s">
        <v>2902</v>
      </c>
      <c r="C562" t="s">
        <v>2903</v>
      </c>
      <c r="D562" t="s">
        <v>2708</v>
      </c>
      <c r="E562" t="s">
        <v>716</v>
      </c>
      <c r="F562" s="11">
        <v>46309.354166666664</v>
      </c>
      <c r="G562">
        <v>5</v>
      </c>
      <c r="I562" t="s">
        <v>2904</v>
      </c>
      <c r="J562" t="str">
        <f>IF(ISNUMBER(SEARCH("registro de pre",tEditais[[#This Row],[Objeto]])),"Sim","Não")</f>
        <v>Não</v>
      </c>
      <c r="K562" s="4">
        <f>COUNTIFS(tItens[Edital],tEditais[[#This Row],[Edital]])</f>
        <v>2</v>
      </c>
      <c r="L562" s="4">
        <f>COUNTIFS(tItens[Edital],tEditais[[#This Row],[Edital]],tItens[Foco],"Sim")</f>
        <v>0</v>
      </c>
      <c r="M562" s="8">
        <f>SUMIFS(tItens[Valor],tItens[Edital],tEditais[[#This Row],[Edital]])</f>
        <v>6436</v>
      </c>
      <c r="N562" s="8">
        <f>SUMIFS(tItens[Valor homologado],tItens[Edital],tEditais[[#This Row],[Edital]],tItens[Foco],"Sim")</f>
        <v>0</v>
      </c>
      <c r="O562" t="str">
        <f>IF(tEditais[[#This Row],[Itens do foco]]=0,"",IF(tEditais[[#This Row],[Valor foco homologado]]&lt;=0,"Sem valor",IF(tEditais[[#This Row],[Valor foco homologado]]&gt;=FaixaA_Min,"A",IF(tEditais[[#This Row],[Valor foco homologado]]&gt;=FaixaB_Min,"B","C"))))</f>
        <v/>
      </c>
      <c r="P562" t="str">
        <f ca="1">IF(tEditais[[#This Row],[Encerramento]]&gt;NOW(),"Aberto","Encerrado")</f>
        <v>Encerrado</v>
      </c>
    </row>
    <row r="563" spans="1:16" x14ac:dyDescent="0.25">
      <c r="A563" t="s">
        <v>2905</v>
      </c>
      <c r="B563" t="s">
        <v>2822</v>
      </c>
      <c r="C563" t="s">
        <v>2823</v>
      </c>
      <c r="D563" t="s">
        <v>2708</v>
      </c>
      <c r="E563" t="s">
        <v>716</v>
      </c>
      <c r="F563" s="11">
        <v>46309.354166666664</v>
      </c>
      <c r="G563">
        <v>21</v>
      </c>
      <c r="H563" t="s">
        <v>2906</v>
      </c>
      <c r="I563" t="s">
        <v>2907</v>
      </c>
      <c r="J563" t="str">
        <f>IF(ISNUMBER(SEARCH("registro de pre",tEditais[[#This Row],[Objeto]])),"Sim","Não")</f>
        <v>Sim</v>
      </c>
      <c r="K563" s="4">
        <f>COUNTIFS(tItens[Edital],tEditais[[#This Row],[Edital]])</f>
        <v>2</v>
      </c>
      <c r="L563" s="4">
        <f>COUNTIFS(tItens[Edital],tEditais[[#This Row],[Edital]],tItens[Foco],"Sim")</f>
        <v>0</v>
      </c>
      <c r="M563" s="8">
        <f>SUMIFS(tItens[Valor],tItens[Edital],tEditais[[#This Row],[Edital]])</f>
        <v>5290</v>
      </c>
      <c r="N563" s="8">
        <f>SUMIFS(tItens[Valor homologado],tItens[Edital],tEditais[[#This Row],[Edital]],tItens[Foco],"Sim")</f>
        <v>0</v>
      </c>
      <c r="O563" t="str">
        <f>IF(tEditais[[#This Row],[Itens do foco]]=0,"",IF(tEditais[[#This Row],[Valor foco homologado]]&lt;=0,"Sem valor",IF(tEditais[[#This Row],[Valor foco homologado]]&gt;=FaixaA_Min,"A",IF(tEditais[[#This Row],[Valor foco homologado]]&gt;=FaixaB_Min,"B","C"))))</f>
        <v/>
      </c>
      <c r="P563" t="str">
        <f ca="1">IF(tEditais[[#This Row],[Encerramento]]&gt;NOW(),"Aberto","Encerrado")</f>
        <v>Encerrado</v>
      </c>
    </row>
    <row r="564" spans="1:16" x14ac:dyDescent="0.25">
      <c r="A564" t="s">
        <v>2908</v>
      </c>
      <c r="B564" t="s">
        <v>2909</v>
      </c>
      <c r="C564" t="s">
        <v>2910</v>
      </c>
      <c r="D564" t="s">
        <v>2708</v>
      </c>
      <c r="E564" t="s">
        <v>716</v>
      </c>
      <c r="F564" s="11">
        <v>46309.374305555553</v>
      </c>
      <c r="G564">
        <v>15</v>
      </c>
      <c r="I564" t="s">
        <v>2911</v>
      </c>
      <c r="J564" t="str">
        <f>IF(ISNUMBER(SEARCH("registro de pre",tEditais[[#This Row],[Objeto]])),"Sim","Não")</f>
        <v>Sim</v>
      </c>
      <c r="K564" s="4">
        <f>COUNTIFS(tItens[Edital],tEditais[[#This Row],[Edital]])</f>
        <v>1</v>
      </c>
      <c r="L564" s="4">
        <f>COUNTIFS(tItens[Edital],tEditais[[#This Row],[Edital]],tItens[Foco],"Sim")</f>
        <v>0</v>
      </c>
      <c r="M564" s="8">
        <f>SUMIFS(tItens[Valor],tItens[Edital],tEditais[[#This Row],[Edital]])</f>
        <v>0</v>
      </c>
      <c r="N564" s="8">
        <f>SUMIFS(tItens[Valor homologado],tItens[Edital],tEditais[[#This Row],[Edital]],tItens[Foco],"Sim")</f>
        <v>0</v>
      </c>
      <c r="O564" t="str">
        <f>IF(tEditais[[#This Row],[Itens do foco]]=0,"",IF(tEditais[[#This Row],[Valor foco homologado]]&lt;=0,"Sem valor",IF(tEditais[[#This Row],[Valor foco homologado]]&gt;=FaixaA_Min,"A",IF(tEditais[[#This Row],[Valor foco homologado]]&gt;=FaixaB_Min,"B","C"))))</f>
        <v/>
      </c>
      <c r="P564" t="str">
        <f ca="1">IF(tEditais[[#This Row],[Encerramento]]&gt;NOW(),"Aberto","Encerrado")</f>
        <v>Encerrado</v>
      </c>
    </row>
    <row r="565" spans="1:16" x14ac:dyDescent="0.25">
      <c r="A565" t="s">
        <v>2912</v>
      </c>
      <c r="B565" t="s">
        <v>2913</v>
      </c>
      <c r="C565" t="s">
        <v>2855</v>
      </c>
      <c r="D565" t="s">
        <v>2708</v>
      </c>
      <c r="E565" t="s">
        <v>716</v>
      </c>
      <c r="F565" s="11">
        <v>46309.374305555553</v>
      </c>
      <c r="G565">
        <v>11</v>
      </c>
      <c r="I565" t="s">
        <v>2914</v>
      </c>
      <c r="J565" t="str">
        <f>IF(ISNUMBER(SEARCH("registro de pre",tEditais[[#This Row],[Objeto]])),"Sim","Não")</f>
        <v>Sim</v>
      </c>
      <c r="K565" s="4">
        <f>COUNTIFS(tItens[Edital],tEditais[[#This Row],[Edital]])</f>
        <v>11</v>
      </c>
      <c r="L565" s="4">
        <f>COUNTIFS(tItens[Edital],tEditais[[#This Row],[Edital]],tItens[Foco],"Sim")</f>
        <v>0</v>
      </c>
      <c r="M565" s="8">
        <f>SUMIFS(tItens[Valor],tItens[Edital],tEditais[[#This Row],[Edital]])</f>
        <v>7236807.5399999991</v>
      </c>
      <c r="N565" s="8">
        <f>SUMIFS(tItens[Valor homologado],tItens[Edital],tEditais[[#This Row],[Edital]],tItens[Foco],"Sim")</f>
        <v>0</v>
      </c>
      <c r="O565" t="str">
        <f>IF(tEditais[[#This Row],[Itens do foco]]=0,"",IF(tEditais[[#This Row],[Valor foco homologado]]&lt;=0,"Sem valor",IF(tEditais[[#This Row],[Valor foco homologado]]&gt;=FaixaA_Min,"A",IF(tEditais[[#This Row],[Valor foco homologado]]&gt;=FaixaB_Min,"B","C"))))</f>
        <v/>
      </c>
      <c r="P565" t="str">
        <f ca="1">IF(tEditais[[#This Row],[Encerramento]]&gt;NOW(),"Aberto","Encerrado")</f>
        <v>Encerrado</v>
      </c>
    </row>
    <row r="566" spans="1:16" x14ac:dyDescent="0.25">
      <c r="A566" t="s">
        <v>2915</v>
      </c>
      <c r="B566" t="s">
        <v>1089</v>
      </c>
      <c r="C566" t="s">
        <v>2763</v>
      </c>
      <c r="D566" t="s">
        <v>2708</v>
      </c>
      <c r="E566" t="s">
        <v>2836</v>
      </c>
      <c r="F566" s="11">
        <v>46309.374305555553</v>
      </c>
      <c r="G566">
        <v>1</v>
      </c>
      <c r="H566" t="s">
        <v>2916</v>
      </c>
      <c r="I566" t="s">
        <v>2917</v>
      </c>
      <c r="J566" t="str">
        <f>IF(ISNUMBER(SEARCH("registro de pre",tEditais[[#This Row],[Objeto]])),"Sim","Não")</f>
        <v>Não</v>
      </c>
      <c r="K566" s="4">
        <f>COUNTIFS(tItens[Edital],tEditais[[#This Row],[Edital]])</f>
        <v>1</v>
      </c>
      <c r="L566" s="4">
        <f>COUNTIFS(tItens[Edital],tEditais[[#This Row],[Edital]],tItens[Foco],"Sim")</f>
        <v>0</v>
      </c>
      <c r="M566" s="8">
        <f>SUMIFS(tItens[Valor],tItens[Edital],tEditais[[#This Row],[Edital]])</f>
        <v>0</v>
      </c>
      <c r="N566" s="8">
        <f>SUMIFS(tItens[Valor homologado],tItens[Edital],tEditais[[#This Row],[Edital]],tItens[Foco],"Sim")</f>
        <v>0</v>
      </c>
      <c r="O566" t="str">
        <f>IF(tEditais[[#This Row],[Itens do foco]]=0,"",IF(tEditais[[#This Row],[Valor foco homologado]]&lt;=0,"Sem valor",IF(tEditais[[#This Row],[Valor foco homologado]]&gt;=FaixaA_Min,"A",IF(tEditais[[#This Row],[Valor foco homologado]]&gt;=FaixaB_Min,"B","C"))))</f>
        <v/>
      </c>
      <c r="P566" t="str">
        <f ca="1">IF(tEditais[[#This Row],[Encerramento]]&gt;NOW(),"Aberto","Encerrado")</f>
        <v>Encerrado</v>
      </c>
    </row>
    <row r="567" spans="1:16" x14ac:dyDescent="0.25">
      <c r="A567" t="s">
        <v>2918</v>
      </c>
      <c r="B567" t="s">
        <v>2919</v>
      </c>
      <c r="C567" t="s">
        <v>2920</v>
      </c>
      <c r="D567" t="s">
        <v>2708</v>
      </c>
      <c r="E567" t="s">
        <v>716</v>
      </c>
      <c r="F567" s="11">
        <v>46309.374305555553</v>
      </c>
      <c r="G567">
        <v>60</v>
      </c>
      <c r="I567" t="s">
        <v>2921</v>
      </c>
      <c r="J567" t="str">
        <f>IF(ISNUMBER(SEARCH("registro de pre",tEditais[[#This Row],[Objeto]])),"Sim","Não")</f>
        <v>Sim</v>
      </c>
      <c r="K567" s="4">
        <f>COUNTIFS(tItens[Edital],tEditais[[#This Row],[Edital]])</f>
        <v>2</v>
      </c>
      <c r="L567" s="4">
        <f>COUNTIFS(tItens[Edital],tEditais[[#This Row],[Edital]],tItens[Foco],"Sim")</f>
        <v>0</v>
      </c>
      <c r="M567" s="8">
        <f>SUMIFS(tItens[Valor],tItens[Edital],tEditais[[#This Row],[Edital]])</f>
        <v>10233.66</v>
      </c>
      <c r="N567" s="8">
        <f>SUMIFS(tItens[Valor homologado],tItens[Edital],tEditais[[#This Row],[Edital]],tItens[Foco],"Sim")</f>
        <v>0</v>
      </c>
      <c r="O567" t="str">
        <f>IF(tEditais[[#This Row],[Itens do foco]]=0,"",IF(tEditais[[#This Row],[Valor foco homologado]]&lt;=0,"Sem valor",IF(tEditais[[#This Row],[Valor foco homologado]]&gt;=FaixaA_Min,"A",IF(tEditais[[#This Row],[Valor foco homologado]]&gt;=FaixaB_Min,"B","C"))))</f>
        <v/>
      </c>
      <c r="P567" t="str">
        <f ca="1">IF(tEditais[[#This Row],[Encerramento]]&gt;NOW(),"Aberto","Encerrado")</f>
        <v>Encerrado</v>
      </c>
    </row>
    <row r="568" spans="1:16" x14ac:dyDescent="0.25">
      <c r="A568" t="s">
        <v>2922</v>
      </c>
      <c r="B568" t="s">
        <v>2923</v>
      </c>
      <c r="C568" t="s">
        <v>2763</v>
      </c>
      <c r="D568" t="s">
        <v>2708</v>
      </c>
      <c r="E568" t="s">
        <v>716</v>
      </c>
      <c r="F568" s="11">
        <v>46309.375</v>
      </c>
      <c r="G568">
        <v>12</v>
      </c>
      <c r="H568" t="s">
        <v>2924</v>
      </c>
      <c r="I568" t="s">
        <v>2925</v>
      </c>
      <c r="J568" t="str">
        <f>IF(ISNUMBER(SEARCH("registro de pre",tEditais[[#This Row],[Objeto]])),"Sim","Não")</f>
        <v>Não</v>
      </c>
      <c r="K568" s="4">
        <f>COUNTIFS(tItens[Edital],tEditais[[#This Row],[Edital]])</f>
        <v>1</v>
      </c>
      <c r="L568" s="4">
        <f>COUNTIFS(tItens[Edital],tEditais[[#This Row],[Edital]],tItens[Foco],"Sim")</f>
        <v>0</v>
      </c>
      <c r="M568" s="8">
        <f>SUMIFS(tItens[Valor],tItens[Edital],tEditais[[#This Row],[Edital]])</f>
        <v>0</v>
      </c>
      <c r="N568" s="8">
        <f>SUMIFS(tItens[Valor homologado],tItens[Edital],tEditais[[#This Row],[Edital]],tItens[Foco],"Sim")</f>
        <v>0</v>
      </c>
      <c r="O568" t="str">
        <f>IF(tEditais[[#This Row],[Itens do foco]]=0,"",IF(tEditais[[#This Row],[Valor foco homologado]]&lt;=0,"Sem valor",IF(tEditais[[#This Row],[Valor foco homologado]]&gt;=FaixaA_Min,"A",IF(tEditais[[#This Row],[Valor foco homologado]]&gt;=FaixaB_Min,"B","C"))))</f>
        <v/>
      </c>
      <c r="P568" t="str">
        <f ca="1">IF(tEditais[[#This Row],[Encerramento]]&gt;NOW(),"Aberto","Encerrado")</f>
        <v>Encerrado</v>
      </c>
    </row>
    <row r="569" spans="1:16" x14ac:dyDescent="0.25">
      <c r="A569" t="s">
        <v>2926</v>
      </c>
      <c r="B569" t="s">
        <v>2927</v>
      </c>
      <c r="C569" t="s">
        <v>2928</v>
      </c>
      <c r="D569" t="s">
        <v>2708</v>
      </c>
      <c r="E569" t="s">
        <v>716</v>
      </c>
      <c r="F569" s="11">
        <v>46309.375</v>
      </c>
      <c r="G569">
        <v>4</v>
      </c>
      <c r="H569" t="s">
        <v>2929</v>
      </c>
      <c r="I569" t="s">
        <v>2930</v>
      </c>
      <c r="J569" t="str">
        <f>IF(ISNUMBER(SEARCH("registro de pre",tEditais[[#This Row],[Objeto]])),"Sim","Não")</f>
        <v>Sim</v>
      </c>
      <c r="K569" s="4">
        <f>COUNTIFS(tItens[Edital],tEditais[[#This Row],[Edital]])</f>
        <v>3</v>
      </c>
      <c r="L569" s="4">
        <f>COUNTIFS(tItens[Edital],tEditais[[#This Row],[Edital]],tItens[Foco],"Sim")</f>
        <v>0</v>
      </c>
      <c r="M569" s="8">
        <f>SUMIFS(tItens[Valor],tItens[Edital],tEditais[[#This Row],[Edital]])</f>
        <v>768718.35000000009</v>
      </c>
      <c r="N569" s="8">
        <f>SUMIFS(tItens[Valor homologado],tItens[Edital],tEditais[[#This Row],[Edital]],tItens[Foco],"Sim")</f>
        <v>0</v>
      </c>
      <c r="O569" t="str">
        <f>IF(tEditais[[#This Row],[Itens do foco]]=0,"",IF(tEditais[[#This Row],[Valor foco homologado]]&lt;=0,"Sem valor",IF(tEditais[[#This Row],[Valor foco homologado]]&gt;=FaixaA_Min,"A",IF(tEditais[[#This Row],[Valor foco homologado]]&gt;=FaixaB_Min,"B","C"))))</f>
        <v/>
      </c>
      <c r="P569" t="str">
        <f ca="1">IF(tEditais[[#This Row],[Encerramento]]&gt;NOW(),"Aberto","Encerrado")</f>
        <v>Encerrado</v>
      </c>
    </row>
    <row r="570" spans="1:16" x14ac:dyDescent="0.25">
      <c r="A570" t="s">
        <v>2931</v>
      </c>
      <c r="B570" t="s">
        <v>2923</v>
      </c>
      <c r="C570" t="s">
        <v>2763</v>
      </c>
      <c r="D570" t="s">
        <v>2708</v>
      </c>
      <c r="E570" t="s">
        <v>716</v>
      </c>
      <c r="F570" s="11">
        <v>46309.375</v>
      </c>
      <c r="G570">
        <v>10</v>
      </c>
      <c r="H570" t="s">
        <v>2932</v>
      </c>
      <c r="I570" t="s">
        <v>2933</v>
      </c>
      <c r="J570" t="str">
        <f>IF(ISNUMBER(SEARCH("registro de pre",tEditais[[#This Row],[Objeto]])),"Sim","Não")</f>
        <v>Não</v>
      </c>
      <c r="K570" s="4">
        <f>COUNTIFS(tItens[Edital],tEditais[[#This Row],[Edital]])</f>
        <v>1</v>
      </c>
      <c r="L570" s="4">
        <f>COUNTIFS(tItens[Edital],tEditais[[#This Row],[Edital]],tItens[Foco],"Sim")</f>
        <v>0</v>
      </c>
      <c r="M570" s="8">
        <f>SUMIFS(tItens[Valor],tItens[Edital],tEditais[[#This Row],[Edital]])</f>
        <v>0</v>
      </c>
      <c r="N570" s="8">
        <f>SUMIFS(tItens[Valor homologado],tItens[Edital],tEditais[[#This Row],[Edital]],tItens[Foco],"Sim")</f>
        <v>0</v>
      </c>
      <c r="O570" t="str">
        <f>IF(tEditais[[#This Row],[Itens do foco]]=0,"",IF(tEditais[[#This Row],[Valor foco homologado]]&lt;=0,"Sem valor",IF(tEditais[[#This Row],[Valor foco homologado]]&gt;=FaixaA_Min,"A",IF(tEditais[[#This Row],[Valor foco homologado]]&gt;=FaixaB_Min,"B","C"))))</f>
        <v/>
      </c>
      <c r="P570" t="str">
        <f ca="1">IF(tEditais[[#This Row],[Encerramento]]&gt;NOW(),"Aberto","Encerrado")</f>
        <v>Encerrado</v>
      </c>
    </row>
    <row r="571" spans="1:16" x14ac:dyDescent="0.25">
      <c r="A571" t="s">
        <v>2934</v>
      </c>
      <c r="B571" t="s">
        <v>2935</v>
      </c>
      <c r="C571" t="s">
        <v>2850</v>
      </c>
      <c r="D571" t="s">
        <v>2708</v>
      </c>
      <c r="E571" t="s">
        <v>716</v>
      </c>
      <c r="F571" s="11">
        <v>46309.375</v>
      </c>
      <c r="G571">
        <v>234</v>
      </c>
      <c r="I571" t="s">
        <v>2936</v>
      </c>
      <c r="J571" t="str">
        <f>IF(ISNUMBER(SEARCH("registro de pre",tEditais[[#This Row],[Objeto]])),"Sim","Não")</f>
        <v>Sim</v>
      </c>
      <c r="K571" s="4">
        <f>COUNTIFS(tItens[Edital],tEditais[[#This Row],[Edital]])</f>
        <v>17</v>
      </c>
      <c r="L571" s="4">
        <f>COUNTIFS(tItens[Edital],tEditais[[#This Row],[Edital]],tItens[Foco],"Sim")</f>
        <v>0</v>
      </c>
      <c r="M571" s="8">
        <f>SUMIFS(tItens[Valor],tItens[Edital],tEditais[[#This Row],[Edital]])</f>
        <v>184116.5</v>
      </c>
      <c r="N571" s="8">
        <f>SUMIFS(tItens[Valor homologado],tItens[Edital],tEditais[[#This Row],[Edital]],tItens[Foco],"Sim")</f>
        <v>0</v>
      </c>
      <c r="O571" t="str">
        <f>IF(tEditais[[#This Row],[Itens do foco]]=0,"",IF(tEditais[[#This Row],[Valor foco homologado]]&lt;=0,"Sem valor",IF(tEditais[[#This Row],[Valor foco homologado]]&gt;=FaixaA_Min,"A",IF(tEditais[[#This Row],[Valor foco homologado]]&gt;=FaixaB_Min,"B","C"))))</f>
        <v/>
      </c>
      <c r="P571" t="str">
        <f ca="1">IF(tEditais[[#This Row],[Encerramento]]&gt;NOW(),"Aberto","Encerrado")</f>
        <v>Encerrado</v>
      </c>
    </row>
    <row r="572" spans="1:16" x14ac:dyDescent="0.25">
      <c r="A572" t="s">
        <v>2937</v>
      </c>
      <c r="B572" t="s">
        <v>2758</v>
      </c>
      <c r="C572" t="s">
        <v>2759</v>
      </c>
      <c r="D572" t="s">
        <v>2708</v>
      </c>
      <c r="E572" t="s">
        <v>716</v>
      </c>
      <c r="F572" s="11">
        <v>46309.375</v>
      </c>
      <c r="G572">
        <v>18</v>
      </c>
      <c r="H572" t="s">
        <v>2760</v>
      </c>
      <c r="I572" t="s">
        <v>2938</v>
      </c>
      <c r="J572" t="str">
        <f>IF(ISNUMBER(SEARCH("registro de pre",tEditais[[#This Row],[Objeto]])),"Sim","Não")</f>
        <v>Sim</v>
      </c>
      <c r="K572" s="4">
        <f>COUNTIFS(tItens[Edital],tEditais[[#This Row],[Edital]])</f>
        <v>8</v>
      </c>
      <c r="L572" s="4">
        <f>COUNTIFS(tItens[Edital],tEditais[[#This Row],[Edital]],tItens[Foco],"Sim")</f>
        <v>2</v>
      </c>
      <c r="M572" s="8">
        <f>SUMIFS(tItens[Valor],tItens[Edital],tEditais[[#This Row],[Edital]])</f>
        <v>1509166.2</v>
      </c>
      <c r="N572" s="8">
        <f>SUMIFS(tItens[Valor homologado],tItens[Edital],tEditais[[#This Row],[Edital]],tItens[Foco],"Sim")</f>
        <v>102167.45999999998</v>
      </c>
      <c r="O572" t="str">
        <f>IF(tEditais[[#This Row],[Itens do foco]]=0,"",IF(tEditais[[#This Row],[Valor foco homologado]]&lt;=0,"Sem valor",IF(tEditais[[#This Row],[Valor foco homologado]]&gt;=FaixaA_Min,"A",IF(tEditais[[#This Row],[Valor foco homologado]]&gt;=FaixaB_Min,"B","C"))))</f>
        <v>A</v>
      </c>
      <c r="P572" t="str">
        <f ca="1">IF(tEditais[[#This Row],[Encerramento]]&gt;NOW(),"Aberto","Encerrado")</f>
        <v>Encerrado</v>
      </c>
    </row>
    <row r="573" spans="1:16" x14ac:dyDescent="0.25">
      <c r="A573" t="s">
        <v>2939</v>
      </c>
      <c r="B573" t="s">
        <v>2940</v>
      </c>
      <c r="C573" t="s">
        <v>2763</v>
      </c>
      <c r="D573" t="s">
        <v>2708</v>
      </c>
      <c r="E573" t="s">
        <v>716</v>
      </c>
      <c r="F573" s="11">
        <v>46309.375</v>
      </c>
      <c r="G573">
        <v>2</v>
      </c>
      <c r="H573" t="s">
        <v>2941</v>
      </c>
      <c r="I573" t="s">
        <v>2942</v>
      </c>
      <c r="J573" t="str">
        <f>IF(ISNUMBER(SEARCH("registro de pre",tEditais[[#This Row],[Objeto]])),"Sim","Não")</f>
        <v>Não</v>
      </c>
      <c r="K573" s="4">
        <f>COUNTIFS(tItens[Edital],tEditais[[#This Row],[Edital]])</f>
        <v>1</v>
      </c>
      <c r="L573" s="4">
        <f>COUNTIFS(tItens[Edital],tEditais[[#This Row],[Edital]],tItens[Foco],"Sim")</f>
        <v>0</v>
      </c>
      <c r="M573" s="8">
        <f>SUMIFS(tItens[Valor],tItens[Edital],tEditais[[#This Row],[Edital]])</f>
        <v>0</v>
      </c>
      <c r="N573" s="8">
        <f>SUMIFS(tItens[Valor homologado],tItens[Edital],tEditais[[#This Row],[Edital]],tItens[Foco],"Sim")</f>
        <v>0</v>
      </c>
      <c r="O573" t="str">
        <f>IF(tEditais[[#This Row],[Itens do foco]]=0,"",IF(tEditais[[#This Row],[Valor foco homologado]]&lt;=0,"Sem valor",IF(tEditais[[#This Row],[Valor foco homologado]]&gt;=FaixaA_Min,"A",IF(tEditais[[#This Row],[Valor foco homologado]]&gt;=FaixaB_Min,"B","C"))))</f>
        <v/>
      </c>
      <c r="P573" t="str">
        <f ca="1">IF(tEditais[[#This Row],[Encerramento]]&gt;NOW(),"Aberto","Encerrado")</f>
        <v>Encerrado</v>
      </c>
    </row>
    <row r="574" spans="1:16" x14ac:dyDescent="0.25">
      <c r="A574" t="s">
        <v>2943</v>
      </c>
      <c r="B574" t="s">
        <v>2944</v>
      </c>
      <c r="C574" t="s">
        <v>2788</v>
      </c>
      <c r="D574" t="s">
        <v>2708</v>
      </c>
      <c r="E574" t="s">
        <v>800</v>
      </c>
      <c r="F574" s="11">
        <v>46309.375</v>
      </c>
      <c r="G574">
        <v>20</v>
      </c>
      <c r="H574" t="s">
        <v>2945</v>
      </c>
      <c r="I574" t="s">
        <v>2946</v>
      </c>
      <c r="J574" t="str">
        <f>IF(ISNUMBER(SEARCH("registro de pre",tEditais[[#This Row],[Objeto]])),"Sim","Não")</f>
        <v>Não</v>
      </c>
      <c r="K574" s="4">
        <f>COUNTIFS(tItens[Edital],tEditais[[#This Row],[Edital]])</f>
        <v>5</v>
      </c>
      <c r="L574" s="4">
        <f>COUNTIFS(tItens[Edital],tEditais[[#This Row],[Edital]],tItens[Foco],"Sim")</f>
        <v>0</v>
      </c>
      <c r="M574" s="8">
        <f>SUMIFS(tItens[Valor],tItens[Edital],tEditais[[#This Row],[Edital]])</f>
        <v>175.37</v>
      </c>
      <c r="N574" s="8">
        <f>SUMIFS(tItens[Valor homologado],tItens[Edital],tEditais[[#This Row],[Edital]],tItens[Foco],"Sim")</f>
        <v>0</v>
      </c>
      <c r="O574" t="str">
        <f>IF(tEditais[[#This Row],[Itens do foco]]=0,"",IF(tEditais[[#This Row],[Valor foco homologado]]&lt;=0,"Sem valor",IF(tEditais[[#This Row],[Valor foco homologado]]&gt;=FaixaA_Min,"A",IF(tEditais[[#This Row],[Valor foco homologado]]&gt;=FaixaB_Min,"B","C"))))</f>
        <v/>
      </c>
      <c r="P574" t="str">
        <f ca="1">IF(tEditais[[#This Row],[Encerramento]]&gt;NOW(),"Aberto","Encerrado")</f>
        <v>Encerrado</v>
      </c>
    </row>
    <row r="575" spans="1:16" x14ac:dyDescent="0.25">
      <c r="A575" t="s">
        <v>2947</v>
      </c>
      <c r="B575" t="s">
        <v>2948</v>
      </c>
      <c r="C575" t="s">
        <v>2949</v>
      </c>
      <c r="D575" t="s">
        <v>2708</v>
      </c>
      <c r="E575" t="s">
        <v>716</v>
      </c>
      <c r="F575" s="11">
        <v>46309.415972222225</v>
      </c>
      <c r="G575">
        <v>44</v>
      </c>
      <c r="H575" t="s">
        <v>2950</v>
      </c>
      <c r="I575" t="s">
        <v>2951</v>
      </c>
      <c r="J575" t="str">
        <f>IF(ISNUMBER(SEARCH("registro de pre",tEditais[[#This Row],[Objeto]])),"Sim","Não")</f>
        <v>Sim</v>
      </c>
      <c r="K575" s="4">
        <f>COUNTIFS(tItens[Edital],tEditais[[#This Row],[Edital]])</f>
        <v>10</v>
      </c>
      <c r="L575" s="4">
        <f>COUNTIFS(tItens[Edital],tEditais[[#This Row],[Edital]],tItens[Foco],"Sim")</f>
        <v>0</v>
      </c>
      <c r="M575" s="8">
        <f>SUMIFS(tItens[Valor],tItens[Edital],tEditais[[#This Row],[Edital]])</f>
        <v>164020</v>
      </c>
      <c r="N575" s="8">
        <f>SUMIFS(tItens[Valor homologado],tItens[Edital],tEditais[[#This Row],[Edital]],tItens[Foco],"Sim")</f>
        <v>0</v>
      </c>
      <c r="O575" t="str">
        <f>IF(tEditais[[#This Row],[Itens do foco]]=0,"",IF(tEditais[[#This Row],[Valor foco homologado]]&lt;=0,"Sem valor",IF(tEditais[[#This Row],[Valor foco homologado]]&gt;=FaixaA_Min,"A",IF(tEditais[[#This Row],[Valor foco homologado]]&gt;=FaixaB_Min,"B","C"))))</f>
        <v/>
      </c>
      <c r="P575" t="str">
        <f ca="1">IF(tEditais[[#This Row],[Encerramento]]&gt;NOW(),"Aberto","Encerrado")</f>
        <v>Encerrado</v>
      </c>
    </row>
    <row r="576" spans="1:16" x14ac:dyDescent="0.25">
      <c r="A576" t="s">
        <v>2952</v>
      </c>
      <c r="B576" t="s">
        <v>1089</v>
      </c>
      <c r="C576" t="s">
        <v>2763</v>
      </c>
      <c r="D576" t="s">
        <v>2708</v>
      </c>
      <c r="E576" t="s">
        <v>716</v>
      </c>
      <c r="F576" s="11">
        <v>46309.416666666664</v>
      </c>
      <c r="G576">
        <v>2</v>
      </c>
      <c r="H576" t="s">
        <v>2953</v>
      </c>
      <c r="I576" t="s">
        <v>2954</v>
      </c>
      <c r="J576" t="str">
        <f>IF(ISNUMBER(SEARCH("registro de pre",tEditais[[#This Row],[Objeto]])),"Sim","Não")</f>
        <v>Não</v>
      </c>
      <c r="K576" s="4">
        <f>COUNTIFS(tItens[Edital],tEditais[[#This Row],[Edital]])</f>
        <v>2</v>
      </c>
      <c r="L576" s="4">
        <f>COUNTIFS(tItens[Edital],tEditais[[#This Row],[Edital]],tItens[Foco],"Sim")</f>
        <v>0</v>
      </c>
      <c r="M576" s="8">
        <f>SUMIFS(tItens[Valor],tItens[Edital],tEditais[[#This Row],[Edital]])</f>
        <v>0</v>
      </c>
      <c r="N576" s="8">
        <f>SUMIFS(tItens[Valor homologado],tItens[Edital],tEditais[[#This Row],[Edital]],tItens[Foco],"Sim")</f>
        <v>0</v>
      </c>
      <c r="O576" t="str">
        <f>IF(tEditais[[#This Row],[Itens do foco]]=0,"",IF(tEditais[[#This Row],[Valor foco homologado]]&lt;=0,"Sem valor",IF(tEditais[[#This Row],[Valor foco homologado]]&gt;=FaixaA_Min,"A",IF(tEditais[[#This Row],[Valor foco homologado]]&gt;=FaixaB_Min,"B","C"))))</f>
        <v/>
      </c>
      <c r="P576" t="str">
        <f ca="1">IF(tEditais[[#This Row],[Encerramento]]&gt;NOW(),"Aberto","Encerrado")</f>
        <v>Encerrado</v>
      </c>
    </row>
    <row r="577" spans="1:16" x14ac:dyDescent="0.25">
      <c r="A577" t="s">
        <v>2955</v>
      </c>
      <c r="B577" t="s">
        <v>2956</v>
      </c>
      <c r="C577" t="s">
        <v>2957</v>
      </c>
      <c r="D577" t="s">
        <v>2708</v>
      </c>
      <c r="E577" t="s">
        <v>716</v>
      </c>
      <c r="F577" s="11">
        <v>46309.999305555553</v>
      </c>
      <c r="G577">
        <v>2</v>
      </c>
      <c r="I577" t="s">
        <v>2958</v>
      </c>
      <c r="J577" t="str">
        <f>IF(ISNUMBER(SEARCH("registro de pre",tEditais[[#This Row],[Objeto]])),"Sim","Não")</f>
        <v>Não</v>
      </c>
      <c r="K577" s="4">
        <f>COUNTIFS(tItens[Edital],tEditais[[#This Row],[Edital]])</f>
        <v>1</v>
      </c>
      <c r="L577" s="4">
        <f>COUNTIFS(tItens[Edital],tEditais[[#This Row],[Edital]],tItens[Foco],"Sim")</f>
        <v>0</v>
      </c>
      <c r="M577" s="8">
        <f>SUMIFS(tItens[Valor],tItens[Edital],tEditais[[#This Row],[Edital]])</f>
        <v>41700</v>
      </c>
      <c r="N577" s="8">
        <f>SUMIFS(tItens[Valor homologado],tItens[Edital],tEditais[[#This Row],[Edital]],tItens[Foco],"Sim")</f>
        <v>0</v>
      </c>
      <c r="O577" t="str">
        <f>IF(tEditais[[#This Row],[Itens do foco]]=0,"",IF(tEditais[[#This Row],[Valor foco homologado]]&lt;=0,"Sem valor",IF(tEditais[[#This Row],[Valor foco homologado]]&gt;=FaixaA_Min,"A",IF(tEditais[[#This Row],[Valor foco homologado]]&gt;=FaixaB_Min,"B","C"))))</f>
        <v/>
      </c>
      <c r="P577" t="str">
        <f ca="1">IF(tEditais[[#This Row],[Encerramento]]&gt;NOW(),"Aberto","Encerrado")</f>
        <v>Encerrado</v>
      </c>
    </row>
    <row r="578" spans="1:16" x14ac:dyDescent="0.25">
      <c r="A578" t="s">
        <v>2959</v>
      </c>
      <c r="B578" t="s">
        <v>1089</v>
      </c>
      <c r="C578" t="s">
        <v>2960</v>
      </c>
      <c r="D578" t="s">
        <v>2708</v>
      </c>
      <c r="E578" t="s">
        <v>716</v>
      </c>
      <c r="F578" s="11">
        <v>46310.333333333336</v>
      </c>
      <c r="G578">
        <v>5</v>
      </c>
      <c r="H578" t="s">
        <v>2961</v>
      </c>
      <c r="I578" t="s">
        <v>2962</v>
      </c>
      <c r="J578" t="str">
        <f>IF(ISNUMBER(SEARCH("registro de pre",tEditais[[#This Row],[Objeto]])),"Sim","Não")</f>
        <v>Não</v>
      </c>
      <c r="K578" s="4">
        <f>COUNTIFS(tItens[Edital],tEditais[[#This Row],[Edital]])</f>
        <v>2</v>
      </c>
      <c r="L578" s="4">
        <f>COUNTIFS(tItens[Edital],tEditais[[#This Row],[Edital]],tItens[Foco],"Sim")</f>
        <v>0</v>
      </c>
      <c r="M578" s="8">
        <f>SUMIFS(tItens[Valor],tItens[Edital],tEditais[[#This Row],[Edital]])</f>
        <v>0</v>
      </c>
      <c r="N578" s="8">
        <f>SUMIFS(tItens[Valor homologado],tItens[Edital],tEditais[[#This Row],[Edital]],tItens[Foco],"Sim")</f>
        <v>0</v>
      </c>
      <c r="O578" t="str">
        <f>IF(tEditais[[#This Row],[Itens do foco]]=0,"",IF(tEditais[[#This Row],[Valor foco homologado]]&lt;=0,"Sem valor",IF(tEditais[[#This Row],[Valor foco homologado]]&gt;=FaixaA_Min,"A",IF(tEditais[[#This Row],[Valor foco homologado]]&gt;=FaixaB_Min,"B","C"))))</f>
        <v/>
      </c>
      <c r="P578" t="str">
        <f ca="1">IF(tEditais[[#This Row],[Encerramento]]&gt;NOW(),"Aberto","Encerrado")</f>
        <v>Encerrado</v>
      </c>
    </row>
    <row r="579" spans="1:16" x14ac:dyDescent="0.25">
      <c r="A579" t="s">
        <v>2963</v>
      </c>
      <c r="B579" t="s">
        <v>2964</v>
      </c>
      <c r="C579" t="s">
        <v>2965</v>
      </c>
      <c r="D579" t="s">
        <v>2708</v>
      </c>
      <c r="E579" t="s">
        <v>716</v>
      </c>
      <c r="F579" s="11">
        <v>46310.353472222225</v>
      </c>
      <c r="G579">
        <v>3</v>
      </c>
      <c r="I579" t="s">
        <v>2966</v>
      </c>
      <c r="J579" t="str">
        <f>IF(ISNUMBER(SEARCH("registro de pre",tEditais[[#This Row],[Objeto]])),"Sim","Não")</f>
        <v>Sim</v>
      </c>
      <c r="K579" s="4">
        <f>COUNTIFS(tItens[Edital],tEditais[[#This Row],[Edital]])</f>
        <v>3</v>
      </c>
      <c r="L579" s="4">
        <f>COUNTIFS(tItens[Edital],tEditais[[#This Row],[Edital]],tItens[Foco],"Sim")</f>
        <v>0</v>
      </c>
      <c r="M579" s="8">
        <f>SUMIFS(tItens[Valor],tItens[Edital],tEditais[[#This Row],[Edital]])</f>
        <v>211450</v>
      </c>
      <c r="N579" s="8">
        <f>SUMIFS(tItens[Valor homologado],tItens[Edital],tEditais[[#This Row],[Edital]],tItens[Foco],"Sim")</f>
        <v>0</v>
      </c>
      <c r="O579" t="str">
        <f>IF(tEditais[[#This Row],[Itens do foco]]=0,"",IF(tEditais[[#This Row],[Valor foco homologado]]&lt;=0,"Sem valor",IF(tEditais[[#This Row],[Valor foco homologado]]&gt;=FaixaA_Min,"A",IF(tEditais[[#This Row],[Valor foco homologado]]&gt;=FaixaB_Min,"B","C"))))</f>
        <v/>
      </c>
      <c r="P579" t="str">
        <f ca="1">IF(tEditais[[#This Row],[Encerramento]]&gt;NOW(),"Aberto","Encerrado")</f>
        <v>Encerrado</v>
      </c>
    </row>
    <row r="580" spans="1:16" x14ac:dyDescent="0.25">
      <c r="A580" t="s">
        <v>2967</v>
      </c>
      <c r="B580" t="s">
        <v>2964</v>
      </c>
      <c r="C580" t="s">
        <v>2965</v>
      </c>
      <c r="D580" t="s">
        <v>2708</v>
      </c>
      <c r="E580" t="s">
        <v>716</v>
      </c>
      <c r="F580" s="11">
        <v>46310.353472222225</v>
      </c>
      <c r="G580">
        <v>3</v>
      </c>
      <c r="I580" t="s">
        <v>2966</v>
      </c>
      <c r="J580" t="str">
        <f>IF(ISNUMBER(SEARCH("registro de pre",tEditais[[#This Row],[Objeto]])),"Sim","Não")</f>
        <v>Sim</v>
      </c>
      <c r="K580" s="4">
        <f>COUNTIFS(tItens[Edital],tEditais[[#This Row],[Edital]])</f>
        <v>3</v>
      </c>
      <c r="L580" s="4">
        <f>COUNTIFS(tItens[Edital],tEditais[[#This Row],[Edital]],tItens[Foco],"Sim")</f>
        <v>0</v>
      </c>
      <c r="M580" s="8">
        <f>SUMIFS(tItens[Valor],tItens[Edital],tEditais[[#This Row],[Edital]])</f>
        <v>211450</v>
      </c>
      <c r="N580" s="8">
        <f>SUMIFS(tItens[Valor homologado],tItens[Edital],tEditais[[#This Row],[Edital]],tItens[Foco],"Sim")</f>
        <v>0</v>
      </c>
      <c r="O580" t="str">
        <f>IF(tEditais[[#This Row],[Itens do foco]]=0,"",IF(tEditais[[#This Row],[Valor foco homologado]]&lt;=0,"Sem valor",IF(tEditais[[#This Row],[Valor foco homologado]]&gt;=FaixaA_Min,"A",IF(tEditais[[#This Row],[Valor foco homologado]]&gt;=FaixaB_Min,"B","C"))))</f>
        <v/>
      </c>
      <c r="P580" t="str">
        <f ca="1">IF(tEditais[[#This Row],[Encerramento]]&gt;NOW(),"Aberto","Encerrado")</f>
        <v>Encerrado</v>
      </c>
    </row>
    <row r="581" spans="1:16" x14ac:dyDescent="0.25">
      <c r="A581" t="s">
        <v>2968</v>
      </c>
      <c r="B581" t="s">
        <v>2866</v>
      </c>
      <c r="C581" t="s">
        <v>2867</v>
      </c>
      <c r="D581" t="s">
        <v>2708</v>
      </c>
      <c r="E581" t="s">
        <v>716</v>
      </c>
      <c r="F581" s="11">
        <v>46310.354166666664</v>
      </c>
      <c r="G581">
        <v>5</v>
      </c>
      <c r="H581" t="s">
        <v>2969</v>
      </c>
      <c r="I581" t="s">
        <v>2970</v>
      </c>
      <c r="J581" t="str">
        <f>IF(ISNUMBER(SEARCH("registro de pre",tEditais[[#This Row],[Objeto]])),"Sim","Não")</f>
        <v>Sim</v>
      </c>
      <c r="K581" s="4">
        <f>COUNTIFS(tItens[Edital],tEditais[[#This Row],[Edital]])</f>
        <v>5</v>
      </c>
      <c r="L581" s="4">
        <f>COUNTIFS(tItens[Edital],tEditais[[#This Row],[Edital]],tItens[Foco],"Sim")</f>
        <v>0</v>
      </c>
      <c r="M581" s="8">
        <f>SUMIFS(tItens[Valor],tItens[Edital],tEditais[[#This Row],[Edital]])</f>
        <v>129033.29</v>
      </c>
      <c r="N581" s="8">
        <f>SUMIFS(tItens[Valor homologado],tItens[Edital],tEditais[[#This Row],[Edital]],tItens[Foco],"Sim")</f>
        <v>0</v>
      </c>
      <c r="O581" t="str">
        <f>IF(tEditais[[#This Row],[Itens do foco]]=0,"",IF(tEditais[[#This Row],[Valor foco homologado]]&lt;=0,"Sem valor",IF(tEditais[[#This Row],[Valor foco homologado]]&gt;=FaixaA_Min,"A",IF(tEditais[[#This Row],[Valor foco homologado]]&gt;=FaixaB_Min,"B","C"))))</f>
        <v/>
      </c>
      <c r="P581" t="str">
        <f ca="1">IF(tEditais[[#This Row],[Encerramento]]&gt;NOW(),"Aberto","Encerrado")</f>
        <v>Encerrado</v>
      </c>
    </row>
    <row r="582" spans="1:16" x14ac:dyDescent="0.25">
      <c r="A582" t="s">
        <v>2971</v>
      </c>
      <c r="B582" t="s">
        <v>2972</v>
      </c>
      <c r="C582" t="s">
        <v>2973</v>
      </c>
      <c r="D582" t="s">
        <v>2708</v>
      </c>
      <c r="E582" t="s">
        <v>716</v>
      </c>
      <c r="F582" s="11">
        <v>46310.374305555553</v>
      </c>
      <c r="G582">
        <v>73</v>
      </c>
      <c r="H582" t="s">
        <v>2974</v>
      </c>
      <c r="I582" t="s">
        <v>2975</v>
      </c>
      <c r="J582" t="str">
        <f>IF(ISNUMBER(SEARCH("registro de pre",tEditais[[#This Row],[Objeto]])),"Sim","Não")</f>
        <v>Não</v>
      </c>
      <c r="K582" s="4">
        <f>COUNTIFS(tItens[Edital],tEditais[[#This Row],[Edital]])</f>
        <v>3</v>
      </c>
      <c r="L582" s="4">
        <f>COUNTIFS(tItens[Edital],tEditais[[#This Row],[Edital]],tItens[Foco],"Sim")</f>
        <v>0</v>
      </c>
      <c r="M582" s="8">
        <f>SUMIFS(tItens[Valor],tItens[Edital],tEditais[[#This Row],[Edital]])</f>
        <v>898.16</v>
      </c>
      <c r="N582" s="8">
        <f>SUMIFS(tItens[Valor homologado],tItens[Edital],tEditais[[#This Row],[Edital]],tItens[Foco],"Sim")</f>
        <v>0</v>
      </c>
      <c r="O582" t="str">
        <f>IF(tEditais[[#This Row],[Itens do foco]]=0,"",IF(tEditais[[#This Row],[Valor foco homologado]]&lt;=0,"Sem valor",IF(tEditais[[#This Row],[Valor foco homologado]]&gt;=FaixaA_Min,"A",IF(tEditais[[#This Row],[Valor foco homologado]]&gt;=FaixaB_Min,"B","C"))))</f>
        <v/>
      </c>
      <c r="P582" t="str">
        <f ca="1">IF(tEditais[[#This Row],[Encerramento]]&gt;NOW(),"Aberto","Encerrado")</f>
        <v>Encerrado</v>
      </c>
    </row>
    <row r="583" spans="1:16" x14ac:dyDescent="0.25">
      <c r="A583" t="s">
        <v>2976</v>
      </c>
      <c r="B583" t="s">
        <v>2753</v>
      </c>
      <c r="C583" t="s">
        <v>2754</v>
      </c>
      <c r="D583" t="s">
        <v>2708</v>
      </c>
      <c r="E583" t="s">
        <v>716</v>
      </c>
      <c r="F583" s="11">
        <v>46310.374305555553</v>
      </c>
      <c r="G583">
        <v>60</v>
      </c>
      <c r="H583" t="s">
        <v>2755</v>
      </c>
      <c r="I583" t="s">
        <v>2756</v>
      </c>
      <c r="J583" t="str">
        <f>IF(ISNUMBER(SEARCH("registro de pre",tEditais[[#This Row],[Objeto]])),"Sim","Não")</f>
        <v>Sim</v>
      </c>
      <c r="K583" s="4">
        <f>COUNTIFS(tItens[Edital],tEditais[[#This Row],[Edital]])</f>
        <v>12</v>
      </c>
      <c r="L583" s="4">
        <f>COUNTIFS(tItens[Edital],tEditais[[#This Row],[Edital]],tItens[Foco],"Sim")</f>
        <v>6</v>
      </c>
      <c r="M583" s="8">
        <f>SUMIFS(tItens[Valor],tItens[Edital],tEditais[[#This Row],[Edital]])</f>
        <v>69160.25</v>
      </c>
      <c r="N583" s="8">
        <f>SUMIFS(tItens[Valor homologado],tItens[Edital],tEditais[[#This Row],[Edital]],tItens[Foco],"Sim")</f>
        <v>35963.633500000011</v>
      </c>
      <c r="O583" t="str">
        <f>IF(tEditais[[#This Row],[Itens do foco]]=0,"",IF(tEditais[[#This Row],[Valor foco homologado]]&lt;=0,"Sem valor",IF(tEditais[[#This Row],[Valor foco homologado]]&gt;=FaixaA_Min,"A",IF(tEditais[[#This Row],[Valor foco homologado]]&gt;=FaixaB_Min,"B","C"))))</f>
        <v>C</v>
      </c>
      <c r="P583" t="str">
        <f ca="1">IF(tEditais[[#This Row],[Encerramento]]&gt;NOW(),"Aberto","Encerrado")</f>
        <v>Encerrado</v>
      </c>
    </row>
    <row r="584" spans="1:16" x14ac:dyDescent="0.25">
      <c r="A584" t="s">
        <v>2977</v>
      </c>
      <c r="B584" t="s">
        <v>2859</v>
      </c>
      <c r="C584" t="s">
        <v>2860</v>
      </c>
      <c r="D584" t="s">
        <v>2708</v>
      </c>
      <c r="E584" t="s">
        <v>716</v>
      </c>
      <c r="F584" s="11">
        <v>46310.375</v>
      </c>
      <c r="G584">
        <v>45</v>
      </c>
      <c r="I584" t="s">
        <v>2978</v>
      </c>
      <c r="J584" t="str">
        <f>IF(ISNUMBER(SEARCH("registro de pre",tEditais[[#This Row],[Objeto]])),"Sim","Não")</f>
        <v>Sim</v>
      </c>
      <c r="K584" s="4">
        <f>COUNTIFS(tItens[Edital],tEditais[[#This Row],[Edital]])</f>
        <v>1</v>
      </c>
      <c r="L584" s="4">
        <f>COUNTIFS(tItens[Edital],tEditais[[#This Row],[Edital]],tItens[Foco],"Sim")</f>
        <v>0</v>
      </c>
      <c r="M584" s="8">
        <f>SUMIFS(tItens[Valor],tItens[Edital],tEditais[[#This Row],[Edital]])</f>
        <v>6114</v>
      </c>
      <c r="N584" s="8">
        <f>SUMIFS(tItens[Valor homologado],tItens[Edital],tEditais[[#This Row],[Edital]],tItens[Foco],"Sim")</f>
        <v>0</v>
      </c>
      <c r="O584" t="str">
        <f>IF(tEditais[[#This Row],[Itens do foco]]=0,"",IF(tEditais[[#This Row],[Valor foco homologado]]&lt;=0,"Sem valor",IF(tEditais[[#This Row],[Valor foco homologado]]&gt;=FaixaA_Min,"A",IF(tEditais[[#This Row],[Valor foco homologado]]&gt;=FaixaB_Min,"B","C"))))</f>
        <v/>
      </c>
      <c r="P584" t="str">
        <f ca="1">IF(tEditais[[#This Row],[Encerramento]]&gt;NOW(),"Aberto","Encerrado")</f>
        <v>Encerrado</v>
      </c>
    </row>
    <row r="585" spans="1:16" x14ac:dyDescent="0.25">
      <c r="A585" t="s">
        <v>2979</v>
      </c>
      <c r="B585" t="s">
        <v>1089</v>
      </c>
      <c r="C585" t="s">
        <v>2707</v>
      </c>
      <c r="D585" t="s">
        <v>2708</v>
      </c>
      <c r="E585" t="s">
        <v>716</v>
      </c>
      <c r="F585" s="11">
        <v>46310.375</v>
      </c>
      <c r="G585">
        <v>7</v>
      </c>
      <c r="H585" t="s">
        <v>2980</v>
      </c>
      <c r="I585" t="s">
        <v>2981</v>
      </c>
      <c r="J585" t="str">
        <f>IF(ISNUMBER(SEARCH("registro de pre",tEditais[[#This Row],[Objeto]])),"Sim","Não")</f>
        <v>Não</v>
      </c>
      <c r="K585" s="4">
        <f>COUNTIFS(tItens[Edital],tEditais[[#This Row],[Edital]])</f>
        <v>5</v>
      </c>
      <c r="L585" s="4">
        <f>COUNTIFS(tItens[Edital],tEditais[[#This Row],[Edital]],tItens[Foco],"Sim")</f>
        <v>0</v>
      </c>
      <c r="M585" s="8">
        <f>SUMIFS(tItens[Valor],tItens[Edital],tEditais[[#This Row],[Edital]])</f>
        <v>0</v>
      </c>
      <c r="N585" s="8">
        <f>SUMIFS(tItens[Valor homologado],tItens[Edital],tEditais[[#This Row],[Edital]],tItens[Foco],"Sim")</f>
        <v>0</v>
      </c>
      <c r="O585" t="str">
        <f>IF(tEditais[[#This Row],[Itens do foco]]=0,"",IF(tEditais[[#This Row],[Valor foco homologado]]&lt;=0,"Sem valor",IF(tEditais[[#This Row],[Valor foco homologado]]&gt;=FaixaA_Min,"A",IF(tEditais[[#This Row],[Valor foco homologado]]&gt;=FaixaB_Min,"B","C"))))</f>
        <v/>
      </c>
      <c r="P585" t="str">
        <f ca="1">IF(tEditais[[#This Row],[Encerramento]]&gt;NOW(),"Aberto","Encerrado")</f>
        <v>Encerrado</v>
      </c>
    </row>
    <row r="586" spans="1:16" x14ac:dyDescent="0.25">
      <c r="A586" t="s">
        <v>2982</v>
      </c>
      <c r="B586" t="s">
        <v>2940</v>
      </c>
      <c r="C586" t="s">
        <v>2763</v>
      </c>
      <c r="D586" t="s">
        <v>2708</v>
      </c>
      <c r="E586" t="s">
        <v>716</v>
      </c>
      <c r="F586" s="11">
        <v>46310.375</v>
      </c>
      <c r="G586">
        <v>1</v>
      </c>
      <c r="H586" t="s">
        <v>2983</v>
      </c>
      <c r="I586" t="s">
        <v>2984</v>
      </c>
      <c r="J586" t="str">
        <f>IF(ISNUMBER(SEARCH("registro de pre",tEditais[[#This Row],[Objeto]])),"Sim","Não")</f>
        <v>Não</v>
      </c>
      <c r="K586" s="4">
        <f>COUNTIFS(tItens[Edital],tEditais[[#This Row],[Edital]])</f>
        <v>1</v>
      </c>
      <c r="L586" s="4">
        <f>COUNTIFS(tItens[Edital],tEditais[[#This Row],[Edital]],tItens[Foco],"Sim")</f>
        <v>0</v>
      </c>
      <c r="M586" s="8">
        <f>SUMIFS(tItens[Valor],tItens[Edital],tEditais[[#This Row],[Edital]])</f>
        <v>0</v>
      </c>
      <c r="N586" s="8">
        <f>SUMIFS(tItens[Valor homologado],tItens[Edital],tEditais[[#This Row],[Edital]],tItens[Foco],"Sim")</f>
        <v>0</v>
      </c>
      <c r="O586" t="str">
        <f>IF(tEditais[[#This Row],[Itens do foco]]=0,"",IF(tEditais[[#This Row],[Valor foco homologado]]&lt;=0,"Sem valor",IF(tEditais[[#This Row],[Valor foco homologado]]&gt;=FaixaA_Min,"A",IF(tEditais[[#This Row],[Valor foco homologado]]&gt;=FaixaB_Min,"B","C"))))</f>
        <v/>
      </c>
      <c r="P586" t="str">
        <f ca="1">IF(tEditais[[#This Row],[Encerramento]]&gt;NOW(),"Aberto","Encerrado")</f>
        <v>Encerrado</v>
      </c>
    </row>
    <row r="587" spans="1:16" x14ac:dyDescent="0.25">
      <c r="A587" t="s">
        <v>2985</v>
      </c>
      <c r="B587" t="s">
        <v>2923</v>
      </c>
      <c r="C587" t="s">
        <v>2763</v>
      </c>
      <c r="D587" t="s">
        <v>2708</v>
      </c>
      <c r="E587" t="s">
        <v>716</v>
      </c>
      <c r="F587" s="11">
        <v>46310.375</v>
      </c>
      <c r="G587">
        <v>6</v>
      </c>
      <c r="H587" t="s">
        <v>2986</v>
      </c>
      <c r="I587" t="s">
        <v>2987</v>
      </c>
      <c r="J587" t="str">
        <f>IF(ISNUMBER(SEARCH("registro de pre",tEditais[[#This Row],[Objeto]])),"Sim","Não")</f>
        <v>Não</v>
      </c>
      <c r="K587" s="4">
        <f>COUNTIFS(tItens[Edital],tEditais[[#This Row],[Edital]])</f>
        <v>1</v>
      </c>
      <c r="L587" s="4">
        <f>COUNTIFS(tItens[Edital],tEditais[[#This Row],[Edital]],tItens[Foco],"Sim")</f>
        <v>0</v>
      </c>
      <c r="M587" s="8">
        <f>SUMIFS(tItens[Valor],tItens[Edital],tEditais[[#This Row],[Edital]])</f>
        <v>0</v>
      </c>
      <c r="N587" s="8">
        <f>SUMIFS(tItens[Valor homologado],tItens[Edital],tEditais[[#This Row],[Edital]],tItens[Foco],"Sim")</f>
        <v>0</v>
      </c>
      <c r="O587" t="str">
        <f>IF(tEditais[[#This Row],[Itens do foco]]=0,"",IF(tEditais[[#This Row],[Valor foco homologado]]&lt;=0,"Sem valor",IF(tEditais[[#This Row],[Valor foco homologado]]&gt;=FaixaA_Min,"A",IF(tEditais[[#This Row],[Valor foco homologado]]&gt;=FaixaB_Min,"B","C"))))</f>
        <v/>
      </c>
      <c r="P587" t="str">
        <f ca="1">IF(tEditais[[#This Row],[Encerramento]]&gt;NOW(),"Aberto","Encerrado")</f>
        <v>Encerrado</v>
      </c>
    </row>
    <row r="588" spans="1:16" x14ac:dyDescent="0.25">
      <c r="A588" t="s">
        <v>2988</v>
      </c>
      <c r="B588" t="s">
        <v>2758</v>
      </c>
      <c r="C588" t="s">
        <v>2759</v>
      </c>
      <c r="D588" t="s">
        <v>2708</v>
      </c>
      <c r="E588" t="s">
        <v>716</v>
      </c>
      <c r="F588" s="11">
        <v>46310.375</v>
      </c>
      <c r="G588">
        <v>2</v>
      </c>
      <c r="H588" t="s">
        <v>2760</v>
      </c>
      <c r="I588" t="s">
        <v>2989</v>
      </c>
      <c r="J588" t="str">
        <f>IF(ISNUMBER(SEARCH("registro de pre",tEditais[[#This Row],[Objeto]])),"Sim","Não")</f>
        <v>Sim</v>
      </c>
      <c r="K588" s="4">
        <f>COUNTIFS(tItens[Edital],tEditais[[#This Row],[Edital]])</f>
        <v>1</v>
      </c>
      <c r="L588" s="4">
        <f>COUNTIFS(tItens[Edital],tEditais[[#This Row],[Edital]],tItens[Foco],"Sim")</f>
        <v>0</v>
      </c>
      <c r="M588" s="8">
        <f>SUMIFS(tItens[Valor],tItens[Edital],tEditais[[#This Row],[Edital]])</f>
        <v>9432</v>
      </c>
      <c r="N588" s="8">
        <f>SUMIFS(tItens[Valor homologado],tItens[Edital],tEditais[[#This Row],[Edital]],tItens[Foco],"Sim")</f>
        <v>0</v>
      </c>
      <c r="O588" t="str">
        <f>IF(tEditais[[#This Row],[Itens do foco]]=0,"",IF(tEditais[[#This Row],[Valor foco homologado]]&lt;=0,"Sem valor",IF(tEditais[[#This Row],[Valor foco homologado]]&gt;=FaixaA_Min,"A",IF(tEditais[[#This Row],[Valor foco homologado]]&gt;=FaixaB_Min,"B","C"))))</f>
        <v/>
      </c>
      <c r="P588" t="str">
        <f ca="1">IF(tEditais[[#This Row],[Encerramento]]&gt;NOW(),"Aberto","Encerrado")</f>
        <v>Encerrado</v>
      </c>
    </row>
    <row r="589" spans="1:16" x14ac:dyDescent="0.25">
      <c r="A589" t="s">
        <v>2990</v>
      </c>
      <c r="B589" t="s">
        <v>2991</v>
      </c>
      <c r="C589" t="s">
        <v>2992</v>
      </c>
      <c r="D589" t="s">
        <v>2708</v>
      </c>
      <c r="E589" t="s">
        <v>716</v>
      </c>
      <c r="F589" s="11">
        <v>46310.375</v>
      </c>
      <c r="G589">
        <v>3</v>
      </c>
      <c r="I589" t="s">
        <v>2993</v>
      </c>
      <c r="J589" t="str">
        <f>IF(ISNUMBER(SEARCH("registro de pre",tEditais[[#This Row],[Objeto]])),"Sim","Não")</f>
        <v>Não</v>
      </c>
      <c r="K589" s="4">
        <f>COUNTIFS(tItens[Edital],tEditais[[#This Row],[Edital]])</f>
        <v>2</v>
      </c>
      <c r="L589" s="4">
        <f>COUNTIFS(tItens[Edital],tEditais[[#This Row],[Edital]],tItens[Foco],"Sim")</f>
        <v>0</v>
      </c>
      <c r="M589" s="8">
        <f>SUMIFS(tItens[Valor],tItens[Edital],tEditais[[#This Row],[Edital]])</f>
        <v>492800</v>
      </c>
      <c r="N589" s="8">
        <f>SUMIFS(tItens[Valor homologado],tItens[Edital],tEditais[[#This Row],[Edital]],tItens[Foco],"Sim")</f>
        <v>0</v>
      </c>
      <c r="O589" t="str">
        <f>IF(tEditais[[#This Row],[Itens do foco]]=0,"",IF(tEditais[[#This Row],[Valor foco homologado]]&lt;=0,"Sem valor",IF(tEditais[[#This Row],[Valor foco homologado]]&gt;=FaixaA_Min,"A",IF(tEditais[[#This Row],[Valor foco homologado]]&gt;=FaixaB_Min,"B","C"))))</f>
        <v/>
      </c>
      <c r="P589" t="str">
        <f ca="1">IF(tEditais[[#This Row],[Encerramento]]&gt;NOW(),"Aberto","Encerrado")</f>
        <v>Encerrado</v>
      </c>
    </row>
    <row r="590" spans="1:16" x14ac:dyDescent="0.25">
      <c r="A590" t="s">
        <v>2994</v>
      </c>
      <c r="B590" t="s">
        <v>2995</v>
      </c>
      <c r="C590" t="s">
        <v>2763</v>
      </c>
      <c r="D590" t="s">
        <v>2708</v>
      </c>
      <c r="E590" t="s">
        <v>716</v>
      </c>
      <c r="F590" s="11">
        <v>46310.375</v>
      </c>
      <c r="G590">
        <v>1</v>
      </c>
      <c r="H590" t="s">
        <v>2996</v>
      </c>
      <c r="I590" t="s">
        <v>2997</v>
      </c>
      <c r="J590" t="str">
        <f>IF(ISNUMBER(SEARCH("registro de pre",tEditais[[#This Row],[Objeto]])),"Sim","Não")</f>
        <v>Não</v>
      </c>
      <c r="K590" s="4">
        <f>COUNTIFS(tItens[Edital],tEditais[[#This Row],[Edital]])</f>
        <v>1</v>
      </c>
      <c r="L590" s="4">
        <f>COUNTIFS(tItens[Edital],tEditais[[#This Row],[Edital]],tItens[Foco],"Sim")</f>
        <v>0</v>
      </c>
      <c r="M590" s="8">
        <f>SUMIFS(tItens[Valor],tItens[Edital],tEditais[[#This Row],[Edital]])</f>
        <v>0</v>
      </c>
      <c r="N590" s="8">
        <f>SUMIFS(tItens[Valor homologado],tItens[Edital],tEditais[[#This Row],[Edital]],tItens[Foco],"Sim")</f>
        <v>0</v>
      </c>
      <c r="O590" t="str">
        <f>IF(tEditais[[#This Row],[Itens do foco]]=0,"",IF(tEditais[[#This Row],[Valor foco homologado]]&lt;=0,"Sem valor",IF(tEditais[[#This Row],[Valor foco homologado]]&gt;=FaixaA_Min,"A",IF(tEditais[[#This Row],[Valor foco homologado]]&gt;=FaixaB_Min,"B","C"))))</f>
        <v/>
      </c>
      <c r="P590" t="str">
        <f ca="1">IF(tEditais[[#This Row],[Encerramento]]&gt;NOW(),"Aberto","Encerrado")</f>
        <v>Encerrado</v>
      </c>
    </row>
    <row r="591" spans="1:16" x14ac:dyDescent="0.25">
      <c r="A591" t="s">
        <v>2998</v>
      </c>
      <c r="B591" t="s">
        <v>2999</v>
      </c>
      <c r="C591" t="s">
        <v>2973</v>
      </c>
      <c r="D591" t="s">
        <v>2708</v>
      </c>
      <c r="E591" t="s">
        <v>716</v>
      </c>
      <c r="F591" s="11">
        <v>46310.375</v>
      </c>
      <c r="G591">
        <v>6</v>
      </c>
      <c r="H591" t="s">
        <v>2974</v>
      </c>
      <c r="I591" t="s">
        <v>3000</v>
      </c>
      <c r="J591" t="str">
        <f>IF(ISNUMBER(SEARCH("registro de pre",tEditais[[#This Row],[Objeto]])),"Sim","Não")</f>
        <v>Não</v>
      </c>
      <c r="K591" s="4">
        <f>COUNTIFS(tItens[Edital],tEditais[[#This Row],[Edital]])</f>
        <v>6</v>
      </c>
      <c r="L591" s="4">
        <f>COUNTIFS(tItens[Edital],tEditais[[#This Row],[Edital]],tItens[Foco],"Sim")</f>
        <v>0</v>
      </c>
      <c r="M591" s="8">
        <f>SUMIFS(tItens[Valor],tItens[Edital],tEditais[[#This Row],[Edital]])</f>
        <v>2.96</v>
      </c>
      <c r="N591" s="8">
        <f>SUMIFS(tItens[Valor homologado],tItens[Edital],tEditais[[#This Row],[Edital]],tItens[Foco],"Sim")</f>
        <v>0</v>
      </c>
      <c r="O591" t="str">
        <f>IF(tEditais[[#This Row],[Itens do foco]]=0,"",IF(tEditais[[#This Row],[Valor foco homologado]]&lt;=0,"Sem valor",IF(tEditais[[#This Row],[Valor foco homologado]]&gt;=FaixaA_Min,"A",IF(tEditais[[#This Row],[Valor foco homologado]]&gt;=FaixaB_Min,"B","C"))))</f>
        <v/>
      </c>
      <c r="P591" t="str">
        <f ca="1">IF(tEditais[[#This Row],[Encerramento]]&gt;NOW(),"Aberto","Encerrado")</f>
        <v>Encerrado</v>
      </c>
    </row>
    <row r="592" spans="1:16" x14ac:dyDescent="0.25">
      <c r="A592" t="s">
        <v>3001</v>
      </c>
      <c r="B592" t="s">
        <v>3002</v>
      </c>
      <c r="C592" t="s">
        <v>3003</v>
      </c>
      <c r="D592" t="s">
        <v>2708</v>
      </c>
      <c r="E592" t="s">
        <v>716</v>
      </c>
      <c r="F592" s="11">
        <v>46310.375</v>
      </c>
      <c r="G592">
        <v>118</v>
      </c>
      <c r="H592" t="s">
        <v>3004</v>
      </c>
      <c r="I592" t="s">
        <v>3005</v>
      </c>
      <c r="J592" t="str">
        <f>IF(ISNUMBER(SEARCH("registro de pre",tEditais[[#This Row],[Objeto]])),"Sim","Não")</f>
        <v>Não</v>
      </c>
      <c r="K592" s="4">
        <f>COUNTIFS(tItens[Edital],tEditais[[#This Row],[Edital]])</f>
        <v>10</v>
      </c>
      <c r="L592" s="4">
        <f>COUNTIFS(tItens[Edital],tEditais[[#This Row],[Edital]],tItens[Foco],"Sim")</f>
        <v>0</v>
      </c>
      <c r="M592" s="8">
        <f>SUMIFS(tItens[Valor],tItens[Edital],tEditais[[#This Row],[Edital]])</f>
        <v>12928.2</v>
      </c>
      <c r="N592" s="8">
        <f>SUMIFS(tItens[Valor homologado],tItens[Edital],tEditais[[#This Row],[Edital]],tItens[Foco],"Sim")</f>
        <v>0</v>
      </c>
      <c r="O592" t="str">
        <f>IF(tEditais[[#This Row],[Itens do foco]]=0,"",IF(tEditais[[#This Row],[Valor foco homologado]]&lt;=0,"Sem valor",IF(tEditais[[#This Row],[Valor foco homologado]]&gt;=FaixaA_Min,"A",IF(tEditais[[#This Row],[Valor foco homologado]]&gt;=FaixaB_Min,"B","C"))))</f>
        <v/>
      </c>
      <c r="P592" t="str">
        <f ca="1">IF(tEditais[[#This Row],[Encerramento]]&gt;NOW(),"Aberto","Encerrado")</f>
        <v>Encerrado</v>
      </c>
    </row>
    <row r="593" spans="1:16" x14ac:dyDescent="0.25">
      <c r="A593" t="s">
        <v>3006</v>
      </c>
      <c r="B593" t="s">
        <v>1089</v>
      </c>
      <c r="C593" t="s">
        <v>2850</v>
      </c>
      <c r="D593" t="s">
        <v>2708</v>
      </c>
      <c r="E593" t="s">
        <v>716</v>
      </c>
      <c r="F593" s="11">
        <v>46310.375</v>
      </c>
      <c r="G593">
        <v>20</v>
      </c>
      <c r="H593" t="s">
        <v>3007</v>
      </c>
      <c r="I593" t="s">
        <v>3008</v>
      </c>
      <c r="J593" t="str">
        <f>IF(ISNUMBER(SEARCH("registro de pre",tEditais[[#This Row],[Objeto]])),"Sim","Não")</f>
        <v>Não</v>
      </c>
      <c r="K593" s="4">
        <f>COUNTIFS(tItens[Edital],tEditais[[#This Row],[Edital]])</f>
        <v>5</v>
      </c>
      <c r="L593" s="4">
        <f>COUNTIFS(tItens[Edital],tEditais[[#This Row],[Edital]],tItens[Foco],"Sim")</f>
        <v>0</v>
      </c>
      <c r="M593" s="8">
        <f>SUMIFS(tItens[Valor],tItens[Edital],tEditais[[#This Row],[Edital]])</f>
        <v>0</v>
      </c>
      <c r="N593" s="8">
        <f>SUMIFS(tItens[Valor homologado],tItens[Edital],tEditais[[#This Row],[Edital]],tItens[Foco],"Sim")</f>
        <v>0</v>
      </c>
      <c r="O593" t="str">
        <f>IF(tEditais[[#This Row],[Itens do foco]]=0,"",IF(tEditais[[#This Row],[Valor foco homologado]]&lt;=0,"Sem valor",IF(tEditais[[#This Row],[Valor foco homologado]]&gt;=FaixaA_Min,"A",IF(tEditais[[#This Row],[Valor foco homologado]]&gt;=FaixaB_Min,"B","C"))))</f>
        <v/>
      </c>
      <c r="P593" t="str">
        <f ca="1">IF(tEditais[[#This Row],[Encerramento]]&gt;NOW(),"Aberto","Encerrado")</f>
        <v>Encerrado</v>
      </c>
    </row>
    <row r="594" spans="1:16" x14ac:dyDescent="0.25">
      <c r="A594" t="s">
        <v>3009</v>
      </c>
      <c r="B594" t="s">
        <v>2940</v>
      </c>
      <c r="C594" t="s">
        <v>2763</v>
      </c>
      <c r="D594" t="s">
        <v>2708</v>
      </c>
      <c r="E594" t="s">
        <v>716</v>
      </c>
      <c r="F594" s="11">
        <v>46310.375</v>
      </c>
      <c r="G594">
        <v>1</v>
      </c>
      <c r="H594" t="s">
        <v>3010</v>
      </c>
      <c r="I594" t="s">
        <v>3011</v>
      </c>
      <c r="J594" t="str">
        <f>IF(ISNUMBER(SEARCH("registro de pre",tEditais[[#This Row],[Objeto]])),"Sim","Não")</f>
        <v>Não</v>
      </c>
      <c r="K594" s="4">
        <f>COUNTIFS(tItens[Edital],tEditais[[#This Row],[Edital]])</f>
        <v>1</v>
      </c>
      <c r="L594" s="4">
        <f>COUNTIFS(tItens[Edital],tEditais[[#This Row],[Edital]],tItens[Foco],"Sim")</f>
        <v>1</v>
      </c>
      <c r="M594" s="8">
        <f>SUMIFS(tItens[Valor],tItens[Edital],tEditais[[#This Row],[Edital]])</f>
        <v>0</v>
      </c>
      <c r="N594" s="8">
        <f>SUMIFS(tItens[Valor homologado],tItens[Edital],tEditais[[#This Row],[Edital]],tItens[Foco],"Sim")</f>
        <v>0</v>
      </c>
      <c r="O594" t="str">
        <f>IF(tEditais[[#This Row],[Itens do foco]]=0,"",IF(tEditais[[#This Row],[Valor foco homologado]]&lt;=0,"Sem valor",IF(tEditais[[#This Row],[Valor foco homologado]]&gt;=FaixaA_Min,"A",IF(tEditais[[#This Row],[Valor foco homologado]]&gt;=FaixaB_Min,"B","C"))))</f>
        <v>Sem valor</v>
      </c>
      <c r="P594" t="str">
        <f ca="1">IF(tEditais[[#This Row],[Encerramento]]&gt;NOW(),"Aberto","Encerrado")</f>
        <v>Encerrado</v>
      </c>
    </row>
    <row r="595" spans="1:16" x14ac:dyDescent="0.25">
      <c r="A595" t="s">
        <v>3012</v>
      </c>
      <c r="B595" t="s">
        <v>1089</v>
      </c>
      <c r="C595" t="s">
        <v>2763</v>
      </c>
      <c r="D595" t="s">
        <v>2708</v>
      </c>
      <c r="E595" t="s">
        <v>716</v>
      </c>
      <c r="F595" s="11">
        <v>46310.375</v>
      </c>
      <c r="G595">
        <v>4</v>
      </c>
      <c r="H595" t="s">
        <v>3013</v>
      </c>
      <c r="I595" t="s">
        <v>3014</v>
      </c>
      <c r="J595" t="str">
        <f>IF(ISNUMBER(SEARCH("registro de pre",tEditais[[#This Row],[Objeto]])),"Sim","Não")</f>
        <v>Não</v>
      </c>
      <c r="K595" s="4">
        <f>COUNTIFS(tItens[Edital],tEditais[[#This Row],[Edital]])</f>
        <v>1</v>
      </c>
      <c r="L595" s="4">
        <f>COUNTIFS(tItens[Edital],tEditais[[#This Row],[Edital]],tItens[Foco],"Sim")</f>
        <v>0</v>
      </c>
      <c r="M595" s="8">
        <f>SUMIFS(tItens[Valor],tItens[Edital],tEditais[[#This Row],[Edital]])</f>
        <v>0</v>
      </c>
      <c r="N595" s="8">
        <f>SUMIFS(tItens[Valor homologado],tItens[Edital],tEditais[[#This Row],[Edital]],tItens[Foco],"Sim")</f>
        <v>0</v>
      </c>
      <c r="O595" t="str">
        <f>IF(tEditais[[#This Row],[Itens do foco]]=0,"",IF(tEditais[[#This Row],[Valor foco homologado]]&lt;=0,"Sem valor",IF(tEditais[[#This Row],[Valor foco homologado]]&gt;=FaixaA_Min,"A",IF(tEditais[[#This Row],[Valor foco homologado]]&gt;=FaixaB_Min,"B","C"))))</f>
        <v/>
      </c>
      <c r="P595" t="str">
        <f ca="1">IF(tEditais[[#This Row],[Encerramento]]&gt;NOW(),"Aberto","Encerrado")</f>
        <v>Encerrado</v>
      </c>
    </row>
    <row r="596" spans="1:16" x14ac:dyDescent="0.25">
      <c r="A596" t="s">
        <v>3015</v>
      </c>
      <c r="B596" t="s">
        <v>2940</v>
      </c>
      <c r="C596" t="s">
        <v>2763</v>
      </c>
      <c r="D596" t="s">
        <v>2708</v>
      </c>
      <c r="E596" t="s">
        <v>716</v>
      </c>
      <c r="F596" s="11">
        <v>46310.375</v>
      </c>
      <c r="G596">
        <v>1</v>
      </c>
      <c r="H596" t="s">
        <v>3016</v>
      </c>
      <c r="I596" t="s">
        <v>3017</v>
      </c>
      <c r="J596" t="str">
        <f>IF(ISNUMBER(SEARCH("registro de pre",tEditais[[#This Row],[Objeto]])),"Sim","Não")</f>
        <v>Não</v>
      </c>
      <c r="K596" s="4">
        <f>COUNTIFS(tItens[Edital],tEditais[[#This Row],[Edital]])</f>
        <v>1</v>
      </c>
      <c r="L596" s="4">
        <f>COUNTIFS(tItens[Edital],tEditais[[#This Row],[Edital]],tItens[Foco],"Sim")</f>
        <v>0</v>
      </c>
      <c r="M596" s="8">
        <f>SUMIFS(tItens[Valor],tItens[Edital],tEditais[[#This Row],[Edital]])</f>
        <v>0</v>
      </c>
      <c r="N596" s="8">
        <f>SUMIFS(tItens[Valor homologado],tItens[Edital],tEditais[[#This Row],[Edital]],tItens[Foco],"Sim")</f>
        <v>0</v>
      </c>
      <c r="O596" t="str">
        <f>IF(tEditais[[#This Row],[Itens do foco]]=0,"",IF(tEditais[[#This Row],[Valor foco homologado]]&lt;=0,"Sem valor",IF(tEditais[[#This Row],[Valor foco homologado]]&gt;=FaixaA_Min,"A",IF(tEditais[[#This Row],[Valor foco homologado]]&gt;=FaixaB_Min,"B","C"))))</f>
        <v/>
      </c>
      <c r="P596" t="str">
        <f ca="1">IF(tEditais[[#This Row],[Encerramento]]&gt;NOW(),"Aberto","Encerrado")</f>
        <v>Encerrado</v>
      </c>
    </row>
    <row r="597" spans="1:16" x14ac:dyDescent="0.25">
      <c r="A597" t="s">
        <v>3018</v>
      </c>
      <c r="B597" t="s">
        <v>1089</v>
      </c>
      <c r="C597" t="s">
        <v>2763</v>
      </c>
      <c r="D597" t="s">
        <v>2708</v>
      </c>
      <c r="E597" t="s">
        <v>716</v>
      </c>
      <c r="F597" s="11">
        <v>46310.375</v>
      </c>
      <c r="G597">
        <v>6</v>
      </c>
      <c r="H597" t="s">
        <v>3019</v>
      </c>
      <c r="I597" t="s">
        <v>3020</v>
      </c>
      <c r="J597" t="str">
        <f>IF(ISNUMBER(SEARCH("registro de pre",tEditais[[#This Row],[Objeto]])),"Sim","Não")</f>
        <v>Não</v>
      </c>
      <c r="K597" s="4">
        <f>COUNTIFS(tItens[Edital],tEditais[[#This Row],[Edital]])</f>
        <v>2</v>
      </c>
      <c r="L597" s="4">
        <f>COUNTIFS(tItens[Edital],tEditais[[#This Row],[Edital]],tItens[Foco],"Sim")</f>
        <v>0</v>
      </c>
      <c r="M597" s="8">
        <f>SUMIFS(tItens[Valor],tItens[Edital],tEditais[[#This Row],[Edital]])</f>
        <v>0</v>
      </c>
      <c r="N597" s="8">
        <f>SUMIFS(tItens[Valor homologado],tItens[Edital],tEditais[[#This Row],[Edital]],tItens[Foco],"Sim")</f>
        <v>0</v>
      </c>
      <c r="O597" t="str">
        <f>IF(tEditais[[#This Row],[Itens do foco]]=0,"",IF(tEditais[[#This Row],[Valor foco homologado]]&lt;=0,"Sem valor",IF(tEditais[[#This Row],[Valor foco homologado]]&gt;=FaixaA_Min,"A",IF(tEditais[[#This Row],[Valor foco homologado]]&gt;=FaixaB_Min,"B","C"))))</f>
        <v/>
      </c>
      <c r="P597" t="str">
        <f ca="1">IF(tEditais[[#This Row],[Encerramento]]&gt;NOW(),"Aberto","Encerrado")</f>
        <v>Encerrado</v>
      </c>
    </row>
    <row r="598" spans="1:16" x14ac:dyDescent="0.25">
      <c r="A598" t="s">
        <v>3021</v>
      </c>
      <c r="B598" t="s">
        <v>2923</v>
      </c>
      <c r="C598" t="s">
        <v>2763</v>
      </c>
      <c r="D598" t="s">
        <v>2708</v>
      </c>
      <c r="E598" t="s">
        <v>716</v>
      </c>
      <c r="F598" s="11">
        <v>46310.375</v>
      </c>
      <c r="G598">
        <v>10</v>
      </c>
      <c r="H598" t="s">
        <v>3022</v>
      </c>
      <c r="I598" t="s">
        <v>3023</v>
      </c>
      <c r="J598" t="str">
        <f>IF(ISNUMBER(SEARCH("registro de pre",tEditais[[#This Row],[Objeto]])),"Sim","Não")</f>
        <v>Não</v>
      </c>
      <c r="K598" s="4">
        <f>COUNTIFS(tItens[Edital],tEditais[[#This Row],[Edital]])</f>
        <v>4</v>
      </c>
      <c r="L598" s="4">
        <f>COUNTIFS(tItens[Edital],tEditais[[#This Row],[Edital]],tItens[Foco],"Sim")</f>
        <v>0</v>
      </c>
      <c r="M598" s="8">
        <f>SUMIFS(tItens[Valor],tItens[Edital],tEditais[[#This Row],[Edital]])</f>
        <v>0</v>
      </c>
      <c r="N598" s="8">
        <f>SUMIFS(tItens[Valor homologado],tItens[Edital],tEditais[[#This Row],[Edital]],tItens[Foco],"Sim")</f>
        <v>0</v>
      </c>
      <c r="O598" t="str">
        <f>IF(tEditais[[#This Row],[Itens do foco]]=0,"",IF(tEditais[[#This Row],[Valor foco homologado]]&lt;=0,"Sem valor",IF(tEditais[[#This Row],[Valor foco homologado]]&gt;=FaixaA_Min,"A",IF(tEditais[[#This Row],[Valor foco homologado]]&gt;=FaixaB_Min,"B","C"))))</f>
        <v/>
      </c>
      <c r="P598" t="str">
        <f ca="1">IF(tEditais[[#This Row],[Encerramento]]&gt;NOW(),"Aberto","Encerrado")</f>
        <v>Encerrado</v>
      </c>
    </row>
    <row r="599" spans="1:16" x14ac:dyDescent="0.25">
      <c r="A599" t="s">
        <v>3024</v>
      </c>
      <c r="B599" t="s">
        <v>2940</v>
      </c>
      <c r="C599" t="s">
        <v>2763</v>
      </c>
      <c r="D599" t="s">
        <v>2708</v>
      </c>
      <c r="E599" t="s">
        <v>716</v>
      </c>
      <c r="F599" s="11">
        <v>46310.375</v>
      </c>
      <c r="G599">
        <v>3</v>
      </c>
      <c r="H599" t="s">
        <v>3025</v>
      </c>
      <c r="I599" t="s">
        <v>3026</v>
      </c>
      <c r="J599" t="str">
        <f>IF(ISNUMBER(SEARCH("registro de pre",tEditais[[#This Row],[Objeto]])),"Sim","Não")</f>
        <v>Não</v>
      </c>
      <c r="K599" s="4">
        <f>COUNTIFS(tItens[Edital],tEditais[[#This Row],[Edital]])</f>
        <v>3</v>
      </c>
      <c r="L599" s="4">
        <f>COUNTIFS(tItens[Edital],tEditais[[#This Row],[Edital]],tItens[Foco],"Sim")</f>
        <v>0</v>
      </c>
      <c r="M599" s="8">
        <f>SUMIFS(tItens[Valor],tItens[Edital],tEditais[[#This Row],[Edital]])</f>
        <v>0</v>
      </c>
      <c r="N599" s="8">
        <f>SUMIFS(tItens[Valor homologado],tItens[Edital],tEditais[[#This Row],[Edital]],tItens[Foco],"Sim")</f>
        <v>0</v>
      </c>
      <c r="O599" t="str">
        <f>IF(tEditais[[#This Row],[Itens do foco]]=0,"",IF(tEditais[[#This Row],[Valor foco homologado]]&lt;=0,"Sem valor",IF(tEditais[[#This Row],[Valor foco homologado]]&gt;=FaixaA_Min,"A",IF(tEditais[[#This Row],[Valor foco homologado]]&gt;=FaixaB_Min,"B","C"))))</f>
        <v/>
      </c>
      <c r="P599" t="str">
        <f ca="1">IF(tEditais[[#This Row],[Encerramento]]&gt;NOW(),"Aberto","Encerrado")</f>
        <v>Encerrado</v>
      </c>
    </row>
    <row r="600" spans="1:16" x14ac:dyDescent="0.25">
      <c r="A600" t="s">
        <v>3027</v>
      </c>
      <c r="B600" t="s">
        <v>1089</v>
      </c>
      <c r="C600" t="s">
        <v>2763</v>
      </c>
      <c r="D600" t="s">
        <v>2708</v>
      </c>
      <c r="E600" t="s">
        <v>716</v>
      </c>
      <c r="F600" s="11">
        <v>46310.416666666664</v>
      </c>
      <c r="G600">
        <v>3</v>
      </c>
      <c r="H600" t="s">
        <v>3028</v>
      </c>
      <c r="I600" t="s">
        <v>3029</v>
      </c>
      <c r="J600" t="str">
        <f>IF(ISNUMBER(SEARCH("registro de pre",tEditais[[#This Row],[Objeto]])),"Sim","Não")</f>
        <v>Não</v>
      </c>
      <c r="K600" s="4">
        <f>COUNTIFS(tItens[Edital],tEditais[[#This Row],[Edital]])</f>
        <v>1</v>
      </c>
      <c r="L600" s="4">
        <f>COUNTIFS(tItens[Edital],tEditais[[#This Row],[Edital]],tItens[Foco],"Sim")</f>
        <v>0</v>
      </c>
      <c r="M600" s="8">
        <f>SUMIFS(tItens[Valor],tItens[Edital],tEditais[[#This Row],[Edital]])</f>
        <v>0</v>
      </c>
      <c r="N600" s="8">
        <f>SUMIFS(tItens[Valor homologado],tItens[Edital],tEditais[[#This Row],[Edital]],tItens[Foco],"Sim")</f>
        <v>0</v>
      </c>
      <c r="O600" t="str">
        <f>IF(tEditais[[#This Row],[Itens do foco]]=0,"",IF(tEditais[[#This Row],[Valor foco homologado]]&lt;=0,"Sem valor",IF(tEditais[[#This Row],[Valor foco homologado]]&gt;=FaixaA_Min,"A",IF(tEditais[[#This Row],[Valor foco homologado]]&gt;=FaixaB_Min,"B","C"))))</f>
        <v/>
      </c>
      <c r="P600" t="str">
        <f ca="1">IF(tEditais[[#This Row],[Encerramento]]&gt;NOW(),"Aberto","Encerrado")</f>
        <v>Encerrado</v>
      </c>
    </row>
    <row r="601" spans="1:16" x14ac:dyDescent="0.25">
      <c r="A601" t="s">
        <v>3030</v>
      </c>
      <c r="B601" t="s">
        <v>1089</v>
      </c>
      <c r="C601" t="s">
        <v>2763</v>
      </c>
      <c r="D601" t="s">
        <v>2708</v>
      </c>
      <c r="E601" t="s">
        <v>716</v>
      </c>
      <c r="F601" s="11">
        <v>46310.416666666664</v>
      </c>
      <c r="G601">
        <v>14</v>
      </c>
      <c r="H601" t="s">
        <v>3031</v>
      </c>
      <c r="I601" t="s">
        <v>3032</v>
      </c>
      <c r="J601" t="str">
        <f>IF(ISNUMBER(SEARCH("registro de pre",tEditais[[#This Row],[Objeto]])),"Sim","Não")</f>
        <v>Não</v>
      </c>
      <c r="K601" s="4">
        <f>COUNTIFS(tItens[Edital],tEditais[[#This Row],[Edital]])</f>
        <v>1</v>
      </c>
      <c r="L601" s="4">
        <f>COUNTIFS(tItens[Edital],tEditais[[#This Row],[Edital]],tItens[Foco],"Sim")</f>
        <v>0</v>
      </c>
      <c r="M601" s="8">
        <f>SUMIFS(tItens[Valor],tItens[Edital],tEditais[[#This Row],[Edital]])</f>
        <v>0</v>
      </c>
      <c r="N601" s="8">
        <f>SUMIFS(tItens[Valor homologado],tItens[Edital],tEditais[[#This Row],[Edital]],tItens[Foco],"Sim")</f>
        <v>0</v>
      </c>
      <c r="O601" t="str">
        <f>IF(tEditais[[#This Row],[Itens do foco]]=0,"",IF(tEditais[[#This Row],[Valor foco homologado]]&lt;=0,"Sem valor",IF(tEditais[[#This Row],[Valor foco homologado]]&gt;=FaixaA_Min,"A",IF(tEditais[[#This Row],[Valor foco homologado]]&gt;=FaixaB_Min,"B","C"))))</f>
        <v/>
      </c>
      <c r="P601" t="str">
        <f ca="1">IF(tEditais[[#This Row],[Encerramento]]&gt;NOW(),"Aberto","Encerrado")</f>
        <v>Encerrado</v>
      </c>
    </row>
    <row r="602" spans="1:16" x14ac:dyDescent="0.25">
      <c r="A602" t="s">
        <v>3033</v>
      </c>
      <c r="B602" t="s">
        <v>1089</v>
      </c>
      <c r="C602" t="s">
        <v>3034</v>
      </c>
      <c r="D602" t="s">
        <v>2708</v>
      </c>
      <c r="E602" t="s">
        <v>716</v>
      </c>
      <c r="F602" s="11">
        <v>46310.479166666664</v>
      </c>
      <c r="G602">
        <v>4</v>
      </c>
      <c r="H602" t="s">
        <v>3035</v>
      </c>
      <c r="I602" t="s">
        <v>3036</v>
      </c>
      <c r="J602" t="str">
        <f>IF(ISNUMBER(SEARCH("registro de pre",tEditais[[#This Row],[Objeto]])),"Sim","Não")</f>
        <v>Não</v>
      </c>
      <c r="K602" s="4">
        <f>COUNTIFS(tItens[Edital],tEditais[[#This Row],[Edital]])</f>
        <v>2</v>
      </c>
      <c r="L602" s="4">
        <f>COUNTIFS(tItens[Edital],tEditais[[#This Row],[Edital]],tItens[Foco],"Sim")</f>
        <v>0</v>
      </c>
      <c r="M602" s="8">
        <f>SUMIFS(tItens[Valor],tItens[Edital],tEditais[[#This Row],[Edital]])</f>
        <v>0</v>
      </c>
      <c r="N602" s="8">
        <f>SUMIFS(tItens[Valor homologado],tItens[Edital],tEditais[[#This Row],[Edital]],tItens[Foco],"Sim")</f>
        <v>0</v>
      </c>
      <c r="O602" t="str">
        <f>IF(tEditais[[#This Row],[Itens do foco]]=0,"",IF(tEditais[[#This Row],[Valor foco homologado]]&lt;=0,"Sem valor",IF(tEditais[[#This Row],[Valor foco homologado]]&gt;=FaixaA_Min,"A",IF(tEditais[[#This Row],[Valor foco homologado]]&gt;=FaixaB_Min,"B","C"))))</f>
        <v/>
      </c>
      <c r="P602" t="str">
        <f ca="1">IF(tEditais[[#This Row],[Encerramento]]&gt;NOW(),"Aberto","Encerrado")</f>
        <v>Encerrado</v>
      </c>
    </row>
    <row r="603" spans="1:16" x14ac:dyDescent="0.25">
      <c r="A603" t="s">
        <v>3037</v>
      </c>
      <c r="B603" t="s">
        <v>3038</v>
      </c>
      <c r="C603" t="s">
        <v>2960</v>
      </c>
      <c r="D603" t="s">
        <v>2708</v>
      </c>
      <c r="E603" t="s">
        <v>800</v>
      </c>
      <c r="F603" s="11">
        <v>46310.583333333336</v>
      </c>
      <c r="G603">
        <v>2</v>
      </c>
      <c r="H603" t="s">
        <v>3039</v>
      </c>
      <c r="I603" t="s">
        <v>3040</v>
      </c>
      <c r="J603" t="str">
        <f>IF(ISNUMBER(SEARCH("registro de pre",tEditais[[#This Row],[Objeto]])),"Sim","Não")</f>
        <v>Não</v>
      </c>
      <c r="K603" s="4">
        <f>COUNTIFS(tItens[Edital],tEditais[[#This Row],[Edital]])</f>
        <v>1</v>
      </c>
      <c r="L603" s="4">
        <f>COUNTIFS(tItens[Edital],tEditais[[#This Row],[Edital]],tItens[Foco],"Sim")</f>
        <v>0</v>
      </c>
      <c r="M603" s="8">
        <f>SUMIFS(tItens[Valor],tItens[Edital],tEditais[[#This Row],[Edital]])</f>
        <v>6108</v>
      </c>
      <c r="N603" s="8">
        <f>SUMIFS(tItens[Valor homologado],tItens[Edital],tEditais[[#This Row],[Edital]],tItens[Foco],"Sim")</f>
        <v>0</v>
      </c>
      <c r="O603" t="str">
        <f>IF(tEditais[[#This Row],[Itens do foco]]=0,"",IF(tEditais[[#This Row],[Valor foco homologado]]&lt;=0,"Sem valor",IF(tEditais[[#This Row],[Valor foco homologado]]&gt;=FaixaA_Min,"A",IF(tEditais[[#This Row],[Valor foco homologado]]&gt;=FaixaB_Min,"B","C"))))</f>
        <v/>
      </c>
      <c r="P603" t="str">
        <f ca="1">IF(tEditais[[#This Row],[Encerramento]]&gt;NOW(),"Aberto","Encerrado")</f>
        <v>Encerrado</v>
      </c>
    </row>
    <row r="604" spans="1:16" x14ac:dyDescent="0.25">
      <c r="A604" t="s">
        <v>3041</v>
      </c>
      <c r="B604" t="s">
        <v>3042</v>
      </c>
      <c r="C604" t="s">
        <v>3043</v>
      </c>
      <c r="D604" t="s">
        <v>2708</v>
      </c>
      <c r="E604" t="s">
        <v>716</v>
      </c>
      <c r="F604" s="11">
        <v>46311.332638888889</v>
      </c>
      <c r="G604">
        <v>43</v>
      </c>
      <c r="I604" t="s">
        <v>3044</v>
      </c>
      <c r="J604" t="str">
        <f>IF(ISNUMBER(SEARCH("registro de pre",tEditais[[#This Row],[Objeto]])),"Sim","Não")</f>
        <v>Sim</v>
      </c>
      <c r="K604" s="4">
        <f>COUNTIFS(tItens[Edital],tEditais[[#This Row],[Edital]])</f>
        <v>2</v>
      </c>
      <c r="L604" s="4">
        <f>COUNTIFS(tItens[Edital],tEditais[[#This Row],[Edital]],tItens[Foco],"Sim")</f>
        <v>0</v>
      </c>
      <c r="M604" s="8">
        <f>SUMIFS(tItens[Valor],tItens[Edital],tEditais[[#This Row],[Edital]])</f>
        <v>23090</v>
      </c>
      <c r="N604" s="8">
        <f>SUMIFS(tItens[Valor homologado],tItens[Edital],tEditais[[#This Row],[Edital]],tItens[Foco],"Sim")</f>
        <v>0</v>
      </c>
      <c r="O604" t="str">
        <f>IF(tEditais[[#This Row],[Itens do foco]]=0,"",IF(tEditais[[#This Row],[Valor foco homologado]]&lt;=0,"Sem valor",IF(tEditais[[#This Row],[Valor foco homologado]]&gt;=FaixaA_Min,"A",IF(tEditais[[#This Row],[Valor foco homologado]]&gt;=FaixaB_Min,"B","C"))))</f>
        <v/>
      </c>
      <c r="P604" t="str">
        <f ca="1">IF(tEditais[[#This Row],[Encerramento]]&gt;NOW(),"Aberto","Encerrado")</f>
        <v>Aberto</v>
      </c>
    </row>
    <row r="605" spans="1:16" x14ac:dyDescent="0.25">
      <c r="A605" t="s">
        <v>3045</v>
      </c>
      <c r="B605" t="s">
        <v>3046</v>
      </c>
      <c r="C605" t="s">
        <v>3047</v>
      </c>
      <c r="D605" t="s">
        <v>2708</v>
      </c>
      <c r="E605" t="s">
        <v>800</v>
      </c>
      <c r="F605" s="11">
        <v>46311.333333333336</v>
      </c>
      <c r="G605">
        <v>16</v>
      </c>
      <c r="H605" t="s">
        <v>3048</v>
      </c>
      <c r="I605" t="s">
        <v>3049</v>
      </c>
      <c r="J605" t="str">
        <f>IF(ISNUMBER(SEARCH("registro de pre",tEditais[[#This Row],[Objeto]])),"Sim","Não")</f>
        <v>Não</v>
      </c>
      <c r="K605" s="4">
        <f>COUNTIFS(tItens[Edital],tEditais[[#This Row],[Edital]])</f>
        <v>5</v>
      </c>
      <c r="L605" s="4">
        <f>COUNTIFS(tItens[Edital],tEditais[[#This Row],[Edital]],tItens[Foco],"Sim")</f>
        <v>0</v>
      </c>
      <c r="M605" s="8">
        <f>SUMIFS(tItens[Valor],tItens[Edital],tEditais[[#This Row],[Edital]])</f>
        <v>1770.4</v>
      </c>
      <c r="N605" s="8">
        <f>SUMIFS(tItens[Valor homologado],tItens[Edital],tEditais[[#This Row],[Edital]],tItens[Foco],"Sim")</f>
        <v>0</v>
      </c>
      <c r="O605" t="str">
        <f>IF(tEditais[[#This Row],[Itens do foco]]=0,"",IF(tEditais[[#This Row],[Valor foco homologado]]&lt;=0,"Sem valor",IF(tEditais[[#This Row],[Valor foco homologado]]&gt;=FaixaA_Min,"A",IF(tEditais[[#This Row],[Valor foco homologado]]&gt;=FaixaB_Min,"B","C"))))</f>
        <v/>
      </c>
      <c r="P605" t="str">
        <f ca="1">IF(tEditais[[#This Row],[Encerramento]]&gt;NOW(),"Aberto","Encerrado")</f>
        <v>Aberto</v>
      </c>
    </row>
    <row r="606" spans="1:16" x14ac:dyDescent="0.25">
      <c r="A606" t="s">
        <v>3050</v>
      </c>
      <c r="B606" t="s">
        <v>3046</v>
      </c>
      <c r="C606" t="s">
        <v>3051</v>
      </c>
      <c r="D606" t="s">
        <v>2708</v>
      </c>
      <c r="E606" t="s">
        <v>800</v>
      </c>
      <c r="F606" s="11">
        <v>46311.333333333336</v>
      </c>
      <c r="G606">
        <v>8</v>
      </c>
      <c r="H606" t="s">
        <v>3052</v>
      </c>
      <c r="I606" t="s">
        <v>3053</v>
      </c>
      <c r="J606" t="str">
        <f>IF(ISNUMBER(SEARCH("registro de pre",tEditais[[#This Row],[Objeto]])),"Sim","Não")</f>
        <v>Não</v>
      </c>
      <c r="K606" s="4">
        <f>COUNTIFS(tItens[Edital],tEditais[[#This Row],[Edital]])</f>
        <v>3</v>
      </c>
      <c r="L606" s="4">
        <f>COUNTIFS(tItens[Edital],tEditais[[#This Row],[Edital]],tItens[Foco],"Sim")</f>
        <v>0</v>
      </c>
      <c r="M606" s="8">
        <f>SUMIFS(tItens[Valor],tItens[Edital],tEditais[[#This Row],[Edital]])</f>
        <v>1253</v>
      </c>
      <c r="N606" s="8">
        <f>SUMIFS(tItens[Valor homologado],tItens[Edital],tEditais[[#This Row],[Edital]],tItens[Foco],"Sim")</f>
        <v>0</v>
      </c>
      <c r="O606" t="str">
        <f>IF(tEditais[[#This Row],[Itens do foco]]=0,"",IF(tEditais[[#This Row],[Valor foco homologado]]&lt;=0,"Sem valor",IF(tEditais[[#This Row],[Valor foco homologado]]&gt;=FaixaA_Min,"A",IF(tEditais[[#This Row],[Valor foco homologado]]&gt;=FaixaB_Min,"B","C"))))</f>
        <v/>
      </c>
      <c r="P606" t="str">
        <f ca="1">IF(tEditais[[#This Row],[Encerramento]]&gt;NOW(),"Aberto","Encerrado")</f>
        <v>Aberto</v>
      </c>
    </row>
    <row r="607" spans="1:16" x14ac:dyDescent="0.25">
      <c r="A607" t="s">
        <v>3054</v>
      </c>
      <c r="B607" t="s">
        <v>2854</v>
      </c>
      <c r="C607" t="s">
        <v>2855</v>
      </c>
      <c r="D607" t="s">
        <v>2708</v>
      </c>
      <c r="E607" t="s">
        <v>800</v>
      </c>
      <c r="F607" s="11">
        <v>46311.333333333336</v>
      </c>
      <c r="G607">
        <v>6</v>
      </c>
      <c r="H607" t="s">
        <v>3055</v>
      </c>
      <c r="I607" t="s">
        <v>3056</v>
      </c>
      <c r="J607" t="str">
        <f>IF(ISNUMBER(SEARCH("registro de pre",tEditais[[#This Row],[Objeto]])),"Sim","Não")</f>
        <v>Não</v>
      </c>
      <c r="K607" s="4">
        <f>COUNTIFS(tItens[Edital],tEditais[[#This Row],[Edital]])</f>
        <v>5</v>
      </c>
      <c r="L607" s="4">
        <f>COUNTIFS(tItens[Edital],tEditais[[#This Row],[Edital]],tItens[Foco],"Sim")</f>
        <v>0</v>
      </c>
      <c r="M607" s="8">
        <f>SUMIFS(tItens[Valor],tItens[Edital],tEditais[[#This Row],[Edital]])</f>
        <v>16436</v>
      </c>
      <c r="N607" s="8">
        <f>SUMIFS(tItens[Valor homologado],tItens[Edital],tEditais[[#This Row],[Edital]],tItens[Foco],"Sim")</f>
        <v>0</v>
      </c>
      <c r="O607" t="str">
        <f>IF(tEditais[[#This Row],[Itens do foco]]=0,"",IF(tEditais[[#This Row],[Valor foco homologado]]&lt;=0,"Sem valor",IF(tEditais[[#This Row],[Valor foco homologado]]&gt;=FaixaA_Min,"A",IF(tEditais[[#This Row],[Valor foco homologado]]&gt;=FaixaB_Min,"B","C"))))</f>
        <v/>
      </c>
      <c r="P607" t="str">
        <f ca="1">IF(tEditais[[#This Row],[Encerramento]]&gt;NOW(),"Aberto","Encerrado")</f>
        <v>Aberto</v>
      </c>
    </row>
    <row r="608" spans="1:16" x14ac:dyDescent="0.25">
      <c r="A608" t="s">
        <v>3057</v>
      </c>
      <c r="B608" t="s">
        <v>3058</v>
      </c>
      <c r="C608" t="s">
        <v>3059</v>
      </c>
      <c r="D608" t="s">
        <v>2708</v>
      </c>
      <c r="E608" t="s">
        <v>716</v>
      </c>
      <c r="F608" s="11">
        <v>46311.333333333336</v>
      </c>
      <c r="G608">
        <v>75</v>
      </c>
      <c r="I608" t="s">
        <v>3060</v>
      </c>
      <c r="J608" t="str">
        <f>IF(ISNUMBER(SEARCH("registro de pre",tEditais[[#This Row],[Objeto]])),"Sim","Não")</f>
        <v>Sim</v>
      </c>
      <c r="K608" s="4">
        <f>COUNTIFS(tItens[Edital],tEditais[[#This Row],[Edital]])</f>
        <v>33</v>
      </c>
      <c r="L608" s="4">
        <f>COUNTIFS(tItens[Edital],tEditais[[#This Row],[Edital]],tItens[Foco],"Sim")</f>
        <v>7</v>
      </c>
      <c r="M608" s="8">
        <f>SUMIFS(tItens[Valor],tItens[Edital],tEditais[[#This Row],[Edital]])</f>
        <v>617547.95000000007</v>
      </c>
      <c r="N608" s="8">
        <f>SUMIFS(tItens[Valor homologado],tItens[Edital],tEditais[[#This Row],[Edital]],tItens[Foco],"Sim")</f>
        <v>51068.959999999999</v>
      </c>
      <c r="O608" t="str">
        <f>IF(tEditais[[#This Row],[Itens do foco]]=0,"",IF(tEditais[[#This Row],[Valor foco homologado]]&lt;=0,"Sem valor",IF(tEditais[[#This Row],[Valor foco homologado]]&gt;=FaixaA_Min,"A",IF(tEditais[[#This Row],[Valor foco homologado]]&gt;=FaixaB_Min,"B","C"))))</f>
        <v>B</v>
      </c>
      <c r="P608" t="str">
        <f ca="1">IF(tEditais[[#This Row],[Encerramento]]&gt;NOW(),"Aberto","Encerrado")</f>
        <v>Aberto</v>
      </c>
    </row>
    <row r="609" spans="1:16" x14ac:dyDescent="0.25">
      <c r="A609" t="s">
        <v>3061</v>
      </c>
      <c r="B609" t="s">
        <v>3062</v>
      </c>
      <c r="C609" t="s">
        <v>3063</v>
      </c>
      <c r="D609" t="s">
        <v>2708</v>
      </c>
      <c r="E609" t="s">
        <v>716</v>
      </c>
      <c r="F609" s="11">
        <v>46311.333333333336</v>
      </c>
      <c r="G609">
        <v>13</v>
      </c>
      <c r="I609" t="s">
        <v>3064</v>
      </c>
      <c r="J609" t="str">
        <f>IF(ISNUMBER(SEARCH("registro de pre",tEditais[[#This Row],[Objeto]])),"Sim","Não")</f>
        <v>Sim</v>
      </c>
      <c r="K609" s="4">
        <f>COUNTIFS(tItens[Edital],tEditais[[#This Row],[Edital]])</f>
        <v>1</v>
      </c>
      <c r="L609" s="4">
        <f>COUNTIFS(tItens[Edital],tEditais[[#This Row],[Edital]],tItens[Foco],"Sim")</f>
        <v>0</v>
      </c>
      <c r="M609" s="8">
        <f>SUMIFS(tItens[Valor],tItens[Edital],tEditais[[#This Row],[Edital]])</f>
        <v>161680</v>
      </c>
      <c r="N609" s="8">
        <f>SUMIFS(tItens[Valor homologado],tItens[Edital],tEditais[[#This Row],[Edital]],tItens[Foco],"Sim")</f>
        <v>0</v>
      </c>
      <c r="O609" t="str">
        <f>IF(tEditais[[#This Row],[Itens do foco]]=0,"",IF(tEditais[[#This Row],[Valor foco homologado]]&lt;=0,"Sem valor",IF(tEditais[[#This Row],[Valor foco homologado]]&gt;=FaixaA_Min,"A",IF(tEditais[[#This Row],[Valor foco homologado]]&gt;=FaixaB_Min,"B","C"))))</f>
        <v/>
      </c>
      <c r="P609" t="str">
        <f ca="1">IF(tEditais[[#This Row],[Encerramento]]&gt;NOW(),"Aberto","Encerrado")</f>
        <v>Aberto</v>
      </c>
    </row>
    <row r="610" spans="1:16" x14ac:dyDescent="0.25">
      <c r="A610" t="s">
        <v>3065</v>
      </c>
      <c r="B610" t="s">
        <v>3066</v>
      </c>
      <c r="C610" t="s">
        <v>2763</v>
      </c>
      <c r="D610" t="s">
        <v>2708</v>
      </c>
      <c r="E610" t="s">
        <v>800</v>
      </c>
      <c r="F610" s="11">
        <v>46311.333333333336</v>
      </c>
      <c r="G610">
        <v>181</v>
      </c>
      <c r="H610" t="s">
        <v>3067</v>
      </c>
      <c r="I610" t="s">
        <v>3068</v>
      </c>
      <c r="J610" t="str">
        <f>IF(ISNUMBER(SEARCH("registro de pre",tEditais[[#This Row],[Objeto]])),"Sim","Não")</f>
        <v>Não</v>
      </c>
      <c r="K610" s="4">
        <f>COUNTIFS(tItens[Edital],tEditais[[#This Row],[Edital]])</f>
        <v>13</v>
      </c>
      <c r="L610" s="4">
        <f>COUNTIFS(tItens[Edital],tEditais[[#This Row],[Edital]],tItens[Foco],"Sim")</f>
        <v>0</v>
      </c>
      <c r="M610" s="8">
        <f>SUMIFS(tItens[Valor],tItens[Edital],tEditais[[#This Row],[Edital]])</f>
        <v>739.95</v>
      </c>
      <c r="N610" s="8">
        <f>SUMIFS(tItens[Valor homologado],tItens[Edital],tEditais[[#This Row],[Edital]],tItens[Foco],"Sim")</f>
        <v>0</v>
      </c>
      <c r="O610" t="str">
        <f>IF(tEditais[[#This Row],[Itens do foco]]=0,"",IF(tEditais[[#This Row],[Valor foco homologado]]&lt;=0,"Sem valor",IF(tEditais[[#This Row],[Valor foco homologado]]&gt;=FaixaA_Min,"A",IF(tEditais[[#This Row],[Valor foco homologado]]&gt;=FaixaB_Min,"B","C"))))</f>
        <v/>
      </c>
      <c r="P610" t="str">
        <f ca="1">IF(tEditais[[#This Row],[Encerramento]]&gt;NOW(),"Aberto","Encerrado")</f>
        <v>Aberto</v>
      </c>
    </row>
    <row r="611" spans="1:16" x14ac:dyDescent="0.25">
      <c r="A611" t="s">
        <v>3069</v>
      </c>
      <c r="B611" t="s">
        <v>3070</v>
      </c>
      <c r="C611" t="s">
        <v>3071</v>
      </c>
      <c r="D611" t="s">
        <v>2708</v>
      </c>
      <c r="E611" t="s">
        <v>716</v>
      </c>
      <c r="F611" s="11">
        <v>46311.347222222219</v>
      </c>
      <c r="G611">
        <v>341</v>
      </c>
      <c r="I611" t="s">
        <v>3072</v>
      </c>
      <c r="J611" t="str">
        <f>IF(ISNUMBER(SEARCH("registro de pre",tEditais[[#This Row],[Objeto]])),"Sim","Não")</f>
        <v>Não</v>
      </c>
      <c r="K611" s="4">
        <f>COUNTIFS(tItens[Edital],tEditais[[#This Row],[Edital]])</f>
        <v>115</v>
      </c>
      <c r="L611" s="4">
        <f>COUNTIFS(tItens[Edital],tEditais[[#This Row],[Edital]],tItens[Foco],"Sim")</f>
        <v>17</v>
      </c>
      <c r="M611" s="8">
        <f>SUMIFS(tItens[Valor],tItens[Edital],tEditais[[#This Row],[Edital]])</f>
        <v>4018338.2</v>
      </c>
      <c r="N611" s="8">
        <f>SUMIFS(tItens[Valor homologado],tItens[Edital],tEditais[[#This Row],[Edital]],tItens[Foco],"Sim")</f>
        <v>164114.48999999993</v>
      </c>
      <c r="O611" t="str">
        <f>IF(tEditais[[#This Row],[Itens do foco]]=0,"",IF(tEditais[[#This Row],[Valor foco homologado]]&lt;=0,"Sem valor",IF(tEditais[[#This Row],[Valor foco homologado]]&gt;=FaixaA_Min,"A",IF(tEditais[[#This Row],[Valor foco homologado]]&gt;=FaixaB_Min,"B","C"))))</f>
        <v>A</v>
      </c>
      <c r="P611" t="str">
        <f ca="1">IF(tEditais[[#This Row],[Encerramento]]&gt;NOW(),"Aberto","Encerrado")</f>
        <v>Aberto</v>
      </c>
    </row>
    <row r="612" spans="1:16" x14ac:dyDescent="0.25">
      <c r="A612" t="s">
        <v>3073</v>
      </c>
      <c r="B612" t="s">
        <v>2745</v>
      </c>
      <c r="C612" t="s">
        <v>2725</v>
      </c>
      <c r="D612" t="s">
        <v>2708</v>
      </c>
      <c r="E612" t="s">
        <v>716</v>
      </c>
      <c r="F612" s="11">
        <v>46311.354166666664</v>
      </c>
      <c r="G612">
        <v>8</v>
      </c>
      <c r="H612" t="s">
        <v>2746</v>
      </c>
      <c r="I612" t="s">
        <v>3074</v>
      </c>
      <c r="J612" t="str">
        <f>IF(ISNUMBER(SEARCH("registro de pre",tEditais[[#This Row],[Objeto]])),"Sim","Não")</f>
        <v>Sim</v>
      </c>
      <c r="K612" s="4">
        <f>COUNTIFS(tItens[Edital],tEditais[[#This Row],[Edital]])</f>
        <v>1</v>
      </c>
      <c r="L612" s="4">
        <f>COUNTIFS(tItens[Edital],tEditais[[#This Row],[Edital]],tItens[Foco],"Sim")</f>
        <v>0</v>
      </c>
      <c r="M612" s="8">
        <f>SUMIFS(tItens[Valor],tItens[Edital],tEditais[[#This Row],[Edital]])</f>
        <v>8000</v>
      </c>
      <c r="N612" s="8">
        <f>SUMIFS(tItens[Valor homologado],tItens[Edital],tEditais[[#This Row],[Edital]],tItens[Foco],"Sim")</f>
        <v>0</v>
      </c>
      <c r="O612" t="str">
        <f>IF(tEditais[[#This Row],[Itens do foco]]=0,"",IF(tEditais[[#This Row],[Valor foco homologado]]&lt;=0,"Sem valor",IF(tEditais[[#This Row],[Valor foco homologado]]&gt;=FaixaA_Min,"A",IF(tEditais[[#This Row],[Valor foco homologado]]&gt;=FaixaB_Min,"B","C"))))</f>
        <v/>
      </c>
      <c r="P612" t="str">
        <f ca="1">IF(tEditais[[#This Row],[Encerramento]]&gt;NOW(),"Aberto","Encerrado")</f>
        <v>Aberto</v>
      </c>
    </row>
    <row r="613" spans="1:16" x14ac:dyDescent="0.25">
      <c r="A613" t="s">
        <v>3075</v>
      </c>
      <c r="B613" t="s">
        <v>2734</v>
      </c>
      <c r="C613" t="s">
        <v>2735</v>
      </c>
      <c r="D613" t="s">
        <v>2708</v>
      </c>
      <c r="E613" t="s">
        <v>716</v>
      </c>
      <c r="F613" s="11">
        <v>46311.354166666664</v>
      </c>
      <c r="G613">
        <v>22</v>
      </c>
      <c r="I613" t="s">
        <v>3076</v>
      </c>
      <c r="J613" t="str">
        <f>IF(ISNUMBER(SEARCH("registro de pre",tEditais[[#This Row],[Objeto]])),"Sim","Não")</f>
        <v>Sim</v>
      </c>
      <c r="K613" s="4">
        <f>COUNTIFS(tItens[Edital],tEditais[[#This Row],[Edital]])</f>
        <v>7</v>
      </c>
      <c r="L613" s="4">
        <f>COUNTIFS(tItens[Edital],tEditais[[#This Row],[Edital]],tItens[Foco],"Sim")</f>
        <v>1</v>
      </c>
      <c r="M613" s="8">
        <f>SUMIFS(tItens[Valor],tItens[Edital],tEditais[[#This Row],[Edital]])</f>
        <v>179786</v>
      </c>
      <c r="N613" s="8">
        <f>SUMIFS(tItens[Valor homologado],tItens[Edital],tEditais[[#This Row],[Edital]],tItens[Foco],"Sim")</f>
        <v>2177.9999999999995</v>
      </c>
      <c r="O613" t="str">
        <f>IF(tEditais[[#This Row],[Itens do foco]]=0,"",IF(tEditais[[#This Row],[Valor foco homologado]]&lt;=0,"Sem valor",IF(tEditais[[#This Row],[Valor foco homologado]]&gt;=FaixaA_Min,"A",IF(tEditais[[#This Row],[Valor foco homologado]]&gt;=FaixaB_Min,"B","C"))))</f>
        <v>C</v>
      </c>
      <c r="P613" t="str">
        <f ca="1">IF(tEditais[[#This Row],[Encerramento]]&gt;NOW(),"Aberto","Encerrado")</f>
        <v>Aberto</v>
      </c>
    </row>
    <row r="614" spans="1:16" x14ac:dyDescent="0.25">
      <c r="A614" t="s">
        <v>3077</v>
      </c>
      <c r="B614" t="s">
        <v>3078</v>
      </c>
      <c r="C614" t="s">
        <v>3079</v>
      </c>
      <c r="D614" t="s">
        <v>2708</v>
      </c>
      <c r="E614" t="s">
        <v>716</v>
      </c>
      <c r="F614" s="11">
        <v>46311.368055555555</v>
      </c>
      <c r="G614">
        <v>112</v>
      </c>
      <c r="I614" t="s">
        <v>3080</v>
      </c>
      <c r="J614" t="str">
        <f>IF(ISNUMBER(SEARCH("registro de pre",tEditais[[#This Row],[Objeto]])),"Sim","Não")</f>
        <v>Sim</v>
      </c>
      <c r="K614" s="4">
        <f>COUNTIFS(tItens[Edital],tEditais[[#This Row],[Edital]])</f>
        <v>23</v>
      </c>
      <c r="L614" s="4">
        <f>COUNTIFS(tItens[Edital],tEditais[[#This Row],[Edital]],tItens[Foco],"Sim")</f>
        <v>3</v>
      </c>
      <c r="M614" s="8">
        <f>SUMIFS(tItens[Valor],tItens[Edital],tEditais[[#This Row],[Edital]])</f>
        <v>141493.10999999999</v>
      </c>
      <c r="N614" s="8">
        <f>SUMIFS(tItens[Valor homologado],tItens[Edital],tEditais[[#This Row],[Edital]],tItens[Foco],"Sim")</f>
        <v>4481.0999999999995</v>
      </c>
      <c r="O614" t="str">
        <f>IF(tEditais[[#This Row],[Itens do foco]]=0,"",IF(tEditais[[#This Row],[Valor foco homologado]]&lt;=0,"Sem valor",IF(tEditais[[#This Row],[Valor foco homologado]]&gt;=FaixaA_Min,"A",IF(tEditais[[#This Row],[Valor foco homologado]]&gt;=FaixaB_Min,"B","C"))))</f>
        <v>C</v>
      </c>
      <c r="P614" t="str">
        <f ca="1">IF(tEditais[[#This Row],[Encerramento]]&gt;NOW(),"Aberto","Encerrado")</f>
        <v>Aberto</v>
      </c>
    </row>
    <row r="615" spans="1:16" x14ac:dyDescent="0.25">
      <c r="A615" t="s">
        <v>3081</v>
      </c>
      <c r="B615" t="s">
        <v>2909</v>
      </c>
      <c r="C615" t="s">
        <v>2910</v>
      </c>
      <c r="D615" t="s">
        <v>2708</v>
      </c>
      <c r="E615" t="s">
        <v>716</v>
      </c>
      <c r="F615" s="11">
        <v>46311.374305555553</v>
      </c>
      <c r="G615">
        <v>68</v>
      </c>
      <c r="I615" t="s">
        <v>3082</v>
      </c>
      <c r="J615" t="str">
        <f>IF(ISNUMBER(SEARCH("registro de pre",tEditais[[#This Row],[Objeto]])),"Sim","Não")</f>
        <v>Sim</v>
      </c>
      <c r="K615" s="4">
        <f>COUNTIFS(tItens[Edital],tEditais[[#This Row],[Edital]])</f>
        <v>39</v>
      </c>
      <c r="L615" s="4">
        <f>COUNTIFS(tItens[Edital],tEditais[[#This Row],[Edital]],tItens[Foco],"Sim")</f>
        <v>2</v>
      </c>
      <c r="M615" s="8">
        <f>SUMIFS(tItens[Valor],tItens[Edital],tEditais[[#This Row],[Edital]])</f>
        <v>0</v>
      </c>
      <c r="N615" s="8">
        <f>SUMIFS(tItens[Valor homologado],tItens[Edital],tEditais[[#This Row],[Edital]],tItens[Foco],"Sim")</f>
        <v>0</v>
      </c>
      <c r="O615" t="str">
        <f>IF(tEditais[[#This Row],[Itens do foco]]=0,"",IF(tEditais[[#This Row],[Valor foco homologado]]&lt;=0,"Sem valor",IF(tEditais[[#This Row],[Valor foco homologado]]&gt;=FaixaA_Min,"A",IF(tEditais[[#This Row],[Valor foco homologado]]&gt;=FaixaB_Min,"B","C"))))</f>
        <v>Sem valor</v>
      </c>
      <c r="P615" t="str">
        <f ca="1">IF(tEditais[[#This Row],[Encerramento]]&gt;NOW(),"Aberto","Encerrado")</f>
        <v>Aberto</v>
      </c>
    </row>
    <row r="616" spans="1:16" x14ac:dyDescent="0.25">
      <c r="A616" t="s">
        <v>3083</v>
      </c>
      <c r="B616" t="s">
        <v>3084</v>
      </c>
      <c r="C616" t="s">
        <v>3085</v>
      </c>
      <c r="D616" t="s">
        <v>2708</v>
      </c>
      <c r="E616" t="s">
        <v>716</v>
      </c>
      <c r="F616" s="11">
        <v>46311.374305555553</v>
      </c>
      <c r="G616">
        <v>213</v>
      </c>
      <c r="H616" t="s">
        <v>1254</v>
      </c>
      <c r="I616" t="s">
        <v>3086</v>
      </c>
      <c r="J616" t="str">
        <f>IF(ISNUMBER(SEARCH("registro de pre",tEditais[[#This Row],[Objeto]])),"Sim","Não")</f>
        <v>Não</v>
      </c>
      <c r="K616" s="4">
        <f>COUNTIFS(tItens[Edital],tEditais[[#This Row],[Edital]])</f>
        <v>19</v>
      </c>
      <c r="L616" s="4">
        <f>COUNTIFS(tItens[Edital],tEditais[[#This Row],[Edital]],tItens[Foco],"Sim")</f>
        <v>3</v>
      </c>
      <c r="M616" s="8">
        <f>SUMIFS(tItens[Valor],tItens[Edital],tEditais[[#This Row],[Edital]])</f>
        <v>68299.399999999994</v>
      </c>
      <c r="N616" s="8">
        <f>SUMIFS(tItens[Valor homologado],tItens[Edital],tEditais[[#This Row],[Edital]],tItens[Foco],"Sim")</f>
        <v>15323.905999999999</v>
      </c>
      <c r="O616" t="str">
        <f>IF(tEditais[[#This Row],[Itens do foco]]=0,"",IF(tEditais[[#This Row],[Valor foco homologado]]&lt;=0,"Sem valor",IF(tEditais[[#This Row],[Valor foco homologado]]&gt;=FaixaA_Min,"A",IF(tEditais[[#This Row],[Valor foco homologado]]&gt;=FaixaB_Min,"B","C"))))</f>
        <v>C</v>
      </c>
      <c r="P616" t="str">
        <f ca="1">IF(tEditais[[#This Row],[Encerramento]]&gt;NOW(),"Aberto","Encerrado")</f>
        <v>Aberto</v>
      </c>
    </row>
    <row r="617" spans="1:16" x14ac:dyDescent="0.25">
      <c r="A617" t="s">
        <v>3087</v>
      </c>
      <c r="B617" t="s">
        <v>1089</v>
      </c>
      <c r="C617" t="s">
        <v>2850</v>
      </c>
      <c r="D617" t="s">
        <v>2708</v>
      </c>
      <c r="E617" t="s">
        <v>716</v>
      </c>
      <c r="F617" s="11">
        <v>46311.375</v>
      </c>
      <c r="G617">
        <v>6</v>
      </c>
      <c r="H617" t="s">
        <v>3088</v>
      </c>
      <c r="I617" t="s">
        <v>3008</v>
      </c>
      <c r="J617" t="str">
        <f>IF(ISNUMBER(SEARCH("registro de pre",tEditais[[#This Row],[Objeto]])),"Sim","Não")</f>
        <v>Não</v>
      </c>
      <c r="K617" s="4">
        <f>COUNTIFS(tItens[Edital],tEditais[[#This Row],[Edital]])</f>
        <v>1</v>
      </c>
      <c r="L617" s="4">
        <f>COUNTIFS(tItens[Edital],tEditais[[#This Row],[Edital]],tItens[Foco],"Sim")</f>
        <v>0</v>
      </c>
      <c r="M617" s="8">
        <f>SUMIFS(tItens[Valor],tItens[Edital],tEditais[[#This Row],[Edital]])</f>
        <v>0</v>
      </c>
      <c r="N617" s="8">
        <f>SUMIFS(tItens[Valor homologado],tItens[Edital],tEditais[[#This Row],[Edital]],tItens[Foco],"Sim")</f>
        <v>0</v>
      </c>
      <c r="O617" t="str">
        <f>IF(tEditais[[#This Row],[Itens do foco]]=0,"",IF(tEditais[[#This Row],[Valor foco homologado]]&lt;=0,"Sem valor",IF(tEditais[[#This Row],[Valor foco homologado]]&gt;=FaixaA_Min,"A",IF(tEditais[[#This Row],[Valor foco homologado]]&gt;=FaixaB_Min,"B","C"))))</f>
        <v/>
      </c>
      <c r="P617" t="str">
        <f ca="1">IF(tEditais[[#This Row],[Encerramento]]&gt;NOW(),"Aberto","Encerrado")</f>
        <v>Aberto</v>
      </c>
    </row>
    <row r="618" spans="1:16" x14ac:dyDescent="0.25">
      <c r="A618" t="s">
        <v>3089</v>
      </c>
      <c r="B618" t="s">
        <v>2859</v>
      </c>
      <c r="C618" t="s">
        <v>2860</v>
      </c>
      <c r="D618" t="s">
        <v>2708</v>
      </c>
      <c r="E618" t="s">
        <v>716</v>
      </c>
      <c r="F618" s="11">
        <v>46311.375</v>
      </c>
      <c r="G618">
        <v>10</v>
      </c>
      <c r="I618" t="s">
        <v>3090</v>
      </c>
      <c r="J618" t="str">
        <f>IF(ISNUMBER(SEARCH("registro de pre",tEditais[[#This Row],[Objeto]])),"Sim","Não")</f>
        <v>Sim</v>
      </c>
      <c r="K618" s="4">
        <f>COUNTIFS(tItens[Edital],tEditais[[#This Row],[Edital]])</f>
        <v>2</v>
      </c>
      <c r="L618" s="4">
        <f>COUNTIFS(tItens[Edital],tEditais[[#This Row],[Edital]],tItens[Foco],"Sim")</f>
        <v>0</v>
      </c>
      <c r="M618" s="8">
        <f>SUMIFS(tItens[Valor],tItens[Edital],tEditais[[#This Row],[Edital]])</f>
        <v>17628</v>
      </c>
      <c r="N618" s="8">
        <f>SUMIFS(tItens[Valor homologado],tItens[Edital],tEditais[[#This Row],[Edital]],tItens[Foco],"Sim")</f>
        <v>0</v>
      </c>
      <c r="O618" t="str">
        <f>IF(tEditais[[#This Row],[Itens do foco]]=0,"",IF(tEditais[[#This Row],[Valor foco homologado]]&lt;=0,"Sem valor",IF(tEditais[[#This Row],[Valor foco homologado]]&gt;=FaixaA_Min,"A",IF(tEditais[[#This Row],[Valor foco homologado]]&gt;=FaixaB_Min,"B","C"))))</f>
        <v/>
      </c>
      <c r="P618" t="str">
        <f ca="1">IF(tEditais[[#This Row],[Encerramento]]&gt;NOW(),"Aberto","Encerrado")</f>
        <v>Aberto</v>
      </c>
    </row>
    <row r="619" spans="1:16" x14ac:dyDescent="0.25">
      <c r="A619" t="s">
        <v>3091</v>
      </c>
      <c r="B619" t="s">
        <v>3092</v>
      </c>
      <c r="C619" t="s">
        <v>2807</v>
      </c>
      <c r="D619" t="s">
        <v>2708</v>
      </c>
      <c r="E619" t="s">
        <v>716</v>
      </c>
      <c r="F619" s="11">
        <v>46311.375</v>
      </c>
      <c r="G619">
        <v>12</v>
      </c>
      <c r="H619" t="s">
        <v>3093</v>
      </c>
      <c r="I619" t="s">
        <v>3094</v>
      </c>
      <c r="J619" t="str">
        <f>IF(ISNUMBER(SEARCH("registro de pre",tEditais[[#This Row],[Objeto]])),"Sim","Não")</f>
        <v>Sim</v>
      </c>
      <c r="K619" s="4">
        <f>COUNTIFS(tItens[Edital],tEditais[[#This Row],[Edital]])</f>
        <v>4</v>
      </c>
      <c r="L619" s="4">
        <f>COUNTIFS(tItens[Edital],tEditais[[#This Row],[Edital]],tItens[Foco],"Sim")</f>
        <v>0</v>
      </c>
      <c r="M619" s="8">
        <f>SUMIFS(tItens[Valor],tItens[Edital],tEditais[[#This Row],[Edital]])</f>
        <v>929199.66</v>
      </c>
      <c r="N619" s="8">
        <f>SUMIFS(tItens[Valor homologado],tItens[Edital],tEditais[[#This Row],[Edital]],tItens[Foco],"Sim")</f>
        <v>0</v>
      </c>
      <c r="O619" t="str">
        <f>IF(tEditais[[#This Row],[Itens do foco]]=0,"",IF(tEditais[[#This Row],[Valor foco homologado]]&lt;=0,"Sem valor",IF(tEditais[[#This Row],[Valor foco homologado]]&gt;=FaixaA_Min,"A",IF(tEditais[[#This Row],[Valor foco homologado]]&gt;=FaixaB_Min,"B","C"))))</f>
        <v/>
      </c>
      <c r="P619" t="str">
        <f ca="1">IF(tEditais[[#This Row],[Encerramento]]&gt;NOW(),"Aberto","Encerrado")</f>
        <v>Aberto</v>
      </c>
    </row>
    <row r="620" spans="1:16" x14ac:dyDescent="0.25">
      <c r="A620" t="s">
        <v>3095</v>
      </c>
      <c r="B620" t="s">
        <v>1089</v>
      </c>
      <c r="C620" t="s">
        <v>2867</v>
      </c>
      <c r="D620" t="s">
        <v>2708</v>
      </c>
      <c r="E620" t="s">
        <v>716</v>
      </c>
      <c r="F620" s="11">
        <v>46311.375</v>
      </c>
      <c r="G620">
        <v>3</v>
      </c>
      <c r="H620" t="s">
        <v>3096</v>
      </c>
      <c r="I620" t="s">
        <v>3097</v>
      </c>
      <c r="J620" t="str">
        <f>IF(ISNUMBER(SEARCH("registro de pre",tEditais[[#This Row],[Objeto]])),"Sim","Não")</f>
        <v>Não</v>
      </c>
      <c r="K620" s="4">
        <f>COUNTIFS(tItens[Edital],tEditais[[#This Row],[Edital]])</f>
        <v>1</v>
      </c>
      <c r="L620" s="4">
        <f>COUNTIFS(tItens[Edital],tEditais[[#This Row],[Edital]],tItens[Foco],"Sim")</f>
        <v>0</v>
      </c>
      <c r="M620" s="8">
        <f>SUMIFS(tItens[Valor],tItens[Edital],tEditais[[#This Row],[Edital]])</f>
        <v>0</v>
      </c>
      <c r="N620" s="8">
        <f>SUMIFS(tItens[Valor homologado],tItens[Edital],tEditais[[#This Row],[Edital]],tItens[Foco],"Sim")</f>
        <v>0</v>
      </c>
      <c r="O620" t="str">
        <f>IF(tEditais[[#This Row],[Itens do foco]]=0,"",IF(tEditais[[#This Row],[Valor foco homologado]]&lt;=0,"Sem valor",IF(tEditais[[#This Row],[Valor foco homologado]]&gt;=FaixaA_Min,"A",IF(tEditais[[#This Row],[Valor foco homologado]]&gt;=FaixaB_Min,"B","C"))))</f>
        <v/>
      </c>
      <c r="P620" t="str">
        <f ca="1">IF(tEditais[[#This Row],[Encerramento]]&gt;NOW(),"Aberto","Encerrado")</f>
        <v>Aberto</v>
      </c>
    </row>
    <row r="621" spans="1:16" x14ac:dyDescent="0.25">
      <c r="A621" t="s">
        <v>3098</v>
      </c>
      <c r="B621" t="s">
        <v>3099</v>
      </c>
      <c r="C621" t="s">
        <v>3100</v>
      </c>
      <c r="D621" t="s">
        <v>2708</v>
      </c>
      <c r="E621" t="s">
        <v>800</v>
      </c>
      <c r="F621" s="11">
        <v>46311.375</v>
      </c>
      <c r="G621">
        <v>7</v>
      </c>
      <c r="H621" t="s">
        <v>3101</v>
      </c>
      <c r="I621" t="s">
        <v>3102</v>
      </c>
      <c r="J621" t="str">
        <f>IF(ISNUMBER(SEARCH("registro de pre",tEditais[[#This Row],[Objeto]])),"Sim","Não")</f>
        <v>Não</v>
      </c>
      <c r="K621" s="4">
        <f>COUNTIFS(tItens[Edital],tEditais[[#This Row],[Edital]])</f>
        <v>6</v>
      </c>
      <c r="L621" s="4">
        <f>COUNTIFS(tItens[Edital],tEditais[[#This Row],[Edital]],tItens[Foco],"Sim")</f>
        <v>1</v>
      </c>
      <c r="M621" s="8">
        <f>SUMIFS(tItens[Valor],tItens[Edital],tEditais[[#This Row],[Edital]])</f>
        <v>3336.76</v>
      </c>
      <c r="N621" s="8">
        <f>SUMIFS(tItens[Valor homologado],tItens[Edital],tEditais[[#This Row],[Edital]],tItens[Foco],"Sim")</f>
        <v>969.69599999999991</v>
      </c>
      <c r="O621" t="str">
        <f>IF(tEditais[[#This Row],[Itens do foco]]=0,"",IF(tEditais[[#This Row],[Valor foco homologado]]&lt;=0,"Sem valor",IF(tEditais[[#This Row],[Valor foco homologado]]&gt;=FaixaA_Min,"A",IF(tEditais[[#This Row],[Valor foco homologado]]&gt;=FaixaB_Min,"B","C"))))</f>
        <v>C</v>
      </c>
      <c r="P621" t="str">
        <f ca="1">IF(tEditais[[#This Row],[Encerramento]]&gt;NOW(),"Aberto","Encerrado")</f>
        <v>Aberto</v>
      </c>
    </row>
    <row r="622" spans="1:16" x14ac:dyDescent="0.25">
      <c r="A622" t="s">
        <v>3103</v>
      </c>
      <c r="B622" t="s">
        <v>1089</v>
      </c>
      <c r="C622" t="s">
        <v>3104</v>
      </c>
      <c r="D622" t="s">
        <v>2708</v>
      </c>
      <c r="E622" t="s">
        <v>716</v>
      </c>
      <c r="F622" s="11">
        <v>46311.375</v>
      </c>
      <c r="G622">
        <v>2</v>
      </c>
      <c r="H622" t="s">
        <v>3105</v>
      </c>
      <c r="I622" t="s">
        <v>3106</v>
      </c>
      <c r="J622" t="str">
        <f>IF(ISNUMBER(SEARCH("registro de pre",tEditais[[#This Row],[Objeto]])),"Sim","Não")</f>
        <v>Não</v>
      </c>
      <c r="K622" s="4">
        <f>COUNTIFS(tItens[Edital],tEditais[[#This Row],[Edital]])</f>
        <v>1</v>
      </c>
      <c r="L622" s="4">
        <f>COUNTIFS(tItens[Edital],tEditais[[#This Row],[Edital]],tItens[Foco],"Sim")</f>
        <v>0</v>
      </c>
      <c r="M622" s="8">
        <f>SUMIFS(tItens[Valor],tItens[Edital],tEditais[[#This Row],[Edital]])</f>
        <v>0</v>
      </c>
      <c r="N622" s="8">
        <f>SUMIFS(tItens[Valor homologado],tItens[Edital],tEditais[[#This Row],[Edital]],tItens[Foco],"Sim")</f>
        <v>0</v>
      </c>
      <c r="O622" t="str">
        <f>IF(tEditais[[#This Row],[Itens do foco]]=0,"",IF(tEditais[[#This Row],[Valor foco homologado]]&lt;=0,"Sem valor",IF(tEditais[[#This Row],[Valor foco homologado]]&gt;=FaixaA_Min,"A",IF(tEditais[[#This Row],[Valor foco homologado]]&gt;=FaixaB_Min,"B","C"))))</f>
        <v/>
      </c>
      <c r="P622" t="str">
        <f ca="1">IF(tEditais[[#This Row],[Encerramento]]&gt;NOW(),"Aberto","Encerrado")</f>
        <v>Aberto</v>
      </c>
    </row>
    <row r="623" spans="1:16" x14ac:dyDescent="0.25">
      <c r="A623" t="s">
        <v>3107</v>
      </c>
      <c r="B623" t="s">
        <v>1089</v>
      </c>
      <c r="C623" t="s">
        <v>2763</v>
      </c>
      <c r="D623" t="s">
        <v>2708</v>
      </c>
      <c r="E623" t="s">
        <v>716</v>
      </c>
      <c r="F623" s="11">
        <v>46311.375</v>
      </c>
      <c r="G623">
        <v>5</v>
      </c>
      <c r="H623" t="s">
        <v>3108</v>
      </c>
      <c r="I623" t="s">
        <v>3109</v>
      </c>
      <c r="J623" t="str">
        <f>IF(ISNUMBER(SEARCH("registro de pre",tEditais[[#This Row],[Objeto]])),"Sim","Não")</f>
        <v>Não</v>
      </c>
      <c r="K623" s="4">
        <f>COUNTIFS(tItens[Edital],tEditais[[#This Row],[Edital]])</f>
        <v>3</v>
      </c>
      <c r="L623" s="4">
        <f>COUNTIFS(tItens[Edital],tEditais[[#This Row],[Edital]],tItens[Foco],"Sim")</f>
        <v>0</v>
      </c>
      <c r="M623" s="8">
        <f>SUMIFS(tItens[Valor],tItens[Edital],tEditais[[#This Row],[Edital]])</f>
        <v>0</v>
      </c>
      <c r="N623" s="8">
        <f>SUMIFS(tItens[Valor homologado],tItens[Edital],tEditais[[#This Row],[Edital]],tItens[Foco],"Sim")</f>
        <v>0</v>
      </c>
      <c r="O623" t="str">
        <f>IF(tEditais[[#This Row],[Itens do foco]]=0,"",IF(tEditais[[#This Row],[Valor foco homologado]]&lt;=0,"Sem valor",IF(tEditais[[#This Row],[Valor foco homologado]]&gt;=FaixaA_Min,"A",IF(tEditais[[#This Row],[Valor foco homologado]]&gt;=FaixaB_Min,"B","C"))))</f>
        <v/>
      </c>
      <c r="P623" t="str">
        <f ca="1">IF(tEditais[[#This Row],[Encerramento]]&gt;NOW(),"Aberto","Encerrado")</f>
        <v>Aberto</v>
      </c>
    </row>
    <row r="624" spans="1:16" x14ac:dyDescent="0.25">
      <c r="A624" t="s">
        <v>3110</v>
      </c>
      <c r="B624" t="s">
        <v>2927</v>
      </c>
      <c r="C624" t="s">
        <v>2928</v>
      </c>
      <c r="D624" t="s">
        <v>2708</v>
      </c>
      <c r="E624" t="s">
        <v>716</v>
      </c>
      <c r="F624" s="11">
        <v>46311.375</v>
      </c>
      <c r="G624">
        <v>8</v>
      </c>
      <c r="H624" t="s">
        <v>3111</v>
      </c>
      <c r="I624" t="s">
        <v>3112</v>
      </c>
      <c r="J624" t="str">
        <f>IF(ISNUMBER(SEARCH("registro de pre",tEditais[[#This Row],[Objeto]])),"Sim","Não")</f>
        <v>Sim</v>
      </c>
      <c r="K624" s="4">
        <f>COUNTIFS(tItens[Edital],tEditais[[#This Row],[Edital]])</f>
        <v>1</v>
      </c>
      <c r="L624" s="4">
        <f>COUNTIFS(tItens[Edital],tEditais[[#This Row],[Edital]],tItens[Foco],"Sim")</f>
        <v>0</v>
      </c>
      <c r="M624" s="8">
        <f>SUMIFS(tItens[Valor],tItens[Edital],tEditais[[#This Row],[Edital]])</f>
        <v>0</v>
      </c>
      <c r="N624" s="8">
        <f>SUMIFS(tItens[Valor homologado],tItens[Edital],tEditais[[#This Row],[Edital]],tItens[Foco],"Sim")</f>
        <v>0</v>
      </c>
      <c r="O624" t="str">
        <f>IF(tEditais[[#This Row],[Itens do foco]]=0,"",IF(tEditais[[#This Row],[Valor foco homologado]]&lt;=0,"Sem valor",IF(tEditais[[#This Row],[Valor foco homologado]]&gt;=FaixaA_Min,"A",IF(tEditais[[#This Row],[Valor foco homologado]]&gt;=FaixaB_Min,"B","C"))))</f>
        <v/>
      </c>
      <c r="P624" t="str">
        <f ca="1">IF(tEditais[[#This Row],[Encerramento]]&gt;NOW(),"Aberto","Encerrado")</f>
        <v>Aberto</v>
      </c>
    </row>
    <row r="625" spans="1:16" x14ac:dyDescent="0.25">
      <c r="A625" t="s">
        <v>3113</v>
      </c>
      <c r="B625" t="s">
        <v>1089</v>
      </c>
      <c r="C625" t="s">
        <v>2763</v>
      </c>
      <c r="D625" t="s">
        <v>2708</v>
      </c>
      <c r="E625" t="s">
        <v>716</v>
      </c>
      <c r="F625" s="11">
        <v>46311.375</v>
      </c>
      <c r="G625">
        <v>6</v>
      </c>
      <c r="H625" t="s">
        <v>3114</v>
      </c>
      <c r="I625" t="s">
        <v>3115</v>
      </c>
      <c r="J625" t="str">
        <f>IF(ISNUMBER(SEARCH("registro de pre",tEditais[[#This Row],[Objeto]])),"Sim","Não")</f>
        <v>Não</v>
      </c>
      <c r="K625" s="4">
        <f>COUNTIFS(tItens[Edital],tEditais[[#This Row],[Edital]])</f>
        <v>4</v>
      </c>
      <c r="L625" s="4">
        <f>COUNTIFS(tItens[Edital],tEditais[[#This Row],[Edital]],tItens[Foco],"Sim")</f>
        <v>0</v>
      </c>
      <c r="M625" s="8">
        <f>SUMIFS(tItens[Valor],tItens[Edital],tEditais[[#This Row],[Edital]])</f>
        <v>22398</v>
      </c>
      <c r="N625" s="8">
        <f>SUMIFS(tItens[Valor homologado],tItens[Edital],tEditais[[#This Row],[Edital]],tItens[Foco],"Sim")</f>
        <v>0</v>
      </c>
      <c r="O625" t="str">
        <f>IF(tEditais[[#This Row],[Itens do foco]]=0,"",IF(tEditais[[#This Row],[Valor foco homologado]]&lt;=0,"Sem valor",IF(tEditais[[#This Row],[Valor foco homologado]]&gt;=FaixaA_Min,"A",IF(tEditais[[#This Row],[Valor foco homologado]]&gt;=FaixaB_Min,"B","C"))))</f>
        <v/>
      </c>
      <c r="P625" t="str">
        <f ca="1">IF(tEditais[[#This Row],[Encerramento]]&gt;NOW(),"Aberto","Encerrado")</f>
        <v>Aberto</v>
      </c>
    </row>
    <row r="626" spans="1:16" x14ac:dyDescent="0.25">
      <c r="A626" t="s">
        <v>3116</v>
      </c>
      <c r="B626" t="s">
        <v>3002</v>
      </c>
      <c r="C626" t="s">
        <v>2763</v>
      </c>
      <c r="D626" t="s">
        <v>2708</v>
      </c>
      <c r="E626" t="s">
        <v>716</v>
      </c>
      <c r="F626" s="11">
        <v>46311.375</v>
      </c>
      <c r="G626">
        <v>39</v>
      </c>
      <c r="H626" t="s">
        <v>3117</v>
      </c>
      <c r="I626" t="s">
        <v>3118</v>
      </c>
      <c r="J626" t="str">
        <f>IF(ISNUMBER(SEARCH("registro de pre",tEditais[[#This Row],[Objeto]])),"Sim","Não")</f>
        <v>Sim</v>
      </c>
      <c r="K626" s="4">
        <f>COUNTIFS(tItens[Edital],tEditais[[#This Row],[Edital]])</f>
        <v>5</v>
      </c>
      <c r="L626" s="4">
        <f>COUNTIFS(tItens[Edital],tEditais[[#This Row],[Edital]],tItens[Foco],"Sim")</f>
        <v>2</v>
      </c>
      <c r="M626" s="8">
        <f>SUMIFS(tItens[Valor],tItens[Edital],tEditais[[#This Row],[Edital]])</f>
        <v>37730.5</v>
      </c>
      <c r="N626" s="8">
        <f>SUMIFS(tItens[Valor homologado],tItens[Edital],tEditais[[#This Row],[Edital]],tItens[Foco],"Sim")</f>
        <v>1637.8</v>
      </c>
      <c r="O626" t="str">
        <f>IF(tEditais[[#This Row],[Itens do foco]]=0,"",IF(tEditais[[#This Row],[Valor foco homologado]]&lt;=0,"Sem valor",IF(tEditais[[#This Row],[Valor foco homologado]]&gt;=FaixaA_Min,"A",IF(tEditais[[#This Row],[Valor foco homologado]]&gt;=FaixaB_Min,"B","C"))))</f>
        <v>C</v>
      </c>
      <c r="P626" t="str">
        <f ca="1">IF(tEditais[[#This Row],[Encerramento]]&gt;NOW(),"Aberto","Encerrado")</f>
        <v>Aberto</v>
      </c>
    </row>
    <row r="627" spans="1:16" x14ac:dyDescent="0.25">
      <c r="A627" t="s">
        <v>3119</v>
      </c>
      <c r="B627" t="s">
        <v>1089</v>
      </c>
      <c r="C627" t="s">
        <v>2763</v>
      </c>
      <c r="D627" t="s">
        <v>2708</v>
      </c>
      <c r="E627" t="s">
        <v>716</v>
      </c>
      <c r="F627" s="11">
        <v>46311.375</v>
      </c>
      <c r="G627">
        <v>3</v>
      </c>
      <c r="H627" t="s">
        <v>3120</v>
      </c>
      <c r="I627" t="s">
        <v>3121</v>
      </c>
      <c r="J627" t="str">
        <f>IF(ISNUMBER(SEARCH("registro de pre",tEditais[[#This Row],[Objeto]])),"Sim","Não")</f>
        <v>Não</v>
      </c>
      <c r="K627" s="4">
        <f>COUNTIFS(tItens[Edital],tEditais[[#This Row],[Edital]])</f>
        <v>1</v>
      </c>
      <c r="L627" s="4">
        <f>COUNTIFS(tItens[Edital],tEditais[[#This Row],[Edital]],tItens[Foco],"Sim")</f>
        <v>0</v>
      </c>
      <c r="M627" s="8">
        <f>SUMIFS(tItens[Valor],tItens[Edital],tEditais[[#This Row],[Edital]])</f>
        <v>0</v>
      </c>
      <c r="N627" s="8">
        <f>SUMIFS(tItens[Valor homologado],tItens[Edital],tEditais[[#This Row],[Edital]],tItens[Foco],"Sim")</f>
        <v>0</v>
      </c>
      <c r="O627" t="str">
        <f>IF(tEditais[[#This Row],[Itens do foco]]=0,"",IF(tEditais[[#This Row],[Valor foco homologado]]&lt;=0,"Sem valor",IF(tEditais[[#This Row],[Valor foco homologado]]&gt;=FaixaA_Min,"A",IF(tEditais[[#This Row],[Valor foco homologado]]&gt;=FaixaB_Min,"B","C"))))</f>
        <v/>
      </c>
      <c r="P627" t="str">
        <f ca="1">IF(tEditais[[#This Row],[Encerramento]]&gt;NOW(),"Aberto","Encerrado")</f>
        <v>Aberto</v>
      </c>
    </row>
    <row r="628" spans="1:16" x14ac:dyDescent="0.25">
      <c r="A628" t="s">
        <v>3122</v>
      </c>
      <c r="B628" t="s">
        <v>3123</v>
      </c>
      <c r="C628" t="s">
        <v>3124</v>
      </c>
      <c r="D628" t="s">
        <v>2708</v>
      </c>
      <c r="E628" t="s">
        <v>716</v>
      </c>
      <c r="F628" s="11">
        <v>46311.375</v>
      </c>
      <c r="G628">
        <v>175</v>
      </c>
      <c r="I628" t="s">
        <v>3125</v>
      </c>
      <c r="J628" t="str">
        <f>IF(ISNUMBER(SEARCH("registro de pre",tEditais[[#This Row],[Objeto]])),"Sim","Não")</f>
        <v>Sim</v>
      </c>
      <c r="K628" s="4">
        <f>COUNTIFS(tItens[Edital],tEditais[[#This Row],[Edital]])</f>
        <v>80</v>
      </c>
      <c r="L628" s="4">
        <f>COUNTIFS(tItens[Edital],tEditais[[#This Row],[Edital]],tItens[Foco],"Sim")</f>
        <v>14</v>
      </c>
      <c r="M628" s="8">
        <f>SUMIFS(tItens[Valor],tItens[Edital],tEditais[[#This Row],[Edital]])</f>
        <v>1272043.1499999999</v>
      </c>
      <c r="N628" s="8">
        <f>SUMIFS(tItens[Valor homologado],tItens[Edital],tEditais[[#This Row],[Edital]],tItens[Foco],"Sim")</f>
        <v>16393.120999999999</v>
      </c>
      <c r="O628" t="str">
        <f>IF(tEditais[[#This Row],[Itens do foco]]=0,"",IF(tEditais[[#This Row],[Valor foco homologado]]&lt;=0,"Sem valor",IF(tEditais[[#This Row],[Valor foco homologado]]&gt;=FaixaA_Min,"A",IF(tEditais[[#This Row],[Valor foco homologado]]&gt;=FaixaB_Min,"B","C"))))</f>
        <v>C</v>
      </c>
      <c r="P628" t="str">
        <f ca="1">IF(tEditais[[#This Row],[Encerramento]]&gt;NOW(),"Aberto","Encerrado")</f>
        <v>Aberto</v>
      </c>
    </row>
    <row r="629" spans="1:16" x14ac:dyDescent="0.25">
      <c r="A629" t="s">
        <v>3126</v>
      </c>
      <c r="B629" t="s">
        <v>2787</v>
      </c>
      <c r="C629" t="s">
        <v>2788</v>
      </c>
      <c r="D629" t="s">
        <v>2708</v>
      </c>
      <c r="E629" t="s">
        <v>716</v>
      </c>
      <c r="F629" s="11">
        <v>46311.395833333336</v>
      </c>
      <c r="G629">
        <v>135</v>
      </c>
      <c r="H629" t="s">
        <v>3127</v>
      </c>
      <c r="I629" t="s">
        <v>3128</v>
      </c>
      <c r="J629" t="str">
        <f>IF(ISNUMBER(SEARCH("registro de pre",tEditais[[#This Row],[Objeto]])),"Sim","Não")</f>
        <v>Não</v>
      </c>
      <c r="K629" s="4">
        <f>COUNTIFS(tItens[Edital],tEditais[[#This Row],[Edital]])</f>
        <v>5</v>
      </c>
      <c r="L629" s="4">
        <f>COUNTIFS(tItens[Edital],tEditais[[#This Row],[Edital]],tItens[Foco],"Sim")</f>
        <v>0</v>
      </c>
      <c r="M629" s="8">
        <f>SUMIFS(tItens[Valor],tItens[Edital],tEditais[[#This Row],[Edital]])</f>
        <v>8333.32</v>
      </c>
      <c r="N629" s="8">
        <f>SUMIFS(tItens[Valor homologado],tItens[Edital],tEditais[[#This Row],[Edital]],tItens[Foco],"Sim")</f>
        <v>0</v>
      </c>
      <c r="O629" t="str">
        <f>IF(tEditais[[#This Row],[Itens do foco]]=0,"",IF(tEditais[[#This Row],[Valor foco homologado]]&lt;=0,"Sem valor",IF(tEditais[[#This Row],[Valor foco homologado]]&gt;=FaixaA_Min,"A",IF(tEditais[[#This Row],[Valor foco homologado]]&gt;=FaixaB_Min,"B","C"))))</f>
        <v/>
      </c>
      <c r="P629" t="str">
        <f ca="1">IF(tEditais[[#This Row],[Encerramento]]&gt;NOW(),"Aberto","Encerrado")</f>
        <v>Aberto</v>
      </c>
    </row>
    <row r="630" spans="1:16" x14ac:dyDescent="0.25">
      <c r="A630" t="s">
        <v>3129</v>
      </c>
      <c r="B630" t="s">
        <v>3130</v>
      </c>
      <c r="C630" t="s">
        <v>3131</v>
      </c>
      <c r="D630" t="s">
        <v>2708</v>
      </c>
      <c r="E630" t="s">
        <v>716</v>
      </c>
      <c r="F630" s="11">
        <v>46311.415972222225</v>
      </c>
      <c r="G630">
        <v>31</v>
      </c>
      <c r="H630" t="s">
        <v>3132</v>
      </c>
      <c r="I630" t="s">
        <v>3133</v>
      </c>
      <c r="J630" t="str">
        <f>IF(ISNUMBER(SEARCH("registro de pre",tEditais[[#This Row],[Objeto]])),"Sim","Não")</f>
        <v>Sim</v>
      </c>
      <c r="K630" s="4">
        <f>COUNTIFS(tItens[Edital],tEditais[[#This Row],[Edital]])</f>
        <v>1</v>
      </c>
      <c r="L630" s="4">
        <f>COUNTIFS(tItens[Edital],tEditais[[#This Row],[Edital]],tItens[Foco],"Sim")</f>
        <v>0</v>
      </c>
      <c r="M630" s="8">
        <f>SUMIFS(tItens[Valor],tItens[Edital],tEditais[[#This Row],[Edital]])</f>
        <v>1560</v>
      </c>
      <c r="N630" s="8">
        <f>SUMIFS(tItens[Valor homologado],tItens[Edital],tEditais[[#This Row],[Edital]],tItens[Foco],"Sim")</f>
        <v>0</v>
      </c>
      <c r="O630" t="str">
        <f>IF(tEditais[[#This Row],[Itens do foco]]=0,"",IF(tEditais[[#This Row],[Valor foco homologado]]&lt;=0,"Sem valor",IF(tEditais[[#This Row],[Valor foco homologado]]&gt;=FaixaA_Min,"A",IF(tEditais[[#This Row],[Valor foco homologado]]&gt;=FaixaB_Min,"B","C"))))</f>
        <v/>
      </c>
      <c r="P630" t="str">
        <f ca="1">IF(tEditais[[#This Row],[Encerramento]]&gt;NOW(),"Aberto","Encerrado")</f>
        <v>Aberto</v>
      </c>
    </row>
    <row r="631" spans="1:16" x14ac:dyDescent="0.25">
      <c r="A631" t="s">
        <v>3134</v>
      </c>
      <c r="B631" t="s">
        <v>1206</v>
      </c>
      <c r="C631" t="s">
        <v>2763</v>
      </c>
      <c r="D631" t="s">
        <v>2708</v>
      </c>
      <c r="E631" t="s">
        <v>716</v>
      </c>
      <c r="F631" s="11">
        <v>46311.416666666664</v>
      </c>
      <c r="G631">
        <v>4</v>
      </c>
      <c r="H631" t="s">
        <v>3135</v>
      </c>
      <c r="I631" t="s">
        <v>3136</v>
      </c>
      <c r="J631" t="str">
        <f>IF(ISNUMBER(SEARCH("registro de pre",tEditais[[#This Row],[Objeto]])),"Sim","Não")</f>
        <v>Não</v>
      </c>
      <c r="K631" s="4">
        <f>COUNTIFS(tItens[Edital],tEditais[[#This Row],[Edital]])</f>
        <v>1</v>
      </c>
      <c r="L631" s="4">
        <f>COUNTIFS(tItens[Edital],tEditais[[#This Row],[Edital]],tItens[Foco],"Sim")</f>
        <v>0</v>
      </c>
      <c r="M631" s="8">
        <f>SUMIFS(tItens[Valor],tItens[Edital],tEditais[[#This Row],[Edital]])</f>
        <v>0</v>
      </c>
      <c r="N631" s="8">
        <f>SUMIFS(tItens[Valor homologado],tItens[Edital],tEditais[[#This Row],[Edital]],tItens[Foco],"Sim")</f>
        <v>0</v>
      </c>
      <c r="O631" t="str">
        <f>IF(tEditais[[#This Row],[Itens do foco]]=0,"",IF(tEditais[[#This Row],[Valor foco homologado]]&lt;=0,"Sem valor",IF(tEditais[[#This Row],[Valor foco homologado]]&gt;=FaixaA_Min,"A",IF(tEditais[[#This Row],[Valor foco homologado]]&gt;=FaixaB_Min,"B","C"))))</f>
        <v/>
      </c>
      <c r="P631" t="str">
        <f ca="1">IF(tEditais[[#This Row],[Encerramento]]&gt;NOW(),"Aberto","Encerrado")</f>
        <v>Aberto</v>
      </c>
    </row>
    <row r="632" spans="1:16" x14ac:dyDescent="0.25">
      <c r="A632" t="s">
        <v>3137</v>
      </c>
      <c r="B632" t="s">
        <v>1089</v>
      </c>
      <c r="C632" t="s">
        <v>2763</v>
      </c>
      <c r="D632" t="s">
        <v>2708</v>
      </c>
      <c r="E632" t="s">
        <v>716</v>
      </c>
      <c r="F632" s="11">
        <v>46311.416666666664</v>
      </c>
      <c r="G632">
        <v>5</v>
      </c>
      <c r="H632" t="s">
        <v>3138</v>
      </c>
      <c r="I632" t="s">
        <v>3139</v>
      </c>
      <c r="J632" t="str">
        <f>IF(ISNUMBER(SEARCH("registro de pre",tEditais[[#This Row],[Objeto]])),"Sim","Não")</f>
        <v>Não</v>
      </c>
      <c r="K632" s="4">
        <f>COUNTIFS(tItens[Edital],tEditais[[#This Row],[Edital]])</f>
        <v>1</v>
      </c>
      <c r="L632" s="4">
        <f>COUNTIFS(tItens[Edital],tEditais[[#This Row],[Edital]],tItens[Foco],"Sim")</f>
        <v>0</v>
      </c>
      <c r="M632" s="8">
        <f>SUMIFS(tItens[Valor],tItens[Edital],tEditais[[#This Row],[Edital]])</f>
        <v>0</v>
      </c>
      <c r="N632" s="8">
        <f>SUMIFS(tItens[Valor homologado],tItens[Edital],tEditais[[#This Row],[Edital]],tItens[Foco],"Sim")</f>
        <v>0</v>
      </c>
      <c r="O632" t="str">
        <f>IF(tEditais[[#This Row],[Itens do foco]]=0,"",IF(tEditais[[#This Row],[Valor foco homologado]]&lt;=0,"Sem valor",IF(tEditais[[#This Row],[Valor foco homologado]]&gt;=FaixaA_Min,"A",IF(tEditais[[#This Row],[Valor foco homologado]]&gt;=FaixaB_Min,"B","C"))))</f>
        <v/>
      </c>
      <c r="P632" t="str">
        <f ca="1">IF(tEditais[[#This Row],[Encerramento]]&gt;NOW(),"Aberto","Encerrado")</f>
        <v>Aberto</v>
      </c>
    </row>
    <row r="633" spans="1:16" x14ac:dyDescent="0.25">
      <c r="A633" t="s">
        <v>3140</v>
      </c>
      <c r="B633" t="s">
        <v>1089</v>
      </c>
      <c r="C633" t="s">
        <v>2716</v>
      </c>
      <c r="D633" t="s">
        <v>2708</v>
      </c>
      <c r="E633" t="s">
        <v>716</v>
      </c>
      <c r="F633" s="11">
        <v>46314.333333333336</v>
      </c>
      <c r="G633">
        <v>11</v>
      </c>
      <c r="H633" t="s">
        <v>3141</v>
      </c>
      <c r="I633" t="s">
        <v>3142</v>
      </c>
      <c r="J633" t="str">
        <f>IF(ISNUMBER(SEARCH("registro de pre",tEditais[[#This Row],[Objeto]])),"Sim","Não")</f>
        <v>Não</v>
      </c>
      <c r="K633" s="4">
        <f>COUNTIFS(tItens[Edital],tEditais[[#This Row],[Edital]])</f>
        <v>5</v>
      </c>
      <c r="L633" s="4">
        <f>COUNTIFS(tItens[Edital],tEditais[[#This Row],[Edital]],tItens[Foco],"Sim")</f>
        <v>0</v>
      </c>
      <c r="M633" s="8">
        <f>SUMIFS(tItens[Valor],tItens[Edital],tEditais[[#This Row],[Edital]])</f>
        <v>0</v>
      </c>
      <c r="N633" s="8">
        <f>SUMIFS(tItens[Valor homologado],tItens[Edital],tEditais[[#This Row],[Edital]],tItens[Foco],"Sim")</f>
        <v>0</v>
      </c>
      <c r="O633" t="str">
        <f>IF(tEditais[[#This Row],[Itens do foco]]=0,"",IF(tEditais[[#This Row],[Valor foco homologado]]&lt;=0,"Sem valor",IF(tEditais[[#This Row],[Valor foco homologado]]&gt;=FaixaA_Min,"A",IF(tEditais[[#This Row],[Valor foco homologado]]&gt;=FaixaB_Min,"B","C"))))</f>
        <v/>
      </c>
      <c r="P633" t="str">
        <f ca="1">IF(tEditais[[#This Row],[Encerramento]]&gt;NOW(),"Aberto","Encerrado")</f>
        <v>Aberto</v>
      </c>
    </row>
    <row r="634" spans="1:16" x14ac:dyDescent="0.25">
      <c r="A634" t="s">
        <v>3143</v>
      </c>
      <c r="B634" t="s">
        <v>1933</v>
      </c>
      <c r="C634" t="s">
        <v>2823</v>
      </c>
      <c r="D634" t="s">
        <v>2708</v>
      </c>
      <c r="E634" t="s">
        <v>716</v>
      </c>
      <c r="F634" s="11">
        <v>46314.333333333336</v>
      </c>
      <c r="G634">
        <v>285</v>
      </c>
      <c r="H634" t="s">
        <v>3144</v>
      </c>
      <c r="I634" t="s">
        <v>3145</v>
      </c>
      <c r="J634" t="str">
        <f>IF(ISNUMBER(SEARCH("registro de pre",tEditais[[#This Row],[Objeto]])),"Sim","Não")</f>
        <v>Não</v>
      </c>
      <c r="K634" s="4">
        <f>COUNTIFS(tItens[Edital],tEditais[[#This Row],[Edital]])</f>
        <v>2</v>
      </c>
      <c r="L634" s="4">
        <f>COUNTIFS(tItens[Edital],tEditais[[#This Row],[Edital]],tItens[Foco],"Sim")</f>
        <v>0</v>
      </c>
      <c r="M634" s="8">
        <f>SUMIFS(tItens[Valor],tItens[Edital],tEditais[[#This Row],[Edital]])</f>
        <v>4914</v>
      </c>
      <c r="N634" s="8">
        <f>SUMIFS(tItens[Valor homologado],tItens[Edital],tEditais[[#This Row],[Edital]],tItens[Foco],"Sim")</f>
        <v>0</v>
      </c>
      <c r="O634" t="str">
        <f>IF(tEditais[[#This Row],[Itens do foco]]=0,"",IF(tEditais[[#This Row],[Valor foco homologado]]&lt;=0,"Sem valor",IF(tEditais[[#This Row],[Valor foco homologado]]&gt;=FaixaA_Min,"A",IF(tEditais[[#This Row],[Valor foco homologado]]&gt;=FaixaB_Min,"B","C"))))</f>
        <v/>
      </c>
      <c r="P634" t="str">
        <f ca="1">IF(tEditais[[#This Row],[Encerramento]]&gt;NOW(),"Aberto","Encerrado")</f>
        <v>Aberto</v>
      </c>
    </row>
    <row r="635" spans="1:16" x14ac:dyDescent="0.25">
      <c r="A635" t="s">
        <v>3146</v>
      </c>
      <c r="B635" t="s">
        <v>1089</v>
      </c>
      <c r="C635" t="s">
        <v>2763</v>
      </c>
      <c r="D635" t="s">
        <v>2708</v>
      </c>
      <c r="E635" t="s">
        <v>716</v>
      </c>
      <c r="F635" s="11">
        <v>46314.333333333336</v>
      </c>
      <c r="G635">
        <v>3</v>
      </c>
      <c r="H635" t="s">
        <v>3147</v>
      </c>
      <c r="I635" t="s">
        <v>3148</v>
      </c>
      <c r="J635" t="str">
        <f>IF(ISNUMBER(SEARCH("registro de pre",tEditais[[#This Row],[Objeto]])),"Sim","Não")</f>
        <v>Não</v>
      </c>
      <c r="K635" s="4">
        <f>COUNTIFS(tItens[Edital],tEditais[[#This Row],[Edital]])</f>
        <v>2</v>
      </c>
      <c r="L635" s="4">
        <f>COUNTIFS(tItens[Edital],tEditais[[#This Row],[Edital]],tItens[Foco],"Sim")</f>
        <v>0</v>
      </c>
      <c r="M635" s="8">
        <f>SUMIFS(tItens[Valor],tItens[Edital],tEditais[[#This Row],[Edital]])</f>
        <v>0</v>
      </c>
      <c r="N635" s="8">
        <f>SUMIFS(tItens[Valor homologado],tItens[Edital],tEditais[[#This Row],[Edital]],tItens[Foco],"Sim")</f>
        <v>0</v>
      </c>
      <c r="O635" t="str">
        <f>IF(tEditais[[#This Row],[Itens do foco]]=0,"",IF(tEditais[[#This Row],[Valor foco homologado]]&lt;=0,"Sem valor",IF(tEditais[[#This Row],[Valor foco homologado]]&gt;=FaixaA_Min,"A",IF(tEditais[[#This Row],[Valor foco homologado]]&gt;=FaixaB_Min,"B","C"))))</f>
        <v/>
      </c>
      <c r="P635" t="str">
        <f ca="1">IF(tEditais[[#This Row],[Encerramento]]&gt;NOW(),"Aberto","Encerrado")</f>
        <v>Aberto</v>
      </c>
    </row>
    <row r="636" spans="1:16" x14ac:dyDescent="0.25">
      <c r="A636" t="s">
        <v>3149</v>
      </c>
      <c r="B636" t="s">
        <v>1089</v>
      </c>
      <c r="C636" t="s">
        <v>2763</v>
      </c>
      <c r="D636" t="s">
        <v>2708</v>
      </c>
      <c r="E636" t="s">
        <v>716</v>
      </c>
      <c r="F636" s="11">
        <v>46314.333333333336</v>
      </c>
      <c r="G636">
        <v>1</v>
      </c>
      <c r="H636" t="s">
        <v>3150</v>
      </c>
      <c r="I636" t="s">
        <v>3151</v>
      </c>
      <c r="J636" t="str">
        <f>IF(ISNUMBER(SEARCH("registro de pre",tEditais[[#This Row],[Objeto]])),"Sim","Não")</f>
        <v>Não</v>
      </c>
      <c r="K636" s="4">
        <f>COUNTIFS(tItens[Edital],tEditais[[#This Row],[Edital]])</f>
        <v>1</v>
      </c>
      <c r="L636" s="4">
        <f>COUNTIFS(tItens[Edital],tEditais[[#This Row],[Edital]],tItens[Foco],"Sim")</f>
        <v>0</v>
      </c>
      <c r="M636" s="8">
        <f>SUMIFS(tItens[Valor],tItens[Edital],tEditais[[#This Row],[Edital]])</f>
        <v>0</v>
      </c>
      <c r="N636" s="8">
        <f>SUMIFS(tItens[Valor homologado],tItens[Edital],tEditais[[#This Row],[Edital]],tItens[Foco],"Sim")</f>
        <v>0</v>
      </c>
      <c r="O636" t="str">
        <f>IF(tEditais[[#This Row],[Itens do foco]]=0,"",IF(tEditais[[#This Row],[Valor foco homologado]]&lt;=0,"Sem valor",IF(tEditais[[#This Row],[Valor foco homologado]]&gt;=FaixaA_Min,"A",IF(tEditais[[#This Row],[Valor foco homologado]]&gt;=FaixaB_Min,"B","C"))))</f>
        <v/>
      </c>
      <c r="P636" t="str">
        <f ca="1">IF(tEditais[[#This Row],[Encerramento]]&gt;NOW(),"Aberto","Encerrado")</f>
        <v>Aberto</v>
      </c>
    </row>
    <row r="637" spans="1:16" x14ac:dyDescent="0.25">
      <c r="A637" t="s">
        <v>3152</v>
      </c>
      <c r="B637" t="s">
        <v>3153</v>
      </c>
      <c r="C637" t="s">
        <v>3154</v>
      </c>
      <c r="D637" t="s">
        <v>2708</v>
      </c>
      <c r="E637" t="s">
        <v>716</v>
      </c>
      <c r="F637" s="11">
        <v>46314.333333333336</v>
      </c>
      <c r="G637">
        <v>57</v>
      </c>
      <c r="H637" t="s">
        <v>3155</v>
      </c>
      <c r="I637" t="s">
        <v>3156</v>
      </c>
      <c r="J637" t="str">
        <f>IF(ISNUMBER(SEARCH("registro de pre",tEditais[[#This Row],[Objeto]])),"Sim","Não")</f>
        <v>Sim</v>
      </c>
      <c r="K637" s="4">
        <f>COUNTIFS(tItens[Edital],tEditais[[#This Row],[Edital]])</f>
        <v>15</v>
      </c>
      <c r="L637" s="4">
        <f>COUNTIFS(tItens[Edital],tEditais[[#This Row],[Edital]],tItens[Foco],"Sim")</f>
        <v>2</v>
      </c>
      <c r="M637" s="8">
        <f>SUMIFS(tItens[Valor],tItens[Edital],tEditais[[#This Row],[Edital]])</f>
        <v>1418066.5</v>
      </c>
      <c r="N637" s="8">
        <f>SUMIFS(tItens[Valor homologado],tItens[Edital],tEditais[[#This Row],[Edital]],tItens[Foco],"Sim")</f>
        <v>37682.719999999994</v>
      </c>
      <c r="O637" t="str">
        <f>IF(tEditais[[#This Row],[Itens do foco]]=0,"",IF(tEditais[[#This Row],[Valor foco homologado]]&lt;=0,"Sem valor",IF(tEditais[[#This Row],[Valor foco homologado]]&gt;=FaixaA_Min,"A",IF(tEditais[[#This Row],[Valor foco homologado]]&gt;=FaixaB_Min,"B","C"))))</f>
        <v>C</v>
      </c>
      <c r="P637" t="str">
        <f ca="1">IF(tEditais[[#This Row],[Encerramento]]&gt;NOW(),"Aberto","Encerrado")</f>
        <v>Aberto</v>
      </c>
    </row>
    <row r="638" spans="1:16" x14ac:dyDescent="0.25">
      <c r="A638" t="s">
        <v>3157</v>
      </c>
      <c r="B638" t="s">
        <v>3158</v>
      </c>
      <c r="C638" t="s">
        <v>3159</v>
      </c>
      <c r="D638" t="s">
        <v>2708</v>
      </c>
      <c r="E638" t="s">
        <v>716</v>
      </c>
      <c r="F638" s="11">
        <v>46314.333333333336</v>
      </c>
      <c r="G638">
        <v>72</v>
      </c>
      <c r="I638" t="s">
        <v>3160</v>
      </c>
      <c r="J638" t="str">
        <f>IF(ISNUMBER(SEARCH("registro de pre",tEditais[[#This Row],[Objeto]])),"Sim","Não")</f>
        <v>Sim</v>
      </c>
      <c r="K638" s="4">
        <f>COUNTIFS(tItens[Edital],tEditais[[#This Row],[Edital]])</f>
        <v>6</v>
      </c>
      <c r="L638" s="4">
        <f>COUNTIFS(tItens[Edital],tEditais[[#This Row],[Edital]],tItens[Foco],"Sim")</f>
        <v>1</v>
      </c>
      <c r="M638" s="8">
        <f>SUMIFS(tItens[Valor],tItens[Edital],tEditais[[#This Row],[Edital]])</f>
        <v>10234.799999999999</v>
      </c>
      <c r="N638" s="8">
        <f>SUMIFS(tItens[Valor homologado],tItens[Edital],tEditais[[#This Row],[Edital]],tItens[Foco],"Sim")</f>
        <v>214.32000000000002</v>
      </c>
      <c r="O638" t="str">
        <f>IF(tEditais[[#This Row],[Itens do foco]]=0,"",IF(tEditais[[#This Row],[Valor foco homologado]]&lt;=0,"Sem valor",IF(tEditais[[#This Row],[Valor foco homologado]]&gt;=FaixaA_Min,"A",IF(tEditais[[#This Row],[Valor foco homologado]]&gt;=FaixaB_Min,"B","C"))))</f>
        <v>C</v>
      </c>
      <c r="P638" t="str">
        <f ca="1">IF(tEditais[[#This Row],[Encerramento]]&gt;NOW(),"Aberto","Encerrado")</f>
        <v>Aberto</v>
      </c>
    </row>
    <row r="639" spans="1:16" x14ac:dyDescent="0.25">
      <c r="A639" t="s">
        <v>3161</v>
      </c>
      <c r="B639" t="s">
        <v>3162</v>
      </c>
      <c r="C639" t="s">
        <v>3163</v>
      </c>
      <c r="D639" t="s">
        <v>2708</v>
      </c>
      <c r="E639" t="s">
        <v>716</v>
      </c>
      <c r="F639" s="11">
        <v>46314.333333333336</v>
      </c>
      <c r="G639">
        <v>26</v>
      </c>
      <c r="H639" t="s">
        <v>3164</v>
      </c>
      <c r="I639" t="s">
        <v>3165</v>
      </c>
      <c r="J639" t="str">
        <f>IF(ISNUMBER(SEARCH("registro de pre",tEditais[[#This Row],[Objeto]])),"Sim","Não")</f>
        <v>Não</v>
      </c>
      <c r="K639" s="4">
        <f>COUNTIFS(tItens[Edital],tEditais[[#This Row],[Edital]])</f>
        <v>1</v>
      </c>
      <c r="L639" s="4">
        <f>COUNTIFS(tItens[Edital],tEditais[[#This Row],[Edital]],tItens[Foco],"Sim")</f>
        <v>0</v>
      </c>
      <c r="M639" s="8">
        <f>SUMIFS(tItens[Valor],tItens[Edital],tEditais[[#This Row],[Edital]])</f>
        <v>5761.32</v>
      </c>
      <c r="N639" s="8">
        <f>SUMIFS(tItens[Valor homologado],tItens[Edital],tEditais[[#This Row],[Edital]],tItens[Foco],"Sim")</f>
        <v>0</v>
      </c>
      <c r="O639" t="str">
        <f>IF(tEditais[[#This Row],[Itens do foco]]=0,"",IF(tEditais[[#This Row],[Valor foco homologado]]&lt;=0,"Sem valor",IF(tEditais[[#This Row],[Valor foco homologado]]&gt;=FaixaA_Min,"A",IF(tEditais[[#This Row],[Valor foco homologado]]&gt;=FaixaB_Min,"B","C"))))</f>
        <v/>
      </c>
      <c r="P639" t="str">
        <f ca="1">IF(tEditais[[#This Row],[Encerramento]]&gt;NOW(),"Aberto","Encerrado")</f>
        <v>Aberto</v>
      </c>
    </row>
    <row r="640" spans="1:16" x14ac:dyDescent="0.25">
      <c r="A640" t="s">
        <v>3166</v>
      </c>
      <c r="B640" t="s">
        <v>1089</v>
      </c>
      <c r="C640" t="s">
        <v>2763</v>
      </c>
      <c r="D640" t="s">
        <v>2708</v>
      </c>
      <c r="E640" t="s">
        <v>716</v>
      </c>
      <c r="F640" s="11">
        <v>46314.333333333336</v>
      </c>
      <c r="G640">
        <v>5</v>
      </c>
      <c r="H640" t="s">
        <v>3167</v>
      </c>
      <c r="I640" t="s">
        <v>3168</v>
      </c>
      <c r="J640" t="str">
        <f>IF(ISNUMBER(SEARCH("registro de pre",tEditais[[#This Row],[Objeto]])),"Sim","Não")</f>
        <v>Não</v>
      </c>
      <c r="K640" s="4">
        <f>COUNTIFS(tItens[Edital],tEditais[[#This Row],[Edital]])</f>
        <v>3</v>
      </c>
      <c r="L640" s="4">
        <f>COUNTIFS(tItens[Edital],tEditais[[#This Row],[Edital]],tItens[Foco],"Sim")</f>
        <v>0</v>
      </c>
      <c r="M640" s="8">
        <f>SUMIFS(tItens[Valor],tItens[Edital],tEditais[[#This Row],[Edital]])</f>
        <v>0</v>
      </c>
      <c r="N640" s="8">
        <f>SUMIFS(tItens[Valor homologado],tItens[Edital],tEditais[[#This Row],[Edital]],tItens[Foco],"Sim")</f>
        <v>0</v>
      </c>
      <c r="O640" t="str">
        <f>IF(tEditais[[#This Row],[Itens do foco]]=0,"",IF(tEditais[[#This Row],[Valor foco homologado]]&lt;=0,"Sem valor",IF(tEditais[[#This Row],[Valor foco homologado]]&gt;=FaixaA_Min,"A",IF(tEditais[[#This Row],[Valor foco homologado]]&gt;=FaixaB_Min,"B","C"))))</f>
        <v/>
      </c>
      <c r="P640" t="str">
        <f ca="1">IF(tEditais[[#This Row],[Encerramento]]&gt;NOW(),"Aberto","Encerrado")</f>
        <v>Aberto</v>
      </c>
    </row>
    <row r="641" spans="1:16" x14ac:dyDescent="0.25">
      <c r="A641" t="s">
        <v>3169</v>
      </c>
      <c r="B641" t="s">
        <v>3002</v>
      </c>
      <c r="C641" t="s">
        <v>2763</v>
      </c>
      <c r="D641" t="s">
        <v>2708</v>
      </c>
      <c r="E641" t="s">
        <v>716</v>
      </c>
      <c r="F641" s="11">
        <v>46314.333333333336</v>
      </c>
      <c r="G641">
        <v>38</v>
      </c>
      <c r="H641" t="s">
        <v>3170</v>
      </c>
      <c r="I641" t="s">
        <v>3171</v>
      </c>
      <c r="J641" t="str">
        <f>IF(ISNUMBER(SEARCH("registro de pre",tEditais[[#This Row],[Objeto]])),"Sim","Não")</f>
        <v>Não</v>
      </c>
      <c r="K641" s="4">
        <f>COUNTIFS(tItens[Edital],tEditais[[#This Row],[Edital]])</f>
        <v>6</v>
      </c>
      <c r="L641" s="4">
        <f>COUNTIFS(tItens[Edital],tEditais[[#This Row],[Edital]],tItens[Foco],"Sim")</f>
        <v>0</v>
      </c>
      <c r="M641" s="8">
        <f>SUMIFS(tItens[Valor],tItens[Edital],tEditais[[#This Row],[Edital]])</f>
        <v>1572.53</v>
      </c>
      <c r="N641" s="8">
        <f>SUMIFS(tItens[Valor homologado],tItens[Edital],tEditais[[#This Row],[Edital]],tItens[Foco],"Sim")</f>
        <v>0</v>
      </c>
      <c r="O641" t="str">
        <f>IF(tEditais[[#This Row],[Itens do foco]]=0,"",IF(tEditais[[#This Row],[Valor foco homologado]]&lt;=0,"Sem valor",IF(tEditais[[#This Row],[Valor foco homologado]]&gt;=FaixaA_Min,"A",IF(tEditais[[#This Row],[Valor foco homologado]]&gt;=FaixaB_Min,"B","C"))))</f>
        <v/>
      </c>
      <c r="P641" t="str">
        <f ca="1">IF(tEditais[[#This Row],[Encerramento]]&gt;NOW(),"Aberto","Encerrado")</f>
        <v>Aberto</v>
      </c>
    </row>
    <row r="642" spans="1:16" x14ac:dyDescent="0.25">
      <c r="A642" t="s">
        <v>3172</v>
      </c>
      <c r="B642" t="s">
        <v>3062</v>
      </c>
      <c r="C642" t="s">
        <v>3063</v>
      </c>
      <c r="D642" t="s">
        <v>2708</v>
      </c>
      <c r="E642" t="s">
        <v>716</v>
      </c>
      <c r="F642" s="11">
        <v>46314.333333333336</v>
      </c>
      <c r="G642">
        <v>4</v>
      </c>
      <c r="I642" t="s">
        <v>3173</v>
      </c>
      <c r="J642" t="str">
        <f>IF(ISNUMBER(SEARCH("registro de pre",tEditais[[#This Row],[Objeto]])),"Sim","Não")</f>
        <v>Não</v>
      </c>
      <c r="K642" s="4">
        <f>COUNTIFS(tItens[Edital],tEditais[[#This Row],[Edital]])</f>
        <v>4</v>
      </c>
      <c r="L642" s="4">
        <f>COUNTIFS(tItens[Edital],tEditais[[#This Row],[Edital]],tItens[Foco],"Sim")</f>
        <v>0</v>
      </c>
      <c r="M642" s="8">
        <f>SUMIFS(tItens[Valor],tItens[Edital],tEditais[[#This Row],[Edital]])</f>
        <v>64905</v>
      </c>
      <c r="N642" s="8">
        <f>SUMIFS(tItens[Valor homologado],tItens[Edital],tEditais[[#This Row],[Edital]],tItens[Foco],"Sim")</f>
        <v>0</v>
      </c>
      <c r="O642" t="str">
        <f>IF(tEditais[[#This Row],[Itens do foco]]=0,"",IF(tEditais[[#This Row],[Valor foco homologado]]&lt;=0,"Sem valor",IF(tEditais[[#This Row],[Valor foco homologado]]&gt;=FaixaA_Min,"A",IF(tEditais[[#This Row],[Valor foco homologado]]&gt;=FaixaB_Min,"B","C"))))</f>
        <v/>
      </c>
      <c r="P642" t="str">
        <f ca="1">IF(tEditais[[#This Row],[Encerramento]]&gt;NOW(),"Aberto","Encerrado")</f>
        <v>Aberto</v>
      </c>
    </row>
    <row r="643" spans="1:16" x14ac:dyDescent="0.25">
      <c r="A643" t="s">
        <v>3174</v>
      </c>
      <c r="B643" t="s">
        <v>3175</v>
      </c>
      <c r="C643" t="s">
        <v>3176</v>
      </c>
      <c r="D643" t="s">
        <v>2708</v>
      </c>
      <c r="E643" t="s">
        <v>716</v>
      </c>
      <c r="F643" s="11">
        <v>46314.374305555553</v>
      </c>
      <c r="G643">
        <v>2</v>
      </c>
      <c r="I643" t="s">
        <v>3177</v>
      </c>
      <c r="J643" t="str">
        <f>IF(ISNUMBER(SEARCH("registro de pre",tEditais[[#This Row],[Objeto]])),"Sim","Não")</f>
        <v>Sim</v>
      </c>
      <c r="K643" s="4">
        <f>COUNTIFS(tItens[Edital],tEditais[[#This Row],[Edital]])</f>
        <v>1</v>
      </c>
      <c r="L643" s="4">
        <f>COUNTIFS(tItens[Edital],tEditais[[#This Row],[Edital]],tItens[Foco],"Sim")</f>
        <v>0</v>
      </c>
      <c r="M643" s="8">
        <f>SUMIFS(tItens[Valor],tItens[Edital],tEditais[[#This Row],[Edital]])</f>
        <v>17780</v>
      </c>
      <c r="N643" s="8">
        <f>SUMIFS(tItens[Valor homologado],tItens[Edital],tEditais[[#This Row],[Edital]],tItens[Foco],"Sim")</f>
        <v>0</v>
      </c>
      <c r="O643" t="str">
        <f>IF(tEditais[[#This Row],[Itens do foco]]=0,"",IF(tEditais[[#This Row],[Valor foco homologado]]&lt;=0,"Sem valor",IF(tEditais[[#This Row],[Valor foco homologado]]&gt;=FaixaA_Min,"A",IF(tEditais[[#This Row],[Valor foco homologado]]&gt;=FaixaB_Min,"B","C"))))</f>
        <v/>
      </c>
      <c r="P643" t="str">
        <f ca="1">IF(tEditais[[#This Row],[Encerramento]]&gt;NOW(),"Aberto","Encerrado")</f>
        <v>Aberto</v>
      </c>
    </row>
    <row r="644" spans="1:16" x14ac:dyDescent="0.25">
      <c r="A644" t="s">
        <v>3178</v>
      </c>
      <c r="B644" t="s">
        <v>1089</v>
      </c>
      <c r="C644" t="s">
        <v>2763</v>
      </c>
      <c r="D644" t="s">
        <v>2708</v>
      </c>
      <c r="E644" t="s">
        <v>716</v>
      </c>
      <c r="F644" s="11">
        <v>46314.374305555553</v>
      </c>
      <c r="G644">
        <v>2</v>
      </c>
      <c r="H644" t="s">
        <v>3179</v>
      </c>
      <c r="I644" t="s">
        <v>3180</v>
      </c>
      <c r="J644" t="str">
        <f>IF(ISNUMBER(SEARCH("registro de pre",tEditais[[#This Row],[Objeto]])),"Sim","Não")</f>
        <v>Não</v>
      </c>
      <c r="K644" s="4">
        <f>COUNTIFS(tItens[Edital],tEditais[[#This Row],[Edital]])</f>
        <v>1</v>
      </c>
      <c r="L644" s="4">
        <f>COUNTIFS(tItens[Edital],tEditais[[#This Row],[Edital]],tItens[Foco],"Sim")</f>
        <v>0</v>
      </c>
      <c r="M644" s="8">
        <f>SUMIFS(tItens[Valor],tItens[Edital],tEditais[[#This Row],[Edital]])</f>
        <v>0</v>
      </c>
      <c r="N644" s="8">
        <f>SUMIFS(tItens[Valor homologado],tItens[Edital],tEditais[[#This Row],[Edital]],tItens[Foco],"Sim")</f>
        <v>0</v>
      </c>
      <c r="O644" t="str">
        <f>IF(tEditais[[#This Row],[Itens do foco]]=0,"",IF(tEditais[[#This Row],[Valor foco homologado]]&lt;=0,"Sem valor",IF(tEditais[[#This Row],[Valor foco homologado]]&gt;=FaixaA_Min,"A",IF(tEditais[[#This Row],[Valor foco homologado]]&gt;=FaixaB_Min,"B","C"))))</f>
        <v/>
      </c>
      <c r="P644" t="str">
        <f ca="1">IF(tEditais[[#This Row],[Encerramento]]&gt;NOW(),"Aberto","Encerrado")</f>
        <v>Aberto</v>
      </c>
    </row>
    <row r="645" spans="1:16" x14ac:dyDescent="0.25">
      <c r="A645" t="s">
        <v>3181</v>
      </c>
      <c r="B645" t="s">
        <v>1089</v>
      </c>
      <c r="C645" t="s">
        <v>2807</v>
      </c>
      <c r="D645" t="s">
        <v>2708</v>
      </c>
      <c r="E645" t="s">
        <v>716</v>
      </c>
      <c r="F645" s="11">
        <v>46314.375</v>
      </c>
      <c r="G645">
        <v>1</v>
      </c>
      <c r="H645" t="s">
        <v>3182</v>
      </c>
      <c r="I645" t="s">
        <v>3183</v>
      </c>
      <c r="J645" t="str">
        <f>IF(ISNUMBER(SEARCH("registro de pre",tEditais[[#This Row],[Objeto]])),"Sim","Não")</f>
        <v>Não</v>
      </c>
      <c r="K645" s="4">
        <f>COUNTIFS(tItens[Edital],tEditais[[#This Row],[Edital]])</f>
        <v>1</v>
      </c>
      <c r="L645" s="4">
        <f>COUNTIFS(tItens[Edital],tEditais[[#This Row],[Edital]],tItens[Foco],"Sim")</f>
        <v>0</v>
      </c>
      <c r="M645" s="8">
        <f>SUMIFS(tItens[Valor],tItens[Edital],tEditais[[#This Row],[Edital]])</f>
        <v>0</v>
      </c>
      <c r="N645" s="8">
        <f>SUMIFS(tItens[Valor homologado],tItens[Edital],tEditais[[#This Row],[Edital]],tItens[Foco],"Sim")</f>
        <v>0</v>
      </c>
      <c r="O645" t="str">
        <f>IF(tEditais[[#This Row],[Itens do foco]]=0,"",IF(tEditais[[#This Row],[Valor foco homologado]]&lt;=0,"Sem valor",IF(tEditais[[#This Row],[Valor foco homologado]]&gt;=FaixaA_Min,"A",IF(tEditais[[#This Row],[Valor foco homologado]]&gt;=FaixaB_Min,"B","C"))))</f>
        <v/>
      </c>
      <c r="P645" t="str">
        <f ca="1">IF(tEditais[[#This Row],[Encerramento]]&gt;NOW(),"Aberto","Encerrado")</f>
        <v>Aberto</v>
      </c>
    </row>
    <row r="646" spans="1:16" x14ac:dyDescent="0.25">
      <c r="A646" t="s">
        <v>3184</v>
      </c>
      <c r="B646" t="s">
        <v>2927</v>
      </c>
      <c r="C646" t="s">
        <v>2928</v>
      </c>
      <c r="D646" t="s">
        <v>2708</v>
      </c>
      <c r="E646" t="s">
        <v>716</v>
      </c>
      <c r="F646" s="11">
        <v>46314.375</v>
      </c>
      <c r="G646">
        <v>2</v>
      </c>
      <c r="H646" t="s">
        <v>3185</v>
      </c>
      <c r="I646" t="s">
        <v>3186</v>
      </c>
      <c r="J646" t="str">
        <f>IF(ISNUMBER(SEARCH("registro de pre",tEditais[[#This Row],[Objeto]])),"Sim","Não")</f>
        <v>Sim</v>
      </c>
      <c r="K646" s="4">
        <f>COUNTIFS(tItens[Edital],tEditais[[#This Row],[Edital]])</f>
        <v>2</v>
      </c>
      <c r="L646" s="4">
        <f>COUNTIFS(tItens[Edital],tEditais[[#This Row],[Edital]],tItens[Foco],"Sim")</f>
        <v>0</v>
      </c>
      <c r="M646" s="8">
        <f>SUMIFS(tItens[Valor],tItens[Edital],tEditais[[#This Row],[Edital]])</f>
        <v>0</v>
      </c>
      <c r="N646" s="8">
        <f>SUMIFS(tItens[Valor homologado],tItens[Edital],tEditais[[#This Row],[Edital]],tItens[Foco],"Sim")</f>
        <v>0</v>
      </c>
      <c r="O646" t="str">
        <f>IF(tEditais[[#This Row],[Itens do foco]]=0,"",IF(tEditais[[#This Row],[Valor foco homologado]]&lt;=0,"Sem valor",IF(tEditais[[#This Row],[Valor foco homologado]]&gt;=FaixaA_Min,"A",IF(tEditais[[#This Row],[Valor foco homologado]]&gt;=FaixaB_Min,"B","C"))))</f>
        <v/>
      </c>
      <c r="P646" t="str">
        <f ca="1">IF(tEditais[[#This Row],[Encerramento]]&gt;NOW(),"Aberto","Encerrado")</f>
        <v>Aberto</v>
      </c>
    </row>
    <row r="647" spans="1:16" x14ac:dyDescent="0.25">
      <c r="A647" t="s">
        <v>3187</v>
      </c>
      <c r="B647" t="s">
        <v>3188</v>
      </c>
      <c r="C647" t="s">
        <v>2845</v>
      </c>
      <c r="D647" t="s">
        <v>2708</v>
      </c>
      <c r="E647" t="s">
        <v>716</v>
      </c>
      <c r="F647" s="11">
        <v>46314.375</v>
      </c>
      <c r="G647">
        <v>20</v>
      </c>
      <c r="H647" t="s">
        <v>3189</v>
      </c>
      <c r="I647" t="s">
        <v>3190</v>
      </c>
      <c r="J647" t="str">
        <f>IF(ISNUMBER(SEARCH("registro de pre",tEditais[[#This Row],[Objeto]])),"Sim","Não")</f>
        <v>Sim</v>
      </c>
      <c r="K647" s="4">
        <f>COUNTIFS(tItens[Edital],tEditais[[#This Row],[Edital]])</f>
        <v>3</v>
      </c>
      <c r="L647" s="4">
        <f>COUNTIFS(tItens[Edital],tEditais[[#This Row],[Edital]],tItens[Foco],"Sim")</f>
        <v>1</v>
      </c>
      <c r="M647" s="8">
        <f>SUMIFS(tItens[Valor],tItens[Edital],tEditais[[#This Row],[Edital]])</f>
        <v>16438</v>
      </c>
      <c r="N647" s="8">
        <f>SUMIFS(tItens[Valor homologado],tItens[Edital],tEditais[[#This Row],[Edital]],tItens[Foco],"Sim")</f>
        <v>1739.9250000000002</v>
      </c>
      <c r="O647" t="str">
        <f>IF(tEditais[[#This Row],[Itens do foco]]=0,"",IF(tEditais[[#This Row],[Valor foco homologado]]&lt;=0,"Sem valor",IF(tEditais[[#This Row],[Valor foco homologado]]&gt;=FaixaA_Min,"A",IF(tEditais[[#This Row],[Valor foco homologado]]&gt;=FaixaB_Min,"B","C"))))</f>
        <v>C</v>
      </c>
      <c r="P647" t="str">
        <f ca="1">IF(tEditais[[#This Row],[Encerramento]]&gt;NOW(),"Aberto","Encerrado")</f>
        <v>Aberto</v>
      </c>
    </row>
    <row r="648" spans="1:16" x14ac:dyDescent="0.25">
      <c r="A648" t="s">
        <v>3191</v>
      </c>
      <c r="B648" t="s">
        <v>1089</v>
      </c>
      <c r="C648" t="s">
        <v>2707</v>
      </c>
      <c r="D648" t="s">
        <v>2708</v>
      </c>
      <c r="E648" t="s">
        <v>716</v>
      </c>
      <c r="F648" s="11">
        <v>46314.375</v>
      </c>
      <c r="G648">
        <v>25</v>
      </c>
      <c r="H648" t="s">
        <v>3192</v>
      </c>
      <c r="I648" t="s">
        <v>3193</v>
      </c>
      <c r="J648" t="str">
        <f>IF(ISNUMBER(SEARCH("registro de pre",tEditais[[#This Row],[Objeto]])),"Sim","Não")</f>
        <v>Não</v>
      </c>
      <c r="K648" s="4">
        <f>COUNTIFS(tItens[Edital],tEditais[[#This Row],[Edital]])</f>
        <v>8</v>
      </c>
      <c r="L648" s="4">
        <f>COUNTIFS(tItens[Edital],tEditais[[#This Row],[Edital]],tItens[Foco],"Sim")</f>
        <v>0</v>
      </c>
      <c r="M648" s="8">
        <f>SUMIFS(tItens[Valor],tItens[Edital],tEditais[[#This Row],[Edital]])</f>
        <v>0</v>
      </c>
      <c r="N648" s="8">
        <f>SUMIFS(tItens[Valor homologado],tItens[Edital],tEditais[[#This Row],[Edital]],tItens[Foco],"Sim")</f>
        <v>0</v>
      </c>
      <c r="O648" t="str">
        <f>IF(tEditais[[#This Row],[Itens do foco]]=0,"",IF(tEditais[[#This Row],[Valor foco homologado]]&lt;=0,"Sem valor",IF(tEditais[[#This Row],[Valor foco homologado]]&gt;=FaixaA_Min,"A",IF(tEditais[[#This Row],[Valor foco homologado]]&gt;=FaixaB_Min,"B","C"))))</f>
        <v/>
      </c>
      <c r="P648" t="str">
        <f ca="1">IF(tEditais[[#This Row],[Encerramento]]&gt;NOW(),"Aberto","Encerrado")</f>
        <v>Aberto</v>
      </c>
    </row>
    <row r="649" spans="1:16" x14ac:dyDescent="0.25">
      <c r="A649" t="s">
        <v>3194</v>
      </c>
      <c r="B649" t="s">
        <v>3002</v>
      </c>
      <c r="C649" t="s">
        <v>2763</v>
      </c>
      <c r="D649" t="s">
        <v>2708</v>
      </c>
      <c r="E649" t="s">
        <v>716</v>
      </c>
      <c r="F649" s="11">
        <v>46314.375</v>
      </c>
      <c r="G649">
        <v>39</v>
      </c>
      <c r="H649" t="s">
        <v>3195</v>
      </c>
      <c r="I649" t="s">
        <v>3196</v>
      </c>
      <c r="J649" t="str">
        <f>IF(ISNUMBER(SEARCH("registro de pre",tEditais[[#This Row],[Objeto]])),"Sim","Não")</f>
        <v>Não</v>
      </c>
      <c r="K649" s="4">
        <f>COUNTIFS(tItens[Edital],tEditais[[#This Row],[Edital]])</f>
        <v>10</v>
      </c>
      <c r="L649" s="4">
        <f>COUNTIFS(tItens[Edital],tEditais[[#This Row],[Edital]],tItens[Foco],"Sim")</f>
        <v>3</v>
      </c>
      <c r="M649" s="8">
        <f>SUMIFS(tItens[Valor],tItens[Edital],tEditais[[#This Row],[Edital]])</f>
        <v>11478.539999999999</v>
      </c>
      <c r="N649" s="8">
        <f>SUMIFS(tItens[Valor homologado],tItens[Edital],tEditais[[#This Row],[Edital]],tItens[Foco],"Sim")</f>
        <v>1390.3890000000001</v>
      </c>
      <c r="O649" t="str">
        <f>IF(tEditais[[#This Row],[Itens do foco]]=0,"",IF(tEditais[[#This Row],[Valor foco homologado]]&lt;=0,"Sem valor",IF(tEditais[[#This Row],[Valor foco homologado]]&gt;=FaixaA_Min,"A",IF(tEditais[[#This Row],[Valor foco homologado]]&gt;=FaixaB_Min,"B","C"))))</f>
        <v>C</v>
      </c>
      <c r="P649" t="str">
        <f ca="1">IF(tEditais[[#This Row],[Encerramento]]&gt;NOW(),"Aberto","Encerrado")</f>
        <v>Aberto</v>
      </c>
    </row>
    <row r="650" spans="1:16" x14ac:dyDescent="0.25">
      <c r="A650" t="s">
        <v>3197</v>
      </c>
      <c r="B650" t="s">
        <v>2787</v>
      </c>
      <c r="C650" t="s">
        <v>2788</v>
      </c>
      <c r="D650" t="s">
        <v>2708</v>
      </c>
      <c r="E650" t="s">
        <v>716</v>
      </c>
      <c r="F650" s="11">
        <v>46314.395833333336</v>
      </c>
      <c r="G650">
        <v>377</v>
      </c>
      <c r="H650" t="s">
        <v>3198</v>
      </c>
      <c r="I650" t="s">
        <v>3199</v>
      </c>
      <c r="J650" t="str">
        <f>IF(ISNUMBER(SEARCH("registro de pre",tEditais[[#This Row],[Objeto]])),"Sim","Não")</f>
        <v>Não</v>
      </c>
      <c r="K650" s="4">
        <f>COUNTIFS(tItens[Edital],tEditais[[#This Row],[Edital]])</f>
        <v>104</v>
      </c>
      <c r="L650" s="4">
        <f>COUNTIFS(tItens[Edital],tEditais[[#This Row],[Edital]],tItens[Foco],"Sim")</f>
        <v>24</v>
      </c>
      <c r="M650" s="8">
        <f>SUMIFS(tItens[Valor],tItens[Edital],tEditais[[#This Row],[Edital]])</f>
        <v>120249.9</v>
      </c>
      <c r="N650" s="8">
        <f>SUMIFS(tItens[Valor homologado],tItens[Edital],tEditais[[#This Row],[Edital]],tItens[Foco],"Sim")</f>
        <v>36190.685000000012</v>
      </c>
      <c r="O650" t="str">
        <f>IF(tEditais[[#This Row],[Itens do foco]]=0,"",IF(tEditais[[#This Row],[Valor foco homologado]]&lt;=0,"Sem valor",IF(tEditais[[#This Row],[Valor foco homologado]]&gt;=FaixaA_Min,"A",IF(tEditais[[#This Row],[Valor foco homologado]]&gt;=FaixaB_Min,"B","C"))))</f>
        <v>C</v>
      </c>
      <c r="P650" t="str">
        <f ca="1">IF(tEditais[[#This Row],[Encerramento]]&gt;NOW(),"Aberto","Encerrado")</f>
        <v>Aberto</v>
      </c>
    </row>
    <row r="651" spans="1:16" x14ac:dyDescent="0.25">
      <c r="A651" t="s">
        <v>3200</v>
      </c>
      <c r="B651" t="s">
        <v>3201</v>
      </c>
      <c r="C651" t="s">
        <v>3034</v>
      </c>
      <c r="D651" t="s">
        <v>2708</v>
      </c>
      <c r="E651" t="s">
        <v>716</v>
      </c>
      <c r="F651" s="11">
        <v>46314.416666666664</v>
      </c>
      <c r="G651">
        <v>3</v>
      </c>
      <c r="H651" t="s">
        <v>3202</v>
      </c>
      <c r="I651" t="s">
        <v>3203</v>
      </c>
      <c r="J651" t="str">
        <f>IF(ISNUMBER(SEARCH("registro de pre",tEditais[[#This Row],[Objeto]])),"Sim","Não")</f>
        <v>Sim</v>
      </c>
      <c r="K651" s="4">
        <f>COUNTIFS(tItens[Edital],tEditais[[#This Row],[Edital]])</f>
        <v>1</v>
      </c>
      <c r="L651" s="4">
        <f>COUNTIFS(tItens[Edital],tEditais[[#This Row],[Edital]],tItens[Foco],"Sim")</f>
        <v>0</v>
      </c>
      <c r="M651" s="8">
        <f>SUMIFS(tItens[Valor],tItens[Edital],tEditais[[#This Row],[Edital]])</f>
        <v>20121.600000000002</v>
      </c>
      <c r="N651" s="8">
        <f>SUMIFS(tItens[Valor homologado],tItens[Edital],tEditais[[#This Row],[Edital]],tItens[Foco],"Sim")</f>
        <v>0</v>
      </c>
      <c r="O651" t="str">
        <f>IF(tEditais[[#This Row],[Itens do foco]]=0,"",IF(tEditais[[#This Row],[Valor foco homologado]]&lt;=0,"Sem valor",IF(tEditais[[#This Row],[Valor foco homologado]]&gt;=FaixaA_Min,"A",IF(tEditais[[#This Row],[Valor foco homologado]]&gt;=FaixaB_Min,"B","C"))))</f>
        <v/>
      </c>
      <c r="P651" t="str">
        <f ca="1">IF(tEditais[[#This Row],[Encerramento]]&gt;NOW(),"Aberto","Encerrado")</f>
        <v>Aberto</v>
      </c>
    </row>
    <row r="652" spans="1:16" x14ac:dyDescent="0.25">
      <c r="A652" t="s">
        <v>3204</v>
      </c>
      <c r="B652" t="s">
        <v>3205</v>
      </c>
      <c r="C652" t="s">
        <v>3206</v>
      </c>
      <c r="D652" t="s">
        <v>2708</v>
      </c>
      <c r="E652" t="s">
        <v>716</v>
      </c>
      <c r="F652" s="11">
        <v>46314.520833333336</v>
      </c>
      <c r="G652">
        <v>19</v>
      </c>
      <c r="I652" t="s">
        <v>3207</v>
      </c>
      <c r="J652" t="str">
        <f>IF(ISNUMBER(SEARCH("registro de pre",tEditais[[#This Row],[Objeto]])),"Sim","Não")</f>
        <v>Sim</v>
      </c>
      <c r="K652" s="4">
        <f>COUNTIFS(tItens[Edital],tEditais[[#This Row],[Edital]])</f>
        <v>11</v>
      </c>
      <c r="L652" s="4">
        <f>COUNTIFS(tItens[Edital],tEditais[[#This Row],[Edital]],tItens[Foco],"Sim")</f>
        <v>0</v>
      </c>
      <c r="M652" s="8">
        <f>SUMIFS(tItens[Valor],tItens[Edital],tEditais[[#This Row],[Edital]])</f>
        <v>42099.92</v>
      </c>
      <c r="N652" s="8">
        <f>SUMIFS(tItens[Valor homologado],tItens[Edital],tEditais[[#This Row],[Edital]],tItens[Foco],"Sim")</f>
        <v>0</v>
      </c>
      <c r="O652" t="str">
        <f>IF(tEditais[[#This Row],[Itens do foco]]=0,"",IF(tEditais[[#This Row],[Valor foco homologado]]&lt;=0,"Sem valor",IF(tEditais[[#This Row],[Valor foco homologado]]&gt;=FaixaA_Min,"A",IF(tEditais[[#This Row],[Valor foco homologado]]&gt;=FaixaB_Min,"B","C"))))</f>
        <v/>
      </c>
      <c r="P652" t="str">
        <f ca="1">IF(tEditais[[#This Row],[Encerramento]]&gt;NOW(),"Aberto","Encerrado")</f>
        <v>Aberto</v>
      </c>
    </row>
    <row r="653" spans="1:16" x14ac:dyDescent="0.25">
      <c r="A653" t="s">
        <v>3208</v>
      </c>
      <c r="B653" t="s">
        <v>3209</v>
      </c>
      <c r="C653" t="s">
        <v>2815</v>
      </c>
      <c r="D653" t="s">
        <v>2708</v>
      </c>
      <c r="E653" t="s">
        <v>716</v>
      </c>
      <c r="F653" s="11">
        <v>46314.583333333336</v>
      </c>
      <c r="G653">
        <v>6</v>
      </c>
      <c r="I653" t="s">
        <v>3210</v>
      </c>
      <c r="J653" t="str">
        <f>IF(ISNUMBER(SEARCH("registro de pre",tEditais[[#This Row],[Objeto]])),"Sim","Não")</f>
        <v>Sim</v>
      </c>
      <c r="K653" s="4">
        <f>COUNTIFS(tItens[Edital],tEditais[[#This Row],[Edital]])</f>
        <v>6</v>
      </c>
      <c r="L653" s="4">
        <f>COUNTIFS(tItens[Edital],tEditais[[#This Row],[Edital]],tItens[Foco],"Sim")</f>
        <v>0</v>
      </c>
      <c r="M653" s="8">
        <f>SUMIFS(tItens[Valor],tItens[Edital],tEditais[[#This Row],[Edital]])</f>
        <v>184740</v>
      </c>
      <c r="N653" s="8">
        <f>SUMIFS(tItens[Valor homologado],tItens[Edital],tEditais[[#This Row],[Edital]],tItens[Foco],"Sim")</f>
        <v>0</v>
      </c>
      <c r="O653" t="str">
        <f>IF(tEditais[[#This Row],[Itens do foco]]=0,"",IF(tEditais[[#This Row],[Valor foco homologado]]&lt;=0,"Sem valor",IF(tEditais[[#This Row],[Valor foco homologado]]&gt;=FaixaA_Min,"A",IF(tEditais[[#This Row],[Valor foco homologado]]&gt;=FaixaB_Min,"B","C"))))</f>
        <v/>
      </c>
      <c r="P653" t="str">
        <f ca="1">IF(tEditais[[#This Row],[Encerramento]]&gt;NOW(),"Aberto","Encerrado")</f>
        <v>Aberto</v>
      </c>
    </row>
    <row r="654" spans="1:16" x14ac:dyDescent="0.25">
      <c r="A654" t="s">
        <v>3211</v>
      </c>
      <c r="B654" t="s">
        <v>3212</v>
      </c>
      <c r="C654" t="s">
        <v>3213</v>
      </c>
      <c r="D654" t="s">
        <v>3214</v>
      </c>
      <c r="E654" t="s">
        <v>716</v>
      </c>
      <c r="F654" s="11">
        <v>46308.354166666664</v>
      </c>
      <c r="G654">
        <v>10</v>
      </c>
      <c r="H654" t="s">
        <v>3215</v>
      </c>
      <c r="I654" t="s">
        <v>3216</v>
      </c>
      <c r="J654" t="str">
        <f>IF(ISNUMBER(SEARCH("registro de pre",tEditais[[#This Row],[Objeto]])),"Sim","Não")</f>
        <v>Não</v>
      </c>
      <c r="K654" s="4">
        <f>COUNTIFS(tItens[Edital],tEditais[[#This Row],[Edital]])</f>
        <v>1</v>
      </c>
      <c r="L654" s="4">
        <f>COUNTIFS(tItens[Edital],tEditais[[#This Row],[Edital]],tItens[Foco],"Sim")</f>
        <v>0</v>
      </c>
      <c r="M654" s="8">
        <f>SUMIFS(tItens[Valor],tItens[Edital],tEditais[[#This Row],[Edital]])</f>
        <v>0</v>
      </c>
      <c r="N654" s="8">
        <f>SUMIFS(tItens[Valor homologado],tItens[Edital],tEditais[[#This Row],[Edital]],tItens[Foco],"Sim")</f>
        <v>0</v>
      </c>
      <c r="O654" t="str">
        <f>IF(tEditais[[#This Row],[Itens do foco]]=0,"",IF(tEditais[[#This Row],[Valor foco homologado]]&lt;=0,"Sem valor",IF(tEditais[[#This Row],[Valor foco homologado]]&gt;=FaixaA_Min,"A",IF(tEditais[[#This Row],[Valor foco homologado]]&gt;=FaixaB_Min,"B","C"))))</f>
        <v/>
      </c>
      <c r="P654" t="str">
        <f ca="1">IF(tEditais[[#This Row],[Encerramento]]&gt;NOW(),"Aberto","Encerrado")</f>
        <v>Encerrado</v>
      </c>
    </row>
    <row r="655" spans="1:16" x14ac:dyDescent="0.25">
      <c r="A655" t="s">
        <v>3217</v>
      </c>
      <c r="B655" t="s">
        <v>3218</v>
      </c>
      <c r="C655" t="s">
        <v>3219</v>
      </c>
      <c r="D655" t="s">
        <v>3214</v>
      </c>
      <c r="E655" t="s">
        <v>800</v>
      </c>
      <c r="F655" s="11">
        <v>46311.333333333336</v>
      </c>
      <c r="G655">
        <v>12</v>
      </c>
      <c r="H655" t="s">
        <v>3220</v>
      </c>
      <c r="I655" t="s">
        <v>3221</v>
      </c>
      <c r="J655" t="str">
        <f>IF(ISNUMBER(SEARCH("registro de pre",tEditais[[#This Row],[Objeto]])),"Sim","Não")</f>
        <v>Não</v>
      </c>
      <c r="K655" s="4">
        <f>COUNTIFS(tItens[Edital],tEditais[[#This Row],[Edital]])</f>
        <v>5</v>
      </c>
      <c r="L655" s="4">
        <f>COUNTIFS(tItens[Edital],tEditais[[#This Row],[Edital]],tItens[Foco],"Sim")</f>
        <v>0</v>
      </c>
      <c r="M655" s="8">
        <f>SUMIFS(tItens[Valor],tItens[Edital],tEditais[[#This Row],[Edital]])</f>
        <v>27178.3</v>
      </c>
      <c r="N655" s="8">
        <f>SUMIFS(tItens[Valor homologado],tItens[Edital],tEditais[[#This Row],[Edital]],tItens[Foco],"Sim")</f>
        <v>0</v>
      </c>
      <c r="O655" t="str">
        <f>IF(tEditais[[#This Row],[Itens do foco]]=0,"",IF(tEditais[[#This Row],[Valor foco homologado]]&lt;=0,"Sem valor",IF(tEditais[[#This Row],[Valor foco homologado]]&gt;=FaixaA_Min,"A",IF(tEditais[[#This Row],[Valor foco homologado]]&gt;=FaixaB_Min,"B","C"))))</f>
        <v/>
      </c>
      <c r="P655" t="str">
        <f ca="1">IF(tEditais[[#This Row],[Encerramento]]&gt;NOW(),"Aberto","Encerrado")</f>
        <v>Aberto</v>
      </c>
    </row>
    <row r="656" spans="1:16" x14ac:dyDescent="0.25">
      <c r="A656" t="s">
        <v>3222</v>
      </c>
      <c r="B656" t="s">
        <v>3223</v>
      </c>
      <c r="C656" t="s">
        <v>3224</v>
      </c>
      <c r="D656" t="s">
        <v>3214</v>
      </c>
      <c r="E656" t="s">
        <v>716</v>
      </c>
      <c r="F656" s="11">
        <v>46314.333333333336</v>
      </c>
      <c r="G656">
        <v>146</v>
      </c>
      <c r="H656" t="s">
        <v>3225</v>
      </c>
      <c r="I656" t="s">
        <v>3226</v>
      </c>
      <c r="J656" t="str">
        <f>IF(ISNUMBER(SEARCH("registro de pre",tEditais[[#This Row],[Objeto]])),"Sim","Não")</f>
        <v>Não</v>
      </c>
      <c r="K656" s="4">
        <f>COUNTIFS(tItens[Edital],tEditais[[#This Row],[Edital]])</f>
        <v>1</v>
      </c>
      <c r="L656" s="4">
        <f>COUNTIFS(tItens[Edital],tEditais[[#This Row],[Edital]],tItens[Foco],"Sim")</f>
        <v>1</v>
      </c>
      <c r="M656" s="8">
        <f>SUMIFS(tItens[Valor],tItens[Edital],tEditais[[#This Row],[Edital]])</f>
        <v>159.84</v>
      </c>
      <c r="N656" s="8">
        <f>SUMIFS(tItens[Valor homologado],tItens[Edital],tEditais[[#This Row],[Edital]],tItens[Foco],"Sim")</f>
        <v>105.49439999999998</v>
      </c>
      <c r="O656" t="str">
        <f>IF(tEditais[[#This Row],[Itens do foco]]=0,"",IF(tEditais[[#This Row],[Valor foco homologado]]&lt;=0,"Sem valor",IF(tEditais[[#This Row],[Valor foco homologado]]&gt;=FaixaA_Min,"A",IF(tEditais[[#This Row],[Valor foco homologado]]&gt;=FaixaB_Min,"B","C"))))</f>
        <v>C</v>
      </c>
      <c r="P656" t="str">
        <f ca="1">IF(tEditais[[#This Row],[Encerramento]]&gt;NOW(),"Aberto","Encerrado")</f>
        <v>Aberto</v>
      </c>
    </row>
    <row r="657" spans="1:16" x14ac:dyDescent="0.25">
      <c r="A657" t="s">
        <v>3227</v>
      </c>
      <c r="B657" t="s">
        <v>3228</v>
      </c>
      <c r="C657" t="s">
        <v>3229</v>
      </c>
      <c r="D657" t="s">
        <v>3214</v>
      </c>
      <c r="E657" t="s">
        <v>716</v>
      </c>
      <c r="F657" s="11">
        <v>46314.999305555553</v>
      </c>
      <c r="G657">
        <v>191</v>
      </c>
      <c r="I657" t="s">
        <v>3230</v>
      </c>
      <c r="J657" t="str">
        <f>IF(ISNUMBER(SEARCH("registro de pre",tEditais[[#This Row],[Objeto]])),"Sim","Não")</f>
        <v>Sim</v>
      </c>
      <c r="K657" s="4">
        <f>COUNTIFS(tItens[Edital],tEditais[[#This Row],[Edital]])</f>
        <v>56</v>
      </c>
      <c r="L657" s="4">
        <f>COUNTIFS(tItens[Edital],tEditais[[#This Row],[Edital]],tItens[Foco],"Sim")</f>
        <v>23</v>
      </c>
      <c r="M657" s="8">
        <f>SUMIFS(tItens[Valor],tItens[Edital],tEditais[[#This Row],[Edital]])</f>
        <v>747053.37999999989</v>
      </c>
      <c r="N657" s="8">
        <f>SUMIFS(tItens[Valor homologado],tItens[Edital],tEditais[[#This Row],[Edital]],tItens[Foco],"Sim")</f>
        <v>161136.53120000003</v>
      </c>
      <c r="O657" t="str">
        <f>IF(tEditais[[#This Row],[Itens do foco]]=0,"",IF(tEditais[[#This Row],[Valor foco homologado]]&lt;=0,"Sem valor",IF(tEditais[[#This Row],[Valor foco homologado]]&gt;=FaixaA_Min,"A",IF(tEditais[[#This Row],[Valor foco homologado]]&gt;=FaixaB_Min,"B","C"))))</f>
        <v>A</v>
      </c>
      <c r="P657" t="str">
        <f ca="1">IF(tEditais[[#This Row],[Encerramento]]&gt;NOW(),"Aberto","Encerrado")</f>
        <v>Aberto</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FCE73-693D-4190-B026-E4283BC87DCD}">
  <dimension ref="A1:P9465"/>
  <sheetViews>
    <sheetView workbookViewId="0">
      <pane ySplit="1" topLeftCell="A2" activePane="bottomLeft" state="frozenSplit"/>
      <selection pane="bottomLeft"/>
    </sheetView>
  </sheetViews>
  <sheetFormatPr defaultRowHeight="15" x14ac:dyDescent="0.25"/>
  <cols>
    <col min="1" max="1" width="28.7109375" bestFit="1" customWidth="1"/>
    <col min="2" max="2" width="10.140625" bestFit="1" customWidth="1"/>
    <col min="3" max="3" width="70.7109375" customWidth="1"/>
    <col min="4" max="4" width="60.7109375" bestFit="1" customWidth="1"/>
    <col min="5" max="5" width="9.5703125" bestFit="1" customWidth="1"/>
    <col min="6" max="6" width="14.28515625" bestFit="1" customWidth="1"/>
    <col min="7" max="7" width="85.28515625" bestFit="1" customWidth="1"/>
    <col min="8" max="8" width="5.5703125" bestFit="1" customWidth="1"/>
    <col min="9" max="9" width="16.140625" bestFit="1" customWidth="1"/>
    <col min="10" max="10" width="11.42578125" bestFit="1" customWidth="1"/>
    <col min="11" max="11" width="16.28515625" bestFit="1" customWidth="1"/>
    <col min="12" max="12" width="12" bestFit="1" customWidth="1"/>
    <col min="13" max="13" width="19.7109375" bestFit="1" customWidth="1"/>
    <col min="14" max="14" width="7.5703125" bestFit="1" customWidth="1"/>
    <col min="15" max="15" width="6.85546875" bestFit="1" customWidth="1"/>
    <col min="16" max="16" width="21.140625" bestFit="1" customWidth="1"/>
  </cols>
  <sheetData>
    <row r="1" spans="1:16" x14ac:dyDescent="0.25">
      <c r="A1" t="s">
        <v>696</v>
      </c>
      <c r="B1" t="s">
        <v>3231</v>
      </c>
      <c r="C1" t="s">
        <v>3232</v>
      </c>
      <c r="D1" t="s">
        <v>36</v>
      </c>
      <c r="E1" t="s">
        <v>3233</v>
      </c>
      <c r="F1" t="s">
        <v>3234</v>
      </c>
      <c r="G1" t="s">
        <v>697</v>
      </c>
      <c r="H1" t="s">
        <v>699</v>
      </c>
      <c r="I1" t="s">
        <v>701</v>
      </c>
      <c r="J1" t="s">
        <v>37</v>
      </c>
      <c r="K1" t="s">
        <v>2</v>
      </c>
      <c r="L1" t="s">
        <v>3235</v>
      </c>
      <c r="M1" t="s">
        <v>3236</v>
      </c>
      <c r="N1" t="s">
        <v>55</v>
      </c>
      <c r="O1" t="s">
        <v>705</v>
      </c>
      <c r="P1" t="s">
        <v>3237</v>
      </c>
    </row>
    <row r="2" spans="1:16" x14ac:dyDescent="0.25">
      <c r="A2" t="s">
        <v>712</v>
      </c>
      <c r="B2">
        <v>6</v>
      </c>
      <c r="C2" t="s">
        <v>3238</v>
      </c>
      <c r="D2" t="s">
        <v>413</v>
      </c>
      <c r="E2" s="13">
        <v>564</v>
      </c>
      <c r="F2" s="12">
        <v>0</v>
      </c>
      <c r="G2" t="str">
        <f>IFERROR(INDEX(tEditais[Órgão],MATCH(tItens[[#This Row],[Edital]],tEditais[Edital],0)),"")</f>
        <v>SECRETARIA DE ESTADO DE INDUSTRIA, CIENCIA E TECNOLOGIA</v>
      </c>
      <c r="H2" t="str">
        <f>IFERROR(INDEX(tEditais[UF],MATCH(tItens[[#This Row],[Edital]],tEditais[Edital],0)),"")</f>
        <v>AC</v>
      </c>
      <c r="I2" s="11">
        <f>IFERROR(INDEX(tEditais[Encerramento],MATCH(tItens[[#This Row],[Edital]],tEditais[Edital],0)),"")</f>
        <v>46304.385416666664</v>
      </c>
      <c r="J2" t="str">
        <f>IFERROR(INDEX(tProdutos[Classe],MATCH(tItens[[#This Row],[Produto]],tProdutos[Produto],0)),"produto não cadastrado")</f>
        <v>FORA</v>
      </c>
      <c r="K2" s="12">
        <f>tItens[[#This Row],[Qtd]]*tItens[[#This Row],[Vlr unit]]</f>
        <v>0</v>
      </c>
      <c r="L2" s="6">
        <f>IFERROR(IF(INDEX(tProdutos[Desconto homologado],MATCH(tItens[[#This Row],[Produto]],tProdutos[Produto],0))="",DescontoPadrao,INDEX(tProdutos[Desconto homologado],MATCH(tItens[[#This Row],[Produto]],tProdutos[Produto],0))),DescontoPadrao)</f>
        <v>0.477732793522267</v>
      </c>
      <c r="M2" s="12">
        <f>tItens[[#This Row],[Valor]]*(1-tItens[[#This Row],[Desconto]])</f>
        <v>0</v>
      </c>
      <c r="N2" t="str">
        <f>IFERROR(INDEX(tProdutos[Foco],MATCH(tItens[[#This Row],[Produto]],tProdutos[Produto],0)),"Não")</f>
        <v>Não</v>
      </c>
      <c r="O2" t="str">
        <f>IFERROR(INDEX(tEditais[SRP],MATCH(tItens[[#This Row],[Edital]],tEditais[Edital],0)),"Não")</f>
        <v>Não</v>
      </c>
      <c r="P2" s="4">
        <f>IF(COUNTIFS(INDEX(tItens[Edital],1):tItens[[#This Row],[Edital]],tItens[[#This Row],[Edital]],INDEX(tItens[Produto],1):tItens[[#This Row],[Produto]],tItens[[#This Row],[Produto]])=1,1,0)</f>
        <v>1</v>
      </c>
    </row>
    <row r="3" spans="1:16" x14ac:dyDescent="0.25">
      <c r="A3" t="s">
        <v>712</v>
      </c>
      <c r="B3">
        <v>8</v>
      </c>
      <c r="C3" t="s">
        <v>3239</v>
      </c>
      <c r="D3" t="s">
        <v>71</v>
      </c>
      <c r="E3" s="13">
        <v>45</v>
      </c>
      <c r="F3" s="12">
        <v>0</v>
      </c>
      <c r="G3" t="str">
        <f>IFERROR(INDEX(tEditais[Órgão],MATCH(tItens[[#This Row],[Edital]],tEditais[Edital],0)),"")</f>
        <v>SECRETARIA DE ESTADO DE INDUSTRIA, CIENCIA E TECNOLOGIA</v>
      </c>
      <c r="H3" t="str">
        <f>IFERROR(INDEX(tEditais[UF],MATCH(tItens[[#This Row],[Edital]],tEditais[Edital],0)),"")</f>
        <v>AC</v>
      </c>
      <c r="I3" s="11">
        <f>IFERROR(INDEX(tEditais[Encerramento],MATCH(tItens[[#This Row],[Edital]],tEditais[Edital],0)),"")</f>
        <v>46304.385416666664</v>
      </c>
      <c r="J3" t="str">
        <f>IFERROR(INDEX(tProdutos[Classe],MATCH(tItens[[#This Row],[Produto]],tProdutos[Produto],0)),"produto não cadastrado")</f>
        <v>NÚCLEO</v>
      </c>
      <c r="K3" s="12">
        <f>tItens[[#This Row],[Qtd]]*tItens[[#This Row],[Vlr unit]]</f>
        <v>0</v>
      </c>
      <c r="L3" s="6">
        <f>IFERROR(IF(INDEX(tProdutos[Desconto homologado],MATCH(tItens[[#This Row],[Produto]],tProdutos[Produto],0))="",DescontoPadrao,INDEX(tProdutos[Desconto homologado],MATCH(tItens[[#This Row],[Produto]],tProdutos[Produto],0))),DescontoPadrao)</f>
        <v>0.44981412639405199</v>
      </c>
      <c r="M3" s="12">
        <f>tItens[[#This Row],[Valor]]*(1-tItens[[#This Row],[Desconto]])</f>
        <v>0</v>
      </c>
      <c r="N3" t="str">
        <f>IFERROR(INDEX(tProdutos[Foco],MATCH(tItens[[#This Row],[Produto]],tProdutos[Produto],0)),"Não")</f>
        <v>Não</v>
      </c>
      <c r="O3" t="str">
        <f>IFERROR(INDEX(tEditais[SRP],MATCH(tItens[[#This Row],[Edital]],tEditais[Edital],0)),"Não")</f>
        <v>Não</v>
      </c>
      <c r="P3" s="4">
        <f>IF(COUNTIFS(INDEX(tItens[Edital],1):tItens[[#This Row],[Edital]],tItens[[#This Row],[Edital]],INDEX(tItens[Produto],1):tItens[[#This Row],[Produto]],tItens[[#This Row],[Produto]])=1,1,0)</f>
        <v>1</v>
      </c>
    </row>
    <row r="4" spans="1:16" x14ac:dyDescent="0.25">
      <c r="A4" t="s">
        <v>712</v>
      </c>
      <c r="B4">
        <v>19</v>
      </c>
      <c r="C4" t="s">
        <v>3240</v>
      </c>
      <c r="D4" t="s">
        <v>114</v>
      </c>
      <c r="E4" s="13">
        <v>45</v>
      </c>
      <c r="F4" s="12">
        <v>0</v>
      </c>
      <c r="G4" t="str">
        <f>IFERROR(INDEX(tEditais[Órgão],MATCH(tItens[[#This Row],[Edital]],tEditais[Edital],0)),"")</f>
        <v>SECRETARIA DE ESTADO DE INDUSTRIA, CIENCIA E TECNOLOGIA</v>
      </c>
      <c r="H4" t="str">
        <f>IFERROR(INDEX(tEditais[UF],MATCH(tItens[[#This Row],[Edital]],tEditais[Edital],0)),"")</f>
        <v>AC</v>
      </c>
      <c r="I4" s="11">
        <f>IFERROR(INDEX(tEditais[Encerramento],MATCH(tItens[[#This Row],[Edital]],tEditais[Edital],0)),"")</f>
        <v>46304.385416666664</v>
      </c>
      <c r="J4" t="str">
        <f>IFERROR(INDEX(tProdutos[Classe],MATCH(tItens[[#This Row],[Produto]],tProdutos[Produto],0)),"produto não cadastrado")</f>
        <v>DISPUTADO</v>
      </c>
      <c r="K4" s="12">
        <f>tItens[[#This Row],[Qtd]]*tItens[[#This Row],[Vlr unit]]</f>
        <v>0</v>
      </c>
      <c r="L4" s="6">
        <f>IFERROR(IF(INDEX(tProdutos[Desconto homologado],MATCH(tItens[[#This Row],[Produto]],tProdutos[Produto],0))="",DescontoPadrao,INDEX(tProdutos[Desconto homologado],MATCH(tItens[[#This Row],[Produto]],tProdutos[Produto],0))),DescontoPadrao)</f>
        <v>0.24332656063896899</v>
      </c>
      <c r="M4" s="12">
        <f>tItens[[#This Row],[Valor]]*(1-tItens[[#This Row],[Desconto]])</f>
        <v>0</v>
      </c>
      <c r="N4" t="str">
        <f>IFERROR(INDEX(tProdutos[Foco],MATCH(tItens[[#This Row],[Produto]],tProdutos[Produto],0)),"Não")</f>
        <v>Não</v>
      </c>
      <c r="O4" t="str">
        <f>IFERROR(INDEX(tEditais[SRP],MATCH(tItens[[#This Row],[Edital]],tEditais[Edital],0)),"Não")</f>
        <v>Não</v>
      </c>
      <c r="P4" s="4">
        <f>IF(COUNTIFS(INDEX(tItens[Edital],1):tItens[[#This Row],[Edital]],tItens[[#This Row],[Edital]],INDEX(tItens[Produto],1):tItens[[#This Row],[Produto]],tItens[[#This Row],[Produto]])=1,1,0)</f>
        <v>1</v>
      </c>
    </row>
    <row r="5" spans="1:16" x14ac:dyDescent="0.25">
      <c r="A5" t="s">
        <v>719</v>
      </c>
      <c r="B5">
        <v>19</v>
      </c>
      <c r="C5" t="s">
        <v>3241</v>
      </c>
      <c r="D5" t="s">
        <v>371</v>
      </c>
      <c r="E5" s="13">
        <v>600</v>
      </c>
      <c r="F5" s="12">
        <v>0</v>
      </c>
      <c r="G5" t="str">
        <f>IFERROR(INDEX(tEditais[Órgão],MATCH(tItens[[#This Row],[Edital]],tEditais[Edital],0)),"")</f>
        <v>SECRETARIA DE ESTADO DE INDUSTRIA, CIENCIA E TECNOLOGIA</v>
      </c>
      <c r="H5" t="str">
        <f>IFERROR(INDEX(tEditais[UF],MATCH(tItens[[#This Row],[Edital]],tEditais[Edital],0)),"")</f>
        <v>AC</v>
      </c>
      <c r="I5" s="11">
        <f>IFERROR(INDEX(tEditais[Encerramento],MATCH(tItens[[#This Row],[Edital]],tEditais[Edital],0)),"")</f>
        <v>46304.385416666664</v>
      </c>
      <c r="J5" t="str">
        <f>IFERROR(INDEX(tProdutos[Classe],MATCH(tItens[[#This Row],[Produto]],tProdutos[Produto],0)),"produto não cadastrado")</f>
        <v>FORA</v>
      </c>
      <c r="K5" s="12">
        <f>tItens[[#This Row],[Qtd]]*tItens[[#This Row],[Vlr unit]]</f>
        <v>0</v>
      </c>
      <c r="L5" s="6">
        <f>IFERROR(IF(INDEX(tProdutos[Desconto homologado],MATCH(tItens[[#This Row],[Produto]],tProdutos[Produto],0))="",DescontoPadrao,INDEX(tProdutos[Desconto homologado],MATCH(tItens[[#This Row],[Produto]],tProdutos[Produto],0))),DescontoPadrao)</f>
        <v>0.217826086956522</v>
      </c>
      <c r="M5" s="12">
        <f>tItens[[#This Row],[Valor]]*(1-tItens[[#This Row],[Desconto]])</f>
        <v>0</v>
      </c>
      <c r="N5" t="str">
        <f>IFERROR(INDEX(tProdutos[Foco],MATCH(tItens[[#This Row],[Produto]],tProdutos[Produto],0)),"Não")</f>
        <v>Não</v>
      </c>
      <c r="O5" t="str">
        <f>IFERROR(INDEX(tEditais[SRP],MATCH(tItens[[#This Row],[Edital]],tEditais[Edital],0)),"Não")</f>
        <v>Não</v>
      </c>
      <c r="P5" s="4">
        <f>IF(COUNTIFS(INDEX(tItens[Edital],1):tItens[[#This Row],[Edital]],tItens[[#This Row],[Edital]],INDEX(tItens[Produto],1):tItens[[#This Row],[Produto]],tItens[[#This Row],[Produto]])=1,1,0)</f>
        <v>1</v>
      </c>
    </row>
    <row r="6" spans="1:16" x14ac:dyDescent="0.25">
      <c r="A6" t="s">
        <v>719</v>
      </c>
      <c r="B6">
        <v>52</v>
      </c>
      <c r="C6" t="s">
        <v>3242</v>
      </c>
      <c r="D6" t="s">
        <v>201</v>
      </c>
      <c r="E6" s="13">
        <v>2300</v>
      </c>
      <c r="F6" s="12">
        <v>0</v>
      </c>
      <c r="G6" t="str">
        <f>IFERROR(INDEX(tEditais[Órgão],MATCH(tItens[[#This Row],[Edital]],tEditais[Edital],0)),"")</f>
        <v>SECRETARIA DE ESTADO DE INDUSTRIA, CIENCIA E TECNOLOGIA</v>
      </c>
      <c r="H6" t="str">
        <f>IFERROR(INDEX(tEditais[UF],MATCH(tItens[[#This Row],[Edital]],tEditais[Edital],0)),"")</f>
        <v>AC</v>
      </c>
      <c r="I6" s="11">
        <f>IFERROR(INDEX(tEditais[Encerramento],MATCH(tItens[[#This Row],[Edital]],tEditais[Edital],0)),"")</f>
        <v>46304.385416666664</v>
      </c>
      <c r="J6" t="str">
        <f>IFERROR(INDEX(tProdutos[Classe],MATCH(tItens[[#This Row],[Produto]],tProdutos[Produto],0)),"produto não cadastrado")</f>
        <v>DISPUTADO</v>
      </c>
      <c r="K6" s="12">
        <f>tItens[[#This Row],[Qtd]]*tItens[[#This Row],[Vlr unit]]</f>
        <v>0</v>
      </c>
      <c r="L6" s="6">
        <f>IFERROR(IF(INDEX(tProdutos[Desconto homologado],MATCH(tItens[[#This Row],[Produto]],tProdutos[Produto],0))="",DescontoPadrao,INDEX(tProdutos[Desconto homologado],MATCH(tItens[[#This Row],[Produto]],tProdutos[Produto],0))),DescontoPadrao)</f>
        <v>0.27203065134099602</v>
      </c>
      <c r="M6" s="12">
        <f>tItens[[#This Row],[Valor]]*(1-tItens[[#This Row],[Desconto]])</f>
        <v>0</v>
      </c>
      <c r="N6" t="str">
        <f>IFERROR(INDEX(tProdutos[Foco],MATCH(tItens[[#This Row],[Produto]],tProdutos[Produto],0)),"Não")</f>
        <v>Não</v>
      </c>
      <c r="O6" t="str">
        <f>IFERROR(INDEX(tEditais[SRP],MATCH(tItens[[#This Row],[Edital]],tEditais[Edital],0)),"Não")</f>
        <v>Não</v>
      </c>
      <c r="P6" s="4">
        <f>IF(COUNTIFS(INDEX(tItens[Edital],1):tItens[[#This Row],[Edital]],tItens[[#This Row],[Edital]],INDEX(tItens[Produto],1):tItens[[#This Row],[Produto]],tItens[[#This Row],[Produto]])=1,1,0)</f>
        <v>1</v>
      </c>
    </row>
    <row r="7" spans="1:16" x14ac:dyDescent="0.25">
      <c r="A7" t="s">
        <v>719</v>
      </c>
      <c r="B7">
        <v>60</v>
      </c>
      <c r="C7" t="s">
        <v>3243</v>
      </c>
      <c r="D7" t="s">
        <v>279</v>
      </c>
      <c r="E7" s="13">
        <v>24</v>
      </c>
      <c r="F7" s="12">
        <v>0</v>
      </c>
      <c r="G7" t="str">
        <f>IFERROR(INDEX(tEditais[Órgão],MATCH(tItens[[#This Row],[Edital]],tEditais[Edital],0)),"")</f>
        <v>SECRETARIA DE ESTADO DE INDUSTRIA, CIENCIA E TECNOLOGIA</v>
      </c>
      <c r="H7" t="str">
        <f>IFERROR(INDEX(tEditais[UF],MATCH(tItens[[#This Row],[Edital]],tEditais[Edital],0)),"")</f>
        <v>AC</v>
      </c>
      <c r="I7" s="11">
        <f>IFERROR(INDEX(tEditais[Encerramento],MATCH(tItens[[#This Row],[Edital]],tEditais[Edital],0)),"")</f>
        <v>46304.385416666664</v>
      </c>
      <c r="J7" t="str">
        <f>IFERROR(INDEX(tProdutos[Classe],MATCH(tItens[[#This Row],[Produto]],tProdutos[Produto],0)),"produto não cadastrado")</f>
        <v>FORA</v>
      </c>
      <c r="K7" s="12">
        <f>tItens[[#This Row],[Qtd]]*tItens[[#This Row],[Vlr unit]]</f>
        <v>0</v>
      </c>
      <c r="L7" s="6">
        <f>IFERROR(IF(INDEX(tProdutos[Desconto homologado],MATCH(tItens[[#This Row],[Produto]],tProdutos[Produto],0))="",DescontoPadrao,INDEX(tProdutos[Desconto homologado],MATCH(tItens[[#This Row],[Produto]],tProdutos[Produto],0))),DescontoPadrao)</f>
        <v>0.28909090909090901</v>
      </c>
      <c r="M7" s="12">
        <f>tItens[[#This Row],[Valor]]*(1-tItens[[#This Row],[Desconto]])</f>
        <v>0</v>
      </c>
      <c r="N7" t="str">
        <f>IFERROR(INDEX(tProdutos[Foco],MATCH(tItens[[#This Row],[Produto]],tProdutos[Produto],0)),"Não")</f>
        <v>Não</v>
      </c>
      <c r="O7" t="str">
        <f>IFERROR(INDEX(tEditais[SRP],MATCH(tItens[[#This Row],[Edital]],tEditais[Edital],0)),"Não")</f>
        <v>Não</v>
      </c>
      <c r="P7" s="4">
        <f>IF(COUNTIFS(INDEX(tItens[Edital],1):tItens[[#This Row],[Edital]],tItens[[#This Row],[Edital]],INDEX(tItens[Produto],1):tItens[[#This Row],[Produto]],tItens[[#This Row],[Produto]])=1,1,0)</f>
        <v>1</v>
      </c>
    </row>
    <row r="8" spans="1:16" x14ac:dyDescent="0.25">
      <c r="A8" t="s">
        <v>719</v>
      </c>
      <c r="B8">
        <v>62</v>
      </c>
      <c r="C8" t="s">
        <v>3244</v>
      </c>
      <c r="D8" t="s">
        <v>311</v>
      </c>
      <c r="E8" s="13">
        <v>24</v>
      </c>
      <c r="F8" s="12">
        <v>0</v>
      </c>
      <c r="G8" t="str">
        <f>IFERROR(INDEX(tEditais[Órgão],MATCH(tItens[[#This Row],[Edital]],tEditais[Edital],0)),"")</f>
        <v>SECRETARIA DE ESTADO DE INDUSTRIA, CIENCIA E TECNOLOGIA</v>
      </c>
      <c r="H8" t="str">
        <f>IFERROR(INDEX(tEditais[UF],MATCH(tItens[[#This Row],[Edital]],tEditais[Edital],0)),"")</f>
        <v>AC</v>
      </c>
      <c r="I8" s="11">
        <f>IFERROR(INDEX(tEditais[Encerramento],MATCH(tItens[[#This Row],[Edital]],tEditais[Edital],0)),"")</f>
        <v>46304.385416666664</v>
      </c>
      <c r="J8" t="str">
        <f>IFERROR(INDEX(tProdutos[Classe],MATCH(tItens[[#This Row],[Produto]],tProdutos[Produto],0)),"produto não cadastrado")</f>
        <v>FORA</v>
      </c>
      <c r="K8" s="12">
        <f>tItens[[#This Row],[Qtd]]*tItens[[#This Row],[Vlr unit]]</f>
        <v>0</v>
      </c>
      <c r="L8" s="6">
        <f>IFERROR(IF(INDEX(tProdutos[Desconto homologado],MATCH(tItens[[#This Row],[Produto]],tProdutos[Produto],0))="",DescontoPadrao,INDEX(tProdutos[Desconto homologado],MATCH(tItens[[#This Row],[Produto]],tProdutos[Produto],0))),DescontoPadrao)</f>
        <v>0.29046182846371399</v>
      </c>
      <c r="M8" s="12">
        <f>tItens[[#This Row],[Valor]]*(1-tItens[[#This Row],[Desconto]])</f>
        <v>0</v>
      </c>
      <c r="N8" t="str">
        <f>IFERROR(INDEX(tProdutos[Foco],MATCH(tItens[[#This Row],[Produto]],tProdutos[Produto],0)),"Não")</f>
        <v>Não</v>
      </c>
      <c r="O8" t="str">
        <f>IFERROR(INDEX(tEditais[SRP],MATCH(tItens[[#This Row],[Edital]],tEditais[Edital],0)),"Não")</f>
        <v>Não</v>
      </c>
      <c r="P8" s="4">
        <f>IF(COUNTIFS(INDEX(tItens[Edital],1):tItens[[#This Row],[Edital]],tItens[[#This Row],[Edital]],INDEX(tItens[Produto],1):tItens[[#This Row],[Produto]],tItens[[#This Row],[Produto]])=1,1,0)</f>
        <v>1</v>
      </c>
    </row>
    <row r="9" spans="1:16" x14ac:dyDescent="0.25">
      <c r="A9" t="s">
        <v>722</v>
      </c>
      <c r="B9">
        <v>7</v>
      </c>
      <c r="C9" t="s">
        <v>3245</v>
      </c>
      <c r="D9" t="s">
        <v>82</v>
      </c>
      <c r="E9" s="13">
        <v>1500</v>
      </c>
      <c r="F9" s="12">
        <v>0</v>
      </c>
      <c r="G9" t="str">
        <f>IFERROR(INDEX(tEditais[Órgão],MATCH(tItens[[#This Row],[Edital]],tEditais[Edital],0)),"")</f>
        <v>PREFEITURA MUNICIPAL DE TARAUACA - ACRE</v>
      </c>
      <c r="H9" t="str">
        <f>IFERROR(INDEX(tEditais[UF],MATCH(tItens[[#This Row],[Edital]],tEditais[Edital],0)),"")</f>
        <v>AC</v>
      </c>
      <c r="I9" s="11">
        <f>IFERROR(INDEX(tEditais[Encerramento],MATCH(tItens[[#This Row],[Edital]],tEditais[Edital],0)),"")</f>
        <v>46308.4375</v>
      </c>
      <c r="J9" t="str">
        <f>IFERROR(INDEX(tProdutos[Classe],MATCH(tItens[[#This Row],[Produto]],tProdutos[Produto],0)),"produto não cadastrado")</f>
        <v>NÚCLEO</v>
      </c>
      <c r="K9" s="12">
        <f>tItens[[#This Row],[Qtd]]*tItens[[#This Row],[Vlr unit]]</f>
        <v>0</v>
      </c>
      <c r="L9" s="6">
        <f>IFERROR(IF(INDEX(tProdutos[Desconto homologado],MATCH(tItens[[#This Row],[Produto]],tProdutos[Produto],0))="",DescontoPadrao,INDEX(tProdutos[Desconto homologado],MATCH(tItens[[#This Row],[Produto]],tProdutos[Produto],0))),DescontoPadrao)</f>
        <v>0.40487090276506099</v>
      </c>
      <c r="M9" s="12">
        <f>tItens[[#This Row],[Valor]]*(1-tItens[[#This Row],[Desconto]])</f>
        <v>0</v>
      </c>
      <c r="N9" t="str">
        <f>IFERROR(INDEX(tProdutos[Foco],MATCH(tItens[[#This Row],[Produto]],tProdutos[Produto],0)),"Não")</f>
        <v>Não</v>
      </c>
      <c r="O9" t="str">
        <f>IFERROR(INDEX(tEditais[SRP],MATCH(tItens[[#This Row],[Edital]],tEditais[Edital],0)),"Não")</f>
        <v>Sim</v>
      </c>
      <c r="P9" s="4">
        <f>IF(COUNTIFS(INDEX(tItens[Edital],1):tItens[[#This Row],[Edital]],tItens[[#This Row],[Edital]],INDEX(tItens[Produto],1):tItens[[#This Row],[Produto]],tItens[[#This Row],[Produto]])=1,1,0)</f>
        <v>1</v>
      </c>
    </row>
    <row r="10" spans="1:16" x14ac:dyDescent="0.25">
      <c r="A10" t="s">
        <v>722</v>
      </c>
      <c r="B10">
        <v>8</v>
      </c>
      <c r="C10" t="s">
        <v>3246</v>
      </c>
      <c r="D10" t="s">
        <v>71</v>
      </c>
      <c r="E10" s="13">
        <v>1000</v>
      </c>
      <c r="F10" s="12">
        <v>0</v>
      </c>
      <c r="G10" t="str">
        <f>IFERROR(INDEX(tEditais[Órgão],MATCH(tItens[[#This Row],[Edital]],tEditais[Edital],0)),"")</f>
        <v>PREFEITURA MUNICIPAL DE TARAUACA - ACRE</v>
      </c>
      <c r="H10" t="str">
        <f>IFERROR(INDEX(tEditais[UF],MATCH(tItens[[#This Row],[Edital]],tEditais[Edital],0)),"")</f>
        <v>AC</v>
      </c>
      <c r="I10" s="11">
        <f>IFERROR(INDEX(tEditais[Encerramento],MATCH(tItens[[#This Row],[Edital]],tEditais[Edital],0)),"")</f>
        <v>46308.4375</v>
      </c>
      <c r="J10" t="str">
        <f>IFERROR(INDEX(tProdutos[Classe],MATCH(tItens[[#This Row],[Produto]],tProdutos[Produto],0)),"produto não cadastrado")</f>
        <v>NÚCLEO</v>
      </c>
      <c r="K10" s="12">
        <f>tItens[[#This Row],[Qtd]]*tItens[[#This Row],[Vlr unit]]</f>
        <v>0</v>
      </c>
      <c r="L10" s="6">
        <f>IFERROR(IF(INDEX(tProdutos[Desconto homologado],MATCH(tItens[[#This Row],[Produto]],tProdutos[Produto],0))="",DescontoPadrao,INDEX(tProdutos[Desconto homologado],MATCH(tItens[[#This Row],[Produto]],tProdutos[Produto],0))),DescontoPadrao)</f>
        <v>0.44981412639405199</v>
      </c>
      <c r="M10" s="12">
        <f>tItens[[#This Row],[Valor]]*(1-tItens[[#This Row],[Desconto]])</f>
        <v>0</v>
      </c>
      <c r="N10" t="str">
        <f>IFERROR(INDEX(tProdutos[Foco],MATCH(tItens[[#This Row],[Produto]],tProdutos[Produto],0)),"Não")</f>
        <v>Não</v>
      </c>
      <c r="O10" t="str">
        <f>IFERROR(INDEX(tEditais[SRP],MATCH(tItens[[#This Row],[Edital]],tEditais[Edital],0)),"Não")</f>
        <v>Sim</v>
      </c>
      <c r="P10" s="4">
        <f>IF(COUNTIFS(INDEX(tItens[Edital],1):tItens[[#This Row],[Edital]],tItens[[#This Row],[Edital]],INDEX(tItens[Produto],1):tItens[[#This Row],[Produto]],tItens[[#This Row],[Produto]])=1,1,0)</f>
        <v>1</v>
      </c>
    </row>
    <row r="11" spans="1:16" x14ac:dyDescent="0.25">
      <c r="A11" t="s">
        <v>722</v>
      </c>
      <c r="B11">
        <v>102</v>
      </c>
      <c r="C11" t="s">
        <v>3247</v>
      </c>
      <c r="D11" t="s">
        <v>56</v>
      </c>
      <c r="E11" s="13">
        <v>200</v>
      </c>
      <c r="F11" s="12">
        <v>0</v>
      </c>
      <c r="G11" t="str">
        <f>IFERROR(INDEX(tEditais[Órgão],MATCH(tItens[[#This Row],[Edital]],tEditais[Edital],0)),"")</f>
        <v>PREFEITURA MUNICIPAL DE TARAUACA - ACRE</v>
      </c>
      <c r="H11" t="str">
        <f>IFERROR(INDEX(tEditais[UF],MATCH(tItens[[#This Row],[Edital]],tEditais[Edital],0)),"")</f>
        <v>AC</v>
      </c>
      <c r="I11" s="11">
        <f>IFERROR(INDEX(tEditais[Encerramento],MATCH(tItens[[#This Row],[Edital]],tEditais[Edital],0)),"")</f>
        <v>46308.4375</v>
      </c>
      <c r="J11" t="str">
        <f>IFERROR(INDEX(tProdutos[Classe],MATCH(tItens[[#This Row],[Produto]],tProdutos[Produto],0)),"produto não cadastrado")</f>
        <v>NÚCLEO</v>
      </c>
      <c r="K11" s="12">
        <f>tItens[[#This Row],[Qtd]]*tItens[[#This Row],[Vlr unit]]</f>
        <v>0</v>
      </c>
      <c r="L11" s="6">
        <f>IFERROR(IF(INDEX(tProdutos[Desconto homologado],MATCH(tItens[[#This Row],[Produto]],tProdutos[Produto],0))="",DescontoPadrao,INDEX(tProdutos[Desconto homologado],MATCH(tItens[[#This Row],[Produto]],tProdutos[Produto],0))),DescontoPadrao)</f>
        <v>0.34</v>
      </c>
      <c r="M11" s="12">
        <f>tItens[[#This Row],[Valor]]*(1-tItens[[#This Row],[Desconto]])</f>
        <v>0</v>
      </c>
      <c r="N11" t="str">
        <f>IFERROR(INDEX(tProdutos[Foco],MATCH(tItens[[#This Row],[Produto]],tProdutos[Produto],0)),"Não")</f>
        <v>Sim</v>
      </c>
      <c r="O11" t="str">
        <f>IFERROR(INDEX(tEditais[SRP],MATCH(tItens[[#This Row],[Edital]],tEditais[Edital],0)),"Não")</f>
        <v>Sim</v>
      </c>
      <c r="P11" s="4">
        <f>IF(COUNTIFS(INDEX(tItens[Edital],1):tItens[[#This Row],[Edital]],tItens[[#This Row],[Edital]],INDEX(tItens[Produto],1):tItens[[#This Row],[Produto]],tItens[[#This Row],[Produto]])=1,1,0)</f>
        <v>1</v>
      </c>
    </row>
    <row r="12" spans="1:16" x14ac:dyDescent="0.25">
      <c r="A12" t="s">
        <v>722</v>
      </c>
      <c r="B12">
        <v>103</v>
      </c>
      <c r="C12" t="s">
        <v>3248</v>
      </c>
      <c r="D12" t="s">
        <v>56</v>
      </c>
      <c r="E12" s="13">
        <v>300</v>
      </c>
      <c r="F12" s="12">
        <v>0</v>
      </c>
      <c r="G12" t="str">
        <f>IFERROR(INDEX(tEditais[Órgão],MATCH(tItens[[#This Row],[Edital]],tEditais[Edital],0)),"")</f>
        <v>PREFEITURA MUNICIPAL DE TARAUACA - ACRE</v>
      </c>
      <c r="H12" t="str">
        <f>IFERROR(INDEX(tEditais[UF],MATCH(tItens[[#This Row],[Edital]],tEditais[Edital],0)),"")</f>
        <v>AC</v>
      </c>
      <c r="I12" s="11">
        <f>IFERROR(INDEX(tEditais[Encerramento],MATCH(tItens[[#This Row],[Edital]],tEditais[Edital],0)),"")</f>
        <v>46308.4375</v>
      </c>
      <c r="J12" t="str">
        <f>IFERROR(INDEX(tProdutos[Classe],MATCH(tItens[[#This Row],[Produto]],tProdutos[Produto],0)),"produto não cadastrado")</f>
        <v>NÚCLEO</v>
      </c>
      <c r="K12" s="12">
        <f>tItens[[#This Row],[Qtd]]*tItens[[#This Row],[Vlr unit]]</f>
        <v>0</v>
      </c>
      <c r="L12" s="6">
        <f>IFERROR(IF(INDEX(tProdutos[Desconto homologado],MATCH(tItens[[#This Row],[Produto]],tProdutos[Produto],0))="",DescontoPadrao,INDEX(tProdutos[Desconto homologado],MATCH(tItens[[#This Row],[Produto]],tProdutos[Produto],0))),DescontoPadrao)</f>
        <v>0.34</v>
      </c>
      <c r="M12" s="12">
        <f>tItens[[#This Row],[Valor]]*(1-tItens[[#This Row],[Desconto]])</f>
        <v>0</v>
      </c>
      <c r="N12" t="str">
        <f>IFERROR(INDEX(tProdutos[Foco],MATCH(tItens[[#This Row],[Produto]],tProdutos[Produto],0)),"Não")</f>
        <v>Sim</v>
      </c>
      <c r="O12" t="str">
        <f>IFERROR(INDEX(tEditais[SRP],MATCH(tItens[[#This Row],[Edital]],tEditais[Edital],0)),"Não")</f>
        <v>Sim</v>
      </c>
      <c r="P12" s="4">
        <f>IF(COUNTIFS(INDEX(tItens[Edital],1):tItens[[#This Row],[Edital]],tItens[[#This Row],[Edital]],INDEX(tItens[Produto],1):tItens[[#This Row],[Produto]],tItens[[#This Row],[Produto]])=1,1,0)</f>
        <v>0</v>
      </c>
    </row>
    <row r="13" spans="1:16" x14ac:dyDescent="0.25">
      <c r="A13" t="s">
        <v>722</v>
      </c>
      <c r="B13">
        <v>118</v>
      </c>
      <c r="C13" t="s">
        <v>3249</v>
      </c>
      <c r="D13" t="s">
        <v>403</v>
      </c>
      <c r="E13" s="13">
        <v>150</v>
      </c>
      <c r="F13" s="12">
        <v>0</v>
      </c>
      <c r="G13" t="str">
        <f>IFERROR(INDEX(tEditais[Órgão],MATCH(tItens[[#This Row],[Edital]],tEditais[Edital],0)),"")</f>
        <v>PREFEITURA MUNICIPAL DE TARAUACA - ACRE</v>
      </c>
      <c r="H13" t="str">
        <f>IFERROR(INDEX(tEditais[UF],MATCH(tItens[[#This Row],[Edital]],tEditais[Edital],0)),"")</f>
        <v>AC</v>
      </c>
      <c r="I13" s="11">
        <f>IFERROR(INDEX(tEditais[Encerramento],MATCH(tItens[[#This Row],[Edital]],tEditais[Edital],0)),"")</f>
        <v>46308.4375</v>
      </c>
      <c r="J13" t="str">
        <f>IFERROR(INDEX(tProdutos[Classe],MATCH(tItens[[#This Row],[Produto]],tProdutos[Produto],0)),"produto não cadastrado")</f>
        <v>FORA</v>
      </c>
      <c r="K13" s="12">
        <f>tItens[[#This Row],[Qtd]]*tItens[[#This Row],[Vlr unit]]</f>
        <v>0</v>
      </c>
      <c r="L13" s="6">
        <f>IFERROR(IF(INDEX(tProdutos[Desconto homologado],MATCH(tItens[[#This Row],[Produto]],tProdutos[Produto],0))="",DescontoPadrao,INDEX(tProdutos[Desconto homologado],MATCH(tItens[[#This Row],[Produto]],tProdutos[Produto],0))),DescontoPadrao)</f>
        <v>0.35326086956521702</v>
      </c>
      <c r="M13" s="12">
        <f>tItens[[#This Row],[Valor]]*(1-tItens[[#This Row],[Desconto]])</f>
        <v>0</v>
      </c>
      <c r="N13" t="str">
        <f>IFERROR(INDEX(tProdutos[Foco],MATCH(tItens[[#This Row],[Produto]],tProdutos[Produto],0)),"Não")</f>
        <v>Não</v>
      </c>
      <c r="O13" t="str">
        <f>IFERROR(INDEX(tEditais[SRP],MATCH(tItens[[#This Row],[Edital]],tEditais[Edital],0)),"Não")</f>
        <v>Sim</v>
      </c>
      <c r="P13" s="4">
        <f>IF(COUNTIFS(INDEX(tItens[Edital],1):tItens[[#This Row],[Edital]],tItens[[#This Row],[Edital]],INDEX(tItens[Produto],1):tItens[[#This Row],[Produto]],tItens[[#This Row],[Produto]])=1,1,0)</f>
        <v>1</v>
      </c>
    </row>
    <row r="14" spans="1:16" x14ac:dyDescent="0.25">
      <c r="A14" t="s">
        <v>722</v>
      </c>
      <c r="B14">
        <v>156</v>
      </c>
      <c r="C14" t="s">
        <v>3250</v>
      </c>
      <c r="D14" t="s">
        <v>255</v>
      </c>
      <c r="E14" s="13">
        <v>600</v>
      </c>
      <c r="F14" s="12">
        <v>0</v>
      </c>
      <c r="G14" t="str">
        <f>IFERROR(INDEX(tEditais[Órgão],MATCH(tItens[[#This Row],[Edital]],tEditais[Edital],0)),"")</f>
        <v>PREFEITURA MUNICIPAL DE TARAUACA - ACRE</v>
      </c>
      <c r="H14" t="str">
        <f>IFERROR(INDEX(tEditais[UF],MATCH(tItens[[#This Row],[Edital]],tEditais[Edital],0)),"")</f>
        <v>AC</v>
      </c>
      <c r="I14" s="11">
        <f>IFERROR(INDEX(tEditais[Encerramento],MATCH(tItens[[#This Row],[Edital]],tEditais[Edital],0)),"")</f>
        <v>46308.4375</v>
      </c>
      <c r="J14" t="str">
        <f>IFERROR(INDEX(tProdutos[Classe],MATCH(tItens[[#This Row],[Produto]],tProdutos[Produto],0)),"produto não cadastrado")</f>
        <v>DISPUTADO</v>
      </c>
      <c r="K14" s="12">
        <f>tItens[[#This Row],[Qtd]]*tItens[[#This Row],[Vlr unit]]</f>
        <v>0</v>
      </c>
      <c r="L14" s="6">
        <f>IFERROR(IF(INDEX(tProdutos[Desconto homologado],MATCH(tItens[[#This Row],[Produto]],tProdutos[Produto],0))="",DescontoPadrao,INDEX(tProdutos[Desconto homologado],MATCH(tItens[[#This Row],[Produto]],tProdutos[Produto],0))),DescontoPadrao)</f>
        <v>0.30555555555555602</v>
      </c>
      <c r="M14" s="12">
        <f>tItens[[#This Row],[Valor]]*(1-tItens[[#This Row],[Desconto]])</f>
        <v>0</v>
      </c>
      <c r="N14" t="str">
        <f>IFERROR(INDEX(tProdutos[Foco],MATCH(tItens[[#This Row],[Produto]],tProdutos[Produto],0)),"Não")</f>
        <v>Não</v>
      </c>
      <c r="O14" t="str">
        <f>IFERROR(INDEX(tEditais[SRP],MATCH(tItens[[#This Row],[Edital]],tEditais[Edital],0)),"Não")</f>
        <v>Sim</v>
      </c>
      <c r="P14" s="4">
        <f>IF(COUNTIFS(INDEX(tItens[Edital],1):tItens[[#This Row],[Edital]],tItens[[#This Row],[Edital]],INDEX(tItens[Produto],1):tItens[[#This Row],[Produto]],tItens[[#This Row],[Produto]])=1,1,0)</f>
        <v>1</v>
      </c>
    </row>
    <row r="15" spans="1:16" x14ac:dyDescent="0.25">
      <c r="A15" t="s">
        <v>722</v>
      </c>
      <c r="B15">
        <v>157</v>
      </c>
      <c r="C15" t="s">
        <v>3250</v>
      </c>
      <c r="D15" t="s">
        <v>255</v>
      </c>
      <c r="E15" s="13">
        <v>500</v>
      </c>
      <c r="F15" s="12">
        <v>0</v>
      </c>
      <c r="G15" t="str">
        <f>IFERROR(INDEX(tEditais[Órgão],MATCH(tItens[[#This Row],[Edital]],tEditais[Edital],0)),"")</f>
        <v>PREFEITURA MUNICIPAL DE TARAUACA - ACRE</v>
      </c>
      <c r="H15" t="str">
        <f>IFERROR(INDEX(tEditais[UF],MATCH(tItens[[#This Row],[Edital]],tEditais[Edital],0)),"")</f>
        <v>AC</v>
      </c>
      <c r="I15" s="11">
        <f>IFERROR(INDEX(tEditais[Encerramento],MATCH(tItens[[#This Row],[Edital]],tEditais[Edital],0)),"")</f>
        <v>46308.4375</v>
      </c>
      <c r="J15" t="str">
        <f>IFERROR(INDEX(tProdutos[Classe],MATCH(tItens[[#This Row],[Produto]],tProdutos[Produto],0)),"produto não cadastrado")</f>
        <v>DISPUTADO</v>
      </c>
      <c r="K15" s="12">
        <f>tItens[[#This Row],[Qtd]]*tItens[[#This Row],[Vlr unit]]</f>
        <v>0</v>
      </c>
      <c r="L15" s="6">
        <f>IFERROR(IF(INDEX(tProdutos[Desconto homologado],MATCH(tItens[[#This Row],[Produto]],tProdutos[Produto],0))="",DescontoPadrao,INDEX(tProdutos[Desconto homologado],MATCH(tItens[[#This Row],[Produto]],tProdutos[Produto],0))),DescontoPadrao)</f>
        <v>0.30555555555555602</v>
      </c>
      <c r="M15" s="12">
        <f>tItens[[#This Row],[Valor]]*(1-tItens[[#This Row],[Desconto]])</f>
        <v>0</v>
      </c>
      <c r="N15" t="str">
        <f>IFERROR(INDEX(tProdutos[Foco],MATCH(tItens[[#This Row],[Produto]],tProdutos[Produto],0)),"Não")</f>
        <v>Não</v>
      </c>
      <c r="O15" t="str">
        <f>IFERROR(INDEX(tEditais[SRP],MATCH(tItens[[#This Row],[Edital]],tEditais[Edital],0)),"Não")</f>
        <v>Sim</v>
      </c>
      <c r="P15" s="4">
        <f>IF(COUNTIFS(INDEX(tItens[Edital],1):tItens[[#This Row],[Edital]],tItens[[#This Row],[Edital]],INDEX(tItens[Produto],1):tItens[[#This Row],[Produto]],tItens[[#This Row],[Produto]])=1,1,0)</f>
        <v>0</v>
      </c>
    </row>
    <row r="16" spans="1:16" x14ac:dyDescent="0.25">
      <c r="A16" t="s">
        <v>722</v>
      </c>
      <c r="B16">
        <v>164</v>
      </c>
      <c r="C16" t="s">
        <v>3251</v>
      </c>
      <c r="D16" t="s">
        <v>411</v>
      </c>
      <c r="E16" s="13">
        <v>1000</v>
      </c>
      <c r="F16" s="12">
        <v>0</v>
      </c>
      <c r="G16" t="str">
        <f>IFERROR(INDEX(tEditais[Órgão],MATCH(tItens[[#This Row],[Edital]],tEditais[Edital],0)),"")</f>
        <v>PREFEITURA MUNICIPAL DE TARAUACA - ACRE</v>
      </c>
      <c r="H16" t="str">
        <f>IFERROR(INDEX(tEditais[UF],MATCH(tItens[[#This Row],[Edital]],tEditais[Edital],0)),"")</f>
        <v>AC</v>
      </c>
      <c r="I16" s="11">
        <f>IFERROR(INDEX(tEditais[Encerramento],MATCH(tItens[[#This Row],[Edital]],tEditais[Edital],0)),"")</f>
        <v>46308.4375</v>
      </c>
      <c r="J16" t="str">
        <f>IFERROR(INDEX(tProdutos[Classe],MATCH(tItens[[#This Row],[Produto]],tProdutos[Produto],0)),"produto não cadastrado")</f>
        <v>FORA</v>
      </c>
      <c r="K16" s="12">
        <f>tItens[[#This Row],[Qtd]]*tItens[[#This Row],[Vlr unit]]</f>
        <v>0</v>
      </c>
      <c r="L16" s="6">
        <f>IFERROR(IF(INDEX(tProdutos[Desconto homologado],MATCH(tItens[[#This Row],[Produto]],tProdutos[Produto],0))="",DescontoPadrao,INDEX(tProdutos[Desconto homologado],MATCH(tItens[[#This Row],[Produto]],tProdutos[Produto],0))),DescontoPadrao)</f>
        <v>0.50029835957199398</v>
      </c>
      <c r="M16" s="12">
        <f>tItens[[#This Row],[Valor]]*(1-tItens[[#This Row],[Desconto]])</f>
        <v>0</v>
      </c>
      <c r="N16" t="str">
        <f>IFERROR(INDEX(tProdutos[Foco],MATCH(tItens[[#This Row],[Produto]],tProdutos[Produto],0)),"Não")</f>
        <v>Não</v>
      </c>
      <c r="O16" t="str">
        <f>IFERROR(INDEX(tEditais[SRP],MATCH(tItens[[#This Row],[Edital]],tEditais[Edital],0)),"Não")</f>
        <v>Sim</v>
      </c>
      <c r="P16" s="4">
        <f>IF(COUNTIFS(INDEX(tItens[Edital],1):tItens[[#This Row],[Edital]],tItens[[#This Row],[Edital]],INDEX(tItens[Produto],1):tItens[[#This Row],[Produto]],tItens[[#This Row],[Produto]])=1,1,0)</f>
        <v>1</v>
      </c>
    </row>
    <row r="17" spans="1:16" x14ac:dyDescent="0.25">
      <c r="A17" t="s">
        <v>722</v>
      </c>
      <c r="B17">
        <v>167</v>
      </c>
      <c r="C17" t="s">
        <v>3252</v>
      </c>
      <c r="D17" t="s">
        <v>114</v>
      </c>
      <c r="E17" s="13">
        <v>500</v>
      </c>
      <c r="F17" s="12">
        <v>0</v>
      </c>
      <c r="G17" t="str">
        <f>IFERROR(INDEX(tEditais[Órgão],MATCH(tItens[[#This Row],[Edital]],tEditais[Edital],0)),"")</f>
        <v>PREFEITURA MUNICIPAL DE TARAUACA - ACRE</v>
      </c>
      <c r="H17" t="str">
        <f>IFERROR(INDEX(tEditais[UF],MATCH(tItens[[#This Row],[Edital]],tEditais[Edital],0)),"")</f>
        <v>AC</v>
      </c>
      <c r="I17" s="11">
        <f>IFERROR(INDEX(tEditais[Encerramento],MATCH(tItens[[#This Row],[Edital]],tEditais[Edital],0)),"")</f>
        <v>46308.4375</v>
      </c>
      <c r="J17" t="str">
        <f>IFERROR(INDEX(tProdutos[Classe],MATCH(tItens[[#This Row],[Produto]],tProdutos[Produto],0)),"produto não cadastrado")</f>
        <v>DISPUTADO</v>
      </c>
      <c r="K17" s="12">
        <f>tItens[[#This Row],[Qtd]]*tItens[[#This Row],[Vlr unit]]</f>
        <v>0</v>
      </c>
      <c r="L17" s="6">
        <f>IFERROR(IF(INDEX(tProdutos[Desconto homologado],MATCH(tItens[[#This Row],[Produto]],tProdutos[Produto],0))="",DescontoPadrao,INDEX(tProdutos[Desconto homologado],MATCH(tItens[[#This Row],[Produto]],tProdutos[Produto],0))),DescontoPadrao)</f>
        <v>0.24332656063896899</v>
      </c>
      <c r="M17" s="12">
        <f>tItens[[#This Row],[Valor]]*(1-tItens[[#This Row],[Desconto]])</f>
        <v>0</v>
      </c>
      <c r="N17" t="str">
        <f>IFERROR(INDEX(tProdutos[Foco],MATCH(tItens[[#This Row],[Produto]],tProdutos[Produto],0)),"Não")</f>
        <v>Não</v>
      </c>
      <c r="O17" t="str">
        <f>IFERROR(INDEX(tEditais[SRP],MATCH(tItens[[#This Row],[Edital]],tEditais[Edital],0)),"Não")</f>
        <v>Sim</v>
      </c>
      <c r="P17" s="4">
        <f>IF(COUNTIFS(INDEX(tItens[Edital],1):tItens[[#This Row],[Edital]],tItens[[#This Row],[Edital]],INDEX(tItens[Produto],1):tItens[[#This Row],[Produto]],tItens[[#This Row],[Produto]])=1,1,0)</f>
        <v>1</v>
      </c>
    </row>
    <row r="18" spans="1:16" x14ac:dyDescent="0.25">
      <c r="A18" t="s">
        <v>727</v>
      </c>
      <c r="B18">
        <v>28</v>
      </c>
      <c r="C18" t="s">
        <v>3253</v>
      </c>
      <c r="D18" t="s">
        <v>80</v>
      </c>
      <c r="E18" s="13">
        <v>500</v>
      </c>
      <c r="F18" s="12">
        <v>0.44</v>
      </c>
      <c r="G18" t="str">
        <f>IFERROR(INDEX(tEditais[Órgão],MATCH(tItens[[#This Row],[Edital]],tEditais[Edital],0)),"")</f>
        <v>MUNICIPIO DE MARAGOGI</v>
      </c>
      <c r="H18" t="str">
        <f>IFERROR(INDEX(tEditais[UF],MATCH(tItens[[#This Row],[Edital]],tEditais[Edital],0)),"")</f>
        <v>AL</v>
      </c>
      <c r="I18" s="11">
        <f>IFERROR(INDEX(tEditais[Encerramento],MATCH(tItens[[#This Row],[Edital]],tEditais[Edital],0)),"")</f>
        <v>46308.333333333336</v>
      </c>
      <c r="J18" t="str">
        <f>IFERROR(INDEX(tProdutos[Classe],MATCH(tItens[[#This Row],[Produto]],tProdutos[Produto],0)),"produto não cadastrado")</f>
        <v>NÚCLEO</v>
      </c>
      <c r="K18" s="12">
        <f>tItens[[#This Row],[Qtd]]*tItens[[#This Row],[Vlr unit]]</f>
        <v>220</v>
      </c>
      <c r="L18" s="6">
        <f>IFERROR(IF(INDEX(tProdutos[Desconto homologado],MATCH(tItens[[#This Row],[Produto]],tProdutos[Produto],0))="",DescontoPadrao,INDEX(tProdutos[Desconto homologado],MATCH(tItens[[#This Row],[Produto]],tProdutos[Produto],0))),DescontoPadrao)</f>
        <v>0.33</v>
      </c>
      <c r="M18" s="12">
        <f>tItens[[#This Row],[Valor]]*(1-tItens[[#This Row],[Desconto]])</f>
        <v>147.39999999999998</v>
      </c>
      <c r="N18" t="str">
        <f>IFERROR(INDEX(tProdutos[Foco],MATCH(tItens[[#This Row],[Produto]],tProdutos[Produto],0)),"Não")</f>
        <v>Sim</v>
      </c>
      <c r="O18" t="str">
        <f>IFERROR(INDEX(tEditais[SRP],MATCH(tItens[[#This Row],[Edital]],tEditais[Edital],0)),"Não")</f>
        <v>Sim</v>
      </c>
      <c r="P18" s="4">
        <f>IF(COUNTIFS(INDEX(tItens[Edital],1):tItens[[#This Row],[Edital]],tItens[[#This Row],[Edital]],INDEX(tItens[Produto],1):tItens[[#This Row],[Produto]],tItens[[#This Row],[Produto]])=1,1,0)</f>
        <v>1</v>
      </c>
    </row>
    <row r="19" spans="1:16" x14ac:dyDescent="0.25">
      <c r="A19" t="s">
        <v>733</v>
      </c>
      <c r="B19">
        <v>4</v>
      </c>
      <c r="C19" t="s">
        <v>3254</v>
      </c>
      <c r="D19" t="s">
        <v>295</v>
      </c>
      <c r="E19" s="13">
        <v>50000</v>
      </c>
      <c r="F19" s="12">
        <v>0.62</v>
      </c>
      <c r="G19" t="str">
        <f>IFERROR(INDEX(tEditais[Órgão],MATCH(tItens[[#This Row],[Edital]],tEditais[Edital],0)),"")</f>
        <v>MUNICIPIO DE CANAPI</v>
      </c>
      <c r="H19" t="str">
        <f>IFERROR(INDEX(tEditais[UF],MATCH(tItens[[#This Row],[Edital]],tEditais[Edital],0)),"")</f>
        <v>AL</v>
      </c>
      <c r="I19" s="11">
        <f>IFERROR(INDEX(tEditais[Encerramento],MATCH(tItens[[#This Row],[Edital]],tEditais[Edital],0)),"")</f>
        <v>46308.354166666664</v>
      </c>
      <c r="J19" t="str">
        <f>IFERROR(INDEX(tProdutos[Classe],MATCH(tItens[[#This Row],[Produto]],tProdutos[Produto],0)),"produto não cadastrado")</f>
        <v>FORA</v>
      </c>
      <c r="K19" s="12">
        <f>tItens[[#This Row],[Qtd]]*tItens[[#This Row],[Vlr unit]]</f>
        <v>31000</v>
      </c>
      <c r="L19" s="6">
        <f>IFERROR(IF(INDEX(tProdutos[Desconto homologado],MATCH(tItens[[#This Row],[Produto]],tProdutos[Produto],0))="",DescontoPadrao,INDEX(tProdutos[Desconto homologado],MATCH(tItens[[#This Row],[Produto]],tProdutos[Produto],0))),DescontoPadrao)</f>
        <v>0.219311377245509</v>
      </c>
      <c r="M19" s="12">
        <f>tItens[[#This Row],[Valor]]*(1-tItens[[#This Row],[Desconto]])</f>
        <v>24201.347305389223</v>
      </c>
      <c r="N19" t="str">
        <f>IFERROR(INDEX(tProdutos[Foco],MATCH(tItens[[#This Row],[Produto]],tProdutos[Produto],0)),"Não")</f>
        <v>Não</v>
      </c>
      <c r="O19" t="str">
        <f>IFERROR(INDEX(tEditais[SRP],MATCH(tItens[[#This Row],[Edital]],tEditais[Edital],0)),"Não")</f>
        <v>Não</v>
      </c>
      <c r="P19" s="4">
        <f>IF(COUNTIFS(INDEX(tItens[Edital],1):tItens[[#This Row],[Edital]],tItens[[#This Row],[Edital]],INDEX(tItens[Produto],1):tItens[[#This Row],[Produto]],tItens[[#This Row],[Produto]])=1,1,0)</f>
        <v>1</v>
      </c>
    </row>
    <row r="20" spans="1:16" x14ac:dyDescent="0.25">
      <c r="A20" t="s">
        <v>733</v>
      </c>
      <c r="B20">
        <v>5</v>
      </c>
      <c r="C20" t="s">
        <v>3255</v>
      </c>
      <c r="D20" t="s">
        <v>295</v>
      </c>
      <c r="E20" s="13">
        <v>30000</v>
      </c>
      <c r="F20" s="12">
        <v>0.64</v>
      </c>
      <c r="G20" t="str">
        <f>IFERROR(INDEX(tEditais[Órgão],MATCH(tItens[[#This Row],[Edital]],tEditais[Edital],0)),"")</f>
        <v>MUNICIPIO DE CANAPI</v>
      </c>
      <c r="H20" t="str">
        <f>IFERROR(INDEX(tEditais[UF],MATCH(tItens[[#This Row],[Edital]],tEditais[Edital],0)),"")</f>
        <v>AL</v>
      </c>
      <c r="I20" s="11">
        <f>IFERROR(INDEX(tEditais[Encerramento],MATCH(tItens[[#This Row],[Edital]],tEditais[Edital],0)),"")</f>
        <v>46308.354166666664</v>
      </c>
      <c r="J20" t="str">
        <f>IFERROR(INDEX(tProdutos[Classe],MATCH(tItens[[#This Row],[Produto]],tProdutos[Produto],0)),"produto não cadastrado")</f>
        <v>FORA</v>
      </c>
      <c r="K20" s="12">
        <f>tItens[[#This Row],[Qtd]]*tItens[[#This Row],[Vlr unit]]</f>
        <v>19200</v>
      </c>
      <c r="L20" s="6">
        <f>IFERROR(IF(INDEX(tProdutos[Desconto homologado],MATCH(tItens[[#This Row],[Produto]],tProdutos[Produto],0))="",DescontoPadrao,INDEX(tProdutos[Desconto homologado],MATCH(tItens[[#This Row],[Produto]],tProdutos[Produto],0))),DescontoPadrao)</f>
        <v>0.219311377245509</v>
      </c>
      <c r="M20" s="12">
        <f>tItens[[#This Row],[Valor]]*(1-tItens[[#This Row],[Desconto]])</f>
        <v>14989.221556886228</v>
      </c>
      <c r="N20" t="str">
        <f>IFERROR(INDEX(tProdutos[Foco],MATCH(tItens[[#This Row],[Produto]],tProdutos[Produto],0)),"Não")</f>
        <v>Não</v>
      </c>
      <c r="O20" t="str">
        <f>IFERROR(INDEX(tEditais[SRP],MATCH(tItens[[#This Row],[Edital]],tEditais[Edital],0)),"Não")</f>
        <v>Não</v>
      </c>
      <c r="P20" s="4">
        <f>IF(COUNTIFS(INDEX(tItens[Edital],1):tItens[[#This Row],[Edital]],tItens[[#This Row],[Edital]],INDEX(tItens[Produto],1):tItens[[#This Row],[Produto]],tItens[[#This Row],[Produto]])=1,1,0)</f>
        <v>0</v>
      </c>
    </row>
    <row r="21" spans="1:16" x14ac:dyDescent="0.25">
      <c r="A21" t="s">
        <v>733</v>
      </c>
      <c r="B21">
        <v>6</v>
      </c>
      <c r="C21" t="s">
        <v>3256</v>
      </c>
      <c r="D21" t="s">
        <v>315</v>
      </c>
      <c r="E21" s="13">
        <v>10000</v>
      </c>
      <c r="F21" s="12">
        <v>0.22</v>
      </c>
      <c r="G21" t="str">
        <f>IFERROR(INDEX(tEditais[Órgão],MATCH(tItens[[#This Row],[Edital]],tEditais[Edital],0)),"")</f>
        <v>MUNICIPIO DE CANAPI</v>
      </c>
      <c r="H21" t="str">
        <f>IFERROR(INDEX(tEditais[UF],MATCH(tItens[[#This Row],[Edital]],tEditais[Edital],0)),"")</f>
        <v>AL</v>
      </c>
      <c r="I21" s="11">
        <f>IFERROR(INDEX(tEditais[Encerramento],MATCH(tItens[[#This Row],[Edital]],tEditais[Edital],0)),"")</f>
        <v>46308.354166666664</v>
      </c>
      <c r="J21" t="str">
        <f>IFERROR(INDEX(tProdutos[Classe],MATCH(tItens[[#This Row],[Produto]],tProdutos[Produto],0)),"produto não cadastrado")</f>
        <v>FORA</v>
      </c>
      <c r="K21" s="12">
        <f>tItens[[#This Row],[Qtd]]*tItens[[#This Row],[Vlr unit]]</f>
        <v>2200</v>
      </c>
      <c r="L21" s="6">
        <f>IFERROR(IF(INDEX(tProdutos[Desconto homologado],MATCH(tItens[[#This Row],[Produto]],tProdutos[Produto],0))="",DescontoPadrao,INDEX(tProdutos[Desconto homologado],MATCH(tItens[[#This Row],[Produto]],tProdutos[Produto],0))),DescontoPadrao)</f>
        <v>0.38432036097010702</v>
      </c>
      <c r="M21" s="12">
        <f>tItens[[#This Row],[Valor]]*(1-tItens[[#This Row],[Desconto]])</f>
        <v>1354.4952058657645</v>
      </c>
      <c r="N21" t="str">
        <f>IFERROR(INDEX(tProdutos[Foco],MATCH(tItens[[#This Row],[Produto]],tProdutos[Produto],0)),"Não")</f>
        <v>Não</v>
      </c>
      <c r="O21" t="str">
        <f>IFERROR(INDEX(tEditais[SRP],MATCH(tItens[[#This Row],[Edital]],tEditais[Edital],0)),"Não")</f>
        <v>Não</v>
      </c>
      <c r="P21" s="4">
        <f>IF(COUNTIFS(INDEX(tItens[Edital],1):tItens[[#This Row],[Edital]],tItens[[#This Row],[Edital]],INDEX(tItens[Produto],1):tItens[[#This Row],[Produto]],tItens[[#This Row],[Produto]])=1,1,0)</f>
        <v>1</v>
      </c>
    </row>
    <row r="22" spans="1:16" x14ac:dyDescent="0.25">
      <c r="A22" t="s">
        <v>733</v>
      </c>
      <c r="B22">
        <v>7</v>
      </c>
      <c r="C22" t="s">
        <v>3257</v>
      </c>
      <c r="D22" t="s">
        <v>315</v>
      </c>
      <c r="E22" s="13">
        <v>20000</v>
      </c>
      <c r="F22" s="12">
        <v>0.22</v>
      </c>
      <c r="G22" t="str">
        <f>IFERROR(INDEX(tEditais[Órgão],MATCH(tItens[[#This Row],[Edital]],tEditais[Edital],0)),"")</f>
        <v>MUNICIPIO DE CANAPI</v>
      </c>
      <c r="H22" t="str">
        <f>IFERROR(INDEX(tEditais[UF],MATCH(tItens[[#This Row],[Edital]],tEditais[Edital],0)),"")</f>
        <v>AL</v>
      </c>
      <c r="I22" s="11">
        <f>IFERROR(INDEX(tEditais[Encerramento],MATCH(tItens[[#This Row],[Edital]],tEditais[Edital],0)),"")</f>
        <v>46308.354166666664</v>
      </c>
      <c r="J22" t="str">
        <f>IFERROR(INDEX(tProdutos[Classe],MATCH(tItens[[#This Row],[Produto]],tProdutos[Produto],0)),"produto não cadastrado")</f>
        <v>FORA</v>
      </c>
      <c r="K22" s="12">
        <f>tItens[[#This Row],[Qtd]]*tItens[[#This Row],[Vlr unit]]</f>
        <v>4400</v>
      </c>
      <c r="L22" s="6">
        <f>IFERROR(IF(INDEX(tProdutos[Desconto homologado],MATCH(tItens[[#This Row],[Produto]],tProdutos[Produto],0))="",DescontoPadrao,INDEX(tProdutos[Desconto homologado],MATCH(tItens[[#This Row],[Produto]],tProdutos[Produto],0))),DescontoPadrao)</f>
        <v>0.38432036097010702</v>
      </c>
      <c r="M22" s="12">
        <f>tItens[[#This Row],[Valor]]*(1-tItens[[#This Row],[Desconto]])</f>
        <v>2708.9904117315291</v>
      </c>
      <c r="N22" t="str">
        <f>IFERROR(INDEX(tProdutos[Foco],MATCH(tItens[[#This Row],[Produto]],tProdutos[Produto],0)),"Não")</f>
        <v>Não</v>
      </c>
      <c r="O22" t="str">
        <f>IFERROR(INDEX(tEditais[SRP],MATCH(tItens[[#This Row],[Edital]],tEditais[Edital],0)),"Não")</f>
        <v>Não</v>
      </c>
      <c r="P22" s="4">
        <f>IF(COUNTIFS(INDEX(tItens[Edital],1):tItens[[#This Row],[Edital]],tItens[[#This Row],[Edital]],INDEX(tItens[Produto],1):tItens[[#This Row],[Produto]],tItens[[#This Row],[Produto]])=1,1,0)</f>
        <v>0</v>
      </c>
    </row>
    <row r="23" spans="1:16" x14ac:dyDescent="0.25">
      <c r="A23" t="s">
        <v>733</v>
      </c>
      <c r="B23">
        <v>8</v>
      </c>
      <c r="C23" t="s">
        <v>3258</v>
      </c>
      <c r="D23" t="s">
        <v>315</v>
      </c>
      <c r="E23" s="13">
        <v>10000</v>
      </c>
      <c r="F23" s="12">
        <v>0.22</v>
      </c>
      <c r="G23" t="str">
        <f>IFERROR(INDEX(tEditais[Órgão],MATCH(tItens[[#This Row],[Edital]],tEditais[Edital],0)),"")</f>
        <v>MUNICIPIO DE CANAPI</v>
      </c>
      <c r="H23" t="str">
        <f>IFERROR(INDEX(tEditais[UF],MATCH(tItens[[#This Row],[Edital]],tEditais[Edital],0)),"")</f>
        <v>AL</v>
      </c>
      <c r="I23" s="11">
        <f>IFERROR(INDEX(tEditais[Encerramento],MATCH(tItens[[#This Row],[Edital]],tEditais[Edital],0)),"")</f>
        <v>46308.354166666664</v>
      </c>
      <c r="J23" t="str">
        <f>IFERROR(INDEX(tProdutos[Classe],MATCH(tItens[[#This Row],[Produto]],tProdutos[Produto],0)),"produto não cadastrado")</f>
        <v>FORA</v>
      </c>
      <c r="K23" s="12">
        <f>tItens[[#This Row],[Qtd]]*tItens[[#This Row],[Vlr unit]]</f>
        <v>2200</v>
      </c>
      <c r="L23" s="6">
        <f>IFERROR(IF(INDEX(tProdutos[Desconto homologado],MATCH(tItens[[#This Row],[Produto]],tProdutos[Produto],0))="",DescontoPadrao,INDEX(tProdutos[Desconto homologado],MATCH(tItens[[#This Row],[Produto]],tProdutos[Produto],0))),DescontoPadrao)</f>
        <v>0.38432036097010702</v>
      </c>
      <c r="M23" s="12">
        <f>tItens[[#This Row],[Valor]]*(1-tItens[[#This Row],[Desconto]])</f>
        <v>1354.4952058657645</v>
      </c>
      <c r="N23" t="str">
        <f>IFERROR(INDEX(tProdutos[Foco],MATCH(tItens[[#This Row],[Produto]],tProdutos[Produto],0)),"Não")</f>
        <v>Não</v>
      </c>
      <c r="O23" t="str">
        <f>IFERROR(INDEX(tEditais[SRP],MATCH(tItens[[#This Row],[Edital]],tEditais[Edital],0)),"Não")</f>
        <v>Não</v>
      </c>
      <c r="P23" s="4">
        <f>IF(COUNTIFS(INDEX(tItens[Edital],1):tItens[[#This Row],[Edital]],tItens[[#This Row],[Edital]],INDEX(tItens[Produto],1):tItens[[#This Row],[Produto]],tItens[[#This Row],[Produto]])=1,1,0)</f>
        <v>0</v>
      </c>
    </row>
    <row r="24" spans="1:16" x14ac:dyDescent="0.25">
      <c r="A24" t="s">
        <v>733</v>
      </c>
      <c r="B24">
        <v>9</v>
      </c>
      <c r="C24" t="s">
        <v>3259</v>
      </c>
      <c r="D24" t="s">
        <v>315</v>
      </c>
      <c r="E24" s="13">
        <v>12000</v>
      </c>
      <c r="F24" s="12">
        <v>0.22</v>
      </c>
      <c r="G24" t="str">
        <f>IFERROR(INDEX(tEditais[Órgão],MATCH(tItens[[#This Row],[Edital]],tEditais[Edital],0)),"")</f>
        <v>MUNICIPIO DE CANAPI</v>
      </c>
      <c r="H24" t="str">
        <f>IFERROR(INDEX(tEditais[UF],MATCH(tItens[[#This Row],[Edital]],tEditais[Edital],0)),"")</f>
        <v>AL</v>
      </c>
      <c r="I24" s="11">
        <f>IFERROR(INDEX(tEditais[Encerramento],MATCH(tItens[[#This Row],[Edital]],tEditais[Edital],0)),"")</f>
        <v>46308.354166666664</v>
      </c>
      <c r="J24" t="str">
        <f>IFERROR(INDEX(tProdutos[Classe],MATCH(tItens[[#This Row],[Produto]],tProdutos[Produto],0)),"produto não cadastrado")</f>
        <v>FORA</v>
      </c>
      <c r="K24" s="12">
        <f>tItens[[#This Row],[Qtd]]*tItens[[#This Row],[Vlr unit]]</f>
        <v>2640</v>
      </c>
      <c r="L24" s="6">
        <f>IFERROR(IF(INDEX(tProdutos[Desconto homologado],MATCH(tItens[[#This Row],[Produto]],tProdutos[Produto],0))="",DescontoPadrao,INDEX(tProdutos[Desconto homologado],MATCH(tItens[[#This Row],[Produto]],tProdutos[Produto],0))),DescontoPadrao)</f>
        <v>0.38432036097010702</v>
      </c>
      <c r="M24" s="12">
        <f>tItens[[#This Row],[Valor]]*(1-tItens[[#This Row],[Desconto]])</f>
        <v>1625.3942470389175</v>
      </c>
      <c r="N24" t="str">
        <f>IFERROR(INDEX(tProdutos[Foco],MATCH(tItens[[#This Row],[Produto]],tProdutos[Produto],0)),"Não")</f>
        <v>Não</v>
      </c>
      <c r="O24" t="str">
        <f>IFERROR(INDEX(tEditais[SRP],MATCH(tItens[[#This Row],[Edital]],tEditais[Edital],0)),"Não")</f>
        <v>Não</v>
      </c>
      <c r="P24" s="4">
        <f>IF(COUNTIFS(INDEX(tItens[Edital],1):tItens[[#This Row],[Edital]],tItens[[#This Row],[Edital]],INDEX(tItens[Produto],1):tItens[[#This Row],[Produto]],tItens[[#This Row],[Produto]])=1,1,0)</f>
        <v>0</v>
      </c>
    </row>
    <row r="25" spans="1:16" x14ac:dyDescent="0.25">
      <c r="A25" t="s">
        <v>733</v>
      </c>
      <c r="B25">
        <v>10</v>
      </c>
      <c r="C25" t="s">
        <v>3260</v>
      </c>
      <c r="D25" t="s">
        <v>315</v>
      </c>
      <c r="E25" s="13">
        <v>10000</v>
      </c>
      <c r="F25" s="12">
        <v>0.22</v>
      </c>
      <c r="G25" t="str">
        <f>IFERROR(INDEX(tEditais[Órgão],MATCH(tItens[[#This Row],[Edital]],tEditais[Edital],0)),"")</f>
        <v>MUNICIPIO DE CANAPI</v>
      </c>
      <c r="H25" t="str">
        <f>IFERROR(INDEX(tEditais[UF],MATCH(tItens[[#This Row],[Edital]],tEditais[Edital],0)),"")</f>
        <v>AL</v>
      </c>
      <c r="I25" s="11">
        <f>IFERROR(INDEX(tEditais[Encerramento],MATCH(tItens[[#This Row],[Edital]],tEditais[Edital],0)),"")</f>
        <v>46308.354166666664</v>
      </c>
      <c r="J25" t="str">
        <f>IFERROR(INDEX(tProdutos[Classe],MATCH(tItens[[#This Row],[Produto]],tProdutos[Produto],0)),"produto não cadastrado")</f>
        <v>FORA</v>
      </c>
      <c r="K25" s="12">
        <f>tItens[[#This Row],[Qtd]]*tItens[[#This Row],[Vlr unit]]</f>
        <v>2200</v>
      </c>
      <c r="L25" s="6">
        <f>IFERROR(IF(INDEX(tProdutos[Desconto homologado],MATCH(tItens[[#This Row],[Produto]],tProdutos[Produto],0))="",DescontoPadrao,INDEX(tProdutos[Desconto homologado],MATCH(tItens[[#This Row],[Produto]],tProdutos[Produto],0))),DescontoPadrao)</f>
        <v>0.38432036097010702</v>
      </c>
      <c r="M25" s="12">
        <f>tItens[[#This Row],[Valor]]*(1-tItens[[#This Row],[Desconto]])</f>
        <v>1354.4952058657645</v>
      </c>
      <c r="N25" t="str">
        <f>IFERROR(INDEX(tProdutos[Foco],MATCH(tItens[[#This Row],[Produto]],tProdutos[Produto],0)),"Não")</f>
        <v>Não</v>
      </c>
      <c r="O25" t="str">
        <f>IFERROR(INDEX(tEditais[SRP],MATCH(tItens[[#This Row],[Edital]],tEditais[Edital],0)),"Não")</f>
        <v>Não</v>
      </c>
      <c r="P25" s="4">
        <f>IF(COUNTIFS(INDEX(tItens[Edital],1):tItens[[#This Row],[Edital]],tItens[[#This Row],[Edital]],INDEX(tItens[Produto],1):tItens[[#This Row],[Produto]],tItens[[#This Row],[Produto]])=1,1,0)</f>
        <v>0</v>
      </c>
    </row>
    <row r="26" spans="1:16" x14ac:dyDescent="0.25">
      <c r="A26" t="s">
        <v>733</v>
      </c>
      <c r="B26">
        <v>11</v>
      </c>
      <c r="C26" t="s">
        <v>3261</v>
      </c>
      <c r="D26" t="s">
        <v>315</v>
      </c>
      <c r="E26" s="13">
        <v>12000</v>
      </c>
      <c r="F26" s="12">
        <v>0.22</v>
      </c>
      <c r="G26" t="str">
        <f>IFERROR(INDEX(tEditais[Órgão],MATCH(tItens[[#This Row],[Edital]],tEditais[Edital],0)),"")</f>
        <v>MUNICIPIO DE CANAPI</v>
      </c>
      <c r="H26" t="str">
        <f>IFERROR(INDEX(tEditais[UF],MATCH(tItens[[#This Row],[Edital]],tEditais[Edital],0)),"")</f>
        <v>AL</v>
      </c>
      <c r="I26" s="11">
        <f>IFERROR(INDEX(tEditais[Encerramento],MATCH(tItens[[#This Row],[Edital]],tEditais[Edital],0)),"")</f>
        <v>46308.354166666664</v>
      </c>
      <c r="J26" t="str">
        <f>IFERROR(INDEX(tProdutos[Classe],MATCH(tItens[[#This Row],[Produto]],tProdutos[Produto],0)),"produto não cadastrado")</f>
        <v>FORA</v>
      </c>
      <c r="K26" s="12">
        <f>tItens[[#This Row],[Qtd]]*tItens[[#This Row],[Vlr unit]]</f>
        <v>2640</v>
      </c>
      <c r="L26" s="6">
        <f>IFERROR(IF(INDEX(tProdutos[Desconto homologado],MATCH(tItens[[#This Row],[Produto]],tProdutos[Produto],0))="",DescontoPadrao,INDEX(tProdutos[Desconto homologado],MATCH(tItens[[#This Row],[Produto]],tProdutos[Produto],0))),DescontoPadrao)</f>
        <v>0.38432036097010702</v>
      </c>
      <c r="M26" s="12">
        <f>tItens[[#This Row],[Valor]]*(1-tItens[[#This Row],[Desconto]])</f>
        <v>1625.3942470389175</v>
      </c>
      <c r="N26" t="str">
        <f>IFERROR(INDEX(tProdutos[Foco],MATCH(tItens[[#This Row],[Produto]],tProdutos[Produto],0)),"Não")</f>
        <v>Não</v>
      </c>
      <c r="O26" t="str">
        <f>IFERROR(INDEX(tEditais[SRP],MATCH(tItens[[#This Row],[Edital]],tEditais[Edital],0)),"Não")</f>
        <v>Não</v>
      </c>
      <c r="P26" s="4">
        <f>IF(COUNTIFS(INDEX(tItens[Edital],1):tItens[[#This Row],[Edital]],tItens[[#This Row],[Edital]],INDEX(tItens[Produto],1):tItens[[#This Row],[Produto]],tItens[[#This Row],[Produto]])=1,1,0)</f>
        <v>0</v>
      </c>
    </row>
    <row r="27" spans="1:16" x14ac:dyDescent="0.25">
      <c r="A27" t="s">
        <v>733</v>
      </c>
      <c r="B27">
        <v>12</v>
      </c>
      <c r="C27" t="s">
        <v>3262</v>
      </c>
      <c r="D27" t="s">
        <v>315</v>
      </c>
      <c r="E27" s="13">
        <v>800</v>
      </c>
      <c r="F27" s="12">
        <v>0.22</v>
      </c>
      <c r="G27" t="str">
        <f>IFERROR(INDEX(tEditais[Órgão],MATCH(tItens[[#This Row],[Edital]],tEditais[Edital],0)),"")</f>
        <v>MUNICIPIO DE CANAPI</v>
      </c>
      <c r="H27" t="str">
        <f>IFERROR(INDEX(tEditais[UF],MATCH(tItens[[#This Row],[Edital]],tEditais[Edital],0)),"")</f>
        <v>AL</v>
      </c>
      <c r="I27" s="11">
        <f>IFERROR(INDEX(tEditais[Encerramento],MATCH(tItens[[#This Row],[Edital]],tEditais[Edital],0)),"")</f>
        <v>46308.354166666664</v>
      </c>
      <c r="J27" t="str">
        <f>IFERROR(INDEX(tProdutos[Classe],MATCH(tItens[[#This Row],[Produto]],tProdutos[Produto],0)),"produto não cadastrado")</f>
        <v>FORA</v>
      </c>
      <c r="K27" s="12">
        <f>tItens[[#This Row],[Qtd]]*tItens[[#This Row],[Vlr unit]]</f>
        <v>176</v>
      </c>
      <c r="L27" s="6">
        <f>IFERROR(IF(INDEX(tProdutos[Desconto homologado],MATCH(tItens[[#This Row],[Produto]],tProdutos[Produto],0))="",DescontoPadrao,INDEX(tProdutos[Desconto homologado],MATCH(tItens[[#This Row],[Produto]],tProdutos[Produto],0))),DescontoPadrao)</f>
        <v>0.38432036097010702</v>
      </c>
      <c r="M27" s="12">
        <f>tItens[[#This Row],[Valor]]*(1-tItens[[#This Row],[Desconto]])</f>
        <v>108.35961646926117</v>
      </c>
      <c r="N27" t="str">
        <f>IFERROR(INDEX(tProdutos[Foco],MATCH(tItens[[#This Row],[Produto]],tProdutos[Produto],0)),"Não")</f>
        <v>Não</v>
      </c>
      <c r="O27" t="str">
        <f>IFERROR(INDEX(tEditais[SRP],MATCH(tItens[[#This Row],[Edital]],tEditais[Edital],0)),"Não")</f>
        <v>Não</v>
      </c>
      <c r="P27" s="4">
        <f>IF(COUNTIFS(INDEX(tItens[Edital],1):tItens[[#This Row],[Edital]],tItens[[#This Row],[Edital]],INDEX(tItens[Produto],1):tItens[[#This Row],[Produto]],tItens[[#This Row],[Produto]])=1,1,0)</f>
        <v>0</v>
      </c>
    </row>
    <row r="28" spans="1:16" x14ac:dyDescent="0.25">
      <c r="A28" t="s">
        <v>733</v>
      </c>
      <c r="B28">
        <v>25</v>
      </c>
      <c r="C28" t="s">
        <v>3263</v>
      </c>
      <c r="D28" t="s">
        <v>387</v>
      </c>
      <c r="E28" s="13">
        <v>3000</v>
      </c>
      <c r="F28" s="12">
        <v>4.45</v>
      </c>
      <c r="G28" t="str">
        <f>IFERROR(INDEX(tEditais[Órgão],MATCH(tItens[[#This Row],[Edital]],tEditais[Edital],0)),"")</f>
        <v>MUNICIPIO DE CANAPI</v>
      </c>
      <c r="H28" t="str">
        <f>IFERROR(INDEX(tEditais[UF],MATCH(tItens[[#This Row],[Edital]],tEditais[Edital],0)),"")</f>
        <v>AL</v>
      </c>
      <c r="I28" s="11">
        <f>IFERROR(INDEX(tEditais[Encerramento],MATCH(tItens[[#This Row],[Edital]],tEditais[Edital],0)),"")</f>
        <v>46308.354166666664</v>
      </c>
      <c r="J28" t="str">
        <f>IFERROR(INDEX(tProdutos[Classe],MATCH(tItens[[#This Row],[Produto]],tProdutos[Produto],0)),"produto não cadastrado")</f>
        <v>FORA</v>
      </c>
      <c r="K28" s="12">
        <f>tItens[[#This Row],[Qtd]]*tItens[[#This Row],[Vlr unit]]</f>
        <v>13350</v>
      </c>
      <c r="L28" s="6">
        <f>IFERROR(IF(INDEX(tProdutos[Desconto homologado],MATCH(tItens[[#This Row],[Produto]],tProdutos[Produto],0))="",DescontoPadrao,INDEX(tProdutos[Desconto homologado],MATCH(tItens[[#This Row],[Produto]],tProdutos[Produto],0))),DescontoPadrao)</f>
        <v>0.30458221024258803</v>
      </c>
      <c r="M28" s="12">
        <f>tItens[[#This Row],[Valor]]*(1-tItens[[#This Row],[Desconto]])</f>
        <v>9283.8274932614495</v>
      </c>
      <c r="N28" t="str">
        <f>IFERROR(INDEX(tProdutos[Foco],MATCH(tItens[[#This Row],[Produto]],tProdutos[Produto],0)),"Não")</f>
        <v>Não</v>
      </c>
      <c r="O28" t="str">
        <f>IFERROR(INDEX(tEditais[SRP],MATCH(tItens[[#This Row],[Edital]],tEditais[Edital],0)),"Não")</f>
        <v>Não</v>
      </c>
      <c r="P28" s="4">
        <f>IF(COUNTIFS(INDEX(tItens[Edital],1):tItens[[#This Row],[Edital]],tItens[[#This Row],[Edital]],INDEX(tItens[Produto],1):tItens[[#This Row],[Produto]],tItens[[#This Row],[Produto]])=1,1,0)</f>
        <v>1</v>
      </c>
    </row>
    <row r="29" spans="1:16" x14ac:dyDescent="0.25">
      <c r="A29" t="s">
        <v>733</v>
      </c>
      <c r="B29">
        <v>29</v>
      </c>
      <c r="C29" t="s">
        <v>3264</v>
      </c>
      <c r="D29" t="s">
        <v>329</v>
      </c>
      <c r="E29" s="13">
        <v>600</v>
      </c>
      <c r="F29" s="12">
        <v>1.91</v>
      </c>
      <c r="G29" t="str">
        <f>IFERROR(INDEX(tEditais[Órgão],MATCH(tItens[[#This Row],[Edital]],tEditais[Edital],0)),"")</f>
        <v>MUNICIPIO DE CANAPI</v>
      </c>
      <c r="H29" t="str">
        <f>IFERROR(INDEX(tEditais[UF],MATCH(tItens[[#This Row],[Edital]],tEditais[Edital],0)),"")</f>
        <v>AL</v>
      </c>
      <c r="I29" s="11">
        <f>IFERROR(INDEX(tEditais[Encerramento],MATCH(tItens[[#This Row],[Edital]],tEditais[Edital],0)),"")</f>
        <v>46308.354166666664</v>
      </c>
      <c r="J29" t="str">
        <f>IFERROR(INDEX(tProdutos[Classe],MATCH(tItens[[#This Row],[Produto]],tProdutos[Produto],0)),"produto não cadastrado")</f>
        <v>FORA</v>
      </c>
      <c r="K29" s="12">
        <f>tItens[[#This Row],[Qtd]]*tItens[[#This Row],[Vlr unit]]</f>
        <v>1146</v>
      </c>
      <c r="L29" s="6">
        <f>IFERROR(IF(INDEX(tProdutos[Desconto homologado],MATCH(tItens[[#This Row],[Produto]],tProdutos[Produto],0))="",DescontoPadrao,INDEX(tProdutos[Desconto homologado],MATCH(tItens[[#This Row],[Produto]],tProdutos[Produto],0))),DescontoPadrao)</f>
        <v>0.46441781031074703</v>
      </c>
      <c r="M29" s="12">
        <f>tItens[[#This Row],[Valor]]*(1-tItens[[#This Row],[Desconto]])</f>
        <v>613.77718938388387</v>
      </c>
      <c r="N29" t="str">
        <f>IFERROR(INDEX(tProdutos[Foco],MATCH(tItens[[#This Row],[Produto]],tProdutos[Produto],0)),"Não")</f>
        <v>Não</v>
      </c>
      <c r="O29" t="str">
        <f>IFERROR(INDEX(tEditais[SRP],MATCH(tItens[[#This Row],[Edital]],tEditais[Edital],0)),"Não")</f>
        <v>Não</v>
      </c>
      <c r="P29" s="4">
        <f>IF(COUNTIFS(INDEX(tItens[Edital],1):tItens[[#This Row],[Edital]],tItens[[#This Row],[Edital]],INDEX(tItens[Produto],1):tItens[[#This Row],[Produto]],tItens[[#This Row],[Produto]])=1,1,0)</f>
        <v>1</v>
      </c>
    </row>
    <row r="30" spans="1:16" x14ac:dyDescent="0.25">
      <c r="A30" t="s">
        <v>733</v>
      </c>
      <c r="B30">
        <v>30</v>
      </c>
      <c r="C30" t="s">
        <v>3265</v>
      </c>
      <c r="D30" t="s">
        <v>335</v>
      </c>
      <c r="E30" s="13">
        <v>600</v>
      </c>
      <c r="F30" s="12">
        <v>1.91</v>
      </c>
      <c r="G30" t="str">
        <f>IFERROR(INDEX(tEditais[Órgão],MATCH(tItens[[#This Row],[Edital]],tEditais[Edital],0)),"")</f>
        <v>MUNICIPIO DE CANAPI</v>
      </c>
      <c r="H30" t="str">
        <f>IFERROR(INDEX(tEditais[UF],MATCH(tItens[[#This Row],[Edital]],tEditais[Edital],0)),"")</f>
        <v>AL</v>
      </c>
      <c r="I30" s="11">
        <f>IFERROR(INDEX(tEditais[Encerramento],MATCH(tItens[[#This Row],[Edital]],tEditais[Edital],0)),"")</f>
        <v>46308.354166666664</v>
      </c>
      <c r="J30" t="str">
        <f>IFERROR(INDEX(tProdutos[Classe],MATCH(tItens[[#This Row],[Produto]],tProdutos[Produto],0)),"produto não cadastrado")</f>
        <v>FORA</v>
      </c>
      <c r="K30" s="12">
        <f>tItens[[#This Row],[Qtd]]*tItens[[#This Row],[Vlr unit]]</f>
        <v>1146</v>
      </c>
      <c r="L30" s="6">
        <f>IFERROR(IF(INDEX(tProdutos[Desconto homologado],MATCH(tItens[[#This Row],[Produto]],tProdutos[Produto],0))="",DescontoPadrao,INDEX(tProdutos[Desconto homologado],MATCH(tItens[[#This Row],[Produto]],tProdutos[Produto],0))),DescontoPadrao)</f>
        <v>0.419047619047619</v>
      </c>
      <c r="M30" s="12">
        <f>tItens[[#This Row],[Valor]]*(1-tItens[[#This Row],[Desconto]])</f>
        <v>665.7714285714286</v>
      </c>
      <c r="N30" t="str">
        <f>IFERROR(INDEX(tProdutos[Foco],MATCH(tItens[[#This Row],[Produto]],tProdutos[Produto],0)),"Não")</f>
        <v>Não</v>
      </c>
      <c r="O30" t="str">
        <f>IFERROR(INDEX(tEditais[SRP],MATCH(tItens[[#This Row],[Edital]],tEditais[Edital],0)),"Não")</f>
        <v>Não</v>
      </c>
      <c r="P30" s="4">
        <f>IF(COUNTIFS(INDEX(tItens[Edital],1):tItens[[#This Row],[Edital]],tItens[[#This Row],[Edital]],INDEX(tItens[Produto],1):tItens[[#This Row],[Produto]],tItens[[#This Row],[Produto]])=1,1,0)</f>
        <v>1</v>
      </c>
    </row>
    <row r="31" spans="1:16" x14ac:dyDescent="0.25">
      <c r="A31" t="s">
        <v>733</v>
      </c>
      <c r="B31">
        <v>31</v>
      </c>
      <c r="C31" t="s">
        <v>3266</v>
      </c>
      <c r="D31" t="s">
        <v>365</v>
      </c>
      <c r="E31" s="13">
        <v>600</v>
      </c>
      <c r="F31" s="12">
        <v>1.91</v>
      </c>
      <c r="G31" t="str">
        <f>IFERROR(INDEX(tEditais[Órgão],MATCH(tItens[[#This Row],[Edital]],tEditais[Edital],0)),"")</f>
        <v>MUNICIPIO DE CANAPI</v>
      </c>
      <c r="H31" t="str">
        <f>IFERROR(INDEX(tEditais[UF],MATCH(tItens[[#This Row],[Edital]],tEditais[Edital],0)),"")</f>
        <v>AL</v>
      </c>
      <c r="I31" s="11">
        <f>IFERROR(INDEX(tEditais[Encerramento],MATCH(tItens[[#This Row],[Edital]],tEditais[Edital],0)),"")</f>
        <v>46308.354166666664</v>
      </c>
      <c r="J31" t="str">
        <f>IFERROR(INDEX(tProdutos[Classe],MATCH(tItens[[#This Row],[Produto]],tProdutos[Produto],0)),"produto não cadastrado")</f>
        <v>FORA</v>
      </c>
      <c r="K31" s="12">
        <f>tItens[[#This Row],[Qtd]]*tItens[[#This Row],[Vlr unit]]</f>
        <v>1146</v>
      </c>
      <c r="L31" s="6">
        <f>IFERROR(IF(INDEX(tProdutos[Desconto homologado],MATCH(tItens[[#This Row],[Produto]],tProdutos[Produto],0))="",DescontoPadrao,INDEX(tProdutos[Desconto homologado],MATCH(tItens[[#This Row],[Produto]],tProdutos[Produto],0))),DescontoPadrao)</f>
        <v>0.41120529659182697</v>
      </c>
      <c r="M31" s="12">
        <f>tItens[[#This Row],[Valor]]*(1-tItens[[#This Row],[Desconto]])</f>
        <v>674.7587301057664</v>
      </c>
      <c r="N31" t="str">
        <f>IFERROR(INDEX(tProdutos[Foco],MATCH(tItens[[#This Row],[Produto]],tProdutos[Produto],0)),"Não")</f>
        <v>Não</v>
      </c>
      <c r="O31" t="str">
        <f>IFERROR(INDEX(tEditais[SRP],MATCH(tItens[[#This Row],[Edital]],tEditais[Edital],0)),"Não")</f>
        <v>Não</v>
      </c>
      <c r="P31" s="4">
        <f>IF(COUNTIFS(INDEX(tItens[Edital],1):tItens[[#This Row],[Edital]],tItens[[#This Row],[Edital]],INDEX(tItens[Produto],1):tItens[[#This Row],[Produto]],tItens[[#This Row],[Produto]])=1,1,0)</f>
        <v>1</v>
      </c>
    </row>
    <row r="32" spans="1:16" x14ac:dyDescent="0.25">
      <c r="A32" t="s">
        <v>733</v>
      </c>
      <c r="B32">
        <v>32</v>
      </c>
      <c r="C32" t="s">
        <v>3267</v>
      </c>
      <c r="D32" t="s">
        <v>379</v>
      </c>
      <c r="E32" s="13">
        <v>2400</v>
      </c>
      <c r="F32" s="12">
        <v>1.91</v>
      </c>
      <c r="G32" t="str">
        <f>IFERROR(INDEX(tEditais[Órgão],MATCH(tItens[[#This Row],[Edital]],tEditais[Edital],0)),"")</f>
        <v>MUNICIPIO DE CANAPI</v>
      </c>
      <c r="H32" t="str">
        <f>IFERROR(INDEX(tEditais[UF],MATCH(tItens[[#This Row],[Edital]],tEditais[Edital],0)),"")</f>
        <v>AL</v>
      </c>
      <c r="I32" s="11">
        <f>IFERROR(INDEX(tEditais[Encerramento],MATCH(tItens[[#This Row],[Edital]],tEditais[Edital],0)),"")</f>
        <v>46308.354166666664</v>
      </c>
      <c r="J32" t="str">
        <f>IFERROR(INDEX(tProdutos[Classe],MATCH(tItens[[#This Row],[Produto]],tProdutos[Produto],0)),"produto não cadastrado")</f>
        <v>FORA</v>
      </c>
      <c r="K32" s="12">
        <f>tItens[[#This Row],[Qtd]]*tItens[[#This Row],[Vlr unit]]</f>
        <v>4584</v>
      </c>
      <c r="L32" s="6">
        <f>IFERROR(IF(INDEX(tProdutos[Desconto homologado],MATCH(tItens[[#This Row],[Produto]],tProdutos[Produto],0))="",DescontoPadrao,INDEX(tProdutos[Desconto homologado],MATCH(tItens[[#This Row],[Produto]],tProdutos[Produto],0))),DescontoPadrao)</f>
        <v>0.49504950495049499</v>
      </c>
      <c r="M32" s="12">
        <f>tItens[[#This Row],[Valor]]*(1-tItens[[#This Row],[Desconto]])</f>
        <v>2314.6930693069307</v>
      </c>
      <c r="N32" t="str">
        <f>IFERROR(INDEX(tProdutos[Foco],MATCH(tItens[[#This Row],[Produto]],tProdutos[Produto],0)),"Não")</f>
        <v>Não</v>
      </c>
      <c r="O32" t="str">
        <f>IFERROR(INDEX(tEditais[SRP],MATCH(tItens[[#This Row],[Edital]],tEditais[Edital],0)),"Não")</f>
        <v>Não</v>
      </c>
      <c r="P32" s="4">
        <f>IF(COUNTIFS(INDEX(tItens[Edital],1):tItens[[#This Row],[Edital]],tItens[[#This Row],[Edital]],INDEX(tItens[Produto],1):tItens[[#This Row],[Produto]],tItens[[#This Row],[Produto]])=1,1,0)</f>
        <v>1</v>
      </c>
    </row>
    <row r="33" spans="1:16" x14ac:dyDescent="0.25">
      <c r="A33" t="s">
        <v>733</v>
      </c>
      <c r="B33">
        <v>33</v>
      </c>
      <c r="C33" t="s">
        <v>3268</v>
      </c>
      <c r="D33" t="s">
        <v>247</v>
      </c>
      <c r="E33" s="13">
        <v>9600</v>
      </c>
      <c r="F33" s="12">
        <v>1.91</v>
      </c>
      <c r="G33" t="str">
        <f>IFERROR(INDEX(tEditais[Órgão],MATCH(tItens[[#This Row],[Edital]],tEditais[Edital],0)),"")</f>
        <v>MUNICIPIO DE CANAPI</v>
      </c>
      <c r="H33" t="str">
        <f>IFERROR(INDEX(tEditais[UF],MATCH(tItens[[#This Row],[Edital]],tEditais[Edital],0)),"")</f>
        <v>AL</v>
      </c>
      <c r="I33" s="11">
        <f>IFERROR(INDEX(tEditais[Encerramento],MATCH(tItens[[#This Row],[Edital]],tEditais[Edital],0)),"")</f>
        <v>46308.354166666664</v>
      </c>
      <c r="J33" t="str">
        <f>IFERROR(INDEX(tProdutos[Classe],MATCH(tItens[[#This Row],[Produto]],tProdutos[Produto],0)),"produto não cadastrado")</f>
        <v>FORA</v>
      </c>
      <c r="K33" s="12">
        <f>tItens[[#This Row],[Qtd]]*tItens[[#This Row],[Vlr unit]]</f>
        <v>18336</v>
      </c>
      <c r="L33" s="6">
        <f>IFERROR(IF(INDEX(tProdutos[Desconto homologado],MATCH(tItens[[#This Row],[Produto]],tProdutos[Produto],0))="",DescontoPadrao,INDEX(tProdutos[Desconto homologado],MATCH(tItens[[#This Row],[Produto]],tProdutos[Produto],0))),DescontoPadrao)</f>
        <v>0.27353256199762999</v>
      </c>
      <c r="M33" s="12">
        <f>tItens[[#This Row],[Valor]]*(1-tItens[[#This Row],[Desconto]])</f>
        <v>13320.506943211456</v>
      </c>
      <c r="N33" t="str">
        <f>IFERROR(INDEX(tProdutos[Foco],MATCH(tItens[[#This Row],[Produto]],tProdutos[Produto],0)),"Não")</f>
        <v>Não</v>
      </c>
      <c r="O33" t="str">
        <f>IFERROR(INDEX(tEditais[SRP],MATCH(tItens[[#This Row],[Edital]],tEditais[Edital],0)),"Não")</f>
        <v>Não</v>
      </c>
      <c r="P33" s="4">
        <f>IF(COUNTIFS(INDEX(tItens[Edital],1):tItens[[#This Row],[Edital]],tItens[[#This Row],[Edital]],INDEX(tItens[Produto],1):tItens[[#This Row],[Produto]],tItens[[#This Row],[Produto]])=1,1,0)</f>
        <v>1</v>
      </c>
    </row>
    <row r="34" spans="1:16" x14ac:dyDescent="0.25">
      <c r="A34" t="s">
        <v>733</v>
      </c>
      <c r="B34">
        <v>34</v>
      </c>
      <c r="C34" t="s">
        <v>3269</v>
      </c>
      <c r="D34" t="s">
        <v>287</v>
      </c>
      <c r="E34" s="13">
        <v>9600</v>
      </c>
      <c r="F34" s="12">
        <v>1.91</v>
      </c>
      <c r="G34" t="str">
        <f>IFERROR(INDEX(tEditais[Órgão],MATCH(tItens[[#This Row],[Edital]],tEditais[Edital],0)),"")</f>
        <v>MUNICIPIO DE CANAPI</v>
      </c>
      <c r="H34" t="str">
        <f>IFERROR(INDEX(tEditais[UF],MATCH(tItens[[#This Row],[Edital]],tEditais[Edital],0)),"")</f>
        <v>AL</v>
      </c>
      <c r="I34" s="11">
        <f>IFERROR(INDEX(tEditais[Encerramento],MATCH(tItens[[#This Row],[Edital]],tEditais[Edital],0)),"")</f>
        <v>46308.354166666664</v>
      </c>
      <c r="J34" t="str">
        <f>IFERROR(INDEX(tProdutos[Classe],MATCH(tItens[[#This Row],[Produto]],tProdutos[Produto],0)),"produto não cadastrado")</f>
        <v>FORA</v>
      </c>
      <c r="K34" s="12">
        <f>tItens[[#This Row],[Qtd]]*tItens[[#This Row],[Vlr unit]]</f>
        <v>18336</v>
      </c>
      <c r="L34" s="6">
        <f>IFERROR(IF(INDEX(tProdutos[Desconto homologado],MATCH(tItens[[#This Row],[Produto]],tProdutos[Produto],0))="",DescontoPadrao,INDEX(tProdutos[Desconto homologado],MATCH(tItens[[#This Row],[Produto]],tProdutos[Produto],0))),DescontoPadrao)</f>
        <v>0.46344491178876002</v>
      </c>
      <c r="M34" s="12">
        <f>tItens[[#This Row],[Valor]]*(1-tItens[[#This Row],[Desconto]])</f>
        <v>9838.2740974412955</v>
      </c>
      <c r="N34" t="str">
        <f>IFERROR(INDEX(tProdutos[Foco],MATCH(tItens[[#This Row],[Produto]],tProdutos[Produto],0)),"Não")</f>
        <v>Não</v>
      </c>
      <c r="O34" t="str">
        <f>IFERROR(INDEX(tEditais[SRP],MATCH(tItens[[#This Row],[Edital]],tEditais[Edital],0)),"Não")</f>
        <v>Não</v>
      </c>
      <c r="P34" s="4">
        <f>IF(COUNTIFS(INDEX(tItens[Edital],1):tItens[[#This Row],[Edital]],tItens[[#This Row],[Edital]],INDEX(tItens[Produto],1):tItens[[#This Row],[Produto]],tItens[[#This Row],[Produto]])=1,1,0)</f>
        <v>1</v>
      </c>
    </row>
    <row r="35" spans="1:16" x14ac:dyDescent="0.25">
      <c r="A35" t="s">
        <v>733</v>
      </c>
      <c r="B35">
        <v>37</v>
      </c>
      <c r="C35" t="s">
        <v>3270</v>
      </c>
      <c r="D35" t="s">
        <v>172</v>
      </c>
      <c r="E35" s="13">
        <v>200</v>
      </c>
      <c r="F35" s="12">
        <v>0.6</v>
      </c>
      <c r="G35" t="str">
        <f>IFERROR(INDEX(tEditais[Órgão],MATCH(tItens[[#This Row],[Edital]],tEditais[Edital],0)),"")</f>
        <v>MUNICIPIO DE CANAPI</v>
      </c>
      <c r="H35" t="str">
        <f>IFERROR(INDEX(tEditais[UF],MATCH(tItens[[#This Row],[Edital]],tEditais[Edital],0)),"")</f>
        <v>AL</v>
      </c>
      <c r="I35" s="11">
        <f>IFERROR(INDEX(tEditais[Encerramento],MATCH(tItens[[#This Row],[Edital]],tEditais[Edital],0)),"")</f>
        <v>46308.354166666664</v>
      </c>
      <c r="J35" t="str">
        <f>IFERROR(INDEX(tProdutos[Classe],MATCH(tItens[[#This Row],[Produto]],tProdutos[Produto],0)),"produto não cadastrado")</f>
        <v>DISPUTADO</v>
      </c>
      <c r="K35" s="12">
        <f>tItens[[#This Row],[Qtd]]*tItens[[#This Row],[Vlr unit]]</f>
        <v>120</v>
      </c>
      <c r="L35" s="6">
        <f>IFERROR(IF(INDEX(tProdutos[Desconto homologado],MATCH(tItens[[#This Row],[Produto]],tProdutos[Produto],0))="",DescontoPadrao,INDEX(tProdutos[Desconto homologado],MATCH(tItens[[#This Row],[Produto]],tProdutos[Produto],0))),DescontoPadrao)</f>
        <v>0.33578431372549</v>
      </c>
      <c r="M35" s="12">
        <f>tItens[[#This Row],[Valor]]*(1-tItens[[#This Row],[Desconto]])</f>
        <v>79.705882352941202</v>
      </c>
      <c r="N35" t="str">
        <f>IFERROR(INDEX(tProdutos[Foco],MATCH(tItens[[#This Row],[Produto]],tProdutos[Produto],0)),"Não")</f>
        <v>Não</v>
      </c>
      <c r="O35" t="str">
        <f>IFERROR(INDEX(tEditais[SRP],MATCH(tItens[[#This Row],[Edital]],tEditais[Edital],0)),"Não")</f>
        <v>Não</v>
      </c>
      <c r="P35" s="4">
        <f>IF(COUNTIFS(INDEX(tItens[Edital],1):tItens[[#This Row],[Edital]],tItens[[#This Row],[Edital]],INDEX(tItens[Produto],1):tItens[[#This Row],[Produto]],tItens[[#This Row],[Produto]])=1,1,0)</f>
        <v>1</v>
      </c>
    </row>
    <row r="36" spans="1:16" x14ac:dyDescent="0.25">
      <c r="A36" t="s">
        <v>733</v>
      </c>
      <c r="B36">
        <v>42</v>
      </c>
      <c r="C36" t="s">
        <v>3271</v>
      </c>
      <c r="D36" t="s">
        <v>279</v>
      </c>
      <c r="E36" s="13">
        <v>300</v>
      </c>
      <c r="F36" s="12">
        <v>2.93</v>
      </c>
      <c r="G36" t="str">
        <f>IFERROR(INDEX(tEditais[Órgão],MATCH(tItens[[#This Row],[Edital]],tEditais[Edital],0)),"")</f>
        <v>MUNICIPIO DE CANAPI</v>
      </c>
      <c r="H36" t="str">
        <f>IFERROR(INDEX(tEditais[UF],MATCH(tItens[[#This Row],[Edital]],tEditais[Edital],0)),"")</f>
        <v>AL</v>
      </c>
      <c r="I36" s="11">
        <f>IFERROR(INDEX(tEditais[Encerramento],MATCH(tItens[[#This Row],[Edital]],tEditais[Edital],0)),"")</f>
        <v>46308.354166666664</v>
      </c>
      <c r="J36" t="str">
        <f>IFERROR(INDEX(tProdutos[Classe],MATCH(tItens[[#This Row],[Produto]],tProdutos[Produto],0)),"produto não cadastrado")</f>
        <v>FORA</v>
      </c>
      <c r="K36" s="12">
        <f>tItens[[#This Row],[Qtd]]*tItens[[#This Row],[Vlr unit]]</f>
        <v>879</v>
      </c>
      <c r="L36" s="6">
        <f>IFERROR(IF(INDEX(tProdutos[Desconto homologado],MATCH(tItens[[#This Row],[Produto]],tProdutos[Produto],0))="",DescontoPadrao,INDEX(tProdutos[Desconto homologado],MATCH(tItens[[#This Row],[Produto]],tProdutos[Produto],0))),DescontoPadrao)</f>
        <v>0.28909090909090901</v>
      </c>
      <c r="M36" s="12">
        <f>tItens[[#This Row],[Valor]]*(1-tItens[[#This Row],[Desconto]])</f>
        <v>624.8890909090909</v>
      </c>
      <c r="N36" t="str">
        <f>IFERROR(INDEX(tProdutos[Foco],MATCH(tItens[[#This Row],[Produto]],tProdutos[Produto],0)),"Não")</f>
        <v>Não</v>
      </c>
      <c r="O36" t="str">
        <f>IFERROR(INDEX(tEditais[SRP],MATCH(tItens[[#This Row],[Edital]],tEditais[Edital],0)),"Não")</f>
        <v>Não</v>
      </c>
      <c r="P36" s="4">
        <f>IF(COUNTIFS(INDEX(tItens[Edital],1):tItens[[#This Row],[Edital]],tItens[[#This Row],[Edital]],INDEX(tItens[Produto],1):tItens[[#This Row],[Produto]],tItens[[#This Row],[Produto]])=1,1,0)</f>
        <v>1</v>
      </c>
    </row>
    <row r="37" spans="1:16" x14ac:dyDescent="0.25">
      <c r="A37" t="s">
        <v>733</v>
      </c>
      <c r="B37">
        <v>43</v>
      </c>
      <c r="C37" t="s">
        <v>3272</v>
      </c>
      <c r="D37" t="s">
        <v>279</v>
      </c>
      <c r="E37" s="13">
        <v>1200</v>
      </c>
      <c r="F37" s="12">
        <v>8.9</v>
      </c>
      <c r="G37" t="str">
        <f>IFERROR(INDEX(tEditais[Órgão],MATCH(tItens[[#This Row],[Edital]],tEditais[Edital],0)),"")</f>
        <v>MUNICIPIO DE CANAPI</v>
      </c>
      <c r="H37" t="str">
        <f>IFERROR(INDEX(tEditais[UF],MATCH(tItens[[#This Row],[Edital]],tEditais[Edital],0)),"")</f>
        <v>AL</v>
      </c>
      <c r="I37" s="11">
        <f>IFERROR(INDEX(tEditais[Encerramento],MATCH(tItens[[#This Row],[Edital]],tEditais[Edital],0)),"")</f>
        <v>46308.354166666664</v>
      </c>
      <c r="J37" t="str">
        <f>IFERROR(INDEX(tProdutos[Classe],MATCH(tItens[[#This Row],[Produto]],tProdutos[Produto],0)),"produto não cadastrado")</f>
        <v>FORA</v>
      </c>
      <c r="K37" s="12">
        <f>tItens[[#This Row],[Qtd]]*tItens[[#This Row],[Vlr unit]]</f>
        <v>10680</v>
      </c>
      <c r="L37" s="6">
        <f>IFERROR(IF(INDEX(tProdutos[Desconto homologado],MATCH(tItens[[#This Row],[Produto]],tProdutos[Produto],0))="",DescontoPadrao,INDEX(tProdutos[Desconto homologado],MATCH(tItens[[#This Row],[Produto]],tProdutos[Produto],0))),DescontoPadrao)</f>
        <v>0.28909090909090901</v>
      </c>
      <c r="M37" s="12">
        <f>tItens[[#This Row],[Valor]]*(1-tItens[[#This Row],[Desconto]])</f>
        <v>7592.5090909090914</v>
      </c>
      <c r="N37" t="str">
        <f>IFERROR(INDEX(tProdutos[Foco],MATCH(tItens[[#This Row],[Produto]],tProdutos[Produto],0)),"Não")</f>
        <v>Não</v>
      </c>
      <c r="O37" t="str">
        <f>IFERROR(INDEX(tEditais[SRP],MATCH(tItens[[#This Row],[Edital]],tEditais[Edital],0)),"Não")</f>
        <v>Não</v>
      </c>
      <c r="P37" s="4">
        <f>IF(COUNTIFS(INDEX(tItens[Edital],1):tItens[[#This Row],[Edital]],tItens[[#This Row],[Edital]],INDEX(tItens[Produto],1):tItens[[#This Row],[Produto]],tItens[[#This Row],[Produto]])=1,1,0)</f>
        <v>0</v>
      </c>
    </row>
    <row r="38" spans="1:16" x14ac:dyDescent="0.25">
      <c r="A38" t="s">
        <v>733</v>
      </c>
      <c r="B38">
        <v>45</v>
      </c>
      <c r="C38" t="s">
        <v>3273</v>
      </c>
      <c r="D38" t="s">
        <v>611</v>
      </c>
      <c r="E38" s="13">
        <v>2</v>
      </c>
      <c r="F38" s="12">
        <v>213.39</v>
      </c>
      <c r="G38" t="str">
        <f>IFERROR(INDEX(tEditais[Órgão],MATCH(tItens[[#This Row],[Edital]],tEditais[Edital],0)),"")</f>
        <v>MUNICIPIO DE CANAPI</v>
      </c>
      <c r="H38" t="str">
        <f>IFERROR(INDEX(tEditais[UF],MATCH(tItens[[#This Row],[Edital]],tEditais[Edital],0)),"")</f>
        <v>AL</v>
      </c>
      <c r="I38" s="11">
        <f>IFERROR(INDEX(tEditais[Encerramento],MATCH(tItens[[#This Row],[Edital]],tEditais[Edital],0)),"")</f>
        <v>46308.354166666664</v>
      </c>
      <c r="J38" t="str">
        <f>IFERROR(INDEX(tProdutos[Classe],MATCH(tItens[[#This Row],[Produto]],tProdutos[Produto],0)),"produto não cadastrado")</f>
        <v>FILA REBASE</v>
      </c>
      <c r="K38" s="12">
        <f>tItens[[#This Row],[Qtd]]*tItens[[#This Row],[Vlr unit]]</f>
        <v>426.78</v>
      </c>
      <c r="L38" s="6">
        <f>IFERROR(IF(INDEX(tProdutos[Desconto homologado],MATCH(tItens[[#This Row],[Produto]],tProdutos[Produto],0))="",DescontoPadrao,INDEX(tProdutos[Desconto homologado],MATCH(tItens[[#This Row],[Produto]],tProdutos[Produto],0))),DescontoPadrao)</f>
        <v>0.3</v>
      </c>
      <c r="M38" s="12">
        <f>tItens[[#This Row],[Valor]]*(1-tItens[[#This Row],[Desconto]])</f>
        <v>298.74599999999998</v>
      </c>
      <c r="N38" t="str">
        <f>IFERROR(INDEX(tProdutos[Foco],MATCH(tItens[[#This Row],[Produto]],tProdutos[Produto],0)),"Não")</f>
        <v>Não</v>
      </c>
      <c r="O38" t="str">
        <f>IFERROR(INDEX(tEditais[SRP],MATCH(tItens[[#This Row],[Edital]],tEditais[Edital],0)),"Não")</f>
        <v>Não</v>
      </c>
      <c r="P38" s="4">
        <f>IF(COUNTIFS(INDEX(tItens[Edital],1):tItens[[#This Row],[Edital]],tItens[[#This Row],[Edital]],INDEX(tItens[Produto],1):tItens[[#This Row],[Produto]],tItens[[#This Row],[Produto]])=1,1,0)</f>
        <v>1</v>
      </c>
    </row>
    <row r="39" spans="1:16" x14ac:dyDescent="0.25">
      <c r="A39" t="s">
        <v>733</v>
      </c>
      <c r="B39">
        <v>49</v>
      </c>
      <c r="C39" t="s">
        <v>3274</v>
      </c>
      <c r="D39" t="s">
        <v>641</v>
      </c>
      <c r="E39" s="13">
        <v>10</v>
      </c>
      <c r="F39" s="12">
        <v>38.89</v>
      </c>
      <c r="G39" t="str">
        <f>IFERROR(INDEX(tEditais[Órgão],MATCH(tItens[[#This Row],[Edital]],tEditais[Edital],0)),"")</f>
        <v>MUNICIPIO DE CANAPI</v>
      </c>
      <c r="H39" t="str">
        <f>IFERROR(INDEX(tEditais[UF],MATCH(tItens[[#This Row],[Edital]],tEditais[Edital],0)),"")</f>
        <v>AL</v>
      </c>
      <c r="I39" s="11">
        <f>IFERROR(INDEX(tEditais[Encerramento],MATCH(tItens[[#This Row],[Edital]],tEditais[Edital],0)),"")</f>
        <v>46308.354166666664</v>
      </c>
      <c r="J39" t="str">
        <f>IFERROR(INDEX(tProdutos[Classe],MATCH(tItens[[#This Row],[Produto]],tProdutos[Produto],0)),"produto não cadastrado")</f>
        <v>FILA REBASE</v>
      </c>
      <c r="K39" s="12">
        <f>tItens[[#This Row],[Qtd]]*tItens[[#This Row],[Vlr unit]]</f>
        <v>388.9</v>
      </c>
      <c r="L39" s="6">
        <f>IFERROR(IF(INDEX(tProdutos[Desconto homologado],MATCH(tItens[[#This Row],[Produto]],tProdutos[Produto],0))="",DescontoPadrao,INDEX(tProdutos[Desconto homologado],MATCH(tItens[[#This Row],[Produto]],tProdutos[Produto],0))),DescontoPadrao)</f>
        <v>0.3</v>
      </c>
      <c r="M39" s="12">
        <f>tItens[[#This Row],[Valor]]*(1-tItens[[#This Row],[Desconto]])</f>
        <v>272.22999999999996</v>
      </c>
      <c r="N39" t="str">
        <f>IFERROR(INDEX(tProdutos[Foco],MATCH(tItens[[#This Row],[Produto]],tProdutos[Produto],0)),"Não")</f>
        <v>Não</v>
      </c>
      <c r="O39" t="str">
        <f>IFERROR(INDEX(tEditais[SRP],MATCH(tItens[[#This Row],[Edital]],tEditais[Edital],0)),"Não")</f>
        <v>Não</v>
      </c>
      <c r="P39" s="4">
        <f>IF(COUNTIFS(INDEX(tItens[Edital],1):tItens[[#This Row],[Edital]],tItens[[#This Row],[Edital]],INDEX(tItens[Produto],1):tItens[[#This Row],[Produto]],tItens[[#This Row],[Produto]])=1,1,0)</f>
        <v>1</v>
      </c>
    </row>
    <row r="40" spans="1:16" x14ac:dyDescent="0.25">
      <c r="A40" t="s">
        <v>733</v>
      </c>
      <c r="B40">
        <v>55</v>
      </c>
      <c r="C40" t="s">
        <v>3275</v>
      </c>
      <c r="D40" t="s">
        <v>333</v>
      </c>
      <c r="E40" s="13">
        <v>15000</v>
      </c>
      <c r="F40" s="12">
        <v>2.76</v>
      </c>
      <c r="G40" t="str">
        <f>IFERROR(INDEX(tEditais[Órgão],MATCH(tItens[[#This Row],[Edital]],tEditais[Edital],0)),"")</f>
        <v>MUNICIPIO DE CANAPI</v>
      </c>
      <c r="H40" t="str">
        <f>IFERROR(INDEX(tEditais[UF],MATCH(tItens[[#This Row],[Edital]],tEditais[Edital],0)),"")</f>
        <v>AL</v>
      </c>
      <c r="I40" s="11">
        <f>IFERROR(INDEX(tEditais[Encerramento],MATCH(tItens[[#This Row],[Edital]],tEditais[Edital],0)),"")</f>
        <v>46308.354166666664</v>
      </c>
      <c r="J40" t="str">
        <f>IFERROR(INDEX(tProdutos[Classe],MATCH(tItens[[#This Row],[Produto]],tProdutos[Produto],0)),"produto não cadastrado")</f>
        <v>FORA</v>
      </c>
      <c r="K40" s="12">
        <f>tItens[[#This Row],[Qtd]]*tItens[[#This Row],[Vlr unit]]</f>
        <v>41400</v>
      </c>
      <c r="L40" s="6">
        <f>IFERROR(IF(INDEX(tProdutos[Desconto homologado],MATCH(tItens[[#This Row],[Produto]],tProdutos[Produto],0))="",DescontoPadrao,INDEX(tProdutos[Desconto homologado],MATCH(tItens[[#This Row],[Produto]],tProdutos[Produto],0))),DescontoPadrao)</f>
        <v>0.48951048951048998</v>
      </c>
      <c r="M40" s="12">
        <f>tItens[[#This Row],[Valor]]*(1-tItens[[#This Row],[Desconto]])</f>
        <v>21134.265734265711</v>
      </c>
      <c r="N40" t="str">
        <f>IFERROR(INDEX(tProdutos[Foco],MATCH(tItens[[#This Row],[Produto]],tProdutos[Produto],0)),"Não")</f>
        <v>Não</v>
      </c>
      <c r="O40" t="str">
        <f>IFERROR(INDEX(tEditais[SRP],MATCH(tItens[[#This Row],[Edital]],tEditais[Edital],0)),"Não")</f>
        <v>Não</v>
      </c>
      <c r="P40" s="4">
        <f>IF(COUNTIFS(INDEX(tItens[Edital],1):tItens[[#This Row],[Edital]],tItens[[#This Row],[Edital]],INDEX(tItens[Produto],1):tItens[[#This Row],[Produto]],tItens[[#This Row],[Produto]])=1,1,0)</f>
        <v>1</v>
      </c>
    </row>
    <row r="41" spans="1:16" x14ac:dyDescent="0.25">
      <c r="A41" t="s">
        <v>733</v>
      </c>
      <c r="B41">
        <v>56</v>
      </c>
      <c r="C41" t="s">
        <v>3276</v>
      </c>
      <c r="D41" t="s">
        <v>209</v>
      </c>
      <c r="E41" s="13">
        <v>600</v>
      </c>
      <c r="F41" s="12">
        <v>4.9800000000000004</v>
      </c>
      <c r="G41" t="str">
        <f>IFERROR(INDEX(tEditais[Órgão],MATCH(tItens[[#This Row],[Edital]],tEditais[Edital],0)),"")</f>
        <v>MUNICIPIO DE CANAPI</v>
      </c>
      <c r="H41" t="str">
        <f>IFERROR(INDEX(tEditais[UF],MATCH(tItens[[#This Row],[Edital]],tEditais[Edital],0)),"")</f>
        <v>AL</v>
      </c>
      <c r="I41" s="11">
        <f>IFERROR(INDEX(tEditais[Encerramento],MATCH(tItens[[#This Row],[Edital]],tEditais[Edital],0)),"")</f>
        <v>46308.354166666664</v>
      </c>
      <c r="J41" t="str">
        <f>IFERROR(INDEX(tProdutos[Classe],MATCH(tItens[[#This Row],[Produto]],tProdutos[Produto],0)),"produto não cadastrado")</f>
        <v>FORA</v>
      </c>
      <c r="K41" s="12">
        <f>tItens[[#This Row],[Qtd]]*tItens[[#This Row],[Vlr unit]]</f>
        <v>2988.0000000000005</v>
      </c>
      <c r="L41" s="6">
        <f>IFERROR(IF(INDEX(tProdutos[Desconto homologado],MATCH(tItens[[#This Row],[Produto]],tProdutos[Produto],0))="",DescontoPadrao,INDEX(tProdutos[Desconto homologado],MATCH(tItens[[#This Row],[Produto]],tProdutos[Produto],0))),DescontoPadrao)</f>
        <v>0.16442507504040599</v>
      </c>
      <c r="M41" s="12">
        <f>tItens[[#This Row],[Valor]]*(1-tItens[[#This Row],[Desconto]])</f>
        <v>2496.6978757792676</v>
      </c>
      <c r="N41" t="str">
        <f>IFERROR(INDEX(tProdutos[Foco],MATCH(tItens[[#This Row],[Produto]],tProdutos[Produto],0)),"Não")</f>
        <v>Não</v>
      </c>
      <c r="O41" t="str">
        <f>IFERROR(INDEX(tEditais[SRP],MATCH(tItens[[#This Row],[Edital]],tEditais[Edital],0)),"Não")</f>
        <v>Não</v>
      </c>
      <c r="P41" s="4">
        <f>IF(COUNTIFS(INDEX(tItens[Edital],1):tItens[[#This Row],[Edital]],tItens[[#This Row],[Edital]],INDEX(tItens[Produto],1):tItens[[#This Row],[Produto]],tItens[[#This Row],[Produto]])=1,1,0)</f>
        <v>1</v>
      </c>
    </row>
    <row r="42" spans="1:16" x14ac:dyDescent="0.25">
      <c r="A42" t="s">
        <v>733</v>
      </c>
      <c r="B42">
        <v>58</v>
      </c>
      <c r="C42" t="s">
        <v>3277</v>
      </c>
      <c r="D42" t="s">
        <v>187</v>
      </c>
      <c r="E42" s="13">
        <v>100</v>
      </c>
      <c r="F42" s="12">
        <v>2.9</v>
      </c>
      <c r="G42" t="str">
        <f>IFERROR(INDEX(tEditais[Órgão],MATCH(tItens[[#This Row],[Edital]],tEditais[Edital],0)),"")</f>
        <v>MUNICIPIO DE CANAPI</v>
      </c>
      <c r="H42" t="str">
        <f>IFERROR(INDEX(tEditais[UF],MATCH(tItens[[#This Row],[Edital]],tEditais[Edital],0)),"")</f>
        <v>AL</v>
      </c>
      <c r="I42" s="11">
        <f>IFERROR(INDEX(tEditais[Encerramento],MATCH(tItens[[#This Row],[Edital]],tEditais[Edital],0)),"")</f>
        <v>46308.354166666664</v>
      </c>
      <c r="J42" t="str">
        <f>IFERROR(INDEX(tProdutos[Classe],MATCH(tItens[[#This Row],[Produto]],tProdutos[Produto],0)),"produto não cadastrado")</f>
        <v>DISPUTADO</v>
      </c>
      <c r="K42" s="12">
        <f>tItens[[#This Row],[Qtd]]*tItens[[#This Row],[Vlr unit]]</f>
        <v>290</v>
      </c>
      <c r="L42" s="6">
        <f>IFERROR(IF(INDEX(tProdutos[Desconto homologado],MATCH(tItens[[#This Row],[Produto]],tProdutos[Produto],0))="",DescontoPadrao,INDEX(tProdutos[Desconto homologado],MATCH(tItens[[#This Row],[Produto]],tProdutos[Produto],0))),DescontoPadrao)</f>
        <v>0.44298820445609399</v>
      </c>
      <c r="M42" s="12">
        <f>tItens[[#This Row],[Valor]]*(1-tItens[[#This Row],[Desconto]])</f>
        <v>161.53342070773274</v>
      </c>
      <c r="N42" t="str">
        <f>IFERROR(INDEX(tProdutos[Foco],MATCH(tItens[[#This Row],[Produto]],tProdutos[Produto],0)),"Não")</f>
        <v>Não</v>
      </c>
      <c r="O42" t="str">
        <f>IFERROR(INDEX(tEditais[SRP],MATCH(tItens[[#This Row],[Edital]],tEditais[Edital],0)),"Não")</f>
        <v>Não</v>
      </c>
      <c r="P42" s="4">
        <f>IF(COUNTIFS(INDEX(tItens[Edital],1):tItens[[#This Row],[Edital]],tItens[[#This Row],[Edital]],INDEX(tItens[Produto],1):tItens[[#This Row],[Produto]],tItens[[#This Row],[Produto]])=1,1,0)</f>
        <v>1</v>
      </c>
    </row>
    <row r="43" spans="1:16" x14ac:dyDescent="0.25">
      <c r="A43" t="s">
        <v>733</v>
      </c>
      <c r="B43">
        <v>67</v>
      </c>
      <c r="C43" t="s">
        <v>3278</v>
      </c>
      <c r="D43" t="s">
        <v>90</v>
      </c>
      <c r="E43" s="13">
        <v>2500</v>
      </c>
      <c r="F43" s="12">
        <v>13.9</v>
      </c>
      <c r="G43" t="str">
        <f>IFERROR(INDEX(tEditais[Órgão],MATCH(tItens[[#This Row],[Edital]],tEditais[Edital],0)),"")</f>
        <v>MUNICIPIO DE CANAPI</v>
      </c>
      <c r="H43" t="str">
        <f>IFERROR(INDEX(tEditais[UF],MATCH(tItens[[#This Row],[Edital]],tEditais[Edital],0)),"")</f>
        <v>AL</v>
      </c>
      <c r="I43" s="11">
        <f>IFERROR(INDEX(tEditais[Encerramento],MATCH(tItens[[#This Row],[Edital]],tEditais[Edital],0)),"")</f>
        <v>46308.354166666664</v>
      </c>
      <c r="J43" t="str">
        <f>IFERROR(INDEX(tProdutos[Classe],MATCH(tItens[[#This Row],[Produto]],tProdutos[Produto],0)),"produto não cadastrado")</f>
        <v>DISPUTADO</v>
      </c>
      <c r="K43" s="12">
        <f>tItens[[#This Row],[Qtd]]*tItens[[#This Row],[Vlr unit]]</f>
        <v>34750</v>
      </c>
      <c r="L43" s="6">
        <f>IFERROR(IF(INDEX(tProdutos[Desconto homologado],MATCH(tItens[[#This Row],[Produto]],tProdutos[Produto],0))="",DescontoPadrao,INDEX(tProdutos[Desconto homologado],MATCH(tItens[[#This Row],[Produto]],tProdutos[Produto],0))),DescontoPadrao)</f>
        <v>0.25393823957010597</v>
      </c>
      <c r="M43" s="12">
        <f>tItens[[#This Row],[Valor]]*(1-tItens[[#This Row],[Desconto]])</f>
        <v>25925.646174938818</v>
      </c>
      <c r="N43" t="str">
        <f>IFERROR(INDEX(tProdutos[Foco],MATCH(tItens[[#This Row],[Produto]],tProdutos[Produto],0)),"Não")</f>
        <v>Não</v>
      </c>
      <c r="O43" t="str">
        <f>IFERROR(INDEX(tEditais[SRP],MATCH(tItens[[#This Row],[Edital]],tEditais[Edital],0)),"Não")</f>
        <v>Não</v>
      </c>
      <c r="P43" s="4">
        <f>IF(COUNTIFS(INDEX(tItens[Edital],1):tItens[[#This Row],[Edital]],tItens[[#This Row],[Edital]],INDEX(tItens[Produto],1):tItens[[#This Row],[Produto]],tItens[[#This Row],[Produto]])=1,1,0)</f>
        <v>1</v>
      </c>
    </row>
    <row r="44" spans="1:16" x14ac:dyDescent="0.25">
      <c r="A44" t="s">
        <v>733</v>
      </c>
      <c r="B44">
        <v>76</v>
      </c>
      <c r="C44" t="s">
        <v>3279</v>
      </c>
      <c r="D44" t="s">
        <v>461</v>
      </c>
      <c r="E44" s="13">
        <v>720</v>
      </c>
      <c r="F44" s="12">
        <v>3.15</v>
      </c>
      <c r="G44" t="str">
        <f>IFERROR(INDEX(tEditais[Órgão],MATCH(tItens[[#This Row],[Edital]],tEditais[Edital],0)),"")</f>
        <v>MUNICIPIO DE CANAPI</v>
      </c>
      <c r="H44" t="str">
        <f>IFERROR(INDEX(tEditais[UF],MATCH(tItens[[#This Row],[Edital]],tEditais[Edital],0)),"")</f>
        <v>AL</v>
      </c>
      <c r="I44" s="11">
        <f>IFERROR(INDEX(tEditais[Encerramento],MATCH(tItens[[#This Row],[Edital]],tEditais[Edital],0)),"")</f>
        <v>46308.354166666664</v>
      </c>
      <c r="J44" t="str">
        <f>IFERROR(INDEX(tProdutos[Classe],MATCH(tItens[[#This Row],[Produto]],tProdutos[Produto],0)),"produto não cadastrado")</f>
        <v>FILA REBASE</v>
      </c>
      <c r="K44" s="12">
        <f>tItens[[#This Row],[Qtd]]*tItens[[#This Row],[Vlr unit]]</f>
        <v>2268</v>
      </c>
      <c r="L44" s="6">
        <f>IFERROR(IF(INDEX(tProdutos[Desconto homologado],MATCH(tItens[[#This Row],[Produto]],tProdutos[Produto],0))="",DescontoPadrao,INDEX(tProdutos[Desconto homologado],MATCH(tItens[[#This Row],[Produto]],tProdutos[Produto],0))),DescontoPadrao)</f>
        <v>0.44096385542168698</v>
      </c>
      <c r="M44" s="12">
        <f>tItens[[#This Row],[Valor]]*(1-tItens[[#This Row],[Desconto]])</f>
        <v>1267.8939759036139</v>
      </c>
      <c r="N44" t="str">
        <f>IFERROR(INDEX(tProdutos[Foco],MATCH(tItens[[#This Row],[Produto]],tProdutos[Produto],0)),"Não")</f>
        <v>Não</v>
      </c>
      <c r="O44" t="str">
        <f>IFERROR(INDEX(tEditais[SRP],MATCH(tItens[[#This Row],[Edital]],tEditais[Edital],0)),"Não")</f>
        <v>Não</v>
      </c>
      <c r="P44" s="4">
        <f>IF(COUNTIFS(INDEX(tItens[Edital],1):tItens[[#This Row],[Edital]],tItens[[#This Row],[Edital]],INDEX(tItens[Produto],1):tItens[[#This Row],[Produto]],tItens[[#This Row],[Produto]])=1,1,0)</f>
        <v>1</v>
      </c>
    </row>
    <row r="45" spans="1:16" x14ac:dyDescent="0.25">
      <c r="A45" t="s">
        <v>733</v>
      </c>
      <c r="B45">
        <v>77</v>
      </c>
      <c r="C45" t="s">
        <v>3280</v>
      </c>
      <c r="D45" t="s">
        <v>461</v>
      </c>
      <c r="E45" s="13">
        <v>720</v>
      </c>
      <c r="F45" s="12">
        <v>3.15</v>
      </c>
      <c r="G45" t="str">
        <f>IFERROR(INDEX(tEditais[Órgão],MATCH(tItens[[#This Row],[Edital]],tEditais[Edital],0)),"")</f>
        <v>MUNICIPIO DE CANAPI</v>
      </c>
      <c r="H45" t="str">
        <f>IFERROR(INDEX(tEditais[UF],MATCH(tItens[[#This Row],[Edital]],tEditais[Edital],0)),"")</f>
        <v>AL</v>
      </c>
      <c r="I45" s="11">
        <f>IFERROR(INDEX(tEditais[Encerramento],MATCH(tItens[[#This Row],[Edital]],tEditais[Edital],0)),"")</f>
        <v>46308.354166666664</v>
      </c>
      <c r="J45" t="str">
        <f>IFERROR(INDEX(tProdutos[Classe],MATCH(tItens[[#This Row],[Produto]],tProdutos[Produto],0)),"produto não cadastrado")</f>
        <v>FILA REBASE</v>
      </c>
      <c r="K45" s="12">
        <f>tItens[[#This Row],[Qtd]]*tItens[[#This Row],[Vlr unit]]</f>
        <v>2268</v>
      </c>
      <c r="L45" s="6">
        <f>IFERROR(IF(INDEX(tProdutos[Desconto homologado],MATCH(tItens[[#This Row],[Produto]],tProdutos[Produto],0))="",DescontoPadrao,INDEX(tProdutos[Desconto homologado],MATCH(tItens[[#This Row],[Produto]],tProdutos[Produto],0))),DescontoPadrao)</f>
        <v>0.44096385542168698</v>
      </c>
      <c r="M45" s="12">
        <f>tItens[[#This Row],[Valor]]*(1-tItens[[#This Row],[Desconto]])</f>
        <v>1267.8939759036139</v>
      </c>
      <c r="N45" t="str">
        <f>IFERROR(INDEX(tProdutos[Foco],MATCH(tItens[[#This Row],[Produto]],tProdutos[Produto],0)),"Não")</f>
        <v>Não</v>
      </c>
      <c r="O45" t="str">
        <f>IFERROR(INDEX(tEditais[SRP],MATCH(tItens[[#This Row],[Edital]],tEditais[Edital],0)),"Não")</f>
        <v>Não</v>
      </c>
      <c r="P45" s="4">
        <f>IF(COUNTIFS(INDEX(tItens[Edital],1):tItens[[#This Row],[Edital]],tItens[[#This Row],[Edital]],INDEX(tItens[Produto],1):tItens[[#This Row],[Produto]],tItens[[#This Row],[Produto]])=1,1,0)</f>
        <v>0</v>
      </c>
    </row>
    <row r="46" spans="1:16" x14ac:dyDescent="0.25">
      <c r="A46" t="s">
        <v>733</v>
      </c>
      <c r="B46">
        <v>78</v>
      </c>
      <c r="C46" t="s">
        <v>3281</v>
      </c>
      <c r="D46" t="s">
        <v>461</v>
      </c>
      <c r="E46" s="13">
        <v>960</v>
      </c>
      <c r="F46" s="12">
        <v>3.15</v>
      </c>
      <c r="G46" t="str">
        <f>IFERROR(INDEX(tEditais[Órgão],MATCH(tItens[[#This Row],[Edital]],tEditais[Edital],0)),"")</f>
        <v>MUNICIPIO DE CANAPI</v>
      </c>
      <c r="H46" t="str">
        <f>IFERROR(INDEX(tEditais[UF],MATCH(tItens[[#This Row],[Edital]],tEditais[Edital],0)),"")</f>
        <v>AL</v>
      </c>
      <c r="I46" s="11">
        <f>IFERROR(INDEX(tEditais[Encerramento],MATCH(tItens[[#This Row],[Edital]],tEditais[Edital],0)),"")</f>
        <v>46308.354166666664</v>
      </c>
      <c r="J46" t="str">
        <f>IFERROR(INDEX(tProdutos[Classe],MATCH(tItens[[#This Row],[Produto]],tProdutos[Produto],0)),"produto não cadastrado")</f>
        <v>FILA REBASE</v>
      </c>
      <c r="K46" s="12">
        <f>tItens[[#This Row],[Qtd]]*tItens[[#This Row],[Vlr unit]]</f>
        <v>3024</v>
      </c>
      <c r="L46" s="6">
        <f>IFERROR(IF(INDEX(tProdutos[Desconto homologado],MATCH(tItens[[#This Row],[Produto]],tProdutos[Produto],0))="",DescontoPadrao,INDEX(tProdutos[Desconto homologado],MATCH(tItens[[#This Row],[Produto]],tProdutos[Produto],0))),DescontoPadrao)</f>
        <v>0.44096385542168698</v>
      </c>
      <c r="M46" s="12">
        <f>tItens[[#This Row],[Valor]]*(1-tItens[[#This Row],[Desconto]])</f>
        <v>1690.5253012048183</v>
      </c>
      <c r="N46" t="str">
        <f>IFERROR(INDEX(tProdutos[Foco],MATCH(tItens[[#This Row],[Produto]],tProdutos[Produto],0)),"Não")</f>
        <v>Não</v>
      </c>
      <c r="O46" t="str">
        <f>IFERROR(INDEX(tEditais[SRP],MATCH(tItens[[#This Row],[Edital]],tEditais[Edital],0)),"Não")</f>
        <v>Não</v>
      </c>
      <c r="P46" s="4">
        <f>IF(COUNTIFS(INDEX(tItens[Edital],1):tItens[[#This Row],[Edital]],tItens[[#This Row],[Edital]],INDEX(tItens[Produto],1):tItens[[#This Row],[Produto]],tItens[[#This Row],[Produto]])=1,1,0)</f>
        <v>0</v>
      </c>
    </row>
    <row r="47" spans="1:16" x14ac:dyDescent="0.25">
      <c r="A47" t="s">
        <v>733</v>
      </c>
      <c r="B47">
        <v>79</v>
      </c>
      <c r="C47" t="s">
        <v>3282</v>
      </c>
      <c r="D47" t="s">
        <v>461</v>
      </c>
      <c r="E47" s="13">
        <v>720</v>
      </c>
      <c r="F47" s="12">
        <v>3.15</v>
      </c>
      <c r="G47" t="str">
        <f>IFERROR(INDEX(tEditais[Órgão],MATCH(tItens[[#This Row],[Edital]],tEditais[Edital],0)),"")</f>
        <v>MUNICIPIO DE CANAPI</v>
      </c>
      <c r="H47" t="str">
        <f>IFERROR(INDEX(tEditais[UF],MATCH(tItens[[#This Row],[Edital]],tEditais[Edital],0)),"")</f>
        <v>AL</v>
      </c>
      <c r="I47" s="11">
        <f>IFERROR(INDEX(tEditais[Encerramento],MATCH(tItens[[#This Row],[Edital]],tEditais[Edital],0)),"")</f>
        <v>46308.354166666664</v>
      </c>
      <c r="J47" t="str">
        <f>IFERROR(INDEX(tProdutos[Classe],MATCH(tItens[[#This Row],[Produto]],tProdutos[Produto],0)),"produto não cadastrado")</f>
        <v>FILA REBASE</v>
      </c>
      <c r="K47" s="12">
        <f>tItens[[#This Row],[Qtd]]*tItens[[#This Row],[Vlr unit]]</f>
        <v>2268</v>
      </c>
      <c r="L47" s="6">
        <f>IFERROR(IF(INDEX(tProdutos[Desconto homologado],MATCH(tItens[[#This Row],[Produto]],tProdutos[Produto],0))="",DescontoPadrao,INDEX(tProdutos[Desconto homologado],MATCH(tItens[[#This Row],[Produto]],tProdutos[Produto],0))),DescontoPadrao)</f>
        <v>0.44096385542168698</v>
      </c>
      <c r="M47" s="12">
        <f>tItens[[#This Row],[Valor]]*(1-tItens[[#This Row],[Desconto]])</f>
        <v>1267.8939759036139</v>
      </c>
      <c r="N47" t="str">
        <f>IFERROR(INDEX(tProdutos[Foco],MATCH(tItens[[#This Row],[Produto]],tProdutos[Produto],0)),"Não")</f>
        <v>Não</v>
      </c>
      <c r="O47" t="str">
        <f>IFERROR(INDEX(tEditais[SRP],MATCH(tItens[[#This Row],[Edital]],tEditais[Edital],0)),"Não")</f>
        <v>Não</v>
      </c>
      <c r="P47" s="4">
        <f>IF(COUNTIFS(INDEX(tItens[Edital],1):tItens[[#This Row],[Edital]],tItens[[#This Row],[Edital]],INDEX(tItens[Produto],1):tItens[[#This Row],[Produto]],tItens[[#This Row],[Produto]])=1,1,0)</f>
        <v>0</v>
      </c>
    </row>
    <row r="48" spans="1:16" x14ac:dyDescent="0.25">
      <c r="A48" t="s">
        <v>733</v>
      </c>
      <c r="B48">
        <v>80</v>
      </c>
      <c r="C48" t="s">
        <v>3283</v>
      </c>
      <c r="D48" t="s">
        <v>77</v>
      </c>
      <c r="E48" s="13">
        <v>800</v>
      </c>
      <c r="F48" s="12">
        <v>14.63</v>
      </c>
      <c r="G48" t="str">
        <f>IFERROR(INDEX(tEditais[Órgão],MATCH(tItens[[#This Row],[Edital]],tEditais[Edital],0)),"")</f>
        <v>MUNICIPIO DE CANAPI</v>
      </c>
      <c r="H48" t="str">
        <f>IFERROR(INDEX(tEditais[UF],MATCH(tItens[[#This Row],[Edital]],tEditais[Edital],0)),"")</f>
        <v>AL</v>
      </c>
      <c r="I48" s="11">
        <f>IFERROR(INDEX(tEditais[Encerramento],MATCH(tItens[[#This Row],[Edital]],tEditais[Edital],0)),"")</f>
        <v>46308.354166666664</v>
      </c>
      <c r="J48" t="str">
        <f>IFERROR(INDEX(tProdutos[Classe],MATCH(tItens[[#This Row],[Produto]],tProdutos[Produto],0)),"produto não cadastrado")</f>
        <v>DISPUTADO</v>
      </c>
      <c r="K48" s="12">
        <f>tItens[[#This Row],[Qtd]]*tItens[[#This Row],[Vlr unit]]</f>
        <v>11704</v>
      </c>
      <c r="L48" s="6">
        <f>IFERROR(IF(INDEX(tProdutos[Desconto homologado],MATCH(tItens[[#This Row],[Produto]],tProdutos[Produto],0))="",DescontoPadrao,INDEX(tProdutos[Desconto homologado],MATCH(tItens[[#This Row],[Produto]],tProdutos[Produto],0))),DescontoPadrao)</f>
        <v>0.33</v>
      </c>
      <c r="M48" s="12">
        <f>tItens[[#This Row],[Valor]]*(1-tItens[[#This Row],[Desconto]])</f>
        <v>7841.6799999999994</v>
      </c>
      <c r="N48" t="str">
        <f>IFERROR(INDEX(tProdutos[Foco],MATCH(tItens[[#This Row],[Produto]],tProdutos[Produto],0)),"Não")</f>
        <v>Sim</v>
      </c>
      <c r="O48" t="str">
        <f>IFERROR(INDEX(tEditais[SRP],MATCH(tItens[[#This Row],[Edital]],tEditais[Edital],0)),"Não")</f>
        <v>Não</v>
      </c>
      <c r="P48" s="4">
        <f>IF(COUNTIFS(INDEX(tItens[Edital],1):tItens[[#This Row],[Edital]],tItens[[#This Row],[Edital]],INDEX(tItens[Produto],1):tItens[[#This Row],[Produto]],tItens[[#This Row],[Produto]])=1,1,0)</f>
        <v>1</v>
      </c>
    </row>
    <row r="49" spans="1:16" x14ac:dyDescent="0.25">
      <c r="A49" t="s">
        <v>733</v>
      </c>
      <c r="B49">
        <v>81</v>
      </c>
      <c r="C49" t="s">
        <v>3284</v>
      </c>
      <c r="D49" t="s">
        <v>142</v>
      </c>
      <c r="E49" s="13">
        <v>1200</v>
      </c>
      <c r="F49" s="12">
        <v>15.28</v>
      </c>
      <c r="G49" t="str">
        <f>IFERROR(INDEX(tEditais[Órgão],MATCH(tItens[[#This Row],[Edital]],tEditais[Edital],0)),"")</f>
        <v>MUNICIPIO DE CANAPI</v>
      </c>
      <c r="H49" t="str">
        <f>IFERROR(INDEX(tEditais[UF],MATCH(tItens[[#This Row],[Edital]],tEditais[Edital],0)),"")</f>
        <v>AL</v>
      </c>
      <c r="I49" s="11">
        <f>IFERROR(INDEX(tEditais[Encerramento],MATCH(tItens[[#This Row],[Edital]],tEditais[Edital],0)),"")</f>
        <v>46308.354166666664</v>
      </c>
      <c r="J49" t="str">
        <f>IFERROR(INDEX(tProdutos[Classe],MATCH(tItens[[#This Row],[Produto]],tProdutos[Produto],0)),"produto não cadastrado")</f>
        <v>DISPUTADO</v>
      </c>
      <c r="K49" s="12">
        <f>tItens[[#This Row],[Qtd]]*tItens[[#This Row],[Vlr unit]]</f>
        <v>18336</v>
      </c>
      <c r="L49" s="6">
        <f>IFERROR(IF(INDEX(tProdutos[Desconto homologado],MATCH(tItens[[#This Row],[Produto]],tProdutos[Produto],0))="",DescontoPadrao,INDEX(tProdutos[Desconto homologado],MATCH(tItens[[#This Row],[Produto]],tProdutos[Produto],0))),DescontoPadrao)</f>
        <v>0.37093619495691699</v>
      </c>
      <c r="M49" s="12">
        <f>tItens[[#This Row],[Valor]]*(1-tItens[[#This Row],[Desconto]])</f>
        <v>11534.51392926997</v>
      </c>
      <c r="N49" t="str">
        <f>IFERROR(INDEX(tProdutos[Foco],MATCH(tItens[[#This Row],[Produto]],tProdutos[Produto],0)),"Não")</f>
        <v>Não</v>
      </c>
      <c r="O49" t="str">
        <f>IFERROR(INDEX(tEditais[SRP],MATCH(tItens[[#This Row],[Edital]],tEditais[Edital],0)),"Não")</f>
        <v>Não</v>
      </c>
      <c r="P49" s="4">
        <f>IF(COUNTIFS(INDEX(tItens[Edital],1):tItens[[#This Row],[Edital]],tItens[[#This Row],[Edital]],INDEX(tItens[Produto],1):tItens[[#This Row],[Produto]],tItens[[#This Row],[Produto]])=1,1,0)</f>
        <v>1</v>
      </c>
    </row>
    <row r="50" spans="1:16" x14ac:dyDescent="0.25">
      <c r="A50" t="s">
        <v>733</v>
      </c>
      <c r="B50">
        <v>91</v>
      </c>
      <c r="C50" t="s">
        <v>3285</v>
      </c>
      <c r="D50" t="s">
        <v>341</v>
      </c>
      <c r="E50" s="13">
        <v>200</v>
      </c>
      <c r="F50" s="12">
        <v>48.53</v>
      </c>
      <c r="G50" t="str">
        <f>IFERROR(INDEX(tEditais[Órgão],MATCH(tItens[[#This Row],[Edital]],tEditais[Edital],0)),"")</f>
        <v>MUNICIPIO DE CANAPI</v>
      </c>
      <c r="H50" t="str">
        <f>IFERROR(INDEX(tEditais[UF],MATCH(tItens[[#This Row],[Edital]],tEditais[Edital],0)),"")</f>
        <v>AL</v>
      </c>
      <c r="I50" s="11">
        <f>IFERROR(INDEX(tEditais[Encerramento],MATCH(tItens[[#This Row],[Edital]],tEditais[Edital],0)),"")</f>
        <v>46308.354166666664</v>
      </c>
      <c r="J50" t="str">
        <f>IFERROR(INDEX(tProdutos[Classe],MATCH(tItens[[#This Row],[Produto]],tProdutos[Produto],0)),"produto não cadastrado")</f>
        <v>FORA</v>
      </c>
      <c r="K50" s="12">
        <f>tItens[[#This Row],[Qtd]]*tItens[[#This Row],[Vlr unit]]</f>
        <v>9706</v>
      </c>
      <c r="L50" s="6">
        <f>IFERROR(IF(INDEX(tProdutos[Desconto homologado],MATCH(tItens[[#This Row],[Produto]],tProdutos[Produto],0))="",DescontoPadrao,INDEX(tProdutos[Desconto homologado],MATCH(tItens[[#This Row],[Produto]],tProdutos[Produto],0))),DescontoPadrao)</f>
        <v>0.46918578497525898</v>
      </c>
      <c r="M50" s="12">
        <f>tItens[[#This Row],[Valor]]*(1-tItens[[#This Row],[Desconto]])</f>
        <v>5152.0827710301364</v>
      </c>
      <c r="N50" t="str">
        <f>IFERROR(INDEX(tProdutos[Foco],MATCH(tItens[[#This Row],[Produto]],tProdutos[Produto],0)),"Não")</f>
        <v>Não</v>
      </c>
      <c r="O50" t="str">
        <f>IFERROR(INDEX(tEditais[SRP],MATCH(tItens[[#This Row],[Edital]],tEditais[Edital],0)),"Não")</f>
        <v>Não</v>
      </c>
      <c r="P50" s="4">
        <f>IF(COUNTIFS(INDEX(tItens[Edital],1):tItens[[#This Row],[Edital]],tItens[[#This Row],[Edital]],INDEX(tItens[Produto],1):tItens[[#This Row],[Produto]],tItens[[#This Row],[Produto]])=1,1,0)</f>
        <v>1</v>
      </c>
    </row>
    <row r="51" spans="1:16" x14ac:dyDescent="0.25">
      <c r="A51" t="s">
        <v>733</v>
      </c>
      <c r="B51">
        <v>103</v>
      </c>
      <c r="C51" t="s">
        <v>3286</v>
      </c>
      <c r="D51" t="s">
        <v>56</v>
      </c>
      <c r="E51" s="13">
        <v>12000</v>
      </c>
      <c r="F51" s="12">
        <v>0.37</v>
      </c>
      <c r="G51" t="str">
        <f>IFERROR(INDEX(tEditais[Órgão],MATCH(tItens[[#This Row],[Edital]],tEditais[Edital],0)),"")</f>
        <v>MUNICIPIO DE CANAPI</v>
      </c>
      <c r="H51" t="str">
        <f>IFERROR(INDEX(tEditais[UF],MATCH(tItens[[#This Row],[Edital]],tEditais[Edital],0)),"")</f>
        <v>AL</v>
      </c>
      <c r="I51" s="11">
        <f>IFERROR(INDEX(tEditais[Encerramento],MATCH(tItens[[#This Row],[Edital]],tEditais[Edital],0)),"")</f>
        <v>46308.354166666664</v>
      </c>
      <c r="J51" t="str">
        <f>IFERROR(INDEX(tProdutos[Classe],MATCH(tItens[[#This Row],[Produto]],tProdutos[Produto],0)),"produto não cadastrado")</f>
        <v>NÚCLEO</v>
      </c>
      <c r="K51" s="12">
        <f>tItens[[#This Row],[Qtd]]*tItens[[#This Row],[Vlr unit]]</f>
        <v>4440</v>
      </c>
      <c r="L51" s="6">
        <f>IFERROR(IF(INDEX(tProdutos[Desconto homologado],MATCH(tItens[[#This Row],[Produto]],tProdutos[Produto],0))="",DescontoPadrao,INDEX(tProdutos[Desconto homologado],MATCH(tItens[[#This Row],[Produto]],tProdutos[Produto],0))),DescontoPadrao)</f>
        <v>0.34</v>
      </c>
      <c r="M51" s="12">
        <f>tItens[[#This Row],[Valor]]*(1-tItens[[#This Row],[Desconto]])</f>
        <v>2930.3999999999996</v>
      </c>
      <c r="N51" t="str">
        <f>IFERROR(INDEX(tProdutos[Foco],MATCH(tItens[[#This Row],[Produto]],tProdutos[Produto],0)),"Não")</f>
        <v>Sim</v>
      </c>
      <c r="O51" t="str">
        <f>IFERROR(INDEX(tEditais[SRP],MATCH(tItens[[#This Row],[Edital]],tEditais[Edital],0)),"Não")</f>
        <v>Não</v>
      </c>
      <c r="P51" s="4">
        <f>IF(COUNTIFS(INDEX(tItens[Edital],1):tItens[[#This Row],[Edital]],tItens[[#This Row],[Edital]],INDEX(tItens[Produto],1):tItens[[#This Row],[Produto]],tItens[[#This Row],[Produto]])=1,1,0)</f>
        <v>1</v>
      </c>
    </row>
    <row r="52" spans="1:16" x14ac:dyDescent="0.25">
      <c r="A52" t="s">
        <v>733</v>
      </c>
      <c r="B52">
        <v>104</v>
      </c>
      <c r="C52" t="s">
        <v>3287</v>
      </c>
      <c r="D52" t="s">
        <v>267</v>
      </c>
      <c r="E52" s="13">
        <v>1000</v>
      </c>
      <c r="F52" s="12">
        <v>13.35</v>
      </c>
      <c r="G52" t="str">
        <f>IFERROR(INDEX(tEditais[Órgão],MATCH(tItens[[#This Row],[Edital]],tEditais[Edital],0)),"")</f>
        <v>MUNICIPIO DE CANAPI</v>
      </c>
      <c r="H52" t="str">
        <f>IFERROR(INDEX(tEditais[UF],MATCH(tItens[[#This Row],[Edital]],tEditais[Edital],0)),"")</f>
        <v>AL</v>
      </c>
      <c r="I52" s="11">
        <f>IFERROR(INDEX(tEditais[Encerramento],MATCH(tItens[[#This Row],[Edital]],tEditais[Edital],0)),"")</f>
        <v>46308.354166666664</v>
      </c>
      <c r="J52" t="str">
        <f>IFERROR(INDEX(tProdutos[Classe],MATCH(tItens[[#This Row],[Produto]],tProdutos[Produto],0)),"produto não cadastrado")</f>
        <v>FORA</v>
      </c>
      <c r="K52" s="12">
        <f>tItens[[#This Row],[Qtd]]*tItens[[#This Row],[Vlr unit]]</f>
        <v>13350</v>
      </c>
      <c r="L52" s="6">
        <f>IFERROR(IF(INDEX(tProdutos[Desconto homologado],MATCH(tItens[[#This Row],[Produto]],tProdutos[Produto],0))="",DescontoPadrao,INDEX(tProdutos[Desconto homologado],MATCH(tItens[[#This Row],[Produto]],tProdutos[Produto],0))),DescontoPadrao)</f>
        <v>0.19963672657401599</v>
      </c>
      <c r="M52" s="12">
        <f>tItens[[#This Row],[Valor]]*(1-tItens[[#This Row],[Desconto]])</f>
        <v>10684.849700236886</v>
      </c>
      <c r="N52" t="str">
        <f>IFERROR(INDEX(tProdutos[Foco],MATCH(tItens[[#This Row],[Produto]],tProdutos[Produto],0)),"Não")</f>
        <v>Não</v>
      </c>
      <c r="O52" t="str">
        <f>IFERROR(INDEX(tEditais[SRP],MATCH(tItens[[#This Row],[Edital]],tEditais[Edital],0)),"Não")</f>
        <v>Não</v>
      </c>
      <c r="P52" s="4">
        <f>IF(COUNTIFS(INDEX(tItens[Edital],1):tItens[[#This Row],[Edital]],tItens[[#This Row],[Edital]],INDEX(tItens[Produto],1):tItens[[#This Row],[Produto]],tItens[[#This Row],[Produto]])=1,1,0)</f>
        <v>1</v>
      </c>
    </row>
    <row r="53" spans="1:16" x14ac:dyDescent="0.25">
      <c r="A53" t="s">
        <v>733</v>
      </c>
      <c r="B53">
        <v>105</v>
      </c>
      <c r="C53" t="s">
        <v>3288</v>
      </c>
      <c r="D53" t="s">
        <v>343</v>
      </c>
      <c r="E53" s="13">
        <v>2500</v>
      </c>
      <c r="F53" s="12">
        <v>2.34</v>
      </c>
      <c r="G53" t="str">
        <f>IFERROR(INDEX(tEditais[Órgão],MATCH(tItens[[#This Row],[Edital]],tEditais[Edital],0)),"")</f>
        <v>MUNICIPIO DE CANAPI</v>
      </c>
      <c r="H53" t="str">
        <f>IFERROR(INDEX(tEditais[UF],MATCH(tItens[[#This Row],[Edital]],tEditais[Edital],0)),"")</f>
        <v>AL</v>
      </c>
      <c r="I53" s="11">
        <f>IFERROR(INDEX(tEditais[Encerramento],MATCH(tItens[[#This Row],[Edital]],tEditais[Edital],0)),"")</f>
        <v>46308.354166666664</v>
      </c>
      <c r="J53" t="str">
        <f>IFERROR(INDEX(tProdutos[Classe],MATCH(tItens[[#This Row],[Produto]],tProdutos[Produto],0)),"produto não cadastrado")</f>
        <v>FORA</v>
      </c>
      <c r="K53" s="12">
        <f>tItens[[#This Row],[Qtd]]*tItens[[#This Row],[Vlr unit]]</f>
        <v>5850</v>
      </c>
      <c r="L53" s="6">
        <f>IFERROR(IF(INDEX(tProdutos[Desconto homologado],MATCH(tItens[[#This Row],[Produto]],tProdutos[Produto],0))="",DescontoPadrao,INDEX(tProdutos[Desconto homologado],MATCH(tItens[[#This Row],[Produto]],tProdutos[Produto],0))),DescontoPadrao)</f>
        <v>0.35412234042553198</v>
      </c>
      <c r="M53" s="12">
        <f>tItens[[#This Row],[Valor]]*(1-tItens[[#This Row],[Desconto]])</f>
        <v>3778.3843085106378</v>
      </c>
      <c r="N53" t="str">
        <f>IFERROR(INDEX(tProdutos[Foco],MATCH(tItens[[#This Row],[Produto]],tProdutos[Produto],0)),"Não")</f>
        <v>Não</v>
      </c>
      <c r="O53" t="str">
        <f>IFERROR(INDEX(tEditais[SRP],MATCH(tItens[[#This Row],[Edital]],tEditais[Edital],0)),"Não")</f>
        <v>Não</v>
      </c>
      <c r="P53" s="4">
        <f>IF(COUNTIFS(INDEX(tItens[Edital],1):tItens[[#This Row],[Edital]],tItens[[#This Row],[Edital]],INDEX(tItens[Produto],1):tItens[[#This Row],[Produto]],tItens[[#This Row],[Produto]])=1,1,0)</f>
        <v>1</v>
      </c>
    </row>
    <row r="54" spans="1:16" x14ac:dyDescent="0.25">
      <c r="A54" t="s">
        <v>733</v>
      </c>
      <c r="B54">
        <v>106</v>
      </c>
      <c r="C54" t="s">
        <v>3289</v>
      </c>
      <c r="D54" t="s">
        <v>343</v>
      </c>
      <c r="E54" s="13">
        <v>1200</v>
      </c>
      <c r="F54" s="12">
        <v>2.34</v>
      </c>
      <c r="G54" t="str">
        <f>IFERROR(INDEX(tEditais[Órgão],MATCH(tItens[[#This Row],[Edital]],tEditais[Edital],0)),"")</f>
        <v>MUNICIPIO DE CANAPI</v>
      </c>
      <c r="H54" t="str">
        <f>IFERROR(INDEX(tEditais[UF],MATCH(tItens[[#This Row],[Edital]],tEditais[Edital],0)),"")</f>
        <v>AL</v>
      </c>
      <c r="I54" s="11">
        <f>IFERROR(INDEX(tEditais[Encerramento],MATCH(tItens[[#This Row],[Edital]],tEditais[Edital],0)),"")</f>
        <v>46308.354166666664</v>
      </c>
      <c r="J54" t="str">
        <f>IFERROR(INDEX(tProdutos[Classe],MATCH(tItens[[#This Row],[Produto]],tProdutos[Produto],0)),"produto não cadastrado")</f>
        <v>FORA</v>
      </c>
      <c r="K54" s="12">
        <f>tItens[[#This Row],[Qtd]]*tItens[[#This Row],[Vlr unit]]</f>
        <v>2808</v>
      </c>
      <c r="L54" s="6">
        <f>IFERROR(IF(INDEX(tProdutos[Desconto homologado],MATCH(tItens[[#This Row],[Produto]],tProdutos[Produto],0))="",DescontoPadrao,INDEX(tProdutos[Desconto homologado],MATCH(tItens[[#This Row],[Produto]],tProdutos[Produto],0))),DescontoPadrao)</f>
        <v>0.35412234042553198</v>
      </c>
      <c r="M54" s="12">
        <f>tItens[[#This Row],[Valor]]*(1-tItens[[#This Row],[Desconto]])</f>
        <v>1813.6244680851059</v>
      </c>
      <c r="N54" t="str">
        <f>IFERROR(INDEX(tProdutos[Foco],MATCH(tItens[[#This Row],[Produto]],tProdutos[Produto],0)),"Não")</f>
        <v>Não</v>
      </c>
      <c r="O54" t="str">
        <f>IFERROR(INDEX(tEditais[SRP],MATCH(tItens[[#This Row],[Edital]],tEditais[Edital],0)),"Não")</f>
        <v>Não</v>
      </c>
      <c r="P54" s="4">
        <f>IF(COUNTIFS(INDEX(tItens[Edital],1):tItens[[#This Row],[Edital]],tItens[[#This Row],[Edital]],INDEX(tItens[Produto],1):tItens[[#This Row],[Produto]],tItens[[#This Row],[Produto]])=1,1,0)</f>
        <v>0</v>
      </c>
    </row>
    <row r="55" spans="1:16" x14ac:dyDescent="0.25">
      <c r="A55" t="s">
        <v>733</v>
      </c>
      <c r="B55">
        <v>107</v>
      </c>
      <c r="C55" t="s">
        <v>3290</v>
      </c>
      <c r="D55" t="s">
        <v>313</v>
      </c>
      <c r="E55" s="13">
        <v>600</v>
      </c>
      <c r="F55" s="12">
        <v>29.9</v>
      </c>
      <c r="G55" t="str">
        <f>IFERROR(INDEX(tEditais[Órgão],MATCH(tItens[[#This Row],[Edital]],tEditais[Edital],0)),"")</f>
        <v>MUNICIPIO DE CANAPI</v>
      </c>
      <c r="H55" t="str">
        <f>IFERROR(INDEX(tEditais[UF],MATCH(tItens[[#This Row],[Edital]],tEditais[Edital],0)),"")</f>
        <v>AL</v>
      </c>
      <c r="I55" s="11">
        <f>IFERROR(INDEX(tEditais[Encerramento],MATCH(tItens[[#This Row],[Edital]],tEditais[Edital],0)),"")</f>
        <v>46308.354166666664</v>
      </c>
      <c r="J55" t="str">
        <f>IFERROR(INDEX(tProdutos[Classe],MATCH(tItens[[#This Row],[Produto]],tProdutos[Produto],0)),"produto não cadastrado")</f>
        <v>FORA</v>
      </c>
      <c r="K55" s="12">
        <f>tItens[[#This Row],[Qtd]]*tItens[[#This Row],[Vlr unit]]</f>
        <v>17940</v>
      </c>
      <c r="L55" s="6">
        <f>IFERROR(IF(INDEX(tProdutos[Desconto homologado],MATCH(tItens[[#This Row],[Produto]],tProdutos[Produto],0))="",DescontoPadrao,INDEX(tProdutos[Desconto homologado],MATCH(tItens[[#This Row],[Produto]],tProdutos[Produto],0))),DescontoPadrao)</f>
        <v>0.35766373163696302</v>
      </c>
      <c r="M55" s="12">
        <f>tItens[[#This Row],[Valor]]*(1-tItens[[#This Row],[Desconto]])</f>
        <v>11523.512654432883</v>
      </c>
      <c r="N55" t="str">
        <f>IFERROR(INDEX(tProdutos[Foco],MATCH(tItens[[#This Row],[Produto]],tProdutos[Produto],0)),"Não")</f>
        <v>Não</v>
      </c>
      <c r="O55" t="str">
        <f>IFERROR(INDEX(tEditais[SRP],MATCH(tItens[[#This Row],[Edital]],tEditais[Edital],0)),"Não")</f>
        <v>Não</v>
      </c>
      <c r="P55" s="4">
        <f>IF(COUNTIFS(INDEX(tItens[Edital],1):tItens[[#This Row],[Edital]],tItens[[#This Row],[Edital]],INDEX(tItens[Produto],1):tItens[[#This Row],[Produto]],tItens[[#This Row],[Produto]])=1,1,0)</f>
        <v>1</v>
      </c>
    </row>
    <row r="56" spans="1:16" x14ac:dyDescent="0.25">
      <c r="A56" t="s">
        <v>733</v>
      </c>
      <c r="B56">
        <v>108</v>
      </c>
      <c r="C56" t="s">
        <v>3291</v>
      </c>
      <c r="D56" t="s">
        <v>313</v>
      </c>
      <c r="E56" s="13">
        <v>2400</v>
      </c>
      <c r="F56" s="12">
        <v>29.9</v>
      </c>
      <c r="G56" t="str">
        <f>IFERROR(INDEX(tEditais[Órgão],MATCH(tItens[[#This Row],[Edital]],tEditais[Edital],0)),"")</f>
        <v>MUNICIPIO DE CANAPI</v>
      </c>
      <c r="H56" t="str">
        <f>IFERROR(INDEX(tEditais[UF],MATCH(tItens[[#This Row],[Edital]],tEditais[Edital],0)),"")</f>
        <v>AL</v>
      </c>
      <c r="I56" s="11">
        <f>IFERROR(INDEX(tEditais[Encerramento],MATCH(tItens[[#This Row],[Edital]],tEditais[Edital],0)),"")</f>
        <v>46308.354166666664</v>
      </c>
      <c r="J56" t="str">
        <f>IFERROR(INDEX(tProdutos[Classe],MATCH(tItens[[#This Row],[Produto]],tProdutos[Produto],0)),"produto não cadastrado")</f>
        <v>FORA</v>
      </c>
      <c r="K56" s="12">
        <f>tItens[[#This Row],[Qtd]]*tItens[[#This Row],[Vlr unit]]</f>
        <v>71760</v>
      </c>
      <c r="L56" s="6">
        <f>IFERROR(IF(INDEX(tProdutos[Desconto homologado],MATCH(tItens[[#This Row],[Produto]],tProdutos[Produto],0))="",DescontoPadrao,INDEX(tProdutos[Desconto homologado],MATCH(tItens[[#This Row],[Produto]],tProdutos[Produto],0))),DescontoPadrao)</f>
        <v>0.35766373163696302</v>
      </c>
      <c r="M56" s="12">
        <f>tItens[[#This Row],[Valor]]*(1-tItens[[#This Row],[Desconto]])</f>
        <v>46094.050617731533</v>
      </c>
      <c r="N56" t="str">
        <f>IFERROR(INDEX(tProdutos[Foco],MATCH(tItens[[#This Row],[Produto]],tProdutos[Produto],0)),"Não")</f>
        <v>Não</v>
      </c>
      <c r="O56" t="str">
        <f>IFERROR(INDEX(tEditais[SRP],MATCH(tItens[[#This Row],[Edital]],tEditais[Edital],0)),"Não")</f>
        <v>Não</v>
      </c>
      <c r="P56" s="4">
        <f>IF(COUNTIFS(INDEX(tItens[Edital],1):tItens[[#This Row],[Edital]],tItens[[#This Row],[Edital]],INDEX(tItens[Produto],1):tItens[[#This Row],[Produto]],tItens[[#This Row],[Produto]])=1,1,0)</f>
        <v>0</v>
      </c>
    </row>
    <row r="57" spans="1:16" x14ac:dyDescent="0.25">
      <c r="A57" t="s">
        <v>733</v>
      </c>
      <c r="B57">
        <v>109</v>
      </c>
      <c r="C57" t="s">
        <v>3292</v>
      </c>
      <c r="D57" t="s">
        <v>313</v>
      </c>
      <c r="E57" s="13">
        <v>1200</v>
      </c>
      <c r="F57" s="12">
        <v>29.9</v>
      </c>
      <c r="G57" t="str">
        <f>IFERROR(INDEX(tEditais[Órgão],MATCH(tItens[[#This Row],[Edital]],tEditais[Edital],0)),"")</f>
        <v>MUNICIPIO DE CANAPI</v>
      </c>
      <c r="H57" t="str">
        <f>IFERROR(INDEX(tEditais[UF],MATCH(tItens[[#This Row],[Edital]],tEditais[Edital],0)),"")</f>
        <v>AL</v>
      </c>
      <c r="I57" s="11">
        <f>IFERROR(INDEX(tEditais[Encerramento],MATCH(tItens[[#This Row],[Edital]],tEditais[Edital],0)),"")</f>
        <v>46308.354166666664</v>
      </c>
      <c r="J57" t="str">
        <f>IFERROR(INDEX(tProdutos[Classe],MATCH(tItens[[#This Row],[Produto]],tProdutos[Produto],0)),"produto não cadastrado")</f>
        <v>FORA</v>
      </c>
      <c r="K57" s="12">
        <f>tItens[[#This Row],[Qtd]]*tItens[[#This Row],[Vlr unit]]</f>
        <v>35880</v>
      </c>
      <c r="L57" s="6">
        <f>IFERROR(IF(INDEX(tProdutos[Desconto homologado],MATCH(tItens[[#This Row],[Produto]],tProdutos[Produto],0))="",DescontoPadrao,INDEX(tProdutos[Desconto homologado],MATCH(tItens[[#This Row],[Produto]],tProdutos[Produto],0))),DescontoPadrao)</f>
        <v>0.35766373163696302</v>
      </c>
      <c r="M57" s="12">
        <f>tItens[[#This Row],[Valor]]*(1-tItens[[#This Row],[Desconto]])</f>
        <v>23047.025308865766</v>
      </c>
      <c r="N57" t="str">
        <f>IFERROR(INDEX(tProdutos[Foco],MATCH(tItens[[#This Row],[Produto]],tProdutos[Produto],0)),"Não")</f>
        <v>Não</v>
      </c>
      <c r="O57" t="str">
        <f>IFERROR(INDEX(tEditais[SRP],MATCH(tItens[[#This Row],[Edital]],tEditais[Edital],0)),"Não")</f>
        <v>Não</v>
      </c>
      <c r="P57" s="4">
        <f>IF(COUNTIFS(INDEX(tItens[Edital],1):tItens[[#This Row],[Edital]],tItens[[#This Row],[Edital]],INDEX(tItens[Produto],1):tItens[[#This Row],[Produto]],tItens[[#This Row],[Produto]])=1,1,0)</f>
        <v>0</v>
      </c>
    </row>
    <row r="58" spans="1:16" x14ac:dyDescent="0.25">
      <c r="A58" t="s">
        <v>733</v>
      </c>
      <c r="B58">
        <v>110</v>
      </c>
      <c r="C58" t="s">
        <v>3293</v>
      </c>
      <c r="D58" t="s">
        <v>385</v>
      </c>
      <c r="E58" s="13">
        <v>2500</v>
      </c>
      <c r="F58" s="12">
        <v>16.87</v>
      </c>
      <c r="G58" t="str">
        <f>IFERROR(INDEX(tEditais[Órgão],MATCH(tItens[[#This Row],[Edital]],tEditais[Edital],0)),"")</f>
        <v>MUNICIPIO DE CANAPI</v>
      </c>
      <c r="H58" t="str">
        <f>IFERROR(INDEX(tEditais[UF],MATCH(tItens[[#This Row],[Edital]],tEditais[Edital],0)),"")</f>
        <v>AL</v>
      </c>
      <c r="I58" s="11">
        <f>IFERROR(INDEX(tEditais[Encerramento],MATCH(tItens[[#This Row],[Edital]],tEditais[Edital],0)),"")</f>
        <v>46308.354166666664</v>
      </c>
      <c r="J58" t="str">
        <f>IFERROR(INDEX(tProdutos[Classe],MATCH(tItens[[#This Row],[Produto]],tProdutos[Produto],0)),"produto não cadastrado")</f>
        <v>FORA</v>
      </c>
      <c r="K58" s="12">
        <f>tItens[[#This Row],[Qtd]]*tItens[[#This Row],[Vlr unit]]</f>
        <v>42175</v>
      </c>
      <c r="L58" s="6">
        <f>IFERROR(IF(INDEX(tProdutos[Desconto homologado],MATCH(tItens[[#This Row],[Produto]],tProdutos[Produto],0))="",DescontoPadrao,INDEX(tProdutos[Desconto homologado],MATCH(tItens[[#This Row],[Produto]],tProdutos[Produto],0))),DescontoPadrao)</f>
        <v>0.46969696969697</v>
      </c>
      <c r="M58" s="12">
        <f>tItens[[#This Row],[Valor]]*(1-tItens[[#This Row],[Desconto]])</f>
        <v>22365.530303030293</v>
      </c>
      <c r="N58" t="str">
        <f>IFERROR(INDEX(tProdutos[Foco],MATCH(tItens[[#This Row],[Produto]],tProdutos[Produto],0)),"Não")</f>
        <v>Não</v>
      </c>
      <c r="O58" t="str">
        <f>IFERROR(INDEX(tEditais[SRP],MATCH(tItens[[#This Row],[Edital]],tEditais[Edital],0)),"Não")</f>
        <v>Não</v>
      </c>
      <c r="P58" s="4">
        <f>IF(COUNTIFS(INDEX(tItens[Edital],1):tItens[[#This Row],[Edital]],tItens[[#This Row],[Edital]],INDEX(tItens[Produto],1):tItens[[#This Row],[Produto]],tItens[[#This Row],[Produto]])=1,1,0)</f>
        <v>1</v>
      </c>
    </row>
    <row r="59" spans="1:16" x14ac:dyDescent="0.25">
      <c r="A59" t="s">
        <v>733</v>
      </c>
      <c r="B59">
        <v>111</v>
      </c>
      <c r="C59" t="s">
        <v>3294</v>
      </c>
      <c r="D59" t="s">
        <v>257</v>
      </c>
      <c r="E59" s="13">
        <v>10</v>
      </c>
      <c r="F59" s="12">
        <v>21.9</v>
      </c>
      <c r="G59" t="str">
        <f>IFERROR(INDEX(tEditais[Órgão],MATCH(tItens[[#This Row],[Edital]],tEditais[Edital],0)),"")</f>
        <v>MUNICIPIO DE CANAPI</v>
      </c>
      <c r="H59" t="str">
        <f>IFERROR(INDEX(tEditais[UF],MATCH(tItens[[#This Row],[Edital]],tEditais[Edital],0)),"")</f>
        <v>AL</v>
      </c>
      <c r="I59" s="11">
        <f>IFERROR(INDEX(tEditais[Encerramento],MATCH(tItens[[#This Row],[Edital]],tEditais[Edital],0)),"")</f>
        <v>46308.354166666664</v>
      </c>
      <c r="J59" t="str">
        <f>IFERROR(INDEX(tProdutos[Classe],MATCH(tItens[[#This Row],[Produto]],tProdutos[Produto],0)),"produto não cadastrado")</f>
        <v>FORA</v>
      </c>
      <c r="K59" s="12">
        <f>tItens[[#This Row],[Qtd]]*tItens[[#This Row],[Vlr unit]]</f>
        <v>219</v>
      </c>
      <c r="L59" s="6">
        <f>IFERROR(IF(INDEX(tProdutos[Desconto homologado],MATCH(tItens[[#This Row],[Produto]],tProdutos[Produto],0))="",DescontoPadrao,INDEX(tProdutos[Desconto homologado],MATCH(tItens[[#This Row],[Produto]],tProdutos[Produto],0))),DescontoPadrao)</f>
        <v>0.500812004991805</v>
      </c>
      <c r="M59" s="12">
        <f>tItens[[#This Row],[Valor]]*(1-tItens[[#This Row],[Desconto]])</f>
        <v>109.32217090679471</v>
      </c>
      <c r="N59" t="str">
        <f>IFERROR(INDEX(tProdutos[Foco],MATCH(tItens[[#This Row],[Produto]],tProdutos[Produto],0)),"Não")</f>
        <v>Não</v>
      </c>
      <c r="O59" t="str">
        <f>IFERROR(INDEX(tEditais[SRP],MATCH(tItens[[#This Row],[Edital]],tEditais[Edital],0)),"Não")</f>
        <v>Não</v>
      </c>
      <c r="P59" s="4">
        <f>IF(COUNTIFS(INDEX(tItens[Edital],1):tItens[[#This Row],[Edital]],tItens[[#This Row],[Edital]],INDEX(tItens[Produto],1):tItens[[#This Row],[Produto]],tItens[[#This Row],[Produto]])=1,1,0)</f>
        <v>1</v>
      </c>
    </row>
    <row r="60" spans="1:16" x14ac:dyDescent="0.25">
      <c r="A60" t="s">
        <v>733</v>
      </c>
      <c r="B60">
        <v>112</v>
      </c>
      <c r="C60" t="s">
        <v>3295</v>
      </c>
      <c r="D60" t="s">
        <v>249</v>
      </c>
      <c r="E60" s="13">
        <v>4</v>
      </c>
      <c r="F60" s="12">
        <v>21.9</v>
      </c>
      <c r="G60" t="str">
        <f>IFERROR(INDEX(tEditais[Órgão],MATCH(tItens[[#This Row],[Edital]],tEditais[Edital],0)),"")</f>
        <v>MUNICIPIO DE CANAPI</v>
      </c>
      <c r="H60" t="str">
        <f>IFERROR(INDEX(tEditais[UF],MATCH(tItens[[#This Row],[Edital]],tEditais[Edital],0)),"")</f>
        <v>AL</v>
      </c>
      <c r="I60" s="11">
        <f>IFERROR(INDEX(tEditais[Encerramento],MATCH(tItens[[#This Row],[Edital]],tEditais[Edital],0)),"")</f>
        <v>46308.354166666664</v>
      </c>
      <c r="J60" t="str">
        <f>IFERROR(INDEX(tProdutos[Classe],MATCH(tItens[[#This Row],[Produto]],tProdutos[Produto],0)),"produto não cadastrado")</f>
        <v>FORA</v>
      </c>
      <c r="K60" s="12">
        <f>tItens[[#This Row],[Qtd]]*tItens[[#This Row],[Vlr unit]]</f>
        <v>87.6</v>
      </c>
      <c r="L60" s="6">
        <f>IFERROR(IF(INDEX(tProdutos[Desconto homologado],MATCH(tItens[[#This Row],[Produto]],tProdutos[Produto],0))="",DescontoPadrao,INDEX(tProdutos[Desconto homologado],MATCH(tItens[[#This Row],[Produto]],tProdutos[Produto],0))),DescontoPadrao)</f>
        <v>0.45399945399945402</v>
      </c>
      <c r="M60" s="12">
        <f>tItens[[#This Row],[Valor]]*(1-tItens[[#This Row],[Desconto]])</f>
        <v>47.829647829647818</v>
      </c>
      <c r="N60" t="str">
        <f>IFERROR(INDEX(tProdutos[Foco],MATCH(tItens[[#This Row],[Produto]],tProdutos[Produto],0)),"Não")</f>
        <v>Não</v>
      </c>
      <c r="O60" t="str">
        <f>IFERROR(INDEX(tEditais[SRP],MATCH(tItens[[#This Row],[Edital]],tEditais[Edital],0)),"Não")</f>
        <v>Não</v>
      </c>
      <c r="P60" s="4">
        <f>IF(COUNTIFS(INDEX(tItens[Edital],1):tItens[[#This Row],[Edital]],tItens[[#This Row],[Edital]],INDEX(tItens[Produto],1):tItens[[#This Row],[Produto]],tItens[[#This Row],[Produto]])=1,1,0)</f>
        <v>1</v>
      </c>
    </row>
    <row r="61" spans="1:16" x14ac:dyDescent="0.25">
      <c r="A61" t="s">
        <v>733</v>
      </c>
      <c r="B61">
        <v>113</v>
      </c>
      <c r="C61" t="s">
        <v>3296</v>
      </c>
      <c r="D61" t="s">
        <v>403</v>
      </c>
      <c r="E61" s="13">
        <v>600</v>
      </c>
      <c r="F61" s="12">
        <v>3.4</v>
      </c>
      <c r="G61" t="str">
        <f>IFERROR(INDEX(tEditais[Órgão],MATCH(tItens[[#This Row],[Edital]],tEditais[Edital],0)),"")</f>
        <v>MUNICIPIO DE CANAPI</v>
      </c>
      <c r="H61" t="str">
        <f>IFERROR(INDEX(tEditais[UF],MATCH(tItens[[#This Row],[Edital]],tEditais[Edital],0)),"")</f>
        <v>AL</v>
      </c>
      <c r="I61" s="11">
        <f>IFERROR(INDEX(tEditais[Encerramento],MATCH(tItens[[#This Row],[Edital]],tEditais[Edital],0)),"")</f>
        <v>46308.354166666664</v>
      </c>
      <c r="J61" t="str">
        <f>IFERROR(INDEX(tProdutos[Classe],MATCH(tItens[[#This Row],[Produto]],tProdutos[Produto],0)),"produto não cadastrado")</f>
        <v>FORA</v>
      </c>
      <c r="K61" s="12">
        <f>tItens[[#This Row],[Qtd]]*tItens[[#This Row],[Vlr unit]]</f>
        <v>2040</v>
      </c>
      <c r="L61" s="6">
        <f>IFERROR(IF(INDEX(tProdutos[Desconto homologado],MATCH(tItens[[#This Row],[Produto]],tProdutos[Produto],0))="",DescontoPadrao,INDEX(tProdutos[Desconto homologado],MATCH(tItens[[#This Row],[Produto]],tProdutos[Produto],0))),DescontoPadrao)</f>
        <v>0.35326086956521702</v>
      </c>
      <c r="M61" s="12">
        <f>tItens[[#This Row],[Valor]]*(1-tItens[[#This Row],[Desconto]])</f>
        <v>1319.3478260869572</v>
      </c>
      <c r="N61" t="str">
        <f>IFERROR(INDEX(tProdutos[Foco],MATCH(tItens[[#This Row],[Produto]],tProdutos[Produto],0)),"Não")</f>
        <v>Não</v>
      </c>
      <c r="O61" t="str">
        <f>IFERROR(INDEX(tEditais[SRP],MATCH(tItens[[#This Row],[Edital]],tEditais[Edital],0)),"Não")</f>
        <v>Não</v>
      </c>
      <c r="P61" s="4">
        <f>IF(COUNTIFS(INDEX(tItens[Edital],1):tItens[[#This Row],[Edital]],tItens[[#This Row],[Edital]],INDEX(tItens[Produto],1):tItens[[#This Row],[Produto]],tItens[[#This Row],[Produto]])=1,1,0)</f>
        <v>1</v>
      </c>
    </row>
    <row r="62" spans="1:16" x14ac:dyDescent="0.25">
      <c r="A62" t="s">
        <v>733</v>
      </c>
      <c r="B62">
        <v>114</v>
      </c>
      <c r="C62" t="s">
        <v>3297</v>
      </c>
      <c r="D62" t="s">
        <v>277</v>
      </c>
      <c r="E62" s="13">
        <v>120000</v>
      </c>
      <c r="F62" s="12">
        <v>0.25</v>
      </c>
      <c r="G62" t="str">
        <f>IFERROR(INDEX(tEditais[Órgão],MATCH(tItens[[#This Row],[Edital]],tEditais[Edital],0)),"")</f>
        <v>MUNICIPIO DE CANAPI</v>
      </c>
      <c r="H62" t="str">
        <f>IFERROR(INDEX(tEditais[UF],MATCH(tItens[[#This Row],[Edital]],tEditais[Edital],0)),"")</f>
        <v>AL</v>
      </c>
      <c r="I62" s="11">
        <f>IFERROR(INDEX(tEditais[Encerramento],MATCH(tItens[[#This Row],[Edital]],tEditais[Edital],0)),"")</f>
        <v>46308.354166666664</v>
      </c>
      <c r="J62" t="str">
        <f>IFERROR(INDEX(tProdutos[Classe],MATCH(tItens[[#This Row],[Produto]],tProdutos[Produto],0)),"produto não cadastrado")</f>
        <v>DISPUTADO</v>
      </c>
      <c r="K62" s="12">
        <f>tItens[[#This Row],[Qtd]]*tItens[[#This Row],[Vlr unit]]</f>
        <v>30000</v>
      </c>
      <c r="L62" s="6">
        <f>IFERROR(IF(INDEX(tProdutos[Desconto homologado],MATCH(tItens[[#This Row],[Produto]],tProdutos[Produto],0))="",DescontoPadrao,INDEX(tProdutos[Desconto homologado],MATCH(tItens[[#This Row],[Produto]],tProdutos[Produto],0))),DescontoPadrao)</f>
        <v>0.50460666194188497</v>
      </c>
      <c r="M62" s="12">
        <f>tItens[[#This Row],[Valor]]*(1-tItens[[#This Row],[Desconto]])</f>
        <v>14861.800141743452</v>
      </c>
      <c r="N62" t="str">
        <f>IFERROR(INDEX(tProdutos[Foco],MATCH(tItens[[#This Row],[Produto]],tProdutos[Produto],0)),"Não")</f>
        <v>Não</v>
      </c>
      <c r="O62" t="str">
        <f>IFERROR(INDEX(tEditais[SRP],MATCH(tItens[[#This Row],[Edital]],tEditais[Edital],0)),"Não")</f>
        <v>Não</v>
      </c>
      <c r="P62" s="4">
        <f>IF(COUNTIFS(INDEX(tItens[Edital],1):tItens[[#This Row],[Edital]],tItens[[#This Row],[Edital]],INDEX(tItens[Produto],1):tItens[[#This Row],[Produto]],tItens[[#This Row],[Produto]])=1,1,0)</f>
        <v>1</v>
      </c>
    </row>
    <row r="63" spans="1:16" x14ac:dyDescent="0.25">
      <c r="A63" t="s">
        <v>733</v>
      </c>
      <c r="B63">
        <v>117</v>
      </c>
      <c r="C63" t="s">
        <v>3298</v>
      </c>
      <c r="D63" t="s">
        <v>670</v>
      </c>
      <c r="E63" s="13">
        <v>2</v>
      </c>
      <c r="F63" s="12">
        <v>122.8</v>
      </c>
      <c r="G63" t="str">
        <f>IFERROR(INDEX(tEditais[Órgão],MATCH(tItens[[#This Row],[Edital]],tEditais[Edital],0)),"")</f>
        <v>MUNICIPIO DE CANAPI</v>
      </c>
      <c r="H63" t="str">
        <f>IFERROR(INDEX(tEditais[UF],MATCH(tItens[[#This Row],[Edital]],tEditais[Edital],0)),"")</f>
        <v>AL</v>
      </c>
      <c r="I63" s="11">
        <f>IFERROR(INDEX(tEditais[Encerramento],MATCH(tItens[[#This Row],[Edital]],tEditais[Edital],0)),"")</f>
        <v>46308.354166666664</v>
      </c>
      <c r="J63" t="str">
        <f>IFERROR(INDEX(tProdutos[Classe],MATCH(tItens[[#This Row],[Produto]],tProdutos[Produto],0)),"produto não cadastrado")</f>
        <v>FILA REBASE</v>
      </c>
      <c r="K63" s="12">
        <f>tItens[[#This Row],[Qtd]]*tItens[[#This Row],[Vlr unit]]</f>
        <v>245.6</v>
      </c>
      <c r="L63" s="6">
        <f>IFERROR(IF(INDEX(tProdutos[Desconto homologado],MATCH(tItens[[#This Row],[Produto]],tProdutos[Produto],0))="",DescontoPadrao,INDEX(tProdutos[Desconto homologado],MATCH(tItens[[#This Row],[Produto]],tProdutos[Produto],0))),DescontoPadrao)</f>
        <v>0.53825503355704696</v>
      </c>
      <c r="M63" s="12">
        <f>tItens[[#This Row],[Valor]]*(1-tItens[[#This Row],[Desconto]])</f>
        <v>113.40456375838926</v>
      </c>
      <c r="N63" t="str">
        <f>IFERROR(INDEX(tProdutos[Foco],MATCH(tItens[[#This Row],[Produto]],tProdutos[Produto],0)),"Não")</f>
        <v>Não</v>
      </c>
      <c r="O63" t="str">
        <f>IFERROR(INDEX(tEditais[SRP],MATCH(tItens[[#This Row],[Edital]],tEditais[Edital],0)),"Não")</f>
        <v>Não</v>
      </c>
      <c r="P63" s="4">
        <f>IF(COUNTIFS(INDEX(tItens[Edital],1):tItens[[#This Row],[Edital]],tItens[[#This Row],[Edital]],INDEX(tItens[Produto],1):tItens[[#This Row],[Produto]],tItens[[#This Row],[Produto]])=1,1,0)</f>
        <v>1</v>
      </c>
    </row>
    <row r="64" spans="1:16" x14ac:dyDescent="0.25">
      <c r="A64" t="s">
        <v>733</v>
      </c>
      <c r="B64">
        <v>118</v>
      </c>
      <c r="C64" t="s">
        <v>3299</v>
      </c>
      <c r="D64" t="s">
        <v>494</v>
      </c>
      <c r="E64" s="13">
        <v>120</v>
      </c>
      <c r="F64" s="12">
        <v>120.8</v>
      </c>
      <c r="G64" t="str">
        <f>IFERROR(INDEX(tEditais[Órgão],MATCH(tItens[[#This Row],[Edital]],tEditais[Edital],0)),"")</f>
        <v>MUNICIPIO DE CANAPI</v>
      </c>
      <c r="H64" t="str">
        <f>IFERROR(INDEX(tEditais[UF],MATCH(tItens[[#This Row],[Edital]],tEditais[Edital],0)),"")</f>
        <v>AL</v>
      </c>
      <c r="I64" s="11">
        <f>IFERROR(INDEX(tEditais[Encerramento],MATCH(tItens[[#This Row],[Edital]],tEditais[Edital],0)),"")</f>
        <v>46308.354166666664</v>
      </c>
      <c r="J64" t="str">
        <f>IFERROR(INDEX(tProdutos[Classe],MATCH(tItens[[#This Row],[Produto]],tProdutos[Produto],0)),"produto não cadastrado")</f>
        <v>FILA REBASE</v>
      </c>
      <c r="K64" s="12">
        <f>tItens[[#This Row],[Qtd]]*tItens[[#This Row],[Vlr unit]]</f>
        <v>14496</v>
      </c>
      <c r="L64" s="6">
        <f>IFERROR(IF(INDEX(tProdutos[Desconto homologado],MATCH(tItens[[#This Row],[Produto]],tProdutos[Produto],0))="",DescontoPadrao,INDEX(tProdutos[Desconto homologado],MATCH(tItens[[#This Row],[Produto]],tProdutos[Produto],0))),DescontoPadrao)</f>
        <v>0.253736324829619</v>
      </c>
      <c r="M64" s="12">
        <f>tItens[[#This Row],[Valor]]*(1-tItens[[#This Row],[Desconto]])</f>
        <v>10817.838235269845</v>
      </c>
      <c r="N64" t="str">
        <f>IFERROR(INDEX(tProdutos[Foco],MATCH(tItens[[#This Row],[Produto]],tProdutos[Produto],0)),"Não")</f>
        <v>Não</v>
      </c>
      <c r="O64" t="str">
        <f>IFERROR(INDEX(tEditais[SRP],MATCH(tItens[[#This Row],[Edital]],tEditais[Edital],0)),"Não")</f>
        <v>Não</v>
      </c>
      <c r="P64" s="4">
        <f>IF(COUNTIFS(INDEX(tItens[Edital],1):tItens[[#This Row],[Edital]],tItens[[#This Row],[Edital]],INDEX(tItens[Produto],1):tItens[[#This Row],[Produto]],tItens[[#This Row],[Produto]])=1,1,0)</f>
        <v>1</v>
      </c>
    </row>
    <row r="65" spans="1:16" x14ac:dyDescent="0.25">
      <c r="A65" t="s">
        <v>733</v>
      </c>
      <c r="B65">
        <v>119</v>
      </c>
      <c r="C65" t="s">
        <v>3300</v>
      </c>
      <c r="D65" t="s">
        <v>494</v>
      </c>
      <c r="E65" s="13">
        <v>120</v>
      </c>
      <c r="F65" s="12">
        <v>137.66</v>
      </c>
      <c r="G65" t="str">
        <f>IFERROR(INDEX(tEditais[Órgão],MATCH(tItens[[#This Row],[Edital]],tEditais[Edital],0)),"")</f>
        <v>MUNICIPIO DE CANAPI</v>
      </c>
      <c r="H65" t="str">
        <f>IFERROR(INDEX(tEditais[UF],MATCH(tItens[[#This Row],[Edital]],tEditais[Edital],0)),"")</f>
        <v>AL</v>
      </c>
      <c r="I65" s="11">
        <f>IFERROR(INDEX(tEditais[Encerramento],MATCH(tItens[[#This Row],[Edital]],tEditais[Edital],0)),"")</f>
        <v>46308.354166666664</v>
      </c>
      <c r="J65" t="str">
        <f>IFERROR(INDEX(tProdutos[Classe],MATCH(tItens[[#This Row],[Produto]],tProdutos[Produto],0)),"produto não cadastrado")</f>
        <v>FILA REBASE</v>
      </c>
      <c r="K65" s="12">
        <f>tItens[[#This Row],[Qtd]]*tItens[[#This Row],[Vlr unit]]</f>
        <v>16519.2</v>
      </c>
      <c r="L65" s="6">
        <f>IFERROR(IF(INDEX(tProdutos[Desconto homologado],MATCH(tItens[[#This Row],[Produto]],tProdutos[Produto],0))="",DescontoPadrao,INDEX(tProdutos[Desconto homologado],MATCH(tItens[[#This Row],[Produto]],tProdutos[Produto],0))),DescontoPadrao)</f>
        <v>0.253736324829619</v>
      </c>
      <c r="M65" s="12">
        <f>tItens[[#This Row],[Valor]]*(1-tItens[[#This Row],[Desconto]])</f>
        <v>12327.678902874559</v>
      </c>
      <c r="N65" t="str">
        <f>IFERROR(INDEX(tProdutos[Foco],MATCH(tItens[[#This Row],[Produto]],tProdutos[Produto],0)),"Não")</f>
        <v>Não</v>
      </c>
      <c r="O65" t="str">
        <f>IFERROR(INDEX(tEditais[SRP],MATCH(tItens[[#This Row],[Edital]],tEditais[Edital],0)),"Não")</f>
        <v>Não</v>
      </c>
      <c r="P65" s="4">
        <f>IF(COUNTIFS(INDEX(tItens[Edital],1):tItens[[#This Row],[Edital]],tItens[[#This Row],[Edital]],INDEX(tItens[Produto],1):tItens[[#This Row],[Produto]],tItens[[#This Row],[Produto]])=1,1,0)</f>
        <v>0</v>
      </c>
    </row>
    <row r="66" spans="1:16" x14ac:dyDescent="0.25">
      <c r="A66" t="s">
        <v>733</v>
      </c>
      <c r="B66">
        <v>132</v>
      </c>
      <c r="C66" t="s">
        <v>3301</v>
      </c>
      <c r="D66" t="s">
        <v>275</v>
      </c>
      <c r="E66" s="13">
        <v>36000</v>
      </c>
      <c r="F66" s="12">
        <v>0.48</v>
      </c>
      <c r="G66" t="str">
        <f>IFERROR(INDEX(tEditais[Órgão],MATCH(tItens[[#This Row],[Edital]],tEditais[Edital],0)),"")</f>
        <v>MUNICIPIO DE CANAPI</v>
      </c>
      <c r="H66" t="str">
        <f>IFERROR(INDEX(tEditais[UF],MATCH(tItens[[#This Row],[Edital]],tEditais[Edital],0)),"")</f>
        <v>AL</v>
      </c>
      <c r="I66" s="11">
        <f>IFERROR(INDEX(tEditais[Encerramento],MATCH(tItens[[#This Row],[Edital]],tEditais[Edital],0)),"")</f>
        <v>46308.354166666664</v>
      </c>
      <c r="J66" t="str">
        <f>IFERROR(INDEX(tProdutos[Classe],MATCH(tItens[[#This Row],[Produto]],tProdutos[Produto],0)),"produto não cadastrado")</f>
        <v>FORA</v>
      </c>
      <c r="K66" s="12">
        <f>tItens[[#This Row],[Qtd]]*tItens[[#This Row],[Vlr unit]]</f>
        <v>17280</v>
      </c>
      <c r="L66" s="6">
        <f>IFERROR(IF(INDEX(tProdutos[Desconto homologado],MATCH(tItens[[#This Row],[Produto]],tProdutos[Produto],0))="",DescontoPadrao,INDEX(tProdutos[Desconto homologado],MATCH(tItens[[#This Row],[Produto]],tProdutos[Produto],0))),DescontoPadrao)</f>
        <v>0.405797101449275</v>
      </c>
      <c r="M66" s="12">
        <f>tItens[[#This Row],[Valor]]*(1-tItens[[#This Row],[Desconto]])</f>
        <v>10267.826086956529</v>
      </c>
      <c r="N66" t="str">
        <f>IFERROR(INDEX(tProdutos[Foco],MATCH(tItens[[#This Row],[Produto]],tProdutos[Produto],0)),"Não")</f>
        <v>Não</v>
      </c>
      <c r="O66" t="str">
        <f>IFERROR(INDEX(tEditais[SRP],MATCH(tItens[[#This Row],[Edital]],tEditais[Edital],0)),"Não")</f>
        <v>Não</v>
      </c>
      <c r="P66" s="4">
        <f>IF(COUNTIFS(INDEX(tItens[Edital],1):tItens[[#This Row],[Edital]],tItens[[#This Row],[Edital]],INDEX(tItens[Produto],1):tItens[[#This Row],[Produto]],tItens[[#This Row],[Produto]])=1,1,0)</f>
        <v>1</v>
      </c>
    </row>
    <row r="67" spans="1:16" x14ac:dyDescent="0.25">
      <c r="A67" t="s">
        <v>733</v>
      </c>
      <c r="B67">
        <v>133</v>
      </c>
      <c r="C67" t="s">
        <v>3302</v>
      </c>
      <c r="D67" t="s">
        <v>275</v>
      </c>
      <c r="E67" s="13">
        <v>5000</v>
      </c>
      <c r="F67" s="12">
        <v>0.34</v>
      </c>
      <c r="G67" t="str">
        <f>IFERROR(INDEX(tEditais[Órgão],MATCH(tItens[[#This Row],[Edital]],tEditais[Edital],0)),"")</f>
        <v>MUNICIPIO DE CANAPI</v>
      </c>
      <c r="H67" t="str">
        <f>IFERROR(INDEX(tEditais[UF],MATCH(tItens[[#This Row],[Edital]],tEditais[Edital],0)),"")</f>
        <v>AL</v>
      </c>
      <c r="I67" s="11">
        <f>IFERROR(INDEX(tEditais[Encerramento],MATCH(tItens[[#This Row],[Edital]],tEditais[Edital],0)),"")</f>
        <v>46308.354166666664</v>
      </c>
      <c r="J67" t="str">
        <f>IFERROR(INDEX(tProdutos[Classe],MATCH(tItens[[#This Row],[Produto]],tProdutos[Produto],0)),"produto não cadastrado")</f>
        <v>FORA</v>
      </c>
      <c r="K67" s="12">
        <f>tItens[[#This Row],[Qtd]]*tItens[[#This Row],[Vlr unit]]</f>
        <v>1700.0000000000002</v>
      </c>
      <c r="L67" s="6">
        <f>IFERROR(IF(INDEX(tProdutos[Desconto homologado],MATCH(tItens[[#This Row],[Produto]],tProdutos[Produto],0))="",DescontoPadrao,INDEX(tProdutos[Desconto homologado],MATCH(tItens[[#This Row],[Produto]],tProdutos[Produto],0))),DescontoPadrao)</f>
        <v>0.405797101449275</v>
      </c>
      <c r="M67" s="12">
        <f>tItens[[#This Row],[Valor]]*(1-tItens[[#This Row],[Desconto]])</f>
        <v>1010.1449275362328</v>
      </c>
      <c r="N67" t="str">
        <f>IFERROR(INDEX(tProdutos[Foco],MATCH(tItens[[#This Row],[Produto]],tProdutos[Produto],0)),"Não")</f>
        <v>Não</v>
      </c>
      <c r="O67" t="str">
        <f>IFERROR(INDEX(tEditais[SRP],MATCH(tItens[[#This Row],[Edital]],tEditais[Edital],0)),"Não")</f>
        <v>Não</v>
      </c>
      <c r="P67" s="4">
        <f>IF(COUNTIFS(INDEX(tItens[Edital],1):tItens[[#This Row],[Edital]],tItens[[#This Row],[Edital]],INDEX(tItens[Produto],1):tItens[[#This Row],[Produto]],tItens[[#This Row],[Produto]])=1,1,0)</f>
        <v>0</v>
      </c>
    </row>
    <row r="68" spans="1:16" x14ac:dyDescent="0.25">
      <c r="A68" t="s">
        <v>733</v>
      </c>
      <c r="B68">
        <v>134</v>
      </c>
      <c r="C68" t="s">
        <v>3303</v>
      </c>
      <c r="D68" t="s">
        <v>283</v>
      </c>
      <c r="E68" s="13">
        <v>48000</v>
      </c>
      <c r="F68" s="12">
        <v>0.47</v>
      </c>
      <c r="G68" t="str">
        <f>IFERROR(INDEX(tEditais[Órgão],MATCH(tItens[[#This Row],[Edital]],tEditais[Edital],0)),"")</f>
        <v>MUNICIPIO DE CANAPI</v>
      </c>
      <c r="H68" t="str">
        <f>IFERROR(INDEX(tEditais[UF],MATCH(tItens[[#This Row],[Edital]],tEditais[Edital],0)),"")</f>
        <v>AL</v>
      </c>
      <c r="I68" s="11">
        <f>IFERROR(INDEX(tEditais[Encerramento],MATCH(tItens[[#This Row],[Edital]],tEditais[Edital],0)),"")</f>
        <v>46308.354166666664</v>
      </c>
      <c r="J68" t="str">
        <f>IFERROR(INDEX(tProdutos[Classe],MATCH(tItens[[#This Row],[Produto]],tProdutos[Produto],0)),"produto não cadastrado")</f>
        <v>FORA</v>
      </c>
      <c r="K68" s="12">
        <f>tItens[[#This Row],[Qtd]]*tItens[[#This Row],[Vlr unit]]</f>
        <v>22560</v>
      </c>
      <c r="L68" s="6">
        <f>IFERROR(IF(INDEX(tProdutos[Desconto homologado],MATCH(tItens[[#This Row],[Produto]],tProdutos[Produto],0))="",DescontoPadrao,INDEX(tProdutos[Desconto homologado],MATCH(tItens[[#This Row],[Produto]],tProdutos[Produto],0))),DescontoPadrao)</f>
        <v>0.40540540540540498</v>
      </c>
      <c r="M68" s="12">
        <f>tItens[[#This Row],[Valor]]*(1-tItens[[#This Row],[Desconto]])</f>
        <v>13414.054054054062</v>
      </c>
      <c r="N68" t="str">
        <f>IFERROR(INDEX(tProdutos[Foco],MATCH(tItens[[#This Row],[Produto]],tProdutos[Produto],0)),"Não")</f>
        <v>Não</v>
      </c>
      <c r="O68" t="str">
        <f>IFERROR(INDEX(tEditais[SRP],MATCH(tItens[[#This Row],[Edital]],tEditais[Edital],0)),"Não")</f>
        <v>Não</v>
      </c>
      <c r="P68" s="4">
        <f>IF(COUNTIFS(INDEX(tItens[Edital],1):tItens[[#This Row],[Edital]],tItens[[#This Row],[Edital]],INDEX(tItens[Produto],1):tItens[[#This Row],[Produto]],tItens[[#This Row],[Produto]])=1,1,0)</f>
        <v>1</v>
      </c>
    </row>
    <row r="69" spans="1:16" x14ac:dyDescent="0.25">
      <c r="A69" t="s">
        <v>733</v>
      </c>
      <c r="B69">
        <v>135</v>
      </c>
      <c r="C69" t="s">
        <v>3304</v>
      </c>
      <c r="D69" t="s">
        <v>265</v>
      </c>
      <c r="E69" s="13">
        <v>48000</v>
      </c>
      <c r="F69" s="12">
        <v>0.54</v>
      </c>
      <c r="G69" t="str">
        <f>IFERROR(INDEX(tEditais[Órgão],MATCH(tItens[[#This Row],[Edital]],tEditais[Edital],0)),"")</f>
        <v>MUNICIPIO DE CANAPI</v>
      </c>
      <c r="H69" t="str">
        <f>IFERROR(INDEX(tEditais[UF],MATCH(tItens[[#This Row],[Edital]],tEditais[Edital],0)),"")</f>
        <v>AL</v>
      </c>
      <c r="I69" s="11">
        <f>IFERROR(INDEX(tEditais[Encerramento],MATCH(tItens[[#This Row],[Edital]],tEditais[Edital],0)),"")</f>
        <v>46308.354166666664</v>
      </c>
      <c r="J69" t="str">
        <f>IFERROR(INDEX(tProdutos[Classe],MATCH(tItens[[#This Row],[Produto]],tProdutos[Produto],0)),"produto não cadastrado")</f>
        <v>DISPUTADO</v>
      </c>
      <c r="K69" s="12">
        <f>tItens[[#This Row],[Qtd]]*tItens[[#This Row],[Vlr unit]]</f>
        <v>25920</v>
      </c>
      <c r="L69" s="6">
        <f>IFERROR(IF(INDEX(tProdutos[Desconto homologado],MATCH(tItens[[#This Row],[Produto]],tProdutos[Produto],0))="",DescontoPadrao,INDEX(tProdutos[Desconto homologado],MATCH(tItens[[#This Row],[Produto]],tProdutos[Produto],0))),DescontoPadrao)</f>
        <v>0.377587663709337</v>
      </c>
      <c r="M69" s="12">
        <f>tItens[[#This Row],[Valor]]*(1-tItens[[#This Row],[Desconto]])</f>
        <v>16132.927756653986</v>
      </c>
      <c r="N69" t="str">
        <f>IFERROR(INDEX(tProdutos[Foco],MATCH(tItens[[#This Row],[Produto]],tProdutos[Produto],0)),"Não")</f>
        <v>Não</v>
      </c>
      <c r="O69" t="str">
        <f>IFERROR(INDEX(tEditais[SRP],MATCH(tItens[[#This Row],[Edital]],tEditais[Edital],0)),"Não")</f>
        <v>Não</v>
      </c>
      <c r="P69" s="4">
        <f>IF(COUNTIFS(INDEX(tItens[Edital],1):tItens[[#This Row],[Edital]],tItens[[#This Row],[Edital]],INDEX(tItens[Produto],1):tItens[[#This Row],[Produto]],tItens[[#This Row],[Produto]])=1,1,0)</f>
        <v>1</v>
      </c>
    </row>
    <row r="70" spans="1:16" x14ac:dyDescent="0.25">
      <c r="A70" t="s">
        <v>733</v>
      </c>
      <c r="B70">
        <v>136</v>
      </c>
      <c r="C70" t="s">
        <v>3305</v>
      </c>
      <c r="D70" t="s">
        <v>281</v>
      </c>
      <c r="E70" s="13">
        <v>30000</v>
      </c>
      <c r="F70" s="12">
        <v>0.52</v>
      </c>
      <c r="G70" t="str">
        <f>IFERROR(INDEX(tEditais[Órgão],MATCH(tItens[[#This Row],[Edital]],tEditais[Edital],0)),"")</f>
        <v>MUNICIPIO DE CANAPI</v>
      </c>
      <c r="H70" t="str">
        <f>IFERROR(INDEX(tEditais[UF],MATCH(tItens[[#This Row],[Edital]],tEditais[Edital],0)),"")</f>
        <v>AL</v>
      </c>
      <c r="I70" s="11">
        <f>IFERROR(INDEX(tEditais[Encerramento],MATCH(tItens[[#This Row],[Edital]],tEditais[Edital],0)),"")</f>
        <v>46308.354166666664</v>
      </c>
      <c r="J70" t="str">
        <f>IFERROR(INDEX(tProdutos[Classe],MATCH(tItens[[#This Row],[Produto]],tProdutos[Produto],0)),"produto não cadastrado")</f>
        <v>DISPUTADO</v>
      </c>
      <c r="K70" s="12">
        <f>tItens[[#This Row],[Qtd]]*tItens[[#This Row],[Vlr unit]]</f>
        <v>15600</v>
      </c>
      <c r="L70" s="6">
        <f>IFERROR(IF(INDEX(tProdutos[Desconto homologado],MATCH(tItens[[#This Row],[Produto]],tProdutos[Produto],0))="",DescontoPadrao,INDEX(tProdutos[Desconto homologado],MATCH(tItens[[#This Row],[Produto]],tProdutos[Produto],0))),DescontoPadrao)</f>
        <v>0.42461538461538501</v>
      </c>
      <c r="M70" s="12">
        <f>tItens[[#This Row],[Valor]]*(1-tItens[[#This Row],[Desconto]])</f>
        <v>8975.9999999999927</v>
      </c>
      <c r="N70" t="str">
        <f>IFERROR(INDEX(tProdutos[Foco],MATCH(tItens[[#This Row],[Produto]],tProdutos[Produto],0)),"Não")</f>
        <v>Não</v>
      </c>
      <c r="O70" t="str">
        <f>IFERROR(INDEX(tEditais[SRP],MATCH(tItens[[#This Row],[Edital]],tEditais[Edital],0)),"Não")</f>
        <v>Não</v>
      </c>
      <c r="P70" s="4">
        <f>IF(COUNTIFS(INDEX(tItens[Edital],1):tItens[[#This Row],[Edital]],tItens[[#This Row],[Edital]],INDEX(tItens[Produto],1):tItens[[#This Row],[Produto]],tItens[[#This Row],[Produto]])=1,1,0)</f>
        <v>1</v>
      </c>
    </row>
    <row r="71" spans="1:16" x14ac:dyDescent="0.25">
      <c r="A71" t="s">
        <v>733</v>
      </c>
      <c r="B71">
        <v>137</v>
      </c>
      <c r="C71" t="s">
        <v>3306</v>
      </c>
      <c r="D71" t="s">
        <v>289</v>
      </c>
      <c r="E71" s="13">
        <v>45000</v>
      </c>
      <c r="F71" s="12">
        <v>0.76</v>
      </c>
      <c r="G71" t="str">
        <f>IFERROR(INDEX(tEditais[Órgão],MATCH(tItens[[#This Row],[Edital]],tEditais[Edital],0)),"")</f>
        <v>MUNICIPIO DE CANAPI</v>
      </c>
      <c r="H71" t="str">
        <f>IFERROR(INDEX(tEditais[UF],MATCH(tItens[[#This Row],[Edital]],tEditais[Edital],0)),"")</f>
        <v>AL</v>
      </c>
      <c r="I71" s="11">
        <f>IFERROR(INDEX(tEditais[Encerramento],MATCH(tItens[[#This Row],[Edital]],tEditais[Edital],0)),"")</f>
        <v>46308.354166666664</v>
      </c>
      <c r="J71" t="str">
        <f>IFERROR(INDEX(tProdutos[Classe],MATCH(tItens[[#This Row],[Produto]],tProdutos[Produto],0)),"produto não cadastrado")</f>
        <v>DISPUTADO</v>
      </c>
      <c r="K71" s="12">
        <f>tItens[[#This Row],[Qtd]]*tItens[[#This Row],[Vlr unit]]</f>
        <v>34200</v>
      </c>
      <c r="L71" s="6">
        <f>IFERROR(IF(INDEX(tProdutos[Desconto homologado],MATCH(tItens[[#This Row],[Produto]],tProdutos[Produto],0))="",DescontoPadrao,INDEX(tProdutos[Desconto homologado],MATCH(tItens[[#This Row],[Produto]],tProdutos[Produto],0))),DescontoPadrao)</f>
        <v>0.35849056603773599</v>
      </c>
      <c r="M71" s="12">
        <f>tItens[[#This Row],[Valor]]*(1-tItens[[#This Row],[Desconto]])</f>
        <v>21939.622641509428</v>
      </c>
      <c r="N71" t="str">
        <f>IFERROR(INDEX(tProdutos[Foco],MATCH(tItens[[#This Row],[Produto]],tProdutos[Produto],0)),"Não")</f>
        <v>Não</v>
      </c>
      <c r="O71" t="str">
        <f>IFERROR(INDEX(tEditais[SRP],MATCH(tItens[[#This Row],[Edital]],tEditais[Edital],0)),"Não")</f>
        <v>Não</v>
      </c>
      <c r="P71" s="4">
        <f>IF(COUNTIFS(INDEX(tItens[Edital],1):tItens[[#This Row],[Edital]],tItens[[#This Row],[Edital]],INDEX(tItens[Produto],1):tItens[[#This Row],[Produto]],tItens[[#This Row],[Produto]])=1,1,0)</f>
        <v>1</v>
      </c>
    </row>
    <row r="72" spans="1:16" x14ac:dyDescent="0.25">
      <c r="A72" t="s">
        <v>733</v>
      </c>
      <c r="B72">
        <v>138</v>
      </c>
      <c r="C72" t="s">
        <v>3307</v>
      </c>
      <c r="D72" t="s">
        <v>289</v>
      </c>
      <c r="E72" s="13">
        <v>10000</v>
      </c>
      <c r="F72" s="12">
        <v>0.72</v>
      </c>
      <c r="G72" t="str">
        <f>IFERROR(INDEX(tEditais[Órgão],MATCH(tItens[[#This Row],[Edital]],tEditais[Edital],0)),"")</f>
        <v>MUNICIPIO DE CANAPI</v>
      </c>
      <c r="H72" t="str">
        <f>IFERROR(INDEX(tEditais[UF],MATCH(tItens[[#This Row],[Edital]],tEditais[Edital],0)),"")</f>
        <v>AL</v>
      </c>
      <c r="I72" s="11">
        <f>IFERROR(INDEX(tEditais[Encerramento],MATCH(tItens[[#This Row],[Edital]],tEditais[Edital],0)),"")</f>
        <v>46308.354166666664</v>
      </c>
      <c r="J72" t="str">
        <f>IFERROR(INDEX(tProdutos[Classe],MATCH(tItens[[#This Row],[Produto]],tProdutos[Produto],0)),"produto não cadastrado")</f>
        <v>DISPUTADO</v>
      </c>
      <c r="K72" s="12">
        <f>tItens[[#This Row],[Qtd]]*tItens[[#This Row],[Vlr unit]]</f>
        <v>7200</v>
      </c>
      <c r="L72" s="6">
        <f>IFERROR(IF(INDEX(tProdutos[Desconto homologado],MATCH(tItens[[#This Row],[Produto]],tProdutos[Produto],0))="",DescontoPadrao,INDEX(tProdutos[Desconto homologado],MATCH(tItens[[#This Row],[Produto]],tProdutos[Produto],0))),DescontoPadrao)</f>
        <v>0.35849056603773599</v>
      </c>
      <c r="M72" s="12">
        <f>tItens[[#This Row],[Valor]]*(1-tItens[[#This Row],[Desconto]])</f>
        <v>4618.867924528301</v>
      </c>
      <c r="N72" t="str">
        <f>IFERROR(INDEX(tProdutos[Foco],MATCH(tItens[[#This Row],[Produto]],tProdutos[Produto],0)),"Não")</f>
        <v>Não</v>
      </c>
      <c r="O72" t="str">
        <f>IFERROR(INDEX(tEditais[SRP],MATCH(tItens[[#This Row],[Edital]],tEditais[Edital],0)),"Não")</f>
        <v>Não</v>
      </c>
      <c r="P72" s="4">
        <f>IF(COUNTIFS(INDEX(tItens[Edital],1):tItens[[#This Row],[Edital]],tItens[[#This Row],[Edital]],INDEX(tItens[Produto],1):tItens[[#This Row],[Produto]],tItens[[#This Row],[Produto]])=1,1,0)</f>
        <v>0</v>
      </c>
    </row>
    <row r="73" spans="1:16" x14ac:dyDescent="0.25">
      <c r="A73" t="s">
        <v>733</v>
      </c>
      <c r="B73">
        <v>152</v>
      </c>
      <c r="C73" t="s">
        <v>3308</v>
      </c>
      <c r="D73" t="s">
        <v>120</v>
      </c>
      <c r="E73" s="13">
        <v>4000</v>
      </c>
      <c r="F73" s="12">
        <v>1.28</v>
      </c>
      <c r="G73" t="str">
        <f>IFERROR(INDEX(tEditais[Órgão],MATCH(tItens[[#This Row],[Edital]],tEditais[Edital],0)),"")</f>
        <v>MUNICIPIO DE CANAPI</v>
      </c>
      <c r="H73" t="str">
        <f>IFERROR(INDEX(tEditais[UF],MATCH(tItens[[#This Row],[Edital]],tEditais[Edital],0)),"")</f>
        <v>AL</v>
      </c>
      <c r="I73" s="11">
        <f>IFERROR(INDEX(tEditais[Encerramento],MATCH(tItens[[#This Row],[Edital]],tEditais[Edital],0)),"")</f>
        <v>46308.354166666664</v>
      </c>
      <c r="J73" t="str">
        <f>IFERROR(INDEX(tProdutos[Classe],MATCH(tItens[[#This Row],[Produto]],tProdutos[Produto],0)),"produto não cadastrado")</f>
        <v>DISPUTADO</v>
      </c>
      <c r="K73" s="12">
        <f>tItens[[#This Row],[Qtd]]*tItens[[#This Row],[Vlr unit]]</f>
        <v>5120</v>
      </c>
      <c r="L73" s="6">
        <f>IFERROR(IF(INDEX(tProdutos[Desconto homologado],MATCH(tItens[[#This Row],[Produto]],tProdutos[Produto],0))="",DescontoPadrao,INDEX(tProdutos[Desconto homologado],MATCH(tItens[[#This Row],[Produto]],tProdutos[Produto],0))),DescontoPadrao)</f>
        <v>0.40909090909090901</v>
      </c>
      <c r="M73" s="12">
        <f>tItens[[#This Row],[Valor]]*(1-tItens[[#This Row],[Desconto]])</f>
        <v>3025.454545454546</v>
      </c>
      <c r="N73" t="str">
        <f>IFERROR(INDEX(tProdutos[Foco],MATCH(tItens[[#This Row],[Produto]],tProdutos[Produto],0)),"Não")</f>
        <v>Não</v>
      </c>
      <c r="O73" t="str">
        <f>IFERROR(INDEX(tEditais[SRP],MATCH(tItens[[#This Row],[Edital]],tEditais[Edital],0)),"Não")</f>
        <v>Não</v>
      </c>
      <c r="P73" s="4">
        <f>IF(COUNTIFS(INDEX(tItens[Edital],1):tItens[[#This Row],[Edital]],tItens[[#This Row],[Edital]],INDEX(tItens[Produto],1):tItens[[#This Row],[Produto]],tItens[[#This Row],[Produto]])=1,1,0)</f>
        <v>1</v>
      </c>
    </row>
    <row r="74" spans="1:16" x14ac:dyDescent="0.25">
      <c r="A74" t="s">
        <v>733</v>
      </c>
      <c r="B74">
        <v>153</v>
      </c>
      <c r="C74" t="s">
        <v>3309</v>
      </c>
      <c r="D74" t="s">
        <v>120</v>
      </c>
      <c r="E74" s="13">
        <v>7200</v>
      </c>
      <c r="F74" s="12">
        <v>1.28</v>
      </c>
      <c r="G74" t="str">
        <f>IFERROR(INDEX(tEditais[Órgão],MATCH(tItens[[#This Row],[Edital]],tEditais[Edital],0)),"")</f>
        <v>MUNICIPIO DE CANAPI</v>
      </c>
      <c r="H74" t="str">
        <f>IFERROR(INDEX(tEditais[UF],MATCH(tItens[[#This Row],[Edital]],tEditais[Edital],0)),"")</f>
        <v>AL</v>
      </c>
      <c r="I74" s="11">
        <f>IFERROR(INDEX(tEditais[Encerramento],MATCH(tItens[[#This Row],[Edital]],tEditais[Edital],0)),"")</f>
        <v>46308.354166666664</v>
      </c>
      <c r="J74" t="str">
        <f>IFERROR(INDEX(tProdutos[Classe],MATCH(tItens[[#This Row],[Produto]],tProdutos[Produto],0)),"produto não cadastrado")</f>
        <v>DISPUTADO</v>
      </c>
      <c r="K74" s="12">
        <f>tItens[[#This Row],[Qtd]]*tItens[[#This Row],[Vlr unit]]</f>
        <v>9216</v>
      </c>
      <c r="L74" s="6">
        <f>IFERROR(IF(INDEX(tProdutos[Desconto homologado],MATCH(tItens[[#This Row],[Produto]],tProdutos[Produto],0))="",DescontoPadrao,INDEX(tProdutos[Desconto homologado],MATCH(tItens[[#This Row],[Produto]],tProdutos[Produto],0))),DescontoPadrao)</f>
        <v>0.40909090909090901</v>
      </c>
      <c r="M74" s="12">
        <f>tItens[[#This Row],[Valor]]*(1-tItens[[#This Row],[Desconto]])</f>
        <v>5445.8181818181829</v>
      </c>
      <c r="N74" t="str">
        <f>IFERROR(INDEX(tProdutos[Foco],MATCH(tItens[[#This Row],[Produto]],tProdutos[Produto],0)),"Não")</f>
        <v>Não</v>
      </c>
      <c r="O74" t="str">
        <f>IFERROR(INDEX(tEditais[SRP],MATCH(tItens[[#This Row],[Edital]],tEditais[Edital],0)),"Não")</f>
        <v>Não</v>
      </c>
      <c r="P74" s="4">
        <f>IF(COUNTIFS(INDEX(tItens[Edital],1):tItens[[#This Row],[Edital]],tItens[[#This Row],[Edital]],INDEX(tItens[Produto],1):tItens[[#This Row],[Produto]],tItens[[#This Row],[Produto]])=1,1,0)</f>
        <v>0</v>
      </c>
    </row>
    <row r="75" spans="1:16" x14ac:dyDescent="0.25">
      <c r="A75" t="s">
        <v>733</v>
      </c>
      <c r="B75">
        <v>154</v>
      </c>
      <c r="C75" t="s">
        <v>3310</v>
      </c>
      <c r="D75" t="s">
        <v>120</v>
      </c>
      <c r="E75" s="13">
        <v>7200</v>
      </c>
      <c r="F75" s="12">
        <v>1.28</v>
      </c>
      <c r="G75" t="str">
        <f>IFERROR(INDEX(tEditais[Órgão],MATCH(tItens[[#This Row],[Edital]],tEditais[Edital],0)),"")</f>
        <v>MUNICIPIO DE CANAPI</v>
      </c>
      <c r="H75" t="str">
        <f>IFERROR(INDEX(tEditais[UF],MATCH(tItens[[#This Row],[Edital]],tEditais[Edital],0)),"")</f>
        <v>AL</v>
      </c>
      <c r="I75" s="11">
        <f>IFERROR(INDEX(tEditais[Encerramento],MATCH(tItens[[#This Row],[Edital]],tEditais[Edital],0)),"")</f>
        <v>46308.354166666664</v>
      </c>
      <c r="J75" t="str">
        <f>IFERROR(INDEX(tProdutos[Classe],MATCH(tItens[[#This Row],[Produto]],tProdutos[Produto],0)),"produto não cadastrado")</f>
        <v>DISPUTADO</v>
      </c>
      <c r="K75" s="12">
        <f>tItens[[#This Row],[Qtd]]*tItens[[#This Row],[Vlr unit]]</f>
        <v>9216</v>
      </c>
      <c r="L75" s="6">
        <f>IFERROR(IF(INDEX(tProdutos[Desconto homologado],MATCH(tItens[[#This Row],[Produto]],tProdutos[Produto],0))="",DescontoPadrao,INDEX(tProdutos[Desconto homologado],MATCH(tItens[[#This Row],[Produto]],tProdutos[Produto],0))),DescontoPadrao)</f>
        <v>0.40909090909090901</v>
      </c>
      <c r="M75" s="12">
        <f>tItens[[#This Row],[Valor]]*(1-tItens[[#This Row],[Desconto]])</f>
        <v>5445.8181818181829</v>
      </c>
      <c r="N75" t="str">
        <f>IFERROR(INDEX(tProdutos[Foco],MATCH(tItens[[#This Row],[Produto]],tProdutos[Produto],0)),"Não")</f>
        <v>Não</v>
      </c>
      <c r="O75" t="str">
        <f>IFERROR(INDEX(tEditais[SRP],MATCH(tItens[[#This Row],[Edital]],tEditais[Edital],0)),"Não")</f>
        <v>Não</v>
      </c>
      <c r="P75" s="4">
        <f>IF(COUNTIFS(INDEX(tItens[Edital],1):tItens[[#This Row],[Edital]],tItens[[#This Row],[Edital]],INDEX(tItens[Produto],1):tItens[[#This Row],[Produto]],tItens[[#This Row],[Produto]])=1,1,0)</f>
        <v>0</v>
      </c>
    </row>
    <row r="76" spans="1:16" x14ac:dyDescent="0.25">
      <c r="A76" t="s">
        <v>733</v>
      </c>
      <c r="B76">
        <v>155</v>
      </c>
      <c r="C76" t="s">
        <v>3311</v>
      </c>
      <c r="D76" t="s">
        <v>120</v>
      </c>
      <c r="E76" s="13">
        <v>240</v>
      </c>
      <c r="F76" s="12">
        <v>1.28</v>
      </c>
      <c r="G76" t="str">
        <f>IFERROR(INDEX(tEditais[Órgão],MATCH(tItens[[#This Row],[Edital]],tEditais[Edital],0)),"")</f>
        <v>MUNICIPIO DE CANAPI</v>
      </c>
      <c r="H76" t="str">
        <f>IFERROR(INDEX(tEditais[UF],MATCH(tItens[[#This Row],[Edital]],tEditais[Edital],0)),"")</f>
        <v>AL</v>
      </c>
      <c r="I76" s="11">
        <f>IFERROR(INDEX(tEditais[Encerramento],MATCH(tItens[[#This Row],[Edital]],tEditais[Edital],0)),"")</f>
        <v>46308.354166666664</v>
      </c>
      <c r="J76" t="str">
        <f>IFERROR(INDEX(tProdutos[Classe],MATCH(tItens[[#This Row],[Produto]],tProdutos[Produto],0)),"produto não cadastrado")</f>
        <v>DISPUTADO</v>
      </c>
      <c r="K76" s="12">
        <f>tItens[[#This Row],[Qtd]]*tItens[[#This Row],[Vlr unit]]</f>
        <v>307.2</v>
      </c>
      <c r="L76" s="6">
        <f>IFERROR(IF(INDEX(tProdutos[Desconto homologado],MATCH(tItens[[#This Row],[Produto]],tProdutos[Produto],0))="",DescontoPadrao,INDEX(tProdutos[Desconto homologado],MATCH(tItens[[#This Row],[Produto]],tProdutos[Produto],0))),DescontoPadrao)</f>
        <v>0.40909090909090901</v>
      </c>
      <c r="M76" s="12">
        <f>tItens[[#This Row],[Valor]]*(1-tItens[[#This Row],[Desconto]])</f>
        <v>181.52727272727276</v>
      </c>
      <c r="N76" t="str">
        <f>IFERROR(INDEX(tProdutos[Foco],MATCH(tItens[[#This Row],[Produto]],tProdutos[Produto],0)),"Não")</f>
        <v>Não</v>
      </c>
      <c r="O76" t="str">
        <f>IFERROR(INDEX(tEditais[SRP],MATCH(tItens[[#This Row],[Edital]],tEditais[Edital],0)),"Não")</f>
        <v>Não</v>
      </c>
      <c r="P76" s="4">
        <f>IF(COUNTIFS(INDEX(tItens[Edital],1):tItens[[#This Row],[Edital]],tItens[[#This Row],[Edital]],INDEX(tItens[Produto],1):tItens[[#This Row],[Produto]],tItens[[#This Row],[Produto]])=1,1,0)</f>
        <v>0</v>
      </c>
    </row>
    <row r="77" spans="1:16" x14ac:dyDescent="0.25">
      <c r="A77" t="s">
        <v>733</v>
      </c>
      <c r="B77">
        <v>156</v>
      </c>
      <c r="C77" t="s">
        <v>3312</v>
      </c>
      <c r="D77" t="s">
        <v>120</v>
      </c>
      <c r="E77" s="13">
        <v>240</v>
      </c>
      <c r="F77" s="12">
        <v>1.28</v>
      </c>
      <c r="G77" t="str">
        <f>IFERROR(INDEX(tEditais[Órgão],MATCH(tItens[[#This Row],[Edital]],tEditais[Edital],0)),"")</f>
        <v>MUNICIPIO DE CANAPI</v>
      </c>
      <c r="H77" t="str">
        <f>IFERROR(INDEX(tEditais[UF],MATCH(tItens[[#This Row],[Edital]],tEditais[Edital],0)),"")</f>
        <v>AL</v>
      </c>
      <c r="I77" s="11">
        <f>IFERROR(INDEX(tEditais[Encerramento],MATCH(tItens[[#This Row],[Edital]],tEditais[Edital],0)),"")</f>
        <v>46308.354166666664</v>
      </c>
      <c r="J77" t="str">
        <f>IFERROR(INDEX(tProdutos[Classe],MATCH(tItens[[#This Row],[Produto]],tProdutos[Produto],0)),"produto não cadastrado")</f>
        <v>DISPUTADO</v>
      </c>
      <c r="K77" s="12">
        <f>tItens[[#This Row],[Qtd]]*tItens[[#This Row],[Vlr unit]]</f>
        <v>307.2</v>
      </c>
      <c r="L77" s="6">
        <f>IFERROR(IF(INDEX(tProdutos[Desconto homologado],MATCH(tItens[[#This Row],[Produto]],tProdutos[Produto],0))="",DescontoPadrao,INDEX(tProdutos[Desconto homologado],MATCH(tItens[[#This Row],[Produto]],tProdutos[Produto],0))),DescontoPadrao)</f>
        <v>0.40909090909090901</v>
      </c>
      <c r="M77" s="12">
        <f>tItens[[#This Row],[Valor]]*(1-tItens[[#This Row],[Desconto]])</f>
        <v>181.52727272727276</v>
      </c>
      <c r="N77" t="str">
        <f>IFERROR(INDEX(tProdutos[Foco],MATCH(tItens[[#This Row],[Produto]],tProdutos[Produto],0)),"Não")</f>
        <v>Não</v>
      </c>
      <c r="O77" t="str">
        <f>IFERROR(INDEX(tEditais[SRP],MATCH(tItens[[#This Row],[Edital]],tEditais[Edital],0)),"Não")</f>
        <v>Não</v>
      </c>
      <c r="P77" s="4">
        <f>IF(COUNTIFS(INDEX(tItens[Edital],1):tItens[[#This Row],[Edital]],tItens[[#This Row],[Edital]],INDEX(tItens[Produto],1):tItens[[#This Row],[Produto]],tItens[[#This Row],[Produto]])=1,1,0)</f>
        <v>0</v>
      </c>
    </row>
    <row r="78" spans="1:16" x14ac:dyDescent="0.25">
      <c r="A78" t="s">
        <v>733</v>
      </c>
      <c r="B78">
        <v>157</v>
      </c>
      <c r="C78" t="s">
        <v>3313</v>
      </c>
      <c r="D78" t="s">
        <v>120</v>
      </c>
      <c r="E78" s="13">
        <v>240</v>
      </c>
      <c r="F78" s="12">
        <v>1.28</v>
      </c>
      <c r="G78" t="str">
        <f>IFERROR(INDEX(tEditais[Órgão],MATCH(tItens[[#This Row],[Edital]],tEditais[Edital],0)),"")</f>
        <v>MUNICIPIO DE CANAPI</v>
      </c>
      <c r="H78" t="str">
        <f>IFERROR(INDEX(tEditais[UF],MATCH(tItens[[#This Row],[Edital]],tEditais[Edital],0)),"")</f>
        <v>AL</v>
      </c>
      <c r="I78" s="11">
        <f>IFERROR(INDEX(tEditais[Encerramento],MATCH(tItens[[#This Row],[Edital]],tEditais[Edital],0)),"")</f>
        <v>46308.354166666664</v>
      </c>
      <c r="J78" t="str">
        <f>IFERROR(INDEX(tProdutos[Classe],MATCH(tItens[[#This Row],[Produto]],tProdutos[Produto],0)),"produto não cadastrado")</f>
        <v>DISPUTADO</v>
      </c>
      <c r="K78" s="12">
        <f>tItens[[#This Row],[Qtd]]*tItens[[#This Row],[Vlr unit]]</f>
        <v>307.2</v>
      </c>
      <c r="L78" s="6">
        <f>IFERROR(IF(INDEX(tProdutos[Desconto homologado],MATCH(tItens[[#This Row],[Produto]],tProdutos[Produto],0))="",DescontoPadrao,INDEX(tProdutos[Desconto homologado],MATCH(tItens[[#This Row],[Produto]],tProdutos[Produto],0))),DescontoPadrao)</f>
        <v>0.40909090909090901</v>
      </c>
      <c r="M78" s="12">
        <f>tItens[[#This Row],[Valor]]*(1-tItens[[#This Row],[Desconto]])</f>
        <v>181.52727272727276</v>
      </c>
      <c r="N78" t="str">
        <f>IFERROR(INDEX(tProdutos[Foco],MATCH(tItens[[#This Row],[Produto]],tProdutos[Produto],0)),"Não")</f>
        <v>Não</v>
      </c>
      <c r="O78" t="str">
        <f>IFERROR(INDEX(tEditais[SRP],MATCH(tItens[[#This Row],[Edital]],tEditais[Edital],0)),"Não")</f>
        <v>Não</v>
      </c>
      <c r="P78" s="4">
        <f>IF(COUNTIFS(INDEX(tItens[Edital],1):tItens[[#This Row],[Edital]],tItens[[#This Row],[Edital]],INDEX(tItens[Produto],1):tItens[[#This Row],[Produto]],tItens[[#This Row],[Produto]])=1,1,0)</f>
        <v>0</v>
      </c>
    </row>
    <row r="79" spans="1:16" x14ac:dyDescent="0.25">
      <c r="A79" t="s">
        <v>733</v>
      </c>
      <c r="B79">
        <v>161</v>
      </c>
      <c r="C79" t="s">
        <v>3314</v>
      </c>
      <c r="D79" t="s">
        <v>184</v>
      </c>
      <c r="E79" s="13">
        <v>80</v>
      </c>
      <c r="F79" s="12">
        <v>6.88</v>
      </c>
      <c r="G79" t="str">
        <f>IFERROR(INDEX(tEditais[Órgão],MATCH(tItens[[#This Row],[Edital]],tEditais[Edital],0)),"")</f>
        <v>MUNICIPIO DE CANAPI</v>
      </c>
      <c r="H79" t="str">
        <f>IFERROR(INDEX(tEditais[UF],MATCH(tItens[[#This Row],[Edital]],tEditais[Edital],0)),"")</f>
        <v>AL</v>
      </c>
      <c r="I79" s="11">
        <f>IFERROR(INDEX(tEditais[Encerramento],MATCH(tItens[[#This Row],[Edital]],tEditais[Edital],0)),"")</f>
        <v>46308.354166666664</v>
      </c>
      <c r="J79" t="str">
        <f>IFERROR(INDEX(tProdutos[Classe],MATCH(tItens[[#This Row],[Produto]],tProdutos[Produto],0)),"produto não cadastrado")</f>
        <v>FORA</v>
      </c>
      <c r="K79" s="12">
        <f>tItens[[#This Row],[Qtd]]*tItens[[#This Row],[Vlr unit]]</f>
        <v>550.4</v>
      </c>
      <c r="L79" s="6">
        <f>IFERROR(IF(INDEX(tProdutos[Desconto homologado],MATCH(tItens[[#This Row],[Produto]],tProdutos[Produto],0))="",DescontoPadrao,INDEX(tProdutos[Desconto homologado],MATCH(tItens[[#This Row],[Produto]],tProdutos[Produto],0))),DescontoPadrao)</f>
        <v>0.363567906332742</v>
      </c>
      <c r="M79" s="12">
        <f>tItens[[#This Row],[Valor]]*(1-tItens[[#This Row],[Desconto]])</f>
        <v>350.29222435445882</v>
      </c>
      <c r="N79" t="str">
        <f>IFERROR(INDEX(tProdutos[Foco],MATCH(tItens[[#This Row],[Produto]],tProdutos[Produto],0)),"Não")</f>
        <v>Não</v>
      </c>
      <c r="O79" t="str">
        <f>IFERROR(INDEX(tEditais[SRP],MATCH(tItens[[#This Row],[Edital]],tEditais[Edital],0)),"Não")</f>
        <v>Não</v>
      </c>
      <c r="P79" s="4">
        <f>IF(COUNTIFS(INDEX(tItens[Edital],1):tItens[[#This Row],[Edital]],tItens[[#This Row],[Edital]],INDEX(tItens[Produto],1):tItens[[#This Row],[Produto]],tItens[[#This Row],[Produto]])=1,1,0)</f>
        <v>1</v>
      </c>
    </row>
    <row r="80" spans="1:16" x14ac:dyDescent="0.25">
      <c r="A80" t="s">
        <v>733</v>
      </c>
      <c r="B80">
        <v>162</v>
      </c>
      <c r="C80" t="s">
        <v>3315</v>
      </c>
      <c r="D80" t="s">
        <v>184</v>
      </c>
      <c r="E80" s="13">
        <v>480</v>
      </c>
      <c r="F80" s="12">
        <v>6.88</v>
      </c>
      <c r="G80" t="str">
        <f>IFERROR(INDEX(tEditais[Órgão],MATCH(tItens[[#This Row],[Edital]],tEditais[Edital],0)),"")</f>
        <v>MUNICIPIO DE CANAPI</v>
      </c>
      <c r="H80" t="str">
        <f>IFERROR(INDEX(tEditais[UF],MATCH(tItens[[#This Row],[Edital]],tEditais[Edital],0)),"")</f>
        <v>AL</v>
      </c>
      <c r="I80" s="11">
        <f>IFERROR(INDEX(tEditais[Encerramento],MATCH(tItens[[#This Row],[Edital]],tEditais[Edital],0)),"")</f>
        <v>46308.354166666664</v>
      </c>
      <c r="J80" t="str">
        <f>IFERROR(INDEX(tProdutos[Classe],MATCH(tItens[[#This Row],[Produto]],tProdutos[Produto],0)),"produto não cadastrado")</f>
        <v>FORA</v>
      </c>
      <c r="K80" s="12">
        <f>tItens[[#This Row],[Qtd]]*tItens[[#This Row],[Vlr unit]]</f>
        <v>3302.4</v>
      </c>
      <c r="L80" s="6">
        <f>IFERROR(IF(INDEX(tProdutos[Desconto homologado],MATCH(tItens[[#This Row],[Produto]],tProdutos[Produto],0))="",DescontoPadrao,INDEX(tProdutos[Desconto homologado],MATCH(tItens[[#This Row],[Produto]],tProdutos[Produto],0))),DescontoPadrao)</f>
        <v>0.363567906332742</v>
      </c>
      <c r="M80" s="12">
        <f>tItens[[#This Row],[Valor]]*(1-tItens[[#This Row],[Desconto]])</f>
        <v>2101.7533461267531</v>
      </c>
      <c r="N80" t="str">
        <f>IFERROR(INDEX(tProdutos[Foco],MATCH(tItens[[#This Row],[Produto]],tProdutos[Produto],0)),"Não")</f>
        <v>Não</v>
      </c>
      <c r="O80" t="str">
        <f>IFERROR(INDEX(tEditais[SRP],MATCH(tItens[[#This Row],[Edital]],tEditais[Edital],0)),"Não")</f>
        <v>Não</v>
      </c>
      <c r="P80" s="4">
        <f>IF(COUNTIFS(INDEX(tItens[Edital],1):tItens[[#This Row],[Edital]],tItens[[#This Row],[Edital]],INDEX(tItens[Produto],1):tItens[[#This Row],[Produto]],tItens[[#This Row],[Produto]])=1,1,0)</f>
        <v>0</v>
      </c>
    </row>
    <row r="81" spans="1:16" x14ac:dyDescent="0.25">
      <c r="A81" t="s">
        <v>733</v>
      </c>
      <c r="B81">
        <v>163</v>
      </c>
      <c r="C81" t="s">
        <v>3316</v>
      </c>
      <c r="D81" t="s">
        <v>184</v>
      </c>
      <c r="E81" s="13">
        <v>480</v>
      </c>
      <c r="F81" s="12">
        <v>6.88</v>
      </c>
      <c r="G81" t="str">
        <f>IFERROR(INDEX(tEditais[Órgão],MATCH(tItens[[#This Row],[Edital]],tEditais[Edital],0)),"")</f>
        <v>MUNICIPIO DE CANAPI</v>
      </c>
      <c r="H81" t="str">
        <f>IFERROR(INDEX(tEditais[UF],MATCH(tItens[[#This Row],[Edital]],tEditais[Edital],0)),"")</f>
        <v>AL</v>
      </c>
      <c r="I81" s="11">
        <f>IFERROR(INDEX(tEditais[Encerramento],MATCH(tItens[[#This Row],[Edital]],tEditais[Edital],0)),"")</f>
        <v>46308.354166666664</v>
      </c>
      <c r="J81" t="str">
        <f>IFERROR(INDEX(tProdutos[Classe],MATCH(tItens[[#This Row],[Produto]],tProdutos[Produto],0)),"produto não cadastrado")</f>
        <v>FORA</v>
      </c>
      <c r="K81" s="12">
        <f>tItens[[#This Row],[Qtd]]*tItens[[#This Row],[Vlr unit]]</f>
        <v>3302.4</v>
      </c>
      <c r="L81" s="6">
        <f>IFERROR(IF(INDEX(tProdutos[Desconto homologado],MATCH(tItens[[#This Row],[Produto]],tProdutos[Produto],0))="",DescontoPadrao,INDEX(tProdutos[Desconto homologado],MATCH(tItens[[#This Row],[Produto]],tProdutos[Produto],0))),DescontoPadrao)</f>
        <v>0.363567906332742</v>
      </c>
      <c r="M81" s="12">
        <f>tItens[[#This Row],[Valor]]*(1-tItens[[#This Row],[Desconto]])</f>
        <v>2101.7533461267531</v>
      </c>
      <c r="N81" t="str">
        <f>IFERROR(INDEX(tProdutos[Foco],MATCH(tItens[[#This Row],[Produto]],tProdutos[Produto],0)),"Não")</f>
        <v>Não</v>
      </c>
      <c r="O81" t="str">
        <f>IFERROR(INDEX(tEditais[SRP],MATCH(tItens[[#This Row],[Edital]],tEditais[Edital],0)),"Não")</f>
        <v>Não</v>
      </c>
      <c r="P81" s="4">
        <f>IF(COUNTIFS(INDEX(tItens[Edital],1):tItens[[#This Row],[Edital]],tItens[[#This Row],[Edital]],INDEX(tItens[Produto],1):tItens[[#This Row],[Produto]],tItens[[#This Row],[Produto]])=1,1,0)</f>
        <v>0</v>
      </c>
    </row>
    <row r="82" spans="1:16" x14ac:dyDescent="0.25">
      <c r="A82" t="s">
        <v>733</v>
      </c>
      <c r="B82">
        <v>164</v>
      </c>
      <c r="C82" t="s">
        <v>3317</v>
      </c>
      <c r="D82" t="s">
        <v>184</v>
      </c>
      <c r="E82" s="13">
        <v>80</v>
      </c>
      <c r="F82" s="12">
        <v>6.88</v>
      </c>
      <c r="G82" t="str">
        <f>IFERROR(INDEX(tEditais[Órgão],MATCH(tItens[[#This Row],[Edital]],tEditais[Edital],0)),"")</f>
        <v>MUNICIPIO DE CANAPI</v>
      </c>
      <c r="H82" t="str">
        <f>IFERROR(INDEX(tEditais[UF],MATCH(tItens[[#This Row],[Edital]],tEditais[Edital],0)),"")</f>
        <v>AL</v>
      </c>
      <c r="I82" s="11">
        <f>IFERROR(INDEX(tEditais[Encerramento],MATCH(tItens[[#This Row],[Edital]],tEditais[Edital],0)),"")</f>
        <v>46308.354166666664</v>
      </c>
      <c r="J82" t="str">
        <f>IFERROR(INDEX(tProdutos[Classe],MATCH(tItens[[#This Row],[Produto]],tProdutos[Produto],0)),"produto não cadastrado")</f>
        <v>FORA</v>
      </c>
      <c r="K82" s="12">
        <f>tItens[[#This Row],[Qtd]]*tItens[[#This Row],[Vlr unit]]</f>
        <v>550.4</v>
      </c>
      <c r="L82" s="6">
        <f>IFERROR(IF(INDEX(tProdutos[Desconto homologado],MATCH(tItens[[#This Row],[Produto]],tProdutos[Produto],0))="",DescontoPadrao,INDEX(tProdutos[Desconto homologado],MATCH(tItens[[#This Row],[Produto]],tProdutos[Produto],0))),DescontoPadrao)</f>
        <v>0.363567906332742</v>
      </c>
      <c r="M82" s="12">
        <f>tItens[[#This Row],[Valor]]*(1-tItens[[#This Row],[Desconto]])</f>
        <v>350.29222435445882</v>
      </c>
      <c r="N82" t="str">
        <f>IFERROR(INDEX(tProdutos[Foco],MATCH(tItens[[#This Row],[Produto]],tProdutos[Produto],0)),"Não")</f>
        <v>Não</v>
      </c>
      <c r="O82" t="str">
        <f>IFERROR(INDEX(tEditais[SRP],MATCH(tItens[[#This Row],[Edital]],tEditais[Edital],0)),"Não")</f>
        <v>Não</v>
      </c>
      <c r="P82" s="4">
        <f>IF(COUNTIFS(INDEX(tItens[Edital],1):tItens[[#This Row],[Edital]],tItens[[#This Row],[Edital]],INDEX(tItens[Produto],1):tItens[[#This Row],[Produto]],tItens[[#This Row],[Produto]])=1,1,0)</f>
        <v>0</v>
      </c>
    </row>
    <row r="83" spans="1:16" x14ac:dyDescent="0.25">
      <c r="A83" t="s">
        <v>733</v>
      </c>
      <c r="B83">
        <v>169</v>
      </c>
      <c r="C83" t="s">
        <v>3318</v>
      </c>
      <c r="D83" t="s">
        <v>110</v>
      </c>
      <c r="E83" s="13">
        <v>500</v>
      </c>
      <c r="F83" s="12">
        <v>1.6</v>
      </c>
      <c r="G83" t="str">
        <f>IFERROR(INDEX(tEditais[Órgão],MATCH(tItens[[#This Row],[Edital]],tEditais[Edital],0)),"")</f>
        <v>MUNICIPIO DE CANAPI</v>
      </c>
      <c r="H83" t="str">
        <f>IFERROR(INDEX(tEditais[UF],MATCH(tItens[[#This Row],[Edital]],tEditais[Edital],0)),"")</f>
        <v>AL</v>
      </c>
      <c r="I83" s="11">
        <f>IFERROR(INDEX(tEditais[Encerramento],MATCH(tItens[[#This Row],[Edital]],tEditais[Edital],0)),"")</f>
        <v>46308.354166666664</v>
      </c>
      <c r="J83" t="str">
        <f>IFERROR(INDEX(tProdutos[Classe],MATCH(tItens[[#This Row],[Produto]],tProdutos[Produto],0)),"produto não cadastrado")</f>
        <v>NÚCLEO</v>
      </c>
      <c r="K83" s="12">
        <f>tItens[[#This Row],[Qtd]]*tItens[[#This Row],[Vlr unit]]</f>
        <v>800</v>
      </c>
      <c r="L83" s="6">
        <f>IFERROR(IF(INDEX(tProdutos[Desconto homologado],MATCH(tItens[[#This Row],[Produto]],tProdutos[Produto],0))="",DescontoPadrao,INDEX(tProdutos[Desconto homologado],MATCH(tItens[[#This Row],[Produto]],tProdutos[Produto],0))),DescontoPadrao)</f>
        <v>0.30410958904109597</v>
      </c>
      <c r="M83" s="12">
        <f>tItens[[#This Row],[Valor]]*(1-tItens[[#This Row],[Desconto]])</f>
        <v>556.71232876712327</v>
      </c>
      <c r="N83" t="str">
        <f>IFERROR(INDEX(tProdutos[Foco],MATCH(tItens[[#This Row],[Produto]],tProdutos[Produto],0)),"Não")</f>
        <v>Não</v>
      </c>
      <c r="O83" t="str">
        <f>IFERROR(INDEX(tEditais[SRP],MATCH(tItens[[#This Row],[Edital]],tEditais[Edital],0)),"Não")</f>
        <v>Não</v>
      </c>
      <c r="P83" s="4">
        <f>IF(COUNTIFS(INDEX(tItens[Edital],1):tItens[[#This Row],[Edital]],tItens[[#This Row],[Edital]],INDEX(tItens[Produto],1):tItens[[#This Row],[Produto]],tItens[[#This Row],[Produto]])=1,1,0)</f>
        <v>1</v>
      </c>
    </row>
    <row r="84" spans="1:16" x14ac:dyDescent="0.25">
      <c r="A84" t="s">
        <v>733</v>
      </c>
      <c r="B84">
        <v>170</v>
      </c>
      <c r="C84" t="s">
        <v>3319</v>
      </c>
      <c r="D84" t="s">
        <v>110</v>
      </c>
      <c r="E84" s="13">
        <v>500</v>
      </c>
      <c r="F84" s="12">
        <v>1.6</v>
      </c>
      <c r="G84" t="str">
        <f>IFERROR(INDEX(tEditais[Órgão],MATCH(tItens[[#This Row],[Edital]],tEditais[Edital],0)),"")</f>
        <v>MUNICIPIO DE CANAPI</v>
      </c>
      <c r="H84" t="str">
        <f>IFERROR(INDEX(tEditais[UF],MATCH(tItens[[#This Row],[Edital]],tEditais[Edital],0)),"")</f>
        <v>AL</v>
      </c>
      <c r="I84" s="11">
        <f>IFERROR(INDEX(tEditais[Encerramento],MATCH(tItens[[#This Row],[Edital]],tEditais[Edital],0)),"")</f>
        <v>46308.354166666664</v>
      </c>
      <c r="J84" t="str">
        <f>IFERROR(INDEX(tProdutos[Classe],MATCH(tItens[[#This Row],[Produto]],tProdutos[Produto],0)),"produto não cadastrado")</f>
        <v>NÚCLEO</v>
      </c>
      <c r="K84" s="12">
        <f>tItens[[#This Row],[Qtd]]*tItens[[#This Row],[Vlr unit]]</f>
        <v>800</v>
      </c>
      <c r="L84" s="6">
        <f>IFERROR(IF(INDEX(tProdutos[Desconto homologado],MATCH(tItens[[#This Row],[Produto]],tProdutos[Produto],0))="",DescontoPadrao,INDEX(tProdutos[Desconto homologado],MATCH(tItens[[#This Row],[Produto]],tProdutos[Produto],0))),DescontoPadrao)</f>
        <v>0.30410958904109597</v>
      </c>
      <c r="M84" s="12">
        <f>tItens[[#This Row],[Valor]]*(1-tItens[[#This Row],[Desconto]])</f>
        <v>556.71232876712327</v>
      </c>
      <c r="N84" t="str">
        <f>IFERROR(INDEX(tProdutos[Foco],MATCH(tItens[[#This Row],[Produto]],tProdutos[Produto],0)),"Não")</f>
        <v>Não</v>
      </c>
      <c r="O84" t="str">
        <f>IFERROR(INDEX(tEditais[SRP],MATCH(tItens[[#This Row],[Edital]],tEditais[Edital],0)),"Não")</f>
        <v>Não</v>
      </c>
      <c r="P84" s="4">
        <f>IF(COUNTIFS(INDEX(tItens[Edital],1):tItens[[#This Row],[Edital]],tItens[[#This Row],[Edital]],INDEX(tItens[Produto],1):tItens[[#This Row],[Produto]],tItens[[#This Row],[Produto]])=1,1,0)</f>
        <v>0</v>
      </c>
    </row>
    <row r="85" spans="1:16" x14ac:dyDescent="0.25">
      <c r="A85" t="s">
        <v>733</v>
      </c>
      <c r="B85">
        <v>171</v>
      </c>
      <c r="C85" t="s">
        <v>3320</v>
      </c>
      <c r="D85" t="s">
        <v>110</v>
      </c>
      <c r="E85" s="13">
        <v>500</v>
      </c>
      <c r="F85" s="12">
        <v>1.6</v>
      </c>
      <c r="G85" t="str">
        <f>IFERROR(INDEX(tEditais[Órgão],MATCH(tItens[[#This Row],[Edital]],tEditais[Edital],0)),"")</f>
        <v>MUNICIPIO DE CANAPI</v>
      </c>
      <c r="H85" t="str">
        <f>IFERROR(INDEX(tEditais[UF],MATCH(tItens[[#This Row],[Edital]],tEditais[Edital],0)),"")</f>
        <v>AL</v>
      </c>
      <c r="I85" s="11">
        <f>IFERROR(INDEX(tEditais[Encerramento],MATCH(tItens[[#This Row],[Edital]],tEditais[Edital],0)),"")</f>
        <v>46308.354166666664</v>
      </c>
      <c r="J85" t="str">
        <f>IFERROR(INDEX(tProdutos[Classe],MATCH(tItens[[#This Row],[Produto]],tProdutos[Produto],0)),"produto não cadastrado")</f>
        <v>NÚCLEO</v>
      </c>
      <c r="K85" s="12">
        <f>tItens[[#This Row],[Qtd]]*tItens[[#This Row],[Vlr unit]]</f>
        <v>800</v>
      </c>
      <c r="L85" s="6">
        <f>IFERROR(IF(INDEX(tProdutos[Desconto homologado],MATCH(tItens[[#This Row],[Produto]],tProdutos[Produto],0))="",DescontoPadrao,INDEX(tProdutos[Desconto homologado],MATCH(tItens[[#This Row],[Produto]],tProdutos[Produto],0))),DescontoPadrao)</f>
        <v>0.30410958904109597</v>
      </c>
      <c r="M85" s="12">
        <f>tItens[[#This Row],[Valor]]*(1-tItens[[#This Row],[Desconto]])</f>
        <v>556.71232876712327</v>
      </c>
      <c r="N85" t="str">
        <f>IFERROR(INDEX(tProdutos[Foco],MATCH(tItens[[#This Row],[Produto]],tProdutos[Produto],0)),"Não")</f>
        <v>Não</v>
      </c>
      <c r="O85" t="str">
        <f>IFERROR(INDEX(tEditais[SRP],MATCH(tItens[[#This Row],[Edital]],tEditais[Edital],0)),"Não")</f>
        <v>Não</v>
      </c>
      <c r="P85" s="4">
        <f>IF(COUNTIFS(INDEX(tItens[Edital],1):tItens[[#This Row],[Edital]],tItens[[#This Row],[Edital]],INDEX(tItens[Produto],1):tItens[[#This Row],[Produto]],tItens[[#This Row],[Produto]])=1,1,0)</f>
        <v>0</v>
      </c>
    </row>
    <row r="86" spans="1:16" x14ac:dyDescent="0.25">
      <c r="A86" t="s">
        <v>733</v>
      </c>
      <c r="B86">
        <v>172</v>
      </c>
      <c r="C86" t="s">
        <v>3321</v>
      </c>
      <c r="D86" t="s">
        <v>110</v>
      </c>
      <c r="E86" s="13">
        <v>500</v>
      </c>
      <c r="F86" s="12">
        <v>1.6</v>
      </c>
      <c r="G86" t="str">
        <f>IFERROR(INDEX(tEditais[Órgão],MATCH(tItens[[#This Row],[Edital]],tEditais[Edital],0)),"")</f>
        <v>MUNICIPIO DE CANAPI</v>
      </c>
      <c r="H86" t="str">
        <f>IFERROR(INDEX(tEditais[UF],MATCH(tItens[[#This Row],[Edital]],tEditais[Edital],0)),"")</f>
        <v>AL</v>
      </c>
      <c r="I86" s="11">
        <f>IFERROR(INDEX(tEditais[Encerramento],MATCH(tItens[[#This Row],[Edital]],tEditais[Edital],0)),"")</f>
        <v>46308.354166666664</v>
      </c>
      <c r="J86" t="str">
        <f>IFERROR(INDEX(tProdutos[Classe],MATCH(tItens[[#This Row],[Produto]],tProdutos[Produto],0)),"produto não cadastrado")</f>
        <v>NÚCLEO</v>
      </c>
      <c r="K86" s="12">
        <f>tItens[[#This Row],[Qtd]]*tItens[[#This Row],[Vlr unit]]</f>
        <v>800</v>
      </c>
      <c r="L86" s="6">
        <f>IFERROR(IF(INDEX(tProdutos[Desconto homologado],MATCH(tItens[[#This Row],[Produto]],tProdutos[Produto],0))="",DescontoPadrao,INDEX(tProdutos[Desconto homologado],MATCH(tItens[[#This Row],[Produto]],tProdutos[Produto],0))),DescontoPadrao)</f>
        <v>0.30410958904109597</v>
      </c>
      <c r="M86" s="12">
        <f>tItens[[#This Row],[Valor]]*(1-tItens[[#This Row],[Desconto]])</f>
        <v>556.71232876712327</v>
      </c>
      <c r="N86" t="str">
        <f>IFERROR(INDEX(tProdutos[Foco],MATCH(tItens[[#This Row],[Produto]],tProdutos[Produto],0)),"Não")</f>
        <v>Não</v>
      </c>
      <c r="O86" t="str">
        <f>IFERROR(INDEX(tEditais[SRP],MATCH(tItens[[#This Row],[Edital]],tEditais[Edital],0)),"Não")</f>
        <v>Não</v>
      </c>
      <c r="P86" s="4">
        <f>IF(COUNTIFS(INDEX(tItens[Edital],1):tItens[[#This Row],[Edital]],tItens[[#This Row],[Edital]],INDEX(tItens[Produto],1):tItens[[#This Row],[Produto]],tItens[[#This Row],[Produto]])=1,1,0)</f>
        <v>0</v>
      </c>
    </row>
    <row r="87" spans="1:16" x14ac:dyDescent="0.25">
      <c r="A87" t="s">
        <v>733</v>
      </c>
      <c r="B87">
        <v>173</v>
      </c>
      <c r="C87" t="s">
        <v>3322</v>
      </c>
      <c r="D87" t="s">
        <v>110</v>
      </c>
      <c r="E87" s="13">
        <v>500</v>
      </c>
      <c r="F87" s="12">
        <v>1.6</v>
      </c>
      <c r="G87" t="str">
        <f>IFERROR(INDEX(tEditais[Órgão],MATCH(tItens[[#This Row],[Edital]],tEditais[Edital],0)),"")</f>
        <v>MUNICIPIO DE CANAPI</v>
      </c>
      <c r="H87" t="str">
        <f>IFERROR(INDEX(tEditais[UF],MATCH(tItens[[#This Row],[Edital]],tEditais[Edital],0)),"")</f>
        <v>AL</v>
      </c>
      <c r="I87" s="11">
        <f>IFERROR(INDEX(tEditais[Encerramento],MATCH(tItens[[#This Row],[Edital]],tEditais[Edital],0)),"")</f>
        <v>46308.354166666664</v>
      </c>
      <c r="J87" t="str">
        <f>IFERROR(INDEX(tProdutos[Classe],MATCH(tItens[[#This Row],[Produto]],tProdutos[Produto],0)),"produto não cadastrado")</f>
        <v>NÚCLEO</v>
      </c>
      <c r="K87" s="12">
        <f>tItens[[#This Row],[Qtd]]*tItens[[#This Row],[Vlr unit]]</f>
        <v>800</v>
      </c>
      <c r="L87" s="6">
        <f>IFERROR(IF(INDEX(tProdutos[Desconto homologado],MATCH(tItens[[#This Row],[Produto]],tProdutos[Produto],0))="",DescontoPadrao,INDEX(tProdutos[Desconto homologado],MATCH(tItens[[#This Row],[Produto]],tProdutos[Produto],0))),DescontoPadrao)</f>
        <v>0.30410958904109597</v>
      </c>
      <c r="M87" s="12">
        <f>tItens[[#This Row],[Valor]]*(1-tItens[[#This Row],[Desconto]])</f>
        <v>556.71232876712327</v>
      </c>
      <c r="N87" t="str">
        <f>IFERROR(INDEX(tProdutos[Foco],MATCH(tItens[[#This Row],[Produto]],tProdutos[Produto],0)),"Não")</f>
        <v>Não</v>
      </c>
      <c r="O87" t="str">
        <f>IFERROR(INDEX(tEditais[SRP],MATCH(tItens[[#This Row],[Edital]],tEditais[Edital],0)),"Não")</f>
        <v>Não</v>
      </c>
      <c r="P87" s="4">
        <f>IF(COUNTIFS(INDEX(tItens[Edital],1):tItens[[#This Row],[Edital]],tItens[[#This Row],[Edital]],INDEX(tItens[Produto],1):tItens[[#This Row],[Produto]],tItens[[#This Row],[Produto]])=1,1,0)</f>
        <v>0</v>
      </c>
    </row>
    <row r="88" spans="1:16" x14ac:dyDescent="0.25">
      <c r="A88" t="s">
        <v>733</v>
      </c>
      <c r="B88">
        <v>174</v>
      </c>
      <c r="C88" t="s">
        <v>3323</v>
      </c>
      <c r="D88" t="s">
        <v>110</v>
      </c>
      <c r="E88" s="13">
        <v>500</v>
      </c>
      <c r="F88" s="12">
        <v>1.6</v>
      </c>
      <c r="G88" t="str">
        <f>IFERROR(INDEX(tEditais[Órgão],MATCH(tItens[[#This Row],[Edital]],tEditais[Edital],0)),"")</f>
        <v>MUNICIPIO DE CANAPI</v>
      </c>
      <c r="H88" t="str">
        <f>IFERROR(INDEX(tEditais[UF],MATCH(tItens[[#This Row],[Edital]],tEditais[Edital],0)),"")</f>
        <v>AL</v>
      </c>
      <c r="I88" s="11">
        <f>IFERROR(INDEX(tEditais[Encerramento],MATCH(tItens[[#This Row],[Edital]],tEditais[Edital],0)),"")</f>
        <v>46308.354166666664</v>
      </c>
      <c r="J88" t="str">
        <f>IFERROR(INDEX(tProdutos[Classe],MATCH(tItens[[#This Row],[Produto]],tProdutos[Produto],0)),"produto não cadastrado")</f>
        <v>NÚCLEO</v>
      </c>
      <c r="K88" s="12">
        <f>tItens[[#This Row],[Qtd]]*tItens[[#This Row],[Vlr unit]]</f>
        <v>800</v>
      </c>
      <c r="L88" s="6">
        <f>IFERROR(IF(INDEX(tProdutos[Desconto homologado],MATCH(tItens[[#This Row],[Produto]],tProdutos[Produto],0))="",DescontoPadrao,INDEX(tProdutos[Desconto homologado],MATCH(tItens[[#This Row],[Produto]],tProdutos[Produto],0))),DescontoPadrao)</f>
        <v>0.30410958904109597</v>
      </c>
      <c r="M88" s="12">
        <f>tItens[[#This Row],[Valor]]*(1-tItens[[#This Row],[Desconto]])</f>
        <v>556.71232876712327</v>
      </c>
      <c r="N88" t="str">
        <f>IFERROR(INDEX(tProdutos[Foco],MATCH(tItens[[#This Row],[Produto]],tProdutos[Produto],0)),"Não")</f>
        <v>Não</v>
      </c>
      <c r="O88" t="str">
        <f>IFERROR(INDEX(tEditais[SRP],MATCH(tItens[[#This Row],[Edital]],tEditais[Edital],0)),"Não")</f>
        <v>Não</v>
      </c>
      <c r="P88" s="4">
        <f>IF(COUNTIFS(INDEX(tItens[Edital],1):tItens[[#This Row],[Edital]],tItens[[#This Row],[Edital]],INDEX(tItens[Produto],1):tItens[[#This Row],[Produto]],tItens[[#This Row],[Produto]])=1,1,0)</f>
        <v>0</v>
      </c>
    </row>
    <row r="89" spans="1:16" x14ac:dyDescent="0.25">
      <c r="A89" t="s">
        <v>733</v>
      </c>
      <c r="B89">
        <v>181</v>
      </c>
      <c r="C89" t="s">
        <v>3324</v>
      </c>
      <c r="D89" t="s">
        <v>197</v>
      </c>
      <c r="E89" s="13">
        <v>4000</v>
      </c>
      <c r="F89" s="12">
        <v>2.9</v>
      </c>
      <c r="G89" t="str">
        <f>IFERROR(INDEX(tEditais[Órgão],MATCH(tItens[[#This Row],[Edital]],tEditais[Edital],0)),"")</f>
        <v>MUNICIPIO DE CANAPI</v>
      </c>
      <c r="H89" t="str">
        <f>IFERROR(INDEX(tEditais[UF],MATCH(tItens[[#This Row],[Edital]],tEditais[Edital],0)),"")</f>
        <v>AL</v>
      </c>
      <c r="I89" s="11">
        <f>IFERROR(INDEX(tEditais[Encerramento],MATCH(tItens[[#This Row],[Edital]],tEditais[Edital],0)),"")</f>
        <v>46308.354166666664</v>
      </c>
      <c r="J89" t="str">
        <f>IFERROR(INDEX(tProdutos[Classe],MATCH(tItens[[#This Row],[Produto]],tProdutos[Produto],0)),"produto não cadastrado")</f>
        <v>FORA</v>
      </c>
      <c r="K89" s="12">
        <f>tItens[[#This Row],[Qtd]]*tItens[[#This Row],[Vlr unit]]</f>
        <v>11600</v>
      </c>
      <c r="L89" s="6">
        <f>IFERROR(IF(INDEX(tProdutos[Desconto homologado],MATCH(tItens[[#This Row],[Produto]],tProdutos[Produto],0))="",DescontoPadrao,INDEX(tProdutos[Desconto homologado],MATCH(tItens[[#This Row],[Produto]],tProdutos[Produto],0))),DescontoPadrao)</f>
        <v>0.26394818195200997</v>
      </c>
      <c r="M89" s="12">
        <f>tItens[[#This Row],[Valor]]*(1-tItens[[#This Row],[Desconto]])</f>
        <v>8538.201089356684</v>
      </c>
      <c r="N89" t="str">
        <f>IFERROR(INDEX(tProdutos[Foco],MATCH(tItens[[#This Row],[Produto]],tProdutos[Produto],0)),"Não")</f>
        <v>Não</v>
      </c>
      <c r="O89" t="str">
        <f>IFERROR(INDEX(tEditais[SRP],MATCH(tItens[[#This Row],[Edital]],tEditais[Edital],0)),"Não")</f>
        <v>Não</v>
      </c>
      <c r="P89" s="4">
        <f>IF(COUNTIFS(INDEX(tItens[Edital],1):tItens[[#This Row],[Edital]],tItens[[#This Row],[Edital]],INDEX(tItens[Produto],1):tItens[[#This Row],[Produto]],tItens[[#This Row],[Produto]])=1,1,0)</f>
        <v>1</v>
      </c>
    </row>
    <row r="90" spans="1:16" x14ac:dyDescent="0.25">
      <c r="A90" t="s">
        <v>733</v>
      </c>
      <c r="B90">
        <v>184</v>
      </c>
      <c r="C90" t="s">
        <v>3325</v>
      </c>
      <c r="D90" t="s">
        <v>114</v>
      </c>
      <c r="E90" s="13">
        <v>1200</v>
      </c>
      <c r="F90" s="12">
        <v>13.5</v>
      </c>
      <c r="G90" t="str">
        <f>IFERROR(INDEX(tEditais[Órgão],MATCH(tItens[[#This Row],[Edital]],tEditais[Edital],0)),"")</f>
        <v>MUNICIPIO DE CANAPI</v>
      </c>
      <c r="H90" t="str">
        <f>IFERROR(INDEX(tEditais[UF],MATCH(tItens[[#This Row],[Edital]],tEditais[Edital],0)),"")</f>
        <v>AL</v>
      </c>
      <c r="I90" s="11">
        <f>IFERROR(INDEX(tEditais[Encerramento],MATCH(tItens[[#This Row],[Edital]],tEditais[Edital],0)),"")</f>
        <v>46308.354166666664</v>
      </c>
      <c r="J90" t="str">
        <f>IFERROR(INDEX(tProdutos[Classe],MATCH(tItens[[#This Row],[Produto]],tProdutos[Produto],0)),"produto não cadastrado")</f>
        <v>DISPUTADO</v>
      </c>
      <c r="K90" s="12">
        <f>tItens[[#This Row],[Qtd]]*tItens[[#This Row],[Vlr unit]]</f>
        <v>16200</v>
      </c>
      <c r="L90" s="6">
        <f>IFERROR(IF(INDEX(tProdutos[Desconto homologado],MATCH(tItens[[#This Row],[Produto]],tProdutos[Produto],0))="",DescontoPadrao,INDEX(tProdutos[Desconto homologado],MATCH(tItens[[#This Row],[Produto]],tProdutos[Produto],0))),DescontoPadrao)</f>
        <v>0.24332656063896899</v>
      </c>
      <c r="M90" s="12">
        <f>tItens[[#This Row],[Valor]]*(1-tItens[[#This Row],[Desconto]])</f>
        <v>12258.109717648704</v>
      </c>
      <c r="N90" t="str">
        <f>IFERROR(INDEX(tProdutos[Foco],MATCH(tItens[[#This Row],[Produto]],tProdutos[Produto],0)),"Não")</f>
        <v>Não</v>
      </c>
      <c r="O90" t="str">
        <f>IFERROR(INDEX(tEditais[SRP],MATCH(tItens[[#This Row],[Edital]],tEditais[Edital],0)),"Não")</f>
        <v>Não</v>
      </c>
      <c r="P90" s="4">
        <f>IF(COUNTIFS(INDEX(tItens[Edital],1):tItens[[#This Row],[Edital]],tItens[[#This Row],[Edital]],INDEX(tItens[Produto],1):tItens[[#This Row],[Produto]],tItens[[#This Row],[Produto]])=1,1,0)</f>
        <v>1</v>
      </c>
    </row>
    <row r="91" spans="1:16" x14ac:dyDescent="0.25">
      <c r="A91" t="s">
        <v>738</v>
      </c>
      <c r="B91">
        <v>1</v>
      </c>
      <c r="C91" t="s">
        <v>3326</v>
      </c>
      <c r="D91" t="s">
        <v>229</v>
      </c>
      <c r="E91" s="13">
        <v>27880</v>
      </c>
      <c r="F91" s="12">
        <v>0</v>
      </c>
      <c r="G91" t="str">
        <f>IFERROR(INDEX(tEditais[Órgão],MATCH(tItens[[#This Row],[Edital]],tEditais[Edital],0)),"")</f>
        <v>EMPRESA BRASILEIRA DE SERVICOS HOSPITALARES - EBSERH</v>
      </c>
      <c r="H91" t="str">
        <f>IFERROR(INDEX(tEditais[UF],MATCH(tItens[[#This Row],[Edital]],tEditais[Edital],0)),"")</f>
        <v>AL</v>
      </c>
      <c r="I91" s="11">
        <f>IFERROR(INDEX(tEditais[Encerramento],MATCH(tItens[[#This Row],[Edital]],tEditais[Edital],0)),"")</f>
        <v>46308.375</v>
      </c>
      <c r="J91" t="str">
        <f>IFERROR(INDEX(tProdutos[Classe],MATCH(tItens[[#This Row],[Produto]],tProdutos[Produto],0)),"produto não cadastrado")</f>
        <v>FORA</v>
      </c>
      <c r="K91" s="12">
        <f>tItens[[#This Row],[Qtd]]*tItens[[#This Row],[Vlr unit]]</f>
        <v>0</v>
      </c>
      <c r="L91" s="6">
        <f>IFERROR(IF(INDEX(tProdutos[Desconto homologado],MATCH(tItens[[#This Row],[Produto]],tProdutos[Produto],0))="",DescontoPadrao,INDEX(tProdutos[Desconto homologado],MATCH(tItens[[#This Row],[Produto]],tProdutos[Produto],0))),DescontoPadrao)</f>
        <v>0.33093491191658198</v>
      </c>
      <c r="M91" s="12">
        <f>tItens[[#This Row],[Valor]]*(1-tItens[[#This Row],[Desconto]])</f>
        <v>0</v>
      </c>
      <c r="N91" t="str">
        <f>IFERROR(INDEX(tProdutos[Foco],MATCH(tItens[[#This Row],[Produto]],tProdutos[Produto],0)),"Não")</f>
        <v>Não</v>
      </c>
      <c r="O91" t="str">
        <f>IFERROR(INDEX(tEditais[SRP],MATCH(tItens[[#This Row],[Edital]],tEditais[Edital],0)),"Não")</f>
        <v>Não</v>
      </c>
      <c r="P91" s="4">
        <f>IF(COUNTIFS(INDEX(tItens[Edital],1):tItens[[#This Row],[Edital]],tItens[[#This Row],[Edital]],INDEX(tItens[Produto],1):tItens[[#This Row],[Produto]],tItens[[#This Row],[Produto]])=1,1,0)</f>
        <v>1</v>
      </c>
    </row>
    <row r="92" spans="1:16" x14ac:dyDescent="0.25">
      <c r="A92" t="s">
        <v>738</v>
      </c>
      <c r="B92">
        <v>2</v>
      </c>
      <c r="C92" t="s">
        <v>3327</v>
      </c>
      <c r="D92" t="s">
        <v>229</v>
      </c>
      <c r="E92" s="13">
        <v>7190</v>
      </c>
      <c r="F92" s="12">
        <v>0</v>
      </c>
      <c r="G92" t="str">
        <f>IFERROR(INDEX(tEditais[Órgão],MATCH(tItens[[#This Row],[Edital]],tEditais[Edital],0)),"")</f>
        <v>EMPRESA BRASILEIRA DE SERVICOS HOSPITALARES - EBSERH</v>
      </c>
      <c r="H92" t="str">
        <f>IFERROR(INDEX(tEditais[UF],MATCH(tItens[[#This Row],[Edital]],tEditais[Edital],0)),"")</f>
        <v>AL</v>
      </c>
      <c r="I92" s="11">
        <f>IFERROR(INDEX(tEditais[Encerramento],MATCH(tItens[[#This Row],[Edital]],tEditais[Edital],0)),"")</f>
        <v>46308.375</v>
      </c>
      <c r="J92" t="str">
        <f>IFERROR(INDEX(tProdutos[Classe],MATCH(tItens[[#This Row],[Produto]],tProdutos[Produto],0)),"produto não cadastrado")</f>
        <v>FORA</v>
      </c>
      <c r="K92" s="12">
        <f>tItens[[#This Row],[Qtd]]*tItens[[#This Row],[Vlr unit]]</f>
        <v>0</v>
      </c>
      <c r="L92" s="6">
        <f>IFERROR(IF(INDEX(tProdutos[Desconto homologado],MATCH(tItens[[#This Row],[Produto]],tProdutos[Produto],0))="",DescontoPadrao,INDEX(tProdutos[Desconto homologado],MATCH(tItens[[#This Row],[Produto]],tProdutos[Produto],0))),DescontoPadrao)</f>
        <v>0.33093491191658198</v>
      </c>
      <c r="M92" s="12">
        <f>tItens[[#This Row],[Valor]]*(1-tItens[[#This Row],[Desconto]])</f>
        <v>0</v>
      </c>
      <c r="N92" t="str">
        <f>IFERROR(INDEX(tProdutos[Foco],MATCH(tItens[[#This Row],[Produto]],tProdutos[Produto],0)),"Não")</f>
        <v>Não</v>
      </c>
      <c r="O92" t="str">
        <f>IFERROR(INDEX(tEditais[SRP],MATCH(tItens[[#This Row],[Edital]],tEditais[Edital],0)),"Não")</f>
        <v>Não</v>
      </c>
      <c r="P92" s="4">
        <f>IF(COUNTIFS(INDEX(tItens[Edital],1):tItens[[#This Row],[Edital]],tItens[[#This Row],[Edital]],INDEX(tItens[Produto],1):tItens[[#This Row],[Produto]],tItens[[#This Row],[Produto]])=1,1,0)</f>
        <v>0</v>
      </c>
    </row>
    <row r="93" spans="1:16" x14ac:dyDescent="0.25">
      <c r="A93" t="s">
        <v>738</v>
      </c>
      <c r="B93">
        <v>5</v>
      </c>
      <c r="C93" t="s">
        <v>3326</v>
      </c>
      <c r="D93" t="s">
        <v>229</v>
      </c>
      <c r="E93" s="13">
        <v>1590</v>
      </c>
      <c r="F93" s="12">
        <v>0</v>
      </c>
      <c r="G93" t="str">
        <f>IFERROR(INDEX(tEditais[Órgão],MATCH(tItens[[#This Row],[Edital]],tEditais[Edital],0)),"")</f>
        <v>EMPRESA BRASILEIRA DE SERVICOS HOSPITALARES - EBSERH</v>
      </c>
      <c r="H93" t="str">
        <f>IFERROR(INDEX(tEditais[UF],MATCH(tItens[[#This Row],[Edital]],tEditais[Edital],0)),"")</f>
        <v>AL</v>
      </c>
      <c r="I93" s="11">
        <f>IFERROR(INDEX(tEditais[Encerramento],MATCH(tItens[[#This Row],[Edital]],tEditais[Edital],0)),"")</f>
        <v>46308.375</v>
      </c>
      <c r="J93" t="str">
        <f>IFERROR(INDEX(tProdutos[Classe],MATCH(tItens[[#This Row],[Produto]],tProdutos[Produto],0)),"produto não cadastrado")</f>
        <v>FORA</v>
      </c>
      <c r="K93" s="12">
        <f>tItens[[#This Row],[Qtd]]*tItens[[#This Row],[Vlr unit]]</f>
        <v>0</v>
      </c>
      <c r="L93" s="6">
        <f>IFERROR(IF(INDEX(tProdutos[Desconto homologado],MATCH(tItens[[#This Row],[Produto]],tProdutos[Produto],0))="",DescontoPadrao,INDEX(tProdutos[Desconto homologado],MATCH(tItens[[#This Row],[Produto]],tProdutos[Produto],0))),DescontoPadrao)</f>
        <v>0.33093491191658198</v>
      </c>
      <c r="M93" s="12">
        <f>tItens[[#This Row],[Valor]]*(1-tItens[[#This Row],[Desconto]])</f>
        <v>0</v>
      </c>
      <c r="N93" t="str">
        <f>IFERROR(INDEX(tProdutos[Foco],MATCH(tItens[[#This Row],[Produto]],tProdutos[Produto],0)),"Não")</f>
        <v>Não</v>
      </c>
      <c r="O93" t="str">
        <f>IFERROR(INDEX(tEditais[SRP],MATCH(tItens[[#This Row],[Edital]],tEditais[Edital],0)),"Não")</f>
        <v>Não</v>
      </c>
      <c r="P93" s="4">
        <f>IF(COUNTIFS(INDEX(tItens[Edital],1):tItens[[#This Row],[Edital]],tItens[[#This Row],[Edital]],INDEX(tItens[Produto],1):tItens[[#This Row],[Produto]],tItens[[#This Row],[Produto]])=1,1,0)</f>
        <v>0</v>
      </c>
    </row>
    <row r="94" spans="1:16" x14ac:dyDescent="0.25">
      <c r="A94" t="s">
        <v>738</v>
      </c>
      <c r="B94">
        <v>6</v>
      </c>
      <c r="C94" t="s">
        <v>3326</v>
      </c>
      <c r="D94" t="s">
        <v>229</v>
      </c>
      <c r="E94" s="13">
        <v>4760</v>
      </c>
      <c r="F94" s="12">
        <v>0</v>
      </c>
      <c r="G94" t="str">
        <f>IFERROR(INDEX(tEditais[Órgão],MATCH(tItens[[#This Row],[Edital]],tEditais[Edital],0)),"")</f>
        <v>EMPRESA BRASILEIRA DE SERVICOS HOSPITALARES - EBSERH</v>
      </c>
      <c r="H94" t="str">
        <f>IFERROR(INDEX(tEditais[UF],MATCH(tItens[[#This Row],[Edital]],tEditais[Edital],0)),"")</f>
        <v>AL</v>
      </c>
      <c r="I94" s="11">
        <f>IFERROR(INDEX(tEditais[Encerramento],MATCH(tItens[[#This Row],[Edital]],tEditais[Edital],0)),"")</f>
        <v>46308.375</v>
      </c>
      <c r="J94" t="str">
        <f>IFERROR(INDEX(tProdutos[Classe],MATCH(tItens[[#This Row],[Produto]],tProdutos[Produto],0)),"produto não cadastrado")</f>
        <v>FORA</v>
      </c>
      <c r="K94" s="12">
        <f>tItens[[#This Row],[Qtd]]*tItens[[#This Row],[Vlr unit]]</f>
        <v>0</v>
      </c>
      <c r="L94" s="6">
        <f>IFERROR(IF(INDEX(tProdutos[Desconto homologado],MATCH(tItens[[#This Row],[Produto]],tProdutos[Produto],0))="",DescontoPadrao,INDEX(tProdutos[Desconto homologado],MATCH(tItens[[#This Row],[Produto]],tProdutos[Produto],0))),DescontoPadrao)</f>
        <v>0.33093491191658198</v>
      </c>
      <c r="M94" s="12">
        <f>tItens[[#This Row],[Valor]]*(1-tItens[[#This Row],[Desconto]])</f>
        <v>0</v>
      </c>
      <c r="N94" t="str">
        <f>IFERROR(INDEX(tProdutos[Foco],MATCH(tItens[[#This Row],[Produto]],tProdutos[Produto],0)),"Não")</f>
        <v>Não</v>
      </c>
      <c r="O94" t="str">
        <f>IFERROR(INDEX(tEditais[SRP],MATCH(tItens[[#This Row],[Edital]],tEditais[Edital],0)),"Não")</f>
        <v>Não</v>
      </c>
      <c r="P94" s="4">
        <f>IF(COUNTIFS(INDEX(tItens[Edital],1):tItens[[#This Row],[Edital]],tItens[[#This Row],[Edital]],INDEX(tItens[Produto],1):tItens[[#This Row],[Produto]],tItens[[#This Row],[Produto]])=1,1,0)</f>
        <v>0</v>
      </c>
    </row>
    <row r="95" spans="1:16" x14ac:dyDescent="0.25">
      <c r="A95" t="s">
        <v>743</v>
      </c>
      <c r="B95">
        <v>4</v>
      </c>
      <c r="C95" t="s">
        <v>3239</v>
      </c>
      <c r="D95" t="s">
        <v>71</v>
      </c>
      <c r="E95" s="13">
        <v>4</v>
      </c>
      <c r="F95" s="12">
        <v>33.5</v>
      </c>
      <c r="G95" t="str">
        <f>IFERROR(INDEX(tEditais[Órgão],MATCH(tItens[[#This Row],[Edital]],tEditais[Edital],0)),"")</f>
        <v>59 BATALHAO DE INFANTARIA MOTORIZADO</v>
      </c>
      <c r="H95" t="str">
        <f>IFERROR(INDEX(tEditais[UF],MATCH(tItens[[#This Row],[Edital]],tEditais[Edital],0)),"")</f>
        <v>AL</v>
      </c>
      <c r="I95" s="11">
        <f>IFERROR(INDEX(tEditais[Encerramento],MATCH(tItens[[#This Row],[Edital]],tEditais[Edital],0)),"")</f>
        <v>46308.375</v>
      </c>
      <c r="J95" t="str">
        <f>IFERROR(INDEX(tProdutos[Classe],MATCH(tItens[[#This Row],[Produto]],tProdutos[Produto],0)),"produto não cadastrado")</f>
        <v>NÚCLEO</v>
      </c>
      <c r="K95" s="12">
        <f>tItens[[#This Row],[Qtd]]*tItens[[#This Row],[Vlr unit]]</f>
        <v>134</v>
      </c>
      <c r="L95" s="6">
        <f>IFERROR(IF(INDEX(tProdutos[Desconto homologado],MATCH(tItens[[#This Row],[Produto]],tProdutos[Produto],0))="",DescontoPadrao,INDEX(tProdutos[Desconto homologado],MATCH(tItens[[#This Row],[Produto]],tProdutos[Produto],0))),DescontoPadrao)</f>
        <v>0.44981412639405199</v>
      </c>
      <c r="M95" s="12">
        <f>tItens[[#This Row],[Valor]]*(1-tItens[[#This Row],[Desconto]])</f>
        <v>73.724907063197023</v>
      </c>
      <c r="N95" t="str">
        <f>IFERROR(INDEX(tProdutos[Foco],MATCH(tItens[[#This Row],[Produto]],tProdutos[Produto],0)),"Não")</f>
        <v>Não</v>
      </c>
      <c r="O95" t="str">
        <f>IFERROR(INDEX(tEditais[SRP],MATCH(tItens[[#This Row],[Edital]],tEditais[Edital],0)),"Não")</f>
        <v>Não</v>
      </c>
      <c r="P95" s="4">
        <f>IF(COUNTIFS(INDEX(tItens[Edital],1):tItens[[#This Row],[Edital]],tItens[[#This Row],[Edital]],INDEX(tItens[Produto],1):tItens[[#This Row],[Produto]],tItens[[#This Row],[Produto]])=1,1,0)</f>
        <v>1</v>
      </c>
    </row>
    <row r="96" spans="1:16" x14ac:dyDescent="0.25">
      <c r="A96" t="s">
        <v>743</v>
      </c>
      <c r="B96">
        <v>40</v>
      </c>
      <c r="C96" t="s">
        <v>3328</v>
      </c>
      <c r="D96" t="s">
        <v>411</v>
      </c>
      <c r="E96" s="13">
        <v>520</v>
      </c>
      <c r="F96" s="12">
        <v>3.14</v>
      </c>
      <c r="G96" t="str">
        <f>IFERROR(INDEX(tEditais[Órgão],MATCH(tItens[[#This Row],[Edital]],tEditais[Edital],0)),"")</f>
        <v>59 BATALHAO DE INFANTARIA MOTORIZADO</v>
      </c>
      <c r="H96" t="str">
        <f>IFERROR(INDEX(tEditais[UF],MATCH(tItens[[#This Row],[Edital]],tEditais[Edital],0)),"")</f>
        <v>AL</v>
      </c>
      <c r="I96" s="11">
        <f>IFERROR(INDEX(tEditais[Encerramento],MATCH(tItens[[#This Row],[Edital]],tEditais[Edital],0)),"")</f>
        <v>46308.375</v>
      </c>
      <c r="J96" t="str">
        <f>IFERROR(INDEX(tProdutos[Classe],MATCH(tItens[[#This Row],[Produto]],tProdutos[Produto],0)),"produto não cadastrado")</f>
        <v>FORA</v>
      </c>
      <c r="K96" s="12">
        <f>tItens[[#This Row],[Qtd]]*tItens[[#This Row],[Vlr unit]]</f>
        <v>1632.8</v>
      </c>
      <c r="L96" s="6">
        <f>IFERROR(IF(INDEX(tProdutos[Desconto homologado],MATCH(tItens[[#This Row],[Produto]],tProdutos[Produto],0))="",DescontoPadrao,INDEX(tProdutos[Desconto homologado],MATCH(tItens[[#This Row],[Produto]],tProdutos[Produto],0))),DescontoPadrao)</f>
        <v>0.50029835957199398</v>
      </c>
      <c r="M96" s="12">
        <f>tItens[[#This Row],[Valor]]*(1-tItens[[#This Row],[Desconto]])</f>
        <v>815.91283849084823</v>
      </c>
      <c r="N96" t="str">
        <f>IFERROR(INDEX(tProdutos[Foco],MATCH(tItens[[#This Row],[Produto]],tProdutos[Produto],0)),"Não")</f>
        <v>Não</v>
      </c>
      <c r="O96" t="str">
        <f>IFERROR(INDEX(tEditais[SRP],MATCH(tItens[[#This Row],[Edital]],tEditais[Edital],0)),"Não")</f>
        <v>Não</v>
      </c>
      <c r="P96" s="4">
        <f>IF(COUNTIFS(INDEX(tItens[Edital],1):tItens[[#This Row],[Edital]],tItens[[#This Row],[Edital]],INDEX(tItens[Produto],1):tItens[[#This Row],[Produto]],tItens[[#This Row],[Produto]])=1,1,0)</f>
        <v>1</v>
      </c>
    </row>
    <row r="97" spans="1:16" x14ac:dyDescent="0.25">
      <c r="A97" t="s">
        <v>743</v>
      </c>
      <c r="B97">
        <v>55</v>
      </c>
      <c r="C97" t="s">
        <v>3329</v>
      </c>
      <c r="D97" t="s">
        <v>82</v>
      </c>
      <c r="E97" s="13">
        <v>50</v>
      </c>
      <c r="F97" s="12">
        <v>14</v>
      </c>
      <c r="G97" t="str">
        <f>IFERROR(INDEX(tEditais[Órgão],MATCH(tItens[[#This Row],[Edital]],tEditais[Edital],0)),"")</f>
        <v>59 BATALHAO DE INFANTARIA MOTORIZADO</v>
      </c>
      <c r="H97" t="str">
        <f>IFERROR(INDEX(tEditais[UF],MATCH(tItens[[#This Row],[Edital]],tEditais[Edital],0)),"")</f>
        <v>AL</v>
      </c>
      <c r="I97" s="11">
        <f>IFERROR(INDEX(tEditais[Encerramento],MATCH(tItens[[#This Row],[Edital]],tEditais[Edital],0)),"")</f>
        <v>46308.375</v>
      </c>
      <c r="J97" t="str">
        <f>IFERROR(INDEX(tProdutos[Classe],MATCH(tItens[[#This Row],[Produto]],tProdutos[Produto],0)),"produto não cadastrado")</f>
        <v>NÚCLEO</v>
      </c>
      <c r="K97" s="12">
        <f>tItens[[#This Row],[Qtd]]*tItens[[#This Row],[Vlr unit]]</f>
        <v>700</v>
      </c>
      <c r="L97" s="6">
        <f>IFERROR(IF(INDEX(tProdutos[Desconto homologado],MATCH(tItens[[#This Row],[Produto]],tProdutos[Produto],0))="",DescontoPadrao,INDEX(tProdutos[Desconto homologado],MATCH(tItens[[#This Row],[Produto]],tProdutos[Produto],0))),DescontoPadrao)</f>
        <v>0.40487090276506099</v>
      </c>
      <c r="M97" s="12">
        <f>tItens[[#This Row],[Valor]]*(1-tItens[[#This Row],[Desconto]])</f>
        <v>416.59036806445732</v>
      </c>
      <c r="N97" t="str">
        <f>IFERROR(INDEX(tProdutos[Foco],MATCH(tItens[[#This Row],[Produto]],tProdutos[Produto],0)),"Não")</f>
        <v>Não</v>
      </c>
      <c r="O97" t="str">
        <f>IFERROR(INDEX(tEditais[SRP],MATCH(tItens[[#This Row],[Edital]],tEditais[Edital],0)),"Não")</f>
        <v>Não</v>
      </c>
      <c r="P97" s="4">
        <f>IF(COUNTIFS(INDEX(tItens[Edital],1):tItens[[#This Row],[Edital]],tItens[[#This Row],[Edital]],INDEX(tItens[Produto],1):tItens[[#This Row],[Produto]],tItens[[#This Row],[Produto]])=1,1,0)</f>
        <v>1</v>
      </c>
    </row>
    <row r="98" spans="1:16" x14ac:dyDescent="0.25">
      <c r="A98" t="s">
        <v>743</v>
      </c>
      <c r="B98">
        <v>69</v>
      </c>
      <c r="C98" t="s">
        <v>3330</v>
      </c>
      <c r="D98" t="s">
        <v>313</v>
      </c>
      <c r="E98" s="13">
        <v>500</v>
      </c>
      <c r="F98" s="12">
        <v>27</v>
      </c>
      <c r="G98" t="str">
        <f>IFERROR(INDEX(tEditais[Órgão],MATCH(tItens[[#This Row],[Edital]],tEditais[Edital],0)),"")</f>
        <v>59 BATALHAO DE INFANTARIA MOTORIZADO</v>
      </c>
      <c r="H98" t="str">
        <f>IFERROR(INDEX(tEditais[UF],MATCH(tItens[[#This Row],[Edital]],tEditais[Edital],0)),"")</f>
        <v>AL</v>
      </c>
      <c r="I98" s="11">
        <f>IFERROR(INDEX(tEditais[Encerramento],MATCH(tItens[[#This Row],[Edital]],tEditais[Edital],0)),"")</f>
        <v>46308.375</v>
      </c>
      <c r="J98" t="str">
        <f>IFERROR(INDEX(tProdutos[Classe],MATCH(tItens[[#This Row],[Produto]],tProdutos[Produto],0)),"produto não cadastrado")</f>
        <v>FORA</v>
      </c>
      <c r="K98" s="12">
        <f>tItens[[#This Row],[Qtd]]*tItens[[#This Row],[Vlr unit]]</f>
        <v>13500</v>
      </c>
      <c r="L98" s="6">
        <f>IFERROR(IF(INDEX(tProdutos[Desconto homologado],MATCH(tItens[[#This Row],[Produto]],tProdutos[Produto],0))="",DescontoPadrao,INDEX(tProdutos[Desconto homologado],MATCH(tItens[[#This Row],[Produto]],tProdutos[Produto],0))),DescontoPadrao)</f>
        <v>0.35766373163696302</v>
      </c>
      <c r="M98" s="12">
        <f>tItens[[#This Row],[Valor]]*(1-tItens[[#This Row],[Desconto]])</f>
        <v>8671.5396229009984</v>
      </c>
      <c r="N98" t="str">
        <f>IFERROR(INDEX(tProdutos[Foco],MATCH(tItens[[#This Row],[Produto]],tProdutos[Produto],0)),"Não")</f>
        <v>Não</v>
      </c>
      <c r="O98" t="str">
        <f>IFERROR(INDEX(tEditais[SRP],MATCH(tItens[[#This Row],[Edital]],tEditais[Edital],0)),"Não")</f>
        <v>Não</v>
      </c>
      <c r="P98" s="4">
        <f>IF(COUNTIFS(INDEX(tItens[Edital],1):tItens[[#This Row],[Edital]],tItens[[#This Row],[Edital]],INDEX(tItens[Produto],1):tItens[[#This Row],[Produto]],tItens[[#This Row],[Produto]])=1,1,0)</f>
        <v>1</v>
      </c>
    </row>
    <row r="99" spans="1:16" x14ac:dyDescent="0.25">
      <c r="A99" t="s">
        <v>743</v>
      </c>
      <c r="B99">
        <v>70</v>
      </c>
      <c r="C99" t="s">
        <v>3331</v>
      </c>
      <c r="D99" t="s">
        <v>313</v>
      </c>
      <c r="E99" s="13">
        <v>500</v>
      </c>
      <c r="F99" s="12">
        <v>27.3</v>
      </c>
      <c r="G99" t="str">
        <f>IFERROR(INDEX(tEditais[Órgão],MATCH(tItens[[#This Row],[Edital]],tEditais[Edital],0)),"")</f>
        <v>59 BATALHAO DE INFANTARIA MOTORIZADO</v>
      </c>
      <c r="H99" t="str">
        <f>IFERROR(INDEX(tEditais[UF],MATCH(tItens[[#This Row],[Edital]],tEditais[Edital],0)),"")</f>
        <v>AL</v>
      </c>
      <c r="I99" s="11">
        <f>IFERROR(INDEX(tEditais[Encerramento],MATCH(tItens[[#This Row],[Edital]],tEditais[Edital],0)),"")</f>
        <v>46308.375</v>
      </c>
      <c r="J99" t="str">
        <f>IFERROR(INDEX(tProdutos[Classe],MATCH(tItens[[#This Row],[Produto]],tProdutos[Produto],0)),"produto não cadastrado")</f>
        <v>FORA</v>
      </c>
      <c r="K99" s="12">
        <f>tItens[[#This Row],[Qtd]]*tItens[[#This Row],[Vlr unit]]</f>
        <v>13650</v>
      </c>
      <c r="L99" s="6">
        <f>IFERROR(IF(INDEX(tProdutos[Desconto homologado],MATCH(tItens[[#This Row],[Produto]],tProdutos[Produto],0))="",DescontoPadrao,INDEX(tProdutos[Desconto homologado],MATCH(tItens[[#This Row],[Produto]],tProdutos[Produto],0))),DescontoPadrao)</f>
        <v>0.35766373163696302</v>
      </c>
      <c r="M99" s="12">
        <f>tItens[[#This Row],[Valor]]*(1-tItens[[#This Row],[Desconto]])</f>
        <v>8767.8900631554534</v>
      </c>
      <c r="N99" t="str">
        <f>IFERROR(INDEX(tProdutos[Foco],MATCH(tItens[[#This Row],[Produto]],tProdutos[Produto],0)),"Não")</f>
        <v>Não</v>
      </c>
      <c r="O99" t="str">
        <f>IFERROR(INDEX(tEditais[SRP],MATCH(tItens[[#This Row],[Edital]],tEditais[Edital],0)),"Não")</f>
        <v>Não</v>
      </c>
      <c r="P99" s="4">
        <f>IF(COUNTIFS(INDEX(tItens[Edital],1):tItens[[#This Row],[Edital]],tItens[[#This Row],[Edital]],INDEX(tItens[Produto],1):tItens[[#This Row],[Produto]],tItens[[#This Row],[Produto]])=1,1,0)</f>
        <v>0</v>
      </c>
    </row>
    <row r="100" spans="1:16" x14ac:dyDescent="0.25">
      <c r="A100" t="s">
        <v>743</v>
      </c>
      <c r="B100">
        <v>71</v>
      </c>
      <c r="C100" t="s">
        <v>3332</v>
      </c>
      <c r="D100" t="s">
        <v>313</v>
      </c>
      <c r="E100" s="13">
        <v>200</v>
      </c>
      <c r="F100" s="12">
        <v>23.2</v>
      </c>
      <c r="G100" t="str">
        <f>IFERROR(INDEX(tEditais[Órgão],MATCH(tItens[[#This Row],[Edital]],tEditais[Edital],0)),"")</f>
        <v>59 BATALHAO DE INFANTARIA MOTORIZADO</v>
      </c>
      <c r="H100" t="str">
        <f>IFERROR(INDEX(tEditais[UF],MATCH(tItens[[#This Row],[Edital]],tEditais[Edital],0)),"")</f>
        <v>AL</v>
      </c>
      <c r="I100" s="11">
        <f>IFERROR(INDEX(tEditais[Encerramento],MATCH(tItens[[#This Row],[Edital]],tEditais[Edital],0)),"")</f>
        <v>46308.375</v>
      </c>
      <c r="J100" t="str">
        <f>IFERROR(INDEX(tProdutos[Classe],MATCH(tItens[[#This Row],[Produto]],tProdutos[Produto],0)),"produto não cadastrado")</f>
        <v>FORA</v>
      </c>
      <c r="K100" s="12">
        <f>tItens[[#This Row],[Qtd]]*tItens[[#This Row],[Vlr unit]]</f>
        <v>4640</v>
      </c>
      <c r="L100" s="6">
        <f>IFERROR(IF(INDEX(tProdutos[Desconto homologado],MATCH(tItens[[#This Row],[Produto]],tProdutos[Produto],0))="",DescontoPadrao,INDEX(tProdutos[Desconto homologado],MATCH(tItens[[#This Row],[Produto]],tProdutos[Produto],0))),DescontoPadrao)</f>
        <v>0.35766373163696302</v>
      </c>
      <c r="M100" s="12">
        <f>tItens[[#This Row],[Valor]]*(1-tItens[[#This Row],[Desconto]])</f>
        <v>2980.4402852044914</v>
      </c>
      <c r="N100" t="str">
        <f>IFERROR(INDEX(tProdutos[Foco],MATCH(tItens[[#This Row],[Produto]],tProdutos[Produto],0)),"Não")</f>
        <v>Não</v>
      </c>
      <c r="O100" t="str">
        <f>IFERROR(INDEX(tEditais[SRP],MATCH(tItens[[#This Row],[Edital]],tEditais[Edital],0)),"Não")</f>
        <v>Não</v>
      </c>
      <c r="P100" s="4">
        <f>IF(COUNTIFS(INDEX(tItens[Edital],1):tItens[[#This Row],[Edital]],tItens[[#This Row],[Edital]],INDEX(tItens[Produto],1):tItens[[#This Row],[Produto]],tItens[[#This Row],[Produto]])=1,1,0)</f>
        <v>0</v>
      </c>
    </row>
    <row r="101" spans="1:16" x14ac:dyDescent="0.25">
      <c r="A101" t="s">
        <v>743</v>
      </c>
      <c r="B101">
        <v>73</v>
      </c>
      <c r="C101" t="s">
        <v>3333</v>
      </c>
      <c r="D101" t="s">
        <v>437</v>
      </c>
      <c r="E101" s="13">
        <v>40</v>
      </c>
      <c r="F101" s="12">
        <v>2.4500000000000002</v>
      </c>
      <c r="G101" t="str">
        <f>IFERROR(INDEX(tEditais[Órgão],MATCH(tItens[[#This Row],[Edital]],tEditais[Edital],0)),"")</f>
        <v>59 BATALHAO DE INFANTARIA MOTORIZADO</v>
      </c>
      <c r="H101" t="str">
        <f>IFERROR(INDEX(tEditais[UF],MATCH(tItens[[#This Row],[Edital]],tEditais[Edital],0)),"")</f>
        <v>AL</v>
      </c>
      <c r="I101" s="11">
        <f>IFERROR(INDEX(tEditais[Encerramento],MATCH(tItens[[#This Row],[Edital]],tEditais[Edital],0)),"")</f>
        <v>46308.375</v>
      </c>
      <c r="J101" t="str">
        <f>IFERROR(INDEX(tProdutos[Classe],MATCH(tItens[[#This Row],[Produto]],tProdutos[Produto],0)),"produto não cadastrado")</f>
        <v>FILA REBASE</v>
      </c>
      <c r="K101" s="12">
        <f>tItens[[#This Row],[Qtd]]*tItens[[#This Row],[Vlr unit]]</f>
        <v>98</v>
      </c>
      <c r="L101" s="6">
        <f>IFERROR(IF(INDEX(tProdutos[Desconto homologado],MATCH(tItens[[#This Row],[Produto]],tProdutos[Produto],0))="",DescontoPadrao,INDEX(tProdutos[Desconto homologado],MATCH(tItens[[#This Row],[Produto]],tProdutos[Produto],0))),DescontoPadrao)</f>
        <v>0.23334221878164699</v>
      </c>
      <c r="M101" s="12">
        <f>tItens[[#This Row],[Valor]]*(1-tItens[[#This Row],[Desconto]])</f>
        <v>75.132462559398604</v>
      </c>
      <c r="N101" t="str">
        <f>IFERROR(INDEX(tProdutos[Foco],MATCH(tItens[[#This Row],[Produto]],tProdutos[Produto],0)),"Não")</f>
        <v>Não</v>
      </c>
      <c r="O101" t="str">
        <f>IFERROR(INDEX(tEditais[SRP],MATCH(tItens[[#This Row],[Edital]],tEditais[Edital],0)),"Não")</f>
        <v>Não</v>
      </c>
      <c r="P101" s="4">
        <f>IF(COUNTIFS(INDEX(tItens[Edital],1):tItens[[#This Row],[Edital]],tItens[[#This Row],[Edital]],INDEX(tItens[Produto],1):tItens[[#This Row],[Produto]],tItens[[#This Row],[Produto]])=1,1,0)</f>
        <v>1</v>
      </c>
    </row>
    <row r="102" spans="1:16" x14ac:dyDescent="0.25">
      <c r="A102" t="s">
        <v>743</v>
      </c>
      <c r="B102">
        <v>84</v>
      </c>
      <c r="C102" t="s">
        <v>3334</v>
      </c>
      <c r="D102" t="s">
        <v>423</v>
      </c>
      <c r="E102" s="13">
        <v>10</v>
      </c>
      <c r="F102" s="12">
        <v>14.35</v>
      </c>
      <c r="G102" t="str">
        <f>IFERROR(INDEX(tEditais[Órgão],MATCH(tItens[[#This Row],[Edital]],tEditais[Edital],0)),"")</f>
        <v>59 BATALHAO DE INFANTARIA MOTORIZADO</v>
      </c>
      <c r="H102" t="str">
        <f>IFERROR(INDEX(tEditais[UF],MATCH(tItens[[#This Row],[Edital]],tEditais[Edital],0)),"")</f>
        <v>AL</v>
      </c>
      <c r="I102" s="11">
        <f>IFERROR(INDEX(tEditais[Encerramento],MATCH(tItens[[#This Row],[Edital]],tEditais[Edital],0)),"")</f>
        <v>46308.375</v>
      </c>
      <c r="J102" t="str">
        <f>IFERROR(INDEX(tProdutos[Classe],MATCH(tItens[[#This Row],[Produto]],tProdutos[Produto],0)),"produto não cadastrado")</f>
        <v>FORA</v>
      </c>
      <c r="K102" s="12">
        <f>tItens[[#This Row],[Qtd]]*tItens[[#This Row],[Vlr unit]]</f>
        <v>143.5</v>
      </c>
      <c r="L102" s="6">
        <f>IFERROR(IF(INDEX(tProdutos[Desconto homologado],MATCH(tItens[[#This Row],[Produto]],tProdutos[Produto],0))="",DescontoPadrao,INDEX(tProdutos[Desconto homologado],MATCH(tItens[[#This Row],[Produto]],tProdutos[Produto],0))),DescontoPadrao)</f>
        <v>0.38271604938271597</v>
      </c>
      <c r="M102" s="12">
        <f>tItens[[#This Row],[Valor]]*(1-tItens[[#This Row],[Desconto]])</f>
        <v>88.580246913580254</v>
      </c>
      <c r="N102" t="str">
        <f>IFERROR(INDEX(tProdutos[Foco],MATCH(tItens[[#This Row],[Produto]],tProdutos[Produto],0)),"Não")</f>
        <v>Não</v>
      </c>
      <c r="O102" t="str">
        <f>IFERROR(INDEX(tEditais[SRP],MATCH(tItens[[#This Row],[Edital]],tEditais[Edital],0)),"Não")</f>
        <v>Não</v>
      </c>
      <c r="P102" s="4">
        <f>IF(COUNTIFS(INDEX(tItens[Edital],1):tItens[[#This Row],[Edital]],tItens[[#This Row],[Edital]],INDEX(tItens[Produto],1):tItens[[#This Row],[Produto]],tItens[[#This Row],[Produto]])=1,1,0)</f>
        <v>1</v>
      </c>
    </row>
    <row r="103" spans="1:16" x14ac:dyDescent="0.25">
      <c r="A103" t="s">
        <v>743</v>
      </c>
      <c r="B103">
        <v>87</v>
      </c>
      <c r="C103" t="s">
        <v>3335</v>
      </c>
      <c r="D103" t="s">
        <v>56</v>
      </c>
      <c r="E103" s="13">
        <v>3</v>
      </c>
      <c r="F103" s="12">
        <v>40.5</v>
      </c>
      <c r="G103" t="str">
        <f>IFERROR(INDEX(tEditais[Órgão],MATCH(tItens[[#This Row],[Edital]],tEditais[Edital],0)),"")</f>
        <v>59 BATALHAO DE INFANTARIA MOTORIZADO</v>
      </c>
      <c r="H103" t="str">
        <f>IFERROR(INDEX(tEditais[UF],MATCH(tItens[[#This Row],[Edital]],tEditais[Edital],0)),"")</f>
        <v>AL</v>
      </c>
      <c r="I103" s="11">
        <f>IFERROR(INDEX(tEditais[Encerramento],MATCH(tItens[[#This Row],[Edital]],tEditais[Edital],0)),"")</f>
        <v>46308.375</v>
      </c>
      <c r="J103" t="str">
        <f>IFERROR(INDEX(tProdutos[Classe],MATCH(tItens[[#This Row],[Produto]],tProdutos[Produto],0)),"produto não cadastrado")</f>
        <v>NÚCLEO</v>
      </c>
      <c r="K103" s="12">
        <f>tItens[[#This Row],[Qtd]]*tItens[[#This Row],[Vlr unit]]</f>
        <v>121.5</v>
      </c>
      <c r="L103" s="6">
        <f>IFERROR(IF(INDEX(tProdutos[Desconto homologado],MATCH(tItens[[#This Row],[Produto]],tProdutos[Produto],0))="",DescontoPadrao,INDEX(tProdutos[Desconto homologado],MATCH(tItens[[#This Row],[Produto]],tProdutos[Produto],0))),DescontoPadrao)</f>
        <v>0.34</v>
      </c>
      <c r="M103" s="12">
        <f>tItens[[#This Row],[Valor]]*(1-tItens[[#This Row],[Desconto]])</f>
        <v>80.189999999999984</v>
      </c>
      <c r="N103" t="str">
        <f>IFERROR(INDEX(tProdutos[Foco],MATCH(tItens[[#This Row],[Produto]],tProdutos[Produto],0)),"Não")</f>
        <v>Sim</v>
      </c>
      <c r="O103" t="str">
        <f>IFERROR(INDEX(tEditais[SRP],MATCH(tItens[[#This Row],[Edital]],tEditais[Edital],0)),"Não")</f>
        <v>Não</v>
      </c>
      <c r="P103" s="4">
        <f>IF(COUNTIFS(INDEX(tItens[Edital],1):tItens[[#This Row],[Edital]],tItens[[#This Row],[Edital]],INDEX(tItens[Produto],1):tItens[[#This Row],[Produto]],tItens[[#This Row],[Produto]])=1,1,0)</f>
        <v>1</v>
      </c>
    </row>
    <row r="104" spans="1:16" x14ac:dyDescent="0.25">
      <c r="A104" t="s">
        <v>743</v>
      </c>
      <c r="B104">
        <v>88</v>
      </c>
      <c r="C104" t="s">
        <v>3336</v>
      </c>
      <c r="D104" t="s">
        <v>375</v>
      </c>
      <c r="E104" s="13">
        <v>120</v>
      </c>
      <c r="F104" s="12">
        <v>3.15</v>
      </c>
      <c r="G104" t="str">
        <f>IFERROR(INDEX(tEditais[Órgão],MATCH(tItens[[#This Row],[Edital]],tEditais[Edital],0)),"")</f>
        <v>59 BATALHAO DE INFANTARIA MOTORIZADO</v>
      </c>
      <c r="H104" t="str">
        <f>IFERROR(INDEX(tEditais[UF],MATCH(tItens[[#This Row],[Edital]],tEditais[Edital],0)),"")</f>
        <v>AL</v>
      </c>
      <c r="I104" s="11">
        <f>IFERROR(INDEX(tEditais[Encerramento],MATCH(tItens[[#This Row],[Edital]],tEditais[Edital],0)),"")</f>
        <v>46308.375</v>
      </c>
      <c r="J104" t="str">
        <f>IFERROR(INDEX(tProdutos[Classe],MATCH(tItens[[#This Row],[Produto]],tProdutos[Produto],0)),"produto não cadastrado")</f>
        <v>FORA</v>
      </c>
      <c r="K104" s="12">
        <f>tItens[[#This Row],[Qtd]]*tItens[[#This Row],[Vlr unit]]</f>
        <v>378</v>
      </c>
      <c r="L104" s="6">
        <f>IFERROR(IF(INDEX(tProdutos[Desconto homologado],MATCH(tItens[[#This Row],[Produto]],tProdutos[Produto],0))="",DescontoPadrao,INDEX(tProdutos[Desconto homologado],MATCH(tItens[[#This Row],[Produto]],tProdutos[Produto],0))),DescontoPadrao)</f>
        <v>0.25005895299481201</v>
      </c>
      <c r="M104" s="12">
        <f>tItens[[#This Row],[Valor]]*(1-tItens[[#This Row],[Desconto]])</f>
        <v>283.47771576796106</v>
      </c>
      <c r="N104" t="str">
        <f>IFERROR(INDEX(tProdutos[Foco],MATCH(tItens[[#This Row],[Produto]],tProdutos[Produto],0)),"Não")</f>
        <v>Não</v>
      </c>
      <c r="O104" t="str">
        <f>IFERROR(INDEX(tEditais[SRP],MATCH(tItens[[#This Row],[Edital]],tEditais[Edital],0)),"Não")</f>
        <v>Não</v>
      </c>
      <c r="P104" s="4">
        <f>IF(COUNTIFS(INDEX(tItens[Edital],1):tItens[[#This Row],[Edital]],tItens[[#This Row],[Edital]],INDEX(tItens[Produto],1):tItens[[#This Row],[Produto]],tItens[[#This Row],[Produto]])=1,1,0)</f>
        <v>1</v>
      </c>
    </row>
    <row r="105" spans="1:16" x14ac:dyDescent="0.25">
      <c r="A105" t="s">
        <v>743</v>
      </c>
      <c r="B105">
        <v>120</v>
      </c>
      <c r="C105" t="s">
        <v>3337</v>
      </c>
      <c r="D105" t="s">
        <v>455</v>
      </c>
      <c r="E105" s="13">
        <v>3</v>
      </c>
      <c r="F105" s="12">
        <v>9.4</v>
      </c>
      <c r="G105" t="str">
        <f>IFERROR(INDEX(tEditais[Órgão],MATCH(tItens[[#This Row],[Edital]],tEditais[Edital],0)),"")</f>
        <v>59 BATALHAO DE INFANTARIA MOTORIZADO</v>
      </c>
      <c r="H105" t="str">
        <f>IFERROR(INDEX(tEditais[UF],MATCH(tItens[[#This Row],[Edital]],tEditais[Edital],0)),"")</f>
        <v>AL</v>
      </c>
      <c r="I105" s="11">
        <f>IFERROR(INDEX(tEditais[Encerramento],MATCH(tItens[[#This Row],[Edital]],tEditais[Edital],0)),"")</f>
        <v>46308.375</v>
      </c>
      <c r="J105" t="str">
        <f>IFERROR(INDEX(tProdutos[Classe],MATCH(tItens[[#This Row],[Produto]],tProdutos[Produto],0)),"produto não cadastrado")</f>
        <v>FILA REBASE</v>
      </c>
      <c r="K105" s="12">
        <f>tItens[[#This Row],[Qtd]]*tItens[[#This Row],[Vlr unit]]</f>
        <v>28.200000000000003</v>
      </c>
      <c r="L105" s="6">
        <f>IFERROR(IF(INDEX(tProdutos[Desconto homologado],MATCH(tItens[[#This Row],[Produto]],tProdutos[Produto],0))="",DescontoPadrao,INDEX(tProdutos[Desconto homologado],MATCH(tItens[[#This Row],[Produto]],tProdutos[Produto],0))),DescontoPadrao)</f>
        <v>0.29595946765523801</v>
      </c>
      <c r="M105" s="12">
        <f>tItens[[#This Row],[Valor]]*(1-tItens[[#This Row],[Desconto]])</f>
        <v>19.853943012122294</v>
      </c>
      <c r="N105" t="str">
        <f>IFERROR(INDEX(tProdutos[Foco],MATCH(tItens[[#This Row],[Produto]],tProdutos[Produto],0)),"Não")</f>
        <v>Não</v>
      </c>
      <c r="O105" t="str">
        <f>IFERROR(INDEX(tEditais[SRP],MATCH(tItens[[#This Row],[Edital]],tEditais[Edital],0)),"Não")</f>
        <v>Não</v>
      </c>
      <c r="P105" s="4">
        <f>IF(COUNTIFS(INDEX(tItens[Edital],1):tItens[[#This Row],[Edital]],tItens[[#This Row],[Edital]],INDEX(tItens[Produto],1):tItens[[#This Row],[Produto]],tItens[[#This Row],[Produto]])=1,1,0)</f>
        <v>1</v>
      </c>
    </row>
    <row r="106" spans="1:16" x14ac:dyDescent="0.25">
      <c r="A106" t="s">
        <v>743</v>
      </c>
      <c r="B106">
        <v>121</v>
      </c>
      <c r="C106" t="s">
        <v>3338</v>
      </c>
      <c r="D106" t="s">
        <v>455</v>
      </c>
      <c r="E106" s="13">
        <v>3</v>
      </c>
      <c r="F106" s="12">
        <v>9.09</v>
      </c>
      <c r="G106" t="str">
        <f>IFERROR(INDEX(tEditais[Órgão],MATCH(tItens[[#This Row],[Edital]],tEditais[Edital],0)),"")</f>
        <v>59 BATALHAO DE INFANTARIA MOTORIZADO</v>
      </c>
      <c r="H106" t="str">
        <f>IFERROR(INDEX(tEditais[UF],MATCH(tItens[[#This Row],[Edital]],tEditais[Edital],0)),"")</f>
        <v>AL</v>
      </c>
      <c r="I106" s="11">
        <f>IFERROR(INDEX(tEditais[Encerramento],MATCH(tItens[[#This Row],[Edital]],tEditais[Edital],0)),"")</f>
        <v>46308.375</v>
      </c>
      <c r="J106" t="str">
        <f>IFERROR(INDEX(tProdutos[Classe],MATCH(tItens[[#This Row],[Produto]],tProdutos[Produto],0)),"produto não cadastrado")</f>
        <v>FILA REBASE</v>
      </c>
      <c r="K106" s="12">
        <f>tItens[[#This Row],[Qtd]]*tItens[[#This Row],[Vlr unit]]</f>
        <v>27.27</v>
      </c>
      <c r="L106" s="6">
        <f>IFERROR(IF(INDEX(tProdutos[Desconto homologado],MATCH(tItens[[#This Row],[Produto]],tProdutos[Produto],0))="",DescontoPadrao,INDEX(tProdutos[Desconto homologado],MATCH(tItens[[#This Row],[Produto]],tProdutos[Produto],0))),DescontoPadrao)</f>
        <v>0.29595946765523801</v>
      </c>
      <c r="M106" s="12">
        <f>tItens[[#This Row],[Valor]]*(1-tItens[[#This Row],[Desconto]])</f>
        <v>19.19918531704166</v>
      </c>
      <c r="N106" t="str">
        <f>IFERROR(INDEX(tProdutos[Foco],MATCH(tItens[[#This Row],[Produto]],tProdutos[Produto],0)),"Não")</f>
        <v>Não</v>
      </c>
      <c r="O106" t="str">
        <f>IFERROR(INDEX(tEditais[SRP],MATCH(tItens[[#This Row],[Edital]],tEditais[Edital],0)),"Não")</f>
        <v>Não</v>
      </c>
      <c r="P106" s="4">
        <f>IF(COUNTIFS(INDEX(tItens[Edital],1):tItens[[#This Row],[Edital]],tItens[[#This Row],[Edital]],INDEX(tItens[Produto],1):tItens[[#This Row],[Produto]],tItens[[#This Row],[Produto]])=1,1,0)</f>
        <v>0</v>
      </c>
    </row>
    <row r="107" spans="1:16" x14ac:dyDescent="0.25">
      <c r="A107" t="s">
        <v>743</v>
      </c>
      <c r="B107">
        <v>122</v>
      </c>
      <c r="C107" t="s">
        <v>3339</v>
      </c>
      <c r="D107" t="s">
        <v>455</v>
      </c>
      <c r="E107" s="13">
        <v>3</v>
      </c>
      <c r="F107" s="12">
        <v>8.59</v>
      </c>
      <c r="G107" t="str">
        <f>IFERROR(INDEX(tEditais[Órgão],MATCH(tItens[[#This Row],[Edital]],tEditais[Edital],0)),"")</f>
        <v>59 BATALHAO DE INFANTARIA MOTORIZADO</v>
      </c>
      <c r="H107" t="str">
        <f>IFERROR(INDEX(tEditais[UF],MATCH(tItens[[#This Row],[Edital]],tEditais[Edital],0)),"")</f>
        <v>AL</v>
      </c>
      <c r="I107" s="11">
        <f>IFERROR(INDEX(tEditais[Encerramento],MATCH(tItens[[#This Row],[Edital]],tEditais[Edital],0)),"")</f>
        <v>46308.375</v>
      </c>
      <c r="J107" t="str">
        <f>IFERROR(INDEX(tProdutos[Classe],MATCH(tItens[[#This Row],[Produto]],tProdutos[Produto],0)),"produto não cadastrado")</f>
        <v>FILA REBASE</v>
      </c>
      <c r="K107" s="12">
        <f>tItens[[#This Row],[Qtd]]*tItens[[#This Row],[Vlr unit]]</f>
        <v>25.77</v>
      </c>
      <c r="L107" s="6">
        <f>IFERROR(IF(INDEX(tProdutos[Desconto homologado],MATCH(tItens[[#This Row],[Produto]],tProdutos[Produto],0))="",DescontoPadrao,INDEX(tProdutos[Desconto homologado],MATCH(tItens[[#This Row],[Produto]],tProdutos[Produto],0))),DescontoPadrao)</f>
        <v>0.29595946765523801</v>
      </c>
      <c r="M107" s="12">
        <f>tItens[[#This Row],[Valor]]*(1-tItens[[#This Row],[Desconto]])</f>
        <v>18.143124518524516</v>
      </c>
      <c r="N107" t="str">
        <f>IFERROR(INDEX(tProdutos[Foco],MATCH(tItens[[#This Row],[Produto]],tProdutos[Produto],0)),"Não")</f>
        <v>Não</v>
      </c>
      <c r="O107" t="str">
        <f>IFERROR(INDEX(tEditais[SRP],MATCH(tItens[[#This Row],[Edital]],tEditais[Edital],0)),"Não")</f>
        <v>Não</v>
      </c>
      <c r="P107" s="4">
        <f>IF(COUNTIFS(INDEX(tItens[Edital],1):tItens[[#This Row],[Edital]],tItens[[#This Row],[Edital]],INDEX(tItens[Produto],1):tItens[[#This Row],[Produto]],tItens[[#This Row],[Produto]])=1,1,0)</f>
        <v>0</v>
      </c>
    </row>
    <row r="108" spans="1:16" x14ac:dyDescent="0.25">
      <c r="A108" t="s">
        <v>743</v>
      </c>
      <c r="B108">
        <v>123</v>
      </c>
      <c r="C108" t="s">
        <v>3340</v>
      </c>
      <c r="D108" t="s">
        <v>455</v>
      </c>
      <c r="E108" s="13">
        <v>3</v>
      </c>
      <c r="F108" s="12">
        <v>9.49</v>
      </c>
      <c r="G108" t="str">
        <f>IFERROR(INDEX(tEditais[Órgão],MATCH(tItens[[#This Row],[Edital]],tEditais[Edital],0)),"")</f>
        <v>59 BATALHAO DE INFANTARIA MOTORIZADO</v>
      </c>
      <c r="H108" t="str">
        <f>IFERROR(INDEX(tEditais[UF],MATCH(tItens[[#This Row],[Edital]],tEditais[Edital],0)),"")</f>
        <v>AL</v>
      </c>
      <c r="I108" s="11">
        <f>IFERROR(INDEX(tEditais[Encerramento],MATCH(tItens[[#This Row],[Edital]],tEditais[Edital],0)),"")</f>
        <v>46308.375</v>
      </c>
      <c r="J108" t="str">
        <f>IFERROR(INDEX(tProdutos[Classe],MATCH(tItens[[#This Row],[Produto]],tProdutos[Produto],0)),"produto não cadastrado")</f>
        <v>FILA REBASE</v>
      </c>
      <c r="K108" s="12">
        <f>tItens[[#This Row],[Qtd]]*tItens[[#This Row],[Vlr unit]]</f>
        <v>28.47</v>
      </c>
      <c r="L108" s="6">
        <f>IFERROR(IF(INDEX(tProdutos[Desconto homologado],MATCH(tItens[[#This Row],[Produto]],tProdutos[Produto],0))="",DescontoPadrao,INDEX(tProdutos[Desconto homologado],MATCH(tItens[[#This Row],[Produto]],tProdutos[Produto],0))),DescontoPadrao)</f>
        <v>0.29595946765523801</v>
      </c>
      <c r="M108" s="12">
        <f>tItens[[#This Row],[Valor]]*(1-tItens[[#This Row],[Desconto]])</f>
        <v>20.044033955855376</v>
      </c>
      <c r="N108" t="str">
        <f>IFERROR(INDEX(tProdutos[Foco],MATCH(tItens[[#This Row],[Produto]],tProdutos[Produto],0)),"Não")</f>
        <v>Não</v>
      </c>
      <c r="O108" t="str">
        <f>IFERROR(INDEX(tEditais[SRP],MATCH(tItens[[#This Row],[Edital]],tEditais[Edital],0)),"Não")</f>
        <v>Não</v>
      </c>
      <c r="P108" s="4">
        <f>IF(COUNTIFS(INDEX(tItens[Edital],1):tItens[[#This Row],[Edital]],tItens[[#This Row],[Edital]],INDEX(tItens[Produto],1):tItens[[#This Row],[Produto]],tItens[[#This Row],[Produto]])=1,1,0)</f>
        <v>0</v>
      </c>
    </row>
    <row r="109" spans="1:16" x14ac:dyDescent="0.25">
      <c r="A109" t="s">
        <v>743</v>
      </c>
      <c r="B109">
        <v>124</v>
      </c>
      <c r="C109" t="s">
        <v>3341</v>
      </c>
      <c r="D109" t="s">
        <v>455</v>
      </c>
      <c r="E109" s="13">
        <v>3</v>
      </c>
      <c r="F109" s="12">
        <v>10</v>
      </c>
      <c r="G109" t="str">
        <f>IFERROR(INDEX(tEditais[Órgão],MATCH(tItens[[#This Row],[Edital]],tEditais[Edital],0)),"")</f>
        <v>59 BATALHAO DE INFANTARIA MOTORIZADO</v>
      </c>
      <c r="H109" t="str">
        <f>IFERROR(INDEX(tEditais[UF],MATCH(tItens[[#This Row],[Edital]],tEditais[Edital],0)),"")</f>
        <v>AL</v>
      </c>
      <c r="I109" s="11">
        <f>IFERROR(INDEX(tEditais[Encerramento],MATCH(tItens[[#This Row],[Edital]],tEditais[Edital],0)),"")</f>
        <v>46308.375</v>
      </c>
      <c r="J109" t="str">
        <f>IFERROR(INDEX(tProdutos[Classe],MATCH(tItens[[#This Row],[Produto]],tProdutos[Produto],0)),"produto não cadastrado")</f>
        <v>FILA REBASE</v>
      </c>
      <c r="K109" s="12">
        <f>tItens[[#This Row],[Qtd]]*tItens[[#This Row],[Vlr unit]]</f>
        <v>30</v>
      </c>
      <c r="L109" s="6">
        <f>IFERROR(IF(INDEX(tProdutos[Desconto homologado],MATCH(tItens[[#This Row],[Produto]],tProdutos[Produto],0))="",DescontoPadrao,INDEX(tProdutos[Desconto homologado],MATCH(tItens[[#This Row],[Produto]],tProdutos[Produto],0))),DescontoPadrao)</f>
        <v>0.29595946765523801</v>
      </c>
      <c r="M109" s="12">
        <f>tItens[[#This Row],[Valor]]*(1-tItens[[#This Row],[Desconto]])</f>
        <v>21.12121597034286</v>
      </c>
      <c r="N109" t="str">
        <f>IFERROR(INDEX(tProdutos[Foco],MATCH(tItens[[#This Row],[Produto]],tProdutos[Produto],0)),"Não")</f>
        <v>Não</v>
      </c>
      <c r="O109" t="str">
        <f>IFERROR(INDEX(tEditais[SRP],MATCH(tItens[[#This Row],[Edital]],tEditais[Edital],0)),"Não")</f>
        <v>Não</v>
      </c>
      <c r="P109" s="4">
        <f>IF(COUNTIFS(INDEX(tItens[Edital],1):tItens[[#This Row],[Edital]],tItens[[#This Row],[Edital]],INDEX(tItens[Produto],1):tItens[[#This Row],[Produto]],tItens[[#This Row],[Produto]])=1,1,0)</f>
        <v>0</v>
      </c>
    </row>
    <row r="110" spans="1:16" x14ac:dyDescent="0.25">
      <c r="A110" t="s">
        <v>743</v>
      </c>
      <c r="B110">
        <v>125</v>
      </c>
      <c r="C110" t="s">
        <v>3342</v>
      </c>
      <c r="D110" t="s">
        <v>455</v>
      </c>
      <c r="E110" s="13">
        <v>3</v>
      </c>
      <c r="F110" s="12">
        <v>10</v>
      </c>
      <c r="G110" t="str">
        <f>IFERROR(INDEX(tEditais[Órgão],MATCH(tItens[[#This Row],[Edital]],tEditais[Edital],0)),"")</f>
        <v>59 BATALHAO DE INFANTARIA MOTORIZADO</v>
      </c>
      <c r="H110" t="str">
        <f>IFERROR(INDEX(tEditais[UF],MATCH(tItens[[#This Row],[Edital]],tEditais[Edital],0)),"")</f>
        <v>AL</v>
      </c>
      <c r="I110" s="11">
        <f>IFERROR(INDEX(tEditais[Encerramento],MATCH(tItens[[#This Row],[Edital]],tEditais[Edital],0)),"")</f>
        <v>46308.375</v>
      </c>
      <c r="J110" t="str">
        <f>IFERROR(INDEX(tProdutos[Classe],MATCH(tItens[[#This Row],[Produto]],tProdutos[Produto],0)),"produto não cadastrado")</f>
        <v>FILA REBASE</v>
      </c>
      <c r="K110" s="12">
        <f>tItens[[#This Row],[Qtd]]*tItens[[#This Row],[Vlr unit]]</f>
        <v>30</v>
      </c>
      <c r="L110" s="6">
        <f>IFERROR(IF(INDEX(tProdutos[Desconto homologado],MATCH(tItens[[#This Row],[Produto]],tProdutos[Produto],0))="",DescontoPadrao,INDEX(tProdutos[Desconto homologado],MATCH(tItens[[#This Row],[Produto]],tProdutos[Produto],0))),DescontoPadrao)</f>
        <v>0.29595946765523801</v>
      </c>
      <c r="M110" s="12">
        <f>tItens[[#This Row],[Valor]]*(1-tItens[[#This Row],[Desconto]])</f>
        <v>21.12121597034286</v>
      </c>
      <c r="N110" t="str">
        <f>IFERROR(INDEX(tProdutos[Foco],MATCH(tItens[[#This Row],[Produto]],tProdutos[Produto],0)),"Não")</f>
        <v>Não</v>
      </c>
      <c r="O110" t="str">
        <f>IFERROR(INDEX(tEditais[SRP],MATCH(tItens[[#This Row],[Edital]],tEditais[Edital],0)),"Não")</f>
        <v>Não</v>
      </c>
      <c r="P110" s="4">
        <f>IF(COUNTIFS(INDEX(tItens[Edital],1):tItens[[#This Row],[Edital]],tItens[[#This Row],[Edital]],INDEX(tItens[Produto],1):tItens[[#This Row],[Produto]],tItens[[#This Row],[Produto]])=1,1,0)</f>
        <v>0</v>
      </c>
    </row>
    <row r="111" spans="1:16" x14ac:dyDescent="0.25">
      <c r="A111" t="s">
        <v>743</v>
      </c>
      <c r="B111">
        <v>126</v>
      </c>
      <c r="C111" t="s">
        <v>3343</v>
      </c>
      <c r="D111" t="s">
        <v>455</v>
      </c>
      <c r="E111" s="13">
        <v>3</v>
      </c>
      <c r="F111" s="12">
        <v>11.59</v>
      </c>
      <c r="G111" t="str">
        <f>IFERROR(INDEX(tEditais[Órgão],MATCH(tItens[[#This Row],[Edital]],tEditais[Edital],0)),"")</f>
        <v>59 BATALHAO DE INFANTARIA MOTORIZADO</v>
      </c>
      <c r="H111" t="str">
        <f>IFERROR(INDEX(tEditais[UF],MATCH(tItens[[#This Row],[Edital]],tEditais[Edital],0)),"")</f>
        <v>AL</v>
      </c>
      <c r="I111" s="11">
        <f>IFERROR(INDEX(tEditais[Encerramento],MATCH(tItens[[#This Row],[Edital]],tEditais[Edital],0)),"")</f>
        <v>46308.375</v>
      </c>
      <c r="J111" t="str">
        <f>IFERROR(INDEX(tProdutos[Classe],MATCH(tItens[[#This Row],[Produto]],tProdutos[Produto],0)),"produto não cadastrado")</f>
        <v>FILA REBASE</v>
      </c>
      <c r="K111" s="12">
        <f>tItens[[#This Row],[Qtd]]*tItens[[#This Row],[Vlr unit]]</f>
        <v>34.769999999999996</v>
      </c>
      <c r="L111" s="6">
        <f>IFERROR(IF(INDEX(tProdutos[Desconto homologado],MATCH(tItens[[#This Row],[Produto]],tProdutos[Produto],0))="",DescontoPadrao,INDEX(tProdutos[Desconto homologado],MATCH(tItens[[#This Row],[Produto]],tProdutos[Produto],0))),DescontoPadrao)</f>
        <v>0.29595946765523801</v>
      </c>
      <c r="M111" s="12">
        <f>tItens[[#This Row],[Valor]]*(1-tItens[[#This Row],[Desconto]])</f>
        <v>24.479489309627375</v>
      </c>
      <c r="N111" t="str">
        <f>IFERROR(INDEX(tProdutos[Foco],MATCH(tItens[[#This Row],[Produto]],tProdutos[Produto],0)),"Não")</f>
        <v>Não</v>
      </c>
      <c r="O111" t="str">
        <f>IFERROR(INDEX(tEditais[SRP],MATCH(tItens[[#This Row],[Edital]],tEditais[Edital],0)),"Não")</f>
        <v>Não</v>
      </c>
      <c r="P111" s="4">
        <f>IF(COUNTIFS(INDEX(tItens[Edital],1):tItens[[#This Row],[Edital]],tItens[[#This Row],[Edital]],INDEX(tItens[Produto],1):tItens[[#This Row],[Produto]],tItens[[#This Row],[Produto]])=1,1,0)</f>
        <v>0</v>
      </c>
    </row>
    <row r="112" spans="1:16" x14ac:dyDescent="0.25">
      <c r="A112" t="s">
        <v>743</v>
      </c>
      <c r="B112">
        <v>127</v>
      </c>
      <c r="C112" t="s">
        <v>3344</v>
      </c>
      <c r="D112" t="s">
        <v>455</v>
      </c>
      <c r="E112" s="13">
        <v>3</v>
      </c>
      <c r="F112" s="12">
        <v>9.73</v>
      </c>
      <c r="G112" t="str">
        <f>IFERROR(INDEX(tEditais[Órgão],MATCH(tItens[[#This Row],[Edital]],tEditais[Edital],0)),"")</f>
        <v>59 BATALHAO DE INFANTARIA MOTORIZADO</v>
      </c>
      <c r="H112" t="str">
        <f>IFERROR(INDEX(tEditais[UF],MATCH(tItens[[#This Row],[Edital]],tEditais[Edital],0)),"")</f>
        <v>AL</v>
      </c>
      <c r="I112" s="11">
        <f>IFERROR(INDEX(tEditais[Encerramento],MATCH(tItens[[#This Row],[Edital]],tEditais[Edital],0)),"")</f>
        <v>46308.375</v>
      </c>
      <c r="J112" t="str">
        <f>IFERROR(INDEX(tProdutos[Classe],MATCH(tItens[[#This Row],[Produto]],tProdutos[Produto],0)),"produto não cadastrado")</f>
        <v>FILA REBASE</v>
      </c>
      <c r="K112" s="12">
        <f>tItens[[#This Row],[Qtd]]*tItens[[#This Row],[Vlr unit]]</f>
        <v>29.19</v>
      </c>
      <c r="L112" s="6">
        <f>IFERROR(IF(INDEX(tProdutos[Desconto homologado],MATCH(tItens[[#This Row],[Produto]],tProdutos[Produto],0))="",DescontoPadrao,INDEX(tProdutos[Desconto homologado],MATCH(tItens[[#This Row],[Produto]],tProdutos[Produto],0))),DescontoPadrao)</f>
        <v>0.29595946765523801</v>
      </c>
      <c r="M112" s="12">
        <f>tItens[[#This Row],[Valor]]*(1-tItens[[#This Row],[Desconto]])</f>
        <v>20.550943139143605</v>
      </c>
      <c r="N112" t="str">
        <f>IFERROR(INDEX(tProdutos[Foco],MATCH(tItens[[#This Row],[Produto]],tProdutos[Produto],0)),"Não")</f>
        <v>Não</v>
      </c>
      <c r="O112" t="str">
        <f>IFERROR(INDEX(tEditais[SRP],MATCH(tItens[[#This Row],[Edital]],tEditais[Edital],0)),"Não")</f>
        <v>Não</v>
      </c>
      <c r="P112" s="4">
        <f>IF(COUNTIFS(INDEX(tItens[Edital],1):tItens[[#This Row],[Edital]],tItens[[#This Row],[Edital]],INDEX(tItens[Produto],1):tItens[[#This Row],[Produto]],tItens[[#This Row],[Produto]])=1,1,0)</f>
        <v>0</v>
      </c>
    </row>
    <row r="113" spans="1:16" x14ac:dyDescent="0.25">
      <c r="A113" t="s">
        <v>743</v>
      </c>
      <c r="B113">
        <v>128</v>
      </c>
      <c r="C113" t="s">
        <v>3345</v>
      </c>
      <c r="D113" t="s">
        <v>455</v>
      </c>
      <c r="E113" s="13">
        <v>3</v>
      </c>
      <c r="F113" s="12">
        <v>26.74</v>
      </c>
      <c r="G113" t="str">
        <f>IFERROR(INDEX(tEditais[Órgão],MATCH(tItens[[#This Row],[Edital]],tEditais[Edital],0)),"")</f>
        <v>59 BATALHAO DE INFANTARIA MOTORIZADO</v>
      </c>
      <c r="H113" t="str">
        <f>IFERROR(INDEX(tEditais[UF],MATCH(tItens[[#This Row],[Edital]],tEditais[Edital],0)),"")</f>
        <v>AL</v>
      </c>
      <c r="I113" s="11">
        <f>IFERROR(INDEX(tEditais[Encerramento],MATCH(tItens[[#This Row],[Edital]],tEditais[Edital],0)),"")</f>
        <v>46308.375</v>
      </c>
      <c r="J113" t="str">
        <f>IFERROR(INDEX(tProdutos[Classe],MATCH(tItens[[#This Row],[Produto]],tProdutos[Produto],0)),"produto não cadastrado")</f>
        <v>FILA REBASE</v>
      </c>
      <c r="K113" s="12">
        <f>tItens[[#This Row],[Qtd]]*tItens[[#This Row],[Vlr unit]]</f>
        <v>80.22</v>
      </c>
      <c r="L113" s="6">
        <f>IFERROR(IF(INDEX(tProdutos[Desconto homologado],MATCH(tItens[[#This Row],[Produto]],tProdutos[Produto],0))="",DescontoPadrao,INDEX(tProdutos[Desconto homologado],MATCH(tItens[[#This Row],[Produto]],tProdutos[Produto],0))),DescontoPadrao)</f>
        <v>0.29595946765523801</v>
      </c>
      <c r="M113" s="12">
        <f>tItens[[#This Row],[Valor]]*(1-tItens[[#This Row],[Desconto]])</f>
        <v>56.478131504696812</v>
      </c>
      <c r="N113" t="str">
        <f>IFERROR(INDEX(tProdutos[Foco],MATCH(tItens[[#This Row],[Produto]],tProdutos[Produto],0)),"Não")</f>
        <v>Não</v>
      </c>
      <c r="O113" t="str">
        <f>IFERROR(INDEX(tEditais[SRP],MATCH(tItens[[#This Row],[Edital]],tEditais[Edital],0)),"Não")</f>
        <v>Não</v>
      </c>
      <c r="P113" s="4">
        <f>IF(COUNTIFS(INDEX(tItens[Edital],1):tItens[[#This Row],[Edital]],tItens[[#This Row],[Edital]],INDEX(tItens[Produto],1):tItens[[#This Row],[Produto]],tItens[[#This Row],[Produto]])=1,1,0)</f>
        <v>0</v>
      </c>
    </row>
    <row r="114" spans="1:16" x14ac:dyDescent="0.25">
      <c r="A114" t="s">
        <v>743</v>
      </c>
      <c r="B114">
        <v>129</v>
      </c>
      <c r="C114" t="s">
        <v>3346</v>
      </c>
      <c r="D114" t="s">
        <v>455</v>
      </c>
      <c r="E114" s="13">
        <v>3</v>
      </c>
      <c r="F114" s="12">
        <v>26.74</v>
      </c>
      <c r="G114" t="str">
        <f>IFERROR(INDEX(tEditais[Órgão],MATCH(tItens[[#This Row],[Edital]],tEditais[Edital],0)),"")</f>
        <v>59 BATALHAO DE INFANTARIA MOTORIZADO</v>
      </c>
      <c r="H114" t="str">
        <f>IFERROR(INDEX(tEditais[UF],MATCH(tItens[[#This Row],[Edital]],tEditais[Edital],0)),"")</f>
        <v>AL</v>
      </c>
      <c r="I114" s="11">
        <f>IFERROR(INDEX(tEditais[Encerramento],MATCH(tItens[[#This Row],[Edital]],tEditais[Edital],0)),"")</f>
        <v>46308.375</v>
      </c>
      <c r="J114" t="str">
        <f>IFERROR(INDEX(tProdutos[Classe],MATCH(tItens[[#This Row],[Produto]],tProdutos[Produto],0)),"produto não cadastrado")</f>
        <v>FILA REBASE</v>
      </c>
      <c r="K114" s="12">
        <f>tItens[[#This Row],[Qtd]]*tItens[[#This Row],[Vlr unit]]</f>
        <v>80.22</v>
      </c>
      <c r="L114" s="6">
        <f>IFERROR(IF(INDEX(tProdutos[Desconto homologado],MATCH(tItens[[#This Row],[Produto]],tProdutos[Produto],0))="",DescontoPadrao,INDEX(tProdutos[Desconto homologado],MATCH(tItens[[#This Row],[Produto]],tProdutos[Produto],0))),DescontoPadrao)</f>
        <v>0.29595946765523801</v>
      </c>
      <c r="M114" s="12">
        <f>tItens[[#This Row],[Valor]]*(1-tItens[[#This Row],[Desconto]])</f>
        <v>56.478131504696812</v>
      </c>
      <c r="N114" t="str">
        <f>IFERROR(INDEX(tProdutos[Foco],MATCH(tItens[[#This Row],[Produto]],tProdutos[Produto],0)),"Não")</f>
        <v>Não</v>
      </c>
      <c r="O114" t="str">
        <f>IFERROR(INDEX(tEditais[SRP],MATCH(tItens[[#This Row],[Edital]],tEditais[Edital],0)),"Não")</f>
        <v>Não</v>
      </c>
      <c r="P114" s="4">
        <f>IF(COUNTIFS(INDEX(tItens[Edital],1):tItens[[#This Row],[Edital]],tItens[[#This Row],[Edital]],INDEX(tItens[Produto],1):tItens[[#This Row],[Produto]],tItens[[#This Row],[Produto]])=1,1,0)</f>
        <v>0</v>
      </c>
    </row>
    <row r="115" spans="1:16" x14ac:dyDescent="0.25">
      <c r="A115" t="s">
        <v>743</v>
      </c>
      <c r="B115">
        <v>130</v>
      </c>
      <c r="C115" t="s">
        <v>3347</v>
      </c>
      <c r="D115" t="s">
        <v>455</v>
      </c>
      <c r="E115" s="13">
        <v>3</v>
      </c>
      <c r="F115" s="12">
        <v>26.74</v>
      </c>
      <c r="G115" t="str">
        <f>IFERROR(INDEX(tEditais[Órgão],MATCH(tItens[[#This Row],[Edital]],tEditais[Edital],0)),"")</f>
        <v>59 BATALHAO DE INFANTARIA MOTORIZADO</v>
      </c>
      <c r="H115" t="str">
        <f>IFERROR(INDEX(tEditais[UF],MATCH(tItens[[#This Row],[Edital]],tEditais[Edital],0)),"")</f>
        <v>AL</v>
      </c>
      <c r="I115" s="11">
        <f>IFERROR(INDEX(tEditais[Encerramento],MATCH(tItens[[#This Row],[Edital]],tEditais[Edital],0)),"")</f>
        <v>46308.375</v>
      </c>
      <c r="J115" t="str">
        <f>IFERROR(INDEX(tProdutos[Classe],MATCH(tItens[[#This Row],[Produto]],tProdutos[Produto],0)),"produto não cadastrado")</f>
        <v>FILA REBASE</v>
      </c>
      <c r="K115" s="12">
        <f>tItens[[#This Row],[Qtd]]*tItens[[#This Row],[Vlr unit]]</f>
        <v>80.22</v>
      </c>
      <c r="L115" s="6">
        <f>IFERROR(IF(INDEX(tProdutos[Desconto homologado],MATCH(tItens[[#This Row],[Produto]],tProdutos[Produto],0))="",DescontoPadrao,INDEX(tProdutos[Desconto homologado],MATCH(tItens[[#This Row],[Produto]],tProdutos[Produto],0))),DescontoPadrao)</f>
        <v>0.29595946765523801</v>
      </c>
      <c r="M115" s="12">
        <f>tItens[[#This Row],[Valor]]*(1-tItens[[#This Row],[Desconto]])</f>
        <v>56.478131504696812</v>
      </c>
      <c r="N115" t="str">
        <f>IFERROR(INDEX(tProdutos[Foco],MATCH(tItens[[#This Row],[Produto]],tProdutos[Produto],0)),"Não")</f>
        <v>Não</v>
      </c>
      <c r="O115" t="str">
        <f>IFERROR(INDEX(tEditais[SRP],MATCH(tItens[[#This Row],[Edital]],tEditais[Edital],0)),"Não")</f>
        <v>Não</v>
      </c>
      <c r="P115" s="4">
        <f>IF(COUNTIFS(INDEX(tItens[Edital],1):tItens[[#This Row],[Edital]],tItens[[#This Row],[Edital]],INDEX(tItens[Produto],1):tItens[[#This Row],[Produto]],tItens[[#This Row],[Produto]])=1,1,0)</f>
        <v>0</v>
      </c>
    </row>
    <row r="116" spans="1:16" x14ac:dyDescent="0.25">
      <c r="A116" t="s">
        <v>743</v>
      </c>
      <c r="B116">
        <v>131</v>
      </c>
      <c r="C116" t="s">
        <v>3348</v>
      </c>
      <c r="D116" t="s">
        <v>455</v>
      </c>
      <c r="E116" s="13">
        <v>3</v>
      </c>
      <c r="F116" s="12">
        <v>29.85</v>
      </c>
      <c r="G116" t="str">
        <f>IFERROR(INDEX(tEditais[Órgão],MATCH(tItens[[#This Row],[Edital]],tEditais[Edital],0)),"")</f>
        <v>59 BATALHAO DE INFANTARIA MOTORIZADO</v>
      </c>
      <c r="H116" t="str">
        <f>IFERROR(INDEX(tEditais[UF],MATCH(tItens[[#This Row],[Edital]],tEditais[Edital],0)),"")</f>
        <v>AL</v>
      </c>
      <c r="I116" s="11">
        <f>IFERROR(INDEX(tEditais[Encerramento],MATCH(tItens[[#This Row],[Edital]],tEditais[Edital],0)),"")</f>
        <v>46308.375</v>
      </c>
      <c r="J116" t="str">
        <f>IFERROR(INDEX(tProdutos[Classe],MATCH(tItens[[#This Row],[Produto]],tProdutos[Produto],0)),"produto não cadastrado")</f>
        <v>FILA REBASE</v>
      </c>
      <c r="K116" s="12">
        <f>tItens[[#This Row],[Qtd]]*tItens[[#This Row],[Vlr unit]]</f>
        <v>89.550000000000011</v>
      </c>
      <c r="L116" s="6">
        <f>IFERROR(IF(INDEX(tProdutos[Desconto homologado],MATCH(tItens[[#This Row],[Produto]],tProdutos[Produto],0))="",DescontoPadrao,INDEX(tProdutos[Desconto homologado],MATCH(tItens[[#This Row],[Produto]],tProdutos[Produto],0))),DescontoPadrao)</f>
        <v>0.29595946765523801</v>
      </c>
      <c r="M116" s="12">
        <f>tItens[[#This Row],[Valor]]*(1-tItens[[#This Row],[Desconto]])</f>
        <v>63.046829671473446</v>
      </c>
      <c r="N116" t="str">
        <f>IFERROR(INDEX(tProdutos[Foco],MATCH(tItens[[#This Row],[Produto]],tProdutos[Produto],0)),"Não")</f>
        <v>Não</v>
      </c>
      <c r="O116" t="str">
        <f>IFERROR(INDEX(tEditais[SRP],MATCH(tItens[[#This Row],[Edital]],tEditais[Edital],0)),"Não")</f>
        <v>Não</v>
      </c>
      <c r="P116" s="4">
        <f>IF(COUNTIFS(INDEX(tItens[Edital],1):tItens[[#This Row],[Edital]],tItens[[#This Row],[Edital]],INDEX(tItens[Produto],1):tItens[[#This Row],[Produto]],tItens[[#This Row],[Produto]])=1,1,0)</f>
        <v>0</v>
      </c>
    </row>
    <row r="117" spans="1:16" x14ac:dyDescent="0.25">
      <c r="A117" t="s">
        <v>743</v>
      </c>
      <c r="B117">
        <v>132</v>
      </c>
      <c r="C117" t="s">
        <v>3349</v>
      </c>
      <c r="D117" t="s">
        <v>455</v>
      </c>
      <c r="E117" s="13">
        <v>3</v>
      </c>
      <c r="F117" s="12">
        <v>29.85</v>
      </c>
      <c r="G117" t="str">
        <f>IFERROR(INDEX(tEditais[Órgão],MATCH(tItens[[#This Row],[Edital]],tEditais[Edital],0)),"")</f>
        <v>59 BATALHAO DE INFANTARIA MOTORIZADO</v>
      </c>
      <c r="H117" t="str">
        <f>IFERROR(INDEX(tEditais[UF],MATCH(tItens[[#This Row],[Edital]],tEditais[Edital],0)),"")</f>
        <v>AL</v>
      </c>
      <c r="I117" s="11">
        <f>IFERROR(INDEX(tEditais[Encerramento],MATCH(tItens[[#This Row],[Edital]],tEditais[Edital],0)),"")</f>
        <v>46308.375</v>
      </c>
      <c r="J117" t="str">
        <f>IFERROR(INDEX(tProdutos[Classe],MATCH(tItens[[#This Row],[Produto]],tProdutos[Produto],0)),"produto não cadastrado")</f>
        <v>FILA REBASE</v>
      </c>
      <c r="K117" s="12">
        <f>tItens[[#This Row],[Qtd]]*tItens[[#This Row],[Vlr unit]]</f>
        <v>89.550000000000011</v>
      </c>
      <c r="L117" s="6">
        <f>IFERROR(IF(INDEX(tProdutos[Desconto homologado],MATCH(tItens[[#This Row],[Produto]],tProdutos[Produto],0))="",DescontoPadrao,INDEX(tProdutos[Desconto homologado],MATCH(tItens[[#This Row],[Produto]],tProdutos[Produto],0))),DescontoPadrao)</f>
        <v>0.29595946765523801</v>
      </c>
      <c r="M117" s="12">
        <f>tItens[[#This Row],[Valor]]*(1-tItens[[#This Row],[Desconto]])</f>
        <v>63.046829671473446</v>
      </c>
      <c r="N117" t="str">
        <f>IFERROR(INDEX(tProdutos[Foco],MATCH(tItens[[#This Row],[Produto]],tProdutos[Produto],0)),"Não")</f>
        <v>Não</v>
      </c>
      <c r="O117" t="str">
        <f>IFERROR(INDEX(tEditais[SRP],MATCH(tItens[[#This Row],[Edital]],tEditais[Edital],0)),"Não")</f>
        <v>Não</v>
      </c>
      <c r="P117" s="4">
        <f>IF(COUNTIFS(INDEX(tItens[Edital],1):tItens[[#This Row],[Edital]],tItens[[#This Row],[Edital]],INDEX(tItens[Produto],1):tItens[[#This Row],[Produto]],tItens[[#This Row],[Produto]])=1,1,0)</f>
        <v>0</v>
      </c>
    </row>
    <row r="118" spans="1:16" x14ac:dyDescent="0.25">
      <c r="A118" t="s">
        <v>743</v>
      </c>
      <c r="B118">
        <v>133</v>
      </c>
      <c r="C118" t="s">
        <v>3350</v>
      </c>
      <c r="D118" t="s">
        <v>455</v>
      </c>
      <c r="E118" s="13">
        <v>3</v>
      </c>
      <c r="F118" s="12">
        <v>28.95</v>
      </c>
      <c r="G118" t="str">
        <f>IFERROR(INDEX(tEditais[Órgão],MATCH(tItens[[#This Row],[Edital]],tEditais[Edital],0)),"")</f>
        <v>59 BATALHAO DE INFANTARIA MOTORIZADO</v>
      </c>
      <c r="H118" t="str">
        <f>IFERROR(INDEX(tEditais[UF],MATCH(tItens[[#This Row],[Edital]],tEditais[Edital],0)),"")</f>
        <v>AL</v>
      </c>
      <c r="I118" s="11">
        <f>IFERROR(INDEX(tEditais[Encerramento],MATCH(tItens[[#This Row],[Edital]],tEditais[Edital],0)),"")</f>
        <v>46308.375</v>
      </c>
      <c r="J118" t="str">
        <f>IFERROR(INDEX(tProdutos[Classe],MATCH(tItens[[#This Row],[Produto]],tProdutos[Produto],0)),"produto não cadastrado")</f>
        <v>FILA REBASE</v>
      </c>
      <c r="K118" s="12">
        <f>tItens[[#This Row],[Qtd]]*tItens[[#This Row],[Vlr unit]]</f>
        <v>86.85</v>
      </c>
      <c r="L118" s="6">
        <f>IFERROR(IF(INDEX(tProdutos[Desconto homologado],MATCH(tItens[[#This Row],[Produto]],tProdutos[Produto],0))="",DescontoPadrao,INDEX(tProdutos[Desconto homologado],MATCH(tItens[[#This Row],[Produto]],tProdutos[Produto],0))),DescontoPadrao)</f>
        <v>0.29595946765523801</v>
      </c>
      <c r="M118" s="12">
        <f>tItens[[#This Row],[Valor]]*(1-tItens[[#This Row],[Desconto]])</f>
        <v>61.145920234142579</v>
      </c>
      <c r="N118" t="str">
        <f>IFERROR(INDEX(tProdutos[Foco],MATCH(tItens[[#This Row],[Produto]],tProdutos[Produto],0)),"Não")</f>
        <v>Não</v>
      </c>
      <c r="O118" t="str">
        <f>IFERROR(INDEX(tEditais[SRP],MATCH(tItens[[#This Row],[Edital]],tEditais[Edital],0)),"Não")</f>
        <v>Não</v>
      </c>
      <c r="P118" s="4">
        <f>IF(COUNTIFS(INDEX(tItens[Edital],1):tItens[[#This Row],[Edital]],tItens[[#This Row],[Edital]],INDEX(tItens[Produto],1):tItens[[#This Row],[Produto]],tItens[[#This Row],[Produto]])=1,1,0)</f>
        <v>0</v>
      </c>
    </row>
    <row r="119" spans="1:16" x14ac:dyDescent="0.25">
      <c r="A119" t="s">
        <v>743</v>
      </c>
      <c r="B119">
        <v>134</v>
      </c>
      <c r="C119" t="s">
        <v>3351</v>
      </c>
      <c r="D119" t="s">
        <v>455</v>
      </c>
      <c r="E119" s="13">
        <v>3</v>
      </c>
      <c r="F119" s="12">
        <v>26.74</v>
      </c>
      <c r="G119" t="str">
        <f>IFERROR(INDEX(tEditais[Órgão],MATCH(tItens[[#This Row],[Edital]],tEditais[Edital],0)),"")</f>
        <v>59 BATALHAO DE INFANTARIA MOTORIZADO</v>
      </c>
      <c r="H119" t="str">
        <f>IFERROR(INDEX(tEditais[UF],MATCH(tItens[[#This Row],[Edital]],tEditais[Edital],0)),"")</f>
        <v>AL</v>
      </c>
      <c r="I119" s="11">
        <f>IFERROR(INDEX(tEditais[Encerramento],MATCH(tItens[[#This Row],[Edital]],tEditais[Edital],0)),"")</f>
        <v>46308.375</v>
      </c>
      <c r="J119" t="str">
        <f>IFERROR(INDEX(tProdutos[Classe],MATCH(tItens[[#This Row],[Produto]],tProdutos[Produto],0)),"produto não cadastrado")</f>
        <v>FILA REBASE</v>
      </c>
      <c r="K119" s="12">
        <f>tItens[[#This Row],[Qtd]]*tItens[[#This Row],[Vlr unit]]</f>
        <v>80.22</v>
      </c>
      <c r="L119" s="6">
        <f>IFERROR(IF(INDEX(tProdutos[Desconto homologado],MATCH(tItens[[#This Row],[Produto]],tProdutos[Produto],0))="",DescontoPadrao,INDEX(tProdutos[Desconto homologado],MATCH(tItens[[#This Row],[Produto]],tProdutos[Produto],0))),DescontoPadrao)</f>
        <v>0.29595946765523801</v>
      </c>
      <c r="M119" s="12">
        <f>tItens[[#This Row],[Valor]]*(1-tItens[[#This Row],[Desconto]])</f>
        <v>56.478131504696812</v>
      </c>
      <c r="N119" t="str">
        <f>IFERROR(INDEX(tProdutos[Foco],MATCH(tItens[[#This Row],[Produto]],tProdutos[Produto],0)),"Não")</f>
        <v>Não</v>
      </c>
      <c r="O119" t="str">
        <f>IFERROR(INDEX(tEditais[SRP],MATCH(tItens[[#This Row],[Edital]],tEditais[Edital],0)),"Não")</f>
        <v>Não</v>
      </c>
      <c r="P119" s="4">
        <f>IF(COUNTIFS(INDEX(tItens[Edital],1):tItens[[#This Row],[Edital]],tItens[[#This Row],[Edital]],INDEX(tItens[Produto],1):tItens[[#This Row],[Produto]],tItens[[#This Row],[Produto]])=1,1,0)</f>
        <v>0</v>
      </c>
    </row>
    <row r="120" spans="1:16" x14ac:dyDescent="0.25">
      <c r="A120" t="s">
        <v>743</v>
      </c>
      <c r="B120">
        <v>135</v>
      </c>
      <c r="C120" t="s">
        <v>3352</v>
      </c>
      <c r="D120" t="s">
        <v>455</v>
      </c>
      <c r="E120" s="13">
        <v>3</v>
      </c>
      <c r="F120" s="12">
        <v>32.28</v>
      </c>
      <c r="G120" t="str">
        <f>IFERROR(INDEX(tEditais[Órgão],MATCH(tItens[[#This Row],[Edital]],tEditais[Edital],0)),"")</f>
        <v>59 BATALHAO DE INFANTARIA MOTORIZADO</v>
      </c>
      <c r="H120" t="str">
        <f>IFERROR(INDEX(tEditais[UF],MATCH(tItens[[#This Row],[Edital]],tEditais[Edital],0)),"")</f>
        <v>AL</v>
      </c>
      <c r="I120" s="11">
        <f>IFERROR(INDEX(tEditais[Encerramento],MATCH(tItens[[#This Row],[Edital]],tEditais[Edital],0)),"")</f>
        <v>46308.375</v>
      </c>
      <c r="J120" t="str">
        <f>IFERROR(INDEX(tProdutos[Classe],MATCH(tItens[[#This Row],[Produto]],tProdutos[Produto],0)),"produto não cadastrado")</f>
        <v>FILA REBASE</v>
      </c>
      <c r="K120" s="12">
        <f>tItens[[#This Row],[Qtd]]*tItens[[#This Row],[Vlr unit]]</f>
        <v>96.84</v>
      </c>
      <c r="L120" s="6">
        <f>IFERROR(IF(INDEX(tProdutos[Desconto homologado],MATCH(tItens[[#This Row],[Produto]],tProdutos[Produto],0))="",DescontoPadrao,INDEX(tProdutos[Desconto homologado],MATCH(tItens[[#This Row],[Produto]],tProdutos[Produto],0))),DescontoPadrao)</f>
        <v>0.29595946765523801</v>
      </c>
      <c r="M120" s="12">
        <f>tItens[[#This Row],[Valor]]*(1-tItens[[#This Row],[Desconto]])</f>
        <v>68.179285152266758</v>
      </c>
      <c r="N120" t="str">
        <f>IFERROR(INDEX(tProdutos[Foco],MATCH(tItens[[#This Row],[Produto]],tProdutos[Produto],0)),"Não")</f>
        <v>Não</v>
      </c>
      <c r="O120" t="str">
        <f>IFERROR(INDEX(tEditais[SRP],MATCH(tItens[[#This Row],[Edital]],tEditais[Edital],0)),"Não")</f>
        <v>Não</v>
      </c>
      <c r="P120" s="4">
        <f>IF(COUNTIFS(INDEX(tItens[Edital],1):tItens[[#This Row],[Edital]],tItens[[#This Row],[Edital]],INDEX(tItens[Produto],1):tItens[[#This Row],[Produto]],tItens[[#This Row],[Produto]])=1,1,0)</f>
        <v>0</v>
      </c>
    </row>
    <row r="121" spans="1:16" x14ac:dyDescent="0.25">
      <c r="A121" t="s">
        <v>743</v>
      </c>
      <c r="B121">
        <v>136</v>
      </c>
      <c r="C121" t="s">
        <v>3353</v>
      </c>
      <c r="D121" t="s">
        <v>455</v>
      </c>
      <c r="E121" s="13">
        <v>3</v>
      </c>
      <c r="F121" s="12">
        <v>139.61000000000001</v>
      </c>
      <c r="G121" t="str">
        <f>IFERROR(INDEX(tEditais[Órgão],MATCH(tItens[[#This Row],[Edital]],tEditais[Edital],0)),"")</f>
        <v>59 BATALHAO DE INFANTARIA MOTORIZADO</v>
      </c>
      <c r="H121" t="str">
        <f>IFERROR(INDEX(tEditais[UF],MATCH(tItens[[#This Row],[Edital]],tEditais[Edital],0)),"")</f>
        <v>AL</v>
      </c>
      <c r="I121" s="11">
        <f>IFERROR(INDEX(tEditais[Encerramento],MATCH(tItens[[#This Row],[Edital]],tEditais[Edital],0)),"")</f>
        <v>46308.375</v>
      </c>
      <c r="J121" t="str">
        <f>IFERROR(INDEX(tProdutos[Classe],MATCH(tItens[[#This Row],[Produto]],tProdutos[Produto],0)),"produto não cadastrado")</f>
        <v>FILA REBASE</v>
      </c>
      <c r="K121" s="12">
        <f>tItens[[#This Row],[Qtd]]*tItens[[#This Row],[Vlr unit]]</f>
        <v>418.83000000000004</v>
      </c>
      <c r="L121" s="6">
        <f>IFERROR(IF(INDEX(tProdutos[Desconto homologado],MATCH(tItens[[#This Row],[Produto]],tProdutos[Produto],0))="",DescontoPadrao,INDEX(tProdutos[Desconto homologado],MATCH(tItens[[#This Row],[Produto]],tProdutos[Produto],0))),DescontoPadrao)</f>
        <v>0.29595946765523801</v>
      </c>
      <c r="M121" s="12">
        <f>tItens[[#This Row],[Valor]]*(1-tItens[[#This Row],[Desconto]])</f>
        <v>294.87329616195672</v>
      </c>
      <c r="N121" t="str">
        <f>IFERROR(INDEX(tProdutos[Foco],MATCH(tItens[[#This Row],[Produto]],tProdutos[Produto],0)),"Não")</f>
        <v>Não</v>
      </c>
      <c r="O121" t="str">
        <f>IFERROR(INDEX(tEditais[SRP],MATCH(tItens[[#This Row],[Edital]],tEditais[Edital],0)),"Não")</f>
        <v>Não</v>
      </c>
      <c r="P121" s="4">
        <f>IF(COUNTIFS(INDEX(tItens[Edital],1):tItens[[#This Row],[Edital]],tItens[[#This Row],[Edital]],INDEX(tItens[Produto],1):tItens[[#This Row],[Produto]],tItens[[#This Row],[Produto]])=1,1,0)</f>
        <v>0</v>
      </c>
    </row>
    <row r="122" spans="1:16" x14ac:dyDescent="0.25">
      <c r="A122" t="s">
        <v>743</v>
      </c>
      <c r="B122">
        <v>187</v>
      </c>
      <c r="C122" t="s">
        <v>3354</v>
      </c>
      <c r="D122" t="s">
        <v>455</v>
      </c>
      <c r="E122" s="13">
        <v>3</v>
      </c>
      <c r="F122" s="12">
        <v>95.78</v>
      </c>
      <c r="G122" t="str">
        <f>IFERROR(INDEX(tEditais[Órgão],MATCH(tItens[[#This Row],[Edital]],tEditais[Edital],0)),"")</f>
        <v>59 BATALHAO DE INFANTARIA MOTORIZADO</v>
      </c>
      <c r="H122" t="str">
        <f>IFERROR(INDEX(tEditais[UF],MATCH(tItens[[#This Row],[Edital]],tEditais[Edital],0)),"")</f>
        <v>AL</v>
      </c>
      <c r="I122" s="11">
        <f>IFERROR(INDEX(tEditais[Encerramento],MATCH(tItens[[#This Row],[Edital]],tEditais[Edital],0)),"")</f>
        <v>46308.375</v>
      </c>
      <c r="J122" t="str">
        <f>IFERROR(INDEX(tProdutos[Classe],MATCH(tItens[[#This Row],[Produto]],tProdutos[Produto],0)),"produto não cadastrado")</f>
        <v>FILA REBASE</v>
      </c>
      <c r="K122" s="12">
        <f>tItens[[#This Row],[Qtd]]*tItens[[#This Row],[Vlr unit]]</f>
        <v>287.34000000000003</v>
      </c>
      <c r="L122" s="6">
        <f>IFERROR(IF(INDEX(tProdutos[Desconto homologado],MATCH(tItens[[#This Row],[Produto]],tProdutos[Produto],0))="",DescontoPadrao,INDEX(tProdutos[Desconto homologado],MATCH(tItens[[#This Row],[Produto]],tProdutos[Produto],0))),DescontoPadrao)</f>
        <v>0.29595946765523801</v>
      </c>
      <c r="M122" s="12">
        <f>tItens[[#This Row],[Valor]]*(1-tItens[[#This Row],[Desconto]])</f>
        <v>202.29900656394395</v>
      </c>
      <c r="N122" t="str">
        <f>IFERROR(INDEX(tProdutos[Foco],MATCH(tItens[[#This Row],[Produto]],tProdutos[Produto],0)),"Não")</f>
        <v>Não</v>
      </c>
      <c r="O122" t="str">
        <f>IFERROR(INDEX(tEditais[SRP],MATCH(tItens[[#This Row],[Edital]],tEditais[Edital],0)),"Não")</f>
        <v>Não</v>
      </c>
      <c r="P122" s="4">
        <f>IF(COUNTIFS(INDEX(tItens[Edital],1):tItens[[#This Row],[Edital]],tItens[[#This Row],[Edital]],INDEX(tItens[Produto],1):tItens[[#This Row],[Produto]],tItens[[#This Row],[Produto]])=1,1,0)</f>
        <v>0</v>
      </c>
    </row>
    <row r="123" spans="1:16" x14ac:dyDescent="0.25">
      <c r="A123" t="s">
        <v>743</v>
      </c>
      <c r="B123">
        <v>188</v>
      </c>
      <c r="C123" t="s">
        <v>3355</v>
      </c>
      <c r="D123" t="s">
        <v>56</v>
      </c>
      <c r="E123" s="13">
        <v>1</v>
      </c>
      <c r="F123" s="12">
        <v>40.74</v>
      </c>
      <c r="G123" t="str">
        <f>IFERROR(INDEX(tEditais[Órgão],MATCH(tItens[[#This Row],[Edital]],tEditais[Edital],0)),"")</f>
        <v>59 BATALHAO DE INFANTARIA MOTORIZADO</v>
      </c>
      <c r="H123" t="str">
        <f>IFERROR(INDEX(tEditais[UF],MATCH(tItens[[#This Row],[Edital]],tEditais[Edital],0)),"")</f>
        <v>AL</v>
      </c>
      <c r="I123" s="11">
        <f>IFERROR(INDEX(tEditais[Encerramento],MATCH(tItens[[#This Row],[Edital]],tEditais[Edital],0)),"")</f>
        <v>46308.375</v>
      </c>
      <c r="J123" t="str">
        <f>IFERROR(INDEX(tProdutos[Classe],MATCH(tItens[[#This Row],[Produto]],tProdutos[Produto],0)),"produto não cadastrado")</f>
        <v>NÚCLEO</v>
      </c>
      <c r="K123" s="12">
        <f>tItens[[#This Row],[Qtd]]*tItens[[#This Row],[Vlr unit]]</f>
        <v>40.74</v>
      </c>
      <c r="L123" s="6">
        <f>IFERROR(IF(INDEX(tProdutos[Desconto homologado],MATCH(tItens[[#This Row],[Produto]],tProdutos[Produto],0))="",DescontoPadrao,INDEX(tProdutos[Desconto homologado],MATCH(tItens[[#This Row],[Produto]],tProdutos[Produto],0))),DescontoPadrao)</f>
        <v>0.34</v>
      </c>
      <c r="M123" s="12">
        <f>tItens[[#This Row],[Valor]]*(1-tItens[[#This Row],[Desconto]])</f>
        <v>26.888399999999997</v>
      </c>
      <c r="N123" t="str">
        <f>IFERROR(INDEX(tProdutos[Foco],MATCH(tItens[[#This Row],[Produto]],tProdutos[Produto],0)),"Não")</f>
        <v>Sim</v>
      </c>
      <c r="O123" t="str">
        <f>IFERROR(INDEX(tEditais[SRP],MATCH(tItens[[#This Row],[Edital]],tEditais[Edital],0)),"Não")</f>
        <v>Não</v>
      </c>
      <c r="P123" s="4">
        <f>IF(COUNTIFS(INDEX(tItens[Edital],1):tItens[[#This Row],[Edital]],tItens[[#This Row],[Edital]],INDEX(tItens[Produto],1):tItens[[#This Row],[Produto]],tItens[[#This Row],[Produto]])=1,1,0)</f>
        <v>0</v>
      </c>
    </row>
    <row r="124" spans="1:16" x14ac:dyDescent="0.25">
      <c r="A124" t="s">
        <v>747</v>
      </c>
      <c r="B124">
        <v>1</v>
      </c>
      <c r="C124" t="s">
        <v>3356</v>
      </c>
      <c r="D124" t="s">
        <v>245</v>
      </c>
      <c r="E124" s="13">
        <v>690</v>
      </c>
      <c r="F124" s="12">
        <v>0</v>
      </c>
      <c r="G124" t="str">
        <f>IFERROR(INDEX(tEditais[Órgão],MATCH(tItens[[#This Row],[Edital]],tEditais[Edital],0)),"")</f>
        <v>AGENCIA MUNICIPAL DE REGULACAO DE SERVICOS DELEGADOS- ARSER</v>
      </c>
      <c r="H124" t="str">
        <f>IFERROR(INDEX(tEditais[UF],MATCH(tItens[[#This Row],[Edital]],tEditais[Edital],0)),"")</f>
        <v>AL</v>
      </c>
      <c r="I124" s="11">
        <f>IFERROR(INDEX(tEditais[Encerramento],MATCH(tItens[[#This Row],[Edital]],tEditais[Edital],0)),"")</f>
        <v>46309.375</v>
      </c>
      <c r="J124" t="str">
        <f>IFERROR(INDEX(tProdutos[Classe],MATCH(tItens[[#This Row],[Produto]],tProdutos[Produto],0)),"produto não cadastrado")</f>
        <v>FORA</v>
      </c>
      <c r="K124" s="12">
        <f>tItens[[#This Row],[Qtd]]*tItens[[#This Row],[Vlr unit]]</f>
        <v>0</v>
      </c>
      <c r="L124" s="6">
        <f>IFERROR(IF(INDEX(tProdutos[Desconto homologado],MATCH(tItens[[#This Row],[Produto]],tProdutos[Produto],0))="",DescontoPadrao,INDEX(tProdutos[Desconto homologado],MATCH(tItens[[#This Row],[Produto]],tProdutos[Produto],0))),DescontoPadrao)</f>
        <v>0.34516963542284401</v>
      </c>
      <c r="M124" s="12">
        <f>tItens[[#This Row],[Valor]]*(1-tItens[[#This Row],[Desconto]])</f>
        <v>0</v>
      </c>
      <c r="N124" t="str">
        <f>IFERROR(INDEX(tProdutos[Foco],MATCH(tItens[[#This Row],[Produto]],tProdutos[Produto],0)),"Não")</f>
        <v>Não</v>
      </c>
      <c r="O124" t="str">
        <f>IFERROR(INDEX(tEditais[SRP],MATCH(tItens[[#This Row],[Edital]],tEditais[Edital],0)),"Não")</f>
        <v>Não</v>
      </c>
      <c r="P124" s="4">
        <f>IF(COUNTIFS(INDEX(tItens[Edital],1):tItens[[#This Row],[Edital]],tItens[[#This Row],[Edital]],INDEX(tItens[Produto],1):tItens[[#This Row],[Produto]],tItens[[#This Row],[Produto]])=1,1,0)</f>
        <v>1</v>
      </c>
    </row>
    <row r="125" spans="1:16" x14ac:dyDescent="0.25">
      <c r="A125" t="s">
        <v>751</v>
      </c>
      <c r="B125">
        <v>41</v>
      </c>
      <c r="C125" t="s">
        <v>3357</v>
      </c>
      <c r="D125" t="s">
        <v>56</v>
      </c>
      <c r="E125" s="13">
        <v>60</v>
      </c>
      <c r="F125" s="12">
        <v>0</v>
      </c>
      <c r="G125" t="str">
        <f>IFERROR(INDEX(tEditais[Órgão],MATCH(tItens[[#This Row],[Edital]],tEditais[Edital],0)),"")</f>
        <v>FUNDO MUNICIPAL DE SAUDE</v>
      </c>
      <c r="H125" t="str">
        <f>IFERROR(INDEX(tEditais[UF],MATCH(tItens[[#This Row],[Edital]],tEditais[Edital],0)),"")</f>
        <v>AL</v>
      </c>
      <c r="I125" s="11">
        <f>IFERROR(INDEX(tEditais[Encerramento],MATCH(tItens[[#This Row],[Edital]],tEditais[Edital],0)),"")</f>
        <v>46309.375</v>
      </c>
      <c r="J125" t="str">
        <f>IFERROR(INDEX(tProdutos[Classe],MATCH(tItens[[#This Row],[Produto]],tProdutos[Produto],0)),"produto não cadastrado")</f>
        <v>NÚCLEO</v>
      </c>
      <c r="K125" s="12">
        <f>tItens[[#This Row],[Qtd]]*tItens[[#This Row],[Vlr unit]]</f>
        <v>0</v>
      </c>
      <c r="L125" s="6">
        <f>IFERROR(IF(INDEX(tProdutos[Desconto homologado],MATCH(tItens[[#This Row],[Produto]],tProdutos[Produto],0))="",DescontoPadrao,INDEX(tProdutos[Desconto homologado],MATCH(tItens[[#This Row],[Produto]],tProdutos[Produto],0))),DescontoPadrao)</f>
        <v>0.34</v>
      </c>
      <c r="M125" s="12">
        <f>tItens[[#This Row],[Valor]]*(1-tItens[[#This Row],[Desconto]])</f>
        <v>0</v>
      </c>
      <c r="N125" t="str">
        <f>IFERROR(INDEX(tProdutos[Foco],MATCH(tItens[[#This Row],[Produto]],tProdutos[Produto],0)),"Não")</f>
        <v>Sim</v>
      </c>
      <c r="O125" t="str">
        <f>IFERROR(INDEX(tEditais[SRP],MATCH(tItens[[#This Row],[Edital]],tEditais[Edital],0)),"Não")</f>
        <v>Sim</v>
      </c>
      <c r="P125" s="4">
        <f>IF(COUNTIFS(INDEX(tItens[Edital],1):tItens[[#This Row],[Edital]],tItens[[#This Row],[Edital]],INDEX(tItens[Produto],1):tItens[[#This Row],[Produto]],tItens[[#This Row],[Produto]])=1,1,0)</f>
        <v>1</v>
      </c>
    </row>
    <row r="126" spans="1:16" x14ac:dyDescent="0.25">
      <c r="A126" t="s">
        <v>755</v>
      </c>
      <c r="B126">
        <v>9</v>
      </c>
      <c r="C126" t="s">
        <v>3358</v>
      </c>
      <c r="D126" t="s">
        <v>339</v>
      </c>
      <c r="E126" s="13">
        <v>55677</v>
      </c>
      <c r="F126" s="12">
        <v>0</v>
      </c>
      <c r="G126" t="str">
        <f>IFERROR(INDEX(tEditais[Órgão],MATCH(tItens[[#This Row],[Edital]],tEditais[Edital],0)),"")</f>
        <v>AGENCIA MUNICIPAL DE REGULACAO DE SERVICOS DELEGADOS- ARSER</v>
      </c>
      <c r="H126" t="str">
        <f>IFERROR(INDEX(tEditais[UF],MATCH(tItens[[#This Row],[Edital]],tEditais[Edital],0)),"")</f>
        <v>AL</v>
      </c>
      <c r="I126" s="11">
        <f>IFERROR(INDEX(tEditais[Encerramento],MATCH(tItens[[#This Row],[Edital]],tEditais[Edital],0)),"")</f>
        <v>46311.375</v>
      </c>
      <c r="J126" t="str">
        <f>IFERROR(INDEX(tProdutos[Classe],MATCH(tItens[[#This Row],[Produto]],tProdutos[Produto],0)),"produto não cadastrado")</f>
        <v>FORA</v>
      </c>
      <c r="K126" s="12">
        <f>tItens[[#This Row],[Qtd]]*tItens[[#This Row],[Vlr unit]]</f>
        <v>0</v>
      </c>
      <c r="L126" s="6">
        <f>IFERROR(IF(INDEX(tProdutos[Desconto homologado],MATCH(tItens[[#This Row],[Produto]],tProdutos[Produto],0))="",DescontoPadrao,INDEX(tProdutos[Desconto homologado],MATCH(tItens[[#This Row],[Produto]],tProdutos[Produto],0))),DescontoPadrao)</f>
        <v>0.35388629091804102</v>
      </c>
      <c r="M126" s="12">
        <f>tItens[[#This Row],[Valor]]*(1-tItens[[#This Row],[Desconto]])</f>
        <v>0</v>
      </c>
      <c r="N126" t="str">
        <f>IFERROR(INDEX(tProdutos[Foco],MATCH(tItens[[#This Row],[Produto]],tProdutos[Produto],0)),"Não")</f>
        <v>Não</v>
      </c>
      <c r="O126" t="str">
        <f>IFERROR(INDEX(tEditais[SRP],MATCH(tItens[[#This Row],[Edital]],tEditais[Edital],0)),"Não")</f>
        <v>Sim</v>
      </c>
      <c r="P126" s="4">
        <f>IF(COUNTIFS(INDEX(tItens[Edital],1):tItens[[#This Row],[Edital]],tItens[[#This Row],[Edital]],INDEX(tItens[Produto],1):tItens[[#This Row],[Produto]],tItens[[#This Row],[Produto]])=1,1,0)</f>
        <v>1</v>
      </c>
    </row>
    <row r="127" spans="1:16" x14ac:dyDescent="0.25">
      <c r="A127" t="s">
        <v>755</v>
      </c>
      <c r="B127">
        <v>10</v>
      </c>
      <c r="C127" t="s">
        <v>3358</v>
      </c>
      <c r="D127" t="s">
        <v>339</v>
      </c>
      <c r="E127" s="13">
        <v>18558</v>
      </c>
      <c r="F127" s="12">
        <v>0</v>
      </c>
      <c r="G127" t="str">
        <f>IFERROR(INDEX(tEditais[Órgão],MATCH(tItens[[#This Row],[Edital]],tEditais[Edital],0)),"")</f>
        <v>AGENCIA MUNICIPAL DE REGULACAO DE SERVICOS DELEGADOS- ARSER</v>
      </c>
      <c r="H127" t="str">
        <f>IFERROR(INDEX(tEditais[UF],MATCH(tItens[[#This Row],[Edital]],tEditais[Edital],0)),"")</f>
        <v>AL</v>
      </c>
      <c r="I127" s="11">
        <f>IFERROR(INDEX(tEditais[Encerramento],MATCH(tItens[[#This Row],[Edital]],tEditais[Edital],0)),"")</f>
        <v>46311.375</v>
      </c>
      <c r="J127" t="str">
        <f>IFERROR(INDEX(tProdutos[Classe],MATCH(tItens[[#This Row],[Produto]],tProdutos[Produto],0)),"produto não cadastrado")</f>
        <v>FORA</v>
      </c>
      <c r="K127" s="12">
        <f>tItens[[#This Row],[Qtd]]*tItens[[#This Row],[Vlr unit]]</f>
        <v>0</v>
      </c>
      <c r="L127" s="6">
        <f>IFERROR(IF(INDEX(tProdutos[Desconto homologado],MATCH(tItens[[#This Row],[Produto]],tProdutos[Produto],0))="",DescontoPadrao,INDEX(tProdutos[Desconto homologado],MATCH(tItens[[#This Row],[Produto]],tProdutos[Produto],0))),DescontoPadrao)</f>
        <v>0.35388629091804102</v>
      </c>
      <c r="M127" s="12">
        <f>tItens[[#This Row],[Valor]]*(1-tItens[[#This Row],[Desconto]])</f>
        <v>0</v>
      </c>
      <c r="N127" t="str">
        <f>IFERROR(INDEX(tProdutos[Foco],MATCH(tItens[[#This Row],[Produto]],tProdutos[Produto],0)),"Não")</f>
        <v>Não</v>
      </c>
      <c r="O127" t="str">
        <f>IFERROR(INDEX(tEditais[SRP],MATCH(tItens[[#This Row],[Edital]],tEditais[Edital],0)),"Não")</f>
        <v>Sim</v>
      </c>
      <c r="P127" s="4">
        <f>IF(COUNTIFS(INDEX(tItens[Edital],1):tItens[[#This Row],[Edital]],tItens[[#This Row],[Edital]],INDEX(tItens[Produto],1):tItens[[#This Row],[Produto]],tItens[[#This Row],[Produto]])=1,1,0)</f>
        <v>0</v>
      </c>
    </row>
    <row r="128" spans="1:16" x14ac:dyDescent="0.25">
      <c r="A128" t="s">
        <v>758</v>
      </c>
      <c r="B128">
        <v>1</v>
      </c>
      <c r="C128" t="s">
        <v>3359</v>
      </c>
      <c r="D128" t="s">
        <v>339</v>
      </c>
      <c r="E128" s="13">
        <v>16200</v>
      </c>
      <c r="F128" s="12">
        <v>0</v>
      </c>
      <c r="G128" t="str">
        <f>IFERROR(INDEX(tEditais[Órgão],MATCH(tItens[[#This Row],[Edital]],tEditais[Edital],0)),"")</f>
        <v>MUNICIPIO DE CAJUEIRO</v>
      </c>
      <c r="H128" t="str">
        <f>IFERROR(INDEX(tEditais[UF],MATCH(tItens[[#This Row],[Edital]],tEditais[Edital],0)),"")</f>
        <v>AL</v>
      </c>
      <c r="I128" s="11">
        <f>IFERROR(INDEX(tEditais[Encerramento],MATCH(tItens[[#This Row],[Edital]],tEditais[Edital],0)),"")</f>
        <v>46311.416666666664</v>
      </c>
      <c r="J128" t="str">
        <f>IFERROR(INDEX(tProdutos[Classe],MATCH(tItens[[#This Row],[Produto]],tProdutos[Produto],0)),"produto não cadastrado")</f>
        <v>FORA</v>
      </c>
      <c r="K128" s="12">
        <f>tItens[[#This Row],[Qtd]]*tItens[[#This Row],[Vlr unit]]</f>
        <v>0</v>
      </c>
      <c r="L128" s="6">
        <f>IFERROR(IF(INDEX(tProdutos[Desconto homologado],MATCH(tItens[[#This Row],[Produto]],tProdutos[Produto],0))="",DescontoPadrao,INDEX(tProdutos[Desconto homologado],MATCH(tItens[[#This Row],[Produto]],tProdutos[Produto],0))),DescontoPadrao)</f>
        <v>0.35388629091804102</v>
      </c>
      <c r="M128" s="12">
        <f>tItens[[#This Row],[Valor]]*(1-tItens[[#This Row],[Desconto]])</f>
        <v>0</v>
      </c>
      <c r="N128" t="str">
        <f>IFERROR(INDEX(tProdutos[Foco],MATCH(tItens[[#This Row],[Produto]],tProdutos[Produto],0)),"Não")</f>
        <v>Não</v>
      </c>
      <c r="O128" t="str">
        <f>IFERROR(INDEX(tEditais[SRP],MATCH(tItens[[#This Row],[Edital]],tEditais[Edital],0)),"Não")</f>
        <v>Sim</v>
      </c>
      <c r="P128" s="4">
        <f>IF(COUNTIFS(INDEX(tItens[Edital],1):tItens[[#This Row],[Edital]],tItens[[#This Row],[Edital]],INDEX(tItens[Produto],1):tItens[[#This Row],[Produto]],tItens[[#This Row],[Produto]])=1,1,0)</f>
        <v>1</v>
      </c>
    </row>
    <row r="129" spans="1:16" x14ac:dyDescent="0.25">
      <c r="A129" t="s">
        <v>758</v>
      </c>
      <c r="B129">
        <v>2</v>
      </c>
      <c r="C129" t="s">
        <v>3360</v>
      </c>
      <c r="D129" t="s">
        <v>345</v>
      </c>
      <c r="E129" s="13">
        <v>40000</v>
      </c>
      <c r="F129" s="12">
        <v>0</v>
      </c>
      <c r="G129" t="str">
        <f>IFERROR(INDEX(tEditais[Órgão],MATCH(tItens[[#This Row],[Edital]],tEditais[Edital],0)),"")</f>
        <v>MUNICIPIO DE CAJUEIRO</v>
      </c>
      <c r="H129" t="str">
        <f>IFERROR(INDEX(tEditais[UF],MATCH(tItens[[#This Row],[Edital]],tEditais[Edital],0)),"")</f>
        <v>AL</v>
      </c>
      <c r="I129" s="11">
        <f>IFERROR(INDEX(tEditais[Encerramento],MATCH(tItens[[#This Row],[Edital]],tEditais[Edital],0)),"")</f>
        <v>46311.416666666664</v>
      </c>
      <c r="J129" t="str">
        <f>IFERROR(INDEX(tProdutos[Classe],MATCH(tItens[[#This Row],[Produto]],tProdutos[Produto],0)),"produto não cadastrado")</f>
        <v>FORA</v>
      </c>
      <c r="K129" s="12">
        <f>tItens[[#This Row],[Qtd]]*tItens[[#This Row],[Vlr unit]]</f>
        <v>0</v>
      </c>
      <c r="L129" s="6">
        <f>IFERROR(IF(INDEX(tProdutos[Desconto homologado],MATCH(tItens[[#This Row],[Produto]],tProdutos[Produto],0))="",DescontoPadrao,INDEX(tProdutos[Desconto homologado],MATCH(tItens[[#This Row],[Produto]],tProdutos[Produto],0))),DescontoPadrao)</f>
        <v>0.412394275616498</v>
      </c>
      <c r="M129" s="12">
        <f>tItens[[#This Row],[Valor]]*(1-tItens[[#This Row],[Desconto]])</f>
        <v>0</v>
      </c>
      <c r="N129" t="str">
        <f>IFERROR(INDEX(tProdutos[Foco],MATCH(tItens[[#This Row],[Produto]],tProdutos[Produto],0)),"Não")</f>
        <v>Não</v>
      </c>
      <c r="O129" t="str">
        <f>IFERROR(INDEX(tEditais[SRP],MATCH(tItens[[#This Row],[Edital]],tEditais[Edital],0)),"Não")</f>
        <v>Sim</v>
      </c>
      <c r="P129" s="4">
        <f>IF(COUNTIFS(INDEX(tItens[Edital],1):tItens[[#This Row],[Edital]],tItens[[#This Row],[Edital]],INDEX(tItens[Produto],1):tItens[[#This Row],[Produto]],tItens[[#This Row],[Produto]])=1,1,0)</f>
        <v>1</v>
      </c>
    </row>
    <row r="130" spans="1:16" x14ac:dyDescent="0.25">
      <c r="A130" t="s">
        <v>758</v>
      </c>
      <c r="B130">
        <v>3</v>
      </c>
      <c r="C130" t="s">
        <v>3361</v>
      </c>
      <c r="D130" t="s">
        <v>345</v>
      </c>
      <c r="E130" s="13">
        <v>9000</v>
      </c>
      <c r="F130" s="12">
        <v>0</v>
      </c>
      <c r="G130" t="str">
        <f>IFERROR(INDEX(tEditais[Órgão],MATCH(tItens[[#This Row],[Edital]],tEditais[Edital],0)),"")</f>
        <v>MUNICIPIO DE CAJUEIRO</v>
      </c>
      <c r="H130" t="str">
        <f>IFERROR(INDEX(tEditais[UF],MATCH(tItens[[#This Row],[Edital]],tEditais[Edital],0)),"")</f>
        <v>AL</v>
      </c>
      <c r="I130" s="11">
        <f>IFERROR(INDEX(tEditais[Encerramento],MATCH(tItens[[#This Row],[Edital]],tEditais[Edital],0)),"")</f>
        <v>46311.416666666664</v>
      </c>
      <c r="J130" t="str">
        <f>IFERROR(INDEX(tProdutos[Classe],MATCH(tItens[[#This Row],[Produto]],tProdutos[Produto],0)),"produto não cadastrado")</f>
        <v>FORA</v>
      </c>
      <c r="K130" s="12">
        <f>tItens[[#This Row],[Qtd]]*tItens[[#This Row],[Vlr unit]]</f>
        <v>0</v>
      </c>
      <c r="L130" s="6">
        <f>IFERROR(IF(INDEX(tProdutos[Desconto homologado],MATCH(tItens[[#This Row],[Produto]],tProdutos[Produto],0))="",DescontoPadrao,INDEX(tProdutos[Desconto homologado],MATCH(tItens[[#This Row],[Produto]],tProdutos[Produto],0))),DescontoPadrao)</f>
        <v>0.412394275616498</v>
      </c>
      <c r="M130" s="12">
        <f>tItens[[#This Row],[Valor]]*(1-tItens[[#This Row],[Desconto]])</f>
        <v>0</v>
      </c>
      <c r="N130" t="str">
        <f>IFERROR(INDEX(tProdutos[Foco],MATCH(tItens[[#This Row],[Produto]],tProdutos[Produto],0)),"Não")</f>
        <v>Não</v>
      </c>
      <c r="O130" t="str">
        <f>IFERROR(INDEX(tEditais[SRP],MATCH(tItens[[#This Row],[Edital]],tEditais[Edital],0)),"Não")</f>
        <v>Sim</v>
      </c>
      <c r="P130" s="4">
        <f>IF(COUNTIFS(INDEX(tItens[Edital],1):tItens[[#This Row],[Edital]],tItens[[#This Row],[Edital]],INDEX(tItens[Produto],1):tItens[[#This Row],[Produto]],tItens[[#This Row],[Produto]])=1,1,0)</f>
        <v>0</v>
      </c>
    </row>
    <row r="131" spans="1:16" x14ac:dyDescent="0.25">
      <c r="A131" t="s">
        <v>758</v>
      </c>
      <c r="B131">
        <v>4</v>
      </c>
      <c r="C131" t="s">
        <v>3362</v>
      </c>
      <c r="D131" t="s">
        <v>345</v>
      </c>
      <c r="E131" s="13">
        <v>20000</v>
      </c>
      <c r="F131" s="12">
        <v>0</v>
      </c>
      <c r="G131" t="str">
        <f>IFERROR(INDEX(tEditais[Órgão],MATCH(tItens[[#This Row],[Edital]],tEditais[Edital],0)),"")</f>
        <v>MUNICIPIO DE CAJUEIRO</v>
      </c>
      <c r="H131" t="str">
        <f>IFERROR(INDEX(tEditais[UF],MATCH(tItens[[#This Row],[Edital]],tEditais[Edital],0)),"")</f>
        <v>AL</v>
      </c>
      <c r="I131" s="11">
        <f>IFERROR(INDEX(tEditais[Encerramento],MATCH(tItens[[#This Row],[Edital]],tEditais[Edital],0)),"")</f>
        <v>46311.416666666664</v>
      </c>
      <c r="J131" t="str">
        <f>IFERROR(INDEX(tProdutos[Classe],MATCH(tItens[[#This Row],[Produto]],tProdutos[Produto],0)),"produto não cadastrado")</f>
        <v>FORA</v>
      </c>
      <c r="K131" s="12">
        <f>tItens[[#This Row],[Qtd]]*tItens[[#This Row],[Vlr unit]]</f>
        <v>0</v>
      </c>
      <c r="L131" s="6">
        <f>IFERROR(IF(INDEX(tProdutos[Desconto homologado],MATCH(tItens[[#This Row],[Produto]],tProdutos[Produto],0))="",DescontoPadrao,INDEX(tProdutos[Desconto homologado],MATCH(tItens[[#This Row],[Produto]],tProdutos[Produto],0))),DescontoPadrao)</f>
        <v>0.412394275616498</v>
      </c>
      <c r="M131" s="12">
        <f>tItens[[#This Row],[Valor]]*(1-tItens[[#This Row],[Desconto]])</f>
        <v>0</v>
      </c>
      <c r="N131" t="str">
        <f>IFERROR(INDEX(tProdutos[Foco],MATCH(tItens[[#This Row],[Produto]],tProdutos[Produto],0)),"Não")</f>
        <v>Não</v>
      </c>
      <c r="O131" t="str">
        <f>IFERROR(INDEX(tEditais[SRP],MATCH(tItens[[#This Row],[Edital]],tEditais[Edital],0)),"Não")</f>
        <v>Sim</v>
      </c>
      <c r="P131" s="4">
        <f>IF(COUNTIFS(INDEX(tItens[Edital],1):tItens[[#This Row],[Edital]],tItens[[#This Row],[Edital]],INDEX(tItens[Produto],1):tItens[[#This Row],[Produto]],tItens[[#This Row],[Produto]])=1,1,0)</f>
        <v>0</v>
      </c>
    </row>
    <row r="132" spans="1:16" x14ac:dyDescent="0.25">
      <c r="A132" t="s">
        <v>758</v>
      </c>
      <c r="B132">
        <v>5</v>
      </c>
      <c r="C132" t="s">
        <v>3363</v>
      </c>
      <c r="D132" t="s">
        <v>339</v>
      </c>
      <c r="E132" s="13">
        <v>7000</v>
      </c>
      <c r="F132" s="12">
        <v>0</v>
      </c>
      <c r="G132" t="str">
        <f>IFERROR(INDEX(tEditais[Órgão],MATCH(tItens[[#This Row],[Edital]],tEditais[Edital],0)),"")</f>
        <v>MUNICIPIO DE CAJUEIRO</v>
      </c>
      <c r="H132" t="str">
        <f>IFERROR(INDEX(tEditais[UF],MATCH(tItens[[#This Row],[Edital]],tEditais[Edital],0)),"")</f>
        <v>AL</v>
      </c>
      <c r="I132" s="11">
        <f>IFERROR(INDEX(tEditais[Encerramento],MATCH(tItens[[#This Row],[Edital]],tEditais[Edital],0)),"")</f>
        <v>46311.416666666664</v>
      </c>
      <c r="J132" t="str">
        <f>IFERROR(INDEX(tProdutos[Classe],MATCH(tItens[[#This Row],[Produto]],tProdutos[Produto],0)),"produto não cadastrado")</f>
        <v>FORA</v>
      </c>
      <c r="K132" s="12">
        <f>tItens[[#This Row],[Qtd]]*tItens[[#This Row],[Vlr unit]]</f>
        <v>0</v>
      </c>
      <c r="L132" s="6">
        <f>IFERROR(IF(INDEX(tProdutos[Desconto homologado],MATCH(tItens[[#This Row],[Produto]],tProdutos[Produto],0))="",DescontoPadrao,INDEX(tProdutos[Desconto homologado],MATCH(tItens[[#This Row],[Produto]],tProdutos[Produto],0))),DescontoPadrao)</f>
        <v>0.35388629091804102</v>
      </c>
      <c r="M132" s="12">
        <f>tItens[[#This Row],[Valor]]*(1-tItens[[#This Row],[Desconto]])</f>
        <v>0</v>
      </c>
      <c r="N132" t="str">
        <f>IFERROR(INDEX(tProdutos[Foco],MATCH(tItens[[#This Row],[Produto]],tProdutos[Produto],0)),"Não")</f>
        <v>Não</v>
      </c>
      <c r="O132" t="str">
        <f>IFERROR(INDEX(tEditais[SRP],MATCH(tItens[[#This Row],[Edital]],tEditais[Edital],0)),"Não")</f>
        <v>Sim</v>
      </c>
      <c r="P132" s="4">
        <f>IF(COUNTIFS(INDEX(tItens[Edital],1):tItens[[#This Row],[Edital]],tItens[[#This Row],[Edital]],INDEX(tItens[Produto],1):tItens[[#This Row],[Produto]],tItens[[#This Row],[Produto]])=1,1,0)</f>
        <v>0</v>
      </c>
    </row>
    <row r="133" spans="1:16" x14ac:dyDescent="0.25">
      <c r="A133" t="s">
        <v>758</v>
      </c>
      <c r="B133">
        <v>6</v>
      </c>
      <c r="C133" t="s">
        <v>3364</v>
      </c>
      <c r="D133" t="s">
        <v>345</v>
      </c>
      <c r="E133" s="13">
        <v>6000</v>
      </c>
      <c r="F133" s="12">
        <v>0</v>
      </c>
      <c r="G133" t="str">
        <f>IFERROR(INDEX(tEditais[Órgão],MATCH(tItens[[#This Row],[Edital]],tEditais[Edital],0)),"")</f>
        <v>MUNICIPIO DE CAJUEIRO</v>
      </c>
      <c r="H133" t="str">
        <f>IFERROR(INDEX(tEditais[UF],MATCH(tItens[[#This Row],[Edital]],tEditais[Edital],0)),"")</f>
        <v>AL</v>
      </c>
      <c r="I133" s="11">
        <f>IFERROR(INDEX(tEditais[Encerramento],MATCH(tItens[[#This Row],[Edital]],tEditais[Edital],0)),"")</f>
        <v>46311.416666666664</v>
      </c>
      <c r="J133" t="str">
        <f>IFERROR(INDEX(tProdutos[Classe],MATCH(tItens[[#This Row],[Produto]],tProdutos[Produto],0)),"produto não cadastrado")</f>
        <v>FORA</v>
      </c>
      <c r="K133" s="12">
        <f>tItens[[#This Row],[Qtd]]*tItens[[#This Row],[Vlr unit]]</f>
        <v>0</v>
      </c>
      <c r="L133" s="6">
        <f>IFERROR(IF(INDEX(tProdutos[Desconto homologado],MATCH(tItens[[#This Row],[Produto]],tProdutos[Produto],0))="",DescontoPadrao,INDEX(tProdutos[Desconto homologado],MATCH(tItens[[#This Row],[Produto]],tProdutos[Produto],0))),DescontoPadrao)</f>
        <v>0.412394275616498</v>
      </c>
      <c r="M133" s="12">
        <f>tItens[[#This Row],[Valor]]*(1-tItens[[#This Row],[Desconto]])</f>
        <v>0</v>
      </c>
      <c r="N133" t="str">
        <f>IFERROR(INDEX(tProdutos[Foco],MATCH(tItens[[#This Row],[Produto]],tProdutos[Produto],0)),"Não")</f>
        <v>Não</v>
      </c>
      <c r="O133" t="str">
        <f>IFERROR(INDEX(tEditais[SRP],MATCH(tItens[[#This Row],[Edital]],tEditais[Edital],0)),"Não")</f>
        <v>Sim</v>
      </c>
      <c r="P133" s="4">
        <f>IF(COUNTIFS(INDEX(tItens[Edital],1):tItens[[#This Row],[Edital]],tItens[[#This Row],[Edital]],INDEX(tItens[Produto],1):tItens[[#This Row],[Produto]],tItens[[#This Row],[Produto]])=1,1,0)</f>
        <v>0</v>
      </c>
    </row>
    <row r="134" spans="1:16" x14ac:dyDescent="0.25">
      <c r="A134" t="s">
        <v>758</v>
      </c>
      <c r="B134">
        <v>7</v>
      </c>
      <c r="C134" t="s">
        <v>3359</v>
      </c>
      <c r="D134" t="s">
        <v>339</v>
      </c>
      <c r="E134" s="13">
        <v>5400</v>
      </c>
      <c r="F134" s="12">
        <v>0</v>
      </c>
      <c r="G134" t="str">
        <f>IFERROR(INDEX(tEditais[Órgão],MATCH(tItens[[#This Row],[Edital]],tEditais[Edital],0)),"")</f>
        <v>MUNICIPIO DE CAJUEIRO</v>
      </c>
      <c r="H134" t="str">
        <f>IFERROR(INDEX(tEditais[UF],MATCH(tItens[[#This Row],[Edital]],tEditais[Edital],0)),"")</f>
        <v>AL</v>
      </c>
      <c r="I134" s="11">
        <f>IFERROR(INDEX(tEditais[Encerramento],MATCH(tItens[[#This Row],[Edital]],tEditais[Edital],0)),"")</f>
        <v>46311.416666666664</v>
      </c>
      <c r="J134" t="str">
        <f>IFERROR(INDEX(tProdutos[Classe],MATCH(tItens[[#This Row],[Produto]],tProdutos[Produto],0)),"produto não cadastrado")</f>
        <v>FORA</v>
      </c>
      <c r="K134" s="12">
        <f>tItens[[#This Row],[Qtd]]*tItens[[#This Row],[Vlr unit]]</f>
        <v>0</v>
      </c>
      <c r="L134" s="6">
        <f>IFERROR(IF(INDEX(tProdutos[Desconto homologado],MATCH(tItens[[#This Row],[Produto]],tProdutos[Produto],0))="",DescontoPadrao,INDEX(tProdutos[Desconto homologado],MATCH(tItens[[#This Row],[Produto]],tProdutos[Produto],0))),DescontoPadrao)</f>
        <v>0.35388629091804102</v>
      </c>
      <c r="M134" s="12">
        <f>tItens[[#This Row],[Valor]]*(1-tItens[[#This Row],[Desconto]])</f>
        <v>0</v>
      </c>
      <c r="N134" t="str">
        <f>IFERROR(INDEX(tProdutos[Foco],MATCH(tItens[[#This Row],[Produto]],tProdutos[Produto],0)),"Não")</f>
        <v>Não</v>
      </c>
      <c r="O134" t="str">
        <f>IFERROR(INDEX(tEditais[SRP],MATCH(tItens[[#This Row],[Edital]],tEditais[Edital],0)),"Não")</f>
        <v>Sim</v>
      </c>
      <c r="P134" s="4">
        <f>IF(COUNTIFS(INDEX(tItens[Edital],1):tItens[[#This Row],[Edital]],tItens[[#This Row],[Edital]],INDEX(tItens[Produto],1):tItens[[#This Row],[Produto]],tItens[[#This Row],[Produto]])=1,1,0)</f>
        <v>0</v>
      </c>
    </row>
    <row r="135" spans="1:16" x14ac:dyDescent="0.25">
      <c r="A135" t="s">
        <v>758</v>
      </c>
      <c r="B135">
        <v>8</v>
      </c>
      <c r="C135" t="s">
        <v>3360</v>
      </c>
      <c r="D135" t="s">
        <v>345</v>
      </c>
      <c r="E135" s="13">
        <v>11850</v>
      </c>
      <c r="F135" s="12">
        <v>0</v>
      </c>
      <c r="G135" t="str">
        <f>IFERROR(INDEX(tEditais[Órgão],MATCH(tItens[[#This Row],[Edital]],tEditais[Edital],0)),"")</f>
        <v>MUNICIPIO DE CAJUEIRO</v>
      </c>
      <c r="H135" t="str">
        <f>IFERROR(INDEX(tEditais[UF],MATCH(tItens[[#This Row],[Edital]],tEditais[Edital],0)),"")</f>
        <v>AL</v>
      </c>
      <c r="I135" s="11">
        <f>IFERROR(INDEX(tEditais[Encerramento],MATCH(tItens[[#This Row],[Edital]],tEditais[Edital],0)),"")</f>
        <v>46311.416666666664</v>
      </c>
      <c r="J135" t="str">
        <f>IFERROR(INDEX(tProdutos[Classe],MATCH(tItens[[#This Row],[Produto]],tProdutos[Produto],0)),"produto não cadastrado")</f>
        <v>FORA</v>
      </c>
      <c r="K135" s="12">
        <f>tItens[[#This Row],[Qtd]]*tItens[[#This Row],[Vlr unit]]</f>
        <v>0</v>
      </c>
      <c r="L135" s="6">
        <f>IFERROR(IF(INDEX(tProdutos[Desconto homologado],MATCH(tItens[[#This Row],[Produto]],tProdutos[Produto],0))="",DescontoPadrao,INDEX(tProdutos[Desconto homologado],MATCH(tItens[[#This Row],[Produto]],tProdutos[Produto],0))),DescontoPadrao)</f>
        <v>0.412394275616498</v>
      </c>
      <c r="M135" s="12">
        <f>tItens[[#This Row],[Valor]]*(1-tItens[[#This Row],[Desconto]])</f>
        <v>0</v>
      </c>
      <c r="N135" t="str">
        <f>IFERROR(INDEX(tProdutos[Foco],MATCH(tItens[[#This Row],[Produto]],tProdutos[Produto],0)),"Não")</f>
        <v>Não</v>
      </c>
      <c r="O135" t="str">
        <f>IFERROR(INDEX(tEditais[SRP],MATCH(tItens[[#This Row],[Edital]],tEditais[Edital],0)),"Não")</f>
        <v>Sim</v>
      </c>
      <c r="P135" s="4">
        <f>IF(COUNTIFS(INDEX(tItens[Edital],1):tItens[[#This Row],[Edital]],tItens[[#This Row],[Edital]],INDEX(tItens[Produto],1):tItens[[#This Row],[Produto]],tItens[[#This Row],[Produto]])=1,1,0)</f>
        <v>0</v>
      </c>
    </row>
    <row r="136" spans="1:16" x14ac:dyDescent="0.25">
      <c r="A136" t="s">
        <v>758</v>
      </c>
      <c r="B136">
        <v>9</v>
      </c>
      <c r="C136" t="s">
        <v>3361</v>
      </c>
      <c r="D136" t="s">
        <v>345</v>
      </c>
      <c r="E136" s="13">
        <v>3000</v>
      </c>
      <c r="F136" s="12">
        <v>0</v>
      </c>
      <c r="G136" t="str">
        <f>IFERROR(INDEX(tEditais[Órgão],MATCH(tItens[[#This Row],[Edital]],tEditais[Edital],0)),"")</f>
        <v>MUNICIPIO DE CAJUEIRO</v>
      </c>
      <c r="H136" t="str">
        <f>IFERROR(INDEX(tEditais[UF],MATCH(tItens[[#This Row],[Edital]],tEditais[Edital],0)),"")</f>
        <v>AL</v>
      </c>
      <c r="I136" s="11">
        <f>IFERROR(INDEX(tEditais[Encerramento],MATCH(tItens[[#This Row],[Edital]],tEditais[Edital],0)),"")</f>
        <v>46311.416666666664</v>
      </c>
      <c r="J136" t="str">
        <f>IFERROR(INDEX(tProdutos[Classe],MATCH(tItens[[#This Row],[Produto]],tProdutos[Produto],0)),"produto não cadastrado")</f>
        <v>FORA</v>
      </c>
      <c r="K136" s="12">
        <f>tItens[[#This Row],[Qtd]]*tItens[[#This Row],[Vlr unit]]</f>
        <v>0</v>
      </c>
      <c r="L136" s="6">
        <f>IFERROR(IF(INDEX(tProdutos[Desconto homologado],MATCH(tItens[[#This Row],[Produto]],tProdutos[Produto],0))="",DescontoPadrao,INDEX(tProdutos[Desconto homologado],MATCH(tItens[[#This Row],[Produto]],tProdutos[Produto],0))),DescontoPadrao)</f>
        <v>0.412394275616498</v>
      </c>
      <c r="M136" s="12">
        <f>tItens[[#This Row],[Valor]]*(1-tItens[[#This Row],[Desconto]])</f>
        <v>0</v>
      </c>
      <c r="N136" t="str">
        <f>IFERROR(INDEX(tProdutos[Foco],MATCH(tItens[[#This Row],[Produto]],tProdutos[Produto],0)),"Não")</f>
        <v>Não</v>
      </c>
      <c r="O136" t="str">
        <f>IFERROR(INDEX(tEditais[SRP],MATCH(tItens[[#This Row],[Edital]],tEditais[Edital],0)),"Não")</f>
        <v>Sim</v>
      </c>
      <c r="P136" s="4">
        <f>IF(COUNTIFS(INDEX(tItens[Edital],1):tItens[[#This Row],[Edital]],tItens[[#This Row],[Edital]],INDEX(tItens[Produto],1):tItens[[#This Row],[Produto]],tItens[[#This Row],[Produto]])=1,1,0)</f>
        <v>0</v>
      </c>
    </row>
    <row r="137" spans="1:16" x14ac:dyDescent="0.25">
      <c r="A137" t="s">
        <v>758</v>
      </c>
      <c r="B137">
        <v>10</v>
      </c>
      <c r="C137" t="s">
        <v>3362</v>
      </c>
      <c r="D137" t="s">
        <v>345</v>
      </c>
      <c r="E137" s="13">
        <v>6150</v>
      </c>
      <c r="F137" s="12">
        <v>0</v>
      </c>
      <c r="G137" t="str">
        <f>IFERROR(INDEX(tEditais[Órgão],MATCH(tItens[[#This Row],[Edital]],tEditais[Edital],0)),"")</f>
        <v>MUNICIPIO DE CAJUEIRO</v>
      </c>
      <c r="H137" t="str">
        <f>IFERROR(INDEX(tEditais[UF],MATCH(tItens[[#This Row],[Edital]],tEditais[Edital],0)),"")</f>
        <v>AL</v>
      </c>
      <c r="I137" s="11">
        <f>IFERROR(INDEX(tEditais[Encerramento],MATCH(tItens[[#This Row],[Edital]],tEditais[Edital],0)),"")</f>
        <v>46311.416666666664</v>
      </c>
      <c r="J137" t="str">
        <f>IFERROR(INDEX(tProdutos[Classe],MATCH(tItens[[#This Row],[Produto]],tProdutos[Produto],0)),"produto não cadastrado")</f>
        <v>FORA</v>
      </c>
      <c r="K137" s="12">
        <f>tItens[[#This Row],[Qtd]]*tItens[[#This Row],[Vlr unit]]</f>
        <v>0</v>
      </c>
      <c r="L137" s="6">
        <f>IFERROR(IF(INDEX(tProdutos[Desconto homologado],MATCH(tItens[[#This Row],[Produto]],tProdutos[Produto],0))="",DescontoPadrao,INDEX(tProdutos[Desconto homologado],MATCH(tItens[[#This Row],[Produto]],tProdutos[Produto],0))),DescontoPadrao)</f>
        <v>0.412394275616498</v>
      </c>
      <c r="M137" s="12">
        <f>tItens[[#This Row],[Valor]]*(1-tItens[[#This Row],[Desconto]])</f>
        <v>0</v>
      </c>
      <c r="N137" t="str">
        <f>IFERROR(INDEX(tProdutos[Foco],MATCH(tItens[[#This Row],[Produto]],tProdutos[Produto],0)),"Não")</f>
        <v>Não</v>
      </c>
      <c r="O137" t="str">
        <f>IFERROR(INDEX(tEditais[SRP],MATCH(tItens[[#This Row],[Edital]],tEditais[Edital],0)),"Não")</f>
        <v>Sim</v>
      </c>
      <c r="P137" s="4">
        <f>IF(COUNTIFS(INDEX(tItens[Edital],1):tItens[[#This Row],[Edital]],tItens[[#This Row],[Edital]],INDEX(tItens[Produto],1):tItens[[#This Row],[Produto]],tItens[[#This Row],[Produto]])=1,1,0)</f>
        <v>0</v>
      </c>
    </row>
    <row r="138" spans="1:16" x14ac:dyDescent="0.25">
      <c r="A138" t="s">
        <v>758</v>
      </c>
      <c r="B138">
        <v>11</v>
      </c>
      <c r="C138" t="s">
        <v>3363</v>
      </c>
      <c r="D138" t="s">
        <v>339</v>
      </c>
      <c r="E138" s="13">
        <v>2000</v>
      </c>
      <c r="F138" s="12">
        <v>0</v>
      </c>
      <c r="G138" t="str">
        <f>IFERROR(INDEX(tEditais[Órgão],MATCH(tItens[[#This Row],[Edital]],tEditais[Edital],0)),"")</f>
        <v>MUNICIPIO DE CAJUEIRO</v>
      </c>
      <c r="H138" t="str">
        <f>IFERROR(INDEX(tEditais[UF],MATCH(tItens[[#This Row],[Edital]],tEditais[Edital],0)),"")</f>
        <v>AL</v>
      </c>
      <c r="I138" s="11">
        <f>IFERROR(INDEX(tEditais[Encerramento],MATCH(tItens[[#This Row],[Edital]],tEditais[Edital],0)),"")</f>
        <v>46311.416666666664</v>
      </c>
      <c r="J138" t="str">
        <f>IFERROR(INDEX(tProdutos[Classe],MATCH(tItens[[#This Row],[Produto]],tProdutos[Produto],0)),"produto não cadastrado")</f>
        <v>FORA</v>
      </c>
      <c r="K138" s="12">
        <f>tItens[[#This Row],[Qtd]]*tItens[[#This Row],[Vlr unit]]</f>
        <v>0</v>
      </c>
      <c r="L138" s="6">
        <f>IFERROR(IF(INDEX(tProdutos[Desconto homologado],MATCH(tItens[[#This Row],[Produto]],tProdutos[Produto],0))="",DescontoPadrao,INDEX(tProdutos[Desconto homologado],MATCH(tItens[[#This Row],[Produto]],tProdutos[Produto],0))),DescontoPadrao)</f>
        <v>0.35388629091804102</v>
      </c>
      <c r="M138" s="12">
        <f>tItens[[#This Row],[Valor]]*(1-tItens[[#This Row],[Desconto]])</f>
        <v>0</v>
      </c>
      <c r="N138" t="str">
        <f>IFERROR(INDEX(tProdutos[Foco],MATCH(tItens[[#This Row],[Produto]],tProdutos[Produto],0)),"Não")</f>
        <v>Não</v>
      </c>
      <c r="O138" t="str">
        <f>IFERROR(INDEX(tEditais[SRP],MATCH(tItens[[#This Row],[Edital]],tEditais[Edital],0)),"Não")</f>
        <v>Sim</v>
      </c>
      <c r="P138" s="4">
        <f>IF(COUNTIFS(INDEX(tItens[Edital],1):tItens[[#This Row],[Edital]],tItens[[#This Row],[Edital]],INDEX(tItens[Produto],1):tItens[[#This Row],[Produto]],tItens[[#This Row],[Produto]])=1,1,0)</f>
        <v>0</v>
      </c>
    </row>
    <row r="139" spans="1:16" x14ac:dyDescent="0.25">
      <c r="A139" t="s">
        <v>758</v>
      </c>
      <c r="B139">
        <v>12</v>
      </c>
      <c r="C139" t="s">
        <v>3364</v>
      </c>
      <c r="D139" t="s">
        <v>345</v>
      </c>
      <c r="E139" s="13">
        <v>1000</v>
      </c>
      <c r="F139" s="12">
        <v>0</v>
      </c>
      <c r="G139" t="str">
        <f>IFERROR(INDEX(tEditais[Órgão],MATCH(tItens[[#This Row],[Edital]],tEditais[Edital],0)),"")</f>
        <v>MUNICIPIO DE CAJUEIRO</v>
      </c>
      <c r="H139" t="str">
        <f>IFERROR(INDEX(tEditais[UF],MATCH(tItens[[#This Row],[Edital]],tEditais[Edital],0)),"")</f>
        <v>AL</v>
      </c>
      <c r="I139" s="11">
        <f>IFERROR(INDEX(tEditais[Encerramento],MATCH(tItens[[#This Row],[Edital]],tEditais[Edital],0)),"")</f>
        <v>46311.416666666664</v>
      </c>
      <c r="J139" t="str">
        <f>IFERROR(INDEX(tProdutos[Classe],MATCH(tItens[[#This Row],[Produto]],tProdutos[Produto],0)),"produto não cadastrado")</f>
        <v>FORA</v>
      </c>
      <c r="K139" s="12">
        <f>tItens[[#This Row],[Qtd]]*tItens[[#This Row],[Vlr unit]]</f>
        <v>0</v>
      </c>
      <c r="L139" s="6">
        <f>IFERROR(IF(INDEX(tProdutos[Desconto homologado],MATCH(tItens[[#This Row],[Produto]],tProdutos[Produto],0))="",DescontoPadrao,INDEX(tProdutos[Desconto homologado],MATCH(tItens[[#This Row],[Produto]],tProdutos[Produto],0))),DescontoPadrao)</f>
        <v>0.412394275616498</v>
      </c>
      <c r="M139" s="12">
        <f>tItens[[#This Row],[Valor]]*(1-tItens[[#This Row],[Desconto]])</f>
        <v>0</v>
      </c>
      <c r="N139" t="str">
        <f>IFERROR(INDEX(tProdutos[Foco],MATCH(tItens[[#This Row],[Produto]],tProdutos[Produto],0)),"Não")</f>
        <v>Não</v>
      </c>
      <c r="O139" t="str">
        <f>IFERROR(INDEX(tEditais[SRP],MATCH(tItens[[#This Row],[Edital]],tEditais[Edital],0)),"Não")</f>
        <v>Sim</v>
      </c>
      <c r="P139" s="4">
        <f>IF(COUNTIFS(INDEX(tItens[Edital],1):tItens[[#This Row],[Edital]],tItens[[#This Row],[Edital]],INDEX(tItens[Produto],1):tItens[[#This Row],[Produto]],tItens[[#This Row],[Produto]])=1,1,0)</f>
        <v>0</v>
      </c>
    </row>
    <row r="140" spans="1:16" x14ac:dyDescent="0.25">
      <c r="A140" t="s">
        <v>763</v>
      </c>
      <c r="B140">
        <v>9</v>
      </c>
      <c r="C140" t="s">
        <v>3365</v>
      </c>
      <c r="D140" t="s">
        <v>160</v>
      </c>
      <c r="E140" s="13">
        <v>7600</v>
      </c>
      <c r="F140" s="12">
        <v>0</v>
      </c>
      <c r="G140" t="str">
        <f>IFERROR(INDEX(tEditais[Órgão],MATCH(tItens[[#This Row],[Edital]],tEditais[Edital],0)),"")</f>
        <v>AGENCIA MUNICIPAL DE REGULACAO DE SERVICOS DELEGADOS- ARSER</v>
      </c>
      <c r="H140" t="str">
        <f>IFERROR(INDEX(tEditais[UF],MATCH(tItens[[#This Row],[Edital]],tEditais[Edital],0)),"")</f>
        <v>AL</v>
      </c>
      <c r="I140" s="11">
        <f>IFERROR(INDEX(tEditais[Encerramento],MATCH(tItens[[#This Row],[Edital]],tEditais[Edital],0)),"")</f>
        <v>46314.375</v>
      </c>
      <c r="J140" t="str">
        <f>IFERROR(INDEX(tProdutos[Classe],MATCH(tItens[[#This Row],[Produto]],tProdutos[Produto],0)),"produto não cadastrado")</f>
        <v>DISPUTADO</v>
      </c>
      <c r="K140" s="12">
        <f>tItens[[#This Row],[Qtd]]*tItens[[#This Row],[Vlr unit]]</f>
        <v>0</v>
      </c>
      <c r="L140" s="6">
        <f>IFERROR(IF(INDEX(tProdutos[Desconto homologado],MATCH(tItens[[#This Row],[Produto]],tProdutos[Produto],0))="",DescontoPadrao,INDEX(tProdutos[Desconto homologado],MATCH(tItens[[#This Row],[Produto]],tProdutos[Produto],0))),DescontoPadrao)</f>
        <v>0.28000000000000003</v>
      </c>
      <c r="M140" s="12">
        <f>tItens[[#This Row],[Valor]]*(1-tItens[[#This Row],[Desconto]])</f>
        <v>0</v>
      </c>
      <c r="N140" t="str">
        <f>IFERROR(INDEX(tProdutos[Foco],MATCH(tItens[[#This Row],[Produto]],tProdutos[Produto],0)),"Não")</f>
        <v>Sim</v>
      </c>
      <c r="O140" t="str">
        <f>IFERROR(INDEX(tEditais[SRP],MATCH(tItens[[#This Row],[Edital]],tEditais[Edital],0)),"Não")</f>
        <v>Sim</v>
      </c>
      <c r="P140" s="4">
        <f>IF(COUNTIFS(INDEX(tItens[Edital],1):tItens[[#This Row],[Edital]],tItens[[#This Row],[Edital]],INDEX(tItens[Produto],1):tItens[[#This Row],[Produto]],tItens[[#This Row],[Produto]])=1,1,0)</f>
        <v>1</v>
      </c>
    </row>
    <row r="141" spans="1:16" x14ac:dyDescent="0.25">
      <c r="A141" t="s">
        <v>763</v>
      </c>
      <c r="B141">
        <v>10</v>
      </c>
      <c r="C141" t="s">
        <v>3366</v>
      </c>
      <c r="D141" t="s">
        <v>221</v>
      </c>
      <c r="E141" s="13">
        <v>5800</v>
      </c>
      <c r="F141" s="12">
        <v>0</v>
      </c>
      <c r="G141" t="str">
        <f>IFERROR(INDEX(tEditais[Órgão],MATCH(tItens[[#This Row],[Edital]],tEditais[Edital],0)),"")</f>
        <v>AGENCIA MUNICIPAL DE REGULACAO DE SERVICOS DELEGADOS- ARSER</v>
      </c>
      <c r="H141" t="str">
        <f>IFERROR(INDEX(tEditais[UF],MATCH(tItens[[#This Row],[Edital]],tEditais[Edital],0)),"")</f>
        <v>AL</v>
      </c>
      <c r="I141" s="11">
        <f>IFERROR(INDEX(tEditais[Encerramento],MATCH(tItens[[#This Row],[Edital]],tEditais[Edital],0)),"")</f>
        <v>46314.375</v>
      </c>
      <c r="J141" t="str">
        <f>IFERROR(INDEX(tProdutos[Classe],MATCH(tItens[[#This Row],[Produto]],tProdutos[Produto],0)),"produto não cadastrado")</f>
        <v>FORA</v>
      </c>
      <c r="K141" s="12">
        <f>tItens[[#This Row],[Qtd]]*tItens[[#This Row],[Vlr unit]]</f>
        <v>0</v>
      </c>
      <c r="L141" s="6">
        <f>IFERROR(IF(INDEX(tProdutos[Desconto homologado],MATCH(tItens[[#This Row],[Produto]],tProdutos[Produto],0))="",DescontoPadrao,INDEX(tProdutos[Desconto homologado],MATCH(tItens[[#This Row],[Produto]],tProdutos[Produto],0))),DescontoPadrao)</f>
        <v>0.35408560311283999</v>
      </c>
      <c r="M141" s="12">
        <f>tItens[[#This Row],[Valor]]*(1-tItens[[#This Row],[Desconto]])</f>
        <v>0</v>
      </c>
      <c r="N141" t="str">
        <f>IFERROR(INDEX(tProdutos[Foco],MATCH(tItens[[#This Row],[Produto]],tProdutos[Produto],0)),"Não")</f>
        <v>Não</v>
      </c>
      <c r="O141" t="str">
        <f>IFERROR(INDEX(tEditais[SRP],MATCH(tItens[[#This Row],[Edital]],tEditais[Edital],0)),"Não")</f>
        <v>Sim</v>
      </c>
      <c r="P141" s="4">
        <f>IF(COUNTIFS(INDEX(tItens[Edital],1):tItens[[#This Row],[Edital]],tItens[[#This Row],[Edital]],INDEX(tItens[Produto],1):tItens[[#This Row],[Produto]],tItens[[#This Row],[Produto]])=1,1,0)</f>
        <v>1</v>
      </c>
    </row>
    <row r="142" spans="1:16" x14ac:dyDescent="0.25">
      <c r="A142" t="s">
        <v>763</v>
      </c>
      <c r="B142">
        <v>11</v>
      </c>
      <c r="C142" t="s">
        <v>3367</v>
      </c>
      <c r="D142" t="s">
        <v>221</v>
      </c>
      <c r="E142" s="13">
        <v>3900</v>
      </c>
      <c r="F142" s="12">
        <v>0</v>
      </c>
      <c r="G142" t="str">
        <f>IFERROR(INDEX(tEditais[Órgão],MATCH(tItens[[#This Row],[Edital]],tEditais[Edital],0)),"")</f>
        <v>AGENCIA MUNICIPAL DE REGULACAO DE SERVICOS DELEGADOS- ARSER</v>
      </c>
      <c r="H142" t="str">
        <f>IFERROR(INDEX(tEditais[UF],MATCH(tItens[[#This Row],[Edital]],tEditais[Edital],0)),"")</f>
        <v>AL</v>
      </c>
      <c r="I142" s="11">
        <f>IFERROR(INDEX(tEditais[Encerramento],MATCH(tItens[[#This Row],[Edital]],tEditais[Edital],0)),"")</f>
        <v>46314.375</v>
      </c>
      <c r="J142" t="str">
        <f>IFERROR(INDEX(tProdutos[Classe],MATCH(tItens[[#This Row],[Produto]],tProdutos[Produto],0)),"produto não cadastrado")</f>
        <v>FORA</v>
      </c>
      <c r="K142" s="12">
        <f>tItens[[#This Row],[Qtd]]*tItens[[#This Row],[Vlr unit]]</f>
        <v>0</v>
      </c>
      <c r="L142" s="6">
        <f>IFERROR(IF(INDEX(tProdutos[Desconto homologado],MATCH(tItens[[#This Row],[Produto]],tProdutos[Produto],0))="",DescontoPadrao,INDEX(tProdutos[Desconto homologado],MATCH(tItens[[#This Row],[Produto]],tProdutos[Produto],0))),DescontoPadrao)</f>
        <v>0.35408560311283999</v>
      </c>
      <c r="M142" s="12">
        <f>tItens[[#This Row],[Valor]]*(1-tItens[[#This Row],[Desconto]])</f>
        <v>0</v>
      </c>
      <c r="N142" t="str">
        <f>IFERROR(INDEX(tProdutos[Foco],MATCH(tItens[[#This Row],[Produto]],tProdutos[Produto],0)),"Não")</f>
        <v>Não</v>
      </c>
      <c r="O142" t="str">
        <f>IFERROR(INDEX(tEditais[SRP],MATCH(tItens[[#This Row],[Edital]],tEditais[Edital],0)),"Não")</f>
        <v>Sim</v>
      </c>
      <c r="P142" s="4">
        <f>IF(COUNTIFS(INDEX(tItens[Edital],1):tItens[[#This Row],[Edital]],tItens[[#This Row],[Edital]],INDEX(tItens[Produto],1):tItens[[#This Row],[Produto]],tItens[[#This Row],[Produto]])=1,1,0)</f>
        <v>0</v>
      </c>
    </row>
    <row r="143" spans="1:16" x14ac:dyDescent="0.25">
      <c r="A143" t="s">
        <v>763</v>
      </c>
      <c r="B143">
        <v>27</v>
      </c>
      <c r="C143" t="s">
        <v>3368</v>
      </c>
      <c r="D143" t="s">
        <v>75</v>
      </c>
      <c r="E143" s="13">
        <v>36300</v>
      </c>
      <c r="F143" s="12">
        <v>0</v>
      </c>
      <c r="G143" t="str">
        <f>IFERROR(INDEX(tEditais[Órgão],MATCH(tItens[[#This Row],[Edital]],tEditais[Edital],0)),"")</f>
        <v>AGENCIA MUNICIPAL DE REGULACAO DE SERVICOS DELEGADOS- ARSER</v>
      </c>
      <c r="H143" t="str">
        <f>IFERROR(INDEX(tEditais[UF],MATCH(tItens[[#This Row],[Edital]],tEditais[Edital],0)),"")</f>
        <v>AL</v>
      </c>
      <c r="I143" s="11">
        <f>IFERROR(INDEX(tEditais[Encerramento],MATCH(tItens[[#This Row],[Edital]],tEditais[Edital],0)),"")</f>
        <v>46314.375</v>
      </c>
      <c r="J143" t="str">
        <f>IFERROR(INDEX(tProdutos[Classe],MATCH(tItens[[#This Row],[Produto]],tProdutos[Produto],0)),"produto não cadastrado")</f>
        <v>NÚCLEO</v>
      </c>
      <c r="K143" s="12">
        <f>tItens[[#This Row],[Qtd]]*tItens[[#This Row],[Vlr unit]]</f>
        <v>0</v>
      </c>
      <c r="L143" s="6">
        <f>IFERROR(IF(INDEX(tProdutos[Desconto homologado],MATCH(tItens[[#This Row],[Produto]],tProdutos[Produto],0))="",DescontoPadrao,INDEX(tProdutos[Desconto homologado],MATCH(tItens[[#This Row],[Produto]],tProdutos[Produto],0))),DescontoPadrao)</f>
        <v>0.26</v>
      </c>
      <c r="M143" s="12">
        <f>tItens[[#This Row],[Valor]]*(1-tItens[[#This Row],[Desconto]])</f>
        <v>0</v>
      </c>
      <c r="N143" t="str">
        <f>IFERROR(INDEX(tProdutos[Foco],MATCH(tItens[[#This Row],[Produto]],tProdutos[Produto],0)),"Não")</f>
        <v>Sim</v>
      </c>
      <c r="O143" t="str">
        <f>IFERROR(INDEX(tEditais[SRP],MATCH(tItens[[#This Row],[Edital]],tEditais[Edital],0)),"Não")</f>
        <v>Sim</v>
      </c>
      <c r="P143" s="4">
        <f>IF(COUNTIFS(INDEX(tItens[Edital],1):tItens[[#This Row],[Edital]],tItens[[#This Row],[Edital]],INDEX(tItens[Produto],1):tItens[[#This Row],[Produto]],tItens[[#This Row],[Produto]])=1,1,0)</f>
        <v>1</v>
      </c>
    </row>
    <row r="144" spans="1:16" x14ac:dyDescent="0.25">
      <c r="A144" t="s">
        <v>763</v>
      </c>
      <c r="B144">
        <v>28</v>
      </c>
      <c r="C144" t="s">
        <v>3369</v>
      </c>
      <c r="D144" t="s">
        <v>75</v>
      </c>
      <c r="E144" s="13">
        <v>27500</v>
      </c>
      <c r="F144" s="12">
        <v>0</v>
      </c>
      <c r="G144" t="str">
        <f>IFERROR(INDEX(tEditais[Órgão],MATCH(tItens[[#This Row],[Edital]],tEditais[Edital],0)),"")</f>
        <v>AGENCIA MUNICIPAL DE REGULACAO DE SERVICOS DELEGADOS- ARSER</v>
      </c>
      <c r="H144" t="str">
        <f>IFERROR(INDEX(tEditais[UF],MATCH(tItens[[#This Row],[Edital]],tEditais[Edital],0)),"")</f>
        <v>AL</v>
      </c>
      <c r="I144" s="11">
        <f>IFERROR(INDEX(tEditais[Encerramento],MATCH(tItens[[#This Row],[Edital]],tEditais[Edital],0)),"")</f>
        <v>46314.375</v>
      </c>
      <c r="J144" t="str">
        <f>IFERROR(INDEX(tProdutos[Classe],MATCH(tItens[[#This Row],[Produto]],tProdutos[Produto],0)),"produto não cadastrado")</f>
        <v>NÚCLEO</v>
      </c>
      <c r="K144" s="12">
        <f>tItens[[#This Row],[Qtd]]*tItens[[#This Row],[Vlr unit]]</f>
        <v>0</v>
      </c>
      <c r="L144" s="6">
        <f>IFERROR(IF(INDEX(tProdutos[Desconto homologado],MATCH(tItens[[#This Row],[Produto]],tProdutos[Produto],0))="",DescontoPadrao,INDEX(tProdutos[Desconto homologado],MATCH(tItens[[#This Row],[Produto]],tProdutos[Produto],0))),DescontoPadrao)</f>
        <v>0.26</v>
      </c>
      <c r="M144" s="12">
        <f>tItens[[#This Row],[Valor]]*(1-tItens[[#This Row],[Desconto]])</f>
        <v>0</v>
      </c>
      <c r="N144" t="str">
        <f>IFERROR(INDEX(tProdutos[Foco],MATCH(tItens[[#This Row],[Produto]],tProdutos[Produto],0)),"Não")</f>
        <v>Sim</v>
      </c>
      <c r="O144" t="str">
        <f>IFERROR(INDEX(tEditais[SRP],MATCH(tItens[[#This Row],[Edital]],tEditais[Edital],0)),"Não")</f>
        <v>Sim</v>
      </c>
      <c r="P144" s="4">
        <f>IF(COUNTIFS(INDEX(tItens[Edital],1):tItens[[#This Row],[Edital]],tItens[[#This Row],[Edital]],INDEX(tItens[Produto],1):tItens[[#This Row],[Produto]],tItens[[#This Row],[Produto]])=1,1,0)</f>
        <v>0</v>
      </c>
    </row>
    <row r="145" spans="1:16" x14ac:dyDescent="0.25">
      <c r="A145" t="s">
        <v>763</v>
      </c>
      <c r="B145">
        <v>30</v>
      </c>
      <c r="C145" t="s">
        <v>3370</v>
      </c>
      <c r="D145" t="s">
        <v>267</v>
      </c>
      <c r="E145" s="13">
        <v>4050</v>
      </c>
      <c r="F145" s="12">
        <v>0</v>
      </c>
      <c r="G145" t="str">
        <f>IFERROR(INDEX(tEditais[Órgão],MATCH(tItens[[#This Row],[Edital]],tEditais[Edital],0)),"")</f>
        <v>AGENCIA MUNICIPAL DE REGULACAO DE SERVICOS DELEGADOS- ARSER</v>
      </c>
      <c r="H145" t="str">
        <f>IFERROR(INDEX(tEditais[UF],MATCH(tItens[[#This Row],[Edital]],tEditais[Edital],0)),"")</f>
        <v>AL</v>
      </c>
      <c r="I145" s="11">
        <f>IFERROR(INDEX(tEditais[Encerramento],MATCH(tItens[[#This Row],[Edital]],tEditais[Edital],0)),"")</f>
        <v>46314.375</v>
      </c>
      <c r="J145" t="str">
        <f>IFERROR(INDEX(tProdutos[Classe],MATCH(tItens[[#This Row],[Produto]],tProdutos[Produto],0)),"produto não cadastrado")</f>
        <v>FORA</v>
      </c>
      <c r="K145" s="12">
        <f>tItens[[#This Row],[Qtd]]*tItens[[#This Row],[Vlr unit]]</f>
        <v>0</v>
      </c>
      <c r="L145" s="6">
        <f>IFERROR(IF(INDEX(tProdutos[Desconto homologado],MATCH(tItens[[#This Row],[Produto]],tProdutos[Produto],0))="",DescontoPadrao,INDEX(tProdutos[Desconto homologado],MATCH(tItens[[#This Row],[Produto]],tProdutos[Produto],0))),DescontoPadrao)</f>
        <v>0.19963672657401599</v>
      </c>
      <c r="M145" s="12">
        <f>tItens[[#This Row],[Valor]]*(1-tItens[[#This Row],[Desconto]])</f>
        <v>0</v>
      </c>
      <c r="N145" t="str">
        <f>IFERROR(INDEX(tProdutos[Foco],MATCH(tItens[[#This Row],[Produto]],tProdutos[Produto],0)),"Não")</f>
        <v>Não</v>
      </c>
      <c r="O145" t="str">
        <f>IFERROR(INDEX(tEditais[SRP],MATCH(tItens[[#This Row],[Edital]],tEditais[Edital],0)),"Não")</f>
        <v>Sim</v>
      </c>
      <c r="P145" s="4">
        <f>IF(COUNTIFS(INDEX(tItens[Edital],1):tItens[[#This Row],[Edital]],tItens[[#This Row],[Edital]],INDEX(tItens[Produto],1):tItens[[#This Row],[Produto]],tItens[[#This Row],[Produto]])=1,1,0)</f>
        <v>1</v>
      </c>
    </row>
    <row r="146" spans="1:16" x14ac:dyDescent="0.25">
      <c r="A146" t="s">
        <v>763</v>
      </c>
      <c r="B146">
        <v>31</v>
      </c>
      <c r="C146" t="s">
        <v>3370</v>
      </c>
      <c r="D146" t="s">
        <v>267</v>
      </c>
      <c r="E146" s="13">
        <v>1350</v>
      </c>
      <c r="F146" s="12">
        <v>0</v>
      </c>
      <c r="G146" t="str">
        <f>IFERROR(INDEX(tEditais[Órgão],MATCH(tItens[[#This Row],[Edital]],tEditais[Edital],0)),"")</f>
        <v>AGENCIA MUNICIPAL DE REGULACAO DE SERVICOS DELEGADOS- ARSER</v>
      </c>
      <c r="H146" t="str">
        <f>IFERROR(INDEX(tEditais[UF],MATCH(tItens[[#This Row],[Edital]],tEditais[Edital],0)),"")</f>
        <v>AL</v>
      </c>
      <c r="I146" s="11">
        <f>IFERROR(INDEX(tEditais[Encerramento],MATCH(tItens[[#This Row],[Edital]],tEditais[Edital],0)),"")</f>
        <v>46314.375</v>
      </c>
      <c r="J146" t="str">
        <f>IFERROR(INDEX(tProdutos[Classe],MATCH(tItens[[#This Row],[Produto]],tProdutos[Produto],0)),"produto não cadastrado")</f>
        <v>FORA</v>
      </c>
      <c r="K146" s="12">
        <f>tItens[[#This Row],[Qtd]]*tItens[[#This Row],[Vlr unit]]</f>
        <v>0</v>
      </c>
      <c r="L146" s="6">
        <f>IFERROR(IF(INDEX(tProdutos[Desconto homologado],MATCH(tItens[[#This Row],[Produto]],tProdutos[Produto],0))="",DescontoPadrao,INDEX(tProdutos[Desconto homologado],MATCH(tItens[[#This Row],[Produto]],tProdutos[Produto],0))),DescontoPadrao)</f>
        <v>0.19963672657401599</v>
      </c>
      <c r="M146" s="12">
        <f>tItens[[#This Row],[Valor]]*(1-tItens[[#This Row],[Desconto]])</f>
        <v>0</v>
      </c>
      <c r="N146" t="str">
        <f>IFERROR(INDEX(tProdutos[Foco],MATCH(tItens[[#This Row],[Produto]],tProdutos[Produto],0)),"Não")</f>
        <v>Não</v>
      </c>
      <c r="O146" t="str">
        <f>IFERROR(INDEX(tEditais[SRP],MATCH(tItens[[#This Row],[Edital]],tEditais[Edital],0)),"Não")</f>
        <v>Sim</v>
      </c>
      <c r="P146" s="4">
        <f>IF(COUNTIFS(INDEX(tItens[Edital],1):tItens[[#This Row],[Edital]],tItens[[#This Row],[Edital]],INDEX(tItens[Produto],1):tItens[[#This Row],[Produto]],tItens[[#This Row],[Produto]])=1,1,0)</f>
        <v>0</v>
      </c>
    </row>
    <row r="147" spans="1:16" x14ac:dyDescent="0.25">
      <c r="A147" t="s">
        <v>763</v>
      </c>
      <c r="B147">
        <v>32</v>
      </c>
      <c r="C147" t="s">
        <v>3371</v>
      </c>
      <c r="D147" t="s">
        <v>343</v>
      </c>
      <c r="E147" s="13">
        <v>7600</v>
      </c>
      <c r="F147" s="12">
        <v>0</v>
      </c>
      <c r="G147" t="str">
        <f>IFERROR(INDEX(tEditais[Órgão],MATCH(tItens[[#This Row],[Edital]],tEditais[Edital],0)),"")</f>
        <v>AGENCIA MUNICIPAL DE REGULACAO DE SERVICOS DELEGADOS- ARSER</v>
      </c>
      <c r="H147" t="str">
        <f>IFERROR(INDEX(tEditais[UF],MATCH(tItens[[#This Row],[Edital]],tEditais[Edital],0)),"")</f>
        <v>AL</v>
      </c>
      <c r="I147" s="11">
        <f>IFERROR(INDEX(tEditais[Encerramento],MATCH(tItens[[#This Row],[Edital]],tEditais[Edital],0)),"")</f>
        <v>46314.375</v>
      </c>
      <c r="J147" t="str">
        <f>IFERROR(INDEX(tProdutos[Classe],MATCH(tItens[[#This Row],[Produto]],tProdutos[Produto],0)),"produto não cadastrado")</f>
        <v>FORA</v>
      </c>
      <c r="K147" s="12">
        <f>tItens[[#This Row],[Qtd]]*tItens[[#This Row],[Vlr unit]]</f>
        <v>0</v>
      </c>
      <c r="L147" s="6">
        <f>IFERROR(IF(INDEX(tProdutos[Desconto homologado],MATCH(tItens[[#This Row],[Produto]],tProdutos[Produto],0))="",DescontoPadrao,INDEX(tProdutos[Desconto homologado],MATCH(tItens[[#This Row],[Produto]],tProdutos[Produto],0))),DescontoPadrao)</f>
        <v>0.35412234042553198</v>
      </c>
      <c r="M147" s="12">
        <f>tItens[[#This Row],[Valor]]*(1-tItens[[#This Row],[Desconto]])</f>
        <v>0</v>
      </c>
      <c r="N147" t="str">
        <f>IFERROR(INDEX(tProdutos[Foco],MATCH(tItens[[#This Row],[Produto]],tProdutos[Produto],0)),"Não")</f>
        <v>Não</v>
      </c>
      <c r="O147" t="str">
        <f>IFERROR(INDEX(tEditais[SRP],MATCH(tItens[[#This Row],[Edital]],tEditais[Edital],0)),"Não")</f>
        <v>Sim</v>
      </c>
      <c r="P147" s="4">
        <f>IF(COUNTIFS(INDEX(tItens[Edital],1):tItens[[#This Row],[Edital]],tItens[[#This Row],[Edital]],INDEX(tItens[Produto],1):tItens[[#This Row],[Produto]],tItens[[#This Row],[Produto]])=1,1,0)</f>
        <v>1</v>
      </c>
    </row>
    <row r="148" spans="1:16" x14ac:dyDescent="0.25">
      <c r="A148" t="s">
        <v>763</v>
      </c>
      <c r="B148">
        <v>40</v>
      </c>
      <c r="C148" t="s">
        <v>3372</v>
      </c>
      <c r="D148" t="s">
        <v>120</v>
      </c>
      <c r="E148" s="13">
        <v>13000</v>
      </c>
      <c r="F148" s="12">
        <v>0</v>
      </c>
      <c r="G148" t="str">
        <f>IFERROR(INDEX(tEditais[Órgão],MATCH(tItens[[#This Row],[Edital]],tEditais[Edital],0)),"")</f>
        <v>AGENCIA MUNICIPAL DE REGULACAO DE SERVICOS DELEGADOS- ARSER</v>
      </c>
      <c r="H148" t="str">
        <f>IFERROR(INDEX(tEditais[UF],MATCH(tItens[[#This Row],[Edital]],tEditais[Edital],0)),"")</f>
        <v>AL</v>
      </c>
      <c r="I148" s="11">
        <f>IFERROR(INDEX(tEditais[Encerramento],MATCH(tItens[[#This Row],[Edital]],tEditais[Edital],0)),"")</f>
        <v>46314.375</v>
      </c>
      <c r="J148" t="str">
        <f>IFERROR(INDEX(tProdutos[Classe],MATCH(tItens[[#This Row],[Produto]],tProdutos[Produto],0)),"produto não cadastrado")</f>
        <v>DISPUTADO</v>
      </c>
      <c r="K148" s="12">
        <f>tItens[[#This Row],[Qtd]]*tItens[[#This Row],[Vlr unit]]</f>
        <v>0</v>
      </c>
      <c r="L148" s="6">
        <f>IFERROR(IF(INDEX(tProdutos[Desconto homologado],MATCH(tItens[[#This Row],[Produto]],tProdutos[Produto],0))="",DescontoPadrao,INDEX(tProdutos[Desconto homologado],MATCH(tItens[[#This Row],[Produto]],tProdutos[Produto],0))),DescontoPadrao)</f>
        <v>0.40909090909090901</v>
      </c>
      <c r="M148" s="12">
        <f>tItens[[#This Row],[Valor]]*(1-tItens[[#This Row],[Desconto]])</f>
        <v>0</v>
      </c>
      <c r="N148" t="str">
        <f>IFERROR(INDEX(tProdutos[Foco],MATCH(tItens[[#This Row],[Produto]],tProdutos[Produto],0)),"Não")</f>
        <v>Não</v>
      </c>
      <c r="O148" t="str">
        <f>IFERROR(INDEX(tEditais[SRP],MATCH(tItens[[#This Row],[Edital]],tEditais[Edital],0)),"Não")</f>
        <v>Sim</v>
      </c>
      <c r="P148" s="4">
        <f>IF(COUNTIFS(INDEX(tItens[Edital],1):tItens[[#This Row],[Edital]],tItens[[#This Row],[Edital]],INDEX(tItens[Produto],1):tItens[[#This Row],[Produto]],tItens[[#This Row],[Produto]])=1,1,0)</f>
        <v>1</v>
      </c>
    </row>
    <row r="149" spans="1:16" x14ac:dyDescent="0.25">
      <c r="A149" t="s">
        <v>763</v>
      </c>
      <c r="B149">
        <v>41</v>
      </c>
      <c r="C149" t="s">
        <v>3373</v>
      </c>
      <c r="D149" t="s">
        <v>120</v>
      </c>
      <c r="E149" s="13">
        <v>25500</v>
      </c>
      <c r="F149" s="12">
        <v>0</v>
      </c>
      <c r="G149" t="str">
        <f>IFERROR(INDEX(tEditais[Órgão],MATCH(tItens[[#This Row],[Edital]],tEditais[Edital],0)),"")</f>
        <v>AGENCIA MUNICIPAL DE REGULACAO DE SERVICOS DELEGADOS- ARSER</v>
      </c>
      <c r="H149" t="str">
        <f>IFERROR(INDEX(tEditais[UF],MATCH(tItens[[#This Row],[Edital]],tEditais[Edital],0)),"")</f>
        <v>AL</v>
      </c>
      <c r="I149" s="11">
        <f>IFERROR(INDEX(tEditais[Encerramento],MATCH(tItens[[#This Row],[Edital]],tEditais[Edital],0)),"")</f>
        <v>46314.375</v>
      </c>
      <c r="J149" t="str">
        <f>IFERROR(INDEX(tProdutos[Classe],MATCH(tItens[[#This Row],[Produto]],tProdutos[Produto],0)),"produto não cadastrado")</f>
        <v>DISPUTADO</v>
      </c>
      <c r="K149" s="12">
        <f>tItens[[#This Row],[Qtd]]*tItens[[#This Row],[Vlr unit]]</f>
        <v>0</v>
      </c>
      <c r="L149" s="6">
        <f>IFERROR(IF(INDEX(tProdutos[Desconto homologado],MATCH(tItens[[#This Row],[Produto]],tProdutos[Produto],0))="",DescontoPadrao,INDEX(tProdutos[Desconto homologado],MATCH(tItens[[#This Row],[Produto]],tProdutos[Produto],0))),DescontoPadrao)</f>
        <v>0.40909090909090901</v>
      </c>
      <c r="M149" s="12">
        <f>tItens[[#This Row],[Valor]]*(1-tItens[[#This Row],[Desconto]])</f>
        <v>0</v>
      </c>
      <c r="N149" t="str">
        <f>IFERROR(INDEX(tProdutos[Foco],MATCH(tItens[[#This Row],[Produto]],tProdutos[Produto],0)),"Não")</f>
        <v>Não</v>
      </c>
      <c r="O149" t="str">
        <f>IFERROR(INDEX(tEditais[SRP],MATCH(tItens[[#This Row],[Edital]],tEditais[Edital],0)),"Não")</f>
        <v>Sim</v>
      </c>
      <c r="P149" s="4">
        <f>IF(COUNTIFS(INDEX(tItens[Edital],1):tItens[[#This Row],[Edital]],tItens[[#This Row],[Edital]],INDEX(tItens[Produto],1):tItens[[#This Row],[Produto]],tItens[[#This Row],[Produto]])=1,1,0)</f>
        <v>0</v>
      </c>
    </row>
    <row r="150" spans="1:16" x14ac:dyDescent="0.25">
      <c r="A150" t="s">
        <v>766</v>
      </c>
      <c r="B150">
        <v>7</v>
      </c>
      <c r="C150" t="s">
        <v>3374</v>
      </c>
      <c r="D150" t="s">
        <v>611</v>
      </c>
      <c r="E150" s="13">
        <v>25</v>
      </c>
      <c r="F150" s="12">
        <v>0</v>
      </c>
      <c r="G150" t="str">
        <f>IFERROR(INDEX(tEditais[Órgão],MATCH(tItens[[#This Row],[Edital]],tEditais[Edital],0)),"")</f>
        <v>MUNICIPIO DE BOA VISTA DO RAMOS</v>
      </c>
      <c r="H150" t="str">
        <f>IFERROR(INDEX(tEditais[UF],MATCH(tItens[[#This Row],[Edital]],tEditais[Edital],0)),"")</f>
        <v>AM</v>
      </c>
      <c r="I150" s="11">
        <f>IFERROR(INDEX(tEditais[Encerramento],MATCH(tItens[[#This Row],[Edital]],tEditais[Edital],0)),"")</f>
        <v>46308.291666666664</v>
      </c>
      <c r="J150" t="str">
        <f>IFERROR(INDEX(tProdutos[Classe],MATCH(tItens[[#This Row],[Produto]],tProdutos[Produto],0)),"produto não cadastrado")</f>
        <v>FILA REBASE</v>
      </c>
      <c r="K150" s="12">
        <f>tItens[[#This Row],[Qtd]]*tItens[[#This Row],[Vlr unit]]</f>
        <v>0</v>
      </c>
      <c r="L150" s="6">
        <f>IFERROR(IF(INDEX(tProdutos[Desconto homologado],MATCH(tItens[[#This Row],[Produto]],tProdutos[Produto],0))="",DescontoPadrao,INDEX(tProdutos[Desconto homologado],MATCH(tItens[[#This Row],[Produto]],tProdutos[Produto],0))),DescontoPadrao)</f>
        <v>0.3</v>
      </c>
      <c r="M150" s="12">
        <f>tItens[[#This Row],[Valor]]*(1-tItens[[#This Row],[Desconto]])</f>
        <v>0</v>
      </c>
      <c r="N150" t="str">
        <f>IFERROR(INDEX(tProdutos[Foco],MATCH(tItens[[#This Row],[Produto]],tProdutos[Produto],0)),"Não")</f>
        <v>Não</v>
      </c>
      <c r="O150" t="str">
        <f>IFERROR(INDEX(tEditais[SRP],MATCH(tItens[[#This Row],[Edital]],tEditais[Edital],0)),"Não")</f>
        <v>Sim</v>
      </c>
      <c r="P150" s="4">
        <f>IF(COUNTIFS(INDEX(tItens[Edital],1):tItens[[#This Row],[Edital]],tItens[[#This Row],[Edital]],INDEX(tItens[Produto],1):tItens[[#This Row],[Produto]],tItens[[#This Row],[Produto]])=1,1,0)</f>
        <v>1</v>
      </c>
    </row>
    <row r="151" spans="1:16" x14ac:dyDescent="0.25">
      <c r="A151" t="s">
        <v>766</v>
      </c>
      <c r="B151">
        <v>23</v>
      </c>
      <c r="C151" t="s">
        <v>3375</v>
      </c>
      <c r="D151" t="s">
        <v>670</v>
      </c>
      <c r="E151" s="13">
        <v>30</v>
      </c>
      <c r="F151" s="12">
        <v>0</v>
      </c>
      <c r="G151" t="str">
        <f>IFERROR(INDEX(tEditais[Órgão],MATCH(tItens[[#This Row],[Edital]],tEditais[Edital],0)),"")</f>
        <v>MUNICIPIO DE BOA VISTA DO RAMOS</v>
      </c>
      <c r="H151" t="str">
        <f>IFERROR(INDEX(tEditais[UF],MATCH(tItens[[#This Row],[Edital]],tEditais[Edital],0)),"")</f>
        <v>AM</v>
      </c>
      <c r="I151" s="11">
        <f>IFERROR(INDEX(tEditais[Encerramento],MATCH(tItens[[#This Row],[Edital]],tEditais[Edital],0)),"")</f>
        <v>46308.291666666664</v>
      </c>
      <c r="J151" t="str">
        <f>IFERROR(INDEX(tProdutos[Classe],MATCH(tItens[[#This Row],[Produto]],tProdutos[Produto],0)),"produto não cadastrado")</f>
        <v>FILA REBASE</v>
      </c>
      <c r="K151" s="12">
        <f>tItens[[#This Row],[Qtd]]*tItens[[#This Row],[Vlr unit]]</f>
        <v>0</v>
      </c>
      <c r="L151" s="6">
        <f>IFERROR(IF(INDEX(tProdutos[Desconto homologado],MATCH(tItens[[#This Row],[Produto]],tProdutos[Produto],0))="",DescontoPadrao,INDEX(tProdutos[Desconto homologado],MATCH(tItens[[#This Row],[Produto]],tProdutos[Produto],0))),DescontoPadrao)</f>
        <v>0.53825503355704696</v>
      </c>
      <c r="M151" s="12">
        <f>tItens[[#This Row],[Valor]]*(1-tItens[[#This Row],[Desconto]])</f>
        <v>0</v>
      </c>
      <c r="N151" t="str">
        <f>IFERROR(INDEX(tProdutos[Foco],MATCH(tItens[[#This Row],[Produto]],tProdutos[Produto],0)),"Não")</f>
        <v>Não</v>
      </c>
      <c r="O151" t="str">
        <f>IFERROR(INDEX(tEditais[SRP],MATCH(tItens[[#This Row],[Edital]],tEditais[Edital],0)),"Não")</f>
        <v>Sim</v>
      </c>
      <c r="P151" s="4">
        <f>IF(COUNTIFS(INDEX(tItens[Edital],1):tItens[[#This Row],[Edital]],tItens[[#This Row],[Edital]],INDEX(tItens[Produto],1):tItens[[#This Row],[Produto]],tItens[[#This Row],[Produto]])=1,1,0)</f>
        <v>1</v>
      </c>
    </row>
    <row r="152" spans="1:16" x14ac:dyDescent="0.25">
      <c r="A152" t="s">
        <v>766</v>
      </c>
      <c r="B152">
        <v>37</v>
      </c>
      <c r="C152" t="s">
        <v>3376</v>
      </c>
      <c r="D152" t="s">
        <v>569</v>
      </c>
      <c r="E152" s="13">
        <v>15</v>
      </c>
      <c r="F152" s="12">
        <v>0</v>
      </c>
      <c r="G152" t="str">
        <f>IFERROR(INDEX(tEditais[Órgão],MATCH(tItens[[#This Row],[Edital]],tEditais[Edital],0)),"")</f>
        <v>MUNICIPIO DE BOA VISTA DO RAMOS</v>
      </c>
      <c r="H152" t="str">
        <f>IFERROR(INDEX(tEditais[UF],MATCH(tItens[[#This Row],[Edital]],tEditais[Edital],0)),"")</f>
        <v>AM</v>
      </c>
      <c r="I152" s="11">
        <f>IFERROR(INDEX(tEditais[Encerramento],MATCH(tItens[[#This Row],[Edital]],tEditais[Edital],0)),"")</f>
        <v>46308.291666666664</v>
      </c>
      <c r="J152" t="str">
        <f>IFERROR(INDEX(tProdutos[Classe],MATCH(tItens[[#This Row],[Produto]],tProdutos[Produto],0)),"produto não cadastrado")</f>
        <v>FILA REBASE</v>
      </c>
      <c r="K152" s="12">
        <f>tItens[[#This Row],[Qtd]]*tItens[[#This Row],[Vlr unit]]</f>
        <v>0</v>
      </c>
      <c r="L152" s="6">
        <f>IFERROR(IF(INDEX(tProdutos[Desconto homologado],MATCH(tItens[[#This Row],[Produto]],tProdutos[Produto],0))="",DescontoPadrao,INDEX(tProdutos[Desconto homologado],MATCH(tItens[[#This Row],[Produto]],tProdutos[Produto],0))),DescontoPadrao)</f>
        <v>0.3</v>
      </c>
      <c r="M152" s="12">
        <f>tItens[[#This Row],[Valor]]*(1-tItens[[#This Row],[Desconto]])</f>
        <v>0</v>
      </c>
      <c r="N152" t="str">
        <f>IFERROR(INDEX(tProdutos[Foco],MATCH(tItens[[#This Row],[Produto]],tProdutos[Produto],0)),"Não")</f>
        <v>Não</v>
      </c>
      <c r="O152" t="str">
        <f>IFERROR(INDEX(tEditais[SRP],MATCH(tItens[[#This Row],[Edital]],tEditais[Edital],0)),"Não")</f>
        <v>Sim</v>
      </c>
      <c r="P152" s="4">
        <f>IF(COUNTIFS(INDEX(tItens[Edital],1):tItens[[#This Row],[Edital]],tItens[[#This Row],[Edital]],INDEX(tItens[Produto],1):tItens[[#This Row],[Produto]],tItens[[#This Row],[Produto]])=1,1,0)</f>
        <v>1</v>
      </c>
    </row>
    <row r="153" spans="1:16" x14ac:dyDescent="0.25">
      <c r="A153" t="s">
        <v>766</v>
      </c>
      <c r="B153">
        <v>38</v>
      </c>
      <c r="C153" t="s">
        <v>3377</v>
      </c>
      <c r="D153" t="s">
        <v>569</v>
      </c>
      <c r="E153" s="13">
        <v>15</v>
      </c>
      <c r="F153" s="12">
        <v>0</v>
      </c>
      <c r="G153" t="str">
        <f>IFERROR(INDEX(tEditais[Órgão],MATCH(tItens[[#This Row],[Edital]],tEditais[Edital],0)),"")</f>
        <v>MUNICIPIO DE BOA VISTA DO RAMOS</v>
      </c>
      <c r="H153" t="str">
        <f>IFERROR(INDEX(tEditais[UF],MATCH(tItens[[#This Row],[Edital]],tEditais[Edital],0)),"")</f>
        <v>AM</v>
      </c>
      <c r="I153" s="11">
        <f>IFERROR(INDEX(tEditais[Encerramento],MATCH(tItens[[#This Row],[Edital]],tEditais[Edital],0)),"")</f>
        <v>46308.291666666664</v>
      </c>
      <c r="J153" t="str">
        <f>IFERROR(INDEX(tProdutos[Classe],MATCH(tItens[[#This Row],[Produto]],tProdutos[Produto],0)),"produto não cadastrado")</f>
        <v>FILA REBASE</v>
      </c>
      <c r="K153" s="12">
        <f>tItens[[#This Row],[Qtd]]*tItens[[#This Row],[Vlr unit]]</f>
        <v>0</v>
      </c>
      <c r="L153" s="6">
        <f>IFERROR(IF(INDEX(tProdutos[Desconto homologado],MATCH(tItens[[#This Row],[Produto]],tProdutos[Produto],0))="",DescontoPadrao,INDEX(tProdutos[Desconto homologado],MATCH(tItens[[#This Row],[Produto]],tProdutos[Produto],0))),DescontoPadrao)</f>
        <v>0.3</v>
      </c>
      <c r="M153" s="12">
        <f>tItens[[#This Row],[Valor]]*(1-tItens[[#This Row],[Desconto]])</f>
        <v>0</v>
      </c>
      <c r="N153" t="str">
        <f>IFERROR(INDEX(tProdutos[Foco],MATCH(tItens[[#This Row],[Produto]],tProdutos[Produto],0)),"Não")</f>
        <v>Não</v>
      </c>
      <c r="O153" t="str">
        <f>IFERROR(INDEX(tEditais[SRP],MATCH(tItens[[#This Row],[Edital]],tEditais[Edital],0)),"Não")</f>
        <v>Sim</v>
      </c>
      <c r="P153" s="4">
        <f>IF(COUNTIFS(INDEX(tItens[Edital],1):tItens[[#This Row],[Edital]],tItens[[#This Row],[Edital]],INDEX(tItens[Produto],1):tItens[[#This Row],[Produto]],tItens[[#This Row],[Produto]])=1,1,0)</f>
        <v>0</v>
      </c>
    </row>
    <row r="154" spans="1:16" x14ac:dyDescent="0.25">
      <c r="A154" t="s">
        <v>766</v>
      </c>
      <c r="B154">
        <v>49</v>
      </c>
      <c r="C154" t="s">
        <v>3378</v>
      </c>
      <c r="D154" t="s">
        <v>578</v>
      </c>
      <c r="E154" s="13">
        <v>5</v>
      </c>
      <c r="F154" s="12">
        <v>0</v>
      </c>
      <c r="G154" t="str">
        <f>IFERROR(INDEX(tEditais[Órgão],MATCH(tItens[[#This Row],[Edital]],tEditais[Edital],0)),"")</f>
        <v>MUNICIPIO DE BOA VISTA DO RAMOS</v>
      </c>
      <c r="H154" t="str">
        <f>IFERROR(INDEX(tEditais[UF],MATCH(tItens[[#This Row],[Edital]],tEditais[Edital],0)),"")</f>
        <v>AM</v>
      </c>
      <c r="I154" s="11">
        <f>IFERROR(INDEX(tEditais[Encerramento],MATCH(tItens[[#This Row],[Edital]],tEditais[Edital],0)),"")</f>
        <v>46308.291666666664</v>
      </c>
      <c r="J154" t="str">
        <f>IFERROR(INDEX(tProdutos[Classe],MATCH(tItens[[#This Row],[Produto]],tProdutos[Produto],0)),"produto não cadastrado")</f>
        <v>FILA REBASE</v>
      </c>
      <c r="K154" s="12">
        <f>tItens[[#This Row],[Qtd]]*tItens[[#This Row],[Vlr unit]]</f>
        <v>0</v>
      </c>
      <c r="L154" s="6">
        <f>IFERROR(IF(INDEX(tProdutos[Desconto homologado],MATCH(tItens[[#This Row],[Produto]],tProdutos[Produto],0))="",DescontoPadrao,INDEX(tProdutos[Desconto homologado],MATCH(tItens[[#This Row],[Produto]],tProdutos[Produto],0))),DescontoPadrao)</f>
        <v>0.36014625228519198</v>
      </c>
      <c r="M154" s="12">
        <f>tItens[[#This Row],[Valor]]*(1-tItens[[#This Row],[Desconto]])</f>
        <v>0</v>
      </c>
      <c r="N154" t="str">
        <f>IFERROR(INDEX(tProdutos[Foco],MATCH(tItens[[#This Row],[Produto]],tProdutos[Produto],0)),"Não")</f>
        <v>Não</v>
      </c>
      <c r="O154" t="str">
        <f>IFERROR(INDEX(tEditais[SRP],MATCH(tItens[[#This Row],[Edital]],tEditais[Edital],0)),"Não")</f>
        <v>Sim</v>
      </c>
      <c r="P154" s="4">
        <f>IF(COUNTIFS(INDEX(tItens[Edital],1):tItens[[#This Row],[Edital]],tItens[[#This Row],[Edital]],INDEX(tItens[Produto],1):tItens[[#This Row],[Produto]],tItens[[#This Row],[Produto]])=1,1,0)</f>
        <v>1</v>
      </c>
    </row>
    <row r="155" spans="1:16" x14ac:dyDescent="0.25">
      <c r="A155" t="s">
        <v>766</v>
      </c>
      <c r="B155">
        <v>50</v>
      </c>
      <c r="C155" t="s">
        <v>3379</v>
      </c>
      <c r="D155" t="s">
        <v>578</v>
      </c>
      <c r="E155" s="13">
        <v>5</v>
      </c>
      <c r="F155" s="12">
        <v>0</v>
      </c>
      <c r="G155" t="str">
        <f>IFERROR(INDEX(tEditais[Órgão],MATCH(tItens[[#This Row],[Edital]],tEditais[Edital],0)),"")</f>
        <v>MUNICIPIO DE BOA VISTA DO RAMOS</v>
      </c>
      <c r="H155" t="str">
        <f>IFERROR(INDEX(tEditais[UF],MATCH(tItens[[#This Row],[Edital]],tEditais[Edital],0)),"")</f>
        <v>AM</v>
      </c>
      <c r="I155" s="11">
        <f>IFERROR(INDEX(tEditais[Encerramento],MATCH(tItens[[#This Row],[Edital]],tEditais[Edital],0)),"")</f>
        <v>46308.291666666664</v>
      </c>
      <c r="J155" t="str">
        <f>IFERROR(INDEX(tProdutos[Classe],MATCH(tItens[[#This Row],[Produto]],tProdutos[Produto],0)),"produto não cadastrado")</f>
        <v>FILA REBASE</v>
      </c>
      <c r="K155" s="12">
        <f>tItens[[#This Row],[Qtd]]*tItens[[#This Row],[Vlr unit]]</f>
        <v>0</v>
      </c>
      <c r="L155" s="6">
        <f>IFERROR(IF(INDEX(tProdutos[Desconto homologado],MATCH(tItens[[#This Row],[Produto]],tProdutos[Produto],0))="",DescontoPadrao,INDEX(tProdutos[Desconto homologado],MATCH(tItens[[#This Row],[Produto]],tProdutos[Produto],0))),DescontoPadrao)</f>
        <v>0.36014625228519198</v>
      </c>
      <c r="M155" s="12">
        <f>tItens[[#This Row],[Valor]]*(1-tItens[[#This Row],[Desconto]])</f>
        <v>0</v>
      </c>
      <c r="N155" t="str">
        <f>IFERROR(INDEX(tProdutos[Foco],MATCH(tItens[[#This Row],[Produto]],tProdutos[Produto],0)),"Não")</f>
        <v>Não</v>
      </c>
      <c r="O155" t="str">
        <f>IFERROR(INDEX(tEditais[SRP],MATCH(tItens[[#This Row],[Edital]],tEditais[Edital],0)),"Não")</f>
        <v>Sim</v>
      </c>
      <c r="P155" s="4">
        <f>IF(COUNTIFS(INDEX(tItens[Edital],1):tItens[[#This Row],[Edital]],tItens[[#This Row],[Edital]],INDEX(tItens[Produto],1):tItens[[#This Row],[Produto]],tItens[[#This Row],[Produto]])=1,1,0)</f>
        <v>0</v>
      </c>
    </row>
    <row r="156" spans="1:16" x14ac:dyDescent="0.25">
      <c r="A156" t="s">
        <v>766</v>
      </c>
      <c r="B156">
        <v>51</v>
      </c>
      <c r="C156" t="s">
        <v>3380</v>
      </c>
      <c r="D156" t="s">
        <v>578</v>
      </c>
      <c r="E156" s="13">
        <v>5</v>
      </c>
      <c r="F156" s="12">
        <v>0</v>
      </c>
      <c r="G156" t="str">
        <f>IFERROR(INDEX(tEditais[Órgão],MATCH(tItens[[#This Row],[Edital]],tEditais[Edital],0)),"")</f>
        <v>MUNICIPIO DE BOA VISTA DO RAMOS</v>
      </c>
      <c r="H156" t="str">
        <f>IFERROR(INDEX(tEditais[UF],MATCH(tItens[[#This Row],[Edital]],tEditais[Edital],0)),"")</f>
        <v>AM</v>
      </c>
      <c r="I156" s="11">
        <f>IFERROR(INDEX(tEditais[Encerramento],MATCH(tItens[[#This Row],[Edital]],tEditais[Edital],0)),"")</f>
        <v>46308.291666666664</v>
      </c>
      <c r="J156" t="str">
        <f>IFERROR(INDEX(tProdutos[Classe],MATCH(tItens[[#This Row],[Produto]],tProdutos[Produto],0)),"produto não cadastrado")</f>
        <v>FILA REBASE</v>
      </c>
      <c r="K156" s="12">
        <f>tItens[[#This Row],[Qtd]]*tItens[[#This Row],[Vlr unit]]</f>
        <v>0</v>
      </c>
      <c r="L156" s="6">
        <f>IFERROR(IF(INDEX(tProdutos[Desconto homologado],MATCH(tItens[[#This Row],[Produto]],tProdutos[Produto],0))="",DescontoPadrao,INDEX(tProdutos[Desconto homologado],MATCH(tItens[[#This Row],[Produto]],tProdutos[Produto],0))),DescontoPadrao)</f>
        <v>0.36014625228519198</v>
      </c>
      <c r="M156" s="12">
        <f>tItens[[#This Row],[Valor]]*(1-tItens[[#This Row],[Desconto]])</f>
        <v>0</v>
      </c>
      <c r="N156" t="str">
        <f>IFERROR(INDEX(tProdutos[Foco],MATCH(tItens[[#This Row],[Produto]],tProdutos[Produto],0)),"Não")</f>
        <v>Não</v>
      </c>
      <c r="O156" t="str">
        <f>IFERROR(INDEX(tEditais[SRP],MATCH(tItens[[#This Row],[Edital]],tEditais[Edital],0)),"Não")</f>
        <v>Sim</v>
      </c>
      <c r="P156" s="4">
        <f>IF(COUNTIFS(INDEX(tItens[Edital],1):tItens[[#This Row],[Edital]],tItens[[#This Row],[Edital]],INDEX(tItens[Produto],1):tItens[[#This Row],[Produto]],tItens[[#This Row],[Produto]])=1,1,0)</f>
        <v>0</v>
      </c>
    </row>
    <row r="157" spans="1:16" x14ac:dyDescent="0.25">
      <c r="A157" t="s">
        <v>766</v>
      </c>
      <c r="B157">
        <v>52</v>
      </c>
      <c r="C157" t="s">
        <v>3381</v>
      </c>
      <c r="D157" t="s">
        <v>578</v>
      </c>
      <c r="E157" s="13">
        <v>5</v>
      </c>
      <c r="F157" s="12">
        <v>0</v>
      </c>
      <c r="G157" t="str">
        <f>IFERROR(INDEX(tEditais[Órgão],MATCH(tItens[[#This Row],[Edital]],tEditais[Edital],0)),"")</f>
        <v>MUNICIPIO DE BOA VISTA DO RAMOS</v>
      </c>
      <c r="H157" t="str">
        <f>IFERROR(INDEX(tEditais[UF],MATCH(tItens[[#This Row],[Edital]],tEditais[Edital],0)),"")</f>
        <v>AM</v>
      </c>
      <c r="I157" s="11">
        <f>IFERROR(INDEX(tEditais[Encerramento],MATCH(tItens[[#This Row],[Edital]],tEditais[Edital],0)),"")</f>
        <v>46308.291666666664</v>
      </c>
      <c r="J157" t="str">
        <f>IFERROR(INDEX(tProdutos[Classe],MATCH(tItens[[#This Row],[Produto]],tProdutos[Produto],0)),"produto não cadastrado")</f>
        <v>FILA REBASE</v>
      </c>
      <c r="K157" s="12">
        <f>tItens[[#This Row],[Qtd]]*tItens[[#This Row],[Vlr unit]]</f>
        <v>0</v>
      </c>
      <c r="L157" s="6">
        <f>IFERROR(IF(INDEX(tProdutos[Desconto homologado],MATCH(tItens[[#This Row],[Produto]],tProdutos[Produto],0))="",DescontoPadrao,INDEX(tProdutos[Desconto homologado],MATCH(tItens[[#This Row],[Produto]],tProdutos[Produto],0))),DescontoPadrao)</f>
        <v>0.36014625228519198</v>
      </c>
      <c r="M157" s="12">
        <f>tItens[[#This Row],[Valor]]*(1-tItens[[#This Row],[Desconto]])</f>
        <v>0</v>
      </c>
      <c r="N157" t="str">
        <f>IFERROR(INDEX(tProdutos[Foco],MATCH(tItens[[#This Row],[Produto]],tProdutos[Produto],0)),"Não")</f>
        <v>Não</v>
      </c>
      <c r="O157" t="str">
        <f>IFERROR(INDEX(tEditais[SRP],MATCH(tItens[[#This Row],[Edital]],tEditais[Edital],0)),"Não")</f>
        <v>Sim</v>
      </c>
      <c r="P157" s="4">
        <f>IF(COUNTIFS(INDEX(tItens[Edital],1):tItens[[#This Row],[Edital]],tItens[[#This Row],[Edital]],INDEX(tItens[Produto],1):tItens[[#This Row],[Produto]],tItens[[#This Row],[Produto]])=1,1,0)</f>
        <v>0</v>
      </c>
    </row>
    <row r="158" spans="1:16" x14ac:dyDescent="0.25">
      <c r="A158" t="s">
        <v>766</v>
      </c>
      <c r="B158">
        <v>53</v>
      </c>
      <c r="C158" t="s">
        <v>3382</v>
      </c>
      <c r="D158" t="s">
        <v>578</v>
      </c>
      <c r="E158" s="13">
        <v>5</v>
      </c>
      <c r="F158" s="12">
        <v>0</v>
      </c>
      <c r="G158" t="str">
        <f>IFERROR(INDEX(tEditais[Órgão],MATCH(tItens[[#This Row],[Edital]],tEditais[Edital],0)),"")</f>
        <v>MUNICIPIO DE BOA VISTA DO RAMOS</v>
      </c>
      <c r="H158" t="str">
        <f>IFERROR(INDEX(tEditais[UF],MATCH(tItens[[#This Row],[Edital]],tEditais[Edital],0)),"")</f>
        <v>AM</v>
      </c>
      <c r="I158" s="11">
        <f>IFERROR(INDEX(tEditais[Encerramento],MATCH(tItens[[#This Row],[Edital]],tEditais[Edital],0)),"")</f>
        <v>46308.291666666664</v>
      </c>
      <c r="J158" t="str">
        <f>IFERROR(INDEX(tProdutos[Classe],MATCH(tItens[[#This Row],[Produto]],tProdutos[Produto],0)),"produto não cadastrado")</f>
        <v>FILA REBASE</v>
      </c>
      <c r="K158" s="12">
        <f>tItens[[#This Row],[Qtd]]*tItens[[#This Row],[Vlr unit]]</f>
        <v>0</v>
      </c>
      <c r="L158" s="6">
        <f>IFERROR(IF(INDEX(tProdutos[Desconto homologado],MATCH(tItens[[#This Row],[Produto]],tProdutos[Produto],0))="",DescontoPadrao,INDEX(tProdutos[Desconto homologado],MATCH(tItens[[#This Row],[Produto]],tProdutos[Produto],0))),DescontoPadrao)</f>
        <v>0.36014625228519198</v>
      </c>
      <c r="M158" s="12">
        <f>tItens[[#This Row],[Valor]]*(1-tItens[[#This Row],[Desconto]])</f>
        <v>0</v>
      </c>
      <c r="N158" t="str">
        <f>IFERROR(INDEX(tProdutos[Foco],MATCH(tItens[[#This Row],[Produto]],tProdutos[Produto],0)),"Não")</f>
        <v>Não</v>
      </c>
      <c r="O158" t="str">
        <f>IFERROR(INDEX(tEditais[SRP],MATCH(tItens[[#This Row],[Edital]],tEditais[Edital],0)),"Não")</f>
        <v>Sim</v>
      </c>
      <c r="P158" s="4">
        <f>IF(COUNTIFS(INDEX(tItens[Edital],1):tItens[[#This Row],[Edital]],tItens[[#This Row],[Edital]],INDEX(tItens[Produto],1):tItens[[#This Row],[Produto]],tItens[[#This Row],[Produto]])=1,1,0)</f>
        <v>0</v>
      </c>
    </row>
    <row r="159" spans="1:16" x14ac:dyDescent="0.25">
      <c r="A159" t="s">
        <v>766</v>
      </c>
      <c r="B159">
        <v>54</v>
      </c>
      <c r="C159" t="s">
        <v>3383</v>
      </c>
      <c r="D159" t="s">
        <v>578</v>
      </c>
      <c r="E159" s="13">
        <v>5</v>
      </c>
      <c r="F159" s="12">
        <v>0</v>
      </c>
      <c r="G159" t="str">
        <f>IFERROR(INDEX(tEditais[Órgão],MATCH(tItens[[#This Row],[Edital]],tEditais[Edital],0)),"")</f>
        <v>MUNICIPIO DE BOA VISTA DO RAMOS</v>
      </c>
      <c r="H159" t="str">
        <f>IFERROR(INDEX(tEditais[UF],MATCH(tItens[[#This Row],[Edital]],tEditais[Edital],0)),"")</f>
        <v>AM</v>
      </c>
      <c r="I159" s="11">
        <f>IFERROR(INDEX(tEditais[Encerramento],MATCH(tItens[[#This Row],[Edital]],tEditais[Edital],0)),"")</f>
        <v>46308.291666666664</v>
      </c>
      <c r="J159" t="str">
        <f>IFERROR(INDEX(tProdutos[Classe],MATCH(tItens[[#This Row],[Produto]],tProdutos[Produto],0)),"produto não cadastrado")</f>
        <v>FILA REBASE</v>
      </c>
      <c r="K159" s="12">
        <f>tItens[[#This Row],[Qtd]]*tItens[[#This Row],[Vlr unit]]</f>
        <v>0</v>
      </c>
      <c r="L159" s="6">
        <f>IFERROR(IF(INDEX(tProdutos[Desconto homologado],MATCH(tItens[[#This Row],[Produto]],tProdutos[Produto],0))="",DescontoPadrao,INDEX(tProdutos[Desconto homologado],MATCH(tItens[[#This Row],[Produto]],tProdutos[Produto],0))),DescontoPadrao)</f>
        <v>0.36014625228519198</v>
      </c>
      <c r="M159" s="12">
        <f>tItens[[#This Row],[Valor]]*(1-tItens[[#This Row],[Desconto]])</f>
        <v>0</v>
      </c>
      <c r="N159" t="str">
        <f>IFERROR(INDEX(tProdutos[Foco],MATCH(tItens[[#This Row],[Produto]],tProdutos[Produto],0)),"Não")</f>
        <v>Não</v>
      </c>
      <c r="O159" t="str">
        <f>IFERROR(INDEX(tEditais[SRP],MATCH(tItens[[#This Row],[Edital]],tEditais[Edital],0)),"Não")</f>
        <v>Sim</v>
      </c>
      <c r="P159" s="4">
        <f>IF(COUNTIFS(INDEX(tItens[Edital],1):tItens[[#This Row],[Edital]],tItens[[#This Row],[Edital]],INDEX(tItens[Produto],1):tItens[[#This Row],[Produto]],tItens[[#This Row],[Produto]])=1,1,0)</f>
        <v>0</v>
      </c>
    </row>
    <row r="160" spans="1:16" x14ac:dyDescent="0.25">
      <c r="A160" t="s">
        <v>766</v>
      </c>
      <c r="B160">
        <v>64</v>
      </c>
      <c r="C160" t="s">
        <v>3384</v>
      </c>
      <c r="D160" t="s">
        <v>641</v>
      </c>
      <c r="E160" s="13">
        <v>15</v>
      </c>
      <c r="F160" s="12">
        <v>0</v>
      </c>
      <c r="G160" t="str">
        <f>IFERROR(INDEX(tEditais[Órgão],MATCH(tItens[[#This Row],[Edital]],tEditais[Edital],0)),"")</f>
        <v>MUNICIPIO DE BOA VISTA DO RAMOS</v>
      </c>
      <c r="H160" t="str">
        <f>IFERROR(INDEX(tEditais[UF],MATCH(tItens[[#This Row],[Edital]],tEditais[Edital],0)),"")</f>
        <v>AM</v>
      </c>
      <c r="I160" s="11">
        <f>IFERROR(INDEX(tEditais[Encerramento],MATCH(tItens[[#This Row],[Edital]],tEditais[Edital],0)),"")</f>
        <v>46308.291666666664</v>
      </c>
      <c r="J160" t="str">
        <f>IFERROR(INDEX(tProdutos[Classe],MATCH(tItens[[#This Row],[Produto]],tProdutos[Produto],0)),"produto não cadastrado")</f>
        <v>FILA REBASE</v>
      </c>
      <c r="K160" s="12">
        <f>tItens[[#This Row],[Qtd]]*tItens[[#This Row],[Vlr unit]]</f>
        <v>0</v>
      </c>
      <c r="L160" s="6">
        <f>IFERROR(IF(INDEX(tProdutos[Desconto homologado],MATCH(tItens[[#This Row],[Produto]],tProdutos[Produto],0))="",DescontoPadrao,INDEX(tProdutos[Desconto homologado],MATCH(tItens[[#This Row],[Produto]],tProdutos[Produto],0))),DescontoPadrao)</f>
        <v>0.3</v>
      </c>
      <c r="M160" s="12">
        <f>tItens[[#This Row],[Valor]]*(1-tItens[[#This Row],[Desconto]])</f>
        <v>0</v>
      </c>
      <c r="N160" t="str">
        <f>IFERROR(INDEX(tProdutos[Foco],MATCH(tItens[[#This Row],[Produto]],tProdutos[Produto],0)),"Não")</f>
        <v>Não</v>
      </c>
      <c r="O160" t="str">
        <f>IFERROR(INDEX(tEditais[SRP],MATCH(tItens[[#This Row],[Edital]],tEditais[Edital],0)),"Não")</f>
        <v>Sim</v>
      </c>
      <c r="P160" s="4">
        <f>IF(COUNTIFS(INDEX(tItens[Edital],1):tItens[[#This Row],[Edital]],tItens[[#This Row],[Edital]],INDEX(tItens[Produto],1):tItens[[#This Row],[Produto]],tItens[[#This Row],[Produto]])=1,1,0)</f>
        <v>1</v>
      </c>
    </row>
    <row r="161" spans="1:16" x14ac:dyDescent="0.25">
      <c r="A161" t="s">
        <v>766</v>
      </c>
      <c r="B161">
        <v>71</v>
      </c>
      <c r="C161" t="s">
        <v>3385</v>
      </c>
      <c r="D161" t="s">
        <v>75</v>
      </c>
      <c r="E161" s="13">
        <v>10</v>
      </c>
      <c r="F161" s="12">
        <v>0</v>
      </c>
      <c r="G161" t="str">
        <f>IFERROR(INDEX(tEditais[Órgão],MATCH(tItens[[#This Row],[Edital]],tEditais[Edital],0)),"")</f>
        <v>MUNICIPIO DE BOA VISTA DO RAMOS</v>
      </c>
      <c r="H161" t="str">
        <f>IFERROR(INDEX(tEditais[UF],MATCH(tItens[[#This Row],[Edital]],tEditais[Edital],0)),"")</f>
        <v>AM</v>
      </c>
      <c r="I161" s="11">
        <f>IFERROR(INDEX(tEditais[Encerramento],MATCH(tItens[[#This Row],[Edital]],tEditais[Edital],0)),"")</f>
        <v>46308.291666666664</v>
      </c>
      <c r="J161" t="str">
        <f>IFERROR(INDEX(tProdutos[Classe],MATCH(tItens[[#This Row],[Produto]],tProdutos[Produto],0)),"produto não cadastrado")</f>
        <v>NÚCLEO</v>
      </c>
      <c r="K161" s="12">
        <f>tItens[[#This Row],[Qtd]]*tItens[[#This Row],[Vlr unit]]</f>
        <v>0</v>
      </c>
      <c r="L161" s="6">
        <f>IFERROR(IF(INDEX(tProdutos[Desconto homologado],MATCH(tItens[[#This Row],[Produto]],tProdutos[Produto],0))="",DescontoPadrao,INDEX(tProdutos[Desconto homologado],MATCH(tItens[[#This Row],[Produto]],tProdutos[Produto],0))),DescontoPadrao)</f>
        <v>0.26</v>
      </c>
      <c r="M161" s="12">
        <f>tItens[[#This Row],[Valor]]*(1-tItens[[#This Row],[Desconto]])</f>
        <v>0</v>
      </c>
      <c r="N161" t="str">
        <f>IFERROR(INDEX(tProdutos[Foco],MATCH(tItens[[#This Row],[Produto]],tProdutos[Produto],0)),"Não")</f>
        <v>Sim</v>
      </c>
      <c r="O161" t="str">
        <f>IFERROR(INDEX(tEditais[SRP],MATCH(tItens[[#This Row],[Edital]],tEditais[Edital],0)),"Não")</f>
        <v>Sim</v>
      </c>
      <c r="P161" s="4">
        <f>IF(COUNTIFS(INDEX(tItens[Edital],1):tItens[[#This Row],[Edital]],tItens[[#This Row],[Edital]],INDEX(tItens[Produto],1):tItens[[#This Row],[Produto]],tItens[[#This Row],[Produto]])=1,1,0)</f>
        <v>1</v>
      </c>
    </row>
    <row r="162" spans="1:16" x14ac:dyDescent="0.25">
      <c r="A162" t="s">
        <v>766</v>
      </c>
      <c r="B162">
        <v>72</v>
      </c>
      <c r="C162" t="s">
        <v>3386</v>
      </c>
      <c r="D162" t="s">
        <v>75</v>
      </c>
      <c r="E162" s="13">
        <v>10</v>
      </c>
      <c r="F162" s="12">
        <v>0</v>
      </c>
      <c r="G162" t="str">
        <f>IFERROR(INDEX(tEditais[Órgão],MATCH(tItens[[#This Row],[Edital]],tEditais[Edital],0)),"")</f>
        <v>MUNICIPIO DE BOA VISTA DO RAMOS</v>
      </c>
      <c r="H162" t="str">
        <f>IFERROR(INDEX(tEditais[UF],MATCH(tItens[[#This Row],[Edital]],tEditais[Edital],0)),"")</f>
        <v>AM</v>
      </c>
      <c r="I162" s="11">
        <f>IFERROR(INDEX(tEditais[Encerramento],MATCH(tItens[[#This Row],[Edital]],tEditais[Edital],0)),"")</f>
        <v>46308.291666666664</v>
      </c>
      <c r="J162" t="str">
        <f>IFERROR(INDEX(tProdutos[Classe],MATCH(tItens[[#This Row],[Produto]],tProdutos[Produto],0)),"produto não cadastrado")</f>
        <v>NÚCLEO</v>
      </c>
      <c r="K162" s="12">
        <f>tItens[[#This Row],[Qtd]]*tItens[[#This Row],[Vlr unit]]</f>
        <v>0</v>
      </c>
      <c r="L162" s="6">
        <f>IFERROR(IF(INDEX(tProdutos[Desconto homologado],MATCH(tItens[[#This Row],[Produto]],tProdutos[Produto],0))="",DescontoPadrao,INDEX(tProdutos[Desconto homologado],MATCH(tItens[[#This Row],[Produto]],tProdutos[Produto],0))),DescontoPadrao)</f>
        <v>0.26</v>
      </c>
      <c r="M162" s="12">
        <f>tItens[[#This Row],[Valor]]*(1-tItens[[#This Row],[Desconto]])</f>
        <v>0</v>
      </c>
      <c r="N162" t="str">
        <f>IFERROR(INDEX(tProdutos[Foco],MATCH(tItens[[#This Row],[Produto]],tProdutos[Produto],0)),"Não")</f>
        <v>Sim</v>
      </c>
      <c r="O162" t="str">
        <f>IFERROR(INDEX(tEditais[SRP],MATCH(tItens[[#This Row],[Edital]],tEditais[Edital],0)),"Não")</f>
        <v>Sim</v>
      </c>
      <c r="P162" s="4">
        <f>IF(COUNTIFS(INDEX(tItens[Edital],1):tItens[[#This Row],[Edital]],tItens[[#This Row],[Edital]],INDEX(tItens[Produto],1):tItens[[#This Row],[Produto]],tItens[[#This Row],[Produto]])=1,1,0)</f>
        <v>0</v>
      </c>
    </row>
    <row r="163" spans="1:16" x14ac:dyDescent="0.25">
      <c r="A163" t="s">
        <v>766</v>
      </c>
      <c r="B163">
        <v>73</v>
      </c>
      <c r="C163" t="s">
        <v>3387</v>
      </c>
      <c r="D163" t="s">
        <v>75</v>
      </c>
      <c r="E163" s="13">
        <v>10</v>
      </c>
      <c r="F163" s="12">
        <v>0</v>
      </c>
      <c r="G163" t="str">
        <f>IFERROR(INDEX(tEditais[Órgão],MATCH(tItens[[#This Row],[Edital]],tEditais[Edital],0)),"")</f>
        <v>MUNICIPIO DE BOA VISTA DO RAMOS</v>
      </c>
      <c r="H163" t="str">
        <f>IFERROR(INDEX(tEditais[UF],MATCH(tItens[[#This Row],[Edital]],tEditais[Edital],0)),"")</f>
        <v>AM</v>
      </c>
      <c r="I163" s="11">
        <f>IFERROR(INDEX(tEditais[Encerramento],MATCH(tItens[[#This Row],[Edital]],tEditais[Edital],0)),"")</f>
        <v>46308.291666666664</v>
      </c>
      <c r="J163" t="str">
        <f>IFERROR(INDEX(tProdutos[Classe],MATCH(tItens[[#This Row],[Produto]],tProdutos[Produto],0)),"produto não cadastrado")</f>
        <v>NÚCLEO</v>
      </c>
      <c r="K163" s="12">
        <f>tItens[[#This Row],[Qtd]]*tItens[[#This Row],[Vlr unit]]</f>
        <v>0</v>
      </c>
      <c r="L163" s="6">
        <f>IFERROR(IF(INDEX(tProdutos[Desconto homologado],MATCH(tItens[[#This Row],[Produto]],tProdutos[Produto],0))="",DescontoPadrao,INDEX(tProdutos[Desconto homologado],MATCH(tItens[[#This Row],[Produto]],tProdutos[Produto],0))),DescontoPadrao)</f>
        <v>0.26</v>
      </c>
      <c r="M163" s="12">
        <f>tItens[[#This Row],[Valor]]*(1-tItens[[#This Row],[Desconto]])</f>
        <v>0</v>
      </c>
      <c r="N163" t="str">
        <f>IFERROR(INDEX(tProdutos[Foco],MATCH(tItens[[#This Row],[Produto]],tProdutos[Produto],0)),"Não")</f>
        <v>Sim</v>
      </c>
      <c r="O163" t="str">
        <f>IFERROR(INDEX(tEditais[SRP],MATCH(tItens[[#This Row],[Edital]],tEditais[Edital],0)),"Não")</f>
        <v>Sim</v>
      </c>
      <c r="P163" s="4">
        <f>IF(COUNTIFS(INDEX(tItens[Edital],1):tItens[[#This Row],[Edital]],tItens[[#This Row],[Edital]],INDEX(tItens[Produto],1):tItens[[#This Row],[Produto]],tItens[[#This Row],[Produto]])=1,1,0)</f>
        <v>0</v>
      </c>
    </row>
    <row r="164" spans="1:16" x14ac:dyDescent="0.25">
      <c r="A164" t="s">
        <v>772</v>
      </c>
      <c r="B164">
        <v>116</v>
      </c>
      <c r="C164" t="s">
        <v>3388</v>
      </c>
      <c r="D164" t="s">
        <v>144</v>
      </c>
      <c r="E164" s="13">
        <v>500</v>
      </c>
      <c r="F164" s="12">
        <v>0</v>
      </c>
      <c r="G164" t="str">
        <f>IFERROR(INDEX(tEditais[Órgão],MATCH(tItens[[#This Row],[Edital]],tEditais[Edital],0)),"")</f>
        <v>MUNICIPIO DE BOA VISTA DO RAMOS</v>
      </c>
      <c r="H164" t="str">
        <f>IFERROR(INDEX(tEditais[UF],MATCH(tItens[[#This Row],[Edital]],tEditais[Edital],0)),"")</f>
        <v>AM</v>
      </c>
      <c r="I164" s="11">
        <f>IFERROR(INDEX(tEditais[Encerramento],MATCH(tItens[[#This Row],[Edital]],tEditais[Edital],0)),"")</f>
        <v>46308.291666666664</v>
      </c>
      <c r="J164" t="str">
        <f>IFERROR(INDEX(tProdutos[Classe],MATCH(tItens[[#This Row],[Produto]],tProdutos[Produto],0)),"produto não cadastrado")</f>
        <v>DISPUTADO</v>
      </c>
      <c r="K164" s="12">
        <f>tItens[[#This Row],[Qtd]]*tItens[[#This Row],[Vlr unit]]</f>
        <v>0</v>
      </c>
      <c r="L164" s="6">
        <f>IFERROR(IF(INDEX(tProdutos[Desconto homologado],MATCH(tItens[[#This Row],[Produto]],tProdutos[Produto],0))="",DescontoPadrao,INDEX(tProdutos[Desconto homologado],MATCH(tItens[[#This Row],[Produto]],tProdutos[Produto],0))),DescontoPadrao)</f>
        <v>0.371428571428571</v>
      </c>
      <c r="M164" s="12">
        <f>tItens[[#This Row],[Valor]]*(1-tItens[[#This Row],[Desconto]])</f>
        <v>0</v>
      </c>
      <c r="N164" t="str">
        <f>IFERROR(INDEX(tProdutos[Foco],MATCH(tItens[[#This Row],[Produto]],tProdutos[Produto],0)),"Não")</f>
        <v>Não</v>
      </c>
      <c r="O164" t="str">
        <f>IFERROR(INDEX(tEditais[SRP],MATCH(tItens[[#This Row],[Edital]],tEditais[Edital],0)),"Não")</f>
        <v>Sim</v>
      </c>
      <c r="P164" s="4">
        <f>IF(COUNTIFS(INDEX(tItens[Edital],1):tItens[[#This Row],[Edital]],tItens[[#This Row],[Edital]],INDEX(tItens[Produto],1):tItens[[#This Row],[Produto]],tItens[[#This Row],[Produto]])=1,1,0)</f>
        <v>1</v>
      </c>
    </row>
    <row r="165" spans="1:16" x14ac:dyDescent="0.25">
      <c r="A165" t="s">
        <v>775</v>
      </c>
      <c r="B165">
        <v>15</v>
      </c>
      <c r="C165" t="s">
        <v>3389</v>
      </c>
      <c r="D165" t="s">
        <v>351</v>
      </c>
      <c r="E165" s="13">
        <v>600</v>
      </c>
      <c r="F165" s="12">
        <v>0</v>
      </c>
      <c r="G165" t="str">
        <f>IFERROR(INDEX(tEditais[Órgão],MATCH(tItens[[#This Row],[Edital]],tEditais[Edital],0)),"")</f>
        <v>MUNICIPIO DE BOA VISTA DO RAMOS</v>
      </c>
      <c r="H165" t="str">
        <f>IFERROR(INDEX(tEditais[UF],MATCH(tItens[[#This Row],[Edital]],tEditais[Edital],0)),"")</f>
        <v>AM</v>
      </c>
      <c r="I165" s="11">
        <f>IFERROR(INDEX(tEditais[Encerramento],MATCH(tItens[[#This Row],[Edital]],tEditais[Edital],0)),"")</f>
        <v>46308.291666666664</v>
      </c>
      <c r="J165" t="str">
        <f>IFERROR(INDEX(tProdutos[Classe],MATCH(tItens[[#This Row],[Produto]],tProdutos[Produto],0)),"produto não cadastrado")</f>
        <v>FORA</v>
      </c>
      <c r="K165" s="12">
        <f>tItens[[#This Row],[Qtd]]*tItens[[#This Row],[Vlr unit]]</f>
        <v>0</v>
      </c>
      <c r="L165" s="6">
        <f>IFERROR(IF(INDEX(tProdutos[Desconto homologado],MATCH(tItens[[#This Row],[Produto]],tProdutos[Produto],0))="",DescontoPadrao,INDEX(tProdutos[Desconto homologado],MATCH(tItens[[#This Row],[Produto]],tProdutos[Produto],0))),DescontoPadrao)</f>
        <v>0.33518005540166201</v>
      </c>
      <c r="M165" s="12">
        <f>tItens[[#This Row],[Valor]]*(1-tItens[[#This Row],[Desconto]])</f>
        <v>0</v>
      </c>
      <c r="N165" t="str">
        <f>IFERROR(INDEX(tProdutos[Foco],MATCH(tItens[[#This Row],[Produto]],tProdutos[Produto],0)),"Não")</f>
        <v>Não</v>
      </c>
      <c r="O165" t="str">
        <f>IFERROR(INDEX(tEditais[SRP],MATCH(tItens[[#This Row],[Edital]],tEditais[Edital],0)),"Não")</f>
        <v>Sim</v>
      </c>
      <c r="P165" s="4">
        <f>IF(COUNTIFS(INDEX(tItens[Edital],1):tItens[[#This Row],[Edital]],tItens[[#This Row],[Edital]],INDEX(tItens[Produto],1):tItens[[#This Row],[Produto]],tItens[[#This Row],[Produto]])=1,1,0)</f>
        <v>1</v>
      </c>
    </row>
    <row r="166" spans="1:16" x14ac:dyDescent="0.25">
      <c r="A166" t="s">
        <v>775</v>
      </c>
      <c r="B166">
        <v>16</v>
      </c>
      <c r="C166" t="s">
        <v>3390</v>
      </c>
      <c r="D166" t="s">
        <v>351</v>
      </c>
      <c r="E166" s="13">
        <v>600</v>
      </c>
      <c r="F166" s="12">
        <v>0</v>
      </c>
      <c r="G166" t="str">
        <f>IFERROR(INDEX(tEditais[Órgão],MATCH(tItens[[#This Row],[Edital]],tEditais[Edital],0)),"")</f>
        <v>MUNICIPIO DE BOA VISTA DO RAMOS</v>
      </c>
      <c r="H166" t="str">
        <f>IFERROR(INDEX(tEditais[UF],MATCH(tItens[[#This Row],[Edital]],tEditais[Edital],0)),"")</f>
        <v>AM</v>
      </c>
      <c r="I166" s="11">
        <f>IFERROR(INDEX(tEditais[Encerramento],MATCH(tItens[[#This Row],[Edital]],tEditais[Edital],0)),"")</f>
        <v>46308.291666666664</v>
      </c>
      <c r="J166" t="str">
        <f>IFERROR(INDEX(tProdutos[Classe],MATCH(tItens[[#This Row],[Produto]],tProdutos[Produto],0)),"produto não cadastrado")</f>
        <v>FORA</v>
      </c>
      <c r="K166" s="12">
        <f>tItens[[#This Row],[Qtd]]*tItens[[#This Row],[Vlr unit]]</f>
        <v>0</v>
      </c>
      <c r="L166" s="6">
        <f>IFERROR(IF(INDEX(tProdutos[Desconto homologado],MATCH(tItens[[#This Row],[Produto]],tProdutos[Produto],0))="",DescontoPadrao,INDEX(tProdutos[Desconto homologado],MATCH(tItens[[#This Row],[Produto]],tProdutos[Produto],0))),DescontoPadrao)</f>
        <v>0.33518005540166201</v>
      </c>
      <c r="M166" s="12">
        <f>tItens[[#This Row],[Valor]]*(1-tItens[[#This Row],[Desconto]])</f>
        <v>0</v>
      </c>
      <c r="N166" t="str">
        <f>IFERROR(INDEX(tProdutos[Foco],MATCH(tItens[[#This Row],[Produto]],tProdutos[Produto],0)),"Não")</f>
        <v>Não</v>
      </c>
      <c r="O166" t="str">
        <f>IFERROR(INDEX(tEditais[SRP],MATCH(tItens[[#This Row],[Edital]],tEditais[Edital],0)),"Não")</f>
        <v>Sim</v>
      </c>
      <c r="P166" s="4">
        <f>IF(COUNTIFS(INDEX(tItens[Edital],1):tItens[[#This Row],[Edital]],tItens[[#This Row],[Edital]],INDEX(tItens[Produto],1):tItens[[#This Row],[Produto]],tItens[[#This Row],[Produto]])=1,1,0)</f>
        <v>0</v>
      </c>
    </row>
    <row r="167" spans="1:16" x14ac:dyDescent="0.25">
      <c r="A167" t="s">
        <v>775</v>
      </c>
      <c r="B167">
        <v>17</v>
      </c>
      <c r="C167" t="s">
        <v>3391</v>
      </c>
      <c r="D167" t="s">
        <v>351</v>
      </c>
      <c r="E167" s="13">
        <v>400</v>
      </c>
      <c r="F167" s="12">
        <v>0</v>
      </c>
      <c r="G167" t="str">
        <f>IFERROR(INDEX(tEditais[Órgão],MATCH(tItens[[#This Row],[Edital]],tEditais[Edital],0)),"")</f>
        <v>MUNICIPIO DE BOA VISTA DO RAMOS</v>
      </c>
      <c r="H167" t="str">
        <f>IFERROR(INDEX(tEditais[UF],MATCH(tItens[[#This Row],[Edital]],tEditais[Edital],0)),"")</f>
        <v>AM</v>
      </c>
      <c r="I167" s="11">
        <f>IFERROR(INDEX(tEditais[Encerramento],MATCH(tItens[[#This Row],[Edital]],tEditais[Edital],0)),"")</f>
        <v>46308.291666666664</v>
      </c>
      <c r="J167" t="str">
        <f>IFERROR(INDEX(tProdutos[Classe],MATCH(tItens[[#This Row],[Produto]],tProdutos[Produto],0)),"produto não cadastrado")</f>
        <v>FORA</v>
      </c>
      <c r="K167" s="12">
        <f>tItens[[#This Row],[Qtd]]*tItens[[#This Row],[Vlr unit]]</f>
        <v>0</v>
      </c>
      <c r="L167" s="6">
        <f>IFERROR(IF(INDEX(tProdutos[Desconto homologado],MATCH(tItens[[#This Row],[Produto]],tProdutos[Produto],0))="",DescontoPadrao,INDEX(tProdutos[Desconto homologado],MATCH(tItens[[#This Row],[Produto]],tProdutos[Produto],0))),DescontoPadrao)</f>
        <v>0.33518005540166201</v>
      </c>
      <c r="M167" s="12">
        <f>tItens[[#This Row],[Valor]]*(1-tItens[[#This Row],[Desconto]])</f>
        <v>0</v>
      </c>
      <c r="N167" t="str">
        <f>IFERROR(INDEX(tProdutos[Foco],MATCH(tItens[[#This Row],[Produto]],tProdutos[Produto],0)),"Não")</f>
        <v>Não</v>
      </c>
      <c r="O167" t="str">
        <f>IFERROR(INDEX(tEditais[SRP],MATCH(tItens[[#This Row],[Edital]],tEditais[Edital],0)),"Não")</f>
        <v>Sim</v>
      </c>
      <c r="P167" s="4">
        <f>IF(COUNTIFS(INDEX(tItens[Edital],1):tItens[[#This Row],[Edital]],tItens[[#This Row],[Edital]],INDEX(tItens[Produto],1):tItens[[#This Row],[Produto]],tItens[[#This Row],[Produto]])=1,1,0)</f>
        <v>0</v>
      </c>
    </row>
    <row r="168" spans="1:16" x14ac:dyDescent="0.25">
      <c r="A168" t="s">
        <v>775</v>
      </c>
      <c r="B168">
        <v>18</v>
      </c>
      <c r="C168" t="s">
        <v>3392</v>
      </c>
      <c r="D168" t="s">
        <v>351</v>
      </c>
      <c r="E168" s="13">
        <v>300</v>
      </c>
      <c r="F168" s="12">
        <v>0</v>
      </c>
      <c r="G168" t="str">
        <f>IFERROR(INDEX(tEditais[Órgão],MATCH(tItens[[#This Row],[Edital]],tEditais[Edital],0)),"")</f>
        <v>MUNICIPIO DE BOA VISTA DO RAMOS</v>
      </c>
      <c r="H168" t="str">
        <f>IFERROR(INDEX(tEditais[UF],MATCH(tItens[[#This Row],[Edital]],tEditais[Edital],0)),"")</f>
        <v>AM</v>
      </c>
      <c r="I168" s="11">
        <f>IFERROR(INDEX(tEditais[Encerramento],MATCH(tItens[[#This Row],[Edital]],tEditais[Edital],0)),"")</f>
        <v>46308.291666666664</v>
      </c>
      <c r="J168" t="str">
        <f>IFERROR(INDEX(tProdutos[Classe],MATCH(tItens[[#This Row],[Produto]],tProdutos[Produto],0)),"produto não cadastrado")</f>
        <v>FORA</v>
      </c>
      <c r="K168" s="12">
        <f>tItens[[#This Row],[Qtd]]*tItens[[#This Row],[Vlr unit]]</f>
        <v>0</v>
      </c>
      <c r="L168" s="6">
        <f>IFERROR(IF(INDEX(tProdutos[Desconto homologado],MATCH(tItens[[#This Row],[Produto]],tProdutos[Produto],0))="",DescontoPadrao,INDEX(tProdutos[Desconto homologado],MATCH(tItens[[#This Row],[Produto]],tProdutos[Produto],0))),DescontoPadrao)</f>
        <v>0.33518005540166201</v>
      </c>
      <c r="M168" s="12">
        <f>tItens[[#This Row],[Valor]]*(1-tItens[[#This Row],[Desconto]])</f>
        <v>0</v>
      </c>
      <c r="N168" t="str">
        <f>IFERROR(INDEX(tProdutos[Foco],MATCH(tItens[[#This Row],[Produto]],tProdutos[Produto],0)),"Não")</f>
        <v>Não</v>
      </c>
      <c r="O168" t="str">
        <f>IFERROR(INDEX(tEditais[SRP],MATCH(tItens[[#This Row],[Edital]],tEditais[Edital],0)),"Não")</f>
        <v>Sim</v>
      </c>
      <c r="P168" s="4">
        <f>IF(COUNTIFS(INDEX(tItens[Edital],1):tItens[[#This Row],[Edital]],tItens[[#This Row],[Edital]],INDEX(tItens[Produto],1):tItens[[#This Row],[Produto]],tItens[[#This Row],[Produto]])=1,1,0)</f>
        <v>0</v>
      </c>
    </row>
    <row r="169" spans="1:16" x14ac:dyDescent="0.25">
      <c r="A169" t="s">
        <v>775</v>
      </c>
      <c r="B169">
        <v>32</v>
      </c>
      <c r="C169" t="s">
        <v>3393</v>
      </c>
      <c r="D169" t="s">
        <v>311</v>
      </c>
      <c r="E169" s="13">
        <v>200</v>
      </c>
      <c r="F169" s="12">
        <v>0</v>
      </c>
      <c r="G169" t="str">
        <f>IFERROR(INDEX(tEditais[Órgão],MATCH(tItens[[#This Row],[Edital]],tEditais[Edital],0)),"")</f>
        <v>MUNICIPIO DE BOA VISTA DO RAMOS</v>
      </c>
      <c r="H169" t="str">
        <f>IFERROR(INDEX(tEditais[UF],MATCH(tItens[[#This Row],[Edital]],tEditais[Edital],0)),"")</f>
        <v>AM</v>
      </c>
      <c r="I169" s="11">
        <f>IFERROR(INDEX(tEditais[Encerramento],MATCH(tItens[[#This Row],[Edital]],tEditais[Edital],0)),"")</f>
        <v>46308.291666666664</v>
      </c>
      <c r="J169" t="str">
        <f>IFERROR(INDEX(tProdutos[Classe],MATCH(tItens[[#This Row],[Produto]],tProdutos[Produto],0)),"produto não cadastrado")</f>
        <v>FORA</v>
      </c>
      <c r="K169" s="12">
        <f>tItens[[#This Row],[Qtd]]*tItens[[#This Row],[Vlr unit]]</f>
        <v>0</v>
      </c>
      <c r="L169" s="6">
        <f>IFERROR(IF(INDEX(tProdutos[Desconto homologado],MATCH(tItens[[#This Row],[Produto]],tProdutos[Produto],0))="",DescontoPadrao,INDEX(tProdutos[Desconto homologado],MATCH(tItens[[#This Row],[Produto]],tProdutos[Produto],0))),DescontoPadrao)</f>
        <v>0.29046182846371399</v>
      </c>
      <c r="M169" s="12">
        <f>tItens[[#This Row],[Valor]]*(1-tItens[[#This Row],[Desconto]])</f>
        <v>0</v>
      </c>
      <c r="N169" t="str">
        <f>IFERROR(INDEX(tProdutos[Foco],MATCH(tItens[[#This Row],[Produto]],tProdutos[Produto],0)),"Não")</f>
        <v>Não</v>
      </c>
      <c r="O169" t="str">
        <f>IFERROR(INDEX(tEditais[SRP],MATCH(tItens[[#This Row],[Edital]],tEditais[Edital],0)),"Não")</f>
        <v>Sim</v>
      </c>
      <c r="P169" s="4">
        <f>IF(COUNTIFS(INDEX(tItens[Edital],1):tItens[[#This Row],[Edital]],tItens[[#This Row],[Edital]],INDEX(tItens[Produto],1):tItens[[#This Row],[Produto]],tItens[[#This Row],[Produto]])=1,1,0)</f>
        <v>1</v>
      </c>
    </row>
    <row r="170" spans="1:16" x14ac:dyDescent="0.25">
      <c r="A170" t="s">
        <v>775</v>
      </c>
      <c r="B170">
        <v>33</v>
      </c>
      <c r="C170" t="s">
        <v>3394</v>
      </c>
      <c r="D170" t="s">
        <v>311</v>
      </c>
      <c r="E170" s="13">
        <v>200</v>
      </c>
      <c r="F170" s="12">
        <v>0</v>
      </c>
      <c r="G170" t="str">
        <f>IFERROR(INDEX(tEditais[Órgão],MATCH(tItens[[#This Row],[Edital]],tEditais[Edital],0)),"")</f>
        <v>MUNICIPIO DE BOA VISTA DO RAMOS</v>
      </c>
      <c r="H170" t="str">
        <f>IFERROR(INDEX(tEditais[UF],MATCH(tItens[[#This Row],[Edital]],tEditais[Edital],0)),"")</f>
        <v>AM</v>
      </c>
      <c r="I170" s="11">
        <f>IFERROR(INDEX(tEditais[Encerramento],MATCH(tItens[[#This Row],[Edital]],tEditais[Edital],0)),"")</f>
        <v>46308.291666666664</v>
      </c>
      <c r="J170" t="str">
        <f>IFERROR(INDEX(tProdutos[Classe],MATCH(tItens[[#This Row],[Produto]],tProdutos[Produto],0)),"produto não cadastrado")</f>
        <v>FORA</v>
      </c>
      <c r="K170" s="12">
        <f>tItens[[#This Row],[Qtd]]*tItens[[#This Row],[Vlr unit]]</f>
        <v>0</v>
      </c>
      <c r="L170" s="6">
        <f>IFERROR(IF(INDEX(tProdutos[Desconto homologado],MATCH(tItens[[#This Row],[Produto]],tProdutos[Produto],0))="",DescontoPadrao,INDEX(tProdutos[Desconto homologado],MATCH(tItens[[#This Row],[Produto]],tProdutos[Produto],0))),DescontoPadrao)</f>
        <v>0.29046182846371399</v>
      </c>
      <c r="M170" s="12">
        <f>tItens[[#This Row],[Valor]]*(1-tItens[[#This Row],[Desconto]])</f>
        <v>0</v>
      </c>
      <c r="N170" t="str">
        <f>IFERROR(INDEX(tProdutos[Foco],MATCH(tItens[[#This Row],[Produto]],tProdutos[Produto],0)),"Não")</f>
        <v>Não</v>
      </c>
      <c r="O170" t="str">
        <f>IFERROR(INDEX(tEditais[SRP],MATCH(tItens[[#This Row],[Edital]],tEditais[Edital],0)),"Não")</f>
        <v>Sim</v>
      </c>
      <c r="P170" s="4">
        <f>IF(COUNTIFS(INDEX(tItens[Edital],1):tItens[[#This Row],[Edital]],tItens[[#This Row],[Edital]],INDEX(tItens[Produto],1):tItens[[#This Row],[Produto]],tItens[[#This Row],[Produto]])=1,1,0)</f>
        <v>0</v>
      </c>
    </row>
    <row r="171" spans="1:16" x14ac:dyDescent="0.25">
      <c r="A171" t="s">
        <v>775</v>
      </c>
      <c r="B171">
        <v>34</v>
      </c>
      <c r="C171" t="s">
        <v>3395</v>
      </c>
      <c r="D171" t="s">
        <v>311</v>
      </c>
      <c r="E171" s="13">
        <v>700</v>
      </c>
      <c r="F171" s="12">
        <v>0</v>
      </c>
      <c r="G171" t="str">
        <f>IFERROR(INDEX(tEditais[Órgão],MATCH(tItens[[#This Row],[Edital]],tEditais[Edital],0)),"")</f>
        <v>MUNICIPIO DE BOA VISTA DO RAMOS</v>
      </c>
      <c r="H171" t="str">
        <f>IFERROR(INDEX(tEditais[UF],MATCH(tItens[[#This Row],[Edital]],tEditais[Edital],0)),"")</f>
        <v>AM</v>
      </c>
      <c r="I171" s="11">
        <f>IFERROR(INDEX(tEditais[Encerramento],MATCH(tItens[[#This Row],[Edital]],tEditais[Edital],0)),"")</f>
        <v>46308.291666666664</v>
      </c>
      <c r="J171" t="str">
        <f>IFERROR(INDEX(tProdutos[Classe],MATCH(tItens[[#This Row],[Produto]],tProdutos[Produto],0)),"produto não cadastrado")</f>
        <v>FORA</v>
      </c>
      <c r="K171" s="12">
        <f>tItens[[#This Row],[Qtd]]*tItens[[#This Row],[Vlr unit]]</f>
        <v>0</v>
      </c>
      <c r="L171" s="6">
        <f>IFERROR(IF(INDEX(tProdutos[Desconto homologado],MATCH(tItens[[#This Row],[Produto]],tProdutos[Produto],0))="",DescontoPadrao,INDEX(tProdutos[Desconto homologado],MATCH(tItens[[#This Row],[Produto]],tProdutos[Produto],0))),DescontoPadrao)</f>
        <v>0.29046182846371399</v>
      </c>
      <c r="M171" s="12">
        <f>tItens[[#This Row],[Valor]]*(1-tItens[[#This Row],[Desconto]])</f>
        <v>0</v>
      </c>
      <c r="N171" t="str">
        <f>IFERROR(INDEX(tProdutos[Foco],MATCH(tItens[[#This Row],[Produto]],tProdutos[Produto],0)),"Não")</f>
        <v>Não</v>
      </c>
      <c r="O171" t="str">
        <f>IFERROR(INDEX(tEditais[SRP],MATCH(tItens[[#This Row],[Edital]],tEditais[Edital],0)),"Não")</f>
        <v>Sim</v>
      </c>
      <c r="P171" s="4">
        <f>IF(COUNTIFS(INDEX(tItens[Edital],1):tItens[[#This Row],[Edital]],tItens[[#This Row],[Edital]],INDEX(tItens[Produto],1):tItens[[#This Row],[Produto]],tItens[[#This Row],[Produto]])=1,1,0)</f>
        <v>0</v>
      </c>
    </row>
    <row r="172" spans="1:16" x14ac:dyDescent="0.25">
      <c r="A172" t="s">
        <v>775</v>
      </c>
      <c r="B172">
        <v>35</v>
      </c>
      <c r="C172" t="s">
        <v>3396</v>
      </c>
      <c r="D172" t="s">
        <v>311</v>
      </c>
      <c r="E172" s="13">
        <v>1000</v>
      </c>
      <c r="F172" s="12">
        <v>0</v>
      </c>
      <c r="G172" t="str">
        <f>IFERROR(INDEX(tEditais[Órgão],MATCH(tItens[[#This Row],[Edital]],tEditais[Edital],0)),"")</f>
        <v>MUNICIPIO DE BOA VISTA DO RAMOS</v>
      </c>
      <c r="H172" t="str">
        <f>IFERROR(INDEX(tEditais[UF],MATCH(tItens[[#This Row],[Edital]],tEditais[Edital],0)),"")</f>
        <v>AM</v>
      </c>
      <c r="I172" s="11">
        <f>IFERROR(INDEX(tEditais[Encerramento],MATCH(tItens[[#This Row],[Edital]],tEditais[Edital],0)),"")</f>
        <v>46308.291666666664</v>
      </c>
      <c r="J172" t="str">
        <f>IFERROR(INDEX(tProdutos[Classe],MATCH(tItens[[#This Row],[Produto]],tProdutos[Produto],0)),"produto não cadastrado")</f>
        <v>FORA</v>
      </c>
      <c r="K172" s="12">
        <f>tItens[[#This Row],[Qtd]]*tItens[[#This Row],[Vlr unit]]</f>
        <v>0</v>
      </c>
      <c r="L172" s="6">
        <f>IFERROR(IF(INDEX(tProdutos[Desconto homologado],MATCH(tItens[[#This Row],[Produto]],tProdutos[Produto],0))="",DescontoPadrao,INDEX(tProdutos[Desconto homologado],MATCH(tItens[[#This Row],[Produto]],tProdutos[Produto],0))),DescontoPadrao)</f>
        <v>0.29046182846371399</v>
      </c>
      <c r="M172" s="12">
        <f>tItens[[#This Row],[Valor]]*(1-tItens[[#This Row],[Desconto]])</f>
        <v>0</v>
      </c>
      <c r="N172" t="str">
        <f>IFERROR(INDEX(tProdutos[Foco],MATCH(tItens[[#This Row],[Produto]],tProdutos[Produto],0)),"Não")</f>
        <v>Não</v>
      </c>
      <c r="O172" t="str">
        <f>IFERROR(INDEX(tEditais[SRP],MATCH(tItens[[#This Row],[Edital]],tEditais[Edital],0)),"Não")</f>
        <v>Sim</v>
      </c>
      <c r="P172" s="4">
        <f>IF(COUNTIFS(INDEX(tItens[Edital],1):tItens[[#This Row],[Edital]],tItens[[#This Row],[Edital]],INDEX(tItens[Produto],1):tItens[[#This Row],[Produto]],tItens[[#This Row],[Produto]])=1,1,0)</f>
        <v>0</v>
      </c>
    </row>
    <row r="173" spans="1:16" x14ac:dyDescent="0.25">
      <c r="A173" t="s">
        <v>775</v>
      </c>
      <c r="B173">
        <v>36</v>
      </c>
      <c r="C173" t="s">
        <v>3397</v>
      </c>
      <c r="D173" t="s">
        <v>311</v>
      </c>
      <c r="E173" s="13">
        <v>1200</v>
      </c>
      <c r="F173" s="12">
        <v>0</v>
      </c>
      <c r="G173" t="str">
        <f>IFERROR(INDEX(tEditais[Órgão],MATCH(tItens[[#This Row],[Edital]],tEditais[Edital],0)),"")</f>
        <v>MUNICIPIO DE BOA VISTA DO RAMOS</v>
      </c>
      <c r="H173" t="str">
        <f>IFERROR(INDEX(tEditais[UF],MATCH(tItens[[#This Row],[Edital]],tEditais[Edital],0)),"")</f>
        <v>AM</v>
      </c>
      <c r="I173" s="11">
        <f>IFERROR(INDEX(tEditais[Encerramento],MATCH(tItens[[#This Row],[Edital]],tEditais[Edital],0)),"")</f>
        <v>46308.291666666664</v>
      </c>
      <c r="J173" t="str">
        <f>IFERROR(INDEX(tProdutos[Classe],MATCH(tItens[[#This Row],[Produto]],tProdutos[Produto],0)),"produto não cadastrado")</f>
        <v>FORA</v>
      </c>
      <c r="K173" s="12">
        <f>tItens[[#This Row],[Qtd]]*tItens[[#This Row],[Vlr unit]]</f>
        <v>0</v>
      </c>
      <c r="L173" s="6">
        <f>IFERROR(IF(INDEX(tProdutos[Desconto homologado],MATCH(tItens[[#This Row],[Produto]],tProdutos[Produto],0))="",DescontoPadrao,INDEX(tProdutos[Desconto homologado],MATCH(tItens[[#This Row],[Produto]],tProdutos[Produto],0))),DescontoPadrao)</f>
        <v>0.29046182846371399</v>
      </c>
      <c r="M173" s="12">
        <f>tItens[[#This Row],[Valor]]*(1-tItens[[#This Row],[Desconto]])</f>
        <v>0</v>
      </c>
      <c r="N173" t="str">
        <f>IFERROR(INDEX(tProdutos[Foco],MATCH(tItens[[#This Row],[Produto]],tProdutos[Produto],0)),"Não")</f>
        <v>Não</v>
      </c>
      <c r="O173" t="str">
        <f>IFERROR(INDEX(tEditais[SRP],MATCH(tItens[[#This Row],[Edital]],tEditais[Edital],0)),"Não")</f>
        <v>Sim</v>
      </c>
      <c r="P173" s="4">
        <f>IF(COUNTIFS(INDEX(tItens[Edital],1):tItens[[#This Row],[Edital]],tItens[[#This Row],[Edital]],INDEX(tItens[Produto],1):tItens[[#This Row],[Produto]],tItens[[#This Row],[Produto]])=1,1,0)</f>
        <v>0</v>
      </c>
    </row>
    <row r="174" spans="1:16" x14ac:dyDescent="0.25">
      <c r="A174" t="s">
        <v>775</v>
      </c>
      <c r="B174">
        <v>37</v>
      </c>
      <c r="C174" t="s">
        <v>3398</v>
      </c>
      <c r="D174" t="s">
        <v>371</v>
      </c>
      <c r="E174" s="13">
        <v>7500</v>
      </c>
      <c r="F174" s="12">
        <v>0</v>
      </c>
      <c r="G174" t="str">
        <f>IFERROR(INDEX(tEditais[Órgão],MATCH(tItens[[#This Row],[Edital]],tEditais[Edital],0)),"")</f>
        <v>MUNICIPIO DE BOA VISTA DO RAMOS</v>
      </c>
      <c r="H174" t="str">
        <f>IFERROR(INDEX(tEditais[UF],MATCH(tItens[[#This Row],[Edital]],tEditais[Edital],0)),"")</f>
        <v>AM</v>
      </c>
      <c r="I174" s="11">
        <f>IFERROR(INDEX(tEditais[Encerramento],MATCH(tItens[[#This Row],[Edital]],tEditais[Edital],0)),"")</f>
        <v>46308.291666666664</v>
      </c>
      <c r="J174" t="str">
        <f>IFERROR(INDEX(tProdutos[Classe],MATCH(tItens[[#This Row],[Produto]],tProdutos[Produto],0)),"produto não cadastrado")</f>
        <v>FORA</v>
      </c>
      <c r="K174" s="12">
        <f>tItens[[#This Row],[Qtd]]*tItens[[#This Row],[Vlr unit]]</f>
        <v>0</v>
      </c>
      <c r="L174" s="6">
        <f>IFERROR(IF(INDEX(tProdutos[Desconto homologado],MATCH(tItens[[#This Row],[Produto]],tProdutos[Produto],0))="",DescontoPadrao,INDEX(tProdutos[Desconto homologado],MATCH(tItens[[#This Row],[Produto]],tProdutos[Produto],0))),DescontoPadrao)</f>
        <v>0.217826086956522</v>
      </c>
      <c r="M174" s="12">
        <f>tItens[[#This Row],[Valor]]*(1-tItens[[#This Row],[Desconto]])</f>
        <v>0</v>
      </c>
      <c r="N174" t="str">
        <f>IFERROR(INDEX(tProdutos[Foco],MATCH(tItens[[#This Row],[Produto]],tProdutos[Produto],0)),"Não")</f>
        <v>Não</v>
      </c>
      <c r="O174" t="str">
        <f>IFERROR(INDEX(tEditais[SRP],MATCH(tItens[[#This Row],[Edital]],tEditais[Edital],0)),"Não")</f>
        <v>Sim</v>
      </c>
      <c r="P174" s="4">
        <f>IF(COUNTIFS(INDEX(tItens[Edital],1):tItens[[#This Row],[Edital]],tItens[[#This Row],[Edital]],INDEX(tItens[Produto],1):tItens[[#This Row],[Produto]],tItens[[#This Row],[Produto]])=1,1,0)</f>
        <v>1</v>
      </c>
    </row>
    <row r="175" spans="1:16" x14ac:dyDescent="0.25">
      <c r="A175" t="s">
        <v>775</v>
      </c>
      <c r="B175">
        <v>38</v>
      </c>
      <c r="C175" t="s">
        <v>3399</v>
      </c>
      <c r="D175" t="s">
        <v>279</v>
      </c>
      <c r="E175" s="13">
        <v>1000</v>
      </c>
      <c r="F175" s="12">
        <v>0</v>
      </c>
      <c r="G175" t="str">
        <f>IFERROR(INDEX(tEditais[Órgão],MATCH(tItens[[#This Row],[Edital]],tEditais[Edital],0)),"")</f>
        <v>MUNICIPIO DE BOA VISTA DO RAMOS</v>
      </c>
      <c r="H175" t="str">
        <f>IFERROR(INDEX(tEditais[UF],MATCH(tItens[[#This Row],[Edital]],tEditais[Edital],0)),"")</f>
        <v>AM</v>
      </c>
      <c r="I175" s="11">
        <f>IFERROR(INDEX(tEditais[Encerramento],MATCH(tItens[[#This Row],[Edital]],tEditais[Edital],0)),"")</f>
        <v>46308.291666666664</v>
      </c>
      <c r="J175" t="str">
        <f>IFERROR(INDEX(tProdutos[Classe],MATCH(tItens[[#This Row],[Produto]],tProdutos[Produto],0)),"produto não cadastrado")</f>
        <v>FORA</v>
      </c>
      <c r="K175" s="12">
        <f>tItens[[#This Row],[Qtd]]*tItens[[#This Row],[Vlr unit]]</f>
        <v>0</v>
      </c>
      <c r="L175" s="6">
        <f>IFERROR(IF(INDEX(tProdutos[Desconto homologado],MATCH(tItens[[#This Row],[Produto]],tProdutos[Produto],0))="",DescontoPadrao,INDEX(tProdutos[Desconto homologado],MATCH(tItens[[#This Row],[Produto]],tProdutos[Produto],0))),DescontoPadrao)</f>
        <v>0.28909090909090901</v>
      </c>
      <c r="M175" s="12">
        <f>tItens[[#This Row],[Valor]]*(1-tItens[[#This Row],[Desconto]])</f>
        <v>0</v>
      </c>
      <c r="N175" t="str">
        <f>IFERROR(INDEX(tProdutos[Foco],MATCH(tItens[[#This Row],[Produto]],tProdutos[Produto],0)),"Não")</f>
        <v>Não</v>
      </c>
      <c r="O175" t="str">
        <f>IFERROR(INDEX(tEditais[SRP],MATCH(tItens[[#This Row],[Edital]],tEditais[Edital],0)),"Não")</f>
        <v>Sim</v>
      </c>
      <c r="P175" s="4">
        <f>IF(COUNTIFS(INDEX(tItens[Edital],1):tItens[[#This Row],[Edital]],tItens[[#This Row],[Edital]],INDEX(tItens[Produto],1):tItens[[#This Row],[Produto]],tItens[[#This Row],[Produto]])=1,1,0)</f>
        <v>1</v>
      </c>
    </row>
    <row r="176" spans="1:16" x14ac:dyDescent="0.25">
      <c r="A176" t="s">
        <v>775</v>
      </c>
      <c r="B176">
        <v>39</v>
      </c>
      <c r="C176" t="s">
        <v>3400</v>
      </c>
      <c r="D176" t="s">
        <v>279</v>
      </c>
      <c r="E176" s="13">
        <v>1000</v>
      </c>
      <c r="F176" s="12">
        <v>0</v>
      </c>
      <c r="G176" t="str">
        <f>IFERROR(INDEX(tEditais[Órgão],MATCH(tItens[[#This Row],[Edital]],tEditais[Edital],0)),"")</f>
        <v>MUNICIPIO DE BOA VISTA DO RAMOS</v>
      </c>
      <c r="H176" t="str">
        <f>IFERROR(INDEX(tEditais[UF],MATCH(tItens[[#This Row],[Edital]],tEditais[Edital],0)),"")</f>
        <v>AM</v>
      </c>
      <c r="I176" s="11">
        <f>IFERROR(INDEX(tEditais[Encerramento],MATCH(tItens[[#This Row],[Edital]],tEditais[Edital],0)),"")</f>
        <v>46308.291666666664</v>
      </c>
      <c r="J176" t="str">
        <f>IFERROR(INDEX(tProdutos[Classe],MATCH(tItens[[#This Row],[Produto]],tProdutos[Produto],0)),"produto não cadastrado")</f>
        <v>FORA</v>
      </c>
      <c r="K176" s="12">
        <f>tItens[[#This Row],[Qtd]]*tItens[[#This Row],[Vlr unit]]</f>
        <v>0</v>
      </c>
      <c r="L176" s="6">
        <f>IFERROR(IF(INDEX(tProdutos[Desconto homologado],MATCH(tItens[[#This Row],[Produto]],tProdutos[Produto],0))="",DescontoPadrao,INDEX(tProdutos[Desconto homologado],MATCH(tItens[[#This Row],[Produto]],tProdutos[Produto],0))),DescontoPadrao)</f>
        <v>0.28909090909090901</v>
      </c>
      <c r="M176" s="12">
        <f>tItens[[#This Row],[Valor]]*(1-tItens[[#This Row],[Desconto]])</f>
        <v>0</v>
      </c>
      <c r="N176" t="str">
        <f>IFERROR(INDEX(tProdutos[Foco],MATCH(tItens[[#This Row],[Produto]],tProdutos[Produto],0)),"Não")</f>
        <v>Não</v>
      </c>
      <c r="O176" t="str">
        <f>IFERROR(INDEX(tEditais[SRP],MATCH(tItens[[#This Row],[Edital]],tEditais[Edital],0)),"Não")</f>
        <v>Sim</v>
      </c>
      <c r="P176" s="4">
        <f>IF(COUNTIFS(INDEX(tItens[Edital],1):tItens[[#This Row],[Edital]],tItens[[#This Row],[Edital]],INDEX(tItens[Produto],1):tItens[[#This Row],[Produto]],tItens[[#This Row],[Produto]])=1,1,0)</f>
        <v>0</v>
      </c>
    </row>
    <row r="177" spans="1:16" x14ac:dyDescent="0.25">
      <c r="A177" t="s">
        <v>775</v>
      </c>
      <c r="B177">
        <v>40</v>
      </c>
      <c r="C177" t="s">
        <v>3401</v>
      </c>
      <c r="D177" t="s">
        <v>279</v>
      </c>
      <c r="E177" s="13">
        <v>1500</v>
      </c>
      <c r="F177" s="12">
        <v>0</v>
      </c>
      <c r="G177" t="str">
        <f>IFERROR(INDEX(tEditais[Órgão],MATCH(tItens[[#This Row],[Edital]],tEditais[Edital],0)),"")</f>
        <v>MUNICIPIO DE BOA VISTA DO RAMOS</v>
      </c>
      <c r="H177" t="str">
        <f>IFERROR(INDEX(tEditais[UF],MATCH(tItens[[#This Row],[Edital]],tEditais[Edital],0)),"")</f>
        <v>AM</v>
      </c>
      <c r="I177" s="11">
        <f>IFERROR(INDEX(tEditais[Encerramento],MATCH(tItens[[#This Row],[Edital]],tEditais[Edital],0)),"")</f>
        <v>46308.291666666664</v>
      </c>
      <c r="J177" t="str">
        <f>IFERROR(INDEX(tProdutos[Classe],MATCH(tItens[[#This Row],[Produto]],tProdutos[Produto],0)),"produto não cadastrado")</f>
        <v>FORA</v>
      </c>
      <c r="K177" s="12">
        <f>tItens[[#This Row],[Qtd]]*tItens[[#This Row],[Vlr unit]]</f>
        <v>0</v>
      </c>
      <c r="L177" s="6">
        <f>IFERROR(IF(INDEX(tProdutos[Desconto homologado],MATCH(tItens[[#This Row],[Produto]],tProdutos[Produto],0))="",DescontoPadrao,INDEX(tProdutos[Desconto homologado],MATCH(tItens[[#This Row],[Produto]],tProdutos[Produto],0))),DescontoPadrao)</f>
        <v>0.28909090909090901</v>
      </c>
      <c r="M177" s="12">
        <f>tItens[[#This Row],[Valor]]*(1-tItens[[#This Row],[Desconto]])</f>
        <v>0</v>
      </c>
      <c r="N177" t="str">
        <f>IFERROR(INDEX(tProdutos[Foco],MATCH(tItens[[#This Row],[Produto]],tProdutos[Produto],0)),"Não")</f>
        <v>Não</v>
      </c>
      <c r="O177" t="str">
        <f>IFERROR(INDEX(tEditais[SRP],MATCH(tItens[[#This Row],[Edital]],tEditais[Edital],0)),"Não")</f>
        <v>Sim</v>
      </c>
      <c r="P177" s="4">
        <f>IF(COUNTIFS(INDEX(tItens[Edital],1):tItens[[#This Row],[Edital]],tItens[[#This Row],[Edital]],INDEX(tItens[Produto],1):tItens[[#This Row],[Produto]],tItens[[#This Row],[Produto]])=1,1,0)</f>
        <v>0</v>
      </c>
    </row>
    <row r="178" spans="1:16" x14ac:dyDescent="0.25">
      <c r="A178" t="s">
        <v>775</v>
      </c>
      <c r="B178">
        <v>41</v>
      </c>
      <c r="C178" t="s">
        <v>3402</v>
      </c>
      <c r="D178" t="s">
        <v>160</v>
      </c>
      <c r="E178" s="13">
        <v>2000</v>
      </c>
      <c r="F178" s="12">
        <v>0</v>
      </c>
      <c r="G178" t="str">
        <f>IFERROR(INDEX(tEditais[Órgão],MATCH(tItens[[#This Row],[Edital]],tEditais[Edital],0)),"")</f>
        <v>MUNICIPIO DE BOA VISTA DO RAMOS</v>
      </c>
      <c r="H178" t="str">
        <f>IFERROR(INDEX(tEditais[UF],MATCH(tItens[[#This Row],[Edital]],tEditais[Edital],0)),"")</f>
        <v>AM</v>
      </c>
      <c r="I178" s="11">
        <f>IFERROR(INDEX(tEditais[Encerramento],MATCH(tItens[[#This Row],[Edital]],tEditais[Edital],0)),"")</f>
        <v>46308.291666666664</v>
      </c>
      <c r="J178" t="str">
        <f>IFERROR(INDEX(tProdutos[Classe],MATCH(tItens[[#This Row],[Produto]],tProdutos[Produto],0)),"produto não cadastrado")</f>
        <v>DISPUTADO</v>
      </c>
      <c r="K178" s="12">
        <f>tItens[[#This Row],[Qtd]]*tItens[[#This Row],[Vlr unit]]</f>
        <v>0</v>
      </c>
      <c r="L178" s="6">
        <f>IFERROR(IF(INDEX(tProdutos[Desconto homologado],MATCH(tItens[[#This Row],[Produto]],tProdutos[Produto],0))="",DescontoPadrao,INDEX(tProdutos[Desconto homologado],MATCH(tItens[[#This Row],[Produto]],tProdutos[Produto],0))),DescontoPadrao)</f>
        <v>0.28000000000000003</v>
      </c>
      <c r="M178" s="12">
        <f>tItens[[#This Row],[Valor]]*(1-tItens[[#This Row],[Desconto]])</f>
        <v>0</v>
      </c>
      <c r="N178" t="str">
        <f>IFERROR(INDEX(tProdutos[Foco],MATCH(tItens[[#This Row],[Produto]],tProdutos[Produto],0)),"Não")</f>
        <v>Sim</v>
      </c>
      <c r="O178" t="str">
        <f>IFERROR(INDEX(tEditais[SRP],MATCH(tItens[[#This Row],[Edital]],tEditais[Edital],0)),"Não")</f>
        <v>Sim</v>
      </c>
      <c r="P178" s="4">
        <f>IF(COUNTIFS(INDEX(tItens[Edital],1):tItens[[#This Row],[Edital]],tItens[[#This Row],[Edital]],INDEX(tItens[Produto],1):tItens[[#This Row],[Produto]],tItens[[#This Row],[Produto]])=1,1,0)</f>
        <v>1</v>
      </c>
    </row>
    <row r="179" spans="1:16" x14ac:dyDescent="0.25">
      <c r="A179" t="s">
        <v>775</v>
      </c>
      <c r="B179">
        <v>42</v>
      </c>
      <c r="C179" t="s">
        <v>3403</v>
      </c>
      <c r="D179" t="s">
        <v>160</v>
      </c>
      <c r="E179" s="13">
        <v>2000</v>
      </c>
      <c r="F179" s="12">
        <v>0</v>
      </c>
      <c r="G179" t="str">
        <f>IFERROR(INDEX(tEditais[Órgão],MATCH(tItens[[#This Row],[Edital]],tEditais[Edital],0)),"")</f>
        <v>MUNICIPIO DE BOA VISTA DO RAMOS</v>
      </c>
      <c r="H179" t="str">
        <f>IFERROR(INDEX(tEditais[UF],MATCH(tItens[[#This Row],[Edital]],tEditais[Edital],0)),"")</f>
        <v>AM</v>
      </c>
      <c r="I179" s="11">
        <f>IFERROR(INDEX(tEditais[Encerramento],MATCH(tItens[[#This Row],[Edital]],tEditais[Edital],0)),"")</f>
        <v>46308.291666666664</v>
      </c>
      <c r="J179" t="str">
        <f>IFERROR(INDEX(tProdutos[Classe],MATCH(tItens[[#This Row],[Produto]],tProdutos[Produto],0)),"produto não cadastrado")</f>
        <v>DISPUTADO</v>
      </c>
      <c r="K179" s="12">
        <f>tItens[[#This Row],[Qtd]]*tItens[[#This Row],[Vlr unit]]</f>
        <v>0</v>
      </c>
      <c r="L179" s="6">
        <f>IFERROR(IF(INDEX(tProdutos[Desconto homologado],MATCH(tItens[[#This Row],[Produto]],tProdutos[Produto],0))="",DescontoPadrao,INDEX(tProdutos[Desconto homologado],MATCH(tItens[[#This Row],[Produto]],tProdutos[Produto],0))),DescontoPadrao)</f>
        <v>0.28000000000000003</v>
      </c>
      <c r="M179" s="12">
        <f>tItens[[#This Row],[Valor]]*(1-tItens[[#This Row],[Desconto]])</f>
        <v>0</v>
      </c>
      <c r="N179" t="str">
        <f>IFERROR(INDEX(tProdutos[Foco],MATCH(tItens[[#This Row],[Produto]],tProdutos[Produto],0)),"Não")</f>
        <v>Sim</v>
      </c>
      <c r="O179" t="str">
        <f>IFERROR(INDEX(tEditais[SRP],MATCH(tItens[[#This Row],[Edital]],tEditais[Edital],0)),"Não")</f>
        <v>Sim</v>
      </c>
      <c r="P179" s="4">
        <f>IF(COUNTIFS(INDEX(tItens[Edital],1):tItens[[#This Row],[Edital]],tItens[[#This Row],[Edital]],INDEX(tItens[Produto],1):tItens[[#This Row],[Produto]],tItens[[#This Row],[Produto]])=1,1,0)</f>
        <v>0</v>
      </c>
    </row>
    <row r="180" spans="1:16" x14ac:dyDescent="0.25">
      <c r="A180" t="s">
        <v>775</v>
      </c>
      <c r="B180">
        <v>54</v>
      </c>
      <c r="C180" t="s">
        <v>3404</v>
      </c>
      <c r="D180" t="s">
        <v>299</v>
      </c>
      <c r="E180" s="13">
        <v>20</v>
      </c>
      <c r="F180" s="12">
        <v>0</v>
      </c>
      <c r="G180" t="str">
        <f>IFERROR(INDEX(tEditais[Órgão],MATCH(tItens[[#This Row],[Edital]],tEditais[Edital],0)),"")</f>
        <v>MUNICIPIO DE BOA VISTA DO RAMOS</v>
      </c>
      <c r="H180" t="str">
        <f>IFERROR(INDEX(tEditais[UF],MATCH(tItens[[#This Row],[Edital]],tEditais[Edital],0)),"")</f>
        <v>AM</v>
      </c>
      <c r="I180" s="11">
        <f>IFERROR(INDEX(tEditais[Encerramento],MATCH(tItens[[#This Row],[Edital]],tEditais[Edital],0)),"")</f>
        <v>46308.291666666664</v>
      </c>
      <c r="J180" t="str">
        <f>IFERROR(INDEX(tProdutos[Classe],MATCH(tItens[[#This Row],[Produto]],tProdutos[Produto],0)),"produto não cadastrado")</f>
        <v>FORA</v>
      </c>
      <c r="K180" s="12">
        <f>tItens[[#This Row],[Qtd]]*tItens[[#This Row],[Vlr unit]]</f>
        <v>0</v>
      </c>
      <c r="L180" s="6">
        <f>IFERROR(IF(INDEX(tProdutos[Desconto homologado],MATCH(tItens[[#This Row],[Produto]],tProdutos[Produto],0))="",DescontoPadrao,INDEX(tProdutos[Desconto homologado],MATCH(tItens[[#This Row],[Produto]],tProdutos[Produto],0))),DescontoPadrao)</f>
        <v>0.42211465163381601</v>
      </c>
      <c r="M180" s="12">
        <f>tItens[[#This Row],[Valor]]*(1-tItens[[#This Row],[Desconto]])</f>
        <v>0</v>
      </c>
      <c r="N180" t="str">
        <f>IFERROR(INDEX(tProdutos[Foco],MATCH(tItens[[#This Row],[Produto]],tProdutos[Produto],0)),"Não")</f>
        <v>Não</v>
      </c>
      <c r="O180" t="str">
        <f>IFERROR(INDEX(tEditais[SRP],MATCH(tItens[[#This Row],[Edital]],tEditais[Edital],0)),"Não")</f>
        <v>Sim</v>
      </c>
      <c r="P180" s="4">
        <f>IF(COUNTIFS(INDEX(tItens[Edital],1):tItens[[#This Row],[Edital]],tItens[[#This Row],[Edital]],INDEX(tItens[Produto],1):tItens[[#This Row],[Produto]],tItens[[#This Row],[Produto]])=1,1,0)</f>
        <v>1</v>
      </c>
    </row>
    <row r="181" spans="1:16" x14ac:dyDescent="0.25">
      <c r="A181" t="s">
        <v>775</v>
      </c>
      <c r="B181">
        <v>57</v>
      </c>
      <c r="C181" t="s">
        <v>3405</v>
      </c>
      <c r="D181" t="s">
        <v>638</v>
      </c>
      <c r="E181" s="13">
        <v>100</v>
      </c>
      <c r="F181" s="12">
        <v>0</v>
      </c>
      <c r="G181" t="str">
        <f>IFERROR(INDEX(tEditais[Órgão],MATCH(tItens[[#This Row],[Edital]],tEditais[Edital],0)),"")</f>
        <v>MUNICIPIO DE BOA VISTA DO RAMOS</v>
      </c>
      <c r="H181" t="str">
        <f>IFERROR(INDEX(tEditais[UF],MATCH(tItens[[#This Row],[Edital]],tEditais[Edital],0)),"")</f>
        <v>AM</v>
      </c>
      <c r="I181" s="11">
        <f>IFERROR(INDEX(tEditais[Encerramento],MATCH(tItens[[#This Row],[Edital]],tEditais[Edital],0)),"")</f>
        <v>46308.291666666664</v>
      </c>
      <c r="J181" t="str">
        <f>IFERROR(INDEX(tProdutos[Classe],MATCH(tItens[[#This Row],[Produto]],tProdutos[Produto],0)),"produto não cadastrado")</f>
        <v>FILA REBASE</v>
      </c>
      <c r="K181" s="12">
        <f>tItens[[#This Row],[Qtd]]*tItens[[#This Row],[Vlr unit]]</f>
        <v>0</v>
      </c>
      <c r="L181" s="6">
        <f>IFERROR(IF(INDEX(tProdutos[Desconto homologado],MATCH(tItens[[#This Row],[Produto]],tProdutos[Produto],0))="",DescontoPadrao,INDEX(tProdutos[Desconto homologado],MATCH(tItens[[#This Row],[Produto]],tProdutos[Produto],0))),DescontoPadrao)</f>
        <v>0.487179487179487</v>
      </c>
      <c r="M181" s="12">
        <f>tItens[[#This Row],[Valor]]*(1-tItens[[#This Row],[Desconto]])</f>
        <v>0</v>
      </c>
      <c r="N181" t="str">
        <f>IFERROR(INDEX(tProdutos[Foco],MATCH(tItens[[#This Row],[Produto]],tProdutos[Produto],0)),"Não")</f>
        <v>Não</v>
      </c>
      <c r="O181" t="str">
        <f>IFERROR(INDEX(tEditais[SRP],MATCH(tItens[[#This Row],[Edital]],tEditais[Edital],0)),"Não")</f>
        <v>Sim</v>
      </c>
      <c r="P181" s="4">
        <f>IF(COUNTIFS(INDEX(tItens[Edital],1):tItens[[#This Row],[Edital]],tItens[[#This Row],[Edital]],INDEX(tItens[Produto],1):tItens[[#This Row],[Produto]],tItens[[#This Row],[Produto]])=1,1,0)</f>
        <v>1</v>
      </c>
    </row>
    <row r="182" spans="1:16" x14ac:dyDescent="0.25">
      <c r="A182" t="s">
        <v>775</v>
      </c>
      <c r="B182">
        <v>58</v>
      </c>
      <c r="C182" t="s">
        <v>3406</v>
      </c>
      <c r="D182" t="s">
        <v>638</v>
      </c>
      <c r="E182" s="13">
        <v>100</v>
      </c>
      <c r="F182" s="12">
        <v>0</v>
      </c>
      <c r="G182" t="str">
        <f>IFERROR(INDEX(tEditais[Órgão],MATCH(tItens[[#This Row],[Edital]],tEditais[Edital],0)),"")</f>
        <v>MUNICIPIO DE BOA VISTA DO RAMOS</v>
      </c>
      <c r="H182" t="str">
        <f>IFERROR(INDEX(tEditais[UF],MATCH(tItens[[#This Row],[Edital]],tEditais[Edital],0)),"")</f>
        <v>AM</v>
      </c>
      <c r="I182" s="11">
        <f>IFERROR(INDEX(tEditais[Encerramento],MATCH(tItens[[#This Row],[Edital]],tEditais[Edital],0)),"")</f>
        <v>46308.291666666664</v>
      </c>
      <c r="J182" t="str">
        <f>IFERROR(INDEX(tProdutos[Classe],MATCH(tItens[[#This Row],[Produto]],tProdutos[Produto],0)),"produto não cadastrado")</f>
        <v>FILA REBASE</v>
      </c>
      <c r="K182" s="12">
        <f>tItens[[#This Row],[Qtd]]*tItens[[#This Row],[Vlr unit]]</f>
        <v>0</v>
      </c>
      <c r="L182" s="6">
        <f>IFERROR(IF(INDEX(tProdutos[Desconto homologado],MATCH(tItens[[#This Row],[Produto]],tProdutos[Produto],0))="",DescontoPadrao,INDEX(tProdutos[Desconto homologado],MATCH(tItens[[#This Row],[Produto]],tProdutos[Produto],0))),DescontoPadrao)</f>
        <v>0.487179487179487</v>
      </c>
      <c r="M182" s="12">
        <f>tItens[[#This Row],[Valor]]*(1-tItens[[#This Row],[Desconto]])</f>
        <v>0</v>
      </c>
      <c r="N182" t="str">
        <f>IFERROR(INDEX(tProdutos[Foco],MATCH(tItens[[#This Row],[Produto]],tProdutos[Produto],0)),"Não")</f>
        <v>Não</v>
      </c>
      <c r="O182" t="str">
        <f>IFERROR(INDEX(tEditais[SRP],MATCH(tItens[[#This Row],[Edital]],tEditais[Edital],0)),"Não")</f>
        <v>Sim</v>
      </c>
      <c r="P182" s="4">
        <f>IF(COUNTIFS(INDEX(tItens[Edital],1):tItens[[#This Row],[Edital]],tItens[[#This Row],[Edital]],INDEX(tItens[Produto],1):tItens[[#This Row],[Produto]],tItens[[#This Row],[Produto]])=1,1,0)</f>
        <v>0</v>
      </c>
    </row>
    <row r="183" spans="1:16" x14ac:dyDescent="0.25">
      <c r="A183" t="s">
        <v>775</v>
      </c>
      <c r="B183">
        <v>59</v>
      </c>
      <c r="C183" t="s">
        <v>3407</v>
      </c>
      <c r="D183" t="s">
        <v>90</v>
      </c>
      <c r="E183" s="13">
        <v>600</v>
      </c>
      <c r="F183" s="12">
        <v>0</v>
      </c>
      <c r="G183" t="str">
        <f>IFERROR(INDEX(tEditais[Órgão],MATCH(tItens[[#This Row],[Edital]],tEditais[Edital],0)),"")</f>
        <v>MUNICIPIO DE BOA VISTA DO RAMOS</v>
      </c>
      <c r="H183" t="str">
        <f>IFERROR(INDEX(tEditais[UF],MATCH(tItens[[#This Row],[Edital]],tEditais[Edital],0)),"")</f>
        <v>AM</v>
      </c>
      <c r="I183" s="11">
        <f>IFERROR(INDEX(tEditais[Encerramento],MATCH(tItens[[#This Row],[Edital]],tEditais[Edital],0)),"")</f>
        <v>46308.291666666664</v>
      </c>
      <c r="J183" t="str">
        <f>IFERROR(INDEX(tProdutos[Classe],MATCH(tItens[[#This Row],[Produto]],tProdutos[Produto],0)),"produto não cadastrado")</f>
        <v>DISPUTADO</v>
      </c>
      <c r="K183" s="12">
        <f>tItens[[#This Row],[Qtd]]*tItens[[#This Row],[Vlr unit]]</f>
        <v>0</v>
      </c>
      <c r="L183" s="6">
        <f>IFERROR(IF(INDEX(tProdutos[Desconto homologado],MATCH(tItens[[#This Row],[Produto]],tProdutos[Produto],0))="",DescontoPadrao,INDEX(tProdutos[Desconto homologado],MATCH(tItens[[#This Row],[Produto]],tProdutos[Produto],0))),DescontoPadrao)</f>
        <v>0.25393823957010597</v>
      </c>
      <c r="M183" s="12">
        <f>tItens[[#This Row],[Valor]]*(1-tItens[[#This Row],[Desconto]])</f>
        <v>0</v>
      </c>
      <c r="N183" t="str">
        <f>IFERROR(INDEX(tProdutos[Foco],MATCH(tItens[[#This Row],[Produto]],tProdutos[Produto],0)),"Não")</f>
        <v>Não</v>
      </c>
      <c r="O183" t="str">
        <f>IFERROR(INDEX(tEditais[SRP],MATCH(tItens[[#This Row],[Edital]],tEditais[Edital],0)),"Não")</f>
        <v>Sim</v>
      </c>
      <c r="P183" s="4">
        <f>IF(COUNTIFS(INDEX(tItens[Edital],1):tItens[[#This Row],[Edital]],tItens[[#This Row],[Edital]],INDEX(tItens[Produto],1):tItens[[#This Row],[Produto]],tItens[[#This Row],[Produto]])=1,1,0)</f>
        <v>1</v>
      </c>
    </row>
    <row r="184" spans="1:16" x14ac:dyDescent="0.25">
      <c r="A184" t="s">
        <v>775</v>
      </c>
      <c r="B184">
        <v>60</v>
      </c>
      <c r="C184" t="s">
        <v>3408</v>
      </c>
      <c r="D184" t="s">
        <v>90</v>
      </c>
      <c r="E184" s="13">
        <v>400</v>
      </c>
      <c r="F184" s="12">
        <v>0</v>
      </c>
      <c r="G184" t="str">
        <f>IFERROR(INDEX(tEditais[Órgão],MATCH(tItens[[#This Row],[Edital]],tEditais[Edital],0)),"")</f>
        <v>MUNICIPIO DE BOA VISTA DO RAMOS</v>
      </c>
      <c r="H184" t="str">
        <f>IFERROR(INDEX(tEditais[UF],MATCH(tItens[[#This Row],[Edital]],tEditais[Edital],0)),"")</f>
        <v>AM</v>
      </c>
      <c r="I184" s="11">
        <f>IFERROR(INDEX(tEditais[Encerramento],MATCH(tItens[[#This Row],[Edital]],tEditais[Edital],0)),"")</f>
        <v>46308.291666666664</v>
      </c>
      <c r="J184" t="str">
        <f>IFERROR(INDEX(tProdutos[Classe],MATCH(tItens[[#This Row],[Produto]],tProdutos[Produto],0)),"produto não cadastrado")</f>
        <v>DISPUTADO</v>
      </c>
      <c r="K184" s="12">
        <f>tItens[[#This Row],[Qtd]]*tItens[[#This Row],[Vlr unit]]</f>
        <v>0</v>
      </c>
      <c r="L184" s="6">
        <f>IFERROR(IF(INDEX(tProdutos[Desconto homologado],MATCH(tItens[[#This Row],[Produto]],tProdutos[Produto],0))="",DescontoPadrao,INDEX(tProdutos[Desconto homologado],MATCH(tItens[[#This Row],[Produto]],tProdutos[Produto],0))),DescontoPadrao)</f>
        <v>0.25393823957010597</v>
      </c>
      <c r="M184" s="12">
        <f>tItens[[#This Row],[Valor]]*(1-tItens[[#This Row],[Desconto]])</f>
        <v>0</v>
      </c>
      <c r="N184" t="str">
        <f>IFERROR(INDEX(tProdutos[Foco],MATCH(tItens[[#This Row],[Produto]],tProdutos[Produto],0)),"Não")</f>
        <v>Não</v>
      </c>
      <c r="O184" t="str">
        <f>IFERROR(INDEX(tEditais[SRP],MATCH(tItens[[#This Row],[Edital]],tEditais[Edital],0)),"Não")</f>
        <v>Sim</v>
      </c>
      <c r="P184" s="4">
        <f>IF(COUNTIFS(INDEX(tItens[Edital],1):tItens[[#This Row],[Edital]],tItens[[#This Row],[Edital]],INDEX(tItens[Produto],1):tItens[[#This Row],[Produto]],tItens[[#This Row],[Produto]])=1,1,0)</f>
        <v>0</v>
      </c>
    </row>
    <row r="185" spans="1:16" x14ac:dyDescent="0.25">
      <c r="A185" t="s">
        <v>775</v>
      </c>
      <c r="B185">
        <v>77</v>
      </c>
      <c r="C185" t="s">
        <v>3409</v>
      </c>
      <c r="D185" t="s">
        <v>142</v>
      </c>
      <c r="E185" s="13">
        <v>300</v>
      </c>
      <c r="F185" s="12">
        <v>0</v>
      </c>
      <c r="G185" t="str">
        <f>IFERROR(INDEX(tEditais[Órgão],MATCH(tItens[[#This Row],[Edital]],tEditais[Edital],0)),"")</f>
        <v>MUNICIPIO DE BOA VISTA DO RAMOS</v>
      </c>
      <c r="H185" t="str">
        <f>IFERROR(INDEX(tEditais[UF],MATCH(tItens[[#This Row],[Edital]],tEditais[Edital],0)),"")</f>
        <v>AM</v>
      </c>
      <c r="I185" s="11">
        <f>IFERROR(INDEX(tEditais[Encerramento],MATCH(tItens[[#This Row],[Edital]],tEditais[Edital],0)),"")</f>
        <v>46308.291666666664</v>
      </c>
      <c r="J185" t="str">
        <f>IFERROR(INDEX(tProdutos[Classe],MATCH(tItens[[#This Row],[Produto]],tProdutos[Produto],0)),"produto não cadastrado")</f>
        <v>DISPUTADO</v>
      </c>
      <c r="K185" s="12">
        <f>tItens[[#This Row],[Qtd]]*tItens[[#This Row],[Vlr unit]]</f>
        <v>0</v>
      </c>
      <c r="L185" s="6">
        <f>IFERROR(IF(INDEX(tProdutos[Desconto homologado],MATCH(tItens[[#This Row],[Produto]],tProdutos[Produto],0))="",DescontoPadrao,INDEX(tProdutos[Desconto homologado],MATCH(tItens[[#This Row],[Produto]],tProdutos[Produto],0))),DescontoPadrao)</f>
        <v>0.37093619495691699</v>
      </c>
      <c r="M185" s="12">
        <f>tItens[[#This Row],[Valor]]*(1-tItens[[#This Row],[Desconto]])</f>
        <v>0</v>
      </c>
      <c r="N185" t="str">
        <f>IFERROR(INDEX(tProdutos[Foco],MATCH(tItens[[#This Row],[Produto]],tProdutos[Produto],0)),"Não")</f>
        <v>Não</v>
      </c>
      <c r="O185" t="str">
        <f>IFERROR(INDEX(tEditais[SRP],MATCH(tItens[[#This Row],[Edital]],tEditais[Edital],0)),"Não")</f>
        <v>Sim</v>
      </c>
      <c r="P185" s="4">
        <f>IF(COUNTIFS(INDEX(tItens[Edital],1):tItens[[#This Row],[Edital]],tItens[[#This Row],[Edital]],INDEX(tItens[Produto],1):tItens[[#This Row],[Produto]],tItens[[#This Row],[Produto]])=1,1,0)</f>
        <v>1</v>
      </c>
    </row>
    <row r="186" spans="1:16" x14ac:dyDescent="0.25">
      <c r="A186" t="s">
        <v>775</v>
      </c>
      <c r="B186">
        <v>87</v>
      </c>
      <c r="C186" t="s">
        <v>3410</v>
      </c>
      <c r="D186" t="s">
        <v>467</v>
      </c>
      <c r="E186" s="13">
        <v>150</v>
      </c>
      <c r="F186" s="12">
        <v>0</v>
      </c>
      <c r="G186" t="str">
        <f>IFERROR(INDEX(tEditais[Órgão],MATCH(tItens[[#This Row],[Edital]],tEditais[Edital],0)),"")</f>
        <v>MUNICIPIO DE BOA VISTA DO RAMOS</v>
      </c>
      <c r="H186" t="str">
        <f>IFERROR(INDEX(tEditais[UF],MATCH(tItens[[#This Row],[Edital]],tEditais[Edital],0)),"")</f>
        <v>AM</v>
      </c>
      <c r="I186" s="11">
        <f>IFERROR(INDEX(tEditais[Encerramento],MATCH(tItens[[#This Row],[Edital]],tEditais[Edital],0)),"")</f>
        <v>46308.291666666664</v>
      </c>
      <c r="J186" t="str">
        <f>IFERROR(INDEX(tProdutos[Classe],MATCH(tItens[[#This Row],[Produto]],tProdutos[Produto],0)),"produto não cadastrado")</f>
        <v>FILA REBASE</v>
      </c>
      <c r="K186" s="12">
        <f>tItens[[#This Row],[Qtd]]*tItens[[#This Row],[Vlr unit]]</f>
        <v>0</v>
      </c>
      <c r="L186" s="6">
        <f>IFERROR(IF(INDEX(tProdutos[Desconto homologado],MATCH(tItens[[#This Row],[Produto]],tProdutos[Produto],0))="",DescontoPadrao,INDEX(tProdutos[Desconto homologado],MATCH(tItens[[#This Row],[Produto]],tProdutos[Produto],0))),DescontoPadrao)</f>
        <v>0.25007144898542499</v>
      </c>
      <c r="M186" s="12">
        <f>tItens[[#This Row],[Valor]]*(1-tItens[[#This Row],[Desconto]])</f>
        <v>0</v>
      </c>
      <c r="N186" t="str">
        <f>IFERROR(INDEX(tProdutos[Foco],MATCH(tItens[[#This Row],[Produto]],tProdutos[Produto],0)),"Não")</f>
        <v>Não</v>
      </c>
      <c r="O186" t="str">
        <f>IFERROR(INDEX(tEditais[SRP],MATCH(tItens[[#This Row],[Edital]],tEditais[Edital],0)),"Não")</f>
        <v>Sim</v>
      </c>
      <c r="P186" s="4">
        <f>IF(COUNTIFS(INDEX(tItens[Edital],1):tItens[[#This Row],[Edital]],tItens[[#This Row],[Edital]],INDEX(tItens[Produto],1):tItens[[#This Row],[Produto]],tItens[[#This Row],[Produto]])=1,1,0)</f>
        <v>1</v>
      </c>
    </row>
    <row r="187" spans="1:16" x14ac:dyDescent="0.25">
      <c r="A187" t="s">
        <v>775</v>
      </c>
      <c r="B187">
        <v>91</v>
      </c>
      <c r="C187" t="s">
        <v>3411</v>
      </c>
      <c r="D187" t="s">
        <v>191</v>
      </c>
      <c r="E187" s="13">
        <v>1500</v>
      </c>
      <c r="F187" s="12">
        <v>0</v>
      </c>
      <c r="G187" t="str">
        <f>IFERROR(INDEX(tEditais[Órgão],MATCH(tItens[[#This Row],[Edital]],tEditais[Edital],0)),"")</f>
        <v>MUNICIPIO DE BOA VISTA DO RAMOS</v>
      </c>
      <c r="H187" t="str">
        <f>IFERROR(INDEX(tEditais[UF],MATCH(tItens[[#This Row],[Edital]],tEditais[Edital],0)),"")</f>
        <v>AM</v>
      </c>
      <c r="I187" s="11">
        <f>IFERROR(INDEX(tEditais[Encerramento],MATCH(tItens[[#This Row],[Edital]],tEditais[Edital],0)),"")</f>
        <v>46308.291666666664</v>
      </c>
      <c r="J187" t="str">
        <f>IFERROR(INDEX(tProdutos[Classe],MATCH(tItens[[#This Row],[Produto]],tProdutos[Produto],0)),"produto não cadastrado")</f>
        <v>DISPUTADO</v>
      </c>
      <c r="K187" s="12">
        <f>tItens[[#This Row],[Qtd]]*tItens[[#This Row],[Vlr unit]]</f>
        <v>0</v>
      </c>
      <c r="L187" s="6">
        <f>IFERROR(IF(INDEX(tProdutos[Desconto homologado],MATCH(tItens[[#This Row],[Produto]],tProdutos[Produto],0))="",DescontoPadrao,INDEX(tProdutos[Desconto homologado],MATCH(tItens[[#This Row],[Produto]],tProdutos[Produto],0))),DescontoPadrao)</f>
        <v>0.374129526462396</v>
      </c>
      <c r="M187" s="12">
        <f>tItens[[#This Row],[Valor]]*(1-tItens[[#This Row],[Desconto]])</f>
        <v>0</v>
      </c>
      <c r="N187" t="str">
        <f>IFERROR(INDEX(tProdutos[Foco],MATCH(tItens[[#This Row],[Produto]],tProdutos[Produto],0)),"Não")</f>
        <v>Não</v>
      </c>
      <c r="O187" t="str">
        <f>IFERROR(INDEX(tEditais[SRP],MATCH(tItens[[#This Row],[Edital]],tEditais[Edital],0)),"Não")</f>
        <v>Sim</v>
      </c>
      <c r="P187" s="4">
        <f>IF(COUNTIFS(INDEX(tItens[Edital],1):tItens[[#This Row],[Edital]],tItens[[#This Row],[Edital]],INDEX(tItens[Produto],1):tItens[[#This Row],[Produto]],tItens[[#This Row],[Produto]])=1,1,0)</f>
        <v>1</v>
      </c>
    </row>
    <row r="188" spans="1:16" x14ac:dyDescent="0.25">
      <c r="A188" t="s">
        <v>775</v>
      </c>
      <c r="B188">
        <v>92</v>
      </c>
      <c r="C188" t="s">
        <v>3411</v>
      </c>
      <c r="D188" t="s">
        <v>191</v>
      </c>
      <c r="E188" s="13">
        <v>6000</v>
      </c>
      <c r="F188" s="12">
        <v>0</v>
      </c>
      <c r="G188" t="str">
        <f>IFERROR(INDEX(tEditais[Órgão],MATCH(tItens[[#This Row],[Edital]],tEditais[Edital],0)),"")</f>
        <v>MUNICIPIO DE BOA VISTA DO RAMOS</v>
      </c>
      <c r="H188" t="str">
        <f>IFERROR(INDEX(tEditais[UF],MATCH(tItens[[#This Row],[Edital]],tEditais[Edital],0)),"")</f>
        <v>AM</v>
      </c>
      <c r="I188" s="11">
        <f>IFERROR(INDEX(tEditais[Encerramento],MATCH(tItens[[#This Row],[Edital]],tEditais[Edital],0)),"")</f>
        <v>46308.291666666664</v>
      </c>
      <c r="J188" t="str">
        <f>IFERROR(INDEX(tProdutos[Classe],MATCH(tItens[[#This Row],[Produto]],tProdutos[Produto],0)),"produto não cadastrado")</f>
        <v>DISPUTADO</v>
      </c>
      <c r="K188" s="12">
        <f>tItens[[#This Row],[Qtd]]*tItens[[#This Row],[Vlr unit]]</f>
        <v>0</v>
      </c>
      <c r="L188" s="6">
        <f>IFERROR(IF(INDEX(tProdutos[Desconto homologado],MATCH(tItens[[#This Row],[Produto]],tProdutos[Produto],0))="",DescontoPadrao,INDEX(tProdutos[Desconto homologado],MATCH(tItens[[#This Row],[Produto]],tProdutos[Produto],0))),DescontoPadrao)</f>
        <v>0.374129526462396</v>
      </c>
      <c r="M188" s="12">
        <f>tItens[[#This Row],[Valor]]*(1-tItens[[#This Row],[Desconto]])</f>
        <v>0</v>
      </c>
      <c r="N188" t="str">
        <f>IFERROR(INDEX(tProdutos[Foco],MATCH(tItens[[#This Row],[Produto]],tProdutos[Produto],0)),"Não")</f>
        <v>Não</v>
      </c>
      <c r="O188" t="str">
        <f>IFERROR(INDEX(tEditais[SRP],MATCH(tItens[[#This Row],[Edital]],tEditais[Edital],0)),"Não")</f>
        <v>Sim</v>
      </c>
      <c r="P188" s="4">
        <f>IF(COUNTIFS(INDEX(tItens[Edital],1):tItens[[#This Row],[Edital]],tItens[[#This Row],[Edital]],INDEX(tItens[Produto],1):tItens[[#This Row],[Produto]],tItens[[#This Row],[Produto]])=1,1,0)</f>
        <v>0</v>
      </c>
    </row>
    <row r="189" spans="1:16" x14ac:dyDescent="0.25">
      <c r="A189" t="s">
        <v>775</v>
      </c>
      <c r="B189">
        <v>93</v>
      </c>
      <c r="C189" t="s">
        <v>3411</v>
      </c>
      <c r="D189" t="s">
        <v>191</v>
      </c>
      <c r="E189" s="13">
        <v>3000</v>
      </c>
      <c r="F189" s="12">
        <v>0</v>
      </c>
      <c r="G189" t="str">
        <f>IFERROR(INDEX(tEditais[Órgão],MATCH(tItens[[#This Row],[Edital]],tEditais[Edital],0)),"")</f>
        <v>MUNICIPIO DE BOA VISTA DO RAMOS</v>
      </c>
      <c r="H189" t="str">
        <f>IFERROR(INDEX(tEditais[UF],MATCH(tItens[[#This Row],[Edital]],tEditais[Edital],0)),"")</f>
        <v>AM</v>
      </c>
      <c r="I189" s="11">
        <f>IFERROR(INDEX(tEditais[Encerramento],MATCH(tItens[[#This Row],[Edital]],tEditais[Edital],0)),"")</f>
        <v>46308.291666666664</v>
      </c>
      <c r="J189" t="str">
        <f>IFERROR(INDEX(tProdutos[Classe],MATCH(tItens[[#This Row],[Produto]],tProdutos[Produto],0)),"produto não cadastrado")</f>
        <v>DISPUTADO</v>
      </c>
      <c r="K189" s="12">
        <f>tItens[[#This Row],[Qtd]]*tItens[[#This Row],[Vlr unit]]</f>
        <v>0</v>
      </c>
      <c r="L189" s="6">
        <f>IFERROR(IF(INDEX(tProdutos[Desconto homologado],MATCH(tItens[[#This Row],[Produto]],tProdutos[Produto],0))="",DescontoPadrao,INDEX(tProdutos[Desconto homologado],MATCH(tItens[[#This Row],[Produto]],tProdutos[Produto],0))),DescontoPadrao)</f>
        <v>0.374129526462396</v>
      </c>
      <c r="M189" s="12">
        <f>tItens[[#This Row],[Valor]]*(1-tItens[[#This Row],[Desconto]])</f>
        <v>0</v>
      </c>
      <c r="N189" t="str">
        <f>IFERROR(INDEX(tProdutos[Foco],MATCH(tItens[[#This Row],[Produto]],tProdutos[Produto],0)),"Não")</f>
        <v>Não</v>
      </c>
      <c r="O189" t="str">
        <f>IFERROR(INDEX(tEditais[SRP],MATCH(tItens[[#This Row],[Edital]],tEditais[Edital],0)),"Não")</f>
        <v>Sim</v>
      </c>
      <c r="P189" s="4">
        <f>IF(COUNTIFS(INDEX(tItens[Edital],1):tItens[[#This Row],[Edital]],tItens[[#This Row],[Edital]],INDEX(tItens[Produto],1):tItens[[#This Row],[Produto]],tItens[[#This Row],[Produto]])=1,1,0)</f>
        <v>0</v>
      </c>
    </row>
    <row r="190" spans="1:16" x14ac:dyDescent="0.25">
      <c r="A190" t="s">
        <v>775</v>
      </c>
      <c r="B190">
        <v>95</v>
      </c>
      <c r="C190" t="s">
        <v>3412</v>
      </c>
      <c r="D190" t="s">
        <v>56</v>
      </c>
      <c r="E190" s="13">
        <v>8000</v>
      </c>
      <c r="F190" s="12">
        <v>0</v>
      </c>
      <c r="G190" t="str">
        <f>IFERROR(INDEX(tEditais[Órgão],MATCH(tItens[[#This Row],[Edital]],tEditais[Edital],0)),"")</f>
        <v>MUNICIPIO DE BOA VISTA DO RAMOS</v>
      </c>
      <c r="H190" t="str">
        <f>IFERROR(INDEX(tEditais[UF],MATCH(tItens[[#This Row],[Edital]],tEditais[Edital],0)),"")</f>
        <v>AM</v>
      </c>
      <c r="I190" s="11">
        <f>IFERROR(INDEX(tEditais[Encerramento],MATCH(tItens[[#This Row],[Edital]],tEditais[Edital],0)),"")</f>
        <v>46308.291666666664</v>
      </c>
      <c r="J190" t="str">
        <f>IFERROR(INDEX(tProdutos[Classe],MATCH(tItens[[#This Row],[Produto]],tProdutos[Produto],0)),"produto não cadastrado")</f>
        <v>NÚCLEO</v>
      </c>
      <c r="K190" s="12">
        <f>tItens[[#This Row],[Qtd]]*tItens[[#This Row],[Vlr unit]]</f>
        <v>0</v>
      </c>
      <c r="L190" s="6">
        <f>IFERROR(IF(INDEX(tProdutos[Desconto homologado],MATCH(tItens[[#This Row],[Produto]],tProdutos[Produto],0))="",DescontoPadrao,INDEX(tProdutos[Desconto homologado],MATCH(tItens[[#This Row],[Produto]],tProdutos[Produto],0))),DescontoPadrao)</f>
        <v>0.34</v>
      </c>
      <c r="M190" s="12">
        <f>tItens[[#This Row],[Valor]]*(1-tItens[[#This Row],[Desconto]])</f>
        <v>0</v>
      </c>
      <c r="N190" t="str">
        <f>IFERROR(INDEX(tProdutos[Foco],MATCH(tItens[[#This Row],[Produto]],tProdutos[Produto],0)),"Não")</f>
        <v>Sim</v>
      </c>
      <c r="O190" t="str">
        <f>IFERROR(INDEX(tEditais[SRP],MATCH(tItens[[#This Row],[Edital]],tEditais[Edital],0)),"Não")</f>
        <v>Sim</v>
      </c>
      <c r="P190" s="4">
        <f>IF(COUNTIFS(INDEX(tItens[Edital],1):tItens[[#This Row],[Edital]],tItens[[#This Row],[Edital]],INDEX(tItens[Produto],1):tItens[[#This Row],[Produto]],tItens[[#This Row],[Produto]])=1,1,0)</f>
        <v>1</v>
      </c>
    </row>
    <row r="191" spans="1:16" x14ac:dyDescent="0.25">
      <c r="A191" t="s">
        <v>775</v>
      </c>
      <c r="B191">
        <v>96</v>
      </c>
      <c r="C191" t="s">
        <v>3413</v>
      </c>
      <c r="D191" t="s">
        <v>56</v>
      </c>
      <c r="E191" s="13">
        <v>8000</v>
      </c>
      <c r="F191" s="12">
        <v>0</v>
      </c>
      <c r="G191" t="str">
        <f>IFERROR(INDEX(tEditais[Órgão],MATCH(tItens[[#This Row],[Edital]],tEditais[Edital],0)),"")</f>
        <v>MUNICIPIO DE BOA VISTA DO RAMOS</v>
      </c>
      <c r="H191" t="str">
        <f>IFERROR(INDEX(tEditais[UF],MATCH(tItens[[#This Row],[Edital]],tEditais[Edital],0)),"")</f>
        <v>AM</v>
      </c>
      <c r="I191" s="11">
        <f>IFERROR(INDEX(tEditais[Encerramento],MATCH(tItens[[#This Row],[Edital]],tEditais[Edital],0)),"")</f>
        <v>46308.291666666664</v>
      </c>
      <c r="J191" t="str">
        <f>IFERROR(INDEX(tProdutos[Classe],MATCH(tItens[[#This Row],[Produto]],tProdutos[Produto],0)),"produto não cadastrado")</f>
        <v>NÚCLEO</v>
      </c>
      <c r="K191" s="12">
        <f>tItens[[#This Row],[Qtd]]*tItens[[#This Row],[Vlr unit]]</f>
        <v>0</v>
      </c>
      <c r="L191" s="6">
        <f>IFERROR(IF(INDEX(tProdutos[Desconto homologado],MATCH(tItens[[#This Row],[Produto]],tProdutos[Produto],0))="",DescontoPadrao,INDEX(tProdutos[Desconto homologado],MATCH(tItens[[#This Row],[Produto]],tProdutos[Produto],0))),DescontoPadrao)</f>
        <v>0.34</v>
      </c>
      <c r="M191" s="12">
        <f>tItens[[#This Row],[Valor]]*(1-tItens[[#This Row],[Desconto]])</f>
        <v>0</v>
      </c>
      <c r="N191" t="str">
        <f>IFERROR(INDEX(tProdutos[Foco],MATCH(tItens[[#This Row],[Produto]],tProdutos[Produto],0)),"Não")</f>
        <v>Sim</v>
      </c>
      <c r="O191" t="str">
        <f>IFERROR(INDEX(tEditais[SRP],MATCH(tItens[[#This Row],[Edital]],tEditais[Edital],0)),"Não")</f>
        <v>Sim</v>
      </c>
      <c r="P191" s="4">
        <f>IF(COUNTIFS(INDEX(tItens[Edital],1):tItens[[#This Row],[Edital]],tItens[[#This Row],[Edital]],INDEX(tItens[Produto],1):tItens[[#This Row],[Produto]],tItens[[#This Row],[Produto]])=1,1,0)</f>
        <v>0</v>
      </c>
    </row>
    <row r="192" spans="1:16" x14ac:dyDescent="0.25">
      <c r="A192" t="s">
        <v>775</v>
      </c>
      <c r="B192">
        <v>97</v>
      </c>
      <c r="C192" t="s">
        <v>3414</v>
      </c>
      <c r="D192" t="s">
        <v>56</v>
      </c>
      <c r="E192" s="13">
        <v>8000</v>
      </c>
      <c r="F192" s="12">
        <v>0</v>
      </c>
      <c r="G192" t="str">
        <f>IFERROR(INDEX(tEditais[Órgão],MATCH(tItens[[#This Row],[Edital]],tEditais[Edital],0)),"")</f>
        <v>MUNICIPIO DE BOA VISTA DO RAMOS</v>
      </c>
      <c r="H192" t="str">
        <f>IFERROR(INDEX(tEditais[UF],MATCH(tItens[[#This Row],[Edital]],tEditais[Edital],0)),"")</f>
        <v>AM</v>
      </c>
      <c r="I192" s="11">
        <f>IFERROR(INDEX(tEditais[Encerramento],MATCH(tItens[[#This Row],[Edital]],tEditais[Edital],0)),"")</f>
        <v>46308.291666666664</v>
      </c>
      <c r="J192" t="str">
        <f>IFERROR(INDEX(tProdutos[Classe],MATCH(tItens[[#This Row],[Produto]],tProdutos[Produto],0)),"produto não cadastrado")</f>
        <v>NÚCLEO</v>
      </c>
      <c r="K192" s="12">
        <f>tItens[[#This Row],[Qtd]]*tItens[[#This Row],[Vlr unit]]</f>
        <v>0</v>
      </c>
      <c r="L192" s="6">
        <f>IFERROR(IF(INDEX(tProdutos[Desconto homologado],MATCH(tItens[[#This Row],[Produto]],tProdutos[Produto],0))="",DescontoPadrao,INDEX(tProdutos[Desconto homologado],MATCH(tItens[[#This Row],[Produto]],tProdutos[Produto],0))),DescontoPadrao)</f>
        <v>0.34</v>
      </c>
      <c r="M192" s="12">
        <f>tItens[[#This Row],[Valor]]*(1-tItens[[#This Row],[Desconto]])</f>
        <v>0</v>
      </c>
      <c r="N192" t="str">
        <f>IFERROR(INDEX(tProdutos[Foco],MATCH(tItens[[#This Row],[Produto]],tProdutos[Produto],0)),"Não")</f>
        <v>Sim</v>
      </c>
      <c r="O192" t="str">
        <f>IFERROR(INDEX(tEditais[SRP],MATCH(tItens[[#This Row],[Edital]],tEditais[Edital],0)),"Não")</f>
        <v>Sim</v>
      </c>
      <c r="P192" s="4">
        <f>IF(COUNTIFS(INDEX(tItens[Edital],1):tItens[[#This Row],[Edital]],tItens[[#This Row],[Edital]],INDEX(tItens[Produto],1):tItens[[#This Row],[Produto]],tItens[[#This Row],[Produto]])=1,1,0)</f>
        <v>0</v>
      </c>
    </row>
    <row r="193" spans="1:16" x14ac:dyDescent="0.25">
      <c r="A193" t="s">
        <v>775</v>
      </c>
      <c r="B193">
        <v>98</v>
      </c>
      <c r="C193" t="s">
        <v>3415</v>
      </c>
      <c r="D193" t="s">
        <v>56</v>
      </c>
      <c r="E193" s="13">
        <v>8000</v>
      </c>
      <c r="F193" s="12">
        <v>0</v>
      </c>
      <c r="G193" t="str">
        <f>IFERROR(INDEX(tEditais[Órgão],MATCH(tItens[[#This Row],[Edital]],tEditais[Edital],0)),"")</f>
        <v>MUNICIPIO DE BOA VISTA DO RAMOS</v>
      </c>
      <c r="H193" t="str">
        <f>IFERROR(INDEX(tEditais[UF],MATCH(tItens[[#This Row],[Edital]],tEditais[Edital],0)),"")</f>
        <v>AM</v>
      </c>
      <c r="I193" s="11">
        <f>IFERROR(INDEX(tEditais[Encerramento],MATCH(tItens[[#This Row],[Edital]],tEditais[Edital],0)),"")</f>
        <v>46308.291666666664</v>
      </c>
      <c r="J193" t="str">
        <f>IFERROR(INDEX(tProdutos[Classe],MATCH(tItens[[#This Row],[Produto]],tProdutos[Produto],0)),"produto não cadastrado")</f>
        <v>NÚCLEO</v>
      </c>
      <c r="K193" s="12">
        <f>tItens[[#This Row],[Qtd]]*tItens[[#This Row],[Vlr unit]]</f>
        <v>0</v>
      </c>
      <c r="L193" s="6">
        <f>IFERROR(IF(INDEX(tProdutos[Desconto homologado],MATCH(tItens[[#This Row],[Produto]],tProdutos[Produto],0))="",DescontoPadrao,INDEX(tProdutos[Desconto homologado],MATCH(tItens[[#This Row],[Produto]],tProdutos[Produto],0))),DescontoPadrao)</f>
        <v>0.34</v>
      </c>
      <c r="M193" s="12">
        <f>tItens[[#This Row],[Valor]]*(1-tItens[[#This Row],[Desconto]])</f>
        <v>0</v>
      </c>
      <c r="N193" t="str">
        <f>IFERROR(INDEX(tProdutos[Foco],MATCH(tItens[[#This Row],[Produto]],tProdutos[Produto],0)),"Não")</f>
        <v>Sim</v>
      </c>
      <c r="O193" t="str">
        <f>IFERROR(INDEX(tEditais[SRP],MATCH(tItens[[#This Row],[Edital]],tEditais[Edital],0)),"Não")</f>
        <v>Sim</v>
      </c>
      <c r="P193" s="4">
        <f>IF(COUNTIFS(INDEX(tItens[Edital],1):tItens[[#This Row],[Edital]],tItens[[#This Row],[Edital]],INDEX(tItens[Produto],1):tItens[[#This Row],[Produto]],tItens[[#This Row],[Produto]])=1,1,0)</f>
        <v>0</v>
      </c>
    </row>
    <row r="194" spans="1:16" x14ac:dyDescent="0.25">
      <c r="A194" t="s">
        <v>775</v>
      </c>
      <c r="B194">
        <v>99</v>
      </c>
      <c r="C194" t="s">
        <v>3416</v>
      </c>
      <c r="D194" t="s">
        <v>56</v>
      </c>
      <c r="E194" s="13">
        <v>8000</v>
      </c>
      <c r="F194" s="12">
        <v>0</v>
      </c>
      <c r="G194" t="str">
        <f>IFERROR(INDEX(tEditais[Órgão],MATCH(tItens[[#This Row],[Edital]],tEditais[Edital],0)),"")</f>
        <v>MUNICIPIO DE BOA VISTA DO RAMOS</v>
      </c>
      <c r="H194" t="str">
        <f>IFERROR(INDEX(tEditais[UF],MATCH(tItens[[#This Row],[Edital]],tEditais[Edital],0)),"")</f>
        <v>AM</v>
      </c>
      <c r="I194" s="11">
        <f>IFERROR(INDEX(tEditais[Encerramento],MATCH(tItens[[#This Row],[Edital]],tEditais[Edital],0)),"")</f>
        <v>46308.291666666664</v>
      </c>
      <c r="J194" t="str">
        <f>IFERROR(INDEX(tProdutos[Classe],MATCH(tItens[[#This Row],[Produto]],tProdutos[Produto],0)),"produto não cadastrado")</f>
        <v>NÚCLEO</v>
      </c>
      <c r="K194" s="12">
        <f>tItens[[#This Row],[Qtd]]*tItens[[#This Row],[Vlr unit]]</f>
        <v>0</v>
      </c>
      <c r="L194" s="6">
        <f>IFERROR(IF(INDEX(tProdutos[Desconto homologado],MATCH(tItens[[#This Row],[Produto]],tProdutos[Produto],0))="",DescontoPadrao,INDEX(tProdutos[Desconto homologado],MATCH(tItens[[#This Row],[Produto]],tProdutos[Produto],0))),DescontoPadrao)</f>
        <v>0.34</v>
      </c>
      <c r="M194" s="12">
        <f>tItens[[#This Row],[Valor]]*(1-tItens[[#This Row],[Desconto]])</f>
        <v>0</v>
      </c>
      <c r="N194" t="str">
        <f>IFERROR(INDEX(tProdutos[Foco],MATCH(tItens[[#This Row],[Produto]],tProdutos[Produto],0)),"Não")</f>
        <v>Sim</v>
      </c>
      <c r="O194" t="str">
        <f>IFERROR(INDEX(tEditais[SRP],MATCH(tItens[[#This Row],[Edital]],tEditais[Edital],0)),"Não")</f>
        <v>Sim</v>
      </c>
      <c r="P194" s="4">
        <f>IF(COUNTIFS(INDEX(tItens[Edital],1):tItens[[#This Row],[Edital]],tItens[[#This Row],[Edital]],INDEX(tItens[Produto],1):tItens[[#This Row],[Produto]],tItens[[#This Row],[Produto]])=1,1,0)</f>
        <v>0</v>
      </c>
    </row>
    <row r="195" spans="1:16" x14ac:dyDescent="0.25">
      <c r="A195" t="s">
        <v>775</v>
      </c>
      <c r="B195">
        <v>100</v>
      </c>
      <c r="C195" t="s">
        <v>3417</v>
      </c>
      <c r="D195" t="s">
        <v>56</v>
      </c>
      <c r="E195" s="13">
        <v>8000</v>
      </c>
      <c r="F195" s="12">
        <v>0</v>
      </c>
      <c r="G195" t="str">
        <f>IFERROR(INDEX(tEditais[Órgão],MATCH(tItens[[#This Row],[Edital]],tEditais[Edital],0)),"")</f>
        <v>MUNICIPIO DE BOA VISTA DO RAMOS</v>
      </c>
      <c r="H195" t="str">
        <f>IFERROR(INDEX(tEditais[UF],MATCH(tItens[[#This Row],[Edital]],tEditais[Edital],0)),"")</f>
        <v>AM</v>
      </c>
      <c r="I195" s="11">
        <f>IFERROR(INDEX(tEditais[Encerramento],MATCH(tItens[[#This Row],[Edital]],tEditais[Edital],0)),"")</f>
        <v>46308.291666666664</v>
      </c>
      <c r="J195" t="str">
        <f>IFERROR(INDEX(tProdutos[Classe],MATCH(tItens[[#This Row],[Produto]],tProdutos[Produto],0)),"produto não cadastrado")</f>
        <v>NÚCLEO</v>
      </c>
      <c r="K195" s="12">
        <f>tItens[[#This Row],[Qtd]]*tItens[[#This Row],[Vlr unit]]</f>
        <v>0</v>
      </c>
      <c r="L195" s="6">
        <f>IFERROR(IF(INDEX(tProdutos[Desconto homologado],MATCH(tItens[[#This Row],[Produto]],tProdutos[Produto],0))="",DescontoPadrao,INDEX(tProdutos[Desconto homologado],MATCH(tItens[[#This Row],[Produto]],tProdutos[Produto],0))),DescontoPadrao)</f>
        <v>0.34</v>
      </c>
      <c r="M195" s="12">
        <f>tItens[[#This Row],[Valor]]*(1-tItens[[#This Row],[Desconto]])</f>
        <v>0</v>
      </c>
      <c r="N195" t="str">
        <f>IFERROR(INDEX(tProdutos[Foco],MATCH(tItens[[#This Row],[Produto]],tProdutos[Produto],0)),"Não")</f>
        <v>Sim</v>
      </c>
      <c r="O195" t="str">
        <f>IFERROR(INDEX(tEditais[SRP],MATCH(tItens[[#This Row],[Edital]],tEditais[Edital],0)),"Não")</f>
        <v>Sim</v>
      </c>
      <c r="P195" s="4">
        <f>IF(COUNTIFS(INDEX(tItens[Edital],1):tItens[[#This Row],[Edital]],tItens[[#This Row],[Edital]],INDEX(tItens[Produto],1):tItens[[#This Row],[Produto]],tItens[[#This Row],[Produto]])=1,1,0)</f>
        <v>0</v>
      </c>
    </row>
    <row r="196" spans="1:16" x14ac:dyDescent="0.25">
      <c r="A196" t="s">
        <v>775</v>
      </c>
      <c r="B196">
        <v>101</v>
      </c>
      <c r="C196" t="s">
        <v>3418</v>
      </c>
      <c r="D196" t="s">
        <v>277</v>
      </c>
      <c r="E196" s="13">
        <v>500</v>
      </c>
      <c r="F196" s="12">
        <v>0</v>
      </c>
      <c r="G196" t="str">
        <f>IFERROR(INDEX(tEditais[Órgão],MATCH(tItens[[#This Row],[Edital]],tEditais[Edital],0)),"")</f>
        <v>MUNICIPIO DE BOA VISTA DO RAMOS</v>
      </c>
      <c r="H196" t="str">
        <f>IFERROR(INDEX(tEditais[UF],MATCH(tItens[[#This Row],[Edital]],tEditais[Edital],0)),"")</f>
        <v>AM</v>
      </c>
      <c r="I196" s="11">
        <f>IFERROR(INDEX(tEditais[Encerramento],MATCH(tItens[[#This Row],[Edital]],tEditais[Edital],0)),"")</f>
        <v>46308.291666666664</v>
      </c>
      <c r="J196" t="str">
        <f>IFERROR(INDEX(tProdutos[Classe],MATCH(tItens[[#This Row],[Produto]],tProdutos[Produto],0)),"produto não cadastrado")</f>
        <v>DISPUTADO</v>
      </c>
      <c r="K196" s="12">
        <f>tItens[[#This Row],[Qtd]]*tItens[[#This Row],[Vlr unit]]</f>
        <v>0</v>
      </c>
      <c r="L196" s="6">
        <f>IFERROR(IF(INDEX(tProdutos[Desconto homologado],MATCH(tItens[[#This Row],[Produto]],tProdutos[Produto],0))="",DescontoPadrao,INDEX(tProdutos[Desconto homologado],MATCH(tItens[[#This Row],[Produto]],tProdutos[Produto],0))),DescontoPadrao)</f>
        <v>0.50460666194188497</v>
      </c>
      <c r="M196" s="12">
        <f>tItens[[#This Row],[Valor]]*(1-tItens[[#This Row],[Desconto]])</f>
        <v>0</v>
      </c>
      <c r="N196" t="str">
        <f>IFERROR(INDEX(tProdutos[Foco],MATCH(tItens[[#This Row],[Produto]],tProdutos[Produto],0)),"Não")</f>
        <v>Não</v>
      </c>
      <c r="O196" t="str">
        <f>IFERROR(INDEX(tEditais[SRP],MATCH(tItens[[#This Row],[Edital]],tEditais[Edital],0)),"Não")</f>
        <v>Sim</v>
      </c>
      <c r="P196" s="4">
        <f>IF(COUNTIFS(INDEX(tItens[Edital],1):tItens[[#This Row],[Edital]],tItens[[#This Row],[Edital]],INDEX(tItens[Produto],1):tItens[[#This Row],[Produto]],tItens[[#This Row],[Produto]])=1,1,0)</f>
        <v>1</v>
      </c>
    </row>
    <row r="197" spans="1:16" x14ac:dyDescent="0.25">
      <c r="A197" t="s">
        <v>775</v>
      </c>
      <c r="B197">
        <v>102</v>
      </c>
      <c r="C197" t="s">
        <v>3419</v>
      </c>
      <c r="D197" t="s">
        <v>267</v>
      </c>
      <c r="E197" s="13">
        <v>900</v>
      </c>
      <c r="F197" s="12">
        <v>0</v>
      </c>
      <c r="G197" t="str">
        <f>IFERROR(INDEX(tEditais[Órgão],MATCH(tItens[[#This Row],[Edital]],tEditais[Edital],0)),"")</f>
        <v>MUNICIPIO DE BOA VISTA DO RAMOS</v>
      </c>
      <c r="H197" t="str">
        <f>IFERROR(INDEX(tEditais[UF],MATCH(tItens[[#This Row],[Edital]],tEditais[Edital],0)),"")</f>
        <v>AM</v>
      </c>
      <c r="I197" s="11">
        <f>IFERROR(INDEX(tEditais[Encerramento],MATCH(tItens[[#This Row],[Edital]],tEditais[Edital],0)),"")</f>
        <v>46308.291666666664</v>
      </c>
      <c r="J197" t="str">
        <f>IFERROR(INDEX(tProdutos[Classe],MATCH(tItens[[#This Row],[Produto]],tProdutos[Produto],0)),"produto não cadastrado")</f>
        <v>FORA</v>
      </c>
      <c r="K197" s="12">
        <f>tItens[[#This Row],[Qtd]]*tItens[[#This Row],[Vlr unit]]</f>
        <v>0</v>
      </c>
      <c r="L197" s="6">
        <f>IFERROR(IF(INDEX(tProdutos[Desconto homologado],MATCH(tItens[[#This Row],[Produto]],tProdutos[Produto],0))="",DescontoPadrao,INDEX(tProdutos[Desconto homologado],MATCH(tItens[[#This Row],[Produto]],tProdutos[Produto],0))),DescontoPadrao)</f>
        <v>0.19963672657401599</v>
      </c>
      <c r="M197" s="12">
        <f>tItens[[#This Row],[Valor]]*(1-tItens[[#This Row],[Desconto]])</f>
        <v>0</v>
      </c>
      <c r="N197" t="str">
        <f>IFERROR(INDEX(tProdutos[Foco],MATCH(tItens[[#This Row],[Produto]],tProdutos[Produto],0)),"Não")</f>
        <v>Não</v>
      </c>
      <c r="O197" t="str">
        <f>IFERROR(INDEX(tEditais[SRP],MATCH(tItens[[#This Row],[Edital]],tEditais[Edital],0)),"Não")</f>
        <v>Sim</v>
      </c>
      <c r="P197" s="4">
        <f>IF(COUNTIFS(INDEX(tItens[Edital],1):tItens[[#This Row],[Edital]],tItens[[#This Row],[Edital]],INDEX(tItens[Produto],1):tItens[[#This Row],[Produto]],tItens[[#This Row],[Produto]])=1,1,0)</f>
        <v>1</v>
      </c>
    </row>
    <row r="198" spans="1:16" x14ac:dyDescent="0.25">
      <c r="A198" t="s">
        <v>775</v>
      </c>
      <c r="B198">
        <v>103</v>
      </c>
      <c r="C198" t="s">
        <v>3420</v>
      </c>
      <c r="D198" t="s">
        <v>343</v>
      </c>
      <c r="E198" s="13">
        <v>2000</v>
      </c>
      <c r="F198" s="12">
        <v>0</v>
      </c>
      <c r="G198" t="str">
        <f>IFERROR(INDEX(tEditais[Órgão],MATCH(tItens[[#This Row],[Edital]],tEditais[Edital],0)),"")</f>
        <v>MUNICIPIO DE BOA VISTA DO RAMOS</v>
      </c>
      <c r="H198" t="str">
        <f>IFERROR(INDEX(tEditais[UF],MATCH(tItens[[#This Row],[Edital]],tEditais[Edital],0)),"")</f>
        <v>AM</v>
      </c>
      <c r="I198" s="11">
        <f>IFERROR(INDEX(tEditais[Encerramento],MATCH(tItens[[#This Row],[Edital]],tEditais[Edital],0)),"")</f>
        <v>46308.291666666664</v>
      </c>
      <c r="J198" t="str">
        <f>IFERROR(INDEX(tProdutos[Classe],MATCH(tItens[[#This Row],[Produto]],tProdutos[Produto],0)),"produto não cadastrado")</f>
        <v>FORA</v>
      </c>
      <c r="K198" s="12">
        <f>tItens[[#This Row],[Qtd]]*tItens[[#This Row],[Vlr unit]]</f>
        <v>0</v>
      </c>
      <c r="L198" s="6">
        <f>IFERROR(IF(INDEX(tProdutos[Desconto homologado],MATCH(tItens[[#This Row],[Produto]],tProdutos[Produto],0))="",DescontoPadrao,INDEX(tProdutos[Desconto homologado],MATCH(tItens[[#This Row],[Produto]],tProdutos[Produto],0))),DescontoPadrao)</f>
        <v>0.35412234042553198</v>
      </c>
      <c r="M198" s="12">
        <f>tItens[[#This Row],[Valor]]*(1-tItens[[#This Row],[Desconto]])</f>
        <v>0</v>
      </c>
      <c r="N198" t="str">
        <f>IFERROR(INDEX(tProdutos[Foco],MATCH(tItens[[#This Row],[Produto]],tProdutos[Produto],0)),"Não")</f>
        <v>Não</v>
      </c>
      <c r="O198" t="str">
        <f>IFERROR(INDEX(tEditais[SRP],MATCH(tItens[[#This Row],[Edital]],tEditais[Edital],0)),"Não")</f>
        <v>Sim</v>
      </c>
      <c r="P198" s="4">
        <f>IF(COUNTIFS(INDEX(tItens[Edital],1):tItens[[#This Row],[Edital]],tItens[[#This Row],[Edital]],INDEX(tItens[Produto],1):tItens[[#This Row],[Produto]],tItens[[#This Row],[Produto]])=1,1,0)</f>
        <v>1</v>
      </c>
    </row>
    <row r="199" spans="1:16" x14ac:dyDescent="0.25">
      <c r="A199" t="s">
        <v>775</v>
      </c>
      <c r="B199">
        <v>104</v>
      </c>
      <c r="C199" t="s">
        <v>3421</v>
      </c>
      <c r="D199" t="s">
        <v>343</v>
      </c>
      <c r="E199" s="13">
        <v>4000</v>
      </c>
      <c r="F199" s="12">
        <v>0</v>
      </c>
      <c r="G199" t="str">
        <f>IFERROR(INDEX(tEditais[Órgão],MATCH(tItens[[#This Row],[Edital]],tEditais[Edital],0)),"")</f>
        <v>MUNICIPIO DE BOA VISTA DO RAMOS</v>
      </c>
      <c r="H199" t="str">
        <f>IFERROR(INDEX(tEditais[UF],MATCH(tItens[[#This Row],[Edital]],tEditais[Edital],0)),"")</f>
        <v>AM</v>
      </c>
      <c r="I199" s="11">
        <f>IFERROR(INDEX(tEditais[Encerramento],MATCH(tItens[[#This Row],[Edital]],tEditais[Edital],0)),"")</f>
        <v>46308.291666666664</v>
      </c>
      <c r="J199" t="str">
        <f>IFERROR(INDEX(tProdutos[Classe],MATCH(tItens[[#This Row],[Produto]],tProdutos[Produto],0)),"produto não cadastrado")</f>
        <v>FORA</v>
      </c>
      <c r="K199" s="12">
        <f>tItens[[#This Row],[Qtd]]*tItens[[#This Row],[Vlr unit]]</f>
        <v>0</v>
      </c>
      <c r="L199" s="6">
        <f>IFERROR(IF(INDEX(tProdutos[Desconto homologado],MATCH(tItens[[#This Row],[Produto]],tProdutos[Produto],0))="",DescontoPadrao,INDEX(tProdutos[Desconto homologado],MATCH(tItens[[#This Row],[Produto]],tProdutos[Produto],0))),DescontoPadrao)</f>
        <v>0.35412234042553198</v>
      </c>
      <c r="M199" s="12">
        <f>tItens[[#This Row],[Valor]]*(1-tItens[[#This Row],[Desconto]])</f>
        <v>0</v>
      </c>
      <c r="N199" t="str">
        <f>IFERROR(INDEX(tProdutos[Foco],MATCH(tItens[[#This Row],[Produto]],tProdutos[Produto],0)),"Não")</f>
        <v>Não</v>
      </c>
      <c r="O199" t="str">
        <f>IFERROR(INDEX(tEditais[SRP],MATCH(tItens[[#This Row],[Edital]],tEditais[Edital],0)),"Não")</f>
        <v>Sim</v>
      </c>
      <c r="P199" s="4">
        <f>IF(COUNTIFS(INDEX(tItens[Edital],1):tItens[[#This Row],[Edital]],tItens[[#This Row],[Edital]],INDEX(tItens[Produto],1):tItens[[#This Row],[Produto]],tItens[[#This Row],[Produto]])=1,1,0)</f>
        <v>0</v>
      </c>
    </row>
    <row r="200" spans="1:16" x14ac:dyDescent="0.25">
      <c r="A200" t="s">
        <v>775</v>
      </c>
      <c r="B200">
        <v>105</v>
      </c>
      <c r="C200" t="s">
        <v>3422</v>
      </c>
      <c r="D200" t="s">
        <v>343</v>
      </c>
      <c r="E200" s="13">
        <v>4000</v>
      </c>
      <c r="F200" s="12">
        <v>0</v>
      </c>
      <c r="G200" t="str">
        <f>IFERROR(INDEX(tEditais[Órgão],MATCH(tItens[[#This Row],[Edital]],tEditais[Edital],0)),"")</f>
        <v>MUNICIPIO DE BOA VISTA DO RAMOS</v>
      </c>
      <c r="H200" t="str">
        <f>IFERROR(INDEX(tEditais[UF],MATCH(tItens[[#This Row],[Edital]],tEditais[Edital],0)),"")</f>
        <v>AM</v>
      </c>
      <c r="I200" s="11">
        <f>IFERROR(INDEX(tEditais[Encerramento],MATCH(tItens[[#This Row],[Edital]],tEditais[Edital],0)),"")</f>
        <v>46308.291666666664</v>
      </c>
      <c r="J200" t="str">
        <f>IFERROR(INDEX(tProdutos[Classe],MATCH(tItens[[#This Row],[Produto]],tProdutos[Produto],0)),"produto não cadastrado")</f>
        <v>FORA</v>
      </c>
      <c r="K200" s="12">
        <f>tItens[[#This Row],[Qtd]]*tItens[[#This Row],[Vlr unit]]</f>
        <v>0</v>
      </c>
      <c r="L200" s="6">
        <f>IFERROR(IF(INDEX(tProdutos[Desconto homologado],MATCH(tItens[[#This Row],[Produto]],tProdutos[Produto],0))="",DescontoPadrao,INDEX(tProdutos[Desconto homologado],MATCH(tItens[[#This Row],[Produto]],tProdutos[Produto],0))),DescontoPadrao)</f>
        <v>0.35412234042553198</v>
      </c>
      <c r="M200" s="12">
        <f>tItens[[#This Row],[Valor]]*(1-tItens[[#This Row],[Desconto]])</f>
        <v>0</v>
      </c>
      <c r="N200" t="str">
        <f>IFERROR(INDEX(tProdutos[Foco],MATCH(tItens[[#This Row],[Produto]],tProdutos[Produto],0)),"Não")</f>
        <v>Não</v>
      </c>
      <c r="O200" t="str">
        <f>IFERROR(INDEX(tEditais[SRP],MATCH(tItens[[#This Row],[Edital]],tEditais[Edital],0)),"Não")</f>
        <v>Sim</v>
      </c>
      <c r="P200" s="4">
        <f>IF(COUNTIFS(INDEX(tItens[Edital],1):tItens[[#This Row],[Edital]],tItens[[#This Row],[Edital]],INDEX(tItens[Produto],1):tItens[[#This Row],[Produto]],tItens[[#This Row],[Produto]])=1,1,0)</f>
        <v>0</v>
      </c>
    </row>
    <row r="201" spans="1:16" x14ac:dyDescent="0.25">
      <c r="A201" t="s">
        <v>775</v>
      </c>
      <c r="B201">
        <v>106</v>
      </c>
      <c r="C201" t="s">
        <v>3423</v>
      </c>
      <c r="D201" t="s">
        <v>343</v>
      </c>
      <c r="E201" s="13">
        <v>1500</v>
      </c>
      <c r="F201" s="12">
        <v>0</v>
      </c>
      <c r="G201" t="str">
        <f>IFERROR(INDEX(tEditais[Órgão],MATCH(tItens[[#This Row],[Edital]],tEditais[Edital],0)),"")</f>
        <v>MUNICIPIO DE BOA VISTA DO RAMOS</v>
      </c>
      <c r="H201" t="str">
        <f>IFERROR(INDEX(tEditais[UF],MATCH(tItens[[#This Row],[Edital]],tEditais[Edital],0)),"")</f>
        <v>AM</v>
      </c>
      <c r="I201" s="11">
        <f>IFERROR(INDEX(tEditais[Encerramento],MATCH(tItens[[#This Row],[Edital]],tEditais[Edital],0)),"")</f>
        <v>46308.291666666664</v>
      </c>
      <c r="J201" t="str">
        <f>IFERROR(INDEX(tProdutos[Classe],MATCH(tItens[[#This Row],[Produto]],tProdutos[Produto],0)),"produto não cadastrado")</f>
        <v>FORA</v>
      </c>
      <c r="K201" s="12">
        <f>tItens[[#This Row],[Qtd]]*tItens[[#This Row],[Vlr unit]]</f>
        <v>0</v>
      </c>
      <c r="L201" s="6">
        <f>IFERROR(IF(INDEX(tProdutos[Desconto homologado],MATCH(tItens[[#This Row],[Produto]],tProdutos[Produto],0))="",DescontoPadrao,INDEX(tProdutos[Desconto homologado],MATCH(tItens[[#This Row],[Produto]],tProdutos[Produto],0))),DescontoPadrao)</f>
        <v>0.35412234042553198</v>
      </c>
      <c r="M201" s="12">
        <f>tItens[[#This Row],[Valor]]*(1-tItens[[#This Row],[Desconto]])</f>
        <v>0</v>
      </c>
      <c r="N201" t="str">
        <f>IFERROR(INDEX(tProdutos[Foco],MATCH(tItens[[#This Row],[Produto]],tProdutos[Produto],0)),"Não")</f>
        <v>Não</v>
      </c>
      <c r="O201" t="str">
        <f>IFERROR(INDEX(tEditais[SRP],MATCH(tItens[[#This Row],[Edital]],tEditais[Edital],0)),"Não")</f>
        <v>Sim</v>
      </c>
      <c r="P201" s="4">
        <f>IF(COUNTIFS(INDEX(tItens[Edital],1):tItens[[#This Row],[Edital]],tItens[[#This Row],[Edital]],INDEX(tItens[Produto],1):tItens[[#This Row],[Produto]],tItens[[#This Row],[Produto]])=1,1,0)</f>
        <v>0</v>
      </c>
    </row>
    <row r="202" spans="1:16" x14ac:dyDescent="0.25">
      <c r="A202" t="s">
        <v>775</v>
      </c>
      <c r="B202">
        <v>107</v>
      </c>
      <c r="C202" t="s">
        <v>3424</v>
      </c>
      <c r="D202" t="s">
        <v>343</v>
      </c>
      <c r="E202" s="13">
        <v>1000</v>
      </c>
      <c r="F202" s="12">
        <v>0</v>
      </c>
      <c r="G202" t="str">
        <f>IFERROR(INDEX(tEditais[Órgão],MATCH(tItens[[#This Row],[Edital]],tEditais[Edital],0)),"")</f>
        <v>MUNICIPIO DE BOA VISTA DO RAMOS</v>
      </c>
      <c r="H202" t="str">
        <f>IFERROR(INDEX(tEditais[UF],MATCH(tItens[[#This Row],[Edital]],tEditais[Edital],0)),"")</f>
        <v>AM</v>
      </c>
      <c r="I202" s="11">
        <f>IFERROR(INDEX(tEditais[Encerramento],MATCH(tItens[[#This Row],[Edital]],tEditais[Edital],0)),"")</f>
        <v>46308.291666666664</v>
      </c>
      <c r="J202" t="str">
        <f>IFERROR(INDEX(tProdutos[Classe],MATCH(tItens[[#This Row],[Produto]],tProdutos[Produto],0)),"produto não cadastrado")</f>
        <v>FORA</v>
      </c>
      <c r="K202" s="12">
        <f>tItens[[#This Row],[Qtd]]*tItens[[#This Row],[Vlr unit]]</f>
        <v>0</v>
      </c>
      <c r="L202" s="6">
        <f>IFERROR(IF(INDEX(tProdutos[Desconto homologado],MATCH(tItens[[#This Row],[Produto]],tProdutos[Produto],0))="",DescontoPadrao,INDEX(tProdutos[Desconto homologado],MATCH(tItens[[#This Row],[Produto]],tProdutos[Produto],0))),DescontoPadrao)</f>
        <v>0.35412234042553198</v>
      </c>
      <c r="M202" s="12">
        <f>tItens[[#This Row],[Valor]]*(1-tItens[[#This Row],[Desconto]])</f>
        <v>0</v>
      </c>
      <c r="N202" t="str">
        <f>IFERROR(INDEX(tProdutos[Foco],MATCH(tItens[[#This Row],[Produto]],tProdutos[Produto],0)),"Não")</f>
        <v>Não</v>
      </c>
      <c r="O202" t="str">
        <f>IFERROR(INDEX(tEditais[SRP],MATCH(tItens[[#This Row],[Edital]],tEditais[Edital],0)),"Não")</f>
        <v>Sim</v>
      </c>
      <c r="P202" s="4">
        <f>IF(COUNTIFS(INDEX(tItens[Edital],1):tItens[[#This Row],[Edital]],tItens[[#This Row],[Edital]],INDEX(tItens[Produto],1):tItens[[#This Row],[Produto]],tItens[[#This Row],[Produto]])=1,1,0)</f>
        <v>0</v>
      </c>
    </row>
    <row r="203" spans="1:16" x14ac:dyDescent="0.25">
      <c r="A203" t="s">
        <v>775</v>
      </c>
      <c r="B203">
        <v>113</v>
      </c>
      <c r="C203" t="s">
        <v>3425</v>
      </c>
      <c r="D203" t="s">
        <v>494</v>
      </c>
      <c r="E203" s="13">
        <v>100</v>
      </c>
      <c r="F203" s="12">
        <v>0</v>
      </c>
      <c r="G203" t="str">
        <f>IFERROR(INDEX(tEditais[Órgão],MATCH(tItens[[#This Row],[Edital]],tEditais[Edital],0)),"")</f>
        <v>MUNICIPIO DE BOA VISTA DO RAMOS</v>
      </c>
      <c r="H203" t="str">
        <f>IFERROR(INDEX(tEditais[UF],MATCH(tItens[[#This Row],[Edital]],tEditais[Edital],0)),"")</f>
        <v>AM</v>
      </c>
      <c r="I203" s="11">
        <f>IFERROR(INDEX(tEditais[Encerramento],MATCH(tItens[[#This Row],[Edital]],tEditais[Edital],0)),"")</f>
        <v>46308.291666666664</v>
      </c>
      <c r="J203" t="str">
        <f>IFERROR(INDEX(tProdutos[Classe],MATCH(tItens[[#This Row],[Produto]],tProdutos[Produto],0)),"produto não cadastrado")</f>
        <v>FILA REBASE</v>
      </c>
      <c r="K203" s="12">
        <f>tItens[[#This Row],[Qtd]]*tItens[[#This Row],[Vlr unit]]</f>
        <v>0</v>
      </c>
      <c r="L203" s="6">
        <f>IFERROR(IF(INDEX(tProdutos[Desconto homologado],MATCH(tItens[[#This Row],[Produto]],tProdutos[Produto],0))="",DescontoPadrao,INDEX(tProdutos[Desconto homologado],MATCH(tItens[[#This Row],[Produto]],tProdutos[Produto],0))),DescontoPadrao)</f>
        <v>0.253736324829619</v>
      </c>
      <c r="M203" s="12">
        <f>tItens[[#This Row],[Valor]]*(1-tItens[[#This Row],[Desconto]])</f>
        <v>0</v>
      </c>
      <c r="N203" t="str">
        <f>IFERROR(INDEX(tProdutos[Foco],MATCH(tItens[[#This Row],[Produto]],tProdutos[Produto],0)),"Não")</f>
        <v>Não</v>
      </c>
      <c r="O203" t="str">
        <f>IFERROR(INDEX(tEditais[SRP],MATCH(tItens[[#This Row],[Edital]],tEditais[Edital],0)),"Não")</f>
        <v>Sim</v>
      </c>
      <c r="P203" s="4">
        <f>IF(COUNTIFS(INDEX(tItens[Edital],1):tItens[[#This Row],[Edital]],tItens[[#This Row],[Edital]],INDEX(tItens[Produto],1):tItens[[#This Row],[Produto]],tItens[[#This Row],[Produto]])=1,1,0)</f>
        <v>1</v>
      </c>
    </row>
    <row r="204" spans="1:16" x14ac:dyDescent="0.25">
      <c r="A204" t="s">
        <v>775</v>
      </c>
      <c r="B204">
        <v>114</v>
      </c>
      <c r="C204" t="s">
        <v>3426</v>
      </c>
      <c r="D204" t="s">
        <v>494</v>
      </c>
      <c r="E204" s="13">
        <v>100</v>
      </c>
      <c r="F204" s="12">
        <v>0</v>
      </c>
      <c r="G204" t="str">
        <f>IFERROR(INDEX(tEditais[Órgão],MATCH(tItens[[#This Row],[Edital]],tEditais[Edital],0)),"")</f>
        <v>MUNICIPIO DE BOA VISTA DO RAMOS</v>
      </c>
      <c r="H204" t="str">
        <f>IFERROR(INDEX(tEditais[UF],MATCH(tItens[[#This Row],[Edital]],tEditais[Edital],0)),"")</f>
        <v>AM</v>
      </c>
      <c r="I204" s="11">
        <f>IFERROR(INDEX(tEditais[Encerramento],MATCH(tItens[[#This Row],[Edital]],tEditais[Edital],0)),"")</f>
        <v>46308.291666666664</v>
      </c>
      <c r="J204" t="str">
        <f>IFERROR(INDEX(tProdutos[Classe],MATCH(tItens[[#This Row],[Produto]],tProdutos[Produto],0)),"produto não cadastrado")</f>
        <v>FILA REBASE</v>
      </c>
      <c r="K204" s="12">
        <f>tItens[[#This Row],[Qtd]]*tItens[[#This Row],[Vlr unit]]</f>
        <v>0</v>
      </c>
      <c r="L204" s="6">
        <f>IFERROR(IF(INDEX(tProdutos[Desconto homologado],MATCH(tItens[[#This Row],[Produto]],tProdutos[Produto],0))="",DescontoPadrao,INDEX(tProdutos[Desconto homologado],MATCH(tItens[[#This Row],[Produto]],tProdutos[Produto],0))),DescontoPadrao)</f>
        <v>0.253736324829619</v>
      </c>
      <c r="M204" s="12">
        <f>tItens[[#This Row],[Valor]]*(1-tItens[[#This Row],[Desconto]])</f>
        <v>0</v>
      </c>
      <c r="N204" t="str">
        <f>IFERROR(INDEX(tProdutos[Foco],MATCH(tItens[[#This Row],[Produto]],tProdutos[Produto],0)),"Não")</f>
        <v>Não</v>
      </c>
      <c r="O204" t="str">
        <f>IFERROR(INDEX(tEditais[SRP],MATCH(tItens[[#This Row],[Edital]],tEditais[Edital],0)),"Não")</f>
        <v>Sim</v>
      </c>
      <c r="P204" s="4">
        <f>IF(COUNTIFS(INDEX(tItens[Edital],1):tItens[[#This Row],[Edital]],tItens[[#This Row],[Edital]],INDEX(tItens[Produto],1):tItens[[#This Row],[Produto]],tItens[[#This Row],[Produto]])=1,1,0)</f>
        <v>0</v>
      </c>
    </row>
    <row r="205" spans="1:16" x14ac:dyDescent="0.25">
      <c r="A205" t="s">
        <v>775</v>
      </c>
      <c r="B205">
        <v>115</v>
      </c>
      <c r="C205" t="s">
        <v>3427</v>
      </c>
      <c r="D205" t="s">
        <v>494</v>
      </c>
      <c r="E205" s="13">
        <v>180</v>
      </c>
      <c r="F205" s="12">
        <v>0</v>
      </c>
      <c r="G205" t="str">
        <f>IFERROR(INDEX(tEditais[Órgão],MATCH(tItens[[#This Row],[Edital]],tEditais[Edital],0)),"")</f>
        <v>MUNICIPIO DE BOA VISTA DO RAMOS</v>
      </c>
      <c r="H205" t="str">
        <f>IFERROR(INDEX(tEditais[UF],MATCH(tItens[[#This Row],[Edital]],tEditais[Edital],0)),"")</f>
        <v>AM</v>
      </c>
      <c r="I205" s="11">
        <f>IFERROR(INDEX(tEditais[Encerramento],MATCH(tItens[[#This Row],[Edital]],tEditais[Edital],0)),"")</f>
        <v>46308.291666666664</v>
      </c>
      <c r="J205" t="str">
        <f>IFERROR(INDEX(tProdutos[Classe],MATCH(tItens[[#This Row],[Produto]],tProdutos[Produto],0)),"produto não cadastrado")</f>
        <v>FILA REBASE</v>
      </c>
      <c r="K205" s="12">
        <f>tItens[[#This Row],[Qtd]]*tItens[[#This Row],[Vlr unit]]</f>
        <v>0</v>
      </c>
      <c r="L205" s="6">
        <f>IFERROR(IF(INDEX(tProdutos[Desconto homologado],MATCH(tItens[[#This Row],[Produto]],tProdutos[Produto],0))="",DescontoPadrao,INDEX(tProdutos[Desconto homologado],MATCH(tItens[[#This Row],[Produto]],tProdutos[Produto],0))),DescontoPadrao)</f>
        <v>0.253736324829619</v>
      </c>
      <c r="M205" s="12">
        <f>tItens[[#This Row],[Valor]]*(1-tItens[[#This Row],[Desconto]])</f>
        <v>0</v>
      </c>
      <c r="N205" t="str">
        <f>IFERROR(INDEX(tProdutos[Foco],MATCH(tItens[[#This Row],[Produto]],tProdutos[Produto],0)),"Não")</f>
        <v>Não</v>
      </c>
      <c r="O205" t="str">
        <f>IFERROR(INDEX(tEditais[SRP],MATCH(tItens[[#This Row],[Edital]],tEditais[Edital],0)),"Não")</f>
        <v>Sim</v>
      </c>
      <c r="P205" s="4">
        <f>IF(COUNTIFS(INDEX(tItens[Edital],1):tItens[[#This Row],[Edital]],tItens[[#This Row],[Edital]],INDEX(tItens[Produto],1):tItens[[#This Row],[Produto]],tItens[[#This Row],[Produto]])=1,1,0)</f>
        <v>0</v>
      </c>
    </row>
    <row r="206" spans="1:16" x14ac:dyDescent="0.25">
      <c r="A206" t="s">
        <v>775</v>
      </c>
      <c r="B206">
        <v>116</v>
      </c>
      <c r="C206" t="s">
        <v>3428</v>
      </c>
      <c r="D206" t="s">
        <v>494</v>
      </c>
      <c r="E206" s="13">
        <v>180</v>
      </c>
      <c r="F206" s="12">
        <v>0</v>
      </c>
      <c r="G206" t="str">
        <f>IFERROR(INDEX(tEditais[Órgão],MATCH(tItens[[#This Row],[Edital]],tEditais[Edital],0)),"")</f>
        <v>MUNICIPIO DE BOA VISTA DO RAMOS</v>
      </c>
      <c r="H206" t="str">
        <f>IFERROR(INDEX(tEditais[UF],MATCH(tItens[[#This Row],[Edital]],tEditais[Edital],0)),"")</f>
        <v>AM</v>
      </c>
      <c r="I206" s="11">
        <f>IFERROR(INDEX(tEditais[Encerramento],MATCH(tItens[[#This Row],[Edital]],tEditais[Edital],0)),"")</f>
        <v>46308.291666666664</v>
      </c>
      <c r="J206" t="str">
        <f>IFERROR(INDEX(tProdutos[Classe],MATCH(tItens[[#This Row],[Produto]],tProdutos[Produto],0)),"produto não cadastrado")</f>
        <v>FILA REBASE</v>
      </c>
      <c r="K206" s="12">
        <f>tItens[[#This Row],[Qtd]]*tItens[[#This Row],[Vlr unit]]</f>
        <v>0</v>
      </c>
      <c r="L206" s="6">
        <f>IFERROR(IF(INDEX(tProdutos[Desconto homologado],MATCH(tItens[[#This Row],[Produto]],tProdutos[Produto],0))="",DescontoPadrao,INDEX(tProdutos[Desconto homologado],MATCH(tItens[[#This Row],[Produto]],tProdutos[Produto],0))),DescontoPadrao)</f>
        <v>0.253736324829619</v>
      </c>
      <c r="M206" s="12">
        <f>tItens[[#This Row],[Valor]]*(1-tItens[[#This Row],[Desconto]])</f>
        <v>0</v>
      </c>
      <c r="N206" t="str">
        <f>IFERROR(INDEX(tProdutos[Foco],MATCH(tItens[[#This Row],[Produto]],tProdutos[Produto],0)),"Não")</f>
        <v>Não</v>
      </c>
      <c r="O206" t="str">
        <f>IFERROR(INDEX(tEditais[SRP],MATCH(tItens[[#This Row],[Edital]],tEditais[Edital],0)),"Não")</f>
        <v>Sim</v>
      </c>
      <c r="P206" s="4">
        <f>IF(COUNTIFS(INDEX(tItens[Edital],1):tItens[[#This Row],[Edital]],tItens[[#This Row],[Edital]],INDEX(tItens[Produto],1):tItens[[#This Row],[Produto]],tItens[[#This Row],[Produto]])=1,1,0)</f>
        <v>0</v>
      </c>
    </row>
    <row r="207" spans="1:16" x14ac:dyDescent="0.25">
      <c r="A207" t="s">
        <v>775</v>
      </c>
      <c r="B207">
        <v>121</v>
      </c>
      <c r="C207" t="s">
        <v>3429</v>
      </c>
      <c r="D207" t="s">
        <v>275</v>
      </c>
      <c r="E207" s="13">
        <v>20000</v>
      </c>
      <c r="F207" s="12">
        <v>0</v>
      </c>
      <c r="G207" t="str">
        <f>IFERROR(INDEX(tEditais[Órgão],MATCH(tItens[[#This Row],[Edital]],tEditais[Edital],0)),"")</f>
        <v>MUNICIPIO DE BOA VISTA DO RAMOS</v>
      </c>
      <c r="H207" t="str">
        <f>IFERROR(INDEX(tEditais[UF],MATCH(tItens[[#This Row],[Edital]],tEditais[Edital],0)),"")</f>
        <v>AM</v>
      </c>
      <c r="I207" s="11">
        <f>IFERROR(INDEX(tEditais[Encerramento],MATCH(tItens[[#This Row],[Edital]],tEditais[Edital],0)),"")</f>
        <v>46308.291666666664</v>
      </c>
      <c r="J207" t="str">
        <f>IFERROR(INDEX(tProdutos[Classe],MATCH(tItens[[#This Row],[Produto]],tProdutos[Produto],0)),"produto não cadastrado")</f>
        <v>FORA</v>
      </c>
      <c r="K207" s="12">
        <f>tItens[[#This Row],[Qtd]]*tItens[[#This Row],[Vlr unit]]</f>
        <v>0</v>
      </c>
      <c r="L207" s="6">
        <f>IFERROR(IF(INDEX(tProdutos[Desconto homologado],MATCH(tItens[[#This Row],[Produto]],tProdutos[Produto],0))="",DescontoPadrao,INDEX(tProdutos[Desconto homologado],MATCH(tItens[[#This Row],[Produto]],tProdutos[Produto],0))),DescontoPadrao)</f>
        <v>0.405797101449275</v>
      </c>
      <c r="M207" s="12">
        <f>tItens[[#This Row],[Valor]]*(1-tItens[[#This Row],[Desconto]])</f>
        <v>0</v>
      </c>
      <c r="N207" t="str">
        <f>IFERROR(INDEX(tProdutos[Foco],MATCH(tItens[[#This Row],[Produto]],tProdutos[Produto],0)),"Não")</f>
        <v>Não</v>
      </c>
      <c r="O207" t="str">
        <f>IFERROR(INDEX(tEditais[SRP],MATCH(tItens[[#This Row],[Edital]],tEditais[Edital],0)),"Não")</f>
        <v>Sim</v>
      </c>
      <c r="P207" s="4">
        <f>IF(COUNTIFS(INDEX(tItens[Edital],1):tItens[[#This Row],[Edital]],tItens[[#This Row],[Edital]],INDEX(tItens[Produto],1):tItens[[#This Row],[Produto]],tItens[[#This Row],[Produto]])=1,1,0)</f>
        <v>1</v>
      </c>
    </row>
    <row r="208" spans="1:16" x14ac:dyDescent="0.25">
      <c r="A208" t="s">
        <v>775</v>
      </c>
      <c r="B208">
        <v>122</v>
      </c>
      <c r="C208" t="s">
        <v>3430</v>
      </c>
      <c r="D208" t="s">
        <v>283</v>
      </c>
      <c r="E208" s="13">
        <v>27000</v>
      </c>
      <c r="F208" s="12">
        <v>0</v>
      </c>
      <c r="G208" t="str">
        <f>IFERROR(INDEX(tEditais[Órgão],MATCH(tItens[[#This Row],[Edital]],tEditais[Edital],0)),"")</f>
        <v>MUNICIPIO DE BOA VISTA DO RAMOS</v>
      </c>
      <c r="H208" t="str">
        <f>IFERROR(INDEX(tEditais[UF],MATCH(tItens[[#This Row],[Edital]],tEditais[Edital],0)),"")</f>
        <v>AM</v>
      </c>
      <c r="I208" s="11">
        <f>IFERROR(INDEX(tEditais[Encerramento],MATCH(tItens[[#This Row],[Edital]],tEditais[Edital],0)),"")</f>
        <v>46308.291666666664</v>
      </c>
      <c r="J208" t="str">
        <f>IFERROR(INDEX(tProdutos[Classe],MATCH(tItens[[#This Row],[Produto]],tProdutos[Produto],0)),"produto não cadastrado")</f>
        <v>FORA</v>
      </c>
      <c r="K208" s="12">
        <f>tItens[[#This Row],[Qtd]]*tItens[[#This Row],[Vlr unit]]</f>
        <v>0</v>
      </c>
      <c r="L208" s="6">
        <f>IFERROR(IF(INDEX(tProdutos[Desconto homologado],MATCH(tItens[[#This Row],[Produto]],tProdutos[Produto],0))="",DescontoPadrao,INDEX(tProdutos[Desconto homologado],MATCH(tItens[[#This Row],[Produto]],tProdutos[Produto],0))),DescontoPadrao)</f>
        <v>0.40540540540540498</v>
      </c>
      <c r="M208" s="12">
        <f>tItens[[#This Row],[Valor]]*(1-tItens[[#This Row],[Desconto]])</f>
        <v>0</v>
      </c>
      <c r="N208" t="str">
        <f>IFERROR(INDEX(tProdutos[Foco],MATCH(tItens[[#This Row],[Produto]],tProdutos[Produto],0)),"Não")</f>
        <v>Não</v>
      </c>
      <c r="O208" t="str">
        <f>IFERROR(INDEX(tEditais[SRP],MATCH(tItens[[#This Row],[Edital]],tEditais[Edital],0)),"Não")</f>
        <v>Sim</v>
      </c>
      <c r="P208" s="4">
        <f>IF(COUNTIFS(INDEX(tItens[Edital],1):tItens[[#This Row],[Edital]],tItens[[#This Row],[Edital]],INDEX(tItens[Produto],1):tItens[[#This Row],[Produto]],tItens[[#This Row],[Produto]])=1,1,0)</f>
        <v>1</v>
      </c>
    </row>
    <row r="209" spans="1:16" x14ac:dyDescent="0.25">
      <c r="A209" t="s">
        <v>775</v>
      </c>
      <c r="B209">
        <v>123</v>
      </c>
      <c r="C209" t="s">
        <v>3431</v>
      </c>
      <c r="D209" t="s">
        <v>265</v>
      </c>
      <c r="E209" s="13">
        <v>25000</v>
      </c>
      <c r="F209" s="12">
        <v>0</v>
      </c>
      <c r="G209" t="str">
        <f>IFERROR(INDEX(tEditais[Órgão],MATCH(tItens[[#This Row],[Edital]],tEditais[Edital],0)),"")</f>
        <v>MUNICIPIO DE BOA VISTA DO RAMOS</v>
      </c>
      <c r="H209" t="str">
        <f>IFERROR(INDEX(tEditais[UF],MATCH(tItens[[#This Row],[Edital]],tEditais[Edital],0)),"")</f>
        <v>AM</v>
      </c>
      <c r="I209" s="11">
        <f>IFERROR(INDEX(tEditais[Encerramento],MATCH(tItens[[#This Row],[Edital]],tEditais[Edital],0)),"")</f>
        <v>46308.291666666664</v>
      </c>
      <c r="J209" t="str">
        <f>IFERROR(INDEX(tProdutos[Classe],MATCH(tItens[[#This Row],[Produto]],tProdutos[Produto],0)),"produto não cadastrado")</f>
        <v>DISPUTADO</v>
      </c>
      <c r="K209" s="12">
        <f>tItens[[#This Row],[Qtd]]*tItens[[#This Row],[Vlr unit]]</f>
        <v>0</v>
      </c>
      <c r="L209" s="6">
        <f>IFERROR(IF(INDEX(tProdutos[Desconto homologado],MATCH(tItens[[#This Row],[Produto]],tProdutos[Produto],0))="",DescontoPadrao,INDEX(tProdutos[Desconto homologado],MATCH(tItens[[#This Row],[Produto]],tProdutos[Produto],0))),DescontoPadrao)</f>
        <v>0.377587663709337</v>
      </c>
      <c r="M209" s="12">
        <f>tItens[[#This Row],[Valor]]*(1-tItens[[#This Row],[Desconto]])</f>
        <v>0</v>
      </c>
      <c r="N209" t="str">
        <f>IFERROR(INDEX(tProdutos[Foco],MATCH(tItens[[#This Row],[Produto]],tProdutos[Produto],0)),"Não")</f>
        <v>Não</v>
      </c>
      <c r="O209" t="str">
        <f>IFERROR(INDEX(tEditais[SRP],MATCH(tItens[[#This Row],[Edital]],tEditais[Edital],0)),"Não")</f>
        <v>Sim</v>
      </c>
      <c r="P209" s="4">
        <f>IF(COUNTIFS(INDEX(tItens[Edital],1):tItens[[#This Row],[Edital]],tItens[[#This Row],[Edital]],INDEX(tItens[Produto],1):tItens[[#This Row],[Produto]],tItens[[#This Row],[Produto]])=1,1,0)</f>
        <v>1</v>
      </c>
    </row>
    <row r="210" spans="1:16" x14ac:dyDescent="0.25">
      <c r="A210" t="s">
        <v>775</v>
      </c>
      <c r="B210">
        <v>124</v>
      </c>
      <c r="C210" t="s">
        <v>3432</v>
      </c>
      <c r="D210" t="s">
        <v>281</v>
      </c>
      <c r="E210" s="13">
        <v>20000</v>
      </c>
      <c r="F210" s="12">
        <v>0</v>
      </c>
      <c r="G210" t="str">
        <f>IFERROR(INDEX(tEditais[Órgão],MATCH(tItens[[#This Row],[Edital]],tEditais[Edital],0)),"")</f>
        <v>MUNICIPIO DE BOA VISTA DO RAMOS</v>
      </c>
      <c r="H210" t="str">
        <f>IFERROR(INDEX(tEditais[UF],MATCH(tItens[[#This Row],[Edital]],tEditais[Edital],0)),"")</f>
        <v>AM</v>
      </c>
      <c r="I210" s="11">
        <f>IFERROR(INDEX(tEditais[Encerramento],MATCH(tItens[[#This Row],[Edital]],tEditais[Edital],0)),"")</f>
        <v>46308.291666666664</v>
      </c>
      <c r="J210" t="str">
        <f>IFERROR(INDEX(tProdutos[Classe],MATCH(tItens[[#This Row],[Produto]],tProdutos[Produto],0)),"produto não cadastrado")</f>
        <v>DISPUTADO</v>
      </c>
      <c r="K210" s="12">
        <f>tItens[[#This Row],[Qtd]]*tItens[[#This Row],[Vlr unit]]</f>
        <v>0</v>
      </c>
      <c r="L210" s="6">
        <f>IFERROR(IF(INDEX(tProdutos[Desconto homologado],MATCH(tItens[[#This Row],[Produto]],tProdutos[Produto],0))="",DescontoPadrao,INDEX(tProdutos[Desconto homologado],MATCH(tItens[[#This Row],[Produto]],tProdutos[Produto],0))),DescontoPadrao)</f>
        <v>0.42461538461538501</v>
      </c>
      <c r="M210" s="12">
        <f>tItens[[#This Row],[Valor]]*(1-tItens[[#This Row],[Desconto]])</f>
        <v>0</v>
      </c>
      <c r="N210" t="str">
        <f>IFERROR(INDEX(tProdutos[Foco],MATCH(tItens[[#This Row],[Produto]],tProdutos[Produto],0)),"Não")</f>
        <v>Não</v>
      </c>
      <c r="O210" t="str">
        <f>IFERROR(INDEX(tEditais[SRP],MATCH(tItens[[#This Row],[Edital]],tEditais[Edital],0)),"Não")</f>
        <v>Sim</v>
      </c>
      <c r="P210" s="4">
        <f>IF(COUNTIFS(INDEX(tItens[Edital],1):tItens[[#This Row],[Edital]],tItens[[#This Row],[Edital]],INDEX(tItens[Produto],1):tItens[[#This Row],[Produto]],tItens[[#This Row],[Produto]])=1,1,0)</f>
        <v>1</v>
      </c>
    </row>
    <row r="211" spans="1:16" x14ac:dyDescent="0.25">
      <c r="A211" t="s">
        <v>775</v>
      </c>
      <c r="B211">
        <v>125</v>
      </c>
      <c r="C211" t="s">
        <v>3433</v>
      </c>
      <c r="D211" t="s">
        <v>289</v>
      </c>
      <c r="E211" s="13">
        <v>20000</v>
      </c>
      <c r="F211" s="12">
        <v>0</v>
      </c>
      <c r="G211" t="str">
        <f>IFERROR(INDEX(tEditais[Órgão],MATCH(tItens[[#This Row],[Edital]],tEditais[Edital],0)),"")</f>
        <v>MUNICIPIO DE BOA VISTA DO RAMOS</v>
      </c>
      <c r="H211" t="str">
        <f>IFERROR(INDEX(tEditais[UF],MATCH(tItens[[#This Row],[Edital]],tEditais[Edital],0)),"")</f>
        <v>AM</v>
      </c>
      <c r="I211" s="11">
        <f>IFERROR(INDEX(tEditais[Encerramento],MATCH(tItens[[#This Row],[Edital]],tEditais[Edital],0)),"")</f>
        <v>46308.291666666664</v>
      </c>
      <c r="J211" t="str">
        <f>IFERROR(INDEX(tProdutos[Classe],MATCH(tItens[[#This Row],[Produto]],tProdutos[Produto],0)),"produto não cadastrado")</f>
        <v>DISPUTADO</v>
      </c>
      <c r="K211" s="12">
        <f>tItens[[#This Row],[Qtd]]*tItens[[#This Row],[Vlr unit]]</f>
        <v>0</v>
      </c>
      <c r="L211" s="6">
        <f>IFERROR(IF(INDEX(tProdutos[Desconto homologado],MATCH(tItens[[#This Row],[Produto]],tProdutos[Produto],0))="",DescontoPadrao,INDEX(tProdutos[Desconto homologado],MATCH(tItens[[#This Row],[Produto]],tProdutos[Produto],0))),DescontoPadrao)</f>
        <v>0.35849056603773599</v>
      </c>
      <c r="M211" s="12">
        <f>tItens[[#This Row],[Valor]]*(1-tItens[[#This Row],[Desconto]])</f>
        <v>0</v>
      </c>
      <c r="N211" t="str">
        <f>IFERROR(INDEX(tProdutos[Foco],MATCH(tItens[[#This Row],[Produto]],tProdutos[Produto],0)),"Não")</f>
        <v>Não</v>
      </c>
      <c r="O211" t="str">
        <f>IFERROR(INDEX(tEditais[SRP],MATCH(tItens[[#This Row],[Edital]],tEditais[Edital],0)),"Não")</f>
        <v>Sim</v>
      </c>
      <c r="P211" s="4">
        <f>IF(COUNTIFS(INDEX(tItens[Edital],1):tItens[[#This Row],[Edital]],tItens[[#This Row],[Edital]],INDEX(tItens[Produto],1):tItens[[#This Row],[Produto]],tItens[[#This Row],[Produto]])=1,1,0)</f>
        <v>1</v>
      </c>
    </row>
    <row r="212" spans="1:16" x14ac:dyDescent="0.25">
      <c r="A212" t="s">
        <v>775</v>
      </c>
      <c r="B212">
        <v>126</v>
      </c>
      <c r="C212" t="s">
        <v>3434</v>
      </c>
      <c r="D212" t="s">
        <v>110</v>
      </c>
      <c r="E212" s="13">
        <v>500</v>
      </c>
      <c r="F212" s="12">
        <v>0</v>
      </c>
      <c r="G212" t="str">
        <f>IFERROR(INDEX(tEditais[Órgão],MATCH(tItens[[#This Row],[Edital]],tEditais[Edital],0)),"")</f>
        <v>MUNICIPIO DE BOA VISTA DO RAMOS</v>
      </c>
      <c r="H212" t="str">
        <f>IFERROR(INDEX(tEditais[UF],MATCH(tItens[[#This Row],[Edital]],tEditais[Edital],0)),"")</f>
        <v>AM</v>
      </c>
      <c r="I212" s="11">
        <f>IFERROR(INDEX(tEditais[Encerramento],MATCH(tItens[[#This Row],[Edital]],tEditais[Edital],0)),"")</f>
        <v>46308.291666666664</v>
      </c>
      <c r="J212" t="str">
        <f>IFERROR(INDEX(tProdutos[Classe],MATCH(tItens[[#This Row],[Produto]],tProdutos[Produto],0)),"produto não cadastrado")</f>
        <v>NÚCLEO</v>
      </c>
      <c r="K212" s="12">
        <f>tItens[[#This Row],[Qtd]]*tItens[[#This Row],[Vlr unit]]</f>
        <v>0</v>
      </c>
      <c r="L212" s="6">
        <f>IFERROR(IF(INDEX(tProdutos[Desconto homologado],MATCH(tItens[[#This Row],[Produto]],tProdutos[Produto],0))="",DescontoPadrao,INDEX(tProdutos[Desconto homologado],MATCH(tItens[[#This Row],[Produto]],tProdutos[Produto],0))),DescontoPadrao)</f>
        <v>0.30410958904109597</v>
      </c>
      <c r="M212" s="12">
        <f>tItens[[#This Row],[Valor]]*(1-tItens[[#This Row],[Desconto]])</f>
        <v>0</v>
      </c>
      <c r="N212" t="str">
        <f>IFERROR(INDEX(tProdutos[Foco],MATCH(tItens[[#This Row],[Produto]],tProdutos[Produto],0)),"Não")</f>
        <v>Não</v>
      </c>
      <c r="O212" t="str">
        <f>IFERROR(INDEX(tEditais[SRP],MATCH(tItens[[#This Row],[Edital]],tEditais[Edital],0)),"Não")</f>
        <v>Sim</v>
      </c>
      <c r="P212" s="4">
        <f>IF(COUNTIFS(INDEX(tItens[Edital],1):tItens[[#This Row],[Edital]],tItens[[#This Row],[Edital]],INDEX(tItens[Produto],1):tItens[[#This Row],[Produto]],tItens[[#This Row],[Produto]])=1,1,0)</f>
        <v>1</v>
      </c>
    </row>
    <row r="213" spans="1:16" x14ac:dyDescent="0.25">
      <c r="A213" t="s">
        <v>775</v>
      </c>
      <c r="B213">
        <v>127</v>
      </c>
      <c r="C213" t="s">
        <v>3435</v>
      </c>
      <c r="D213" t="s">
        <v>110</v>
      </c>
      <c r="E213" s="13">
        <v>500</v>
      </c>
      <c r="F213" s="12">
        <v>0</v>
      </c>
      <c r="G213" t="str">
        <f>IFERROR(INDEX(tEditais[Órgão],MATCH(tItens[[#This Row],[Edital]],tEditais[Edital],0)),"")</f>
        <v>MUNICIPIO DE BOA VISTA DO RAMOS</v>
      </c>
      <c r="H213" t="str">
        <f>IFERROR(INDEX(tEditais[UF],MATCH(tItens[[#This Row],[Edital]],tEditais[Edital],0)),"")</f>
        <v>AM</v>
      </c>
      <c r="I213" s="11">
        <f>IFERROR(INDEX(tEditais[Encerramento],MATCH(tItens[[#This Row],[Edital]],tEditais[Edital],0)),"")</f>
        <v>46308.291666666664</v>
      </c>
      <c r="J213" t="str">
        <f>IFERROR(INDEX(tProdutos[Classe],MATCH(tItens[[#This Row],[Produto]],tProdutos[Produto],0)),"produto não cadastrado")</f>
        <v>NÚCLEO</v>
      </c>
      <c r="K213" s="12">
        <f>tItens[[#This Row],[Qtd]]*tItens[[#This Row],[Vlr unit]]</f>
        <v>0</v>
      </c>
      <c r="L213" s="6">
        <f>IFERROR(IF(INDEX(tProdutos[Desconto homologado],MATCH(tItens[[#This Row],[Produto]],tProdutos[Produto],0))="",DescontoPadrao,INDEX(tProdutos[Desconto homologado],MATCH(tItens[[#This Row],[Produto]],tProdutos[Produto],0))),DescontoPadrao)</f>
        <v>0.30410958904109597</v>
      </c>
      <c r="M213" s="12">
        <f>tItens[[#This Row],[Valor]]*(1-tItens[[#This Row],[Desconto]])</f>
        <v>0</v>
      </c>
      <c r="N213" t="str">
        <f>IFERROR(INDEX(tProdutos[Foco],MATCH(tItens[[#This Row],[Produto]],tProdutos[Produto],0)),"Não")</f>
        <v>Não</v>
      </c>
      <c r="O213" t="str">
        <f>IFERROR(INDEX(tEditais[SRP],MATCH(tItens[[#This Row],[Edital]],tEditais[Edital],0)),"Não")</f>
        <v>Sim</v>
      </c>
      <c r="P213" s="4">
        <f>IF(COUNTIFS(INDEX(tItens[Edital],1):tItens[[#This Row],[Edital]],tItens[[#This Row],[Edital]],INDEX(tItens[Produto],1):tItens[[#This Row],[Produto]],tItens[[#This Row],[Produto]])=1,1,0)</f>
        <v>0</v>
      </c>
    </row>
    <row r="214" spans="1:16" x14ac:dyDescent="0.25">
      <c r="A214" t="s">
        <v>775</v>
      </c>
      <c r="B214">
        <v>128</v>
      </c>
      <c r="C214" t="s">
        <v>3436</v>
      </c>
      <c r="D214" t="s">
        <v>110</v>
      </c>
      <c r="E214" s="13">
        <v>500</v>
      </c>
      <c r="F214" s="12">
        <v>0</v>
      </c>
      <c r="G214" t="str">
        <f>IFERROR(INDEX(tEditais[Órgão],MATCH(tItens[[#This Row],[Edital]],tEditais[Edital],0)),"")</f>
        <v>MUNICIPIO DE BOA VISTA DO RAMOS</v>
      </c>
      <c r="H214" t="str">
        <f>IFERROR(INDEX(tEditais[UF],MATCH(tItens[[#This Row],[Edital]],tEditais[Edital],0)),"")</f>
        <v>AM</v>
      </c>
      <c r="I214" s="11">
        <f>IFERROR(INDEX(tEditais[Encerramento],MATCH(tItens[[#This Row],[Edital]],tEditais[Edital],0)),"")</f>
        <v>46308.291666666664</v>
      </c>
      <c r="J214" t="str">
        <f>IFERROR(INDEX(tProdutos[Classe],MATCH(tItens[[#This Row],[Produto]],tProdutos[Produto],0)),"produto não cadastrado")</f>
        <v>NÚCLEO</v>
      </c>
      <c r="K214" s="12">
        <f>tItens[[#This Row],[Qtd]]*tItens[[#This Row],[Vlr unit]]</f>
        <v>0</v>
      </c>
      <c r="L214" s="6">
        <f>IFERROR(IF(INDEX(tProdutos[Desconto homologado],MATCH(tItens[[#This Row],[Produto]],tProdutos[Produto],0))="",DescontoPadrao,INDEX(tProdutos[Desconto homologado],MATCH(tItens[[#This Row],[Produto]],tProdutos[Produto],0))),DescontoPadrao)</f>
        <v>0.30410958904109597</v>
      </c>
      <c r="M214" s="12">
        <f>tItens[[#This Row],[Valor]]*(1-tItens[[#This Row],[Desconto]])</f>
        <v>0</v>
      </c>
      <c r="N214" t="str">
        <f>IFERROR(INDEX(tProdutos[Foco],MATCH(tItens[[#This Row],[Produto]],tProdutos[Produto],0)),"Não")</f>
        <v>Não</v>
      </c>
      <c r="O214" t="str">
        <f>IFERROR(INDEX(tEditais[SRP],MATCH(tItens[[#This Row],[Edital]],tEditais[Edital],0)),"Não")</f>
        <v>Sim</v>
      </c>
      <c r="P214" s="4">
        <f>IF(COUNTIFS(INDEX(tItens[Edital],1):tItens[[#This Row],[Edital]],tItens[[#This Row],[Edital]],INDEX(tItens[Produto],1):tItens[[#This Row],[Produto]],tItens[[#This Row],[Produto]])=1,1,0)</f>
        <v>0</v>
      </c>
    </row>
    <row r="215" spans="1:16" x14ac:dyDescent="0.25">
      <c r="A215" t="s">
        <v>775</v>
      </c>
      <c r="B215">
        <v>129</v>
      </c>
      <c r="C215" t="s">
        <v>3437</v>
      </c>
      <c r="D215" t="s">
        <v>110</v>
      </c>
      <c r="E215" s="13">
        <v>500</v>
      </c>
      <c r="F215" s="12">
        <v>0</v>
      </c>
      <c r="G215" t="str">
        <f>IFERROR(INDEX(tEditais[Órgão],MATCH(tItens[[#This Row],[Edital]],tEditais[Edital],0)),"")</f>
        <v>MUNICIPIO DE BOA VISTA DO RAMOS</v>
      </c>
      <c r="H215" t="str">
        <f>IFERROR(INDEX(tEditais[UF],MATCH(tItens[[#This Row],[Edital]],tEditais[Edital],0)),"")</f>
        <v>AM</v>
      </c>
      <c r="I215" s="11">
        <f>IFERROR(INDEX(tEditais[Encerramento],MATCH(tItens[[#This Row],[Edital]],tEditais[Edital],0)),"")</f>
        <v>46308.291666666664</v>
      </c>
      <c r="J215" t="str">
        <f>IFERROR(INDEX(tProdutos[Classe],MATCH(tItens[[#This Row],[Produto]],tProdutos[Produto],0)),"produto não cadastrado")</f>
        <v>NÚCLEO</v>
      </c>
      <c r="K215" s="12">
        <f>tItens[[#This Row],[Qtd]]*tItens[[#This Row],[Vlr unit]]</f>
        <v>0</v>
      </c>
      <c r="L215" s="6">
        <f>IFERROR(IF(INDEX(tProdutos[Desconto homologado],MATCH(tItens[[#This Row],[Produto]],tProdutos[Produto],0))="",DescontoPadrao,INDEX(tProdutos[Desconto homologado],MATCH(tItens[[#This Row],[Produto]],tProdutos[Produto],0))),DescontoPadrao)</f>
        <v>0.30410958904109597</v>
      </c>
      <c r="M215" s="12">
        <f>tItens[[#This Row],[Valor]]*(1-tItens[[#This Row],[Desconto]])</f>
        <v>0</v>
      </c>
      <c r="N215" t="str">
        <f>IFERROR(INDEX(tProdutos[Foco],MATCH(tItens[[#This Row],[Produto]],tProdutos[Produto],0)),"Não")</f>
        <v>Não</v>
      </c>
      <c r="O215" t="str">
        <f>IFERROR(INDEX(tEditais[SRP],MATCH(tItens[[#This Row],[Edital]],tEditais[Edital],0)),"Não")</f>
        <v>Sim</v>
      </c>
      <c r="P215" s="4">
        <f>IF(COUNTIFS(INDEX(tItens[Edital],1):tItens[[#This Row],[Edital]],tItens[[#This Row],[Edital]],INDEX(tItens[Produto],1):tItens[[#This Row],[Produto]],tItens[[#This Row],[Produto]])=1,1,0)</f>
        <v>0</v>
      </c>
    </row>
    <row r="216" spans="1:16" x14ac:dyDescent="0.25">
      <c r="A216" t="s">
        <v>775</v>
      </c>
      <c r="B216">
        <v>130</v>
      </c>
      <c r="C216" t="s">
        <v>3438</v>
      </c>
      <c r="D216" t="s">
        <v>110</v>
      </c>
      <c r="E216" s="13">
        <v>500</v>
      </c>
      <c r="F216" s="12">
        <v>0</v>
      </c>
      <c r="G216" t="str">
        <f>IFERROR(INDEX(tEditais[Órgão],MATCH(tItens[[#This Row],[Edital]],tEditais[Edital],0)),"")</f>
        <v>MUNICIPIO DE BOA VISTA DO RAMOS</v>
      </c>
      <c r="H216" t="str">
        <f>IFERROR(INDEX(tEditais[UF],MATCH(tItens[[#This Row],[Edital]],tEditais[Edital],0)),"")</f>
        <v>AM</v>
      </c>
      <c r="I216" s="11">
        <f>IFERROR(INDEX(tEditais[Encerramento],MATCH(tItens[[#This Row],[Edital]],tEditais[Edital],0)),"")</f>
        <v>46308.291666666664</v>
      </c>
      <c r="J216" t="str">
        <f>IFERROR(INDEX(tProdutos[Classe],MATCH(tItens[[#This Row],[Produto]],tProdutos[Produto],0)),"produto não cadastrado")</f>
        <v>NÚCLEO</v>
      </c>
      <c r="K216" s="12">
        <f>tItens[[#This Row],[Qtd]]*tItens[[#This Row],[Vlr unit]]</f>
        <v>0</v>
      </c>
      <c r="L216" s="6">
        <f>IFERROR(IF(INDEX(tProdutos[Desconto homologado],MATCH(tItens[[#This Row],[Produto]],tProdutos[Produto],0))="",DescontoPadrao,INDEX(tProdutos[Desconto homologado],MATCH(tItens[[#This Row],[Produto]],tProdutos[Produto],0))),DescontoPadrao)</f>
        <v>0.30410958904109597</v>
      </c>
      <c r="M216" s="12">
        <f>tItens[[#This Row],[Valor]]*(1-tItens[[#This Row],[Desconto]])</f>
        <v>0</v>
      </c>
      <c r="N216" t="str">
        <f>IFERROR(INDEX(tProdutos[Foco],MATCH(tItens[[#This Row],[Produto]],tProdutos[Produto],0)),"Não")</f>
        <v>Não</v>
      </c>
      <c r="O216" t="str">
        <f>IFERROR(INDEX(tEditais[SRP],MATCH(tItens[[#This Row],[Edital]],tEditais[Edital],0)),"Não")</f>
        <v>Sim</v>
      </c>
      <c r="P216" s="4">
        <f>IF(COUNTIFS(INDEX(tItens[Edital],1):tItens[[#This Row],[Edital]],tItens[[#This Row],[Edital]],INDEX(tItens[Produto],1):tItens[[#This Row],[Produto]],tItens[[#This Row],[Produto]])=1,1,0)</f>
        <v>0</v>
      </c>
    </row>
    <row r="217" spans="1:16" x14ac:dyDescent="0.25">
      <c r="A217" t="s">
        <v>775</v>
      </c>
      <c r="B217">
        <v>131</v>
      </c>
      <c r="C217" t="s">
        <v>3439</v>
      </c>
      <c r="D217" t="s">
        <v>110</v>
      </c>
      <c r="E217" s="13">
        <v>500</v>
      </c>
      <c r="F217" s="12">
        <v>0</v>
      </c>
      <c r="G217" t="str">
        <f>IFERROR(INDEX(tEditais[Órgão],MATCH(tItens[[#This Row],[Edital]],tEditais[Edital],0)),"")</f>
        <v>MUNICIPIO DE BOA VISTA DO RAMOS</v>
      </c>
      <c r="H217" t="str">
        <f>IFERROR(INDEX(tEditais[UF],MATCH(tItens[[#This Row],[Edital]],tEditais[Edital],0)),"")</f>
        <v>AM</v>
      </c>
      <c r="I217" s="11">
        <f>IFERROR(INDEX(tEditais[Encerramento],MATCH(tItens[[#This Row],[Edital]],tEditais[Edital],0)),"")</f>
        <v>46308.291666666664</v>
      </c>
      <c r="J217" t="str">
        <f>IFERROR(INDEX(tProdutos[Classe],MATCH(tItens[[#This Row],[Produto]],tProdutos[Produto],0)),"produto não cadastrado")</f>
        <v>NÚCLEO</v>
      </c>
      <c r="K217" s="12">
        <f>tItens[[#This Row],[Qtd]]*tItens[[#This Row],[Vlr unit]]</f>
        <v>0</v>
      </c>
      <c r="L217" s="6">
        <f>IFERROR(IF(INDEX(tProdutos[Desconto homologado],MATCH(tItens[[#This Row],[Produto]],tProdutos[Produto],0))="",DescontoPadrao,INDEX(tProdutos[Desconto homologado],MATCH(tItens[[#This Row],[Produto]],tProdutos[Produto],0))),DescontoPadrao)</f>
        <v>0.30410958904109597</v>
      </c>
      <c r="M217" s="12">
        <f>tItens[[#This Row],[Valor]]*(1-tItens[[#This Row],[Desconto]])</f>
        <v>0</v>
      </c>
      <c r="N217" t="str">
        <f>IFERROR(INDEX(tProdutos[Foco],MATCH(tItens[[#This Row],[Produto]],tProdutos[Produto],0)),"Não")</f>
        <v>Não</v>
      </c>
      <c r="O217" t="str">
        <f>IFERROR(INDEX(tEditais[SRP],MATCH(tItens[[#This Row],[Edital]],tEditais[Edital],0)),"Não")</f>
        <v>Sim</v>
      </c>
      <c r="P217" s="4">
        <f>IF(COUNTIFS(INDEX(tItens[Edital],1):tItens[[#This Row],[Edital]],tItens[[#This Row],[Edital]],INDEX(tItens[Produto],1):tItens[[#This Row],[Produto]],tItens[[#This Row],[Produto]])=1,1,0)</f>
        <v>0</v>
      </c>
    </row>
    <row r="218" spans="1:16" x14ac:dyDescent="0.25">
      <c r="A218" t="s">
        <v>775</v>
      </c>
      <c r="B218">
        <v>132</v>
      </c>
      <c r="C218" t="s">
        <v>3440</v>
      </c>
      <c r="D218" t="s">
        <v>110</v>
      </c>
      <c r="E218" s="13">
        <v>500</v>
      </c>
      <c r="F218" s="12">
        <v>0</v>
      </c>
      <c r="G218" t="str">
        <f>IFERROR(INDEX(tEditais[Órgão],MATCH(tItens[[#This Row],[Edital]],tEditais[Edital],0)),"")</f>
        <v>MUNICIPIO DE BOA VISTA DO RAMOS</v>
      </c>
      <c r="H218" t="str">
        <f>IFERROR(INDEX(tEditais[UF],MATCH(tItens[[#This Row],[Edital]],tEditais[Edital],0)),"")</f>
        <v>AM</v>
      </c>
      <c r="I218" s="11">
        <f>IFERROR(INDEX(tEditais[Encerramento],MATCH(tItens[[#This Row],[Edital]],tEditais[Edital],0)),"")</f>
        <v>46308.291666666664</v>
      </c>
      <c r="J218" t="str">
        <f>IFERROR(INDEX(tProdutos[Classe],MATCH(tItens[[#This Row],[Produto]],tProdutos[Produto],0)),"produto não cadastrado")</f>
        <v>NÚCLEO</v>
      </c>
      <c r="K218" s="12">
        <f>tItens[[#This Row],[Qtd]]*tItens[[#This Row],[Vlr unit]]</f>
        <v>0</v>
      </c>
      <c r="L218" s="6">
        <f>IFERROR(IF(INDEX(tProdutos[Desconto homologado],MATCH(tItens[[#This Row],[Produto]],tProdutos[Produto],0))="",DescontoPadrao,INDEX(tProdutos[Desconto homologado],MATCH(tItens[[#This Row],[Produto]],tProdutos[Produto],0))),DescontoPadrao)</f>
        <v>0.30410958904109597</v>
      </c>
      <c r="M218" s="12">
        <f>tItens[[#This Row],[Valor]]*(1-tItens[[#This Row],[Desconto]])</f>
        <v>0</v>
      </c>
      <c r="N218" t="str">
        <f>IFERROR(INDEX(tProdutos[Foco],MATCH(tItens[[#This Row],[Produto]],tProdutos[Produto],0)),"Não")</f>
        <v>Não</v>
      </c>
      <c r="O218" t="str">
        <f>IFERROR(INDEX(tEditais[SRP],MATCH(tItens[[#This Row],[Edital]],tEditais[Edital],0)),"Não")</f>
        <v>Sim</v>
      </c>
      <c r="P218" s="4">
        <f>IF(COUNTIFS(INDEX(tItens[Edital],1):tItens[[#This Row],[Edital]],tItens[[#This Row],[Edital]],INDEX(tItens[Produto],1):tItens[[#This Row],[Produto]],tItens[[#This Row],[Produto]])=1,1,0)</f>
        <v>0</v>
      </c>
    </row>
    <row r="219" spans="1:16" x14ac:dyDescent="0.25">
      <c r="A219" t="s">
        <v>775</v>
      </c>
      <c r="B219">
        <v>133</v>
      </c>
      <c r="C219" t="s">
        <v>3441</v>
      </c>
      <c r="D219" t="s">
        <v>110</v>
      </c>
      <c r="E219" s="13">
        <v>500</v>
      </c>
      <c r="F219" s="12">
        <v>0</v>
      </c>
      <c r="G219" t="str">
        <f>IFERROR(INDEX(tEditais[Órgão],MATCH(tItens[[#This Row],[Edital]],tEditais[Edital],0)),"")</f>
        <v>MUNICIPIO DE BOA VISTA DO RAMOS</v>
      </c>
      <c r="H219" t="str">
        <f>IFERROR(INDEX(tEditais[UF],MATCH(tItens[[#This Row],[Edital]],tEditais[Edital],0)),"")</f>
        <v>AM</v>
      </c>
      <c r="I219" s="11">
        <f>IFERROR(INDEX(tEditais[Encerramento],MATCH(tItens[[#This Row],[Edital]],tEditais[Edital],0)),"")</f>
        <v>46308.291666666664</v>
      </c>
      <c r="J219" t="str">
        <f>IFERROR(INDEX(tProdutos[Classe],MATCH(tItens[[#This Row],[Produto]],tProdutos[Produto],0)),"produto não cadastrado")</f>
        <v>NÚCLEO</v>
      </c>
      <c r="K219" s="12">
        <f>tItens[[#This Row],[Qtd]]*tItens[[#This Row],[Vlr unit]]</f>
        <v>0</v>
      </c>
      <c r="L219" s="6">
        <f>IFERROR(IF(INDEX(tProdutos[Desconto homologado],MATCH(tItens[[#This Row],[Produto]],tProdutos[Produto],0))="",DescontoPadrao,INDEX(tProdutos[Desconto homologado],MATCH(tItens[[#This Row],[Produto]],tProdutos[Produto],0))),DescontoPadrao)</f>
        <v>0.30410958904109597</v>
      </c>
      <c r="M219" s="12">
        <f>tItens[[#This Row],[Valor]]*(1-tItens[[#This Row],[Desconto]])</f>
        <v>0</v>
      </c>
      <c r="N219" t="str">
        <f>IFERROR(INDEX(tProdutos[Foco],MATCH(tItens[[#This Row],[Produto]],tProdutos[Produto],0)),"Não")</f>
        <v>Não</v>
      </c>
      <c r="O219" t="str">
        <f>IFERROR(INDEX(tEditais[SRP],MATCH(tItens[[#This Row],[Edital]],tEditais[Edital],0)),"Não")</f>
        <v>Sim</v>
      </c>
      <c r="P219" s="4">
        <f>IF(COUNTIFS(INDEX(tItens[Edital],1):tItens[[#This Row],[Edital]],tItens[[#This Row],[Edital]],INDEX(tItens[Produto],1):tItens[[#This Row],[Produto]],tItens[[#This Row],[Produto]])=1,1,0)</f>
        <v>0</v>
      </c>
    </row>
    <row r="220" spans="1:16" x14ac:dyDescent="0.25">
      <c r="A220" t="s">
        <v>775</v>
      </c>
      <c r="B220">
        <v>134</v>
      </c>
      <c r="C220" t="s">
        <v>3442</v>
      </c>
      <c r="D220" t="s">
        <v>110</v>
      </c>
      <c r="E220" s="13">
        <v>500</v>
      </c>
      <c r="F220" s="12">
        <v>0</v>
      </c>
      <c r="G220" t="str">
        <f>IFERROR(INDEX(tEditais[Órgão],MATCH(tItens[[#This Row],[Edital]],tEditais[Edital],0)),"")</f>
        <v>MUNICIPIO DE BOA VISTA DO RAMOS</v>
      </c>
      <c r="H220" t="str">
        <f>IFERROR(INDEX(tEditais[UF],MATCH(tItens[[#This Row],[Edital]],tEditais[Edital],0)),"")</f>
        <v>AM</v>
      </c>
      <c r="I220" s="11">
        <f>IFERROR(INDEX(tEditais[Encerramento],MATCH(tItens[[#This Row],[Edital]],tEditais[Edital],0)),"")</f>
        <v>46308.291666666664</v>
      </c>
      <c r="J220" t="str">
        <f>IFERROR(INDEX(tProdutos[Classe],MATCH(tItens[[#This Row],[Produto]],tProdutos[Produto],0)),"produto não cadastrado")</f>
        <v>NÚCLEO</v>
      </c>
      <c r="K220" s="12">
        <f>tItens[[#This Row],[Qtd]]*tItens[[#This Row],[Vlr unit]]</f>
        <v>0</v>
      </c>
      <c r="L220" s="6">
        <f>IFERROR(IF(INDEX(tProdutos[Desconto homologado],MATCH(tItens[[#This Row],[Produto]],tProdutos[Produto],0))="",DescontoPadrao,INDEX(tProdutos[Desconto homologado],MATCH(tItens[[#This Row],[Produto]],tProdutos[Produto],0))),DescontoPadrao)</f>
        <v>0.30410958904109597</v>
      </c>
      <c r="M220" s="12">
        <f>tItens[[#This Row],[Valor]]*(1-tItens[[#This Row],[Desconto]])</f>
        <v>0</v>
      </c>
      <c r="N220" t="str">
        <f>IFERROR(INDEX(tProdutos[Foco],MATCH(tItens[[#This Row],[Produto]],tProdutos[Produto],0)),"Não")</f>
        <v>Não</v>
      </c>
      <c r="O220" t="str">
        <f>IFERROR(INDEX(tEditais[SRP],MATCH(tItens[[#This Row],[Edital]],tEditais[Edital],0)),"Não")</f>
        <v>Sim</v>
      </c>
      <c r="P220" s="4">
        <f>IF(COUNTIFS(INDEX(tItens[Edital],1):tItens[[#This Row],[Edital]],tItens[[#This Row],[Edital]],INDEX(tItens[Produto],1):tItens[[#This Row],[Produto]],tItens[[#This Row],[Produto]])=1,1,0)</f>
        <v>0</v>
      </c>
    </row>
    <row r="221" spans="1:16" x14ac:dyDescent="0.25">
      <c r="A221" t="s">
        <v>775</v>
      </c>
      <c r="B221">
        <v>135</v>
      </c>
      <c r="C221" t="s">
        <v>3443</v>
      </c>
      <c r="D221" t="s">
        <v>120</v>
      </c>
      <c r="E221" s="13">
        <v>500</v>
      </c>
      <c r="F221" s="12">
        <v>0</v>
      </c>
      <c r="G221" t="str">
        <f>IFERROR(INDEX(tEditais[Órgão],MATCH(tItens[[#This Row],[Edital]],tEditais[Edital],0)),"")</f>
        <v>MUNICIPIO DE BOA VISTA DO RAMOS</v>
      </c>
      <c r="H221" t="str">
        <f>IFERROR(INDEX(tEditais[UF],MATCH(tItens[[#This Row],[Edital]],tEditais[Edital],0)),"")</f>
        <v>AM</v>
      </c>
      <c r="I221" s="11">
        <f>IFERROR(INDEX(tEditais[Encerramento],MATCH(tItens[[#This Row],[Edital]],tEditais[Edital],0)),"")</f>
        <v>46308.291666666664</v>
      </c>
      <c r="J221" t="str">
        <f>IFERROR(INDEX(tProdutos[Classe],MATCH(tItens[[#This Row],[Produto]],tProdutos[Produto],0)),"produto não cadastrado")</f>
        <v>DISPUTADO</v>
      </c>
      <c r="K221" s="12">
        <f>tItens[[#This Row],[Qtd]]*tItens[[#This Row],[Vlr unit]]</f>
        <v>0</v>
      </c>
      <c r="L221" s="6">
        <f>IFERROR(IF(INDEX(tProdutos[Desconto homologado],MATCH(tItens[[#This Row],[Produto]],tProdutos[Produto],0))="",DescontoPadrao,INDEX(tProdutos[Desconto homologado],MATCH(tItens[[#This Row],[Produto]],tProdutos[Produto],0))),DescontoPadrao)</f>
        <v>0.40909090909090901</v>
      </c>
      <c r="M221" s="12">
        <f>tItens[[#This Row],[Valor]]*(1-tItens[[#This Row],[Desconto]])</f>
        <v>0</v>
      </c>
      <c r="N221" t="str">
        <f>IFERROR(INDEX(tProdutos[Foco],MATCH(tItens[[#This Row],[Produto]],tProdutos[Produto],0)),"Não")</f>
        <v>Não</v>
      </c>
      <c r="O221" t="str">
        <f>IFERROR(INDEX(tEditais[SRP],MATCH(tItens[[#This Row],[Edital]],tEditais[Edital],0)),"Não")</f>
        <v>Sim</v>
      </c>
      <c r="P221" s="4">
        <f>IF(COUNTIFS(INDEX(tItens[Edital],1):tItens[[#This Row],[Edital]],tItens[[#This Row],[Edital]],INDEX(tItens[Produto],1):tItens[[#This Row],[Produto]],tItens[[#This Row],[Produto]])=1,1,0)</f>
        <v>1</v>
      </c>
    </row>
    <row r="222" spans="1:16" x14ac:dyDescent="0.25">
      <c r="A222" t="s">
        <v>775</v>
      </c>
      <c r="B222">
        <v>136</v>
      </c>
      <c r="C222" t="s">
        <v>3444</v>
      </c>
      <c r="D222" t="s">
        <v>120</v>
      </c>
      <c r="E222" s="13">
        <v>500</v>
      </c>
      <c r="F222" s="12">
        <v>0</v>
      </c>
      <c r="G222" t="str">
        <f>IFERROR(INDEX(tEditais[Órgão],MATCH(tItens[[#This Row],[Edital]],tEditais[Edital],0)),"")</f>
        <v>MUNICIPIO DE BOA VISTA DO RAMOS</v>
      </c>
      <c r="H222" t="str">
        <f>IFERROR(INDEX(tEditais[UF],MATCH(tItens[[#This Row],[Edital]],tEditais[Edital],0)),"")</f>
        <v>AM</v>
      </c>
      <c r="I222" s="11">
        <f>IFERROR(INDEX(tEditais[Encerramento],MATCH(tItens[[#This Row],[Edital]],tEditais[Edital],0)),"")</f>
        <v>46308.291666666664</v>
      </c>
      <c r="J222" t="str">
        <f>IFERROR(INDEX(tProdutos[Classe],MATCH(tItens[[#This Row],[Produto]],tProdutos[Produto],0)),"produto não cadastrado")</f>
        <v>DISPUTADO</v>
      </c>
      <c r="K222" s="12">
        <f>tItens[[#This Row],[Qtd]]*tItens[[#This Row],[Vlr unit]]</f>
        <v>0</v>
      </c>
      <c r="L222" s="6">
        <f>IFERROR(IF(INDEX(tProdutos[Desconto homologado],MATCH(tItens[[#This Row],[Produto]],tProdutos[Produto],0))="",DescontoPadrao,INDEX(tProdutos[Desconto homologado],MATCH(tItens[[#This Row],[Produto]],tProdutos[Produto],0))),DescontoPadrao)</f>
        <v>0.40909090909090901</v>
      </c>
      <c r="M222" s="12">
        <f>tItens[[#This Row],[Valor]]*(1-tItens[[#This Row],[Desconto]])</f>
        <v>0</v>
      </c>
      <c r="N222" t="str">
        <f>IFERROR(INDEX(tProdutos[Foco],MATCH(tItens[[#This Row],[Produto]],tProdutos[Produto],0)),"Não")</f>
        <v>Não</v>
      </c>
      <c r="O222" t="str">
        <f>IFERROR(INDEX(tEditais[SRP],MATCH(tItens[[#This Row],[Edital]],tEditais[Edital],0)),"Não")</f>
        <v>Sim</v>
      </c>
      <c r="P222" s="4">
        <f>IF(COUNTIFS(INDEX(tItens[Edital],1):tItens[[#This Row],[Edital]],tItens[[#This Row],[Edital]],INDEX(tItens[Produto],1):tItens[[#This Row],[Produto]],tItens[[#This Row],[Produto]])=1,1,0)</f>
        <v>0</v>
      </c>
    </row>
    <row r="223" spans="1:16" x14ac:dyDescent="0.25">
      <c r="A223" t="s">
        <v>775</v>
      </c>
      <c r="B223">
        <v>137</v>
      </c>
      <c r="C223" t="s">
        <v>3445</v>
      </c>
      <c r="D223" t="s">
        <v>184</v>
      </c>
      <c r="E223" s="13">
        <v>150</v>
      </c>
      <c r="F223" s="12">
        <v>0</v>
      </c>
      <c r="G223" t="str">
        <f>IFERROR(INDEX(tEditais[Órgão],MATCH(tItens[[#This Row],[Edital]],tEditais[Edital],0)),"")</f>
        <v>MUNICIPIO DE BOA VISTA DO RAMOS</v>
      </c>
      <c r="H223" t="str">
        <f>IFERROR(INDEX(tEditais[UF],MATCH(tItens[[#This Row],[Edital]],tEditais[Edital],0)),"")</f>
        <v>AM</v>
      </c>
      <c r="I223" s="11">
        <f>IFERROR(INDEX(tEditais[Encerramento],MATCH(tItens[[#This Row],[Edital]],tEditais[Edital],0)),"")</f>
        <v>46308.291666666664</v>
      </c>
      <c r="J223" t="str">
        <f>IFERROR(INDEX(tProdutos[Classe],MATCH(tItens[[#This Row],[Produto]],tProdutos[Produto],0)),"produto não cadastrado")</f>
        <v>FORA</v>
      </c>
      <c r="K223" s="12">
        <f>tItens[[#This Row],[Qtd]]*tItens[[#This Row],[Vlr unit]]</f>
        <v>0</v>
      </c>
      <c r="L223" s="6">
        <f>IFERROR(IF(INDEX(tProdutos[Desconto homologado],MATCH(tItens[[#This Row],[Produto]],tProdutos[Produto],0))="",DescontoPadrao,INDEX(tProdutos[Desconto homologado],MATCH(tItens[[#This Row],[Produto]],tProdutos[Produto],0))),DescontoPadrao)</f>
        <v>0.363567906332742</v>
      </c>
      <c r="M223" s="12">
        <f>tItens[[#This Row],[Valor]]*(1-tItens[[#This Row],[Desconto]])</f>
        <v>0</v>
      </c>
      <c r="N223" t="str">
        <f>IFERROR(INDEX(tProdutos[Foco],MATCH(tItens[[#This Row],[Produto]],tProdutos[Produto],0)),"Não")</f>
        <v>Não</v>
      </c>
      <c r="O223" t="str">
        <f>IFERROR(INDEX(tEditais[SRP],MATCH(tItens[[#This Row],[Edital]],tEditais[Edital],0)),"Não")</f>
        <v>Sim</v>
      </c>
      <c r="P223" s="4">
        <f>IF(COUNTIFS(INDEX(tItens[Edital],1):tItens[[#This Row],[Edital]],tItens[[#This Row],[Edital]],INDEX(tItens[Produto],1):tItens[[#This Row],[Produto]],tItens[[#This Row],[Produto]])=1,1,0)</f>
        <v>1</v>
      </c>
    </row>
    <row r="224" spans="1:16" x14ac:dyDescent="0.25">
      <c r="A224" t="s">
        <v>775</v>
      </c>
      <c r="B224">
        <v>138</v>
      </c>
      <c r="C224" t="s">
        <v>3446</v>
      </c>
      <c r="D224" t="s">
        <v>184</v>
      </c>
      <c r="E224" s="13">
        <v>300</v>
      </c>
      <c r="F224" s="12">
        <v>0</v>
      </c>
      <c r="G224" t="str">
        <f>IFERROR(INDEX(tEditais[Órgão],MATCH(tItens[[#This Row],[Edital]],tEditais[Edital],0)),"")</f>
        <v>MUNICIPIO DE BOA VISTA DO RAMOS</v>
      </c>
      <c r="H224" t="str">
        <f>IFERROR(INDEX(tEditais[UF],MATCH(tItens[[#This Row],[Edital]],tEditais[Edital],0)),"")</f>
        <v>AM</v>
      </c>
      <c r="I224" s="11">
        <f>IFERROR(INDEX(tEditais[Encerramento],MATCH(tItens[[#This Row],[Edital]],tEditais[Edital],0)),"")</f>
        <v>46308.291666666664</v>
      </c>
      <c r="J224" t="str">
        <f>IFERROR(INDEX(tProdutos[Classe],MATCH(tItens[[#This Row],[Produto]],tProdutos[Produto],0)),"produto não cadastrado")</f>
        <v>FORA</v>
      </c>
      <c r="K224" s="12">
        <f>tItens[[#This Row],[Qtd]]*tItens[[#This Row],[Vlr unit]]</f>
        <v>0</v>
      </c>
      <c r="L224" s="6">
        <f>IFERROR(IF(INDEX(tProdutos[Desconto homologado],MATCH(tItens[[#This Row],[Produto]],tProdutos[Produto],0))="",DescontoPadrao,INDEX(tProdutos[Desconto homologado],MATCH(tItens[[#This Row],[Produto]],tProdutos[Produto],0))),DescontoPadrao)</f>
        <v>0.363567906332742</v>
      </c>
      <c r="M224" s="12">
        <f>tItens[[#This Row],[Valor]]*(1-tItens[[#This Row],[Desconto]])</f>
        <v>0</v>
      </c>
      <c r="N224" t="str">
        <f>IFERROR(INDEX(tProdutos[Foco],MATCH(tItens[[#This Row],[Produto]],tProdutos[Produto],0)),"Não")</f>
        <v>Não</v>
      </c>
      <c r="O224" t="str">
        <f>IFERROR(INDEX(tEditais[SRP],MATCH(tItens[[#This Row],[Edital]],tEditais[Edital],0)),"Não")</f>
        <v>Sim</v>
      </c>
      <c r="P224" s="4">
        <f>IF(COUNTIFS(INDEX(tItens[Edital],1):tItens[[#This Row],[Edital]],tItens[[#This Row],[Edital]],INDEX(tItens[Produto],1):tItens[[#This Row],[Produto]],tItens[[#This Row],[Produto]])=1,1,0)</f>
        <v>0</v>
      </c>
    </row>
    <row r="225" spans="1:16" x14ac:dyDescent="0.25">
      <c r="A225" t="s">
        <v>775</v>
      </c>
      <c r="B225">
        <v>139</v>
      </c>
      <c r="C225" t="s">
        <v>3447</v>
      </c>
      <c r="D225" t="s">
        <v>184</v>
      </c>
      <c r="E225" s="13">
        <v>400</v>
      </c>
      <c r="F225" s="12">
        <v>0</v>
      </c>
      <c r="G225" t="str">
        <f>IFERROR(INDEX(tEditais[Órgão],MATCH(tItens[[#This Row],[Edital]],tEditais[Edital],0)),"")</f>
        <v>MUNICIPIO DE BOA VISTA DO RAMOS</v>
      </c>
      <c r="H225" t="str">
        <f>IFERROR(INDEX(tEditais[UF],MATCH(tItens[[#This Row],[Edital]],tEditais[Edital],0)),"")</f>
        <v>AM</v>
      </c>
      <c r="I225" s="11">
        <f>IFERROR(INDEX(tEditais[Encerramento],MATCH(tItens[[#This Row],[Edital]],tEditais[Edital],0)),"")</f>
        <v>46308.291666666664</v>
      </c>
      <c r="J225" t="str">
        <f>IFERROR(INDEX(tProdutos[Classe],MATCH(tItens[[#This Row],[Produto]],tProdutos[Produto],0)),"produto não cadastrado")</f>
        <v>FORA</v>
      </c>
      <c r="K225" s="12">
        <f>tItens[[#This Row],[Qtd]]*tItens[[#This Row],[Vlr unit]]</f>
        <v>0</v>
      </c>
      <c r="L225" s="6">
        <f>IFERROR(IF(INDEX(tProdutos[Desconto homologado],MATCH(tItens[[#This Row],[Produto]],tProdutos[Produto],0))="",DescontoPadrao,INDEX(tProdutos[Desconto homologado],MATCH(tItens[[#This Row],[Produto]],tProdutos[Produto],0))),DescontoPadrao)</f>
        <v>0.363567906332742</v>
      </c>
      <c r="M225" s="12">
        <f>tItens[[#This Row],[Valor]]*(1-tItens[[#This Row],[Desconto]])</f>
        <v>0</v>
      </c>
      <c r="N225" t="str">
        <f>IFERROR(INDEX(tProdutos[Foco],MATCH(tItens[[#This Row],[Produto]],tProdutos[Produto],0)),"Não")</f>
        <v>Não</v>
      </c>
      <c r="O225" t="str">
        <f>IFERROR(INDEX(tEditais[SRP],MATCH(tItens[[#This Row],[Edital]],tEditais[Edital],0)),"Não")</f>
        <v>Sim</v>
      </c>
      <c r="P225" s="4">
        <f>IF(COUNTIFS(INDEX(tItens[Edital],1):tItens[[#This Row],[Edital]],tItens[[#This Row],[Edital]],INDEX(tItens[Produto],1):tItens[[#This Row],[Produto]],tItens[[#This Row],[Produto]])=1,1,0)</f>
        <v>0</v>
      </c>
    </row>
    <row r="226" spans="1:16" x14ac:dyDescent="0.25">
      <c r="A226" t="s">
        <v>775</v>
      </c>
      <c r="B226">
        <v>140</v>
      </c>
      <c r="C226" t="s">
        <v>3448</v>
      </c>
      <c r="D226" t="s">
        <v>253</v>
      </c>
      <c r="E226" s="13">
        <v>200</v>
      </c>
      <c r="F226" s="12">
        <v>0</v>
      </c>
      <c r="G226" t="str">
        <f>IFERROR(INDEX(tEditais[Órgão],MATCH(tItens[[#This Row],[Edital]],tEditais[Edital],0)),"")</f>
        <v>MUNICIPIO DE BOA VISTA DO RAMOS</v>
      </c>
      <c r="H226" t="str">
        <f>IFERROR(INDEX(tEditais[UF],MATCH(tItens[[#This Row],[Edital]],tEditais[Edital],0)),"")</f>
        <v>AM</v>
      </c>
      <c r="I226" s="11">
        <f>IFERROR(INDEX(tEditais[Encerramento],MATCH(tItens[[#This Row],[Edital]],tEditais[Edital],0)),"")</f>
        <v>46308.291666666664</v>
      </c>
      <c r="J226" t="str">
        <f>IFERROR(INDEX(tProdutos[Classe],MATCH(tItens[[#This Row],[Produto]],tProdutos[Produto],0)),"produto não cadastrado")</f>
        <v>FORA</v>
      </c>
      <c r="K226" s="12">
        <f>tItens[[#This Row],[Qtd]]*tItens[[#This Row],[Vlr unit]]</f>
        <v>0</v>
      </c>
      <c r="L226" s="6">
        <f>IFERROR(IF(INDEX(tProdutos[Desconto homologado],MATCH(tItens[[#This Row],[Produto]],tProdutos[Produto],0))="",DescontoPadrao,INDEX(tProdutos[Desconto homologado],MATCH(tItens[[#This Row],[Produto]],tProdutos[Produto],0))),DescontoPadrao)</f>
        <v>0.31735159817351599</v>
      </c>
      <c r="M226" s="12">
        <f>tItens[[#This Row],[Valor]]*(1-tItens[[#This Row],[Desconto]])</f>
        <v>0</v>
      </c>
      <c r="N226" t="str">
        <f>IFERROR(INDEX(tProdutos[Foco],MATCH(tItens[[#This Row],[Produto]],tProdutos[Produto],0)),"Não")</f>
        <v>Não</v>
      </c>
      <c r="O226" t="str">
        <f>IFERROR(INDEX(tEditais[SRP],MATCH(tItens[[#This Row],[Edital]],tEditais[Edital],0)),"Não")</f>
        <v>Sim</v>
      </c>
      <c r="P226" s="4">
        <f>IF(COUNTIFS(INDEX(tItens[Edital],1):tItens[[#This Row],[Edital]],tItens[[#This Row],[Edital]],INDEX(tItens[Produto],1):tItens[[#This Row],[Produto]],tItens[[#This Row],[Produto]])=1,1,0)</f>
        <v>1</v>
      </c>
    </row>
    <row r="227" spans="1:16" x14ac:dyDescent="0.25">
      <c r="A227" t="s">
        <v>775</v>
      </c>
      <c r="B227">
        <v>141</v>
      </c>
      <c r="C227" t="s">
        <v>3449</v>
      </c>
      <c r="D227" t="s">
        <v>184</v>
      </c>
      <c r="E227" s="13">
        <v>500</v>
      </c>
      <c r="F227" s="12">
        <v>0</v>
      </c>
      <c r="G227" t="str">
        <f>IFERROR(INDEX(tEditais[Órgão],MATCH(tItens[[#This Row],[Edital]],tEditais[Edital],0)),"")</f>
        <v>MUNICIPIO DE BOA VISTA DO RAMOS</v>
      </c>
      <c r="H227" t="str">
        <f>IFERROR(INDEX(tEditais[UF],MATCH(tItens[[#This Row],[Edital]],tEditais[Edital],0)),"")</f>
        <v>AM</v>
      </c>
      <c r="I227" s="11">
        <f>IFERROR(INDEX(tEditais[Encerramento],MATCH(tItens[[#This Row],[Edital]],tEditais[Edital],0)),"")</f>
        <v>46308.291666666664</v>
      </c>
      <c r="J227" t="str">
        <f>IFERROR(INDEX(tProdutos[Classe],MATCH(tItens[[#This Row],[Produto]],tProdutos[Produto],0)),"produto não cadastrado")</f>
        <v>FORA</v>
      </c>
      <c r="K227" s="12">
        <f>tItens[[#This Row],[Qtd]]*tItens[[#This Row],[Vlr unit]]</f>
        <v>0</v>
      </c>
      <c r="L227" s="6">
        <f>IFERROR(IF(INDEX(tProdutos[Desconto homologado],MATCH(tItens[[#This Row],[Produto]],tProdutos[Produto],0))="",DescontoPadrao,INDEX(tProdutos[Desconto homologado],MATCH(tItens[[#This Row],[Produto]],tProdutos[Produto],0))),DescontoPadrao)</f>
        <v>0.363567906332742</v>
      </c>
      <c r="M227" s="12">
        <f>tItens[[#This Row],[Valor]]*(1-tItens[[#This Row],[Desconto]])</f>
        <v>0</v>
      </c>
      <c r="N227" t="str">
        <f>IFERROR(INDEX(tProdutos[Foco],MATCH(tItens[[#This Row],[Produto]],tProdutos[Produto],0)),"Não")</f>
        <v>Não</v>
      </c>
      <c r="O227" t="str">
        <f>IFERROR(INDEX(tEditais[SRP],MATCH(tItens[[#This Row],[Edital]],tEditais[Edital],0)),"Não")</f>
        <v>Sim</v>
      </c>
      <c r="P227" s="4">
        <f>IF(COUNTIFS(INDEX(tItens[Edital],1):tItens[[#This Row],[Edital]],tItens[[#This Row],[Edital]],INDEX(tItens[Produto],1):tItens[[#This Row],[Produto]],tItens[[#This Row],[Produto]])=1,1,0)</f>
        <v>0</v>
      </c>
    </row>
    <row r="228" spans="1:16" x14ac:dyDescent="0.25">
      <c r="A228" t="s">
        <v>775</v>
      </c>
      <c r="B228">
        <v>142</v>
      </c>
      <c r="C228" t="s">
        <v>3450</v>
      </c>
      <c r="D228" t="s">
        <v>253</v>
      </c>
      <c r="E228" s="13">
        <v>200</v>
      </c>
      <c r="F228" s="12">
        <v>0</v>
      </c>
      <c r="G228" t="str">
        <f>IFERROR(INDEX(tEditais[Órgão],MATCH(tItens[[#This Row],[Edital]],tEditais[Edital],0)),"")</f>
        <v>MUNICIPIO DE BOA VISTA DO RAMOS</v>
      </c>
      <c r="H228" t="str">
        <f>IFERROR(INDEX(tEditais[UF],MATCH(tItens[[#This Row],[Edital]],tEditais[Edital],0)),"")</f>
        <v>AM</v>
      </c>
      <c r="I228" s="11">
        <f>IFERROR(INDEX(tEditais[Encerramento],MATCH(tItens[[#This Row],[Edital]],tEditais[Edital],0)),"")</f>
        <v>46308.291666666664</v>
      </c>
      <c r="J228" t="str">
        <f>IFERROR(INDEX(tProdutos[Classe],MATCH(tItens[[#This Row],[Produto]],tProdutos[Produto],0)),"produto não cadastrado")</f>
        <v>FORA</v>
      </c>
      <c r="K228" s="12">
        <f>tItens[[#This Row],[Qtd]]*tItens[[#This Row],[Vlr unit]]</f>
        <v>0</v>
      </c>
      <c r="L228" s="6">
        <f>IFERROR(IF(INDEX(tProdutos[Desconto homologado],MATCH(tItens[[#This Row],[Produto]],tProdutos[Produto],0))="",DescontoPadrao,INDEX(tProdutos[Desconto homologado],MATCH(tItens[[#This Row],[Produto]],tProdutos[Produto],0))),DescontoPadrao)</f>
        <v>0.31735159817351599</v>
      </c>
      <c r="M228" s="12">
        <f>tItens[[#This Row],[Valor]]*(1-tItens[[#This Row],[Desconto]])</f>
        <v>0</v>
      </c>
      <c r="N228" t="str">
        <f>IFERROR(INDEX(tProdutos[Foco],MATCH(tItens[[#This Row],[Produto]],tProdutos[Produto],0)),"Não")</f>
        <v>Não</v>
      </c>
      <c r="O228" t="str">
        <f>IFERROR(INDEX(tEditais[SRP],MATCH(tItens[[#This Row],[Edital]],tEditais[Edital],0)),"Não")</f>
        <v>Sim</v>
      </c>
      <c r="P228" s="4">
        <f>IF(COUNTIFS(INDEX(tItens[Edital],1):tItens[[#This Row],[Edital]],tItens[[#This Row],[Edital]],INDEX(tItens[Produto],1):tItens[[#This Row],[Produto]],tItens[[#This Row],[Produto]])=1,1,0)</f>
        <v>0</v>
      </c>
    </row>
    <row r="229" spans="1:16" x14ac:dyDescent="0.25">
      <c r="A229" t="s">
        <v>775</v>
      </c>
      <c r="B229">
        <v>143</v>
      </c>
      <c r="C229" t="s">
        <v>3451</v>
      </c>
      <c r="D229" t="s">
        <v>184</v>
      </c>
      <c r="E229" s="13">
        <v>600</v>
      </c>
      <c r="F229" s="12">
        <v>0</v>
      </c>
      <c r="G229" t="str">
        <f>IFERROR(INDEX(tEditais[Órgão],MATCH(tItens[[#This Row],[Edital]],tEditais[Edital],0)),"")</f>
        <v>MUNICIPIO DE BOA VISTA DO RAMOS</v>
      </c>
      <c r="H229" t="str">
        <f>IFERROR(INDEX(tEditais[UF],MATCH(tItens[[#This Row],[Edital]],tEditais[Edital],0)),"")</f>
        <v>AM</v>
      </c>
      <c r="I229" s="11">
        <f>IFERROR(INDEX(tEditais[Encerramento],MATCH(tItens[[#This Row],[Edital]],tEditais[Edital],0)),"")</f>
        <v>46308.291666666664</v>
      </c>
      <c r="J229" t="str">
        <f>IFERROR(INDEX(tProdutos[Classe],MATCH(tItens[[#This Row],[Produto]],tProdutos[Produto],0)),"produto não cadastrado")</f>
        <v>FORA</v>
      </c>
      <c r="K229" s="12">
        <f>tItens[[#This Row],[Qtd]]*tItens[[#This Row],[Vlr unit]]</f>
        <v>0</v>
      </c>
      <c r="L229" s="6">
        <f>IFERROR(IF(INDEX(tProdutos[Desconto homologado],MATCH(tItens[[#This Row],[Produto]],tProdutos[Produto],0))="",DescontoPadrao,INDEX(tProdutos[Desconto homologado],MATCH(tItens[[#This Row],[Produto]],tProdutos[Produto],0))),DescontoPadrao)</f>
        <v>0.363567906332742</v>
      </c>
      <c r="M229" s="12">
        <f>tItens[[#This Row],[Valor]]*(1-tItens[[#This Row],[Desconto]])</f>
        <v>0</v>
      </c>
      <c r="N229" t="str">
        <f>IFERROR(INDEX(tProdutos[Foco],MATCH(tItens[[#This Row],[Produto]],tProdutos[Produto],0)),"Não")</f>
        <v>Não</v>
      </c>
      <c r="O229" t="str">
        <f>IFERROR(INDEX(tEditais[SRP],MATCH(tItens[[#This Row],[Edital]],tEditais[Edital],0)),"Não")</f>
        <v>Sim</v>
      </c>
      <c r="P229" s="4">
        <f>IF(COUNTIFS(INDEX(tItens[Edital],1):tItens[[#This Row],[Edital]],tItens[[#This Row],[Edital]],INDEX(tItens[Produto],1):tItens[[#This Row],[Produto]],tItens[[#This Row],[Produto]])=1,1,0)</f>
        <v>0</v>
      </c>
    </row>
    <row r="230" spans="1:16" x14ac:dyDescent="0.25">
      <c r="A230" t="s">
        <v>775</v>
      </c>
      <c r="B230">
        <v>144</v>
      </c>
      <c r="C230" t="s">
        <v>3452</v>
      </c>
      <c r="D230" t="s">
        <v>184</v>
      </c>
      <c r="E230" s="13">
        <v>300</v>
      </c>
      <c r="F230" s="12">
        <v>0</v>
      </c>
      <c r="G230" t="str">
        <f>IFERROR(INDEX(tEditais[Órgão],MATCH(tItens[[#This Row],[Edital]],tEditais[Edital],0)),"")</f>
        <v>MUNICIPIO DE BOA VISTA DO RAMOS</v>
      </c>
      <c r="H230" t="str">
        <f>IFERROR(INDEX(tEditais[UF],MATCH(tItens[[#This Row],[Edital]],tEditais[Edital],0)),"")</f>
        <v>AM</v>
      </c>
      <c r="I230" s="11">
        <f>IFERROR(INDEX(tEditais[Encerramento],MATCH(tItens[[#This Row],[Edital]],tEditais[Edital],0)),"")</f>
        <v>46308.291666666664</v>
      </c>
      <c r="J230" t="str">
        <f>IFERROR(INDEX(tProdutos[Classe],MATCH(tItens[[#This Row],[Produto]],tProdutos[Produto],0)),"produto não cadastrado")</f>
        <v>FORA</v>
      </c>
      <c r="K230" s="12">
        <f>tItens[[#This Row],[Qtd]]*tItens[[#This Row],[Vlr unit]]</f>
        <v>0</v>
      </c>
      <c r="L230" s="6">
        <f>IFERROR(IF(INDEX(tProdutos[Desconto homologado],MATCH(tItens[[#This Row],[Produto]],tProdutos[Produto],0))="",DescontoPadrao,INDEX(tProdutos[Desconto homologado],MATCH(tItens[[#This Row],[Produto]],tProdutos[Produto],0))),DescontoPadrao)</f>
        <v>0.363567906332742</v>
      </c>
      <c r="M230" s="12">
        <f>tItens[[#This Row],[Valor]]*(1-tItens[[#This Row],[Desconto]])</f>
        <v>0</v>
      </c>
      <c r="N230" t="str">
        <f>IFERROR(INDEX(tProdutos[Foco],MATCH(tItens[[#This Row],[Produto]],tProdutos[Produto],0)),"Não")</f>
        <v>Não</v>
      </c>
      <c r="O230" t="str">
        <f>IFERROR(INDEX(tEditais[SRP],MATCH(tItens[[#This Row],[Edital]],tEditais[Edital],0)),"Não")</f>
        <v>Sim</v>
      </c>
      <c r="P230" s="4">
        <f>IF(COUNTIFS(INDEX(tItens[Edital],1):tItens[[#This Row],[Edital]],tItens[[#This Row],[Edital]],INDEX(tItens[Produto],1):tItens[[#This Row],[Produto]],tItens[[#This Row],[Produto]])=1,1,0)</f>
        <v>0</v>
      </c>
    </row>
    <row r="231" spans="1:16" x14ac:dyDescent="0.25">
      <c r="A231" t="s">
        <v>775</v>
      </c>
      <c r="B231">
        <v>146</v>
      </c>
      <c r="C231" t="s">
        <v>3453</v>
      </c>
      <c r="D231" t="s">
        <v>114</v>
      </c>
      <c r="E231" s="13">
        <v>2000</v>
      </c>
      <c r="F231" s="12">
        <v>0</v>
      </c>
      <c r="G231" t="str">
        <f>IFERROR(INDEX(tEditais[Órgão],MATCH(tItens[[#This Row],[Edital]],tEditais[Edital],0)),"")</f>
        <v>MUNICIPIO DE BOA VISTA DO RAMOS</v>
      </c>
      <c r="H231" t="str">
        <f>IFERROR(INDEX(tEditais[UF],MATCH(tItens[[#This Row],[Edital]],tEditais[Edital],0)),"")</f>
        <v>AM</v>
      </c>
      <c r="I231" s="11">
        <f>IFERROR(INDEX(tEditais[Encerramento],MATCH(tItens[[#This Row],[Edital]],tEditais[Edital],0)),"")</f>
        <v>46308.291666666664</v>
      </c>
      <c r="J231" t="str">
        <f>IFERROR(INDEX(tProdutos[Classe],MATCH(tItens[[#This Row],[Produto]],tProdutos[Produto],0)),"produto não cadastrado")</f>
        <v>DISPUTADO</v>
      </c>
      <c r="K231" s="12">
        <f>tItens[[#This Row],[Qtd]]*tItens[[#This Row],[Vlr unit]]</f>
        <v>0</v>
      </c>
      <c r="L231" s="6">
        <f>IFERROR(IF(INDEX(tProdutos[Desconto homologado],MATCH(tItens[[#This Row],[Produto]],tProdutos[Produto],0))="",DescontoPadrao,INDEX(tProdutos[Desconto homologado],MATCH(tItens[[#This Row],[Produto]],tProdutos[Produto],0))),DescontoPadrao)</f>
        <v>0.24332656063896899</v>
      </c>
      <c r="M231" s="12">
        <f>tItens[[#This Row],[Valor]]*(1-tItens[[#This Row],[Desconto]])</f>
        <v>0</v>
      </c>
      <c r="N231" t="str">
        <f>IFERROR(INDEX(tProdutos[Foco],MATCH(tItens[[#This Row],[Produto]],tProdutos[Produto],0)),"Não")</f>
        <v>Não</v>
      </c>
      <c r="O231" t="str">
        <f>IFERROR(INDEX(tEditais[SRP],MATCH(tItens[[#This Row],[Edital]],tEditais[Edital],0)),"Não")</f>
        <v>Sim</v>
      </c>
      <c r="P231" s="4">
        <f>IF(COUNTIFS(INDEX(tItens[Edital],1):tItens[[#This Row],[Edital]],tItens[[#This Row],[Edital]],INDEX(tItens[Produto],1):tItens[[#This Row],[Produto]],tItens[[#This Row],[Produto]])=1,1,0)</f>
        <v>1</v>
      </c>
    </row>
    <row r="232" spans="1:16" x14ac:dyDescent="0.25">
      <c r="A232" t="s">
        <v>778</v>
      </c>
      <c r="B232">
        <v>27</v>
      </c>
      <c r="C232" t="s">
        <v>3454</v>
      </c>
      <c r="D232" t="s">
        <v>241</v>
      </c>
      <c r="E232" s="13">
        <v>500</v>
      </c>
      <c r="F232" s="12">
        <v>0</v>
      </c>
      <c r="G232" t="str">
        <f>IFERROR(INDEX(tEditais[Órgão],MATCH(tItens[[#This Row],[Edital]],tEditais[Edital],0)),"")</f>
        <v>UNIVERSIDADE DO ESTADO DO AMAZONAS</v>
      </c>
      <c r="H232" t="str">
        <f>IFERROR(INDEX(tEditais[UF],MATCH(tItens[[#This Row],[Edital]],tEditais[Edital],0)),"")</f>
        <v>AM</v>
      </c>
      <c r="I232" s="11">
        <f>IFERROR(INDEX(tEditais[Encerramento],MATCH(tItens[[#This Row],[Edital]],tEditais[Edital],0)),"")</f>
        <v>46309.385416666664</v>
      </c>
      <c r="J232" t="str">
        <f>IFERROR(INDEX(tProdutos[Classe],MATCH(tItens[[#This Row],[Produto]],tProdutos[Produto],0)),"produto não cadastrado")</f>
        <v>DISPUTADO</v>
      </c>
      <c r="K232" s="12">
        <f>tItens[[#This Row],[Qtd]]*tItens[[#This Row],[Vlr unit]]</f>
        <v>0</v>
      </c>
      <c r="L232" s="6">
        <f>IFERROR(IF(INDEX(tProdutos[Desconto homologado],MATCH(tItens[[#This Row],[Produto]],tProdutos[Produto],0))="",DescontoPadrao,INDEX(tProdutos[Desconto homologado],MATCH(tItens[[#This Row],[Produto]],tProdutos[Produto],0))),DescontoPadrao)</f>
        <v>0.36881329157903497</v>
      </c>
      <c r="M232" s="12">
        <f>tItens[[#This Row],[Valor]]*(1-tItens[[#This Row],[Desconto]])</f>
        <v>0</v>
      </c>
      <c r="N232" t="str">
        <f>IFERROR(INDEX(tProdutos[Foco],MATCH(tItens[[#This Row],[Produto]],tProdutos[Produto],0)),"Não")</f>
        <v>Não</v>
      </c>
      <c r="O232" t="str">
        <f>IFERROR(INDEX(tEditais[SRP],MATCH(tItens[[#This Row],[Edital]],tEditais[Edital],0)),"Não")</f>
        <v>Não</v>
      </c>
      <c r="P232" s="4">
        <f>IF(COUNTIFS(INDEX(tItens[Edital],1):tItens[[#This Row],[Edital]],tItens[[#This Row],[Edital]],INDEX(tItens[Produto],1):tItens[[#This Row],[Produto]],tItens[[#This Row],[Produto]])=1,1,0)</f>
        <v>1</v>
      </c>
    </row>
    <row r="233" spans="1:16" x14ac:dyDescent="0.25">
      <c r="A233" t="s">
        <v>778</v>
      </c>
      <c r="B233">
        <v>42</v>
      </c>
      <c r="C233" t="s">
        <v>3455</v>
      </c>
      <c r="D233" t="s">
        <v>86</v>
      </c>
      <c r="E233" s="13">
        <v>280</v>
      </c>
      <c r="F233" s="12">
        <v>0</v>
      </c>
      <c r="G233" t="str">
        <f>IFERROR(INDEX(tEditais[Órgão],MATCH(tItens[[#This Row],[Edital]],tEditais[Edital],0)),"")</f>
        <v>UNIVERSIDADE DO ESTADO DO AMAZONAS</v>
      </c>
      <c r="H233" t="str">
        <f>IFERROR(INDEX(tEditais[UF],MATCH(tItens[[#This Row],[Edital]],tEditais[Edital],0)),"")</f>
        <v>AM</v>
      </c>
      <c r="I233" s="11">
        <f>IFERROR(INDEX(tEditais[Encerramento],MATCH(tItens[[#This Row],[Edital]],tEditais[Edital],0)),"")</f>
        <v>46309.385416666664</v>
      </c>
      <c r="J233" t="str">
        <f>IFERROR(INDEX(tProdutos[Classe],MATCH(tItens[[#This Row],[Produto]],tProdutos[Produto],0)),"produto não cadastrado")</f>
        <v>NÚCLEO</v>
      </c>
      <c r="K233" s="12">
        <f>tItens[[#This Row],[Qtd]]*tItens[[#This Row],[Vlr unit]]</f>
        <v>0</v>
      </c>
      <c r="L233" s="6">
        <f>IFERROR(IF(INDEX(tProdutos[Desconto homologado],MATCH(tItens[[#This Row],[Produto]],tProdutos[Produto],0))="",DescontoPadrao,INDEX(tProdutos[Desconto homologado],MATCH(tItens[[#This Row],[Produto]],tProdutos[Produto],0))),DescontoPadrao)</f>
        <v>0.20202020202020199</v>
      </c>
      <c r="M233" s="12">
        <f>tItens[[#This Row],[Valor]]*(1-tItens[[#This Row],[Desconto]])</f>
        <v>0</v>
      </c>
      <c r="N233" t="str">
        <f>IFERROR(INDEX(tProdutos[Foco],MATCH(tItens[[#This Row],[Produto]],tProdutos[Produto],0)),"Não")</f>
        <v>Não</v>
      </c>
      <c r="O233" t="str">
        <f>IFERROR(INDEX(tEditais[SRP],MATCH(tItens[[#This Row],[Edital]],tEditais[Edital],0)),"Não")</f>
        <v>Não</v>
      </c>
      <c r="P233" s="4">
        <f>IF(COUNTIFS(INDEX(tItens[Edital],1):tItens[[#This Row],[Edital]],tItens[[#This Row],[Edital]],INDEX(tItens[Produto],1):tItens[[#This Row],[Produto]],tItens[[#This Row],[Produto]])=1,1,0)</f>
        <v>1</v>
      </c>
    </row>
    <row r="234" spans="1:16" x14ac:dyDescent="0.25">
      <c r="A234" t="s">
        <v>778</v>
      </c>
      <c r="B234">
        <v>45</v>
      </c>
      <c r="C234" t="s">
        <v>3456</v>
      </c>
      <c r="D234" t="s">
        <v>303</v>
      </c>
      <c r="E234" s="13">
        <v>3000</v>
      </c>
      <c r="F234" s="12">
        <v>0</v>
      </c>
      <c r="G234" t="str">
        <f>IFERROR(INDEX(tEditais[Órgão],MATCH(tItens[[#This Row],[Edital]],tEditais[Edital],0)),"")</f>
        <v>UNIVERSIDADE DO ESTADO DO AMAZONAS</v>
      </c>
      <c r="H234" t="str">
        <f>IFERROR(INDEX(tEditais[UF],MATCH(tItens[[#This Row],[Edital]],tEditais[Edital],0)),"")</f>
        <v>AM</v>
      </c>
      <c r="I234" s="11">
        <f>IFERROR(INDEX(tEditais[Encerramento],MATCH(tItens[[#This Row],[Edital]],tEditais[Edital],0)),"")</f>
        <v>46309.385416666664</v>
      </c>
      <c r="J234" t="str">
        <f>IFERROR(INDEX(tProdutos[Classe],MATCH(tItens[[#This Row],[Produto]],tProdutos[Produto],0)),"produto não cadastrado")</f>
        <v>FORA</v>
      </c>
      <c r="K234" s="12">
        <f>tItens[[#This Row],[Qtd]]*tItens[[#This Row],[Vlr unit]]</f>
        <v>0</v>
      </c>
      <c r="L234" s="6">
        <f>IFERROR(IF(INDEX(tProdutos[Desconto homologado],MATCH(tItens[[#This Row],[Produto]],tProdutos[Produto],0))="",DescontoPadrao,INDEX(tProdutos[Desconto homologado],MATCH(tItens[[#This Row],[Produto]],tProdutos[Produto],0))),DescontoPadrao)</f>
        <v>0.35748048048048098</v>
      </c>
      <c r="M234" s="12">
        <f>tItens[[#This Row],[Valor]]*(1-tItens[[#This Row],[Desconto]])</f>
        <v>0</v>
      </c>
      <c r="N234" t="str">
        <f>IFERROR(INDEX(tProdutos[Foco],MATCH(tItens[[#This Row],[Produto]],tProdutos[Produto],0)),"Não")</f>
        <v>Não</v>
      </c>
      <c r="O234" t="str">
        <f>IFERROR(INDEX(tEditais[SRP],MATCH(tItens[[#This Row],[Edital]],tEditais[Edital],0)),"Não")</f>
        <v>Não</v>
      </c>
      <c r="P234" s="4">
        <f>IF(COUNTIFS(INDEX(tItens[Edital],1):tItens[[#This Row],[Edital]],tItens[[#This Row],[Edital]],INDEX(tItens[Produto],1):tItens[[#This Row],[Produto]],tItens[[#This Row],[Produto]])=1,1,0)</f>
        <v>1</v>
      </c>
    </row>
    <row r="235" spans="1:16" x14ac:dyDescent="0.25">
      <c r="A235" t="s">
        <v>778</v>
      </c>
      <c r="B235">
        <v>46</v>
      </c>
      <c r="C235" t="s">
        <v>3457</v>
      </c>
      <c r="D235" t="s">
        <v>277</v>
      </c>
      <c r="E235" s="13">
        <v>6</v>
      </c>
      <c r="F235" s="12">
        <v>0</v>
      </c>
      <c r="G235" t="str">
        <f>IFERROR(INDEX(tEditais[Órgão],MATCH(tItens[[#This Row],[Edital]],tEditais[Edital],0)),"")</f>
        <v>UNIVERSIDADE DO ESTADO DO AMAZONAS</v>
      </c>
      <c r="H235" t="str">
        <f>IFERROR(INDEX(tEditais[UF],MATCH(tItens[[#This Row],[Edital]],tEditais[Edital],0)),"")</f>
        <v>AM</v>
      </c>
      <c r="I235" s="11">
        <f>IFERROR(INDEX(tEditais[Encerramento],MATCH(tItens[[#This Row],[Edital]],tEditais[Edital],0)),"")</f>
        <v>46309.385416666664</v>
      </c>
      <c r="J235" t="str">
        <f>IFERROR(INDEX(tProdutos[Classe],MATCH(tItens[[#This Row],[Produto]],tProdutos[Produto],0)),"produto não cadastrado")</f>
        <v>DISPUTADO</v>
      </c>
      <c r="K235" s="12">
        <f>tItens[[#This Row],[Qtd]]*tItens[[#This Row],[Vlr unit]]</f>
        <v>0</v>
      </c>
      <c r="L235" s="6">
        <f>IFERROR(IF(INDEX(tProdutos[Desconto homologado],MATCH(tItens[[#This Row],[Produto]],tProdutos[Produto],0))="",DescontoPadrao,INDEX(tProdutos[Desconto homologado],MATCH(tItens[[#This Row],[Produto]],tProdutos[Produto],0))),DescontoPadrao)</f>
        <v>0.50460666194188497</v>
      </c>
      <c r="M235" s="12">
        <f>tItens[[#This Row],[Valor]]*(1-tItens[[#This Row],[Desconto]])</f>
        <v>0</v>
      </c>
      <c r="N235" t="str">
        <f>IFERROR(INDEX(tProdutos[Foco],MATCH(tItens[[#This Row],[Produto]],tProdutos[Produto],0)),"Não")</f>
        <v>Não</v>
      </c>
      <c r="O235" t="str">
        <f>IFERROR(INDEX(tEditais[SRP],MATCH(tItens[[#This Row],[Edital]],tEditais[Edital],0)),"Não")</f>
        <v>Não</v>
      </c>
      <c r="P235" s="4">
        <f>IF(COUNTIFS(INDEX(tItens[Edital],1):tItens[[#This Row],[Edital]],tItens[[#This Row],[Edital]],INDEX(tItens[Produto],1):tItens[[#This Row],[Produto]],tItens[[#This Row],[Produto]])=1,1,0)</f>
        <v>1</v>
      </c>
    </row>
    <row r="236" spans="1:16" x14ac:dyDescent="0.25">
      <c r="A236" t="s">
        <v>783</v>
      </c>
      <c r="B236">
        <v>13</v>
      </c>
      <c r="C236" t="s">
        <v>3458</v>
      </c>
      <c r="D236" t="s">
        <v>241</v>
      </c>
      <c r="E236" s="13">
        <v>10435</v>
      </c>
      <c r="F236" s="12">
        <v>0</v>
      </c>
      <c r="G236" t="str">
        <f>IFERROR(INDEX(tEditais[Órgão],MATCH(tItens[[#This Row],[Edital]],tEditais[Edital],0)),"")</f>
        <v>CENTRO DE SERVICOS COMPARTILHADOS</v>
      </c>
      <c r="H236" t="str">
        <f>IFERROR(INDEX(tEditais[UF],MATCH(tItens[[#This Row],[Edital]],tEditais[Edital],0)),"")</f>
        <v>AM</v>
      </c>
      <c r="I236" s="11">
        <f>IFERROR(INDEX(tEditais[Encerramento],MATCH(tItens[[#This Row],[Edital]],tEditais[Edital],0)),"")</f>
        <v>46310.385416666664</v>
      </c>
      <c r="J236" t="str">
        <f>IFERROR(INDEX(tProdutos[Classe],MATCH(tItens[[#This Row],[Produto]],tProdutos[Produto],0)),"produto não cadastrado")</f>
        <v>DISPUTADO</v>
      </c>
      <c r="K236" s="12">
        <f>tItens[[#This Row],[Qtd]]*tItens[[#This Row],[Vlr unit]]</f>
        <v>0</v>
      </c>
      <c r="L236" s="6">
        <f>IFERROR(IF(INDEX(tProdutos[Desconto homologado],MATCH(tItens[[#This Row],[Produto]],tProdutos[Produto],0))="",DescontoPadrao,INDEX(tProdutos[Desconto homologado],MATCH(tItens[[#This Row],[Produto]],tProdutos[Produto],0))),DescontoPadrao)</f>
        <v>0.36881329157903497</v>
      </c>
      <c r="M236" s="12">
        <f>tItens[[#This Row],[Valor]]*(1-tItens[[#This Row],[Desconto]])</f>
        <v>0</v>
      </c>
      <c r="N236" t="str">
        <f>IFERROR(INDEX(tProdutos[Foco],MATCH(tItens[[#This Row],[Produto]],tProdutos[Produto],0)),"Não")</f>
        <v>Não</v>
      </c>
      <c r="O236" t="str">
        <f>IFERROR(INDEX(tEditais[SRP],MATCH(tItens[[#This Row],[Edital]],tEditais[Edital],0)),"Não")</f>
        <v>Não</v>
      </c>
      <c r="P236" s="4">
        <f>IF(COUNTIFS(INDEX(tItens[Edital],1):tItens[[#This Row],[Edital]],tItens[[#This Row],[Edital]],INDEX(tItens[Produto],1):tItens[[#This Row],[Produto]],tItens[[#This Row],[Produto]])=1,1,0)</f>
        <v>1</v>
      </c>
    </row>
    <row r="237" spans="1:16" x14ac:dyDescent="0.25">
      <c r="A237" t="s">
        <v>783</v>
      </c>
      <c r="B237">
        <v>15</v>
      </c>
      <c r="C237" t="s">
        <v>3459</v>
      </c>
      <c r="D237" t="s">
        <v>267</v>
      </c>
      <c r="E237" s="13">
        <v>658</v>
      </c>
      <c r="F237" s="12">
        <v>0</v>
      </c>
      <c r="G237" t="str">
        <f>IFERROR(INDEX(tEditais[Órgão],MATCH(tItens[[#This Row],[Edital]],tEditais[Edital],0)),"")</f>
        <v>CENTRO DE SERVICOS COMPARTILHADOS</v>
      </c>
      <c r="H237" t="str">
        <f>IFERROR(INDEX(tEditais[UF],MATCH(tItens[[#This Row],[Edital]],tEditais[Edital],0)),"")</f>
        <v>AM</v>
      </c>
      <c r="I237" s="11">
        <f>IFERROR(INDEX(tEditais[Encerramento],MATCH(tItens[[#This Row],[Edital]],tEditais[Edital],0)),"")</f>
        <v>46310.385416666664</v>
      </c>
      <c r="J237" t="str">
        <f>IFERROR(INDEX(tProdutos[Classe],MATCH(tItens[[#This Row],[Produto]],tProdutos[Produto],0)),"produto não cadastrado")</f>
        <v>FORA</v>
      </c>
      <c r="K237" s="12">
        <f>tItens[[#This Row],[Qtd]]*tItens[[#This Row],[Vlr unit]]</f>
        <v>0</v>
      </c>
      <c r="L237" s="6">
        <f>IFERROR(IF(INDEX(tProdutos[Desconto homologado],MATCH(tItens[[#This Row],[Produto]],tProdutos[Produto],0))="",DescontoPadrao,INDEX(tProdutos[Desconto homologado],MATCH(tItens[[#This Row],[Produto]],tProdutos[Produto],0))),DescontoPadrao)</f>
        <v>0.19963672657401599</v>
      </c>
      <c r="M237" s="12">
        <f>tItens[[#This Row],[Valor]]*(1-tItens[[#This Row],[Desconto]])</f>
        <v>0</v>
      </c>
      <c r="N237" t="str">
        <f>IFERROR(INDEX(tProdutos[Foco],MATCH(tItens[[#This Row],[Produto]],tProdutos[Produto],0)),"Não")</f>
        <v>Não</v>
      </c>
      <c r="O237" t="str">
        <f>IFERROR(INDEX(tEditais[SRP],MATCH(tItens[[#This Row],[Edital]],tEditais[Edital],0)),"Não")</f>
        <v>Não</v>
      </c>
      <c r="P237" s="4">
        <f>IF(COUNTIFS(INDEX(tItens[Edital],1):tItens[[#This Row],[Edital]],tItens[[#This Row],[Edital]],INDEX(tItens[Produto],1):tItens[[#This Row],[Produto]],tItens[[#This Row],[Produto]])=1,1,0)</f>
        <v>1</v>
      </c>
    </row>
    <row r="238" spans="1:16" x14ac:dyDescent="0.25">
      <c r="A238" t="s">
        <v>787</v>
      </c>
      <c r="B238">
        <v>1</v>
      </c>
      <c r="C238" t="s">
        <v>3460</v>
      </c>
      <c r="D238" t="s">
        <v>170</v>
      </c>
      <c r="E238" s="13">
        <v>130</v>
      </c>
      <c r="F238" s="12">
        <v>0</v>
      </c>
      <c r="G238" t="str">
        <f>IFERROR(INDEX(tEditais[Órgão],MATCH(tItens[[#This Row],[Edital]],tEditais[Edital],0)),"")</f>
        <v>MANAUS SECRETARIA MUNICIPAL DE SAUDE</v>
      </c>
      <c r="H238" t="str">
        <f>IFERROR(INDEX(tEditais[UF],MATCH(tItens[[#This Row],[Edital]],tEditais[Edital],0)),"")</f>
        <v>AM</v>
      </c>
      <c r="I238" s="11">
        <f>IFERROR(INDEX(tEditais[Encerramento],MATCH(tItens[[#This Row],[Edital]],tEditais[Edital],0)),"")</f>
        <v>46311.40625</v>
      </c>
      <c r="J238" t="str">
        <f>IFERROR(INDEX(tProdutos[Classe],MATCH(tItens[[#This Row],[Produto]],tProdutos[Produto],0)),"produto não cadastrado")</f>
        <v>DISPUTADO</v>
      </c>
      <c r="K238" s="12">
        <f>tItens[[#This Row],[Qtd]]*tItens[[#This Row],[Vlr unit]]</f>
        <v>0</v>
      </c>
      <c r="L238" s="6">
        <f>IFERROR(IF(INDEX(tProdutos[Desconto homologado],MATCH(tItens[[#This Row],[Produto]],tProdutos[Produto],0))="",DescontoPadrao,INDEX(tProdutos[Desconto homologado],MATCH(tItens[[#This Row],[Produto]],tProdutos[Produto],0))),DescontoPadrao)</f>
        <v>0.36</v>
      </c>
      <c r="M238" s="12">
        <f>tItens[[#This Row],[Valor]]*(1-tItens[[#This Row],[Desconto]])</f>
        <v>0</v>
      </c>
      <c r="N238" t="str">
        <f>IFERROR(INDEX(tProdutos[Foco],MATCH(tItens[[#This Row],[Produto]],tProdutos[Produto],0)),"Não")</f>
        <v>Sim</v>
      </c>
      <c r="O238" t="str">
        <f>IFERROR(INDEX(tEditais[SRP],MATCH(tItens[[#This Row],[Edital]],tEditais[Edital],0)),"Não")</f>
        <v>Não</v>
      </c>
      <c r="P238" s="4">
        <f>IF(COUNTIFS(INDEX(tItens[Edital],1):tItens[[#This Row],[Edital]],tItens[[#This Row],[Edital]],INDEX(tItens[Produto],1):tItens[[#This Row],[Produto]],tItens[[#This Row],[Produto]])=1,1,0)</f>
        <v>1</v>
      </c>
    </row>
    <row r="239" spans="1:16" x14ac:dyDescent="0.25">
      <c r="A239" t="s">
        <v>787</v>
      </c>
      <c r="B239">
        <v>2</v>
      </c>
      <c r="C239" t="s">
        <v>3461</v>
      </c>
      <c r="D239" t="s">
        <v>170</v>
      </c>
      <c r="E239" s="13">
        <v>80</v>
      </c>
      <c r="F239" s="12">
        <v>0</v>
      </c>
      <c r="G239" t="str">
        <f>IFERROR(INDEX(tEditais[Órgão],MATCH(tItens[[#This Row],[Edital]],tEditais[Edital],0)),"")</f>
        <v>MANAUS SECRETARIA MUNICIPAL DE SAUDE</v>
      </c>
      <c r="H239" t="str">
        <f>IFERROR(INDEX(tEditais[UF],MATCH(tItens[[#This Row],[Edital]],tEditais[Edital],0)),"")</f>
        <v>AM</v>
      </c>
      <c r="I239" s="11">
        <f>IFERROR(INDEX(tEditais[Encerramento],MATCH(tItens[[#This Row],[Edital]],tEditais[Edital],0)),"")</f>
        <v>46311.40625</v>
      </c>
      <c r="J239" t="str">
        <f>IFERROR(INDEX(tProdutos[Classe],MATCH(tItens[[#This Row],[Produto]],tProdutos[Produto],0)),"produto não cadastrado")</f>
        <v>DISPUTADO</v>
      </c>
      <c r="K239" s="12">
        <f>tItens[[#This Row],[Qtd]]*tItens[[#This Row],[Vlr unit]]</f>
        <v>0</v>
      </c>
      <c r="L239" s="6">
        <f>IFERROR(IF(INDEX(tProdutos[Desconto homologado],MATCH(tItens[[#This Row],[Produto]],tProdutos[Produto],0))="",DescontoPadrao,INDEX(tProdutos[Desconto homologado],MATCH(tItens[[#This Row],[Produto]],tProdutos[Produto],0))),DescontoPadrao)</f>
        <v>0.36</v>
      </c>
      <c r="M239" s="12">
        <f>tItens[[#This Row],[Valor]]*(1-tItens[[#This Row],[Desconto]])</f>
        <v>0</v>
      </c>
      <c r="N239" t="str">
        <f>IFERROR(INDEX(tProdutos[Foco],MATCH(tItens[[#This Row],[Produto]],tProdutos[Produto],0)),"Não")</f>
        <v>Sim</v>
      </c>
      <c r="O239" t="str">
        <f>IFERROR(INDEX(tEditais[SRP],MATCH(tItens[[#This Row],[Edital]],tEditais[Edital],0)),"Não")</f>
        <v>Não</v>
      </c>
      <c r="P239" s="4">
        <f>IF(COUNTIFS(INDEX(tItens[Edital],1):tItens[[#This Row],[Edital]],tItens[[#This Row],[Edital]],INDEX(tItens[Produto],1):tItens[[#This Row],[Produto]],tItens[[#This Row],[Produto]])=1,1,0)</f>
        <v>0</v>
      </c>
    </row>
    <row r="240" spans="1:16" x14ac:dyDescent="0.25">
      <c r="A240" t="s">
        <v>787</v>
      </c>
      <c r="B240">
        <v>3</v>
      </c>
      <c r="C240" t="s">
        <v>3462</v>
      </c>
      <c r="D240" t="s">
        <v>170</v>
      </c>
      <c r="E240" s="13">
        <v>80</v>
      </c>
      <c r="F240" s="12">
        <v>0</v>
      </c>
      <c r="G240" t="str">
        <f>IFERROR(INDEX(tEditais[Órgão],MATCH(tItens[[#This Row],[Edital]],tEditais[Edital],0)),"")</f>
        <v>MANAUS SECRETARIA MUNICIPAL DE SAUDE</v>
      </c>
      <c r="H240" t="str">
        <f>IFERROR(INDEX(tEditais[UF],MATCH(tItens[[#This Row],[Edital]],tEditais[Edital],0)),"")</f>
        <v>AM</v>
      </c>
      <c r="I240" s="11">
        <f>IFERROR(INDEX(tEditais[Encerramento],MATCH(tItens[[#This Row],[Edital]],tEditais[Edital],0)),"")</f>
        <v>46311.40625</v>
      </c>
      <c r="J240" t="str">
        <f>IFERROR(INDEX(tProdutos[Classe],MATCH(tItens[[#This Row],[Produto]],tProdutos[Produto],0)),"produto não cadastrado")</f>
        <v>DISPUTADO</v>
      </c>
      <c r="K240" s="12">
        <f>tItens[[#This Row],[Qtd]]*tItens[[#This Row],[Vlr unit]]</f>
        <v>0</v>
      </c>
      <c r="L240" s="6">
        <f>IFERROR(IF(INDEX(tProdutos[Desconto homologado],MATCH(tItens[[#This Row],[Produto]],tProdutos[Produto],0))="",DescontoPadrao,INDEX(tProdutos[Desconto homologado],MATCH(tItens[[#This Row],[Produto]],tProdutos[Produto],0))),DescontoPadrao)</f>
        <v>0.36</v>
      </c>
      <c r="M240" s="12">
        <f>tItens[[#This Row],[Valor]]*(1-tItens[[#This Row],[Desconto]])</f>
        <v>0</v>
      </c>
      <c r="N240" t="str">
        <f>IFERROR(INDEX(tProdutos[Foco],MATCH(tItens[[#This Row],[Produto]],tProdutos[Produto],0)),"Não")</f>
        <v>Sim</v>
      </c>
      <c r="O240" t="str">
        <f>IFERROR(INDEX(tEditais[SRP],MATCH(tItens[[#This Row],[Edital]],tEditais[Edital],0)),"Não")</f>
        <v>Não</v>
      </c>
      <c r="P240" s="4">
        <f>IF(COUNTIFS(INDEX(tItens[Edital],1):tItens[[#This Row],[Edital]],tItens[[#This Row],[Edital]],INDEX(tItens[Produto],1):tItens[[#This Row],[Produto]],tItens[[#This Row],[Produto]])=1,1,0)</f>
        <v>0</v>
      </c>
    </row>
    <row r="241" spans="1:16" x14ac:dyDescent="0.25">
      <c r="A241" t="s">
        <v>787</v>
      </c>
      <c r="B241">
        <v>4</v>
      </c>
      <c r="C241" t="s">
        <v>3463</v>
      </c>
      <c r="D241" t="s">
        <v>170</v>
      </c>
      <c r="E241" s="13">
        <v>80</v>
      </c>
      <c r="F241" s="12">
        <v>0</v>
      </c>
      <c r="G241" t="str">
        <f>IFERROR(INDEX(tEditais[Órgão],MATCH(tItens[[#This Row],[Edital]],tEditais[Edital],0)),"")</f>
        <v>MANAUS SECRETARIA MUNICIPAL DE SAUDE</v>
      </c>
      <c r="H241" t="str">
        <f>IFERROR(INDEX(tEditais[UF],MATCH(tItens[[#This Row],[Edital]],tEditais[Edital],0)),"")</f>
        <v>AM</v>
      </c>
      <c r="I241" s="11">
        <f>IFERROR(INDEX(tEditais[Encerramento],MATCH(tItens[[#This Row],[Edital]],tEditais[Edital],0)),"")</f>
        <v>46311.40625</v>
      </c>
      <c r="J241" t="str">
        <f>IFERROR(INDEX(tProdutos[Classe],MATCH(tItens[[#This Row],[Produto]],tProdutos[Produto],0)),"produto não cadastrado")</f>
        <v>DISPUTADO</v>
      </c>
      <c r="K241" s="12">
        <f>tItens[[#This Row],[Qtd]]*tItens[[#This Row],[Vlr unit]]</f>
        <v>0</v>
      </c>
      <c r="L241" s="6">
        <f>IFERROR(IF(INDEX(tProdutos[Desconto homologado],MATCH(tItens[[#This Row],[Produto]],tProdutos[Produto],0))="",DescontoPadrao,INDEX(tProdutos[Desconto homologado],MATCH(tItens[[#This Row],[Produto]],tProdutos[Produto],0))),DescontoPadrao)</f>
        <v>0.36</v>
      </c>
      <c r="M241" s="12">
        <f>tItens[[#This Row],[Valor]]*(1-tItens[[#This Row],[Desconto]])</f>
        <v>0</v>
      </c>
      <c r="N241" t="str">
        <f>IFERROR(INDEX(tProdutos[Foco],MATCH(tItens[[#This Row],[Produto]],tProdutos[Produto],0)),"Não")</f>
        <v>Sim</v>
      </c>
      <c r="O241" t="str">
        <f>IFERROR(INDEX(tEditais[SRP],MATCH(tItens[[#This Row],[Edital]],tEditais[Edital],0)),"Não")</f>
        <v>Não</v>
      </c>
      <c r="P241" s="4">
        <f>IF(COUNTIFS(INDEX(tItens[Edital],1):tItens[[#This Row],[Edital]],tItens[[#This Row],[Edital]],INDEX(tItens[Produto],1):tItens[[#This Row],[Produto]],tItens[[#This Row],[Produto]])=1,1,0)</f>
        <v>0</v>
      </c>
    </row>
    <row r="242" spans="1:16" x14ac:dyDescent="0.25">
      <c r="A242" t="s">
        <v>787</v>
      </c>
      <c r="B242">
        <v>5</v>
      </c>
      <c r="C242" t="s">
        <v>3464</v>
      </c>
      <c r="D242" t="s">
        <v>170</v>
      </c>
      <c r="E242" s="13">
        <v>80</v>
      </c>
      <c r="F242" s="12">
        <v>0</v>
      </c>
      <c r="G242" t="str">
        <f>IFERROR(INDEX(tEditais[Órgão],MATCH(tItens[[#This Row],[Edital]],tEditais[Edital],0)),"")</f>
        <v>MANAUS SECRETARIA MUNICIPAL DE SAUDE</v>
      </c>
      <c r="H242" t="str">
        <f>IFERROR(INDEX(tEditais[UF],MATCH(tItens[[#This Row],[Edital]],tEditais[Edital],0)),"")</f>
        <v>AM</v>
      </c>
      <c r="I242" s="11">
        <f>IFERROR(INDEX(tEditais[Encerramento],MATCH(tItens[[#This Row],[Edital]],tEditais[Edital],0)),"")</f>
        <v>46311.40625</v>
      </c>
      <c r="J242" t="str">
        <f>IFERROR(INDEX(tProdutos[Classe],MATCH(tItens[[#This Row],[Produto]],tProdutos[Produto],0)),"produto não cadastrado")</f>
        <v>DISPUTADO</v>
      </c>
      <c r="K242" s="12">
        <f>tItens[[#This Row],[Qtd]]*tItens[[#This Row],[Vlr unit]]</f>
        <v>0</v>
      </c>
      <c r="L242" s="6">
        <f>IFERROR(IF(INDEX(tProdutos[Desconto homologado],MATCH(tItens[[#This Row],[Produto]],tProdutos[Produto],0))="",DescontoPadrao,INDEX(tProdutos[Desconto homologado],MATCH(tItens[[#This Row],[Produto]],tProdutos[Produto],0))),DescontoPadrao)</f>
        <v>0.36</v>
      </c>
      <c r="M242" s="12">
        <f>tItens[[#This Row],[Valor]]*(1-tItens[[#This Row],[Desconto]])</f>
        <v>0</v>
      </c>
      <c r="N242" t="str">
        <f>IFERROR(INDEX(tProdutos[Foco],MATCH(tItens[[#This Row],[Produto]],tProdutos[Produto],0)),"Não")</f>
        <v>Sim</v>
      </c>
      <c r="O242" t="str">
        <f>IFERROR(INDEX(tEditais[SRP],MATCH(tItens[[#This Row],[Edital]],tEditais[Edital],0)),"Não")</f>
        <v>Não</v>
      </c>
      <c r="P242" s="4">
        <f>IF(COUNTIFS(INDEX(tItens[Edital],1):tItens[[#This Row],[Edital]],tItens[[#This Row],[Edital]],INDEX(tItens[Produto],1):tItens[[#This Row],[Produto]],tItens[[#This Row],[Produto]])=1,1,0)</f>
        <v>0</v>
      </c>
    </row>
    <row r="243" spans="1:16" x14ac:dyDescent="0.25">
      <c r="A243" t="s">
        <v>787</v>
      </c>
      <c r="B243">
        <v>11</v>
      </c>
      <c r="C243" t="s">
        <v>3465</v>
      </c>
      <c r="D243" t="s">
        <v>299</v>
      </c>
      <c r="E243" s="13">
        <v>1100</v>
      </c>
      <c r="F243" s="12">
        <v>0</v>
      </c>
      <c r="G243" t="str">
        <f>IFERROR(INDEX(tEditais[Órgão],MATCH(tItens[[#This Row],[Edital]],tEditais[Edital],0)),"")</f>
        <v>MANAUS SECRETARIA MUNICIPAL DE SAUDE</v>
      </c>
      <c r="H243" t="str">
        <f>IFERROR(INDEX(tEditais[UF],MATCH(tItens[[#This Row],[Edital]],tEditais[Edital],0)),"")</f>
        <v>AM</v>
      </c>
      <c r="I243" s="11">
        <f>IFERROR(INDEX(tEditais[Encerramento],MATCH(tItens[[#This Row],[Edital]],tEditais[Edital],0)),"")</f>
        <v>46311.40625</v>
      </c>
      <c r="J243" t="str">
        <f>IFERROR(INDEX(tProdutos[Classe],MATCH(tItens[[#This Row],[Produto]],tProdutos[Produto],0)),"produto não cadastrado")</f>
        <v>FORA</v>
      </c>
      <c r="K243" s="12">
        <f>tItens[[#This Row],[Qtd]]*tItens[[#This Row],[Vlr unit]]</f>
        <v>0</v>
      </c>
      <c r="L243" s="6">
        <f>IFERROR(IF(INDEX(tProdutos[Desconto homologado],MATCH(tItens[[#This Row],[Produto]],tProdutos[Produto],0))="",DescontoPadrao,INDEX(tProdutos[Desconto homologado],MATCH(tItens[[#This Row],[Produto]],tProdutos[Produto],0))),DescontoPadrao)</f>
        <v>0.42211465163381601</v>
      </c>
      <c r="M243" s="12">
        <f>tItens[[#This Row],[Valor]]*(1-tItens[[#This Row],[Desconto]])</f>
        <v>0</v>
      </c>
      <c r="N243" t="str">
        <f>IFERROR(INDEX(tProdutos[Foco],MATCH(tItens[[#This Row],[Produto]],tProdutos[Produto],0)),"Não")</f>
        <v>Não</v>
      </c>
      <c r="O243" t="str">
        <f>IFERROR(INDEX(tEditais[SRP],MATCH(tItens[[#This Row],[Edital]],tEditais[Edital],0)),"Não")</f>
        <v>Não</v>
      </c>
      <c r="P243" s="4">
        <f>IF(COUNTIFS(INDEX(tItens[Edital],1):tItens[[#This Row],[Edital]],tItens[[#This Row],[Edital]],INDEX(tItens[Produto],1):tItens[[#This Row],[Produto]],tItens[[#This Row],[Produto]])=1,1,0)</f>
        <v>1</v>
      </c>
    </row>
    <row r="244" spans="1:16" x14ac:dyDescent="0.25">
      <c r="A244" t="s">
        <v>787</v>
      </c>
      <c r="B244">
        <v>13</v>
      </c>
      <c r="C244" t="s">
        <v>3466</v>
      </c>
      <c r="D244" t="s">
        <v>479</v>
      </c>
      <c r="E244" s="13">
        <v>150</v>
      </c>
      <c r="F244" s="12">
        <v>0</v>
      </c>
      <c r="G244" t="str">
        <f>IFERROR(INDEX(tEditais[Órgão],MATCH(tItens[[#This Row],[Edital]],tEditais[Edital],0)),"")</f>
        <v>MANAUS SECRETARIA MUNICIPAL DE SAUDE</v>
      </c>
      <c r="H244" t="str">
        <f>IFERROR(INDEX(tEditais[UF],MATCH(tItens[[#This Row],[Edital]],tEditais[Edital],0)),"")</f>
        <v>AM</v>
      </c>
      <c r="I244" s="11">
        <f>IFERROR(INDEX(tEditais[Encerramento],MATCH(tItens[[#This Row],[Edital]],tEditais[Edital],0)),"")</f>
        <v>46311.40625</v>
      </c>
      <c r="J244" t="str">
        <f>IFERROR(INDEX(tProdutos[Classe],MATCH(tItens[[#This Row],[Produto]],tProdutos[Produto],0)),"produto não cadastrado")</f>
        <v>FILA REBASE</v>
      </c>
      <c r="K244" s="12">
        <f>tItens[[#This Row],[Qtd]]*tItens[[#This Row],[Vlr unit]]</f>
        <v>0</v>
      </c>
      <c r="L244" s="6">
        <f>IFERROR(IF(INDEX(tProdutos[Desconto homologado],MATCH(tItens[[#This Row],[Produto]],tProdutos[Produto],0))="",DescontoPadrao,INDEX(tProdutos[Desconto homologado],MATCH(tItens[[#This Row],[Produto]],tProdutos[Produto],0))),DescontoPadrao)</f>
        <v>0.41266209000762799</v>
      </c>
      <c r="M244" s="12">
        <f>tItens[[#This Row],[Valor]]*(1-tItens[[#This Row],[Desconto]])</f>
        <v>0</v>
      </c>
      <c r="N244" t="str">
        <f>IFERROR(INDEX(tProdutos[Foco],MATCH(tItens[[#This Row],[Produto]],tProdutos[Produto],0)),"Não")</f>
        <v>Não</v>
      </c>
      <c r="O244" t="str">
        <f>IFERROR(INDEX(tEditais[SRP],MATCH(tItens[[#This Row],[Edital]],tEditais[Edital],0)),"Não")</f>
        <v>Não</v>
      </c>
      <c r="P244" s="4">
        <f>IF(COUNTIFS(INDEX(tItens[Edital],1):tItens[[#This Row],[Edital]],tItens[[#This Row],[Edital]],INDEX(tItens[Produto],1):tItens[[#This Row],[Produto]],tItens[[#This Row],[Produto]])=1,1,0)</f>
        <v>1</v>
      </c>
    </row>
    <row r="245" spans="1:16" x14ac:dyDescent="0.25">
      <c r="A245" t="s">
        <v>787</v>
      </c>
      <c r="B245">
        <v>14</v>
      </c>
      <c r="C245" t="s">
        <v>3467</v>
      </c>
      <c r="D245" t="s">
        <v>479</v>
      </c>
      <c r="E245" s="13">
        <v>150</v>
      </c>
      <c r="F245" s="12">
        <v>0</v>
      </c>
      <c r="G245" t="str">
        <f>IFERROR(INDEX(tEditais[Órgão],MATCH(tItens[[#This Row],[Edital]],tEditais[Edital],0)),"")</f>
        <v>MANAUS SECRETARIA MUNICIPAL DE SAUDE</v>
      </c>
      <c r="H245" t="str">
        <f>IFERROR(INDEX(tEditais[UF],MATCH(tItens[[#This Row],[Edital]],tEditais[Edital],0)),"")</f>
        <v>AM</v>
      </c>
      <c r="I245" s="11">
        <f>IFERROR(INDEX(tEditais[Encerramento],MATCH(tItens[[#This Row],[Edital]],tEditais[Edital],0)),"")</f>
        <v>46311.40625</v>
      </c>
      <c r="J245" t="str">
        <f>IFERROR(INDEX(tProdutos[Classe],MATCH(tItens[[#This Row],[Produto]],tProdutos[Produto],0)),"produto não cadastrado")</f>
        <v>FILA REBASE</v>
      </c>
      <c r="K245" s="12">
        <f>tItens[[#This Row],[Qtd]]*tItens[[#This Row],[Vlr unit]]</f>
        <v>0</v>
      </c>
      <c r="L245" s="6">
        <f>IFERROR(IF(INDEX(tProdutos[Desconto homologado],MATCH(tItens[[#This Row],[Produto]],tProdutos[Produto],0))="",DescontoPadrao,INDEX(tProdutos[Desconto homologado],MATCH(tItens[[#This Row],[Produto]],tProdutos[Produto],0))),DescontoPadrao)</f>
        <v>0.41266209000762799</v>
      </c>
      <c r="M245" s="12">
        <f>tItens[[#This Row],[Valor]]*(1-tItens[[#This Row],[Desconto]])</f>
        <v>0</v>
      </c>
      <c r="N245" t="str">
        <f>IFERROR(INDEX(tProdutos[Foco],MATCH(tItens[[#This Row],[Produto]],tProdutos[Produto],0)),"Não")</f>
        <v>Não</v>
      </c>
      <c r="O245" t="str">
        <f>IFERROR(INDEX(tEditais[SRP],MATCH(tItens[[#This Row],[Edital]],tEditais[Edital],0)),"Não")</f>
        <v>Não</v>
      </c>
      <c r="P245" s="4">
        <f>IF(COUNTIFS(INDEX(tItens[Edital],1):tItens[[#This Row],[Edital]],tItens[[#This Row],[Edital]],INDEX(tItens[Produto],1):tItens[[#This Row],[Produto]],tItens[[#This Row],[Produto]])=1,1,0)</f>
        <v>0</v>
      </c>
    </row>
    <row r="246" spans="1:16" x14ac:dyDescent="0.25">
      <c r="A246" t="s">
        <v>787</v>
      </c>
      <c r="B246">
        <v>15</v>
      </c>
      <c r="C246" t="s">
        <v>3468</v>
      </c>
      <c r="D246" t="s">
        <v>479</v>
      </c>
      <c r="E246" s="13">
        <v>150</v>
      </c>
      <c r="F246" s="12">
        <v>0</v>
      </c>
      <c r="G246" t="str">
        <f>IFERROR(INDEX(tEditais[Órgão],MATCH(tItens[[#This Row],[Edital]],tEditais[Edital],0)),"")</f>
        <v>MANAUS SECRETARIA MUNICIPAL DE SAUDE</v>
      </c>
      <c r="H246" t="str">
        <f>IFERROR(INDEX(tEditais[UF],MATCH(tItens[[#This Row],[Edital]],tEditais[Edital],0)),"")</f>
        <v>AM</v>
      </c>
      <c r="I246" s="11">
        <f>IFERROR(INDEX(tEditais[Encerramento],MATCH(tItens[[#This Row],[Edital]],tEditais[Edital],0)),"")</f>
        <v>46311.40625</v>
      </c>
      <c r="J246" t="str">
        <f>IFERROR(INDEX(tProdutos[Classe],MATCH(tItens[[#This Row],[Produto]],tProdutos[Produto],0)),"produto não cadastrado")</f>
        <v>FILA REBASE</v>
      </c>
      <c r="K246" s="12">
        <f>tItens[[#This Row],[Qtd]]*tItens[[#This Row],[Vlr unit]]</f>
        <v>0</v>
      </c>
      <c r="L246" s="6">
        <f>IFERROR(IF(INDEX(tProdutos[Desconto homologado],MATCH(tItens[[#This Row],[Produto]],tProdutos[Produto],0))="",DescontoPadrao,INDEX(tProdutos[Desconto homologado],MATCH(tItens[[#This Row],[Produto]],tProdutos[Produto],0))),DescontoPadrao)</f>
        <v>0.41266209000762799</v>
      </c>
      <c r="M246" s="12">
        <f>tItens[[#This Row],[Valor]]*(1-tItens[[#This Row],[Desconto]])</f>
        <v>0</v>
      </c>
      <c r="N246" t="str">
        <f>IFERROR(INDEX(tProdutos[Foco],MATCH(tItens[[#This Row],[Produto]],tProdutos[Produto],0)),"Não")</f>
        <v>Não</v>
      </c>
      <c r="O246" t="str">
        <f>IFERROR(INDEX(tEditais[SRP],MATCH(tItens[[#This Row],[Edital]],tEditais[Edital],0)),"Não")</f>
        <v>Não</v>
      </c>
      <c r="P246" s="4">
        <f>IF(COUNTIFS(INDEX(tItens[Edital],1):tItens[[#This Row],[Edital]],tItens[[#This Row],[Edital]],INDEX(tItens[Produto],1):tItens[[#This Row],[Produto]],tItens[[#This Row],[Produto]])=1,1,0)</f>
        <v>0</v>
      </c>
    </row>
    <row r="247" spans="1:16" x14ac:dyDescent="0.25">
      <c r="A247" t="s">
        <v>787</v>
      </c>
      <c r="B247">
        <v>16</v>
      </c>
      <c r="C247" t="s">
        <v>3469</v>
      </c>
      <c r="D247" t="s">
        <v>479</v>
      </c>
      <c r="E247" s="13">
        <v>150</v>
      </c>
      <c r="F247" s="12">
        <v>0</v>
      </c>
      <c r="G247" t="str">
        <f>IFERROR(INDEX(tEditais[Órgão],MATCH(tItens[[#This Row],[Edital]],tEditais[Edital],0)),"")</f>
        <v>MANAUS SECRETARIA MUNICIPAL DE SAUDE</v>
      </c>
      <c r="H247" t="str">
        <f>IFERROR(INDEX(tEditais[UF],MATCH(tItens[[#This Row],[Edital]],tEditais[Edital],0)),"")</f>
        <v>AM</v>
      </c>
      <c r="I247" s="11">
        <f>IFERROR(INDEX(tEditais[Encerramento],MATCH(tItens[[#This Row],[Edital]],tEditais[Edital],0)),"")</f>
        <v>46311.40625</v>
      </c>
      <c r="J247" t="str">
        <f>IFERROR(INDEX(tProdutos[Classe],MATCH(tItens[[#This Row],[Produto]],tProdutos[Produto],0)),"produto não cadastrado")</f>
        <v>FILA REBASE</v>
      </c>
      <c r="K247" s="12">
        <f>tItens[[#This Row],[Qtd]]*tItens[[#This Row],[Vlr unit]]</f>
        <v>0</v>
      </c>
      <c r="L247" s="6">
        <f>IFERROR(IF(INDEX(tProdutos[Desconto homologado],MATCH(tItens[[#This Row],[Produto]],tProdutos[Produto],0))="",DescontoPadrao,INDEX(tProdutos[Desconto homologado],MATCH(tItens[[#This Row],[Produto]],tProdutos[Produto],0))),DescontoPadrao)</f>
        <v>0.41266209000762799</v>
      </c>
      <c r="M247" s="12">
        <f>tItens[[#This Row],[Valor]]*(1-tItens[[#This Row],[Desconto]])</f>
        <v>0</v>
      </c>
      <c r="N247" t="str">
        <f>IFERROR(INDEX(tProdutos[Foco],MATCH(tItens[[#This Row],[Produto]],tProdutos[Produto],0)),"Não")</f>
        <v>Não</v>
      </c>
      <c r="O247" t="str">
        <f>IFERROR(INDEX(tEditais[SRP],MATCH(tItens[[#This Row],[Edital]],tEditais[Edital],0)),"Não")</f>
        <v>Não</v>
      </c>
      <c r="P247" s="4">
        <f>IF(COUNTIFS(INDEX(tItens[Edital],1):tItens[[#This Row],[Edital]],tItens[[#This Row],[Edital]],INDEX(tItens[Produto],1):tItens[[#This Row],[Produto]],tItens[[#This Row],[Produto]])=1,1,0)</f>
        <v>0</v>
      </c>
    </row>
    <row r="248" spans="1:16" x14ac:dyDescent="0.25">
      <c r="A248" t="s">
        <v>791</v>
      </c>
      <c r="B248">
        <v>8064863</v>
      </c>
      <c r="C248" t="s">
        <v>3470</v>
      </c>
      <c r="D248" t="s">
        <v>339</v>
      </c>
      <c r="E248" s="13">
        <v>600</v>
      </c>
      <c r="F248" s="12">
        <v>4</v>
      </c>
      <c r="G248" t="str">
        <f>IFERROR(INDEX(tEditais[Órgão],MATCH(tItens[[#This Row],[Edital]],tEditais[Edital],0)),"")</f>
        <v>MUNICIPIO DE HUMAITA</v>
      </c>
      <c r="H248" t="str">
        <f>IFERROR(INDEX(tEditais[UF],MATCH(tItens[[#This Row],[Edital]],tEditais[Edital],0)),"")</f>
        <v>AM</v>
      </c>
      <c r="I248" s="11">
        <f>IFERROR(INDEX(tEditais[Encerramento],MATCH(tItens[[#This Row],[Edital]],tEditais[Edital],0)),"")</f>
        <v>46311.416666666664</v>
      </c>
      <c r="J248" t="str">
        <f>IFERROR(INDEX(tProdutos[Classe],MATCH(tItens[[#This Row],[Produto]],tProdutos[Produto],0)),"produto não cadastrado")</f>
        <v>FORA</v>
      </c>
      <c r="K248" s="12">
        <f>tItens[[#This Row],[Qtd]]*tItens[[#This Row],[Vlr unit]]</f>
        <v>2400</v>
      </c>
      <c r="L248" s="6">
        <f>IFERROR(IF(INDEX(tProdutos[Desconto homologado],MATCH(tItens[[#This Row],[Produto]],tProdutos[Produto],0))="",DescontoPadrao,INDEX(tProdutos[Desconto homologado],MATCH(tItens[[#This Row],[Produto]],tProdutos[Produto],0))),DescontoPadrao)</f>
        <v>0.35388629091804102</v>
      </c>
      <c r="M248" s="12">
        <f>tItens[[#This Row],[Valor]]*(1-tItens[[#This Row],[Desconto]])</f>
        <v>1550.6729017967016</v>
      </c>
      <c r="N248" t="str">
        <f>IFERROR(INDEX(tProdutos[Foco],MATCH(tItens[[#This Row],[Produto]],tProdutos[Produto],0)),"Não")</f>
        <v>Não</v>
      </c>
      <c r="O248" t="str">
        <f>IFERROR(INDEX(tEditais[SRP],MATCH(tItens[[#This Row],[Edital]],tEditais[Edital],0)),"Não")</f>
        <v>Não</v>
      </c>
      <c r="P248" s="4">
        <f>IF(COUNTIFS(INDEX(tItens[Edital],1):tItens[[#This Row],[Edital]],tItens[[#This Row],[Edital]],INDEX(tItens[Produto],1):tItens[[#This Row],[Produto]],tItens[[#This Row],[Produto]])=1,1,0)</f>
        <v>1</v>
      </c>
    </row>
    <row r="249" spans="1:16" x14ac:dyDescent="0.25">
      <c r="A249" t="s">
        <v>791</v>
      </c>
      <c r="B249">
        <v>8064864</v>
      </c>
      <c r="C249" t="s">
        <v>3471</v>
      </c>
      <c r="D249" t="s">
        <v>339</v>
      </c>
      <c r="E249" s="13">
        <v>300</v>
      </c>
      <c r="F249" s="12">
        <v>4</v>
      </c>
      <c r="G249" t="str">
        <f>IFERROR(INDEX(tEditais[Órgão],MATCH(tItens[[#This Row],[Edital]],tEditais[Edital],0)),"")</f>
        <v>MUNICIPIO DE HUMAITA</v>
      </c>
      <c r="H249" t="str">
        <f>IFERROR(INDEX(tEditais[UF],MATCH(tItens[[#This Row],[Edital]],tEditais[Edital],0)),"")</f>
        <v>AM</v>
      </c>
      <c r="I249" s="11">
        <f>IFERROR(INDEX(tEditais[Encerramento],MATCH(tItens[[#This Row],[Edital]],tEditais[Edital],0)),"")</f>
        <v>46311.416666666664</v>
      </c>
      <c r="J249" t="str">
        <f>IFERROR(INDEX(tProdutos[Classe],MATCH(tItens[[#This Row],[Produto]],tProdutos[Produto],0)),"produto não cadastrado")</f>
        <v>FORA</v>
      </c>
      <c r="K249" s="12">
        <f>tItens[[#This Row],[Qtd]]*tItens[[#This Row],[Vlr unit]]</f>
        <v>1200</v>
      </c>
      <c r="L249" s="6">
        <f>IFERROR(IF(INDEX(tProdutos[Desconto homologado],MATCH(tItens[[#This Row],[Produto]],tProdutos[Produto],0))="",DescontoPadrao,INDEX(tProdutos[Desconto homologado],MATCH(tItens[[#This Row],[Produto]],tProdutos[Produto],0))),DescontoPadrao)</f>
        <v>0.35388629091804102</v>
      </c>
      <c r="M249" s="12">
        <f>tItens[[#This Row],[Valor]]*(1-tItens[[#This Row],[Desconto]])</f>
        <v>775.33645089835079</v>
      </c>
      <c r="N249" t="str">
        <f>IFERROR(INDEX(tProdutos[Foco],MATCH(tItens[[#This Row],[Produto]],tProdutos[Produto],0)),"Não")</f>
        <v>Não</v>
      </c>
      <c r="O249" t="str">
        <f>IFERROR(INDEX(tEditais[SRP],MATCH(tItens[[#This Row],[Edital]],tEditais[Edital],0)),"Não")</f>
        <v>Não</v>
      </c>
      <c r="P249" s="4">
        <f>IF(COUNTIFS(INDEX(tItens[Edital],1):tItens[[#This Row],[Edital]],tItens[[#This Row],[Edital]],INDEX(tItens[Produto],1):tItens[[#This Row],[Produto]],tItens[[#This Row],[Produto]])=1,1,0)</f>
        <v>0</v>
      </c>
    </row>
    <row r="250" spans="1:16" x14ac:dyDescent="0.25">
      <c r="A250" t="s">
        <v>791</v>
      </c>
      <c r="B250">
        <v>8064875</v>
      </c>
      <c r="C250" t="s">
        <v>3472</v>
      </c>
      <c r="D250" t="s">
        <v>267</v>
      </c>
      <c r="E250" s="13">
        <v>160</v>
      </c>
      <c r="F250" s="12">
        <v>14.33</v>
      </c>
      <c r="G250" t="str">
        <f>IFERROR(INDEX(tEditais[Órgão],MATCH(tItens[[#This Row],[Edital]],tEditais[Edital],0)),"")</f>
        <v>MUNICIPIO DE HUMAITA</v>
      </c>
      <c r="H250" t="str">
        <f>IFERROR(INDEX(tEditais[UF],MATCH(tItens[[#This Row],[Edital]],tEditais[Edital],0)),"")</f>
        <v>AM</v>
      </c>
      <c r="I250" s="11">
        <f>IFERROR(INDEX(tEditais[Encerramento],MATCH(tItens[[#This Row],[Edital]],tEditais[Edital],0)),"")</f>
        <v>46311.416666666664</v>
      </c>
      <c r="J250" t="str">
        <f>IFERROR(INDEX(tProdutos[Classe],MATCH(tItens[[#This Row],[Produto]],tProdutos[Produto],0)),"produto não cadastrado")</f>
        <v>FORA</v>
      </c>
      <c r="K250" s="12">
        <f>tItens[[#This Row],[Qtd]]*tItens[[#This Row],[Vlr unit]]</f>
        <v>2292.8000000000002</v>
      </c>
      <c r="L250" s="6">
        <f>IFERROR(IF(INDEX(tProdutos[Desconto homologado],MATCH(tItens[[#This Row],[Produto]],tProdutos[Produto],0))="",DescontoPadrao,INDEX(tProdutos[Desconto homologado],MATCH(tItens[[#This Row],[Produto]],tProdutos[Produto],0))),DescontoPadrao)</f>
        <v>0.19963672657401599</v>
      </c>
      <c r="M250" s="12">
        <f>tItens[[#This Row],[Valor]]*(1-tItens[[#This Row],[Desconto]])</f>
        <v>1835.0729133110963</v>
      </c>
      <c r="N250" t="str">
        <f>IFERROR(INDEX(tProdutos[Foco],MATCH(tItens[[#This Row],[Produto]],tProdutos[Produto],0)),"Não")</f>
        <v>Não</v>
      </c>
      <c r="O250" t="str">
        <f>IFERROR(INDEX(tEditais[SRP],MATCH(tItens[[#This Row],[Edital]],tEditais[Edital],0)),"Não")</f>
        <v>Não</v>
      </c>
      <c r="P250" s="4">
        <f>IF(COUNTIFS(INDEX(tItens[Edital],1):tItens[[#This Row],[Edital]],tItens[[#This Row],[Edital]],INDEX(tItens[Produto],1):tItens[[#This Row],[Produto]],tItens[[#This Row],[Produto]])=1,1,0)</f>
        <v>1</v>
      </c>
    </row>
    <row r="251" spans="1:16" x14ac:dyDescent="0.25">
      <c r="A251" t="s">
        <v>791</v>
      </c>
      <c r="B251">
        <v>8065485</v>
      </c>
      <c r="C251" t="s">
        <v>3473</v>
      </c>
      <c r="D251" t="s">
        <v>114</v>
      </c>
      <c r="E251" s="13">
        <v>1000</v>
      </c>
      <c r="F251" s="12">
        <v>23.33</v>
      </c>
      <c r="G251" t="str">
        <f>IFERROR(INDEX(tEditais[Órgão],MATCH(tItens[[#This Row],[Edital]],tEditais[Edital],0)),"")</f>
        <v>MUNICIPIO DE HUMAITA</v>
      </c>
      <c r="H251" t="str">
        <f>IFERROR(INDEX(tEditais[UF],MATCH(tItens[[#This Row],[Edital]],tEditais[Edital],0)),"")</f>
        <v>AM</v>
      </c>
      <c r="I251" s="11">
        <f>IFERROR(INDEX(tEditais[Encerramento],MATCH(tItens[[#This Row],[Edital]],tEditais[Edital],0)),"")</f>
        <v>46311.416666666664</v>
      </c>
      <c r="J251" t="str">
        <f>IFERROR(INDEX(tProdutos[Classe],MATCH(tItens[[#This Row],[Produto]],tProdutos[Produto],0)),"produto não cadastrado")</f>
        <v>DISPUTADO</v>
      </c>
      <c r="K251" s="12">
        <f>tItens[[#This Row],[Qtd]]*tItens[[#This Row],[Vlr unit]]</f>
        <v>23330</v>
      </c>
      <c r="L251" s="6">
        <f>IFERROR(IF(INDEX(tProdutos[Desconto homologado],MATCH(tItens[[#This Row],[Produto]],tProdutos[Produto],0))="",DescontoPadrao,INDEX(tProdutos[Desconto homologado],MATCH(tItens[[#This Row],[Produto]],tProdutos[Produto],0))),DescontoPadrao)</f>
        <v>0.24332656063896899</v>
      </c>
      <c r="M251" s="12">
        <f>tItens[[#This Row],[Valor]]*(1-tItens[[#This Row],[Desconto]])</f>
        <v>17653.191340292855</v>
      </c>
      <c r="N251" t="str">
        <f>IFERROR(INDEX(tProdutos[Foco],MATCH(tItens[[#This Row],[Produto]],tProdutos[Produto],0)),"Não")</f>
        <v>Não</v>
      </c>
      <c r="O251" t="str">
        <f>IFERROR(INDEX(tEditais[SRP],MATCH(tItens[[#This Row],[Edital]],tEditais[Edital],0)),"Não")</f>
        <v>Não</v>
      </c>
      <c r="P251" s="4">
        <f>IF(COUNTIFS(INDEX(tItens[Edital],1):tItens[[#This Row],[Edital]],tItens[[#This Row],[Edital]],INDEX(tItens[Produto],1):tItens[[#This Row],[Produto]],tItens[[#This Row],[Produto]])=1,1,0)</f>
        <v>1</v>
      </c>
    </row>
    <row r="252" spans="1:16" x14ac:dyDescent="0.25">
      <c r="A252" t="s">
        <v>796</v>
      </c>
      <c r="B252">
        <v>97</v>
      </c>
      <c r="C252" t="s">
        <v>3474</v>
      </c>
      <c r="D252" t="s">
        <v>313</v>
      </c>
      <c r="E252" s="13">
        <v>4</v>
      </c>
      <c r="F252" s="12">
        <v>31.99</v>
      </c>
      <c r="G252" t="str">
        <f>IFERROR(INDEX(tEditais[Órgão],MATCH(tItens[[#This Row],[Edital]],tEditais[Edital],0)),"")</f>
        <v>INSTITUTO BRASILEIRO DO MEIO AMBIENTE E DOS RECURSOS NATURAIS RENOVAVEIS-IBAMA</v>
      </c>
      <c r="H252" t="str">
        <f>IFERROR(INDEX(tEditais[UF],MATCH(tItens[[#This Row],[Edital]],tEditais[Edital],0)),"")</f>
        <v>AP</v>
      </c>
      <c r="I252" s="11">
        <f>IFERROR(INDEX(tEditais[Encerramento],MATCH(tItens[[#This Row],[Edital]],tEditais[Edital],0)),"")</f>
        <v>46310.375</v>
      </c>
      <c r="J252" t="str">
        <f>IFERROR(INDEX(tProdutos[Classe],MATCH(tItens[[#This Row],[Produto]],tProdutos[Produto],0)),"produto não cadastrado")</f>
        <v>FORA</v>
      </c>
      <c r="K252" s="12">
        <f>tItens[[#This Row],[Qtd]]*tItens[[#This Row],[Vlr unit]]</f>
        <v>127.96</v>
      </c>
      <c r="L252" s="6">
        <f>IFERROR(IF(INDEX(tProdutos[Desconto homologado],MATCH(tItens[[#This Row],[Produto]],tProdutos[Produto],0))="",DescontoPadrao,INDEX(tProdutos[Desconto homologado],MATCH(tItens[[#This Row],[Produto]],tProdutos[Produto],0))),DescontoPadrao)</f>
        <v>0.35766373163696302</v>
      </c>
      <c r="M252" s="12">
        <f>tItens[[#This Row],[Valor]]*(1-tItens[[#This Row],[Desconto]])</f>
        <v>82.193348899734204</v>
      </c>
      <c r="N252" t="str">
        <f>IFERROR(INDEX(tProdutos[Foco],MATCH(tItens[[#This Row],[Produto]],tProdutos[Produto],0)),"Não")</f>
        <v>Não</v>
      </c>
      <c r="O252" t="str">
        <f>IFERROR(INDEX(tEditais[SRP],MATCH(tItens[[#This Row],[Edital]],tEditais[Edital],0)),"Não")</f>
        <v>Não</v>
      </c>
      <c r="P252" s="4">
        <f>IF(COUNTIFS(INDEX(tItens[Edital],1):tItens[[#This Row],[Edital]],tItens[[#This Row],[Edital]],INDEX(tItens[Produto],1):tItens[[#This Row],[Produto]],tItens[[#This Row],[Produto]])=1,1,0)</f>
        <v>1</v>
      </c>
    </row>
    <row r="253" spans="1:16" x14ac:dyDescent="0.25">
      <c r="A253" t="s">
        <v>796</v>
      </c>
      <c r="B253">
        <v>98</v>
      </c>
      <c r="C253" t="s">
        <v>3475</v>
      </c>
      <c r="D253" t="s">
        <v>313</v>
      </c>
      <c r="E253" s="13">
        <v>15</v>
      </c>
      <c r="F253" s="12">
        <v>31.95</v>
      </c>
      <c r="G253" t="str">
        <f>IFERROR(INDEX(tEditais[Órgão],MATCH(tItens[[#This Row],[Edital]],tEditais[Edital],0)),"")</f>
        <v>INSTITUTO BRASILEIRO DO MEIO AMBIENTE E DOS RECURSOS NATURAIS RENOVAVEIS-IBAMA</v>
      </c>
      <c r="H253" t="str">
        <f>IFERROR(INDEX(tEditais[UF],MATCH(tItens[[#This Row],[Edital]],tEditais[Edital],0)),"")</f>
        <v>AP</v>
      </c>
      <c r="I253" s="11">
        <f>IFERROR(INDEX(tEditais[Encerramento],MATCH(tItens[[#This Row],[Edital]],tEditais[Edital],0)),"")</f>
        <v>46310.375</v>
      </c>
      <c r="J253" t="str">
        <f>IFERROR(INDEX(tProdutos[Classe],MATCH(tItens[[#This Row],[Produto]],tProdutos[Produto],0)),"produto não cadastrado")</f>
        <v>FORA</v>
      </c>
      <c r="K253" s="12">
        <f>tItens[[#This Row],[Qtd]]*tItens[[#This Row],[Vlr unit]]</f>
        <v>479.25</v>
      </c>
      <c r="L253" s="6">
        <f>IFERROR(IF(INDEX(tProdutos[Desconto homologado],MATCH(tItens[[#This Row],[Produto]],tProdutos[Produto],0))="",DescontoPadrao,INDEX(tProdutos[Desconto homologado],MATCH(tItens[[#This Row],[Produto]],tProdutos[Produto],0))),DescontoPadrao)</f>
        <v>0.35766373163696302</v>
      </c>
      <c r="M253" s="12">
        <f>tItens[[#This Row],[Valor]]*(1-tItens[[#This Row],[Desconto]])</f>
        <v>307.83965661298544</v>
      </c>
      <c r="N253" t="str">
        <f>IFERROR(INDEX(tProdutos[Foco],MATCH(tItens[[#This Row],[Produto]],tProdutos[Produto],0)),"Não")</f>
        <v>Não</v>
      </c>
      <c r="O253" t="str">
        <f>IFERROR(INDEX(tEditais[SRP],MATCH(tItens[[#This Row],[Edital]],tEditais[Edital],0)),"Não")</f>
        <v>Não</v>
      </c>
      <c r="P253" s="4">
        <f>IF(COUNTIFS(INDEX(tItens[Edital],1):tItens[[#This Row],[Edital]],tItens[[#This Row],[Edital]],INDEX(tItens[Produto],1):tItens[[#This Row],[Produto]],tItens[[#This Row],[Produto]])=1,1,0)</f>
        <v>0</v>
      </c>
    </row>
    <row r="254" spans="1:16" x14ac:dyDescent="0.25">
      <c r="A254" t="s">
        <v>796</v>
      </c>
      <c r="B254">
        <v>99</v>
      </c>
      <c r="C254" t="s">
        <v>3332</v>
      </c>
      <c r="D254" t="s">
        <v>313</v>
      </c>
      <c r="E254" s="13">
        <v>5</v>
      </c>
      <c r="F254" s="12">
        <v>33</v>
      </c>
      <c r="G254" t="str">
        <f>IFERROR(INDEX(tEditais[Órgão],MATCH(tItens[[#This Row],[Edital]],tEditais[Edital],0)),"")</f>
        <v>INSTITUTO BRASILEIRO DO MEIO AMBIENTE E DOS RECURSOS NATURAIS RENOVAVEIS-IBAMA</v>
      </c>
      <c r="H254" t="str">
        <f>IFERROR(INDEX(tEditais[UF],MATCH(tItens[[#This Row],[Edital]],tEditais[Edital],0)),"")</f>
        <v>AP</v>
      </c>
      <c r="I254" s="11">
        <f>IFERROR(INDEX(tEditais[Encerramento],MATCH(tItens[[#This Row],[Edital]],tEditais[Edital],0)),"")</f>
        <v>46310.375</v>
      </c>
      <c r="J254" t="str">
        <f>IFERROR(INDEX(tProdutos[Classe],MATCH(tItens[[#This Row],[Produto]],tProdutos[Produto],0)),"produto não cadastrado")</f>
        <v>FORA</v>
      </c>
      <c r="K254" s="12">
        <f>tItens[[#This Row],[Qtd]]*tItens[[#This Row],[Vlr unit]]</f>
        <v>165</v>
      </c>
      <c r="L254" s="6">
        <f>IFERROR(IF(INDEX(tProdutos[Desconto homologado],MATCH(tItens[[#This Row],[Produto]],tProdutos[Produto],0))="",DescontoPadrao,INDEX(tProdutos[Desconto homologado],MATCH(tItens[[#This Row],[Produto]],tProdutos[Produto],0))),DescontoPadrao)</f>
        <v>0.35766373163696302</v>
      </c>
      <c r="M254" s="12">
        <f>tItens[[#This Row],[Valor]]*(1-tItens[[#This Row],[Desconto]])</f>
        <v>105.98548427990109</v>
      </c>
      <c r="N254" t="str">
        <f>IFERROR(INDEX(tProdutos[Foco],MATCH(tItens[[#This Row],[Produto]],tProdutos[Produto],0)),"Não")</f>
        <v>Não</v>
      </c>
      <c r="O254" t="str">
        <f>IFERROR(INDEX(tEditais[SRP],MATCH(tItens[[#This Row],[Edital]],tEditais[Edital],0)),"Não")</f>
        <v>Não</v>
      </c>
      <c r="P254" s="4">
        <f>IF(COUNTIFS(INDEX(tItens[Edital],1):tItens[[#This Row],[Edital]],tItens[[#This Row],[Edital]],INDEX(tItens[Produto],1):tItens[[#This Row],[Produto]],tItens[[#This Row],[Produto]])=1,1,0)</f>
        <v>0</v>
      </c>
    </row>
    <row r="255" spans="1:16" x14ac:dyDescent="0.25">
      <c r="A255" t="s">
        <v>796</v>
      </c>
      <c r="B255">
        <v>100</v>
      </c>
      <c r="C255" t="s">
        <v>3476</v>
      </c>
      <c r="D255" t="s">
        <v>413</v>
      </c>
      <c r="E255" s="13">
        <v>100</v>
      </c>
      <c r="F255" s="12">
        <v>3.02</v>
      </c>
      <c r="G255" t="str">
        <f>IFERROR(INDEX(tEditais[Órgão],MATCH(tItens[[#This Row],[Edital]],tEditais[Edital],0)),"")</f>
        <v>INSTITUTO BRASILEIRO DO MEIO AMBIENTE E DOS RECURSOS NATURAIS RENOVAVEIS-IBAMA</v>
      </c>
      <c r="H255" t="str">
        <f>IFERROR(INDEX(tEditais[UF],MATCH(tItens[[#This Row],[Edital]],tEditais[Edital],0)),"")</f>
        <v>AP</v>
      </c>
      <c r="I255" s="11">
        <f>IFERROR(INDEX(tEditais[Encerramento],MATCH(tItens[[#This Row],[Edital]],tEditais[Edital],0)),"")</f>
        <v>46310.375</v>
      </c>
      <c r="J255" t="str">
        <f>IFERROR(INDEX(tProdutos[Classe],MATCH(tItens[[#This Row],[Produto]],tProdutos[Produto],0)),"produto não cadastrado")</f>
        <v>FORA</v>
      </c>
      <c r="K255" s="12">
        <f>tItens[[#This Row],[Qtd]]*tItens[[#This Row],[Vlr unit]]</f>
        <v>302</v>
      </c>
      <c r="L255" s="6">
        <f>IFERROR(IF(INDEX(tProdutos[Desconto homologado],MATCH(tItens[[#This Row],[Produto]],tProdutos[Produto],0))="",DescontoPadrao,INDEX(tProdutos[Desconto homologado],MATCH(tItens[[#This Row],[Produto]],tProdutos[Produto],0))),DescontoPadrao)</f>
        <v>0.477732793522267</v>
      </c>
      <c r="M255" s="12">
        <f>tItens[[#This Row],[Valor]]*(1-tItens[[#This Row],[Desconto]])</f>
        <v>157.72469635627536</v>
      </c>
      <c r="N255" t="str">
        <f>IFERROR(INDEX(tProdutos[Foco],MATCH(tItens[[#This Row],[Produto]],tProdutos[Produto],0)),"Não")</f>
        <v>Não</v>
      </c>
      <c r="O255" t="str">
        <f>IFERROR(INDEX(tEditais[SRP],MATCH(tItens[[#This Row],[Edital]],tEditais[Edital],0)),"Não")</f>
        <v>Não</v>
      </c>
      <c r="P255" s="4">
        <f>IF(COUNTIFS(INDEX(tItens[Edital],1):tItens[[#This Row],[Edital]],tItens[[#This Row],[Edital]],INDEX(tItens[Produto],1):tItens[[#This Row],[Produto]],tItens[[#This Row],[Produto]])=1,1,0)</f>
        <v>1</v>
      </c>
    </row>
    <row r="256" spans="1:16" x14ac:dyDescent="0.25">
      <c r="A256" t="s">
        <v>796</v>
      </c>
      <c r="B256">
        <v>101</v>
      </c>
      <c r="C256" t="s">
        <v>3477</v>
      </c>
      <c r="D256" t="s">
        <v>413</v>
      </c>
      <c r="E256" s="13">
        <v>250</v>
      </c>
      <c r="F256" s="12">
        <v>2.9</v>
      </c>
      <c r="G256" t="str">
        <f>IFERROR(INDEX(tEditais[Órgão],MATCH(tItens[[#This Row],[Edital]],tEditais[Edital],0)),"")</f>
        <v>INSTITUTO BRASILEIRO DO MEIO AMBIENTE E DOS RECURSOS NATURAIS RENOVAVEIS-IBAMA</v>
      </c>
      <c r="H256" t="str">
        <f>IFERROR(INDEX(tEditais[UF],MATCH(tItens[[#This Row],[Edital]],tEditais[Edital],0)),"")</f>
        <v>AP</v>
      </c>
      <c r="I256" s="11">
        <f>IFERROR(INDEX(tEditais[Encerramento],MATCH(tItens[[#This Row],[Edital]],tEditais[Edital],0)),"")</f>
        <v>46310.375</v>
      </c>
      <c r="J256" t="str">
        <f>IFERROR(INDEX(tProdutos[Classe],MATCH(tItens[[#This Row],[Produto]],tProdutos[Produto],0)),"produto não cadastrado")</f>
        <v>FORA</v>
      </c>
      <c r="K256" s="12">
        <f>tItens[[#This Row],[Qtd]]*tItens[[#This Row],[Vlr unit]]</f>
        <v>725</v>
      </c>
      <c r="L256" s="6">
        <f>IFERROR(IF(INDEX(tProdutos[Desconto homologado],MATCH(tItens[[#This Row],[Produto]],tProdutos[Produto],0))="",DescontoPadrao,INDEX(tProdutos[Desconto homologado],MATCH(tItens[[#This Row],[Produto]],tProdutos[Produto],0))),DescontoPadrao)</f>
        <v>0.477732793522267</v>
      </c>
      <c r="M256" s="12">
        <f>tItens[[#This Row],[Valor]]*(1-tItens[[#This Row],[Desconto]])</f>
        <v>378.6437246963564</v>
      </c>
      <c r="N256" t="str">
        <f>IFERROR(INDEX(tProdutos[Foco],MATCH(tItens[[#This Row],[Produto]],tProdutos[Produto],0)),"Não")</f>
        <v>Não</v>
      </c>
      <c r="O256" t="str">
        <f>IFERROR(INDEX(tEditais[SRP],MATCH(tItens[[#This Row],[Edital]],tEditais[Edital],0)),"Não")</f>
        <v>Não</v>
      </c>
      <c r="P256" s="4">
        <f>IF(COUNTIFS(INDEX(tItens[Edital],1):tItens[[#This Row],[Edital]],tItens[[#This Row],[Edital]],INDEX(tItens[Produto],1):tItens[[#This Row],[Produto]],tItens[[#This Row],[Produto]])=1,1,0)</f>
        <v>0</v>
      </c>
    </row>
    <row r="257" spans="1:16" x14ac:dyDescent="0.25">
      <c r="A257" t="s">
        <v>796</v>
      </c>
      <c r="B257">
        <v>129</v>
      </c>
      <c r="C257" t="s">
        <v>3478</v>
      </c>
      <c r="D257" t="s">
        <v>315</v>
      </c>
      <c r="E257" s="13">
        <v>3</v>
      </c>
      <c r="F257" s="12">
        <v>39.39</v>
      </c>
      <c r="G257" t="str">
        <f>IFERROR(INDEX(tEditais[Órgão],MATCH(tItens[[#This Row],[Edital]],tEditais[Edital],0)),"")</f>
        <v>INSTITUTO BRASILEIRO DO MEIO AMBIENTE E DOS RECURSOS NATURAIS RENOVAVEIS-IBAMA</v>
      </c>
      <c r="H257" t="str">
        <f>IFERROR(INDEX(tEditais[UF],MATCH(tItens[[#This Row],[Edital]],tEditais[Edital],0)),"")</f>
        <v>AP</v>
      </c>
      <c r="I257" s="11">
        <f>IFERROR(INDEX(tEditais[Encerramento],MATCH(tItens[[#This Row],[Edital]],tEditais[Edital],0)),"")</f>
        <v>46310.375</v>
      </c>
      <c r="J257" t="str">
        <f>IFERROR(INDEX(tProdutos[Classe],MATCH(tItens[[#This Row],[Produto]],tProdutos[Produto],0)),"produto não cadastrado")</f>
        <v>FORA</v>
      </c>
      <c r="K257" s="12">
        <f>tItens[[#This Row],[Qtd]]*tItens[[#This Row],[Vlr unit]]</f>
        <v>118.17</v>
      </c>
      <c r="L257" s="6">
        <f>IFERROR(IF(INDEX(tProdutos[Desconto homologado],MATCH(tItens[[#This Row],[Produto]],tProdutos[Produto],0))="",DescontoPadrao,INDEX(tProdutos[Desconto homologado],MATCH(tItens[[#This Row],[Produto]],tProdutos[Produto],0))),DescontoPadrao)</f>
        <v>0.38432036097010702</v>
      </c>
      <c r="M257" s="12">
        <f>tItens[[#This Row],[Valor]]*(1-tItens[[#This Row],[Desconto]])</f>
        <v>72.754862944162454</v>
      </c>
      <c r="N257" t="str">
        <f>IFERROR(INDEX(tProdutos[Foco],MATCH(tItens[[#This Row],[Produto]],tProdutos[Produto],0)),"Não")</f>
        <v>Não</v>
      </c>
      <c r="O257" t="str">
        <f>IFERROR(INDEX(tEditais[SRP],MATCH(tItens[[#This Row],[Edital]],tEditais[Edital],0)),"Não")</f>
        <v>Não</v>
      </c>
      <c r="P257" s="4">
        <f>IF(COUNTIFS(INDEX(tItens[Edital],1):tItens[[#This Row],[Edital]],tItens[[#This Row],[Edital]],INDEX(tItens[Produto],1):tItens[[#This Row],[Produto]],tItens[[#This Row],[Produto]])=1,1,0)</f>
        <v>1</v>
      </c>
    </row>
    <row r="258" spans="1:16" x14ac:dyDescent="0.25">
      <c r="A258" t="s">
        <v>796</v>
      </c>
      <c r="B258">
        <v>130</v>
      </c>
      <c r="C258" t="s">
        <v>3479</v>
      </c>
      <c r="D258" t="s">
        <v>315</v>
      </c>
      <c r="E258" s="13">
        <v>3</v>
      </c>
      <c r="F258" s="12">
        <v>39.479999999999997</v>
      </c>
      <c r="G258" t="str">
        <f>IFERROR(INDEX(tEditais[Órgão],MATCH(tItens[[#This Row],[Edital]],tEditais[Edital],0)),"")</f>
        <v>INSTITUTO BRASILEIRO DO MEIO AMBIENTE E DOS RECURSOS NATURAIS RENOVAVEIS-IBAMA</v>
      </c>
      <c r="H258" t="str">
        <f>IFERROR(INDEX(tEditais[UF],MATCH(tItens[[#This Row],[Edital]],tEditais[Edital],0)),"")</f>
        <v>AP</v>
      </c>
      <c r="I258" s="11">
        <f>IFERROR(INDEX(tEditais[Encerramento],MATCH(tItens[[#This Row],[Edital]],tEditais[Edital],0)),"")</f>
        <v>46310.375</v>
      </c>
      <c r="J258" t="str">
        <f>IFERROR(INDEX(tProdutos[Classe],MATCH(tItens[[#This Row],[Produto]],tProdutos[Produto],0)),"produto não cadastrado")</f>
        <v>FORA</v>
      </c>
      <c r="K258" s="12">
        <f>tItens[[#This Row],[Qtd]]*tItens[[#This Row],[Vlr unit]]</f>
        <v>118.44</v>
      </c>
      <c r="L258" s="6">
        <f>IFERROR(IF(INDEX(tProdutos[Desconto homologado],MATCH(tItens[[#This Row],[Produto]],tProdutos[Produto],0))="",DescontoPadrao,INDEX(tProdutos[Desconto homologado],MATCH(tItens[[#This Row],[Produto]],tProdutos[Produto],0))),DescontoPadrao)</f>
        <v>0.38432036097010702</v>
      </c>
      <c r="M258" s="12">
        <f>tItens[[#This Row],[Valor]]*(1-tItens[[#This Row],[Desconto]])</f>
        <v>72.921096446700517</v>
      </c>
      <c r="N258" t="str">
        <f>IFERROR(INDEX(tProdutos[Foco],MATCH(tItens[[#This Row],[Produto]],tProdutos[Produto],0)),"Não")</f>
        <v>Não</v>
      </c>
      <c r="O258" t="str">
        <f>IFERROR(INDEX(tEditais[SRP],MATCH(tItens[[#This Row],[Edital]],tEditais[Edital],0)),"Não")</f>
        <v>Não</v>
      </c>
      <c r="P258" s="4">
        <f>IF(COUNTIFS(INDEX(tItens[Edital],1):tItens[[#This Row],[Edital]],tItens[[#This Row],[Edital]],INDEX(tItens[Produto],1):tItens[[#This Row],[Produto]],tItens[[#This Row],[Produto]])=1,1,0)</f>
        <v>0</v>
      </c>
    </row>
    <row r="259" spans="1:16" x14ac:dyDescent="0.25">
      <c r="A259" t="s">
        <v>796</v>
      </c>
      <c r="B259">
        <v>131</v>
      </c>
      <c r="C259" t="s">
        <v>3480</v>
      </c>
      <c r="D259" t="s">
        <v>315</v>
      </c>
      <c r="E259" s="13">
        <v>3</v>
      </c>
      <c r="F259" s="12">
        <v>43.7</v>
      </c>
      <c r="G259" t="str">
        <f>IFERROR(INDEX(tEditais[Órgão],MATCH(tItens[[#This Row],[Edital]],tEditais[Edital],0)),"")</f>
        <v>INSTITUTO BRASILEIRO DO MEIO AMBIENTE E DOS RECURSOS NATURAIS RENOVAVEIS-IBAMA</v>
      </c>
      <c r="H259" t="str">
        <f>IFERROR(INDEX(tEditais[UF],MATCH(tItens[[#This Row],[Edital]],tEditais[Edital],0)),"")</f>
        <v>AP</v>
      </c>
      <c r="I259" s="11">
        <f>IFERROR(INDEX(tEditais[Encerramento],MATCH(tItens[[#This Row],[Edital]],tEditais[Edital],0)),"")</f>
        <v>46310.375</v>
      </c>
      <c r="J259" t="str">
        <f>IFERROR(INDEX(tProdutos[Classe],MATCH(tItens[[#This Row],[Produto]],tProdutos[Produto],0)),"produto não cadastrado")</f>
        <v>FORA</v>
      </c>
      <c r="K259" s="12">
        <f>tItens[[#This Row],[Qtd]]*tItens[[#This Row],[Vlr unit]]</f>
        <v>131.10000000000002</v>
      </c>
      <c r="L259" s="6">
        <f>IFERROR(IF(INDEX(tProdutos[Desconto homologado],MATCH(tItens[[#This Row],[Produto]],tProdutos[Produto],0))="",DescontoPadrao,INDEX(tProdutos[Desconto homologado],MATCH(tItens[[#This Row],[Produto]],tProdutos[Produto],0))),DescontoPadrao)</f>
        <v>0.38432036097010702</v>
      </c>
      <c r="M259" s="12">
        <f>tItens[[#This Row],[Valor]]*(1-tItens[[#This Row],[Desconto]])</f>
        <v>80.71560067681898</v>
      </c>
      <c r="N259" t="str">
        <f>IFERROR(INDEX(tProdutos[Foco],MATCH(tItens[[#This Row],[Produto]],tProdutos[Produto],0)),"Não")</f>
        <v>Não</v>
      </c>
      <c r="O259" t="str">
        <f>IFERROR(INDEX(tEditais[SRP],MATCH(tItens[[#This Row],[Edital]],tEditais[Edital],0)),"Não")</f>
        <v>Não</v>
      </c>
      <c r="P259" s="4">
        <f>IF(COUNTIFS(INDEX(tItens[Edital],1):tItens[[#This Row],[Edital]],tItens[[#This Row],[Edital]],INDEX(tItens[Produto],1):tItens[[#This Row],[Produto]],tItens[[#This Row],[Produto]])=1,1,0)</f>
        <v>0</v>
      </c>
    </row>
    <row r="260" spans="1:16" x14ac:dyDescent="0.25">
      <c r="A260" t="s">
        <v>796</v>
      </c>
      <c r="B260">
        <v>132</v>
      </c>
      <c r="C260" t="s">
        <v>3481</v>
      </c>
      <c r="D260" t="s">
        <v>297</v>
      </c>
      <c r="E260" s="13">
        <v>3</v>
      </c>
      <c r="F260" s="12">
        <v>39.340000000000003</v>
      </c>
      <c r="G260" t="str">
        <f>IFERROR(INDEX(tEditais[Órgão],MATCH(tItens[[#This Row],[Edital]],tEditais[Edital],0)),"")</f>
        <v>INSTITUTO BRASILEIRO DO MEIO AMBIENTE E DOS RECURSOS NATURAIS RENOVAVEIS-IBAMA</v>
      </c>
      <c r="H260" t="str">
        <f>IFERROR(INDEX(tEditais[UF],MATCH(tItens[[#This Row],[Edital]],tEditais[Edital],0)),"")</f>
        <v>AP</v>
      </c>
      <c r="I260" s="11">
        <f>IFERROR(INDEX(tEditais[Encerramento],MATCH(tItens[[#This Row],[Edital]],tEditais[Edital],0)),"")</f>
        <v>46310.375</v>
      </c>
      <c r="J260" t="str">
        <f>IFERROR(INDEX(tProdutos[Classe],MATCH(tItens[[#This Row],[Produto]],tProdutos[Produto],0)),"produto não cadastrado")</f>
        <v>FORA</v>
      </c>
      <c r="K260" s="12">
        <f>tItens[[#This Row],[Qtd]]*tItens[[#This Row],[Vlr unit]]</f>
        <v>118.02000000000001</v>
      </c>
      <c r="L260" s="6">
        <f>IFERROR(IF(INDEX(tProdutos[Desconto homologado],MATCH(tItens[[#This Row],[Produto]],tProdutos[Produto],0))="",DescontoPadrao,INDEX(tProdutos[Desconto homologado],MATCH(tItens[[#This Row],[Produto]],tProdutos[Produto],0))),DescontoPadrao)</f>
        <v>0.249544626593807</v>
      </c>
      <c r="M260" s="12">
        <f>tItens[[#This Row],[Valor]]*(1-tItens[[#This Row],[Desconto]])</f>
        <v>88.5687431693989</v>
      </c>
      <c r="N260" t="str">
        <f>IFERROR(INDEX(tProdutos[Foco],MATCH(tItens[[#This Row],[Produto]],tProdutos[Produto],0)),"Não")</f>
        <v>Não</v>
      </c>
      <c r="O260" t="str">
        <f>IFERROR(INDEX(tEditais[SRP],MATCH(tItens[[#This Row],[Edital]],tEditais[Edital],0)),"Não")</f>
        <v>Não</v>
      </c>
      <c r="P260" s="4">
        <f>IF(COUNTIFS(INDEX(tItens[Edital],1):tItens[[#This Row],[Edital]],tItens[[#This Row],[Edital]],INDEX(tItens[Produto],1):tItens[[#This Row],[Produto]],tItens[[#This Row],[Produto]])=1,1,0)</f>
        <v>1</v>
      </c>
    </row>
    <row r="261" spans="1:16" x14ac:dyDescent="0.25">
      <c r="A261" t="s">
        <v>796</v>
      </c>
      <c r="B261">
        <v>133</v>
      </c>
      <c r="C261" t="s">
        <v>3482</v>
      </c>
      <c r="D261" t="s">
        <v>315</v>
      </c>
      <c r="E261" s="13">
        <v>2</v>
      </c>
      <c r="F261" s="12">
        <v>44.15</v>
      </c>
      <c r="G261" t="str">
        <f>IFERROR(INDEX(tEditais[Órgão],MATCH(tItens[[#This Row],[Edital]],tEditais[Edital],0)),"")</f>
        <v>INSTITUTO BRASILEIRO DO MEIO AMBIENTE E DOS RECURSOS NATURAIS RENOVAVEIS-IBAMA</v>
      </c>
      <c r="H261" t="str">
        <f>IFERROR(INDEX(tEditais[UF],MATCH(tItens[[#This Row],[Edital]],tEditais[Edital],0)),"")</f>
        <v>AP</v>
      </c>
      <c r="I261" s="11">
        <f>IFERROR(INDEX(tEditais[Encerramento],MATCH(tItens[[#This Row],[Edital]],tEditais[Edital],0)),"")</f>
        <v>46310.375</v>
      </c>
      <c r="J261" t="str">
        <f>IFERROR(INDEX(tProdutos[Classe],MATCH(tItens[[#This Row],[Produto]],tProdutos[Produto],0)),"produto não cadastrado")</f>
        <v>FORA</v>
      </c>
      <c r="K261" s="12">
        <f>tItens[[#This Row],[Qtd]]*tItens[[#This Row],[Vlr unit]]</f>
        <v>88.3</v>
      </c>
      <c r="L261" s="6">
        <f>IFERROR(IF(INDEX(tProdutos[Desconto homologado],MATCH(tItens[[#This Row],[Produto]],tProdutos[Produto],0))="",DescontoPadrao,INDEX(tProdutos[Desconto homologado],MATCH(tItens[[#This Row],[Produto]],tProdutos[Produto],0))),DescontoPadrao)</f>
        <v>0.38432036097010702</v>
      </c>
      <c r="M261" s="12">
        <f>tItens[[#This Row],[Valor]]*(1-tItens[[#This Row],[Desconto]])</f>
        <v>54.364512126339548</v>
      </c>
      <c r="N261" t="str">
        <f>IFERROR(INDEX(tProdutos[Foco],MATCH(tItens[[#This Row],[Produto]],tProdutos[Produto],0)),"Não")</f>
        <v>Não</v>
      </c>
      <c r="O261" t="str">
        <f>IFERROR(INDEX(tEditais[SRP],MATCH(tItens[[#This Row],[Edital]],tEditais[Edital],0)),"Não")</f>
        <v>Não</v>
      </c>
      <c r="P261" s="4">
        <f>IF(COUNTIFS(INDEX(tItens[Edital],1):tItens[[#This Row],[Edital]],tItens[[#This Row],[Edital]],INDEX(tItens[Produto],1):tItens[[#This Row],[Produto]],tItens[[#This Row],[Produto]])=1,1,0)</f>
        <v>0</v>
      </c>
    </row>
    <row r="262" spans="1:16" x14ac:dyDescent="0.25">
      <c r="A262" t="s">
        <v>796</v>
      </c>
      <c r="B262">
        <v>134</v>
      </c>
      <c r="C262" t="s">
        <v>3483</v>
      </c>
      <c r="D262" t="s">
        <v>315</v>
      </c>
      <c r="E262" s="13">
        <v>2</v>
      </c>
      <c r="F262" s="12">
        <v>26</v>
      </c>
      <c r="G262" t="str">
        <f>IFERROR(INDEX(tEditais[Órgão],MATCH(tItens[[#This Row],[Edital]],tEditais[Edital],0)),"")</f>
        <v>INSTITUTO BRASILEIRO DO MEIO AMBIENTE E DOS RECURSOS NATURAIS RENOVAVEIS-IBAMA</v>
      </c>
      <c r="H262" t="str">
        <f>IFERROR(INDEX(tEditais[UF],MATCH(tItens[[#This Row],[Edital]],tEditais[Edital],0)),"")</f>
        <v>AP</v>
      </c>
      <c r="I262" s="11">
        <f>IFERROR(INDEX(tEditais[Encerramento],MATCH(tItens[[#This Row],[Edital]],tEditais[Edital],0)),"")</f>
        <v>46310.375</v>
      </c>
      <c r="J262" t="str">
        <f>IFERROR(INDEX(tProdutos[Classe],MATCH(tItens[[#This Row],[Produto]],tProdutos[Produto],0)),"produto não cadastrado")</f>
        <v>FORA</v>
      </c>
      <c r="K262" s="12">
        <f>tItens[[#This Row],[Qtd]]*tItens[[#This Row],[Vlr unit]]</f>
        <v>52</v>
      </c>
      <c r="L262" s="6">
        <f>IFERROR(IF(INDEX(tProdutos[Desconto homologado],MATCH(tItens[[#This Row],[Produto]],tProdutos[Produto],0))="",DescontoPadrao,INDEX(tProdutos[Desconto homologado],MATCH(tItens[[#This Row],[Produto]],tProdutos[Produto],0))),DescontoPadrao)</f>
        <v>0.38432036097010702</v>
      </c>
      <c r="M262" s="12">
        <f>tItens[[#This Row],[Valor]]*(1-tItens[[#This Row],[Desconto]])</f>
        <v>32.015341229554437</v>
      </c>
      <c r="N262" t="str">
        <f>IFERROR(INDEX(tProdutos[Foco],MATCH(tItens[[#This Row],[Produto]],tProdutos[Produto],0)),"Não")</f>
        <v>Não</v>
      </c>
      <c r="O262" t="str">
        <f>IFERROR(INDEX(tEditais[SRP],MATCH(tItens[[#This Row],[Edital]],tEditais[Edital],0)),"Não")</f>
        <v>Não</v>
      </c>
      <c r="P262" s="4">
        <f>IF(COUNTIFS(INDEX(tItens[Edital],1):tItens[[#This Row],[Edital]],tItens[[#This Row],[Edital]],INDEX(tItens[Produto],1):tItens[[#This Row],[Produto]],tItens[[#This Row],[Produto]])=1,1,0)</f>
        <v>0</v>
      </c>
    </row>
    <row r="263" spans="1:16" x14ac:dyDescent="0.25">
      <c r="A263" t="s">
        <v>796</v>
      </c>
      <c r="B263">
        <v>135</v>
      </c>
      <c r="C263" t="s">
        <v>3484</v>
      </c>
      <c r="D263" t="s">
        <v>56</v>
      </c>
      <c r="E263" s="13">
        <v>2</v>
      </c>
      <c r="F263" s="12">
        <v>39.9</v>
      </c>
      <c r="G263" t="str">
        <f>IFERROR(INDEX(tEditais[Órgão],MATCH(tItens[[#This Row],[Edital]],tEditais[Edital],0)),"")</f>
        <v>INSTITUTO BRASILEIRO DO MEIO AMBIENTE E DOS RECURSOS NATURAIS RENOVAVEIS-IBAMA</v>
      </c>
      <c r="H263" t="str">
        <f>IFERROR(INDEX(tEditais[UF],MATCH(tItens[[#This Row],[Edital]],tEditais[Edital],0)),"")</f>
        <v>AP</v>
      </c>
      <c r="I263" s="11">
        <f>IFERROR(INDEX(tEditais[Encerramento],MATCH(tItens[[#This Row],[Edital]],tEditais[Edital],0)),"")</f>
        <v>46310.375</v>
      </c>
      <c r="J263" t="str">
        <f>IFERROR(INDEX(tProdutos[Classe],MATCH(tItens[[#This Row],[Produto]],tProdutos[Produto],0)),"produto não cadastrado")</f>
        <v>NÚCLEO</v>
      </c>
      <c r="K263" s="12">
        <f>tItens[[#This Row],[Qtd]]*tItens[[#This Row],[Vlr unit]]</f>
        <v>79.8</v>
      </c>
      <c r="L263" s="6">
        <f>IFERROR(IF(INDEX(tProdutos[Desconto homologado],MATCH(tItens[[#This Row],[Produto]],tProdutos[Produto],0))="",DescontoPadrao,INDEX(tProdutos[Desconto homologado],MATCH(tItens[[#This Row],[Produto]],tProdutos[Produto],0))),DescontoPadrao)</f>
        <v>0.34</v>
      </c>
      <c r="M263" s="12">
        <f>tItens[[#This Row],[Valor]]*(1-tItens[[#This Row],[Desconto]])</f>
        <v>52.667999999999992</v>
      </c>
      <c r="N263" t="str">
        <f>IFERROR(INDEX(tProdutos[Foco],MATCH(tItens[[#This Row],[Produto]],tProdutos[Produto],0)),"Não")</f>
        <v>Sim</v>
      </c>
      <c r="O263" t="str">
        <f>IFERROR(INDEX(tEditais[SRP],MATCH(tItens[[#This Row],[Edital]],tEditais[Edital],0)),"Não")</f>
        <v>Não</v>
      </c>
      <c r="P263" s="4">
        <f>IF(COUNTIFS(INDEX(tItens[Edital],1):tItens[[#This Row],[Edital]],tItens[[#This Row],[Edital]],INDEX(tItens[Produto],1):tItens[[#This Row],[Produto]],tItens[[#This Row],[Produto]])=1,1,0)</f>
        <v>1</v>
      </c>
    </row>
    <row r="264" spans="1:16" x14ac:dyDescent="0.25">
      <c r="A264" t="s">
        <v>796</v>
      </c>
      <c r="B264">
        <v>136</v>
      </c>
      <c r="C264" t="s">
        <v>3485</v>
      </c>
      <c r="D264" t="s">
        <v>56</v>
      </c>
      <c r="E264" s="13">
        <v>2</v>
      </c>
      <c r="F264" s="12">
        <v>40.5</v>
      </c>
      <c r="G264" t="str">
        <f>IFERROR(INDEX(tEditais[Órgão],MATCH(tItens[[#This Row],[Edital]],tEditais[Edital],0)),"")</f>
        <v>INSTITUTO BRASILEIRO DO MEIO AMBIENTE E DOS RECURSOS NATURAIS RENOVAVEIS-IBAMA</v>
      </c>
      <c r="H264" t="str">
        <f>IFERROR(INDEX(tEditais[UF],MATCH(tItens[[#This Row],[Edital]],tEditais[Edital],0)),"")</f>
        <v>AP</v>
      </c>
      <c r="I264" s="11">
        <f>IFERROR(INDEX(tEditais[Encerramento],MATCH(tItens[[#This Row],[Edital]],tEditais[Edital],0)),"")</f>
        <v>46310.375</v>
      </c>
      <c r="J264" t="str">
        <f>IFERROR(INDEX(tProdutos[Classe],MATCH(tItens[[#This Row],[Produto]],tProdutos[Produto],0)),"produto não cadastrado")</f>
        <v>NÚCLEO</v>
      </c>
      <c r="K264" s="12">
        <f>tItens[[#This Row],[Qtd]]*tItens[[#This Row],[Vlr unit]]</f>
        <v>81</v>
      </c>
      <c r="L264" s="6">
        <f>IFERROR(IF(INDEX(tProdutos[Desconto homologado],MATCH(tItens[[#This Row],[Produto]],tProdutos[Produto],0))="",DescontoPadrao,INDEX(tProdutos[Desconto homologado],MATCH(tItens[[#This Row],[Produto]],tProdutos[Produto],0))),DescontoPadrao)</f>
        <v>0.34</v>
      </c>
      <c r="M264" s="12">
        <f>tItens[[#This Row],[Valor]]*(1-tItens[[#This Row],[Desconto]])</f>
        <v>53.459999999999994</v>
      </c>
      <c r="N264" t="str">
        <f>IFERROR(INDEX(tProdutos[Foco],MATCH(tItens[[#This Row],[Produto]],tProdutos[Produto],0)),"Não")</f>
        <v>Sim</v>
      </c>
      <c r="O264" t="str">
        <f>IFERROR(INDEX(tEditais[SRP],MATCH(tItens[[#This Row],[Edital]],tEditais[Edital],0)),"Não")</f>
        <v>Não</v>
      </c>
      <c r="P264" s="4">
        <f>IF(COUNTIFS(INDEX(tItens[Edital],1):tItens[[#This Row],[Edital]],tItens[[#This Row],[Edital]],INDEX(tItens[Produto],1):tItens[[#This Row],[Produto]],tItens[[#This Row],[Produto]])=1,1,0)</f>
        <v>0</v>
      </c>
    </row>
    <row r="265" spans="1:16" x14ac:dyDescent="0.25">
      <c r="A265" t="s">
        <v>796</v>
      </c>
      <c r="B265">
        <v>137</v>
      </c>
      <c r="C265" t="s">
        <v>3486</v>
      </c>
      <c r="D265" t="s">
        <v>56</v>
      </c>
      <c r="E265" s="13">
        <v>1</v>
      </c>
      <c r="F265" s="12">
        <v>41.6</v>
      </c>
      <c r="G265" t="str">
        <f>IFERROR(INDEX(tEditais[Órgão],MATCH(tItens[[#This Row],[Edital]],tEditais[Edital],0)),"")</f>
        <v>INSTITUTO BRASILEIRO DO MEIO AMBIENTE E DOS RECURSOS NATURAIS RENOVAVEIS-IBAMA</v>
      </c>
      <c r="H265" t="str">
        <f>IFERROR(INDEX(tEditais[UF],MATCH(tItens[[#This Row],[Edital]],tEditais[Edital],0)),"")</f>
        <v>AP</v>
      </c>
      <c r="I265" s="11">
        <f>IFERROR(INDEX(tEditais[Encerramento],MATCH(tItens[[#This Row],[Edital]],tEditais[Edital],0)),"")</f>
        <v>46310.375</v>
      </c>
      <c r="J265" t="str">
        <f>IFERROR(INDEX(tProdutos[Classe],MATCH(tItens[[#This Row],[Produto]],tProdutos[Produto],0)),"produto não cadastrado")</f>
        <v>NÚCLEO</v>
      </c>
      <c r="K265" s="12">
        <f>tItens[[#This Row],[Qtd]]*tItens[[#This Row],[Vlr unit]]</f>
        <v>41.6</v>
      </c>
      <c r="L265" s="6">
        <f>IFERROR(IF(INDEX(tProdutos[Desconto homologado],MATCH(tItens[[#This Row],[Produto]],tProdutos[Produto],0))="",DescontoPadrao,INDEX(tProdutos[Desconto homologado],MATCH(tItens[[#This Row],[Produto]],tProdutos[Produto],0))),DescontoPadrao)</f>
        <v>0.34</v>
      </c>
      <c r="M265" s="12">
        <f>tItens[[#This Row],[Valor]]*(1-tItens[[#This Row],[Desconto]])</f>
        <v>27.455999999999996</v>
      </c>
      <c r="N265" t="str">
        <f>IFERROR(INDEX(tProdutos[Foco],MATCH(tItens[[#This Row],[Produto]],tProdutos[Produto],0)),"Não")</f>
        <v>Sim</v>
      </c>
      <c r="O265" t="str">
        <f>IFERROR(INDEX(tEditais[SRP],MATCH(tItens[[#This Row],[Edital]],tEditais[Edital],0)),"Não")</f>
        <v>Não</v>
      </c>
      <c r="P265" s="4">
        <f>IF(COUNTIFS(INDEX(tItens[Edital],1):tItens[[#This Row],[Edital]],tItens[[#This Row],[Edital]],INDEX(tItens[Produto],1):tItens[[#This Row],[Produto]],tItens[[#This Row],[Produto]])=1,1,0)</f>
        <v>0</v>
      </c>
    </row>
    <row r="266" spans="1:16" x14ac:dyDescent="0.25">
      <c r="A266" t="s">
        <v>796</v>
      </c>
      <c r="B266">
        <v>138</v>
      </c>
      <c r="C266" t="s">
        <v>3487</v>
      </c>
      <c r="D266" t="s">
        <v>56</v>
      </c>
      <c r="E266" s="13">
        <v>2</v>
      </c>
      <c r="F266" s="12">
        <v>47.9</v>
      </c>
      <c r="G266" t="str">
        <f>IFERROR(INDEX(tEditais[Órgão],MATCH(tItens[[#This Row],[Edital]],tEditais[Edital],0)),"")</f>
        <v>INSTITUTO BRASILEIRO DO MEIO AMBIENTE E DOS RECURSOS NATURAIS RENOVAVEIS-IBAMA</v>
      </c>
      <c r="H266" t="str">
        <f>IFERROR(INDEX(tEditais[UF],MATCH(tItens[[#This Row],[Edital]],tEditais[Edital],0)),"")</f>
        <v>AP</v>
      </c>
      <c r="I266" s="11">
        <f>IFERROR(INDEX(tEditais[Encerramento],MATCH(tItens[[#This Row],[Edital]],tEditais[Edital],0)),"")</f>
        <v>46310.375</v>
      </c>
      <c r="J266" t="str">
        <f>IFERROR(INDEX(tProdutos[Classe],MATCH(tItens[[#This Row],[Produto]],tProdutos[Produto],0)),"produto não cadastrado")</f>
        <v>NÚCLEO</v>
      </c>
      <c r="K266" s="12">
        <f>tItens[[#This Row],[Qtd]]*tItens[[#This Row],[Vlr unit]]</f>
        <v>95.8</v>
      </c>
      <c r="L266" s="6">
        <f>IFERROR(IF(INDEX(tProdutos[Desconto homologado],MATCH(tItens[[#This Row],[Produto]],tProdutos[Produto],0))="",DescontoPadrao,INDEX(tProdutos[Desconto homologado],MATCH(tItens[[#This Row],[Produto]],tProdutos[Produto],0))),DescontoPadrao)</f>
        <v>0.34</v>
      </c>
      <c r="M266" s="12">
        <f>tItens[[#This Row],[Valor]]*(1-tItens[[#This Row],[Desconto]])</f>
        <v>63.227999999999987</v>
      </c>
      <c r="N266" t="str">
        <f>IFERROR(INDEX(tProdutos[Foco],MATCH(tItens[[#This Row],[Produto]],tProdutos[Produto],0)),"Não")</f>
        <v>Sim</v>
      </c>
      <c r="O266" t="str">
        <f>IFERROR(INDEX(tEditais[SRP],MATCH(tItens[[#This Row],[Edital]],tEditais[Edital],0)),"Não")</f>
        <v>Não</v>
      </c>
      <c r="P266" s="4">
        <f>IF(COUNTIFS(INDEX(tItens[Edital],1):tItens[[#This Row],[Edital]],tItens[[#This Row],[Edital]],INDEX(tItens[Produto],1):tItens[[#This Row],[Produto]],tItens[[#This Row],[Produto]])=1,1,0)</f>
        <v>0</v>
      </c>
    </row>
    <row r="267" spans="1:16" x14ac:dyDescent="0.25">
      <c r="A267" t="s">
        <v>796</v>
      </c>
      <c r="B267">
        <v>140</v>
      </c>
      <c r="C267" t="s">
        <v>3488</v>
      </c>
      <c r="D267" t="s">
        <v>120</v>
      </c>
      <c r="E267" s="13">
        <v>5</v>
      </c>
      <c r="F267" s="12">
        <v>1.1000000000000001</v>
      </c>
      <c r="G267" t="str">
        <f>IFERROR(INDEX(tEditais[Órgão],MATCH(tItens[[#This Row],[Edital]],tEditais[Edital],0)),"")</f>
        <v>INSTITUTO BRASILEIRO DO MEIO AMBIENTE E DOS RECURSOS NATURAIS RENOVAVEIS-IBAMA</v>
      </c>
      <c r="H267" t="str">
        <f>IFERROR(INDEX(tEditais[UF],MATCH(tItens[[#This Row],[Edital]],tEditais[Edital],0)),"")</f>
        <v>AP</v>
      </c>
      <c r="I267" s="11">
        <f>IFERROR(INDEX(tEditais[Encerramento],MATCH(tItens[[#This Row],[Edital]],tEditais[Edital],0)),"")</f>
        <v>46310.375</v>
      </c>
      <c r="J267" t="str">
        <f>IFERROR(INDEX(tProdutos[Classe],MATCH(tItens[[#This Row],[Produto]],tProdutos[Produto],0)),"produto não cadastrado")</f>
        <v>DISPUTADO</v>
      </c>
      <c r="K267" s="12">
        <f>tItens[[#This Row],[Qtd]]*tItens[[#This Row],[Vlr unit]]</f>
        <v>5.5</v>
      </c>
      <c r="L267" s="6">
        <f>IFERROR(IF(INDEX(tProdutos[Desconto homologado],MATCH(tItens[[#This Row],[Produto]],tProdutos[Produto],0))="",DescontoPadrao,INDEX(tProdutos[Desconto homologado],MATCH(tItens[[#This Row],[Produto]],tProdutos[Produto],0))),DescontoPadrao)</f>
        <v>0.40909090909090901</v>
      </c>
      <c r="M267" s="12">
        <f>tItens[[#This Row],[Valor]]*(1-tItens[[#This Row],[Desconto]])</f>
        <v>3.2500000000000009</v>
      </c>
      <c r="N267" t="str">
        <f>IFERROR(INDEX(tProdutos[Foco],MATCH(tItens[[#This Row],[Produto]],tProdutos[Produto],0)),"Não")</f>
        <v>Não</v>
      </c>
      <c r="O267" t="str">
        <f>IFERROR(INDEX(tEditais[SRP],MATCH(tItens[[#This Row],[Edital]],tEditais[Edital],0)),"Não")</f>
        <v>Não</v>
      </c>
      <c r="P267" s="4">
        <f>IF(COUNTIFS(INDEX(tItens[Edital],1):tItens[[#This Row],[Edital]],tItens[[#This Row],[Edital]],INDEX(tItens[Produto],1):tItens[[#This Row],[Produto]],tItens[[#This Row],[Produto]])=1,1,0)</f>
        <v>1</v>
      </c>
    </row>
    <row r="268" spans="1:16" x14ac:dyDescent="0.25">
      <c r="A268" t="s">
        <v>796</v>
      </c>
      <c r="B268">
        <v>155</v>
      </c>
      <c r="C268" t="s">
        <v>3489</v>
      </c>
      <c r="D268" t="s">
        <v>461</v>
      </c>
      <c r="E268" s="13">
        <v>24</v>
      </c>
      <c r="F268" s="12">
        <v>2.58</v>
      </c>
      <c r="G268" t="str">
        <f>IFERROR(INDEX(tEditais[Órgão],MATCH(tItens[[#This Row],[Edital]],tEditais[Edital],0)),"")</f>
        <v>INSTITUTO BRASILEIRO DO MEIO AMBIENTE E DOS RECURSOS NATURAIS RENOVAVEIS-IBAMA</v>
      </c>
      <c r="H268" t="str">
        <f>IFERROR(INDEX(tEditais[UF],MATCH(tItens[[#This Row],[Edital]],tEditais[Edital],0)),"")</f>
        <v>AP</v>
      </c>
      <c r="I268" s="11">
        <f>IFERROR(INDEX(tEditais[Encerramento],MATCH(tItens[[#This Row],[Edital]],tEditais[Edital],0)),"")</f>
        <v>46310.375</v>
      </c>
      <c r="J268" t="str">
        <f>IFERROR(INDEX(tProdutos[Classe],MATCH(tItens[[#This Row],[Produto]],tProdutos[Produto],0)),"produto não cadastrado")</f>
        <v>FILA REBASE</v>
      </c>
      <c r="K268" s="12">
        <f>tItens[[#This Row],[Qtd]]*tItens[[#This Row],[Vlr unit]]</f>
        <v>61.92</v>
      </c>
      <c r="L268" s="6">
        <f>IFERROR(IF(INDEX(tProdutos[Desconto homologado],MATCH(tItens[[#This Row],[Produto]],tProdutos[Produto],0))="",DescontoPadrao,INDEX(tProdutos[Desconto homologado],MATCH(tItens[[#This Row],[Produto]],tProdutos[Produto],0))),DescontoPadrao)</f>
        <v>0.44096385542168698</v>
      </c>
      <c r="M268" s="12">
        <f>tItens[[#This Row],[Valor]]*(1-tItens[[#This Row],[Desconto]])</f>
        <v>34.615518072289142</v>
      </c>
      <c r="N268" t="str">
        <f>IFERROR(INDEX(tProdutos[Foco],MATCH(tItens[[#This Row],[Produto]],tProdutos[Produto],0)),"Não")</f>
        <v>Não</v>
      </c>
      <c r="O268" t="str">
        <f>IFERROR(INDEX(tEditais[SRP],MATCH(tItens[[#This Row],[Edital]],tEditais[Edital],0)),"Não")</f>
        <v>Não</v>
      </c>
      <c r="P268" s="4">
        <f>IF(COUNTIFS(INDEX(tItens[Edital],1):tItens[[#This Row],[Edital]],tItens[[#This Row],[Edital]],INDEX(tItens[Produto],1):tItens[[#This Row],[Produto]],tItens[[#This Row],[Produto]])=1,1,0)</f>
        <v>1</v>
      </c>
    </row>
    <row r="269" spans="1:16" x14ac:dyDescent="0.25">
      <c r="A269" t="s">
        <v>796</v>
      </c>
      <c r="B269">
        <v>156</v>
      </c>
      <c r="C269" t="s">
        <v>3490</v>
      </c>
      <c r="D269" t="s">
        <v>461</v>
      </c>
      <c r="E269" s="13">
        <v>24</v>
      </c>
      <c r="F269" s="12">
        <v>2.41</v>
      </c>
      <c r="G269" t="str">
        <f>IFERROR(INDEX(tEditais[Órgão],MATCH(tItens[[#This Row],[Edital]],tEditais[Edital],0)),"")</f>
        <v>INSTITUTO BRASILEIRO DO MEIO AMBIENTE E DOS RECURSOS NATURAIS RENOVAVEIS-IBAMA</v>
      </c>
      <c r="H269" t="str">
        <f>IFERROR(INDEX(tEditais[UF],MATCH(tItens[[#This Row],[Edital]],tEditais[Edital],0)),"")</f>
        <v>AP</v>
      </c>
      <c r="I269" s="11">
        <f>IFERROR(INDEX(tEditais[Encerramento],MATCH(tItens[[#This Row],[Edital]],tEditais[Edital],0)),"")</f>
        <v>46310.375</v>
      </c>
      <c r="J269" t="str">
        <f>IFERROR(INDEX(tProdutos[Classe],MATCH(tItens[[#This Row],[Produto]],tProdutos[Produto],0)),"produto não cadastrado")</f>
        <v>FILA REBASE</v>
      </c>
      <c r="K269" s="12">
        <f>tItens[[#This Row],[Qtd]]*tItens[[#This Row],[Vlr unit]]</f>
        <v>57.84</v>
      </c>
      <c r="L269" s="6">
        <f>IFERROR(IF(INDEX(tProdutos[Desconto homologado],MATCH(tItens[[#This Row],[Produto]],tProdutos[Produto],0))="",DescontoPadrao,INDEX(tProdutos[Desconto homologado],MATCH(tItens[[#This Row],[Produto]],tProdutos[Produto],0))),DescontoPadrao)</f>
        <v>0.44096385542168698</v>
      </c>
      <c r="M269" s="12">
        <f>tItens[[#This Row],[Valor]]*(1-tItens[[#This Row],[Desconto]])</f>
        <v>32.334650602409624</v>
      </c>
      <c r="N269" t="str">
        <f>IFERROR(INDEX(tProdutos[Foco],MATCH(tItens[[#This Row],[Produto]],tProdutos[Produto],0)),"Não")</f>
        <v>Não</v>
      </c>
      <c r="O269" t="str">
        <f>IFERROR(INDEX(tEditais[SRP],MATCH(tItens[[#This Row],[Edital]],tEditais[Edital],0)),"Não")</f>
        <v>Não</v>
      </c>
      <c r="P269" s="4">
        <f>IF(COUNTIFS(INDEX(tItens[Edital],1):tItens[[#This Row],[Edital]],tItens[[#This Row],[Edital]],INDEX(tItens[Produto],1):tItens[[#This Row],[Produto]],tItens[[#This Row],[Produto]])=1,1,0)</f>
        <v>0</v>
      </c>
    </row>
    <row r="270" spans="1:16" x14ac:dyDescent="0.25">
      <c r="A270" t="s">
        <v>796</v>
      </c>
      <c r="B270">
        <v>157</v>
      </c>
      <c r="C270" t="s">
        <v>3491</v>
      </c>
      <c r="D270" t="s">
        <v>461</v>
      </c>
      <c r="E270" s="13">
        <v>24</v>
      </c>
      <c r="F270" s="12">
        <v>2.2000000000000002</v>
      </c>
      <c r="G270" t="str">
        <f>IFERROR(INDEX(tEditais[Órgão],MATCH(tItens[[#This Row],[Edital]],tEditais[Edital],0)),"")</f>
        <v>INSTITUTO BRASILEIRO DO MEIO AMBIENTE E DOS RECURSOS NATURAIS RENOVAVEIS-IBAMA</v>
      </c>
      <c r="H270" t="str">
        <f>IFERROR(INDEX(tEditais[UF],MATCH(tItens[[#This Row],[Edital]],tEditais[Edital],0)),"")</f>
        <v>AP</v>
      </c>
      <c r="I270" s="11">
        <f>IFERROR(INDEX(tEditais[Encerramento],MATCH(tItens[[#This Row],[Edital]],tEditais[Edital],0)),"")</f>
        <v>46310.375</v>
      </c>
      <c r="J270" t="str">
        <f>IFERROR(INDEX(tProdutos[Classe],MATCH(tItens[[#This Row],[Produto]],tProdutos[Produto],0)),"produto não cadastrado")</f>
        <v>FILA REBASE</v>
      </c>
      <c r="K270" s="12">
        <f>tItens[[#This Row],[Qtd]]*tItens[[#This Row],[Vlr unit]]</f>
        <v>52.800000000000004</v>
      </c>
      <c r="L270" s="6">
        <f>IFERROR(IF(INDEX(tProdutos[Desconto homologado],MATCH(tItens[[#This Row],[Produto]],tProdutos[Produto],0))="",DescontoPadrao,INDEX(tProdutos[Desconto homologado],MATCH(tItens[[#This Row],[Produto]],tProdutos[Produto],0))),DescontoPadrao)</f>
        <v>0.44096385542168698</v>
      </c>
      <c r="M270" s="12">
        <f>tItens[[#This Row],[Valor]]*(1-tItens[[#This Row],[Desconto]])</f>
        <v>29.517108433734926</v>
      </c>
      <c r="N270" t="str">
        <f>IFERROR(INDEX(tProdutos[Foco],MATCH(tItens[[#This Row],[Produto]],tProdutos[Produto],0)),"Não")</f>
        <v>Não</v>
      </c>
      <c r="O270" t="str">
        <f>IFERROR(INDEX(tEditais[SRP],MATCH(tItens[[#This Row],[Edital]],tEditais[Edital],0)),"Não")</f>
        <v>Não</v>
      </c>
      <c r="P270" s="4">
        <f>IF(COUNTIFS(INDEX(tItens[Edital],1):tItens[[#This Row],[Edital]],tItens[[#This Row],[Edital]],INDEX(tItens[Produto],1):tItens[[#This Row],[Produto]],tItens[[#This Row],[Produto]])=1,1,0)</f>
        <v>0</v>
      </c>
    </row>
    <row r="271" spans="1:16" x14ac:dyDescent="0.25">
      <c r="A271" t="s">
        <v>796</v>
      </c>
      <c r="B271">
        <v>158</v>
      </c>
      <c r="C271" t="s">
        <v>3492</v>
      </c>
      <c r="D271" t="s">
        <v>375</v>
      </c>
      <c r="E271" s="13">
        <v>24</v>
      </c>
      <c r="F271" s="12">
        <v>8</v>
      </c>
      <c r="G271" t="str">
        <f>IFERROR(INDEX(tEditais[Órgão],MATCH(tItens[[#This Row],[Edital]],tEditais[Edital],0)),"")</f>
        <v>INSTITUTO BRASILEIRO DO MEIO AMBIENTE E DOS RECURSOS NATURAIS RENOVAVEIS-IBAMA</v>
      </c>
      <c r="H271" t="str">
        <f>IFERROR(INDEX(tEditais[UF],MATCH(tItens[[#This Row],[Edital]],tEditais[Edital],0)),"")</f>
        <v>AP</v>
      </c>
      <c r="I271" s="11">
        <f>IFERROR(INDEX(tEditais[Encerramento],MATCH(tItens[[#This Row],[Edital]],tEditais[Edital],0)),"")</f>
        <v>46310.375</v>
      </c>
      <c r="J271" t="str">
        <f>IFERROR(INDEX(tProdutos[Classe],MATCH(tItens[[#This Row],[Produto]],tProdutos[Produto],0)),"produto não cadastrado")</f>
        <v>FORA</v>
      </c>
      <c r="K271" s="12">
        <f>tItens[[#This Row],[Qtd]]*tItens[[#This Row],[Vlr unit]]</f>
        <v>192</v>
      </c>
      <c r="L271" s="6">
        <f>IFERROR(IF(INDEX(tProdutos[Desconto homologado],MATCH(tItens[[#This Row],[Produto]],tProdutos[Produto],0))="",DescontoPadrao,INDEX(tProdutos[Desconto homologado],MATCH(tItens[[#This Row],[Produto]],tProdutos[Produto],0))),DescontoPadrao)</f>
        <v>0.25005895299481201</v>
      </c>
      <c r="M271" s="12">
        <f>tItens[[#This Row],[Valor]]*(1-tItens[[#This Row],[Desconto]])</f>
        <v>143.98868102499608</v>
      </c>
      <c r="N271" t="str">
        <f>IFERROR(INDEX(tProdutos[Foco],MATCH(tItens[[#This Row],[Produto]],tProdutos[Produto],0)),"Não")</f>
        <v>Não</v>
      </c>
      <c r="O271" t="str">
        <f>IFERROR(INDEX(tEditais[SRP],MATCH(tItens[[#This Row],[Edital]],tEditais[Edital],0)),"Não")</f>
        <v>Não</v>
      </c>
      <c r="P271" s="4">
        <f>IF(COUNTIFS(INDEX(tItens[Edital],1):tItens[[#This Row],[Edital]],tItens[[#This Row],[Edital]],INDEX(tItens[Produto],1):tItens[[#This Row],[Produto]],tItens[[#This Row],[Produto]])=1,1,0)</f>
        <v>1</v>
      </c>
    </row>
    <row r="272" spans="1:16" x14ac:dyDescent="0.25">
      <c r="A272" t="s">
        <v>796</v>
      </c>
      <c r="B272">
        <v>159</v>
      </c>
      <c r="C272" t="s">
        <v>3493</v>
      </c>
      <c r="D272" t="s">
        <v>375</v>
      </c>
      <c r="E272" s="13">
        <v>24</v>
      </c>
      <c r="F272" s="12">
        <v>10.32</v>
      </c>
      <c r="G272" t="str">
        <f>IFERROR(INDEX(tEditais[Órgão],MATCH(tItens[[#This Row],[Edital]],tEditais[Edital],0)),"")</f>
        <v>INSTITUTO BRASILEIRO DO MEIO AMBIENTE E DOS RECURSOS NATURAIS RENOVAVEIS-IBAMA</v>
      </c>
      <c r="H272" t="str">
        <f>IFERROR(INDEX(tEditais[UF],MATCH(tItens[[#This Row],[Edital]],tEditais[Edital],0)),"")</f>
        <v>AP</v>
      </c>
      <c r="I272" s="11">
        <f>IFERROR(INDEX(tEditais[Encerramento],MATCH(tItens[[#This Row],[Edital]],tEditais[Edital],0)),"")</f>
        <v>46310.375</v>
      </c>
      <c r="J272" t="str">
        <f>IFERROR(INDEX(tProdutos[Classe],MATCH(tItens[[#This Row],[Produto]],tProdutos[Produto],0)),"produto não cadastrado")</f>
        <v>FORA</v>
      </c>
      <c r="K272" s="12">
        <f>tItens[[#This Row],[Qtd]]*tItens[[#This Row],[Vlr unit]]</f>
        <v>247.68</v>
      </c>
      <c r="L272" s="6">
        <f>IFERROR(IF(INDEX(tProdutos[Desconto homologado],MATCH(tItens[[#This Row],[Produto]],tProdutos[Produto],0))="",DescontoPadrao,INDEX(tProdutos[Desconto homologado],MATCH(tItens[[#This Row],[Produto]],tProdutos[Produto],0))),DescontoPadrao)</f>
        <v>0.25005895299481201</v>
      </c>
      <c r="M272" s="12">
        <f>tItens[[#This Row],[Valor]]*(1-tItens[[#This Row],[Desconto]])</f>
        <v>185.74539852224495</v>
      </c>
      <c r="N272" t="str">
        <f>IFERROR(INDEX(tProdutos[Foco],MATCH(tItens[[#This Row],[Produto]],tProdutos[Produto],0)),"Não")</f>
        <v>Não</v>
      </c>
      <c r="O272" t="str">
        <f>IFERROR(INDEX(tEditais[SRP],MATCH(tItens[[#This Row],[Edital]],tEditais[Edital],0)),"Não")</f>
        <v>Não</v>
      </c>
      <c r="P272" s="4">
        <f>IF(COUNTIFS(INDEX(tItens[Edital],1):tItens[[#This Row],[Edital]],tItens[[#This Row],[Edital]],INDEX(tItens[Produto],1):tItens[[#This Row],[Produto]],tItens[[#This Row],[Produto]])=1,1,0)</f>
        <v>0</v>
      </c>
    </row>
    <row r="273" spans="1:16" x14ac:dyDescent="0.25">
      <c r="A273" t="s">
        <v>796</v>
      </c>
      <c r="B273">
        <v>160</v>
      </c>
      <c r="C273" t="s">
        <v>3494</v>
      </c>
      <c r="D273" t="s">
        <v>375</v>
      </c>
      <c r="E273" s="13">
        <v>24</v>
      </c>
      <c r="F273" s="12">
        <v>12.18</v>
      </c>
      <c r="G273" t="str">
        <f>IFERROR(INDEX(tEditais[Órgão],MATCH(tItens[[#This Row],[Edital]],tEditais[Edital],0)),"")</f>
        <v>INSTITUTO BRASILEIRO DO MEIO AMBIENTE E DOS RECURSOS NATURAIS RENOVAVEIS-IBAMA</v>
      </c>
      <c r="H273" t="str">
        <f>IFERROR(INDEX(tEditais[UF],MATCH(tItens[[#This Row],[Edital]],tEditais[Edital],0)),"")</f>
        <v>AP</v>
      </c>
      <c r="I273" s="11">
        <f>IFERROR(INDEX(tEditais[Encerramento],MATCH(tItens[[#This Row],[Edital]],tEditais[Edital],0)),"")</f>
        <v>46310.375</v>
      </c>
      <c r="J273" t="str">
        <f>IFERROR(INDEX(tProdutos[Classe],MATCH(tItens[[#This Row],[Produto]],tProdutos[Produto],0)),"produto não cadastrado")</f>
        <v>FORA</v>
      </c>
      <c r="K273" s="12">
        <f>tItens[[#This Row],[Qtd]]*tItens[[#This Row],[Vlr unit]]</f>
        <v>292.32</v>
      </c>
      <c r="L273" s="6">
        <f>IFERROR(IF(INDEX(tProdutos[Desconto homologado],MATCH(tItens[[#This Row],[Produto]],tProdutos[Produto],0))="",DescontoPadrao,INDEX(tProdutos[Desconto homologado],MATCH(tItens[[#This Row],[Produto]],tProdutos[Produto],0))),DescontoPadrao)</f>
        <v>0.25005895299481201</v>
      </c>
      <c r="M273" s="12">
        <f>tItens[[#This Row],[Valor]]*(1-tItens[[#This Row],[Desconto]])</f>
        <v>219.22276686055653</v>
      </c>
      <c r="N273" t="str">
        <f>IFERROR(INDEX(tProdutos[Foco],MATCH(tItens[[#This Row],[Produto]],tProdutos[Produto],0)),"Não")</f>
        <v>Não</v>
      </c>
      <c r="O273" t="str">
        <f>IFERROR(INDEX(tEditais[SRP],MATCH(tItens[[#This Row],[Edital]],tEditais[Edital],0)),"Não")</f>
        <v>Não</v>
      </c>
      <c r="P273" s="4">
        <f>IF(COUNTIFS(INDEX(tItens[Edital],1):tItens[[#This Row],[Edital]],tItens[[#This Row],[Edital]],INDEX(tItens[Produto],1):tItens[[#This Row],[Produto]],tItens[[#This Row],[Produto]])=1,1,0)</f>
        <v>0</v>
      </c>
    </row>
    <row r="274" spans="1:16" x14ac:dyDescent="0.25">
      <c r="A274" t="s">
        <v>796</v>
      </c>
      <c r="B274">
        <v>161</v>
      </c>
      <c r="C274" t="s">
        <v>3495</v>
      </c>
      <c r="D274" t="s">
        <v>461</v>
      </c>
      <c r="E274" s="13">
        <v>24</v>
      </c>
      <c r="F274" s="12">
        <v>3.34</v>
      </c>
      <c r="G274" t="str">
        <f>IFERROR(INDEX(tEditais[Órgão],MATCH(tItens[[#This Row],[Edital]],tEditais[Edital],0)),"")</f>
        <v>INSTITUTO BRASILEIRO DO MEIO AMBIENTE E DOS RECURSOS NATURAIS RENOVAVEIS-IBAMA</v>
      </c>
      <c r="H274" t="str">
        <f>IFERROR(INDEX(tEditais[UF],MATCH(tItens[[#This Row],[Edital]],tEditais[Edital],0)),"")</f>
        <v>AP</v>
      </c>
      <c r="I274" s="11">
        <f>IFERROR(INDEX(tEditais[Encerramento],MATCH(tItens[[#This Row],[Edital]],tEditais[Edital],0)),"")</f>
        <v>46310.375</v>
      </c>
      <c r="J274" t="str">
        <f>IFERROR(INDEX(tProdutos[Classe],MATCH(tItens[[#This Row],[Produto]],tProdutos[Produto],0)),"produto não cadastrado")</f>
        <v>FILA REBASE</v>
      </c>
      <c r="K274" s="12">
        <f>tItens[[#This Row],[Qtd]]*tItens[[#This Row],[Vlr unit]]</f>
        <v>80.16</v>
      </c>
      <c r="L274" s="6">
        <f>IFERROR(IF(INDEX(tProdutos[Desconto homologado],MATCH(tItens[[#This Row],[Produto]],tProdutos[Produto],0))="",DescontoPadrao,INDEX(tProdutos[Desconto homologado],MATCH(tItens[[#This Row],[Produto]],tProdutos[Produto],0))),DescontoPadrao)</f>
        <v>0.44096385542168698</v>
      </c>
      <c r="M274" s="12">
        <f>tItens[[#This Row],[Valor]]*(1-tItens[[#This Row],[Desconto]])</f>
        <v>44.812337349397566</v>
      </c>
      <c r="N274" t="str">
        <f>IFERROR(INDEX(tProdutos[Foco],MATCH(tItens[[#This Row],[Produto]],tProdutos[Produto],0)),"Não")</f>
        <v>Não</v>
      </c>
      <c r="O274" t="str">
        <f>IFERROR(INDEX(tEditais[SRP],MATCH(tItens[[#This Row],[Edital]],tEditais[Edital],0)),"Não")</f>
        <v>Não</v>
      </c>
      <c r="P274" s="4">
        <f>IF(COUNTIFS(INDEX(tItens[Edital],1):tItens[[#This Row],[Edital]],tItens[[#This Row],[Edital]],INDEX(tItens[Produto],1):tItens[[#This Row],[Produto]],tItens[[#This Row],[Produto]])=1,1,0)</f>
        <v>0</v>
      </c>
    </row>
    <row r="275" spans="1:16" x14ac:dyDescent="0.25">
      <c r="A275" t="s">
        <v>796</v>
      </c>
      <c r="B275">
        <v>169</v>
      </c>
      <c r="C275" t="s">
        <v>3496</v>
      </c>
      <c r="D275" t="s">
        <v>371</v>
      </c>
      <c r="E275" s="13">
        <v>100</v>
      </c>
      <c r="F275" s="12">
        <v>0.54</v>
      </c>
      <c r="G275" t="str">
        <f>IFERROR(INDEX(tEditais[Órgão],MATCH(tItens[[#This Row],[Edital]],tEditais[Edital],0)),"")</f>
        <v>INSTITUTO BRASILEIRO DO MEIO AMBIENTE E DOS RECURSOS NATURAIS RENOVAVEIS-IBAMA</v>
      </c>
      <c r="H275" t="str">
        <f>IFERROR(INDEX(tEditais[UF],MATCH(tItens[[#This Row],[Edital]],tEditais[Edital],0)),"")</f>
        <v>AP</v>
      </c>
      <c r="I275" s="11">
        <f>IFERROR(INDEX(tEditais[Encerramento],MATCH(tItens[[#This Row],[Edital]],tEditais[Edital],0)),"")</f>
        <v>46310.375</v>
      </c>
      <c r="J275" t="str">
        <f>IFERROR(INDEX(tProdutos[Classe],MATCH(tItens[[#This Row],[Produto]],tProdutos[Produto],0)),"produto não cadastrado")</f>
        <v>FORA</v>
      </c>
      <c r="K275" s="12">
        <f>tItens[[#This Row],[Qtd]]*tItens[[#This Row],[Vlr unit]]</f>
        <v>54</v>
      </c>
      <c r="L275" s="6">
        <f>IFERROR(IF(INDEX(tProdutos[Desconto homologado],MATCH(tItens[[#This Row],[Produto]],tProdutos[Produto],0))="",DescontoPadrao,INDEX(tProdutos[Desconto homologado],MATCH(tItens[[#This Row],[Produto]],tProdutos[Produto],0))),DescontoPadrao)</f>
        <v>0.217826086956522</v>
      </c>
      <c r="M275" s="12">
        <f>tItens[[#This Row],[Valor]]*(1-tItens[[#This Row],[Desconto]])</f>
        <v>42.23739130434781</v>
      </c>
      <c r="N275" t="str">
        <f>IFERROR(INDEX(tProdutos[Foco],MATCH(tItens[[#This Row],[Produto]],tProdutos[Produto],0)),"Não")</f>
        <v>Não</v>
      </c>
      <c r="O275" t="str">
        <f>IFERROR(INDEX(tEditais[SRP],MATCH(tItens[[#This Row],[Edital]],tEditais[Edital],0)),"Não")</f>
        <v>Não</v>
      </c>
      <c r="P275" s="4">
        <f>IF(COUNTIFS(INDEX(tItens[Edital],1):tItens[[#This Row],[Edital]],tItens[[#This Row],[Edital]],INDEX(tItens[Produto],1):tItens[[#This Row],[Produto]],tItens[[#This Row],[Produto]])=1,1,0)</f>
        <v>1</v>
      </c>
    </row>
    <row r="276" spans="1:16" x14ac:dyDescent="0.25">
      <c r="A276" t="s">
        <v>796</v>
      </c>
      <c r="B276">
        <v>173</v>
      </c>
      <c r="C276" t="s">
        <v>3497</v>
      </c>
      <c r="D276" t="s">
        <v>77</v>
      </c>
      <c r="E276" s="13">
        <v>5</v>
      </c>
      <c r="F276" s="12">
        <v>13.99</v>
      </c>
      <c r="G276" t="str">
        <f>IFERROR(INDEX(tEditais[Órgão],MATCH(tItens[[#This Row],[Edital]],tEditais[Edital],0)),"")</f>
        <v>INSTITUTO BRASILEIRO DO MEIO AMBIENTE E DOS RECURSOS NATURAIS RENOVAVEIS-IBAMA</v>
      </c>
      <c r="H276" t="str">
        <f>IFERROR(INDEX(tEditais[UF],MATCH(tItens[[#This Row],[Edital]],tEditais[Edital],0)),"")</f>
        <v>AP</v>
      </c>
      <c r="I276" s="11">
        <f>IFERROR(INDEX(tEditais[Encerramento],MATCH(tItens[[#This Row],[Edital]],tEditais[Edital],0)),"")</f>
        <v>46310.375</v>
      </c>
      <c r="J276" t="str">
        <f>IFERROR(INDEX(tProdutos[Classe],MATCH(tItens[[#This Row],[Produto]],tProdutos[Produto],0)),"produto não cadastrado")</f>
        <v>DISPUTADO</v>
      </c>
      <c r="K276" s="12">
        <f>tItens[[#This Row],[Qtd]]*tItens[[#This Row],[Vlr unit]]</f>
        <v>69.95</v>
      </c>
      <c r="L276" s="6">
        <f>IFERROR(IF(INDEX(tProdutos[Desconto homologado],MATCH(tItens[[#This Row],[Produto]],tProdutos[Produto],0))="",DescontoPadrao,INDEX(tProdutos[Desconto homologado],MATCH(tItens[[#This Row],[Produto]],tProdutos[Produto],0))),DescontoPadrao)</f>
        <v>0.33</v>
      </c>
      <c r="M276" s="12">
        <f>tItens[[#This Row],[Valor]]*(1-tItens[[#This Row],[Desconto]])</f>
        <v>46.866499999999995</v>
      </c>
      <c r="N276" t="str">
        <f>IFERROR(INDEX(tProdutos[Foco],MATCH(tItens[[#This Row],[Produto]],tProdutos[Produto],0)),"Não")</f>
        <v>Sim</v>
      </c>
      <c r="O276" t="str">
        <f>IFERROR(INDEX(tEditais[SRP],MATCH(tItens[[#This Row],[Edital]],tEditais[Edital],0)),"Não")</f>
        <v>Não</v>
      </c>
      <c r="P276" s="4">
        <f>IF(COUNTIFS(INDEX(tItens[Edital],1):tItens[[#This Row],[Edital]],tItens[[#This Row],[Edital]],INDEX(tItens[Produto],1):tItens[[#This Row],[Produto]],tItens[[#This Row],[Produto]])=1,1,0)</f>
        <v>1</v>
      </c>
    </row>
    <row r="277" spans="1:16" x14ac:dyDescent="0.25">
      <c r="A277" t="s">
        <v>796</v>
      </c>
      <c r="B277">
        <v>174</v>
      </c>
      <c r="C277" t="s">
        <v>3498</v>
      </c>
      <c r="D277" t="s">
        <v>160</v>
      </c>
      <c r="E277" s="13">
        <v>5</v>
      </c>
      <c r="F277" s="12">
        <v>4.8</v>
      </c>
      <c r="G277" t="str">
        <f>IFERROR(INDEX(tEditais[Órgão],MATCH(tItens[[#This Row],[Edital]],tEditais[Edital],0)),"")</f>
        <v>INSTITUTO BRASILEIRO DO MEIO AMBIENTE E DOS RECURSOS NATURAIS RENOVAVEIS-IBAMA</v>
      </c>
      <c r="H277" t="str">
        <f>IFERROR(INDEX(tEditais[UF],MATCH(tItens[[#This Row],[Edital]],tEditais[Edital],0)),"")</f>
        <v>AP</v>
      </c>
      <c r="I277" s="11">
        <f>IFERROR(INDEX(tEditais[Encerramento],MATCH(tItens[[#This Row],[Edital]],tEditais[Edital],0)),"")</f>
        <v>46310.375</v>
      </c>
      <c r="J277" t="str">
        <f>IFERROR(INDEX(tProdutos[Classe],MATCH(tItens[[#This Row],[Produto]],tProdutos[Produto],0)),"produto não cadastrado")</f>
        <v>DISPUTADO</v>
      </c>
      <c r="K277" s="12">
        <f>tItens[[#This Row],[Qtd]]*tItens[[#This Row],[Vlr unit]]</f>
        <v>24</v>
      </c>
      <c r="L277" s="6">
        <f>IFERROR(IF(INDEX(tProdutos[Desconto homologado],MATCH(tItens[[#This Row],[Produto]],tProdutos[Produto],0))="",DescontoPadrao,INDEX(tProdutos[Desconto homologado],MATCH(tItens[[#This Row],[Produto]],tProdutos[Produto],0))),DescontoPadrao)</f>
        <v>0.28000000000000003</v>
      </c>
      <c r="M277" s="12">
        <f>tItens[[#This Row],[Valor]]*(1-tItens[[#This Row],[Desconto]])</f>
        <v>17.28</v>
      </c>
      <c r="N277" t="str">
        <f>IFERROR(INDEX(tProdutos[Foco],MATCH(tItens[[#This Row],[Produto]],tProdutos[Produto],0)),"Não")</f>
        <v>Sim</v>
      </c>
      <c r="O277" t="str">
        <f>IFERROR(INDEX(tEditais[SRP],MATCH(tItens[[#This Row],[Edital]],tEditais[Edital],0)),"Não")</f>
        <v>Não</v>
      </c>
      <c r="P277" s="4">
        <f>IF(COUNTIFS(INDEX(tItens[Edital],1):tItens[[#This Row],[Edital]],tItens[[#This Row],[Edital]],INDEX(tItens[Produto],1):tItens[[#This Row],[Produto]],tItens[[#This Row],[Produto]])=1,1,0)</f>
        <v>1</v>
      </c>
    </row>
    <row r="278" spans="1:16" x14ac:dyDescent="0.25">
      <c r="A278" t="s">
        <v>796</v>
      </c>
      <c r="B278">
        <v>175</v>
      </c>
      <c r="C278" t="s">
        <v>3499</v>
      </c>
      <c r="D278" t="s">
        <v>160</v>
      </c>
      <c r="E278" s="13">
        <v>4</v>
      </c>
      <c r="F278" s="12">
        <v>6.55</v>
      </c>
      <c r="G278" t="str">
        <f>IFERROR(INDEX(tEditais[Órgão],MATCH(tItens[[#This Row],[Edital]],tEditais[Edital],0)),"")</f>
        <v>INSTITUTO BRASILEIRO DO MEIO AMBIENTE E DOS RECURSOS NATURAIS RENOVAVEIS-IBAMA</v>
      </c>
      <c r="H278" t="str">
        <f>IFERROR(INDEX(tEditais[UF],MATCH(tItens[[#This Row],[Edital]],tEditais[Edital],0)),"")</f>
        <v>AP</v>
      </c>
      <c r="I278" s="11">
        <f>IFERROR(INDEX(tEditais[Encerramento],MATCH(tItens[[#This Row],[Edital]],tEditais[Edital],0)),"")</f>
        <v>46310.375</v>
      </c>
      <c r="J278" t="str">
        <f>IFERROR(INDEX(tProdutos[Classe],MATCH(tItens[[#This Row],[Produto]],tProdutos[Produto],0)),"produto não cadastrado")</f>
        <v>DISPUTADO</v>
      </c>
      <c r="K278" s="12">
        <f>tItens[[#This Row],[Qtd]]*tItens[[#This Row],[Vlr unit]]</f>
        <v>26.2</v>
      </c>
      <c r="L278" s="6">
        <f>IFERROR(IF(INDEX(tProdutos[Desconto homologado],MATCH(tItens[[#This Row],[Produto]],tProdutos[Produto],0))="",DescontoPadrao,INDEX(tProdutos[Desconto homologado],MATCH(tItens[[#This Row],[Produto]],tProdutos[Produto],0))),DescontoPadrao)</f>
        <v>0.28000000000000003</v>
      </c>
      <c r="M278" s="12">
        <f>tItens[[#This Row],[Valor]]*(1-tItens[[#This Row],[Desconto]])</f>
        <v>18.863999999999997</v>
      </c>
      <c r="N278" t="str">
        <f>IFERROR(INDEX(tProdutos[Foco],MATCH(tItens[[#This Row],[Produto]],tProdutos[Produto],0)),"Não")</f>
        <v>Sim</v>
      </c>
      <c r="O278" t="str">
        <f>IFERROR(INDEX(tEditais[SRP],MATCH(tItens[[#This Row],[Edital]],tEditais[Edital],0)),"Não")</f>
        <v>Não</v>
      </c>
      <c r="P278" s="4">
        <f>IF(COUNTIFS(INDEX(tItens[Edital],1):tItens[[#This Row],[Edital]],tItens[[#This Row],[Edital]],INDEX(tItens[Produto],1):tItens[[#This Row],[Produto]],tItens[[#This Row],[Produto]])=1,1,0)</f>
        <v>0</v>
      </c>
    </row>
    <row r="279" spans="1:16" x14ac:dyDescent="0.25">
      <c r="A279" t="s">
        <v>796</v>
      </c>
      <c r="B279">
        <v>176</v>
      </c>
      <c r="C279" t="s">
        <v>3500</v>
      </c>
      <c r="D279" t="s">
        <v>409</v>
      </c>
      <c r="E279" s="13">
        <v>10</v>
      </c>
      <c r="F279" s="12">
        <v>4.5199999999999996</v>
      </c>
      <c r="G279" t="str">
        <f>IFERROR(INDEX(tEditais[Órgão],MATCH(tItens[[#This Row],[Edital]],tEditais[Edital],0)),"")</f>
        <v>INSTITUTO BRASILEIRO DO MEIO AMBIENTE E DOS RECURSOS NATURAIS RENOVAVEIS-IBAMA</v>
      </c>
      <c r="H279" t="str">
        <f>IFERROR(INDEX(tEditais[UF],MATCH(tItens[[#This Row],[Edital]],tEditais[Edital],0)),"")</f>
        <v>AP</v>
      </c>
      <c r="I279" s="11">
        <f>IFERROR(INDEX(tEditais[Encerramento],MATCH(tItens[[#This Row],[Edital]],tEditais[Edital],0)),"")</f>
        <v>46310.375</v>
      </c>
      <c r="J279" t="str">
        <f>IFERROR(INDEX(tProdutos[Classe],MATCH(tItens[[#This Row],[Produto]],tProdutos[Produto],0)),"produto não cadastrado")</f>
        <v>FORA</v>
      </c>
      <c r="K279" s="12">
        <f>tItens[[#This Row],[Qtd]]*tItens[[#This Row],[Vlr unit]]</f>
        <v>45.199999999999996</v>
      </c>
      <c r="L279" s="6">
        <f>IFERROR(IF(INDEX(tProdutos[Desconto homologado],MATCH(tItens[[#This Row],[Produto]],tProdutos[Produto],0))="",DescontoPadrao,INDEX(tProdutos[Desconto homologado],MATCH(tItens[[#This Row],[Produto]],tProdutos[Produto],0))),DescontoPadrao)</f>
        <v>0.24924924924924899</v>
      </c>
      <c r="M279" s="12">
        <f>tItens[[#This Row],[Valor]]*(1-tItens[[#This Row],[Desconto]])</f>
        <v>33.933933933933943</v>
      </c>
      <c r="N279" t="str">
        <f>IFERROR(INDEX(tProdutos[Foco],MATCH(tItens[[#This Row],[Produto]],tProdutos[Produto],0)),"Não")</f>
        <v>Não</v>
      </c>
      <c r="O279" t="str">
        <f>IFERROR(INDEX(tEditais[SRP],MATCH(tItens[[#This Row],[Edital]],tEditais[Edital],0)),"Não")</f>
        <v>Não</v>
      </c>
      <c r="P279" s="4">
        <f>IF(COUNTIFS(INDEX(tItens[Edital],1):tItens[[#This Row],[Edital]],tItens[[#This Row],[Edital]],INDEX(tItens[Produto],1):tItens[[#This Row],[Produto]],tItens[[#This Row],[Produto]])=1,1,0)</f>
        <v>1</v>
      </c>
    </row>
    <row r="280" spans="1:16" x14ac:dyDescent="0.25">
      <c r="A280" t="s">
        <v>796</v>
      </c>
      <c r="B280">
        <v>177</v>
      </c>
      <c r="C280" t="s">
        <v>3501</v>
      </c>
      <c r="D280" t="s">
        <v>409</v>
      </c>
      <c r="E280" s="13">
        <v>10</v>
      </c>
      <c r="F280" s="12">
        <v>7.73</v>
      </c>
      <c r="G280" t="str">
        <f>IFERROR(INDEX(tEditais[Órgão],MATCH(tItens[[#This Row],[Edital]],tEditais[Edital],0)),"")</f>
        <v>INSTITUTO BRASILEIRO DO MEIO AMBIENTE E DOS RECURSOS NATURAIS RENOVAVEIS-IBAMA</v>
      </c>
      <c r="H280" t="str">
        <f>IFERROR(INDEX(tEditais[UF],MATCH(tItens[[#This Row],[Edital]],tEditais[Edital],0)),"")</f>
        <v>AP</v>
      </c>
      <c r="I280" s="11">
        <f>IFERROR(INDEX(tEditais[Encerramento],MATCH(tItens[[#This Row],[Edital]],tEditais[Edital],0)),"")</f>
        <v>46310.375</v>
      </c>
      <c r="J280" t="str">
        <f>IFERROR(INDEX(tProdutos[Classe],MATCH(tItens[[#This Row],[Produto]],tProdutos[Produto],0)),"produto não cadastrado")</f>
        <v>FORA</v>
      </c>
      <c r="K280" s="12">
        <f>tItens[[#This Row],[Qtd]]*tItens[[#This Row],[Vlr unit]]</f>
        <v>77.300000000000011</v>
      </c>
      <c r="L280" s="6">
        <f>IFERROR(IF(INDEX(tProdutos[Desconto homologado],MATCH(tItens[[#This Row],[Produto]],tProdutos[Produto],0))="",DescontoPadrao,INDEX(tProdutos[Desconto homologado],MATCH(tItens[[#This Row],[Produto]],tProdutos[Produto],0))),DescontoPadrao)</f>
        <v>0.24924924924924899</v>
      </c>
      <c r="M280" s="12">
        <f>tItens[[#This Row],[Valor]]*(1-tItens[[#This Row],[Desconto]])</f>
        <v>58.033033033033064</v>
      </c>
      <c r="N280" t="str">
        <f>IFERROR(INDEX(tProdutos[Foco],MATCH(tItens[[#This Row],[Produto]],tProdutos[Produto],0)),"Não")</f>
        <v>Não</v>
      </c>
      <c r="O280" t="str">
        <f>IFERROR(INDEX(tEditais[SRP],MATCH(tItens[[#This Row],[Edital]],tEditais[Edital],0)),"Não")</f>
        <v>Não</v>
      </c>
      <c r="P280" s="4">
        <f>IF(COUNTIFS(INDEX(tItens[Edital],1):tItens[[#This Row],[Edital]],tItens[[#This Row],[Edital]],INDEX(tItens[Produto],1):tItens[[#This Row],[Produto]],tItens[[#This Row],[Produto]])=1,1,0)</f>
        <v>0</v>
      </c>
    </row>
    <row r="281" spans="1:16" x14ac:dyDescent="0.25">
      <c r="A281" t="s">
        <v>796</v>
      </c>
      <c r="B281">
        <v>178</v>
      </c>
      <c r="C281" t="s">
        <v>3502</v>
      </c>
      <c r="D281" t="s">
        <v>387</v>
      </c>
      <c r="E281" s="13">
        <v>50</v>
      </c>
      <c r="F281" s="12">
        <v>20.7</v>
      </c>
      <c r="G281" t="str">
        <f>IFERROR(INDEX(tEditais[Órgão],MATCH(tItens[[#This Row],[Edital]],tEditais[Edital],0)),"")</f>
        <v>INSTITUTO BRASILEIRO DO MEIO AMBIENTE E DOS RECURSOS NATURAIS RENOVAVEIS-IBAMA</v>
      </c>
      <c r="H281" t="str">
        <f>IFERROR(INDEX(tEditais[UF],MATCH(tItens[[#This Row],[Edital]],tEditais[Edital],0)),"")</f>
        <v>AP</v>
      </c>
      <c r="I281" s="11">
        <f>IFERROR(INDEX(tEditais[Encerramento],MATCH(tItens[[#This Row],[Edital]],tEditais[Edital],0)),"")</f>
        <v>46310.375</v>
      </c>
      <c r="J281" t="str">
        <f>IFERROR(INDEX(tProdutos[Classe],MATCH(tItens[[#This Row],[Produto]],tProdutos[Produto],0)),"produto não cadastrado")</f>
        <v>FORA</v>
      </c>
      <c r="K281" s="12">
        <f>tItens[[#This Row],[Qtd]]*tItens[[#This Row],[Vlr unit]]</f>
        <v>1035</v>
      </c>
      <c r="L281" s="6">
        <f>IFERROR(IF(INDEX(tProdutos[Desconto homologado],MATCH(tItens[[#This Row],[Produto]],tProdutos[Produto],0))="",DescontoPadrao,INDEX(tProdutos[Desconto homologado],MATCH(tItens[[#This Row],[Produto]],tProdutos[Produto],0))),DescontoPadrao)</f>
        <v>0.30458221024258803</v>
      </c>
      <c r="M281" s="12">
        <f>tItens[[#This Row],[Valor]]*(1-tItens[[#This Row],[Desconto]])</f>
        <v>719.75741239892136</v>
      </c>
      <c r="N281" t="str">
        <f>IFERROR(INDEX(tProdutos[Foco],MATCH(tItens[[#This Row],[Produto]],tProdutos[Produto],0)),"Não")</f>
        <v>Não</v>
      </c>
      <c r="O281" t="str">
        <f>IFERROR(INDEX(tEditais[SRP],MATCH(tItens[[#This Row],[Edital]],tEditais[Edital],0)),"Não")</f>
        <v>Não</v>
      </c>
      <c r="P281" s="4">
        <f>IF(COUNTIFS(INDEX(tItens[Edital],1):tItens[[#This Row],[Edital]],tItens[[#This Row],[Edital]],INDEX(tItens[Produto],1):tItens[[#This Row],[Produto]],tItens[[#This Row],[Produto]])=1,1,0)</f>
        <v>1</v>
      </c>
    </row>
    <row r="282" spans="1:16" x14ac:dyDescent="0.25">
      <c r="A282" t="s">
        <v>796</v>
      </c>
      <c r="B282">
        <v>179</v>
      </c>
      <c r="C282" t="s">
        <v>3503</v>
      </c>
      <c r="D282" t="s">
        <v>156</v>
      </c>
      <c r="E282" s="13">
        <v>3</v>
      </c>
      <c r="F282" s="12">
        <v>20.58</v>
      </c>
      <c r="G282" t="str">
        <f>IFERROR(INDEX(tEditais[Órgão],MATCH(tItens[[#This Row],[Edital]],tEditais[Edital],0)),"")</f>
        <v>INSTITUTO BRASILEIRO DO MEIO AMBIENTE E DOS RECURSOS NATURAIS RENOVAVEIS-IBAMA</v>
      </c>
      <c r="H282" t="str">
        <f>IFERROR(INDEX(tEditais[UF],MATCH(tItens[[#This Row],[Edital]],tEditais[Edital],0)),"")</f>
        <v>AP</v>
      </c>
      <c r="I282" s="11">
        <f>IFERROR(INDEX(tEditais[Encerramento],MATCH(tItens[[#This Row],[Edital]],tEditais[Edital],0)),"")</f>
        <v>46310.375</v>
      </c>
      <c r="J282" t="str">
        <f>IFERROR(INDEX(tProdutos[Classe],MATCH(tItens[[#This Row],[Produto]],tProdutos[Produto],0)),"produto não cadastrado")</f>
        <v>DISPUTADO</v>
      </c>
      <c r="K282" s="12">
        <f>tItens[[#This Row],[Qtd]]*tItens[[#This Row],[Vlr unit]]</f>
        <v>61.739999999999995</v>
      </c>
      <c r="L282" s="6">
        <f>IFERROR(IF(INDEX(tProdutos[Desconto homologado],MATCH(tItens[[#This Row],[Produto]],tProdutos[Produto],0))="",DescontoPadrao,INDEX(tProdutos[Desconto homologado],MATCH(tItens[[#This Row],[Produto]],tProdutos[Produto],0))),DescontoPadrao)</f>
        <v>0.27131852489802799</v>
      </c>
      <c r="M282" s="12">
        <f>tItens[[#This Row],[Valor]]*(1-tItens[[#This Row],[Desconto]])</f>
        <v>44.988794272795751</v>
      </c>
      <c r="N282" t="str">
        <f>IFERROR(INDEX(tProdutos[Foco],MATCH(tItens[[#This Row],[Produto]],tProdutos[Produto],0)),"Não")</f>
        <v>Não</v>
      </c>
      <c r="O282" t="str">
        <f>IFERROR(INDEX(tEditais[SRP],MATCH(tItens[[#This Row],[Edital]],tEditais[Edital],0)),"Não")</f>
        <v>Não</v>
      </c>
      <c r="P282" s="4">
        <f>IF(COUNTIFS(INDEX(tItens[Edital],1):tItens[[#This Row],[Edital]],tItens[[#This Row],[Edital]],INDEX(tItens[Produto],1):tItens[[#This Row],[Produto]],tItens[[#This Row],[Produto]])=1,1,0)</f>
        <v>1</v>
      </c>
    </row>
    <row r="283" spans="1:16" x14ac:dyDescent="0.25">
      <c r="A283" t="s">
        <v>803</v>
      </c>
      <c r="B283">
        <v>4</v>
      </c>
      <c r="C283" t="s">
        <v>3504</v>
      </c>
      <c r="D283" t="s">
        <v>339</v>
      </c>
      <c r="E283" s="13">
        <v>1</v>
      </c>
      <c r="F283" s="12">
        <v>0</v>
      </c>
      <c r="G283" t="str">
        <f>IFERROR(INDEX(tEditais[Órgão],MATCH(tItens[[#This Row],[Edital]],tEditais[Edital],0)),"")</f>
        <v>MUNICIPIO DE IBIRAPITANGA</v>
      </c>
      <c r="H283" t="str">
        <f>IFERROR(INDEX(tEditais[UF],MATCH(tItens[[#This Row],[Edital]],tEditais[Edital],0)),"")</f>
        <v>BA</v>
      </c>
      <c r="I283" s="11">
        <f>IFERROR(INDEX(tEditais[Encerramento],MATCH(tItens[[#This Row],[Edital]],tEditais[Edital],0)),"")</f>
        <v>46304.333333333336</v>
      </c>
      <c r="J283" t="str">
        <f>IFERROR(INDEX(tProdutos[Classe],MATCH(tItens[[#This Row],[Produto]],tProdutos[Produto],0)),"produto não cadastrado")</f>
        <v>FORA</v>
      </c>
      <c r="K283" s="12">
        <f>tItens[[#This Row],[Qtd]]*tItens[[#This Row],[Vlr unit]]</f>
        <v>0</v>
      </c>
      <c r="L283" s="6">
        <f>IFERROR(IF(INDEX(tProdutos[Desconto homologado],MATCH(tItens[[#This Row],[Produto]],tProdutos[Produto],0))="",DescontoPadrao,INDEX(tProdutos[Desconto homologado],MATCH(tItens[[#This Row],[Produto]],tProdutos[Produto],0))),DescontoPadrao)</f>
        <v>0.35388629091804102</v>
      </c>
      <c r="M283" s="12">
        <f>tItens[[#This Row],[Valor]]*(1-tItens[[#This Row],[Desconto]])</f>
        <v>0</v>
      </c>
      <c r="N283" t="str">
        <f>IFERROR(INDEX(tProdutos[Foco],MATCH(tItens[[#This Row],[Produto]],tProdutos[Produto],0)),"Não")</f>
        <v>Não</v>
      </c>
      <c r="O283" t="str">
        <f>IFERROR(INDEX(tEditais[SRP],MATCH(tItens[[#This Row],[Edital]],tEditais[Edital],0)),"Não")</f>
        <v>Sim</v>
      </c>
      <c r="P283" s="4">
        <f>IF(COUNTIFS(INDEX(tItens[Edital],1):tItens[[#This Row],[Edital]],tItens[[#This Row],[Edital]],INDEX(tItens[Produto],1):tItens[[#This Row],[Produto]],tItens[[#This Row],[Produto]])=1,1,0)</f>
        <v>1</v>
      </c>
    </row>
    <row r="284" spans="1:16" x14ac:dyDescent="0.25">
      <c r="A284" t="s">
        <v>809</v>
      </c>
      <c r="B284">
        <v>8019240</v>
      </c>
      <c r="C284" t="s">
        <v>3505</v>
      </c>
      <c r="D284" t="s">
        <v>578</v>
      </c>
      <c r="E284" s="13">
        <v>1</v>
      </c>
      <c r="F284" s="12">
        <v>11795.52</v>
      </c>
      <c r="G284" t="str">
        <f>IFERROR(INDEX(tEditais[Órgão],MATCH(tItens[[#This Row],[Edital]],tEditais[Edital],0)),"")</f>
        <v>MUNICIPIO DE PIRIPA</v>
      </c>
      <c r="H284" t="str">
        <f>IFERROR(INDEX(tEditais[UF],MATCH(tItens[[#This Row],[Edital]],tEditais[Edital],0)),"")</f>
        <v>BA</v>
      </c>
      <c r="I284" s="11">
        <f>IFERROR(INDEX(tEditais[Encerramento],MATCH(tItens[[#This Row],[Edital]],tEditais[Edital],0)),"")</f>
        <v>46304.375</v>
      </c>
      <c r="J284" t="str">
        <f>IFERROR(INDEX(tProdutos[Classe],MATCH(tItens[[#This Row],[Produto]],tProdutos[Produto],0)),"produto não cadastrado")</f>
        <v>FILA REBASE</v>
      </c>
      <c r="K284" s="12">
        <f>tItens[[#This Row],[Qtd]]*tItens[[#This Row],[Vlr unit]]</f>
        <v>11795.52</v>
      </c>
      <c r="L284" s="6">
        <f>IFERROR(IF(INDEX(tProdutos[Desconto homologado],MATCH(tItens[[#This Row],[Produto]],tProdutos[Produto],0))="",DescontoPadrao,INDEX(tProdutos[Desconto homologado],MATCH(tItens[[#This Row],[Produto]],tProdutos[Produto],0))),DescontoPadrao)</f>
        <v>0.36014625228519198</v>
      </c>
      <c r="M284" s="12">
        <f>tItens[[#This Row],[Valor]]*(1-tItens[[#This Row],[Desconto]])</f>
        <v>7547.4076782449729</v>
      </c>
      <c r="N284" t="str">
        <f>IFERROR(INDEX(tProdutos[Foco],MATCH(tItens[[#This Row],[Produto]],tProdutos[Produto],0)),"Não")</f>
        <v>Não</v>
      </c>
      <c r="O284" t="str">
        <f>IFERROR(INDEX(tEditais[SRP],MATCH(tItens[[#This Row],[Edital]],tEditais[Edital],0)),"Não")</f>
        <v>Sim</v>
      </c>
      <c r="P284" s="4">
        <f>IF(COUNTIFS(INDEX(tItens[Edital],1):tItens[[#This Row],[Edital]],tItens[[#This Row],[Edital]],INDEX(tItens[Produto],1):tItens[[#This Row],[Produto]],tItens[[#This Row],[Produto]])=1,1,0)</f>
        <v>1</v>
      </c>
    </row>
    <row r="285" spans="1:16" x14ac:dyDescent="0.25">
      <c r="A285" t="s">
        <v>809</v>
      </c>
      <c r="B285">
        <v>8019264</v>
      </c>
      <c r="C285" t="s">
        <v>3506</v>
      </c>
      <c r="D285" t="s">
        <v>215</v>
      </c>
      <c r="E285" s="13">
        <v>4</v>
      </c>
      <c r="F285" s="12">
        <v>300.3</v>
      </c>
      <c r="G285" t="str">
        <f>IFERROR(INDEX(tEditais[Órgão],MATCH(tItens[[#This Row],[Edital]],tEditais[Edital],0)),"")</f>
        <v>MUNICIPIO DE PIRIPA</v>
      </c>
      <c r="H285" t="str">
        <f>IFERROR(INDEX(tEditais[UF],MATCH(tItens[[#This Row],[Edital]],tEditais[Edital],0)),"")</f>
        <v>BA</v>
      </c>
      <c r="I285" s="11">
        <f>IFERROR(INDEX(tEditais[Encerramento],MATCH(tItens[[#This Row],[Edital]],tEditais[Edital],0)),"")</f>
        <v>46304.375</v>
      </c>
      <c r="J285" t="str">
        <f>IFERROR(INDEX(tProdutos[Classe],MATCH(tItens[[#This Row],[Produto]],tProdutos[Produto],0)),"produto não cadastrado")</f>
        <v>FORA</v>
      </c>
      <c r="K285" s="12">
        <f>tItens[[#This Row],[Qtd]]*tItens[[#This Row],[Vlr unit]]</f>
        <v>1201.2</v>
      </c>
      <c r="L285" s="6">
        <f>IFERROR(IF(INDEX(tProdutos[Desconto homologado],MATCH(tItens[[#This Row],[Produto]],tProdutos[Produto],0))="",DescontoPadrao,INDEX(tProdutos[Desconto homologado],MATCH(tItens[[#This Row],[Produto]],tProdutos[Produto],0))),DescontoPadrao)</f>
        <v>0.27710245735301298</v>
      </c>
      <c r="M285" s="12">
        <f>tItens[[#This Row],[Valor]]*(1-tItens[[#This Row],[Desconto]])</f>
        <v>868.34452822756089</v>
      </c>
      <c r="N285" t="str">
        <f>IFERROR(INDEX(tProdutos[Foco],MATCH(tItens[[#This Row],[Produto]],tProdutos[Produto],0)),"Não")</f>
        <v>Não</v>
      </c>
      <c r="O285" t="str">
        <f>IFERROR(INDEX(tEditais[SRP],MATCH(tItens[[#This Row],[Edital]],tEditais[Edital],0)),"Não")</f>
        <v>Sim</v>
      </c>
      <c r="P285" s="4">
        <f>IF(COUNTIFS(INDEX(tItens[Edital],1):tItens[[#This Row],[Edital]],tItens[[#This Row],[Edital]],INDEX(tItens[Produto],1):tItens[[#This Row],[Produto]],tItens[[#This Row],[Produto]])=1,1,0)</f>
        <v>1</v>
      </c>
    </row>
    <row r="286" spans="1:16" x14ac:dyDescent="0.25">
      <c r="A286" t="s">
        <v>814</v>
      </c>
      <c r="B286">
        <v>4</v>
      </c>
      <c r="C286" t="s">
        <v>3507</v>
      </c>
      <c r="D286" t="s">
        <v>339</v>
      </c>
      <c r="E286" s="13">
        <v>1</v>
      </c>
      <c r="F286" s="12">
        <v>0</v>
      </c>
      <c r="G286" t="str">
        <f>IFERROR(INDEX(tEditais[Órgão],MATCH(tItens[[#This Row],[Edital]],tEditais[Edital],0)),"")</f>
        <v>MUNICIPIO DE IBIRAPITANGA</v>
      </c>
      <c r="H286" t="str">
        <f>IFERROR(INDEX(tEditais[UF],MATCH(tItens[[#This Row],[Edital]],tEditais[Edital],0)),"")</f>
        <v>BA</v>
      </c>
      <c r="I286" s="11">
        <f>IFERROR(INDEX(tEditais[Encerramento],MATCH(tItens[[#This Row],[Edital]],tEditais[Edital],0)),"")</f>
        <v>46304.375</v>
      </c>
      <c r="J286" t="str">
        <f>IFERROR(INDEX(tProdutos[Classe],MATCH(tItens[[#This Row],[Produto]],tProdutos[Produto],0)),"produto não cadastrado")</f>
        <v>FORA</v>
      </c>
      <c r="K286" s="12">
        <f>tItens[[#This Row],[Qtd]]*tItens[[#This Row],[Vlr unit]]</f>
        <v>0</v>
      </c>
      <c r="L286" s="6">
        <f>IFERROR(IF(INDEX(tProdutos[Desconto homologado],MATCH(tItens[[#This Row],[Produto]],tProdutos[Produto],0))="",DescontoPadrao,INDEX(tProdutos[Desconto homologado],MATCH(tItens[[#This Row],[Produto]],tProdutos[Produto],0))),DescontoPadrao)</f>
        <v>0.35388629091804102</v>
      </c>
      <c r="M286" s="12">
        <f>tItens[[#This Row],[Valor]]*(1-tItens[[#This Row],[Desconto]])</f>
        <v>0</v>
      </c>
      <c r="N286" t="str">
        <f>IFERROR(INDEX(tProdutos[Foco],MATCH(tItens[[#This Row],[Produto]],tProdutos[Produto],0)),"Não")</f>
        <v>Não</v>
      </c>
      <c r="O286" t="str">
        <f>IFERROR(INDEX(tEditais[SRP],MATCH(tItens[[#This Row],[Edital]],tEditais[Edital],0)),"Não")</f>
        <v>Sim</v>
      </c>
      <c r="P286" s="4">
        <f>IF(COUNTIFS(INDEX(tItens[Edital],1):tItens[[#This Row],[Edital]],tItens[[#This Row],[Edital]],INDEX(tItens[Produto],1):tItens[[#This Row],[Produto]],tItens[[#This Row],[Produto]])=1,1,0)</f>
        <v>1</v>
      </c>
    </row>
    <row r="287" spans="1:16" x14ac:dyDescent="0.25">
      <c r="A287" t="s">
        <v>815</v>
      </c>
      <c r="B287">
        <v>8041300</v>
      </c>
      <c r="C287" t="s">
        <v>3508</v>
      </c>
      <c r="D287" t="s">
        <v>315</v>
      </c>
      <c r="E287" s="13">
        <v>400</v>
      </c>
      <c r="F287" s="12">
        <v>13.51</v>
      </c>
      <c r="G287" t="str">
        <f>IFERROR(INDEX(tEditais[Órgão],MATCH(tItens[[#This Row],[Edital]],tEditais[Edital],0)),"")</f>
        <v>MUNICIPIO DE BREJOES</v>
      </c>
      <c r="H287" t="str">
        <f>IFERROR(INDEX(tEditais[UF],MATCH(tItens[[#This Row],[Edital]],tEditais[Edital],0)),"")</f>
        <v>BA</v>
      </c>
      <c r="I287" s="11">
        <f>IFERROR(INDEX(tEditais[Encerramento],MATCH(tItens[[#This Row],[Edital]],tEditais[Edital],0)),"")</f>
        <v>46304.416666666664</v>
      </c>
      <c r="J287" t="str">
        <f>IFERROR(INDEX(tProdutos[Classe],MATCH(tItens[[#This Row],[Produto]],tProdutos[Produto],0)),"produto não cadastrado")</f>
        <v>FORA</v>
      </c>
      <c r="K287" s="12">
        <f>tItens[[#This Row],[Qtd]]*tItens[[#This Row],[Vlr unit]]</f>
        <v>5404</v>
      </c>
      <c r="L287" s="6">
        <f>IFERROR(IF(INDEX(tProdutos[Desconto homologado],MATCH(tItens[[#This Row],[Produto]],tProdutos[Produto],0))="",DescontoPadrao,INDEX(tProdutos[Desconto homologado],MATCH(tItens[[#This Row],[Produto]],tProdutos[Produto],0))),DescontoPadrao)</f>
        <v>0.38432036097010702</v>
      </c>
      <c r="M287" s="12">
        <f>tItens[[#This Row],[Valor]]*(1-tItens[[#This Row],[Desconto]])</f>
        <v>3327.1327693175417</v>
      </c>
      <c r="N287" t="str">
        <f>IFERROR(INDEX(tProdutos[Foco],MATCH(tItens[[#This Row],[Produto]],tProdutos[Produto],0)),"Não")</f>
        <v>Não</v>
      </c>
      <c r="O287" t="str">
        <f>IFERROR(INDEX(tEditais[SRP],MATCH(tItens[[#This Row],[Edital]],tEditais[Edital],0)),"Não")</f>
        <v>Sim</v>
      </c>
      <c r="P287" s="4">
        <f>IF(COUNTIFS(INDEX(tItens[Edital],1):tItens[[#This Row],[Edital]],tItens[[#This Row],[Edital]],INDEX(tItens[Produto],1):tItens[[#This Row],[Produto]],tItens[[#This Row],[Produto]])=1,1,0)</f>
        <v>1</v>
      </c>
    </row>
    <row r="288" spans="1:16" x14ac:dyDescent="0.25">
      <c r="A288" t="s">
        <v>815</v>
      </c>
      <c r="B288">
        <v>8041301</v>
      </c>
      <c r="C288" t="s">
        <v>3509</v>
      </c>
      <c r="D288" t="s">
        <v>315</v>
      </c>
      <c r="E288" s="13">
        <v>400</v>
      </c>
      <c r="F288" s="12">
        <v>13.53</v>
      </c>
      <c r="G288" t="str">
        <f>IFERROR(INDEX(tEditais[Órgão],MATCH(tItens[[#This Row],[Edital]],tEditais[Edital],0)),"")</f>
        <v>MUNICIPIO DE BREJOES</v>
      </c>
      <c r="H288" t="str">
        <f>IFERROR(INDEX(tEditais[UF],MATCH(tItens[[#This Row],[Edital]],tEditais[Edital],0)),"")</f>
        <v>BA</v>
      </c>
      <c r="I288" s="11">
        <f>IFERROR(INDEX(tEditais[Encerramento],MATCH(tItens[[#This Row],[Edital]],tEditais[Edital],0)),"")</f>
        <v>46304.416666666664</v>
      </c>
      <c r="J288" t="str">
        <f>IFERROR(INDEX(tProdutos[Classe],MATCH(tItens[[#This Row],[Produto]],tProdutos[Produto],0)),"produto não cadastrado")</f>
        <v>FORA</v>
      </c>
      <c r="K288" s="12">
        <f>tItens[[#This Row],[Qtd]]*tItens[[#This Row],[Vlr unit]]</f>
        <v>5412</v>
      </c>
      <c r="L288" s="6">
        <f>IFERROR(IF(INDEX(tProdutos[Desconto homologado],MATCH(tItens[[#This Row],[Produto]],tProdutos[Produto],0))="",DescontoPadrao,INDEX(tProdutos[Desconto homologado],MATCH(tItens[[#This Row],[Produto]],tProdutos[Produto],0))),DescontoPadrao)</f>
        <v>0.38432036097010702</v>
      </c>
      <c r="M288" s="12">
        <f>tItens[[#This Row],[Valor]]*(1-tItens[[#This Row],[Desconto]])</f>
        <v>3332.058206429781</v>
      </c>
      <c r="N288" t="str">
        <f>IFERROR(INDEX(tProdutos[Foco],MATCH(tItens[[#This Row],[Produto]],tProdutos[Produto],0)),"Não")</f>
        <v>Não</v>
      </c>
      <c r="O288" t="str">
        <f>IFERROR(INDEX(tEditais[SRP],MATCH(tItens[[#This Row],[Edital]],tEditais[Edital],0)),"Não")</f>
        <v>Sim</v>
      </c>
      <c r="P288" s="4">
        <f>IF(COUNTIFS(INDEX(tItens[Edital],1):tItens[[#This Row],[Edital]],tItens[[#This Row],[Edital]],INDEX(tItens[Produto],1):tItens[[#This Row],[Produto]],tItens[[#This Row],[Produto]])=1,1,0)</f>
        <v>0</v>
      </c>
    </row>
    <row r="289" spans="1:16" x14ac:dyDescent="0.25">
      <c r="A289" t="s">
        <v>815</v>
      </c>
      <c r="B289">
        <v>8041302</v>
      </c>
      <c r="C289" t="s">
        <v>3510</v>
      </c>
      <c r="D289" t="s">
        <v>315</v>
      </c>
      <c r="E289" s="13">
        <v>400</v>
      </c>
      <c r="F289" s="12">
        <v>14.32</v>
      </c>
      <c r="G289" t="str">
        <f>IFERROR(INDEX(tEditais[Órgão],MATCH(tItens[[#This Row],[Edital]],tEditais[Edital],0)),"")</f>
        <v>MUNICIPIO DE BREJOES</v>
      </c>
      <c r="H289" t="str">
        <f>IFERROR(INDEX(tEditais[UF],MATCH(tItens[[#This Row],[Edital]],tEditais[Edital],0)),"")</f>
        <v>BA</v>
      </c>
      <c r="I289" s="11">
        <f>IFERROR(INDEX(tEditais[Encerramento],MATCH(tItens[[#This Row],[Edital]],tEditais[Edital],0)),"")</f>
        <v>46304.416666666664</v>
      </c>
      <c r="J289" t="str">
        <f>IFERROR(INDEX(tProdutos[Classe],MATCH(tItens[[#This Row],[Produto]],tProdutos[Produto],0)),"produto não cadastrado")</f>
        <v>FORA</v>
      </c>
      <c r="K289" s="12">
        <f>tItens[[#This Row],[Qtd]]*tItens[[#This Row],[Vlr unit]]</f>
        <v>5728</v>
      </c>
      <c r="L289" s="6">
        <f>IFERROR(IF(INDEX(tProdutos[Desconto homologado],MATCH(tItens[[#This Row],[Produto]],tProdutos[Produto],0))="",DescontoPadrao,INDEX(tProdutos[Desconto homologado],MATCH(tItens[[#This Row],[Produto]],tProdutos[Produto],0))),DescontoPadrao)</f>
        <v>0.38432036097010702</v>
      </c>
      <c r="M289" s="12">
        <f>tItens[[#This Row],[Valor]]*(1-tItens[[#This Row],[Desconto]])</f>
        <v>3526.6129723632271</v>
      </c>
      <c r="N289" t="str">
        <f>IFERROR(INDEX(tProdutos[Foco],MATCH(tItens[[#This Row],[Produto]],tProdutos[Produto],0)),"Não")</f>
        <v>Não</v>
      </c>
      <c r="O289" t="str">
        <f>IFERROR(INDEX(tEditais[SRP],MATCH(tItens[[#This Row],[Edital]],tEditais[Edital],0)),"Não")</f>
        <v>Sim</v>
      </c>
      <c r="P289" s="4">
        <f>IF(COUNTIFS(INDEX(tItens[Edital],1):tItens[[#This Row],[Edital]],tItens[[#This Row],[Edital]],INDEX(tItens[Produto],1):tItens[[#This Row],[Produto]],tItens[[#This Row],[Produto]])=1,1,0)</f>
        <v>0</v>
      </c>
    </row>
    <row r="290" spans="1:16" x14ac:dyDescent="0.25">
      <c r="A290" t="s">
        <v>815</v>
      </c>
      <c r="B290">
        <v>8041303</v>
      </c>
      <c r="C290" t="s">
        <v>3511</v>
      </c>
      <c r="D290" t="s">
        <v>315</v>
      </c>
      <c r="E290" s="13">
        <v>400</v>
      </c>
      <c r="F290" s="12">
        <v>12.19</v>
      </c>
      <c r="G290" t="str">
        <f>IFERROR(INDEX(tEditais[Órgão],MATCH(tItens[[#This Row],[Edital]],tEditais[Edital],0)),"")</f>
        <v>MUNICIPIO DE BREJOES</v>
      </c>
      <c r="H290" t="str">
        <f>IFERROR(INDEX(tEditais[UF],MATCH(tItens[[#This Row],[Edital]],tEditais[Edital],0)),"")</f>
        <v>BA</v>
      </c>
      <c r="I290" s="11">
        <f>IFERROR(INDEX(tEditais[Encerramento],MATCH(tItens[[#This Row],[Edital]],tEditais[Edital],0)),"")</f>
        <v>46304.416666666664</v>
      </c>
      <c r="J290" t="str">
        <f>IFERROR(INDEX(tProdutos[Classe],MATCH(tItens[[#This Row],[Produto]],tProdutos[Produto],0)),"produto não cadastrado")</f>
        <v>FORA</v>
      </c>
      <c r="K290" s="12">
        <f>tItens[[#This Row],[Qtd]]*tItens[[#This Row],[Vlr unit]]</f>
        <v>4876</v>
      </c>
      <c r="L290" s="6">
        <f>IFERROR(IF(INDEX(tProdutos[Desconto homologado],MATCH(tItens[[#This Row],[Produto]],tProdutos[Produto],0))="",DescontoPadrao,INDEX(tProdutos[Desconto homologado],MATCH(tItens[[#This Row],[Produto]],tProdutos[Produto],0))),DescontoPadrao)</f>
        <v>0.38432036097010702</v>
      </c>
      <c r="M290" s="12">
        <f>tItens[[#This Row],[Valor]]*(1-tItens[[#This Row],[Desconto]])</f>
        <v>3002.053919909758</v>
      </c>
      <c r="N290" t="str">
        <f>IFERROR(INDEX(tProdutos[Foco],MATCH(tItens[[#This Row],[Produto]],tProdutos[Produto],0)),"Não")</f>
        <v>Não</v>
      </c>
      <c r="O290" t="str">
        <f>IFERROR(INDEX(tEditais[SRP],MATCH(tItens[[#This Row],[Edital]],tEditais[Edital],0)),"Não")</f>
        <v>Sim</v>
      </c>
      <c r="P290" s="4">
        <f>IF(COUNTIFS(INDEX(tItens[Edital],1):tItens[[#This Row],[Edital]],tItens[[#This Row],[Edital]],INDEX(tItens[Produto],1):tItens[[#This Row],[Produto]],tItens[[#This Row],[Produto]])=1,1,0)</f>
        <v>0</v>
      </c>
    </row>
    <row r="291" spans="1:16" x14ac:dyDescent="0.25">
      <c r="A291" t="s">
        <v>815</v>
      </c>
      <c r="B291">
        <v>8041304</v>
      </c>
      <c r="C291" t="s">
        <v>3512</v>
      </c>
      <c r="D291" t="s">
        <v>315</v>
      </c>
      <c r="E291" s="13">
        <v>400</v>
      </c>
      <c r="F291" s="12">
        <v>13.53</v>
      </c>
      <c r="G291" t="str">
        <f>IFERROR(INDEX(tEditais[Órgão],MATCH(tItens[[#This Row],[Edital]],tEditais[Edital],0)),"")</f>
        <v>MUNICIPIO DE BREJOES</v>
      </c>
      <c r="H291" t="str">
        <f>IFERROR(INDEX(tEditais[UF],MATCH(tItens[[#This Row],[Edital]],tEditais[Edital],0)),"")</f>
        <v>BA</v>
      </c>
      <c r="I291" s="11">
        <f>IFERROR(INDEX(tEditais[Encerramento],MATCH(tItens[[#This Row],[Edital]],tEditais[Edital],0)),"")</f>
        <v>46304.416666666664</v>
      </c>
      <c r="J291" t="str">
        <f>IFERROR(INDEX(tProdutos[Classe],MATCH(tItens[[#This Row],[Produto]],tProdutos[Produto],0)),"produto não cadastrado")</f>
        <v>FORA</v>
      </c>
      <c r="K291" s="12">
        <f>tItens[[#This Row],[Qtd]]*tItens[[#This Row],[Vlr unit]]</f>
        <v>5412</v>
      </c>
      <c r="L291" s="6">
        <f>IFERROR(IF(INDEX(tProdutos[Desconto homologado],MATCH(tItens[[#This Row],[Produto]],tProdutos[Produto],0))="",DescontoPadrao,INDEX(tProdutos[Desconto homologado],MATCH(tItens[[#This Row],[Produto]],tProdutos[Produto],0))),DescontoPadrao)</f>
        <v>0.38432036097010702</v>
      </c>
      <c r="M291" s="12">
        <f>tItens[[#This Row],[Valor]]*(1-tItens[[#This Row],[Desconto]])</f>
        <v>3332.058206429781</v>
      </c>
      <c r="N291" t="str">
        <f>IFERROR(INDEX(tProdutos[Foco],MATCH(tItens[[#This Row],[Produto]],tProdutos[Produto],0)),"Não")</f>
        <v>Não</v>
      </c>
      <c r="O291" t="str">
        <f>IFERROR(INDEX(tEditais[SRP],MATCH(tItens[[#This Row],[Edital]],tEditais[Edital],0)),"Não")</f>
        <v>Sim</v>
      </c>
      <c r="P291" s="4">
        <f>IF(COUNTIFS(INDEX(tItens[Edital],1):tItens[[#This Row],[Edital]],tItens[[#This Row],[Edital]],INDEX(tItens[Produto],1):tItens[[#This Row],[Produto]],tItens[[#This Row],[Produto]])=1,1,0)</f>
        <v>0</v>
      </c>
    </row>
    <row r="292" spans="1:16" x14ac:dyDescent="0.25">
      <c r="A292" t="s">
        <v>815</v>
      </c>
      <c r="B292">
        <v>8041305</v>
      </c>
      <c r="C292" t="s">
        <v>3513</v>
      </c>
      <c r="D292" t="s">
        <v>315</v>
      </c>
      <c r="E292" s="13">
        <v>400</v>
      </c>
      <c r="F292" s="12">
        <v>13.5</v>
      </c>
      <c r="G292" t="str">
        <f>IFERROR(INDEX(tEditais[Órgão],MATCH(tItens[[#This Row],[Edital]],tEditais[Edital],0)),"")</f>
        <v>MUNICIPIO DE BREJOES</v>
      </c>
      <c r="H292" t="str">
        <f>IFERROR(INDEX(tEditais[UF],MATCH(tItens[[#This Row],[Edital]],tEditais[Edital],0)),"")</f>
        <v>BA</v>
      </c>
      <c r="I292" s="11">
        <f>IFERROR(INDEX(tEditais[Encerramento],MATCH(tItens[[#This Row],[Edital]],tEditais[Edital],0)),"")</f>
        <v>46304.416666666664</v>
      </c>
      <c r="J292" t="str">
        <f>IFERROR(INDEX(tProdutos[Classe],MATCH(tItens[[#This Row],[Produto]],tProdutos[Produto],0)),"produto não cadastrado")</f>
        <v>FORA</v>
      </c>
      <c r="K292" s="12">
        <f>tItens[[#This Row],[Qtd]]*tItens[[#This Row],[Vlr unit]]</f>
        <v>5400</v>
      </c>
      <c r="L292" s="6">
        <f>IFERROR(IF(INDEX(tProdutos[Desconto homologado],MATCH(tItens[[#This Row],[Produto]],tProdutos[Produto],0))="",DescontoPadrao,INDEX(tProdutos[Desconto homologado],MATCH(tItens[[#This Row],[Produto]],tProdutos[Produto],0))),DescontoPadrao)</f>
        <v>0.38432036097010702</v>
      </c>
      <c r="M292" s="12">
        <f>tItens[[#This Row],[Valor]]*(1-tItens[[#This Row],[Desconto]])</f>
        <v>3324.6700507614219</v>
      </c>
      <c r="N292" t="str">
        <f>IFERROR(INDEX(tProdutos[Foco],MATCH(tItens[[#This Row],[Produto]],tProdutos[Produto],0)),"Não")</f>
        <v>Não</v>
      </c>
      <c r="O292" t="str">
        <f>IFERROR(INDEX(tEditais[SRP],MATCH(tItens[[#This Row],[Edital]],tEditais[Edital],0)),"Não")</f>
        <v>Sim</v>
      </c>
      <c r="P292" s="4">
        <f>IF(COUNTIFS(INDEX(tItens[Edital],1):tItens[[#This Row],[Edital]],tItens[[#This Row],[Edital]],INDEX(tItens[Produto],1):tItens[[#This Row],[Produto]],tItens[[#This Row],[Produto]])=1,1,0)</f>
        <v>0</v>
      </c>
    </row>
    <row r="293" spans="1:16" x14ac:dyDescent="0.25">
      <c r="A293" t="s">
        <v>815</v>
      </c>
      <c r="B293">
        <v>8041306</v>
      </c>
      <c r="C293" t="s">
        <v>3514</v>
      </c>
      <c r="D293" t="s">
        <v>315</v>
      </c>
      <c r="E293" s="13">
        <v>400</v>
      </c>
      <c r="F293" s="12">
        <v>14.67</v>
      </c>
      <c r="G293" t="str">
        <f>IFERROR(INDEX(tEditais[Órgão],MATCH(tItens[[#This Row],[Edital]],tEditais[Edital],0)),"")</f>
        <v>MUNICIPIO DE BREJOES</v>
      </c>
      <c r="H293" t="str">
        <f>IFERROR(INDEX(tEditais[UF],MATCH(tItens[[#This Row],[Edital]],tEditais[Edital],0)),"")</f>
        <v>BA</v>
      </c>
      <c r="I293" s="11">
        <f>IFERROR(INDEX(tEditais[Encerramento],MATCH(tItens[[#This Row],[Edital]],tEditais[Edital],0)),"")</f>
        <v>46304.416666666664</v>
      </c>
      <c r="J293" t="str">
        <f>IFERROR(INDEX(tProdutos[Classe],MATCH(tItens[[#This Row],[Produto]],tProdutos[Produto],0)),"produto não cadastrado")</f>
        <v>FORA</v>
      </c>
      <c r="K293" s="12">
        <f>tItens[[#This Row],[Qtd]]*tItens[[#This Row],[Vlr unit]]</f>
        <v>5868</v>
      </c>
      <c r="L293" s="6">
        <f>IFERROR(IF(INDEX(tProdutos[Desconto homologado],MATCH(tItens[[#This Row],[Produto]],tProdutos[Produto],0))="",DescontoPadrao,INDEX(tProdutos[Desconto homologado],MATCH(tItens[[#This Row],[Produto]],tProdutos[Produto],0))),DescontoPadrao)</f>
        <v>0.38432036097010702</v>
      </c>
      <c r="M293" s="12">
        <f>tItens[[#This Row],[Valor]]*(1-tItens[[#This Row],[Desconto]])</f>
        <v>3612.8081218274119</v>
      </c>
      <c r="N293" t="str">
        <f>IFERROR(INDEX(tProdutos[Foco],MATCH(tItens[[#This Row],[Produto]],tProdutos[Produto],0)),"Não")</f>
        <v>Não</v>
      </c>
      <c r="O293" t="str">
        <f>IFERROR(INDEX(tEditais[SRP],MATCH(tItens[[#This Row],[Edital]],tEditais[Edital],0)),"Não")</f>
        <v>Sim</v>
      </c>
      <c r="P293" s="4">
        <f>IF(COUNTIFS(INDEX(tItens[Edital],1):tItens[[#This Row],[Edital]],tItens[[#This Row],[Edital]],INDEX(tItens[Produto],1):tItens[[#This Row],[Produto]],tItens[[#This Row],[Produto]])=1,1,0)</f>
        <v>0</v>
      </c>
    </row>
    <row r="294" spans="1:16" x14ac:dyDescent="0.25">
      <c r="A294" t="s">
        <v>815</v>
      </c>
      <c r="B294">
        <v>8041312</v>
      </c>
      <c r="C294" t="s">
        <v>3515</v>
      </c>
      <c r="D294" t="s">
        <v>62</v>
      </c>
      <c r="E294" s="13">
        <v>500</v>
      </c>
      <c r="F294" s="12">
        <v>7.52</v>
      </c>
      <c r="G294" t="str">
        <f>IFERROR(INDEX(tEditais[Órgão],MATCH(tItens[[#This Row],[Edital]],tEditais[Edital],0)),"")</f>
        <v>MUNICIPIO DE BREJOES</v>
      </c>
      <c r="H294" t="str">
        <f>IFERROR(INDEX(tEditais[UF],MATCH(tItens[[#This Row],[Edital]],tEditais[Edital],0)),"")</f>
        <v>BA</v>
      </c>
      <c r="I294" s="11">
        <f>IFERROR(INDEX(tEditais[Encerramento],MATCH(tItens[[#This Row],[Edital]],tEditais[Edital],0)),"")</f>
        <v>46304.416666666664</v>
      </c>
      <c r="J294" t="str">
        <f>IFERROR(INDEX(tProdutos[Classe],MATCH(tItens[[#This Row],[Produto]],tProdutos[Produto],0)),"produto não cadastrado")</f>
        <v>NÚCLEO</v>
      </c>
      <c r="K294" s="12">
        <f>tItens[[#This Row],[Qtd]]*tItens[[#This Row],[Vlr unit]]</f>
        <v>3760</v>
      </c>
      <c r="L294" s="6">
        <f>IFERROR(IF(INDEX(tProdutos[Desconto homologado],MATCH(tItens[[#This Row],[Produto]],tProdutos[Produto],0))="",DescontoPadrao,INDEX(tProdutos[Desconto homologado],MATCH(tItens[[#This Row],[Produto]],tProdutos[Produto],0))),DescontoPadrao)</f>
        <v>0.3</v>
      </c>
      <c r="M294" s="12">
        <f>tItens[[#This Row],[Valor]]*(1-tItens[[#This Row],[Desconto]])</f>
        <v>2632</v>
      </c>
      <c r="N294" t="str">
        <f>IFERROR(INDEX(tProdutos[Foco],MATCH(tItens[[#This Row],[Produto]],tProdutos[Produto],0)),"Não")</f>
        <v>Sim</v>
      </c>
      <c r="O294" t="str">
        <f>IFERROR(INDEX(tEditais[SRP],MATCH(tItens[[#This Row],[Edital]],tEditais[Edital],0)),"Não")</f>
        <v>Sim</v>
      </c>
      <c r="P294" s="4">
        <f>IF(COUNTIFS(INDEX(tItens[Edital],1):tItens[[#This Row],[Edital]],tItens[[#This Row],[Edital]],INDEX(tItens[Produto],1):tItens[[#This Row],[Produto]],tItens[[#This Row],[Produto]])=1,1,0)</f>
        <v>1</v>
      </c>
    </row>
    <row r="295" spans="1:16" x14ac:dyDescent="0.25">
      <c r="A295" t="s">
        <v>815</v>
      </c>
      <c r="B295">
        <v>8041316</v>
      </c>
      <c r="C295" t="s">
        <v>3516</v>
      </c>
      <c r="D295" t="s">
        <v>172</v>
      </c>
      <c r="E295" s="13">
        <v>100</v>
      </c>
      <c r="F295" s="12">
        <v>0.75</v>
      </c>
      <c r="G295" t="str">
        <f>IFERROR(INDEX(tEditais[Órgão],MATCH(tItens[[#This Row],[Edital]],tEditais[Edital],0)),"")</f>
        <v>MUNICIPIO DE BREJOES</v>
      </c>
      <c r="H295" t="str">
        <f>IFERROR(INDEX(tEditais[UF],MATCH(tItens[[#This Row],[Edital]],tEditais[Edital],0)),"")</f>
        <v>BA</v>
      </c>
      <c r="I295" s="11">
        <f>IFERROR(INDEX(tEditais[Encerramento],MATCH(tItens[[#This Row],[Edital]],tEditais[Edital],0)),"")</f>
        <v>46304.416666666664</v>
      </c>
      <c r="J295" t="str">
        <f>IFERROR(INDEX(tProdutos[Classe],MATCH(tItens[[#This Row],[Produto]],tProdutos[Produto],0)),"produto não cadastrado")</f>
        <v>DISPUTADO</v>
      </c>
      <c r="K295" s="12">
        <f>tItens[[#This Row],[Qtd]]*tItens[[#This Row],[Vlr unit]]</f>
        <v>75</v>
      </c>
      <c r="L295" s="6">
        <f>IFERROR(IF(INDEX(tProdutos[Desconto homologado],MATCH(tItens[[#This Row],[Produto]],tProdutos[Produto],0))="",DescontoPadrao,INDEX(tProdutos[Desconto homologado],MATCH(tItens[[#This Row],[Produto]],tProdutos[Produto],0))),DescontoPadrao)</f>
        <v>0.33578431372549</v>
      </c>
      <c r="M295" s="12">
        <f>tItens[[#This Row],[Valor]]*(1-tItens[[#This Row],[Desconto]])</f>
        <v>49.816176470588253</v>
      </c>
      <c r="N295" t="str">
        <f>IFERROR(INDEX(tProdutos[Foco],MATCH(tItens[[#This Row],[Produto]],tProdutos[Produto],0)),"Não")</f>
        <v>Não</v>
      </c>
      <c r="O295" t="str">
        <f>IFERROR(INDEX(tEditais[SRP],MATCH(tItens[[#This Row],[Edital]],tEditais[Edital],0)),"Não")</f>
        <v>Sim</v>
      </c>
      <c r="P295" s="4">
        <f>IF(COUNTIFS(INDEX(tItens[Edital],1):tItens[[#This Row],[Edital]],tItens[[#This Row],[Edital]],INDEX(tItens[Produto],1):tItens[[#This Row],[Produto]],tItens[[#This Row],[Produto]])=1,1,0)</f>
        <v>1</v>
      </c>
    </row>
    <row r="296" spans="1:16" x14ac:dyDescent="0.25">
      <c r="A296" t="s">
        <v>815</v>
      </c>
      <c r="B296">
        <v>8041317</v>
      </c>
      <c r="C296" t="s">
        <v>3517</v>
      </c>
      <c r="D296" t="s">
        <v>371</v>
      </c>
      <c r="E296" s="13">
        <v>2000</v>
      </c>
      <c r="F296" s="12">
        <v>0.48</v>
      </c>
      <c r="G296" t="str">
        <f>IFERROR(INDEX(tEditais[Órgão],MATCH(tItens[[#This Row],[Edital]],tEditais[Edital],0)),"")</f>
        <v>MUNICIPIO DE BREJOES</v>
      </c>
      <c r="H296" t="str">
        <f>IFERROR(INDEX(tEditais[UF],MATCH(tItens[[#This Row],[Edital]],tEditais[Edital],0)),"")</f>
        <v>BA</v>
      </c>
      <c r="I296" s="11">
        <f>IFERROR(INDEX(tEditais[Encerramento],MATCH(tItens[[#This Row],[Edital]],tEditais[Edital],0)),"")</f>
        <v>46304.416666666664</v>
      </c>
      <c r="J296" t="str">
        <f>IFERROR(INDEX(tProdutos[Classe],MATCH(tItens[[#This Row],[Produto]],tProdutos[Produto],0)),"produto não cadastrado")</f>
        <v>FORA</v>
      </c>
      <c r="K296" s="12">
        <f>tItens[[#This Row],[Qtd]]*tItens[[#This Row],[Vlr unit]]</f>
        <v>960</v>
      </c>
      <c r="L296" s="6">
        <f>IFERROR(IF(INDEX(tProdutos[Desconto homologado],MATCH(tItens[[#This Row],[Produto]],tProdutos[Produto],0))="",DescontoPadrao,INDEX(tProdutos[Desconto homologado],MATCH(tItens[[#This Row],[Produto]],tProdutos[Produto],0))),DescontoPadrao)</f>
        <v>0.217826086956522</v>
      </c>
      <c r="M296" s="12">
        <f>tItens[[#This Row],[Valor]]*(1-tItens[[#This Row],[Desconto]])</f>
        <v>750.88695652173885</v>
      </c>
      <c r="N296" t="str">
        <f>IFERROR(INDEX(tProdutos[Foco],MATCH(tItens[[#This Row],[Produto]],tProdutos[Produto],0)),"Não")</f>
        <v>Não</v>
      </c>
      <c r="O296" t="str">
        <f>IFERROR(INDEX(tEditais[SRP],MATCH(tItens[[#This Row],[Edital]],tEditais[Edital],0)),"Não")</f>
        <v>Sim</v>
      </c>
      <c r="P296" s="4">
        <f>IF(COUNTIFS(INDEX(tItens[Edital],1):tItens[[#This Row],[Edital]],tItens[[#This Row],[Edital]],INDEX(tItens[Produto],1):tItens[[#This Row],[Produto]],tItens[[#This Row],[Produto]])=1,1,0)</f>
        <v>1</v>
      </c>
    </row>
    <row r="297" spans="1:16" x14ac:dyDescent="0.25">
      <c r="A297" t="s">
        <v>815</v>
      </c>
      <c r="B297">
        <v>8041318</v>
      </c>
      <c r="C297" t="s">
        <v>3518</v>
      </c>
      <c r="D297" t="s">
        <v>371</v>
      </c>
      <c r="E297" s="13">
        <v>2000</v>
      </c>
      <c r="F297" s="12">
        <v>1.42</v>
      </c>
      <c r="G297" t="str">
        <f>IFERROR(INDEX(tEditais[Órgão],MATCH(tItens[[#This Row],[Edital]],tEditais[Edital],0)),"")</f>
        <v>MUNICIPIO DE BREJOES</v>
      </c>
      <c r="H297" t="str">
        <f>IFERROR(INDEX(tEditais[UF],MATCH(tItens[[#This Row],[Edital]],tEditais[Edital],0)),"")</f>
        <v>BA</v>
      </c>
      <c r="I297" s="11">
        <f>IFERROR(INDEX(tEditais[Encerramento],MATCH(tItens[[#This Row],[Edital]],tEditais[Edital],0)),"")</f>
        <v>46304.416666666664</v>
      </c>
      <c r="J297" t="str">
        <f>IFERROR(INDEX(tProdutos[Classe],MATCH(tItens[[#This Row],[Produto]],tProdutos[Produto],0)),"produto não cadastrado")</f>
        <v>FORA</v>
      </c>
      <c r="K297" s="12">
        <f>tItens[[#This Row],[Qtd]]*tItens[[#This Row],[Vlr unit]]</f>
        <v>2840</v>
      </c>
      <c r="L297" s="6">
        <f>IFERROR(IF(INDEX(tProdutos[Desconto homologado],MATCH(tItens[[#This Row],[Produto]],tProdutos[Produto],0))="",DescontoPadrao,INDEX(tProdutos[Desconto homologado],MATCH(tItens[[#This Row],[Produto]],tProdutos[Produto],0))),DescontoPadrao)</f>
        <v>0.217826086956522</v>
      </c>
      <c r="M297" s="12">
        <f>tItens[[#This Row],[Valor]]*(1-tItens[[#This Row],[Desconto]])</f>
        <v>2221.3739130434774</v>
      </c>
      <c r="N297" t="str">
        <f>IFERROR(INDEX(tProdutos[Foco],MATCH(tItens[[#This Row],[Produto]],tProdutos[Produto],0)),"Não")</f>
        <v>Não</v>
      </c>
      <c r="O297" t="str">
        <f>IFERROR(INDEX(tEditais[SRP],MATCH(tItens[[#This Row],[Edital]],tEditais[Edital],0)),"Não")</f>
        <v>Sim</v>
      </c>
      <c r="P297" s="4">
        <f>IF(COUNTIFS(INDEX(tItens[Edital],1):tItens[[#This Row],[Edital]],tItens[[#This Row],[Edital]],INDEX(tItens[Produto],1):tItens[[#This Row],[Produto]],tItens[[#This Row],[Produto]])=1,1,0)</f>
        <v>0</v>
      </c>
    </row>
    <row r="298" spans="1:16" x14ac:dyDescent="0.25">
      <c r="A298" t="s">
        <v>815</v>
      </c>
      <c r="B298">
        <v>8041324</v>
      </c>
      <c r="C298" t="s">
        <v>3519</v>
      </c>
      <c r="D298" t="s">
        <v>494</v>
      </c>
      <c r="E298" s="13">
        <v>400</v>
      </c>
      <c r="F298" s="12">
        <v>70.12</v>
      </c>
      <c r="G298" t="str">
        <f>IFERROR(INDEX(tEditais[Órgão],MATCH(tItens[[#This Row],[Edital]],tEditais[Edital],0)),"")</f>
        <v>MUNICIPIO DE BREJOES</v>
      </c>
      <c r="H298" t="str">
        <f>IFERROR(INDEX(tEditais[UF],MATCH(tItens[[#This Row],[Edital]],tEditais[Edital],0)),"")</f>
        <v>BA</v>
      </c>
      <c r="I298" s="11">
        <f>IFERROR(INDEX(tEditais[Encerramento],MATCH(tItens[[#This Row],[Edital]],tEditais[Edital],0)),"")</f>
        <v>46304.416666666664</v>
      </c>
      <c r="J298" t="str">
        <f>IFERROR(INDEX(tProdutos[Classe],MATCH(tItens[[#This Row],[Produto]],tProdutos[Produto],0)),"produto não cadastrado")</f>
        <v>FILA REBASE</v>
      </c>
      <c r="K298" s="12">
        <f>tItens[[#This Row],[Qtd]]*tItens[[#This Row],[Vlr unit]]</f>
        <v>28048</v>
      </c>
      <c r="L298" s="6">
        <f>IFERROR(IF(INDEX(tProdutos[Desconto homologado],MATCH(tItens[[#This Row],[Produto]],tProdutos[Produto],0))="",DescontoPadrao,INDEX(tProdutos[Desconto homologado],MATCH(tItens[[#This Row],[Produto]],tProdutos[Produto],0))),DescontoPadrao)</f>
        <v>0.253736324829619</v>
      </c>
      <c r="M298" s="12">
        <f>tItens[[#This Row],[Valor]]*(1-tItens[[#This Row],[Desconto]])</f>
        <v>20931.203561178849</v>
      </c>
      <c r="N298" t="str">
        <f>IFERROR(INDEX(tProdutos[Foco],MATCH(tItens[[#This Row],[Produto]],tProdutos[Produto],0)),"Não")</f>
        <v>Não</v>
      </c>
      <c r="O298" t="str">
        <f>IFERROR(INDEX(tEditais[SRP],MATCH(tItens[[#This Row],[Edital]],tEditais[Edital],0)),"Não")</f>
        <v>Sim</v>
      </c>
      <c r="P298" s="4">
        <f>IF(COUNTIFS(INDEX(tItens[Edital],1):tItens[[#This Row],[Edital]],tItens[[#This Row],[Edital]],INDEX(tItens[Produto],1):tItens[[#This Row],[Produto]],tItens[[#This Row],[Produto]])=1,1,0)</f>
        <v>1</v>
      </c>
    </row>
    <row r="299" spans="1:16" x14ac:dyDescent="0.25">
      <c r="A299" t="s">
        <v>815</v>
      </c>
      <c r="B299">
        <v>8041325</v>
      </c>
      <c r="C299" t="s">
        <v>3520</v>
      </c>
      <c r="D299" t="s">
        <v>494</v>
      </c>
      <c r="E299" s="13">
        <v>80</v>
      </c>
      <c r="F299" s="12">
        <v>109.68</v>
      </c>
      <c r="G299" t="str">
        <f>IFERROR(INDEX(tEditais[Órgão],MATCH(tItens[[#This Row],[Edital]],tEditais[Edital],0)),"")</f>
        <v>MUNICIPIO DE BREJOES</v>
      </c>
      <c r="H299" t="str">
        <f>IFERROR(INDEX(tEditais[UF],MATCH(tItens[[#This Row],[Edital]],tEditais[Edital],0)),"")</f>
        <v>BA</v>
      </c>
      <c r="I299" s="11">
        <f>IFERROR(INDEX(tEditais[Encerramento],MATCH(tItens[[#This Row],[Edital]],tEditais[Edital],0)),"")</f>
        <v>46304.416666666664</v>
      </c>
      <c r="J299" t="str">
        <f>IFERROR(INDEX(tProdutos[Classe],MATCH(tItens[[#This Row],[Produto]],tProdutos[Produto],0)),"produto não cadastrado")</f>
        <v>FILA REBASE</v>
      </c>
      <c r="K299" s="12">
        <f>tItens[[#This Row],[Qtd]]*tItens[[#This Row],[Vlr unit]]</f>
        <v>8774.4000000000015</v>
      </c>
      <c r="L299" s="6">
        <f>IFERROR(IF(INDEX(tProdutos[Desconto homologado],MATCH(tItens[[#This Row],[Produto]],tProdutos[Produto],0))="",DescontoPadrao,INDEX(tProdutos[Desconto homologado],MATCH(tItens[[#This Row],[Produto]],tProdutos[Produto],0))),DescontoPadrao)</f>
        <v>0.253736324829619</v>
      </c>
      <c r="M299" s="12">
        <f>tItens[[#This Row],[Valor]]*(1-tItens[[#This Row],[Desconto]])</f>
        <v>6548.0159914149926</v>
      </c>
      <c r="N299" t="str">
        <f>IFERROR(INDEX(tProdutos[Foco],MATCH(tItens[[#This Row],[Produto]],tProdutos[Produto],0)),"Não")</f>
        <v>Não</v>
      </c>
      <c r="O299" t="str">
        <f>IFERROR(INDEX(tEditais[SRP],MATCH(tItens[[#This Row],[Edital]],tEditais[Edital],0)),"Não")</f>
        <v>Sim</v>
      </c>
      <c r="P299" s="4">
        <f>IF(COUNTIFS(INDEX(tItens[Edital],1):tItens[[#This Row],[Edital]],tItens[[#This Row],[Edital]],INDEX(tItens[Produto],1):tItens[[#This Row],[Produto]],tItens[[#This Row],[Produto]])=1,1,0)</f>
        <v>0</v>
      </c>
    </row>
    <row r="300" spans="1:16" x14ac:dyDescent="0.25">
      <c r="A300" t="s">
        <v>815</v>
      </c>
      <c r="B300">
        <v>8041326</v>
      </c>
      <c r="C300" t="s">
        <v>3521</v>
      </c>
      <c r="D300" t="s">
        <v>494</v>
      </c>
      <c r="E300" s="13">
        <v>285</v>
      </c>
      <c r="F300" s="12">
        <v>136.52000000000001</v>
      </c>
      <c r="G300" t="str">
        <f>IFERROR(INDEX(tEditais[Órgão],MATCH(tItens[[#This Row],[Edital]],tEditais[Edital],0)),"")</f>
        <v>MUNICIPIO DE BREJOES</v>
      </c>
      <c r="H300" t="str">
        <f>IFERROR(INDEX(tEditais[UF],MATCH(tItens[[#This Row],[Edital]],tEditais[Edital],0)),"")</f>
        <v>BA</v>
      </c>
      <c r="I300" s="11">
        <f>IFERROR(INDEX(tEditais[Encerramento],MATCH(tItens[[#This Row],[Edital]],tEditais[Edital],0)),"")</f>
        <v>46304.416666666664</v>
      </c>
      <c r="J300" t="str">
        <f>IFERROR(INDEX(tProdutos[Classe],MATCH(tItens[[#This Row],[Produto]],tProdutos[Produto],0)),"produto não cadastrado")</f>
        <v>FILA REBASE</v>
      </c>
      <c r="K300" s="12">
        <f>tItens[[#This Row],[Qtd]]*tItens[[#This Row],[Vlr unit]]</f>
        <v>38908.200000000004</v>
      </c>
      <c r="L300" s="6">
        <f>IFERROR(IF(INDEX(tProdutos[Desconto homologado],MATCH(tItens[[#This Row],[Produto]],tProdutos[Produto],0))="",DescontoPadrao,INDEX(tProdutos[Desconto homologado],MATCH(tItens[[#This Row],[Produto]],tProdutos[Produto],0))),DescontoPadrao)</f>
        <v>0.253736324829619</v>
      </c>
      <c r="M300" s="12">
        <f>tItens[[#This Row],[Valor]]*(1-tItens[[#This Row],[Desconto]])</f>
        <v>29035.776326264222</v>
      </c>
      <c r="N300" t="str">
        <f>IFERROR(INDEX(tProdutos[Foco],MATCH(tItens[[#This Row],[Produto]],tProdutos[Produto],0)),"Não")</f>
        <v>Não</v>
      </c>
      <c r="O300" t="str">
        <f>IFERROR(INDEX(tEditais[SRP],MATCH(tItens[[#This Row],[Edital]],tEditais[Edital],0)),"Não")</f>
        <v>Sim</v>
      </c>
      <c r="P300" s="4">
        <f>IF(COUNTIFS(INDEX(tItens[Edital],1):tItens[[#This Row],[Edital]],tItens[[#This Row],[Edital]],INDEX(tItens[Produto],1):tItens[[#This Row],[Produto]],tItens[[#This Row],[Produto]])=1,1,0)</f>
        <v>0</v>
      </c>
    </row>
    <row r="301" spans="1:16" x14ac:dyDescent="0.25">
      <c r="A301" t="s">
        <v>815</v>
      </c>
      <c r="B301">
        <v>8041327</v>
      </c>
      <c r="C301" t="s">
        <v>3522</v>
      </c>
      <c r="D301" t="s">
        <v>494</v>
      </c>
      <c r="E301" s="13">
        <v>225</v>
      </c>
      <c r="F301" s="12">
        <v>174.87</v>
      </c>
      <c r="G301" t="str">
        <f>IFERROR(INDEX(tEditais[Órgão],MATCH(tItens[[#This Row],[Edital]],tEditais[Edital],0)),"")</f>
        <v>MUNICIPIO DE BREJOES</v>
      </c>
      <c r="H301" t="str">
        <f>IFERROR(INDEX(tEditais[UF],MATCH(tItens[[#This Row],[Edital]],tEditais[Edital],0)),"")</f>
        <v>BA</v>
      </c>
      <c r="I301" s="11">
        <f>IFERROR(INDEX(tEditais[Encerramento],MATCH(tItens[[#This Row],[Edital]],tEditais[Edital],0)),"")</f>
        <v>46304.416666666664</v>
      </c>
      <c r="J301" t="str">
        <f>IFERROR(INDEX(tProdutos[Classe],MATCH(tItens[[#This Row],[Produto]],tProdutos[Produto],0)),"produto não cadastrado")</f>
        <v>FILA REBASE</v>
      </c>
      <c r="K301" s="12">
        <f>tItens[[#This Row],[Qtd]]*tItens[[#This Row],[Vlr unit]]</f>
        <v>39345.75</v>
      </c>
      <c r="L301" s="6">
        <f>IFERROR(IF(INDEX(tProdutos[Desconto homologado],MATCH(tItens[[#This Row],[Produto]],tProdutos[Produto],0))="",DescontoPadrao,INDEX(tProdutos[Desconto homologado],MATCH(tItens[[#This Row],[Produto]],tProdutos[Produto],0))),DescontoPadrao)</f>
        <v>0.253736324829619</v>
      </c>
      <c r="M301" s="12">
        <f>tItens[[#This Row],[Valor]]*(1-tItens[[#This Row],[Desconto]])</f>
        <v>29362.303997335021</v>
      </c>
      <c r="N301" t="str">
        <f>IFERROR(INDEX(tProdutos[Foco],MATCH(tItens[[#This Row],[Produto]],tProdutos[Produto],0)),"Não")</f>
        <v>Não</v>
      </c>
      <c r="O301" t="str">
        <f>IFERROR(INDEX(tEditais[SRP],MATCH(tItens[[#This Row],[Edital]],tEditais[Edital],0)),"Não")</f>
        <v>Sim</v>
      </c>
      <c r="P301" s="4">
        <f>IF(COUNTIFS(INDEX(tItens[Edital],1):tItens[[#This Row],[Edital]],tItens[[#This Row],[Edital]],INDEX(tItens[Produto],1):tItens[[#This Row],[Produto]],tItens[[#This Row],[Produto]])=1,1,0)</f>
        <v>0</v>
      </c>
    </row>
    <row r="302" spans="1:16" x14ac:dyDescent="0.25">
      <c r="A302" t="s">
        <v>815</v>
      </c>
      <c r="B302">
        <v>8041328</v>
      </c>
      <c r="C302" t="s">
        <v>3523</v>
      </c>
      <c r="D302" t="s">
        <v>494</v>
      </c>
      <c r="E302" s="13">
        <v>250</v>
      </c>
      <c r="F302" s="12">
        <v>222.36</v>
      </c>
      <c r="G302" t="str">
        <f>IFERROR(INDEX(tEditais[Órgão],MATCH(tItens[[#This Row],[Edital]],tEditais[Edital],0)),"")</f>
        <v>MUNICIPIO DE BREJOES</v>
      </c>
      <c r="H302" t="str">
        <f>IFERROR(INDEX(tEditais[UF],MATCH(tItens[[#This Row],[Edital]],tEditais[Edital],0)),"")</f>
        <v>BA</v>
      </c>
      <c r="I302" s="11">
        <f>IFERROR(INDEX(tEditais[Encerramento],MATCH(tItens[[#This Row],[Edital]],tEditais[Edital],0)),"")</f>
        <v>46304.416666666664</v>
      </c>
      <c r="J302" t="str">
        <f>IFERROR(INDEX(tProdutos[Classe],MATCH(tItens[[#This Row],[Produto]],tProdutos[Produto],0)),"produto não cadastrado")</f>
        <v>FILA REBASE</v>
      </c>
      <c r="K302" s="12">
        <f>tItens[[#This Row],[Qtd]]*tItens[[#This Row],[Vlr unit]]</f>
        <v>55590</v>
      </c>
      <c r="L302" s="6">
        <f>IFERROR(IF(INDEX(tProdutos[Desconto homologado],MATCH(tItens[[#This Row],[Produto]],tProdutos[Produto],0))="",DescontoPadrao,INDEX(tProdutos[Desconto homologado],MATCH(tItens[[#This Row],[Produto]],tProdutos[Produto],0))),DescontoPadrao)</f>
        <v>0.253736324829619</v>
      </c>
      <c r="M302" s="12">
        <f>tItens[[#This Row],[Valor]]*(1-tItens[[#This Row],[Desconto]])</f>
        <v>41484.79770272148</v>
      </c>
      <c r="N302" t="str">
        <f>IFERROR(INDEX(tProdutos[Foco],MATCH(tItens[[#This Row],[Produto]],tProdutos[Produto],0)),"Não")</f>
        <v>Não</v>
      </c>
      <c r="O302" t="str">
        <f>IFERROR(INDEX(tEditais[SRP],MATCH(tItens[[#This Row],[Edital]],tEditais[Edital],0)),"Não")</f>
        <v>Sim</v>
      </c>
      <c r="P302" s="4">
        <f>IF(COUNTIFS(INDEX(tItens[Edital],1):tItens[[#This Row],[Edital]],tItens[[#This Row],[Edital]],INDEX(tItens[Produto],1):tItens[[#This Row],[Produto]],tItens[[#This Row],[Produto]])=1,1,0)</f>
        <v>0</v>
      </c>
    </row>
    <row r="303" spans="1:16" x14ac:dyDescent="0.25">
      <c r="A303" t="s">
        <v>815</v>
      </c>
      <c r="B303">
        <v>8041329</v>
      </c>
      <c r="C303" t="s">
        <v>3524</v>
      </c>
      <c r="D303" t="s">
        <v>494</v>
      </c>
      <c r="E303" s="13">
        <v>150</v>
      </c>
      <c r="F303" s="12">
        <v>404.9</v>
      </c>
      <c r="G303" t="str">
        <f>IFERROR(INDEX(tEditais[Órgão],MATCH(tItens[[#This Row],[Edital]],tEditais[Edital],0)),"")</f>
        <v>MUNICIPIO DE BREJOES</v>
      </c>
      <c r="H303" t="str">
        <f>IFERROR(INDEX(tEditais[UF],MATCH(tItens[[#This Row],[Edital]],tEditais[Edital],0)),"")</f>
        <v>BA</v>
      </c>
      <c r="I303" s="11">
        <f>IFERROR(INDEX(tEditais[Encerramento],MATCH(tItens[[#This Row],[Edital]],tEditais[Edital],0)),"")</f>
        <v>46304.416666666664</v>
      </c>
      <c r="J303" t="str">
        <f>IFERROR(INDEX(tProdutos[Classe],MATCH(tItens[[#This Row],[Produto]],tProdutos[Produto],0)),"produto não cadastrado")</f>
        <v>FILA REBASE</v>
      </c>
      <c r="K303" s="12">
        <f>tItens[[#This Row],[Qtd]]*tItens[[#This Row],[Vlr unit]]</f>
        <v>60735</v>
      </c>
      <c r="L303" s="6">
        <f>IFERROR(IF(INDEX(tProdutos[Desconto homologado],MATCH(tItens[[#This Row],[Produto]],tProdutos[Produto],0))="",DescontoPadrao,INDEX(tProdutos[Desconto homologado],MATCH(tItens[[#This Row],[Produto]],tProdutos[Produto],0))),DescontoPadrao)</f>
        <v>0.253736324829619</v>
      </c>
      <c r="M303" s="12">
        <f>tItens[[#This Row],[Valor]]*(1-tItens[[#This Row],[Desconto]])</f>
        <v>45324.324311473094</v>
      </c>
      <c r="N303" t="str">
        <f>IFERROR(INDEX(tProdutos[Foco],MATCH(tItens[[#This Row],[Produto]],tProdutos[Produto],0)),"Não")</f>
        <v>Não</v>
      </c>
      <c r="O303" t="str">
        <f>IFERROR(INDEX(tEditais[SRP],MATCH(tItens[[#This Row],[Edital]],tEditais[Edital],0)),"Não")</f>
        <v>Sim</v>
      </c>
      <c r="P303" s="4">
        <f>IF(COUNTIFS(INDEX(tItens[Edital],1):tItens[[#This Row],[Edital]],tItens[[#This Row],[Edital]],INDEX(tItens[Produto],1):tItens[[#This Row],[Produto]],tItens[[#This Row],[Produto]])=1,1,0)</f>
        <v>0</v>
      </c>
    </row>
    <row r="304" spans="1:16" x14ac:dyDescent="0.25">
      <c r="A304" t="s">
        <v>815</v>
      </c>
      <c r="B304">
        <v>8041330</v>
      </c>
      <c r="C304" t="s">
        <v>3525</v>
      </c>
      <c r="D304" t="s">
        <v>494</v>
      </c>
      <c r="E304" s="13">
        <v>150</v>
      </c>
      <c r="F304" s="12">
        <v>78.87</v>
      </c>
      <c r="G304" t="str">
        <f>IFERROR(INDEX(tEditais[Órgão],MATCH(tItens[[#This Row],[Edital]],tEditais[Edital],0)),"")</f>
        <v>MUNICIPIO DE BREJOES</v>
      </c>
      <c r="H304" t="str">
        <f>IFERROR(INDEX(tEditais[UF],MATCH(tItens[[#This Row],[Edital]],tEditais[Edital],0)),"")</f>
        <v>BA</v>
      </c>
      <c r="I304" s="11">
        <f>IFERROR(INDEX(tEditais[Encerramento],MATCH(tItens[[#This Row],[Edital]],tEditais[Edital],0)),"")</f>
        <v>46304.416666666664</v>
      </c>
      <c r="J304" t="str">
        <f>IFERROR(INDEX(tProdutos[Classe],MATCH(tItens[[#This Row],[Produto]],tProdutos[Produto],0)),"produto não cadastrado")</f>
        <v>FILA REBASE</v>
      </c>
      <c r="K304" s="12">
        <f>tItens[[#This Row],[Qtd]]*tItens[[#This Row],[Vlr unit]]</f>
        <v>11830.5</v>
      </c>
      <c r="L304" s="6">
        <f>IFERROR(IF(INDEX(tProdutos[Desconto homologado],MATCH(tItens[[#This Row],[Produto]],tProdutos[Produto],0))="",DescontoPadrao,INDEX(tProdutos[Desconto homologado],MATCH(tItens[[#This Row],[Produto]],tProdutos[Produto],0))),DescontoPadrao)</f>
        <v>0.253736324829619</v>
      </c>
      <c r="M304" s="12">
        <f>tItens[[#This Row],[Valor]]*(1-tItens[[#This Row],[Desconto]])</f>
        <v>8828.6724091031938</v>
      </c>
      <c r="N304" t="str">
        <f>IFERROR(INDEX(tProdutos[Foco],MATCH(tItens[[#This Row],[Produto]],tProdutos[Produto],0)),"Não")</f>
        <v>Não</v>
      </c>
      <c r="O304" t="str">
        <f>IFERROR(INDEX(tEditais[SRP],MATCH(tItens[[#This Row],[Edital]],tEditais[Edital],0)),"Não")</f>
        <v>Sim</v>
      </c>
      <c r="P304" s="4">
        <f>IF(COUNTIFS(INDEX(tItens[Edital],1):tItens[[#This Row],[Edital]],tItens[[#This Row],[Edital]],INDEX(tItens[Produto],1):tItens[[#This Row],[Produto]],tItens[[#This Row],[Produto]])=1,1,0)</f>
        <v>0</v>
      </c>
    </row>
    <row r="305" spans="1:16" x14ac:dyDescent="0.25">
      <c r="A305" t="s">
        <v>815</v>
      </c>
      <c r="B305">
        <v>8041334</v>
      </c>
      <c r="C305" t="s">
        <v>3526</v>
      </c>
      <c r="D305" t="s">
        <v>60</v>
      </c>
      <c r="E305" s="13">
        <v>1500</v>
      </c>
      <c r="F305" s="12">
        <v>0.51</v>
      </c>
      <c r="G305" t="str">
        <f>IFERROR(INDEX(tEditais[Órgão],MATCH(tItens[[#This Row],[Edital]],tEditais[Edital],0)),"")</f>
        <v>MUNICIPIO DE BREJOES</v>
      </c>
      <c r="H305" t="str">
        <f>IFERROR(INDEX(tEditais[UF],MATCH(tItens[[#This Row],[Edital]],tEditais[Edital],0)),"")</f>
        <v>BA</v>
      </c>
      <c r="I305" s="11">
        <f>IFERROR(INDEX(tEditais[Encerramento],MATCH(tItens[[#This Row],[Edital]],tEditais[Edital],0)),"")</f>
        <v>46304.416666666664</v>
      </c>
      <c r="J305" t="str">
        <f>IFERROR(INDEX(tProdutos[Classe],MATCH(tItens[[#This Row],[Produto]],tProdutos[Produto],0)),"produto não cadastrado")</f>
        <v>NÚCLEO</v>
      </c>
      <c r="K305" s="12">
        <f>tItens[[#This Row],[Qtd]]*tItens[[#This Row],[Vlr unit]]</f>
        <v>765</v>
      </c>
      <c r="L305" s="6">
        <f>IFERROR(IF(INDEX(tProdutos[Desconto homologado],MATCH(tItens[[#This Row],[Produto]],tProdutos[Produto],0))="",DescontoPadrao,INDEX(tProdutos[Desconto homologado],MATCH(tItens[[#This Row],[Produto]],tProdutos[Produto],0))),DescontoPadrao)</f>
        <v>0.23</v>
      </c>
      <c r="M305" s="12">
        <f>tItens[[#This Row],[Valor]]*(1-tItens[[#This Row],[Desconto]])</f>
        <v>589.05000000000007</v>
      </c>
      <c r="N305" t="str">
        <f>IFERROR(INDEX(tProdutos[Foco],MATCH(tItens[[#This Row],[Produto]],tProdutos[Produto],0)),"Não")</f>
        <v>Sim</v>
      </c>
      <c r="O305" t="str">
        <f>IFERROR(INDEX(tEditais[SRP],MATCH(tItens[[#This Row],[Edital]],tEditais[Edital],0)),"Não")</f>
        <v>Sim</v>
      </c>
      <c r="P305" s="4">
        <f>IF(COUNTIFS(INDEX(tItens[Edital],1):tItens[[#This Row],[Edital]],tItens[[#This Row],[Edital]],INDEX(tItens[Produto],1):tItens[[#This Row],[Produto]],tItens[[#This Row],[Produto]])=1,1,0)</f>
        <v>1</v>
      </c>
    </row>
    <row r="306" spans="1:16" x14ac:dyDescent="0.25">
      <c r="A306" t="s">
        <v>815</v>
      </c>
      <c r="B306">
        <v>8041335</v>
      </c>
      <c r="C306" t="s">
        <v>3527</v>
      </c>
      <c r="D306" t="s">
        <v>90</v>
      </c>
      <c r="E306" s="13">
        <v>500</v>
      </c>
      <c r="F306" s="12">
        <v>4.79</v>
      </c>
      <c r="G306" t="str">
        <f>IFERROR(INDEX(tEditais[Órgão],MATCH(tItens[[#This Row],[Edital]],tEditais[Edital],0)),"")</f>
        <v>MUNICIPIO DE BREJOES</v>
      </c>
      <c r="H306" t="str">
        <f>IFERROR(INDEX(tEditais[UF],MATCH(tItens[[#This Row],[Edital]],tEditais[Edital],0)),"")</f>
        <v>BA</v>
      </c>
      <c r="I306" s="11">
        <f>IFERROR(INDEX(tEditais[Encerramento],MATCH(tItens[[#This Row],[Edital]],tEditais[Edital],0)),"")</f>
        <v>46304.416666666664</v>
      </c>
      <c r="J306" t="str">
        <f>IFERROR(INDEX(tProdutos[Classe],MATCH(tItens[[#This Row],[Produto]],tProdutos[Produto],0)),"produto não cadastrado")</f>
        <v>DISPUTADO</v>
      </c>
      <c r="K306" s="12">
        <f>tItens[[#This Row],[Qtd]]*tItens[[#This Row],[Vlr unit]]</f>
        <v>2395</v>
      </c>
      <c r="L306" s="6">
        <f>IFERROR(IF(INDEX(tProdutos[Desconto homologado],MATCH(tItens[[#This Row],[Produto]],tProdutos[Produto],0))="",DescontoPadrao,INDEX(tProdutos[Desconto homologado],MATCH(tItens[[#This Row],[Produto]],tProdutos[Produto],0))),DescontoPadrao)</f>
        <v>0.25393823957010597</v>
      </c>
      <c r="M306" s="12">
        <f>tItens[[#This Row],[Valor]]*(1-tItens[[#This Row],[Desconto]])</f>
        <v>1786.8179162295962</v>
      </c>
      <c r="N306" t="str">
        <f>IFERROR(INDEX(tProdutos[Foco],MATCH(tItens[[#This Row],[Produto]],tProdutos[Produto],0)),"Não")</f>
        <v>Não</v>
      </c>
      <c r="O306" t="str">
        <f>IFERROR(INDEX(tEditais[SRP],MATCH(tItens[[#This Row],[Edital]],tEditais[Edital],0)),"Não")</f>
        <v>Sim</v>
      </c>
      <c r="P306" s="4">
        <f>IF(COUNTIFS(INDEX(tItens[Edital],1):tItens[[#This Row],[Edital]],tItens[[#This Row],[Edital]],INDEX(tItens[Produto],1):tItens[[#This Row],[Produto]],tItens[[#This Row],[Produto]])=1,1,0)</f>
        <v>1</v>
      </c>
    </row>
    <row r="307" spans="1:16" x14ac:dyDescent="0.25">
      <c r="A307" t="s">
        <v>815</v>
      </c>
      <c r="B307">
        <v>8041336</v>
      </c>
      <c r="C307" t="s">
        <v>3528</v>
      </c>
      <c r="D307" t="s">
        <v>90</v>
      </c>
      <c r="E307" s="13">
        <v>500</v>
      </c>
      <c r="F307" s="12">
        <v>14.14</v>
      </c>
      <c r="G307" t="str">
        <f>IFERROR(INDEX(tEditais[Órgão],MATCH(tItens[[#This Row],[Edital]],tEditais[Edital],0)),"")</f>
        <v>MUNICIPIO DE BREJOES</v>
      </c>
      <c r="H307" t="str">
        <f>IFERROR(INDEX(tEditais[UF],MATCH(tItens[[#This Row],[Edital]],tEditais[Edital],0)),"")</f>
        <v>BA</v>
      </c>
      <c r="I307" s="11">
        <f>IFERROR(INDEX(tEditais[Encerramento],MATCH(tItens[[#This Row],[Edital]],tEditais[Edital],0)),"")</f>
        <v>46304.416666666664</v>
      </c>
      <c r="J307" t="str">
        <f>IFERROR(INDEX(tProdutos[Classe],MATCH(tItens[[#This Row],[Produto]],tProdutos[Produto],0)),"produto não cadastrado")</f>
        <v>DISPUTADO</v>
      </c>
      <c r="K307" s="12">
        <f>tItens[[#This Row],[Qtd]]*tItens[[#This Row],[Vlr unit]]</f>
        <v>7070</v>
      </c>
      <c r="L307" s="6">
        <f>IFERROR(IF(INDEX(tProdutos[Desconto homologado],MATCH(tItens[[#This Row],[Produto]],tProdutos[Produto],0))="",DescontoPadrao,INDEX(tProdutos[Desconto homologado],MATCH(tItens[[#This Row],[Produto]],tProdutos[Produto],0))),DescontoPadrao)</f>
        <v>0.25393823957010597</v>
      </c>
      <c r="M307" s="12">
        <f>tItens[[#This Row],[Valor]]*(1-tItens[[#This Row],[Desconto]])</f>
        <v>5274.6566462393512</v>
      </c>
      <c r="N307" t="str">
        <f>IFERROR(INDEX(tProdutos[Foco],MATCH(tItens[[#This Row],[Produto]],tProdutos[Produto],0)),"Não")</f>
        <v>Não</v>
      </c>
      <c r="O307" t="str">
        <f>IFERROR(INDEX(tEditais[SRP],MATCH(tItens[[#This Row],[Edital]],tEditais[Edital],0)),"Não")</f>
        <v>Sim</v>
      </c>
      <c r="P307" s="4">
        <f>IF(COUNTIFS(INDEX(tItens[Edital],1):tItens[[#This Row],[Edital]],tItens[[#This Row],[Edital]],INDEX(tItens[Produto],1):tItens[[#This Row],[Produto]],tItens[[#This Row],[Produto]])=1,1,0)</f>
        <v>0</v>
      </c>
    </row>
    <row r="308" spans="1:16" x14ac:dyDescent="0.25">
      <c r="A308" t="s">
        <v>815</v>
      </c>
      <c r="B308">
        <v>8041337</v>
      </c>
      <c r="C308" t="s">
        <v>3529</v>
      </c>
      <c r="D308" t="s">
        <v>90</v>
      </c>
      <c r="E308" s="13">
        <v>500</v>
      </c>
      <c r="F308" s="12">
        <v>10.95</v>
      </c>
      <c r="G308" t="str">
        <f>IFERROR(INDEX(tEditais[Órgão],MATCH(tItens[[#This Row],[Edital]],tEditais[Edital],0)),"")</f>
        <v>MUNICIPIO DE BREJOES</v>
      </c>
      <c r="H308" t="str">
        <f>IFERROR(INDEX(tEditais[UF],MATCH(tItens[[#This Row],[Edital]],tEditais[Edital],0)),"")</f>
        <v>BA</v>
      </c>
      <c r="I308" s="11">
        <f>IFERROR(INDEX(tEditais[Encerramento],MATCH(tItens[[#This Row],[Edital]],tEditais[Edital],0)),"")</f>
        <v>46304.416666666664</v>
      </c>
      <c r="J308" t="str">
        <f>IFERROR(INDEX(tProdutos[Classe],MATCH(tItens[[#This Row],[Produto]],tProdutos[Produto],0)),"produto não cadastrado")</f>
        <v>DISPUTADO</v>
      </c>
      <c r="K308" s="12">
        <f>tItens[[#This Row],[Qtd]]*tItens[[#This Row],[Vlr unit]]</f>
        <v>5475</v>
      </c>
      <c r="L308" s="6">
        <f>IFERROR(IF(INDEX(tProdutos[Desconto homologado],MATCH(tItens[[#This Row],[Produto]],tProdutos[Produto],0))="",DescontoPadrao,INDEX(tProdutos[Desconto homologado],MATCH(tItens[[#This Row],[Produto]],tProdutos[Produto],0))),DescontoPadrao)</f>
        <v>0.25393823957010597</v>
      </c>
      <c r="M308" s="12">
        <f>tItens[[#This Row],[Valor]]*(1-tItens[[#This Row],[Desconto]])</f>
        <v>4084.6881383536697</v>
      </c>
      <c r="N308" t="str">
        <f>IFERROR(INDEX(tProdutos[Foco],MATCH(tItens[[#This Row],[Produto]],tProdutos[Produto],0)),"Não")</f>
        <v>Não</v>
      </c>
      <c r="O308" t="str">
        <f>IFERROR(INDEX(tEditais[SRP],MATCH(tItens[[#This Row],[Edital]],tEditais[Edital],0)),"Não")</f>
        <v>Sim</v>
      </c>
      <c r="P308" s="4">
        <f>IF(COUNTIFS(INDEX(tItens[Edital],1):tItens[[#This Row],[Edital]],tItens[[#This Row],[Edital]],INDEX(tItens[Produto],1):tItens[[#This Row],[Produto]],tItens[[#This Row],[Produto]])=1,1,0)</f>
        <v>0</v>
      </c>
    </row>
    <row r="309" spans="1:16" x14ac:dyDescent="0.25">
      <c r="A309" t="s">
        <v>815</v>
      </c>
      <c r="B309">
        <v>8041338</v>
      </c>
      <c r="C309" t="s">
        <v>3530</v>
      </c>
      <c r="D309" t="s">
        <v>90</v>
      </c>
      <c r="E309" s="13">
        <v>750</v>
      </c>
      <c r="F309" s="12">
        <v>16.28</v>
      </c>
      <c r="G309" t="str">
        <f>IFERROR(INDEX(tEditais[Órgão],MATCH(tItens[[#This Row],[Edital]],tEditais[Edital],0)),"")</f>
        <v>MUNICIPIO DE BREJOES</v>
      </c>
      <c r="H309" t="str">
        <f>IFERROR(INDEX(tEditais[UF],MATCH(tItens[[#This Row],[Edital]],tEditais[Edital],0)),"")</f>
        <v>BA</v>
      </c>
      <c r="I309" s="11">
        <f>IFERROR(INDEX(tEditais[Encerramento],MATCH(tItens[[#This Row],[Edital]],tEditais[Edital],0)),"")</f>
        <v>46304.416666666664</v>
      </c>
      <c r="J309" t="str">
        <f>IFERROR(INDEX(tProdutos[Classe],MATCH(tItens[[#This Row],[Produto]],tProdutos[Produto],0)),"produto não cadastrado")</f>
        <v>DISPUTADO</v>
      </c>
      <c r="K309" s="12">
        <f>tItens[[#This Row],[Qtd]]*tItens[[#This Row],[Vlr unit]]</f>
        <v>12210</v>
      </c>
      <c r="L309" s="6">
        <f>IFERROR(IF(INDEX(tProdutos[Desconto homologado],MATCH(tItens[[#This Row],[Produto]],tProdutos[Produto],0))="",DescontoPadrao,INDEX(tProdutos[Desconto homologado],MATCH(tItens[[#This Row],[Produto]],tProdutos[Produto],0))),DescontoPadrao)</f>
        <v>0.25393823957010597</v>
      </c>
      <c r="M309" s="12">
        <f>tItens[[#This Row],[Valor]]*(1-tItens[[#This Row],[Desconto]])</f>
        <v>9109.4140948490058</v>
      </c>
      <c r="N309" t="str">
        <f>IFERROR(INDEX(tProdutos[Foco],MATCH(tItens[[#This Row],[Produto]],tProdutos[Produto],0)),"Não")</f>
        <v>Não</v>
      </c>
      <c r="O309" t="str">
        <f>IFERROR(INDEX(tEditais[SRP],MATCH(tItens[[#This Row],[Edital]],tEditais[Edital],0)),"Não")</f>
        <v>Sim</v>
      </c>
      <c r="P309" s="4">
        <f>IF(COUNTIFS(INDEX(tItens[Edital],1):tItens[[#This Row],[Edital]],tItens[[#This Row],[Edital]],INDEX(tItens[Produto],1):tItens[[#This Row],[Produto]],tItens[[#This Row],[Produto]])=1,1,0)</f>
        <v>0</v>
      </c>
    </row>
    <row r="310" spans="1:16" x14ac:dyDescent="0.25">
      <c r="A310" t="s">
        <v>815</v>
      </c>
      <c r="B310">
        <v>8041339</v>
      </c>
      <c r="C310" t="s">
        <v>3531</v>
      </c>
      <c r="D310" t="s">
        <v>90</v>
      </c>
      <c r="E310" s="13">
        <v>750</v>
      </c>
      <c r="F310" s="12">
        <v>13.69</v>
      </c>
      <c r="G310" t="str">
        <f>IFERROR(INDEX(tEditais[Órgão],MATCH(tItens[[#This Row],[Edital]],tEditais[Edital],0)),"")</f>
        <v>MUNICIPIO DE BREJOES</v>
      </c>
      <c r="H310" t="str">
        <f>IFERROR(INDEX(tEditais[UF],MATCH(tItens[[#This Row],[Edital]],tEditais[Edital],0)),"")</f>
        <v>BA</v>
      </c>
      <c r="I310" s="11">
        <f>IFERROR(INDEX(tEditais[Encerramento],MATCH(tItens[[#This Row],[Edital]],tEditais[Edital],0)),"")</f>
        <v>46304.416666666664</v>
      </c>
      <c r="J310" t="str">
        <f>IFERROR(INDEX(tProdutos[Classe],MATCH(tItens[[#This Row],[Produto]],tProdutos[Produto],0)),"produto não cadastrado")</f>
        <v>DISPUTADO</v>
      </c>
      <c r="K310" s="12">
        <f>tItens[[#This Row],[Qtd]]*tItens[[#This Row],[Vlr unit]]</f>
        <v>10267.5</v>
      </c>
      <c r="L310" s="6">
        <f>IFERROR(IF(INDEX(tProdutos[Desconto homologado],MATCH(tItens[[#This Row],[Produto]],tProdutos[Produto],0))="",DescontoPadrao,INDEX(tProdutos[Desconto homologado],MATCH(tItens[[#This Row],[Produto]],tProdutos[Produto],0))),DescontoPadrao)</f>
        <v>0.25393823957010597</v>
      </c>
      <c r="M310" s="12">
        <f>tItens[[#This Row],[Valor]]*(1-tItens[[#This Row],[Desconto]])</f>
        <v>7660.1891252139367</v>
      </c>
      <c r="N310" t="str">
        <f>IFERROR(INDEX(tProdutos[Foco],MATCH(tItens[[#This Row],[Produto]],tProdutos[Produto],0)),"Não")</f>
        <v>Não</v>
      </c>
      <c r="O310" t="str">
        <f>IFERROR(INDEX(tEditais[SRP],MATCH(tItens[[#This Row],[Edital]],tEditais[Edital],0)),"Não")</f>
        <v>Sim</v>
      </c>
      <c r="P310" s="4">
        <f>IF(COUNTIFS(INDEX(tItens[Edital],1):tItens[[#This Row],[Edital]],tItens[[#This Row],[Edital]],INDEX(tItens[Produto],1):tItens[[#This Row],[Produto]],tItens[[#This Row],[Produto]])=1,1,0)</f>
        <v>0</v>
      </c>
    </row>
    <row r="311" spans="1:16" x14ac:dyDescent="0.25">
      <c r="A311" t="s">
        <v>815</v>
      </c>
      <c r="B311">
        <v>8041340</v>
      </c>
      <c r="C311" t="s">
        <v>3532</v>
      </c>
      <c r="D311" t="s">
        <v>90</v>
      </c>
      <c r="E311" s="13">
        <v>500</v>
      </c>
      <c r="F311" s="12">
        <v>4.78</v>
      </c>
      <c r="G311" t="str">
        <f>IFERROR(INDEX(tEditais[Órgão],MATCH(tItens[[#This Row],[Edital]],tEditais[Edital],0)),"")</f>
        <v>MUNICIPIO DE BREJOES</v>
      </c>
      <c r="H311" t="str">
        <f>IFERROR(INDEX(tEditais[UF],MATCH(tItens[[#This Row],[Edital]],tEditais[Edital],0)),"")</f>
        <v>BA</v>
      </c>
      <c r="I311" s="11">
        <f>IFERROR(INDEX(tEditais[Encerramento],MATCH(tItens[[#This Row],[Edital]],tEditais[Edital],0)),"")</f>
        <v>46304.416666666664</v>
      </c>
      <c r="J311" t="str">
        <f>IFERROR(INDEX(tProdutos[Classe],MATCH(tItens[[#This Row],[Produto]],tProdutos[Produto],0)),"produto não cadastrado")</f>
        <v>DISPUTADO</v>
      </c>
      <c r="K311" s="12">
        <f>tItens[[#This Row],[Qtd]]*tItens[[#This Row],[Vlr unit]]</f>
        <v>2390</v>
      </c>
      <c r="L311" s="6">
        <f>IFERROR(IF(INDEX(tProdutos[Desconto homologado],MATCH(tItens[[#This Row],[Produto]],tProdutos[Produto],0))="",DescontoPadrao,INDEX(tProdutos[Desconto homologado],MATCH(tItens[[#This Row],[Produto]],tProdutos[Produto],0))),DescontoPadrao)</f>
        <v>0.25393823957010597</v>
      </c>
      <c r="M311" s="12">
        <f>tItens[[#This Row],[Valor]]*(1-tItens[[#This Row],[Desconto]])</f>
        <v>1783.0876074274468</v>
      </c>
      <c r="N311" t="str">
        <f>IFERROR(INDEX(tProdutos[Foco],MATCH(tItens[[#This Row],[Produto]],tProdutos[Produto],0)),"Não")</f>
        <v>Não</v>
      </c>
      <c r="O311" t="str">
        <f>IFERROR(INDEX(tEditais[SRP],MATCH(tItens[[#This Row],[Edital]],tEditais[Edital],0)),"Não")</f>
        <v>Sim</v>
      </c>
      <c r="P311" s="4">
        <f>IF(COUNTIFS(INDEX(tItens[Edital],1):tItens[[#This Row],[Edital]],tItens[[#This Row],[Edital]],INDEX(tItens[Produto],1):tItens[[#This Row],[Produto]],tItens[[#This Row],[Produto]])=1,1,0)</f>
        <v>0</v>
      </c>
    </row>
    <row r="312" spans="1:16" x14ac:dyDescent="0.25">
      <c r="A312" t="s">
        <v>815</v>
      </c>
      <c r="B312">
        <v>8041341</v>
      </c>
      <c r="C312" t="s">
        <v>3533</v>
      </c>
      <c r="D312" t="s">
        <v>90</v>
      </c>
      <c r="E312" s="13">
        <v>750</v>
      </c>
      <c r="F312" s="12">
        <v>10.58</v>
      </c>
      <c r="G312" t="str">
        <f>IFERROR(INDEX(tEditais[Órgão],MATCH(tItens[[#This Row],[Edital]],tEditais[Edital],0)),"")</f>
        <v>MUNICIPIO DE BREJOES</v>
      </c>
      <c r="H312" t="str">
        <f>IFERROR(INDEX(tEditais[UF],MATCH(tItens[[#This Row],[Edital]],tEditais[Edital],0)),"")</f>
        <v>BA</v>
      </c>
      <c r="I312" s="11">
        <f>IFERROR(INDEX(tEditais[Encerramento],MATCH(tItens[[#This Row],[Edital]],tEditais[Edital],0)),"")</f>
        <v>46304.416666666664</v>
      </c>
      <c r="J312" t="str">
        <f>IFERROR(INDEX(tProdutos[Classe],MATCH(tItens[[#This Row],[Produto]],tProdutos[Produto],0)),"produto não cadastrado")</f>
        <v>DISPUTADO</v>
      </c>
      <c r="K312" s="12">
        <f>tItens[[#This Row],[Qtd]]*tItens[[#This Row],[Vlr unit]]</f>
        <v>7935</v>
      </c>
      <c r="L312" s="6">
        <f>IFERROR(IF(INDEX(tProdutos[Desconto homologado],MATCH(tItens[[#This Row],[Produto]],tProdutos[Produto],0))="",DescontoPadrao,INDEX(tProdutos[Desconto homologado],MATCH(tItens[[#This Row],[Produto]],tProdutos[Produto],0))),DescontoPadrao)</f>
        <v>0.25393823957010597</v>
      </c>
      <c r="M312" s="12">
        <f>tItens[[#This Row],[Valor]]*(1-tItens[[#This Row],[Desconto]])</f>
        <v>5920.0000690112092</v>
      </c>
      <c r="N312" t="str">
        <f>IFERROR(INDEX(tProdutos[Foco],MATCH(tItens[[#This Row],[Produto]],tProdutos[Produto],0)),"Não")</f>
        <v>Não</v>
      </c>
      <c r="O312" t="str">
        <f>IFERROR(INDEX(tEditais[SRP],MATCH(tItens[[#This Row],[Edital]],tEditais[Edital],0)),"Não")</f>
        <v>Sim</v>
      </c>
      <c r="P312" s="4">
        <f>IF(COUNTIFS(INDEX(tItens[Edital],1):tItens[[#This Row],[Edital]],tItens[[#This Row],[Edital]],INDEX(tItens[Produto],1):tItens[[#This Row],[Produto]],tItens[[#This Row],[Produto]])=1,1,0)</f>
        <v>0</v>
      </c>
    </row>
    <row r="313" spans="1:16" x14ac:dyDescent="0.25">
      <c r="A313" t="s">
        <v>815</v>
      </c>
      <c r="B313">
        <v>8041342</v>
      </c>
      <c r="C313" t="s">
        <v>3534</v>
      </c>
      <c r="D313" t="s">
        <v>90</v>
      </c>
      <c r="E313" s="13">
        <v>500</v>
      </c>
      <c r="F313" s="12">
        <v>11.26</v>
      </c>
      <c r="G313" t="str">
        <f>IFERROR(INDEX(tEditais[Órgão],MATCH(tItens[[#This Row],[Edital]],tEditais[Edital],0)),"")</f>
        <v>MUNICIPIO DE BREJOES</v>
      </c>
      <c r="H313" t="str">
        <f>IFERROR(INDEX(tEditais[UF],MATCH(tItens[[#This Row],[Edital]],tEditais[Edital],0)),"")</f>
        <v>BA</v>
      </c>
      <c r="I313" s="11">
        <f>IFERROR(INDEX(tEditais[Encerramento],MATCH(tItens[[#This Row],[Edital]],tEditais[Edital],0)),"")</f>
        <v>46304.416666666664</v>
      </c>
      <c r="J313" t="str">
        <f>IFERROR(INDEX(tProdutos[Classe],MATCH(tItens[[#This Row],[Produto]],tProdutos[Produto],0)),"produto não cadastrado")</f>
        <v>DISPUTADO</v>
      </c>
      <c r="K313" s="12">
        <f>tItens[[#This Row],[Qtd]]*tItens[[#This Row],[Vlr unit]]</f>
        <v>5630</v>
      </c>
      <c r="L313" s="6">
        <f>IFERROR(IF(INDEX(tProdutos[Desconto homologado],MATCH(tItens[[#This Row],[Produto]],tProdutos[Produto],0))="",DescontoPadrao,INDEX(tProdutos[Desconto homologado],MATCH(tItens[[#This Row],[Produto]],tProdutos[Produto],0))),DescontoPadrao)</f>
        <v>0.25393823957010597</v>
      </c>
      <c r="M313" s="12">
        <f>tItens[[#This Row],[Valor]]*(1-tItens[[#This Row],[Desconto]])</f>
        <v>4200.3277112203032</v>
      </c>
      <c r="N313" t="str">
        <f>IFERROR(INDEX(tProdutos[Foco],MATCH(tItens[[#This Row],[Produto]],tProdutos[Produto],0)),"Não")</f>
        <v>Não</v>
      </c>
      <c r="O313" t="str">
        <f>IFERROR(INDEX(tEditais[SRP],MATCH(tItens[[#This Row],[Edital]],tEditais[Edital],0)),"Não")</f>
        <v>Sim</v>
      </c>
      <c r="P313" s="4">
        <f>IF(COUNTIFS(INDEX(tItens[Edital],1):tItens[[#This Row],[Edital]],tItens[[#This Row],[Edital]],INDEX(tItens[Produto],1):tItens[[#This Row],[Produto]],tItens[[#This Row],[Produto]])=1,1,0)</f>
        <v>0</v>
      </c>
    </row>
    <row r="314" spans="1:16" x14ac:dyDescent="0.25">
      <c r="A314" t="s">
        <v>815</v>
      </c>
      <c r="B314">
        <v>8041343</v>
      </c>
      <c r="C314" t="s">
        <v>3535</v>
      </c>
      <c r="D314" t="s">
        <v>90</v>
      </c>
      <c r="E314" s="13">
        <v>750</v>
      </c>
      <c r="F314" s="12">
        <v>12.38</v>
      </c>
      <c r="G314" t="str">
        <f>IFERROR(INDEX(tEditais[Órgão],MATCH(tItens[[#This Row],[Edital]],tEditais[Edital],0)),"")</f>
        <v>MUNICIPIO DE BREJOES</v>
      </c>
      <c r="H314" t="str">
        <f>IFERROR(INDEX(tEditais[UF],MATCH(tItens[[#This Row],[Edital]],tEditais[Edital],0)),"")</f>
        <v>BA</v>
      </c>
      <c r="I314" s="11">
        <f>IFERROR(INDEX(tEditais[Encerramento],MATCH(tItens[[#This Row],[Edital]],tEditais[Edital],0)),"")</f>
        <v>46304.416666666664</v>
      </c>
      <c r="J314" t="str">
        <f>IFERROR(INDEX(tProdutos[Classe],MATCH(tItens[[#This Row],[Produto]],tProdutos[Produto],0)),"produto não cadastrado")</f>
        <v>DISPUTADO</v>
      </c>
      <c r="K314" s="12">
        <f>tItens[[#This Row],[Qtd]]*tItens[[#This Row],[Vlr unit]]</f>
        <v>9285</v>
      </c>
      <c r="L314" s="6">
        <f>IFERROR(IF(INDEX(tProdutos[Desconto homologado],MATCH(tItens[[#This Row],[Produto]],tProdutos[Produto],0))="",DescontoPadrao,INDEX(tProdutos[Desconto homologado],MATCH(tItens[[#This Row],[Produto]],tProdutos[Produto],0))),DescontoPadrao)</f>
        <v>0.25393823957010597</v>
      </c>
      <c r="M314" s="12">
        <f>tItens[[#This Row],[Valor]]*(1-tItens[[#This Row],[Desconto]])</f>
        <v>6927.1834455915659</v>
      </c>
      <c r="N314" t="str">
        <f>IFERROR(INDEX(tProdutos[Foco],MATCH(tItens[[#This Row],[Produto]],tProdutos[Produto],0)),"Não")</f>
        <v>Não</v>
      </c>
      <c r="O314" t="str">
        <f>IFERROR(INDEX(tEditais[SRP],MATCH(tItens[[#This Row],[Edital]],tEditais[Edital],0)),"Não")</f>
        <v>Sim</v>
      </c>
      <c r="P314" s="4">
        <f>IF(COUNTIFS(INDEX(tItens[Edital],1):tItens[[#This Row],[Edital]],tItens[[#This Row],[Edital]],INDEX(tItens[Produto],1):tItens[[#This Row],[Produto]],tItens[[#This Row],[Produto]])=1,1,0)</f>
        <v>0</v>
      </c>
    </row>
    <row r="315" spans="1:16" x14ac:dyDescent="0.25">
      <c r="A315" t="s">
        <v>815</v>
      </c>
      <c r="B315">
        <v>8041344</v>
      </c>
      <c r="C315" t="s">
        <v>3536</v>
      </c>
      <c r="D315" t="s">
        <v>75</v>
      </c>
      <c r="E315" s="13">
        <v>1500</v>
      </c>
      <c r="F315" s="12">
        <v>2.19</v>
      </c>
      <c r="G315" t="str">
        <f>IFERROR(INDEX(tEditais[Órgão],MATCH(tItens[[#This Row],[Edital]],tEditais[Edital],0)),"")</f>
        <v>MUNICIPIO DE BREJOES</v>
      </c>
      <c r="H315" t="str">
        <f>IFERROR(INDEX(tEditais[UF],MATCH(tItens[[#This Row],[Edital]],tEditais[Edital],0)),"")</f>
        <v>BA</v>
      </c>
      <c r="I315" s="11">
        <f>IFERROR(INDEX(tEditais[Encerramento],MATCH(tItens[[#This Row],[Edital]],tEditais[Edital],0)),"")</f>
        <v>46304.416666666664</v>
      </c>
      <c r="J315" t="str">
        <f>IFERROR(INDEX(tProdutos[Classe],MATCH(tItens[[#This Row],[Produto]],tProdutos[Produto],0)),"produto não cadastrado")</f>
        <v>NÚCLEO</v>
      </c>
      <c r="K315" s="12">
        <f>tItens[[#This Row],[Qtd]]*tItens[[#This Row],[Vlr unit]]</f>
        <v>3285</v>
      </c>
      <c r="L315" s="6">
        <f>IFERROR(IF(INDEX(tProdutos[Desconto homologado],MATCH(tItens[[#This Row],[Produto]],tProdutos[Produto],0))="",DescontoPadrao,INDEX(tProdutos[Desconto homologado],MATCH(tItens[[#This Row],[Produto]],tProdutos[Produto],0))),DescontoPadrao)</f>
        <v>0.26</v>
      </c>
      <c r="M315" s="12">
        <f>tItens[[#This Row],[Valor]]*(1-tItens[[#This Row],[Desconto]])</f>
        <v>2430.9</v>
      </c>
      <c r="N315" t="str">
        <f>IFERROR(INDEX(tProdutos[Foco],MATCH(tItens[[#This Row],[Produto]],tProdutos[Produto],0)),"Não")</f>
        <v>Sim</v>
      </c>
      <c r="O315" t="str">
        <f>IFERROR(INDEX(tEditais[SRP],MATCH(tItens[[#This Row],[Edital]],tEditais[Edital],0)),"Não")</f>
        <v>Sim</v>
      </c>
      <c r="P315" s="4">
        <f>IF(COUNTIFS(INDEX(tItens[Edital],1):tItens[[#This Row],[Edital]],tItens[[#This Row],[Edital]],INDEX(tItens[Produto],1):tItens[[#This Row],[Produto]],tItens[[#This Row],[Produto]])=1,1,0)</f>
        <v>1</v>
      </c>
    </row>
    <row r="316" spans="1:16" x14ac:dyDescent="0.25">
      <c r="A316" t="s">
        <v>815</v>
      </c>
      <c r="B316">
        <v>8041345</v>
      </c>
      <c r="C316" t="s">
        <v>3537</v>
      </c>
      <c r="D316" t="s">
        <v>75</v>
      </c>
      <c r="E316" s="13">
        <v>1750</v>
      </c>
      <c r="F316" s="12">
        <v>2.56</v>
      </c>
      <c r="G316" t="str">
        <f>IFERROR(INDEX(tEditais[Órgão],MATCH(tItens[[#This Row],[Edital]],tEditais[Edital],0)),"")</f>
        <v>MUNICIPIO DE BREJOES</v>
      </c>
      <c r="H316" t="str">
        <f>IFERROR(INDEX(tEditais[UF],MATCH(tItens[[#This Row],[Edital]],tEditais[Edital],0)),"")</f>
        <v>BA</v>
      </c>
      <c r="I316" s="11">
        <f>IFERROR(INDEX(tEditais[Encerramento],MATCH(tItens[[#This Row],[Edital]],tEditais[Edital],0)),"")</f>
        <v>46304.416666666664</v>
      </c>
      <c r="J316" t="str">
        <f>IFERROR(INDEX(tProdutos[Classe],MATCH(tItens[[#This Row],[Produto]],tProdutos[Produto],0)),"produto não cadastrado")</f>
        <v>NÚCLEO</v>
      </c>
      <c r="K316" s="12">
        <f>tItens[[#This Row],[Qtd]]*tItens[[#This Row],[Vlr unit]]</f>
        <v>4480</v>
      </c>
      <c r="L316" s="6">
        <f>IFERROR(IF(INDEX(tProdutos[Desconto homologado],MATCH(tItens[[#This Row],[Produto]],tProdutos[Produto],0))="",DescontoPadrao,INDEX(tProdutos[Desconto homologado],MATCH(tItens[[#This Row],[Produto]],tProdutos[Produto],0))),DescontoPadrao)</f>
        <v>0.26</v>
      </c>
      <c r="M316" s="12">
        <f>tItens[[#This Row],[Valor]]*(1-tItens[[#This Row],[Desconto]])</f>
        <v>3315.2</v>
      </c>
      <c r="N316" t="str">
        <f>IFERROR(INDEX(tProdutos[Foco],MATCH(tItens[[#This Row],[Produto]],tProdutos[Produto],0)),"Não")</f>
        <v>Sim</v>
      </c>
      <c r="O316" t="str">
        <f>IFERROR(INDEX(tEditais[SRP],MATCH(tItens[[#This Row],[Edital]],tEditais[Edital],0)),"Não")</f>
        <v>Sim</v>
      </c>
      <c r="P316" s="4">
        <f>IF(COUNTIFS(INDEX(tItens[Edital],1):tItens[[#This Row],[Edital]],tItens[[#This Row],[Edital]],INDEX(tItens[Produto],1):tItens[[#This Row],[Produto]],tItens[[#This Row],[Produto]])=1,1,0)</f>
        <v>0</v>
      </c>
    </row>
    <row r="317" spans="1:16" x14ac:dyDescent="0.25">
      <c r="A317" t="s">
        <v>815</v>
      </c>
      <c r="B317">
        <v>8041346</v>
      </c>
      <c r="C317" t="s">
        <v>3538</v>
      </c>
      <c r="D317" t="s">
        <v>75</v>
      </c>
      <c r="E317" s="13">
        <v>2250</v>
      </c>
      <c r="F317" s="12">
        <v>2.4</v>
      </c>
      <c r="G317" t="str">
        <f>IFERROR(INDEX(tEditais[Órgão],MATCH(tItens[[#This Row],[Edital]],tEditais[Edital],0)),"")</f>
        <v>MUNICIPIO DE BREJOES</v>
      </c>
      <c r="H317" t="str">
        <f>IFERROR(INDEX(tEditais[UF],MATCH(tItens[[#This Row],[Edital]],tEditais[Edital],0)),"")</f>
        <v>BA</v>
      </c>
      <c r="I317" s="11">
        <f>IFERROR(INDEX(tEditais[Encerramento],MATCH(tItens[[#This Row],[Edital]],tEditais[Edital],0)),"")</f>
        <v>46304.416666666664</v>
      </c>
      <c r="J317" t="str">
        <f>IFERROR(INDEX(tProdutos[Classe],MATCH(tItens[[#This Row],[Produto]],tProdutos[Produto],0)),"produto não cadastrado")</f>
        <v>NÚCLEO</v>
      </c>
      <c r="K317" s="12">
        <f>tItens[[#This Row],[Qtd]]*tItens[[#This Row],[Vlr unit]]</f>
        <v>5400</v>
      </c>
      <c r="L317" s="6">
        <f>IFERROR(IF(INDEX(tProdutos[Desconto homologado],MATCH(tItens[[#This Row],[Produto]],tProdutos[Produto],0))="",DescontoPadrao,INDEX(tProdutos[Desconto homologado],MATCH(tItens[[#This Row],[Produto]],tProdutos[Produto],0))),DescontoPadrao)</f>
        <v>0.26</v>
      </c>
      <c r="M317" s="12">
        <f>tItens[[#This Row],[Valor]]*(1-tItens[[#This Row],[Desconto]])</f>
        <v>3996</v>
      </c>
      <c r="N317" t="str">
        <f>IFERROR(INDEX(tProdutos[Foco],MATCH(tItens[[#This Row],[Produto]],tProdutos[Produto],0)),"Não")</f>
        <v>Sim</v>
      </c>
      <c r="O317" t="str">
        <f>IFERROR(INDEX(tEditais[SRP],MATCH(tItens[[#This Row],[Edital]],tEditais[Edital],0)),"Não")</f>
        <v>Sim</v>
      </c>
      <c r="P317" s="4">
        <f>IF(COUNTIFS(INDEX(tItens[Edital],1):tItens[[#This Row],[Edital]],tItens[[#This Row],[Edital]],INDEX(tItens[Produto],1):tItens[[#This Row],[Produto]],tItens[[#This Row],[Produto]])=1,1,0)</f>
        <v>0</v>
      </c>
    </row>
    <row r="318" spans="1:16" x14ac:dyDescent="0.25">
      <c r="A318" t="s">
        <v>815</v>
      </c>
      <c r="B318">
        <v>8041352</v>
      </c>
      <c r="C318" t="s">
        <v>3539</v>
      </c>
      <c r="D318" t="s">
        <v>142</v>
      </c>
      <c r="E318" s="13">
        <v>240</v>
      </c>
      <c r="F318" s="12">
        <v>10.119999999999999</v>
      </c>
      <c r="G318" t="str">
        <f>IFERROR(INDEX(tEditais[Órgão],MATCH(tItens[[#This Row],[Edital]],tEditais[Edital],0)),"")</f>
        <v>MUNICIPIO DE BREJOES</v>
      </c>
      <c r="H318" t="str">
        <f>IFERROR(INDEX(tEditais[UF],MATCH(tItens[[#This Row],[Edital]],tEditais[Edital],0)),"")</f>
        <v>BA</v>
      </c>
      <c r="I318" s="11">
        <f>IFERROR(INDEX(tEditais[Encerramento],MATCH(tItens[[#This Row],[Edital]],tEditais[Edital],0)),"")</f>
        <v>46304.416666666664</v>
      </c>
      <c r="J318" t="str">
        <f>IFERROR(INDEX(tProdutos[Classe],MATCH(tItens[[#This Row],[Produto]],tProdutos[Produto],0)),"produto não cadastrado")</f>
        <v>DISPUTADO</v>
      </c>
      <c r="K318" s="12">
        <f>tItens[[#This Row],[Qtd]]*tItens[[#This Row],[Vlr unit]]</f>
        <v>2428.7999999999997</v>
      </c>
      <c r="L318" s="6">
        <f>IFERROR(IF(INDEX(tProdutos[Desconto homologado],MATCH(tItens[[#This Row],[Produto]],tProdutos[Produto],0))="",DescontoPadrao,INDEX(tProdutos[Desconto homologado],MATCH(tItens[[#This Row],[Produto]],tProdutos[Produto],0))),DescontoPadrao)</f>
        <v>0.37093619495691699</v>
      </c>
      <c r="M318" s="12">
        <f>tItens[[#This Row],[Valor]]*(1-tItens[[#This Row],[Desconto]])</f>
        <v>1527.8701696886399</v>
      </c>
      <c r="N318" t="str">
        <f>IFERROR(INDEX(tProdutos[Foco],MATCH(tItens[[#This Row],[Produto]],tProdutos[Produto],0)),"Não")</f>
        <v>Não</v>
      </c>
      <c r="O318" t="str">
        <f>IFERROR(INDEX(tEditais[SRP],MATCH(tItens[[#This Row],[Edital]],tEditais[Edital],0)),"Não")</f>
        <v>Sim</v>
      </c>
      <c r="P318" s="4">
        <f>IF(COUNTIFS(INDEX(tItens[Edital],1):tItens[[#This Row],[Edital]],tItens[[#This Row],[Edital]],INDEX(tItens[Produto],1):tItens[[#This Row],[Produto]],tItens[[#This Row],[Produto]])=1,1,0)</f>
        <v>1</v>
      </c>
    </row>
    <row r="319" spans="1:16" x14ac:dyDescent="0.25">
      <c r="A319" t="s">
        <v>815</v>
      </c>
      <c r="B319">
        <v>8041361</v>
      </c>
      <c r="C319" t="s">
        <v>3540</v>
      </c>
      <c r="D319" t="s">
        <v>56</v>
      </c>
      <c r="E319" s="13">
        <v>2000</v>
      </c>
      <c r="F319" s="12">
        <v>0.4</v>
      </c>
      <c r="G319" t="str">
        <f>IFERROR(INDEX(tEditais[Órgão],MATCH(tItens[[#This Row],[Edital]],tEditais[Edital],0)),"")</f>
        <v>MUNICIPIO DE BREJOES</v>
      </c>
      <c r="H319" t="str">
        <f>IFERROR(INDEX(tEditais[UF],MATCH(tItens[[#This Row],[Edital]],tEditais[Edital],0)),"")</f>
        <v>BA</v>
      </c>
      <c r="I319" s="11">
        <f>IFERROR(INDEX(tEditais[Encerramento],MATCH(tItens[[#This Row],[Edital]],tEditais[Edital],0)),"")</f>
        <v>46304.416666666664</v>
      </c>
      <c r="J319" t="str">
        <f>IFERROR(INDEX(tProdutos[Classe],MATCH(tItens[[#This Row],[Produto]],tProdutos[Produto],0)),"produto não cadastrado")</f>
        <v>NÚCLEO</v>
      </c>
      <c r="K319" s="12">
        <f>tItens[[#This Row],[Qtd]]*tItens[[#This Row],[Vlr unit]]</f>
        <v>800</v>
      </c>
      <c r="L319" s="6">
        <f>IFERROR(IF(INDEX(tProdutos[Desconto homologado],MATCH(tItens[[#This Row],[Produto]],tProdutos[Produto],0))="",DescontoPadrao,INDEX(tProdutos[Desconto homologado],MATCH(tItens[[#This Row],[Produto]],tProdutos[Produto],0))),DescontoPadrao)</f>
        <v>0.34</v>
      </c>
      <c r="M319" s="12">
        <f>tItens[[#This Row],[Valor]]*(1-tItens[[#This Row],[Desconto]])</f>
        <v>527.99999999999989</v>
      </c>
      <c r="N319" t="str">
        <f>IFERROR(INDEX(tProdutos[Foco],MATCH(tItens[[#This Row],[Produto]],tProdutos[Produto],0)),"Não")</f>
        <v>Sim</v>
      </c>
      <c r="O319" t="str">
        <f>IFERROR(INDEX(tEditais[SRP],MATCH(tItens[[#This Row],[Edital]],tEditais[Edital],0)),"Não")</f>
        <v>Sim</v>
      </c>
      <c r="P319" s="4">
        <f>IF(COUNTIFS(INDEX(tItens[Edital],1):tItens[[#This Row],[Edital]],tItens[[#This Row],[Edital]],INDEX(tItens[Produto],1):tItens[[#This Row],[Produto]],tItens[[#This Row],[Produto]])=1,1,0)</f>
        <v>1</v>
      </c>
    </row>
    <row r="320" spans="1:16" x14ac:dyDescent="0.25">
      <c r="A320" t="s">
        <v>815</v>
      </c>
      <c r="B320">
        <v>8041368</v>
      </c>
      <c r="C320" t="s">
        <v>3541</v>
      </c>
      <c r="D320" t="s">
        <v>343</v>
      </c>
      <c r="E320" s="13">
        <v>1800</v>
      </c>
      <c r="F320" s="12">
        <v>1.97</v>
      </c>
      <c r="G320" t="str">
        <f>IFERROR(INDEX(tEditais[Órgão],MATCH(tItens[[#This Row],[Edital]],tEditais[Edital],0)),"")</f>
        <v>MUNICIPIO DE BREJOES</v>
      </c>
      <c r="H320" t="str">
        <f>IFERROR(INDEX(tEditais[UF],MATCH(tItens[[#This Row],[Edital]],tEditais[Edital],0)),"")</f>
        <v>BA</v>
      </c>
      <c r="I320" s="11">
        <f>IFERROR(INDEX(tEditais[Encerramento],MATCH(tItens[[#This Row],[Edital]],tEditais[Edital],0)),"")</f>
        <v>46304.416666666664</v>
      </c>
      <c r="J320" t="str">
        <f>IFERROR(INDEX(tProdutos[Classe],MATCH(tItens[[#This Row],[Produto]],tProdutos[Produto],0)),"produto não cadastrado")</f>
        <v>FORA</v>
      </c>
      <c r="K320" s="12">
        <f>tItens[[#This Row],[Qtd]]*tItens[[#This Row],[Vlr unit]]</f>
        <v>3546</v>
      </c>
      <c r="L320" s="6">
        <f>IFERROR(IF(INDEX(tProdutos[Desconto homologado],MATCH(tItens[[#This Row],[Produto]],tProdutos[Produto],0))="",DescontoPadrao,INDEX(tProdutos[Desconto homologado],MATCH(tItens[[#This Row],[Produto]],tProdutos[Produto],0))),DescontoPadrao)</f>
        <v>0.35412234042553198</v>
      </c>
      <c r="M320" s="12">
        <f>tItens[[#This Row],[Valor]]*(1-tItens[[#This Row],[Desconto]])</f>
        <v>2290.2821808510635</v>
      </c>
      <c r="N320" t="str">
        <f>IFERROR(INDEX(tProdutos[Foco],MATCH(tItens[[#This Row],[Produto]],tProdutos[Produto],0)),"Não")</f>
        <v>Não</v>
      </c>
      <c r="O320" t="str">
        <f>IFERROR(INDEX(tEditais[SRP],MATCH(tItens[[#This Row],[Edital]],tEditais[Edital],0)),"Não")</f>
        <v>Sim</v>
      </c>
      <c r="P320" s="4">
        <f>IF(COUNTIFS(INDEX(tItens[Edital],1):tItens[[#This Row],[Edital]],tItens[[#This Row],[Edital]],INDEX(tItens[Produto],1):tItens[[#This Row],[Produto]],tItens[[#This Row],[Produto]])=1,1,0)</f>
        <v>1</v>
      </c>
    </row>
    <row r="321" spans="1:16" x14ac:dyDescent="0.25">
      <c r="A321" t="s">
        <v>815</v>
      </c>
      <c r="B321">
        <v>8041369</v>
      </c>
      <c r="C321" t="s">
        <v>3542</v>
      </c>
      <c r="D321" t="s">
        <v>343</v>
      </c>
      <c r="E321" s="13">
        <v>1800</v>
      </c>
      <c r="F321" s="12">
        <v>1.93</v>
      </c>
      <c r="G321" t="str">
        <f>IFERROR(INDEX(tEditais[Órgão],MATCH(tItens[[#This Row],[Edital]],tEditais[Edital],0)),"")</f>
        <v>MUNICIPIO DE BREJOES</v>
      </c>
      <c r="H321" t="str">
        <f>IFERROR(INDEX(tEditais[UF],MATCH(tItens[[#This Row],[Edital]],tEditais[Edital],0)),"")</f>
        <v>BA</v>
      </c>
      <c r="I321" s="11">
        <f>IFERROR(INDEX(tEditais[Encerramento],MATCH(tItens[[#This Row],[Edital]],tEditais[Edital],0)),"")</f>
        <v>46304.416666666664</v>
      </c>
      <c r="J321" t="str">
        <f>IFERROR(INDEX(tProdutos[Classe],MATCH(tItens[[#This Row],[Produto]],tProdutos[Produto],0)),"produto não cadastrado")</f>
        <v>FORA</v>
      </c>
      <c r="K321" s="12">
        <f>tItens[[#This Row],[Qtd]]*tItens[[#This Row],[Vlr unit]]</f>
        <v>3474</v>
      </c>
      <c r="L321" s="6">
        <f>IFERROR(IF(INDEX(tProdutos[Desconto homologado],MATCH(tItens[[#This Row],[Produto]],tProdutos[Produto],0))="",DescontoPadrao,INDEX(tProdutos[Desconto homologado],MATCH(tItens[[#This Row],[Produto]],tProdutos[Produto],0))),DescontoPadrao)</f>
        <v>0.35412234042553198</v>
      </c>
      <c r="M321" s="12">
        <f>tItens[[#This Row],[Valor]]*(1-tItens[[#This Row],[Desconto]])</f>
        <v>2243.7789893617019</v>
      </c>
      <c r="N321" t="str">
        <f>IFERROR(INDEX(tProdutos[Foco],MATCH(tItens[[#This Row],[Produto]],tProdutos[Produto],0)),"Não")</f>
        <v>Não</v>
      </c>
      <c r="O321" t="str">
        <f>IFERROR(INDEX(tEditais[SRP],MATCH(tItens[[#This Row],[Edital]],tEditais[Edital],0)),"Não")</f>
        <v>Sim</v>
      </c>
      <c r="P321" s="4">
        <f>IF(COUNTIFS(INDEX(tItens[Edital],1):tItens[[#This Row],[Edital]],tItens[[#This Row],[Edital]],INDEX(tItens[Produto],1):tItens[[#This Row],[Produto]],tItens[[#This Row],[Produto]])=1,1,0)</f>
        <v>0</v>
      </c>
    </row>
    <row r="322" spans="1:16" x14ac:dyDescent="0.25">
      <c r="A322" t="s">
        <v>815</v>
      </c>
      <c r="B322">
        <v>8041370</v>
      </c>
      <c r="C322" t="s">
        <v>3543</v>
      </c>
      <c r="D322" t="s">
        <v>343</v>
      </c>
      <c r="E322" s="13">
        <v>1800</v>
      </c>
      <c r="F322" s="12">
        <v>1.91</v>
      </c>
      <c r="G322" t="str">
        <f>IFERROR(INDEX(tEditais[Órgão],MATCH(tItens[[#This Row],[Edital]],tEditais[Edital],0)),"")</f>
        <v>MUNICIPIO DE BREJOES</v>
      </c>
      <c r="H322" t="str">
        <f>IFERROR(INDEX(tEditais[UF],MATCH(tItens[[#This Row],[Edital]],tEditais[Edital],0)),"")</f>
        <v>BA</v>
      </c>
      <c r="I322" s="11">
        <f>IFERROR(INDEX(tEditais[Encerramento],MATCH(tItens[[#This Row],[Edital]],tEditais[Edital],0)),"")</f>
        <v>46304.416666666664</v>
      </c>
      <c r="J322" t="str">
        <f>IFERROR(INDEX(tProdutos[Classe],MATCH(tItens[[#This Row],[Produto]],tProdutos[Produto],0)),"produto não cadastrado")</f>
        <v>FORA</v>
      </c>
      <c r="K322" s="12">
        <f>tItens[[#This Row],[Qtd]]*tItens[[#This Row],[Vlr unit]]</f>
        <v>3438</v>
      </c>
      <c r="L322" s="6">
        <f>IFERROR(IF(INDEX(tProdutos[Desconto homologado],MATCH(tItens[[#This Row],[Produto]],tProdutos[Produto],0))="",DescontoPadrao,INDEX(tProdutos[Desconto homologado],MATCH(tItens[[#This Row],[Produto]],tProdutos[Produto],0))),DescontoPadrao)</f>
        <v>0.35412234042553198</v>
      </c>
      <c r="M322" s="12">
        <f>tItens[[#This Row],[Valor]]*(1-tItens[[#This Row],[Desconto]])</f>
        <v>2220.5273936170211</v>
      </c>
      <c r="N322" t="str">
        <f>IFERROR(INDEX(tProdutos[Foco],MATCH(tItens[[#This Row],[Produto]],tProdutos[Produto],0)),"Não")</f>
        <v>Não</v>
      </c>
      <c r="O322" t="str">
        <f>IFERROR(INDEX(tEditais[SRP],MATCH(tItens[[#This Row],[Edital]],tEditais[Edital],0)),"Não")</f>
        <v>Sim</v>
      </c>
      <c r="P322" s="4">
        <f>IF(COUNTIFS(INDEX(tItens[Edital],1):tItens[[#This Row],[Edital]],tItens[[#This Row],[Edital]],INDEX(tItens[Produto],1):tItens[[#This Row],[Produto]],tItens[[#This Row],[Produto]])=1,1,0)</f>
        <v>0</v>
      </c>
    </row>
    <row r="323" spans="1:16" x14ac:dyDescent="0.25">
      <c r="A323" t="s">
        <v>815</v>
      </c>
      <c r="B323">
        <v>8041371</v>
      </c>
      <c r="C323" t="s">
        <v>3544</v>
      </c>
      <c r="D323" t="s">
        <v>343</v>
      </c>
      <c r="E323" s="13">
        <v>1600</v>
      </c>
      <c r="F323" s="12">
        <v>1.85</v>
      </c>
      <c r="G323" t="str">
        <f>IFERROR(INDEX(tEditais[Órgão],MATCH(tItens[[#This Row],[Edital]],tEditais[Edital],0)),"")</f>
        <v>MUNICIPIO DE BREJOES</v>
      </c>
      <c r="H323" t="str">
        <f>IFERROR(INDEX(tEditais[UF],MATCH(tItens[[#This Row],[Edital]],tEditais[Edital],0)),"")</f>
        <v>BA</v>
      </c>
      <c r="I323" s="11">
        <f>IFERROR(INDEX(tEditais[Encerramento],MATCH(tItens[[#This Row],[Edital]],tEditais[Edital],0)),"")</f>
        <v>46304.416666666664</v>
      </c>
      <c r="J323" t="str">
        <f>IFERROR(INDEX(tProdutos[Classe],MATCH(tItens[[#This Row],[Produto]],tProdutos[Produto],0)),"produto não cadastrado")</f>
        <v>FORA</v>
      </c>
      <c r="K323" s="12">
        <f>tItens[[#This Row],[Qtd]]*tItens[[#This Row],[Vlr unit]]</f>
        <v>2960</v>
      </c>
      <c r="L323" s="6">
        <f>IFERROR(IF(INDEX(tProdutos[Desconto homologado],MATCH(tItens[[#This Row],[Produto]],tProdutos[Produto],0))="",DescontoPadrao,INDEX(tProdutos[Desconto homologado],MATCH(tItens[[#This Row],[Produto]],tProdutos[Produto],0))),DescontoPadrao)</f>
        <v>0.35412234042553198</v>
      </c>
      <c r="M323" s="12">
        <f>tItens[[#This Row],[Valor]]*(1-tItens[[#This Row],[Desconto]])</f>
        <v>1911.7978723404251</v>
      </c>
      <c r="N323" t="str">
        <f>IFERROR(INDEX(tProdutos[Foco],MATCH(tItens[[#This Row],[Produto]],tProdutos[Produto],0)),"Não")</f>
        <v>Não</v>
      </c>
      <c r="O323" t="str">
        <f>IFERROR(INDEX(tEditais[SRP],MATCH(tItens[[#This Row],[Edital]],tEditais[Edital],0)),"Não")</f>
        <v>Sim</v>
      </c>
      <c r="P323" s="4">
        <f>IF(COUNTIFS(INDEX(tItens[Edital],1):tItens[[#This Row],[Edital]],tItens[[#This Row],[Edital]],INDEX(tItens[Produto],1):tItens[[#This Row],[Produto]],tItens[[#This Row],[Produto]])=1,1,0)</f>
        <v>0</v>
      </c>
    </row>
    <row r="324" spans="1:16" x14ac:dyDescent="0.25">
      <c r="A324" t="s">
        <v>815</v>
      </c>
      <c r="B324">
        <v>8041372</v>
      </c>
      <c r="C324" t="s">
        <v>3545</v>
      </c>
      <c r="D324" t="s">
        <v>343</v>
      </c>
      <c r="E324" s="13">
        <v>1500</v>
      </c>
      <c r="F324" s="12">
        <v>1.99</v>
      </c>
      <c r="G324" t="str">
        <f>IFERROR(INDEX(tEditais[Órgão],MATCH(tItens[[#This Row],[Edital]],tEditais[Edital],0)),"")</f>
        <v>MUNICIPIO DE BREJOES</v>
      </c>
      <c r="H324" t="str">
        <f>IFERROR(INDEX(tEditais[UF],MATCH(tItens[[#This Row],[Edital]],tEditais[Edital],0)),"")</f>
        <v>BA</v>
      </c>
      <c r="I324" s="11">
        <f>IFERROR(INDEX(tEditais[Encerramento],MATCH(tItens[[#This Row],[Edital]],tEditais[Edital],0)),"")</f>
        <v>46304.416666666664</v>
      </c>
      <c r="J324" t="str">
        <f>IFERROR(INDEX(tProdutos[Classe],MATCH(tItens[[#This Row],[Produto]],tProdutos[Produto],0)),"produto não cadastrado")</f>
        <v>FORA</v>
      </c>
      <c r="K324" s="12">
        <f>tItens[[#This Row],[Qtd]]*tItens[[#This Row],[Vlr unit]]</f>
        <v>2985</v>
      </c>
      <c r="L324" s="6">
        <f>IFERROR(IF(INDEX(tProdutos[Desconto homologado],MATCH(tItens[[#This Row],[Produto]],tProdutos[Produto],0))="",DescontoPadrao,INDEX(tProdutos[Desconto homologado],MATCH(tItens[[#This Row],[Produto]],tProdutos[Produto],0))),DescontoPadrao)</f>
        <v>0.35412234042553198</v>
      </c>
      <c r="M324" s="12">
        <f>tItens[[#This Row],[Valor]]*(1-tItens[[#This Row],[Desconto]])</f>
        <v>1927.9448138297869</v>
      </c>
      <c r="N324" t="str">
        <f>IFERROR(INDEX(tProdutos[Foco],MATCH(tItens[[#This Row],[Produto]],tProdutos[Produto],0)),"Não")</f>
        <v>Não</v>
      </c>
      <c r="O324" t="str">
        <f>IFERROR(INDEX(tEditais[SRP],MATCH(tItens[[#This Row],[Edital]],tEditais[Edital],0)),"Não")</f>
        <v>Sim</v>
      </c>
      <c r="P324" s="4">
        <f>IF(COUNTIFS(INDEX(tItens[Edital],1):tItens[[#This Row],[Edital]],tItens[[#This Row],[Edital]],INDEX(tItens[Produto],1):tItens[[#This Row],[Produto]],tItens[[#This Row],[Produto]])=1,1,0)</f>
        <v>0</v>
      </c>
    </row>
    <row r="325" spans="1:16" x14ac:dyDescent="0.25">
      <c r="A325" t="s">
        <v>815</v>
      </c>
      <c r="B325">
        <v>8041381</v>
      </c>
      <c r="C325" t="s">
        <v>3546</v>
      </c>
      <c r="D325" t="s">
        <v>313</v>
      </c>
      <c r="E325" s="13">
        <v>1250</v>
      </c>
      <c r="F325" s="12">
        <v>37.94</v>
      </c>
      <c r="G325" t="str">
        <f>IFERROR(INDEX(tEditais[Órgão],MATCH(tItens[[#This Row],[Edital]],tEditais[Edital],0)),"")</f>
        <v>MUNICIPIO DE BREJOES</v>
      </c>
      <c r="H325" t="str">
        <f>IFERROR(INDEX(tEditais[UF],MATCH(tItens[[#This Row],[Edital]],tEditais[Edital],0)),"")</f>
        <v>BA</v>
      </c>
      <c r="I325" s="11">
        <f>IFERROR(INDEX(tEditais[Encerramento],MATCH(tItens[[#This Row],[Edital]],tEditais[Edital],0)),"")</f>
        <v>46304.416666666664</v>
      </c>
      <c r="J325" t="str">
        <f>IFERROR(INDEX(tProdutos[Classe],MATCH(tItens[[#This Row],[Produto]],tProdutos[Produto],0)),"produto não cadastrado")</f>
        <v>FORA</v>
      </c>
      <c r="K325" s="12">
        <f>tItens[[#This Row],[Qtd]]*tItens[[#This Row],[Vlr unit]]</f>
        <v>47425</v>
      </c>
      <c r="L325" s="6">
        <f>IFERROR(IF(INDEX(tProdutos[Desconto homologado],MATCH(tItens[[#This Row],[Produto]],tProdutos[Produto],0))="",DescontoPadrao,INDEX(tProdutos[Desconto homologado],MATCH(tItens[[#This Row],[Produto]],tProdutos[Produto],0))),DescontoPadrao)</f>
        <v>0.35766373163696302</v>
      </c>
      <c r="M325" s="12">
        <f>tItens[[#This Row],[Valor]]*(1-tItens[[#This Row],[Desconto]])</f>
        <v>30462.797527117025</v>
      </c>
      <c r="N325" t="str">
        <f>IFERROR(INDEX(tProdutos[Foco],MATCH(tItens[[#This Row],[Produto]],tProdutos[Produto],0)),"Não")</f>
        <v>Não</v>
      </c>
      <c r="O325" t="str">
        <f>IFERROR(INDEX(tEditais[SRP],MATCH(tItens[[#This Row],[Edital]],tEditais[Edital],0)),"Não")</f>
        <v>Sim</v>
      </c>
      <c r="P325" s="4">
        <f>IF(COUNTIFS(INDEX(tItens[Edital],1):tItens[[#This Row],[Edital]],tItens[[#This Row],[Edital]],INDEX(tItens[Produto],1):tItens[[#This Row],[Produto]],tItens[[#This Row],[Produto]])=1,1,0)</f>
        <v>1</v>
      </c>
    </row>
    <row r="326" spans="1:16" x14ac:dyDescent="0.25">
      <c r="A326" t="s">
        <v>815</v>
      </c>
      <c r="B326">
        <v>8041382</v>
      </c>
      <c r="C326" t="s">
        <v>3547</v>
      </c>
      <c r="D326" t="s">
        <v>313</v>
      </c>
      <c r="E326" s="13">
        <v>2000</v>
      </c>
      <c r="F326" s="12">
        <v>34.520000000000003</v>
      </c>
      <c r="G326" t="str">
        <f>IFERROR(INDEX(tEditais[Órgão],MATCH(tItens[[#This Row],[Edital]],tEditais[Edital],0)),"")</f>
        <v>MUNICIPIO DE BREJOES</v>
      </c>
      <c r="H326" t="str">
        <f>IFERROR(INDEX(tEditais[UF],MATCH(tItens[[#This Row],[Edital]],tEditais[Edital],0)),"")</f>
        <v>BA</v>
      </c>
      <c r="I326" s="11">
        <f>IFERROR(INDEX(tEditais[Encerramento],MATCH(tItens[[#This Row],[Edital]],tEditais[Edital],0)),"")</f>
        <v>46304.416666666664</v>
      </c>
      <c r="J326" t="str">
        <f>IFERROR(INDEX(tProdutos[Classe],MATCH(tItens[[#This Row],[Produto]],tProdutos[Produto],0)),"produto não cadastrado")</f>
        <v>FORA</v>
      </c>
      <c r="K326" s="12">
        <f>tItens[[#This Row],[Qtd]]*tItens[[#This Row],[Vlr unit]]</f>
        <v>69040</v>
      </c>
      <c r="L326" s="6">
        <f>IFERROR(IF(INDEX(tProdutos[Desconto homologado],MATCH(tItens[[#This Row],[Produto]],tProdutos[Produto],0))="",DescontoPadrao,INDEX(tProdutos[Desconto homologado],MATCH(tItens[[#This Row],[Produto]],tProdutos[Produto],0))),DescontoPadrao)</f>
        <v>0.35766373163696302</v>
      </c>
      <c r="M326" s="12">
        <f>tItens[[#This Row],[Valor]]*(1-tItens[[#This Row],[Desconto]])</f>
        <v>44346.895967784068</v>
      </c>
      <c r="N326" t="str">
        <f>IFERROR(INDEX(tProdutos[Foco],MATCH(tItens[[#This Row],[Produto]],tProdutos[Produto],0)),"Não")</f>
        <v>Não</v>
      </c>
      <c r="O326" t="str">
        <f>IFERROR(INDEX(tEditais[SRP],MATCH(tItens[[#This Row],[Edital]],tEditais[Edital],0)),"Não")</f>
        <v>Sim</v>
      </c>
      <c r="P326" s="4">
        <f>IF(COUNTIFS(INDEX(tItens[Edital],1):tItens[[#This Row],[Edital]],tItens[[#This Row],[Edital]],INDEX(tItens[Produto],1):tItens[[#This Row],[Produto]],tItens[[#This Row],[Produto]])=1,1,0)</f>
        <v>0</v>
      </c>
    </row>
    <row r="327" spans="1:16" x14ac:dyDescent="0.25">
      <c r="A327" t="s">
        <v>815</v>
      </c>
      <c r="B327">
        <v>8041383</v>
      </c>
      <c r="C327" t="s">
        <v>3548</v>
      </c>
      <c r="D327" t="s">
        <v>313</v>
      </c>
      <c r="E327" s="13">
        <v>1250</v>
      </c>
      <c r="F327" s="12">
        <v>35.85</v>
      </c>
      <c r="G327" t="str">
        <f>IFERROR(INDEX(tEditais[Órgão],MATCH(tItens[[#This Row],[Edital]],tEditais[Edital],0)),"")</f>
        <v>MUNICIPIO DE BREJOES</v>
      </c>
      <c r="H327" t="str">
        <f>IFERROR(INDEX(tEditais[UF],MATCH(tItens[[#This Row],[Edital]],tEditais[Edital],0)),"")</f>
        <v>BA</v>
      </c>
      <c r="I327" s="11">
        <f>IFERROR(INDEX(tEditais[Encerramento],MATCH(tItens[[#This Row],[Edital]],tEditais[Edital],0)),"")</f>
        <v>46304.416666666664</v>
      </c>
      <c r="J327" t="str">
        <f>IFERROR(INDEX(tProdutos[Classe],MATCH(tItens[[#This Row],[Produto]],tProdutos[Produto],0)),"produto não cadastrado")</f>
        <v>FORA</v>
      </c>
      <c r="K327" s="12">
        <f>tItens[[#This Row],[Qtd]]*tItens[[#This Row],[Vlr unit]]</f>
        <v>44812.5</v>
      </c>
      <c r="L327" s="6">
        <f>IFERROR(IF(INDEX(tProdutos[Desconto homologado],MATCH(tItens[[#This Row],[Produto]],tProdutos[Produto],0))="",DescontoPadrao,INDEX(tProdutos[Desconto homologado],MATCH(tItens[[#This Row],[Produto]],tProdutos[Produto],0))),DescontoPadrao)</f>
        <v>0.35766373163696302</v>
      </c>
      <c r="M327" s="12">
        <f>tItens[[#This Row],[Valor]]*(1-tItens[[#This Row],[Desconto]])</f>
        <v>28784.694026018591</v>
      </c>
      <c r="N327" t="str">
        <f>IFERROR(INDEX(tProdutos[Foco],MATCH(tItens[[#This Row],[Produto]],tProdutos[Produto],0)),"Não")</f>
        <v>Não</v>
      </c>
      <c r="O327" t="str">
        <f>IFERROR(INDEX(tEditais[SRP],MATCH(tItens[[#This Row],[Edital]],tEditais[Edital],0)),"Não")</f>
        <v>Sim</v>
      </c>
      <c r="P327" s="4">
        <f>IF(COUNTIFS(INDEX(tItens[Edital],1):tItens[[#This Row],[Edital]],tItens[[#This Row],[Edital]],INDEX(tItens[Produto],1):tItens[[#This Row],[Produto]],tItens[[#This Row],[Produto]])=1,1,0)</f>
        <v>0</v>
      </c>
    </row>
    <row r="328" spans="1:16" x14ac:dyDescent="0.25">
      <c r="A328" t="s">
        <v>815</v>
      </c>
      <c r="B328">
        <v>8041384</v>
      </c>
      <c r="C328" t="s">
        <v>3549</v>
      </c>
      <c r="D328" t="s">
        <v>313</v>
      </c>
      <c r="E328" s="13">
        <v>750</v>
      </c>
      <c r="F328" s="12">
        <v>37.44</v>
      </c>
      <c r="G328" t="str">
        <f>IFERROR(INDEX(tEditais[Órgão],MATCH(tItens[[#This Row],[Edital]],tEditais[Edital],0)),"")</f>
        <v>MUNICIPIO DE BREJOES</v>
      </c>
      <c r="H328" t="str">
        <f>IFERROR(INDEX(tEditais[UF],MATCH(tItens[[#This Row],[Edital]],tEditais[Edital],0)),"")</f>
        <v>BA</v>
      </c>
      <c r="I328" s="11">
        <f>IFERROR(INDEX(tEditais[Encerramento],MATCH(tItens[[#This Row],[Edital]],tEditais[Edital],0)),"")</f>
        <v>46304.416666666664</v>
      </c>
      <c r="J328" t="str">
        <f>IFERROR(INDEX(tProdutos[Classe],MATCH(tItens[[#This Row],[Produto]],tProdutos[Produto],0)),"produto não cadastrado")</f>
        <v>FORA</v>
      </c>
      <c r="K328" s="12">
        <f>tItens[[#This Row],[Qtd]]*tItens[[#This Row],[Vlr unit]]</f>
        <v>28080</v>
      </c>
      <c r="L328" s="6">
        <f>IFERROR(IF(INDEX(tProdutos[Desconto homologado],MATCH(tItens[[#This Row],[Produto]],tProdutos[Produto],0))="",DescontoPadrao,INDEX(tProdutos[Desconto homologado],MATCH(tItens[[#This Row],[Produto]],tProdutos[Produto],0))),DescontoPadrao)</f>
        <v>0.35766373163696302</v>
      </c>
      <c r="M328" s="12">
        <f>tItens[[#This Row],[Valor]]*(1-tItens[[#This Row],[Desconto]])</f>
        <v>18036.802415634076</v>
      </c>
      <c r="N328" t="str">
        <f>IFERROR(INDEX(tProdutos[Foco],MATCH(tItens[[#This Row],[Produto]],tProdutos[Produto],0)),"Não")</f>
        <v>Não</v>
      </c>
      <c r="O328" t="str">
        <f>IFERROR(INDEX(tEditais[SRP],MATCH(tItens[[#This Row],[Edital]],tEditais[Edital],0)),"Não")</f>
        <v>Sim</v>
      </c>
      <c r="P328" s="4">
        <f>IF(COUNTIFS(INDEX(tItens[Edital],1):tItens[[#This Row],[Edital]],tItens[[#This Row],[Edital]],INDEX(tItens[Produto],1):tItens[[#This Row],[Produto]],tItens[[#This Row],[Produto]])=1,1,0)</f>
        <v>0</v>
      </c>
    </row>
    <row r="329" spans="1:16" x14ac:dyDescent="0.25">
      <c r="A329" t="s">
        <v>815</v>
      </c>
      <c r="B329">
        <v>8041385</v>
      </c>
      <c r="C329" t="s">
        <v>3550</v>
      </c>
      <c r="D329" t="s">
        <v>385</v>
      </c>
      <c r="E329" s="13">
        <v>1900</v>
      </c>
      <c r="F329" s="12">
        <v>9.27</v>
      </c>
      <c r="G329" t="str">
        <f>IFERROR(INDEX(tEditais[Órgão],MATCH(tItens[[#This Row],[Edital]],tEditais[Edital],0)),"")</f>
        <v>MUNICIPIO DE BREJOES</v>
      </c>
      <c r="H329" t="str">
        <f>IFERROR(INDEX(tEditais[UF],MATCH(tItens[[#This Row],[Edital]],tEditais[Edital],0)),"")</f>
        <v>BA</v>
      </c>
      <c r="I329" s="11">
        <f>IFERROR(INDEX(tEditais[Encerramento],MATCH(tItens[[#This Row],[Edital]],tEditais[Edital],0)),"")</f>
        <v>46304.416666666664</v>
      </c>
      <c r="J329" t="str">
        <f>IFERROR(INDEX(tProdutos[Classe],MATCH(tItens[[#This Row],[Produto]],tProdutos[Produto],0)),"produto não cadastrado")</f>
        <v>FORA</v>
      </c>
      <c r="K329" s="12">
        <f>tItens[[#This Row],[Qtd]]*tItens[[#This Row],[Vlr unit]]</f>
        <v>17613</v>
      </c>
      <c r="L329" s="6">
        <f>IFERROR(IF(INDEX(tProdutos[Desconto homologado],MATCH(tItens[[#This Row],[Produto]],tProdutos[Produto],0))="",DescontoPadrao,INDEX(tProdutos[Desconto homologado],MATCH(tItens[[#This Row],[Produto]],tProdutos[Produto],0))),DescontoPadrao)</f>
        <v>0.46969696969697</v>
      </c>
      <c r="M329" s="12">
        <f>tItens[[#This Row],[Valor]]*(1-tItens[[#This Row],[Desconto]])</f>
        <v>9340.2272727272684</v>
      </c>
      <c r="N329" t="str">
        <f>IFERROR(INDEX(tProdutos[Foco],MATCH(tItens[[#This Row],[Produto]],tProdutos[Produto],0)),"Não")</f>
        <v>Não</v>
      </c>
      <c r="O329" t="str">
        <f>IFERROR(INDEX(tEditais[SRP],MATCH(tItens[[#This Row],[Edital]],tEditais[Edital],0)),"Não")</f>
        <v>Sim</v>
      </c>
      <c r="P329" s="4">
        <f>IF(COUNTIFS(INDEX(tItens[Edital],1):tItens[[#This Row],[Edital]],tItens[[#This Row],[Edital]],INDEX(tItens[Produto],1):tItens[[#This Row],[Produto]],tItens[[#This Row],[Produto]])=1,1,0)</f>
        <v>1</v>
      </c>
    </row>
    <row r="330" spans="1:16" x14ac:dyDescent="0.25">
      <c r="A330" t="s">
        <v>815</v>
      </c>
      <c r="B330">
        <v>8041387</v>
      </c>
      <c r="C330" t="s">
        <v>3551</v>
      </c>
      <c r="D330" t="s">
        <v>267</v>
      </c>
      <c r="E330" s="13">
        <v>300</v>
      </c>
      <c r="F330" s="12">
        <v>11.11</v>
      </c>
      <c r="G330" t="str">
        <f>IFERROR(INDEX(tEditais[Órgão],MATCH(tItens[[#This Row],[Edital]],tEditais[Edital],0)),"")</f>
        <v>MUNICIPIO DE BREJOES</v>
      </c>
      <c r="H330" t="str">
        <f>IFERROR(INDEX(tEditais[UF],MATCH(tItens[[#This Row],[Edital]],tEditais[Edital],0)),"")</f>
        <v>BA</v>
      </c>
      <c r="I330" s="11">
        <f>IFERROR(INDEX(tEditais[Encerramento],MATCH(tItens[[#This Row],[Edital]],tEditais[Edital],0)),"")</f>
        <v>46304.416666666664</v>
      </c>
      <c r="J330" t="str">
        <f>IFERROR(INDEX(tProdutos[Classe],MATCH(tItens[[#This Row],[Produto]],tProdutos[Produto],0)),"produto não cadastrado")</f>
        <v>FORA</v>
      </c>
      <c r="K330" s="12">
        <f>tItens[[#This Row],[Qtd]]*tItens[[#This Row],[Vlr unit]]</f>
        <v>3333</v>
      </c>
      <c r="L330" s="6">
        <f>IFERROR(IF(INDEX(tProdutos[Desconto homologado],MATCH(tItens[[#This Row],[Produto]],tProdutos[Produto],0))="",DescontoPadrao,INDEX(tProdutos[Desconto homologado],MATCH(tItens[[#This Row],[Produto]],tProdutos[Produto],0))),DescontoPadrao)</f>
        <v>0.19963672657401599</v>
      </c>
      <c r="M330" s="12">
        <f>tItens[[#This Row],[Valor]]*(1-tItens[[#This Row],[Desconto]])</f>
        <v>2667.6107903288048</v>
      </c>
      <c r="N330" t="str">
        <f>IFERROR(INDEX(tProdutos[Foco],MATCH(tItens[[#This Row],[Produto]],tProdutos[Produto],0)),"Não")</f>
        <v>Não</v>
      </c>
      <c r="O330" t="str">
        <f>IFERROR(INDEX(tEditais[SRP],MATCH(tItens[[#This Row],[Edital]],tEditais[Edital],0)),"Não")</f>
        <v>Sim</v>
      </c>
      <c r="P330" s="4">
        <f>IF(COUNTIFS(INDEX(tItens[Edital],1):tItens[[#This Row],[Edital]],tItens[[#This Row],[Edital]],INDEX(tItens[Produto],1):tItens[[#This Row],[Produto]],tItens[[#This Row],[Produto]])=1,1,0)</f>
        <v>1</v>
      </c>
    </row>
    <row r="331" spans="1:16" x14ac:dyDescent="0.25">
      <c r="A331" t="s">
        <v>815</v>
      </c>
      <c r="B331">
        <v>8041388</v>
      </c>
      <c r="C331" t="s">
        <v>3552</v>
      </c>
      <c r="D331" t="s">
        <v>267</v>
      </c>
      <c r="E331" s="13">
        <v>400</v>
      </c>
      <c r="F331" s="12">
        <v>14.26</v>
      </c>
      <c r="G331" t="str">
        <f>IFERROR(INDEX(tEditais[Órgão],MATCH(tItens[[#This Row],[Edital]],tEditais[Edital],0)),"")</f>
        <v>MUNICIPIO DE BREJOES</v>
      </c>
      <c r="H331" t="str">
        <f>IFERROR(INDEX(tEditais[UF],MATCH(tItens[[#This Row],[Edital]],tEditais[Edital],0)),"")</f>
        <v>BA</v>
      </c>
      <c r="I331" s="11">
        <f>IFERROR(INDEX(tEditais[Encerramento],MATCH(tItens[[#This Row],[Edital]],tEditais[Edital],0)),"")</f>
        <v>46304.416666666664</v>
      </c>
      <c r="J331" t="str">
        <f>IFERROR(INDEX(tProdutos[Classe],MATCH(tItens[[#This Row],[Produto]],tProdutos[Produto],0)),"produto não cadastrado")</f>
        <v>FORA</v>
      </c>
      <c r="K331" s="12">
        <f>tItens[[#This Row],[Qtd]]*tItens[[#This Row],[Vlr unit]]</f>
        <v>5704</v>
      </c>
      <c r="L331" s="6">
        <f>IFERROR(IF(INDEX(tProdutos[Desconto homologado],MATCH(tItens[[#This Row],[Produto]],tProdutos[Produto],0))="",DescontoPadrao,INDEX(tProdutos[Desconto homologado],MATCH(tItens[[#This Row],[Produto]],tProdutos[Produto],0))),DescontoPadrao)</f>
        <v>0.19963672657401599</v>
      </c>
      <c r="M331" s="12">
        <f>tItens[[#This Row],[Valor]]*(1-tItens[[#This Row],[Desconto]])</f>
        <v>4565.2721116218127</v>
      </c>
      <c r="N331" t="str">
        <f>IFERROR(INDEX(tProdutos[Foco],MATCH(tItens[[#This Row],[Produto]],tProdutos[Produto],0)),"Não")</f>
        <v>Não</v>
      </c>
      <c r="O331" t="str">
        <f>IFERROR(INDEX(tEditais[SRP],MATCH(tItens[[#This Row],[Edital]],tEditais[Edital],0)),"Não")</f>
        <v>Sim</v>
      </c>
      <c r="P331" s="4">
        <f>IF(COUNTIFS(INDEX(tItens[Edital],1):tItens[[#This Row],[Edital]],tItens[[#This Row],[Edital]],INDEX(tItens[Produto],1):tItens[[#This Row],[Produto]],tItens[[#This Row],[Produto]])=1,1,0)</f>
        <v>0</v>
      </c>
    </row>
    <row r="332" spans="1:16" x14ac:dyDescent="0.25">
      <c r="A332" t="s">
        <v>815</v>
      </c>
      <c r="B332">
        <v>8041394</v>
      </c>
      <c r="C332" t="s">
        <v>3553</v>
      </c>
      <c r="D332" t="s">
        <v>327</v>
      </c>
      <c r="E332" s="13">
        <v>100</v>
      </c>
      <c r="F332" s="12">
        <v>20.059999999999999</v>
      </c>
      <c r="G332" t="str">
        <f>IFERROR(INDEX(tEditais[Órgão],MATCH(tItens[[#This Row],[Edital]],tEditais[Edital],0)),"")</f>
        <v>MUNICIPIO DE BREJOES</v>
      </c>
      <c r="H332" t="str">
        <f>IFERROR(INDEX(tEditais[UF],MATCH(tItens[[#This Row],[Edital]],tEditais[Edital],0)),"")</f>
        <v>BA</v>
      </c>
      <c r="I332" s="11">
        <f>IFERROR(INDEX(tEditais[Encerramento],MATCH(tItens[[#This Row],[Edital]],tEditais[Edital],0)),"")</f>
        <v>46304.416666666664</v>
      </c>
      <c r="J332" t="str">
        <f>IFERROR(INDEX(tProdutos[Classe],MATCH(tItens[[#This Row],[Produto]],tProdutos[Produto],0)),"produto não cadastrado")</f>
        <v>FORA</v>
      </c>
      <c r="K332" s="12">
        <f>tItens[[#This Row],[Qtd]]*tItens[[#This Row],[Vlr unit]]</f>
        <v>2005.9999999999998</v>
      </c>
      <c r="L332" s="6">
        <f>IFERROR(IF(INDEX(tProdutos[Desconto homologado],MATCH(tItens[[#This Row],[Produto]],tProdutos[Produto],0))="",DescontoPadrao,INDEX(tProdutos[Desconto homologado],MATCH(tItens[[#This Row],[Produto]],tProdutos[Produto],0))),DescontoPadrao)</f>
        <v>0.49969483918783197</v>
      </c>
      <c r="M332" s="12">
        <f>tItens[[#This Row],[Valor]]*(1-tItens[[#This Row],[Desconto]])</f>
        <v>1003.6121525892089</v>
      </c>
      <c r="N332" t="str">
        <f>IFERROR(INDEX(tProdutos[Foco],MATCH(tItens[[#This Row],[Produto]],tProdutos[Produto],0)),"Não")</f>
        <v>Não</v>
      </c>
      <c r="O332" t="str">
        <f>IFERROR(INDEX(tEditais[SRP],MATCH(tItens[[#This Row],[Edital]],tEditais[Edital],0)),"Não")</f>
        <v>Sim</v>
      </c>
      <c r="P332" s="4">
        <f>IF(COUNTIFS(INDEX(tItens[Edital],1):tItens[[#This Row],[Edital]],tItens[[#This Row],[Edital]],INDEX(tItens[Produto],1):tItens[[#This Row],[Produto]],tItens[[#This Row],[Produto]])=1,1,0)</f>
        <v>1</v>
      </c>
    </row>
    <row r="333" spans="1:16" x14ac:dyDescent="0.25">
      <c r="A333" t="s">
        <v>815</v>
      </c>
      <c r="B333">
        <v>8041401</v>
      </c>
      <c r="C333" t="s">
        <v>3554</v>
      </c>
      <c r="D333" t="s">
        <v>275</v>
      </c>
      <c r="E333" s="13">
        <v>15000</v>
      </c>
      <c r="F333" s="12">
        <v>0.35</v>
      </c>
      <c r="G333" t="str">
        <f>IFERROR(INDEX(tEditais[Órgão],MATCH(tItens[[#This Row],[Edital]],tEditais[Edital],0)),"")</f>
        <v>MUNICIPIO DE BREJOES</v>
      </c>
      <c r="H333" t="str">
        <f>IFERROR(INDEX(tEditais[UF],MATCH(tItens[[#This Row],[Edital]],tEditais[Edital],0)),"")</f>
        <v>BA</v>
      </c>
      <c r="I333" s="11">
        <f>IFERROR(INDEX(tEditais[Encerramento],MATCH(tItens[[#This Row],[Edital]],tEditais[Edital],0)),"")</f>
        <v>46304.416666666664</v>
      </c>
      <c r="J333" t="str">
        <f>IFERROR(INDEX(tProdutos[Classe],MATCH(tItens[[#This Row],[Produto]],tProdutos[Produto],0)),"produto não cadastrado")</f>
        <v>FORA</v>
      </c>
      <c r="K333" s="12">
        <f>tItens[[#This Row],[Qtd]]*tItens[[#This Row],[Vlr unit]]</f>
        <v>5250</v>
      </c>
      <c r="L333" s="6">
        <f>IFERROR(IF(INDEX(tProdutos[Desconto homologado],MATCH(tItens[[#This Row],[Produto]],tProdutos[Produto],0))="",DescontoPadrao,INDEX(tProdutos[Desconto homologado],MATCH(tItens[[#This Row],[Produto]],tProdutos[Produto],0))),DescontoPadrao)</f>
        <v>0.405797101449275</v>
      </c>
      <c r="M333" s="12">
        <f>tItens[[#This Row],[Valor]]*(1-tItens[[#This Row],[Desconto]])</f>
        <v>3119.5652173913068</v>
      </c>
      <c r="N333" t="str">
        <f>IFERROR(INDEX(tProdutos[Foco],MATCH(tItens[[#This Row],[Produto]],tProdutos[Produto],0)),"Não")</f>
        <v>Não</v>
      </c>
      <c r="O333" t="str">
        <f>IFERROR(INDEX(tEditais[SRP],MATCH(tItens[[#This Row],[Edital]],tEditais[Edital],0)),"Não")</f>
        <v>Sim</v>
      </c>
      <c r="P333" s="4">
        <f>IF(COUNTIFS(INDEX(tItens[Edital],1):tItens[[#This Row],[Edital]],tItens[[#This Row],[Edital]],INDEX(tItens[Produto],1):tItens[[#This Row],[Produto]],tItens[[#This Row],[Produto]])=1,1,0)</f>
        <v>1</v>
      </c>
    </row>
    <row r="334" spans="1:16" x14ac:dyDescent="0.25">
      <c r="A334" t="s">
        <v>815</v>
      </c>
      <c r="B334">
        <v>8041402</v>
      </c>
      <c r="C334" t="s">
        <v>3555</v>
      </c>
      <c r="D334" t="s">
        <v>281</v>
      </c>
      <c r="E334" s="13">
        <v>6000</v>
      </c>
      <c r="F334" s="12">
        <v>0.81</v>
      </c>
      <c r="G334" t="str">
        <f>IFERROR(INDEX(tEditais[Órgão],MATCH(tItens[[#This Row],[Edital]],tEditais[Edital],0)),"")</f>
        <v>MUNICIPIO DE BREJOES</v>
      </c>
      <c r="H334" t="str">
        <f>IFERROR(INDEX(tEditais[UF],MATCH(tItens[[#This Row],[Edital]],tEditais[Edital],0)),"")</f>
        <v>BA</v>
      </c>
      <c r="I334" s="11">
        <f>IFERROR(INDEX(tEditais[Encerramento],MATCH(tItens[[#This Row],[Edital]],tEditais[Edital],0)),"")</f>
        <v>46304.416666666664</v>
      </c>
      <c r="J334" t="str">
        <f>IFERROR(INDEX(tProdutos[Classe],MATCH(tItens[[#This Row],[Produto]],tProdutos[Produto],0)),"produto não cadastrado")</f>
        <v>DISPUTADO</v>
      </c>
      <c r="K334" s="12">
        <f>tItens[[#This Row],[Qtd]]*tItens[[#This Row],[Vlr unit]]</f>
        <v>4860</v>
      </c>
      <c r="L334" s="6">
        <f>IFERROR(IF(INDEX(tProdutos[Desconto homologado],MATCH(tItens[[#This Row],[Produto]],tProdutos[Produto],0))="",DescontoPadrao,INDEX(tProdutos[Desconto homologado],MATCH(tItens[[#This Row],[Produto]],tProdutos[Produto],0))),DescontoPadrao)</f>
        <v>0.42461538461538501</v>
      </c>
      <c r="M334" s="12">
        <f>tItens[[#This Row],[Valor]]*(1-tItens[[#This Row],[Desconto]])</f>
        <v>2796.3692307692286</v>
      </c>
      <c r="N334" t="str">
        <f>IFERROR(INDEX(tProdutos[Foco],MATCH(tItens[[#This Row],[Produto]],tProdutos[Produto],0)),"Não")</f>
        <v>Não</v>
      </c>
      <c r="O334" t="str">
        <f>IFERROR(INDEX(tEditais[SRP],MATCH(tItens[[#This Row],[Edital]],tEditais[Edital],0)),"Não")</f>
        <v>Sim</v>
      </c>
      <c r="P334" s="4">
        <f>IF(COUNTIFS(INDEX(tItens[Edital],1):tItens[[#This Row],[Edital]],tItens[[#This Row],[Edital]],INDEX(tItens[Produto],1):tItens[[#This Row],[Produto]],tItens[[#This Row],[Produto]])=1,1,0)</f>
        <v>1</v>
      </c>
    </row>
    <row r="335" spans="1:16" x14ac:dyDescent="0.25">
      <c r="A335" t="s">
        <v>815</v>
      </c>
      <c r="B335">
        <v>8041403</v>
      </c>
      <c r="C335" t="s">
        <v>3556</v>
      </c>
      <c r="D335" t="s">
        <v>289</v>
      </c>
      <c r="E335" s="13">
        <v>6000</v>
      </c>
      <c r="F335" s="12">
        <v>1</v>
      </c>
      <c r="G335" t="str">
        <f>IFERROR(INDEX(tEditais[Órgão],MATCH(tItens[[#This Row],[Edital]],tEditais[Edital],0)),"")</f>
        <v>MUNICIPIO DE BREJOES</v>
      </c>
      <c r="H335" t="str">
        <f>IFERROR(INDEX(tEditais[UF],MATCH(tItens[[#This Row],[Edital]],tEditais[Edital],0)),"")</f>
        <v>BA</v>
      </c>
      <c r="I335" s="11">
        <f>IFERROR(INDEX(tEditais[Encerramento],MATCH(tItens[[#This Row],[Edital]],tEditais[Edital],0)),"")</f>
        <v>46304.416666666664</v>
      </c>
      <c r="J335" t="str">
        <f>IFERROR(INDEX(tProdutos[Classe],MATCH(tItens[[#This Row],[Produto]],tProdutos[Produto],0)),"produto não cadastrado")</f>
        <v>DISPUTADO</v>
      </c>
      <c r="K335" s="12">
        <f>tItens[[#This Row],[Qtd]]*tItens[[#This Row],[Vlr unit]]</f>
        <v>6000</v>
      </c>
      <c r="L335" s="6">
        <f>IFERROR(IF(INDEX(tProdutos[Desconto homologado],MATCH(tItens[[#This Row],[Produto]],tProdutos[Produto],0))="",DescontoPadrao,INDEX(tProdutos[Desconto homologado],MATCH(tItens[[#This Row],[Produto]],tProdutos[Produto],0))),DescontoPadrao)</f>
        <v>0.35849056603773599</v>
      </c>
      <c r="M335" s="12">
        <f>tItens[[#This Row],[Valor]]*(1-tItens[[#This Row],[Desconto]])</f>
        <v>3849.0566037735839</v>
      </c>
      <c r="N335" t="str">
        <f>IFERROR(INDEX(tProdutos[Foco],MATCH(tItens[[#This Row],[Produto]],tProdutos[Produto],0)),"Não")</f>
        <v>Não</v>
      </c>
      <c r="O335" t="str">
        <f>IFERROR(INDEX(tEditais[SRP],MATCH(tItens[[#This Row],[Edital]],tEditais[Edital],0)),"Não")</f>
        <v>Sim</v>
      </c>
      <c r="P335" s="4">
        <f>IF(COUNTIFS(INDEX(tItens[Edital],1):tItens[[#This Row],[Edital]],tItens[[#This Row],[Edital]],INDEX(tItens[Produto],1):tItens[[#This Row],[Produto]],tItens[[#This Row],[Produto]])=1,1,0)</f>
        <v>1</v>
      </c>
    </row>
    <row r="336" spans="1:16" x14ac:dyDescent="0.25">
      <c r="A336" t="s">
        <v>815</v>
      </c>
      <c r="B336">
        <v>8041404</v>
      </c>
      <c r="C336" t="s">
        <v>3557</v>
      </c>
      <c r="D336" t="s">
        <v>283</v>
      </c>
      <c r="E336" s="13">
        <v>5000</v>
      </c>
      <c r="F336" s="12">
        <v>0.4</v>
      </c>
      <c r="G336" t="str">
        <f>IFERROR(INDEX(tEditais[Órgão],MATCH(tItens[[#This Row],[Edital]],tEditais[Edital],0)),"")</f>
        <v>MUNICIPIO DE BREJOES</v>
      </c>
      <c r="H336" t="str">
        <f>IFERROR(INDEX(tEditais[UF],MATCH(tItens[[#This Row],[Edital]],tEditais[Edital],0)),"")</f>
        <v>BA</v>
      </c>
      <c r="I336" s="11">
        <f>IFERROR(INDEX(tEditais[Encerramento],MATCH(tItens[[#This Row],[Edital]],tEditais[Edital],0)),"")</f>
        <v>46304.416666666664</v>
      </c>
      <c r="J336" t="str">
        <f>IFERROR(INDEX(tProdutos[Classe],MATCH(tItens[[#This Row],[Produto]],tProdutos[Produto],0)),"produto não cadastrado")</f>
        <v>FORA</v>
      </c>
      <c r="K336" s="12">
        <f>tItens[[#This Row],[Qtd]]*tItens[[#This Row],[Vlr unit]]</f>
        <v>2000</v>
      </c>
      <c r="L336" s="6">
        <f>IFERROR(IF(INDEX(tProdutos[Desconto homologado],MATCH(tItens[[#This Row],[Produto]],tProdutos[Produto],0))="",DescontoPadrao,INDEX(tProdutos[Desconto homologado],MATCH(tItens[[#This Row],[Produto]],tProdutos[Produto],0))),DescontoPadrao)</f>
        <v>0.40540540540540498</v>
      </c>
      <c r="M336" s="12">
        <f>tItens[[#This Row],[Valor]]*(1-tItens[[#This Row],[Desconto]])</f>
        <v>1189.1891891891898</v>
      </c>
      <c r="N336" t="str">
        <f>IFERROR(INDEX(tProdutos[Foco],MATCH(tItens[[#This Row],[Produto]],tProdutos[Produto],0)),"Não")</f>
        <v>Não</v>
      </c>
      <c r="O336" t="str">
        <f>IFERROR(INDEX(tEditais[SRP],MATCH(tItens[[#This Row],[Edital]],tEditais[Edital],0)),"Não")</f>
        <v>Sim</v>
      </c>
      <c r="P336" s="4">
        <f>IF(COUNTIFS(INDEX(tItens[Edital],1):tItens[[#This Row],[Edital]],tItens[[#This Row],[Edital]],INDEX(tItens[Produto],1):tItens[[#This Row],[Produto]],tItens[[#This Row],[Produto]])=1,1,0)</f>
        <v>1</v>
      </c>
    </row>
    <row r="337" spans="1:16" x14ac:dyDescent="0.25">
      <c r="A337" t="s">
        <v>815</v>
      </c>
      <c r="B337">
        <v>8041405</v>
      </c>
      <c r="C337" t="s">
        <v>3558</v>
      </c>
      <c r="D337" t="s">
        <v>265</v>
      </c>
      <c r="E337" s="13">
        <v>6000</v>
      </c>
      <c r="F337" s="12">
        <v>0.47</v>
      </c>
      <c r="G337" t="str">
        <f>IFERROR(INDEX(tEditais[Órgão],MATCH(tItens[[#This Row],[Edital]],tEditais[Edital],0)),"")</f>
        <v>MUNICIPIO DE BREJOES</v>
      </c>
      <c r="H337" t="str">
        <f>IFERROR(INDEX(tEditais[UF],MATCH(tItens[[#This Row],[Edital]],tEditais[Edital],0)),"")</f>
        <v>BA</v>
      </c>
      <c r="I337" s="11">
        <f>IFERROR(INDEX(tEditais[Encerramento],MATCH(tItens[[#This Row],[Edital]],tEditais[Edital],0)),"")</f>
        <v>46304.416666666664</v>
      </c>
      <c r="J337" t="str">
        <f>IFERROR(INDEX(tProdutos[Classe],MATCH(tItens[[#This Row],[Produto]],tProdutos[Produto],0)),"produto não cadastrado")</f>
        <v>DISPUTADO</v>
      </c>
      <c r="K337" s="12">
        <f>tItens[[#This Row],[Qtd]]*tItens[[#This Row],[Vlr unit]]</f>
        <v>2820</v>
      </c>
      <c r="L337" s="6">
        <f>IFERROR(IF(INDEX(tProdutos[Desconto homologado],MATCH(tItens[[#This Row],[Produto]],tProdutos[Produto],0))="",DescontoPadrao,INDEX(tProdutos[Desconto homologado],MATCH(tItens[[#This Row],[Produto]],tProdutos[Produto],0))),DescontoPadrao)</f>
        <v>0.377587663709337</v>
      </c>
      <c r="M337" s="12">
        <f>tItens[[#This Row],[Valor]]*(1-tItens[[#This Row],[Desconto]])</f>
        <v>1755.2027883396697</v>
      </c>
      <c r="N337" t="str">
        <f>IFERROR(INDEX(tProdutos[Foco],MATCH(tItens[[#This Row],[Produto]],tProdutos[Produto],0)),"Não")</f>
        <v>Não</v>
      </c>
      <c r="O337" t="str">
        <f>IFERROR(INDEX(tEditais[SRP],MATCH(tItens[[#This Row],[Edital]],tEditais[Edital],0)),"Não")</f>
        <v>Sim</v>
      </c>
      <c r="P337" s="4">
        <f>IF(COUNTIFS(INDEX(tItens[Edital],1):tItens[[#This Row],[Edital]],tItens[[#This Row],[Edital]],INDEX(tItens[Produto],1):tItens[[#This Row],[Produto]],tItens[[#This Row],[Produto]])=1,1,0)</f>
        <v>1</v>
      </c>
    </row>
    <row r="338" spans="1:16" x14ac:dyDescent="0.25">
      <c r="A338" t="s">
        <v>815</v>
      </c>
      <c r="B338">
        <v>8041408</v>
      </c>
      <c r="C338" t="s">
        <v>3559</v>
      </c>
      <c r="D338" t="s">
        <v>114</v>
      </c>
      <c r="E338" s="13">
        <v>100</v>
      </c>
      <c r="F338" s="12">
        <v>12.69</v>
      </c>
      <c r="G338" t="str">
        <f>IFERROR(INDEX(tEditais[Órgão],MATCH(tItens[[#This Row],[Edital]],tEditais[Edital],0)),"")</f>
        <v>MUNICIPIO DE BREJOES</v>
      </c>
      <c r="H338" t="str">
        <f>IFERROR(INDEX(tEditais[UF],MATCH(tItens[[#This Row],[Edital]],tEditais[Edital],0)),"")</f>
        <v>BA</v>
      </c>
      <c r="I338" s="11">
        <f>IFERROR(INDEX(tEditais[Encerramento],MATCH(tItens[[#This Row],[Edital]],tEditais[Edital],0)),"")</f>
        <v>46304.416666666664</v>
      </c>
      <c r="J338" t="str">
        <f>IFERROR(INDEX(tProdutos[Classe],MATCH(tItens[[#This Row],[Produto]],tProdutos[Produto],0)),"produto não cadastrado")</f>
        <v>DISPUTADO</v>
      </c>
      <c r="K338" s="12">
        <f>tItens[[#This Row],[Qtd]]*tItens[[#This Row],[Vlr unit]]</f>
        <v>1269</v>
      </c>
      <c r="L338" s="6">
        <f>IFERROR(IF(INDEX(tProdutos[Desconto homologado],MATCH(tItens[[#This Row],[Produto]],tProdutos[Produto],0))="",DescontoPadrao,INDEX(tProdutos[Desconto homologado],MATCH(tItens[[#This Row],[Produto]],tProdutos[Produto],0))),DescontoPadrao)</f>
        <v>0.24332656063896899</v>
      </c>
      <c r="M338" s="12">
        <f>tItens[[#This Row],[Valor]]*(1-tItens[[#This Row],[Desconto]])</f>
        <v>960.21859454914841</v>
      </c>
      <c r="N338" t="str">
        <f>IFERROR(INDEX(tProdutos[Foco],MATCH(tItens[[#This Row],[Produto]],tProdutos[Produto],0)),"Não")</f>
        <v>Não</v>
      </c>
      <c r="O338" t="str">
        <f>IFERROR(INDEX(tEditais[SRP],MATCH(tItens[[#This Row],[Edital]],tEditais[Edital],0)),"Não")</f>
        <v>Sim</v>
      </c>
      <c r="P338" s="4">
        <f>IF(COUNTIFS(INDEX(tItens[Edital],1):tItens[[#This Row],[Edital]],tItens[[#This Row],[Edital]],INDEX(tItens[Produto],1):tItens[[#This Row],[Produto]],tItens[[#This Row],[Produto]])=1,1,0)</f>
        <v>1</v>
      </c>
    </row>
    <row r="339" spans="1:16" x14ac:dyDescent="0.25">
      <c r="A339" t="s">
        <v>815</v>
      </c>
      <c r="B339">
        <v>8041411</v>
      </c>
      <c r="C339" t="s">
        <v>3560</v>
      </c>
      <c r="D339" t="s">
        <v>277</v>
      </c>
      <c r="E339" s="13">
        <v>1300</v>
      </c>
      <c r="F339" s="12">
        <v>19.8</v>
      </c>
      <c r="G339" t="str">
        <f>IFERROR(INDEX(tEditais[Órgão],MATCH(tItens[[#This Row],[Edital]],tEditais[Edital],0)),"")</f>
        <v>MUNICIPIO DE BREJOES</v>
      </c>
      <c r="H339" t="str">
        <f>IFERROR(INDEX(tEditais[UF],MATCH(tItens[[#This Row],[Edital]],tEditais[Edital],0)),"")</f>
        <v>BA</v>
      </c>
      <c r="I339" s="11">
        <f>IFERROR(INDEX(tEditais[Encerramento],MATCH(tItens[[#This Row],[Edital]],tEditais[Edital],0)),"")</f>
        <v>46304.416666666664</v>
      </c>
      <c r="J339" t="str">
        <f>IFERROR(INDEX(tProdutos[Classe],MATCH(tItens[[#This Row],[Produto]],tProdutos[Produto],0)),"produto não cadastrado")</f>
        <v>DISPUTADO</v>
      </c>
      <c r="K339" s="12">
        <f>tItens[[#This Row],[Qtd]]*tItens[[#This Row],[Vlr unit]]</f>
        <v>25740</v>
      </c>
      <c r="L339" s="6">
        <f>IFERROR(IF(INDEX(tProdutos[Desconto homologado],MATCH(tItens[[#This Row],[Produto]],tProdutos[Produto],0))="",DescontoPadrao,INDEX(tProdutos[Desconto homologado],MATCH(tItens[[#This Row],[Produto]],tProdutos[Produto],0))),DescontoPadrao)</f>
        <v>0.50460666194188497</v>
      </c>
      <c r="M339" s="12">
        <f>tItens[[#This Row],[Valor]]*(1-tItens[[#This Row],[Desconto]])</f>
        <v>12751.424521615882</v>
      </c>
      <c r="N339" t="str">
        <f>IFERROR(INDEX(tProdutos[Foco],MATCH(tItens[[#This Row],[Produto]],tProdutos[Produto],0)),"Não")</f>
        <v>Não</v>
      </c>
      <c r="O339" t="str">
        <f>IFERROR(INDEX(tEditais[SRP],MATCH(tItens[[#This Row],[Edital]],tEditais[Edital],0)),"Não")</f>
        <v>Sim</v>
      </c>
      <c r="P339" s="4">
        <f>IF(COUNTIFS(INDEX(tItens[Edital],1):tItens[[#This Row],[Edital]],tItens[[#This Row],[Edital]],INDEX(tItens[Produto],1):tItens[[#This Row],[Produto]],tItens[[#This Row],[Produto]])=1,1,0)</f>
        <v>1</v>
      </c>
    </row>
    <row r="340" spans="1:16" x14ac:dyDescent="0.25">
      <c r="A340" t="s">
        <v>815</v>
      </c>
      <c r="B340">
        <v>8041412</v>
      </c>
      <c r="C340" t="s">
        <v>3561</v>
      </c>
      <c r="D340" t="s">
        <v>277</v>
      </c>
      <c r="E340" s="13">
        <v>700</v>
      </c>
      <c r="F340" s="12">
        <v>6.78</v>
      </c>
      <c r="G340" t="str">
        <f>IFERROR(INDEX(tEditais[Órgão],MATCH(tItens[[#This Row],[Edital]],tEditais[Edital],0)),"")</f>
        <v>MUNICIPIO DE BREJOES</v>
      </c>
      <c r="H340" t="str">
        <f>IFERROR(INDEX(tEditais[UF],MATCH(tItens[[#This Row],[Edital]],tEditais[Edital],0)),"")</f>
        <v>BA</v>
      </c>
      <c r="I340" s="11">
        <f>IFERROR(INDEX(tEditais[Encerramento],MATCH(tItens[[#This Row],[Edital]],tEditais[Edital],0)),"")</f>
        <v>46304.416666666664</v>
      </c>
      <c r="J340" t="str">
        <f>IFERROR(INDEX(tProdutos[Classe],MATCH(tItens[[#This Row],[Produto]],tProdutos[Produto],0)),"produto não cadastrado")</f>
        <v>DISPUTADO</v>
      </c>
      <c r="K340" s="12">
        <f>tItens[[#This Row],[Qtd]]*tItens[[#This Row],[Vlr unit]]</f>
        <v>4746</v>
      </c>
      <c r="L340" s="6">
        <f>IFERROR(IF(INDEX(tProdutos[Desconto homologado],MATCH(tItens[[#This Row],[Produto]],tProdutos[Produto],0))="",DescontoPadrao,INDEX(tProdutos[Desconto homologado],MATCH(tItens[[#This Row],[Produto]],tProdutos[Produto],0))),DescontoPadrao)</f>
        <v>0.50460666194188497</v>
      </c>
      <c r="M340" s="12">
        <f>tItens[[#This Row],[Valor]]*(1-tItens[[#This Row],[Desconto]])</f>
        <v>2351.1367824238141</v>
      </c>
      <c r="N340" t="str">
        <f>IFERROR(INDEX(tProdutos[Foco],MATCH(tItens[[#This Row],[Produto]],tProdutos[Produto],0)),"Não")</f>
        <v>Não</v>
      </c>
      <c r="O340" t="str">
        <f>IFERROR(INDEX(tEditais[SRP],MATCH(tItens[[#This Row],[Edital]],tEditais[Edital],0)),"Não")</f>
        <v>Sim</v>
      </c>
      <c r="P340" s="4">
        <f>IF(COUNTIFS(INDEX(tItens[Edital],1):tItens[[#This Row],[Edital]],tItens[[#This Row],[Edital]],INDEX(tItens[Produto],1):tItens[[#This Row],[Produto]],tItens[[#This Row],[Produto]])=1,1,0)</f>
        <v>0</v>
      </c>
    </row>
    <row r="341" spans="1:16" x14ac:dyDescent="0.25">
      <c r="A341" t="s">
        <v>815</v>
      </c>
      <c r="B341">
        <v>8041536</v>
      </c>
      <c r="C341" t="s">
        <v>3562</v>
      </c>
      <c r="D341" t="s">
        <v>130</v>
      </c>
      <c r="E341" s="13">
        <v>900</v>
      </c>
      <c r="F341" s="12">
        <v>114.59</v>
      </c>
      <c r="G341" t="str">
        <f>IFERROR(INDEX(tEditais[Órgão],MATCH(tItens[[#This Row],[Edital]],tEditais[Edital],0)),"")</f>
        <v>MUNICIPIO DE BREJOES</v>
      </c>
      <c r="H341" t="str">
        <f>IFERROR(INDEX(tEditais[UF],MATCH(tItens[[#This Row],[Edital]],tEditais[Edital],0)),"")</f>
        <v>BA</v>
      </c>
      <c r="I341" s="11">
        <f>IFERROR(INDEX(tEditais[Encerramento],MATCH(tItens[[#This Row],[Edital]],tEditais[Edital],0)),"")</f>
        <v>46304.416666666664</v>
      </c>
      <c r="J341" t="str">
        <f>IFERROR(INDEX(tProdutos[Classe],MATCH(tItens[[#This Row],[Produto]],tProdutos[Produto],0)),"produto não cadastrado")</f>
        <v>DISPUTADO</v>
      </c>
      <c r="K341" s="12">
        <f>tItens[[#This Row],[Qtd]]*tItens[[#This Row],[Vlr unit]]</f>
        <v>103131</v>
      </c>
      <c r="L341" s="6">
        <f>IFERROR(IF(INDEX(tProdutos[Desconto homologado],MATCH(tItens[[#This Row],[Produto]],tProdutos[Produto],0))="",DescontoPadrao,INDEX(tProdutos[Desconto homologado],MATCH(tItens[[#This Row],[Produto]],tProdutos[Produto],0))),DescontoPadrao)</f>
        <v>0.32</v>
      </c>
      <c r="M341" s="12">
        <f>tItens[[#This Row],[Valor]]*(1-tItens[[#This Row],[Desconto]])</f>
        <v>70129.079999999987</v>
      </c>
      <c r="N341" t="str">
        <f>IFERROR(INDEX(tProdutos[Foco],MATCH(tItens[[#This Row],[Produto]],tProdutos[Produto],0)),"Não")</f>
        <v>Sim</v>
      </c>
      <c r="O341" t="str">
        <f>IFERROR(INDEX(tEditais[SRP],MATCH(tItens[[#This Row],[Edital]],tEditais[Edital],0)),"Não")</f>
        <v>Sim</v>
      </c>
      <c r="P341" s="4">
        <f>IF(COUNTIFS(INDEX(tItens[Edital],1):tItens[[#This Row],[Edital]],tItens[[#This Row],[Edital]],INDEX(tItens[Produto],1):tItens[[#This Row],[Produto]],tItens[[#This Row],[Produto]])=1,1,0)</f>
        <v>1</v>
      </c>
    </row>
    <row r="342" spans="1:16" x14ac:dyDescent="0.25">
      <c r="A342" t="s">
        <v>815</v>
      </c>
      <c r="B342">
        <v>8041565</v>
      </c>
      <c r="C342" t="s">
        <v>3563</v>
      </c>
      <c r="D342" t="s">
        <v>184</v>
      </c>
      <c r="E342" s="13">
        <v>450</v>
      </c>
      <c r="F342" s="12">
        <v>3.13</v>
      </c>
      <c r="G342" t="str">
        <f>IFERROR(INDEX(tEditais[Órgão],MATCH(tItens[[#This Row],[Edital]],tEditais[Edital],0)),"")</f>
        <v>MUNICIPIO DE BREJOES</v>
      </c>
      <c r="H342" t="str">
        <f>IFERROR(INDEX(tEditais[UF],MATCH(tItens[[#This Row],[Edital]],tEditais[Edital],0)),"")</f>
        <v>BA</v>
      </c>
      <c r="I342" s="11">
        <f>IFERROR(INDEX(tEditais[Encerramento],MATCH(tItens[[#This Row],[Edital]],tEditais[Edital],0)),"")</f>
        <v>46304.416666666664</v>
      </c>
      <c r="J342" t="str">
        <f>IFERROR(INDEX(tProdutos[Classe],MATCH(tItens[[#This Row],[Produto]],tProdutos[Produto],0)),"produto não cadastrado")</f>
        <v>FORA</v>
      </c>
      <c r="K342" s="12">
        <f>tItens[[#This Row],[Qtd]]*tItens[[#This Row],[Vlr unit]]</f>
        <v>1408.5</v>
      </c>
      <c r="L342" s="6">
        <f>IFERROR(IF(INDEX(tProdutos[Desconto homologado],MATCH(tItens[[#This Row],[Produto]],tProdutos[Produto],0))="",DescontoPadrao,INDEX(tProdutos[Desconto homologado],MATCH(tItens[[#This Row],[Produto]],tProdutos[Produto],0))),DescontoPadrao)</f>
        <v>0.363567906332742</v>
      </c>
      <c r="M342" s="12">
        <f>tItens[[#This Row],[Valor]]*(1-tItens[[#This Row],[Desconto]])</f>
        <v>896.41460393033299</v>
      </c>
      <c r="N342" t="str">
        <f>IFERROR(INDEX(tProdutos[Foco],MATCH(tItens[[#This Row],[Produto]],tProdutos[Produto],0)),"Não")</f>
        <v>Não</v>
      </c>
      <c r="O342" t="str">
        <f>IFERROR(INDEX(tEditais[SRP],MATCH(tItens[[#This Row],[Edital]],tEditais[Edital],0)),"Não")</f>
        <v>Sim</v>
      </c>
      <c r="P342" s="4">
        <f>IF(COUNTIFS(INDEX(tItens[Edital],1):tItens[[#This Row],[Edital]],tItens[[#This Row],[Edital]],INDEX(tItens[Produto],1):tItens[[#This Row],[Produto]],tItens[[#This Row],[Produto]])=1,1,0)</f>
        <v>1</v>
      </c>
    </row>
    <row r="343" spans="1:16" x14ac:dyDescent="0.25">
      <c r="A343" t="s">
        <v>815</v>
      </c>
      <c r="B343">
        <v>8041566</v>
      </c>
      <c r="C343" t="s">
        <v>3564</v>
      </c>
      <c r="D343" t="s">
        <v>184</v>
      </c>
      <c r="E343" s="13">
        <v>450</v>
      </c>
      <c r="F343" s="12">
        <v>3.41</v>
      </c>
      <c r="G343" t="str">
        <f>IFERROR(INDEX(tEditais[Órgão],MATCH(tItens[[#This Row],[Edital]],tEditais[Edital],0)),"")</f>
        <v>MUNICIPIO DE BREJOES</v>
      </c>
      <c r="H343" t="str">
        <f>IFERROR(INDEX(tEditais[UF],MATCH(tItens[[#This Row],[Edital]],tEditais[Edital],0)),"")</f>
        <v>BA</v>
      </c>
      <c r="I343" s="11">
        <f>IFERROR(INDEX(tEditais[Encerramento],MATCH(tItens[[#This Row],[Edital]],tEditais[Edital],0)),"")</f>
        <v>46304.416666666664</v>
      </c>
      <c r="J343" t="str">
        <f>IFERROR(INDEX(tProdutos[Classe],MATCH(tItens[[#This Row],[Produto]],tProdutos[Produto],0)),"produto não cadastrado")</f>
        <v>FORA</v>
      </c>
      <c r="K343" s="12">
        <f>tItens[[#This Row],[Qtd]]*tItens[[#This Row],[Vlr unit]]</f>
        <v>1534.5</v>
      </c>
      <c r="L343" s="6">
        <f>IFERROR(IF(INDEX(tProdutos[Desconto homologado],MATCH(tItens[[#This Row],[Produto]],tProdutos[Produto],0))="",DescontoPadrao,INDEX(tProdutos[Desconto homologado],MATCH(tItens[[#This Row],[Produto]],tProdutos[Produto],0))),DescontoPadrao)</f>
        <v>0.363567906332742</v>
      </c>
      <c r="M343" s="12">
        <f>tItens[[#This Row],[Valor]]*(1-tItens[[#This Row],[Desconto]])</f>
        <v>976.60504773240746</v>
      </c>
      <c r="N343" t="str">
        <f>IFERROR(INDEX(tProdutos[Foco],MATCH(tItens[[#This Row],[Produto]],tProdutos[Produto],0)),"Não")</f>
        <v>Não</v>
      </c>
      <c r="O343" t="str">
        <f>IFERROR(INDEX(tEditais[SRP],MATCH(tItens[[#This Row],[Edital]],tEditais[Edital],0)),"Não")</f>
        <v>Sim</v>
      </c>
      <c r="P343" s="4">
        <f>IF(COUNTIFS(INDEX(tItens[Edital],1):tItens[[#This Row],[Edital]],tItens[[#This Row],[Edital]],INDEX(tItens[Produto],1):tItens[[#This Row],[Produto]],tItens[[#This Row],[Produto]])=1,1,0)</f>
        <v>0</v>
      </c>
    </row>
    <row r="344" spans="1:16" x14ac:dyDescent="0.25">
      <c r="A344" t="s">
        <v>815</v>
      </c>
      <c r="B344">
        <v>8041567</v>
      </c>
      <c r="C344" t="s">
        <v>3565</v>
      </c>
      <c r="D344" t="s">
        <v>184</v>
      </c>
      <c r="E344" s="13">
        <v>450</v>
      </c>
      <c r="F344" s="12">
        <v>3.18</v>
      </c>
      <c r="G344" t="str">
        <f>IFERROR(INDEX(tEditais[Órgão],MATCH(tItens[[#This Row],[Edital]],tEditais[Edital],0)),"")</f>
        <v>MUNICIPIO DE BREJOES</v>
      </c>
      <c r="H344" t="str">
        <f>IFERROR(INDEX(tEditais[UF],MATCH(tItens[[#This Row],[Edital]],tEditais[Edital],0)),"")</f>
        <v>BA</v>
      </c>
      <c r="I344" s="11">
        <f>IFERROR(INDEX(tEditais[Encerramento],MATCH(tItens[[#This Row],[Edital]],tEditais[Edital],0)),"")</f>
        <v>46304.416666666664</v>
      </c>
      <c r="J344" t="str">
        <f>IFERROR(INDEX(tProdutos[Classe],MATCH(tItens[[#This Row],[Produto]],tProdutos[Produto],0)),"produto não cadastrado")</f>
        <v>FORA</v>
      </c>
      <c r="K344" s="12">
        <f>tItens[[#This Row],[Qtd]]*tItens[[#This Row],[Vlr unit]]</f>
        <v>1431</v>
      </c>
      <c r="L344" s="6">
        <f>IFERROR(IF(INDEX(tProdutos[Desconto homologado],MATCH(tItens[[#This Row],[Produto]],tProdutos[Produto],0))="",DescontoPadrao,INDEX(tProdutos[Desconto homologado],MATCH(tItens[[#This Row],[Produto]],tProdutos[Produto],0))),DescontoPadrao)</f>
        <v>0.363567906332742</v>
      </c>
      <c r="M344" s="12">
        <f>tItens[[#This Row],[Valor]]*(1-tItens[[#This Row],[Desconto]])</f>
        <v>910.73432603784624</v>
      </c>
      <c r="N344" t="str">
        <f>IFERROR(INDEX(tProdutos[Foco],MATCH(tItens[[#This Row],[Produto]],tProdutos[Produto],0)),"Não")</f>
        <v>Não</v>
      </c>
      <c r="O344" t="str">
        <f>IFERROR(INDEX(tEditais[SRP],MATCH(tItens[[#This Row],[Edital]],tEditais[Edital],0)),"Não")</f>
        <v>Sim</v>
      </c>
      <c r="P344" s="4">
        <f>IF(COUNTIFS(INDEX(tItens[Edital],1):tItens[[#This Row],[Edital]],tItens[[#This Row],[Edital]],INDEX(tItens[Produto],1):tItens[[#This Row],[Produto]],tItens[[#This Row],[Produto]])=1,1,0)</f>
        <v>0</v>
      </c>
    </row>
    <row r="345" spans="1:16" x14ac:dyDescent="0.25">
      <c r="A345" t="s">
        <v>815</v>
      </c>
      <c r="B345">
        <v>8041568</v>
      </c>
      <c r="C345" t="s">
        <v>3566</v>
      </c>
      <c r="D345" t="s">
        <v>184</v>
      </c>
      <c r="E345" s="13">
        <v>450</v>
      </c>
      <c r="F345" s="12">
        <v>3.3</v>
      </c>
      <c r="G345" t="str">
        <f>IFERROR(INDEX(tEditais[Órgão],MATCH(tItens[[#This Row],[Edital]],tEditais[Edital],0)),"")</f>
        <v>MUNICIPIO DE BREJOES</v>
      </c>
      <c r="H345" t="str">
        <f>IFERROR(INDEX(tEditais[UF],MATCH(tItens[[#This Row],[Edital]],tEditais[Edital],0)),"")</f>
        <v>BA</v>
      </c>
      <c r="I345" s="11">
        <f>IFERROR(INDEX(tEditais[Encerramento],MATCH(tItens[[#This Row],[Edital]],tEditais[Edital],0)),"")</f>
        <v>46304.416666666664</v>
      </c>
      <c r="J345" t="str">
        <f>IFERROR(INDEX(tProdutos[Classe],MATCH(tItens[[#This Row],[Produto]],tProdutos[Produto],0)),"produto não cadastrado")</f>
        <v>FORA</v>
      </c>
      <c r="K345" s="12">
        <f>tItens[[#This Row],[Qtd]]*tItens[[#This Row],[Vlr unit]]</f>
        <v>1485</v>
      </c>
      <c r="L345" s="6">
        <f>IFERROR(IF(INDEX(tProdutos[Desconto homologado],MATCH(tItens[[#This Row],[Produto]],tProdutos[Produto],0))="",DescontoPadrao,INDEX(tProdutos[Desconto homologado],MATCH(tItens[[#This Row],[Produto]],tProdutos[Produto],0))),DescontoPadrao)</f>
        <v>0.363567906332742</v>
      </c>
      <c r="M345" s="12">
        <f>tItens[[#This Row],[Valor]]*(1-tItens[[#This Row],[Desconto]])</f>
        <v>945.10165909587818</v>
      </c>
      <c r="N345" t="str">
        <f>IFERROR(INDEX(tProdutos[Foco],MATCH(tItens[[#This Row],[Produto]],tProdutos[Produto],0)),"Não")</f>
        <v>Não</v>
      </c>
      <c r="O345" t="str">
        <f>IFERROR(INDEX(tEditais[SRP],MATCH(tItens[[#This Row],[Edital]],tEditais[Edital],0)),"Não")</f>
        <v>Sim</v>
      </c>
      <c r="P345" s="4">
        <f>IF(COUNTIFS(INDEX(tItens[Edital],1):tItens[[#This Row],[Edital]],tItens[[#This Row],[Edital]],INDEX(tItens[Produto],1):tItens[[#This Row],[Produto]],tItens[[#This Row],[Produto]])=1,1,0)</f>
        <v>0</v>
      </c>
    </row>
    <row r="346" spans="1:16" x14ac:dyDescent="0.25">
      <c r="A346" t="s">
        <v>815</v>
      </c>
      <c r="B346">
        <v>8041569</v>
      </c>
      <c r="C346" t="s">
        <v>3567</v>
      </c>
      <c r="D346" t="s">
        <v>184</v>
      </c>
      <c r="E346" s="13">
        <v>450</v>
      </c>
      <c r="F346" s="12">
        <v>3.28</v>
      </c>
      <c r="G346" t="str">
        <f>IFERROR(INDEX(tEditais[Órgão],MATCH(tItens[[#This Row],[Edital]],tEditais[Edital],0)),"")</f>
        <v>MUNICIPIO DE BREJOES</v>
      </c>
      <c r="H346" t="str">
        <f>IFERROR(INDEX(tEditais[UF],MATCH(tItens[[#This Row],[Edital]],tEditais[Edital],0)),"")</f>
        <v>BA</v>
      </c>
      <c r="I346" s="11">
        <f>IFERROR(INDEX(tEditais[Encerramento],MATCH(tItens[[#This Row],[Edital]],tEditais[Edital],0)),"")</f>
        <v>46304.416666666664</v>
      </c>
      <c r="J346" t="str">
        <f>IFERROR(INDEX(tProdutos[Classe],MATCH(tItens[[#This Row],[Produto]],tProdutos[Produto],0)),"produto não cadastrado")</f>
        <v>FORA</v>
      </c>
      <c r="K346" s="12">
        <f>tItens[[#This Row],[Qtd]]*tItens[[#This Row],[Vlr unit]]</f>
        <v>1476</v>
      </c>
      <c r="L346" s="6">
        <f>IFERROR(IF(INDEX(tProdutos[Desconto homologado],MATCH(tItens[[#This Row],[Produto]],tProdutos[Produto],0))="",DescontoPadrao,INDEX(tProdutos[Desconto homologado],MATCH(tItens[[#This Row],[Produto]],tProdutos[Produto],0))),DescontoPadrao)</f>
        <v>0.363567906332742</v>
      </c>
      <c r="M346" s="12">
        <f>tItens[[#This Row],[Valor]]*(1-tItens[[#This Row],[Desconto]])</f>
        <v>939.37377025287287</v>
      </c>
      <c r="N346" t="str">
        <f>IFERROR(INDEX(tProdutos[Foco],MATCH(tItens[[#This Row],[Produto]],tProdutos[Produto],0)),"Não")</f>
        <v>Não</v>
      </c>
      <c r="O346" t="str">
        <f>IFERROR(INDEX(tEditais[SRP],MATCH(tItens[[#This Row],[Edital]],tEditais[Edital],0)),"Não")</f>
        <v>Sim</v>
      </c>
      <c r="P346" s="4">
        <f>IF(COUNTIFS(INDEX(tItens[Edital],1):tItens[[#This Row],[Edital]],tItens[[#This Row],[Edital]],INDEX(tItens[Produto],1):tItens[[#This Row],[Produto]],tItens[[#This Row],[Produto]])=1,1,0)</f>
        <v>0</v>
      </c>
    </row>
    <row r="347" spans="1:16" x14ac:dyDescent="0.25">
      <c r="A347" t="s">
        <v>815</v>
      </c>
      <c r="B347">
        <v>8041570</v>
      </c>
      <c r="C347" t="s">
        <v>3568</v>
      </c>
      <c r="D347" t="s">
        <v>184</v>
      </c>
      <c r="E347" s="13">
        <v>450</v>
      </c>
      <c r="F347" s="12">
        <v>3.33</v>
      </c>
      <c r="G347" t="str">
        <f>IFERROR(INDEX(tEditais[Órgão],MATCH(tItens[[#This Row],[Edital]],tEditais[Edital],0)),"")</f>
        <v>MUNICIPIO DE BREJOES</v>
      </c>
      <c r="H347" t="str">
        <f>IFERROR(INDEX(tEditais[UF],MATCH(tItens[[#This Row],[Edital]],tEditais[Edital],0)),"")</f>
        <v>BA</v>
      </c>
      <c r="I347" s="11">
        <f>IFERROR(INDEX(tEditais[Encerramento],MATCH(tItens[[#This Row],[Edital]],tEditais[Edital],0)),"")</f>
        <v>46304.416666666664</v>
      </c>
      <c r="J347" t="str">
        <f>IFERROR(INDEX(tProdutos[Classe],MATCH(tItens[[#This Row],[Produto]],tProdutos[Produto],0)),"produto não cadastrado")</f>
        <v>FORA</v>
      </c>
      <c r="K347" s="12">
        <f>tItens[[#This Row],[Qtd]]*tItens[[#This Row],[Vlr unit]]</f>
        <v>1498.5</v>
      </c>
      <c r="L347" s="6">
        <f>IFERROR(IF(INDEX(tProdutos[Desconto homologado],MATCH(tItens[[#This Row],[Produto]],tProdutos[Produto],0))="",DescontoPadrao,INDEX(tProdutos[Desconto homologado],MATCH(tItens[[#This Row],[Produto]],tProdutos[Produto],0))),DescontoPadrao)</f>
        <v>0.363567906332742</v>
      </c>
      <c r="M347" s="12">
        <f>tItens[[#This Row],[Valor]]*(1-tItens[[#This Row],[Desconto]])</f>
        <v>953.69349236038624</v>
      </c>
      <c r="N347" t="str">
        <f>IFERROR(INDEX(tProdutos[Foco],MATCH(tItens[[#This Row],[Produto]],tProdutos[Produto],0)),"Não")</f>
        <v>Não</v>
      </c>
      <c r="O347" t="str">
        <f>IFERROR(INDEX(tEditais[SRP],MATCH(tItens[[#This Row],[Edital]],tEditais[Edital],0)),"Não")</f>
        <v>Sim</v>
      </c>
      <c r="P347" s="4">
        <f>IF(COUNTIFS(INDEX(tItens[Edital],1):tItens[[#This Row],[Edital]],tItens[[#This Row],[Edital]],INDEX(tItens[Produto],1):tItens[[#This Row],[Produto]],tItens[[#This Row],[Produto]])=1,1,0)</f>
        <v>0</v>
      </c>
    </row>
    <row r="348" spans="1:16" x14ac:dyDescent="0.25">
      <c r="A348" t="s">
        <v>815</v>
      </c>
      <c r="B348">
        <v>8041571</v>
      </c>
      <c r="C348" t="s">
        <v>3569</v>
      </c>
      <c r="D348" t="s">
        <v>184</v>
      </c>
      <c r="E348" s="13">
        <v>450</v>
      </c>
      <c r="F348" s="12">
        <v>3.03</v>
      </c>
      <c r="G348" t="str">
        <f>IFERROR(INDEX(tEditais[Órgão],MATCH(tItens[[#This Row],[Edital]],tEditais[Edital],0)),"")</f>
        <v>MUNICIPIO DE BREJOES</v>
      </c>
      <c r="H348" t="str">
        <f>IFERROR(INDEX(tEditais[UF],MATCH(tItens[[#This Row],[Edital]],tEditais[Edital],0)),"")</f>
        <v>BA</v>
      </c>
      <c r="I348" s="11">
        <f>IFERROR(INDEX(tEditais[Encerramento],MATCH(tItens[[#This Row],[Edital]],tEditais[Edital],0)),"")</f>
        <v>46304.416666666664</v>
      </c>
      <c r="J348" t="str">
        <f>IFERROR(INDEX(tProdutos[Classe],MATCH(tItens[[#This Row],[Produto]],tProdutos[Produto],0)),"produto não cadastrado")</f>
        <v>FORA</v>
      </c>
      <c r="K348" s="12">
        <f>tItens[[#This Row],[Qtd]]*tItens[[#This Row],[Vlr unit]]</f>
        <v>1363.5</v>
      </c>
      <c r="L348" s="6">
        <f>IFERROR(IF(INDEX(tProdutos[Desconto homologado],MATCH(tItens[[#This Row],[Produto]],tProdutos[Produto],0))="",DescontoPadrao,INDEX(tProdutos[Desconto homologado],MATCH(tItens[[#This Row],[Produto]],tProdutos[Produto],0))),DescontoPadrao)</f>
        <v>0.363567906332742</v>
      </c>
      <c r="M348" s="12">
        <f>tItens[[#This Row],[Valor]]*(1-tItens[[#This Row],[Desconto]])</f>
        <v>867.77515971530636</v>
      </c>
      <c r="N348" t="str">
        <f>IFERROR(INDEX(tProdutos[Foco],MATCH(tItens[[#This Row],[Produto]],tProdutos[Produto],0)),"Não")</f>
        <v>Não</v>
      </c>
      <c r="O348" t="str">
        <f>IFERROR(INDEX(tEditais[SRP],MATCH(tItens[[#This Row],[Edital]],tEditais[Edital],0)),"Não")</f>
        <v>Sim</v>
      </c>
      <c r="P348" s="4">
        <f>IF(COUNTIFS(INDEX(tItens[Edital],1):tItens[[#This Row],[Edital]],tItens[[#This Row],[Edital]],INDEX(tItens[Produto],1):tItens[[#This Row],[Produto]],tItens[[#This Row],[Produto]])=1,1,0)</f>
        <v>0</v>
      </c>
    </row>
    <row r="349" spans="1:16" x14ac:dyDescent="0.25">
      <c r="A349" t="s">
        <v>815</v>
      </c>
      <c r="B349">
        <v>8041572</v>
      </c>
      <c r="C349" t="s">
        <v>3570</v>
      </c>
      <c r="D349" t="s">
        <v>253</v>
      </c>
      <c r="E349" s="13">
        <v>450</v>
      </c>
      <c r="F349" s="12">
        <v>4.75</v>
      </c>
      <c r="G349" t="str">
        <f>IFERROR(INDEX(tEditais[Órgão],MATCH(tItens[[#This Row],[Edital]],tEditais[Edital],0)),"")</f>
        <v>MUNICIPIO DE BREJOES</v>
      </c>
      <c r="H349" t="str">
        <f>IFERROR(INDEX(tEditais[UF],MATCH(tItens[[#This Row],[Edital]],tEditais[Edital],0)),"")</f>
        <v>BA</v>
      </c>
      <c r="I349" s="11">
        <f>IFERROR(INDEX(tEditais[Encerramento],MATCH(tItens[[#This Row],[Edital]],tEditais[Edital],0)),"")</f>
        <v>46304.416666666664</v>
      </c>
      <c r="J349" t="str">
        <f>IFERROR(INDEX(tProdutos[Classe],MATCH(tItens[[#This Row],[Produto]],tProdutos[Produto],0)),"produto não cadastrado")</f>
        <v>FORA</v>
      </c>
      <c r="K349" s="12">
        <f>tItens[[#This Row],[Qtd]]*tItens[[#This Row],[Vlr unit]]</f>
        <v>2137.5</v>
      </c>
      <c r="L349" s="6">
        <f>IFERROR(IF(INDEX(tProdutos[Desconto homologado],MATCH(tItens[[#This Row],[Produto]],tProdutos[Produto],0))="",DescontoPadrao,INDEX(tProdutos[Desconto homologado],MATCH(tItens[[#This Row],[Produto]],tProdutos[Produto],0))),DescontoPadrao)</f>
        <v>0.31735159817351599</v>
      </c>
      <c r="M349" s="12">
        <f>tItens[[#This Row],[Valor]]*(1-tItens[[#This Row],[Desconto]])</f>
        <v>1459.1609589041095</v>
      </c>
      <c r="N349" t="str">
        <f>IFERROR(INDEX(tProdutos[Foco],MATCH(tItens[[#This Row],[Produto]],tProdutos[Produto],0)),"Não")</f>
        <v>Não</v>
      </c>
      <c r="O349" t="str">
        <f>IFERROR(INDEX(tEditais[SRP],MATCH(tItens[[#This Row],[Edital]],tEditais[Edital],0)),"Não")</f>
        <v>Sim</v>
      </c>
      <c r="P349" s="4">
        <f>IF(COUNTIFS(INDEX(tItens[Edital],1):tItens[[#This Row],[Edital]],tItens[[#This Row],[Edital]],INDEX(tItens[Produto],1):tItens[[#This Row],[Produto]],tItens[[#This Row],[Produto]])=1,1,0)</f>
        <v>1</v>
      </c>
    </row>
    <row r="350" spans="1:16" x14ac:dyDescent="0.25">
      <c r="A350" t="s">
        <v>815</v>
      </c>
      <c r="B350">
        <v>8041573</v>
      </c>
      <c r="C350" t="s">
        <v>3571</v>
      </c>
      <c r="D350" t="s">
        <v>253</v>
      </c>
      <c r="E350" s="13">
        <v>450</v>
      </c>
      <c r="F350" s="12">
        <v>4.9000000000000004</v>
      </c>
      <c r="G350" t="str">
        <f>IFERROR(INDEX(tEditais[Órgão],MATCH(tItens[[#This Row],[Edital]],tEditais[Edital],0)),"")</f>
        <v>MUNICIPIO DE BREJOES</v>
      </c>
      <c r="H350" t="str">
        <f>IFERROR(INDEX(tEditais[UF],MATCH(tItens[[#This Row],[Edital]],tEditais[Edital],0)),"")</f>
        <v>BA</v>
      </c>
      <c r="I350" s="11">
        <f>IFERROR(INDEX(tEditais[Encerramento],MATCH(tItens[[#This Row],[Edital]],tEditais[Edital],0)),"")</f>
        <v>46304.416666666664</v>
      </c>
      <c r="J350" t="str">
        <f>IFERROR(INDEX(tProdutos[Classe],MATCH(tItens[[#This Row],[Produto]],tProdutos[Produto],0)),"produto não cadastrado")</f>
        <v>FORA</v>
      </c>
      <c r="K350" s="12">
        <f>tItens[[#This Row],[Qtd]]*tItens[[#This Row],[Vlr unit]]</f>
        <v>2205</v>
      </c>
      <c r="L350" s="6">
        <f>IFERROR(IF(INDEX(tProdutos[Desconto homologado],MATCH(tItens[[#This Row],[Produto]],tProdutos[Produto],0))="",DescontoPadrao,INDEX(tProdutos[Desconto homologado],MATCH(tItens[[#This Row],[Produto]],tProdutos[Produto],0))),DescontoPadrao)</f>
        <v>0.31735159817351599</v>
      </c>
      <c r="M350" s="12">
        <f>tItens[[#This Row],[Valor]]*(1-tItens[[#This Row],[Desconto]])</f>
        <v>1505.2397260273972</v>
      </c>
      <c r="N350" t="str">
        <f>IFERROR(INDEX(tProdutos[Foco],MATCH(tItens[[#This Row],[Produto]],tProdutos[Produto],0)),"Não")</f>
        <v>Não</v>
      </c>
      <c r="O350" t="str">
        <f>IFERROR(INDEX(tEditais[SRP],MATCH(tItens[[#This Row],[Edital]],tEditais[Edital],0)),"Não")</f>
        <v>Sim</v>
      </c>
      <c r="P350" s="4">
        <f>IF(COUNTIFS(INDEX(tItens[Edital],1):tItens[[#This Row],[Edital]],tItens[[#This Row],[Edital]],INDEX(tItens[Produto],1):tItens[[#This Row],[Produto]],tItens[[#This Row],[Produto]])=1,1,0)</f>
        <v>0</v>
      </c>
    </row>
    <row r="351" spans="1:16" x14ac:dyDescent="0.25">
      <c r="A351" t="s">
        <v>815</v>
      </c>
      <c r="B351">
        <v>8041574</v>
      </c>
      <c r="C351" t="s">
        <v>3572</v>
      </c>
      <c r="D351" t="s">
        <v>253</v>
      </c>
      <c r="E351" s="13">
        <v>450</v>
      </c>
      <c r="F351" s="12">
        <v>4.88</v>
      </c>
      <c r="G351" t="str">
        <f>IFERROR(INDEX(tEditais[Órgão],MATCH(tItens[[#This Row],[Edital]],tEditais[Edital],0)),"")</f>
        <v>MUNICIPIO DE BREJOES</v>
      </c>
      <c r="H351" t="str">
        <f>IFERROR(INDEX(tEditais[UF],MATCH(tItens[[#This Row],[Edital]],tEditais[Edital],0)),"")</f>
        <v>BA</v>
      </c>
      <c r="I351" s="11">
        <f>IFERROR(INDEX(tEditais[Encerramento],MATCH(tItens[[#This Row],[Edital]],tEditais[Edital],0)),"")</f>
        <v>46304.416666666664</v>
      </c>
      <c r="J351" t="str">
        <f>IFERROR(INDEX(tProdutos[Classe],MATCH(tItens[[#This Row],[Produto]],tProdutos[Produto],0)),"produto não cadastrado")</f>
        <v>FORA</v>
      </c>
      <c r="K351" s="12">
        <f>tItens[[#This Row],[Qtd]]*tItens[[#This Row],[Vlr unit]]</f>
        <v>2196</v>
      </c>
      <c r="L351" s="6">
        <f>IFERROR(IF(INDEX(tProdutos[Desconto homologado],MATCH(tItens[[#This Row],[Produto]],tProdutos[Produto],0))="",DescontoPadrao,INDEX(tProdutos[Desconto homologado],MATCH(tItens[[#This Row],[Produto]],tProdutos[Produto],0))),DescontoPadrao)</f>
        <v>0.31735159817351599</v>
      </c>
      <c r="M351" s="12">
        <f>tItens[[#This Row],[Valor]]*(1-tItens[[#This Row],[Desconto]])</f>
        <v>1499.0958904109589</v>
      </c>
      <c r="N351" t="str">
        <f>IFERROR(INDEX(tProdutos[Foco],MATCH(tItens[[#This Row],[Produto]],tProdutos[Produto],0)),"Não")</f>
        <v>Não</v>
      </c>
      <c r="O351" t="str">
        <f>IFERROR(INDEX(tEditais[SRP],MATCH(tItens[[#This Row],[Edital]],tEditais[Edital],0)),"Não")</f>
        <v>Sim</v>
      </c>
      <c r="P351" s="4">
        <f>IF(COUNTIFS(INDEX(tItens[Edital],1):tItens[[#This Row],[Edital]],tItens[[#This Row],[Edital]],INDEX(tItens[Produto],1):tItens[[#This Row],[Produto]],tItens[[#This Row],[Produto]])=1,1,0)</f>
        <v>0</v>
      </c>
    </row>
    <row r="352" spans="1:16" x14ac:dyDescent="0.25">
      <c r="A352" t="s">
        <v>815</v>
      </c>
      <c r="B352">
        <v>8041575</v>
      </c>
      <c r="C352" t="s">
        <v>3573</v>
      </c>
      <c r="D352" t="s">
        <v>253</v>
      </c>
      <c r="E352" s="13">
        <v>450</v>
      </c>
      <c r="F352" s="12">
        <v>4.83</v>
      </c>
      <c r="G352" t="str">
        <f>IFERROR(INDEX(tEditais[Órgão],MATCH(tItens[[#This Row],[Edital]],tEditais[Edital],0)),"")</f>
        <v>MUNICIPIO DE BREJOES</v>
      </c>
      <c r="H352" t="str">
        <f>IFERROR(INDEX(tEditais[UF],MATCH(tItens[[#This Row],[Edital]],tEditais[Edital],0)),"")</f>
        <v>BA</v>
      </c>
      <c r="I352" s="11">
        <f>IFERROR(INDEX(tEditais[Encerramento],MATCH(tItens[[#This Row],[Edital]],tEditais[Edital],0)),"")</f>
        <v>46304.416666666664</v>
      </c>
      <c r="J352" t="str">
        <f>IFERROR(INDEX(tProdutos[Classe],MATCH(tItens[[#This Row],[Produto]],tProdutos[Produto],0)),"produto não cadastrado")</f>
        <v>FORA</v>
      </c>
      <c r="K352" s="12">
        <f>tItens[[#This Row],[Qtd]]*tItens[[#This Row],[Vlr unit]]</f>
        <v>2173.5</v>
      </c>
      <c r="L352" s="6">
        <f>IFERROR(IF(INDEX(tProdutos[Desconto homologado],MATCH(tItens[[#This Row],[Produto]],tProdutos[Produto],0))="",DescontoPadrao,INDEX(tProdutos[Desconto homologado],MATCH(tItens[[#This Row],[Produto]],tProdutos[Produto],0))),DescontoPadrao)</f>
        <v>0.31735159817351599</v>
      </c>
      <c r="M352" s="12">
        <f>tItens[[#This Row],[Valor]]*(1-tItens[[#This Row],[Desconto]])</f>
        <v>1483.736301369863</v>
      </c>
      <c r="N352" t="str">
        <f>IFERROR(INDEX(tProdutos[Foco],MATCH(tItens[[#This Row],[Produto]],tProdutos[Produto],0)),"Não")</f>
        <v>Não</v>
      </c>
      <c r="O352" t="str">
        <f>IFERROR(INDEX(tEditais[SRP],MATCH(tItens[[#This Row],[Edital]],tEditais[Edital],0)),"Não")</f>
        <v>Sim</v>
      </c>
      <c r="P352" s="4">
        <f>IF(COUNTIFS(INDEX(tItens[Edital],1):tItens[[#This Row],[Edital]],tItens[[#This Row],[Edital]],INDEX(tItens[Produto],1):tItens[[#This Row],[Produto]],tItens[[#This Row],[Produto]])=1,1,0)</f>
        <v>0</v>
      </c>
    </row>
    <row r="353" spans="1:16" x14ac:dyDescent="0.25">
      <c r="A353" t="s">
        <v>815</v>
      </c>
      <c r="B353">
        <v>8041576</v>
      </c>
      <c r="C353" t="s">
        <v>3574</v>
      </c>
      <c r="D353" t="s">
        <v>253</v>
      </c>
      <c r="E353" s="13">
        <v>450</v>
      </c>
      <c r="F353" s="12">
        <v>4.9000000000000004</v>
      </c>
      <c r="G353" t="str">
        <f>IFERROR(INDEX(tEditais[Órgão],MATCH(tItens[[#This Row],[Edital]],tEditais[Edital],0)),"")</f>
        <v>MUNICIPIO DE BREJOES</v>
      </c>
      <c r="H353" t="str">
        <f>IFERROR(INDEX(tEditais[UF],MATCH(tItens[[#This Row],[Edital]],tEditais[Edital],0)),"")</f>
        <v>BA</v>
      </c>
      <c r="I353" s="11">
        <f>IFERROR(INDEX(tEditais[Encerramento],MATCH(tItens[[#This Row],[Edital]],tEditais[Edital],0)),"")</f>
        <v>46304.416666666664</v>
      </c>
      <c r="J353" t="str">
        <f>IFERROR(INDEX(tProdutos[Classe],MATCH(tItens[[#This Row],[Produto]],tProdutos[Produto],0)),"produto não cadastrado")</f>
        <v>FORA</v>
      </c>
      <c r="K353" s="12">
        <f>tItens[[#This Row],[Qtd]]*tItens[[#This Row],[Vlr unit]]</f>
        <v>2205</v>
      </c>
      <c r="L353" s="6">
        <f>IFERROR(IF(INDEX(tProdutos[Desconto homologado],MATCH(tItens[[#This Row],[Produto]],tProdutos[Produto],0))="",DescontoPadrao,INDEX(tProdutos[Desconto homologado],MATCH(tItens[[#This Row],[Produto]],tProdutos[Produto],0))),DescontoPadrao)</f>
        <v>0.31735159817351599</v>
      </c>
      <c r="M353" s="12">
        <f>tItens[[#This Row],[Valor]]*(1-tItens[[#This Row],[Desconto]])</f>
        <v>1505.2397260273972</v>
      </c>
      <c r="N353" t="str">
        <f>IFERROR(INDEX(tProdutos[Foco],MATCH(tItens[[#This Row],[Produto]],tProdutos[Produto],0)),"Não")</f>
        <v>Não</v>
      </c>
      <c r="O353" t="str">
        <f>IFERROR(INDEX(tEditais[SRP],MATCH(tItens[[#This Row],[Edital]],tEditais[Edital],0)),"Não")</f>
        <v>Sim</v>
      </c>
      <c r="P353" s="4">
        <f>IF(COUNTIFS(INDEX(tItens[Edital],1):tItens[[#This Row],[Edital]],tItens[[#This Row],[Edital]],INDEX(tItens[Produto],1):tItens[[#This Row],[Produto]],tItens[[#This Row],[Produto]])=1,1,0)</f>
        <v>0</v>
      </c>
    </row>
    <row r="354" spans="1:16" x14ac:dyDescent="0.25">
      <c r="A354" t="s">
        <v>815</v>
      </c>
      <c r="B354">
        <v>8041577</v>
      </c>
      <c r="C354" t="s">
        <v>3575</v>
      </c>
      <c r="D354" t="s">
        <v>253</v>
      </c>
      <c r="E354" s="13">
        <v>450</v>
      </c>
      <c r="F354" s="12">
        <v>4.5599999999999996</v>
      </c>
      <c r="G354" t="str">
        <f>IFERROR(INDEX(tEditais[Órgão],MATCH(tItens[[#This Row],[Edital]],tEditais[Edital],0)),"")</f>
        <v>MUNICIPIO DE BREJOES</v>
      </c>
      <c r="H354" t="str">
        <f>IFERROR(INDEX(tEditais[UF],MATCH(tItens[[#This Row],[Edital]],tEditais[Edital],0)),"")</f>
        <v>BA</v>
      </c>
      <c r="I354" s="11">
        <f>IFERROR(INDEX(tEditais[Encerramento],MATCH(tItens[[#This Row],[Edital]],tEditais[Edital],0)),"")</f>
        <v>46304.416666666664</v>
      </c>
      <c r="J354" t="str">
        <f>IFERROR(INDEX(tProdutos[Classe],MATCH(tItens[[#This Row],[Produto]],tProdutos[Produto],0)),"produto não cadastrado")</f>
        <v>FORA</v>
      </c>
      <c r="K354" s="12">
        <f>tItens[[#This Row],[Qtd]]*tItens[[#This Row],[Vlr unit]]</f>
        <v>2052</v>
      </c>
      <c r="L354" s="6">
        <f>IFERROR(IF(INDEX(tProdutos[Desconto homologado],MATCH(tItens[[#This Row],[Produto]],tProdutos[Produto],0))="",DescontoPadrao,INDEX(tProdutos[Desconto homologado],MATCH(tItens[[#This Row],[Produto]],tProdutos[Produto],0))),DescontoPadrao)</f>
        <v>0.31735159817351599</v>
      </c>
      <c r="M354" s="12">
        <f>tItens[[#This Row],[Valor]]*(1-tItens[[#This Row],[Desconto]])</f>
        <v>1400.7945205479452</v>
      </c>
      <c r="N354" t="str">
        <f>IFERROR(INDEX(tProdutos[Foco],MATCH(tItens[[#This Row],[Produto]],tProdutos[Produto],0)),"Não")</f>
        <v>Não</v>
      </c>
      <c r="O354" t="str">
        <f>IFERROR(INDEX(tEditais[SRP],MATCH(tItens[[#This Row],[Edital]],tEditais[Edital],0)),"Não")</f>
        <v>Sim</v>
      </c>
      <c r="P354" s="4">
        <f>IF(COUNTIFS(INDEX(tItens[Edital],1):tItens[[#This Row],[Edital]],tItens[[#This Row],[Edital]],INDEX(tItens[Produto],1):tItens[[#This Row],[Produto]],tItens[[#This Row],[Produto]])=1,1,0)</f>
        <v>0</v>
      </c>
    </row>
    <row r="355" spans="1:16" x14ac:dyDescent="0.25">
      <c r="A355" t="s">
        <v>815</v>
      </c>
      <c r="B355">
        <v>8041578</v>
      </c>
      <c r="C355" t="s">
        <v>3576</v>
      </c>
      <c r="D355" t="s">
        <v>253</v>
      </c>
      <c r="E355" s="13">
        <v>450</v>
      </c>
      <c r="F355" s="12">
        <v>4.17</v>
      </c>
      <c r="G355" t="str">
        <f>IFERROR(INDEX(tEditais[Órgão],MATCH(tItens[[#This Row],[Edital]],tEditais[Edital],0)),"")</f>
        <v>MUNICIPIO DE BREJOES</v>
      </c>
      <c r="H355" t="str">
        <f>IFERROR(INDEX(tEditais[UF],MATCH(tItens[[#This Row],[Edital]],tEditais[Edital],0)),"")</f>
        <v>BA</v>
      </c>
      <c r="I355" s="11">
        <f>IFERROR(INDEX(tEditais[Encerramento],MATCH(tItens[[#This Row],[Edital]],tEditais[Edital],0)),"")</f>
        <v>46304.416666666664</v>
      </c>
      <c r="J355" t="str">
        <f>IFERROR(INDEX(tProdutos[Classe],MATCH(tItens[[#This Row],[Produto]],tProdutos[Produto],0)),"produto não cadastrado")</f>
        <v>FORA</v>
      </c>
      <c r="K355" s="12">
        <f>tItens[[#This Row],[Qtd]]*tItens[[#This Row],[Vlr unit]]</f>
        <v>1876.5</v>
      </c>
      <c r="L355" s="6">
        <f>IFERROR(IF(INDEX(tProdutos[Desconto homologado],MATCH(tItens[[#This Row],[Produto]],tProdutos[Produto],0))="",DescontoPadrao,INDEX(tProdutos[Desconto homologado],MATCH(tItens[[#This Row],[Produto]],tProdutos[Produto],0))),DescontoPadrao)</f>
        <v>0.31735159817351599</v>
      </c>
      <c r="M355" s="12">
        <f>tItens[[#This Row],[Valor]]*(1-tItens[[#This Row],[Desconto]])</f>
        <v>1280.9897260273972</v>
      </c>
      <c r="N355" t="str">
        <f>IFERROR(INDEX(tProdutos[Foco],MATCH(tItens[[#This Row],[Produto]],tProdutos[Produto],0)),"Não")</f>
        <v>Não</v>
      </c>
      <c r="O355" t="str">
        <f>IFERROR(INDEX(tEditais[SRP],MATCH(tItens[[#This Row],[Edital]],tEditais[Edital],0)),"Não")</f>
        <v>Sim</v>
      </c>
      <c r="P355" s="4">
        <f>IF(COUNTIFS(INDEX(tItens[Edital],1):tItens[[#This Row],[Edital]],tItens[[#This Row],[Edital]],INDEX(tItens[Produto],1):tItens[[#This Row],[Produto]],tItens[[#This Row],[Produto]])=1,1,0)</f>
        <v>0</v>
      </c>
    </row>
    <row r="356" spans="1:16" x14ac:dyDescent="0.25">
      <c r="A356" t="s">
        <v>815</v>
      </c>
      <c r="B356">
        <v>8041579</v>
      </c>
      <c r="C356" t="s">
        <v>3577</v>
      </c>
      <c r="D356" t="s">
        <v>110</v>
      </c>
      <c r="E356" s="13">
        <v>450</v>
      </c>
      <c r="F356" s="12">
        <v>0.79</v>
      </c>
      <c r="G356" t="str">
        <f>IFERROR(INDEX(tEditais[Órgão],MATCH(tItens[[#This Row],[Edital]],tEditais[Edital],0)),"")</f>
        <v>MUNICIPIO DE BREJOES</v>
      </c>
      <c r="H356" t="str">
        <f>IFERROR(INDEX(tEditais[UF],MATCH(tItens[[#This Row],[Edital]],tEditais[Edital],0)),"")</f>
        <v>BA</v>
      </c>
      <c r="I356" s="11">
        <f>IFERROR(INDEX(tEditais[Encerramento],MATCH(tItens[[#This Row],[Edital]],tEditais[Edital],0)),"")</f>
        <v>46304.416666666664</v>
      </c>
      <c r="J356" t="str">
        <f>IFERROR(INDEX(tProdutos[Classe],MATCH(tItens[[#This Row],[Produto]],tProdutos[Produto],0)),"produto não cadastrado")</f>
        <v>NÚCLEO</v>
      </c>
      <c r="K356" s="12">
        <f>tItens[[#This Row],[Qtd]]*tItens[[#This Row],[Vlr unit]]</f>
        <v>355.5</v>
      </c>
      <c r="L356" s="6">
        <f>IFERROR(IF(INDEX(tProdutos[Desconto homologado],MATCH(tItens[[#This Row],[Produto]],tProdutos[Produto],0))="",DescontoPadrao,INDEX(tProdutos[Desconto homologado],MATCH(tItens[[#This Row],[Produto]],tProdutos[Produto],0))),DescontoPadrao)</f>
        <v>0.30410958904109597</v>
      </c>
      <c r="M356" s="12">
        <f>tItens[[#This Row],[Valor]]*(1-tItens[[#This Row],[Desconto]])</f>
        <v>247.38904109589038</v>
      </c>
      <c r="N356" t="str">
        <f>IFERROR(INDEX(tProdutos[Foco],MATCH(tItens[[#This Row],[Produto]],tProdutos[Produto],0)),"Não")</f>
        <v>Não</v>
      </c>
      <c r="O356" t="str">
        <f>IFERROR(INDEX(tEditais[SRP],MATCH(tItens[[#This Row],[Edital]],tEditais[Edital],0)),"Não")</f>
        <v>Sim</v>
      </c>
      <c r="P356" s="4">
        <f>IF(COUNTIFS(INDEX(tItens[Edital],1):tItens[[#This Row],[Edital]],tItens[[#This Row],[Edital]],INDEX(tItens[Produto],1):tItens[[#This Row],[Produto]],tItens[[#This Row],[Produto]])=1,1,0)</f>
        <v>1</v>
      </c>
    </row>
    <row r="357" spans="1:16" x14ac:dyDescent="0.25">
      <c r="A357" t="s">
        <v>815</v>
      </c>
      <c r="B357">
        <v>8041580</v>
      </c>
      <c r="C357" t="s">
        <v>3578</v>
      </c>
      <c r="D357" t="s">
        <v>110</v>
      </c>
      <c r="E357" s="13">
        <v>450</v>
      </c>
      <c r="F357" s="12">
        <v>0.9</v>
      </c>
      <c r="G357" t="str">
        <f>IFERROR(INDEX(tEditais[Órgão],MATCH(tItens[[#This Row],[Edital]],tEditais[Edital],0)),"")</f>
        <v>MUNICIPIO DE BREJOES</v>
      </c>
      <c r="H357" t="str">
        <f>IFERROR(INDEX(tEditais[UF],MATCH(tItens[[#This Row],[Edital]],tEditais[Edital],0)),"")</f>
        <v>BA</v>
      </c>
      <c r="I357" s="11">
        <f>IFERROR(INDEX(tEditais[Encerramento],MATCH(tItens[[#This Row],[Edital]],tEditais[Edital],0)),"")</f>
        <v>46304.416666666664</v>
      </c>
      <c r="J357" t="str">
        <f>IFERROR(INDEX(tProdutos[Classe],MATCH(tItens[[#This Row],[Produto]],tProdutos[Produto],0)),"produto não cadastrado")</f>
        <v>NÚCLEO</v>
      </c>
      <c r="K357" s="12">
        <f>tItens[[#This Row],[Qtd]]*tItens[[#This Row],[Vlr unit]]</f>
        <v>405</v>
      </c>
      <c r="L357" s="6">
        <f>IFERROR(IF(INDEX(tProdutos[Desconto homologado],MATCH(tItens[[#This Row],[Produto]],tProdutos[Produto],0))="",DescontoPadrao,INDEX(tProdutos[Desconto homologado],MATCH(tItens[[#This Row],[Produto]],tProdutos[Produto],0))),DescontoPadrao)</f>
        <v>0.30410958904109597</v>
      </c>
      <c r="M357" s="12">
        <f>tItens[[#This Row],[Valor]]*(1-tItens[[#This Row],[Desconto]])</f>
        <v>281.83561643835611</v>
      </c>
      <c r="N357" t="str">
        <f>IFERROR(INDEX(tProdutos[Foco],MATCH(tItens[[#This Row],[Produto]],tProdutos[Produto],0)),"Não")</f>
        <v>Não</v>
      </c>
      <c r="O357" t="str">
        <f>IFERROR(INDEX(tEditais[SRP],MATCH(tItens[[#This Row],[Edital]],tEditais[Edital],0)),"Não")</f>
        <v>Sim</v>
      </c>
      <c r="P357" s="4">
        <f>IF(COUNTIFS(INDEX(tItens[Edital],1):tItens[[#This Row],[Edital]],tItens[[#This Row],[Edital]],INDEX(tItens[Produto],1):tItens[[#This Row],[Produto]],tItens[[#This Row],[Produto]])=1,1,0)</f>
        <v>0</v>
      </c>
    </row>
    <row r="358" spans="1:16" x14ac:dyDescent="0.25">
      <c r="A358" t="s">
        <v>815</v>
      </c>
      <c r="B358">
        <v>8041581</v>
      </c>
      <c r="C358" t="s">
        <v>3579</v>
      </c>
      <c r="D358" t="s">
        <v>110</v>
      </c>
      <c r="E358" s="13">
        <v>450</v>
      </c>
      <c r="F358" s="12">
        <v>0.93</v>
      </c>
      <c r="G358" t="str">
        <f>IFERROR(INDEX(tEditais[Órgão],MATCH(tItens[[#This Row],[Edital]],tEditais[Edital],0)),"")</f>
        <v>MUNICIPIO DE BREJOES</v>
      </c>
      <c r="H358" t="str">
        <f>IFERROR(INDEX(tEditais[UF],MATCH(tItens[[#This Row],[Edital]],tEditais[Edital],0)),"")</f>
        <v>BA</v>
      </c>
      <c r="I358" s="11">
        <f>IFERROR(INDEX(tEditais[Encerramento],MATCH(tItens[[#This Row],[Edital]],tEditais[Edital],0)),"")</f>
        <v>46304.416666666664</v>
      </c>
      <c r="J358" t="str">
        <f>IFERROR(INDEX(tProdutos[Classe],MATCH(tItens[[#This Row],[Produto]],tProdutos[Produto],0)),"produto não cadastrado")</f>
        <v>NÚCLEO</v>
      </c>
      <c r="K358" s="12">
        <f>tItens[[#This Row],[Qtd]]*tItens[[#This Row],[Vlr unit]]</f>
        <v>418.5</v>
      </c>
      <c r="L358" s="6">
        <f>IFERROR(IF(INDEX(tProdutos[Desconto homologado],MATCH(tItens[[#This Row],[Produto]],tProdutos[Produto],0))="",DescontoPadrao,INDEX(tProdutos[Desconto homologado],MATCH(tItens[[#This Row],[Produto]],tProdutos[Produto],0))),DescontoPadrao)</f>
        <v>0.30410958904109597</v>
      </c>
      <c r="M358" s="12">
        <f>tItens[[#This Row],[Valor]]*(1-tItens[[#This Row],[Desconto]])</f>
        <v>291.23013698630132</v>
      </c>
      <c r="N358" t="str">
        <f>IFERROR(INDEX(tProdutos[Foco],MATCH(tItens[[#This Row],[Produto]],tProdutos[Produto],0)),"Não")</f>
        <v>Não</v>
      </c>
      <c r="O358" t="str">
        <f>IFERROR(INDEX(tEditais[SRP],MATCH(tItens[[#This Row],[Edital]],tEditais[Edital],0)),"Não")</f>
        <v>Sim</v>
      </c>
      <c r="P358" s="4">
        <f>IF(COUNTIFS(INDEX(tItens[Edital],1):tItens[[#This Row],[Edital]],tItens[[#This Row],[Edital]],INDEX(tItens[Produto],1):tItens[[#This Row],[Produto]],tItens[[#This Row],[Produto]])=1,1,0)</f>
        <v>0</v>
      </c>
    </row>
    <row r="359" spans="1:16" x14ac:dyDescent="0.25">
      <c r="A359" t="s">
        <v>815</v>
      </c>
      <c r="B359">
        <v>8041582</v>
      </c>
      <c r="C359" t="s">
        <v>3580</v>
      </c>
      <c r="D359" t="s">
        <v>110</v>
      </c>
      <c r="E359" s="13">
        <v>450</v>
      </c>
      <c r="F359" s="12">
        <v>0.92</v>
      </c>
      <c r="G359" t="str">
        <f>IFERROR(INDEX(tEditais[Órgão],MATCH(tItens[[#This Row],[Edital]],tEditais[Edital],0)),"")</f>
        <v>MUNICIPIO DE BREJOES</v>
      </c>
      <c r="H359" t="str">
        <f>IFERROR(INDEX(tEditais[UF],MATCH(tItens[[#This Row],[Edital]],tEditais[Edital],0)),"")</f>
        <v>BA</v>
      </c>
      <c r="I359" s="11">
        <f>IFERROR(INDEX(tEditais[Encerramento],MATCH(tItens[[#This Row],[Edital]],tEditais[Edital],0)),"")</f>
        <v>46304.416666666664</v>
      </c>
      <c r="J359" t="str">
        <f>IFERROR(INDEX(tProdutos[Classe],MATCH(tItens[[#This Row],[Produto]],tProdutos[Produto],0)),"produto não cadastrado")</f>
        <v>NÚCLEO</v>
      </c>
      <c r="K359" s="12">
        <f>tItens[[#This Row],[Qtd]]*tItens[[#This Row],[Vlr unit]]</f>
        <v>414</v>
      </c>
      <c r="L359" s="6">
        <f>IFERROR(IF(INDEX(tProdutos[Desconto homologado],MATCH(tItens[[#This Row],[Produto]],tProdutos[Produto],0))="",DescontoPadrao,INDEX(tProdutos[Desconto homologado],MATCH(tItens[[#This Row],[Produto]],tProdutos[Produto],0))),DescontoPadrao)</f>
        <v>0.30410958904109597</v>
      </c>
      <c r="M359" s="12">
        <f>tItens[[#This Row],[Valor]]*(1-tItens[[#This Row],[Desconto]])</f>
        <v>288.09863013698629</v>
      </c>
      <c r="N359" t="str">
        <f>IFERROR(INDEX(tProdutos[Foco],MATCH(tItens[[#This Row],[Produto]],tProdutos[Produto],0)),"Não")</f>
        <v>Não</v>
      </c>
      <c r="O359" t="str">
        <f>IFERROR(INDEX(tEditais[SRP],MATCH(tItens[[#This Row],[Edital]],tEditais[Edital],0)),"Não")</f>
        <v>Sim</v>
      </c>
      <c r="P359" s="4">
        <f>IF(COUNTIFS(INDEX(tItens[Edital],1):tItens[[#This Row],[Edital]],tItens[[#This Row],[Edital]],INDEX(tItens[Produto],1):tItens[[#This Row],[Produto]],tItens[[#This Row],[Produto]])=1,1,0)</f>
        <v>0</v>
      </c>
    </row>
    <row r="360" spans="1:16" x14ac:dyDescent="0.25">
      <c r="A360" t="s">
        <v>815</v>
      </c>
      <c r="B360">
        <v>8041583</v>
      </c>
      <c r="C360" t="s">
        <v>3581</v>
      </c>
      <c r="D360" t="s">
        <v>110</v>
      </c>
      <c r="E360" s="13">
        <v>450</v>
      </c>
      <c r="F360" s="12">
        <v>0.85</v>
      </c>
      <c r="G360" t="str">
        <f>IFERROR(INDEX(tEditais[Órgão],MATCH(tItens[[#This Row],[Edital]],tEditais[Edital],0)),"")</f>
        <v>MUNICIPIO DE BREJOES</v>
      </c>
      <c r="H360" t="str">
        <f>IFERROR(INDEX(tEditais[UF],MATCH(tItens[[#This Row],[Edital]],tEditais[Edital],0)),"")</f>
        <v>BA</v>
      </c>
      <c r="I360" s="11">
        <f>IFERROR(INDEX(tEditais[Encerramento],MATCH(tItens[[#This Row],[Edital]],tEditais[Edital],0)),"")</f>
        <v>46304.416666666664</v>
      </c>
      <c r="J360" t="str">
        <f>IFERROR(INDEX(tProdutos[Classe],MATCH(tItens[[#This Row],[Produto]],tProdutos[Produto],0)),"produto não cadastrado")</f>
        <v>NÚCLEO</v>
      </c>
      <c r="K360" s="12">
        <f>tItens[[#This Row],[Qtd]]*tItens[[#This Row],[Vlr unit]]</f>
        <v>382.5</v>
      </c>
      <c r="L360" s="6">
        <f>IFERROR(IF(INDEX(tProdutos[Desconto homologado],MATCH(tItens[[#This Row],[Produto]],tProdutos[Produto],0))="",DescontoPadrao,INDEX(tProdutos[Desconto homologado],MATCH(tItens[[#This Row],[Produto]],tProdutos[Produto],0))),DescontoPadrao)</f>
        <v>0.30410958904109597</v>
      </c>
      <c r="M360" s="12">
        <f>tItens[[#This Row],[Valor]]*(1-tItens[[#This Row],[Desconto]])</f>
        <v>266.17808219178079</v>
      </c>
      <c r="N360" t="str">
        <f>IFERROR(INDEX(tProdutos[Foco],MATCH(tItens[[#This Row],[Produto]],tProdutos[Produto],0)),"Não")</f>
        <v>Não</v>
      </c>
      <c r="O360" t="str">
        <f>IFERROR(INDEX(tEditais[SRP],MATCH(tItens[[#This Row],[Edital]],tEditais[Edital],0)),"Não")</f>
        <v>Sim</v>
      </c>
      <c r="P360" s="4">
        <f>IF(COUNTIFS(INDEX(tItens[Edital],1):tItens[[#This Row],[Edital]],tItens[[#This Row],[Edital]],INDEX(tItens[Produto],1):tItens[[#This Row],[Produto]],tItens[[#This Row],[Produto]])=1,1,0)</f>
        <v>0</v>
      </c>
    </row>
    <row r="361" spans="1:16" x14ac:dyDescent="0.25">
      <c r="A361" t="s">
        <v>815</v>
      </c>
      <c r="B361">
        <v>8041584</v>
      </c>
      <c r="C361" t="s">
        <v>3582</v>
      </c>
      <c r="D361" t="s">
        <v>110</v>
      </c>
      <c r="E361" s="13">
        <v>450</v>
      </c>
      <c r="F361" s="12">
        <v>0.98</v>
      </c>
      <c r="G361" t="str">
        <f>IFERROR(INDEX(tEditais[Órgão],MATCH(tItens[[#This Row],[Edital]],tEditais[Edital],0)),"")</f>
        <v>MUNICIPIO DE BREJOES</v>
      </c>
      <c r="H361" t="str">
        <f>IFERROR(INDEX(tEditais[UF],MATCH(tItens[[#This Row],[Edital]],tEditais[Edital],0)),"")</f>
        <v>BA</v>
      </c>
      <c r="I361" s="11">
        <f>IFERROR(INDEX(tEditais[Encerramento],MATCH(tItens[[#This Row],[Edital]],tEditais[Edital],0)),"")</f>
        <v>46304.416666666664</v>
      </c>
      <c r="J361" t="str">
        <f>IFERROR(INDEX(tProdutos[Classe],MATCH(tItens[[#This Row],[Produto]],tProdutos[Produto],0)),"produto não cadastrado")</f>
        <v>NÚCLEO</v>
      </c>
      <c r="K361" s="12">
        <f>tItens[[#This Row],[Qtd]]*tItens[[#This Row],[Vlr unit]]</f>
        <v>441</v>
      </c>
      <c r="L361" s="6">
        <f>IFERROR(IF(INDEX(tProdutos[Desconto homologado],MATCH(tItens[[#This Row],[Produto]],tProdutos[Produto],0))="",DescontoPadrao,INDEX(tProdutos[Desconto homologado],MATCH(tItens[[#This Row],[Produto]],tProdutos[Produto],0))),DescontoPadrao)</f>
        <v>0.30410958904109597</v>
      </c>
      <c r="M361" s="12">
        <f>tItens[[#This Row],[Valor]]*(1-tItens[[#This Row],[Desconto]])</f>
        <v>306.8876712328767</v>
      </c>
      <c r="N361" t="str">
        <f>IFERROR(INDEX(tProdutos[Foco],MATCH(tItens[[#This Row],[Produto]],tProdutos[Produto],0)),"Não")</f>
        <v>Não</v>
      </c>
      <c r="O361" t="str">
        <f>IFERROR(INDEX(tEditais[SRP],MATCH(tItens[[#This Row],[Edital]],tEditais[Edital],0)),"Não")</f>
        <v>Sim</v>
      </c>
      <c r="P361" s="4">
        <f>IF(COUNTIFS(INDEX(tItens[Edital],1):tItens[[#This Row],[Edital]],tItens[[#This Row],[Edital]],INDEX(tItens[Produto],1):tItens[[#This Row],[Produto]],tItens[[#This Row],[Produto]])=1,1,0)</f>
        <v>0</v>
      </c>
    </row>
    <row r="362" spans="1:16" x14ac:dyDescent="0.25">
      <c r="A362" t="s">
        <v>815</v>
      </c>
      <c r="B362">
        <v>8041585</v>
      </c>
      <c r="C362" t="s">
        <v>3583</v>
      </c>
      <c r="D362" t="s">
        <v>110</v>
      </c>
      <c r="E362" s="13">
        <v>450</v>
      </c>
      <c r="F362" s="12">
        <v>0.99</v>
      </c>
      <c r="G362" t="str">
        <f>IFERROR(INDEX(tEditais[Órgão],MATCH(tItens[[#This Row],[Edital]],tEditais[Edital],0)),"")</f>
        <v>MUNICIPIO DE BREJOES</v>
      </c>
      <c r="H362" t="str">
        <f>IFERROR(INDEX(tEditais[UF],MATCH(tItens[[#This Row],[Edital]],tEditais[Edital],0)),"")</f>
        <v>BA</v>
      </c>
      <c r="I362" s="11">
        <f>IFERROR(INDEX(tEditais[Encerramento],MATCH(tItens[[#This Row],[Edital]],tEditais[Edital],0)),"")</f>
        <v>46304.416666666664</v>
      </c>
      <c r="J362" t="str">
        <f>IFERROR(INDEX(tProdutos[Classe],MATCH(tItens[[#This Row],[Produto]],tProdutos[Produto],0)),"produto não cadastrado")</f>
        <v>NÚCLEO</v>
      </c>
      <c r="K362" s="12">
        <f>tItens[[#This Row],[Qtd]]*tItens[[#This Row],[Vlr unit]]</f>
        <v>445.5</v>
      </c>
      <c r="L362" s="6">
        <f>IFERROR(IF(INDEX(tProdutos[Desconto homologado],MATCH(tItens[[#This Row],[Produto]],tProdutos[Produto],0))="",DescontoPadrao,INDEX(tProdutos[Desconto homologado],MATCH(tItens[[#This Row],[Produto]],tProdutos[Produto],0))),DescontoPadrao)</f>
        <v>0.30410958904109597</v>
      </c>
      <c r="M362" s="12">
        <f>tItens[[#This Row],[Valor]]*(1-tItens[[#This Row],[Desconto]])</f>
        <v>310.01917808219173</v>
      </c>
      <c r="N362" t="str">
        <f>IFERROR(INDEX(tProdutos[Foco],MATCH(tItens[[#This Row],[Produto]],tProdutos[Produto],0)),"Não")</f>
        <v>Não</v>
      </c>
      <c r="O362" t="str">
        <f>IFERROR(INDEX(tEditais[SRP],MATCH(tItens[[#This Row],[Edital]],tEditais[Edital],0)),"Não")</f>
        <v>Sim</v>
      </c>
      <c r="P362" s="4">
        <f>IF(COUNTIFS(INDEX(tItens[Edital],1):tItens[[#This Row],[Edital]],tItens[[#This Row],[Edital]],INDEX(tItens[Produto],1):tItens[[#This Row],[Produto]],tItens[[#This Row],[Produto]])=1,1,0)</f>
        <v>0</v>
      </c>
    </row>
    <row r="363" spans="1:16" x14ac:dyDescent="0.25">
      <c r="A363" t="s">
        <v>815</v>
      </c>
      <c r="B363">
        <v>8041586</v>
      </c>
      <c r="C363" t="s">
        <v>3584</v>
      </c>
      <c r="D363" t="s">
        <v>110</v>
      </c>
      <c r="E363" s="13">
        <v>450</v>
      </c>
      <c r="F363" s="12">
        <v>1.05</v>
      </c>
      <c r="G363" t="str">
        <f>IFERROR(INDEX(tEditais[Órgão],MATCH(tItens[[#This Row],[Edital]],tEditais[Edital],0)),"")</f>
        <v>MUNICIPIO DE BREJOES</v>
      </c>
      <c r="H363" t="str">
        <f>IFERROR(INDEX(tEditais[UF],MATCH(tItens[[#This Row],[Edital]],tEditais[Edital],0)),"")</f>
        <v>BA</v>
      </c>
      <c r="I363" s="11">
        <f>IFERROR(INDEX(tEditais[Encerramento],MATCH(tItens[[#This Row],[Edital]],tEditais[Edital],0)),"")</f>
        <v>46304.416666666664</v>
      </c>
      <c r="J363" t="str">
        <f>IFERROR(INDEX(tProdutos[Classe],MATCH(tItens[[#This Row],[Produto]],tProdutos[Produto],0)),"produto não cadastrado")</f>
        <v>NÚCLEO</v>
      </c>
      <c r="K363" s="12">
        <f>tItens[[#This Row],[Qtd]]*tItens[[#This Row],[Vlr unit]]</f>
        <v>472.5</v>
      </c>
      <c r="L363" s="6">
        <f>IFERROR(IF(INDEX(tProdutos[Desconto homologado],MATCH(tItens[[#This Row],[Produto]],tProdutos[Produto],0))="",DescontoPadrao,INDEX(tProdutos[Desconto homologado],MATCH(tItens[[#This Row],[Produto]],tProdutos[Produto],0))),DescontoPadrao)</f>
        <v>0.30410958904109597</v>
      </c>
      <c r="M363" s="12">
        <f>tItens[[#This Row],[Valor]]*(1-tItens[[#This Row],[Desconto]])</f>
        <v>328.80821917808214</v>
      </c>
      <c r="N363" t="str">
        <f>IFERROR(INDEX(tProdutos[Foco],MATCH(tItens[[#This Row],[Produto]],tProdutos[Produto],0)),"Não")</f>
        <v>Não</v>
      </c>
      <c r="O363" t="str">
        <f>IFERROR(INDEX(tEditais[SRP],MATCH(tItens[[#This Row],[Edital]],tEditais[Edital],0)),"Não")</f>
        <v>Sim</v>
      </c>
      <c r="P363" s="4">
        <f>IF(COUNTIFS(INDEX(tItens[Edital],1):tItens[[#This Row],[Edital]],tItens[[#This Row],[Edital]],INDEX(tItens[Produto],1):tItens[[#This Row],[Produto]],tItens[[#This Row],[Produto]])=1,1,0)</f>
        <v>0</v>
      </c>
    </row>
    <row r="364" spans="1:16" x14ac:dyDescent="0.25">
      <c r="A364" t="s">
        <v>815</v>
      </c>
      <c r="B364">
        <v>8041587</v>
      </c>
      <c r="C364" t="s">
        <v>3585</v>
      </c>
      <c r="D364" t="s">
        <v>110</v>
      </c>
      <c r="E364" s="13">
        <v>450</v>
      </c>
      <c r="F364" s="12">
        <v>1.08</v>
      </c>
      <c r="G364" t="str">
        <f>IFERROR(INDEX(tEditais[Órgão],MATCH(tItens[[#This Row],[Edital]],tEditais[Edital],0)),"")</f>
        <v>MUNICIPIO DE BREJOES</v>
      </c>
      <c r="H364" t="str">
        <f>IFERROR(INDEX(tEditais[UF],MATCH(tItens[[#This Row],[Edital]],tEditais[Edital],0)),"")</f>
        <v>BA</v>
      </c>
      <c r="I364" s="11">
        <f>IFERROR(INDEX(tEditais[Encerramento],MATCH(tItens[[#This Row],[Edital]],tEditais[Edital],0)),"")</f>
        <v>46304.416666666664</v>
      </c>
      <c r="J364" t="str">
        <f>IFERROR(INDEX(tProdutos[Classe],MATCH(tItens[[#This Row],[Produto]],tProdutos[Produto],0)),"produto não cadastrado")</f>
        <v>NÚCLEO</v>
      </c>
      <c r="K364" s="12">
        <f>tItens[[#This Row],[Qtd]]*tItens[[#This Row],[Vlr unit]]</f>
        <v>486.00000000000006</v>
      </c>
      <c r="L364" s="6">
        <f>IFERROR(IF(INDEX(tProdutos[Desconto homologado],MATCH(tItens[[#This Row],[Produto]],tProdutos[Produto],0))="",DescontoPadrao,INDEX(tProdutos[Desconto homologado],MATCH(tItens[[#This Row],[Produto]],tProdutos[Produto],0))),DescontoPadrao)</f>
        <v>0.30410958904109597</v>
      </c>
      <c r="M364" s="12">
        <f>tItens[[#This Row],[Valor]]*(1-tItens[[#This Row],[Desconto]])</f>
        <v>338.2027397260274</v>
      </c>
      <c r="N364" t="str">
        <f>IFERROR(INDEX(tProdutos[Foco],MATCH(tItens[[#This Row],[Produto]],tProdutos[Produto],0)),"Não")</f>
        <v>Não</v>
      </c>
      <c r="O364" t="str">
        <f>IFERROR(INDEX(tEditais[SRP],MATCH(tItens[[#This Row],[Edital]],tEditais[Edital],0)),"Não")</f>
        <v>Sim</v>
      </c>
      <c r="P364" s="4">
        <f>IF(COUNTIFS(INDEX(tItens[Edital],1):tItens[[#This Row],[Edital]],tItens[[#This Row],[Edital]],INDEX(tItens[Produto],1):tItens[[#This Row],[Produto]],tItens[[#This Row],[Produto]])=1,1,0)</f>
        <v>0</v>
      </c>
    </row>
    <row r="365" spans="1:16" x14ac:dyDescent="0.25">
      <c r="A365" t="s">
        <v>815</v>
      </c>
      <c r="B365">
        <v>8041588</v>
      </c>
      <c r="C365" t="s">
        <v>3586</v>
      </c>
      <c r="D365" t="s">
        <v>110</v>
      </c>
      <c r="E365" s="13">
        <v>450</v>
      </c>
      <c r="F365" s="12">
        <v>1.1000000000000001</v>
      </c>
      <c r="G365" t="str">
        <f>IFERROR(INDEX(tEditais[Órgão],MATCH(tItens[[#This Row],[Edital]],tEditais[Edital],0)),"")</f>
        <v>MUNICIPIO DE BREJOES</v>
      </c>
      <c r="H365" t="str">
        <f>IFERROR(INDEX(tEditais[UF],MATCH(tItens[[#This Row],[Edital]],tEditais[Edital],0)),"")</f>
        <v>BA</v>
      </c>
      <c r="I365" s="11">
        <f>IFERROR(INDEX(tEditais[Encerramento],MATCH(tItens[[#This Row],[Edital]],tEditais[Edital],0)),"")</f>
        <v>46304.416666666664</v>
      </c>
      <c r="J365" t="str">
        <f>IFERROR(INDEX(tProdutos[Classe],MATCH(tItens[[#This Row],[Produto]],tProdutos[Produto],0)),"produto não cadastrado")</f>
        <v>NÚCLEO</v>
      </c>
      <c r="K365" s="12">
        <f>tItens[[#This Row],[Qtd]]*tItens[[#This Row],[Vlr unit]]</f>
        <v>495.00000000000006</v>
      </c>
      <c r="L365" s="6">
        <f>IFERROR(IF(INDEX(tProdutos[Desconto homologado],MATCH(tItens[[#This Row],[Produto]],tProdutos[Produto],0))="",DescontoPadrao,INDEX(tProdutos[Desconto homologado],MATCH(tItens[[#This Row],[Produto]],tProdutos[Produto],0))),DescontoPadrao)</f>
        <v>0.30410958904109597</v>
      </c>
      <c r="M365" s="12">
        <f>tItens[[#This Row],[Valor]]*(1-tItens[[#This Row],[Desconto]])</f>
        <v>344.46575342465752</v>
      </c>
      <c r="N365" t="str">
        <f>IFERROR(INDEX(tProdutos[Foco],MATCH(tItens[[#This Row],[Produto]],tProdutos[Produto],0)),"Não")</f>
        <v>Não</v>
      </c>
      <c r="O365" t="str">
        <f>IFERROR(INDEX(tEditais[SRP],MATCH(tItens[[#This Row],[Edital]],tEditais[Edital],0)),"Não")</f>
        <v>Sim</v>
      </c>
      <c r="P365" s="4">
        <f>IF(COUNTIFS(INDEX(tItens[Edital],1):tItens[[#This Row],[Edital]],tItens[[#This Row],[Edital]],INDEX(tItens[Produto],1):tItens[[#This Row],[Produto]],tItens[[#This Row],[Produto]])=1,1,0)</f>
        <v>0</v>
      </c>
    </row>
    <row r="366" spans="1:16" x14ac:dyDescent="0.25">
      <c r="A366" t="s">
        <v>815</v>
      </c>
      <c r="B366">
        <v>8041589</v>
      </c>
      <c r="C366" t="s">
        <v>3587</v>
      </c>
      <c r="D366" t="s">
        <v>110</v>
      </c>
      <c r="E366" s="13">
        <v>450</v>
      </c>
      <c r="F366" s="12">
        <v>1.5</v>
      </c>
      <c r="G366" t="str">
        <f>IFERROR(INDEX(tEditais[Órgão],MATCH(tItens[[#This Row],[Edital]],tEditais[Edital],0)),"")</f>
        <v>MUNICIPIO DE BREJOES</v>
      </c>
      <c r="H366" t="str">
        <f>IFERROR(INDEX(tEditais[UF],MATCH(tItens[[#This Row],[Edital]],tEditais[Edital],0)),"")</f>
        <v>BA</v>
      </c>
      <c r="I366" s="11">
        <f>IFERROR(INDEX(tEditais[Encerramento],MATCH(tItens[[#This Row],[Edital]],tEditais[Edital],0)),"")</f>
        <v>46304.416666666664</v>
      </c>
      <c r="J366" t="str">
        <f>IFERROR(INDEX(tProdutos[Classe],MATCH(tItens[[#This Row],[Produto]],tProdutos[Produto],0)),"produto não cadastrado")</f>
        <v>NÚCLEO</v>
      </c>
      <c r="K366" s="12">
        <f>tItens[[#This Row],[Qtd]]*tItens[[#This Row],[Vlr unit]]</f>
        <v>675</v>
      </c>
      <c r="L366" s="6">
        <f>IFERROR(IF(INDEX(tProdutos[Desconto homologado],MATCH(tItens[[#This Row],[Produto]],tProdutos[Produto],0))="",DescontoPadrao,INDEX(tProdutos[Desconto homologado],MATCH(tItens[[#This Row],[Produto]],tProdutos[Produto],0))),DescontoPadrao)</f>
        <v>0.30410958904109597</v>
      </c>
      <c r="M366" s="12">
        <f>tItens[[#This Row],[Valor]]*(1-tItens[[#This Row],[Desconto]])</f>
        <v>469.72602739726022</v>
      </c>
      <c r="N366" t="str">
        <f>IFERROR(INDEX(tProdutos[Foco],MATCH(tItens[[#This Row],[Produto]],tProdutos[Produto],0)),"Não")</f>
        <v>Não</v>
      </c>
      <c r="O366" t="str">
        <f>IFERROR(INDEX(tEditais[SRP],MATCH(tItens[[#This Row],[Edital]],tEditais[Edital],0)),"Não")</f>
        <v>Sim</v>
      </c>
      <c r="P366" s="4">
        <f>IF(COUNTIFS(INDEX(tItens[Edital],1):tItens[[#This Row],[Edital]],tItens[[#This Row],[Edital]],INDEX(tItens[Produto],1):tItens[[#This Row],[Produto]],tItens[[#This Row],[Produto]])=1,1,0)</f>
        <v>0</v>
      </c>
    </row>
    <row r="367" spans="1:16" x14ac:dyDescent="0.25">
      <c r="A367" t="s">
        <v>815</v>
      </c>
      <c r="B367">
        <v>8041590</v>
      </c>
      <c r="C367" t="s">
        <v>3588</v>
      </c>
      <c r="D367" t="s">
        <v>110</v>
      </c>
      <c r="E367" s="13">
        <v>450</v>
      </c>
      <c r="F367" s="12">
        <v>1.5</v>
      </c>
      <c r="G367" t="str">
        <f>IFERROR(INDEX(tEditais[Órgão],MATCH(tItens[[#This Row],[Edital]],tEditais[Edital],0)),"")</f>
        <v>MUNICIPIO DE BREJOES</v>
      </c>
      <c r="H367" t="str">
        <f>IFERROR(INDEX(tEditais[UF],MATCH(tItens[[#This Row],[Edital]],tEditais[Edital],0)),"")</f>
        <v>BA</v>
      </c>
      <c r="I367" s="11">
        <f>IFERROR(INDEX(tEditais[Encerramento],MATCH(tItens[[#This Row],[Edital]],tEditais[Edital],0)),"")</f>
        <v>46304.416666666664</v>
      </c>
      <c r="J367" t="str">
        <f>IFERROR(INDEX(tProdutos[Classe],MATCH(tItens[[#This Row],[Produto]],tProdutos[Produto],0)),"produto não cadastrado")</f>
        <v>NÚCLEO</v>
      </c>
      <c r="K367" s="12">
        <f>tItens[[#This Row],[Qtd]]*tItens[[#This Row],[Vlr unit]]</f>
        <v>675</v>
      </c>
      <c r="L367" s="6">
        <f>IFERROR(IF(INDEX(tProdutos[Desconto homologado],MATCH(tItens[[#This Row],[Produto]],tProdutos[Produto],0))="",DescontoPadrao,INDEX(tProdutos[Desconto homologado],MATCH(tItens[[#This Row],[Produto]],tProdutos[Produto],0))),DescontoPadrao)</f>
        <v>0.30410958904109597</v>
      </c>
      <c r="M367" s="12">
        <f>tItens[[#This Row],[Valor]]*(1-tItens[[#This Row],[Desconto]])</f>
        <v>469.72602739726022</v>
      </c>
      <c r="N367" t="str">
        <f>IFERROR(INDEX(tProdutos[Foco],MATCH(tItens[[#This Row],[Produto]],tProdutos[Produto],0)),"Não")</f>
        <v>Não</v>
      </c>
      <c r="O367" t="str">
        <f>IFERROR(INDEX(tEditais[SRP],MATCH(tItens[[#This Row],[Edital]],tEditais[Edital],0)),"Não")</f>
        <v>Sim</v>
      </c>
      <c r="P367" s="4">
        <f>IF(COUNTIFS(INDEX(tItens[Edital],1):tItens[[#This Row],[Edital]],tItens[[#This Row],[Edital]],INDEX(tItens[Produto],1):tItens[[#This Row],[Produto]],tItens[[#This Row],[Produto]])=1,1,0)</f>
        <v>0</v>
      </c>
    </row>
    <row r="368" spans="1:16" x14ac:dyDescent="0.25">
      <c r="A368" t="s">
        <v>815</v>
      </c>
      <c r="B368">
        <v>8041591</v>
      </c>
      <c r="C368" t="s">
        <v>3589</v>
      </c>
      <c r="D368" t="s">
        <v>110</v>
      </c>
      <c r="E368" s="13">
        <v>450</v>
      </c>
      <c r="F368" s="12">
        <v>1.36</v>
      </c>
      <c r="G368" t="str">
        <f>IFERROR(INDEX(tEditais[Órgão],MATCH(tItens[[#This Row],[Edital]],tEditais[Edital],0)),"")</f>
        <v>MUNICIPIO DE BREJOES</v>
      </c>
      <c r="H368" t="str">
        <f>IFERROR(INDEX(tEditais[UF],MATCH(tItens[[#This Row],[Edital]],tEditais[Edital],0)),"")</f>
        <v>BA</v>
      </c>
      <c r="I368" s="11">
        <f>IFERROR(INDEX(tEditais[Encerramento],MATCH(tItens[[#This Row],[Edital]],tEditais[Edital],0)),"")</f>
        <v>46304.416666666664</v>
      </c>
      <c r="J368" t="str">
        <f>IFERROR(INDEX(tProdutos[Classe],MATCH(tItens[[#This Row],[Produto]],tProdutos[Produto],0)),"produto não cadastrado")</f>
        <v>NÚCLEO</v>
      </c>
      <c r="K368" s="12">
        <f>tItens[[#This Row],[Qtd]]*tItens[[#This Row],[Vlr unit]]</f>
        <v>612</v>
      </c>
      <c r="L368" s="6">
        <f>IFERROR(IF(INDEX(tProdutos[Desconto homologado],MATCH(tItens[[#This Row],[Produto]],tProdutos[Produto],0))="",DescontoPadrao,INDEX(tProdutos[Desconto homologado],MATCH(tItens[[#This Row],[Produto]],tProdutos[Produto],0))),DescontoPadrao)</f>
        <v>0.30410958904109597</v>
      </c>
      <c r="M368" s="12">
        <f>tItens[[#This Row],[Valor]]*(1-tItens[[#This Row],[Desconto]])</f>
        <v>425.88493150684928</v>
      </c>
      <c r="N368" t="str">
        <f>IFERROR(INDEX(tProdutos[Foco],MATCH(tItens[[#This Row],[Produto]],tProdutos[Produto],0)),"Não")</f>
        <v>Não</v>
      </c>
      <c r="O368" t="str">
        <f>IFERROR(INDEX(tEditais[SRP],MATCH(tItens[[#This Row],[Edital]],tEditais[Edital],0)),"Não")</f>
        <v>Sim</v>
      </c>
      <c r="P368" s="4">
        <f>IF(COUNTIFS(INDEX(tItens[Edital],1):tItens[[#This Row],[Edital]],tItens[[#This Row],[Edital]],INDEX(tItens[Produto],1):tItens[[#This Row],[Produto]],tItens[[#This Row],[Produto]])=1,1,0)</f>
        <v>0</v>
      </c>
    </row>
    <row r="369" spans="1:16" x14ac:dyDescent="0.25">
      <c r="A369" t="s">
        <v>815</v>
      </c>
      <c r="B369">
        <v>8041592</v>
      </c>
      <c r="C369" t="s">
        <v>3590</v>
      </c>
      <c r="D369" t="s">
        <v>110</v>
      </c>
      <c r="E369" s="13">
        <v>450</v>
      </c>
      <c r="F369" s="12">
        <v>1.69</v>
      </c>
      <c r="G369" t="str">
        <f>IFERROR(INDEX(tEditais[Órgão],MATCH(tItens[[#This Row],[Edital]],tEditais[Edital],0)),"")</f>
        <v>MUNICIPIO DE BREJOES</v>
      </c>
      <c r="H369" t="str">
        <f>IFERROR(INDEX(tEditais[UF],MATCH(tItens[[#This Row],[Edital]],tEditais[Edital],0)),"")</f>
        <v>BA</v>
      </c>
      <c r="I369" s="11">
        <f>IFERROR(INDEX(tEditais[Encerramento],MATCH(tItens[[#This Row],[Edital]],tEditais[Edital],0)),"")</f>
        <v>46304.416666666664</v>
      </c>
      <c r="J369" t="str">
        <f>IFERROR(INDEX(tProdutos[Classe],MATCH(tItens[[#This Row],[Produto]],tProdutos[Produto],0)),"produto não cadastrado")</f>
        <v>NÚCLEO</v>
      </c>
      <c r="K369" s="12">
        <f>tItens[[#This Row],[Qtd]]*tItens[[#This Row],[Vlr unit]]</f>
        <v>760.5</v>
      </c>
      <c r="L369" s="6">
        <f>IFERROR(IF(INDEX(tProdutos[Desconto homologado],MATCH(tItens[[#This Row],[Produto]],tProdutos[Produto],0))="",DescontoPadrao,INDEX(tProdutos[Desconto homologado],MATCH(tItens[[#This Row],[Produto]],tProdutos[Produto],0))),DescontoPadrao)</f>
        <v>0.30410958904109597</v>
      </c>
      <c r="M369" s="12">
        <f>tItens[[#This Row],[Valor]]*(1-tItens[[#This Row],[Desconto]])</f>
        <v>529.22465753424649</v>
      </c>
      <c r="N369" t="str">
        <f>IFERROR(INDEX(tProdutos[Foco],MATCH(tItens[[#This Row],[Produto]],tProdutos[Produto],0)),"Não")</f>
        <v>Não</v>
      </c>
      <c r="O369" t="str">
        <f>IFERROR(INDEX(tEditais[SRP],MATCH(tItens[[#This Row],[Edital]],tEditais[Edital],0)),"Não")</f>
        <v>Sim</v>
      </c>
      <c r="P369" s="4">
        <f>IF(COUNTIFS(INDEX(tItens[Edital],1):tItens[[#This Row],[Edital]],tItens[[#This Row],[Edital]],INDEX(tItens[Produto],1):tItens[[#This Row],[Produto]],tItens[[#This Row],[Produto]])=1,1,0)</f>
        <v>0</v>
      </c>
    </row>
    <row r="370" spans="1:16" x14ac:dyDescent="0.25">
      <c r="A370" t="s">
        <v>815</v>
      </c>
      <c r="B370">
        <v>8041593</v>
      </c>
      <c r="C370" t="s">
        <v>3591</v>
      </c>
      <c r="D370" t="s">
        <v>110</v>
      </c>
      <c r="E370" s="13">
        <v>450</v>
      </c>
      <c r="F370" s="12">
        <v>1.53</v>
      </c>
      <c r="G370" t="str">
        <f>IFERROR(INDEX(tEditais[Órgão],MATCH(tItens[[#This Row],[Edital]],tEditais[Edital],0)),"")</f>
        <v>MUNICIPIO DE BREJOES</v>
      </c>
      <c r="H370" t="str">
        <f>IFERROR(INDEX(tEditais[UF],MATCH(tItens[[#This Row],[Edital]],tEditais[Edital],0)),"")</f>
        <v>BA</v>
      </c>
      <c r="I370" s="11">
        <f>IFERROR(INDEX(tEditais[Encerramento],MATCH(tItens[[#This Row],[Edital]],tEditais[Edital],0)),"")</f>
        <v>46304.416666666664</v>
      </c>
      <c r="J370" t="str">
        <f>IFERROR(INDEX(tProdutos[Classe],MATCH(tItens[[#This Row],[Produto]],tProdutos[Produto],0)),"produto não cadastrado")</f>
        <v>NÚCLEO</v>
      </c>
      <c r="K370" s="12">
        <f>tItens[[#This Row],[Qtd]]*tItens[[#This Row],[Vlr unit]]</f>
        <v>688.5</v>
      </c>
      <c r="L370" s="6">
        <f>IFERROR(IF(INDEX(tProdutos[Desconto homologado],MATCH(tItens[[#This Row],[Produto]],tProdutos[Produto],0))="",DescontoPadrao,INDEX(tProdutos[Desconto homologado],MATCH(tItens[[#This Row],[Produto]],tProdutos[Produto],0))),DescontoPadrao)</f>
        <v>0.30410958904109597</v>
      </c>
      <c r="M370" s="12">
        <f>tItens[[#This Row],[Valor]]*(1-tItens[[#This Row],[Desconto]])</f>
        <v>479.12054794520543</v>
      </c>
      <c r="N370" t="str">
        <f>IFERROR(INDEX(tProdutos[Foco],MATCH(tItens[[#This Row],[Produto]],tProdutos[Produto],0)),"Não")</f>
        <v>Não</v>
      </c>
      <c r="O370" t="str">
        <f>IFERROR(INDEX(tEditais[SRP],MATCH(tItens[[#This Row],[Edital]],tEditais[Edital],0)),"Não")</f>
        <v>Sim</v>
      </c>
      <c r="P370" s="4">
        <f>IF(COUNTIFS(INDEX(tItens[Edital],1):tItens[[#This Row],[Edital]],tItens[[#This Row],[Edital]],INDEX(tItens[Produto],1):tItens[[#This Row],[Produto]],tItens[[#This Row],[Produto]])=1,1,0)</f>
        <v>0</v>
      </c>
    </row>
    <row r="371" spans="1:16" x14ac:dyDescent="0.25">
      <c r="A371" t="s">
        <v>815</v>
      </c>
      <c r="B371">
        <v>8041594</v>
      </c>
      <c r="C371" t="s">
        <v>3592</v>
      </c>
      <c r="D371" t="s">
        <v>110</v>
      </c>
      <c r="E371" s="13">
        <v>450</v>
      </c>
      <c r="F371" s="12">
        <v>1.56</v>
      </c>
      <c r="G371" t="str">
        <f>IFERROR(INDEX(tEditais[Órgão],MATCH(tItens[[#This Row],[Edital]],tEditais[Edital],0)),"")</f>
        <v>MUNICIPIO DE BREJOES</v>
      </c>
      <c r="H371" t="str">
        <f>IFERROR(INDEX(tEditais[UF],MATCH(tItens[[#This Row],[Edital]],tEditais[Edital],0)),"")</f>
        <v>BA</v>
      </c>
      <c r="I371" s="11">
        <f>IFERROR(INDEX(tEditais[Encerramento],MATCH(tItens[[#This Row],[Edital]],tEditais[Edital],0)),"")</f>
        <v>46304.416666666664</v>
      </c>
      <c r="J371" t="str">
        <f>IFERROR(INDEX(tProdutos[Classe],MATCH(tItens[[#This Row],[Produto]],tProdutos[Produto],0)),"produto não cadastrado")</f>
        <v>NÚCLEO</v>
      </c>
      <c r="K371" s="12">
        <f>tItens[[#This Row],[Qtd]]*tItens[[#This Row],[Vlr unit]]</f>
        <v>702</v>
      </c>
      <c r="L371" s="6">
        <f>IFERROR(IF(INDEX(tProdutos[Desconto homologado],MATCH(tItens[[#This Row],[Produto]],tProdutos[Produto],0))="",DescontoPadrao,INDEX(tProdutos[Desconto homologado],MATCH(tItens[[#This Row],[Produto]],tProdutos[Produto],0))),DescontoPadrao)</f>
        <v>0.30410958904109597</v>
      </c>
      <c r="M371" s="12">
        <f>tItens[[#This Row],[Valor]]*(1-tItens[[#This Row],[Desconto]])</f>
        <v>488.51506849315064</v>
      </c>
      <c r="N371" t="str">
        <f>IFERROR(INDEX(tProdutos[Foco],MATCH(tItens[[#This Row],[Produto]],tProdutos[Produto],0)),"Não")</f>
        <v>Não</v>
      </c>
      <c r="O371" t="str">
        <f>IFERROR(INDEX(tEditais[SRP],MATCH(tItens[[#This Row],[Edital]],tEditais[Edital],0)),"Não")</f>
        <v>Sim</v>
      </c>
      <c r="P371" s="4">
        <f>IF(COUNTIFS(INDEX(tItens[Edital],1):tItens[[#This Row],[Edital]],tItens[[#This Row],[Edital]],INDEX(tItens[Produto],1):tItens[[#This Row],[Produto]],tItens[[#This Row],[Produto]])=1,1,0)</f>
        <v>0</v>
      </c>
    </row>
    <row r="372" spans="1:16" x14ac:dyDescent="0.25">
      <c r="A372" t="s">
        <v>815</v>
      </c>
      <c r="B372">
        <v>8041595</v>
      </c>
      <c r="C372" t="s">
        <v>3593</v>
      </c>
      <c r="D372" t="s">
        <v>110</v>
      </c>
      <c r="E372" s="13">
        <v>450</v>
      </c>
      <c r="F372" s="12">
        <v>1.55</v>
      </c>
      <c r="G372" t="str">
        <f>IFERROR(INDEX(tEditais[Órgão],MATCH(tItens[[#This Row],[Edital]],tEditais[Edital],0)),"")</f>
        <v>MUNICIPIO DE BREJOES</v>
      </c>
      <c r="H372" t="str">
        <f>IFERROR(INDEX(tEditais[UF],MATCH(tItens[[#This Row],[Edital]],tEditais[Edital],0)),"")</f>
        <v>BA</v>
      </c>
      <c r="I372" s="11">
        <f>IFERROR(INDEX(tEditais[Encerramento],MATCH(tItens[[#This Row],[Edital]],tEditais[Edital],0)),"")</f>
        <v>46304.416666666664</v>
      </c>
      <c r="J372" t="str">
        <f>IFERROR(INDEX(tProdutos[Classe],MATCH(tItens[[#This Row],[Produto]],tProdutos[Produto],0)),"produto não cadastrado")</f>
        <v>NÚCLEO</v>
      </c>
      <c r="K372" s="12">
        <f>tItens[[#This Row],[Qtd]]*tItens[[#This Row],[Vlr unit]]</f>
        <v>697.5</v>
      </c>
      <c r="L372" s="6">
        <f>IFERROR(IF(INDEX(tProdutos[Desconto homologado],MATCH(tItens[[#This Row],[Produto]],tProdutos[Produto],0))="",DescontoPadrao,INDEX(tProdutos[Desconto homologado],MATCH(tItens[[#This Row],[Produto]],tProdutos[Produto],0))),DescontoPadrao)</f>
        <v>0.30410958904109597</v>
      </c>
      <c r="M372" s="12">
        <f>tItens[[#This Row],[Valor]]*(1-tItens[[#This Row],[Desconto]])</f>
        <v>485.38356164383555</v>
      </c>
      <c r="N372" t="str">
        <f>IFERROR(INDEX(tProdutos[Foco],MATCH(tItens[[#This Row],[Produto]],tProdutos[Produto],0)),"Não")</f>
        <v>Não</v>
      </c>
      <c r="O372" t="str">
        <f>IFERROR(INDEX(tEditais[SRP],MATCH(tItens[[#This Row],[Edital]],tEditais[Edital],0)),"Não")</f>
        <v>Sim</v>
      </c>
      <c r="P372" s="4">
        <f>IF(COUNTIFS(INDEX(tItens[Edital],1):tItens[[#This Row],[Edital]],tItens[[#This Row],[Edital]],INDEX(tItens[Produto],1):tItens[[#This Row],[Produto]],tItens[[#This Row],[Produto]])=1,1,0)</f>
        <v>0</v>
      </c>
    </row>
    <row r="373" spans="1:16" x14ac:dyDescent="0.25">
      <c r="A373" t="s">
        <v>815</v>
      </c>
      <c r="B373">
        <v>8041596</v>
      </c>
      <c r="C373" t="s">
        <v>3594</v>
      </c>
      <c r="D373" t="s">
        <v>110</v>
      </c>
      <c r="E373" s="13">
        <v>450</v>
      </c>
      <c r="F373" s="12">
        <v>1.72</v>
      </c>
      <c r="G373" t="str">
        <f>IFERROR(INDEX(tEditais[Órgão],MATCH(tItens[[#This Row],[Edital]],tEditais[Edital],0)),"")</f>
        <v>MUNICIPIO DE BREJOES</v>
      </c>
      <c r="H373" t="str">
        <f>IFERROR(INDEX(tEditais[UF],MATCH(tItens[[#This Row],[Edital]],tEditais[Edital],0)),"")</f>
        <v>BA</v>
      </c>
      <c r="I373" s="11">
        <f>IFERROR(INDEX(tEditais[Encerramento],MATCH(tItens[[#This Row],[Edital]],tEditais[Edital],0)),"")</f>
        <v>46304.416666666664</v>
      </c>
      <c r="J373" t="str">
        <f>IFERROR(INDEX(tProdutos[Classe],MATCH(tItens[[#This Row],[Produto]],tProdutos[Produto],0)),"produto não cadastrado")</f>
        <v>NÚCLEO</v>
      </c>
      <c r="K373" s="12">
        <f>tItens[[#This Row],[Qtd]]*tItens[[#This Row],[Vlr unit]]</f>
        <v>774</v>
      </c>
      <c r="L373" s="6">
        <f>IFERROR(IF(INDEX(tProdutos[Desconto homologado],MATCH(tItens[[#This Row],[Produto]],tProdutos[Produto],0))="",DescontoPadrao,INDEX(tProdutos[Desconto homologado],MATCH(tItens[[#This Row],[Produto]],tProdutos[Produto],0))),DescontoPadrao)</f>
        <v>0.30410958904109597</v>
      </c>
      <c r="M373" s="12">
        <f>tItens[[#This Row],[Valor]]*(1-tItens[[#This Row],[Desconto]])</f>
        <v>538.61917808219175</v>
      </c>
      <c r="N373" t="str">
        <f>IFERROR(INDEX(tProdutos[Foco],MATCH(tItens[[#This Row],[Produto]],tProdutos[Produto],0)),"Não")</f>
        <v>Não</v>
      </c>
      <c r="O373" t="str">
        <f>IFERROR(INDEX(tEditais[SRP],MATCH(tItens[[#This Row],[Edital]],tEditais[Edital],0)),"Não")</f>
        <v>Sim</v>
      </c>
      <c r="P373" s="4">
        <f>IF(COUNTIFS(INDEX(tItens[Edital],1):tItens[[#This Row],[Edital]],tItens[[#This Row],[Edital]],INDEX(tItens[Produto],1):tItens[[#This Row],[Produto]],tItens[[#This Row],[Produto]])=1,1,0)</f>
        <v>0</v>
      </c>
    </row>
    <row r="374" spans="1:16" x14ac:dyDescent="0.25">
      <c r="A374" t="s">
        <v>815</v>
      </c>
      <c r="B374">
        <v>8041597</v>
      </c>
      <c r="C374" t="s">
        <v>3595</v>
      </c>
      <c r="D374" t="s">
        <v>110</v>
      </c>
      <c r="E374" s="13">
        <v>450</v>
      </c>
      <c r="F374" s="12">
        <v>1.65</v>
      </c>
      <c r="G374" t="str">
        <f>IFERROR(INDEX(tEditais[Órgão],MATCH(tItens[[#This Row],[Edital]],tEditais[Edital],0)),"")</f>
        <v>MUNICIPIO DE BREJOES</v>
      </c>
      <c r="H374" t="str">
        <f>IFERROR(INDEX(tEditais[UF],MATCH(tItens[[#This Row],[Edital]],tEditais[Edital],0)),"")</f>
        <v>BA</v>
      </c>
      <c r="I374" s="11">
        <f>IFERROR(INDEX(tEditais[Encerramento],MATCH(tItens[[#This Row],[Edital]],tEditais[Edital],0)),"")</f>
        <v>46304.416666666664</v>
      </c>
      <c r="J374" t="str">
        <f>IFERROR(INDEX(tProdutos[Classe],MATCH(tItens[[#This Row],[Produto]],tProdutos[Produto],0)),"produto não cadastrado")</f>
        <v>NÚCLEO</v>
      </c>
      <c r="K374" s="12">
        <f>tItens[[#This Row],[Qtd]]*tItens[[#This Row],[Vlr unit]]</f>
        <v>742.5</v>
      </c>
      <c r="L374" s="6">
        <f>IFERROR(IF(INDEX(tProdutos[Desconto homologado],MATCH(tItens[[#This Row],[Produto]],tProdutos[Produto],0))="",DescontoPadrao,INDEX(tProdutos[Desconto homologado],MATCH(tItens[[#This Row],[Produto]],tProdutos[Produto],0))),DescontoPadrao)</f>
        <v>0.30410958904109597</v>
      </c>
      <c r="M374" s="12">
        <f>tItens[[#This Row],[Valor]]*(1-tItens[[#This Row],[Desconto]])</f>
        <v>516.69863013698625</v>
      </c>
      <c r="N374" t="str">
        <f>IFERROR(INDEX(tProdutos[Foco],MATCH(tItens[[#This Row],[Produto]],tProdutos[Produto],0)),"Não")</f>
        <v>Não</v>
      </c>
      <c r="O374" t="str">
        <f>IFERROR(INDEX(tEditais[SRP],MATCH(tItens[[#This Row],[Edital]],tEditais[Edital],0)),"Não")</f>
        <v>Sim</v>
      </c>
      <c r="P374" s="4">
        <f>IF(COUNTIFS(INDEX(tItens[Edital],1):tItens[[#This Row],[Edital]],tItens[[#This Row],[Edital]],INDEX(tItens[Produto],1):tItens[[#This Row],[Produto]],tItens[[#This Row],[Produto]])=1,1,0)</f>
        <v>0</v>
      </c>
    </row>
    <row r="375" spans="1:16" x14ac:dyDescent="0.25">
      <c r="A375" t="s">
        <v>815</v>
      </c>
      <c r="B375">
        <v>8041598</v>
      </c>
      <c r="C375" t="s">
        <v>3596</v>
      </c>
      <c r="D375" t="s">
        <v>110</v>
      </c>
      <c r="E375" s="13">
        <v>450</v>
      </c>
      <c r="F375" s="12">
        <v>1.57</v>
      </c>
      <c r="G375" t="str">
        <f>IFERROR(INDEX(tEditais[Órgão],MATCH(tItens[[#This Row],[Edital]],tEditais[Edital],0)),"")</f>
        <v>MUNICIPIO DE BREJOES</v>
      </c>
      <c r="H375" t="str">
        <f>IFERROR(INDEX(tEditais[UF],MATCH(tItens[[#This Row],[Edital]],tEditais[Edital],0)),"")</f>
        <v>BA</v>
      </c>
      <c r="I375" s="11">
        <f>IFERROR(INDEX(tEditais[Encerramento],MATCH(tItens[[#This Row],[Edital]],tEditais[Edital],0)),"")</f>
        <v>46304.416666666664</v>
      </c>
      <c r="J375" t="str">
        <f>IFERROR(INDEX(tProdutos[Classe],MATCH(tItens[[#This Row],[Produto]],tProdutos[Produto],0)),"produto não cadastrado")</f>
        <v>NÚCLEO</v>
      </c>
      <c r="K375" s="12">
        <f>tItens[[#This Row],[Qtd]]*tItens[[#This Row],[Vlr unit]]</f>
        <v>706.5</v>
      </c>
      <c r="L375" s="6">
        <f>IFERROR(IF(INDEX(tProdutos[Desconto homologado],MATCH(tItens[[#This Row],[Produto]],tProdutos[Produto],0))="",DescontoPadrao,INDEX(tProdutos[Desconto homologado],MATCH(tItens[[#This Row],[Produto]],tProdutos[Produto],0))),DescontoPadrao)</f>
        <v>0.30410958904109597</v>
      </c>
      <c r="M375" s="12">
        <f>tItens[[#This Row],[Valor]]*(1-tItens[[#This Row],[Desconto]])</f>
        <v>491.64657534246567</v>
      </c>
      <c r="N375" t="str">
        <f>IFERROR(INDEX(tProdutos[Foco],MATCH(tItens[[#This Row],[Produto]],tProdutos[Produto],0)),"Não")</f>
        <v>Não</v>
      </c>
      <c r="O375" t="str">
        <f>IFERROR(INDEX(tEditais[SRP],MATCH(tItens[[#This Row],[Edital]],tEditais[Edital],0)),"Não")</f>
        <v>Sim</v>
      </c>
      <c r="P375" s="4">
        <f>IF(COUNTIFS(INDEX(tItens[Edital],1):tItens[[#This Row],[Edital]],tItens[[#This Row],[Edital]],INDEX(tItens[Produto],1):tItens[[#This Row],[Produto]],tItens[[#This Row],[Produto]])=1,1,0)</f>
        <v>0</v>
      </c>
    </row>
    <row r="376" spans="1:16" x14ac:dyDescent="0.25">
      <c r="A376" t="s">
        <v>815</v>
      </c>
      <c r="B376">
        <v>8041618</v>
      </c>
      <c r="C376" t="s">
        <v>3597</v>
      </c>
      <c r="D376" t="s">
        <v>120</v>
      </c>
      <c r="E376" s="13">
        <v>450</v>
      </c>
      <c r="F376" s="12">
        <v>0.63</v>
      </c>
      <c r="G376" t="str">
        <f>IFERROR(INDEX(tEditais[Órgão],MATCH(tItens[[#This Row],[Edital]],tEditais[Edital],0)),"")</f>
        <v>MUNICIPIO DE BREJOES</v>
      </c>
      <c r="H376" t="str">
        <f>IFERROR(INDEX(tEditais[UF],MATCH(tItens[[#This Row],[Edital]],tEditais[Edital],0)),"")</f>
        <v>BA</v>
      </c>
      <c r="I376" s="11">
        <f>IFERROR(INDEX(tEditais[Encerramento],MATCH(tItens[[#This Row],[Edital]],tEditais[Edital],0)),"")</f>
        <v>46304.416666666664</v>
      </c>
      <c r="J376" t="str">
        <f>IFERROR(INDEX(tProdutos[Classe],MATCH(tItens[[#This Row],[Produto]],tProdutos[Produto],0)),"produto não cadastrado")</f>
        <v>DISPUTADO</v>
      </c>
      <c r="K376" s="12">
        <f>tItens[[#This Row],[Qtd]]*tItens[[#This Row],[Vlr unit]]</f>
        <v>283.5</v>
      </c>
      <c r="L376" s="6">
        <f>IFERROR(IF(INDEX(tProdutos[Desconto homologado],MATCH(tItens[[#This Row],[Produto]],tProdutos[Produto],0))="",DescontoPadrao,INDEX(tProdutos[Desconto homologado],MATCH(tItens[[#This Row],[Produto]],tProdutos[Produto],0))),DescontoPadrao)</f>
        <v>0.40909090909090901</v>
      </c>
      <c r="M376" s="12">
        <f>tItens[[#This Row],[Valor]]*(1-tItens[[#This Row],[Desconto]])</f>
        <v>167.52272727272731</v>
      </c>
      <c r="N376" t="str">
        <f>IFERROR(INDEX(tProdutos[Foco],MATCH(tItens[[#This Row],[Produto]],tProdutos[Produto],0)),"Não")</f>
        <v>Não</v>
      </c>
      <c r="O376" t="str">
        <f>IFERROR(INDEX(tEditais[SRP],MATCH(tItens[[#This Row],[Edital]],tEditais[Edital],0)),"Não")</f>
        <v>Sim</v>
      </c>
      <c r="P376" s="4">
        <f>IF(COUNTIFS(INDEX(tItens[Edital],1):tItens[[#This Row],[Edital]],tItens[[#This Row],[Edital]],INDEX(tItens[Produto],1):tItens[[#This Row],[Produto]],tItens[[#This Row],[Produto]])=1,1,0)</f>
        <v>1</v>
      </c>
    </row>
    <row r="377" spans="1:16" x14ac:dyDescent="0.25">
      <c r="A377" t="s">
        <v>815</v>
      </c>
      <c r="B377">
        <v>8041619</v>
      </c>
      <c r="C377" t="s">
        <v>3598</v>
      </c>
      <c r="D377" t="s">
        <v>120</v>
      </c>
      <c r="E377" s="13">
        <v>2450</v>
      </c>
      <c r="F377" s="12">
        <v>0.7</v>
      </c>
      <c r="G377" t="str">
        <f>IFERROR(INDEX(tEditais[Órgão],MATCH(tItens[[#This Row],[Edital]],tEditais[Edital],0)),"")</f>
        <v>MUNICIPIO DE BREJOES</v>
      </c>
      <c r="H377" t="str">
        <f>IFERROR(INDEX(tEditais[UF],MATCH(tItens[[#This Row],[Edital]],tEditais[Edital],0)),"")</f>
        <v>BA</v>
      </c>
      <c r="I377" s="11">
        <f>IFERROR(INDEX(tEditais[Encerramento],MATCH(tItens[[#This Row],[Edital]],tEditais[Edital],0)),"")</f>
        <v>46304.416666666664</v>
      </c>
      <c r="J377" t="str">
        <f>IFERROR(INDEX(tProdutos[Classe],MATCH(tItens[[#This Row],[Produto]],tProdutos[Produto],0)),"produto não cadastrado")</f>
        <v>DISPUTADO</v>
      </c>
      <c r="K377" s="12">
        <f>tItens[[#This Row],[Qtd]]*tItens[[#This Row],[Vlr unit]]</f>
        <v>1715</v>
      </c>
      <c r="L377" s="6">
        <f>IFERROR(IF(INDEX(tProdutos[Desconto homologado],MATCH(tItens[[#This Row],[Produto]],tProdutos[Produto],0))="",DescontoPadrao,INDEX(tProdutos[Desconto homologado],MATCH(tItens[[#This Row],[Produto]],tProdutos[Produto],0))),DescontoPadrao)</f>
        <v>0.40909090909090901</v>
      </c>
      <c r="M377" s="12">
        <f>tItens[[#This Row],[Valor]]*(1-tItens[[#This Row],[Desconto]])</f>
        <v>1013.4090909090911</v>
      </c>
      <c r="N377" t="str">
        <f>IFERROR(INDEX(tProdutos[Foco],MATCH(tItens[[#This Row],[Produto]],tProdutos[Produto],0)),"Não")</f>
        <v>Não</v>
      </c>
      <c r="O377" t="str">
        <f>IFERROR(INDEX(tEditais[SRP],MATCH(tItens[[#This Row],[Edital]],tEditais[Edital],0)),"Não")</f>
        <v>Sim</v>
      </c>
      <c r="P377" s="4">
        <f>IF(COUNTIFS(INDEX(tItens[Edital],1):tItens[[#This Row],[Edital]],tItens[[#This Row],[Edital]],INDEX(tItens[Produto],1):tItens[[#This Row],[Produto]],tItens[[#This Row],[Produto]])=1,1,0)</f>
        <v>0</v>
      </c>
    </row>
    <row r="378" spans="1:16" x14ac:dyDescent="0.25">
      <c r="A378" t="s">
        <v>815</v>
      </c>
      <c r="B378">
        <v>8041620</v>
      </c>
      <c r="C378" t="s">
        <v>3599</v>
      </c>
      <c r="D378" t="s">
        <v>120</v>
      </c>
      <c r="E378" s="13">
        <v>5450</v>
      </c>
      <c r="F378" s="12">
        <v>0.76</v>
      </c>
      <c r="G378" t="str">
        <f>IFERROR(INDEX(tEditais[Órgão],MATCH(tItens[[#This Row],[Edital]],tEditais[Edital],0)),"")</f>
        <v>MUNICIPIO DE BREJOES</v>
      </c>
      <c r="H378" t="str">
        <f>IFERROR(INDEX(tEditais[UF],MATCH(tItens[[#This Row],[Edital]],tEditais[Edital],0)),"")</f>
        <v>BA</v>
      </c>
      <c r="I378" s="11">
        <f>IFERROR(INDEX(tEditais[Encerramento],MATCH(tItens[[#This Row],[Edital]],tEditais[Edital],0)),"")</f>
        <v>46304.416666666664</v>
      </c>
      <c r="J378" t="str">
        <f>IFERROR(INDEX(tProdutos[Classe],MATCH(tItens[[#This Row],[Produto]],tProdutos[Produto],0)),"produto não cadastrado")</f>
        <v>DISPUTADO</v>
      </c>
      <c r="K378" s="12">
        <f>tItens[[#This Row],[Qtd]]*tItens[[#This Row],[Vlr unit]]</f>
        <v>4142</v>
      </c>
      <c r="L378" s="6">
        <f>IFERROR(IF(INDEX(tProdutos[Desconto homologado],MATCH(tItens[[#This Row],[Produto]],tProdutos[Produto],0))="",DescontoPadrao,INDEX(tProdutos[Desconto homologado],MATCH(tItens[[#This Row],[Produto]],tProdutos[Produto],0))),DescontoPadrao)</f>
        <v>0.40909090909090901</v>
      </c>
      <c r="M378" s="12">
        <f>tItens[[#This Row],[Valor]]*(1-tItens[[#This Row],[Desconto]])</f>
        <v>2447.545454545455</v>
      </c>
      <c r="N378" t="str">
        <f>IFERROR(INDEX(tProdutos[Foco],MATCH(tItens[[#This Row],[Produto]],tProdutos[Produto],0)),"Não")</f>
        <v>Não</v>
      </c>
      <c r="O378" t="str">
        <f>IFERROR(INDEX(tEditais[SRP],MATCH(tItens[[#This Row],[Edital]],tEditais[Edital],0)),"Não")</f>
        <v>Sim</v>
      </c>
      <c r="P378" s="4">
        <f>IF(COUNTIFS(INDEX(tItens[Edital],1):tItens[[#This Row],[Edital]],tItens[[#This Row],[Edital]],INDEX(tItens[Produto],1):tItens[[#This Row],[Produto]],tItens[[#This Row],[Produto]])=1,1,0)</f>
        <v>0</v>
      </c>
    </row>
    <row r="379" spans="1:16" x14ac:dyDescent="0.25">
      <c r="A379" t="s">
        <v>815</v>
      </c>
      <c r="B379">
        <v>8041621</v>
      </c>
      <c r="C379" t="s">
        <v>3600</v>
      </c>
      <c r="D379" t="s">
        <v>120</v>
      </c>
      <c r="E379" s="13">
        <v>8450</v>
      </c>
      <c r="F379" s="12">
        <v>0.71</v>
      </c>
      <c r="G379" t="str">
        <f>IFERROR(INDEX(tEditais[Órgão],MATCH(tItens[[#This Row],[Edital]],tEditais[Edital],0)),"")</f>
        <v>MUNICIPIO DE BREJOES</v>
      </c>
      <c r="H379" t="str">
        <f>IFERROR(INDEX(tEditais[UF],MATCH(tItens[[#This Row],[Edital]],tEditais[Edital],0)),"")</f>
        <v>BA</v>
      </c>
      <c r="I379" s="11">
        <f>IFERROR(INDEX(tEditais[Encerramento],MATCH(tItens[[#This Row],[Edital]],tEditais[Edital],0)),"")</f>
        <v>46304.416666666664</v>
      </c>
      <c r="J379" t="str">
        <f>IFERROR(INDEX(tProdutos[Classe],MATCH(tItens[[#This Row],[Produto]],tProdutos[Produto],0)),"produto não cadastrado")</f>
        <v>DISPUTADO</v>
      </c>
      <c r="K379" s="12">
        <f>tItens[[#This Row],[Qtd]]*tItens[[#This Row],[Vlr unit]]</f>
        <v>5999.5</v>
      </c>
      <c r="L379" s="6">
        <f>IFERROR(IF(INDEX(tProdutos[Desconto homologado],MATCH(tItens[[#This Row],[Produto]],tProdutos[Produto],0))="",DescontoPadrao,INDEX(tProdutos[Desconto homologado],MATCH(tItens[[#This Row],[Produto]],tProdutos[Produto],0))),DescontoPadrao)</f>
        <v>0.40909090909090901</v>
      </c>
      <c r="M379" s="12">
        <f>tItens[[#This Row],[Valor]]*(1-tItens[[#This Row],[Desconto]])</f>
        <v>3545.1590909090919</v>
      </c>
      <c r="N379" t="str">
        <f>IFERROR(INDEX(tProdutos[Foco],MATCH(tItens[[#This Row],[Produto]],tProdutos[Produto],0)),"Não")</f>
        <v>Não</v>
      </c>
      <c r="O379" t="str">
        <f>IFERROR(INDEX(tEditais[SRP],MATCH(tItens[[#This Row],[Edital]],tEditais[Edital],0)),"Não")</f>
        <v>Sim</v>
      </c>
      <c r="P379" s="4">
        <f>IF(COUNTIFS(INDEX(tItens[Edital],1):tItens[[#This Row],[Edital]],tItens[[#This Row],[Edital]],INDEX(tItens[Produto],1):tItens[[#This Row],[Produto]],tItens[[#This Row],[Produto]])=1,1,0)</f>
        <v>0</v>
      </c>
    </row>
    <row r="380" spans="1:16" x14ac:dyDescent="0.25">
      <c r="A380" t="s">
        <v>815</v>
      </c>
      <c r="B380">
        <v>8041622</v>
      </c>
      <c r="C380" t="s">
        <v>3601</v>
      </c>
      <c r="D380" t="s">
        <v>120</v>
      </c>
      <c r="E380" s="13">
        <v>5000</v>
      </c>
      <c r="F380" s="12">
        <v>0.7</v>
      </c>
      <c r="G380" t="str">
        <f>IFERROR(INDEX(tEditais[Órgão],MATCH(tItens[[#This Row],[Edital]],tEditais[Edital],0)),"")</f>
        <v>MUNICIPIO DE BREJOES</v>
      </c>
      <c r="H380" t="str">
        <f>IFERROR(INDEX(tEditais[UF],MATCH(tItens[[#This Row],[Edital]],tEditais[Edital],0)),"")</f>
        <v>BA</v>
      </c>
      <c r="I380" s="11">
        <f>IFERROR(INDEX(tEditais[Encerramento],MATCH(tItens[[#This Row],[Edital]],tEditais[Edital],0)),"")</f>
        <v>46304.416666666664</v>
      </c>
      <c r="J380" t="str">
        <f>IFERROR(INDEX(tProdutos[Classe],MATCH(tItens[[#This Row],[Produto]],tProdutos[Produto],0)),"produto não cadastrado")</f>
        <v>DISPUTADO</v>
      </c>
      <c r="K380" s="12">
        <f>tItens[[#This Row],[Qtd]]*tItens[[#This Row],[Vlr unit]]</f>
        <v>3500</v>
      </c>
      <c r="L380" s="6">
        <f>IFERROR(IF(INDEX(tProdutos[Desconto homologado],MATCH(tItens[[#This Row],[Produto]],tProdutos[Produto],0))="",DescontoPadrao,INDEX(tProdutos[Desconto homologado],MATCH(tItens[[#This Row],[Produto]],tProdutos[Produto],0))),DescontoPadrao)</f>
        <v>0.40909090909090901</v>
      </c>
      <c r="M380" s="12">
        <f>tItens[[#This Row],[Valor]]*(1-tItens[[#This Row],[Desconto]])</f>
        <v>2068.1818181818185</v>
      </c>
      <c r="N380" t="str">
        <f>IFERROR(INDEX(tProdutos[Foco],MATCH(tItens[[#This Row],[Produto]],tProdutos[Produto],0)),"Não")</f>
        <v>Não</v>
      </c>
      <c r="O380" t="str">
        <f>IFERROR(INDEX(tEditais[SRP],MATCH(tItens[[#This Row],[Edital]],tEditais[Edital],0)),"Não")</f>
        <v>Sim</v>
      </c>
      <c r="P380" s="4">
        <f>IF(COUNTIFS(INDEX(tItens[Edital],1):tItens[[#This Row],[Edital]],tItens[[#This Row],[Edital]],INDEX(tItens[Produto],1):tItens[[#This Row],[Produto]],tItens[[#This Row],[Produto]])=1,1,0)</f>
        <v>0</v>
      </c>
    </row>
    <row r="381" spans="1:16" x14ac:dyDescent="0.25">
      <c r="A381" t="s">
        <v>815</v>
      </c>
      <c r="B381">
        <v>8041623</v>
      </c>
      <c r="C381" t="s">
        <v>3602</v>
      </c>
      <c r="D381" t="s">
        <v>120</v>
      </c>
      <c r="E381" s="13">
        <v>450</v>
      </c>
      <c r="F381" s="12">
        <v>0.74</v>
      </c>
      <c r="G381" t="str">
        <f>IFERROR(INDEX(tEditais[Órgão],MATCH(tItens[[#This Row],[Edital]],tEditais[Edital],0)),"")</f>
        <v>MUNICIPIO DE BREJOES</v>
      </c>
      <c r="H381" t="str">
        <f>IFERROR(INDEX(tEditais[UF],MATCH(tItens[[#This Row],[Edital]],tEditais[Edital],0)),"")</f>
        <v>BA</v>
      </c>
      <c r="I381" s="11">
        <f>IFERROR(INDEX(tEditais[Encerramento],MATCH(tItens[[#This Row],[Edital]],tEditais[Edital],0)),"")</f>
        <v>46304.416666666664</v>
      </c>
      <c r="J381" t="str">
        <f>IFERROR(INDEX(tProdutos[Classe],MATCH(tItens[[#This Row],[Produto]],tProdutos[Produto],0)),"produto não cadastrado")</f>
        <v>DISPUTADO</v>
      </c>
      <c r="K381" s="12">
        <f>tItens[[#This Row],[Qtd]]*tItens[[#This Row],[Vlr unit]]</f>
        <v>333</v>
      </c>
      <c r="L381" s="6">
        <f>IFERROR(IF(INDEX(tProdutos[Desconto homologado],MATCH(tItens[[#This Row],[Produto]],tProdutos[Produto],0))="",DescontoPadrao,INDEX(tProdutos[Desconto homologado],MATCH(tItens[[#This Row],[Produto]],tProdutos[Produto],0))),DescontoPadrao)</f>
        <v>0.40909090909090901</v>
      </c>
      <c r="M381" s="12">
        <f>tItens[[#This Row],[Valor]]*(1-tItens[[#This Row],[Desconto]])</f>
        <v>196.77272727272731</v>
      </c>
      <c r="N381" t="str">
        <f>IFERROR(INDEX(tProdutos[Foco],MATCH(tItens[[#This Row],[Produto]],tProdutos[Produto],0)),"Não")</f>
        <v>Não</v>
      </c>
      <c r="O381" t="str">
        <f>IFERROR(INDEX(tEditais[SRP],MATCH(tItens[[#This Row],[Edital]],tEditais[Edital],0)),"Não")</f>
        <v>Sim</v>
      </c>
      <c r="P381" s="4">
        <f>IF(COUNTIFS(INDEX(tItens[Edital],1):tItens[[#This Row],[Edital]],tItens[[#This Row],[Edital]],INDEX(tItens[Produto],1):tItens[[#This Row],[Produto]],tItens[[#This Row],[Produto]])=1,1,0)</f>
        <v>0</v>
      </c>
    </row>
    <row r="382" spans="1:16" x14ac:dyDescent="0.25">
      <c r="A382" t="s">
        <v>815</v>
      </c>
      <c r="B382">
        <v>8041624</v>
      </c>
      <c r="C382" t="s">
        <v>3603</v>
      </c>
      <c r="D382" t="s">
        <v>120</v>
      </c>
      <c r="E382" s="13">
        <v>450</v>
      </c>
      <c r="F382" s="12">
        <v>0.71</v>
      </c>
      <c r="G382" t="str">
        <f>IFERROR(INDEX(tEditais[Órgão],MATCH(tItens[[#This Row],[Edital]],tEditais[Edital],0)),"")</f>
        <v>MUNICIPIO DE BREJOES</v>
      </c>
      <c r="H382" t="str">
        <f>IFERROR(INDEX(tEditais[UF],MATCH(tItens[[#This Row],[Edital]],tEditais[Edital],0)),"")</f>
        <v>BA</v>
      </c>
      <c r="I382" s="11">
        <f>IFERROR(INDEX(tEditais[Encerramento],MATCH(tItens[[#This Row],[Edital]],tEditais[Edital],0)),"")</f>
        <v>46304.416666666664</v>
      </c>
      <c r="J382" t="str">
        <f>IFERROR(INDEX(tProdutos[Classe],MATCH(tItens[[#This Row],[Produto]],tProdutos[Produto],0)),"produto não cadastrado")</f>
        <v>DISPUTADO</v>
      </c>
      <c r="K382" s="12">
        <f>tItens[[#This Row],[Qtd]]*tItens[[#This Row],[Vlr unit]]</f>
        <v>319.5</v>
      </c>
      <c r="L382" s="6">
        <f>IFERROR(IF(INDEX(tProdutos[Desconto homologado],MATCH(tItens[[#This Row],[Produto]],tProdutos[Produto],0))="",DescontoPadrao,INDEX(tProdutos[Desconto homologado],MATCH(tItens[[#This Row],[Produto]],tProdutos[Produto],0))),DescontoPadrao)</f>
        <v>0.40909090909090901</v>
      </c>
      <c r="M382" s="12">
        <f>tItens[[#This Row],[Valor]]*(1-tItens[[#This Row],[Desconto]])</f>
        <v>188.79545454545459</v>
      </c>
      <c r="N382" t="str">
        <f>IFERROR(INDEX(tProdutos[Foco],MATCH(tItens[[#This Row],[Produto]],tProdutos[Produto],0)),"Não")</f>
        <v>Não</v>
      </c>
      <c r="O382" t="str">
        <f>IFERROR(INDEX(tEditais[SRP],MATCH(tItens[[#This Row],[Edital]],tEditais[Edital],0)),"Não")</f>
        <v>Sim</v>
      </c>
      <c r="P382" s="4">
        <f>IF(COUNTIFS(INDEX(tItens[Edital],1):tItens[[#This Row],[Edital]],tItens[[#This Row],[Edital]],INDEX(tItens[Produto],1):tItens[[#This Row],[Produto]],tItens[[#This Row],[Produto]])=1,1,0)</f>
        <v>0</v>
      </c>
    </row>
    <row r="383" spans="1:16" x14ac:dyDescent="0.25">
      <c r="A383" t="s">
        <v>815</v>
      </c>
      <c r="B383">
        <v>8041625</v>
      </c>
      <c r="C383" t="s">
        <v>3604</v>
      </c>
      <c r="D383" t="s">
        <v>120</v>
      </c>
      <c r="E383" s="13">
        <v>450</v>
      </c>
      <c r="F383" s="12">
        <v>0.88</v>
      </c>
      <c r="G383" t="str">
        <f>IFERROR(INDEX(tEditais[Órgão],MATCH(tItens[[#This Row],[Edital]],tEditais[Edital],0)),"")</f>
        <v>MUNICIPIO DE BREJOES</v>
      </c>
      <c r="H383" t="str">
        <f>IFERROR(INDEX(tEditais[UF],MATCH(tItens[[#This Row],[Edital]],tEditais[Edital],0)),"")</f>
        <v>BA</v>
      </c>
      <c r="I383" s="11">
        <f>IFERROR(INDEX(tEditais[Encerramento],MATCH(tItens[[#This Row],[Edital]],tEditais[Edital],0)),"")</f>
        <v>46304.416666666664</v>
      </c>
      <c r="J383" t="str">
        <f>IFERROR(INDEX(tProdutos[Classe],MATCH(tItens[[#This Row],[Produto]],tProdutos[Produto],0)),"produto não cadastrado")</f>
        <v>DISPUTADO</v>
      </c>
      <c r="K383" s="12">
        <f>tItens[[#This Row],[Qtd]]*tItens[[#This Row],[Vlr unit]]</f>
        <v>396</v>
      </c>
      <c r="L383" s="6">
        <f>IFERROR(IF(INDEX(tProdutos[Desconto homologado],MATCH(tItens[[#This Row],[Produto]],tProdutos[Produto],0))="",DescontoPadrao,INDEX(tProdutos[Desconto homologado],MATCH(tItens[[#This Row],[Produto]],tProdutos[Produto],0))),DescontoPadrao)</f>
        <v>0.40909090909090901</v>
      </c>
      <c r="M383" s="12">
        <f>tItens[[#This Row],[Valor]]*(1-tItens[[#This Row],[Desconto]])</f>
        <v>234.00000000000006</v>
      </c>
      <c r="N383" t="str">
        <f>IFERROR(INDEX(tProdutos[Foco],MATCH(tItens[[#This Row],[Produto]],tProdutos[Produto],0)),"Não")</f>
        <v>Não</v>
      </c>
      <c r="O383" t="str">
        <f>IFERROR(INDEX(tEditais[SRP],MATCH(tItens[[#This Row],[Edital]],tEditais[Edital],0)),"Não")</f>
        <v>Sim</v>
      </c>
      <c r="P383" s="4">
        <f>IF(COUNTIFS(INDEX(tItens[Edital],1):tItens[[#This Row],[Edital]],tItens[[#This Row],[Edital]],INDEX(tItens[Produto],1):tItens[[#This Row],[Produto]],tItens[[#This Row],[Produto]])=1,1,0)</f>
        <v>0</v>
      </c>
    </row>
    <row r="384" spans="1:16" x14ac:dyDescent="0.25">
      <c r="A384" t="s">
        <v>815</v>
      </c>
      <c r="B384">
        <v>8041626</v>
      </c>
      <c r="C384" t="s">
        <v>3605</v>
      </c>
      <c r="D384" t="s">
        <v>120</v>
      </c>
      <c r="E384" s="13">
        <v>450</v>
      </c>
      <c r="F384" s="12">
        <v>0.85</v>
      </c>
      <c r="G384" t="str">
        <f>IFERROR(INDEX(tEditais[Órgão],MATCH(tItens[[#This Row],[Edital]],tEditais[Edital],0)),"")</f>
        <v>MUNICIPIO DE BREJOES</v>
      </c>
      <c r="H384" t="str">
        <f>IFERROR(INDEX(tEditais[UF],MATCH(tItens[[#This Row],[Edital]],tEditais[Edital],0)),"")</f>
        <v>BA</v>
      </c>
      <c r="I384" s="11">
        <f>IFERROR(INDEX(tEditais[Encerramento],MATCH(tItens[[#This Row],[Edital]],tEditais[Edital],0)),"")</f>
        <v>46304.416666666664</v>
      </c>
      <c r="J384" t="str">
        <f>IFERROR(INDEX(tProdutos[Classe],MATCH(tItens[[#This Row],[Produto]],tProdutos[Produto],0)),"produto não cadastrado")</f>
        <v>DISPUTADO</v>
      </c>
      <c r="K384" s="12">
        <f>tItens[[#This Row],[Qtd]]*tItens[[#This Row],[Vlr unit]]</f>
        <v>382.5</v>
      </c>
      <c r="L384" s="6">
        <f>IFERROR(IF(INDEX(tProdutos[Desconto homologado],MATCH(tItens[[#This Row],[Produto]],tProdutos[Produto],0))="",DescontoPadrao,INDEX(tProdutos[Desconto homologado],MATCH(tItens[[#This Row],[Produto]],tProdutos[Produto],0))),DescontoPadrao)</f>
        <v>0.40909090909090901</v>
      </c>
      <c r="M384" s="12">
        <f>tItens[[#This Row],[Valor]]*(1-tItens[[#This Row],[Desconto]])</f>
        <v>226.02272727272734</v>
      </c>
      <c r="N384" t="str">
        <f>IFERROR(INDEX(tProdutos[Foco],MATCH(tItens[[#This Row],[Produto]],tProdutos[Produto],0)),"Não")</f>
        <v>Não</v>
      </c>
      <c r="O384" t="str">
        <f>IFERROR(INDEX(tEditais[SRP],MATCH(tItens[[#This Row],[Edital]],tEditais[Edital],0)),"Não")</f>
        <v>Sim</v>
      </c>
      <c r="P384" s="4">
        <f>IF(COUNTIFS(INDEX(tItens[Edital],1):tItens[[#This Row],[Edital]],tItens[[#This Row],[Edital]],INDEX(tItens[Produto],1):tItens[[#This Row],[Produto]],tItens[[#This Row],[Produto]])=1,1,0)</f>
        <v>0</v>
      </c>
    </row>
    <row r="385" spans="1:16" x14ac:dyDescent="0.25">
      <c r="A385" t="s">
        <v>815</v>
      </c>
      <c r="B385">
        <v>8041634</v>
      </c>
      <c r="C385" t="s">
        <v>3606</v>
      </c>
      <c r="D385" t="s">
        <v>170</v>
      </c>
      <c r="E385" s="13">
        <v>100</v>
      </c>
      <c r="F385" s="12">
        <v>75.13</v>
      </c>
      <c r="G385" t="str">
        <f>IFERROR(INDEX(tEditais[Órgão],MATCH(tItens[[#This Row],[Edital]],tEditais[Edital],0)),"")</f>
        <v>MUNICIPIO DE BREJOES</v>
      </c>
      <c r="H385" t="str">
        <f>IFERROR(INDEX(tEditais[UF],MATCH(tItens[[#This Row],[Edital]],tEditais[Edital],0)),"")</f>
        <v>BA</v>
      </c>
      <c r="I385" s="11">
        <f>IFERROR(INDEX(tEditais[Encerramento],MATCH(tItens[[#This Row],[Edital]],tEditais[Edital],0)),"")</f>
        <v>46304.416666666664</v>
      </c>
      <c r="J385" t="str">
        <f>IFERROR(INDEX(tProdutos[Classe],MATCH(tItens[[#This Row],[Produto]],tProdutos[Produto],0)),"produto não cadastrado")</f>
        <v>DISPUTADO</v>
      </c>
      <c r="K385" s="12">
        <f>tItens[[#This Row],[Qtd]]*tItens[[#This Row],[Vlr unit]]</f>
        <v>7513</v>
      </c>
      <c r="L385" s="6">
        <f>IFERROR(IF(INDEX(tProdutos[Desconto homologado],MATCH(tItens[[#This Row],[Produto]],tProdutos[Produto],0))="",DescontoPadrao,INDEX(tProdutos[Desconto homologado],MATCH(tItens[[#This Row],[Produto]],tProdutos[Produto],0))),DescontoPadrao)</f>
        <v>0.36</v>
      </c>
      <c r="M385" s="12">
        <f>tItens[[#This Row],[Valor]]*(1-tItens[[#This Row],[Desconto]])</f>
        <v>4808.32</v>
      </c>
      <c r="N385" t="str">
        <f>IFERROR(INDEX(tProdutos[Foco],MATCH(tItens[[#This Row],[Produto]],tProdutos[Produto],0)),"Não")</f>
        <v>Sim</v>
      </c>
      <c r="O385" t="str">
        <f>IFERROR(INDEX(tEditais[SRP],MATCH(tItens[[#This Row],[Edital]],tEditais[Edital],0)),"Não")</f>
        <v>Sim</v>
      </c>
      <c r="P385" s="4">
        <f>IF(COUNTIFS(INDEX(tItens[Edital],1):tItens[[#This Row],[Edital]],tItens[[#This Row],[Edital]],INDEX(tItens[Produto],1):tItens[[#This Row],[Produto]],tItens[[#This Row],[Produto]])=1,1,0)</f>
        <v>1</v>
      </c>
    </row>
    <row r="386" spans="1:16" x14ac:dyDescent="0.25">
      <c r="A386" t="s">
        <v>815</v>
      </c>
      <c r="B386">
        <v>8041635</v>
      </c>
      <c r="C386" t="s">
        <v>3607</v>
      </c>
      <c r="D386" t="s">
        <v>170</v>
      </c>
      <c r="E386" s="13">
        <v>100</v>
      </c>
      <c r="F386" s="12">
        <v>66.819999999999993</v>
      </c>
      <c r="G386" t="str">
        <f>IFERROR(INDEX(tEditais[Órgão],MATCH(tItens[[#This Row],[Edital]],tEditais[Edital],0)),"")</f>
        <v>MUNICIPIO DE BREJOES</v>
      </c>
      <c r="H386" t="str">
        <f>IFERROR(INDEX(tEditais[UF],MATCH(tItens[[#This Row],[Edital]],tEditais[Edital],0)),"")</f>
        <v>BA</v>
      </c>
      <c r="I386" s="11">
        <f>IFERROR(INDEX(tEditais[Encerramento],MATCH(tItens[[#This Row],[Edital]],tEditais[Edital],0)),"")</f>
        <v>46304.416666666664</v>
      </c>
      <c r="J386" t="str">
        <f>IFERROR(INDEX(tProdutos[Classe],MATCH(tItens[[#This Row],[Produto]],tProdutos[Produto],0)),"produto não cadastrado")</f>
        <v>DISPUTADO</v>
      </c>
      <c r="K386" s="12">
        <f>tItens[[#This Row],[Qtd]]*tItens[[#This Row],[Vlr unit]]</f>
        <v>6681.9999999999991</v>
      </c>
      <c r="L386" s="6">
        <f>IFERROR(IF(INDEX(tProdutos[Desconto homologado],MATCH(tItens[[#This Row],[Produto]],tProdutos[Produto],0))="",DescontoPadrao,INDEX(tProdutos[Desconto homologado],MATCH(tItens[[#This Row],[Produto]],tProdutos[Produto],0))),DescontoPadrao)</f>
        <v>0.36</v>
      </c>
      <c r="M386" s="12">
        <f>tItens[[#This Row],[Valor]]*(1-tItens[[#This Row],[Desconto]])</f>
        <v>4276.4799999999996</v>
      </c>
      <c r="N386" t="str">
        <f>IFERROR(INDEX(tProdutos[Foco],MATCH(tItens[[#This Row],[Produto]],tProdutos[Produto],0)),"Não")</f>
        <v>Sim</v>
      </c>
      <c r="O386" t="str">
        <f>IFERROR(INDEX(tEditais[SRP],MATCH(tItens[[#This Row],[Edital]],tEditais[Edital],0)),"Não")</f>
        <v>Sim</v>
      </c>
      <c r="P386" s="4">
        <f>IF(COUNTIFS(INDEX(tItens[Edital],1):tItens[[#This Row],[Edital]],tItens[[#This Row],[Edital]],INDEX(tItens[Produto],1):tItens[[#This Row],[Produto]],tItens[[#This Row],[Produto]])=1,1,0)</f>
        <v>0</v>
      </c>
    </row>
    <row r="387" spans="1:16" x14ac:dyDescent="0.25">
      <c r="A387" t="s">
        <v>815</v>
      </c>
      <c r="B387">
        <v>8041636</v>
      </c>
      <c r="C387" t="s">
        <v>3608</v>
      </c>
      <c r="D387" t="s">
        <v>170</v>
      </c>
      <c r="E387" s="13">
        <v>100</v>
      </c>
      <c r="F387" s="12">
        <v>64.75</v>
      </c>
      <c r="G387" t="str">
        <f>IFERROR(INDEX(tEditais[Órgão],MATCH(tItens[[#This Row],[Edital]],tEditais[Edital],0)),"")</f>
        <v>MUNICIPIO DE BREJOES</v>
      </c>
      <c r="H387" t="str">
        <f>IFERROR(INDEX(tEditais[UF],MATCH(tItens[[#This Row],[Edital]],tEditais[Edital],0)),"")</f>
        <v>BA</v>
      </c>
      <c r="I387" s="11">
        <f>IFERROR(INDEX(tEditais[Encerramento],MATCH(tItens[[#This Row],[Edital]],tEditais[Edital],0)),"")</f>
        <v>46304.416666666664</v>
      </c>
      <c r="J387" t="str">
        <f>IFERROR(INDEX(tProdutos[Classe],MATCH(tItens[[#This Row],[Produto]],tProdutos[Produto],0)),"produto não cadastrado")</f>
        <v>DISPUTADO</v>
      </c>
      <c r="K387" s="12">
        <f>tItens[[#This Row],[Qtd]]*tItens[[#This Row],[Vlr unit]]</f>
        <v>6475</v>
      </c>
      <c r="L387" s="6">
        <f>IFERROR(IF(INDEX(tProdutos[Desconto homologado],MATCH(tItens[[#This Row],[Produto]],tProdutos[Produto],0))="",DescontoPadrao,INDEX(tProdutos[Desconto homologado],MATCH(tItens[[#This Row],[Produto]],tProdutos[Produto],0))),DescontoPadrao)</f>
        <v>0.36</v>
      </c>
      <c r="M387" s="12">
        <f>tItens[[#This Row],[Valor]]*(1-tItens[[#This Row],[Desconto]])</f>
        <v>4144</v>
      </c>
      <c r="N387" t="str">
        <f>IFERROR(INDEX(tProdutos[Foco],MATCH(tItens[[#This Row],[Produto]],tProdutos[Produto],0)),"Não")</f>
        <v>Sim</v>
      </c>
      <c r="O387" t="str">
        <f>IFERROR(INDEX(tEditais[SRP],MATCH(tItens[[#This Row],[Edital]],tEditais[Edital],0)),"Não")</f>
        <v>Sim</v>
      </c>
      <c r="P387" s="4">
        <f>IF(COUNTIFS(INDEX(tItens[Edital],1):tItens[[#This Row],[Edital]],tItens[[#This Row],[Edital]],INDEX(tItens[Produto],1):tItens[[#This Row],[Produto]],tItens[[#This Row],[Produto]])=1,1,0)</f>
        <v>0</v>
      </c>
    </row>
    <row r="388" spans="1:16" x14ac:dyDescent="0.25">
      <c r="A388" t="s">
        <v>815</v>
      </c>
      <c r="B388">
        <v>8041637</v>
      </c>
      <c r="C388" t="s">
        <v>3609</v>
      </c>
      <c r="D388" t="s">
        <v>170</v>
      </c>
      <c r="E388" s="13">
        <v>100</v>
      </c>
      <c r="F388" s="12">
        <v>75.010000000000005</v>
      </c>
      <c r="G388" t="str">
        <f>IFERROR(INDEX(tEditais[Órgão],MATCH(tItens[[#This Row],[Edital]],tEditais[Edital],0)),"")</f>
        <v>MUNICIPIO DE BREJOES</v>
      </c>
      <c r="H388" t="str">
        <f>IFERROR(INDEX(tEditais[UF],MATCH(tItens[[#This Row],[Edital]],tEditais[Edital],0)),"")</f>
        <v>BA</v>
      </c>
      <c r="I388" s="11">
        <f>IFERROR(INDEX(tEditais[Encerramento],MATCH(tItens[[#This Row],[Edital]],tEditais[Edital],0)),"")</f>
        <v>46304.416666666664</v>
      </c>
      <c r="J388" t="str">
        <f>IFERROR(INDEX(tProdutos[Classe],MATCH(tItens[[#This Row],[Produto]],tProdutos[Produto],0)),"produto não cadastrado")</f>
        <v>DISPUTADO</v>
      </c>
      <c r="K388" s="12">
        <f>tItens[[#This Row],[Qtd]]*tItens[[#This Row],[Vlr unit]]</f>
        <v>7501.0000000000009</v>
      </c>
      <c r="L388" s="6">
        <f>IFERROR(IF(INDEX(tProdutos[Desconto homologado],MATCH(tItens[[#This Row],[Produto]],tProdutos[Produto],0))="",DescontoPadrao,INDEX(tProdutos[Desconto homologado],MATCH(tItens[[#This Row],[Produto]],tProdutos[Produto],0))),DescontoPadrao)</f>
        <v>0.36</v>
      </c>
      <c r="M388" s="12">
        <f>tItens[[#This Row],[Valor]]*(1-tItens[[#This Row],[Desconto]])</f>
        <v>4800.6400000000003</v>
      </c>
      <c r="N388" t="str">
        <f>IFERROR(INDEX(tProdutos[Foco],MATCH(tItens[[#This Row],[Produto]],tProdutos[Produto],0)),"Não")</f>
        <v>Sim</v>
      </c>
      <c r="O388" t="str">
        <f>IFERROR(INDEX(tEditais[SRP],MATCH(tItens[[#This Row],[Edital]],tEditais[Edital],0)),"Não")</f>
        <v>Sim</v>
      </c>
      <c r="P388" s="4">
        <f>IF(COUNTIFS(INDEX(tItens[Edital],1):tItens[[#This Row],[Edital]],tItens[[#This Row],[Edital]],INDEX(tItens[Produto],1):tItens[[#This Row],[Produto]],tItens[[#This Row],[Produto]])=1,1,0)</f>
        <v>0</v>
      </c>
    </row>
    <row r="389" spans="1:16" x14ac:dyDescent="0.25">
      <c r="A389" t="s">
        <v>815</v>
      </c>
      <c r="B389">
        <v>8041638</v>
      </c>
      <c r="C389" t="s">
        <v>3610</v>
      </c>
      <c r="D389" t="s">
        <v>170</v>
      </c>
      <c r="E389" s="13">
        <v>100</v>
      </c>
      <c r="F389" s="12">
        <v>70.56</v>
      </c>
      <c r="G389" t="str">
        <f>IFERROR(INDEX(tEditais[Órgão],MATCH(tItens[[#This Row],[Edital]],tEditais[Edital],0)),"")</f>
        <v>MUNICIPIO DE BREJOES</v>
      </c>
      <c r="H389" t="str">
        <f>IFERROR(INDEX(tEditais[UF],MATCH(tItens[[#This Row],[Edital]],tEditais[Edital],0)),"")</f>
        <v>BA</v>
      </c>
      <c r="I389" s="11">
        <f>IFERROR(INDEX(tEditais[Encerramento],MATCH(tItens[[#This Row],[Edital]],tEditais[Edital],0)),"")</f>
        <v>46304.416666666664</v>
      </c>
      <c r="J389" t="str">
        <f>IFERROR(INDEX(tProdutos[Classe],MATCH(tItens[[#This Row],[Produto]],tProdutos[Produto],0)),"produto não cadastrado")</f>
        <v>DISPUTADO</v>
      </c>
      <c r="K389" s="12">
        <f>tItens[[#This Row],[Qtd]]*tItens[[#This Row],[Vlr unit]]</f>
        <v>7056</v>
      </c>
      <c r="L389" s="6">
        <f>IFERROR(IF(INDEX(tProdutos[Desconto homologado],MATCH(tItens[[#This Row],[Produto]],tProdutos[Produto],0))="",DescontoPadrao,INDEX(tProdutos[Desconto homologado],MATCH(tItens[[#This Row],[Produto]],tProdutos[Produto],0))),DescontoPadrao)</f>
        <v>0.36</v>
      </c>
      <c r="M389" s="12">
        <f>tItens[[#This Row],[Valor]]*(1-tItens[[#This Row],[Desconto]])</f>
        <v>4515.84</v>
      </c>
      <c r="N389" t="str">
        <f>IFERROR(INDEX(tProdutos[Foco],MATCH(tItens[[#This Row],[Produto]],tProdutos[Produto],0)),"Não")</f>
        <v>Sim</v>
      </c>
      <c r="O389" t="str">
        <f>IFERROR(INDEX(tEditais[SRP],MATCH(tItens[[#This Row],[Edital]],tEditais[Edital],0)),"Não")</f>
        <v>Sim</v>
      </c>
      <c r="P389" s="4">
        <f>IF(COUNTIFS(INDEX(tItens[Edital],1):tItens[[#This Row],[Edital]],tItens[[#This Row],[Edital]],INDEX(tItens[Produto],1):tItens[[#This Row],[Produto]],tItens[[#This Row],[Produto]])=1,1,0)</f>
        <v>0</v>
      </c>
    </row>
    <row r="390" spans="1:16" x14ac:dyDescent="0.25">
      <c r="A390" t="s">
        <v>815</v>
      </c>
      <c r="B390">
        <v>8041641</v>
      </c>
      <c r="C390" t="s">
        <v>3611</v>
      </c>
      <c r="D390" t="s">
        <v>197</v>
      </c>
      <c r="E390" s="13">
        <v>45</v>
      </c>
      <c r="F390" s="12">
        <v>3.16</v>
      </c>
      <c r="G390" t="str">
        <f>IFERROR(INDEX(tEditais[Órgão],MATCH(tItens[[#This Row],[Edital]],tEditais[Edital],0)),"")</f>
        <v>MUNICIPIO DE BREJOES</v>
      </c>
      <c r="H390" t="str">
        <f>IFERROR(INDEX(tEditais[UF],MATCH(tItens[[#This Row],[Edital]],tEditais[Edital],0)),"")</f>
        <v>BA</v>
      </c>
      <c r="I390" s="11">
        <f>IFERROR(INDEX(tEditais[Encerramento],MATCH(tItens[[#This Row],[Edital]],tEditais[Edital],0)),"")</f>
        <v>46304.416666666664</v>
      </c>
      <c r="J390" t="str">
        <f>IFERROR(INDEX(tProdutos[Classe],MATCH(tItens[[#This Row],[Produto]],tProdutos[Produto],0)),"produto não cadastrado")</f>
        <v>FORA</v>
      </c>
      <c r="K390" s="12">
        <f>tItens[[#This Row],[Qtd]]*tItens[[#This Row],[Vlr unit]]</f>
        <v>142.20000000000002</v>
      </c>
      <c r="L390" s="6">
        <f>IFERROR(IF(INDEX(tProdutos[Desconto homologado],MATCH(tItens[[#This Row],[Produto]],tProdutos[Produto],0))="",DescontoPadrao,INDEX(tProdutos[Desconto homologado],MATCH(tItens[[#This Row],[Produto]],tProdutos[Produto],0))),DescontoPadrao)</f>
        <v>0.26394818195200997</v>
      </c>
      <c r="M390" s="12">
        <f>tItens[[#This Row],[Valor]]*(1-tItens[[#This Row],[Desconto]])</f>
        <v>104.6665685264242</v>
      </c>
      <c r="N390" t="str">
        <f>IFERROR(INDEX(tProdutos[Foco],MATCH(tItens[[#This Row],[Produto]],tProdutos[Produto],0)),"Não")</f>
        <v>Não</v>
      </c>
      <c r="O390" t="str">
        <f>IFERROR(INDEX(tEditais[SRP],MATCH(tItens[[#This Row],[Edital]],tEditais[Edital],0)),"Não")</f>
        <v>Sim</v>
      </c>
      <c r="P390" s="4">
        <f>IF(COUNTIFS(INDEX(tItens[Edital],1):tItens[[#This Row],[Edital]],tItens[[#This Row],[Edital]],INDEX(tItens[Produto],1):tItens[[#This Row],[Produto]],tItens[[#This Row],[Produto]])=1,1,0)</f>
        <v>1</v>
      </c>
    </row>
    <row r="391" spans="1:16" x14ac:dyDescent="0.25">
      <c r="A391" t="s">
        <v>815</v>
      </c>
      <c r="B391">
        <v>8041645</v>
      </c>
      <c r="C391" t="s">
        <v>3612</v>
      </c>
      <c r="D391" t="s">
        <v>176</v>
      </c>
      <c r="E391" s="13">
        <v>15</v>
      </c>
      <c r="F391" s="12">
        <v>107.59</v>
      </c>
      <c r="G391" t="str">
        <f>IFERROR(INDEX(tEditais[Órgão],MATCH(tItens[[#This Row],[Edital]],tEditais[Edital],0)),"")</f>
        <v>MUNICIPIO DE BREJOES</v>
      </c>
      <c r="H391" t="str">
        <f>IFERROR(INDEX(tEditais[UF],MATCH(tItens[[#This Row],[Edital]],tEditais[Edital],0)),"")</f>
        <v>BA</v>
      </c>
      <c r="I391" s="11">
        <f>IFERROR(INDEX(tEditais[Encerramento],MATCH(tItens[[#This Row],[Edital]],tEditais[Edital],0)),"")</f>
        <v>46304.416666666664</v>
      </c>
      <c r="J391" t="str">
        <f>IFERROR(INDEX(tProdutos[Classe],MATCH(tItens[[#This Row],[Produto]],tProdutos[Produto],0)),"produto não cadastrado")</f>
        <v>DISPUTADO</v>
      </c>
      <c r="K391" s="12">
        <f>tItens[[#This Row],[Qtd]]*tItens[[#This Row],[Vlr unit]]</f>
        <v>1613.8500000000001</v>
      </c>
      <c r="L391" s="6">
        <f>IFERROR(IF(INDEX(tProdutos[Desconto homologado],MATCH(tItens[[#This Row],[Produto]],tProdutos[Produto],0))="",DescontoPadrao,INDEX(tProdutos[Desconto homologado],MATCH(tItens[[#This Row],[Produto]],tProdutos[Produto],0))),DescontoPadrao)</f>
        <v>0.39921530161843999</v>
      </c>
      <c r="M391" s="12">
        <f>tItens[[#This Row],[Valor]]*(1-tItens[[#This Row],[Desconto]])</f>
        <v>969.57638548308068</v>
      </c>
      <c r="N391" t="str">
        <f>IFERROR(INDEX(tProdutos[Foco],MATCH(tItens[[#This Row],[Produto]],tProdutos[Produto],0)),"Não")</f>
        <v>Não</v>
      </c>
      <c r="O391" t="str">
        <f>IFERROR(INDEX(tEditais[SRP],MATCH(tItens[[#This Row],[Edital]],tEditais[Edital],0)),"Não")</f>
        <v>Sim</v>
      </c>
      <c r="P391" s="4">
        <f>IF(COUNTIFS(INDEX(tItens[Edital],1):tItens[[#This Row],[Edital]],tItens[[#This Row],[Edital]],INDEX(tItens[Produto],1):tItens[[#This Row],[Produto]],tItens[[#This Row],[Produto]])=1,1,0)</f>
        <v>1</v>
      </c>
    </row>
    <row r="392" spans="1:16" x14ac:dyDescent="0.25">
      <c r="A392" t="s">
        <v>815</v>
      </c>
      <c r="B392">
        <v>8041647</v>
      </c>
      <c r="C392" t="s">
        <v>3613</v>
      </c>
      <c r="D392" t="s">
        <v>176</v>
      </c>
      <c r="E392" s="13">
        <v>15</v>
      </c>
      <c r="F392" s="12">
        <v>258.31</v>
      </c>
      <c r="G392" t="str">
        <f>IFERROR(INDEX(tEditais[Órgão],MATCH(tItens[[#This Row],[Edital]],tEditais[Edital],0)),"")</f>
        <v>MUNICIPIO DE BREJOES</v>
      </c>
      <c r="H392" t="str">
        <f>IFERROR(INDEX(tEditais[UF],MATCH(tItens[[#This Row],[Edital]],tEditais[Edital],0)),"")</f>
        <v>BA</v>
      </c>
      <c r="I392" s="11">
        <f>IFERROR(INDEX(tEditais[Encerramento],MATCH(tItens[[#This Row],[Edital]],tEditais[Edital],0)),"")</f>
        <v>46304.416666666664</v>
      </c>
      <c r="J392" t="str">
        <f>IFERROR(INDEX(tProdutos[Classe],MATCH(tItens[[#This Row],[Produto]],tProdutos[Produto],0)),"produto não cadastrado")</f>
        <v>DISPUTADO</v>
      </c>
      <c r="K392" s="12">
        <f>tItens[[#This Row],[Qtd]]*tItens[[#This Row],[Vlr unit]]</f>
        <v>3874.65</v>
      </c>
      <c r="L392" s="6">
        <f>IFERROR(IF(INDEX(tProdutos[Desconto homologado],MATCH(tItens[[#This Row],[Produto]],tProdutos[Produto],0))="",DescontoPadrao,INDEX(tProdutos[Desconto homologado],MATCH(tItens[[#This Row],[Produto]],tProdutos[Produto],0))),DescontoPadrao)</f>
        <v>0.39921530161843999</v>
      </c>
      <c r="M392" s="12">
        <f>tItens[[#This Row],[Valor]]*(1-tItens[[#This Row],[Desconto]])</f>
        <v>2327.8304315841115</v>
      </c>
      <c r="N392" t="str">
        <f>IFERROR(INDEX(tProdutos[Foco],MATCH(tItens[[#This Row],[Produto]],tProdutos[Produto],0)),"Não")</f>
        <v>Não</v>
      </c>
      <c r="O392" t="str">
        <f>IFERROR(INDEX(tEditais[SRP],MATCH(tItens[[#This Row],[Edital]],tEditais[Edital],0)),"Não")</f>
        <v>Sim</v>
      </c>
      <c r="P392" s="4">
        <f>IF(COUNTIFS(INDEX(tItens[Edital],1):tItens[[#This Row],[Edital]],tItens[[#This Row],[Edital]],INDEX(tItens[Produto],1):tItens[[#This Row],[Produto]],tItens[[#This Row],[Produto]])=1,1,0)</f>
        <v>0</v>
      </c>
    </row>
    <row r="393" spans="1:16" x14ac:dyDescent="0.25">
      <c r="A393" t="s">
        <v>815</v>
      </c>
      <c r="B393">
        <v>8041648</v>
      </c>
      <c r="C393" t="s">
        <v>3614</v>
      </c>
      <c r="D393" t="s">
        <v>150</v>
      </c>
      <c r="E393" s="13">
        <v>15</v>
      </c>
      <c r="F393" s="12">
        <v>112.33</v>
      </c>
      <c r="G393" t="str">
        <f>IFERROR(INDEX(tEditais[Órgão],MATCH(tItens[[#This Row],[Edital]],tEditais[Edital],0)),"")</f>
        <v>MUNICIPIO DE BREJOES</v>
      </c>
      <c r="H393" t="str">
        <f>IFERROR(INDEX(tEditais[UF],MATCH(tItens[[#This Row],[Edital]],tEditais[Edital],0)),"")</f>
        <v>BA</v>
      </c>
      <c r="I393" s="11">
        <f>IFERROR(INDEX(tEditais[Encerramento],MATCH(tItens[[#This Row],[Edital]],tEditais[Edital],0)),"")</f>
        <v>46304.416666666664</v>
      </c>
      <c r="J393" t="str">
        <f>IFERROR(INDEX(tProdutos[Classe],MATCH(tItens[[#This Row],[Produto]],tProdutos[Produto],0)),"produto não cadastrado")</f>
        <v>DISPUTADO</v>
      </c>
      <c r="K393" s="12">
        <f>tItens[[#This Row],[Qtd]]*tItens[[#This Row],[Vlr unit]]</f>
        <v>1684.95</v>
      </c>
      <c r="L393" s="6">
        <f>IFERROR(IF(INDEX(tProdutos[Desconto homologado],MATCH(tItens[[#This Row],[Produto]],tProdutos[Produto],0))="",DescontoPadrao,INDEX(tProdutos[Desconto homologado],MATCH(tItens[[#This Row],[Produto]],tProdutos[Produto],0))),DescontoPadrao)</f>
        <v>0.24874026568941801</v>
      </c>
      <c r="M393" s="12">
        <f>tItens[[#This Row],[Valor]]*(1-tItens[[#This Row],[Desconto]])</f>
        <v>1265.8350893266152</v>
      </c>
      <c r="N393" t="str">
        <f>IFERROR(INDEX(tProdutos[Foco],MATCH(tItens[[#This Row],[Produto]],tProdutos[Produto],0)),"Não")</f>
        <v>Não</v>
      </c>
      <c r="O393" t="str">
        <f>IFERROR(INDEX(tEditais[SRP],MATCH(tItens[[#This Row],[Edital]],tEditais[Edital],0)),"Não")</f>
        <v>Sim</v>
      </c>
      <c r="P393" s="4">
        <f>IF(COUNTIFS(INDEX(tItens[Edital],1):tItens[[#This Row],[Edital]],tItens[[#This Row],[Edital]],INDEX(tItens[Produto],1):tItens[[#This Row],[Produto]],tItens[[#This Row],[Produto]])=1,1,0)</f>
        <v>1</v>
      </c>
    </row>
    <row r="394" spans="1:16" x14ac:dyDescent="0.25">
      <c r="A394" t="s">
        <v>815</v>
      </c>
      <c r="B394">
        <v>8041649</v>
      </c>
      <c r="C394" t="s">
        <v>3615</v>
      </c>
      <c r="D394" t="s">
        <v>150</v>
      </c>
      <c r="E394" s="13">
        <v>15</v>
      </c>
      <c r="F394" s="12">
        <v>114.82</v>
      </c>
      <c r="G394" t="str">
        <f>IFERROR(INDEX(tEditais[Órgão],MATCH(tItens[[#This Row],[Edital]],tEditais[Edital],0)),"")</f>
        <v>MUNICIPIO DE BREJOES</v>
      </c>
      <c r="H394" t="str">
        <f>IFERROR(INDEX(tEditais[UF],MATCH(tItens[[#This Row],[Edital]],tEditais[Edital],0)),"")</f>
        <v>BA</v>
      </c>
      <c r="I394" s="11">
        <f>IFERROR(INDEX(tEditais[Encerramento],MATCH(tItens[[#This Row],[Edital]],tEditais[Edital],0)),"")</f>
        <v>46304.416666666664</v>
      </c>
      <c r="J394" t="str">
        <f>IFERROR(INDEX(tProdutos[Classe],MATCH(tItens[[#This Row],[Produto]],tProdutos[Produto],0)),"produto não cadastrado")</f>
        <v>DISPUTADO</v>
      </c>
      <c r="K394" s="12">
        <f>tItens[[#This Row],[Qtd]]*tItens[[#This Row],[Vlr unit]]</f>
        <v>1722.3</v>
      </c>
      <c r="L394" s="6">
        <f>IFERROR(IF(INDEX(tProdutos[Desconto homologado],MATCH(tItens[[#This Row],[Produto]],tProdutos[Produto],0))="",DescontoPadrao,INDEX(tProdutos[Desconto homologado],MATCH(tItens[[#This Row],[Produto]],tProdutos[Produto],0))),DescontoPadrao)</f>
        <v>0.24874026568941801</v>
      </c>
      <c r="M394" s="12">
        <f>tItens[[#This Row],[Valor]]*(1-tItens[[#This Row],[Desconto]])</f>
        <v>1293.8946404031153</v>
      </c>
      <c r="N394" t="str">
        <f>IFERROR(INDEX(tProdutos[Foco],MATCH(tItens[[#This Row],[Produto]],tProdutos[Produto],0)),"Não")</f>
        <v>Não</v>
      </c>
      <c r="O394" t="str">
        <f>IFERROR(INDEX(tEditais[SRP],MATCH(tItens[[#This Row],[Edital]],tEditais[Edital],0)),"Não")</f>
        <v>Sim</v>
      </c>
      <c r="P394" s="4">
        <f>IF(COUNTIFS(INDEX(tItens[Edital],1):tItens[[#This Row],[Edital]],tItens[[#This Row],[Edital]],INDEX(tItens[Produto],1):tItens[[#This Row],[Produto]],tItens[[#This Row],[Produto]])=1,1,0)</f>
        <v>0</v>
      </c>
    </row>
    <row r="395" spans="1:16" x14ac:dyDescent="0.25">
      <c r="A395" t="s">
        <v>815</v>
      </c>
      <c r="B395">
        <v>8041651</v>
      </c>
      <c r="C395" t="s">
        <v>3616</v>
      </c>
      <c r="D395" t="s">
        <v>156</v>
      </c>
      <c r="E395" s="13">
        <v>300</v>
      </c>
      <c r="F395" s="12">
        <v>30.44</v>
      </c>
      <c r="G395" t="str">
        <f>IFERROR(INDEX(tEditais[Órgão],MATCH(tItens[[#This Row],[Edital]],tEditais[Edital],0)),"")</f>
        <v>MUNICIPIO DE BREJOES</v>
      </c>
      <c r="H395" t="str">
        <f>IFERROR(INDEX(tEditais[UF],MATCH(tItens[[#This Row],[Edital]],tEditais[Edital],0)),"")</f>
        <v>BA</v>
      </c>
      <c r="I395" s="11">
        <f>IFERROR(INDEX(tEditais[Encerramento],MATCH(tItens[[#This Row],[Edital]],tEditais[Edital],0)),"")</f>
        <v>46304.416666666664</v>
      </c>
      <c r="J395" t="str">
        <f>IFERROR(INDEX(tProdutos[Classe],MATCH(tItens[[#This Row],[Produto]],tProdutos[Produto],0)),"produto não cadastrado")</f>
        <v>DISPUTADO</v>
      </c>
      <c r="K395" s="12">
        <f>tItens[[#This Row],[Qtd]]*tItens[[#This Row],[Vlr unit]]</f>
        <v>9132</v>
      </c>
      <c r="L395" s="6">
        <f>IFERROR(IF(INDEX(tProdutos[Desconto homologado],MATCH(tItens[[#This Row],[Produto]],tProdutos[Produto],0))="",DescontoPadrao,INDEX(tProdutos[Desconto homologado],MATCH(tItens[[#This Row],[Produto]],tProdutos[Produto],0))),DescontoPadrao)</f>
        <v>0.27131852489802799</v>
      </c>
      <c r="M395" s="12">
        <f>tItens[[#This Row],[Valor]]*(1-tItens[[#This Row],[Desconto]])</f>
        <v>6654.3192306312085</v>
      </c>
      <c r="N395" t="str">
        <f>IFERROR(INDEX(tProdutos[Foco],MATCH(tItens[[#This Row],[Produto]],tProdutos[Produto],0)),"Não")</f>
        <v>Não</v>
      </c>
      <c r="O395" t="str">
        <f>IFERROR(INDEX(tEditais[SRP],MATCH(tItens[[#This Row],[Edital]],tEditais[Edital],0)),"Não")</f>
        <v>Sim</v>
      </c>
      <c r="P395" s="4">
        <f>IF(COUNTIFS(INDEX(tItens[Edital],1):tItens[[#This Row],[Edital]],tItens[[#This Row],[Edital]],INDEX(tItens[Produto],1):tItens[[#This Row],[Produto]],tItens[[#This Row],[Produto]])=1,1,0)</f>
        <v>1</v>
      </c>
    </row>
    <row r="396" spans="1:16" x14ac:dyDescent="0.25">
      <c r="A396" t="s">
        <v>815</v>
      </c>
      <c r="B396">
        <v>8041674</v>
      </c>
      <c r="C396" t="s">
        <v>3617</v>
      </c>
      <c r="D396" t="s">
        <v>144</v>
      </c>
      <c r="E396" s="13">
        <v>300</v>
      </c>
      <c r="F396" s="12">
        <v>33</v>
      </c>
      <c r="G396" t="str">
        <f>IFERROR(INDEX(tEditais[Órgão],MATCH(tItens[[#This Row],[Edital]],tEditais[Edital],0)),"")</f>
        <v>MUNICIPIO DE BREJOES</v>
      </c>
      <c r="H396" t="str">
        <f>IFERROR(INDEX(tEditais[UF],MATCH(tItens[[#This Row],[Edital]],tEditais[Edital],0)),"")</f>
        <v>BA</v>
      </c>
      <c r="I396" s="11">
        <f>IFERROR(INDEX(tEditais[Encerramento],MATCH(tItens[[#This Row],[Edital]],tEditais[Edital],0)),"")</f>
        <v>46304.416666666664</v>
      </c>
      <c r="J396" t="str">
        <f>IFERROR(INDEX(tProdutos[Classe],MATCH(tItens[[#This Row],[Produto]],tProdutos[Produto],0)),"produto não cadastrado")</f>
        <v>DISPUTADO</v>
      </c>
      <c r="K396" s="12">
        <f>tItens[[#This Row],[Qtd]]*tItens[[#This Row],[Vlr unit]]</f>
        <v>9900</v>
      </c>
      <c r="L396" s="6">
        <f>IFERROR(IF(INDEX(tProdutos[Desconto homologado],MATCH(tItens[[#This Row],[Produto]],tProdutos[Produto],0))="",DescontoPadrao,INDEX(tProdutos[Desconto homologado],MATCH(tItens[[#This Row],[Produto]],tProdutos[Produto],0))),DescontoPadrao)</f>
        <v>0.371428571428571</v>
      </c>
      <c r="M396" s="12">
        <f>tItens[[#This Row],[Valor]]*(1-tItens[[#This Row],[Desconto]])</f>
        <v>6222.8571428571468</v>
      </c>
      <c r="N396" t="str">
        <f>IFERROR(INDEX(tProdutos[Foco],MATCH(tItens[[#This Row],[Produto]],tProdutos[Produto],0)),"Não")</f>
        <v>Não</v>
      </c>
      <c r="O396" t="str">
        <f>IFERROR(INDEX(tEditais[SRP],MATCH(tItens[[#This Row],[Edital]],tEditais[Edital],0)),"Não")</f>
        <v>Sim</v>
      </c>
      <c r="P396" s="4">
        <f>IF(COUNTIFS(INDEX(tItens[Edital],1):tItens[[#This Row],[Edital]],tItens[[#This Row],[Edital]],INDEX(tItens[Produto],1):tItens[[#This Row],[Produto]],tItens[[#This Row],[Produto]])=1,1,0)</f>
        <v>1</v>
      </c>
    </row>
    <row r="397" spans="1:16" x14ac:dyDescent="0.25">
      <c r="A397" t="s">
        <v>815</v>
      </c>
      <c r="B397">
        <v>8041682</v>
      </c>
      <c r="C397" t="s">
        <v>3618</v>
      </c>
      <c r="D397" t="s">
        <v>467</v>
      </c>
      <c r="E397" s="13">
        <v>500</v>
      </c>
      <c r="F397" s="12">
        <v>42.85</v>
      </c>
      <c r="G397" t="str">
        <f>IFERROR(INDEX(tEditais[Órgão],MATCH(tItens[[#This Row],[Edital]],tEditais[Edital],0)),"")</f>
        <v>MUNICIPIO DE BREJOES</v>
      </c>
      <c r="H397" t="str">
        <f>IFERROR(INDEX(tEditais[UF],MATCH(tItens[[#This Row],[Edital]],tEditais[Edital],0)),"")</f>
        <v>BA</v>
      </c>
      <c r="I397" s="11">
        <f>IFERROR(INDEX(tEditais[Encerramento],MATCH(tItens[[#This Row],[Edital]],tEditais[Edital],0)),"")</f>
        <v>46304.416666666664</v>
      </c>
      <c r="J397" t="str">
        <f>IFERROR(INDEX(tProdutos[Classe],MATCH(tItens[[#This Row],[Produto]],tProdutos[Produto],0)),"produto não cadastrado")</f>
        <v>FILA REBASE</v>
      </c>
      <c r="K397" s="12">
        <f>tItens[[#This Row],[Qtd]]*tItens[[#This Row],[Vlr unit]]</f>
        <v>21425</v>
      </c>
      <c r="L397" s="6">
        <f>IFERROR(IF(INDEX(tProdutos[Desconto homologado],MATCH(tItens[[#This Row],[Produto]],tProdutos[Produto],0))="",DescontoPadrao,INDEX(tProdutos[Desconto homologado],MATCH(tItens[[#This Row],[Produto]],tProdutos[Produto],0))),DescontoPadrao)</f>
        <v>0.25007144898542499</v>
      </c>
      <c r="M397" s="12">
        <f>tItens[[#This Row],[Valor]]*(1-tItens[[#This Row],[Desconto]])</f>
        <v>16067.21920548727</v>
      </c>
      <c r="N397" t="str">
        <f>IFERROR(INDEX(tProdutos[Foco],MATCH(tItens[[#This Row],[Produto]],tProdutos[Produto],0)),"Não")</f>
        <v>Não</v>
      </c>
      <c r="O397" t="str">
        <f>IFERROR(INDEX(tEditais[SRP],MATCH(tItens[[#This Row],[Edital]],tEditais[Edital],0)),"Não")</f>
        <v>Sim</v>
      </c>
      <c r="P397" s="4">
        <f>IF(COUNTIFS(INDEX(tItens[Edital],1):tItens[[#This Row],[Edital]],tItens[[#This Row],[Edital]],INDEX(tItens[Produto],1):tItens[[#This Row],[Produto]],tItens[[#This Row],[Produto]])=1,1,0)</f>
        <v>1</v>
      </c>
    </row>
    <row r="398" spans="1:16" x14ac:dyDescent="0.25">
      <c r="A398" t="s">
        <v>815</v>
      </c>
      <c r="B398">
        <v>8041713</v>
      </c>
      <c r="C398" t="s">
        <v>3619</v>
      </c>
      <c r="D398" t="s">
        <v>512</v>
      </c>
      <c r="E398" s="13">
        <v>150</v>
      </c>
      <c r="F398" s="12">
        <v>24.76</v>
      </c>
      <c r="G398" t="str">
        <f>IFERROR(INDEX(tEditais[Órgão],MATCH(tItens[[#This Row],[Edital]],tEditais[Edital],0)),"")</f>
        <v>MUNICIPIO DE BREJOES</v>
      </c>
      <c r="H398" t="str">
        <f>IFERROR(INDEX(tEditais[UF],MATCH(tItens[[#This Row],[Edital]],tEditais[Edital],0)),"")</f>
        <v>BA</v>
      </c>
      <c r="I398" s="11">
        <f>IFERROR(INDEX(tEditais[Encerramento],MATCH(tItens[[#This Row],[Edital]],tEditais[Edital],0)),"")</f>
        <v>46304.416666666664</v>
      </c>
      <c r="J398" t="str">
        <f>IFERROR(INDEX(tProdutos[Classe],MATCH(tItens[[#This Row],[Produto]],tProdutos[Produto],0)),"produto não cadastrado")</f>
        <v>FILA REBASE</v>
      </c>
      <c r="K398" s="12">
        <f>tItens[[#This Row],[Qtd]]*tItens[[#This Row],[Vlr unit]]</f>
        <v>3714.0000000000005</v>
      </c>
      <c r="L398" s="6">
        <f>IFERROR(IF(INDEX(tProdutos[Desconto homologado],MATCH(tItens[[#This Row],[Produto]],tProdutos[Produto],0))="",DescontoPadrao,INDEX(tProdutos[Desconto homologado],MATCH(tItens[[#This Row],[Produto]],tProdutos[Produto],0))),DescontoPadrao)</f>
        <v>0.32579365079365102</v>
      </c>
      <c r="M398" s="12">
        <f>tItens[[#This Row],[Valor]]*(1-tItens[[#This Row],[Desconto]])</f>
        <v>2504.0023809523805</v>
      </c>
      <c r="N398" t="str">
        <f>IFERROR(INDEX(tProdutos[Foco],MATCH(tItens[[#This Row],[Produto]],tProdutos[Produto],0)),"Não")</f>
        <v>Não</v>
      </c>
      <c r="O398" t="str">
        <f>IFERROR(INDEX(tEditais[SRP],MATCH(tItens[[#This Row],[Edital]],tEditais[Edital],0)),"Não")</f>
        <v>Sim</v>
      </c>
      <c r="P398" s="4">
        <f>IF(COUNTIFS(INDEX(tItens[Edital],1):tItens[[#This Row],[Edital]],tItens[[#This Row],[Edital]],INDEX(tItens[Produto],1):tItens[[#This Row],[Produto]],tItens[[#This Row],[Produto]])=1,1,0)</f>
        <v>1</v>
      </c>
    </row>
    <row r="399" spans="1:16" x14ac:dyDescent="0.25">
      <c r="A399" t="s">
        <v>815</v>
      </c>
      <c r="B399">
        <v>8041714</v>
      </c>
      <c r="C399" t="s">
        <v>3620</v>
      </c>
      <c r="D399" t="s">
        <v>512</v>
      </c>
      <c r="E399" s="13">
        <v>150</v>
      </c>
      <c r="F399" s="12">
        <v>22.44</v>
      </c>
      <c r="G399" t="str">
        <f>IFERROR(INDEX(tEditais[Órgão],MATCH(tItens[[#This Row],[Edital]],tEditais[Edital],0)),"")</f>
        <v>MUNICIPIO DE BREJOES</v>
      </c>
      <c r="H399" t="str">
        <f>IFERROR(INDEX(tEditais[UF],MATCH(tItens[[#This Row],[Edital]],tEditais[Edital],0)),"")</f>
        <v>BA</v>
      </c>
      <c r="I399" s="11">
        <f>IFERROR(INDEX(tEditais[Encerramento],MATCH(tItens[[#This Row],[Edital]],tEditais[Edital],0)),"")</f>
        <v>46304.416666666664</v>
      </c>
      <c r="J399" t="str">
        <f>IFERROR(INDEX(tProdutos[Classe],MATCH(tItens[[#This Row],[Produto]],tProdutos[Produto],0)),"produto não cadastrado")</f>
        <v>FILA REBASE</v>
      </c>
      <c r="K399" s="12">
        <f>tItens[[#This Row],[Qtd]]*tItens[[#This Row],[Vlr unit]]</f>
        <v>3366</v>
      </c>
      <c r="L399" s="6">
        <f>IFERROR(IF(INDEX(tProdutos[Desconto homologado],MATCH(tItens[[#This Row],[Produto]],tProdutos[Produto],0))="",DescontoPadrao,INDEX(tProdutos[Desconto homologado],MATCH(tItens[[#This Row],[Produto]],tProdutos[Produto],0))),DescontoPadrao)</f>
        <v>0.32579365079365102</v>
      </c>
      <c r="M399" s="12">
        <f>tItens[[#This Row],[Valor]]*(1-tItens[[#This Row],[Desconto]])</f>
        <v>2269.3785714285709</v>
      </c>
      <c r="N399" t="str">
        <f>IFERROR(INDEX(tProdutos[Foco],MATCH(tItens[[#This Row],[Produto]],tProdutos[Produto],0)),"Não")</f>
        <v>Não</v>
      </c>
      <c r="O399" t="str">
        <f>IFERROR(INDEX(tEditais[SRP],MATCH(tItens[[#This Row],[Edital]],tEditais[Edital],0)),"Não")</f>
        <v>Sim</v>
      </c>
      <c r="P399" s="4">
        <f>IF(COUNTIFS(INDEX(tItens[Edital],1):tItens[[#This Row],[Edital]],tItens[[#This Row],[Edital]],INDEX(tItens[Produto],1):tItens[[#This Row],[Produto]],tItens[[#This Row],[Produto]])=1,1,0)</f>
        <v>0</v>
      </c>
    </row>
    <row r="400" spans="1:16" x14ac:dyDescent="0.25">
      <c r="A400" t="s">
        <v>815</v>
      </c>
      <c r="B400">
        <v>8041725</v>
      </c>
      <c r="C400" t="s">
        <v>3621</v>
      </c>
      <c r="D400" t="s">
        <v>399</v>
      </c>
      <c r="E400" s="13">
        <v>750</v>
      </c>
      <c r="F400" s="12">
        <v>37.96</v>
      </c>
      <c r="G400" t="str">
        <f>IFERROR(INDEX(tEditais[Órgão],MATCH(tItens[[#This Row],[Edital]],tEditais[Edital],0)),"")</f>
        <v>MUNICIPIO DE BREJOES</v>
      </c>
      <c r="H400" t="str">
        <f>IFERROR(INDEX(tEditais[UF],MATCH(tItens[[#This Row],[Edital]],tEditais[Edital],0)),"")</f>
        <v>BA</v>
      </c>
      <c r="I400" s="11">
        <f>IFERROR(INDEX(tEditais[Encerramento],MATCH(tItens[[#This Row],[Edital]],tEditais[Edital],0)),"")</f>
        <v>46304.416666666664</v>
      </c>
      <c r="J400" t="str">
        <f>IFERROR(INDEX(tProdutos[Classe],MATCH(tItens[[#This Row],[Produto]],tProdutos[Produto],0)),"produto não cadastrado")</f>
        <v>FORA</v>
      </c>
      <c r="K400" s="12">
        <f>tItens[[#This Row],[Qtd]]*tItens[[#This Row],[Vlr unit]]</f>
        <v>28470</v>
      </c>
      <c r="L400" s="6">
        <f>IFERROR(IF(INDEX(tProdutos[Desconto homologado],MATCH(tItens[[#This Row],[Produto]],tProdutos[Produto],0))="",DescontoPadrao,INDEX(tProdutos[Desconto homologado],MATCH(tItens[[#This Row],[Produto]],tProdutos[Produto],0))),DescontoPadrao)</f>
        <v>0.30009041591320101</v>
      </c>
      <c r="M400" s="12">
        <f>tItens[[#This Row],[Valor]]*(1-tItens[[#This Row],[Desconto]])</f>
        <v>19926.42585895117</v>
      </c>
      <c r="N400" t="str">
        <f>IFERROR(INDEX(tProdutos[Foco],MATCH(tItens[[#This Row],[Produto]],tProdutos[Produto],0)),"Não")</f>
        <v>Não</v>
      </c>
      <c r="O400" t="str">
        <f>IFERROR(INDEX(tEditais[SRP],MATCH(tItens[[#This Row],[Edital]],tEditais[Edital],0)),"Não")</f>
        <v>Sim</v>
      </c>
      <c r="P400" s="4">
        <f>IF(COUNTIFS(INDEX(tItens[Edital],1):tItens[[#This Row],[Edital]],tItens[[#This Row],[Edital]],INDEX(tItens[Produto],1):tItens[[#This Row],[Produto]],tItens[[#This Row],[Produto]])=1,1,0)</f>
        <v>1</v>
      </c>
    </row>
    <row r="401" spans="1:16" x14ac:dyDescent="0.25">
      <c r="A401" t="s">
        <v>815</v>
      </c>
      <c r="B401">
        <v>8041726</v>
      </c>
      <c r="C401" t="s">
        <v>3622</v>
      </c>
      <c r="D401" t="s">
        <v>399</v>
      </c>
      <c r="E401" s="13">
        <v>750</v>
      </c>
      <c r="F401" s="12">
        <v>42.24</v>
      </c>
      <c r="G401" t="str">
        <f>IFERROR(INDEX(tEditais[Órgão],MATCH(tItens[[#This Row],[Edital]],tEditais[Edital],0)),"")</f>
        <v>MUNICIPIO DE BREJOES</v>
      </c>
      <c r="H401" t="str">
        <f>IFERROR(INDEX(tEditais[UF],MATCH(tItens[[#This Row],[Edital]],tEditais[Edital],0)),"")</f>
        <v>BA</v>
      </c>
      <c r="I401" s="11">
        <f>IFERROR(INDEX(tEditais[Encerramento],MATCH(tItens[[#This Row],[Edital]],tEditais[Edital],0)),"")</f>
        <v>46304.416666666664</v>
      </c>
      <c r="J401" t="str">
        <f>IFERROR(INDEX(tProdutos[Classe],MATCH(tItens[[#This Row],[Produto]],tProdutos[Produto],0)),"produto não cadastrado")</f>
        <v>FORA</v>
      </c>
      <c r="K401" s="12">
        <f>tItens[[#This Row],[Qtd]]*tItens[[#This Row],[Vlr unit]]</f>
        <v>31680</v>
      </c>
      <c r="L401" s="6">
        <f>IFERROR(IF(INDEX(tProdutos[Desconto homologado],MATCH(tItens[[#This Row],[Produto]],tProdutos[Produto],0))="",DescontoPadrao,INDEX(tProdutos[Desconto homologado],MATCH(tItens[[#This Row],[Produto]],tProdutos[Produto],0))),DescontoPadrao)</f>
        <v>0.30009041591320101</v>
      </c>
      <c r="M401" s="12">
        <f>tItens[[#This Row],[Valor]]*(1-tItens[[#This Row],[Desconto]])</f>
        <v>22173.135623869795</v>
      </c>
      <c r="N401" t="str">
        <f>IFERROR(INDEX(tProdutos[Foco],MATCH(tItens[[#This Row],[Produto]],tProdutos[Produto],0)),"Não")</f>
        <v>Não</v>
      </c>
      <c r="O401" t="str">
        <f>IFERROR(INDEX(tEditais[SRP],MATCH(tItens[[#This Row],[Edital]],tEditais[Edital],0)),"Não")</f>
        <v>Sim</v>
      </c>
      <c r="P401" s="4">
        <f>IF(COUNTIFS(INDEX(tItens[Edital],1):tItens[[#This Row],[Edital]],tItens[[#This Row],[Edital]],INDEX(tItens[Produto],1):tItens[[#This Row],[Produto]],tItens[[#This Row],[Produto]])=1,1,0)</f>
        <v>0</v>
      </c>
    </row>
    <row r="402" spans="1:16" x14ac:dyDescent="0.25">
      <c r="A402" t="s">
        <v>815</v>
      </c>
      <c r="B402">
        <v>8041740</v>
      </c>
      <c r="C402" t="s">
        <v>3623</v>
      </c>
      <c r="D402" t="s">
        <v>162</v>
      </c>
      <c r="E402" s="13">
        <v>300</v>
      </c>
      <c r="F402" s="12">
        <v>3.17</v>
      </c>
      <c r="G402" t="str">
        <f>IFERROR(INDEX(tEditais[Órgão],MATCH(tItens[[#This Row],[Edital]],tEditais[Edital],0)),"")</f>
        <v>MUNICIPIO DE BREJOES</v>
      </c>
      <c r="H402" t="str">
        <f>IFERROR(INDEX(tEditais[UF],MATCH(tItens[[#This Row],[Edital]],tEditais[Edital],0)),"")</f>
        <v>BA</v>
      </c>
      <c r="I402" s="11">
        <f>IFERROR(INDEX(tEditais[Encerramento],MATCH(tItens[[#This Row],[Edital]],tEditais[Edital],0)),"")</f>
        <v>46304.416666666664</v>
      </c>
      <c r="J402" t="str">
        <f>IFERROR(INDEX(tProdutos[Classe],MATCH(tItens[[#This Row],[Produto]],tProdutos[Produto],0)),"produto não cadastrado")</f>
        <v>DISPUTADO</v>
      </c>
      <c r="K402" s="12">
        <f>tItens[[#This Row],[Qtd]]*tItens[[#This Row],[Vlr unit]]</f>
        <v>951</v>
      </c>
      <c r="L402" s="6">
        <f>IFERROR(IF(INDEX(tProdutos[Desconto homologado],MATCH(tItens[[#This Row],[Produto]],tProdutos[Produto],0))="",DescontoPadrao,INDEX(tProdutos[Desconto homologado],MATCH(tItens[[#This Row],[Produto]],tProdutos[Produto],0))),DescontoPadrao)</f>
        <v>0.41269841269841301</v>
      </c>
      <c r="M402" s="12">
        <f>tItens[[#This Row],[Valor]]*(1-tItens[[#This Row],[Desconto]])</f>
        <v>558.52380952380918</v>
      </c>
      <c r="N402" t="str">
        <f>IFERROR(INDEX(tProdutos[Foco],MATCH(tItens[[#This Row],[Produto]],tProdutos[Produto],0)),"Não")</f>
        <v>Não</v>
      </c>
      <c r="O402" t="str">
        <f>IFERROR(INDEX(tEditais[SRP],MATCH(tItens[[#This Row],[Edital]],tEditais[Edital],0)),"Não")</f>
        <v>Sim</v>
      </c>
      <c r="P402" s="4">
        <f>IF(COUNTIFS(INDEX(tItens[Edital],1):tItens[[#This Row],[Edital]],tItens[[#This Row],[Edital]],INDEX(tItens[Produto],1):tItens[[#This Row],[Produto]],tItens[[#This Row],[Produto]])=1,1,0)</f>
        <v>1</v>
      </c>
    </row>
    <row r="403" spans="1:16" x14ac:dyDescent="0.25">
      <c r="A403" t="s">
        <v>820</v>
      </c>
      <c r="B403">
        <v>1293214</v>
      </c>
      <c r="C403" t="s">
        <v>3624</v>
      </c>
      <c r="D403" t="s">
        <v>90</v>
      </c>
      <c r="E403" s="13">
        <v>10470</v>
      </c>
      <c r="F403" s="12">
        <v>6.63</v>
      </c>
      <c r="G403" t="str">
        <f>IFERROR(INDEX(tEditais[Órgão],MATCH(tItens[[#This Row],[Edital]],tEditais[Edital],0)),"")</f>
        <v>FUNDO ESTADUAL DE SAUDE DO ESTADO DA BAHIA</v>
      </c>
      <c r="H403" t="str">
        <f>IFERROR(INDEX(tEditais[UF],MATCH(tItens[[#This Row],[Edital]],tEditais[Edital],0)),"")</f>
        <v>BA</v>
      </c>
      <c r="I403" s="11">
        <f>IFERROR(INDEX(tEditais[Encerramento],MATCH(tItens[[#This Row],[Edital]],tEditais[Edital],0)),"")</f>
        <v>46304.416666666664</v>
      </c>
      <c r="J403" t="str">
        <f>IFERROR(INDEX(tProdutos[Classe],MATCH(tItens[[#This Row],[Produto]],tProdutos[Produto],0)),"produto não cadastrado")</f>
        <v>DISPUTADO</v>
      </c>
      <c r="K403" s="12">
        <f>tItens[[#This Row],[Qtd]]*tItens[[#This Row],[Vlr unit]]</f>
        <v>69416.100000000006</v>
      </c>
      <c r="L403" s="6">
        <f>IFERROR(IF(INDEX(tProdutos[Desconto homologado],MATCH(tItens[[#This Row],[Produto]],tProdutos[Produto],0))="",DescontoPadrao,INDEX(tProdutos[Desconto homologado],MATCH(tItens[[#This Row],[Produto]],tProdutos[Produto],0))),DescontoPadrao)</f>
        <v>0.25393823957010597</v>
      </c>
      <c r="M403" s="12">
        <f>tItens[[#This Row],[Valor]]*(1-tItens[[#This Row],[Desconto]])</f>
        <v>51788.697768177568</v>
      </c>
      <c r="N403" t="str">
        <f>IFERROR(INDEX(tProdutos[Foco],MATCH(tItens[[#This Row],[Produto]],tProdutos[Produto],0)),"Não")</f>
        <v>Não</v>
      </c>
      <c r="O403" t="str">
        <f>IFERROR(INDEX(tEditais[SRP],MATCH(tItens[[#This Row],[Edital]],tEditais[Edital],0)),"Não")</f>
        <v>Não</v>
      </c>
      <c r="P403" s="4">
        <f>IF(COUNTIFS(INDEX(tItens[Edital],1):tItens[[#This Row],[Edital]],tItens[[#This Row],[Edital]],INDEX(tItens[Produto],1):tItens[[#This Row],[Produto]],tItens[[#This Row],[Produto]])=1,1,0)</f>
        <v>1</v>
      </c>
    </row>
    <row r="404" spans="1:16" x14ac:dyDescent="0.25">
      <c r="A404" t="s">
        <v>820</v>
      </c>
      <c r="B404">
        <v>1326831</v>
      </c>
      <c r="C404" t="s">
        <v>3625</v>
      </c>
      <c r="D404" t="s">
        <v>349</v>
      </c>
      <c r="E404" s="13">
        <v>151590</v>
      </c>
      <c r="F404" s="12">
        <v>1.63</v>
      </c>
      <c r="G404" t="str">
        <f>IFERROR(INDEX(tEditais[Órgão],MATCH(tItens[[#This Row],[Edital]],tEditais[Edital],0)),"")</f>
        <v>FUNDO ESTADUAL DE SAUDE DO ESTADO DA BAHIA</v>
      </c>
      <c r="H404" t="str">
        <f>IFERROR(INDEX(tEditais[UF],MATCH(tItens[[#This Row],[Edital]],tEditais[Edital],0)),"")</f>
        <v>BA</v>
      </c>
      <c r="I404" s="11">
        <f>IFERROR(INDEX(tEditais[Encerramento],MATCH(tItens[[#This Row],[Edital]],tEditais[Edital],0)),"")</f>
        <v>46304.416666666664</v>
      </c>
      <c r="J404" t="str">
        <f>IFERROR(INDEX(tProdutos[Classe],MATCH(tItens[[#This Row],[Produto]],tProdutos[Produto],0)),"produto não cadastrado")</f>
        <v>FORA</v>
      </c>
      <c r="K404" s="12">
        <f>tItens[[#This Row],[Qtd]]*tItens[[#This Row],[Vlr unit]]</f>
        <v>247091.69999999998</v>
      </c>
      <c r="L404" s="6">
        <f>IFERROR(IF(INDEX(tProdutos[Desconto homologado],MATCH(tItens[[#This Row],[Produto]],tProdutos[Produto],0))="",DescontoPadrao,INDEX(tProdutos[Desconto homologado],MATCH(tItens[[#This Row],[Produto]],tProdutos[Produto],0))),DescontoPadrao)</f>
        <v>0.38826228254635797</v>
      </c>
      <c r="M404" s="12">
        <f>tItens[[#This Row],[Valor]]*(1-tItens[[#This Row],[Desconto]])</f>
        <v>151155.31255974006</v>
      </c>
      <c r="N404" t="str">
        <f>IFERROR(INDEX(tProdutos[Foco],MATCH(tItens[[#This Row],[Produto]],tProdutos[Produto],0)),"Não")</f>
        <v>Não</v>
      </c>
      <c r="O404" t="str">
        <f>IFERROR(INDEX(tEditais[SRP],MATCH(tItens[[#This Row],[Edital]],tEditais[Edital],0)),"Não")</f>
        <v>Não</v>
      </c>
      <c r="P404" s="4">
        <f>IF(COUNTIFS(INDEX(tItens[Edital],1):tItens[[#This Row],[Edital]],tItens[[#This Row],[Edital]],INDEX(tItens[Produto],1):tItens[[#This Row],[Produto]],tItens[[#This Row],[Produto]])=1,1,0)</f>
        <v>1</v>
      </c>
    </row>
    <row r="405" spans="1:16" x14ac:dyDescent="0.25">
      <c r="A405" t="s">
        <v>820</v>
      </c>
      <c r="B405">
        <v>1326832</v>
      </c>
      <c r="C405" t="s">
        <v>3625</v>
      </c>
      <c r="D405" t="s">
        <v>349</v>
      </c>
      <c r="E405" s="13">
        <v>50530</v>
      </c>
      <c r="F405" s="12">
        <v>1.63</v>
      </c>
      <c r="G405" t="str">
        <f>IFERROR(INDEX(tEditais[Órgão],MATCH(tItens[[#This Row],[Edital]],tEditais[Edital],0)),"")</f>
        <v>FUNDO ESTADUAL DE SAUDE DO ESTADO DA BAHIA</v>
      </c>
      <c r="H405" t="str">
        <f>IFERROR(INDEX(tEditais[UF],MATCH(tItens[[#This Row],[Edital]],tEditais[Edital],0)),"")</f>
        <v>BA</v>
      </c>
      <c r="I405" s="11">
        <f>IFERROR(INDEX(tEditais[Encerramento],MATCH(tItens[[#This Row],[Edital]],tEditais[Edital],0)),"")</f>
        <v>46304.416666666664</v>
      </c>
      <c r="J405" t="str">
        <f>IFERROR(INDEX(tProdutos[Classe],MATCH(tItens[[#This Row],[Produto]],tProdutos[Produto],0)),"produto não cadastrado")</f>
        <v>FORA</v>
      </c>
      <c r="K405" s="12">
        <f>tItens[[#This Row],[Qtd]]*tItens[[#This Row],[Vlr unit]]</f>
        <v>82363.899999999994</v>
      </c>
      <c r="L405" s="6">
        <f>IFERROR(IF(INDEX(tProdutos[Desconto homologado],MATCH(tItens[[#This Row],[Produto]],tProdutos[Produto],0))="",DescontoPadrao,INDEX(tProdutos[Desconto homologado],MATCH(tItens[[#This Row],[Produto]],tProdutos[Produto],0))),DescontoPadrao)</f>
        <v>0.38826228254635797</v>
      </c>
      <c r="M405" s="12">
        <f>tItens[[#This Row],[Valor]]*(1-tItens[[#This Row],[Desconto]])</f>
        <v>50385.104186580022</v>
      </c>
      <c r="N405" t="str">
        <f>IFERROR(INDEX(tProdutos[Foco],MATCH(tItens[[#This Row],[Produto]],tProdutos[Produto],0)),"Não")</f>
        <v>Não</v>
      </c>
      <c r="O405" t="str">
        <f>IFERROR(INDEX(tEditais[SRP],MATCH(tItens[[#This Row],[Edital]],tEditais[Edital],0)),"Não")</f>
        <v>Não</v>
      </c>
      <c r="P405" s="4">
        <f>IF(COUNTIFS(INDEX(tItens[Edital],1):tItens[[#This Row],[Edital]],tItens[[#This Row],[Edital]],INDEX(tItens[Produto],1):tItens[[#This Row],[Produto]],tItens[[#This Row],[Produto]])=1,1,0)</f>
        <v>0</v>
      </c>
    </row>
    <row r="406" spans="1:16" x14ac:dyDescent="0.25">
      <c r="A406" t="s">
        <v>820</v>
      </c>
      <c r="B406">
        <v>12851141</v>
      </c>
      <c r="C406" t="s">
        <v>3626</v>
      </c>
      <c r="D406" t="s">
        <v>158</v>
      </c>
      <c r="E406" s="13">
        <v>53875</v>
      </c>
      <c r="F406" s="12">
        <v>0.81</v>
      </c>
      <c r="G406" t="str">
        <f>IFERROR(INDEX(tEditais[Órgão],MATCH(tItens[[#This Row],[Edital]],tEditais[Edital],0)),"")</f>
        <v>FUNDO ESTADUAL DE SAUDE DO ESTADO DA BAHIA</v>
      </c>
      <c r="H406" t="str">
        <f>IFERROR(INDEX(tEditais[UF],MATCH(tItens[[#This Row],[Edital]],tEditais[Edital],0)),"")</f>
        <v>BA</v>
      </c>
      <c r="I406" s="11">
        <f>IFERROR(INDEX(tEditais[Encerramento],MATCH(tItens[[#This Row],[Edital]],tEditais[Edital],0)),"")</f>
        <v>46304.416666666664</v>
      </c>
      <c r="J406" t="str">
        <f>IFERROR(INDEX(tProdutos[Classe],MATCH(tItens[[#This Row],[Produto]],tProdutos[Produto],0)),"produto não cadastrado")</f>
        <v>DISPUTADO</v>
      </c>
      <c r="K406" s="12">
        <f>tItens[[#This Row],[Qtd]]*tItens[[#This Row],[Vlr unit]]</f>
        <v>43638.75</v>
      </c>
      <c r="L406" s="6">
        <f>IFERROR(IF(INDEX(tProdutos[Desconto homologado],MATCH(tItens[[#This Row],[Produto]],tProdutos[Produto],0))="",DescontoPadrao,INDEX(tProdutos[Desconto homologado],MATCH(tItens[[#This Row],[Produto]],tProdutos[Produto],0))),DescontoPadrao)</f>
        <v>0.26086956521739102</v>
      </c>
      <c r="M406" s="12">
        <f>tItens[[#This Row],[Valor]]*(1-tItens[[#This Row],[Desconto]])</f>
        <v>32254.728260869579</v>
      </c>
      <c r="N406" t="str">
        <f>IFERROR(INDEX(tProdutos[Foco],MATCH(tItens[[#This Row],[Produto]],tProdutos[Produto],0)),"Não")</f>
        <v>Não</v>
      </c>
      <c r="O406" t="str">
        <f>IFERROR(INDEX(tEditais[SRP],MATCH(tItens[[#This Row],[Edital]],tEditais[Edital],0)),"Não")</f>
        <v>Não</v>
      </c>
      <c r="P406" s="4">
        <f>IF(COUNTIFS(INDEX(tItens[Edital],1):tItens[[#This Row],[Edital]],tItens[[#This Row],[Edital]],INDEX(tItens[Produto],1):tItens[[#This Row],[Produto]],tItens[[#This Row],[Produto]])=1,1,0)</f>
        <v>1</v>
      </c>
    </row>
    <row r="407" spans="1:16" x14ac:dyDescent="0.25">
      <c r="A407" t="s">
        <v>820</v>
      </c>
      <c r="B407">
        <v>12851142</v>
      </c>
      <c r="C407" t="s">
        <v>3627</v>
      </c>
      <c r="D407" t="s">
        <v>158</v>
      </c>
      <c r="E407" s="13">
        <v>161625</v>
      </c>
      <c r="F407" s="12">
        <v>0.81</v>
      </c>
      <c r="G407" t="str">
        <f>IFERROR(INDEX(tEditais[Órgão],MATCH(tItens[[#This Row],[Edital]],tEditais[Edital],0)),"")</f>
        <v>FUNDO ESTADUAL DE SAUDE DO ESTADO DA BAHIA</v>
      </c>
      <c r="H407" t="str">
        <f>IFERROR(INDEX(tEditais[UF],MATCH(tItens[[#This Row],[Edital]],tEditais[Edital],0)),"")</f>
        <v>BA</v>
      </c>
      <c r="I407" s="11">
        <f>IFERROR(INDEX(tEditais[Encerramento],MATCH(tItens[[#This Row],[Edital]],tEditais[Edital],0)),"")</f>
        <v>46304.416666666664</v>
      </c>
      <c r="J407" t="str">
        <f>IFERROR(INDEX(tProdutos[Classe],MATCH(tItens[[#This Row],[Produto]],tProdutos[Produto],0)),"produto não cadastrado")</f>
        <v>DISPUTADO</v>
      </c>
      <c r="K407" s="12">
        <f>tItens[[#This Row],[Qtd]]*tItens[[#This Row],[Vlr unit]]</f>
        <v>130916.25000000001</v>
      </c>
      <c r="L407" s="6">
        <f>IFERROR(IF(INDEX(tProdutos[Desconto homologado],MATCH(tItens[[#This Row],[Produto]],tProdutos[Produto],0))="",DescontoPadrao,INDEX(tProdutos[Desconto homologado],MATCH(tItens[[#This Row],[Produto]],tProdutos[Produto],0))),DescontoPadrao)</f>
        <v>0.26086956521739102</v>
      </c>
      <c r="M407" s="12">
        <f>tItens[[#This Row],[Valor]]*(1-tItens[[#This Row],[Desconto]])</f>
        <v>96764.184782608747</v>
      </c>
      <c r="N407" t="str">
        <f>IFERROR(INDEX(tProdutos[Foco],MATCH(tItens[[#This Row],[Produto]],tProdutos[Produto],0)),"Não")</f>
        <v>Não</v>
      </c>
      <c r="O407" t="str">
        <f>IFERROR(INDEX(tEditais[SRP],MATCH(tItens[[#This Row],[Edital]],tEditais[Edital],0)),"Não")</f>
        <v>Não</v>
      </c>
      <c r="P407" s="4">
        <f>IF(COUNTIFS(INDEX(tItens[Edital],1):tItens[[#This Row],[Edital]],tItens[[#This Row],[Edital]],INDEX(tItens[Produto],1):tItens[[#This Row],[Produto]],tItens[[#This Row],[Produto]])=1,1,0)</f>
        <v>0</v>
      </c>
    </row>
    <row r="408" spans="1:16" x14ac:dyDescent="0.25">
      <c r="A408" t="s">
        <v>824</v>
      </c>
      <c r="B408">
        <v>10001</v>
      </c>
      <c r="C408" t="s">
        <v>3628</v>
      </c>
      <c r="D408" t="s">
        <v>90</v>
      </c>
      <c r="E408" s="13">
        <v>10470</v>
      </c>
      <c r="F408" s="12">
        <v>6.63</v>
      </c>
      <c r="G408" t="str">
        <f>IFERROR(INDEX(tEditais[Órgão],MATCH(tItens[[#This Row],[Edital]],tEditais[Edital],0)),"")</f>
        <v>ESTADO DA BAHIA</v>
      </c>
      <c r="H408" t="str">
        <f>IFERROR(INDEX(tEditais[UF],MATCH(tItens[[#This Row],[Edital]],tEditais[Edital],0)),"")</f>
        <v>BA</v>
      </c>
      <c r="I408" s="11">
        <f>IFERROR(INDEX(tEditais[Encerramento],MATCH(tItens[[#This Row],[Edital]],tEditais[Edital],0)),"")</f>
        <v>46304.416666666664</v>
      </c>
      <c r="J408" t="str">
        <f>IFERROR(INDEX(tProdutos[Classe],MATCH(tItens[[#This Row],[Produto]],tProdutos[Produto],0)),"produto não cadastrado")</f>
        <v>DISPUTADO</v>
      </c>
      <c r="K408" s="12">
        <f>tItens[[#This Row],[Qtd]]*tItens[[#This Row],[Vlr unit]]</f>
        <v>69416.100000000006</v>
      </c>
      <c r="L408" s="6">
        <f>IFERROR(IF(INDEX(tProdutos[Desconto homologado],MATCH(tItens[[#This Row],[Produto]],tProdutos[Produto],0))="",DescontoPadrao,INDEX(tProdutos[Desconto homologado],MATCH(tItens[[#This Row],[Produto]],tProdutos[Produto],0))),DescontoPadrao)</f>
        <v>0.25393823957010597</v>
      </c>
      <c r="M408" s="12">
        <f>tItens[[#This Row],[Valor]]*(1-tItens[[#This Row],[Desconto]])</f>
        <v>51788.697768177568</v>
      </c>
      <c r="N408" t="str">
        <f>IFERROR(INDEX(tProdutos[Foco],MATCH(tItens[[#This Row],[Produto]],tProdutos[Produto],0)),"Não")</f>
        <v>Não</v>
      </c>
      <c r="O408" t="str">
        <f>IFERROR(INDEX(tEditais[SRP],MATCH(tItens[[#This Row],[Edital]],tEditais[Edital],0)),"Não")</f>
        <v>Sim</v>
      </c>
      <c r="P408" s="4">
        <f>IF(COUNTIFS(INDEX(tItens[Edital],1):tItens[[#This Row],[Edital]],tItens[[#This Row],[Edital]],INDEX(tItens[Produto],1):tItens[[#This Row],[Produto]],tItens[[#This Row],[Produto]])=1,1,0)</f>
        <v>1</v>
      </c>
    </row>
    <row r="409" spans="1:16" x14ac:dyDescent="0.25">
      <c r="A409" t="s">
        <v>824</v>
      </c>
      <c r="B409">
        <v>40001</v>
      </c>
      <c r="C409" t="s">
        <v>3629</v>
      </c>
      <c r="D409" t="s">
        <v>349</v>
      </c>
      <c r="E409" s="13">
        <v>151590</v>
      </c>
      <c r="F409" s="12">
        <v>1.63</v>
      </c>
      <c r="G409" t="str">
        <f>IFERROR(INDEX(tEditais[Órgão],MATCH(tItens[[#This Row],[Edital]],tEditais[Edital],0)),"")</f>
        <v>ESTADO DA BAHIA</v>
      </c>
      <c r="H409" t="str">
        <f>IFERROR(INDEX(tEditais[UF],MATCH(tItens[[#This Row],[Edital]],tEditais[Edital],0)),"")</f>
        <v>BA</v>
      </c>
      <c r="I409" s="11">
        <f>IFERROR(INDEX(tEditais[Encerramento],MATCH(tItens[[#This Row],[Edital]],tEditais[Edital],0)),"")</f>
        <v>46304.416666666664</v>
      </c>
      <c r="J409" t="str">
        <f>IFERROR(INDEX(tProdutos[Classe],MATCH(tItens[[#This Row],[Produto]],tProdutos[Produto],0)),"produto não cadastrado")</f>
        <v>FORA</v>
      </c>
      <c r="K409" s="12">
        <f>tItens[[#This Row],[Qtd]]*tItens[[#This Row],[Vlr unit]]</f>
        <v>247091.69999999998</v>
      </c>
      <c r="L409" s="6">
        <f>IFERROR(IF(INDEX(tProdutos[Desconto homologado],MATCH(tItens[[#This Row],[Produto]],tProdutos[Produto],0))="",DescontoPadrao,INDEX(tProdutos[Desconto homologado],MATCH(tItens[[#This Row],[Produto]],tProdutos[Produto],0))),DescontoPadrao)</f>
        <v>0.38826228254635797</v>
      </c>
      <c r="M409" s="12">
        <f>tItens[[#This Row],[Valor]]*(1-tItens[[#This Row],[Desconto]])</f>
        <v>151155.31255974006</v>
      </c>
      <c r="N409" t="str">
        <f>IFERROR(INDEX(tProdutos[Foco],MATCH(tItens[[#This Row],[Produto]],tProdutos[Produto],0)),"Não")</f>
        <v>Não</v>
      </c>
      <c r="O409" t="str">
        <f>IFERROR(INDEX(tEditais[SRP],MATCH(tItens[[#This Row],[Edital]],tEditais[Edital],0)),"Não")</f>
        <v>Sim</v>
      </c>
      <c r="P409" s="4">
        <f>IF(COUNTIFS(INDEX(tItens[Edital],1):tItens[[#This Row],[Edital]],tItens[[#This Row],[Edital]],INDEX(tItens[Produto],1):tItens[[#This Row],[Produto]],tItens[[#This Row],[Produto]])=1,1,0)</f>
        <v>1</v>
      </c>
    </row>
    <row r="410" spans="1:16" x14ac:dyDescent="0.25">
      <c r="A410" t="s">
        <v>824</v>
      </c>
      <c r="B410">
        <v>50001</v>
      </c>
      <c r="C410" t="s">
        <v>3630</v>
      </c>
      <c r="D410" t="s">
        <v>158</v>
      </c>
      <c r="E410" s="13">
        <v>161625</v>
      </c>
      <c r="F410" s="12">
        <v>0.81</v>
      </c>
      <c r="G410" t="str">
        <f>IFERROR(INDEX(tEditais[Órgão],MATCH(tItens[[#This Row],[Edital]],tEditais[Edital],0)),"")</f>
        <v>ESTADO DA BAHIA</v>
      </c>
      <c r="H410" t="str">
        <f>IFERROR(INDEX(tEditais[UF],MATCH(tItens[[#This Row],[Edital]],tEditais[Edital],0)),"")</f>
        <v>BA</v>
      </c>
      <c r="I410" s="11">
        <f>IFERROR(INDEX(tEditais[Encerramento],MATCH(tItens[[#This Row],[Edital]],tEditais[Edital],0)),"")</f>
        <v>46304.416666666664</v>
      </c>
      <c r="J410" t="str">
        <f>IFERROR(INDEX(tProdutos[Classe],MATCH(tItens[[#This Row],[Produto]],tProdutos[Produto],0)),"produto não cadastrado")</f>
        <v>DISPUTADO</v>
      </c>
      <c r="K410" s="12">
        <f>tItens[[#This Row],[Qtd]]*tItens[[#This Row],[Vlr unit]]</f>
        <v>130916.25000000001</v>
      </c>
      <c r="L410" s="6">
        <f>IFERROR(IF(INDEX(tProdutos[Desconto homologado],MATCH(tItens[[#This Row],[Produto]],tProdutos[Produto],0))="",DescontoPadrao,INDEX(tProdutos[Desconto homologado],MATCH(tItens[[#This Row],[Produto]],tProdutos[Produto],0))),DescontoPadrao)</f>
        <v>0.26086956521739102</v>
      </c>
      <c r="M410" s="12">
        <f>tItens[[#This Row],[Valor]]*(1-tItens[[#This Row],[Desconto]])</f>
        <v>96764.184782608747</v>
      </c>
      <c r="N410" t="str">
        <f>IFERROR(INDEX(tProdutos[Foco],MATCH(tItens[[#This Row],[Produto]],tProdutos[Produto],0)),"Não")</f>
        <v>Não</v>
      </c>
      <c r="O410" t="str">
        <f>IFERROR(INDEX(tEditais[SRP],MATCH(tItens[[#This Row],[Edital]],tEditais[Edital],0)),"Não")</f>
        <v>Sim</v>
      </c>
      <c r="P410" s="4">
        <f>IF(COUNTIFS(INDEX(tItens[Edital],1):tItens[[#This Row],[Edital]],tItens[[#This Row],[Edital]],INDEX(tItens[Produto],1):tItens[[#This Row],[Produto]],tItens[[#This Row],[Produto]])=1,1,0)</f>
        <v>1</v>
      </c>
    </row>
    <row r="411" spans="1:16" x14ac:dyDescent="0.25">
      <c r="A411" t="s">
        <v>824</v>
      </c>
      <c r="B411">
        <v>80001</v>
      </c>
      <c r="C411" t="s">
        <v>3629</v>
      </c>
      <c r="D411" t="s">
        <v>349</v>
      </c>
      <c r="E411" s="13">
        <v>50530</v>
      </c>
      <c r="F411" s="12">
        <v>1.63</v>
      </c>
      <c r="G411" t="str">
        <f>IFERROR(INDEX(tEditais[Órgão],MATCH(tItens[[#This Row],[Edital]],tEditais[Edital],0)),"")</f>
        <v>ESTADO DA BAHIA</v>
      </c>
      <c r="H411" t="str">
        <f>IFERROR(INDEX(tEditais[UF],MATCH(tItens[[#This Row],[Edital]],tEditais[Edital],0)),"")</f>
        <v>BA</v>
      </c>
      <c r="I411" s="11">
        <f>IFERROR(INDEX(tEditais[Encerramento],MATCH(tItens[[#This Row],[Edital]],tEditais[Edital],0)),"")</f>
        <v>46304.416666666664</v>
      </c>
      <c r="J411" t="str">
        <f>IFERROR(INDEX(tProdutos[Classe],MATCH(tItens[[#This Row],[Produto]],tProdutos[Produto],0)),"produto não cadastrado")</f>
        <v>FORA</v>
      </c>
      <c r="K411" s="12">
        <f>tItens[[#This Row],[Qtd]]*tItens[[#This Row],[Vlr unit]]</f>
        <v>82363.899999999994</v>
      </c>
      <c r="L411" s="6">
        <f>IFERROR(IF(INDEX(tProdutos[Desconto homologado],MATCH(tItens[[#This Row],[Produto]],tProdutos[Produto],0))="",DescontoPadrao,INDEX(tProdutos[Desconto homologado],MATCH(tItens[[#This Row],[Produto]],tProdutos[Produto],0))),DescontoPadrao)</f>
        <v>0.38826228254635797</v>
      </c>
      <c r="M411" s="12">
        <f>tItens[[#This Row],[Valor]]*(1-tItens[[#This Row],[Desconto]])</f>
        <v>50385.104186580022</v>
      </c>
      <c r="N411" t="str">
        <f>IFERROR(INDEX(tProdutos[Foco],MATCH(tItens[[#This Row],[Produto]],tProdutos[Produto],0)),"Não")</f>
        <v>Não</v>
      </c>
      <c r="O411" t="str">
        <f>IFERROR(INDEX(tEditais[SRP],MATCH(tItens[[#This Row],[Edital]],tEditais[Edital],0)),"Não")</f>
        <v>Sim</v>
      </c>
      <c r="P411" s="4">
        <f>IF(COUNTIFS(INDEX(tItens[Edital],1):tItens[[#This Row],[Edital]],tItens[[#This Row],[Edital]],INDEX(tItens[Produto],1):tItens[[#This Row],[Produto]],tItens[[#This Row],[Produto]])=1,1,0)</f>
        <v>0</v>
      </c>
    </row>
    <row r="412" spans="1:16" x14ac:dyDescent="0.25">
      <c r="A412" t="s">
        <v>824</v>
      </c>
      <c r="B412">
        <v>90001</v>
      </c>
      <c r="C412" t="s">
        <v>3630</v>
      </c>
      <c r="D412" t="s">
        <v>158</v>
      </c>
      <c r="E412" s="13">
        <v>53875</v>
      </c>
      <c r="F412" s="12">
        <v>0.81</v>
      </c>
      <c r="G412" t="str">
        <f>IFERROR(INDEX(tEditais[Órgão],MATCH(tItens[[#This Row],[Edital]],tEditais[Edital],0)),"")</f>
        <v>ESTADO DA BAHIA</v>
      </c>
      <c r="H412" t="str">
        <f>IFERROR(INDEX(tEditais[UF],MATCH(tItens[[#This Row],[Edital]],tEditais[Edital],0)),"")</f>
        <v>BA</v>
      </c>
      <c r="I412" s="11">
        <f>IFERROR(INDEX(tEditais[Encerramento],MATCH(tItens[[#This Row],[Edital]],tEditais[Edital],0)),"")</f>
        <v>46304.416666666664</v>
      </c>
      <c r="J412" t="str">
        <f>IFERROR(INDEX(tProdutos[Classe],MATCH(tItens[[#This Row],[Produto]],tProdutos[Produto],0)),"produto não cadastrado")</f>
        <v>DISPUTADO</v>
      </c>
      <c r="K412" s="12">
        <f>tItens[[#This Row],[Qtd]]*tItens[[#This Row],[Vlr unit]]</f>
        <v>43638.75</v>
      </c>
      <c r="L412" s="6">
        <f>IFERROR(IF(INDEX(tProdutos[Desconto homologado],MATCH(tItens[[#This Row],[Produto]],tProdutos[Produto],0))="",DescontoPadrao,INDEX(tProdutos[Desconto homologado],MATCH(tItens[[#This Row],[Produto]],tProdutos[Produto],0))),DescontoPadrao)</f>
        <v>0.26086956521739102</v>
      </c>
      <c r="M412" s="12">
        <f>tItens[[#This Row],[Valor]]*(1-tItens[[#This Row],[Desconto]])</f>
        <v>32254.728260869579</v>
      </c>
      <c r="N412" t="str">
        <f>IFERROR(INDEX(tProdutos[Foco],MATCH(tItens[[#This Row],[Produto]],tProdutos[Produto],0)),"Não")</f>
        <v>Não</v>
      </c>
      <c r="O412" t="str">
        <f>IFERROR(INDEX(tEditais[SRP],MATCH(tItens[[#This Row],[Edital]],tEditais[Edital],0)),"Não")</f>
        <v>Sim</v>
      </c>
      <c r="P412" s="4">
        <f>IF(COUNTIFS(INDEX(tItens[Edital],1):tItens[[#This Row],[Edital]],tItens[[#This Row],[Edital]],INDEX(tItens[Produto],1):tItens[[#This Row],[Produto]],tItens[[#This Row],[Produto]])=1,1,0)</f>
        <v>0</v>
      </c>
    </row>
    <row r="413" spans="1:16" x14ac:dyDescent="0.25">
      <c r="A413" t="s">
        <v>828</v>
      </c>
      <c r="B413">
        <v>75280</v>
      </c>
      <c r="C413" t="s">
        <v>3631</v>
      </c>
      <c r="D413" t="s">
        <v>341</v>
      </c>
      <c r="E413" s="13">
        <v>150</v>
      </c>
      <c r="F413" s="12">
        <v>22.6</v>
      </c>
      <c r="G413" t="str">
        <f>IFERROR(INDEX(tEditais[Órgão],MATCH(tItens[[#This Row],[Edital]],tEditais[Edital],0)),"")</f>
        <v>FUNDACAO DA CRIANCA E ADOLESCENTE</v>
      </c>
      <c r="H413" t="str">
        <f>IFERROR(INDEX(tEditais[UF],MATCH(tItens[[#This Row],[Edital]],tEditais[Edital],0)),"")</f>
        <v>BA</v>
      </c>
      <c r="I413" s="11">
        <f>IFERROR(INDEX(tEditais[Encerramento],MATCH(tItens[[#This Row],[Edital]],tEditais[Edital],0)),"")</f>
        <v>46304.4375</v>
      </c>
      <c r="J413" t="str">
        <f>IFERROR(INDEX(tProdutos[Classe],MATCH(tItens[[#This Row],[Produto]],tProdutos[Produto],0)),"produto não cadastrado")</f>
        <v>FORA</v>
      </c>
      <c r="K413" s="12">
        <f>tItens[[#This Row],[Qtd]]*tItens[[#This Row],[Vlr unit]]</f>
        <v>3390</v>
      </c>
      <c r="L413" s="6">
        <f>IFERROR(IF(INDEX(tProdutos[Desconto homologado],MATCH(tItens[[#This Row],[Produto]],tProdutos[Produto],0))="",DescontoPadrao,INDEX(tProdutos[Desconto homologado],MATCH(tItens[[#This Row],[Produto]],tProdutos[Produto],0))),DescontoPadrao)</f>
        <v>0.46918578497525898</v>
      </c>
      <c r="M413" s="12">
        <f>tItens[[#This Row],[Valor]]*(1-tItens[[#This Row],[Desconto]])</f>
        <v>1799.4601889338721</v>
      </c>
      <c r="N413" t="str">
        <f>IFERROR(INDEX(tProdutos[Foco],MATCH(tItens[[#This Row],[Produto]],tProdutos[Produto],0)),"Não")</f>
        <v>Não</v>
      </c>
      <c r="O413" t="str">
        <f>IFERROR(INDEX(tEditais[SRP],MATCH(tItens[[#This Row],[Edital]],tEditais[Edital],0)),"Não")</f>
        <v>Não</v>
      </c>
      <c r="P413" s="4">
        <f>IF(COUNTIFS(INDEX(tItens[Edital],1):tItens[[#This Row],[Edital]],tItens[[#This Row],[Edital]],INDEX(tItens[Produto],1):tItens[[#This Row],[Produto]],tItens[[#This Row],[Produto]])=1,1,0)</f>
        <v>1</v>
      </c>
    </row>
    <row r="414" spans="1:16" x14ac:dyDescent="0.25">
      <c r="A414" t="s">
        <v>831</v>
      </c>
      <c r="B414">
        <v>985422</v>
      </c>
      <c r="C414" t="s">
        <v>3632</v>
      </c>
      <c r="D414" t="s">
        <v>319</v>
      </c>
      <c r="E414" s="13">
        <v>600</v>
      </c>
      <c r="F414" s="12">
        <v>40</v>
      </c>
      <c r="G414" t="str">
        <f>IFERROR(INDEX(tEditais[Órgão],MATCH(tItens[[#This Row],[Edital]],tEditais[Edital],0)),"")</f>
        <v>FUNDO ESTADUAL DE SAUDE DO ESTADO DA BAHIA</v>
      </c>
      <c r="H414" t="str">
        <f>IFERROR(INDEX(tEditais[UF],MATCH(tItens[[#This Row],[Edital]],tEditais[Edital],0)),"")</f>
        <v>BA</v>
      </c>
      <c r="I414" s="11">
        <f>IFERROR(INDEX(tEditais[Encerramento],MATCH(tItens[[#This Row],[Edital]],tEditais[Edital],0)),"")</f>
        <v>46304.645833333336</v>
      </c>
      <c r="J414" t="str">
        <f>IFERROR(INDEX(tProdutos[Classe],MATCH(tItens[[#This Row],[Produto]],tProdutos[Produto],0)),"produto não cadastrado")</f>
        <v>FORA</v>
      </c>
      <c r="K414" s="12">
        <f>tItens[[#This Row],[Qtd]]*tItens[[#This Row],[Vlr unit]]</f>
        <v>24000</v>
      </c>
      <c r="L414" s="6">
        <f>IFERROR(IF(INDEX(tProdutos[Desconto homologado],MATCH(tItens[[#This Row],[Produto]],tProdutos[Produto],0))="",DescontoPadrao,INDEX(tProdutos[Desconto homologado],MATCH(tItens[[#This Row],[Produto]],tProdutos[Produto],0))),DescontoPadrao)</f>
        <v>0.210006500066517</v>
      </c>
      <c r="M414" s="12">
        <f>tItens[[#This Row],[Valor]]*(1-tItens[[#This Row],[Desconto]])</f>
        <v>18959.84399840359</v>
      </c>
      <c r="N414" t="str">
        <f>IFERROR(INDEX(tProdutos[Foco],MATCH(tItens[[#This Row],[Produto]],tProdutos[Produto],0)),"Não")</f>
        <v>Não</v>
      </c>
      <c r="O414" t="str">
        <f>IFERROR(INDEX(tEditais[SRP],MATCH(tItens[[#This Row],[Edital]],tEditais[Edital],0)),"Não")</f>
        <v>Não</v>
      </c>
      <c r="P414" s="4">
        <f>IF(COUNTIFS(INDEX(tItens[Edital],1):tItens[[#This Row],[Edital]],tItens[[#This Row],[Edital]],INDEX(tItens[Produto],1):tItens[[#This Row],[Produto]],tItens[[#This Row],[Produto]])=1,1,0)</f>
        <v>1</v>
      </c>
    </row>
    <row r="415" spans="1:16" x14ac:dyDescent="0.25">
      <c r="A415" t="s">
        <v>833</v>
      </c>
      <c r="B415">
        <v>273</v>
      </c>
      <c r="C415" t="s">
        <v>3633</v>
      </c>
      <c r="D415" t="s">
        <v>71</v>
      </c>
      <c r="E415" s="13">
        <v>60</v>
      </c>
      <c r="F415" s="12">
        <v>0</v>
      </c>
      <c r="G415" t="str">
        <f>IFERROR(INDEX(tEditais[Órgão],MATCH(tItens[[#This Row],[Edital]],tEditais[Edital],0)),"")</f>
        <v>MUNICIPIO DE CONTENDAS DO SINCORA</v>
      </c>
      <c r="H415" t="str">
        <f>IFERROR(INDEX(tEditais[UF],MATCH(tItens[[#This Row],[Edital]],tEditais[Edital],0)),"")</f>
        <v>BA</v>
      </c>
      <c r="I415" s="11">
        <f>IFERROR(INDEX(tEditais[Encerramento],MATCH(tItens[[#This Row],[Edital]],tEditais[Edital],0)),"")</f>
        <v>46304.708333333336</v>
      </c>
      <c r="J415" t="str">
        <f>IFERROR(INDEX(tProdutos[Classe],MATCH(tItens[[#This Row],[Produto]],tProdutos[Produto],0)),"produto não cadastrado")</f>
        <v>NÚCLEO</v>
      </c>
      <c r="K415" s="12">
        <f>tItens[[#This Row],[Qtd]]*tItens[[#This Row],[Vlr unit]]</f>
        <v>0</v>
      </c>
      <c r="L415" s="6">
        <f>IFERROR(IF(INDEX(tProdutos[Desconto homologado],MATCH(tItens[[#This Row],[Produto]],tProdutos[Produto],0))="",DescontoPadrao,INDEX(tProdutos[Desconto homologado],MATCH(tItens[[#This Row],[Produto]],tProdutos[Produto],0))),DescontoPadrao)</f>
        <v>0.44981412639405199</v>
      </c>
      <c r="M415" s="12">
        <f>tItens[[#This Row],[Valor]]*(1-tItens[[#This Row],[Desconto]])</f>
        <v>0</v>
      </c>
      <c r="N415" t="str">
        <f>IFERROR(INDEX(tProdutos[Foco],MATCH(tItens[[#This Row],[Produto]],tProdutos[Produto],0)),"Não")</f>
        <v>Não</v>
      </c>
      <c r="O415" t="str">
        <f>IFERROR(INDEX(tEditais[SRP],MATCH(tItens[[#This Row],[Edital]],tEditais[Edital],0)),"Não")</f>
        <v>Não</v>
      </c>
      <c r="P415" s="4">
        <f>IF(COUNTIFS(INDEX(tItens[Edital],1):tItens[[#This Row],[Edital]],tItens[[#This Row],[Edital]],INDEX(tItens[Produto],1):tItens[[#This Row],[Produto]],tItens[[#This Row],[Produto]])=1,1,0)</f>
        <v>1</v>
      </c>
    </row>
    <row r="416" spans="1:16" x14ac:dyDescent="0.25">
      <c r="A416" t="s">
        <v>833</v>
      </c>
      <c r="B416">
        <v>331</v>
      </c>
      <c r="C416" t="s">
        <v>3634</v>
      </c>
      <c r="D416" t="s">
        <v>437</v>
      </c>
      <c r="E416" s="13">
        <v>220</v>
      </c>
      <c r="F416" s="12">
        <v>0</v>
      </c>
      <c r="G416" t="str">
        <f>IFERROR(INDEX(tEditais[Órgão],MATCH(tItens[[#This Row],[Edital]],tEditais[Edital],0)),"")</f>
        <v>MUNICIPIO DE CONTENDAS DO SINCORA</v>
      </c>
      <c r="H416" t="str">
        <f>IFERROR(INDEX(tEditais[UF],MATCH(tItens[[#This Row],[Edital]],tEditais[Edital],0)),"")</f>
        <v>BA</v>
      </c>
      <c r="I416" s="11">
        <f>IFERROR(INDEX(tEditais[Encerramento],MATCH(tItens[[#This Row],[Edital]],tEditais[Edital],0)),"")</f>
        <v>46304.708333333336</v>
      </c>
      <c r="J416" t="str">
        <f>IFERROR(INDEX(tProdutos[Classe],MATCH(tItens[[#This Row],[Produto]],tProdutos[Produto],0)),"produto não cadastrado")</f>
        <v>FILA REBASE</v>
      </c>
      <c r="K416" s="12">
        <f>tItens[[#This Row],[Qtd]]*tItens[[#This Row],[Vlr unit]]</f>
        <v>0</v>
      </c>
      <c r="L416" s="6">
        <f>IFERROR(IF(INDEX(tProdutos[Desconto homologado],MATCH(tItens[[#This Row],[Produto]],tProdutos[Produto],0))="",DescontoPadrao,INDEX(tProdutos[Desconto homologado],MATCH(tItens[[#This Row],[Produto]],tProdutos[Produto],0))),DescontoPadrao)</f>
        <v>0.23334221878164699</v>
      </c>
      <c r="M416" s="12">
        <f>tItens[[#This Row],[Valor]]*(1-tItens[[#This Row],[Desconto]])</f>
        <v>0</v>
      </c>
      <c r="N416" t="str">
        <f>IFERROR(INDEX(tProdutos[Foco],MATCH(tItens[[#This Row],[Produto]],tProdutos[Produto],0)),"Não")</f>
        <v>Não</v>
      </c>
      <c r="O416" t="str">
        <f>IFERROR(INDEX(tEditais[SRP],MATCH(tItens[[#This Row],[Edital]],tEditais[Edital],0)),"Não")</f>
        <v>Não</v>
      </c>
      <c r="P416" s="4">
        <f>IF(COUNTIFS(INDEX(tItens[Edital],1):tItens[[#This Row],[Edital]],tItens[[#This Row],[Edital]],INDEX(tItens[Produto],1):tItens[[#This Row],[Produto]],tItens[[#This Row],[Produto]])=1,1,0)</f>
        <v>1</v>
      </c>
    </row>
    <row r="417" spans="1:16" x14ac:dyDescent="0.25">
      <c r="A417" t="s">
        <v>833</v>
      </c>
      <c r="B417">
        <v>371</v>
      </c>
      <c r="C417" t="s">
        <v>3635</v>
      </c>
      <c r="D417" t="s">
        <v>114</v>
      </c>
      <c r="E417" s="13">
        <v>80</v>
      </c>
      <c r="F417" s="12">
        <v>0</v>
      </c>
      <c r="G417" t="str">
        <f>IFERROR(INDEX(tEditais[Órgão],MATCH(tItens[[#This Row],[Edital]],tEditais[Edital],0)),"")</f>
        <v>MUNICIPIO DE CONTENDAS DO SINCORA</v>
      </c>
      <c r="H417" t="str">
        <f>IFERROR(INDEX(tEditais[UF],MATCH(tItens[[#This Row],[Edital]],tEditais[Edital],0)),"")</f>
        <v>BA</v>
      </c>
      <c r="I417" s="11">
        <f>IFERROR(INDEX(tEditais[Encerramento],MATCH(tItens[[#This Row],[Edital]],tEditais[Edital],0)),"")</f>
        <v>46304.708333333336</v>
      </c>
      <c r="J417" t="str">
        <f>IFERROR(INDEX(tProdutos[Classe],MATCH(tItens[[#This Row],[Produto]],tProdutos[Produto],0)),"produto não cadastrado")</f>
        <v>DISPUTADO</v>
      </c>
      <c r="K417" s="12">
        <f>tItens[[#This Row],[Qtd]]*tItens[[#This Row],[Vlr unit]]</f>
        <v>0</v>
      </c>
      <c r="L417" s="6">
        <f>IFERROR(IF(INDEX(tProdutos[Desconto homologado],MATCH(tItens[[#This Row],[Produto]],tProdutos[Produto],0))="",DescontoPadrao,INDEX(tProdutos[Desconto homologado],MATCH(tItens[[#This Row],[Produto]],tProdutos[Produto],0))),DescontoPadrao)</f>
        <v>0.24332656063896899</v>
      </c>
      <c r="M417" s="12">
        <f>tItens[[#This Row],[Valor]]*(1-tItens[[#This Row],[Desconto]])</f>
        <v>0</v>
      </c>
      <c r="N417" t="str">
        <f>IFERROR(INDEX(tProdutos[Foco],MATCH(tItens[[#This Row],[Produto]],tProdutos[Produto],0)),"Não")</f>
        <v>Não</v>
      </c>
      <c r="O417" t="str">
        <f>IFERROR(INDEX(tEditais[SRP],MATCH(tItens[[#This Row],[Edital]],tEditais[Edital],0)),"Não")</f>
        <v>Não</v>
      </c>
      <c r="P417" s="4">
        <f>IF(COUNTIFS(INDEX(tItens[Edital],1):tItens[[#This Row],[Edital]],tItens[[#This Row],[Edital]],INDEX(tItens[Produto],1):tItens[[#This Row],[Produto]],tItens[[#This Row],[Produto]])=1,1,0)</f>
        <v>1</v>
      </c>
    </row>
    <row r="418" spans="1:16" x14ac:dyDescent="0.25">
      <c r="A418" t="s">
        <v>833</v>
      </c>
      <c r="B418">
        <v>389</v>
      </c>
      <c r="C418" t="s">
        <v>3636</v>
      </c>
      <c r="D418" t="s">
        <v>56</v>
      </c>
      <c r="E418" s="13">
        <v>30</v>
      </c>
      <c r="F418" s="12">
        <v>0</v>
      </c>
      <c r="G418" t="str">
        <f>IFERROR(INDEX(tEditais[Órgão],MATCH(tItens[[#This Row],[Edital]],tEditais[Edital],0)),"")</f>
        <v>MUNICIPIO DE CONTENDAS DO SINCORA</v>
      </c>
      <c r="H418" t="str">
        <f>IFERROR(INDEX(tEditais[UF],MATCH(tItens[[#This Row],[Edital]],tEditais[Edital],0)),"")</f>
        <v>BA</v>
      </c>
      <c r="I418" s="11">
        <f>IFERROR(INDEX(tEditais[Encerramento],MATCH(tItens[[#This Row],[Edital]],tEditais[Edital],0)),"")</f>
        <v>46304.708333333336</v>
      </c>
      <c r="J418" t="str">
        <f>IFERROR(INDEX(tProdutos[Classe],MATCH(tItens[[#This Row],[Produto]],tProdutos[Produto],0)),"produto não cadastrado")</f>
        <v>NÚCLEO</v>
      </c>
      <c r="K418" s="12">
        <f>tItens[[#This Row],[Qtd]]*tItens[[#This Row],[Vlr unit]]</f>
        <v>0</v>
      </c>
      <c r="L418" s="6">
        <f>IFERROR(IF(INDEX(tProdutos[Desconto homologado],MATCH(tItens[[#This Row],[Produto]],tProdutos[Produto],0))="",DescontoPadrao,INDEX(tProdutos[Desconto homologado],MATCH(tItens[[#This Row],[Produto]],tProdutos[Produto],0))),DescontoPadrao)</f>
        <v>0.34</v>
      </c>
      <c r="M418" s="12">
        <f>tItens[[#This Row],[Valor]]*(1-tItens[[#This Row],[Desconto]])</f>
        <v>0</v>
      </c>
      <c r="N418" t="str">
        <f>IFERROR(INDEX(tProdutos[Foco],MATCH(tItens[[#This Row],[Produto]],tProdutos[Produto],0)),"Não")</f>
        <v>Sim</v>
      </c>
      <c r="O418" t="str">
        <f>IFERROR(INDEX(tEditais[SRP],MATCH(tItens[[#This Row],[Edital]],tEditais[Edital],0)),"Não")</f>
        <v>Não</v>
      </c>
      <c r="P418" s="4">
        <f>IF(COUNTIFS(INDEX(tItens[Edital],1):tItens[[#This Row],[Edital]],tItens[[#This Row],[Edital]],INDEX(tItens[Produto],1):tItens[[#This Row],[Produto]],tItens[[#This Row],[Produto]])=1,1,0)</f>
        <v>1</v>
      </c>
    </row>
    <row r="419" spans="1:16" x14ac:dyDescent="0.25">
      <c r="A419" t="s">
        <v>833</v>
      </c>
      <c r="B419">
        <v>391</v>
      </c>
      <c r="C419" t="s">
        <v>3637</v>
      </c>
      <c r="D419" t="s">
        <v>267</v>
      </c>
      <c r="E419" s="13">
        <v>220</v>
      </c>
      <c r="F419" s="12">
        <v>0</v>
      </c>
      <c r="G419" t="str">
        <f>IFERROR(INDEX(tEditais[Órgão],MATCH(tItens[[#This Row],[Edital]],tEditais[Edital],0)),"")</f>
        <v>MUNICIPIO DE CONTENDAS DO SINCORA</v>
      </c>
      <c r="H419" t="str">
        <f>IFERROR(INDEX(tEditais[UF],MATCH(tItens[[#This Row],[Edital]],tEditais[Edital],0)),"")</f>
        <v>BA</v>
      </c>
      <c r="I419" s="11">
        <f>IFERROR(INDEX(tEditais[Encerramento],MATCH(tItens[[#This Row],[Edital]],tEditais[Edital],0)),"")</f>
        <v>46304.708333333336</v>
      </c>
      <c r="J419" t="str">
        <f>IFERROR(INDEX(tProdutos[Classe],MATCH(tItens[[#This Row],[Produto]],tProdutos[Produto],0)),"produto não cadastrado")</f>
        <v>FORA</v>
      </c>
      <c r="K419" s="12">
        <f>tItens[[#This Row],[Qtd]]*tItens[[#This Row],[Vlr unit]]</f>
        <v>0</v>
      </c>
      <c r="L419" s="6">
        <f>IFERROR(IF(INDEX(tProdutos[Desconto homologado],MATCH(tItens[[#This Row],[Produto]],tProdutos[Produto],0))="",DescontoPadrao,INDEX(tProdutos[Desconto homologado],MATCH(tItens[[#This Row],[Produto]],tProdutos[Produto],0))),DescontoPadrao)</f>
        <v>0.19963672657401599</v>
      </c>
      <c r="M419" s="12">
        <f>tItens[[#This Row],[Valor]]*(1-tItens[[#This Row],[Desconto]])</f>
        <v>0</v>
      </c>
      <c r="N419" t="str">
        <f>IFERROR(INDEX(tProdutos[Foco],MATCH(tItens[[#This Row],[Produto]],tProdutos[Produto],0)),"Não")</f>
        <v>Não</v>
      </c>
      <c r="O419" t="str">
        <f>IFERROR(INDEX(tEditais[SRP],MATCH(tItens[[#This Row],[Edital]],tEditais[Edital],0)),"Não")</f>
        <v>Não</v>
      </c>
      <c r="P419" s="4">
        <f>IF(COUNTIFS(INDEX(tItens[Edital],1):tItens[[#This Row],[Edital]],tItens[[#This Row],[Edital]],INDEX(tItens[Produto],1):tItens[[#This Row],[Produto]],tItens[[#This Row],[Produto]])=1,1,0)</f>
        <v>1</v>
      </c>
    </row>
    <row r="420" spans="1:16" x14ac:dyDescent="0.25">
      <c r="A420" t="s">
        <v>833</v>
      </c>
      <c r="B420">
        <v>392</v>
      </c>
      <c r="C420" t="s">
        <v>3638</v>
      </c>
      <c r="D420" t="s">
        <v>267</v>
      </c>
      <c r="E420" s="13">
        <v>200</v>
      </c>
      <c r="F420" s="12">
        <v>0</v>
      </c>
      <c r="G420" t="str">
        <f>IFERROR(INDEX(tEditais[Órgão],MATCH(tItens[[#This Row],[Edital]],tEditais[Edital],0)),"")</f>
        <v>MUNICIPIO DE CONTENDAS DO SINCORA</v>
      </c>
      <c r="H420" t="str">
        <f>IFERROR(INDEX(tEditais[UF],MATCH(tItens[[#This Row],[Edital]],tEditais[Edital],0)),"")</f>
        <v>BA</v>
      </c>
      <c r="I420" s="11">
        <f>IFERROR(INDEX(tEditais[Encerramento],MATCH(tItens[[#This Row],[Edital]],tEditais[Edital],0)),"")</f>
        <v>46304.708333333336</v>
      </c>
      <c r="J420" t="str">
        <f>IFERROR(INDEX(tProdutos[Classe],MATCH(tItens[[#This Row],[Produto]],tProdutos[Produto],0)),"produto não cadastrado")</f>
        <v>FORA</v>
      </c>
      <c r="K420" s="12">
        <f>tItens[[#This Row],[Qtd]]*tItens[[#This Row],[Vlr unit]]</f>
        <v>0</v>
      </c>
      <c r="L420" s="6">
        <f>IFERROR(IF(INDEX(tProdutos[Desconto homologado],MATCH(tItens[[#This Row],[Produto]],tProdutos[Produto],0))="",DescontoPadrao,INDEX(tProdutos[Desconto homologado],MATCH(tItens[[#This Row],[Produto]],tProdutos[Produto],0))),DescontoPadrao)</f>
        <v>0.19963672657401599</v>
      </c>
      <c r="M420" s="12">
        <f>tItens[[#This Row],[Valor]]*(1-tItens[[#This Row],[Desconto]])</f>
        <v>0</v>
      </c>
      <c r="N420" t="str">
        <f>IFERROR(INDEX(tProdutos[Foco],MATCH(tItens[[#This Row],[Produto]],tProdutos[Produto],0)),"Não")</f>
        <v>Não</v>
      </c>
      <c r="O420" t="str">
        <f>IFERROR(INDEX(tEditais[SRP],MATCH(tItens[[#This Row],[Edital]],tEditais[Edital],0)),"Não")</f>
        <v>Não</v>
      </c>
      <c r="P420" s="4">
        <f>IF(COUNTIFS(INDEX(tItens[Edital],1):tItens[[#This Row],[Edital]],tItens[[#This Row],[Edital]],INDEX(tItens[Produto],1):tItens[[#This Row],[Produto]],tItens[[#This Row],[Produto]])=1,1,0)</f>
        <v>0</v>
      </c>
    </row>
    <row r="421" spans="1:16" x14ac:dyDescent="0.25">
      <c r="A421" t="s">
        <v>833</v>
      </c>
      <c r="B421">
        <v>393</v>
      </c>
      <c r="C421" t="s">
        <v>3639</v>
      </c>
      <c r="D421" t="s">
        <v>267</v>
      </c>
      <c r="E421" s="13">
        <v>1000</v>
      </c>
      <c r="F421" s="12">
        <v>0</v>
      </c>
      <c r="G421" t="str">
        <f>IFERROR(INDEX(tEditais[Órgão],MATCH(tItens[[#This Row],[Edital]],tEditais[Edital],0)),"")</f>
        <v>MUNICIPIO DE CONTENDAS DO SINCORA</v>
      </c>
      <c r="H421" t="str">
        <f>IFERROR(INDEX(tEditais[UF],MATCH(tItens[[#This Row],[Edital]],tEditais[Edital],0)),"")</f>
        <v>BA</v>
      </c>
      <c r="I421" s="11">
        <f>IFERROR(INDEX(tEditais[Encerramento],MATCH(tItens[[#This Row],[Edital]],tEditais[Edital],0)),"")</f>
        <v>46304.708333333336</v>
      </c>
      <c r="J421" t="str">
        <f>IFERROR(INDEX(tProdutos[Classe],MATCH(tItens[[#This Row],[Produto]],tProdutos[Produto],0)),"produto não cadastrado")</f>
        <v>FORA</v>
      </c>
      <c r="K421" s="12">
        <f>tItens[[#This Row],[Qtd]]*tItens[[#This Row],[Vlr unit]]</f>
        <v>0</v>
      </c>
      <c r="L421" s="6">
        <f>IFERROR(IF(INDEX(tProdutos[Desconto homologado],MATCH(tItens[[#This Row],[Produto]],tProdutos[Produto],0))="",DescontoPadrao,INDEX(tProdutos[Desconto homologado],MATCH(tItens[[#This Row],[Produto]],tProdutos[Produto],0))),DescontoPadrao)</f>
        <v>0.19963672657401599</v>
      </c>
      <c r="M421" s="12">
        <f>tItens[[#This Row],[Valor]]*(1-tItens[[#This Row],[Desconto]])</f>
        <v>0</v>
      </c>
      <c r="N421" t="str">
        <f>IFERROR(INDEX(tProdutos[Foco],MATCH(tItens[[#This Row],[Produto]],tProdutos[Produto],0)),"Não")</f>
        <v>Não</v>
      </c>
      <c r="O421" t="str">
        <f>IFERROR(INDEX(tEditais[SRP],MATCH(tItens[[#This Row],[Edital]],tEditais[Edital],0)),"Não")</f>
        <v>Não</v>
      </c>
      <c r="P421" s="4">
        <f>IF(COUNTIFS(INDEX(tItens[Edital],1):tItens[[#This Row],[Edital]],tItens[[#This Row],[Edital]],INDEX(tItens[Produto],1):tItens[[#This Row],[Produto]],tItens[[#This Row],[Produto]])=1,1,0)</f>
        <v>0</v>
      </c>
    </row>
    <row r="422" spans="1:16" x14ac:dyDescent="0.25">
      <c r="A422" t="s">
        <v>833</v>
      </c>
      <c r="B422">
        <v>431</v>
      </c>
      <c r="C422" t="s">
        <v>3640</v>
      </c>
      <c r="D422" t="s">
        <v>62</v>
      </c>
      <c r="E422" s="13">
        <v>300</v>
      </c>
      <c r="F422" s="12">
        <v>0</v>
      </c>
      <c r="G422" t="str">
        <f>IFERROR(INDEX(tEditais[Órgão],MATCH(tItens[[#This Row],[Edital]],tEditais[Edital],0)),"")</f>
        <v>MUNICIPIO DE CONTENDAS DO SINCORA</v>
      </c>
      <c r="H422" t="str">
        <f>IFERROR(INDEX(tEditais[UF],MATCH(tItens[[#This Row],[Edital]],tEditais[Edital],0)),"")</f>
        <v>BA</v>
      </c>
      <c r="I422" s="11">
        <f>IFERROR(INDEX(tEditais[Encerramento],MATCH(tItens[[#This Row],[Edital]],tEditais[Edital],0)),"")</f>
        <v>46304.708333333336</v>
      </c>
      <c r="J422" t="str">
        <f>IFERROR(INDEX(tProdutos[Classe],MATCH(tItens[[#This Row],[Produto]],tProdutos[Produto],0)),"produto não cadastrado")</f>
        <v>NÚCLEO</v>
      </c>
      <c r="K422" s="12">
        <f>tItens[[#This Row],[Qtd]]*tItens[[#This Row],[Vlr unit]]</f>
        <v>0</v>
      </c>
      <c r="L422" s="6">
        <f>IFERROR(IF(INDEX(tProdutos[Desconto homologado],MATCH(tItens[[#This Row],[Produto]],tProdutos[Produto],0))="",DescontoPadrao,INDEX(tProdutos[Desconto homologado],MATCH(tItens[[#This Row],[Produto]],tProdutos[Produto],0))),DescontoPadrao)</f>
        <v>0.3</v>
      </c>
      <c r="M422" s="12">
        <f>tItens[[#This Row],[Valor]]*(1-tItens[[#This Row],[Desconto]])</f>
        <v>0</v>
      </c>
      <c r="N422" t="str">
        <f>IFERROR(INDEX(tProdutos[Foco],MATCH(tItens[[#This Row],[Produto]],tProdutos[Produto],0)),"Não")</f>
        <v>Sim</v>
      </c>
      <c r="O422" t="str">
        <f>IFERROR(INDEX(tEditais[SRP],MATCH(tItens[[#This Row],[Edital]],tEditais[Edital],0)),"Não")</f>
        <v>Não</v>
      </c>
      <c r="P422" s="4">
        <f>IF(COUNTIFS(INDEX(tItens[Edital],1):tItens[[#This Row],[Edital]],tItens[[#This Row],[Edital]],INDEX(tItens[Produto],1):tItens[[#This Row],[Produto]],tItens[[#This Row],[Produto]])=1,1,0)</f>
        <v>1</v>
      </c>
    </row>
    <row r="423" spans="1:16" x14ac:dyDescent="0.25">
      <c r="A423" t="s">
        <v>833</v>
      </c>
      <c r="B423">
        <v>435</v>
      </c>
      <c r="C423" t="s">
        <v>3641</v>
      </c>
      <c r="D423" t="s">
        <v>423</v>
      </c>
      <c r="E423" s="13">
        <v>20</v>
      </c>
      <c r="F423" s="12">
        <v>0</v>
      </c>
      <c r="G423" t="str">
        <f>IFERROR(INDEX(tEditais[Órgão],MATCH(tItens[[#This Row],[Edital]],tEditais[Edital],0)),"")</f>
        <v>MUNICIPIO DE CONTENDAS DO SINCORA</v>
      </c>
      <c r="H423" t="str">
        <f>IFERROR(INDEX(tEditais[UF],MATCH(tItens[[#This Row],[Edital]],tEditais[Edital],0)),"")</f>
        <v>BA</v>
      </c>
      <c r="I423" s="11">
        <f>IFERROR(INDEX(tEditais[Encerramento],MATCH(tItens[[#This Row],[Edital]],tEditais[Edital],0)),"")</f>
        <v>46304.708333333336</v>
      </c>
      <c r="J423" t="str">
        <f>IFERROR(INDEX(tProdutos[Classe],MATCH(tItens[[#This Row],[Produto]],tProdutos[Produto],0)),"produto não cadastrado")</f>
        <v>FORA</v>
      </c>
      <c r="K423" s="12">
        <f>tItens[[#This Row],[Qtd]]*tItens[[#This Row],[Vlr unit]]</f>
        <v>0</v>
      </c>
      <c r="L423" s="6">
        <f>IFERROR(IF(INDEX(tProdutos[Desconto homologado],MATCH(tItens[[#This Row],[Produto]],tProdutos[Produto],0))="",DescontoPadrao,INDEX(tProdutos[Desconto homologado],MATCH(tItens[[#This Row],[Produto]],tProdutos[Produto],0))),DescontoPadrao)</f>
        <v>0.38271604938271597</v>
      </c>
      <c r="M423" s="12">
        <f>tItens[[#This Row],[Valor]]*(1-tItens[[#This Row],[Desconto]])</f>
        <v>0</v>
      </c>
      <c r="N423" t="str">
        <f>IFERROR(INDEX(tProdutos[Foco],MATCH(tItens[[#This Row],[Produto]],tProdutos[Produto],0)),"Não")</f>
        <v>Não</v>
      </c>
      <c r="O423" t="str">
        <f>IFERROR(INDEX(tEditais[SRP],MATCH(tItens[[#This Row],[Edital]],tEditais[Edital],0)),"Não")</f>
        <v>Não</v>
      </c>
      <c r="P423" s="4">
        <f>IF(COUNTIFS(INDEX(tItens[Edital],1):tItens[[#This Row],[Edital]],tItens[[#This Row],[Edital]],INDEX(tItens[Produto],1):tItens[[#This Row],[Produto]],tItens[[#This Row],[Produto]])=1,1,0)</f>
        <v>1</v>
      </c>
    </row>
    <row r="424" spans="1:16" x14ac:dyDescent="0.25">
      <c r="A424" t="s">
        <v>833</v>
      </c>
      <c r="B424">
        <v>439</v>
      </c>
      <c r="C424" t="s">
        <v>3642</v>
      </c>
      <c r="D424" t="s">
        <v>279</v>
      </c>
      <c r="E424" s="13">
        <v>200</v>
      </c>
      <c r="F424" s="12">
        <v>0</v>
      </c>
      <c r="G424" t="str">
        <f>IFERROR(INDEX(tEditais[Órgão],MATCH(tItens[[#This Row],[Edital]],tEditais[Edital],0)),"")</f>
        <v>MUNICIPIO DE CONTENDAS DO SINCORA</v>
      </c>
      <c r="H424" t="str">
        <f>IFERROR(INDEX(tEditais[UF],MATCH(tItens[[#This Row],[Edital]],tEditais[Edital],0)),"")</f>
        <v>BA</v>
      </c>
      <c r="I424" s="11">
        <f>IFERROR(INDEX(tEditais[Encerramento],MATCH(tItens[[#This Row],[Edital]],tEditais[Edital],0)),"")</f>
        <v>46304.708333333336</v>
      </c>
      <c r="J424" t="str">
        <f>IFERROR(INDEX(tProdutos[Classe],MATCH(tItens[[#This Row],[Produto]],tProdutos[Produto],0)),"produto não cadastrado")</f>
        <v>FORA</v>
      </c>
      <c r="K424" s="12">
        <f>tItens[[#This Row],[Qtd]]*tItens[[#This Row],[Vlr unit]]</f>
        <v>0</v>
      </c>
      <c r="L424" s="6">
        <f>IFERROR(IF(INDEX(tProdutos[Desconto homologado],MATCH(tItens[[#This Row],[Produto]],tProdutos[Produto],0))="",DescontoPadrao,INDEX(tProdutos[Desconto homologado],MATCH(tItens[[#This Row],[Produto]],tProdutos[Produto],0))),DescontoPadrao)</f>
        <v>0.28909090909090901</v>
      </c>
      <c r="M424" s="12">
        <f>tItens[[#This Row],[Valor]]*(1-tItens[[#This Row],[Desconto]])</f>
        <v>0</v>
      </c>
      <c r="N424" t="str">
        <f>IFERROR(INDEX(tProdutos[Foco],MATCH(tItens[[#This Row],[Produto]],tProdutos[Produto],0)),"Não")</f>
        <v>Não</v>
      </c>
      <c r="O424" t="str">
        <f>IFERROR(INDEX(tEditais[SRP],MATCH(tItens[[#This Row],[Edital]],tEditais[Edital],0)),"Não")</f>
        <v>Não</v>
      </c>
      <c r="P424" s="4">
        <f>IF(COUNTIFS(INDEX(tItens[Edital],1):tItens[[#This Row],[Edital]],tItens[[#This Row],[Edital]],INDEX(tItens[Produto],1):tItens[[#This Row],[Produto]],tItens[[#This Row],[Produto]])=1,1,0)</f>
        <v>1</v>
      </c>
    </row>
    <row r="425" spans="1:16" x14ac:dyDescent="0.25">
      <c r="A425" t="s">
        <v>833</v>
      </c>
      <c r="B425">
        <v>440</v>
      </c>
      <c r="C425" t="s">
        <v>3643</v>
      </c>
      <c r="D425" t="s">
        <v>611</v>
      </c>
      <c r="E425" s="13">
        <v>10</v>
      </c>
      <c r="F425" s="12">
        <v>0</v>
      </c>
      <c r="G425" t="str">
        <f>IFERROR(INDEX(tEditais[Órgão],MATCH(tItens[[#This Row],[Edital]],tEditais[Edital],0)),"")</f>
        <v>MUNICIPIO DE CONTENDAS DO SINCORA</v>
      </c>
      <c r="H425" t="str">
        <f>IFERROR(INDEX(tEditais[UF],MATCH(tItens[[#This Row],[Edital]],tEditais[Edital],0)),"")</f>
        <v>BA</v>
      </c>
      <c r="I425" s="11">
        <f>IFERROR(INDEX(tEditais[Encerramento],MATCH(tItens[[#This Row],[Edital]],tEditais[Edital],0)),"")</f>
        <v>46304.708333333336</v>
      </c>
      <c r="J425" t="str">
        <f>IFERROR(INDEX(tProdutos[Classe],MATCH(tItens[[#This Row],[Produto]],tProdutos[Produto],0)),"produto não cadastrado")</f>
        <v>FILA REBASE</v>
      </c>
      <c r="K425" s="12">
        <f>tItens[[#This Row],[Qtd]]*tItens[[#This Row],[Vlr unit]]</f>
        <v>0</v>
      </c>
      <c r="L425" s="6">
        <f>IFERROR(IF(INDEX(tProdutos[Desconto homologado],MATCH(tItens[[#This Row],[Produto]],tProdutos[Produto],0))="",DescontoPadrao,INDEX(tProdutos[Desconto homologado],MATCH(tItens[[#This Row],[Produto]],tProdutos[Produto],0))),DescontoPadrao)</f>
        <v>0.3</v>
      </c>
      <c r="M425" s="12">
        <f>tItens[[#This Row],[Valor]]*(1-tItens[[#This Row],[Desconto]])</f>
        <v>0</v>
      </c>
      <c r="N425" t="str">
        <f>IFERROR(INDEX(tProdutos[Foco],MATCH(tItens[[#This Row],[Produto]],tProdutos[Produto],0)),"Não")</f>
        <v>Não</v>
      </c>
      <c r="O425" t="str">
        <f>IFERROR(INDEX(tEditais[SRP],MATCH(tItens[[#This Row],[Edital]],tEditais[Edital],0)),"Não")</f>
        <v>Não</v>
      </c>
      <c r="P425" s="4">
        <f>IF(COUNTIFS(INDEX(tItens[Edital],1):tItens[[#This Row],[Edital]],tItens[[#This Row],[Edital]],INDEX(tItens[Produto],1):tItens[[#This Row],[Produto]],tItens[[#This Row],[Produto]])=1,1,0)</f>
        <v>1</v>
      </c>
    </row>
    <row r="426" spans="1:16" x14ac:dyDescent="0.25">
      <c r="A426" t="s">
        <v>833</v>
      </c>
      <c r="B426">
        <v>452</v>
      </c>
      <c r="C426" t="s">
        <v>3644</v>
      </c>
      <c r="D426" t="s">
        <v>73</v>
      </c>
      <c r="E426" s="13">
        <v>2000</v>
      </c>
      <c r="F426" s="12">
        <v>0</v>
      </c>
      <c r="G426" t="str">
        <f>IFERROR(INDEX(tEditais[Órgão],MATCH(tItens[[#This Row],[Edital]],tEditais[Edital],0)),"")</f>
        <v>MUNICIPIO DE CONTENDAS DO SINCORA</v>
      </c>
      <c r="H426" t="str">
        <f>IFERROR(INDEX(tEditais[UF],MATCH(tItens[[#This Row],[Edital]],tEditais[Edital],0)),"")</f>
        <v>BA</v>
      </c>
      <c r="I426" s="11">
        <f>IFERROR(INDEX(tEditais[Encerramento],MATCH(tItens[[#This Row],[Edital]],tEditais[Edital],0)),"")</f>
        <v>46304.708333333336</v>
      </c>
      <c r="J426" t="str">
        <f>IFERROR(INDEX(tProdutos[Classe],MATCH(tItens[[#This Row],[Produto]],tProdutos[Produto],0)),"produto não cadastrado")</f>
        <v>NÚCLEO</v>
      </c>
      <c r="K426" s="12">
        <f>tItens[[#This Row],[Qtd]]*tItens[[#This Row],[Vlr unit]]</f>
        <v>0</v>
      </c>
      <c r="L426" s="6">
        <f>IFERROR(IF(INDEX(tProdutos[Desconto homologado],MATCH(tItens[[#This Row],[Produto]],tProdutos[Produto],0))="",DescontoPadrao,INDEX(tProdutos[Desconto homologado],MATCH(tItens[[#This Row],[Produto]],tProdutos[Produto],0))),DescontoPadrao)</f>
        <v>0.37</v>
      </c>
      <c r="M426" s="12">
        <f>tItens[[#This Row],[Valor]]*(1-tItens[[#This Row],[Desconto]])</f>
        <v>0</v>
      </c>
      <c r="N426" t="str">
        <f>IFERROR(INDEX(tProdutos[Foco],MATCH(tItens[[#This Row],[Produto]],tProdutos[Produto],0)),"Não")</f>
        <v>Sim</v>
      </c>
      <c r="O426" t="str">
        <f>IFERROR(INDEX(tEditais[SRP],MATCH(tItens[[#This Row],[Edital]],tEditais[Edital],0)),"Não")</f>
        <v>Não</v>
      </c>
      <c r="P426" s="4">
        <f>IF(COUNTIFS(INDEX(tItens[Edital],1):tItens[[#This Row],[Edital]],tItens[[#This Row],[Edital]],INDEX(tItens[Produto],1):tItens[[#This Row],[Produto]],tItens[[#This Row],[Produto]])=1,1,0)</f>
        <v>1</v>
      </c>
    </row>
    <row r="427" spans="1:16" x14ac:dyDescent="0.25">
      <c r="A427" t="s">
        <v>833</v>
      </c>
      <c r="B427">
        <v>459</v>
      </c>
      <c r="C427" t="s">
        <v>3645</v>
      </c>
      <c r="D427" t="s">
        <v>172</v>
      </c>
      <c r="E427" s="13">
        <v>200</v>
      </c>
      <c r="F427" s="12">
        <v>0</v>
      </c>
      <c r="G427" t="str">
        <f>IFERROR(INDEX(tEditais[Órgão],MATCH(tItens[[#This Row],[Edital]],tEditais[Edital],0)),"")</f>
        <v>MUNICIPIO DE CONTENDAS DO SINCORA</v>
      </c>
      <c r="H427" t="str">
        <f>IFERROR(INDEX(tEditais[UF],MATCH(tItens[[#This Row],[Edital]],tEditais[Edital],0)),"")</f>
        <v>BA</v>
      </c>
      <c r="I427" s="11">
        <f>IFERROR(INDEX(tEditais[Encerramento],MATCH(tItens[[#This Row],[Edital]],tEditais[Edital],0)),"")</f>
        <v>46304.708333333336</v>
      </c>
      <c r="J427" t="str">
        <f>IFERROR(INDEX(tProdutos[Classe],MATCH(tItens[[#This Row],[Produto]],tProdutos[Produto],0)),"produto não cadastrado")</f>
        <v>DISPUTADO</v>
      </c>
      <c r="K427" s="12">
        <f>tItens[[#This Row],[Qtd]]*tItens[[#This Row],[Vlr unit]]</f>
        <v>0</v>
      </c>
      <c r="L427" s="6">
        <f>IFERROR(IF(INDEX(tProdutos[Desconto homologado],MATCH(tItens[[#This Row],[Produto]],tProdutos[Produto],0))="",DescontoPadrao,INDEX(tProdutos[Desconto homologado],MATCH(tItens[[#This Row],[Produto]],tProdutos[Produto],0))),DescontoPadrao)</f>
        <v>0.33578431372549</v>
      </c>
      <c r="M427" s="12">
        <f>tItens[[#This Row],[Valor]]*(1-tItens[[#This Row],[Desconto]])</f>
        <v>0</v>
      </c>
      <c r="N427" t="str">
        <f>IFERROR(INDEX(tProdutos[Foco],MATCH(tItens[[#This Row],[Produto]],tProdutos[Produto],0)),"Não")</f>
        <v>Não</v>
      </c>
      <c r="O427" t="str">
        <f>IFERROR(INDEX(tEditais[SRP],MATCH(tItens[[#This Row],[Edital]],tEditais[Edital],0)),"Não")</f>
        <v>Não</v>
      </c>
      <c r="P427" s="4">
        <f>IF(COUNTIFS(INDEX(tItens[Edital],1):tItens[[#This Row],[Edital]],tItens[[#This Row],[Edital]],INDEX(tItens[Produto],1):tItens[[#This Row],[Produto]],tItens[[#This Row],[Produto]])=1,1,0)</f>
        <v>1</v>
      </c>
    </row>
    <row r="428" spans="1:16" x14ac:dyDescent="0.25">
      <c r="A428" t="s">
        <v>833</v>
      </c>
      <c r="B428">
        <v>460</v>
      </c>
      <c r="C428" t="s">
        <v>3646</v>
      </c>
      <c r="D428" t="s">
        <v>90</v>
      </c>
      <c r="E428" s="13">
        <v>1500</v>
      </c>
      <c r="F428" s="12">
        <v>0</v>
      </c>
      <c r="G428" t="str">
        <f>IFERROR(INDEX(tEditais[Órgão],MATCH(tItens[[#This Row],[Edital]],tEditais[Edital],0)),"")</f>
        <v>MUNICIPIO DE CONTENDAS DO SINCORA</v>
      </c>
      <c r="H428" t="str">
        <f>IFERROR(INDEX(tEditais[UF],MATCH(tItens[[#This Row],[Edital]],tEditais[Edital],0)),"")</f>
        <v>BA</v>
      </c>
      <c r="I428" s="11">
        <f>IFERROR(INDEX(tEditais[Encerramento],MATCH(tItens[[#This Row],[Edital]],tEditais[Edital],0)),"")</f>
        <v>46304.708333333336</v>
      </c>
      <c r="J428" t="str">
        <f>IFERROR(INDEX(tProdutos[Classe],MATCH(tItens[[#This Row],[Produto]],tProdutos[Produto],0)),"produto não cadastrado")</f>
        <v>DISPUTADO</v>
      </c>
      <c r="K428" s="12">
        <f>tItens[[#This Row],[Qtd]]*tItens[[#This Row],[Vlr unit]]</f>
        <v>0</v>
      </c>
      <c r="L428" s="6">
        <f>IFERROR(IF(INDEX(tProdutos[Desconto homologado],MATCH(tItens[[#This Row],[Produto]],tProdutos[Produto],0))="",DescontoPadrao,INDEX(tProdutos[Desconto homologado],MATCH(tItens[[#This Row],[Produto]],tProdutos[Produto],0))),DescontoPadrao)</f>
        <v>0.25393823957010597</v>
      </c>
      <c r="M428" s="12">
        <f>tItens[[#This Row],[Valor]]*(1-tItens[[#This Row],[Desconto]])</f>
        <v>0</v>
      </c>
      <c r="N428" t="str">
        <f>IFERROR(INDEX(tProdutos[Foco],MATCH(tItens[[#This Row],[Produto]],tProdutos[Produto],0)),"Não")</f>
        <v>Não</v>
      </c>
      <c r="O428" t="str">
        <f>IFERROR(INDEX(tEditais[SRP],MATCH(tItens[[#This Row],[Edital]],tEditais[Edital],0)),"Não")</f>
        <v>Não</v>
      </c>
      <c r="P428" s="4">
        <f>IF(COUNTIFS(INDEX(tItens[Edital],1):tItens[[#This Row],[Edital]],tItens[[#This Row],[Edital]],INDEX(tItens[Produto],1):tItens[[#This Row],[Produto]],tItens[[#This Row],[Produto]])=1,1,0)</f>
        <v>1</v>
      </c>
    </row>
    <row r="429" spans="1:16" x14ac:dyDescent="0.25">
      <c r="A429" t="s">
        <v>833</v>
      </c>
      <c r="B429">
        <v>462</v>
      </c>
      <c r="C429" t="s">
        <v>3647</v>
      </c>
      <c r="D429" t="s">
        <v>259</v>
      </c>
      <c r="E429" s="13">
        <v>1500</v>
      </c>
      <c r="F429" s="12">
        <v>0</v>
      </c>
      <c r="G429" t="str">
        <f>IFERROR(INDEX(tEditais[Órgão],MATCH(tItens[[#This Row],[Edital]],tEditais[Edital],0)),"")</f>
        <v>MUNICIPIO DE CONTENDAS DO SINCORA</v>
      </c>
      <c r="H429" t="str">
        <f>IFERROR(INDEX(tEditais[UF],MATCH(tItens[[#This Row],[Edital]],tEditais[Edital],0)),"")</f>
        <v>BA</v>
      </c>
      <c r="I429" s="11">
        <f>IFERROR(INDEX(tEditais[Encerramento],MATCH(tItens[[#This Row],[Edital]],tEditais[Edital],0)),"")</f>
        <v>46304.708333333336</v>
      </c>
      <c r="J429" t="str">
        <f>IFERROR(INDEX(tProdutos[Classe],MATCH(tItens[[#This Row],[Produto]],tProdutos[Produto],0)),"produto não cadastrado")</f>
        <v>FORA</v>
      </c>
      <c r="K429" s="12">
        <f>tItens[[#This Row],[Qtd]]*tItens[[#This Row],[Vlr unit]]</f>
        <v>0</v>
      </c>
      <c r="L429" s="6">
        <f>IFERROR(IF(INDEX(tProdutos[Desconto homologado],MATCH(tItens[[#This Row],[Produto]],tProdutos[Produto],0))="",DescontoPadrao,INDEX(tProdutos[Desconto homologado],MATCH(tItens[[#This Row],[Produto]],tProdutos[Produto],0))),DescontoPadrao)</f>
        <v>0.374798283789543</v>
      </c>
      <c r="M429" s="12">
        <f>tItens[[#This Row],[Valor]]*(1-tItens[[#This Row],[Desconto]])</f>
        <v>0</v>
      </c>
      <c r="N429" t="str">
        <f>IFERROR(INDEX(tProdutos[Foco],MATCH(tItens[[#This Row],[Produto]],tProdutos[Produto],0)),"Não")</f>
        <v>Não</v>
      </c>
      <c r="O429" t="str">
        <f>IFERROR(INDEX(tEditais[SRP],MATCH(tItens[[#This Row],[Edital]],tEditais[Edital],0)),"Não")</f>
        <v>Não</v>
      </c>
      <c r="P429" s="4">
        <f>IF(COUNTIFS(INDEX(tItens[Edital],1):tItens[[#This Row],[Edital]],tItens[[#This Row],[Edital]],INDEX(tItens[Produto],1):tItens[[#This Row],[Produto]],tItens[[#This Row],[Produto]])=1,1,0)</f>
        <v>1</v>
      </c>
    </row>
    <row r="430" spans="1:16" x14ac:dyDescent="0.25">
      <c r="A430" t="s">
        <v>833</v>
      </c>
      <c r="B430">
        <v>465</v>
      </c>
      <c r="C430" t="s">
        <v>3648</v>
      </c>
      <c r="D430" t="s">
        <v>142</v>
      </c>
      <c r="E430" s="13">
        <v>1000</v>
      </c>
      <c r="F430" s="12">
        <v>0</v>
      </c>
      <c r="G430" t="str">
        <f>IFERROR(INDEX(tEditais[Órgão],MATCH(tItens[[#This Row],[Edital]],tEditais[Edital],0)),"")</f>
        <v>MUNICIPIO DE CONTENDAS DO SINCORA</v>
      </c>
      <c r="H430" t="str">
        <f>IFERROR(INDEX(tEditais[UF],MATCH(tItens[[#This Row],[Edital]],tEditais[Edital],0)),"")</f>
        <v>BA</v>
      </c>
      <c r="I430" s="11">
        <f>IFERROR(INDEX(tEditais[Encerramento],MATCH(tItens[[#This Row],[Edital]],tEditais[Edital],0)),"")</f>
        <v>46304.708333333336</v>
      </c>
      <c r="J430" t="str">
        <f>IFERROR(INDEX(tProdutos[Classe],MATCH(tItens[[#This Row],[Produto]],tProdutos[Produto],0)),"produto não cadastrado")</f>
        <v>DISPUTADO</v>
      </c>
      <c r="K430" s="12">
        <f>tItens[[#This Row],[Qtd]]*tItens[[#This Row],[Vlr unit]]</f>
        <v>0</v>
      </c>
      <c r="L430" s="6">
        <f>IFERROR(IF(INDEX(tProdutos[Desconto homologado],MATCH(tItens[[#This Row],[Produto]],tProdutos[Produto],0))="",DescontoPadrao,INDEX(tProdutos[Desconto homologado],MATCH(tItens[[#This Row],[Produto]],tProdutos[Produto],0))),DescontoPadrao)</f>
        <v>0.37093619495691699</v>
      </c>
      <c r="M430" s="12">
        <f>tItens[[#This Row],[Valor]]*(1-tItens[[#This Row],[Desconto]])</f>
        <v>0</v>
      </c>
      <c r="N430" t="str">
        <f>IFERROR(INDEX(tProdutos[Foco],MATCH(tItens[[#This Row],[Produto]],tProdutos[Produto],0)),"Não")</f>
        <v>Não</v>
      </c>
      <c r="O430" t="str">
        <f>IFERROR(INDEX(tEditais[SRP],MATCH(tItens[[#This Row],[Edital]],tEditais[Edital],0)),"Não")</f>
        <v>Não</v>
      </c>
      <c r="P430" s="4">
        <f>IF(COUNTIFS(INDEX(tItens[Edital],1):tItens[[#This Row],[Edital]],tItens[[#This Row],[Edital]],INDEX(tItens[Produto],1):tItens[[#This Row],[Produto]],tItens[[#This Row],[Produto]])=1,1,0)</f>
        <v>1</v>
      </c>
    </row>
    <row r="431" spans="1:16" x14ac:dyDescent="0.25">
      <c r="A431" t="s">
        <v>833</v>
      </c>
      <c r="B431">
        <v>466</v>
      </c>
      <c r="C431" t="s">
        <v>3649</v>
      </c>
      <c r="D431" t="s">
        <v>156</v>
      </c>
      <c r="E431" s="13">
        <v>50</v>
      </c>
      <c r="F431" s="12">
        <v>0</v>
      </c>
      <c r="G431" t="str">
        <f>IFERROR(INDEX(tEditais[Órgão],MATCH(tItens[[#This Row],[Edital]],tEditais[Edital],0)),"")</f>
        <v>MUNICIPIO DE CONTENDAS DO SINCORA</v>
      </c>
      <c r="H431" t="str">
        <f>IFERROR(INDEX(tEditais[UF],MATCH(tItens[[#This Row],[Edital]],tEditais[Edital],0)),"")</f>
        <v>BA</v>
      </c>
      <c r="I431" s="11">
        <f>IFERROR(INDEX(tEditais[Encerramento],MATCH(tItens[[#This Row],[Edital]],tEditais[Edital],0)),"")</f>
        <v>46304.708333333336</v>
      </c>
      <c r="J431" t="str">
        <f>IFERROR(INDEX(tProdutos[Classe],MATCH(tItens[[#This Row],[Produto]],tProdutos[Produto],0)),"produto não cadastrado")</f>
        <v>DISPUTADO</v>
      </c>
      <c r="K431" s="12">
        <f>tItens[[#This Row],[Qtd]]*tItens[[#This Row],[Vlr unit]]</f>
        <v>0</v>
      </c>
      <c r="L431" s="6">
        <f>IFERROR(IF(INDEX(tProdutos[Desconto homologado],MATCH(tItens[[#This Row],[Produto]],tProdutos[Produto],0))="",DescontoPadrao,INDEX(tProdutos[Desconto homologado],MATCH(tItens[[#This Row],[Produto]],tProdutos[Produto],0))),DescontoPadrao)</f>
        <v>0.27131852489802799</v>
      </c>
      <c r="M431" s="12">
        <f>tItens[[#This Row],[Valor]]*(1-tItens[[#This Row],[Desconto]])</f>
        <v>0</v>
      </c>
      <c r="N431" t="str">
        <f>IFERROR(INDEX(tProdutos[Foco],MATCH(tItens[[#This Row],[Produto]],tProdutos[Produto],0)),"Não")</f>
        <v>Não</v>
      </c>
      <c r="O431" t="str">
        <f>IFERROR(INDEX(tEditais[SRP],MATCH(tItens[[#This Row],[Edital]],tEditais[Edital],0)),"Não")</f>
        <v>Não</v>
      </c>
      <c r="P431" s="4">
        <f>IF(COUNTIFS(INDEX(tItens[Edital],1):tItens[[#This Row],[Edital]],tItens[[#This Row],[Edital]],INDEX(tItens[Produto],1):tItens[[#This Row],[Produto]],tItens[[#This Row],[Produto]])=1,1,0)</f>
        <v>1</v>
      </c>
    </row>
    <row r="432" spans="1:16" x14ac:dyDescent="0.25">
      <c r="A432" t="s">
        <v>833</v>
      </c>
      <c r="B432">
        <v>479</v>
      </c>
      <c r="C432" t="s">
        <v>3650</v>
      </c>
      <c r="D432" t="s">
        <v>56</v>
      </c>
      <c r="E432" s="13">
        <v>100</v>
      </c>
      <c r="F432" s="12">
        <v>0</v>
      </c>
      <c r="G432" t="str">
        <f>IFERROR(INDEX(tEditais[Órgão],MATCH(tItens[[#This Row],[Edital]],tEditais[Edital],0)),"")</f>
        <v>MUNICIPIO DE CONTENDAS DO SINCORA</v>
      </c>
      <c r="H432" t="str">
        <f>IFERROR(INDEX(tEditais[UF],MATCH(tItens[[#This Row],[Edital]],tEditais[Edital],0)),"")</f>
        <v>BA</v>
      </c>
      <c r="I432" s="11">
        <f>IFERROR(INDEX(tEditais[Encerramento],MATCH(tItens[[#This Row],[Edital]],tEditais[Edital],0)),"")</f>
        <v>46304.708333333336</v>
      </c>
      <c r="J432" t="str">
        <f>IFERROR(INDEX(tProdutos[Classe],MATCH(tItens[[#This Row],[Produto]],tProdutos[Produto],0)),"produto não cadastrado")</f>
        <v>NÚCLEO</v>
      </c>
      <c r="K432" s="12">
        <f>tItens[[#This Row],[Qtd]]*tItens[[#This Row],[Vlr unit]]</f>
        <v>0</v>
      </c>
      <c r="L432" s="6">
        <f>IFERROR(IF(INDEX(tProdutos[Desconto homologado],MATCH(tItens[[#This Row],[Produto]],tProdutos[Produto],0))="",DescontoPadrao,INDEX(tProdutos[Desconto homologado],MATCH(tItens[[#This Row],[Produto]],tProdutos[Produto],0))),DescontoPadrao)</f>
        <v>0.34</v>
      </c>
      <c r="M432" s="12">
        <f>tItens[[#This Row],[Valor]]*(1-tItens[[#This Row],[Desconto]])</f>
        <v>0</v>
      </c>
      <c r="N432" t="str">
        <f>IFERROR(INDEX(tProdutos[Foco],MATCH(tItens[[#This Row],[Produto]],tProdutos[Produto],0)),"Não")</f>
        <v>Sim</v>
      </c>
      <c r="O432" t="str">
        <f>IFERROR(INDEX(tEditais[SRP],MATCH(tItens[[#This Row],[Edital]],tEditais[Edital],0)),"Não")</f>
        <v>Não</v>
      </c>
      <c r="P432" s="4">
        <f>IF(COUNTIFS(INDEX(tItens[Edital],1):tItens[[#This Row],[Edital]],tItens[[#This Row],[Edital]],INDEX(tItens[Produto],1):tItens[[#This Row],[Produto]],tItens[[#This Row],[Produto]])=1,1,0)</f>
        <v>0</v>
      </c>
    </row>
    <row r="433" spans="1:16" x14ac:dyDescent="0.25">
      <c r="A433" t="s">
        <v>833</v>
      </c>
      <c r="B433">
        <v>480</v>
      </c>
      <c r="C433" t="s">
        <v>3651</v>
      </c>
      <c r="D433" t="s">
        <v>277</v>
      </c>
      <c r="E433" s="13">
        <v>15000</v>
      </c>
      <c r="F433" s="12">
        <v>0</v>
      </c>
      <c r="G433" t="str">
        <f>IFERROR(INDEX(tEditais[Órgão],MATCH(tItens[[#This Row],[Edital]],tEditais[Edital],0)),"")</f>
        <v>MUNICIPIO DE CONTENDAS DO SINCORA</v>
      </c>
      <c r="H433" t="str">
        <f>IFERROR(INDEX(tEditais[UF],MATCH(tItens[[#This Row],[Edital]],tEditais[Edital],0)),"")</f>
        <v>BA</v>
      </c>
      <c r="I433" s="11">
        <f>IFERROR(INDEX(tEditais[Encerramento],MATCH(tItens[[#This Row],[Edital]],tEditais[Edital],0)),"")</f>
        <v>46304.708333333336</v>
      </c>
      <c r="J433" t="str">
        <f>IFERROR(INDEX(tProdutos[Classe],MATCH(tItens[[#This Row],[Produto]],tProdutos[Produto],0)),"produto não cadastrado")</f>
        <v>DISPUTADO</v>
      </c>
      <c r="K433" s="12">
        <f>tItens[[#This Row],[Qtd]]*tItens[[#This Row],[Vlr unit]]</f>
        <v>0</v>
      </c>
      <c r="L433" s="6">
        <f>IFERROR(IF(INDEX(tProdutos[Desconto homologado],MATCH(tItens[[#This Row],[Produto]],tProdutos[Produto],0))="",DescontoPadrao,INDEX(tProdutos[Desconto homologado],MATCH(tItens[[#This Row],[Produto]],tProdutos[Produto],0))),DescontoPadrao)</f>
        <v>0.50460666194188497</v>
      </c>
      <c r="M433" s="12">
        <f>tItens[[#This Row],[Valor]]*(1-tItens[[#This Row],[Desconto]])</f>
        <v>0</v>
      </c>
      <c r="N433" t="str">
        <f>IFERROR(INDEX(tProdutos[Foco],MATCH(tItens[[#This Row],[Produto]],tProdutos[Produto],0)),"Não")</f>
        <v>Não</v>
      </c>
      <c r="O433" t="str">
        <f>IFERROR(INDEX(tEditais[SRP],MATCH(tItens[[#This Row],[Edital]],tEditais[Edital],0)),"Não")</f>
        <v>Não</v>
      </c>
      <c r="P433" s="4">
        <f>IF(COUNTIFS(INDEX(tItens[Edital],1):tItens[[#This Row],[Edital]],tItens[[#This Row],[Edital]],INDEX(tItens[Produto],1):tItens[[#This Row],[Produto]],tItens[[#This Row],[Produto]])=1,1,0)</f>
        <v>1</v>
      </c>
    </row>
    <row r="434" spans="1:16" x14ac:dyDescent="0.25">
      <c r="A434" t="s">
        <v>833</v>
      </c>
      <c r="B434">
        <v>481</v>
      </c>
      <c r="C434" t="s">
        <v>3652</v>
      </c>
      <c r="D434" t="s">
        <v>56</v>
      </c>
      <c r="E434" s="13">
        <v>100</v>
      </c>
      <c r="F434" s="12">
        <v>0</v>
      </c>
      <c r="G434" t="str">
        <f>IFERROR(INDEX(tEditais[Órgão],MATCH(tItens[[#This Row],[Edital]],tEditais[Edital],0)),"")</f>
        <v>MUNICIPIO DE CONTENDAS DO SINCORA</v>
      </c>
      <c r="H434" t="str">
        <f>IFERROR(INDEX(tEditais[UF],MATCH(tItens[[#This Row],[Edital]],tEditais[Edital],0)),"")</f>
        <v>BA</v>
      </c>
      <c r="I434" s="11">
        <f>IFERROR(INDEX(tEditais[Encerramento],MATCH(tItens[[#This Row],[Edital]],tEditais[Edital],0)),"")</f>
        <v>46304.708333333336</v>
      </c>
      <c r="J434" t="str">
        <f>IFERROR(INDEX(tProdutos[Classe],MATCH(tItens[[#This Row],[Produto]],tProdutos[Produto],0)),"produto não cadastrado")</f>
        <v>NÚCLEO</v>
      </c>
      <c r="K434" s="12">
        <f>tItens[[#This Row],[Qtd]]*tItens[[#This Row],[Vlr unit]]</f>
        <v>0</v>
      </c>
      <c r="L434" s="6">
        <f>IFERROR(IF(INDEX(tProdutos[Desconto homologado],MATCH(tItens[[#This Row],[Produto]],tProdutos[Produto],0))="",DescontoPadrao,INDEX(tProdutos[Desconto homologado],MATCH(tItens[[#This Row],[Produto]],tProdutos[Produto],0))),DescontoPadrao)</f>
        <v>0.34</v>
      </c>
      <c r="M434" s="12">
        <f>tItens[[#This Row],[Valor]]*(1-tItens[[#This Row],[Desconto]])</f>
        <v>0</v>
      </c>
      <c r="N434" t="str">
        <f>IFERROR(INDEX(tProdutos[Foco],MATCH(tItens[[#This Row],[Produto]],tProdutos[Produto],0)),"Não")</f>
        <v>Sim</v>
      </c>
      <c r="O434" t="str">
        <f>IFERROR(INDEX(tEditais[SRP],MATCH(tItens[[#This Row],[Edital]],tEditais[Edital],0)),"Não")</f>
        <v>Não</v>
      </c>
      <c r="P434" s="4">
        <f>IF(COUNTIFS(INDEX(tItens[Edital],1):tItens[[#This Row],[Edital]],tItens[[#This Row],[Edital]],INDEX(tItens[Produto],1):tItens[[#This Row],[Produto]],tItens[[#This Row],[Produto]])=1,1,0)</f>
        <v>0</v>
      </c>
    </row>
    <row r="435" spans="1:16" x14ac:dyDescent="0.25">
      <c r="A435" t="s">
        <v>833</v>
      </c>
      <c r="B435">
        <v>482</v>
      </c>
      <c r="C435" t="s">
        <v>3653</v>
      </c>
      <c r="D435" t="s">
        <v>343</v>
      </c>
      <c r="E435" s="13">
        <v>2000</v>
      </c>
      <c r="F435" s="12">
        <v>0</v>
      </c>
      <c r="G435" t="str">
        <f>IFERROR(INDEX(tEditais[Órgão],MATCH(tItens[[#This Row],[Edital]],tEditais[Edital],0)),"")</f>
        <v>MUNICIPIO DE CONTENDAS DO SINCORA</v>
      </c>
      <c r="H435" t="str">
        <f>IFERROR(INDEX(tEditais[UF],MATCH(tItens[[#This Row],[Edital]],tEditais[Edital],0)),"")</f>
        <v>BA</v>
      </c>
      <c r="I435" s="11">
        <f>IFERROR(INDEX(tEditais[Encerramento],MATCH(tItens[[#This Row],[Edital]],tEditais[Edital],0)),"")</f>
        <v>46304.708333333336</v>
      </c>
      <c r="J435" t="str">
        <f>IFERROR(INDEX(tProdutos[Classe],MATCH(tItens[[#This Row],[Produto]],tProdutos[Produto],0)),"produto não cadastrado")</f>
        <v>FORA</v>
      </c>
      <c r="K435" s="12">
        <f>tItens[[#This Row],[Qtd]]*tItens[[#This Row],[Vlr unit]]</f>
        <v>0</v>
      </c>
      <c r="L435" s="6">
        <f>IFERROR(IF(INDEX(tProdutos[Desconto homologado],MATCH(tItens[[#This Row],[Produto]],tProdutos[Produto],0))="",DescontoPadrao,INDEX(tProdutos[Desconto homologado],MATCH(tItens[[#This Row],[Produto]],tProdutos[Produto],0))),DescontoPadrao)</f>
        <v>0.35412234042553198</v>
      </c>
      <c r="M435" s="12">
        <f>tItens[[#This Row],[Valor]]*(1-tItens[[#This Row],[Desconto]])</f>
        <v>0</v>
      </c>
      <c r="N435" t="str">
        <f>IFERROR(INDEX(tProdutos[Foco],MATCH(tItens[[#This Row],[Produto]],tProdutos[Produto],0)),"Não")</f>
        <v>Não</v>
      </c>
      <c r="O435" t="str">
        <f>IFERROR(INDEX(tEditais[SRP],MATCH(tItens[[#This Row],[Edital]],tEditais[Edital],0)),"Não")</f>
        <v>Não</v>
      </c>
      <c r="P435" s="4">
        <f>IF(COUNTIFS(INDEX(tItens[Edital],1):tItens[[#This Row],[Edital]],tItens[[#This Row],[Edital]],INDEX(tItens[Produto],1):tItens[[#This Row],[Produto]],tItens[[#This Row],[Produto]])=1,1,0)</f>
        <v>1</v>
      </c>
    </row>
    <row r="436" spans="1:16" x14ac:dyDescent="0.25">
      <c r="A436" t="s">
        <v>833</v>
      </c>
      <c r="B436">
        <v>483</v>
      </c>
      <c r="C436" t="s">
        <v>3654</v>
      </c>
      <c r="D436" t="s">
        <v>343</v>
      </c>
      <c r="E436" s="13">
        <v>2000</v>
      </c>
      <c r="F436" s="12">
        <v>0</v>
      </c>
      <c r="G436" t="str">
        <f>IFERROR(INDEX(tEditais[Órgão],MATCH(tItens[[#This Row],[Edital]],tEditais[Edital],0)),"")</f>
        <v>MUNICIPIO DE CONTENDAS DO SINCORA</v>
      </c>
      <c r="H436" t="str">
        <f>IFERROR(INDEX(tEditais[UF],MATCH(tItens[[#This Row],[Edital]],tEditais[Edital],0)),"")</f>
        <v>BA</v>
      </c>
      <c r="I436" s="11">
        <f>IFERROR(INDEX(tEditais[Encerramento],MATCH(tItens[[#This Row],[Edital]],tEditais[Edital],0)),"")</f>
        <v>46304.708333333336</v>
      </c>
      <c r="J436" t="str">
        <f>IFERROR(INDEX(tProdutos[Classe],MATCH(tItens[[#This Row],[Produto]],tProdutos[Produto],0)),"produto não cadastrado")</f>
        <v>FORA</v>
      </c>
      <c r="K436" s="12">
        <f>tItens[[#This Row],[Qtd]]*tItens[[#This Row],[Vlr unit]]</f>
        <v>0</v>
      </c>
      <c r="L436" s="6">
        <f>IFERROR(IF(INDEX(tProdutos[Desconto homologado],MATCH(tItens[[#This Row],[Produto]],tProdutos[Produto],0))="",DescontoPadrao,INDEX(tProdutos[Desconto homologado],MATCH(tItens[[#This Row],[Produto]],tProdutos[Produto],0))),DescontoPadrao)</f>
        <v>0.35412234042553198</v>
      </c>
      <c r="M436" s="12">
        <f>tItens[[#This Row],[Valor]]*(1-tItens[[#This Row],[Desconto]])</f>
        <v>0</v>
      </c>
      <c r="N436" t="str">
        <f>IFERROR(INDEX(tProdutos[Foco],MATCH(tItens[[#This Row],[Produto]],tProdutos[Produto],0)),"Não")</f>
        <v>Não</v>
      </c>
      <c r="O436" t="str">
        <f>IFERROR(INDEX(tEditais[SRP],MATCH(tItens[[#This Row],[Edital]],tEditais[Edital],0)),"Não")</f>
        <v>Não</v>
      </c>
      <c r="P436" s="4">
        <f>IF(COUNTIFS(INDEX(tItens[Edital],1):tItens[[#This Row],[Edital]],tItens[[#This Row],[Edital]],INDEX(tItens[Produto],1):tItens[[#This Row],[Produto]],tItens[[#This Row],[Produto]])=1,1,0)</f>
        <v>0</v>
      </c>
    </row>
    <row r="437" spans="1:16" x14ac:dyDescent="0.25">
      <c r="A437" t="s">
        <v>833</v>
      </c>
      <c r="B437">
        <v>484</v>
      </c>
      <c r="C437" t="s">
        <v>3655</v>
      </c>
      <c r="D437" t="s">
        <v>343</v>
      </c>
      <c r="E437" s="13">
        <v>2000</v>
      </c>
      <c r="F437" s="12">
        <v>0</v>
      </c>
      <c r="G437" t="str">
        <f>IFERROR(INDEX(tEditais[Órgão],MATCH(tItens[[#This Row],[Edital]],tEditais[Edital],0)),"")</f>
        <v>MUNICIPIO DE CONTENDAS DO SINCORA</v>
      </c>
      <c r="H437" t="str">
        <f>IFERROR(INDEX(tEditais[UF],MATCH(tItens[[#This Row],[Edital]],tEditais[Edital],0)),"")</f>
        <v>BA</v>
      </c>
      <c r="I437" s="11">
        <f>IFERROR(INDEX(tEditais[Encerramento],MATCH(tItens[[#This Row],[Edital]],tEditais[Edital],0)),"")</f>
        <v>46304.708333333336</v>
      </c>
      <c r="J437" t="str">
        <f>IFERROR(INDEX(tProdutos[Classe],MATCH(tItens[[#This Row],[Produto]],tProdutos[Produto],0)),"produto não cadastrado")</f>
        <v>FORA</v>
      </c>
      <c r="K437" s="12">
        <f>tItens[[#This Row],[Qtd]]*tItens[[#This Row],[Vlr unit]]</f>
        <v>0</v>
      </c>
      <c r="L437" s="6">
        <f>IFERROR(IF(INDEX(tProdutos[Desconto homologado],MATCH(tItens[[#This Row],[Produto]],tProdutos[Produto],0))="",DescontoPadrao,INDEX(tProdutos[Desconto homologado],MATCH(tItens[[#This Row],[Produto]],tProdutos[Produto],0))),DescontoPadrao)</f>
        <v>0.35412234042553198</v>
      </c>
      <c r="M437" s="12">
        <f>tItens[[#This Row],[Valor]]*(1-tItens[[#This Row],[Desconto]])</f>
        <v>0</v>
      </c>
      <c r="N437" t="str">
        <f>IFERROR(INDEX(tProdutos[Foco],MATCH(tItens[[#This Row],[Produto]],tProdutos[Produto],0)),"Não")</f>
        <v>Não</v>
      </c>
      <c r="O437" t="str">
        <f>IFERROR(INDEX(tEditais[SRP],MATCH(tItens[[#This Row],[Edital]],tEditais[Edital],0)),"Não")</f>
        <v>Não</v>
      </c>
      <c r="P437" s="4">
        <f>IF(COUNTIFS(INDEX(tItens[Edital],1):tItens[[#This Row],[Edital]],tItens[[#This Row],[Edital]],INDEX(tItens[Produto],1):tItens[[#This Row],[Produto]],tItens[[#This Row],[Produto]])=1,1,0)</f>
        <v>0</v>
      </c>
    </row>
    <row r="438" spans="1:16" x14ac:dyDescent="0.25">
      <c r="A438" t="s">
        <v>833</v>
      </c>
      <c r="B438">
        <v>485</v>
      </c>
      <c r="C438" t="s">
        <v>3656</v>
      </c>
      <c r="D438" t="s">
        <v>343</v>
      </c>
      <c r="E438" s="13">
        <v>2000</v>
      </c>
      <c r="F438" s="12">
        <v>0</v>
      </c>
      <c r="G438" t="str">
        <f>IFERROR(INDEX(tEditais[Órgão],MATCH(tItens[[#This Row],[Edital]],tEditais[Edital],0)),"")</f>
        <v>MUNICIPIO DE CONTENDAS DO SINCORA</v>
      </c>
      <c r="H438" t="str">
        <f>IFERROR(INDEX(tEditais[UF],MATCH(tItens[[#This Row],[Edital]],tEditais[Edital],0)),"")</f>
        <v>BA</v>
      </c>
      <c r="I438" s="11">
        <f>IFERROR(INDEX(tEditais[Encerramento],MATCH(tItens[[#This Row],[Edital]],tEditais[Edital],0)),"")</f>
        <v>46304.708333333336</v>
      </c>
      <c r="J438" t="str">
        <f>IFERROR(INDEX(tProdutos[Classe],MATCH(tItens[[#This Row],[Produto]],tProdutos[Produto],0)),"produto não cadastrado")</f>
        <v>FORA</v>
      </c>
      <c r="K438" s="12">
        <f>tItens[[#This Row],[Qtd]]*tItens[[#This Row],[Vlr unit]]</f>
        <v>0</v>
      </c>
      <c r="L438" s="6">
        <f>IFERROR(IF(INDEX(tProdutos[Desconto homologado],MATCH(tItens[[#This Row],[Produto]],tProdutos[Produto],0))="",DescontoPadrao,INDEX(tProdutos[Desconto homologado],MATCH(tItens[[#This Row],[Produto]],tProdutos[Produto],0))),DescontoPadrao)</f>
        <v>0.35412234042553198</v>
      </c>
      <c r="M438" s="12">
        <f>tItens[[#This Row],[Valor]]*(1-tItens[[#This Row],[Desconto]])</f>
        <v>0</v>
      </c>
      <c r="N438" t="str">
        <f>IFERROR(INDEX(tProdutos[Foco],MATCH(tItens[[#This Row],[Produto]],tProdutos[Produto],0)),"Não")</f>
        <v>Não</v>
      </c>
      <c r="O438" t="str">
        <f>IFERROR(INDEX(tEditais[SRP],MATCH(tItens[[#This Row],[Edital]],tEditais[Edital],0)),"Não")</f>
        <v>Não</v>
      </c>
      <c r="P438" s="4">
        <f>IF(COUNTIFS(INDEX(tItens[Edital],1):tItens[[#This Row],[Edital]],tItens[[#This Row],[Edital]],INDEX(tItens[Produto],1):tItens[[#This Row],[Produto]],tItens[[#This Row],[Produto]])=1,1,0)</f>
        <v>0</v>
      </c>
    </row>
    <row r="439" spans="1:16" x14ac:dyDescent="0.25">
      <c r="A439" t="s">
        <v>833</v>
      </c>
      <c r="B439">
        <v>486</v>
      </c>
      <c r="C439" t="s">
        <v>3657</v>
      </c>
      <c r="D439" t="s">
        <v>343</v>
      </c>
      <c r="E439" s="13">
        <v>2000</v>
      </c>
      <c r="F439" s="12">
        <v>0</v>
      </c>
      <c r="G439" t="str">
        <f>IFERROR(INDEX(tEditais[Órgão],MATCH(tItens[[#This Row],[Edital]],tEditais[Edital],0)),"")</f>
        <v>MUNICIPIO DE CONTENDAS DO SINCORA</v>
      </c>
      <c r="H439" t="str">
        <f>IFERROR(INDEX(tEditais[UF],MATCH(tItens[[#This Row],[Edital]],tEditais[Edital],0)),"")</f>
        <v>BA</v>
      </c>
      <c r="I439" s="11">
        <f>IFERROR(INDEX(tEditais[Encerramento],MATCH(tItens[[#This Row],[Edital]],tEditais[Edital],0)),"")</f>
        <v>46304.708333333336</v>
      </c>
      <c r="J439" t="str">
        <f>IFERROR(INDEX(tProdutos[Classe],MATCH(tItens[[#This Row],[Produto]],tProdutos[Produto],0)),"produto não cadastrado")</f>
        <v>FORA</v>
      </c>
      <c r="K439" s="12">
        <f>tItens[[#This Row],[Qtd]]*tItens[[#This Row],[Vlr unit]]</f>
        <v>0</v>
      </c>
      <c r="L439" s="6">
        <f>IFERROR(IF(INDEX(tProdutos[Desconto homologado],MATCH(tItens[[#This Row],[Produto]],tProdutos[Produto],0))="",DescontoPadrao,INDEX(tProdutos[Desconto homologado],MATCH(tItens[[#This Row],[Produto]],tProdutos[Produto],0))),DescontoPadrao)</f>
        <v>0.35412234042553198</v>
      </c>
      <c r="M439" s="12">
        <f>tItens[[#This Row],[Valor]]*(1-tItens[[#This Row],[Desconto]])</f>
        <v>0</v>
      </c>
      <c r="N439" t="str">
        <f>IFERROR(INDEX(tProdutos[Foco],MATCH(tItens[[#This Row],[Produto]],tProdutos[Produto],0)),"Não")</f>
        <v>Não</v>
      </c>
      <c r="O439" t="str">
        <f>IFERROR(INDEX(tEditais[SRP],MATCH(tItens[[#This Row],[Edital]],tEditais[Edital],0)),"Não")</f>
        <v>Não</v>
      </c>
      <c r="P439" s="4">
        <f>IF(COUNTIFS(INDEX(tItens[Edital],1):tItens[[#This Row],[Edital]],tItens[[#This Row],[Edital]],INDEX(tItens[Produto],1):tItens[[#This Row],[Produto]],tItens[[#This Row],[Produto]])=1,1,0)</f>
        <v>0</v>
      </c>
    </row>
    <row r="440" spans="1:16" x14ac:dyDescent="0.25">
      <c r="A440" t="s">
        <v>833</v>
      </c>
      <c r="B440">
        <v>500</v>
      </c>
      <c r="C440" t="s">
        <v>399</v>
      </c>
      <c r="D440" t="s">
        <v>399</v>
      </c>
      <c r="E440" s="13">
        <v>150</v>
      </c>
      <c r="F440" s="12">
        <v>0</v>
      </c>
      <c r="G440" t="str">
        <f>IFERROR(INDEX(tEditais[Órgão],MATCH(tItens[[#This Row],[Edital]],tEditais[Edital],0)),"")</f>
        <v>MUNICIPIO DE CONTENDAS DO SINCORA</v>
      </c>
      <c r="H440" t="str">
        <f>IFERROR(INDEX(tEditais[UF],MATCH(tItens[[#This Row],[Edital]],tEditais[Edital],0)),"")</f>
        <v>BA</v>
      </c>
      <c r="I440" s="11">
        <f>IFERROR(INDEX(tEditais[Encerramento],MATCH(tItens[[#This Row],[Edital]],tEditais[Edital],0)),"")</f>
        <v>46304.708333333336</v>
      </c>
      <c r="J440" t="str">
        <f>IFERROR(INDEX(tProdutos[Classe],MATCH(tItens[[#This Row],[Produto]],tProdutos[Produto],0)),"produto não cadastrado")</f>
        <v>FORA</v>
      </c>
      <c r="K440" s="12">
        <f>tItens[[#This Row],[Qtd]]*tItens[[#This Row],[Vlr unit]]</f>
        <v>0</v>
      </c>
      <c r="L440" s="6">
        <f>IFERROR(IF(INDEX(tProdutos[Desconto homologado],MATCH(tItens[[#This Row],[Produto]],tProdutos[Produto],0))="",DescontoPadrao,INDEX(tProdutos[Desconto homologado],MATCH(tItens[[#This Row],[Produto]],tProdutos[Produto],0))),DescontoPadrao)</f>
        <v>0.30009041591320101</v>
      </c>
      <c r="M440" s="12">
        <f>tItens[[#This Row],[Valor]]*(1-tItens[[#This Row],[Desconto]])</f>
        <v>0</v>
      </c>
      <c r="N440" t="str">
        <f>IFERROR(INDEX(tProdutos[Foco],MATCH(tItens[[#This Row],[Produto]],tProdutos[Produto],0)),"Não")</f>
        <v>Não</v>
      </c>
      <c r="O440" t="str">
        <f>IFERROR(INDEX(tEditais[SRP],MATCH(tItens[[#This Row],[Edital]],tEditais[Edital],0)),"Não")</f>
        <v>Não</v>
      </c>
      <c r="P440" s="4">
        <f>IF(COUNTIFS(INDEX(tItens[Edital],1):tItens[[#This Row],[Edital]],tItens[[#This Row],[Edital]],INDEX(tItens[Produto],1):tItens[[#This Row],[Produto]],tItens[[#This Row],[Produto]])=1,1,0)</f>
        <v>1</v>
      </c>
    </row>
    <row r="441" spans="1:16" x14ac:dyDescent="0.25">
      <c r="A441" t="s">
        <v>833</v>
      </c>
      <c r="B441">
        <v>509</v>
      </c>
      <c r="C441" t="s">
        <v>3658</v>
      </c>
      <c r="D441" t="s">
        <v>670</v>
      </c>
      <c r="E441" s="13">
        <v>15</v>
      </c>
      <c r="F441" s="12">
        <v>0</v>
      </c>
      <c r="G441" t="str">
        <f>IFERROR(INDEX(tEditais[Órgão],MATCH(tItens[[#This Row],[Edital]],tEditais[Edital],0)),"")</f>
        <v>MUNICIPIO DE CONTENDAS DO SINCORA</v>
      </c>
      <c r="H441" t="str">
        <f>IFERROR(INDEX(tEditais[UF],MATCH(tItens[[#This Row],[Edital]],tEditais[Edital],0)),"")</f>
        <v>BA</v>
      </c>
      <c r="I441" s="11">
        <f>IFERROR(INDEX(tEditais[Encerramento],MATCH(tItens[[#This Row],[Edital]],tEditais[Edital],0)),"")</f>
        <v>46304.708333333336</v>
      </c>
      <c r="J441" t="str">
        <f>IFERROR(INDEX(tProdutos[Classe],MATCH(tItens[[#This Row],[Produto]],tProdutos[Produto],0)),"produto não cadastrado")</f>
        <v>FILA REBASE</v>
      </c>
      <c r="K441" s="12">
        <f>tItens[[#This Row],[Qtd]]*tItens[[#This Row],[Vlr unit]]</f>
        <v>0</v>
      </c>
      <c r="L441" s="6">
        <f>IFERROR(IF(INDEX(tProdutos[Desconto homologado],MATCH(tItens[[#This Row],[Produto]],tProdutos[Produto],0))="",DescontoPadrao,INDEX(tProdutos[Desconto homologado],MATCH(tItens[[#This Row],[Produto]],tProdutos[Produto],0))),DescontoPadrao)</f>
        <v>0.53825503355704696</v>
      </c>
      <c r="M441" s="12">
        <f>tItens[[#This Row],[Valor]]*(1-tItens[[#This Row],[Desconto]])</f>
        <v>0</v>
      </c>
      <c r="N441" t="str">
        <f>IFERROR(INDEX(tProdutos[Foco],MATCH(tItens[[#This Row],[Produto]],tProdutos[Produto],0)),"Não")</f>
        <v>Não</v>
      </c>
      <c r="O441" t="str">
        <f>IFERROR(INDEX(tEditais[SRP],MATCH(tItens[[#This Row],[Edital]],tEditais[Edital],0)),"Não")</f>
        <v>Não</v>
      </c>
      <c r="P441" s="4">
        <f>IF(COUNTIFS(INDEX(tItens[Edital],1):tItens[[#This Row],[Edital]],tItens[[#This Row],[Edital]],INDEX(tItens[Produto],1):tItens[[#This Row],[Produto]],tItens[[#This Row],[Produto]])=1,1,0)</f>
        <v>1</v>
      </c>
    </row>
    <row r="442" spans="1:16" x14ac:dyDescent="0.25">
      <c r="A442" t="s">
        <v>833</v>
      </c>
      <c r="B442">
        <v>517</v>
      </c>
      <c r="C442" t="s">
        <v>3659</v>
      </c>
      <c r="D442" t="s">
        <v>327</v>
      </c>
      <c r="E442" s="13">
        <v>2000</v>
      </c>
      <c r="F442" s="12">
        <v>0</v>
      </c>
      <c r="G442" t="str">
        <f>IFERROR(INDEX(tEditais[Órgão],MATCH(tItens[[#This Row],[Edital]],tEditais[Edital],0)),"")</f>
        <v>MUNICIPIO DE CONTENDAS DO SINCORA</v>
      </c>
      <c r="H442" t="str">
        <f>IFERROR(INDEX(tEditais[UF],MATCH(tItens[[#This Row],[Edital]],tEditais[Edital],0)),"")</f>
        <v>BA</v>
      </c>
      <c r="I442" s="11">
        <f>IFERROR(INDEX(tEditais[Encerramento],MATCH(tItens[[#This Row],[Edital]],tEditais[Edital],0)),"")</f>
        <v>46304.708333333336</v>
      </c>
      <c r="J442" t="str">
        <f>IFERROR(INDEX(tProdutos[Classe],MATCH(tItens[[#This Row],[Produto]],tProdutos[Produto],0)),"produto não cadastrado")</f>
        <v>FORA</v>
      </c>
      <c r="K442" s="12">
        <f>tItens[[#This Row],[Qtd]]*tItens[[#This Row],[Vlr unit]]</f>
        <v>0</v>
      </c>
      <c r="L442" s="6">
        <f>IFERROR(IF(INDEX(tProdutos[Desconto homologado],MATCH(tItens[[#This Row],[Produto]],tProdutos[Produto],0))="",DescontoPadrao,INDEX(tProdutos[Desconto homologado],MATCH(tItens[[#This Row],[Produto]],tProdutos[Produto],0))),DescontoPadrao)</f>
        <v>0.49969483918783197</v>
      </c>
      <c r="M442" s="12">
        <f>tItens[[#This Row],[Valor]]*(1-tItens[[#This Row],[Desconto]])</f>
        <v>0</v>
      </c>
      <c r="N442" t="str">
        <f>IFERROR(INDEX(tProdutos[Foco],MATCH(tItens[[#This Row],[Produto]],tProdutos[Produto],0)),"Não")</f>
        <v>Não</v>
      </c>
      <c r="O442" t="str">
        <f>IFERROR(INDEX(tEditais[SRP],MATCH(tItens[[#This Row],[Edital]],tEditais[Edital],0)),"Não")</f>
        <v>Não</v>
      </c>
      <c r="P442" s="4">
        <f>IF(COUNTIFS(INDEX(tItens[Edital],1):tItens[[#This Row],[Edital]],tItens[[#This Row],[Edital]],INDEX(tItens[Produto],1):tItens[[#This Row],[Produto]],tItens[[#This Row],[Produto]])=1,1,0)</f>
        <v>1</v>
      </c>
    </row>
    <row r="443" spans="1:16" x14ac:dyDescent="0.25">
      <c r="A443" t="s">
        <v>833</v>
      </c>
      <c r="B443">
        <v>523</v>
      </c>
      <c r="C443" t="s">
        <v>3660</v>
      </c>
      <c r="D443" t="s">
        <v>317</v>
      </c>
      <c r="E443" s="13">
        <v>20000</v>
      </c>
      <c r="F443" s="12">
        <v>0</v>
      </c>
      <c r="G443" t="str">
        <f>IFERROR(INDEX(tEditais[Órgão],MATCH(tItens[[#This Row],[Edital]],tEditais[Edital],0)),"")</f>
        <v>MUNICIPIO DE CONTENDAS DO SINCORA</v>
      </c>
      <c r="H443" t="str">
        <f>IFERROR(INDEX(tEditais[UF],MATCH(tItens[[#This Row],[Edital]],tEditais[Edital],0)),"")</f>
        <v>BA</v>
      </c>
      <c r="I443" s="11">
        <f>IFERROR(INDEX(tEditais[Encerramento],MATCH(tItens[[#This Row],[Edital]],tEditais[Edital],0)),"")</f>
        <v>46304.708333333336</v>
      </c>
      <c r="J443" t="str">
        <f>IFERROR(INDEX(tProdutos[Classe],MATCH(tItens[[#This Row],[Produto]],tProdutos[Produto],0)),"produto não cadastrado")</f>
        <v>FORA</v>
      </c>
      <c r="K443" s="12">
        <f>tItens[[#This Row],[Qtd]]*tItens[[#This Row],[Vlr unit]]</f>
        <v>0</v>
      </c>
      <c r="L443" s="6">
        <f>IFERROR(IF(INDEX(tProdutos[Desconto homologado],MATCH(tItens[[#This Row],[Produto]],tProdutos[Produto],0))="",DescontoPadrao,INDEX(tProdutos[Desconto homologado],MATCH(tItens[[#This Row],[Produto]],tProdutos[Produto],0))),DescontoPadrao)</f>
        <v>0.5</v>
      </c>
      <c r="M443" s="12">
        <f>tItens[[#This Row],[Valor]]*(1-tItens[[#This Row],[Desconto]])</f>
        <v>0</v>
      </c>
      <c r="N443" t="str">
        <f>IFERROR(INDEX(tProdutos[Foco],MATCH(tItens[[#This Row],[Produto]],tProdutos[Produto],0)),"Não")</f>
        <v>Não</v>
      </c>
      <c r="O443" t="str">
        <f>IFERROR(INDEX(tEditais[SRP],MATCH(tItens[[#This Row],[Edital]],tEditais[Edital],0)),"Não")</f>
        <v>Não</v>
      </c>
      <c r="P443" s="4">
        <f>IF(COUNTIFS(INDEX(tItens[Edital],1):tItens[[#This Row],[Edital]],tItens[[#This Row],[Edital]],INDEX(tItens[Produto],1):tItens[[#This Row],[Produto]],tItens[[#This Row],[Produto]])=1,1,0)</f>
        <v>1</v>
      </c>
    </row>
    <row r="444" spans="1:16" x14ac:dyDescent="0.25">
      <c r="A444" t="s">
        <v>833</v>
      </c>
      <c r="B444">
        <v>526</v>
      </c>
      <c r="C444" t="s">
        <v>3661</v>
      </c>
      <c r="D444" t="s">
        <v>281</v>
      </c>
      <c r="E444" s="13">
        <v>15000</v>
      </c>
      <c r="F444" s="12">
        <v>0</v>
      </c>
      <c r="G444" t="str">
        <f>IFERROR(INDEX(tEditais[Órgão],MATCH(tItens[[#This Row],[Edital]],tEditais[Edital],0)),"")</f>
        <v>MUNICIPIO DE CONTENDAS DO SINCORA</v>
      </c>
      <c r="H444" t="str">
        <f>IFERROR(INDEX(tEditais[UF],MATCH(tItens[[#This Row],[Edital]],tEditais[Edital],0)),"")</f>
        <v>BA</v>
      </c>
      <c r="I444" s="11">
        <f>IFERROR(INDEX(tEditais[Encerramento],MATCH(tItens[[#This Row],[Edital]],tEditais[Edital],0)),"")</f>
        <v>46304.708333333336</v>
      </c>
      <c r="J444" t="str">
        <f>IFERROR(INDEX(tProdutos[Classe],MATCH(tItens[[#This Row],[Produto]],tProdutos[Produto],0)),"produto não cadastrado")</f>
        <v>DISPUTADO</v>
      </c>
      <c r="K444" s="12">
        <f>tItens[[#This Row],[Qtd]]*tItens[[#This Row],[Vlr unit]]</f>
        <v>0</v>
      </c>
      <c r="L444" s="6">
        <f>IFERROR(IF(INDEX(tProdutos[Desconto homologado],MATCH(tItens[[#This Row],[Produto]],tProdutos[Produto],0))="",DescontoPadrao,INDEX(tProdutos[Desconto homologado],MATCH(tItens[[#This Row],[Produto]],tProdutos[Produto],0))),DescontoPadrao)</f>
        <v>0.42461538461538501</v>
      </c>
      <c r="M444" s="12">
        <f>tItens[[#This Row],[Valor]]*(1-tItens[[#This Row],[Desconto]])</f>
        <v>0</v>
      </c>
      <c r="N444" t="str">
        <f>IFERROR(INDEX(tProdutos[Foco],MATCH(tItens[[#This Row],[Produto]],tProdutos[Produto],0)),"Não")</f>
        <v>Não</v>
      </c>
      <c r="O444" t="str">
        <f>IFERROR(INDEX(tEditais[SRP],MATCH(tItens[[#This Row],[Edital]],tEditais[Edital],0)),"Não")</f>
        <v>Não</v>
      </c>
      <c r="P444" s="4">
        <f>IF(COUNTIFS(INDEX(tItens[Edital],1):tItens[[#This Row],[Edital]],tItens[[#This Row],[Edital]],INDEX(tItens[Produto],1):tItens[[#This Row],[Produto]],tItens[[#This Row],[Produto]])=1,1,0)</f>
        <v>1</v>
      </c>
    </row>
    <row r="445" spans="1:16" x14ac:dyDescent="0.25">
      <c r="A445" t="s">
        <v>833</v>
      </c>
      <c r="B445">
        <v>527</v>
      </c>
      <c r="C445" t="s">
        <v>3662</v>
      </c>
      <c r="D445" t="s">
        <v>289</v>
      </c>
      <c r="E445" s="13">
        <v>35000</v>
      </c>
      <c r="F445" s="12">
        <v>0</v>
      </c>
      <c r="G445" t="str">
        <f>IFERROR(INDEX(tEditais[Órgão],MATCH(tItens[[#This Row],[Edital]],tEditais[Edital],0)),"")</f>
        <v>MUNICIPIO DE CONTENDAS DO SINCORA</v>
      </c>
      <c r="H445" t="str">
        <f>IFERROR(INDEX(tEditais[UF],MATCH(tItens[[#This Row],[Edital]],tEditais[Edital],0)),"")</f>
        <v>BA</v>
      </c>
      <c r="I445" s="11">
        <f>IFERROR(INDEX(tEditais[Encerramento],MATCH(tItens[[#This Row],[Edital]],tEditais[Edital],0)),"")</f>
        <v>46304.708333333336</v>
      </c>
      <c r="J445" t="str">
        <f>IFERROR(INDEX(tProdutos[Classe],MATCH(tItens[[#This Row],[Produto]],tProdutos[Produto],0)),"produto não cadastrado")</f>
        <v>DISPUTADO</v>
      </c>
      <c r="K445" s="12">
        <f>tItens[[#This Row],[Qtd]]*tItens[[#This Row],[Vlr unit]]</f>
        <v>0</v>
      </c>
      <c r="L445" s="6">
        <f>IFERROR(IF(INDEX(tProdutos[Desconto homologado],MATCH(tItens[[#This Row],[Produto]],tProdutos[Produto],0))="",DescontoPadrao,INDEX(tProdutos[Desconto homologado],MATCH(tItens[[#This Row],[Produto]],tProdutos[Produto],0))),DescontoPadrao)</f>
        <v>0.35849056603773599</v>
      </c>
      <c r="M445" s="12">
        <f>tItens[[#This Row],[Valor]]*(1-tItens[[#This Row],[Desconto]])</f>
        <v>0</v>
      </c>
      <c r="N445" t="str">
        <f>IFERROR(INDEX(tProdutos[Foco],MATCH(tItens[[#This Row],[Produto]],tProdutos[Produto],0)),"Não")</f>
        <v>Não</v>
      </c>
      <c r="O445" t="str">
        <f>IFERROR(INDEX(tEditais[SRP],MATCH(tItens[[#This Row],[Edital]],tEditais[Edital],0)),"Não")</f>
        <v>Não</v>
      </c>
      <c r="P445" s="4">
        <f>IF(COUNTIFS(INDEX(tItens[Edital],1):tItens[[#This Row],[Edital]],tItens[[#This Row],[Edital]],INDEX(tItens[Produto],1):tItens[[#This Row],[Produto]],tItens[[#This Row],[Produto]])=1,1,0)</f>
        <v>1</v>
      </c>
    </row>
    <row r="446" spans="1:16" x14ac:dyDescent="0.25">
      <c r="A446" t="s">
        <v>833</v>
      </c>
      <c r="B446">
        <v>533</v>
      </c>
      <c r="C446" t="s">
        <v>3663</v>
      </c>
      <c r="D446" t="s">
        <v>184</v>
      </c>
      <c r="E446" s="13">
        <v>300</v>
      </c>
      <c r="F446" s="12">
        <v>0</v>
      </c>
      <c r="G446" t="str">
        <f>IFERROR(INDEX(tEditais[Órgão],MATCH(tItens[[#This Row],[Edital]],tEditais[Edital],0)),"")</f>
        <v>MUNICIPIO DE CONTENDAS DO SINCORA</v>
      </c>
      <c r="H446" t="str">
        <f>IFERROR(INDEX(tEditais[UF],MATCH(tItens[[#This Row],[Edital]],tEditais[Edital],0)),"")</f>
        <v>BA</v>
      </c>
      <c r="I446" s="11">
        <f>IFERROR(INDEX(tEditais[Encerramento],MATCH(tItens[[#This Row],[Edital]],tEditais[Edital],0)),"")</f>
        <v>46304.708333333336</v>
      </c>
      <c r="J446" t="str">
        <f>IFERROR(INDEX(tProdutos[Classe],MATCH(tItens[[#This Row],[Produto]],tProdutos[Produto],0)),"produto não cadastrado")</f>
        <v>FORA</v>
      </c>
      <c r="K446" s="12">
        <f>tItens[[#This Row],[Qtd]]*tItens[[#This Row],[Vlr unit]]</f>
        <v>0</v>
      </c>
      <c r="L446" s="6">
        <f>IFERROR(IF(INDEX(tProdutos[Desconto homologado],MATCH(tItens[[#This Row],[Produto]],tProdutos[Produto],0))="",DescontoPadrao,INDEX(tProdutos[Desconto homologado],MATCH(tItens[[#This Row],[Produto]],tProdutos[Produto],0))),DescontoPadrao)</f>
        <v>0.363567906332742</v>
      </c>
      <c r="M446" s="12">
        <f>tItens[[#This Row],[Valor]]*(1-tItens[[#This Row],[Desconto]])</f>
        <v>0</v>
      </c>
      <c r="N446" t="str">
        <f>IFERROR(INDEX(tProdutos[Foco],MATCH(tItens[[#This Row],[Produto]],tProdutos[Produto],0)),"Não")</f>
        <v>Não</v>
      </c>
      <c r="O446" t="str">
        <f>IFERROR(INDEX(tEditais[SRP],MATCH(tItens[[#This Row],[Edital]],tEditais[Edital],0)),"Não")</f>
        <v>Não</v>
      </c>
      <c r="P446" s="4">
        <f>IF(COUNTIFS(INDEX(tItens[Edital],1):tItens[[#This Row],[Edital]],tItens[[#This Row],[Edital]],INDEX(tItens[Produto],1):tItens[[#This Row],[Produto]],tItens[[#This Row],[Produto]])=1,1,0)</f>
        <v>1</v>
      </c>
    </row>
    <row r="447" spans="1:16" x14ac:dyDescent="0.25">
      <c r="A447" t="s">
        <v>833</v>
      </c>
      <c r="B447">
        <v>534</v>
      </c>
      <c r="C447" t="s">
        <v>3664</v>
      </c>
      <c r="D447" t="s">
        <v>184</v>
      </c>
      <c r="E447" s="13">
        <v>300</v>
      </c>
      <c r="F447" s="12">
        <v>0</v>
      </c>
      <c r="G447" t="str">
        <f>IFERROR(INDEX(tEditais[Órgão],MATCH(tItens[[#This Row],[Edital]],tEditais[Edital],0)),"")</f>
        <v>MUNICIPIO DE CONTENDAS DO SINCORA</v>
      </c>
      <c r="H447" t="str">
        <f>IFERROR(INDEX(tEditais[UF],MATCH(tItens[[#This Row],[Edital]],tEditais[Edital],0)),"")</f>
        <v>BA</v>
      </c>
      <c r="I447" s="11">
        <f>IFERROR(INDEX(tEditais[Encerramento],MATCH(tItens[[#This Row],[Edital]],tEditais[Edital],0)),"")</f>
        <v>46304.708333333336</v>
      </c>
      <c r="J447" t="str">
        <f>IFERROR(INDEX(tProdutos[Classe],MATCH(tItens[[#This Row],[Produto]],tProdutos[Produto],0)),"produto não cadastrado")</f>
        <v>FORA</v>
      </c>
      <c r="K447" s="12">
        <f>tItens[[#This Row],[Qtd]]*tItens[[#This Row],[Vlr unit]]</f>
        <v>0</v>
      </c>
      <c r="L447" s="6">
        <f>IFERROR(IF(INDEX(tProdutos[Desconto homologado],MATCH(tItens[[#This Row],[Produto]],tProdutos[Produto],0))="",DescontoPadrao,INDEX(tProdutos[Desconto homologado],MATCH(tItens[[#This Row],[Produto]],tProdutos[Produto],0))),DescontoPadrao)</f>
        <v>0.363567906332742</v>
      </c>
      <c r="M447" s="12">
        <f>tItens[[#This Row],[Valor]]*(1-tItens[[#This Row],[Desconto]])</f>
        <v>0</v>
      </c>
      <c r="N447" t="str">
        <f>IFERROR(INDEX(tProdutos[Foco],MATCH(tItens[[#This Row],[Produto]],tProdutos[Produto],0)),"Não")</f>
        <v>Não</v>
      </c>
      <c r="O447" t="str">
        <f>IFERROR(INDEX(tEditais[SRP],MATCH(tItens[[#This Row],[Edital]],tEditais[Edital],0)),"Não")</f>
        <v>Não</v>
      </c>
      <c r="P447" s="4">
        <f>IF(COUNTIFS(INDEX(tItens[Edital],1):tItens[[#This Row],[Edital]],tItens[[#This Row],[Edital]],INDEX(tItens[Produto],1):tItens[[#This Row],[Produto]],tItens[[#This Row],[Produto]])=1,1,0)</f>
        <v>0</v>
      </c>
    </row>
    <row r="448" spans="1:16" x14ac:dyDescent="0.25">
      <c r="A448" t="s">
        <v>833</v>
      </c>
      <c r="B448">
        <v>535</v>
      </c>
      <c r="C448" t="s">
        <v>3665</v>
      </c>
      <c r="D448" t="s">
        <v>184</v>
      </c>
      <c r="E448" s="13">
        <v>300</v>
      </c>
      <c r="F448" s="12">
        <v>0</v>
      </c>
      <c r="G448" t="str">
        <f>IFERROR(INDEX(tEditais[Órgão],MATCH(tItens[[#This Row],[Edital]],tEditais[Edital],0)),"")</f>
        <v>MUNICIPIO DE CONTENDAS DO SINCORA</v>
      </c>
      <c r="H448" t="str">
        <f>IFERROR(INDEX(tEditais[UF],MATCH(tItens[[#This Row],[Edital]],tEditais[Edital],0)),"")</f>
        <v>BA</v>
      </c>
      <c r="I448" s="11">
        <f>IFERROR(INDEX(tEditais[Encerramento],MATCH(tItens[[#This Row],[Edital]],tEditais[Edital],0)),"")</f>
        <v>46304.708333333336</v>
      </c>
      <c r="J448" t="str">
        <f>IFERROR(INDEX(tProdutos[Classe],MATCH(tItens[[#This Row],[Produto]],tProdutos[Produto],0)),"produto não cadastrado")</f>
        <v>FORA</v>
      </c>
      <c r="K448" s="12">
        <f>tItens[[#This Row],[Qtd]]*tItens[[#This Row],[Vlr unit]]</f>
        <v>0</v>
      </c>
      <c r="L448" s="6">
        <f>IFERROR(IF(INDEX(tProdutos[Desconto homologado],MATCH(tItens[[#This Row],[Produto]],tProdutos[Produto],0))="",DescontoPadrao,INDEX(tProdutos[Desconto homologado],MATCH(tItens[[#This Row],[Produto]],tProdutos[Produto],0))),DescontoPadrao)</f>
        <v>0.363567906332742</v>
      </c>
      <c r="M448" s="12">
        <f>tItens[[#This Row],[Valor]]*(1-tItens[[#This Row],[Desconto]])</f>
        <v>0</v>
      </c>
      <c r="N448" t="str">
        <f>IFERROR(INDEX(tProdutos[Foco],MATCH(tItens[[#This Row],[Produto]],tProdutos[Produto],0)),"Não")</f>
        <v>Não</v>
      </c>
      <c r="O448" t="str">
        <f>IFERROR(INDEX(tEditais[SRP],MATCH(tItens[[#This Row],[Edital]],tEditais[Edital],0)),"Não")</f>
        <v>Não</v>
      </c>
      <c r="P448" s="4">
        <f>IF(COUNTIFS(INDEX(tItens[Edital],1):tItens[[#This Row],[Edital]],tItens[[#This Row],[Edital]],INDEX(tItens[Produto],1):tItens[[#This Row],[Produto]],tItens[[#This Row],[Produto]])=1,1,0)</f>
        <v>0</v>
      </c>
    </row>
    <row r="449" spans="1:16" x14ac:dyDescent="0.25">
      <c r="A449" t="s">
        <v>833</v>
      </c>
      <c r="B449">
        <v>536</v>
      </c>
      <c r="C449" t="s">
        <v>3666</v>
      </c>
      <c r="D449" t="s">
        <v>184</v>
      </c>
      <c r="E449" s="13">
        <v>300</v>
      </c>
      <c r="F449" s="12">
        <v>0</v>
      </c>
      <c r="G449" t="str">
        <f>IFERROR(INDEX(tEditais[Órgão],MATCH(tItens[[#This Row],[Edital]],tEditais[Edital],0)),"")</f>
        <v>MUNICIPIO DE CONTENDAS DO SINCORA</v>
      </c>
      <c r="H449" t="str">
        <f>IFERROR(INDEX(tEditais[UF],MATCH(tItens[[#This Row],[Edital]],tEditais[Edital],0)),"")</f>
        <v>BA</v>
      </c>
      <c r="I449" s="11">
        <f>IFERROR(INDEX(tEditais[Encerramento],MATCH(tItens[[#This Row],[Edital]],tEditais[Edital],0)),"")</f>
        <v>46304.708333333336</v>
      </c>
      <c r="J449" t="str">
        <f>IFERROR(INDEX(tProdutos[Classe],MATCH(tItens[[#This Row],[Produto]],tProdutos[Produto],0)),"produto não cadastrado")</f>
        <v>FORA</v>
      </c>
      <c r="K449" s="12">
        <f>tItens[[#This Row],[Qtd]]*tItens[[#This Row],[Vlr unit]]</f>
        <v>0</v>
      </c>
      <c r="L449" s="6">
        <f>IFERROR(IF(INDEX(tProdutos[Desconto homologado],MATCH(tItens[[#This Row],[Produto]],tProdutos[Produto],0))="",DescontoPadrao,INDEX(tProdutos[Desconto homologado],MATCH(tItens[[#This Row],[Produto]],tProdutos[Produto],0))),DescontoPadrao)</f>
        <v>0.363567906332742</v>
      </c>
      <c r="M449" s="12">
        <f>tItens[[#This Row],[Valor]]*(1-tItens[[#This Row],[Desconto]])</f>
        <v>0</v>
      </c>
      <c r="N449" t="str">
        <f>IFERROR(INDEX(tProdutos[Foco],MATCH(tItens[[#This Row],[Produto]],tProdutos[Produto],0)),"Não")</f>
        <v>Não</v>
      </c>
      <c r="O449" t="str">
        <f>IFERROR(INDEX(tEditais[SRP],MATCH(tItens[[#This Row],[Edital]],tEditais[Edital],0)),"Não")</f>
        <v>Não</v>
      </c>
      <c r="P449" s="4">
        <f>IF(COUNTIFS(INDEX(tItens[Edital],1):tItens[[#This Row],[Edital]],tItens[[#This Row],[Edital]],INDEX(tItens[Produto],1):tItens[[#This Row],[Produto]],tItens[[#This Row],[Produto]])=1,1,0)</f>
        <v>0</v>
      </c>
    </row>
    <row r="450" spans="1:16" x14ac:dyDescent="0.25">
      <c r="A450" t="s">
        <v>833</v>
      </c>
      <c r="B450">
        <v>537</v>
      </c>
      <c r="C450" t="s">
        <v>3667</v>
      </c>
      <c r="D450" t="s">
        <v>184</v>
      </c>
      <c r="E450" s="13">
        <v>500</v>
      </c>
      <c r="F450" s="12">
        <v>0</v>
      </c>
      <c r="G450" t="str">
        <f>IFERROR(INDEX(tEditais[Órgão],MATCH(tItens[[#This Row],[Edital]],tEditais[Edital],0)),"")</f>
        <v>MUNICIPIO DE CONTENDAS DO SINCORA</v>
      </c>
      <c r="H450" t="str">
        <f>IFERROR(INDEX(tEditais[UF],MATCH(tItens[[#This Row],[Edital]],tEditais[Edital],0)),"")</f>
        <v>BA</v>
      </c>
      <c r="I450" s="11">
        <f>IFERROR(INDEX(tEditais[Encerramento],MATCH(tItens[[#This Row],[Edital]],tEditais[Edital],0)),"")</f>
        <v>46304.708333333336</v>
      </c>
      <c r="J450" t="str">
        <f>IFERROR(INDEX(tProdutos[Classe],MATCH(tItens[[#This Row],[Produto]],tProdutos[Produto],0)),"produto não cadastrado")</f>
        <v>FORA</v>
      </c>
      <c r="K450" s="12">
        <f>tItens[[#This Row],[Qtd]]*tItens[[#This Row],[Vlr unit]]</f>
        <v>0</v>
      </c>
      <c r="L450" s="6">
        <f>IFERROR(IF(INDEX(tProdutos[Desconto homologado],MATCH(tItens[[#This Row],[Produto]],tProdutos[Produto],0))="",DescontoPadrao,INDEX(tProdutos[Desconto homologado],MATCH(tItens[[#This Row],[Produto]],tProdutos[Produto],0))),DescontoPadrao)</f>
        <v>0.363567906332742</v>
      </c>
      <c r="M450" s="12">
        <f>tItens[[#This Row],[Valor]]*(1-tItens[[#This Row],[Desconto]])</f>
        <v>0</v>
      </c>
      <c r="N450" t="str">
        <f>IFERROR(INDEX(tProdutos[Foco],MATCH(tItens[[#This Row],[Produto]],tProdutos[Produto],0)),"Não")</f>
        <v>Não</v>
      </c>
      <c r="O450" t="str">
        <f>IFERROR(INDEX(tEditais[SRP],MATCH(tItens[[#This Row],[Edital]],tEditais[Edital],0)),"Não")</f>
        <v>Não</v>
      </c>
      <c r="P450" s="4">
        <f>IF(COUNTIFS(INDEX(tItens[Edital],1):tItens[[#This Row],[Edital]],tItens[[#This Row],[Edital]],INDEX(tItens[Produto],1):tItens[[#This Row],[Produto]],tItens[[#This Row],[Produto]])=1,1,0)</f>
        <v>0</v>
      </c>
    </row>
    <row r="451" spans="1:16" x14ac:dyDescent="0.25">
      <c r="A451" t="s">
        <v>833</v>
      </c>
      <c r="B451">
        <v>538</v>
      </c>
      <c r="C451" t="s">
        <v>3668</v>
      </c>
      <c r="D451" t="s">
        <v>110</v>
      </c>
      <c r="E451" s="13">
        <v>300</v>
      </c>
      <c r="F451" s="12">
        <v>0</v>
      </c>
      <c r="G451" t="str">
        <f>IFERROR(INDEX(tEditais[Órgão],MATCH(tItens[[#This Row],[Edital]],tEditais[Edital],0)),"")</f>
        <v>MUNICIPIO DE CONTENDAS DO SINCORA</v>
      </c>
      <c r="H451" t="str">
        <f>IFERROR(INDEX(tEditais[UF],MATCH(tItens[[#This Row],[Edital]],tEditais[Edital],0)),"")</f>
        <v>BA</v>
      </c>
      <c r="I451" s="11">
        <f>IFERROR(INDEX(tEditais[Encerramento],MATCH(tItens[[#This Row],[Edital]],tEditais[Edital],0)),"")</f>
        <v>46304.708333333336</v>
      </c>
      <c r="J451" t="str">
        <f>IFERROR(INDEX(tProdutos[Classe],MATCH(tItens[[#This Row],[Produto]],tProdutos[Produto],0)),"produto não cadastrado")</f>
        <v>NÚCLEO</v>
      </c>
      <c r="K451" s="12">
        <f>tItens[[#This Row],[Qtd]]*tItens[[#This Row],[Vlr unit]]</f>
        <v>0</v>
      </c>
      <c r="L451" s="6">
        <f>IFERROR(IF(INDEX(tProdutos[Desconto homologado],MATCH(tItens[[#This Row],[Produto]],tProdutos[Produto],0))="",DescontoPadrao,INDEX(tProdutos[Desconto homologado],MATCH(tItens[[#This Row],[Produto]],tProdutos[Produto],0))),DescontoPadrao)</f>
        <v>0.30410958904109597</v>
      </c>
      <c r="M451" s="12">
        <f>tItens[[#This Row],[Valor]]*(1-tItens[[#This Row],[Desconto]])</f>
        <v>0</v>
      </c>
      <c r="N451" t="str">
        <f>IFERROR(INDEX(tProdutos[Foco],MATCH(tItens[[#This Row],[Produto]],tProdutos[Produto],0)),"Não")</f>
        <v>Não</v>
      </c>
      <c r="O451" t="str">
        <f>IFERROR(INDEX(tEditais[SRP],MATCH(tItens[[#This Row],[Edital]],tEditais[Edital],0)),"Não")</f>
        <v>Não</v>
      </c>
      <c r="P451" s="4">
        <f>IF(COUNTIFS(INDEX(tItens[Edital],1):tItens[[#This Row],[Edital]],tItens[[#This Row],[Edital]],INDEX(tItens[Produto],1):tItens[[#This Row],[Produto]],tItens[[#This Row],[Produto]])=1,1,0)</f>
        <v>1</v>
      </c>
    </row>
    <row r="452" spans="1:16" x14ac:dyDescent="0.25">
      <c r="A452" t="s">
        <v>833</v>
      </c>
      <c r="B452">
        <v>539</v>
      </c>
      <c r="C452" t="s">
        <v>3669</v>
      </c>
      <c r="D452" t="s">
        <v>110</v>
      </c>
      <c r="E452" s="13">
        <v>300</v>
      </c>
      <c r="F452" s="12">
        <v>0</v>
      </c>
      <c r="G452" t="str">
        <f>IFERROR(INDEX(tEditais[Órgão],MATCH(tItens[[#This Row],[Edital]],tEditais[Edital],0)),"")</f>
        <v>MUNICIPIO DE CONTENDAS DO SINCORA</v>
      </c>
      <c r="H452" t="str">
        <f>IFERROR(INDEX(tEditais[UF],MATCH(tItens[[#This Row],[Edital]],tEditais[Edital],0)),"")</f>
        <v>BA</v>
      </c>
      <c r="I452" s="11">
        <f>IFERROR(INDEX(tEditais[Encerramento],MATCH(tItens[[#This Row],[Edital]],tEditais[Edital],0)),"")</f>
        <v>46304.708333333336</v>
      </c>
      <c r="J452" t="str">
        <f>IFERROR(INDEX(tProdutos[Classe],MATCH(tItens[[#This Row],[Produto]],tProdutos[Produto],0)),"produto não cadastrado")</f>
        <v>NÚCLEO</v>
      </c>
      <c r="K452" s="12">
        <f>tItens[[#This Row],[Qtd]]*tItens[[#This Row],[Vlr unit]]</f>
        <v>0</v>
      </c>
      <c r="L452" s="6">
        <f>IFERROR(IF(INDEX(tProdutos[Desconto homologado],MATCH(tItens[[#This Row],[Produto]],tProdutos[Produto],0))="",DescontoPadrao,INDEX(tProdutos[Desconto homologado],MATCH(tItens[[#This Row],[Produto]],tProdutos[Produto],0))),DescontoPadrao)</f>
        <v>0.30410958904109597</v>
      </c>
      <c r="M452" s="12">
        <f>tItens[[#This Row],[Valor]]*(1-tItens[[#This Row],[Desconto]])</f>
        <v>0</v>
      </c>
      <c r="N452" t="str">
        <f>IFERROR(INDEX(tProdutos[Foco],MATCH(tItens[[#This Row],[Produto]],tProdutos[Produto],0)),"Não")</f>
        <v>Não</v>
      </c>
      <c r="O452" t="str">
        <f>IFERROR(INDEX(tEditais[SRP],MATCH(tItens[[#This Row],[Edital]],tEditais[Edital],0)),"Não")</f>
        <v>Não</v>
      </c>
      <c r="P452" s="4">
        <f>IF(COUNTIFS(INDEX(tItens[Edital],1):tItens[[#This Row],[Edital]],tItens[[#This Row],[Edital]],INDEX(tItens[Produto],1):tItens[[#This Row],[Produto]],tItens[[#This Row],[Produto]])=1,1,0)</f>
        <v>0</v>
      </c>
    </row>
    <row r="453" spans="1:16" x14ac:dyDescent="0.25">
      <c r="A453" t="s">
        <v>833</v>
      </c>
      <c r="B453">
        <v>540</v>
      </c>
      <c r="C453" t="s">
        <v>3670</v>
      </c>
      <c r="D453" t="s">
        <v>110</v>
      </c>
      <c r="E453" s="13">
        <v>300</v>
      </c>
      <c r="F453" s="12">
        <v>0</v>
      </c>
      <c r="G453" t="str">
        <f>IFERROR(INDEX(tEditais[Órgão],MATCH(tItens[[#This Row],[Edital]],tEditais[Edital],0)),"")</f>
        <v>MUNICIPIO DE CONTENDAS DO SINCORA</v>
      </c>
      <c r="H453" t="str">
        <f>IFERROR(INDEX(tEditais[UF],MATCH(tItens[[#This Row],[Edital]],tEditais[Edital],0)),"")</f>
        <v>BA</v>
      </c>
      <c r="I453" s="11">
        <f>IFERROR(INDEX(tEditais[Encerramento],MATCH(tItens[[#This Row],[Edital]],tEditais[Edital],0)),"")</f>
        <v>46304.708333333336</v>
      </c>
      <c r="J453" t="str">
        <f>IFERROR(INDEX(tProdutos[Classe],MATCH(tItens[[#This Row],[Produto]],tProdutos[Produto],0)),"produto não cadastrado")</f>
        <v>NÚCLEO</v>
      </c>
      <c r="K453" s="12">
        <f>tItens[[#This Row],[Qtd]]*tItens[[#This Row],[Vlr unit]]</f>
        <v>0</v>
      </c>
      <c r="L453" s="6">
        <f>IFERROR(IF(INDEX(tProdutos[Desconto homologado],MATCH(tItens[[#This Row],[Produto]],tProdutos[Produto],0))="",DescontoPadrao,INDEX(tProdutos[Desconto homologado],MATCH(tItens[[#This Row],[Produto]],tProdutos[Produto],0))),DescontoPadrao)</f>
        <v>0.30410958904109597</v>
      </c>
      <c r="M453" s="12">
        <f>tItens[[#This Row],[Valor]]*(1-tItens[[#This Row],[Desconto]])</f>
        <v>0</v>
      </c>
      <c r="N453" t="str">
        <f>IFERROR(INDEX(tProdutos[Foco],MATCH(tItens[[#This Row],[Produto]],tProdutos[Produto],0)),"Não")</f>
        <v>Não</v>
      </c>
      <c r="O453" t="str">
        <f>IFERROR(INDEX(tEditais[SRP],MATCH(tItens[[#This Row],[Edital]],tEditais[Edital],0)),"Não")</f>
        <v>Não</v>
      </c>
      <c r="P453" s="4">
        <f>IF(COUNTIFS(INDEX(tItens[Edital],1):tItens[[#This Row],[Edital]],tItens[[#This Row],[Edital]],INDEX(tItens[Produto],1):tItens[[#This Row],[Produto]],tItens[[#This Row],[Produto]])=1,1,0)</f>
        <v>0</v>
      </c>
    </row>
    <row r="454" spans="1:16" x14ac:dyDescent="0.25">
      <c r="A454" t="s">
        <v>833</v>
      </c>
      <c r="B454">
        <v>541</v>
      </c>
      <c r="C454" t="s">
        <v>3671</v>
      </c>
      <c r="D454" t="s">
        <v>110</v>
      </c>
      <c r="E454" s="13">
        <v>300</v>
      </c>
      <c r="F454" s="12">
        <v>0</v>
      </c>
      <c r="G454" t="str">
        <f>IFERROR(INDEX(tEditais[Órgão],MATCH(tItens[[#This Row],[Edital]],tEditais[Edital],0)),"")</f>
        <v>MUNICIPIO DE CONTENDAS DO SINCORA</v>
      </c>
      <c r="H454" t="str">
        <f>IFERROR(INDEX(tEditais[UF],MATCH(tItens[[#This Row],[Edital]],tEditais[Edital],0)),"")</f>
        <v>BA</v>
      </c>
      <c r="I454" s="11">
        <f>IFERROR(INDEX(tEditais[Encerramento],MATCH(tItens[[#This Row],[Edital]],tEditais[Edital],0)),"")</f>
        <v>46304.708333333336</v>
      </c>
      <c r="J454" t="str">
        <f>IFERROR(INDEX(tProdutos[Classe],MATCH(tItens[[#This Row],[Produto]],tProdutos[Produto],0)),"produto não cadastrado")</f>
        <v>NÚCLEO</v>
      </c>
      <c r="K454" s="12">
        <f>tItens[[#This Row],[Qtd]]*tItens[[#This Row],[Vlr unit]]</f>
        <v>0</v>
      </c>
      <c r="L454" s="6">
        <f>IFERROR(IF(INDEX(tProdutos[Desconto homologado],MATCH(tItens[[#This Row],[Produto]],tProdutos[Produto],0))="",DescontoPadrao,INDEX(tProdutos[Desconto homologado],MATCH(tItens[[#This Row],[Produto]],tProdutos[Produto],0))),DescontoPadrao)</f>
        <v>0.30410958904109597</v>
      </c>
      <c r="M454" s="12">
        <f>tItens[[#This Row],[Valor]]*(1-tItens[[#This Row],[Desconto]])</f>
        <v>0</v>
      </c>
      <c r="N454" t="str">
        <f>IFERROR(INDEX(tProdutos[Foco],MATCH(tItens[[#This Row],[Produto]],tProdutos[Produto],0)),"Não")</f>
        <v>Não</v>
      </c>
      <c r="O454" t="str">
        <f>IFERROR(INDEX(tEditais[SRP],MATCH(tItens[[#This Row],[Edital]],tEditais[Edital],0)),"Não")</f>
        <v>Não</v>
      </c>
      <c r="P454" s="4">
        <f>IF(COUNTIFS(INDEX(tItens[Edital],1):tItens[[#This Row],[Edital]],tItens[[#This Row],[Edital]],INDEX(tItens[Produto],1):tItens[[#This Row],[Produto]],tItens[[#This Row],[Produto]])=1,1,0)</f>
        <v>0</v>
      </c>
    </row>
    <row r="455" spans="1:16" x14ac:dyDescent="0.25">
      <c r="A455" t="s">
        <v>833</v>
      </c>
      <c r="B455">
        <v>542</v>
      </c>
      <c r="C455" t="s">
        <v>3672</v>
      </c>
      <c r="D455" t="s">
        <v>110</v>
      </c>
      <c r="E455" s="13">
        <v>300</v>
      </c>
      <c r="F455" s="12">
        <v>0</v>
      </c>
      <c r="G455" t="str">
        <f>IFERROR(INDEX(tEditais[Órgão],MATCH(tItens[[#This Row],[Edital]],tEditais[Edital],0)),"")</f>
        <v>MUNICIPIO DE CONTENDAS DO SINCORA</v>
      </c>
      <c r="H455" t="str">
        <f>IFERROR(INDEX(tEditais[UF],MATCH(tItens[[#This Row],[Edital]],tEditais[Edital],0)),"")</f>
        <v>BA</v>
      </c>
      <c r="I455" s="11">
        <f>IFERROR(INDEX(tEditais[Encerramento],MATCH(tItens[[#This Row],[Edital]],tEditais[Edital],0)),"")</f>
        <v>46304.708333333336</v>
      </c>
      <c r="J455" t="str">
        <f>IFERROR(INDEX(tProdutos[Classe],MATCH(tItens[[#This Row],[Produto]],tProdutos[Produto],0)),"produto não cadastrado")</f>
        <v>NÚCLEO</v>
      </c>
      <c r="K455" s="12">
        <f>tItens[[#This Row],[Qtd]]*tItens[[#This Row],[Vlr unit]]</f>
        <v>0</v>
      </c>
      <c r="L455" s="6">
        <f>IFERROR(IF(INDEX(tProdutos[Desconto homologado],MATCH(tItens[[#This Row],[Produto]],tProdutos[Produto],0))="",DescontoPadrao,INDEX(tProdutos[Desconto homologado],MATCH(tItens[[#This Row],[Produto]],tProdutos[Produto],0))),DescontoPadrao)</f>
        <v>0.30410958904109597</v>
      </c>
      <c r="M455" s="12">
        <f>tItens[[#This Row],[Valor]]*(1-tItens[[#This Row],[Desconto]])</f>
        <v>0</v>
      </c>
      <c r="N455" t="str">
        <f>IFERROR(INDEX(tProdutos[Foco],MATCH(tItens[[#This Row],[Produto]],tProdutos[Produto],0)),"Não")</f>
        <v>Não</v>
      </c>
      <c r="O455" t="str">
        <f>IFERROR(INDEX(tEditais[SRP],MATCH(tItens[[#This Row],[Edital]],tEditais[Edital],0)),"Não")</f>
        <v>Não</v>
      </c>
      <c r="P455" s="4">
        <f>IF(COUNTIFS(INDEX(tItens[Edital],1):tItens[[#This Row],[Edital]],tItens[[#This Row],[Edital]],INDEX(tItens[Produto],1):tItens[[#This Row],[Produto]],tItens[[#This Row],[Produto]])=1,1,0)</f>
        <v>0</v>
      </c>
    </row>
    <row r="456" spans="1:16" x14ac:dyDescent="0.25">
      <c r="A456" t="s">
        <v>833</v>
      </c>
      <c r="B456">
        <v>544</v>
      </c>
      <c r="C456" t="s">
        <v>3673</v>
      </c>
      <c r="D456" t="s">
        <v>110</v>
      </c>
      <c r="E456" s="13">
        <v>300</v>
      </c>
      <c r="F456" s="12">
        <v>0</v>
      </c>
      <c r="G456" t="str">
        <f>IFERROR(INDEX(tEditais[Órgão],MATCH(tItens[[#This Row],[Edital]],tEditais[Edital],0)),"")</f>
        <v>MUNICIPIO DE CONTENDAS DO SINCORA</v>
      </c>
      <c r="H456" t="str">
        <f>IFERROR(INDEX(tEditais[UF],MATCH(tItens[[#This Row],[Edital]],tEditais[Edital],0)),"")</f>
        <v>BA</v>
      </c>
      <c r="I456" s="11">
        <f>IFERROR(INDEX(tEditais[Encerramento],MATCH(tItens[[#This Row],[Edital]],tEditais[Edital],0)),"")</f>
        <v>46304.708333333336</v>
      </c>
      <c r="J456" t="str">
        <f>IFERROR(INDEX(tProdutos[Classe],MATCH(tItens[[#This Row],[Produto]],tProdutos[Produto],0)),"produto não cadastrado")</f>
        <v>NÚCLEO</v>
      </c>
      <c r="K456" s="12">
        <f>tItens[[#This Row],[Qtd]]*tItens[[#This Row],[Vlr unit]]</f>
        <v>0</v>
      </c>
      <c r="L456" s="6">
        <f>IFERROR(IF(INDEX(tProdutos[Desconto homologado],MATCH(tItens[[#This Row],[Produto]],tProdutos[Produto],0))="",DescontoPadrao,INDEX(tProdutos[Desconto homologado],MATCH(tItens[[#This Row],[Produto]],tProdutos[Produto],0))),DescontoPadrao)</f>
        <v>0.30410958904109597</v>
      </c>
      <c r="M456" s="12">
        <f>tItens[[#This Row],[Valor]]*(1-tItens[[#This Row],[Desconto]])</f>
        <v>0</v>
      </c>
      <c r="N456" t="str">
        <f>IFERROR(INDEX(tProdutos[Foco],MATCH(tItens[[#This Row],[Produto]],tProdutos[Produto],0)),"Não")</f>
        <v>Não</v>
      </c>
      <c r="O456" t="str">
        <f>IFERROR(INDEX(tEditais[SRP],MATCH(tItens[[#This Row],[Edital]],tEditais[Edital],0)),"Não")</f>
        <v>Não</v>
      </c>
      <c r="P456" s="4">
        <f>IF(COUNTIFS(INDEX(tItens[Edital],1):tItens[[#This Row],[Edital]],tItens[[#This Row],[Edital]],INDEX(tItens[Produto],1):tItens[[#This Row],[Produto]],tItens[[#This Row],[Produto]])=1,1,0)</f>
        <v>0</v>
      </c>
    </row>
    <row r="457" spans="1:16" x14ac:dyDescent="0.25">
      <c r="A457" t="s">
        <v>833</v>
      </c>
      <c r="B457">
        <v>545</v>
      </c>
      <c r="C457" t="s">
        <v>3674</v>
      </c>
      <c r="D457" t="s">
        <v>110</v>
      </c>
      <c r="E457" s="13">
        <v>300</v>
      </c>
      <c r="F457" s="12">
        <v>0</v>
      </c>
      <c r="G457" t="str">
        <f>IFERROR(INDEX(tEditais[Órgão],MATCH(tItens[[#This Row],[Edital]],tEditais[Edital],0)),"")</f>
        <v>MUNICIPIO DE CONTENDAS DO SINCORA</v>
      </c>
      <c r="H457" t="str">
        <f>IFERROR(INDEX(tEditais[UF],MATCH(tItens[[#This Row],[Edital]],tEditais[Edital],0)),"")</f>
        <v>BA</v>
      </c>
      <c r="I457" s="11">
        <f>IFERROR(INDEX(tEditais[Encerramento],MATCH(tItens[[#This Row],[Edital]],tEditais[Edital],0)),"")</f>
        <v>46304.708333333336</v>
      </c>
      <c r="J457" t="str">
        <f>IFERROR(INDEX(tProdutos[Classe],MATCH(tItens[[#This Row],[Produto]],tProdutos[Produto],0)),"produto não cadastrado")</f>
        <v>NÚCLEO</v>
      </c>
      <c r="K457" s="12">
        <f>tItens[[#This Row],[Qtd]]*tItens[[#This Row],[Vlr unit]]</f>
        <v>0</v>
      </c>
      <c r="L457" s="6">
        <f>IFERROR(IF(INDEX(tProdutos[Desconto homologado],MATCH(tItens[[#This Row],[Produto]],tProdutos[Produto],0))="",DescontoPadrao,INDEX(tProdutos[Desconto homologado],MATCH(tItens[[#This Row],[Produto]],tProdutos[Produto],0))),DescontoPadrao)</f>
        <v>0.30410958904109597</v>
      </c>
      <c r="M457" s="12">
        <f>tItens[[#This Row],[Valor]]*(1-tItens[[#This Row],[Desconto]])</f>
        <v>0</v>
      </c>
      <c r="N457" t="str">
        <f>IFERROR(INDEX(tProdutos[Foco],MATCH(tItens[[#This Row],[Produto]],tProdutos[Produto],0)),"Não")</f>
        <v>Não</v>
      </c>
      <c r="O457" t="str">
        <f>IFERROR(INDEX(tEditais[SRP],MATCH(tItens[[#This Row],[Edital]],tEditais[Edital],0)),"Não")</f>
        <v>Não</v>
      </c>
      <c r="P457" s="4">
        <f>IF(COUNTIFS(INDEX(tItens[Edital],1):tItens[[#This Row],[Edital]],tItens[[#This Row],[Edital]],INDEX(tItens[Produto],1):tItens[[#This Row],[Produto]],tItens[[#This Row],[Produto]])=1,1,0)</f>
        <v>0</v>
      </c>
    </row>
    <row r="458" spans="1:16" x14ac:dyDescent="0.25">
      <c r="A458" t="s">
        <v>833</v>
      </c>
      <c r="B458">
        <v>546</v>
      </c>
      <c r="C458" t="s">
        <v>3675</v>
      </c>
      <c r="D458" t="s">
        <v>110</v>
      </c>
      <c r="E458" s="13">
        <v>300</v>
      </c>
      <c r="F458" s="12">
        <v>0</v>
      </c>
      <c r="G458" t="str">
        <f>IFERROR(INDEX(tEditais[Órgão],MATCH(tItens[[#This Row],[Edital]],tEditais[Edital],0)),"")</f>
        <v>MUNICIPIO DE CONTENDAS DO SINCORA</v>
      </c>
      <c r="H458" t="str">
        <f>IFERROR(INDEX(tEditais[UF],MATCH(tItens[[#This Row],[Edital]],tEditais[Edital],0)),"")</f>
        <v>BA</v>
      </c>
      <c r="I458" s="11">
        <f>IFERROR(INDEX(tEditais[Encerramento],MATCH(tItens[[#This Row],[Edital]],tEditais[Edital],0)),"")</f>
        <v>46304.708333333336</v>
      </c>
      <c r="J458" t="str">
        <f>IFERROR(INDEX(tProdutos[Classe],MATCH(tItens[[#This Row],[Produto]],tProdutos[Produto],0)),"produto não cadastrado")</f>
        <v>NÚCLEO</v>
      </c>
      <c r="K458" s="12">
        <f>tItens[[#This Row],[Qtd]]*tItens[[#This Row],[Vlr unit]]</f>
        <v>0</v>
      </c>
      <c r="L458" s="6">
        <f>IFERROR(IF(INDEX(tProdutos[Desconto homologado],MATCH(tItens[[#This Row],[Produto]],tProdutos[Produto],0))="",DescontoPadrao,INDEX(tProdutos[Desconto homologado],MATCH(tItens[[#This Row],[Produto]],tProdutos[Produto],0))),DescontoPadrao)</f>
        <v>0.30410958904109597</v>
      </c>
      <c r="M458" s="12">
        <f>tItens[[#This Row],[Valor]]*(1-tItens[[#This Row],[Desconto]])</f>
        <v>0</v>
      </c>
      <c r="N458" t="str">
        <f>IFERROR(INDEX(tProdutos[Foco],MATCH(tItens[[#This Row],[Produto]],tProdutos[Produto],0)),"Não")</f>
        <v>Não</v>
      </c>
      <c r="O458" t="str">
        <f>IFERROR(INDEX(tEditais[SRP],MATCH(tItens[[#This Row],[Edital]],tEditais[Edital],0)),"Não")</f>
        <v>Não</v>
      </c>
      <c r="P458" s="4">
        <f>IF(COUNTIFS(INDEX(tItens[Edital],1):tItens[[#This Row],[Edital]],tItens[[#This Row],[Edital]],INDEX(tItens[Produto],1):tItens[[#This Row],[Produto]],tItens[[#This Row],[Produto]])=1,1,0)</f>
        <v>0</v>
      </c>
    </row>
    <row r="459" spans="1:16" x14ac:dyDescent="0.25">
      <c r="A459" t="s">
        <v>833</v>
      </c>
      <c r="B459">
        <v>547</v>
      </c>
      <c r="C459" t="s">
        <v>3676</v>
      </c>
      <c r="D459" t="s">
        <v>110</v>
      </c>
      <c r="E459" s="13">
        <v>300</v>
      </c>
      <c r="F459" s="12">
        <v>0</v>
      </c>
      <c r="G459" t="str">
        <f>IFERROR(INDEX(tEditais[Órgão],MATCH(tItens[[#This Row],[Edital]],tEditais[Edital],0)),"")</f>
        <v>MUNICIPIO DE CONTENDAS DO SINCORA</v>
      </c>
      <c r="H459" t="str">
        <f>IFERROR(INDEX(tEditais[UF],MATCH(tItens[[#This Row],[Edital]],tEditais[Edital],0)),"")</f>
        <v>BA</v>
      </c>
      <c r="I459" s="11">
        <f>IFERROR(INDEX(tEditais[Encerramento],MATCH(tItens[[#This Row],[Edital]],tEditais[Edital],0)),"")</f>
        <v>46304.708333333336</v>
      </c>
      <c r="J459" t="str">
        <f>IFERROR(INDEX(tProdutos[Classe],MATCH(tItens[[#This Row],[Produto]],tProdutos[Produto],0)),"produto não cadastrado")</f>
        <v>NÚCLEO</v>
      </c>
      <c r="K459" s="12">
        <f>tItens[[#This Row],[Qtd]]*tItens[[#This Row],[Vlr unit]]</f>
        <v>0</v>
      </c>
      <c r="L459" s="6">
        <f>IFERROR(IF(INDEX(tProdutos[Desconto homologado],MATCH(tItens[[#This Row],[Produto]],tProdutos[Produto],0))="",DescontoPadrao,INDEX(tProdutos[Desconto homologado],MATCH(tItens[[#This Row],[Produto]],tProdutos[Produto],0))),DescontoPadrao)</f>
        <v>0.30410958904109597</v>
      </c>
      <c r="M459" s="12">
        <f>tItens[[#This Row],[Valor]]*(1-tItens[[#This Row],[Desconto]])</f>
        <v>0</v>
      </c>
      <c r="N459" t="str">
        <f>IFERROR(INDEX(tProdutos[Foco],MATCH(tItens[[#This Row],[Produto]],tProdutos[Produto],0)),"Não")</f>
        <v>Não</v>
      </c>
      <c r="O459" t="str">
        <f>IFERROR(INDEX(tEditais[SRP],MATCH(tItens[[#This Row],[Edital]],tEditais[Edital],0)),"Não")</f>
        <v>Não</v>
      </c>
      <c r="P459" s="4">
        <f>IF(COUNTIFS(INDEX(tItens[Edital],1):tItens[[#This Row],[Edital]],tItens[[#This Row],[Edital]],INDEX(tItens[Produto],1):tItens[[#This Row],[Produto]],tItens[[#This Row],[Produto]])=1,1,0)</f>
        <v>0</v>
      </c>
    </row>
    <row r="460" spans="1:16" x14ac:dyDescent="0.25">
      <c r="A460" t="s">
        <v>833</v>
      </c>
      <c r="B460">
        <v>548</v>
      </c>
      <c r="C460" t="s">
        <v>3677</v>
      </c>
      <c r="D460" t="s">
        <v>110</v>
      </c>
      <c r="E460" s="13">
        <v>150</v>
      </c>
      <c r="F460" s="12">
        <v>0</v>
      </c>
      <c r="G460" t="str">
        <f>IFERROR(INDEX(tEditais[Órgão],MATCH(tItens[[#This Row],[Edital]],tEditais[Edital],0)),"")</f>
        <v>MUNICIPIO DE CONTENDAS DO SINCORA</v>
      </c>
      <c r="H460" t="str">
        <f>IFERROR(INDEX(tEditais[UF],MATCH(tItens[[#This Row],[Edital]],tEditais[Edital],0)),"")</f>
        <v>BA</v>
      </c>
      <c r="I460" s="11">
        <f>IFERROR(INDEX(tEditais[Encerramento],MATCH(tItens[[#This Row],[Edital]],tEditais[Edital],0)),"")</f>
        <v>46304.708333333336</v>
      </c>
      <c r="J460" t="str">
        <f>IFERROR(INDEX(tProdutos[Classe],MATCH(tItens[[#This Row],[Produto]],tProdutos[Produto],0)),"produto não cadastrado")</f>
        <v>NÚCLEO</v>
      </c>
      <c r="K460" s="12">
        <f>tItens[[#This Row],[Qtd]]*tItens[[#This Row],[Vlr unit]]</f>
        <v>0</v>
      </c>
      <c r="L460" s="6">
        <f>IFERROR(IF(INDEX(tProdutos[Desconto homologado],MATCH(tItens[[#This Row],[Produto]],tProdutos[Produto],0))="",DescontoPadrao,INDEX(tProdutos[Desconto homologado],MATCH(tItens[[#This Row],[Produto]],tProdutos[Produto],0))),DescontoPadrao)</f>
        <v>0.30410958904109597</v>
      </c>
      <c r="M460" s="12">
        <f>tItens[[#This Row],[Valor]]*(1-tItens[[#This Row],[Desconto]])</f>
        <v>0</v>
      </c>
      <c r="N460" t="str">
        <f>IFERROR(INDEX(tProdutos[Foco],MATCH(tItens[[#This Row],[Produto]],tProdutos[Produto],0)),"Não")</f>
        <v>Não</v>
      </c>
      <c r="O460" t="str">
        <f>IFERROR(INDEX(tEditais[SRP],MATCH(tItens[[#This Row],[Edital]],tEditais[Edital],0)),"Não")</f>
        <v>Não</v>
      </c>
      <c r="P460" s="4">
        <f>IF(COUNTIFS(INDEX(tItens[Edital],1):tItens[[#This Row],[Edital]],tItens[[#This Row],[Edital]],INDEX(tItens[Produto],1):tItens[[#This Row],[Produto]],tItens[[#This Row],[Produto]])=1,1,0)</f>
        <v>0</v>
      </c>
    </row>
    <row r="461" spans="1:16" x14ac:dyDescent="0.25">
      <c r="A461" t="s">
        <v>833</v>
      </c>
      <c r="B461">
        <v>549</v>
      </c>
      <c r="C461" t="s">
        <v>3678</v>
      </c>
      <c r="D461" t="s">
        <v>110</v>
      </c>
      <c r="E461" s="13">
        <v>150</v>
      </c>
      <c r="F461" s="12">
        <v>0</v>
      </c>
      <c r="G461" t="str">
        <f>IFERROR(INDEX(tEditais[Órgão],MATCH(tItens[[#This Row],[Edital]],tEditais[Edital],0)),"")</f>
        <v>MUNICIPIO DE CONTENDAS DO SINCORA</v>
      </c>
      <c r="H461" t="str">
        <f>IFERROR(INDEX(tEditais[UF],MATCH(tItens[[#This Row],[Edital]],tEditais[Edital],0)),"")</f>
        <v>BA</v>
      </c>
      <c r="I461" s="11">
        <f>IFERROR(INDEX(tEditais[Encerramento],MATCH(tItens[[#This Row],[Edital]],tEditais[Edital],0)),"")</f>
        <v>46304.708333333336</v>
      </c>
      <c r="J461" t="str">
        <f>IFERROR(INDEX(tProdutos[Classe],MATCH(tItens[[#This Row],[Produto]],tProdutos[Produto],0)),"produto não cadastrado")</f>
        <v>NÚCLEO</v>
      </c>
      <c r="K461" s="12">
        <f>tItens[[#This Row],[Qtd]]*tItens[[#This Row],[Vlr unit]]</f>
        <v>0</v>
      </c>
      <c r="L461" s="6">
        <f>IFERROR(IF(INDEX(tProdutos[Desconto homologado],MATCH(tItens[[#This Row],[Produto]],tProdutos[Produto],0))="",DescontoPadrao,INDEX(tProdutos[Desconto homologado],MATCH(tItens[[#This Row],[Produto]],tProdutos[Produto],0))),DescontoPadrao)</f>
        <v>0.30410958904109597</v>
      </c>
      <c r="M461" s="12">
        <f>tItens[[#This Row],[Valor]]*(1-tItens[[#This Row],[Desconto]])</f>
        <v>0</v>
      </c>
      <c r="N461" t="str">
        <f>IFERROR(INDEX(tProdutos[Foco],MATCH(tItens[[#This Row],[Produto]],tProdutos[Produto],0)),"Não")</f>
        <v>Não</v>
      </c>
      <c r="O461" t="str">
        <f>IFERROR(INDEX(tEditais[SRP],MATCH(tItens[[#This Row],[Edital]],tEditais[Edital],0)),"Não")</f>
        <v>Não</v>
      </c>
      <c r="P461" s="4">
        <f>IF(COUNTIFS(INDEX(tItens[Edital],1):tItens[[#This Row],[Edital]],tItens[[#This Row],[Edital]],INDEX(tItens[Produto],1):tItens[[#This Row],[Produto]],tItens[[#This Row],[Produto]])=1,1,0)</f>
        <v>0</v>
      </c>
    </row>
    <row r="462" spans="1:16" x14ac:dyDescent="0.25">
      <c r="A462" t="s">
        <v>833</v>
      </c>
      <c r="B462">
        <v>550</v>
      </c>
      <c r="C462" t="s">
        <v>3679</v>
      </c>
      <c r="D462" t="s">
        <v>110</v>
      </c>
      <c r="E462" s="13">
        <v>150</v>
      </c>
      <c r="F462" s="12">
        <v>0</v>
      </c>
      <c r="G462" t="str">
        <f>IFERROR(INDEX(tEditais[Órgão],MATCH(tItens[[#This Row],[Edital]],tEditais[Edital],0)),"")</f>
        <v>MUNICIPIO DE CONTENDAS DO SINCORA</v>
      </c>
      <c r="H462" t="str">
        <f>IFERROR(INDEX(tEditais[UF],MATCH(tItens[[#This Row],[Edital]],tEditais[Edital],0)),"")</f>
        <v>BA</v>
      </c>
      <c r="I462" s="11">
        <f>IFERROR(INDEX(tEditais[Encerramento],MATCH(tItens[[#This Row],[Edital]],tEditais[Edital],0)),"")</f>
        <v>46304.708333333336</v>
      </c>
      <c r="J462" t="str">
        <f>IFERROR(INDEX(tProdutos[Classe],MATCH(tItens[[#This Row],[Produto]],tProdutos[Produto],0)),"produto não cadastrado")</f>
        <v>NÚCLEO</v>
      </c>
      <c r="K462" s="12">
        <f>tItens[[#This Row],[Qtd]]*tItens[[#This Row],[Vlr unit]]</f>
        <v>0</v>
      </c>
      <c r="L462" s="6">
        <f>IFERROR(IF(INDEX(tProdutos[Desconto homologado],MATCH(tItens[[#This Row],[Produto]],tProdutos[Produto],0))="",DescontoPadrao,INDEX(tProdutos[Desconto homologado],MATCH(tItens[[#This Row],[Produto]],tProdutos[Produto],0))),DescontoPadrao)</f>
        <v>0.30410958904109597</v>
      </c>
      <c r="M462" s="12">
        <f>tItens[[#This Row],[Valor]]*(1-tItens[[#This Row],[Desconto]])</f>
        <v>0</v>
      </c>
      <c r="N462" t="str">
        <f>IFERROR(INDEX(tProdutos[Foco],MATCH(tItens[[#This Row],[Produto]],tProdutos[Produto],0)),"Não")</f>
        <v>Não</v>
      </c>
      <c r="O462" t="str">
        <f>IFERROR(INDEX(tEditais[SRP],MATCH(tItens[[#This Row],[Edital]],tEditais[Edital],0)),"Não")</f>
        <v>Não</v>
      </c>
      <c r="P462" s="4">
        <f>IF(COUNTIFS(INDEX(tItens[Edital],1):tItens[[#This Row],[Edital]],tItens[[#This Row],[Edital]],INDEX(tItens[Produto],1):tItens[[#This Row],[Produto]],tItens[[#This Row],[Produto]])=1,1,0)</f>
        <v>0</v>
      </c>
    </row>
    <row r="463" spans="1:16" x14ac:dyDescent="0.25">
      <c r="A463" t="s">
        <v>833</v>
      </c>
      <c r="B463">
        <v>551</v>
      </c>
      <c r="C463" t="s">
        <v>3680</v>
      </c>
      <c r="D463" t="s">
        <v>110</v>
      </c>
      <c r="E463" s="13">
        <v>150</v>
      </c>
      <c r="F463" s="12">
        <v>0</v>
      </c>
      <c r="G463" t="str">
        <f>IFERROR(INDEX(tEditais[Órgão],MATCH(tItens[[#This Row],[Edital]],tEditais[Edital],0)),"")</f>
        <v>MUNICIPIO DE CONTENDAS DO SINCORA</v>
      </c>
      <c r="H463" t="str">
        <f>IFERROR(INDEX(tEditais[UF],MATCH(tItens[[#This Row],[Edital]],tEditais[Edital],0)),"")</f>
        <v>BA</v>
      </c>
      <c r="I463" s="11">
        <f>IFERROR(INDEX(tEditais[Encerramento],MATCH(tItens[[#This Row],[Edital]],tEditais[Edital],0)),"")</f>
        <v>46304.708333333336</v>
      </c>
      <c r="J463" t="str">
        <f>IFERROR(INDEX(tProdutos[Classe],MATCH(tItens[[#This Row],[Produto]],tProdutos[Produto],0)),"produto não cadastrado")</f>
        <v>NÚCLEO</v>
      </c>
      <c r="K463" s="12">
        <f>tItens[[#This Row],[Qtd]]*tItens[[#This Row],[Vlr unit]]</f>
        <v>0</v>
      </c>
      <c r="L463" s="6">
        <f>IFERROR(IF(INDEX(tProdutos[Desconto homologado],MATCH(tItens[[#This Row],[Produto]],tProdutos[Produto],0))="",DescontoPadrao,INDEX(tProdutos[Desconto homologado],MATCH(tItens[[#This Row],[Produto]],tProdutos[Produto],0))),DescontoPadrao)</f>
        <v>0.30410958904109597</v>
      </c>
      <c r="M463" s="12">
        <f>tItens[[#This Row],[Valor]]*(1-tItens[[#This Row],[Desconto]])</f>
        <v>0</v>
      </c>
      <c r="N463" t="str">
        <f>IFERROR(INDEX(tProdutos[Foco],MATCH(tItens[[#This Row],[Produto]],tProdutos[Produto],0)),"Não")</f>
        <v>Não</v>
      </c>
      <c r="O463" t="str">
        <f>IFERROR(INDEX(tEditais[SRP],MATCH(tItens[[#This Row],[Edital]],tEditais[Edital],0)),"Não")</f>
        <v>Não</v>
      </c>
      <c r="P463" s="4">
        <f>IF(COUNTIFS(INDEX(tItens[Edital],1):tItens[[#This Row],[Edital]],tItens[[#This Row],[Edital]],INDEX(tItens[Produto],1):tItens[[#This Row],[Produto]],tItens[[#This Row],[Produto]])=1,1,0)</f>
        <v>0</v>
      </c>
    </row>
    <row r="464" spans="1:16" x14ac:dyDescent="0.25">
      <c r="A464" t="s">
        <v>833</v>
      </c>
      <c r="B464">
        <v>552</v>
      </c>
      <c r="C464" t="s">
        <v>3681</v>
      </c>
      <c r="D464" t="s">
        <v>110</v>
      </c>
      <c r="E464" s="13">
        <v>150</v>
      </c>
      <c r="F464" s="12">
        <v>0</v>
      </c>
      <c r="G464" t="str">
        <f>IFERROR(INDEX(tEditais[Órgão],MATCH(tItens[[#This Row],[Edital]],tEditais[Edital],0)),"")</f>
        <v>MUNICIPIO DE CONTENDAS DO SINCORA</v>
      </c>
      <c r="H464" t="str">
        <f>IFERROR(INDEX(tEditais[UF],MATCH(tItens[[#This Row],[Edital]],tEditais[Edital],0)),"")</f>
        <v>BA</v>
      </c>
      <c r="I464" s="11">
        <f>IFERROR(INDEX(tEditais[Encerramento],MATCH(tItens[[#This Row],[Edital]],tEditais[Edital],0)),"")</f>
        <v>46304.708333333336</v>
      </c>
      <c r="J464" t="str">
        <f>IFERROR(INDEX(tProdutos[Classe],MATCH(tItens[[#This Row],[Produto]],tProdutos[Produto],0)),"produto não cadastrado")</f>
        <v>NÚCLEO</v>
      </c>
      <c r="K464" s="12">
        <f>tItens[[#This Row],[Qtd]]*tItens[[#This Row],[Vlr unit]]</f>
        <v>0</v>
      </c>
      <c r="L464" s="6">
        <f>IFERROR(IF(INDEX(tProdutos[Desconto homologado],MATCH(tItens[[#This Row],[Produto]],tProdutos[Produto],0))="",DescontoPadrao,INDEX(tProdutos[Desconto homologado],MATCH(tItens[[#This Row],[Produto]],tProdutos[Produto],0))),DescontoPadrao)</f>
        <v>0.30410958904109597</v>
      </c>
      <c r="M464" s="12">
        <f>tItens[[#This Row],[Valor]]*(1-tItens[[#This Row],[Desconto]])</f>
        <v>0</v>
      </c>
      <c r="N464" t="str">
        <f>IFERROR(INDEX(tProdutos[Foco],MATCH(tItens[[#This Row],[Produto]],tProdutos[Produto],0)),"Não")</f>
        <v>Não</v>
      </c>
      <c r="O464" t="str">
        <f>IFERROR(INDEX(tEditais[SRP],MATCH(tItens[[#This Row],[Edital]],tEditais[Edital],0)),"Não")</f>
        <v>Não</v>
      </c>
      <c r="P464" s="4">
        <f>IF(COUNTIFS(INDEX(tItens[Edital],1):tItens[[#This Row],[Edital]],tItens[[#This Row],[Edital]],INDEX(tItens[Produto],1):tItens[[#This Row],[Produto]],tItens[[#This Row],[Produto]])=1,1,0)</f>
        <v>0</v>
      </c>
    </row>
    <row r="465" spans="1:16" x14ac:dyDescent="0.25">
      <c r="A465" t="s">
        <v>833</v>
      </c>
      <c r="B465">
        <v>553</v>
      </c>
      <c r="C465" t="s">
        <v>3682</v>
      </c>
      <c r="D465" t="s">
        <v>110</v>
      </c>
      <c r="E465" s="13">
        <v>150</v>
      </c>
      <c r="F465" s="12">
        <v>0</v>
      </c>
      <c r="G465" t="str">
        <f>IFERROR(INDEX(tEditais[Órgão],MATCH(tItens[[#This Row],[Edital]],tEditais[Edital],0)),"")</f>
        <v>MUNICIPIO DE CONTENDAS DO SINCORA</v>
      </c>
      <c r="H465" t="str">
        <f>IFERROR(INDEX(tEditais[UF],MATCH(tItens[[#This Row],[Edital]],tEditais[Edital],0)),"")</f>
        <v>BA</v>
      </c>
      <c r="I465" s="11">
        <f>IFERROR(INDEX(tEditais[Encerramento],MATCH(tItens[[#This Row],[Edital]],tEditais[Edital],0)),"")</f>
        <v>46304.708333333336</v>
      </c>
      <c r="J465" t="str">
        <f>IFERROR(INDEX(tProdutos[Classe],MATCH(tItens[[#This Row],[Produto]],tProdutos[Produto],0)),"produto não cadastrado")</f>
        <v>NÚCLEO</v>
      </c>
      <c r="K465" s="12">
        <f>tItens[[#This Row],[Qtd]]*tItens[[#This Row],[Vlr unit]]</f>
        <v>0</v>
      </c>
      <c r="L465" s="6">
        <f>IFERROR(IF(INDEX(tProdutos[Desconto homologado],MATCH(tItens[[#This Row],[Produto]],tProdutos[Produto],0))="",DescontoPadrao,INDEX(tProdutos[Desconto homologado],MATCH(tItens[[#This Row],[Produto]],tProdutos[Produto],0))),DescontoPadrao)</f>
        <v>0.30410958904109597</v>
      </c>
      <c r="M465" s="12">
        <f>tItens[[#This Row],[Valor]]*(1-tItens[[#This Row],[Desconto]])</f>
        <v>0</v>
      </c>
      <c r="N465" t="str">
        <f>IFERROR(INDEX(tProdutos[Foco],MATCH(tItens[[#This Row],[Produto]],tProdutos[Produto],0)),"Não")</f>
        <v>Não</v>
      </c>
      <c r="O465" t="str">
        <f>IFERROR(INDEX(tEditais[SRP],MATCH(tItens[[#This Row],[Edital]],tEditais[Edital],0)),"Não")</f>
        <v>Não</v>
      </c>
      <c r="P465" s="4">
        <f>IF(COUNTIFS(INDEX(tItens[Edital],1):tItens[[#This Row],[Edital]],tItens[[#This Row],[Edital]],INDEX(tItens[Produto],1):tItens[[#This Row],[Produto]],tItens[[#This Row],[Produto]])=1,1,0)</f>
        <v>0</v>
      </c>
    </row>
    <row r="466" spans="1:16" x14ac:dyDescent="0.25">
      <c r="A466" t="s">
        <v>833</v>
      </c>
      <c r="B466">
        <v>554</v>
      </c>
      <c r="C466" t="s">
        <v>3683</v>
      </c>
      <c r="D466" t="s">
        <v>110</v>
      </c>
      <c r="E466" s="13">
        <v>150</v>
      </c>
      <c r="F466" s="12">
        <v>0</v>
      </c>
      <c r="G466" t="str">
        <f>IFERROR(INDEX(tEditais[Órgão],MATCH(tItens[[#This Row],[Edital]],tEditais[Edital],0)),"")</f>
        <v>MUNICIPIO DE CONTENDAS DO SINCORA</v>
      </c>
      <c r="H466" t="str">
        <f>IFERROR(INDEX(tEditais[UF],MATCH(tItens[[#This Row],[Edital]],tEditais[Edital],0)),"")</f>
        <v>BA</v>
      </c>
      <c r="I466" s="11">
        <f>IFERROR(INDEX(tEditais[Encerramento],MATCH(tItens[[#This Row],[Edital]],tEditais[Edital],0)),"")</f>
        <v>46304.708333333336</v>
      </c>
      <c r="J466" t="str">
        <f>IFERROR(INDEX(tProdutos[Classe],MATCH(tItens[[#This Row],[Produto]],tProdutos[Produto],0)),"produto não cadastrado")</f>
        <v>NÚCLEO</v>
      </c>
      <c r="K466" s="12">
        <f>tItens[[#This Row],[Qtd]]*tItens[[#This Row],[Vlr unit]]</f>
        <v>0</v>
      </c>
      <c r="L466" s="6">
        <f>IFERROR(IF(INDEX(tProdutos[Desconto homologado],MATCH(tItens[[#This Row],[Produto]],tProdutos[Produto],0))="",DescontoPadrao,INDEX(tProdutos[Desconto homologado],MATCH(tItens[[#This Row],[Produto]],tProdutos[Produto],0))),DescontoPadrao)</f>
        <v>0.30410958904109597</v>
      </c>
      <c r="M466" s="12">
        <f>tItens[[#This Row],[Valor]]*(1-tItens[[#This Row],[Desconto]])</f>
        <v>0</v>
      </c>
      <c r="N466" t="str">
        <f>IFERROR(INDEX(tProdutos[Foco],MATCH(tItens[[#This Row],[Produto]],tProdutos[Produto],0)),"Não")</f>
        <v>Não</v>
      </c>
      <c r="O466" t="str">
        <f>IFERROR(INDEX(tEditais[SRP],MATCH(tItens[[#This Row],[Edital]],tEditais[Edital],0)),"Não")</f>
        <v>Não</v>
      </c>
      <c r="P466" s="4">
        <f>IF(COUNTIFS(INDEX(tItens[Edital],1):tItens[[#This Row],[Edital]],tItens[[#This Row],[Edital]],INDEX(tItens[Produto],1):tItens[[#This Row],[Produto]],tItens[[#This Row],[Produto]])=1,1,0)</f>
        <v>0</v>
      </c>
    </row>
    <row r="467" spans="1:16" x14ac:dyDescent="0.25">
      <c r="A467" t="s">
        <v>833</v>
      </c>
      <c r="B467">
        <v>555</v>
      </c>
      <c r="C467" t="s">
        <v>3684</v>
      </c>
      <c r="D467" t="s">
        <v>110</v>
      </c>
      <c r="E467" s="13">
        <v>150</v>
      </c>
      <c r="F467" s="12">
        <v>0</v>
      </c>
      <c r="G467" t="str">
        <f>IFERROR(INDEX(tEditais[Órgão],MATCH(tItens[[#This Row],[Edital]],tEditais[Edital],0)),"")</f>
        <v>MUNICIPIO DE CONTENDAS DO SINCORA</v>
      </c>
      <c r="H467" t="str">
        <f>IFERROR(INDEX(tEditais[UF],MATCH(tItens[[#This Row],[Edital]],tEditais[Edital],0)),"")</f>
        <v>BA</v>
      </c>
      <c r="I467" s="11">
        <f>IFERROR(INDEX(tEditais[Encerramento],MATCH(tItens[[#This Row],[Edital]],tEditais[Edital],0)),"")</f>
        <v>46304.708333333336</v>
      </c>
      <c r="J467" t="str">
        <f>IFERROR(INDEX(tProdutos[Classe],MATCH(tItens[[#This Row],[Produto]],tProdutos[Produto],0)),"produto não cadastrado")</f>
        <v>NÚCLEO</v>
      </c>
      <c r="K467" s="12">
        <f>tItens[[#This Row],[Qtd]]*tItens[[#This Row],[Vlr unit]]</f>
        <v>0</v>
      </c>
      <c r="L467" s="6">
        <f>IFERROR(IF(INDEX(tProdutos[Desconto homologado],MATCH(tItens[[#This Row],[Produto]],tProdutos[Produto],0))="",DescontoPadrao,INDEX(tProdutos[Desconto homologado],MATCH(tItens[[#This Row],[Produto]],tProdutos[Produto],0))),DescontoPadrao)</f>
        <v>0.30410958904109597</v>
      </c>
      <c r="M467" s="12">
        <f>tItens[[#This Row],[Valor]]*(1-tItens[[#This Row],[Desconto]])</f>
        <v>0</v>
      </c>
      <c r="N467" t="str">
        <f>IFERROR(INDEX(tProdutos[Foco],MATCH(tItens[[#This Row],[Produto]],tProdutos[Produto],0)),"Não")</f>
        <v>Não</v>
      </c>
      <c r="O467" t="str">
        <f>IFERROR(INDEX(tEditais[SRP],MATCH(tItens[[#This Row],[Edital]],tEditais[Edital],0)),"Não")</f>
        <v>Não</v>
      </c>
      <c r="P467" s="4">
        <f>IF(COUNTIFS(INDEX(tItens[Edital],1):tItens[[#This Row],[Edital]],tItens[[#This Row],[Edital]],INDEX(tItens[Produto],1):tItens[[#This Row],[Produto]],tItens[[#This Row],[Produto]])=1,1,0)</f>
        <v>0</v>
      </c>
    </row>
    <row r="468" spans="1:16" x14ac:dyDescent="0.25">
      <c r="A468" t="s">
        <v>833</v>
      </c>
      <c r="B468">
        <v>556</v>
      </c>
      <c r="C468" t="s">
        <v>3685</v>
      </c>
      <c r="D468" t="s">
        <v>110</v>
      </c>
      <c r="E468" s="13">
        <v>150</v>
      </c>
      <c r="F468" s="12">
        <v>0</v>
      </c>
      <c r="G468" t="str">
        <f>IFERROR(INDEX(tEditais[Órgão],MATCH(tItens[[#This Row],[Edital]],tEditais[Edital],0)),"")</f>
        <v>MUNICIPIO DE CONTENDAS DO SINCORA</v>
      </c>
      <c r="H468" t="str">
        <f>IFERROR(INDEX(tEditais[UF],MATCH(tItens[[#This Row],[Edital]],tEditais[Edital],0)),"")</f>
        <v>BA</v>
      </c>
      <c r="I468" s="11">
        <f>IFERROR(INDEX(tEditais[Encerramento],MATCH(tItens[[#This Row],[Edital]],tEditais[Edital],0)),"")</f>
        <v>46304.708333333336</v>
      </c>
      <c r="J468" t="str">
        <f>IFERROR(INDEX(tProdutos[Classe],MATCH(tItens[[#This Row],[Produto]],tProdutos[Produto],0)),"produto não cadastrado")</f>
        <v>NÚCLEO</v>
      </c>
      <c r="K468" s="12">
        <f>tItens[[#This Row],[Qtd]]*tItens[[#This Row],[Vlr unit]]</f>
        <v>0</v>
      </c>
      <c r="L468" s="6">
        <f>IFERROR(IF(INDEX(tProdutos[Desconto homologado],MATCH(tItens[[#This Row],[Produto]],tProdutos[Produto],0))="",DescontoPadrao,INDEX(tProdutos[Desconto homologado],MATCH(tItens[[#This Row],[Produto]],tProdutos[Produto],0))),DescontoPadrao)</f>
        <v>0.30410958904109597</v>
      </c>
      <c r="M468" s="12">
        <f>tItens[[#This Row],[Valor]]*(1-tItens[[#This Row],[Desconto]])</f>
        <v>0</v>
      </c>
      <c r="N468" t="str">
        <f>IFERROR(INDEX(tProdutos[Foco],MATCH(tItens[[#This Row],[Produto]],tProdutos[Produto],0)),"Não")</f>
        <v>Não</v>
      </c>
      <c r="O468" t="str">
        <f>IFERROR(INDEX(tEditais[SRP],MATCH(tItens[[#This Row],[Edital]],tEditais[Edital],0)),"Não")</f>
        <v>Não</v>
      </c>
      <c r="P468" s="4">
        <f>IF(COUNTIFS(INDEX(tItens[Edital],1):tItens[[#This Row],[Edital]],tItens[[#This Row],[Edital]],INDEX(tItens[Produto],1):tItens[[#This Row],[Produto]],tItens[[#This Row],[Produto]])=1,1,0)</f>
        <v>0</v>
      </c>
    </row>
    <row r="469" spans="1:16" x14ac:dyDescent="0.25">
      <c r="A469" t="s">
        <v>833</v>
      </c>
      <c r="B469">
        <v>557</v>
      </c>
      <c r="C469" t="s">
        <v>3686</v>
      </c>
      <c r="D469" t="s">
        <v>110</v>
      </c>
      <c r="E469" s="13">
        <v>150</v>
      </c>
      <c r="F469" s="12">
        <v>0</v>
      </c>
      <c r="G469" t="str">
        <f>IFERROR(INDEX(tEditais[Órgão],MATCH(tItens[[#This Row],[Edital]],tEditais[Edital],0)),"")</f>
        <v>MUNICIPIO DE CONTENDAS DO SINCORA</v>
      </c>
      <c r="H469" t="str">
        <f>IFERROR(INDEX(tEditais[UF],MATCH(tItens[[#This Row],[Edital]],tEditais[Edital],0)),"")</f>
        <v>BA</v>
      </c>
      <c r="I469" s="11">
        <f>IFERROR(INDEX(tEditais[Encerramento],MATCH(tItens[[#This Row],[Edital]],tEditais[Edital],0)),"")</f>
        <v>46304.708333333336</v>
      </c>
      <c r="J469" t="str">
        <f>IFERROR(INDEX(tProdutos[Classe],MATCH(tItens[[#This Row],[Produto]],tProdutos[Produto],0)),"produto não cadastrado")</f>
        <v>NÚCLEO</v>
      </c>
      <c r="K469" s="12">
        <f>tItens[[#This Row],[Qtd]]*tItens[[#This Row],[Vlr unit]]</f>
        <v>0</v>
      </c>
      <c r="L469" s="6">
        <f>IFERROR(IF(INDEX(tProdutos[Desconto homologado],MATCH(tItens[[#This Row],[Produto]],tProdutos[Produto],0))="",DescontoPadrao,INDEX(tProdutos[Desconto homologado],MATCH(tItens[[#This Row],[Produto]],tProdutos[Produto],0))),DescontoPadrao)</f>
        <v>0.30410958904109597</v>
      </c>
      <c r="M469" s="12">
        <f>tItens[[#This Row],[Valor]]*(1-tItens[[#This Row],[Desconto]])</f>
        <v>0</v>
      </c>
      <c r="N469" t="str">
        <f>IFERROR(INDEX(tProdutos[Foco],MATCH(tItens[[#This Row],[Produto]],tProdutos[Produto],0)),"Não")</f>
        <v>Não</v>
      </c>
      <c r="O469" t="str">
        <f>IFERROR(INDEX(tEditais[SRP],MATCH(tItens[[#This Row],[Edital]],tEditais[Edital],0)),"Não")</f>
        <v>Não</v>
      </c>
      <c r="P469" s="4">
        <f>IF(COUNTIFS(INDEX(tItens[Edital],1):tItens[[#This Row],[Edital]],tItens[[#This Row],[Edital]],INDEX(tItens[Produto],1):tItens[[#This Row],[Produto]],tItens[[#This Row],[Produto]])=1,1,0)</f>
        <v>0</v>
      </c>
    </row>
    <row r="470" spans="1:16" x14ac:dyDescent="0.25">
      <c r="A470" t="s">
        <v>833</v>
      </c>
      <c r="B470">
        <v>558</v>
      </c>
      <c r="C470" t="s">
        <v>3687</v>
      </c>
      <c r="D470" t="s">
        <v>110</v>
      </c>
      <c r="E470" s="13">
        <v>150</v>
      </c>
      <c r="F470" s="12">
        <v>0</v>
      </c>
      <c r="G470" t="str">
        <f>IFERROR(INDEX(tEditais[Órgão],MATCH(tItens[[#This Row],[Edital]],tEditais[Edital],0)),"")</f>
        <v>MUNICIPIO DE CONTENDAS DO SINCORA</v>
      </c>
      <c r="H470" t="str">
        <f>IFERROR(INDEX(tEditais[UF],MATCH(tItens[[#This Row],[Edital]],tEditais[Edital],0)),"")</f>
        <v>BA</v>
      </c>
      <c r="I470" s="11">
        <f>IFERROR(INDEX(tEditais[Encerramento],MATCH(tItens[[#This Row],[Edital]],tEditais[Edital],0)),"")</f>
        <v>46304.708333333336</v>
      </c>
      <c r="J470" t="str">
        <f>IFERROR(INDEX(tProdutos[Classe],MATCH(tItens[[#This Row],[Produto]],tProdutos[Produto],0)),"produto não cadastrado")</f>
        <v>NÚCLEO</v>
      </c>
      <c r="K470" s="12">
        <f>tItens[[#This Row],[Qtd]]*tItens[[#This Row],[Vlr unit]]</f>
        <v>0</v>
      </c>
      <c r="L470" s="6">
        <f>IFERROR(IF(INDEX(tProdutos[Desconto homologado],MATCH(tItens[[#This Row],[Produto]],tProdutos[Produto],0))="",DescontoPadrao,INDEX(tProdutos[Desconto homologado],MATCH(tItens[[#This Row],[Produto]],tProdutos[Produto],0))),DescontoPadrao)</f>
        <v>0.30410958904109597</v>
      </c>
      <c r="M470" s="12">
        <f>tItens[[#This Row],[Valor]]*(1-tItens[[#This Row],[Desconto]])</f>
        <v>0</v>
      </c>
      <c r="N470" t="str">
        <f>IFERROR(INDEX(tProdutos[Foco],MATCH(tItens[[#This Row],[Produto]],tProdutos[Produto],0)),"Não")</f>
        <v>Não</v>
      </c>
      <c r="O470" t="str">
        <f>IFERROR(INDEX(tEditais[SRP],MATCH(tItens[[#This Row],[Edital]],tEditais[Edital],0)),"Não")</f>
        <v>Não</v>
      </c>
      <c r="P470" s="4">
        <f>IF(COUNTIFS(INDEX(tItens[Edital],1):tItens[[#This Row],[Edital]],tItens[[#This Row],[Edital]],INDEX(tItens[Produto],1):tItens[[#This Row],[Produto]],tItens[[#This Row],[Produto]])=1,1,0)</f>
        <v>0</v>
      </c>
    </row>
    <row r="471" spans="1:16" x14ac:dyDescent="0.25">
      <c r="A471" t="s">
        <v>833</v>
      </c>
      <c r="B471">
        <v>559</v>
      </c>
      <c r="C471" t="s">
        <v>3688</v>
      </c>
      <c r="D471" t="s">
        <v>110</v>
      </c>
      <c r="E471" s="13">
        <v>150</v>
      </c>
      <c r="F471" s="12">
        <v>0</v>
      </c>
      <c r="G471" t="str">
        <f>IFERROR(INDEX(tEditais[Órgão],MATCH(tItens[[#This Row],[Edital]],tEditais[Edital],0)),"")</f>
        <v>MUNICIPIO DE CONTENDAS DO SINCORA</v>
      </c>
      <c r="H471" t="str">
        <f>IFERROR(INDEX(tEditais[UF],MATCH(tItens[[#This Row],[Edital]],tEditais[Edital],0)),"")</f>
        <v>BA</v>
      </c>
      <c r="I471" s="11">
        <f>IFERROR(INDEX(tEditais[Encerramento],MATCH(tItens[[#This Row],[Edital]],tEditais[Edital],0)),"")</f>
        <v>46304.708333333336</v>
      </c>
      <c r="J471" t="str">
        <f>IFERROR(INDEX(tProdutos[Classe],MATCH(tItens[[#This Row],[Produto]],tProdutos[Produto],0)),"produto não cadastrado")</f>
        <v>NÚCLEO</v>
      </c>
      <c r="K471" s="12">
        <f>tItens[[#This Row],[Qtd]]*tItens[[#This Row],[Vlr unit]]</f>
        <v>0</v>
      </c>
      <c r="L471" s="6">
        <f>IFERROR(IF(INDEX(tProdutos[Desconto homologado],MATCH(tItens[[#This Row],[Produto]],tProdutos[Produto],0))="",DescontoPadrao,INDEX(tProdutos[Desconto homologado],MATCH(tItens[[#This Row],[Produto]],tProdutos[Produto],0))),DescontoPadrao)</f>
        <v>0.30410958904109597</v>
      </c>
      <c r="M471" s="12">
        <f>tItens[[#This Row],[Valor]]*(1-tItens[[#This Row],[Desconto]])</f>
        <v>0</v>
      </c>
      <c r="N471" t="str">
        <f>IFERROR(INDEX(tProdutos[Foco],MATCH(tItens[[#This Row],[Produto]],tProdutos[Produto],0)),"Não")</f>
        <v>Não</v>
      </c>
      <c r="O471" t="str">
        <f>IFERROR(INDEX(tEditais[SRP],MATCH(tItens[[#This Row],[Edital]],tEditais[Edital],0)),"Não")</f>
        <v>Não</v>
      </c>
      <c r="P471" s="4">
        <f>IF(COUNTIFS(INDEX(tItens[Edital],1):tItens[[#This Row],[Edital]],tItens[[#This Row],[Edital]],INDEX(tItens[Produto],1):tItens[[#This Row],[Produto]],tItens[[#This Row],[Produto]])=1,1,0)</f>
        <v>0</v>
      </c>
    </row>
    <row r="472" spans="1:16" x14ac:dyDescent="0.25">
      <c r="A472" t="s">
        <v>833</v>
      </c>
      <c r="B472">
        <v>560</v>
      </c>
      <c r="C472" t="s">
        <v>3689</v>
      </c>
      <c r="D472" t="s">
        <v>110</v>
      </c>
      <c r="E472" s="13">
        <v>150</v>
      </c>
      <c r="F472" s="12">
        <v>0</v>
      </c>
      <c r="G472" t="str">
        <f>IFERROR(INDEX(tEditais[Órgão],MATCH(tItens[[#This Row],[Edital]],tEditais[Edital],0)),"")</f>
        <v>MUNICIPIO DE CONTENDAS DO SINCORA</v>
      </c>
      <c r="H472" t="str">
        <f>IFERROR(INDEX(tEditais[UF],MATCH(tItens[[#This Row],[Edital]],tEditais[Edital],0)),"")</f>
        <v>BA</v>
      </c>
      <c r="I472" s="11">
        <f>IFERROR(INDEX(tEditais[Encerramento],MATCH(tItens[[#This Row],[Edital]],tEditais[Edital],0)),"")</f>
        <v>46304.708333333336</v>
      </c>
      <c r="J472" t="str">
        <f>IFERROR(INDEX(tProdutos[Classe],MATCH(tItens[[#This Row],[Produto]],tProdutos[Produto],0)),"produto não cadastrado")</f>
        <v>NÚCLEO</v>
      </c>
      <c r="K472" s="12">
        <f>tItens[[#This Row],[Qtd]]*tItens[[#This Row],[Vlr unit]]</f>
        <v>0</v>
      </c>
      <c r="L472" s="6">
        <f>IFERROR(IF(INDEX(tProdutos[Desconto homologado],MATCH(tItens[[#This Row],[Produto]],tProdutos[Produto],0))="",DescontoPadrao,INDEX(tProdutos[Desconto homologado],MATCH(tItens[[#This Row],[Produto]],tProdutos[Produto],0))),DescontoPadrao)</f>
        <v>0.30410958904109597</v>
      </c>
      <c r="M472" s="12">
        <f>tItens[[#This Row],[Valor]]*(1-tItens[[#This Row],[Desconto]])</f>
        <v>0</v>
      </c>
      <c r="N472" t="str">
        <f>IFERROR(INDEX(tProdutos[Foco],MATCH(tItens[[#This Row],[Produto]],tProdutos[Produto],0)),"Não")</f>
        <v>Não</v>
      </c>
      <c r="O472" t="str">
        <f>IFERROR(INDEX(tEditais[SRP],MATCH(tItens[[#This Row],[Edital]],tEditais[Edital],0)),"Não")</f>
        <v>Não</v>
      </c>
      <c r="P472" s="4">
        <f>IF(COUNTIFS(INDEX(tItens[Edital],1):tItens[[#This Row],[Edital]],tItens[[#This Row],[Edital]],INDEX(tItens[Produto],1):tItens[[#This Row],[Produto]],tItens[[#This Row],[Produto]])=1,1,0)</f>
        <v>0</v>
      </c>
    </row>
    <row r="473" spans="1:16" x14ac:dyDescent="0.25">
      <c r="A473" t="s">
        <v>833</v>
      </c>
      <c r="B473">
        <v>561</v>
      </c>
      <c r="C473" t="s">
        <v>3690</v>
      </c>
      <c r="D473" t="s">
        <v>110</v>
      </c>
      <c r="E473" s="13">
        <v>150</v>
      </c>
      <c r="F473" s="12">
        <v>0</v>
      </c>
      <c r="G473" t="str">
        <f>IFERROR(INDEX(tEditais[Órgão],MATCH(tItens[[#This Row],[Edital]],tEditais[Edital],0)),"")</f>
        <v>MUNICIPIO DE CONTENDAS DO SINCORA</v>
      </c>
      <c r="H473" t="str">
        <f>IFERROR(INDEX(tEditais[UF],MATCH(tItens[[#This Row],[Edital]],tEditais[Edital],0)),"")</f>
        <v>BA</v>
      </c>
      <c r="I473" s="11">
        <f>IFERROR(INDEX(tEditais[Encerramento],MATCH(tItens[[#This Row],[Edital]],tEditais[Edital],0)),"")</f>
        <v>46304.708333333336</v>
      </c>
      <c r="J473" t="str">
        <f>IFERROR(INDEX(tProdutos[Classe],MATCH(tItens[[#This Row],[Produto]],tProdutos[Produto],0)),"produto não cadastrado")</f>
        <v>NÚCLEO</v>
      </c>
      <c r="K473" s="12">
        <f>tItens[[#This Row],[Qtd]]*tItens[[#This Row],[Vlr unit]]</f>
        <v>0</v>
      </c>
      <c r="L473" s="6">
        <f>IFERROR(IF(INDEX(tProdutos[Desconto homologado],MATCH(tItens[[#This Row],[Produto]],tProdutos[Produto],0))="",DescontoPadrao,INDEX(tProdutos[Desconto homologado],MATCH(tItens[[#This Row],[Produto]],tProdutos[Produto],0))),DescontoPadrao)</f>
        <v>0.30410958904109597</v>
      </c>
      <c r="M473" s="12">
        <f>tItens[[#This Row],[Valor]]*(1-tItens[[#This Row],[Desconto]])</f>
        <v>0</v>
      </c>
      <c r="N473" t="str">
        <f>IFERROR(INDEX(tProdutos[Foco],MATCH(tItens[[#This Row],[Produto]],tProdutos[Produto],0)),"Não")</f>
        <v>Não</v>
      </c>
      <c r="O473" t="str">
        <f>IFERROR(INDEX(tEditais[SRP],MATCH(tItens[[#This Row],[Edital]],tEditais[Edital],0)),"Não")</f>
        <v>Não</v>
      </c>
      <c r="P473" s="4">
        <f>IF(COUNTIFS(INDEX(tItens[Edital],1):tItens[[#This Row],[Edital]],tItens[[#This Row],[Edital]],INDEX(tItens[Produto],1):tItens[[#This Row],[Produto]],tItens[[#This Row],[Produto]])=1,1,0)</f>
        <v>0</v>
      </c>
    </row>
    <row r="474" spans="1:16" x14ac:dyDescent="0.25">
      <c r="A474" t="s">
        <v>833</v>
      </c>
      <c r="B474">
        <v>562</v>
      </c>
      <c r="C474" t="s">
        <v>3691</v>
      </c>
      <c r="D474" t="s">
        <v>120</v>
      </c>
      <c r="E474" s="13">
        <v>3000</v>
      </c>
      <c r="F474" s="12">
        <v>0</v>
      </c>
      <c r="G474" t="str">
        <f>IFERROR(INDEX(tEditais[Órgão],MATCH(tItens[[#This Row],[Edital]],tEditais[Edital],0)),"")</f>
        <v>MUNICIPIO DE CONTENDAS DO SINCORA</v>
      </c>
      <c r="H474" t="str">
        <f>IFERROR(INDEX(tEditais[UF],MATCH(tItens[[#This Row],[Edital]],tEditais[Edital],0)),"")</f>
        <v>BA</v>
      </c>
      <c r="I474" s="11">
        <f>IFERROR(INDEX(tEditais[Encerramento],MATCH(tItens[[#This Row],[Edital]],tEditais[Edital],0)),"")</f>
        <v>46304.708333333336</v>
      </c>
      <c r="J474" t="str">
        <f>IFERROR(INDEX(tProdutos[Classe],MATCH(tItens[[#This Row],[Produto]],tProdutos[Produto],0)),"produto não cadastrado")</f>
        <v>DISPUTADO</v>
      </c>
      <c r="K474" s="12">
        <f>tItens[[#This Row],[Qtd]]*tItens[[#This Row],[Vlr unit]]</f>
        <v>0</v>
      </c>
      <c r="L474" s="6">
        <f>IFERROR(IF(INDEX(tProdutos[Desconto homologado],MATCH(tItens[[#This Row],[Produto]],tProdutos[Produto],0))="",DescontoPadrao,INDEX(tProdutos[Desconto homologado],MATCH(tItens[[#This Row],[Produto]],tProdutos[Produto],0))),DescontoPadrao)</f>
        <v>0.40909090909090901</v>
      </c>
      <c r="M474" s="12">
        <f>tItens[[#This Row],[Valor]]*(1-tItens[[#This Row],[Desconto]])</f>
        <v>0</v>
      </c>
      <c r="N474" t="str">
        <f>IFERROR(INDEX(tProdutos[Foco],MATCH(tItens[[#This Row],[Produto]],tProdutos[Produto],0)),"Não")</f>
        <v>Não</v>
      </c>
      <c r="O474" t="str">
        <f>IFERROR(INDEX(tEditais[SRP],MATCH(tItens[[#This Row],[Edital]],tEditais[Edital],0)),"Não")</f>
        <v>Não</v>
      </c>
      <c r="P474" s="4">
        <f>IF(COUNTIFS(INDEX(tItens[Edital],1):tItens[[#This Row],[Edital]],tItens[[#This Row],[Edital]],INDEX(tItens[Produto],1):tItens[[#This Row],[Produto]],tItens[[#This Row],[Produto]])=1,1,0)</f>
        <v>1</v>
      </c>
    </row>
    <row r="475" spans="1:16" x14ac:dyDescent="0.25">
      <c r="A475" t="s">
        <v>833</v>
      </c>
      <c r="B475">
        <v>563</v>
      </c>
      <c r="C475" t="s">
        <v>3692</v>
      </c>
      <c r="D475" t="s">
        <v>120</v>
      </c>
      <c r="E475" s="13">
        <v>3000</v>
      </c>
      <c r="F475" s="12">
        <v>0</v>
      </c>
      <c r="G475" t="str">
        <f>IFERROR(INDEX(tEditais[Órgão],MATCH(tItens[[#This Row],[Edital]],tEditais[Edital],0)),"")</f>
        <v>MUNICIPIO DE CONTENDAS DO SINCORA</v>
      </c>
      <c r="H475" t="str">
        <f>IFERROR(INDEX(tEditais[UF],MATCH(tItens[[#This Row],[Edital]],tEditais[Edital],0)),"")</f>
        <v>BA</v>
      </c>
      <c r="I475" s="11">
        <f>IFERROR(INDEX(tEditais[Encerramento],MATCH(tItens[[#This Row],[Edital]],tEditais[Edital],0)),"")</f>
        <v>46304.708333333336</v>
      </c>
      <c r="J475" t="str">
        <f>IFERROR(INDEX(tProdutos[Classe],MATCH(tItens[[#This Row],[Produto]],tProdutos[Produto],0)),"produto não cadastrado")</f>
        <v>DISPUTADO</v>
      </c>
      <c r="K475" s="12">
        <f>tItens[[#This Row],[Qtd]]*tItens[[#This Row],[Vlr unit]]</f>
        <v>0</v>
      </c>
      <c r="L475" s="6">
        <f>IFERROR(IF(INDEX(tProdutos[Desconto homologado],MATCH(tItens[[#This Row],[Produto]],tProdutos[Produto],0))="",DescontoPadrao,INDEX(tProdutos[Desconto homologado],MATCH(tItens[[#This Row],[Produto]],tProdutos[Produto],0))),DescontoPadrao)</f>
        <v>0.40909090909090901</v>
      </c>
      <c r="M475" s="12">
        <f>tItens[[#This Row],[Valor]]*(1-tItens[[#This Row],[Desconto]])</f>
        <v>0</v>
      </c>
      <c r="N475" t="str">
        <f>IFERROR(INDEX(tProdutos[Foco],MATCH(tItens[[#This Row],[Produto]],tProdutos[Produto],0)),"Não")</f>
        <v>Não</v>
      </c>
      <c r="O475" t="str">
        <f>IFERROR(INDEX(tEditais[SRP],MATCH(tItens[[#This Row],[Edital]],tEditais[Edital],0)),"Não")</f>
        <v>Não</v>
      </c>
      <c r="P475" s="4">
        <f>IF(COUNTIFS(INDEX(tItens[Edital],1):tItens[[#This Row],[Edital]],tItens[[#This Row],[Edital]],INDEX(tItens[Produto],1):tItens[[#This Row],[Produto]],tItens[[#This Row],[Produto]])=1,1,0)</f>
        <v>0</v>
      </c>
    </row>
    <row r="476" spans="1:16" x14ac:dyDescent="0.25">
      <c r="A476" t="s">
        <v>833</v>
      </c>
      <c r="B476">
        <v>564</v>
      </c>
      <c r="C476" t="s">
        <v>3693</v>
      </c>
      <c r="D476" t="s">
        <v>120</v>
      </c>
      <c r="E476" s="13">
        <v>3000</v>
      </c>
      <c r="F476" s="12">
        <v>0</v>
      </c>
      <c r="G476" t="str">
        <f>IFERROR(INDEX(tEditais[Órgão],MATCH(tItens[[#This Row],[Edital]],tEditais[Edital],0)),"")</f>
        <v>MUNICIPIO DE CONTENDAS DO SINCORA</v>
      </c>
      <c r="H476" t="str">
        <f>IFERROR(INDEX(tEditais[UF],MATCH(tItens[[#This Row],[Edital]],tEditais[Edital],0)),"")</f>
        <v>BA</v>
      </c>
      <c r="I476" s="11">
        <f>IFERROR(INDEX(tEditais[Encerramento],MATCH(tItens[[#This Row],[Edital]],tEditais[Edital],0)),"")</f>
        <v>46304.708333333336</v>
      </c>
      <c r="J476" t="str">
        <f>IFERROR(INDEX(tProdutos[Classe],MATCH(tItens[[#This Row],[Produto]],tProdutos[Produto],0)),"produto não cadastrado")</f>
        <v>DISPUTADO</v>
      </c>
      <c r="K476" s="12">
        <f>tItens[[#This Row],[Qtd]]*tItens[[#This Row],[Vlr unit]]</f>
        <v>0</v>
      </c>
      <c r="L476" s="6">
        <f>IFERROR(IF(INDEX(tProdutos[Desconto homologado],MATCH(tItens[[#This Row],[Produto]],tProdutos[Produto],0))="",DescontoPadrao,INDEX(tProdutos[Desconto homologado],MATCH(tItens[[#This Row],[Produto]],tProdutos[Produto],0))),DescontoPadrao)</f>
        <v>0.40909090909090901</v>
      </c>
      <c r="M476" s="12">
        <f>tItens[[#This Row],[Valor]]*(1-tItens[[#This Row],[Desconto]])</f>
        <v>0</v>
      </c>
      <c r="N476" t="str">
        <f>IFERROR(INDEX(tProdutos[Foco],MATCH(tItens[[#This Row],[Produto]],tProdutos[Produto],0)),"Não")</f>
        <v>Não</v>
      </c>
      <c r="O476" t="str">
        <f>IFERROR(INDEX(tEditais[SRP],MATCH(tItens[[#This Row],[Edital]],tEditais[Edital],0)),"Não")</f>
        <v>Não</v>
      </c>
      <c r="P476" s="4">
        <f>IF(COUNTIFS(INDEX(tItens[Edital],1):tItens[[#This Row],[Edital]],tItens[[#This Row],[Edital]],INDEX(tItens[Produto],1):tItens[[#This Row],[Produto]],tItens[[#This Row],[Produto]])=1,1,0)</f>
        <v>0</v>
      </c>
    </row>
    <row r="477" spans="1:16" x14ac:dyDescent="0.25">
      <c r="A477" t="s">
        <v>833</v>
      </c>
      <c r="B477">
        <v>565</v>
      </c>
      <c r="C477" t="s">
        <v>3694</v>
      </c>
      <c r="D477" t="s">
        <v>120</v>
      </c>
      <c r="E477" s="13">
        <v>3000</v>
      </c>
      <c r="F477" s="12">
        <v>0</v>
      </c>
      <c r="G477" t="str">
        <f>IFERROR(INDEX(tEditais[Órgão],MATCH(tItens[[#This Row],[Edital]],tEditais[Edital],0)),"")</f>
        <v>MUNICIPIO DE CONTENDAS DO SINCORA</v>
      </c>
      <c r="H477" t="str">
        <f>IFERROR(INDEX(tEditais[UF],MATCH(tItens[[#This Row],[Edital]],tEditais[Edital],0)),"")</f>
        <v>BA</v>
      </c>
      <c r="I477" s="11">
        <f>IFERROR(INDEX(tEditais[Encerramento],MATCH(tItens[[#This Row],[Edital]],tEditais[Edital],0)),"")</f>
        <v>46304.708333333336</v>
      </c>
      <c r="J477" t="str">
        <f>IFERROR(INDEX(tProdutos[Classe],MATCH(tItens[[#This Row],[Produto]],tProdutos[Produto],0)),"produto não cadastrado")</f>
        <v>DISPUTADO</v>
      </c>
      <c r="K477" s="12">
        <f>tItens[[#This Row],[Qtd]]*tItens[[#This Row],[Vlr unit]]</f>
        <v>0</v>
      </c>
      <c r="L477" s="6">
        <f>IFERROR(IF(INDEX(tProdutos[Desconto homologado],MATCH(tItens[[#This Row],[Produto]],tProdutos[Produto],0))="",DescontoPadrao,INDEX(tProdutos[Desconto homologado],MATCH(tItens[[#This Row],[Produto]],tProdutos[Produto],0))),DescontoPadrao)</f>
        <v>0.40909090909090901</v>
      </c>
      <c r="M477" s="12">
        <f>tItens[[#This Row],[Valor]]*(1-tItens[[#This Row],[Desconto]])</f>
        <v>0</v>
      </c>
      <c r="N477" t="str">
        <f>IFERROR(INDEX(tProdutos[Foco],MATCH(tItens[[#This Row],[Produto]],tProdutos[Produto],0)),"Não")</f>
        <v>Não</v>
      </c>
      <c r="O477" t="str">
        <f>IFERROR(INDEX(tEditais[SRP],MATCH(tItens[[#This Row],[Edital]],tEditais[Edital],0)),"Não")</f>
        <v>Não</v>
      </c>
      <c r="P477" s="4">
        <f>IF(COUNTIFS(INDEX(tItens[Edital],1):tItens[[#This Row],[Edital]],tItens[[#This Row],[Edital]],INDEX(tItens[Produto],1):tItens[[#This Row],[Produto]],tItens[[#This Row],[Produto]])=1,1,0)</f>
        <v>0</v>
      </c>
    </row>
    <row r="478" spans="1:16" x14ac:dyDescent="0.25">
      <c r="A478" t="s">
        <v>833</v>
      </c>
      <c r="B478">
        <v>566</v>
      </c>
      <c r="C478" t="s">
        <v>3695</v>
      </c>
      <c r="D478" t="s">
        <v>120</v>
      </c>
      <c r="E478" s="13">
        <v>3000</v>
      </c>
      <c r="F478" s="12">
        <v>0</v>
      </c>
      <c r="G478" t="str">
        <f>IFERROR(INDEX(tEditais[Órgão],MATCH(tItens[[#This Row],[Edital]],tEditais[Edital],0)),"")</f>
        <v>MUNICIPIO DE CONTENDAS DO SINCORA</v>
      </c>
      <c r="H478" t="str">
        <f>IFERROR(INDEX(tEditais[UF],MATCH(tItens[[#This Row],[Edital]],tEditais[Edital],0)),"")</f>
        <v>BA</v>
      </c>
      <c r="I478" s="11">
        <f>IFERROR(INDEX(tEditais[Encerramento],MATCH(tItens[[#This Row],[Edital]],tEditais[Edital],0)),"")</f>
        <v>46304.708333333336</v>
      </c>
      <c r="J478" t="str">
        <f>IFERROR(INDEX(tProdutos[Classe],MATCH(tItens[[#This Row],[Produto]],tProdutos[Produto],0)),"produto não cadastrado")</f>
        <v>DISPUTADO</v>
      </c>
      <c r="K478" s="12">
        <f>tItens[[#This Row],[Qtd]]*tItens[[#This Row],[Vlr unit]]</f>
        <v>0</v>
      </c>
      <c r="L478" s="6">
        <f>IFERROR(IF(INDEX(tProdutos[Desconto homologado],MATCH(tItens[[#This Row],[Produto]],tProdutos[Produto],0))="",DescontoPadrao,INDEX(tProdutos[Desconto homologado],MATCH(tItens[[#This Row],[Produto]],tProdutos[Produto],0))),DescontoPadrao)</f>
        <v>0.40909090909090901</v>
      </c>
      <c r="M478" s="12">
        <f>tItens[[#This Row],[Valor]]*(1-tItens[[#This Row],[Desconto]])</f>
        <v>0</v>
      </c>
      <c r="N478" t="str">
        <f>IFERROR(INDEX(tProdutos[Foco],MATCH(tItens[[#This Row],[Produto]],tProdutos[Produto],0)),"Não")</f>
        <v>Não</v>
      </c>
      <c r="O478" t="str">
        <f>IFERROR(INDEX(tEditais[SRP],MATCH(tItens[[#This Row],[Edital]],tEditais[Edital],0)),"Não")</f>
        <v>Não</v>
      </c>
      <c r="P478" s="4">
        <f>IF(COUNTIFS(INDEX(tItens[Edital],1):tItens[[#This Row],[Edital]],tItens[[#This Row],[Edital]],INDEX(tItens[Produto],1):tItens[[#This Row],[Produto]],tItens[[#This Row],[Produto]])=1,1,0)</f>
        <v>0</v>
      </c>
    </row>
    <row r="479" spans="1:16" x14ac:dyDescent="0.25">
      <c r="A479" t="s">
        <v>833</v>
      </c>
      <c r="B479">
        <v>567</v>
      </c>
      <c r="C479" t="s">
        <v>3696</v>
      </c>
      <c r="D479" t="s">
        <v>120</v>
      </c>
      <c r="E479" s="13">
        <v>3000</v>
      </c>
      <c r="F479" s="12">
        <v>0</v>
      </c>
      <c r="G479" t="str">
        <f>IFERROR(INDEX(tEditais[Órgão],MATCH(tItens[[#This Row],[Edital]],tEditais[Edital],0)),"")</f>
        <v>MUNICIPIO DE CONTENDAS DO SINCORA</v>
      </c>
      <c r="H479" t="str">
        <f>IFERROR(INDEX(tEditais[UF],MATCH(tItens[[#This Row],[Edital]],tEditais[Edital],0)),"")</f>
        <v>BA</v>
      </c>
      <c r="I479" s="11">
        <f>IFERROR(INDEX(tEditais[Encerramento],MATCH(tItens[[#This Row],[Edital]],tEditais[Edital],0)),"")</f>
        <v>46304.708333333336</v>
      </c>
      <c r="J479" t="str">
        <f>IFERROR(INDEX(tProdutos[Classe],MATCH(tItens[[#This Row],[Produto]],tProdutos[Produto],0)),"produto não cadastrado")</f>
        <v>DISPUTADO</v>
      </c>
      <c r="K479" s="12">
        <f>tItens[[#This Row],[Qtd]]*tItens[[#This Row],[Vlr unit]]</f>
        <v>0</v>
      </c>
      <c r="L479" s="6">
        <f>IFERROR(IF(INDEX(tProdutos[Desconto homologado],MATCH(tItens[[#This Row],[Produto]],tProdutos[Produto],0))="",DescontoPadrao,INDEX(tProdutos[Desconto homologado],MATCH(tItens[[#This Row],[Produto]],tProdutos[Produto],0))),DescontoPadrao)</f>
        <v>0.40909090909090901</v>
      </c>
      <c r="M479" s="12">
        <f>tItens[[#This Row],[Valor]]*(1-tItens[[#This Row],[Desconto]])</f>
        <v>0</v>
      </c>
      <c r="N479" t="str">
        <f>IFERROR(INDEX(tProdutos[Foco],MATCH(tItens[[#This Row],[Produto]],tProdutos[Produto],0)),"Não")</f>
        <v>Não</v>
      </c>
      <c r="O479" t="str">
        <f>IFERROR(INDEX(tEditais[SRP],MATCH(tItens[[#This Row],[Edital]],tEditais[Edital],0)),"Não")</f>
        <v>Não</v>
      </c>
      <c r="P479" s="4">
        <f>IF(COUNTIFS(INDEX(tItens[Edital],1):tItens[[#This Row],[Edital]],tItens[[#This Row],[Edital]],INDEX(tItens[Produto],1):tItens[[#This Row],[Produto]],tItens[[#This Row],[Produto]])=1,1,0)</f>
        <v>0</v>
      </c>
    </row>
    <row r="480" spans="1:16" x14ac:dyDescent="0.25">
      <c r="A480" t="s">
        <v>833</v>
      </c>
      <c r="B480">
        <v>568</v>
      </c>
      <c r="C480" t="s">
        <v>3697</v>
      </c>
      <c r="D480" t="s">
        <v>120</v>
      </c>
      <c r="E480" s="13">
        <v>3000</v>
      </c>
      <c r="F480" s="12">
        <v>0</v>
      </c>
      <c r="G480" t="str">
        <f>IFERROR(INDEX(tEditais[Órgão],MATCH(tItens[[#This Row],[Edital]],tEditais[Edital],0)),"")</f>
        <v>MUNICIPIO DE CONTENDAS DO SINCORA</v>
      </c>
      <c r="H480" t="str">
        <f>IFERROR(INDEX(tEditais[UF],MATCH(tItens[[#This Row],[Edital]],tEditais[Edital],0)),"")</f>
        <v>BA</v>
      </c>
      <c r="I480" s="11">
        <f>IFERROR(INDEX(tEditais[Encerramento],MATCH(tItens[[#This Row],[Edital]],tEditais[Edital],0)),"")</f>
        <v>46304.708333333336</v>
      </c>
      <c r="J480" t="str">
        <f>IFERROR(INDEX(tProdutos[Classe],MATCH(tItens[[#This Row],[Produto]],tProdutos[Produto],0)),"produto não cadastrado")</f>
        <v>DISPUTADO</v>
      </c>
      <c r="K480" s="12">
        <f>tItens[[#This Row],[Qtd]]*tItens[[#This Row],[Vlr unit]]</f>
        <v>0</v>
      </c>
      <c r="L480" s="6">
        <f>IFERROR(IF(INDEX(tProdutos[Desconto homologado],MATCH(tItens[[#This Row],[Produto]],tProdutos[Produto],0))="",DescontoPadrao,INDEX(tProdutos[Desconto homologado],MATCH(tItens[[#This Row],[Produto]],tProdutos[Produto],0))),DescontoPadrao)</f>
        <v>0.40909090909090901</v>
      </c>
      <c r="M480" s="12">
        <f>tItens[[#This Row],[Valor]]*(1-tItens[[#This Row],[Desconto]])</f>
        <v>0</v>
      </c>
      <c r="N480" t="str">
        <f>IFERROR(INDEX(tProdutos[Foco],MATCH(tItens[[#This Row],[Produto]],tProdutos[Produto],0)),"Não")</f>
        <v>Não</v>
      </c>
      <c r="O480" t="str">
        <f>IFERROR(INDEX(tEditais[SRP],MATCH(tItens[[#This Row],[Edital]],tEditais[Edital],0)),"Não")</f>
        <v>Não</v>
      </c>
      <c r="P480" s="4">
        <f>IF(COUNTIFS(INDEX(tItens[Edital],1):tItens[[#This Row],[Edital]],tItens[[#This Row],[Edital]],INDEX(tItens[Produto],1):tItens[[#This Row],[Produto]],tItens[[#This Row],[Produto]])=1,1,0)</f>
        <v>0</v>
      </c>
    </row>
    <row r="481" spans="1:16" x14ac:dyDescent="0.25">
      <c r="A481" t="s">
        <v>833</v>
      </c>
      <c r="B481">
        <v>569</v>
      </c>
      <c r="C481" t="s">
        <v>3698</v>
      </c>
      <c r="D481" t="s">
        <v>120</v>
      </c>
      <c r="E481" s="13">
        <v>3000</v>
      </c>
      <c r="F481" s="12">
        <v>0</v>
      </c>
      <c r="G481" t="str">
        <f>IFERROR(INDEX(tEditais[Órgão],MATCH(tItens[[#This Row],[Edital]],tEditais[Edital],0)),"")</f>
        <v>MUNICIPIO DE CONTENDAS DO SINCORA</v>
      </c>
      <c r="H481" t="str">
        <f>IFERROR(INDEX(tEditais[UF],MATCH(tItens[[#This Row],[Edital]],tEditais[Edital],0)),"")</f>
        <v>BA</v>
      </c>
      <c r="I481" s="11">
        <f>IFERROR(INDEX(tEditais[Encerramento],MATCH(tItens[[#This Row],[Edital]],tEditais[Edital],0)),"")</f>
        <v>46304.708333333336</v>
      </c>
      <c r="J481" t="str">
        <f>IFERROR(INDEX(tProdutos[Classe],MATCH(tItens[[#This Row],[Produto]],tProdutos[Produto],0)),"produto não cadastrado")</f>
        <v>DISPUTADO</v>
      </c>
      <c r="K481" s="12">
        <f>tItens[[#This Row],[Qtd]]*tItens[[#This Row],[Vlr unit]]</f>
        <v>0</v>
      </c>
      <c r="L481" s="6">
        <f>IFERROR(IF(INDEX(tProdutos[Desconto homologado],MATCH(tItens[[#This Row],[Produto]],tProdutos[Produto],0))="",DescontoPadrao,INDEX(tProdutos[Desconto homologado],MATCH(tItens[[#This Row],[Produto]],tProdutos[Produto],0))),DescontoPadrao)</f>
        <v>0.40909090909090901</v>
      </c>
      <c r="M481" s="12">
        <f>tItens[[#This Row],[Valor]]*(1-tItens[[#This Row],[Desconto]])</f>
        <v>0</v>
      </c>
      <c r="N481" t="str">
        <f>IFERROR(INDEX(tProdutos[Foco],MATCH(tItens[[#This Row],[Produto]],tProdutos[Produto],0)),"Não")</f>
        <v>Não</v>
      </c>
      <c r="O481" t="str">
        <f>IFERROR(INDEX(tEditais[SRP],MATCH(tItens[[#This Row],[Edital]],tEditais[Edital],0)),"Não")</f>
        <v>Não</v>
      </c>
      <c r="P481" s="4">
        <f>IF(COUNTIFS(INDEX(tItens[Edital],1):tItens[[#This Row],[Edital]],tItens[[#This Row],[Edital]],INDEX(tItens[Produto],1):tItens[[#This Row],[Produto]],tItens[[#This Row],[Produto]])=1,1,0)</f>
        <v>0</v>
      </c>
    </row>
    <row r="482" spans="1:16" x14ac:dyDescent="0.25">
      <c r="A482" t="s">
        <v>833</v>
      </c>
      <c r="B482">
        <v>570</v>
      </c>
      <c r="C482" t="s">
        <v>3699</v>
      </c>
      <c r="D482" t="s">
        <v>120</v>
      </c>
      <c r="E482" s="13">
        <v>3000</v>
      </c>
      <c r="F482" s="12">
        <v>0</v>
      </c>
      <c r="G482" t="str">
        <f>IFERROR(INDEX(tEditais[Órgão],MATCH(tItens[[#This Row],[Edital]],tEditais[Edital],0)),"")</f>
        <v>MUNICIPIO DE CONTENDAS DO SINCORA</v>
      </c>
      <c r="H482" t="str">
        <f>IFERROR(INDEX(tEditais[UF],MATCH(tItens[[#This Row],[Edital]],tEditais[Edital],0)),"")</f>
        <v>BA</v>
      </c>
      <c r="I482" s="11">
        <f>IFERROR(INDEX(tEditais[Encerramento],MATCH(tItens[[#This Row],[Edital]],tEditais[Edital],0)),"")</f>
        <v>46304.708333333336</v>
      </c>
      <c r="J482" t="str">
        <f>IFERROR(INDEX(tProdutos[Classe],MATCH(tItens[[#This Row],[Produto]],tProdutos[Produto],0)),"produto não cadastrado")</f>
        <v>DISPUTADO</v>
      </c>
      <c r="K482" s="12">
        <f>tItens[[#This Row],[Qtd]]*tItens[[#This Row],[Vlr unit]]</f>
        <v>0</v>
      </c>
      <c r="L482" s="6">
        <f>IFERROR(IF(INDEX(tProdutos[Desconto homologado],MATCH(tItens[[#This Row],[Produto]],tProdutos[Produto],0))="",DescontoPadrao,INDEX(tProdutos[Desconto homologado],MATCH(tItens[[#This Row],[Produto]],tProdutos[Produto],0))),DescontoPadrao)</f>
        <v>0.40909090909090901</v>
      </c>
      <c r="M482" s="12">
        <f>tItens[[#This Row],[Valor]]*(1-tItens[[#This Row],[Desconto]])</f>
        <v>0</v>
      </c>
      <c r="N482" t="str">
        <f>IFERROR(INDEX(tProdutos[Foco],MATCH(tItens[[#This Row],[Produto]],tProdutos[Produto],0)),"Não")</f>
        <v>Não</v>
      </c>
      <c r="O482" t="str">
        <f>IFERROR(INDEX(tEditais[SRP],MATCH(tItens[[#This Row],[Edital]],tEditais[Edital],0)),"Não")</f>
        <v>Não</v>
      </c>
      <c r="P482" s="4">
        <f>IF(COUNTIFS(INDEX(tItens[Edital],1):tItens[[#This Row],[Edital]],tItens[[#This Row],[Edital]],INDEX(tItens[Produto],1):tItens[[#This Row],[Produto]],tItens[[#This Row],[Produto]])=1,1,0)</f>
        <v>0</v>
      </c>
    </row>
    <row r="483" spans="1:16" x14ac:dyDescent="0.25">
      <c r="A483" t="s">
        <v>833</v>
      </c>
      <c r="B483">
        <v>571</v>
      </c>
      <c r="C483" t="s">
        <v>3700</v>
      </c>
      <c r="D483" t="s">
        <v>120</v>
      </c>
      <c r="E483" s="13">
        <v>3000</v>
      </c>
      <c r="F483" s="12">
        <v>0</v>
      </c>
      <c r="G483" t="str">
        <f>IFERROR(INDEX(tEditais[Órgão],MATCH(tItens[[#This Row],[Edital]],tEditais[Edital],0)),"")</f>
        <v>MUNICIPIO DE CONTENDAS DO SINCORA</v>
      </c>
      <c r="H483" t="str">
        <f>IFERROR(INDEX(tEditais[UF],MATCH(tItens[[#This Row],[Edital]],tEditais[Edital],0)),"")</f>
        <v>BA</v>
      </c>
      <c r="I483" s="11">
        <f>IFERROR(INDEX(tEditais[Encerramento],MATCH(tItens[[#This Row],[Edital]],tEditais[Edital],0)),"")</f>
        <v>46304.708333333336</v>
      </c>
      <c r="J483" t="str">
        <f>IFERROR(INDEX(tProdutos[Classe],MATCH(tItens[[#This Row],[Produto]],tProdutos[Produto],0)),"produto não cadastrado")</f>
        <v>DISPUTADO</v>
      </c>
      <c r="K483" s="12">
        <f>tItens[[#This Row],[Qtd]]*tItens[[#This Row],[Vlr unit]]</f>
        <v>0</v>
      </c>
      <c r="L483" s="6">
        <f>IFERROR(IF(INDEX(tProdutos[Desconto homologado],MATCH(tItens[[#This Row],[Produto]],tProdutos[Produto],0))="",DescontoPadrao,INDEX(tProdutos[Desconto homologado],MATCH(tItens[[#This Row],[Produto]],tProdutos[Produto],0))),DescontoPadrao)</f>
        <v>0.40909090909090901</v>
      </c>
      <c r="M483" s="12">
        <f>tItens[[#This Row],[Valor]]*(1-tItens[[#This Row],[Desconto]])</f>
        <v>0</v>
      </c>
      <c r="N483" t="str">
        <f>IFERROR(INDEX(tProdutos[Foco],MATCH(tItens[[#This Row],[Produto]],tProdutos[Produto],0)),"Não")</f>
        <v>Não</v>
      </c>
      <c r="O483" t="str">
        <f>IFERROR(INDEX(tEditais[SRP],MATCH(tItens[[#This Row],[Edital]],tEditais[Edital],0)),"Não")</f>
        <v>Não</v>
      </c>
      <c r="P483" s="4">
        <f>IF(COUNTIFS(INDEX(tItens[Edital],1):tItens[[#This Row],[Edital]],tItens[[#This Row],[Edital]],INDEX(tItens[Produto],1):tItens[[#This Row],[Produto]],tItens[[#This Row],[Produto]])=1,1,0)</f>
        <v>0</v>
      </c>
    </row>
    <row r="484" spans="1:16" x14ac:dyDescent="0.25">
      <c r="A484" t="s">
        <v>833</v>
      </c>
      <c r="B484">
        <v>572</v>
      </c>
      <c r="C484" t="s">
        <v>3701</v>
      </c>
      <c r="D484" t="s">
        <v>120</v>
      </c>
      <c r="E484" s="13">
        <v>3000</v>
      </c>
      <c r="F484" s="12">
        <v>0</v>
      </c>
      <c r="G484" t="str">
        <f>IFERROR(INDEX(tEditais[Órgão],MATCH(tItens[[#This Row],[Edital]],tEditais[Edital],0)),"")</f>
        <v>MUNICIPIO DE CONTENDAS DO SINCORA</v>
      </c>
      <c r="H484" t="str">
        <f>IFERROR(INDEX(tEditais[UF],MATCH(tItens[[#This Row],[Edital]],tEditais[Edital],0)),"")</f>
        <v>BA</v>
      </c>
      <c r="I484" s="11">
        <f>IFERROR(INDEX(tEditais[Encerramento],MATCH(tItens[[#This Row],[Edital]],tEditais[Edital],0)),"")</f>
        <v>46304.708333333336</v>
      </c>
      <c r="J484" t="str">
        <f>IFERROR(INDEX(tProdutos[Classe],MATCH(tItens[[#This Row],[Produto]],tProdutos[Produto],0)),"produto não cadastrado")</f>
        <v>DISPUTADO</v>
      </c>
      <c r="K484" s="12">
        <f>tItens[[#This Row],[Qtd]]*tItens[[#This Row],[Vlr unit]]</f>
        <v>0</v>
      </c>
      <c r="L484" s="6">
        <f>IFERROR(IF(INDEX(tProdutos[Desconto homologado],MATCH(tItens[[#This Row],[Produto]],tProdutos[Produto],0))="",DescontoPadrao,INDEX(tProdutos[Desconto homologado],MATCH(tItens[[#This Row],[Produto]],tProdutos[Produto],0))),DescontoPadrao)</f>
        <v>0.40909090909090901</v>
      </c>
      <c r="M484" s="12">
        <f>tItens[[#This Row],[Valor]]*(1-tItens[[#This Row],[Desconto]])</f>
        <v>0</v>
      </c>
      <c r="N484" t="str">
        <f>IFERROR(INDEX(tProdutos[Foco],MATCH(tItens[[#This Row],[Produto]],tProdutos[Produto],0)),"Não")</f>
        <v>Não</v>
      </c>
      <c r="O484" t="str">
        <f>IFERROR(INDEX(tEditais[SRP],MATCH(tItens[[#This Row],[Edital]],tEditais[Edital],0)),"Não")</f>
        <v>Não</v>
      </c>
      <c r="P484" s="4">
        <f>IF(COUNTIFS(INDEX(tItens[Edital],1):tItens[[#This Row],[Edital]],tItens[[#This Row],[Edital]],INDEX(tItens[Produto],1):tItens[[#This Row],[Produto]],tItens[[#This Row],[Produto]])=1,1,0)</f>
        <v>0</v>
      </c>
    </row>
    <row r="485" spans="1:16" x14ac:dyDescent="0.25">
      <c r="A485" t="s">
        <v>833</v>
      </c>
      <c r="B485">
        <v>573</v>
      </c>
      <c r="C485" t="s">
        <v>3702</v>
      </c>
      <c r="D485" t="s">
        <v>120</v>
      </c>
      <c r="E485" s="13">
        <v>3000</v>
      </c>
      <c r="F485" s="12">
        <v>0</v>
      </c>
      <c r="G485" t="str">
        <f>IFERROR(INDEX(tEditais[Órgão],MATCH(tItens[[#This Row],[Edital]],tEditais[Edital],0)),"")</f>
        <v>MUNICIPIO DE CONTENDAS DO SINCORA</v>
      </c>
      <c r="H485" t="str">
        <f>IFERROR(INDEX(tEditais[UF],MATCH(tItens[[#This Row],[Edital]],tEditais[Edital],0)),"")</f>
        <v>BA</v>
      </c>
      <c r="I485" s="11">
        <f>IFERROR(INDEX(tEditais[Encerramento],MATCH(tItens[[#This Row],[Edital]],tEditais[Edital],0)),"")</f>
        <v>46304.708333333336</v>
      </c>
      <c r="J485" t="str">
        <f>IFERROR(INDEX(tProdutos[Classe],MATCH(tItens[[#This Row],[Produto]],tProdutos[Produto],0)),"produto não cadastrado")</f>
        <v>DISPUTADO</v>
      </c>
      <c r="K485" s="12">
        <f>tItens[[#This Row],[Qtd]]*tItens[[#This Row],[Vlr unit]]</f>
        <v>0</v>
      </c>
      <c r="L485" s="6">
        <f>IFERROR(IF(INDEX(tProdutos[Desconto homologado],MATCH(tItens[[#This Row],[Produto]],tProdutos[Produto],0))="",DescontoPadrao,INDEX(tProdutos[Desconto homologado],MATCH(tItens[[#This Row],[Produto]],tProdutos[Produto],0))),DescontoPadrao)</f>
        <v>0.40909090909090901</v>
      </c>
      <c r="M485" s="12">
        <f>tItens[[#This Row],[Valor]]*(1-tItens[[#This Row],[Desconto]])</f>
        <v>0</v>
      </c>
      <c r="N485" t="str">
        <f>IFERROR(INDEX(tProdutos[Foco],MATCH(tItens[[#This Row],[Produto]],tProdutos[Produto],0)),"Não")</f>
        <v>Não</v>
      </c>
      <c r="O485" t="str">
        <f>IFERROR(INDEX(tEditais[SRP],MATCH(tItens[[#This Row],[Edital]],tEditais[Edital],0)),"Não")</f>
        <v>Não</v>
      </c>
      <c r="P485" s="4">
        <f>IF(COUNTIFS(INDEX(tItens[Edital],1):tItens[[#This Row],[Edital]],tItens[[#This Row],[Edital]],INDEX(tItens[Produto],1):tItens[[#This Row],[Produto]],tItens[[#This Row],[Produto]])=1,1,0)</f>
        <v>0</v>
      </c>
    </row>
    <row r="486" spans="1:16" x14ac:dyDescent="0.25">
      <c r="A486" t="s">
        <v>833</v>
      </c>
      <c r="B486">
        <v>580</v>
      </c>
      <c r="C486" t="s">
        <v>3703</v>
      </c>
      <c r="D486" t="s">
        <v>114</v>
      </c>
      <c r="E486" s="13">
        <v>3000</v>
      </c>
      <c r="F486" s="12">
        <v>0</v>
      </c>
      <c r="G486" t="str">
        <f>IFERROR(INDEX(tEditais[Órgão],MATCH(tItens[[#This Row],[Edital]],tEditais[Edital],0)),"")</f>
        <v>MUNICIPIO DE CONTENDAS DO SINCORA</v>
      </c>
      <c r="H486" t="str">
        <f>IFERROR(INDEX(tEditais[UF],MATCH(tItens[[#This Row],[Edital]],tEditais[Edital],0)),"")</f>
        <v>BA</v>
      </c>
      <c r="I486" s="11">
        <f>IFERROR(INDEX(tEditais[Encerramento],MATCH(tItens[[#This Row],[Edital]],tEditais[Edital],0)),"")</f>
        <v>46304.708333333336</v>
      </c>
      <c r="J486" t="str">
        <f>IFERROR(INDEX(tProdutos[Classe],MATCH(tItens[[#This Row],[Produto]],tProdutos[Produto],0)),"produto não cadastrado")</f>
        <v>DISPUTADO</v>
      </c>
      <c r="K486" s="12">
        <f>tItens[[#This Row],[Qtd]]*tItens[[#This Row],[Vlr unit]]</f>
        <v>0</v>
      </c>
      <c r="L486" s="6">
        <f>IFERROR(IF(INDEX(tProdutos[Desconto homologado],MATCH(tItens[[#This Row],[Produto]],tProdutos[Produto],0))="",DescontoPadrao,INDEX(tProdutos[Desconto homologado],MATCH(tItens[[#This Row],[Produto]],tProdutos[Produto],0))),DescontoPadrao)</f>
        <v>0.24332656063896899</v>
      </c>
      <c r="M486" s="12">
        <f>tItens[[#This Row],[Valor]]*(1-tItens[[#This Row],[Desconto]])</f>
        <v>0</v>
      </c>
      <c r="N486" t="str">
        <f>IFERROR(INDEX(tProdutos[Foco],MATCH(tItens[[#This Row],[Produto]],tProdutos[Produto],0)),"Não")</f>
        <v>Não</v>
      </c>
      <c r="O486" t="str">
        <f>IFERROR(INDEX(tEditais[SRP],MATCH(tItens[[#This Row],[Edital]],tEditais[Edital],0)),"Não")</f>
        <v>Não</v>
      </c>
      <c r="P486" s="4">
        <f>IF(COUNTIFS(INDEX(tItens[Edital],1):tItens[[#This Row],[Edital]],tItens[[#This Row],[Edital]],INDEX(tItens[Produto],1):tItens[[#This Row],[Produto]],tItens[[#This Row],[Produto]])=1,1,0)</f>
        <v>0</v>
      </c>
    </row>
    <row r="487" spans="1:16" x14ac:dyDescent="0.25">
      <c r="A487" t="s">
        <v>833</v>
      </c>
      <c r="B487">
        <v>589</v>
      </c>
      <c r="C487" t="s">
        <v>3704</v>
      </c>
      <c r="D487" t="s">
        <v>345</v>
      </c>
      <c r="E487" s="13">
        <v>600</v>
      </c>
      <c r="F487" s="12">
        <v>0</v>
      </c>
      <c r="G487" t="str">
        <f>IFERROR(INDEX(tEditais[Órgão],MATCH(tItens[[#This Row],[Edital]],tEditais[Edital],0)),"")</f>
        <v>MUNICIPIO DE CONTENDAS DO SINCORA</v>
      </c>
      <c r="H487" t="str">
        <f>IFERROR(INDEX(tEditais[UF],MATCH(tItens[[#This Row],[Edital]],tEditais[Edital],0)),"")</f>
        <v>BA</v>
      </c>
      <c r="I487" s="11">
        <f>IFERROR(INDEX(tEditais[Encerramento],MATCH(tItens[[#This Row],[Edital]],tEditais[Edital],0)),"")</f>
        <v>46304.708333333336</v>
      </c>
      <c r="J487" t="str">
        <f>IFERROR(INDEX(tProdutos[Classe],MATCH(tItens[[#This Row],[Produto]],tProdutos[Produto],0)),"produto não cadastrado")</f>
        <v>FORA</v>
      </c>
      <c r="K487" s="12">
        <f>tItens[[#This Row],[Qtd]]*tItens[[#This Row],[Vlr unit]]</f>
        <v>0</v>
      </c>
      <c r="L487" s="6">
        <f>IFERROR(IF(INDEX(tProdutos[Desconto homologado],MATCH(tItens[[#This Row],[Produto]],tProdutos[Produto],0))="",DescontoPadrao,INDEX(tProdutos[Desconto homologado],MATCH(tItens[[#This Row],[Produto]],tProdutos[Produto],0))),DescontoPadrao)</f>
        <v>0.412394275616498</v>
      </c>
      <c r="M487" s="12">
        <f>tItens[[#This Row],[Valor]]*(1-tItens[[#This Row],[Desconto]])</f>
        <v>0</v>
      </c>
      <c r="N487" t="str">
        <f>IFERROR(INDEX(tProdutos[Foco],MATCH(tItens[[#This Row],[Produto]],tProdutos[Produto],0)),"Não")</f>
        <v>Não</v>
      </c>
      <c r="O487" t="str">
        <f>IFERROR(INDEX(tEditais[SRP],MATCH(tItens[[#This Row],[Edital]],tEditais[Edital],0)),"Não")</f>
        <v>Não</v>
      </c>
      <c r="P487" s="4">
        <f>IF(COUNTIFS(INDEX(tItens[Edital],1):tItens[[#This Row],[Edital]],tItens[[#This Row],[Edital]],INDEX(tItens[Produto],1):tItens[[#This Row],[Produto]],tItens[[#This Row],[Produto]])=1,1,0)</f>
        <v>1</v>
      </c>
    </row>
    <row r="488" spans="1:16" x14ac:dyDescent="0.25">
      <c r="A488" t="s">
        <v>833</v>
      </c>
      <c r="B488">
        <v>590</v>
      </c>
      <c r="C488" t="s">
        <v>3705</v>
      </c>
      <c r="D488" t="s">
        <v>345</v>
      </c>
      <c r="E488" s="13">
        <v>600</v>
      </c>
      <c r="F488" s="12">
        <v>0</v>
      </c>
      <c r="G488" t="str">
        <f>IFERROR(INDEX(tEditais[Órgão],MATCH(tItens[[#This Row],[Edital]],tEditais[Edital],0)),"")</f>
        <v>MUNICIPIO DE CONTENDAS DO SINCORA</v>
      </c>
      <c r="H488" t="str">
        <f>IFERROR(INDEX(tEditais[UF],MATCH(tItens[[#This Row],[Edital]],tEditais[Edital],0)),"")</f>
        <v>BA</v>
      </c>
      <c r="I488" s="11">
        <f>IFERROR(INDEX(tEditais[Encerramento],MATCH(tItens[[#This Row],[Edital]],tEditais[Edital],0)),"")</f>
        <v>46304.708333333336</v>
      </c>
      <c r="J488" t="str">
        <f>IFERROR(INDEX(tProdutos[Classe],MATCH(tItens[[#This Row],[Produto]],tProdutos[Produto],0)),"produto não cadastrado")</f>
        <v>FORA</v>
      </c>
      <c r="K488" s="12">
        <f>tItens[[#This Row],[Qtd]]*tItens[[#This Row],[Vlr unit]]</f>
        <v>0</v>
      </c>
      <c r="L488" s="6">
        <f>IFERROR(IF(INDEX(tProdutos[Desconto homologado],MATCH(tItens[[#This Row],[Produto]],tProdutos[Produto],0))="",DescontoPadrao,INDEX(tProdutos[Desconto homologado],MATCH(tItens[[#This Row],[Produto]],tProdutos[Produto],0))),DescontoPadrao)</f>
        <v>0.412394275616498</v>
      </c>
      <c r="M488" s="12">
        <f>tItens[[#This Row],[Valor]]*(1-tItens[[#This Row],[Desconto]])</f>
        <v>0</v>
      </c>
      <c r="N488" t="str">
        <f>IFERROR(INDEX(tProdutos[Foco],MATCH(tItens[[#This Row],[Produto]],tProdutos[Produto],0)),"Não")</f>
        <v>Não</v>
      </c>
      <c r="O488" t="str">
        <f>IFERROR(INDEX(tEditais[SRP],MATCH(tItens[[#This Row],[Edital]],tEditais[Edital],0)),"Não")</f>
        <v>Não</v>
      </c>
      <c r="P488" s="4">
        <f>IF(COUNTIFS(INDEX(tItens[Edital],1):tItens[[#This Row],[Edital]],tItens[[#This Row],[Edital]],INDEX(tItens[Produto],1):tItens[[#This Row],[Produto]],tItens[[#This Row],[Produto]])=1,1,0)</f>
        <v>0</v>
      </c>
    </row>
    <row r="489" spans="1:16" x14ac:dyDescent="0.25">
      <c r="A489" t="s">
        <v>833</v>
      </c>
      <c r="B489">
        <v>591</v>
      </c>
      <c r="C489" t="s">
        <v>3706</v>
      </c>
      <c r="D489" t="s">
        <v>345</v>
      </c>
      <c r="E489" s="13">
        <v>600</v>
      </c>
      <c r="F489" s="12">
        <v>0</v>
      </c>
      <c r="G489" t="str">
        <f>IFERROR(INDEX(tEditais[Órgão],MATCH(tItens[[#This Row],[Edital]],tEditais[Edital],0)),"")</f>
        <v>MUNICIPIO DE CONTENDAS DO SINCORA</v>
      </c>
      <c r="H489" t="str">
        <f>IFERROR(INDEX(tEditais[UF],MATCH(tItens[[#This Row],[Edital]],tEditais[Edital],0)),"")</f>
        <v>BA</v>
      </c>
      <c r="I489" s="11">
        <f>IFERROR(INDEX(tEditais[Encerramento],MATCH(tItens[[#This Row],[Edital]],tEditais[Edital],0)),"")</f>
        <v>46304.708333333336</v>
      </c>
      <c r="J489" t="str">
        <f>IFERROR(INDEX(tProdutos[Classe],MATCH(tItens[[#This Row],[Produto]],tProdutos[Produto],0)),"produto não cadastrado")</f>
        <v>FORA</v>
      </c>
      <c r="K489" s="12">
        <f>tItens[[#This Row],[Qtd]]*tItens[[#This Row],[Vlr unit]]</f>
        <v>0</v>
      </c>
      <c r="L489" s="6">
        <f>IFERROR(IF(INDEX(tProdutos[Desconto homologado],MATCH(tItens[[#This Row],[Produto]],tProdutos[Produto],0))="",DescontoPadrao,INDEX(tProdutos[Desconto homologado],MATCH(tItens[[#This Row],[Produto]],tProdutos[Produto],0))),DescontoPadrao)</f>
        <v>0.412394275616498</v>
      </c>
      <c r="M489" s="12">
        <f>tItens[[#This Row],[Valor]]*(1-tItens[[#This Row],[Desconto]])</f>
        <v>0</v>
      </c>
      <c r="N489" t="str">
        <f>IFERROR(INDEX(tProdutos[Foco],MATCH(tItens[[#This Row],[Produto]],tProdutos[Produto],0)),"Não")</f>
        <v>Não</v>
      </c>
      <c r="O489" t="str">
        <f>IFERROR(INDEX(tEditais[SRP],MATCH(tItens[[#This Row],[Edital]],tEditais[Edital],0)),"Não")</f>
        <v>Não</v>
      </c>
      <c r="P489" s="4">
        <f>IF(COUNTIFS(INDEX(tItens[Edital],1):tItens[[#This Row],[Edital]],tItens[[#This Row],[Edital]],INDEX(tItens[Produto],1):tItens[[#This Row],[Produto]],tItens[[#This Row],[Produto]])=1,1,0)</f>
        <v>0</v>
      </c>
    </row>
    <row r="490" spans="1:16" x14ac:dyDescent="0.25">
      <c r="A490" t="s">
        <v>833</v>
      </c>
      <c r="B490">
        <v>592</v>
      </c>
      <c r="C490" t="s">
        <v>3707</v>
      </c>
      <c r="D490" t="s">
        <v>345</v>
      </c>
      <c r="E490" s="13">
        <v>600</v>
      </c>
      <c r="F490" s="12">
        <v>0</v>
      </c>
      <c r="G490" t="str">
        <f>IFERROR(INDEX(tEditais[Órgão],MATCH(tItens[[#This Row],[Edital]],tEditais[Edital],0)),"")</f>
        <v>MUNICIPIO DE CONTENDAS DO SINCORA</v>
      </c>
      <c r="H490" t="str">
        <f>IFERROR(INDEX(tEditais[UF],MATCH(tItens[[#This Row],[Edital]],tEditais[Edital],0)),"")</f>
        <v>BA</v>
      </c>
      <c r="I490" s="11">
        <f>IFERROR(INDEX(tEditais[Encerramento],MATCH(tItens[[#This Row],[Edital]],tEditais[Edital],0)),"")</f>
        <v>46304.708333333336</v>
      </c>
      <c r="J490" t="str">
        <f>IFERROR(INDEX(tProdutos[Classe],MATCH(tItens[[#This Row],[Produto]],tProdutos[Produto],0)),"produto não cadastrado")</f>
        <v>FORA</v>
      </c>
      <c r="K490" s="12">
        <f>tItens[[#This Row],[Qtd]]*tItens[[#This Row],[Vlr unit]]</f>
        <v>0</v>
      </c>
      <c r="L490" s="6">
        <f>IFERROR(IF(INDEX(tProdutos[Desconto homologado],MATCH(tItens[[#This Row],[Produto]],tProdutos[Produto],0))="",DescontoPadrao,INDEX(tProdutos[Desconto homologado],MATCH(tItens[[#This Row],[Produto]],tProdutos[Produto],0))),DescontoPadrao)</f>
        <v>0.412394275616498</v>
      </c>
      <c r="M490" s="12">
        <f>tItens[[#This Row],[Valor]]*(1-tItens[[#This Row],[Desconto]])</f>
        <v>0</v>
      </c>
      <c r="N490" t="str">
        <f>IFERROR(INDEX(tProdutos[Foco],MATCH(tItens[[#This Row],[Produto]],tProdutos[Produto],0)),"Não")</f>
        <v>Não</v>
      </c>
      <c r="O490" t="str">
        <f>IFERROR(INDEX(tEditais[SRP],MATCH(tItens[[#This Row],[Edital]],tEditais[Edital],0)),"Não")</f>
        <v>Não</v>
      </c>
      <c r="P490" s="4">
        <f>IF(COUNTIFS(INDEX(tItens[Edital],1):tItens[[#This Row],[Edital]],tItens[[#This Row],[Edital]],INDEX(tItens[Produto],1):tItens[[#This Row],[Produto]],tItens[[#This Row],[Produto]])=1,1,0)</f>
        <v>0</v>
      </c>
    </row>
    <row r="491" spans="1:16" x14ac:dyDescent="0.25">
      <c r="A491" t="s">
        <v>833</v>
      </c>
      <c r="B491">
        <v>593</v>
      </c>
      <c r="C491" t="s">
        <v>3708</v>
      </c>
      <c r="D491" t="s">
        <v>339</v>
      </c>
      <c r="E491" s="13">
        <v>600</v>
      </c>
      <c r="F491" s="12">
        <v>0</v>
      </c>
      <c r="G491" t="str">
        <f>IFERROR(INDEX(tEditais[Órgão],MATCH(tItens[[#This Row],[Edital]],tEditais[Edital],0)),"")</f>
        <v>MUNICIPIO DE CONTENDAS DO SINCORA</v>
      </c>
      <c r="H491" t="str">
        <f>IFERROR(INDEX(tEditais[UF],MATCH(tItens[[#This Row],[Edital]],tEditais[Edital],0)),"")</f>
        <v>BA</v>
      </c>
      <c r="I491" s="11">
        <f>IFERROR(INDEX(tEditais[Encerramento],MATCH(tItens[[#This Row],[Edital]],tEditais[Edital],0)),"")</f>
        <v>46304.708333333336</v>
      </c>
      <c r="J491" t="str">
        <f>IFERROR(INDEX(tProdutos[Classe],MATCH(tItens[[#This Row],[Produto]],tProdutos[Produto],0)),"produto não cadastrado")</f>
        <v>FORA</v>
      </c>
      <c r="K491" s="12">
        <f>tItens[[#This Row],[Qtd]]*tItens[[#This Row],[Vlr unit]]</f>
        <v>0</v>
      </c>
      <c r="L491" s="6">
        <f>IFERROR(IF(INDEX(tProdutos[Desconto homologado],MATCH(tItens[[#This Row],[Produto]],tProdutos[Produto],0))="",DescontoPadrao,INDEX(tProdutos[Desconto homologado],MATCH(tItens[[#This Row],[Produto]],tProdutos[Produto],0))),DescontoPadrao)</f>
        <v>0.35388629091804102</v>
      </c>
      <c r="M491" s="12">
        <f>tItens[[#This Row],[Valor]]*(1-tItens[[#This Row],[Desconto]])</f>
        <v>0</v>
      </c>
      <c r="N491" t="str">
        <f>IFERROR(INDEX(tProdutos[Foco],MATCH(tItens[[#This Row],[Produto]],tProdutos[Produto],0)),"Não")</f>
        <v>Não</v>
      </c>
      <c r="O491" t="str">
        <f>IFERROR(INDEX(tEditais[SRP],MATCH(tItens[[#This Row],[Edital]],tEditais[Edital],0)),"Não")</f>
        <v>Não</v>
      </c>
      <c r="P491" s="4">
        <f>IF(COUNTIFS(INDEX(tItens[Edital],1):tItens[[#This Row],[Edital]],tItens[[#This Row],[Edital]],INDEX(tItens[Produto],1):tItens[[#This Row],[Produto]],tItens[[#This Row],[Produto]])=1,1,0)</f>
        <v>1</v>
      </c>
    </row>
    <row r="492" spans="1:16" x14ac:dyDescent="0.25">
      <c r="A492" t="s">
        <v>833</v>
      </c>
      <c r="B492">
        <v>594</v>
      </c>
      <c r="C492" t="s">
        <v>3709</v>
      </c>
      <c r="D492" t="s">
        <v>339</v>
      </c>
      <c r="E492" s="13">
        <v>600</v>
      </c>
      <c r="F492" s="12">
        <v>0</v>
      </c>
      <c r="G492" t="str">
        <f>IFERROR(INDEX(tEditais[Órgão],MATCH(tItens[[#This Row],[Edital]],tEditais[Edital],0)),"")</f>
        <v>MUNICIPIO DE CONTENDAS DO SINCORA</v>
      </c>
      <c r="H492" t="str">
        <f>IFERROR(INDEX(tEditais[UF],MATCH(tItens[[#This Row],[Edital]],tEditais[Edital],0)),"")</f>
        <v>BA</v>
      </c>
      <c r="I492" s="11">
        <f>IFERROR(INDEX(tEditais[Encerramento],MATCH(tItens[[#This Row],[Edital]],tEditais[Edital],0)),"")</f>
        <v>46304.708333333336</v>
      </c>
      <c r="J492" t="str">
        <f>IFERROR(INDEX(tProdutos[Classe],MATCH(tItens[[#This Row],[Produto]],tProdutos[Produto],0)),"produto não cadastrado")</f>
        <v>FORA</v>
      </c>
      <c r="K492" s="12">
        <f>tItens[[#This Row],[Qtd]]*tItens[[#This Row],[Vlr unit]]</f>
        <v>0</v>
      </c>
      <c r="L492" s="6">
        <f>IFERROR(IF(INDEX(tProdutos[Desconto homologado],MATCH(tItens[[#This Row],[Produto]],tProdutos[Produto],0))="",DescontoPadrao,INDEX(tProdutos[Desconto homologado],MATCH(tItens[[#This Row],[Produto]],tProdutos[Produto],0))),DescontoPadrao)</f>
        <v>0.35388629091804102</v>
      </c>
      <c r="M492" s="12">
        <f>tItens[[#This Row],[Valor]]*(1-tItens[[#This Row],[Desconto]])</f>
        <v>0</v>
      </c>
      <c r="N492" t="str">
        <f>IFERROR(INDEX(tProdutos[Foco],MATCH(tItens[[#This Row],[Produto]],tProdutos[Produto],0)),"Não")</f>
        <v>Não</v>
      </c>
      <c r="O492" t="str">
        <f>IFERROR(INDEX(tEditais[SRP],MATCH(tItens[[#This Row],[Edital]],tEditais[Edital],0)),"Não")</f>
        <v>Não</v>
      </c>
      <c r="P492" s="4">
        <f>IF(COUNTIFS(INDEX(tItens[Edital],1):tItens[[#This Row],[Edital]],tItens[[#This Row],[Edital]],INDEX(tItens[Produto],1):tItens[[#This Row],[Produto]],tItens[[#This Row],[Produto]])=1,1,0)</f>
        <v>0</v>
      </c>
    </row>
    <row r="493" spans="1:16" x14ac:dyDescent="0.25">
      <c r="A493" t="s">
        <v>833</v>
      </c>
      <c r="B493">
        <v>595</v>
      </c>
      <c r="C493" t="s">
        <v>3710</v>
      </c>
      <c r="D493" t="s">
        <v>339</v>
      </c>
      <c r="E493" s="13">
        <v>600</v>
      </c>
      <c r="F493" s="12">
        <v>0</v>
      </c>
      <c r="G493" t="str">
        <f>IFERROR(INDEX(tEditais[Órgão],MATCH(tItens[[#This Row],[Edital]],tEditais[Edital],0)),"")</f>
        <v>MUNICIPIO DE CONTENDAS DO SINCORA</v>
      </c>
      <c r="H493" t="str">
        <f>IFERROR(INDEX(tEditais[UF],MATCH(tItens[[#This Row],[Edital]],tEditais[Edital],0)),"")</f>
        <v>BA</v>
      </c>
      <c r="I493" s="11">
        <f>IFERROR(INDEX(tEditais[Encerramento],MATCH(tItens[[#This Row],[Edital]],tEditais[Edital],0)),"")</f>
        <v>46304.708333333336</v>
      </c>
      <c r="J493" t="str">
        <f>IFERROR(INDEX(tProdutos[Classe],MATCH(tItens[[#This Row],[Produto]],tProdutos[Produto],0)),"produto não cadastrado")</f>
        <v>FORA</v>
      </c>
      <c r="K493" s="12">
        <f>tItens[[#This Row],[Qtd]]*tItens[[#This Row],[Vlr unit]]</f>
        <v>0</v>
      </c>
      <c r="L493" s="6">
        <f>IFERROR(IF(INDEX(tProdutos[Desconto homologado],MATCH(tItens[[#This Row],[Produto]],tProdutos[Produto],0))="",DescontoPadrao,INDEX(tProdutos[Desconto homologado],MATCH(tItens[[#This Row],[Produto]],tProdutos[Produto],0))),DescontoPadrao)</f>
        <v>0.35388629091804102</v>
      </c>
      <c r="M493" s="12">
        <f>tItens[[#This Row],[Valor]]*(1-tItens[[#This Row],[Desconto]])</f>
        <v>0</v>
      </c>
      <c r="N493" t="str">
        <f>IFERROR(INDEX(tProdutos[Foco],MATCH(tItens[[#This Row],[Produto]],tProdutos[Produto],0)),"Não")</f>
        <v>Não</v>
      </c>
      <c r="O493" t="str">
        <f>IFERROR(INDEX(tEditais[SRP],MATCH(tItens[[#This Row],[Edital]],tEditais[Edital],0)),"Não")</f>
        <v>Não</v>
      </c>
      <c r="P493" s="4">
        <f>IF(COUNTIFS(INDEX(tItens[Edital],1):tItens[[#This Row],[Edital]],tItens[[#This Row],[Edital]],INDEX(tItens[Produto],1):tItens[[#This Row],[Produto]],tItens[[#This Row],[Produto]])=1,1,0)</f>
        <v>0</v>
      </c>
    </row>
    <row r="494" spans="1:16" x14ac:dyDescent="0.25">
      <c r="A494" t="s">
        <v>838</v>
      </c>
      <c r="B494">
        <v>2</v>
      </c>
      <c r="C494" t="s">
        <v>3711</v>
      </c>
      <c r="D494" t="s">
        <v>267</v>
      </c>
      <c r="E494" s="13">
        <v>100</v>
      </c>
      <c r="F494" s="12">
        <v>38.5</v>
      </c>
      <c r="G494" t="str">
        <f>IFERROR(INDEX(tEditais[Órgão],MATCH(tItens[[#This Row],[Edital]],tEditais[Edital],0)),"")</f>
        <v>MUNICIPIO DE LIVRAMENTO DE NOSSA SENHORA</v>
      </c>
      <c r="H494" t="str">
        <f>IFERROR(INDEX(tEditais[UF],MATCH(tItens[[#This Row],[Edital]],tEditais[Edital],0)),"")</f>
        <v>BA</v>
      </c>
      <c r="I494" s="11">
        <f>IFERROR(INDEX(tEditais[Encerramento],MATCH(tItens[[#This Row],[Edital]],tEditais[Edital],0)),"")</f>
        <v>46305.333333333336</v>
      </c>
      <c r="J494" t="str">
        <f>IFERROR(INDEX(tProdutos[Classe],MATCH(tItens[[#This Row],[Produto]],tProdutos[Produto],0)),"produto não cadastrado")</f>
        <v>FORA</v>
      </c>
      <c r="K494" s="12">
        <f>tItens[[#This Row],[Qtd]]*tItens[[#This Row],[Vlr unit]]</f>
        <v>3850</v>
      </c>
      <c r="L494" s="6">
        <f>IFERROR(IF(INDEX(tProdutos[Desconto homologado],MATCH(tItens[[#This Row],[Produto]],tProdutos[Produto],0))="",DescontoPadrao,INDEX(tProdutos[Desconto homologado],MATCH(tItens[[#This Row],[Produto]],tProdutos[Produto],0))),DescontoPadrao)</f>
        <v>0.19963672657401599</v>
      </c>
      <c r="M494" s="12">
        <f>tItens[[#This Row],[Valor]]*(1-tItens[[#This Row],[Desconto]])</f>
        <v>3081.3986026900384</v>
      </c>
      <c r="N494" t="str">
        <f>IFERROR(INDEX(tProdutos[Foco],MATCH(tItens[[#This Row],[Produto]],tProdutos[Produto],0)),"Não")</f>
        <v>Não</v>
      </c>
      <c r="O494" t="str">
        <f>IFERROR(INDEX(tEditais[SRP],MATCH(tItens[[#This Row],[Edital]],tEditais[Edital],0)),"Não")</f>
        <v>Não</v>
      </c>
      <c r="P494" s="4">
        <f>IF(COUNTIFS(INDEX(tItens[Edital],1):tItens[[#This Row],[Edital]],tItens[[#This Row],[Edital]],INDEX(tItens[Produto],1):tItens[[#This Row],[Produto]],tItens[[#This Row],[Produto]])=1,1,0)</f>
        <v>1</v>
      </c>
    </row>
    <row r="495" spans="1:16" x14ac:dyDescent="0.25">
      <c r="A495" t="s">
        <v>838</v>
      </c>
      <c r="B495">
        <v>22</v>
      </c>
      <c r="C495" t="s">
        <v>3712</v>
      </c>
      <c r="D495" t="s">
        <v>339</v>
      </c>
      <c r="E495" s="13">
        <v>60</v>
      </c>
      <c r="F495" s="12">
        <v>123</v>
      </c>
      <c r="G495" t="str">
        <f>IFERROR(INDEX(tEditais[Órgão],MATCH(tItens[[#This Row],[Edital]],tEditais[Edital],0)),"")</f>
        <v>MUNICIPIO DE LIVRAMENTO DE NOSSA SENHORA</v>
      </c>
      <c r="H495" t="str">
        <f>IFERROR(INDEX(tEditais[UF],MATCH(tItens[[#This Row],[Edital]],tEditais[Edital],0)),"")</f>
        <v>BA</v>
      </c>
      <c r="I495" s="11">
        <f>IFERROR(INDEX(tEditais[Encerramento],MATCH(tItens[[#This Row],[Edital]],tEditais[Edital],0)),"")</f>
        <v>46305.333333333336</v>
      </c>
      <c r="J495" t="str">
        <f>IFERROR(INDEX(tProdutos[Classe],MATCH(tItens[[#This Row],[Produto]],tProdutos[Produto],0)),"produto não cadastrado")</f>
        <v>FORA</v>
      </c>
      <c r="K495" s="12">
        <f>tItens[[#This Row],[Qtd]]*tItens[[#This Row],[Vlr unit]]</f>
        <v>7380</v>
      </c>
      <c r="L495" s="6">
        <f>IFERROR(IF(INDEX(tProdutos[Desconto homologado],MATCH(tItens[[#This Row],[Produto]],tProdutos[Produto],0))="",DescontoPadrao,INDEX(tProdutos[Desconto homologado],MATCH(tItens[[#This Row],[Produto]],tProdutos[Produto],0))),DescontoPadrao)</f>
        <v>0.35388629091804102</v>
      </c>
      <c r="M495" s="12">
        <f>tItens[[#This Row],[Valor]]*(1-tItens[[#This Row],[Desconto]])</f>
        <v>4768.3191730248573</v>
      </c>
      <c r="N495" t="str">
        <f>IFERROR(INDEX(tProdutos[Foco],MATCH(tItens[[#This Row],[Produto]],tProdutos[Produto],0)),"Não")</f>
        <v>Não</v>
      </c>
      <c r="O495" t="str">
        <f>IFERROR(INDEX(tEditais[SRP],MATCH(tItens[[#This Row],[Edital]],tEditais[Edital],0)),"Não")</f>
        <v>Não</v>
      </c>
      <c r="P495" s="4">
        <f>IF(COUNTIFS(INDEX(tItens[Edital],1):tItens[[#This Row],[Edital]],tItens[[#This Row],[Edital]],INDEX(tItens[Produto],1):tItens[[#This Row],[Produto]],tItens[[#This Row],[Produto]])=1,1,0)</f>
        <v>1</v>
      </c>
    </row>
    <row r="496" spans="1:16" x14ac:dyDescent="0.25">
      <c r="A496" t="s">
        <v>843</v>
      </c>
      <c r="B496">
        <v>1150090</v>
      </c>
      <c r="C496" t="s">
        <v>3713</v>
      </c>
      <c r="D496" t="s">
        <v>201</v>
      </c>
      <c r="E496" s="13">
        <v>50000</v>
      </c>
      <c r="F496" s="12">
        <v>0.97</v>
      </c>
      <c r="G496" t="str">
        <f>IFERROR(INDEX(tEditais[Órgão],MATCH(tItens[[#This Row],[Edital]],tEditais[Edital],0)),"")</f>
        <v>FUNDO ESTADUAL DE SAUDE DO ESTADO DA BAHIA</v>
      </c>
      <c r="H496" t="str">
        <f>IFERROR(INDEX(tEditais[UF],MATCH(tItens[[#This Row],[Edital]],tEditais[Edital],0)),"")</f>
        <v>BA</v>
      </c>
      <c r="I496" s="11">
        <f>IFERROR(INDEX(tEditais[Encerramento],MATCH(tItens[[#This Row],[Edital]],tEditais[Edital],0)),"")</f>
        <v>46308.375</v>
      </c>
      <c r="J496" t="str">
        <f>IFERROR(INDEX(tProdutos[Classe],MATCH(tItens[[#This Row],[Produto]],tProdutos[Produto],0)),"produto não cadastrado")</f>
        <v>DISPUTADO</v>
      </c>
      <c r="K496" s="12">
        <f>tItens[[#This Row],[Qtd]]*tItens[[#This Row],[Vlr unit]]</f>
        <v>48500</v>
      </c>
      <c r="L496" s="6">
        <f>IFERROR(IF(INDEX(tProdutos[Desconto homologado],MATCH(tItens[[#This Row],[Produto]],tProdutos[Produto],0))="",DescontoPadrao,INDEX(tProdutos[Desconto homologado],MATCH(tItens[[#This Row],[Produto]],tProdutos[Produto],0))),DescontoPadrao)</f>
        <v>0.27203065134099602</v>
      </c>
      <c r="M496" s="12">
        <f>tItens[[#This Row],[Valor]]*(1-tItens[[#This Row],[Desconto]])</f>
        <v>35306.513409961692</v>
      </c>
      <c r="N496" t="str">
        <f>IFERROR(INDEX(tProdutos[Foco],MATCH(tItens[[#This Row],[Produto]],tProdutos[Produto],0)),"Não")</f>
        <v>Não</v>
      </c>
      <c r="O496" t="str">
        <f>IFERROR(INDEX(tEditais[SRP],MATCH(tItens[[#This Row],[Edital]],tEditais[Edital],0)),"Não")</f>
        <v>Não</v>
      </c>
      <c r="P496" s="4">
        <f>IF(COUNTIFS(INDEX(tItens[Edital],1):tItens[[#This Row],[Edital]],tItens[[#This Row],[Edital]],INDEX(tItens[Produto],1):tItens[[#This Row],[Produto]],tItens[[#This Row],[Produto]])=1,1,0)</f>
        <v>1</v>
      </c>
    </row>
    <row r="497" spans="1:16" x14ac:dyDescent="0.25">
      <c r="A497" t="s">
        <v>843</v>
      </c>
      <c r="B497">
        <v>1184989</v>
      </c>
      <c r="C497" t="s">
        <v>3714</v>
      </c>
      <c r="D497" t="s">
        <v>297</v>
      </c>
      <c r="E497" s="13">
        <v>600</v>
      </c>
      <c r="F497" s="12">
        <v>21</v>
      </c>
      <c r="G497" t="str">
        <f>IFERROR(INDEX(tEditais[Órgão],MATCH(tItens[[#This Row],[Edital]],tEditais[Edital],0)),"")</f>
        <v>FUNDO ESTADUAL DE SAUDE DO ESTADO DA BAHIA</v>
      </c>
      <c r="H497" t="str">
        <f>IFERROR(INDEX(tEditais[UF],MATCH(tItens[[#This Row],[Edital]],tEditais[Edital],0)),"")</f>
        <v>BA</v>
      </c>
      <c r="I497" s="11">
        <f>IFERROR(INDEX(tEditais[Encerramento],MATCH(tItens[[#This Row],[Edital]],tEditais[Edital],0)),"")</f>
        <v>46308.375</v>
      </c>
      <c r="J497" t="str">
        <f>IFERROR(INDEX(tProdutos[Classe],MATCH(tItens[[#This Row],[Produto]],tProdutos[Produto],0)),"produto não cadastrado")</f>
        <v>FORA</v>
      </c>
      <c r="K497" s="12">
        <f>tItens[[#This Row],[Qtd]]*tItens[[#This Row],[Vlr unit]]</f>
        <v>12600</v>
      </c>
      <c r="L497" s="6">
        <f>IFERROR(IF(INDEX(tProdutos[Desconto homologado],MATCH(tItens[[#This Row],[Produto]],tProdutos[Produto],0))="",DescontoPadrao,INDEX(tProdutos[Desconto homologado],MATCH(tItens[[#This Row],[Produto]],tProdutos[Produto],0))),DescontoPadrao)</f>
        <v>0.249544626593807</v>
      </c>
      <c r="M497" s="12">
        <f>tItens[[#This Row],[Valor]]*(1-tItens[[#This Row],[Desconto]])</f>
        <v>9455.7377049180304</v>
      </c>
      <c r="N497" t="str">
        <f>IFERROR(INDEX(tProdutos[Foco],MATCH(tItens[[#This Row],[Produto]],tProdutos[Produto],0)),"Não")</f>
        <v>Não</v>
      </c>
      <c r="O497" t="str">
        <f>IFERROR(INDEX(tEditais[SRP],MATCH(tItens[[#This Row],[Edital]],tEditais[Edital],0)),"Não")</f>
        <v>Não</v>
      </c>
      <c r="P497" s="4">
        <f>IF(COUNTIFS(INDEX(tItens[Edital],1):tItens[[#This Row],[Edital]],tItens[[#This Row],[Edital]],INDEX(tItens[Produto],1):tItens[[#This Row],[Produto]],tItens[[#This Row],[Produto]])=1,1,0)</f>
        <v>1</v>
      </c>
    </row>
    <row r="498" spans="1:16" x14ac:dyDescent="0.25">
      <c r="A498" t="s">
        <v>843</v>
      </c>
      <c r="B498">
        <v>1289632</v>
      </c>
      <c r="C498" t="s">
        <v>3715</v>
      </c>
      <c r="D498" t="s">
        <v>158</v>
      </c>
      <c r="E498" s="13">
        <v>40000</v>
      </c>
      <c r="F498" s="12">
        <v>1.04</v>
      </c>
      <c r="G498" t="str">
        <f>IFERROR(INDEX(tEditais[Órgão],MATCH(tItens[[#This Row],[Edital]],tEditais[Edital],0)),"")</f>
        <v>FUNDO ESTADUAL DE SAUDE DO ESTADO DA BAHIA</v>
      </c>
      <c r="H498" t="str">
        <f>IFERROR(INDEX(tEditais[UF],MATCH(tItens[[#This Row],[Edital]],tEditais[Edital],0)),"")</f>
        <v>BA</v>
      </c>
      <c r="I498" s="11">
        <f>IFERROR(INDEX(tEditais[Encerramento],MATCH(tItens[[#This Row],[Edital]],tEditais[Edital],0)),"")</f>
        <v>46308.375</v>
      </c>
      <c r="J498" t="str">
        <f>IFERROR(INDEX(tProdutos[Classe],MATCH(tItens[[#This Row],[Produto]],tProdutos[Produto],0)),"produto não cadastrado")</f>
        <v>DISPUTADO</v>
      </c>
      <c r="K498" s="12">
        <f>tItens[[#This Row],[Qtd]]*tItens[[#This Row],[Vlr unit]]</f>
        <v>41600</v>
      </c>
      <c r="L498" s="6">
        <f>IFERROR(IF(INDEX(tProdutos[Desconto homologado],MATCH(tItens[[#This Row],[Produto]],tProdutos[Produto],0))="",DescontoPadrao,INDEX(tProdutos[Desconto homologado],MATCH(tItens[[#This Row],[Produto]],tProdutos[Produto],0))),DescontoPadrao)</f>
        <v>0.26086956521739102</v>
      </c>
      <c r="M498" s="12">
        <f>tItens[[#This Row],[Valor]]*(1-tItens[[#This Row],[Desconto]])</f>
        <v>30747.826086956535</v>
      </c>
      <c r="N498" t="str">
        <f>IFERROR(INDEX(tProdutos[Foco],MATCH(tItens[[#This Row],[Produto]],tProdutos[Produto],0)),"Não")</f>
        <v>Não</v>
      </c>
      <c r="O498" t="str">
        <f>IFERROR(INDEX(tEditais[SRP],MATCH(tItens[[#This Row],[Edital]],tEditais[Edital],0)),"Não")</f>
        <v>Não</v>
      </c>
      <c r="P498" s="4">
        <f>IF(COUNTIFS(INDEX(tItens[Edital],1):tItens[[#This Row],[Edital]],tItens[[#This Row],[Edital]],INDEX(tItens[Produto],1):tItens[[#This Row],[Produto]],tItens[[#This Row],[Produto]])=1,1,0)</f>
        <v>1</v>
      </c>
    </row>
    <row r="499" spans="1:16" x14ac:dyDescent="0.25">
      <c r="A499" t="s">
        <v>843</v>
      </c>
      <c r="B499">
        <v>1289888</v>
      </c>
      <c r="C499" t="s">
        <v>3716</v>
      </c>
      <c r="D499" t="s">
        <v>158</v>
      </c>
      <c r="E499" s="13">
        <v>600</v>
      </c>
      <c r="F499" s="12">
        <v>5.07</v>
      </c>
      <c r="G499" t="str">
        <f>IFERROR(INDEX(tEditais[Órgão],MATCH(tItens[[#This Row],[Edital]],tEditais[Edital],0)),"")</f>
        <v>FUNDO ESTADUAL DE SAUDE DO ESTADO DA BAHIA</v>
      </c>
      <c r="H499" t="str">
        <f>IFERROR(INDEX(tEditais[UF],MATCH(tItens[[#This Row],[Edital]],tEditais[Edital],0)),"")</f>
        <v>BA</v>
      </c>
      <c r="I499" s="11">
        <f>IFERROR(INDEX(tEditais[Encerramento],MATCH(tItens[[#This Row],[Edital]],tEditais[Edital],0)),"")</f>
        <v>46308.375</v>
      </c>
      <c r="J499" t="str">
        <f>IFERROR(INDEX(tProdutos[Classe],MATCH(tItens[[#This Row],[Produto]],tProdutos[Produto],0)),"produto não cadastrado")</f>
        <v>DISPUTADO</v>
      </c>
      <c r="K499" s="12">
        <f>tItens[[#This Row],[Qtd]]*tItens[[#This Row],[Vlr unit]]</f>
        <v>3042</v>
      </c>
      <c r="L499" s="6">
        <f>IFERROR(IF(INDEX(tProdutos[Desconto homologado],MATCH(tItens[[#This Row],[Produto]],tProdutos[Produto],0))="",DescontoPadrao,INDEX(tProdutos[Desconto homologado],MATCH(tItens[[#This Row],[Produto]],tProdutos[Produto],0))),DescontoPadrao)</f>
        <v>0.26086956521739102</v>
      </c>
      <c r="M499" s="12">
        <f>tItens[[#This Row],[Valor]]*(1-tItens[[#This Row],[Desconto]])</f>
        <v>2248.4347826086964</v>
      </c>
      <c r="N499" t="str">
        <f>IFERROR(INDEX(tProdutos[Foco],MATCH(tItens[[#This Row],[Produto]],tProdutos[Produto],0)),"Não")</f>
        <v>Não</v>
      </c>
      <c r="O499" t="str">
        <f>IFERROR(INDEX(tEditais[SRP],MATCH(tItens[[#This Row],[Edital]],tEditais[Edital],0)),"Não")</f>
        <v>Não</v>
      </c>
      <c r="P499" s="4">
        <f>IF(COUNTIFS(INDEX(tItens[Edital],1):tItens[[#This Row],[Edital]],tItens[[#This Row],[Edital]],INDEX(tItens[Produto],1):tItens[[#This Row],[Produto]],tItens[[#This Row],[Produto]])=1,1,0)</f>
        <v>0</v>
      </c>
    </row>
    <row r="500" spans="1:16" x14ac:dyDescent="0.25">
      <c r="A500" t="s">
        <v>843</v>
      </c>
      <c r="B500">
        <v>12896751</v>
      </c>
      <c r="C500" t="s">
        <v>3717</v>
      </c>
      <c r="D500" t="s">
        <v>176</v>
      </c>
      <c r="E500" s="13">
        <v>112500</v>
      </c>
      <c r="F500" s="12">
        <v>2.06</v>
      </c>
      <c r="G500" t="str">
        <f>IFERROR(INDEX(tEditais[Órgão],MATCH(tItens[[#This Row],[Edital]],tEditais[Edital],0)),"")</f>
        <v>FUNDO ESTADUAL DE SAUDE DO ESTADO DA BAHIA</v>
      </c>
      <c r="H500" t="str">
        <f>IFERROR(INDEX(tEditais[UF],MATCH(tItens[[#This Row],[Edital]],tEditais[Edital],0)),"")</f>
        <v>BA</v>
      </c>
      <c r="I500" s="11">
        <f>IFERROR(INDEX(tEditais[Encerramento],MATCH(tItens[[#This Row],[Edital]],tEditais[Edital],0)),"")</f>
        <v>46308.375</v>
      </c>
      <c r="J500" t="str">
        <f>IFERROR(INDEX(tProdutos[Classe],MATCH(tItens[[#This Row],[Produto]],tProdutos[Produto],0)),"produto não cadastrado")</f>
        <v>DISPUTADO</v>
      </c>
      <c r="K500" s="12">
        <f>tItens[[#This Row],[Qtd]]*tItens[[#This Row],[Vlr unit]]</f>
        <v>231750</v>
      </c>
      <c r="L500" s="6">
        <f>IFERROR(IF(INDEX(tProdutos[Desconto homologado],MATCH(tItens[[#This Row],[Produto]],tProdutos[Produto],0))="",DescontoPadrao,INDEX(tProdutos[Desconto homologado],MATCH(tItens[[#This Row],[Produto]],tProdutos[Produto],0))),DescontoPadrao)</f>
        <v>0.39921530161843999</v>
      </c>
      <c r="M500" s="12">
        <f>tItens[[#This Row],[Valor]]*(1-tItens[[#This Row],[Desconto]])</f>
        <v>139231.85384992653</v>
      </c>
      <c r="N500" t="str">
        <f>IFERROR(INDEX(tProdutos[Foco],MATCH(tItens[[#This Row],[Produto]],tProdutos[Produto],0)),"Não")</f>
        <v>Não</v>
      </c>
      <c r="O500" t="str">
        <f>IFERROR(INDEX(tEditais[SRP],MATCH(tItens[[#This Row],[Edital]],tEditais[Edital],0)),"Não")</f>
        <v>Não</v>
      </c>
      <c r="P500" s="4">
        <f>IF(COUNTIFS(INDEX(tItens[Edital],1):tItens[[#This Row],[Edital]],tItens[[#This Row],[Edital]],INDEX(tItens[Produto],1):tItens[[#This Row],[Produto]],tItens[[#This Row],[Produto]])=1,1,0)</f>
        <v>1</v>
      </c>
    </row>
    <row r="501" spans="1:16" x14ac:dyDescent="0.25">
      <c r="A501" t="s">
        <v>843</v>
      </c>
      <c r="B501">
        <v>12896752</v>
      </c>
      <c r="C501" t="s">
        <v>3717</v>
      </c>
      <c r="D501" t="s">
        <v>176</v>
      </c>
      <c r="E501" s="13">
        <v>37500</v>
      </c>
      <c r="F501" s="12">
        <v>2.06</v>
      </c>
      <c r="G501" t="str">
        <f>IFERROR(INDEX(tEditais[Órgão],MATCH(tItens[[#This Row],[Edital]],tEditais[Edital],0)),"")</f>
        <v>FUNDO ESTADUAL DE SAUDE DO ESTADO DA BAHIA</v>
      </c>
      <c r="H501" t="str">
        <f>IFERROR(INDEX(tEditais[UF],MATCH(tItens[[#This Row],[Edital]],tEditais[Edital],0)),"")</f>
        <v>BA</v>
      </c>
      <c r="I501" s="11">
        <f>IFERROR(INDEX(tEditais[Encerramento],MATCH(tItens[[#This Row],[Edital]],tEditais[Edital],0)),"")</f>
        <v>46308.375</v>
      </c>
      <c r="J501" t="str">
        <f>IFERROR(INDEX(tProdutos[Classe],MATCH(tItens[[#This Row],[Produto]],tProdutos[Produto],0)),"produto não cadastrado")</f>
        <v>DISPUTADO</v>
      </c>
      <c r="K501" s="12">
        <f>tItens[[#This Row],[Qtd]]*tItens[[#This Row],[Vlr unit]]</f>
        <v>77250</v>
      </c>
      <c r="L501" s="6">
        <f>IFERROR(IF(INDEX(tProdutos[Desconto homologado],MATCH(tItens[[#This Row],[Produto]],tProdutos[Produto],0))="",DescontoPadrao,INDEX(tProdutos[Desconto homologado],MATCH(tItens[[#This Row],[Produto]],tProdutos[Produto],0))),DescontoPadrao)</f>
        <v>0.39921530161843999</v>
      </c>
      <c r="M501" s="12">
        <f>tItens[[#This Row],[Valor]]*(1-tItens[[#This Row],[Desconto]])</f>
        <v>46410.617949975509</v>
      </c>
      <c r="N501" t="str">
        <f>IFERROR(INDEX(tProdutos[Foco],MATCH(tItens[[#This Row],[Produto]],tProdutos[Produto],0)),"Não")</f>
        <v>Não</v>
      </c>
      <c r="O501" t="str">
        <f>IFERROR(INDEX(tEditais[SRP],MATCH(tItens[[#This Row],[Edital]],tEditais[Edital],0)),"Não")</f>
        <v>Não</v>
      </c>
      <c r="P501" s="4">
        <f>IF(COUNTIFS(INDEX(tItens[Edital],1):tItens[[#This Row],[Edital]],tItens[[#This Row],[Edital]],INDEX(tItens[Produto],1):tItens[[#This Row],[Produto]],tItens[[#This Row],[Produto]])=1,1,0)</f>
        <v>0</v>
      </c>
    </row>
    <row r="502" spans="1:16" x14ac:dyDescent="0.25">
      <c r="A502" t="s">
        <v>845</v>
      </c>
      <c r="B502">
        <v>10001</v>
      </c>
      <c r="C502" t="s">
        <v>3718</v>
      </c>
      <c r="D502" t="s">
        <v>201</v>
      </c>
      <c r="E502" s="13">
        <v>50000</v>
      </c>
      <c r="F502" s="12">
        <v>0.97</v>
      </c>
      <c r="G502" t="str">
        <f>IFERROR(INDEX(tEditais[Órgão],MATCH(tItens[[#This Row],[Edital]],tEditais[Edital],0)),"")</f>
        <v>ESTADO DA BAHIA</v>
      </c>
      <c r="H502" t="str">
        <f>IFERROR(INDEX(tEditais[UF],MATCH(tItens[[#This Row],[Edital]],tEditais[Edital],0)),"")</f>
        <v>BA</v>
      </c>
      <c r="I502" s="11">
        <f>IFERROR(INDEX(tEditais[Encerramento],MATCH(tItens[[#This Row],[Edital]],tEditais[Edital],0)),"")</f>
        <v>46308.375</v>
      </c>
      <c r="J502" t="str">
        <f>IFERROR(INDEX(tProdutos[Classe],MATCH(tItens[[#This Row],[Produto]],tProdutos[Produto],0)),"produto não cadastrado")</f>
        <v>DISPUTADO</v>
      </c>
      <c r="K502" s="12">
        <f>tItens[[#This Row],[Qtd]]*tItens[[#This Row],[Vlr unit]]</f>
        <v>48500</v>
      </c>
      <c r="L502" s="6">
        <f>IFERROR(IF(INDEX(tProdutos[Desconto homologado],MATCH(tItens[[#This Row],[Produto]],tProdutos[Produto],0))="",DescontoPadrao,INDEX(tProdutos[Desconto homologado],MATCH(tItens[[#This Row],[Produto]],tProdutos[Produto],0))),DescontoPadrao)</f>
        <v>0.27203065134099602</v>
      </c>
      <c r="M502" s="12">
        <f>tItens[[#This Row],[Valor]]*(1-tItens[[#This Row],[Desconto]])</f>
        <v>35306.513409961692</v>
      </c>
      <c r="N502" t="str">
        <f>IFERROR(INDEX(tProdutos[Foco],MATCH(tItens[[#This Row],[Produto]],tProdutos[Produto],0)),"Não")</f>
        <v>Não</v>
      </c>
      <c r="O502" t="str">
        <f>IFERROR(INDEX(tEditais[SRP],MATCH(tItens[[#This Row],[Edital]],tEditais[Edital],0)),"Não")</f>
        <v>Não</v>
      </c>
      <c r="P502" s="4">
        <f>IF(COUNTIFS(INDEX(tItens[Edital],1):tItens[[#This Row],[Edital]],tItens[[#This Row],[Edital]],INDEX(tItens[Produto],1):tItens[[#This Row],[Produto]],tItens[[#This Row],[Produto]])=1,1,0)</f>
        <v>1</v>
      </c>
    </row>
    <row r="503" spans="1:16" x14ac:dyDescent="0.25">
      <c r="A503" t="s">
        <v>845</v>
      </c>
      <c r="B503">
        <v>20001</v>
      </c>
      <c r="C503" t="s">
        <v>3719</v>
      </c>
      <c r="D503" t="s">
        <v>297</v>
      </c>
      <c r="E503" s="13">
        <v>600</v>
      </c>
      <c r="F503" s="12">
        <v>21</v>
      </c>
      <c r="G503" t="str">
        <f>IFERROR(INDEX(tEditais[Órgão],MATCH(tItens[[#This Row],[Edital]],tEditais[Edital],0)),"")</f>
        <v>ESTADO DA BAHIA</v>
      </c>
      <c r="H503" t="str">
        <f>IFERROR(INDEX(tEditais[UF],MATCH(tItens[[#This Row],[Edital]],tEditais[Edital],0)),"")</f>
        <v>BA</v>
      </c>
      <c r="I503" s="11">
        <f>IFERROR(INDEX(tEditais[Encerramento],MATCH(tItens[[#This Row],[Edital]],tEditais[Edital],0)),"")</f>
        <v>46308.375</v>
      </c>
      <c r="J503" t="str">
        <f>IFERROR(INDEX(tProdutos[Classe],MATCH(tItens[[#This Row],[Produto]],tProdutos[Produto],0)),"produto não cadastrado")</f>
        <v>FORA</v>
      </c>
      <c r="K503" s="12">
        <f>tItens[[#This Row],[Qtd]]*tItens[[#This Row],[Vlr unit]]</f>
        <v>12600</v>
      </c>
      <c r="L503" s="6">
        <f>IFERROR(IF(INDEX(tProdutos[Desconto homologado],MATCH(tItens[[#This Row],[Produto]],tProdutos[Produto],0))="",DescontoPadrao,INDEX(tProdutos[Desconto homologado],MATCH(tItens[[#This Row],[Produto]],tProdutos[Produto],0))),DescontoPadrao)</f>
        <v>0.249544626593807</v>
      </c>
      <c r="M503" s="12">
        <f>tItens[[#This Row],[Valor]]*(1-tItens[[#This Row],[Desconto]])</f>
        <v>9455.7377049180304</v>
      </c>
      <c r="N503" t="str">
        <f>IFERROR(INDEX(tProdutos[Foco],MATCH(tItens[[#This Row],[Produto]],tProdutos[Produto],0)),"Não")</f>
        <v>Não</v>
      </c>
      <c r="O503" t="str">
        <f>IFERROR(INDEX(tEditais[SRP],MATCH(tItens[[#This Row],[Edital]],tEditais[Edital],0)),"Não")</f>
        <v>Não</v>
      </c>
      <c r="P503" s="4">
        <f>IF(COUNTIFS(INDEX(tItens[Edital],1):tItens[[#This Row],[Edital]],tItens[[#This Row],[Edital]],INDEX(tItens[Produto],1):tItens[[#This Row],[Produto]],tItens[[#This Row],[Produto]])=1,1,0)</f>
        <v>1</v>
      </c>
    </row>
    <row r="504" spans="1:16" x14ac:dyDescent="0.25">
      <c r="A504" t="s">
        <v>845</v>
      </c>
      <c r="B504">
        <v>60001</v>
      </c>
      <c r="C504" t="s">
        <v>3720</v>
      </c>
      <c r="D504" t="s">
        <v>158</v>
      </c>
      <c r="E504" s="13">
        <v>40000</v>
      </c>
      <c r="F504" s="12">
        <v>1.04</v>
      </c>
      <c r="G504" t="str">
        <f>IFERROR(INDEX(tEditais[Órgão],MATCH(tItens[[#This Row],[Edital]],tEditais[Edital],0)),"")</f>
        <v>ESTADO DA BAHIA</v>
      </c>
      <c r="H504" t="str">
        <f>IFERROR(INDEX(tEditais[UF],MATCH(tItens[[#This Row],[Edital]],tEditais[Edital],0)),"")</f>
        <v>BA</v>
      </c>
      <c r="I504" s="11">
        <f>IFERROR(INDEX(tEditais[Encerramento],MATCH(tItens[[#This Row],[Edital]],tEditais[Edital],0)),"")</f>
        <v>46308.375</v>
      </c>
      <c r="J504" t="str">
        <f>IFERROR(INDEX(tProdutos[Classe],MATCH(tItens[[#This Row],[Produto]],tProdutos[Produto],0)),"produto não cadastrado")</f>
        <v>DISPUTADO</v>
      </c>
      <c r="K504" s="12">
        <f>tItens[[#This Row],[Qtd]]*tItens[[#This Row],[Vlr unit]]</f>
        <v>41600</v>
      </c>
      <c r="L504" s="6">
        <f>IFERROR(IF(INDEX(tProdutos[Desconto homologado],MATCH(tItens[[#This Row],[Produto]],tProdutos[Produto],0))="",DescontoPadrao,INDEX(tProdutos[Desconto homologado],MATCH(tItens[[#This Row],[Produto]],tProdutos[Produto],0))),DescontoPadrao)</f>
        <v>0.26086956521739102</v>
      </c>
      <c r="M504" s="12">
        <f>tItens[[#This Row],[Valor]]*(1-tItens[[#This Row],[Desconto]])</f>
        <v>30747.826086956535</v>
      </c>
      <c r="N504" t="str">
        <f>IFERROR(INDEX(tProdutos[Foco],MATCH(tItens[[#This Row],[Produto]],tProdutos[Produto],0)),"Não")</f>
        <v>Não</v>
      </c>
      <c r="O504" t="str">
        <f>IFERROR(INDEX(tEditais[SRP],MATCH(tItens[[#This Row],[Edital]],tEditais[Edital],0)),"Não")</f>
        <v>Não</v>
      </c>
      <c r="P504" s="4">
        <f>IF(COUNTIFS(INDEX(tItens[Edital],1):tItens[[#This Row],[Edital]],tItens[[#This Row],[Edital]],INDEX(tItens[Produto],1):tItens[[#This Row],[Produto]],tItens[[#This Row],[Produto]])=1,1,0)</f>
        <v>1</v>
      </c>
    </row>
    <row r="505" spans="1:16" x14ac:dyDescent="0.25">
      <c r="A505" t="s">
        <v>845</v>
      </c>
      <c r="B505">
        <v>70001</v>
      </c>
      <c r="C505" t="s">
        <v>3717</v>
      </c>
      <c r="D505" t="s">
        <v>176</v>
      </c>
      <c r="E505" s="13">
        <v>112500</v>
      </c>
      <c r="F505" s="12">
        <v>2.06</v>
      </c>
      <c r="G505" t="str">
        <f>IFERROR(INDEX(tEditais[Órgão],MATCH(tItens[[#This Row],[Edital]],tEditais[Edital],0)),"")</f>
        <v>ESTADO DA BAHIA</v>
      </c>
      <c r="H505" t="str">
        <f>IFERROR(INDEX(tEditais[UF],MATCH(tItens[[#This Row],[Edital]],tEditais[Edital],0)),"")</f>
        <v>BA</v>
      </c>
      <c r="I505" s="11">
        <f>IFERROR(INDEX(tEditais[Encerramento],MATCH(tItens[[#This Row],[Edital]],tEditais[Edital],0)),"")</f>
        <v>46308.375</v>
      </c>
      <c r="J505" t="str">
        <f>IFERROR(INDEX(tProdutos[Classe],MATCH(tItens[[#This Row],[Produto]],tProdutos[Produto],0)),"produto não cadastrado")</f>
        <v>DISPUTADO</v>
      </c>
      <c r="K505" s="12">
        <f>tItens[[#This Row],[Qtd]]*tItens[[#This Row],[Vlr unit]]</f>
        <v>231750</v>
      </c>
      <c r="L505" s="6">
        <f>IFERROR(IF(INDEX(tProdutos[Desconto homologado],MATCH(tItens[[#This Row],[Produto]],tProdutos[Produto],0))="",DescontoPadrao,INDEX(tProdutos[Desconto homologado],MATCH(tItens[[#This Row],[Produto]],tProdutos[Produto],0))),DescontoPadrao)</f>
        <v>0.39921530161843999</v>
      </c>
      <c r="M505" s="12">
        <f>tItens[[#This Row],[Valor]]*(1-tItens[[#This Row],[Desconto]])</f>
        <v>139231.85384992653</v>
      </c>
      <c r="N505" t="str">
        <f>IFERROR(INDEX(tProdutos[Foco],MATCH(tItens[[#This Row],[Produto]],tProdutos[Produto],0)),"Não")</f>
        <v>Não</v>
      </c>
      <c r="O505" t="str">
        <f>IFERROR(INDEX(tEditais[SRP],MATCH(tItens[[#This Row],[Edital]],tEditais[Edital],0)),"Não")</f>
        <v>Não</v>
      </c>
      <c r="P505" s="4">
        <f>IF(COUNTIFS(INDEX(tItens[Edital],1):tItens[[#This Row],[Edital]],tItens[[#This Row],[Edital]],INDEX(tItens[Produto],1):tItens[[#This Row],[Produto]],tItens[[#This Row],[Produto]])=1,1,0)</f>
        <v>1</v>
      </c>
    </row>
    <row r="506" spans="1:16" x14ac:dyDescent="0.25">
      <c r="A506" t="s">
        <v>845</v>
      </c>
      <c r="B506">
        <v>80001</v>
      </c>
      <c r="C506" t="s">
        <v>3721</v>
      </c>
      <c r="D506" t="s">
        <v>158</v>
      </c>
      <c r="E506" s="13">
        <v>600</v>
      </c>
      <c r="F506" s="12">
        <v>5.07</v>
      </c>
      <c r="G506" t="str">
        <f>IFERROR(INDEX(tEditais[Órgão],MATCH(tItens[[#This Row],[Edital]],tEditais[Edital],0)),"")</f>
        <v>ESTADO DA BAHIA</v>
      </c>
      <c r="H506" t="str">
        <f>IFERROR(INDEX(tEditais[UF],MATCH(tItens[[#This Row],[Edital]],tEditais[Edital],0)),"")</f>
        <v>BA</v>
      </c>
      <c r="I506" s="11">
        <f>IFERROR(INDEX(tEditais[Encerramento],MATCH(tItens[[#This Row],[Edital]],tEditais[Edital],0)),"")</f>
        <v>46308.375</v>
      </c>
      <c r="J506" t="str">
        <f>IFERROR(INDEX(tProdutos[Classe],MATCH(tItens[[#This Row],[Produto]],tProdutos[Produto],0)),"produto não cadastrado")</f>
        <v>DISPUTADO</v>
      </c>
      <c r="K506" s="12">
        <f>tItens[[#This Row],[Qtd]]*tItens[[#This Row],[Vlr unit]]</f>
        <v>3042</v>
      </c>
      <c r="L506" s="6">
        <f>IFERROR(IF(INDEX(tProdutos[Desconto homologado],MATCH(tItens[[#This Row],[Produto]],tProdutos[Produto],0))="",DescontoPadrao,INDEX(tProdutos[Desconto homologado],MATCH(tItens[[#This Row],[Produto]],tProdutos[Produto],0))),DescontoPadrao)</f>
        <v>0.26086956521739102</v>
      </c>
      <c r="M506" s="12">
        <f>tItens[[#This Row],[Valor]]*(1-tItens[[#This Row],[Desconto]])</f>
        <v>2248.4347826086964</v>
      </c>
      <c r="N506" t="str">
        <f>IFERROR(INDEX(tProdutos[Foco],MATCH(tItens[[#This Row],[Produto]],tProdutos[Produto],0)),"Não")</f>
        <v>Não</v>
      </c>
      <c r="O506" t="str">
        <f>IFERROR(INDEX(tEditais[SRP],MATCH(tItens[[#This Row],[Edital]],tEditais[Edital],0)),"Não")</f>
        <v>Não</v>
      </c>
      <c r="P506" s="4">
        <f>IF(COUNTIFS(INDEX(tItens[Edital],1):tItens[[#This Row],[Edital]],tItens[[#This Row],[Edital]],INDEX(tItens[Produto],1):tItens[[#This Row],[Produto]],tItens[[#This Row],[Produto]])=1,1,0)</f>
        <v>0</v>
      </c>
    </row>
    <row r="507" spans="1:16" x14ac:dyDescent="0.25">
      <c r="A507" t="s">
        <v>845</v>
      </c>
      <c r="B507">
        <v>100001</v>
      </c>
      <c r="C507" t="s">
        <v>3717</v>
      </c>
      <c r="D507" t="s">
        <v>176</v>
      </c>
      <c r="E507" s="13">
        <v>37500</v>
      </c>
      <c r="F507" s="12">
        <v>2.06</v>
      </c>
      <c r="G507" t="str">
        <f>IFERROR(INDEX(tEditais[Órgão],MATCH(tItens[[#This Row],[Edital]],tEditais[Edital],0)),"")</f>
        <v>ESTADO DA BAHIA</v>
      </c>
      <c r="H507" t="str">
        <f>IFERROR(INDEX(tEditais[UF],MATCH(tItens[[#This Row],[Edital]],tEditais[Edital],0)),"")</f>
        <v>BA</v>
      </c>
      <c r="I507" s="11">
        <f>IFERROR(INDEX(tEditais[Encerramento],MATCH(tItens[[#This Row],[Edital]],tEditais[Edital],0)),"")</f>
        <v>46308.375</v>
      </c>
      <c r="J507" t="str">
        <f>IFERROR(INDEX(tProdutos[Classe],MATCH(tItens[[#This Row],[Produto]],tProdutos[Produto],0)),"produto não cadastrado")</f>
        <v>DISPUTADO</v>
      </c>
      <c r="K507" s="12">
        <f>tItens[[#This Row],[Qtd]]*tItens[[#This Row],[Vlr unit]]</f>
        <v>77250</v>
      </c>
      <c r="L507" s="6">
        <f>IFERROR(IF(INDEX(tProdutos[Desconto homologado],MATCH(tItens[[#This Row],[Produto]],tProdutos[Produto],0))="",DescontoPadrao,INDEX(tProdutos[Desconto homologado],MATCH(tItens[[#This Row],[Produto]],tProdutos[Produto],0))),DescontoPadrao)</f>
        <v>0.39921530161843999</v>
      </c>
      <c r="M507" s="12">
        <f>tItens[[#This Row],[Valor]]*(1-tItens[[#This Row],[Desconto]])</f>
        <v>46410.617949975509</v>
      </c>
      <c r="N507" t="str">
        <f>IFERROR(INDEX(tProdutos[Foco],MATCH(tItens[[#This Row],[Produto]],tProdutos[Produto],0)),"Não")</f>
        <v>Não</v>
      </c>
      <c r="O507" t="str">
        <f>IFERROR(INDEX(tEditais[SRP],MATCH(tItens[[#This Row],[Edital]],tEditais[Edital],0)),"Não")</f>
        <v>Não</v>
      </c>
      <c r="P507" s="4">
        <f>IF(COUNTIFS(INDEX(tItens[Edital],1):tItens[[#This Row],[Edital]],tItens[[#This Row],[Edital]],INDEX(tItens[Produto],1):tItens[[#This Row],[Produto]],tItens[[#This Row],[Produto]])=1,1,0)</f>
        <v>0</v>
      </c>
    </row>
    <row r="508" spans="1:16" x14ac:dyDescent="0.25">
      <c r="A508" t="s">
        <v>848</v>
      </c>
      <c r="B508">
        <v>4944</v>
      </c>
      <c r="C508" t="s">
        <v>3722</v>
      </c>
      <c r="D508" t="s">
        <v>421</v>
      </c>
      <c r="E508" s="13">
        <v>1</v>
      </c>
      <c r="F508" s="12">
        <v>12.8</v>
      </c>
      <c r="G508" t="str">
        <f>IFERROR(INDEX(tEditais[Órgão],MATCH(tItens[[#This Row],[Edital]],tEditais[Edital],0)),"")</f>
        <v>UNIVERSIDADE ESTADUAL DE FEIRA DE SANTANA</v>
      </c>
      <c r="H508" t="str">
        <f>IFERROR(INDEX(tEditais[UF],MATCH(tItens[[#This Row],[Edital]],tEditais[Edital],0)),"")</f>
        <v>BA</v>
      </c>
      <c r="I508" s="11">
        <f>IFERROR(INDEX(tEditais[Encerramento],MATCH(tItens[[#This Row],[Edital]],tEditais[Edital],0)),"")</f>
        <v>46308.375</v>
      </c>
      <c r="J508" t="str">
        <f>IFERROR(INDEX(tProdutos[Classe],MATCH(tItens[[#This Row],[Produto]],tProdutos[Produto],0)),"produto não cadastrado")</f>
        <v>FORA</v>
      </c>
      <c r="K508" s="12">
        <f>tItens[[#This Row],[Qtd]]*tItens[[#This Row],[Vlr unit]]</f>
        <v>12.8</v>
      </c>
      <c r="L508" s="6">
        <f>IFERROR(IF(INDEX(tProdutos[Desconto homologado],MATCH(tItens[[#This Row],[Produto]],tProdutos[Produto],0))="",DescontoPadrao,INDEX(tProdutos[Desconto homologado],MATCH(tItens[[#This Row],[Produto]],tProdutos[Produto],0))),DescontoPadrao)</f>
        <v>0.43</v>
      </c>
      <c r="M508" s="12">
        <f>tItens[[#This Row],[Valor]]*(1-tItens[[#This Row],[Desconto]])</f>
        <v>7.2960000000000012</v>
      </c>
      <c r="N508" t="str">
        <f>IFERROR(INDEX(tProdutos[Foco],MATCH(tItens[[#This Row],[Produto]],tProdutos[Produto],0)),"Não")</f>
        <v>Sim</v>
      </c>
      <c r="O508" t="str">
        <f>IFERROR(INDEX(tEditais[SRP],MATCH(tItens[[#This Row],[Edital]],tEditais[Edital],0)),"Não")</f>
        <v>Não</v>
      </c>
      <c r="P508" s="4">
        <f>IF(COUNTIFS(INDEX(tItens[Edital],1):tItens[[#This Row],[Edital]],tItens[[#This Row],[Edital]],INDEX(tItens[Produto],1):tItens[[#This Row],[Produto]],tItens[[#This Row],[Produto]])=1,1,0)</f>
        <v>1</v>
      </c>
    </row>
    <row r="509" spans="1:16" x14ac:dyDescent="0.25">
      <c r="A509" t="s">
        <v>848</v>
      </c>
      <c r="B509">
        <v>70289</v>
      </c>
      <c r="C509" t="s">
        <v>3723</v>
      </c>
      <c r="D509" t="s">
        <v>333</v>
      </c>
      <c r="E509" s="13">
        <v>1000</v>
      </c>
      <c r="F509" s="12">
        <v>1.49</v>
      </c>
      <c r="G509" t="str">
        <f>IFERROR(INDEX(tEditais[Órgão],MATCH(tItens[[#This Row],[Edital]],tEditais[Edital],0)),"")</f>
        <v>UNIVERSIDADE ESTADUAL DE FEIRA DE SANTANA</v>
      </c>
      <c r="H509" t="str">
        <f>IFERROR(INDEX(tEditais[UF],MATCH(tItens[[#This Row],[Edital]],tEditais[Edital],0)),"")</f>
        <v>BA</v>
      </c>
      <c r="I509" s="11">
        <f>IFERROR(INDEX(tEditais[Encerramento],MATCH(tItens[[#This Row],[Edital]],tEditais[Edital],0)),"")</f>
        <v>46308.375</v>
      </c>
      <c r="J509" t="str">
        <f>IFERROR(INDEX(tProdutos[Classe],MATCH(tItens[[#This Row],[Produto]],tProdutos[Produto],0)),"produto não cadastrado")</f>
        <v>FORA</v>
      </c>
      <c r="K509" s="12">
        <f>tItens[[#This Row],[Qtd]]*tItens[[#This Row],[Vlr unit]]</f>
        <v>1490</v>
      </c>
      <c r="L509" s="6">
        <f>IFERROR(IF(INDEX(tProdutos[Desconto homologado],MATCH(tItens[[#This Row],[Produto]],tProdutos[Produto],0))="",DescontoPadrao,INDEX(tProdutos[Desconto homologado],MATCH(tItens[[#This Row],[Produto]],tProdutos[Produto],0))),DescontoPadrao)</f>
        <v>0.48951048951048998</v>
      </c>
      <c r="M509" s="12">
        <f>tItens[[#This Row],[Valor]]*(1-tItens[[#This Row],[Desconto]])</f>
        <v>760.62937062936987</v>
      </c>
      <c r="N509" t="str">
        <f>IFERROR(INDEX(tProdutos[Foco],MATCH(tItens[[#This Row],[Produto]],tProdutos[Produto],0)),"Não")</f>
        <v>Não</v>
      </c>
      <c r="O509" t="str">
        <f>IFERROR(INDEX(tEditais[SRP],MATCH(tItens[[#This Row],[Edital]],tEditais[Edital],0)),"Não")</f>
        <v>Não</v>
      </c>
      <c r="P509" s="4">
        <f>IF(COUNTIFS(INDEX(tItens[Edital],1):tItens[[#This Row],[Edital]],tItens[[#This Row],[Edital]],INDEX(tItens[Produto],1):tItens[[#This Row],[Produto]],tItens[[#This Row],[Produto]])=1,1,0)</f>
        <v>1</v>
      </c>
    </row>
    <row r="510" spans="1:16" x14ac:dyDescent="0.25">
      <c r="A510" t="s">
        <v>848</v>
      </c>
      <c r="B510">
        <v>75280</v>
      </c>
      <c r="C510" t="s">
        <v>3631</v>
      </c>
      <c r="D510" t="s">
        <v>341</v>
      </c>
      <c r="E510" s="13">
        <v>100</v>
      </c>
      <c r="F510" s="12">
        <v>19.170000000000002</v>
      </c>
      <c r="G510" t="str">
        <f>IFERROR(INDEX(tEditais[Órgão],MATCH(tItens[[#This Row],[Edital]],tEditais[Edital],0)),"")</f>
        <v>UNIVERSIDADE ESTADUAL DE FEIRA DE SANTANA</v>
      </c>
      <c r="H510" t="str">
        <f>IFERROR(INDEX(tEditais[UF],MATCH(tItens[[#This Row],[Edital]],tEditais[Edital],0)),"")</f>
        <v>BA</v>
      </c>
      <c r="I510" s="11">
        <f>IFERROR(INDEX(tEditais[Encerramento],MATCH(tItens[[#This Row],[Edital]],tEditais[Edital],0)),"")</f>
        <v>46308.375</v>
      </c>
      <c r="J510" t="str">
        <f>IFERROR(INDEX(tProdutos[Classe],MATCH(tItens[[#This Row],[Produto]],tProdutos[Produto],0)),"produto não cadastrado")</f>
        <v>FORA</v>
      </c>
      <c r="K510" s="12">
        <f>tItens[[#This Row],[Qtd]]*tItens[[#This Row],[Vlr unit]]</f>
        <v>1917.0000000000002</v>
      </c>
      <c r="L510" s="6">
        <f>IFERROR(IF(INDEX(tProdutos[Desconto homologado],MATCH(tItens[[#This Row],[Produto]],tProdutos[Produto],0))="",DescontoPadrao,INDEX(tProdutos[Desconto homologado],MATCH(tItens[[#This Row],[Produto]],tProdutos[Produto],0))),DescontoPadrao)</f>
        <v>0.46918578497525898</v>
      </c>
      <c r="M510" s="12">
        <f>tItens[[#This Row],[Valor]]*(1-tItens[[#This Row],[Desconto]])</f>
        <v>1017.5708502024287</v>
      </c>
      <c r="N510" t="str">
        <f>IFERROR(INDEX(tProdutos[Foco],MATCH(tItens[[#This Row],[Produto]],tProdutos[Produto],0)),"Não")</f>
        <v>Não</v>
      </c>
      <c r="O510" t="str">
        <f>IFERROR(INDEX(tEditais[SRP],MATCH(tItens[[#This Row],[Edital]],tEditais[Edital],0)),"Não")</f>
        <v>Não</v>
      </c>
      <c r="P510" s="4">
        <f>IF(COUNTIFS(INDEX(tItens[Edital],1):tItens[[#This Row],[Edital]],tItens[[#This Row],[Edital]],INDEX(tItens[Produto],1):tItens[[#This Row],[Produto]],tItens[[#This Row],[Produto]])=1,1,0)</f>
        <v>1</v>
      </c>
    </row>
    <row r="511" spans="1:16" x14ac:dyDescent="0.25">
      <c r="A511" t="s">
        <v>848</v>
      </c>
      <c r="B511">
        <v>977640</v>
      </c>
      <c r="C511" t="s">
        <v>3724</v>
      </c>
      <c r="D511" t="s">
        <v>150</v>
      </c>
      <c r="E511" s="13">
        <v>100</v>
      </c>
      <c r="F511" s="12">
        <v>0.39</v>
      </c>
      <c r="G511" t="str">
        <f>IFERROR(INDEX(tEditais[Órgão],MATCH(tItens[[#This Row],[Edital]],tEditais[Edital],0)),"")</f>
        <v>UNIVERSIDADE ESTADUAL DE FEIRA DE SANTANA</v>
      </c>
      <c r="H511" t="str">
        <f>IFERROR(INDEX(tEditais[UF],MATCH(tItens[[#This Row],[Edital]],tEditais[Edital],0)),"")</f>
        <v>BA</v>
      </c>
      <c r="I511" s="11">
        <f>IFERROR(INDEX(tEditais[Encerramento],MATCH(tItens[[#This Row],[Edital]],tEditais[Edital],0)),"")</f>
        <v>46308.375</v>
      </c>
      <c r="J511" t="str">
        <f>IFERROR(INDEX(tProdutos[Classe],MATCH(tItens[[#This Row],[Produto]],tProdutos[Produto],0)),"produto não cadastrado")</f>
        <v>DISPUTADO</v>
      </c>
      <c r="K511" s="12">
        <f>tItens[[#This Row],[Qtd]]*tItens[[#This Row],[Vlr unit]]</f>
        <v>39</v>
      </c>
      <c r="L511" s="6">
        <f>IFERROR(IF(INDEX(tProdutos[Desconto homologado],MATCH(tItens[[#This Row],[Produto]],tProdutos[Produto],0))="",DescontoPadrao,INDEX(tProdutos[Desconto homologado],MATCH(tItens[[#This Row],[Produto]],tProdutos[Produto],0))),DescontoPadrao)</f>
        <v>0.24874026568941801</v>
      </c>
      <c r="M511" s="12">
        <f>tItens[[#This Row],[Valor]]*(1-tItens[[#This Row],[Desconto]])</f>
        <v>29.299129638112699</v>
      </c>
      <c r="N511" t="str">
        <f>IFERROR(INDEX(tProdutos[Foco],MATCH(tItens[[#This Row],[Produto]],tProdutos[Produto],0)),"Não")</f>
        <v>Não</v>
      </c>
      <c r="O511" t="str">
        <f>IFERROR(INDEX(tEditais[SRP],MATCH(tItens[[#This Row],[Edital]],tEditais[Edital],0)),"Não")</f>
        <v>Não</v>
      </c>
      <c r="P511" s="4">
        <f>IF(COUNTIFS(INDEX(tItens[Edital],1):tItens[[#This Row],[Edital]],tItens[[#This Row],[Edital]],INDEX(tItens[Produto],1):tItens[[#This Row],[Produto]],tItens[[#This Row],[Produto]])=1,1,0)</f>
        <v>1</v>
      </c>
    </row>
    <row r="512" spans="1:16" x14ac:dyDescent="0.25">
      <c r="A512" t="s">
        <v>848</v>
      </c>
      <c r="B512">
        <v>1095439</v>
      </c>
      <c r="C512" t="s">
        <v>3725</v>
      </c>
      <c r="D512" t="s">
        <v>90</v>
      </c>
      <c r="E512" s="13">
        <v>6</v>
      </c>
      <c r="F512" s="12">
        <v>4.93</v>
      </c>
      <c r="G512" t="str">
        <f>IFERROR(INDEX(tEditais[Órgão],MATCH(tItens[[#This Row],[Edital]],tEditais[Edital],0)),"")</f>
        <v>UNIVERSIDADE ESTADUAL DE FEIRA DE SANTANA</v>
      </c>
      <c r="H512" t="str">
        <f>IFERROR(INDEX(tEditais[UF],MATCH(tItens[[#This Row],[Edital]],tEditais[Edital],0)),"")</f>
        <v>BA</v>
      </c>
      <c r="I512" s="11">
        <f>IFERROR(INDEX(tEditais[Encerramento],MATCH(tItens[[#This Row],[Edital]],tEditais[Edital],0)),"")</f>
        <v>46308.375</v>
      </c>
      <c r="J512" t="str">
        <f>IFERROR(INDEX(tProdutos[Classe],MATCH(tItens[[#This Row],[Produto]],tProdutos[Produto],0)),"produto não cadastrado")</f>
        <v>DISPUTADO</v>
      </c>
      <c r="K512" s="12">
        <f>tItens[[#This Row],[Qtd]]*tItens[[#This Row],[Vlr unit]]</f>
        <v>29.58</v>
      </c>
      <c r="L512" s="6">
        <f>IFERROR(IF(INDEX(tProdutos[Desconto homologado],MATCH(tItens[[#This Row],[Produto]],tProdutos[Produto],0))="",DescontoPadrao,INDEX(tProdutos[Desconto homologado],MATCH(tItens[[#This Row],[Produto]],tProdutos[Produto],0))),DescontoPadrao)</f>
        <v>0.25393823957010597</v>
      </c>
      <c r="M512" s="12">
        <f>tItens[[#This Row],[Valor]]*(1-tItens[[#This Row],[Desconto]])</f>
        <v>22.068506873516263</v>
      </c>
      <c r="N512" t="str">
        <f>IFERROR(INDEX(tProdutos[Foco],MATCH(tItens[[#This Row],[Produto]],tProdutos[Produto],0)),"Não")</f>
        <v>Não</v>
      </c>
      <c r="O512" t="str">
        <f>IFERROR(INDEX(tEditais[SRP],MATCH(tItens[[#This Row],[Edital]],tEditais[Edital],0)),"Não")</f>
        <v>Não</v>
      </c>
      <c r="P512" s="4">
        <f>IF(COUNTIFS(INDEX(tItens[Edital],1):tItens[[#This Row],[Edital]],tItens[[#This Row],[Edital]],INDEX(tItens[Produto],1):tItens[[#This Row],[Produto]],tItens[[#This Row],[Produto]])=1,1,0)</f>
        <v>1</v>
      </c>
    </row>
    <row r="513" spans="1:16" x14ac:dyDescent="0.25">
      <c r="A513" t="s">
        <v>848</v>
      </c>
      <c r="B513">
        <v>1109502</v>
      </c>
      <c r="C513" t="s">
        <v>3726</v>
      </c>
      <c r="D513" t="s">
        <v>56</v>
      </c>
      <c r="E513" s="13">
        <v>100</v>
      </c>
      <c r="F513" s="12">
        <v>0.24</v>
      </c>
      <c r="G513" t="str">
        <f>IFERROR(INDEX(tEditais[Órgão],MATCH(tItens[[#This Row],[Edital]],tEditais[Edital],0)),"")</f>
        <v>UNIVERSIDADE ESTADUAL DE FEIRA DE SANTANA</v>
      </c>
      <c r="H513" t="str">
        <f>IFERROR(INDEX(tEditais[UF],MATCH(tItens[[#This Row],[Edital]],tEditais[Edital],0)),"")</f>
        <v>BA</v>
      </c>
      <c r="I513" s="11">
        <f>IFERROR(INDEX(tEditais[Encerramento],MATCH(tItens[[#This Row],[Edital]],tEditais[Edital],0)),"")</f>
        <v>46308.375</v>
      </c>
      <c r="J513" t="str">
        <f>IFERROR(INDEX(tProdutos[Classe],MATCH(tItens[[#This Row],[Produto]],tProdutos[Produto],0)),"produto não cadastrado")</f>
        <v>NÚCLEO</v>
      </c>
      <c r="K513" s="12">
        <f>tItens[[#This Row],[Qtd]]*tItens[[#This Row],[Vlr unit]]</f>
        <v>24</v>
      </c>
      <c r="L513" s="6">
        <f>IFERROR(IF(INDEX(tProdutos[Desconto homologado],MATCH(tItens[[#This Row],[Produto]],tProdutos[Produto],0))="",DescontoPadrao,INDEX(tProdutos[Desconto homologado],MATCH(tItens[[#This Row],[Produto]],tProdutos[Produto],0))),DescontoPadrao)</f>
        <v>0.34</v>
      </c>
      <c r="M513" s="12">
        <f>tItens[[#This Row],[Valor]]*(1-tItens[[#This Row],[Desconto]])</f>
        <v>15.839999999999998</v>
      </c>
      <c r="N513" t="str">
        <f>IFERROR(INDEX(tProdutos[Foco],MATCH(tItens[[#This Row],[Produto]],tProdutos[Produto],0)),"Não")</f>
        <v>Sim</v>
      </c>
      <c r="O513" t="str">
        <f>IFERROR(INDEX(tEditais[SRP],MATCH(tItens[[#This Row],[Edital]],tEditais[Edital],0)),"Não")</f>
        <v>Não</v>
      </c>
      <c r="P513" s="4">
        <f>IF(COUNTIFS(INDEX(tItens[Edital],1):tItens[[#This Row],[Edital]],tItens[[#This Row],[Edital]],INDEX(tItens[Produto],1):tItens[[#This Row],[Produto]],tItens[[#This Row],[Produto]])=1,1,0)</f>
        <v>1</v>
      </c>
    </row>
    <row r="514" spans="1:16" x14ac:dyDescent="0.25">
      <c r="A514" t="s">
        <v>848</v>
      </c>
      <c r="B514">
        <v>1145428</v>
      </c>
      <c r="C514" t="s">
        <v>3727</v>
      </c>
      <c r="D514" t="s">
        <v>265</v>
      </c>
      <c r="E514" s="13">
        <v>1000</v>
      </c>
      <c r="F514" s="12">
        <v>0.13</v>
      </c>
      <c r="G514" t="str">
        <f>IFERROR(INDEX(tEditais[Órgão],MATCH(tItens[[#This Row],[Edital]],tEditais[Edital],0)),"")</f>
        <v>UNIVERSIDADE ESTADUAL DE FEIRA DE SANTANA</v>
      </c>
      <c r="H514" t="str">
        <f>IFERROR(INDEX(tEditais[UF],MATCH(tItens[[#This Row],[Edital]],tEditais[Edital],0)),"")</f>
        <v>BA</v>
      </c>
      <c r="I514" s="11">
        <f>IFERROR(INDEX(tEditais[Encerramento],MATCH(tItens[[#This Row],[Edital]],tEditais[Edital],0)),"")</f>
        <v>46308.375</v>
      </c>
      <c r="J514" t="str">
        <f>IFERROR(INDEX(tProdutos[Classe],MATCH(tItens[[#This Row],[Produto]],tProdutos[Produto],0)),"produto não cadastrado")</f>
        <v>DISPUTADO</v>
      </c>
      <c r="K514" s="12">
        <f>tItens[[#This Row],[Qtd]]*tItens[[#This Row],[Vlr unit]]</f>
        <v>130</v>
      </c>
      <c r="L514" s="6">
        <f>IFERROR(IF(INDEX(tProdutos[Desconto homologado],MATCH(tItens[[#This Row],[Produto]],tProdutos[Produto],0))="",DescontoPadrao,INDEX(tProdutos[Desconto homologado],MATCH(tItens[[#This Row],[Produto]],tProdutos[Produto],0))),DescontoPadrao)</f>
        <v>0.377587663709337</v>
      </c>
      <c r="M514" s="12">
        <f>tItens[[#This Row],[Valor]]*(1-tItens[[#This Row],[Desconto]])</f>
        <v>80.913603717786202</v>
      </c>
      <c r="N514" t="str">
        <f>IFERROR(INDEX(tProdutos[Foco],MATCH(tItens[[#This Row],[Produto]],tProdutos[Produto],0)),"Não")</f>
        <v>Não</v>
      </c>
      <c r="O514" t="str">
        <f>IFERROR(INDEX(tEditais[SRP],MATCH(tItens[[#This Row],[Edital]],tEditais[Edital],0)),"Não")</f>
        <v>Não</v>
      </c>
      <c r="P514" s="4">
        <f>IF(COUNTIFS(INDEX(tItens[Edital],1):tItens[[#This Row],[Edital]],tItens[[#This Row],[Edital]],INDEX(tItens[Produto],1):tItens[[#This Row],[Produto]],tItens[[#This Row],[Produto]])=1,1,0)</f>
        <v>1</v>
      </c>
    </row>
    <row r="515" spans="1:16" x14ac:dyDescent="0.25">
      <c r="A515" t="s">
        <v>848</v>
      </c>
      <c r="B515">
        <v>1145436</v>
      </c>
      <c r="C515" t="s">
        <v>3728</v>
      </c>
      <c r="D515" t="s">
        <v>275</v>
      </c>
      <c r="E515" s="13">
        <v>500</v>
      </c>
      <c r="F515" s="12">
        <v>0.28000000000000003</v>
      </c>
      <c r="G515" t="str">
        <f>IFERROR(INDEX(tEditais[Órgão],MATCH(tItens[[#This Row],[Edital]],tEditais[Edital],0)),"")</f>
        <v>UNIVERSIDADE ESTADUAL DE FEIRA DE SANTANA</v>
      </c>
      <c r="H515" t="str">
        <f>IFERROR(INDEX(tEditais[UF],MATCH(tItens[[#This Row],[Edital]],tEditais[Edital],0)),"")</f>
        <v>BA</v>
      </c>
      <c r="I515" s="11">
        <f>IFERROR(INDEX(tEditais[Encerramento],MATCH(tItens[[#This Row],[Edital]],tEditais[Edital],0)),"")</f>
        <v>46308.375</v>
      </c>
      <c r="J515" t="str">
        <f>IFERROR(INDEX(tProdutos[Classe],MATCH(tItens[[#This Row],[Produto]],tProdutos[Produto],0)),"produto não cadastrado")</f>
        <v>FORA</v>
      </c>
      <c r="K515" s="12">
        <f>tItens[[#This Row],[Qtd]]*tItens[[#This Row],[Vlr unit]]</f>
        <v>140</v>
      </c>
      <c r="L515" s="6">
        <f>IFERROR(IF(INDEX(tProdutos[Desconto homologado],MATCH(tItens[[#This Row],[Produto]],tProdutos[Produto],0))="",DescontoPadrao,INDEX(tProdutos[Desconto homologado],MATCH(tItens[[#This Row],[Produto]],tProdutos[Produto],0))),DescontoPadrao)</f>
        <v>0.405797101449275</v>
      </c>
      <c r="M515" s="12">
        <f>tItens[[#This Row],[Valor]]*(1-tItens[[#This Row],[Desconto]])</f>
        <v>83.18840579710151</v>
      </c>
      <c r="N515" t="str">
        <f>IFERROR(INDEX(tProdutos[Foco],MATCH(tItens[[#This Row],[Produto]],tProdutos[Produto],0)),"Não")</f>
        <v>Não</v>
      </c>
      <c r="O515" t="str">
        <f>IFERROR(INDEX(tEditais[SRP],MATCH(tItens[[#This Row],[Edital]],tEditais[Edital],0)),"Não")</f>
        <v>Não</v>
      </c>
      <c r="P515" s="4">
        <f>IF(COUNTIFS(INDEX(tItens[Edital],1):tItens[[#This Row],[Edital]],tItens[[#This Row],[Edital]],INDEX(tItens[Produto],1):tItens[[#This Row],[Produto]],tItens[[#This Row],[Produto]])=1,1,0)</f>
        <v>1</v>
      </c>
    </row>
    <row r="516" spans="1:16" x14ac:dyDescent="0.25">
      <c r="A516" t="s">
        <v>848</v>
      </c>
      <c r="B516">
        <v>1145827</v>
      </c>
      <c r="C516" t="s">
        <v>3729</v>
      </c>
      <c r="D516" t="s">
        <v>315</v>
      </c>
      <c r="E516" s="13">
        <v>500</v>
      </c>
      <c r="F516" s="12">
        <v>0.22</v>
      </c>
      <c r="G516" t="str">
        <f>IFERROR(INDEX(tEditais[Órgão],MATCH(tItens[[#This Row],[Edital]],tEditais[Edital],0)),"")</f>
        <v>UNIVERSIDADE ESTADUAL DE FEIRA DE SANTANA</v>
      </c>
      <c r="H516" t="str">
        <f>IFERROR(INDEX(tEditais[UF],MATCH(tItens[[#This Row],[Edital]],tEditais[Edital],0)),"")</f>
        <v>BA</v>
      </c>
      <c r="I516" s="11">
        <f>IFERROR(INDEX(tEditais[Encerramento],MATCH(tItens[[#This Row],[Edital]],tEditais[Edital],0)),"")</f>
        <v>46308.375</v>
      </c>
      <c r="J516" t="str">
        <f>IFERROR(INDEX(tProdutos[Classe],MATCH(tItens[[#This Row],[Produto]],tProdutos[Produto],0)),"produto não cadastrado")</f>
        <v>FORA</v>
      </c>
      <c r="K516" s="12">
        <f>tItens[[#This Row],[Qtd]]*tItens[[#This Row],[Vlr unit]]</f>
        <v>110</v>
      </c>
      <c r="L516" s="6">
        <f>IFERROR(IF(INDEX(tProdutos[Desconto homologado],MATCH(tItens[[#This Row],[Produto]],tProdutos[Produto],0))="",DescontoPadrao,INDEX(tProdutos[Desconto homologado],MATCH(tItens[[#This Row],[Produto]],tProdutos[Produto],0))),DescontoPadrao)</f>
        <v>0.38432036097010702</v>
      </c>
      <c r="M516" s="12">
        <f>tItens[[#This Row],[Valor]]*(1-tItens[[#This Row],[Desconto]])</f>
        <v>67.724760293288227</v>
      </c>
      <c r="N516" t="str">
        <f>IFERROR(INDEX(tProdutos[Foco],MATCH(tItens[[#This Row],[Produto]],tProdutos[Produto],0)),"Não")</f>
        <v>Não</v>
      </c>
      <c r="O516" t="str">
        <f>IFERROR(INDEX(tEditais[SRP],MATCH(tItens[[#This Row],[Edital]],tEditais[Edital],0)),"Não")</f>
        <v>Não</v>
      </c>
      <c r="P516" s="4">
        <f>IF(COUNTIFS(INDEX(tItens[Edital],1):tItens[[#This Row],[Edital]],tItens[[#This Row],[Edital]],INDEX(tItens[Produto],1):tItens[[#This Row],[Produto]],tItens[[#This Row],[Produto]])=1,1,0)</f>
        <v>1</v>
      </c>
    </row>
    <row r="517" spans="1:16" x14ac:dyDescent="0.25">
      <c r="A517" t="s">
        <v>848</v>
      </c>
      <c r="B517">
        <v>1145843</v>
      </c>
      <c r="C517" t="s">
        <v>3730</v>
      </c>
      <c r="D517" t="s">
        <v>315</v>
      </c>
      <c r="E517" s="13">
        <v>1000</v>
      </c>
      <c r="F517" s="12">
        <v>0.25</v>
      </c>
      <c r="G517" t="str">
        <f>IFERROR(INDEX(tEditais[Órgão],MATCH(tItens[[#This Row],[Edital]],tEditais[Edital],0)),"")</f>
        <v>UNIVERSIDADE ESTADUAL DE FEIRA DE SANTANA</v>
      </c>
      <c r="H517" t="str">
        <f>IFERROR(INDEX(tEditais[UF],MATCH(tItens[[#This Row],[Edital]],tEditais[Edital],0)),"")</f>
        <v>BA</v>
      </c>
      <c r="I517" s="11">
        <f>IFERROR(INDEX(tEditais[Encerramento],MATCH(tItens[[#This Row],[Edital]],tEditais[Edital],0)),"")</f>
        <v>46308.375</v>
      </c>
      <c r="J517" t="str">
        <f>IFERROR(INDEX(tProdutos[Classe],MATCH(tItens[[#This Row],[Produto]],tProdutos[Produto],0)),"produto não cadastrado")</f>
        <v>FORA</v>
      </c>
      <c r="K517" s="12">
        <f>tItens[[#This Row],[Qtd]]*tItens[[#This Row],[Vlr unit]]</f>
        <v>250</v>
      </c>
      <c r="L517" s="6">
        <f>IFERROR(IF(INDEX(tProdutos[Desconto homologado],MATCH(tItens[[#This Row],[Produto]],tProdutos[Produto],0))="",DescontoPadrao,INDEX(tProdutos[Desconto homologado],MATCH(tItens[[#This Row],[Produto]],tProdutos[Produto],0))),DescontoPadrao)</f>
        <v>0.38432036097010702</v>
      </c>
      <c r="M517" s="12">
        <f>tItens[[#This Row],[Valor]]*(1-tItens[[#This Row],[Desconto]])</f>
        <v>153.91990975747325</v>
      </c>
      <c r="N517" t="str">
        <f>IFERROR(INDEX(tProdutos[Foco],MATCH(tItens[[#This Row],[Produto]],tProdutos[Produto],0)),"Não")</f>
        <v>Não</v>
      </c>
      <c r="O517" t="str">
        <f>IFERROR(INDEX(tEditais[SRP],MATCH(tItens[[#This Row],[Edital]],tEditais[Edital],0)),"Não")</f>
        <v>Não</v>
      </c>
      <c r="P517" s="4">
        <f>IF(COUNTIFS(INDEX(tItens[Edital],1):tItens[[#This Row],[Edital]],tItens[[#This Row],[Edital]],INDEX(tItens[Produto],1):tItens[[#This Row],[Produto]],tItens[[#This Row],[Produto]])=1,1,0)</f>
        <v>0</v>
      </c>
    </row>
    <row r="518" spans="1:16" x14ac:dyDescent="0.25">
      <c r="A518" t="s">
        <v>848</v>
      </c>
      <c r="B518">
        <v>1147145</v>
      </c>
      <c r="C518" t="s">
        <v>3731</v>
      </c>
      <c r="D518" t="s">
        <v>315</v>
      </c>
      <c r="E518" s="13">
        <v>300</v>
      </c>
      <c r="F518" s="12">
        <v>0.2</v>
      </c>
      <c r="G518" t="str">
        <f>IFERROR(INDEX(tEditais[Órgão],MATCH(tItens[[#This Row],[Edital]],tEditais[Edital],0)),"")</f>
        <v>UNIVERSIDADE ESTADUAL DE FEIRA DE SANTANA</v>
      </c>
      <c r="H518" t="str">
        <f>IFERROR(INDEX(tEditais[UF],MATCH(tItens[[#This Row],[Edital]],tEditais[Edital],0)),"")</f>
        <v>BA</v>
      </c>
      <c r="I518" s="11">
        <f>IFERROR(INDEX(tEditais[Encerramento],MATCH(tItens[[#This Row],[Edital]],tEditais[Edital],0)),"")</f>
        <v>46308.375</v>
      </c>
      <c r="J518" t="str">
        <f>IFERROR(INDEX(tProdutos[Classe],MATCH(tItens[[#This Row],[Produto]],tProdutos[Produto],0)),"produto não cadastrado")</f>
        <v>FORA</v>
      </c>
      <c r="K518" s="12">
        <f>tItens[[#This Row],[Qtd]]*tItens[[#This Row],[Vlr unit]]</f>
        <v>60</v>
      </c>
      <c r="L518" s="6">
        <f>IFERROR(IF(INDEX(tProdutos[Desconto homologado],MATCH(tItens[[#This Row],[Produto]],tProdutos[Produto],0))="",DescontoPadrao,INDEX(tProdutos[Desconto homologado],MATCH(tItens[[#This Row],[Produto]],tProdutos[Produto],0))),DescontoPadrao)</f>
        <v>0.38432036097010702</v>
      </c>
      <c r="M518" s="12">
        <f>tItens[[#This Row],[Valor]]*(1-tItens[[#This Row],[Desconto]])</f>
        <v>36.940778341793582</v>
      </c>
      <c r="N518" t="str">
        <f>IFERROR(INDEX(tProdutos[Foco],MATCH(tItens[[#This Row],[Produto]],tProdutos[Produto],0)),"Não")</f>
        <v>Não</v>
      </c>
      <c r="O518" t="str">
        <f>IFERROR(INDEX(tEditais[SRP],MATCH(tItens[[#This Row],[Edital]],tEditais[Edital],0)),"Não")</f>
        <v>Não</v>
      </c>
      <c r="P518" s="4">
        <f>IF(COUNTIFS(INDEX(tItens[Edital],1):tItens[[#This Row],[Edital]],tItens[[#This Row],[Edital]],INDEX(tItens[Produto],1):tItens[[#This Row],[Produto]],tItens[[#This Row],[Produto]])=1,1,0)</f>
        <v>0</v>
      </c>
    </row>
    <row r="519" spans="1:16" x14ac:dyDescent="0.25">
      <c r="A519" t="s">
        <v>848</v>
      </c>
      <c r="B519">
        <v>1296205</v>
      </c>
      <c r="C519" t="s">
        <v>3732</v>
      </c>
      <c r="D519" t="s">
        <v>90</v>
      </c>
      <c r="E519" s="13">
        <v>6</v>
      </c>
      <c r="F519" s="12">
        <v>16.93</v>
      </c>
      <c r="G519" t="str">
        <f>IFERROR(INDEX(tEditais[Órgão],MATCH(tItens[[#This Row],[Edital]],tEditais[Edital],0)),"")</f>
        <v>UNIVERSIDADE ESTADUAL DE FEIRA DE SANTANA</v>
      </c>
      <c r="H519" t="str">
        <f>IFERROR(INDEX(tEditais[UF],MATCH(tItens[[#This Row],[Edital]],tEditais[Edital],0)),"")</f>
        <v>BA</v>
      </c>
      <c r="I519" s="11">
        <f>IFERROR(INDEX(tEditais[Encerramento],MATCH(tItens[[#This Row],[Edital]],tEditais[Edital],0)),"")</f>
        <v>46308.375</v>
      </c>
      <c r="J519" t="str">
        <f>IFERROR(INDEX(tProdutos[Classe],MATCH(tItens[[#This Row],[Produto]],tProdutos[Produto],0)),"produto não cadastrado")</f>
        <v>DISPUTADO</v>
      </c>
      <c r="K519" s="12">
        <f>tItens[[#This Row],[Qtd]]*tItens[[#This Row],[Vlr unit]]</f>
        <v>101.58</v>
      </c>
      <c r="L519" s="6">
        <f>IFERROR(IF(INDEX(tProdutos[Desconto homologado],MATCH(tItens[[#This Row],[Produto]],tProdutos[Produto],0))="",DescontoPadrao,INDEX(tProdutos[Desconto homologado],MATCH(tItens[[#This Row],[Produto]],tProdutos[Produto],0))),DescontoPadrao)</f>
        <v>0.25393823957010597</v>
      </c>
      <c r="M519" s="12">
        <f>tItens[[#This Row],[Valor]]*(1-tItens[[#This Row],[Desconto]])</f>
        <v>75.784953624468628</v>
      </c>
      <c r="N519" t="str">
        <f>IFERROR(INDEX(tProdutos[Foco],MATCH(tItens[[#This Row],[Produto]],tProdutos[Produto],0)),"Não")</f>
        <v>Não</v>
      </c>
      <c r="O519" t="str">
        <f>IFERROR(INDEX(tEditais[SRP],MATCH(tItens[[#This Row],[Edital]],tEditais[Edital],0)),"Não")</f>
        <v>Não</v>
      </c>
      <c r="P519" s="4">
        <f>IF(COUNTIFS(INDEX(tItens[Edital],1):tItens[[#This Row],[Edital]],tItens[[#This Row],[Edital]],INDEX(tItens[Produto],1):tItens[[#This Row],[Produto]],tItens[[#This Row],[Produto]])=1,1,0)</f>
        <v>0</v>
      </c>
    </row>
    <row r="520" spans="1:16" x14ac:dyDescent="0.25">
      <c r="A520" t="s">
        <v>851</v>
      </c>
      <c r="B520">
        <v>1104497</v>
      </c>
      <c r="C520" t="s">
        <v>3733</v>
      </c>
      <c r="D520" t="s">
        <v>154</v>
      </c>
      <c r="E520" s="13">
        <v>950</v>
      </c>
      <c r="F520" s="12">
        <v>5.81</v>
      </c>
      <c r="G520" t="str">
        <f>IFERROR(INDEX(tEditais[Órgão],MATCH(tItens[[#This Row],[Edital]],tEditais[Edital],0)),"")</f>
        <v>FUNDO ESTADUAL DE SAUDE DO ESTADO DA BAHIA</v>
      </c>
      <c r="H520" t="str">
        <f>IFERROR(INDEX(tEditais[UF],MATCH(tItens[[#This Row],[Edital]],tEditais[Edital],0)),"")</f>
        <v>BA</v>
      </c>
      <c r="I520" s="11">
        <f>IFERROR(INDEX(tEditais[Encerramento],MATCH(tItens[[#This Row],[Edital]],tEditais[Edital],0)),"")</f>
        <v>46308.416666666664</v>
      </c>
      <c r="J520" t="str">
        <f>IFERROR(INDEX(tProdutos[Classe],MATCH(tItens[[#This Row],[Produto]],tProdutos[Produto],0)),"produto não cadastrado")</f>
        <v>DISPUTADO</v>
      </c>
      <c r="K520" s="12">
        <f>tItens[[#This Row],[Qtd]]*tItens[[#This Row],[Vlr unit]]</f>
        <v>5519.5</v>
      </c>
      <c r="L520" s="6">
        <f>IFERROR(IF(INDEX(tProdutos[Desconto homologado],MATCH(tItens[[#This Row],[Produto]],tProdutos[Produto],0))="",DescontoPadrao,INDEX(tProdutos[Desconto homologado],MATCH(tItens[[#This Row],[Produto]],tProdutos[Produto],0))),DescontoPadrao)</f>
        <v>0.48690097134476601</v>
      </c>
      <c r="M520" s="12">
        <f>tItens[[#This Row],[Valor]]*(1-tItens[[#This Row],[Desconto]])</f>
        <v>2832.0500886625637</v>
      </c>
      <c r="N520" t="str">
        <f>IFERROR(INDEX(tProdutos[Foco],MATCH(tItens[[#This Row],[Produto]],tProdutos[Produto],0)),"Não")</f>
        <v>Não</v>
      </c>
      <c r="O520" t="str">
        <f>IFERROR(INDEX(tEditais[SRP],MATCH(tItens[[#This Row],[Edital]],tEditais[Edital],0)),"Não")</f>
        <v>Não</v>
      </c>
      <c r="P520" s="4">
        <f>IF(COUNTIFS(INDEX(tItens[Edital],1):tItens[[#This Row],[Edital]],tItens[[#This Row],[Edital]],INDEX(tItens[Produto],1):tItens[[#This Row],[Produto]],tItens[[#This Row],[Produto]])=1,1,0)</f>
        <v>1</v>
      </c>
    </row>
    <row r="521" spans="1:16" x14ac:dyDescent="0.25">
      <c r="A521" t="s">
        <v>851</v>
      </c>
      <c r="B521">
        <v>1372941</v>
      </c>
      <c r="C521" t="s">
        <v>3734</v>
      </c>
      <c r="D521" t="s">
        <v>461</v>
      </c>
      <c r="E521" s="13">
        <v>4066</v>
      </c>
      <c r="F521" s="12">
        <v>36.159999999999997</v>
      </c>
      <c r="G521" t="str">
        <f>IFERROR(INDEX(tEditais[Órgão],MATCH(tItens[[#This Row],[Edital]],tEditais[Edital],0)),"")</f>
        <v>FUNDO ESTADUAL DE SAUDE DO ESTADO DA BAHIA</v>
      </c>
      <c r="H521" t="str">
        <f>IFERROR(INDEX(tEditais[UF],MATCH(tItens[[#This Row],[Edital]],tEditais[Edital],0)),"")</f>
        <v>BA</v>
      </c>
      <c r="I521" s="11">
        <f>IFERROR(INDEX(tEditais[Encerramento],MATCH(tItens[[#This Row],[Edital]],tEditais[Edital],0)),"")</f>
        <v>46308.416666666664</v>
      </c>
      <c r="J521" t="str">
        <f>IFERROR(INDEX(tProdutos[Classe],MATCH(tItens[[#This Row],[Produto]],tProdutos[Produto],0)),"produto não cadastrado")</f>
        <v>FILA REBASE</v>
      </c>
      <c r="K521" s="12">
        <f>tItens[[#This Row],[Qtd]]*tItens[[#This Row],[Vlr unit]]</f>
        <v>147026.56</v>
      </c>
      <c r="L521" s="6">
        <f>IFERROR(IF(INDEX(tProdutos[Desconto homologado],MATCH(tItens[[#This Row],[Produto]],tProdutos[Produto],0))="",DescontoPadrao,INDEX(tProdutos[Desconto homologado],MATCH(tItens[[#This Row],[Produto]],tProdutos[Produto],0))),DescontoPadrao)</f>
        <v>0.44096385542168698</v>
      </c>
      <c r="M521" s="12">
        <f>tItens[[#This Row],[Valor]]*(1-tItens[[#This Row],[Desconto]])</f>
        <v>82193.161253012004</v>
      </c>
      <c r="N521" t="str">
        <f>IFERROR(INDEX(tProdutos[Foco],MATCH(tItens[[#This Row],[Produto]],tProdutos[Produto],0)),"Não")</f>
        <v>Não</v>
      </c>
      <c r="O521" t="str">
        <f>IFERROR(INDEX(tEditais[SRP],MATCH(tItens[[#This Row],[Edital]],tEditais[Edital],0)),"Não")</f>
        <v>Não</v>
      </c>
      <c r="P521" s="4">
        <f>IF(COUNTIFS(INDEX(tItens[Edital],1):tItens[[#This Row],[Edital]],tItens[[#This Row],[Edital]],INDEX(tItens[Produto],1):tItens[[#This Row],[Produto]],tItens[[#This Row],[Produto]])=1,1,0)</f>
        <v>1</v>
      </c>
    </row>
    <row r="522" spans="1:16" x14ac:dyDescent="0.25">
      <c r="A522" t="s">
        <v>851</v>
      </c>
      <c r="B522">
        <v>1372942</v>
      </c>
      <c r="C522" t="s">
        <v>3734</v>
      </c>
      <c r="D522" t="s">
        <v>461</v>
      </c>
      <c r="E522" s="13">
        <v>1284</v>
      </c>
      <c r="F522" s="12">
        <v>36.159999999999997</v>
      </c>
      <c r="G522" t="str">
        <f>IFERROR(INDEX(tEditais[Órgão],MATCH(tItens[[#This Row],[Edital]],tEditais[Edital],0)),"")</f>
        <v>FUNDO ESTADUAL DE SAUDE DO ESTADO DA BAHIA</v>
      </c>
      <c r="H522" t="str">
        <f>IFERROR(INDEX(tEditais[UF],MATCH(tItens[[#This Row],[Edital]],tEditais[Edital],0)),"")</f>
        <v>BA</v>
      </c>
      <c r="I522" s="11">
        <f>IFERROR(INDEX(tEditais[Encerramento],MATCH(tItens[[#This Row],[Edital]],tEditais[Edital],0)),"")</f>
        <v>46308.416666666664</v>
      </c>
      <c r="J522" t="str">
        <f>IFERROR(INDEX(tProdutos[Classe],MATCH(tItens[[#This Row],[Produto]],tProdutos[Produto],0)),"produto não cadastrado")</f>
        <v>FILA REBASE</v>
      </c>
      <c r="K522" s="12">
        <f>tItens[[#This Row],[Qtd]]*tItens[[#This Row],[Vlr unit]]</f>
        <v>46429.439999999995</v>
      </c>
      <c r="L522" s="6">
        <f>IFERROR(IF(INDEX(tProdutos[Desconto homologado],MATCH(tItens[[#This Row],[Produto]],tProdutos[Produto],0))="",DescontoPadrao,INDEX(tProdutos[Desconto homologado],MATCH(tItens[[#This Row],[Produto]],tProdutos[Produto],0))),DescontoPadrao)</f>
        <v>0.44096385542168698</v>
      </c>
      <c r="M522" s="12">
        <f>tItens[[#This Row],[Valor]]*(1-tItens[[#This Row],[Desconto]])</f>
        <v>25955.735132530106</v>
      </c>
      <c r="N522" t="str">
        <f>IFERROR(INDEX(tProdutos[Foco],MATCH(tItens[[#This Row],[Produto]],tProdutos[Produto],0)),"Não")</f>
        <v>Não</v>
      </c>
      <c r="O522" t="str">
        <f>IFERROR(INDEX(tEditais[SRP],MATCH(tItens[[#This Row],[Edital]],tEditais[Edital],0)),"Não")</f>
        <v>Não</v>
      </c>
      <c r="P522" s="4">
        <f>IF(COUNTIFS(INDEX(tItens[Edital],1):tItens[[#This Row],[Edital]],tItens[[#This Row],[Edital]],INDEX(tItens[Produto],1):tItens[[#This Row],[Produto]],tItens[[#This Row],[Produto]])=1,1,0)</f>
        <v>0</v>
      </c>
    </row>
    <row r="523" spans="1:16" x14ac:dyDescent="0.25">
      <c r="A523" t="s">
        <v>852</v>
      </c>
      <c r="B523">
        <v>2</v>
      </c>
      <c r="C523" t="s">
        <v>3735</v>
      </c>
      <c r="D523" t="s">
        <v>297</v>
      </c>
      <c r="E523" s="13">
        <v>5000</v>
      </c>
      <c r="F523" s="12">
        <v>9.98</v>
      </c>
      <c r="G523" t="str">
        <f>IFERROR(INDEX(tEditais[Órgão],MATCH(tItens[[#This Row],[Edital]],tEditais[Edital],0)),"")</f>
        <v>MUNICIPIO DE SAPEACU</v>
      </c>
      <c r="H523" t="str">
        <f>IFERROR(INDEX(tEditais[UF],MATCH(tItens[[#This Row],[Edital]],tEditais[Edital],0)),"")</f>
        <v>BA</v>
      </c>
      <c r="I523" s="11">
        <f>IFERROR(INDEX(tEditais[Encerramento],MATCH(tItens[[#This Row],[Edital]],tEditais[Edital],0)),"")</f>
        <v>46308.416666666664</v>
      </c>
      <c r="J523" t="str">
        <f>IFERROR(INDEX(tProdutos[Classe],MATCH(tItens[[#This Row],[Produto]],tProdutos[Produto],0)),"produto não cadastrado")</f>
        <v>FORA</v>
      </c>
      <c r="K523" s="12">
        <f>tItens[[#This Row],[Qtd]]*tItens[[#This Row],[Vlr unit]]</f>
        <v>49900</v>
      </c>
      <c r="L523" s="6">
        <f>IFERROR(IF(INDEX(tProdutos[Desconto homologado],MATCH(tItens[[#This Row],[Produto]],tProdutos[Produto],0))="",DescontoPadrao,INDEX(tProdutos[Desconto homologado],MATCH(tItens[[#This Row],[Produto]],tProdutos[Produto],0))),DescontoPadrao)</f>
        <v>0.249544626593807</v>
      </c>
      <c r="M523" s="12">
        <f>tItens[[#This Row],[Valor]]*(1-tItens[[#This Row],[Desconto]])</f>
        <v>37447.723132969026</v>
      </c>
      <c r="N523" t="str">
        <f>IFERROR(INDEX(tProdutos[Foco],MATCH(tItens[[#This Row],[Produto]],tProdutos[Produto],0)),"Não")</f>
        <v>Não</v>
      </c>
      <c r="O523" t="str">
        <f>IFERROR(INDEX(tEditais[SRP],MATCH(tItens[[#This Row],[Edital]],tEditais[Edital],0)),"Não")</f>
        <v>Não</v>
      </c>
      <c r="P523" s="4">
        <f>IF(COUNTIFS(INDEX(tItens[Edital],1):tItens[[#This Row],[Edital]],tItens[[#This Row],[Edital]],INDEX(tItens[Produto],1):tItens[[#This Row],[Produto]],tItens[[#This Row],[Produto]])=1,1,0)</f>
        <v>1</v>
      </c>
    </row>
    <row r="524" spans="1:16" x14ac:dyDescent="0.25">
      <c r="A524" t="s">
        <v>852</v>
      </c>
      <c r="B524">
        <v>3</v>
      </c>
      <c r="C524" t="s">
        <v>3736</v>
      </c>
      <c r="D524" t="s">
        <v>297</v>
      </c>
      <c r="E524" s="13">
        <v>5000</v>
      </c>
      <c r="F524" s="12">
        <v>9.98</v>
      </c>
      <c r="G524" t="str">
        <f>IFERROR(INDEX(tEditais[Órgão],MATCH(tItens[[#This Row],[Edital]],tEditais[Edital],0)),"")</f>
        <v>MUNICIPIO DE SAPEACU</v>
      </c>
      <c r="H524" t="str">
        <f>IFERROR(INDEX(tEditais[UF],MATCH(tItens[[#This Row],[Edital]],tEditais[Edital],0)),"")</f>
        <v>BA</v>
      </c>
      <c r="I524" s="11">
        <f>IFERROR(INDEX(tEditais[Encerramento],MATCH(tItens[[#This Row],[Edital]],tEditais[Edital],0)),"")</f>
        <v>46308.416666666664</v>
      </c>
      <c r="J524" t="str">
        <f>IFERROR(INDEX(tProdutos[Classe],MATCH(tItens[[#This Row],[Produto]],tProdutos[Produto],0)),"produto não cadastrado")</f>
        <v>FORA</v>
      </c>
      <c r="K524" s="12">
        <f>tItens[[#This Row],[Qtd]]*tItens[[#This Row],[Vlr unit]]</f>
        <v>49900</v>
      </c>
      <c r="L524" s="6">
        <f>IFERROR(IF(INDEX(tProdutos[Desconto homologado],MATCH(tItens[[#This Row],[Produto]],tProdutos[Produto],0))="",DescontoPadrao,INDEX(tProdutos[Desconto homologado],MATCH(tItens[[#This Row],[Produto]],tProdutos[Produto],0))),DescontoPadrao)</f>
        <v>0.249544626593807</v>
      </c>
      <c r="M524" s="12">
        <f>tItens[[#This Row],[Valor]]*(1-tItens[[#This Row],[Desconto]])</f>
        <v>37447.723132969026</v>
      </c>
      <c r="N524" t="str">
        <f>IFERROR(INDEX(tProdutos[Foco],MATCH(tItens[[#This Row],[Produto]],tProdutos[Produto],0)),"Não")</f>
        <v>Não</v>
      </c>
      <c r="O524" t="str">
        <f>IFERROR(INDEX(tEditais[SRP],MATCH(tItens[[#This Row],[Edital]],tEditais[Edital],0)),"Não")</f>
        <v>Não</v>
      </c>
      <c r="P524" s="4">
        <f>IF(COUNTIFS(INDEX(tItens[Edital],1):tItens[[#This Row],[Edital]],tItens[[#This Row],[Edital]],INDEX(tItens[Produto],1):tItens[[#This Row],[Produto]],tItens[[#This Row],[Produto]])=1,1,0)</f>
        <v>0</v>
      </c>
    </row>
    <row r="525" spans="1:16" x14ac:dyDescent="0.25">
      <c r="A525" t="s">
        <v>852</v>
      </c>
      <c r="B525">
        <v>10</v>
      </c>
      <c r="C525" t="s">
        <v>3737</v>
      </c>
      <c r="D525" t="s">
        <v>351</v>
      </c>
      <c r="E525" s="13">
        <v>18000</v>
      </c>
      <c r="F525" s="12">
        <v>5.68</v>
      </c>
      <c r="G525" t="str">
        <f>IFERROR(INDEX(tEditais[Órgão],MATCH(tItens[[#This Row],[Edital]],tEditais[Edital],0)),"")</f>
        <v>MUNICIPIO DE SAPEACU</v>
      </c>
      <c r="H525" t="str">
        <f>IFERROR(INDEX(tEditais[UF],MATCH(tItens[[#This Row],[Edital]],tEditais[Edital],0)),"")</f>
        <v>BA</v>
      </c>
      <c r="I525" s="11">
        <f>IFERROR(INDEX(tEditais[Encerramento],MATCH(tItens[[#This Row],[Edital]],tEditais[Edital],0)),"")</f>
        <v>46308.416666666664</v>
      </c>
      <c r="J525" t="str">
        <f>IFERROR(INDEX(tProdutos[Classe],MATCH(tItens[[#This Row],[Produto]],tProdutos[Produto],0)),"produto não cadastrado")</f>
        <v>FORA</v>
      </c>
      <c r="K525" s="12">
        <f>tItens[[#This Row],[Qtd]]*tItens[[#This Row],[Vlr unit]]</f>
        <v>102240</v>
      </c>
      <c r="L525" s="6">
        <f>IFERROR(IF(INDEX(tProdutos[Desconto homologado],MATCH(tItens[[#This Row],[Produto]],tProdutos[Produto],0))="",DescontoPadrao,INDEX(tProdutos[Desconto homologado],MATCH(tItens[[#This Row],[Produto]],tProdutos[Produto],0))),DescontoPadrao)</f>
        <v>0.33518005540166201</v>
      </c>
      <c r="M525" s="12">
        <f>tItens[[#This Row],[Valor]]*(1-tItens[[#This Row],[Desconto]])</f>
        <v>67971.191135734087</v>
      </c>
      <c r="N525" t="str">
        <f>IFERROR(INDEX(tProdutos[Foco],MATCH(tItens[[#This Row],[Produto]],tProdutos[Produto],0)),"Não")</f>
        <v>Não</v>
      </c>
      <c r="O525" t="str">
        <f>IFERROR(INDEX(tEditais[SRP],MATCH(tItens[[#This Row],[Edital]],tEditais[Edital],0)),"Não")</f>
        <v>Não</v>
      </c>
      <c r="P525" s="4">
        <f>IF(COUNTIFS(INDEX(tItens[Edital],1):tItens[[#This Row],[Edital]],tItens[[#This Row],[Edital]],INDEX(tItens[Produto],1):tItens[[#This Row],[Produto]],tItens[[#This Row],[Produto]])=1,1,0)</f>
        <v>1</v>
      </c>
    </row>
    <row r="526" spans="1:16" x14ac:dyDescent="0.25">
      <c r="A526" t="s">
        <v>852</v>
      </c>
      <c r="B526">
        <v>11</v>
      </c>
      <c r="C526" t="s">
        <v>3738</v>
      </c>
      <c r="D526" t="s">
        <v>351</v>
      </c>
      <c r="E526" s="13">
        <v>20000</v>
      </c>
      <c r="F526" s="12">
        <v>7.05</v>
      </c>
      <c r="G526" t="str">
        <f>IFERROR(INDEX(tEditais[Órgão],MATCH(tItens[[#This Row],[Edital]],tEditais[Edital],0)),"")</f>
        <v>MUNICIPIO DE SAPEACU</v>
      </c>
      <c r="H526" t="str">
        <f>IFERROR(INDEX(tEditais[UF],MATCH(tItens[[#This Row],[Edital]],tEditais[Edital],0)),"")</f>
        <v>BA</v>
      </c>
      <c r="I526" s="11">
        <f>IFERROR(INDEX(tEditais[Encerramento],MATCH(tItens[[#This Row],[Edital]],tEditais[Edital],0)),"")</f>
        <v>46308.416666666664</v>
      </c>
      <c r="J526" t="str">
        <f>IFERROR(INDEX(tProdutos[Classe],MATCH(tItens[[#This Row],[Produto]],tProdutos[Produto],0)),"produto não cadastrado")</f>
        <v>FORA</v>
      </c>
      <c r="K526" s="12">
        <f>tItens[[#This Row],[Qtd]]*tItens[[#This Row],[Vlr unit]]</f>
        <v>141000</v>
      </c>
      <c r="L526" s="6">
        <f>IFERROR(IF(INDEX(tProdutos[Desconto homologado],MATCH(tItens[[#This Row],[Produto]],tProdutos[Produto],0))="",DescontoPadrao,INDEX(tProdutos[Desconto homologado],MATCH(tItens[[#This Row],[Produto]],tProdutos[Produto],0))),DescontoPadrao)</f>
        <v>0.33518005540166201</v>
      </c>
      <c r="M526" s="12">
        <f>tItens[[#This Row],[Valor]]*(1-tItens[[#This Row],[Desconto]])</f>
        <v>93739.61218836566</v>
      </c>
      <c r="N526" t="str">
        <f>IFERROR(INDEX(tProdutos[Foco],MATCH(tItens[[#This Row],[Produto]],tProdutos[Produto],0)),"Não")</f>
        <v>Não</v>
      </c>
      <c r="O526" t="str">
        <f>IFERROR(INDEX(tEditais[SRP],MATCH(tItens[[#This Row],[Edital]],tEditais[Edital],0)),"Não")</f>
        <v>Não</v>
      </c>
      <c r="P526" s="4">
        <f>IF(COUNTIFS(INDEX(tItens[Edital],1):tItens[[#This Row],[Edital]],tItens[[#This Row],[Edital]],INDEX(tItens[Produto],1):tItens[[#This Row],[Produto]],tItens[[#This Row],[Produto]])=1,1,0)</f>
        <v>0</v>
      </c>
    </row>
    <row r="527" spans="1:16" x14ac:dyDescent="0.25">
      <c r="A527" t="s">
        <v>852</v>
      </c>
      <c r="B527">
        <v>12</v>
      </c>
      <c r="C527" t="s">
        <v>3739</v>
      </c>
      <c r="D527" t="s">
        <v>351</v>
      </c>
      <c r="E527" s="13">
        <v>10000</v>
      </c>
      <c r="F527" s="12">
        <v>8.15</v>
      </c>
      <c r="G527" t="str">
        <f>IFERROR(INDEX(tEditais[Órgão],MATCH(tItens[[#This Row],[Edital]],tEditais[Edital],0)),"")</f>
        <v>MUNICIPIO DE SAPEACU</v>
      </c>
      <c r="H527" t="str">
        <f>IFERROR(INDEX(tEditais[UF],MATCH(tItens[[#This Row],[Edital]],tEditais[Edital],0)),"")</f>
        <v>BA</v>
      </c>
      <c r="I527" s="11">
        <f>IFERROR(INDEX(tEditais[Encerramento],MATCH(tItens[[#This Row],[Edital]],tEditais[Edital],0)),"")</f>
        <v>46308.416666666664</v>
      </c>
      <c r="J527" t="str">
        <f>IFERROR(INDEX(tProdutos[Classe],MATCH(tItens[[#This Row],[Produto]],tProdutos[Produto],0)),"produto não cadastrado")</f>
        <v>FORA</v>
      </c>
      <c r="K527" s="12">
        <f>tItens[[#This Row],[Qtd]]*tItens[[#This Row],[Vlr unit]]</f>
        <v>81500</v>
      </c>
      <c r="L527" s="6">
        <f>IFERROR(IF(INDEX(tProdutos[Desconto homologado],MATCH(tItens[[#This Row],[Produto]],tProdutos[Produto],0))="",DescontoPadrao,INDEX(tProdutos[Desconto homologado],MATCH(tItens[[#This Row],[Produto]],tProdutos[Produto],0))),DescontoPadrao)</f>
        <v>0.33518005540166201</v>
      </c>
      <c r="M527" s="12">
        <f>tItens[[#This Row],[Valor]]*(1-tItens[[#This Row],[Desconto]])</f>
        <v>54182.825484764551</v>
      </c>
      <c r="N527" t="str">
        <f>IFERROR(INDEX(tProdutos[Foco],MATCH(tItens[[#This Row],[Produto]],tProdutos[Produto],0)),"Não")</f>
        <v>Não</v>
      </c>
      <c r="O527" t="str">
        <f>IFERROR(INDEX(tEditais[SRP],MATCH(tItens[[#This Row],[Edital]],tEditais[Edital],0)),"Não")</f>
        <v>Não</v>
      </c>
      <c r="P527" s="4">
        <f>IF(COUNTIFS(INDEX(tItens[Edital],1):tItens[[#This Row],[Edital]],tItens[[#This Row],[Edital]],INDEX(tItens[Produto],1):tItens[[#This Row],[Produto]],tItens[[#This Row],[Produto]])=1,1,0)</f>
        <v>0</v>
      </c>
    </row>
    <row r="528" spans="1:16" x14ac:dyDescent="0.25">
      <c r="A528" t="s">
        <v>852</v>
      </c>
      <c r="B528">
        <v>19</v>
      </c>
      <c r="C528" t="s">
        <v>3740</v>
      </c>
      <c r="D528" t="s">
        <v>73</v>
      </c>
      <c r="E528" s="13">
        <v>400</v>
      </c>
      <c r="F528" s="12">
        <v>5.8</v>
      </c>
      <c r="G528" t="str">
        <f>IFERROR(INDEX(tEditais[Órgão],MATCH(tItens[[#This Row],[Edital]],tEditais[Edital],0)),"")</f>
        <v>MUNICIPIO DE SAPEACU</v>
      </c>
      <c r="H528" t="str">
        <f>IFERROR(INDEX(tEditais[UF],MATCH(tItens[[#This Row],[Edital]],tEditais[Edital],0)),"")</f>
        <v>BA</v>
      </c>
      <c r="I528" s="11">
        <f>IFERROR(INDEX(tEditais[Encerramento],MATCH(tItens[[#This Row],[Edital]],tEditais[Edital],0)),"")</f>
        <v>46308.416666666664</v>
      </c>
      <c r="J528" t="str">
        <f>IFERROR(INDEX(tProdutos[Classe],MATCH(tItens[[#This Row],[Produto]],tProdutos[Produto],0)),"produto não cadastrado")</f>
        <v>NÚCLEO</v>
      </c>
      <c r="K528" s="12">
        <f>tItens[[#This Row],[Qtd]]*tItens[[#This Row],[Vlr unit]]</f>
        <v>2320</v>
      </c>
      <c r="L528" s="6">
        <f>IFERROR(IF(INDEX(tProdutos[Desconto homologado],MATCH(tItens[[#This Row],[Produto]],tProdutos[Produto],0))="",DescontoPadrao,INDEX(tProdutos[Desconto homologado],MATCH(tItens[[#This Row],[Produto]],tProdutos[Produto],0))),DescontoPadrao)</f>
        <v>0.37</v>
      </c>
      <c r="M528" s="12">
        <f>tItens[[#This Row],[Valor]]*(1-tItens[[#This Row],[Desconto]])</f>
        <v>1461.6</v>
      </c>
      <c r="N528" t="str">
        <f>IFERROR(INDEX(tProdutos[Foco],MATCH(tItens[[#This Row],[Produto]],tProdutos[Produto],0)),"Não")</f>
        <v>Sim</v>
      </c>
      <c r="O528" t="str">
        <f>IFERROR(INDEX(tEditais[SRP],MATCH(tItens[[#This Row],[Edital]],tEditais[Edital],0)),"Não")</f>
        <v>Não</v>
      </c>
      <c r="P528" s="4">
        <f>IF(COUNTIFS(INDEX(tItens[Edital],1):tItens[[#This Row],[Edital]],tItens[[#This Row],[Edital]],INDEX(tItens[Produto],1):tItens[[#This Row],[Produto]],tItens[[#This Row],[Produto]])=1,1,0)</f>
        <v>1</v>
      </c>
    </row>
    <row r="529" spans="1:16" x14ac:dyDescent="0.25">
      <c r="A529" t="s">
        <v>852</v>
      </c>
      <c r="B529">
        <v>21</v>
      </c>
      <c r="C529" t="s">
        <v>3516</v>
      </c>
      <c r="D529" t="s">
        <v>172</v>
      </c>
      <c r="E529" s="13">
        <v>2800</v>
      </c>
      <c r="F529" s="12">
        <v>0.99</v>
      </c>
      <c r="G529" t="str">
        <f>IFERROR(INDEX(tEditais[Órgão],MATCH(tItens[[#This Row],[Edital]],tEditais[Edital],0)),"")</f>
        <v>MUNICIPIO DE SAPEACU</v>
      </c>
      <c r="H529" t="str">
        <f>IFERROR(INDEX(tEditais[UF],MATCH(tItens[[#This Row],[Edital]],tEditais[Edital],0)),"")</f>
        <v>BA</v>
      </c>
      <c r="I529" s="11">
        <f>IFERROR(INDEX(tEditais[Encerramento],MATCH(tItens[[#This Row],[Edital]],tEditais[Edital],0)),"")</f>
        <v>46308.416666666664</v>
      </c>
      <c r="J529" t="str">
        <f>IFERROR(INDEX(tProdutos[Classe],MATCH(tItens[[#This Row],[Produto]],tProdutos[Produto],0)),"produto não cadastrado")</f>
        <v>DISPUTADO</v>
      </c>
      <c r="K529" s="12">
        <f>tItens[[#This Row],[Qtd]]*tItens[[#This Row],[Vlr unit]]</f>
        <v>2772</v>
      </c>
      <c r="L529" s="6">
        <f>IFERROR(IF(INDEX(tProdutos[Desconto homologado],MATCH(tItens[[#This Row],[Produto]],tProdutos[Produto],0))="",DescontoPadrao,INDEX(tProdutos[Desconto homologado],MATCH(tItens[[#This Row],[Produto]],tProdutos[Produto],0))),DescontoPadrao)</f>
        <v>0.33578431372549</v>
      </c>
      <c r="M529" s="12">
        <f>tItens[[#This Row],[Valor]]*(1-tItens[[#This Row],[Desconto]])</f>
        <v>1841.2058823529417</v>
      </c>
      <c r="N529" t="str">
        <f>IFERROR(INDEX(tProdutos[Foco],MATCH(tItens[[#This Row],[Produto]],tProdutos[Produto],0)),"Não")</f>
        <v>Não</v>
      </c>
      <c r="O529" t="str">
        <f>IFERROR(INDEX(tEditais[SRP],MATCH(tItens[[#This Row],[Edital]],tEditais[Edital],0)),"Não")</f>
        <v>Não</v>
      </c>
      <c r="P529" s="4">
        <f>IF(COUNTIFS(INDEX(tItens[Edital],1):tItens[[#This Row],[Edital]],tItens[[#This Row],[Edital]],INDEX(tItens[Produto],1):tItens[[#This Row],[Produto]],tItens[[#This Row],[Produto]])=1,1,0)</f>
        <v>1</v>
      </c>
    </row>
    <row r="530" spans="1:16" x14ac:dyDescent="0.25">
      <c r="A530" t="s">
        <v>852</v>
      </c>
      <c r="B530">
        <v>22</v>
      </c>
      <c r="C530" t="s">
        <v>3741</v>
      </c>
      <c r="D530" t="s">
        <v>80</v>
      </c>
      <c r="E530" s="13">
        <v>2500</v>
      </c>
      <c r="F530" s="12">
        <v>4.45</v>
      </c>
      <c r="G530" t="str">
        <f>IFERROR(INDEX(tEditais[Órgão],MATCH(tItens[[#This Row],[Edital]],tEditais[Edital],0)),"")</f>
        <v>MUNICIPIO DE SAPEACU</v>
      </c>
      <c r="H530" t="str">
        <f>IFERROR(INDEX(tEditais[UF],MATCH(tItens[[#This Row],[Edital]],tEditais[Edital],0)),"")</f>
        <v>BA</v>
      </c>
      <c r="I530" s="11">
        <f>IFERROR(INDEX(tEditais[Encerramento],MATCH(tItens[[#This Row],[Edital]],tEditais[Edital],0)),"")</f>
        <v>46308.416666666664</v>
      </c>
      <c r="J530" t="str">
        <f>IFERROR(INDEX(tProdutos[Classe],MATCH(tItens[[#This Row],[Produto]],tProdutos[Produto],0)),"produto não cadastrado")</f>
        <v>NÚCLEO</v>
      </c>
      <c r="K530" s="12">
        <f>tItens[[#This Row],[Qtd]]*tItens[[#This Row],[Vlr unit]]</f>
        <v>11125</v>
      </c>
      <c r="L530" s="6">
        <f>IFERROR(IF(INDEX(tProdutos[Desconto homologado],MATCH(tItens[[#This Row],[Produto]],tProdutos[Produto],0))="",DescontoPadrao,INDEX(tProdutos[Desconto homologado],MATCH(tItens[[#This Row],[Produto]],tProdutos[Produto],0))),DescontoPadrao)</f>
        <v>0.33</v>
      </c>
      <c r="M530" s="12">
        <f>tItens[[#This Row],[Valor]]*(1-tItens[[#This Row],[Desconto]])</f>
        <v>7453.7499999999991</v>
      </c>
      <c r="N530" t="str">
        <f>IFERROR(INDEX(tProdutos[Foco],MATCH(tItens[[#This Row],[Produto]],tProdutos[Produto],0)),"Não")</f>
        <v>Sim</v>
      </c>
      <c r="O530" t="str">
        <f>IFERROR(INDEX(tEditais[SRP],MATCH(tItens[[#This Row],[Edital]],tEditais[Edital],0)),"Não")</f>
        <v>Não</v>
      </c>
      <c r="P530" s="4">
        <f>IF(COUNTIFS(INDEX(tItens[Edital],1):tItens[[#This Row],[Edital]],tItens[[#This Row],[Edital]],INDEX(tItens[Produto],1):tItens[[#This Row],[Produto]],tItens[[#This Row],[Produto]])=1,1,0)</f>
        <v>1</v>
      </c>
    </row>
    <row r="531" spans="1:16" x14ac:dyDescent="0.25">
      <c r="A531" t="s">
        <v>852</v>
      </c>
      <c r="B531">
        <v>23</v>
      </c>
      <c r="C531" t="s">
        <v>3742</v>
      </c>
      <c r="D531" t="s">
        <v>341</v>
      </c>
      <c r="E531" s="13">
        <v>5000</v>
      </c>
      <c r="F531" s="12">
        <v>34.07</v>
      </c>
      <c r="G531" t="str">
        <f>IFERROR(INDEX(tEditais[Órgão],MATCH(tItens[[#This Row],[Edital]],tEditais[Edital],0)),"")</f>
        <v>MUNICIPIO DE SAPEACU</v>
      </c>
      <c r="H531" t="str">
        <f>IFERROR(INDEX(tEditais[UF],MATCH(tItens[[#This Row],[Edital]],tEditais[Edital],0)),"")</f>
        <v>BA</v>
      </c>
      <c r="I531" s="11">
        <f>IFERROR(INDEX(tEditais[Encerramento],MATCH(tItens[[#This Row],[Edital]],tEditais[Edital],0)),"")</f>
        <v>46308.416666666664</v>
      </c>
      <c r="J531" t="str">
        <f>IFERROR(INDEX(tProdutos[Classe],MATCH(tItens[[#This Row],[Produto]],tProdutos[Produto],0)),"produto não cadastrado")</f>
        <v>FORA</v>
      </c>
      <c r="K531" s="12">
        <f>tItens[[#This Row],[Qtd]]*tItens[[#This Row],[Vlr unit]]</f>
        <v>170350</v>
      </c>
      <c r="L531" s="6">
        <f>IFERROR(IF(INDEX(tProdutos[Desconto homologado],MATCH(tItens[[#This Row],[Produto]],tProdutos[Produto],0))="",DescontoPadrao,INDEX(tProdutos[Desconto homologado],MATCH(tItens[[#This Row],[Produto]],tProdutos[Produto],0))),DescontoPadrao)</f>
        <v>0.46918578497525898</v>
      </c>
      <c r="M531" s="12">
        <f>tItens[[#This Row],[Valor]]*(1-tItens[[#This Row],[Desconto]])</f>
        <v>90424.201529464626</v>
      </c>
      <c r="N531" t="str">
        <f>IFERROR(INDEX(tProdutos[Foco],MATCH(tItens[[#This Row],[Produto]],tProdutos[Produto],0)),"Não")</f>
        <v>Não</v>
      </c>
      <c r="O531" t="str">
        <f>IFERROR(INDEX(tEditais[SRP],MATCH(tItens[[#This Row],[Edital]],tEditais[Edital],0)),"Não")</f>
        <v>Não</v>
      </c>
      <c r="P531" s="4">
        <f>IF(COUNTIFS(INDEX(tItens[Edital],1):tItens[[#This Row],[Edital]],tItens[[#This Row],[Edital]],INDEX(tItens[Produto],1):tItens[[#This Row],[Produto]],tItens[[#This Row],[Produto]])=1,1,0)</f>
        <v>1</v>
      </c>
    </row>
    <row r="532" spans="1:16" x14ac:dyDescent="0.25">
      <c r="A532" t="s">
        <v>852</v>
      </c>
      <c r="B532">
        <v>26</v>
      </c>
      <c r="C532" t="s">
        <v>3743</v>
      </c>
      <c r="D532" t="s">
        <v>209</v>
      </c>
      <c r="E532" s="13">
        <v>3500</v>
      </c>
      <c r="F532" s="12">
        <v>16.440000000000001</v>
      </c>
      <c r="G532" t="str">
        <f>IFERROR(INDEX(tEditais[Órgão],MATCH(tItens[[#This Row],[Edital]],tEditais[Edital],0)),"")</f>
        <v>MUNICIPIO DE SAPEACU</v>
      </c>
      <c r="H532" t="str">
        <f>IFERROR(INDEX(tEditais[UF],MATCH(tItens[[#This Row],[Edital]],tEditais[Edital],0)),"")</f>
        <v>BA</v>
      </c>
      <c r="I532" s="11">
        <f>IFERROR(INDEX(tEditais[Encerramento],MATCH(tItens[[#This Row],[Edital]],tEditais[Edital],0)),"")</f>
        <v>46308.416666666664</v>
      </c>
      <c r="J532" t="str">
        <f>IFERROR(INDEX(tProdutos[Classe],MATCH(tItens[[#This Row],[Produto]],tProdutos[Produto],0)),"produto não cadastrado")</f>
        <v>FORA</v>
      </c>
      <c r="K532" s="12">
        <f>tItens[[#This Row],[Qtd]]*tItens[[#This Row],[Vlr unit]]</f>
        <v>57540.000000000007</v>
      </c>
      <c r="L532" s="6">
        <f>IFERROR(IF(INDEX(tProdutos[Desconto homologado],MATCH(tItens[[#This Row],[Produto]],tProdutos[Produto],0))="",DescontoPadrao,INDEX(tProdutos[Desconto homologado],MATCH(tItens[[#This Row],[Produto]],tProdutos[Produto],0))),DescontoPadrao)</f>
        <v>0.16442507504040599</v>
      </c>
      <c r="M532" s="12">
        <f>tItens[[#This Row],[Valor]]*(1-tItens[[#This Row],[Desconto]])</f>
        <v>48078.981182175048</v>
      </c>
      <c r="N532" t="str">
        <f>IFERROR(INDEX(tProdutos[Foco],MATCH(tItens[[#This Row],[Produto]],tProdutos[Produto],0)),"Não")</f>
        <v>Não</v>
      </c>
      <c r="O532" t="str">
        <f>IFERROR(INDEX(tEditais[SRP],MATCH(tItens[[#This Row],[Edital]],tEditais[Edital],0)),"Não")</f>
        <v>Não</v>
      </c>
      <c r="P532" s="4">
        <f>IF(COUNTIFS(INDEX(tItens[Edital],1):tItens[[#This Row],[Edital]],tItens[[#This Row],[Edital]],INDEX(tItens[Produto],1):tItens[[#This Row],[Produto]],tItens[[#This Row],[Produto]])=1,1,0)</f>
        <v>1</v>
      </c>
    </row>
    <row r="533" spans="1:16" x14ac:dyDescent="0.25">
      <c r="A533" t="s">
        <v>852</v>
      </c>
      <c r="B533">
        <v>33</v>
      </c>
      <c r="C533" t="s">
        <v>3744</v>
      </c>
      <c r="D533" t="s">
        <v>90</v>
      </c>
      <c r="E533" s="13">
        <v>2000</v>
      </c>
      <c r="F533" s="12">
        <v>8.83</v>
      </c>
      <c r="G533" t="str">
        <f>IFERROR(INDEX(tEditais[Órgão],MATCH(tItens[[#This Row],[Edital]],tEditais[Edital],0)),"")</f>
        <v>MUNICIPIO DE SAPEACU</v>
      </c>
      <c r="H533" t="str">
        <f>IFERROR(INDEX(tEditais[UF],MATCH(tItens[[#This Row],[Edital]],tEditais[Edital],0)),"")</f>
        <v>BA</v>
      </c>
      <c r="I533" s="11">
        <f>IFERROR(INDEX(tEditais[Encerramento],MATCH(tItens[[#This Row],[Edital]],tEditais[Edital],0)),"")</f>
        <v>46308.416666666664</v>
      </c>
      <c r="J533" t="str">
        <f>IFERROR(INDEX(tProdutos[Classe],MATCH(tItens[[#This Row],[Produto]],tProdutos[Produto],0)),"produto não cadastrado")</f>
        <v>DISPUTADO</v>
      </c>
      <c r="K533" s="12">
        <f>tItens[[#This Row],[Qtd]]*tItens[[#This Row],[Vlr unit]]</f>
        <v>17660</v>
      </c>
      <c r="L533" s="6">
        <f>IFERROR(IF(INDEX(tProdutos[Desconto homologado],MATCH(tItens[[#This Row],[Produto]],tProdutos[Produto],0))="",DescontoPadrao,INDEX(tProdutos[Desconto homologado],MATCH(tItens[[#This Row],[Produto]],tProdutos[Produto],0))),DescontoPadrao)</f>
        <v>0.25393823957010597</v>
      </c>
      <c r="M533" s="12">
        <f>tItens[[#This Row],[Valor]]*(1-tItens[[#This Row],[Desconto]])</f>
        <v>13175.450689191928</v>
      </c>
      <c r="N533" t="str">
        <f>IFERROR(INDEX(tProdutos[Foco],MATCH(tItens[[#This Row],[Produto]],tProdutos[Produto],0)),"Não")</f>
        <v>Não</v>
      </c>
      <c r="O533" t="str">
        <f>IFERROR(INDEX(tEditais[SRP],MATCH(tItens[[#This Row],[Edital]],tEditais[Edital],0)),"Não")</f>
        <v>Não</v>
      </c>
      <c r="P533" s="4">
        <f>IF(COUNTIFS(INDEX(tItens[Edital],1):tItens[[#This Row],[Edital]],tItens[[#This Row],[Edital]],INDEX(tItens[Produto],1):tItens[[#This Row],[Produto]],tItens[[#This Row],[Produto]])=1,1,0)</f>
        <v>1</v>
      </c>
    </row>
    <row r="534" spans="1:16" x14ac:dyDescent="0.25">
      <c r="A534" t="s">
        <v>852</v>
      </c>
      <c r="B534">
        <v>34</v>
      </c>
      <c r="C534" t="s">
        <v>3745</v>
      </c>
      <c r="D534" t="s">
        <v>233</v>
      </c>
      <c r="E534" s="13">
        <v>800</v>
      </c>
      <c r="F534" s="12">
        <v>10.37</v>
      </c>
      <c r="G534" t="str">
        <f>IFERROR(INDEX(tEditais[Órgão],MATCH(tItens[[#This Row],[Edital]],tEditais[Edital],0)),"")</f>
        <v>MUNICIPIO DE SAPEACU</v>
      </c>
      <c r="H534" t="str">
        <f>IFERROR(INDEX(tEditais[UF],MATCH(tItens[[#This Row],[Edital]],tEditais[Edital],0)),"")</f>
        <v>BA</v>
      </c>
      <c r="I534" s="11">
        <f>IFERROR(INDEX(tEditais[Encerramento],MATCH(tItens[[#This Row],[Edital]],tEditais[Edital],0)),"")</f>
        <v>46308.416666666664</v>
      </c>
      <c r="J534" t="str">
        <f>IFERROR(INDEX(tProdutos[Classe],MATCH(tItens[[#This Row],[Produto]],tProdutos[Produto],0)),"produto não cadastrado")</f>
        <v>FORA</v>
      </c>
      <c r="K534" s="12">
        <f>tItens[[#This Row],[Qtd]]*tItens[[#This Row],[Vlr unit]]</f>
        <v>8296</v>
      </c>
      <c r="L534" s="6">
        <f>IFERROR(IF(INDEX(tProdutos[Desconto homologado],MATCH(tItens[[#This Row],[Produto]],tProdutos[Produto],0))="",DescontoPadrao,INDEX(tProdutos[Desconto homologado],MATCH(tItens[[#This Row],[Produto]],tProdutos[Produto],0))),DescontoPadrao)</f>
        <v>0.246270084162204</v>
      </c>
      <c r="M534" s="12">
        <f>tItens[[#This Row],[Valor]]*(1-tItens[[#This Row],[Desconto]])</f>
        <v>6252.9433817903555</v>
      </c>
      <c r="N534" t="str">
        <f>IFERROR(INDEX(tProdutos[Foco],MATCH(tItens[[#This Row],[Produto]],tProdutos[Produto],0)),"Não")</f>
        <v>Não</v>
      </c>
      <c r="O534" t="str">
        <f>IFERROR(INDEX(tEditais[SRP],MATCH(tItens[[#This Row],[Edital]],tEditais[Edital],0)),"Não")</f>
        <v>Não</v>
      </c>
      <c r="P534" s="4">
        <f>IF(COUNTIFS(INDEX(tItens[Edital],1):tItens[[#This Row],[Edital]],tItens[[#This Row],[Edital]],INDEX(tItens[Produto],1):tItens[[#This Row],[Produto]],tItens[[#This Row],[Produto]])=1,1,0)</f>
        <v>1</v>
      </c>
    </row>
    <row r="535" spans="1:16" x14ac:dyDescent="0.25">
      <c r="A535" t="s">
        <v>852</v>
      </c>
      <c r="B535">
        <v>56</v>
      </c>
      <c r="C535" t="s">
        <v>3746</v>
      </c>
      <c r="D535" t="s">
        <v>56</v>
      </c>
      <c r="E535" s="13">
        <v>2500</v>
      </c>
      <c r="F535" s="12">
        <v>23.07</v>
      </c>
      <c r="G535" t="str">
        <f>IFERROR(INDEX(tEditais[Órgão],MATCH(tItens[[#This Row],[Edital]],tEditais[Edital],0)),"")</f>
        <v>MUNICIPIO DE SAPEACU</v>
      </c>
      <c r="H535" t="str">
        <f>IFERROR(INDEX(tEditais[UF],MATCH(tItens[[#This Row],[Edital]],tEditais[Edital],0)),"")</f>
        <v>BA</v>
      </c>
      <c r="I535" s="11">
        <f>IFERROR(INDEX(tEditais[Encerramento],MATCH(tItens[[#This Row],[Edital]],tEditais[Edital],0)),"")</f>
        <v>46308.416666666664</v>
      </c>
      <c r="J535" t="str">
        <f>IFERROR(INDEX(tProdutos[Classe],MATCH(tItens[[#This Row],[Produto]],tProdutos[Produto],0)),"produto não cadastrado")</f>
        <v>NÚCLEO</v>
      </c>
      <c r="K535" s="12">
        <f>tItens[[#This Row],[Qtd]]*tItens[[#This Row],[Vlr unit]]</f>
        <v>57675</v>
      </c>
      <c r="L535" s="6">
        <f>IFERROR(IF(INDEX(tProdutos[Desconto homologado],MATCH(tItens[[#This Row],[Produto]],tProdutos[Produto],0))="",DescontoPadrao,INDEX(tProdutos[Desconto homologado],MATCH(tItens[[#This Row],[Produto]],tProdutos[Produto],0))),DescontoPadrao)</f>
        <v>0.34</v>
      </c>
      <c r="M535" s="12">
        <f>tItens[[#This Row],[Valor]]*(1-tItens[[#This Row],[Desconto]])</f>
        <v>38065.499999999993</v>
      </c>
      <c r="N535" t="str">
        <f>IFERROR(INDEX(tProdutos[Foco],MATCH(tItens[[#This Row],[Produto]],tProdutos[Produto],0)),"Não")</f>
        <v>Sim</v>
      </c>
      <c r="O535" t="str">
        <f>IFERROR(INDEX(tEditais[SRP],MATCH(tItens[[#This Row],[Edital]],tEditais[Edital],0)),"Não")</f>
        <v>Não</v>
      </c>
      <c r="P535" s="4">
        <f>IF(COUNTIFS(INDEX(tItens[Edital],1):tItens[[#This Row],[Edital]],tItens[[#This Row],[Edital]],INDEX(tItens[Produto],1):tItens[[#This Row],[Produto]],tItens[[#This Row],[Produto]])=1,1,0)</f>
        <v>1</v>
      </c>
    </row>
    <row r="536" spans="1:16" x14ac:dyDescent="0.25">
      <c r="A536" t="s">
        <v>852</v>
      </c>
      <c r="B536">
        <v>57</v>
      </c>
      <c r="C536" t="s">
        <v>3747</v>
      </c>
      <c r="D536" t="s">
        <v>56</v>
      </c>
      <c r="E536" s="13">
        <v>4000</v>
      </c>
      <c r="F536" s="12">
        <v>24.95</v>
      </c>
      <c r="G536" t="str">
        <f>IFERROR(INDEX(tEditais[Órgão],MATCH(tItens[[#This Row],[Edital]],tEditais[Edital],0)),"")</f>
        <v>MUNICIPIO DE SAPEACU</v>
      </c>
      <c r="H536" t="str">
        <f>IFERROR(INDEX(tEditais[UF],MATCH(tItens[[#This Row],[Edital]],tEditais[Edital],0)),"")</f>
        <v>BA</v>
      </c>
      <c r="I536" s="11">
        <f>IFERROR(INDEX(tEditais[Encerramento],MATCH(tItens[[#This Row],[Edital]],tEditais[Edital],0)),"")</f>
        <v>46308.416666666664</v>
      </c>
      <c r="J536" t="str">
        <f>IFERROR(INDEX(tProdutos[Classe],MATCH(tItens[[#This Row],[Produto]],tProdutos[Produto],0)),"produto não cadastrado")</f>
        <v>NÚCLEO</v>
      </c>
      <c r="K536" s="12">
        <f>tItens[[#This Row],[Qtd]]*tItens[[#This Row],[Vlr unit]]</f>
        <v>99800</v>
      </c>
      <c r="L536" s="6">
        <f>IFERROR(IF(INDEX(tProdutos[Desconto homologado],MATCH(tItens[[#This Row],[Produto]],tProdutos[Produto],0))="",DescontoPadrao,INDEX(tProdutos[Desconto homologado],MATCH(tItens[[#This Row],[Produto]],tProdutos[Produto],0))),DescontoPadrao)</f>
        <v>0.34</v>
      </c>
      <c r="M536" s="12">
        <f>tItens[[#This Row],[Valor]]*(1-tItens[[#This Row],[Desconto]])</f>
        <v>65867.999999999985</v>
      </c>
      <c r="N536" t="str">
        <f>IFERROR(INDEX(tProdutos[Foco],MATCH(tItens[[#This Row],[Produto]],tProdutos[Produto],0)),"Não")</f>
        <v>Sim</v>
      </c>
      <c r="O536" t="str">
        <f>IFERROR(INDEX(tEditais[SRP],MATCH(tItens[[#This Row],[Edital]],tEditais[Edital],0)),"Não")</f>
        <v>Não</v>
      </c>
      <c r="P536" s="4">
        <f>IF(COUNTIFS(INDEX(tItens[Edital],1):tItens[[#This Row],[Edital]],tItens[[#This Row],[Edital]],INDEX(tItens[Produto],1):tItens[[#This Row],[Produto]],tItens[[#This Row],[Produto]])=1,1,0)</f>
        <v>0</v>
      </c>
    </row>
    <row r="537" spans="1:16" x14ac:dyDescent="0.25">
      <c r="A537" t="s">
        <v>852</v>
      </c>
      <c r="B537">
        <v>58</v>
      </c>
      <c r="C537" t="s">
        <v>3748</v>
      </c>
      <c r="D537" t="s">
        <v>56</v>
      </c>
      <c r="E537" s="13">
        <v>3000</v>
      </c>
      <c r="F537" s="12">
        <v>25.66</v>
      </c>
      <c r="G537" t="str">
        <f>IFERROR(INDEX(tEditais[Órgão],MATCH(tItens[[#This Row],[Edital]],tEditais[Edital],0)),"")</f>
        <v>MUNICIPIO DE SAPEACU</v>
      </c>
      <c r="H537" t="str">
        <f>IFERROR(INDEX(tEditais[UF],MATCH(tItens[[#This Row],[Edital]],tEditais[Edital],0)),"")</f>
        <v>BA</v>
      </c>
      <c r="I537" s="11">
        <f>IFERROR(INDEX(tEditais[Encerramento],MATCH(tItens[[#This Row],[Edital]],tEditais[Edital],0)),"")</f>
        <v>46308.416666666664</v>
      </c>
      <c r="J537" t="str">
        <f>IFERROR(INDEX(tProdutos[Classe],MATCH(tItens[[#This Row],[Produto]],tProdutos[Produto],0)),"produto não cadastrado")</f>
        <v>NÚCLEO</v>
      </c>
      <c r="K537" s="12">
        <f>tItens[[#This Row],[Qtd]]*tItens[[#This Row],[Vlr unit]]</f>
        <v>76980</v>
      </c>
      <c r="L537" s="6">
        <f>IFERROR(IF(INDEX(tProdutos[Desconto homologado],MATCH(tItens[[#This Row],[Produto]],tProdutos[Produto],0))="",DescontoPadrao,INDEX(tProdutos[Desconto homologado],MATCH(tItens[[#This Row],[Produto]],tProdutos[Produto],0))),DescontoPadrao)</f>
        <v>0.34</v>
      </c>
      <c r="M537" s="12">
        <f>tItens[[#This Row],[Valor]]*(1-tItens[[#This Row],[Desconto]])</f>
        <v>50806.799999999996</v>
      </c>
      <c r="N537" t="str">
        <f>IFERROR(INDEX(tProdutos[Foco],MATCH(tItens[[#This Row],[Produto]],tProdutos[Produto],0)),"Não")</f>
        <v>Sim</v>
      </c>
      <c r="O537" t="str">
        <f>IFERROR(INDEX(tEditais[SRP],MATCH(tItens[[#This Row],[Edital]],tEditais[Edital],0)),"Não")</f>
        <v>Não</v>
      </c>
      <c r="P537" s="4">
        <f>IF(COUNTIFS(INDEX(tItens[Edital],1):tItens[[#This Row],[Edital]],tItens[[#This Row],[Edital]],INDEX(tItens[Produto],1):tItens[[#This Row],[Produto]],tItens[[#This Row],[Produto]])=1,1,0)</f>
        <v>0</v>
      </c>
    </row>
    <row r="538" spans="1:16" x14ac:dyDescent="0.25">
      <c r="A538" t="s">
        <v>852</v>
      </c>
      <c r="B538">
        <v>59</v>
      </c>
      <c r="C538" t="s">
        <v>3749</v>
      </c>
      <c r="D538" t="s">
        <v>56</v>
      </c>
      <c r="E538" s="13">
        <v>3500</v>
      </c>
      <c r="F538" s="12">
        <v>23.6</v>
      </c>
      <c r="G538" t="str">
        <f>IFERROR(INDEX(tEditais[Órgão],MATCH(tItens[[#This Row],[Edital]],tEditais[Edital],0)),"")</f>
        <v>MUNICIPIO DE SAPEACU</v>
      </c>
      <c r="H538" t="str">
        <f>IFERROR(INDEX(tEditais[UF],MATCH(tItens[[#This Row],[Edital]],tEditais[Edital],0)),"")</f>
        <v>BA</v>
      </c>
      <c r="I538" s="11">
        <f>IFERROR(INDEX(tEditais[Encerramento],MATCH(tItens[[#This Row],[Edital]],tEditais[Edital],0)),"")</f>
        <v>46308.416666666664</v>
      </c>
      <c r="J538" t="str">
        <f>IFERROR(INDEX(tProdutos[Classe],MATCH(tItens[[#This Row],[Produto]],tProdutos[Produto],0)),"produto não cadastrado")</f>
        <v>NÚCLEO</v>
      </c>
      <c r="K538" s="12">
        <f>tItens[[#This Row],[Qtd]]*tItens[[#This Row],[Vlr unit]]</f>
        <v>82600</v>
      </c>
      <c r="L538" s="6">
        <f>IFERROR(IF(INDEX(tProdutos[Desconto homologado],MATCH(tItens[[#This Row],[Produto]],tProdutos[Produto],0))="",DescontoPadrao,INDEX(tProdutos[Desconto homologado],MATCH(tItens[[#This Row],[Produto]],tProdutos[Produto],0))),DescontoPadrao)</f>
        <v>0.34</v>
      </c>
      <c r="M538" s="12">
        <f>tItens[[#This Row],[Valor]]*(1-tItens[[#This Row],[Desconto]])</f>
        <v>54515.999999999993</v>
      </c>
      <c r="N538" t="str">
        <f>IFERROR(INDEX(tProdutos[Foco],MATCH(tItens[[#This Row],[Produto]],tProdutos[Produto],0)),"Não")</f>
        <v>Sim</v>
      </c>
      <c r="O538" t="str">
        <f>IFERROR(INDEX(tEditais[SRP],MATCH(tItens[[#This Row],[Edital]],tEditais[Edital],0)),"Não")</f>
        <v>Não</v>
      </c>
      <c r="P538" s="4">
        <f>IF(COUNTIFS(INDEX(tItens[Edital],1):tItens[[#This Row],[Edital]],tItens[[#This Row],[Edital]],INDEX(tItens[Produto],1):tItens[[#This Row],[Produto]],tItens[[#This Row],[Produto]])=1,1,0)</f>
        <v>0</v>
      </c>
    </row>
    <row r="539" spans="1:16" x14ac:dyDescent="0.25">
      <c r="A539" t="s">
        <v>852</v>
      </c>
      <c r="B539">
        <v>78</v>
      </c>
      <c r="C539" t="s">
        <v>3552</v>
      </c>
      <c r="D539" t="s">
        <v>267</v>
      </c>
      <c r="E539" s="13">
        <v>2500</v>
      </c>
      <c r="F539" s="12">
        <v>11.46</v>
      </c>
      <c r="G539" t="str">
        <f>IFERROR(INDEX(tEditais[Órgão],MATCH(tItens[[#This Row],[Edital]],tEditais[Edital],0)),"")</f>
        <v>MUNICIPIO DE SAPEACU</v>
      </c>
      <c r="H539" t="str">
        <f>IFERROR(INDEX(tEditais[UF],MATCH(tItens[[#This Row],[Edital]],tEditais[Edital],0)),"")</f>
        <v>BA</v>
      </c>
      <c r="I539" s="11">
        <f>IFERROR(INDEX(tEditais[Encerramento],MATCH(tItens[[#This Row],[Edital]],tEditais[Edital],0)),"")</f>
        <v>46308.416666666664</v>
      </c>
      <c r="J539" t="str">
        <f>IFERROR(INDEX(tProdutos[Classe],MATCH(tItens[[#This Row],[Produto]],tProdutos[Produto],0)),"produto não cadastrado")</f>
        <v>FORA</v>
      </c>
      <c r="K539" s="12">
        <f>tItens[[#This Row],[Qtd]]*tItens[[#This Row],[Vlr unit]]</f>
        <v>28650.000000000004</v>
      </c>
      <c r="L539" s="6">
        <f>IFERROR(IF(INDEX(tProdutos[Desconto homologado],MATCH(tItens[[#This Row],[Produto]],tProdutos[Produto],0))="",DescontoPadrao,INDEX(tProdutos[Desconto homologado],MATCH(tItens[[#This Row],[Produto]],tProdutos[Produto],0))),DescontoPadrao)</f>
        <v>0.19963672657401599</v>
      </c>
      <c r="M539" s="12">
        <f>tItens[[#This Row],[Valor]]*(1-tItens[[#This Row],[Desconto]])</f>
        <v>22930.407783654446</v>
      </c>
      <c r="N539" t="str">
        <f>IFERROR(INDEX(tProdutos[Foco],MATCH(tItens[[#This Row],[Produto]],tProdutos[Produto],0)),"Não")</f>
        <v>Não</v>
      </c>
      <c r="O539" t="str">
        <f>IFERROR(INDEX(tEditais[SRP],MATCH(tItens[[#This Row],[Edital]],tEditais[Edital],0)),"Não")</f>
        <v>Não</v>
      </c>
      <c r="P539" s="4">
        <f>IF(COUNTIFS(INDEX(tItens[Edital],1):tItens[[#This Row],[Edital]],tItens[[#This Row],[Edital]],INDEX(tItens[Produto],1):tItens[[#This Row],[Produto]],tItens[[#This Row],[Produto]])=1,1,0)</f>
        <v>1</v>
      </c>
    </row>
    <row r="540" spans="1:16" x14ac:dyDescent="0.25">
      <c r="A540" t="s">
        <v>852</v>
      </c>
      <c r="B540">
        <v>87</v>
      </c>
      <c r="C540" t="s">
        <v>3661</v>
      </c>
      <c r="D540" t="s">
        <v>281</v>
      </c>
      <c r="E540" s="13">
        <v>40000</v>
      </c>
      <c r="F540" s="12">
        <v>0.73</v>
      </c>
      <c r="G540" t="str">
        <f>IFERROR(INDEX(tEditais[Órgão],MATCH(tItens[[#This Row],[Edital]],tEditais[Edital],0)),"")</f>
        <v>MUNICIPIO DE SAPEACU</v>
      </c>
      <c r="H540" t="str">
        <f>IFERROR(INDEX(tEditais[UF],MATCH(tItens[[#This Row],[Edital]],tEditais[Edital],0)),"")</f>
        <v>BA</v>
      </c>
      <c r="I540" s="11">
        <f>IFERROR(INDEX(tEditais[Encerramento],MATCH(tItens[[#This Row],[Edital]],tEditais[Edital],0)),"")</f>
        <v>46308.416666666664</v>
      </c>
      <c r="J540" t="str">
        <f>IFERROR(INDEX(tProdutos[Classe],MATCH(tItens[[#This Row],[Produto]],tProdutos[Produto],0)),"produto não cadastrado")</f>
        <v>DISPUTADO</v>
      </c>
      <c r="K540" s="12">
        <f>tItens[[#This Row],[Qtd]]*tItens[[#This Row],[Vlr unit]]</f>
        <v>29200</v>
      </c>
      <c r="L540" s="6">
        <f>IFERROR(IF(INDEX(tProdutos[Desconto homologado],MATCH(tItens[[#This Row],[Produto]],tProdutos[Produto],0))="",DescontoPadrao,INDEX(tProdutos[Desconto homologado],MATCH(tItens[[#This Row],[Produto]],tProdutos[Produto],0))),DescontoPadrao)</f>
        <v>0.42461538461538501</v>
      </c>
      <c r="M540" s="12">
        <f>tItens[[#This Row],[Valor]]*(1-tItens[[#This Row],[Desconto]])</f>
        <v>16801.230769230755</v>
      </c>
      <c r="N540" t="str">
        <f>IFERROR(INDEX(tProdutos[Foco],MATCH(tItens[[#This Row],[Produto]],tProdutos[Produto],0)),"Não")</f>
        <v>Não</v>
      </c>
      <c r="O540" t="str">
        <f>IFERROR(INDEX(tEditais[SRP],MATCH(tItens[[#This Row],[Edital]],tEditais[Edital],0)),"Não")</f>
        <v>Não</v>
      </c>
      <c r="P540" s="4">
        <f>IF(COUNTIFS(INDEX(tItens[Edital],1):tItens[[#This Row],[Edital]],tItens[[#This Row],[Edital]],INDEX(tItens[Produto],1):tItens[[#This Row],[Produto]],tItens[[#This Row],[Produto]])=1,1,0)</f>
        <v>1</v>
      </c>
    </row>
    <row r="541" spans="1:16" x14ac:dyDescent="0.25">
      <c r="A541" t="s">
        <v>852</v>
      </c>
      <c r="B541">
        <v>88</v>
      </c>
      <c r="C541" t="s">
        <v>3750</v>
      </c>
      <c r="D541" t="s">
        <v>289</v>
      </c>
      <c r="E541" s="13">
        <v>40000</v>
      </c>
      <c r="F541" s="12">
        <v>1.1200000000000001</v>
      </c>
      <c r="G541" t="str">
        <f>IFERROR(INDEX(tEditais[Órgão],MATCH(tItens[[#This Row],[Edital]],tEditais[Edital],0)),"")</f>
        <v>MUNICIPIO DE SAPEACU</v>
      </c>
      <c r="H541" t="str">
        <f>IFERROR(INDEX(tEditais[UF],MATCH(tItens[[#This Row],[Edital]],tEditais[Edital],0)),"")</f>
        <v>BA</v>
      </c>
      <c r="I541" s="11">
        <f>IFERROR(INDEX(tEditais[Encerramento],MATCH(tItens[[#This Row],[Edital]],tEditais[Edital],0)),"")</f>
        <v>46308.416666666664</v>
      </c>
      <c r="J541" t="str">
        <f>IFERROR(INDEX(tProdutos[Classe],MATCH(tItens[[#This Row],[Produto]],tProdutos[Produto],0)),"produto não cadastrado")</f>
        <v>DISPUTADO</v>
      </c>
      <c r="K541" s="12">
        <f>tItens[[#This Row],[Qtd]]*tItens[[#This Row],[Vlr unit]]</f>
        <v>44800.000000000007</v>
      </c>
      <c r="L541" s="6">
        <f>IFERROR(IF(INDEX(tProdutos[Desconto homologado],MATCH(tItens[[#This Row],[Produto]],tProdutos[Produto],0))="",DescontoPadrao,INDEX(tProdutos[Desconto homologado],MATCH(tItens[[#This Row],[Produto]],tProdutos[Produto],0))),DescontoPadrao)</f>
        <v>0.35849056603773599</v>
      </c>
      <c r="M541" s="12">
        <f>tItens[[#This Row],[Valor]]*(1-tItens[[#This Row],[Desconto]])</f>
        <v>28739.622641509432</v>
      </c>
      <c r="N541" t="str">
        <f>IFERROR(INDEX(tProdutos[Foco],MATCH(tItens[[#This Row],[Produto]],tProdutos[Produto],0)),"Não")</f>
        <v>Não</v>
      </c>
      <c r="O541" t="str">
        <f>IFERROR(INDEX(tEditais[SRP],MATCH(tItens[[#This Row],[Edital]],tEditais[Edital],0)),"Não")</f>
        <v>Não</v>
      </c>
      <c r="P541" s="4">
        <f>IF(COUNTIFS(INDEX(tItens[Edital],1):tItens[[#This Row],[Edital]],tItens[[#This Row],[Edital]],INDEX(tItens[Produto],1):tItens[[#This Row],[Produto]],tItens[[#This Row],[Produto]])=1,1,0)</f>
        <v>1</v>
      </c>
    </row>
    <row r="542" spans="1:16" x14ac:dyDescent="0.25">
      <c r="A542" t="s">
        <v>852</v>
      </c>
      <c r="B542">
        <v>90</v>
      </c>
      <c r="C542" t="s">
        <v>3751</v>
      </c>
      <c r="D542" t="s">
        <v>275</v>
      </c>
      <c r="E542" s="13">
        <v>15000</v>
      </c>
      <c r="F542" s="12">
        <v>0.48</v>
      </c>
      <c r="G542" t="str">
        <f>IFERROR(INDEX(tEditais[Órgão],MATCH(tItens[[#This Row],[Edital]],tEditais[Edital],0)),"")</f>
        <v>MUNICIPIO DE SAPEACU</v>
      </c>
      <c r="H542" t="str">
        <f>IFERROR(INDEX(tEditais[UF],MATCH(tItens[[#This Row],[Edital]],tEditais[Edital],0)),"")</f>
        <v>BA</v>
      </c>
      <c r="I542" s="11">
        <f>IFERROR(INDEX(tEditais[Encerramento],MATCH(tItens[[#This Row],[Edital]],tEditais[Edital],0)),"")</f>
        <v>46308.416666666664</v>
      </c>
      <c r="J542" t="str">
        <f>IFERROR(INDEX(tProdutos[Classe],MATCH(tItens[[#This Row],[Produto]],tProdutos[Produto],0)),"produto não cadastrado")</f>
        <v>FORA</v>
      </c>
      <c r="K542" s="12">
        <f>tItens[[#This Row],[Qtd]]*tItens[[#This Row],[Vlr unit]]</f>
        <v>7200</v>
      </c>
      <c r="L542" s="6">
        <f>IFERROR(IF(INDEX(tProdutos[Desconto homologado],MATCH(tItens[[#This Row],[Produto]],tProdutos[Produto],0))="",DescontoPadrao,INDEX(tProdutos[Desconto homologado],MATCH(tItens[[#This Row],[Produto]],tProdutos[Produto],0))),DescontoPadrao)</f>
        <v>0.405797101449275</v>
      </c>
      <c r="M542" s="12">
        <f>tItens[[#This Row],[Valor]]*(1-tItens[[#This Row],[Desconto]])</f>
        <v>4278.2608695652207</v>
      </c>
      <c r="N542" t="str">
        <f>IFERROR(INDEX(tProdutos[Foco],MATCH(tItens[[#This Row],[Produto]],tProdutos[Produto],0)),"Não")</f>
        <v>Não</v>
      </c>
      <c r="O542" t="str">
        <f>IFERROR(INDEX(tEditais[SRP],MATCH(tItens[[#This Row],[Edital]],tEditais[Edital],0)),"Não")</f>
        <v>Não</v>
      </c>
      <c r="P542" s="4">
        <f>IF(COUNTIFS(INDEX(tItens[Edital],1):tItens[[#This Row],[Edital]],tItens[[#This Row],[Edital]],INDEX(tItens[Produto],1):tItens[[#This Row],[Produto]],tItens[[#This Row],[Produto]])=1,1,0)</f>
        <v>1</v>
      </c>
    </row>
    <row r="543" spans="1:16" x14ac:dyDescent="0.25">
      <c r="A543" t="s">
        <v>852</v>
      </c>
      <c r="B543">
        <v>100</v>
      </c>
      <c r="C543" t="s">
        <v>3752</v>
      </c>
      <c r="D543" t="s">
        <v>184</v>
      </c>
      <c r="E543" s="13">
        <v>1200</v>
      </c>
      <c r="F543" s="12">
        <v>14.27</v>
      </c>
      <c r="G543" t="str">
        <f>IFERROR(INDEX(tEditais[Órgão],MATCH(tItens[[#This Row],[Edital]],tEditais[Edital],0)),"")</f>
        <v>MUNICIPIO DE SAPEACU</v>
      </c>
      <c r="H543" t="str">
        <f>IFERROR(INDEX(tEditais[UF],MATCH(tItens[[#This Row],[Edital]],tEditais[Edital],0)),"")</f>
        <v>BA</v>
      </c>
      <c r="I543" s="11">
        <f>IFERROR(INDEX(tEditais[Encerramento],MATCH(tItens[[#This Row],[Edital]],tEditais[Edital],0)),"")</f>
        <v>46308.416666666664</v>
      </c>
      <c r="J543" t="str">
        <f>IFERROR(INDEX(tProdutos[Classe],MATCH(tItens[[#This Row],[Produto]],tProdutos[Produto],0)),"produto não cadastrado")</f>
        <v>FORA</v>
      </c>
      <c r="K543" s="12">
        <f>tItens[[#This Row],[Qtd]]*tItens[[#This Row],[Vlr unit]]</f>
        <v>17124</v>
      </c>
      <c r="L543" s="6">
        <f>IFERROR(IF(INDEX(tProdutos[Desconto homologado],MATCH(tItens[[#This Row],[Produto]],tProdutos[Produto],0))="",DescontoPadrao,INDEX(tProdutos[Desconto homologado],MATCH(tItens[[#This Row],[Produto]],tProdutos[Produto],0))),DescontoPadrao)</f>
        <v>0.363567906332742</v>
      </c>
      <c r="M543" s="12">
        <f>tItens[[#This Row],[Valor]]*(1-tItens[[#This Row],[Desconto]])</f>
        <v>10898.263171958128</v>
      </c>
      <c r="N543" t="str">
        <f>IFERROR(INDEX(tProdutos[Foco],MATCH(tItens[[#This Row],[Produto]],tProdutos[Produto],0)),"Não")</f>
        <v>Não</v>
      </c>
      <c r="O543" t="str">
        <f>IFERROR(INDEX(tEditais[SRP],MATCH(tItens[[#This Row],[Edital]],tEditais[Edital],0)),"Não")</f>
        <v>Não</v>
      </c>
      <c r="P543" s="4">
        <f>IF(COUNTIFS(INDEX(tItens[Edital],1):tItens[[#This Row],[Edital]],tItens[[#This Row],[Edital]],INDEX(tItens[Produto],1):tItens[[#This Row],[Produto]],tItens[[#This Row],[Produto]])=1,1,0)</f>
        <v>1</v>
      </c>
    </row>
    <row r="544" spans="1:16" x14ac:dyDescent="0.25">
      <c r="A544" t="s">
        <v>852</v>
      </c>
      <c r="B544">
        <v>101</v>
      </c>
      <c r="C544" t="s">
        <v>3753</v>
      </c>
      <c r="D544" t="s">
        <v>184</v>
      </c>
      <c r="E544" s="13">
        <v>1200</v>
      </c>
      <c r="F544" s="12">
        <v>9.43</v>
      </c>
      <c r="G544" t="str">
        <f>IFERROR(INDEX(tEditais[Órgão],MATCH(tItens[[#This Row],[Edital]],tEditais[Edital],0)),"")</f>
        <v>MUNICIPIO DE SAPEACU</v>
      </c>
      <c r="H544" t="str">
        <f>IFERROR(INDEX(tEditais[UF],MATCH(tItens[[#This Row],[Edital]],tEditais[Edital],0)),"")</f>
        <v>BA</v>
      </c>
      <c r="I544" s="11">
        <f>IFERROR(INDEX(tEditais[Encerramento],MATCH(tItens[[#This Row],[Edital]],tEditais[Edital],0)),"")</f>
        <v>46308.416666666664</v>
      </c>
      <c r="J544" t="str">
        <f>IFERROR(INDEX(tProdutos[Classe],MATCH(tItens[[#This Row],[Produto]],tProdutos[Produto],0)),"produto não cadastrado")</f>
        <v>FORA</v>
      </c>
      <c r="K544" s="12">
        <f>tItens[[#This Row],[Qtd]]*tItens[[#This Row],[Vlr unit]]</f>
        <v>11316</v>
      </c>
      <c r="L544" s="6">
        <f>IFERROR(IF(INDEX(tProdutos[Desconto homologado],MATCH(tItens[[#This Row],[Produto]],tProdutos[Produto],0))="",DescontoPadrao,INDEX(tProdutos[Desconto homologado],MATCH(tItens[[#This Row],[Produto]],tProdutos[Produto],0))),DescontoPadrao)</f>
        <v>0.363567906332742</v>
      </c>
      <c r="M544" s="12">
        <f>tItens[[#This Row],[Valor]]*(1-tItens[[#This Row],[Desconto]])</f>
        <v>7201.8655719386925</v>
      </c>
      <c r="N544" t="str">
        <f>IFERROR(INDEX(tProdutos[Foco],MATCH(tItens[[#This Row],[Produto]],tProdutos[Produto],0)),"Não")</f>
        <v>Não</v>
      </c>
      <c r="O544" t="str">
        <f>IFERROR(INDEX(tEditais[SRP],MATCH(tItens[[#This Row],[Edital]],tEditais[Edital],0)),"Não")</f>
        <v>Não</v>
      </c>
      <c r="P544" s="4">
        <f>IF(COUNTIFS(INDEX(tItens[Edital],1):tItens[[#This Row],[Edital]],tItens[[#This Row],[Edital]],INDEX(tItens[Produto],1):tItens[[#This Row],[Produto]],tItens[[#This Row],[Produto]])=1,1,0)</f>
        <v>0</v>
      </c>
    </row>
    <row r="545" spans="1:16" x14ac:dyDescent="0.25">
      <c r="A545" t="s">
        <v>852</v>
      </c>
      <c r="B545">
        <v>102</v>
      </c>
      <c r="C545" t="s">
        <v>3754</v>
      </c>
      <c r="D545" t="s">
        <v>184</v>
      </c>
      <c r="E545" s="13">
        <v>1200</v>
      </c>
      <c r="F545" s="12">
        <v>14.92</v>
      </c>
      <c r="G545" t="str">
        <f>IFERROR(INDEX(tEditais[Órgão],MATCH(tItens[[#This Row],[Edital]],tEditais[Edital],0)),"")</f>
        <v>MUNICIPIO DE SAPEACU</v>
      </c>
      <c r="H545" t="str">
        <f>IFERROR(INDEX(tEditais[UF],MATCH(tItens[[#This Row],[Edital]],tEditais[Edital],0)),"")</f>
        <v>BA</v>
      </c>
      <c r="I545" s="11">
        <f>IFERROR(INDEX(tEditais[Encerramento],MATCH(tItens[[#This Row],[Edital]],tEditais[Edital],0)),"")</f>
        <v>46308.416666666664</v>
      </c>
      <c r="J545" t="str">
        <f>IFERROR(INDEX(tProdutos[Classe],MATCH(tItens[[#This Row],[Produto]],tProdutos[Produto],0)),"produto não cadastrado")</f>
        <v>FORA</v>
      </c>
      <c r="K545" s="12">
        <f>tItens[[#This Row],[Qtd]]*tItens[[#This Row],[Vlr unit]]</f>
        <v>17904</v>
      </c>
      <c r="L545" s="6">
        <f>IFERROR(IF(INDEX(tProdutos[Desconto homologado],MATCH(tItens[[#This Row],[Produto]],tProdutos[Produto],0))="",DescontoPadrao,INDEX(tProdutos[Desconto homologado],MATCH(tItens[[#This Row],[Produto]],tProdutos[Produto],0))),DescontoPadrao)</f>
        <v>0.363567906332742</v>
      </c>
      <c r="M545" s="12">
        <f>tItens[[#This Row],[Valor]]*(1-tItens[[#This Row],[Desconto]])</f>
        <v>11394.680205018589</v>
      </c>
      <c r="N545" t="str">
        <f>IFERROR(INDEX(tProdutos[Foco],MATCH(tItens[[#This Row],[Produto]],tProdutos[Produto],0)),"Não")</f>
        <v>Não</v>
      </c>
      <c r="O545" t="str">
        <f>IFERROR(INDEX(tEditais[SRP],MATCH(tItens[[#This Row],[Edital]],tEditais[Edital],0)),"Não")</f>
        <v>Não</v>
      </c>
      <c r="P545" s="4">
        <f>IF(COUNTIFS(INDEX(tItens[Edital],1):tItens[[#This Row],[Edital]],tItens[[#This Row],[Edital]],INDEX(tItens[Produto],1):tItens[[#This Row],[Produto]],tItens[[#This Row],[Produto]])=1,1,0)</f>
        <v>0</v>
      </c>
    </row>
    <row r="546" spans="1:16" x14ac:dyDescent="0.25">
      <c r="A546" t="s">
        <v>852</v>
      </c>
      <c r="B546">
        <v>103</v>
      </c>
      <c r="C546" t="s">
        <v>3755</v>
      </c>
      <c r="D546" t="s">
        <v>110</v>
      </c>
      <c r="E546" s="13">
        <v>1500</v>
      </c>
      <c r="F546" s="12">
        <v>3.42</v>
      </c>
      <c r="G546" t="str">
        <f>IFERROR(INDEX(tEditais[Órgão],MATCH(tItens[[#This Row],[Edital]],tEditais[Edital],0)),"")</f>
        <v>MUNICIPIO DE SAPEACU</v>
      </c>
      <c r="H546" t="str">
        <f>IFERROR(INDEX(tEditais[UF],MATCH(tItens[[#This Row],[Edital]],tEditais[Edital],0)),"")</f>
        <v>BA</v>
      </c>
      <c r="I546" s="11">
        <f>IFERROR(INDEX(tEditais[Encerramento],MATCH(tItens[[#This Row],[Edital]],tEditais[Edital],0)),"")</f>
        <v>46308.416666666664</v>
      </c>
      <c r="J546" t="str">
        <f>IFERROR(INDEX(tProdutos[Classe],MATCH(tItens[[#This Row],[Produto]],tProdutos[Produto],0)),"produto não cadastrado")</f>
        <v>NÚCLEO</v>
      </c>
      <c r="K546" s="12">
        <f>tItens[[#This Row],[Qtd]]*tItens[[#This Row],[Vlr unit]]</f>
        <v>5130</v>
      </c>
      <c r="L546" s="6">
        <f>IFERROR(IF(INDEX(tProdutos[Desconto homologado],MATCH(tItens[[#This Row],[Produto]],tProdutos[Produto],0))="",DescontoPadrao,INDEX(tProdutos[Desconto homologado],MATCH(tItens[[#This Row],[Produto]],tProdutos[Produto],0))),DescontoPadrao)</f>
        <v>0.30410958904109597</v>
      </c>
      <c r="M546" s="12">
        <f>tItens[[#This Row],[Valor]]*(1-tItens[[#This Row],[Desconto]])</f>
        <v>3569.9178082191775</v>
      </c>
      <c r="N546" t="str">
        <f>IFERROR(INDEX(tProdutos[Foco],MATCH(tItens[[#This Row],[Produto]],tProdutos[Produto],0)),"Não")</f>
        <v>Não</v>
      </c>
      <c r="O546" t="str">
        <f>IFERROR(INDEX(tEditais[SRP],MATCH(tItens[[#This Row],[Edital]],tEditais[Edital],0)),"Não")</f>
        <v>Não</v>
      </c>
      <c r="P546" s="4">
        <f>IF(COUNTIFS(INDEX(tItens[Edital],1):tItens[[#This Row],[Edital]],tItens[[#This Row],[Edital]],INDEX(tItens[Produto],1):tItens[[#This Row],[Produto]],tItens[[#This Row],[Produto]])=1,1,0)</f>
        <v>1</v>
      </c>
    </row>
    <row r="547" spans="1:16" x14ac:dyDescent="0.25">
      <c r="A547" t="s">
        <v>852</v>
      </c>
      <c r="B547">
        <v>104</v>
      </c>
      <c r="C547" t="s">
        <v>3756</v>
      </c>
      <c r="D547" t="s">
        <v>110</v>
      </c>
      <c r="E547" s="13">
        <v>1500</v>
      </c>
      <c r="F547" s="12">
        <v>4.0199999999999996</v>
      </c>
      <c r="G547" t="str">
        <f>IFERROR(INDEX(tEditais[Órgão],MATCH(tItens[[#This Row],[Edital]],tEditais[Edital],0)),"")</f>
        <v>MUNICIPIO DE SAPEACU</v>
      </c>
      <c r="H547" t="str">
        <f>IFERROR(INDEX(tEditais[UF],MATCH(tItens[[#This Row],[Edital]],tEditais[Edital],0)),"")</f>
        <v>BA</v>
      </c>
      <c r="I547" s="11">
        <f>IFERROR(INDEX(tEditais[Encerramento],MATCH(tItens[[#This Row],[Edital]],tEditais[Edital],0)),"")</f>
        <v>46308.416666666664</v>
      </c>
      <c r="J547" t="str">
        <f>IFERROR(INDEX(tProdutos[Classe],MATCH(tItens[[#This Row],[Produto]],tProdutos[Produto],0)),"produto não cadastrado")</f>
        <v>NÚCLEO</v>
      </c>
      <c r="K547" s="12">
        <f>tItens[[#This Row],[Qtd]]*tItens[[#This Row],[Vlr unit]]</f>
        <v>6029.9999999999991</v>
      </c>
      <c r="L547" s="6">
        <f>IFERROR(IF(INDEX(tProdutos[Desconto homologado],MATCH(tItens[[#This Row],[Produto]],tProdutos[Produto],0))="",DescontoPadrao,INDEX(tProdutos[Desconto homologado],MATCH(tItens[[#This Row],[Produto]],tProdutos[Produto],0))),DescontoPadrao)</f>
        <v>0.30410958904109597</v>
      </c>
      <c r="M547" s="12">
        <f>tItens[[#This Row],[Valor]]*(1-tItens[[#This Row],[Desconto]])</f>
        <v>4196.2191780821904</v>
      </c>
      <c r="N547" t="str">
        <f>IFERROR(INDEX(tProdutos[Foco],MATCH(tItens[[#This Row],[Produto]],tProdutos[Produto],0)),"Não")</f>
        <v>Não</v>
      </c>
      <c r="O547" t="str">
        <f>IFERROR(INDEX(tEditais[SRP],MATCH(tItens[[#This Row],[Edital]],tEditais[Edital],0)),"Não")</f>
        <v>Não</v>
      </c>
      <c r="P547" s="4">
        <f>IF(COUNTIFS(INDEX(tItens[Edital],1):tItens[[#This Row],[Edital]],tItens[[#This Row],[Edital]],INDEX(tItens[Produto],1):tItens[[#This Row],[Produto]],tItens[[#This Row],[Produto]])=1,1,0)</f>
        <v>0</v>
      </c>
    </row>
    <row r="548" spans="1:16" x14ac:dyDescent="0.25">
      <c r="A548" t="s">
        <v>852</v>
      </c>
      <c r="B548">
        <v>105</v>
      </c>
      <c r="C548" t="s">
        <v>3757</v>
      </c>
      <c r="D548" t="s">
        <v>110</v>
      </c>
      <c r="E548" s="13">
        <v>1200</v>
      </c>
      <c r="F548" s="12">
        <v>4.0199999999999996</v>
      </c>
      <c r="G548" t="str">
        <f>IFERROR(INDEX(tEditais[Órgão],MATCH(tItens[[#This Row],[Edital]],tEditais[Edital],0)),"")</f>
        <v>MUNICIPIO DE SAPEACU</v>
      </c>
      <c r="H548" t="str">
        <f>IFERROR(INDEX(tEditais[UF],MATCH(tItens[[#This Row],[Edital]],tEditais[Edital],0)),"")</f>
        <v>BA</v>
      </c>
      <c r="I548" s="11">
        <f>IFERROR(INDEX(tEditais[Encerramento],MATCH(tItens[[#This Row],[Edital]],tEditais[Edital],0)),"")</f>
        <v>46308.416666666664</v>
      </c>
      <c r="J548" t="str">
        <f>IFERROR(INDEX(tProdutos[Classe],MATCH(tItens[[#This Row],[Produto]],tProdutos[Produto],0)),"produto não cadastrado")</f>
        <v>NÚCLEO</v>
      </c>
      <c r="K548" s="12">
        <f>tItens[[#This Row],[Qtd]]*tItens[[#This Row],[Vlr unit]]</f>
        <v>4823.9999999999991</v>
      </c>
      <c r="L548" s="6">
        <f>IFERROR(IF(INDEX(tProdutos[Desconto homologado],MATCH(tItens[[#This Row],[Produto]],tProdutos[Produto],0))="",DescontoPadrao,INDEX(tProdutos[Desconto homologado],MATCH(tItens[[#This Row],[Produto]],tProdutos[Produto],0))),DescontoPadrao)</f>
        <v>0.30410958904109597</v>
      </c>
      <c r="M548" s="12">
        <f>tItens[[#This Row],[Valor]]*(1-tItens[[#This Row],[Desconto]])</f>
        <v>3356.9753424657524</v>
      </c>
      <c r="N548" t="str">
        <f>IFERROR(INDEX(tProdutos[Foco],MATCH(tItens[[#This Row],[Produto]],tProdutos[Produto],0)),"Não")</f>
        <v>Não</v>
      </c>
      <c r="O548" t="str">
        <f>IFERROR(INDEX(tEditais[SRP],MATCH(tItens[[#This Row],[Edital]],tEditais[Edital],0)),"Não")</f>
        <v>Não</v>
      </c>
      <c r="P548" s="4">
        <f>IF(COUNTIFS(INDEX(tItens[Edital],1):tItens[[#This Row],[Edital]],tItens[[#This Row],[Edital]],INDEX(tItens[Produto],1):tItens[[#This Row],[Produto]],tItens[[#This Row],[Produto]])=1,1,0)</f>
        <v>0</v>
      </c>
    </row>
    <row r="549" spans="1:16" x14ac:dyDescent="0.25">
      <c r="A549" t="s">
        <v>852</v>
      </c>
      <c r="B549">
        <v>106</v>
      </c>
      <c r="C549" t="s">
        <v>3758</v>
      </c>
      <c r="D549" t="s">
        <v>110</v>
      </c>
      <c r="E549" s="13">
        <v>1200</v>
      </c>
      <c r="F549" s="12">
        <v>2.44</v>
      </c>
      <c r="G549" t="str">
        <f>IFERROR(INDEX(tEditais[Órgão],MATCH(tItens[[#This Row],[Edital]],tEditais[Edital],0)),"")</f>
        <v>MUNICIPIO DE SAPEACU</v>
      </c>
      <c r="H549" t="str">
        <f>IFERROR(INDEX(tEditais[UF],MATCH(tItens[[#This Row],[Edital]],tEditais[Edital],0)),"")</f>
        <v>BA</v>
      </c>
      <c r="I549" s="11">
        <f>IFERROR(INDEX(tEditais[Encerramento],MATCH(tItens[[#This Row],[Edital]],tEditais[Edital],0)),"")</f>
        <v>46308.416666666664</v>
      </c>
      <c r="J549" t="str">
        <f>IFERROR(INDEX(tProdutos[Classe],MATCH(tItens[[#This Row],[Produto]],tProdutos[Produto],0)),"produto não cadastrado")</f>
        <v>NÚCLEO</v>
      </c>
      <c r="K549" s="12">
        <f>tItens[[#This Row],[Qtd]]*tItens[[#This Row],[Vlr unit]]</f>
        <v>2928</v>
      </c>
      <c r="L549" s="6">
        <f>IFERROR(IF(INDEX(tProdutos[Desconto homologado],MATCH(tItens[[#This Row],[Produto]],tProdutos[Produto],0))="",DescontoPadrao,INDEX(tProdutos[Desconto homologado],MATCH(tItens[[#This Row],[Produto]],tProdutos[Produto],0))),DescontoPadrao)</f>
        <v>0.30410958904109597</v>
      </c>
      <c r="M549" s="12">
        <f>tItens[[#This Row],[Valor]]*(1-tItens[[#This Row],[Desconto]])</f>
        <v>2037.5671232876709</v>
      </c>
      <c r="N549" t="str">
        <f>IFERROR(INDEX(tProdutos[Foco],MATCH(tItens[[#This Row],[Produto]],tProdutos[Produto],0)),"Não")</f>
        <v>Não</v>
      </c>
      <c r="O549" t="str">
        <f>IFERROR(INDEX(tEditais[SRP],MATCH(tItens[[#This Row],[Edital]],tEditais[Edital],0)),"Não")</f>
        <v>Não</v>
      </c>
      <c r="P549" s="4">
        <f>IF(COUNTIFS(INDEX(tItens[Edital],1):tItens[[#This Row],[Edital]],tItens[[#This Row],[Edital]],INDEX(tItens[Produto],1):tItens[[#This Row],[Produto]],tItens[[#This Row],[Produto]])=1,1,0)</f>
        <v>0</v>
      </c>
    </row>
    <row r="550" spans="1:16" x14ac:dyDescent="0.25">
      <c r="A550" t="s">
        <v>852</v>
      </c>
      <c r="B550">
        <v>107</v>
      </c>
      <c r="C550" t="s">
        <v>3759</v>
      </c>
      <c r="D550" t="s">
        <v>110</v>
      </c>
      <c r="E550" s="13">
        <v>1200</v>
      </c>
      <c r="F550" s="12">
        <v>3.11</v>
      </c>
      <c r="G550" t="str">
        <f>IFERROR(INDEX(tEditais[Órgão],MATCH(tItens[[#This Row],[Edital]],tEditais[Edital],0)),"")</f>
        <v>MUNICIPIO DE SAPEACU</v>
      </c>
      <c r="H550" t="str">
        <f>IFERROR(INDEX(tEditais[UF],MATCH(tItens[[#This Row],[Edital]],tEditais[Edital],0)),"")</f>
        <v>BA</v>
      </c>
      <c r="I550" s="11">
        <f>IFERROR(INDEX(tEditais[Encerramento],MATCH(tItens[[#This Row],[Edital]],tEditais[Edital],0)),"")</f>
        <v>46308.416666666664</v>
      </c>
      <c r="J550" t="str">
        <f>IFERROR(INDEX(tProdutos[Classe],MATCH(tItens[[#This Row],[Produto]],tProdutos[Produto],0)),"produto não cadastrado")</f>
        <v>NÚCLEO</v>
      </c>
      <c r="K550" s="12">
        <f>tItens[[#This Row],[Qtd]]*tItens[[#This Row],[Vlr unit]]</f>
        <v>3732</v>
      </c>
      <c r="L550" s="6">
        <f>IFERROR(IF(INDEX(tProdutos[Desconto homologado],MATCH(tItens[[#This Row],[Produto]],tProdutos[Produto],0))="",DescontoPadrao,INDEX(tProdutos[Desconto homologado],MATCH(tItens[[#This Row],[Produto]],tProdutos[Produto],0))),DescontoPadrao)</f>
        <v>0.30410958904109597</v>
      </c>
      <c r="M550" s="12">
        <f>tItens[[#This Row],[Valor]]*(1-tItens[[#This Row],[Desconto]])</f>
        <v>2597.0630136986297</v>
      </c>
      <c r="N550" t="str">
        <f>IFERROR(INDEX(tProdutos[Foco],MATCH(tItens[[#This Row],[Produto]],tProdutos[Produto],0)),"Não")</f>
        <v>Não</v>
      </c>
      <c r="O550" t="str">
        <f>IFERROR(INDEX(tEditais[SRP],MATCH(tItens[[#This Row],[Edital]],tEditais[Edital],0)),"Não")</f>
        <v>Não</v>
      </c>
      <c r="P550" s="4">
        <f>IF(COUNTIFS(INDEX(tItens[Edital],1):tItens[[#This Row],[Edital]],tItens[[#This Row],[Edital]],INDEX(tItens[Produto],1):tItens[[#This Row],[Produto]],tItens[[#This Row],[Produto]])=1,1,0)</f>
        <v>0</v>
      </c>
    </row>
    <row r="551" spans="1:16" x14ac:dyDescent="0.25">
      <c r="A551" t="s">
        <v>852</v>
      </c>
      <c r="B551">
        <v>108</v>
      </c>
      <c r="C551" t="s">
        <v>3760</v>
      </c>
      <c r="D551" t="s">
        <v>110</v>
      </c>
      <c r="E551" s="13">
        <v>1200</v>
      </c>
      <c r="F551" s="12">
        <v>4.29</v>
      </c>
      <c r="G551" t="str">
        <f>IFERROR(INDEX(tEditais[Órgão],MATCH(tItens[[#This Row],[Edital]],tEditais[Edital],0)),"")</f>
        <v>MUNICIPIO DE SAPEACU</v>
      </c>
      <c r="H551" t="str">
        <f>IFERROR(INDEX(tEditais[UF],MATCH(tItens[[#This Row],[Edital]],tEditais[Edital],0)),"")</f>
        <v>BA</v>
      </c>
      <c r="I551" s="11">
        <f>IFERROR(INDEX(tEditais[Encerramento],MATCH(tItens[[#This Row],[Edital]],tEditais[Edital],0)),"")</f>
        <v>46308.416666666664</v>
      </c>
      <c r="J551" t="str">
        <f>IFERROR(INDEX(tProdutos[Classe],MATCH(tItens[[#This Row],[Produto]],tProdutos[Produto],0)),"produto não cadastrado")</f>
        <v>NÚCLEO</v>
      </c>
      <c r="K551" s="12">
        <f>tItens[[#This Row],[Qtd]]*tItens[[#This Row],[Vlr unit]]</f>
        <v>5148</v>
      </c>
      <c r="L551" s="6">
        <f>IFERROR(IF(INDEX(tProdutos[Desconto homologado],MATCH(tItens[[#This Row],[Produto]],tProdutos[Produto],0))="",DescontoPadrao,INDEX(tProdutos[Desconto homologado],MATCH(tItens[[#This Row],[Produto]],tProdutos[Produto],0))),DescontoPadrao)</f>
        <v>0.30410958904109597</v>
      </c>
      <c r="M551" s="12">
        <f>tItens[[#This Row],[Valor]]*(1-tItens[[#This Row],[Desconto]])</f>
        <v>3582.4438356164378</v>
      </c>
      <c r="N551" t="str">
        <f>IFERROR(INDEX(tProdutos[Foco],MATCH(tItens[[#This Row],[Produto]],tProdutos[Produto],0)),"Não")</f>
        <v>Não</v>
      </c>
      <c r="O551" t="str">
        <f>IFERROR(INDEX(tEditais[SRP],MATCH(tItens[[#This Row],[Edital]],tEditais[Edital],0)),"Não")</f>
        <v>Não</v>
      </c>
      <c r="P551" s="4">
        <f>IF(COUNTIFS(INDEX(tItens[Edital],1):tItens[[#This Row],[Edital]],tItens[[#This Row],[Edital]],INDEX(tItens[Produto],1):tItens[[#This Row],[Produto]],tItens[[#This Row],[Produto]])=1,1,0)</f>
        <v>0</v>
      </c>
    </row>
    <row r="552" spans="1:16" x14ac:dyDescent="0.25">
      <c r="A552" t="s">
        <v>852</v>
      </c>
      <c r="B552">
        <v>109</v>
      </c>
      <c r="C552" t="s">
        <v>3761</v>
      </c>
      <c r="D552" t="s">
        <v>110</v>
      </c>
      <c r="E552" s="13">
        <v>1200</v>
      </c>
      <c r="F552" s="12">
        <v>4.3899999999999997</v>
      </c>
      <c r="G552" t="str">
        <f>IFERROR(INDEX(tEditais[Órgão],MATCH(tItens[[#This Row],[Edital]],tEditais[Edital],0)),"")</f>
        <v>MUNICIPIO DE SAPEACU</v>
      </c>
      <c r="H552" t="str">
        <f>IFERROR(INDEX(tEditais[UF],MATCH(tItens[[#This Row],[Edital]],tEditais[Edital],0)),"")</f>
        <v>BA</v>
      </c>
      <c r="I552" s="11">
        <f>IFERROR(INDEX(tEditais[Encerramento],MATCH(tItens[[#This Row],[Edital]],tEditais[Edital],0)),"")</f>
        <v>46308.416666666664</v>
      </c>
      <c r="J552" t="str">
        <f>IFERROR(INDEX(tProdutos[Classe],MATCH(tItens[[#This Row],[Produto]],tProdutos[Produto],0)),"produto não cadastrado")</f>
        <v>NÚCLEO</v>
      </c>
      <c r="K552" s="12">
        <f>tItens[[#This Row],[Qtd]]*tItens[[#This Row],[Vlr unit]]</f>
        <v>5268</v>
      </c>
      <c r="L552" s="6">
        <f>IFERROR(IF(INDEX(tProdutos[Desconto homologado],MATCH(tItens[[#This Row],[Produto]],tProdutos[Produto],0))="",DescontoPadrao,INDEX(tProdutos[Desconto homologado],MATCH(tItens[[#This Row],[Produto]],tProdutos[Produto],0))),DescontoPadrao)</f>
        <v>0.30410958904109597</v>
      </c>
      <c r="M552" s="12">
        <f>tItens[[#This Row],[Valor]]*(1-tItens[[#This Row],[Desconto]])</f>
        <v>3665.9506849315062</v>
      </c>
      <c r="N552" t="str">
        <f>IFERROR(INDEX(tProdutos[Foco],MATCH(tItens[[#This Row],[Produto]],tProdutos[Produto],0)),"Não")</f>
        <v>Não</v>
      </c>
      <c r="O552" t="str">
        <f>IFERROR(INDEX(tEditais[SRP],MATCH(tItens[[#This Row],[Edital]],tEditais[Edital],0)),"Não")</f>
        <v>Não</v>
      </c>
      <c r="P552" s="4">
        <f>IF(COUNTIFS(INDEX(tItens[Edital],1):tItens[[#This Row],[Edital]],tItens[[#This Row],[Edital]],INDEX(tItens[Produto],1):tItens[[#This Row],[Produto]],tItens[[#This Row],[Produto]])=1,1,0)</f>
        <v>0</v>
      </c>
    </row>
    <row r="553" spans="1:16" x14ac:dyDescent="0.25">
      <c r="A553" t="s">
        <v>852</v>
      </c>
      <c r="B553">
        <v>110</v>
      </c>
      <c r="C553" t="s">
        <v>3762</v>
      </c>
      <c r="D553" t="s">
        <v>110</v>
      </c>
      <c r="E553" s="13">
        <v>1200</v>
      </c>
      <c r="F553" s="12">
        <v>3.01</v>
      </c>
      <c r="G553" t="str">
        <f>IFERROR(INDEX(tEditais[Órgão],MATCH(tItens[[#This Row],[Edital]],tEditais[Edital],0)),"")</f>
        <v>MUNICIPIO DE SAPEACU</v>
      </c>
      <c r="H553" t="str">
        <f>IFERROR(INDEX(tEditais[UF],MATCH(tItens[[#This Row],[Edital]],tEditais[Edital],0)),"")</f>
        <v>BA</v>
      </c>
      <c r="I553" s="11">
        <f>IFERROR(INDEX(tEditais[Encerramento],MATCH(tItens[[#This Row],[Edital]],tEditais[Edital],0)),"")</f>
        <v>46308.416666666664</v>
      </c>
      <c r="J553" t="str">
        <f>IFERROR(INDEX(tProdutos[Classe],MATCH(tItens[[#This Row],[Produto]],tProdutos[Produto],0)),"produto não cadastrado")</f>
        <v>NÚCLEO</v>
      </c>
      <c r="K553" s="12">
        <f>tItens[[#This Row],[Qtd]]*tItens[[#This Row],[Vlr unit]]</f>
        <v>3611.9999999999995</v>
      </c>
      <c r="L553" s="6">
        <f>IFERROR(IF(INDEX(tProdutos[Desconto homologado],MATCH(tItens[[#This Row],[Produto]],tProdutos[Produto],0))="",DescontoPadrao,INDEX(tProdutos[Desconto homologado],MATCH(tItens[[#This Row],[Produto]],tProdutos[Produto],0))),DescontoPadrao)</f>
        <v>0.30410958904109597</v>
      </c>
      <c r="M553" s="12">
        <f>tItens[[#This Row],[Valor]]*(1-tItens[[#This Row],[Desconto]])</f>
        <v>2513.5561643835608</v>
      </c>
      <c r="N553" t="str">
        <f>IFERROR(INDEX(tProdutos[Foco],MATCH(tItens[[#This Row],[Produto]],tProdutos[Produto],0)),"Não")</f>
        <v>Não</v>
      </c>
      <c r="O553" t="str">
        <f>IFERROR(INDEX(tEditais[SRP],MATCH(tItens[[#This Row],[Edital]],tEditais[Edital],0)),"Não")</f>
        <v>Não</v>
      </c>
      <c r="P553" s="4">
        <f>IF(COUNTIFS(INDEX(tItens[Edital],1):tItens[[#This Row],[Edital]],tItens[[#This Row],[Edital]],INDEX(tItens[Produto],1):tItens[[#This Row],[Produto]],tItens[[#This Row],[Produto]])=1,1,0)</f>
        <v>0</v>
      </c>
    </row>
    <row r="554" spans="1:16" x14ac:dyDescent="0.25">
      <c r="A554" t="s">
        <v>852</v>
      </c>
      <c r="B554">
        <v>111</v>
      </c>
      <c r="C554" t="s">
        <v>3763</v>
      </c>
      <c r="D554" t="s">
        <v>110</v>
      </c>
      <c r="E554" s="13">
        <v>600</v>
      </c>
      <c r="F554" s="12">
        <v>4.22</v>
      </c>
      <c r="G554" t="str">
        <f>IFERROR(INDEX(tEditais[Órgão],MATCH(tItens[[#This Row],[Edital]],tEditais[Edital],0)),"")</f>
        <v>MUNICIPIO DE SAPEACU</v>
      </c>
      <c r="H554" t="str">
        <f>IFERROR(INDEX(tEditais[UF],MATCH(tItens[[#This Row],[Edital]],tEditais[Edital],0)),"")</f>
        <v>BA</v>
      </c>
      <c r="I554" s="11">
        <f>IFERROR(INDEX(tEditais[Encerramento],MATCH(tItens[[#This Row],[Edital]],tEditais[Edital],0)),"")</f>
        <v>46308.416666666664</v>
      </c>
      <c r="J554" t="str">
        <f>IFERROR(INDEX(tProdutos[Classe],MATCH(tItens[[#This Row],[Produto]],tProdutos[Produto],0)),"produto não cadastrado")</f>
        <v>NÚCLEO</v>
      </c>
      <c r="K554" s="12">
        <f>tItens[[#This Row],[Qtd]]*tItens[[#This Row],[Vlr unit]]</f>
        <v>2532</v>
      </c>
      <c r="L554" s="6">
        <f>IFERROR(IF(INDEX(tProdutos[Desconto homologado],MATCH(tItens[[#This Row],[Produto]],tProdutos[Produto],0))="",DescontoPadrao,INDEX(tProdutos[Desconto homologado],MATCH(tItens[[#This Row],[Produto]],tProdutos[Produto],0))),DescontoPadrao)</f>
        <v>0.30410958904109597</v>
      </c>
      <c r="M554" s="12">
        <f>tItens[[#This Row],[Valor]]*(1-tItens[[#This Row],[Desconto]])</f>
        <v>1761.9945205479451</v>
      </c>
      <c r="N554" t="str">
        <f>IFERROR(INDEX(tProdutos[Foco],MATCH(tItens[[#This Row],[Produto]],tProdutos[Produto],0)),"Não")</f>
        <v>Não</v>
      </c>
      <c r="O554" t="str">
        <f>IFERROR(INDEX(tEditais[SRP],MATCH(tItens[[#This Row],[Edital]],tEditais[Edital],0)),"Não")</f>
        <v>Não</v>
      </c>
      <c r="P554" s="4">
        <f>IF(COUNTIFS(INDEX(tItens[Edital],1):tItens[[#This Row],[Edital]],tItens[[#This Row],[Edital]],INDEX(tItens[Produto],1):tItens[[#This Row],[Produto]],tItens[[#This Row],[Produto]])=1,1,0)</f>
        <v>0</v>
      </c>
    </row>
    <row r="555" spans="1:16" x14ac:dyDescent="0.25">
      <c r="A555" t="s">
        <v>852</v>
      </c>
      <c r="B555">
        <v>119</v>
      </c>
      <c r="C555" t="s">
        <v>3764</v>
      </c>
      <c r="D555" t="s">
        <v>259</v>
      </c>
      <c r="E555" s="13">
        <v>1500</v>
      </c>
      <c r="F555" s="12">
        <v>13.69</v>
      </c>
      <c r="G555" t="str">
        <f>IFERROR(INDEX(tEditais[Órgão],MATCH(tItens[[#This Row],[Edital]],tEditais[Edital],0)),"")</f>
        <v>MUNICIPIO DE SAPEACU</v>
      </c>
      <c r="H555" t="str">
        <f>IFERROR(INDEX(tEditais[UF],MATCH(tItens[[#This Row],[Edital]],tEditais[Edital],0)),"")</f>
        <v>BA</v>
      </c>
      <c r="I555" s="11">
        <f>IFERROR(INDEX(tEditais[Encerramento],MATCH(tItens[[#This Row],[Edital]],tEditais[Edital],0)),"")</f>
        <v>46308.416666666664</v>
      </c>
      <c r="J555" t="str">
        <f>IFERROR(INDEX(tProdutos[Classe],MATCH(tItens[[#This Row],[Produto]],tProdutos[Produto],0)),"produto não cadastrado")</f>
        <v>FORA</v>
      </c>
      <c r="K555" s="12">
        <f>tItens[[#This Row],[Qtd]]*tItens[[#This Row],[Vlr unit]]</f>
        <v>20535</v>
      </c>
      <c r="L555" s="6">
        <f>IFERROR(IF(INDEX(tProdutos[Desconto homologado],MATCH(tItens[[#This Row],[Produto]],tProdutos[Produto],0))="",DescontoPadrao,INDEX(tProdutos[Desconto homologado],MATCH(tItens[[#This Row],[Produto]],tProdutos[Produto],0))),DescontoPadrao)</f>
        <v>0.374798283789543</v>
      </c>
      <c r="M555" s="12">
        <f>tItens[[#This Row],[Valor]]*(1-tItens[[#This Row],[Desconto]])</f>
        <v>12838.517242381735</v>
      </c>
      <c r="N555" t="str">
        <f>IFERROR(INDEX(tProdutos[Foco],MATCH(tItens[[#This Row],[Produto]],tProdutos[Produto],0)),"Não")</f>
        <v>Não</v>
      </c>
      <c r="O555" t="str">
        <f>IFERROR(INDEX(tEditais[SRP],MATCH(tItens[[#This Row],[Edital]],tEditais[Edital],0)),"Não")</f>
        <v>Não</v>
      </c>
      <c r="P555" s="4">
        <f>IF(COUNTIFS(INDEX(tItens[Edital],1):tItens[[#This Row],[Edital]],tItens[[#This Row],[Edital]],INDEX(tItens[Produto],1):tItens[[#This Row],[Produto]],tItens[[#This Row],[Produto]])=1,1,0)</f>
        <v>1</v>
      </c>
    </row>
    <row r="556" spans="1:16" x14ac:dyDescent="0.25">
      <c r="A556" t="s">
        <v>852</v>
      </c>
      <c r="B556">
        <v>120</v>
      </c>
      <c r="C556" t="s">
        <v>3765</v>
      </c>
      <c r="D556" t="s">
        <v>277</v>
      </c>
      <c r="E556" s="13">
        <v>2000</v>
      </c>
      <c r="F556" s="12">
        <v>20.399999999999999</v>
      </c>
      <c r="G556" t="str">
        <f>IFERROR(INDEX(tEditais[Órgão],MATCH(tItens[[#This Row],[Edital]],tEditais[Edital],0)),"")</f>
        <v>MUNICIPIO DE SAPEACU</v>
      </c>
      <c r="H556" t="str">
        <f>IFERROR(INDEX(tEditais[UF],MATCH(tItens[[#This Row],[Edital]],tEditais[Edital],0)),"")</f>
        <v>BA</v>
      </c>
      <c r="I556" s="11">
        <f>IFERROR(INDEX(tEditais[Encerramento],MATCH(tItens[[#This Row],[Edital]],tEditais[Edital],0)),"")</f>
        <v>46308.416666666664</v>
      </c>
      <c r="J556" t="str">
        <f>IFERROR(INDEX(tProdutos[Classe],MATCH(tItens[[#This Row],[Produto]],tProdutos[Produto],0)),"produto não cadastrado")</f>
        <v>DISPUTADO</v>
      </c>
      <c r="K556" s="12">
        <f>tItens[[#This Row],[Qtd]]*tItens[[#This Row],[Vlr unit]]</f>
        <v>40800</v>
      </c>
      <c r="L556" s="6">
        <f>IFERROR(IF(INDEX(tProdutos[Desconto homologado],MATCH(tItens[[#This Row],[Produto]],tProdutos[Produto],0))="",DescontoPadrao,INDEX(tProdutos[Desconto homologado],MATCH(tItens[[#This Row],[Produto]],tProdutos[Produto],0))),DescontoPadrao)</f>
        <v>0.50460666194188497</v>
      </c>
      <c r="M556" s="12">
        <f>tItens[[#This Row],[Valor]]*(1-tItens[[#This Row],[Desconto]])</f>
        <v>20212.048192771093</v>
      </c>
      <c r="N556" t="str">
        <f>IFERROR(INDEX(tProdutos[Foco],MATCH(tItens[[#This Row],[Produto]],tProdutos[Produto],0)),"Não")</f>
        <v>Não</v>
      </c>
      <c r="O556" t="str">
        <f>IFERROR(INDEX(tEditais[SRP],MATCH(tItens[[#This Row],[Edital]],tEditais[Edital],0)),"Não")</f>
        <v>Não</v>
      </c>
      <c r="P556" s="4">
        <f>IF(COUNTIFS(INDEX(tItens[Edital],1):tItens[[#This Row],[Edital]],tItens[[#This Row],[Edital]],INDEX(tItens[Produto],1):tItens[[#This Row],[Produto]],tItens[[#This Row],[Produto]])=1,1,0)</f>
        <v>1</v>
      </c>
    </row>
    <row r="557" spans="1:16" x14ac:dyDescent="0.25">
      <c r="A557" t="s">
        <v>852</v>
      </c>
      <c r="B557">
        <v>122</v>
      </c>
      <c r="C557" t="s">
        <v>3766</v>
      </c>
      <c r="D557" t="s">
        <v>345</v>
      </c>
      <c r="E557" s="13">
        <v>3000</v>
      </c>
      <c r="F557" s="12">
        <v>33.31</v>
      </c>
      <c r="G557" t="str">
        <f>IFERROR(INDEX(tEditais[Órgão],MATCH(tItens[[#This Row],[Edital]],tEditais[Edital],0)),"")</f>
        <v>MUNICIPIO DE SAPEACU</v>
      </c>
      <c r="H557" t="str">
        <f>IFERROR(INDEX(tEditais[UF],MATCH(tItens[[#This Row],[Edital]],tEditais[Edital],0)),"")</f>
        <v>BA</v>
      </c>
      <c r="I557" s="11">
        <f>IFERROR(INDEX(tEditais[Encerramento],MATCH(tItens[[#This Row],[Edital]],tEditais[Edital],0)),"")</f>
        <v>46308.416666666664</v>
      </c>
      <c r="J557" t="str">
        <f>IFERROR(INDEX(tProdutos[Classe],MATCH(tItens[[#This Row],[Produto]],tProdutos[Produto],0)),"produto não cadastrado")</f>
        <v>FORA</v>
      </c>
      <c r="K557" s="12">
        <f>tItens[[#This Row],[Qtd]]*tItens[[#This Row],[Vlr unit]]</f>
        <v>99930</v>
      </c>
      <c r="L557" s="6">
        <f>IFERROR(IF(INDEX(tProdutos[Desconto homologado],MATCH(tItens[[#This Row],[Produto]],tProdutos[Produto],0))="",DescontoPadrao,INDEX(tProdutos[Desconto homologado],MATCH(tItens[[#This Row],[Produto]],tProdutos[Produto],0))),DescontoPadrao)</f>
        <v>0.412394275616498</v>
      </c>
      <c r="M557" s="12">
        <f>tItens[[#This Row],[Valor]]*(1-tItens[[#This Row],[Desconto]])</f>
        <v>58719.440037643355</v>
      </c>
      <c r="N557" t="str">
        <f>IFERROR(INDEX(tProdutos[Foco],MATCH(tItens[[#This Row],[Produto]],tProdutos[Produto],0)),"Não")</f>
        <v>Não</v>
      </c>
      <c r="O557" t="str">
        <f>IFERROR(INDEX(tEditais[SRP],MATCH(tItens[[#This Row],[Edital]],tEditais[Edital],0)),"Não")</f>
        <v>Não</v>
      </c>
      <c r="P557" s="4">
        <f>IF(COUNTIFS(INDEX(tItens[Edital],1):tItens[[#This Row],[Edital]],tItens[[#This Row],[Edital]],INDEX(tItens[Produto],1):tItens[[#This Row],[Produto]],tItens[[#This Row],[Produto]])=1,1,0)</f>
        <v>1</v>
      </c>
    </row>
    <row r="558" spans="1:16" x14ac:dyDescent="0.25">
      <c r="A558" t="s">
        <v>852</v>
      </c>
      <c r="B558">
        <v>123</v>
      </c>
      <c r="C558" t="s">
        <v>3767</v>
      </c>
      <c r="D558" t="s">
        <v>345</v>
      </c>
      <c r="E558" s="13">
        <v>3000</v>
      </c>
      <c r="F558" s="12">
        <v>37.93</v>
      </c>
      <c r="G558" t="str">
        <f>IFERROR(INDEX(tEditais[Órgão],MATCH(tItens[[#This Row],[Edital]],tEditais[Edital],0)),"")</f>
        <v>MUNICIPIO DE SAPEACU</v>
      </c>
      <c r="H558" t="str">
        <f>IFERROR(INDEX(tEditais[UF],MATCH(tItens[[#This Row],[Edital]],tEditais[Edital],0)),"")</f>
        <v>BA</v>
      </c>
      <c r="I558" s="11">
        <f>IFERROR(INDEX(tEditais[Encerramento],MATCH(tItens[[#This Row],[Edital]],tEditais[Edital],0)),"")</f>
        <v>46308.416666666664</v>
      </c>
      <c r="J558" t="str">
        <f>IFERROR(INDEX(tProdutos[Classe],MATCH(tItens[[#This Row],[Produto]],tProdutos[Produto],0)),"produto não cadastrado")</f>
        <v>FORA</v>
      </c>
      <c r="K558" s="12">
        <f>tItens[[#This Row],[Qtd]]*tItens[[#This Row],[Vlr unit]]</f>
        <v>113790</v>
      </c>
      <c r="L558" s="6">
        <f>IFERROR(IF(INDEX(tProdutos[Desconto homologado],MATCH(tItens[[#This Row],[Produto]],tProdutos[Produto],0))="",DescontoPadrao,INDEX(tProdutos[Desconto homologado],MATCH(tItens[[#This Row],[Produto]],tProdutos[Produto],0))),DescontoPadrao)</f>
        <v>0.412394275616498</v>
      </c>
      <c r="M558" s="12">
        <f>tItens[[#This Row],[Valor]]*(1-tItens[[#This Row],[Desconto]])</f>
        <v>66863.655377598698</v>
      </c>
      <c r="N558" t="str">
        <f>IFERROR(INDEX(tProdutos[Foco],MATCH(tItens[[#This Row],[Produto]],tProdutos[Produto],0)),"Não")</f>
        <v>Não</v>
      </c>
      <c r="O558" t="str">
        <f>IFERROR(INDEX(tEditais[SRP],MATCH(tItens[[#This Row],[Edital]],tEditais[Edital],0)),"Não")</f>
        <v>Não</v>
      </c>
      <c r="P558" s="4">
        <f>IF(COUNTIFS(INDEX(tItens[Edital],1):tItens[[#This Row],[Edital]],tItens[[#This Row],[Edital]],INDEX(tItens[Produto],1):tItens[[#This Row],[Produto]],tItens[[#This Row],[Produto]])=1,1,0)</f>
        <v>0</v>
      </c>
    </row>
    <row r="559" spans="1:16" x14ac:dyDescent="0.25">
      <c r="A559" t="s">
        <v>852</v>
      </c>
      <c r="B559">
        <v>124</v>
      </c>
      <c r="C559" t="s">
        <v>3768</v>
      </c>
      <c r="D559" t="s">
        <v>345</v>
      </c>
      <c r="E559" s="13">
        <v>3000</v>
      </c>
      <c r="F559" s="12">
        <v>31.16</v>
      </c>
      <c r="G559" t="str">
        <f>IFERROR(INDEX(tEditais[Órgão],MATCH(tItens[[#This Row],[Edital]],tEditais[Edital],0)),"")</f>
        <v>MUNICIPIO DE SAPEACU</v>
      </c>
      <c r="H559" t="str">
        <f>IFERROR(INDEX(tEditais[UF],MATCH(tItens[[#This Row],[Edital]],tEditais[Edital],0)),"")</f>
        <v>BA</v>
      </c>
      <c r="I559" s="11">
        <f>IFERROR(INDEX(tEditais[Encerramento],MATCH(tItens[[#This Row],[Edital]],tEditais[Edital],0)),"")</f>
        <v>46308.416666666664</v>
      </c>
      <c r="J559" t="str">
        <f>IFERROR(INDEX(tProdutos[Classe],MATCH(tItens[[#This Row],[Produto]],tProdutos[Produto],0)),"produto não cadastrado")</f>
        <v>FORA</v>
      </c>
      <c r="K559" s="12">
        <f>tItens[[#This Row],[Qtd]]*tItens[[#This Row],[Vlr unit]]</f>
        <v>93480</v>
      </c>
      <c r="L559" s="6">
        <f>IFERROR(IF(INDEX(tProdutos[Desconto homologado],MATCH(tItens[[#This Row],[Produto]],tProdutos[Produto],0))="",DescontoPadrao,INDEX(tProdutos[Desconto homologado],MATCH(tItens[[#This Row],[Produto]],tProdutos[Produto],0))),DescontoPadrao)</f>
        <v>0.412394275616498</v>
      </c>
      <c r="M559" s="12">
        <f>tItens[[#This Row],[Valor]]*(1-tItens[[#This Row],[Desconto]])</f>
        <v>54929.383115369768</v>
      </c>
      <c r="N559" t="str">
        <f>IFERROR(INDEX(tProdutos[Foco],MATCH(tItens[[#This Row],[Produto]],tProdutos[Produto],0)),"Não")</f>
        <v>Não</v>
      </c>
      <c r="O559" t="str">
        <f>IFERROR(INDEX(tEditais[SRP],MATCH(tItens[[#This Row],[Edital]],tEditais[Edital],0)),"Não")</f>
        <v>Não</v>
      </c>
      <c r="P559" s="4">
        <f>IF(COUNTIFS(INDEX(tItens[Edital],1):tItens[[#This Row],[Edital]],tItens[[#This Row],[Edital]],INDEX(tItens[Produto],1):tItens[[#This Row],[Produto]],tItens[[#This Row],[Produto]])=1,1,0)</f>
        <v>0</v>
      </c>
    </row>
    <row r="560" spans="1:16" x14ac:dyDescent="0.25">
      <c r="A560" t="s">
        <v>857</v>
      </c>
      <c r="B560">
        <v>60001</v>
      </c>
      <c r="C560" t="s">
        <v>3769</v>
      </c>
      <c r="D560" t="s">
        <v>383</v>
      </c>
      <c r="E560" s="13">
        <v>465368</v>
      </c>
      <c r="F560" s="12">
        <v>5.69</v>
      </c>
      <c r="G560" t="str">
        <f>IFERROR(INDEX(tEditais[Órgão],MATCH(tItens[[#This Row],[Edital]],tEditais[Edital],0)),"")</f>
        <v>ESTADO DA BAHIA</v>
      </c>
      <c r="H560" t="str">
        <f>IFERROR(INDEX(tEditais[UF],MATCH(tItens[[#This Row],[Edital]],tEditais[Edital],0)),"")</f>
        <v>BA</v>
      </c>
      <c r="I560" s="11">
        <f>IFERROR(INDEX(tEditais[Encerramento],MATCH(tItens[[#This Row],[Edital]],tEditais[Edital],0)),"")</f>
        <v>46308.416666666664</v>
      </c>
      <c r="J560" t="str">
        <f>IFERROR(INDEX(tProdutos[Classe],MATCH(tItens[[#This Row],[Produto]],tProdutos[Produto],0)),"produto não cadastrado")</f>
        <v>FORA</v>
      </c>
      <c r="K560" s="12">
        <f>tItens[[#This Row],[Qtd]]*tItens[[#This Row],[Vlr unit]]</f>
        <v>2647943.9200000004</v>
      </c>
      <c r="L560" s="6">
        <f>IFERROR(IF(INDEX(tProdutos[Desconto homologado],MATCH(tItens[[#This Row],[Produto]],tProdutos[Produto],0))="",DescontoPadrao,INDEX(tProdutos[Desconto homologado],MATCH(tItens[[#This Row],[Produto]],tProdutos[Produto],0))),DescontoPadrao)</f>
        <v>0.48749999999999999</v>
      </c>
      <c r="M560" s="12">
        <f>tItens[[#This Row],[Valor]]*(1-tItens[[#This Row],[Desconto]])</f>
        <v>1357071.2590000001</v>
      </c>
      <c r="N560" t="str">
        <f>IFERROR(INDEX(tProdutos[Foco],MATCH(tItens[[#This Row],[Produto]],tProdutos[Produto],0)),"Não")</f>
        <v>Não</v>
      </c>
      <c r="O560" t="str">
        <f>IFERROR(INDEX(tEditais[SRP],MATCH(tItens[[#This Row],[Edital]],tEditais[Edital],0)),"Não")</f>
        <v>Sim</v>
      </c>
      <c r="P560" s="4">
        <f>IF(COUNTIFS(INDEX(tItens[Edital],1):tItens[[#This Row],[Edital]],tItens[[#This Row],[Edital]],INDEX(tItens[Produto],1):tItens[[#This Row],[Produto]],tItens[[#This Row],[Produto]])=1,1,0)</f>
        <v>1</v>
      </c>
    </row>
    <row r="561" spans="1:16" x14ac:dyDescent="0.25">
      <c r="A561" t="s">
        <v>857</v>
      </c>
      <c r="B561">
        <v>100001</v>
      </c>
      <c r="C561" t="s">
        <v>3769</v>
      </c>
      <c r="D561" t="s">
        <v>383</v>
      </c>
      <c r="E561" s="13">
        <v>116342</v>
      </c>
      <c r="F561" s="12">
        <v>5.69</v>
      </c>
      <c r="G561" t="str">
        <f>IFERROR(INDEX(tEditais[Órgão],MATCH(tItens[[#This Row],[Edital]],tEditais[Edital],0)),"")</f>
        <v>ESTADO DA BAHIA</v>
      </c>
      <c r="H561" t="str">
        <f>IFERROR(INDEX(tEditais[UF],MATCH(tItens[[#This Row],[Edital]],tEditais[Edital],0)),"")</f>
        <v>BA</v>
      </c>
      <c r="I561" s="11">
        <f>IFERROR(INDEX(tEditais[Encerramento],MATCH(tItens[[#This Row],[Edital]],tEditais[Edital],0)),"")</f>
        <v>46308.416666666664</v>
      </c>
      <c r="J561" t="str">
        <f>IFERROR(INDEX(tProdutos[Classe],MATCH(tItens[[#This Row],[Produto]],tProdutos[Produto],0)),"produto não cadastrado")</f>
        <v>FORA</v>
      </c>
      <c r="K561" s="12">
        <f>tItens[[#This Row],[Qtd]]*tItens[[#This Row],[Vlr unit]]</f>
        <v>661985.9800000001</v>
      </c>
      <c r="L561" s="6">
        <f>IFERROR(IF(INDEX(tProdutos[Desconto homologado],MATCH(tItens[[#This Row],[Produto]],tProdutos[Produto],0))="",DescontoPadrao,INDEX(tProdutos[Desconto homologado],MATCH(tItens[[#This Row],[Produto]],tProdutos[Produto],0))),DescontoPadrao)</f>
        <v>0.48749999999999999</v>
      </c>
      <c r="M561" s="12">
        <f>tItens[[#This Row],[Valor]]*(1-tItens[[#This Row],[Desconto]])</f>
        <v>339267.81475000002</v>
      </c>
      <c r="N561" t="str">
        <f>IFERROR(INDEX(tProdutos[Foco],MATCH(tItens[[#This Row],[Produto]],tProdutos[Produto],0)),"Não")</f>
        <v>Não</v>
      </c>
      <c r="O561" t="str">
        <f>IFERROR(INDEX(tEditais[SRP],MATCH(tItens[[#This Row],[Edital]],tEditais[Edital],0)),"Não")</f>
        <v>Sim</v>
      </c>
      <c r="P561" s="4">
        <f>IF(COUNTIFS(INDEX(tItens[Edital],1):tItens[[#This Row],[Edital]],tItens[[#This Row],[Edital]],INDEX(tItens[Produto],1):tItens[[#This Row],[Produto]],tItens[[#This Row],[Produto]])=1,1,0)</f>
        <v>0</v>
      </c>
    </row>
    <row r="562" spans="1:16" x14ac:dyDescent="0.25">
      <c r="A562" t="s">
        <v>860</v>
      </c>
      <c r="B562">
        <v>10001</v>
      </c>
      <c r="C562" t="s">
        <v>3770</v>
      </c>
      <c r="D562" t="s">
        <v>154</v>
      </c>
      <c r="E562" s="13">
        <v>950</v>
      </c>
      <c r="F562" s="12">
        <v>5.81</v>
      </c>
      <c r="G562" t="str">
        <f>IFERROR(INDEX(tEditais[Órgão],MATCH(tItens[[#This Row],[Edital]],tEditais[Edital],0)),"")</f>
        <v>ESTADO DA BAHIA</v>
      </c>
      <c r="H562" t="str">
        <f>IFERROR(INDEX(tEditais[UF],MATCH(tItens[[#This Row],[Edital]],tEditais[Edital],0)),"")</f>
        <v>BA</v>
      </c>
      <c r="I562" s="11">
        <f>IFERROR(INDEX(tEditais[Encerramento],MATCH(tItens[[#This Row],[Edital]],tEditais[Edital],0)),"")</f>
        <v>46308.416666666664</v>
      </c>
      <c r="J562" t="str">
        <f>IFERROR(INDEX(tProdutos[Classe],MATCH(tItens[[#This Row],[Produto]],tProdutos[Produto],0)),"produto não cadastrado")</f>
        <v>DISPUTADO</v>
      </c>
      <c r="K562" s="12">
        <f>tItens[[#This Row],[Qtd]]*tItens[[#This Row],[Vlr unit]]</f>
        <v>5519.5</v>
      </c>
      <c r="L562" s="6">
        <f>IFERROR(IF(INDEX(tProdutos[Desconto homologado],MATCH(tItens[[#This Row],[Produto]],tProdutos[Produto],0))="",DescontoPadrao,INDEX(tProdutos[Desconto homologado],MATCH(tItens[[#This Row],[Produto]],tProdutos[Produto],0))),DescontoPadrao)</f>
        <v>0.48690097134476601</v>
      </c>
      <c r="M562" s="12">
        <f>tItens[[#This Row],[Valor]]*(1-tItens[[#This Row],[Desconto]])</f>
        <v>2832.0500886625637</v>
      </c>
      <c r="N562" t="str">
        <f>IFERROR(INDEX(tProdutos[Foco],MATCH(tItens[[#This Row],[Produto]],tProdutos[Produto],0)),"Não")</f>
        <v>Não</v>
      </c>
      <c r="O562" t="str">
        <f>IFERROR(INDEX(tEditais[SRP],MATCH(tItens[[#This Row],[Edital]],tEditais[Edital],0)),"Não")</f>
        <v>Sim</v>
      </c>
      <c r="P562" s="4">
        <f>IF(COUNTIFS(INDEX(tItens[Edital],1):tItens[[#This Row],[Edital]],tItens[[#This Row],[Edital]],INDEX(tItens[Produto],1):tItens[[#This Row],[Produto]],tItens[[#This Row],[Produto]])=1,1,0)</f>
        <v>1</v>
      </c>
    </row>
    <row r="563" spans="1:16" x14ac:dyDescent="0.25">
      <c r="A563" t="s">
        <v>860</v>
      </c>
      <c r="B563">
        <v>30001</v>
      </c>
      <c r="C563" t="s">
        <v>3771</v>
      </c>
      <c r="D563" t="s">
        <v>461</v>
      </c>
      <c r="E563" s="13">
        <v>4066</v>
      </c>
      <c r="F563" s="12">
        <v>36.159999999999997</v>
      </c>
      <c r="G563" t="str">
        <f>IFERROR(INDEX(tEditais[Órgão],MATCH(tItens[[#This Row],[Edital]],tEditais[Edital],0)),"")</f>
        <v>ESTADO DA BAHIA</v>
      </c>
      <c r="H563" t="str">
        <f>IFERROR(INDEX(tEditais[UF],MATCH(tItens[[#This Row],[Edital]],tEditais[Edital],0)),"")</f>
        <v>BA</v>
      </c>
      <c r="I563" s="11">
        <f>IFERROR(INDEX(tEditais[Encerramento],MATCH(tItens[[#This Row],[Edital]],tEditais[Edital],0)),"")</f>
        <v>46308.416666666664</v>
      </c>
      <c r="J563" t="str">
        <f>IFERROR(INDEX(tProdutos[Classe],MATCH(tItens[[#This Row],[Produto]],tProdutos[Produto],0)),"produto não cadastrado")</f>
        <v>FILA REBASE</v>
      </c>
      <c r="K563" s="12">
        <f>tItens[[#This Row],[Qtd]]*tItens[[#This Row],[Vlr unit]]</f>
        <v>147026.56</v>
      </c>
      <c r="L563" s="6">
        <f>IFERROR(IF(INDEX(tProdutos[Desconto homologado],MATCH(tItens[[#This Row],[Produto]],tProdutos[Produto],0))="",DescontoPadrao,INDEX(tProdutos[Desconto homologado],MATCH(tItens[[#This Row],[Produto]],tProdutos[Produto],0))),DescontoPadrao)</f>
        <v>0.44096385542168698</v>
      </c>
      <c r="M563" s="12">
        <f>tItens[[#This Row],[Valor]]*(1-tItens[[#This Row],[Desconto]])</f>
        <v>82193.161253012004</v>
      </c>
      <c r="N563" t="str">
        <f>IFERROR(INDEX(tProdutos[Foco],MATCH(tItens[[#This Row],[Produto]],tProdutos[Produto],0)),"Não")</f>
        <v>Não</v>
      </c>
      <c r="O563" t="str">
        <f>IFERROR(INDEX(tEditais[SRP],MATCH(tItens[[#This Row],[Edital]],tEditais[Edital],0)),"Não")</f>
        <v>Sim</v>
      </c>
      <c r="P563" s="4">
        <f>IF(COUNTIFS(INDEX(tItens[Edital],1):tItens[[#This Row],[Edital]],tItens[[#This Row],[Edital]],INDEX(tItens[Produto],1):tItens[[#This Row],[Produto]],tItens[[#This Row],[Produto]])=1,1,0)</f>
        <v>1</v>
      </c>
    </row>
    <row r="564" spans="1:16" x14ac:dyDescent="0.25">
      <c r="A564" t="s">
        <v>860</v>
      </c>
      <c r="B564">
        <v>60001</v>
      </c>
      <c r="C564" t="s">
        <v>3771</v>
      </c>
      <c r="D564" t="s">
        <v>461</v>
      </c>
      <c r="E564" s="13">
        <v>1284</v>
      </c>
      <c r="F564" s="12">
        <v>36.159999999999997</v>
      </c>
      <c r="G564" t="str">
        <f>IFERROR(INDEX(tEditais[Órgão],MATCH(tItens[[#This Row],[Edital]],tEditais[Edital],0)),"")</f>
        <v>ESTADO DA BAHIA</v>
      </c>
      <c r="H564" t="str">
        <f>IFERROR(INDEX(tEditais[UF],MATCH(tItens[[#This Row],[Edital]],tEditais[Edital],0)),"")</f>
        <v>BA</v>
      </c>
      <c r="I564" s="11">
        <f>IFERROR(INDEX(tEditais[Encerramento],MATCH(tItens[[#This Row],[Edital]],tEditais[Edital],0)),"")</f>
        <v>46308.416666666664</v>
      </c>
      <c r="J564" t="str">
        <f>IFERROR(INDEX(tProdutos[Classe],MATCH(tItens[[#This Row],[Produto]],tProdutos[Produto],0)),"produto não cadastrado")</f>
        <v>FILA REBASE</v>
      </c>
      <c r="K564" s="12">
        <f>tItens[[#This Row],[Qtd]]*tItens[[#This Row],[Vlr unit]]</f>
        <v>46429.439999999995</v>
      </c>
      <c r="L564" s="6">
        <f>IFERROR(IF(INDEX(tProdutos[Desconto homologado],MATCH(tItens[[#This Row],[Produto]],tProdutos[Produto],0))="",DescontoPadrao,INDEX(tProdutos[Desconto homologado],MATCH(tItens[[#This Row],[Produto]],tProdutos[Produto],0))),DescontoPadrao)</f>
        <v>0.44096385542168698</v>
      </c>
      <c r="M564" s="12">
        <f>tItens[[#This Row],[Valor]]*(1-tItens[[#This Row],[Desconto]])</f>
        <v>25955.735132530106</v>
      </c>
      <c r="N564" t="str">
        <f>IFERROR(INDEX(tProdutos[Foco],MATCH(tItens[[#This Row],[Produto]],tProdutos[Produto],0)),"Não")</f>
        <v>Não</v>
      </c>
      <c r="O564" t="str">
        <f>IFERROR(INDEX(tEditais[SRP],MATCH(tItens[[#This Row],[Edital]],tEditais[Edital],0)),"Não")</f>
        <v>Sim</v>
      </c>
      <c r="P564" s="4">
        <f>IF(COUNTIFS(INDEX(tItens[Edital],1):tItens[[#This Row],[Edital]],tItens[[#This Row],[Edital]],INDEX(tItens[Produto],1):tItens[[#This Row],[Produto]],tItens[[#This Row],[Produto]])=1,1,0)</f>
        <v>0</v>
      </c>
    </row>
    <row r="565" spans="1:16" x14ac:dyDescent="0.25">
      <c r="A565" t="s">
        <v>863</v>
      </c>
      <c r="B565">
        <v>2153921</v>
      </c>
      <c r="C565" t="s">
        <v>3772</v>
      </c>
      <c r="D565" t="s">
        <v>363</v>
      </c>
      <c r="E565" s="13">
        <v>2200</v>
      </c>
      <c r="F565" s="12">
        <v>12.17</v>
      </c>
      <c r="G565" t="str">
        <f>IFERROR(INDEX(tEditais[Órgão],MATCH(tItens[[#This Row],[Edital]],tEditais[Edital],0)),"")</f>
        <v>FUNDO ESTADUAL DE SAUDE DO ESTADO DA BAHIA</v>
      </c>
      <c r="H565" t="str">
        <f>IFERROR(INDEX(tEditais[UF],MATCH(tItens[[#This Row],[Edital]],tEditais[Edital],0)),"")</f>
        <v>BA</v>
      </c>
      <c r="I565" s="11">
        <f>IFERROR(INDEX(tEditais[Encerramento],MATCH(tItens[[#This Row],[Edital]],tEditais[Edital],0)),"")</f>
        <v>46308.416666666664</v>
      </c>
      <c r="J565" t="str">
        <f>IFERROR(INDEX(tProdutos[Classe],MATCH(tItens[[#This Row],[Produto]],tProdutos[Produto],0)),"produto não cadastrado")</f>
        <v>FORA</v>
      </c>
      <c r="K565" s="12">
        <f>tItens[[#This Row],[Qtd]]*tItens[[#This Row],[Vlr unit]]</f>
        <v>26774</v>
      </c>
      <c r="L565" s="6">
        <f>IFERROR(IF(INDEX(tProdutos[Desconto homologado],MATCH(tItens[[#This Row],[Produto]],tProdutos[Produto],0))="",DescontoPadrao,INDEX(tProdutos[Desconto homologado],MATCH(tItens[[#This Row],[Produto]],tProdutos[Produto],0))),DescontoPadrao)</f>
        <v>0.36454545454545501</v>
      </c>
      <c r="M565" s="12">
        <f>tItens[[#This Row],[Valor]]*(1-tItens[[#This Row],[Desconto]])</f>
        <v>17013.659999999989</v>
      </c>
      <c r="N565" t="str">
        <f>IFERROR(INDEX(tProdutos[Foco],MATCH(tItens[[#This Row],[Produto]],tProdutos[Produto],0)),"Não")</f>
        <v>Não</v>
      </c>
      <c r="O565" t="str">
        <f>IFERROR(INDEX(tEditais[SRP],MATCH(tItens[[#This Row],[Edital]],tEditais[Edital],0)),"Não")</f>
        <v>Não</v>
      </c>
      <c r="P565" s="4">
        <f>IF(COUNTIFS(INDEX(tItens[Edital],1):tItens[[#This Row],[Edital]],tItens[[#This Row],[Edital]],INDEX(tItens[Produto],1):tItens[[#This Row],[Produto]],tItens[[#This Row],[Produto]])=1,1,0)</f>
        <v>1</v>
      </c>
    </row>
    <row r="566" spans="1:16" x14ac:dyDescent="0.25">
      <c r="A566" t="s">
        <v>863</v>
      </c>
      <c r="B566">
        <v>2153922</v>
      </c>
      <c r="C566" t="s">
        <v>3772</v>
      </c>
      <c r="D566" t="s">
        <v>363</v>
      </c>
      <c r="E566" s="13">
        <v>6600</v>
      </c>
      <c r="F566" s="12">
        <v>12.17</v>
      </c>
      <c r="G566" t="str">
        <f>IFERROR(INDEX(tEditais[Órgão],MATCH(tItens[[#This Row],[Edital]],tEditais[Edital],0)),"")</f>
        <v>FUNDO ESTADUAL DE SAUDE DO ESTADO DA BAHIA</v>
      </c>
      <c r="H566" t="str">
        <f>IFERROR(INDEX(tEditais[UF],MATCH(tItens[[#This Row],[Edital]],tEditais[Edital],0)),"")</f>
        <v>BA</v>
      </c>
      <c r="I566" s="11">
        <f>IFERROR(INDEX(tEditais[Encerramento],MATCH(tItens[[#This Row],[Edital]],tEditais[Edital],0)),"")</f>
        <v>46308.416666666664</v>
      </c>
      <c r="J566" t="str">
        <f>IFERROR(INDEX(tProdutos[Classe],MATCH(tItens[[#This Row],[Produto]],tProdutos[Produto],0)),"produto não cadastrado")</f>
        <v>FORA</v>
      </c>
      <c r="K566" s="12">
        <f>tItens[[#This Row],[Qtd]]*tItens[[#This Row],[Vlr unit]]</f>
        <v>80322</v>
      </c>
      <c r="L566" s="6">
        <f>IFERROR(IF(INDEX(tProdutos[Desconto homologado],MATCH(tItens[[#This Row],[Produto]],tProdutos[Produto],0))="",DescontoPadrao,INDEX(tProdutos[Desconto homologado],MATCH(tItens[[#This Row],[Produto]],tProdutos[Produto],0))),DescontoPadrao)</f>
        <v>0.36454545454545501</v>
      </c>
      <c r="M566" s="12">
        <f>tItens[[#This Row],[Valor]]*(1-tItens[[#This Row],[Desconto]])</f>
        <v>51040.979999999967</v>
      </c>
      <c r="N566" t="str">
        <f>IFERROR(INDEX(tProdutos[Foco],MATCH(tItens[[#This Row],[Produto]],tProdutos[Produto],0)),"Não")</f>
        <v>Não</v>
      </c>
      <c r="O566" t="str">
        <f>IFERROR(INDEX(tEditais[SRP],MATCH(tItens[[#This Row],[Edital]],tEditais[Edital],0)),"Não")</f>
        <v>Não</v>
      </c>
      <c r="P566" s="4">
        <f>IF(COUNTIFS(INDEX(tItens[Edital],1):tItens[[#This Row],[Edital]],tItens[[#This Row],[Edital]],INDEX(tItens[Produto],1):tItens[[#This Row],[Produto]],tItens[[#This Row],[Produto]])=1,1,0)</f>
        <v>0</v>
      </c>
    </row>
    <row r="567" spans="1:16" x14ac:dyDescent="0.25">
      <c r="A567" t="s">
        <v>864</v>
      </c>
      <c r="B567">
        <v>1145878</v>
      </c>
      <c r="C567" t="s">
        <v>3773</v>
      </c>
      <c r="D567" t="s">
        <v>295</v>
      </c>
      <c r="E567" s="13">
        <v>17300</v>
      </c>
      <c r="F567" s="12">
        <v>0.12</v>
      </c>
      <c r="G567" t="str">
        <f>IFERROR(INDEX(tEditais[Órgão],MATCH(tItens[[#This Row],[Edital]],tEditais[Edital],0)),"")</f>
        <v>FUNDO ESTADUAL DE SAUDE DO ESTADO DA BAHIA</v>
      </c>
      <c r="H567" t="str">
        <f>IFERROR(INDEX(tEditais[UF],MATCH(tItens[[#This Row],[Edital]],tEditais[Edital],0)),"")</f>
        <v>BA</v>
      </c>
      <c r="I567" s="11">
        <f>IFERROR(INDEX(tEditais[Encerramento],MATCH(tItens[[#This Row],[Edital]],tEditais[Edital],0)),"")</f>
        <v>46308.729166666664</v>
      </c>
      <c r="J567" t="str">
        <f>IFERROR(INDEX(tProdutos[Classe],MATCH(tItens[[#This Row],[Produto]],tProdutos[Produto],0)),"produto não cadastrado")</f>
        <v>FORA</v>
      </c>
      <c r="K567" s="12">
        <f>tItens[[#This Row],[Qtd]]*tItens[[#This Row],[Vlr unit]]</f>
        <v>2076</v>
      </c>
      <c r="L567" s="6">
        <f>IFERROR(IF(INDEX(tProdutos[Desconto homologado],MATCH(tItens[[#This Row],[Produto]],tProdutos[Produto],0))="",DescontoPadrao,INDEX(tProdutos[Desconto homologado],MATCH(tItens[[#This Row],[Produto]],tProdutos[Produto],0))),DescontoPadrao)</f>
        <v>0.219311377245509</v>
      </c>
      <c r="M567" s="12">
        <f>tItens[[#This Row],[Valor]]*(1-tItens[[#This Row],[Desconto]])</f>
        <v>1620.7095808383233</v>
      </c>
      <c r="N567" t="str">
        <f>IFERROR(INDEX(tProdutos[Foco],MATCH(tItens[[#This Row],[Produto]],tProdutos[Produto],0)),"Não")</f>
        <v>Não</v>
      </c>
      <c r="O567" t="str">
        <f>IFERROR(INDEX(tEditais[SRP],MATCH(tItens[[#This Row],[Edital]],tEditais[Edital],0)),"Não")</f>
        <v>Não</v>
      </c>
      <c r="P567" s="4">
        <f>IF(COUNTIFS(INDEX(tItens[Edital],1):tItens[[#This Row],[Edital]],tItens[[#This Row],[Edital]],INDEX(tItens[Produto],1):tItens[[#This Row],[Produto]],tItens[[#This Row],[Produto]])=1,1,0)</f>
        <v>1</v>
      </c>
    </row>
    <row r="568" spans="1:16" x14ac:dyDescent="0.25">
      <c r="A568" t="s">
        <v>866</v>
      </c>
      <c r="B568">
        <v>40001</v>
      </c>
      <c r="C568" t="s">
        <v>3774</v>
      </c>
      <c r="D568" t="s">
        <v>317</v>
      </c>
      <c r="E568" s="13">
        <v>1241784</v>
      </c>
      <c r="F568" s="12">
        <v>1.44</v>
      </c>
      <c r="G568" t="str">
        <f>IFERROR(INDEX(tEditais[Órgão],MATCH(tItens[[#This Row],[Edital]],tEditais[Edital],0)),"")</f>
        <v>ESTADO DA BAHIA</v>
      </c>
      <c r="H568" t="str">
        <f>IFERROR(INDEX(tEditais[UF],MATCH(tItens[[#This Row],[Edital]],tEditais[Edital],0)),"")</f>
        <v>BA</v>
      </c>
      <c r="I568" s="11">
        <f>IFERROR(INDEX(tEditais[Encerramento],MATCH(tItens[[#This Row],[Edital]],tEditais[Edital],0)),"")</f>
        <v>46309.416666666664</v>
      </c>
      <c r="J568" t="str">
        <f>IFERROR(INDEX(tProdutos[Classe],MATCH(tItens[[#This Row],[Produto]],tProdutos[Produto],0)),"produto não cadastrado")</f>
        <v>FORA</v>
      </c>
      <c r="K568" s="12">
        <f>tItens[[#This Row],[Qtd]]*tItens[[#This Row],[Vlr unit]]</f>
        <v>1788168.96</v>
      </c>
      <c r="L568" s="6">
        <f>IFERROR(IF(INDEX(tProdutos[Desconto homologado],MATCH(tItens[[#This Row],[Produto]],tProdutos[Produto],0))="",DescontoPadrao,INDEX(tProdutos[Desconto homologado],MATCH(tItens[[#This Row],[Produto]],tProdutos[Produto],0))),DescontoPadrao)</f>
        <v>0.5</v>
      </c>
      <c r="M568" s="12">
        <f>tItens[[#This Row],[Valor]]*(1-tItens[[#This Row],[Desconto]])</f>
        <v>894084.48</v>
      </c>
      <c r="N568" t="str">
        <f>IFERROR(INDEX(tProdutos[Foco],MATCH(tItens[[#This Row],[Produto]],tProdutos[Produto],0)),"Não")</f>
        <v>Não</v>
      </c>
      <c r="O568" t="str">
        <f>IFERROR(INDEX(tEditais[SRP],MATCH(tItens[[#This Row],[Edital]],tEditais[Edital],0)),"Não")</f>
        <v>Sim</v>
      </c>
      <c r="P568" s="4">
        <f>IF(COUNTIFS(INDEX(tItens[Edital],1):tItens[[#This Row],[Edital]],tItens[[#This Row],[Edital]],INDEX(tItens[Produto],1):tItens[[#This Row],[Produto]],tItens[[#This Row],[Produto]])=1,1,0)</f>
        <v>1</v>
      </c>
    </row>
    <row r="569" spans="1:16" x14ac:dyDescent="0.25">
      <c r="A569" t="s">
        <v>866</v>
      </c>
      <c r="B569">
        <v>80001</v>
      </c>
      <c r="C569" t="s">
        <v>3774</v>
      </c>
      <c r="D569" t="s">
        <v>317</v>
      </c>
      <c r="E569" s="13">
        <v>310446</v>
      </c>
      <c r="F569" s="12">
        <v>1.44</v>
      </c>
      <c r="G569" t="str">
        <f>IFERROR(INDEX(tEditais[Órgão],MATCH(tItens[[#This Row],[Edital]],tEditais[Edital],0)),"")</f>
        <v>ESTADO DA BAHIA</v>
      </c>
      <c r="H569" t="str">
        <f>IFERROR(INDEX(tEditais[UF],MATCH(tItens[[#This Row],[Edital]],tEditais[Edital],0)),"")</f>
        <v>BA</v>
      </c>
      <c r="I569" s="11">
        <f>IFERROR(INDEX(tEditais[Encerramento],MATCH(tItens[[#This Row],[Edital]],tEditais[Edital],0)),"")</f>
        <v>46309.416666666664</v>
      </c>
      <c r="J569" t="str">
        <f>IFERROR(INDEX(tProdutos[Classe],MATCH(tItens[[#This Row],[Produto]],tProdutos[Produto],0)),"produto não cadastrado")</f>
        <v>FORA</v>
      </c>
      <c r="K569" s="12">
        <f>tItens[[#This Row],[Qtd]]*tItens[[#This Row],[Vlr unit]]</f>
        <v>447042.24</v>
      </c>
      <c r="L569" s="6">
        <f>IFERROR(IF(INDEX(tProdutos[Desconto homologado],MATCH(tItens[[#This Row],[Produto]],tProdutos[Produto],0))="",DescontoPadrao,INDEX(tProdutos[Desconto homologado],MATCH(tItens[[#This Row],[Produto]],tProdutos[Produto],0))),DescontoPadrao)</f>
        <v>0.5</v>
      </c>
      <c r="M569" s="12">
        <f>tItens[[#This Row],[Valor]]*(1-tItens[[#This Row],[Desconto]])</f>
        <v>223521.12</v>
      </c>
      <c r="N569" t="str">
        <f>IFERROR(INDEX(tProdutos[Foco],MATCH(tItens[[#This Row],[Produto]],tProdutos[Produto],0)),"Não")</f>
        <v>Não</v>
      </c>
      <c r="O569" t="str">
        <f>IFERROR(INDEX(tEditais[SRP],MATCH(tItens[[#This Row],[Edital]],tEditais[Edital],0)),"Não")</f>
        <v>Sim</v>
      </c>
      <c r="P569" s="4">
        <f>IF(COUNTIFS(INDEX(tItens[Edital],1):tItens[[#This Row],[Edital]],tItens[[#This Row],[Edital]],INDEX(tItens[Produto],1):tItens[[#This Row],[Produto]],tItens[[#This Row],[Produto]])=1,1,0)</f>
        <v>0</v>
      </c>
    </row>
    <row r="570" spans="1:16" x14ac:dyDescent="0.25">
      <c r="A570" t="s">
        <v>869</v>
      </c>
      <c r="B570">
        <v>12920131</v>
      </c>
      <c r="C570" t="s">
        <v>3775</v>
      </c>
      <c r="D570" t="s">
        <v>317</v>
      </c>
      <c r="E570" s="13">
        <v>1241784</v>
      </c>
      <c r="F570" s="12">
        <v>1.44</v>
      </c>
      <c r="G570" t="str">
        <f>IFERROR(INDEX(tEditais[Órgão],MATCH(tItens[[#This Row],[Edital]],tEditais[Edital],0)),"")</f>
        <v>FUNDO ESTADUAL DE SAUDE DO ESTADO DA BAHIA</v>
      </c>
      <c r="H570" t="str">
        <f>IFERROR(INDEX(tEditais[UF],MATCH(tItens[[#This Row],[Edital]],tEditais[Edital],0)),"")</f>
        <v>BA</v>
      </c>
      <c r="I570" s="11">
        <f>IFERROR(INDEX(tEditais[Encerramento],MATCH(tItens[[#This Row],[Edital]],tEditais[Edital],0)),"")</f>
        <v>46309.416666666664</v>
      </c>
      <c r="J570" t="str">
        <f>IFERROR(INDEX(tProdutos[Classe],MATCH(tItens[[#This Row],[Produto]],tProdutos[Produto],0)),"produto não cadastrado")</f>
        <v>FORA</v>
      </c>
      <c r="K570" s="12">
        <f>tItens[[#This Row],[Qtd]]*tItens[[#This Row],[Vlr unit]]</f>
        <v>1788168.96</v>
      </c>
      <c r="L570" s="6">
        <f>IFERROR(IF(INDEX(tProdutos[Desconto homologado],MATCH(tItens[[#This Row],[Produto]],tProdutos[Produto],0))="",DescontoPadrao,INDEX(tProdutos[Desconto homologado],MATCH(tItens[[#This Row],[Produto]],tProdutos[Produto],0))),DescontoPadrao)</f>
        <v>0.5</v>
      </c>
      <c r="M570" s="12">
        <f>tItens[[#This Row],[Valor]]*(1-tItens[[#This Row],[Desconto]])</f>
        <v>894084.48</v>
      </c>
      <c r="N570" t="str">
        <f>IFERROR(INDEX(tProdutos[Foco],MATCH(tItens[[#This Row],[Produto]],tProdutos[Produto],0)),"Não")</f>
        <v>Não</v>
      </c>
      <c r="O570" t="str">
        <f>IFERROR(INDEX(tEditais[SRP],MATCH(tItens[[#This Row],[Edital]],tEditais[Edital],0)),"Não")</f>
        <v>Não</v>
      </c>
      <c r="P570" s="4">
        <f>IF(COUNTIFS(INDEX(tItens[Edital],1):tItens[[#This Row],[Edital]],tItens[[#This Row],[Edital]],INDEX(tItens[Produto],1):tItens[[#This Row],[Produto]],tItens[[#This Row],[Produto]])=1,1,0)</f>
        <v>1</v>
      </c>
    </row>
    <row r="571" spans="1:16" x14ac:dyDescent="0.25">
      <c r="A571" t="s">
        <v>869</v>
      </c>
      <c r="B571">
        <v>12920132</v>
      </c>
      <c r="C571" t="s">
        <v>3775</v>
      </c>
      <c r="D571" t="s">
        <v>317</v>
      </c>
      <c r="E571" s="13">
        <v>310446</v>
      </c>
      <c r="F571" s="12">
        <v>1.44</v>
      </c>
      <c r="G571" t="str">
        <f>IFERROR(INDEX(tEditais[Órgão],MATCH(tItens[[#This Row],[Edital]],tEditais[Edital],0)),"")</f>
        <v>FUNDO ESTADUAL DE SAUDE DO ESTADO DA BAHIA</v>
      </c>
      <c r="H571" t="str">
        <f>IFERROR(INDEX(tEditais[UF],MATCH(tItens[[#This Row],[Edital]],tEditais[Edital],0)),"")</f>
        <v>BA</v>
      </c>
      <c r="I571" s="11">
        <f>IFERROR(INDEX(tEditais[Encerramento],MATCH(tItens[[#This Row],[Edital]],tEditais[Edital],0)),"")</f>
        <v>46309.416666666664</v>
      </c>
      <c r="J571" t="str">
        <f>IFERROR(INDEX(tProdutos[Classe],MATCH(tItens[[#This Row],[Produto]],tProdutos[Produto],0)),"produto não cadastrado")</f>
        <v>FORA</v>
      </c>
      <c r="K571" s="12">
        <f>tItens[[#This Row],[Qtd]]*tItens[[#This Row],[Vlr unit]]</f>
        <v>447042.24</v>
      </c>
      <c r="L571" s="6">
        <f>IFERROR(IF(INDEX(tProdutos[Desconto homologado],MATCH(tItens[[#This Row],[Produto]],tProdutos[Produto],0))="",DescontoPadrao,INDEX(tProdutos[Desconto homologado],MATCH(tItens[[#This Row],[Produto]],tProdutos[Produto],0))),DescontoPadrao)</f>
        <v>0.5</v>
      </c>
      <c r="M571" s="12">
        <f>tItens[[#This Row],[Valor]]*(1-tItens[[#This Row],[Desconto]])</f>
        <v>223521.12</v>
      </c>
      <c r="N571" t="str">
        <f>IFERROR(INDEX(tProdutos[Foco],MATCH(tItens[[#This Row],[Produto]],tProdutos[Produto],0)),"Não")</f>
        <v>Não</v>
      </c>
      <c r="O571" t="str">
        <f>IFERROR(INDEX(tEditais[SRP],MATCH(tItens[[#This Row],[Edital]],tEditais[Edital],0)),"Não")</f>
        <v>Não</v>
      </c>
      <c r="P571" s="4">
        <f>IF(COUNTIFS(INDEX(tItens[Edital],1):tItens[[#This Row],[Edital]],tItens[[#This Row],[Edital]],INDEX(tItens[Produto],1):tItens[[#This Row],[Produto]],tItens[[#This Row],[Produto]])=1,1,0)</f>
        <v>0</v>
      </c>
    </row>
    <row r="572" spans="1:16" x14ac:dyDescent="0.25">
      <c r="A572" t="s">
        <v>870</v>
      </c>
      <c r="B572">
        <v>20001</v>
      </c>
      <c r="C572" t="s">
        <v>3776</v>
      </c>
      <c r="D572" t="s">
        <v>281</v>
      </c>
      <c r="E572" s="13">
        <v>156000</v>
      </c>
      <c r="F572" s="12">
        <v>0.85</v>
      </c>
      <c r="G572" t="str">
        <f>IFERROR(INDEX(tEditais[Órgão],MATCH(tItens[[#This Row],[Edital]],tEditais[Edital],0)),"")</f>
        <v>ESTADO DA BAHIA</v>
      </c>
      <c r="H572" t="str">
        <f>IFERROR(INDEX(tEditais[UF],MATCH(tItens[[#This Row],[Edital]],tEditais[Edital],0)),"")</f>
        <v>BA</v>
      </c>
      <c r="I572" s="11">
        <f>IFERROR(INDEX(tEditais[Encerramento],MATCH(tItens[[#This Row],[Edital]],tEditais[Edital],0)),"")</f>
        <v>46309.416666666664</v>
      </c>
      <c r="J572" t="str">
        <f>IFERROR(INDEX(tProdutos[Classe],MATCH(tItens[[#This Row],[Produto]],tProdutos[Produto],0)),"produto não cadastrado")</f>
        <v>DISPUTADO</v>
      </c>
      <c r="K572" s="12">
        <f>tItens[[#This Row],[Qtd]]*tItens[[#This Row],[Vlr unit]]</f>
        <v>132600</v>
      </c>
      <c r="L572" s="6">
        <f>IFERROR(IF(INDEX(tProdutos[Desconto homologado],MATCH(tItens[[#This Row],[Produto]],tProdutos[Produto],0))="",DescontoPadrao,INDEX(tProdutos[Desconto homologado],MATCH(tItens[[#This Row],[Produto]],tProdutos[Produto],0))),DescontoPadrao)</f>
        <v>0.42461538461538501</v>
      </c>
      <c r="M572" s="12">
        <f>tItens[[#This Row],[Valor]]*(1-tItens[[#This Row],[Desconto]])</f>
        <v>76295.999999999942</v>
      </c>
      <c r="N572" t="str">
        <f>IFERROR(INDEX(tProdutos[Foco],MATCH(tItens[[#This Row],[Produto]],tProdutos[Produto],0)),"Não")</f>
        <v>Não</v>
      </c>
      <c r="O572" t="str">
        <f>IFERROR(INDEX(tEditais[SRP],MATCH(tItens[[#This Row],[Edital]],tEditais[Edital],0)),"Não")</f>
        <v>Sim</v>
      </c>
      <c r="P572" s="4">
        <f>IF(COUNTIFS(INDEX(tItens[Edital],1):tItens[[#This Row],[Edital]],tItens[[#This Row],[Edital]],INDEX(tItens[Produto],1):tItens[[#This Row],[Produto]],tItens[[#This Row],[Produto]])=1,1,0)</f>
        <v>1</v>
      </c>
    </row>
    <row r="573" spans="1:16" x14ac:dyDescent="0.25">
      <c r="A573" t="s">
        <v>870</v>
      </c>
      <c r="B573">
        <v>30001</v>
      </c>
      <c r="C573" t="s">
        <v>3774</v>
      </c>
      <c r="D573" t="s">
        <v>317</v>
      </c>
      <c r="E573" s="13">
        <v>166725</v>
      </c>
      <c r="F573" s="12">
        <v>1.44</v>
      </c>
      <c r="G573" t="str">
        <f>IFERROR(INDEX(tEditais[Órgão],MATCH(tItens[[#This Row],[Edital]],tEditais[Edital],0)),"")</f>
        <v>ESTADO DA BAHIA</v>
      </c>
      <c r="H573" t="str">
        <f>IFERROR(INDEX(tEditais[UF],MATCH(tItens[[#This Row],[Edital]],tEditais[Edital],0)),"")</f>
        <v>BA</v>
      </c>
      <c r="I573" s="11">
        <f>IFERROR(INDEX(tEditais[Encerramento],MATCH(tItens[[#This Row],[Edital]],tEditais[Edital],0)),"")</f>
        <v>46309.416666666664</v>
      </c>
      <c r="J573" t="str">
        <f>IFERROR(INDEX(tProdutos[Classe],MATCH(tItens[[#This Row],[Produto]],tProdutos[Produto],0)),"produto não cadastrado")</f>
        <v>FORA</v>
      </c>
      <c r="K573" s="12">
        <f>tItens[[#This Row],[Qtd]]*tItens[[#This Row],[Vlr unit]]</f>
        <v>240084</v>
      </c>
      <c r="L573" s="6">
        <f>IFERROR(IF(INDEX(tProdutos[Desconto homologado],MATCH(tItens[[#This Row],[Produto]],tProdutos[Produto],0))="",DescontoPadrao,INDEX(tProdutos[Desconto homologado],MATCH(tItens[[#This Row],[Produto]],tProdutos[Produto],0))),DescontoPadrao)</f>
        <v>0.5</v>
      </c>
      <c r="M573" s="12">
        <f>tItens[[#This Row],[Valor]]*(1-tItens[[#This Row],[Desconto]])</f>
        <v>120042</v>
      </c>
      <c r="N573" t="str">
        <f>IFERROR(INDEX(tProdutos[Foco],MATCH(tItens[[#This Row],[Produto]],tProdutos[Produto],0)),"Não")</f>
        <v>Não</v>
      </c>
      <c r="O573" t="str">
        <f>IFERROR(INDEX(tEditais[SRP],MATCH(tItens[[#This Row],[Edital]],tEditais[Edital],0)),"Não")</f>
        <v>Sim</v>
      </c>
      <c r="P573" s="4">
        <f>IF(COUNTIFS(INDEX(tItens[Edital],1):tItens[[#This Row],[Edital]],tItens[[#This Row],[Edital]],INDEX(tItens[Produto],1):tItens[[#This Row],[Produto]],tItens[[#This Row],[Produto]])=1,1,0)</f>
        <v>1</v>
      </c>
    </row>
    <row r="574" spans="1:16" x14ac:dyDescent="0.25">
      <c r="A574" t="s">
        <v>870</v>
      </c>
      <c r="B574">
        <v>50001</v>
      </c>
      <c r="C574" t="s">
        <v>3776</v>
      </c>
      <c r="D574" t="s">
        <v>281</v>
      </c>
      <c r="E574" s="13">
        <v>52000</v>
      </c>
      <c r="F574" s="12">
        <v>0.85</v>
      </c>
      <c r="G574" t="str">
        <f>IFERROR(INDEX(tEditais[Órgão],MATCH(tItens[[#This Row],[Edital]],tEditais[Edital],0)),"")</f>
        <v>ESTADO DA BAHIA</v>
      </c>
      <c r="H574" t="str">
        <f>IFERROR(INDEX(tEditais[UF],MATCH(tItens[[#This Row],[Edital]],tEditais[Edital],0)),"")</f>
        <v>BA</v>
      </c>
      <c r="I574" s="11">
        <f>IFERROR(INDEX(tEditais[Encerramento],MATCH(tItens[[#This Row],[Edital]],tEditais[Edital],0)),"")</f>
        <v>46309.416666666664</v>
      </c>
      <c r="J574" t="str">
        <f>IFERROR(INDEX(tProdutos[Classe],MATCH(tItens[[#This Row],[Produto]],tProdutos[Produto],0)),"produto não cadastrado")</f>
        <v>DISPUTADO</v>
      </c>
      <c r="K574" s="12">
        <f>tItens[[#This Row],[Qtd]]*tItens[[#This Row],[Vlr unit]]</f>
        <v>44200</v>
      </c>
      <c r="L574" s="6">
        <f>IFERROR(IF(INDEX(tProdutos[Desconto homologado],MATCH(tItens[[#This Row],[Produto]],tProdutos[Produto],0))="",DescontoPadrao,INDEX(tProdutos[Desconto homologado],MATCH(tItens[[#This Row],[Produto]],tProdutos[Produto],0))),DescontoPadrao)</f>
        <v>0.42461538461538501</v>
      </c>
      <c r="M574" s="12">
        <f>tItens[[#This Row],[Valor]]*(1-tItens[[#This Row],[Desconto]])</f>
        <v>25431.999999999982</v>
      </c>
      <c r="N574" t="str">
        <f>IFERROR(INDEX(tProdutos[Foco],MATCH(tItens[[#This Row],[Produto]],tProdutos[Produto],0)),"Não")</f>
        <v>Não</v>
      </c>
      <c r="O574" t="str">
        <f>IFERROR(INDEX(tEditais[SRP],MATCH(tItens[[#This Row],[Edital]],tEditais[Edital],0)),"Não")</f>
        <v>Sim</v>
      </c>
      <c r="P574" s="4">
        <f>IF(COUNTIFS(INDEX(tItens[Edital],1):tItens[[#This Row],[Edital]],tItens[[#This Row],[Edital]],INDEX(tItens[Produto],1):tItens[[#This Row],[Produto]],tItens[[#This Row],[Produto]])=1,1,0)</f>
        <v>0</v>
      </c>
    </row>
    <row r="575" spans="1:16" x14ac:dyDescent="0.25">
      <c r="A575" t="s">
        <v>870</v>
      </c>
      <c r="B575">
        <v>60001</v>
      </c>
      <c r="C575" t="s">
        <v>3774</v>
      </c>
      <c r="D575" t="s">
        <v>317</v>
      </c>
      <c r="E575" s="13">
        <v>55575</v>
      </c>
      <c r="F575" s="12">
        <v>1.44</v>
      </c>
      <c r="G575" t="str">
        <f>IFERROR(INDEX(tEditais[Órgão],MATCH(tItens[[#This Row],[Edital]],tEditais[Edital],0)),"")</f>
        <v>ESTADO DA BAHIA</v>
      </c>
      <c r="H575" t="str">
        <f>IFERROR(INDEX(tEditais[UF],MATCH(tItens[[#This Row],[Edital]],tEditais[Edital],0)),"")</f>
        <v>BA</v>
      </c>
      <c r="I575" s="11">
        <f>IFERROR(INDEX(tEditais[Encerramento],MATCH(tItens[[#This Row],[Edital]],tEditais[Edital],0)),"")</f>
        <v>46309.416666666664</v>
      </c>
      <c r="J575" t="str">
        <f>IFERROR(INDEX(tProdutos[Classe],MATCH(tItens[[#This Row],[Produto]],tProdutos[Produto],0)),"produto não cadastrado")</f>
        <v>FORA</v>
      </c>
      <c r="K575" s="12">
        <f>tItens[[#This Row],[Qtd]]*tItens[[#This Row],[Vlr unit]]</f>
        <v>80028</v>
      </c>
      <c r="L575" s="6">
        <f>IFERROR(IF(INDEX(tProdutos[Desconto homologado],MATCH(tItens[[#This Row],[Produto]],tProdutos[Produto],0))="",DescontoPadrao,INDEX(tProdutos[Desconto homologado],MATCH(tItens[[#This Row],[Produto]],tProdutos[Produto],0))),DescontoPadrao)</f>
        <v>0.5</v>
      </c>
      <c r="M575" s="12">
        <f>tItens[[#This Row],[Valor]]*(1-tItens[[#This Row],[Desconto]])</f>
        <v>40014</v>
      </c>
      <c r="N575" t="str">
        <f>IFERROR(INDEX(tProdutos[Foco],MATCH(tItens[[#This Row],[Produto]],tProdutos[Produto],0)),"Não")</f>
        <v>Não</v>
      </c>
      <c r="O575" t="str">
        <f>IFERROR(INDEX(tEditais[SRP],MATCH(tItens[[#This Row],[Edital]],tEditais[Edital],0)),"Não")</f>
        <v>Sim</v>
      </c>
      <c r="P575" s="4">
        <f>IF(COUNTIFS(INDEX(tItens[Edital],1):tItens[[#This Row],[Edital]],tItens[[#This Row],[Edital]],INDEX(tItens[Produto],1):tItens[[#This Row],[Produto]],tItens[[#This Row],[Produto]])=1,1,0)</f>
        <v>0</v>
      </c>
    </row>
    <row r="576" spans="1:16" x14ac:dyDescent="0.25">
      <c r="A576" t="s">
        <v>873</v>
      </c>
      <c r="B576">
        <v>20001</v>
      </c>
      <c r="C576" t="s">
        <v>3777</v>
      </c>
      <c r="D576" t="s">
        <v>124</v>
      </c>
      <c r="E576" s="13">
        <v>28808</v>
      </c>
      <c r="F576" s="12">
        <v>8.42</v>
      </c>
      <c r="G576" t="str">
        <f>IFERROR(INDEX(tEditais[Órgão],MATCH(tItens[[#This Row],[Edital]],tEditais[Edital],0)),"")</f>
        <v>ESTADO DA BAHIA</v>
      </c>
      <c r="H576" t="str">
        <f>IFERROR(INDEX(tEditais[UF],MATCH(tItens[[#This Row],[Edital]],tEditais[Edital],0)),"")</f>
        <v>BA</v>
      </c>
      <c r="I576" s="11">
        <f>IFERROR(INDEX(tEditais[Encerramento],MATCH(tItens[[#This Row],[Edital]],tEditais[Edital],0)),"")</f>
        <v>46309.416666666664</v>
      </c>
      <c r="J576" t="str">
        <f>IFERROR(INDEX(tProdutos[Classe],MATCH(tItens[[#This Row],[Produto]],tProdutos[Produto],0)),"produto não cadastrado")</f>
        <v>DISPUTADO</v>
      </c>
      <c r="K576" s="12">
        <f>tItens[[#This Row],[Qtd]]*tItens[[#This Row],[Vlr unit]]</f>
        <v>242563.36</v>
      </c>
      <c r="L576" s="6">
        <f>IFERROR(IF(INDEX(tProdutos[Desconto homologado],MATCH(tItens[[#This Row],[Produto]],tProdutos[Produto],0))="",DescontoPadrao,INDEX(tProdutos[Desconto homologado],MATCH(tItens[[#This Row],[Produto]],tProdutos[Produto],0))),DescontoPadrao)</f>
        <v>0.34</v>
      </c>
      <c r="M576" s="12">
        <f>tItens[[#This Row],[Valor]]*(1-tItens[[#This Row],[Desconto]])</f>
        <v>160091.81759999998</v>
      </c>
      <c r="N576" t="str">
        <f>IFERROR(INDEX(tProdutos[Foco],MATCH(tItens[[#This Row],[Produto]],tProdutos[Produto],0)),"Não")</f>
        <v>Sim</v>
      </c>
      <c r="O576" t="str">
        <f>IFERROR(INDEX(tEditais[SRP],MATCH(tItens[[#This Row],[Edital]],tEditais[Edital],0)),"Não")</f>
        <v>Sim</v>
      </c>
      <c r="P576" s="4">
        <f>IF(COUNTIFS(INDEX(tItens[Edital],1):tItens[[#This Row],[Edital]],tItens[[#This Row],[Edital]],INDEX(tItens[Produto],1):tItens[[#This Row],[Produto]],tItens[[#This Row],[Produto]])=1,1,0)</f>
        <v>1</v>
      </c>
    </row>
    <row r="577" spans="1:16" x14ac:dyDescent="0.25">
      <c r="A577" t="s">
        <v>873</v>
      </c>
      <c r="B577">
        <v>60001</v>
      </c>
      <c r="C577" t="s">
        <v>3777</v>
      </c>
      <c r="D577" t="s">
        <v>124</v>
      </c>
      <c r="E577" s="13">
        <v>7202</v>
      </c>
      <c r="F577" s="12">
        <v>8.42</v>
      </c>
      <c r="G577" t="str">
        <f>IFERROR(INDEX(tEditais[Órgão],MATCH(tItens[[#This Row],[Edital]],tEditais[Edital],0)),"")</f>
        <v>ESTADO DA BAHIA</v>
      </c>
      <c r="H577" t="str">
        <f>IFERROR(INDEX(tEditais[UF],MATCH(tItens[[#This Row],[Edital]],tEditais[Edital],0)),"")</f>
        <v>BA</v>
      </c>
      <c r="I577" s="11">
        <f>IFERROR(INDEX(tEditais[Encerramento],MATCH(tItens[[#This Row],[Edital]],tEditais[Edital],0)),"")</f>
        <v>46309.416666666664</v>
      </c>
      <c r="J577" t="str">
        <f>IFERROR(INDEX(tProdutos[Classe],MATCH(tItens[[#This Row],[Produto]],tProdutos[Produto],0)),"produto não cadastrado")</f>
        <v>DISPUTADO</v>
      </c>
      <c r="K577" s="12">
        <f>tItens[[#This Row],[Qtd]]*tItens[[#This Row],[Vlr unit]]</f>
        <v>60640.84</v>
      </c>
      <c r="L577" s="6">
        <f>IFERROR(IF(INDEX(tProdutos[Desconto homologado],MATCH(tItens[[#This Row],[Produto]],tProdutos[Produto],0))="",DescontoPadrao,INDEX(tProdutos[Desconto homologado],MATCH(tItens[[#This Row],[Produto]],tProdutos[Produto],0))),DescontoPadrao)</f>
        <v>0.34</v>
      </c>
      <c r="M577" s="12">
        <f>tItens[[#This Row],[Valor]]*(1-tItens[[#This Row],[Desconto]])</f>
        <v>40022.954399999995</v>
      </c>
      <c r="N577" t="str">
        <f>IFERROR(INDEX(tProdutos[Foco],MATCH(tItens[[#This Row],[Produto]],tProdutos[Produto],0)),"Não")</f>
        <v>Sim</v>
      </c>
      <c r="O577" t="str">
        <f>IFERROR(INDEX(tEditais[SRP],MATCH(tItens[[#This Row],[Edital]],tEditais[Edital],0)),"Não")</f>
        <v>Sim</v>
      </c>
      <c r="P577" s="4">
        <f>IF(COUNTIFS(INDEX(tItens[Edital],1):tItens[[#This Row],[Edital]],tItens[[#This Row],[Edital]],INDEX(tItens[Produto],1):tItens[[#This Row],[Produto]],tItens[[#This Row],[Produto]])=1,1,0)</f>
        <v>0</v>
      </c>
    </row>
    <row r="578" spans="1:16" x14ac:dyDescent="0.25">
      <c r="A578" t="s">
        <v>876</v>
      </c>
      <c r="B578">
        <v>12545531</v>
      </c>
      <c r="C578" t="s">
        <v>3778</v>
      </c>
      <c r="D578" t="s">
        <v>281</v>
      </c>
      <c r="E578" s="13">
        <v>52000</v>
      </c>
      <c r="F578" s="12">
        <v>0.85</v>
      </c>
      <c r="G578" t="str">
        <f>IFERROR(INDEX(tEditais[Órgão],MATCH(tItens[[#This Row],[Edital]],tEditais[Edital],0)),"")</f>
        <v>FUNDO ESTADUAL DE SAUDE DO ESTADO DA BAHIA</v>
      </c>
      <c r="H578" t="str">
        <f>IFERROR(INDEX(tEditais[UF],MATCH(tItens[[#This Row],[Edital]],tEditais[Edital],0)),"")</f>
        <v>BA</v>
      </c>
      <c r="I578" s="11">
        <f>IFERROR(INDEX(tEditais[Encerramento],MATCH(tItens[[#This Row],[Edital]],tEditais[Edital],0)),"")</f>
        <v>46309.416666666664</v>
      </c>
      <c r="J578" t="str">
        <f>IFERROR(INDEX(tProdutos[Classe],MATCH(tItens[[#This Row],[Produto]],tProdutos[Produto],0)),"produto não cadastrado")</f>
        <v>DISPUTADO</v>
      </c>
      <c r="K578" s="12">
        <f>tItens[[#This Row],[Qtd]]*tItens[[#This Row],[Vlr unit]]</f>
        <v>44200</v>
      </c>
      <c r="L578" s="6">
        <f>IFERROR(IF(INDEX(tProdutos[Desconto homologado],MATCH(tItens[[#This Row],[Produto]],tProdutos[Produto],0))="",DescontoPadrao,INDEX(tProdutos[Desconto homologado],MATCH(tItens[[#This Row],[Produto]],tProdutos[Produto],0))),DescontoPadrao)</f>
        <v>0.42461538461538501</v>
      </c>
      <c r="M578" s="12">
        <f>tItens[[#This Row],[Valor]]*(1-tItens[[#This Row],[Desconto]])</f>
        <v>25431.999999999982</v>
      </c>
      <c r="N578" t="str">
        <f>IFERROR(INDEX(tProdutos[Foco],MATCH(tItens[[#This Row],[Produto]],tProdutos[Produto],0)),"Não")</f>
        <v>Não</v>
      </c>
      <c r="O578" t="str">
        <f>IFERROR(INDEX(tEditais[SRP],MATCH(tItens[[#This Row],[Edital]],tEditais[Edital],0)),"Não")</f>
        <v>Não</v>
      </c>
      <c r="P578" s="4">
        <f>IF(COUNTIFS(INDEX(tItens[Edital],1):tItens[[#This Row],[Edital]],tItens[[#This Row],[Edital]],INDEX(tItens[Produto],1):tItens[[#This Row],[Produto]],tItens[[#This Row],[Produto]])=1,1,0)</f>
        <v>1</v>
      </c>
    </row>
    <row r="579" spans="1:16" x14ac:dyDescent="0.25">
      <c r="A579" t="s">
        <v>876</v>
      </c>
      <c r="B579">
        <v>12545532</v>
      </c>
      <c r="C579" t="s">
        <v>3778</v>
      </c>
      <c r="D579" t="s">
        <v>281</v>
      </c>
      <c r="E579" s="13">
        <v>156000</v>
      </c>
      <c r="F579" s="12">
        <v>0.85</v>
      </c>
      <c r="G579" t="str">
        <f>IFERROR(INDEX(tEditais[Órgão],MATCH(tItens[[#This Row],[Edital]],tEditais[Edital],0)),"")</f>
        <v>FUNDO ESTADUAL DE SAUDE DO ESTADO DA BAHIA</v>
      </c>
      <c r="H579" t="str">
        <f>IFERROR(INDEX(tEditais[UF],MATCH(tItens[[#This Row],[Edital]],tEditais[Edital],0)),"")</f>
        <v>BA</v>
      </c>
      <c r="I579" s="11">
        <f>IFERROR(INDEX(tEditais[Encerramento],MATCH(tItens[[#This Row],[Edital]],tEditais[Edital],0)),"")</f>
        <v>46309.416666666664</v>
      </c>
      <c r="J579" t="str">
        <f>IFERROR(INDEX(tProdutos[Classe],MATCH(tItens[[#This Row],[Produto]],tProdutos[Produto],0)),"produto não cadastrado")</f>
        <v>DISPUTADO</v>
      </c>
      <c r="K579" s="12">
        <f>tItens[[#This Row],[Qtd]]*tItens[[#This Row],[Vlr unit]]</f>
        <v>132600</v>
      </c>
      <c r="L579" s="6">
        <f>IFERROR(IF(INDEX(tProdutos[Desconto homologado],MATCH(tItens[[#This Row],[Produto]],tProdutos[Produto],0))="",DescontoPadrao,INDEX(tProdutos[Desconto homologado],MATCH(tItens[[#This Row],[Produto]],tProdutos[Produto],0))),DescontoPadrao)</f>
        <v>0.42461538461538501</v>
      </c>
      <c r="M579" s="12">
        <f>tItens[[#This Row],[Valor]]*(1-tItens[[#This Row],[Desconto]])</f>
        <v>76295.999999999942</v>
      </c>
      <c r="N579" t="str">
        <f>IFERROR(INDEX(tProdutos[Foco],MATCH(tItens[[#This Row],[Produto]],tProdutos[Produto],0)),"Não")</f>
        <v>Não</v>
      </c>
      <c r="O579" t="str">
        <f>IFERROR(INDEX(tEditais[SRP],MATCH(tItens[[#This Row],[Edital]],tEditais[Edital],0)),"Não")</f>
        <v>Não</v>
      </c>
      <c r="P579" s="4">
        <f>IF(COUNTIFS(INDEX(tItens[Edital],1):tItens[[#This Row],[Edital]],tItens[[#This Row],[Edital]],INDEX(tItens[Produto],1):tItens[[#This Row],[Produto]],tItens[[#This Row],[Produto]])=1,1,0)</f>
        <v>0</v>
      </c>
    </row>
    <row r="580" spans="1:16" x14ac:dyDescent="0.25">
      <c r="A580" t="s">
        <v>876</v>
      </c>
      <c r="B580">
        <v>12920131</v>
      </c>
      <c r="C580" t="s">
        <v>3775</v>
      </c>
      <c r="D580" t="s">
        <v>317</v>
      </c>
      <c r="E580" s="13">
        <v>166725</v>
      </c>
      <c r="F580" s="12">
        <v>1.44</v>
      </c>
      <c r="G580" t="str">
        <f>IFERROR(INDEX(tEditais[Órgão],MATCH(tItens[[#This Row],[Edital]],tEditais[Edital],0)),"")</f>
        <v>FUNDO ESTADUAL DE SAUDE DO ESTADO DA BAHIA</v>
      </c>
      <c r="H580" t="str">
        <f>IFERROR(INDEX(tEditais[UF],MATCH(tItens[[#This Row],[Edital]],tEditais[Edital],0)),"")</f>
        <v>BA</v>
      </c>
      <c r="I580" s="11">
        <f>IFERROR(INDEX(tEditais[Encerramento],MATCH(tItens[[#This Row],[Edital]],tEditais[Edital],0)),"")</f>
        <v>46309.416666666664</v>
      </c>
      <c r="J580" t="str">
        <f>IFERROR(INDEX(tProdutos[Classe],MATCH(tItens[[#This Row],[Produto]],tProdutos[Produto],0)),"produto não cadastrado")</f>
        <v>FORA</v>
      </c>
      <c r="K580" s="12">
        <f>tItens[[#This Row],[Qtd]]*tItens[[#This Row],[Vlr unit]]</f>
        <v>240084</v>
      </c>
      <c r="L580" s="6">
        <f>IFERROR(IF(INDEX(tProdutos[Desconto homologado],MATCH(tItens[[#This Row],[Produto]],tProdutos[Produto],0))="",DescontoPadrao,INDEX(tProdutos[Desconto homologado],MATCH(tItens[[#This Row],[Produto]],tProdutos[Produto],0))),DescontoPadrao)</f>
        <v>0.5</v>
      </c>
      <c r="M580" s="12">
        <f>tItens[[#This Row],[Valor]]*(1-tItens[[#This Row],[Desconto]])</f>
        <v>120042</v>
      </c>
      <c r="N580" t="str">
        <f>IFERROR(INDEX(tProdutos[Foco],MATCH(tItens[[#This Row],[Produto]],tProdutos[Produto],0)),"Não")</f>
        <v>Não</v>
      </c>
      <c r="O580" t="str">
        <f>IFERROR(INDEX(tEditais[SRP],MATCH(tItens[[#This Row],[Edital]],tEditais[Edital],0)),"Não")</f>
        <v>Não</v>
      </c>
      <c r="P580" s="4">
        <f>IF(COUNTIFS(INDEX(tItens[Edital],1):tItens[[#This Row],[Edital]],tItens[[#This Row],[Edital]],INDEX(tItens[Produto],1):tItens[[#This Row],[Produto]],tItens[[#This Row],[Produto]])=1,1,0)</f>
        <v>1</v>
      </c>
    </row>
    <row r="581" spans="1:16" x14ac:dyDescent="0.25">
      <c r="A581" t="s">
        <v>876</v>
      </c>
      <c r="B581">
        <v>12920132</v>
      </c>
      <c r="C581" t="s">
        <v>3775</v>
      </c>
      <c r="D581" t="s">
        <v>317</v>
      </c>
      <c r="E581" s="13">
        <v>55575</v>
      </c>
      <c r="F581" s="12">
        <v>1.44</v>
      </c>
      <c r="G581" t="str">
        <f>IFERROR(INDEX(tEditais[Órgão],MATCH(tItens[[#This Row],[Edital]],tEditais[Edital],0)),"")</f>
        <v>FUNDO ESTADUAL DE SAUDE DO ESTADO DA BAHIA</v>
      </c>
      <c r="H581" t="str">
        <f>IFERROR(INDEX(tEditais[UF],MATCH(tItens[[#This Row],[Edital]],tEditais[Edital],0)),"")</f>
        <v>BA</v>
      </c>
      <c r="I581" s="11">
        <f>IFERROR(INDEX(tEditais[Encerramento],MATCH(tItens[[#This Row],[Edital]],tEditais[Edital],0)),"")</f>
        <v>46309.416666666664</v>
      </c>
      <c r="J581" t="str">
        <f>IFERROR(INDEX(tProdutos[Classe],MATCH(tItens[[#This Row],[Produto]],tProdutos[Produto],0)),"produto não cadastrado")</f>
        <v>FORA</v>
      </c>
      <c r="K581" s="12">
        <f>tItens[[#This Row],[Qtd]]*tItens[[#This Row],[Vlr unit]]</f>
        <v>80028</v>
      </c>
      <c r="L581" s="6">
        <f>IFERROR(IF(INDEX(tProdutos[Desconto homologado],MATCH(tItens[[#This Row],[Produto]],tProdutos[Produto],0))="",DescontoPadrao,INDEX(tProdutos[Desconto homologado],MATCH(tItens[[#This Row],[Produto]],tProdutos[Produto],0))),DescontoPadrao)</f>
        <v>0.5</v>
      </c>
      <c r="M581" s="12">
        <f>tItens[[#This Row],[Valor]]*(1-tItens[[#This Row],[Desconto]])</f>
        <v>40014</v>
      </c>
      <c r="N581" t="str">
        <f>IFERROR(INDEX(tProdutos[Foco],MATCH(tItens[[#This Row],[Produto]],tProdutos[Produto],0)),"Não")</f>
        <v>Não</v>
      </c>
      <c r="O581" t="str">
        <f>IFERROR(INDEX(tEditais[SRP],MATCH(tItens[[#This Row],[Edital]],tEditais[Edital],0)),"Não")</f>
        <v>Não</v>
      </c>
      <c r="P581" s="4">
        <f>IF(COUNTIFS(INDEX(tItens[Edital],1):tItens[[#This Row],[Edital]],tItens[[#This Row],[Edital]],INDEX(tItens[Produto],1):tItens[[#This Row],[Produto]],tItens[[#This Row],[Produto]])=1,1,0)</f>
        <v>0</v>
      </c>
    </row>
    <row r="582" spans="1:16" x14ac:dyDescent="0.25">
      <c r="A582" t="s">
        <v>877</v>
      </c>
      <c r="B582">
        <v>128627</v>
      </c>
      <c r="C582" t="s">
        <v>3779</v>
      </c>
      <c r="D582" t="s">
        <v>461</v>
      </c>
      <c r="E582" s="13">
        <v>240</v>
      </c>
      <c r="F582" s="12">
        <v>27</v>
      </c>
      <c r="G582" t="str">
        <f>IFERROR(INDEX(tEditais[Órgão],MATCH(tItens[[#This Row],[Edital]],tEditais[Edital],0)),"")</f>
        <v>FUNDO ESTADUAL DE SAUDE DO ESTADO DA BAHIA</v>
      </c>
      <c r="H582" t="str">
        <f>IFERROR(INDEX(tEditais[UF],MATCH(tItens[[#This Row],[Edital]],tEditais[Edital],0)),"")</f>
        <v>BA</v>
      </c>
      <c r="I582" s="11">
        <f>IFERROR(INDEX(tEditais[Encerramento],MATCH(tItens[[#This Row],[Edital]],tEditais[Edital],0)),"")</f>
        <v>46309.479166666664</v>
      </c>
      <c r="J582" t="str">
        <f>IFERROR(INDEX(tProdutos[Classe],MATCH(tItens[[#This Row],[Produto]],tProdutos[Produto],0)),"produto não cadastrado")</f>
        <v>FILA REBASE</v>
      </c>
      <c r="K582" s="12">
        <f>tItens[[#This Row],[Qtd]]*tItens[[#This Row],[Vlr unit]]</f>
        <v>6480</v>
      </c>
      <c r="L582" s="6">
        <f>IFERROR(IF(INDEX(tProdutos[Desconto homologado],MATCH(tItens[[#This Row],[Produto]],tProdutos[Produto],0))="",DescontoPadrao,INDEX(tProdutos[Desconto homologado],MATCH(tItens[[#This Row],[Produto]],tProdutos[Produto],0))),DescontoPadrao)</f>
        <v>0.44096385542168698</v>
      </c>
      <c r="M582" s="12">
        <f>tItens[[#This Row],[Valor]]*(1-tItens[[#This Row],[Desconto]])</f>
        <v>3622.5542168674679</v>
      </c>
      <c r="N582" t="str">
        <f>IFERROR(INDEX(tProdutos[Foco],MATCH(tItens[[#This Row],[Produto]],tProdutos[Produto],0)),"Não")</f>
        <v>Não</v>
      </c>
      <c r="O582" t="str">
        <f>IFERROR(INDEX(tEditais[SRP],MATCH(tItens[[#This Row],[Edital]],tEditais[Edital],0)),"Não")</f>
        <v>Não</v>
      </c>
      <c r="P582" s="4">
        <f>IF(COUNTIFS(INDEX(tItens[Edital],1):tItens[[#This Row],[Edital]],tItens[[#This Row],[Edital]],INDEX(tItens[Produto],1):tItens[[#This Row],[Produto]],tItens[[#This Row],[Produto]])=1,1,0)</f>
        <v>1</v>
      </c>
    </row>
    <row r="583" spans="1:16" x14ac:dyDescent="0.25">
      <c r="A583" t="s">
        <v>877</v>
      </c>
      <c r="B583">
        <v>1158180</v>
      </c>
      <c r="C583" t="s">
        <v>3780</v>
      </c>
      <c r="D583" t="s">
        <v>461</v>
      </c>
      <c r="E583" s="13">
        <v>288</v>
      </c>
      <c r="F583" s="12">
        <v>50</v>
      </c>
      <c r="G583" t="str">
        <f>IFERROR(INDEX(tEditais[Órgão],MATCH(tItens[[#This Row],[Edital]],tEditais[Edital],0)),"")</f>
        <v>FUNDO ESTADUAL DE SAUDE DO ESTADO DA BAHIA</v>
      </c>
      <c r="H583" t="str">
        <f>IFERROR(INDEX(tEditais[UF],MATCH(tItens[[#This Row],[Edital]],tEditais[Edital],0)),"")</f>
        <v>BA</v>
      </c>
      <c r="I583" s="11">
        <f>IFERROR(INDEX(tEditais[Encerramento],MATCH(tItens[[#This Row],[Edital]],tEditais[Edital],0)),"")</f>
        <v>46309.479166666664</v>
      </c>
      <c r="J583" t="str">
        <f>IFERROR(INDEX(tProdutos[Classe],MATCH(tItens[[#This Row],[Produto]],tProdutos[Produto],0)),"produto não cadastrado")</f>
        <v>FILA REBASE</v>
      </c>
      <c r="K583" s="12">
        <f>tItens[[#This Row],[Qtd]]*tItens[[#This Row],[Vlr unit]]</f>
        <v>14400</v>
      </c>
      <c r="L583" s="6">
        <f>IFERROR(IF(INDEX(tProdutos[Desconto homologado],MATCH(tItens[[#This Row],[Produto]],tProdutos[Produto],0))="",DescontoPadrao,INDEX(tProdutos[Desconto homologado],MATCH(tItens[[#This Row],[Produto]],tProdutos[Produto],0))),DescontoPadrao)</f>
        <v>0.44096385542168698</v>
      </c>
      <c r="M583" s="12">
        <f>tItens[[#This Row],[Valor]]*(1-tItens[[#This Row],[Desconto]])</f>
        <v>8050.1204819277064</v>
      </c>
      <c r="N583" t="str">
        <f>IFERROR(INDEX(tProdutos[Foco],MATCH(tItens[[#This Row],[Produto]],tProdutos[Produto],0)),"Não")</f>
        <v>Não</v>
      </c>
      <c r="O583" t="str">
        <f>IFERROR(INDEX(tEditais[SRP],MATCH(tItens[[#This Row],[Edital]],tEditais[Edital],0)),"Não")</f>
        <v>Não</v>
      </c>
      <c r="P583" s="4">
        <f>IF(COUNTIFS(INDEX(tItens[Edital],1):tItens[[#This Row],[Edital]],tItens[[#This Row],[Edital]],INDEX(tItens[Produto],1):tItens[[#This Row],[Produto]],tItens[[#This Row],[Produto]])=1,1,0)</f>
        <v>0</v>
      </c>
    </row>
    <row r="584" spans="1:16" x14ac:dyDescent="0.25">
      <c r="A584" t="s">
        <v>879</v>
      </c>
      <c r="B584">
        <v>309095</v>
      </c>
      <c r="C584" t="s">
        <v>3781</v>
      </c>
      <c r="D584" t="s">
        <v>411</v>
      </c>
      <c r="E584" s="13">
        <v>10</v>
      </c>
      <c r="F584" s="12">
        <v>126.85</v>
      </c>
      <c r="G584" t="str">
        <f>IFERROR(INDEX(tEditais[Órgão],MATCH(tItens[[#This Row],[Edital]],tEditais[Edital],0)),"")</f>
        <v>POLICIA MILITAR DA BAHIA</v>
      </c>
      <c r="H584" t="str">
        <f>IFERROR(INDEX(tEditais[UF],MATCH(tItens[[#This Row],[Edital]],tEditais[Edital],0)),"")</f>
        <v>BA</v>
      </c>
      <c r="I584" s="11">
        <f>IFERROR(INDEX(tEditais[Encerramento],MATCH(tItens[[#This Row],[Edital]],tEditais[Edital],0)),"")</f>
        <v>46309.479166666664</v>
      </c>
      <c r="J584" t="str">
        <f>IFERROR(INDEX(tProdutos[Classe],MATCH(tItens[[#This Row],[Produto]],tProdutos[Produto],0)),"produto não cadastrado")</f>
        <v>FORA</v>
      </c>
      <c r="K584" s="12">
        <f>tItens[[#This Row],[Qtd]]*tItens[[#This Row],[Vlr unit]]</f>
        <v>1268.5</v>
      </c>
      <c r="L584" s="6">
        <f>IFERROR(IF(INDEX(tProdutos[Desconto homologado],MATCH(tItens[[#This Row],[Produto]],tProdutos[Produto],0))="",DescontoPadrao,INDEX(tProdutos[Desconto homologado],MATCH(tItens[[#This Row],[Produto]],tProdutos[Produto],0))),DescontoPadrao)</f>
        <v>0.50029835957199398</v>
      </c>
      <c r="M584" s="12">
        <f>tItens[[#This Row],[Valor]]*(1-tItens[[#This Row],[Desconto]])</f>
        <v>633.87153088292564</v>
      </c>
      <c r="N584" t="str">
        <f>IFERROR(INDEX(tProdutos[Foco],MATCH(tItens[[#This Row],[Produto]],tProdutos[Produto],0)),"Não")</f>
        <v>Não</v>
      </c>
      <c r="O584" t="str">
        <f>IFERROR(INDEX(tEditais[SRP],MATCH(tItens[[#This Row],[Edital]],tEditais[Edital],0)),"Não")</f>
        <v>Não</v>
      </c>
      <c r="P584" s="4">
        <f>IF(COUNTIFS(INDEX(tItens[Edital],1):tItens[[#This Row],[Edital]],tItens[[#This Row],[Edital]],INDEX(tItens[Produto],1):tItens[[#This Row],[Produto]],tItens[[#This Row],[Produto]])=1,1,0)</f>
        <v>1</v>
      </c>
    </row>
    <row r="585" spans="1:16" x14ac:dyDescent="0.25">
      <c r="A585" t="s">
        <v>882</v>
      </c>
      <c r="B585">
        <v>17566</v>
      </c>
      <c r="C585" t="s">
        <v>3782</v>
      </c>
      <c r="D585" t="s">
        <v>82</v>
      </c>
      <c r="E585" s="13">
        <v>5</v>
      </c>
      <c r="F585" s="12">
        <v>96</v>
      </c>
      <c r="G585" t="str">
        <f>IFERROR(INDEX(tEditais[Órgão],MATCH(tItens[[#This Row],[Edital]],tEditais[Edital],0)),"")</f>
        <v>POLICIA MILITAR DA BAHIA</v>
      </c>
      <c r="H585" t="str">
        <f>IFERROR(INDEX(tEditais[UF],MATCH(tItens[[#This Row],[Edital]],tEditais[Edital],0)),"")</f>
        <v>BA</v>
      </c>
      <c r="I585" s="11">
        <f>IFERROR(INDEX(tEditais[Encerramento],MATCH(tItens[[#This Row],[Edital]],tEditais[Edital],0)),"")</f>
        <v>46309.645833333336</v>
      </c>
      <c r="J585" t="str">
        <f>IFERROR(INDEX(tProdutos[Classe],MATCH(tItens[[#This Row],[Produto]],tProdutos[Produto],0)),"produto não cadastrado")</f>
        <v>NÚCLEO</v>
      </c>
      <c r="K585" s="12">
        <f>tItens[[#This Row],[Qtd]]*tItens[[#This Row],[Vlr unit]]</f>
        <v>480</v>
      </c>
      <c r="L585" s="6">
        <f>IFERROR(IF(INDEX(tProdutos[Desconto homologado],MATCH(tItens[[#This Row],[Produto]],tProdutos[Produto],0))="",DescontoPadrao,INDEX(tProdutos[Desconto homologado],MATCH(tItens[[#This Row],[Produto]],tProdutos[Produto],0))),DescontoPadrao)</f>
        <v>0.40487090276506099</v>
      </c>
      <c r="M585" s="12">
        <f>tItens[[#This Row],[Valor]]*(1-tItens[[#This Row],[Desconto]])</f>
        <v>285.66196667277075</v>
      </c>
      <c r="N585" t="str">
        <f>IFERROR(INDEX(tProdutos[Foco],MATCH(tItens[[#This Row],[Produto]],tProdutos[Produto],0)),"Não")</f>
        <v>Não</v>
      </c>
      <c r="O585" t="str">
        <f>IFERROR(INDEX(tEditais[SRP],MATCH(tItens[[#This Row],[Edital]],tEditais[Edital],0)),"Não")</f>
        <v>Não</v>
      </c>
      <c r="P585" s="4">
        <f>IF(COUNTIFS(INDEX(tItens[Edital],1):tItens[[#This Row],[Edital]],tItens[[#This Row],[Edital]],INDEX(tItens[Produto],1):tItens[[#This Row],[Produto]],tItens[[#This Row],[Produto]])=1,1,0)</f>
        <v>1</v>
      </c>
    </row>
    <row r="586" spans="1:16" x14ac:dyDescent="0.25">
      <c r="A586" t="s">
        <v>882</v>
      </c>
      <c r="B586">
        <v>81990</v>
      </c>
      <c r="C586" t="s">
        <v>3783</v>
      </c>
      <c r="D586" t="s">
        <v>241</v>
      </c>
      <c r="E586" s="13">
        <v>40</v>
      </c>
      <c r="F586" s="12">
        <v>11.8</v>
      </c>
      <c r="G586" t="str">
        <f>IFERROR(INDEX(tEditais[Órgão],MATCH(tItens[[#This Row],[Edital]],tEditais[Edital],0)),"")</f>
        <v>POLICIA MILITAR DA BAHIA</v>
      </c>
      <c r="H586" t="str">
        <f>IFERROR(INDEX(tEditais[UF],MATCH(tItens[[#This Row],[Edital]],tEditais[Edital],0)),"")</f>
        <v>BA</v>
      </c>
      <c r="I586" s="11">
        <f>IFERROR(INDEX(tEditais[Encerramento],MATCH(tItens[[#This Row],[Edital]],tEditais[Edital],0)),"")</f>
        <v>46309.645833333336</v>
      </c>
      <c r="J586" t="str">
        <f>IFERROR(INDEX(tProdutos[Classe],MATCH(tItens[[#This Row],[Produto]],tProdutos[Produto],0)),"produto não cadastrado")</f>
        <v>DISPUTADO</v>
      </c>
      <c r="K586" s="12">
        <f>tItens[[#This Row],[Qtd]]*tItens[[#This Row],[Vlr unit]]</f>
        <v>472</v>
      </c>
      <c r="L586" s="6">
        <f>IFERROR(IF(INDEX(tProdutos[Desconto homologado],MATCH(tItens[[#This Row],[Produto]],tProdutos[Produto],0))="",DescontoPadrao,INDEX(tProdutos[Desconto homologado],MATCH(tItens[[#This Row],[Produto]],tProdutos[Produto],0))),DescontoPadrao)</f>
        <v>0.36881329157903497</v>
      </c>
      <c r="M586" s="12">
        <f>tItens[[#This Row],[Valor]]*(1-tItens[[#This Row],[Desconto]])</f>
        <v>297.92012637469549</v>
      </c>
      <c r="N586" t="str">
        <f>IFERROR(INDEX(tProdutos[Foco],MATCH(tItens[[#This Row],[Produto]],tProdutos[Produto],0)),"Não")</f>
        <v>Não</v>
      </c>
      <c r="O586" t="str">
        <f>IFERROR(INDEX(tEditais[SRP],MATCH(tItens[[#This Row],[Edital]],tEditais[Edital],0)),"Não")</f>
        <v>Não</v>
      </c>
      <c r="P586" s="4">
        <f>IF(COUNTIFS(INDEX(tItens[Edital],1):tItens[[#This Row],[Edital]],tItens[[#This Row],[Edital]],INDEX(tItens[Produto],1):tItens[[#This Row],[Produto]],tItens[[#This Row],[Produto]])=1,1,0)</f>
        <v>1</v>
      </c>
    </row>
    <row r="587" spans="1:16" x14ac:dyDescent="0.25">
      <c r="A587" t="s">
        <v>882</v>
      </c>
      <c r="B587">
        <v>90573</v>
      </c>
      <c r="C587" t="s">
        <v>3784</v>
      </c>
      <c r="D587" t="s">
        <v>71</v>
      </c>
      <c r="E587" s="13">
        <v>3</v>
      </c>
      <c r="F587" s="12">
        <v>46.27</v>
      </c>
      <c r="G587" t="str">
        <f>IFERROR(INDEX(tEditais[Órgão],MATCH(tItens[[#This Row],[Edital]],tEditais[Edital],0)),"")</f>
        <v>POLICIA MILITAR DA BAHIA</v>
      </c>
      <c r="H587" t="str">
        <f>IFERROR(INDEX(tEditais[UF],MATCH(tItens[[#This Row],[Edital]],tEditais[Edital],0)),"")</f>
        <v>BA</v>
      </c>
      <c r="I587" s="11">
        <f>IFERROR(INDEX(tEditais[Encerramento],MATCH(tItens[[#This Row],[Edital]],tEditais[Edital],0)),"")</f>
        <v>46309.645833333336</v>
      </c>
      <c r="J587" t="str">
        <f>IFERROR(INDEX(tProdutos[Classe],MATCH(tItens[[#This Row],[Produto]],tProdutos[Produto],0)),"produto não cadastrado")</f>
        <v>NÚCLEO</v>
      </c>
      <c r="K587" s="12">
        <f>tItens[[#This Row],[Qtd]]*tItens[[#This Row],[Vlr unit]]</f>
        <v>138.81</v>
      </c>
      <c r="L587" s="6">
        <f>IFERROR(IF(INDEX(tProdutos[Desconto homologado],MATCH(tItens[[#This Row],[Produto]],tProdutos[Produto],0))="",DescontoPadrao,INDEX(tProdutos[Desconto homologado],MATCH(tItens[[#This Row],[Produto]],tProdutos[Produto],0))),DescontoPadrao)</f>
        <v>0.44981412639405199</v>
      </c>
      <c r="M587" s="12">
        <f>tItens[[#This Row],[Valor]]*(1-tItens[[#This Row],[Desconto]])</f>
        <v>76.371301115241636</v>
      </c>
      <c r="N587" t="str">
        <f>IFERROR(INDEX(tProdutos[Foco],MATCH(tItens[[#This Row],[Produto]],tProdutos[Produto],0)),"Não")</f>
        <v>Não</v>
      </c>
      <c r="O587" t="str">
        <f>IFERROR(INDEX(tEditais[SRP],MATCH(tItens[[#This Row],[Edital]],tEditais[Edital],0)),"Não")</f>
        <v>Não</v>
      </c>
      <c r="P587" s="4">
        <f>IF(COUNTIFS(INDEX(tItens[Edital],1):tItens[[#This Row],[Edital]],tItens[[#This Row],[Edital]],INDEX(tItens[Produto],1):tItens[[#This Row],[Produto]],tItens[[#This Row],[Produto]])=1,1,0)</f>
        <v>1</v>
      </c>
    </row>
    <row r="588" spans="1:16" x14ac:dyDescent="0.25">
      <c r="A588" t="s">
        <v>882</v>
      </c>
      <c r="B588">
        <v>174998</v>
      </c>
      <c r="C588" t="s">
        <v>3785</v>
      </c>
      <c r="D588" t="s">
        <v>182</v>
      </c>
      <c r="E588" s="13">
        <v>6</v>
      </c>
      <c r="F588" s="12">
        <v>4.59</v>
      </c>
      <c r="G588" t="str">
        <f>IFERROR(INDEX(tEditais[Órgão],MATCH(tItens[[#This Row],[Edital]],tEditais[Edital],0)),"")</f>
        <v>POLICIA MILITAR DA BAHIA</v>
      </c>
      <c r="H588" t="str">
        <f>IFERROR(INDEX(tEditais[UF],MATCH(tItens[[#This Row],[Edital]],tEditais[Edital],0)),"")</f>
        <v>BA</v>
      </c>
      <c r="I588" s="11">
        <f>IFERROR(INDEX(tEditais[Encerramento],MATCH(tItens[[#This Row],[Edital]],tEditais[Edital],0)),"")</f>
        <v>46309.645833333336</v>
      </c>
      <c r="J588" t="str">
        <f>IFERROR(INDEX(tProdutos[Classe],MATCH(tItens[[#This Row],[Produto]],tProdutos[Produto],0)),"produto não cadastrado")</f>
        <v>DISPUTADO</v>
      </c>
      <c r="K588" s="12">
        <f>tItens[[#This Row],[Qtd]]*tItens[[#This Row],[Vlr unit]]</f>
        <v>27.54</v>
      </c>
      <c r="L588" s="6">
        <f>IFERROR(IF(INDEX(tProdutos[Desconto homologado],MATCH(tItens[[#This Row],[Produto]],tProdutos[Produto],0))="",DescontoPadrao,INDEX(tProdutos[Desconto homologado],MATCH(tItens[[#This Row],[Produto]],tProdutos[Produto],0))),DescontoPadrao)</f>
        <v>0.35691391041019399</v>
      </c>
      <c r="M588" s="12">
        <f>tItens[[#This Row],[Valor]]*(1-tItens[[#This Row],[Desconto]])</f>
        <v>17.71059090730326</v>
      </c>
      <c r="N588" t="str">
        <f>IFERROR(INDEX(tProdutos[Foco],MATCH(tItens[[#This Row],[Produto]],tProdutos[Produto],0)),"Não")</f>
        <v>Não</v>
      </c>
      <c r="O588" t="str">
        <f>IFERROR(INDEX(tEditais[SRP],MATCH(tItens[[#This Row],[Edital]],tEditais[Edital],0)),"Não")</f>
        <v>Não</v>
      </c>
      <c r="P588" s="4">
        <f>IF(COUNTIFS(INDEX(tItens[Edital],1):tItens[[#This Row],[Edital]],tItens[[#This Row],[Edital]],INDEX(tItens[Produto],1):tItens[[#This Row],[Produto]],tItens[[#This Row],[Produto]])=1,1,0)</f>
        <v>1</v>
      </c>
    </row>
    <row r="589" spans="1:16" x14ac:dyDescent="0.25">
      <c r="A589" t="s">
        <v>882</v>
      </c>
      <c r="B589">
        <v>179850</v>
      </c>
      <c r="C589" t="s">
        <v>3786</v>
      </c>
      <c r="D589" t="s">
        <v>86</v>
      </c>
      <c r="E589" s="13">
        <v>1000</v>
      </c>
      <c r="F589" s="12">
        <v>0.33</v>
      </c>
      <c r="G589" t="str">
        <f>IFERROR(INDEX(tEditais[Órgão],MATCH(tItens[[#This Row],[Edital]],tEditais[Edital],0)),"")</f>
        <v>POLICIA MILITAR DA BAHIA</v>
      </c>
      <c r="H589" t="str">
        <f>IFERROR(INDEX(tEditais[UF],MATCH(tItens[[#This Row],[Edital]],tEditais[Edital],0)),"")</f>
        <v>BA</v>
      </c>
      <c r="I589" s="11">
        <f>IFERROR(INDEX(tEditais[Encerramento],MATCH(tItens[[#This Row],[Edital]],tEditais[Edital],0)),"")</f>
        <v>46309.645833333336</v>
      </c>
      <c r="J589" t="str">
        <f>IFERROR(INDEX(tProdutos[Classe],MATCH(tItens[[#This Row],[Produto]],tProdutos[Produto],0)),"produto não cadastrado")</f>
        <v>NÚCLEO</v>
      </c>
      <c r="K589" s="12">
        <f>tItens[[#This Row],[Qtd]]*tItens[[#This Row],[Vlr unit]]</f>
        <v>330</v>
      </c>
      <c r="L589" s="6">
        <f>IFERROR(IF(INDEX(tProdutos[Desconto homologado],MATCH(tItens[[#This Row],[Produto]],tProdutos[Produto],0))="",DescontoPadrao,INDEX(tProdutos[Desconto homologado],MATCH(tItens[[#This Row],[Produto]],tProdutos[Produto],0))),DescontoPadrao)</f>
        <v>0.20202020202020199</v>
      </c>
      <c r="M589" s="12">
        <f>tItens[[#This Row],[Valor]]*(1-tItens[[#This Row],[Desconto]])</f>
        <v>263.33333333333337</v>
      </c>
      <c r="N589" t="str">
        <f>IFERROR(INDEX(tProdutos[Foco],MATCH(tItens[[#This Row],[Produto]],tProdutos[Produto],0)),"Não")</f>
        <v>Não</v>
      </c>
      <c r="O589" t="str">
        <f>IFERROR(INDEX(tEditais[SRP],MATCH(tItens[[#This Row],[Edital]],tEditais[Edital],0)),"Não")</f>
        <v>Não</v>
      </c>
      <c r="P589" s="4">
        <f>IF(COUNTIFS(INDEX(tItens[Edital],1):tItens[[#This Row],[Edital]],tItens[[#This Row],[Edital]],INDEX(tItens[Produto],1):tItens[[#This Row],[Produto]],tItens[[#This Row],[Produto]])=1,1,0)</f>
        <v>1</v>
      </c>
    </row>
    <row r="590" spans="1:16" x14ac:dyDescent="0.25">
      <c r="A590" t="s">
        <v>882</v>
      </c>
      <c r="B590">
        <v>208345</v>
      </c>
      <c r="C590" t="s">
        <v>3787</v>
      </c>
      <c r="D590" t="s">
        <v>281</v>
      </c>
      <c r="E590" s="13">
        <v>200</v>
      </c>
      <c r="F590" s="12">
        <v>1.06</v>
      </c>
      <c r="G590" t="str">
        <f>IFERROR(INDEX(tEditais[Órgão],MATCH(tItens[[#This Row],[Edital]],tEditais[Edital],0)),"")</f>
        <v>POLICIA MILITAR DA BAHIA</v>
      </c>
      <c r="H590" t="str">
        <f>IFERROR(INDEX(tEditais[UF],MATCH(tItens[[#This Row],[Edital]],tEditais[Edital],0)),"")</f>
        <v>BA</v>
      </c>
      <c r="I590" s="11">
        <f>IFERROR(INDEX(tEditais[Encerramento],MATCH(tItens[[#This Row],[Edital]],tEditais[Edital],0)),"")</f>
        <v>46309.645833333336</v>
      </c>
      <c r="J590" t="str">
        <f>IFERROR(INDEX(tProdutos[Classe],MATCH(tItens[[#This Row],[Produto]],tProdutos[Produto],0)),"produto não cadastrado")</f>
        <v>DISPUTADO</v>
      </c>
      <c r="K590" s="12">
        <f>tItens[[#This Row],[Qtd]]*tItens[[#This Row],[Vlr unit]]</f>
        <v>212</v>
      </c>
      <c r="L590" s="6">
        <f>IFERROR(IF(INDEX(tProdutos[Desconto homologado],MATCH(tItens[[#This Row],[Produto]],tProdutos[Produto],0))="",DescontoPadrao,INDEX(tProdutos[Desconto homologado],MATCH(tItens[[#This Row],[Produto]],tProdutos[Produto],0))),DescontoPadrao)</f>
        <v>0.42461538461538501</v>
      </c>
      <c r="M590" s="12">
        <f>tItens[[#This Row],[Valor]]*(1-tItens[[#This Row],[Desconto]])</f>
        <v>121.98153846153836</v>
      </c>
      <c r="N590" t="str">
        <f>IFERROR(INDEX(tProdutos[Foco],MATCH(tItens[[#This Row],[Produto]],tProdutos[Produto],0)),"Não")</f>
        <v>Não</v>
      </c>
      <c r="O590" t="str">
        <f>IFERROR(INDEX(tEditais[SRP],MATCH(tItens[[#This Row],[Edital]],tEditais[Edital],0)),"Não")</f>
        <v>Não</v>
      </c>
      <c r="P590" s="4">
        <f>IF(COUNTIFS(INDEX(tItens[Edital],1):tItens[[#This Row],[Edital]],tItens[[#This Row],[Edital]],INDEX(tItens[Produto],1):tItens[[#This Row],[Produto]],tItens[[#This Row],[Produto]])=1,1,0)</f>
        <v>1</v>
      </c>
    </row>
    <row r="591" spans="1:16" x14ac:dyDescent="0.25">
      <c r="A591" t="s">
        <v>882</v>
      </c>
      <c r="B591">
        <v>1187848</v>
      </c>
      <c r="C591" t="s">
        <v>3788</v>
      </c>
      <c r="D591" t="s">
        <v>267</v>
      </c>
      <c r="E591" s="13">
        <v>6</v>
      </c>
      <c r="F591" s="12">
        <v>34.79</v>
      </c>
      <c r="G591" t="str">
        <f>IFERROR(INDEX(tEditais[Órgão],MATCH(tItens[[#This Row],[Edital]],tEditais[Edital],0)),"")</f>
        <v>POLICIA MILITAR DA BAHIA</v>
      </c>
      <c r="H591" t="str">
        <f>IFERROR(INDEX(tEditais[UF],MATCH(tItens[[#This Row],[Edital]],tEditais[Edital],0)),"")</f>
        <v>BA</v>
      </c>
      <c r="I591" s="11">
        <f>IFERROR(INDEX(tEditais[Encerramento],MATCH(tItens[[#This Row],[Edital]],tEditais[Edital],0)),"")</f>
        <v>46309.645833333336</v>
      </c>
      <c r="J591" t="str">
        <f>IFERROR(INDEX(tProdutos[Classe],MATCH(tItens[[#This Row],[Produto]],tProdutos[Produto],0)),"produto não cadastrado")</f>
        <v>FORA</v>
      </c>
      <c r="K591" s="12">
        <f>tItens[[#This Row],[Qtd]]*tItens[[#This Row],[Vlr unit]]</f>
        <v>208.74</v>
      </c>
      <c r="L591" s="6">
        <f>IFERROR(IF(INDEX(tProdutos[Desconto homologado],MATCH(tItens[[#This Row],[Produto]],tProdutos[Produto],0))="",DescontoPadrao,INDEX(tProdutos[Desconto homologado],MATCH(tItens[[#This Row],[Produto]],tProdutos[Produto],0))),DescontoPadrao)</f>
        <v>0.19963672657401599</v>
      </c>
      <c r="M591" s="12">
        <f>tItens[[#This Row],[Valor]]*(1-tItens[[#This Row],[Desconto]])</f>
        <v>167.06782969493992</v>
      </c>
      <c r="N591" t="str">
        <f>IFERROR(INDEX(tProdutos[Foco],MATCH(tItens[[#This Row],[Produto]],tProdutos[Produto],0)),"Não")</f>
        <v>Não</v>
      </c>
      <c r="O591" t="str">
        <f>IFERROR(INDEX(tEditais[SRP],MATCH(tItens[[#This Row],[Edital]],tEditais[Edital],0)),"Não")</f>
        <v>Não</v>
      </c>
      <c r="P591" s="4">
        <f>IF(COUNTIFS(INDEX(tItens[Edital],1):tItens[[#This Row],[Edital]],tItens[[#This Row],[Edital]],INDEX(tItens[Produto],1):tItens[[#This Row],[Produto]],tItens[[#This Row],[Produto]])=1,1,0)</f>
        <v>1</v>
      </c>
    </row>
    <row r="592" spans="1:16" x14ac:dyDescent="0.25">
      <c r="A592" t="s">
        <v>882</v>
      </c>
      <c r="B592">
        <v>1250558</v>
      </c>
      <c r="C592" t="s">
        <v>3789</v>
      </c>
      <c r="D592" t="s">
        <v>494</v>
      </c>
      <c r="E592" s="13">
        <v>3</v>
      </c>
      <c r="F592" s="12">
        <v>176</v>
      </c>
      <c r="G592" t="str">
        <f>IFERROR(INDEX(tEditais[Órgão],MATCH(tItens[[#This Row],[Edital]],tEditais[Edital],0)),"")</f>
        <v>POLICIA MILITAR DA BAHIA</v>
      </c>
      <c r="H592" t="str">
        <f>IFERROR(INDEX(tEditais[UF],MATCH(tItens[[#This Row],[Edital]],tEditais[Edital],0)),"")</f>
        <v>BA</v>
      </c>
      <c r="I592" s="11">
        <f>IFERROR(INDEX(tEditais[Encerramento],MATCH(tItens[[#This Row],[Edital]],tEditais[Edital],0)),"")</f>
        <v>46309.645833333336</v>
      </c>
      <c r="J592" t="str">
        <f>IFERROR(INDEX(tProdutos[Classe],MATCH(tItens[[#This Row],[Produto]],tProdutos[Produto],0)),"produto não cadastrado")</f>
        <v>FILA REBASE</v>
      </c>
      <c r="K592" s="12">
        <f>tItens[[#This Row],[Qtd]]*tItens[[#This Row],[Vlr unit]]</f>
        <v>528</v>
      </c>
      <c r="L592" s="6">
        <f>IFERROR(IF(INDEX(tProdutos[Desconto homologado],MATCH(tItens[[#This Row],[Produto]],tProdutos[Produto],0))="",DescontoPadrao,INDEX(tProdutos[Desconto homologado],MATCH(tItens[[#This Row],[Produto]],tProdutos[Produto],0))),DescontoPadrao)</f>
        <v>0.253736324829619</v>
      </c>
      <c r="M592" s="12">
        <f>tItens[[#This Row],[Valor]]*(1-tItens[[#This Row],[Desconto]])</f>
        <v>394.02722048996122</v>
      </c>
      <c r="N592" t="str">
        <f>IFERROR(INDEX(tProdutos[Foco],MATCH(tItens[[#This Row],[Produto]],tProdutos[Produto],0)),"Não")</f>
        <v>Não</v>
      </c>
      <c r="O592" t="str">
        <f>IFERROR(INDEX(tEditais[SRP],MATCH(tItens[[#This Row],[Edital]],tEditais[Edital],0)),"Não")</f>
        <v>Não</v>
      </c>
      <c r="P592" s="4">
        <f>IF(COUNTIFS(INDEX(tItens[Edital],1):tItens[[#This Row],[Edital]],tItens[[#This Row],[Edital]],INDEX(tItens[Produto],1):tItens[[#This Row],[Produto]],tItens[[#This Row],[Produto]])=1,1,0)</f>
        <v>1</v>
      </c>
    </row>
    <row r="593" spans="1:16" x14ac:dyDescent="0.25">
      <c r="A593" t="s">
        <v>882</v>
      </c>
      <c r="B593">
        <v>1292765</v>
      </c>
      <c r="C593" t="s">
        <v>3790</v>
      </c>
      <c r="D593" t="s">
        <v>341</v>
      </c>
      <c r="E593" s="13">
        <v>10</v>
      </c>
      <c r="F593" s="12">
        <v>36.130000000000003</v>
      </c>
      <c r="G593" t="str">
        <f>IFERROR(INDEX(tEditais[Órgão],MATCH(tItens[[#This Row],[Edital]],tEditais[Edital],0)),"")</f>
        <v>POLICIA MILITAR DA BAHIA</v>
      </c>
      <c r="H593" t="str">
        <f>IFERROR(INDEX(tEditais[UF],MATCH(tItens[[#This Row],[Edital]],tEditais[Edital],0)),"")</f>
        <v>BA</v>
      </c>
      <c r="I593" s="11">
        <f>IFERROR(INDEX(tEditais[Encerramento],MATCH(tItens[[#This Row],[Edital]],tEditais[Edital],0)),"")</f>
        <v>46309.645833333336</v>
      </c>
      <c r="J593" t="str">
        <f>IFERROR(INDEX(tProdutos[Classe],MATCH(tItens[[#This Row],[Produto]],tProdutos[Produto],0)),"produto não cadastrado")</f>
        <v>FORA</v>
      </c>
      <c r="K593" s="12">
        <f>tItens[[#This Row],[Qtd]]*tItens[[#This Row],[Vlr unit]]</f>
        <v>361.3</v>
      </c>
      <c r="L593" s="6">
        <f>IFERROR(IF(INDEX(tProdutos[Desconto homologado],MATCH(tItens[[#This Row],[Produto]],tProdutos[Produto],0))="",DescontoPadrao,INDEX(tProdutos[Desconto homologado],MATCH(tItens[[#This Row],[Produto]],tProdutos[Produto],0))),DescontoPadrao)</f>
        <v>0.46918578497525898</v>
      </c>
      <c r="M593" s="12">
        <f>tItens[[#This Row],[Valor]]*(1-tItens[[#This Row],[Desconto]])</f>
        <v>191.78317588843893</v>
      </c>
      <c r="N593" t="str">
        <f>IFERROR(INDEX(tProdutos[Foco],MATCH(tItens[[#This Row],[Produto]],tProdutos[Produto],0)),"Não")</f>
        <v>Não</v>
      </c>
      <c r="O593" t="str">
        <f>IFERROR(INDEX(tEditais[SRP],MATCH(tItens[[#This Row],[Edital]],tEditais[Edital],0)),"Não")</f>
        <v>Não</v>
      </c>
      <c r="P593" s="4">
        <f>IF(COUNTIFS(INDEX(tItens[Edital],1):tItens[[#This Row],[Edital]],tItens[[#This Row],[Edital]],INDEX(tItens[Produto],1):tItens[[#This Row],[Produto]],tItens[[#This Row],[Produto]])=1,1,0)</f>
        <v>1</v>
      </c>
    </row>
    <row r="594" spans="1:16" x14ac:dyDescent="0.25">
      <c r="A594" t="s">
        <v>885</v>
      </c>
      <c r="B594">
        <v>9</v>
      </c>
      <c r="C594" t="s">
        <v>3791</v>
      </c>
      <c r="D594" t="s">
        <v>315</v>
      </c>
      <c r="E594" s="13">
        <v>20</v>
      </c>
      <c r="F594" s="12">
        <v>23.98</v>
      </c>
      <c r="G594" t="str">
        <f>IFERROR(INDEX(tEditais[Órgão],MATCH(tItens[[#This Row],[Edital]],tEditais[Edital],0)),"")</f>
        <v>COMANDO DO EXERCITO</v>
      </c>
      <c r="H594" t="str">
        <f>IFERROR(INDEX(tEditais[UF],MATCH(tItens[[#This Row],[Edital]],tEditais[Edital],0)),"")</f>
        <v>BA</v>
      </c>
      <c r="I594" s="11">
        <f>IFERROR(INDEX(tEditais[Encerramento],MATCH(tItens[[#This Row],[Edital]],tEditais[Edital],0)),"")</f>
        <v>46310.333333333336</v>
      </c>
      <c r="J594" t="str">
        <f>IFERROR(INDEX(tProdutos[Classe],MATCH(tItens[[#This Row],[Produto]],tProdutos[Produto],0)),"produto não cadastrado")</f>
        <v>FORA</v>
      </c>
      <c r="K594" s="12">
        <f>tItens[[#This Row],[Qtd]]*tItens[[#This Row],[Vlr unit]]</f>
        <v>479.6</v>
      </c>
      <c r="L594" s="6">
        <f>IFERROR(IF(INDEX(tProdutos[Desconto homologado],MATCH(tItens[[#This Row],[Produto]],tProdutos[Produto],0))="",DescontoPadrao,INDEX(tProdutos[Desconto homologado],MATCH(tItens[[#This Row],[Produto]],tProdutos[Produto],0))),DescontoPadrao)</f>
        <v>0.38432036097010702</v>
      </c>
      <c r="M594" s="12">
        <f>tItens[[#This Row],[Valor]]*(1-tItens[[#This Row],[Desconto]])</f>
        <v>295.2799548787367</v>
      </c>
      <c r="N594" t="str">
        <f>IFERROR(INDEX(tProdutos[Foco],MATCH(tItens[[#This Row],[Produto]],tProdutos[Produto],0)),"Não")</f>
        <v>Não</v>
      </c>
      <c r="O594" t="str">
        <f>IFERROR(INDEX(tEditais[SRP],MATCH(tItens[[#This Row],[Edital]],tEditais[Edital],0)),"Não")</f>
        <v>Não</v>
      </c>
      <c r="P594" s="4">
        <f>IF(COUNTIFS(INDEX(tItens[Edital],1):tItens[[#This Row],[Edital]],tItens[[#This Row],[Edital]],INDEX(tItens[Produto],1):tItens[[#This Row],[Produto]],tItens[[#This Row],[Produto]])=1,1,0)</f>
        <v>1</v>
      </c>
    </row>
    <row r="595" spans="1:16" x14ac:dyDescent="0.25">
      <c r="A595" t="s">
        <v>885</v>
      </c>
      <c r="B595">
        <v>15</v>
      </c>
      <c r="C595" t="s">
        <v>3792</v>
      </c>
      <c r="D595" t="s">
        <v>333</v>
      </c>
      <c r="E595" s="13">
        <v>400</v>
      </c>
      <c r="F595" s="12">
        <v>1.1100000000000001</v>
      </c>
      <c r="G595" t="str">
        <f>IFERROR(INDEX(tEditais[Órgão],MATCH(tItens[[#This Row],[Edital]],tEditais[Edital],0)),"")</f>
        <v>COMANDO DO EXERCITO</v>
      </c>
      <c r="H595" t="str">
        <f>IFERROR(INDEX(tEditais[UF],MATCH(tItens[[#This Row],[Edital]],tEditais[Edital],0)),"")</f>
        <v>BA</v>
      </c>
      <c r="I595" s="11">
        <f>IFERROR(INDEX(tEditais[Encerramento],MATCH(tItens[[#This Row],[Edital]],tEditais[Edital],0)),"")</f>
        <v>46310.333333333336</v>
      </c>
      <c r="J595" t="str">
        <f>IFERROR(INDEX(tProdutos[Classe],MATCH(tItens[[#This Row],[Produto]],tProdutos[Produto],0)),"produto não cadastrado")</f>
        <v>FORA</v>
      </c>
      <c r="K595" s="12">
        <f>tItens[[#This Row],[Qtd]]*tItens[[#This Row],[Vlr unit]]</f>
        <v>444.00000000000006</v>
      </c>
      <c r="L595" s="6">
        <f>IFERROR(IF(INDEX(tProdutos[Desconto homologado],MATCH(tItens[[#This Row],[Produto]],tProdutos[Produto],0))="",DescontoPadrao,INDEX(tProdutos[Desconto homologado],MATCH(tItens[[#This Row],[Produto]],tProdutos[Produto],0))),DescontoPadrao)</f>
        <v>0.48951048951048998</v>
      </c>
      <c r="M595" s="12">
        <f>tItens[[#This Row],[Valor]]*(1-tItens[[#This Row],[Desconto]])</f>
        <v>226.65734265734247</v>
      </c>
      <c r="N595" t="str">
        <f>IFERROR(INDEX(tProdutos[Foco],MATCH(tItens[[#This Row],[Produto]],tProdutos[Produto],0)),"Não")</f>
        <v>Não</v>
      </c>
      <c r="O595" t="str">
        <f>IFERROR(INDEX(tEditais[SRP],MATCH(tItens[[#This Row],[Edital]],tEditais[Edital],0)),"Não")</f>
        <v>Não</v>
      </c>
      <c r="P595" s="4">
        <f>IF(COUNTIFS(INDEX(tItens[Edital],1):tItens[[#This Row],[Edital]],tItens[[#This Row],[Edital]],INDEX(tItens[Produto],1):tItens[[#This Row],[Produto]],tItens[[#This Row],[Produto]])=1,1,0)</f>
        <v>1</v>
      </c>
    </row>
    <row r="596" spans="1:16" x14ac:dyDescent="0.25">
      <c r="A596" t="s">
        <v>885</v>
      </c>
      <c r="B596">
        <v>17</v>
      </c>
      <c r="C596" t="s">
        <v>3793</v>
      </c>
      <c r="D596" t="s">
        <v>413</v>
      </c>
      <c r="E596" s="13">
        <v>20</v>
      </c>
      <c r="F596" s="12">
        <v>1.5</v>
      </c>
      <c r="G596" t="str">
        <f>IFERROR(INDEX(tEditais[Órgão],MATCH(tItens[[#This Row],[Edital]],tEditais[Edital],0)),"")</f>
        <v>COMANDO DO EXERCITO</v>
      </c>
      <c r="H596" t="str">
        <f>IFERROR(INDEX(tEditais[UF],MATCH(tItens[[#This Row],[Edital]],tEditais[Edital],0)),"")</f>
        <v>BA</v>
      </c>
      <c r="I596" s="11">
        <f>IFERROR(INDEX(tEditais[Encerramento],MATCH(tItens[[#This Row],[Edital]],tEditais[Edital],0)),"")</f>
        <v>46310.333333333336</v>
      </c>
      <c r="J596" t="str">
        <f>IFERROR(INDEX(tProdutos[Classe],MATCH(tItens[[#This Row],[Produto]],tProdutos[Produto],0)),"produto não cadastrado")</f>
        <v>FORA</v>
      </c>
      <c r="K596" s="12">
        <f>tItens[[#This Row],[Qtd]]*tItens[[#This Row],[Vlr unit]]</f>
        <v>30</v>
      </c>
      <c r="L596" s="6">
        <f>IFERROR(IF(INDEX(tProdutos[Desconto homologado],MATCH(tItens[[#This Row],[Produto]],tProdutos[Produto],0))="",DescontoPadrao,INDEX(tProdutos[Desconto homologado],MATCH(tItens[[#This Row],[Produto]],tProdutos[Produto],0))),DescontoPadrao)</f>
        <v>0.477732793522267</v>
      </c>
      <c r="M596" s="12">
        <f>tItens[[#This Row],[Valor]]*(1-tItens[[#This Row],[Desconto]])</f>
        <v>15.668016194331988</v>
      </c>
      <c r="N596" t="str">
        <f>IFERROR(INDEX(tProdutos[Foco],MATCH(tItens[[#This Row],[Produto]],tProdutos[Produto],0)),"Não")</f>
        <v>Não</v>
      </c>
      <c r="O596" t="str">
        <f>IFERROR(INDEX(tEditais[SRP],MATCH(tItens[[#This Row],[Edital]],tEditais[Edital],0)),"Não")</f>
        <v>Não</v>
      </c>
      <c r="P596" s="4">
        <f>IF(COUNTIFS(INDEX(tItens[Edital],1):tItens[[#This Row],[Edital]],tItens[[#This Row],[Edital]],INDEX(tItens[Produto],1):tItens[[#This Row],[Produto]],tItens[[#This Row],[Produto]])=1,1,0)</f>
        <v>1</v>
      </c>
    </row>
    <row r="597" spans="1:16" x14ac:dyDescent="0.25">
      <c r="A597" t="s">
        <v>885</v>
      </c>
      <c r="B597">
        <v>20</v>
      </c>
      <c r="C597" t="s">
        <v>3794</v>
      </c>
      <c r="D597" t="s">
        <v>313</v>
      </c>
      <c r="E597" s="13">
        <v>50</v>
      </c>
      <c r="F597" s="12">
        <v>23.5</v>
      </c>
      <c r="G597" t="str">
        <f>IFERROR(INDEX(tEditais[Órgão],MATCH(tItens[[#This Row],[Edital]],tEditais[Edital],0)),"")</f>
        <v>COMANDO DO EXERCITO</v>
      </c>
      <c r="H597" t="str">
        <f>IFERROR(INDEX(tEditais[UF],MATCH(tItens[[#This Row],[Edital]],tEditais[Edital],0)),"")</f>
        <v>BA</v>
      </c>
      <c r="I597" s="11">
        <f>IFERROR(INDEX(tEditais[Encerramento],MATCH(tItens[[#This Row],[Edital]],tEditais[Edital],0)),"")</f>
        <v>46310.333333333336</v>
      </c>
      <c r="J597" t="str">
        <f>IFERROR(INDEX(tProdutos[Classe],MATCH(tItens[[#This Row],[Produto]],tProdutos[Produto],0)),"produto não cadastrado")</f>
        <v>FORA</v>
      </c>
      <c r="K597" s="12">
        <f>tItens[[#This Row],[Qtd]]*tItens[[#This Row],[Vlr unit]]</f>
        <v>1175</v>
      </c>
      <c r="L597" s="6">
        <f>IFERROR(IF(INDEX(tProdutos[Desconto homologado],MATCH(tItens[[#This Row],[Produto]],tProdutos[Produto],0))="",DescontoPadrao,INDEX(tProdutos[Desconto homologado],MATCH(tItens[[#This Row],[Produto]],tProdutos[Produto],0))),DescontoPadrao)</f>
        <v>0.35766373163696302</v>
      </c>
      <c r="M597" s="12">
        <f>tItens[[#This Row],[Valor]]*(1-tItens[[#This Row],[Desconto]])</f>
        <v>754.74511532656834</v>
      </c>
      <c r="N597" t="str">
        <f>IFERROR(INDEX(tProdutos[Foco],MATCH(tItens[[#This Row],[Produto]],tProdutos[Produto],0)),"Não")</f>
        <v>Não</v>
      </c>
      <c r="O597" t="str">
        <f>IFERROR(INDEX(tEditais[SRP],MATCH(tItens[[#This Row],[Edital]],tEditais[Edital],0)),"Não")</f>
        <v>Não</v>
      </c>
      <c r="P597" s="4">
        <f>IF(COUNTIFS(INDEX(tItens[Edital],1):tItens[[#This Row],[Edital]],tItens[[#This Row],[Edital]],INDEX(tItens[Produto],1):tItens[[#This Row],[Produto]],tItens[[#This Row],[Produto]])=1,1,0)</f>
        <v>1</v>
      </c>
    </row>
    <row r="598" spans="1:16" x14ac:dyDescent="0.25">
      <c r="A598" t="s">
        <v>889</v>
      </c>
      <c r="B598">
        <v>10001</v>
      </c>
      <c r="C598" t="s">
        <v>3795</v>
      </c>
      <c r="D598" t="s">
        <v>64</v>
      </c>
      <c r="E598" s="13">
        <v>90</v>
      </c>
      <c r="F598" s="12">
        <v>1285</v>
      </c>
      <c r="G598" t="str">
        <f>IFERROR(INDEX(tEditais[Órgão],MATCH(tItens[[#This Row],[Edital]],tEditais[Edital],0)),"")</f>
        <v>ESTADO DA BAHIA</v>
      </c>
      <c r="H598" t="str">
        <f>IFERROR(INDEX(tEditais[UF],MATCH(tItens[[#This Row],[Edital]],tEditais[Edital],0)),"")</f>
        <v>BA</v>
      </c>
      <c r="I598" s="11">
        <f>IFERROR(INDEX(tEditais[Encerramento],MATCH(tItens[[#This Row],[Edital]],tEditais[Edital],0)),"")</f>
        <v>46310.375</v>
      </c>
      <c r="J598" t="str">
        <f>IFERROR(INDEX(tProdutos[Classe],MATCH(tItens[[#This Row],[Produto]],tProdutos[Produto],0)),"produto não cadastrado")</f>
        <v>NÚCLEO</v>
      </c>
      <c r="K598" s="12">
        <f>tItens[[#This Row],[Qtd]]*tItens[[#This Row],[Vlr unit]]</f>
        <v>115650</v>
      </c>
      <c r="L598" s="6">
        <f>IFERROR(IF(INDEX(tProdutos[Desconto homologado],MATCH(tItens[[#This Row],[Produto]],tProdutos[Produto],0))="",DescontoPadrao,INDEX(tProdutos[Desconto homologado],MATCH(tItens[[#This Row],[Produto]],tProdutos[Produto],0))),DescontoPadrao)</f>
        <v>0.28197166699010301</v>
      </c>
      <c r="M598" s="12">
        <f>tItens[[#This Row],[Valor]]*(1-tItens[[#This Row],[Desconto]])</f>
        <v>83039.97671259458</v>
      </c>
      <c r="N598" t="str">
        <f>IFERROR(INDEX(tProdutos[Foco],MATCH(tItens[[#This Row],[Produto]],tProdutos[Produto],0)),"Não")</f>
        <v>Não</v>
      </c>
      <c r="O598" t="str">
        <f>IFERROR(INDEX(tEditais[SRP],MATCH(tItens[[#This Row],[Edital]],tEditais[Edital],0)),"Não")</f>
        <v>Não</v>
      </c>
      <c r="P598" s="4">
        <f>IF(COUNTIFS(INDEX(tItens[Edital],1):tItens[[#This Row],[Edital]],tItens[[#This Row],[Edital]],INDEX(tItens[Produto],1):tItens[[#This Row],[Produto]],tItens[[#This Row],[Produto]])=1,1,0)</f>
        <v>1</v>
      </c>
    </row>
    <row r="599" spans="1:16" x14ac:dyDescent="0.25">
      <c r="A599" t="s">
        <v>889</v>
      </c>
      <c r="B599">
        <v>20001</v>
      </c>
      <c r="C599" t="s">
        <v>3795</v>
      </c>
      <c r="D599" t="s">
        <v>64</v>
      </c>
      <c r="E599" s="13">
        <v>30</v>
      </c>
      <c r="F599" s="12">
        <v>1285</v>
      </c>
      <c r="G599" t="str">
        <f>IFERROR(INDEX(tEditais[Órgão],MATCH(tItens[[#This Row],[Edital]],tEditais[Edital],0)),"")</f>
        <v>ESTADO DA BAHIA</v>
      </c>
      <c r="H599" t="str">
        <f>IFERROR(INDEX(tEditais[UF],MATCH(tItens[[#This Row],[Edital]],tEditais[Edital],0)),"")</f>
        <v>BA</v>
      </c>
      <c r="I599" s="11">
        <f>IFERROR(INDEX(tEditais[Encerramento],MATCH(tItens[[#This Row],[Edital]],tEditais[Edital],0)),"")</f>
        <v>46310.375</v>
      </c>
      <c r="J599" t="str">
        <f>IFERROR(INDEX(tProdutos[Classe],MATCH(tItens[[#This Row],[Produto]],tProdutos[Produto],0)),"produto não cadastrado")</f>
        <v>NÚCLEO</v>
      </c>
      <c r="K599" s="12">
        <f>tItens[[#This Row],[Qtd]]*tItens[[#This Row],[Vlr unit]]</f>
        <v>38550</v>
      </c>
      <c r="L599" s="6">
        <f>IFERROR(IF(INDEX(tProdutos[Desconto homologado],MATCH(tItens[[#This Row],[Produto]],tProdutos[Produto],0))="",DescontoPadrao,INDEX(tProdutos[Desconto homologado],MATCH(tItens[[#This Row],[Produto]],tProdutos[Produto],0))),DescontoPadrao)</f>
        <v>0.28197166699010301</v>
      </c>
      <c r="M599" s="12">
        <f>tItens[[#This Row],[Valor]]*(1-tItens[[#This Row],[Desconto]])</f>
        <v>27679.992237531529</v>
      </c>
      <c r="N599" t="str">
        <f>IFERROR(INDEX(tProdutos[Foco],MATCH(tItens[[#This Row],[Produto]],tProdutos[Produto],0)),"Não")</f>
        <v>Não</v>
      </c>
      <c r="O599" t="str">
        <f>IFERROR(INDEX(tEditais[SRP],MATCH(tItens[[#This Row],[Edital]],tEditais[Edital],0)),"Não")</f>
        <v>Não</v>
      </c>
      <c r="P599" s="4">
        <f>IF(COUNTIFS(INDEX(tItens[Edital],1):tItens[[#This Row],[Edital]],tItens[[#This Row],[Edital]],INDEX(tItens[Produto],1):tItens[[#This Row],[Produto]],tItens[[#This Row],[Produto]])=1,1,0)</f>
        <v>0</v>
      </c>
    </row>
    <row r="600" spans="1:16" x14ac:dyDescent="0.25">
      <c r="A600" t="s">
        <v>892</v>
      </c>
      <c r="B600">
        <v>1256831</v>
      </c>
      <c r="C600" t="s">
        <v>3796</v>
      </c>
      <c r="D600" t="s">
        <v>596</v>
      </c>
      <c r="E600" s="13">
        <v>120</v>
      </c>
      <c r="F600" s="12">
        <v>292</v>
      </c>
      <c r="G600" t="str">
        <f>IFERROR(INDEX(tEditais[Órgão],MATCH(tItens[[#This Row],[Edital]],tEditais[Edital],0)),"")</f>
        <v>FUNDO ESTADUAL DE SAUDE DO ESTADO DA BAHIA</v>
      </c>
      <c r="H600" t="str">
        <f>IFERROR(INDEX(tEditais[UF],MATCH(tItens[[#This Row],[Edital]],tEditais[Edital],0)),"")</f>
        <v>BA</v>
      </c>
      <c r="I600" s="11">
        <f>IFERROR(INDEX(tEditais[Encerramento],MATCH(tItens[[#This Row],[Edital]],tEditais[Edital],0)),"")</f>
        <v>46310.375</v>
      </c>
      <c r="J600" t="str">
        <f>IFERROR(INDEX(tProdutos[Classe],MATCH(tItens[[#This Row],[Produto]],tProdutos[Produto],0)),"produto não cadastrado")</f>
        <v>FILA REBASE</v>
      </c>
      <c r="K600" s="12">
        <f>tItens[[#This Row],[Qtd]]*tItens[[#This Row],[Vlr unit]]</f>
        <v>35040</v>
      </c>
      <c r="L600" s="6">
        <f>IFERROR(IF(INDEX(tProdutos[Desconto homologado],MATCH(tItens[[#This Row],[Produto]],tProdutos[Produto],0))="",DescontoPadrao,INDEX(tProdutos[Desconto homologado],MATCH(tItens[[#This Row],[Produto]],tProdutos[Produto],0))),DescontoPadrao)</f>
        <v>0.35501453488372098</v>
      </c>
      <c r="M600" s="12">
        <f>tItens[[#This Row],[Valor]]*(1-tItens[[#This Row],[Desconto]])</f>
        <v>22600.290697674416</v>
      </c>
      <c r="N600" t="str">
        <f>IFERROR(INDEX(tProdutos[Foco],MATCH(tItens[[#This Row],[Produto]],tProdutos[Produto],0)),"Não")</f>
        <v>Não</v>
      </c>
      <c r="O600" t="str">
        <f>IFERROR(INDEX(tEditais[SRP],MATCH(tItens[[#This Row],[Edital]],tEditais[Edital],0)),"Não")</f>
        <v>Não</v>
      </c>
      <c r="P600" s="4">
        <f>IF(COUNTIFS(INDEX(tItens[Edital],1):tItens[[#This Row],[Edital]],tItens[[#This Row],[Edital]],INDEX(tItens[Produto],1):tItens[[#This Row],[Produto]],tItens[[#This Row],[Produto]])=1,1,0)</f>
        <v>1</v>
      </c>
    </row>
    <row r="601" spans="1:16" x14ac:dyDescent="0.25">
      <c r="A601" t="s">
        <v>893</v>
      </c>
      <c r="B601">
        <v>8061713</v>
      </c>
      <c r="C601" t="s">
        <v>3797</v>
      </c>
      <c r="D601" t="s">
        <v>345</v>
      </c>
      <c r="E601" s="13">
        <v>17120</v>
      </c>
      <c r="F601" s="12">
        <v>4.75</v>
      </c>
      <c r="G601" t="str">
        <f>IFERROR(INDEX(tEditais[Órgão],MATCH(tItens[[#This Row],[Edital]],tEditais[Edital],0)),"")</f>
        <v>MUNICIPIO DE SEABRA</v>
      </c>
      <c r="H601" t="str">
        <f>IFERROR(INDEX(tEditais[UF],MATCH(tItens[[#This Row],[Edital]],tEditais[Edital],0)),"")</f>
        <v>BA</v>
      </c>
      <c r="I601" s="11">
        <f>IFERROR(INDEX(tEditais[Encerramento],MATCH(tItens[[#This Row],[Edital]],tEditais[Edital],0)),"")</f>
        <v>46310.375</v>
      </c>
      <c r="J601" t="str">
        <f>IFERROR(INDEX(tProdutos[Classe],MATCH(tItens[[#This Row],[Produto]],tProdutos[Produto],0)),"produto não cadastrado")</f>
        <v>FORA</v>
      </c>
      <c r="K601" s="12">
        <f>tItens[[#This Row],[Qtd]]*tItens[[#This Row],[Vlr unit]]</f>
        <v>81320</v>
      </c>
      <c r="L601" s="6">
        <f>IFERROR(IF(INDEX(tProdutos[Desconto homologado],MATCH(tItens[[#This Row],[Produto]],tProdutos[Produto],0))="",DescontoPadrao,INDEX(tProdutos[Desconto homologado],MATCH(tItens[[#This Row],[Produto]],tProdutos[Produto],0))),DescontoPadrao)</f>
        <v>0.412394275616498</v>
      </c>
      <c r="M601" s="12">
        <f>tItens[[#This Row],[Valor]]*(1-tItens[[#This Row],[Desconto]])</f>
        <v>47784.097506866383</v>
      </c>
      <c r="N601" t="str">
        <f>IFERROR(INDEX(tProdutos[Foco],MATCH(tItens[[#This Row],[Produto]],tProdutos[Produto],0)),"Não")</f>
        <v>Não</v>
      </c>
      <c r="O601" t="str">
        <f>IFERROR(INDEX(tEditais[SRP],MATCH(tItens[[#This Row],[Edital]],tEditais[Edital],0)),"Não")</f>
        <v>Sim</v>
      </c>
      <c r="P601" s="4">
        <f>IF(COUNTIFS(INDEX(tItens[Edital],1):tItens[[#This Row],[Edital]],tItens[[#This Row],[Edital]],INDEX(tItens[Produto],1):tItens[[#This Row],[Produto]],tItens[[#This Row],[Produto]])=1,1,0)</f>
        <v>1</v>
      </c>
    </row>
    <row r="602" spans="1:16" x14ac:dyDescent="0.25">
      <c r="A602" t="s">
        <v>893</v>
      </c>
      <c r="B602">
        <v>8061714</v>
      </c>
      <c r="C602" t="s">
        <v>3798</v>
      </c>
      <c r="D602" t="s">
        <v>345</v>
      </c>
      <c r="E602" s="13">
        <v>36720</v>
      </c>
      <c r="F602" s="12">
        <v>4.0199999999999996</v>
      </c>
      <c r="G602" t="str">
        <f>IFERROR(INDEX(tEditais[Órgão],MATCH(tItens[[#This Row],[Edital]],tEditais[Edital],0)),"")</f>
        <v>MUNICIPIO DE SEABRA</v>
      </c>
      <c r="H602" t="str">
        <f>IFERROR(INDEX(tEditais[UF],MATCH(tItens[[#This Row],[Edital]],tEditais[Edital],0)),"")</f>
        <v>BA</v>
      </c>
      <c r="I602" s="11">
        <f>IFERROR(INDEX(tEditais[Encerramento],MATCH(tItens[[#This Row],[Edital]],tEditais[Edital],0)),"")</f>
        <v>46310.375</v>
      </c>
      <c r="J602" t="str">
        <f>IFERROR(INDEX(tProdutos[Classe],MATCH(tItens[[#This Row],[Produto]],tProdutos[Produto],0)),"produto não cadastrado")</f>
        <v>FORA</v>
      </c>
      <c r="K602" s="12">
        <f>tItens[[#This Row],[Qtd]]*tItens[[#This Row],[Vlr unit]]</f>
        <v>147614.39999999999</v>
      </c>
      <c r="L602" s="6">
        <f>IFERROR(IF(INDEX(tProdutos[Desconto homologado],MATCH(tItens[[#This Row],[Produto]],tProdutos[Produto],0))="",DescontoPadrao,INDEX(tProdutos[Desconto homologado],MATCH(tItens[[#This Row],[Produto]],tProdutos[Produto],0))),DescontoPadrao)</f>
        <v>0.412394275616498</v>
      </c>
      <c r="M602" s="12">
        <f>tItens[[#This Row],[Valor]]*(1-tItens[[#This Row],[Desconto]])</f>
        <v>86739.066441436022</v>
      </c>
      <c r="N602" t="str">
        <f>IFERROR(INDEX(tProdutos[Foco],MATCH(tItens[[#This Row],[Produto]],tProdutos[Produto],0)),"Não")</f>
        <v>Não</v>
      </c>
      <c r="O602" t="str">
        <f>IFERROR(INDEX(tEditais[SRP],MATCH(tItens[[#This Row],[Edital]],tEditais[Edital],0)),"Não")</f>
        <v>Sim</v>
      </c>
      <c r="P602" s="4">
        <f>IF(COUNTIFS(INDEX(tItens[Edital],1):tItens[[#This Row],[Edital]],tItens[[#This Row],[Edital]],INDEX(tItens[Produto],1):tItens[[#This Row],[Produto]],tItens[[#This Row],[Produto]])=1,1,0)</f>
        <v>0</v>
      </c>
    </row>
    <row r="603" spans="1:16" x14ac:dyDescent="0.25">
      <c r="A603" t="s">
        <v>893</v>
      </c>
      <c r="B603">
        <v>8061715</v>
      </c>
      <c r="C603" t="s">
        <v>3799</v>
      </c>
      <c r="D603" t="s">
        <v>345</v>
      </c>
      <c r="E603" s="13">
        <v>12800</v>
      </c>
      <c r="F603" s="12">
        <v>3.85</v>
      </c>
      <c r="G603" t="str">
        <f>IFERROR(INDEX(tEditais[Órgão],MATCH(tItens[[#This Row],[Edital]],tEditais[Edital],0)),"")</f>
        <v>MUNICIPIO DE SEABRA</v>
      </c>
      <c r="H603" t="str">
        <f>IFERROR(INDEX(tEditais[UF],MATCH(tItens[[#This Row],[Edital]],tEditais[Edital],0)),"")</f>
        <v>BA</v>
      </c>
      <c r="I603" s="11">
        <f>IFERROR(INDEX(tEditais[Encerramento],MATCH(tItens[[#This Row],[Edital]],tEditais[Edital],0)),"")</f>
        <v>46310.375</v>
      </c>
      <c r="J603" t="str">
        <f>IFERROR(INDEX(tProdutos[Classe],MATCH(tItens[[#This Row],[Produto]],tProdutos[Produto],0)),"produto não cadastrado")</f>
        <v>FORA</v>
      </c>
      <c r="K603" s="12">
        <f>tItens[[#This Row],[Qtd]]*tItens[[#This Row],[Vlr unit]]</f>
        <v>49280</v>
      </c>
      <c r="L603" s="6">
        <f>IFERROR(IF(INDEX(tProdutos[Desconto homologado],MATCH(tItens[[#This Row],[Produto]],tProdutos[Produto],0))="",DescontoPadrao,INDEX(tProdutos[Desconto homologado],MATCH(tItens[[#This Row],[Produto]],tProdutos[Produto],0))),DescontoPadrao)</f>
        <v>0.412394275616498</v>
      </c>
      <c r="M603" s="12">
        <f>tItens[[#This Row],[Valor]]*(1-tItens[[#This Row],[Desconto]])</f>
        <v>28957.210097618979</v>
      </c>
      <c r="N603" t="str">
        <f>IFERROR(INDEX(tProdutos[Foco],MATCH(tItens[[#This Row],[Produto]],tProdutos[Produto],0)),"Não")</f>
        <v>Não</v>
      </c>
      <c r="O603" t="str">
        <f>IFERROR(INDEX(tEditais[SRP],MATCH(tItens[[#This Row],[Edital]],tEditais[Edital],0)),"Não")</f>
        <v>Sim</v>
      </c>
      <c r="P603" s="4">
        <f>IF(COUNTIFS(INDEX(tItens[Edital],1):tItens[[#This Row],[Edital]],tItens[[#This Row],[Edital]],INDEX(tItens[Produto],1):tItens[[#This Row],[Produto]],tItens[[#This Row],[Produto]])=1,1,0)</f>
        <v>0</v>
      </c>
    </row>
    <row r="604" spans="1:16" x14ac:dyDescent="0.25">
      <c r="A604" t="s">
        <v>893</v>
      </c>
      <c r="B604">
        <v>8061716</v>
      </c>
      <c r="C604" t="s">
        <v>3800</v>
      </c>
      <c r="D604" t="s">
        <v>345</v>
      </c>
      <c r="E604" s="13">
        <v>14400</v>
      </c>
      <c r="F604" s="12">
        <v>4.5</v>
      </c>
      <c r="G604" t="str">
        <f>IFERROR(INDEX(tEditais[Órgão],MATCH(tItens[[#This Row],[Edital]],tEditais[Edital],0)),"")</f>
        <v>MUNICIPIO DE SEABRA</v>
      </c>
      <c r="H604" t="str">
        <f>IFERROR(INDEX(tEditais[UF],MATCH(tItens[[#This Row],[Edital]],tEditais[Edital],0)),"")</f>
        <v>BA</v>
      </c>
      <c r="I604" s="11">
        <f>IFERROR(INDEX(tEditais[Encerramento],MATCH(tItens[[#This Row],[Edital]],tEditais[Edital],0)),"")</f>
        <v>46310.375</v>
      </c>
      <c r="J604" t="str">
        <f>IFERROR(INDEX(tProdutos[Classe],MATCH(tItens[[#This Row],[Produto]],tProdutos[Produto],0)),"produto não cadastrado")</f>
        <v>FORA</v>
      </c>
      <c r="K604" s="12">
        <f>tItens[[#This Row],[Qtd]]*tItens[[#This Row],[Vlr unit]]</f>
        <v>64800</v>
      </c>
      <c r="L604" s="6">
        <f>IFERROR(IF(INDEX(tProdutos[Desconto homologado],MATCH(tItens[[#This Row],[Produto]],tProdutos[Produto],0))="",DescontoPadrao,INDEX(tProdutos[Desconto homologado],MATCH(tItens[[#This Row],[Produto]],tProdutos[Produto],0))),DescontoPadrao)</f>
        <v>0.412394275616498</v>
      </c>
      <c r="M604" s="12">
        <f>tItens[[#This Row],[Valor]]*(1-tItens[[#This Row],[Desconto]])</f>
        <v>38076.850940050928</v>
      </c>
      <c r="N604" t="str">
        <f>IFERROR(INDEX(tProdutos[Foco],MATCH(tItens[[#This Row],[Produto]],tProdutos[Produto],0)),"Não")</f>
        <v>Não</v>
      </c>
      <c r="O604" t="str">
        <f>IFERROR(INDEX(tEditais[SRP],MATCH(tItens[[#This Row],[Edital]],tEditais[Edital],0)),"Não")</f>
        <v>Sim</v>
      </c>
      <c r="P604" s="4">
        <f>IF(COUNTIFS(INDEX(tItens[Edital],1):tItens[[#This Row],[Edital]],tItens[[#This Row],[Edital]],INDEX(tItens[Produto],1):tItens[[#This Row],[Produto]],tItens[[#This Row],[Produto]])=1,1,0)</f>
        <v>0</v>
      </c>
    </row>
    <row r="605" spans="1:16" x14ac:dyDescent="0.25">
      <c r="A605" t="s">
        <v>893</v>
      </c>
      <c r="B605">
        <v>8061717</v>
      </c>
      <c r="C605" t="s">
        <v>3801</v>
      </c>
      <c r="D605" t="s">
        <v>345</v>
      </c>
      <c r="E605" s="13">
        <v>14000</v>
      </c>
      <c r="F605" s="12">
        <v>4.05</v>
      </c>
      <c r="G605" t="str">
        <f>IFERROR(INDEX(tEditais[Órgão],MATCH(tItens[[#This Row],[Edital]],tEditais[Edital],0)),"")</f>
        <v>MUNICIPIO DE SEABRA</v>
      </c>
      <c r="H605" t="str">
        <f>IFERROR(INDEX(tEditais[UF],MATCH(tItens[[#This Row],[Edital]],tEditais[Edital],0)),"")</f>
        <v>BA</v>
      </c>
      <c r="I605" s="11">
        <f>IFERROR(INDEX(tEditais[Encerramento],MATCH(tItens[[#This Row],[Edital]],tEditais[Edital],0)),"")</f>
        <v>46310.375</v>
      </c>
      <c r="J605" t="str">
        <f>IFERROR(INDEX(tProdutos[Classe],MATCH(tItens[[#This Row],[Produto]],tProdutos[Produto],0)),"produto não cadastrado")</f>
        <v>FORA</v>
      </c>
      <c r="K605" s="12">
        <f>tItens[[#This Row],[Qtd]]*tItens[[#This Row],[Vlr unit]]</f>
        <v>56700</v>
      </c>
      <c r="L605" s="6">
        <f>IFERROR(IF(INDEX(tProdutos[Desconto homologado],MATCH(tItens[[#This Row],[Produto]],tProdutos[Produto],0))="",DescontoPadrao,INDEX(tProdutos[Desconto homologado],MATCH(tItens[[#This Row],[Produto]],tProdutos[Produto],0))),DescontoPadrao)</f>
        <v>0.412394275616498</v>
      </c>
      <c r="M605" s="12">
        <f>tItens[[#This Row],[Valor]]*(1-tItens[[#This Row],[Desconto]])</f>
        <v>33317.244572544565</v>
      </c>
      <c r="N605" t="str">
        <f>IFERROR(INDEX(tProdutos[Foco],MATCH(tItens[[#This Row],[Produto]],tProdutos[Produto],0)),"Não")</f>
        <v>Não</v>
      </c>
      <c r="O605" t="str">
        <f>IFERROR(INDEX(tEditais[SRP],MATCH(tItens[[#This Row],[Edital]],tEditais[Edital],0)),"Não")</f>
        <v>Sim</v>
      </c>
      <c r="P605" s="4">
        <f>IF(COUNTIFS(INDEX(tItens[Edital],1):tItens[[#This Row],[Edital]],tItens[[#This Row],[Edital]],INDEX(tItens[Produto],1):tItens[[#This Row],[Produto]],tItens[[#This Row],[Produto]])=1,1,0)</f>
        <v>0</v>
      </c>
    </row>
    <row r="606" spans="1:16" x14ac:dyDescent="0.25">
      <c r="A606" t="s">
        <v>893</v>
      </c>
      <c r="B606">
        <v>8061718</v>
      </c>
      <c r="C606" t="s">
        <v>3802</v>
      </c>
      <c r="D606" t="s">
        <v>339</v>
      </c>
      <c r="E606" s="13">
        <v>19680</v>
      </c>
      <c r="F606" s="12">
        <v>4.7699999999999996</v>
      </c>
      <c r="G606" t="str">
        <f>IFERROR(INDEX(tEditais[Órgão],MATCH(tItens[[#This Row],[Edital]],tEditais[Edital],0)),"")</f>
        <v>MUNICIPIO DE SEABRA</v>
      </c>
      <c r="H606" t="str">
        <f>IFERROR(INDEX(tEditais[UF],MATCH(tItens[[#This Row],[Edital]],tEditais[Edital],0)),"")</f>
        <v>BA</v>
      </c>
      <c r="I606" s="11">
        <f>IFERROR(INDEX(tEditais[Encerramento],MATCH(tItens[[#This Row],[Edital]],tEditais[Edital],0)),"")</f>
        <v>46310.375</v>
      </c>
      <c r="J606" t="str">
        <f>IFERROR(INDEX(tProdutos[Classe],MATCH(tItens[[#This Row],[Produto]],tProdutos[Produto],0)),"produto não cadastrado")</f>
        <v>FORA</v>
      </c>
      <c r="K606" s="12">
        <f>tItens[[#This Row],[Qtd]]*tItens[[#This Row],[Vlr unit]]</f>
        <v>93873.599999999991</v>
      </c>
      <c r="L606" s="6">
        <f>IFERROR(IF(INDEX(tProdutos[Desconto homologado],MATCH(tItens[[#This Row],[Produto]],tProdutos[Produto],0))="",DescontoPadrao,INDEX(tProdutos[Desconto homologado],MATCH(tItens[[#This Row],[Produto]],tProdutos[Produto],0))),DescontoPadrao)</f>
        <v>0.35388629091804102</v>
      </c>
      <c r="M606" s="12">
        <f>tItens[[#This Row],[Valor]]*(1-tItens[[#This Row],[Desconto]])</f>
        <v>60653.019880876178</v>
      </c>
      <c r="N606" t="str">
        <f>IFERROR(INDEX(tProdutos[Foco],MATCH(tItens[[#This Row],[Produto]],tProdutos[Produto],0)),"Não")</f>
        <v>Não</v>
      </c>
      <c r="O606" t="str">
        <f>IFERROR(INDEX(tEditais[SRP],MATCH(tItens[[#This Row],[Edital]],tEditais[Edital],0)),"Não")</f>
        <v>Sim</v>
      </c>
      <c r="P606" s="4">
        <f>IF(COUNTIFS(INDEX(tItens[Edital],1):tItens[[#This Row],[Edital]],tItens[[#This Row],[Edital]],INDEX(tItens[Produto],1):tItens[[#This Row],[Produto]],tItens[[#This Row],[Produto]])=1,1,0)</f>
        <v>1</v>
      </c>
    </row>
    <row r="607" spans="1:16" x14ac:dyDescent="0.25">
      <c r="A607" t="s">
        <v>893</v>
      </c>
      <c r="B607">
        <v>8061719</v>
      </c>
      <c r="C607" t="s">
        <v>3803</v>
      </c>
      <c r="D607" t="s">
        <v>339</v>
      </c>
      <c r="E607" s="13">
        <v>4820</v>
      </c>
      <c r="F607" s="12">
        <v>4.71</v>
      </c>
      <c r="G607" t="str">
        <f>IFERROR(INDEX(tEditais[Órgão],MATCH(tItens[[#This Row],[Edital]],tEditais[Edital],0)),"")</f>
        <v>MUNICIPIO DE SEABRA</v>
      </c>
      <c r="H607" t="str">
        <f>IFERROR(INDEX(tEditais[UF],MATCH(tItens[[#This Row],[Edital]],tEditais[Edital],0)),"")</f>
        <v>BA</v>
      </c>
      <c r="I607" s="11">
        <f>IFERROR(INDEX(tEditais[Encerramento],MATCH(tItens[[#This Row],[Edital]],tEditais[Edital],0)),"")</f>
        <v>46310.375</v>
      </c>
      <c r="J607" t="str">
        <f>IFERROR(INDEX(tProdutos[Classe],MATCH(tItens[[#This Row],[Produto]],tProdutos[Produto],0)),"produto não cadastrado")</f>
        <v>FORA</v>
      </c>
      <c r="K607" s="12">
        <f>tItens[[#This Row],[Qtd]]*tItens[[#This Row],[Vlr unit]]</f>
        <v>22702.2</v>
      </c>
      <c r="L607" s="6">
        <f>IFERROR(IF(INDEX(tProdutos[Desconto homologado],MATCH(tItens[[#This Row],[Produto]],tProdutos[Produto],0))="",DescontoPadrao,INDEX(tProdutos[Desconto homologado],MATCH(tItens[[#This Row],[Produto]],tProdutos[Produto],0))),DescontoPadrao)</f>
        <v>0.35388629091804102</v>
      </c>
      <c r="M607" s="12">
        <f>tItens[[#This Row],[Valor]]*(1-tItens[[#This Row],[Desconto]])</f>
        <v>14668.202646320449</v>
      </c>
      <c r="N607" t="str">
        <f>IFERROR(INDEX(tProdutos[Foco],MATCH(tItens[[#This Row],[Produto]],tProdutos[Produto],0)),"Não")</f>
        <v>Não</v>
      </c>
      <c r="O607" t="str">
        <f>IFERROR(INDEX(tEditais[SRP],MATCH(tItens[[#This Row],[Edital]],tEditais[Edital],0)),"Não")</f>
        <v>Sim</v>
      </c>
      <c r="P607" s="4">
        <f>IF(COUNTIFS(INDEX(tItens[Edital],1):tItens[[#This Row],[Edital]],tItens[[#This Row],[Edital]],INDEX(tItens[Produto],1):tItens[[#This Row],[Produto]],tItens[[#This Row],[Produto]])=1,1,0)</f>
        <v>0</v>
      </c>
    </row>
    <row r="608" spans="1:16" x14ac:dyDescent="0.25">
      <c r="A608" t="s">
        <v>893</v>
      </c>
      <c r="B608">
        <v>8061720</v>
      </c>
      <c r="C608" t="s">
        <v>3804</v>
      </c>
      <c r="D608" t="s">
        <v>339</v>
      </c>
      <c r="E608" s="13">
        <v>3560</v>
      </c>
      <c r="F608" s="12">
        <v>4.18</v>
      </c>
      <c r="G608" t="str">
        <f>IFERROR(INDEX(tEditais[Órgão],MATCH(tItens[[#This Row],[Edital]],tEditais[Edital],0)),"")</f>
        <v>MUNICIPIO DE SEABRA</v>
      </c>
      <c r="H608" t="str">
        <f>IFERROR(INDEX(tEditais[UF],MATCH(tItens[[#This Row],[Edital]],tEditais[Edital],0)),"")</f>
        <v>BA</v>
      </c>
      <c r="I608" s="11">
        <f>IFERROR(INDEX(tEditais[Encerramento],MATCH(tItens[[#This Row],[Edital]],tEditais[Edital],0)),"")</f>
        <v>46310.375</v>
      </c>
      <c r="J608" t="str">
        <f>IFERROR(INDEX(tProdutos[Classe],MATCH(tItens[[#This Row],[Produto]],tProdutos[Produto],0)),"produto não cadastrado")</f>
        <v>FORA</v>
      </c>
      <c r="K608" s="12">
        <f>tItens[[#This Row],[Qtd]]*tItens[[#This Row],[Vlr unit]]</f>
        <v>14880.8</v>
      </c>
      <c r="L608" s="6">
        <f>IFERROR(IF(INDEX(tProdutos[Desconto homologado],MATCH(tItens[[#This Row],[Produto]],tProdutos[Produto],0))="",DescontoPadrao,INDEX(tProdutos[Desconto homologado],MATCH(tItens[[#This Row],[Produto]],tProdutos[Produto],0))),DescontoPadrao)</f>
        <v>0.35388629091804102</v>
      </c>
      <c r="M608" s="12">
        <f>tItens[[#This Row],[Valor]]*(1-tItens[[#This Row],[Desconto]])</f>
        <v>9614.6888821068151</v>
      </c>
      <c r="N608" t="str">
        <f>IFERROR(INDEX(tProdutos[Foco],MATCH(tItens[[#This Row],[Produto]],tProdutos[Produto],0)),"Não")</f>
        <v>Não</v>
      </c>
      <c r="O608" t="str">
        <f>IFERROR(INDEX(tEditais[SRP],MATCH(tItens[[#This Row],[Edital]],tEditais[Edital],0)),"Não")</f>
        <v>Sim</v>
      </c>
      <c r="P608" s="4">
        <f>IF(COUNTIFS(INDEX(tItens[Edital],1):tItens[[#This Row],[Edital]],tItens[[#This Row],[Edital]],INDEX(tItens[Produto],1):tItens[[#This Row],[Produto]],tItens[[#This Row],[Produto]])=1,1,0)</f>
        <v>0</v>
      </c>
    </row>
    <row r="609" spans="1:16" x14ac:dyDescent="0.25">
      <c r="A609" t="s">
        <v>893</v>
      </c>
      <c r="B609">
        <v>8061721</v>
      </c>
      <c r="C609" t="s">
        <v>3805</v>
      </c>
      <c r="D609" t="s">
        <v>339</v>
      </c>
      <c r="E609" s="13">
        <v>18800</v>
      </c>
      <c r="F609" s="12">
        <v>5.89</v>
      </c>
      <c r="G609" t="str">
        <f>IFERROR(INDEX(tEditais[Órgão],MATCH(tItens[[#This Row],[Edital]],tEditais[Edital],0)),"")</f>
        <v>MUNICIPIO DE SEABRA</v>
      </c>
      <c r="H609" t="str">
        <f>IFERROR(INDEX(tEditais[UF],MATCH(tItens[[#This Row],[Edital]],tEditais[Edital],0)),"")</f>
        <v>BA</v>
      </c>
      <c r="I609" s="11">
        <f>IFERROR(INDEX(tEditais[Encerramento],MATCH(tItens[[#This Row],[Edital]],tEditais[Edital],0)),"")</f>
        <v>46310.375</v>
      </c>
      <c r="J609" t="str">
        <f>IFERROR(INDEX(tProdutos[Classe],MATCH(tItens[[#This Row],[Produto]],tProdutos[Produto],0)),"produto não cadastrado")</f>
        <v>FORA</v>
      </c>
      <c r="K609" s="12">
        <f>tItens[[#This Row],[Qtd]]*tItens[[#This Row],[Vlr unit]]</f>
        <v>110732</v>
      </c>
      <c r="L609" s="6">
        <f>IFERROR(IF(INDEX(tProdutos[Desconto homologado],MATCH(tItens[[#This Row],[Produto]],tProdutos[Produto],0))="",DescontoPadrao,INDEX(tProdutos[Desconto homologado],MATCH(tItens[[#This Row],[Produto]],tProdutos[Produto],0))),DescontoPadrao)</f>
        <v>0.35388629091804102</v>
      </c>
      <c r="M609" s="12">
        <f>tItens[[#This Row],[Valor]]*(1-tItens[[#This Row],[Desconto]])</f>
        <v>71545.463234063485</v>
      </c>
      <c r="N609" t="str">
        <f>IFERROR(INDEX(tProdutos[Foco],MATCH(tItens[[#This Row],[Produto]],tProdutos[Produto],0)),"Não")</f>
        <v>Não</v>
      </c>
      <c r="O609" t="str">
        <f>IFERROR(INDEX(tEditais[SRP],MATCH(tItens[[#This Row],[Edital]],tEditais[Edital],0)),"Não")</f>
        <v>Sim</v>
      </c>
      <c r="P609" s="4">
        <f>IF(COUNTIFS(INDEX(tItens[Edital],1):tItens[[#This Row],[Edital]],tItens[[#This Row],[Edital]],INDEX(tItens[Produto],1):tItens[[#This Row],[Produto]],tItens[[#This Row],[Produto]])=1,1,0)</f>
        <v>0</v>
      </c>
    </row>
    <row r="610" spans="1:16" x14ac:dyDescent="0.25">
      <c r="A610" t="s">
        <v>893</v>
      </c>
      <c r="B610">
        <v>8061722</v>
      </c>
      <c r="C610" t="s">
        <v>3806</v>
      </c>
      <c r="D610" t="s">
        <v>339</v>
      </c>
      <c r="E610" s="13">
        <v>20000</v>
      </c>
      <c r="F610" s="12">
        <v>4.95</v>
      </c>
      <c r="G610" t="str">
        <f>IFERROR(INDEX(tEditais[Órgão],MATCH(tItens[[#This Row],[Edital]],tEditais[Edital],0)),"")</f>
        <v>MUNICIPIO DE SEABRA</v>
      </c>
      <c r="H610" t="str">
        <f>IFERROR(INDEX(tEditais[UF],MATCH(tItens[[#This Row],[Edital]],tEditais[Edital],0)),"")</f>
        <v>BA</v>
      </c>
      <c r="I610" s="11">
        <f>IFERROR(INDEX(tEditais[Encerramento],MATCH(tItens[[#This Row],[Edital]],tEditais[Edital],0)),"")</f>
        <v>46310.375</v>
      </c>
      <c r="J610" t="str">
        <f>IFERROR(INDEX(tProdutos[Classe],MATCH(tItens[[#This Row],[Produto]],tProdutos[Produto],0)),"produto não cadastrado")</f>
        <v>FORA</v>
      </c>
      <c r="K610" s="12">
        <f>tItens[[#This Row],[Qtd]]*tItens[[#This Row],[Vlr unit]]</f>
        <v>99000</v>
      </c>
      <c r="L610" s="6">
        <f>IFERROR(IF(INDEX(tProdutos[Desconto homologado],MATCH(tItens[[#This Row],[Produto]],tProdutos[Produto],0))="",DescontoPadrao,INDEX(tProdutos[Desconto homologado],MATCH(tItens[[#This Row],[Produto]],tProdutos[Produto],0))),DescontoPadrao)</f>
        <v>0.35388629091804102</v>
      </c>
      <c r="M610" s="12">
        <f>tItens[[#This Row],[Valor]]*(1-tItens[[#This Row],[Desconto]])</f>
        <v>63965.257199113941</v>
      </c>
      <c r="N610" t="str">
        <f>IFERROR(INDEX(tProdutos[Foco],MATCH(tItens[[#This Row],[Produto]],tProdutos[Produto],0)),"Não")</f>
        <v>Não</v>
      </c>
      <c r="O610" t="str">
        <f>IFERROR(INDEX(tEditais[SRP],MATCH(tItens[[#This Row],[Edital]],tEditais[Edital],0)),"Não")</f>
        <v>Sim</v>
      </c>
      <c r="P610" s="4">
        <f>IF(COUNTIFS(INDEX(tItens[Edital],1):tItens[[#This Row],[Edital]],tItens[[#This Row],[Edital]],INDEX(tItens[Produto],1):tItens[[#This Row],[Produto]],tItens[[#This Row],[Produto]])=1,1,0)</f>
        <v>0</v>
      </c>
    </row>
    <row r="611" spans="1:16" x14ac:dyDescent="0.25">
      <c r="A611" t="s">
        <v>893</v>
      </c>
      <c r="B611">
        <v>8061723</v>
      </c>
      <c r="C611" t="s">
        <v>3807</v>
      </c>
      <c r="D611" t="s">
        <v>339</v>
      </c>
      <c r="E611" s="13">
        <v>19730</v>
      </c>
      <c r="F611" s="12">
        <v>5.9</v>
      </c>
      <c r="G611" t="str">
        <f>IFERROR(INDEX(tEditais[Órgão],MATCH(tItens[[#This Row],[Edital]],tEditais[Edital],0)),"")</f>
        <v>MUNICIPIO DE SEABRA</v>
      </c>
      <c r="H611" t="str">
        <f>IFERROR(INDEX(tEditais[UF],MATCH(tItens[[#This Row],[Edital]],tEditais[Edital],0)),"")</f>
        <v>BA</v>
      </c>
      <c r="I611" s="11">
        <f>IFERROR(INDEX(tEditais[Encerramento],MATCH(tItens[[#This Row],[Edital]],tEditais[Edital],0)),"")</f>
        <v>46310.375</v>
      </c>
      <c r="J611" t="str">
        <f>IFERROR(INDEX(tProdutos[Classe],MATCH(tItens[[#This Row],[Produto]],tProdutos[Produto],0)),"produto não cadastrado")</f>
        <v>FORA</v>
      </c>
      <c r="K611" s="12">
        <f>tItens[[#This Row],[Qtd]]*tItens[[#This Row],[Vlr unit]]</f>
        <v>116407</v>
      </c>
      <c r="L611" s="6">
        <f>IFERROR(IF(INDEX(tProdutos[Desconto homologado],MATCH(tItens[[#This Row],[Produto]],tProdutos[Produto],0))="",DescontoPadrao,INDEX(tProdutos[Desconto homologado],MATCH(tItens[[#This Row],[Produto]],tProdutos[Produto],0))),DescontoPadrao)</f>
        <v>0.35388629091804102</v>
      </c>
      <c r="M611" s="12">
        <f>tItens[[#This Row],[Valor]]*(1-tItens[[#This Row],[Desconto]])</f>
        <v>75212.158533103604</v>
      </c>
      <c r="N611" t="str">
        <f>IFERROR(INDEX(tProdutos[Foco],MATCH(tItens[[#This Row],[Produto]],tProdutos[Produto],0)),"Não")</f>
        <v>Não</v>
      </c>
      <c r="O611" t="str">
        <f>IFERROR(INDEX(tEditais[SRP],MATCH(tItens[[#This Row],[Edital]],tEditais[Edital],0)),"Não")</f>
        <v>Sim</v>
      </c>
      <c r="P611" s="4">
        <f>IF(COUNTIFS(INDEX(tItens[Edital],1):tItens[[#This Row],[Edital]],tItens[[#This Row],[Edital]],INDEX(tItens[Produto],1):tItens[[#This Row],[Produto]],tItens[[#This Row],[Produto]])=1,1,0)</f>
        <v>0</v>
      </c>
    </row>
    <row r="612" spans="1:16" x14ac:dyDescent="0.25">
      <c r="A612" t="s">
        <v>893</v>
      </c>
      <c r="B612">
        <v>8061724</v>
      </c>
      <c r="C612" t="s">
        <v>3808</v>
      </c>
      <c r="D612" t="s">
        <v>267</v>
      </c>
      <c r="E612" s="13">
        <v>9375</v>
      </c>
      <c r="F612" s="12">
        <v>14.99</v>
      </c>
      <c r="G612" t="str">
        <f>IFERROR(INDEX(tEditais[Órgão],MATCH(tItens[[#This Row],[Edital]],tEditais[Edital],0)),"")</f>
        <v>MUNICIPIO DE SEABRA</v>
      </c>
      <c r="H612" t="str">
        <f>IFERROR(INDEX(tEditais[UF],MATCH(tItens[[#This Row],[Edital]],tEditais[Edital],0)),"")</f>
        <v>BA</v>
      </c>
      <c r="I612" s="11">
        <f>IFERROR(INDEX(tEditais[Encerramento],MATCH(tItens[[#This Row],[Edital]],tEditais[Edital],0)),"")</f>
        <v>46310.375</v>
      </c>
      <c r="J612" t="str">
        <f>IFERROR(INDEX(tProdutos[Classe],MATCH(tItens[[#This Row],[Produto]],tProdutos[Produto],0)),"produto não cadastrado")</f>
        <v>FORA</v>
      </c>
      <c r="K612" s="12">
        <f>tItens[[#This Row],[Qtd]]*tItens[[#This Row],[Vlr unit]]</f>
        <v>140531.25</v>
      </c>
      <c r="L612" s="6">
        <f>IFERROR(IF(INDEX(tProdutos[Desconto homologado],MATCH(tItens[[#This Row],[Produto]],tProdutos[Produto],0))="",DescontoPadrao,INDEX(tProdutos[Desconto homologado],MATCH(tItens[[#This Row],[Produto]],tProdutos[Produto],0))),DescontoPadrao)</f>
        <v>0.19963672657401599</v>
      </c>
      <c r="M612" s="12">
        <f>tItens[[#This Row],[Valor]]*(1-tItens[[#This Row],[Desconto]])</f>
        <v>112476.05126864531</v>
      </c>
      <c r="N612" t="str">
        <f>IFERROR(INDEX(tProdutos[Foco],MATCH(tItens[[#This Row],[Produto]],tProdutos[Produto],0)),"Não")</f>
        <v>Não</v>
      </c>
      <c r="O612" t="str">
        <f>IFERROR(INDEX(tEditais[SRP],MATCH(tItens[[#This Row],[Edital]],tEditais[Edital],0)),"Não")</f>
        <v>Sim</v>
      </c>
      <c r="P612" s="4">
        <f>IF(COUNTIFS(INDEX(tItens[Edital],1):tItens[[#This Row],[Edital]],tItens[[#This Row],[Edital]],INDEX(tItens[Produto],1):tItens[[#This Row],[Produto]],tItens[[#This Row],[Produto]])=1,1,0)</f>
        <v>1</v>
      </c>
    </row>
    <row r="613" spans="1:16" x14ac:dyDescent="0.25">
      <c r="A613" t="s">
        <v>893</v>
      </c>
      <c r="B613">
        <v>8061725</v>
      </c>
      <c r="C613" t="s">
        <v>3808</v>
      </c>
      <c r="D613" t="s">
        <v>267</v>
      </c>
      <c r="E613" s="13">
        <v>3125</v>
      </c>
      <c r="F613" s="12">
        <v>14.99</v>
      </c>
      <c r="G613" t="str">
        <f>IFERROR(INDEX(tEditais[Órgão],MATCH(tItens[[#This Row],[Edital]],tEditais[Edital],0)),"")</f>
        <v>MUNICIPIO DE SEABRA</v>
      </c>
      <c r="H613" t="str">
        <f>IFERROR(INDEX(tEditais[UF],MATCH(tItens[[#This Row],[Edital]],tEditais[Edital],0)),"")</f>
        <v>BA</v>
      </c>
      <c r="I613" s="11">
        <f>IFERROR(INDEX(tEditais[Encerramento],MATCH(tItens[[#This Row],[Edital]],tEditais[Edital],0)),"")</f>
        <v>46310.375</v>
      </c>
      <c r="J613" t="str">
        <f>IFERROR(INDEX(tProdutos[Classe],MATCH(tItens[[#This Row],[Produto]],tProdutos[Produto],0)),"produto não cadastrado")</f>
        <v>FORA</v>
      </c>
      <c r="K613" s="12">
        <f>tItens[[#This Row],[Qtd]]*tItens[[#This Row],[Vlr unit]]</f>
        <v>46843.75</v>
      </c>
      <c r="L613" s="6">
        <f>IFERROR(IF(INDEX(tProdutos[Desconto homologado],MATCH(tItens[[#This Row],[Produto]],tProdutos[Produto],0))="",DescontoPadrao,INDEX(tProdutos[Desconto homologado],MATCH(tItens[[#This Row],[Produto]],tProdutos[Produto],0))),DescontoPadrao)</f>
        <v>0.19963672657401599</v>
      </c>
      <c r="M613" s="12">
        <f>tItens[[#This Row],[Valor]]*(1-tItens[[#This Row],[Desconto]])</f>
        <v>37492.017089548441</v>
      </c>
      <c r="N613" t="str">
        <f>IFERROR(INDEX(tProdutos[Foco],MATCH(tItens[[#This Row],[Produto]],tProdutos[Produto],0)),"Não")</f>
        <v>Não</v>
      </c>
      <c r="O613" t="str">
        <f>IFERROR(INDEX(tEditais[SRP],MATCH(tItens[[#This Row],[Edital]],tEditais[Edital],0)),"Não")</f>
        <v>Sim</v>
      </c>
      <c r="P613" s="4">
        <f>IF(COUNTIFS(INDEX(tItens[Edital],1):tItens[[#This Row],[Edital]],tItens[[#This Row],[Edital]],INDEX(tItens[Produto],1):tItens[[#This Row],[Produto]],tItens[[#This Row],[Produto]])=1,1,0)</f>
        <v>0</v>
      </c>
    </row>
    <row r="614" spans="1:16" x14ac:dyDescent="0.25">
      <c r="A614" t="s">
        <v>898</v>
      </c>
      <c r="B614">
        <v>10961251</v>
      </c>
      <c r="C614" t="s">
        <v>3809</v>
      </c>
      <c r="D614" t="s">
        <v>64</v>
      </c>
      <c r="E614" s="13">
        <v>90</v>
      </c>
      <c r="F614" s="12">
        <v>1285</v>
      </c>
      <c r="G614" t="str">
        <f>IFERROR(INDEX(tEditais[Órgão],MATCH(tItens[[#This Row],[Edital]],tEditais[Edital],0)),"")</f>
        <v>FUNDO ESTADUAL DE SAUDE DO ESTADO DA BAHIA</v>
      </c>
      <c r="H614" t="str">
        <f>IFERROR(INDEX(tEditais[UF],MATCH(tItens[[#This Row],[Edital]],tEditais[Edital],0)),"")</f>
        <v>BA</v>
      </c>
      <c r="I614" s="11">
        <f>IFERROR(INDEX(tEditais[Encerramento],MATCH(tItens[[#This Row],[Edital]],tEditais[Edital],0)),"")</f>
        <v>46310.375</v>
      </c>
      <c r="J614" t="str">
        <f>IFERROR(INDEX(tProdutos[Classe],MATCH(tItens[[#This Row],[Produto]],tProdutos[Produto],0)),"produto não cadastrado")</f>
        <v>NÚCLEO</v>
      </c>
      <c r="K614" s="12">
        <f>tItens[[#This Row],[Qtd]]*tItens[[#This Row],[Vlr unit]]</f>
        <v>115650</v>
      </c>
      <c r="L614" s="6">
        <f>IFERROR(IF(INDEX(tProdutos[Desconto homologado],MATCH(tItens[[#This Row],[Produto]],tProdutos[Produto],0))="",DescontoPadrao,INDEX(tProdutos[Desconto homologado],MATCH(tItens[[#This Row],[Produto]],tProdutos[Produto],0))),DescontoPadrao)</f>
        <v>0.28197166699010301</v>
      </c>
      <c r="M614" s="12">
        <f>tItens[[#This Row],[Valor]]*(1-tItens[[#This Row],[Desconto]])</f>
        <v>83039.97671259458</v>
      </c>
      <c r="N614" t="str">
        <f>IFERROR(INDEX(tProdutos[Foco],MATCH(tItens[[#This Row],[Produto]],tProdutos[Produto],0)),"Não")</f>
        <v>Não</v>
      </c>
      <c r="O614" t="str">
        <f>IFERROR(INDEX(tEditais[SRP],MATCH(tItens[[#This Row],[Edital]],tEditais[Edital],0)),"Não")</f>
        <v>Não</v>
      </c>
      <c r="P614" s="4">
        <f>IF(COUNTIFS(INDEX(tItens[Edital],1):tItens[[#This Row],[Edital]],tItens[[#This Row],[Edital]],INDEX(tItens[Produto],1):tItens[[#This Row],[Produto]],tItens[[#This Row],[Produto]])=1,1,0)</f>
        <v>1</v>
      </c>
    </row>
    <row r="615" spans="1:16" x14ac:dyDescent="0.25">
      <c r="A615" t="s">
        <v>898</v>
      </c>
      <c r="B615">
        <v>10961252</v>
      </c>
      <c r="C615" t="s">
        <v>3809</v>
      </c>
      <c r="D615" t="s">
        <v>64</v>
      </c>
      <c r="E615" s="13">
        <v>30</v>
      </c>
      <c r="F615" s="12">
        <v>1285</v>
      </c>
      <c r="G615" t="str">
        <f>IFERROR(INDEX(tEditais[Órgão],MATCH(tItens[[#This Row],[Edital]],tEditais[Edital],0)),"")</f>
        <v>FUNDO ESTADUAL DE SAUDE DO ESTADO DA BAHIA</v>
      </c>
      <c r="H615" t="str">
        <f>IFERROR(INDEX(tEditais[UF],MATCH(tItens[[#This Row],[Edital]],tEditais[Edital],0)),"")</f>
        <v>BA</v>
      </c>
      <c r="I615" s="11">
        <f>IFERROR(INDEX(tEditais[Encerramento],MATCH(tItens[[#This Row],[Edital]],tEditais[Edital],0)),"")</f>
        <v>46310.375</v>
      </c>
      <c r="J615" t="str">
        <f>IFERROR(INDEX(tProdutos[Classe],MATCH(tItens[[#This Row],[Produto]],tProdutos[Produto],0)),"produto não cadastrado")</f>
        <v>NÚCLEO</v>
      </c>
      <c r="K615" s="12">
        <f>tItens[[#This Row],[Qtd]]*tItens[[#This Row],[Vlr unit]]</f>
        <v>38550</v>
      </c>
      <c r="L615" s="6">
        <f>IFERROR(IF(INDEX(tProdutos[Desconto homologado],MATCH(tItens[[#This Row],[Produto]],tProdutos[Produto],0))="",DescontoPadrao,INDEX(tProdutos[Desconto homologado],MATCH(tItens[[#This Row],[Produto]],tProdutos[Produto],0))),DescontoPadrao)</f>
        <v>0.28197166699010301</v>
      </c>
      <c r="M615" s="12">
        <f>tItens[[#This Row],[Valor]]*(1-tItens[[#This Row],[Desconto]])</f>
        <v>27679.992237531529</v>
      </c>
      <c r="N615" t="str">
        <f>IFERROR(INDEX(tProdutos[Foco],MATCH(tItens[[#This Row],[Produto]],tProdutos[Produto],0)),"Não")</f>
        <v>Não</v>
      </c>
      <c r="O615" t="str">
        <f>IFERROR(INDEX(tEditais[SRP],MATCH(tItens[[#This Row],[Edital]],tEditais[Edital],0)),"Não")</f>
        <v>Não</v>
      </c>
      <c r="P615" s="4">
        <f>IF(COUNTIFS(INDEX(tItens[Edital],1):tItens[[#This Row],[Edital]],tItens[[#This Row],[Edital]],INDEX(tItens[Produto],1):tItens[[#This Row],[Produto]],tItens[[#This Row],[Produto]])=1,1,0)</f>
        <v>0</v>
      </c>
    </row>
    <row r="616" spans="1:16" x14ac:dyDescent="0.25">
      <c r="A616" t="s">
        <v>899</v>
      </c>
      <c r="B616">
        <v>30001</v>
      </c>
      <c r="C616" t="s">
        <v>3810</v>
      </c>
      <c r="D616" t="s">
        <v>596</v>
      </c>
      <c r="E616" s="13">
        <v>45</v>
      </c>
      <c r="F616" s="12">
        <v>1920</v>
      </c>
      <c r="G616" t="str">
        <f>IFERROR(INDEX(tEditais[Órgão],MATCH(tItens[[#This Row],[Edital]],tEditais[Edital],0)),"")</f>
        <v>ESTADO DA BAHIA</v>
      </c>
      <c r="H616" t="str">
        <f>IFERROR(INDEX(tEditais[UF],MATCH(tItens[[#This Row],[Edital]],tEditais[Edital],0)),"")</f>
        <v>BA</v>
      </c>
      <c r="I616" s="11">
        <f>IFERROR(INDEX(tEditais[Encerramento],MATCH(tItens[[#This Row],[Edital]],tEditais[Edital],0)),"")</f>
        <v>46310.375</v>
      </c>
      <c r="J616" t="str">
        <f>IFERROR(INDEX(tProdutos[Classe],MATCH(tItens[[#This Row],[Produto]],tProdutos[Produto],0)),"produto não cadastrado")</f>
        <v>FILA REBASE</v>
      </c>
      <c r="K616" s="12">
        <f>tItens[[#This Row],[Qtd]]*tItens[[#This Row],[Vlr unit]]</f>
        <v>86400</v>
      </c>
      <c r="L616" s="6">
        <f>IFERROR(IF(INDEX(tProdutos[Desconto homologado],MATCH(tItens[[#This Row],[Produto]],tProdutos[Produto],0))="",DescontoPadrao,INDEX(tProdutos[Desconto homologado],MATCH(tItens[[#This Row],[Produto]],tProdutos[Produto],0))),DescontoPadrao)</f>
        <v>0.35501453488372098</v>
      </c>
      <c r="M616" s="12">
        <f>tItens[[#This Row],[Valor]]*(1-tItens[[#This Row],[Desconto]])</f>
        <v>55726.744186046504</v>
      </c>
      <c r="N616" t="str">
        <f>IFERROR(INDEX(tProdutos[Foco],MATCH(tItens[[#This Row],[Produto]],tProdutos[Produto],0)),"Não")</f>
        <v>Não</v>
      </c>
      <c r="O616" t="str">
        <f>IFERROR(INDEX(tEditais[SRP],MATCH(tItens[[#This Row],[Edital]],tEditais[Edital],0)),"Não")</f>
        <v>Não</v>
      </c>
      <c r="P616" s="4">
        <f>IF(COUNTIFS(INDEX(tItens[Edital],1):tItens[[#This Row],[Edital]],tItens[[#This Row],[Edital]],INDEX(tItens[Produto],1):tItens[[#This Row],[Produto]],tItens[[#This Row],[Produto]])=1,1,0)</f>
        <v>1</v>
      </c>
    </row>
    <row r="617" spans="1:16" x14ac:dyDescent="0.25">
      <c r="A617" t="s">
        <v>899</v>
      </c>
      <c r="B617">
        <v>60001</v>
      </c>
      <c r="C617" t="s">
        <v>3811</v>
      </c>
      <c r="D617" t="s">
        <v>596</v>
      </c>
      <c r="E617" s="13">
        <v>120</v>
      </c>
      <c r="F617" s="12">
        <v>292</v>
      </c>
      <c r="G617" t="str">
        <f>IFERROR(INDEX(tEditais[Órgão],MATCH(tItens[[#This Row],[Edital]],tEditais[Edital],0)),"")</f>
        <v>ESTADO DA BAHIA</v>
      </c>
      <c r="H617" t="str">
        <f>IFERROR(INDEX(tEditais[UF],MATCH(tItens[[#This Row],[Edital]],tEditais[Edital],0)),"")</f>
        <v>BA</v>
      </c>
      <c r="I617" s="11">
        <f>IFERROR(INDEX(tEditais[Encerramento],MATCH(tItens[[#This Row],[Edital]],tEditais[Edital],0)),"")</f>
        <v>46310.375</v>
      </c>
      <c r="J617" t="str">
        <f>IFERROR(INDEX(tProdutos[Classe],MATCH(tItens[[#This Row],[Produto]],tProdutos[Produto],0)),"produto não cadastrado")</f>
        <v>FILA REBASE</v>
      </c>
      <c r="K617" s="12">
        <f>tItens[[#This Row],[Qtd]]*tItens[[#This Row],[Vlr unit]]</f>
        <v>35040</v>
      </c>
      <c r="L617" s="6">
        <f>IFERROR(IF(INDEX(tProdutos[Desconto homologado],MATCH(tItens[[#This Row],[Produto]],tProdutos[Produto],0))="",DescontoPadrao,INDEX(tProdutos[Desconto homologado],MATCH(tItens[[#This Row],[Produto]],tProdutos[Produto],0))),DescontoPadrao)</f>
        <v>0.35501453488372098</v>
      </c>
      <c r="M617" s="12">
        <f>tItens[[#This Row],[Valor]]*(1-tItens[[#This Row],[Desconto]])</f>
        <v>22600.290697674416</v>
      </c>
      <c r="N617" t="str">
        <f>IFERROR(INDEX(tProdutos[Foco],MATCH(tItens[[#This Row],[Produto]],tProdutos[Produto],0)),"Não")</f>
        <v>Não</v>
      </c>
      <c r="O617" t="str">
        <f>IFERROR(INDEX(tEditais[SRP],MATCH(tItens[[#This Row],[Edital]],tEditais[Edital],0)),"Não")</f>
        <v>Não</v>
      </c>
      <c r="P617" s="4">
        <f>IF(COUNTIFS(INDEX(tItens[Edital],1):tItens[[#This Row],[Edital]],tItens[[#This Row],[Edital]],INDEX(tItens[Produto],1):tItens[[#This Row],[Produto]],tItens[[#This Row],[Produto]])=1,1,0)</f>
        <v>0</v>
      </c>
    </row>
    <row r="618" spans="1:16" x14ac:dyDescent="0.25">
      <c r="A618" t="s">
        <v>899</v>
      </c>
      <c r="B618">
        <v>70001</v>
      </c>
      <c r="C618" t="s">
        <v>3812</v>
      </c>
      <c r="D618" t="s">
        <v>596</v>
      </c>
      <c r="E618" s="13">
        <v>15</v>
      </c>
      <c r="F618" s="12">
        <v>1920</v>
      </c>
      <c r="G618" t="str">
        <f>IFERROR(INDEX(tEditais[Órgão],MATCH(tItens[[#This Row],[Edital]],tEditais[Edital],0)),"")</f>
        <v>ESTADO DA BAHIA</v>
      </c>
      <c r="H618" t="str">
        <f>IFERROR(INDEX(tEditais[UF],MATCH(tItens[[#This Row],[Edital]],tEditais[Edital],0)),"")</f>
        <v>BA</v>
      </c>
      <c r="I618" s="11">
        <f>IFERROR(INDEX(tEditais[Encerramento],MATCH(tItens[[#This Row],[Edital]],tEditais[Edital],0)),"")</f>
        <v>46310.375</v>
      </c>
      <c r="J618" t="str">
        <f>IFERROR(INDEX(tProdutos[Classe],MATCH(tItens[[#This Row],[Produto]],tProdutos[Produto],0)),"produto não cadastrado")</f>
        <v>FILA REBASE</v>
      </c>
      <c r="K618" s="12">
        <f>tItens[[#This Row],[Qtd]]*tItens[[#This Row],[Vlr unit]]</f>
        <v>28800</v>
      </c>
      <c r="L618" s="6">
        <f>IFERROR(IF(INDEX(tProdutos[Desconto homologado],MATCH(tItens[[#This Row],[Produto]],tProdutos[Produto],0))="",DescontoPadrao,INDEX(tProdutos[Desconto homologado],MATCH(tItens[[#This Row],[Produto]],tProdutos[Produto],0))),DescontoPadrao)</f>
        <v>0.35501453488372098</v>
      </c>
      <c r="M618" s="12">
        <f>tItens[[#This Row],[Valor]]*(1-tItens[[#This Row],[Desconto]])</f>
        <v>18575.581395348836</v>
      </c>
      <c r="N618" t="str">
        <f>IFERROR(INDEX(tProdutos[Foco],MATCH(tItens[[#This Row],[Produto]],tProdutos[Produto],0)),"Não")</f>
        <v>Não</v>
      </c>
      <c r="O618" t="str">
        <f>IFERROR(INDEX(tEditais[SRP],MATCH(tItens[[#This Row],[Edital]],tEditais[Edital],0)),"Não")</f>
        <v>Não</v>
      </c>
      <c r="P618" s="4">
        <f>IF(COUNTIFS(INDEX(tItens[Edital],1):tItens[[#This Row],[Edital]],tItens[[#This Row],[Edital]],INDEX(tItens[Produto],1):tItens[[#This Row],[Produto]],tItens[[#This Row],[Produto]])=1,1,0)</f>
        <v>0</v>
      </c>
    </row>
    <row r="619" spans="1:16" x14ac:dyDescent="0.25">
      <c r="A619" t="s">
        <v>902</v>
      </c>
      <c r="B619">
        <v>20001</v>
      </c>
      <c r="C619" t="s">
        <v>3813</v>
      </c>
      <c r="D619" t="s">
        <v>201</v>
      </c>
      <c r="E619" s="13">
        <v>8000</v>
      </c>
      <c r="F619" s="12">
        <v>0.39</v>
      </c>
      <c r="G619" t="str">
        <f>IFERROR(INDEX(tEditais[Órgão],MATCH(tItens[[#This Row],[Edital]],tEditais[Edital],0)),"")</f>
        <v>ESTADO DA BAHIA</v>
      </c>
      <c r="H619" t="str">
        <f>IFERROR(INDEX(tEditais[UF],MATCH(tItens[[#This Row],[Edital]],tEditais[Edital],0)),"")</f>
        <v>BA</v>
      </c>
      <c r="I619" s="11">
        <f>IFERROR(INDEX(tEditais[Encerramento],MATCH(tItens[[#This Row],[Edital]],tEditais[Edital],0)),"")</f>
        <v>46310.458333333336</v>
      </c>
      <c r="J619" t="str">
        <f>IFERROR(INDEX(tProdutos[Classe],MATCH(tItens[[#This Row],[Produto]],tProdutos[Produto],0)),"produto não cadastrado")</f>
        <v>DISPUTADO</v>
      </c>
      <c r="K619" s="12">
        <f>tItens[[#This Row],[Qtd]]*tItens[[#This Row],[Vlr unit]]</f>
        <v>3120</v>
      </c>
      <c r="L619" s="6">
        <f>IFERROR(IF(INDEX(tProdutos[Desconto homologado],MATCH(tItens[[#This Row],[Produto]],tProdutos[Produto],0))="",DescontoPadrao,INDEX(tProdutos[Desconto homologado],MATCH(tItens[[#This Row],[Produto]],tProdutos[Produto],0))),DescontoPadrao)</f>
        <v>0.27203065134099602</v>
      </c>
      <c r="M619" s="12">
        <f>tItens[[#This Row],[Valor]]*(1-tItens[[#This Row],[Desconto]])</f>
        <v>2271.2643678160925</v>
      </c>
      <c r="N619" t="str">
        <f>IFERROR(INDEX(tProdutos[Foco],MATCH(tItens[[#This Row],[Produto]],tProdutos[Produto],0)),"Não")</f>
        <v>Não</v>
      </c>
      <c r="O619" t="str">
        <f>IFERROR(INDEX(tEditais[SRP],MATCH(tItens[[#This Row],[Edital]],tEditais[Edital],0)),"Não")</f>
        <v>Não</v>
      </c>
      <c r="P619" s="4">
        <f>IF(COUNTIFS(INDEX(tItens[Edital],1):tItens[[#This Row],[Edital]],tItens[[#This Row],[Edital]],INDEX(tItens[Produto],1):tItens[[#This Row],[Produto]],tItens[[#This Row],[Produto]])=1,1,0)</f>
        <v>1</v>
      </c>
    </row>
    <row r="620" spans="1:16" x14ac:dyDescent="0.25">
      <c r="A620" t="s">
        <v>905</v>
      </c>
      <c r="B620">
        <v>399181</v>
      </c>
      <c r="C620" t="s">
        <v>3814</v>
      </c>
      <c r="D620" t="s">
        <v>281</v>
      </c>
      <c r="E620" s="13">
        <v>300000</v>
      </c>
      <c r="F620" s="12">
        <v>0.19</v>
      </c>
      <c r="G620" t="str">
        <f>IFERROR(INDEX(tEditais[Órgão],MATCH(tItens[[#This Row],[Edital]],tEditais[Edital],0)),"")</f>
        <v>FUNDO ESTADUAL DE SAUDE DO ESTADO DA BAHIA</v>
      </c>
      <c r="H620" t="str">
        <f>IFERROR(INDEX(tEditais[UF],MATCH(tItens[[#This Row],[Edital]],tEditais[Edital],0)),"")</f>
        <v>BA</v>
      </c>
      <c r="I620" s="11">
        <f>IFERROR(INDEX(tEditais[Encerramento],MATCH(tItens[[#This Row],[Edital]],tEditais[Edital],0)),"")</f>
        <v>46310.583333333336</v>
      </c>
      <c r="J620" t="str">
        <f>IFERROR(INDEX(tProdutos[Classe],MATCH(tItens[[#This Row],[Produto]],tProdutos[Produto],0)),"produto não cadastrado")</f>
        <v>DISPUTADO</v>
      </c>
      <c r="K620" s="12">
        <f>tItens[[#This Row],[Qtd]]*tItens[[#This Row],[Vlr unit]]</f>
        <v>57000</v>
      </c>
      <c r="L620" s="6">
        <f>IFERROR(IF(INDEX(tProdutos[Desconto homologado],MATCH(tItens[[#This Row],[Produto]],tProdutos[Produto],0))="",DescontoPadrao,INDEX(tProdutos[Desconto homologado],MATCH(tItens[[#This Row],[Produto]],tProdutos[Produto],0))),DescontoPadrao)</f>
        <v>0.42461538461538501</v>
      </c>
      <c r="M620" s="12">
        <f>tItens[[#This Row],[Valor]]*(1-tItens[[#This Row],[Desconto]])</f>
        <v>32796.923076923049</v>
      </c>
      <c r="N620" t="str">
        <f>IFERROR(INDEX(tProdutos[Foco],MATCH(tItens[[#This Row],[Produto]],tProdutos[Produto],0)),"Não")</f>
        <v>Não</v>
      </c>
      <c r="O620" t="str">
        <f>IFERROR(INDEX(tEditais[SRP],MATCH(tItens[[#This Row],[Edital]],tEditais[Edital],0)),"Não")</f>
        <v>Não</v>
      </c>
      <c r="P620" s="4">
        <f>IF(COUNTIFS(INDEX(tItens[Edital],1):tItens[[#This Row],[Edital]],tItens[[#This Row],[Edital]],INDEX(tItens[Produto],1):tItens[[#This Row],[Produto]],tItens[[#This Row],[Produto]])=1,1,0)</f>
        <v>1</v>
      </c>
    </row>
    <row r="621" spans="1:16" x14ac:dyDescent="0.25">
      <c r="A621" t="s">
        <v>905</v>
      </c>
      <c r="B621">
        <v>399182</v>
      </c>
      <c r="C621" t="s">
        <v>3814</v>
      </c>
      <c r="D621" t="s">
        <v>281</v>
      </c>
      <c r="E621" s="13">
        <v>900000</v>
      </c>
      <c r="F621" s="12">
        <v>0.19</v>
      </c>
      <c r="G621" t="str">
        <f>IFERROR(INDEX(tEditais[Órgão],MATCH(tItens[[#This Row],[Edital]],tEditais[Edital],0)),"")</f>
        <v>FUNDO ESTADUAL DE SAUDE DO ESTADO DA BAHIA</v>
      </c>
      <c r="H621" t="str">
        <f>IFERROR(INDEX(tEditais[UF],MATCH(tItens[[#This Row],[Edital]],tEditais[Edital],0)),"")</f>
        <v>BA</v>
      </c>
      <c r="I621" s="11">
        <f>IFERROR(INDEX(tEditais[Encerramento],MATCH(tItens[[#This Row],[Edital]],tEditais[Edital],0)),"")</f>
        <v>46310.583333333336</v>
      </c>
      <c r="J621" t="str">
        <f>IFERROR(INDEX(tProdutos[Classe],MATCH(tItens[[#This Row],[Produto]],tProdutos[Produto],0)),"produto não cadastrado")</f>
        <v>DISPUTADO</v>
      </c>
      <c r="K621" s="12">
        <f>tItens[[#This Row],[Qtd]]*tItens[[#This Row],[Vlr unit]]</f>
        <v>171000</v>
      </c>
      <c r="L621" s="6">
        <f>IFERROR(IF(INDEX(tProdutos[Desconto homologado],MATCH(tItens[[#This Row],[Produto]],tProdutos[Produto],0))="",DescontoPadrao,INDEX(tProdutos[Desconto homologado],MATCH(tItens[[#This Row],[Produto]],tProdutos[Produto],0))),DescontoPadrao)</f>
        <v>0.42461538461538501</v>
      </c>
      <c r="M621" s="12">
        <f>tItens[[#This Row],[Valor]]*(1-tItens[[#This Row],[Desconto]])</f>
        <v>98390.769230769161</v>
      </c>
      <c r="N621" t="str">
        <f>IFERROR(INDEX(tProdutos[Foco],MATCH(tItens[[#This Row],[Produto]],tProdutos[Produto],0)),"Não")</f>
        <v>Não</v>
      </c>
      <c r="O621" t="str">
        <f>IFERROR(INDEX(tEditais[SRP],MATCH(tItens[[#This Row],[Edital]],tEditais[Edital],0)),"Não")</f>
        <v>Não</v>
      </c>
      <c r="P621" s="4">
        <f>IF(COUNTIFS(INDEX(tItens[Edital],1):tItens[[#This Row],[Edital]],tItens[[#This Row],[Edital]],INDEX(tItens[Produto],1):tItens[[#This Row],[Produto]],tItens[[#This Row],[Produto]])=1,1,0)</f>
        <v>0</v>
      </c>
    </row>
    <row r="622" spans="1:16" x14ac:dyDescent="0.25">
      <c r="A622" t="s">
        <v>905</v>
      </c>
      <c r="B622">
        <v>1220705</v>
      </c>
      <c r="C622" t="s">
        <v>3815</v>
      </c>
      <c r="D622" t="s">
        <v>245</v>
      </c>
      <c r="E622" s="13">
        <v>720</v>
      </c>
      <c r="F622" s="12">
        <v>69.13</v>
      </c>
      <c r="G622" t="str">
        <f>IFERROR(INDEX(tEditais[Órgão],MATCH(tItens[[#This Row],[Edital]],tEditais[Edital],0)),"")</f>
        <v>FUNDO ESTADUAL DE SAUDE DO ESTADO DA BAHIA</v>
      </c>
      <c r="H622" t="str">
        <f>IFERROR(INDEX(tEditais[UF],MATCH(tItens[[#This Row],[Edital]],tEditais[Edital],0)),"")</f>
        <v>BA</v>
      </c>
      <c r="I622" s="11">
        <f>IFERROR(INDEX(tEditais[Encerramento],MATCH(tItens[[#This Row],[Edital]],tEditais[Edital],0)),"")</f>
        <v>46310.583333333336</v>
      </c>
      <c r="J622" t="str">
        <f>IFERROR(INDEX(tProdutos[Classe],MATCH(tItens[[#This Row],[Produto]],tProdutos[Produto],0)),"produto não cadastrado")</f>
        <v>FORA</v>
      </c>
      <c r="K622" s="12">
        <f>tItens[[#This Row],[Qtd]]*tItens[[#This Row],[Vlr unit]]</f>
        <v>49773.599999999999</v>
      </c>
      <c r="L622" s="6">
        <f>IFERROR(IF(INDEX(tProdutos[Desconto homologado],MATCH(tItens[[#This Row],[Produto]],tProdutos[Produto],0))="",DescontoPadrao,INDEX(tProdutos[Desconto homologado],MATCH(tItens[[#This Row],[Produto]],tProdutos[Produto],0))),DescontoPadrao)</f>
        <v>0.34516963542284401</v>
      </c>
      <c r="M622" s="12">
        <f>tItens[[#This Row],[Valor]]*(1-tItens[[#This Row],[Desconto]])</f>
        <v>32593.264634317533</v>
      </c>
      <c r="N622" t="str">
        <f>IFERROR(INDEX(tProdutos[Foco],MATCH(tItens[[#This Row],[Produto]],tProdutos[Produto],0)),"Não")</f>
        <v>Não</v>
      </c>
      <c r="O622" t="str">
        <f>IFERROR(INDEX(tEditais[SRP],MATCH(tItens[[#This Row],[Edital]],tEditais[Edital],0)),"Não")</f>
        <v>Não</v>
      </c>
      <c r="P622" s="4">
        <f>IF(COUNTIFS(INDEX(tItens[Edital],1):tItens[[#This Row],[Edital]],tItens[[#This Row],[Edital]],INDEX(tItens[Produto],1):tItens[[#This Row],[Produto]],tItens[[#This Row],[Produto]])=1,1,0)</f>
        <v>1</v>
      </c>
    </row>
    <row r="623" spans="1:16" x14ac:dyDescent="0.25">
      <c r="A623" t="s">
        <v>905</v>
      </c>
      <c r="B623">
        <v>1263366</v>
      </c>
      <c r="C623" t="s">
        <v>3816</v>
      </c>
      <c r="D623" t="s">
        <v>363</v>
      </c>
      <c r="E623" s="13">
        <v>12000</v>
      </c>
      <c r="F623" s="12">
        <v>5.71</v>
      </c>
      <c r="G623" t="str">
        <f>IFERROR(INDEX(tEditais[Órgão],MATCH(tItens[[#This Row],[Edital]],tEditais[Edital],0)),"")</f>
        <v>FUNDO ESTADUAL DE SAUDE DO ESTADO DA BAHIA</v>
      </c>
      <c r="H623" t="str">
        <f>IFERROR(INDEX(tEditais[UF],MATCH(tItens[[#This Row],[Edital]],tEditais[Edital],0)),"")</f>
        <v>BA</v>
      </c>
      <c r="I623" s="11">
        <f>IFERROR(INDEX(tEditais[Encerramento],MATCH(tItens[[#This Row],[Edital]],tEditais[Edital],0)),"")</f>
        <v>46310.583333333336</v>
      </c>
      <c r="J623" t="str">
        <f>IFERROR(INDEX(tProdutos[Classe],MATCH(tItens[[#This Row],[Produto]],tProdutos[Produto],0)),"produto não cadastrado")</f>
        <v>FORA</v>
      </c>
      <c r="K623" s="12">
        <f>tItens[[#This Row],[Qtd]]*tItens[[#This Row],[Vlr unit]]</f>
        <v>68520</v>
      </c>
      <c r="L623" s="6">
        <f>IFERROR(IF(INDEX(tProdutos[Desconto homologado],MATCH(tItens[[#This Row],[Produto]],tProdutos[Produto],0))="",DescontoPadrao,INDEX(tProdutos[Desconto homologado],MATCH(tItens[[#This Row],[Produto]],tProdutos[Produto],0))),DescontoPadrao)</f>
        <v>0.36454545454545501</v>
      </c>
      <c r="M623" s="12">
        <f>tItens[[#This Row],[Valor]]*(1-tItens[[#This Row],[Desconto]])</f>
        <v>43541.34545454543</v>
      </c>
      <c r="N623" t="str">
        <f>IFERROR(INDEX(tProdutos[Foco],MATCH(tItens[[#This Row],[Produto]],tProdutos[Produto],0)),"Não")</f>
        <v>Não</v>
      </c>
      <c r="O623" t="str">
        <f>IFERROR(INDEX(tEditais[SRP],MATCH(tItens[[#This Row],[Edital]],tEditais[Edital],0)),"Não")</f>
        <v>Não</v>
      </c>
      <c r="P623" s="4">
        <f>IF(COUNTIFS(INDEX(tItens[Edital],1):tItens[[#This Row],[Edital]],tItens[[#This Row],[Edital]],INDEX(tItens[Produto],1):tItens[[#This Row],[Produto]],tItens[[#This Row],[Produto]])=1,1,0)</f>
        <v>1</v>
      </c>
    </row>
    <row r="624" spans="1:16" x14ac:dyDescent="0.25">
      <c r="A624" t="s">
        <v>906</v>
      </c>
      <c r="B624">
        <v>10001</v>
      </c>
      <c r="C624" t="s">
        <v>3817</v>
      </c>
      <c r="D624" t="s">
        <v>281</v>
      </c>
      <c r="E624" s="13">
        <v>900000</v>
      </c>
      <c r="F624" s="12">
        <v>0.19</v>
      </c>
      <c r="G624" t="str">
        <f>IFERROR(INDEX(tEditais[Órgão],MATCH(tItens[[#This Row],[Edital]],tEditais[Edital],0)),"")</f>
        <v>ESTADO DA BAHIA</v>
      </c>
      <c r="H624" t="str">
        <f>IFERROR(INDEX(tEditais[UF],MATCH(tItens[[#This Row],[Edital]],tEditais[Edital],0)),"")</f>
        <v>BA</v>
      </c>
      <c r="I624" s="11">
        <f>IFERROR(INDEX(tEditais[Encerramento],MATCH(tItens[[#This Row],[Edital]],tEditais[Edital],0)),"")</f>
        <v>46310.583333333336</v>
      </c>
      <c r="J624" t="str">
        <f>IFERROR(INDEX(tProdutos[Classe],MATCH(tItens[[#This Row],[Produto]],tProdutos[Produto],0)),"produto não cadastrado")</f>
        <v>DISPUTADO</v>
      </c>
      <c r="K624" s="12">
        <f>tItens[[#This Row],[Qtd]]*tItens[[#This Row],[Vlr unit]]</f>
        <v>171000</v>
      </c>
      <c r="L624" s="6">
        <f>IFERROR(IF(INDEX(tProdutos[Desconto homologado],MATCH(tItens[[#This Row],[Produto]],tProdutos[Produto],0))="",DescontoPadrao,INDEX(tProdutos[Desconto homologado],MATCH(tItens[[#This Row],[Produto]],tProdutos[Produto],0))),DescontoPadrao)</f>
        <v>0.42461538461538501</v>
      </c>
      <c r="M624" s="12">
        <f>tItens[[#This Row],[Valor]]*(1-tItens[[#This Row],[Desconto]])</f>
        <v>98390.769230769161</v>
      </c>
      <c r="N624" t="str">
        <f>IFERROR(INDEX(tProdutos[Foco],MATCH(tItens[[#This Row],[Produto]],tProdutos[Produto],0)),"Não")</f>
        <v>Não</v>
      </c>
      <c r="O624" t="str">
        <f>IFERROR(INDEX(tEditais[SRP],MATCH(tItens[[#This Row],[Edital]],tEditais[Edital],0)),"Não")</f>
        <v>Não</v>
      </c>
      <c r="P624" s="4">
        <f>IF(COUNTIFS(INDEX(tItens[Edital],1):tItens[[#This Row],[Edital]],tItens[[#This Row],[Edital]],INDEX(tItens[Produto],1):tItens[[#This Row],[Produto]],tItens[[#This Row],[Produto]])=1,1,0)</f>
        <v>1</v>
      </c>
    </row>
    <row r="625" spans="1:16" x14ac:dyDescent="0.25">
      <c r="A625" t="s">
        <v>906</v>
      </c>
      <c r="B625">
        <v>40001</v>
      </c>
      <c r="C625" t="s">
        <v>3818</v>
      </c>
      <c r="D625" t="s">
        <v>245</v>
      </c>
      <c r="E625" s="13">
        <v>720</v>
      </c>
      <c r="F625" s="12">
        <v>69.13</v>
      </c>
      <c r="G625" t="str">
        <f>IFERROR(INDEX(tEditais[Órgão],MATCH(tItens[[#This Row],[Edital]],tEditais[Edital],0)),"")</f>
        <v>ESTADO DA BAHIA</v>
      </c>
      <c r="H625" t="str">
        <f>IFERROR(INDEX(tEditais[UF],MATCH(tItens[[#This Row],[Edital]],tEditais[Edital],0)),"")</f>
        <v>BA</v>
      </c>
      <c r="I625" s="11">
        <f>IFERROR(INDEX(tEditais[Encerramento],MATCH(tItens[[#This Row],[Edital]],tEditais[Edital],0)),"")</f>
        <v>46310.583333333336</v>
      </c>
      <c r="J625" t="str">
        <f>IFERROR(INDEX(tProdutos[Classe],MATCH(tItens[[#This Row],[Produto]],tProdutos[Produto],0)),"produto não cadastrado")</f>
        <v>FORA</v>
      </c>
      <c r="K625" s="12">
        <f>tItens[[#This Row],[Qtd]]*tItens[[#This Row],[Vlr unit]]</f>
        <v>49773.599999999999</v>
      </c>
      <c r="L625" s="6">
        <f>IFERROR(IF(INDEX(tProdutos[Desconto homologado],MATCH(tItens[[#This Row],[Produto]],tProdutos[Produto],0))="",DescontoPadrao,INDEX(tProdutos[Desconto homologado],MATCH(tItens[[#This Row],[Produto]],tProdutos[Produto],0))),DescontoPadrao)</f>
        <v>0.34516963542284401</v>
      </c>
      <c r="M625" s="12">
        <f>tItens[[#This Row],[Valor]]*(1-tItens[[#This Row],[Desconto]])</f>
        <v>32593.264634317533</v>
      </c>
      <c r="N625" t="str">
        <f>IFERROR(INDEX(tProdutos[Foco],MATCH(tItens[[#This Row],[Produto]],tProdutos[Produto],0)),"Não")</f>
        <v>Não</v>
      </c>
      <c r="O625" t="str">
        <f>IFERROR(INDEX(tEditais[SRP],MATCH(tItens[[#This Row],[Edital]],tEditais[Edital],0)),"Não")</f>
        <v>Não</v>
      </c>
      <c r="P625" s="4">
        <f>IF(COUNTIFS(INDEX(tItens[Edital],1):tItens[[#This Row],[Edital]],tItens[[#This Row],[Edital]],INDEX(tItens[Produto],1):tItens[[#This Row],[Produto]],tItens[[#This Row],[Produto]])=1,1,0)</f>
        <v>1</v>
      </c>
    </row>
    <row r="626" spans="1:16" x14ac:dyDescent="0.25">
      <c r="A626" t="s">
        <v>906</v>
      </c>
      <c r="B626">
        <v>50001</v>
      </c>
      <c r="C626" t="s">
        <v>3819</v>
      </c>
      <c r="D626" t="s">
        <v>363</v>
      </c>
      <c r="E626" s="13">
        <v>12000</v>
      </c>
      <c r="F626" s="12">
        <v>5.71</v>
      </c>
      <c r="G626" t="str">
        <f>IFERROR(INDEX(tEditais[Órgão],MATCH(tItens[[#This Row],[Edital]],tEditais[Edital],0)),"")</f>
        <v>ESTADO DA BAHIA</v>
      </c>
      <c r="H626" t="str">
        <f>IFERROR(INDEX(tEditais[UF],MATCH(tItens[[#This Row],[Edital]],tEditais[Edital],0)),"")</f>
        <v>BA</v>
      </c>
      <c r="I626" s="11">
        <f>IFERROR(INDEX(tEditais[Encerramento],MATCH(tItens[[#This Row],[Edital]],tEditais[Edital],0)),"")</f>
        <v>46310.583333333336</v>
      </c>
      <c r="J626" t="str">
        <f>IFERROR(INDEX(tProdutos[Classe],MATCH(tItens[[#This Row],[Produto]],tProdutos[Produto],0)),"produto não cadastrado")</f>
        <v>FORA</v>
      </c>
      <c r="K626" s="12">
        <f>tItens[[#This Row],[Qtd]]*tItens[[#This Row],[Vlr unit]]</f>
        <v>68520</v>
      </c>
      <c r="L626" s="6">
        <f>IFERROR(IF(INDEX(tProdutos[Desconto homologado],MATCH(tItens[[#This Row],[Produto]],tProdutos[Produto],0))="",DescontoPadrao,INDEX(tProdutos[Desconto homologado],MATCH(tItens[[#This Row],[Produto]],tProdutos[Produto],0))),DescontoPadrao)</f>
        <v>0.36454545454545501</v>
      </c>
      <c r="M626" s="12">
        <f>tItens[[#This Row],[Valor]]*(1-tItens[[#This Row],[Desconto]])</f>
        <v>43541.34545454543</v>
      </c>
      <c r="N626" t="str">
        <f>IFERROR(INDEX(tProdutos[Foco],MATCH(tItens[[#This Row],[Produto]],tProdutos[Produto],0)),"Não")</f>
        <v>Não</v>
      </c>
      <c r="O626" t="str">
        <f>IFERROR(INDEX(tEditais[SRP],MATCH(tItens[[#This Row],[Edital]],tEditais[Edital],0)),"Não")</f>
        <v>Não</v>
      </c>
      <c r="P626" s="4">
        <f>IF(COUNTIFS(INDEX(tItens[Edital],1):tItens[[#This Row],[Edital]],tItens[[#This Row],[Edital]],INDEX(tItens[Produto],1):tItens[[#This Row],[Produto]],tItens[[#This Row],[Produto]])=1,1,0)</f>
        <v>1</v>
      </c>
    </row>
    <row r="627" spans="1:16" x14ac:dyDescent="0.25">
      <c r="A627" t="s">
        <v>906</v>
      </c>
      <c r="B627">
        <v>60001</v>
      </c>
      <c r="C627" t="s">
        <v>3820</v>
      </c>
      <c r="D627" t="s">
        <v>281</v>
      </c>
      <c r="E627" s="13">
        <v>300000</v>
      </c>
      <c r="F627" s="12">
        <v>0.19</v>
      </c>
      <c r="G627" t="str">
        <f>IFERROR(INDEX(tEditais[Órgão],MATCH(tItens[[#This Row],[Edital]],tEditais[Edital],0)),"")</f>
        <v>ESTADO DA BAHIA</v>
      </c>
      <c r="H627" t="str">
        <f>IFERROR(INDEX(tEditais[UF],MATCH(tItens[[#This Row],[Edital]],tEditais[Edital],0)),"")</f>
        <v>BA</v>
      </c>
      <c r="I627" s="11">
        <f>IFERROR(INDEX(tEditais[Encerramento],MATCH(tItens[[#This Row],[Edital]],tEditais[Edital],0)),"")</f>
        <v>46310.583333333336</v>
      </c>
      <c r="J627" t="str">
        <f>IFERROR(INDEX(tProdutos[Classe],MATCH(tItens[[#This Row],[Produto]],tProdutos[Produto],0)),"produto não cadastrado")</f>
        <v>DISPUTADO</v>
      </c>
      <c r="K627" s="12">
        <f>tItens[[#This Row],[Qtd]]*tItens[[#This Row],[Vlr unit]]</f>
        <v>57000</v>
      </c>
      <c r="L627" s="6">
        <f>IFERROR(IF(INDEX(tProdutos[Desconto homologado],MATCH(tItens[[#This Row],[Produto]],tProdutos[Produto],0))="",DescontoPadrao,INDEX(tProdutos[Desconto homologado],MATCH(tItens[[#This Row],[Produto]],tProdutos[Produto],0))),DescontoPadrao)</f>
        <v>0.42461538461538501</v>
      </c>
      <c r="M627" s="12">
        <f>tItens[[#This Row],[Valor]]*(1-tItens[[#This Row],[Desconto]])</f>
        <v>32796.923076923049</v>
      </c>
      <c r="N627" t="str">
        <f>IFERROR(INDEX(tProdutos[Foco],MATCH(tItens[[#This Row],[Produto]],tProdutos[Produto],0)),"Não")</f>
        <v>Não</v>
      </c>
      <c r="O627" t="str">
        <f>IFERROR(INDEX(tEditais[SRP],MATCH(tItens[[#This Row],[Edital]],tEditais[Edital],0)),"Não")</f>
        <v>Não</v>
      </c>
      <c r="P627" s="4">
        <f>IF(COUNTIFS(INDEX(tItens[Edital],1):tItens[[#This Row],[Edital]],tItens[[#This Row],[Edital]],INDEX(tItens[Produto],1):tItens[[#This Row],[Produto]],tItens[[#This Row],[Produto]])=1,1,0)</f>
        <v>0</v>
      </c>
    </row>
    <row r="628" spans="1:16" x14ac:dyDescent="0.25">
      <c r="A628" t="s">
        <v>909</v>
      </c>
      <c r="B628">
        <v>1151169</v>
      </c>
      <c r="C628" t="s">
        <v>3821</v>
      </c>
      <c r="D628" t="s">
        <v>152</v>
      </c>
      <c r="E628" s="13">
        <v>16490</v>
      </c>
      <c r="F628" s="12">
        <v>58.29</v>
      </c>
      <c r="G628" t="str">
        <f>IFERROR(INDEX(tEditais[Órgão],MATCH(tItens[[#This Row],[Edital]],tEditais[Edital],0)),"")</f>
        <v>FUNDO ESTADUAL DE SAUDE DO ESTADO DA BAHIA</v>
      </c>
      <c r="H628" t="str">
        <f>IFERROR(INDEX(tEditais[UF],MATCH(tItens[[#This Row],[Edital]],tEditais[Edital],0)),"")</f>
        <v>BA</v>
      </c>
      <c r="I628" s="11">
        <f>IFERROR(INDEX(tEditais[Encerramento],MATCH(tItens[[#This Row],[Edital]],tEditais[Edital],0)),"")</f>
        <v>46310.583333333336</v>
      </c>
      <c r="J628" t="str">
        <f>IFERROR(INDEX(tProdutos[Classe],MATCH(tItens[[#This Row],[Produto]],tProdutos[Produto],0)),"produto não cadastrado")</f>
        <v>DISPUTADO</v>
      </c>
      <c r="K628" s="12">
        <f>tItens[[#This Row],[Qtd]]*tItens[[#This Row],[Vlr unit]]</f>
        <v>961202.1</v>
      </c>
      <c r="L628" s="6">
        <f>IFERROR(IF(INDEX(tProdutos[Desconto homologado],MATCH(tItens[[#This Row],[Produto]],tProdutos[Produto],0))="",DescontoPadrao,INDEX(tProdutos[Desconto homologado],MATCH(tItens[[#This Row],[Produto]],tProdutos[Produto],0))),DescontoPadrao)</f>
        <v>0.33154310923563801</v>
      </c>
      <c r="M628" s="12">
        <f>tItens[[#This Row],[Valor]]*(1-tItens[[#This Row],[Desconto]])</f>
        <v>642522.16716217529</v>
      </c>
      <c r="N628" t="str">
        <f>IFERROR(INDEX(tProdutos[Foco],MATCH(tItens[[#This Row],[Produto]],tProdutos[Produto],0)),"Não")</f>
        <v>Não</v>
      </c>
      <c r="O628" t="str">
        <f>IFERROR(INDEX(tEditais[SRP],MATCH(tItens[[#This Row],[Edital]],tEditais[Edital],0)),"Não")</f>
        <v>Não</v>
      </c>
      <c r="P628" s="4">
        <f>IF(COUNTIFS(INDEX(tItens[Edital],1):tItens[[#This Row],[Edital]],tItens[[#This Row],[Edital]],INDEX(tItens[Produto],1):tItens[[#This Row],[Produto]],tItens[[#This Row],[Produto]])=1,1,0)</f>
        <v>1</v>
      </c>
    </row>
    <row r="629" spans="1:16" x14ac:dyDescent="0.25">
      <c r="A629" t="s">
        <v>909</v>
      </c>
      <c r="B629">
        <v>1151177</v>
      </c>
      <c r="C629" t="s">
        <v>3822</v>
      </c>
      <c r="D629" t="s">
        <v>152</v>
      </c>
      <c r="E629" s="13">
        <v>13890</v>
      </c>
      <c r="F629" s="12">
        <v>82.93</v>
      </c>
      <c r="G629" t="str">
        <f>IFERROR(INDEX(tEditais[Órgão],MATCH(tItens[[#This Row],[Edital]],tEditais[Edital],0)),"")</f>
        <v>FUNDO ESTADUAL DE SAUDE DO ESTADO DA BAHIA</v>
      </c>
      <c r="H629" t="str">
        <f>IFERROR(INDEX(tEditais[UF],MATCH(tItens[[#This Row],[Edital]],tEditais[Edital],0)),"")</f>
        <v>BA</v>
      </c>
      <c r="I629" s="11">
        <f>IFERROR(INDEX(tEditais[Encerramento],MATCH(tItens[[#This Row],[Edital]],tEditais[Edital],0)),"")</f>
        <v>46310.583333333336</v>
      </c>
      <c r="J629" t="str">
        <f>IFERROR(INDEX(tProdutos[Classe],MATCH(tItens[[#This Row],[Produto]],tProdutos[Produto],0)),"produto não cadastrado")</f>
        <v>DISPUTADO</v>
      </c>
      <c r="K629" s="12">
        <f>tItens[[#This Row],[Qtd]]*tItens[[#This Row],[Vlr unit]]</f>
        <v>1151897.7000000002</v>
      </c>
      <c r="L629" s="6">
        <f>IFERROR(IF(INDEX(tProdutos[Desconto homologado],MATCH(tItens[[#This Row],[Produto]],tProdutos[Produto],0))="",DescontoPadrao,INDEX(tProdutos[Desconto homologado],MATCH(tItens[[#This Row],[Produto]],tProdutos[Produto],0))),DescontoPadrao)</f>
        <v>0.33154310923563801</v>
      </c>
      <c r="M629" s="12">
        <f>tItens[[#This Row],[Valor]]*(1-tItens[[#This Row],[Desconto]])</f>
        <v>769993.95502061991</v>
      </c>
      <c r="N629" t="str">
        <f>IFERROR(INDEX(tProdutos[Foco],MATCH(tItens[[#This Row],[Produto]],tProdutos[Produto],0)),"Não")</f>
        <v>Não</v>
      </c>
      <c r="O629" t="str">
        <f>IFERROR(INDEX(tEditais[SRP],MATCH(tItens[[#This Row],[Edital]],tEditais[Edital],0)),"Não")</f>
        <v>Não</v>
      </c>
      <c r="P629" s="4">
        <f>IF(COUNTIFS(INDEX(tItens[Edital],1):tItens[[#This Row],[Edital]],tItens[[#This Row],[Edital]],INDEX(tItens[Produto],1):tItens[[#This Row],[Produto]],tItens[[#This Row],[Produto]])=1,1,0)</f>
        <v>0</v>
      </c>
    </row>
    <row r="630" spans="1:16" x14ac:dyDescent="0.25">
      <c r="A630" t="s">
        <v>909</v>
      </c>
      <c r="B630">
        <v>1209302</v>
      </c>
      <c r="C630" t="s">
        <v>3823</v>
      </c>
      <c r="D630" t="s">
        <v>152</v>
      </c>
      <c r="E630" s="13">
        <v>22800</v>
      </c>
      <c r="F630" s="12">
        <v>49.47</v>
      </c>
      <c r="G630" t="str">
        <f>IFERROR(INDEX(tEditais[Órgão],MATCH(tItens[[#This Row],[Edital]],tEditais[Edital],0)),"")</f>
        <v>FUNDO ESTADUAL DE SAUDE DO ESTADO DA BAHIA</v>
      </c>
      <c r="H630" t="str">
        <f>IFERROR(INDEX(tEditais[UF],MATCH(tItens[[#This Row],[Edital]],tEditais[Edital],0)),"")</f>
        <v>BA</v>
      </c>
      <c r="I630" s="11">
        <f>IFERROR(INDEX(tEditais[Encerramento],MATCH(tItens[[#This Row],[Edital]],tEditais[Edital],0)),"")</f>
        <v>46310.583333333336</v>
      </c>
      <c r="J630" t="str">
        <f>IFERROR(INDEX(tProdutos[Classe],MATCH(tItens[[#This Row],[Produto]],tProdutos[Produto],0)),"produto não cadastrado")</f>
        <v>DISPUTADO</v>
      </c>
      <c r="K630" s="12">
        <f>tItens[[#This Row],[Qtd]]*tItens[[#This Row],[Vlr unit]]</f>
        <v>1127916</v>
      </c>
      <c r="L630" s="6">
        <f>IFERROR(IF(INDEX(tProdutos[Desconto homologado],MATCH(tItens[[#This Row],[Produto]],tProdutos[Produto],0))="",DescontoPadrao,INDEX(tProdutos[Desconto homologado],MATCH(tItens[[#This Row],[Produto]],tProdutos[Produto],0))),DescontoPadrao)</f>
        <v>0.33154310923563801</v>
      </c>
      <c r="M630" s="12">
        <f>tItens[[#This Row],[Valor]]*(1-tItens[[#This Row],[Desconto]])</f>
        <v>753963.22240337613</v>
      </c>
      <c r="N630" t="str">
        <f>IFERROR(INDEX(tProdutos[Foco],MATCH(tItens[[#This Row],[Produto]],tProdutos[Produto],0)),"Não")</f>
        <v>Não</v>
      </c>
      <c r="O630" t="str">
        <f>IFERROR(INDEX(tEditais[SRP],MATCH(tItens[[#This Row],[Edital]],tEditais[Edital],0)),"Não")</f>
        <v>Não</v>
      </c>
      <c r="P630" s="4">
        <f>IF(COUNTIFS(INDEX(tItens[Edital],1):tItens[[#This Row],[Edital]],tItens[[#This Row],[Edital]],INDEX(tItens[Produto],1):tItens[[#This Row],[Produto]],tItens[[#This Row],[Produto]])=1,1,0)</f>
        <v>0</v>
      </c>
    </row>
    <row r="631" spans="1:16" x14ac:dyDescent="0.25">
      <c r="A631" t="s">
        <v>910</v>
      </c>
      <c r="B631">
        <v>1155440</v>
      </c>
      <c r="C631" t="s">
        <v>3824</v>
      </c>
      <c r="D631" t="s">
        <v>682</v>
      </c>
      <c r="E631" s="13">
        <v>40</v>
      </c>
      <c r="F631" s="12">
        <v>129</v>
      </c>
      <c r="G631" t="str">
        <f>IFERROR(INDEX(tEditais[Órgão],MATCH(tItens[[#This Row],[Edital]],tEditais[Edital],0)),"")</f>
        <v>FUNDO ESTADUAL DE SAUDE DO ESTADO DA BAHIA</v>
      </c>
      <c r="H631" t="str">
        <f>IFERROR(INDEX(tEditais[UF],MATCH(tItens[[#This Row],[Edital]],tEditais[Edital],0)),"")</f>
        <v>BA</v>
      </c>
      <c r="I631" s="11">
        <f>IFERROR(INDEX(tEditais[Encerramento],MATCH(tItens[[#This Row],[Edital]],tEditais[Edital],0)),"")</f>
        <v>46310.6875</v>
      </c>
      <c r="J631" t="str">
        <f>IFERROR(INDEX(tProdutos[Classe],MATCH(tItens[[#This Row],[Produto]],tProdutos[Produto],0)),"produto não cadastrado")</f>
        <v>FILA REBASE</v>
      </c>
      <c r="K631" s="12">
        <f>tItens[[#This Row],[Qtd]]*tItens[[#This Row],[Vlr unit]]</f>
        <v>5160</v>
      </c>
      <c r="L631" s="6">
        <f>IFERROR(IF(INDEX(tProdutos[Desconto homologado],MATCH(tItens[[#This Row],[Produto]],tProdutos[Produto],0))="",DescontoPadrao,INDEX(tProdutos[Desconto homologado],MATCH(tItens[[#This Row],[Produto]],tProdutos[Produto],0))),DescontoPadrao)</f>
        <v>0.3</v>
      </c>
      <c r="M631" s="12">
        <f>tItens[[#This Row],[Valor]]*(1-tItens[[#This Row],[Desconto]])</f>
        <v>3611.9999999999995</v>
      </c>
      <c r="N631" t="str">
        <f>IFERROR(INDEX(tProdutos[Foco],MATCH(tItens[[#This Row],[Produto]],tProdutos[Produto],0)),"Não")</f>
        <v>Não</v>
      </c>
      <c r="O631" t="str">
        <f>IFERROR(INDEX(tEditais[SRP],MATCH(tItens[[#This Row],[Edital]],tEditais[Edital],0)),"Não")</f>
        <v>Não</v>
      </c>
      <c r="P631" s="4">
        <f>IF(COUNTIFS(INDEX(tItens[Edital],1):tItens[[#This Row],[Edital]],tItens[[#This Row],[Edital]],INDEX(tItens[Produto],1):tItens[[#This Row],[Produto]],tItens[[#This Row],[Produto]])=1,1,0)</f>
        <v>1</v>
      </c>
    </row>
    <row r="632" spans="1:16" x14ac:dyDescent="0.25">
      <c r="A632" t="s">
        <v>913</v>
      </c>
      <c r="B632">
        <v>8071529</v>
      </c>
      <c r="C632" t="s">
        <v>3825</v>
      </c>
      <c r="D632" t="s">
        <v>154</v>
      </c>
      <c r="E632" s="13">
        <v>1000</v>
      </c>
      <c r="F632" s="12">
        <v>22.57</v>
      </c>
      <c r="G632" t="str">
        <f>IFERROR(INDEX(tEditais[Órgão],MATCH(tItens[[#This Row],[Edital]],tEditais[Edital],0)),"")</f>
        <v>MUNICIPIO DE PINTADAS</v>
      </c>
      <c r="H632" t="str">
        <f>IFERROR(INDEX(tEditais[UF],MATCH(tItens[[#This Row],[Edital]],tEditais[Edital],0)),"")</f>
        <v>BA</v>
      </c>
      <c r="I632" s="11">
        <f>IFERROR(INDEX(tEditais[Encerramento],MATCH(tItens[[#This Row],[Edital]],tEditais[Edital],0)),"")</f>
        <v>46311.375</v>
      </c>
      <c r="J632" t="str">
        <f>IFERROR(INDEX(tProdutos[Classe],MATCH(tItens[[#This Row],[Produto]],tProdutos[Produto],0)),"produto não cadastrado")</f>
        <v>DISPUTADO</v>
      </c>
      <c r="K632" s="12">
        <f>tItens[[#This Row],[Qtd]]*tItens[[#This Row],[Vlr unit]]</f>
        <v>22570</v>
      </c>
      <c r="L632" s="6">
        <f>IFERROR(IF(INDEX(tProdutos[Desconto homologado],MATCH(tItens[[#This Row],[Produto]],tProdutos[Produto],0))="",DescontoPadrao,INDEX(tProdutos[Desconto homologado],MATCH(tItens[[#This Row],[Produto]],tProdutos[Produto],0))),DescontoPadrao)</f>
        <v>0.48690097134476601</v>
      </c>
      <c r="M632" s="12">
        <f>tItens[[#This Row],[Valor]]*(1-tItens[[#This Row],[Desconto]])</f>
        <v>11580.645076748629</v>
      </c>
      <c r="N632" t="str">
        <f>IFERROR(INDEX(tProdutos[Foco],MATCH(tItens[[#This Row],[Produto]],tProdutos[Produto],0)),"Não")</f>
        <v>Não</v>
      </c>
      <c r="O632" t="str">
        <f>IFERROR(INDEX(tEditais[SRP],MATCH(tItens[[#This Row],[Edital]],tEditais[Edital],0)),"Não")</f>
        <v>Sim</v>
      </c>
      <c r="P632" s="4">
        <f>IF(COUNTIFS(INDEX(tItens[Edital],1):tItens[[#This Row],[Edital]],tItens[[#This Row],[Edital]],INDEX(tItens[Produto],1):tItens[[#This Row],[Produto]],tItens[[#This Row],[Produto]])=1,1,0)</f>
        <v>1</v>
      </c>
    </row>
    <row r="633" spans="1:16" x14ac:dyDescent="0.25">
      <c r="A633" t="s">
        <v>913</v>
      </c>
      <c r="B633">
        <v>8071530</v>
      </c>
      <c r="C633" t="s">
        <v>3826</v>
      </c>
      <c r="D633" t="s">
        <v>154</v>
      </c>
      <c r="E633" s="13">
        <v>1000</v>
      </c>
      <c r="F633" s="12">
        <v>68.040000000000006</v>
      </c>
      <c r="G633" t="str">
        <f>IFERROR(INDEX(tEditais[Órgão],MATCH(tItens[[#This Row],[Edital]],tEditais[Edital],0)),"")</f>
        <v>MUNICIPIO DE PINTADAS</v>
      </c>
      <c r="H633" t="str">
        <f>IFERROR(INDEX(tEditais[UF],MATCH(tItens[[#This Row],[Edital]],tEditais[Edital],0)),"")</f>
        <v>BA</v>
      </c>
      <c r="I633" s="11">
        <f>IFERROR(INDEX(tEditais[Encerramento],MATCH(tItens[[#This Row],[Edital]],tEditais[Edital],0)),"")</f>
        <v>46311.375</v>
      </c>
      <c r="J633" t="str">
        <f>IFERROR(INDEX(tProdutos[Classe],MATCH(tItens[[#This Row],[Produto]],tProdutos[Produto],0)),"produto não cadastrado")</f>
        <v>DISPUTADO</v>
      </c>
      <c r="K633" s="12">
        <f>tItens[[#This Row],[Qtd]]*tItens[[#This Row],[Vlr unit]]</f>
        <v>68040</v>
      </c>
      <c r="L633" s="6">
        <f>IFERROR(IF(INDEX(tProdutos[Desconto homologado],MATCH(tItens[[#This Row],[Produto]],tProdutos[Produto],0))="",DescontoPadrao,INDEX(tProdutos[Desconto homologado],MATCH(tItens[[#This Row],[Produto]],tProdutos[Produto],0))),DescontoPadrao)</f>
        <v>0.48690097134476601</v>
      </c>
      <c r="M633" s="12">
        <f>tItens[[#This Row],[Valor]]*(1-tItens[[#This Row],[Desconto]])</f>
        <v>34911.257909702115</v>
      </c>
      <c r="N633" t="str">
        <f>IFERROR(INDEX(tProdutos[Foco],MATCH(tItens[[#This Row],[Produto]],tProdutos[Produto],0)),"Não")</f>
        <v>Não</v>
      </c>
      <c r="O633" t="str">
        <f>IFERROR(INDEX(tEditais[SRP],MATCH(tItens[[#This Row],[Edital]],tEditais[Edital],0)),"Não")</f>
        <v>Sim</v>
      </c>
      <c r="P633" s="4">
        <f>IF(COUNTIFS(INDEX(tItens[Edital],1):tItens[[#This Row],[Edital]],tItens[[#This Row],[Edital]],INDEX(tItens[Produto],1):tItens[[#This Row],[Produto]],tItens[[#This Row],[Produto]])=1,1,0)</f>
        <v>0</v>
      </c>
    </row>
    <row r="634" spans="1:16" x14ac:dyDescent="0.25">
      <c r="A634" t="s">
        <v>918</v>
      </c>
      <c r="B634">
        <v>50001</v>
      </c>
      <c r="C634" t="s">
        <v>3827</v>
      </c>
      <c r="D634" t="s">
        <v>333</v>
      </c>
      <c r="E634" s="13">
        <v>1339752</v>
      </c>
      <c r="F634" s="12">
        <v>0.88</v>
      </c>
      <c r="G634" t="str">
        <f>IFERROR(INDEX(tEditais[Órgão],MATCH(tItens[[#This Row],[Edital]],tEditais[Edital],0)),"")</f>
        <v>ESTADO DA BAHIA</v>
      </c>
      <c r="H634" t="str">
        <f>IFERROR(INDEX(tEditais[UF],MATCH(tItens[[#This Row],[Edital]],tEditais[Edital],0)),"")</f>
        <v>BA</v>
      </c>
      <c r="I634" s="11">
        <f>IFERROR(INDEX(tEditais[Encerramento],MATCH(tItens[[#This Row],[Edital]],tEditais[Edital],0)),"")</f>
        <v>46311.416666666664</v>
      </c>
      <c r="J634" t="str">
        <f>IFERROR(INDEX(tProdutos[Classe],MATCH(tItens[[#This Row],[Produto]],tProdutos[Produto],0)),"produto não cadastrado")</f>
        <v>FORA</v>
      </c>
      <c r="K634" s="12">
        <f>tItens[[#This Row],[Qtd]]*tItens[[#This Row],[Vlr unit]]</f>
        <v>1178981.76</v>
      </c>
      <c r="L634" s="6">
        <f>IFERROR(IF(INDEX(tProdutos[Desconto homologado],MATCH(tItens[[#This Row],[Produto]],tProdutos[Produto],0))="",DescontoPadrao,INDEX(tProdutos[Desconto homologado],MATCH(tItens[[#This Row],[Produto]],tProdutos[Produto],0))),DescontoPadrao)</f>
        <v>0.48951048951048998</v>
      </c>
      <c r="M634" s="12">
        <f>tItens[[#This Row],[Valor]]*(1-tItens[[#This Row],[Desconto]])</f>
        <v>601857.82153846091</v>
      </c>
      <c r="N634" t="str">
        <f>IFERROR(INDEX(tProdutos[Foco],MATCH(tItens[[#This Row],[Produto]],tProdutos[Produto],0)),"Não")</f>
        <v>Não</v>
      </c>
      <c r="O634" t="str">
        <f>IFERROR(INDEX(tEditais[SRP],MATCH(tItens[[#This Row],[Edital]],tEditais[Edital],0)),"Não")</f>
        <v>Sim</v>
      </c>
      <c r="P634" s="4">
        <f>IF(COUNTIFS(INDEX(tItens[Edital],1):tItens[[#This Row],[Edital]],tItens[[#This Row],[Edital]],INDEX(tItens[Produto],1):tItens[[#This Row],[Produto]],tItens[[#This Row],[Produto]])=1,1,0)</f>
        <v>1</v>
      </c>
    </row>
    <row r="635" spans="1:16" x14ac:dyDescent="0.25">
      <c r="A635" t="s">
        <v>918</v>
      </c>
      <c r="B635">
        <v>90001</v>
      </c>
      <c r="C635" t="s">
        <v>3827</v>
      </c>
      <c r="D635" t="s">
        <v>333</v>
      </c>
      <c r="E635" s="13">
        <v>334938</v>
      </c>
      <c r="F635" s="12">
        <v>0.88</v>
      </c>
      <c r="G635" t="str">
        <f>IFERROR(INDEX(tEditais[Órgão],MATCH(tItens[[#This Row],[Edital]],tEditais[Edital],0)),"")</f>
        <v>ESTADO DA BAHIA</v>
      </c>
      <c r="H635" t="str">
        <f>IFERROR(INDEX(tEditais[UF],MATCH(tItens[[#This Row],[Edital]],tEditais[Edital],0)),"")</f>
        <v>BA</v>
      </c>
      <c r="I635" s="11">
        <f>IFERROR(INDEX(tEditais[Encerramento],MATCH(tItens[[#This Row],[Edital]],tEditais[Edital],0)),"")</f>
        <v>46311.416666666664</v>
      </c>
      <c r="J635" t="str">
        <f>IFERROR(INDEX(tProdutos[Classe],MATCH(tItens[[#This Row],[Produto]],tProdutos[Produto],0)),"produto não cadastrado")</f>
        <v>FORA</v>
      </c>
      <c r="K635" s="12">
        <f>tItens[[#This Row],[Qtd]]*tItens[[#This Row],[Vlr unit]]</f>
        <v>294745.44</v>
      </c>
      <c r="L635" s="6">
        <f>IFERROR(IF(INDEX(tProdutos[Desconto homologado],MATCH(tItens[[#This Row],[Produto]],tProdutos[Produto],0))="",DescontoPadrao,INDEX(tProdutos[Desconto homologado],MATCH(tItens[[#This Row],[Produto]],tProdutos[Produto],0))),DescontoPadrao)</f>
        <v>0.48951048951048998</v>
      </c>
      <c r="M635" s="12">
        <f>tItens[[#This Row],[Valor]]*(1-tItens[[#This Row],[Desconto]])</f>
        <v>150464.45538461523</v>
      </c>
      <c r="N635" t="str">
        <f>IFERROR(INDEX(tProdutos[Foco],MATCH(tItens[[#This Row],[Produto]],tProdutos[Produto],0)),"Não")</f>
        <v>Não</v>
      </c>
      <c r="O635" t="str">
        <f>IFERROR(INDEX(tEditais[SRP],MATCH(tItens[[#This Row],[Edital]],tEditais[Edital],0)),"Não")</f>
        <v>Sim</v>
      </c>
      <c r="P635" s="4">
        <f>IF(COUNTIFS(INDEX(tItens[Edital],1):tItens[[#This Row],[Edital]],tItens[[#This Row],[Edital]],INDEX(tItens[Produto],1):tItens[[#This Row],[Produto]],tItens[[#This Row],[Produto]])=1,1,0)</f>
        <v>0</v>
      </c>
    </row>
    <row r="636" spans="1:16" x14ac:dyDescent="0.25">
      <c r="A636" t="s">
        <v>921</v>
      </c>
      <c r="B636">
        <v>11522701</v>
      </c>
      <c r="C636" t="s">
        <v>3828</v>
      </c>
      <c r="D636" t="s">
        <v>333</v>
      </c>
      <c r="E636" s="13">
        <v>334938</v>
      </c>
      <c r="F636" s="12">
        <v>0.88</v>
      </c>
      <c r="G636" t="str">
        <f>IFERROR(INDEX(tEditais[Órgão],MATCH(tItens[[#This Row],[Edital]],tEditais[Edital],0)),"")</f>
        <v>FUNDO ESTADUAL DE SAUDE DO ESTADO DA BAHIA</v>
      </c>
      <c r="H636" t="str">
        <f>IFERROR(INDEX(tEditais[UF],MATCH(tItens[[#This Row],[Edital]],tEditais[Edital],0)),"")</f>
        <v>BA</v>
      </c>
      <c r="I636" s="11">
        <f>IFERROR(INDEX(tEditais[Encerramento],MATCH(tItens[[#This Row],[Edital]],tEditais[Edital],0)),"")</f>
        <v>46311.416666666664</v>
      </c>
      <c r="J636" t="str">
        <f>IFERROR(INDEX(tProdutos[Classe],MATCH(tItens[[#This Row],[Produto]],tProdutos[Produto],0)),"produto não cadastrado")</f>
        <v>FORA</v>
      </c>
      <c r="K636" s="12">
        <f>tItens[[#This Row],[Qtd]]*tItens[[#This Row],[Vlr unit]]</f>
        <v>294745.44</v>
      </c>
      <c r="L636" s="6">
        <f>IFERROR(IF(INDEX(tProdutos[Desconto homologado],MATCH(tItens[[#This Row],[Produto]],tProdutos[Produto],0))="",DescontoPadrao,INDEX(tProdutos[Desconto homologado],MATCH(tItens[[#This Row],[Produto]],tProdutos[Produto],0))),DescontoPadrao)</f>
        <v>0.48951048951048998</v>
      </c>
      <c r="M636" s="12">
        <f>tItens[[#This Row],[Valor]]*(1-tItens[[#This Row],[Desconto]])</f>
        <v>150464.45538461523</v>
      </c>
      <c r="N636" t="str">
        <f>IFERROR(INDEX(tProdutos[Foco],MATCH(tItens[[#This Row],[Produto]],tProdutos[Produto],0)),"Não")</f>
        <v>Não</v>
      </c>
      <c r="O636" t="str">
        <f>IFERROR(INDEX(tEditais[SRP],MATCH(tItens[[#This Row],[Edital]],tEditais[Edital],0)),"Não")</f>
        <v>Não</v>
      </c>
      <c r="P636" s="4">
        <f>IF(COUNTIFS(INDEX(tItens[Edital],1):tItens[[#This Row],[Edital]],tItens[[#This Row],[Edital]],INDEX(tItens[Produto],1):tItens[[#This Row],[Produto]],tItens[[#This Row],[Produto]])=1,1,0)</f>
        <v>1</v>
      </c>
    </row>
    <row r="637" spans="1:16" x14ac:dyDescent="0.25">
      <c r="A637" t="s">
        <v>921</v>
      </c>
      <c r="B637">
        <v>11522702</v>
      </c>
      <c r="C637" t="s">
        <v>3828</v>
      </c>
      <c r="D637" t="s">
        <v>333</v>
      </c>
      <c r="E637" s="13">
        <v>1339752</v>
      </c>
      <c r="F637" s="12">
        <v>0.88</v>
      </c>
      <c r="G637" t="str">
        <f>IFERROR(INDEX(tEditais[Órgão],MATCH(tItens[[#This Row],[Edital]],tEditais[Edital],0)),"")</f>
        <v>FUNDO ESTADUAL DE SAUDE DO ESTADO DA BAHIA</v>
      </c>
      <c r="H637" t="str">
        <f>IFERROR(INDEX(tEditais[UF],MATCH(tItens[[#This Row],[Edital]],tEditais[Edital],0)),"")</f>
        <v>BA</v>
      </c>
      <c r="I637" s="11">
        <f>IFERROR(INDEX(tEditais[Encerramento],MATCH(tItens[[#This Row],[Edital]],tEditais[Edital],0)),"")</f>
        <v>46311.416666666664</v>
      </c>
      <c r="J637" t="str">
        <f>IFERROR(INDEX(tProdutos[Classe],MATCH(tItens[[#This Row],[Produto]],tProdutos[Produto],0)),"produto não cadastrado")</f>
        <v>FORA</v>
      </c>
      <c r="K637" s="12">
        <f>tItens[[#This Row],[Qtd]]*tItens[[#This Row],[Vlr unit]]</f>
        <v>1178981.76</v>
      </c>
      <c r="L637" s="6">
        <f>IFERROR(IF(INDEX(tProdutos[Desconto homologado],MATCH(tItens[[#This Row],[Produto]],tProdutos[Produto],0))="",DescontoPadrao,INDEX(tProdutos[Desconto homologado],MATCH(tItens[[#This Row],[Produto]],tProdutos[Produto],0))),DescontoPadrao)</f>
        <v>0.48951048951048998</v>
      </c>
      <c r="M637" s="12">
        <f>tItens[[#This Row],[Valor]]*(1-tItens[[#This Row],[Desconto]])</f>
        <v>601857.82153846091</v>
      </c>
      <c r="N637" t="str">
        <f>IFERROR(INDEX(tProdutos[Foco],MATCH(tItens[[#This Row],[Produto]],tProdutos[Produto],0)),"Não")</f>
        <v>Não</v>
      </c>
      <c r="O637" t="str">
        <f>IFERROR(INDEX(tEditais[SRP],MATCH(tItens[[#This Row],[Edital]],tEditais[Edital],0)),"Não")</f>
        <v>Não</v>
      </c>
      <c r="P637" s="4">
        <f>IF(COUNTIFS(INDEX(tItens[Edital],1):tItens[[#This Row],[Edital]],tItens[[#This Row],[Edital]],INDEX(tItens[Produto],1):tItens[[#This Row],[Produto]],tItens[[#This Row],[Produto]])=1,1,0)</f>
        <v>0</v>
      </c>
    </row>
    <row r="638" spans="1:16" x14ac:dyDescent="0.25">
      <c r="A638" t="s">
        <v>922</v>
      </c>
      <c r="B638">
        <v>30001</v>
      </c>
      <c r="C638" t="s">
        <v>3829</v>
      </c>
      <c r="D638" t="s">
        <v>295</v>
      </c>
      <c r="E638" s="13">
        <v>20570</v>
      </c>
      <c r="F638" s="12">
        <v>1.57</v>
      </c>
      <c r="G638" t="str">
        <f>IFERROR(INDEX(tEditais[Órgão],MATCH(tItens[[#This Row],[Edital]],tEditais[Edital],0)),"")</f>
        <v>ESTADO DA BAHIA</v>
      </c>
      <c r="H638" t="str">
        <f>IFERROR(INDEX(tEditais[UF],MATCH(tItens[[#This Row],[Edital]],tEditais[Edital],0)),"")</f>
        <v>BA</v>
      </c>
      <c r="I638" s="11">
        <f>IFERROR(INDEX(tEditais[Encerramento],MATCH(tItens[[#This Row],[Edital]],tEditais[Edital],0)),"")</f>
        <v>46311.416666666664</v>
      </c>
      <c r="J638" t="str">
        <f>IFERROR(INDEX(tProdutos[Classe],MATCH(tItens[[#This Row],[Produto]],tProdutos[Produto],0)),"produto não cadastrado")</f>
        <v>FORA</v>
      </c>
      <c r="K638" s="12">
        <f>tItens[[#This Row],[Qtd]]*tItens[[#This Row],[Vlr unit]]</f>
        <v>32294.9</v>
      </c>
      <c r="L638" s="6">
        <f>IFERROR(IF(INDEX(tProdutos[Desconto homologado],MATCH(tItens[[#This Row],[Produto]],tProdutos[Produto],0))="",DescontoPadrao,INDEX(tProdutos[Desconto homologado],MATCH(tItens[[#This Row],[Produto]],tProdutos[Produto],0))),DescontoPadrao)</f>
        <v>0.219311377245509</v>
      </c>
      <c r="M638" s="12">
        <f>tItens[[#This Row],[Valor]]*(1-tItens[[#This Row],[Desconto]])</f>
        <v>25212.261002994012</v>
      </c>
      <c r="N638" t="str">
        <f>IFERROR(INDEX(tProdutos[Foco],MATCH(tItens[[#This Row],[Produto]],tProdutos[Produto],0)),"Não")</f>
        <v>Não</v>
      </c>
      <c r="O638" t="str">
        <f>IFERROR(INDEX(tEditais[SRP],MATCH(tItens[[#This Row],[Edital]],tEditais[Edital],0)),"Não")</f>
        <v>Sim</v>
      </c>
      <c r="P638" s="4">
        <f>IF(COUNTIFS(INDEX(tItens[Edital],1):tItens[[#This Row],[Edital]],tItens[[#This Row],[Edital]],INDEX(tItens[Produto],1):tItens[[#This Row],[Produto]],tItens[[#This Row],[Produto]])=1,1,0)</f>
        <v>1</v>
      </c>
    </row>
    <row r="639" spans="1:16" x14ac:dyDescent="0.25">
      <c r="A639" t="s">
        <v>922</v>
      </c>
      <c r="B639">
        <v>40001</v>
      </c>
      <c r="C639" t="s">
        <v>3830</v>
      </c>
      <c r="D639" t="s">
        <v>110</v>
      </c>
      <c r="E639" s="13">
        <v>16640</v>
      </c>
      <c r="F639" s="12">
        <v>2.59</v>
      </c>
      <c r="G639" t="str">
        <f>IFERROR(INDEX(tEditais[Órgão],MATCH(tItens[[#This Row],[Edital]],tEditais[Edital],0)),"")</f>
        <v>ESTADO DA BAHIA</v>
      </c>
      <c r="H639" t="str">
        <f>IFERROR(INDEX(tEditais[UF],MATCH(tItens[[#This Row],[Edital]],tEditais[Edital],0)),"")</f>
        <v>BA</v>
      </c>
      <c r="I639" s="11">
        <f>IFERROR(INDEX(tEditais[Encerramento],MATCH(tItens[[#This Row],[Edital]],tEditais[Edital],0)),"")</f>
        <v>46311.416666666664</v>
      </c>
      <c r="J639" t="str">
        <f>IFERROR(INDEX(tProdutos[Classe],MATCH(tItens[[#This Row],[Produto]],tProdutos[Produto],0)),"produto não cadastrado")</f>
        <v>NÚCLEO</v>
      </c>
      <c r="K639" s="12">
        <f>tItens[[#This Row],[Qtd]]*tItens[[#This Row],[Vlr unit]]</f>
        <v>43097.599999999999</v>
      </c>
      <c r="L639" s="6">
        <f>IFERROR(IF(INDEX(tProdutos[Desconto homologado],MATCH(tItens[[#This Row],[Produto]],tProdutos[Produto],0))="",DescontoPadrao,INDEX(tProdutos[Desconto homologado],MATCH(tItens[[#This Row],[Produto]],tProdutos[Produto],0))),DescontoPadrao)</f>
        <v>0.30410958904109597</v>
      </c>
      <c r="M639" s="12">
        <f>tItens[[#This Row],[Valor]]*(1-tItens[[#This Row],[Desconto]])</f>
        <v>29991.206575342461</v>
      </c>
      <c r="N639" t="str">
        <f>IFERROR(INDEX(tProdutos[Foco],MATCH(tItens[[#This Row],[Produto]],tProdutos[Produto],0)),"Não")</f>
        <v>Não</v>
      </c>
      <c r="O639" t="str">
        <f>IFERROR(INDEX(tEditais[SRP],MATCH(tItens[[#This Row],[Edital]],tEditais[Edital],0)),"Não")</f>
        <v>Sim</v>
      </c>
      <c r="P639" s="4">
        <f>IF(COUNTIFS(INDEX(tItens[Edital],1):tItens[[#This Row],[Edital]],tItens[[#This Row],[Edital]],INDEX(tItens[Produto],1):tItens[[#This Row],[Produto]],tItens[[#This Row],[Produto]])=1,1,0)</f>
        <v>1</v>
      </c>
    </row>
    <row r="640" spans="1:16" x14ac:dyDescent="0.25">
      <c r="A640" t="s">
        <v>925</v>
      </c>
      <c r="B640">
        <v>1147188</v>
      </c>
      <c r="C640" t="s">
        <v>3831</v>
      </c>
      <c r="D640" t="s">
        <v>295</v>
      </c>
      <c r="E640" s="13">
        <v>20570</v>
      </c>
      <c r="F640" s="12">
        <v>1.57</v>
      </c>
      <c r="G640" t="str">
        <f>IFERROR(INDEX(tEditais[Órgão],MATCH(tItens[[#This Row],[Edital]],tEditais[Edital],0)),"")</f>
        <v>FUNDO ESTADUAL DE SAUDE DO ESTADO DA BAHIA</v>
      </c>
      <c r="H640" t="str">
        <f>IFERROR(INDEX(tEditais[UF],MATCH(tItens[[#This Row],[Edital]],tEditais[Edital],0)),"")</f>
        <v>BA</v>
      </c>
      <c r="I640" s="11">
        <f>IFERROR(INDEX(tEditais[Encerramento],MATCH(tItens[[#This Row],[Edital]],tEditais[Edital],0)),"")</f>
        <v>46311.416666666664</v>
      </c>
      <c r="J640" t="str">
        <f>IFERROR(INDEX(tProdutos[Classe],MATCH(tItens[[#This Row],[Produto]],tProdutos[Produto],0)),"produto não cadastrado")</f>
        <v>FORA</v>
      </c>
      <c r="K640" s="12">
        <f>tItens[[#This Row],[Qtd]]*tItens[[#This Row],[Vlr unit]]</f>
        <v>32294.9</v>
      </c>
      <c r="L640" s="6">
        <f>IFERROR(IF(INDEX(tProdutos[Desconto homologado],MATCH(tItens[[#This Row],[Produto]],tProdutos[Produto],0))="",DescontoPadrao,INDEX(tProdutos[Desconto homologado],MATCH(tItens[[#This Row],[Produto]],tProdutos[Produto],0))),DescontoPadrao)</f>
        <v>0.219311377245509</v>
      </c>
      <c r="M640" s="12">
        <f>tItens[[#This Row],[Valor]]*(1-tItens[[#This Row],[Desconto]])</f>
        <v>25212.261002994012</v>
      </c>
      <c r="N640" t="str">
        <f>IFERROR(INDEX(tProdutos[Foco],MATCH(tItens[[#This Row],[Produto]],tProdutos[Produto],0)),"Não")</f>
        <v>Não</v>
      </c>
      <c r="O640" t="str">
        <f>IFERROR(INDEX(tEditais[SRP],MATCH(tItens[[#This Row],[Edital]],tEditais[Edital],0)),"Não")</f>
        <v>Não</v>
      </c>
      <c r="P640" s="4">
        <f>IF(COUNTIFS(INDEX(tItens[Edital],1):tItens[[#This Row],[Edital]],tItens[[#This Row],[Edital]],INDEX(tItens[Produto],1):tItens[[#This Row],[Produto]],tItens[[#This Row],[Produto]])=1,1,0)</f>
        <v>1</v>
      </c>
    </row>
    <row r="641" spans="1:16" x14ac:dyDescent="0.25">
      <c r="A641" t="s">
        <v>925</v>
      </c>
      <c r="B641">
        <v>1151720</v>
      </c>
      <c r="C641" t="s">
        <v>3832</v>
      </c>
      <c r="D641" t="s">
        <v>110</v>
      </c>
      <c r="E641" s="13">
        <v>16640</v>
      </c>
      <c r="F641" s="12">
        <v>2.59</v>
      </c>
      <c r="G641" t="str">
        <f>IFERROR(INDEX(tEditais[Órgão],MATCH(tItens[[#This Row],[Edital]],tEditais[Edital],0)),"")</f>
        <v>FUNDO ESTADUAL DE SAUDE DO ESTADO DA BAHIA</v>
      </c>
      <c r="H641" t="str">
        <f>IFERROR(INDEX(tEditais[UF],MATCH(tItens[[#This Row],[Edital]],tEditais[Edital],0)),"")</f>
        <v>BA</v>
      </c>
      <c r="I641" s="11">
        <f>IFERROR(INDEX(tEditais[Encerramento],MATCH(tItens[[#This Row],[Edital]],tEditais[Edital],0)),"")</f>
        <v>46311.416666666664</v>
      </c>
      <c r="J641" t="str">
        <f>IFERROR(INDEX(tProdutos[Classe],MATCH(tItens[[#This Row],[Produto]],tProdutos[Produto],0)),"produto não cadastrado")</f>
        <v>NÚCLEO</v>
      </c>
      <c r="K641" s="12">
        <f>tItens[[#This Row],[Qtd]]*tItens[[#This Row],[Vlr unit]]</f>
        <v>43097.599999999999</v>
      </c>
      <c r="L641" s="6">
        <f>IFERROR(IF(INDEX(tProdutos[Desconto homologado],MATCH(tItens[[#This Row],[Produto]],tProdutos[Produto],0))="",DescontoPadrao,INDEX(tProdutos[Desconto homologado],MATCH(tItens[[#This Row],[Produto]],tProdutos[Produto],0))),DescontoPadrao)</f>
        <v>0.30410958904109597</v>
      </c>
      <c r="M641" s="12">
        <f>tItens[[#This Row],[Valor]]*(1-tItens[[#This Row],[Desconto]])</f>
        <v>29991.206575342461</v>
      </c>
      <c r="N641" t="str">
        <f>IFERROR(INDEX(tProdutos[Foco],MATCH(tItens[[#This Row],[Produto]],tProdutos[Produto],0)),"Não")</f>
        <v>Não</v>
      </c>
      <c r="O641" t="str">
        <f>IFERROR(INDEX(tEditais[SRP],MATCH(tItens[[#This Row],[Edital]],tEditais[Edital],0)),"Não")</f>
        <v>Não</v>
      </c>
      <c r="P641" s="4">
        <f>IF(COUNTIFS(INDEX(tItens[Edital],1):tItens[[#This Row],[Edital]],tItens[[#This Row],[Edital]],INDEX(tItens[Produto],1):tItens[[#This Row],[Produto]],tItens[[#This Row],[Produto]])=1,1,0)</f>
        <v>1</v>
      </c>
    </row>
    <row r="642" spans="1:16" x14ac:dyDescent="0.25">
      <c r="A642" t="s">
        <v>926</v>
      </c>
      <c r="B642">
        <v>81990</v>
      </c>
      <c r="C642" t="s">
        <v>3783</v>
      </c>
      <c r="D642" t="s">
        <v>241</v>
      </c>
      <c r="E642" s="13">
        <v>10</v>
      </c>
      <c r="F642" s="12">
        <v>7.74</v>
      </c>
      <c r="G642" t="str">
        <f>IFERROR(INDEX(tEditais[Órgão],MATCH(tItens[[#This Row],[Edital]],tEditais[Edital],0)),"")</f>
        <v>FUNDO ESTADUAL DE SAUDE DO ESTADO DA BAHIA</v>
      </c>
      <c r="H642" t="str">
        <f>IFERROR(INDEX(tEditais[UF],MATCH(tItens[[#This Row],[Edital]],tEditais[Edital],0)),"")</f>
        <v>BA</v>
      </c>
      <c r="I642" s="11">
        <f>IFERROR(INDEX(tEditais[Encerramento],MATCH(tItens[[#This Row],[Edital]],tEditais[Edital],0)),"")</f>
        <v>46311.4375</v>
      </c>
      <c r="J642" t="str">
        <f>IFERROR(INDEX(tProdutos[Classe],MATCH(tItens[[#This Row],[Produto]],tProdutos[Produto],0)),"produto não cadastrado")</f>
        <v>DISPUTADO</v>
      </c>
      <c r="K642" s="12">
        <f>tItens[[#This Row],[Qtd]]*tItens[[#This Row],[Vlr unit]]</f>
        <v>77.400000000000006</v>
      </c>
      <c r="L642" s="6">
        <f>IFERROR(IF(INDEX(tProdutos[Desconto homologado],MATCH(tItens[[#This Row],[Produto]],tProdutos[Produto],0))="",DescontoPadrao,INDEX(tProdutos[Desconto homologado],MATCH(tItens[[#This Row],[Produto]],tProdutos[Produto],0))),DescontoPadrao)</f>
        <v>0.36881329157903497</v>
      </c>
      <c r="M642" s="12">
        <f>tItens[[#This Row],[Valor]]*(1-tItens[[#This Row],[Desconto]])</f>
        <v>48.853851231782699</v>
      </c>
      <c r="N642" t="str">
        <f>IFERROR(INDEX(tProdutos[Foco],MATCH(tItens[[#This Row],[Produto]],tProdutos[Produto],0)),"Não")</f>
        <v>Não</v>
      </c>
      <c r="O642" t="str">
        <f>IFERROR(INDEX(tEditais[SRP],MATCH(tItens[[#This Row],[Edital]],tEditais[Edital],0)),"Não")</f>
        <v>Não</v>
      </c>
      <c r="P642" s="4">
        <f>IF(COUNTIFS(INDEX(tItens[Edital],1):tItens[[#This Row],[Edital]],tItens[[#This Row],[Edital]],INDEX(tItens[Produto],1):tItens[[#This Row],[Produto]],tItens[[#This Row],[Produto]])=1,1,0)</f>
        <v>1</v>
      </c>
    </row>
    <row r="643" spans="1:16" x14ac:dyDescent="0.25">
      <c r="A643" t="s">
        <v>926</v>
      </c>
      <c r="B643">
        <v>179850</v>
      </c>
      <c r="C643" t="s">
        <v>3786</v>
      </c>
      <c r="D643" t="s">
        <v>86</v>
      </c>
      <c r="E643" s="13">
        <v>3000</v>
      </c>
      <c r="F643" s="12">
        <v>0.18</v>
      </c>
      <c r="G643" t="str">
        <f>IFERROR(INDEX(tEditais[Órgão],MATCH(tItens[[#This Row],[Edital]],tEditais[Edital],0)),"")</f>
        <v>FUNDO ESTADUAL DE SAUDE DO ESTADO DA BAHIA</v>
      </c>
      <c r="H643" t="str">
        <f>IFERROR(INDEX(tEditais[UF],MATCH(tItens[[#This Row],[Edital]],tEditais[Edital],0)),"")</f>
        <v>BA</v>
      </c>
      <c r="I643" s="11">
        <f>IFERROR(INDEX(tEditais[Encerramento],MATCH(tItens[[#This Row],[Edital]],tEditais[Edital],0)),"")</f>
        <v>46311.4375</v>
      </c>
      <c r="J643" t="str">
        <f>IFERROR(INDEX(tProdutos[Classe],MATCH(tItens[[#This Row],[Produto]],tProdutos[Produto],0)),"produto não cadastrado")</f>
        <v>NÚCLEO</v>
      </c>
      <c r="K643" s="12">
        <f>tItens[[#This Row],[Qtd]]*tItens[[#This Row],[Vlr unit]]</f>
        <v>540</v>
      </c>
      <c r="L643" s="6">
        <f>IFERROR(IF(INDEX(tProdutos[Desconto homologado],MATCH(tItens[[#This Row],[Produto]],tProdutos[Produto],0))="",DescontoPadrao,INDEX(tProdutos[Desconto homologado],MATCH(tItens[[#This Row],[Produto]],tProdutos[Produto],0))),DescontoPadrao)</f>
        <v>0.20202020202020199</v>
      </c>
      <c r="M643" s="12">
        <f>tItens[[#This Row],[Valor]]*(1-tItens[[#This Row],[Desconto]])</f>
        <v>430.90909090909093</v>
      </c>
      <c r="N643" t="str">
        <f>IFERROR(INDEX(tProdutos[Foco],MATCH(tItens[[#This Row],[Produto]],tProdutos[Produto],0)),"Não")</f>
        <v>Não</v>
      </c>
      <c r="O643" t="str">
        <f>IFERROR(INDEX(tEditais[SRP],MATCH(tItens[[#This Row],[Edital]],tEditais[Edital],0)),"Não")</f>
        <v>Não</v>
      </c>
      <c r="P643" s="4">
        <f>IF(COUNTIFS(INDEX(tItens[Edital],1):tItens[[#This Row],[Edital]],tItens[[#This Row],[Edital]],INDEX(tItens[Produto],1):tItens[[#This Row],[Produto]],tItens[[#This Row],[Produto]])=1,1,0)</f>
        <v>1</v>
      </c>
    </row>
    <row r="644" spans="1:16" x14ac:dyDescent="0.25">
      <c r="A644" t="s">
        <v>926</v>
      </c>
      <c r="B644">
        <v>1206796</v>
      </c>
      <c r="C644" t="s">
        <v>3833</v>
      </c>
      <c r="D644" t="s">
        <v>56</v>
      </c>
      <c r="E644" s="13">
        <v>150</v>
      </c>
      <c r="F644" s="12">
        <v>2.56</v>
      </c>
      <c r="G644" t="str">
        <f>IFERROR(INDEX(tEditais[Órgão],MATCH(tItens[[#This Row],[Edital]],tEditais[Edital],0)),"")</f>
        <v>FUNDO ESTADUAL DE SAUDE DO ESTADO DA BAHIA</v>
      </c>
      <c r="H644" t="str">
        <f>IFERROR(INDEX(tEditais[UF],MATCH(tItens[[#This Row],[Edital]],tEditais[Edital],0)),"")</f>
        <v>BA</v>
      </c>
      <c r="I644" s="11">
        <f>IFERROR(INDEX(tEditais[Encerramento],MATCH(tItens[[#This Row],[Edital]],tEditais[Edital],0)),"")</f>
        <v>46311.4375</v>
      </c>
      <c r="J644" t="str">
        <f>IFERROR(INDEX(tProdutos[Classe],MATCH(tItens[[#This Row],[Produto]],tProdutos[Produto],0)),"produto não cadastrado")</f>
        <v>NÚCLEO</v>
      </c>
      <c r="K644" s="12">
        <f>tItens[[#This Row],[Qtd]]*tItens[[#This Row],[Vlr unit]]</f>
        <v>384</v>
      </c>
      <c r="L644" s="6">
        <f>IFERROR(IF(INDEX(tProdutos[Desconto homologado],MATCH(tItens[[#This Row],[Produto]],tProdutos[Produto],0))="",DescontoPadrao,INDEX(tProdutos[Desconto homologado],MATCH(tItens[[#This Row],[Produto]],tProdutos[Produto],0))),DescontoPadrao)</f>
        <v>0.34</v>
      </c>
      <c r="M644" s="12">
        <f>tItens[[#This Row],[Valor]]*(1-tItens[[#This Row],[Desconto]])</f>
        <v>253.43999999999997</v>
      </c>
      <c r="N644" t="str">
        <f>IFERROR(INDEX(tProdutos[Foco],MATCH(tItens[[#This Row],[Produto]],tProdutos[Produto],0)),"Não")</f>
        <v>Sim</v>
      </c>
      <c r="O644" t="str">
        <f>IFERROR(INDEX(tEditais[SRP],MATCH(tItens[[#This Row],[Edital]],tEditais[Edital],0)),"Não")</f>
        <v>Não</v>
      </c>
      <c r="P644" s="4">
        <f>IF(COUNTIFS(INDEX(tItens[Edital],1):tItens[[#This Row],[Edital]],tItens[[#This Row],[Edital]],INDEX(tItens[Produto],1):tItens[[#This Row],[Produto]],tItens[[#This Row],[Produto]])=1,1,0)</f>
        <v>1</v>
      </c>
    </row>
    <row r="645" spans="1:16" x14ac:dyDescent="0.25">
      <c r="A645" t="s">
        <v>928</v>
      </c>
      <c r="B645">
        <v>1015737</v>
      </c>
      <c r="C645" t="s">
        <v>3834</v>
      </c>
      <c r="D645" t="s">
        <v>389</v>
      </c>
      <c r="E645" s="13">
        <v>300</v>
      </c>
      <c r="F645" s="12">
        <v>14.3</v>
      </c>
      <c r="G645" t="str">
        <f>IFERROR(INDEX(tEditais[Órgão],MATCH(tItens[[#This Row],[Edital]],tEditais[Edital],0)),"")</f>
        <v>FUNDO ESTADUAL DE SAUDE DO ESTADO DA BAHIA</v>
      </c>
      <c r="H645" t="str">
        <f>IFERROR(INDEX(tEditais[UF],MATCH(tItens[[#This Row],[Edital]],tEditais[Edital],0)),"")</f>
        <v>BA</v>
      </c>
      <c r="I645" s="11">
        <f>IFERROR(INDEX(tEditais[Encerramento],MATCH(tItens[[#This Row],[Edital]],tEditais[Edital],0)),"")</f>
        <v>46311.4375</v>
      </c>
      <c r="J645" t="str">
        <f>IFERROR(INDEX(tProdutos[Classe],MATCH(tItens[[#This Row],[Produto]],tProdutos[Produto],0)),"produto não cadastrado")</f>
        <v>FORA</v>
      </c>
      <c r="K645" s="12">
        <f>tItens[[#This Row],[Qtd]]*tItens[[#This Row],[Vlr unit]]</f>
        <v>4290</v>
      </c>
      <c r="L645" s="6">
        <f>IFERROR(IF(INDEX(tProdutos[Desconto homologado],MATCH(tItens[[#This Row],[Produto]],tProdutos[Produto],0))="",DescontoPadrao,INDEX(tProdutos[Desconto homologado],MATCH(tItens[[#This Row],[Produto]],tProdutos[Produto],0))),DescontoPadrao)</f>
        <v>0.39163140573577798</v>
      </c>
      <c r="M645" s="12">
        <f>tItens[[#This Row],[Valor]]*(1-tItens[[#This Row],[Desconto]])</f>
        <v>2609.9012693935128</v>
      </c>
      <c r="N645" t="str">
        <f>IFERROR(INDEX(tProdutos[Foco],MATCH(tItens[[#This Row],[Produto]],tProdutos[Produto],0)),"Não")</f>
        <v>Não</v>
      </c>
      <c r="O645" t="str">
        <f>IFERROR(INDEX(tEditais[SRP],MATCH(tItens[[#This Row],[Edital]],tEditais[Edital],0)),"Não")</f>
        <v>Não</v>
      </c>
      <c r="P645" s="4">
        <f>IF(COUNTIFS(INDEX(tItens[Edital],1):tItens[[#This Row],[Edital]],tItens[[#This Row],[Edital]],INDEX(tItens[Produto],1):tItens[[#This Row],[Produto]],tItens[[#This Row],[Produto]])=1,1,0)</f>
        <v>1</v>
      </c>
    </row>
    <row r="646" spans="1:16" x14ac:dyDescent="0.25">
      <c r="A646" t="s">
        <v>930</v>
      </c>
      <c r="B646">
        <v>1</v>
      </c>
      <c r="C646" t="s">
        <v>3835</v>
      </c>
      <c r="D646" t="s">
        <v>411</v>
      </c>
      <c r="E646" s="13">
        <v>120</v>
      </c>
      <c r="F646" s="12">
        <v>0</v>
      </c>
      <c r="G646" t="str">
        <f>IFERROR(INDEX(tEditais[Órgão],MATCH(tItens[[#This Row],[Edital]],tEditais[Edital],0)),"")</f>
        <v>MUNICIPIO DE XIQUE-XIQUE</v>
      </c>
      <c r="H646" t="str">
        <f>IFERROR(INDEX(tEditais[UF],MATCH(tItens[[#This Row],[Edital]],tEditais[Edital],0)),"")</f>
        <v>BA</v>
      </c>
      <c r="I646" s="11">
        <f>IFERROR(INDEX(tEditais[Encerramento],MATCH(tItens[[#This Row],[Edital]],tEditais[Edital],0)),"")</f>
        <v>46311.4375</v>
      </c>
      <c r="J646" t="str">
        <f>IFERROR(INDEX(tProdutos[Classe],MATCH(tItens[[#This Row],[Produto]],tProdutos[Produto],0)),"produto não cadastrado")</f>
        <v>FORA</v>
      </c>
      <c r="K646" s="12">
        <f>tItens[[#This Row],[Qtd]]*tItens[[#This Row],[Vlr unit]]</f>
        <v>0</v>
      </c>
      <c r="L646" s="6">
        <f>IFERROR(IF(INDEX(tProdutos[Desconto homologado],MATCH(tItens[[#This Row],[Produto]],tProdutos[Produto],0))="",DescontoPadrao,INDEX(tProdutos[Desconto homologado],MATCH(tItens[[#This Row],[Produto]],tProdutos[Produto],0))),DescontoPadrao)</f>
        <v>0.50029835957199398</v>
      </c>
      <c r="M646" s="12">
        <f>tItens[[#This Row],[Valor]]*(1-tItens[[#This Row],[Desconto]])</f>
        <v>0</v>
      </c>
      <c r="N646" t="str">
        <f>IFERROR(INDEX(tProdutos[Foco],MATCH(tItens[[#This Row],[Produto]],tProdutos[Produto],0)),"Não")</f>
        <v>Não</v>
      </c>
      <c r="O646" t="str">
        <f>IFERROR(INDEX(tEditais[SRP],MATCH(tItens[[#This Row],[Edital]],tEditais[Edital],0)),"Não")</f>
        <v>Não</v>
      </c>
      <c r="P646" s="4">
        <f>IF(COUNTIFS(INDEX(tItens[Edital],1):tItens[[#This Row],[Edital]],tItens[[#This Row],[Edital]],INDEX(tItens[Produto],1):tItens[[#This Row],[Produto]],tItens[[#This Row],[Produto]])=1,1,0)</f>
        <v>1</v>
      </c>
    </row>
    <row r="647" spans="1:16" x14ac:dyDescent="0.25">
      <c r="A647" t="s">
        <v>930</v>
      </c>
      <c r="B647">
        <v>5</v>
      </c>
      <c r="C647" t="s">
        <v>3836</v>
      </c>
      <c r="D647" t="s">
        <v>71</v>
      </c>
      <c r="E647" s="13">
        <v>289</v>
      </c>
      <c r="F647" s="12">
        <v>0</v>
      </c>
      <c r="G647" t="str">
        <f>IFERROR(INDEX(tEditais[Órgão],MATCH(tItens[[#This Row],[Edital]],tEditais[Edital],0)),"")</f>
        <v>MUNICIPIO DE XIQUE-XIQUE</v>
      </c>
      <c r="H647" t="str">
        <f>IFERROR(INDEX(tEditais[UF],MATCH(tItens[[#This Row],[Edital]],tEditais[Edital],0)),"")</f>
        <v>BA</v>
      </c>
      <c r="I647" s="11">
        <f>IFERROR(INDEX(tEditais[Encerramento],MATCH(tItens[[#This Row],[Edital]],tEditais[Edital],0)),"")</f>
        <v>46311.4375</v>
      </c>
      <c r="J647" t="str">
        <f>IFERROR(INDEX(tProdutos[Classe],MATCH(tItens[[#This Row],[Produto]],tProdutos[Produto],0)),"produto não cadastrado")</f>
        <v>NÚCLEO</v>
      </c>
      <c r="K647" s="12">
        <f>tItens[[#This Row],[Qtd]]*tItens[[#This Row],[Vlr unit]]</f>
        <v>0</v>
      </c>
      <c r="L647" s="6">
        <f>IFERROR(IF(INDEX(tProdutos[Desconto homologado],MATCH(tItens[[#This Row],[Produto]],tProdutos[Produto],0))="",DescontoPadrao,INDEX(tProdutos[Desconto homologado],MATCH(tItens[[#This Row],[Produto]],tProdutos[Produto],0))),DescontoPadrao)</f>
        <v>0.44981412639405199</v>
      </c>
      <c r="M647" s="12">
        <f>tItens[[#This Row],[Valor]]*(1-tItens[[#This Row],[Desconto]])</f>
        <v>0</v>
      </c>
      <c r="N647" t="str">
        <f>IFERROR(INDEX(tProdutos[Foco],MATCH(tItens[[#This Row],[Produto]],tProdutos[Produto],0)),"Não")</f>
        <v>Não</v>
      </c>
      <c r="O647" t="str">
        <f>IFERROR(INDEX(tEditais[SRP],MATCH(tItens[[#This Row],[Edital]],tEditais[Edital],0)),"Não")</f>
        <v>Não</v>
      </c>
      <c r="P647" s="4">
        <f>IF(COUNTIFS(INDEX(tItens[Edital],1):tItens[[#This Row],[Edital]],tItens[[#This Row],[Edital]],INDEX(tItens[Produto],1):tItens[[#This Row],[Produto]],tItens[[#This Row],[Produto]])=1,1,0)</f>
        <v>1</v>
      </c>
    </row>
    <row r="648" spans="1:16" x14ac:dyDescent="0.25">
      <c r="A648" t="s">
        <v>930</v>
      </c>
      <c r="B648">
        <v>60</v>
      </c>
      <c r="C648" t="s">
        <v>3837</v>
      </c>
      <c r="D648" t="s">
        <v>142</v>
      </c>
      <c r="E648" s="13">
        <v>142</v>
      </c>
      <c r="F648" s="12">
        <v>0</v>
      </c>
      <c r="G648" t="str">
        <f>IFERROR(INDEX(tEditais[Órgão],MATCH(tItens[[#This Row],[Edital]],tEditais[Edital],0)),"")</f>
        <v>MUNICIPIO DE XIQUE-XIQUE</v>
      </c>
      <c r="H648" t="str">
        <f>IFERROR(INDEX(tEditais[UF],MATCH(tItens[[#This Row],[Edital]],tEditais[Edital],0)),"")</f>
        <v>BA</v>
      </c>
      <c r="I648" s="11">
        <f>IFERROR(INDEX(tEditais[Encerramento],MATCH(tItens[[#This Row],[Edital]],tEditais[Edital],0)),"")</f>
        <v>46311.4375</v>
      </c>
      <c r="J648" t="str">
        <f>IFERROR(INDEX(tProdutos[Classe],MATCH(tItens[[#This Row],[Produto]],tProdutos[Produto],0)),"produto não cadastrado")</f>
        <v>DISPUTADO</v>
      </c>
      <c r="K648" s="12">
        <f>tItens[[#This Row],[Qtd]]*tItens[[#This Row],[Vlr unit]]</f>
        <v>0</v>
      </c>
      <c r="L648" s="6">
        <f>IFERROR(IF(INDEX(tProdutos[Desconto homologado],MATCH(tItens[[#This Row],[Produto]],tProdutos[Produto],0))="",DescontoPadrao,INDEX(tProdutos[Desconto homologado],MATCH(tItens[[#This Row],[Produto]],tProdutos[Produto],0))),DescontoPadrao)</f>
        <v>0.37093619495691699</v>
      </c>
      <c r="M648" s="12">
        <f>tItens[[#This Row],[Valor]]*(1-tItens[[#This Row],[Desconto]])</f>
        <v>0</v>
      </c>
      <c r="N648" t="str">
        <f>IFERROR(INDEX(tProdutos[Foco],MATCH(tItens[[#This Row],[Produto]],tProdutos[Produto],0)),"Não")</f>
        <v>Não</v>
      </c>
      <c r="O648" t="str">
        <f>IFERROR(INDEX(tEditais[SRP],MATCH(tItens[[#This Row],[Edital]],tEditais[Edital],0)),"Não")</f>
        <v>Não</v>
      </c>
      <c r="P648" s="4">
        <f>IF(COUNTIFS(INDEX(tItens[Edital],1):tItens[[#This Row],[Edital]],tItens[[#This Row],[Edital]],INDEX(tItens[Produto],1):tItens[[#This Row],[Produto]],tItens[[#This Row],[Produto]])=1,1,0)</f>
        <v>1</v>
      </c>
    </row>
    <row r="649" spans="1:16" x14ac:dyDescent="0.25">
      <c r="A649" t="s">
        <v>930</v>
      </c>
      <c r="B649">
        <v>66</v>
      </c>
      <c r="C649" t="s">
        <v>3838</v>
      </c>
      <c r="D649" t="s">
        <v>341</v>
      </c>
      <c r="E649" s="13">
        <v>770</v>
      </c>
      <c r="F649" s="12">
        <v>0</v>
      </c>
      <c r="G649" t="str">
        <f>IFERROR(INDEX(tEditais[Órgão],MATCH(tItens[[#This Row],[Edital]],tEditais[Edital],0)),"")</f>
        <v>MUNICIPIO DE XIQUE-XIQUE</v>
      </c>
      <c r="H649" t="str">
        <f>IFERROR(INDEX(tEditais[UF],MATCH(tItens[[#This Row],[Edital]],tEditais[Edital],0)),"")</f>
        <v>BA</v>
      </c>
      <c r="I649" s="11">
        <f>IFERROR(INDEX(tEditais[Encerramento],MATCH(tItens[[#This Row],[Edital]],tEditais[Edital],0)),"")</f>
        <v>46311.4375</v>
      </c>
      <c r="J649" t="str">
        <f>IFERROR(INDEX(tProdutos[Classe],MATCH(tItens[[#This Row],[Produto]],tProdutos[Produto],0)),"produto não cadastrado")</f>
        <v>FORA</v>
      </c>
      <c r="K649" s="12">
        <f>tItens[[#This Row],[Qtd]]*tItens[[#This Row],[Vlr unit]]</f>
        <v>0</v>
      </c>
      <c r="L649" s="6">
        <f>IFERROR(IF(INDEX(tProdutos[Desconto homologado],MATCH(tItens[[#This Row],[Produto]],tProdutos[Produto],0))="",DescontoPadrao,INDEX(tProdutos[Desconto homologado],MATCH(tItens[[#This Row],[Produto]],tProdutos[Produto],0))),DescontoPadrao)</f>
        <v>0.46918578497525898</v>
      </c>
      <c r="M649" s="12">
        <f>tItens[[#This Row],[Valor]]*(1-tItens[[#This Row],[Desconto]])</f>
        <v>0</v>
      </c>
      <c r="N649" t="str">
        <f>IFERROR(INDEX(tProdutos[Foco],MATCH(tItens[[#This Row],[Produto]],tProdutos[Produto],0)),"Não")</f>
        <v>Não</v>
      </c>
      <c r="O649" t="str">
        <f>IFERROR(INDEX(tEditais[SRP],MATCH(tItens[[#This Row],[Edital]],tEditais[Edital],0)),"Não")</f>
        <v>Não</v>
      </c>
      <c r="P649" s="4">
        <f>IF(COUNTIFS(INDEX(tItens[Edital],1):tItens[[#This Row],[Edital]],tItens[[#This Row],[Edital]],INDEX(tItens[Produto],1):tItens[[#This Row],[Produto]],tItens[[#This Row],[Produto]])=1,1,0)</f>
        <v>1</v>
      </c>
    </row>
    <row r="650" spans="1:16" x14ac:dyDescent="0.25">
      <c r="A650" t="s">
        <v>930</v>
      </c>
      <c r="B650">
        <v>71</v>
      </c>
      <c r="C650" t="s">
        <v>3839</v>
      </c>
      <c r="D650" t="s">
        <v>56</v>
      </c>
      <c r="E650" s="13">
        <v>72</v>
      </c>
      <c r="F650" s="12">
        <v>0</v>
      </c>
      <c r="G650" t="str">
        <f>IFERROR(INDEX(tEditais[Órgão],MATCH(tItens[[#This Row],[Edital]],tEditais[Edital],0)),"")</f>
        <v>MUNICIPIO DE XIQUE-XIQUE</v>
      </c>
      <c r="H650" t="str">
        <f>IFERROR(INDEX(tEditais[UF],MATCH(tItens[[#This Row],[Edital]],tEditais[Edital],0)),"")</f>
        <v>BA</v>
      </c>
      <c r="I650" s="11">
        <f>IFERROR(INDEX(tEditais[Encerramento],MATCH(tItens[[#This Row],[Edital]],tEditais[Edital],0)),"")</f>
        <v>46311.4375</v>
      </c>
      <c r="J650" t="str">
        <f>IFERROR(INDEX(tProdutos[Classe],MATCH(tItens[[#This Row],[Produto]],tProdutos[Produto],0)),"produto não cadastrado")</f>
        <v>NÚCLEO</v>
      </c>
      <c r="K650" s="12">
        <f>tItens[[#This Row],[Qtd]]*tItens[[#This Row],[Vlr unit]]</f>
        <v>0</v>
      </c>
      <c r="L650" s="6">
        <f>IFERROR(IF(INDEX(tProdutos[Desconto homologado],MATCH(tItens[[#This Row],[Produto]],tProdutos[Produto],0))="",DescontoPadrao,INDEX(tProdutos[Desconto homologado],MATCH(tItens[[#This Row],[Produto]],tProdutos[Produto],0))),DescontoPadrao)</f>
        <v>0.34</v>
      </c>
      <c r="M650" s="12">
        <f>tItens[[#This Row],[Valor]]*(1-tItens[[#This Row],[Desconto]])</f>
        <v>0</v>
      </c>
      <c r="N650" t="str">
        <f>IFERROR(INDEX(tProdutos[Foco],MATCH(tItens[[#This Row],[Produto]],tProdutos[Produto],0)),"Não")</f>
        <v>Sim</v>
      </c>
      <c r="O650" t="str">
        <f>IFERROR(INDEX(tEditais[SRP],MATCH(tItens[[#This Row],[Edital]],tEditais[Edital],0)),"Não")</f>
        <v>Não</v>
      </c>
      <c r="P650" s="4">
        <f>IF(COUNTIFS(INDEX(tItens[Edital],1):tItens[[#This Row],[Edital]],tItens[[#This Row],[Edital]],INDEX(tItens[Produto],1):tItens[[#This Row],[Produto]],tItens[[#This Row],[Produto]])=1,1,0)</f>
        <v>1</v>
      </c>
    </row>
    <row r="651" spans="1:16" x14ac:dyDescent="0.25">
      <c r="A651" t="s">
        <v>930</v>
      </c>
      <c r="B651">
        <v>76</v>
      </c>
      <c r="C651" t="s">
        <v>3840</v>
      </c>
      <c r="D651" t="s">
        <v>385</v>
      </c>
      <c r="E651" s="13">
        <v>60</v>
      </c>
      <c r="F651" s="12">
        <v>0</v>
      </c>
      <c r="G651" t="str">
        <f>IFERROR(INDEX(tEditais[Órgão],MATCH(tItens[[#This Row],[Edital]],tEditais[Edital],0)),"")</f>
        <v>MUNICIPIO DE XIQUE-XIQUE</v>
      </c>
      <c r="H651" t="str">
        <f>IFERROR(INDEX(tEditais[UF],MATCH(tItens[[#This Row],[Edital]],tEditais[Edital],0)),"")</f>
        <v>BA</v>
      </c>
      <c r="I651" s="11">
        <f>IFERROR(INDEX(tEditais[Encerramento],MATCH(tItens[[#This Row],[Edital]],tEditais[Edital],0)),"")</f>
        <v>46311.4375</v>
      </c>
      <c r="J651" t="str">
        <f>IFERROR(INDEX(tProdutos[Classe],MATCH(tItens[[#This Row],[Produto]],tProdutos[Produto],0)),"produto não cadastrado")</f>
        <v>FORA</v>
      </c>
      <c r="K651" s="12">
        <f>tItens[[#This Row],[Qtd]]*tItens[[#This Row],[Vlr unit]]</f>
        <v>0</v>
      </c>
      <c r="L651" s="6">
        <f>IFERROR(IF(INDEX(tProdutos[Desconto homologado],MATCH(tItens[[#This Row],[Produto]],tProdutos[Produto],0))="",DescontoPadrao,INDEX(tProdutos[Desconto homologado],MATCH(tItens[[#This Row],[Produto]],tProdutos[Produto],0))),DescontoPadrao)</f>
        <v>0.46969696969697</v>
      </c>
      <c r="M651" s="12">
        <f>tItens[[#This Row],[Valor]]*(1-tItens[[#This Row],[Desconto]])</f>
        <v>0</v>
      </c>
      <c r="N651" t="str">
        <f>IFERROR(INDEX(tProdutos[Foco],MATCH(tItens[[#This Row],[Produto]],tProdutos[Produto],0)),"Não")</f>
        <v>Não</v>
      </c>
      <c r="O651" t="str">
        <f>IFERROR(INDEX(tEditais[SRP],MATCH(tItens[[#This Row],[Edital]],tEditais[Edital],0)),"Não")</f>
        <v>Não</v>
      </c>
      <c r="P651" s="4">
        <f>IF(COUNTIFS(INDEX(tItens[Edital],1):tItens[[#This Row],[Edital]],tItens[[#This Row],[Edital]],INDEX(tItens[Produto],1):tItens[[#This Row],[Produto]],tItens[[#This Row],[Produto]])=1,1,0)</f>
        <v>1</v>
      </c>
    </row>
    <row r="652" spans="1:16" x14ac:dyDescent="0.25">
      <c r="A652" t="s">
        <v>930</v>
      </c>
      <c r="B652">
        <v>83</v>
      </c>
      <c r="C652" t="s">
        <v>3841</v>
      </c>
      <c r="D652" t="s">
        <v>455</v>
      </c>
      <c r="E652" s="13">
        <v>72</v>
      </c>
      <c r="F652" s="12">
        <v>0</v>
      </c>
      <c r="G652" t="str">
        <f>IFERROR(INDEX(tEditais[Órgão],MATCH(tItens[[#This Row],[Edital]],tEditais[Edital],0)),"")</f>
        <v>MUNICIPIO DE XIQUE-XIQUE</v>
      </c>
      <c r="H652" t="str">
        <f>IFERROR(INDEX(tEditais[UF],MATCH(tItens[[#This Row],[Edital]],tEditais[Edital],0)),"")</f>
        <v>BA</v>
      </c>
      <c r="I652" s="11">
        <f>IFERROR(INDEX(tEditais[Encerramento],MATCH(tItens[[#This Row],[Edital]],tEditais[Edital],0)),"")</f>
        <v>46311.4375</v>
      </c>
      <c r="J652" t="str">
        <f>IFERROR(INDEX(tProdutos[Classe],MATCH(tItens[[#This Row],[Produto]],tProdutos[Produto],0)),"produto não cadastrado")</f>
        <v>FILA REBASE</v>
      </c>
      <c r="K652" s="12">
        <f>tItens[[#This Row],[Qtd]]*tItens[[#This Row],[Vlr unit]]</f>
        <v>0</v>
      </c>
      <c r="L652" s="6">
        <f>IFERROR(IF(INDEX(tProdutos[Desconto homologado],MATCH(tItens[[#This Row],[Produto]],tProdutos[Produto],0))="",DescontoPadrao,INDEX(tProdutos[Desconto homologado],MATCH(tItens[[#This Row],[Produto]],tProdutos[Produto],0))),DescontoPadrao)</f>
        <v>0.29595946765523801</v>
      </c>
      <c r="M652" s="12">
        <f>tItens[[#This Row],[Valor]]*(1-tItens[[#This Row],[Desconto]])</f>
        <v>0</v>
      </c>
      <c r="N652" t="str">
        <f>IFERROR(INDEX(tProdutos[Foco],MATCH(tItens[[#This Row],[Produto]],tProdutos[Produto],0)),"Não")</f>
        <v>Não</v>
      </c>
      <c r="O652" t="str">
        <f>IFERROR(INDEX(tEditais[SRP],MATCH(tItens[[#This Row],[Edital]],tEditais[Edital],0)),"Não")</f>
        <v>Não</v>
      </c>
      <c r="P652" s="4">
        <f>IF(COUNTIFS(INDEX(tItens[Edital],1):tItens[[#This Row],[Edital]],tItens[[#This Row],[Edital]],INDEX(tItens[Produto],1):tItens[[#This Row],[Produto]],tItens[[#This Row],[Produto]])=1,1,0)</f>
        <v>1</v>
      </c>
    </row>
    <row r="653" spans="1:16" x14ac:dyDescent="0.25">
      <c r="A653" t="s">
        <v>930</v>
      </c>
      <c r="B653">
        <v>123</v>
      </c>
      <c r="C653" t="s">
        <v>3842</v>
      </c>
      <c r="D653" t="s">
        <v>114</v>
      </c>
      <c r="E653" s="13">
        <v>134</v>
      </c>
      <c r="F653" s="12">
        <v>0</v>
      </c>
      <c r="G653" t="str">
        <f>IFERROR(INDEX(tEditais[Órgão],MATCH(tItens[[#This Row],[Edital]],tEditais[Edital],0)),"")</f>
        <v>MUNICIPIO DE XIQUE-XIQUE</v>
      </c>
      <c r="H653" t="str">
        <f>IFERROR(INDEX(tEditais[UF],MATCH(tItens[[#This Row],[Edital]],tEditais[Edital],0)),"")</f>
        <v>BA</v>
      </c>
      <c r="I653" s="11">
        <f>IFERROR(INDEX(tEditais[Encerramento],MATCH(tItens[[#This Row],[Edital]],tEditais[Edital],0)),"")</f>
        <v>46311.4375</v>
      </c>
      <c r="J653" t="str">
        <f>IFERROR(INDEX(tProdutos[Classe],MATCH(tItens[[#This Row],[Produto]],tProdutos[Produto],0)),"produto não cadastrado")</f>
        <v>DISPUTADO</v>
      </c>
      <c r="K653" s="12">
        <f>tItens[[#This Row],[Qtd]]*tItens[[#This Row],[Vlr unit]]</f>
        <v>0</v>
      </c>
      <c r="L653" s="6">
        <f>IFERROR(IF(INDEX(tProdutos[Desconto homologado],MATCH(tItens[[#This Row],[Produto]],tProdutos[Produto],0))="",DescontoPadrao,INDEX(tProdutos[Desconto homologado],MATCH(tItens[[#This Row],[Produto]],tProdutos[Produto],0))),DescontoPadrao)</f>
        <v>0.24332656063896899</v>
      </c>
      <c r="M653" s="12">
        <f>tItens[[#This Row],[Valor]]*(1-tItens[[#This Row],[Desconto]])</f>
        <v>0</v>
      </c>
      <c r="N653" t="str">
        <f>IFERROR(INDEX(tProdutos[Foco],MATCH(tItens[[#This Row],[Produto]],tProdutos[Produto],0)),"Não")</f>
        <v>Não</v>
      </c>
      <c r="O653" t="str">
        <f>IFERROR(INDEX(tEditais[SRP],MATCH(tItens[[#This Row],[Edital]],tEditais[Edital],0)),"Não")</f>
        <v>Não</v>
      </c>
      <c r="P653" s="4">
        <f>IF(COUNTIFS(INDEX(tItens[Edital],1):tItens[[#This Row],[Edital]],tItens[[#This Row],[Edital]],INDEX(tItens[Produto],1):tItens[[#This Row],[Produto]],tItens[[#This Row],[Produto]])=1,1,0)</f>
        <v>1</v>
      </c>
    </row>
    <row r="654" spans="1:16" x14ac:dyDescent="0.25">
      <c r="A654" t="s">
        <v>930</v>
      </c>
      <c r="B654">
        <v>150</v>
      </c>
      <c r="C654" t="s">
        <v>3843</v>
      </c>
      <c r="D654" t="s">
        <v>423</v>
      </c>
      <c r="E654" s="13">
        <v>18</v>
      </c>
      <c r="F654" s="12">
        <v>0</v>
      </c>
      <c r="G654" t="str">
        <f>IFERROR(INDEX(tEditais[Órgão],MATCH(tItens[[#This Row],[Edital]],tEditais[Edital],0)),"")</f>
        <v>MUNICIPIO DE XIQUE-XIQUE</v>
      </c>
      <c r="H654" t="str">
        <f>IFERROR(INDEX(tEditais[UF],MATCH(tItens[[#This Row],[Edital]],tEditais[Edital],0)),"")</f>
        <v>BA</v>
      </c>
      <c r="I654" s="11">
        <f>IFERROR(INDEX(tEditais[Encerramento],MATCH(tItens[[#This Row],[Edital]],tEditais[Edital],0)),"")</f>
        <v>46311.4375</v>
      </c>
      <c r="J654" t="str">
        <f>IFERROR(INDEX(tProdutos[Classe],MATCH(tItens[[#This Row],[Produto]],tProdutos[Produto],0)),"produto não cadastrado")</f>
        <v>FORA</v>
      </c>
      <c r="K654" s="12">
        <f>tItens[[#This Row],[Qtd]]*tItens[[#This Row],[Vlr unit]]</f>
        <v>0</v>
      </c>
      <c r="L654" s="6">
        <f>IFERROR(IF(INDEX(tProdutos[Desconto homologado],MATCH(tItens[[#This Row],[Produto]],tProdutos[Produto],0))="",DescontoPadrao,INDEX(tProdutos[Desconto homologado],MATCH(tItens[[#This Row],[Produto]],tProdutos[Produto],0))),DescontoPadrao)</f>
        <v>0.38271604938271597</v>
      </c>
      <c r="M654" s="12">
        <f>tItens[[#This Row],[Valor]]*(1-tItens[[#This Row],[Desconto]])</f>
        <v>0</v>
      </c>
      <c r="N654" t="str">
        <f>IFERROR(INDEX(tProdutos[Foco],MATCH(tItens[[#This Row],[Produto]],tProdutos[Produto],0)),"Não")</f>
        <v>Não</v>
      </c>
      <c r="O654" t="str">
        <f>IFERROR(INDEX(tEditais[SRP],MATCH(tItens[[#This Row],[Edital]],tEditais[Edital],0)),"Não")</f>
        <v>Não</v>
      </c>
      <c r="P654" s="4">
        <f>IF(COUNTIFS(INDEX(tItens[Edital],1):tItens[[#This Row],[Edital]],tItens[[#This Row],[Edital]],INDEX(tItens[Produto],1):tItens[[#This Row],[Produto]],tItens[[#This Row],[Produto]])=1,1,0)</f>
        <v>1</v>
      </c>
    </row>
    <row r="655" spans="1:16" x14ac:dyDescent="0.25">
      <c r="A655" t="s">
        <v>935</v>
      </c>
      <c r="B655">
        <v>84603</v>
      </c>
      <c r="C655" t="s">
        <v>3844</v>
      </c>
      <c r="D655" t="s">
        <v>225</v>
      </c>
      <c r="E655" s="13">
        <v>100</v>
      </c>
      <c r="F655" s="12">
        <v>0.35</v>
      </c>
      <c r="G655" t="str">
        <f>IFERROR(INDEX(tEditais[Órgão],MATCH(tItens[[#This Row],[Edital]],tEditais[Edital],0)),"")</f>
        <v>UNIVERSIDADE DO ESTADO DA BAHIA</v>
      </c>
      <c r="H655" t="str">
        <f>IFERROR(INDEX(tEditais[UF],MATCH(tItens[[#This Row],[Edital]],tEditais[Edital],0)),"")</f>
        <v>BA</v>
      </c>
      <c r="I655" s="11">
        <f>IFERROR(INDEX(tEditais[Encerramento],MATCH(tItens[[#This Row],[Edital]],tEditais[Edital],0)),"")</f>
        <v>46311.479166666664</v>
      </c>
      <c r="J655" t="str">
        <f>IFERROR(INDEX(tProdutos[Classe],MATCH(tItens[[#This Row],[Produto]],tProdutos[Produto],0)),"produto não cadastrado")</f>
        <v>FORA</v>
      </c>
      <c r="K655" s="12">
        <f>tItens[[#This Row],[Qtd]]*tItens[[#This Row],[Vlr unit]]</f>
        <v>35</v>
      </c>
      <c r="L655" s="6">
        <f>IFERROR(IF(INDEX(tProdutos[Desconto homologado],MATCH(tItens[[#This Row],[Produto]],tProdutos[Produto],0))="",DescontoPadrao,INDEX(tProdutos[Desconto homologado],MATCH(tItens[[#This Row],[Produto]],tProdutos[Produto],0))),DescontoPadrao)</f>
        <v>0.27745664739884401</v>
      </c>
      <c r="M655" s="12">
        <f>tItens[[#This Row],[Valor]]*(1-tItens[[#This Row],[Desconto]])</f>
        <v>25.289017341040459</v>
      </c>
      <c r="N655" t="str">
        <f>IFERROR(INDEX(tProdutos[Foco],MATCH(tItens[[#This Row],[Produto]],tProdutos[Produto],0)),"Não")</f>
        <v>Não</v>
      </c>
      <c r="O655" t="str">
        <f>IFERROR(INDEX(tEditais[SRP],MATCH(tItens[[#This Row],[Edital]],tEditais[Edital],0)),"Não")</f>
        <v>Não</v>
      </c>
      <c r="P655" s="4">
        <f>IF(COUNTIFS(INDEX(tItens[Edital],1):tItens[[#This Row],[Edital]],tItens[[#This Row],[Edital]],INDEX(tItens[Produto],1):tItens[[#This Row],[Produto]],tItens[[#This Row],[Produto]])=1,1,0)</f>
        <v>1</v>
      </c>
    </row>
    <row r="656" spans="1:16" x14ac:dyDescent="0.25">
      <c r="A656" t="s">
        <v>939</v>
      </c>
      <c r="B656">
        <v>39918</v>
      </c>
      <c r="C656" t="s">
        <v>3814</v>
      </c>
      <c r="D656" t="s">
        <v>281</v>
      </c>
      <c r="E656" s="13">
        <v>10</v>
      </c>
      <c r="F656" s="12">
        <v>0.57999999999999996</v>
      </c>
      <c r="G656" t="str">
        <f>IFERROR(INDEX(tEditais[Órgão],MATCH(tItens[[#This Row],[Edital]],tEditais[Edital],0)),"")</f>
        <v>UNIVERSIDADE DO ESTADO DA BAHIA</v>
      </c>
      <c r="H656" t="str">
        <f>IFERROR(INDEX(tEditais[UF],MATCH(tItens[[#This Row],[Edital]],tEditais[Edital],0)),"")</f>
        <v>BA</v>
      </c>
      <c r="I656" s="11">
        <f>IFERROR(INDEX(tEditais[Encerramento],MATCH(tItens[[#This Row],[Edital]],tEditais[Edital],0)),"")</f>
        <v>46311.645833333336</v>
      </c>
      <c r="J656" t="str">
        <f>IFERROR(INDEX(tProdutos[Classe],MATCH(tItens[[#This Row],[Produto]],tProdutos[Produto],0)),"produto não cadastrado")</f>
        <v>DISPUTADO</v>
      </c>
      <c r="K656" s="12">
        <f>tItens[[#This Row],[Qtd]]*tItens[[#This Row],[Vlr unit]]</f>
        <v>5.8</v>
      </c>
      <c r="L656" s="6">
        <f>IFERROR(IF(INDEX(tProdutos[Desconto homologado],MATCH(tItens[[#This Row],[Produto]],tProdutos[Produto],0))="",DescontoPadrao,INDEX(tProdutos[Desconto homologado],MATCH(tItens[[#This Row],[Produto]],tProdutos[Produto],0))),DescontoPadrao)</f>
        <v>0.42461538461538501</v>
      </c>
      <c r="M656" s="12">
        <f>tItens[[#This Row],[Valor]]*(1-tItens[[#This Row],[Desconto]])</f>
        <v>3.3372307692307666</v>
      </c>
      <c r="N656" t="str">
        <f>IFERROR(INDEX(tProdutos[Foco],MATCH(tItens[[#This Row],[Produto]],tProdutos[Produto],0)),"Não")</f>
        <v>Não</v>
      </c>
      <c r="O656" t="str">
        <f>IFERROR(INDEX(tEditais[SRP],MATCH(tItens[[#This Row],[Edital]],tEditais[Edital],0)),"Não")</f>
        <v>Não</v>
      </c>
      <c r="P656" s="4">
        <f>IF(COUNTIFS(INDEX(tItens[Edital],1):tItens[[#This Row],[Edital]],tItens[[#This Row],[Edital]],INDEX(tItens[Produto],1):tItens[[#This Row],[Produto]],tItens[[#This Row],[Produto]])=1,1,0)</f>
        <v>1</v>
      </c>
    </row>
    <row r="657" spans="1:16" x14ac:dyDescent="0.25">
      <c r="A657" t="s">
        <v>941</v>
      </c>
      <c r="B657">
        <v>1255703</v>
      </c>
      <c r="C657" t="s">
        <v>3845</v>
      </c>
      <c r="D657" t="s">
        <v>389</v>
      </c>
      <c r="E657" s="13">
        <v>100</v>
      </c>
      <c r="F657" s="12">
        <v>4.7</v>
      </c>
      <c r="G657" t="str">
        <f>IFERROR(INDEX(tEditais[Órgão],MATCH(tItens[[#This Row],[Edital]],tEditais[Edital],0)),"")</f>
        <v>UNIVERSIDADE DO ESTADO DA BAHIA</v>
      </c>
      <c r="H657" t="str">
        <f>IFERROR(INDEX(tEditais[UF],MATCH(tItens[[#This Row],[Edital]],tEditais[Edital],0)),"")</f>
        <v>BA</v>
      </c>
      <c r="I657" s="11">
        <f>IFERROR(INDEX(tEditais[Encerramento],MATCH(tItens[[#This Row],[Edital]],tEditais[Edital],0)),"")</f>
        <v>46311.6875</v>
      </c>
      <c r="J657" t="str">
        <f>IFERROR(INDEX(tProdutos[Classe],MATCH(tItens[[#This Row],[Produto]],tProdutos[Produto],0)),"produto não cadastrado")</f>
        <v>FORA</v>
      </c>
      <c r="K657" s="12">
        <f>tItens[[#This Row],[Qtd]]*tItens[[#This Row],[Vlr unit]]</f>
        <v>470</v>
      </c>
      <c r="L657" s="6">
        <f>IFERROR(IF(INDEX(tProdutos[Desconto homologado],MATCH(tItens[[#This Row],[Produto]],tProdutos[Produto],0))="",DescontoPadrao,INDEX(tProdutos[Desconto homologado],MATCH(tItens[[#This Row],[Produto]],tProdutos[Produto],0))),DescontoPadrao)</f>
        <v>0.39163140573577798</v>
      </c>
      <c r="M657" s="12">
        <f>tItens[[#This Row],[Valor]]*(1-tItens[[#This Row],[Desconto]])</f>
        <v>285.93323930418438</v>
      </c>
      <c r="N657" t="str">
        <f>IFERROR(INDEX(tProdutos[Foco],MATCH(tItens[[#This Row],[Produto]],tProdutos[Produto],0)),"Não")</f>
        <v>Não</v>
      </c>
      <c r="O657" t="str">
        <f>IFERROR(INDEX(tEditais[SRP],MATCH(tItens[[#This Row],[Edital]],tEditais[Edital],0)),"Não")</f>
        <v>Não</v>
      </c>
      <c r="P657" s="4">
        <f>IF(COUNTIFS(INDEX(tItens[Edital],1):tItens[[#This Row],[Edital]],tItens[[#This Row],[Edital]],INDEX(tItens[Produto],1):tItens[[#This Row],[Produto]],tItens[[#This Row],[Produto]])=1,1,0)</f>
        <v>1</v>
      </c>
    </row>
    <row r="658" spans="1:16" x14ac:dyDescent="0.25">
      <c r="A658" t="s">
        <v>943</v>
      </c>
      <c r="B658">
        <v>10022</v>
      </c>
      <c r="C658" t="s">
        <v>3846</v>
      </c>
      <c r="D658" t="s">
        <v>189</v>
      </c>
      <c r="E658" s="13">
        <v>400</v>
      </c>
      <c r="F658" s="12">
        <v>124.17</v>
      </c>
      <c r="G658" t="str">
        <f>IFERROR(INDEX(tEditais[Órgão],MATCH(tItens[[#This Row],[Edital]],tEditais[Edital],0)),"")</f>
        <v>MUNICIPIO DE SAO GONCALO DOS CAMPOS</v>
      </c>
      <c r="H658" t="str">
        <f>IFERROR(INDEX(tEditais[UF],MATCH(tItens[[#This Row],[Edital]],tEditais[Edital],0)),"")</f>
        <v>BA</v>
      </c>
      <c r="I658" s="11">
        <f>IFERROR(INDEX(tEditais[Encerramento],MATCH(tItens[[#This Row],[Edital]],tEditais[Edital],0)),"")</f>
        <v>46314.333333333336</v>
      </c>
      <c r="J658" t="str">
        <f>IFERROR(INDEX(tProdutos[Classe],MATCH(tItens[[#This Row],[Produto]],tProdutos[Produto],0)),"produto não cadastrado")</f>
        <v>DISPUTADO</v>
      </c>
      <c r="K658" s="12">
        <f>tItens[[#This Row],[Qtd]]*tItens[[#This Row],[Vlr unit]]</f>
        <v>49668</v>
      </c>
      <c r="L658" s="6">
        <f>IFERROR(IF(INDEX(tProdutos[Desconto homologado],MATCH(tItens[[#This Row],[Produto]],tProdutos[Produto],0))="",DescontoPadrao,INDEX(tProdutos[Desconto homologado],MATCH(tItens[[#This Row],[Produto]],tProdutos[Produto],0))),DescontoPadrao)</f>
        <v>0.33088052268966101</v>
      </c>
      <c r="M658" s="12">
        <f>tItens[[#This Row],[Valor]]*(1-tItens[[#This Row],[Desconto]])</f>
        <v>33233.826199049923</v>
      </c>
      <c r="N658" t="str">
        <f>IFERROR(INDEX(tProdutos[Foco],MATCH(tItens[[#This Row],[Produto]],tProdutos[Produto],0)),"Não")</f>
        <v>Não</v>
      </c>
      <c r="O658" t="str">
        <f>IFERROR(INDEX(tEditais[SRP],MATCH(tItens[[#This Row],[Edital]],tEditais[Edital],0)),"Não")</f>
        <v>Sim</v>
      </c>
      <c r="P658" s="4">
        <f>IF(COUNTIFS(INDEX(tItens[Edital],1):tItens[[#This Row],[Edital]],tItens[[#This Row],[Edital]],INDEX(tItens[Produto],1):tItens[[#This Row],[Produto]],tItens[[#This Row],[Produto]])=1,1,0)</f>
        <v>1</v>
      </c>
    </row>
    <row r="659" spans="1:16" x14ac:dyDescent="0.25">
      <c r="A659" t="s">
        <v>943</v>
      </c>
      <c r="B659">
        <v>10023</v>
      </c>
      <c r="C659" t="s">
        <v>3847</v>
      </c>
      <c r="D659" t="s">
        <v>189</v>
      </c>
      <c r="E659" s="13">
        <v>1000</v>
      </c>
      <c r="F659" s="12">
        <v>124.17</v>
      </c>
      <c r="G659" t="str">
        <f>IFERROR(INDEX(tEditais[Órgão],MATCH(tItens[[#This Row],[Edital]],tEditais[Edital],0)),"")</f>
        <v>MUNICIPIO DE SAO GONCALO DOS CAMPOS</v>
      </c>
      <c r="H659" t="str">
        <f>IFERROR(INDEX(tEditais[UF],MATCH(tItens[[#This Row],[Edital]],tEditais[Edital],0)),"")</f>
        <v>BA</v>
      </c>
      <c r="I659" s="11">
        <f>IFERROR(INDEX(tEditais[Encerramento],MATCH(tItens[[#This Row],[Edital]],tEditais[Edital],0)),"")</f>
        <v>46314.333333333336</v>
      </c>
      <c r="J659" t="str">
        <f>IFERROR(INDEX(tProdutos[Classe],MATCH(tItens[[#This Row],[Produto]],tProdutos[Produto],0)),"produto não cadastrado")</f>
        <v>DISPUTADO</v>
      </c>
      <c r="K659" s="12">
        <f>tItens[[#This Row],[Qtd]]*tItens[[#This Row],[Vlr unit]]</f>
        <v>124170</v>
      </c>
      <c r="L659" s="6">
        <f>IFERROR(IF(INDEX(tProdutos[Desconto homologado],MATCH(tItens[[#This Row],[Produto]],tProdutos[Produto],0))="",DescontoPadrao,INDEX(tProdutos[Desconto homologado],MATCH(tItens[[#This Row],[Produto]],tProdutos[Produto],0))),DescontoPadrao)</f>
        <v>0.33088052268966101</v>
      </c>
      <c r="M659" s="12">
        <f>tItens[[#This Row],[Valor]]*(1-tItens[[#This Row],[Desconto]])</f>
        <v>83084.565497624804</v>
      </c>
      <c r="N659" t="str">
        <f>IFERROR(INDEX(tProdutos[Foco],MATCH(tItens[[#This Row],[Produto]],tProdutos[Produto],0)),"Não")</f>
        <v>Não</v>
      </c>
      <c r="O659" t="str">
        <f>IFERROR(INDEX(tEditais[SRP],MATCH(tItens[[#This Row],[Edital]],tEditais[Edital],0)),"Não")</f>
        <v>Sim</v>
      </c>
      <c r="P659" s="4">
        <f>IF(COUNTIFS(INDEX(tItens[Edital],1):tItens[[#This Row],[Edital]],tItens[[#This Row],[Edital]],INDEX(tItens[Produto],1):tItens[[#This Row],[Produto]],tItens[[#This Row],[Produto]])=1,1,0)</f>
        <v>0</v>
      </c>
    </row>
    <row r="660" spans="1:16" x14ac:dyDescent="0.25">
      <c r="A660" t="s">
        <v>943</v>
      </c>
      <c r="B660">
        <v>10024</v>
      </c>
      <c r="C660" t="s">
        <v>3848</v>
      </c>
      <c r="D660" t="s">
        <v>189</v>
      </c>
      <c r="E660" s="13">
        <v>450</v>
      </c>
      <c r="F660" s="12">
        <v>124.17</v>
      </c>
      <c r="G660" t="str">
        <f>IFERROR(INDEX(tEditais[Órgão],MATCH(tItens[[#This Row],[Edital]],tEditais[Edital],0)),"")</f>
        <v>MUNICIPIO DE SAO GONCALO DOS CAMPOS</v>
      </c>
      <c r="H660" t="str">
        <f>IFERROR(INDEX(tEditais[UF],MATCH(tItens[[#This Row],[Edital]],tEditais[Edital],0)),"")</f>
        <v>BA</v>
      </c>
      <c r="I660" s="11">
        <f>IFERROR(INDEX(tEditais[Encerramento],MATCH(tItens[[#This Row],[Edital]],tEditais[Edital],0)),"")</f>
        <v>46314.333333333336</v>
      </c>
      <c r="J660" t="str">
        <f>IFERROR(INDEX(tProdutos[Classe],MATCH(tItens[[#This Row],[Produto]],tProdutos[Produto],0)),"produto não cadastrado")</f>
        <v>DISPUTADO</v>
      </c>
      <c r="K660" s="12">
        <f>tItens[[#This Row],[Qtd]]*tItens[[#This Row],[Vlr unit]]</f>
        <v>55876.5</v>
      </c>
      <c r="L660" s="6">
        <f>IFERROR(IF(INDEX(tProdutos[Desconto homologado],MATCH(tItens[[#This Row],[Produto]],tProdutos[Produto],0))="",DescontoPadrao,INDEX(tProdutos[Desconto homologado],MATCH(tItens[[#This Row],[Produto]],tProdutos[Produto],0))),DescontoPadrao)</f>
        <v>0.33088052268966101</v>
      </c>
      <c r="M660" s="12">
        <f>tItens[[#This Row],[Valor]]*(1-tItens[[#This Row],[Desconto]])</f>
        <v>37388.054473931159</v>
      </c>
      <c r="N660" t="str">
        <f>IFERROR(INDEX(tProdutos[Foco],MATCH(tItens[[#This Row],[Produto]],tProdutos[Produto],0)),"Não")</f>
        <v>Não</v>
      </c>
      <c r="O660" t="str">
        <f>IFERROR(INDEX(tEditais[SRP],MATCH(tItens[[#This Row],[Edital]],tEditais[Edital],0)),"Não")</f>
        <v>Sim</v>
      </c>
      <c r="P660" s="4">
        <f>IF(COUNTIFS(INDEX(tItens[Edital],1):tItens[[#This Row],[Edital]],tItens[[#This Row],[Edital]],INDEX(tItens[Produto],1):tItens[[#This Row],[Produto]],tItens[[#This Row],[Produto]])=1,1,0)</f>
        <v>0</v>
      </c>
    </row>
    <row r="661" spans="1:16" x14ac:dyDescent="0.25">
      <c r="A661" t="s">
        <v>943</v>
      </c>
      <c r="B661">
        <v>10025</v>
      </c>
      <c r="C661" t="s">
        <v>3849</v>
      </c>
      <c r="D661" t="s">
        <v>189</v>
      </c>
      <c r="E661" s="13">
        <v>350</v>
      </c>
      <c r="F661" s="12">
        <v>124.17</v>
      </c>
      <c r="G661" t="str">
        <f>IFERROR(INDEX(tEditais[Órgão],MATCH(tItens[[#This Row],[Edital]],tEditais[Edital],0)),"")</f>
        <v>MUNICIPIO DE SAO GONCALO DOS CAMPOS</v>
      </c>
      <c r="H661" t="str">
        <f>IFERROR(INDEX(tEditais[UF],MATCH(tItens[[#This Row],[Edital]],tEditais[Edital],0)),"")</f>
        <v>BA</v>
      </c>
      <c r="I661" s="11">
        <f>IFERROR(INDEX(tEditais[Encerramento],MATCH(tItens[[#This Row],[Edital]],tEditais[Edital],0)),"")</f>
        <v>46314.333333333336</v>
      </c>
      <c r="J661" t="str">
        <f>IFERROR(INDEX(tProdutos[Classe],MATCH(tItens[[#This Row],[Produto]],tProdutos[Produto],0)),"produto não cadastrado")</f>
        <v>DISPUTADO</v>
      </c>
      <c r="K661" s="12">
        <f>tItens[[#This Row],[Qtd]]*tItens[[#This Row],[Vlr unit]]</f>
        <v>43459.5</v>
      </c>
      <c r="L661" s="6">
        <f>IFERROR(IF(INDEX(tProdutos[Desconto homologado],MATCH(tItens[[#This Row],[Produto]],tProdutos[Produto],0))="",DescontoPadrao,INDEX(tProdutos[Desconto homologado],MATCH(tItens[[#This Row],[Produto]],tProdutos[Produto],0))),DescontoPadrao)</f>
        <v>0.33088052268966101</v>
      </c>
      <c r="M661" s="12">
        <f>tItens[[#This Row],[Valor]]*(1-tItens[[#This Row],[Desconto]])</f>
        <v>29079.59792416868</v>
      </c>
      <c r="N661" t="str">
        <f>IFERROR(INDEX(tProdutos[Foco],MATCH(tItens[[#This Row],[Produto]],tProdutos[Produto],0)),"Não")</f>
        <v>Não</v>
      </c>
      <c r="O661" t="str">
        <f>IFERROR(INDEX(tEditais[SRP],MATCH(tItens[[#This Row],[Edital]],tEditais[Edital],0)),"Não")</f>
        <v>Sim</v>
      </c>
      <c r="P661" s="4">
        <f>IF(COUNTIFS(INDEX(tItens[Edital],1):tItens[[#This Row],[Edital]],tItens[[#This Row],[Edital]],INDEX(tItens[Produto],1):tItens[[#This Row],[Produto]],tItens[[#This Row],[Produto]])=1,1,0)</f>
        <v>0</v>
      </c>
    </row>
    <row r="662" spans="1:16" x14ac:dyDescent="0.25">
      <c r="A662" t="s">
        <v>943</v>
      </c>
      <c r="B662">
        <v>10026</v>
      </c>
      <c r="C662" t="s">
        <v>3850</v>
      </c>
      <c r="D662" t="s">
        <v>189</v>
      </c>
      <c r="E662" s="13">
        <v>50</v>
      </c>
      <c r="F662" s="12">
        <v>124.17</v>
      </c>
      <c r="G662" t="str">
        <f>IFERROR(INDEX(tEditais[Órgão],MATCH(tItens[[#This Row],[Edital]],tEditais[Edital],0)),"")</f>
        <v>MUNICIPIO DE SAO GONCALO DOS CAMPOS</v>
      </c>
      <c r="H662" t="str">
        <f>IFERROR(INDEX(tEditais[UF],MATCH(tItens[[#This Row],[Edital]],tEditais[Edital],0)),"")</f>
        <v>BA</v>
      </c>
      <c r="I662" s="11">
        <f>IFERROR(INDEX(tEditais[Encerramento],MATCH(tItens[[#This Row],[Edital]],tEditais[Edital],0)),"")</f>
        <v>46314.333333333336</v>
      </c>
      <c r="J662" t="str">
        <f>IFERROR(INDEX(tProdutos[Classe],MATCH(tItens[[#This Row],[Produto]],tProdutos[Produto],0)),"produto não cadastrado")</f>
        <v>DISPUTADO</v>
      </c>
      <c r="K662" s="12">
        <f>tItens[[#This Row],[Qtd]]*tItens[[#This Row],[Vlr unit]]</f>
        <v>6208.5</v>
      </c>
      <c r="L662" s="6">
        <f>IFERROR(IF(INDEX(tProdutos[Desconto homologado],MATCH(tItens[[#This Row],[Produto]],tProdutos[Produto],0))="",DescontoPadrao,INDEX(tProdutos[Desconto homologado],MATCH(tItens[[#This Row],[Produto]],tProdutos[Produto],0))),DescontoPadrao)</f>
        <v>0.33088052268966101</v>
      </c>
      <c r="M662" s="12">
        <f>tItens[[#This Row],[Valor]]*(1-tItens[[#This Row],[Desconto]])</f>
        <v>4154.2282748812404</v>
      </c>
      <c r="N662" t="str">
        <f>IFERROR(INDEX(tProdutos[Foco],MATCH(tItens[[#This Row],[Produto]],tProdutos[Produto],0)),"Não")</f>
        <v>Não</v>
      </c>
      <c r="O662" t="str">
        <f>IFERROR(INDEX(tEditais[SRP],MATCH(tItens[[#This Row],[Edital]],tEditais[Edital],0)),"Não")</f>
        <v>Sim</v>
      </c>
      <c r="P662" s="4">
        <f>IF(COUNTIFS(INDEX(tItens[Edital],1):tItens[[#This Row],[Edital]],tItens[[#This Row],[Edital]],INDEX(tItens[Produto],1):tItens[[#This Row],[Produto]],tItens[[#This Row],[Produto]])=1,1,0)</f>
        <v>0</v>
      </c>
    </row>
    <row r="663" spans="1:16" x14ac:dyDescent="0.25">
      <c r="A663" t="s">
        <v>943</v>
      </c>
      <c r="B663">
        <v>10027</v>
      </c>
      <c r="C663" t="s">
        <v>3851</v>
      </c>
      <c r="D663" t="s">
        <v>189</v>
      </c>
      <c r="E663" s="13">
        <v>50</v>
      </c>
      <c r="F663" s="12">
        <v>124.17</v>
      </c>
      <c r="G663" t="str">
        <f>IFERROR(INDEX(tEditais[Órgão],MATCH(tItens[[#This Row],[Edital]],tEditais[Edital],0)),"")</f>
        <v>MUNICIPIO DE SAO GONCALO DOS CAMPOS</v>
      </c>
      <c r="H663" t="str">
        <f>IFERROR(INDEX(tEditais[UF],MATCH(tItens[[#This Row],[Edital]],tEditais[Edital],0)),"")</f>
        <v>BA</v>
      </c>
      <c r="I663" s="11">
        <f>IFERROR(INDEX(tEditais[Encerramento],MATCH(tItens[[#This Row],[Edital]],tEditais[Edital],0)),"")</f>
        <v>46314.333333333336</v>
      </c>
      <c r="J663" t="str">
        <f>IFERROR(INDEX(tProdutos[Classe],MATCH(tItens[[#This Row],[Produto]],tProdutos[Produto],0)),"produto não cadastrado")</f>
        <v>DISPUTADO</v>
      </c>
      <c r="K663" s="12">
        <f>tItens[[#This Row],[Qtd]]*tItens[[#This Row],[Vlr unit]]</f>
        <v>6208.5</v>
      </c>
      <c r="L663" s="6">
        <f>IFERROR(IF(INDEX(tProdutos[Desconto homologado],MATCH(tItens[[#This Row],[Produto]],tProdutos[Produto],0))="",DescontoPadrao,INDEX(tProdutos[Desconto homologado],MATCH(tItens[[#This Row],[Produto]],tProdutos[Produto],0))),DescontoPadrao)</f>
        <v>0.33088052268966101</v>
      </c>
      <c r="M663" s="12">
        <f>tItens[[#This Row],[Valor]]*(1-tItens[[#This Row],[Desconto]])</f>
        <v>4154.2282748812404</v>
      </c>
      <c r="N663" t="str">
        <f>IFERROR(INDEX(tProdutos[Foco],MATCH(tItens[[#This Row],[Produto]],tProdutos[Produto],0)),"Não")</f>
        <v>Não</v>
      </c>
      <c r="O663" t="str">
        <f>IFERROR(INDEX(tEditais[SRP],MATCH(tItens[[#This Row],[Edital]],tEditais[Edital],0)),"Não")</f>
        <v>Sim</v>
      </c>
      <c r="P663" s="4">
        <f>IF(COUNTIFS(INDEX(tItens[Edital],1):tItens[[#This Row],[Edital]],tItens[[#This Row],[Edital]],INDEX(tItens[Produto],1):tItens[[#This Row],[Produto]],tItens[[#This Row],[Produto]])=1,1,0)</f>
        <v>0</v>
      </c>
    </row>
    <row r="664" spans="1:16" x14ac:dyDescent="0.25">
      <c r="A664" t="s">
        <v>943</v>
      </c>
      <c r="B664">
        <v>10028</v>
      </c>
      <c r="C664" t="s">
        <v>3852</v>
      </c>
      <c r="D664" t="s">
        <v>189</v>
      </c>
      <c r="E664" s="13">
        <v>50</v>
      </c>
      <c r="F664" s="12">
        <v>124.17</v>
      </c>
      <c r="G664" t="str">
        <f>IFERROR(INDEX(tEditais[Órgão],MATCH(tItens[[#This Row],[Edital]],tEditais[Edital],0)),"")</f>
        <v>MUNICIPIO DE SAO GONCALO DOS CAMPOS</v>
      </c>
      <c r="H664" t="str">
        <f>IFERROR(INDEX(tEditais[UF],MATCH(tItens[[#This Row],[Edital]],tEditais[Edital],0)),"")</f>
        <v>BA</v>
      </c>
      <c r="I664" s="11">
        <f>IFERROR(INDEX(tEditais[Encerramento],MATCH(tItens[[#This Row],[Edital]],tEditais[Edital],0)),"")</f>
        <v>46314.333333333336</v>
      </c>
      <c r="J664" t="str">
        <f>IFERROR(INDEX(tProdutos[Classe],MATCH(tItens[[#This Row],[Produto]],tProdutos[Produto],0)),"produto não cadastrado")</f>
        <v>DISPUTADO</v>
      </c>
      <c r="K664" s="12">
        <f>tItens[[#This Row],[Qtd]]*tItens[[#This Row],[Vlr unit]]</f>
        <v>6208.5</v>
      </c>
      <c r="L664" s="6">
        <f>IFERROR(IF(INDEX(tProdutos[Desconto homologado],MATCH(tItens[[#This Row],[Produto]],tProdutos[Produto],0))="",DescontoPadrao,INDEX(tProdutos[Desconto homologado],MATCH(tItens[[#This Row],[Produto]],tProdutos[Produto],0))),DescontoPadrao)</f>
        <v>0.33088052268966101</v>
      </c>
      <c r="M664" s="12">
        <f>tItens[[#This Row],[Valor]]*(1-tItens[[#This Row],[Desconto]])</f>
        <v>4154.2282748812404</v>
      </c>
      <c r="N664" t="str">
        <f>IFERROR(INDEX(tProdutos[Foco],MATCH(tItens[[#This Row],[Produto]],tProdutos[Produto],0)),"Não")</f>
        <v>Não</v>
      </c>
      <c r="O664" t="str">
        <f>IFERROR(INDEX(tEditais[SRP],MATCH(tItens[[#This Row],[Edital]],tEditais[Edital],0)),"Não")</f>
        <v>Sim</v>
      </c>
      <c r="P664" s="4">
        <f>IF(COUNTIFS(INDEX(tItens[Edital],1):tItens[[#This Row],[Edital]],tItens[[#This Row],[Edital]],INDEX(tItens[Produto],1):tItens[[#This Row],[Produto]],tItens[[#This Row],[Produto]])=1,1,0)</f>
        <v>0</v>
      </c>
    </row>
    <row r="665" spans="1:16" x14ac:dyDescent="0.25">
      <c r="A665" t="s">
        <v>943</v>
      </c>
      <c r="B665">
        <v>10029</v>
      </c>
      <c r="C665" t="s">
        <v>3853</v>
      </c>
      <c r="D665" t="s">
        <v>375</v>
      </c>
      <c r="E665" s="13">
        <v>50</v>
      </c>
      <c r="F665" s="12">
        <v>3.93</v>
      </c>
      <c r="G665" t="str">
        <f>IFERROR(INDEX(tEditais[Órgão],MATCH(tItens[[#This Row],[Edital]],tEditais[Edital],0)),"")</f>
        <v>MUNICIPIO DE SAO GONCALO DOS CAMPOS</v>
      </c>
      <c r="H665" t="str">
        <f>IFERROR(INDEX(tEditais[UF],MATCH(tItens[[#This Row],[Edital]],tEditais[Edital],0)),"")</f>
        <v>BA</v>
      </c>
      <c r="I665" s="11">
        <f>IFERROR(INDEX(tEditais[Encerramento],MATCH(tItens[[#This Row],[Edital]],tEditais[Edital],0)),"")</f>
        <v>46314.333333333336</v>
      </c>
      <c r="J665" t="str">
        <f>IFERROR(INDEX(tProdutos[Classe],MATCH(tItens[[#This Row],[Produto]],tProdutos[Produto],0)),"produto não cadastrado")</f>
        <v>FORA</v>
      </c>
      <c r="K665" s="12">
        <f>tItens[[#This Row],[Qtd]]*tItens[[#This Row],[Vlr unit]]</f>
        <v>196.5</v>
      </c>
      <c r="L665" s="6">
        <f>IFERROR(IF(INDEX(tProdutos[Desconto homologado],MATCH(tItens[[#This Row],[Produto]],tProdutos[Produto],0))="",DescontoPadrao,INDEX(tProdutos[Desconto homologado],MATCH(tItens[[#This Row],[Produto]],tProdutos[Produto],0))),DescontoPadrao)</f>
        <v>0.25005895299481201</v>
      </c>
      <c r="M665" s="12">
        <f>tItens[[#This Row],[Valor]]*(1-tItens[[#This Row],[Desconto]])</f>
        <v>147.36341573651944</v>
      </c>
      <c r="N665" t="str">
        <f>IFERROR(INDEX(tProdutos[Foco],MATCH(tItens[[#This Row],[Produto]],tProdutos[Produto],0)),"Não")</f>
        <v>Não</v>
      </c>
      <c r="O665" t="str">
        <f>IFERROR(INDEX(tEditais[SRP],MATCH(tItens[[#This Row],[Edital]],tEditais[Edital],0)),"Não")</f>
        <v>Sim</v>
      </c>
      <c r="P665" s="4">
        <f>IF(COUNTIFS(INDEX(tItens[Edital],1):tItens[[#This Row],[Edital]],tItens[[#This Row],[Edital]],INDEX(tItens[Produto],1):tItens[[#This Row],[Produto]],tItens[[#This Row],[Produto]])=1,1,0)</f>
        <v>1</v>
      </c>
    </row>
    <row r="666" spans="1:16" x14ac:dyDescent="0.25">
      <c r="A666" t="s">
        <v>943</v>
      </c>
      <c r="B666">
        <v>10030</v>
      </c>
      <c r="C666" t="s">
        <v>3854</v>
      </c>
      <c r="D666" t="s">
        <v>375</v>
      </c>
      <c r="E666" s="13">
        <v>50</v>
      </c>
      <c r="F666" s="12">
        <v>3.93</v>
      </c>
      <c r="G666" t="str">
        <f>IFERROR(INDEX(tEditais[Órgão],MATCH(tItens[[#This Row],[Edital]],tEditais[Edital],0)),"")</f>
        <v>MUNICIPIO DE SAO GONCALO DOS CAMPOS</v>
      </c>
      <c r="H666" t="str">
        <f>IFERROR(INDEX(tEditais[UF],MATCH(tItens[[#This Row],[Edital]],tEditais[Edital],0)),"")</f>
        <v>BA</v>
      </c>
      <c r="I666" s="11">
        <f>IFERROR(INDEX(tEditais[Encerramento],MATCH(tItens[[#This Row],[Edital]],tEditais[Edital],0)),"")</f>
        <v>46314.333333333336</v>
      </c>
      <c r="J666" t="str">
        <f>IFERROR(INDEX(tProdutos[Classe],MATCH(tItens[[#This Row],[Produto]],tProdutos[Produto],0)),"produto não cadastrado")</f>
        <v>FORA</v>
      </c>
      <c r="K666" s="12">
        <f>tItens[[#This Row],[Qtd]]*tItens[[#This Row],[Vlr unit]]</f>
        <v>196.5</v>
      </c>
      <c r="L666" s="6">
        <f>IFERROR(IF(INDEX(tProdutos[Desconto homologado],MATCH(tItens[[#This Row],[Produto]],tProdutos[Produto],0))="",DescontoPadrao,INDEX(tProdutos[Desconto homologado],MATCH(tItens[[#This Row],[Produto]],tProdutos[Produto],0))),DescontoPadrao)</f>
        <v>0.25005895299481201</v>
      </c>
      <c r="M666" s="12">
        <f>tItens[[#This Row],[Valor]]*(1-tItens[[#This Row],[Desconto]])</f>
        <v>147.36341573651944</v>
      </c>
      <c r="N666" t="str">
        <f>IFERROR(INDEX(tProdutos[Foco],MATCH(tItens[[#This Row],[Produto]],tProdutos[Produto],0)),"Não")</f>
        <v>Não</v>
      </c>
      <c r="O666" t="str">
        <f>IFERROR(INDEX(tEditais[SRP],MATCH(tItens[[#This Row],[Edital]],tEditais[Edital],0)),"Não")</f>
        <v>Sim</v>
      </c>
      <c r="P666" s="4">
        <f>IF(COUNTIFS(INDEX(tItens[Edital],1):tItens[[#This Row],[Edital]],tItens[[#This Row],[Edital]],INDEX(tItens[Produto],1):tItens[[#This Row],[Produto]],tItens[[#This Row],[Produto]])=1,1,0)</f>
        <v>0</v>
      </c>
    </row>
    <row r="667" spans="1:16" x14ac:dyDescent="0.25">
      <c r="A667" t="s">
        <v>943</v>
      </c>
      <c r="B667">
        <v>10031</v>
      </c>
      <c r="C667" t="s">
        <v>3855</v>
      </c>
      <c r="D667" t="s">
        <v>375</v>
      </c>
      <c r="E667" s="13">
        <v>50</v>
      </c>
      <c r="F667" s="12">
        <v>3.93</v>
      </c>
      <c r="G667" t="str">
        <f>IFERROR(INDEX(tEditais[Órgão],MATCH(tItens[[#This Row],[Edital]],tEditais[Edital],0)),"")</f>
        <v>MUNICIPIO DE SAO GONCALO DOS CAMPOS</v>
      </c>
      <c r="H667" t="str">
        <f>IFERROR(INDEX(tEditais[UF],MATCH(tItens[[#This Row],[Edital]],tEditais[Edital],0)),"")</f>
        <v>BA</v>
      </c>
      <c r="I667" s="11">
        <f>IFERROR(INDEX(tEditais[Encerramento],MATCH(tItens[[#This Row],[Edital]],tEditais[Edital],0)),"")</f>
        <v>46314.333333333336</v>
      </c>
      <c r="J667" t="str">
        <f>IFERROR(INDEX(tProdutos[Classe],MATCH(tItens[[#This Row],[Produto]],tProdutos[Produto],0)),"produto não cadastrado")</f>
        <v>FORA</v>
      </c>
      <c r="K667" s="12">
        <f>tItens[[#This Row],[Qtd]]*tItens[[#This Row],[Vlr unit]]</f>
        <v>196.5</v>
      </c>
      <c r="L667" s="6">
        <f>IFERROR(IF(INDEX(tProdutos[Desconto homologado],MATCH(tItens[[#This Row],[Produto]],tProdutos[Produto],0))="",DescontoPadrao,INDEX(tProdutos[Desconto homologado],MATCH(tItens[[#This Row],[Produto]],tProdutos[Produto],0))),DescontoPadrao)</f>
        <v>0.25005895299481201</v>
      </c>
      <c r="M667" s="12">
        <f>tItens[[#This Row],[Valor]]*(1-tItens[[#This Row],[Desconto]])</f>
        <v>147.36341573651944</v>
      </c>
      <c r="N667" t="str">
        <f>IFERROR(INDEX(tProdutos[Foco],MATCH(tItens[[#This Row],[Produto]],tProdutos[Produto],0)),"Não")</f>
        <v>Não</v>
      </c>
      <c r="O667" t="str">
        <f>IFERROR(INDEX(tEditais[SRP],MATCH(tItens[[#This Row],[Edital]],tEditais[Edital],0)),"Não")</f>
        <v>Sim</v>
      </c>
      <c r="P667" s="4">
        <f>IF(COUNTIFS(INDEX(tItens[Edital],1):tItens[[#This Row],[Edital]],tItens[[#This Row],[Edital]],INDEX(tItens[Produto],1):tItens[[#This Row],[Produto]],tItens[[#This Row],[Produto]])=1,1,0)</f>
        <v>0</v>
      </c>
    </row>
    <row r="668" spans="1:16" x14ac:dyDescent="0.25">
      <c r="A668" t="s">
        <v>943</v>
      </c>
      <c r="B668">
        <v>10032</v>
      </c>
      <c r="C668" t="s">
        <v>3856</v>
      </c>
      <c r="D668" t="s">
        <v>375</v>
      </c>
      <c r="E668" s="13">
        <v>50</v>
      </c>
      <c r="F668" s="12">
        <v>3.08</v>
      </c>
      <c r="G668" t="str">
        <f>IFERROR(INDEX(tEditais[Órgão],MATCH(tItens[[#This Row],[Edital]],tEditais[Edital],0)),"")</f>
        <v>MUNICIPIO DE SAO GONCALO DOS CAMPOS</v>
      </c>
      <c r="H668" t="str">
        <f>IFERROR(INDEX(tEditais[UF],MATCH(tItens[[#This Row],[Edital]],tEditais[Edital],0)),"")</f>
        <v>BA</v>
      </c>
      <c r="I668" s="11">
        <f>IFERROR(INDEX(tEditais[Encerramento],MATCH(tItens[[#This Row],[Edital]],tEditais[Edital],0)),"")</f>
        <v>46314.333333333336</v>
      </c>
      <c r="J668" t="str">
        <f>IFERROR(INDEX(tProdutos[Classe],MATCH(tItens[[#This Row],[Produto]],tProdutos[Produto],0)),"produto não cadastrado")</f>
        <v>FORA</v>
      </c>
      <c r="K668" s="12">
        <f>tItens[[#This Row],[Qtd]]*tItens[[#This Row],[Vlr unit]]</f>
        <v>154</v>
      </c>
      <c r="L668" s="6">
        <f>IFERROR(IF(INDEX(tProdutos[Desconto homologado],MATCH(tItens[[#This Row],[Produto]],tProdutos[Produto],0))="",DescontoPadrao,INDEX(tProdutos[Desconto homologado],MATCH(tItens[[#This Row],[Produto]],tProdutos[Produto],0))),DescontoPadrao)</f>
        <v>0.25005895299481201</v>
      </c>
      <c r="M668" s="12">
        <f>tItens[[#This Row],[Valor]]*(1-tItens[[#This Row],[Desconto]])</f>
        <v>115.49092123879895</v>
      </c>
      <c r="N668" t="str">
        <f>IFERROR(INDEX(tProdutos[Foco],MATCH(tItens[[#This Row],[Produto]],tProdutos[Produto],0)),"Não")</f>
        <v>Não</v>
      </c>
      <c r="O668" t="str">
        <f>IFERROR(INDEX(tEditais[SRP],MATCH(tItens[[#This Row],[Edital]],tEditais[Edital],0)),"Não")</f>
        <v>Sim</v>
      </c>
      <c r="P668" s="4">
        <f>IF(COUNTIFS(INDEX(tItens[Edital],1):tItens[[#This Row],[Edital]],tItens[[#This Row],[Edital]],INDEX(tItens[Produto],1):tItens[[#This Row],[Produto]],tItens[[#This Row],[Produto]])=1,1,0)</f>
        <v>0</v>
      </c>
    </row>
    <row r="669" spans="1:16" x14ac:dyDescent="0.25">
      <c r="A669" t="s">
        <v>943</v>
      </c>
      <c r="B669">
        <v>10033</v>
      </c>
      <c r="C669" t="s">
        <v>3857</v>
      </c>
      <c r="D669" t="s">
        <v>375</v>
      </c>
      <c r="E669" s="13">
        <v>50</v>
      </c>
      <c r="F669" s="12">
        <v>4.12</v>
      </c>
      <c r="G669" t="str">
        <f>IFERROR(INDEX(tEditais[Órgão],MATCH(tItens[[#This Row],[Edital]],tEditais[Edital],0)),"")</f>
        <v>MUNICIPIO DE SAO GONCALO DOS CAMPOS</v>
      </c>
      <c r="H669" t="str">
        <f>IFERROR(INDEX(tEditais[UF],MATCH(tItens[[#This Row],[Edital]],tEditais[Edital],0)),"")</f>
        <v>BA</v>
      </c>
      <c r="I669" s="11">
        <f>IFERROR(INDEX(tEditais[Encerramento],MATCH(tItens[[#This Row],[Edital]],tEditais[Edital],0)),"")</f>
        <v>46314.333333333336</v>
      </c>
      <c r="J669" t="str">
        <f>IFERROR(INDEX(tProdutos[Classe],MATCH(tItens[[#This Row],[Produto]],tProdutos[Produto],0)),"produto não cadastrado")</f>
        <v>FORA</v>
      </c>
      <c r="K669" s="12">
        <f>tItens[[#This Row],[Qtd]]*tItens[[#This Row],[Vlr unit]]</f>
        <v>206</v>
      </c>
      <c r="L669" s="6">
        <f>IFERROR(IF(INDEX(tProdutos[Desconto homologado],MATCH(tItens[[#This Row],[Produto]],tProdutos[Produto],0))="",DescontoPadrao,INDEX(tProdutos[Desconto homologado],MATCH(tItens[[#This Row],[Produto]],tProdutos[Produto],0))),DescontoPadrao)</f>
        <v>0.25005895299481201</v>
      </c>
      <c r="M669" s="12">
        <f>tItens[[#This Row],[Valor]]*(1-tItens[[#This Row],[Desconto]])</f>
        <v>154.48785568306872</v>
      </c>
      <c r="N669" t="str">
        <f>IFERROR(INDEX(tProdutos[Foco],MATCH(tItens[[#This Row],[Produto]],tProdutos[Produto],0)),"Não")</f>
        <v>Não</v>
      </c>
      <c r="O669" t="str">
        <f>IFERROR(INDEX(tEditais[SRP],MATCH(tItens[[#This Row],[Edital]],tEditais[Edital],0)),"Não")</f>
        <v>Sim</v>
      </c>
      <c r="P669" s="4">
        <f>IF(COUNTIFS(INDEX(tItens[Edital],1):tItens[[#This Row],[Edital]],tItens[[#This Row],[Edital]],INDEX(tItens[Produto],1):tItens[[#This Row],[Produto]],tItens[[#This Row],[Produto]])=1,1,0)</f>
        <v>0</v>
      </c>
    </row>
    <row r="670" spans="1:16" x14ac:dyDescent="0.25">
      <c r="A670" t="s">
        <v>943</v>
      </c>
      <c r="B670">
        <v>10034</v>
      </c>
      <c r="C670" t="s">
        <v>3858</v>
      </c>
      <c r="D670" t="s">
        <v>375</v>
      </c>
      <c r="E670" s="13">
        <v>50</v>
      </c>
      <c r="F670" s="12">
        <v>2.56</v>
      </c>
      <c r="G670" t="str">
        <f>IFERROR(INDEX(tEditais[Órgão],MATCH(tItens[[#This Row],[Edital]],tEditais[Edital],0)),"")</f>
        <v>MUNICIPIO DE SAO GONCALO DOS CAMPOS</v>
      </c>
      <c r="H670" t="str">
        <f>IFERROR(INDEX(tEditais[UF],MATCH(tItens[[#This Row],[Edital]],tEditais[Edital],0)),"")</f>
        <v>BA</v>
      </c>
      <c r="I670" s="11">
        <f>IFERROR(INDEX(tEditais[Encerramento],MATCH(tItens[[#This Row],[Edital]],tEditais[Edital],0)),"")</f>
        <v>46314.333333333336</v>
      </c>
      <c r="J670" t="str">
        <f>IFERROR(INDEX(tProdutos[Classe],MATCH(tItens[[#This Row],[Produto]],tProdutos[Produto],0)),"produto não cadastrado")</f>
        <v>FORA</v>
      </c>
      <c r="K670" s="12">
        <f>tItens[[#This Row],[Qtd]]*tItens[[#This Row],[Vlr unit]]</f>
        <v>128</v>
      </c>
      <c r="L670" s="6">
        <f>IFERROR(IF(INDEX(tProdutos[Desconto homologado],MATCH(tItens[[#This Row],[Produto]],tProdutos[Produto],0))="",DescontoPadrao,INDEX(tProdutos[Desconto homologado],MATCH(tItens[[#This Row],[Produto]],tProdutos[Produto],0))),DescontoPadrao)</f>
        <v>0.25005895299481201</v>
      </c>
      <c r="M670" s="12">
        <f>tItens[[#This Row],[Valor]]*(1-tItens[[#This Row],[Desconto]])</f>
        <v>95.992454016664055</v>
      </c>
      <c r="N670" t="str">
        <f>IFERROR(INDEX(tProdutos[Foco],MATCH(tItens[[#This Row],[Produto]],tProdutos[Produto],0)),"Não")</f>
        <v>Não</v>
      </c>
      <c r="O670" t="str">
        <f>IFERROR(INDEX(tEditais[SRP],MATCH(tItens[[#This Row],[Edital]],tEditais[Edital],0)),"Não")</f>
        <v>Sim</v>
      </c>
      <c r="P670" s="4">
        <f>IF(COUNTIFS(INDEX(tItens[Edital],1):tItens[[#This Row],[Edital]],tItens[[#This Row],[Edital]],INDEX(tItens[Produto],1):tItens[[#This Row],[Produto]],tItens[[#This Row],[Produto]])=1,1,0)</f>
        <v>0</v>
      </c>
    </row>
    <row r="671" spans="1:16" x14ac:dyDescent="0.25">
      <c r="A671" t="s">
        <v>943</v>
      </c>
      <c r="B671">
        <v>10035</v>
      </c>
      <c r="C671" t="s">
        <v>3859</v>
      </c>
      <c r="D671" t="s">
        <v>375</v>
      </c>
      <c r="E671" s="13">
        <v>50</v>
      </c>
      <c r="F671" s="12">
        <v>2.38</v>
      </c>
      <c r="G671" t="str">
        <f>IFERROR(INDEX(tEditais[Órgão],MATCH(tItens[[#This Row],[Edital]],tEditais[Edital],0)),"")</f>
        <v>MUNICIPIO DE SAO GONCALO DOS CAMPOS</v>
      </c>
      <c r="H671" t="str">
        <f>IFERROR(INDEX(tEditais[UF],MATCH(tItens[[#This Row],[Edital]],tEditais[Edital],0)),"")</f>
        <v>BA</v>
      </c>
      <c r="I671" s="11">
        <f>IFERROR(INDEX(tEditais[Encerramento],MATCH(tItens[[#This Row],[Edital]],tEditais[Edital],0)),"")</f>
        <v>46314.333333333336</v>
      </c>
      <c r="J671" t="str">
        <f>IFERROR(INDEX(tProdutos[Classe],MATCH(tItens[[#This Row],[Produto]],tProdutos[Produto],0)),"produto não cadastrado")</f>
        <v>FORA</v>
      </c>
      <c r="K671" s="12">
        <f>tItens[[#This Row],[Qtd]]*tItens[[#This Row],[Vlr unit]]</f>
        <v>119</v>
      </c>
      <c r="L671" s="6">
        <f>IFERROR(IF(INDEX(tProdutos[Desconto homologado],MATCH(tItens[[#This Row],[Produto]],tProdutos[Produto],0))="",DescontoPadrao,INDEX(tProdutos[Desconto homologado],MATCH(tItens[[#This Row],[Produto]],tProdutos[Produto],0))),DescontoPadrao)</f>
        <v>0.25005895299481201</v>
      </c>
      <c r="M671" s="12">
        <f>tItens[[#This Row],[Valor]]*(1-tItens[[#This Row],[Desconto]])</f>
        <v>89.242984593617365</v>
      </c>
      <c r="N671" t="str">
        <f>IFERROR(INDEX(tProdutos[Foco],MATCH(tItens[[#This Row],[Produto]],tProdutos[Produto],0)),"Não")</f>
        <v>Não</v>
      </c>
      <c r="O671" t="str">
        <f>IFERROR(INDEX(tEditais[SRP],MATCH(tItens[[#This Row],[Edital]],tEditais[Edital],0)),"Não")</f>
        <v>Sim</v>
      </c>
      <c r="P671" s="4">
        <f>IF(COUNTIFS(INDEX(tItens[Edital],1):tItens[[#This Row],[Edital]],tItens[[#This Row],[Edital]],INDEX(tItens[Produto],1):tItens[[#This Row],[Produto]],tItens[[#This Row],[Produto]])=1,1,0)</f>
        <v>0</v>
      </c>
    </row>
    <row r="672" spans="1:16" x14ac:dyDescent="0.25">
      <c r="A672" t="s">
        <v>943</v>
      </c>
      <c r="B672">
        <v>10036</v>
      </c>
      <c r="C672" t="s">
        <v>3860</v>
      </c>
      <c r="D672" t="s">
        <v>375</v>
      </c>
      <c r="E672" s="13">
        <v>50</v>
      </c>
      <c r="F672" s="12">
        <v>2.36</v>
      </c>
      <c r="G672" t="str">
        <f>IFERROR(INDEX(tEditais[Órgão],MATCH(tItens[[#This Row],[Edital]],tEditais[Edital],0)),"")</f>
        <v>MUNICIPIO DE SAO GONCALO DOS CAMPOS</v>
      </c>
      <c r="H672" t="str">
        <f>IFERROR(INDEX(tEditais[UF],MATCH(tItens[[#This Row],[Edital]],tEditais[Edital],0)),"")</f>
        <v>BA</v>
      </c>
      <c r="I672" s="11">
        <f>IFERROR(INDEX(tEditais[Encerramento],MATCH(tItens[[#This Row],[Edital]],tEditais[Edital],0)),"")</f>
        <v>46314.333333333336</v>
      </c>
      <c r="J672" t="str">
        <f>IFERROR(INDEX(tProdutos[Classe],MATCH(tItens[[#This Row],[Produto]],tProdutos[Produto],0)),"produto não cadastrado")</f>
        <v>FORA</v>
      </c>
      <c r="K672" s="12">
        <f>tItens[[#This Row],[Qtd]]*tItens[[#This Row],[Vlr unit]]</f>
        <v>118</v>
      </c>
      <c r="L672" s="6">
        <f>IFERROR(IF(INDEX(tProdutos[Desconto homologado],MATCH(tItens[[#This Row],[Produto]],tProdutos[Produto],0))="",DescontoPadrao,INDEX(tProdutos[Desconto homologado],MATCH(tItens[[#This Row],[Produto]],tProdutos[Produto],0))),DescontoPadrao)</f>
        <v>0.25005895299481201</v>
      </c>
      <c r="M672" s="12">
        <f>tItens[[#This Row],[Valor]]*(1-tItens[[#This Row],[Desconto]])</f>
        <v>88.493043546612171</v>
      </c>
      <c r="N672" t="str">
        <f>IFERROR(INDEX(tProdutos[Foco],MATCH(tItens[[#This Row],[Produto]],tProdutos[Produto],0)),"Não")</f>
        <v>Não</v>
      </c>
      <c r="O672" t="str">
        <f>IFERROR(INDEX(tEditais[SRP],MATCH(tItens[[#This Row],[Edital]],tEditais[Edital],0)),"Não")</f>
        <v>Sim</v>
      </c>
      <c r="P672" s="4">
        <f>IF(COUNTIFS(INDEX(tItens[Edital],1):tItens[[#This Row],[Edital]],tItens[[#This Row],[Edital]],INDEX(tItens[Produto],1):tItens[[#This Row],[Produto]],tItens[[#This Row],[Produto]])=1,1,0)</f>
        <v>0</v>
      </c>
    </row>
    <row r="673" spans="1:16" x14ac:dyDescent="0.25">
      <c r="A673" t="s">
        <v>943</v>
      </c>
      <c r="B673">
        <v>10037</v>
      </c>
      <c r="C673" t="s">
        <v>3861</v>
      </c>
      <c r="D673" t="s">
        <v>375</v>
      </c>
      <c r="E673" s="13">
        <v>50</v>
      </c>
      <c r="F673" s="12">
        <v>2.33</v>
      </c>
      <c r="G673" t="str">
        <f>IFERROR(INDEX(tEditais[Órgão],MATCH(tItens[[#This Row],[Edital]],tEditais[Edital],0)),"")</f>
        <v>MUNICIPIO DE SAO GONCALO DOS CAMPOS</v>
      </c>
      <c r="H673" t="str">
        <f>IFERROR(INDEX(tEditais[UF],MATCH(tItens[[#This Row],[Edital]],tEditais[Edital],0)),"")</f>
        <v>BA</v>
      </c>
      <c r="I673" s="11">
        <f>IFERROR(INDEX(tEditais[Encerramento],MATCH(tItens[[#This Row],[Edital]],tEditais[Edital],0)),"")</f>
        <v>46314.333333333336</v>
      </c>
      <c r="J673" t="str">
        <f>IFERROR(INDEX(tProdutos[Classe],MATCH(tItens[[#This Row],[Produto]],tProdutos[Produto],0)),"produto não cadastrado")</f>
        <v>FORA</v>
      </c>
      <c r="K673" s="12">
        <f>tItens[[#This Row],[Qtd]]*tItens[[#This Row],[Vlr unit]]</f>
        <v>116.5</v>
      </c>
      <c r="L673" s="6">
        <f>IFERROR(IF(INDEX(tProdutos[Desconto homologado],MATCH(tItens[[#This Row],[Produto]],tProdutos[Produto],0))="",DescontoPadrao,INDEX(tProdutos[Desconto homologado],MATCH(tItens[[#This Row],[Produto]],tProdutos[Produto],0))),DescontoPadrao)</f>
        <v>0.25005895299481201</v>
      </c>
      <c r="M673" s="12">
        <f>tItens[[#This Row],[Valor]]*(1-tItens[[#This Row],[Desconto]])</f>
        <v>87.368131976104394</v>
      </c>
      <c r="N673" t="str">
        <f>IFERROR(INDEX(tProdutos[Foco],MATCH(tItens[[#This Row],[Produto]],tProdutos[Produto],0)),"Não")</f>
        <v>Não</v>
      </c>
      <c r="O673" t="str">
        <f>IFERROR(INDEX(tEditais[SRP],MATCH(tItens[[#This Row],[Edital]],tEditais[Edital],0)),"Não")</f>
        <v>Sim</v>
      </c>
      <c r="P673" s="4">
        <f>IF(COUNTIFS(INDEX(tItens[Edital],1):tItens[[#This Row],[Edital]],tItens[[#This Row],[Edital]],INDEX(tItens[Produto],1):tItens[[#This Row],[Produto]],tItens[[#This Row],[Produto]])=1,1,0)</f>
        <v>0</v>
      </c>
    </row>
    <row r="674" spans="1:16" x14ac:dyDescent="0.25">
      <c r="A674" t="s">
        <v>943</v>
      </c>
      <c r="B674">
        <v>10038</v>
      </c>
      <c r="C674" t="s">
        <v>3862</v>
      </c>
      <c r="D674" t="s">
        <v>461</v>
      </c>
      <c r="E674" s="13">
        <v>20</v>
      </c>
      <c r="F674" s="12">
        <v>30.73</v>
      </c>
      <c r="G674" t="str">
        <f>IFERROR(INDEX(tEditais[Órgão],MATCH(tItens[[#This Row],[Edital]],tEditais[Edital],0)),"")</f>
        <v>MUNICIPIO DE SAO GONCALO DOS CAMPOS</v>
      </c>
      <c r="H674" t="str">
        <f>IFERROR(INDEX(tEditais[UF],MATCH(tItens[[#This Row],[Edital]],tEditais[Edital],0)),"")</f>
        <v>BA</v>
      </c>
      <c r="I674" s="11">
        <f>IFERROR(INDEX(tEditais[Encerramento],MATCH(tItens[[#This Row],[Edital]],tEditais[Edital],0)),"")</f>
        <v>46314.333333333336</v>
      </c>
      <c r="J674" t="str">
        <f>IFERROR(INDEX(tProdutos[Classe],MATCH(tItens[[#This Row],[Produto]],tProdutos[Produto],0)),"produto não cadastrado")</f>
        <v>FILA REBASE</v>
      </c>
      <c r="K674" s="12">
        <f>tItens[[#This Row],[Qtd]]*tItens[[#This Row],[Vlr unit]]</f>
        <v>614.6</v>
      </c>
      <c r="L674" s="6">
        <f>IFERROR(IF(INDEX(tProdutos[Desconto homologado],MATCH(tItens[[#This Row],[Produto]],tProdutos[Produto],0))="",DescontoPadrao,INDEX(tProdutos[Desconto homologado],MATCH(tItens[[#This Row],[Produto]],tProdutos[Produto],0))),DescontoPadrao)</f>
        <v>0.44096385542168698</v>
      </c>
      <c r="M674" s="12">
        <f>tItens[[#This Row],[Valor]]*(1-tItens[[#This Row],[Desconto]])</f>
        <v>343.58361445783117</v>
      </c>
      <c r="N674" t="str">
        <f>IFERROR(INDEX(tProdutos[Foco],MATCH(tItens[[#This Row],[Produto]],tProdutos[Produto],0)),"Não")</f>
        <v>Não</v>
      </c>
      <c r="O674" t="str">
        <f>IFERROR(INDEX(tEditais[SRP],MATCH(tItens[[#This Row],[Edital]],tEditais[Edital],0)),"Não")</f>
        <v>Sim</v>
      </c>
      <c r="P674" s="4">
        <f>IF(COUNTIFS(INDEX(tItens[Edital],1):tItens[[#This Row],[Edital]],tItens[[#This Row],[Edital]],INDEX(tItens[Produto],1):tItens[[#This Row],[Produto]],tItens[[#This Row],[Produto]])=1,1,0)</f>
        <v>1</v>
      </c>
    </row>
    <row r="675" spans="1:16" x14ac:dyDescent="0.25">
      <c r="A675" t="s">
        <v>943</v>
      </c>
      <c r="B675">
        <v>10039</v>
      </c>
      <c r="C675" t="s">
        <v>3863</v>
      </c>
      <c r="D675" t="s">
        <v>461</v>
      </c>
      <c r="E675" s="13">
        <v>50</v>
      </c>
      <c r="F675" s="12">
        <v>30.73</v>
      </c>
      <c r="G675" t="str">
        <f>IFERROR(INDEX(tEditais[Órgão],MATCH(tItens[[#This Row],[Edital]],tEditais[Edital],0)),"")</f>
        <v>MUNICIPIO DE SAO GONCALO DOS CAMPOS</v>
      </c>
      <c r="H675" t="str">
        <f>IFERROR(INDEX(tEditais[UF],MATCH(tItens[[#This Row],[Edital]],tEditais[Edital],0)),"")</f>
        <v>BA</v>
      </c>
      <c r="I675" s="11">
        <f>IFERROR(INDEX(tEditais[Encerramento],MATCH(tItens[[#This Row],[Edital]],tEditais[Edital],0)),"")</f>
        <v>46314.333333333336</v>
      </c>
      <c r="J675" t="str">
        <f>IFERROR(INDEX(tProdutos[Classe],MATCH(tItens[[#This Row],[Produto]],tProdutos[Produto],0)),"produto não cadastrado")</f>
        <v>FILA REBASE</v>
      </c>
      <c r="K675" s="12">
        <f>tItens[[#This Row],[Qtd]]*tItens[[#This Row],[Vlr unit]]</f>
        <v>1536.5</v>
      </c>
      <c r="L675" s="6">
        <f>IFERROR(IF(INDEX(tProdutos[Desconto homologado],MATCH(tItens[[#This Row],[Produto]],tProdutos[Produto],0))="",DescontoPadrao,INDEX(tProdutos[Desconto homologado],MATCH(tItens[[#This Row],[Produto]],tProdutos[Produto],0))),DescontoPadrao)</f>
        <v>0.44096385542168698</v>
      </c>
      <c r="M675" s="12">
        <f>tItens[[#This Row],[Valor]]*(1-tItens[[#This Row],[Desconto]])</f>
        <v>858.95903614457791</v>
      </c>
      <c r="N675" t="str">
        <f>IFERROR(INDEX(tProdutos[Foco],MATCH(tItens[[#This Row],[Produto]],tProdutos[Produto],0)),"Não")</f>
        <v>Não</v>
      </c>
      <c r="O675" t="str">
        <f>IFERROR(INDEX(tEditais[SRP],MATCH(tItens[[#This Row],[Edital]],tEditais[Edital],0)),"Não")</f>
        <v>Sim</v>
      </c>
      <c r="P675" s="4">
        <f>IF(COUNTIFS(INDEX(tItens[Edital],1):tItens[[#This Row],[Edital]],tItens[[#This Row],[Edital]],INDEX(tItens[Produto],1):tItens[[#This Row],[Produto]],tItens[[#This Row],[Produto]])=1,1,0)</f>
        <v>0</v>
      </c>
    </row>
    <row r="676" spans="1:16" x14ac:dyDescent="0.25">
      <c r="A676" t="s">
        <v>943</v>
      </c>
      <c r="B676">
        <v>10040</v>
      </c>
      <c r="C676" t="s">
        <v>3864</v>
      </c>
      <c r="D676" t="s">
        <v>189</v>
      </c>
      <c r="E676" s="13">
        <v>50</v>
      </c>
      <c r="F676" s="12">
        <v>30.73</v>
      </c>
      <c r="G676" t="str">
        <f>IFERROR(INDEX(tEditais[Órgão],MATCH(tItens[[#This Row],[Edital]],tEditais[Edital],0)),"")</f>
        <v>MUNICIPIO DE SAO GONCALO DOS CAMPOS</v>
      </c>
      <c r="H676" t="str">
        <f>IFERROR(INDEX(tEditais[UF],MATCH(tItens[[#This Row],[Edital]],tEditais[Edital],0)),"")</f>
        <v>BA</v>
      </c>
      <c r="I676" s="11">
        <f>IFERROR(INDEX(tEditais[Encerramento],MATCH(tItens[[#This Row],[Edital]],tEditais[Edital],0)),"")</f>
        <v>46314.333333333336</v>
      </c>
      <c r="J676" t="str">
        <f>IFERROR(INDEX(tProdutos[Classe],MATCH(tItens[[#This Row],[Produto]],tProdutos[Produto],0)),"produto não cadastrado")</f>
        <v>DISPUTADO</v>
      </c>
      <c r="K676" s="12">
        <f>tItens[[#This Row],[Qtd]]*tItens[[#This Row],[Vlr unit]]</f>
        <v>1536.5</v>
      </c>
      <c r="L676" s="6">
        <f>IFERROR(IF(INDEX(tProdutos[Desconto homologado],MATCH(tItens[[#This Row],[Produto]],tProdutos[Produto],0))="",DescontoPadrao,INDEX(tProdutos[Desconto homologado],MATCH(tItens[[#This Row],[Produto]],tProdutos[Produto],0))),DescontoPadrao)</f>
        <v>0.33088052268966101</v>
      </c>
      <c r="M676" s="12">
        <f>tItens[[#This Row],[Valor]]*(1-tItens[[#This Row],[Desconto]])</f>
        <v>1028.1020768873359</v>
      </c>
      <c r="N676" t="str">
        <f>IFERROR(INDEX(tProdutos[Foco],MATCH(tItens[[#This Row],[Produto]],tProdutos[Produto],0)),"Não")</f>
        <v>Não</v>
      </c>
      <c r="O676" t="str">
        <f>IFERROR(INDEX(tEditais[SRP],MATCH(tItens[[#This Row],[Edital]],tEditais[Edital],0)),"Não")</f>
        <v>Sim</v>
      </c>
      <c r="P676" s="4">
        <f>IF(COUNTIFS(INDEX(tItens[Edital],1):tItens[[#This Row],[Edital]],tItens[[#This Row],[Edital]],INDEX(tItens[Produto],1):tItens[[#This Row],[Produto]],tItens[[#This Row],[Produto]])=1,1,0)</f>
        <v>0</v>
      </c>
    </row>
    <row r="677" spans="1:16" x14ac:dyDescent="0.25">
      <c r="A677" t="s">
        <v>943</v>
      </c>
      <c r="B677">
        <v>10041</v>
      </c>
      <c r="C677" t="s">
        <v>3865</v>
      </c>
      <c r="D677" t="s">
        <v>461</v>
      </c>
      <c r="E677" s="13">
        <v>50</v>
      </c>
      <c r="F677" s="12">
        <v>30.73</v>
      </c>
      <c r="G677" t="str">
        <f>IFERROR(INDEX(tEditais[Órgão],MATCH(tItens[[#This Row],[Edital]],tEditais[Edital],0)),"")</f>
        <v>MUNICIPIO DE SAO GONCALO DOS CAMPOS</v>
      </c>
      <c r="H677" t="str">
        <f>IFERROR(INDEX(tEditais[UF],MATCH(tItens[[#This Row],[Edital]],tEditais[Edital],0)),"")</f>
        <v>BA</v>
      </c>
      <c r="I677" s="11">
        <f>IFERROR(INDEX(tEditais[Encerramento],MATCH(tItens[[#This Row],[Edital]],tEditais[Edital],0)),"")</f>
        <v>46314.333333333336</v>
      </c>
      <c r="J677" t="str">
        <f>IFERROR(INDEX(tProdutos[Classe],MATCH(tItens[[#This Row],[Produto]],tProdutos[Produto],0)),"produto não cadastrado")</f>
        <v>FILA REBASE</v>
      </c>
      <c r="K677" s="12">
        <f>tItens[[#This Row],[Qtd]]*tItens[[#This Row],[Vlr unit]]</f>
        <v>1536.5</v>
      </c>
      <c r="L677" s="6">
        <f>IFERROR(IF(INDEX(tProdutos[Desconto homologado],MATCH(tItens[[#This Row],[Produto]],tProdutos[Produto],0))="",DescontoPadrao,INDEX(tProdutos[Desconto homologado],MATCH(tItens[[#This Row],[Produto]],tProdutos[Produto],0))),DescontoPadrao)</f>
        <v>0.44096385542168698</v>
      </c>
      <c r="M677" s="12">
        <f>tItens[[#This Row],[Valor]]*(1-tItens[[#This Row],[Desconto]])</f>
        <v>858.95903614457791</v>
      </c>
      <c r="N677" t="str">
        <f>IFERROR(INDEX(tProdutos[Foco],MATCH(tItens[[#This Row],[Produto]],tProdutos[Produto],0)),"Não")</f>
        <v>Não</v>
      </c>
      <c r="O677" t="str">
        <f>IFERROR(INDEX(tEditais[SRP],MATCH(tItens[[#This Row],[Edital]],tEditais[Edital],0)),"Não")</f>
        <v>Sim</v>
      </c>
      <c r="P677" s="4">
        <f>IF(COUNTIFS(INDEX(tItens[Edital],1):tItens[[#This Row],[Edital]],tItens[[#This Row],[Edital]],INDEX(tItens[Produto],1):tItens[[#This Row],[Produto]],tItens[[#This Row],[Produto]])=1,1,0)</f>
        <v>0</v>
      </c>
    </row>
    <row r="678" spans="1:16" x14ac:dyDescent="0.25">
      <c r="A678" t="s">
        <v>943</v>
      </c>
      <c r="B678">
        <v>10042</v>
      </c>
      <c r="C678" t="s">
        <v>3866</v>
      </c>
      <c r="D678" t="s">
        <v>461</v>
      </c>
      <c r="E678" s="13">
        <v>50</v>
      </c>
      <c r="F678" s="12">
        <v>30.73</v>
      </c>
      <c r="G678" t="str">
        <f>IFERROR(INDEX(tEditais[Órgão],MATCH(tItens[[#This Row],[Edital]],tEditais[Edital],0)),"")</f>
        <v>MUNICIPIO DE SAO GONCALO DOS CAMPOS</v>
      </c>
      <c r="H678" t="str">
        <f>IFERROR(INDEX(tEditais[UF],MATCH(tItens[[#This Row],[Edital]],tEditais[Edital],0)),"")</f>
        <v>BA</v>
      </c>
      <c r="I678" s="11">
        <f>IFERROR(INDEX(tEditais[Encerramento],MATCH(tItens[[#This Row],[Edital]],tEditais[Edital],0)),"")</f>
        <v>46314.333333333336</v>
      </c>
      <c r="J678" t="str">
        <f>IFERROR(INDEX(tProdutos[Classe],MATCH(tItens[[#This Row],[Produto]],tProdutos[Produto],0)),"produto não cadastrado")</f>
        <v>FILA REBASE</v>
      </c>
      <c r="K678" s="12">
        <f>tItens[[#This Row],[Qtd]]*tItens[[#This Row],[Vlr unit]]</f>
        <v>1536.5</v>
      </c>
      <c r="L678" s="6">
        <f>IFERROR(IF(INDEX(tProdutos[Desconto homologado],MATCH(tItens[[#This Row],[Produto]],tProdutos[Produto],0))="",DescontoPadrao,INDEX(tProdutos[Desconto homologado],MATCH(tItens[[#This Row],[Produto]],tProdutos[Produto],0))),DescontoPadrao)</f>
        <v>0.44096385542168698</v>
      </c>
      <c r="M678" s="12">
        <f>tItens[[#This Row],[Valor]]*(1-tItens[[#This Row],[Desconto]])</f>
        <v>858.95903614457791</v>
      </c>
      <c r="N678" t="str">
        <f>IFERROR(INDEX(tProdutos[Foco],MATCH(tItens[[#This Row],[Produto]],tProdutos[Produto],0)),"Não")</f>
        <v>Não</v>
      </c>
      <c r="O678" t="str">
        <f>IFERROR(INDEX(tEditais[SRP],MATCH(tItens[[#This Row],[Edital]],tEditais[Edital],0)),"Não")</f>
        <v>Sim</v>
      </c>
      <c r="P678" s="4">
        <f>IF(COUNTIFS(INDEX(tItens[Edital],1):tItens[[#This Row],[Edital]],tItens[[#This Row],[Edital]],INDEX(tItens[Produto],1):tItens[[#This Row],[Produto]],tItens[[#This Row],[Produto]])=1,1,0)</f>
        <v>0</v>
      </c>
    </row>
    <row r="679" spans="1:16" x14ac:dyDescent="0.25">
      <c r="A679" t="s">
        <v>943</v>
      </c>
      <c r="B679">
        <v>20001</v>
      </c>
      <c r="C679" t="s">
        <v>3867</v>
      </c>
      <c r="D679" t="s">
        <v>345</v>
      </c>
      <c r="E679" s="13">
        <v>7000</v>
      </c>
      <c r="F679" s="12">
        <v>38.93</v>
      </c>
      <c r="G679" t="str">
        <f>IFERROR(INDEX(tEditais[Órgão],MATCH(tItens[[#This Row],[Edital]],tEditais[Edital],0)),"")</f>
        <v>MUNICIPIO DE SAO GONCALO DOS CAMPOS</v>
      </c>
      <c r="H679" t="str">
        <f>IFERROR(INDEX(tEditais[UF],MATCH(tItens[[#This Row],[Edital]],tEditais[Edital],0)),"")</f>
        <v>BA</v>
      </c>
      <c r="I679" s="11">
        <f>IFERROR(INDEX(tEditais[Encerramento],MATCH(tItens[[#This Row],[Edital]],tEditais[Edital],0)),"")</f>
        <v>46314.333333333336</v>
      </c>
      <c r="J679" t="str">
        <f>IFERROR(INDEX(tProdutos[Classe],MATCH(tItens[[#This Row],[Produto]],tProdutos[Produto],0)),"produto não cadastrado")</f>
        <v>FORA</v>
      </c>
      <c r="K679" s="12">
        <f>tItens[[#This Row],[Qtd]]*tItens[[#This Row],[Vlr unit]]</f>
        <v>272510</v>
      </c>
      <c r="L679" s="6">
        <f>IFERROR(IF(INDEX(tProdutos[Desconto homologado],MATCH(tItens[[#This Row],[Produto]],tProdutos[Produto],0))="",DescontoPadrao,INDEX(tProdutos[Desconto homologado],MATCH(tItens[[#This Row],[Produto]],tProdutos[Produto],0))),DescontoPadrao)</f>
        <v>0.412394275616498</v>
      </c>
      <c r="M679" s="12">
        <f>tItens[[#This Row],[Valor]]*(1-tItens[[#This Row],[Desconto]])</f>
        <v>160128.43595174814</v>
      </c>
      <c r="N679" t="str">
        <f>IFERROR(INDEX(tProdutos[Foco],MATCH(tItens[[#This Row],[Produto]],tProdutos[Produto],0)),"Não")</f>
        <v>Não</v>
      </c>
      <c r="O679" t="str">
        <f>IFERROR(INDEX(tEditais[SRP],MATCH(tItens[[#This Row],[Edital]],tEditais[Edital],0)),"Não")</f>
        <v>Sim</v>
      </c>
      <c r="P679" s="4">
        <f>IF(COUNTIFS(INDEX(tItens[Edital],1):tItens[[#This Row],[Edital]],tItens[[#This Row],[Edital]],INDEX(tItens[Produto],1):tItens[[#This Row],[Produto]],tItens[[#This Row],[Produto]])=1,1,0)</f>
        <v>1</v>
      </c>
    </row>
    <row r="680" spans="1:16" x14ac:dyDescent="0.25">
      <c r="A680" t="s">
        <v>943</v>
      </c>
      <c r="B680">
        <v>20002</v>
      </c>
      <c r="C680" t="s">
        <v>3868</v>
      </c>
      <c r="D680" t="s">
        <v>345</v>
      </c>
      <c r="E680" s="13">
        <v>7000</v>
      </c>
      <c r="F680" s="12">
        <v>39.33</v>
      </c>
      <c r="G680" t="str">
        <f>IFERROR(INDEX(tEditais[Órgão],MATCH(tItens[[#This Row],[Edital]],tEditais[Edital],0)),"")</f>
        <v>MUNICIPIO DE SAO GONCALO DOS CAMPOS</v>
      </c>
      <c r="H680" t="str">
        <f>IFERROR(INDEX(tEditais[UF],MATCH(tItens[[#This Row],[Edital]],tEditais[Edital],0)),"")</f>
        <v>BA</v>
      </c>
      <c r="I680" s="11">
        <f>IFERROR(INDEX(tEditais[Encerramento],MATCH(tItens[[#This Row],[Edital]],tEditais[Edital],0)),"")</f>
        <v>46314.333333333336</v>
      </c>
      <c r="J680" t="str">
        <f>IFERROR(INDEX(tProdutos[Classe],MATCH(tItens[[#This Row],[Produto]],tProdutos[Produto],0)),"produto não cadastrado")</f>
        <v>FORA</v>
      </c>
      <c r="K680" s="12">
        <f>tItens[[#This Row],[Qtd]]*tItens[[#This Row],[Vlr unit]]</f>
        <v>275310</v>
      </c>
      <c r="L680" s="6">
        <f>IFERROR(IF(INDEX(tProdutos[Desconto homologado],MATCH(tItens[[#This Row],[Produto]],tProdutos[Produto],0))="",DescontoPadrao,INDEX(tProdutos[Desconto homologado],MATCH(tItens[[#This Row],[Produto]],tProdutos[Produto],0))),DescontoPadrao)</f>
        <v>0.412394275616498</v>
      </c>
      <c r="M680" s="12">
        <f>tItens[[#This Row],[Valor]]*(1-tItens[[#This Row],[Desconto]])</f>
        <v>161773.73198002193</v>
      </c>
      <c r="N680" t="str">
        <f>IFERROR(INDEX(tProdutos[Foco],MATCH(tItens[[#This Row],[Produto]],tProdutos[Produto],0)),"Não")</f>
        <v>Não</v>
      </c>
      <c r="O680" t="str">
        <f>IFERROR(INDEX(tEditais[SRP],MATCH(tItens[[#This Row],[Edital]],tEditais[Edital],0)),"Não")</f>
        <v>Sim</v>
      </c>
      <c r="P680" s="4">
        <f>IF(COUNTIFS(INDEX(tItens[Edital],1):tItens[[#This Row],[Edital]],tItens[[#This Row],[Edital]],INDEX(tItens[Produto],1):tItens[[#This Row],[Produto]],tItens[[#This Row],[Produto]])=1,1,0)</f>
        <v>0</v>
      </c>
    </row>
    <row r="681" spans="1:16" x14ac:dyDescent="0.25">
      <c r="A681" t="s">
        <v>943</v>
      </c>
      <c r="B681">
        <v>20003</v>
      </c>
      <c r="C681" t="s">
        <v>3869</v>
      </c>
      <c r="D681" t="s">
        <v>345</v>
      </c>
      <c r="E681" s="13">
        <v>4000</v>
      </c>
      <c r="F681" s="12">
        <v>23.13</v>
      </c>
      <c r="G681" t="str">
        <f>IFERROR(INDEX(tEditais[Órgão],MATCH(tItens[[#This Row],[Edital]],tEditais[Edital],0)),"")</f>
        <v>MUNICIPIO DE SAO GONCALO DOS CAMPOS</v>
      </c>
      <c r="H681" t="str">
        <f>IFERROR(INDEX(tEditais[UF],MATCH(tItens[[#This Row],[Edital]],tEditais[Edital],0)),"")</f>
        <v>BA</v>
      </c>
      <c r="I681" s="11">
        <f>IFERROR(INDEX(tEditais[Encerramento],MATCH(tItens[[#This Row],[Edital]],tEditais[Edital],0)),"")</f>
        <v>46314.333333333336</v>
      </c>
      <c r="J681" t="str">
        <f>IFERROR(INDEX(tProdutos[Classe],MATCH(tItens[[#This Row],[Produto]],tProdutos[Produto],0)),"produto não cadastrado")</f>
        <v>FORA</v>
      </c>
      <c r="K681" s="12">
        <f>tItens[[#This Row],[Qtd]]*tItens[[#This Row],[Vlr unit]]</f>
        <v>92520</v>
      </c>
      <c r="L681" s="6">
        <f>IFERROR(IF(INDEX(tProdutos[Desconto homologado],MATCH(tItens[[#This Row],[Produto]],tProdutos[Produto],0))="",DescontoPadrao,INDEX(tProdutos[Desconto homologado],MATCH(tItens[[#This Row],[Produto]],tProdutos[Produto],0))),DescontoPadrao)</f>
        <v>0.412394275616498</v>
      </c>
      <c r="M681" s="12">
        <f>tItens[[#This Row],[Valor]]*(1-tItens[[#This Row],[Desconto]])</f>
        <v>54365.281619961606</v>
      </c>
      <c r="N681" t="str">
        <f>IFERROR(INDEX(tProdutos[Foco],MATCH(tItens[[#This Row],[Produto]],tProdutos[Produto],0)),"Não")</f>
        <v>Não</v>
      </c>
      <c r="O681" t="str">
        <f>IFERROR(INDEX(tEditais[SRP],MATCH(tItens[[#This Row],[Edital]],tEditais[Edital],0)),"Não")</f>
        <v>Sim</v>
      </c>
      <c r="P681" s="4">
        <f>IF(COUNTIFS(INDEX(tItens[Edital],1):tItens[[#This Row],[Edital]],tItens[[#This Row],[Edital]],INDEX(tItens[Produto],1):tItens[[#This Row],[Produto]],tItens[[#This Row],[Produto]])=1,1,0)</f>
        <v>0</v>
      </c>
    </row>
    <row r="682" spans="1:16" x14ac:dyDescent="0.25">
      <c r="A682" t="s">
        <v>943</v>
      </c>
      <c r="B682">
        <v>20004</v>
      </c>
      <c r="C682" t="s">
        <v>3870</v>
      </c>
      <c r="D682" t="s">
        <v>339</v>
      </c>
      <c r="E682" s="13">
        <v>2000</v>
      </c>
      <c r="F682" s="12">
        <v>19.64</v>
      </c>
      <c r="G682" t="str">
        <f>IFERROR(INDEX(tEditais[Órgão],MATCH(tItens[[#This Row],[Edital]],tEditais[Edital],0)),"")</f>
        <v>MUNICIPIO DE SAO GONCALO DOS CAMPOS</v>
      </c>
      <c r="H682" t="str">
        <f>IFERROR(INDEX(tEditais[UF],MATCH(tItens[[#This Row],[Edital]],tEditais[Edital],0)),"")</f>
        <v>BA</v>
      </c>
      <c r="I682" s="11">
        <f>IFERROR(INDEX(tEditais[Encerramento],MATCH(tItens[[#This Row],[Edital]],tEditais[Edital],0)),"")</f>
        <v>46314.333333333336</v>
      </c>
      <c r="J682" t="str">
        <f>IFERROR(INDEX(tProdutos[Classe],MATCH(tItens[[#This Row],[Produto]],tProdutos[Produto],0)),"produto não cadastrado")</f>
        <v>FORA</v>
      </c>
      <c r="K682" s="12">
        <f>tItens[[#This Row],[Qtd]]*tItens[[#This Row],[Vlr unit]]</f>
        <v>39280</v>
      </c>
      <c r="L682" s="6">
        <f>IFERROR(IF(INDEX(tProdutos[Desconto homologado],MATCH(tItens[[#This Row],[Produto]],tProdutos[Produto],0))="",DescontoPadrao,INDEX(tProdutos[Desconto homologado],MATCH(tItens[[#This Row],[Produto]],tProdutos[Produto],0))),DescontoPadrao)</f>
        <v>0.35388629091804102</v>
      </c>
      <c r="M682" s="12">
        <f>tItens[[#This Row],[Valor]]*(1-tItens[[#This Row],[Desconto]])</f>
        <v>25379.346492739347</v>
      </c>
      <c r="N682" t="str">
        <f>IFERROR(INDEX(tProdutos[Foco],MATCH(tItens[[#This Row],[Produto]],tProdutos[Produto],0)),"Não")</f>
        <v>Não</v>
      </c>
      <c r="O682" t="str">
        <f>IFERROR(INDEX(tEditais[SRP],MATCH(tItens[[#This Row],[Edital]],tEditais[Edital],0)),"Não")</f>
        <v>Sim</v>
      </c>
      <c r="P682" s="4">
        <f>IF(COUNTIFS(INDEX(tItens[Edital],1):tItens[[#This Row],[Edital]],tItens[[#This Row],[Edital]],INDEX(tItens[Produto],1):tItens[[#This Row],[Produto]],tItens[[#This Row],[Produto]])=1,1,0)</f>
        <v>1</v>
      </c>
    </row>
    <row r="683" spans="1:16" x14ac:dyDescent="0.25">
      <c r="A683" t="s">
        <v>943</v>
      </c>
      <c r="B683">
        <v>20005</v>
      </c>
      <c r="C683" t="s">
        <v>3871</v>
      </c>
      <c r="D683" t="s">
        <v>339</v>
      </c>
      <c r="E683" s="13">
        <v>2000</v>
      </c>
      <c r="F683" s="12">
        <v>26.67</v>
      </c>
      <c r="G683" t="str">
        <f>IFERROR(INDEX(tEditais[Órgão],MATCH(tItens[[#This Row],[Edital]],tEditais[Edital],0)),"")</f>
        <v>MUNICIPIO DE SAO GONCALO DOS CAMPOS</v>
      </c>
      <c r="H683" t="str">
        <f>IFERROR(INDEX(tEditais[UF],MATCH(tItens[[#This Row],[Edital]],tEditais[Edital],0)),"")</f>
        <v>BA</v>
      </c>
      <c r="I683" s="11">
        <f>IFERROR(INDEX(tEditais[Encerramento],MATCH(tItens[[#This Row],[Edital]],tEditais[Edital],0)),"")</f>
        <v>46314.333333333336</v>
      </c>
      <c r="J683" t="str">
        <f>IFERROR(INDEX(tProdutos[Classe],MATCH(tItens[[#This Row],[Produto]],tProdutos[Produto],0)),"produto não cadastrado")</f>
        <v>FORA</v>
      </c>
      <c r="K683" s="12">
        <f>tItens[[#This Row],[Qtd]]*tItens[[#This Row],[Vlr unit]]</f>
        <v>53340</v>
      </c>
      <c r="L683" s="6">
        <f>IFERROR(IF(INDEX(tProdutos[Desconto homologado],MATCH(tItens[[#This Row],[Produto]],tProdutos[Produto],0))="",DescontoPadrao,INDEX(tProdutos[Desconto homologado],MATCH(tItens[[#This Row],[Produto]],tProdutos[Produto],0))),DescontoPadrao)</f>
        <v>0.35388629091804102</v>
      </c>
      <c r="M683" s="12">
        <f>tItens[[#This Row],[Valor]]*(1-tItens[[#This Row],[Desconto]])</f>
        <v>34463.705242431693</v>
      </c>
      <c r="N683" t="str">
        <f>IFERROR(INDEX(tProdutos[Foco],MATCH(tItens[[#This Row],[Produto]],tProdutos[Produto],0)),"Não")</f>
        <v>Não</v>
      </c>
      <c r="O683" t="str">
        <f>IFERROR(INDEX(tEditais[SRP],MATCH(tItens[[#This Row],[Edital]],tEditais[Edital],0)),"Não")</f>
        <v>Sim</v>
      </c>
      <c r="P683" s="4">
        <f>IF(COUNTIFS(INDEX(tItens[Edital],1):tItens[[#This Row],[Edital]],tItens[[#This Row],[Edital]],INDEX(tItens[Produto],1):tItens[[#This Row],[Produto]],tItens[[#This Row],[Produto]])=1,1,0)</f>
        <v>0</v>
      </c>
    </row>
    <row r="684" spans="1:16" x14ac:dyDescent="0.25">
      <c r="A684" t="s">
        <v>943</v>
      </c>
      <c r="B684">
        <v>20006</v>
      </c>
      <c r="C684" t="s">
        <v>3872</v>
      </c>
      <c r="D684" t="s">
        <v>339</v>
      </c>
      <c r="E684" s="13">
        <v>2000</v>
      </c>
      <c r="F684" s="12">
        <v>25.5</v>
      </c>
      <c r="G684" t="str">
        <f>IFERROR(INDEX(tEditais[Órgão],MATCH(tItens[[#This Row],[Edital]],tEditais[Edital],0)),"")</f>
        <v>MUNICIPIO DE SAO GONCALO DOS CAMPOS</v>
      </c>
      <c r="H684" t="str">
        <f>IFERROR(INDEX(tEditais[UF],MATCH(tItens[[#This Row],[Edital]],tEditais[Edital],0)),"")</f>
        <v>BA</v>
      </c>
      <c r="I684" s="11">
        <f>IFERROR(INDEX(tEditais[Encerramento],MATCH(tItens[[#This Row],[Edital]],tEditais[Edital],0)),"")</f>
        <v>46314.333333333336</v>
      </c>
      <c r="J684" t="str">
        <f>IFERROR(INDEX(tProdutos[Classe],MATCH(tItens[[#This Row],[Produto]],tProdutos[Produto],0)),"produto não cadastrado")</f>
        <v>FORA</v>
      </c>
      <c r="K684" s="12">
        <f>tItens[[#This Row],[Qtd]]*tItens[[#This Row],[Vlr unit]]</f>
        <v>51000</v>
      </c>
      <c r="L684" s="6">
        <f>IFERROR(IF(INDEX(tProdutos[Desconto homologado],MATCH(tItens[[#This Row],[Produto]],tProdutos[Produto],0))="",DescontoPadrao,INDEX(tProdutos[Desconto homologado],MATCH(tItens[[#This Row],[Produto]],tProdutos[Produto],0))),DescontoPadrao)</f>
        <v>0.35388629091804102</v>
      </c>
      <c r="M684" s="12">
        <f>tItens[[#This Row],[Valor]]*(1-tItens[[#This Row],[Desconto]])</f>
        <v>32951.799163179909</v>
      </c>
      <c r="N684" t="str">
        <f>IFERROR(INDEX(tProdutos[Foco],MATCH(tItens[[#This Row],[Produto]],tProdutos[Produto],0)),"Não")</f>
        <v>Não</v>
      </c>
      <c r="O684" t="str">
        <f>IFERROR(INDEX(tEditais[SRP],MATCH(tItens[[#This Row],[Edital]],tEditais[Edital],0)),"Não")</f>
        <v>Sim</v>
      </c>
      <c r="P684" s="4">
        <f>IF(COUNTIFS(INDEX(tItens[Edital],1):tItens[[#This Row],[Edital]],tItens[[#This Row],[Edital]],INDEX(tItens[Produto],1):tItens[[#This Row],[Produto]],tItens[[#This Row],[Produto]])=1,1,0)</f>
        <v>0</v>
      </c>
    </row>
    <row r="685" spans="1:16" x14ac:dyDescent="0.25">
      <c r="A685" t="s">
        <v>948</v>
      </c>
      <c r="B685">
        <v>10006</v>
      </c>
      <c r="C685" t="s">
        <v>3873</v>
      </c>
      <c r="D685" t="s">
        <v>638</v>
      </c>
      <c r="E685" s="13">
        <v>25</v>
      </c>
      <c r="F685" s="12">
        <v>208.33</v>
      </c>
      <c r="G685" t="str">
        <f>IFERROR(INDEX(tEditais[Órgão],MATCH(tItens[[#This Row],[Edital]],tEditais[Edital],0)),"")</f>
        <v>ESTADO DA BAHIA</v>
      </c>
      <c r="H685" t="str">
        <f>IFERROR(INDEX(tEditais[UF],MATCH(tItens[[#This Row],[Edital]],tEditais[Edital],0)),"")</f>
        <v>BA</v>
      </c>
      <c r="I685" s="11">
        <f>IFERROR(INDEX(tEditais[Encerramento],MATCH(tItens[[#This Row],[Edital]],tEditais[Edital],0)),"")</f>
        <v>46314.375</v>
      </c>
      <c r="J685" t="str">
        <f>IFERROR(INDEX(tProdutos[Classe],MATCH(tItens[[#This Row],[Produto]],tProdutos[Produto],0)),"produto não cadastrado")</f>
        <v>FILA REBASE</v>
      </c>
      <c r="K685" s="12">
        <f>tItens[[#This Row],[Qtd]]*tItens[[#This Row],[Vlr unit]]</f>
        <v>5208.25</v>
      </c>
      <c r="L685" s="6">
        <f>IFERROR(IF(INDEX(tProdutos[Desconto homologado],MATCH(tItens[[#This Row],[Produto]],tProdutos[Produto],0))="",DescontoPadrao,INDEX(tProdutos[Desconto homologado],MATCH(tItens[[#This Row],[Produto]],tProdutos[Produto],0))),DescontoPadrao)</f>
        <v>0.487179487179487</v>
      </c>
      <c r="M685" s="12">
        <f>tItens[[#This Row],[Valor]]*(1-tItens[[#This Row],[Desconto]])</f>
        <v>2670.8974358974369</v>
      </c>
      <c r="N685" t="str">
        <f>IFERROR(INDEX(tProdutos[Foco],MATCH(tItens[[#This Row],[Produto]],tProdutos[Produto],0)),"Não")</f>
        <v>Não</v>
      </c>
      <c r="O685" t="str">
        <f>IFERROR(INDEX(tEditais[SRP],MATCH(tItens[[#This Row],[Edital]],tEditais[Edital],0)),"Não")</f>
        <v>Não</v>
      </c>
      <c r="P685" s="4">
        <f>IF(COUNTIFS(INDEX(tItens[Edital],1):tItens[[#This Row],[Edital]],tItens[[#This Row],[Edital]],INDEX(tItens[Produto],1):tItens[[#This Row],[Produto]],tItens[[#This Row],[Produto]])=1,1,0)</f>
        <v>1</v>
      </c>
    </row>
    <row r="686" spans="1:16" x14ac:dyDescent="0.25">
      <c r="A686" t="s">
        <v>948</v>
      </c>
      <c r="B686">
        <v>10007</v>
      </c>
      <c r="C686" t="s">
        <v>3874</v>
      </c>
      <c r="D686" t="s">
        <v>638</v>
      </c>
      <c r="E686" s="13">
        <v>60</v>
      </c>
      <c r="F686" s="12">
        <v>124.83</v>
      </c>
      <c r="G686" t="str">
        <f>IFERROR(INDEX(tEditais[Órgão],MATCH(tItens[[#This Row],[Edital]],tEditais[Edital],0)),"")</f>
        <v>ESTADO DA BAHIA</v>
      </c>
      <c r="H686" t="str">
        <f>IFERROR(INDEX(tEditais[UF],MATCH(tItens[[#This Row],[Edital]],tEditais[Edital],0)),"")</f>
        <v>BA</v>
      </c>
      <c r="I686" s="11">
        <f>IFERROR(INDEX(tEditais[Encerramento],MATCH(tItens[[#This Row],[Edital]],tEditais[Edital],0)),"")</f>
        <v>46314.375</v>
      </c>
      <c r="J686" t="str">
        <f>IFERROR(INDEX(tProdutos[Classe],MATCH(tItens[[#This Row],[Produto]],tProdutos[Produto],0)),"produto não cadastrado")</f>
        <v>FILA REBASE</v>
      </c>
      <c r="K686" s="12">
        <f>tItens[[#This Row],[Qtd]]*tItens[[#This Row],[Vlr unit]]</f>
        <v>7489.8</v>
      </c>
      <c r="L686" s="6">
        <f>IFERROR(IF(INDEX(tProdutos[Desconto homologado],MATCH(tItens[[#This Row],[Produto]],tProdutos[Produto],0))="",DescontoPadrao,INDEX(tProdutos[Desconto homologado],MATCH(tItens[[#This Row],[Produto]],tProdutos[Produto],0))),DescontoPadrao)</f>
        <v>0.487179487179487</v>
      </c>
      <c r="M686" s="12">
        <f>tItens[[#This Row],[Valor]]*(1-tItens[[#This Row],[Desconto]])</f>
        <v>3840.9230769230785</v>
      </c>
      <c r="N686" t="str">
        <f>IFERROR(INDEX(tProdutos[Foco],MATCH(tItens[[#This Row],[Produto]],tProdutos[Produto],0)),"Não")</f>
        <v>Não</v>
      </c>
      <c r="O686" t="str">
        <f>IFERROR(INDEX(tEditais[SRP],MATCH(tItens[[#This Row],[Edital]],tEditais[Edital],0)),"Não")</f>
        <v>Não</v>
      </c>
      <c r="P686" s="4">
        <f>IF(COUNTIFS(INDEX(tItens[Edital],1):tItens[[#This Row],[Edital]],tItens[[#This Row],[Edital]],INDEX(tItens[Produto],1):tItens[[#This Row],[Produto]],tItens[[#This Row],[Produto]])=1,1,0)</f>
        <v>0</v>
      </c>
    </row>
    <row r="687" spans="1:16" x14ac:dyDescent="0.25">
      <c r="A687" t="s">
        <v>951</v>
      </c>
      <c r="B687">
        <v>75</v>
      </c>
      <c r="C687" t="s">
        <v>3875</v>
      </c>
      <c r="D687" t="s">
        <v>423</v>
      </c>
      <c r="E687" s="13">
        <v>25</v>
      </c>
      <c r="F687" s="12">
        <v>0</v>
      </c>
      <c r="G687" t="str">
        <f>IFERROR(INDEX(tEditais[Órgão],MATCH(tItens[[#This Row],[Edital]],tEditais[Edital],0)),"")</f>
        <v>EMPRESA BRASILEIRA DE SERVICOS HOSPITALARES - EBSERH</v>
      </c>
      <c r="H687" t="str">
        <f>IFERROR(INDEX(tEditais[UF],MATCH(tItens[[#This Row],[Edital]],tEditais[Edital],0)),"")</f>
        <v>BA</v>
      </c>
      <c r="I687" s="11">
        <f>IFERROR(INDEX(tEditais[Encerramento],MATCH(tItens[[#This Row],[Edital]],tEditais[Edital],0)),"")</f>
        <v>46314.375</v>
      </c>
      <c r="J687" t="str">
        <f>IFERROR(INDEX(tProdutos[Classe],MATCH(tItens[[#This Row],[Produto]],tProdutos[Produto],0)),"produto não cadastrado")</f>
        <v>FORA</v>
      </c>
      <c r="K687" s="12">
        <f>tItens[[#This Row],[Qtd]]*tItens[[#This Row],[Vlr unit]]</f>
        <v>0</v>
      </c>
      <c r="L687" s="6">
        <f>IFERROR(IF(INDEX(tProdutos[Desconto homologado],MATCH(tItens[[#This Row],[Produto]],tProdutos[Produto],0))="",DescontoPadrao,INDEX(tProdutos[Desconto homologado],MATCH(tItens[[#This Row],[Produto]],tProdutos[Produto],0))),DescontoPadrao)</f>
        <v>0.38271604938271597</v>
      </c>
      <c r="M687" s="12">
        <f>tItens[[#This Row],[Valor]]*(1-tItens[[#This Row],[Desconto]])</f>
        <v>0</v>
      </c>
      <c r="N687" t="str">
        <f>IFERROR(INDEX(tProdutos[Foco],MATCH(tItens[[#This Row],[Produto]],tProdutos[Produto],0)),"Não")</f>
        <v>Não</v>
      </c>
      <c r="O687" t="str">
        <f>IFERROR(INDEX(tEditais[SRP],MATCH(tItens[[#This Row],[Edital]],tEditais[Edital],0)),"Não")</f>
        <v>Sim</v>
      </c>
      <c r="P687" s="4">
        <f>IF(COUNTIFS(INDEX(tItens[Edital],1):tItens[[#This Row],[Edital]],tItens[[#This Row],[Edital]],INDEX(tItens[Produto],1):tItens[[#This Row],[Produto]],tItens[[#This Row],[Produto]])=1,1,0)</f>
        <v>1</v>
      </c>
    </row>
    <row r="688" spans="1:16" x14ac:dyDescent="0.25">
      <c r="A688" t="s">
        <v>951</v>
      </c>
      <c r="B688">
        <v>76</v>
      </c>
      <c r="C688" t="s">
        <v>3876</v>
      </c>
      <c r="D688" t="s">
        <v>421</v>
      </c>
      <c r="E688" s="13">
        <v>14</v>
      </c>
      <c r="F688" s="12">
        <v>0</v>
      </c>
      <c r="G688" t="str">
        <f>IFERROR(INDEX(tEditais[Órgão],MATCH(tItens[[#This Row],[Edital]],tEditais[Edital],0)),"")</f>
        <v>EMPRESA BRASILEIRA DE SERVICOS HOSPITALARES - EBSERH</v>
      </c>
      <c r="H688" t="str">
        <f>IFERROR(INDEX(tEditais[UF],MATCH(tItens[[#This Row],[Edital]],tEditais[Edital],0)),"")</f>
        <v>BA</v>
      </c>
      <c r="I688" s="11">
        <f>IFERROR(INDEX(tEditais[Encerramento],MATCH(tItens[[#This Row],[Edital]],tEditais[Edital],0)),"")</f>
        <v>46314.375</v>
      </c>
      <c r="J688" t="str">
        <f>IFERROR(INDEX(tProdutos[Classe],MATCH(tItens[[#This Row],[Produto]],tProdutos[Produto],0)),"produto não cadastrado")</f>
        <v>FORA</v>
      </c>
      <c r="K688" s="12">
        <f>tItens[[#This Row],[Qtd]]*tItens[[#This Row],[Vlr unit]]</f>
        <v>0</v>
      </c>
      <c r="L688" s="6">
        <f>IFERROR(IF(INDEX(tProdutos[Desconto homologado],MATCH(tItens[[#This Row],[Produto]],tProdutos[Produto],0))="",DescontoPadrao,INDEX(tProdutos[Desconto homologado],MATCH(tItens[[#This Row],[Produto]],tProdutos[Produto],0))),DescontoPadrao)</f>
        <v>0.43</v>
      </c>
      <c r="M688" s="12">
        <f>tItens[[#This Row],[Valor]]*(1-tItens[[#This Row],[Desconto]])</f>
        <v>0</v>
      </c>
      <c r="N688" t="str">
        <f>IFERROR(INDEX(tProdutos[Foco],MATCH(tItens[[#This Row],[Produto]],tProdutos[Produto],0)),"Não")</f>
        <v>Sim</v>
      </c>
      <c r="O688" t="str">
        <f>IFERROR(INDEX(tEditais[SRP],MATCH(tItens[[#This Row],[Edital]],tEditais[Edital],0)),"Não")</f>
        <v>Sim</v>
      </c>
      <c r="P688" s="4">
        <f>IF(COUNTIFS(INDEX(tItens[Edital],1):tItens[[#This Row],[Edital]],tItens[[#This Row],[Edital]],INDEX(tItens[Produto],1):tItens[[#This Row],[Produto]],tItens[[#This Row],[Produto]])=1,1,0)</f>
        <v>1</v>
      </c>
    </row>
    <row r="689" spans="1:16" x14ac:dyDescent="0.25">
      <c r="A689" t="s">
        <v>951</v>
      </c>
      <c r="B689">
        <v>85</v>
      </c>
      <c r="C689" t="s">
        <v>3877</v>
      </c>
      <c r="D689" t="s">
        <v>539</v>
      </c>
      <c r="E689" s="13">
        <v>8</v>
      </c>
      <c r="F689" s="12">
        <v>0</v>
      </c>
      <c r="G689" t="str">
        <f>IFERROR(INDEX(tEditais[Órgão],MATCH(tItens[[#This Row],[Edital]],tEditais[Edital],0)),"")</f>
        <v>EMPRESA BRASILEIRA DE SERVICOS HOSPITALARES - EBSERH</v>
      </c>
      <c r="H689" t="str">
        <f>IFERROR(INDEX(tEditais[UF],MATCH(tItens[[#This Row],[Edital]],tEditais[Edital],0)),"")</f>
        <v>BA</v>
      </c>
      <c r="I689" s="11">
        <f>IFERROR(INDEX(tEditais[Encerramento],MATCH(tItens[[#This Row],[Edital]],tEditais[Edital],0)),"")</f>
        <v>46314.375</v>
      </c>
      <c r="J689" t="str">
        <f>IFERROR(INDEX(tProdutos[Classe],MATCH(tItens[[#This Row],[Produto]],tProdutos[Produto],0)),"produto não cadastrado")</f>
        <v>FILA REBASE</v>
      </c>
      <c r="K689" s="12">
        <f>tItens[[#This Row],[Qtd]]*tItens[[#This Row],[Vlr unit]]</f>
        <v>0</v>
      </c>
      <c r="L689" s="6">
        <f>IFERROR(IF(INDEX(tProdutos[Desconto homologado],MATCH(tItens[[#This Row],[Produto]],tProdutos[Produto],0))="",DescontoPadrao,INDEX(tProdutos[Desconto homologado],MATCH(tItens[[#This Row],[Produto]],tProdutos[Produto],0))),DescontoPadrao)</f>
        <v>0.19082632767309299</v>
      </c>
      <c r="M689" s="12">
        <f>tItens[[#This Row],[Valor]]*(1-tItens[[#This Row],[Desconto]])</f>
        <v>0</v>
      </c>
      <c r="N689" t="str">
        <f>IFERROR(INDEX(tProdutos[Foco],MATCH(tItens[[#This Row],[Produto]],tProdutos[Produto],0)),"Não")</f>
        <v>Não</v>
      </c>
      <c r="O689" t="str">
        <f>IFERROR(INDEX(tEditais[SRP],MATCH(tItens[[#This Row],[Edital]],tEditais[Edital],0)),"Não")</f>
        <v>Sim</v>
      </c>
      <c r="P689" s="4">
        <f>IF(COUNTIFS(INDEX(tItens[Edital],1):tItens[[#This Row],[Edital]],tItens[[#This Row],[Edital]],INDEX(tItens[Produto],1):tItens[[#This Row],[Produto]],tItens[[#This Row],[Produto]])=1,1,0)</f>
        <v>1</v>
      </c>
    </row>
    <row r="690" spans="1:16" x14ac:dyDescent="0.25">
      <c r="A690" t="s">
        <v>951</v>
      </c>
      <c r="B690">
        <v>87</v>
      </c>
      <c r="C690" t="s">
        <v>3878</v>
      </c>
      <c r="D690" t="s">
        <v>521</v>
      </c>
      <c r="E690" s="13">
        <v>6</v>
      </c>
      <c r="F690" s="12">
        <v>0</v>
      </c>
      <c r="G690" t="str">
        <f>IFERROR(INDEX(tEditais[Órgão],MATCH(tItens[[#This Row],[Edital]],tEditais[Edital],0)),"")</f>
        <v>EMPRESA BRASILEIRA DE SERVICOS HOSPITALARES - EBSERH</v>
      </c>
      <c r="H690" t="str">
        <f>IFERROR(INDEX(tEditais[UF],MATCH(tItens[[#This Row],[Edital]],tEditais[Edital],0)),"")</f>
        <v>BA</v>
      </c>
      <c r="I690" s="11">
        <f>IFERROR(INDEX(tEditais[Encerramento],MATCH(tItens[[#This Row],[Edital]],tEditais[Edital],0)),"")</f>
        <v>46314.375</v>
      </c>
      <c r="J690" t="str">
        <f>IFERROR(INDEX(tProdutos[Classe],MATCH(tItens[[#This Row],[Produto]],tProdutos[Produto],0)),"produto não cadastrado")</f>
        <v>FILA REBASE</v>
      </c>
      <c r="K690" s="12">
        <f>tItens[[#This Row],[Qtd]]*tItens[[#This Row],[Vlr unit]]</f>
        <v>0</v>
      </c>
      <c r="L690" s="6">
        <f>IFERROR(IF(INDEX(tProdutos[Desconto homologado],MATCH(tItens[[#This Row],[Produto]],tProdutos[Produto],0))="",DescontoPadrao,INDEX(tProdutos[Desconto homologado],MATCH(tItens[[#This Row],[Produto]],tProdutos[Produto],0))),DescontoPadrao)</f>
        <v>0.20254361398888801</v>
      </c>
      <c r="M690" s="12">
        <f>tItens[[#This Row],[Valor]]*(1-tItens[[#This Row],[Desconto]])</f>
        <v>0</v>
      </c>
      <c r="N690" t="str">
        <f>IFERROR(INDEX(tProdutos[Foco],MATCH(tItens[[#This Row],[Produto]],tProdutos[Produto],0)),"Não")</f>
        <v>Não</v>
      </c>
      <c r="O690" t="str">
        <f>IFERROR(INDEX(tEditais[SRP],MATCH(tItens[[#This Row],[Edital]],tEditais[Edital],0)),"Não")</f>
        <v>Sim</v>
      </c>
      <c r="P690" s="4">
        <f>IF(COUNTIFS(INDEX(tItens[Edital],1):tItens[[#This Row],[Edital]],tItens[[#This Row],[Edital]],INDEX(tItens[Produto],1):tItens[[#This Row],[Produto]],tItens[[#This Row],[Produto]])=1,1,0)</f>
        <v>1</v>
      </c>
    </row>
    <row r="691" spans="1:16" x14ac:dyDescent="0.25">
      <c r="A691" t="s">
        <v>954</v>
      </c>
      <c r="B691">
        <v>1072145</v>
      </c>
      <c r="C691" t="s">
        <v>3879</v>
      </c>
      <c r="D691" t="s">
        <v>638</v>
      </c>
      <c r="E691" s="13">
        <v>25</v>
      </c>
      <c r="F691" s="12">
        <v>208.33</v>
      </c>
      <c r="G691" t="str">
        <f>IFERROR(INDEX(tEditais[Órgão],MATCH(tItens[[#This Row],[Edital]],tEditais[Edital],0)),"")</f>
        <v>FUNDO ESTADUAL DE SAUDE DO ESTADO DA BAHIA</v>
      </c>
      <c r="H691" t="str">
        <f>IFERROR(INDEX(tEditais[UF],MATCH(tItens[[#This Row],[Edital]],tEditais[Edital],0)),"")</f>
        <v>BA</v>
      </c>
      <c r="I691" s="11">
        <f>IFERROR(INDEX(tEditais[Encerramento],MATCH(tItens[[#This Row],[Edital]],tEditais[Edital],0)),"")</f>
        <v>46314.375</v>
      </c>
      <c r="J691" t="str">
        <f>IFERROR(INDEX(tProdutos[Classe],MATCH(tItens[[#This Row],[Produto]],tProdutos[Produto],0)),"produto não cadastrado")</f>
        <v>FILA REBASE</v>
      </c>
      <c r="K691" s="12">
        <f>tItens[[#This Row],[Qtd]]*tItens[[#This Row],[Vlr unit]]</f>
        <v>5208.25</v>
      </c>
      <c r="L691" s="6">
        <f>IFERROR(IF(INDEX(tProdutos[Desconto homologado],MATCH(tItens[[#This Row],[Produto]],tProdutos[Produto],0))="",DescontoPadrao,INDEX(tProdutos[Desconto homologado],MATCH(tItens[[#This Row],[Produto]],tProdutos[Produto],0))),DescontoPadrao)</f>
        <v>0.487179487179487</v>
      </c>
      <c r="M691" s="12">
        <f>tItens[[#This Row],[Valor]]*(1-tItens[[#This Row],[Desconto]])</f>
        <v>2670.8974358974369</v>
      </c>
      <c r="N691" t="str">
        <f>IFERROR(INDEX(tProdutos[Foco],MATCH(tItens[[#This Row],[Produto]],tProdutos[Produto],0)),"Não")</f>
        <v>Não</v>
      </c>
      <c r="O691" t="str">
        <f>IFERROR(INDEX(tEditais[SRP],MATCH(tItens[[#This Row],[Edital]],tEditais[Edital],0)),"Não")</f>
        <v>Não</v>
      </c>
      <c r="P691" s="4">
        <f>IF(COUNTIFS(INDEX(tItens[Edital],1):tItens[[#This Row],[Edital]],tItens[[#This Row],[Edital]],INDEX(tItens[Produto],1):tItens[[#This Row],[Produto]],tItens[[#This Row],[Produto]])=1,1,0)</f>
        <v>1</v>
      </c>
    </row>
    <row r="692" spans="1:16" x14ac:dyDescent="0.25">
      <c r="A692" t="s">
        <v>954</v>
      </c>
      <c r="B692">
        <v>1072196</v>
      </c>
      <c r="C692" t="s">
        <v>3880</v>
      </c>
      <c r="D692" t="s">
        <v>638</v>
      </c>
      <c r="E692" s="13">
        <v>60</v>
      </c>
      <c r="F692" s="12">
        <v>124.83</v>
      </c>
      <c r="G692" t="str">
        <f>IFERROR(INDEX(tEditais[Órgão],MATCH(tItens[[#This Row],[Edital]],tEditais[Edital],0)),"")</f>
        <v>FUNDO ESTADUAL DE SAUDE DO ESTADO DA BAHIA</v>
      </c>
      <c r="H692" t="str">
        <f>IFERROR(INDEX(tEditais[UF],MATCH(tItens[[#This Row],[Edital]],tEditais[Edital],0)),"")</f>
        <v>BA</v>
      </c>
      <c r="I692" s="11">
        <f>IFERROR(INDEX(tEditais[Encerramento],MATCH(tItens[[#This Row],[Edital]],tEditais[Edital],0)),"")</f>
        <v>46314.375</v>
      </c>
      <c r="J692" t="str">
        <f>IFERROR(INDEX(tProdutos[Classe],MATCH(tItens[[#This Row],[Produto]],tProdutos[Produto],0)),"produto não cadastrado")</f>
        <v>FILA REBASE</v>
      </c>
      <c r="K692" s="12">
        <f>tItens[[#This Row],[Qtd]]*tItens[[#This Row],[Vlr unit]]</f>
        <v>7489.8</v>
      </c>
      <c r="L692" s="6">
        <f>IFERROR(IF(INDEX(tProdutos[Desconto homologado],MATCH(tItens[[#This Row],[Produto]],tProdutos[Produto],0))="",DescontoPadrao,INDEX(tProdutos[Desconto homologado],MATCH(tItens[[#This Row],[Produto]],tProdutos[Produto],0))),DescontoPadrao)</f>
        <v>0.487179487179487</v>
      </c>
      <c r="M692" s="12">
        <f>tItens[[#This Row],[Valor]]*(1-tItens[[#This Row],[Desconto]])</f>
        <v>3840.9230769230785</v>
      </c>
      <c r="N692" t="str">
        <f>IFERROR(INDEX(tProdutos[Foco],MATCH(tItens[[#This Row],[Produto]],tProdutos[Produto],0)),"Não")</f>
        <v>Não</v>
      </c>
      <c r="O692" t="str">
        <f>IFERROR(INDEX(tEditais[SRP],MATCH(tItens[[#This Row],[Edital]],tEditais[Edital],0)),"Não")</f>
        <v>Não</v>
      </c>
      <c r="P692" s="4">
        <f>IF(COUNTIFS(INDEX(tItens[Edital],1):tItens[[#This Row],[Edital]],tItens[[#This Row],[Edital]],INDEX(tItens[Produto],1):tItens[[#This Row],[Produto]],tItens[[#This Row],[Produto]])=1,1,0)</f>
        <v>0</v>
      </c>
    </row>
    <row r="693" spans="1:16" x14ac:dyDescent="0.25">
      <c r="A693" t="s">
        <v>955</v>
      </c>
      <c r="B693">
        <v>9</v>
      </c>
      <c r="C693" t="s">
        <v>3881</v>
      </c>
      <c r="D693" t="s">
        <v>411</v>
      </c>
      <c r="E693" s="13">
        <v>2700</v>
      </c>
      <c r="F693" s="12">
        <v>0</v>
      </c>
      <c r="G693" t="str">
        <f>IFERROR(INDEX(tEditais[Órgão],MATCH(tItens[[#This Row],[Edital]],tEditais[Edital],0)),"")</f>
        <v>EMPRESA BRASILEIRA DE SERVICOS HOSPITALARES - EBSERH</v>
      </c>
      <c r="H693" t="str">
        <f>IFERROR(INDEX(tEditais[UF],MATCH(tItens[[#This Row],[Edital]],tEditais[Edital],0)),"")</f>
        <v>BA</v>
      </c>
      <c r="I693" s="11">
        <f>IFERROR(INDEX(tEditais[Encerramento],MATCH(tItens[[#This Row],[Edital]],tEditais[Edital],0)),"")</f>
        <v>46314.375</v>
      </c>
      <c r="J693" t="str">
        <f>IFERROR(INDEX(tProdutos[Classe],MATCH(tItens[[#This Row],[Produto]],tProdutos[Produto],0)),"produto não cadastrado")</f>
        <v>FORA</v>
      </c>
      <c r="K693" s="12">
        <f>tItens[[#This Row],[Qtd]]*tItens[[#This Row],[Vlr unit]]</f>
        <v>0</v>
      </c>
      <c r="L693" s="6">
        <f>IFERROR(IF(INDEX(tProdutos[Desconto homologado],MATCH(tItens[[#This Row],[Produto]],tProdutos[Produto],0))="",DescontoPadrao,INDEX(tProdutos[Desconto homologado],MATCH(tItens[[#This Row],[Produto]],tProdutos[Produto],0))),DescontoPadrao)</f>
        <v>0.50029835957199398</v>
      </c>
      <c r="M693" s="12">
        <f>tItens[[#This Row],[Valor]]*(1-tItens[[#This Row],[Desconto]])</f>
        <v>0</v>
      </c>
      <c r="N693" t="str">
        <f>IFERROR(INDEX(tProdutos[Foco],MATCH(tItens[[#This Row],[Produto]],tProdutos[Produto],0)),"Não")</f>
        <v>Não</v>
      </c>
      <c r="O693" t="str">
        <f>IFERROR(INDEX(tEditais[SRP],MATCH(tItens[[#This Row],[Edital]],tEditais[Edital],0)),"Não")</f>
        <v>Sim</v>
      </c>
      <c r="P693" s="4">
        <f>IF(COUNTIFS(INDEX(tItens[Edital],1):tItens[[#This Row],[Edital]],tItens[[#This Row],[Edital]],INDEX(tItens[Produto],1):tItens[[#This Row],[Produto]],tItens[[#This Row],[Produto]])=1,1,0)</f>
        <v>1</v>
      </c>
    </row>
    <row r="694" spans="1:16" x14ac:dyDescent="0.25">
      <c r="A694" t="s">
        <v>958</v>
      </c>
      <c r="B694">
        <v>1287915</v>
      </c>
      <c r="C694" t="s">
        <v>3882</v>
      </c>
      <c r="D694" t="s">
        <v>566</v>
      </c>
      <c r="E694" s="13">
        <v>470</v>
      </c>
      <c r="F694" s="12">
        <v>21.18</v>
      </c>
      <c r="G694" t="str">
        <f>IFERROR(INDEX(tEditais[Órgão],MATCH(tItens[[#This Row],[Edital]],tEditais[Edital],0)),"")</f>
        <v>FUNDO ESTADUAL DE SAUDE DO ESTADO DA BAHIA</v>
      </c>
      <c r="H694" t="str">
        <f>IFERROR(INDEX(tEditais[UF],MATCH(tItens[[#This Row],[Edital]],tEditais[Edital],0)),"")</f>
        <v>BA</v>
      </c>
      <c r="I694" s="11">
        <f>IFERROR(INDEX(tEditais[Encerramento],MATCH(tItens[[#This Row],[Edital]],tEditais[Edital],0)),"")</f>
        <v>46314.416666666664</v>
      </c>
      <c r="J694" t="str">
        <f>IFERROR(INDEX(tProdutos[Classe],MATCH(tItens[[#This Row],[Produto]],tProdutos[Produto],0)),"produto não cadastrado")</f>
        <v>FILA REBASE</v>
      </c>
      <c r="K694" s="12">
        <f>tItens[[#This Row],[Qtd]]*tItens[[#This Row],[Vlr unit]]</f>
        <v>9954.6</v>
      </c>
      <c r="L694" s="6">
        <f>IFERROR(IF(INDEX(tProdutos[Desconto homologado],MATCH(tItens[[#This Row],[Produto]],tProdutos[Produto],0))="",DescontoPadrao,INDEX(tProdutos[Desconto homologado],MATCH(tItens[[#This Row],[Produto]],tProdutos[Produto],0))),DescontoPadrao)</f>
        <v>0.1816062551698</v>
      </c>
      <c r="M694" s="12">
        <f>tItens[[#This Row],[Valor]]*(1-tItens[[#This Row],[Desconto]])</f>
        <v>8146.7823722867088</v>
      </c>
      <c r="N694" t="str">
        <f>IFERROR(INDEX(tProdutos[Foco],MATCH(tItens[[#This Row],[Produto]],tProdutos[Produto],0)),"Não")</f>
        <v>Não</v>
      </c>
      <c r="O694" t="str">
        <f>IFERROR(INDEX(tEditais[SRP],MATCH(tItens[[#This Row],[Edital]],tEditais[Edital],0)),"Não")</f>
        <v>Não</v>
      </c>
      <c r="P694" s="4">
        <f>IF(COUNTIFS(INDEX(tItens[Edital],1):tItens[[#This Row],[Edital]],tItens[[#This Row],[Edital]],INDEX(tItens[Produto],1):tItens[[#This Row],[Produto]],tItens[[#This Row],[Produto]])=1,1,0)</f>
        <v>1</v>
      </c>
    </row>
    <row r="695" spans="1:16" x14ac:dyDescent="0.25">
      <c r="A695" t="s">
        <v>958</v>
      </c>
      <c r="B695">
        <v>12633661</v>
      </c>
      <c r="C695" t="s">
        <v>3816</v>
      </c>
      <c r="D695" t="s">
        <v>363</v>
      </c>
      <c r="E695" s="13">
        <v>3575</v>
      </c>
      <c r="F695" s="12">
        <v>5.9</v>
      </c>
      <c r="G695" t="str">
        <f>IFERROR(INDEX(tEditais[Órgão],MATCH(tItens[[#This Row],[Edital]],tEditais[Edital],0)),"")</f>
        <v>FUNDO ESTADUAL DE SAUDE DO ESTADO DA BAHIA</v>
      </c>
      <c r="H695" t="str">
        <f>IFERROR(INDEX(tEditais[UF],MATCH(tItens[[#This Row],[Edital]],tEditais[Edital],0)),"")</f>
        <v>BA</v>
      </c>
      <c r="I695" s="11">
        <f>IFERROR(INDEX(tEditais[Encerramento],MATCH(tItens[[#This Row],[Edital]],tEditais[Edital],0)),"")</f>
        <v>46314.416666666664</v>
      </c>
      <c r="J695" t="str">
        <f>IFERROR(INDEX(tProdutos[Classe],MATCH(tItens[[#This Row],[Produto]],tProdutos[Produto],0)),"produto não cadastrado")</f>
        <v>FORA</v>
      </c>
      <c r="K695" s="12">
        <f>tItens[[#This Row],[Qtd]]*tItens[[#This Row],[Vlr unit]]</f>
        <v>21092.5</v>
      </c>
      <c r="L695" s="6">
        <f>IFERROR(IF(INDEX(tProdutos[Desconto homologado],MATCH(tItens[[#This Row],[Produto]],tProdutos[Produto],0))="",DescontoPadrao,INDEX(tProdutos[Desconto homologado],MATCH(tItens[[#This Row],[Produto]],tProdutos[Produto],0))),DescontoPadrao)</f>
        <v>0.36454545454545501</v>
      </c>
      <c r="M695" s="12">
        <f>tItens[[#This Row],[Valor]]*(1-tItens[[#This Row],[Desconto]])</f>
        <v>13403.324999999992</v>
      </c>
      <c r="N695" t="str">
        <f>IFERROR(INDEX(tProdutos[Foco],MATCH(tItens[[#This Row],[Produto]],tProdutos[Produto],0)),"Não")</f>
        <v>Não</v>
      </c>
      <c r="O695" t="str">
        <f>IFERROR(INDEX(tEditais[SRP],MATCH(tItens[[#This Row],[Edital]],tEditais[Edital],0)),"Não")</f>
        <v>Não</v>
      </c>
      <c r="P695" s="4">
        <f>IF(COUNTIFS(INDEX(tItens[Edital],1):tItens[[#This Row],[Edital]],tItens[[#This Row],[Edital]],INDEX(tItens[Produto],1):tItens[[#This Row],[Produto]],tItens[[#This Row],[Produto]])=1,1,0)</f>
        <v>1</v>
      </c>
    </row>
    <row r="696" spans="1:16" x14ac:dyDescent="0.25">
      <c r="A696" t="s">
        <v>958</v>
      </c>
      <c r="B696">
        <v>12633662</v>
      </c>
      <c r="C696" t="s">
        <v>3816</v>
      </c>
      <c r="D696" t="s">
        <v>363</v>
      </c>
      <c r="E696" s="13">
        <v>10725</v>
      </c>
      <c r="F696" s="12">
        <v>5.9</v>
      </c>
      <c r="G696" t="str">
        <f>IFERROR(INDEX(tEditais[Órgão],MATCH(tItens[[#This Row],[Edital]],tEditais[Edital],0)),"")</f>
        <v>FUNDO ESTADUAL DE SAUDE DO ESTADO DA BAHIA</v>
      </c>
      <c r="H696" t="str">
        <f>IFERROR(INDEX(tEditais[UF],MATCH(tItens[[#This Row],[Edital]],tEditais[Edital],0)),"")</f>
        <v>BA</v>
      </c>
      <c r="I696" s="11">
        <f>IFERROR(INDEX(tEditais[Encerramento],MATCH(tItens[[#This Row],[Edital]],tEditais[Edital],0)),"")</f>
        <v>46314.416666666664</v>
      </c>
      <c r="J696" t="str">
        <f>IFERROR(INDEX(tProdutos[Classe],MATCH(tItens[[#This Row],[Produto]],tProdutos[Produto],0)),"produto não cadastrado")</f>
        <v>FORA</v>
      </c>
      <c r="K696" s="12">
        <f>tItens[[#This Row],[Qtd]]*tItens[[#This Row],[Vlr unit]]</f>
        <v>63277.500000000007</v>
      </c>
      <c r="L696" s="6">
        <f>IFERROR(IF(INDEX(tProdutos[Desconto homologado],MATCH(tItens[[#This Row],[Produto]],tProdutos[Produto],0))="",DescontoPadrao,INDEX(tProdutos[Desconto homologado],MATCH(tItens[[#This Row],[Produto]],tProdutos[Produto],0))),DescontoPadrao)</f>
        <v>0.36454545454545501</v>
      </c>
      <c r="M696" s="12">
        <f>tItens[[#This Row],[Valor]]*(1-tItens[[#This Row],[Desconto]])</f>
        <v>40209.974999999977</v>
      </c>
      <c r="N696" t="str">
        <f>IFERROR(INDEX(tProdutos[Foco],MATCH(tItens[[#This Row],[Produto]],tProdutos[Produto],0)),"Não")</f>
        <v>Não</v>
      </c>
      <c r="O696" t="str">
        <f>IFERROR(INDEX(tEditais[SRP],MATCH(tItens[[#This Row],[Edital]],tEditais[Edital],0)),"Não")</f>
        <v>Não</v>
      </c>
      <c r="P696" s="4">
        <f>IF(COUNTIFS(INDEX(tItens[Edital],1):tItens[[#This Row],[Edital]],tItens[[#This Row],[Edital]],INDEX(tItens[Produto],1):tItens[[#This Row],[Produto]],tItens[[#This Row],[Produto]])=1,1,0)</f>
        <v>0</v>
      </c>
    </row>
    <row r="697" spans="1:16" x14ac:dyDescent="0.25">
      <c r="A697" t="s">
        <v>959</v>
      </c>
      <c r="B697">
        <v>1109618</v>
      </c>
      <c r="C697" t="s">
        <v>3883</v>
      </c>
      <c r="D697" t="s">
        <v>56</v>
      </c>
      <c r="E697" s="13">
        <v>98020</v>
      </c>
      <c r="F697" s="12">
        <v>0.35</v>
      </c>
      <c r="G697" t="str">
        <f>IFERROR(INDEX(tEditais[Órgão],MATCH(tItens[[#This Row],[Edital]],tEditais[Edital],0)),"")</f>
        <v>FUNDO ESTADUAL DE SAUDE DO ESTADO DA BAHIA</v>
      </c>
      <c r="H697" t="str">
        <f>IFERROR(INDEX(tEditais[UF],MATCH(tItens[[#This Row],[Edital]],tEditais[Edital],0)),"")</f>
        <v>BA</v>
      </c>
      <c r="I697" s="11">
        <f>IFERROR(INDEX(tEditais[Encerramento],MATCH(tItens[[#This Row],[Edital]],tEditais[Edital],0)),"")</f>
        <v>46314.416666666664</v>
      </c>
      <c r="J697" t="str">
        <f>IFERROR(INDEX(tProdutos[Classe],MATCH(tItens[[#This Row],[Produto]],tProdutos[Produto],0)),"produto não cadastrado")</f>
        <v>NÚCLEO</v>
      </c>
      <c r="K697" s="12">
        <f>tItens[[#This Row],[Qtd]]*tItens[[#This Row],[Vlr unit]]</f>
        <v>34307</v>
      </c>
      <c r="L697" s="6">
        <f>IFERROR(IF(INDEX(tProdutos[Desconto homologado],MATCH(tItens[[#This Row],[Produto]],tProdutos[Produto],0))="",DescontoPadrao,INDEX(tProdutos[Desconto homologado],MATCH(tItens[[#This Row],[Produto]],tProdutos[Produto],0))),DescontoPadrao)</f>
        <v>0.34</v>
      </c>
      <c r="M697" s="12">
        <f>tItens[[#This Row],[Valor]]*(1-tItens[[#This Row],[Desconto]])</f>
        <v>22642.62</v>
      </c>
      <c r="N697" t="str">
        <f>IFERROR(INDEX(tProdutos[Foco],MATCH(tItens[[#This Row],[Produto]],tProdutos[Produto],0)),"Não")</f>
        <v>Sim</v>
      </c>
      <c r="O697" t="str">
        <f>IFERROR(INDEX(tEditais[SRP],MATCH(tItens[[#This Row],[Edital]],tEditais[Edital],0)),"Não")</f>
        <v>Não</v>
      </c>
      <c r="P697" s="4">
        <f>IF(COUNTIFS(INDEX(tItens[Edital],1):tItens[[#This Row],[Edital]],tItens[[#This Row],[Edital]],INDEX(tItens[Produto],1):tItens[[#This Row],[Produto]],tItens[[#This Row],[Produto]])=1,1,0)</f>
        <v>1</v>
      </c>
    </row>
    <row r="698" spans="1:16" x14ac:dyDescent="0.25">
      <c r="A698" t="s">
        <v>959</v>
      </c>
      <c r="B698">
        <v>1293214</v>
      </c>
      <c r="C698" t="s">
        <v>3624</v>
      </c>
      <c r="D698" t="s">
        <v>90</v>
      </c>
      <c r="E698" s="13">
        <v>5800</v>
      </c>
      <c r="F698" s="12">
        <v>6.63</v>
      </c>
      <c r="G698" t="str">
        <f>IFERROR(INDEX(tEditais[Órgão],MATCH(tItens[[#This Row],[Edital]],tEditais[Edital],0)),"")</f>
        <v>FUNDO ESTADUAL DE SAUDE DO ESTADO DA BAHIA</v>
      </c>
      <c r="H698" t="str">
        <f>IFERROR(INDEX(tEditais[UF],MATCH(tItens[[#This Row],[Edital]],tEditais[Edital],0)),"")</f>
        <v>BA</v>
      </c>
      <c r="I698" s="11">
        <f>IFERROR(INDEX(tEditais[Encerramento],MATCH(tItens[[#This Row],[Edital]],tEditais[Edital],0)),"")</f>
        <v>46314.416666666664</v>
      </c>
      <c r="J698" t="str">
        <f>IFERROR(INDEX(tProdutos[Classe],MATCH(tItens[[#This Row],[Produto]],tProdutos[Produto],0)),"produto não cadastrado")</f>
        <v>DISPUTADO</v>
      </c>
      <c r="K698" s="12">
        <f>tItens[[#This Row],[Qtd]]*tItens[[#This Row],[Vlr unit]]</f>
        <v>38454</v>
      </c>
      <c r="L698" s="6">
        <f>IFERROR(IF(INDEX(tProdutos[Desconto homologado],MATCH(tItens[[#This Row],[Produto]],tProdutos[Produto],0))="",DescontoPadrao,INDEX(tProdutos[Desconto homologado],MATCH(tItens[[#This Row],[Produto]],tProdutos[Produto],0))),DescontoPadrao)</f>
        <v>0.25393823957010597</v>
      </c>
      <c r="M698" s="12">
        <f>tItens[[#This Row],[Valor]]*(1-tItens[[#This Row],[Desconto]])</f>
        <v>28689.058935571145</v>
      </c>
      <c r="N698" t="str">
        <f>IFERROR(INDEX(tProdutos[Foco],MATCH(tItens[[#This Row],[Produto]],tProdutos[Produto],0)),"Não")</f>
        <v>Não</v>
      </c>
      <c r="O698" t="str">
        <f>IFERROR(INDEX(tEditais[SRP],MATCH(tItens[[#This Row],[Edital]],tEditais[Edital],0)),"Não")</f>
        <v>Não</v>
      </c>
      <c r="P698" s="4">
        <f>IF(COUNTIFS(INDEX(tItens[Edital],1):tItens[[#This Row],[Edital]],tItens[[#This Row],[Edital]],INDEX(tItens[Produto],1):tItens[[#This Row],[Produto]],tItens[[#This Row],[Produto]])=1,1,0)</f>
        <v>1</v>
      </c>
    </row>
    <row r="699" spans="1:16" x14ac:dyDescent="0.25">
      <c r="A699" t="s">
        <v>959</v>
      </c>
      <c r="B699">
        <v>11018201</v>
      </c>
      <c r="C699" t="s">
        <v>3884</v>
      </c>
      <c r="D699" t="s">
        <v>417</v>
      </c>
      <c r="E699" s="13">
        <v>17208</v>
      </c>
      <c r="F699" s="12">
        <v>83.15</v>
      </c>
      <c r="G699" t="str">
        <f>IFERROR(INDEX(tEditais[Órgão],MATCH(tItens[[#This Row],[Edital]],tEditais[Edital],0)),"")</f>
        <v>FUNDO ESTADUAL DE SAUDE DO ESTADO DA BAHIA</v>
      </c>
      <c r="H699" t="str">
        <f>IFERROR(INDEX(tEditais[UF],MATCH(tItens[[#This Row],[Edital]],tEditais[Edital],0)),"")</f>
        <v>BA</v>
      </c>
      <c r="I699" s="11">
        <f>IFERROR(INDEX(tEditais[Encerramento],MATCH(tItens[[#This Row],[Edital]],tEditais[Edital],0)),"")</f>
        <v>46314.416666666664</v>
      </c>
      <c r="J699" t="str">
        <f>IFERROR(INDEX(tProdutos[Classe],MATCH(tItens[[#This Row],[Produto]],tProdutos[Produto],0)),"produto não cadastrado")</f>
        <v>FORA</v>
      </c>
      <c r="K699" s="12">
        <f>tItens[[#This Row],[Qtd]]*tItens[[#This Row],[Vlr unit]]</f>
        <v>1430845.2000000002</v>
      </c>
      <c r="L699" s="6">
        <f>IFERROR(IF(INDEX(tProdutos[Desconto homologado],MATCH(tItens[[#This Row],[Produto]],tProdutos[Produto],0))="",DescontoPadrao,INDEX(tProdutos[Desconto homologado],MATCH(tItens[[#This Row],[Produto]],tProdutos[Produto],0))),DescontoPadrao)</f>
        <v>0.27842432580405202</v>
      </c>
      <c r="M699" s="12">
        <f>tItens[[#This Row],[Valor]]*(1-tItens[[#This Row],[Desconto]])</f>
        <v>1032463.0898600363</v>
      </c>
      <c r="N699" t="str">
        <f>IFERROR(INDEX(tProdutos[Foco],MATCH(tItens[[#This Row],[Produto]],tProdutos[Produto],0)),"Não")</f>
        <v>Não</v>
      </c>
      <c r="O699" t="str">
        <f>IFERROR(INDEX(tEditais[SRP],MATCH(tItens[[#This Row],[Edital]],tEditais[Edital],0)),"Não")</f>
        <v>Não</v>
      </c>
      <c r="P699" s="4">
        <f>IF(COUNTIFS(INDEX(tItens[Edital],1):tItens[[#This Row],[Edital]],tItens[[#This Row],[Edital]],INDEX(tItens[Produto],1):tItens[[#This Row],[Produto]],tItens[[#This Row],[Produto]])=1,1,0)</f>
        <v>1</v>
      </c>
    </row>
    <row r="700" spans="1:16" x14ac:dyDescent="0.25">
      <c r="A700" t="s">
        <v>959</v>
      </c>
      <c r="B700">
        <v>11018202</v>
      </c>
      <c r="C700" t="s">
        <v>3884</v>
      </c>
      <c r="D700" t="s">
        <v>417</v>
      </c>
      <c r="E700" s="13">
        <v>4302</v>
      </c>
      <c r="F700" s="12">
        <v>83.15</v>
      </c>
      <c r="G700" t="str">
        <f>IFERROR(INDEX(tEditais[Órgão],MATCH(tItens[[#This Row],[Edital]],tEditais[Edital],0)),"")</f>
        <v>FUNDO ESTADUAL DE SAUDE DO ESTADO DA BAHIA</v>
      </c>
      <c r="H700" t="str">
        <f>IFERROR(INDEX(tEditais[UF],MATCH(tItens[[#This Row],[Edital]],tEditais[Edital],0)),"")</f>
        <v>BA</v>
      </c>
      <c r="I700" s="11">
        <f>IFERROR(INDEX(tEditais[Encerramento],MATCH(tItens[[#This Row],[Edital]],tEditais[Edital],0)),"")</f>
        <v>46314.416666666664</v>
      </c>
      <c r="J700" t="str">
        <f>IFERROR(INDEX(tProdutos[Classe],MATCH(tItens[[#This Row],[Produto]],tProdutos[Produto],0)),"produto não cadastrado")</f>
        <v>FORA</v>
      </c>
      <c r="K700" s="12">
        <f>tItens[[#This Row],[Qtd]]*tItens[[#This Row],[Vlr unit]]</f>
        <v>357711.30000000005</v>
      </c>
      <c r="L700" s="6">
        <f>IFERROR(IF(INDEX(tProdutos[Desconto homologado],MATCH(tItens[[#This Row],[Produto]],tProdutos[Produto],0))="",DescontoPadrao,INDEX(tProdutos[Desconto homologado],MATCH(tItens[[#This Row],[Produto]],tProdutos[Produto],0))),DescontoPadrao)</f>
        <v>0.27842432580405202</v>
      </c>
      <c r="M700" s="12">
        <f>tItens[[#This Row],[Valor]]*(1-tItens[[#This Row],[Desconto]])</f>
        <v>258115.77246500907</v>
      </c>
      <c r="N700" t="str">
        <f>IFERROR(INDEX(tProdutos[Foco],MATCH(tItens[[#This Row],[Produto]],tProdutos[Produto],0)),"Não")</f>
        <v>Não</v>
      </c>
      <c r="O700" t="str">
        <f>IFERROR(INDEX(tEditais[SRP],MATCH(tItens[[#This Row],[Edital]],tEditais[Edital],0)),"Não")</f>
        <v>Não</v>
      </c>
      <c r="P700" s="4">
        <f>IF(COUNTIFS(INDEX(tItens[Edital],1):tItens[[#This Row],[Edital]],tItens[[#This Row],[Edital]],INDEX(tItens[Produto],1):tItens[[#This Row],[Produto]],tItens[[#This Row],[Produto]])=1,1,0)</f>
        <v>0</v>
      </c>
    </row>
    <row r="701" spans="1:16" x14ac:dyDescent="0.25">
      <c r="A701" t="s">
        <v>960</v>
      </c>
      <c r="B701">
        <v>1271180</v>
      </c>
      <c r="C701" t="s">
        <v>3885</v>
      </c>
      <c r="D701" t="s">
        <v>407</v>
      </c>
      <c r="E701" s="13">
        <v>6713200</v>
      </c>
      <c r="F701" s="12">
        <v>0.78</v>
      </c>
      <c r="G701" t="str">
        <f>IFERROR(INDEX(tEditais[Órgão],MATCH(tItens[[#This Row],[Edital]],tEditais[Edital],0)),"")</f>
        <v>FUNDO ESTADUAL DE SAUDE DO ESTADO DA BAHIA</v>
      </c>
      <c r="H701" t="str">
        <f>IFERROR(INDEX(tEditais[UF],MATCH(tItens[[#This Row],[Edital]],tEditais[Edital],0)),"")</f>
        <v>BA</v>
      </c>
      <c r="I701" s="11">
        <f>IFERROR(INDEX(tEditais[Encerramento],MATCH(tItens[[#This Row],[Edital]],tEditais[Edital],0)),"")</f>
        <v>46314.416666666664</v>
      </c>
      <c r="J701" t="str">
        <f>IFERROR(INDEX(tProdutos[Classe],MATCH(tItens[[#This Row],[Produto]],tProdutos[Produto],0)),"produto não cadastrado")</f>
        <v>FORA</v>
      </c>
      <c r="K701" s="12">
        <f>tItens[[#This Row],[Qtd]]*tItens[[#This Row],[Vlr unit]]</f>
        <v>5236296</v>
      </c>
      <c r="L701" s="6">
        <f>IFERROR(IF(INDEX(tProdutos[Desconto homologado],MATCH(tItens[[#This Row],[Produto]],tProdutos[Produto],0))="",DescontoPadrao,INDEX(tProdutos[Desconto homologado],MATCH(tItens[[#This Row],[Produto]],tProdutos[Produto],0))),DescontoPadrao)</f>
        <v>0.31311274509803899</v>
      </c>
      <c r="M701" s="12">
        <f>tItens[[#This Row],[Valor]]*(1-tItens[[#This Row],[Desconto]])</f>
        <v>3596744.985294119</v>
      </c>
      <c r="N701" t="str">
        <f>IFERROR(INDEX(tProdutos[Foco],MATCH(tItens[[#This Row],[Produto]],tProdutos[Produto],0)),"Não")</f>
        <v>Não</v>
      </c>
      <c r="O701" t="str">
        <f>IFERROR(INDEX(tEditais[SRP],MATCH(tItens[[#This Row],[Edital]],tEditais[Edital],0)),"Não")</f>
        <v>Não</v>
      </c>
      <c r="P701" s="4">
        <f>IF(COUNTIFS(INDEX(tItens[Edital],1):tItens[[#This Row],[Edital]],tItens[[#This Row],[Edital]],INDEX(tItens[Produto],1):tItens[[#This Row],[Produto]],tItens[[#This Row],[Produto]])=1,1,0)</f>
        <v>1</v>
      </c>
    </row>
    <row r="702" spans="1:16" x14ac:dyDescent="0.25">
      <c r="A702" t="s">
        <v>961</v>
      </c>
      <c r="B702">
        <v>30001</v>
      </c>
      <c r="C702" t="s">
        <v>3886</v>
      </c>
      <c r="D702" t="s">
        <v>407</v>
      </c>
      <c r="E702" s="13">
        <v>6713200</v>
      </c>
      <c r="F702" s="12">
        <v>0.78</v>
      </c>
      <c r="G702" t="str">
        <f>IFERROR(INDEX(tEditais[Órgão],MATCH(tItens[[#This Row],[Edital]],tEditais[Edital],0)),"")</f>
        <v>ESTADO DA BAHIA</v>
      </c>
      <c r="H702" t="str">
        <f>IFERROR(INDEX(tEditais[UF],MATCH(tItens[[#This Row],[Edital]],tEditais[Edital],0)),"")</f>
        <v>BA</v>
      </c>
      <c r="I702" s="11">
        <f>IFERROR(INDEX(tEditais[Encerramento],MATCH(tItens[[#This Row],[Edital]],tEditais[Edital],0)),"")</f>
        <v>46314.416666666664</v>
      </c>
      <c r="J702" t="str">
        <f>IFERROR(INDEX(tProdutos[Classe],MATCH(tItens[[#This Row],[Produto]],tProdutos[Produto],0)),"produto não cadastrado")</f>
        <v>FORA</v>
      </c>
      <c r="K702" s="12">
        <f>tItens[[#This Row],[Qtd]]*tItens[[#This Row],[Vlr unit]]</f>
        <v>5236296</v>
      </c>
      <c r="L702" s="6">
        <f>IFERROR(IF(INDEX(tProdutos[Desconto homologado],MATCH(tItens[[#This Row],[Produto]],tProdutos[Produto],0))="",DescontoPadrao,INDEX(tProdutos[Desconto homologado],MATCH(tItens[[#This Row],[Produto]],tProdutos[Produto],0))),DescontoPadrao)</f>
        <v>0.31311274509803899</v>
      </c>
      <c r="M702" s="12">
        <f>tItens[[#This Row],[Valor]]*(1-tItens[[#This Row],[Desconto]])</f>
        <v>3596744.985294119</v>
      </c>
      <c r="N702" t="str">
        <f>IFERROR(INDEX(tProdutos[Foco],MATCH(tItens[[#This Row],[Produto]],tProdutos[Produto],0)),"Não")</f>
        <v>Não</v>
      </c>
      <c r="O702" t="str">
        <f>IFERROR(INDEX(tEditais[SRP],MATCH(tItens[[#This Row],[Edital]],tEditais[Edital],0)),"Não")</f>
        <v>Sim</v>
      </c>
      <c r="P702" s="4">
        <f>IF(COUNTIFS(INDEX(tItens[Edital],1):tItens[[#This Row],[Edital]],tItens[[#This Row],[Edital]],INDEX(tItens[Produto],1):tItens[[#This Row],[Produto]],tItens[[#This Row],[Produto]])=1,1,0)</f>
        <v>1</v>
      </c>
    </row>
    <row r="703" spans="1:16" x14ac:dyDescent="0.25">
      <c r="A703" t="s">
        <v>964</v>
      </c>
      <c r="B703">
        <v>10001</v>
      </c>
      <c r="C703" t="s">
        <v>3887</v>
      </c>
      <c r="D703" t="s">
        <v>108</v>
      </c>
      <c r="E703" s="13">
        <v>9060</v>
      </c>
      <c r="F703" s="12">
        <v>17.559999999999999</v>
      </c>
      <c r="G703" t="str">
        <f>IFERROR(INDEX(tEditais[Órgão],MATCH(tItens[[#This Row],[Edital]],tEditais[Edital],0)),"")</f>
        <v>ESTADO DA BAHIA</v>
      </c>
      <c r="H703" t="str">
        <f>IFERROR(INDEX(tEditais[UF],MATCH(tItens[[#This Row],[Edital]],tEditais[Edital],0)),"")</f>
        <v>BA</v>
      </c>
      <c r="I703" s="11">
        <f>IFERROR(INDEX(tEditais[Encerramento],MATCH(tItens[[#This Row],[Edital]],tEditais[Edital],0)),"")</f>
        <v>46314.416666666664</v>
      </c>
      <c r="J703" t="str">
        <f>IFERROR(INDEX(tProdutos[Classe],MATCH(tItens[[#This Row],[Produto]],tProdutos[Produto],0)),"produto não cadastrado")</f>
        <v>NÚCLEO</v>
      </c>
      <c r="K703" s="12">
        <f>tItens[[#This Row],[Qtd]]*tItens[[#This Row],[Vlr unit]]</f>
        <v>159093.59999999998</v>
      </c>
      <c r="L703" s="6">
        <f>IFERROR(IF(INDEX(tProdutos[Desconto homologado],MATCH(tItens[[#This Row],[Produto]],tProdutos[Produto],0))="",DescontoPadrao,INDEX(tProdutos[Desconto homologado],MATCH(tItens[[#This Row],[Produto]],tProdutos[Produto],0))),DescontoPadrao)</f>
        <v>0.105498072631365</v>
      </c>
      <c r="M703" s="12">
        <f>tItens[[#This Row],[Valor]]*(1-tItens[[#This Row],[Desconto]])</f>
        <v>142309.53183201465</v>
      </c>
      <c r="N703" t="str">
        <f>IFERROR(INDEX(tProdutos[Foco],MATCH(tItens[[#This Row],[Produto]],tProdutos[Produto],0)),"Não")</f>
        <v>Não</v>
      </c>
      <c r="O703" t="str">
        <f>IFERROR(INDEX(tEditais[SRP],MATCH(tItens[[#This Row],[Edital]],tEditais[Edital],0)),"Não")</f>
        <v>Sim</v>
      </c>
      <c r="P703" s="4">
        <f>IF(COUNTIFS(INDEX(tItens[Edital],1):tItens[[#This Row],[Edital]],tItens[[#This Row],[Edital]],INDEX(tItens[Produto],1):tItens[[#This Row],[Produto]],tItens[[#This Row],[Produto]])=1,1,0)</f>
        <v>1</v>
      </c>
    </row>
    <row r="704" spans="1:16" x14ac:dyDescent="0.25">
      <c r="A704" t="s">
        <v>964</v>
      </c>
      <c r="B704">
        <v>50001</v>
      </c>
      <c r="C704" t="s">
        <v>3887</v>
      </c>
      <c r="D704" t="s">
        <v>108</v>
      </c>
      <c r="E704" s="13">
        <v>3020</v>
      </c>
      <c r="F704" s="12">
        <v>17.559999999999999</v>
      </c>
      <c r="G704" t="str">
        <f>IFERROR(INDEX(tEditais[Órgão],MATCH(tItens[[#This Row],[Edital]],tEditais[Edital],0)),"")</f>
        <v>ESTADO DA BAHIA</v>
      </c>
      <c r="H704" t="str">
        <f>IFERROR(INDEX(tEditais[UF],MATCH(tItens[[#This Row],[Edital]],tEditais[Edital],0)),"")</f>
        <v>BA</v>
      </c>
      <c r="I704" s="11">
        <f>IFERROR(INDEX(tEditais[Encerramento],MATCH(tItens[[#This Row],[Edital]],tEditais[Edital],0)),"")</f>
        <v>46314.416666666664</v>
      </c>
      <c r="J704" t="str">
        <f>IFERROR(INDEX(tProdutos[Classe],MATCH(tItens[[#This Row],[Produto]],tProdutos[Produto],0)),"produto não cadastrado")</f>
        <v>NÚCLEO</v>
      </c>
      <c r="K704" s="12">
        <f>tItens[[#This Row],[Qtd]]*tItens[[#This Row],[Vlr unit]]</f>
        <v>53031.199999999997</v>
      </c>
      <c r="L704" s="6">
        <f>IFERROR(IF(INDEX(tProdutos[Desconto homologado],MATCH(tItens[[#This Row],[Produto]],tProdutos[Produto],0))="",DescontoPadrao,INDEX(tProdutos[Desconto homologado],MATCH(tItens[[#This Row],[Produto]],tProdutos[Produto],0))),DescontoPadrao)</f>
        <v>0.105498072631365</v>
      </c>
      <c r="M704" s="12">
        <f>tItens[[#This Row],[Valor]]*(1-tItens[[#This Row],[Desconto]])</f>
        <v>47436.510610671554</v>
      </c>
      <c r="N704" t="str">
        <f>IFERROR(INDEX(tProdutos[Foco],MATCH(tItens[[#This Row],[Produto]],tProdutos[Produto],0)),"Não")</f>
        <v>Não</v>
      </c>
      <c r="O704" t="str">
        <f>IFERROR(INDEX(tEditais[SRP],MATCH(tItens[[#This Row],[Edital]],tEditais[Edital],0)),"Não")</f>
        <v>Sim</v>
      </c>
      <c r="P704" s="4">
        <f>IF(COUNTIFS(INDEX(tItens[Edital],1):tItens[[#This Row],[Edital]],tItens[[#This Row],[Edital]],INDEX(tItens[Produto],1):tItens[[#This Row],[Produto]],tItens[[#This Row],[Produto]])=1,1,0)</f>
        <v>0</v>
      </c>
    </row>
    <row r="705" spans="1:16" x14ac:dyDescent="0.25">
      <c r="A705" t="s">
        <v>967</v>
      </c>
      <c r="B705">
        <v>10104841</v>
      </c>
      <c r="C705" t="s">
        <v>3888</v>
      </c>
      <c r="D705" t="s">
        <v>341</v>
      </c>
      <c r="E705" s="13">
        <v>3938</v>
      </c>
      <c r="F705" s="12">
        <v>30.74</v>
      </c>
      <c r="G705" t="str">
        <f>IFERROR(INDEX(tEditais[Órgão],MATCH(tItens[[#This Row],[Edital]],tEditais[Edital],0)),"")</f>
        <v>FUNDO ESTADUAL DE SAUDE DO ESTADO DA BAHIA</v>
      </c>
      <c r="H705" t="str">
        <f>IFERROR(INDEX(tEditais[UF],MATCH(tItens[[#This Row],[Edital]],tEditais[Edital],0)),"")</f>
        <v>BA</v>
      </c>
      <c r="I705" s="11">
        <f>IFERROR(INDEX(tEditais[Encerramento],MATCH(tItens[[#This Row],[Edital]],tEditais[Edital],0)),"")</f>
        <v>46314.416666666664</v>
      </c>
      <c r="J705" t="str">
        <f>IFERROR(INDEX(tProdutos[Classe],MATCH(tItens[[#This Row],[Produto]],tProdutos[Produto],0)),"produto não cadastrado")</f>
        <v>FORA</v>
      </c>
      <c r="K705" s="12">
        <f>tItens[[#This Row],[Qtd]]*tItens[[#This Row],[Vlr unit]]</f>
        <v>121054.12</v>
      </c>
      <c r="L705" s="6">
        <f>IFERROR(IF(INDEX(tProdutos[Desconto homologado],MATCH(tItens[[#This Row],[Produto]],tProdutos[Produto],0))="",DescontoPadrao,INDEX(tProdutos[Desconto homologado],MATCH(tItens[[#This Row],[Produto]],tProdutos[Produto],0))),DescontoPadrao)</f>
        <v>0.46918578497525898</v>
      </c>
      <c r="M705" s="12">
        <f>tItens[[#This Row],[Valor]]*(1-tItens[[#This Row],[Desconto]])</f>
        <v>64257.247683310801</v>
      </c>
      <c r="N705" t="str">
        <f>IFERROR(INDEX(tProdutos[Foco],MATCH(tItens[[#This Row],[Produto]],tProdutos[Produto],0)),"Não")</f>
        <v>Não</v>
      </c>
      <c r="O705" t="str">
        <f>IFERROR(INDEX(tEditais[SRP],MATCH(tItens[[#This Row],[Edital]],tEditais[Edital],0)),"Não")</f>
        <v>Não</v>
      </c>
      <c r="P705" s="4">
        <f>IF(COUNTIFS(INDEX(tItens[Edital],1):tItens[[#This Row],[Edital]],tItens[[#This Row],[Edital]],INDEX(tItens[Produto],1):tItens[[#This Row],[Produto]],tItens[[#This Row],[Produto]])=1,1,0)</f>
        <v>1</v>
      </c>
    </row>
    <row r="706" spans="1:16" x14ac:dyDescent="0.25">
      <c r="A706" t="s">
        <v>967</v>
      </c>
      <c r="B706">
        <v>10104842</v>
      </c>
      <c r="C706" t="s">
        <v>3889</v>
      </c>
      <c r="D706" t="s">
        <v>341</v>
      </c>
      <c r="E706" s="13">
        <v>15752</v>
      </c>
      <c r="F706" s="12">
        <v>30.74</v>
      </c>
      <c r="G706" t="str">
        <f>IFERROR(INDEX(tEditais[Órgão],MATCH(tItens[[#This Row],[Edital]],tEditais[Edital],0)),"")</f>
        <v>FUNDO ESTADUAL DE SAUDE DO ESTADO DA BAHIA</v>
      </c>
      <c r="H706" t="str">
        <f>IFERROR(INDEX(tEditais[UF],MATCH(tItens[[#This Row],[Edital]],tEditais[Edital],0)),"")</f>
        <v>BA</v>
      </c>
      <c r="I706" s="11">
        <f>IFERROR(INDEX(tEditais[Encerramento],MATCH(tItens[[#This Row],[Edital]],tEditais[Edital],0)),"")</f>
        <v>46314.416666666664</v>
      </c>
      <c r="J706" t="str">
        <f>IFERROR(INDEX(tProdutos[Classe],MATCH(tItens[[#This Row],[Produto]],tProdutos[Produto],0)),"produto não cadastrado")</f>
        <v>FORA</v>
      </c>
      <c r="K706" s="12">
        <f>tItens[[#This Row],[Qtd]]*tItens[[#This Row],[Vlr unit]]</f>
        <v>484216.48</v>
      </c>
      <c r="L706" s="6">
        <f>IFERROR(IF(INDEX(tProdutos[Desconto homologado],MATCH(tItens[[#This Row],[Produto]],tProdutos[Produto],0))="",DescontoPadrao,INDEX(tProdutos[Desconto homologado],MATCH(tItens[[#This Row],[Produto]],tProdutos[Produto],0))),DescontoPadrao)</f>
        <v>0.46918578497525898</v>
      </c>
      <c r="M706" s="12">
        <f>tItens[[#This Row],[Valor]]*(1-tItens[[#This Row],[Desconto]])</f>
        <v>257028.9907332432</v>
      </c>
      <c r="N706" t="str">
        <f>IFERROR(INDEX(tProdutos[Foco],MATCH(tItens[[#This Row],[Produto]],tProdutos[Produto],0)),"Não")</f>
        <v>Não</v>
      </c>
      <c r="O706" t="str">
        <f>IFERROR(INDEX(tEditais[SRP],MATCH(tItens[[#This Row],[Edital]],tEditais[Edital],0)),"Não")</f>
        <v>Não</v>
      </c>
      <c r="P706" s="4">
        <f>IF(COUNTIFS(INDEX(tItens[Edital],1):tItens[[#This Row],[Edital]],tItens[[#This Row],[Edital]],INDEX(tItens[Produto],1):tItens[[#This Row],[Produto]],tItens[[#This Row],[Produto]])=1,1,0)</f>
        <v>0</v>
      </c>
    </row>
    <row r="707" spans="1:16" x14ac:dyDescent="0.25">
      <c r="A707" t="s">
        <v>968</v>
      </c>
      <c r="B707">
        <v>10001</v>
      </c>
      <c r="C707" t="s">
        <v>3890</v>
      </c>
      <c r="D707" t="s">
        <v>341</v>
      </c>
      <c r="E707" s="13">
        <v>15752</v>
      </c>
      <c r="F707" s="12">
        <v>30.74</v>
      </c>
      <c r="G707" t="str">
        <f>IFERROR(INDEX(tEditais[Órgão],MATCH(tItens[[#This Row],[Edital]],tEditais[Edital],0)),"")</f>
        <v>ESTADO DA BAHIA</v>
      </c>
      <c r="H707" t="str">
        <f>IFERROR(INDEX(tEditais[UF],MATCH(tItens[[#This Row],[Edital]],tEditais[Edital],0)),"")</f>
        <v>BA</v>
      </c>
      <c r="I707" s="11">
        <f>IFERROR(INDEX(tEditais[Encerramento],MATCH(tItens[[#This Row],[Edital]],tEditais[Edital],0)),"")</f>
        <v>46314.416666666664</v>
      </c>
      <c r="J707" t="str">
        <f>IFERROR(INDEX(tProdutos[Classe],MATCH(tItens[[#This Row],[Produto]],tProdutos[Produto],0)),"produto não cadastrado")</f>
        <v>FORA</v>
      </c>
      <c r="K707" s="12">
        <f>tItens[[#This Row],[Qtd]]*tItens[[#This Row],[Vlr unit]]</f>
        <v>484216.48</v>
      </c>
      <c r="L707" s="6">
        <f>IFERROR(IF(INDEX(tProdutos[Desconto homologado],MATCH(tItens[[#This Row],[Produto]],tProdutos[Produto],0))="",DescontoPadrao,INDEX(tProdutos[Desconto homologado],MATCH(tItens[[#This Row],[Produto]],tProdutos[Produto],0))),DescontoPadrao)</f>
        <v>0.46918578497525898</v>
      </c>
      <c r="M707" s="12">
        <f>tItens[[#This Row],[Valor]]*(1-tItens[[#This Row],[Desconto]])</f>
        <v>257028.9907332432</v>
      </c>
      <c r="N707" t="str">
        <f>IFERROR(INDEX(tProdutos[Foco],MATCH(tItens[[#This Row],[Produto]],tProdutos[Produto],0)),"Não")</f>
        <v>Não</v>
      </c>
      <c r="O707" t="str">
        <f>IFERROR(INDEX(tEditais[SRP],MATCH(tItens[[#This Row],[Edital]],tEditais[Edital],0)),"Não")</f>
        <v>Sim</v>
      </c>
      <c r="P707" s="4">
        <f>IF(COUNTIFS(INDEX(tItens[Edital],1):tItens[[#This Row],[Edital]],tItens[[#This Row],[Edital]],INDEX(tItens[Produto],1):tItens[[#This Row],[Produto]],tItens[[#This Row],[Produto]])=1,1,0)</f>
        <v>1</v>
      </c>
    </row>
    <row r="708" spans="1:16" x14ac:dyDescent="0.25">
      <c r="A708" t="s">
        <v>968</v>
      </c>
      <c r="B708">
        <v>50001</v>
      </c>
      <c r="C708" t="s">
        <v>3890</v>
      </c>
      <c r="D708" t="s">
        <v>341</v>
      </c>
      <c r="E708" s="13">
        <v>3938</v>
      </c>
      <c r="F708" s="12">
        <v>30.74</v>
      </c>
      <c r="G708" t="str">
        <f>IFERROR(INDEX(tEditais[Órgão],MATCH(tItens[[#This Row],[Edital]],tEditais[Edital],0)),"")</f>
        <v>ESTADO DA BAHIA</v>
      </c>
      <c r="H708" t="str">
        <f>IFERROR(INDEX(tEditais[UF],MATCH(tItens[[#This Row],[Edital]],tEditais[Edital],0)),"")</f>
        <v>BA</v>
      </c>
      <c r="I708" s="11">
        <f>IFERROR(INDEX(tEditais[Encerramento],MATCH(tItens[[#This Row],[Edital]],tEditais[Edital],0)),"")</f>
        <v>46314.416666666664</v>
      </c>
      <c r="J708" t="str">
        <f>IFERROR(INDEX(tProdutos[Classe],MATCH(tItens[[#This Row],[Produto]],tProdutos[Produto],0)),"produto não cadastrado")</f>
        <v>FORA</v>
      </c>
      <c r="K708" s="12">
        <f>tItens[[#This Row],[Qtd]]*tItens[[#This Row],[Vlr unit]]</f>
        <v>121054.12</v>
      </c>
      <c r="L708" s="6">
        <f>IFERROR(IF(INDEX(tProdutos[Desconto homologado],MATCH(tItens[[#This Row],[Produto]],tProdutos[Produto],0))="",DescontoPadrao,INDEX(tProdutos[Desconto homologado],MATCH(tItens[[#This Row],[Produto]],tProdutos[Produto],0))),DescontoPadrao)</f>
        <v>0.46918578497525898</v>
      </c>
      <c r="M708" s="12">
        <f>tItens[[#This Row],[Valor]]*(1-tItens[[#This Row],[Desconto]])</f>
        <v>64257.247683310801</v>
      </c>
      <c r="N708" t="str">
        <f>IFERROR(INDEX(tProdutos[Foco],MATCH(tItens[[#This Row],[Produto]],tProdutos[Produto],0)),"Não")</f>
        <v>Não</v>
      </c>
      <c r="O708" t="str">
        <f>IFERROR(INDEX(tEditais[SRP],MATCH(tItens[[#This Row],[Edital]],tEditais[Edital],0)),"Não")</f>
        <v>Sim</v>
      </c>
      <c r="P708" s="4">
        <f>IF(COUNTIFS(INDEX(tItens[Edital],1):tItens[[#This Row],[Edital]],tItens[[#This Row],[Edital]],INDEX(tItens[Produto],1):tItens[[#This Row],[Produto]],tItens[[#This Row],[Produto]])=1,1,0)</f>
        <v>0</v>
      </c>
    </row>
    <row r="709" spans="1:16" x14ac:dyDescent="0.25">
      <c r="A709" t="s">
        <v>971</v>
      </c>
      <c r="B709">
        <v>11335941</v>
      </c>
      <c r="C709" t="s">
        <v>3891</v>
      </c>
      <c r="D709" t="s">
        <v>108</v>
      </c>
      <c r="E709" s="13">
        <v>9060</v>
      </c>
      <c r="F709" s="12">
        <v>17.559999999999999</v>
      </c>
      <c r="G709" t="str">
        <f>IFERROR(INDEX(tEditais[Órgão],MATCH(tItens[[#This Row],[Edital]],tEditais[Edital],0)),"")</f>
        <v>FUNDO ESTADUAL DE SAUDE DO ESTADO DA BAHIA</v>
      </c>
      <c r="H709" t="str">
        <f>IFERROR(INDEX(tEditais[UF],MATCH(tItens[[#This Row],[Edital]],tEditais[Edital],0)),"")</f>
        <v>BA</v>
      </c>
      <c r="I709" s="11">
        <f>IFERROR(INDEX(tEditais[Encerramento],MATCH(tItens[[#This Row],[Edital]],tEditais[Edital],0)),"")</f>
        <v>46314.416666666664</v>
      </c>
      <c r="J709" t="str">
        <f>IFERROR(INDEX(tProdutos[Classe],MATCH(tItens[[#This Row],[Produto]],tProdutos[Produto],0)),"produto não cadastrado")</f>
        <v>NÚCLEO</v>
      </c>
      <c r="K709" s="12">
        <f>tItens[[#This Row],[Qtd]]*tItens[[#This Row],[Vlr unit]]</f>
        <v>159093.59999999998</v>
      </c>
      <c r="L709" s="6">
        <f>IFERROR(IF(INDEX(tProdutos[Desconto homologado],MATCH(tItens[[#This Row],[Produto]],tProdutos[Produto],0))="",DescontoPadrao,INDEX(tProdutos[Desconto homologado],MATCH(tItens[[#This Row],[Produto]],tProdutos[Produto],0))),DescontoPadrao)</f>
        <v>0.105498072631365</v>
      </c>
      <c r="M709" s="12">
        <f>tItens[[#This Row],[Valor]]*(1-tItens[[#This Row],[Desconto]])</f>
        <v>142309.53183201465</v>
      </c>
      <c r="N709" t="str">
        <f>IFERROR(INDEX(tProdutos[Foco],MATCH(tItens[[#This Row],[Produto]],tProdutos[Produto],0)),"Não")</f>
        <v>Não</v>
      </c>
      <c r="O709" t="str">
        <f>IFERROR(INDEX(tEditais[SRP],MATCH(tItens[[#This Row],[Edital]],tEditais[Edital],0)),"Não")</f>
        <v>Não</v>
      </c>
      <c r="P709" s="4">
        <f>IF(COUNTIFS(INDEX(tItens[Edital],1):tItens[[#This Row],[Edital]],tItens[[#This Row],[Edital]],INDEX(tItens[Produto],1):tItens[[#This Row],[Produto]],tItens[[#This Row],[Produto]])=1,1,0)</f>
        <v>1</v>
      </c>
    </row>
    <row r="710" spans="1:16" x14ac:dyDescent="0.25">
      <c r="A710" t="s">
        <v>971</v>
      </c>
      <c r="B710">
        <v>11335942</v>
      </c>
      <c r="C710" t="s">
        <v>3891</v>
      </c>
      <c r="D710" t="s">
        <v>108</v>
      </c>
      <c r="E710" s="13">
        <v>3020</v>
      </c>
      <c r="F710" s="12">
        <v>17.559999999999999</v>
      </c>
      <c r="G710" t="str">
        <f>IFERROR(INDEX(tEditais[Órgão],MATCH(tItens[[#This Row],[Edital]],tEditais[Edital],0)),"")</f>
        <v>FUNDO ESTADUAL DE SAUDE DO ESTADO DA BAHIA</v>
      </c>
      <c r="H710" t="str">
        <f>IFERROR(INDEX(tEditais[UF],MATCH(tItens[[#This Row],[Edital]],tEditais[Edital],0)),"")</f>
        <v>BA</v>
      </c>
      <c r="I710" s="11">
        <f>IFERROR(INDEX(tEditais[Encerramento],MATCH(tItens[[#This Row],[Edital]],tEditais[Edital],0)),"")</f>
        <v>46314.416666666664</v>
      </c>
      <c r="J710" t="str">
        <f>IFERROR(INDEX(tProdutos[Classe],MATCH(tItens[[#This Row],[Produto]],tProdutos[Produto],0)),"produto não cadastrado")</f>
        <v>NÚCLEO</v>
      </c>
      <c r="K710" s="12">
        <f>tItens[[#This Row],[Qtd]]*tItens[[#This Row],[Vlr unit]]</f>
        <v>53031.199999999997</v>
      </c>
      <c r="L710" s="6">
        <f>IFERROR(IF(INDEX(tProdutos[Desconto homologado],MATCH(tItens[[#This Row],[Produto]],tProdutos[Produto],0))="",DescontoPadrao,INDEX(tProdutos[Desconto homologado],MATCH(tItens[[#This Row],[Produto]],tProdutos[Produto],0))),DescontoPadrao)</f>
        <v>0.105498072631365</v>
      </c>
      <c r="M710" s="12">
        <f>tItens[[#This Row],[Valor]]*(1-tItens[[#This Row],[Desconto]])</f>
        <v>47436.510610671554</v>
      </c>
      <c r="N710" t="str">
        <f>IFERROR(INDEX(tProdutos[Foco],MATCH(tItens[[#This Row],[Produto]],tProdutos[Produto],0)),"Não")</f>
        <v>Não</v>
      </c>
      <c r="O710" t="str">
        <f>IFERROR(INDEX(tEditais[SRP],MATCH(tItens[[#This Row],[Edital]],tEditais[Edital],0)),"Não")</f>
        <v>Não</v>
      </c>
      <c r="P710" s="4">
        <f>IF(COUNTIFS(INDEX(tItens[Edital],1):tItens[[#This Row],[Edital]],tItens[[#This Row],[Edital]],INDEX(tItens[Produto],1):tItens[[#This Row],[Produto]],tItens[[#This Row],[Produto]])=1,1,0)</f>
        <v>0</v>
      </c>
    </row>
    <row r="711" spans="1:16" x14ac:dyDescent="0.25">
      <c r="A711" t="s">
        <v>972</v>
      </c>
      <c r="B711">
        <v>30001</v>
      </c>
      <c r="C711" t="s">
        <v>3819</v>
      </c>
      <c r="D711" t="s">
        <v>363</v>
      </c>
      <c r="E711" s="13">
        <v>10725</v>
      </c>
      <c r="F711" s="12">
        <v>5.9</v>
      </c>
      <c r="G711" t="str">
        <f>IFERROR(INDEX(tEditais[Órgão],MATCH(tItens[[#This Row],[Edital]],tEditais[Edital],0)),"")</f>
        <v>ESTADO DA BAHIA</v>
      </c>
      <c r="H711" t="str">
        <f>IFERROR(INDEX(tEditais[UF],MATCH(tItens[[#This Row],[Edital]],tEditais[Edital],0)),"")</f>
        <v>BA</v>
      </c>
      <c r="I711" s="11">
        <f>IFERROR(INDEX(tEditais[Encerramento],MATCH(tItens[[#This Row],[Edital]],tEditais[Edital],0)),"")</f>
        <v>46314.416666666664</v>
      </c>
      <c r="J711" t="str">
        <f>IFERROR(INDEX(tProdutos[Classe],MATCH(tItens[[#This Row],[Produto]],tProdutos[Produto],0)),"produto não cadastrado")</f>
        <v>FORA</v>
      </c>
      <c r="K711" s="12">
        <f>tItens[[#This Row],[Qtd]]*tItens[[#This Row],[Vlr unit]]</f>
        <v>63277.500000000007</v>
      </c>
      <c r="L711" s="6">
        <f>IFERROR(IF(INDEX(tProdutos[Desconto homologado],MATCH(tItens[[#This Row],[Produto]],tProdutos[Produto],0))="",DescontoPadrao,INDEX(tProdutos[Desconto homologado],MATCH(tItens[[#This Row],[Produto]],tProdutos[Produto],0))),DescontoPadrao)</f>
        <v>0.36454545454545501</v>
      </c>
      <c r="M711" s="12">
        <f>tItens[[#This Row],[Valor]]*(1-tItens[[#This Row],[Desconto]])</f>
        <v>40209.974999999977</v>
      </c>
      <c r="N711" t="str">
        <f>IFERROR(INDEX(tProdutos[Foco],MATCH(tItens[[#This Row],[Produto]],tProdutos[Produto],0)),"Não")</f>
        <v>Não</v>
      </c>
      <c r="O711" t="str">
        <f>IFERROR(INDEX(tEditais[SRP],MATCH(tItens[[#This Row],[Edital]],tEditais[Edital],0)),"Não")</f>
        <v>Sim</v>
      </c>
      <c r="P711" s="4">
        <f>IF(COUNTIFS(INDEX(tItens[Edital],1):tItens[[#This Row],[Edital]],tItens[[#This Row],[Edital]],INDEX(tItens[Produto],1):tItens[[#This Row],[Produto]],tItens[[#This Row],[Produto]])=1,1,0)</f>
        <v>1</v>
      </c>
    </row>
    <row r="712" spans="1:16" x14ac:dyDescent="0.25">
      <c r="A712" t="s">
        <v>972</v>
      </c>
      <c r="B712">
        <v>40001</v>
      </c>
      <c r="C712" t="s">
        <v>3892</v>
      </c>
      <c r="D712" t="s">
        <v>566</v>
      </c>
      <c r="E712" s="13">
        <v>470</v>
      </c>
      <c r="F712" s="12">
        <v>21.18</v>
      </c>
      <c r="G712" t="str">
        <f>IFERROR(INDEX(tEditais[Órgão],MATCH(tItens[[#This Row],[Edital]],tEditais[Edital],0)),"")</f>
        <v>ESTADO DA BAHIA</v>
      </c>
      <c r="H712" t="str">
        <f>IFERROR(INDEX(tEditais[UF],MATCH(tItens[[#This Row],[Edital]],tEditais[Edital],0)),"")</f>
        <v>BA</v>
      </c>
      <c r="I712" s="11">
        <f>IFERROR(INDEX(tEditais[Encerramento],MATCH(tItens[[#This Row],[Edital]],tEditais[Edital],0)),"")</f>
        <v>46314.416666666664</v>
      </c>
      <c r="J712" t="str">
        <f>IFERROR(INDEX(tProdutos[Classe],MATCH(tItens[[#This Row],[Produto]],tProdutos[Produto],0)),"produto não cadastrado")</f>
        <v>FILA REBASE</v>
      </c>
      <c r="K712" s="12">
        <f>tItens[[#This Row],[Qtd]]*tItens[[#This Row],[Vlr unit]]</f>
        <v>9954.6</v>
      </c>
      <c r="L712" s="6">
        <f>IFERROR(IF(INDEX(tProdutos[Desconto homologado],MATCH(tItens[[#This Row],[Produto]],tProdutos[Produto],0))="",DescontoPadrao,INDEX(tProdutos[Desconto homologado],MATCH(tItens[[#This Row],[Produto]],tProdutos[Produto],0))),DescontoPadrao)</f>
        <v>0.1816062551698</v>
      </c>
      <c r="M712" s="12">
        <f>tItens[[#This Row],[Valor]]*(1-tItens[[#This Row],[Desconto]])</f>
        <v>8146.7823722867088</v>
      </c>
      <c r="N712" t="str">
        <f>IFERROR(INDEX(tProdutos[Foco],MATCH(tItens[[#This Row],[Produto]],tProdutos[Produto],0)),"Não")</f>
        <v>Não</v>
      </c>
      <c r="O712" t="str">
        <f>IFERROR(INDEX(tEditais[SRP],MATCH(tItens[[#This Row],[Edital]],tEditais[Edital],0)),"Não")</f>
        <v>Sim</v>
      </c>
      <c r="P712" s="4">
        <f>IF(COUNTIFS(INDEX(tItens[Edital],1):tItens[[#This Row],[Edital]],tItens[[#This Row],[Edital]],INDEX(tItens[Produto],1):tItens[[#This Row],[Produto]],tItens[[#This Row],[Produto]])=1,1,0)</f>
        <v>1</v>
      </c>
    </row>
    <row r="713" spans="1:16" x14ac:dyDescent="0.25">
      <c r="A713" t="s">
        <v>972</v>
      </c>
      <c r="B713">
        <v>70001</v>
      </c>
      <c r="C713" t="s">
        <v>3819</v>
      </c>
      <c r="D713" t="s">
        <v>363</v>
      </c>
      <c r="E713" s="13">
        <v>3575</v>
      </c>
      <c r="F713" s="12">
        <v>5.9</v>
      </c>
      <c r="G713" t="str">
        <f>IFERROR(INDEX(tEditais[Órgão],MATCH(tItens[[#This Row],[Edital]],tEditais[Edital],0)),"")</f>
        <v>ESTADO DA BAHIA</v>
      </c>
      <c r="H713" t="str">
        <f>IFERROR(INDEX(tEditais[UF],MATCH(tItens[[#This Row],[Edital]],tEditais[Edital],0)),"")</f>
        <v>BA</v>
      </c>
      <c r="I713" s="11">
        <f>IFERROR(INDEX(tEditais[Encerramento],MATCH(tItens[[#This Row],[Edital]],tEditais[Edital],0)),"")</f>
        <v>46314.416666666664</v>
      </c>
      <c r="J713" t="str">
        <f>IFERROR(INDEX(tProdutos[Classe],MATCH(tItens[[#This Row],[Produto]],tProdutos[Produto],0)),"produto não cadastrado")</f>
        <v>FORA</v>
      </c>
      <c r="K713" s="12">
        <f>tItens[[#This Row],[Qtd]]*tItens[[#This Row],[Vlr unit]]</f>
        <v>21092.5</v>
      </c>
      <c r="L713" s="6">
        <f>IFERROR(IF(INDEX(tProdutos[Desconto homologado],MATCH(tItens[[#This Row],[Produto]],tProdutos[Produto],0))="",DescontoPadrao,INDEX(tProdutos[Desconto homologado],MATCH(tItens[[#This Row],[Produto]],tProdutos[Produto],0))),DescontoPadrao)</f>
        <v>0.36454545454545501</v>
      </c>
      <c r="M713" s="12">
        <f>tItens[[#This Row],[Valor]]*(1-tItens[[#This Row],[Desconto]])</f>
        <v>13403.324999999992</v>
      </c>
      <c r="N713" t="str">
        <f>IFERROR(INDEX(tProdutos[Foco],MATCH(tItens[[#This Row],[Produto]],tProdutos[Produto],0)),"Não")</f>
        <v>Não</v>
      </c>
      <c r="O713" t="str">
        <f>IFERROR(INDEX(tEditais[SRP],MATCH(tItens[[#This Row],[Edital]],tEditais[Edital],0)),"Não")</f>
        <v>Sim</v>
      </c>
      <c r="P713" s="4">
        <f>IF(COUNTIFS(INDEX(tItens[Edital],1):tItens[[#This Row],[Edital]],tItens[[#This Row],[Edital]],INDEX(tItens[Produto],1):tItens[[#This Row],[Produto]],tItens[[#This Row],[Produto]])=1,1,0)</f>
        <v>0</v>
      </c>
    </row>
    <row r="714" spans="1:16" x14ac:dyDescent="0.25">
      <c r="A714" t="s">
        <v>975</v>
      </c>
      <c r="B714">
        <v>3</v>
      </c>
      <c r="C714" t="s">
        <v>3893</v>
      </c>
      <c r="D714" t="s">
        <v>94</v>
      </c>
      <c r="E714" s="13">
        <v>2000</v>
      </c>
      <c r="F714" s="12">
        <v>0.2</v>
      </c>
      <c r="G714" t="str">
        <f>IFERROR(INDEX(tEditais[Órgão],MATCH(tItens[[#This Row],[Edital]],tEditais[Edital],0)),"")</f>
        <v>ESTADO DO CEARA</v>
      </c>
      <c r="H714" t="str">
        <f>IFERROR(INDEX(tEditais[UF],MATCH(tItens[[#This Row],[Edital]],tEditais[Edital],0)),"")</f>
        <v>CE</v>
      </c>
      <c r="I714" s="11">
        <f>IFERROR(INDEX(tEditais[Encerramento],MATCH(tItens[[#This Row],[Edital]],tEditais[Edital],0)),"")</f>
        <v>46304.333333333336</v>
      </c>
      <c r="J714" t="str">
        <f>IFERROR(INDEX(tProdutos[Classe],MATCH(tItens[[#This Row],[Produto]],tProdutos[Produto],0)),"produto não cadastrado")</f>
        <v>NÚCLEO</v>
      </c>
      <c r="K714" s="12">
        <f>tItens[[#This Row],[Qtd]]*tItens[[#This Row],[Vlr unit]]</f>
        <v>400</v>
      </c>
      <c r="L714" s="6">
        <f>IFERROR(IF(INDEX(tProdutos[Desconto homologado],MATCH(tItens[[#This Row],[Produto]],tProdutos[Produto],0))="",DescontoPadrao,INDEX(tProdutos[Desconto homologado],MATCH(tItens[[#This Row],[Produto]],tProdutos[Produto],0))),DescontoPadrao)</f>
        <v>0.21</v>
      </c>
      <c r="M714" s="12">
        <f>tItens[[#This Row],[Valor]]*(1-tItens[[#This Row],[Desconto]])</f>
        <v>316</v>
      </c>
      <c r="N714" t="str">
        <f>IFERROR(INDEX(tProdutos[Foco],MATCH(tItens[[#This Row],[Produto]],tProdutos[Produto],0)),"Não")</f>
        <v>Sim</v>
      </c>
      <c r="O714" t="str">
        <f>IFERROR(INDEX(tEditais[SRP],MATCH(tItens[[#This Row],[Edital]],tEditais[Edital],0)),"Não")</f>
        <v>Não</v>
      </c>
      <c r="P714" s="4">
        <f>IF(COUNTIFS(INDEX(tItens[Edital],1):tItens[[#This Row],[Edital]],tItens[[#This Row],[Edital]],INDEX(tItens[Produto],1):tItens[[#This Row],[Produto]],tItens[[#This Row],[Produto]])=1,1,0)</f>
        <v>1</v>
      </c>
    </row>
    <row r="715" spans="1:16" x14ac:dyDescent="0.25">
      <c r="A715" t="s">
        <v>980</v>
      </c>
      <c r="B715">
        <v>3</v>
      </c>
      <c r="C715" t="s">
        <v>3894</v>
      </c>
      <c r="D715" t="s">
        <v>309</v>
      </c>
      <c r="E715" s="13">
        <v>6</v>
      </c>
      <c r="F715" s="12">
        <v>2</v>
      </c>
      <c r="G715" t="str">
        <f>IFERROR(INDEX(tEditais[Órgão],MATCH(tItens[[#This Row],[Edital]],tEditais[Edital],0)),"")</f>
        <v>ESTADO DO CEARA</v>
      </c>
      <c r="H715" t="str">
        <f>IFERROR(INDEX(tEditais[UF],MATCH(tItens[[#This Row],[Edital]],tEditais[Edital],0)),"")</f>
        <v>CE</v>
      </c>
      <c r="I715" s="11">
        <f>IFERROR(INDEX(tEditais[Encerramento],MATCH(tItens[[#This Row],[Edital]],tEditais[Edital],0)),"")</f>
        <v>46304.583333333336</v>
      </c>
      <c r="J715" t="str">
        <f>IFERROR(INDEX(tProdutos[Classe],MATCH(tItens[[#This Row],[Produto]],tProdutos[Produto],0)),"produto não cadastrado")</f>
        <v>DISPUTADO</v>
      </c>
      <c r="K715" s="12">
        <f>tItens[[#This Row],[Qtd]]*tItens[[#This Row],[Vlr unit]]</f>
        <v>12</v>
      </c>
      <c r="L715" s="6">
        <f>IFERROR(IF(INDEX(tProdutos[Desconto homologado],MATCH(tItens[[#This Row],[Produto]],tProdutos[Produto],0))="",DescontoPadrao,INDEX(tProdutos[Desconto homologado],MATCH(tItens[[#This Row],[Produto]],tProdutos[Produto],0))),DescontoPadrao)</f>
        <v>0.329229323455968</v>
      </c>
      <c r="M715" s="12">
        <f>tItens[[#This Row],[Valor]]*(1-tItens[[#This Row],[Desconto]])</f>
        <v>8.049248118528384</v>
      </c>
      <c r="N715" t="str">
        <f>IFERROR(INDEX(tProdutos[Foco],MATCH(tItens[[#This Row],[Produto]],tProdutos[Produto],0)),"Não")</f>
        <v>Não</v>
      </c>
      <c r="O715" t="str">
        <f>IFERROR(INDEX(tEditais[SRP],MATCH(tItens[[#This Row],[Edital]],tEditais[Edital],0)),"Não")</f>
        <v>Não</v>
      </c>
      <c r="P715" s="4">
        <f>IF(COUNTIFS(INDEX(tItens[Edital],1):tItens[[#This Row],[Edital]],tItens[[#This Row],[Edital]],INDEX(tItens[Produto],1):tItens[[#This Row],[Produto]],tItens[[#This Row],[Produto]])=1,1,0)</f>
        <v>1</v>
      </c>
    </row>
    <row r="716" spans="1:16" x14ac:dyDescent="0.25">
      <c r="A716" t="s">
        <v>980</v>
      </c>
      <c r="B716">
        <v>4</v>
      </c>
      <c r="C716" t="s">
        <v>3895</v>
      </c>
      <c r="D716" t="s">
        <v>90</v>
      </c>
      <c r="E716" s="13">
        <v>1</v>
      </c>
      <c r="F716" s="12">
        <v>15</v>
      </c>
      <c r="G716" t="str">
        <f>IFERROR(INDEX(tEditais[Órgão],MATCH(tItens[[#This Row],[Edital]],tEditais[Edital],0)),"")</f>
        <v>ESTADO DO CEARA</v>
      </c>
      <c r="H716" t="str">
        <f>IFERROR(INDEX(tEditais[UF],MATCH(tItens[[#This Row],[Edital]],tEditais[Edital],0)),"")</f>
        <v>CE</v>
      </c>
      <c r="I716" s="11">
        <f>IFERROR(INDEX(tEditais[Encerramento],MATCH(tItens[[#This Row],[Edital]],tEditais[Edital],0)),"")</f>
        <v>46304.583333333336</v>
      </c>
      <c r="J716" t="str">
        <f>IFERROR(INDEX(tProdutos[Classe],MATCH(tItens[[#This Row],[Produto]],tProdutos[Produto],0)),"produto não cadastrado")</f>
        <v>DISPUTADO</v>
      </c>
      <c r="K716" s="12">
        <f>tItens[[#This Row],[Qtd]]*tItens[[#This Row],[Vlr unit]]</f>
        <v>15</v>
      </c>
      <c r="L716" s="6">
        <f>IFERROR(IF(INDEX(tProdutos[Desconto homologado],MATCH(tItens[[#This Row],[Produto]],tProdutos[Produto],0))="",DescontoPadrao,INDEX(tProdutos[Desconto homologado],MATCH(tItens[[#This Row],[Produto]],tProdutos[Produto],0))),DescontoPadrao)</f>
        <v>0.25393823957010597</v>
      </c>
      <c r="M716" s="12">
        <f>tItens[[#This Row],[Valor]]*(1-tItens[[#This Row],[Desconto]])</f>
        <v>11.19092640644841</v>
      </c>
      <c r="N716" t="str">
        <f>IFERROR(INDEX(tProdutos[Foco],MATCH(tItens[[#This Row],[Produto]],tProdutos[Produto],0)),"Não")</f>
        <v>Não</v>
      </c>
      <c r="O716" t="str">
        <f>IFERROR(INDEX(tEditais[SRP],MATCH(tItens[[#This Row],[Edital]],tEditais[Edital],0)),"Não")</f>
        <v>Não</v>
      </c>
      <c r="P716" s="4">
        <f>IF(COUNTIFS(INDEX(tItens[Edital],1):tItens[[#This Row],[Edital]],tItens[[#This Row],[Edital]],INDEX(tItens[Produto],1):tItens[[#This Row],[Produto]],tItens[[#This Row],[Produto]])=1,1,0)</f>
        <v>1</v>
      </c>
    </row>
    <row r="717" spans="1:16" x14ac:dyDescent="0.25">
      <c r="A717" t="s">
        <v>980</v>
      </c>
      <c r="B717">
        <v>5</v>
      </c>
      <c r="C717" t="s">
        <v>3896</v>
      </c>
      <c r="D717" t="s">
        <v>383</v>
      </c>
      <c r="E717" s="13">
        <v>7</v>
      </c>
      <c r="F717" s="12">
        <v>5</v>
      </c>
      <c r="G717" t="str">
        <f>IFERROR(INDEX(tEditais[Órgão],MATCH(tItens[[#This Row],[Edital]],tEditais[Edital],0)),"")</f>
        <v>ESTADO DO CEARA</v>
      </c>
      <c r="H717" t="str">
        <f>IFERROR(INDEX(tEditais[UF],MATCH(tItens[[#This Row],[Edital]],tEditais[Edital],0)),"")</f>
        <v>CE</v>
      </c>
      <c r="I717" s="11">
        <f>IFERROR(INDEX(tEditais[Encerramento],MATCH(tItens[[#This Row],[Edital]],tEditais[Edital],0)),"")</f>
        <v>46304.583333333336</v>
      </c>
      <c r="J717" t="str">
        <f>IFERROR(INDEX(tProdutos[Classe],MATCH(tItens[[#This Row],[Produto]],tProdutos[Produto],0)),"produto não cadastrado")</f>
        <v>FORA</v>
      </c>
      <c r="K717" s="12">
        <f>tItens[[#This Row],[Qtd]]*tItens[[#This Row],[Vlr unit]]</f>
        <v>35</v>
      </c>
      <c r="L717" s="6">
        <f>IFERROR(IF(INDEX(tProdutos[Desconto homologado],MATCH(tItens[[#This Row],[Produto]],tProdutos[Produto],0))="",DescontoPadrao,INDEX(tProdutos[Desconto homologado],MATCH(tItens[[#This Row],[Produto]],tProdutos[Produto],0))),DescontoPadrao)</f>
        <v>0.48749999999999999</v>
      </c>
      <c r="M717" s="12">
        <f>tItens[[#This Row],[Valor]]*(1-tItens[[#This Row],[Desconto]])</f>
        <v>17.9375</v>
      </c>
      <c r="N717" t="str">
        <f>IFERROR(INDEX(tProdutos[Foco],MATCH(tItens[[#This Row],[Produto]],tProdutos[Produto],0)),"Não")</f>
        <v>Não</v>
      </c>
      <c r="O717" t="str">
        <f>IFERROR(INDEX(tEditais[SRP],MATCH(tItens[[#This Row],[Edital]],tEditais[Edital],0)),"Não")</f>
        <v>Não</v>
      </c>
      <c r="P717" s="4">
        <f>IF(COUNTIFS(INDEX(tItens[Edital],1):tItens[[#This Row],[Edital]],tItens[[#This Row],[Edital]],INDEX(tItens[Produto],1):tItens[[#This Row],[Produto]],tItens[[#This Row],[Produto]])=1,1,0)</f>
        <v>1</v>
      </c>
    </row>
    <row r="718" spans="1:16" x14ac:dyDescent="0.25">
      <c r="A718" t="s">
        <v>983</v>
      </c>
      <c r="B718">
        <v>155</v>
      </c>
      <c r="C718" t="s">
        <v>3897</v>
      </c>
      <c r="D718" t="s">
        <v>279</v>
      </c>
      <c r="E718" s="13">
        <v>200</v>
      </c>
      <c r="F718" s="12">
        <v>31.57</v>
      </c>
      <c r="G718" t="str">
        <f>IFERROR(INDEX(tEditais[Órgão],MATCH(tItens[[#This Row],[Edital]],tEditais[Edital],0)),"")</f>
        <v>MUNICIPIO DE MILHA</v>
      </c>
      <c r="H718" t="str">
        <f>IFERROR(INDEX(tEditais[UF],MATCH(tItens[[#This Row],[Edital]],tEditais[Edital],0)),"")</f>
        <v>CE</v>
      </c>
      <c r="I718" s="11">
        <f>IFERROR(INDEX(tEditais[Encerramento],MATCH(tItens[[#This Row],[Edital]],tEditais[Edital],0)),"")</f>
        <v>46308.374305555553</v>
      </c>
      <c r="J718" t="str">
        <f>IFERROR(INDEX(tProdutos[Classe],MATCH(tItens[[#This Row],[Produto]],tProdutos[Produto],0)),"produto não cadastrado")</f>
        <v>FORA</v>
      </c>
      <c r="K718" s="12">
        <f>tItens[[#This Row],[Qtd]]*tItens[[#This Row],[Vlr unit]]</f>
        <v>6314</v>
      </c>
      <c r="L718" s="6">
        <f>IFERROR(IF(INDEX(tProdutos[Desconto homologado],MATCH(tItens[[#This Row],[Produto]],tProdutos[Produto],0))="",DescontoPadrao,INDEX(tProdutos[Desconto homologado],MATCH(tItens[[#This Row],[Produto]],tProdutos[Produto],0))),DescontoPadrao)</f>
        <v>0.28909090909090901</v>
      </c>
      <c r="M718" s="12">
        <f>tItens[[#This Row],[Valor]]*(1-tItens[[#This Row],[Desconto]])</f>
        <v>4488.68</v>
      </c>
      <c r="N718" t="str">
        <f>IFERROR(INDEX(tProdutos[Foco],MATCH(tItens[[#This Row],[Produto]],tProdutos[Produto],0)),"Não")</f>
        <v>Não</v>
      </c>
      <c r="O718" t="str">
        <f>IFERROR(INDEX(tEditais[SRP],MATCH(tItens[[#This Row],[Edital]],tEditais[Edital],0)),"Não")</f>
        <v>Não</v>
      </c>
      <c r="P718" s="4">
        <f>IF(COUNTIFS(INDEX(tItens[Edital],1):tItens[[#This Row],[Edital]],tItens[[#This Row],[Edital]],INDEX(tItens[Produto],1):tItens[[#This Row],[Produto]],tItens[[#This Row],[Produto]])=1,1,0)</f>
        <v>1</v>
      </c>
    </row>
    <row r="719" spans="1:16" x14ac:dyDescent="0.25">
      <c r="A719" t="s">
        <v>983</v>
      </c>
      <c r="B719">
        <v>163</v>
      </c>
      <c r="C719" t="s">
        <v>3898</v>
      </c>
      <c r="D719" t="s">
        <v>387</v>
      </c>
      <c r="E719" s="13">
        <v>5000</v>
      </c>
      <c r="F719" s="12">
        <v>5.42</v>
      </c>
      <c r="G719" t="str">
        <f>IFERROR(INDEX(tEditais[Órgão],MATCH(tItens[[#This Row],[Edital]],tEditais[Edital],0)),"")</f>
        <v>MUNICIPIO DE MILHA</v>
      </c>
      <c r="H719" t="str">
        <f>IFERROR(INDEX(tEditais[UF],MATCH(tItens[[#This Row],[Edital]],tEditais[Edital],0)),"")</f>
        <v>CE</v>
      </c>
      <c r="I719" s="11">
        <f>IFERROR(INDEX(tEditais[Encerramento],MATCH(tItens[[#This Row],[Edital]],tEditais[Edital],0)),"")</f>
        <v>46308.374305555553</v>
      </c>
      <c r="J719" t="str">
        <f>IFERROR(INDEX(tProdutos[Classe],MATCH(tItens[[#This Row],[Produto]],tProdutos[Produto],0)),"produto não cadastrado")</f>
        <v>FORA</v>
      </c>
      <c r="K719" s="12">
        <f>tItens[[#This Row],[Qtd]]*tItens[[#This Row],[Vlr unit]]</f>
        <v>27100</v>
      </c>
      <c r="L719" s="6">
        <f>IFERROR(IF(INDEX(tProdutos[Desconto homologado],MATCH(tItens[[#This Row],[Produto]],tProdutos[Produto],0))="",DescontoPadrao,INDEX(tProdutos[Desconto homologado],MATCH(tItens[[#This Row],[Produto]],tProdutos[Produto],0))),DescontoPadrao)</f>
        <v>0.30458221024258803</v>
      </c>
      <c r="M719" s="12">
        <f>tItens[[#This Row],[Valor]]*(1-tItens[[#This Row],[Desconto]])</f>
        <v>18845.822102425864</v>
      </c>
      <c r="N719" t="str">
        <f>IFERROR(INDEX(tProdutos[Foco],MATCH(tItens[[#This Row],[Produto]],tProdutos[Produto],0)),"Não")</f>
        <v>Não</v>
      </c>
      <c r="O719" t="str">
        <f>IFERROR(INDEX(tEditais[SRP],MATCH(tItens[[#This Row],[Edital]],tEditais[Edital],0)),"Não")</f>
        <v>Não</v>
      </c>
      <c r="P719" s="4">
        <f>IF(COUNTIFS(INDEX(tItens[Edital],1):tItens[[#This Row],[Edital]],tItens[[#This Row],[Edital]],INDEX(tItens[Produto],1):tItens[[#This Row],[Produto]],tItens[[#This Row],[Produto]])=1,1,0)</f>
        <v>1</v>
      </c>
    </row>
    <row r="720" spans="1:16" x14ac:dyDescent="0.25">
      <c r="A720" t="s">
        <v>983</v>
      </c>
      <c r="B720">
        <v>164</v>
      </c>
      <c r="C720" t="s">
        <v>3899</v>
      </c>
      <c r="D720" t="s">
        <v>387</v>
      </c>
      <c r="E720" s="13">
        <v>5000</v>
      </c>
      <c r="F720" s="12">
        <v>9.9</v>
      </c>
      <c r="G720" t="str">
        <f>IFERROR(INDEX(tEditais[Órgão],MATCH(tItens[[#This Row],[Edital]],tEditais[Edital],0)),"")</f>
        <v>MUNICIPIO DE MILHA</v>
      </c>
      <c r="H720" t="str">
        <f>IFERROR(INDEX(tEditais[UF],MATCH(tItens[[#This Row],[Edital]],tEditais[Edital],0)),"")</f>
        <v>CE</v>
      </c>
      <c r="I720" s="11">
        <f>IFERROR(INDEX(tEditais[Encerramento],MATCH(tItens[[#This Row],[Edital]],tEditais[Edital],0)),"")</f>
        <v>46308.374305555553</v>
      </c>
      <c r="J720" t="str">
        <f>IFERROR(INDEX(tProdutos[Classe],MATCH(tItens[[#This Row],[Produto]],tProdutos[Produto],0)),"produto não cadastrado")</f>
        <v>FORA</v>
      </c>
      <c r="K720" s="12">
        <f>tItens[[#This Row],[Qtd]]*tItens[[#This Row],[Vlr unit]]</f>
        <v>49500</v>
      </c>
      <c r="L720" s="6">
        <f>IFERROR(IF(INDEX(tProdutos[Desconto homologado],MATCH(tItens[[#This Row],[Produto]],tProdutos[Produto],0))="",DescontoPadrao,INDEX(tProdutos[Desconto homologado],MATCH(tItens[[#This Row],[Produto]],tProdutos[Produto],0))),DescontoPadrao)</f>
        <v>0.30458221024258803</v>
      </c>
      <c r="M720" s="12">
        <f>tItens[[#This Row],[Valor]]*(1-tItens[[#This Row],[Desconto]])</f>
        <v>34423.180592991892</v>
      </c>
      <c r="N720" t="str">
        <f>IFERROR(INDEX(tProdutos[Foco],MATCH(tItens[[#This Row],[Produto]],tProdutos[Produto],0)),"Não")</f>
        <v>Não</v>
      </c>
      <c r="O720" t="str">
        <f>IFERROR(INDEX(tEditais[SRP],MATCH(tItens[[#This Row],[Edital]],tEditais[Edital],0)),"Não")</f>
        <v>Não</v>
      </c>
      <c r="P720" s="4">
        <f>IF(COUNTIFS(INDEX(tItens[Edital],1):tItens[[#This Row],[Edital]],tItens[[#This Row],[Edital]],INDEX(tItens[Produto],1):tItens[[#This Row],[Produto]],tItens[[#This Row],[Produto]])=1,1,0)</f>
        <v>0</v>
      </c>
    </row>
    <row r="721" spans="1:16" x14ac:dyDescent="0.25">
      <c r="A721" t="s">
        <v>983</v>
      </c>
      <c r="B721">
        <v>165</v>
      </c>
      <c r="C721" t="s">
        <v>3900</v>
      </c>
      <c r="D721" t="s">
        <v>62</v>
      </c>
      <c r="E721" s="13">
        <v>30000</v>
      </c>
      <c r="F721" s="12">
        <v>3.37</v>
      </c>
      <c r="G721" t="str">
        <f>IFERROR(INDEX(tEditais[Órgão],MATCH(tItens[[#This Row],[Edital]],tEditais[Edital],0)),"")</f>
        <v>MUNICIPIO DE MILHA</v>
      </c>
      <c r="H721" t="str">
        <f>IFERROR(INDEX(tEditais[UF],MATCH(tItens[[#This Row],[Edital]],tEditais[Edital],0)),"")</f>
        <v>CE</v>
      </c>
      <c r="I721" s="11">
        <f>IFERROR(INDEX(tEditais[Encerramento],MATCH(tItens[[#This Row],[Edital]],tEditais[Edital],0)),"")</f>
        <v>46308.374305555553</v>
      </c>
      <c r="J721" t="str">
        <f>IFERROR(INDEX(tProdutos[Classe],MATCH(tItens[[#This Row],[Produto]],tProdutos[Produto],0)),"produto não cadastrado")</f>
        <v>NÚCLEO</v>
      </c>
      <c r="K721" s="12">
        <f>tItens[[#This Row],[Qtd]]*tItens[[#This Row],[Vlr unit]]</f>
        <v>101100</v>
      </c>
      <c r="L721" s="6">
        <f>IFERROR(IF(INDEX(tProdutos[Desconto homologado],MATCH(tItens[[#This Row],[Produto]],tProdutos[Produto],0))="",DescontoPadrao,INDEX(tProdutos[Desconto homologado],MATCH(tItens[[#This Row],[Produto]],tProdutos[Produto],0))),DescontoPadrao)</f>
        <v>0.3</v>
      </c>
      <c r="M721" s="12">
        <f>tItens[[#This Row],[Valor]]*(1-tItens[[#This Row],[Desconto]])</f>
        <v>70770</v>
      </c>
      <c r="N721" t="str">
        <f>IFERROR(INDEX(tProdutos[Foco],MATCH(tItens[[#This Row],[Produto]],tProdutos[Produto],0)),"Não")</f>
        <v>Sim</v>
      </c>
      <c r="O721" t="str">
        <f>IFERROR(INDEX(tEditais[SRP],MATCH(tItens[[#This Row],[Edital]],tEditais[Edital],0)),"Não")</f>
        <v>Não</v>
      </c>
      <c r="P721" s="4">
        <f>IF(COUNTIFS(INDEX(tItens[Edital],1):tItens[[#This Row],[Edital]],tItens[[#This Row],[Edital]],INDEX(tItens[Produto],1):tItens[[#This Row],[Produto]],tItens[[#This Row],[Produto]])=1,1,0)</f>
        <v>1</v>
      </c>
    </row>
    <row r="722" spans="1:16" x14ac:dyDescent="0.25">
      <c r="A722" t="s">
        <v>983</v>
      </c>
      <c r="B722">
        <v>166</v>
      </c>
      <c r="C722" t="s">
        <v>3901</v>
      </c>
      <c r="D722" t="s">
        <v>62</v>
      </c>
      <c r="E722" s="13">
        <v>5000</v>
      </c>
      <c r="F722" s="12">
        <v>8.16</v>
      </c>
      <c r="G722" t="str">
        <f>IFERROR(INDEX(tEditais[Órgão],MATCH(tItens[[#This Row],[Edital]],tEditais[Edital],0)),"")</f>
        <v>MUNICIPIO DE MILHA</v>
      </c>
      <c r="H722" t="str">
        <f>IFERROR(INDEX(tEditais[UF],MATCH(tItens[[#This Row],[Edital]],tEditais[Edital],0)),"")</f>
        <v>CE</v>
      </c>
      <c r="I722" s="11">
        <f>IFERROR(INDEX(tEditais[Encerramento],MATCH(tItens[[#This Row],[Edital]],tEditais[Edital],0)),"")</f>
        <v>46308.374305555553</v>
      </c>
      <c r="J722" t="str">
        <f>IFERROR(INDEX(tProdutos[Classe],MATCH(tItens[[#This Row],[Produto]],tProdutos[Produto],0)),"produto não cadastrado")</f>
        <v>NÚCLEO</v>
      </c>
      <c r="K722" s="12">
        <f>tItens[[#This Row],[Qtd]]*tItens[[#This Row],[Vlr unit]]</f>
        <v>40800</v>
      </c>
      <c r="L722" s="6">
        <f>IFERROR(IF(INDEX(tProdutos[Desconto homologado],MATCH(tItens[[#This Row],[Produto]],tProdutos[Produto],0))="",DescontoPadrao,INDEX(tProdutos[Desconto homologado],MATCH(tItens[[#This Row],[Produto]],tProdutos[Produto],0))),DescontoPadrao)</f>
        <v>0.3</v>
      </c>
      <c r="M722" s="12">
        <f>tItens[[#This Row],[Valor]]*(1-tItens[[#This Row],[Desconto]])</f>
        <v>28560</v>
      </c>
      <c r="N722" t="str">
        <f>IFERROR(INDEX(tProdutos[Foco],MATCH(tItens[[#This Row],[Produto]],tProdutos[Produto],0)),"Não")</f>
        <v>Sim</v>
      </c>
      <c r="O722" t="str">
        <f>IFERROR(INDEX(tEditais[SRP],MATCH(tItens[[#This Row],[Edital]],tEditais[Edital],0)),"Não")</f>
        <v>Não</v>
      </c>
      <c r="P722" s="4">
        <f>IF(COUNTIFS(INDEX(tItens[Edital],1):tItens[[#This Row],[Edital]],tItens[[#This Row],[Edital]],INDEX(tItens[Produto],1):tItens[[#This Row],[Produto]],tItens[[#This Row],[Produto]])=1,1,0)</f>
        <v>0</v>
      </c>
    </row>
    <row r="723" spans="1:16" x14ac:dyDescent="0.25">
      <c r="A723" t="s">
        <v>983</v>
      </c>
      <c r="B723">
        <v>167</v>
      </c>
      <c r="C723" t="s">
        <v>3902</v>
      </c>
      <c r="D723" t="s">
        <v>423</v>
      </c>
      <c r="E723" s="13">
        <v>100</v>
      </c>
      <c r="F723" s="12">
        <v>13.89</v>
      </c>
      <c r="G723" t="str">
        <f>IFERROR(INDEX(tEditais[Órgão],MATCH(tItens[[#This Row],[Edital]],tEditais[Edital],0)),"")</f>
        <v>MUNICIPIO DE MILHA</v>
      </c>
      <c r="H723" t="str">
        <f>IFERROR(INDEX(tEditais[UF],MATCH(tItens[[#This Row],[Edital]],tEditais[Edital],0)),"")</f>
        <v>CE</v>
      </c>
      <c r="I723" s="11">
        <f>IFERROR(INDEX(tEditais[Encerramento],MATCH(tItens[[#This Row],[Edital]],tEditais[Edital],0)),"")</f>
        <v>46308.374305555553</v>
      </c>
      <c r="J723" t="str">
        <f>IFERROR(INDEX(tProdutos[Classe],MATCH(tItens[[#This Row],[Produto]],tProdutos[Produto],0)),"produto não cadastrado")</f>
        <v>FORA</v>
      </c>
      <c r="K723" s="12">
        <f>tItens[[#This Row],[Qtd]]*tItens[[#This Row],[Vlr unit]]</f>
        <v>1389</v>
      </c>
      <c r="L723" s="6">
        <f>IFERROR(IF(INDEX(tProdutos[Desconto homologado],MATCH(tItens[[#This Row],[Produto]],tProdutos[Produto],0))="",DescontoPadrao,INDEX(tProdutos[Desconto homologado],MATCH(tItens[[#This Row],[Produto]],tProdutos[Produto],0))),DescontoPadrao)</f>
        <v>0.38271604938271597</v>
      </c>
      <c r="M723" s="12">
        <f>tItens[[#This Row],[Valor]]*(1-tItens[[#This Row],[Desconto]])</f>
        <v>857.4074074074075</v>
      </c>
      <c r="N723" t="str">
        <f>IFERROR(INDEX(tProdutos[Foco],MATCH(tItens[[#This Row],[Produto]],tProdutos[Produto],0)),"Não")</f>
        <v>Não</v>
      </c>
      <c r="O723" t="str">
        <f>IFERROR(INDEX(tEditais[SRP],MATCH(tItens[[#This Row],[Edital]],tEditais[Edital],0)),"Não")</f>
        <v>Não</v>
      </c>
      <c r="P723" s="4">
        <f>IF(COUNTIFS(INDEX(tItens[Edital],1):tItens[[#This Row],[Edital]],tItens[[#This Row],[Edital]],INDEX(tItens[Produto],1):tItens[[#This Row],[Produto]],tItens[[#This Row],[Produto]])=1,1,0)</f>
        <v>1</v>
      </c>
    </row>
    <row r="724" spans="1:16" x14ac:dyDescent="0.25">
      <c r="A724" t="s">
        <v>983</v>
      </c>
      <c r="B724">
        <v>168</v>
      </c>
      <c r="C724" t="s">
        <v>3903</v>
      </c>
      <c r="D724" t="s">
        <v>421</v>
      </c>
      <c r="E724" s="13">
        <v>100</v>
      </c>
      <c r="F724" s="12">
        <v>15.28</v>
      </c>
      <c r="G724" t="str">
        <f>IFERROR(INDEX(tEditais[Órgão],MATCH(tItens[[#This Row],[Edital]],tEditais[Edital],0)),"")</f>
        <v>MUNICIPIO DE MILHA</v>
      </c>
      <c r="H724" t="str">
        <f>IFERROR(INDEX(tEditais[UF],MATCH(tItens[[#This Row],[Edital]],tEditais[Edital],0)),"")</f>
        <v>CE</v>
      </c>
      <c r="I724" s="11">
        <f>IFERROR(INDEX(tEditais[Encerramento],MATCH(tItens[[#This Row],[Edital]],tEditais[Edital],0)),"")</f>
        <v>46308.374305555553</v>
      </c>
      <c r="J724" t="str">
        <f>IFERROR(INDEX(tProdutos[Classe],MATCH(tItens[[#This Row],[Produto]],tProdutos[Produto],0)),"produto não cadastrado")</f>
        <v>FORA</v>
      </c>
      <c r="K724" s="12">
        <f>tItens[[#This Row],[Qtd]]*tItens[[#This Row],[Vlr unit]]</f>
        <v>1528</v>
      </c>
      <c r="L724" s="6">
        <f>IFERROR(IF(INDEX(tProdutos[Desconto homologado],MATCH(tItens[[#This Row],[Produto]],tProdutos[Produto],0))="",DescontoPadrao,INDEX(tProdutos[Desconto homologado],MATCH(tItens[[#This Row],[Produto]],tProdutos[Produto],0))),DescontoPadrao)</f>
        <v>0.43</v>
      </c>
      <c r="M724" s="12">
        <f>tItens[[#This Row],[Valor]]*(1-tItens[[#This Row],[Desconto]])</f>
        <v>870.96000000000015</v>
      </c>
      <c r="N724" t="str">
        <f>IFERROR(INDEX(tProdutos[Foco],MATCH(tItens[[#This Row],[Produto]],tProdutos[Produto],0)),"Não")</f>
        <v>Sim</v>
      </c>
      <c r="O724" t="str">
        <f>IFERROR(INDEX(tEditais[SRP],MATCH(tItens[[#This Row],[Edital]],tEditais[Edital],0)),"Não")</f>
        <v>Não</v>
      </c>
      <c r="P724" s="4">
        <f>IF(COUNTIFS(INDEX(tItens[Edital],1):tItens[[#This Row],[Edital]],tItens[[#This Row],[Edital]],INDEX(tItens[Produto],1):tItens[[#This Row],[Produto]],tItens[[#This Row],[Produto]])=1,1,0)</f>
        <v>1</v>
      </c>
    </row>
    <row r="725" spans="1:16" x14ac:dyDescent="0.25">
      <c r="A725" t="s">
        <v>983</v>
      </c>
      <c r="B725">
        <v>169</v>
      </c>
      <c r="C725" t="s">
        <v>3904</v>
      </c>
      <c r="D725" t="s">
        <v>160</v>
      </c>
      <c r="E725" s="13">
        <v>1000</v>
      </c>
      <c r="F725" s="12">
        <v>3.23</v>
      </c>
      <c r="G725" t="str">
        <f>IFERROR(INDEX(tEditais[Órgão],MATCH(tItens[[#This Row],[Edital]],tEditais[Edital],0)),"")</f>
        <v>MUNICIPIO DE MILHA</v>
      </c>
      <c r="H725" t="str">
        <f>IFERROR(INDEX(tEditais[UF],MATCH(tItens[[#This Row],[Edital]],tEditais[Edital],0)),"")</f>
        <v>CE</v>
      </c>
      <c r="I725" s="11">
        <f>IFERROR(INDEX(tEditais[Encerramento],MATCH(tItens[[#This Row],[Edital]],tEditais[Edital],0)),"")</f>
        <v>46308.374305555553</v>
      </c>
      <c r="J725" t="str">
        <f>IFERROR(INDEX(tProdutos[Classe],MATCH(tItens[[#This Row],[Produto]],tProdutos[Produto],0)),"produto não cadastrado")</f>
        <v>DISPUTADO</v>
      </c>
      <c r="K725" s="12">
        <f>tItens[[#This Row],[Qtd]]*tItens[[#This Row],[Vlr unit]]</f>
        <v>3230</v>
      </c>
      <c r="L725" s="6">
        <f>IFERROR(IF(INDEX(tProdutos[Desconto homologado],MATCH(tItens[[#This Row],[Produto]],tProdutos[Produto],0))="",DescontoPadrao,INDEX(tProdutos[Desconto homologado],MATCH(tItens[[#This Row],[Produto]],tProdutos[Produto],0))),DescontoPadrao)</f>
        <v>0.28000000000000003</v>
      </c>
      <c r="M725" s="12">
        <f>tItens[[#This Row],[Valor]]*(1-tItens[[#This Row],[Desconto]])</f>
        <v>2325.6</v>
      </c>
      <c r="N725" t="str">
        <f>IFERROR(INDEX(tProdutos[Foco],MATCH(tItens[[#This Row],[Produto]],tProdutos[Produto],0)),"Não")</f>
        <v>Sim</v>
      </c>
      <c r="O725" t="str">
        <f>IFERROR(INDEX(tEditais[SRP],MATCH(tItens[[#This Row],[Edital]],tEditais[Edital],0)),"Não")</f>
        <v>Não</v>
      </c>
      <c r="P725" s="4">
        <f>IF(COUNTIFS(INDEX(tItens[Edital],1):tItens[[#This Row],[Edital]],tItens[[#This Row],[Edital]],INDEX(tItens[Produto],1):tItens[[#This Row],[Produto]],tItens[[#This Row],[Produto]])=1,1,0)</f>
        <v>1</v>
      </c>
    </row>
    <row r="726" spans="1:16" x14ac:dyDescent="0.25">
      <c r="A726" t="s">
        <v>983</v>
      </c>
      <c r="B726">
        <v>170</v>
      </c>
      <c r="C726" t="s">
        <v>3905</v>
      </c>
      <c r="D726" t="s">
        <v>409</v>
      </c>
      <c r="E726" s="13">
        <v>3000</v>
      </c>
      <c r="F726" s="12">
        <v>4.17</v>
      </c>
      <c r="G726" t="str">
        <f>IFERROR(INDEX(tEditais[Órgão],MATCH(tItens[[#This Row],[Edital]],tEditais[Edital],0)),"")</f>
        <v>MUNICIPIO DE MILHA</v>
      </c>
      <c r="H726" t="str">
        <f>IFERROR(INDEX(tEditais[UF],MATCH(tItens[[#This Row],[Edital]],tEditais[Edital],0)),"")</f>
        <v>CE</v>
      </c>
      <c r="I726" s="11">
        <f>IFERROR(INDEX(tEditais[Encerramento],MATCH(tItens[[#This Row],[Edital]],tEditais[Edital],0)),"")</f>
        <v>46308.374305555553</v>
      </c>
      <c r="J726" t="str">
        <f>IFERROR(INDEX(tProdutos[Classe],MATCH(tItens[[#This Row],[Produto]],tProdutos[Produto],0)),"produto não cadastrado")</f>
        <v>FORA</v>
      </c>
      <c r="K726" s="12">
        <f>tItens[[#This Row],[Qtd]]*tItens[[#This Row],[Vlr unit]]</f>
        <v>12510</v>
      </c>
      <c r="L726" s="6">
        <f>IFERROR(IF(INDEX(tProdutos[Desconto homologado],MATCH(tItens[[#This Row],[Produto]],tProdutos[Produto],0))="",DescontoPadrao,INDEX(tProdutos[Desconto homologado],MATCH(tItens[[#This Row],[Produto]],tProdutos[Produto],0))),DescontoPadrao)</f>
        <v>0.24924924924924899</v>
      </c>
      <c r="M726" s="12">
        <f>tItens[[#This Row],[Valor]]*(1-tItens[[#This Row],[Desconto]])</f>
        <v>9391.8918918918953</v>
      </c>
      <c r="N726" t="str">
        <f>IFERROR(INDEX(tProdutos[Foco],MATCH(tItens[[#This Row],[Produto]],tProdutos[Produto],0)),"Não")</f>
        <v>Não</v>
      </c>
      <c r="O726" t="str">
        <f>IFERROR(INDEX(tEditais[SRP],MATCH(tItens[[#This Row],[Edital]],tEditais[Edital],0)),"Não")</f>
        <v>Não</v>
      </c>
      <c r="P726" s="4">
        <f>IF(COUNTIFS(INDEX(tItens[Edital],1):tItens[[#This Row],[Edital]],tItens[[#This Row],[Edital]],INDEX(tItens[Produto],1):tItens[[#This Row],[Produto]],tItens[[#This Row],[Produto]])=1,1,0)</f>
        <v>1</v>
      </c>
    </row>
    <row r="727" spans="1:16" x14ac:dyDescent="0.25">
      <c r="A727" t="s">
        <v>983</v>
      </c>
      <c r="B727">
        <v>171</v>
      </c>
      <c r="C727" t="s">
        <v>3906</v>
      </c>
      <c r="D727" t="s">
        <v>409</v>
      </c>
      <c r="E727" s="13">
        <v>3000</v>
      </c>
      <c r="F727" s="12">
        <v>9.09</v>
      </c>
      <c r="G727" t="str">
        <f>IFERROR(INDEX(tEditais[Órgão],MATCH(tItens[[#This Row],[Edital]],tEditais[Edital],0)),"")</f>
        <v>MUNICIPIO DE MILHA</v>
      </c>
      <c r="H727" t="str">
        <f>IFERROR(INDEX(tEditais[UF],MATCH(tItens[[#This Row],[Edital]],tEditais[Edital],0)),"")</f>
        <v>CE</v>
      </c>
      <c r="I727" s="11">
        <f>IFERROR(INDEX(tEditais[Encerramento],MATCH(tItens[[#This Row],[Edital]],tEditais[Edital],0)),"")</f>
        <v>46308.374305555553</v>
      </c>
      <c r="J727" t="str">
        <f>IFERROR(INDEX(tProdutos[Classe],MATCH(tItens[[#This Row],[Produto]],tProdutos[Produto],0)),"produto não cadastrado")</f>
        <v>FORA</v>
      </c>
      <c r="K727" s="12">
        <f>tItens[[#This Row],[Qtd]]*tItens[[#This Row],[Vlr unit]]</f>
        <v>27270</v>
      </c>
      <c r="L727" s="6">
        <f>IFERROR(IF(INDEX(tProdutos[Desconto homologado],MATCH(tItens[[#This Row],[Produto]],tProdutos[Produto],0))="",DescontoPadrao,INDEX(tProdutos[Desconto homologado],MATCH(tItens[[#This Row],[Produto]],tProdutos[Produto],0))),DescontoPadrao)</f>
        <v>0.24924924924924899</v>
      </c>
      <c r="M727" s="12">
        <f>tItens[[#This Row],[Valor]]*(1-tItens[[#This Row],[Desconto]])</f>
        <v>20472.972972972981</v>
      </c>
      <c r="N727" t="str">
        <f>IFERROR(INDEX(tProdutos[Foco],MATCH(tItens[[#This Row],[Produto]],tProdutos[Produto],0)),"Não")</f>
        <v>Não</v>
      </c>
      <c r="O727" t="str">
        <f>IFERROR(INDEX(tEditais[SRP],MATCH(tItens[[#This Row],[Edital]],tEditais[Edital],0)),"Não")</f>
        <v>Não</v>
      </c>
      <c r="P727" s="4">
        <f>IF(COUNTIFS(INDEX(tItens[Edital],1):tItens[[#This Row],[Edital]],tItens[[#This Row],[Edital]],INDEX(tItens[Produto],1):tItens[[#This Row],[Produto]],tItens[[#This Row],[Produto]])=1,1,0)</f>
        <v>0</v>
      </c>
    </row>
    <row r="728" spans="1:16" x14ac:dyDescent="0.25">
      <c r="A728" t="s">
        <v>983</v>
      </c>
      <c r="B728">
        <v>172</v>
      </c>
      <c r="C728" t="s">
        <v>3907</v>
      </c>
      <c r="D728" t="s">
        <v>409</v>
      </c>
      <c r="E728" s="13">
        <v>10000</v>
      </c>
      <c r="F728" s="12">
        <v>10.71</v>
      </c>
      <c r="G728" t="str">
        <f>IFERROR(INDEX(tEditais[Órgão],MATCH(tItens[[#This Row],[Edital]],tEditais[Edital],0)),"")</f>
        <v>MUNICIPIO DE MILHA</v>
      </c>
      <c r="H728" t="str">
        <f>IFERROR(INDEX(tEditais[UF],MATCH(tItens[[#This Row],[Edital]],tEditais[Edital],0)),"")</f>
        <v>CE</v>
      </c>
      <c r="I728" s="11">
        <f>IFERROR(INDEX(tEditais[Encerramento],MATCH(tItens[[#This Row],[Edital]],tEditais[Edital],0)),"")</f>
        <v>46308.374305555553</v>
      </c>
      <c r="J728" t="str">
        <f>IFERROR(INDEX(tProdutos[Classe],MATCH(tItens[[#This Row],[Produto]],tProdutos[Produto],0)),"produto não cadastrado")</f>
        <v>FORA</v>
      </c>
      <c r="K728" s="12">
        <f>tItens[[#This Row],[Qtd]]*tItens[[#This Row],[Vlr unit]]</f>
        <v>107100.00000000001</v>
      </c>
      <c r="L728" s="6">
        <f>IFERROR(IF(INDEX(tProdutos[Desconto homologado],MATCH(tItens[[#This Row],[Produto]],tProdutos[Produto],0))="",DescontoPadrao,INDEX(tProdutos[Desconto homologado],MATCH(tItens[[#This Row],[Produto]],tProdutos[Produto],0))),DescontoPadrao)</f>
        <v>0.24924924924924899</v>
      </c>
      <c r="M728" s="12">
        <f>tItens[[#This Row],[Valor]]*(1-tItens[[#This Row],[Desconto]])</f>
        <v>80405.405405405443</v>
      </c>
      <c r="N728" t="str">
        <f>IFERROR(INDEX(tProdutos[Foco],MATCH(tItens[[#This Row],[Produto]],tProdutos[Produto],0)),"Não")</f>
        <v>Não</v>
      </c>
      <c r="O728" t="str">
        <f>IFERROR(INDEX(tEditais[SRP],MATCH(tItens[[#This Row],[Edital]],tEditais[Edital],0)),"Não")</f>
        <v>Não</v>
      </c>
      <c r="P728" s="4">
        <f>IF(COUNTIFS(INDEX(tItens[Edital],1):tItens[[#This Row],[Edital]],tItens[[#This Row],[Edital]],INDEX(tItens[Produto],1):tItens[[#This Row],[Produto]],tItens[[#This Row],[Produto]])=1,1,0)</f>
        <v>0</v>
      </c>
    </row>
    <row r="729" spans="1:16" x14ac:dyDescent="0.25">
      <c r="A729" t="s">
        <v>983</v>
      </c>
      <c r="B729">
        <v>183</v>
      </c>
      <c r="C729" t="s">
        <v>3908</v>
      </c>
      <c r="D729" t="s">
        <v>73</v>
      </c>
      <c r="E729" s="13">
        <v>5000</v>
      </c>
      <c r="F729" s="12">
        <v>2.81</v>
      </c>
      <c r="G729" t="str">
        <f>IFERROR(INDEX(tEditais[Órgão],MATCH(tItens[[#This Row],[Edital]],tEditais[Edital],0)),"")</f>
        <v>MUNICIPIO DE MILHA</v>
      </c>
      <c r="H729" t="str">
        <f>IFERROR(INDEX(tEditais[UF],MATCH(tItens[[#This Row],[Edital]],tEditais[Edital],0)),"")</f>
        <v>CE</v>
      </c>
      <c r="I729" s="11">
        <f>IFERROR(INDEX(tEditais[Encerramento],MATCH(tItens[[#This Row],[Edital]],tEditais[Edital],0)),"")</f>
        <v>46308.374305555553</v>
      </c>
      <c r="J729" t="str">
        <f>IFERROR(INDEX(tProdutos[Classe],MATCH(tItens[[#This Row],[Produto]],tProdutos[Produto],0)),"produto não cadastrado")</f>
        <v>NÚCLEO</v>
      </c>
      <c r="K729" s="12">
        <f>tItens[[#This Row],[Qtd]]*tItens[[#This Row],[Vlr unit]]</f>
        <v>14050</v>
      </c>
      <c r="L729" s="6">
        <f>IFERROR(IF(INDEX(tProdutos[Desconto homologado],MATCH(tItens[[#This Row],[Produto]],tProdutos[Produto],0))="",DescontoPadrao,INDEX(tProdutos[Desconto homologado],MATCH(tItens[[#This Row],[Produto]],tProdutos[Produto],0))),DescontoPadrao)</f>
        <v>0.37</v>
      </c>
      <c r="M729" s="12">
        <f>tItens[[#This Row],[Valor]]*(1-tItens[[#This Row],[Desconto]])</f>
        <v>8851.5</v>
      </c>
      <c r="N729" t="str">
        <f>IFERROR(INDEX(tProdutos[Foco],MATCH(tItens[[#This Row],[Produto]],tProdutos[Produto],0)),"Não")</f>
        <v>Sim</v>
      </c>
      <c r="O729" t="str">
        <f>IFERROR(INDEX(tEditais[SRP],MATCH(tItens[[#This Row],[Edital]],tEditais[Edital],0)),"Não")</f>
        <v>Não</v>
      </c>
      <c r="P729" s="4">
        <f>IF(COUNTIFS(INDEX(tItens[Edital],1):tItens[[#This Row],[Edital]],tItens[[#This Row],[Edital]],INDEX(tItens[Produto],1):tItens[[#This Row],[Produto]],tItens[[#This Row],[Produto]])=1,1,0)</f>
        <v>1</v>
      </c>
    </row>
    <row r="730" spans="1:16" x14ac:dyDescent="0.25">
      <c r="A730" t="s">
        <v>983</v>
      </c>
      <c r="B730">
        <v>184</v>
      </c>
      <c r="C730" t="s">
        <v>3909</v>
      </c>
      <c r="D730" t="s">
        <v>73</v>
      </c>
      <c r="E730" s="13">
        <v>2000</v>
      </c>
      <c r="F730" s="12">
        <v>2.06</v>
      </c>
      <c r="G730" t="str">
        <f>IFERROR(INDEX(tEditais[Órgão],MATCH(tItens[[#This Row],[Edital]],tEditais[Edital],0)),"")</f>
        <v>MUNICIPIO DE MILHA</v>
      </c>
      <c r="H730" t="str">
        <f>IFERROR(INDEX(tEditais[UF],MATCH(tItens[[#This Row],[Edital]],tEditais[Edital],0)),"")</f>
        <v>CE</v>
      </c>
      <c r="I730" s="11">
        <f>IFERROR(INDEX(tEditais[Encerramento],MATCH(tItens[[#This Row],[Edital]],tEditais[Edital],0)),"")</f>
        <v>46308.374305555553</v>
      </c>
      <c r="J730" t="str">
        <f>IFERROR(INDEX(tProdutos[Classe],MATCH(tItens[[#This Row],[Produto]],tProdutos[Produto],0)),"produto não cadastrado")</f>
        <v>NÚCLEO</v>
      </c>
      <c r="K730" s="12">
        <f>tItens[[#This Row],[Qtd]]*tItens[[#This Row],[Vlr unit]]</f>
        <v>4120</v>
      </c>
      <c r="L730" s="6">
        <f>IFERROR(IF(INDEX(tProdutos[Desconto homologado],MATCH(tItens[[#This Row],[Produto]],tProdutos[Produto],0))="",DescontoPadrao,INDEX(tProdutos[Desconto homologado],MATCH(tItens[[#This Row],[Produto]],tProdutos[Produto],0))),DescontoPadrao)</f>
        <v>0.37</v>
      </c>
      <c r="M730" s="12">
        <f>tItens[[#This Row],[Valor]]*(1-tItens[[#This Row],[Desconto]])</f>
        <v>2595.6</v>
      </c>
      <c r="N730" t="str">
        <f>IFERROR(INDEX(tProdutos[Foco],MATCH(tItens[[#This Row],[Produto]],tProdutos[Produto],0)),"Não")</f>
        <v>Sim</v>
      </c>
      <c r="O730" t="str">
        <f>IFERROR(INDEX(tEditais[SRP],MATCH(tItens[[#This Row],[Edital]],tEditais[Edital],0)),"Não")</f>
        <v>Não</v>
      </c>
      <c r="P730" s="4">
        <f>IF(COUNTIFS(INDEX(tItens[Edital],1):tItens[[#This Row],[Edital]],tItens[[#This Row],[Edital]],INDEX(tItens[Produto],1):tItens[[#This Row],[Produto]],tItens[[#This Row],[Produto]])=1,1,0)</f>
        <v>0</v>
      </c>
    </row>
    <row r="731" spans="1:16" x14ac:dyDescent="0.25">
      <c r="A731" t="s">
        <v>983</v>
      </c>
      <c r="B731">
        <v>185</v>
      </c>
      <c r="C731" t="s">
        <v>3910</v>
      </c>
      <c r="D731" t="s">
        <v>172</v>
      </c>
      <c r="E731" s="13">
        <v>300</v>
      </c>
      <c r="F731" s="12">
        <v>1.37</v>
      </c>
      <c r="G731" t="str">
        <f>IFERROR(INDEX(tEditais[Órgão],MATCH(tItens[[#This Row],[Edital]],tEditais[Edital],0)),"")</f>
        <v>MUNICIPIO DE MILHA</v>
      </c>
      <c r="H731" t="str">
        <f>IFERROR(INDEX(tEditais[UF],MATCH(tItens[[#This Row],[Edital]],tEditais[Edital],0)),"")</f>
        <v>CE</v>
      </c>
      <c r="I731" s="11">
        <f>IFERROR(INDEX(tEditais[Encerramento],MATCH(tItens[[#This Row],[Edital]],tEditais[Edital],0)),"")</f>
        <v>46308.374305555553</v>
      </c>
      <c r="J731" t="str">
        <f>IFERROR(INDEX(tProdutos[Classe],MATCH(tItens[[#This Row],[Produto]],tProdutos[Produto],0)),"produto não cadastrado")</f>
        <v>DISPUTADO</v>
      </c>
      <c r="K731" s="12">
        <f>tItens[[#This Row],[Qtd]]*tItens[[#This Row],[Vlr unit]]</f>
        <v>411.00000000000006</v>
      </c>
      <c r="L731" s="6">
        <f>IFERROR(IF(INDEX(tProdutos[Desconto homologado],MATCH(tItens[[#This Row],[Produto]],tProdutos[Produto],0))="",DescontoPadrao,INDEX(tProdutos[Desconto homologado],MATCH(tItens[[#This Row],[Produto]],tProdutos[Produto],0))),DescontoPadrao)</f>
        <v>0.33578431372549</v>
      </c>
      <c r="M731" s="12">
        <f>tItens[[#This Row],[Valor]]*(1-tItens[[#This Row],[Desconto]])</f>
        <v>272.99264705882365</v>
      </c>
      <c r="N731" t="str">
        <f>IFERROR(INDEX(tProdutos[Foco],MATCH(tItens[[#This Row],[Produto]],tProdutos[Produto],0)),"Não")</f>
        <v>Não</v>
      </c>
      <c r="O731" t="str">
        <f>IFERROR(INDEX(tEditais[SRP],MATCH(tItens[[#This Row],[Edital]],tEditais[Edital],0)),"Não")</f>
        <v>Não</v>
      </c>
      <c r="P731" s="4">
        <f>IF(COUNTIFS(INDEX(tItens[Edital],1):tItens[[#This Row],[Edital]],tItens[[#This Row],[Edital]],INDEX(tItens[Produto],1):tItens[[#This Row],[Produto]],tItens[[#This Row],[Produto]])=1,1,0)</f>
        <v>1</v>
      </c>
    </row>
    <row r="732" spans="1:16" x14ac:dyDescent="0.25">
      <c r="A732" t="s">
        <v>983</v>
      </c>
      <c r="B732">
        <v>186</v>
      </c>
      <c r="C732" t="s">
        <v>3911</v>
      </c>
      <c r="D732" t="s">
        <v>279</v>
      </c>
      <c r="E732" s="13">
        <v>100</v>
      </c>
      <c r="F732" s="12">
        <v>6.59</v>
      </c>
      <c r="G732" t="str">
        <f>IFERROR(INDEX(tEditais[Órgão],MATCH(tItens[[#This Row],[Edital]],tEditais[Edital],0)),"")</f>
        <v>MUNICIPIO DE MILHA</v>
      </c>
      <c r="H732" t="str">
        <f>IFERROR(INDEX(tEditais[UF],MATCH(tItens[[#This Row],[Edital]],tEditais[Edital],0)),"")</f>
        <v>CE</v>
      </c>
      <c r="I732" s="11">
        <f>IFERROR(INDEX(tEditais[Encerramento],MATCH(tItens[[#This Row],[Edital]],tEditais[Edital],0)),"")</f>
        <v>46308.374305555553</v>
      </c>
      <c r="J732" t="str">
        <f>IFERROR(INDEX(tProdutos[Classe],MATCH(tItens[[#This Row],[Produto]],tProdutos[Produto],0)),"produto não cadastrado")</f>
        <v>FORA</v>
      </c>
      <c r="K732" s="12">
        <f>tItens[[#This Row],[Qtd]]*tItens[[#This Row],[Vlr unit]]</f>
        <v>659</v>
      </c>
      <c r="L732" s="6">
        <f>IFERROR(IF(INDEX(tProdutos[Desconto homologado],MATCH(tItens[[#This Row],[Produto]],tProdutos[Produto],0))="",DescontoPadrao,INDEX(tProdutos[Desconto homologado],MATCH(tItens[[#This Row],[Produto]],tProdutos[Produto],0))),DescontoPadrao)</f>
        <v>0.28909090909090901</v>
      </c>
      <c r="M732" s="12">
        <f>tItens[[#This Row],[Valor]]*(1-tItens[[#This Row],[Desconto]])</f>
        <v>468.48909090909092</v>
      </c>
      <c r="N732" t="str">
        <f>IFERROR(INDEX(tProdutos[Foco],MATCH(tItens[[#This Row],[Produto]],tProdutos[Produto],0)),"Não")</f>
        <v>Não</v>
      </c>
      <c r="O732" t="str">
        <f>IFERROR(INDEX(tEditais[SRP],MATCH(tItens[[#This Row],[Edital]],tEditais[Edital],0)),"Não")</f>
        <v>Não</v>
      </c>
      <c r="P732" s="4">
        <f>IF(COUNTIFS(INDEX(tItens[Edital],1):tItens[[#This Row],[Edital]],tItens[[#This Row],[Edital]],INDEX(tItens[Produto],1):tItens[[#This Row],[Produto]],tItens[[#This Row],[Produto]])=1,1,0)</f>
        <v>0</v>
      </c>
    </row>
    <row r="733" spans="1:16" x14ac:dyDescent="0.25">
      <c r="A733" t="s">
        <v>983</v>
      </c>
      <c r="B733">
        <v>192</v>
      </c>
      <c r="C733" t="s">
        <v>3912</v>
      </c>
      <c r="D733" t="s">
        <v>383</v>
      </c>
      <c r="E733" s="13">
        <v>20000</v>
      </c>
      <c r="F733" s="12">
        <v>8.5399999999999991</v>
      </c>
      <c r="G733" t="str">
        <f>IFERROR(INDEX(tEditais[Órgão],MATCH(tItens[[#This Row],[Edital]],tEditais[Edital],0)),"")</f>
        <v>MUNICIPIO DE MILHA</v>
      </c>
      <c r="H733" t="str">
        <f>IFERROR(INDEX(tEditais[UF],MATCH(tItens[[#This Row],[Edital]],tEditais[Edital],0)),"")</f>
        <v>CE</v>
      </c>
      <c r="I733" s="11">
        <f>IFERROR(INDEX(tEditais[Encerramento],MATCH(tItens[[#This Row],[Edital]],tEditais[Edital],0)),"")</f>
        <v>46308.374305555553</v>
      </c>
      <c r="J733" t="str">
        <f>IFERROR(INDEX(tProdutos[Classe],MATCH(tItens[[#This Row],[Produto]],tProdutos[Produto],0)),"produto não cadastrado")</f>
        <v>FORA</v>
      </c>
      <c r="K733" s="12">
        <f>tItens[[#This Row],[Qtd]]*tItens[[#This Row],[Vlr unit]]</f>
        <v>170799.99999999997</v>
      </c>
      <c r="L733" s="6">
        <f>IFERROR(IF(INDEX(tProdutos[Desconto homologado],MATCH(tItens[[#This Row],[Produto]],tProdutos[Produto],0))="",DescontoPadrao,INDEX(tProdutos[Desconto homologado],MATCH(tItens[[#This Row],[Produto]],tProdutos[Produto],0))),DescontoPadrao)</f>
        <v>0.48749999999999999</v>
      </c>
      <c r="M733" s="12">
        <f>tItens[[#This Row],[Valor]]*(1-tItens[[#This Row],[Desconto]])</f>
        <v>87534.999999999971</v>
      </c>
      <c r="N733" t="str">
        <f>IFERROR(INDEX(tProdutos[Foco],MATCH(tItens[[#This Row],[Produto]],tProdutos[Produto],0)),"Não")</f>
        <v>Não</v>
      </c>
      <c r="O733" t="str">
        <f>IFERROR(INDEX(tEditais[SRP],MATCH(tItens[[#This Row],[Edital]],tEditais[Edital],0)),"Não")</f>
        <v>Não</v>
      </c>
      <c r="P733" s="4">
        <f>IF(COUNTIFS(INDEX(tItens[Edital],1):tItens[[#This Row],[Edital]],tItens[[#This Row],[Edital]],INDEX(tItens[Produto],1):tItens[[#This Row],[Produto]],tItens[[#This Row],[Produto]])=1,1,0)</f>
        <v>1</v>
      </c>
    </row>
    <row r="734" spans="1:16" x14ac:dyDescent="0.25">
      <c r="A734" t="s">
        <v>983</v>
      </c>
      <c r="B734">
        <v>193</v>
      </c>
      <c r="C734" t="s">
        <v>3913</v>
      </c>
      <c r="D734" t="s">
        <v>383</v>
      </c>
      <c r="E734" s="13">
        <v>5000</v>
      </c>
      <c r="F734" s="12">
        <v>9.73</v>
      </c>
      <c r="G734" t="str">
        <f>IFERROR(INDEX(tEditais[Órgão],MATCH(tItens[[#This Row],[Edital]],tEditais[Edital],0)),"")</f>
        <v>MUNICIPIO DE MILHA</v>
      </c>
      <c r="H734" t="str">
        <f>IFERROR(INDEX(tEditais[UF],MATCH(tItens[[#This Row],[Edital]],tEditais[Edital],0)),"")</f>
        <v>CE</v>
      </c>
      <c r="I734" s="11">
        <f>IFERROR(INDEX(tEditais[Encerramento],MATCH(tItens[[#This Row],[Edital]],tEditais[Edital],0)),"")</f>
        <v>46308.374305555553</v>
      </c>
      <c r="J734" t="str">
        <f>IFERROR(INDEX(tProdutos[Classe],MATCH(tItens[[#This Row],[Produto]],tProdutos[Produto],0)),"produto não cadastrado")</f>
        <v>FORA</v>
      </c>
      <c r="K734" s="12">
        <f>tItens[[#This Row],[Qtd]]*tItens[[#This Row],[Vlr unit]]</f>
        <v>48650</v>
      </c>
      <c r="L734" s="6">
        <f>IFERROR(IF(INDEX(tProdutos[Desconto homologado],MATCH(tItens[[#This Row],[Produto]],tProdutos[Produto],0))="",DescontoPadrao,INDEX(tProdutos[Desconto homologado],MATCH(tItens[[#This Row],[Produto]],tProdutos[Produto],0))),DescontoPadrao)</f>
        <v>0.48749999999999999</v>
      </c>
      <c r="M734" s="12">
        <f>tItens[[#This Row],[Valor]]*(1-tItens[[#This Row],[Desconto]])</f>
        <v>24933.124999999996</v>
      </c>
      <c r="N734" t="str">
        <f>IFERROR(INDEX(tProdutos[Foco],MATCH(tItens[[#This Row],[Produto]],tProdutos[Produto],0)),"Não")</f>
        <v>Não</v>
      </c>
      <c r="O734" t="str">
        <f>IFERROR(INDEX(tEditais[SRP],MATCH(tItens[[#This Row],[Edital]],tEditais[Edital],0)),"Não")</f>
        <v>Não</v>
      </c>
      <c r="P734" s="4">
        <f>IF(COUNTIFS(INDEX(tItens[Edital],1):tItens[[#This Row],[Edital]],tItens[[#This Row],[Edital]],INDEX(tItens[Produto],1):tItens[[#This Row],[Produto]],tItens[[#This Row],[Produto]])=1,1,0)</f>
        <v>0</v>
      </c>
    </row>
    <row r="735" spans="1:16" x14ac:dyDescent="0.25">
      <c r="A735" t="s">
        <v>983</v>
      </c>
      <c r="B735">
        <v>194</v>
      </c>
      <c r="C735" t="s">
        <v>3914</v>
      </c>
      <c r="D735" t="s">
        <v>341</v>
      </c>
      <c r="E735" s="13">
        <v>3000</v>
      </c>
      <c r="F735" s="12">
        <v>57.99</v>
      </c>
      <c r="G735" t="str">
        <f>IFERROR(INDEX(tEditais[Órgão],MATCH(tItens[[#This Row],[Edital]],tEditais[Edital],0)),"")</f>
        <v>MUNICIPIO DE MILHA</v>
      </c>
      <c r="H735" t="str">
        <f>IFERROR(INDEX(tEditais[UF],MATCH(tItens[[#This Row],[Edital]],tEditais[Edital],0)),"")</f>
        <v>CE</v>
      </c>
      <c r="I735" s="11">
        <f>IFERROR(INDEX(tEditais[Encerramento],MATCH(tItens[[#This Row],[Edital]],tEditais[Edital],0)),"")</f>
        <v>46308.374305555553</v>
      </c>
      <c r="J735" t="str">
        <f>IFERROR(INDEX(tProdutos[Classe],MATCH(tItens[[#This Row],[Produto]],tProdutos[Produto],0)),"produto não cadastrado")</f>
        <v>FORA</v>
      </c>
      <c r="K735" s="12">
        <f>tItens[[#This Row],[Qtd]]*tItens[[#This Row],[Vlr unit]]</f>
        <v>173970</v>
      </c>
      <c r="L735" s="6">
        <f>IFERROR(IF(INDEX(tProdutos[Desconto homologado],MATCH(tItens[[#This Row],[Produto]],tProdutos[Produto],0))="",DescontoPadrao,INDEX(tProdutos[Desconto homologado],MATCH(tItens[[#This Row],[Produto]],tProdutos[Produto],0))),DescontoPadrao)</f>
        <v>0.46918578497525898</v>
      </c>
      <c r="M735" s="12">
        <f>tItens[[#This Row],[Valor]]*(1-tItens[[#This Row],[Desconto]])</f>
        <v>92345.748987854196</v>
      </c>
      <c r="N735" t="str">
        <f>IFERROR(INDEX(tProdutos[Foco],MATCH(tItens[[#This Row],[Produto]],tProdutos[Produto],0)),"Não")</f>
        <v>Não</v>
      </c>
      <c r="O735" t="str">
        <f>IFERROR(INDEX(tEditais[SRP],MATCH(tItens[[#This Row],[Edital]],tEditais[Edital],0)),"Não")</f>
        <v>Não</v>
      </c>
      <c r="P735" s="4">
        <f>IF(COUNTIFS(INDEX(tItens[Edital],1):tItens[[#This Row],[Edital]],tItens[[#This Row],[Edital]],INDEX(tItens[Produto],1):tItens[[#This Row],[Produto]],tItens[[#This Row],[Produto]])=1,1,0)</f>
        <v>1</v>
      </c>
    </row>
    <row r="736" spans="1:16" x14ac:dyDescent="0.25">
      <c r="A736" t="s">
        <v>983</v>
      </c>
      <c r="B736">
        <v>199</v>
      </c>
      <c r="C736" t="s">
        <v>3915</v>
      </c>
      <c r="D736" t="s">
        <v>209</v>
      </c>
      <c r="E736" s="13">
        <v>1000</v>
      </c>
      <c r="F736" s="12">
        <v>5.7</v>
      </c>
      <c r="G736" t="str">
        <f>IFERROR(INDEX(tEditais[Órgão],MATCH(tItens[[#This Row],[Edital]],tEditais[Edital],0)),"")</f>
        <v>MUNICIPIO DE MILHA</v>
      </c>
      <c r="H736" t="str">
        <f>IFERROR(INDEX(tEditais[UF],MATCH(tItens[[#This Row],[Edital]],tEditais[Edital],0)),"")</f>
        <v>CE</v>
      </c>
      <c r="I736" s="11">
        <f>IFERROR(INDEX(tEditais[Encerramento],MATCH(tItens[[#This Row],[Edital]],tEditais[Edital],0)),"")</f>
        <v>46308.374305555553</v>
      </c>
      <c r="J736" t="str">
        <f>IFERROR(INDEX(tProdutos[Classe],MATCH(tItens[[#This Row],[Produto]],tProdutos[Produto],0)),"produto não cadastrado")</f>
        <v>FORA</v>
      </c>
      <c r="K736" s="12">
        <f>tItens[[#This Row],[Qtd]]*tItens[[#This Row],[Vlr unit]]</f>
        <v>5700</v>
      </c>
      <c r="L736" s="6">
        <f>IFERROR(IF(INDEX(tProdutos[Desconto homologado],MATCH(tItens[[#This Row],[Produto]],tProdutos[Produto],0))="",DescontoPadrao,INDEX(tProdutos[Desconto homologado],MATCH(tItens[[#This Row],[Produto]],tProdutos[Produto],0))),DescontoPadrao)</f>
        <v>0.16442507504040599</v>
      </c>
      <c r="M736" s="12">
        <f>tItens[[#This Row],[Valor]]*(1-tItens[[#This Row],[Desconto]])</f>
        <v>4762.777072269686</v>
      </c>
      <c r="N736" t="str">
        <f>IFERROR(INDEX(tProdutos[Foco],MATCH(tItens[[#This Row],[Produto]],tProdutos[Produto],0)),"Não")</f>
        <v>Não</v>
      </c>
      <c r="O736" t="str">
        <f>IFERROR(INDEX(tEditais[SRP],MATCH(tItens[[#This Row],[Edital]],tEditais[Edital],0)),"Não")</f>
        <v>Não</v>
      </c>
      <c r="P736" s="4">
        <f>IF(COUNTIFS(INDEX(tItens[Edital],1):tItens[[#This Row],[Edital]],tItens[[#This Row],[Edital]],INDEX(tItens[Produto],1):tItens[[#This Row],[Produto]],tItens[[#This Row],[Produto]])=1,1,0)</f>
        <v>1</v>
      </c>
    </row>
    <row r="737" spans="1:16" x14ac:dyDescent="0.25">
      <c r="A737" t="s">
        <v>983</v>
      </c>
      <c r="B737">
        <v>200</v>
      </c>
      <c r="C737" t="s">
        <v>3916</v>
      </c>
      <c r="D737" t="s">
        <v>333</v>
      </c>
      <c r="E737" s="13">
        <v>30000</v>
      </c>
      <c r="F737" s="12">
        <v>4.34</v>
      </c>
      <c r="G737" t="str">
        <f>IFERROR(INDEX(tEditais[Órgão],MATCH(tItens[[#This Row],[Edital]],tEditais[Edital],0)),"")</f>
        <v>MUNICIPIO DE MILHA</v>
      </c>
      <c r="H737" t="str">
        <f>IFERROR(INDEX(tEditais[UF],MATCH(tItens[[#This Row],[Edital]],tEditais[Edital],0)),"")</f>
        <v>CE</v>
      </c>
      <c r="I737" s="11">
        <f>IFERROR(INDEX(tEditais[Encerramento],MATCH(tItens[[#This Row],[Edital]],tEditais[Edital],0)),"")</f>
        <v>46308.374305555553</v>
      </c>
      <c r="J737" t="str">
        <f>IFERROR(INDEX(tProdutos[Classe],MATCH(tItens[[#This Row],[Produto]],tProdutos[Produto],0)),"produto não cadastrado")</f>
        <v>FORA</v>
      </c>
      <c r="K737" s="12">
        <f>tItens[[#This Row],[Qtd]]*tItens[[#This Row],[Vlr unit]]</f>
        <v>130200</v>
      </c>
      <c r="L737" s="6">
        <f>IFERROR(IF(INDEX(tProdutos[Desconto homologado],MATCH(tItens[[#This Row],[Produto]],tProdutos[Produto],0))="",DescontoPadrao,INDEX(tProdutos[Desconto homologado],MATCH(tItens[[#This Row],[Produto]],tProdutos[Produto],0))),DescontoPadrao)</f>
        <v>0.48951048951048998</v>
      </c>
      <c r="M737" s="12">
        <f>tItens[[#This Row],[Valor]]*(1-tItens[[#This Row],[Desconto]])</f>
        <v>66465.734265734194</v>
      </c>
      <c r="N737" t="str">
        <f>IFERROR(INDEX(tProdutos[Foco],MATCH(tItens[[#This Row],[Produto]],tProdutos[Produto],0)),"Não")</f>
        <v>Não</v>
      </c>
      <c r="O737" t="str">
        <f>IFERROR(INDEX(tEditais[SRP],MATCH(tItens[[#This Row],[Edital]],tEditais[Edital],0)),"Não")</f>
        <v>Não</v>
      </c>
      <c r="P737" s="4">
        <f>IF(COUNTIFS(INDEX(tItens[Edital],1):tItens[[#This Row],[Edital]],tItens[[#This Row],[Edital]],INDEX(tItens[Produto],1):tItens[[#This Row],[Produto]],tItens[[#This Row],[Produto]])=1,1,0)</f>
        <v>1</v>
      </c>
    </row>
    <row r="738" spans="1:16" x14ac:dyDescent="0.25">
      <c r="A738" t="s">
        <v>983</v>
      </c>
      <c r="B738">
        <v>201</v>
      </c>
      <c r="C738" t="s">
        <v>3917</v>
      </c>
      <c r="D738" t="s">
        <v>187</v>
      </c>
      <c r="E738" s="13">
        <v>1</v>
      </c>
      <c r="F738" s="12">
        <v>6.99</v>
      </c>
      <c r="G738" t="str">
        <f>IFERROR(INDEX(tEditais[Órgão],MATCH(tItens[[#This Row],[Edital]],tEditais[Edital],0)),"")</f>
        <v>MUNICIPIO DE MILHA</v>
      </c>
      <c r="H738" t="str">
        <f>IFERROR(INDEX(tEditais[UF],MATCH(tItens[[#This Row],[Edital]],tEditais[Edital],0)),"")</f>
        <v>CE</v>
      </c>
      <c r="I738" s="11">
        <f>IFERROR(INDEX(tEditais[Encerramento],MATCH(tItens[[#This Row],[Edital]],tEditais[Edital],0)),"")</f>
        <v>46308.374305555553</v>
      </c>
      <c r="J738" t="str">
        <f>IFERROR(INDEX(tProdutos[Classe],MATCH(tItens[[#This Row],[Produto]],tProdutos[Produto],0)),"produto não cadastrado")</f>
        <v>DISPUTADO</v>
      </c>
      <c r="K738" s="12">
        <f>tItens[[#This Row],[Qtd]]*tItens[[#This Row],[Vlr unit]]</f>
        <v>6.99</v>
      </c>
      <c r="L738" s="6">
        <f>IFERROR(IF(INDEX(tProdutos[Desconto homologado],MATCH(tItens[[#This Row],[Produto]],tProdutos[Produto],0))="",DescontoPadrao,INDEX(tProdutos[Desconto homologado],MATCH(tItens[[#This Row],[Produto]],tProdutos[Produto],0))),DescontoPadrao)</f>
        <v>0.44298820445609399</v>
      </c>
      <c r="M738" s="12">
        <f>tItens[[#This Row],[Valor]]*(1-tItens[[#This Row],[Desconto]])</f>
        <v>3.8935124508519032</v>
      </c>
      <c r="N738" t="str">
        <f>IFERROR(INDEX(tProdutos[Foco],MATCH(tItens[[#This Row],[Produto]],tProdutos[Produto],0)),"Não")</f>
        <v>Não</v>
      </c>
      <c r="O738" t="str">
        <f>IFERROR(INDEX(tEditais[SRP],MATCH(tItens[[#This Row],[Edital]],tEditais[Edital],0)),"Não")</f>
        <v>Não</v>
      </c>
      <c r="P738" s="4">
        <f>IF(COUNTIFS(INDEX(tItens[Edital],1):tItens[[#This Row],[Edital]],tItens[[#This Row],[Edital]],INDEX(tItens[Produto],1):tItens[[#This Row],[Produto]],tItens[[#This Row],[Produto]])=1,1,0)</f>
        <v>1</v>
      </c>
    </row>
    <row r="739" spans="1:16" x14ac:dyDescent="0.25">
      <c r="A739" t="s">
        <v>983</v>
      </c>
      <c r="B739">
        <v>203</v>
      </c>
      <c r="C739" t="s">
        <v>3918</v>
      </c>
      <c r="D739" t="s">
        <v>60</v>
      </c>
      <c r="E739" s="13">
        <v>1000</v>
      </c>
      <c r="F739" s="12">
        <v>1.03</v>
      </c>
      <c r="G739" t="str">
        <f>IFERROR(INDEX(tEditais[Órgão],MATCH(tItens[[#This Row],[Edital]],tEditais[Edital],0)),"")</f>
        <v>MUNICIPIO DE MILHA</v>
      </c>
      <c r="H739" t="str">
        <f>IFERROR(INDEX(tEditais[UF],MATCH(tItens[[#This Row],[Edital]],tEditais[Edital],0)),"")</f>
        <v>CE</v>
      </c>
      <c r="I739" s="11">
        <f>IFERROR(INDEX(tEditais[Encerramento],MATCH(tItens[[#This Row],[Edital]],tEditais[Edital],0)),"")</f>
        <v>46308.374305555553</v>
      </c>
      <c r="J739" t="str">
        <f>IFERROR(INDEX(tProdutos[Classe],MATCH(tItens[[#This Row],[Produto]],tProdutos[Produto],0)),"produto não cadastrado")</f>
        <v>NÚCLEO</v>
      </c>
      <c r="K739" s="12">
        <f>tItens[[#This Row],[Qtd]]*tItens[[#This Row],[Vlr unit]]</f>
        <v>1030</v>
      </c>
      <c r="L739" s="6">
        <f>IFERROR(IF(INDEX(tProdutos[Desconto homologado],MATCH(tItens[[#This Row],[Produto]],tProdutos[Produto],0))="",DescontoPadrao,INDEX(tProdutos[Desconto homologado],MATCH(tItens[[#This Row],[Produto]],tProdutos[Produto],0))),DescontoPadrao)</f>
        <v>0.23</v>
      </c>
      <c r="M739" s="12">
        <f>tItens[[#This Row],[Valor]]*(1-tItens[[#This Row],[Desconto]])</f>
        <v>793.1</v>
      </c>
      <c r="N739" t="str">
        <f>IFERROR(INDEX(tProdutos[Foco],MATCH(tItens[[#This Row],[Produto]],tProdutos[Produto],0)),"Não")</f>
        <v>Sim</v>
      </c>
      <c r="O739" t="str">
        <f>IFERROR(INDEX(tEditais[SRP],MATCH(tItens[[#This Row],[Edital]],tEditais[Edital],0)),"Não")</f>
        <v>Não</v>
      </c>
      <c r="P739" s="4">
        <f>IF(COUNTIFS(INDEX(tItens[Edital],1):tItens[[#This Row],[Edital]],tItens[[#This Row],[Edital]],INDEX(tItens[Produto],1):tItens[[#This Row],[Produto]],tItens[[#This Row],[Produto]])=1,1,0)</f>
        <v>1</v>
      </c>
    </row>
    <row r="740" spans="1:16" x14ac:dyDescent="0.25">
      <c r="A740" t="s">
        <v>983</v>
      </c>
      <c r="B740">
        <v>204</v>
      </c>
      <c r="C740" t="s">
        <v>3919</v>
      </c>
      <c r="D740" t="s">
        <v>90</v>
      </c>
      <c r="E740" s="13">
        <v>50000</v>
      </c>
      <c r="F740" s="12">
        <v>12.29</v>
      </c>
      <c r="G740" t="str">
        <f>IFERROR(INDEX(tEditais[Órgão],MATCH(tItens[[#This Row],[Edital]],tEditais[Edital],0)),"")</f>
        <v>MUNICIPIO DE MILHA</v>
      </c>
      <c r="H740" t="str">
        <f>IFERROR(INDEX(tEditais[UF],MATCH(tItens[[#This Row],[Edital]],tEditais[Edital],0)),"")</f>
        <v>CE</v>
      </c>
      <c r="I740" s="11">
        <f>IFERROR(INDEX(tEditais[Encerramento],MATCH(tItens[[#This Row],[Edital]],tEditais[Edital],0)),"")</f>
        <v>46308.374305555553</v>
      </c>
      <c r="J740" t="str">
        <f>IFERROR(INDEX(tProdutos[Classe],MATCH(tItens[[#This Row],[Produto]],tProdutos[Produto],0)),"produto não cadastrado")</f>
        <v>DISPUTADO</v>
      </c>
      <c r="K740" s="12">
        <f>tItens[[#This Row],[Qtd]]*tItens[[#This Row],[Vlr unit]]</f>
        <v>614500</v>
      </c>
      <c r="L740" s="6">
        <f>IFERROR(IF(INDEX(tProdutos[Desconto homologado],MATCH(tItens[[#This Row],[Produto]],tProdutos[Produto],0))="",DescontoPadrao,INDEX(tProdutos[Desconto homologado],MATCH(tItens[[#This Row],[Produto]],tProdutos[Produto],0))),DescontoPadrao)</f>
        <v>0.25393823957010597</v>
      </c>
      <c r="M740" s="12">
        <f>tItens[[#This Row],[Valor]]*(1-tItens[[#This Row],[Desconto]])</f>
        <v>458454.95178416988</v>
      </c>
      <c r="N740" t="str">
        <f>IFERROR(INDEX(tProdutos[Foco],MATCH(tItens[[#This Row],[Produto]],tProdutos[Produto],0)),"Não")</f>
        <v>Não</v>
      </c>
      <c r="O740" t="str">
        <f>IFERROR(INDEX(tEditais[SRP],MATCH(tItens[[#This Row],[Edital]],tEditais[Edital],0)),"Não")</f>
        <v>Não</v>
      </c>
      <c r="P740" s="4">
        <f>IF(COUNTIFS(INDEX(tItens[Edital],1):tItens[[#This Row],[Edital]],tItens[[#This Row],[Edital]],INDEX(tItens[Produto],1):tItens[[#This Row],[Produto]],tItens[[#This Row],[Produto]])=1,1,0)</f>
        <v>1</v>
      </c>
    </row>
    <row r="741" spans="1:16" x14ac:dyDescent="0.25">
      <c r="A741" t="s">
        <v>983</v>
      </c>
      <c r="B741">
        <v>205</v>
      </c>
      <c r="C741" t="s">
        <v>3920</v>
      </c>
      <c r="D741" t="s">
        <v>233</v>
      </c>
      <c r="E741" s="13">
        <v>400</v>
      </c>
      <c r="F741" s="12">
        <v>17.62</v>
      </c>
      <c r="G741" t="str">
        <f>IFERROR(INDEX(tEditais[Órgão],MATCH(tItens[[#This Row],[Edital]],tEditais[Edital],0)),"")</f>
        <v>MUNICIPIO DE MILHA</v>
      </c>
      <c r="H741" t="str">
        <f>IFERROR(INDEX(tEditais[UF],MATCH(tItens[[#This Row],[Edital]],tEditais[Edital],0)),"")</f>
        <v>CE</v>
      </c>
      <c r="I741" s="11">
        <f>IFERROR(INDEX(tEditais[Encerramento],MATCH(tItens[[#This Row],[Edital]],tEditais[Edital],0)),"")</f>
        <v>46308.374305555553</v>
      </c>
      <c r="J741" t="str">
        <f>IFERROR(INDEX(tProdutos[Classe],MATCH(tItens[[#This Row],[Produto]],tProdutos[Produto],0)),"produto não cadastrado")</f>
        <v>FORA</v>
      </c>
      <c r="K741" s="12">
        <f>tItens[[#This Row],[Qtd]]*tItens[[#This Row],[Vlr unit]]</f>
        <v>7048</v>
      </c>
      <c r="L741" s="6">
        <f>IFERROR(IF(INDEX(tProdutos[Desconto homologado],MATCH(tItens[[#This Row],[Produto]],tProdutos[Produto],0))="",DescontoPadrao,INDEX(tProdutos[Desconto homologado],MATCH(tItens[[#This Row],[Produto]],tProdutos[Produto],0))),DescontoPadrao)</f>
        <v>0.246270084162204</v>
      </c>
      <c r="M741" s="12">
        <f>tItens[[#This Row],[Valor]]*(1-tItens[[#This Row],[Desconto]])</f>
        <v>5312.2884468247867</v>
      </c>
      <c r="N741" t="str">
        <f>IFERROR(INDEX(tProdutos[Foco],MATCH(tItens[[#This Row],[Produto]],tProdutos[Produto],0)),"Não")</f>
        <v>Não</v>
      </c>
      <c r="O741" t="str">
        <f>IFERROR(INDEX(tEditais[SRP],MATCH(tItens[[#This Row],[Edital]],tEditais[Edital],0)),"Não")</f>
        <v>Não</v>
      </c>
      <c r="P741" s="4">
        <f>IF(COUNTIFS(INDEX(tItens[Edital],1):tItens[[#This Row],[Edital]],tItens[[#This Row],[Edital]],INDEX(tItens[Produto],1):tItens[[#This Row],[Produto]],tItens[[#This Row],[Produto]])=1,1,0)</f>
        <v>1</v>
      </c>
    </row>
    <row r="742" spans="1:16" x14ac:dyDescent="0.25">
      <c r="A742" t="s">
        <v>983</v>
      </c>
      <c r="B742">
        <v>206</v>
      </c>
      <c r="C742" t="s">
        <v>3921</v>
      </c>
      <c r="D742" t="s">
        <v>75</v>
      </c>
      <c r="E742" s="13">
        <v>3000</v>
      </c>
      <c r="F742" s="12">
        <v>3.51</v>
      </c>
      <c r="G742" t="str">
        <f>IFERROR(INDEX(tEditais[Órgão],MATCH(tItens[[#This Row],[Edital]],tEditais[Edital],0)),"")</f>
        <v>MUNICIPIO DE MILHA</v>
      </c>
      <c r="H742" t="str">
        <f>IFERROR(INDEX(tEditais[UF],MATCH(tItens[[#This Row],[Edital]],tEditais[Edital],0)),"")</f>
        <v>CE</v>
      </c>
      <c r="I742" s="11">
        <f>IFERROR(INDEX(tEditais[Encerramento],MATCH(tItens[[#This Row],[Edital]],tEditais[Edital],0)),"")</f>
        <v>46308.374305555553</v>
      </c>
      <c r="J742" t="str">
        <f>IFERROR(INDEX(tProdutos[Classe],MATCH(tItens[[#This Row],[Produto]],tProdutos[Produto],0)),"produto não cadastrado")</f>
        <v>NÚCLEO</v>
      </c>
      <c r="K742" s="12">
        <f>tItens[[#This Row],[Qtd]]*tItens[[#This Row],[Vlr unit]]</f>
        <v>10530</v>
      </c>
      <c r="L742" s="6">
        <f>IFERROR(IF(INDEX(tProdutos[Desconto homologado],MATCH(tItens[[#This Row],[Produto]],tProdutos[Produto],0))="",DescontoPadrao,INDEX(tProdutos[Desconto homologado],MATCH(tItens[[#This Row],[Produto]],tProdutos[Produto],0))),DescontoPadrao)</f>
        <v>0.26</v>
      </c>
      <c r="M742" s="12">
        <f>tItens[[#This Row],[Valor]]*(1-tItens[[#This Row],[Desconto]])</f>
        <v>7792.2</v>
      </c>
      <c r="N742" t="str">
        <f>IFERROR(INDEX(tProdutos[Foco],MATCH(tItens[[#This Row],[Produto]],tProdutos[Produto],0)),"Não")</f>
        <v>Sim</v>
      </c>
      <c r="O742" t="str">
        <f>IFERROR(INDEX(tEditais[SRP],MATCH(tItens[[#This Row],[Edital]],tEditais[Edital],0)),"Não")</f>
        <v>Não</v>
      </c>
      <c r="P742" s="4">
        <f>IF(COUNTIFS(INDEX(tItens[Edital],1):tItens[[#This Row],[Edital]],tItens[[#This Row],[Edital]],INDEX(tItens[Produto],1):tItens[[#This Row],[Produto]],tItens[[#This Row],[Produto]])=1,1,0)</f>
        <v>1</v>
      </c>
    </row>
    <row r="743" spans="1:16" x14ac:dyDescent="0.25">
      <c r="A743" t="s">
        <v>983</v>
      </c>
      <c r="B743">
        <v>207</v>
      </c>
      <c r="C743" t="s">
        <v>3922</v>
      </c>
      <c r="D743" t="s">
        <v>75</v>
      </c>
      <c r="E743" s="13">
        <v>2000</v>
      </c>
      <c r="F743" s="12">
        <v>3.18</v>
      </c>
      <c r="G743" t="str">
        <f>IFERROR(INDEX(tEditais[Órgão],MATCH(tItens[[#This Row],[Edital]],tEditais[Edital],0)),"")</f>
        <v>MUNICIPIO DE MILHA</v>
      </c>
      <c r="H743" t="str">
        <f>IFERROR(INDEX(tEditais[UF],MATCH(tItens[[#This Row],[Edital]],tEditais[Edital],0)),"")</f>
        <v>CE</v>
      </c>
      <c r="I743" s="11">
        <f>IFERROR(INDEX(tEditais[Encerramento],MATCH(tItens[[#This Row],[Edital]],tEditais[Edital],0)),"")</f>
        <v>46308.374305555553</v>
      </c>
      <c r="J743" t="str">
        <f>IFERROR(INDEX(tProdutos[Classe],MATCH(tItens[[#This Row],[Produto]],tProdutos[Produto],0)),"produto não cadastrado")</f>
        <v>NÚCLEO</v>
      </c>
      <c r="K743" s="12">
        <f>tItens[[#This Row],[Qtd]]*tItens[[#This Row],[Vlr unit]]</f>
        <v>6360</v>
      </c>
      <c r="L743" s="6">
        <f>IFERROR(IF(INDEX(tProdutos[Desconto homologado],MATCH(tItens[[#This Row],[Produto]],tProdutos[Produto],0))="",DescontoPadrao,INDEX(tProdutos[Desconto homologado],MATCH(tItens[[#This Row],[Produto]],tProdutos[Produto],0))),DescontoPadrao)</f>
        <v>0.26</v>
      </c>
      <c r="M743" s="12">
        <f>tItens[[#This Row],[Valor]]*(1-tItens[[#This Row],[Desconto]])</f>
        <v>4706.3999999999996</v>
      </c>
      <c r="N743" t="str">
        <f>IFERROR(INDEX(tProdutos[Foco],MATCH(tItens[[#This Row],[Produto]],tProdutos[Produto],0)),"Não")</f>
        <v>Sim</v>
      </c>
      <c r="O743" t="str">
        <f>IFERROR(INDEX(tEditais[SRP],MATCH(tItens[[#This Row],[Edital]],tEditais[Edital],0)),"Não")</f>
        <v>Não</v>
      </c>
      <c r="P743" s="4">
        <f>IF(COUNTIFS(INDEX(tItens[Edital],1):tItens[[#This Row],[Edital]],tItens[[#This Row],[Edital]],INDEX(tItens[Produto],1):tItens[[#This Row],[Produto]],tItens[[#This Row],[Produto]])=1,1,0)</f>
        <v>0</v>
      </c>
    </row>
    <row r="744" spans="1:16" x14ac:dyDescent="0.25">
      <c r="A744" t="s">
        <v>983</v>
      </c>
      <c r="B744">
        <v>208</v>
      </c>
      <c r="C744" t="s">
        <v>3923</v>
      </c>
      <c r="D744" t="s">
        <v>75</v>
      </c>
      <c r="E744" s="13">
        <v>3000</v>
      </c>
      <c r="F744" s="12">
        <v>2.04</v>
      </c>
      <c r="G744" t="str">
        <f>IFERROR(INDEX(tEditais[Órgão],MATCH(tItens[[#This Row],[Edital]],tEditais[Edital],0)),"")</f>
        <v>MUNICIPIO DE MILHA</v>
      </c>
      <c r="H744" t="str">
        <f>IFERROR(INDEX(tEditais[UF],MATCH(tItens[[#This Row],[Edital]],tEditais[Edital],0)),"")</f>
        <v>CE</v>
      </c>
      <c r="I744" s="11">
        <f>IFERROR(INDEX(tEditais[Encerramento],MATCH(tItens[[#This Row],[Edital]],tEditais[Edital],0)),"")</f>
        <v>46308.374305555553</v>
      </c>
      <c r="J744" t="str">
        <f>IFERROR(INDEX(tProdutos[Classe],MATCH(tItens[[#This Row],[Produto]],tProdutos[Produto],0)),"produto não cadastrado")</f>
        <v>NÚCLEO</v>
      </c>
      <c r="K744" s="12">
        <f>tItens[[#This Row],[Qtd]]*tItens[[#This Row],[Vlr unit]]</f>
        <v>6120</v>
      </c>
      <c r="L744" s="6">
        <f>IFERROR(IF(INDEX(tProdutos[Desconto homologado],MATCH(tItens[[#This Row],[Produto]],tProdutos[Produto],0))="",DescontoPadrao,INDEX(tProdutos[Desconto homologado],MATCH(tItens[[#This Row],[Produto]],tProdutos[Produto],0))),DescontoPadrao)</f>
        <v>0.26</v>
      </c>
      <c r="M744" s="12">
        <f>tItens[[#This Row],[Valor]]*(1-tItens[[#This Row],[Desconto]])</f>
        <v>4528.8</v>
      </c>
      <c r="N744" t="str">
        <f>IFERROR(INDEX(tProdutos[Foco],MATCH(tItens[[#This Row],[Produto]],tProdutos[Produto],0)),"Não")</f>
        <v>Sim</v>
      </c>
      <c r="O744" t="str">
        <f>IFERROR(INDEX(tEditais[SRP],MATCH(tItens[[#This Row],[Edital]],tEditais[Edital],0)),"Não")</f>
        <v>Não</v>
      </c>
      <c r="P744" s="4">
        <f>IF(COUNTIFS(INDEX(tItens[Edital],1):tItens[[#This Row],[Edital]],tItens[[#This Row],[Edital]],INDEX(tItens[Produto],1):tItens[[#This Row],[Produto]],tItens[[#This Row],[Produto]])=1,1,0)</f>
        <v>0</v>
      </c>
    </row>
    <row r="745" spans="1:16" x14ac:dyDescent="0.25">
      <c r="A745" t="s">
        <v>983</v>
      </c>
      <c r="B745">
        <v>209</v>
      </c>
      <c r="C745" t="s">
        <v>3924</v>
      </c>
      <c r="D745" t="s">
        <v>75</v>
      </c>
      <c r="E745" s="13">
        <v>2000</v>
      </c>
      <c r="F745" s="12">
        <v>2.2999999999999998</v>
      </c>
      <c r="G745" t="str">
        <f>IFERROR(INDEX(tEditais[Órgão],MATCH(tItens[[#This Row],[Edital]],tEditais[Edital],0)),"")</f>
        <v>MUNICIPIO DE MILHA</v>
      </c>
      <c r="H745" t="str">
        <f>IFERROR(INDEX(tEditais[UF],MATCH(tItens[[#This Row],[Edital]],tEditais[Edital],0)),"")</f>
        <v>CE</v>
      </c>
      <c r="I745" s="11">
        <f>IFERROR(INDEX(tEditais[Encerramento],MATCH(tItens[[#This Row],[Edital]],tEditais[Edital],0)),"")</f>
        <v>46308.374305555553</v>
      </c>
      <c r="J745" t="str">
        <f>IFERROR(INDEX(tProdutos[Classe],MATCH(tItens[[#This Row],[Produto]],tProdutos[Produto],0)),"produto não cadastrado")</f>
        <v>NÚCLEO</v>
      </c>
      <c r="K745" s="12">
        <f>tItens[[#This Row],[Qtd]]*tItens[[#This Row],[Vlr unit]]</f>
        <v>4600</v>
      </c>
      <c r="L745" s="6">
        <f>IFERROR(IF(INDEX(tProdutos[Desconto homologado],MATCH(tItens[[#This Row],[Produto]],tProdutos[Produto],0))="",DescontoPadrao,INDEX(tProdutos[Desconto homologado],MATCH(tItens[[#This Row],[Produto]],tProdutos[Produto],0))),DescontoPadrao)</f>
        <v>0.26</v>
      </c>
      <c r="M745" s="12">
        <f>tItens[[#This Row],[Valor]]*(1-tItens[[#This Row],[Desconto]])</f>
        <v>3404</v>
      </c>
      <c r="N745" t="str">
        <f>IFERROR(INDEX(tProdutos[Foco],MATCH(tItens[[#This Row],[Produto]],tProdutos[Produto],0)),"Não")</f>
        <v>Sim</v>
      </c>
      <c r="O745" t="str">
        <f>IFERROR(INDEX(tEditais[SRP],MATCH(tItens[[#This Row],[Edital]],tEditais[Edital],0)),"Não")</f>
        <v>Não</v>
      </c>
      <c r="P745" s="4">
        <f>IF(COUNTIFS(INDEX(tItens[Edital],1):tItens[[#This Row],[Edital]],tItens[[#This Row],[Edital]],INDEX(tItens[Produto],1):tItens[[#This Row],[Produto]],tItens[[#This Row],[Produto]])=1,1,0)</f>
        <v>0</v>
      </c>
    </row>
    <row r="746" spans="1:16" x14ac:dyDescent="0.25">
      <c r="A746" t="s">
        <v>983</v>
      </c>
      <c r="B746">
        <v>210</v>
      </c>
      <c r="C746" t="s">
        <v>3925</v>
      </c>
      <c r="D746" t="s">
        <v>75</v>
      </c>
      <c r="E746" s="13">
        <v>2000</v>
      </c>
      <c r="F746" s="12">
        <v>1.93</v>
      </c>
      <c r="G746" t="str">
        <f>IFERROR(INDEX(tEditais[Órgão],MATCH(tItens[[#This Row],[Edital]],tEditais[Edital],0)),"")</f>
        <v>MUNICIPIO DE MILHA</v>
      </c>
      <c r="H746" t="str">
        <f>IFERROR(INDEX(tEditais[UF],MATCH(tItens[[#This Row],[Edital]],tEditais[Edital],0)),"")</f>
        <v>CE</v>
      </c>
      <c r="I746" s="11">
        <f>IFERROR(INDEX(tEditais[Encerramento],MATCH(tItens[[#This Row],[Edital]],tEditais[Edital],0)),"")</f>
        <v>46308.374305555553</v>
      </c>
      <c r="J746" t="str">
        <f>IFERROR(INDEX(tProdutos[Classe],MATCH(tItens[[#This Row],[Produto]],tProdutos[Produto],0)),"produto não cadastrado")</f>
        <v>NÚCLEO</v>
      </c>
      <c r="K746" s="12">
        <f>tItens[[#This Row],[Qtd]]*tItens[[#This Row],[Vlr unit]]</f>
        <v>3860</v>
      </c>
      <c r="L746" s="6">
        <f>IFERROR(IF(INDEX(tProdutos[Desconto homologado],MATCH(tItens[[#This Row],[Produto]],tProdutos[Produto],0))="",DescontoPadrao,INDEX(tProdutos[Desconto homologado],MATCH(tItens[[#This Row],[Produto]],tProdutos[Produto],0))),DescontoPadrao)</f>
        <v>0.26</v>
      </c>
      <c r="M746" s="12">
        <f>tItens[[#This Row],[Valor]]*(1-tItens[[#This Row],[Desconto]])</f>
        <v>2856.4</v>
      </c>
      <c r="N746" t="str">
        <f>IFERROR(INDEX(tProdutos[Foco],MATCH(tItens[[#This Row],[Produto]],tProdutos[Produto],0)),"Não")</f>
        <v>Sim</v>
      </c>
      <c r="O746" t="str">
        <f>IFERROR(INDEX(tEditais[SRP],MATCH(tItens[[#This Row],[Edital]],tEditais[Edital],0)),"Não")</f>
        <v>Não</v>
      </c>
      <c r="P746" s="4">
        <f>IF(COUNTIFS(INDEX(tItens[Edital],1):tItens[[#This Row],[Edital]],tItens[[#This Row],[Edital]],INDEX(tItens[Produto],1):tItens[[#This Row],[Produto]],tItens[[#This Row],[Produto]])=1,1,0)</f>
        <v>0</v>
      </c>
    </row>
    <row r="747" spans="1:16" x14ac:dyDescent="0.25">
      <c r="A747" t="s">
        <v>983</v>
      </c>
      <c r="B747">
        <v>211</v>
      </c>
      <c r="C747" t="s">
        <v>3926</v>
      </c>
      <c r="D747" t="s">
        <v>75</v>
      </c>
      <c r="E747" s="13">
        <v>2000</v>
      </c>
      <c r="F747" s="12">
        <v>2.46</v>
      </c>
      <c r="G747" t="str">
        <f>IFERROR(INDEX(tEditais[Órgão],MATCH(tItens[[#This Row],[Edital]],tEditais[Edital],0)),"")</f>
        <v>MUNICIPIO DE MILHA</v>
      </c>
      <c r="H747" t="str">
        <f>IFERROR(INDEX(tEditais[UF],MATCH(tItens[[#This Row],[Edital]],tEditais[Edital],0)),"")</f>
        <v>CE</v>
      </c>
      <c r="I747" s="11">
        <f>IFERROR(INDEX(tEditais[Encerramento],MATCH(tItens[[#This Row],[Edital]],tEditais[Edital],0)),"")</f>
        <v>46308.374305555553</v>
      </c>
      <c r="J747" t="str">
        <f>IFERROR(INDEX(tProdutos[Classe],MATCH(tItens[[#This Row],[Produto]],tProdutos[Produto],0)),"produto não cadastrado")</f>
        <v>NÚCLEO</v>
      </c>
      <c r="K747" s="12">
        <f>tItens[[#This Row],[Qtd]]*tItens[[#This Row],[Vlr unit]]</f>
        <v>4920</v>
      </c>
      <c r="L747" s="6">
        <f>IFERROR(IF(INDEX(tProdutos[Desconto homologado],MATCH(tItens[[#This Row],[Produto]],tProdutos[Produto],0))="",DescontoPadrao,INDEX(tProdutos[Desconto homologado],MATCH(tItens[[#This Row],[Produto]],tProdutos[Produto],0))),DescontoPadrao)</f>
        <v>0.26</v>
      </c>
      <c r="M747" s="12">
        <f>tItens[[#This Row],[Valor]]*(1-tItens[[#This Row],[Desconto]])</f>
        <v>3640.8</v>
      </c>
      <c r="N747" t="str">
        <f>IFERROR(INDEX(tProdutos[Foco],MATCH(tItens[[#This Row],[Produto]],tProdutos[Produto],0)),"Não")</f>
        <v>Sim</v>
      </c>
      <c r="O747" t="str">
        <f>IFERROR(INDEX(tEditais[SRP],MATCH(tItens[[#This Row],[Edital]],tEditais[Edital],0)),"Não")</f>
        <v>Não</v>
      </c>
      <c r="P747" s="4">
        <f>IF(COUNTIFS(INDEX(tItens[Edital],1):tItens[[#This Row],[Edital]],tItens[[#This Row],[Edital]],INDEX(tItens[Produto],1):tItens[[#This Row],[Produto]],tItens[[#This Row],[Produto]])=1,1,0)</f>
        <v>0</v>
      </c>
    </row>
    <row r="748" spans="1:16" x14ac:dyDescent="0.25">
      <c r="A748" t="s">
        <v>983</v>
      </c>
      <c r="B748">
        <v>221</v>
      </c>
      <c r="C748" t="s">
        <v>3927</v>
      </c>
      <c r="D748" t="s">
        <v>461</v>
      </c>
      <c r="E748" s="13">
        <v>5000</v>
      </c>
      <c r="F748" s="12">
        <v>2.37</v>
      </c>
      <c r="G748" t="str">
        <f>IFERROR(INDEX(tEditais[Órgão],MATCH(tItens[[#This Row],[Edital]],tEditais[Edital],0)),"")</f>
        <v>MUNICIPIO DE MILHA</v>
      </c>
      <c r="H748" t="str">
        <f>IFERROR(INDEX(tEditais[UF],MATCH(tItens[[#This Row],[Edital]],tEditais[Edital],0)),"")</f>
        <v>CE</v>
      </c>
      <c r="I748" s="11">
        <f>IFERROR(INDEX(tEditais[Encerramento],MATCH(tItens[[#This Row],[Edital]],tEditais[Edital],0)),"")</f>
        <v>46308.374305555553</v>
      </c>
      <c r="J748" t="str">
        <f>IFERROR(INDEX(tProdutos[Classe],MATCH(tItens[[#This Row],[Produto]],tProdutos[Produto],0)),"produto não cadastrado")</f>
        <v>FILA REBASE</v>
      </c>
      <c r="K748" s="12">
        <f>tItens[[#This Row],[Qtd]]*tItens[[#This Row],[Vlr unit]]</f>
        <v>11850</v>
      </c>
      <c r="L748" s="6">
        <f>IFERROR(IF(INDEX(tProdutos[Desconto homologado],MATCH(tItens[[#This Row],[Produto]],tProdutos[Produto],0))="",DescontoPadrao,INDEX(tProdutos[Desconto homologado],MATCH(tItens[[#This Row],[Produto]],tProdutos[Produto],0))),DescontoPadrao)</f>
        <v>0.44096385542168698</v>
      </c>
      <c r="M748" s="12">
        <f>tItens[[#This Row],[Valor]]*(1-tItens[[#This Row],[Desconto]])</f>
        <v>6624.5783132530087</v>
      </c>
      <c r="N748" t="str">
        <f>IFERROR(INDEX(tProdutos[Foco],MATCH(tItens[[#This Row],[Produto]],tProdutos[Produto],0)),"Não")</f>
        <v>Não</v>
      </c>
      <c r="O748" t="str">
        <f>IFERROR(INDEX(tEditais[SRP],MATCH(tItens[[#This Row],[Edital]],tEditais[Edital],0)),"Não")</f>
        <v>Não</v>
      </c>
      <c r="P748" s="4">
        <f>IF(COUNTIFS(INDEX(tItens[Edital],1):tItens[[#This Row],[Edital]],tItens[[#This Row],[Edital]],INDEX(tItens[Produto],1):tItens[[#This Row],[Produto]],tItens[[#This Row],[Produto]])=1,1,0)</f>
        <v>1</v>
      </c>
    </row>
    <row r="749" spans="1:16" x14ac:dyDescent="0.25">
      <c r="A749" t="s">
        <v>983</v>
      </c>
      <c r="B749">
        <v>222</v>
      </c>
      <c r="C749" t="s">
        <v>3928</v>
      </c>
      <c r="D749" t="s">
        <v>461</v>
      </c>
      <c r="E749" s="13">
        <v>5000</v>
      </c>
      <c r="F749" s="12">
        <v>2.31</v>
      </c>
      <c r="G749" t="str">
        <f>IFERROR(INDEX(tEditais[Órgão],MATCH(tItens[[#This Row],[Edital]],tEditais[Edital],0)),"")</f>
        <v>MUNICIPIO DE MILHA</v>
      </c>
      <c r="H749" t="str">
        <f>IFERROR(INDEX(tEditais[UF],MATCH(tItens[[#This Row],[Edital]],tEditais[Edital],0)),"")</f>
        <v>CE</v>
      </c>
      <c r="I749" s="11">
        <f>IFERROR(INDEX(tEditais[Encerramento],MATCH(tItens[[#This Row],[Edital]],tEditais[Edital],0)),"")</f>
        <v>46308.374305555553</v>
      </c>
      <c r="J749" t="str">
        <f>IFERROR(INDEX(tProdutos[Classe],MATCH(tItens[[#This Row],[Produto]],tProdutos[Produto],0)),"produto não cadastrado")</f>
        <v>FILA REBASE</v>
      </c>
      <c r="K749" s="12">
        <f>tItens[[#This Row],[Qtd]]*tItens[[#This Row],[Vlr unit]]</f>
        <v>11550</v>
      </c>
      <c r="L749" s="6">
        <f>IFERROR(IF(INDEX(tProdutos[Desconto homologado],MATCH(tItens[[#This Row],[Produto]],tProdutos[Produto],0))="",DescontoPadrao,INDEX(tProdutos[Desconto homologado],MATCH(tItens[[#This Row],[Produto]],tProdutos[Produto],0))),DescontoPadrao)</f>
        <v>0.44096385542168698</v>
      </c>
      <c r="M749" s="12">
        <f>tItens[[#This Row],[Valor]]*(1-tItens[[#This Row],[Desconto]])</f>
        <v>6456.8674698795148</v>
      </c>
      <c r="N749" t="str">
        <f>IFERROR(INDEX(tProdutos[Foco],MATCH(tItens[[#This Row],[Produto]],tProdutos[Produto],0)),"Não")</f>
        <v>Não</v>
      </c>
      <c r="O749" t="str">
        <f>IFERROR(INDEX(tEditais[SRP],MATCH(tItens[[#This Row],[Edital]],tEditais[Edital],0)),"Não")</f>
        <v>Não</v>
      </c>
      <c r="P749" s="4">
        <f>IF(COUNTIFS(INDEX(tItens[Edital],1):tItens[[#This Row],[Edital]],tItens[[#This Row],[Edital]],INDEX(tItens[Produto],1):tItens[[#This Row],[Produto]],tItens[[#This Row],[Produto]])=1,1,0)</f>
        <v>0</v>
      </c>
    </row>
    <row r="750" spans="1:16" x14ac:dyDescent="0.25">
      <c r="A750" t="s">
        <v>983</v>
      </c>
      <c r="B750">
        <v>223</v>
      </c>
      <c r="C750" t="s">
        <v>3929</v>
      </c>
      <c r="D750" t="s">
        <v>461</v>
      </c>
      <c r="E750" s="13">
        <v>8000</v>
      </c>
      <c r="F750" s="12">
        <v>2.74</v>
      </c>
      <c r="G750" t="str">
        <f>IFERROR(INDEX(tEditais[Órgão],MATCH(tItens[[#This Row],[Edital]],tEditais[Edital],0)),"")</f>
        <v>MUNICIPIO DE MILHA</v>
      </c>
      <c r="H750" t="str">
        <f>IFERROR(INDEX(tEditais[UF],MATCH(tItens[[#This Row],[Edital]],tEditais[Edital],0)),"")</f>
        <v>CE</v>
      </c>
      <c r="I750" s="11">
        <f>IFERROR(INDEX(tEditais[Encerramento],MATCH(tItens[[#This Row],[Edital]],tEditais[Edital],0)),"")</f>
        <v>46308.374305555553</v>
      </c>
      <c r="J750" t="str">
        <f>IFERROR(INDEX(tProdutos[Classe],MATCH(tItens[[#This Row],[Produto]],tProdutos[Produto],0)),"produto não cadastrado")</f>
        <v>FILA REBASE</v>
      </c>
      <c r="K750" s="12">
        <f>tItens[[#This Row],[Qtd]]*tItens[[#This Row],[Vlr unit]]</f>
        <v>21920</v>
      </c>
      <c r="L750" s="6">
        <f>IFERROR(IF(INDEX(tProdutos[Desconto homologado],MATCH(tItens[[#This Row],[Produto]],tProdutos[Produto],0))="",DescontoPadrao,INDEX(tProdutos[Desconto homologado],MATCH(tItens[[#This Row],[Produto]],tProdutos[Produto],0))),DescontoPadrao)</f>
        <v>0.44096385542168698</v>
      </c>
      <c r="M750" s="12">
        <f>tItens[[#This Row],[Valor]]*(1-tItens[[#This Row],[Desconto]])</f>
        <v>12254.07228915662</v>
      </c>
      <c r="N750" t="str">
        <f>IFERROR(INDEX(tProdutos[Foco],MATCH(tItens[[#This Row],[Produto]],tProdutos[Produto],0)),"Não")</f>
        <v>Não</v>
      </c>
      <c r="O750" t="str">
        <f>IFERROR(INDEX(tEditais[SRP],MATCH(tItens[[#This Row],[Edital]],tEditais[Edital],0)),"Não")</f>
        <v>Não</v>
      </c>
      <c r="P750" s="4">
        <f>IF(COUNTIFS(INDEX(tItens[Edital],1):tItens[[#This Row],[Edital]],tItens[[#This Row],[Edital]],INDEX(tItens[Produto],1):tItens[[#This Row],[Produto]],tItens[[#This Row],[Produto]])=1,1,0)</f>
        <v>0</v>
      </c>
    </row>
    <row r="751" spans="1:16" x14ac:dyDescent="0.25">
      <c r="A751" t="s">
        <v>983</v>
      </c>
      <c r="B751">
        <v>224</v>
      </c>
      <c r="C751" t="s">
        <v>3930</v>
      </c>
      <c r="D751" t="s">
        <v>461</v>
      </c>
      <c r="E751" s="13">
        <v>4000</v>
      </c>
      <c r="F751" s="12">
        <v>3.04</v>
      </c>
      <c r="G751" t="str">
        <f>IFERROR(INDEX(tEditais[Órgão],MATCH(tItens[[#This Row],[Edital]],tEditais[Edital],0)),"")</f>
        <v>MUNICIPIO DE MILHA</v>
      </c>
      <c r="H751" t="str">
        <f>IFERROR(INDEX(tEditais[UF],MATCH(tItens[[#This Row],[Edital]],tEditais[Edital],0)),"")</f>
        <v>CE</v>
      </c>
      <c r="I751" s="11">
        <f>IFERROR(INDEX(tEditais[Encerramento],MATCH(tItens[[#This Row],[Edital]],tEditais[Edital],0)),"")</f>
        <v>46308.374305555553</v>
      </c>
      <c r="J751" t="str">
        <f>IFERROR(INDEX(tProdutos[Classe],MATCH(tItens[[#This Row],[Produto]],tProdutos[Produto],0)),"produto não cadastrado")</f>
        <v>FILA REBASE</v>
      </c>
      <c r="K751" s="12">
        <f>tItens[[#This Row],[Qtd]]*tItens[[#This Row],[Vlr unit]]</f>
        <v>12160</v>
      </c>
      <c r="L751" s="6">
        <f>IFERROR(IF(INDEX(tProdutos[Desconto homologado],MATCH(tItens[[#This Row],[Produto]],tProdutos[Produto],0))="",DescontoPadrao,INDEX(tProdutos[Desconto homologado],MATCH(tItens[[#This Row],[Produto]],tProdutos[Produto],0))),DescontoPadrao)</f>
        <v>0.44096385542168698</v>
      </c>
      <c r="M751" s="12">
        <f>tItens[[#This Row],[Valor]]*(1-tItens[[#This Row],[Desconto]])</f>
        <v>6797.8795180722855</v>
      </c>
      <c r="N751" t="str">
        <f>IFERROR(INDEX(tProdutos[Foco],MATCH(tItens[[#This Row],[Produto]],tProdutos[Produto],0)),"Não")</f>
        <v>Não</v>
      </c>
      <c r="O751" t="str">
        <f>IFERROR(INDEX(tEditais[SRP],MATCH(tItens[[#This Row],[Edital]],tEditais[Edital],0)),"Não")</f>
        <v>Não</v>
      </c>
      <c r="P751" s="4">
        <f>IF(COUNTIFS(INDEX(tItens[Edital],1):tItens[[#This Row],[Edital]],tItens[[#This Row],[Edital]],INDEX(tItens[Produto],1):tItens[[#This Row],[Produto]],tItens[[#This Row],[Produto]])=1,1,0)</f>
        <v>0</v>
      </c>
    </row>
    <row r="752" spans="1:16" x14ac:dyDescent="0.25">
      <c r="A752" t="s">
        <v>983</v>
      </c>
      <c r="B752">
        <v>225</v>
      </c>
      <c r="C752" t="s">
        <v>3931</v>
      </c>
      <c r="D752" t="s">
        <v>461</v>
      </c>
      <c r="E752" s="13">
        <v>4000</v>
      </c>
      <c r="F752" s="12">
        <v>3.67</v>
      </c>
      <c r="G752" t="str">
        <f>IFERROR(INDEX(tEditais[Órgão],MATCH(tItens[[#This Row],[Edital]],tEditais[Edital],0)),"")</f>
        <v>MUNICIPIO DE MILHA</v>
      </c>
      <c r="H752" t="str">
        <f>IFERROR(INDEX(tEditais[UF],MATCH(tItens[[#This Row],[Edital]],tEditais[Edital],0)),"")</f>
        <v>CE</v>
      </c>
      <c r="I752" s="11">
        <f>IFERROR(INDEX(tEditais[Encerramento],MATCH(tItens[[#This Row],[Edital]],tEditais[Edital],0)),"")</f>
        <v>46308.374305555553</v>
      </c>
      <c r="J752" t="str">
        <f>IFERROR(INDEX(tProdutos[Classe],MATCH(tItens[[#This Row],[Produto]],tProdutos[Produto],0)),"produto não cadastrado")</f>
        <v>FILA REBASE</v>
      </c>
      <c r="K752" s="12">
        <f>tItens[[#This Row],[Qtd]]*tItens[[#This Row],[Vlr unit]]</f>
        <v>14680</v>
      </c>
      <c r="L752" s="6">
        <f>IFERROR(IF(INDEX(tProdutos[Desconto homologado],MATCH(tItens[[#This Row],[Produto]],tProdutos[Produto],0))="",DescontoPadrao,INDEX(tProdutos[Desconto homologado],MATCH(tItens[[#This Row],[Produto]],tProdutos[Produto],0))),DescontoPadrao)</f>
        <v>0.44096385542168698</v>
      </c>
      <c r="M752" s="12">
        <f>tItens[[#This Row],[Valor]]*(1-tItens[[#This Row],[Desconto]])</f>
        <v>8206.6506024096343</v>
      </c>
      <c r="N752" t="str">
        <f>IFERROR(INDEX(tProdutos[Foco],MATCH(tItens[[#This Row],[Produto]],tProdutos[Produto],0)),"Não")</f>
        <v>Não</v>
      </c>
      <c r="O752" t="str">
        <f>IFERROR(INDEX(tEditais[SRP],MATCH(tItens[[#This Row],[Edital]],tEditais[Edital],0)),"Não")</f>
        <v>Não</v>
      </c>
      <c r="P752" s="4">
        <f>IF(COUNTIFS(INDEX(tItens[Edital],1):tItens[[#This Row],[Edital]],tItens[[#This Row],[Edital]],INDEX(tItens[Produto],1):tItens[[#This Row],[Produto]],tItens[[#This Row],[Produto]])=1,1,0)</f>
        <v>0</v>
      </c>
    </row>
    <row r="753" spans="1:16" x14ac:dyDescent="0.25">
      <c r="A753" t="s">
        <v>983</v>
      </c>
      <c r="B753">
        <v>226</v>
      </c>
      <c r="C753" t="s">
        <v>3932</v>
      </c>
      <c r="D753" t="s">
        <v>142</v>
      </c>
      <c r="E753" s="13">
        <v>1100</v>
      </c>
      <c r="F753" s="12">
        <v>5.65</v>
      </c>
      <c r="G753" t="str">
        <f>IFERROR(INDEX(tEditais[Órgão],MATCH(tItens[[#This Row],[Edital]],tEditais[Edital],0)),"")</f>
        <v>MUNICIPIO DE MILHA</v>
      </c>
      <c r="H753" t="str">
        <f>IFERROR(INDEX(tEditais[UF],MATCH(tItens[[#This Row],[Edital]],tEditais[Edital],0)),"")</f>
        <v>CE</v>
      </c>
      <c r="I753" s="11">
        <f>IFERROR(INDEX(tEditais[Encerramento],MATCH(tItens[[#This Row],[Edital]],tEditais[Edital],0)),"")</f>
        <v>46308.374305555553</v>
      </c>
      <c r="J753" t="str">
        <f>IFERROR(INDEX(tProdutos[Classe],MATCH(tItens[[#This Row],[Produto]],tProdutos[Produto],0)),"produto não cadastrado")</f>
        <v>DISPUTADO</v>
      </c>
      <c r="K753" s="12">
        <f>tItens[[#This Row],[Qtd]]*tItens[[#This Row],[Vlr unit]]</f>
        <v>6215</v>
      </c>
      <c r="L753" s="6">
        <f>IFERROR(IF(INDEX(tProdutos[Desconto homologado],MATCH(tItens[[#This Row],[Produto]],tProdutos[Produto],0))="",DescontoPadrao,INDEX(tProdutos[Desconto homologado],MATCH(tItens[[#This Row],[Produto]],tProdutos[Produto],0))),DescontoPadrao)</f>
        <v>0.37093619495691699</v>
      </c>
      <c r="M753" s="12">
        <f>tItens[[#This Row],[Valor]]*(1-tItens[[#This Row],[Desconto]])</f>
        <v>3909.6315483427611</v>
      </c>
      <c r="N753" t="str">
        <f>IFERROR(INDEX(tProdutos[Foco],MATCH(tItens[[#This Row],[Produto]],tProdutos[Produto],0)),"Não")</f>
        <v>Não</v>
      </c>
      <c r="O753" t="str">
        <f>IFERROR(INDEX(tEditais[SRP],MATCH(tItens[[#This Row],[Edital]],tEditais[Edital],0)),"Não")</f>
        <v>Não</v>
      </c>
      <c r="P753" s="4">
        <f>IF(COUNTIFS(INDEX(tItens[Edital],1):tItens[[#This Row],[Edital]],tItens[[#This Row],[Edital]],INDEX(tItens[Produto],1):tItens[[#This Row],[Produto]],tItens[[#This Row],[Produto]])=1,1,0)</f>
        <v>1</v>
      </c>
    </row>
    <row r="754" spans="1:16" x14ac:dyDescent="0.25">
      <c r="A754" t="s">
        <v>983</v>
      </c>
      <c r="B754">
        <v>240</v>
      </c>
      <c r="C754" t="s">
        <v>3933</v>
      </c>
      <c r="D754" t="s">
        <v>56</v>
      </c>
      <c r="E754" s="13">
        <v>300</v>
      </c>
      <c r="F754" s="12">
        <v>36.270000000000003</v>
      </c>
      <c r="G754" t="str">
        <f>IFERROR(INDEX(tEditais[Órgão],MATCH(tItens[[#This Row],[Edital]],tEditais[Edital],0)),"")</f>
        <v>MUNICIPIO DE MILHA</v>
      </c>
      <c r="H754" t="str">
        <f>IFERROR(INDEX(tEditais[UF],MATCH(tItens[[#This Row],[Edital]],tEditais[Edital],0)),"")</f>
        <v>CE</v>
      </c>
      <c r="I754" s="11">
        <f>IFERROR(INDEX(tEditais[Encerramento],MATCH(tItens[[#This Row],[Edital]],tEditais[Edital],0)),"")</f>
        <v>46308.374305555553</v>
      </c>
      <c r="J754" t="str">
        <f>IFERROR(INDEX(tProdutos[Classe],MATCH(tItens[[#This Row],[Produto]],tProdutos[Produto],0)),"produto não cadastrado")</f>
        <v>NÚCLEO</v>
      </c>
      <c r="K754" s="12">
        <f>tItens[[#This Row],[Qtd]]*tItens[[#This Row],[Vlr unit]]</f>
        <v>10881.000000000002</v>
      </c>
      <c r="L754" s="6">
        <f>IFERROR(IF(INDEX(tProdutos[Desconto homologado],MATCH(tItens[[#This Row],[Produto]],tProdutos[Produto],0))="",DescontoPadrao,INDEX(tProdutos[Desconto homologado],MATCH(tItens[[#This Row],[Produto]],tProdutos[Produto],0))),DescontoPadrao)</f>
        <v>0.34</v>
      </c>
      <c r="M754" s="12">
        <f>tItens[[#This Row],[Valor]]*(1-tItens[[#This Row],[Desconto]])</f>
        <v>7181.46</v>
      </c>
      <c r="N754" t="str">
        <f>IFERROR(INDEX(tProdutos[Foco],MATCH(tItens[[#This Row],[Produto]],tProdutos[Produto],0)),"Não")</f>
        <v>Sim</v>
      </c>
      <c r="O754" t="str">
        <f>IFERROR(INDEX(tEditais[SRP],MATCH(tItens[[#This Row],[Edital]],tEditais[Edital],0)),"Não")</f>
        <v>Não</v>
      </c>
      <c r="P754" s="4">
        <f>IF(COUNTIFS(INDEX(tItens[Edital],1):tItens[[#This Row],[Edital]],tItens[[#This Row],[Edital]],INDEX(tItens[Produto],1):tItens[[#This Row],[Produto]],tItens[[#This Row],[Produto]])=1,1,0)</f>
        <v>1</v>
      </c>
    </row>
    <row r="755" spans="1:16" x14ac:dyDescent="0.25">
      <c r="A755" t="s">
        <v>983</v>
      </c>
      <c r="B755">
        <v>241</v>
      </c>
      <c r="C755" t="s">
        <v>3934</v>
      </c>
      <c r="D755" t="s">
        <v>56</v>
      </c>
      <c r="E755" s="13">
        <v>300</v>
      </c>
      <c r="F755" s="12">
        <v>38.5</v>
      </c>
      <c r="G755" t="str">
        <f>IFERROR(INDEX(tEditais[Órgão],MATCH(tItens[[#This Row],[Edital]],tEditais[Edital],0)),"")</f>
        <v>MUNICIPIO DE MILHA</v>
      </c>
      <c r="H755" t="str">
        <f>IFERROR(INDEX(tEditais[UF],MATCH(tItens[[#This Row],[Edital]],tEditais[Edital],0)),"")</f>
        <v>CE</v>
      </c>
      <c r="I755" s="11">
        <f>IFERROR(INDEX(tEditais[Encerramento],MATCH(tItens[[#This Row],[Edital]],tEditais[Edital],0)),"")</f>
        <v>46308.374305555553</v>
      </c>
      <c r="J755" t="str">
        <f>IFERROR(INDEX(tProdutos[Classe],MATCH(tItens[[#This Row],[Produto]],tProdutos[Produto],0)),"produto não cadastrado")</f>
        <v>NÚCLEO</v>
      </c>
      <c r="K755" s="12">
        <f>tItens[[#This Row],[Qtd]]*tItens[[#This Row],[Vlr unit]]</f>
        <v>11550</v>
      </c>
      <c r="L755" s="6">
        <f>IFERROR(IF(INDEX(tProdutos[Desconto homologado],MATCH(tItens[[#This Row],[Produto]],tProdutos[Produto],0))="",DescontoPadrao,INDEX(tProdutos[Desconto homologado],MATCH(tItens[[#This Row],[Produto]],tProdutos[Produto],0))),DescontoPadrao)</f>
        <v>0.34</v>
      </c>
      <c r="M755" s="12">
        <f>tItens[[#This Row],[Valor]]*(1-tItens[[#This Row],[Desconto]])</f>
        <v>7622.9999999999991</v>
      </c>
      <c r="N755" t="str">
        <f>IFERROR(INDEX(tProdutos[Foco],MATCH(tItens[[#This Row],[Produto]],tProdutos[Produto],0)),"Não")</f>
        <v>Sim</v>
      </c>
      <c r="O755" t="str">
        <f>IFERROR(INDEX(tEditais[SRP],MATCH(tItens[[#This Row],[Edital]],tEditais[Edital],0)),"Não")</f>
        <v>Não</v>
      </c>
      <c r="P755" s="4">
        <f>IF(COUNTIFS(INDEX(tItens[Edital],1):tItens[[#This Row],[Edital]],tItens[[#This Row],[Edital]],INDEX(tItens[Produto],1):tItens[[#This Row],[Produto]],tItens[[#This Row],[Produto]])=1,1,0)</f>
        <v>0</v>
      </c>
    </row>
    <row r="756" spans="1:16" x14ac:dyDescent="0.25">
      <c r="A756" t="s">
        <v>983</v>
      </c>
      <c r="B756">
        <v>242</v>
      </c>
      <c r="C756" t="s">
        <v>3935</v>
      </c>
      <c r="D756" t="s">
        <v>56</v>
      </c>
      <c r="E756" s="13">
        <v>300</v>
      </c>
      <c r="F756" s="12">
        <v>45.6</v>
      </c>
      <c r="G756" t="str">
        <f>IFERROR(INDEX(tEditais[Órgão],MATCH(tItens[[#This Row],[Edital]],tEditais[Edital],0)),"")</f>
        <v>MUNICIPIO DE MILHA</v>
      </c>
      <c r="H756" t="str">
        <f>IFERROR(INDEX(tEditais[UF],MATCH(tItens[[#This Row],[Edital]],tEditais[Edital],0)),"")</f>
        <v>CE</v>
      </c>
      <c r="I756" s="11">
        <f>IFERROR(INDEX(tEditais[Encerramento],MATCH(tItens[[#This Row],[Edital]],tEditais[Edital],0)),"")</f>
        <v>46308.374305555553</v>
      </c>
      <c r="J756" t="str">
        <f>IFERROR(INDEX(tProdutos[Classe],MATCH(tItens[[#This Row],[Produto]],tProdutos[Produto],0)),"produto não cadastrado")</f>
        <v>NÚCLEO</v>
      </c>
      <c r="K756" s="12">
        <f>tItens[[#This Row],[Qtd]]*tItens[[#This Row],[Vlr unit]]</f>
        <v>13680</v>
      </c>
      <c r="L756" s="6">
        <f>IFERROR(IF(INDEX(tProdutos[Desconto homologado],MATCH(tItens[[#This Row],[Produto]],tProdutos[Produto],0))="",DescontoPadrao,INDEX(tProdutos[Desconto homologado],MATCH(tItens[[#This Row],[Produto]],tProdutos[Produto],0))),DescontoPadrao)</f>
        <v>0.34</v>
      </c>
      <c r="M756" s="12">
        <f>tItens[[#This Row],[Valor]]*(1-tItens[[#This Row],[Desconto]])</f>
        <v>9028.7999999999993</v>
      </c>
      <c r="N756" t="str">
        <f>IFERROR(INDEX(tProdutos[Foco],MATCH(tItens[[#This Row],[Produto]],tProdutos[Produto],0)),"Não")</f>
        <v>Sim</v>
      </c>
      <c r="O756" t="str">
        <f>IFERROR(INDEX(tEditais[SRP],MATCH(tItens[[#This Row],[Edital]],tEditais[Edital],0)),"Não")</f>
        <v>Não</v>
      </c>
      <c r="P756" s="4">
        <f>IF(COUNTIFS(INDEX(tItens[Edital],1):tItens[[#This Row],[Edital]],tItens[[#This Row],[Edital]],INDEX(tItens[Produto],1):tItens[[#This Row],[Produto]],tItens[[#This Row],[Produto]])=1,1,0)</f>
        <v>0</v>
      </c>
    </row>
    <row r="757" spans="1:16" x14ac:dyDescent="0.25">
      <c r="A757" t="s">
        <v>983</v>
      </c>
      <c r="B757">
        <v>243</v>
      </c>
      <c r="C757" t="s">
        <v>3936</v>
      </c>
      <c r="D757" t="s">
        <v>56</v>
      </c>
      <c r="E757" s="13">
        <v>300</v>
      </c>
      <c r="F757" s="12">
        <v>46.48</v>
      </c>
      <c r="G757" t="str">
        <f>IFERROR(INDEX(tEditais[Órgão],MATCH(tItens[[#This Row],[Edital]],tEditais[Edital],0)),"")</f>
        <v>MUNICIPIO DE MILHA</v>
      </c>
      <c r="H757" t="str">
        <f>IFERROR(INDEX(tEditais[UF],MATCH(tItens[[#This Row],[Edital]],tEditais[Edital],0)),"")</f>
        <v>CE</v>
      </c>
      <c r="I757" s="11">
        <f>IFERROR(INDEX(tEditais[Encerramento],MATCH(tItens[[#This Row],[Edital]],tEditais[Edital],0)),"")</f>
        <v>46308.374305555553</v>
      </c>
      <c r="J757" t="str">
        <f>IFERROR(INDEX(tProdutos[Classe],MATCH(tItens[[#This Row],[Produto]],tProdutos[Produto],0)),"produto não cadastrado")</f>
        <v>NÚCLEO</v>
      </c>
      <c r="K757" s="12">
        <f>tItens[[#This Row],[Qtd]]*tItens[[#This Row],[Vlr unit]]</f>
        <v>13943.999999999998</v>
      </c>
      <c r="L757" s="6">
        <f>IFERROR(IF(INDEX(tProdutos[Desconto homologado],MATCH(tItens[[#This Row],[Produto]],tProdutos[Produto],0))="",DescontoPadrao,INDEX(tProdutos[Desconto homologado],MATCH(tItens[[#This Row],[Produto]],tProdutos[Produto],0))),DescontoPadrao)</f>
        <v>0.34</v>
      </c>
      <c r="M757" s="12">
        <f>tItens[[#This Row],[Valor]]*(1-tItens[[#This Row],[Desconto]])</f>
        <v>9203.0399999999972</v>
      </c>
      <c r="N757" t="str">
        <f>IFERROR(INDEX(tProdutos[Foco],MATCH(tItens[[#This Row],[Produto]],tProdutos[Produto],0)),"Não")</f>
        <v>Sim</v>
      </c>
      <c r="O757" t="str">
        <f>IFERROR(INDEX(tEditais[SRP],MATCH(tItens[[#This Row],[Edital]],tEditais[Edital],0)),"Não")</f>
        <v>Não</v>
      </c>
      <c r="P757" s="4">
        <f>IF(COUNTIFS(INDEX(tItens[Edital],1):tItens[[#This Row],[Edital]],tItens[[#This Row],[Edital]],INDEX(tItens[Produto],1):tItens[[#This Row],[Produto]],tItens[[#This Row],[Produto]])=1,1,0)</f>
        <v>0</v>
      </c>
    </row>
    <row r="758" spans="1:16" x14ac:dyDescent="0.25">
      <c r="A758" t="s">
        <v>983</v>
      </c>
      <c r="B758">
        <v>244</v>
      </c>
      <c r="C758" t="s">
        <v>3937</v>
      </c>
      <c r="D758" t="s">
        <v>56</v>
      </c>
      <c r="E758" s="13">
        <v>300</v>
      </c>
      <c r="F758" s="12">
        <v>43.61</v>
      </c>
      <c r="G758" t="str">
        <f>IFERROR(INDEX(tEditais[Órgão],MATCH(tItens[[#This Row],[Edital]],tEditais[Edital],0)),"")</f>
        <v>MUNICIPIO DE MILHA</v>
      </c>
      <c r="H758" t="str">
        <f>IFERROR(INDEX(tEditais[UF],MATCH(tItens[[#This Row],[Edital]],tEditais[Edital],0)),"")</f>
        <v>CE</v>
      </c>
      <c r="I758" s="11">
        <f>IFERROR(INDEX(tEditais[Encerramento],MATCH(tItens[[#This Row],[Edital]],tEditais[Edital],0)),"")</f>
        <v>46308.374305555553</v>
      </c>
      <c r="J758" t="str">
        <f>IFERROR(INDEX(tProdutos[Classe],MATCH(tItens[[#This Row],[Produto]],tProdutos[Produto],0)),"produto não cadastrado")</f>
        <v>NÚCLEO</v>
      </c>
      <c r="K758" s="12">
        <f>tItens[[#This Row],[Qtd]]*tItens[[#This Row],[Vlr unit]]</f>
        <v>13083</v>
      </c>
      <c r="L758" s="6">
        <f>IFERROR(IF(INDEX(tProdutos[Desconto homologado],MATCH(tItens[[#This Row],[Produto]],tProdutos[Produto],0))="",DescontoPadrao,INDEX(tProdutos[Desconto homologado],MATCH(tItens[[#This Row],[Produto]],tProdutos[Produto],0))),DescontoPadrao)</f>
        <v>0.34</v>
      </c>
      <c r="M758" s="12">
        <f>tItens[[#This Row],[Valor]]*(1-tItens[[#This Row],[Desconto]])</f>
        <v>8634.7799999999988</v>
      </c>
      <c r="N758" t="str">
        <f>IFERROR(INDEX(tProdutos[Foco],MATCH(tItens[[#This Row],[Produto]],tProdutos[Produto],0)),"Não")</f>
        <v>Sim</v>
      </c>
      <c r="O758" t="str">
        <f>IFERROR(INDEX(tEditais[SRP],MATCH(tItens[[#This Row],[Edital]],tEditais[Edital],0)),"Não")</f>
        <v>Não</v>
      </c>
      <c r="P758" s="4">
        <f>IF(COUNTIFS(INDEX(tItens[Edital],1):tItens[[#This Row],[Edital]],tItens[[#This Row],[Edital]],INDEX(tItens[Produto],1):tItens[[#This Row],[Produto]],tItens[[#This Row],[Produto]])=1,1,0)</f>
        <v>0</v>
      </c>
    </row>
    <row r="759" spans="1:16" x14ac:dyDescent="0.25">
      <c r="A759" t="s">
        <v>983</v>
      </c>
      <c r="B759">
        <v>245</v>
      </c>
      <c r="C759" t="s">
        <v>3938</v>
      </c>
      <c r="D759" t="s">
        <v>56</v>
      </c>
      <c r="E759" s="13">
        <v>300</v>
      </c>
      <c r="F759" s="12">
        <v>48.44</v>
      </c>
      <c r="G759" t="str">
        <f>IFERROR(INDEX(tEditais[Órgão],MATCH(tItens[[#This Row],[Edital]],tEditais[Edital],0)),"")</f>
        <v>MUNICIPIO DE MILHA</v>
      </c>
      <c r="H759" t="str">
        <f>IFERROR(INDEX(tEditais[UF],MATCH(tItens[[#This Row],[Edital]],tEditais[Edital],0)),"")</f>
        <v>CE</v>
      </c>
      <c r="I759" s="11">
        <f>IFERROR(INDEX(tEditais[Encerramento],MATCH(tItens[[#This Row],[Edital]],tEditais[Edital],0)),"")</f>
        <v>46308.374305555553</v>
      </c>
      <c r="J759" t="str">
        <f>IFERROR(INDEX(tProdutos[Classe],MATCH(tItens[[#This Row],[Produto]],tProdutos[Produto],0)),"produto não cadastrado")</f>
        <v>NÚCLEO</v>
      </c>
      <c r="K759" s="12">
        <f>tItens[[#This Row],[Qtd]]*tItens[[#This Row],[Vlr unit]]</f>
        <v>14532</v>
      </c>
      <c r="L759" s="6">
        <f>IFERROR(IF(INDEX(tProdutos[Desconto homologado],MATCH(tItens[[#This Row],[Produto]],tProdutos[Produto],0))="",DescontoPadrao,INDEX(tProdutos[Desconto homologado],MATCH(tItens[[#This Row],[Produto]],tProdutos[Produto],0))),DescontoPadrao)</f>
        <v>0.34</v>
      </c>
      <c r="M759" s="12">
        <f>tItens[[#This Row],[Valor]]*(1-tItens[[#This Row],[Desconto]])</f>
        <v>9591.119999999999</v>
      </c>
      <c r="N759" t="str">
        <f>IFERROR(INDEX(tProdutos[Foco],MATCH(tItens[[#This Row],[Produto]],tProdutos[Produto],0)),"Não")</f>
        <v>Sim</v>
      </c>
      <c r="O759" t="str">
        <f>IFERROR(INDEX(tEditais[SRP],MATCH(tItens[[#This Row],[Edital]],tEditais[Edital],0)),"Não")</f>
        <v>Não</v>
      </c>
      <c r="P759" s="4">
        <f>IF(COUNTIFS(INDEX(tItens[Edital],1):tItens[[#This Row],[Edital]],tItens[[#This Row],[Edital]],INDEX(tItens[Produto],1):tItens[[#This Row],[Produto]],tItens[[#This Row],[Produto]])=1,1,0)</f>
        <v>0</v>
      </c>
    </row>
    <row r="760" spans="1:16" x14ac:dyDescent="0.25">
      <c r="A760" t="s">
        <v>983</v>
      </c>
      <c r="B760">
        <v>246</v>
      </c>
      <c r="C760" t="s">
        <v>3939</v>
      </c>
      <c r="D760" t="s">
        <v>56</v>
      </c>
      <c r="E760" s="13">
        <v>300</v>
      </c>
      <c r="F760" s="12">
        <v>40.47</v>
      </c>
      <c r="G760" t="str">
        <f>IFERROR(INDEX(tEditais[Órgão],MATCH(tItens[[#This Row],[Edital]],tEditais[Edital],0)),"")</f>
        <v>MUNICIPIO DE MILHA</v>
      </c>
      <c r="H760" t="str">
        <f>IFERROR(INDEX(tEditais[UF],MATCH(tItens[[#This Row],[Edital]],tEditais[Edital],0)),"")</f>
        <v>CE</v>
      </c>
      <c r="I760" s="11">
        <f>IFERROR(INDEX(tEditais[Encerramento],MATCH(tItens[[#This Row],[Edital]],tEditais[Edital],0)),"")</f>
        <v>46308.374305555553</v>
      </c>
      <c r="J760" t="str">
        <f>IFERROR(INDEX(tProdutos[Classe],MATCH(tItens[[#This Row],[Produto]],tProdutos[Produto],0)),"produto não cadastrado")</f>
        <v>NÚCLEO</v>
      </c>
      <c r="K760" s="12">
        <f>tItens[[#This Row],[Qtd]]*tItens[[#This Row],[Vlr unit]]</f>
        <v>12141</v>
      </c>
      <c r="L760" s="6">
        <f>IFERROR(IF(INDEX(tProdutos[Desconto homologado],MATCH(tItens[[#This Row],[Produto]],tProdutos[Produto],0))="",DescontoPadrao,INDEX(tProdutos[Desconto homologado],MATCH(tItens[[#This Row],[Produto]],tProdutos[Produto],0))),DescontoPadrao)</f>
        <v>0.34</v>
      </c>
      <c r="M760" s="12">
        <f>tItens[[#This Row],[Valor]]*(1-tItens[[#This Row],[Desconto]])</f>
        <v>8013.0599999999986</v>
      </c>
      <c r="N760" t="str">
        <f>IFERROR(INDEX(tProdutos[Foco],MATCH(tItens[[#This Row],[Produto]],tProdutos[Produto],0)),"Não")</f>
        <v>Sim</v>
      </c>
      <c r="O760" t="str">
        <f>IFERROR(INDEX(tEditais[SRP],MATCH(tItens[[#This Row],[Edital]],tEditais[Edital],0)),"Não")</f>
        <v>Não</v>
      </c>
      <c r="P760" s="4">
        <f>IF(COUNTIFS(INDEX(tItens[Edital],1):tItens[[#This Row],[Edital]],tItens[[#This Row],[Edital]],INDEX(tItens[Produto],1):tItens[[#This Row],[Produto]],tItens[[#This Row],[Produto]])=1,1,0)</f>
        <v>0</v>
      </c>
    </row>
    <row r="761" spans="1:16" x14ac:dyDescent="0.25">
      <c r="A761" t="s">
        <v>983</v>
      </c>
      <c r="B761">
        <v>247</v>
      </c>
      <c r="C761" t="s">
        <v>3940</v>
      </c>
      <c r="D761" t="s">
        <v>56</v>
      </c>
      <c r="E761" s="13">
        <v>300</v>
      </c>
      <c r="F761" s="12">
        <v>41.1</v>
      </c>
      <c r="G761" t="str">
        <f>IFERROR(INDEX(tEditais[Órgão],MATCH(tItens[[#This Row],[Edital]],tEditais[Edital],0)),"")</f>
        <v>MUNICIPIO DE MILHA</v>
      </c>
      <c r="H761" t="str">
        <f>IFERROR(INDEX(tEditais[UF],MATCH(tItens[[#This Row],[Edital]],tEditais[Edital],0)),"")</f>
        <v>CE</v>
      </c>
      <c r="I761" s="11">
        <f>IFERROR(INDEX(tEditais[Encerramento],MATCH(tItens[[#This Row],[Edital]],tEditais[Edital],0)),"")</f>
        <v>46308.374305555553</v>
      </c>
      <c r="J761" t="str">
        <f>IFERROR(INDEX(tProdutos[Classe],MATCH(tItens[[#This Row],[Produto]],tProdutos[Produto],0)),"produto não cadastrado")</f>
        <v>NÚCLEO</v>
      </c>
      <c r="K761" s="12">
        <f>tItens[[#This Row],[Qtd]]*tItens[[#This Row],[Vlr unit]]</f>
        <v>12330</v>
      </c>
      <c r="L761" s="6">
        <f>IFERROR(IF(INDEX(tProdutos[Desconto homologado],MATCH(tItens[[#This Row],[Produto]],tProdutos[Produto],0))="",DescontoPadrao,INDEX(tProdutos[Desconto homologado],MATCH(tItens[[#This Row],[Produto]],tProdutos[Produto],0))),DescontoPadrao)</f>
        <v>0.34</v>
      </c>
      <c r="M761" s="12">
        <f>tItens[[#This Row],[Valor]]*(1-tItens[[#This Row],[Desconto]])</f>
        <v>8137.7999999999993</v>
      </c>
      <c r="N761" t="str">
        <f>IFERROR(INDEX(tProdutos[Foco],MATCH(tItens[[#This Row],[Produto]],tProdutos[Produto],0)),"Não")</f>
        <v>Sim</v>
      </c>
      <c r="O761" t="str">
        <f>IFERROR(INDEX(tEditais[SRP],MATCH(tItens[[#This Row],[Edital]],tEditais[Edital],0)),"Não")</f>
        <v>Não</v>
      </c>
      <c r="P761" s="4">
        <f>IF(COUNTIFS(INDEX(tItens[Edital],1):tItens[[#This Row],[Edital]],tItens[[#This Row],[Edital]],INDEX(tItens[Produto],1):tItens[[#This Row],[Produto]],tItens[[#This Row],[Produto]])=1,1,0)</f>
        <v>0</v>
      </c>
    </row>
    <row r="762" spans="1:16" x14ac:dyDescent="0.25">
      <c r="A762" t="s">
        <v>983</v>
      </c>
      <c r="B762">
        <v>254</v>
      </c>
      <c r="C762" t="s">
        <v>3941</v>
      </c>
      <c r="D762" t="s">
        <v>339</v>
      </c>
      <c r="E762" s="13">
        <v>5000</v>
      </c>
      <c r="F762" s="12">
        <v>1.32</v>
      </c>
      <c r="G762" t="str">
        <f>IFERROR(INDEX(tEditais[Órgão],MATCH(tItens[[#This Row],[Edital]],tEditais[Edital],0)),"")</f>
        <v>MUNICIPIO DE MILHA</v>
      </c>
      <c r="H762" t="str">
        <f>IFERROR(INDEX(tEditais[UF],MATCH(tItens[[#This Row],[Edital]],tEditais[Edital],0)),"")</f>
        <v>CE</v>
      </c>
      <c r="I762" s="11">
        <f>IFERROR(INDEX(tEditais[Encerramento],MATCH(tItens[[#This Row],[Edital]],tEditais[Edital],0)),"")</f>
        <v>46308.374305555553</v>
      </c>
      <c r="J762" t="str">
        <f>IFERROR(INDEX(tProdutos[Classe],MATCH(tItens[[#This Row],[Produto]],tProdutos[Produto],0)),"produto não cadastrado")</f>
        <v>FORA</v>
      </c>
      <c r="K762" s="12">
        <f>tItens[[#This Row],[Qtd]]*tItens[[#This Row],[Vlr unit]]</f>
        <v>6600</v>
      </c>
      <c r="L762" s="6">
        <f>IFERROR(IF(INDEX(tProdutos[Desconto homologado],MATCH(tItens[[#This Row],[Produto]],tProdutos[Produto],0))="",DescontoPadrao,INDEX(tProdutos[Desconto homologado],MATCH(tItens[[#This Row],[Produto]],tProdutos[Produto],0))),DescontoPadrao)</f>
        <v>0.35388629091804102</v>
      </c>
      <c r="M762" s="12">
        <f>tItens[[#This Row],[Valor]]*(1-tItens[[#This Row],[Desconto]])</f>
        <v>4264.3504799409293</v>
      </c>
      <c r="N762" t="str">
        <f>IFERROR(INDEX(tProdutos[Foco],MATCH(tItens[[#This Row],[Produto]],tProdutos[Produto],0)),"Não")</f>
        <v>Não</v>
      </c>
      <c r="O762" t="str">
        <f>IFERROR(INDEX(tEditais[SRP],MATCH(tItens[[#This Row],[Edital]],tEditais[Edital],0)),"Não")</f>
        <v>Não</v>
      </c>
      <c r="P762" s="4">
        <f>IF(COUNTIFS(INDEX(tItens[Edital],1):tItens[[#This Row],[Edital]],tItens[[#This Row],[Edital]],INDEX(tItens[Produto],1):tItens[[#This Row],[Produto]],tItens[[#This Row],[Produto]])=1,1,0)</f>
        <v>1</v>
      </c>
    </row>
    <row r="763" spans="1:16" x14ac:dyDescent="0.25">
      <c r="A763" t="s">
        <v>983</v>
      </c>
      <c r="B763">
        <v>255</v>
      </c>
      <c r="C763" t="s">
        <v>3942</v>
      </c>
      <c r="D763" t="s">
        <v>339</v>
      </c>
      <c r="E763" s="13">
        <v>5000</v>
      </c>
      <c r="F763" s="12">
        <v>0.96</v>
      </c>
      <c r="G763" t="str">
        <f>IFERROR(INDEX(tEditais[Órgão],MATCH(tItens[[#This Row],[Edital]],tEditais[Edital],0)),"")</f>
        <v>MUNICIPIO DE MILHA</v>
      </c>
      <c r="H763" t="str">
        <f>IFERROR(INDEX(tEditais[UF],MATCH(tItens[[#This Row],[Edital]],tEditais[Edital],0)),"")</f>
        <v>CE</v>
      </c>
      <c r="I763" s="11">
        <f>IFERROR(INDEX(tEditais[Encerramento],MATCH(tItens[[#This Row],[Edital]],tEditais[Edital],0)),"")</f>
        <v>46308.374305555553</v>
      </c>
      <c r="J763" t="str">
        <f>IFERROR(INDEX(tProdutos[Classe],MATCH(tItens[[#This Row],[Produto]],tProdutos[Produto],0)),"produto não cadastrado")</f>
        <v>FORA</v>
      </c>
      <c r="K763" s="12">
        <f>tItens[[#This Row],[Qtd]]*tItens[[#This Row],[Vlr unit]]</f>
        <v>4800</v>
      </c>
      <c r="L763" s="6">
        <f>IFERROR(IF(INDEX(tProdutos[Desconto homologado],MATCH(tItens[[#This Row],[Produto]],tProdutos[Produto],0))="",DescontoPadrao,INDEX(tProdutos[Desconto homologado],MATCH(tItens[[#This Row],[Produto]],tProdutos[Produto],0))),DescontoPadrao)</f>
        <v>0.35388629091804102</v>
      </c>
      <c r="M763" s="12">
        <f>tItens[[#This Row],[Valor]]*(1-tItens[[#This Row],[Desconto]])</f>
        <v>3101.3458035934032</v>
      </c>
      <c r="N763" t="str">
        <f>IFERROR(INDEX(tProdutos[Foco],MATCH(tItens[[#This Row],[Produto]],tProdutos[Produto],0)),"Não")</f>
        <v>Não</v>
      </c>
      <c r="O763" t="str">
        <f>IFERROR(INDEX(tEditais[SRP],MATCH(tItens[[#This Row],[Edital]],tEditais[Edital],0)),"Não")</f>
        <v>Não</v>
      </c>
      <c r="P763" s="4">
        <f>IF(COUNTIFS(INDEX(tItens[Edital],1):tItens[[#This Row],[Edital]],tItens[[#This Row],[Edital]],INDEX(tItens[Produto],1):tItens[[#This Row],[Produto]],tItens[[#This Row],[Produto]])=1,1,0)</f>
        <v>0</v>
      </c>
    </row>
    <row r="764" spans="1:16" x14ac:dyDescent="0.25">
      <c r="A764" t="s">
        <v>983</v>
      </c>
      <c r="B764">
        <v>256</v>
      </c>
      <c r="C764" t="s">
        <v>3943</v>
      </c>
      <c r="D764" t="s">
        <v>339</v>
      </c>
      <c r="E764" s="13">
        <v>5000</v>
      </c>
      <c r="F764" s="12">
        <v>1.78</v>
      </c>
      <c r="G764" t="str">
        <f>IFERROR(INDEX(tEditais[Órgão],MATCH(tItens[[#This Row],[Edital]],tEditais[Edital],0)),"")</f>
        <v>MUNICIPIO DE MILHA</v>
      </c>
      <c r="H764" t="str">
        <f>IFERROR(INDEX(tEditais[UF],MATCH(tItens[[#This Row],[Edital]],tEditais[Edital],0)),"")</f>
        <v>CE</v>
      </c>
      <c r="I764" s="11">
        <f>IFERROR(INDEX(tEditais[Encerramento],MATCH(tItens[[#This Row],[Edital]],tEditais[Edital],0)),"")</f>
        <v>46308.374305555553</v>
      </c>
      <c r="J764" t="str">
        <f>IFERROR(INDEX(tProdutos[Classe],MATCH(tItens[[#This Row],[Produto]],tProdutos[Produto],0)),"produto não cadastrado")</f>
        <v>FORA</v>
      </c>
      <c r="K764" s="12">
        <f>tItens[[#This Row],[Qtd]]*tItens[[#This Row],[Vlr unit]]</f>
        <v>8900</v>
      </c>
      <c r="L764" s="6">
        <f>IFERROR(IF(INDEX(tProdutos[Desconto homologado],MATCH(tItens[[#This Row],[Produto]],tProdutos[Produto],0))="",DescontoPadrao,INDEX(tProdutos[Desconto homologado],MATCH(tItens[[#This Row],[Produto]],tProdutos[Produto],0))),DescontoPadrao)</f>
        <v>0.35388629091804102</v>
      </c>
      <c r="M764" s="12">
        <f>tItens[[#This Row],[Valor]]*(1-tItens[[#This Row],[Desconto]])</f>
        <v>5750.4120108294346</v>
      </c>
      <c r="N764" t="str">
        <f>IFERROR(INDEX(tProdutos[Foco],MATCH(tItens[[#This Row],[Produto]],tProdutos[Produto],0)),"Não")</f>
        <v>Não</v>
      </c>
      <c r="O764" t="str">
        <f>IFERROR(INDEX(tEditais[SRP],MATCH(tItens[[#This Row],[Edital]],tEditais[Edital],0)),"Não")</f>
        <v>Não</v>
      </c>
      <c r="P764" s="4">
        <f>IF(COUNTIFS(INDEX(tItens[Edital],1):tItens[[#This Row],[Edital]],tItens[[#This Row],[Edital]],INDEX(tItens[Produto],1):tItens[[#This Row],[Produto]],tItens[[#This Row],[Produto]])=1,1,0)</f>
        <v>0</v>
      </c>
    </row>
    <row r="765" spans="1:16" x14ac:dyDescent="0.25">
      <c r="A765" t="s">
        <v>983</v>
      </c>
      <c r="B765">
        <v>257</v>
      </c>
      <c r="C765" t="s">
        <v>3944</v>
      </c>
      <c r="D765" t="s">
        <v>339</v>
      </c>
      <c r="E765" s="13">
        <v>5000</v>
      </c>
      <c r="F765" s="12">
        <v>1.32</v>
      </c>
      <c r="G765" t="str">
        <f>IFERROR(INDEX(tEditais[Órgão],MATCH(tItens[[#This Row],[Edital]],tEditais[Edital],0)),"")</f>
        <v>MUNICIPIO DE MILHA</v>
      </c>
      <c r="H765" t="str">
        <f>IFERROR(INDEX(tEditais[UF],MATCH(tItens[[#This Row],[Edital]],tEditais[Edital],0)),"")</f>
        <v>CE</v>
      </c>
      <c r="I765" s="11">
        <f>IFERROR(INDEX(tEditais[Encerramento],MATCH(tItens[[#This Row],[Edital]],tEditais[Edital],0)),"")</f>
        <v>46308.374305555553</v>
      </c>
      <c r="J765" t="str">
        <f>IFERROR(INDEX(tProdutos[Classe],MATCH(tItens[[#This Row],[Produto]],tProdutos[Produto],0)),"produto não cadastrado")</f>
        <v>FORA</v>
      </c>
      <c r="K765" s="12">
        <f>tItens[[#This Row],[Qtd]]*tItens[[#This Row],[Vlr unit]]</f>
        <v>6600</v>
      </c>
      <c r="L765" s="6">
        <f>IFERROR(IF(INDEX(tProdutos[Desconto homologado],MATCH(tItens[[#This Row],[Produto]],tProdutos[Produto],0))="",DescontoPadrao,INDEX(tProdutos[Desconto homologado],MATCH(tItens[[#This Row],[Produto]],tProdutos[Produto],0))),DescontoPadrao)</f>
        <v>0.35388629091804102</v>
      </c>
      <c r="M765" s="12">
        <f>tItens[[#This Row],[Valor]]*(1-tItens[[#This Row],[Desconto]])</f>
        <v>4264.3504799409293</v>
      </c>
      <c r="N765" t="str">
        <f>IFERROR(INDEX(tProdutos[Foco],MATCH(tItens[[#This Row],[Produto]],tProdutos[Produto],0)),"Não")</f>
        <v>Não</v>
      </c>
      <c r="O765" t="str">
        <f>IFERROR(INDEX(tEditais[SRP],MATCH(tItens[[#This Row],[Edital]],tEditais[Edital],0)),"Não")</f>
        <v>Não</v>
      </c>
      <c r="P765" s="4">
        <f>IF(COUNTIFS(INDEX(tItens[Edital],1):tItens[[#This Row],[Edital]],tItens[[#This Row],[Edital]],INDEX(tItens[Produto],1):tItens[[#This Row],[Produto]],tItens[[#This Row],[Produto]])=1,1,0)</f>
        <v>0</v>
      </c>
    </row>
    <row r="766" spans="1:16" x14ac:dyDescent="0.25">
      <c r="A766" t="s">
        <v>983</v>
      </c>
      <c r="B766">
        <v>261</v>
      </c>
      <c r="C766" t="s">
        <v>3945</v>
      </c>
      <c r="D766" t="s">
        <v>339</v>
      </c>
      <c r="E766" s="13">
        <v>5000</v>
      </c>
      <c r="F766" s="12">
        <v>1.66</v>
      </c>
      <c r="G766" t="str">
        <f>IFERROR(INDEX(tEditais[Órgão],MATCH(tItens[[#This Row],[Edital]],tEditais[Edital],0)),"")</f>
        <v>MUNICIPIO DE MILHA</v>
      </c>
      <c r="H766" t="str">
        <f>IFERROR(INDEX(tEditais[UF],MATCH(tItens[[#This Row],[Edital]],tEditais[Edital],0)),"")</f>
        <v>CE</v>
      </c>
      <c r="I766" s="11">
        <f>IFERROR(INDEX(tEditais[Encerramento],MATCH(tItens[[#This Row],[Edital]],tEditais[Edital],0)),"")</f>
        <v>46308.374305555553</v>
      </c>
      <c r="J766" t="str">
        <f>IFERROR(INDEX(tProdutos[Classe],MATCH(tItens[[#This Row],[Produto]],tProdutos[Produto],0)),"produto não cadastrado")</f>
        <v>FORA</v>
      </c>
      <c r="K766" s="12">
        <f>tItens[[#This Row],[Qtd]]*tItens[[#This Row],[Vlr unit]]</f>
        <v>8300</v>
      </c>
      <c r="L766" s="6">
        <f>IFERROR(IF(INDEX(tProdutos[Desconto homologado],MATCH(tItens[[#This Row],[Produto]],tProdutos[Produto],0))="",DescontoPadrao,INDEX(tProdutos[Desconto homologado],MATCH(tItens[[#This Row],[Produto]],tProdutos[Produto],0))),DescontoPadrao)</f>
        <v>0.35388629091804102</v>
      </c>
      <c r="M766" s="12">
        <f>tItens[[#This Row],[Valor]]*(1-tItens[[#This Row],[Desconto]])</f>
        <v>5362.7437853802594</v>
      </c>
      <c r="N766" t="str">
        <f>IFERROR(INDEX(tProdutos[Foco],MATCH(tItens[[#This Row],[Produto]],tProdutos[Produto],0)),"Não")</f>
        <v>Não</v>
      </c>
      <c r="O766" t="str">
        <f>IFERROR(INDEX(tEditais[SRP],MATCH(tItens[[#This Row],[Edital]],tEditais[Edital],0)),"Não")</f>
        <v>Não</v>
      </c>
      <c r="P766" s="4">
        <f>IF(COUNTIFS(INDEX(tItens[Edital],1):tItens[[#This Row],[Edital]],tItens[[#This Row],[Edital]],INDEX(tItens[Produto],1):tItens[[#This Row],[Produto]],tItens[[#This Row],[Produto]])=1,1,0)</f>
        <v>0</v>
      </c>
    </row>
    <row r="767" spans="1:16" x14ac:dyDescent="0.25">
      <c r="A767" t="s">
        <v>983</v>
      </c>
      <c r="B767">
        <v>262</v>
      </c>
      <c r="C767" t="s">
        <v>3946</v>
      </c>
      <c r="D767" t="s">
        <v>339</v>
      </c>
      <c r="E767" s="13">
        <v>5000</v>
      </c>
      <c r="F767" s="12">
        <v>1.62</v>
      </c>
      <c r="G767" t="str">
        <f>IFERROR(INDEX(tEditais[Órgão],MATCH(tItens[[#This Row],[Edital]],tEditais[Edital],0)),"")</f>
        <v>MUNICIPIO DE MILHA</v>
      </c>
      <c r="H767" t="str">
        <f>IFERROR(INDEX(tEditais[UF],MATCH(tItens[[#This Row],[Edital]],tEditais[Edital],0)),"")</f>
        <v>CE</v>
      </c>
      <c r="I767" s="11">
        <f>IFERROR(INDEX(tEditais[Encerramento],MATCH(tItens[[#This Row],[Edital]],tEditais[Edital],0)),"")</f>
        <v>46308.374305555553</v>
      </c>
      <c r="J767" t="str">
        <f>IFERROR(INDEX(tProdutos[Classe],MATCH(tItens[[#This Row],[Produto]],tProdutos[Produto],0)),"produto não cadastrado")</f>
        <v>FORA</v>
      </c>
      <c r="K767" s="12">
        <f>tItens[[#This Row],[Qtd]]*tItens[[#This Row],[Vlr unit]]</f>
        <v>8100.0000000000009</v>
      </c>
      <c r="L767" s="6">
        <f>IFERROR(IF(INDEX(tProdutos[Desconto homologado],MATCH(tItens[[#This Row],[Produto]],tProdutos[Produto],0))="",DescontoPadrao,INDEX(tProdutos[Desconto homologado],MATCH(tItens[[#This Row],[Produto]],tProdutos[Produto],0))),DescontoPadrao)</f>
        <v>0.35388629091804102</v>
      </c>
      <c r="M767" s="12">
        <f>tItens[[#This Row],[Valor]]*(1-tItens[[#This Row],[Desconto]])</f>
        <v>5233.5210435638683</v>
      </c>
      <c r="N767" t="str">
        <f>IFERROR(INDEX(tProdutos[Foco],MATCH(tItens[[#This Row],[Produto]],tProdutos[Produto],0)),"Não")</f>
        <v>Não</v>
      </c>
      <c r="O767" t="str">
        <f>IFERROR(INDEX(tEditais[SRP],MATCH(tItens[[#This Row],[Edital]],tEditais[Edital],0)),"Não")</f>
        <v>Não</v>
      </c>
      <c r="P767" s="4">
        <f>IF(COUNTIFS(INDEX(tItens[Edital],1):tItens[[#This Row],[Edital]],tItens[[#This Row],[Edital]],INDEX(tItens[Produto],1):tItens[[#This Row],[Produto]],tItens[[#This Row],[Produto]])=1,1,0)</f>
        <v>0</v>
      </c>
    </row>
    <row r="768" spans="1:16" x14ac:dyDescent="0.25">
      <c r="A768" t="s">
        <v>983</v>
      </c>
      <c r="B768">
        <v>263</v>
      </c>
      <c r="C768" t="s">
        <v>3947</v>
      </c>
      <c r="D768" t="s">
        <v>339</v>
      </c>
      <c r="E768" s="13">
        <v>5000</v>
      </c>
      <c r="F768" s="12">
        <v>2.0499999999999998</v>
      </c>
      <c r="G768" t="str">
        <f>IFERROR(INDEX(tEditais[Órgão],MATCH(tItens[[#This Row],[Edital]],tEditais[Edital],0)),"")</f>
        <v>MUNICIPIO DE MILHA</v>
      </c>
      <c r="H768" t="str">
        <f>IFERROR(INDEX(tEditais[UF],MATCH(tItens[[#This Row],[Edital]],tEditais[Edital],0)),"")</f>
        <v>CE</v>
      </c>
      <c r="I768" s="11">
        <f>IFERROR(INDEX(tEditais[Encerramento],MATCH(tItens[[#This Row],[Edital]],tEditais[Edital],0)),"")</f>
        <v>46308.374305555553</v>
      </c>
      <c r="J768" t="str">
        <f>IFERROR(INDEX(tProdutos[Classe],MATCH(tItens[[#This Row],[Produto]],tProdutos[Produto],0)),"produto não cadastrado")</f>
        <v>FORA</v>
      </c>
      <c r="K768" s="12">
        <f>tItens[[#This Row],[Qtd]]*tItens[[#This Row],[Vlr unit]]</f>
        <v>10250</v>
      </c>
      <c r="L768" s="6">
        <f>IFERROR(IF(INDEX(tProdutos[Desconto homologado],MATCH(tItens[[#This Row],[Produto]],tProdutos[Produto],0))="",DescontoPadrao,INDEX(tProdutos[Desconto homologado],MATCH(tItens[[#This Row],[Produto]],tProdutos[Produto],0))),DescontoPadrao)</f>
        <v>0.35388629091804102</v>
      </c>
      <c r="M768" s="12">
        <f>tItens[[#This Row],[Valor]]*(1-tItens[[#This Row],[Desconto]])</f>
        <v>6622.6655180900798</v>
      </c>
      <c r="N768" t="str">
        <f>IFERROR(INDEX(tProdutos[Foco],MATCH(tItens[[#This Row],[Produto]],tProdutos[Produto],0)),"Não")</f>
        <v>Não</v>
      </c>
      <c r="O768" t="str">
        <f>IFERROR(INDEX(tEditais[SRP],MATCH(tItens[[#This Row],[Edital]],tEditais[Edital],0)),"Não")</f>
        <v>Não</v>
      </c>
      <c r="P768" s="4">
        <f>IF(COUNTIFS(INDEX(tItens[Edital],1):tItens[[#This Row],[Edital]],tItens[[#This Row],[Edital]],INDEX(tItens[Produto],1):tItens[[#This Row],[Produto]],tItens[[#This Row],[Produto]])=1,1,0)</f>
        <v>0</v>
      </c>
    </row>
    <row r="769" spans="1:16" x14ac:dyDescent="0.25">
      <c r="A769" t="s">
        <v>983</v>
      </c>
      <c r="B769">
        <v>264</v>
      </c>
      <c r="C769" t="s">
        <v>3948</v>
      </c>
      <c r="D769" t="s">
        <v>339</v>
      </c>
      <c r="E769" s="13">
        <v>5000</v>
      </c>
      <c r="F769" s="12">
        <v>1.7</v>
      </c>
      <c r="G769" t="str">
        <f>IFERROR(INDEX(tEditais[Órgão],MATCH(tItens[[#This Row],[Edital]],tEditais[Edital],0)),"")</f>
        <v>MUNICIPIO DE MILHA</v>
      </c>
      <c r="H769" t="str">
        <f>IFERROR(INDEX(tEditais[UF],MATCH(tItens[[#This Row],[Edital]],tEditais[Edital],0)),"")</f>
        <v>CE</v>
      </c>
      <c r="I769" s="11">
        <f>IFERROR(INDEX(tEditais[Encerramento],MATCH(tItens[[#This Row],[Edital]],tEditais[Edital],0)),"")</f>
        <v>46308.374305555553</v>
      </c>
      <c r="J769" t="str">
        <f>IFERROR(INDEX(tProdutos[Classe],MATCH(tItens[[#This Row],[Produto]],tProdutos[Produto],0)),"produto não cadastrado")</f>
        <v>FORA</v>
      </c>
      <c r="K769" s="12">
        <f>tItens[[#This Row],[Qtd]]*tItens[[#This Row],[Vlr unit]]</f>
        <v>8500</v>
      </c>
      <c r="L769" s="6">
        <f>IFERROR(IF(INDEX(tProdutos[Desconto homologado],MATCH(tItens[[#This Row],[Produto]],tProdutos[Produto],0))="",DescontoPadrao,INDEX(tProdutos[Desconto homologado],MATCH(tItens[[#This Row],[Produto]],tProdutos[Produto],0))),DescontoPadrao)</f>
        <v>0.35388629091804102</v>
      </c>
      <c r="M769" s="12">
        <f>tItens[[#This Row],[Valor]]*(1-tItens[[#This Row],[Desconto]])</f>
        <v>5491.9665271966514</v>
      </c>
      <c r="N769" t="str">
        <f>IFERROR(INDEX(tProdutos[Foco],MATCH(tItens[[#This Row],[Produto]],tProdutos[Produto],0)),"Não")</f>
        <v>Não</v>
      </c>
      <c r="O769" t="str">
        <f>IFERROR(INDEX(tEditais[SRP],MATCH(tItens[[#This Row],[Edital]],tEditais[Edital],0)),"Não")</f>
        <v>Não</v>
      </c>
      <c r="P769" s="4">
        <f>IF(COUNTIFS(INDEX(tItens[Edital],1):tItens[[#This Row],[Edital]],tItens[[#This Row],[Edital]],INDEX(tItens[Produto],1):tItens[[#This Row],[Produto]],tItens[[#This Row],[Produto]])=1,1,0)</f>
        <v>0</v>
      </c>
    </row>
    <row r="770" spans="1:16" x14ac:dyDescent="0.25">
      <c r="A770" t="s">
        <v>983</v>
      </c>
      <c r="B770">
        <v>265</v>
      </c>
      <c r="C770" t="s">
        <v>3949</v>
      </c>
      <c r="D770" t="s">
        <v>339</v>
      </c>
      <c r="E770" s="13">
        <v>5000</v>
      </c>
      <c r="F770" s="12">
        <v>1.49</v>
      </c>
      <c r="G770" t="str">
        <f>IFERROR(INDEX(tEditais[Órgão],MATCH(tItens[[#This Row],[Edital]],tEditais[Edital],0)),"")</f>
        <v>MUNICIPIO DE MILHA</v>
      </c>
      <c r="H770" t="str">
        <f>IFERROR(INDEX(tEditais[UF],MATCH(tItens[[#This Row],[Edital]],tEditais[Edital],0)),"")</f>
        <v>CE</v>
      </c>
      <c r="I770" s="11">
        <f>IFERROR(INDEX(tEditais[Encerramento],MATCH(tItens[[#This Row],[Edital]],tEditais[Edital],0)),"")</f>
        <v>46308.374305555553</v>
      </c>
      <c r="J770" t="str">
        <f>IFERROR(INDEX(tProdutos[Classe],MATCH(tItens[[#This Row],[Produto]],tProdutos[Produto],0)),"produto não cadastrado")</f>
        <v>FORA</v>
      </c>
      <c r="K770" s="12">
        <f>tItens[[#This Row],[Qtd]]*tItens[[#This Row],[Vlr unit]]</f>
        <v>7450</v>
      </c>
      <c r="L770" s="6">
        <f>IFERROR(IF(INDEX(tProdutos[Desconto homologado],MATCH(tItens[[#This Row],[Produto]],tProdutos[Produto],0))="",DescontoPadrao,INDEX(tProdutos[Desconto homologado],MATCH(tItens[[#This Row],[Produto]],tProdutos[Produto],0))),DescontoPadrao)</f>
        <v>0.35388629091804102</v>
      </c>
      <c r="M770" s="12">
        <f>tItens[[#This Row],[Valor]]*(1-tItens[[#This Row],[Desconto]])</f>
        <v>4813.5471326605948</v>
      </c>
      <c r="N770" t="str">
        <f>IFERROR(INDEX(tProdutos[Foco],MATCH(tItens[[#This Row],[Produto]],tProdutos[Produto],0)),"Não")</f>
        <v>Não</v>
      </c>
      <c r="O770" t="str">
        <f>IFERROR(INDEX(tEditais[SRP],MATCH(tItens[[#This Row],[Edital]],tEditais[Edital],0)),"Não")</f>
        <v>Não</v>
      </c>
      <c r="P770" s="4">
        <f>IF(COUNTIFS(INDEX(tItens[Edital],1):tItens[[#This Row],[Edital]],tItens[[#This Row],[Edital]],INDEX(tItens[Produto],1):tItens[[#This Row],[Produto]],tItens[[#This Row],[Produto]])=1,1,0)</f>
        <v>0</v>
      </c>
    </row>
    <row r="771" spans="1:16" x14ac:dyDescent="0.25">
      <c r="A771" t="s">
        <v>983</v>
      </c>
      <c r="B771">
        <v>267</v>
      </c>
      <c r="C771" t="s">
        <v>3950</v>
      </c>
      <c r="D771" t="s">
        <v>267</v>
      </c>
      <c r="E771" s="13">
        <v>10000</v>
      </c>
      <c r="F771" s="12">
        <v>3.79</v>
      </c>
      <c r="G771" t="str">
        <f>IFERROR(INDEX(tEditais[Órgão],MATCH(tItens[[#This Row],[Edital]],tEditais[Edital],0)),"")</f>
        <v>MUNICIPIO DE MILHA</v>
      </c>
      <c r="H771" t="str">
        <f>IFERROR(INDEX(tEditais[UF],MATCH(tItens[[#This Row],[Edital]],tEditais[Edital],0)),"")</f>
        <v>CE</v>
      </c>
      <c r="I771" s="11">
        <f>IFERROR(INDEX(tEditais[Encerramento],MATCH(tItens[[#This Row],[Edital]],tEditais[Edital],0)),"")</f>
        <v>46308.374305555553</v>
      </c>
      <c r="J771" t="str">
        <f>IFERROR(INDEX(tProdutos[Classe],MATCH(tItens[[#This Row],[Produto]],tProdutos[Produto],0)),"produto não cadastrado")</f>
        <v>FORA</v>
      </c>
      <c r="K771" s="12">
        <f>tItens[[#This Row],[Qtd]]*tItens[[#This Row],[Vlr unit]]</f>
        <v>37900</v>
      </c>
      <c r="L771" s="6">
        <f>IFERROR(IF(INDEX(tProdutos[Desconto homologado],MATCH(tItens[[#This Row],[Produto]],tProdutos[Produto],0))="",DescontoPadrao,INDEX(tProdutos[Desconto homologado],MATCH(tItens[[#This Row],[Produto]],tProdutos[Produto],0))),DescontoPadrao)</f>
        <v>0.19963672657401599</v>
      </c>
      <c r="M771" s="12">
        <f>tItens[[#This Row],[Valor]]*(1-tItens[[#This Row],[Desconto]])</f>
        <v>30333.768062844792</v>
      </c>
      <c r="N771" t="str">
        <f>IFERROR(INDEX(tProdutos[Foco],MATCH(tItens[[#This Row],[Produto]],tProdutos[Produto],0)),"Não")</f>
        <v>Não</v>
      </c>
      <c r="O771" t="str">
        <f>IFERROR(INDEX(tEditais[SRP],MATCH(tItens[[#This Row],[Edital]],tEditais[Edital],0)),"Não")</f>
        <v>Não</v>
      </c>
      <c r="P771" s="4">
        <f>IF(COUNTIFS(INDEX(tItens[Edital],1):tItens[[#This Row],[Edital]],tItens[[#This Row],[Edital]],INDEX(tItens[Produto],1):tItens[[#This Row],[Produto]],tItens[[#This Row],[Produto]])=1,1,0)</f>
        <v>1</v>
      </c>
    </row>
    <row r="772" spans="1:16" x14ac:dyDescent="0.25">
      <c r="A772" t="s">
        <v>983</v>
      </c>
      <c r="B772">
        <v>268</v>
      </c>
      <c r="C772" t="s">
        <v>3951</v>
      </c>
      <c r="D772" t="s">
        <v>267</v>
      </c>
      <c r="E772" s="13">
        <v>5000</v>
      </c>
      <c r="F772" s="12">
        <v>2.27</v>
      </c>
      <c r="G772" t="str">
        <f>IFERROR(INDEX(tEditais[Órgão],MATCH(tItens[[#This Row],[Edital]],tEditais[Edital],0)),"")</f>
        <v>MUNICIPIO DE MILHA</v>
      </c>
      <c r="H772" t="str">
        <f>IFERROR(INDEX(tEditais[UF],MATCH(tItens[[#This Row],[Edital]],tEditais[Edital],0)),"")</f>
        <v>CE</v>
      </c>
      <c r="I772" s="11">
        <f>IFERROR(INDEX(tEditais[Encerramento],MATCH(tItens[[#This Row],[Edital]],tEditais[Edital],0)),"")</f>
        <v>46308.374305555553</v>
      </c>
      <c r="J772" t="str">
        <f>IFERROR(INDEX(tProdutos[Classe],MATCH(tItens[[#This Row],[Produto]],tProdutos[Produto],0)),"produto não cadastrado")</f>
        <v>FORA</v>
      </c>
      <c r="K772" s="12">
        <f>tItens[[#This Row],[Qtd]]*tItens[[#This Row],[Vlr unit]]</f>
        <v>11350</v>
      </c>
      <c r="L772" s="6">
        <f>IFERROR(IF(INDEX(tProdutos[Desconto homologado],MATCH(tItens[[#This Row],[Produto]],tProdutos[Produto],0))="",DescontoPadrao,INDEX(tProdutos[Desconto homologado],MATCH(tItens[[#This Row],[Produto]],tProdutos[Produto],0))),DescontoPadrao)</f>
        <v>0.19963672657401599</v>
      </c>
      <c r="M772" s="12">
        <f>tItens[[#This Row],[Valor]]*(1-tItens[[#This Row],[Desconto]])</f>
        <v>9084.1231533849186</v>
      </c>
      <c r="N772" t="str">
        <f>IFERROR(INDEX(tProdutos[Foco],MATCH(tItens[[#This Row],[Produto]],tProdutos[Produto],0)),"Não")</f>
        <v>Não</v>
      </c>
      <c r="O772" t="str">
        <f>IFERROR(INDEX(tEditais[SRP],MATCH(tItens[[#This Row],[Edital]],tEditais[Edital],0)),"Não")</f>
        <v>Não</v>
      </c>
      <c r="P772" s="4">
        <f>IF(COUNTIFS(INDEX(tItens[Edital],1):tItens[[#This Row],[Edital]],tItens[[#This Row],[Edital]],INDEX(tItens[Produto],1):tItens[[#This Row],[Produto]],tItens[[#This Row],[Produto]])=1,1,0)</f>
        <v>0</v>
      </c>
    </row>
    <row r="773" spans="1:16" x14ac:dyDescent="0.25">
      <c r="A773" t="s">
        <v>983</v>
      </c>
      <c r="B773">
        <v>270</v>
      </c>
      <c r="C773" t="s">
        <v>3952</v>
      </c>
      <c r="D773" t="s">
        <v>343</v>
      </c>
      <c r="E773" s="13">
        <v>5000</v>
      </c>
      <c r="F773" s="12">
        <v>2.5499999999999998</v>
      </c>
      <c r="G773" t="str">
        <f>IFERROR(INDEX(tEditais[Órgão],MATCH(tItens[[#This Row],[Edital]],tEditais[Edital],0)),"")</f>
        <v>MUNICIPIO DE MILHA</v>
      </c>
      <c r="H773" t="str">
        <f>IFERROR(INDEX(tEditais[UF],MATCH(tItens[[#This Row],[Edital]],tEditais[Edital],0)),"")</f>
        <v>CE</v>
      </c>
      <c r="I773" s="11">
        <f>IFERROR(INDEX(tEditais[Encerramento],MATCH(tItens[[#This Row],[Edital]],tEditais[Edital],0)),"")</f>
        <v>46308.374305555553</v>
      </c>
      <c r="J773" t="str">
        <f>IFERROR(INDEX(tProdutos[Classe],MATCH(tItens[[#This Row],[Produto]],tProdutos[Produto],0)),"produto não cadastrado")</f>
        <v>FORA</v>
      </c>
      <c r="K773" s="12">
        <f>tItens[[#This Row],[Qtd]]*tItens[[#This Row],[Vlr unit]]</f>
        <v>12750</v>
      </c>
      <c r="L773" s="6">
        <f>IFERROR(IF(INDEX(tProdutos[Desconto homologado],MATCH(tItens[[#This Row],[Produto]],tProdutos[Produto],0))="",DescontoPadrao,INDEX(tProdutos[Desconto homologado],MATCH(tItens[[#This Row],[Produto]],tProdutos[Produto],0))),DescontoPadrao)</f>
        <v>0.35412234042553198</v>
      </c>
      <c r="M773" s="12">
        <f>tItens[[#This Row],[Valor]]*(1-tItens[[#This Row],[Desconto]])</f>
        <v>8234.9401595744657</v>
      </c>
      <c r="N773" t="str">
        <f>IFERROR(INDEX(tProdutos[Foco],MATCH(tItens[[#This Row],[Produto]],tProdutos[Produto],0)),"Não")</f>
        <v>Não</v>
      </c>
      <c r="O773" t="str">
        <f>IFERROR(INDEX(tEditais[SRP],MATCH(tItens[[#This Row],[Edital]],tEditais[Edital],0)),"Não")</f>
        <v>Não</v>
      </c>
      <c r="P773" s="4">
        <f>IF(COUNTIFS(INDEX(tItens[Edital],1):tItens[[#This Row],[Edital]],tItens[[#This Row],[Edital]],INDEX(tItens[Produto],1):tItens[[#This Row],[Produto]],tItens[[#This Row],[Produto]])=1,1,0)</f>
        <v>1</v>
      </c>
    </row>
    <row r="774" spans="1:16" x14ac:dyDescent="0.25">
      <c r="A774" t="s">
        <v>983</v>
      </c>
      <c r="B774">
        <v>271</v>
      </c>
      <c r="C774" t="s">
        <v>3953</v>
      </c>
      <c r="D774" t="s">
        <v>343</v>
      </c>
      <c r="E774" s="13">
        <v>10000</v>
      </c>
      <c r="F774" s="12">
        <v>3.43</v>
      </c>
      <c r="G774" t="str">
        <f>IFERROR(INDEX(tEditais[Órgão],MATCH(tItens[[#This Row],[Edital]],tEditais[Edital],0)),"")</f>
        <v>MUNICIPIO DE MILHA</v>
      </c>
      <c r="H774" t="str">
        <f>IFERROR(INDEX(tEditais[UF],MATCH(tItens[[#This Row],[Edital]],tEditais[Edital],0)),"")</f>
        <v>CE</v>
      </c>
      <c r="I774" s="11">
        <f>IFERROR(INDEX(tEditais[Encerramento],MATCH(tItens[[#This Row],[Edital]],tEditais[Edital],0)),"")</f>
        <v>46308.374305555553</v>
      </c>
      <c r="J774" t="str">
        <f>IFERROR(INDEX(tProdutos[Classe],MATCH(tItens[[#This Row],[Produto]],tProdutos[Produto],0)),"produto não cadastrado")</f>
        <v>FORA</v>
      </c>
      <c r="K774" s="12">
        <f>tItens[[#This Row],[Qtd]]*tItens[[#This Row],[Vlr unit]]</f>
        <v>34300</v>
      </c>
      <c r="L774" s="6">
        <f>IFERROR(IF(INDEX(tProdutos[Desconto homologado],MATCH(tItens[[#This Row],[Produto]],tProdutos[Produto],0))="",DescontoPadrao,INDEX(tProdutos[Desconto homologado],MATCH(tItens[[#This Row],[Produto]],tProdutos[Produto],0))),DescontoPadrao)</f>
        <v>0.35412234042553198</v>
      </c>
      <c r="M774" s="12">
        <f>tItens[[#This Row],[Valor]]*(1-tItens[[#This Row],[Desconto]])</f>
        <v>22153.603723404252</v>
      </c>
      <c r="N774" t="str">
        <f>IFERROR(INDEX(tProdutos[Foco],MATCH(tItens[[#This Row],[Produto]],tProdutos[Produto],0)),"Não")</f>
        <v>Não</v>
      </c>
      <c r="O774" t="str">
        <f>IFERROR(INDEX(tEditais[SRP],MATCH(tItens[[#This Row],[Edital]],tEditais[Edital],0)),"Não")</f>
        <v>Não</v>
      </c>
      <c r="P774" s="4">
        <f>IF(COUNTIFS(INDEX(tItens[Edital],1):tItens[[#This Row],[Edital]],tItens[[#This Row],[Edital]],INDEX(tItens[Produto],1):tItens[[#This Row],[Produto]],tItens[[#This Row],[Produto]])=1,1,0)</f>
        <v>0</v>
      </c>
    </row>
    <row r="775" spans="1:16" x14ac:dyDescent="0.25">
      <c r="A775" t="s">
        <v>983</v>
      </c>
      <c r="B775">
        <v>272</v>
      </c>
      <c r="C775" t="s">
        <v>3954</v>
      </c>
      <c r="D775" t="s">
        <v>343</v>
      </c>
      <c r="E775" s="13">
        <v>10000</v>
      </c>
      <c r="F775" s="12">
        <v>3.43</v>
      </c>
      <c r="G775" t="str">
        <f>IFERROR(INDEX(tEditais[Órgão],MATCH(tItens[[#This Row],[Edital]],tEditais[Edital],0)),"")</f>
        <v>MUNICIPIO DE MILHA</v>
      </c>
      <c r="H775" t="str">
        <f>IFERROR(INDEX(tEditais[UF],MATCH(tItens[[#This Row],[Edital]],tEditais[Edital],0)),"")</f>
        <v>CE</v>
      </c>
      <c r="I775" s="11">
        <f>IFERROR(INDEX(tEditais[Encerramento],MATCH(tItens[[#This Row],[Edital]],tEditais[Edital],0)),"")</f>
        <v>46308.374305555553</v>
      </c>
      <c r="J775" t="str">
        <f>IFERROR(INDEX(tProdutos[Classe],MATCH(tItens[[#This Row],[Produto]],tProdutos[Produto],0)),"produto não cadastrado")</f>
        <v>FORA</v>
      </c>
      <c r="K775" s="12">
        <f>tItens[[#This Row],[Qtd]]*tItens[[#This Row],[Vlr unit]]</f>
        <v>34300</v>
      </c>
      <c r="L775" s="6">
        <f>IFERROR(IF(INDEX(tProdutos[Desconto homologado],MATCH(tItens[[#This Row],[Produto]],tProdutos[Produto],0))="",DescontoPadrao,INDEX(tProdutos[Desconto homologado],MATCH(tItens[[#This Row],[Produto]],tProdutos[Produto],0))),DescontoPadrao)</f>
        <v>0.35412234042553198</v>
      </c>
      <c r="M775" s="12">
        <f>tItens[[#This Row],[Valor]]*(1-tItens[[#This Row],[Desconto]])</f>
        <v>22153.603723404252</v>
      </c>
      <c r="N775" t="str">
        <f>IFERROR(INDEX(tProdutos[Foco],MATCH(tItens[[#This Row],[Produto]],tProdutos[Produto],0)),"Não")</f>
        <v>Não</v>
      </c>
      <c r="O775" t="str">
        <f>IFERROR(INDEX(tEditais[SRP],MATCH(tItens[[#This Row],[Edital]],tEditais[Edital],0)),"Não")</f>
        <v>Não</v>
      </c>
      <c r="P775" s="4">
        <f>IF(COUNTIFS(INDEX(tItens[Edital],1):tItens[[#This Row],[Edital]],tItens[[#This Row],[Edital]],INDEX(tItens[Produto],1):tItens[[#This Row],[Produto]],tItens[[#This Row],[Produto]])=1,1,0)</f>
        <v>0</v>
      </c>
    </row>
    <row r="776" spans="1:16" x14ac:dyDescent="0.25">
      <c r="A776" t="s">
        <v>983</v>
      </c>
      <c r="B776">
        <v>273</v>
      </c>
      <c r="C776" t="s">
        <v>3955</v>
      </c>
      <c r="D776" t="s">
        <v>343</v>
      </c>
      <c r="E776" s="13">
        <v>10000</v>
      </c>
      <c r="F776" s="12">
        <v>3.43</v>
      </c>
      <c r="G776" t="str">
        <f>IFERROR(INDEX(tEditais[Órgão],MATCH(tItens[[#This Row],[Edital]],tEditais[Edital],0)),"")</f>
        <v>MUNICIPIO DE MILHA</v>
      </c>
      <c r="H776" t="str">
        <f>IFERROR(INDEX(tEditais[UF],MATCH(tItens[[#This Row],[Edital]],tEditais[Edital],0)),"")</f>
        <v>CE</v>
      </c>
      <c r="I776" s="11">
        <f>IFERROR(INDEX(tEditais[Encerramento],MATCH(tItens[[#This Row],[Edital]],tEditais[Edital],0)),"")</f>
        <v>46308.374305555553</v>
      </c>
      <c r="J776" t="str">
        <f>IFERROR(INDEX(tProdutos[Classe],MATCH(tItens[[#This Row],[Produto]],tProdutos[Produto],0)),"produto não cadastrado")</f>
        <v>FORA</v>
      </c>
      <c r="K776" s="12">
        <f>tItens[[#This Row],[Qtd]]*tItens[[#This Row],[Vlr unit]]</f>
        <v>34300</v>
      </c>
      <c r="L776" s="6">
        <f>IFERROR(IF(INDEX(tProdutos[Desconto homologado],MATCH(tItens[[#This Row],[Produto]],tProdutos[Produto],0))="",DescontoPadrao,INDEX(tProdutos[Desconto homologado],MATCH(tItens[[#This Row],[Produto]],tProdutos[Produto],0))),DescontoPadrao)</f>
        <v>0.35412234042553198</v>
      </c>
      <c r="M776" s="12">
        <f>tItens[[#This Row],[Valor]]*(1-tItens[[#This Row],[Desconto]])</f>
        <v>22153.603723404252</v>
      </c>
      <c r="N776" t="str">
        <f>IFERROR(INDEX(tProdutos[Foco],MATCH(tItens[[#This Row],[Produto]],tProdutos[Produto],0)),"Não")</f>
        <v>Não</v>
      </c>
      <c r="O776" t="str">
        <f>IFERROR(INDEX(tEditais[SRP],MATCH(tItens[[#This Row],[Edital]],tEditais[Edital],0)),"Não")</f>
        <v>Não</v>
      </c>
      <c r="P776" s="4">
        <f>IF(COUNTIFS(INDEX(tItens[Edital],1):tItens[[#This Row],[Edital]],tItens[[#This Row],[Edital]],INDEX(tItens[Produto],1):tItens[[#This Row],[Produto]],tItens[[#This Row],[Produto]])=1,1,0)</f>
        <v>0</v>
      </c>
    </row>
    <row r="777" spans="1:16" x14ac:dyDescent="0.25">
      <c r="A777" t="s">
        <v>983</v>
      </c>
      <c r="B777">
        <v>274</v>
      </c>
      <c r="C777" t="s">
        <v>3956</v>
      </c>
      <c r="D777" t="s">
        <v>343</v>
      </c>
      <c r="E777" s="13">
        <v>10000</v>
      </c>
      <c r="F777" s="12">
        <v>3.43</v>
      </c>
      <c r="G777" t="str">
        <f>IFERROR(INDEX(tEditais[Órgão],MATCH(tItens[[#This Row],[Edital]],tEditais[Edital],0)),"")</f>
        <v>MUNICIPIO DE MILHA</v>
      </c>
      <c r="H777" t="str">
        <f>IFERROR(INDEX(tEditais[UF],MATCH(tItens[[#This Row],[Edital]],tEditais[Edital],0)),"")</f>
        <v>CE</v>
      </c>
      <c r="I777" s="11">
        <f>IFERROR(INDEX(tEditais[Encerramento],MATCH(tItens[[#This Row],[Edital]],tEditais[Edital],0)),"")</f>
        <v>46308.374305555553</v>
      </c>
      <c r="J777" t="str">
        <f>IFERROR(INDEX(tProdutos[Classe],MATCH(tItens[[#This Row],[Produto]],tProdutos[Produto],0)),"produto não cadastrado")</f>
        <v>FORA</v>
      </c>
      <c r="K777" s="12">
        <f>tItens[[#This Row],[Qtd]]*tItens[[#This Row],[Vlr unit]]</f>
        <v>34300</v>
      </c>
      <c r="L777" s="6">
        <f>IFERROR(IF(INDEX(tProdutos[Desconto homologado],MATCH(tItens[[#This Row],[Produto]],tProdutos[Produto],0))="",DescontoPadrao,INDEX(tProdutos[Desconto homologado],MATCH(tItens[[#This Row],[Produto]],tProdutos[Produto],0))),DescontoPadrao)</f>
        <v>0.35412234042553198</v>
      </c>
      <c r="M777" s="12">
        <f>tItens[[#This Row],[Valor]]*(1-tItens[[#This Row],[Desconto]])</f>
        <v>22153.603723404252</v>
      </c>
      <c r="N777" t="str">
        <f>IFERROR(INDEX(tProdutos[Foco],MATCH(tItens[[#This Row],[Produto]],tProdutos[Produto],0)),"Não")</f>
        <v>Não</v>
      </c>
      <c r="O777" t="str">
        <f>IFERROR(INDEX(tEditais[SRP],MATCH(tItens[[#This Row],[Edital]],tEditais[Edital],0)),"Não")</f>
        <v>Não</v>
      </c>
      <c r="P777" s="4">
        <f>IF(COUNTIFS(INDEX(tItens[Edital],1):tItens[[#This Row],[Edital]],tItens[[#This Row],[Edital]],INDEX(tItens[Produto],1):tItens[[#This Row],[Produto]],tItens[[#This Row],[Produto]])=1,1,0)</f>
        <v>0</v>
      </c>
    </row>
    <row r="778" spans="1:16" x14ac:dyDescent="0.25">
      <c r="A778" t="s">
        <v>983</v>
      </c>
      <c r="B778">
        <v>286</v>
      </c>
      <c r="C778" t="s">
        <v>3957</v>
      </c>
      <c r="D778" t="s">
        <v>403</v>
      </c>
      <c r="E778" s="13">
        <v>10000</v>
      </c>
      <c r="F778" s="12">
        <v>4.82</v>
      </c>
      <c r="G778" t="str">
        <f>IFERROR(INDEX(tEditais[Órgão],MATCH(tItens[[#This Row],[Edital]],tEditais[Edital],0)),"")</f>
        <v>MUNICIPIO DE MILHA</v>
      </c>
      <c r="H778" t="str">
        <f>IFERROR(INDEX(tEditais[UF],MATCH(tItens[[#This Row],[Edital]],tEditais[Edital],0)),"")</f>
        <v>CE</v>
      </c>
      <c r="I778" s="11">
        <f>IFERROR(INDEX(tEditais[Encerramento],MATCH(tItens[[#This Row],[Edital]],tEditais[Edital],0)),"")</f>
        <v>46308.374305555553</v>
      </c>
      <c r="J778" t="str">
        <f>IFERROR(INDEX(tProdutos[Classe],MATCH(tItens[[#This Row],[Produto]],tProdutos[Produto],0)),"produto não cadastrado")</f>
        <v>FORA</v>
      </c>
      <c r="K778" s="12">
        <f>tItens[[#This Row],[Qtd]]*tItens[[#This Row],[Vlr unit]]</f>
        <v>48200</v>
      </c>
      <c r="L778" s="6">
        <f>IFERROR(IF(INDEX(tProdutos[Desconto homologado],MATCH(tItens[[#This Row],[Produto]],tProdutos[Produto],0))="",DescontoPadrao,INDEX(tProdutos[Desconto homologado],MATCH(tItens[[#This Row],[Produto]],tProdutos[Produto],0))),DescontoPadrao)</f>
        <v>0.35326086956521702</v>
      </c>
      <c r="M778" s="12">
        <f>tItens[[#This Row],[Valor]]*(1-tItens[[#This Row],[Desconto]])</f>
        <v>31172.826086956538</v>
      </c>
      <c r="N778" t="str">
        <f>IFERROR(INDEX(tProdutos[Foco],MATCH(tItens[[#This Row],[Produto]],tProdutos[Produto],0)),"Não")</f>
        <v>Não</v>
      </c>
      <c r="O778" t="str">
        <f>IFERROR(INDEX(tEditais[SRP],MATCH(tItens[[#This Row],[Edital]],tEditais[Edital],0)),"Não")</f>
        <v>Não</v>
      </c>
      <c r="P778" s="4">
        <f>IF(COUNTIFS(INDEX(tItens[Edital],1):tItens[[#This Row],[Edital]],tItens[[#This Row],[Edital]],INDEX(tItens[Produto],1):tItens[[#This Row],[Produto]],tItens[[#This Row],[Produto]])=1,1,0)</f>
        <v>1</v>
      </c>
    </row>
    <row r="779" spans="1:16" x14ac:dyDescent="0.25">
      <c r="A779" t="s">
        <v>983</v>
      </c>
      <c r="B779">
        <v>287</v>
      </c>
      <c r="C779" t="s">
        <v>3958</v>
      </c>
      <c r="D779" t="s">
        <v>279</v>
      </c>
      <c r="E779" s="13">
        <v>100</v>
      </c>
      <c r="F779" s="12">
        <v>13.03</v>
      </c>
      <c r="G779" t="str">
        <f>IFERROR(INDEX(tEditais[Órgão],MATCH(tItens[[#This Row],[Edital]],tEditais[Edital],0)),"")</f>
        <v>MUNICIPIO DE MILHA</v>
      </c>
      <c r="H779" t="str">
        <f>IFERROR(INDEX(tEditais[UF],MATCH(tItens[[#This Row],[Edital]],tEditais[Edital],0)),"")</f>
        <v>CE</v>
      </c>
      <c r="I779" s="11">
        <f>IFERROR(INDEX(tEditais[Encerramento],MATCH(tItens[[#This Row],[Edital]],tEditais[Edital],0)),"")</f>
        <v>46308.374305555553</v>
      </c>
      <c r="J779" t="str">
        <f>IFERROR(INDEX(tProdutos[Classe],MATCH(tItens[[#This Row],[Produto]],tProdutos[Produto],0)),"produto não cadastrado")</f>
        <v>FORA</v>
      </c>
      <c r="K779" s="12">
        <f>tItens[[#This Row],[Qtd]]*tItens[[#This Row],[Vlr unit]]</f>
        <v>1303</v>
      </c>
      <c r="L779" s="6">
        <f>IFERROR(IF(INDEX(tProdutos[Desconto homologado],MATCH(tItens[[#This Row],[Produto]],tProdutos[Produto],0))="",DescontoPadrao,INDEX(tProdutos[Desconto homologado],MATCH(tItens[[#This Row],[Produto]],tProdutos[Produto],0))),DescontoPadrao)</f>
        <v>0.28909090909090901</v>
      </c>
      <c r="M779" s="12">
        <f>tItens[[#This Row],[Valor]]*(1-tItens[[#This Row],[Desconto]])</f>
        <v>926.31454545454551</v>
      </c>
      <c r="N779" t="str">
        <f>IFERROR(INDEX(tProdutos[Foco],MATCH(tItens[[#This Row],[Produto]],tProdutos[Produto],0)),"Não")</f>
        <v>Não</v>
      </c>
      <c r="O779" t="str">
        <f>IFERROR(INDEX(tEditais[SRP],MATCH(tItens[[#This Row],[Edital]],tEditais[Edital],0)),"Não")</f>
        <v>Não</v>
      </c>
      <c r="P779" s="4">
        <f>IF(COUNTIFS(INDEX(tItens[Edital],1):tItens[[#This Row],[Edital]],tItens[[#This Row],[Edital]],INDEX(tItens[Produto],1):tItens[[#This Row],[Produto]],tItens[[#This Row],[Produto]])=1,1,0)</f>
        <v>0</v>
      </c>
    </row>
    <row r="780" spans="1:16" x14ac:dyDescent="0.25">
      <c r="A780" t="s">
        <v>983</v>
      </c>
      <c r="B780">
        <v>288</v>
      </c>
      <c r="C780" t="s">
        <v>3959</v>
      </c>
      <c r="D780" t="s">
        <v>279</v>
      </c>
      <c r="E780" s="13">
        <v>100</v>
      </c>
      <c r="F780" s="12">
        <v>17.68</v>
      </c>
      <c r="G780" t="str">
        <f>IFERROR(INDEX(tEditais[Órgão],MATCH(tItens[[#This Row],[Edital]],tEditais[Edital],0)),"")</f>
        <v>MUNICIPIO DE MILHA</v>
      </c>
      <c r="H780" t="str">
        <f>IFERROR(INDEX(tEditais[UF],MATCH(tItens[[#This Row],[Edital]],tEditais[Edital],0)),"")</f>
        <v>CE</v>
      </c>
      <c r="I780" s="11">
        <f>IFERROR(INDEX(tEditais[Encerramento],MATCH(tItens[[#This Row],[Edital]],tEditais[Edital],0)),"")</f>
        <v>46308.374305555553</v>
      </c>
      <c r="J780" t="str">
        <f>IFERROR(INDEX(tProdutos[Classe],MATCH(tItens[[#This Row],[Produto]],tProdutos[Produto],0)),"produto não cadastrado")</f>
        <v>FORA</v>
      </c>
      <c r="K780" s="12">
        <f>tItens[[#This Row],[Qtd]]*tItens[[#This Row],[Vlr unit]]</f>
        <v>1768</v>
      </c>
      <c r="L780" s="6">
        <f>IFERROR(IF(INDEX(tProdutos[Desconto homologado],MATCH(tItens[[#This Row],[Produto]],tProdutos[Produto],0))="",DescontoPadrao,INDEX(tProdutos[Desconto homologado],MATCH(tItens[[#This Row],[Produto]],tProdutos[Produto],0))),DescontoPadrao)</f>
        <v>0.28909090909090901</v>
      </c>
      <c r="M780" s="12">
        <f>tItens[[#This Row],[Valor]]*(1-tItens[[#This Row],[Desconto]])</f>
        <v>1256.8872727272728</v>
      </c>
      <c r="N780" t="str">
        <f>IFERROR(INDEX(tProdutos[Foco],MATCH(tItens[[#This Row],[Produto]],tProdutos[Produto],0)),"Não")</f>
        <v>Não</v>
      </c>
      <c r="O780" t="str">
        <f>IFERROR(INDEX(tEditais[SRP],MATCH(tItens[[#This Row],[Edital]],tEditais[Edital],0)),"Não")</f>
        <v>Não</v>
      </c>
      <c r="P780" s="4">
        <f>IF(COUNTIFS(INDEX(tItens[Edital],1):tItens[[#This Row],[Edital]],tItens[[#This Row],[Edital]],INDEX(tItens[Produto],1):tItens[[#This Row],[Produto]],tItens[[#This Row],[Produto]])=1,1,0)</f>
        <v>0</v>
      </c>
    </row>
    <row r="781" spans="1:16" x14ac:dyDescent="0.25">
      <c r="A781" t="s">
        <v>983</v>
      </c>
      <c r="B781">
        <v>289</v>
      </c>
      <c r="C781" t="s">
        <v>3960</v>
      </c>
      <c r="D781" t="s">
        <v>494</v>
      </c>
      <c r="E781" s="13">
        <v>300</v>
      </c>
      <c r="F781" s="12">
        <v>88.56</v>
      </c>
      <c r="G781" t="str">
        <f>IFERROR(INDEX(tEditais[Órgão],MATCH(tItens[[#This Row],[Edital]],tEditais[Edital],0)),"")</f>
        <v>MUNICIPIO DE MILHA</v>
      </c>
      <c r="H781" t="str">
        <f>IFERROR(INDEX(tEditais[UF],MATCH(tItens[[#This Row],[Edital]],tEditais[Edital],0)),"")</f>
        <v>CE</v>
      </c>
      <c r="I781" s="11">
        <f>IFERROR(INDEX(tEditais[Encerramento],MATCH(tItens[[#This Row],[Edital]],tEditais[Edital],0)),"")</f>
        <v>46308.374305555553</v>
      </c>
      <c r="J781" t="str">
        <f>IFERROR(INDEX(tProdutos[Classe],MATCH(tItens[[#This Row],[Produto]],tProdutos[Produto],0)),"produto não cadastrado")</f>
        <v>FILA REBASE</v>
      </c>
      <c r="K781" s="12">
        <f>tItens[[#This Row],[Qtd]]*tItens[[#This Row],[Vlr unit]]</f>
        <v>26568</v>
      </c>
      <c r="L781" s="6">
        <f>IFERROR(IF(INDEX(tProdutos[Desconto homologado],MATCH(tItens[[#This Row],[Produto]],tProdutos[Produto],0))="",DescontoPadrao,INDEX(tProdutos[Desconto homologado],MATCH(tItens[[#This Row],[Produto]],tProdutos[Produto],0))),DescontoPadrao)</f>
        <v>0.253736324829619</v>
      </c>
      <c r="M781" s="12">
        <f>tItens[[#This Row],[Valor]]*(1-tItens[[#This Row],[Desconto]])</f>
        <v>19826.733321926684</v>
      </c>
      <c r="N781" t="str">
        <f>IFERROR(INDEX(tProdutos[Foco],MATCH(tItens[[#This Row],[Produto]],tProdutos[Produto],0)),"Não")</f>
        <v>Não</v>
      </c>
      <c r="O781" t="str">
        <f>IFERROR(INDEX(tEditais[SRP],MATCH(tItens[[#This Row],[Edital]],tEditais[Edital],0)),"Não")</f>
        <v>Não</v>
      </c>
      <c r="P781" s="4">
        <f>IF(COUNTIFS(INDEX(tItens[Edital],1):tItens[[#This Row],[Edital]],tItens[[#This Row],[Edital]],INDEX(tItens[Produto],1):tItens[[#This Row],[Produto]],tItens[[#This Row],[Produto]])=1,1,0)</f>
        <v>1</v>
      </c>
    </row>
    <row r="782" spans="1:16" x14ac:dyDescent="0.25">
      <c r="A782" t="s">
        <v>983</v>
      </c>
      <c r="B782">
        <v>290</v>
      </c>
      <c r="C782" t="s">
        <v>3961</v>
      </c>
      <c r="D782" t="s">
        <v>494</v>
      </c>
      <c r="E782" s="13">
        <v>300</v>
      </c>
      <c r="F782" s="12">
        <v>100.54</v>
      </c>
      <c r="G782" t="str">
        <f>IFERROR(INDEX(tEditais[Órgão],MATCH(tItens[[#This Row],[Edital]],tEditais[Edital],0)),"")</f>
        <v>MUNICIPIO DE MILHA</v>
      </c>
      <c r="H782" t="str">
        <f>IFERROR(INDEX(tEditais[UF],MATCH(tItens[[#This Row],[Edital]],tEditais[Edital],0)),"")</f>
        <v>CE</v>
      </c>
      <c r="I782" s="11">
        <f>IFERROR(INDEX(tEditais[Encerramento],MATCH(tItens[[#This Row],[Edital]],tEditais[Edital],0)),"")</f>
        <v>46308.374305555553</v>
      </c>
      <c r="J782" t="str">
        <f>IFERROR(INDEX(tProdutos[Classe],MATCH(tItens[[#This Row],[Produto]],tProdutos[Produto],0)),"produto não cadastrado")</f>
        <v>FILA REBASE</v>
      </c>
      <c r="K782" s="12">
        <f>tItens[[#This Row],[Qtd]]*tItens[[#This Row],[Vlr unit]]</f>
        <v>30162.000000000004</v>
      </c>
      <c r="L782" s="6">
        <f>IFERROR(IF(INDEX(tProdutos[Desconto homologado],MATCH(tItens[[#This Row],[Produto]],tProdutos[Produto],0))="",DescontoPadrao,INDEX(tProdutos[Desconto homologado],MATCH(tItens[[#This Row],[Produto]],tProdutos[Produto],0))),DescontoPadrao)</f>
        <v>0.253736324829619</v>
      </c>
      <c r="M782" s="12">
        <f>tItens[[#This Row],[Valor]]*(1-tItens[[#This Row],[Desconto]])</f>
        <v>22508.804970489036</v>
      </c>
      <c r="N782" t="str">
        <f>IFERROR(INDEX(tProdutos[Foco],MATCH(tItens[[#This Row],[Produto]],tProdutos[Produto],0)),"Não")</f>
        <v>Não</v>
      </c>
      <c r="O782" t="str">
        <f>IFERROR(INDEX(tEditais[SRP],MATCH(tItens[[#This Row],[Edital]],tEditais[Edital],0)),"Não")</f>
        <v>Não</v>
      </c>
      <c r="P782" s="4">
        <f>IF(COUNTIFS(INDEX(tItens[Edital],1):tItens[[#This Row],[Edital]],tItens[[#This Row],[Edital]],INDEX(tItens[Produto],1):tItens[[#This Row],[Produto]],tItens[[#This Row],[Produto]])=1,1,0)</f>
        <v>0</v>
      </c>
    </row>
    <row r="783" spans="1:16" x14ac:dyDescent="0.25">
      <c r="A783" t="s">
        <v>983</v>
      </c>
      <c r="B783">
        <v>291</v>
      </c>
      <c r="C783" t="s">
        <v>3962</v>
      </c>
      <c r="D783" t="s">
        <v>494</v>
      </c>
      <c r="E783" s="13">
        <v>300</v>
      </c>
      <c r="F783" s="12">
        <v>141.34</v>
      </c>
      <c r="G783" t="str">
        <f>IFERROR(INDEX(tEditais[Órgão],MATCH(tItens[[#This Row],[Edital]],tEditais[Edital],0)),"")</f>
        <v>MUNICIPIO DE MILHA</v>
      </c>
      <c r="H783" t="str">
        <f>IFERROR(INDEX(tEditais[UF],MATCH(tItens[[#This Row],[Edital]],tEditais[Edital],0)),"")</f>
        <v>CE</v>
      </c>
      <c r="I783" s="11">
        <f>IFERROR(INDEX(tEditais[Encerramento],MATCH(tItens[[#This Row],[Edital]],tEditais[Edital],0)),"")</f>
        <v>46308.374305555553</v>
      </c>
      <c r="J783" t="str">
        <f>IFERROR(INDEX(tProdutos[Classe],MATCH(tItens[[#This Row],[Produto]],tProdutos[Produto],0)),"produto não cadastrado")</f>
        <v>FILA REBASE</v>
      </c>
      <c r="K783" s="12">
        <f>tItens[[#This Row],[Qtd]]*tItens[[#This Row],[Vlr unit]]</f>
        <v>42402</v>
      </c>
      <c r="L783" s="6">
        <f>IFERROR(IF(INDEX(tProdutos[Desconto homologado],MATCH(tItens[[#This Row],[Produto]],tProdutos[Produto],0))="",DescontoPadrao,INDEX(tProdutos[Desconto homologado],MATCH(tItens[[#This Row],[Produto]],tProdutos[Produto],0))),DescontoPadrao)</f>
        <v>0.253736324829619</v>
      </c>
      <c r="M783" s="12">
        <f>tItens[[#This Row],[Valor]]*(1-tItens[[#This Row],[Desconto]])</f>
        <v>31643.072354574499</v>
      </c>
      <c r="N783" t="str">
        <f>IFERROR(INDEX(tProdutos[Foco],MATCH(tItens[[#This Row],[Produto]],tProdutos[Produto],0)),"Não")</f>
        <v>Não</v>
      </c>
      <c r="O783" t="str">
        <f>IFERROR(INDEX(tEditais[SRP],MATCH(tItens[[#This Row],[Edital]],tEditais[Edital],0)),"Não")</f>
        <v>Não</v>
      </c>
      <c r="P783" s="4">
        <f>IF(COUNTIFS(INDEX(tItens[Edital],1):tItens[[#This Row],[Edital]],tItens[[#This Row],[Edital]],INDEX(tItens[Produto],1):tItens[[#This Row],[Produto]],tItens[[#This Row],[Produto]])=1,1,0)</f>
        <v>0</v>
      </c>
    </row>
    <row r="784" spans="1:16" x14ac:dyDescent="0.25">
      <c r="A784" t="s">
        <v>983</v>
      </c>
      <c r="B784">
        <v>292</v>
      </c>
      <c r="C784" t="s">
        <v>3963</v>
      </c>
      <c r="D784" t="s">
        <v>494</v>
      </c>
      <c r="E784" s="13">
        <v>300</v>
      </c>
      <c r="F784" s="12">
        <v>214.58</v>
      </c>
      <c r="G784" t="str">
        <f>IFERROR(INDEX(tEditais[Órgão],MATCH(tItens[[#This Row],[Edital]],tEditais[Edital],0)),"")</f>
        <v>MUNICIPIO DE MILHA</v>
      </c>
      <c r="H784" t="str">
        <f>IFERROR(INDEX(tEditais[UF],MATCH(tItens[[#This Row],[Edital]],tEditais[Edital],0)),"")</f>
        <v>CE</v>
      </c>
      <c r="I784" s="11">
        <f>IFERROR(INDEX(tEditais[Encerramento],MATCH(tItens[[#This Row],[Edital]],tEditais[Edital],0)),"")</f>
        <v>46308.374305555553</v>
      </c>
      <c r="J784" t="str">
        <f>IFERROR(INDEX(tProdutos[Classe],MATCH(tItens[[#This Row],[Produto]],tProdutos[Produto],0)),"produto não cadastrado")</f>
        <v>FILA REBASE</v>
      </c>
      <c r="K784" s="12">
        <f>tItens[[#This Row],[Qtd]]*tItens[[#This Row],[Vlr unit]]</f>
        <v>64374.000000000007</v>
      </c>
      <c r="L784" s="6">
        <f>IFERROR(IF(INDEX(tProdutos[Desconto homologado],MATCH(tItens[[#This Row],[Produto]],tProdutos[Produto],0))="",DescontoPadrao,INDEX(tProdutos[Desconto homologado],MATCH(tItens[[#This Row],[Produto]],tProdutos[Produto],0))),DescontoPadrao)</f>
        <v>0.253736324829619</v>
      </c>
      <c r="M784" s="12">
        <f>tItens[[#This Row],[Valor]]*(1-tItens[[#This Row],[Desconto]])</f>
        <v>48039.977825418115</v>
      </c>
      <c r="N784" t="str">
        <f>IFERROR(INDEX(tProdutos[Foco],MATCH(tItens[[#This Row],[Produto]],tProdutos[Produto],0)),"Não")</f>
        <v>Não</v>
      </c>
      <c r="O784" t="str">
        <f>IFERROR(INDEX(tEditais[SRP],MATCH(tItens[[#This Row],[Edital]],tEditais[Edital],0)),"Não")</f>
        <v>Não</v>
      </c>
      <c r="P784" s="4">
        <f>IF(COUNTIFS(INDEX(tItens[Edital],1):tItens[[#This Row],[Edital]],tItens[[#This Row],[Edital]],INDEX(tItens[Produto],1):tItens[[#This Row],[Produto]],tItens[[#This Row],[Produto]])=1,1,0)</f>
        <v>0</v>
      </c>
    </row>
    <row r="785" spans="1:16" x14ac:dyDescent="0.25">
      <c r="A785" t="s">
        <v>983</v>
      </c>
      <c r="B785">
        <v>293</v>
      </c>
      <c r="C785" t="s">
        <v>3964</v>
      </c>
      <c r="D785" t="s">
        <v>494</v>
      </c>
      <c r="E785" s="13">
        <v>300</v>
      </c>
      <c r="F785" s="12">
        <v>52.23</v>
      </c>
      <c r="G785" t="str">
        <f>IFERROR(INDEX(tEditais[Órgão],MATCH(tItens[[#This Row],[Edital]],tEditais[Edital],0)),"")</f>
        <v>MUNICIPIO DE MILHA</v>
      </c>
      <c r="H785" t="str">
        <f>IFERROR(INDEX(tEditais[UF],MATCH(tItens[[#This Row],[Edital]],tEditais[Edital],0)),"")</f>
        <v>CE</v>
      </c>
      <c r="I785" s="11">
        <f>IFERROR(INDEX(tEditais[Encerramento],MATCH(tItens[[#This Row],[Edital]],tEditais[Edital],0)),"")</f>
        <v>46308.374305555553</v>
      </c>
      <c r="J785" t="str">
        <f>IFERROR(INDEX(tProdutos[Classe],MATCH(tItens[[#This Row],[Produto]],tProdutos[Produto],0)),"produto não cadastrado")</f>
        <v>FILA REBASE</v>
      </c>
      <c r="K785" s="12">
        <f>tItens[[#This Row],[Qtd]]*tItens[[#This Row],[Vlr unit]]</f>
        <v>15668.999999999998</v>
      </c>
      <c r="L785" s="6">
        <f>IFERROR(IF(INDEX(tProdutos[Desconto homologado],MATCH(tItens[[#This Row],[Produto]],tProdutos[Produto],0))="",DescontoPadrao,INDEX(tProdutos[Desconto homologado],MATCH(tItens[[#This Row],[Produto]],tProdutos[Produto],0))),DescontoPadrao)</f>
        <v>0.253736324829619</v>
      </c>
      <c r="M785" s="12">
        <f>tItens[[#This Row],[Valor]]*(1-tItens[[#This Row],[Desconto]])</f>
        <v>11693.205526244699</v>
      </c>
      <c r="N785" t="str">
        <f>IFERROR(INDEX(tProdutos[Foco],MATCH(tItens[[#This Row],[Produto]],tProdutos[Produto],0)),"Não")</f>
        <v>Não</v>
      </c>
      <c r="O785" t="str">
        <f>IFERROR(INDEX(tEditais[SRP],MATCH(tItens[[#This Row],[Edital]],tEditais[Edital],0)),"Não")</f>
        <v>Não</v>
      </c>
      <c r="P785" s="4">
        <f>IF(COUNTIFS(INDEX(tItens[Edital],1):tItens[[#This Row],[Edital]],tItens[[#This Row],[Edital]],INDEX(tItens[Produto],1):tItens[[#This Row],[Produto]],tItens[[#This Row],[Produto]])=1,1,0)</f>
        <v>0</v>
      </c>
    </row>
    <row r="786" spans="1:16" x14ac:dyDescent="0.25">
      <c r="A786" t="s">
        <v>983</v>
      </c>
      <c r="B786">
        <v>294</v>
      </c>
      <c r="C786" t="s">
        <v>3965</v>
      </c>
      <c r="D786" t="s">
        <v>267</v>
      </c>
      <c r="E786" s="13">
        <v>5000</v>
      </c>
      <c r="F786" s="12">
        <v>14.03</v>
      </c>
      <c r="G786" t="str">
        <f>IFERROR(INDEX(tEditais[Órgão],MATCH(tItens[[#This Row],[Edital]],tEditais[Edital],0)),"")</f>
        <v>MUNICIPIO DE MILHA</v>
      </c>
      <c r="H786" t="str">
        <f>IFERROR(INDEX(tEditais[UF],MATCH(tItens[[#This Row],[Edital]],tEditais[Edital],0)),"")</f>
        <v>CE</v>
      </c>
      <c r="I786" s="11">
        <f>IFERROR(INDEX(tEditais[Encerramento],MATCH(tItens[[#This Row],[Edital]],tEditais[Edital],0)),"")</f>
        <v>46308.374305555553</v>
      </c>
      <c r="J786" t="str">
        <f>IFERROR(INDEX(tProdutos[Classe],MATCH(tItens[[#This Row],[Produto]],tProdutos[Produto],0)),"produto não cadastrado")</f>
        <v>FORA</v>
      </c>
      <c r="K786" s="12">
        <f>tItens[[#This Row],[Qtd]]*tItens[[#This Row],[Vlr unit]]</f>
        <v>70150</v>
      </c>
      <c r="L786" s="6">
        <f>IFERROR(IF(INDEX(tProdutos[Desconto homologado],MATCH(tItens[[#This Row],[Produto]],tProdutos[Produto],0))="",DescontoPadrao,INDEX(tProdutos[Desconto homologado],MATCH(tItens[[#This Row],[Produto]],tProdutos[Produto],0))),DescontoPadrao)</f>
        <v>0.19963672657401599</v>
      </c>
      <c r="M786" s="12">
        <f>tItens[[#This Row],[Valor]]*(1-tItens[[#This Row],[Desconto]])</f>
        <v>56145.483630832779</v>
      </c>
      <c r="N786" t="str">
        <f>IFERROR(INDEX(tProdutos[Foco],MATCH(tItens[[#This Row],[Produto]],tProdutos[Produto],0)),"Não")</f>
        <v>Não</v>
      </c>
      <c r="O786" t="str">
        <f>IFERROR(INDEX(tEditais[SRP],MATCH(tItens[[#This Row],[Edital]],tEditais[Edital],0)),"Não")</f>
        <v>Não</v>
      </c>
      <c r="P786" s="4">
        <f>IF(COUNTIFS(INDEX(tItens[Edital],1):tItens[[#This Row],[Edital]],tItens[[#This Row],[Edital]],INDEX(tItens[Produto],1):tItens[[#This Row],[Produto]],tItens[[#This Row],[Produto]])=1,1,0)</f>
        <v>0</v>
      </c>
    </row>
    <row r="787" spans="1:16" x14ac:dyDescent="0.25">
      <c r="A787" t="s">
        <v>983</v>
      </c>
      <c r="B787">
        <v>295</v>
      </c>
      <c r="C787" t="s">
        <v>3966</v>
      </c>
      <c r="D787" t="s">
        <v>267</v>
      </c>
      <c r="E787" s="13">
        <v>5000</v>
      </c>
      <c r="F787" s="12">
        <v>16.739999999999998</v>
      </c>
      <c r="G787" t="str">
        <f>IFERROR(INDEX(tEditais[Órgão],MATCH(tItens[[#This Row],[Edital]],tEditais[Edital],0)),"")</f>
        <v>MUNICIPIO DE MILHA</v>
      </c>
      <c r="H787" t="str">
        <f>IFERROR(INDEX(tEditais[UF],MATCH(tItens[[#This Row],[Edital]],tEditais[Edital],0)),"")</f>
        <v>CE</v>
      </c>
      <c r="I787" s="11">
        <f>IFERROR(INDEX(tEditais[Encerramento],MATCH(tItens[[#This Row],[Edital]],tEditais[Edital],0)),"")</f>
        <v>46308.374305555553</v>
      </c>
      <c r="J787" t="str">
        <f>IFERROR(INDEX(tProdutos[Classe],MATCH(tItens[[#This Row],[Produto]],tProdutos[Produto],0)),"produto não cadastrado")</f>
        <v>FORA</v>
      </c>
      <c r="K787" s="12">
        <f>tItens[[#This Row],[Qtd]]*tItens[[#This Row],[Vlr unit]]</f>
        <v>83699.999999999985</v>
      </c>
      <c r="L787" s="6">
        <f>IFERROR(IF(INDEX(tProdutos[Desconto homologado],MATCH(tItens[[#This Row],[Produto]],tProdutos[Produto],0))="",DescontoPadrao,INDEX(tProdutos[Desconto homologado],MATCH(tItens[[#This Row],[Produto]],tProdutos[Produto],0))),DescontoPadrao)</f>
        <v>0.19963672657401599</v>
      </c>
      <c r="M787" s="12">
        <f>tItens[[#This Row],[Valor]]*(1-tItens[[#This Row],[Desconto]])</f>
        <v>66990.405985754856</v>
      </c>
      <c r="N787" t="str">
        <f>IFERROR(INDEX(tProdutos[Foco],MATCH(tItens[[#This Row],[Produto]],tProdutos[Produto],0)),"Não")</f>
        <v>Não</v>
      </c>
      <c r="O787" t="str">
        <f>IFERROR(INDEX(tEditais[SRP],MATCH(tItens[[#This Row],[Edital]],tEditais[Edital],0)),"Não")</f>
        <v>Não</v>
      </c>
      <c r="P787" s="4">
        <f>IF(COUNTIFS(INDEX(tItens[Edital],1):tItens[[#This Row],[Edital]],tItens[[#This Row],[Edital]],INDEX(tItens[Produto],1):tItens[[#This Row],[Produto]],tItens[[#This Row],[Produto]])=1,1,0)</f>
        <v>0</v>
      </c>
    </row>
    <row r="788" spans="1:16" x14ac:dyDescent="0.25">
      <c r="A788" t="s">
        <v>983</v>
      </c>
      <c r="B788">
        <v>309</v>
      </c>
      <c r="C788" t="s">
        <v>3967</v>
      </c>
      <c r="D788" t="s">
        <v>281</v>
      </c>
      <c r="E788" s="13">
        <v>15000</v>
      </c>
      <c r="F788" s="12">
        <v>1.19</v>
      </c>
      <c r="G788" t="str">
        <f>IFERROR(INDEX(tEditais[Órgão],MATCH(tItens[[#This Row],[Edital]],tEditais[Edital],0)),"")</f>
        <v>MUNICIPIO DE MILHA</v>
      </c>
      <c r="H788" t="str">
        <f>IFERROR(INDEX(tEditais[UF],MATCH(tItens[[#This Row],[Edital]],tEditais[Edital],0)),"")</f>
        <v>CE</v>
      </c>
      <c r="I788" s="11">
        <f>IFERROR(INDEX(tEditais[Encerramento],MATCH(tItens[[#This Row],[Edital]],tEditais[Edital],0)),"")</f>
        <v>46308.374305555553</v>
      </c>
      <c r="J788" t="str">
        <f>IFERROR(INDEX(tProdutos[Classe],MATCH(tItens[[#This Row],[Produto]],tProdutos[Produto],0)),"produto não cadastrado")</f>
        <v>DISPUTADO</v>
      </c>
      <c r="K788" s="12">
        <f>tItens[[#This Row],[Qtd]]*tItens[[#This Row],[Vlr unit]]</f>
        <v>17850</v>
      </c>
      <c r="L788" s="6">
        <f>IFERROR(IF(INDEX(tProdutos[Desconto homologado],MATCH(tItens[[#This Row],[Produto]],tProdutos[Produto],0))="",DescontoPadrao,INDEX(tProdutos[Desconto homologado],MATCH(tItens[[#This Row],[Produto]],tProdutos[Produto],0))),DescontoPadrao)</f>
        <v>0.42461538461538501</v>
      </c>
      <c r="M788" s="12">
        <f>tItens[[#This Row],[Valor]]*(1-tItens[[#This Row],[Desconto]])</f>
        <v>10270.615384615377</v>
      </c>
      <c r="N788" t="str">
        <f>IFERROR(INDEX(tProdutos[Foco],MATCH(tItens[[#This Row],[Produto]],tProdutos[Produto],0)),"Não")</f>
        <v>Não</v>
      </c>
      <c r="O788" t="str">
        <f>IFERROR(INDEX(tEditais[SRP],MATCH(tItens[[#This Row],[Edital]],tEditais[Edital],0)),"Não")</f>
        <v>Não</v>
      </c>
      <c r="P788" s="4">
        <f>IF(COUNTIFS(INDEX(tItens[Edital],1):tItens[[#This Row],[Edital]],tItens[[#This Row],[Edital]],INDEX(tItens[Produto],1):tItens[[#This Row],[Produto]],tItens[[#This Row],[Produto]])=1,1,0)</f>
        <v>1</v>
      </c>
    </row>
    <row r="789" spans="1:16" x14ac:dyDescent="0.25">
      <c r="A789" t="s">
        <v>983</v>
      </c>
      <c r="B789">
        <v>310</v>
      </c>
      <c r="C789" t="s">
        <v>3968</v>
      </c>
      <c r="D789" t="s">
        <v>281</v>
      </c>
      <c r="E789" s="13">
        <v>20000</v>
      </c>
      <c r="F789" s="12">
        <v>0.51</v>
      </c>
      <c r="G789" t="str">
        <f>IFERROR(INDEX(tEditais[Órgão],MATCH(tItens[[#This Row],[Edital]],tEditais[Edital],0)),"")</f>
        <v>MUNICIPIO DE MILHA</v>
      </c>
      <c r="H789" t="str">
        <f>IFERROR(INDEX(tEditais[UF],MATCH(tItens[[#This Row],[Edital]],tEditais[Edital],0)),"")</f>
        <v>CE</v>
      </c>
      <c r="I789" s="11">
        <f>IFERROR(INDEX(tEditais[Encerramento],MATCH(tItens[[#This Row],[Edital]],tEditais[Edital],0)),"")</f>
        <v>46308.374305555553</v>
      </c>
      <c r="J789" t="str">
        <f>IFERROR(INDEX(tProdutos[Classe],MATCH(tItens[[#This Row],[Produto]],tProdutos[Produto],0)),"produto não cadastrado")</f>
        <v>DISPUTADO</v>
      </c>
      <c r="K789" s="12">
        <f>tItens[[#This Row],[Qtd]]*tItens[[#This Row],[Vlr unit]]</f>
        <v>10200</v>
      </c>
      <c r="L789" s="6">
        <f>IFERROR(IF(INDEX(tProdutos[Desconto homologado],MATCH(tItens[[#This Row],[Produto]],tProdutos[Produto],0))="",DescontoPadrao,INDEX(tProdutos[Desconto homologado],MATCH(tItens[[#This Row],[Produto]],tProdutos[Produto],0))),DescontoPadrao)</f>
        <v>0.42461538461538501</v>
      </c>
      <c r="M789" s="12">
        <f>tItens[[#This Row],[Valor]]*(1-tItens[[#This Row],[Desconto]])</f>
        <v>5868.9230769230726</v>
      </c>
      <c r="N789" t="str">
        <f>IFERROR(INDEX(tProdutos[Foco],MATCH(tItens[[#This Row],[Produto]],tProdutos[Produto],0)),"Não")</f>
        <v>Não</v>
      </c>
      <c r="O789" t="str">
        <f>IFERROR(INDEX(tEditais[SRP],MATCH(tItens[[#This Row],[Edital]],tEditais[Edital],0)),"Não")</f>
        <v>Não</v>
      </c>
      <c r="P789" s="4">
        <f>IF(COUNTIFS(INDEX(tItens[Edital],1):tItens[[#This Row],[Edital]],tItens[[#This Row],[Edital]],INDEX(tItens[Produto],1):tItens[[#This Row],[Produto]],tItens[[#This Row],[Produto]])=1,1,0)</f>
        <v>0</v>
      </c>
    </row>
    <row r="790" spans="1:16" x14ac:dyDescent="0.25">
      <c r="A790" t="s">
        <v>983</v>
      </c>
      <c r="B790">
        <v>311</v>
      </c>
      <c r="C790" t="s">
        <v>3969</v>
      </c>
      <c r="D790" t="s">
        <v>275</v>
      </c>
      <c r="E790" s="13">
        <v>15000</v>
      </c>
      <c r="F790" s="12">
        <v>0.81</v>
      </c>
      <c r="G790" t="str">
        <f>IFERROR(INDEX(tEditais[Órgão],MATCH(tItens[[#This Row],[Edital]],tEditais[Edital],0)),"")</f>
        <v>MUNICIPIO DE MILHA</v>
      </c>
      <c r="H790" t="str">
        <f>IFERROR(INDEX(tEditais[UF],MATCH(tItens[[#This Row],[Edital]],tEditais[Edital],0)),"")</f>
        <v>CE</v>
      </c>
      <c r="I790" s="11">
        <f>IFERROR(INDEX(tEditais[Encerramento],MATCH(tItens[[#This Row],[Edital]],tEditais[Edital],0)),"")</f>
        <v>46308.374305555553</v>
      </c>
      <c r="J790" t="str">
        <f>IFERROR(INDEX(tProdutos[Classe],MATCH(tItens[[#This Row],[Produto]],tProdutos[Produto],0)),"produto não cadastrado")</f>
        <v>FORA</v>
      </c>
      <c r="K790" s="12">
        <f>tItens[[#This Row],[Qtd]]*tItens[[#This Row],[Vlr unit]]</f>
        <v>12150</v>
      </c>
      <c r="L790" s="6">
        <f>IFERROR(IF(INDEX(tProdutos[Desconto homologado],MATCH(tItens[[#This Row],[Produto]],tProdutos[Produto],0))="",DescontoPadrao,INDEX(tProdutos[Desconto homologado],MATCH(tItens[[#This Row],[Produto]],tProdutos[Produto],0))),DescontoPadrao)</f>
        <v>0.405797101449275</v>
      </c>
      <c r="M790" s="12">
        <f>tItens[[#This Row],[Valor]]*(1-tItens[[#This Row],[Desconto]])</f>
        <v>7219.5652173913095</v>
      </c>
      <c r="N790" t="str">
        <f>IFERROR(INDEX(tProdutos[Foco],MATCH(tItens[[#This Row],[Produto]],tProdutos[Produto],0)),"Não")</f>
        <v>Não</v>
      </c>
      <c r="O790" t="str">
        <f>IFERROR(INDEX(tEditais[SRP],MATCH(tItens[[#This Row],[Edital]],tEditais[Edital],0)),"Não")</f>
        <v>Não</v>
      </c>
      <c r="P790" s="4">
        <f>IF(COUNTIFS(INDEX(tItens[Edital],1):tItens[[#This Row],[Edital]],tItens[[#This Row],[Edital]],INDEX(tItens[Produto],1):tItens[[#This Row],[Produto]],tItens[[#This Row],[Produto]])=1,1,0)</f>
        <v>1</v>
      </c>
    </row>
    <row r="791" spans="1:16" x14ac:dyDescent="0.25">
      <c r="A791" t="s">
        <v>983</v>
      </c>
      <c r="B791">
        <v>312</v>
      </c>
      <c r="C791" t="s">
        <v>3970</v>
      </c>
      <c r="D791" t="s">
        <v>275</v>
      </c>
      <c r="E791" s="13">
        <v>20000</v>
      </c>
      <c r="F791" s="12">
        <v>1.59</v>
      </c>
      <c r="G791" t="str">
        <f>IFERROR(INDEX(tEditais[Órgão],MATCH(tItens[[#This Row],[Edital]],tEditais[Edital],0)),"")</f>
        <v>MUNICIPIO DE MILHA</v>
      </c>
      <c r="H791" t="str">
        <f>IFERROR(INDEX(tEditais[UF],MATCH(tItens[[#This Row],[Edital]],tEditais[Edital],0)),"")</f>
        <v>CE</v>
      </c>
      <c r="I791" s="11">
        <f>IFERROR(INDEX(tEditais[Encerramento],MATCH(tItens[[#This Row],[Edital]],tEditais[Edital],0)),"")</f>
        <v>46308.374305555553</v>
      </c>
      <c r="J791" t="str">
        <f>IFERROR(INDEX(tProdutos[Classe],MATCH(tItens[[#This Row],[Produto]],tProdutos[Produto],0)),"produto não cadastrado")</f>
        <v>FORA</v>
      </c>
      <c r="K791" s="12">
        <f>tItens[[#This Row],[Qtd]]*tItens[[#This Row],[Vlr unit]]</f>
        <v>31800</v>
      </c>
      <c r="L791" s="6">
        <f>IFERROR(IF(INDEX(tProdutos[Desconto homologado],MATCH(tItens[[#This Row],[Produto]],tProdutos[Produto],0))="",DescontoPadrao,INDEX(tProdutos[Desconto homologado],MATCH(tItens[[#This Row],[Produto]],tProdutos[Produto],0))),DescontoPadrao)</f>
        <v>0.405797101449275</v>
      </c>
      <c r="M791" s="12">
        <f>tItens[[#This Row],[Valor]]*(1-tItens[[#This Row],[Desconto]])</f>
        <v>18895.652173913059</v>
      </c>
      <c r="N791" t="str">
        <f>IFERROR(INDEX(tProdutos[Foco],MATCH(tItens[[#This Row],[Produto]],tProdutos[Produto],0)),"Não")</f>
        <v>Não</v>
      </c>
      <c r="O791" t="str">
        <f>IFERROR(INDEX(tEditais[SRP],MATCH(tItens[[#This Row],[Edital]],tEditais[Edital],0)),"Não")</f>
        <v>Não</v>
      </c>
      <c r="P791" s="4">
        <f>IF(COUNTIFS(INDEX(tItens[Edital],1):tItens[[#This Row],[Edital]],tItens[[#This Row],[Edital]],INDEX(tItens[Produto],1):tItens[[#This Row],[Produto]],tItens[[#This Row],[Produto]])=1,1,0)</f>
        <v>0</v>
      </c>
    </row>
    <row r="792" spans="1:16" x14ac:dyDescent="0.25">
      <c r="A792" t="s">
        <v>983</v>
      </c>
      <c r="B792">
        <v>313</v>
      </c>
      <c r="C792" t="s">
        <v>3971</v>
      </c>
      <c r="D792" t="s">
        <v>289</v>
      </c>
      <c r="E792" s="13">
        <v>15000</v>
      </c>
      <c r="F792" s="12">
        <v>1.54</v>
      </c>
      <c r="G792" t="str">
        <f>IFERROR(INDEX(tEditais[Órgão],MATCH(tItens[[#This Row],[Edital]],tEditais[Edital],0)),"")</f>
        <v>MUNICIPIO DE MILHA</v>
      </c>
      <c r="H792" t="str">
        <f>IFERROR(INDEX(tEditais[UF],MATCH(tItens[[#This Row],[Edital]],tEditais[Edital],0)),"")</f>
        <v>CE</v>
      </c>
      <c r="I792" s="11">
        <f>IFERROR(INDEX(tEditais[Encerramento],MATCH(tItens[[#This Row],[Edital]],tEditais[Edital],0)),"")</f>
        <v>46308.374305555553</v>
      </c>
      <c r="J792" t="str">
        <f>IFERROR(INDEX(tProdutos[Classe],MATCH(tItens[[#This Row],[Produto]],tProdutos[Produto],0)),"produto não cadastrado")</f>
        <v>DISPUTADO</v>
      </c>
      <c r="K792" s="12">
        <f>tItens[[#This Row],[Qtd]]*tItens[[#This Row],[Vlr unit]]</f>
        <v>23100</v>
      </c>
      <c r="L792" s="6">
        <f>IFERROR(IF(INDEX(tProdutos[Desconto homologado],MATCH(tItens[[#This Row],[Produto]],tProdutos[Produto],0))="",DescontoPadrao,INDEX(tProdutos[Desconto homologado],MATCH(tItens[[#This Row],[Produto]],tProdutos[Produto],0))),DescontoPadrao)</f>
        <v>0.35849056603773599</v>
      </c>
      <c r="M792" s="12">
        <f>tItens[[#This Row],[Valor]]*(1-tItens[[#This Row],[Desconto]])</f>
        <v>14818.867924528298</v>
      </c>
      <c r="N792" t="str">
        <f>IFERROR(INDEX(tProdutos[Foco],MATCH(tItens[[#This Row],[Produto]],tProdutos[Produto],0)),"Não")</f>
        <v>Não</v>
      </c>
      <c r="O792" t="str">
        <f>IFERROR(INDEX(tEditais[SRP],MATCH(tItens[[#This Row],[Edital]],tEditais[Edital],0)),"Não")</f>
        <v>Não</v>
      </c>
      <c r="P792" s="4">
        <f>IF(COUNTIFS(INDEX(tItens[Edital],1):tItens[[#This Row],[Edital]],tItens[[#This Row],[Edital]],INDEX(tItens[Produto],1):tItens[[#This Row],[Produto]],tItens[[#This Row],[Produto]])=1,1,0)</f>
        <v>1</v>
      </c>
    </row>
    <row r="793" spans="1:16" x14ac:dyDescent="0.25">
      <c r="A793" t="s">
        <v>983</v>
      </c>
      <c r="B793">
        <v>314</v>
      </c>
      <c r="C793" t="s">
        <v>3972</v>
      </c>
      <c r="D793" t="s">
        <v>289</v>
      </c>
      <c r="E793" s="13">
        <v>15000</v>
      </c>
      <c r="F793" s="12">
        <v>0.97</v>
      </c>
      <c r="G793" t="str">
        <f>IFERROR(INDEX(tEditais[Órgão],MATCH(tItens[[#This Row],[Edital]],tEditais[Edital],0)),"")</f>
        <v>MUNICIPIO DE MILHA</v>
      </c>
      <c r="H793" t="str">
        <f>IFERROR(INDEX(tEditais[UF],MATCH(tItens[[#This Row],[Edital]],tEditais[Edital],0)),"")</f>
        <v>CE</v>
      </c>
      <c r="I793" s="11">
        <f>IFERROR(INDEX(tEditais[Encerramento],MATCH(tItens[[#This Row],[Edital]],tEditais[Edital],0)),"")</f>
        <v>46308.374305555553</v>
      </c>
      <c r="J793" t="str">
        <f>IFERROR(INDEX(tProdutos[Classe],MATCH(tItens[[#This Row],[Produto]],tProdutos[Produto],0)),"produto não cadastrado")</f>
        <v>DISPUTADO</v>
      </c>
      <c r="K793" s="12">
        <f>tItens[[#This Row],[Qtd]]*tItens[[#This Row],[Vlr unit]]</f>
        <v>14550</v>
      </c>
      <c r="L793" s="6">
        <f>IFERROR(IF(INDEX(tProdutos[Desconto homologado],MATCH(tItens[[#This Row],[Produto]],tProdutos[Produto],0))="",DescontoPadrao,INDEX(tProdutos[Desconto homologado],MATCH(tItens[[#This Row],[Produto]],tProdutos[Produto],0))),DescontoPadrao)</f>
        <v>0.35849056603773599</v>
      </c>
      <c r="M793" s="12">
        <f>tItens[[#This Row],[Valor]]*(1-tItens[[#This Row],[Desconto]])</f>
        <v>9333.9622641509413</v>
      </c>
      <c r="N793" t="str">
        <f>IFERROR(INDEX(tProdutos[Foco],MATCH(tItens[[#This Row],[Produto]],tProdutos[Produto],0)),"Não")</f>
        <v>Não</v>
      </c>
      <c r="O793" t="str">
        <f>IFERROR(INDEX(tEditais[SRP],MATCH(tItens[[#This Row],[Edital]],tEditais[Edital],0)),"Não")</f>
        <v>Não</v>
      </c>
      <c r="P793" s="4">
        <f>IF(COUNTIFS(INDEX(tItens[Edital],1):tItens[[#This Row],[Edital]],tItens[[#This Row],[Edital]],INDEX(tItens[Produto],1):tItens[[#This Row],[Produto]],tItens[[#This Row],[Produto]])=1,1,0)</f>
        <v>0</v>
      </c>
    </row>
    <row r="794" spans="1:16" x14ac:dyDescent="0.25">
      <c r="A794" t="s">
        <v>983</v>
      </c>
      <c r="B794">
        <v>315</v>
      </c>
      <c r="C794" t="s">
        <v>3973</v>
      </c>
      <c r="D794" t="s">
        <v>289</v>
      </c>
      <c r="E794" s="13">
        <v>20000</v>
      </c>
      <c r="F794" s="12">
        <v>1.41</v>
      </c>
      <c r="G794" t="str">
        <f>IFERROR(INDEX(tEditais[Órgão],MATCH(tItens[[#This Row],[Edital]],tEditais[Edital],0)),"")</f>
        <v>MUNICIPIO DE MILHA</v>
      </c>
      <c r="H794" t="str">
        <f>IFERROR(INDEX(tEditais[UF],MATCH(tItens[[#This Row],[Edital]],tEditais[Edital],0)),"")</f>
        <v>CE</v>
      </c>
      <c r="I794" s="11">
        <f>IFERROR(INDEX(tEditais[Encerramento],MATCH(tItens[[#This Row],[Edital]],tEditais[Edital],0)),"")</f>
        <v>46308.374305555553</v>
      </c>
      <c r="J794" t="str">
        <f>IFERROR(INDEX(tProdutos[Classe],MATCH(tItens[[#This Row],[Produto]],tProdutos[Produto],0)),"produto não cadastrado")</f>
        <v>DISPUTADO</v>
      </c>
      <c r="K794" s="12">
        <f>tItens[[#This Row],[Qtd]]*tItens[[#This Row],[Vlr unit]]</f>
        <v>28200</v>
      </c>
      <c r="L794" s="6">
        <f>IFERROR(IF(INDEX(tProdutos[Desconto homologado],MATCH(tItens[[#This Row],[Produto]],tProdutos[Produto],0))="",DescontoPadrao,INDEX(tProdutos[Desconto homologado],MATCH(tItens[[#This Row],[Produto]],tProdutos[Produto],0))),DescontoPadrao)</f>
        <v>0.35849056603773599</v>
      </c>
      <c r="M794" s="12">
        <f>tItens[[#This Row],[Valor]]*(1-tItens[[#This Row],[Desconto]])</f>
        <v>18090.566037735844</v>
      </c>
      <c r="N794" t="str">
        <f>IFERROR(INDEX(tProdutos[Foco],MATCH(tItens[[#This Row],[Produto]],tProdutos[Produto],0)),"Não")</f>
        <v>Não</v>
      </c>
      <c r="O794" t="str">
        <f>IFERROR(INDEX(tEditais[SRP],MATCH(tItens[[#This Row],[Edital]],tEditais[Edital],0)),"Não")</f>
        <v>Não</v>
      </c>
      <c r="P794" s="4">
        <f>IF(COUNTIFS(INDEX(tItens[Edital],1):tItens[[#This Row],[Edital]],tItens[[#This Row],[Edital]],INDEX(tItens[Produto],1):tItens[[#This Row],[Produto]],tItens[[#This Row],[Produto]])=1,1,0)</f>
        <v>0</v>
      </c>
    </row>
    <row r="795" spans="1:16" x14ac:dyDescent="0.25">
      <c r="A795" t="s">
        <v>983</v>
      </c>
      <c r="B795">
        <v>316</v>
      </c>
      <c r="C795" t="s">
        <v>3974</v>
      </c>
      <c r="D795" t="s">
        <v>283</v>
      </c>
      <c r="E795" s="13">
        <v>15000</v>
      </c>
      <c r="F795" s="12">
        <v>1</v>
      </c>
      <c r="G795" t="str">
        <f>IFERROR(INDEX(tEditais[Órgão],MATCH(tItens[[#This Row],[Edital]],tEditais[Edital],0)),"")</f>
        <v>MUNICIPIO DE MILHA</v>
      </c>
      <c r="H795" t="str">
        <f>IFERROR(INDEX(tEditais[UF],MATCH(tItens[[#This Row],[Edital]],tEditais[Edital],0)),"")</f>
        <v>CE</v>
      </c>
      <c r="I795" s="11">
        <f>IFERROR(INDEX(tEditais[Encerramento],MATCH(tItens[[#This Row],[Edital]],tEditais[Edital],0)),"")</f>
        <v>46308.374305555553</v>
      </c>
      <c r="J795" t="str">
        <f>IFERROR(INDEX(tProdutos[Classe],MATCH(tItens[[#This Row],[Produto]],tProdutos[Produto],0)),"produto não cadastrado")</f>
        <v>FORA</v>
      </c>
      <c r="K795" s="12">
        <f>tItens[[#This Row],[Qtd]]*tItens[[#This Row],[Vlr unit]]</f>
        <v>15000</v>
      </c>
      <c r="L795" s="6">
        <f>IFERROR(IF(INDEX(tProdutos[Desconto homologado],MATCH(tItens[[#This Row],[Produto]],tProdutos[Produto],0))="",DescontoPadrao,INDEX(tProdutos[Desconto homologado],MATCH(tItens[[#This Row],[Produto]],tProdutos[Produto],0))),DescontoPadrao)</f>
        <v>0.40540540540540498</v>
      </c>
      <c r="M795" s="12">
        <f>tItens[[#This Row],[Valor]]*(1-tItens[[#This Row],[Desconto]])</f>
        <v>8918.9189189189237</v>
      </c>
      <c r="N795" t="str">
        <f>IFERROR(INDEX(tProdutos[Foco],MATCH(tItens[[#This Row],[Produto]],tProdutos[Produto],0)),"Não")</f>
        <v>Não</v>
      </c>
      <c r="O795" t="str">
        <f>IFERROR(INDEX(tEditais[SRP],MATCH(tItens[[#This Row],[Edital]],tEditais[Edital],0)),"Não")</f>
        <v>Não</v>
      </c>
      <c r="P795" s="4">
        <f>IF(COUNTIFS(INDEX(tItens[Edital],1):tItens[[#This Row],[Edital]],tItens[[#This Row],[Edital]],INDEX(tItens[Produto],1):tItens[[#This Row],[Produto]],tItens[[#This Row],[Produto]])=1,1,0)</f>
        <v>1</v>
      </c>
    </row>
    <row r="796" spans="1:16" x14ac:dyDescent="0.25">
      <c r="A796" t="s">
        <v>983</v>
      </c>
      <c r="B796">
        <v>317</v>
      </c>
      <c r="C796" t="s">
        <v>3975</v>
      </c>
      <c r="D796" t="s">
        <v>283</v>
      </c>
      <c r="E796" s="13">
        <v>10000</v>
      </c>
      <c r="F796" s="12">
        <v>0.73</v>
      </c>
      <c r="G796" t="str">
        <f>IFERROR(INDEX(tEditais[Órgão],MATCH(tItens[[#This Row],[Edital]],tEditais[Edital],0)),"")</f>
        <v>MUNICIPIO DE MILHA</v>
      </c>
      <c r="H796" t="str">
        <f>IFERROR(INDEX(tEditais[UF],MATCH(tItens[[#This Row],[Edital]],tEditais[Edital],0)),"")</f>
        <v>CE</v>
      </c>
      <c r="I796" s="11">
        <f>IFERROR(INDEX(tEditais[Encerramento],MATCH(tItens[[#This Row],[Edital]],tEditais[Edital],0)),"")</f>
        <v>46308.374305555553</v>
      </c>
      <c r="J796" t="str">
        <f>IFERROR(INDEX(tProdutos[Classe],MATCH(tItens[[#This Row],[Produto]],tProdutos[Produto],0)),"produto não cadastrado")</f>
        <v>FORA</v>
      </c>
      <c r="K796" s="12">
        <f>tItens[[#This Row],[Qtd]]*tItens[[#This Row],[Vlr unit]]</f>
        <v>7300</v>
      </c>
      <c r="L796" s="6">
        <f>IFERROR(IF(INDEX(tProdutos[Desconto homologado],MATCH(tItens[[#This Row],[Produto]],tProdutos[Produto],0))="",DescontoPadrao,INDEX(tProdutos[Desconto homologado],MATCH(tItens[[#This Row],[Produto]],tProdutos[Produto],0))),DescontoPadrao)</f>
        <v>0.40540540540540498</v>
      </c>
      <c r="M796" s="12">
        <f>tItens[[#This Row],[Valor]]*(1-tItens[[#This Row],[Desconto]])</f>
        <v>4340.5405405405436</v>
      </c>
      <c r="N796" t="str">
        <f>IFERROR(INDEX(tProdutos[Foco],MATCH(tItens[[#This Row],[Produto]],tProdutos[Produto],0)),"Não")</f>
        <v>Não</v>
      </c>
      <c r="O796" t="str">
        <f>IFERROR(INDEX(tEditais[SRP],MATCH(tItens[[#This Row],[Edital]],tEditais[Edital],0)),"Não")</f>
        <v>Não</v>
      </c>
      <c r="P796" s="4">
        <f>IF(COUNTIFS(INDEX(tItens[Edital],1):tItens[[#This Row],[Edital]],tItens[[#This Row],[Edital]],INDEX(tItens[Produto],1):tItens[[#This Row],[Produto]],tItens[[#This Row],[Produto]])=1,1,0)</f>
        <v>0</v>
      </c>
    </row>
    <row r="797" spans="1:16" x14ac:dyDescent="0.25">
      <c r="A797" t="s">
        <v>983</v>
      </c>
      <c r="B797">
        <v>318</v>
      </c>
      <c r="C797" t="s">
        <v>3976</v>
      </c>
      <c r="D797" t="s">
        <v>265</v>
      </c>
      <c r="E797" s="13">
        <v>10000</v>
      </c>
      <c r="F797" s="12">
        <v>1.21</v>
      </c>
      <c r="G797" t="str">
        <f>IFERROR(INDEX(tEditais[Órgão],MATCH(tItens[[#This Row],[Edital]],tEditais[Edital],0)),"")</f>
        <v>MUNICIPIO DE MILHA</v>
      </c>
      <c r="H797" t="str">
        <f>IFERROR(INDEX(tEditais[UF],MATCH(tItens[[#This Row],[Edital]],tEditais[Edital],0)),"")</f>
        <v>CE</v>
      </c>
      <c r="I797" s="11">
        <f>IFERROR(INDEX(tEditais[Encerramento],MATCH(tItens[[#This Row],[Edital]],tEditais[Edital],0)),"")</f>
        <v>46308.374305555553</v>
      </c>
      <c r="J797" t="str">
        <f>IFERROR(INDEX(tProdutos[Classe],MATCH(tItens[[#This Row],[Produto]],tProdutos[Produto],0)),"produto não cadastrado")</f>
        <v>DISPUTADO</v>
      </c>
      <c r="K797" s="12">
        <f>tItens[[#This Row],[Qtd]]*tItens[[#This Row],[Vlr unit]]</f>
        <v>12100</v>
      </c>
      <c r="L797" s="6">
        <f>IFERROR(IF(INDEX(tProdutos[Desconto homologado],MATCH(tItens[[#This Row],[Produto]],tProdutos[Produto],0))="",DescontoPadrao,INDEX(tProdutos[Desconto homologado],MATCH(tItens[[#This Row],[Produto]],tProdutos[Produto],0))),DescontoPadrao)</f>
        <v>0.377587663709337</v>
      </c>
      <c r="M797" s="12">
        <f>tItens[[#This Row],[Valor]]*(1-tItens[[#This Row],[Desconto]])</f>
        <v>7531.1892691170233</v>
      </c>
      <c r="N797" t="str">
        <f>IFERROR(INDEX(tProdutos[Foco],MATCH(tItens[[#This Row],[Produto]],tProdutos[Produto],0)),"Não")</f>
        <v>Não</v>
      </c>
      <c r="O797" t="str">
        <f>IFERROR(INDEX(tEditais[SRP],MATCH(tItens[[#This Row],[Edital]],tEditais[Edital],0)),"Não")</f>
        <v>Não</v>
      </c>
      <c r="P797" s="4">
        <f>IF(COUNTIFS(INDEX(tItens[Edital],1):tItens[[#This Row],[Edital]],tItens[[#This Row],[Edital]],INDEX(tItens[Produto],1):tItens[[#This Row],[Produto]],tItens[[#This Row],[Produto]])=1,1,0)</f>
        <v>1</v>
      </c>
    </row>
    <row r="798" spans="1:16" x14ac:dyDescent="0.25">
      <c r="A798" t="s">
        <v>983</v>
      </c>
      <c r="B798">
        <v>319</v>
      </c>
      <c r="C798" t="s">
        <v>3977</v>
      </c>
      <c r="D798" t="s">
        <v>512</v>
      </c>
      <c r="E798" s="13">
        <v>50</v>
      </c>
      <c r="F798" s="12">
        <v>16.239999999999998</v>
      </c>
      <c r="G798" t="str">
        <f>IFERROR(INDEX(tEditais[Órgão],MATCH(tItens[[#This Row],[Edital]],tEditais[Edital],0)),"")</f>
        <v>MUNICIPIO DE MILHA</v>
      </c>
      <c r="H798" t="str">
        <f>IFERROR(INDEX(tEditais[UF],MATCH(tItens[[#This Row],[Edital]],tEditais[Edital],0)),"")</f>
        <v>CE</v>
      </c>
      <c r="I798" s="11">
        <f>IFERROR(INDEX(tEditais[Encerramento],MATCH(tItens[[#This Row],[Edital]],tEditais[Edital],0)),"")</f>
        <v>46308.374305555553</v>
      </c>
      <c r="J798" t="str">
        <f>IFERROR(INDEX(tProdutos[Classe],MATCH(tItens[[#This Row],[Produto]],tProdutos[Produto],0)),"produto não cadastrado")</f>
        <v>FILA REBASE</v>
      </c>
      <c r="K798" s="12">
        <f>tItens[[#This Row],[Qtd]]*tItens[[#This Row],[Vlr unit]]</f>
        <v>811.99999999999989</v>
      </c>
      <c r="L798" s="6">
        <f>IFERROR(IF(INDEX(tProdutos[Desconto homologado],MATCH(tItens[[#This Row],[Produto]],tProdutos[Produto],0))="",DescontoPadrao,INDEX(tProdutos[Desconto homologado],MATCH(tItens[[#This Row],[Produto]],tProdutos[Produto],0))),DescontoPadrao)</f>
        <v>0.32579365079365102</v>
      </c>
      <c r="M798" s="12">
        <f>tItens[[#This Row],[Valor]]*(1-tItens[[#This Row],[Desconto]])</f>
        <v>547.45555555555529</v>
      </c>
      <c r="N798" t="str">
        <f>IFERROR(INDEX(tProdutos[Foco],MATCH(tItens[[#This Row],[Produto]],tProdutos[Produto],0)),"Não")</f>
        <v>Não</v>
      </c>
      <c r="O798" t="str">
        <f>IFERROR(INDEX(tEditais[SRP],MATCH(tItens[[#This Row],[Edital]],tEditais[Edital],0)),"Não")</f>
        <v>Não</v>
      </c>
      <c r="P798" s="4">
        <f>IF(COUNTIFS(INDEX(tItens[Edital],1):tItens[[#This Row],[Edital]],tItens[[#This Row],[Edital]],INDEX(tItens[Produto],1):tItens[[#This Row],[Produto]],tItens[[#This Row],[Produto]])=1,1,0)</f>
        <v>1</v>
      </c>
    </row>
    <row r="799" spans="1:16" x14ac:dyDescent="0.25">
      <c r="A799" t="s">
        <v>983</v>
      </c>
      <c r="B799">
        <v>337</v>
      </c>
      <c r="C799" t="s">
        <v>3978</v>
      </c>
      <c r="D799" t="s">
        <v>114</v>
      </c>
      <c r="E799" s="13">
        <v>8000</v>
      </c>
      <c r="F799" s="12">
        <v>0.22</v>
      </c>
      <c r="G799" t="str">
        <f>IFERROR(INDEX(tEditais[Órgão],MATCH(tItens[[#This Row],[Edital]],tEditais[Edital],0)),"")</f>
        <v>MUNICIPIO DE MILHA</v>
      </c>
      <c r="H799" t="str">
        <f>IFERROR(INDEX(tEditais[UF],MATCH(tItens[[#This Row],[Edital]],tEditais[Edital],0)),"")</f>
        <v>CE</v>
      </c>
      <c r="I799" s="11">
        <f>IFERROR(INDEX(tEditais[Encerramento],MATCH(tItens[[#This Row],[Edital]],tEditais[Edital],0)),"")</f>
        <v>46308.374305555553</v>
      </c>
      <c r="J799" t="str">
        <f>IFERROR(INDEX(tProdutos[Classe],MATCH(tItens[[#This Row],[Produto]],tProdutos[Produto],0)),"produto não cadastrado")</f>
        <v>DISPUTADO</v>
      </c>
      <c r="K799" s="12">
        <f>tItens[[#This Row],[Qtd]]*tItens[[#This Row],[Vlr unit]]</f>
        <v>1760</v>
      </c>
      <c r="L799" s="6">
        <f>IFERROR(IF(INDEX(tProdutos[Desconto homologado],MATCH(tItens[[#This Row],[Produto]],tProdutos[Produto],0))="",DescontoPadrao,INDEX(tProdutos[Desconto homologado],MATCH(tItens[[#This Row],[Produto]],tProdutos[Produto],0))),DescontoPadrao)</f>
        <v>0.24332656063896899</v>
      </c>
      <c r="M799" s="12">
        <f>tItens[[#This Row],[Valor]]*(1-tItens[[#This Row],[Desconto]])</f>
        <v>1331.7452532754146</v>
      </c>
      <c r="N799" t="str">
        <f>IFERROR(INDEX(tProdutos[Foco],MATCH(tItens[[#This Row],[Produto]],tProdutos[Produto],0)),"Não")</f>
        <v>Não</v>
      </c>
      <c r="O799" t="str">
        <f>IFERROR(INDEX(tEditais[SRP],MATCH(tItens[[#This Row],[Edital]],tEditais[Edital],0)),"Não")</f>
        <v>Não</v>
      </c>
      <c r="P799" s="4">
        <f>IF(COUNTIFS(INDEX(tItens[Edital],1):tItens[[#This Row],[Edital]],tItens[[#This Row],[Edital]],INDEX(tItens[Produto],1):tItens[[#This Row],[Produto]],tItens[[#This Row],[Produto]])=1,1,0)</f>
        <v>1</v>
      </c>
    </row>
    <row r="800" spans="1:16" x14ac:dyDescent="0.25">
      <c r="A800" t="s">
        <v>983</v>
      </c>
      <c r="B800">
        <v>338</v>
      </c>
      <c r="C800" t="s">
        <v>3979</v>
      </c>
      <c r="D800" t="s">
        <v>265</v>
      </c>
      <c r="E800" s="13">
        <v>10000</v>
      </c>
      <c r="F800" s="12">
        <v>0.51</v>
      </c>
      <c r="G800" t="str">
        <f>IFERROR(INDEX(tEditais[Órgão],MATCH(tItens[[#This Row],[Edital]],tEditais[Edital],0)),"")</f>
        <v>MUNICIPIO DE MILHA</v>
      </c>
      <c r="H800" t="str">
        <f>IFERROR(INDEX(tEditais[UF],MATCH(tItens[[#This Row],[Edital]],tEditais[Edital],0)),"")</f>
        <v>CE</v>
      </c>
      <c r="I800" s="11">
        <f>IFERROR(INDEX(tEditais[Encerramento],MATCH(tItens[[#This Row],[Edital]],tEditais[Edital],0)),"")</f>
        <v>46308.374305555553</v>
      </c>
      <c r="J800" t="str">
        <f>IFERROR(INDEX(tProdutos[Classe],MATCH(tItens[[#This Row],[Produto]],tProdutos[Produto],0)),"produto não cadastrado")</f>
        <v>DISPUTADO</v>
      </c>
      <c r="K800" s="12">
        <f>tItens[[#This Row],[Qtd]]*tItens[[#This Row],[Vlr unit]]</f>
        <v>5100</v>
      </c>
      <c r="L800" s="6">
        <f>IFERROR(IF(INDEX(tProdutos[Desconto homologado],MATCH(tItens[[#This Row],[Produto]],tProdutos[Produto],0))="",DescontoPadrao,INDEX(tProdutos[Desconto homologado],MATCH(tItens[[#This Row],[Produto]],tProdutos[Produto],0))),DescontoPadrao)</f>
        <v>0.377587663709337</v>
      </c>
      <c r="M800" s="12">
        <f>tItens[[#This Row],[Valor]]*(1-tItens[[#This Row],[Desconto]])</f>
        <v>3174.3029150823818</v>
      </c>
      <c r="N800" t="str">
        <f>IFERROR(INDEX(tProdutos[Foco],MATCH(tItens[[#This Row],[Produto]],tProdutos[Produto],0)),"Não")</f>
        <v>Não</v>
      </c>
      <c r="O800" t="str">
        <f>IFERROR(INDEX(tEditais[SRP],MATCH(tItens[[#This Row],[Edital]],tEditais[Edital],0)),"Não")</f>
        <v>Não</v>
      </c>
      <c r="P800" s="4">
        <f>IF(COUNTIFS(INDEX(tItens[Edital],1):tItens[[#This Row],[Edital]],tItens[[#This Row],[Edital]],INDEX(tItens[Produto],1):tItens[[#This Row],[Produto]],tItens[[#This Row],[Produto]])=1,1,0)</f>
        <v>0</v>
      </c>
    </row>
    <row r="801" spans="1:16" x14ac:dyDescent="0.25">
      <c r="A801" t="s">
        <v>983</v>
      </c>
      <c r="B801">
        <v>343</v>
      </c>
      <c r="C801" t="s">
        <v>3980</v>
      </c>
      <c r="D801" t="s">
        <v>114</v>
      </c>
      <c r="E801" s="13">
        <v>8000</v>
      </c>
      <c r="F801" s="12">
        <v>0.17</v>
      </c>
      <c r="G801" t="str">
        <f>IFERROR(INDEX(tEditais[Órgão],MATCH(tItens[[#This Row],[Edital]],tEditais[Edital],0)),"")</f>
        <v>MUNICIPIO DE MILHA</v>
      </c>
      <c r="H801" t="str">
        <f>IFERROR(INDEX(tEditais[UF],MATCH(tItens[[#This Row],[Edital]],tEditais[Edital],0)),"")</f>
        <v>CE</v>
      </c>
      <c r="I801" s="11">
        <f>IFERROR(INDEX(tEditais[Encerramento],MATCH(tItens[[#This Row],[Edital]],tEditais[Edital],0)),"")</f>
        <v>46308.374305555553</v>
      </c>
      <c r="J801" t="str">
        <f>IFERROR(INDEX(tProdutos[Classe],MATCH(tItens[[#This Row],[Produto]],tProdutos[Produto],0)),"produto não cadastrado")</f>
        <v>DISPUTADO</v>
      </c>
      <c r="K801" s="12">
        <f>tItens[[#This Row],[Qtd]]*tItens[[#This Row],[Vlr unit]]</f>
        <v>1360</v>
      </c>
      <c r="L801" s="6">
        <f>IFERROR(IF(INDEX(tProdutos[Desconto homologado],MATCH(tItens[[#This Row],[Produto]],tProdutos[Produto],0))="",DescontoPadrao,INDEX(tProdutos[Desconto homologado],MATCH(tItens[[#This Row],[Produto]],tProdutos[Produto],0))),DescontoPadrao)</f>
        <v>0.24332656063896899</v>
      </c>
      <c r="M801" s="12">
        <f>tItens[[#This Row],[Valor]]*(1-tItens[[#This Row],[Desconto]])</f>
        <v>1029.0758775310021</v>
      </c>
      <c r="N801" t="str">
        <f>IFERROR(INDEX(tProdutos[Foco],MATCH(tItens[[#This Row],[Produto]],tProdutos[Produto],0)),"Não")</f>
        <v>Não</v>
      </c>
      <c r="O801" t="str">
        <f>IFERROR(INDEX(tEditais[SRP],MATCH(tItens[[#This Row],[Edital]],tEditais[Edital],0)),"Não")</f>
        <v>Não</v>
      </c>
      <c r="P801" s="4">
        <f>IF(COUNTIFS(INDEX(tItens[Edital],1):tItens[[#This Row],[Edital]],tItens[[#This Row],[Edital]],INDEX(tItens[Produto],1):tItens[[#This Row],[Produto]],tItens[[#This Row],[Produto]])=1,1,0)</f>
        <v>0</v>
      </c>
    </row>
    <row r="802" spans="1:16" x14ac:dyDescent="0.25">
      <c r="A802" t="s">
        <v>983</v>
      </c>
      <c r="B802">
        <v>349</v>
      </c>
      <c r="C802" t="s">
        <v>3981</v>
      </c>
      <c r="D802" t="s">
        <v>114</v>
      </c>
      <c r="E802" s="13">
        <v>5000</v>
      </c>
      <c r="F802" s="12">
        <v>0.17</v>
      </c>
      <c r="G802" t="str">
        <f>IFERROR(INDEX(tEditais[Órgão],MATCH(tItens[[#This Row],[Edital]],tEditais[Edital],0)),"")</f>
        <v>MUNICIPIO DE MILHA</v>
      </c>
      <c r="H802" t="str">
        <f>IFERROR(INDEX(tEditais[UF],MATCH(tItens[[#This Row],[Edital]],tEditais[Edital],0)),"")</f>
        <v>CE</v>
      </c>
      <c r="I802" s="11">
        <f>IFERROR(INDEX(tEditais[Encerramento],MATCH(tItens[[#This Row],[Edital]],tEditais[Edital],0)),"")</f>
        <v>46308.374305555553</v>
      </c>
      <c r="J802" t="str">
        <f>IFERROR(INDEX(tProdutos[Classe],MATCH(tItens[[#This Row],[Produto]],tProdutos[Produto],0)),"produto não cadastrado")</f>
        <v>DISPUTADO</v>
      </c>
      <c r="K802" s="12">
        <f>tItens[[#This Row],[Qtd]]*tItens[[#This Row],[Vlr unit]]</f>
        <v>850.00000000000011</v>
      </c>
      <c r="L802" s="6">
        <f>IFERROR(IF(INDEX(tProdutos[Desconto homologado],MATCH(tItens[[#This Row],[Produto]],tProdutos[Produto],0))="",DescontoPadrao,INDEX(tProdutos[Desconto homologado],MATCH(tItens[[#This Row],[Produto]],tProdutos[Produto],0))),DescontoPadrao)</f>
        <v>0.24332656063896899</v>
      </c>
      <c r="M802" s="12">
        <f>tItens[[#This Row],[Valor]]*(1-tItens[[#This Row],[Desconto]])</f>
        <v>643.17242345687646</v>
      </c>
      <c r="N802" t="str">
        <f>IFERROR(INDEX(tProdutos[Foco],MATCH(tItens[[#This Row],[Produto]],tProdutos[Produto],0)),"Não")</f>
        <v>Não</v>
      </c>
      <c r="O802" t="str">
        <f>IFERROR(INDEX(tEditais[SRP],MATCH(tItens[[#This Row],[Edital]],tEditais[Edital],0)),"Não")</f>
        <v>Não</v>
      </c>
      <c r="P802" s="4">
        <f>IF(COUNTIFS(INDEX(tItens[Edital],1):tItens[[#This Row],[Edital]],tItens[[#This Row],[Edital]],INDEX(tItens[Produto],1):tItens[[#This Row],[Produto]],tItens[[#This Row],[Produto]])=1,1,0)</f>
        <v>0</v>
      </c>
    </row>
    <row r="803" spans="1:16" x14ac:dyDescent="0.25">
      <c r="A803" t="s">
        <v>983</v>
      </c>
      <c r="B803">
        <v>360</v>
      </c>
      <c r="C803" t="s">
        <v>3982</v>
      </c>
      <c r="D803" t="s">
        <v>110</v>
      </c>
      <c r="E803" s="13">
        <v>500</v>
      </c>
      <c r="F803" s="12">
        <v>2.02</v>
      </c>
      <c r="G803" t="str">
        <f>IFERROR(INDEX(tEditais[Órgão],MATCH(tItens[[#This Row],[Edital]],tEditais[Edital],0)),"")</f>
        <v>MUNICIPIO DE MILHA</v>
      </c>
      <c r="H803" t="str">
        <f>IFERROR(INDEX(tEditais[UF],MATCH(tItens[[#This Row],[Edital]],tEditais[Edital],0)),"")</f>
        <v>CE</v>
      </c>
      <c r="I803" s="11">
        <f>IFERROR(INDEX(tEditais[Encerramento],MATCH(tItens[[#This Row],[Edital]],tEditais[Edital],0)),"")</f>
        <v>46308.374305555553</v>
      </c>
      <c r="J803" t="str">
        <f>IFERROR(INDEX(tProdutos[Classe],MATCH(tItens[[#This Row],[Produto]],tProdutos[Produto],0)),"produto não cadastrado")</f>
        <v>NÚCLEO</v>
      </c>
      <c r="K803" s="12">
        <f>tItens[[#This Row],[Qtd]]*tItens[[#This Row],[Vlr unit]]</f>
        <v>1010</v>
      </c>
      <c r="L803" s="6">
        <f>IFERROR(IF(INDEX(tProdutos[Desconto homologado],MATCH(tItens[[#This Row],[Produto]],tProdutos[Produto],0))="",DescontoPadrao,INDEX(tProdutos[Desconto homologado],MATCH(tItens[[#This Row],[Produto]],tProdutos[Produto],0))),DescontoPadrao)</f>
        <v>0.30410958904109597</v>
      </c>
      <c r="M803" s="12">
        <f>tItens[[#This Row],[Valor]]*(1-tItens[[#This Row],[Desconto]])</f>
        <v>702.84931506849307</v>
      </c>
      <c r="N803" t="str">
        <f>IFERROR(INDEX(tProdutos[Foco],MATCH(tItens[[#This Row],[Produto]],tProdutos[Produto],0)),"Não")</f>
        <v>Não</v>
      </c>
      <c r="O803" t="str">
        <f>IFERROR(INDEX(tEditais[SRP],MATCH(tItens[[#This Row],[Edital]],tEditais[Edital],0)),"Não")</f>
        <v>Não</v>
      </c>
      <c r="P803" s="4">
        <f>IF(COUNTIFS(INDEX(tItens[Edital],1):tItens[[#This Row],[Edital]],tItens[[#This Row],[Edital]],INDEX(tItens[Produto],1):tItens[[#This Row],[Produto]],tItens[[#This Row],[Produto]])=1,1,0)</f>
        <v>1</v>
      </c>
    </row>
    <row r="804" spans="1:16" x14ac:dyDescent="0.25">
      <c r="A804" t="s">
        <v>983</v>
      </c>
      <c r="B804">
        <v>362</v>
      </c>
      <c r="C804" t="s">
        <v>3983</v>
      </c>
      <c r="D804" t="s">
        <v>110</v>
      </c>
      <c r="E804" s="13">
        <v>500</v>
      </c>
      <c r="F804" s="12">
        <v>1.72</v>
      </c>
      <c r="G804" t="str">
        <f>IFERROR(INDEX(tEditais[Órgão],MATCH(tItens[[#This Row],[Edital]],tEditais[Edital],0)),"")</f>
        <v>MUNICIPIO DE MILHA</v>
      </c>
      <c r="H804" t="str">
        <f>IFERROR(INDEX(tEditais[UF],MATCH(tItens[[#This Row],[Edital]],tEditais[Edital],0)),"")</f>
        <v>CE</v>
      </c>
      <c r="I804" s="11">
        <f>IFERROR(INDEX(tEditais[Encerramento],MATCH(tItens[[#This Row],[Edital]],tEditais[Edital],0)),"")</f>
        <v>46308.374305555553</v>
      </c>
      <c r="J804" t="str">
        <f>IFERROR(INDEX(tProdutos[Classe],MATCH(tItens[[#This Row],[Produto]],tProdutos[Produto],0)),"produto não cadastrado")</f>
        <v>NÚCLEO</v>
      </c>
      <c r="K804" s="12">
        <f>tItens[[#This Row],[Qtd]]*tItens[[#This Row],[Vlr unit]]</f>
        <v>860</v>
      </c>
      <c r="L804" s="6">
        <f>IFERROR(IF(INDEX(tProdutos[Desconto homologado],MATCH(tItens[[#This Row],[Produto]],tProdutos[Produto],0))="",DescontoPadrao,INDEX(tProdutos[Desconto homologado],MATCH(tItens[[#This Row],[Produto]],tProdutos[Produto],0))),DescontoPadrao)</f>
        <v>0.30410958904109597</v>
      </c>
      <c r="M804" s="12">
        <f>tItens[[#This Row],[Valor]]*(1-tItens[[#This Row],[Desconto]])</f>
        <v>598.46575342465746</v>
      </c>
      <c r="N804" t="str">
        <f>IFERROR(INDEX(tProdutos[Foco],MATCH(tItens[[#This Row],[Produto]],tProdutos[Produto],0)),"Não")</f>
        <v>Não</v>
      </c>
      <c r="O804" t="str">
        <f>IFERROR(INDEX(tEditais[SRP],MATCH(tItens[[#This Row],[Edital]],tEditais[Edital],0)),"Não")</f>
        <v>Não</v>
      </c>
      <c r="P804" s="4">
        <f>IF(COUNTIFS(INDEX(tItens[Edital],1):tItens[[#This Row],[Edital]],tItens[[#This Row],[Edital]],INDEX(tItens[Produto],1):tItens[[#This Row],[Produto]],tItens[[#This Row],[Produto]])=1,1,0)</f>
        <v>0</v>
      </c>
    </row>
    <row r="805" spans="1:16" x14ac:dyDescent="0.25">
      <c r="A805" t="s">
        <v>983</v>
      </c>
      <c r="B805">
        <v>364</v>
      </c>
      <c r="C805" t="s">
        <v>3984</v>
      </c>
      <c r="D805" t="s">
        <v>110</v>
      </c>
      <c r="E805" s="13">
        <v>500</v>
      </c>
      <c r="F805" s="12">
        <v>1.75</v>
      </c>
      <c r="G805" t="str">
        <f>IFERROR(INDEX(tEditais[Órgão],MATCH(tItens[[#This Row],[Edital]],tEditais[Edital],0)),"")</f>
        <v>MUNICIPIO DE MILHA</v>
      </c>
      <c r="H805" t="str">
        <f>IFERROR(INDEX(tEditais[UF],MATCH(tItens[[#This Row],[Edital]],tEditais[Edital],0)),"")</f>
        <v>CE</v>
      </c>
      <c r="I805" s="11">
        <f>IFERROR(INDEX(tEditais[Encerramento],MATCH(tItens[[#This Row],[Edital]],tEditais[Edital],0)),"")</f>
        <v>46308.374305555553</v>
      </c>
      <c r="J805" t="str">
        <f>IFERROR(INDEX(tProdutos[Classe],MATCH(tItens[[#This Row],[Produto]],tProdutos[Produto],0)),"produto não cadastrado")</f>
        <v>NÚCLEO</v>
      </c>
      <c r="K805" s="12">
        <f>tItens[[#This Row],[Qtd]]*tItens[[#This Row],[Vlr unit]]</f>
        <v>875</v>
      </c>
      <c r="L805" s="6">
        <f>IFERROR(IF(INDEX(tProdutos[Desconto homologado],MATCH(tItens[[#This Row],[Produto]],tProdutos[Produto],0))="",DescontoPadrao,INDEX(tProdutos[Desconto homologado],MATCH(tItens[[#This Row],[Produto]],tProdutos[Produto],0))),DescontoPadrao)</f>
        <v>0.30410958904109597</v>
      </c>
      <c r="M805" s="12">
        <f>tItens[[#This Row],[Valor]]*(1-tItens[[#This Row],[Desconto]])</f>
        <v>608.90410958904101</v>
      </c>
      <c r="N805" t="str">
        <f>IFERROR(INDEX(tProdutos[Foco],MATCH(tItens[[#This Row],[Produto]],tProdutos[Produto],0)),"Não")</f>
        <v>Não</v>
      </c>
      <c r="O805" t="str">
        <f>IFERROR(INDEX(tEditais[SRP],MATCH(tItens[[#This Row],[Edital]],tEditais[Edital],0)),"Não")</f>
        <v>Não</v>
      </c>
      <c r="P805" s="4">
        <f>IF(COUNTIFS(INDEX(tItens[Edital],1):tItens[[#This Row],[Edital]],tItens[[#This Row],[Edital]],INDEX(tItens[Produto],1):tItens[[#This Row],[Produto]],tItens[[#This Row],[Produto]])=1,1,0)</f>
        <v>0</v>
      </c>
    </row>
    <row r="806" spans="1:16" x14ac:dyDescent="0.25">
      <c r="A806" t="s">
        <v>983</v>
      </c>
      <c r="B806">
        <v>365</v>
      </c>
      <c r="C806" t="s">
        <v>3985</v>
      </c>
      <c r="D806" t="s">
        <v>110</v>
      </c>
      <c r="E806" s="13">
        <v>500</v>
      </c>
      <c r="F806" s="12">
        <v>2.23</v>
      </c>
      <c r="G806" t="str">
        <f>IFERROR(INDEX(tEditais[Órgão],MATCH(tItens[[#This Row],[Edital]],tEditais[Edital],0)),"")</f>
        <v>MUNICIPIO DE MILHA</v>
      </c>
      <c r="H806" t="str">
        <f>IFERROR(INDEX(tEditais[UF],MATCH(tItens[[#This Row],[Edital]],tEditais[Edital],0)),"")</f>
        <v>CE</v>
      </c>
      <c r="I806" s="11">
        <f>IFERROR(INDEX(tEditais[Encerramento],MATCH(tItens[[#This Row],[Edital]],tEditais[Edital],0)),"")</f>
        <v>46308.374305555553</v>
      </c>
      <c r="J806" t="str">
        <f>IFERROR(INDEX(tProdutos[Classe],MATCH(tItens[[#This Row],[Produto]],tProdutos[Produto],0)),"produto não cadastrado")</f>
        <v>NÚCLEO</v>
      </c>
      <c r="K806" s="12">
        <f>tItens[[#This Row],[Qtd]]*tItens[[#This Row],[Vlr unit]]</f>
        <v>1115</v>
      </c>
      <c r="L806" s="6">
        <f>IFERROR(IF(INDEX(tProdutos[Desconto homologado],MATCH(tItens[[#This Row],[Produto]],tProdutos[Produto],0))="",DescontoPadrao,INDEX(tProdutos[Desconto homologado],MATCH(tItens[[#This Row],[Produto]],tProdutos[Produto],0))),DescontoPadrao)</f>
        <v>0.30410958904109597</v>
      </c>
      <c r="M806" s="12">
        <f>tItens[[#This Row],[Valor]]*(1-tItens[[#This Row],[Desconto]])</f>
        <v>775.91780821917803</v>
      </c>
      <c r="N806" t="str">
        <f>IFERROR(INDEX(tProdutos[Foco],MATCH(tItens[[#This Row],[Produto]],tProdutos[Produto],0)),"Não")</f>
        <v>Não</v>
      </c>
      <c r="O806" t="str">
        <f>IFERROR(INDEX(tEditais[SRP],MATCH(tItens[[#This Row],[Edital]],tEditais[Edital],0)),"Não")</f>
        <v>Não</v>
      </c>
      <c r="P806" s="4">
        <f>IF(COUNTIFS(INDEX(tItens[Edital],1):tItens[[#This Row],[Edital]],tItens[[#This Row],[Edital]],INDEX(tItens[Produto],1):tItens[[#This Row],[Produto]],tItens[[#This Row],[Produto]])=1,1,0)</f>
        <v>0</v>
      </c>
    </row>
    <row r="807" spans="1:16" x14ac:dyDescent="0.25">
      <c r="A807" t="s">
        <v>983</v>
      </c>
      <c r="B807">
        <v>367</v>
      </c>
      <c r="C807" t="s">
        <v>3986</v>
      </c>
      <c r="D807" t="s">
        <v>110</v>
      </c>
      <c r="E807" s="13">
        <v>500</v>
      </c>
      <c r="F807" s="12">
        <v>1.54</v>
      </c>
      <c r="G807" t="str">
        <f>IFERROR(INDEX(tEditais[Órgão],MATCH(tItens[[#This Row],[Edital]],tEditais[Edital],0)),"")</f>
        <v>MUNICIPIO DE MILHA</v>
      </c>
      <c r="H807" t="str">
        <f>IFERROR(INDEX(tEditais[UF],MATCH(tItens[[#This Row],[Edital]],tEditais[Edital],0)),"")</f>
        <v>CE</v>
      </c>
      <c r="I807" s="11">
        <f>IFERROR(INDEX(tEditais[Encerramento],MATCH(tItens[[#This Row],[Edital]],tEditais[Edital],0)),"")</f>
        <v>46308.374305555553</v>
      </c>
      <c r="J807" t="str">
        <f>IFERROR(INDEX(tProdutos[Classe],MATCH(tItens[[#This Row],[Produto]],tProdutos[Produto],0)),"produto não cadastrado")</f>
        <v>NÚCLEO</v>
      </c>
      <c r="K807" s="12">
        <f>tItens[[#This Row],[Qtd]]*tItens[[#This Row],[Vlr unit]]</f>
        <v>770</v>
      </c>
      <c r="L807" s="6">
        <f>IFERROR(IF(INDEX(tProdutos[Desconto homologado],MATCH(tItens[[#This Row],[Produto]],tProdutos[Produto],0))="",DescontoPadrao,INDEX(tProdutos[Desconto homologado],MATCH(tItens[[#This Row],[Produto]],tProdutos[Produto],0))),DescontoPadrao)</f>
        <v>0.30410958904109597</v>
      </c>
      <c r="M807" s="12">
        <f>tItens[[#This Row],[Valor]]*(1-tItens[[#This Row],[Desconto]])</f>
        <v>535.83561643835606</v>
      </c>
      <c r="N807" t="str">
        <f>IFERROR(INDEX(tProdutos[Foco],MATCH(tItens[[#This Row],[Produto]],tProdutos[Produto],0)),"Não")</f>
        <v>Não</v>
      </c>
      <c r="O807" t="str">
        <f>IFERROR(INDEX(tEditais[SRP],MATCH(tItens[[#This Row],[Edital]],tEditais[Edital],0)),"Não")</f>
        <v>Não</v>
      </c>
      <c r="P807" s="4">
        <f>IF(COUNTIFS(INDEX(tItens[Edital],1):tItens[[#This Row],[Edital]],tItens[[#This Row],[Edital]],INDEX(tItens[Produto],1):tItens[[#This Row],[Produto]],tItens[[#This Row],[Produto]])=1,1,0)</f>
        <v>0</v>
      </c>
    </row>
    <row r="808" spans="1:16" x14ac:dyDescent="0.25">
      <c r="A808" t="s">
        <v>983</v>
      </c>
      <c r="B808">
        <v>368</v>
      </c>
      <c r="C808" t="s">
        <v>3987</v>
      </c>
      <c r="D808" t="s">
        <v>110</v>
      </c>
      <c r="E808" s="13">
        <v>500</v>
      </c>
      <c r="F808" s="12">
        <v>2.33</v>
      </c>
      <c r="G808" t="str">
        <f>IFERROR(INDEX(tEditais[Órgão],MATCH(tItens[[#This Row],[Edital]],tEditais[Edital],0)),"")</f>
        <v>MUNICIPIO DE MILHA</v>
      </c>
      <c r="H808" t="str">
        <f>IFERROR(INDEX(tEditais[UF],MATCH(tItens[[#This Row],[Edital]],tEditais[Edital],0)),"")</f>
        <v>CE</v>
      </c>
      <c r="I808" s="11">
        <f>IFERROR(INDEX(tEditais[Encerramento],MATCH(tItens[[#This Row],[Edital]],tEditais[Edital],0)),"")</f>
        <v>46308.374305555553</v>
      </c>
      <c r="J808" t="str">
        <f>IFERROR(INDEX(tProdutos[Classe],MATCH(tItens[[#This Row],[Produto]],tProdutos[Produto],0)),"produto não cadastrado")</f>
        <v>NÚCLEO</v>
      </c>
      <c r="K808" s="12">
        <f>tItens[[#This Row],[Qtd]]*tItens[[#This Row],[Vlr unit]]</f>
        <v>1165</v>
      </c>
      <c r="L808" s="6">
        <f>IFERROR(IF(INDEX(tProdutos[Desconto homologado],MATCH(tItens[[#This Row],[Produto]],tProdutos[Produto],0))="",DescontoPadrao,INDEX(tProdutos[Desconto homologado],MATCH(tItens[[#This Row],[Produto]],tProdutos[Produto],0))),DescontoPadrao)</f>
        <v>0.30410958904109597</v>
      </c>
      <c r="M808" s="12">
        <f>tItens[[#This Row],[Valor]]*(1-tItens[[#This Row],[Desconto]])</f>
        <v>810.71232876712315</v>
      </c>
      <c r="N808" t="str">
        <f>IFERROR(INDEX(tProdutos[Foco],MATCH(tItens[[#This Row],[Produto]],tProdutos[Produto],0)),"Não")</f>
        <v>Não</v>
      </c>
      <c r="O808" t="str">
        <f>IFERROR(INDEX(tEditais[SRP],MATCH(tItens[[#This Row],[Edital]],tEditais[Edital],0)),"Não")</f>
        <v>Não</v>
      </c>
      <c r="P808" s="4">
        <f>IF(COUNTIFS(INDEX(tItens[Edital],1):tItens[[#This Row],[Edital]],tItens[[#This Row],[Edital]],INDEX(tItens[Produto],1):tItens[[#This Row],[Produto]],tItens[[#This Row],[Produto]])=1,1,0)</f>
        <v>0</v>
      </c>
    </row>
    <row r="809" spans="1:16" x14ac:dyDescent="0.25">
      <c r="A809" t="s">
        <v>983</v>
      </c>
      <c r="B809">
        <v>369</v>
      </c>
      <c r="C809" t="s">
        <v>3988</v>
      </c>
      <c r="D809" t="s">
        <v>110</v>
      </c>
      <c r="E809" s="13">
        <v>500</v>
      </c>
      <c r="F809" s="12">
        <v>2.77</v>
      </c>
      <c r="G809" t="str">
        <f>IFERROR(INDEX(tEditais[Órgão],MATCH(tItens[[#This Row],[Edital]],tEditais[Edital],0)),"")</f>
        <v>MUNICIPIO DE MILHA</v>
      </c>
      <c r="H809" t="str">
        <f>IFERROR(INDEX(tEditais[UF],MATCH(tItens[[#This Row],[Edital]],tEditais[Edital],0)),"")</f>
        <v>CE</v>
      </c>
      <c r="I809" s="11">
        <f>IFERROR(INDEX(tEditais[Encerramento],MATCH(tItens[[#This Row],[Edital]],tEditais[Edital],0)),"")</f>
        <v>46308.374305555553</v>
      </c>
      <c r="J809" t="str">
        <f>IFERROR(INDEX(tProdutos[Classe],MATCH(tItens[[#This Row],[Produto]],tProdutos[Produto],0)),"produto não cadastrado")</f>
        <v>NÚCLEO</v>
      </c>
      <c r="K809" s="12">
        <f>tItens[[#This Row],[Qtd]]*tItens[[#This Row],[Vlr unit]]</f>
        <v>1385</v>
      </c>
      <c r="L809" s="6">
        <f>IFERROR(IF(INDEX(tProdutos[Desconto homologado],MATCH(tItens[[#This Row],[Produto]],tProdutos[Produto],0))="",DescontoPadrao,INDEX(tProdutos[Desconto homologado],MATCH(tItens[[#This Row],[Produto]],tProdutos[Produto],0))),DescontoPadrao)</f>
        <v>0.30410958904109597</v>
      </c>
      <c r="M809" s="12">
        <f>tItens[[#This Row],[Valor]]*(1-tItens[[#This Row],[Desconto]])</f>
        <v>963.80821917808203</v>
      </c>
      <c r="N809" t="str">
        <f>IFERROR(INDEX(tProdutos[Foco],MATCH(tItens[[#This Row],[Produto]],tProdutos[Produto],0)),"Não")</f>
        <v>Não</v>
      </c>
      <c r="O809" t="str">
        <f>IFERROR(INDEX(tEditais[SRP],MATCH(tItens[[#This Row],[Edital]],tEditais[Edital],0)),"Não")</f>
        <v>Não</v>
      </c>
      <c r="P809" s="4">
        <f>IF(COUNTIFS(INDEX(tItens[Edital],1):tItens[[#This Row],[Edital]],tItens[[#This Row],[Edital]],INDEX(tItens[Produto],1):tItens[[#This Row],[Produto]],tItens[[#This Row],[Produto]])=1,1,0)</f>
        <v>0</v>
      </c>
    </row>
    <row r="810" spans="1:16" x14ac:dyDescent="0.25">
      <c r="A810" t="s">
        <v>983</v>
      </c>
      <c r="B810">
        <v>370</v>
      </c>
      <c r="C810" t="s">
        <v>3989</v>
      </c>
      <c r="D810" t="s">
        <v>110</v>
      </c>
      <c r="E810" s="13">
        <v>500</v>
      </c>
      <c r="F810" s="12">
        <v>3.21</v>
      </c>
      <c r="G810" t="str">
        <f>IFERROR(INDEX(tEditais[Órgão],MATCH(tItens[[#This Row],[Edital]],tEditais[Edital],0)),"")</f>
        <v>MUNICIPIO DE MILHA</v>
      </c>
      <c r="H810" t="str">
        <f>IFERROR(INDEX(tEditais[UF],MATCH(tItens[[#This Row],[Edital]],tEditais[Edital],0)),"")</f>
        <v>CE</v>
      </c>
      <c r="I810" s="11">
        <f>IFERROR(INDEX(tEditais[Encerramento],MATCH(tItens[[#This Row],[Edital]],tEditais[Edital],0)),"")</f>
        <v>46308.374305555553</v>
      </c>
      <c r="J810" t="str">
        <f>IFERROR(INDEX(tProdutos[Classe],MATCH(tItens[[#This Row],[Produto]],tProdutos[Produto],0)),"produto não cadastrado")</f>
        <v>NÚCLEO</v>
      </c>
      <c r="K810" s="12">
        <f>tItens[[#This Row],[Qtd]]*tItens[[#This Row],[Vlr unit]]</f>
        <v>1605</v>
      </c>
      <c r="L810" s="6">
        <f>IFERROR(IF(INDEX(tProdutos[Desconto homologado],MATCH(tItens[[#This Row],[Produto]],tProdutos[Produto],0))="",DescontoPadrao,INDEX(tProdutos[Desconto homologado],MATCH(tItens[[#This Row],[Produto]],tProdutos[Produto],0))),DescontoPadrao)</f>
        <v>0.30410958904109597</v>
      </c>
      <c r="M810" s="12">
        <f>tItens[[#This Row],[Valor]]*(1-tItens[[#This Row],[Desconto]])</f>
        <v>1116.9041095890409</v>
      </c>
      <c r="N810" t="str">
        <f>IFERROR(INDEX(tProdutos[Foco],MATCH(tItens[[#This Row],[Produto]],tProdutos[Produto],0)),"Não")</f>
        <v>Não</v>
      </c>
      <c r="O810" t="str">
        <f>IFERROR(INDEX(tEditais[SRP],MATCH(tItens[[#This Row],[Edital]],tEditais[Edital],0)),"Não")</f>
        <v>Não</v>
      </c>
      <c r="P810" s="4">
        <f>IF(COUNTIFS(INDEX(tItens[Edital],1):tItens[[#This Row],[Edital]],tItens[[#This Row],[Edital]],INDEX(tItens[Produto],1):tItens[[#This Row],[Produto]],tItens[[#This Row],[Produto]])=1,1,0)</f>
        <v>0</v>
      </c>
    </row>
    <row r="811" spans="1:16" x14ac:dyDescent="0.25">
      <c r="A811" t="s">
        <v>983</v>
      </c>
      <c r="B811">
        <v>371</v>
      </c>
      <c r="C811" t="s">
        <v>3990</v>
      </c>
      <c r="D811" t="s">
        <v>120</v>
      </c>
      <c r="E811" s="13">
        <v>1000</v>
      </c>
      <c r="F811" s="12">
        <v>1.32</v>
      </c>
      <c r="G811" t="str">
        <f>IFERROR(INDEX(tEditais[Órgão],MATCH(tItens[[#This Row],[Edital]],tEditais[Edital],0)),"")</f>
        <v>MUNICIPIO DE MILHA</v>
      </c>
      <c r="H811" t="str">
        <f>IFERROR(INDEX(tEditais[UF],MATCH(tItens[[#This Row],[Edital]],tEditais[Edital],0)),"")</f>
        <v>CE</v>
      </c>
      <c r="I811" s="11">
        <f>IFERROR(INDEX(tEditais[Encerramento],MATCH(tItens[[#This Row],[Edital]],tEditais[Edital],0)),"")</f>
        <v>46308.374305555553</v>
      </c>
      <c r="J811" t="str">
        <f>IFERROR(INDEX(tProdutos[Classe],MATCH(tItens[[#This Row],[Produto]],tProdutos[Produto],0)),"produto não cadastrado")</f>
        <v>DISPUTADO</v>
      </c>
      <c r="K811" s="12">
        <f>tItens[[#This Row],[Qtd]]*tItens[[#This Row],[Vlr unit]]</f>
        <v>1320</v>
      </c>
      <c r="L811" s="6">
        <f>IFERROR(IF(INDEX(tProdutos[Desconto homologado],MATCH(tItens[[#This Row],[Produto]],tProdutos[Produto],0))="",DescontoPadrao,INDEX(tProdutos[Desconto homologado],MATCH(tItens[[#This Row],[Produto]],tProdutos[Produto],0))),DescontoPadrao)</f>
        <v>0.40909090909090901</v>
      </c>
      <c r="M811" s="12">
        <f>tItens[[#This Row],[Valor]]*(1-tItens[[#This Row],[Desconto]])</f>
        <v>780.00000000000023</v>
      </c>
      <c r="N811" t="str">
        <f>IFERROR(INDEX(tProdutos[Foco],MATCH(tItens[[#This Row],[Produto]],tProdutos[Produto],0)),"Não")</f>
        <v>Não</v>
      </c>
      <c r="O811" t="str">
        <f>IFERROR(INDEX(tEditais[SRP],MATCH(tItens[[#This Row],[Edital]],tEditais[Edital],0)),"Não")</f>
        <v>Não</v>
      </c>
      <c r="P811" s="4">
        <f>IF(COUNTIFS(INDEX(tItens[Edital],1):tItens[[#This Row],[Edital]],tItens[[#This Row],[Edital]],INDEX(tItens[Produto],1):tItens[[#This Row],[Produto]],tItens[[#This Row],[Produto]])=1,1,0)</f>
        <v>1</v>
      </c>
    </row>
    <row r="812" spans="1:16" x14ac:dyDescent="0.25">
      <c r="A812" t="s">
        <v>983</v>
      </c>
      <c r="B812">
        <v>372</v>
      </c>
      <c r="C812" t="s">
        <v>3991</v>
      </c>
      <c r="D812" t="s">
        <v>110</v>
      </c>
      <c r="E812" s="13">
        <v>500</v>
      </c>
      <c r="F812" s="12">
        <v>1.34</v>
      </c>
      <c r="G812" t="str">
        <f>IFERROR(INDEX(tEditais[Órgão],MATCH(tItens[[#This Row],[Edital]],tEditais[Edital],0)),"")</f>
        <v>MUNICIPIO DE MILHA</v>
      </c>
      <c r="H812" t="str">
        <f>IFERROR(INDEX(tEditais[UF],MATCH(tItens[[#This Row],[Edital]],tEditais[Edital],0)),"")</f>
        <v>CE</v>
      </c>
      <c r="I812" s="11">
        <f>IFERROR(INDEX(tEditais[Encerramento],MATCH(tItens[[#This Row],[Edital]],tEditais[Edital],0)),"")</f>
        <v>46308.374305555553</v>
      </c>
      <c r="J812" t="str">
        <f>IFERROR(INDEX(tProdutos[Classe],MATCH(tItens[[#This Row],[Produto]],tProdutos[Produto],0)),"produto não cadastrado")</f>
        <v>NÚCLEO</v>
      </c>
      <c r="K812" s="12">
        <f>tItens[[#This Row],[Qtd]]*tItens[[#This Row],[Vlr unit]]</f>
        <v>670</v>
      </c>
      <c r="L812" s="6">
        <f>IFERROR(IF(INDEX(tProdutos[Desconto homologado],MATCH(tItens[[#This Row],[Produto]],tProdutos[Produto],0))="",DescontoPadrao,INDEX(tProdutos[Desconto homologado],MATCH(tItens[[#This Row],[Produto]],tProdutos[Produto],0))),DescontoPadrao)</f>
        <v>0.30410958904109597</v>
      </c>
      <c r="M812" s="12">
        <f>tItens[[#This Row],[Valor]]*(1-tItens[[#This Row],[Desconto]])</f>
        <v>466.24657534246569</v>
      </c>
      <c r="N812" t="str">
        <f>IFERROR(INDEX(tProdutos[Foco],MATCH(tItens[[#This Row],[Produto]],tProdutos[Produto],0)),"Não")</f>
        <v>Não</v>
      </c>
      <c r="O812" t="str">
        <f>IFERROR(INDEX(tEditais[SRP],MATCH(tItens[[#This Row],[Edital]],tEditais[Edital],0)),"Não")</f>
        <v>Não</v>
      </c>
      <c r="P812" s="4">
        <f>IF(COUNTIFS(INDEX(tItens[Edital],1):tItens[[#This Row],[Edital]],tItens[[#This Row],[Edital]],INDEX(tItens[Produto],1):tItens[[#This Row],[Produto]],tItens[[#This Row],[Produto]])=1,1,0)</f>
        <v>0</v>
      </c>
    </row>
    <row r="813" spans="1:16" x14ac:dyDescent="0.25">
      <c r="A813" t="s">
        <v>983</v>
      </c>
      <c r="B813">
        <v>373</v>
      </c>
      <c r="C813" t="s">
        <v>3992</v>
      </c>
      <c r="D813" t="s">
        <v>120</v>
      </c>
      <c r="E813" s="13">
        <v>1000</v>
      </c>
      <c r="F813" s="12">
        <v>1.83</v>
      </c>
      <c r="G813" t="str">
        <f>IFERROR(INDEX(tEditais[Órgão],MATCH(tItens[[#This Row],[Edital]],tEditais[Edital],0)),"")</f>
        <v>MUNICIPIO DE MILHA</v>
      </c>
      <c r="H813" t="str">
        <f>IFERROR(INDEX(tEditais[UF],MATCH(tItens[[#This Row],[Edital]],tEditais[Edital],0)),"")</f>
        <v>CE</v>
      </c>
      <c r="I813" s="11">
        <f>IFERROR(INDEX(tEditais[Encerramento],MATCH(tItens[[#This Row],[Edital]],tEditais[Edital],0)),"")</f>
        <v>46308.374305555553</v>
      </c>
      <c r="J813" t="str">
        <f>IFERROR(INDEX(tProdutos[Classe],MATCH(tItens[[#This Row],[Produto]],tProdutos[Produto],0)),"produto não cadastrado")</f>
        <v>DISPUTADO</v>
      </c>
      <c r="K813" s="12">
        <f>tItens[[#This Row],[Qtd]]*tItens[[#This Row],[Vlr unit]]</f>
        <v>1830</v>
      </c>
      <c r="L813" s="6">
        <f>IFERROR(IF(INDEX(tProdutos[Desconto homologado],MATCH(tItens[[#This Row],[Produto]],tProdutos[Produto],0))="",DescontoPadrao,INDEX(tProdutos[Desconto homologado],MATCH(tItens[[#This Row],[Produto]],tProdutos[Produto],0))),DescontoPadrao)</f>
        <v>0.40909090909090901</v>
      </c>
      <c r="M813" s="12">
        <f>tItens[[#This Row],[Valor]]*(1-tItens[[#This Row],[Desconto]])</f>
        <v>1081.3636363636367</v>
      </c>
      <c r="N813" t="str">
        <f>IFERROR(INDEX(tProdutos[Foco],MATCH(tItens[[#This Row],[Produto]],tProdutos[Produto],0)),"Não")</f>
        <v>Não</v>
      </c>
      <c r="O813" t="str">
        <f>IFERROR(INDEX(tEditais[SRP],MATCH(tItens[[#This Row],[Edital]],tEditais[Edital],0)),"Não")</f>
        <v>Não</v>
      </c>
      <c r="P813" s="4">
        <f>IF(COUNTIFS(INDEX(tItens[Edital],1):tItens[[#This Row],[Edital]],tItens[[#This Row],[Edital]],INDEX(tItens[Produto],1):tItens[[#This Row],[Produto]],tItens[[#This Row],[Produto]])=1,1,0)</f>
        <v>0</v>
      </c>
    </row>
    <row r="814" spans="1:16" x14ac:dyDescent="0.25">
      <c r="A814" t="s">
        <v>983</v>
      </c>
      <c r="B814">
        <v>374</v>
      </c>
      <c r="C814" t="s">
        <v>3993</v>
      </c>
      <c r="D814" t="s">
        <v>110</v>
      </c>
      <c r="E814" s="13">
        <v>500</v>
      </c>
      <c r="F814" s="12">
        <v>2.33</v>
      </c>
      <c r="G814" t="str">
        <f>IFERROR(INDEX(tEditais[Órgão],MATCH(tItens[[#This Row],[Edital]],tEditais[Edital],0)),"")</f>
        <v>MUNICIPIO DE MILHA</v>
      </c>
      <c r="H814" t="str">
        <f>IFERROR(INDEX(tEditais[UF],MATCH(tItens[[#This Row],[Edital]],tEditais[Edital],0)),"")</f>
        <v>CE</v>
      </c>
      <c r="I814" s="11">
        <f>IFERROR(INDEX(tEditais[Encerramento],MATCH(tItens[[#This Row],[Edital]],tEditais[Edital],0)),"")</f>
        <v>46308.374305555553</v>
      </c>
      <c r="J814" t="str">
        <f>IFERROR(INDEX(tProdutos[Classe],MATCH(tItens[[#This Row],[Produto]],tProdutos[Produto],0)),"produto não cadastrado")</f>
        <v>NÚCLEO</v>
      </c>
      <c r="K814" s="12">
        <f>tItens[[#This Row],[Qtd]]*tItens[[#This Row],[Vlr unit]]</f>
        <v>1165</v>
      </c>
      <c r="L814" s="6">
        <f>IFERROR(IF(INDEX(tProdutos[Desconto homologado],MATCH(tItens[[#This Row],[Produto]],tProdutos[Produto],0))="",DescontoPadrao,INDEX(tProdutos[Desconto homologado],MATCH(tItens[[#This Row],[Produto]],tProdutos[Produto],0))),DescontoPadrao)</f>
        <v>0.30410958904109597</v>
      </c>
      <c r="M814" s="12">
        <f>tItens[[#This Row],[Valor]]*(1-tItens[[#This Row],[Desconto]])</f>
        <v>810.71232876712315</v>
      </c>
      <c r="N814" t="str">
        <f>IFERROR(INDEX(tProdutos[Foco],MATCH(tItens[[#This Row],[Produto]],tProdutos[Produto],0)),"Não")</f>
        <v>Não</v>
      </c>
      <c r="O814" t="str">
        <f>IFERROR(INDEX(tEditais[SRP],MATCH(tItens[[#This Row],[Edital]],tEditais[Edital],0)),"Não")</f>
        <v>Não</v>
      </c>
      <c r="P814" s="4">
        <f>IF(COUNTIFS(INDEX(tItens[Edital],1):tItens[[#This Row],[Edital]],tItens[[#This Row],[Edital]],INDEX(tItens[Produto],1):tItens[[#This Row],[Produto]],tItens[[#This Row],[Produto]])=1,1,0)</f>
        <v>0</v>
      </c>
    </row>
    <row r="815" spans="1:16" x14ac:dyDescent="0.25">
      <c r="A815" t="s">
        <v>983</v>
      </c>
      <c r="B815">
        <v>375</v>
      </c>
      <c r="C815" t="s">
        <v>3994</v>
      </c>
      <c r="D815" t="s">
        <v>110</v>
      </c>
      <c r="E815" s="13">
        <v>500</v>
      </c>
      <c r="F815" s="12">
        <v>2.2799999999999998</v>
      </c>
      <c r="G815" t="str">
        <f>IFERROR(INDEX(tEditais[Órgão],MATCH(tItens[[#This Row],[Edital]],tEditais[Edital],0)),"")</f>
        <v>MUNICIPIO DE MILHA</v>
      </c>
      <c r="H815" t="str">
        <f>IFERROR(INDEX(tEditais[UF],MATCH(tItens[[#This Row],[Edital]],tEditais[Edital],0)),"")</f>
        <v>CE</v>
      </c>
      <c r="I815" s="11">
        <f>IFERROR(INDEX(tEditais[Encerramento],MATCH(tItens[[#This Row],[Edital]],tEditais[Edital],0)),"")</f>
        <v>46308.374305555553</v>
      </c>
      <c r="J815" t="str">
        <f>IFERROR(INDEX(tProdutos[Classe],MATCH(tItens[[#This Row],[Produto]],tProdutos[Produto],0)),"produto não cadastrado")</f>
        <v>NÚCLEO</v>
      </c>
      <c r="K815" s="12">
        <f>tItens[[#This Row],[Qtd]]*tItens[[#This Row],[Vlr unit]]</f>
        <v>1140</v>
      </c>
      <c r="L815" s="6">
        <f>IFERROR(IF(INDEX(tProdutos[Desconto homologado],MATCH(tItens[[#This Row],[Produto]],tProdutos[Produto],0))="",DescontoPadrao,INDEX(tProdutos[Desconto homologado],MATCH(tItens[[#This Row],[Produto]],tProdutos[Produto],0))),DescontoPadrao)</f>
        <v>0.30410958904109597</v>
      </c>
      <c r="M815" s="12">
        <f>tItens[[#This Row],[Valor]]*(1-tItens[[#This Row],[Desconto]])</f>
        <v>793.31506849315053</v>
      </c>
      <c r="N815" t="str">
        <f>IFERROR(INDEX(tProdutos[Foco],MATCH(tItens[[#This Row],[Produto]],tProdutos[Produto],0)),"Não")</f>
        <v>Não</v>
      </c>
      <c r="O815" t="str">
        <f>IFERROR(INDEX(tEditais[SRP],MATCH(tItens[[#This Row],[Edital]],tEditais[Edital],0)),"Não")</f>
        <v>Não</v>
      </c>
      <c r="P815" s="4">
        <f>IF(COUNTIFS(INDEX(tItens[Edital],1):tItens[[#This Row],[Edital]],tItens[[#This Row],[Edital]],INDEX(tItens[Produto],1):tItens[[#This Row],[Produto]],tItens[[#This Row],[Produto]])=1,1,0)</f>
        <v>0</v>
      </c>
    </row>
    <row r="816" spans="1:16" x14ac:dyDescent="0.25">
      <c r="A816" t="s">
        <v>983</v>
      </c>
      <c r="B816">
        <v>376</v>
      </c>
      <c r="C816" t="s">
        <v>3995</v>
      </c>
      <c r="D816" t="s">
        <v>110</v>
      </c>
      <c r="E816" s="13">
        <v>500</v>
      </c>
      <c r="F816" s="12">
        <v>2.04</v>
      </c>
      <c r="G816" t="str">
        <f>IFERROR(INDEX(tEditais[Órgão],MATCH(tItens[[#This Row],[Edital]],tEditais[Edital],0)),"")</f>
        <v>MUNICIPIO DE MILHA</v>
      </c>
      <c r="H816" t="str">
        <f>IFERROR(INDEX(tEditais[UF],MATCH(tItens[[#This Row],[Edital]],tEditais[Edital],0)),"")</f>
        <v>CE</v>
      </c>
      <c r="I816" s="11">
        <f>IFERROR(INDEX(tEditais[Encerramento],MATCH(tItens[[#This Row],[Edital]],tEditais[Edital],0)),"")</f>
        <v>46308.374305555553</v>
      </c>
      <c r="J816" t="str">
        <f>IFERROR(INDEX(tProdutos[Classe],MATCH(tItens[[#This Row],[Produto]],tProdutos[Produto],0)),"produto não cadastrado")</f>
        <v>NÚCLEO</v>
      </c>
      <c r="K816" s="12">
        <f>tItens[[#This Row],[Qtd]]*tItens[[#This Row],[Vlr unit]]</f>
        <v>1020</v>
      </c>
      <c r="L816" s="6">
        <f>IFERROR(IF(INDEX(tProdutos[Desconto homologado],MATCH(tItens[[#This Row],[Produto]],tProdutos[Produto],0))="",DescontoPadrao,INDEX(tProdutos[Desconto homologado],MATCH(tItens[[#This Row],[Produto]],tProdutos[Produto],0))),DescontoPadrao)</f>
        <v>0.30410958904109597</v>
      </c>
      <c r="M816" s="12">
        <f>tItens[[#This Row],[Valor]]*(1-tItens[[#This Row],[Desconto]])</f>
        <v>709.80821917808214</v>
      </c>
      <c r="N816" t="str">
        <f>IFERROR(INDEX(tProdutos[Foco],MATCH(tItens[[#This Row],[Produto]],tProdutos[Produto],0)),"Não")</f>
        <v>Não</v>
      </c>
      <c r="O816" t="str">
        <f>IFERROR(INDEX(tEditais[SRP],MATCH(tItens[[#This Row],[Edital]],tEditais[Edital],0)),"Não")</f>
        <v>Não</v>
      </c>
      <c r="P816" s="4">
        <f>IF(COUNTIFS(INDEX(tItens[Edital],1):tItens[[#This Row],[Edital]],tItens[[#This Row],[Edital]],INDEX(tItens[Produto],1):tItens[[#This Row],[Produto]],tItens[[#This Row],[Produto]])=1,1,0)</f>
        <v>0</v>
      </c>
    </row>
    <row r="817" spans="1:16" x14ac:dyDescent="0.25">
      <c r="A817" t="s">
        <v>983</v>
      </c>
      <c r="B817">
        <v>377</v>
      </c>
      <c r="C817" t="s">
        <v>3996</v>
      </c>
      <c r="D817" t="s">
        <v>110</v>
      </c>
      <c r="E817" s="13">
        <v>500</v>
      </c>
      <c r="F817" s="12">
        <v>2.3199999999999998</v>
      </c>
      <c r="G817" t="str">
        <f>IFERROR(INDEX(tEditais[Órgão],MATCH(tItens[[#This Row],[Edital]],tEditais[Edital],0)),"")</f>
        <v>MUNICIPIO DE MILHA</v>
      </c>
      <c r="H817" t="str">
        <f>IFERROR(INDEX(tEditais[UF],MATCH(tItens[[#This Row],[Edital]],tEditais[Edital],0)),"")</f>
        <v>CE</v>
      </c>
      <c r="I817" s="11">
        <f>IFERROR(INDEX(tEditais[Encerramento],MATCH(tItens[[#This Row],[Edital]],tEditais[Edital],0)),"")</f>
        <v>46308.374305555553</v>
      </c>
      <c r="J817" t="str">
        <f>IFERROR(INDEX(tProdutos[Classe],MATCH(tItens[[#This Row],[Produto]],tProdutos[Produto],0)),"produto não cadastrado")</f>
        <v>NÚCLEO</v>
      </c>
      <c r="K817" s="12">
        <f>tItens[[#This Row],[Qtd]]*tItens[[#This Row],[Vlr unit]]</f>
        <v>1160</v>
      </c>
      <c r="L817" s="6">
        <f>IFERROR(IF(INDEX(tProdutos[Desconto homologado],MATCH(tItens[[#This Row],[Produto]],tProdutos[Produto],0))="",DescontoPadrao,INDEX(tProdutos[Desconto homologado],MATCH(tItens[[#This Row],[Produto]],tProdutos[Produto],0))),DescontoPadrao)</f>
        <v>0.30410958904109597</v>
      </c>
      <c r="M817" s="12">
        <f>tItens[[#This Row],[Valor]]*(1-tItens[[#This Row],[Desconto]])</f>
        <v>807.23287671232868</v>
      </c>
      <c r="N817" t="str">
        <f>IFERROR(INDEX(tProdutos[Foco],MATCH(tItens[[#This Row],[Produto]],tProdutos[Produto],0)),"Não")</f>
        <v>Não</v>
      </c>
      <c r="O817" t="str">
        <f>IFERROR(INDEX(tEditais[SRP],MATCH(tItens[[#This Row],[Edital]],tEditais[Edital],0)),"Não")</f>
        <v>Não</v>
      </c>
      <c r="P817" s="4">
        <f>IF(COUNTIFS(INDEX(tItens[Edital],1):tItens[[#This Row],[Edital]],tItens[[#This Row],[Edital]],INDEX(tItens[Produto],1):tItens[[#This Row],[Produto]],tItens[[#This Row],[Produto]])=1,1,0)</f>
        <v>0</v>
      </c>
    </row>
    <row r="818" spans="1:16" x14ac:dyDescent="0.25">
      <c r="A818" t="s">
        <v>983</v>
      </c>
      <c r="B818">
        <v>378</v>
      </c>
      <c r="C818" t="s">
        <v>3997</v>
      </c>
      <c r="D818" t="s">
        <v>120</v>
      </c>
      <c r="E818" s="13">
        <v>1000</v>
      </c>
      <c r="F818" s="12">
        <v>1.25</v>
      </c>
      <c r="G818" t="str">
        <f>IFERROR(INDEX(tEditais[Órgão],MATCH(tItens[[#This Row],[Edital]],tEditais[Edital],0)),"")</f>
        <v>MUNICIPIO DE MILHA</v>
      </c>
      <c r="H818" t="str">
        <f>IFERROR(INDEX(tEditais[UF],MATCH(tItens[[#This Row],[Edital]],tEditais[Edital],0)),"")</f>
        <v>CE</v>
      </c>
      <c r="I818" s="11">
        <f>IFERROR(INDEX(tEditais[Encerramento],MATCH(tItens[[#This Row],[Edital]],tEditais[Edital],0)),"")</f>
        <v>46308.374305555553</v>
      </c>
      <c r="J818" t="str">
        <f>IFERROR(INDEX(tProdutos[Classe],MATCH(tItens[[#This Row],[Produto]],tProdutos[Produto],0)),"produto não cadastrado")</f>
        <v>DISPUTADO</v>
      </c>
      <c r="K818" s="12">
        <f>tItens[[#This Row],[Qtd]]*tItens[[#This Row],[Vlr unit]]</f>
        <v>1250</v>
      </c>
      <c r="L818" s="6">
        <f>IFERROR(IF(INDEX(tProdutos[Desconto homologado],MATCH(tItens[[#This Row],[Produto]],tProdutos[Produto],0))="",DescontoPadrao,INDEX(tProdutos[Desconto homologado],MATCH(tItens[[#This Row],[Produto]],tProdutos[Produto],0))),DescontoPadrao)</f>
        <v>0.40909090909090901</v>
      </c>
      <c r="M818" s="12">
        <f>tItens[[#This Row],[Valor]]*(1-tItens[[#This Row],[Desconto]])</f>
        <v>738.63636363636385</v>
      </c>
      <c r="N818" t="str">
        <f>IFERROR(INDEX(tProdutos[Foco],MATCH(tItens[[#This Row],[Produto]],tProdutos[Produto],0)),"Não")</f>
        <v>Não</v>
      </c>
      <c r="O818" t="str">
        <f>IFERROR(INDEX(tEditais[SRP],MATCH(tItens[[#This Row],[Edital]],tEditais[Edital],0)),"Não")</f>
        <v>Não</v>
      </c>
      <c r="P818" s="4">
        <f>IF(COUNTIFS(INDEX(tItens[Edital],1):tItens[[#This Row],[Edital]],tItens[[#This Row],[Edital]],INDEX(tItens[Produto],1):tItens[[#This Row],[Produto]],tItens[[#This Row],[Produto]])=1,1,0)</f>
        <v>0</v>
      </c>
    </row>
    <row r="819" spans="1:16" x14ac:dyDescent="0.25">
      <c r="A819" t="s">
        <v>983</v>
      </c>
      <c r="B819">
        <v>379</v>
      </c>
      <c r="C819" t="s">
        <v>3998</v>
      </c>
      <c r="D819" t="s">
        <v>110</v>
      </c>
      <c r="E819" s="13">
        <v>500</v>
      </c>
      <c r="F819" s="12">
        <v>2.56</v>
      </c>
      <c r="G819" t="str">
        <f>IFERROR(INDEX(tEditais[Órgão],MATCH(tItens[[#This Row],[Edital]],tEditais[Edital],0)),"")</f>
        <v>MUNICIPIO DE MILHA</v>
      </c>
      <c r="H819" t="str">
        <f>IFERROR(INDEX(tEditais[UF],MATCH(tItens[[#This Row],[Edital]],tEditais[Edital],0)),"")</f>
        <v>CE</v>
      </c>
      <c r="I819" s="11">
        <f>IFERROR(INDEX(tEditais[Encerramento],MATCH(tItens[[#This Row],[Edital]],tEditais[Edital],0)),"")</f>
        <v>46308.374305555553</v>
      </c>
      <c r="J819" t="str">
        <f>IFERROR(INDEX(tProdutos[Classe],MATCH(tItens[[#This Row],[Produto]],tProdutos[Produto],0)),"produto não cadastrado")</f>
        <v>NÚCLEO</v>
      </c>
      <c r="K819" s="12">
        <f>tItens[[#This Row],[Qtd]]*tItens[[#This Row],[Vlr unit]]</f>
        <v>1280</v>
      </c>
      <c r="L819" s="6">
        <f>IFERROR(IF(INDEX(tProdutos[Desconto homologado],MATCH(tItens[[#This Row],[Produto]],tProdutos[Produto],0))="",DescontoPadrao,INDEX(tProdutos[Desconto homologado],MATCH(tItens[[#This Row],[Produto]],tProdutos[Produto],0))),DescontoPadrao)</f>
        <v>0.30410958904109597</v>
      </c>
      <c r="M819" s="12">
        <f>tItens[[#This Row],[Valor]]*(1-tItens[[#This Row],[Desconto]])</f>
        <v>890.73972602739718</v>
      </c>
      <c r="N819" t="str">
        <f>IFERROR(INDEX(tProdutos[Foco],MATCH(tItens[[#This Row],[Produto]],tProdutos[Produto],0)),"Não")</f>
        <v>Não</v>
      </c>
      <c r="O819" t="str">
        <f>IFERROR(INDEX(tEditais[SRP],MATCH(tItens[[#This Row],[Edital]],tEditais[Edital],0)),"Não")</f>
        <v>Não</v>
      </c>
      <c r="P819" s="4">
        <f>IF(COUNTIFS(INDEX(tItens[Edital],1):tItens[[#This Row],[Edital]],tItens[[#This Row],[Edital]],INDEX(tItens[Produto],1):tItens[[#This Row],[Produto]],tItens[[#This Row],[Produto]])=1,1,0)</f>
        <v>0</v>
      </c>
    </row>
    <row r="820" spans="1:16" x14ac:dyDescent="0.25">
      <c r="A820" t="s">
        <v>983</v>
      </c>
      <c r="B820">
        <v>380</v>
      </c>
      <c r="C820" t="s">
        <v>3999</v>
      </c>
      <c r="D820" t="s">
        <v>110</v>
      </c>
      <c r="E820" s="13">
        <v>500</v>
      </c>
      <c r="F820" s="12">
        <v>3.06</v>
      </c>
      <c r="G820" t="str">
        <f>IFERROR(INDEX(tEditais[Órgão],MATCH(tItens[[#This Row],[Edital]],tEditais[Edital],0)),"")</f>
        <v>MUNICIPIO DE MILHA</v>
      </c>
      <c r="H820" t="str">
        <f>IFERROR(INDEX(tEditais[UF],MATCH(tItens[[#This Row],[Edital]],tEditais[Edital],0)),"")</f>
        <v>CE</v>
      </c>
      <c r="I820" s="11">
        <f>IFERROR(INDEX(tEditais[Encerramento],MATCH(tItens[[#This Row],[Edital]],tEditais[Edital],0)),"")</f>
        <v>46308.374305555553</v>
      </c>
      <c r="J820" t="str">
        <f>IFERROR(INDEX(tProdutos[Classe],MATCH(tItens[[#This Row],[Produto]],tProdutos[Produto],0)),"produto não cadastrado")</f>
        <v>NÚCLEO</v>
      </c>
      <c r="K820" s="12">
        <f>tItens[[#This Row],[Qtd]]*tItens[[#This Row],[Vlr unit]]</f>
        <v>1530</v>
      </c>
      <c r="L820" s="6">
        <f>IFERROR(IF(INDEX(tProdutos[Desconto homologado],MATCH(tItens[[#This Row],[Produto]],tProdutos[Produto],0))="",DescontoPadrao,INDEX(tProdutos[Desconto homologado],MATCH(tItens[[#This Row],[Produto]],tProdutos[Produto],0))),DescontoPadrao)</f>
        <v>0.30410958904109597</v>
      </c>
      <c r="M820" s="12">
        <f>tItens[[#This Row],[Valor]]*(1-tItens[[#This Row],[Desconto]])</f>
        <v>1064.7123287671232</v>
      </c>
      <c r="N820" t="str">
        <f>IFERROR(INDEX(tProdutos[Foco],MATCH(tItens[[#This Row],[Produto]],tProdutos[Produto],0)),"Não")</f>
        <v>Não</v>
      </c>
      <c r="O820" t="str">
        <f>IFERROR(INDEX(tEditais[SRP],MATCH(tItens[[#This Row],[Edital]],tEditais[Edital],0)),"Não")</f>
        <v>Não</v>
      </c>
      <c r="P820" s="4">
        <f>IF(COUNTIFS(INDEX(tItens[Edital],1):tItens[[#This Row],[Edital]],tItens[[#This Row],[Edital]],INDEX(tItens[Produto],1):tItens[[#This Row],[Produto]],tItens[[#This Row],[Produto]])=1,1,0)</f>
        <v>0</v>
      </c>
    </row>
    <row r="821" spans="1:16" x14ac:dyDescent="0.25">
      <c r="A821" t="s">
        <v>983</v>
      </c>
      <c r="B821">
        <v>381</v>
      </c>
      <c r="C821" t="s">
        <v>4000</v>
      </c>
      <c r="D821" t="s">
        <v>120</v>
      </c>
      <c r="E821" s="13">
        <v>1000</v>
      </c>
      <c r="F821" s="12">
        <v>2.41</v>
      </c>
      <c r="G821" t="str">
        <f>IFERROR(INDEX(tEditais[Órgão],MATCH(tItens[[#This Row],[Edital]],tEditais[Edital],0)),"")</f>
        <v>MUNICIPIO DE MILHA</v>
      </c>
      <c r="H821" t="str">
        <f>IFERROR(INDEX(tEditais[UF],MATCH(tItens[[#This Row],[Edital]],tEditais[Edital],0)),"")</f>
        <v>CE</v>
      </c>
      <c r="I821" s="11">
        <f>IFERROR(INDEX(tEditais[Encerramento],MATCH(tItens[[#This Row],[Edital]],tEditais[Edital],0)),"")</f>
        <v>46308.374305555553</v>
      </c>
      <c r="J821" t="str">
        <f>IFERROR(INDEX(tProdutos[Classe],MATCH(tItens[[#This Row],[Produto]],tProdutos[Produto],0)),"produto não cadastrado")</f>
        <v>DISPUTADO</v>
      </c>
      <c r="K821" s="12">
        <f>tItens[[#This Row],[Qtd]]*tItens[[#This Row],[Vlr unit]]</f>
        <v>2410</v>
      </c>
      <c r="L821" s="6">
        <f>IFERROR(IF(INDEX(tProdutos[Desconto homologado],MATCH(tItens[[#This Row],[Produto]],tProdutos[Produto],0))="",DescontoPadrao,INDEX(tProdutos[Desconto homologado],MATCH(tItens[[#This Row],[Produto]],tProdutos[Produto],0))),DescontoPadrao)</f>
        <v>0.40909090909090901</v>
      </c>
      <c r="M821" s="12">
        <f>tItens[[#This Row],[Valor]]*(1-tItens[[#This Row],[Desconto]])</f>
        <v>1424.0909090909095</v>
      </c>
      <c r="N821" t="str">
        <f>IFERROR(INDEX(tProdutos[Foco],MATCH(tItens[[#This Row],[Produto]],tProdutos[Produto],0)),"Não")</f>
        <v>Não</v>
      </c>
      <c r="O821" t="str">
        <f>IFERROR(INDEX(tEditais[SRP],MATCH(tItens[[#This Row],[Edital]],tEditais[Edital],0)),"Não")</f>
        <v>Não</v>
      </c>
      <c r="P821" s="4">
        <f>IF(COUNTIFS(INDEX(tItens[Edital],1):tItens[[#This Row],[Edital]],tItens[[#This Row],[Edital]],INDEX(tItens[Produto],1):tItens[[#This Row],[Produto]],tItens[[#This Row],[Produto]])=1,1,0)</f>
        <v>0</v>
      </c>
    </row>
    <row r="822" spans="1:16" x14ac:dyDescent="0.25">
      <c r="A822" t="s">
        <v>983</v>
      </c>
      <c r="B822">
        <v>382</v>
      </c>
      <c r="C822" t="s">
        <v>4001</v>
      </c>
      <c r="D822" t="s">
        <v>110</v>
      </c>
      <c r="E822" s="13">
        <v>500</v>
      </c>
      <c r="F822" s="12">
        <v>3.01</v>
      </c>
      <c r="G822" t="str">
        <f>IFERROR(INDEX(tEditais[Órgão],MATCH(tItens[[#This Row],[Edital]],tEditais[Edital],0)),"")</f>
        <v>MUNICIPIO DE MILHA</v>
      </c>
      <c r="H822" t="str">
        <f>IFERROR(INDEX(tEditais[UF],MATCH(tItens[[#This Row],[Edital]],tEditais[Edital],0)),"")</f>
        <v>CE</v>
      </c>
      <c r="I822" s="11">
        <f>IFERROR(INDEX(tEditais[Encerramento],MATCH(tItens[[#This Row],[Edital]],tEditais[Edital],0)),"")</f>
        <v>46308.374305555553</v>
      </c>
      <c r="J822" t="str">
        <f>IFERROR(INDEX(tProdutos[Classe],MATCH(tItens[[#This Row],[Produto]],tProdutos[Produto],0)),"produto não cadastrado")</f>
        <v>NÚCLEO</v>
      </c>
      <c r="K822" s="12">
        <f>tItens[[#This Row],[Qtd]]*tItens[[#This Row],[Vlr unit]]</f>
        <v>1505</v>
      </c>
      <c r="L822" s="6">
        <f>IFERROR(IF(INDEX(tProdutos[Desconto homologado],MATCH(tItens[[#This Row],[Produto]],tProdutos[Produto],0))="",DescontoPadrao,INDEX(tProdutos[Desconto homologado],MATCH(tItens[[#This Row],[Produto]],tProdutos[Produto],0))),DescontoPadrao)</f>
        <v>0.30410958904109597</v>
      </c>
      <c r="M822" s="12">
        <f>tItens[[#This Row],[Valor]]*(1-tItens[[#This Row],[Desconto]])</f>
        <v>1047.3150684931506</v>
      </c>
      <c r="N822" t="str">
        <f>IFERROR(INDEX(tProdutos[Foco],MATCH(tItens[[#This Row],[Produto]],tProdutos[Produto],0)),"Não")</f>
        <v>Não</v>
      </c>
      <c r="O822" t="str">
        <f>IFERROR(INDEX(tEditais[SRP],MATCH(tItens[[#This Row],[Edital]],tEditais[Edital],0)),"Não")</f>
        <v>Não</v>
      </c>
      <c r="P822" s="4">
        <f>IF(COUNTIFS(INDEX(tItens[Edital],1):tItens[[#This Row],[Edital]],tItens[[#This Row],[Edital]],INDEX(tItens[Produto],1):tItens[[#This Row],[Produto]],tItens[[#This Row],[Produto]])=1,1,0)</f>
        <v>0</v>
      </c>
    </row>
    <row r="823" spans="1:16" x14ac:dyDescent="0.25">
      <c r="A823" t="s">
        <v>983</v>
      </c>
      <c r="B823">
        <v>383</v>
      </c>
      <c r="C823" t="s">
        <v>4002</v>
      </c>
      <c r="D823" t="s">
        <v>120</v>
      </c>
      <c r="E823" s="13">
        <v>1000</v>
      </c>
      <c r="F823" s="12">
        <v>1.54</v>
      </c>
      <c r="G823" t="str">
        <f>IFERROR(INDEX(tEditais[Órgão],MATCH(tItens[[#This Row],[Edital]],tEditais[Edital],0)),"")</f>
        <v>MUNICIPIO DE MILHA</v>
      </c>
      <c r="H823" t="str">
        <f>IFERROR(INDEX(tEditais[UF],MATCH(tItens[[#This Row],[Edital]],tEditais[Edital],0)),"")</f>
        <v>CE</v>
      </c>
      <c r="I823" s="11">
        <f>IFERROR(INDEX(tEditais[Encerramento],MATCH(tItens[[#This Row],[Edital]],tEditais[Edital],0)),"")</f>
        <v>46308.374305555553</v>
      </c>
      <c r="J823" t="str">
        <f>IFERROR(INDEX(tProdutos[Classe],MATCH(tItens[[#This Row],[Produto]],tProdutos[Produto],0)),"produto não cadastrado")</f>
        <v>DISPUTADO</v>
      </c>
      <c r="K823" s="12">
        <f>tItens[[#This Row],[Qtd]]*tItens[[#This Row],[Vlr unit]]</f>
        <v>1540</v>
      </c>
      <c r="L823" s="6">
        <f>IFERROR(IF(INDEX(tProdutos[Desconto homologado],MATCH(tItens[[#This Row],[Produto]],tProdutos[Produto],0))="",DescontoPadrao,INDEX(tProdutos[Desconto homologado],MATCH(tItens[[#This Row],[Produto]],tProdutos[Produto],0))),DescontoPadrao)</f>
        <v>0.40909090909090901</v>
      </c>
      <c r="M823" s="12">
        <f>tItens[[#This Row],[Valor]]*(1-tItens[[#This Row],[Desconto]])</f>
        <v>910.00000000000023</v>
      </c>
      <c r="N823" t="str">
        <f>IFERROR(INDEX(tProdutos[Foco],MATCH(tItens[[#This Row],[Produto]],tProdutos[Produto],0)),"Não")</f>
        <v>Não</v>
      </c>
      <c r="O823" t="str">
        <f>IFERROR(INDEX(tEditais[SRP],MATCH(tItens[[#This Row],[Edital]],tEditais[Edital],0)),"Não")</f>
        <v>Não</v>
      </c>
      <c r="P823" s="4">
        <f>IF(COUNTIFS(INDEX(tItens[Edital],1):tItens[[#This Row],[Edital]],tItens[[#This Row],[Edital]],INDEX(tItens[Produto],1):tItens[[#This Row],[Produto]],tItens[[#This Row],[Produto]])=1,1,0)</f>
        <v>0</v>
      </c>
    </row>
    <row r="824" spans="1:16" x14ac:dyDescent="0.25">
      <c r="A824" t="s">
        <v>983</v>
      </c>
      <c r="B824">
        <v>384</v>
      </c>
      <c r="C824" t="s">
        <v>4003</v>
      </c>
      <c r="D824" t="s">
        <v>110</v>
      </c>
      <c r="E824" s="13">
        <v>500</v>
      </c>
      <c r="F824" s="12">
        <v>2.94</v>
      </c>
      <c r="G824" t="str">
        <f>IFERROR(INDEX(tEditais[Órgão],MATCH(tItens[[#This Row],[Edital]],tEditais[Edital],0)),"")</f>
        <v>MUNICIPIO DE MILHA</v>
      </c>
      <c r="H824" t="str">
        <f>IFERROR(INDEX(tEditais[UF],MATCH(tItens[[#This Row],[Edital]],tEditais[Edital],0)),"")</f>
        <v>CE</v>
      </c>
      <c r="I824" s="11">
        <f>IFERROR(INDEX(tEditais[Encerramento],MATCH(tItens[[#This Row],[Edital]],tEditais[Edital],0)),"")</f>
        <v>46308.374305555553</v>
      </c>
      <c r="J824" t="str">
        <f>IFERROR(INDEX(tProdutos[Classe],MATCH(tItens[[#This Row],[Produto]],tProdutos[Produto],0)),"produto não cadastrado")</f>
        <v>NÚCLEO</v>
      </c>
      <c r="K824" s="12">
        <f>tItens[[#This Row],[Qtd]]*tItens[[#This Row],[Vlr unit]]</f>
        <v>1470</v>
      </c>
      <c r="L824" s="6">
        <f>IFERROR(IF(INDEX(tProdutos[Desconto homologado],MATCH(tItens[[#This Row],[Produto]],tProdutos[Produto],0))="",DescontoPadrao,INDEX(tProdutos[Desconto homologado],MATCH(tItens[[#This Row],[Produto]],tProdutos[Produto],0))),DescontoPadrao)</f>
        <v>0.30410958904109597</v>
      </c>
      <c r="M824" s="12">
        <f>tItens[[#This Row],[Valor]]*(1-tItens[[#This Row],[Desconto]])</f>
        <v>1022.958904109589</v>
      </c>
      <c r="N824" t="str">
        <f>IFERROR(INDEX(tProdutos[Foco],MATCH(tItens[[#This Row],[Produto]],tProdutos[Produto],0)),"Não")</f>
        <v>Não</v>
      </c>
      <c r="O824" t="str">
        <f>IFERROR(INDEX(tEditais[SRP],MATCH(tItens[[#This Row],[Edital]],tEditais[Edital],0)),"Não")</f>
        <v>Não</v>
      </c>
      <c r="P824" s="4">
        <f>IF(COUNTIFS(INDEX(tItens[Edital],1):tItens[[#This Row],[Edital]],tItens[[#This Row],[Edital]],INDEX(tItens[Produto],1):tItens[[#This Row],[Produto]],tItens[[#This Row],[Produto]])=1,1,0)</f>
        <v>0</v>
      </c>
    </row>
    <row r="825" spans="1:16" x14ac:dyDescent="0.25">
      <c r="A825" t="s">
        <v>983</v>
      </c>
      <c r="B825">
        <v>385</v>
      </c>
      <c r="C825" t="s">
        <v>4004</v>
      </c>
      <c r="D825" t="s">
        <v>120</v>
      </c>
      <c r="E825" s="13">
        <v>1000</v>
      </c>
      <c r="F825" s="12">
        <v>1.66</v>
      </c>
      <c r="G825" t="str">
        <f>IFERROR(INDEX(tEditais[Órgão],MATCH(tItens[[#This Row],[Edital]],tEditais[Edital],0)),"")</f>
        <v>MUNICIPIO DE MILHA</v>
      </c>
      <c r="H825" t="str">
        <f>IFERROR(INDEX(tEditais[UF],MATCH(tItens[[#This Row],[Edital]],tEditais[Edital],0)),"")</f>
        <v>CE</v>
      </c>
      <c r="I825" s="11">
        <f>IFERROR(INDEX(tEditais[Encerramento],MATCH(tItens[[#This Row],[Edital]],tEditais[Edital],0)),"")</f>
        <v>46308.374305555553</v>
      </c>
      <c r="J825" t="str">
        <f>IFERROR(INDEX(tProdutos[Classe],MATCH(tItens[[#This Row],[Produto]],tProdutos[Produto],0)),"produto não cadastrado")</f>
        <v>DISPUTADO</v>
      </c>
      <c r="K825" s="12">
        <f>tItens[[#This Row],[Qtd]]*tItens[[#This Row],[Vlr unit]]</f>
        <v>1660</v>
      </c>
      <c r="L825" s="6">
        <f>IFERROR(IF(INDEX(tProdutos[Desconto homologado],MATCH(tItens[[#This Row],[Produto]],tProdutos[Produto],0))="",DescontoPadrao,INDEX(tProdutos[Desconto homologado],MATCH(tItens[[#This Row],[Produto]],tProdutos[Produto],0))),DescontoPadrao)</f>
        <v>0.40909090909090901</v>
      </c>
      <c r="M825" s="12">
        <f>tItens[[#This Row],[Valor]]*(1-tItens[[#This Row],[Desconto]])</f>
        <v>980.90909090909111</v>
      </c>
      <c r="N825" t="str">
        <f>IFERROR(INDEX(tProdutos[Foco],MATCH(tItens[[#This Row],[Produto]],tProdutos[Produto],0)),"Não")</f>
        <v>Não</v>
      </c>
      <c r="O825" t="str">
        <f>IFERROR(INDEX(tEditais[SRP],MATCH(tItens[[#This Row],[Edital]],tEditais[Edital],0)),"Não")</f>
        <v>Não</v>
      </c>
      <c r="P825" s="4">
        <f>IF(COUNTIFS(INDEX(tItens[Edital],1):tItens[[#This Row],[Edital]],tItens[[#This Row],[Edital]],INDEX(tItens[Produto],1):tItens[[#This Row],[Produto]],tItens[[#This Row],[Produto]])=1,1,0)</f>
        <v>0</v>
      </c>
    </row>
    <row r="826" spans="1:16" x14ac:dyDescent="0.25">
      <c r="A826" t="s">
        <v>983</v>
      </c>
      <c r="B826">
        <v>386</v>
      </c>
      <c r="C826" t="s">
        <v>4005</v>
      </c>
      <c r="D826" t="s">
        <v>110</v>
      </c>
      <c r="E826" s="13">
        <v>500</v>
      </c>
      <c r="F826" s="12">
        <v>2.54</v>
      </c>
      <c r="G826" t="str">
        <f>IFERROR(INDEX(tEditais[Órgão],MATCH(tItens[[#This Row],[Edital]],tEditais[Edital],0)),"")</f>
        <v>MUNICIPIO DE MILHA</v>
      </c>
      <c r="H826" t="str">
        <f>IFERROR(INDEX(tEditais[UF],MATCH(tItens[[#This Row],[Edital]],tEditais[Edital],0)),"")</f>
        <v>CE</v>
      </c>
      <c r="I826" s="11">
        <f>IFERROR(INDEX(tEditais[Encerramento],MATCH(tItens[[#This Row],[Edital]],tEditais[Edital],0)),"")</f>
        <v>46308.374305555553</v>
      </c>
      <c r="J826" t="str">
        <f>IFERROR(INDEX(tProdutos[Classe],MATCH(tItens[[#This Row],[Produto]],tProdutos[Produto],0)),"produto não cadastrado")</f>
        <v>NÚCLEO</v>
      </c>
      <c r="K826" s="12">
        <f>tItens[[#This Row],[Qtd]]*tItens[[#This Row],[Vlr unit]]</f>
        <v>1270</v>
      </c>
      <c r="L826" s="6">
        <f>IFERROR(IF(INDEX(tProdutos[Desconto homologado],MATCH(tItens[[#This Row],[Produto]],tProdutos[Produto],0))="",DescontoPadrao,INDEX(tProdutos[Desconto homologado],MATCH(tItens[[#This Row],[Produto]],tProdutos[Produto],0))),DescontoPadrao)</f>
        <v>0.30410958904109597</v>
      </c>
      <c r="M826" s="12">
        <f>tItens[[#This Row],[Valor]]*(1-tItens[[#This Row],[Desconto]])</f>
        <v>883.78082191780811</v>
      </c>
      <c r="N826" t="str">
        <f>IFERROR(INDEX(tProdutos[Foco],MATCH(tItens[[#This Row],[Produto]],tProdutos[Produto],0)),"Não")</f>
        <v>Não</v>
      </c>
      <c r="O826" t="str">
        <f>IFERROR(INDEX(tEditais[SRP],MATCH(tItens[[#This Row],[Edital]],tEditais[Edital],0)),"Não")</f>
        <v>Não</v>
      </c>
      <c r="P826" s="4">
        <f>IF(COUNTIFS(INDEX(tItens[Edital],1):tItens[[#This Row],[Edital]],tItens[[#This Row],[Edital]],INDEX(tItens[Produto],1):tItens[[#This Row],[Produto]],tItens[[#This Row],[Produto]])=1,1,0)</f>
        <v>0</v>
      </c>
    </row>
    <row r="827" spans="1:16" x14ac:dyDescent="0.25">
      <c r="A827" t="s">
        <v>983</v>
      </c>
      <c r="B827">
        <v>387</v>
      </c>
      <c r="C827" t="s">
        <v>4006</v>
      </c>
      <c r="D827" t="s">
        <v>120</v>
      </c>
      <c r="E827" s="13">
        <v>2000</v>
      </c>
      <c r="F827" s="12">
        <v>1.61</v>
      </c>
      <c r="G827" t="str">
        <f>IFERROR(INDEX(tEditais[Órgão],MATCH(tItens[[#This Row],[Edital]],tEditais[Edital],0)),"")</f>
        <v>MUNICIPIO DE MILHA</v>
      </c>
      <c r="H827" t="str">
        <f>IFERROR(INDEX(tEditais[UF],MATCH(tItens[[#This Row],[Edital]],tEditais[Edital],0)),"")</f>
        <v>CE</v>
      </c>
      <c r="I827" s="11">
        <f>IFERROR(INDEX(tEditais[Encerramento],MATCH(tItens[[#This Row],[Edital]],tEditais[Edital],0)),"")</f>
        <v>46308.374305555553</v>
      </c>
      <c r="J827" t="str">
        <f>IFERROR(INDEX(tProdutos[Classe],MATCH(tItens[[#This Row],[Produto]],tProdutos[Produto],0)),"produto não cadastrado")</f>
        <v>DISPUTADO</v>
      </c>
      <c r="K827" s="12">
        <f>tItens[[#This Row],[Qtd]]*tItens[[#This Row],[Vlr unit]]</f>
        <v>3220</v>
      </c>
      <c r="L827" s="6">
        <f>IFERROR(IF(INDEX(tProdutos[Desconto homologado],MATCH(tItens[[#This Row],[Produto]],tProdutos[Produto],0))="",DescontoPadrao,INDEX(tProdutos[Desconto homologado],MATCH(tItens[[#This Row],[Produto]],tProdutos[Produto],0))),DescontoPadrao)</f>
        <v>0.40909090909090901</v>
      </c>
      <c r="M827" s="12">
        <f>tItens[[#This Row],[Valor]]*(1-tItens[[#This Row],[Desconto]])</f>
        <v>1902.7272727272732</v>
      </c>
      <c r="N827" t="str">
        <f>IFERROR(INDEX(tProdutos[Foco],MATCH(tItens[[#This Row],[Produto]],tProdutos[Produto],0)),"Não")</f>
        <v>Não</v>
      </c>
      <c r="O827" t="str">
        <f>IFERROR(INDEX(tEditais[SRP],MATCH(tItens[[#This Row],[Edital]],tEditais[Edital],0)),"Não")</f>
        <v>Não</v>
      </c>
      <c r="P827" s="4">
        <f>IF(COUNTIFS(INDEX(tItens[Edital],1):tItens[[#This Row],[Edital]],tItens[[#This Row],[Edital]],INDEX(tItens[Produto],1):tItens[[#This Row],[Produto]],tItens[[#This Row],[Produto]])=1,1,0)</f>
        <v>0</v>
      </c>
    </row>
    <row r="828" spans="1:16" x14ac:dyDescent="0.25">
      <c r="A828" t="s">
        <v>983</v>
      </c>
      <c r="B828">
        <v>388</v>
      </c>
      <c r="C828" t="s">
        <v>4007</v>
      </c>
      <c r="D828" t="s">
        <v>120</v>
      </c>
      <c r="E828" s="13">
        <v>1000</v>
      </c>
      <c r="F828" s="12">
        <v>1.26</v>
      </c>
      <c r="G828" t="str">
        <f>IFERROR(INDEX(tEditais[Órgão],MATCH(tItens[[#This Row],[Edital]],tEditais[Edital],0)),"")</f>
        <v>MUNICIPIO DE MILHA</v>
      </c>
      <c r="H828" t="str">
        <f>IFERROR(INDEX(tEditais[UF],MATCH(tItens[[#This Row],[Edital]],tEditais[Edital],0)),"")</f>
        <v>CE</v>
      </c>
      <c r="I828" s="11">
        <f>IFERROR(INDEX(tEditais[Encerramento],MATCH(tItens[[#This Row],[Edital]],tEditais[Edital],0)),"")</f>
        <v>46308.374305555553</v>
      </c>
      <c r="J828" t="str">
        <f>IFERROR(INDEX(tProdutos[Classe],MATCH(tItens[[#This Row],[Produto]],tProdutos[Produto],0)),"produto não cadastrado")</f>
        <v>DISPUTADO</v>
      </c>
      <c r="K828" s="12">
        <f>tItens[[#This Row],[Qtd]]*tItens[[#This Row],[Vlr unit]]</f>
        <v>1260</v>
      </c>
      <c r="L828" s="6">
        <f>IFERROR(IF(INDEX(tProdutos[Desconto homologado],MATCH(tItens[[#This Row],[Produto]],tProdutos[Produto],0))="",DescontoPadrao,INDEX(tProdutos[Desconto homologado],MATCH(tItens[[#This Row],[Produto]],tProdutos[Produto],0))),DescontoPadrao)</f>
        <v>0.40909090909090901</v>
      </c>
      <c r="M828" s="12">
        <f>tItens[[#This Row],[Valor]]*(1-tItens[[#This Row],[Desconto]])</f>
        <v>744.54545454545473</v>
      </c>
      <c r="N828" t="str">
        <f>IFERROR(INDEX(tProdutos[Foco],MATCH(tItens[[#This Row],[Produto]],tProdutos[Produto],0)),"Não")</f>
        <v>Não</v>
      </c>
      <c r="O828" t="str">
        <f>IFERROR(INDEX(tEditais[SRP],MATCH(tItens[[#This Row],[Edital]],tEditais[Edital],0)),"Não")</f>
        <v>Não</v>
      </c>
      <c r="P828" s="4">
        <f>IF(COUNTIFS(INDEX(tItens[Edital],1):tItens[[#This Row],[Edital]],tItens[[#This Row],[Edital]],INDEX(tItens[Produto],1):tItens[[#This Row],[Produto]],tItens[[#This Row],[Produto]])=1,1,0)</f>
        <v>0</v>
      </c>
    </row>
    <row r="829" spans="1:16" x14ac:dyDescent="0.25">
      <c r="A829" t="s">
        <v>987</v>
      </c>
      <c r="B829">
        <v>129</v>
      </c>
      <c r="C829" t="s">
        <v>4008</v>
      </c>
      <c r="D829" t="s">
        <v>317</v>
      </c>
      <c r="E829" s="13">
        <v>15000</v>
      </c>
      <c r="F829" s="12">
        <v>0.41</v>
      </c>
      <c r="G829" t="str">
        <f>IFERROR(INDEX(tEditais[Órgão],MATCH(tItens[[#This Row],[Edital]],tEditais[Edital],0)),"")</f>
        <v>MUNICIPIO DE PACATUBA</v>
      </c>
      <c r="H829" t="str">
        <f>IFERROR(INDEX(tEditais[UF],MATCH(tItens[[#This Row],[Edital]],tEditais[Edital],0)),"")</f>
        <v>CE</v>
      </c>
      <c r="I829" s="11">
        <f>IFERROR(INDEX(tEditais[Encerramento],MATCH(tItens[[#This Row],[Edital]],tEditais[Edital],0)),"")</f>
        <v>46308.374305555553</v>
      </c>
      <c r="J829" t="str">
        <f>IFERROR(INDEX(tProdutos[Classe],MATCH(tItens[[#This Row],[Produto]],tProdutos[Produto],0)),"produto não cadastrado")</f>
        <v>FORA</v>
      </c>
      <c r="K829" s="12">
        <f>tItens[[#This Row],[Qtd]]*tItens[[#This Row],[Vlr unit]]</f>
        <v>6150</v>
      </c>
      <c r="L829" s="6">
        <f>IFERROR(IF(INDEX(tProdutos[Desconto homologado],MATCH(tItens[[#This Row],[Produto]],tProdutos[Produto],0))="",DescontoPadrao,INDEX(tProdutos[Desconto homologado],MATCH(tItens[[#This Row],[Produto]],tProdutos[Produto],0))),DescontoPadrao)</f>
        <v>0.5</v>
      </c>
      <c r="M829" s="12">
        <f>tItens[[#This Row],[Valor]]*(1-tItens[[#This Row],[Desconto]])</f>
        <v>3075</v>
      </c>
      <c r="N829" t="str">
        <f>IFERROR(INDEX(tProdutos[Foco],MATCH(tItens[[#This Row],[Produto]],tProdutos[Produto],0)),"Não")</f>
        <v>Não</v>
      </c>
      <c r="O829" t="str">
        <f>IFERROR(INDEX(tEditais[SRP],MATCH(tItens[[#This Row],[Edital]],tEditais[Edital],0)),"Não")</f>
        <v>Sim</v>
      </c>
      <c r="P829" s="4">
        <f>IF(COUNTIFS(INDEX(tItens[Edital],1):tItens[[#This Row],[Edital]],tItens[[#This Row],[Edital]],INDEX(tItens[Produto],1):tItens[[#This Row],[Produto]],tItens[[#This Row],[Produto]])=1,1,0)</f>
        <v>1</v>
      </c>
    </row>
    <row r="830" spans="1:16" x14ac:dyDescent="0.25">
      <c r="A830" t="s">
        <v>987</v>
      </c>
      <c r="B830">
        <v>130</v>
      </c>
      <c r="C830" t="s">
        <v>4009</v>
      </c>
      <c r="D830" t="s">
        <v>277</v>
      </c>
      <c r="E830" s="13">
        <v>75750</v>
      </c>
      <c r="F830" s="12">
        <v>0.19</v>
      </c>
      <c r="G830" t="str">
        <f>IFERROR(INDEX(tEditais[Órgão],MATCH(tItens[[#This Row],[Edital]],tEditais[Edital],0)),"")</f>
        <v>MUNICIPIO DE PACATUBA</v>
      </c>
      <c r="H830" t="str">
        <f>IFERROR(INDEX(tEditais[UF],MATCH(tItens[[#This Row],[Edital]],tEditais[Edital],0)),"")</f>
        <v>CE</v>
      </c>
      <c r="I830" s="11">
        <f>IFERROR(INDEX(tEditais[Encerramento],MATCH(tItens[[#This Row],[Edital]],tEditais[Edital],0)),"")</f>
        <v>46308.374305555553</v>
      </c>
      <c r="J830" t="str">
        <f>IFERROR(INDEX(tProdutos[Classe],MATCH(tItens[[#This Row],[Produto]],tProdutos[Produto],0)),"produto não cadastrado")</f>
        <v>DISPUTADO</v>
      </c>
      <c r="K830" s="12">
        <f>tItens[[#This Row],[Qtd]]*tItens[[#This Row],[Vlr unit]]</f>
        <v>14392.5</v>
      </c>
      <c r="L830" s="6">
        <f>IFERROR(IF(INDEX(tProdutos[Desconto homologado],MATCH(tItens[[#This Row],[Produto]],tProdutos[Produto],0))="",DescontoPadrao,INDEX(tProdutos[Desconto homologado],MATCH(tItens[[#This Row],[Produto]],tProdutos[Produto],0))),DescontoPadrao)</f>
        <v>0.50460666194188497</v>
      </c>
      <c r="M830" s="12">
        <f>tItens[[#This Row],[Valor]]*(1-tItens[[#This Row],[Desconto]])</f>
        <v>7129.948618001421</v>
      </c>
      <c r="N830" t="str">
        <f>IFERROR(INDEX(tProdutos[Foco],MATCH(tItens[[#This Row],[Produto]],tProdutos[Produto],0)),"Não")</f>
        <v>Não</v>
      </c>
      <c r="O830" t="str">
        <f>IFERROR(INDEX(tEditais[SRP],MATCH(tItens[[#This Row],[Edital]],tEditais[Edital],0)),"Não")</f>
        <v>Sim</v>
      </c>
      <c r="P830" s="4">
        <f>IF(COUNTIFS(INDEX(tItens[Edital],1):tItens[[#This Row],[Edital]],tItens[[#This Row],[Edital]],INDEX(tItens[Produto],1):tItens[[#This Row],[Produto]],tItens[[#This Row],[Produto]])=1,1,0)</f>
        <v>1</v>
      </c>
    </row>
    <row r="831" spans="1:16" x14ac:dyDescent="0.25">
      <c r="A831" t="s">
        <v>987</v>
      </c>
      <c r="B831">
        <v>132</v>
      </c>
      <c r="C831" t="s">
        <v>4008</v>
      </c>
      <c r="D831" t="s">
        <v>317</v>
      </c>
      <c r="E831" s="13">
        <v>5000</v>
      </c>
      <c r="F831" s="12">
        <v>0.41</v>
      </c>
      <c r="G831" t="str">
        <f>IFERROR(INDEX(tEditais[Órgão],MATCH(tItens[[#This Row],[Edital]],tEditais[Edital],0)),"")</f>
        <v>MUNICIPIO DE PACATUBA</v>
      </c>
      <c r="H831" t="str">
        <f>IFERROR(INDEX(tEditais[UF],MATCH(tItens[[#This Row],[Edital]],tEditais[Edital],0)),"")</f>
        <v>CE</v>
      </c>
      <c r="I831" s="11">
        <f>IFERROR(INDEX(tEditais[Encerramento],MATCH(tItens[[#This Row],[Edital]],tEditais[Edital],0)),"")</f>
        <v>46308.374305555553</v>
      </c>
      <c r="J831" t="str">
        <f>IFERROR(INDEX(tProdutos[Classe],MATCH(tItens[[#This Row],[Produto]],tProdutos[Produto],0)),"produto não cadastrado")</f>
        <v>FORA</v>
      </c>
      <c r="K831" s="12">
        <f>tItens[[#This Row],[Qtd]]*tItens[[#This Row],[Vlr unit]]</f>
        <v>2050</v>
      </c>
      <c r="L831" s="6">
        <f>IFERROR(IF(INDEX(tProdutos[Desconto homologado],MATCH(tItens[[#This Row],[Produto]],tProdutos[Produto],0))="",DescontoPadrao,INDEX(tProdutos[Desconto homologado],MATCH(tItens[[#This Row],[Produto]],tProdutos[Produto],0))),DescontoPadrao)</f>
        <v>0.5</v>
      </c>
      <c r="M831" s="12">
        <f>tItens[[#This Row],[Valor]]*(1-tItens[[#This Row],[Desconto]])</f>
        <v>1025</v>
      </c>
      <c r="N831" t="str">
        <f>IFERROR(INDEX(tProdutos[Foco],MATCH(tItens[[#This Row],[Produto]],tProdutos[Produto],0)),"Não")</f>
        <v>Não</v>
      </c>
      <c r="O831" t="str">
        <f>IFERROR(INDEX(tEditais[SRP],MATCH(tItens[[#This Row],[Edital]],tEditais[Edital],0)),"Não")</f>
        <v>Sim</v>
      </c>
      <c r="P831" s="4">
        <f>IF(COUNTIFS(INDEX(tItens[Edital],1):tItens[[#This Row],[Edital]],tItens[[#This Row],[Edital]],INDEX(tItens[Produto],1):tItens[[#This Row],[Produto]],tItens[[#This Row],[Produto]])=1,1,0)</f>
        <v>0</v>
      </c>
    </row>
    <row r="832" spans="1:16" x14ac:dyDescent="0.25">
      <c r="A832" t="s">
        <v>987</v>
      </c>
      <c r="B832">
        <v>133</v>
      </c>
      <c r="C832" t="s">
        <v>4009</v>
      </c>
      <c r="D832" t="s">
        <v>277</v>
      </c>
      <c r="E832" s="13">
        <v>25250</v>
      </c>
      <c r="F832" s="12">
        <v>0.19</v>
      </c>
      <c r="G832" t="str">
        <f>IFERROR(INDEX(tEditais[Órgão],MATCH(tItens[[#This Row],[Edital]],tEditais[Edital],0)),"")</f>
        <v>MUNICIPIO DE PACATUBA</v>
      </c>
      <c r="H832" t="str">
        <f>IFERROR(INDEX(tEditais[UF],MATCH(tItens[[#This Row],[Edital]],tEditais[Edital],0)),"")</f>
        <v>CE</v>
      </c>
      <c r="I832" s="11">
        <f>IFERROR(INDEX(tEditais[Encerramento],MATCH(tItens[[#This Row],[Edital]],tEditais[Edital],0)),"")</f>
        <v>46308.374305555553</v>
      </c>
      <c r="J832" t="str">
        <f>IFERROR(INDEX(tProdutos[Classe],MATCH(tItens[[#This Row],[Produto]],tProdutos[Produto],0)),"produto não cadastrado")</f>
        <v>DISPUTADO</v>
      </c>
      <c r="K832" s="12">
        <f>tItens[[#This Row],[Qtd]]*tItens[[#This Row],[Vlr unit]]</f>
        <v>4797.5</v>
      </c>
      <c r="L832" s="6">
        <f>IFERROR(IF(INDEX(tProdutos[Desconto homologado],MATCH(tItens[[#This Row],[Produto]],tProdutos[Produto],0))="",DescontoPadrao,INDEX(tProdutos[Desconto homologado],MATCH(tItens[[#This Row],[Produto]],tProdutos[Produto],0))),DescontoPadrao)</f>
        <v>0.50460666194188497</v>
      </c>
      <c r="M832" s="12">
        <f>tItens[[#This Row],[Valor]]*(1-tItens[[#This Row],[Desconto]])</f>
        <v>2376.6495393338068</v>
      </c>
      <c r="N832" t="str">
        <f>IFERROR(INDEX(tProdutos[Foco],MATCH(tItens[[#This Row],[Produto]],tProdutos[Produto],0)),"Não")</f>
        <v>Não</v>
      </c>
      <c r="O832" t="str">
        <f>IFERROR(INDEX(tEditais[SRP],MATCH(tItens[[#This Row],[Edital]],tEditais[Edital],0)),"Não")</f>
        <v>Sim</v>
      </c>
      <c r="P832" s="4">
        <f>IF(COUNTIFS(INDEX(tItens[Edital],1):tItens[[#This Row],[Edital]],tItens[[#This Row],[Edital]],INDEX(tItens[Produto],1):tItens[[#This Row],[Produto]],tItens[[#This Row],[Produto]])=1,1,0)</f>
        <v>0</v>
      </c>
    </row>
    <row r="833" spans="1:16" x14ac:dyDescent="0.25">
      <c r="A833" t="s">
        <v>992</v>
      </c>
      <c r="B833">
        <v>43610</v>
      </c>
      <c r="C833" t="s">
        <v>4010</v>
      </c>
      <c r="D833" t="s">
        <v>281</v>
      </c>
      <c r="E833" s="13">
        <v>116750</v>
      </c>
      <c r="F833" s="12">
        <v>0</v>
      </c>
      <c r="G833" t="str">
        <f>IFERROR(INDEX(tEditais[Órgão],MATCH(tItens[[#This Row],[Edital]],tEditais[Edital],0)),"")</f>
        <v>MUNICIPIO DE FORTALEZA</v>
      </c>
      <c r="H833" t="str">
        <f>IFERROR(INDEX(tEditais[UF],MATCH(tItens[[#This Row],[Edital]],tEditais[Edital],0)),"")</f>
        <v>CE</v>
      </c>
      <c r="I833" s="11">
        <f>IFERROR(INDEX(tEditais[Encerramento],MATCH(tItens[[#This Row],[Edital]],tEditais[Edital],0)),"")</f>
        <v>46308.375</v>
      </c>
      <c r="J833" t="str">
        <f>IFERROR(INDEX(tProdutos[Classe],MATCH(tItens[[#This Row],[Produto]],tProdutos[Produto],0)),"produto não cadastrado")</f>
        <v>DISPUTADO</v>
      </c>
      <c r="K833" s="12">
        <f>tItens[[#This Row],[Qtd]]*tItens[[#This Row],[Vlr unit]]</f>
        <v>0</v>
      </c>
      <c r="L833" s="6">
        <f>IFERROR(IF(INDEX(tProdutos[Desconto homologado],MATCH(tItens[[#This Row],[Produto]],tProdutos[Produto],0))="",DescontoPadrao,INDEX(tProdutos[Desconto homologado],MATCH(tItens[[#This Row],[Produto]],tProdutos[Produto],0))),DescontoPadrao)</f>
        <v>0.42461538461538501</v>
      </c>
      <c r="M833" s="12">
        <f>tItens[[#This Row],[Valor]]*(1-tItens[[#This Row],[Desconto]])</f>
        <v>0</v>
      </c>
      <c r="N833" t="str">
        <f>IFERROR(INDEX(tProdutos[Foco],MATCH(tItens[[#This Row],[Produto]],tProdutos[Produto],0)),"Não")</f>
        <v>Não</v>
      </c>
      <c r="O833" t="str">
        <f>IFERROR(INDEX(tEditais[SRP],MATCH(tItens[[#This Row],[Edital]],tEditais[Edital],0)),"Não")</f>
        <v>Não</v>
      </c>
      <c r="P833" s="4">
        <f>IF(COUNTIFS(INDEX(tItens[Edital],1):tItens[[#This Row],[Edital]],tItens[[#This Row],[Edital]],INDEX(tItens[Produto],1):tItens[[#This Row],[Produto]],tItens[[#This Row],[Produto]])=1,1,0)</f>
        <v>1</v>
      </c>
    </row>
    <row r="834" spans="1:16" x14ac:dyDescent="0.25">
      <c r="A834" t="s">
        <v>992</v>
      </c>
      <c r="B834">
        <v>43611</v>
      </c>
      <c r="C834" t="s">
        <v>4010</v>
      </c>
      <c r="D834" t="s">
        <v>281</v>
      </c>
      <c r="E834" s="13">
        <v>350250</v>
      </c>
      <c r="F834" s="12">
        <v>0</v>
      </c>
      <c r="G834" t="str">
        <f>IFERROR(INDEX(tEditais[Órgão],MATCH(tItens[[#This Row],[Edital]],tEditais[Edital],0)),"")</f>
        <v>MUNICIPIO DE FORTALEZA</v>
      </c>
      <c r="H834" t="str">
        <f>IFERROR(INDEX(tEditais[UF],MATCH(tItens[[#This Row],[Edital]],tEditais[Edital],0)),"")</f>
        <v>CE</v>
      </c>
      <c r="I834" s="11">
        <f>IFERROR(INDEX(tEditais[Encerramento],MATCH(tItens[[#This Row],[Edital]],tEditais[Edital],0)),"")</f>
        <v>46308.375</v>
      </c>
      <c r="J834" t="str">
        <f>IFERROR(INDEX(tProdutos[Classe],MATCH(tItens[[#This Row],[Produto]],tProdutos[Produto],0)),"produto não cadastrado")</f>
        <v>DISPUTADO</v>
      </c>
      <c r="K834" s="12">
        <f>tItens[[#This Row],[Qtd]]*tItens[[#This Row],[Vlr unit]]</f>
        <v>0</v>
      </c>
      <c r="L834" s="6">
        <f>IFERROR(IF(INDEX(tProdutos[Desconto homologado],MATCH(tItens[[#This Row],[Produto]],tProdutos[Produto],0))="",DescontoPadrao,INDEX(tProdutos[Desconto homologado],MATCH(tItens[[#This Row],[Produto]],tProdutos[Produto],0))),DescontoPadrao)</f>
        <v>0.42461538461538501</v>
      </c>
      <c r="M834" s="12">
        <f>tItens[[#This Row],[Valor]]*(1-tItens[[#This Row],[Desconto]])</f>
        <v>0</v>
      </c>
      <c r="N834" t="str">
        <f>IFERROR(INDEX(tProdutos[Foco],MATCH(tItens[[#This Row],[Produto]],tProdutos[Produto],0)),"Não")</f>
        <v>Não</v>
      </c>
      <c r="O834" t="str">
        <f>IFERROR(INDEX(tEditais[SRP],MATCH(tItens[[#This Row],[Edital]],tEditais[Edital],0)),"Não")</f>
        <v>Não</v>
      </c>
      <c r="P834" s="4">
        <f>IF(COUNTIFS(INDEX(tItens[Edital],1):tItens[[#This Row],[Edital]],tItens[[#This Row],[Edital]],INDEX(tItens[Produto],1):tItens[[#This Row],[Produto]],tItens[[#This Row],[Produto]])=1,1,0)</f>
        <v>0</v>
      </c>
    </row>
    <row r="835" spans="1:16" x14ac:dyDescent="0.25">
      <c r="A835" t="s">
        <v>992</v>
      </c>
      <c r="B835">
        <v>43612</v>
      </c>
      <c r="C835" t="s">
        <v>4011</v>
      </c>
      <c r="D835" t="s">
        <v>281</v>
      </c>
      <c r="E835" s="13">
        <v>92875</v>
      </c>
      <c r="F835" s="12">
        <v>0</v>
      </c>
      <c r="G835" t="str">
        <f>IFERROR(INDEX(tEditais[Órgão],MATCH(tItens[[#This Row],[Edital]],tEditais[Edital],0)),"")</f>
        <v>MUNICIPIO DE FORTALEZA</v>
      </c>
      <c r="H835" t="str">
        <f>IFERROR(INDEX(tEditais[UF],MATCH(tItens[[#This Row],[Edital]],tEditais[Edital],0)),"")</f>
        <v>CE</v>
      </c>
      <c r="I835" s="11">
        <f>IFERROR(INDEX(tEditais[Encerramento],MATCH(tItens[[#This Row],[Edital]],tEditais[Edital],0)),"")</f>
        <v>46308.375</v>
      </c>
      <c r="J835" t="str">
        <f>IFERROR(INDEX(tProdutos[Classe],MATCH(tItens[[#This Row],[Produto]],tProdutos[Produto],0)),"produto não cadastrado")</f>
        <v>DISPUTADO</v>
      </c>
      <c r="K835" s="12">
        <f>tItens[[#This Row],[Qtd]]*tItens[[#This Row],[Vlr unit]]</f>
        <v>0</v>
      </c>
      <c r="L835" s="6">
        <f>IFERROR(IF(INDEX(tProdutos[Desconto homologado],MATCH(tItens[[#This Row],[Produto]],tProdutos[Produto],0))="",DescontoPadrao,INDEX(tProdutos[Desconto homologado],MATCH(tItens[[#This Row],[Produto]],tProdutos[Produto],0))),DescontoPadrao)</f>
        <v>0.42461538461538501</v>
      </c>
      <c r="M835" s="12">
        <f>tItens[[#This Row],[Valor]]*(1-tItens[[#This Row],[Desconto]])</f>
        <v>0</v>
      </c>
      <c r="N835" t="str">
        <f>IFERROR(INDEX(tProdutos[Foco],MATCH(tItens[[#This Row],[Produto]],tProdutos[Produto],0)),"Não")</f>
        <v>Não</v>
      </c>
      <c r="O835" t="str">
        <f>IFERROR(INDEX(tEditais[SRP],MATCH(tItens[[#This Row],[Edital]],tEditais[Edital],0)),"Não")</f>
        <v>Não</v>
      </c>
      <c r="P835" s="4">
        <f>IF(COUNTIFS(INDEX(tItens[Edital],1):tItens[[#This Row],[Edital]],tItens[[#This Row],[Edital]],INDEX(tItens[Produto],1):tItens[[#This Row],[Produto]],tItens[[#This Row],[Produto]])=1,1,0)</f>
        <v>0</v>
      </c>
    </row>
    <row r="836" spans="1:16" x14ac:dyDescent="0.25">
      <c r="A836" t="s">
        <v>992</v>
      </c>
      <c r="B836">
        <v>43613</v>
      </c>
      <c r="C836" t="s">
        <v>4011</v>
      </c>
      <c r="D836" t="s">
        <v>281</v>
      </c>
      <c r="E836" s="13">
        <v>278625</v>
      </c>
      <c r="F836" s="12">
        <v>0</v>
      </c>
      <c r="G836" t="str">
        <f>IFERROR(INDEX(tEditais[Órgão],MATCH(tItens[[#This Row],[Edital]],tEditais[Edital],0)),"")</f>
        <v>MUNICIPIO DE FORTALEZA</v>
      </c>
      <c r="H836" t="str">
        <f>IFERROR(INDEX(tEditais[UF],MATCH(tItens[[#This Row],[Edital]],tEditais[Edital],0)),"")</f>
        <v>CE</v>
      </c>
      <c r="I836" s="11">
        <f>IFERROR(INDEX(tEditais[Encerramento],MATCH(tItens[[#This Row],[Edital]],tEditais[Edital],0)),"")</f>
        <v>46308.375</v>
      </c>
      <c r="J836" t="str">
        <f>IFERROR(INDEX(tProdutos[Classe],MATCH(tItens[[#This Row],[Produto]],tProdutos[Produto],0)),"produto não cadastrado")</f>
        <v>DISPUTADO</v>
      </c>
      <c r="K836" s="12">
        <f>tItens[[#This Row],[Qtd]]*tItens[[#This Row],[Vlr unit]]</f>
        <v>0</v>
      </c>
      <c r="L836" s="6">
        <f>IFERROR(IF(INDEX(tProdutos[Desconto homologado],MATCH(tItens[[#This Row],[Produto]],tProdutos[Produto],0))="",DescontoPadrao,INDEX(tProdutos[Desconto homologado],MATCH(tItens[[#This Row],[Produto]],tProdutos[Produto],0))),DescontoPadrao)</f>
        <v>0.42461538461538501</v>
      </c>
      <c r="M836" s="12">
        <f>tItens[[#This Row],[Valor]]*(1-tItens[[#This Row],[Desconto]])</f>
        <v>0</v>
      </c>
      <c r="N836" t="str">
        <f>IFERROR(INDEX(tProdutos[Foco],MATCH(tItens[[#This Row],[Produto]],tProdutos[Produto],0)),"Não")</f>
        <v>Não</v>
      </c>
      <c r="O836" t="str">
        <f>IFERROR(INDEX(tEditais[SRP],MATCH(tItens[[#This Row],[Edital]],tEditais[Edital],0)),"Não")</f>
        <v>Não</v>
      </c>
      <c r="P836" s="4">
        <f>IF(COUNTIFS(INDEX(tItens[Edital],1):tItens[[#This Row],[Edital]],tItens[[#This Row],[Edital]],INDEX(tItens[Produto],1):tItens[[#This Row],[Produto]],tItens[[#This Row],[Produto]])=1,1,0)</f>
        <v>0</v>
      </c>
    </row>
    <row r="837" spans="1:16" x14ac:dyDescent="0.25">
      <c r="A837" t="s">
        <v>992</v>
      </c>
      <c r="B837">
        <v>43614</v>
      </c>
      <c r="C837" t="s">
        <v>4012</v>
      </c>
      <c r="D837" t="s">
        <v>289</v>
      </c>
      <c r="E837" s="13">
        <v>90117</v>
      </c>
      <c r="F837" s="12">
        <v>0</v>
      </c>
      <c r="G837" t="str">
        <f>IFERROR(INDEX(tEditais[Órgão],MATCH(tItens[[#This Row],[Edital]],tEditais[Edital],0)),"")</f>
        <v>MUNICIPIO DE FORTALEZA</v>
      </c>
      <c r="H837" t="str">
        <f>IFERROR(INDEX(tEditais[UF],MATCH(tItens[[#This Row],[Edital]],tEditais[Edital],0)),"")</f>
        <v>CE</v>
      </c>
      <c r="I837" s="11">
        <f>IFERROR(INDEX(tEditais[Encerramento],MATCH(tItens[[#This Row],[Edital]],tEditais[Edital],0)),"")</f>
        <v>46308.375</v>
      </c>
      <c r="J837" t="str">
        <f>IFERROR(INDEX(tProdutos[Classe],MATCH(tItens[[#This Row],[Produto]],tProdutos[Produto],0)),"produto não cadastrado")</f>
        <v>DISPUTADO</v>
      </c>
      <c r="K837" s="12">
        <f>tItens[[#This Row],[Qtd]]*tItens[[#This Row],[Vlr unit]]</f>
        <v>0</v>
      </c>
      <c r="L837" s="6">
        <f>IFERROR(IF(INDEX(tProdutos[Desconto homologado],MATCH(tItens[[#This Row],[Produto]],tProdutos[Produto],0))="",DescontoPadrao,INDEX(tProdutos[Desconto homologado],MATCH(tItens[[#This Row],[Produto]],tProdutos[Produto],0))),DescontoPadrao)</f>
        <v>0.35849056603773599</v>
      </c>
      <c r="M837" s="12">
        <f>tItens[[#This Row],[Valor]]*(1-tItens[[#This Row],[Desconto]])</f>
        <v>0</v>
      </c>
      <c r="N837" t="str">
        <f>IFERROR(INDEX(tProdutos[Foco],MATCH(tItens[[#This Row],[Produto]],tProdutos[Produto],0)),"Não")</f>
        <v>Não</v>
      </c>
      <c r="O837" t="str">
        <f>IFERROR(INDEX(tEditais[SRP],MATCH(tItens[[#This Row],[Edital]],tEditais[Edital],0)),"Não")</f>
        <v>Não</v>
      </c>
      <c r="P837" s="4">
        <f>IF(COUNTIFS(INDEX(tItens[Edital],1):tItens[[#This Row],[Edital]],tItens[[#This Row],[Edital]],INDEX(tItens[Produto],1):tItens[[#This Row],[Produto]],tItens[[#This Row],[Produto]])=1,1,0)</f>
        <v>1</v>
      </c>
    </row>
    <row r="838" spans="1:16" x14ac:dyDescent="0.25">
      <c r="A838" t="s">
        <v>992</v>
      </c>
      <c r="B838">
        <v>43615</v>
      </c>
      <c r="C838" t="s">
        <v>4012</v>
      </c>
      <c r="D838" t="s">
        <v>289</v>
      </c>
      <c r="E838" s="13">
        <v>270351</v>
      </c>
      <c r="F838" s="12">
        <v>0</v>
      </c>
      <c r="G838" t="str">
        <f>IFERROR(INDEX(tEditais[Órgão],MATCH(tItens[[#This Row],[Edital]],tEditais[Edital],0)),"")</f>
        <v>MUNICIPIO DE FORTALEZA</v>
      </c>
      <c r="H838" t="str">
        <f>IFERROR(INDEX(tEditais[UF],MATCH(tItens[[#This Row],[Edital]],tEditais[Edital],0)),"")</f>
        <v>CE</v>
      </c>
      <c r="I838" s="11">
        <f>IFERROR(INDEX(tEditais[Encerramento],MATCH(tItens[[#This Row],[Edital]],tEditais[Edital],0)),"")</f>
        <v>46308.375</v>
      </c>
      <c r="J838" t="str">
        <f>IFERROR(INDEX(tProdutos[Classe],MATCH(tItens[[#This Row],[Produto]],tProdutos[Produto],0)),"produto não cadastrado")</f>
        <v>DISPUTADO</v>
      </c>
      <c r="K838" s="12">
        <f>tItens[[#This Row],[Qtd]]*tItens[[#This Row],[Vlr unit]]</f>
        <v>0</v>
      </c>
      <c r="L838" s="6">
        <f>IFERROR(IF(INDEX(tProdutos[Desconto homologado],MATCH(tItens[[#This Row],[Produto]],tProdutos[Produto],0))="",DescontoPadrao,INDEX(tProdutos[Desconto homologado],MATCH(tItens[[#This Row],[Produto]],tProdutos[Produto],0))),DescontoPadrao)</f>
        <v>0.35849056603773599</v>
      </c>
      <c r="M838" s="12">
        <f>tItens[[#This Row],[Valor]]*(1-tItens[[#This Row],[Desconto]])</f>
        <v>0</v>
      </c>
      <c r="N838" t="str">
        <f>IFERROR(INDEX(tProdutos[Foco],MATCH(tItens[[#This Row],[Produto]],tProdutos[Produto],0)),"Não")</f>
        <v>Não</v>
      </c>
      <c r="O838" t="str">
        <f>IFERROR(INDEX(tEditais[SRP],MATCH(tItens[[#This Row],[Edital]],tEditais[Edital],0)),"Não")</f>
        <v>Não</v>
      </c>
      <c r="P838" s="4">
        <f>IF(COUNTIFS(INDEX(tItens[Edital],1):tItens[[#This Row],[Edital]],tItens[[#This Row],[Edital]],INDEX(tItens[Produto],1):tItens[[#This Row],[Produto]],tItens[[#This Row],[Produto]])=1,1,0)</f>
        <v>0</v>
      </c>
    </row>
    <row r="839" spans="1:16" x14ac:dyDescent="0.25">
      <c r="A839" t="s">
        <v>992</v>
      </c>
      <c r="B839">
        <v>43616</v>
      </c>
      <c r="C839" t="s">
        <v>4013</v>
      </c>
      <c r="D839" t="s">
        <v>303</v>
      </c>
      <c r="E839" s="13">
        <v>128625</v>
      </c>
      <c r="F839" s="12">
        <v>0</v>
      </c>
      <c r="G839" t="str">
        <f>IFERROR(INDEX(tEditais[Órgão],MATCH(tItens[[#This Row],[Edital]],tEditais[Edital],0)),"")</f>
        <v>MUNICIPIO DE FORTALEZA</v>
      </c>
      <c r="H839" t="str">
        <f>IFERROR(INDEX(tEditais[UF],MATCH(tItens[[#This Row],[Edital]],tEditais[Edital],0)),"")</f>
        <v>CE</v>
      </c>
      <c r="I839" s="11">
        <f>IFERROR(INDEX(tEditais[Encerramento],MATCH(tItens[[#This Row],[Edital]],tEditais[Edital],0)),"")</f>
        <v>46308.375</v>
      </c>
      <c r="J839" t="str">
        <f>IFERROR(INDEX(tProdutos[Classe],MATCH(tItens[[#This Row],[Produto]],tProdutos[Produto],0)),"produto não cadastrado")</f>
        <v>FORA</v>
      </c>
      <c r="K839" s="12">
        <f>tItens[[#This Row],[Qtd]]*tItens[[#This Row],[Vlr unit]]</f>
        <v>0</v>
      </c>
      <c r="L839" s="6">
        <f>IFERROR(IF(INDEX(tProdutos[Desconto homologado],MATCH(tItens[[#This Row],[Produto]],tProdutos[Produto],0))="",DescontoPadrao,INDEX(tProdutos[Desconto homologado],MATCH(tItens[[#This Row],[Produto]],tProdutos[Produto],0))),DescontoPadrao)</f>
        <v>0.35748048048048098</v>
      </c>
      <c r="M839" s="12">
        <f>tItens[[#This Row],[Valor]]*(1-tItens[[#This Row],[Desconto]])</f>
        <v>0</v>
      </c>
      <c r="N839" t="str">
        <f>IFERROR(INDEX(tProdutos[Foco],MATCH(tItens[[#This Row],[Produto]],tProdutos[Produto],0)),"Não")</f>
        <v>Não</v>
      </c>
      <c r="O839" t="str">
        <f>IFERROR(INDEX(tEditais[SRP],MATCH(tItens[[#This Row],[Edital]],tEditais[Edital],0)),"Não")</f>
        <v>Não</v>
      </c>
      <c r="P839" s="4">
        <f>IF(COUNTIFS(INDEX(tItens[Edital],1):tItens[[#This Row],[Edital]],tItens[[#This Row],[Edital]],INDEX(tItens[Produto],1):tItens[[#This Row],[Produto]],tItens[[#This Row],[Produto]])=1,1,0)</f>
        <v>1</v>
      </c>
    </row>
    <row r="840" spans="1:16" x14ac:dyDescent="0.25">
      <c r="A840" t="s">
        <v>992</v>
      </c>
      <c r="B840">
        <v>43617</v>
      </c>
      <c r="C840" t="s">
        <v>4013</v>
      </c>
      <c r="D840" t="s">
        <v>303</v>
      </c>
      <c r="E840" s="13">
        <v>385875</v>
      </c>
      <c r="F840" s="12">
        <v>0</v>
      </c>
      <c r="G840" t="str">
        <f>IFERROR(INDEX(tEditais[Órgão],MATCH(tItens[[#This Row],[Edital]],tEditais[Edital],0)),"")</f>
        <v>MUNICIPIO DE FORTALEZA</v>
      </c>
      <c r="H840" t="str">
        <f>IFERROR(INDEX(tEditais[UF],MATCH(tItens[[#This Row],[Edital]],tEditais[Edital],0)),"")</f>
        <v>CE</v>
      </c>
      <c r="I840" s="11">
        <f>IFERROR(INDEX(tEditais[Encerramento],MATCH(tItens[[#This Row],[Edital]],tEditais[Edital],0)),"")</f>
        <v>46308.375</v>
      </c>
      <c r="J840" t="str">
        <f>IFERROR(INDEX(tProdutos[Classe],MATCH(tItens[[#This Row],[Produto]],tProdutos[Produto],0)),"produto não cadastrado")</f>
        <v>FORA</v>
      </c>
      <c r="K840" s="12">
        <f>tItens[[#This Row],[Qtd]]*tItens[[#This Row],[Vlr unit]]</f>
        <v>0</v>
      </c>
      <c r="L840" s="6">
        <f>IFERROR(IF(INDEX(tProdutos[Desconto homologado],MATCH(tItens[[#This Row],[Produto]],tProdutos[Produto],0))="",DescontoPadrao,INDEX(tProdutos[Desconto homologado],MATCH(tItens[[#This Row],[Produto]],tProdutos[Produto],0))),DescontoPadrao)</f>
        <v>0.35748048048048098</v>
      </c>
      <c r="M840" s="12">
        <f>tItens[[#This Row],[Valor]]*(1-tItens[[#This Row],[Desconto]])</f>
        <v>0</v>
      </c>
      <c r="N840" t="str">
        <f>IFERROR(INDEX(tProdutos[Foco],MATCH(tItens[[#This Row],[Produto]],tProdutos[Produto],0)),"Não")</f>
        <v>Não</v>
      </c>
      <c r="O840" t="str">
        <f>IFERROR(INDEX(tEditais[SRP],MATCH(tItens[[#This Row],[Edital]],tEditais[Edital],0)),"Não")</f>
        <v>Não</v>
      </c>
      <c r="P840" s="4">
        <f>IF(COUNTIFS(INDEX(tItens[Edital],1):tItens[[#This Row],[Edital]],tItens[[#This Row],[Edital]],INDEX(tItens[Produto],1):tItens[[#This Row],[Produto]],tItens[[#This Row],[Produto]])=1,1,0)</f>
        <v>0</v>
      </c>
    </row>
    <row r="841" spans="1:16" x14ac:dyDescent="0.25">
      <c r="A841" t="s">
        <v>996</v>
      </c>
      <c r="B841">
        <v>3</v>
      </c>
      <c r="C841" t="s">
        <v>4014</v>
      </c>
      <c r="D841" t="s">
        <v>195</v>
      </c>
      <c r="E841" s="13">
        <v>135375</v>
      </c>
      <c r="F841" s="12">
        <v>0</v>
      </c>
      <c r="G841" t="str">
        <f>IFERROR(INDEX(tEditais[Órgão],MATCH(tItens[[#This Row],[Edital]],tEditais[Edital],0)),"")</f>
        <v>MUNICIPIO DE FORTALEZA</v>
      </c>
      <c r="H841" t="str">
        <f>IFERROR(INDEX(tEditais[UF],MATCH(tItens[[#This Row],[Edital]],tEditais[Edital],0)),"")</f>
        <v>CE</v>
      </c>
      <c r="I841" s="11">
        <f>IFERROR(INDEX(tEditais[Encerramento],MATCH(tItens[[#This Row],[Edital]],tEditais[Edital],0)),"")</f>
        <v>46308.375</v>
      </c>
      <c r="J841" t="str">
        <f>IFERROR(INDEX(tProdutos[Classe],MATCH(tItens[[#This Row],[Produto]],tProdutos[Produto],0)),"produto não cadastrado")</f>
        <v>FORA</v>
      </c>
      <c r="K841" s="12">
        <f>tItens[[#This Row],[Qtd]]*tItens[[#This Row],[Vlr unit]]</f>
        <v>0</v>
      </c>
      <c r="L841" s="6">
        <f>IFERROR(IF(INDEX(tProdutos[Desconto homologado],MATCH(tItens[[#This Row],[Produto]],tProdutos[Produto],0))="",DescontoPadrao,INDEX(tProdutos[Desconto homologado],MATCH(tItens[[#This Row],[Produto]],tProdutos[Produto],0))),DescontoPadrao)</f>
        <v>0.27813657840171302</v>
      </c>
      <c r="M841" s="12">
        <f>tItens[[#This Row],[Valor]]*(1-tItens[[#This Row],[Desconto]])</f>
        <v>0</v>
      </c>
      <c r="N841" t="str">
        <f>IFERROR(INDEX(tProdutos[Foco],MATCH(tItens[[#This Row],[Produto]],tProdutos[Produto],0)),"Não")</f>
        <v>Não</v>
      </c>
      <c r="O841" t="str">
        <f>IFERROR(INDEX(tEditais[SRP],MATCH(tItens[[#This Row],[Edital]],tEditais[Edital],0)),"Não")</f>
        <v>Sim</v>
      </c>
      <c r="P841" s="4">
        <f>IF(COUNTIFS(INDEX(tItens[Edital],1):tItens[[#This Row],[Edital]],tItens[[#This Row],[Edital]],INDEX(tItens[Produto],1):tItens[[#This Row],[Produto]],tItens[[#This Row],[Produto]])=1,1,0)</f>
        <v>1</v>
      </c>
    </row>
    <row r="842" spans="1:16" x14ac:dyDescent="0.25">
      <c r="A842" t="s">
        <v>996</v>
      </c>
      <c r="B842">
        <v>4</v>
      </c>
      <c r="C842" t="s">
        <v>4014</v>
      </c>
      <c r="D842" t="s">
        <v>195</v>
      </c>
      <c r="E842" s="13">
        <v>45125</v>
      </c>
      <c r="F842" s="12">
        <v>0</v>
      </c>
      <c r="G842" t="str">
        <f>IFERROR(INDEX(tEditais[Órgão],MATCH(tItens[[#This Row],[Edital]],tEditais[Edital],0)),"")</f>
        <v>MUNICIPIO DE FORTALEZA</v>
      </c>
      <c r="H842" t="str">
        <f>IFERROR(INDEX(tEditais[UF],MATCH(tItens[[#This Row],[Edital]],tEditais[Edital],0)),"")</f>
        <v>CE</v>
      </c>
      <c r="I842" s="11">
        <f>IFERROR(INDEX(tEditais[Encerramento],MATCH(tItens[[#This Row],[Edital]],tEditais[Edital],0)),"")</f>
        <v>46308.375</v>
      </c>
      <c r="J842" t="str">
        <f>IFERROR(INDEX(tProdutos[Classe],MATCH(tItens[[#This Row],[Produto]],tProdutos[Produto],0)),"produto não cadastrado")</f>
        <v>FORA</v>
      </c>
      <c r="K842" s="12">
        <f>tItens[[#This Row],[Qtd]]*tItens[[#This Row],[Vlr unit]]</f>
        <v>0</v>
      </c>
      <c r="L842" s="6">
        <f>IFERROR(IF(INDEX(tProdutos[Desconto homologado],MATCH(tItens[[#This Row],[Produto]],tProdutos[Produto],0))="",DescontoPadrao,INDEX(tProdutos[Desconto homologado],MATCH(tItens[[#This Row],[Produto]],tProdutos[Produto],0))),DescontoPadrao)</f>
        <v>0.27813657840171302</v>
      </c>
      <c r="M842" s="12">
        <f>tItens[[#This Row],[Valor]]*(1-tItens[[#This Row],[Desconto]])</f>
        <v>0</v>
      </c>
      <c r="N842" t="str">
        <f>IFERROR(INDEX(tProdutos[Foco],MATCH(tItens[[#This Row],[Produto]],tProdutos[Produto],0)),"Não")</f>
        <v>Não</v>
      </c>
      <c r="O842" t="str">
        <f>IFERROR(INDEX(tEditais[SRP],MATCH(tItens[[#This Row],[Edital]],tEditais[Edital],0)),"Não")</f>
        <v>Sim</v>
      </c>
      <c r="P842" s="4">
        <f>IF(COUNTIFS(INDEX(tItens[Edital],1):tItens[[#This Row],[Edital]],tItens[[#This Row],[Edital]],INDEX(tItens[Produto],1):tItens[[#This Row],[Produto]],tItens[[#This Row],[Produto]])=1,1,0)</f>
        <v>0</v>
      </c>
    </row>
    <row r="843" spans="1:16" x14ac:dyDescent="0.25">
      <c r="A843" t="s">
        <v>999</v>
      </c>
      <c r="B843">
        <v>39819</v>
      </c>
      <c r="C843" t="s">
        <v>4015</v>
      </c>
      <c r="D843" t="s">
        <v>411</v>
      </c>
      <c r="E843" s="13">
        <v>32</v>
      </c>
      <c r="F843" s="12">
        <v>0</v>
      </c>
      <c r="G843" t="str">
        <f>IFERROR(INDEX(tEditais[Órgão],MATCH(tItens[[#This Row],[Edital]],tEditais[Edital],0)),"")</f>
        <v>MUNICIPIO DE FORTALEZA</v>
      </c>
      <c r="H843" t="str">
        <f>IFERROR(INDEX(tEditais[UF],MATCH(tItens[[#This Row],[Edital]],tEditais[Edital],0)),"")</f>
        <v>CE</v>
      </c>
      <c r="I843" s="11">
        <f>IFERROR(INDEX(tEditais[Encerramento],MATCH(tItens[[#This Row],[Edital]],tEditais[Edital],0)),"")</f>
        <v>46308.375</v>
      </c>
      <c r="J843" t="str">
        <f>IFERROR(INDEX(tProdutos[Classe],MATCH(tItens[[#This Row],[Produto]],tProdutos[Produto],0)),"produto não cadastrado")</f>
        <v>FORA</v>
      </c>
      <c r="K843" s="12">
        <f>tItens[[#This Row],[Qtd]]*tItens[[#This Row],[Vlr unit]]</f>
        <v>0</v>
      </c>
      <c r="L843" s="6">
        <f>IFERROR(IF(INDEX(tProdutos[Desconto homologado],MATCH(tItens[[#This Row],[Produto]],tProdutos[Produto],0))="",DescontoPadrao,INDEX(tProdutos[Desconto homologado],MATCH(tItens[[#This Row],[Produto]],tProdutos[Produto],0))),DescontoPadrao)</f>
        <v>0.50029835957199398</v>
      </c>
      <c r="M843" s="12">
        <f>tItens[[#This Row],[Valor]]*(1-tItens[[#This Row],[Desconto]])</f>
        <v>0</v>
      </c>
      <c r="N843" t="str">
        <f>IFERROR(INDEX(tProdutos[Foco],MATCH(tItens[[#This Row],[Produto]],tProdutos[Produto],0)),"Não")</f>
        <v>Não</v>
      </c>
      <c r="O843" t="str">
        <f>IFERROR(INDEX(tEditais[SRP],MATCH(tItens[[#This Row],[Edital]],tEditais[Edital],0)),"Não")</f>
        <v>Não</v>
      </c>
      <c r="P843" s="4">
        <f>IF(COUNTIFS(INDEX(tItens[Edital],1):tItens[[#This Row],[Edital]],tItens[[#This Row],[Edital]],INDEX(tItens[Produto],1):tItens[[#This Row],[Produto]],tItens[[#This Row],[Produto]])=1,1,0)</f>
        <v>1</v>
      </c>
    </row>
    <row r="844" spans="1:16" x14ac:dyDescent="0.25">
      <c r="A844" t="s">
        <v>999</v>
      </c>
      <c r="B844">
        <v>39820</v>
      </c>
      <c r="C844" t="s">
        <v>4015</v>
      </c>
      <c r="D844" t="s">
        <v>411</v>
      </c>
      <c r="E844" s="13">
        <v>98</v>
      </c>
      <c r="F844" s="12">
        <v>0</v>
      </c>
      <c r="G844" t="str">
        <f>IFERROR(INDEX(tEditais[Órgão],MATCH(tItens[[#This Row],[Edital]],tEditais[Edital],0)),"")</f>
        <v>MUNICIPIO DE FORTALEZA</v>
      </c>
      <c r="H844" t="str">
        <f>IFERROR(INDEX(tEditais[UF],MATCH(tItens[[#This Row],[Edital]],tEditais[Edital],0)),"")</f>
        <v>CE</v>
      </c>
      <c r="I844" s="11">
        <f>IFERROR(INDEX(tEditais[Encerramento],MATCH(tItens[[#This Row],[Edital]],tEditais[Edital],0)),"")</f>
        <v>46308.375</v>
      </c>
      <c r="J844" t="str">
        <f>IFERROR(INDEX(tProdutos[Classe],MATCH(tItens[[#This Row],[Produto]],tProdutos[Produto],0)),"produto não cadastrado")</f>
        <v>FORA</v>
      </c>
      <c r="K844" s="12">
        <f>tItens[[#This Row],[Qtd]]*tItens[[#This Row],[Vlr unit]]</f>
        <v>0</v>
      </c>
      <c r="L844" s="6">
        <f>IFERROR(IF(INDEX(tProdutos[Desconto homologado],MATCH(tItens[[#This Row],[Produto]],tProdutos[Produto],0))="",DescontoPadrao,INDEX(tProdutos[Desconto homologado],MATCH(tItens[[#This Row],[Produto]],tProdutos[Produto],0))),DescontoPadrao)</f>
        <v>0.50029835957199398</v>
      </c>
      <c r="M844" s="12">
        <f>tItens[[#This Row],[Valor]]*(1-tItens[[#This Row],[Desconto]])</f>
        <v>0</v>
      </c>
      <c r="N844" t="str">
        <f>IFERROR(INDEX(tProdutos[Foco],MATCH(tItens[[#This Row],[Produto]],tProdutos[Produto],0)),"Não")</f>
        <v>Não</v>
      </c>
      <c r="O844" t="str">
        <f>IFERROR(INDEX(tEditais[SRP],MATCH(tItens[[#This Row],[Edital]],tEditais[Edital],0)),"Não")</f>
        <v>Não</v>
      </c>
      <c r="P844" s="4">
        <f>IF(COUNTIFS(INDEX(tItens[Edital],1):tItens[[#This Row],[Edital]],tItens[[#This Row],[Edital]],INDEX(tItens[Produto],1):tItens[[#This Row],[Produto]],tItens[[#This Row],[Produto]])=1,1,0)</f>
        <v>0</v>
      </c>
    </row>
    <row r="845" spans="1:16" x14ac:dyDescent="0.25">
      <c r="A845" t="s">
        <v>1001</v>
      </c>
      <c r="B845">
        <v>1</v>
      </c>
      <c r="C845" t="s">
        <v>4016</v>
      </c>
      <c r="D845" t="s">
        <v>411</v>
      </c>
      <c r="E845" s="13">
        <v>98</v>
      </c>
      <c r="F845" s="12">
        <v>0</v>
      </c>
      <c r="G845" t="str">
        <f>IFERROR(INDEX(tEditais[Órgão],MATCH(tItens[[#This Row],[Edital]],tEditais[Edital],0)),"")</f>
        <v>MUNICIPIO DE FORTALEZA</v>
      </c>
      <c r="H845" t="str">
        <f>IFERROR(INDEX(tEditais[UF],MATCH(tItens[[#This Row],[Edital]],tEditais[Edital],0)),"")</f>
        <v>CE</v>
      </c>
      <c r="I845" s="11">
        <f>IFERROR(INDEX(tEditais[Encerramento],MATCH(tItens[[#This Row],[Edital]],tEditais[Edital],0)),"")</f>
        <v>46308.375</v>
      </c>
      <c r="J845" t="str">
        <f>IFERROR(INDEX(tProdutos[Classe],MATCH(tItens[[#This Row],[Produto]],tProdutos[Produto],0)),"produto não cadastrado")</f>
        <v>FORA</v>
      </c>
      <c r="K845" s="12">
        <f>tItens[[#This Row],[Qtd]]*tItens[[#This Row],[Vlr unit]]</f>
        <v>0</v>
      </c>
      <c r="L845" s="6">
        <f>IFERROR(IF(INDEX(tProdutos[Desconto homologado],MATCH(tItens[[#This Row],[Produto]],tProdutos[Produto],0))="",DescontoPadrao,INDEX(tProdutos[Desconto homologado],MATCH(tItens[[#This Row],[Produto]],tProdutos[Produto],0))),DescontoPadrao)</f>
        <v>0.50029835957199398</v>
      </c>
      <c r="M845" s="12">
        <f>tItens[[#This Row],[Valor]]*(1-tItens[[#This Row],[Desconto]])</f>
        <v>0</v>
      </c>
      <c r="N845" t="str">
        <f>IFERROR(INDEX(tProdutos[Foco],MATCH(tItens[[#This Row],[Produto]],tProdutos[Produto],0)),"Não")</f>
        <v>Não</v>
      </c>
      <c r="O845" t="str">
        <f>IFERROR(INDEX(tEditais[SRP],MATCH(tItens[[#This Row],[Edital]],tEditais[Edital],0)),"Não")</f>
        <v>Sim</v>
      </c>
      <c r="P845" s="4">
        <f>IF(COUNTIFS(INDEX(tItens[Edital],1):tItens[[#This Row],[Edital]],tItens[[#This Row],[Edital]],INDEX(tItens[Produto],1):tItens[[#This Row],[Produto]],tItens[[#This Row],[Produto]])=1,1,0)</f>
        <v>1</v>
      </c>
    </row>
    <row r="846" spans="1:16" x14ac:dyDescent="0.25">
      <c r="A846" t="s">
        <v>1001</v>
      </c>
      <c r="B846">
        <v>2</v>
      </c>
      <c r="C846" t="s">
        <v>4016</v>
      </c>
      <c r="D846" t="s">
        <v>411</v>
      </c>
      <c r="E846" s="13">
        <v>32</v>
      </c>
      <c r="F846" s="12">
        <v>0</v>
      </c>
      <c r="G846" t="str">
        <f>IFERROR(INDEX(tEditais[Órgão],MATCH(tItens[[#This Row],[Edital]],tEditais[Edital],0)),"")</f>
        <v>MUNICIPIO DE FORTALEZA</v>
      </c>
      <c r="H846" t="str">
        <f>IFERROR(INDEX(tEditais[UF],MATCH(tItens[[#This Row],[Edital]],tEditais[Edital],0)),"")</f>
        <v>CE</v>
      </c>
      <c r="I846" s="11">
        <f>IFERROR(INDEX(tEditais[Encerramento],MATCH(tItens[[#This Row],[Edital]],tEditais[Edital],0)),"")</f>
        <v>46308.375</v>
      </c>
      <c r="J846" t="str">
        <f>IFERROR(INDEX(tProdutos[Classe],MATCH(tItens[[#This Row],[Produto]],tProdutos[Produto],0)),"produto não cadastrado")</f>
        <v>FORA</v>
      </c>
      <c r="K846" s="12">
        <f>tItens[[#This Row],[Qtd]]*tItens[[#This Row],[Vlr unit]]</f>
        <v>0</v>
      </c>
      <c r="L846" s="6">
        <f>IFERROR(IF(INDEX(tProdutos[Desconto homologado],MATCH(tItens[[#This Row],[Produto]],tProdutos[Produto],0))="",DescontoPadrao,INDEX(tProdutos[Desconto homologado],MATCH(tItens[[#This Row],[Produto]],tProdutos[Produto],0))),DescontoPadrao)</f>
        <v>0.50029835957199398</v>
      </c>
      <c r="M846" s="12">
        <f>tItens[[#This Row],[Valor]]*(1-tItens[[#This Row],[Desconto]])</f>
        <v>0</v>
      </c>
      <c r="N846" t="str">
        <f>IFERROR(INDEX(tProdutos[Foco],MATCH(tItens[[#This Row],[Produto]],tProdutos[Produto],0)),"Não")</f>
        <v>Não</v>
      </c>
      <c r="O846" t="str">
        <f>IFERROR(INDEX(tEditais[SRP],MATCH(tItens[[#This Row],[Edital]],tEditais[Edital],0)),"Não")</f>
        <v>Sim</v>
      </c>
      <c r="P846" s="4">
        <f>IF(COUNTIFS(INDEX(tItens[Edital],1):tItens[[#This Row],[Edital]],tItens[[#This Row],[Edital]],INDEX(tItens[Produto],1):tItens[[#This Row],[Produto]],tItens[[#This Row],[Produto]])=1,1,0)</f>
        <v>0</v>
      </c>
    </row>
    <row r="847" spans="1:16" x14ac:dyDescent="0.25">
      <c r="A847" t="s">
        <v>1004</v>
      </c>
      <c r="B847">
        <v>1</v>
      </c>
      <c r="C847" t="s">
        <v>4017</v>
      </c>
      <c r="D847" t="s">
        <v>417</v>
      </c>
      <c r="E847" s="13">
        <v>2</v>
      </c>
      <c r="F847" s="12">
        <v>100</v>
      </c>
      <c r="G847" t="str">
        <f>IFERROR(INDEX(tEditais[Órgão],MATCH(tItens[[#This Row],[Edital]],tEditais[Edital],0)),"")</f>
        <v>ESTADO DO CEARA</v>
      </c>
      <c r="H847" t="str">
        <f>IFERROR(INDEX(tEditais[UF],MATCH(tItens[[#This Row],[Edital]],tEditais[Edital],0)),"")</f>
        <v>CE</v>
      </c>
      <c r="I847" s="11">
        <f>IFERROR(INDEX(tEditais[Encerramento],MATCH(tItens[[#This Row],[Edital]],tEditais[Edital],0)),"")</f>
        <v>46308.604166666664</v>
      </c>
      <c r="J847" t="str">
        <f>IFERROR(INDEX(tProdutos[Classe],MATCH(tItens[[#This Row],[Produto]],tProdutos[Produto],0)),"produto não cadastrado")</f>
        <v>FORA</v>
      </c>
      <c r="K847" s="12">
        <f>tItens[[#This Row],[Qtd]]*tItens[[#This Row],[Vlr unit]]</f>
        <v>200</v>
      </c>
      <c r="L847" s="6">
        <f>IFERROR(IF(INDEX(tProdutos[Desconto homologado],MATCH(tItens[[#This Row],[Produto]],tProdutos[Produto],0))="",DescontoPadrao,INDEX(tProdutos[Desconto homologado],MATCH(tItens[[#This Row],[Produto]],tProdutos[Produto],0))),DescontoPadrao)</f>
        <v>0.27842432580405202</v>
      </c>
      <c r="M847" s="12">
        <f>tItens[[#This Row],[Valor]]*(1-tItens[[#This Row],[Desconto]])</f>
        <v>144.3151348391896</v>
      </c>
      <c r="N847" t="str">
        <f>IFERROR(INDEX(tProdutos[Foco],MATCH(tItens[[#This Row],[Produto]],tProdutos[Produto],0)),"Não")</f>
        <v>Não</v>
      </c>
      <c r="O847" t="str">
        <f>IFERROR(INDEX(tEditais[SRP],MATCH(tItens[[#This Row],[Edital]],tEditais[Edital],0)),"Não")</f>
        <v>Não</v>
      </c>
      <c r="P847" s="4">
        <f>IF(COUNTIFS(INDEX(tItens[Edital],1):tItens[[#This Row],[Edital]],tItens[[#This Row],[Edital]],INDEX(tItens[Produto],1):tItens[[#This Row],[Produto]],tItens[[#This Row],[Produto]])=1,1,0)</f>
        <v>1</v>
      </c>
    </row>
    <row r="848" spans="1:16" x14ac:dyDescent="0.25">
      <c r="A848" t="s">
        <v>1004</v>
      </c>
      <c r="B848">
        <v>3</v>
      </c>
      <c r="C848" t="s">
        <v>4018</v>
      </c>
      <c r="D848" t="s">
        <v>341</v>
      </c>
      <c r="E848" s="13">
        <v>11</v>
      </c>
      <c r="F848" s="12">
        <v>27</v>
      </c>
      <c r="G848" t="str">
        <f>IFERROR(INDEX(tEditais[Órgão],MATCH(tItens[[#This Row],[Edital]],tEditais[Edital],0)),"")</f>
        <v>ESTADO DO CEARA</v>
      </c>
      <c r="H848" t="str">
        <f>IFERROR(INDEX(tEditais[UF],MATCH(tItens[[#This Row],[Edital]],tEditais[Edital],0)),"")</f>
        <v>CE</v>
      </c>
      <c r="I848" s="11">
        <f>IFERROR(INDEX(tEditais[Encerramento],MATCH(tItens[[#This Row],[Edital]],tEditais[Edital],0)),"")</f>
        <v>46308.604166666664</v>
      </c>
      <c r="J848" t="str">
        <f>IFERROR(INDEX(tProdutos[Classe],MATCH(tItens[[#This Row],[Produto]],tProdutos[Produto],0)),"produto não cadastrado")</f>
        <v>FORA</v>
      </c>
      <c r="K848" s="12">
        <f>tItens[[#This Row],[Qtd]]*tItens[[#This Row],[Vlr unit]]</f>
        <v>297</v>
      </c>
      <c r="L848" s="6">
        <f>IFERROR(IF(INDEX(tProdutos[Desconto homologado],MATCH(tItens[[#This Row],[Produto]],tProdutos[Produto],0))="",DescontoPadrao,INDEX(tProdutos[Desconto homologado],MATCH(tItens[[#This Row],[Produto]],tProdutos[Produto],0))),DescontoPadrao)</f>
        <v>0.46918578497525898</v>
      </c>
      <c r="M848" s="12">
        <f>tItens[[#This Row],[Valor]]*(1-tItens[[#This Row],[Desconto]])</f>
        <v>157.65182186234807</v>
      </c>
      <c r="N848" t="str">
        <f>IFERROR(INDEX(tProdutos[Foco],MATCH(tItens[[#This Row],[Produto]],tProdutos[Produto],0)),"Não")</f>
        <v>Não</v>
      </c>
      <c r="O848" t="str">
        <f>IFERROR(INDEX(tEditais[SRP],MATCH(tItens[[#This Row],[Edital]],tEditais[Edital],0)),"Não")</f>
        <v>Não</v>
      </c>
      <c r="P848" s="4">
        <f>IF(COUNTIFS(INDEX(tItens[Edital],1):tItens[[#This Row],[Edital]],tItens[[#This Row],[Edital]],INDEX(tItens[Produto],1):tItens[[#This Row],[Produto]],tItens[[#This Row],[Produto]])=1,1,0)</f>
        <v>1</v>
      </c>
    </row>
    <row r="849" spans="1:16" x14ac:dyDescent="0.25">
      <c r="A849" t="s">
        <v>1004</v>
      </c>
      <c r="B849">
        <v>4</v>
      </c>
      <c r="C849" t="s">
        <v>4019</v>
      </c>
      <c r="D849" t="s">
        <v>90</v>
      </c>
      <c r="E849" s="13">
        <v>12</v>
      </c>
      <c r="F849" s="12">
        <v>10</v>
      </c>
      <c r="G849" t="str">
        <f>IFERROR(INDEX(tEditais[Órgão],MATCH(tItens[[#This Row],[Edital]],tEditais[Edital],0)),"")</f>
        <v>ESTADO DO CEARA</v>
      </c>
      <c r="H849" t="str">
        <f>IFERROR(INDEX(tEditais[UF],MATCH(tItens[[#This Row],[Edital]],tEditais[Edital],0)),"")</f>
        <v>CE</v>
      </c>
      <c r="I849" s="11">
        <f>IFERROR(INDEX(tEditais[Encerramento],MATCH(tItens[[#This Row],[Edital]],tEditais[Edital],0)),"")</f>
        <v>46308.604166666664</v>
      </c>
      <c r="J849" t="str">
        <f>IFERROR(INDEX(tProdutos[Classe],MATCH(tItens[[#This Row],[Produto]],tProdutos[Produto],0)),"produto não cadastrado")</f>
        <v>DISPUTADO</v>
      </c>
      <c r="K849" s="12">
        <f>tItens[[#This Row],[Qtd]]*tItens[[#This Row],[Vlr unit]]</f>
        <v>120</v>
      </c>
      <c r="L849" s="6">
        <f>IFERROR(IF(INDEX(tProdutos[Desconto homologado],MATCH(tItens[[#This Row],[Produto]],tProdutos[Produto],0))="",DescontoPadrao,INDEX(tProdutos[Desconto homologado],MATCH(tItens[[#This Row],[Produto]],tProdutos[Produto],0))),DescontoPadrao)</f>
        <v>0.25393823957010597</v>
      </c>
      <c r="M849" s="12">
        <f>tItens[[#This Row],[Valor]]*(1-tItens[[#This Row],[Desconto]])</f>
        <v>89.527411251587282</v>
      </c>
      <c r="N849" t="str">
        <f>IFERROR(INDEX(tProdutos[Foco],MATCH(tItens[[#This Row],[Produto]],tProdutos[Produto],0)),"Não")</f>
        <v>Não</v>
      </c>
      <c r="O849" t="str">
        <f>IFERROR(INDEX(tEditais[SRP],MATCH(tItens[[#This Row],[Edital]],tEditais[Edital],0)),"Não")</f>
        <v>Não</v>
      </c>
      <c r="P849" s="4">
        <f>IF(COUNTIFS(INDEX(tItens[Edital],1):tItens[[#This Row],[Edital]],tItens[[#This Row],[Edital]],INDEX(tItens[Produto],1):tItens[[#This Row],[Produto]],tItens[[#This Row],[Produto]])=1,1,0)</f>
        <v>1</v>
      </c>
    </row>
    <row r="850" spans="1:16" x14ac:dyDescent="0.25">
      <c r="A850" t="s">
        <v>1004</v>
      </c>
      <c r="B850">
        <v>6</v>
      </c>
      <c r="C850" t="s">
        <v>4020</v>
      </c>
      <c r="D850" t="s">
        <v>413</v>
      </c>
      <c r="E850" s="13">
        <v>2</v>
      </c>
      <c r="F850" s="12">
        <v>26</v>
      </c>
      <c r="G850" t="str">
        <f>IFERROR(INDEX(tEditais[Órgão],MATCH(tItens[[#This Row],[Edital]],tEditais[Edital],0)),"")</f>
        <v>ESTADO DO CEARA</v>
      </c>
      <c r="H850" t="str">
        <f>IFERROR(INDEX(tEditais[UF],MATCH(tItens[[#This Row],[Edital]],tEditais[Edital],0)),"")</f>
        <v>CE</v>
      </c>
      <c r="I850" s="11">
        <f>IFERROR(INDEX(tEditais[Encerramento],MATCH(tItens[[#This Row],[Edital]],tEditais[Edital],0)),"")</f>
        <v>46308.604166666664</v>
      </c>
      <c r="J850" t="str">
        <f>IFERROR(INDEX(tProdutos[Classe],MATCH(tItens[[#This Row],[Produto]],tProdutos[Produto],0)),"produto não cadastrado")</f>
        <v>FORA</v>
      </c>
      <c r="K850" s="12">
        <f>tItens[[#This Row],[Qtd]]*tItens[[#This Row],[Vlr unit]]</f>
        <v>52</v>
      </c>
      <c r="L850" s="6">
        <f>IFERROR(IF(INDEX(tProdutos[Desconto homologado],MATCH(tItens[[#This Row],[Produto]],tProdutos[Produto],0))="",DescontoPadrao,INDEX(tProdutos[Desconto homologado],MATCH(tItens[[#This Row],[Produto]],tProdutos[Produto],0))),DescontoPadrao)</f>
        <v>0.477732793522267</v>
      </c>
      <c r="M850" s="12">
        <f>tItens[[#This Row],[Valor]]*(1-tItens[[#This Row],[Desconto]])</f>
        <v>27.157894736842113</v>
      </c>
      <c r="N850" t="str">
        <f>IFERROR(INDEX(tProdutos[Foco],MATCH(tItens[[#This Row],[Produto]],tProdutos[Produto],0)),"Não")</f>
        <v>Não</v>
      </c>
      <c r="O850" t="str">
        <f>IFERROR(INDEX(tEditais[SRP],MATCH(tItens[[#This Row],[Edital]],tEditais[Edital],0)),"Não")</f>
        <v>Não</v>
      </c>
      <c r="P850" s="4">
        <f>IF(COUNTIFS(INDEX(tItens[Edital],1):tItens[[#This Row],[Edital]],tItens[[#This Row],[Edital]],INDEX(tItens[Produto],1):tItens[[#This Row],[Produto]],tItens[[#This Row],[Produto]])=1,1,0)</f>
        <v>1</v>
      </c>
    </row>
    <row r="851" spans="1:16" x14ac:dyDescent="0.25">
      <c r="A851" t="s">
        <v>1007</v>
      </c>
      <c r="B851">
        <v>18</v>
      </c>
      <c r="C851" t="s">
        <v>4021</v>
      </c>
      <c r="D851" t="s">
        <v>98</v>
      </c>
      <c r="E851" s="13">
        <v>2</v>
      </c>
      <c r="F851" s="12">
        <v>5.4</v>
      </c>
      <c r="G851" t="str">
        <f>IFERROR(INDEX(tEditais[Órgão],MATCH(tItens[[#This Row],[Edital]],tEditais[Edital],0)),"")</f>
        <v>COMANDO DO EXERCITO</v>
      </c>
      <c r="H851" t="str">
        <f>IFERROR(INDEX(tEditais[UF],MATCH(tItens[[#This Row],[Edital]],tEditais[Edital],0)),"")</f>
        <v>CE</v>
      </c>
      <c r="I851" s="11">
        <f>IFERROR(INDEX(tEditais[Encerramento],MATCH(tItens[[#This Row],[Edital]],tEditais[Edital],0)),"")</f>
        <v>46309.333333333336</v>
      </c>
      <c r="J851" t="str">
        <f>IFERROR(INDEX(tProdutos[Classe],MATCH(tItens[[#This Row],[Produto]],tProdutos[Produto],0)),"produto não cadastrado")</f>
        <v>NÚCLEO</v>
      </c>
      <c r="K851" s="12">
        <f>tItens[[#This Row],[Qtd]]*tItens[[#This Row],[Vlr unit]]</f>
        <v>10.8</v>
      </c>
      <c r="L851" s="6">
        <f>IFERROR(IF(INDEX(tProdutos[Desconto homologado],MATCH(tItens[[#This Row],[Produto]],tProdutos[Produto],0))="",DescontoPadrao,INDEX(tProdutos[Desconto homologado],MATCH(tItens[[#This Row],[Produto]],tProdutos[Produto],0))),DescontoPadrao)</f>
        <v>0.39</v>
      </c>
      <c r="M851" s="12">
        <f>tItens[[#This Row],[Valor]]*(1-tItens[[#This Row],[Desconto]])</f>
        <v>6.5880000000000001</v>
      </c>
      <c r="N851" t="str">
        <f>IFERROR(INDEX(tProdutos[Foco],MATCH(tItens[[#This Row],[Produto]],tProdutos[Produto],0)),"Não")</f>
        <v>Sim</v>
      </c>
      <c r="O851" t="str">
        <f>IFERROR(INDEX(tEditais[SRP],MATCH(tItens[[#This Row],[Edital]],tEditais[Edital],0)),"Não")</f>
        <v>Não</v>
      </c>
      <c r="P851" s="4">
        <f>IF(COUNTIFS(INDEX(tItens[Edital],1):tItens[[#This Row],[Edital]],tItens[[#This Row],[Edital]],INDEX(tItens[Produto],1):tItens[[#This Row],[Produto]],tItens[[#This Row],[Produto]])=1,1,0)</f>
        <v>1</v>
      </c>
    </row>
    <row r="852" spans="1:16" x14ac:dyDescent="0.25">
      <c r="A852" t="s">
        <v>1007</v>
      </c>
      <c r="B852">
        <v>19</v>
      </c>
      <c r="C852" t="s">
        <v>4022</v>
      </c>
      <c r="D852" t="s">
        <v>98</v>
      </c>
      <c r="E852" s="13">
        <v>3</v>
      </c>
      <c r="F852" s="12">
        <v>5.4</v>
      </c>
      <c r="G852" t="str">
        <f>IFERROR(INDEX(tEditais[Órgão],MATCH(tItens[[#This Row],[Edital]],tEditais[Edital],0)),"")</f>
        <v>COMANDO DO EXERCITO</v>
      </c>
      <c r="H852" t="str">
        <f>IFERROR(INDEX(tEditais[UF],MATCH(tItens[[#This Row],[Edital]],tEditais[Edital],0)),"")</f>
        <v>CE</v>
      </c>
      <c r="I852" s="11">
        <f>IFERROR(INDEX(tEditais[Encerramento],MATCH(tItens[[#This Row],[Edital]],tEditais[Edital],0)),"")</f>
        <v>46309.333333333336</v>
      </c>
      <c r="J852" t="str">
        <f>IFERROR(INDEX(tProdutos[Classe],MATCH(tItens[[#This Row],[Produto]],tProdutos[Produto],0)),"produto não cadastrado")</f>
        <v>NÚCLEO</v>
      </c>
      <c r="K852" s="12">
        <f>tItens[[#This Row],[Qtd]]*tItens[[#This Row],[Vlr unit]]</f>
        <v>16.200000000000003</v>
      </c>
      <c r="L852" s="6">
        <f>IFERROR(IF(INDEX(tProdutos[Desconto homologado],MATCH(tItens[[#This Row],[Produto]],tProdutos[Produto],0))="",DescontoPadrao,INDEX(tProdutos[Desconto homologado],MATCH(tItens[[#This Row],[Produto]],tProdutos[Produto],0))),DescontoPadrao)</f>
        <v>0.39</v>
      </c>
      <c r="M852" s="12">
        <f>tItens[[#This Row],[Valor]]*(1-tItens[[#This Row],[Desconto]])</f>
        <v>9.8820000000000014</v>
      </c>
      <c r="N852" t="str">
        <f>IFERROR(INDEX(tProdutos[Foco],MATCH(tItens[[#This Row],[Produto]],tProdutos[Produto],0)),"Não")</f>
        <v>Sim</v>
      </c>
      <c r="O852" t="str">
        <f>IFERROR(INDEX(tEditais[SRP],MATCH(tItens[[#This Row],[Edital]],tEditais[Edital],0)),"Não")</f>
        <v>Não</v>
      </c>
      <c r="P852" s="4">
        <f>IF(COUNTIFS(INDEX(tItens[Edital],1):tItens[[#This Row],[Edital]],tItens[[#This Row],[Edital]],INDEX(tItens[Produto],1):tItens[[#This Row],[Produto]],tItens[[#This Row],[Produto]])=1,1,0)</f>
        <v>0</v>
      </c>
    </row>
    <row r="853" spans="1:16" x14ac:dyDescent="0.25">
      <c r="A853" t="s">
        <v>1007</v>
      </c>
      <c r="B853">
        <v>20</v>
      </c>
      <c r="C853" t="s">
        <v>4023</v>
      </c>
      <c r="D853" t="s">
        <v>98</v>
      </c>
      <c r="E853" s="13">
        <v>2</v>
      </c>
      <c r="F853" s="12">
        <v>5.4</v>
      </c>
      <c r="G853" t="str">
        <f>IFERROR(INDEX(tEditais[Órgão],MATCH(tItens[[#This Row],[Edital]],tEditais[Edital],0)),"")</f>
        <v>COMANDO DO EXERCITO</v>
      </c>
      <c r="H853" t="str">
        <f>IFERROR(INDEX(tEditais[UF],MATCH(tItens[[#This Row],[Edital]],tEditais[Edital],0)),"")</f>
        <v>CE</v>
      </c>
      <c r="I853" s="11">
        <f>IFERROR(INDEX(tEditais[Encerramento],MATCH(tItens[[#This Row],[Edital]],tEditais[Edital],0)),"")</f>
        <v>46309.333333333336</v>
      </c>
      <c r="J853" t="str">
        <f>IFERROR(INDEX(tProdutos[Classe],MATCH(tItens[[#This Row],[Produto]],tProdutos[Produto],0)),"produto não cadastrado")</f>
        <v>NÚCLEO</v>
      </c>
      <c r="K853" s="12">
        <f>tItens[[#This Row],[Qtd]]*tItens[[#This Row],[Vlr unit]]</f>
        <v>10.8</v>
      </c>
      <c r="L853" s="6">
        <f>IFERROR(IF(INDEX(tProdutos[Desconto homologado],MATCH(tItens[[#This Row],[Produto]],tProdutos[Produto],0))="",DescontoPadrao,INDEX(tProdutos[Desconto homologado],MATCH(tItens[[#This Row],[Produto]],tProdutos[Produto],0))),DescontoPadrao)</f>
        <v>0.39</v>
      </c>
      <c r="M853" s="12">
        <f>tItens[[#This Row],[Valor]]*(1-tItens[[#This Row],[Desconto]])</f>
        <v>6.5880000000000001</v>
      </c>
      <c r="N853" t="str">
        <f>IFERROR(INDEX(tProdutos[Foco],MATCH(tItens[[#This Row],[Produto]],tProdutos[Produto],0)),"Não")</f>
        <v>Sim</v>
      </c>
      <c r="O853" t="str">
        <f>IFERROR(INDEX(tEditais[SRP],MATCH(tItens[[#This Row],[Edital]],tEditais[Edital],0)),"Não")</f>
        <v>Não</v>
      </c>
      <c r="P853" s="4">
        <f>IF(COUNTIFS(INDEX(tItens[Edital],1):tItens[[#This Row],[Edital]],tItens[[#This Row],[Edital]],INDEX(tItens[Produto],1):tItens[[#This Row],[Produto]],tItens[[#This Row],[Produto]])=1,1,0)</f>
        <v>0</v>
      </c>
    </row>
    <row r="854" spans="1:16" x14ac:dyDescent="0.25">
      <c r="A854" t="s">
        <v>1007</v>
      </c>
      <c r="B854">
        <v>21</v>
      </c>
      <c r="C854" t="s">
        <v>4024</v>
      </c>
      <c r="D854" t="s">
        <v>98</v>
      </c>
      <c r="E854" s="13">
        <v>2</v>
      </c>
      <c r="F854" s="12">
        <v>5.4</v>
      </c>
      <c r="G854" t="str">
        <f>IFERROR(INDEX(tEditais[Órgão],MATCH(tItens[[#This Row],[Edital]],tEditais[Edital],0)),"")</f>
        <v>COMANDO DO EXERCITO</v>
      </c>
      <c r="H854" t="str">
        <f>IFERROR(INDEX(tEditais[UF],MATCH(tItens[[#This Row],[Edital]],tEditais[Edital],0)),"")</f>
        <v>CE</v>
      </c>
      <c r="I854" s="11">
        <f>IFERROR(INDEX(tEditais[Encerramento],MATCH(tItens[[#This Row],[Edital]],tEditais[Edital],0)),"")</f>
        <v>46309.333333333336</v>
      </c>
      <c r="J854" t="str">
        <f>IFERROR(INDEX(tProdutos[Classe],MATCH(tItens[[#This Row],[Produto]],tProdutos[Produto],0)),"produto não cadastrado")</f>
        <v>NÚCLEO</v>
      </c>
      <c r="K854" s="12">
        <f>tItens[[#This Row],[Qtd]]*tItens[[#This Row],[Vlr unit]]</f>
        <v>10.8</v>
      </c>
      <c r="L854" s="6">
        <f>IFERROR(IF(INDEX(tProdutos[Desconto homologado],MATCH(tItens[[#This Row],[Produto]],tProdutos[Produto],0))="",DescontoPadrao,INDEX(tProdutos[Desconto homologado],MATCH(tItens[[#This Row],[Produto]],tProdutos[Produto],0))),DescontoPadrao)</f>
        <v>0.39</v>
      </c>
      <c r="M854" s="12">
        <f>tItens[[#This Row],[Valor]]*(1-tItens[[#This Row],[Desconto]])</f>
        <v>6.5880000000000001</v>
      </c>
      <c r="N854" t="str">
        <f>IFERROR(INDEX(tProdutos[Foco],MATCH(tItens[[#This Row],[Produto]],tProdutos[Produto],0)),"Não")</f>
        <v>Sim</v>
      </c>
      <c r="O854" t="str">
        <f>IFERROR(INDEX(tEditais[SRP],MATCH(tItens[[#This Row],[Edital]],tEditais[Edital],0)),"Não")</f>
        <v>Não</v>
      </c>
      <c r="P854" s="4">
        <f>IF(COUNTIFS(INDEX(tItens[Edital],1):tItens[[#This Row],[Edital]],tItens[[#This Row],[Edital]],INDEX(tItens[Produto],1):tItens[[#This Row],[Produto]],tItens[[#This Row],[Produto]])=1,1,0)</f>
        <v>0</v>
      </c>
    </row>
    <row r="855" spans="1:16" x14ac:dyDescent="0.25">
      <c r="A855" t="s">
        <v>1007</v>
      </c>
      <c r="B855">
        <v>22</v>
      </c>
      <c r="C855" t="s">
        <v>4025</v>
      </c>
      <c r="D855" t="s">
        <v>98</v>
      </c>
      <c r="E855" s="13">
        <v>2</v>
      </c>
      <c r="F855" s="12">
        <v>5.4</v>
      </c>
      <c r="G855" t="str">
        <f>IFERROR(INDEX(tEditais[Órgão],MATCH(tItens[[#This Row],[Edital]],tEditais[Edital],0)),"")</f>
        <v>COMANDO DO EXERCITO</v>
      </c>
      <c r="H855" t="str">
        <f>IFERROR(INDEX(tEditais[UF],MATCH(tItens[[#This Row],[Edital]],tEditais[Edital],0)),"")</f>
        <v>CE</v>
      </c>
      <c r="I855" s="11">
        <f>IFERROR(INDEX(tEditais[Encerramento],MATCH(tItens[[#This Row],[Edital]],tEditais[Edital],0)),"")</f>
        <v>46309.333333333336</v>
      </c>
      <c r="J855" t="str">
        <f>IFERROR(INDEX(tProdutos[Classe],MATCH(tItens[[#This Row],[Produto]],tProdutos[Produto],0)),"produto não cadastrado")</f>
        <v>NÚCLEO</v>
      </c>
      <c r="K855" s="12">
        <f>tItens[[#This Row],[Qtd]]*tItens[[#This Row],[Vlr unit]]</f>
        <v>10.8</v>
      </c>
      <c r="L855" s="6">
        <f>IFERROR(IF(INDEX(tProdutos[Desconto homologado],MATCH(tItens[[#This Row],[Produto]],tProdutos[Produto],0))="",DescontoPadrao,INDEX(tProdutos[Desconto homologado],MATCH(tItens[[#This Row],[Produto]],tProdutos[Produto],0))),DescontoPadrao)</f>
        <v>0.39</v>
      </c>
      <c r="M855" s="12">
        <f>tItens[[#This Row],[Valor]]*(1-tItens[[#This Row],[Desconto]])</f>
        <v>6.5880000000000001</v>
      </c>
      <c r="N855" t="str">
        <f>IFERROR(INDEX(tProdutos[Foco],MATCH(tItens[[#This Row],[Produto]],tProdutos[Produto],0)),"Não")</f>
        <v>Sim</v>
      </c>
      <c r="O855" t="str">
        <f>IFERROR(INDEX(tEditais[SRP],MATCH(tItens[[#This Row],[Edital]],tEditais[Edital],0)),"Não")</f>
        <v>Não</v>
      </c>
      <c r="P855" s="4">
        <f>IF(COUNTIFS(INDEX(tItens[Edital],1):tItens[[#This Row],[Edital]],tItens[[#This Row],[Edital]],INDEX(tItens[Produto],1):tItens[[#This Row],[Produto]],tItens[[#This Row],[Produto]])=1,1,0)</f>
        <v>0</v>
      </c>
    </row>
    <row r="856" spans="1:16" x14ac:dyDescent="0.25">
      <c r="A856" t="s">
        <v>1007</v>
      </c>
      <c r="B856">
        <v>27</v>
      </c>
      <c r="C856" t="s">
        <v>3334</v>
      </c>
      <c r="D856" t="s">
        <v>423</v>
      </c>
      <c r="E856" s="13">
        <v>3</v>
      </c>
      <c r="F856" s="12">
        <v>11.04</v>
      </c>
      <c r="G856" t="str">
        <f>IFERROR(INDEX(tEditais[Órgão],MATCH(tItens[[#This Row],[Edital]],tEditais[Edital],0)),"")</f>
        <v>COMANDO DO EXERCITO</v>
      </c>
      <c r="H856" t="str">
        <f>IFERROR(INDEX(tEditais[UF],MATCH(tItens[[#This Row],[Edital]],tEditais[Edital],0)),"")</f>
        <v>CE</v>
      </c>
      <c r="I856" s="11">
        <f>IFERROR(INDEX(tEditais[Encerramento],MATCH(tItens[[#This Row],[Edital]],tEditais[Edital],0)),"")</f>
        <v>46309.333333333336</v>
      </c>
      <c r="J856" t="str">
        <f>IFERROR(INDEX(tProdutos[Classe],MATCH(tItens[[#This Row],[Produto]],tProdutos[Produto],0)),"produto não cadastrado")</f>
        <v>FORA</v>
      </c>
      <c r="K856" s="12">
        <f>tItens[[#This Row],[Qtd]]*tItens[[#This Row],[Vlr unit]]</f>
        <v>33.119999999999997</v>
      </c>
      <c r="L856" s="6">
        <f>IFERROR(IF(INDEX(tProdutos[Desconto homologado],MATCH(tItens[[#This Row],[Produto]],tProdutos[Produto],0))="",DescontoPadrao,INDEX(tProdutos[Desconto homologado],MATCH(tItens[[#This Row],[Produto]],tProdutos[Produto],0))),DescontoPadrao)</f>
        <v>0.38271604938271597</v>
      </c>
      <c r="M856" s="12">
        <f>tItens[[#This Row],[Valor]]*(1-tItens[[#This Row],[Desconto]])</f>
        <v>20.444444444444446</v>
      </c>
      <c r="N856" t="str">
        <f>IFERROR(INDEX(tProdutos[Foco],MATCH(tItens[[#This Row],[Produto]],tProdutos[Produto],0)),"Não")</f>
        <v>Não</v>
      </c>
      <c r="O856" t="str">
        <f>IFERROR(INDEX(tEditais[SRP],MATCH(tItens[[#This Row],[Edital]],tEditais[Edital],0)),"Não")</f>
        <v>Não</v>
      </c>
      <c r="P856" s="4">
        <f>IF(COUNTIFS(INDEX(tItens[Edital],1):tItens[[#This Row],[Edital]],tItens[[#This Row],[Edital]],INDEX(tItens[Produto],1):tItens[[#This Row],[Produto]],tItens[[#This Row],[Produto]])=1,1,0)</f>
        <v>1</v>
      </c>
    </row>
    <row r="857" spans="1:16" x14ac:dyDescent="0.25">
      <c r="A857" t="s">
        <v>1007</v>
      </c>
      <c r="B857">
        <v>31</v>
      </c>
      <c r="C857" t="s">
        <v>4026</v>
      </c>
      <c r="D857" t="s">
        <v>578</v>
      </c>
      <c r="E857" s="13">
        <v>3</v>
      </c>
      <c r="F857" s="12">
        <v>1000</v>
      </c>
      <c r="G857" t="str">
        <f>IFERROR(INDEX(tEditais[Órgão],MATCH(tItens[[#This Row],[Edital]],tEditais[Edital],0)),"")</f>
        <v>COMANDO DO EXERCITO</v>
      </c>
      <c r="H857" t="str">
        <f>IFERROR(INDEX(tEditais[UF],MATCH(tItens[[#This Row],[Edital]],tEditais[Edital],0)),"")</f>
        <v>CE</v>
      </c>
      <c r="I857" s="11">
        <f>IFERROR(INDEX(tEditais[Encerramento],MATCH(tItens[[#This Row],[Edital]],tEditais[Edital],0)),"")</f>
        <v>46309.333333333336</v>
      </c>
      <c r="J857" t="str">
        <f>IFERROR(INDEX(tProdutos[Classe],MATCH(tItens[[#This Row],[Produto]],tProdutos[Produto],0)),"produto não cadastrado")</f>
        <v>FILA REBASE</v>
      </c>
      <c r="K857" s="12">
        <f>tItens[[#This Row],[Qtd]]*tItens[[#This Row],[Vlr unit]]</f>
        <v>3000</v>
      </c>
      <c r="L857" s="6">
        <f>IFERROR(IF(INDEX(tProdutos[Desconto homologado],MATCH(tItens[[#This Row],[Produto]],tProdutos[Produto],0))="",DescontoPadrao,INDEX(tProdutos[Desconto homologado],MATCH(tItens[[#This Row],[Produto]],tProdutos[Produto],0))),DescontoPadrao)</f>
        <v>0.36014625228519198</v>
      </c>
      <c r="M857" s="12">
        <f>tItens[[#This Row],[Valor]]*(1-tItens[[#This Row],[Desconto]])</f>
        <v>1919.5612431444242</v>
      </c>
      <c r="N857" t="str">
        <f>IFERROR(INDEX(tProdutos[Foco],MATCH(tItens[[#This Row],[Produto]],tProdutos[Produto],0)),"Não")</f>
        <v>Não</v>
      </c>
      <c r="O857" t="str">
        <f>IFERROR(INDEX(tEditais[SRP],MATCH(tItens[[#This Row],[Edital]],tEditais[Edital],0)),"Não")</f>
        <v>Não</v>
      </c>
      <c r="P857" s="4">
        <f>IF(COUNTIFS(INDEX(tItens[Edital],1):tItens[[#This Row],[Edital]],tItens[[#This Row],[Edital]],INDEX(tItens[Produto],1):tItens[[#This Row],[Produto]],tItens[[#This Row],[Produto]])=1,1,0)</f>
        <v>1</v>
      </c>
    </row>
    <row r="858" spans="1:16" x14ac:dyDescent="0.25">
      <c r="A858" t="s">
        <v>1011</v>
      </c>
      <c r="B858">
        <v>48</v>
      </c>
      <c r="C858" t="s">
        <v>4027</v>
      </c>
      <c r="D858" t="s">
        <v>542</v>
      </c>
      <c r="E858" s="13">
        <v>4</v>
      </c>
      <c r="F858" s="12">
        <v>189.57</v>
      </c>
      <c r="G858" t="str">
        <f>IFERROR(INDEX(tEditais[Órgão],MATCH(tItens[[#This Row],[Edital]],tEditais[Edital],0)),"")</f>
        <v>MUNICIPIO DE CHOROZINHO</v>
      </c>
      <c r="H858" t="str">
        <f>IFERROR(INDEX(tEditais[UF],MATCH(tItens[[#This Row],[Edital]],tEditais[Edital],0)),"")</f>
        <v>CE</v>
      </c>
      <c r="I858" s="11">
        <f>IFERROR(INDEX(tEditais[Encerramento],MATCH(tItens[[#This Row],[Edital]],tEditais[Edital],0)),"")</f>
        <v>46310.374305555553</v>
      </c>
      <c r="J858" t="str">
        <f>IFERROR(INDEX(tProdutos[Classe],MATCH(tItens[[#This Row],[Produto]],tProdutos[Produto],0)),"produto não cadastrado")</f>
        <v>FILA REBASE</v>
      </c>
      <c r="K858" s="12">
        <f>tItens[[#This Row],[Qtd]]*tItens[[#This Row],[Vlr unit]]</f>
        <v>758.28</v>
      </c>
      <c r="L858" s="6">
        <f>IFERROR(IF(INDEX(tProdutos[Desconto homologado],MATCH(tItens[[#This Row],[Produto]],tProdutos[Produto],0))="",DescontoPadrao,INDEX(tProdutos[Desconto homologado],MATCH(tItens[[#This Row],[Produto]],tProdutos[Produto],0))),DescontoPadrao)</f>
        <v>0.3</v>
      </c>
      <c r="M858" s="12">
        <f>tItens[[#This Row],[Valor]]*(1-tItens[[#This Row],[Desconto]])</f>
        <v>530.79599999999994</v>
      </c>
      <c r="N858" t="str">
        <f>IFERROR(INDEX(tProdutos[Foco],MATCH(tItens[[#This Row],[Produto]],tProdutos[Produto],0)),"Não")</f>
        <v>Não</v>
      </c>
      <c r="O858" t="str">
        <f>IFERROR(INDEX(tEditais[SRP],MATCH(tItens[[#This Row],[Edital]],tEditais[Edital],0)),"Não")</f>
        <v>Não</v>
      </c>
      <c r="P858" s="4">
        <f>IF(COUNTIFS(INDEX(tItens[Edital],1):tItens[[#This Row],[Edital]],tItens[[#This Row],[Edital]],INDEX(tItens[Produto],1):tItens[[#This Row],[Produto]],tItens[[#This Row],[Produto]])=1,1,0)</f>
        <v>1</v>
      </c>
    </row>
    <row r="859" spans="1:16" x14ac:dyDescent="0.25">
      <c r="A859" t="s">
        <v>1015</v>
      </c>
      <c r="B859">
        <v>2</v>
      </c>
      <c r="C859" t="s">
        <v>4028</v>
      </c>
      <c r="D859" t="s">
        <v>277</v>
      </c>
      <c r="E859" s="13">
        <v>28500</v>
      </c>
      <c r="F859" s="12">
        <v>0</v>
      </c>
      <c r="G859" t="str">
        <f>IFERROR(INDEX(tEditais[Órgão],MATCH(tItens[[#This Row],[Edital]],tEditais[Edital],0)),"")</f>
        <v>MUNICIPIO DE CAMPOS SALES</v>
      </c>
      <c r="H859" t="str">
        <f>IFERROR(INDEX(tEditais[UF],MATCH(tItens[[#This Row],[Edital]],tEditais[Edital],0)),"")</f>
        <v>CE</v>
      </c>
      <c r="I859" s="11">
        <f>IFERROR(INDEX(tEditais[Encerramento],MATCH(tItens[[#This Row],[Edital]],tEditais[Edital],0)),"")</f>
        <v>46310.375</v>
      </c>
      <c r="J859" t="str">
        <f>IFERROR(INDEX(tProdutos[Classe],MATCH(tItens[[#This Row],[Produto]],tProdutos[Produto],0)),"produto não cadastrado")</f>
        <v>DISPUTADO</v>
      </c>
      <c r="K859" s="12">
        <f>tItens[[#This Row],[Qtd]]*tItens[[#This Row],[Vlr unit]]</f>
        <v>0</v>
      </c>
      <c r="L859" s="6">
        <f>IFERROR(IF(INDEX(tProdutos[Desconto homologado],MATCH(tItens[[#This Row],[Produto]],tProdutos[Produto],0))="",DescontoPadrao,INDEX(tProdutos[Desconto homologado],MATCH(tItens[[#This Row],[Produto]],tProdutos[Produto],0))),DescontoPadrao)</f>
        <v>0.50460666194188497</v>
      </c>
      <c r="M859" s="12">
        <f>tItens[[#This Row],[Valor]]*(1-tItens[[#This Row],[Desconto]])</f>
        <v>0</v>
      </c>
      <c r="N859" t="str">
        <f>IFERROR(INDEX(tProdutos[Foco],MATCH(tItens[[#This Row],[Produto]],tProdutos[Produto],0)),"Não")</f>
        <v>Não</v>
      </c>
      <c r="O859" t="str">
        <f>IFERROR(INDEX(tEditais[SRP],MATCH(tItens[[#This Row],[Edital]],tEditais[Edital],0)),"Não")</f>
        <v>Sim</v>
      </c>
      <c r="P859" s="4">
        <f>IF(COUNTIFS(INDEX(tItens[Edital],1):tItens[[#This Row],[Edital]],tItens[[#This Row],[Edital]],INDEX(tItens[Produto],1):tItens[[#This Row],[Produto]],tItens[[#This Row],[Produto]])=1,1,0)</f>
        <v>1</v>
      </c>
    </row>
    <row r="860" spans="1:16" x14ac:dyDescent="0.25">
      <c r="A860" t="s">
        <v>1015</v>
      </c>
      <c r="B860">
        <v>37</v>
      </c>
      <c r="C860" t="s">
        <v>4028</v>
      </c>
      <c r="D860" t="s">
        <v>277</v>
      </c>
      <c r="E860" s="13">
        <v>1500</v>
      </c>
      <c r="F860" s="12">
        <v>0</v>
      </c>
      <c r="G860" t="str">
        <f>IFERROR(INDEX(tEditais[Órgão],MATCH(tItens[[#This Row],[Edital]],tEditais[Edital],0)),"")</f>
        <v>MUNICIPIO DE CAMPOS SALES</v>
      </c>
      <c r="H860" t="str">
        <f>IFERROR(INDEX(tEditais[UF],MATCH(tItens[[#This Row],[Edital]],tEditais[Edital],0)),"")</f>
        <v>CE</v>
      </c>
      <c r="I860" s="11">
        <f>IFERROR(INDEX(tEditais[Encerramento],MATCH(tItens[[#This Row],[Edital]],tEditais[Edital],0)),"")</f>
        <v>46310.375</v>
      </c>
      <c r="J860" t="str">
        <f>IFERROR(INDEX(tProdutos[Classe],MATCH(tItens[[#This Row],[Produto]],tProdutos[Produto],0)),"produto não cadastrado")</f>
        <v>DISPUTADO</v>
      </c>
      <c r="K860" s="12">
        <f>tItens[[#This Row],[Qtd]]*tItens[[#This Row],[Vlr unit]]</f>
        <v>0</v>
      </c>
      <c r="L860" s="6">
        <f>IFERROR(IF(INDEX(tProdutos[Desconto homologado],MATCH(tItens[[#This Row],[Produto]],tProdutos[Produto],0))="",DescontoPadrao,INDEX(tProdutos[Desconto homologado],MATCH(tItens[[#This Row],[Produto]],tProdutos[Produto],0))),DescontoPadrao)</f>
        <v>0.50460666194188497</v>
      </c>
      <c r="M860" s="12">
        <f>tItens[[#This Row],[Valor]]*(1-tItens[[#This Row],[Desconto]])</f>
        <v>0</v>
      </c>
      <c r="N860" t="str">
        <f>IFERROR(INDEX(tProdutos[Foco],MATCH(tItens[[#This Row],[Produto]],tProdutos[Produto],0)),"Não")</f>
        <v>Não</v>
      </c>
      <c r="O860" t="str">
        <f>IFERROR(INDEX(tEditais[SRP],MATCH(tItens[[#This Row],[Edital]],tEditais[Edital],0)),"Não")</f>
        <v>Sim</v>
      </c>
      <c r="P860" s="4">
        <f>IF(COUNTIFS(INDEX(tItens[Edital],1):tItens[[#This Row],[Edital]],tItens[[#This Row],[Edital]],INDEX(tItens[Produto],1):tItens[[#This Row],[Produto]],tItens[[#This Row],[Produto]])=1,1,0)</f>
        <v>0</v>
      </c>
    </row>
    <row r="861" spans="1:16" x14ac:dyDescent="0.25">
      <c r="A861" t="s">
        <v>1020</v>
      </c>
      <c r="B861">
        <v>4</v>
      </c>
      <c r="C861" t="s">
        <v>4029</v>
      </c>
      <c r="D861" t="s">
        <v>144</v>
      </c>
      <c r="E861" s="13">
        <v>9225</v>
      </c>
      <c r="F861" s="12">
        <v>7.95</v>
      </c>
      <c r="G861" t="str">
        <f>IFERROR(INDEX(tEditais[Órgão],MATCH(tItens[[#This Row],[Edital]],tEditais[Edital],0)),"")</f>
        <v>ESTADO DO CEARA</v>
      </c>
      <c r="H861" t="str">
        <f>IFERROR(INDEX(tEditais[UF],MATCH(tItens[[#This Row],[Edital]],tEditais[Edital],0)),"")</f>
        <v>CE</v>
      </c>
      <c r="I861" s="11">
        <f>IFERROR(INDEX(tEditais[Encerramento],MATCH(tItens[[#This Row],[Edital]],tEditais[Edital],0)),"")</f>
        <v>46310.375</v>
      </c>
      <c r="J861" t="str">
        <f>IFERROR(INDEX(tProdutos[Classe],MATCH(tItens[[#This Row],[Produto]],tProdutos[Produto],0)),"produto não cadastrado")</f>
        <v>DISPUTADO</v>
      </c>
      <c r="K861" s="12">
        <f>tItens[[#This Row],[Qtd]]*tItens[[#This Row],[Vlr unit]]</f>
        <v>73338.75</v>
      </c>
      <c r="L861" s="6">
        <f>IFERROR(IF(INDEX(tProdutos[Desconto homologado],MATCH(tItens[[#This Row],[Produto]],tProdutos[Produto],0))="",DescontoPadrao,INDEX(tProdutos[Desconto homologado],MATCH(tItens[[#This Row],[Produto]],tProdutos[Produto],0))),DescontoPadrao)</f>
        <v>0.371428571428571</v>
      </c>
      <c r="M861" s="12">
        <f>tItens[[#This Row],[Valor]]*(1-tItens[[#This Row],[Desconto]])</f>
        <v>46098.642857142891</v>
      </c>
      <c r="N861" t="str">
        <f>IFERROR(INDEX(tProdutos[Foco],MATCH(tItens[[#This Row],[Produto]],tProdutos[Produto],0)),"Não")</f>
        <v>Não</v>
      </c>
      <c r="O861" t="str">
        <f>IFERROR(INDEX(tEditais[SRP],MATCH(tItens[[#This Row],[Edital]],tEditais[Edital],0)),"Não")</f>
        <v>Sim</v>
      </c>
      <c r="P861" s="4">
        <f>IF(COUNTIFS(INDEX(tItens[Edital],1):tItens[[#This Row],[Edital]],tItens[[#This Row],[Edital]],INDEX(tItens[Produto],1):tItens[[#This Row],[Produto]],tItens[[#This Row],[Produto]])=1,1,0)</f>
        <v>1</v>
      </c>
    </row>
    <row r="862" spans="1:16" x14ac:dyDescent="0.25">
      <c r="A862" t="s">
        <v>1020</v>
      </c>
      <c r="B862">
        <v>5</v>
      </c>
      <c r="C862" t="s">
        <v>4029</v>
      </c>
      <c r="D862" t="s">
        <v>144</v>
      </c>
      <c r="E862" s="13">
        <v>8050</v>
      </c>
      <c r="F862" s="12">
        <v>10.48</v>
      </c>
      <c r="G862" t="str">
        <f>IFERROR(INDEX(tEditais[Órgão],MATCH(tItens[[#This Row],[Edital]],tEditais[Edital],0)),"")</f>
        <v>ESTADO DO CEARA</v>
      </c>
      <c r="H862" t="str">
        <f>IFERROR(INDEX(tEditais[UF],MATCH(tItens[[#This Row],[Edital]],tEditais[Edital],0)),"")</f>
        <v>CE</v>
      </c>
      <c r="I862" s="11">
        <f>IFERROR(INDEX(tEditais[Encerramento],MATCH(tItens[[#This Row],[Edital]],tEditais[Edital],0)),"")</f>
        <v>46310.375</v>
      </c>
      <c r="J862" t="str">
        <f>IFERROR(INDEX(tProdutos[Classe],MATCH(tItens[[#This Row],[Produto]],tProdutos[Produto],0)),"produto não cadastrado")</f>
        <v>DISPUTADO</v>
      </c>
      <c r="K862" s="12">
        <f>tItens[[#This Row],[Qtd]]*tItens[[#This Row],[Vlr unit]]</f>
        <v>84364</v>
      </c>
      <c r="L862" s="6">
        <f>IFERROR(IF(INDEX(tProdutos[Desconto homologado],MATCH(tItens[[#This Row],[Produto]],tProdutos[Produto],0))="",DescontoPadrao,INDEX(tProdutos[Desconto homologado],MATCH(tItens[[#This Row],[Produto]],tProdutos[Produto],0))),DescontoPadrao)</f>
        <v>0.371428571428571</v>
      </c>
      <c r="M862" s="12">
        <f>tItens[[#This Row],[Valor]]*(1-tItens[[#This Row],[Desconto]])</f>
        <v>53028.800000000039</v>
      </c>
      <c r="N862" t="str">
        <f>IFERROR(INDEX(tProdutos[Foco],MATCH(tItens[[#This Row],[Produto]],tProdutos[Produto],0)),"Não")</f>
        <v>Não</v>
      </c>
      <c r="O862" t="str">
        <f>IFERROR(INDEX(tEditais[SRP],MATCH(tItens[[#This Row],[Edital]],tEditais[Edital],0)),"Não")</f>
        <v>Sim</v>
      </c>
      <c r="P862" s="4">
        <f>IF(COUNTIFS(INDEX(tItens[Edital],1):tItens[[#This Row],[Edital]],tItens[[#This Row],[Edital]],INDEX(tItens[Produto],1):tItens[[#This Row],[Produto]],tItens[[#This Row],[Produto]])=1,1,0)</f>
        <v>0</v>
      </c>
    </row>
    <row r="863" spans="1:16" x14ac:dyDescent="0.25">
      <c r="A863" t="s">
        <v>1023</v>
      </c>
      <c r="B863">
        <v>3</v>
      </c>
      <c r="C863" t="s">
        <v>4030</v>
      </c>
      <c r="D863" t="s">
        <v>315</v>
      </c>
      <c r="E863" s="13">
        <v>36</v>
      </c>
      <c r="F863" s="12">
        <v>0</v>
      </c>
      <c r="G863" t="str">
        <f>IFERROR(INDEX(tEditais[Órgão],MATCH(tItens[[#This Row],[Edital]],tEditais[Edital],0)),"")</f>
        <v>CONSORCIO PUBLICO DE SAUDE DA MICRORREGIAO DE SOBRAL - CPSMS</v>
      </c>
      <c r="H863" t="str">
        <f>IFERROR(INDEX(tEditais[UF],MATCH(tItens[[#This Row],[Edital]],tEditais[Edital],0)),"")</f>
        <v>CE</v>
      </c>
      <c r="I863" s="11">
        <f>IFERROR(INDEX(tEditais[Encerramento],MATCH(tItens[[#This Row],[Edital]],tEditais[Edital],0)),"")</f>
        <v>46310.375</v>
      </c>
      <c r="J863" t="str">
        <f>IFERROR(INDEX(tProdutos[Classe],MATCH(tItens[[#This Row],[Produto]],tProdutos[Produto],0)),"produto não cadastrado")</f>
        <v>FORA</v>
      </c>
      <c r="K863" s="12">
        <f>tItens[[#This Row],[Qtd]]*tItens[[#This Row],[Vlr unit]]</f>
        <v>0</v>
      </c>
      <c r="L863" s="6">
        <f>IFERROR(IF(INDEX(tProdutos[Desconto homologado],MATCH(tItens[[#This Row],[Produto]],tProdutos[Produto],0))="",DescontoPadrao,INDEX(tProdutos[Desconto homologado],MATCH(tItens[[#This Row],[Produto]],tProdutos[Produto],0))),DescontoPadrao)</f>
        <v>0.38432036097010702</v>
      </c>
      <c r="M863" s="12">
        <f>tItens[[#This Row],[Valor]]*(1-tItens[[#This Row],[Desconto]])</f>
        <v>0</v>
      </c>
      <c r="N863" t="str">
        <f>IFERROR(INDEX(tProdutos[Foco],MATCH(tItens[[#This Row],[Produto]],tProdutos[Produto],0)),"Não")</f>
        <v>Não</v>
      </c>
      <c r="O863" t="str">
        <f>IFERROR(INDEX(tEditais[SRP],MATCH(tItens[[#This Row],[Edital]],tEditais[Edital],0)),"Não")</f>
        <v>Não</v>
      </c>
      <c r="P863" s="4">
        <f>IF(COUNTIFS(INDEX(tItens[Edital],1):tItens[[#This Row],[Edital]],tItens[[#This Row],[Edital]],INDEX(tItens[Produto],1):tItens[[#This Row],[Produto]],tItens[[#This Row],[Produto]])=1,1,0)</f>
        <v>1</v>
      </c>
    </row>
    <row r="864" spans="1:16" x14ac:dyDescent="0.25">
      <c r="A864" t="s">
        <v>1023</v>
      </c>
      <c r="B864">
        <v>4</v>
      </c>
      <c r="C864" t="s">
        <v>4031</v>
      </c>
      <c r="D864" t="s">
        <v>315</v>
      </c>
      <c r="E864" s="13">
        <v>44</v>
      </c>
      <c r="F864" s="12">
        <v>0</v>
      </c>
      <c r="G864" t="str">
        <f>IFERROR(INDEX(tEditais[Órgão],MATCH(tItens[[#This Row],[Edital]],tEditais[Edital],0)),"")</f>
        <v>CONSORCIO PUBLICO DE SAUDE DA MICRORREGIAO DE SOBRAL - CPSMS</v>
      </c>
      <c r="H864" t="str">
        <f>IFERROR(INDEX(tEditais[UF],MATCH(tItens[[#This Row],[Edital]],tEditais[Edital],0)),"")</f>
        <v>CE</v>
      </c>
      <c r="I864" s="11">
        <f>IFERROR(INDEX(tEditais[Encerramento],MATCH(tItens[[#This Row],[Edital]],tEditais[Edital],0)),"")</f>
        <v>46310.375</v>
      </c>
      <c r="J864" t="str">
        <f>IFERROR(INDEX(tProdutos[Classe],MATCH(tItens[[#This Row],[Produto]],tProdutos[Produto],0)),"produto não cadastrado")</f>
        <v>FORA</v>
      </c>
      <c r="K864" s="12">
        <f>tItens[[#This Row],[Qtd]]*tItens[[#This Row],[Vlr unit]]</f>
        <v>0</v>
      </c>
      <c r="L864" s="6">
        <f>IFERROR(IF(INDEX(tProdutos[Desconto homologado],MATCH(tItens[[#This Row],[Produto]],tProdutos[Produto],0))="",DescontoPadrao,INDEX(tProdutos[Desconto homologado],MATCH(tItens[[#This Row],[Produto]],tProdutos[Produto],0))),DescontoPadrao)</f>
        <v>0.38432036097010702</v>
      </c>
      <c r="M864" s="12">
        <f>tItens[[#This Row],[Valor]]*(1-tItens[[#This Row],[Desconto]])</f>
        <v>0</v>
      </c>
      <c r="N864" t="str">
        <f>IFERROR(INDEX(tProdutos[Foco],MATCH(tItens[[#This Row],[Produto]],tProdutos[Produto],0)),"Não")</f>
        <v>Não</v>
      </c>
      <c r="O864" t="str">
        <f>IFERROR(INDEX(tEditais[SRP],MATCH(tItens[[#This Row],[Edital]],tEditais[Edital],0)),"Não")</f>
        <v>Não</v>
      </c>
      <c r="P864" s="4">
        <f>IF(COUNTIFS(INDEX(tItens[Edital],1):tItens[[#This Row],[Edital]],tItens[[#This Row],[Edital]],INDEX(tItens[Produto],1):tItens[[#This Row],[Produto]],tItens[[#This Row],[Produto]])=1,1,0)</f>
        <v>0</v>
      </c>
    </row>
    <row r="865" spans="1:16" x14ac:dyDescent="0.25">
      <c r="A865" t="s">
        <v>1023</v>
      </c>
      <c r="B865">
        <v>5</v>
      </c>
      <c r="C865" t="s">
        <v>4032</v>
      </c>
      <c r="D865" t="s">
        <v>315</v>
      </c>
      <c r="E865" s="13">
        <v>8</v>
      </c>
      <c r="F865" s="12">
        <v>0</v>
      </c>
      <c r="G865" t="str">
        <f>IFERROR(INDEX(tEditais[Órgão],MATCH(tItens[[#This Row],[Edital]],tEditais[Edital],0)),"")</f>
        <v>CONSORCIO PUBLICO DE SAUDE DA MICRORREGIAO DE SOBRAL - CPSMS</v>
      </c>
      <c r="H865" t="str">
        <f>IFERROR(INDEX(tEditais[UF],MATCH(tItens[[#This Row],[Edital]],tEditais[Edital],0)),"")</f>
        <v>CE</v>
      </c>
      <c r="I865" s="11">
        <f>IFERROR(INDEX(tEditais[Encerramento],MATCH(tItens[[#This Row],[Edital]],tEditais[Edital],0)),"")</f>
        <v>46310.375</v>
      </c>
      <c r="J865" t="str">
        <f>IFERROR(INDEX(tProdutos[Classe],MATCH(tItens[[#This Row],[Produto]],tProdutos[Produto],0)),"produto não cadastrado")</f>
        <v>FORA</v>
      </c>
      <c r="K865" s="12">
        <f>tItens[[#This Row],[Qtd]]*tItens[[#This Row],[Vlr unit]]</f>
        <v>0</v>
      </c>
      <c r="L865" s="6">
        <f>IFERROR(IF(INDEX(tProdutos[Desconto homologado],MATCH(tItens[[#This Row],[Produto]],tProdutos[Produto],0))="",DescontoPadrao,INDEX(tProdutos[Desconto homologado],MATCH(tItens[[#This Row],[Produto]],tProdutos[Produto],0))),DescontoPadrao)</f>
        <v>0.38432036097010702</v>
      </c>
      <c r="M865" s="12">
        <f>tItens[[#This Row],[Valor]]*(1-tItens[[#This Row],[Desconto]])</f>
        <v>0</v>
      </c>
      <c r="N865" t="str">
        <f>IFERROR(INDEX(tProdutos[Foco],MATCH(tItens[[#This Row],[Produto]],tProdutos[Produto],0)),"Não")</f>
        <v>Não</v>
      </c>
      <c r="O865" t="str">
        <f>IFERROR(INDEX(tEditais[SRP],MATCH(tItens[[#This Row],[Edital]],tEditais[Edital],0)),"Não")</f>
        <v>Não</v>
      </c>
      <c r="P865" s="4">
        <f>IF(COUNTIFS(INDEX(tItens[Edital],1):tItens[[#This Row],[Edital]],tItens[[#This Row],[Edital]],INDEX(tItens[Produto],1):tItens[[#This Row],[Produto]],tItens[[#This Row],[Produto]])=1,1,0)</f>
        <v>0</v>
      </c>
    </row>
    <row r="866" spans="1:16" x14ac:dyDescent="0.25">
      <c r="A866" t="s">
        <v>1023</v>
      </c>
      <c r="B866">
        <v>6</v>
      </c>
      <c r="C866" t="s">
        <v>4033</v>
      </c>
      <c r="D866" t="s">
        <v>315</v>
      </c>
      <c r="E866" s="13">
        <v>10</v>
      </c>
      <c r="F866" s="12">
        <v>0</v>
      </c>
      <c r="G866" t="str">
        <f>IFERROR(INDEX(tEditais[Órgão],MATCH(tItens[[#This Row],[Edital]],tEditais[Edital],0)),"")</f>
        <v>CONSORCIO PUBLICO DE SAUDE DA MICRORREGIAO DE SOBRAL - CPSMS</v>
      </c>
      <c r="H866" t="str">
        <f>IFERROR(INDEX(tEditais[UF],MATCH(tItens[[#This Row],[Edital]],tEditais[Edital],0)),"")</f>
        <v>CE</v>
      </c>
      <c r="I866" s="11">
        <f>IFERROR(INDEX(tEditais[Encerramento],MATCH(tItens[[#This Row],[Edital]],tEditais[Edital],0)),"")</f>
        <v>46310.375</v>
      </c>
      <c r="J866" t="str">
        <f>IFERROR(INDEX(tProdutos[Classe],MATCH(tItens[[#This Row],[Produto]],tProdutos[Produto],0)),"produto não cadastrado")</f>
        <v>FORA</v>
      </c>
      <c r="K866" s="12">
        <f>tItens[[#This Row],[Qtd]]*tItens[[#This Row],[Vlr unit]]</f>
        <v>0</v>
      </c>
      <c r="L866" s="6">
        <f>IFERROR(IF(INDEX(tProdutos[Desconto homologado],MATCH(tItens[[#This Row],[Produto]],tProdutos[Produto],0))="",DescontoPadrao,INDEX(tProdutos[Desconto homologado],MATCH(tItens[[#This Row],[Produto]],tProdutos[Produto],0))),DescontoPadrao)</f>
        <v>0.38432036097010702</v>
      </c>
      <c r="M866" s="12">
        <f>tItens[[#This Row],[Valor]]*(1-tItens[[#This Row],[Desconto]])</f>
        <v>0</v>
      </c>
      <c r="N866" t="str">
        <f>IFERROR(INDEX(tProdutos[Foco],MATCH(tItens[[#This Row],[Produto]],tProdutos[Produto],0)),"Não")</f>
        <v>Não</v>
      </c>
      <c r="O866" t="str">
        <f>IFERROR(INDEX(tEditais[SRP],MATCH(tItens[[#This Row],[Edital]],tEditais[Edital],0)),"Não")</f>
        <v>Não</v>
      </c>
      <c r="P866" s="4">
        <f>IF(COUNTIFS(INDEX(tItens[Edital],1):tItens[[#This Row],[Edital]],tItens[[#This Row],[Edital]],INDEX(tItens[Produto],1):tItens[[#This Row],[Produto]],tItens[[#This Row],[Produto]])=1,1,0)</f>
        <v>0</v>
      </c>
    </row>
    <row r="867" spans="1:16" x14ac:dyDescent="0.25">
      <c r="A867" t="s">
        <v>1023</v>
      </c>
      <c r="B867">
        <v>25</v>
      </c>
      <c r="C867" t="s">
        <v>4034</v>
      </c>
      <c r="D867" t="s">
        <v>409</v>
      </c>
      <c r="E867" s="13">
        <v>50</v>
      </c>
      <c r="F867" s="12">
        <v>0</v>
      </c>
      <c r="G867" t="str">
        <f>IFERROR(INDEX(tEditais[Órgão],MATCH(tItens[[#This Row],[Edital]],tEditais[Edital],0)),"")</f>
        <v>CONSORCIO PUBLICO DE SAUDE DA MICRORREGIAO DE SOBRAL - CPSMS</v>
      </c>
      <c r="H867" t="str">
        <f>IFERROR(INDEX(tEditais[UF],MATCH(tItens[[#This Row],[Edital]],tEditais[Edital],0)),"")</f>
        <v>CE</v>
      </c>
      <c r="I867" s="11">
        <f>IFERROR(INDEX(tEditais[Encerramento],MATCH(tItens[[#This Row],[Edital]],tEditais[Edital],0)),"")</f>
        <v>46310.375</v>
      </c>
      <c r="J867" t="str">
        <f>IFERROR(INDEX(tProdutos[Classe],MATCH(tItens[[#This Row],[Produto]],tProdutos[Produto],0)),"produto não cadastrado")</f>
        <v>FORA</v>
      </c>
      <c r="K867" s="12">
        <f>tItens[[#This Row],[Qtd]]*tItens[[#This Row],[Vlr unit]]</f>
        <v>0</v>
      </c>
      <c r="L867" s="6">
        <f>IFERROR(IF(INDEX(tProdutos[Desconto homologado],MATCH(tItens[[#This Row],[Produto]],tProdutos[Produto],0))="",DescontoPadrao,INDEX(tProdutos[Desconto homologado],MATCH(tItens[[#This Row],[Produto]],tProdutos[Produto],0))),DescontoPadrao)</f>
        <v>0.24924924924924899</v>
      </c>
      <c r="M867" s="12">
        <f>tItens[[#This Row],[Valor]]*(1-tItens[[#This Row],[Desconto]])</f>
        <v>0</v>
      </c>
      <c r="N867" t="str">
        <f>IFERROR(INDEX(tProdutos[Foco],MATCH(tItens[[#This Row],[Produto]],tProdutos[Produto],0)),"Não")</f>
        <v>Não</v>
      </c>
      <c r="O867" t="str">
        <f>IFERROR(INDEX(tEditais[SRP],MATCH(tItens[[#This Row],[Edital]],tEditais[Edital],0)),"Não")</f>
        <v>Não</v>
      </c>
      <c r="P867" s="4">
        <f>IF(COUNTIFS(INDEX(tItens[Edital],1):tItens[[#This Row],[Edital]],tItens[[#This Row],[Edital]],INDEX(tItens[Produto],1):tItens[[#This Row],[Produto]],tItens[[#This Row],[Produto]])=1,1,0)</f>
        <v>1</v>
      </c>
    </row>
    <row r="868" spans="1:16" x14ac:dyDescent="0.25">
      <c r="A868" t="s">
        <v>1023</v>
      </c>
      <c r="B868">
        <v>26</v>
      </c>
      <c r="C868" t="s">
        <v>4035</v>
      </c>
      <c r="D868" t="s">
        <v>73</v>
      </c>
      <c r="E868" s="13">
        <v>10</v>
      </c>
      <c r="F868" s="12">
        <v>0</v>
      </c>
      <c r="G868" t="str">
        <f>IFERROR(INDEX(tEditais[Órgão],MATCH(tItens[[#This Row],[Edital]],tEditais[Edital],0)),"")</f>
        <v>CONSORCIO PUBLICO DE SAUDE DA MICRORREGIAO DE SOBRAL - CPSMS</v>
      </c>
      <c r="H868" t="str">
        <f>IFERROR(INDEX(tEditais[UF],MATCH(tItens[[#This Row],[Edital]],tEditais[Edital],0)),"")</f>
        <v>CE</v>
      </c>
      <c r="I868" s="11">
        <f>IFERROR(INDEX(tEditais[Encerramento],MATCH(tItens[[#This Row],[Edital]],tEditais[Edital],0)),"")</f>
        <v>46310.375</v>
      </c>
      <c r="J868" t="str">
        <f>IFERROR(INDEX(tProdutos[Classe],MATCH(tItens[[#This Row],[Produto]],tProdutos[Produto],0)),"produto não cadastrado")</f>
        <v>NÚCLEO</v>
      </c>
      <c r="K868" s="12">
        <f>tItens[[#This Row],[Qtd]]*tItens[[#This Row],[Vlr unit]]</f>
        <v>0</v>
      </c>
      <c r="L868" s="6">
        <f>IFERROR(IF(INDEX(tProdutos[Desconto homologado],MATCH(tItens[[#This Row],[Produto]],tProdutos[Produto],0))="",DescontoPadrao,INDEX(tProdutos[Desconto homologado],MATCH(tItens[[#This Row],[Produto]],tProdutos[Produto],0))),DescontoPadrao)</f>
        <v>0.37</v>
      </c>
      <c r="M868" s="12">
        <f>tItens[[#This Row],[Valor]]*(1-tItens[[#This Row],[Desconto]])</f>
        <v>0</v>
      </c>
      <c r="N868" t="str">
        <f>IFERROR(INDEX(tProdutos[Foco],MATCH(tItens[[#This Row],[Produto]],tProdutos[Produto],0)),"Não")</f>
        <v>Sim</v>
      </c>
      <c r="O868" t="str">
        <f>IFERROR(INDEX(tEditais[SRP],MATCH(tItens[[#This Row],[Edital]],tEditais[Edital],0)),"Não")</f>
        <v>Não</v>
      </c>
      <c r="P868" s="4">
        <f>IF(COUNTIFS(INDEX(tItens[Edital],1):tItens[[#This Row],[Edital]],tItens[[#This Row],[Edital]],INDEX(tItens[Produto],1):tItens[[#This Row],[Produto]],tItens[[#This Row],[Produto]])=1,1,0)</f>
        <v>1</v>
      </c>
    </row>
    <row r="869" spans="1:16" x14ac:dyDescent="0.25">
      <c r="A869" t="s">
        <v>1023</v>
      </c>
      <c r="B869">
        <v>27</v>
      </c>
      <c r="C869" t="s">
        <v>4036</v>
      </c>
      <c r="D869" t="s">
        <v>73</v>
      </c>
      <c r="E869" s="13">
        <v>10</v>
      </c>
      <c r="F869" s="12">
        <v>0</v>
      </c>
      <c r="G869" t="str">
        <f>IFERROR(INDEX(tEditais[Órgão],MATCH(tItens[[#This Row],[Edital]],tEditais[Edital],0)),"")</f>
        <v>CONSORCIO PUBLICO DE SAUDE DA MICRORREGIAO DE SOBRAL - CPSMS</v>
      </c>
      <c r="H869" t="str">
        <f>IFERROR(INDEX(tEditais[UF],MATCH(tItens[[#This Row],[Edital]],tEditais[Edital],0)),"")</f>
        <v>CE</v>
      </c>
      <c r="I869" s="11">
        <f>IFERROR(INDEX(tEditais[Encerramento],MATCH(tItens[[#This Row],[Edital]],tEditais[Edital],0)),"")</f>
        <v>46310.375</v>
      </c>
      <c r="J869" t="str">
        <f>IFERROR(INDEX(tProdutos[Classe],MATCH(tItens[[#This Row],[Produto]],tProdutos[Produto],0)),"produto não cadastrado")</f>
        <v>NÚCLEO</v>
      </c>
      <c r="K869" s="12">
        <f>tItens[[#This Row],[Qtd]]*tItens[[#This Row],[Vlr unit]]</f>
        <v>0</v>
      </c>
      <c r="L869" s="6">
        <f>IFERROR(IF(INDEX(tProdutos[Desconto homologado],MATCH(tItens[[#This Row],[Produto]],tProdutos[Produto],0))="",DescontoPadrao,INDEX(tProdutos[Desconto homologado],MATCH(tItens[[#This Row],[Produto]],tProdutos[Produto],0))),DescontoPadrao)</f>
        <v>0.37</v>
      </c>
      <c r="M869" s="12">
        <f>tItens[[#This Row],[Valor]]*(1-tItens[[#This Row],[Desconto]])</f>
        <v>0</v>
      </c>
      <c r="N869" t="str">
        <f>IFERROR(INDEX(tProdutos[Foco],MATCH(tItens[[#This Row],[Produto]],tProdutos[Produto],0)),"Não")</f>
        <v>Sim</v>
      </c>
      <c r="O869" t="str">
        <f>IFERROR(INDEX(tEditais[SRP],MATCH(tItens[[#This Row],[Edital]],tEditais[Edital],0)),"Não")</f>
        <v>Não</v>
      </c>
      <c r="P869" s="4">
        <f>IF(COUNTIFS(INDEX(tItens[Edital],1):tItens[[#This Row],[Edital]],tItens[[#This Row],[Edital]],INDEX(tItens[Produto],1):tItens[[#This Row],[Produto]],tItens[[#This Row],[Produto]])=1,1,0)</f>
        <v>0</v>
      </c>
    </row>
    <row r="870" spans="1:16" x14ac:dyDescent="0.25">
      <c r="A870" t="s">
        <v>1023</v>
      </c>
      <c r="B870">
        <v>28</v>
      </c>
      <c r="C870" t="s">
        <v>4037</v>
      </c>
      <c r="D870" t="s">
        <v>365</v>
      </c>
      <c r="E870" s="13">
        <v>100</v>
      </c>
      <c r="F870" s="12">
        <v>0</v>
      </c>
      <c r="G870" t="str">
        <f>IFERROR(INDEX(tEditais[Órgão],MATCH(tItens[[#This Row],[Edital]],tEditais[Edital],0)),"")</f>
        <v>CONSORCIO PUBLICO DE SAUDE DA MICRORREGIAO DE SOBRAL - CPSMS</v>
      </c>
      <c r="H870" t="str">
        <f>IFERROR(INDEX(tEditais[UF],MATCH(tItens[[#This Row],[Edital]],tEditais[Edital],0)),"")</f>
        <v>CE</v>
      </c>
      <c r="I870" s="11">
        <f>IFERROR(INDEX(tEditais[Encerramento],MATCH(tItens[[#This Row],[Edital]],tEditais[Edital],0)),"")</f>
        <v>46310.375</v>
      </c>
      <c r="J870" t="str">
        <f>IFERROR(INDEX(tProdutos[Classe],MATCH(tItens[[#This Row],[Produto]],tProdutos[Produto],0)),"produto não cadastrado")</f>
        <v>FORA</v>
      </c>
      <c r="K870" s="12">
        <f>tItens[[#This Row],[Qtd]]*tItens[[#This Row],[Vlr unit]]</f>
        <v>0</v>
      </c>
      <c r="L870" s="6">
        <f>IFERROR(IF(INDEX(tProdutos[Desconto homologado],MATCH(tItens[[#This Row],[Produto]],tProdutos[Produto],0))="",DescontoPadrao,INDEX(tProdutos[Desconto homologado],MATCH(tItens[[#This Row],[Produto]],tProdutos[Produto],0))),DescontoPadrao)</f>
        <v>0.41120529659182697</v>
      </c>
      <c r="M870" s="12">
        <f>tItens[[#This Row],[Valor]]*(1-tItens[[#This Row],[Desconto]])</f>
        <v>0</v>
      </c>
      <c r="N870" t="str">
        <f>IFERROR(INDEX(tProdutos[Foco],MATCH(tItens[[#This Row],[Produto]],tProdutos[Produto],0)),"Não")</f>
        <v>Não</v>
      </c>
      <c r="O870" t="str">
        <f>IFERROR(INDEX(tEditais[SRP],MATCH(tItens[[#This Row],[Edital]],tEditais[Edital],0)),"Não")</f>
        <v>Não</v>
      </c>
      <c r="P870" s="4">
        <f>IF(COUNTIFS(INDEX(tItens[Edital],1):tItens[[#This Row],[Edital]],tItens[[#This Row],[Edital]],INDEX(tItens[Produto],1):tItens[[#This Row],[Produto]],tItens[[#This Row],[Produto]])=1,1,0)</f>
        <v>1</v>
      </c>
    </row>
    <row r="871" spans="1:16" x14ac:dyDescent="0.25">
      <c r="A871" t="s">
        <v>1023</v>
      </c>
      <c r="B871">
        <v>29</v>
      </c>
      <c r="C871" t="s">
        <v>4038</v>
      </c>
      <c r="D871" t="s">
        <v>379</v>
      </c>
      <c r="E871" s="13">
        <v>100</v>
      </c>
      <c r="F871" s="12">
        <v>0</v>
      </c>
      <c r="G871" t="str">
        <f>IFERROR(INDEX(tEditais[Órgão],MATCH(tItens[[#This Row],[Edital]],tEditais[Edital],0)),"")</f>
        <v>CONSORCIO PUBLICO DE SAUDE DA MICRORREGIAO DE SOBRAL - CPSMS</v>
      </c>
      <c r="H871" t="str">
        <f>IFERROR(INDEX(tEditais[UF],MATCH(tItens[[#This Row],[Edital]],tEditais[Edital],0)),"")</f>
        <v>CE</v>
      </c>
      <c r="I871" s="11">
        <f>IFERROR(INDEX(tEditais[Encerramento],MATCH(tItens[[#This Row],[Edital]],tEditais[Edital],0)),"")</f>
        <v>46310.375</v>
      </c>
      <c r="J871" t="str">
        <f>IFERROR(INDEX(tProdutos[Classe],MATCH(tItens[[#This Row],[Produto]],tProdutos[Produto],0)),"produto não cadastrado")</f>
        <v>FORA</v>
      </c>
      <c r="K871" s="12">
        <f>tItens[[#This Row],[Qtd]]*tItens[[#This Row],[Vlr unit]]</f>
        <v>0</v>
      </c>
      <c r="L871" s="6">
        <f>IFERROR(IF(INDEX(tProdutos[Desconto homologado],MATCH(tItens[[#This Row],[Produto]],tProdutos[Produto],0))="",DescontoPadrao,INDEX(tProdutos[Desconto homologado],MATCH(tItens[[#This Row],[Produto]],tProdutos[Produto],0))),DescontoPadrao)</f>
        <v>0.49504950495049499</v>
      </c>
      <c r="M871" s="12">
        <f>tItens[[#This Row],[Valor]]*(1-tItens[[#This Row],[Desconto]])</f>
        <v>0</v>
      </c>
      <c r="N871" t="str">
        <f>IFERROR(INDEX(tProdutos[Foco],MATCH(tItens[[#This Row],[Produto]],tProdutos[Produto],0)),"Não")</f>
        <v>Não</v>
      </c>
      <c r="O871" t="str">
        <f>IFERROR(INDEX(tEditais[SRP],MATCH(tItens[[#This Row],[Edital]],tEditais[Edital],0)),"Não")</f>
        <v>Não</v>
      </c>
      <c r="P871" s="4">
        <f>IF(COUNTIFS(INDEX(tItens[Edital],1):tItens[[#This Row],[Edital]],tItens[[#This Row],[Edital]],INDEX(tItens[Produto],1):tItens[[#This Row],[Produto]],tItens[[#This Row],[Produto]])=1,1,0)</f>
        <v>1</v>
      </c>
    </row>
    <row r="872" spans="1:16" x14ac:dyDescent="0.25">
      <c r="A872" t="s">
        <v>1023</v>
      </c>
      <c r="B872">
        <v>30</v>
      </c>
      <c r="C872" t="s">
        <v>4039</v>
      </c>
      <c r="D872" t="s">
        <v>247</v>
      </c>
      <c r="E872" s="13">
        <v>100</v>
      </c>
      <c r="F872" s="12">
        <v>0</v>
      </c>
      <c r="G872" t="str">
        <f>IFERROR(INDEX(tEditais[Órgão],MATCH(tItens[[#This Row],[Edital]],tEditais[Edital],0)),"")</f>
        <v>CONSORCIO PUBLICO DE SAUDE DA MICRORREGIAO DE SOBRAL - CPSMS</v>
      </c>
      <c r="H872" t="str">
        <f>IFERROR(INDEX(tEditais[UF],MATCH(tItens[[#This Row],[Edital]],tEditais[Edital],0)),"")</f>
        <v>CE</v>
      </c>
      <c r="I872" s="11">
        <f>IFERROR(INDEX(tEditais[Encerramento],MATCH(tItens[[#This Row],[Edital]],tEditais[Edital],0)),"")</f>
        <v>46310.375</v>
      </c>
      <c r="J872" t="str">
        <f>IFERROR(INDEX(tProdutos[Classe],MATCH(tItens[[#This Row],[Produto]],tProdutos[Produto],0)),"produto não cadastrado")</f>
        <v>FORA</v>
      </c>
      <c r="K872" s="12">
        <f>tItens[[#This Row],[Qtd]]*tItens[[#This Row],[Vlr unit]]</f>
        <v>0</v>
      </c>
      <c r="L872" s="6">
        <f>IFERROR(IF(INDEX(tProdutos[Desconto homologado],MATCH(tItens[[#This Row],[Produto]],tProdutos[Produto],0))="",DescontoPadrao,INDEX(tProdutos[Desconto homologado],MATCH(tItens[[#This Row],[Produto]],tProdutos[Produto],0))),DescontoPadrao)</f>
        <v>0.27353256199762999</v>
      </c>
      <c r="M872" s="12">
        <f>tItens[[#This Row],[Valor]]*(1-tItens[[#This Row],[Desconto]])</f>
        <v>0</v>
      </c>
      <c r="N872" t="str">
        <f>IFERROR(INDEX(tProdutos[Foco],MATCH(tItens[[#This Row],[Produto]],tProdutos[Produto],0)),"Não")</f>
        <v>Não</v>
      </c>
      <c r="O872" t="str">
        <f>IFERROR(INDEX(tEditais[SRP],MATCH(tItens[[#This Row],[Edital]],tEditais[Edital],0)),"Não")</f>
        <v>Não</v>
      </c>
      <c r="P872" s="4">
        <f>IF(COUNTIFS(INDEX(tItens[Edital],1):tItens[[#This Row],[Edital]],tItens[[#This Row],[Edital]],INDEX(tItens[Produto],1):tItens[[#This Row],[Produto]],tItens[[#This Row],[Produto]])=1,1,0)</f>
        <v>1</v>
      </c>
    </row>
    <row r="873" spans="1:16" x14ac:dyDescent="0.25">
      <c r="A873" t="s">
        <v>1023</v>
      </c>
      <c r="B873">
        <v>31</v>
      </c>
      <c r="C873" t="s">
        <v>4040</v>
      </c>
      <c r="D873" t="s">
        <v>287</v>
      </c>
      <c r="E873" s="13">
        <v>100</v>
      </c>
      <c r="F873" s="12">
        <v>0</v>
      </c>
      <c r="G873" t="str">
        <f>IFERROR(INDEX(tEditais[Órgão],MATCH(tItens[[#This Row],[Edital]],tEditais[Edital],0)),"")</f>
        <v>CONSORCIO PUBLICO DE SAUDE DA MICRORREGIAO DE SOBRAL - CPSMS</v>
      </c>
      <c r="H873" t="str">
        <f>IFERROR(INDEX(tEditais[UF],MATCH(tItens[[#This Row],[Edital]],tEditais[Edital],0)),"")</f>
        <v>CE</v>
      </c>
      <c r="I873" s="11">
        <f>IFERROR(INDEX(tEditais[Encerramento],MATCH(tItens[[#This Row],[Edital]],tEditais[Edital],0)),"")</f>
        <v>46310.375</v>
      </c>
      <c r="J873" t="str">
        <f>IFERROR(INDEX(tProdutos[Classe],MATCH(tItens[[#This Row],[Produto]],tProdutos[Produto],0)),"produto não cadastrado")</f>
        <v>FORA</v>
      </c>
      <c r="K873" s="12">
        <f>tItens[[#This Row],[Qtd]]*tItens[[#This Row],[Vlr unit]]</f>
        <v>0</v>
      </c>
      <c r="L873" s="6">
        <f>IFERROR(IF(INDEX(tProdutos[Desconto homologado],MATCH(tItens[[#This Row],[Produto]],tProdutos[Produto],0))="",DescontoPadrao,INDEX(tProdutos[Desconto homologado],MATCH(tItens[[#This Row],[Produto]],tProdutos[Produto],0))),DescontoPadrao)</f>
        <v>0.46344491178876002</v>
      </c>
      <c r="M873" s="12">
        <f>tItens[[#This Row],[Valor]]*(1-tItens[[#This Row],[Desconto]])</f>
        <v>0</v>
      </c>
      <c r="N873" t="str">
        <f>IFERROR(INDEX(tProdutos[Foco],MATCH(tItens[[#This Row],[Produto]],tProdutos[Produto],0)),"Não")</f>
        <v>Não</v>
      </c>
      <c r="O873" t="str">
        <f>IFERROR(INDEX(tEditais[SRP],MATCH(tItens[[#This Row],[Edital]],tEditais[Edital],0)),"Não")</f>
        <v>Não</v>
      </c>
      <c r="P873" s="4">
        <f>IF(COUNTIFS(INDEX(tItens[Edital],1):tItens[[#This Row],[Edital]],tItens[[#This Row],[Edital]],INDEX(tItens[Produto],1):tItens[[#This Row],[Produto]],tItens[[#This Row],[Produto]])=1,1,0)</f>
        <v>1</v>
      </c>
    </row>
    <row r="874" spans="1:16" x14ac:dyDescent="0.25">
      <c r="A874" t="s">
        <v>1023</v>
      </c>
      <c r="B874">
        <v>33</v>
      </c>
      <c r="C874" t="s">
        <v>4041</v>
      </c>
      <c r="D874" t="s">
        <v>383</v>
      </c>
      <c r="E874" s="13">
        <v>6900</v>
      </c>
      <c r="F874" s="12">
        <v>0</v>
      </c>
      <c r="G874" t="str">
        <f>IFERROR(INDEX(tEditais[Órgão],MATCH(tItens[[#This Row],[Edital]],tEditais[Edital],0)),"")</f>
        <v>CONSORCIO PUBLICO DE SAUDE DA MICRORREGIAO DE SOBRAL - CPSMS</v>
      </c>
      <c r="H874" t="str">
        <f>IFERROR(INDEX(tEditais[UF],MATCH(tItens[[#This Row],[Edital]],tEditais[Edital],0)),"")</f>
        <v>CE</v>
      </c>
      <c r="I874" s="11">
        <f>IFERROR(INDEX(tEditais[Encerramento],MATCH(tItens[[#This Row],[Edital]],tEditais[Edital],0)),"")</f>
        <v>46310.375</v>
      </c>
      <c r="J874" t="str">
        <f>IFERROR(INDEX(tProdutos[Classe],MATCH(tItens[[#This Row],[Produto]],tProdutos[Produto],0)),"produto não cadastrado")</f>
        <v>FORA</v>
      </c>
      <c r="K874" s="12">
        <f>tItens[[#This Row],[Qtd]]*tItens[[#This Row],[Vlr unit]]</f>
        <v>0</v>
      </c>
      <c r="L874" s="6">
        <f>IFERROR(IF(INDEX(tProdutos[Desconto homologado],MATCH(tItens[[#This Row],[Produto]],tProdutos[Produto],0))="",DescontoPadrao,INDEX(tProdutos[Desconto homologado],MATCH(tItens[[#This Row],[Produto]],tProdutos[Produto],0))),DescontoPadrao)</f>
        <v>0.48749999999999999</v>
      </c>
      <c r="M874" s="12">
        <f>tItens[[#This Row],[Valor]]*(1-tItens[[#This Row],[Desconto]])</f>
        <v>0</v>
      </c>
      <c r="N874" t="str">
        <f>IFERROR(INDEX(tProdutos[Foco],MATCH(tItens[[#This Row],[Produto]],tProdutos[Produto],0)),"Não")</f>
        <v>Não</v>
      </c>
      <c r="O874" t="str">
        <f>IFERROR(INDEX(tEditais[SRP],MATCH(tItens[[#This Row],[Edital]],tEditais[Edital],0)),"Não")</f>
        <v>Não</v>
      </c>
      <c r="P874" s="4">
        <f>IF(COUNTIFS(INDEX(tItens[Edital],1):tItens[[#This Row],[Edital]],tItens[[#This Row],[Edital]],INDEX(tItens[Produto],1):tItens[[#This Row],[Produto]],tItens[[#This Row],[Produto]])=1,1,0)</f>
        <v>1</v>
      </c>
    </row>
    <row r="875" spans="1:16" x14ac:dyDescent="0.25">
      <c r="A875" t="s">
        <v>1023</v>
      </c>
      <c r="B875">
        <v>39</v>
      </c>
      <c r="C875" t="s">
        <v>4042</v>
      </c>
      <c r="D875" t="s">
        <v>299</v>
      </c>
      <c r="E875" s="13">
        <v>250</v>
      </c>
      <c r="F875" s="12">
        <v>0</v>
      </c>
      <c r="G875" t="str">
        <f>IFERROR(INDEX(tEditais[Órgão],MATCH(tItens[[#This Row],[Edital]],tEditais[Edital],0)),"")</f>
        <v>CONSORCIO PUBLICO DE SAUDE DA MICRORREGIAO DE SOBRAL - CPSMS</v>
      </c>
      <c r="H875" t="str">
        <f>IFERROR(INDEX(tEditais[UF],MATCH(tItens[[#This Row],[Edital]],tEditais[Edital],0)),"")</f>
        <v>CE</v>
      </c>
      <c r="I875" s="11">
        <f>IFERROR(INDEX(tEditais[Encerramento],MATCH(tItens[[#This Row],[Edital]],tEditais[Edital],0)),"")</f>
        <v>46310.375</v>
      </c>
      <c r="J875" t="str">
        <f>IFERROR(INDEX(tProdutos[Classe],MATCH(tItens[[#This Row],[Produto]],tProdutos[Produto],0)),"produto não cadastrado")</f>
        <v>FORA</v>
      </c>
      <c r="K875" s="12">
        <f>tItens[[#This Row],[Qtd]]*tItens[[#This Row],[Vlr unit]]</f>
        <v>0</v>
      </c>
      <c r="L875" s="6">
        <f>IFERROR(IF(INDEX(tProdutos[Desconto homologado],MATCH(tItens[[#This Row],[Produto]],tProdutos[Produto],0))="",DescontoPadrao,INDEX(tProdutos[Desconto homologado],MATCH(tItens[[#This Row],[Produto]],tProdutos[Produto],0))),DescontoPadrao)</f>
        <v>0.42211465163381601</v>
      </c>
      <c r="M875" s="12">
        <f>tItens[[#This Row],[Valor]]*(1-tItens[[#This Row],[Desconto]])</f>
        <v>0</v>
      </c>
      <c r="N875" t="str">
        <f>IFERROR(INDEX(tProdutos[Foco],MATCH(tItens[[#This Row],[Produto]],tProdutos[Produto],0)),"Não")</f>
        <v>Não</v>
      </c>
      <c r="O875" t="str">
        <f>IFERROR(INDEX(tEditais[SRP],MATCH(tItens[[#This Row],[Edital]],tEditais[Edital],0)),"Não")</f>
        <v>Não</v>
      </c>
      <c r="P875" s="4">
        <f>IF(COUNTIFS(INDEX(tItens[Edital],1):tItens[[#This Row],[Edital]],tItens[[#This Row],[Edital]],INDEX(tItens[Produto],1):tItens[[#This Row],[Produto]],tItens[[#This Row],[Produto]])=1,1,0)</f>
        <v>1</v>
      </c>
    </row>
    <row r="876" spans="1:16" x14ac:dyDescent="0.25">
      <c r="A876" t="s">
        <v>1023</v>
      </c>
      <c r="B876">
        <v>40</v>
      </c>
      <c r="C876" t="s">
        <v>4043</v>
      </c>
      <c r="D876" t="s">
        <v>100</v>
      </c>
      <c r="E876" s="13">
        <v>200</v>
      </c>
      <c r="F876" s="12">
        <v>0</v>
      </c>
      <c r="G876" t="str">
        <f>IFERROR(INDEX(tEditais[Órgão],MATCH(tItens[[#This Row],[Edital]],tEditais[Edital],0)),"")</f>
        <v>CONSORCIO PUBLICO DE SAUDE DA MICRORREGIAO DE SOBRAL - CPSMS</v>
      </c>
      <c r="H876" t="str">
        <f>IFERROR(INDEX(tEditais[UF],MATCH(tItens[[#This Row],[Edital]],tEditais[Edital],0)),"")</f>
        <v>CE</v>
      </c>
      <c r="I876" s="11">
        <f>IFERROR(INDEX(tEditais[Encerramento],MATCH(tItens[[#This Row],[Edital]],tEditais[Edital],0)),"")</f>
        <v>46310.375</v>
      </c>
      <c r="J876" t="str">
        <f>IFERROR(INDEX(tProdutos[Classe],MATCH(tItens[[#This Row],[Produto]],tProdutos[Produto],0)),"produto não cadastrado")</f>
        <v>NÚCLEO</v>
      </c>
      <c r="K876" s="12">
        <f>tItens[[#This Row],[Qtd]]*tItens[[#This Row],[Vlr unit]]</f>
        <v>0</v>
      </c>
      <c r="L876" s="6">
        <f>IFERROR(IF(INDEX(tProdutos[Desconto homologado],MATCH(tItens[[#This Row],[Produto]],tProdutos[Produto],0))="",DescontoPadrao,INDEX(tProdutos[Desconto homologado],MATCH(tItens[[#This Row],[Produto]],tProdutos[Produto],0))),DescontoPadrao)</f>
        <v>0.24</v>
      </c>
      <c r="M876" s="12">
        <f>tItens[[#This Row],[Valor]]*(1-tItens[[#This Row],[Desconto]])</f>
        <v>0</v>
      </c>
      <c r="N876" t="str">
        <f>IFERROR(INDEX(tProdutos[Foco],MATCH(tItens[[#This Row],[Produto]],tProdutos[Produto],0)),"Não")</f>
        <v>Sim</v>
      </c>
      <c r="O876" t="str">
        <f>IFERROR(INDEX(tEditais[SRP],MATCH(tItens[[#This Row],[Edital]],tEditais[Edital],0)),"Não")</f>
        <v>Não</v>
      </c>
      <c r="P876" s="4">
        <f>IF(COUNTIFS(INDEX(tItens[Edital],1):tItens[[#This Row],[Edital]],tItens[[#This Row],[Edital]],INDEX(tItens[Produto],1):tItens[[#This Row],[Produto]],tItens[[#This Row],[Produto]])=1,1,0)</f>
        <v>1</v>
      </c>
    </row>
    <row r="877" spans="1:16" x14ac:dyDescent="0.25">
      <c r="A877" t="s">
        <v>1023</v>
      </c>
      <c r="B877">
        <v>41</v>
      </c>
      <c r="C877" t="s">
        <v>4044</v>
      </c>
      <c r="D877" t="s">
        <v>333</v>
      </c>
      <c r="E877" s="13">
        <v>75</v>
      </c>
      <c r="F877" s="12">
        <v>0</v>
      </c>
      <c r="G877" t="str">
        <f>IFERROR(INDEX(tEditais[Órgão],MATCH(tItens[[#This Row],[Edital]],tEditais[Edital],0)),"")</f>
        <v>CONSORCIO PUBLICO DE SAUDE DA MICRORREGIAO DE SOBRAL - CPSMS</v>
      </c>
      <c r="H877" t="str">
        <f>IFERROR(INDEX(tEditais[UF],MATCH(tItens[[#This Row],[Edital]],tEditais[Edital],0)),"")</f>
        <v>CE</v>
      </c>
      <c r="I877" s="11">
        <f>IFERROR(INDEX(tEditais[Encerramento],MATCH(tItens[[#This Row],[Edital]],tEditais[Edital],0)),"")</f>
        <v>46310.375</v>
      </c>
      <c r="J877" t="str">
        <f>IFERROR(INDEX(tProdutos[Classe],MATCH(tItens[[#This Row],[Produto]],tProdutos[Produto],0)),"produto não cadastrado")</f>
        <v>FORA</v>
      </c>
      <c r="K877" s="12">
        <f>tItens[[#This Row],[Qtd]]*tItens[[#This Row],[Vlr unit]]</f>
        <v>0</v>
      </c>
      <c r="L877" s="6">
        <f>IFERROR(IF(INDEX(tProdutos[Desconto homologado],MATCH(tItens[[#This Row],[Produto]],tProdutos[Produto],0))="",DescontoPadrao,INDEX(tProdutos[Desconto homologado],MATCH(tItens[[#This Row],[Produto]],tProdutos[Produto],0))),DescontoPadrao)</f>
        <v>0.48951048951048998</v>
      </c>
      <c r="M877" s="12">
        <f>tItens[[#This Row],[Valor]]*(1-tItens[[#This Row],[Desconto]])</f>
        <v>0</v>
      </c>
      <c r="N877" t="str">
        <f>IFERROR(INDEX(tProdutos[Foco],MATCH(tItens[[#This Row],[Produto]],tProdutos[Produto],0)),"Não")</f>
        <v>Não</v>
      </c>
      <c r="O877" t="str">
        <f>IFERROR(INDEX(tEditais[SRP],MATCH(tItens[[#This Row],[Edital]],tEditais[Edital],0)),"Não")</f>
        <v>Não</v>
      </c>
      <c r="P877" s="4">
        <f>IF(COUNTIFS(INDEX(tItens[Edital],1):tItens[[#This Row],[Edital]],tItens[[#This Row],[Edital]],INDEX(tItens[Produto],1):tItens[[#This Row],[Produto]],tItens[[#This Row],[Produto]])=1,1,0)</f>
        <v>1</v>
      </c>
    </row>
    <row r="878" spans="1:16" x14ac:dyDescent="0.25">
      <c r="A878" t="s">
        <v>1023</v>
      </c>
      <c r="B878">
        <v>45</v>
      </c>
      <c r="C878" t="s">
        <v>4045</v>
      </c>
      <c r="D878" t="s">
        <v>90</v>
      </c>
      <c r="E878" s="13">
        <v>424</v>
      </c>
      <c r="F878" s="12">
        <v>0</v>
      </c>
      <c r="G878" t="str">
        <f>IFERROR(INDEX(tEditais[Órgão],MATCH(tItens[[#This Row],[Edital]],tEditais[Edital],0)),"")</f>
        <v>CONSORCIO PUBLICO DE SAUDE DA MICRORREGIAO DE SOBRAL - CPSMS</v>
      </c>
      <c r="H878" t="str">
        <f>IFERROR(INDEX(tEditais[UF],MATCH(tItens[[#This Row],[Edital]],tEditais[Edital],0)),"")</f>
        <v>CE</v>
      </c>
      <c r="I878" s="11">
        <f>IFERROR(INDEX(tEditais[Encerramento],MATCH(tItens[[#This Row],[Edital]],tEditais[Edital],0)),"")</f>
        <v>46310.375</v>
      </c>
      <c r="J878" t="str">
        <f>IFERROR(INDEX(tProdutos[Classe],MATCH(tItens[[#This Row],[Produto]],tProdutos[Produto],0)),"produto não cadastrado")</f>
        <v>DISPUTADO</v>
      </c>
      <c r="K878" s="12">
        <f>tItens[[#This Row],[Qtd]]*tItens[[#This Row],[Vlr unit]]</f>
        <v>0</v>
      </c>
      <c r="L878" s="6">
        <f>IFERROR(IF(INDEX(tProdutos[Desconto homologado],MATCH(tItens[[#This Row],[Produto]],tProdutos[Produto],0))="",DescontoPadrao,INDEX(tProdutos[Desconto homologado],MATCH(tItens[[#This Row],[Produto]],tProdutos[Produto],0))),DescontoPadrao)</f>
        <v>0.25393823957010597</v>
      </c>
      <c r="M878" s="12">
        <f>tItens[[#This Row],[Valor]]*(1-tItens[[#This Row],[Desconto]])</f>
        <v>0</v>
      </c>
      <c r="N878" t="str">
        <f>IFERROR(INDEX(tProdutos[Foco],MATCH(tItens[[#This Row],[Produto]],tProdutos[Produto],0)),"Não")</f>
        <v>Não</v>
      </c>
      <c r="O878" t="str">
        <f>IFERROR(INDEX(tEditais[SRP],MATCH(tItens[[#This Row],[Edital]],tEditais[Edital],0)),"Não")</f>
        <v>Não</v>
      </c>
      <c r="P878" s="4">
        <f>IF(COUNTIFS(INDEX(tItens[Edital],1):tItens[[#This Row],[Edital]],tItens[[#This Row],[Edital]],INDEX(tItens[Produto],1):tItens[[#This Row],[Produto]],tItens[[#This Row],[Produto]])=1,1,0)</f>
        <v>1</v>
      </c>
    </row>
    <row r="879" spans="1:16" x14ac:dyDescent="0.25">
      <c r="A879" t="s">
        <v>1023</v>
      </c>
      <c r="B879">
        <v>46</v>
      </c>
      <c r="C879" t="s">
        <v>4046</v>
      </c>
      <c r="D879" t="s">
        <v>90</v>
      </c>
      <c r="E879" s="13">
        <v>38</v>
      </c>
      <c r="F879" s="12">
        <v>0</v>
      </c>
      <c r="G879" t="str">
        <f>IFERROR(INDEX(tEditais[Órgão],MATCH(tItens[[#This Row],[Edital]],tEditais[Edital],0)),"")</f>
        <v>CONSORCIO PUBLICO DE SAUDE DA MICRORREGIAO DE SOBRAL - CPSMS</v>
      </c>
      <c r="H879" t="str">
        <f>IFERROR(INDEX(tEditais[UF],MATCH(tItens[[#This Row],[Edital]],tEditais[Edital],0)),"")</f>
        <v>CE</v>
      </c>
      <c r="I879" s="11">
        <f>IFERROR(INDEX(tEditais[Encerramento],MATCH(tItens[[#This Row],[Edital]],tEditais[Edital],0)),"")</f>
        <v>46310.375</v>
      </c>
      <c r="J879" t="str">
        <f>IFERROR(INDEX(tProdutos[Classe],MATCH(tItens[[#This Row],[Produto]],tProdutos[Produto],0)),"produto não cadastrado")</f>
        <v>DISPUTADO</v>
      </c>
      <c r="K879" s="12">
        <f>tItens[[#This Row],[Qtd]]*tItens[[#This Row],[Vlr unit]]</f>
        <v>0</v>
      </c>
      <c r="L879" s="6">
        <f>IFERROR(IF(INDEX(tProdutos[Desconto homologado],MATCH(tItens[[#This Row],[Produto]],tProdutos[Produto],0))="",DescontoPadrao,INDEX(tProdutos[Desconto homologado],MATCH(tItens[[#This Row],[Produto]],tProdutos[Produto],0))),DescontoPadrao)</f>
        <v>0.25393823957010597</v>
      </c>
      <c r="M879" s="12">
        <f>tItens[[#This Row],[Valor]]*(1-tItens[[#This Row],[Desconto]])</f>
        <v>0</v>
      </c>
      <c r="N879" t="str">
        <f>IFERROR(INDEX(tProdutos[Foco],MATCH(tItens[[#This Row],[Produto]],tProdutos[Produto],0)),"Não")</f>
        <v>Não</v>
      </c>
      <c r="O879" t="str">
        <f>IFERROR(INDEX(tEditais[SRP],MATCH(tItens[[#This Row],[Edital]],tEditais[Edital],0)),"Não")</f>
        <v>Não</v>
      </c>
      <c r="P879" s="4">
        <f>IF(COUNTIFS(INDEX(tItens[Edital],1):tItens[[#This Row],[Edital]],tItens[[#This Row],[Edital]],INDEX(tItens[Produto],1):tItens[[#This Row],[Produto]],tItens[[#This Row],[Produto]])=1,1,0)</f>
        <v>0</v>
      </c>
    </row>
    <row r="880" spans="1:16" x14ac:dyDescent="0.25">
      <c r="A880" t="s">
        <v>1023</v>
      </c>
      <c r="B880">
        <v>47</v>
      </c>
      <c r="C880" t="s">
        <v>4047</v>
      </c>
      <c r="D880" t="s">
        <v>75</v>
      </c>
      <c r="E880" s="13">
        <v>90</v>
      </c>
      <c r="F880" s="12">
        <v>0</v>
      </c>
      <c r="G880" t="str">
        <f>IFERROR(INDEX(tEditais[Órgão],MATCH(tItens[[#This Row],[Edital]],tEditais[Edital],0)),"")</f>
        <v>CONSORCIO PUBLICO DE SAUDE DA MICRORREGIAO DE SOBRAL - CPSMS</v>
      </c>
      <c r="H880" t="str">
        <f>IFERROR(INDEX(tEditais[UF],MATCH(tItens[[#This Row],[Edital]],tEditais[Edital],0)),"")</f>
        <v>CE</v>
      </c>
      <c r="I880" s="11">
        <f>IFERROR(INDEX(tEditais[Encerramento],MATCH(tItens[[#This Row],[Edital]],tEditais[Edital],0)),"")</f>
        <v>46310.375</v>
      </c>
      <c r="J880" t="str">
        <f>IFERROR(INDEX(tProdutos[Classe],MATCH(tItens[[#This Row],[Produto]],tProdutos[Produto],0)),"produto não cadastrado")</f>
        <v>NÚCLEO</v>
      </c>
      <c r="K880" s="12">
        <f>tItens[[#This Row],[Qtd]]*tItens[[#This Row],[Vlr unit]]</f>
        <v>0</v>
      </c>
      <c r="L880" s="6">
        <f>IFERROR(IF(INDEX(tProdutos[Desconto homologado],MATCH(tItens[[#This Row],[Produto]],tProdutos[Produto],0))="",DescontoPadrao,INDEX(tProdutos[Desconto homologado],MATCH(tItens[[#This Row],[Produto]],tProdutos[Produto],0))),DescontoPadrao)</f>
        <v>0.26</v>
      </c>
      <c r="M880" s="12">
        <f>tItens[[#This Row],[Valor]]*(1-tItens[[#This Row],[Desconto]])</f>
        <v>0</v>
      </c>
      <c r="N880" t="str">
        <f>IFERROR(INDEX(tProdutos[Foco],MATCH(tItens[[#This Row],[Produto]],tProdutos[Produto],0)),"Não")</f>
        <v>Sim</v>
      </c>
      <c r="O880" t="str">
        <f>IFERROR(INDEX(tEditais[SRP],MATCH(tItens[[#This Row],[Edital]],tEditais[Edital],0)),"Não")</f>
        <v>Não</v>
      </c>
      <c r="P880" s="4">
        <f>IF(COUNTIFS(INDEX(tItens[Edital],1):tItens[[#This Row],[Edital]],tItens[[#This Row],[Edital]],INDEX(tItens[Produto],1):tItens[[#This Row],[Produto]],tItens[[#This Row],[Produto]])=1,1,0)</f>
        <v>1</v>
      </c>
    </row>
    <row r="881" spans="1:16" x14ac:dyDescent="0.25">
      <c r="A881" t="s">
        <v>1023</v>
      </c>
      <c r="B881">
        <v>48</v>
      </c>
      <c r="C881" t="s">
        <v>4048</v>
      </c>
      <c r="D881" t="s">
        <v>75</v>
      </c>
      <c r="E881" s="13">
        <v>250</v>
      </c>
      <c r="F881" s="12">
        <v>0</v>
      </c>
      <c r="G881" t="str">
        <f>IFERROR(INDEX(tEditais[Órgão],MATCH(tItens[[#This Row],[Edital]],tEditais[Edital],0)),"")</f>
        <v>CONSORCIO PUBLICO DE SAUDE DA MICRORREGIAO DE SOBRAL - CPSMS</v>
      </c>
      <c r="H881" t="str">
        <f>IFERROR(INDEX(tEditais[UF],MATCH(tItens[[#This Row],[Edital]],tEditais[Edital],0)),"")</f>
        <v>CE</v>
      </c>
      <c r="I881" s="11">
        <f>IFERROR(INDEX(tEditais[Encerramento],MATCH(tItens[[#This Row],[Edital]],tEditais[Edital],0)),"")</f>
        <v>46310.375</v>
      </c>
      <c r="J881" t="str">
        <f>IFERROR(INDEX(tProdutos[Classe],MATCH(tItens[[#This Row],[Produto]],tProdutos[Produto],0)),"produto não cadastrado")</f>
        <v>NÚCLEO</v>
      </c>
      <c r="K881" s="12">
        <f>tItens[[#This Row],[Qtd]]*tItens[[#This Row],[Vlr unit]]</f>
        <v>0</v>
      </c>
      <c r="L881" s="6">
        <f>IFERROR(IF(INDEX(tProdutos[Desconto homologado],MATCH(tItens[[#This Row],[Produto]],tProdutos[Produto],0))="",DescontoPadrao,INDEX(tProdutos[Desconto homologado],MATCH(tItens[[#This Row],[Produto]],tProdutos[Produto],0))),DescontoPadrao)</f>
        <v>0.26</v>
      </c>
      <c r="M881" s="12">
        <f>tItens[[#This Row],[Valor]]*(1-tItens[[#This Row],[Desconto]])</f>
        <v>0</v>
      </c>
      <c r="N881" t="str">
        <f>IFERROR(INDEX(tProdutos[Foco],MATCH(tItens[[#This Row],[Produto]],tProdutos[Produto],0)),"Não")</f>
        <v>Sim</v>
      </c>
      <c r="O881" t="str">
        <f>IFERROR(INDEX(tEditais[SRP],MATCH(tItens[[#This Row],[Edital]],tEditais[Edital],0)),"Não")</f>
        <v>Não</v>
      </c>
      <c r="P881" s="4">
        <f>IF(COUNTIFS(INDEX(tItens[Edital],1):tItens[[#This Row],[Edital]],tItens[[#This Row],[Edital]],INDEX(tItens[Produto],1):tItens[[#This Row],[Produto]],tItens[[#This Row],[Produto]])=1,1,0)</f>
        <v>0</v>
      </c>
    </row>
    <row r="882" spans="1:16" x14ac:dyDescent="0.25">
      <c r="A882" t="s">
        <v>1023</v>
      </c>
      <c r="B882">
        <v>49</v>
      </c>
      <c r="C882" t="s">
        <v>4049</v>
      </c>
      <c r="D882" t="s">
        <v>75</v>
      </c>
      <c r="E882" s="13">
        <v>90</v>
      </c>
      <c r="F882" s="12">
        <v>0</v>
      </c>
      <c r="G882" t="str">
        <f>IFERROR(INDEX(tEditais[Órgão],MATCH(tItens[[#This Row],[Edital]],tEditais[Edital],0)),"")</f>
        <v>CONSORCIO PUBLICO DE SAUDE DA MICRORREGIAO DE SOBRAL - CPSMS</v>
      </c>
      <c r="H882" t="str">
        <f>IFERROR(INDEX(tEditais[UF],MATCH(tItens[[#This Row],[Edital]],tEditais[Edital],0)),"")</f>
        <v>CE</v>
      </c>
      <c r="I882" s="11">
        <f>IFERROR(INDEX(tEditais[Encerramento],MATCH(tItens[[#This Row],[Edital]],tEditais[Edital],0)),"")</f>
        <v>46310.375</v>
      </c>
      <c r="J882" t="str">
        <f>IFERROR(INDEX(tProdutos[Classe],MATCH(tItens[[#This Row],[Produto]],tProdutos[Produto],0)),"produto não cadastrado")</f>
        <v>NÚCLEO</v>
      </c>
      <c r="K882" s="12">
        <f>tItens[[#This Row],[Qtd]]*tItens[[#This Row],[Vlr unit]]</f>
        <v>0</v>
      </c>
      <c r="L882" s="6">
        <f>IFERROR(IF(INDEX(tProdutos[Desconto homologado],MATCH(tItens[[#This Row],[Produto]],tProdutos[Produto],0))="",DescontoPadrao,INDEX(tProdutos[Desconto homologado],MATCH(tItens[[#This Row],[Produto]],tProdutos[Produto],0))),DescontoPadrao)</f>
        <v>0.26</v>
      </c>
      <c r="M882" s="12">
        <f>tItens[[#This Row],[Valor]]*(1-tItens[[#This Row],[Desconto]])</f>
        <v>0</v>
      </c>
      <c r="N882" t="str">
        <f>IFERROR(INDEX(tProdutos[Foco],MATCH(tItens[[#This Row],[Produto]],tProdutos[Produto],0)),"Não")</f>
        <v>Sim</v>
      </c>
      <c r="O882" t="str">
        <f>IFERROR(INDEX(tEditais[SRP],MATCH(tItens[[#This Row],[Edital]],tEditais[Edital],0)),"Não")</f>
        <v>Não</v>
      </c>
      <c r="P882" s="4">
        <f>IF(COUNTIFS(INDEX(tItens[Edital],1):tItens[[#This Row],[Edital]],tItens[[#This Row],[Edital]],INDEX(tItens[Produto],1):tItens[[#This Row],[Produto]],tItens[[#This Row],[Produto]])=1,1,0)</f>
        <v>0</v>
      </c>
    </row>
    <row r="883" spans="1:16" x14ac:dyDescent="0.25">
      <c r="A883" t="s">
        <v>1023</v>
      </c>
      <c r="B883">
        <v>54</v>
      </c>
      <c r="C883" t="s">
        <v>4050</v>
      </c>
      <c r="D883" t="s">
        <v>411</v>
      </c>
      <c r="E883" s="13">
        <v>600</v>
      </c>
      <c r="F883" s="12">
        <v>0</v>
      </c>
      <c r="G883" t="str">
        <f>IFERROR(INDEX(tEditais[Órgão],MATCH(tItens[[#This Row],[Edital]],tEditais[Edital],0)),"")</f>
        <v>CONSORCIO PUBLICO DE SAUDE DA MICRORREGIAO DE SOBRAL - CPSMS</v>
      </c>
      <c r="H883" t="str">
        <f>IFERROR(INDEX(tEditais[UF],MATCH(tItens[[#This Row],[Edital]],tEditais[Edital],0)),"")</f>
        <v>CE</v>
      </c>
      <c r="I883" s="11">
        <f>IFERROR(INDEX(tEditais[Encerramento],MATCH(tItens[[#This Row],[Edital]],tEditais[Edital],0)),"")</f>
        <v>46310.375</v>
      </c>
      <c r="J883" t="str">
        <f>IFERROR(INDEX(tProdutos[Classe],MATCH(tItens[[#This Row],[Produto]],tProdutos[Produto],0)),"produto não cadastrado")</f>
        <v>FORA</v>
      </c>
      <c r="K883" s="12">
        <f>tItens[[#This Row],[Qtd]]*tItens[[#This Row],[Vlr unit]]</f>
        <v>0</v>
      </c>
      <c r="L883" s="6">
        <f>IFERROR(IF(INDEX(tProdutos[Desconto homologado],MATCH(tItens[[#This Row],[Produto]],tProdutos[Produto],0))="",DescontoPadrao,INDEX(tProdutos[Desconto homologado],MATCH(tItens[[#This Row],[Produto]],tProdutos[Produto],0))),DescontoPadrao)</f>
        <v>0.50029835957199398</v>
      </c>
      <c r="M883" s="12">
        <f>tItens[[#This Row],[Valor]]*(1-tItens[[#This Row],[Desconto]])</f>
        <v>0</v>
      </c>
      <c r="N883" t="str">
        <f>IFERROR(INDEX(tProdutos[Foco],MATCH(tItens[[#This Row],[Produto]],tProdutos[Produto],0)),"Não")</f>
        <v>Não</v>
      </c>
      <c r="O883" t="str">
        <f>IFERROR(INDEX(tEditais[SRP],MATCH(tItens[[#This Row],[Edital]],tEditais[Edital],0)),"Não")</f>
        <v>Não</v>
      </c>
      <c r="P883" s="4">
        <f>IF(COUNTIFS(INDEX(tItens[Edital],1):tItens[[#This Row],[Edital]],tItens[[#This Row],[Edital]],INDEX(tItens[Produto],1):tItens[[#This Row],[Produto]],tItens[[#This Row],[Produto]])=1,1,0)</f>
        <v>1</v>
      </c>
    </row>
    <row r="884" spans="1:16" x14ac:dyDescent="0.25">
      <c r="A884" t="s">
        <v>1023</v>
      </c>
      <c r="B884">
        <v>55</v>
      </c>
      <c r="C884" t="s">
        <v>4051</v>
      </c>
      <c r="D884" t="s">
        <v>130</v>
      </c>
      <c r="E884" s="13">
        <v>19</v>
      </c>
      <c r="F884" s="12">
        <v>0</v>
      </c>
      <c r="G884" t="str">
        <f>IFERROR(INDEX(tEditais[Órgão],MATCH(tItens[[#This Row],[Edital]],tEditais[Edital],0)),"")</f>
        <v>CONSORCIO PUBLICO DE SAUDE DA MICRORREGIAO DE SOBRAL - CPSMS</v>
      </c>
      <c r="H884" t="str">
        <f>IFERROR(INDEX(tEditais[UF],MATCH(tItens[[#This Row],[Edital]],tEditais[Edital],0)),"")</f>
        <v>CE</v>
      </c>
      <c r="I884" s="11">
        <f>IFERROR(INDEX(tEditais[Encerramento],MATCH(tItens[[#This Row],[Edital]],tEditais[Edital],0)),"")</f>
        <v>46310.375</v>
      </c>
      <c r="J884" t="str">
        <f>IFERROR(INDEX(tProdutos[Classe],MATCH(tItens[[#This Row],[Produto]],tProdutos[Produto],0)),"produto não cadastrado")</f>
        <v>DISPUTADO</v>
      </c>
      <c r="K884" s="12">
        <f>tItens[[#This Row],[Qtd]]*tItens[[#This Row],[Vlr unit]]</f>
        <v>0</v>
      </c>
      <c r="L884" s="6">
        <f>IFERROR(IF(INDEX(tProdutos[Desconto homologado],MATCH(tItens[[#This Row],[Produto]],tProdutos[Produto],0))="",DescontoPadrao,INDEX(tProdutos[Desconto homologado],MATCH(tItens[[#This Row],[Produto]],tProdutos[Produto],0))),DescontoPadrao)</f>
        <v>0.32</v>
      </c>
      <c r="M884" s="12">
        <f>tItens[[#This Row],[Valor]]*(1-tItens[[#This Row],[Desconto]])</f>
        <v>0</v>
      </c>
      <c r="N884" t="str">
        <f>IFERROR(INDEX(tProdutos[Foco],MATCH(tItens[[#This Row],[Produto]],tProdutos[Produto],0)),"Não")</f>
        <v>Sim</v>
      </c>
      <c r="O884" t="str">
        <f>IFERROR(INDEX(tEditais[SRP],MATCH(tItens[[#This Row],[Edital]],tEditais[Edital],0)),"Não")</f>
        <v>Não</v>
      </c>
      <c r="P884" s="4">
        <f>IF(COUNTIFS(INDEX(tItens[Edital],1):tItens[[#This Row],[Edital]],tItens[[#This Row],[Edital]],INDEX(tItens[Produto],1):tItens[[#This Row],[Produto]],tItens[[#This Row],[Produto]])=1,1,0)</f>
        <v>1</v>
      </c>
    </row>
    <row r="885" spans="1:16" x14ac:dyDescent="0.25">
      <c r="A885" t="s">
        <v>1023</v>
      </c>
      <c r="B885">
        <v>56</v>
      </c>
      <c r="C885" t="s">
        <v>4052</v>
      </c>
      <c r="D885" t="s">
        <v>417</v>
      </c>
      <c r="E885" s="13">
        <v>2500</v>
      </c>
      <c r="F885" s="12">
        <v>0</v>
      </c>
      <c r="G885" t="str">
        <f>IFERROR(INDEX(tEditais[Órgão],MATCH(tItens[[#This Row],[Edital]],tEditais[Edital],0)),"")</f>
        <v>CONSORCIO PUBLICO DE SAUDE DA MICRORREGIAO DE SOBRAL - CPSMS</v>
      </c>
      <c r="H885" t="str">
        <f>IFERROR(INDEX(tEditais[UF],MATCH(tItens[[#This Row],[Edital]],tEditais[Edital],0)),"")</f>
        <v>CE</v>
      </c>
      <c r="I885" s="11">
        <f>IFERROR(INDEX(tEditais[Encerramento],MATCH(tItens[[#This Row],[Edital]],tEditais[Edital],0)),"")</f>
        <v>46310.375</v>
      </c>
      <c r="J885" t="str">
        <f>IFERROR(INDEX(tProdutos[Classe],MATCH(tItens[[#This Row],[Produto]],tProdutos[Produto],0)),"produto não cadastrado")</f>
        <v>FORA</v>
      </c>
      <c r="K885" s="12">
        <f>tItens[[#This Row],[Qtd]]*tItens[[#This Row],[Vlr unit]]</f>
        <v>0</v>
      </c>
      <c r="L885" s="6">
        <f>IFERROR(IF(INDEX(tProdutos[Desconto homologado],MATCH(tItens[[#This Row],[Produto]],tProdutos[Produto],0))="",DescontoPadrao,INDEX(tProdutos[Desconto homologado],MATCH(tItens[[#This Row],[Produto]],tProdutos[Produto],0))),DescontoPadrao)</f>
        <v>0.27842432580405202</v>
      </c>
      <c r="M885" s="12">
        <f>tItens[[#This Row],[Valor]]*(1-tItens[[#This Row],[Desconto]])</f>
        <v>0</v>
      </c>
      <c r="N885" t="str">
        <f>IFERROR(INDEX(tProdutos[Foco],MATCH(tItens[[#This Row],[Produto]],tProdutos[Produto],0)),"Não")</f>
        <v>Não</v>
      </c>
      <c r="O885" t="str">
        <f>IFERROR(INDEX(tEditais[SRP],MATCH(tItens[[#This Row],[Edital]],tEditais[Edital],0)),"Não")</f>
        <v>Não</v>
      </c>
      <c r="P885" s="4">
        <f>IF(COUNTIFS(INDEX(tItens[Edital],1):tItens[[#This Row],[Edital]],tItens[[#This Row],[Edital]],INDEX(tItens[Produto],1):tItens[[#This Row],[Produto]],tItens[[#This Row],[Produto]])=1,1,0)</f>
        <v>1</v>
      </c>
    </row>
    <row r="886" spans="1:16" x14ac:dyDescent="0.25">
      <c r="A886" t="s">
        <v>1023</v>
      </c>
      <c r="B886">
        <v>58</v>
      </c>
      <c r="C886" t="s">
        <v>4053</v>
      </c>
      <c r="D886" t="s">
        <v>56</v>
      </c>
      <c r="E886" s="13">
        <v>26</v>
      </c>
      <c r="F886" s="12">
        <v>0</v>
      </c>
      <c r="G886" t="str">
        <f>IFERROR(INDEX(tEditais[Órgão],MATCH(tItens[[#This Row],[Edital]],tEditais[Edital],0)),"")</f>
        <v>CONSORCIO PUBLICO DE SAUDE DA MICRORREGIAO DE SOBRAL - CPSMS</v>
      </c>
      <c r="H886" t="str">
        <f>IFERROR(INDEX(tEditais[UF],MATCH(tItens[[#This Row],[Edital]],tEditais[Edital],0)),"")</f>
        <v>CE</v>
      </c>
      <c r="I886" s="11">
        <f>IFERROR(INDEX(tEditais[Encerramento],MATCH(tItens[[#This Row],[Edital]],tEditais[Edital],0)),"")</f>
        <v>46310.375</v>
      </c>
      <c r="J886" t="str">
        <f>IFERROR(INDEX(tProdutos[Classe],MATCH(tItens[[#This Row],[Produto]],tProdutos[Produto],0)),"produto não cadastrado")</f>
        <v>NÚCLEO</v>
      </c>
      <c r="K886" s="12">
        <f>tItens[[#This Row],[Qtd]]*tItens[[#This Row],[Vlr unit]]</f>
        <v>0</v>
      </c>
      <c r="L886" s="6">
        <f>IFERROR(IF(INDEX(tProdutos[Desconto homologado],MATCH(tItens[[#This Row],[Produto]],tProdutos[Produto],0))="",DescontoPadrao,INDEX(tProdutos[Desconto homologado],MATCH(tItens[[#This Row],[Produto]],tProdutos[Produto],0))),DescontoPadrao)</f>
        <v>0.34</v>
      </c>
      <c r="M886" s="12">
        <f>tItens[[#This Row],[Valor]]*(1-tItens[[#This Row],[Desconto]])</f>
        <v>0</v>
      </c>
      <c r="N886" t="str">
        <f>IFERROR(INDEX(tProdutos[Foco],MATCH(tItens[[#This Row],[Produto]],tProdutos[Produto],0)),"Não")</f>
        <v>Sim</v>
      </c>
      <c r="O886" t="str">
        <f>IFERROR(INDEX(tEditais[SRP],MATCH(tItens[[#This Row],[Edital]],tEditais[Edital],0)),"Não")</f>
        <v>Não</v>
      </c>
      <c r="P886" s="4">
        <f>IF(COUNTIFS(INDEX(tItens[Edital],1):tItens[[#This Row],[Edital]],tItens[[#This Row],[Edital]],INDEX(tItens[Produto],1):tItens[[#This Row],[Produto]],tItens[[#This Row],[Produto]])=1,1,0)</f>
        <v>1</v>
      </c>
    </row>
    <row r="887" spans="1:16" x14ac:dyDescent="0.25">
      <c r="A887" t="s">
        <v>1023</v>
      </c>
      <c r="B887">
        <v>59</v>
      </c>
      <c r="C887" t="s">
        <v>4054</v>
      </c>
      <c r="D887" t="s">
        <v>56</v>
      </c>
      <c r="E887" s="13">
        <v>6</v>
      </c>
      <c r="F887" s="12">
        <v>0</v>
      </c>
      <c r="G887" t="str">
        <f>IFERROR(INDEX(tEditais[Órgão],MATCH(tItens[[#This Row],[Edital]],tEditais[Edital],0)),"")</f>
        <v>CONSORCIO PUBLICO DE SAUDE DA MICRORREGIAO DE SOBRAL - CPSMS</v>
      </c>
      <c r="H887" t="str">
        <f>IFERROR(INDEX(tEditais[UF],MATCH(tItens[[#This Row],[Edital]],tEditais[Edital],0)),"")</f>
        <v>CE</v>
      </c>
      <c r="I887" s="11">
        <f>IFERROR(INDEX(tEditais[Encerramento],MATCH(tItens[[#This Row],[Edital]],tEditais[Edital],0)),"")</f>
        <v>46310.375</v>
      </c>
      <c r="J887" t="str">
        <f>IFERROR(INDEX(tProdutos[Classe],MATCH(tItens[[#This Row],[Produto]],tProdutos[Produto],0)),"produto não cadastrado")</f>
        <v>NÚCLEO</v>
      </c>
      <c r="K887" s="12">
        <f>tItens[[#This Row],[Qtd]]*tItens[[#This Row],[Vlr unit]]</f>
        <v>0</v>
      </c>
      <c r="L887" s="6">
        <f>IFERROR(IF(INDEX(tProdutos[Desconto homologado],MATCH(tItens[[#This Row],[Produto]],tProdutos[Produto],0))="",DescontoPadrao,INDEX(tProdutos[Desconto homologado],MATCH(tItens[[#This Row],[Produto]],tProdutos[Produto],0))),DescontoPadrao)</f>
        <v>0.34</v>
      </c>
      <c r="M887" s="12">
        <f>tItens[[#This Row],[Valor]]*(1-tItens[[#This Row],[Desconto]])</f>
        <v>0</v>
      </c>
      <c r="N887" t="str">
        <f>IFERROR(INDEX(tProdutos[Foco],MATCH(tItens[[#This Row],[Produto]],tProdutos[Produto],0)),"Não")</f>
        <v>Sim</v>
      </c>
      <c r="O887" t="str">
        <f>IFERROR(INDEX(tEditais[SRP],MATCH(tItens[[#This Row],[Edital]],tEditais[Edital],0)),"Não")</f>
        <v>Não</v>
      </c>
      <c r="P887" s="4">
        <f>IF(COUNTIFS(INDEX(tItens[Edital],1):tItens[[#This Row],[Edital]],tItens[[#This Row],[Edital]],INDEX(tItens[Produto],1):tItens[[#This Row],[Produto]],tItens[[#This Row],[Produto]])=1,1,0)</f>
        <v>0</v>
      </c>
    </row>
    <row r="888" spans="1:16" x14ac:dyDescent="0.25">
      <c r="A888" t="s">
        <v>1023</v>
      </c>
      <c r="B888">
        <v>60</v>
      </c>
      <c r="C888" t="s">
        <v>4055</v>
      </c>
      <c r="D888" t="s">
        <v>56</v>
      </c>
      <c r="E888" s="13">
        <v>17</v>
      </c>
      <c r="F888" s="12">
        <v>0</v>
      </c>
      <c r="G888" t="str">
        <f>IFERROR(INDEX(tEditais[Órgão],MATCH(tItens[[#This Row],[Edital]],tEditais[Edital],0)),"")</f>
        <v>CONSORCIO PUBLICO DE SAUDE DA MICRORREGIAO DE SOBRAL - CPSMS</v>
      </c>
      <c r="H888" t="str">
        <f>IFERROR(INDEX(tEditais[UF],MATCH(tItens[[#This Row],[Edital]],tEditais[Edital],0)),"")</f>
        <v>CE</v>
      </c>
      <c r="I888" s="11">
        <f>IFERROR(INDEX(tEditais[Encerramento],MATCH(tItens[[#This Row],[Edital]],tEditais[Edital],0)),"")</f>
        <v>46310.375</v>
      </c>
      <c r="J888" t="str">
        <f>IFERROR(INDEX(tProdutos[Classe],MATCH(tItens[[#This Row],[Produto]],tProdutos[Produto],0)),"produto não cadastrado")</f>
        <v>NÚCLEO</v>
      </c>
      <c r="K888" s="12">
        <f>tItens[[#This Row],[Qtd]]*tItens[[#This Row],[Vlr unit]]</f>
        <v>0</v>
      </c>
      <c r="L888" s="6">
        <f>IFERROR(IF(INDEX(tProdutos[Desconto homologado],MATCH(tItens[[#This Row],[Produto]],tProdutos[Produto],0))="",DescontoPadrao,INDEX(tProdutos[Desconto homologado],MATCH(tItens[[#This Row],[Produto]],tProdutos[Produto],0))),DescontoPadrao)</f>
        <v>0.34</v>
      </c>
      <c r="M888" s="12">
        <f>tItens[[#This Row],[Valor]]*(1-tItens[[#This Row],[Desconto]])</f>
        <v>0</v>
      </c>
      <c r="N888" t="str">
        <f>IFERROR(INDEX(tProdutos[Foco],MATCH(tItens[[#This Row],[Produto]],tProdutos[Produto],0)),"Não")</f>
        <v>Sim</v>
      </c>
      <c r="O888" t="str">
        <f>IFERROR(INDEX(tEditais[SRP],MATCH(tItens[[#This Row],[Edital]],tEditais[Edital],0)),"Não")</f>
        <v>Não</v>
      </c>
      <c r="P888" s="4">
        <f>IF(COUNTIFS(INDEX(tItens[Edital],1):tItens[[#This Row],[Edital]],tItens[[#This Row],[Edital]],INDEX(tItens[Produto],1):tItens[[#This Row],[Produto]],tItens[[#This Row],[Produto]])=1,1,0)</f>
        <v>0</v>
      </c>
    </row>
    <row r="889" spans="1:16" x14ac:dyDescent="0.25">
      <c r="A889" t="s">
        <v>1023</v>
      </c>
      <c r="B889">
        <v>61</v>
      </c>
      <c r="C889" t="s">
        <v>4056</v>
      </c>
      <c r="D889" t="s">
        <v>56</v>
      </c>
      <c r="E889" s="13">
        <v>12</v>
      </c>
      <c r="F889" s="12">
        <v>0</v>
      </c>
      <c r="G889" t="str">
        <f>IFERROR(INDEX(tEditais[Órgão],MATCH(tItens[[#This Row],[Edital]],tEditais[Edital],0)),"")</f>
        <v>CONSORCIO PUBLICO DE SAUDE DA MICRORREGIAO DE SOBRAL - CPSMS</v>
      </c>
      <c r="H889" t="str">
        <f>IFERROR(INDEX(tEditais[UF],MATCH(tItens[[#This Row],[Edital]],tEditais[Edital],0)),"")</f>
        <v>CE</v>
      </c>
      <c r="I889" s="11">
        <f>IFERROR(INDEX(tEditais[Encerramento],MATCH(tItens[[#This Row],[Edital]],tEditais[Edital],0)),"")</f>
        <v>46310.375</v>
      </c>
      <c r="J889" t="str">
        <f>IFERROR(INDEX(tProdutos[Classe],MATCH(tItens[[#This Row],[Produto]],tProdutos[Produto],0)),"produto não cadastrado")</f>
        <v>NÚCLEO</v>
      </c>
      <c r="K889" s="12">
        <f>tItens[[#This Row],[Qtd]]*tItens[[#This Row],[Vlr unit]]</f>
        <v>0</v>
      </c>
      <c r="L889" s="6">
        <f>IFERROR(IF(INDEX(tProdutos[Desconto homologado],MATCH(tItens[[#This Row],[Produto]],tProdutos[Produto],0))="",DescontoPadrao,INDEX(tProdutos[Desconto homologado],MATCH(tItens[[#This Row],[Produto]],tProdutos[Produto],0))),DescontoPadrao)</f>
        <v>0.34</v>
      </c>
      <c r="M889" s="12">
        <f>tItens[[#This Row],[Valor]]*(1-tItens[[#This Row],[Desconto]])</f>
        <v>0</v>
      </c>
      <c r="N889" t="str">
        <f>IFERROR(INDEX(tProdutos[Foco],MATCH(tItens[[#This Row],[Produto]],tProdutos[Produto],0)),"Não")</f>
        <v>Sim</v>
      </c>
      <c r="O889" t="str">
        <f>IFERROR(INDEX(tEditais[SRP],MATCH(tItens[[#This Row],[Edital]],tEditais[Edital],0)),"Não")</f>
        <v>Não</v>
      </c>
      <c r="P889" s="4">
        <f>IF(COUNTIFS(INDEX(tItens[Edital],1):tItens[[#This Row],[Edital]],tItens[[#This Row],[Edital]],INDEX(tItens[Produto],1):tItens[[#This Row],[Produto]],tItens[[#This Row],[Produto]])=1,1,0)</f>
        <v>0</v>
      </c>
    </row>
    <row r="890" spans="1:16" x14ac:dyDescent="0.25">
      <c r="A890" t="s">
        <v>1023</v>
      </c>
      <c r="B890">
        <v>62</v>
      </c>
      <c r="C890" t="s">
        <v>4057</v>
      </c>
      <c r="D890" t="s">
        <v>277</v>
      </c>
      <c r="E890" s="13">
        <v>102</v>
      </c>
      <c r="F890" s="12">
        <v>0</v>
      </c>
      <c r="G890" t="str">
        <f>IFERROR(INDEX(tEditais[Órgão],MATCH(tItens[[#This Row],[Edital]],tEditais[Edital],0)),"")</f>
        <v>CONSORCIO PUBLICO DE SAUDE DA MICRORREGIAO DE SOBRAL - CPSMS</v>
      </c>
      <c r="H890" t="str">
        <f>IFERROR(INDEX(tEditais[UF],MATCH(tItens[[#This Row],[Edital]],tEditais[Edital],0)),"")</f>
        <v>CE</v>
      </c>
      <c r="I890" s="11">
        <f>IFERROR(INDEX(tEditais[Encerramento],MATCH(tItens[[#This Row],[Edital]],tEditais[Edital],0)),"")</f>
        <v>46310.375</v>
      </c>
      <c r="J890" t="str">
        <f>IFERROR(INDEX(tProdutos[Classe],MATCH(tItens[[#This Row],[Produto]],tProdutos[Produto],0)),"produto não cadastrado")</f>
        <v>DISPUTADO</v>
      </c>
      <c r="K890" s="12">
        <f>tItens[[#This Row],[Qtd]]*tItens[[#This Row],[Vlr unit]]</f>
        <v>0</v>
      </c>
      <c r="L890" s="6">
        <f>IFERROR(IF(INDEX(tProdutos[Desconto homologado],MATCH(tItens[[#This Row],[Produto]],tProdutos[Produto],0))="",DescontoPadrao,INDEX(tProdutos[Desconto homologado],MATCH(tItens[[#This Row],[Produto]],tProdutos[Produto],0))),DescontoPadrao)</f>
        <v>0.50460666194188497</v>
      </c>
      <c r="M890" s="12">
        <f>tItens[[#This Row],[Valor]]*(1-tItens[[#This Row],[Desconto]])</f>
        <v>0</v>
      </c>
      <c r="N890" t="str">
        <f>IFERROR(INDEX(tProdutos[Foco],MATCH(tItens[[#This Row],[Produto]],tProdutos[Produto],0)),"Não")</f>
        <v>Não</v>
      </c>
      <c r="O890" t="str">
        <f>IFERROR(INDEX(tEditais[SRP],MATCH(tItens[[#This Row],[Edital]],tEditais[Edital],0)),"Não")</f>
        <v>Não</v>
      </c>
      <c r="P890" s="4">
        <f>IF(COUNTIFS(INDEX(tItens[Edital],1):tItens[[#This Row],[Edital]],tItens[[#This Row],[Edital]],INDEX(tItens[Produto],1):tItens[[#This Row],[Produto]],tItens[[#This Row],[Produto]])=1,1,0)</f>
        <v>1</v>
      </c>
    </row>
    <row r="891" spans="1:16" x14ac:dyDescent="0.25">
      <c r="A891" t="s">
        <v>1023</v>
      </c>
      <c r="B891">
        <v>63</v>
      </c>
      <c r="C891" t="s">
        <v>4058</v>
      </c>
      <c r="D891" t="s">
        <v>267</v>
      </c>
      <c r="E891" s="13">
        <v>150</v>
      </c>
      <c r="F891" s="12">
        <v>0</v>
      </c>
      <c r="G891" t="str">
        <f>IFERROR(INDEX(tEditais[Órgão],MATCH(tItens[[#This Row],[Edital]],tEditais[Edital],0)),"")</f>
        <v>CONSORCIO PUBLICO DE SAUDE DA MICRORREGIAO DE SOBRAL - CPSMS</v>
      </c>
      <c r="H891" t="str">
        <f>IFERROR(INDEX(tEditais[UF],MATCH(tItens[[#This Row],[Edital]],tEditais[Edital],0)),"")</f>
        <v>CE</v>
      </c>
      <c r="I891" s="11">
        <f>IFERROR(INDEX(tEditais[Encerramento],MATCH(tItens[[#This Row],[Edital]],tEditais[Edital],0)),"")</f>
        <v>46310.375</v>
      </c>
      <c r="J891" t="str">
        <f>IFERROR(INDEX(tProdutos[Classe],MATCH(tItens[[#This Row],[Produto]],tProdutos[Produto],0)),"produto não cadastrado")</f>
        <v>FORA</v>
      </c>
      <c r="K891" s="12">
        <f>tItens[[#This Row],[Qtd]]*tItens[[#This Row],[Vlr unit]]</f>
        <v>0</v>
      </c>
      <c r="L891" s="6">
        <f>IFERROR(IF(INDEX(tProdutos[Desconto homologado],MATCH(tItens[[#This Row],[Produto]],tProdutos[Produto],0))="",DescontoPadrao,INDEX(tProdutos[Desconto homologado],MATCH(tItens[[#This Row],[Produto]],tProdutos[Produto],0))),DescontoPadrao)</f>
        <v>0.19963672657401599</v>
      </c>
      <c r="M891" s="12">
        <f>tItens[[#This Row],[Valor]]*(1-tItens[[#This Row],[Desconto]])</f>
        <v>0</v>
      </c>
      <c r="N891" t="str">
        <f>IFERROR(INDEX(tProdutos[Foco],MATCH(tItens[[#This Row],[Produto]],tProdutos[Produto],0)),"Não")</f>
        <v>Não</v>
      </c>
      <c r="O891" t="str">
        <f>IFERROR(INDEX(tEditais[SRP],MATCH(tItens[[#This Row],[Edital]],tEditais[Edital],0)),"Não")</f>
        <v>Não</v>
      </c>
      <c r="P891" s="4">
        <f>IF(COUNTIFS(INDEX(tItens[Edital],1):tItens[[#This Row],[Edital]],tItens[[#This Row],[Edital]],INDEX(tItens[Produto],1):tItens[[#This Row],[Produto]],tItens[[#This Row],[Produto]])=1,1,0)</f>
        <v>1</v>
      </c>
    </row>
    <row r="892" spans="1:16" x14ac:dyDescent="0.25">
      <c r="A892" t="s">
        <v>1023</v>
      </c>
      <c r="B892">
        <v>64</v>
      </c>
      <c r="C892" t="s">
        <v>4059</v>
      </c>
      <c r="D892" t="s">
        <v>413</v>
      </c>
      <c r="E892" s="13">
        <v>1500</v>
      </c>
      <c r="F892" s="12">
        <v>0</v>
      </c>
      <c r="G892" t="str">
        <f>IFERROR(INDEX(tEditais[Órgão],MATCH(tItens[[#This Row],[Edital]],tEditais[Edital],0)),"")</f>
        <v>CONSORCIO PUBLICO DE SAUDE DA MICRORREGIAO DE SOBRAL - CPSMS</v>
      </c>
      <c r="H892" t="str">
        <f>IFERROR(INDEX(tEditais[UF],MATCH(tItens[[#This Row],[Edital]],tEditais[Edital],0)),"")</f>
        <v>CE</v>
      </c>
      <c r="I892" s="11">
        <f>IFERROR(INDEX(tEditais[Encerramento],MATCH(tItens[[#This Row],[Edital]],tEditais[Edital],0)),"")</f>
        <v>46310.375</v>
      </c>
      <c r="J892" t="str">
        <f>IFERROR(INDEX(tProdutos[Classe],MATCH(tItens[[#This Row],[Produto]],tProdutos[Produto],0)),"produto não cadastrado")</f>
        <v>FORA</v>
      </c>
      <c r="K892" s="12">
        <f>tItens[[#This Row],[Qtd]]*tItens[[#This Row],[Vlr unit]]</f>
        <v>0</v>
      </c>
      <c r="L892" s="6">
        <f>IFERROR(IF(INDEX(tProdutos[Desconto homologado],MATCH(tItens[[#This Row],[Produto]],tProdutos[Produto],0))="",DescontoPadrao,INDEX(tProdutos[Desconto homologado],MATCH(tItens[[#This Row],[Produto]],tProdutos[Produto],0))),DescontoPadrao)</f>
        <v>0.477732793522267</v>
      </c>
      <c r="M892" s="12">
        <f>tItens[[#This Row],[Valor]]*(1-tItens[[#This Row],[Desconto]])</f>
        <v>0</v>
      </c>
      <c r="N892" t="str">
        <f>IFERROR(INDEX(tProdutos[Foco],MATCH(tItens[[#This Row],[Produto]],tProdutos[Produto],0)),"Não")</f>
        <v>Não</v>
      </c>
      <c r="O892" t="str">
        <f>IFERROR(INDEX(tEditais[SRP],MATCH(tItens[[#This Row],[Edital]],tEditais[Edital],0)),"Não")</f>
        <v>Não</v>
      </c>
      <c r="P892" s="4">
        <f>IF(COUNTIFS(INDEX(tItens[Edital],1):tItens[[#This Row],[Edital]],tItens[[#This Row],[Edital]],INDEX(tItens[Produto],1):tItens[[#This Row],[Produto]],tItens[[#This Row],[Produto]])=1,1,0)</f>
        <v>1</v>
      </c>
    </row>
    <row r="893" spans="1:16" x14ac:dyDescent="0.25">
      <c r="A893" t="s">
        <v>1023</v>
      </c>
      <c r="B893">
        <v>65</v>
      </c>
      <c r="C893" t="s">
        <v>4060</v>
      </c>
      <c r="D893" t="s">
        <v>413</v>
      </c>
      <c r="E893" s="13">
        <v>2600</v>
      </c>
      <c r="F893" s="12">
        <v>0</v>
      </c>
      <c r="G893" t="str">
        <f>IFERROR(INDEX(tEditais[Órgão],MATCH(tItens[[#This Row],[Edital]],tEditais[Edital],0)),"")</f>
        <v>CONSORCIO PUBLICO DE SAUDE DA MICRORREGIAO DE SOBRAL - CPSMS</v>
      </c>
      <c r="H893" t="str">
        <f>IFERROR(INDEX(tEditais[UF],MATCH(tItens[[#This Row],[Edital]],tEditais[Edital],0)),"")</f>
        <v>CE</v>
      </c>
      <c r="I893" s="11">
        <f>IFERROR(INDEX(tEditais[Encerramento],MATCH(tItens[[#This Row],[Edital]],tEditais[Edital],0)),"")</f>
        <v>46310.375</v>
      </c>
      <c r="J893" t="str">
        <f>IFERROR(INDEX(tProdutos[Classe],MATCH(tItens[[#This Row],[Produto]],tProdutos[Produto],0)),"produto não cadastrado")</f>
        <v>FORA</v>
      </c>
      <c r="K893" s="12">
        <f>tItens[[#This Row],[Qtd]]*tItens[[#This Row],[Vlr unit]]</f>
        <v>0</v>
      </c>
      <c r="L893" s="6">
        <f>IFERROR(IF(INDEX(tProdutos[Desconto homologado],MATCH(tItens[[#This Row],[Produto]],tProdutos[Produto],0))="",DescontoPadrao,INDEX(tProdutos[Desconto homologado],MATCH(tItens[[#This Row],[Produto]],tProdutos[Produto],0))),DescontoPadrao)</f>
        <v>0.477732793522267</v>
      </c>
      <c r="M893" s="12">
        <f>tItens[[#This Row],[Valor]]*(1-tItens[[#This Row],[Desconto]])</f>
        <v>0</v>
      </c>
      <c r="N893" t="str">
        <f>IFERROR(INDEX(tProdutos[Foco],MATCH(tItens[[#This Row],[Produto]],tProdutos[Produto],0)),"Não")</f>
        <v>Não</v>
      </c>
      <c r="O893" t="str">
        <f>IFERROR(INDEX(tEditais[SRP],MATCH(tItens[[#This Row],[Edital]],tEditais[Edital],0)),"Não")</f>
        <v>Não</v>
      </c>
      <c r="P893" s="4">
        <f>IF(COUNTIFS(INDEX(tItens[Edital],1):tItens[[#This Row],[Edital]],tItens[[#This Row],[Edital]],INDEX(tItens[Produto],1):tItens[[#This Row],[Produto]],tItens[[#This Row],[Produto]])=1,1,0)</f>
        <v>0</v>
      </c>
    </row>
    <row r="894" spans="1:16" x14ac:dyDescent="0.25">
      <c r="A894" t="s">
        <v>1023</v>
      </c>
      <c r="B894">
        <v>66</v>
      </c>
      <c r="C894" t="s">
        <v>4061</v>
      </c>
      <c r="D894" t="s">
        <v>413</v>
      </c>
      <c r="E894" s="13">
        <v>2050</v>
      </c>
      <c r="F894" s="12">
        <v>0</v>
      </c>
      <c r="G894" t="str">
        <f>IFERROR(INDEX(tEditais[Órgão],MATCH(tItens[[#This Row],[Edital]],tEditais[Edital],0)),"")</f>
        <v>CONSORCIO PUBLICO DE SAUDE DA MICRORREGIAO DE SOBRAL - CPSMS</v>
      </c>
      <c r="H894" t="str">
        <f>IFERROR(INDEX(tEditais[UF],MATCH(tItens[[#This Row],[Edital]],tEditais[Edital],0)),"")</f>
        <v>CE</v>
      </c>
      <c r="I894" s="11">
        <f>IFERROR(INDEX(tEditais[Encerramento],MATCH(tItens[[#This Row],[Edital]],tEditais[Edital],0)),"")</f>
        <v>46310.375</v>
      </c>
      <c r="J894" t="str">
        <f>IFERROR(INDEX(tProdutos[Classe],MATCH(tItens[[#This Row],[Produto]],tProdutos[Produto],0)),"produto não cadastrado")</f>
        <v>FORA</v>
      </c>
      <c r="K894" s="12">
        <f>tItens[[#This Row],[Qtd]]*tItens[[#This Row],[Vlr unit]]</f>
        <v>0</v>
      </c>
      <c r="L894" s="6">
        <f>IFERROR(IF(INDEX(tProdutos[Desconto homologado],MATCH(tItens[[#This Row],[Produto]],tProdutos[Produto],0))="",DescontoPadrao,INDEX(tProdutos[Desconto homologado],MATCH(tItens[[#This Row],[Produto]],tProdutos[Produto],0))),DescontoPadrao)</f>
        <v>0.477732793522267</v>
      </c>
      <c r="M894" s="12">
        <f>tItens[[#This Row],[Valor]]*(1-tItens[[#This Row],[Desconto]])</f>
        <v>0</v>
      </c>
      <c r="N894" t="str">
        <f>IFERROR(INDEX(tProdutos[Foco],MATCH(tItens[[#This Row],[Produto]],tProdutos[Produto],0)),"Não")</f>
        <v>Não</v>
      </c>
      <c r="O894" t="str">
        <f>IFERROR(INDEX(tEditais[SRP],MATCH(tItens[[#This Row],[Edital]],tEditais[Edital],0)),"Não")</f>
        <v>Não</v>
      </c>
      <c r="P894" s="4">
        <f>IF(COUNTIFS(INDEX(tItens[Edital],1):tItens[[#This Row],[Edital]],tItens[[#This Row],[Edital]],INDEX(tItens[Produto],1):tItens[[#This Row],[Produto]],tItens[[#This Row],[Produto]])=1,1,0)</f>
        <v>0</v>
      </c>
    </row>
    <row r="895" spans="1:16" x14ac:dyDescent="0.25">
      <c r="A895" t="s">
        <v>1023</v>
      </c>
      <c r="B895">
        <v>67</v>
      </c>
      <c r="C895" t="s">
        <v>4062</v>
      </c>
      <c r="D895" t="s">
        <v>413</v>
      </c>
      <c r="E895" s="13">
        <v>850</v>
      </c>
      <c r="F895" s="12">
        <v>0</v>
      </c>
      <c r="G895" t="str">
        <f>IFERROR(INDEX(tEditais[Órgão],MATCH(tItens[[#This Row],[Edital]],tEditais[Edital],0)),"")</f>
        <v>CONSORCIO PUBLICO DE SAUDE DA MICRORREGIAO DE SOBRAL - CPSMS</v>
      </c>
      <c r="H895" t="str">
        <f>IFERROR(INDEX(tEditais[UF],MATCH(tItens[[#This Row],[Edital]],tEditais[Edital],0)),"")</f>
        <v>CE</v>
      </c>
      <c r="I895" s="11">
        <f>IFERROR(INDEX(tEditais[Encerramento],MATCH(tItens[[#This Row],[Edital]],tEditais[Edital],0)),"")</f>
        <v>46310.375</v>
      </c>
      <c r="J895" t="str">
        <f>IFERROR(INDEX(tProdutos[Classe],MATCH(tItens[[#This Row],[Produto]],tProdutos[Produto],0)),"produto não cadastrado")</f>
        <v>FORA</v>
      </c>
      <c r="K895" s="12">
        <f>tItens[[#This Row],[Qtd]]*tItens[[#This Row],[Vlr unit]]</f>
        <v>0</v>
      </c>
      <c r="L895" s="6">
        <f>IFERROR(IF(INDEX(tProdutos[Desconto homologado],MATCH(tItens[[#This Row],[Produto]],tProdutos[Produto],0))="",DescontoPadrao,INDEX(tProdutos[Desconto homologado],MATCH(tItens[[#This Row],[Produto]],tProdutos[Produto],0))),DescontoPadrao)</f>
        <v>0.477732793522267</v>
      </c>
      <c r="M895" s="12">
        <f>tItens[[#This Row],[Valor]]*(1-tItens[[#This Row],[Desconto]])</f>
        <v>0</v>
      </c>
      <c r="N895" t="str">
        <f>IFERROR(INDEX(tProdutos[Foco],MATCH(tItens[[#This Row],[Produto]],tProdutos[Produto],0)),"Não")</f>
        <v>Não</v>
      </c>
      <c r="O895" t="str">
        <f>IFERROR(INDEX(tEditais[SRP],MATCH(tItens[[#This Row],[Edital]],tEditais[Edital],0)),"Não")</f>
        <v>Não</v>
      </c>
      <c r="P895" s="4">
        <f>IF(COUNTIFS(INDEX(tItens[Edital],1):tItens[[#This Row],[Edital]],tItens[[#This Row],[Edital]],INDEX(tItens[Produto],1):tItens[[#This Row],[Produto]],tItens[[#This Row],[Produto]])=1,1,0)</f>
        <v>0</v>
      </c>
    </row>
    <row r="896" spans="1:16" x14ac:dyDescent="0.25">
      <c r="A896" t="s">
        <v>1023</v>
      </c>
      <c r="B896">
        <v>76</v>
      </c>
      <c r="C896" t="s">
        <v>4063</v>
      </c>
      <c r="D896" t="s">
        <v>494</v>
      </c>
      <c r="E896" s="13">
        <v>80</v>
      </c>
      <c r="F896" s="12">
        <v>0</v>
      </c>
      <c r="G896" t="str">
        <f>IFERROR(INDEX(tEditais[Órgão],MATCH(tItens[[#This Row],[Edital]],tEditais[Edital],0)),"")</f>
        <v>CONSORCIO PUBLICO DE SAUDE DA MICRORREGIAO DE SOBRAL - CPSMS</v>
      </c>
      <c r="H896" t="str">
        <f>IFERROR(INDEX(tEditais[UF],MATCH(tItens[[#This Row],[Edital]],tEditais[Edital],0)),"")</f>
        <v>CE</v>
      </c>
      <c r="I896" s="11">
        <f>IFERROR(INDEX(tEditais[Encerramento],MATCH(tItens[[#This Row],[Edital]],tEditais[Edital],0)),"")</f>
        <v>46310.375</v>
      </c>
      <c r="J896" t="str">
        <f>IFERROR(INDEX(tProdutos[Classe],MATCH(tItens[[#This Row],[Produto]],tProdutos[Produto],0)),"produto não cadastrado")</f>
        <v>FILA REBASE</v>
      </c>
      <c r="K896" s="12">
        <f>tItens[[#This Row],[Qtd]]*tItens[[#This Row],[Vlr unit]]</f>
        <v>0</v>
      </c>
      <c r="L896" s="6">
        <f>IFERROR(IF(INDEX(tProdutos[Desconto homologado],MATCH(tItens[[#This Row],[Produto]],tProdutos[Produto],0))="",DescontoPadrao,INDEX(tProdutos[Desconto homologado],MATCH(tItens[[#This Row],[Produto]],tProdutos[Produto],0))),DescontoPadrao)</f>
        <v>0.253736324829619</v>
      </c>
      <c r="M896" s="12">
        <f>tItens[[#This Row],[Valor]]*(1-tItens[[#This Row],[Desconto]])</f>
        <v>0</v>
      </c>
      <c r="N896" t="str">
        <f>IFERROR(INDEX(tProdutos[Foco],MATCH(tItens[[#This Row],[Produto]],tProdutos[Produto],0)),"Não")</f>
        <v>Não</v>
      </c>
      <c r="O896" t="str">
        <f>IFERROR(INDEX(tEditais[SRP],MATCH(tItens[[#This Row],[Edital]],tEditais[Edital],0)),"Não")</f>
        <v>Não</v>
      </c>
      <c r="P896" s="4">
        <f>IF(COUNTIFS(INDEX(tItens[Edital],1):tItens[[#This Row],[Edital]],tItens[[#This Row],[Edital]],INDEX(tItens[Produto],1):tItens[[#This Row],[Produto]],tItens[[#This Row],[Produto]])=1,1,0)</f>
        <v>1</v>
      </c>
    </row>
    <row r="897" spans="1:16" x14ac:dyDescent="0.25">
      <c r="A897" t="s">
        <v>1023</v>
      </c>
      <c r="B897">
        <v>77</v>
      </c>
      <c r="C897" t="s">
        <v>4064</v>
      </c>
      <c r="D897" t="s">
        <v>494</v>
      </c>
      <c r="E897" s="13">
        <v>3</v>
      </c>
      <c r="F897" s="12">
        <v>0</v>
      </c>
      <c r="G897" t="str">
        <f>IFERROR(INDEX(tEditais[Órgão],MATCH(tItens[[#This Row],[Edital]],tEditais[Edital],0)),"")</f>
        <v>CONSORCIO PUBLICO DE SAUDE DA MICRORREGIAO DE SOBRAL - CPSMS</v>
      </c>
      <c r="H897" t="str">
        <f>IFERROR(INDEX(tEditais[UF],MATCH(tItens[[#This Row],[Edital]],tEditais[Edital],0)),"")</f>
        <v>CE</v>
      </c>
      <c r="I897" s="11">
        <f>IFERROR(INDEX(tEditais[Encerramento],MATCH(tItens[[#This Row],[Edital]],tEditais[Edital],0)),"")</f>
        <v>46310.375</v>
      </c>
      <c r="J897" t="str">
        <f>IFERROR(INDEX(tProdutos[Classe],MATCH(tItens[[#This Row],[Produto]],tProdutos[Produto],0)),"produto não cadastrado")</f>
        <v>FILA REBASE</v>
      </c>
      <c r="K897" s="12">
        <f>tItens[[#This Row],[Qtd]]*tItens[[#This Row],[Vlr unit]]</f>
        <v>0</v>
      </c>
      <c r="L897" s="6">
        <f>IFERROR(IF(INDEX(tProdutos[Desconto homologado],MATCH(tItens[[#This Row],[Produto]],tProdutos[Produto],0))="",DescontoPadrao,INDEX(tProdutos[Desconto homologado],MATCH(tItens[[#This Row],[Produto]],tProdutos[Produto],0))),DescontoPadrao)</f>
        <v>0.253736324829619</v>
      </c>
      <c r="M897" s="12">
        <f>tItens[[#This Row],[Valor]]*(1-tItens[[#This Row],[Desconto]])</f>
        <v>0</v>
      </c>
      <c r="N897" t="str">
        <f>IFERROR(INDEX(tProdutos[Foco],MATCH(tItens[[#This Row],[Produto]],tProdutos[Produto],0)),"Não")</f>
        <v>Não</v>
      </c>
      <c r="O897" t="str">
        <f>IFERROR(INDEX(tEditais[SRP],MATCH(tItens[[#This Row],[Edital]],tEditais[Edital],0)),"Não")</f>
        <v>Não</v>
      </c>
      <c r="P897" s="4">
        <f>IF(COUNTIFS(INDEX(tItens[Edital],1):tItens[[#This Row],[Edital]],tItens[[#This Row],[Edital]],INDEX(tItens[Produto],1):tItens[[#This Row],[Produto]],tItens[[#This Row],[Produto]])=1,1,0)</f>
        <v>0</v>
      </c>
    </row>
    <row r="898" spans="1:16" x14ac:dyDescent="0.25">
      <c r="A898" t="s">
        <v>1023</v>
      </c>
      <c r="B898">
        <v>78</v>
      </c>
      <c r="C898" t="s">
        <v>4065</v>
      </c>
      <c r="D898" t="s">
        <v>494</v>
      </c>
      <c r="E898" s="13">
        <v>73</v>
      </c>
      <c r="F898" s="12">
        <v>0</v>
      </c>
      <c r="G898" t="str">
        <f>IFERROR(INDEX(tEditais[Órgão],MATCH(tItens[[#This Row],[Edital]],tEditais[Edital],0)),"")</f>
        <v>CONSORCIO PUBLICO DE SAUDE DA MICRORREGIAO DE SOBRAL - CPSMS</v>
      </c>
      <c r="H898" t="str">
        <f>IFERROR(INDEX(tEditais[UF],MATCH(tItens[[#This Row],[Edital]],tEditais[Edital],0)),"")</f>
        <v>CE</v>
      </c>
      <c r="I898" s="11">
        <f>IFERROR(INDEX(tEditais[Encerramento],MATCH(tItens[[#This Row],[Edital]],tEditais[Edital],0)),"")</f>
        <v>46310.375</v>
      </c>
      <c r="J898" t="str">
        <f>IFERROR(INDEX(tProdutos[Classe],MATCH(tItens[[#This Row],[Produto]],tProdutos[Produto],0)),"produto não cadastrado")</f>
        <v>FILA REBASE</v>
      </c>
      <c r="K898" s="12">
        <f>tItens[[#This Row],[Qtd]]*tItens[[#This Row],[Vlr unit]]</f>
        <v>0</v>
      </c>
      <c r="L898" s="6">
        <f>IFERROR(IF(INDEX(tProdutos[Desconto homologado],MATCH(tItens[[#This Row],[Produto]],tProdutos[Produto],0))="",DescontoPadrao,INDEX(tProdutos[Desconto homologado],MATCH(tItens[[#This Row],[Produto]],tProdutos[Produto],0))),DescontoPadrao)</f>
        <v>0.253736324829619</v>
      </c>
      <c r="M898" s="12">
        <f>tItens[[#This Row],[Valor]]*(1-tItens[[#This Row],[Desconto]])</f>
        <v>0</v>
      </c>
      <c r="N898" t="str">
        <f>IFERROR(INDEX(tProdutos[Foco],MATCH(tItens[[#This Row],[Produto]],tProdutos[Produto],0)),"Não")</f>
        <v>Não</v>
      </c>
      <c r="O898" t="str">
        <f>IFERROR(INDEX(tEditais[SRP],MATCH(tItens[[#This Row],[Edital]],tEditais[Edital],0)),"Não")</f>
        <v>Não</v>
      </c>
      <c r="P898" s="4">
        <f>IF(COUNTIFS(INDEX(tItens[Edital],1):tItens[[#This Row],[Edital]],tItens[[#This Row],[Edital]],INDEX(tItens[Produto],1):tItens[[#This Row],[Produto]],tItens[[#This Row],[Produto]])=1,1,0)</f>
        <v>0</v>
      </c>
    </row>
    <row r="899" spans="1:16" x14ac:dyDescent="0.25">
      <c r="A899" t="s">
        <v>1023</v>
      </c>
      <c r="B899">
        <v>79</v>
      </c>
      <c r="C899" t="s">
        <v>4066</v>
      </c>
      <c r="D899" t="s">
        <v>494</v>
      </c>
      <c r="E899" s="13">
        <v>100</v>
      </c>
      <c r="F899" s="12">
        <v>0</v>
      </c>
      <c r="G899" t="str">
        <f>IFERROR(INDEX(tEditais[Órgão],MATCH(tItens[[#This Row],[Edital]],tEditais[Edital],0)),"")</f>
        <v>CONSORCIO PUBLICO DE SAUDE DA MICRORREGIAO DE SOBRAL - CPSMS</v>
      </c>
      <c r="H899" t="str">
        <f>IFERROR(INDEX(tEditais[UF],MATCH(tItens[[#This Row],[Edital]],tEditais[Edital],0)),"")</f>
        <v>CE</v>
      </c>
      <c r="I899" s="11">
        <f>IFERROR(INDEX(tEditais[Encerramento],MATCH(tItens[[#This Row],[Edital]],tEditais[Edital],0)),"")</f>
        <v>46310.375</v>
      </c>
      <c r="J899" t="str">
        <f>IFERROR(INDEX(tProdutos[Classe],MATCH(tItens[[#This Row],[Produto]],tProdutos[Produto],0)),"produto não cadastrado")</f>
        <v>FILA REBASE</v>
      </c>
      <c r="K899" s="12">
        <f>tItens[[#This Row],[Qtd]]*tItens[[#This Row],[Vlr unit]]</f>
        <v>0</v>
      </c>
      <c r="L899" s="6">
        <f>IFERROR(IF(INDEX(tProdutos[Desconto homologado],MATCH(tItens[[#This Row],[Produto]],tProdutos[Produto],0))="",DescontoPadrao,INDEX(tProdutos[Desconto homologado],MATCH(tItens[[#This Row],[Produto]],tProdutos[Produto],0))),DescontoPadrao)</f>
        <v>0.253736324829619</v>
      </c>
      <c r="M899" s="12">
        <f>tItens[[#This Row],[Valor]]*(1-tItens[[#This Row],[Desconto]])</f>
        <v>0</v>
      </c>
      <c r="N899" t="str">
        <f>IFERROR(INDEX(tProdutos[Foco],MATCH(tItens[[#This Row],[Produto]],tProdutos[Produto],0)),"Não")</f>
        <v>Não</v>
      </c>
      <c r="O899" t="str">
        <f>IFERROR(INDEX(tEditais[SRP],MATCH(tItens[[#This Row],[Edital]],tEditais[Edital],0)),"Não")</f>
        <v>Não</v>
      </c>
      <c r="P899" s="4">
        <f>IF(COUNTIFS(INDEX(tItens[Edital],1):tItens[[#This Row],[Edital]],tItens[[#This Row],[Edital]],INDEX(tItens[Produto],1):tItens[[#This Row],[Produto]],tItens[[#This Row],[Produto]])=1,1,0)</f>
        <v>0</v>
      </c>
    </row>
    <row r="900" spans="1:16" x14ac:dyDescent="0.25">
      <c r="A900" t="s">
        <v>1023</v>
      </c>
      <c r="B900">
        <v>80</v>
      </c>
      <c r="C900" t="s">
        <v>4067</v>
      </c>
      <c r="D900" t="s">
        <v>494</v>
      </c>
      <c r="E900" s="13">
        <v>3</v>
      </c>
      <c r="F900" s="12">
        <v>0</v>
      </c>
      <c r="G900" t="str">
        <f>IFERROR(INDEX(tEditais[Órgão],MATCH(tItens[[#This Row],[Edital]],tEditais[Edital],0)),"")</f>
        <v>CONSORCIO PUBLICO DE SAUDE DA MICRORREGIAO DE SOBRAL - CPSMS</v>
      </c>
      <c r="H900" t="str">
        <f>IFERROR(INDEX(tEditais[UF],MATCH(tItens[[#This Row],[Edital]],tEditais[Edital],0)),"")</f>
        <v>CE</v>
      </c>
      <c r="I900" s="11">
        <f>IFERROR(INDEX(tEditais[Encerramento],MATCH(tItens[[#This Row],[Edital]],tEditais[Edital],0)),"")</f>
        <v>46310.375</v>
      </c>
      <c r="J900" t="str">
        <f>IFERROR(INDEX(tProdutos[Classe],MATCH(tItens[[#This Row],[Produto]],tProdutos[Produto],0)),"produto não cadastrado")</f>
        <v>FILA REBASE</v>
      </c>
      <c r="K900" s="12">
        <f>tItens[[#This Row],[Qtd]]*tItens[[#This Row],[Vlr unit]]</f>
        <v>0</v>
      </c>
      <c r="L900" s="6">
        <f>IFERROR(IF(INDEX(tProdutos[Desconto homologado],MATCH(tItens[[#This Row],[Produto]],tProdutos[Produto],0))="",DescontoPadrao,INDEX(tProdutos[Desconto homologado],MATCH(tItens[[#This Row],[Produto]],tProdutos[Produto],0))),DescontoPadrao)</f>
        <v>0.253736324829619</v>
      </c>
      <c r="M900" s="12">
        <f>tItens[[#This Row],[Valor]]*(1-tItens[[#This Row],[Desconto]])</f>
        <v>0</v>
      </c>
      <c r="N900" t="str">
        <f>IFERROR(INDEX(tProdutos[Foco],MATCH(tItens[[#This Row],[Produto]],tProdutos[Produto],0)),"Não")</f>
        <v>Não</v>
      </c>
      <c r="O900" t="str">
        <f>IFERROR(INDEX(tEditais[SRP],MATCH(tItens[[#This Row],[Edital]],tEditais[Edital],0)),"Não")</f>
        <v>Não</v>
      </c>
      <c r="P900" s="4">
        <f>IF(COUNTIFS(INDEX(tItens[Edital],1):tItens[[#This Row],[Edital]],tItens[[#This Row],[Edital]],INDEX(tItens[Produto],1):tItens[[#This Row],[Produto]],tItens[[#This Row],[Produto]])=1,1,0)</f>
        <v>0</v>
      </c>
    </row>
    <row r="901" spans="1:16" x14ac:dyDescent="0.25">
      <c r="A901" t="s">
        <v>1023</v>
      </c>
      <c r="B901">
        <v>81</v>
      </c>
      <c r="C901" t="s">
        <v>4068</v>
      </c>
      <c r="D901" t="s">
        <v>494</v>
      </c>
      <c r="E901" s="13">
        <v>24</v>
      </c>
      <c r="F901" s="12">
        <v>0</v>
      </c>
      <c r="G901" t="str">
        <f>IFERROR(INDEX(tEditais[Órgão],MATCH(tItens[[#This Row],[Edital]],tEditais[Edital],0)),"")</f>
        <v>CONSORCIO PUBLICO DE SAUDE DA MICRORREGIAO DE SOBRAL - CPSMS</v>
      </c>
      <c r="H901" t="str">
        <f>IFERROR(INDEX(tEditais[UF],MATCH(tItens[[#This Row],[Edital]],tEditais[Edital],0)),"")</f>
        <v>CE</v>
      </c>
      <c r="I901" s="11">
        <f>IFERROR(INDEX(tEditais[Encerramento],MATCH(tItens[[#This Row],[Edital]],tEditais[Edital],0)),"")</f>
        <v>46310.375</v>
      </c>
      <c r="J901" t="str">
        <f>IFERROR(INDEX(tProdutos[Classe],MATCH(tItens[[#This Row],[Produto]],tProdutos[Produto],0)),"produto não cadastrado")</f>
        <v>FILA REBASE</v>
      </c>
      <c r="K901" s="12">
        <f>tItens[[#This Row],[Qtd]]*tItens[[#This Row],[Vlr unit]]</f>
        <v>0</v>
      </c>
      <c r="L901" s="6">
        <f>IFERROR(IF(INDEX(tProdutos[Desconto homologado],MATCH(tItens[[#This Row],[Produto]],tProdutos[Produto],0))="",DescontoPadrao,INDEX(tProdutos[Desconto homologado],MATCH(tItens[[#This Row],[Produto]],tProdutos[Produto],0))),DescontoPadrao)</f>
        <v>0.253736324829619</v>
      </c>
      <c r="M901" s="12">
        <f>tItens[[#This Row],[Valor]]*(1-tItens[[#This Row],[Desconto]])</f>
        <v>0</v>
      </c>
      <c r="N901" t="str">
        <f>IFERROR(INDEX(tProdutos[Foco],MATCH(tItens[[#This Row],[Produto]],tProdutos[Produto],0)),"Não")</f>
        <v>Não</v>
      </c>
      <c r="O901" t="str">
        <f>IFERROR(INDEX(tEditais[SRP],MATCH(tItens[[#This Row],[Edital]],tEditais[Edital],0)),"Não")</f>
        <v>Não</v>
      </c>
      <c r="P901" s="4">
        <f>IF(COUNTIFS(INDEX(tItens[Edital],1):tItens[[#This Row],[Edital]],tItens[[#This Row],[Edital]],INDEX(tItens[Produto],1):tItens[[#This Row],[Produto]],tItens[[#This Row],[Produto]])=1,1,0)</f>
        <v>0</v>
      </c>
    </row>
    <row r="902" spans="1:16" x14ac:dyDescent="0.25">
      <c r="A902" t="s">
        <v>1023</v>
      </c>
      <c r="B902">
        <v>82</v>
      </c>
      <c r="C902" t="s">
        <v>4069</v>
      </c>
      <c r="D902" t="s">
        <v>267</v>
      </c>
      <c r="E902" s="13">
        <v>700</v>
      </c>
      <c r="F902" s="12">
        <v>0</v>
      </c>
      <c r="G902" t="str">
        <f>IFERROR(INDEX(tEditais[Órgão],MATCH(tItens[[#This Row],[Edital]],tEditais[Edital],0)),"")</f>
        <v>CONSORCIO PUBLICO DE SAUDE DA MICRORREGIAO DE SOBRAL - CPSMS</v>
      </c>
      <c r="H902" t="str">
        <f>IFERROR(INDEX(tEditais[UF],MATCH(tItens[[#This Row],[Edital]],tEditais[Edital],0)),"")</f>
        <v>CE</v>
      </c>
      <c r="I902" s="11">
        <f>IFERROR(INDEX(tEditais[Encerramento],MATCH(tItens[[#This Row],[Edital]],tEditais[Edital],0)),"")</f>
        <v>46310.375</v>
      </c>
      <c r="J902" t="str">
        <f>IFERROR(INDEX(tProdutos[Classe],MATCH(tItens[[#This Row],[Produto]],tProdutos[Produto],0)),"produto não cadastrado")</f>
        <v>FORA</v>
      </c>
      <c r="K902" s="12">
        <f>tItens[[#This Row],[Qtd]]*tItens[[#This Row],[Vlr unit]]</f>
        <v>0</v>
      </c>
      <c r="L902" s="6">
        <f>IFERROR(IF(INDEX(tProdutos[Desconto homologado],MATCH(tItens[[#This Row],[Produto]],tProdutos[Produto],0))="",DescontoPadrao,INDEX(tProdutos[Desconto homologado],MATCH(tItens[[#This Row],[Produto]],tProdutos[Produto],0))),DescontoPadrao)</f>
        <v>0.19963672657401599</v>
      </c>
      <c r="M902" s="12">
        <f>tItens[[#This Row],[Valor]]*(1-tItens[[#This Row],[Desconto]])</f>
        <v>0</v>
      </c>
      <c r="N902" t="str">
        <f>IFERROR(INDEX(tProdutos[Foco],MATCH(tItens[[#This Row],[Produto]],tProdutos[Produto],0)),"Não")</f>
        <v>Não</v>
      </c>
      <c r="O902" t="str">
        <f>IFERROR(INDEX(tEditais[SRP],MATCH(tItens[[#This Row],[Edital]],tEditais[Edital],0)),"Não")</f>
        <v>Não</v>
      </c>
      <c r="P902" s="4">
        <f>IF(COUNTIFS(INDEX(tItens[Edital],1):tItens[[#This Row],[Edital]],tItens[[#This Row],[Edital]],INDEX(tItens[Produto],1):tItens[[#This Row],[Produto]],tItens[[#This Row],[Produto]])=1,1,0)</f>
        <v>0</v>
      </c>
    </row>
    <row r="903" spans="1:16" x14ac:dyDescent="0.25">
      <c r="A903" t="s">
        <v>1023</v>
      </c>
      <c r="B903">
        <v>88</v>
      </c>
      <c r="C903" t="s">
        <v>4070</v>
      </c>
      <c r="D903" t="s">
        <v>275</v>
      </c>
      <c r="E903" s="13">
        <v>500</v>
      </c>
      <c r="F903" s="12">
        <v>0</v>
      </c>
      <c r="G903" t="str">
        <f>IFERROR(INDEX(tEditais[Órgão],MATCH(tItens[[#This Row],[Edital]],tEditais[Edital],0)),"")</f>
        <v>CONSORCIO PUBLICO DE SAUDE DA MICRORREGIAO DE SOBRAL - CPSMS</v>
      </c>
      <c r="H903" t="str">
        <f>IFERROR(INDEX(tEditais[UF],MATCH(tItens[[#This Row],[Edital]],tEditais[Edital],0)),"")</f>
        <v>CE</v>
      </c>
      <c r="I903" s="11">
        <f>IFERROR(INDEX(tEditais[Encerramento],MATCH(tItens[[#This Row],[Edital]],tEditais[Edital],0)),"")</f>
        <v>46310.375</v>
      </c>
      <c r="J903" t="str">
        <f>IFERROR(INDEX(tProdutos[Classe],MATCH(tItens[[#This Row],[Produto]],tProdutos[Produto],0)),"produto não cadastrado")</f>
        <v>FORA</v>
      </c>
      <c r="K903" s="12">
        <f>tItens[[#This Row],[Qtd]]*tItens[[#This Row],[Vlr unit]]</f>
        <v>0</v>
      </c>
      <c r="L903" s="6">
        <f>IFERROR(IF(INDEX(tProdutos[Desconto homologado],MATCH(tItens[[#This Row],[Produto]],tProdutos[Produto],0))="",DescontoPadrao,INDEX(tProdutos[Desconto homologado],MATCH(tItens[[#This Row],[Produto]],tProdutos[Produto],0))),DescontoPadrao)</f>
        <v>0.405797101449275</v>
      </c>
      <c r="M903" s="12">
        <f>tItens[[#This Row],[Valor]]*(1-tItens[[#This Row],[Desconto]])</f>
        <v>0</v>
      </c>
      <c r="N903" t="str">
        <f>IFERROR(INDEX(tProdutos[Foco],MATCH(tItens[[#This Row],[Produto]],tProdutos[Produto],0)),"Não")</f>
        <v>Não</v>
      </c>
      <c r="O903" t="str">
        <f>IFERROR(INDEX(tEditais[SRP],MATCH(tItens[[#This Row],[Edital]],tEditais[Edital],0)),"Não")</f>
        <v>Não</v>
      </c>
      <c r="P903" s="4">
        <f>IF(COUNTIFS(INDEX(tItens[Edital],1):tItens[[#This Row],[Edital]],tItens[[#This Row],[Edital]],INDEX(tItens[Produto],1):tItens[[#This Row],[Produto]],tItens[[#This Row],[Produto]])=1,1,0)</f>
        <v>1</v>
      </c>
    </row>
    <row r="904" spans="1:16" x14ac:dyDescent="0.25">
      <c r="A904" t="s">
        <v>1023</v>
      </c>
      <c r="B904">
        <v>89</v>
      </c>
      <c r="C904" t="s">
        <v>4071</v>
      </c>
      <c r="D904" t="s">
        <v>283</v>
      </c>
      <c r="E904" s="13">
        <v>500</v>
      </c>
      <c r="F904" s="12">
        <v>0</v>
      </c>
      <c r="G904" t="str">
        <f>IFERROR(INDEX(tEditais[Órgão],MATCH(tItens[[#This Row],[Edital]],tEditais[Edital],0)),"")</f>
        <v>CONSORCIO PUBLICO DE SAUDE DA MICRORREGIAO DE SOBRAL - CPSMS</v>
      </c>
      <c r="H904" t="str">
        <f>IFERROR(INDEX(tEditais[UF],MATCH(tItens[[#This Row],[Edital]],tEditais[Edital],0)),"")</f>
        <v>CE</v>
      </c>
      <c r="I904" s="11">
        <f>IFERROR(INDEX(tEditais[Encerramento],MATCH(tItens[[#This Row],[Edital]],tEditais[Edital],0)),"")</f>
        <v>46310.375</v>
      </c>
      <c r="J904" t="str">
        <f>IFERROR(INDEX(tProdutos[Classe],MATCH(tItens[[#This Row],[Produto]],tProdutos[Produto],0)),"produto não cadastrado")</f>
        <v>FORA</v>
      </c>
      <c r="K904" s="12">
        <f>tItens[[#This Row],[Qtd]]*tItens[[#This Row],[Vlr unit]]</f>
        <v>0</v>
      </c>
      <c r="L904" s="6">
        <f>IFERROR(IF(INDEX(tProdutos[Desconto homologado],MATCH(tItens[[#This Row],[Produto]],tProdutos[Produto],0))="",DescontoPadrao,INDEX(tProdutos[Desconto homologado],MATCH(tItens[[#This Row],[Produto]],tProdutos[Produto],0))),DescontoPadrao)</f>
        <v>0.40540540540540498</v>
      </c>
      <c r="M904" s="12">
        <f>tItens[[#This Row],[Valor]]*(1-tItens[[#This Row],[Desconto]])</f>
        <v>0</v>
      </c>
      <c r="N904" t="str">
        <f>IFERROR(INDEX(tProdutos[Foco],MATCH(tItens[[#This Row],[Produto]],tProdutos[Produto],0)),"Não")</f>
        <v>Não</v>
      </c>
      <c r="O904" t="str">
        <f>IFERROR(INDEX(tEditais[SRP],MATCH(tItens[[#This Row],[Edital]],tEditais[Edital],0)),"Não")</f>
        <v>Não</v>
      </c>
      <c r="P904" s="4">
        <f>IF(COUNTIFS(INDEX(tItens[Edital],1):tItens[[#This Row],[Edital]],tItens[[#This Row],[Edital]],INDEX(tItens[Produto],1):tItens[[#This Row],[Produto]],tItens[[#This Row],[Produto]])=1,1,0)</f>
        <v>1</v>
      </c>
    </row>
    <row r="905" spans="1:16" x14ac:dyDescent="0.25">
      <c r="A905" t="s">
        <v>1023</v>
      </c>
      <c r="B905">
        <v>90</v>
      </c>
      <c r="C905" t="s">
        <v>4072</v>
      </c>
      <c r="D905" t="s">
        <v>281</v>
      </c>
      <c r="E905" s="13">
        <v>4000</v>
      </c>
      <c r="F905" s="12">
        <v>0</v>
      </c>
      <c r="G905" t="str">
        <f>IFERROR(INDEX(tEditais[Órgão],MATCH(tItens[[#This Row],[Edital]],tEditais[Edital],0)),"")</f>
        <v>CONSORCIO PUBLICO DE SAUDE DA MICRORREGIAO DE SOBRAL - CPSMS</v>
      </c>
      <c r="H905" t="str">
        <f>IFERROR(INDEX(tEditais[UF],MATCH(tItens[[#This Row],[Edital]],tEditais[Edital],0)),"")</f>
        <v>CE</v>
      </c>
      <c r="I905" s="11">
        <f>IFERROR(INDEX(tEditais[Encerramento],MATCH(tItens[[#This Row],[Edital]],tEditais[Edital],0)),"")</f>
        <v>46310.375</v>
      </c>
      <c r="J905" t="str">
        <f>IFERROR(INDEX(tProdutos[Classe],MATCH(tItens[[#This Row],[Produto]],tProdutos[Produto],0)),"produto não cadastrado")</f>
        <v>DISPUTADO</v>
      </c>
      <c r="K905" s="12">
        <f>tItens[[#This Row],[Qtd]]*tItens[[#This Row],[Vlr unit]]</f>
        <v>0</v>
      </c>
      <c r="L905" s="6">
        <f>IFERROR(IF(INDEX(tProdutos[Desconto homologado],MATCH(tItens[[#This Row],[Produto]],tProdutos[Produto],0))="",DescontoPadrao,INDEX(tProdutos[Desconto homologado],MATCH(tItens[[#This Row],[Produto]],tProdutos[Produto],0))),DescontoPadrao)</f>
        <v>0.42461538461538501</v>
      </c>
      <c r="M905" s="12">
        <f>tItens[[#This Row],[Valor]]*(1-tItens[[#This Row],[Desconto]])</f>
        <v>0</v>
      </c>
      <c r="N905" t="str">
        <f>IFERROR(INDEX(tProdutos[Foco],MATCH(tItens[[#This Row],[Produto]],tProdutos[Produto],0)),"Não")</f>
        <v>Não</v>
      </c>
      <c r="O905" t="str">
        <f>IFERROR(INDEX(tEditais[SRP],MATCH(tItens[[#This Row],[Edital]],tEditais[Edital],0)),"Não")</f>
        <v>Não</v>
      </c>
      <c r="P905" s="4">
        <f>IF(COUNTIFS(INDEX(tItens[Edital],1):tItens[[#This Row],[Edital]],tItens[[#This Row],[Edital]],INDEX(tItens[Produto],1):tItens[[#This Row],[Produto]],tItens[[#This Row],[Produto]])=1,1,0)</f>
        <v>1</v>
      </c>
    </row>
    <row r="906" spans="1:16" x14ac:dyDescent="0.25">
      <c r="A906" t="s">
        <v>1023</v>
      </c>
      <c r="B906">
        <v>91</v>
      </c>
      <c r="C906" t="s">
        <v>4073</v>
      </c>
      <c r="D906" t="s">
        <v>289</v>
      </c>
      <c r="E906" s="13">
        <v>5600</v>
      </c>
      <c r="F906" s="12">
        <v>0</v>
      </c>
      <c r="G906" t="str">
        <f>IFERROR(INDEX(tEditais[Órgão],MATCH(tItens[[#This Row],[Edital]],tEditais[Edital],0)),"")</f>
        <v>CONSORCIO PUBLICO DE SAUDE DA MICRORREGIAO DE SOBRAL - CPSMS</v>
      </c>
      <c r="H906" t="str">
        <f>IFERROR(INDEX(tEditais[UF],MATCH(tItens[[#This Row],[Edital]],tEditais[Edital],0)),"")</f>
        <v>CE</v>
      </c>
      <c r="I906" s="11">
        <f>IFERROR(INDEX(tEditais[Encerramento],MATCH(tItens[[#This Row],[Edital]],tEditais[Edital],0)),"")</f>
        <v>46310.375</v>
      </c>
      <c r="J906" t="str">
        <f>IFERROR(INDEX(tProdutos[Classe],MATCH(tItens[[#This Row],[Produto]],tProdutos[Produto],0)),"produto não cadastrado")</f>
        <v>DISPUTADO</v>
      </c>
      <c r="K906" s="12">
        <f>tItens[[#This Row],[Qtd]]*tItens[[#This Row],[Vlr unit]]</f>
        <v>0</v>
      </c>
      <c r="L906" s="6">
        <f>IFERROR(IF(INDEX(tProdutos[Desconto homologado],MATCH(tItens[[#This Row],[Produto]],tProdutos[Produto],0))="",DescontoPadrao,INDEX(tProdutos[Desconto homologado],MATCH(tItens[[#This Row],[Produto]],tProdutos[Produto],0))),DescontoPadrao)</f>
        <v>0.35849056603773599</v>
      </c>
      <c r="M906" s="12">
        <f>tItens[[#This Row],[Valor]]*(1-tItens[[#This Row],[Desconto]])</f>
        <v>0</v>
      </c>
      <c r="N906" t="str">
        <f>IFERROR(INDEX(tProdutos[Foco],MATCH(tItens[[#This Row],[Produto]],tProdutos[Produto],0)),"Não")</f>
        <v>Não</v>
      </c>
      <c r="O906" t="str">
        <f>IFERROR(INDEX(tEditais[SRP],MATCH(tItens[[#This Row],[Edital]],tEditais[Edital],0)),"Não")</f>
        <v>Não</v>
      </c>
      <c r="P906" s="4">
        <f>IF(COUNTIFS(INDEX(tItens[Edital],1):tItens[[#This Row],[Edital]],tItens[[#This Row],[Edital]],INDEX(tItens[Produto],1):tItens[[#This Row],[Produto]],tItens[[#This Row],[Produto]])=1,1,0)</f>
        <v>1</v>
      </c>
    </row>
    <row r="907" spans="1:16" x14ac:dyDescent="0.25">
      <c r="A907" t="s">
        <v>1023</v>
      </c>
      <c r="B907">
        <v>92</v>
      </c>
      <c r="C907" t="s">
        <v>4074</v>
      </c>
      <c r="D907" t="s">
        <v>265</v>
      </c>
      <c r="E907" s="13">
        <v>600</v>
      </c>
      <c r="F907" s="12">
        <v>0</v>
      </c>
      <c r="G907" t="str">
        <f>IFERROR(INDEX(tEditais[Órgão],MATCH(tItens[[#This Row],[Edital]],tEditais[Edital],0)),"")</f>
        <v>CONSORCIO PUBLICO DE SAUDE DA MICRORREGIAO DE SOBRAL - CPSMS</v>
      </c>
      <c r="H907" t="str">
        <f>IFERROR(INDEX(tEditais[UF],MATCH(tItens[[#This Row],[Edital]],tEditais[Edital],0)),"")</f>
        <v>CE</v>
      </c>
      <c r="I907" s="11">
        <f>IFERROR(INDEX(tEditais[Encerramento],MATCH(tItens[[#This Row],[Edital]],tEditais[Edital],0)),"")</f>
        <v>46310.375</v>
      </c>
      <c r="J907" t="str">
        <f>IFERROR(INDEX(tProdutos[Classe],MATCH(tItens[[#This Row],[Produto]],tProdutos[Produto],0)),"produto não cadastrado")</f>
        <v>DISPUTADO</v>
      </c>
      <c r="K907" s="12">
        <f>tItens[[#This Row],[Qtd]]*tItens[[#This Row],[Vlr unit]]</f>
        <v>0</v>
      </c>
      <c r="L907" s="6">
        <f>IFERROR(IF(INDEX(tProdutos[Desconto homologado],MATCH(tItens[[#This Row],[Produto]],tProdutos[Produto],0))="",DescontoPadrao,INDEX(tProdutos[Desconto homologado],MATCH(tItens[[#This Row],[Produto]],tProdutos[Produto],0))),DescontoPadrao)</f>
        <v>0.377587663709337</v>
      </c>
      <c r="M907" s="12">
        <f>tItens[[#This Row],[Valor]]*(1-tItens[[#This Row],[Desconto]])</f>
        <v>0</v>
      </c>
      <c r="N907" t="str">
        <f>IFERROR(INDEX(tProdutos[Foco],MATCH(tItens[[#This Row],[Produto]],tProdutos[Produto],0)),"Não")</f>
        <v>Não</v>
      </c>
      <c r="O907" t="str">
        <f>IFERROR(INDEX(tEditais[SRP],MATCH(tItens[[#This Row],[Edital]],tEditais[Edital],0)),"Não")</f>
        <v>Não</v>
      </c>
      <c r="P907" s="4">
        <f>IF(COUNTIFS(INDEX(tItens[Edital],1):tItens[[#This Row],[Edital]],tItens[[#This Row],[Edital]],INDEX(tItens[Produto],1):tItens[[#This Row],[Produto]],tItens[[#This Row],[Produto]])=1,1,0)</f>
        <v>1</v>
      </c>
    </row>
    <row r="908" spans="1:16" x14ac:dyDescent="0.25">
      <c r="A908" t="s">
        <v>1023</v>
      </c>
      <c r="B908">
        <v>94</v>
      </c>
      <c r="C908" t="s">
        <v>4075</v>
      </c>
      <c r="D908" t="s">
        <v>110</v>
      </c>
      <c r="E908" s="13">
        <v>20</v>
      </c>
      <c r="F908" s="12">
        <v>0</v>
      </c>
      <c r="G908" t="str">
        <f>IFERROR(INDEX(tEditais[Órgão],MATCH(tItens[[#This Row],[Edital]],tEditais[Edital],0)),"")</f>
        <v>CONSORCIO PUBLICO DE SAUDE DA MICRORREGIAO DE SOBRAL - CPSMS</v>
      </c>
      <c r="H908" t="str">
        <f>IFERROR(INDEX(tEditais[UF],MATCH(tItens[[#This Row],[Edital]],tEditais[Edital],0)),"")</f>
        <v>CE</v>
      </c>
      <c r="I908" s="11">
        <f>IFERROR(INDEX(tEditais[Encerramento],MATCH(tItens[[#This Row],[Edital]],tEditais[Edital],0)),"")</f>
        <v>46310.375</v>
      </c>
      <c r="J908" t="str">
        <f>IFERROR(INDEX(tProdutos[Classe],MATCH(tItens[[#This Row],[Produto]],tProdutos[Produto],0)),"produto não cadastrado")</f>
        <v>NÚCLEO</v>
      </c>
      <c r="K908" s="12">
        <f>tItens[[#This Row],[Qtd]]*tItens[[#This Row],[Vlr unit]]</f>
        <v>0</v>
      </c>
      <c r="L908" s="6">
        <f>IFERROR(IF(INDEX(tProdutos[Desconto homologado],MATCH(tItens[[#This Row],[Produto]],tProdutos[Produto],0))="",DescontoPadrao,INDEX(tProdutos[Desconto homologado],MATCH(tItens[[#This Row],[Produto]],tProdutos[Produto],0))),DescontoPadrao)</f>
        <v>0.30410958904109597</v>
      </c>
      <c r="M908" s="12">
        <f>tItens[[#This Row],[Valor]]*(1-tItens[[#This Row],[Desconto]])</f>
        <v>0</v>
      </c>
      <c r="N908" t="str">
        <f>IFERROR(INDEX(tProdutos[Foco],MATCH(tItens[[#This Row],[Produto]],tProdutos[Produto],0)),"Não")</f>
        <v>Não</v>
      </c>
      <c r="O908" t="str">
        <f>IFERROR(INDEX(tEditais[SRP],MATCH(tItens[[#This Row],[Edital]],tEditais[Edital],0)),"Não")</f>
        <v>Não</v>
      </c>
      <c r="P908" s="4">
        <f>IF(COUNTIFS(INDEX(tItens[Edital],1):tItens[[#This Row],[Edital]],tItens[[#This Row],[Edital]],INDEX(tItens[Produto],1):tItens[[#This Row],[Produto]],tItens[[#This Row],[Produto]])=1,1,0)</f>
        <v>1</v>
      </c>
    </row>
    <row r="909" spans="1:16" x14ac:dyDescent="0.25">
      <c r="A909" t="s">
        <v>1023</v>
      </c>
      <c r="B909">
        <v>95</v>
      </c>
      <c r="C909" t="s">
        <v>4076</v>
      </c>
      <c r="D909" t="s">
        <v>110</v>
      </c>
      <c r="E909" s="13">
        <v>15</v>
      </c>
      <c r="F909" s="12">
        <v>0</v>
      </c>
      <c r="G909" t="str">
        <f>IFERROR(INDEX(tEditais[Órgão],MATCH(tItens[[#This Row],[Edital]],tEditais[Edital],0)),"")</f>
        <v>CONSORCIO PUBLICO DE SAUDE DA MICRORREGIAO DE SOBRAL - CPSMS</v>
      </c>
      <c r="H909" t="str">
        <f>IFERROR(INDEX(tEditais[UF],MATCH(tItens[[#This Row],[Edital]],tEditais[Edital],0)),"")</f>
        <v>CE</v>
      </c>
      <c r="I909" s="11">
        <f>IFERROR(INDEX(tEditais[Encerramento],MATCH(tItens[[#This Row],[Edital]],tEditais[Edital],0)),"")</f>
        <v>46310.375</v>
      </c>
      <c r="J909" t="str">
        <f>IFERROR(INDEX(tProdutos[Classe],MATCH(tItens[[#This Row],[Produto]],tProdutos[Produto],0)),"produto não cadastrado")</f>
        <v>NÚCLEO</v>
      </c>
      <c r="K909" s="12">
        <f>tItens[[#This Row],[Qtd]]*tItens[[#This Row],[Vlr unit]]</f>
        <v>0</v>
      </c>
      <c r="L909" s="6">
        <f>IFERROR(IF(INDEX(tProdutos[Desconto homologado],MATCH(tItens[[#This Row],[Produto]],tProdutos[Produto],0))="",DescontoPadrao,INDEX(tProdutos[Desconto homologado],MATCH(tItens[[#This Row],[Produto]],tProdutos[Produto],0))),DescontoPadrao)</f>
        <v>0.30410958904109597</v>
      </c>
      <c r="M909" s="12">
        <f>tItens[[#This Row],[Valor]]*(1-tItens[[#This Row],[Desconto]])</f>
        <v>0</v>
      </c>
      <c r="N909" t="str">
        <f>IFERROR(INDEX(tProdutos[Foco],MATCH(tItens[[#This Row],[Produto]],tProdutos[Produto],0)),"Não")</f>
        <v>Não</v>
      </c>
      <c r="O909" t="str">
        <f>IFERROR(INDEX(tEditais[SRP],MATCH(tItens[[#This Row],[Edital]],tEditais[Edital],0)),"Não")</f>
        <v>Não</v>
      </c>
      <c r="P909" s="4">
        <f>IF(COUNTIFS(INDEX(tItens[Edital],1):tItens[[#This Row],[Edital]],tItens[[#This Row],[Edital]],INDEX(tItens[Produto],1):tItens[[#This Row],[Produto]],tItens[[#This Row],[Produto]])=1,1,0)</f>
        <v>0</v>
      </c>
    </row>
    <row r="910" spans="1:16" x14ac:dyDescent="0.25">
      <c r="A910" t="s">
        <v>1023</v>
      </c>
      <c r="B910">
        <v>96</v>
      </c>
      <c r="C910" t="s">
        <v>4077</v>
      </c>
      <c r="D910" t="s">
        <v>120</v>
      </c>
      <c r="E910" s="13">
        <v>8</v>
      </c>
      <c r="F910" s="12">
        <v>0</v>
      </c>
      <c r="G910" t="str">
        <f>IFERROR(INDEX(tEditais[Órgão],MATCH(tItens[[#This Row],[Edital]],tEditais[Edital],0)),"")</f>
        <v>CONSORCIO PUBLICO DE SAUDE DA MICRORREGIAO DE SOBRAL - CPSMS</v>
      </c>
      <c r="H910" t="str">
        <f>IFERROR(INDEX(tEditais[UF],MATCH(tItens[[#This Row],[Edital]],tEditais[Edital],0)),"")</f>
        <v>CE</v>
      </c>
      <c r="I910" s="11">
        <f>IFERROR(INDEX(tEditais[Encerramento],MATCH(tItens[[#This Row],[Edital]],tEditais[Edital],0)),"")</f>
        <v>46310.375</v>
      </c>
      <c r="J910" t="str">
        <f>IFERROR(INDEX(tProdutos[Classe],MATCH(tItens[[#This Row],[Produto]],tProdutos[Produto],0)),"produto não cadastrado")</f>
        <v>DISPUTADO</v>
      </c>
      <c r="K910" s="12">
        <f>tItens[[#This Row],[Qtd]]*tItens[[#This Row],[Vlr unit]]</f>
        <v>0</v>
      </c>
      <c r="L910" s="6">
        <f>IFERROR(IF(INDEX(tProdutos[Desconto homologado],MATCH(tItens[[#This Row],[Produto]],tProdutos[Produto],0))="",DescontoPadrao,INDEX(tProdutos[Desconto homologado],MATCH(tItens[[#This Row],[Produto]],tProdutos[Produto],0))),DescontoPadrao)</f>
        <v>0.40909090909090901</v>
      </c>
      <c r="M910" s="12">
        <f>tItens[[#This Row],[Valor]]*(1-tItens[[#This Row],[Desconto]])</f>
        <v>0</v>
      </c>
      <c r="N910" t="str">
        <f>IFERROR(INDEX(tProdutos[Foco],MATCH(tItens[[#This Row],[Produto]],tProdutos[Produto],0)),"Não")</f>
        <v>Não</v>
      </c>
      <c r="O910" t="str">
        <f>IFERROR(INDEX(tEditais[SRP],MATCH(tItens[[#This Row],[Edital]],tEditais[Edital],0)),"Não")</f>
        <v>Não</v>
      </c>
      <c r="P910" s="4">
        <f>IF(COUNTIFS(INDEX(tItens[Edital],1):tItens[[#This Row],[Edital]],tItens[[#This Row],[Edital]],INDEX(tItens[Produto],1):tItens[[#This Row],[Produto]],tItens[[#This Row],[Produto]])=1,1,0)</f>
        <v>1</v>
      </c>
    </row>
    <row r="911" spans="1:16" x14ac:dyDescent="0.25">
      <c r="A911" t="s">
        <v>1023</v>
      </c>
      <c r="B911">
        <v>97</v>
      </c>
      <c r="C911" t="s">
        <v>4078</v>
      </c>
      <c r="D911" t="s">
        <v>120</v>
      </c>
      <c r="E911" s="13">
        <v>8</v>
      </c>
      <c r="F911" s="12">
        <v>0</v>
      </c>
      <c r="G911" t="str">
        <f>IFERROR(INDEX(tEditais[Órgão],MATCH(tItens[[#This Row],[Edital]],tEditais[Edital],0)),"")</f>
        <v>CONSORCIO PUBLICO DE SAUDE DA MICRORREGIAO DE SOBRAL - CPSMS</v>
      </c>
      <c r="H911" t="str">
        <f>IFERROR(INDEX(tEditais[UF],MATCH(tItens[[#This Row],[Edital]],tEditais[Edital],0)),"")</f>
        <v>CE</v>
      </c>
      <c r="I911" s="11">
        <f>IFERROR(INDEX(tEditais[Encerramento],MATCH(tItens[[#This Row],[Edital]],tEditais[Edital],0)),"")</f>
        <v>46310.375</v>
      </c>
      <c r="J911" t="str">
        <f>IFERROR(INDEX(tProdutos[Classe],MATCH(tItens[[#This Row],[Produto]],tProdutos[Produto],0)),"produto não cadastrado")</f>
        <v>DISPUTADO</v>
      </c>
      <c r="K911" s="12">
        <f>tItens[[#This Row],[Qtd]]*tItens[[#This Row],[Vlr unit]]</f>
        <v>0</v>
      </c>
      <c r="L911" s="6">
        <f>IFERROR(IF(INDEX(tProdutos[Desconto homologado],MATCH(tItens[[#This Row],[Produto]],tProdutos[Produto],0))="",DescontoPadrao,INDEX(tProdutos[Desconto homologado],MATCH(tItens[[#This Row],[Produto]],tProdutos[Produto],0))),DescontoPadrao)</f>
        <v>0.40909090909090901</v>
      </c>
      <c r="M911" s="12">
        <f>tItens[[#This Row],[Valor]]*(1-tItens[[#This Row],[Desconto]])</f>
        <v>0</v>
      </c>
      <c r="N911" t="str">
        <f>IFERROR(INDEX(tProdutos[Foco],MATCH(tItens[[#This Row],[Produto]],tProdutos[Produto],0)),"Não")</f>
        <v>Não</v>
      </c>
      <c r="O911" t="str">
        <f>IFERROR(INDEX(tEditais[SRP],MATCH(tItens[[#This Row],[Edital]],tEditais[Edital],0)),"Não")</f>
        <v>Não</v>
      </c>
      <c r="P911" s="4">
        <f>IF(COUNTIFS(INDEX(tItens[Edital],1):tItens[[#This Row],[Edital]],tItens[[#This Row],[Edital]],INDEX(tItens[Produto],1):tItens[[#This Row],[Produto]],tItens[[#This Row],[Produto]])=1,1,0)</f>
        <v>0</v>
      </c>
    </row>
    <row r="912" spans="1:16" x14ac:dyDescent="0.25">
      <c r="A912" t="s">
        <v>1023</v>
      </c>
      <c r="B912">
        <v>98</v>
      </c>
      <c r="C912" t="s">
        <v>4079</v>
      </c>
      <c r="D912" t="s">
        <v>120</v>
      </c>
      <c r="E912" s="13">
        <v>8</v>
      </c>
      <c r="F912" s="12">
        <v>0</v>
      </c>
      <c r="G912" t="str">
        <f>IFERROR(INDEX(tEditais[Órgão],MATCH(tItens[[#This Row],[Edital]],tEditais[Edital],0)),"")</f>
        <v>CONSORCIO PUBLICO DE SAUDE DA MICRORREGIAO DE SOBRAL - CPSMS</v>
      </c>
      <c r="H912" t="str">
        <f>IFERROR(INDEX(tEditais[UF],MATCH(tItens[[#This Row],[Edital]],tEditais[Edital],0)),"")</f>
        <v>CE</v>
      </c>
      <c r="I912" s="11">
        <f>IFERROR(INDEX(tEditais[Encerramento],MATCH(tItens[[#This Row],[Edital]],tEditais[Edital],0)),"")</f>
        <v>46310.375</v>
      </c>
      <c r="J912" t="str">
        <f>IFERROR(INDEX(tProdutos[Classe],MATCH(tItens[[#This Row],[Produto]],tProdutos[Produto],0)),"produto não cadastrado")</f>
        <v>DISPUTADO</v>
      </c>
      <c r="K912" s="12">
        <f>tItens[[#This Row],[Qtd]]*tItens[[#This Row],[Vlr unit]]</f>
        <v>0</v>
      </c>
      <c r="L912" s="6">
        <f>IFERROR(IF(INDEX(tProdutos[Desconto homologado],MATCH(tItens[[#This Row],[Produto]],tProdutos[Produto],0))="",DescontoPadrao,INDEX(tProdutos[Desconto homologado],MATCH(tItens[[#This Row],[Produto]],tProdutos[Produto],0))),DescontoPadrao)</f>
        <v>0.40909090909090901</v>
      </c>
      <c r="M912" s="12">
        <f>tItens[[#This Row],[Valor]]*(1-tItens[[#This Row],[Desconto]])</f>
        <v>0</v>
      </c>
      <c r="N912" t="str">
        <f>IFERROR(INDEX(tProdutos[Foco],MATCH(tItens[[#This Row],[Produto]],tProdutos[Produto],0)),"Não")</f>
        <v>Não</v>
      </c>
      <c r="O912" t="str">
        <f>IFERROR(INDEX(tEditais[SRP],MATCH(tItens[[#This Row],[Edital]],tEditais[Edital],0)),"Não")</f>
        <v>Não</v>
      </c>
      <c r="P912" s="4">
        <f>IF(COUNTIFS(INDEX(tItens[Edital],1):tItens[[#This Row],[Edital]],tItens[[#This Row],[Edital]],INDEX(tItens[Produto],1):tItens[[#This Row],[Produto]],tItens[[#This Row],[Produto]])=1,1,0)</f>
        <v>0</v>
      </c>
    </row>
    <row r="913" spans="1:16" x14ac:dyDescent="0.25">
      <c r="A913" t="s">
        <v>1023</v>
      </c>
      <c r="B913">
        <v>99</v>
      </c>
      <c r="C913" t="s">
        <v>4080</v>
      </c>
      <c r="D913" t="s">
        <v>120</v>
      </c>
      <c r="E913" s="13">
        <v>12</v>
      </c>
      <c r="F913" s="12">
        <v>0</v>
      </c>
      <c r="G913" t="str">
        <f>IFERROR(INDEX(tEditais[Órgão],MATCH(tItens[[#This Row],[Edital]],tEditais[Edital],0)),"")</f>
        <v>CONSORCIO PUBLICO DE SAUDE DA MICRORREGIAO DE SOBRAL - CPSMS</v>
      </c>
      <c r="H913" t="str">
        <f>IFERROR(INDEX(tEditais[UF],MATCH(tItens[[#This Row],[Edital]],tEditais[Edital],0)),"")</f>
        <v>CE</v>
      </c>
      <c r="I913" s="11">
        <f>IFERROR(INDEX(tEditais[Encerramento],MATCH(tItens[[#This Row],[Edital]],tEditais[Edital],0)),"")</f>
        <v>46310.375</v>
      </c>
      <c r="J913" t="str">
        <f>IFERROR(INDEX(tProdutos[Classe],MATCH(tItens[[#This Row],[Produto]],tProdutos[Produto],0)),"produto não cadastrado")</f>
        <v>DISPUTADO</v>
      </c>
      <c r="K913" s="12">
        <f>tItens[[#This Row],[Qtd]]*tItens[[#This Row],[Vlr unit]]</f>
        <v>0</v>
      </c>
      <c r="L913" s="6">
        <f>IFERROR(IF(INDEX(tProdutos[Desconto homologado],MATCH(tItens[[#This Row],[Produto]],tProdutos[Produto],0))="",DescontoPadrao,INDEX(tProdutos[Desconto homologado],MATCH(tItens[[#This Row],[Produto]],tProdutos[Produto],0))),DescontoPadrao)</f>
        <v>0.40909090909090901</v>
      </c>
      <c r="M913" s="12">
        <f>tItens[[#This Row],[Valor]]*(1-tItens[[#This Row],[Desconto]])</f>
        <v>0</v>
      </c>
      <c r="N913" t="str">
        <f>IFERROR(INDEX(tProdutos[Foco],MATCH(tItens[[#This Row],[Produto]],tProdutos[Produto],0)),"Não")</f>
        <v>Não</v>
      </c>
      <c r="O913" t="str">
        <f>IFERROR(INDEX(tEditais[SRP],MATCH(tItens[[#This Row],[Edital]],tEditais[Edital],0)),"Não")</f>
        <v>Não</v>
      </c>
      <c r="P913" s="4">
        <f>IF(COUNTIFS(INDEX(tItens[Edital],1):tItens[[#This Row],[Edital]],tItens[[#This Row],[Edital]],INDEX(tItens[Produto],1):tItens[[#This Row],[Produto]],tItens[[#This Row],[Produto]])=1,1,0)</f>
        <v>0</v>
      </c>
    </row>
    <row r="914" spans="1:16" x14ac:dyDescent="0.25">
      <c r="A914" t="s">
        <v>1023</v>
      </c>
      <c r="B914">
        <v>100</v>
      </c>
      <c r="C914" t="s">
        <v>4081</v>
      </c>
      <c r="D914" t="s">
        <v>120</v>
      </c>
      <c r="E914" s="13">
        <v>30</v>
      </c>
      <c r="F914" s="12">
        <v>0</v>
      </c>
      <c r="G914" t="str">
        <f>IFERROR(INDEX(tEditais[Órgão],MATCH(tItens[[#This Row],[Edital]],tEditais[Edital],0)),"")</f>
        <v>CONSORCIO PUBLICO DE SAUDE DA MICRORREGIAO DE SOBRAL - CPSMS</v>
      </c>
      <c r="H914" t="str">
        <f>IFERROR(INDEX(tEditais[UF],MATCH(tItens[[#This Row],[Edital]],tEditais[Edital],0)),"")</f>
        <v>CE</v>
      </c>
      <c r="I914" s="11">
        <f>IFERROR(INDEX(tEditais[Encerramento],MATCH(tItens[[#This Row],[Edital]],tEditais[Edital],0)),"")</f>
        <v>46310.375</v>
      </c>
      <c r="J914" t="str">
        <f>IFERROR(INDEX(tProdutos[Classe],MATCH(tItens[[#This Row],[Produto]],tProdutos[Produto],0)),"produto não cadastrado")</f>
        <v>DISPUTADO</v>
      </c>
      <c r="K914" s="12">
        <f>tItens[[#This Row],[Qtd]]*tItens[[#This Row],[Vlr unit]]</f>
        <v>0</v>
      </c>
      <c r="L914" s="6">
        <f>IFERROR(IF(INDEX(tProdutos[Desconto homologado],MATCH(tItens[[#This Row],[Produto]],tProdutos[Produto],0))="",DescontoPadrao,INDEX(tProdutos[Desconto homologado],MATCH(tItens[[#This Row],[Produto]],tProdutos[Produto],0))),DescontoPadrao)</f>
        <v>0.40909090909090901</v>
      </c>
      <c r="M914" s="12">
        <f>tItens[[#This Row],[Valor]]*(1-tItens[[#This Row],[Desconto]])</f>
        <v>0</v>
      </c>
      <c r="N914" t="str">
        <f>IFERROR(INDEX(tProdutos[Foco],MATCH(tItens[[#This Row],[Produto]],tProdutos[Produto],0)),"Não")</f>
        <v>Não</v>
      </c>
      <c r="O914" t="str">
        <f>IFERROR(INDEX(tEditais[SRP],MATCH(tItens[[#This Row],[Edital]],tEditais[Edital],0)),"Não")</f>
        <v>Não</v>
      </c>
      <c r="P914" s="4">
        <f>IF(COUNTIFS(INDEX(tItens[Edital],1):tItens[[#This Row],[Edital]],tItens[[#This Row],[Edital]],INDEX(tItens[Produto],1):tItens[[#This Row],[Produto]],tItens[[#This Row],[Produto]])=1,1,0)</f>
        <v>0</v>
      </c>
    </row>
    <row r="915" spans="1:16" x14ac:dyDescent="0.25">
      <c r="A915" t="s">
        <v>1023</v>
      </c>
      <c r="B915">
        <v>101</v>
      </c>
      <c r="C915" t="s">
        <v>4082</v>
      </c>
      <c r="D915" t="s">
        <v>120</v>
      </c>
      <c r="E915" s="13">
        <v>15</v>
      </c>
      <c r="F915" s="12">
        <v>0</v>
      </c>
      <c r="G915" t="str">
        <f>IFERROR(INDEX(tEditais[Órgão],MATCH(tItens[[#This Row],[Edital]],tEditais[Edital],0)),"")</f>
        <v>CONSORCIO PUBLICO DE SAUDE DA MICRORREGIAO DE SOBRAL - CPSMS</v>
      </c>
      <c r="H915" t="str">
        <f>IFERROR(INDEX(tEditais[UF],MATCH(tItens[[#This Row],[Edital]],tEditais[Edital],0)),"")</f>
        <v>CE</v>
      </c>
      <c r="I915" s="11">
        <f>IFERROR(INDEX(tEditais[Encerramento],MATCH(tItens[[#This Row],[Edital]],tEditais[Edital],0)),"")</f>
        <v>46310.375</v>
      </c>
      <c r="J915" t="str">
        <f>IFERROR(INDEX(tProdutos[Classe],MATCH(tItens[[#This Row],[Produto]],tProdutos[Produto],0)),"produto não cadastrado")</f>
        <v>DISPUTADO</v>
      </c>
      <c r="K915" s="12">
        <f>tItens[[#This Row],[Qtd]]*tItens[[#This Row],[Vlr unit]]</f>
        <v>0</v>
      </c>
      <c r="L915" s="6">
        <f>IFERROR(IF(INDEX(tProdutos[Desconto homologado],MATCH(tItens[[#This Row],[Produto]],tProdutos[Produto],0))="",DescontoPadrao,INDEX(tProdutos[Desconto homologado],MATCH(tItens[[#This Row],[Produto]],tProdutos[Produto],0))),DescontoPadrao)</f>
        <v>0.40909090909090901</v>
      </c>
      <c r="M915" s="12">
        <f>tItens[[#This Row],[Valor]]*(1-tItens[[#This Row],[Desconto]])</f>
        <v>0</v>
      </c>
      <c r="N915" t="str">
        <f>IFERROR(INDEX(tProdutos[Foco],MATCH(tItens[[#This Row],[Produto]],tProdutos[Produto],0)),"Não")</f>
        <v>Não</v>
      </c>
      <c r="O915" t="str">
        <f>IFERROR(INDEX(tEditais[SRP],MATCH(tItens[[#This Row],[Edital]],tEditais[Edital],0)),"Não")</f>
        <v>Não</v>
      </c>
      <c r="P915" s="4">
        <f>IF(COUNTIFS(INDEX(tItens[Edital],1):tItens[[#This Row],[Edital]],tItens[[#This Row],[Edital]],INDEX(tItens[Produto],1):tItens[[#This Row],[Produto]],tItens[[#This Row],[Produto]])=1,1,0)</f>
        <v>0</v>
      </c>
    </row>
    <row r="916" spans="1:16" x14ac:dyDescent="0.25">
      <c r="A916" t="s">
        <v>1023</v>
      </c>
      <c r="B916">
        <v>102</v>
      </c>
      <c r="C916" t="s">
        <v>4083</v>
      </c>
      <c r="D916" t="s">
        <v>120</v>
      </c>
      <c r="E916" s="13">
        <v>8</v>
      </c>
      <c r="F916" s="12">
        <v>0</v>
      </c>
      <c r="G916" t="str">
        <f>IFERROR(INDEX(tEditais[Órgão],MATCH(tItens[[#This Row],[Edital]],tEditais[Edital],0)),"")</f>
        <v>CONSORCIO PUBLICO DE SAUDE DA MICRORREGIAO DE SOBRAL - CPSMS</v>
      </c>
      <c r="H916" t="str">
        <f>IFERROR(INDEX(tEditais[UF],MATCH(tItens[[#This Row],[Edital]],tEditais[Edital],0)),"")</f>
        <v>CE</v>
      </c>
      <c r="I916" s="11">
        <f>IFERROR(INDEX(tEditais[Encerramento],MATCH(tItens[[#This Row],[Edital]],tEditais[Edital],0)),"")</f>
        <v>46310.375</v>
      </c>
      <c r="J916" t="str">
        <f>IFERROR(INDEX(tProdutos[Classe],MATCH(tItens[[#This Row],[Produto]],tProdutos[Produto],0)),"produto não cadastrado")</f>
        <v>DISPUTADO</v>
      </c>
      <c r="K916" s="12">
        <f>tItens[[#This Row],[Qtd]]*tItens[[#This Row],[Vlr unit]]</f>
        <v>0</v>
      </c>
      <c r="L916" s="6">
        <f>IFERROR(IF(INDEX(tProdutos[Desconto homologado],MATCH(tItens[[#This Row],[Produto]],tProdutos[Produto],0))="",DescontoPadrao,INDEX(tProdutos[Desconto homologado],MATCH(tItens[[#This Row],[Produto]],tProdutos[Produto],0))),DescontoPadrao)</f>
        <v>0.40909090909090901</v>
      </c>
      <c r="M916" s="12">
        <f>tItens[[#This Row],[Valor]]*(1-tItens[[#This Row],[Desconto]])</f>
        <v>0</v>
      </c>
      <c r="N916" t="str">
        <f>IFERROR(INDEX(tProdutos[Foco],MATCH(tItens[[#This Row],[Produto]],tProdutos[Produto],0)),"Não")</f>
        <v>Não</v>
      </c>
      <c r="O916" t="str">
        <f>IFERROR(INDEX(tEditais[SRP],MATCH(tItens[[#This Row],[Edital]],tEditais[Edital],0)),"Não")</f>
        <v>Não</v>
      </c>
      <c r="P916" s="4">
        <f>IF(COUNTIFS(INDEX(tItens[Edital],1):tItens[[#This Row],[Edital]],tItens[[#This Row],[Edital]],INDEX(tItens[Produto],1):tItens[[#This Row],[Produto]],tItens[[#This Row],[Produto]])=1,1,0)</f>
        <v>0</v>
      </c>
    </row>
    <row r="917" spans="1:16" x14ac:dyDescent="0.25">
      <c r="A917" t="s">
        <v>1023</v>
      </c>
      <c r="B917">
        <v>104</v>
      </c>
      <c r="C917" t="s">
        <v>4084</v>
      </c>
      <c r="D917" t="s">
        <v>126</v>
      </c>
      <c r="E917" s="13">
        <v>310</v>
      </c>
      <c r="F917" s="12">
        <v>0</v>
      </c>
      <c r="G917" t="str">
        <f>IFERROR(INDEX(tEditais[Órgão],MATCH(tItens[[#This Row],[Edital]],tEditais[Edital],0)),"")</f>
        <v>CONSORCIO PUBLICO DE SAUDE DA MICRORREGIAO DE SOBRAL - CPSMS</v>
      </c>
      <c r="H917" t="str">
        <f>IFERROR(INDEX(tEditais[UF],MATCH(tItens[[#This Row],[Edital]],tEditais[Edital],0)),"")</f>
        <v>CE</v>
      </c>
      <c r="I917" s="11">
        <f>IFERROR(INDEX(tEditais[Encerramento],MATCH(tItens[[#This Row],[Edital]],tEditais[Edital],0)),"")</f>
        <v>46310.375</v>
      </c>
      <c r="J917" t="str">
        <f>IFERROR(INDEX(tProdutos[Classe],MATCH(tItens[[#This Row],[Produto]],tProdutos[Produto],0)),"produto não cadastrado")</f>
        <v>DISPUTADO</v>
      </c>
      <c r="K917" s="12">
        <f>tItens[[#This Row],[Qtd]]*tItens[[#This Row],[Vlr unit]]</f>
        <v>0</v>
      </c>
      <c r="L917" s="6">
        <f>IFERROR(IF(INDEX(tProdutos[Desconto homologado],MATCH(tItens[[#This Row],[Produto]],tProdutos[Produto],0))="",DescontoPadrao,INDEX(tProdutos[Desconto homologado],MATCH(tItens[[#This Row],[Produto]],tProdutos[Produto],0))),DescontoPadrao)</f>
        <v>0.21</v>
      </c>
      <c r="M917" s="12">
        <f>tItens[[#This Row],[Valor]]*(1-tItens[[#This Row],[Desconto]])</f>
        <v>0</v>
      </c>
      <c r="N917" t="str">
        <f>IFERROR(INDEX(tProdutos[Foco],MATCH(tItens[[#This Row],[Produto]],tProdutos[Produto],0)),"Não")</f>
        <v>Sim</v>
      </c>
      <c r="O917" t="str">
        <f>IFERROR(INDEX(tEditais[SRP],MATCH(tItens[[#This Row],[Edital]],tEditais[Edital],0)),"Não")</f>
        <v>Não</v>
      </c>
      <c r="P917" s="4">
        <f>IF(COUNTIFS(INDEX(tItens[Edital],1):tItens[[#This Row],[Edital]],tItens[[#This Row],[Edital]],INDEX(tItens[Produto],1):tItens[[#This Row],[Produto]],tItens[[#This Row],[Produto]])=1,1,0)</f>
        <v>1</v>
      </c>
    </row>
    <row r="918" spans="1:16" x14ac:dyDescent="0.25">
      <c r="A918" t="s">
        <v>1023</v>
      </c>
      <c r="B918">
        <v>107</v>
      </c>
      <c r="C918" t="s">
        <v>4085</v>
      </c>
      <c r="D918" t="s">
        <v>114</v>
      </c>
      <c r="E918" s="13">
        <v>315</v>
      </c>
      <c r="F918" s="12">
        <v>0</v>
      </c>
      <c r="G918" t="str">
        <f>IFERROR(INDEX(tEditais[Órgão],MATCH(tItens[[#This Row],[Edital]],tEditais[Edital],0)),"")</f>
        <v>CONSORCIO PUBLICO DE SAUDE DA MICRORREGIAO DE SOBRAL - CPSMS</v>
      </c>
      <c r="H918" t="str">
        <f>IFERROR(INDEX(tEditais[UF],MATCH(tItens[[#This Row],[Edital]],tEditais[Edital],0)),"")</f>
        <v>CE</v>
      </c>
      <c r="I918" s="11">
        <f>IFERROR(INDEX(tEditais[Encerramento],MATCH(tItens[[#This Row],[Edital]],tEditais[Edital],0)),"")</f>
        <v>46310.375</v>
      </c>
      <c r="J918" t="str">
        <f>IFERROR(INDEX(tProdutos[Classe],MATCH(tItens[[#This Row],[Produto]],tProdutos[Produto],0)),"produto não cadastrado")</f>
        <v>DISPUTADO</v>
      </c>
      <c r="K918" s="12">
        <f>tItens[[#This Row],[Qtd]]*tItens[[#This Row],[Vlr unit]]</f>
        <v>0</v>
      </c>
      <c r="L918" s="6">
        <f>IFERROR(IF(INDEX(tProdutos[Desconto homologado],MATCH(tItens[[#This Row],[Produto]],tProdutos[Produto],0))="",DescontoPadrao,INDEX(tProdutos[Desconto homologado],MATCH(tItens[[#This Row],[Produto]],tProdutos[Produto],0))),DescontoPadrao)</f>
        <v>0.24332656063896899</v>
      </c>
      <c r="M918" s="12">
        <f>tItens[[#This Row],[Valor]]*(1-tItens[[#This Row],[Desconto]])</f>
        <v>0</v>
      </c>
      <c r="N918" t="str">
        <f>IFERROR(INDEX(tProdutos[Foco],MATCH(tItens[[#This Row],[Produto]],tProdutos[Produto],0)),"Não")</f>
        <v>Não</v>
      </c>
      <c r="O918" t="str">
        <f>IFERROR(INDEX(tEditais[SRP],MATCH(tItens[[#This Row],[Edital]],tEditais[Edital],0)),"Não")</f>
        <v>Não</v>
      </c>
      <c r="P918" s="4">
        <f>IF(COUNTIFS(INDEX(tItens[Edital],1):tItens[[#This Row],[Edital]],tItens[[#This Row],[Edital]],INDEX(tItens[Produto],1):tItens[[#This Row],[Produto]],tItens[[#This Row],[Produto]])=1,1,0)</f>
        <v>1</v>
      </c>
    </row>
    <row r="919" spans="1:16" x14ac:dyDescent="0.25">
      <c r="A919" t="s">
        <v>1023</v>
      </c>
      <c r="B919">
        <v>122</v>
      </c>
      <c r="C919" t="s">
        <v>4086</v>
      </c>
      <c r="D919" t="s">
        <v>156</v>
      </c>
      <c r="E919" s="13">
        <v>2</v>
      </c>
      <c r="F919" s="12">
        <v>0</v>
      </c>
      <c r="G919" t="str">
        <f>IFERROR(INDEX(tEditais[Órgão],MATCH(tItens[[#This Row],[Edital]],tEditais[Edital],0)),"")</f>
        <v>CONSORCIO PUBLICO DE SAUDE DA MICRORREGIAO DE SOBRAL - CPSMS</v>
      </c>
      <c r="H919" t="str">
        <f>IFERROR(INDEX(tEditais[UF],MATCH(tItens[[#This Row],[Edital]],tEditais[Edital],0)),"")</f>
        <v>CE</v>
      </c>
      <c r="I919" s="11">
        <f>IFERROR(INDEX(tEditais[Encerramento],MATCH(tItens[[#This Row],[Edital]],tEditais[Edital],0)),"")</f>
        <v>46310.375</v>
      </c>
      <c r="J919" t="str">
        <f>IFERROR(INDEX(tProdutos[Classe],MATCH(tItens[[#This Row],[Produto]],tProdutos[Produto],0)),"produto não cadastrado")</f>
        <v>DISPUTADO</v>
      </c>
      <c r="K919" s="12">
        <f>tItens[[#This Row],[Qtd]]*tItens[[#This Row],[Vlr unit]]</f>
        <v>0</v>
      </c>
      <c r="L919" s="6">
        <f>IFERROR(IF(INDEX(tProdutos[Desconto homologado],MATCH(tItens[[#This Row],[Produto]],tProdutos[Produto],0))="",DescontoPadrao,INDEX(tProdutos[Desconto homologado],MATCH(tItens[[#This Row],[Produto]],tProdutos[Produto],0))),DescontoPadrao)</f>
        <v>0.27131852489802799</v>
      </c>
      <c r="M919" s="12">
        <f>tItens[[#This Row],[Valor]]*(1-tItens[[#This Row],[Desconto]])</f>
        <v>0</v>
      </c>
      <c r="N919" t="str">
        <f>IFERROR(INDEX(tProdutos[Foco],MATCH(tItens[[#This Row],[Produto]],tProdutos[Produto],0)),"Não")</f>
        <v>Não</v>
      </c>
      <c r="O919" t="str">
        <f>IFERROR(INDEX(tEditais[SRP],MATCH(tItens[[#This Row],[Edital]],tEditais[Edital],0)),"Não")</f>
        <v>Não</v>
      </c>
      <c r="P919" s="4">
        <f>IF(COUNTIFS(INDEX(tItens[Edital],1):tItens[[#This Row],[Edital]],tItens[[#This Row],[Edital]],INDEX(tItens[Produto],1):tItens[[#This Row],[Produto]],tItens[[#This Row],[Produto]])=1,1,0)</f>
        <v>1</v>
      </c>
    </row>
    <row r="920" spans="1:16" x14ac:dyDescent="0.25">
      <c r="A920" t="s">
        <v>1028</v>
      </c>
      <c r="B920">
        <v>43713</v>
      </c>
      <c r="C920" t="s">
        <v>4087</v>
      </c>
      <c r="D920" t="s">
        <v>75</v>
      </c>
      <c r="E920" s="13">
        <v>12000</v>
      </c>
      <c r="F920" s="12">
        <v>0</v>
      </c>
      <c r="G920" t="str">
        <f>IFERROR(INDEX(tEditais[Órgão],MATCH(tItens[[#This Row],[Edital]],tEditais[Edital],0)),"")</f>
        <v>MUNICIPIO DE FORTALEZA</v>
      </c>
      <c r="H920" t="str">
        <f>IFERROR(INDEX(tEditais[UF],MATCH(tItens[[#This Row],[Edital]],tEditais[Edital],0)),"")</f>
        <v>CE</v>
      </c>
      <c r="I920" s="11">
        <f>IFERROR(INDEX(tEditais[Encerramento],MATCH(tItens[[#This Row],[Edital]],tEditais[Edital],0)),"")</f>
        <v>46311.375</v>
      </c>
      <c r="J920" t="str">
        <f>IFERROR(INDEX(tProdutos[Classe],MATCH(tItens[[#This Row],[Produto]],tProdutos[Produto],0)),"produto não cadastrado")</f>
        <v>NÚCLEO</v>
      </c>
      <c r="K920" s="12">
        <f>tItens[[#This Row],[Qtd]]*tItens[[#This Row],[Vlr unit]]</f>
        <v>0</v>
      </c>
      <c r="L920" s="6">
        <f>IFERROR(IF(INDEX(tProdutos[Desconto homologado],MATCH(tItens[[#This Row],[Produto]],tProdutos[Produto],0))="",DescontoPadrao,INDEX(tProdutos[Desconto homologado],MATCH(tItens[[#This Row],[Produto]],tProdutos[Produto],0))),DescontoPadrao)</f>
        <v>0.26</v>
      </c>
      <c r="M920" s="12">
        <f>tItens[[#This Row],[Valor]]*(1-tItens[[#This Row],[Desconto]])</f>
        <v>0</v>
      </c>
      <c r="N920" t="str">
        <f>IFERROR(INDEX(tProdutos[Foco],MATCH(tItens[[#This Row],[Produto]],tProdutos[Produto],0)),"Não")</f>
        <v>Sim</v>
      </c>
      <c r="O920" t="str">
        <f>IFERROR(INDEX(tEditais[SRP],MATCH(tItens[[#This Row],[Edital]],tEditais[Edital],0)),"Não")</f>
        <v>Não</v>
      </c>
      <c r="P920" s="4">
        <f>IF(COUNTIFS(INDEX(tItens[Edital],1):tItens[[#This Row],[Edital]],tItens[[#This Row],[Edital]],INDEX(tItens[Produto],1):tItens[[#This Row],[Produto]],tItens[[#This Row],[Produto]])=1,1,0)</f>
        <v>1</v>
      </c>
    </row>
    <row r="921" spans="1:16" x14ac:dyDescent="0.25">
      <c r="A921" t="s">
        <v>1028</v>
      </c>
      <c r="B921">
        <v>43714</v>
      </c>
      <c r="C921" t="s">
        <v>4088</v>
      </c>
      <c r="D921" t="s">
        <v>75</v>
      </c>
      <c r="E921" s="13">
        <v>12000</v>
      </c>
      <c r="F921" s="12">
        <v>0</v>
      </c>
      <c r="G921" t="str">
        <f>IFERROR(INDEX(tEditais[Órgão],MATCH(tItens[[#This Row],[Edital]],tEditais[Edital],0)),"")</f>
        <v>MUNICIPIO DE FORTALEZA</v>
      </c>
      <c r="H921" t="str">
        <f>IFERROR(INDEX(tEditais[UF],MATCH(tItens[[#This Row],[Edital]],tEditais[Edital],0)),"")</f>
        <v>CE</v>
      </c>
      <c r="I921" s="11">
        <f>IFERROR(INDEX(tEditais[Encerramento],MATCH(tItens[[#This Row],[Edital]],tEditais[Edital],0)),"")</f>
        <v>46311.375</v>
      </c>
      <c r="J921" t="str">
        <f>IFERROR(INDEX(tProdutos[Classe],MATCH(tItens[[#This Row],[Produto]],tProdutos[Produto],0)),"produto não cadastrado")</f>
        <v>NÚCLEO</v>
      </c>
      <c r="K921" s="12">
        <f>tItens[[#This Row],[Qtd]]*tItens[[#This Row],[Vlr unit]]</f>
        <v>0</v>
      </c>
      <c r="L921" s="6">
        <f>IFERROR(IF(INDEX(tProdutos[Desconto homologado],MATCH(tItens[[#This Row],[Produto]],tProdutos[Produto],0))="",DescontoPadrao,INDEX(tProdutos[Desconto homologado],MATCH(tItens[[#This Row],[Produto]],tProdutos[Produto],0))),DescontoPadrao)</f>
        <v>0.26</v>
      </c>
      <c r="M921" s="12">
        <f>tItens[[#This Row],[Valor]]*(1-tItens[[#This Row],[Desconto]])</f>
        <v>0</v>
      </c>
      <c r="N921" t="str">
        <f>IFERROR(INDEX(tProdutos[Foco],MATCH(tItens[[#This Row],[Produto]],tProdutos[Produto],0)),"Não")</f>
        <v>Sim</v>
      </c>
      <c r="O921" t="str">
        <f>IFERROR(INDEX(tEditais[SRP],MATCH(tItens[[#This Row],[Edital]],tEditais[Edital],0)),"Não")</f>
        <v>Não</v>
      </c>
      <c r="P921" s="4">
        <f>IF(COUNTIFS(INDEX(tItens[Edital],1):tItens[[#This Row],[Edital]],tItens[[#This Row],[Edital]],INDEX(tItens[Produto],1):tItens[[#This Row],[Produto]],tItens[[#This Row],[Produto]])=1,1,0)</f>
        <v>0</v>
      </c>
    </row>
    <row r="922" spans="1:16" x14ac:dyDescent="0.25">
      <c r="A922" t="s">
        <v>1028</v>
      </c>
      <c r="B922">
        <v>43715</v>
      </c>
      <c r="C922" t="s">
        <v>4089</v>
      </c>
      <c r="D922" t="s">
        <v>75</v>
      </c>
      <c r="E922" s="13">
        <v>12000</v>
      </c>
      <c r="F922" s="12">
        <v>0</v>
      </c>
      <c r="G922" t="str">
        <f>IFERROR(INDEX(tEditais[Órgão],MATCH(tItens[[#This Row],[Edital]],tEditais[Edital],0)),"")</f>
        <v>MUNICIPIO DE FORTALEZA</v>
      </c>
      <c r="H922" t="str">
        <f>IFERROR(INDEX(tEditais[UF],MATCH(tItens[[#This Row],[Edital]],tEditais[Edital],0)),"")</f>
        <v>CE</v>
      </c>
      <c r="I922" s="11">
        <f>IFERROR(INDEX(tEditais[Encerramento],MATCH(tItens[[#This Row],[Edital]],tEditais[Edital],0)),"")</f>
        <v>46311.375</v>
      </c>
      <c r="J922" t="str">
        <f>IFERROR(INDEX(tProdutos[Classe],MATCH(tItens[[#This Row],[Produto]],tProdutos[Produto],0)),"produto não cadastrado")</f>
        <v>NÚCLEO</v>
      </c>
      <c r="K922" s="12">
        <f>tItens[[#This Row],[Qtd]]*tItens[[#This Row],[Vlr unit]]</f>
        <v>0</v>
      </c>
      <c r="L922" s="6">
        <f>IFERROR(IF(INDEX(tProdutos[Desconto homologado],MATCH(tItens[[#This Row],[Produto]],tProdutos[Produto],0))="",DescontoPadrao,INDEX(tProdutos[Desconto homologado],MATCH(tItens[[#This Row],[Produto]],tProdutos[Produto],0))),DescontoPadrao)</f>
        <v>0.26</v>
      </c>
      <c r="M922" s="12">
        <f>tItens[[#This Row],[Valor]]*(1-tItens[[#This Row],[Desconto]])</f>
        <v>0</v>
      </c>
      <c r="N922" t="str">
        <f>IFERROR(INDEX(tProdutos[Foco],MATCH(tItens[[#This Row],[Produto]],tProdutos[Produto],0)),"Não")</f>
        <v>Sim</v>
      </c>
      <c r="O922" t="str">
        <f>IFERROR(INDEX(tEditais[SRP],MATCH(tItens[[#This Row],[Edital]],tEditais[Edital],0)),"Não")</f>
        <v>Não</v>
      </c>
      <c r="P922" s="4">
        <f>IF(COUNTIFS(INDEX(tItens[Edital],1):tItens[[#This Row],[Edital]],tItens[[#This Row],[Edital]],INDEX(tItens[Produto],1):tItens[[#This Row],[Produto]],tItens[[#This Row],[Produto]])=1,1,0)</f>
        <v>0</v>
      </c>
    </row>
    <row r="923" spans="1:16" x14ac:dyDescent="0.25">
      <c r="A923" t="s">
        <v>1028</v>
      </c>
      <c r="B923">
        <v>43722</v>
      </c>
      <c r="C923" t="s">
        <v>4090</v>
      </c>
      <c r="D923" t="s">
        <v>110</v>
      </c>
      <c r="E923" s="13">
        <v>800</v>
      </c>
      <c r="F923" s="12">
        <v>0</v>
      </c>
      <c r="G923" t="str">
        <f>IFERROR(INDEX(tEditais[Órgão],MATCH(tItens[[#This Row],[Edital]],tEditais[Edital],0)),"")</f>
        <v>MUNICIPIO DE FORTALEZA</v>
      </c>
      <c r="H923" t="str">
        <f>IFERROR(INDEX(tEditais[UF],MATCH(tItens[[#This Row],[Edital]],tEditais[Edital],0)),"")</f>
        <v>CE</v>
      </c>
      <c r="I923" s="11">
        <f>IFERROR(INDEX(tEditais[Encerramento],MATCH(tItens[[#This Row],[Edital]],tEditais[Edital],0)),"")</f>
        <v>46311.375</v>
      </c>
      <c r="J923" t="str">
        <f>IFERROR(INDEX(tProdutos[Classe],MATCH(tItens[[#This Row],[Produto]],tProdutos[Produto],0)),"produto não cadastrado")</f>
        <v>NÚCLEO</v>
      </c>
      <c r="K923" s="12">
        <f>tItens[[#This Row],[Qtd]]*tItens[[#This Row],[Vlr unit]]</f>
        <v>0</v>
      </c>
      <c r="L923" s="6">
        <f>IFERROR(IF(INDEX(tProdutos[Desconto homologado],MATCH(tItens[[#This Row],[Produto]],tProdutos[Produto],0))="",DescontoPadrao,INDEX(tProdutos[Desconto homologado],MATCH(tItens[[#This Row],[Produto]],tProdutos[Produto],0))),DescontoPadrao)</f>
        <v>0.30410958904109597</v>
      </c>
      <c r="M923" s="12">
        <f>tItens[[#This Row],[Valor]]*(1-tItens[[#This Row],[Desconto]])</f>
        <v>0</v>
      </c>
      <c r="N923" t="str">
        <f>IFERROR(INDEX(tProdutos[Foco],MATCH(tItens[[#This Row],[Produto]],tProdutos[Produto],0)),"Não")</f>
        <v>Não</v>
      </c>
      <c r="O923" t="str">
        <f>IFERROR(INDEX(tEditais[SRP],MATCH(tItens[[#This Row],[Edital]],tEditais[Edital],0)),"Não")</f>
        <v>Não</v>
      </c>
      <c r="P923" s="4">
        <f>IF(COUNTIFS(INDEX(tItens[Edital],1):tItens[[#This Row],[Edital]],tItens[[#This Row],[Edital]],INDEX(tItens[Produto],1):tItens[[#This Row],[Produto]],tItens[[#This Row],[Produto]])=1,1,0)</f>
        <v>1</v>
      </c>
    </row>
    <row r="924" spans="1:16" x14ac:dyDescent="0.25">
      <c r="A924" t="s">
        <v>1028</v>
      </c>
      <c r="B924">
        <v>43724</v>
      </c>
      <c r="C924" t="s">
        <v>4091</v>
      </c>
      <c r="D924" t="s">
        <v>479</v>
      </c>
      <c r="E924" s="13">
        <v>100</v>
      </c>
      <c r="F924" s="12">
        <v>0</v>
      </c>
      <c r="G924" t="str">
        <f>IFERROR(INDEX(tEditais[Órgão],MATCH(tItens[[#This Row],[Edital]],tEditais[Edital],0)),"")</f>
        <v>MUNICIPIO DE FORTALEZA</v>
      </c>
      <c r="H924" t="str">
        <f>IFERROR(INDEX(tEditais[UF],MATCH(tItens[[#This Row],[Edital]],tEditais[Edital],0)),"")</f>
        <v>CE</v>
      </c>
      <c r="I924" s="11">
        <f>IFERROR(INDEX(tEditais[Encerramento],MATCH(tItens[[#This Row],[Edital]],tEditais[Edital],0)),"")</f>
        <v>46311.375</v>
      </c>
      <c r="J924" t="str">
        <f>IFERROR(INDEX(tProdutos[Classe],MATCH(tItens[[#This Row],[Produto]],tProdutos[Produto],0)),"produto não cadastrado")</f>
        <v>FILA REBASE</v>
      </c>
      <c r="K924" s="12">
        <f>tItens[[#This Row],[Qtd]]*tItens[[#This Row],[Vlr unit]]</f>
        <v>0</v>
      </c>
      <c r="L924" s="6">
        <f>IFERROR(IF(INDEX(tProdutos[Desconto homologado],MATCH(tItens[[#This Row],[Produto]],tProdutos[Produto],0))="",DescontoPadrao,INDEX(tProdutos[Desconto homologado],MATCH(tItens[[#This Row],[Produto]],tProdutos[Produto],0))),DescontoPadrao)</f>
        <v>0.41266209000762799</v>
      </c>
      <c r="M924" s="12">
        <f>tItens[[#This Row],[Valor]]*(1-tItens[[#This Row],[Desconto]])</f>
        <v>0</v>
      </c>
      <c r="N924" t="str">
        <f>IFERROR(INDEX(tProdutos[Foco],MATCH(tItens[[#This Row],[Produto]],tProdutos[Produto],0)),"Não")</f>
        <v>Não</v>
      </c>
      <c r="O924" t="str">
        <f>IFERROR(INDEX(tEditais[SRP],MATCH(tItens[[#This Row],[Edital]],tEditais[Edital],0)),"Não")</f>
        <v>Não</v>
      </c>
      <c r="P924" s="4">
        <f>IF(COUNTIFS(INDEX(tItens[Edital],1):tItens[[#This Row],[Edital]],tItens[[#This Row],[Edital]],INDEX(tItens[Produto],1):tItens[[#This Row],[Produto]],tItens[[#This Row],[Produto]])=1,1,0)</f>
        <v>1</v>
      </c>
    </row>
    <row r="925" spans="1:16" x14ac:dyDescent="0.25">
      <c r="A925" t="s">
        <v>1028</v>
      </c>
      <c r="B925">
        <v>43725</v>
      </c>
      <c r="C925" t="s">
        <v>4092</v>
      </c>
      <c r="D925" t="s">
        <v>479</v>
      </c>
      <c r="E925" s="13">
        <v>1750</v>
      </c>
      <c r="F925" s="12">
        <v>0</v>
      </c>
      <c r="G925" t="str">
        <f>IFERROR(INDEX(tEditais[Órgão],MATCH(tItens[[#This Row],[Edital]],tEditais[Edital],0)),"")</f>
        <v>MUNICIPIO DE FORTALEZA</v>
      </c>
      <c r="H925" t="str">
        <f>IFERROR(INDEX(tEditais[UF],MATCH(tItens[[#This Row],[Edital]],tEditais[Edital],0)),"")</f>
        <v>CE</v>
      </c>
      <c r="I925" s="11">
        <f>IFERROR(INDEX(tEditais[Encerramento],MATCH(tItens[[#This Row],[Edital]],tEditais[Edital],0)),"")</f>
        <v>46311.375</v>
      </c>
      <c r="J925" t="str">
        <f>IFERROR(INDEX(tProdutos[Classe],MATCH(tItens[[#This Row],[Produto]],tProdutos[Produto],0)),"produto não cadastrado")</f>
        <v>FILA REBASE</v>
      </c>
      <c r="K925" s="12">
        <f>tItens[[#This Row],[Qtd]]*tItens[[#This Row],[Vlr unit]]</f>
        <v>0</v>
      </c>
      <c r="L925" s="6">
        <f>IFERROR(IF(INDEX(tProdutos[Desconto homologado],MATCH(tItens[[#This Row],[Produto]],tProdutos[Produto],0))="",DescontoPadrao,INDEX(tProdutos[Desconto homologado],MATCH(tItens[[#This Row],[Produto]],tProdutos[Produto],0))),DescontoPadrao)</f>
        <v>0.41266209000762799</v>
      </c>
      <c r="M925" s="12">
        <f>tItens[[#This Row],[Valor]]*(1-tItens[[#This Row],[Desconto]])</f>
        <v>0</v>
      </c>
      <c r="N925" t="str">
        <f>IFERROR(INDEX(tProdutos[Foco],MATCH(tItens[[#This Row],[Produto]],tProdutos[Produto],0)),"Não")</f>
        <v>Não</v>
      </c>
      <c r="O925" t="str">
        <f>IFERROR(INDEX(tEditais[SRP],MATCH(tItens[[#This Row],[Edital]],tEditais[Edital],0)),"Não")</f>
        <v>Não</v>
      </c>
      <c r="P925" s="4">
        <f>IF(COUNTIFS(INDEX(tItens[Edital],1):tItens[[#This Row],[Edital]],tItens[[#This Row],[Edital]],INDEX(tItens[Produto],1):tItens[[#This Row],[Produto]],tItens[[#This Row],[Produto]])=1,1,0)</f>
        <v>0</v>
      </c>
    </row>
    <row r="926" spans="1:16" x14ac:dyDescent="0.25">
      <c r="A926" t="s">
        <v>1028</v>
      </c>
      <c r="B926">
        <v>43726</v>
      </c>
      <c r="C926" t="s">
        <v>4092</v>
      </c>
      <c r="D926" t="s">
        <v>479</v>
      </c>
      <c r="E926" s="13">
        <v>5250</v>
      </c>
      <c r="F926" s="12">
        <v>0</v>
      </c>
      <c r="G926" t="str">
        <f>IFERROR(INDEX(tEditais[Órgão],MATCH(tItens[[#This Row],[Edital]],tEditais[Edital],0)),"")</f>
        <v>MUNICIPIO DE FORTALEZA</v>
      </c>
      <c r="H926" t="str">
        <f>IFERROR(INDEX(tEditais[UF],MATCH(tItens[[#This Row],[Edital]],tEditais[Edital],0)),"")</f>
        <v>CE</v>
      </c>
      <c r="I926" s="11">
        <f>IFERROR(INDEX(tEditais[Encerramento],MATCH(tItens[[#This Row],[Edital]],tEditais[Edital],0)),"")</f>
        <v>46311.375</v>
      </c>
      <c r="J926" t="str">
        <f>IFERROR(INDEX(tProdutos[Classe],MATCH(tItens[[#This Row],[Produto]],tProdutos[Produto],0)),"produto não cadastrado")</f>
        <v>FILA REBASE</v>
      </c>
      <c r="K926" s="12">
        <f>tItens[[#This Row],[Qtd]]*tItens[[#This Row],[Vlr unit]]</f>
        <v>0</v>
      </c>
      <c r="L926" s="6">
        <f>IFERROR(IF(INDEX(tProdutos[Desconto homologado],MATCH(tItens[[#This Row],[Produto]],tProdutos[Produto],0))="",DescontoPadrao,INDEX(tProdutos[Desconto homologado],MATCH(tItens[[#This Row],[Produto]],tProdutos[Produto],0))),DescontoPadrao)</f>
        <v>0.41266209000762799</v>
      </c>
      <c r="M926" s="12">
        <f>tItens[[#This Row],[Valor]]*(1-tItens[[#This Row],[Desconto]])</f>
        <v>0</v>
      </c>
      <c r="N926" t="str">
        <f>IFERROR(INDEX(tProdutos[Foco],MATCH(tItens[[#This Row],[Produto]],tProdutos[Produto],0)),"Não")</f>
        <v>Não</v>
      </c>
      <c r="O926" t="str">
        <f>IFERROR(INDEX(tEditais[SRP],MATCH(tItens[[#This Row],[Edital]],tEditais[Edital],0)),"Não")</f>
        <v>Não</v>
      </c>
      <c r="P926" s="4">
        <f>IF(COUNTIFS(INDEX(tItens[Edital],1):tItens[[#This Row],[Edital]],tItens[[#This Row],[Edital]],INDEX(tItens[Produto],1):tItens[[#This Row],[Produto]],tItens[[#This Row],[Produto]])=1,1,0)</f>
        <v>0</v>
      </c>
    </row>
    <row r="927" spans="1:16" x14ac:dyDescent="0.25">
      <c r="A927" t="s">
        <v>1028</v>
      </c>
      <c r="B927">
        <v>43727</v>
      </c>
      <c r="C927" t="s">
        <v>4093</v>
      </c>
      <c r="D927" t="s">
        <v>479</v>
      </c>
      <c r="E927" s="13">
        <v>300</v>
      </c>
      <c r="F927" s="12">
        <v>0</v>
      </c>
      <c r="G927" t="str">
        <f>IFERROR(INDEX(tEditais[Órgão],MATCH(tItens[[#This Row],[Edital]],tEditais[Edital],0)),"")</f>
        <v>MUNICIPIO DE FORTALEZA</v>
      </c>
      <c r="H927" t="str">
        <f>IFERROR(INDEX(tEditais[UF],MATCH(tItens[[#This Row],[Edital]],tEditais[Edital],0)),"")</f>
        <v>CE</v>
      </c>
      <c r="I927" s="11">
        <f>IFERROR(INDEX(tEditais[Encerramento],MATCH(tItens[[#This Row],[Edital]],tEditais[Edital],0)),"")</f>
        <v>46311.375</v>
      </c>
      <c r="J927" t="str">
        <f>IFERROR(INDEX(tProdutos[Classe],MATCH(tItens[[#This Row],[Produto]],tProdutos[Produto],0)),"produto não cadastrado")</f>
        <v>FILA REBASE</v>
      </c>
      <c r="K927" s="12">
        <f>tItens[[#This Row],[Qtd]]*tItens[[#This Row],[Vlr unit]]</f>
        <v>0</v>
      </c>
      <c r="L927" s="6">
        <f>IFERROR(IF(INDEX(tProdutos[Desconto homologado],MATCH(tItens[[#This Row],[Produto]],tProdutos[Produto],0))="",DescontoPadrao,INDEX(tProdutos[Desconto homologado],MATCH(tItens[[#This Row],[Produto]],tProdutos[Produto],0))),DescontoPadrao)</f>
        <v>0.41266209000762799</v>
      </c>
      <c r="M927" s="12">
        <f>tItens[[#This Row],[Valor]]*(1-tItens[[#This Row],[Desconto]])</f>
        <v>0</v>
      </c>
      <c r="N927" t="str">
        <f>IFERROR(INDEX(tProdutos[Foco],MATCH(tItens[[#This Row],[Produto]],tProdutos[Produto],0)),"Não")</f>
        <v>Não</v>
      </c>
      <c r="O927" t="str">
        <f>IFERROR(INDEX(tEditais[SRP],MATCH(tItens[[#This Row],[Edital]],tEditais[Edital],0)),"Não")</f>
        <v>Não</v>
      </c>
      <c r="P927" s="4">
        <f>IF(COUNTIFS(INDEX(tItens[Edital],1):tItens[[#This Row],[Edital]],tItens[[#This Row],[Edital]],INDEX(tItens[Produto],1):tItens[[#This Row],[Produto]],tItens[[#This Row],[Produto]])=1,1,0)</f>
        <v>0</v>
      </c>
    </row>
    <row r="928" spans="1:16" x14ac:dyDescent="0.25">
      <c r="A928" t="s">
        <v>1028</v>
      </c>
      <c r="B928">
        <v>43730</v>
      </c>
      <c r="C928" t="s">
        <v>4094</v>
      </c>
      <c r="D928" t="s">
        <v>110</v>
      </c>
      <c r="E928" s="13">
        <v>2350</v>
      </c>
      <c r="F928" s="12">
        <v>0</v>
      </c>
      <c r="G928" t="str">
        <f>IFERROR(INDEX(tEditais[Órgão],MATCH(tItens[[#This Row],[Edital]],tEditais[Edital],0)),"")</f>
        <v>MUNICIPIO DE FORTALEZA</v>
      </c>
      <c r="H928" t="str">
        <f>IFERROR(INDEX(tEditais[UF],MATCH(tItens[[#This Row],[Edital]],tEditais[Edital],0)),"")</f>
        <v>CE</v>
      </c>
      <c r="I928" s="11">
        <f>IFERROR(INDEX(tEditais[Encerramento],MATCH(tItens[[#This Row],[Edital]],tEditais[Edital],0)),"")</f>
        <v>46311.375</v>
      </c>
      <c r="J928" t="str">
        <f>IFERROR(INDEX(tProdutos[Classe],MATCH(tItens[[#This Row],[Produto]],tProdutos[Produto],0)),"produto não cadastrado")</f>
        <v>NÚCLEO</v>
      </c>
      <c r="K928" s="12">
        <f>tItens[[#This Row],[Qtd]]*tItens[[#This Row],[Vlr unit]]</f>
        <v>0</v>
      </c>
      <c r="L928" s="6">
        <f>IFERROR(IF(INDEX(tProdutos[Desconto homologado],MATCH(tItens[[#This Row],[Produto]],tProdutos[Produto],0))="",DescontoPadrao,INDEX(tProdutos[Desconto homologado],MATCH(tItens[[#This Row],[Produto]],tProdutos[Produto],0))),DescontoPadrao)</f>
        <v>0.30410958904109597</v>
      </c>
      <c r="M928" s="12">
        <f>tItens[[#This Row],[Valor]]*(1-tItens[[#This Row],[Desconto]])</f>
        <v>0</v>
      </c>
      <c r="N928" t="str">
        <f>IFERROR(INDEX(tProdutos[Foco],MATCH(tItens[[#This Row],[Produto]],tProdutos[Produto],0)),"Não")</f>
        <v>Não</v>
      </c>
      <c r="O928" t="str">
        <f>IFERROR(INDEX(tEditais[SRP],MATCH(tItens[[#This Row],[Edital]],tEditais[Edital],0)),"Não")</f>
        <v>Não</v>
      </c>
      <c r="P928" s="4">
        <f>IF(COUNTIFS(INDEX(tItens[Edital],1):tItens[[#This Row],[Edital]],tItens[[#This Row],[Edital]],INDEX(tItens[Produto],1):tItens[[#This Row],[Produto]],tItens[[#This Row],[Produto]])=1,1,0)</f>
        <v>0</v>
      </c>
    </row>
    <row r="929" spans="1:16" x14ac:dyDescent="0.25">
      <c r="A929" t="s">
        <v>1030</v>
      </c>
      <c r="B929">
        <v>43736</v>
      </c>
      <c r="C929" t="s">
        <v>4095</v>
      </c>
      <c r="D929" t="s">
        <v>315</v>
      </c>
      <c r="E929" s="13">
        <v>84375</v>
      </c>
      <c r="F929" s="12">
        <v>0</v>
      </c>
      <c r="G929" t="str">
        <f>IFERROR(INDEX(tEditais[Órgão],MATCH(tItens[[#This Row],[Edital]],tEditais[Edital],0)),"")</f>
        <v>MUNICIPIO DE FORTALEZA</v>
      </c>
      <c r="H929" t="str">
        <f>IFERROR(INDEX(tEditais[UF],MATCH(tItens[[#This Row],[Edital]],tEditais[Edital],0)),"")</f>
        <v>CE</v>
      </c>
      <c r="I929" s="11">
        <f>IFERROR(INDEX(tEditais[Encerramento],MATCH(tItens[[#This Row],[Edital]],tEditais[Edital],0)),"")</f>
        <v>46311.375</v>
      </c>
      <c r="J929" t="str">
        <f>IFERROR(INDEX(tProdutos[Classe],MATCH(tItens[[#This Row],[Produto]],tProdutos[Produto],0)),"produto não cadastrado")</f>
        <v>FORA</v>
      </c>
      <c r="K929" s="12">
        <f>tItens[[#This Row],[Qtd]]*tItens[[#This Row],[Vlr unit]]</f>
        <v>0</v>
      </c>
      <c r="L929" s="6">
        <f>IFERROR(IF(INDEX(tProdutos[Desconto homologado],MATCH(tItens[[#This Row],[Produto]],tProdutos[Produto],0))="",DescontoPadrao,INDEX(tProdutos[Desconto homologado],MATCH(tItens[[#This Row],[Produto]],tProdutos[Produto],0))),DescontoPadrao)</f>
        <v>0.38432036097010702</v>
      </c>
      <c r="M929" s="12">
        <f>tItens[[#This Row],[Valor]]*(1-tItens[[#This Row],[Desconto]])</f>
        <v>0</v>
      </c>
      <c r="N929" t="str">
        <f>IFERROR(INDEX(tProdutos[Foco],MATCH(tItens[[#This Row],[Produto]],tProdutos[Produto],0)),"Não")</f>
        <v>Não</v>
      </c>
      <c r="O929" t="str">
        <f>IFERROR(INDEX(tEditais[SRP],MATCH(tItens[[#This Row],[Edital]],tEditais[Edital],0)),"Não")</f>
        <v>Não</v>
      </c>
      <c r="P929" s="4">
        <f>IF(COUNTIFS(INDEX(tItens[Edital],1):tItens[[#This Row],[Edital]],tItens[[#This Row],[Edital]],INDEX(tItens[Produto],1):tItens[[#This Row],[Produto]],tItens[[#This Row],[Produto]])=1,1,0)</f>
        <v>1</v>
      </c>
    </row>
    <row r="930" spans="1:16" x14ac:dyDescent="0.25">
      <c r="A930" t="s">
        <v>1030</v>
      </c>
      <c r="B930">
        <v>43737</v>
      </c>
      <c r="C930" t="s">
        <v>4095</v>
      </c>
      <c r="D930" t="s">
        <v>315</v>
      </c>
      <c r="E930" s="13">
        <v>253125</v>
      </c>
      <c r="F930" s="12">
        <v>0</v>
      </c>
      <c r="G930" t="str">
        <f>IFERROR(INDEX(tEditais[Órgão],MATCH(tItens[[#This Row],[Edital]],tEditais[Edital],0)),"")</f>
        <v>MUNICIPIO DE FORTALEZA</v>
      </c>
      <c r="H930" t="str">
        <f>IFERROR(INDEX(tEditais[UF],MATCH(tItens[[#This Row],[Edital]],tEditais[Edital],0)),"")</f>
        <v>CE</v>
      </c>
      <c r="I930" s="11">
        <f>IFERROR(INDEX(tEditais[Encerramento],MATCH(tItens[[#This Row],[Edital]],tEditais[Edital],0)),"")</f>
        <v>46311.375</v>
      </c>
      <c r="J930" t="str">
        <f>IFERROR(INDEX(tProdutos[Classe],MATCH(tItens[[#This Row],[Produto]],tProdutos[Produto],0)),"produto não cadastrado")</f>
        <v>FORA</v>
      </c>
      <c r="K930" s="12">
        <f>tItens[[#This Row],[Qtd]]*tItens[[#This Row],[Vlr unit]]</f>
        <v>0</v>
      </c>
      <c r="L930" s="6">
        <f>IFERROR(IF(INDEX(tProdutos[Desconto homologado],MATCH(tItens[[#This Row],[Produto]],tProdutos[Produto],0))="",DescontoPadrao,INDEX(tProdutos[Desconto homologado],MATCH(tItens[[#This Row],[Produto]],tProdutos[Produto],0))),DescontoPadrao)</f>
        <v>0.38432036097010702</v>
      </c>
      <c r="M930" s="12">
        <f>tItens[[#This Row],[Valor]]*(1-tItens[[#This Row],[Desconto]])</f>
        <v>0</v>
      </c>
      <c r="N930" t="str">
        <f>IFERROR(INDEX(tProdutos[Foco],MATCH(tItens[[#This Row],[Produto]],tProdutos[Produto],0)),"Não")</f>
        <v>Não</v>
      </c>
      <c r="O930" t="str">
        <f>IFERROR(INDEX(tEditais[SRP],MATCH(tItens[[#This Row],[Edital]],tEditais[Edital],0)),"Não")</f>
        <v>Não</v>
      </c>
      <c r="P930" s="4">
        <f>IF(COUNTIFS(INDEX(tItens[Edital],1):tItens[[#This Row],[Edital]],tItens[[#This Row],[Edital]],INDEX(tItens[Produto],1):tItens[[#This Row],[Produto]],tItens[[#This Row],[Produto]])=1,1,0)</f>
        <v>0</v>
      </c>
    </row>
    <row r="931" spans="1:16" x14ac:dyDescent="0.25">
      <c r="A931" t="s">
        <v>1030</v>
      </c>
      <c r="B931">
        <v>43738</v>
      </c>
      <c r="C931" t="s">
        <v>4096</v>
      </c>
      <c r="D931" t="s">
        <v>277</v>
      </c>
      <c r="E931" s="13">
        <v>168750</v>
      </c>
      <c r="F931" s="12">
        <v>0</v>
      </c>
      <c r="G931" t="str">
        <f>IFERROR(INDEX(tEditais[Órgão],MATCH(tItens[[#This Row],[Edital]],tEditais[Edital],0)),"")</f>
        <v>MUNICIPIO DE FORTALEZA</v>
      </c>
      <c r="H931" t="str">
        <f>IFERROR(INDEX(tEditais[UF],MATCH(tItens[[#This Row],[Edital]],tEditais[Edital],0)),"")</f>
        <v>CE</v>
      </c>
      <c r="I931" s="11">
        <f>IFERROR(INDEX(tEditais[Encerramento],MATCH(tItens[[#This Row],[Edital]],tEditais[Edital],0)),"")</f>
        <v>46311.375</v>
      </c>
      <c r="J931" t="str">
        <f>IFERROR(INDEX(tProdutos[Classe],MATCH(tItens[[#This Row],[Produto]],tProdutos[Produto],0)),"produto não cadastrado")</f>
        <v>DISPUTADO</v>
      </c>
      <c r="K931" s="12">
        <f>tItens[[#This Row],[Qtd]]*tItens[[#This Row],[Vlr unit]]</f>
        <v>0</v>
      </c>
      <c r="L931" s="6">
        <f>IFERROR(IF(INDEX(tProdutos[Desconto homologado],MATCH(tItens[[#This Row],[Produto]],tProdutos[Produto],0))="",DescontoPadrao,INDEX(tProdutos[Desconto homologado],MATCH(tItens[[#This Row],[Produto]],tProdutos[Produto],0))),DescontoPadrao)</f>
        <v>0.50460666194188497</v>
      </c>
      <c r="M931" s="12">
        <f>tItens[[#This Row],[Valor]]*(1-tItens[[#This Row],[Desconto]])</f>
        <v>0</v>
      </c>
      <c r="N931" t="str">
        <f>IFERROR(INDEX(tProdutos[Foco],MATCH(tItens[[#This Row],[Produto]],tProdutos[Produto],0)),"Não")</f>
        <v>Não</v>
      </c>
      <c r="O931" t="str">
        <f>IFERROR(INDEX(tEditais[SRP],MATCH(tItens[[#This Row],[Edital]],tEditais[Edital],0)),"Não")</f>
        <v>Não</v>
      </c>
      <c r="P931" s="4">
        <f>IF(COUNTIFS(INDEX(tItens[Edital],1):tItens[[#This Row],[Edital]],tItens[[#This Row],[Edital]],INDEX(tItens[Produto],1):tItens[[#This Row],[Produto]],tItens[[#This Row],[Produto]])=1,1,0)</f>
        <v>1</v>
      </c>
    </row>
    <row r="932" spans="1:16" x14ac:dyDescent="0.25">
      <c r="A932" t="s">
        <v>1030</v>
      </c>
      <c r="B932">
        <v>43739</v>
      </c>
      <c r="C932" t="s">
        <v>4096</v>
      </c>
      <c r="D932" t="s">
        <v>277</v>
      </c>
      <c r="E932" s="13">
        <v>506250</v>
      </c>
      <c r="F932" s="12">
        <v>0</v>
      </c>
      <c r="G932" t="str">
        <f>IFERROR(INDEX(tEditais[Órgão],MATCH(tItens[[#This Row],[Edital]],tEditais[Edital],0)),"")</f>
        <v>MUNICIPIO DE FORTALEZA</v>
      </c>
      <c r="H932" t="str">
        <f>IFERROR(INDEX(tEditais[UF],MATCH(tItens[[#This Row],[Edital]],tEditais[Edital],0)),"")</f>
        <v>CE</v>
      </c>
      <c r="I932" s="11">
        <f>IFERROR(INDEX(tEditais[Encerramento],MATCH(tItens[[#This Row],[Edital]],tEditais[Edital],0)),"")</f>
        <v>46311.375</v>
      </c>
      <c r="J932" t="str">
        <f>IFERROR(INDEX(tProdutos[Classe],MATCH(tItens[[#This Row],[Produto]],tProdutos[Produto],0)),"produto não cadastrado")</f>
        <v>DISPUTADO</v>
      </c>
      <c r="K932" s="12">
        <f>tItens[[#This Row],[Qtd]]*tItens[[#This Row],[Vlr unit]]</f>
        <v>0</v>
      </c>
      <c r="L932" s="6">
        <f>IFERROR(IF(INDEX(tProdutos[Desconto homologado],MATCH(tItens[[#This Row],[Produto]],tProdutos[Produto],0))="",DescontoPadrao,INDEX(tProdutos[Desconto homologado],MATCH(tItens[[#This Row],[Produto]],tProdutos[Produto],0))),DescontoPadrao)</f>
        <v>0.50460666194188497</v>
      </c>
      <c r="M932" s="12">
        <f>tItens[[#This Row],[Valor]]*(1-tItens[[#This Row],[Desconto]])</f>
        <v>0</v>
      </c>
      <c r="N932" t="str">
        <f>IFERROR(INDEX(tProdutos[Foco],MATCH(tItens[[#This Row],[Produto]],tProdutos[Produto],0)),"Não")</f>
        <v>Não</v>
      </c>
      <c r="O932" t="str">
        <f>IFERROR(INDEX(tEditais[SRP],MATCH(tItens[[#This Row],[Edital]],tEditais[Edital],0)),"Não")</f>
        <v>Não</v>
      </c>
      <c r="P932" s="4">
        <f>IF(COUNTIFS(INDEX(tItens[Edital],1):tItens[[#This Row],[Edital]],tItens[[#This Row],[Edital]],INDEX(tItens[Produto],1):tItens[[#This Row],[Produto]],tItens[[#This Row],[Produto]])=1,1,0)</f>
        <v>0</v>
      </c>
    </row>
    <row r="933" spans="1:16" x14ac:dyDescent="0.25">
      <c r="A933" t="s">
        <v>1030</v>
      </c>
      <c r="B933">
        <v>43740</v>
      </c>
      <c r="C933" t="s">
        <v>4097</v>
      </c>
      <c r="D933" t="s">
        <v>88</v>
      </c>
      <c r="E933" s="13">
        <v>120</v>
      </c>
      <c r="F933" s="12">
        <v>0</v>
      </c>
      <c r="G933" t="str">
        <f>IFERROR(INDEX(tEditais[Órgão],MATCH(tItens[[#This Row],[Edital]],tEditais[Edital],0)),"")</f>
        <v>MUNICIPIO DE FORTALEZA</v>
      </c>
      <c r="H933" t="str">
        <f>IFERROR(INDEX(tEditais[UF],MATCH(tItens[[#This Row],[Edital]],tEditais[Edital],0)),"")</f>
        <v>CE</v>
      </c>
      <c r="I933" s="11">
        <f>IFERROR(INDEX(tEditais[Encerramento],MATCH(tItens[[#This Row],[Edital]],tEditais[Edital],0)),"")</f>
        <v>46311.375</v>
      </c>
      <c r="J933" t="str">
        <f>IFERROR(INDEX(tProdutos[Classe],MATCH(tItens[[#This Row],[Produto]],tProdutos[Produto],0)),"produto não cadastrado")</f>
        <v>NÚCLEO</v>
      </c>
      <c r="K933" s="12">
        <f>tItens[[#This Row],[Qtd]]*tItens[[#This Row],[Vlr unit]]</f>
        <v>0</v>
      </c>
      <c r="L933" s="6">
        <f>IFERROR(IF(INDEX(tProdutos[Desconto homologado],MATCH(tItens[[#This Row],[Produto]],tProdutos[Produto],0))="",DescontoPadrao,INDEX(tProdutos[Desconto homologado],MATCH(tItens[[#This Row],[Produto]],tProdutos[Produto],0))),DescontoPadrao)</f>
        <v>0.30251202565473001</v>
      </c>
      <c r="M933" s="12">
        <f>tItens[[#This Row],[Valor]]*(1-tItens[[#This Row],[Desconto]])</f>
        <v>0</v>
      </c>
      <c r="N933" t="str">
        <f>IFERROR(INDEX(tProdutos[Foco],MATCH(tItens[[#This Row],[Produto]],tProdutos[Produto],0)),"Não")</f>
        <v>Não</v>
      </c>
      <c r="O933" t="str">
        <f>IFERROR(INDEX(tEditais[SRP],MATCH(tItens[[#This Row],[Edital]],tEditais[Edital],0)),"Não")</f>
        <v>Não</v>
      </c>
      <c r="P933" s="4">
        <f>IF(COUNTIFS(INDEX(tItens[Edital],1):tItens[[#This Row],[Edital]],tItens[[#This Row],[Edital]],INDEX(tItens[Produto],1):tItens[[#This Row],[Produto]],tItens[[#This Row],[Produto]])=1,1,0)</f>
        <v>1</v>
      </c>
    </row>
    <row r="934" spans="1:16" x14ac:dyDescent="0.25">
      <c r="A934" t="s">
        <v>1030</v>
      </c>
      <c r="B934">
        <v>43741</v>
      </c>
      <c r="C934" t="s">
        <v>4098</v>
      </c>
      <c r="D934" t="s">
        <v>71</v>
      </c>
      <c r="E934" s="13">
        <v>120</v>
      </c>
      <c r="F934" s="12">
        <v>0</v>
      </c>
      <c r="G934" t="str">
        <f>IFERROR(INDEX(tEditais[Órgão],MATCH(tItens[[#This Row],[Edital]],tEditais[Edital],0)),"")</f>
        <v>MUNICIPIO DE FORTALEZA</v>
      </c>
      <c r="H934" t="str">
        <f>IFERROR(INDEX(tEditais[UF],MATCH(tItens[[#This Row],[Edital]],tEditais[Edital],0)),"")</f>
        <v>CE</v>
      </c>
      <c r="I934" s="11">
        <f>IFERROR(INDEX(tEditais[Encerramento],MATCH(tItens[[#This Row],[Edital]],tEditais[Edital],0)),"")</f>
        <v>46311.375</v>
      </c>
      <c r="J934" t="str">
        <f>IFERROR(INDEX(tProdutos[Classe],MATCH(tItens[[#This Row],[Produto]],tProdutos[Produto],0)),"produto não cadastrado")</f>
        <v>NÚCLEO</v>
      </c>
      <c r="K934" s="12">
        <f>tItens[[#This Row],[Qtd]]*tItens[[#This Row],[Vlr unit]]</f>
        <v>0</v>
      </c>
      <c r="L934" s="6">
        <f>IFERROR(IF(INDEX(tProdutos[Desconto homologado],MATCH(tItens[[#This Row],[Produto]],tProdutos[Produto],0))="",DescontoPadrao,INDEX(tProdutos[Desconto homologado],MATCH(tItens[[#This Row],[Produto]],tProdutos[Produto],0))),DescontoPadrao)</f>
        <v>0.44981412639405199</v>
      </c>
      <c r="M934" s="12">
        <f>tItens[[#This Row],[Valor]]*(1-tItens[[#This Row],[Desconto]])</f>
        <v>0</v>
      </c>
      <c r="N934" t="str">
        <f>IFERROR(INDEX(tProdutos[Foco],MATCH(tItens[[#This Row],[Produto]],tProdutos[Produto],0)),"Não")</f>
        <v>Não</v>
      </c>
      <c r="O934" t="str">
        <f>IFERROR(INDEX(tEditais[SRP],MATCH(tItens[[#This Row],[Edital]],tEditais[Edital],0)),"Não")</f>
        <v>Não</v>
      </c>
      <c r="P934" s="4">
        <f>IF(COUNTIFS(INDEX(tItens[Edital],1):tItens[[#This Row],[Edital]],tItens[[#This Row],[Edital]],INDEX(tItens[Produto],1):tItens[[#This Row],[Produto]],tItens[[#This Row],[Produto]])=1,1,0)</f>
        <v>1</v>
      </c>
    </row>
    <row r="935" spans="1:16" x14ac:dyDescent="0.25">
      <c r="A935" t="s">
        <v>1030</v>
      </c>
      <c r="B935">
        <v>43742</v>
      </c>
      <c r="C935" t="s">
        <v>4099</v>
      </c>
      <c r="D935" t="s">
        <v>315</v>
      </c>
      <c r="E935" s="13">
        <v>56250</v>
      </c>
      <c r="F935" s="12">
        <v>0</v>
      </c>
      <c r="G935" t="str">
        <f>IFERROR(INDEX(tEditais[Órgão],MATCH(tItens[[#This Row],[Edital]],tEditais[Edital],0)),"")</f>
        <v>MUNICIPIO DE FORTALEZA</v>
      </c>
      <c r="H935" t="str">
        <f>IFERROR(INDEX(tEditais[UF],MATCH(tItens[[#This Row],[Edital]],tEditais[Edital],0)),"")</f>
        <v>CE</v>
      </c>
      <c r="I935" s="11">
        <f>IFERROR(INDEX(tEditais[Encerramento],MATCH(tItens[[#This Row],[Edital]],tEditais[Edital],0)),"")</f>
        <v>46311.375</v>
      </c>
      <c r="J935" t="str">
        <f>IFERROR(INDEX(tProdutos[Classe],MATCH(tItens[[#This Row],[Produto]],tProdutos[Produto],0)),"produto não cadastrado")</f>
        <v>FORA</v>
      </c>
      <c r="K935" s="12">
        <f>tItens[[#This Row],[Qtd]]*tItens[[#This Row],[Vlr unit]]</f>
        <v>0</v>
      </c>
      <c r="L935" s="6">
        <f>IFERROR(IF(INDEX(tProdutos[Desconto homologado],MATCH(tItens[[#This Row],[Produto]],tProdutos[Produto],0))="",DescontoPadrao,INDEX(tProdutos[Desconto homologado],MATCH(tItens[[#This Row],[Produto]],tProdutos[Produto],0))),DescontoPadrao)</f>
        <v>0.38432036097010702</v>
      </c>
      <c r="M935" s="12">
        <f>tItens[[#This Row],[Valor]]*(1-tItens[[#This Row],[Desconto]])</f>
        <v>0</v>
      </c>
      <c r="N935" t="str">
        <f>IFERROR(INDEX(tProdutos[Foco],MATCH(tItens[[#This Row],[Produto]],tProdutos[Produto],0)),"Não")</f>
        <v>Não</v>
      </c>
      <c r="O935" t="str">
        <f>IFERROR(INDEX(tEditais[SRP],MATCH(tItens[[#This Row],[Edital]],tEditais[Edital],0)),"Não")</f>
        <v>Não</v>
      </c>
      <c r="P935" s="4">
        <f>IF(COUNTIFS(INDEX(tItens[Edital],1):tItens[[#This Row],[Edital]],tItens[[#This Row],[Edital]],INDEX(tItens[Produto],1):tItens[[#This Row],[Produto]],tItens[[#This Row],[Produto]])=1,1,0)</f>
        <v>0</v>
      </c>
    </row>
    <row r="936" spans="1:16" x14ac:dyDescent="0.25">
      <c r="A936" t="s">
        <v>1030</v>
      </c>
      <c r="B936">
        <v>43743</v>
      </c>
      <c r="C936" t="s">
        <v>4099</v>
      </c>
      <c r="D936" t="s">
        <v>315</v>
      </c>
      <c r="E936" s="13">
        <v>168750</v>
      </c>
      <c r="F936" s="12">
        <v>0</v>
      </c>
      <c r="G936" t="str">
        <f>IFERROR(INDEX(tEditais[Órgão],MATCH(tItens[[#This Row],[Edital]],tEditais[Edital],0)),"")</f>
        <v>MUNICIPIO DE FORTALEZA</v>
      </c>
      <c r="H936" t="str">
        <f>IFERROR(INDEX(tEditais[UF],MATCH(tItens[[#This Row],[Edital]],tEditais[Edital],0)),"")</f>
        <v>CE</v>
      </c>
      <c r="I936" s="11">
        <f>IFERROR(INDEX(tEditais[Encerramento],MATCH(tItens[[#This Row],[Edital]],tEditais[Edital],0)),"")</f>
        <v>46311.375</v>
      </c>
      <c r="J936" t="str">
        <f>IFERROR(INDEX(tProdutos[Classe],MATCH(tItens[[#This Row],[Produto]],tProdutos[Produto],0)),"produto não cadastrado")</f>
        <v>FORA</v>
      </c>
      <c r="K936" s="12">
        <f>tItens[[#This Row],[Qtd]]*tItens[[#This Row],[Vlr unit]]</f>
        <v>0</v>
      </c>
      <c r="L936" s="6">
        <f>IFERROR(IF(INDEX(tProdutos[Desconto homologado],MATCH(tItens[[#This Row],[Produto]],tProdutos[Produto],0))="",DescontoPadrao,INDEX(tProdutos[Desconto homologado],MATCH(tItens[[#This Row],[Produto]],tProdutos[Produto],0))),DescontoPadrao)</f>
        <v>0.38432036097010702</v>
      </c>
      <c r="M936" s="12">
        <f>tItens[[#This Row],[Valor]]*(1-tItens[[#This Row],[Desconto]])</f>
        <v>0</v>
      </c>
      <c r="N936" t="str">
        <f>IFERROR(INDEX(tProdutos[Foco],MATCH(tItens[[#This Row],[Produto]],tProdutos[Produto],0)),"Não")</f>
        <v>Não</v>
      </c>
      <c r="O936" t="str">
        <f>IFERROR(INDEX(tEditais[SRP],MATCH(tItens[[#This Row],[Edital]],tEditais[Edital],0)),"Não")</f>
        <v>Não</v>
      </c>
      <c r="P936" s="4">
        <f>IF(COUNTIFS(INDEX(tItens[Edital],1):tItens[[#This Row],[Edital]],tItens[[#This Row],[Edital]],INDEX(tItens[Produto],1):tItens[[#This Row],[Produto]],tItens[[#This Row],[Produto]])=1,1,0)</f>
        <v>0</v>
      </c>
    </row>
    <row r="937" spans="1:16" x14ac:dyDescent="0.25">
      <c r="A937" t="s">
        <v>1030</v>
      </c>
      <c r="B937">
        <v>43744</v>
      </c>
      <c r="C937" t="s">
        <v>4100</v>
      </c>
      <c r="D937" t="s">
        <v>315</v>
      </c>
      <c r="E937" s="13">
        <v>75000</v>
      </c>
      <c r="F937" s="12">
        <v>0</v>
      </c>
      <c r="G937" t="str">
        <f>IFERROR(INDEX(tEditais[Órgão],MATCH(tItens[[#This Row],[Edital]],tEditais[Edital],0)),"")</f>
        <v>MUNICIPIO DE FORTALEZA</v>
      </c>
      <c r="H937" t="str">
        <f>IFERROR(INDEX(tEditais[UF],MATCH(tItens[[#This Row],[Edital]],tEditais[Edital],0)),"")</f>
        <v>CE</v>
      </c>
      <c r="I937" s="11">
        <f>IFERROR(INDEX(tEditais[Encerramento],MATCH(tItens[[#This Row],[Edital]],tEditais[Edital],0)),"")</f>
        <v>46311.375</v>
      </c>
      <c r="J937" t="str">
        <f>IFERROR(INDEX(tProdutos[Classe],MATCH(tItens[[#This Row],[Produto]],tProdutos[Produto],0)),"produto não cadastrado")</f>
        <v>FORA</v>
      </c>
      <c r="K937" s="12">
        <f>tItens[[#This Row],[Qtd]]*tItens[[#This Row],[Vlr unit]]</f>
        <v>0</v>
      </c>
      <c r="L937" s="6">
        <f>IFERROR(IF(INDEX(tProdutos[Desconto homologado],MATCH(tItens[[#This Row],[Produto]],tProdutos[Produto],0))="",DescontoPadrao,INDEX(tProdutos[Desconto homologado],MATCH(tItens[[#This Row],[Produto]],tProdutos[Produto],0))),DescontoPadrao)</f>
        <v>0.38432036097010702</v>
      </c>
      <c r="M937" s="12">
        <f>tItens[[#This Row],[Valor]]*(1-tItens[[#This Row],[Desconto]])</f>
        <v>0</v>
      </c>
      <c r="N937" t="str">
        <f>IFERROR(INDEX(tProdutos[Foco],MATCH(tItens[[#This Row],[Produto]],tProdutos[Produto],0)),"Não")</f>
        <v>Não</v>
      </c>
      <c r="O937" t="str">
        <f>IFERROR(INDEX(tEditais[SRP],MATCH(tItens[[#This Row],[Edital]],tEditais[Edital],0)),"Não")</f>
        <v>Não</v>
      </c>
      <c r="P937" s="4">
        <f>IF(COUNTIFS(INDEX(tItens[Edital],1):tItens[[#This Row],[Edital]],tItens[[#This Row],[Edital]],INDEX(tItens[Produto],1):tItens[[#This Row],[Produto]],tItens[[#This Row],[Produto]])=1,1,0)</f>
        <v>0</v>
      </c>
    </row>
    <row r="938" spans="1:16" x14ac:dyDescent="0.25">
      <c r="A938" t="s">
        <v>1030</v>
      </c>
      <c r="B938">
        <v>43745</v>
      </c>
      <c r="C938" t="s">
        <v>4100</v>
      </c>
      <c r="D938" t="s">
        <v>315</v>
      </c>
      <c r="E938" s="13">
        <v>225000</v>
      </c>
      <c r="F938" s="12">
        <v>0</v>
      </c>
      <c r="G938" t="str">
        <f>IFERROR(INDEX(tEditais[Órgão],MATCH(tItens[[#This Row],[Edital]],tEditais[Edital],0)),"")</f>
        <v>MUNICIPIO DE FORTALEZA</v>
      </c>
      <c r="H938" t="str">
        <f>IFERROR(INDEX(tEditais[UF],MATCH(tItens[[#This Row],[Edital]],tEditais[Edital],0)),"")</f>
        <v>CE</v>
      </c>
      <c r="I938" s="11">
        <f>IFERROR(INDEX(tEditais[Encerramento],MATCH(tItens[[#This Row],[Edital]],tEditais[Edital],0)),"")</f>
        <v>46311.375</v>
      </c>
      <c r="J938" t="str">
        <f>IFERROR(INDEX(tProdutos[Classe],MATCH(tItens[[#This Row],[Produto]],tProdutos[Produto],0)),"produto não cadastrado")</f>
        <v>FORA</v>
      </c>
      <c r="K938" s="12">
        <f>tItens[[#This Row],[Qtd]]*tItens[[#This Row],[Vlr unit]]</f>
        <v>0</v>
      </c>
      <c r="L938" s="6">
        <f>IFERROR(IF(INDEX(tProdutos[Desconto homologado],MATCH(tItens[[#This Row],[Produto]],tProdutos[Produto],0))="",DescontoPadrao,INDEX(tProdutos[Desconto homologado],MATCH(tItens[[#This Row],[Produto]],tProdutos[Produto],0))),DescontoPadrao)</f>
        <v>0.38432036097010702</v>
      </c>
      <c r="M938" s="12">
        <f>tItens[[#This Row],[Valor]]*(1-tItens[[#This Row],[Desconto]])</f>
        <v>0</v>
      </c>
      <c r="N938" t="str">
        <f>IFERROR(INDEX(tProdutos[Foco],MATCH(tItens[[#This Row],[Produto]],tProdutos[Produto],0)),"Não")</f>
        <v>Não</v>
      </c>
      <c r="O938" t="str">
        <f>IFERROR(INDEX(tEditais[SRP],MATCH(tItens[[#This Row],[Edital]],tEditais[Edital],0)),"Não")</f>
        <v>Não</v>
      </c>
      <c r="P938" s="4">
        <f>IF(COUNTIFS(INDEX(tItens[Edital],1):tItens[[#This Row],[Edital]],tItens[[#This Row],[Edital]],INDEX(tItens[Produto],1):tItens[[#This Row],[Produto]],tItens[[#This Row],[Produto]])=1,1,0)</f>
        <v>0</v>
      </c>
    </row>
    <row r="939" spans="1:16" x14ac:dyDescent="0.25">
      <c r="A939" t="s">
        <v>1030</v>
      </c>
      <c r="B939">
        <v>43746</v>
      </c>
      <c r="C939" t="s">
        <v>4101</v>
      </c>
      <c r="D939" t="s">
        <v>315</v>
      </c>
      <c r="E939" s="13">
        <v>450562</v>
      </c>
      <c r="F939" s="12">
        <v>0</v>
      </c>
      <c r="G939" t="str">
        <f>IFERROR(INDEX(tEditais[Órgão],MATCH(tItens[[#This Row],[Edital]],tEditais[Edital],0)),"")</f>
        <v>MUNICIPIO DE FORTALEZA</v>
      </c>
      <c r="H939" t="str">
        <f>IFERROR(INDEX(tEditais[UF],MATCH(tItens[[#This Row],[Edital]],tEditais[Edital],0)),"")</f>
        <v>CE</v>
      </c>
      <c r="I939" s="11">
        <f>IFERROR(INDEX(tEditais[Encerramento],MATCH(tItens[[#This Row],[Edital]],tEditais[Edital],0)),"")</f>
        <v>46311.375</v>
      </c>
      <c r="J939" t="str">
        <f>IFERROR(INDEX(tProdutos[Classe],MATCH(tItens[[#This Row],[Produto]],tProdutos[Produto],0)),"produto não cadastrado")</f>
        <v>FORA</v>
      </c>
      <c r="K939" s="12">
        <f>tItens[[#This Row],[Qtd]]*tItens[[#This Row],[Vlr unit]]</f>
        <v>0</v>
      </c>
      <c r="L939" s="6">
        <f>IFERROR(IF(INDEX(tProdutos[Desconto homologado],MATCH(tItens[[#This Row],[Produto]],tProdutos[Produto],0))="",DescontoPadrao,INDEX(tProdutos[Desconto homologado],MATCH(tItens[[#This Row],[Produto]],tProdutos[Produto],0))),DescontoPadrao)</f>
        <v>0.38432036097010702</v>
      </c>
      <c r="M939" s="12">
        <f>tItens[[#This Row],[Valor]]*(1-tItens[[#This Row],[Desconto]])</f>
        <v>0</v>
      </c>
      <c r="N939" t="str">
        <f>IFERROR(INDEX(tProdutos[Foco],MATCH(tItens[[#This Row],[Produto]],tProdutos[Produto],0)),"Não")</f>
        <v>Não</v>
      </c>
      <c r="O939" t="str">
        <f>IFERROR(INDEX(tEditais[SRP],MATCH(tItens[[#This Row],[Edital]],tEditais[Edital],0)),"Não")</f>
        <v>Não</v>
      </c>
      <c r="P939" s="4">
        <f>IF(COUNTIFS(INDEX(tItens[Edital],1):tItens[[#This Row],[Edital]],tItens[[#This Row],[Edital]],INDEX(tItens[Produto],1):tItens[[#This Row],[Produto]],tItens[[#This Row],[Produto]])=1,1,0)</f>
        <v>0</v>
      </c>
    </row>
    <row r="940" spans="1:16" x14ac:dyDescent="0.25">
      <c r="A940" t="s">
        <v>1030</v>
      </c>
      <c r="B940">
        <v>43747</v>
      </c>
      <c r="C940" t="s">
        <v>4101</v>
      </c>
      <c r="D940" t="s">
        <v>315</v>
      </c>
      <c r="E940" s="13">
        <v>1351688</v>
      </c>
      <c r="F940" s="12">
        <v>0</v>
      </c>
      <c r="G940" t="str">
        <f>IFERROR(INDEX(tEditais[Órgão],MATCH(tItens[[#This Row],[Edital]],tEditais[Edital],0)),"")</f>
        <v>MUNICIPIO DE FORTALEZA</v>
      </c>
      <c r="H940" t="str">
        <f>IFERROR(INDEX(tEditais[UF],MATCH(tItens[[#This Row],[Edital]],tEditais[Edital],0)),"")</f>
        <v>CE</v>
      </c>
      <c r="I940" s="11">
        <f>IFERROR(INDEX(tEditais[Encerramento],MATCH(tItens[[#This Row],[Edital]],tEditais[Edital],0)),"")</f>
        <v>46311.375</v>
      </c>
      <c r="J940" t="str">
        <f>IFERROR(INDEX(tProdutos[Classe],MATCH(tItens[[#This Row],[Produto]],tProdutos[Produto],0)),"produto não cadastrado")</f>
        <v>FORA</v>
      </c>
      <c r="K940" s="12">
        <f>tItens[[#This Row],[Qtd]]*tItens[[#This Row],[Vlr unit]]</f>
        <v>0</v>
      </c>
      <c r="L940" s="6">
        <f>IFERROR(IF(INDEX(tProdutos[Desconto homologado],MATCH(tItens[[#This Row],[Produto]],tProdutos[Produto],0))="",DescontoPadrao,INDEX(tProdutos[Desconto homologado],MATCH(tItens[[#This Row],[Produto]],tProdutos[Produto],0))),DescontoPadrao)</f>
        <v>0.38432036097010702</v>
      </c>
      <c r="M940" s="12">
        <f>tItens[[#This Row],[Valor]]*(1-tItens[[#This Row],[Desconto]])</f>
        <v>0</v>
      </c>
      <c r="N940" t="str">
        <f>IFERROR(INDEX(tProdutos[Foco],MATCH(tItens[[#This Row],[Produto]],tProdutos[Produto],0)),"Não")</f>
        <v>Não</v>
      </c>
      <c r="O940" t="str">
        <f>IFERROR(INDEX(tEditais[SRP],MATCH(tItens[[#This Row],[Edital]],tEditais[Edital],0)),"Não")</f>
        <v>Não</v>
      </c>
      <c r="P940" s="4">
        <f>IF(COUNTIFS(INDEX(tItens[Edital],1):tItens[[#This Row],[Edital]],tItens[[#This Row],[Edital]],INDEX(tItens[Produto],1):tItens[[#This Row],[Produto]],tItens[[#This Row],[Produto]])=1,1,0)</f>
        <v>0</v>
      </c>
    </row>
    <row r="941" spans="1:16" x14ac:dyDescent="0.25">
      <c r="A941" t="s">
        <v>1030</v>
      </c>
      <c r="B941">
        <v>43748</v>
      </c>
      <c r="C941" t="s">
        <v>4102</v>
      </c>
      <c r="D941" t="s">
        <v>281</v>
      </c>
      <c r="E941" s="13">
        <v>281250</v>
      </c>
      <c r="F941" s="12">
        <v>0</v>
      </c>
      <c r="G941" t="str">
        <f>IFERROR(INDEX(tEditais[Órgão],MATCH(tItens[[#This Row],[Edital]],tEditais[Edital],0)),"")</f>
        <v>MUNICIPIO DE FORTALEZA</v>
      </c>
      <c r="H941" t="str">
        <f>IFERROR(INDEX(tEditais[UF],MATCH(tItens[[#This Row],[Edital]],tEditais[Edital],0)),"")</f>
        <v>CE</v>
      </c>
      <c r="I941" s="11">
        <f>IFERROR(INDEX(tEditais[Encerramento],MATCH(tItens[[#This Row],[Edital]],tEditais[Edital],0)),"")</f>
        <v>46311.375</v>
      </c>
      <c r="J941" t="str">
        <f>IFERROR(INDEX(tProdutos[Classe],MATCH(tItens[[#This Row],[Produto]],tProdutos[Produto],0)),"produto não cadastrado")</f>
        <v>DISPUTADO</v>
      </c>
      <c r="K941" s="12">
        <f>tItens[[#This Row],[Qtd]]*tItens[[#This Row],[Vlr unit]]</f>
        <v>0</v>
      </c>
      <c r="L941" s="6">
        <f>IFERROR(IF(INDEX(tProdutos[Desconto homologado],MATCH(tItens[[#This Row],[Produto]],tProdutos[Produto],0))="",DescontoPadrao,INDEX(tProdutos[Desconto homologado],MATCH(tItens[[#This Row],[Produto]],tProdutos[Produto],0))),DescontoPadrao)</f>
        <v>0.42461538461538501</v>
      </c>
      <c r="M941" s="12">
        <f>tItens[[#This Row],[Valor]]*(1-tItens[[#This Row],[Desconto]])</f>
        <v>0</v>
      </c>
      <c r="N941" t="str">
        <f>IFERROR(INDEX(tProdutos[Foco],MATCH(tItens[[#This Row],[Produto]],tProdutos[Produto],0)),"Não")</f>
        <v>Não</v>
      </c>
      <c r="O941" t="str">
        <f>IFERROR(INDEX(tEditais[SRP],MATCH(tItens[[#This Row],[Edital]],tEditais[Edital],0)),"Não")</f>
        <v>Não</v>
      </c>
      <c r="P941" s="4">
        <f>IF(COUNTIFS(INDEX(tItens[Edital],1):tItens[[#This Row],[Edital]],tItens[[#This Row],[Edital]],INDEX(tItens[Produto],1):tItens[[#This Row],[Produto]],tItens[[#This Row],[Produto]])=1,1,0)</f>
        <v>1</v>
      </c>
    </row>
    <row r="942" spans="1:16" x14ac:dyDescent="0.25">
      <c r="A942" t="s">
        <v>1030</v>
      </c>
      <c r="B942">
        <v>43749</v>
      </c>
      <c r="C942" t="s">
        <v>4102</v>
      </c>
      <c r="D942" t="s">
        <v>281</v>
      </c>
      <c r="E942" s="13">
        <v>843750</v>
      </c>
      <c r="F942" s="12">
        <v>0</v>
      </c>
      <c r="G942" t="str">
        <f>IFERROR(INDEX(tEditais[Órgão],MATCH(tItens[[#This Row],[Edital]],tEditais[Edital],0)),"")</f>
        <v>MUNICIPIO DE FORTALEZA</v>
      </c>
      <c r="H942" t="str">
        <f>IFERROR(INDEX(tEditais[UF],MATCH(tItens[[#This Row],[Edital]],tEditais[Edital],0)),"")</f>
        <v>CE</v>
      </c>
      <c r="I942" s="11">
        <f>IFERROR(INDEX(tEditais[Encerramento],MATCH(tItens[[#This Row],[Edital]],tEditais[Edital],0)),"")</f>
        <v>46311.375</v>
      </c>
      <c r="J942" t="str">
        <f>IFERROR(INDEX(tProdutos[Classe],MATCH(tItens[[#This Row],[Produto]],tProdutos[Produto],0)),"produto não cadastrado")</f>
        <v>DISPUTADO</v>
      </c>
      <c r="K942" s="12">
        <f>tItens[[#This Row],[Qtd]]*tItens[[#This Row],[Vlr unit]]</f>
        <v>0</v>
      </c>
      <c r="L942" s="6">
        <f>IFERROR(IF(INDEX(tProdutos[Desconto homologado],MATCH(tItens[[#This Row],[Produto]],tProdutos[Produto],0))="",DescontoPadrao,INDEX(tProdutos[Desconto homologado],MATCH(tItens[[#This Row],[Produto]],tProdutos[Produto],0))),DescontoPadrao)</f>
        <v>0.42461538461538501</v>
      </c>
      <c r="M942" s="12">
        <f>tItens[[#This Row],[Valor]]*(1-tItens[[#This Row],[Desconto]])</f>
        <v>0</v>
      </c>
      <c r="N942" t="str">
        <f>IFERROR(INDEX(tProdutos[Foco],MATCH(tItens[[#This Row],[Produto]],tProdutos[Produto],0)),"Não")</f>
        <v>Não</v>
      </c>
      <c r="O942" t="str">
        <f>IFERROR(INDEX(tEditais[SRP],MATCH(tItens[[#This Row],[Edital]],tEditais[Edital],0)),"Não")</f>
        <v>Não</v>
      </c>
      <c r="P942" s="4">
        <f>IF(COUNTIFS(INDEX(tItens[Edital],1):tItens[[#This Row],[Edital]],tItens[[#This Row],[Edital]],INDEX(tItens[Produto],1):tItens[[#This Row],[Produto]],tItens[[#This Row],[Produto]])=1,1,0)</f>
        <v>0</v>
      </c>
    </row>
    <row r="943" spans="1:16" x14ac:dyDescent="0.25">
      <c r="A943" t="s">
        <v>1030</v>
      </c>
      <c r="B943">
        <v>43750</v>
      </c>
      <c r="C943" t="s">
        <v>4103</v>
      </c>
      <c r="D943" t="s">
        <v>281</v>
      </c>
      <c r="E943" s="13">
        <v>96187</v>
      </c>
      <c r="F943" s="12">
        <v>0</v>
      </c>
      <c r="G943" t="str">
        <f>IFERROR(INDEX(tEditais[Órgão],MATCH(tItens[[#This Row],[Edital]],tEditais[Edital],0)),"")</f>
        <v>MUNICIPIO DE FORTALEZA</v>
      </c>
      <c r="H943" t="str">
        <f>IFERROR(INDEX(tEditais[UF],MATCH(tItens[[#This Row],[Edital]],tEditais[Edital],0)),"")</f>
        <v>CE</v>
      </c>
      <c r="I943" s="11">
        <f>IFERROR(INDEX(tEditais[Encerramento],MATCH(tItens[[#This Row],[Edital]],tEditais[Edital],0)),"")</f>
        <v>46311.375</v>
      </c>
      <c r="J943" t="str">
        <f>IFERROR(INDEX(tProdutos[Classe],MATCH(tItens[[#This Row],[Produto]],tProdutos[Produto],0)),"produto não cadastrado")</f>
        <v>DISPUTADO</v>
      </c>
      <c r="K943" s="12">
        <f>tItens[[#This Row],[Qtd]]*tItens[[#This Row],[Vlr unit]]</f>
        <v>0</v>
      </c>
      <c r="L943" s="6">
        <f>IFERROR(IF(INDEX(tProdutos[Desconto homologado],MATCH(tItens[[#This Row],[Produto]],tProdutos[Produto],0))="",DescontoPadrao,INDEX(tProdutos[Desconto homologado],MATCH(tItens[[#This Row],[Produto]],tProdutos[Produto],0))),DescontoPadrao)</f>
        <v>0.42461538461538501</v>
      </c>
      <c r="M943" s="12">
        <f>tItens[[#This Row],[Valor]]*(1-tItens[[#This Row],[Desconto]])</f>
        <v>0</v>
      </c>
      <c r="N943" t="str">
        <f>IFERROR(INDEX(tProdutos[Foco],MATCH(tItens[[#This Row],[Produto]],tProdutos[Produto],0)),"Não")</f>
        <v>Não</v>
      </c>
      <c r="O943" t="str">
        <f>IFERROR(INDEX(tEditais[SRP],MATCH(tItens[[#This Row],[Edital]],tEditais[Edital],0)),"Não")</f>
        <v>Não</v>
      </c>
      <c r="P943" s="4">
        <f>IF(COUNTIFS(INDEX(tItens[Edital],1):tItens[[#This Row],[Edital]],tItens[[#This Row],[Edital]],INDEX(tItens[Produto],1):tItens[[#This Row],[Produto]],tItens[[#This Row],[Produto]])=1,1,0)</f>
        <v>0</v>
      </c>
    </row>
    <row r="944" spans="1:16" x14ac:dyDescent="0.25">
      <c r="A944" t="s">
        <v>1030</v>
      </c>
      <c r="B944">
        <v>43751</v>
      </c>
      <c r="C944" t="s">
        <v>4103</v>
      </c>
      <c r="D944" t="s">
        <v>281</v>
      </c>
      <c r="E944" s="13">
        <v>288563</v>
      </c>
      <c r="F944" s="12">
        <v>0</v>
      </c>
      <c r="G944" t="str">
        <f>IFERROR(INDEX(tEditais[Órgão],MATCH(tItens[[#This Row],[Edital]],tEditais[Edital],0)),"")</f>
        <v>MUNICIPIO DE FORTALEZA</v>
      </c>
      <c r="H944" t="str">
        <f>IFERROR(INDEX(tEditais[UF],MATCH(tItens[[#This Row],[Edital]],tEditais[Edital],0)),"")</f>
        <v>CE</v>
      </c>
      <c r="I944" s="11">
        <f>IFERROR(INDEX(tEditais[Encerramento],MATCH(tItens[[#This Row],[Edital]],tEditais[Edital],0)),"")</f>
        <v>46311.375</v>
      </c>
      <c r="J944" t="str">
        <f>IFERROR(INDEX(tProdutos[Classe],MATCH(tItens[[#This Row],[Produto]],tProdutos[Produto],0)),"produto não cadastrado")</f>
        <v>DISPUTADO</v>
      </c>
      <c r="K944" s="12">
        <f>tItens[[#This Row],[Qtd]]*tItens[[#This Row],[Vlr unit]]</f>
        <v>0</v>
      </c>
      <c r="L944" s="6">
        <f>IFERROR(IF(INDEX(tProdutos[Desconto homologado],MATCH(tItens[[#This Row],[Produto]],tProdutos[Produto],0))="",DescontoPadrao,INDEX(tProdutos[Desconto homologado],MATCH(tItens[[#This Row],[Produto]],tProdutos[Produto],0))),DescontoPadrao)</f>
        <v>0.42461538461538501</v>
      </c>
      <c r="M944" s="12">
        <f>tItens[[#This Row],[Valor]]*(1-tItens[[#This Row],[Desconto]])</f>
        <v>0</v>
      </c>
      <c r="N944" t="str">
        <f>IFERROR(INDEX(tProdutos[Foco],MATCH(tItens[[#This Row],[Produto]],tProdutos[Produto],0)),"Não")</f>
        <v>Não</v>
      </c>
      <c r="O944" t="str">
        <f>IFERROR(INDEX(tEditais[SRP],MATCH(tItens[[#This Row],[Edital]],tEditais[Edital],0)),"Não")</f>
        <v>Não</v>
      </c>
      <c r="P944" s="4">
        <f>IF(COUNTIFS(INDEX(tItens[Edital],1):tItens[[#This Row],[Edital]],tItens[[#This Row],[Edital]],INDEX(tItens[Produto],1):tItens[[#This Row],[Produto]],tItens[[#This Row],[Produto]])=1,1,0)</f>
        <v>0</v>
      </c>
    </row>
    <row r="945" spans="1:16" x14ac:dyDescent="0.25">
      <c r="A945" t="s">
        <v>1030</v>
      </c>
      <c r="B945">
        <v>43752</v>
      </c>
      <c r="C945" t="s">
        <v>4104</v>
      </c>
      <c r="D945" t="s">
        <v>289</v>
      </c>
      <c r="E945" s="13">
        <v>300000</v>
      </c>
      <c r="F945" s="12">
        <v>0</v>
      </c>
      <c r="G945" t="str">
        <f>IFERROR(INDEX(tEditais[Órgão],MATCH(tItens[[#This Row],[Edital]],tEditais[Edital],0)),"")</f>
        <v>MUNICIPIO DE FORTALEZA</v>
      </c>
      <c r="H945" t="str">
        <f>IFERROR(INDEX(tEditais[UF],MATCH(tItens[[#This Row],[Edital]],tEditais[Edital],0)),"")</f>
        <v>CE</v>
      </c>
      <c r="I945" s="11">
        <f>IFERROR(INDEX(tEditais[Encerramento],MATCH(tItens[[#This Row],[Edital]],tEditais[Edital],0)),"")</f>
        <v>46311.375</v>
      </c>
      <c r="J945" t="str">
        <f>IFERROR(INDEX(tProdutos[Classe],MATCH(tItens[[#This Row],[Produto]],tProdutos[Produto],0)),"produto não cadastrado")</f>
        <v>DISPUTADO</v>
      </c>
      <c r="K945" s="12">
        <f>tItens[[#This Row],[Qtd]]*tItens[[#This Row],[Vlr unit]]</f>
        <v>0</v>
      </c>
      <c r="L945" s="6">
        <f>IFERROR(IF(INDEX(tProdutos[Desconto homologado],MATCH(tItens[[#This Row],[Produto]],tProdutos[Produto],0))="",DescontoPadrao,INDEX(tProdutos[Desconto homologado],MATCH(tItens[[#This Row],[Produto]],tProdutos[Produto],0))),DescontoPadrao)</f>
        <v>0.35849056603773599</v>
      </c>
      <c r="M945" s="12">
        <f>tItens[[#This Row],[Valor]]*(1-tItens[[#This Row],[Desconto]])</f>
        <v>0</v>
      </c>
      <c r="N945" t="str">
        <f>IFERROR(INDEX(tProdutos[Foco],MATCH(tItens[[#This Row],[Produto]],tProdutos[Produto],0)),"Não")</f>
        <v>Não</v>
      </c>
      <c r="O945" t="str">
        <f>IFERROR(INDEX(tEditais[SRP],MATCH(tItens[[#This Row],[Edital]],tEditais[Edital],0)),"Não")</f>
        <v>Não</v>
      </c>
      <c r="P945" s="4">
        <f>IF(COUNTIFS(INDEX(tItens[Edital],1):tItens[[#This Row],[Edital]],tItens[[#This Row],[Edital]],INDEX(tItens[Produto],1):tItens[[#This Row],[Produto]],tItens[[#This Row],[Produto]])=1,1,0)</f>
        <v>1</v>
      </c>
    </row>
    <row r="946" spans="1:16" x14ac:dyDescent="0.25">
      <c r="A946" t="s">
        <v>1030</v>
      </c>
      <c r="B946">
        <v>43753</v>
      </c>
      <c r="C946" t="s">
        <v>4104</v>
      </c>
      <c r="D946" t="s">
        <v>289</v>
      </c>
      <c r="E946" s="13">
        <v>900000</v>
      </c>
      <c r="F946" s="12">
        <v>0</v>
      </c>
      <c r="G946" t="str">
        <f>IFERROR(INDEX(tEditais[Órgão],MATCH(tItens[[#This Row],[Edital]],tEditais[Edital],0)),"")</f>
        <v>MUNICIPIO DE FORTALEZA</v>
      </c>
      <c r="H946" t="str">
        <f>IFERROR(INDEX(tEditais[UF],MATCH(tItens[[#This Row],[Edital]],tEditais[Edital],0)),"")</f>
        <v>CE</v>
      </c>
      <c r="I946" s="11">
        <f>IFERROR(INDEX(tEditais[Encerramento],MATCH(tItens[[#This Row],[Edital]],tEditais[Edital],0)),"")</f>
        <v>46311.375</v>
      </c>
      <c r="J946" t="str">
        <f>IFERROR(INDEX(tProdutos[Classe],MATCH(tItens[[#This Row],[Produto]],tProdutos[Produto],0)),"produto não cadastrado")</f>
        <v>DISPUTADO</v>
      </c>
      <c r="K946" s="12">
        <f>tItens[[#This Row],[Qtd]]*tItens[[#This Row],[Vlr unit]]</f>
        <v>0</v>
      </c>
      <c r="L946" s="6">
        <f>IFERROR(IF(INDEX(tProdutos[Desconto homologado],MATCH(tItens[[#This Row],[Produto]],tProdutos[Produto],0))="",DescontoPadrao,INDEX(tProdutos[Desconto homologado],MATCH(tItens[[#This Row],[Produto]],tProdutos[Produto],0))),DescontoPadrao)</f>
        <v>0.35849056603773599</v>
      </c>
      <c r="M946" s="12">
        <f>tItens[[#This Row],[Valor]]*(1-tItens[[#This Row],[Desconto]])</f>
        <v>0</v>
      </c>
      <c r="N946" t="str">
        <f>IFERROR(INDEX(tProdutos[Foco],MATCH(tItens[[#This Row],[Produto]],tProdutos[Produto],0)),"Não")</f>
        <v>Não</v>
      </c>
      <c r="O946" t="str">
        <f>IFERROR(INDEX(tEditais[SRP],MATCH(tItens[[#This Row],[Edital]],tEditais[Edital],0)),"Não")</f>
        <v>Não</v>
      </c>
      <c r="P946" s="4">
        <f>IF(COUNTIFS(INDEX(tItens[Edital],1):tItens[[#This Row],[Edital]],tItens[[#This Row],[Edital]],INDEX(tItens[Produto],1):tItens[[#This Row],[Produto]],tItens[[#This Row],[Produto]])=1,1,0)</f>
        <v>0</v>
      </c>
    </row>
    <row r="947" spans="1:16" x14ac:dyDescent="0.25">
      <c r="A947" t="s">
        <v>1030</v>
      </c>
      <c r="B947">
        <v>43754</v>
      </c>
      <c r="C947" t="s">
        <v>4013</v>
      </c>
      <c r="D947" t="s">
        <v>303</v>
      </c>
      <c r="E947" s="13">
        <v>565312</v>
      </c>
      <c r="F947" s="12">
        <v>0</v>
      </c>
      <c r="G947" t="str">
        <f>IFERROR(INDEX(tEditais[Órgão],MATCH(tItens[[#This Row],[Edital]],tEditais[Edital],0)),"")</f>
        <v>MUNICIPIO DE FORTALEZA</v>
      </c>
      <c r="H947" t="str">
        <f>IFERROR(INDEX(tEditais[UF],MATCH(tItens[[#This Row],[Edital]],tEditais[Edital],0)),"")</f>
        <v>CE</v>
      </c>
      <c r="I947" s="11">
        <f>IFERROR(INDEX(tEditais[Encerramento],MATCH(tItens[[#This Row],[Edital]],tEditais[Edital],0)),"")</f>
        <v>46311.375</v>
      </c>
      <c r="J947" t="str">
        <f>IFERROR(INDEX(tProdutos[Classe],MATCH(tItens[[#This Row],[Produto]],tProdutos[Produto],0)),"produto não cadastrado")</f>
        <v>FORA</v>
      </c>
      <c r="K947" s="12">
        <f>tItens[[#This Row],[Qtd]]*tItens[[#This Row],[Vlr unit]]</f>
        <v>0</v>
      </c>
      <c r="L947" s="6">
        <f>IFERROR(IF(INDEX(tProdutos[Desconto homologado],MATCH(tItens[[#This Row],[Produto]],tProdutos[Produto],0))="",DescontoPadrao,INDEX(tProdutos[Desconto homologado],MATCH(tItens[[#This Row],[Produto]],tProdutos[Produto],0))),DescontoPadrao)</f>
        <v>0.35748048048048098</v>
      </c>
      <c r="M947" s="12">
        <f>tItens[[#This Row],[Valor]]*(1-tItens[[#This Row],[Desconto]])</f>
        <v>0</v>
      </c>
      <c r="N947" t="str">
        <f>IFERROR(INDEX(tProdutos[Foco],MATCH(tItens[[#This Row],[Produto]],tProdutos[Produto],0)),"Não")</f>
        <v>Não</v>
      </c>
      <c r="O947" t="str">
        <f>IFERROR(INDEX(tEditais[SRP],MATCH(tItens[[#This Row],[Edital]],tEditais[Edital],0)),"Não")</f>
        <v>Não</v>
      </c>
      <c r="P947" s="4">
        <f>IF(COUNTIFS(INDEX(tItens[Edital],1):tItens[[#This Row],[Edital]],tItens[[#This Row],[Edital]],INDEX(tItens[Produto],1):tItens[[#This Row],[Produto]],tItens[[#This Row],[Produto]])=1,1,0)</f>
        <v>1</v>
      </c>
    </row>
    <row r="948" spans="1:16" x14ac:dyDescent="0.25">
      <c r="A948" t="s">
        <v>1030</v>
      </c>
      <c r="B948">
        <v>43755</v>
      </c>
      <c r="C948" t="s">
        <v>4013</v>
      </c>
      <c r="D948" t="s">
        <v>303</v>
      </c>
      <c r="E948" s="13">
        <v>1695938</v>
      </c>
      <c r="F948" s="12">
        <v>0</v>
      </c>
      <c r="G948" t="str">
        <f>IFERROR(INDEX(tEditais[Órgão],MATCH(tItens[[#This Row],[Edital]],tEditais[Edital],0)),"")</f>
        <v>MUNICIPIO DE FORTALEZA</v>
      </c>
      <c r="H948" t="str">
        <f>IFERROR(INDEX(tEditais[UF],MATCH(tItens[[#This Row],[Edital]],tEditais[Edital],0)),"")</f>
        <v>CE</v>
      </c>
      <c r="I948" s="11">
        <f>IFERROR(INDEX(tEditais[Encerramento],MATCH(tItens[[#This Row],[Edital]],tEditais[Edital],0)),"")</f>
        <v>46311.375</v>
      </c>
      <c r="J948" t="str">
        <f>IFERROR(INDEX(tProdutos[Classe],MATCH(tItens[[#This Row],[Produto]],tProdutos[Produto],0)),"produto não cadastrado")</f>
        <v>FORA</v>
      </c>
      <c r="K948" s="12">
        <f>tItens[[#This Row],[Qtd]]*tItens[[#This Row],[Vlr unit]]</f>
        <v>0</v>
      </c>
      <c r="L948" s="6">
        <f>IFERROR(IF(INDEX(tProdutos[Desconto homologado],MATCH(tItens[[#This Row],[Produto]],tProdutos[Produto],0))="",DescontoPadrao,INDEX(tProdutos[Desconto homologado],MATCH(tItens[[#This Row],[Produto]],tProdutos[Produto],0))),DescontoPadrao)</f>
        <v>0.35748048048048098</v>
      </c>
      <c r="M948" s="12">
        <f>tItens[[#This Row],[Valor]]*(1-tItens[[#This Row],[Desconto]])</f>
        <v>0</v>
      </c>
      <c r="N948" t="str">
        <f>IFERROR(INDEX(tProdutos[Foco],MATCH(tItens[[#This Row],[Produto]],tProdutos[Produto],0)),"Não")</f>
        <v>Não</v>
      </c>
      <c r="O948" t="str">
        <f>IFERROR(INDEX(tEditais[SRP],MATCH(tItens[[#This Row],[Edital]],tEditais[Edital],0)),"Não")</f>
        <v>Não</v>
      </c>
      <c r="P948" s="4">
        <f>IF(COUNTIFS(INDEX(tItens[Edital],1):tItens[[#This Row],[Edital]],tItens[[#This Row],[Edital]],INDEX(tItens[Produto],1):tItens[[#This Row],[Produto]],tItens[[#This Row],[Produto]])=1,1,0)</f>
        <v>0</v>
      </c>
    </row>
    <row r="949" spans="1:16" x14ac:dyDescent="0.25">
      <c r="A949" t="s">
        <v>1030</v>
      </c>
      <c r="B949">
        <v>43756</v>
      </c>
      <c r="C949" t="s">
        <v>4105</v>
      </c>
      <c r="D949" t="s">
        <v>283</v>
      </c>
      <c r="E949" s="13">
        <v>281812</v>
      </c>
      <c r="F949" s="12">
        <v>0</v>
      </c>
      <c r="G949" t="str">
        <f>IFERROR(INDEX(tEditais[Órgão],MATCH(tItens[[#This Row],[Edital]],tEditais[Edital],0)),"")</f>
        <v>MUNICIPIO DE FORTALEZA</v>
      </c>
      <c r="H949" t="str">
        <f>IFERROR(INDEX(tEditais[UF],MATCH(tItens[[#This Row],[Edital]],tEditais[Edital],0)),"")</f>
        <v>CE</v>
      </c>
      <c r="I949" s="11">
        <f>IFERROR(INDEX(tEditais[Encerramento],MATCH(tItens[[#This Row],[Edital]],tEditais[Edital],0)),"")</f>
        <v>46311.375</v>
      </c>
      <c r="J949" t="str">
        <f>IFERROR(INDEX(tProdutos[Classe],MATCH(tItens[[#This Row],[Produto]],tProdutos[Produto],0)),"produto não cadastrado")</f>
        <v>FORA</v>
      </c>
      <c r="K949" s="12">
        <f>tItens[[#This Row],[Qtd]]*tItens[[#This Row],[Vlr unit]]</f>
        <v>0</v>
      </c>
      <c r="L949" s="6">
        <f>IFERROR(IF(INDEX(tProdutos[Desconto homologado],MATCH(tItens[[#This Row],[Produto]],tProdutos[Produto],0))="",DescontoPadrao,INDEX(tProdutos[Desconto homologado],MATCH(tItens[[#This Row],[Produto]],tProdutos[Produto],0))),DescontoPadrao)</f>
        <v>0.40540540540540498</v>
      </c>
      <c r="M949" s="12">
        <f>tItens[[#This Row],[Valor]]*(1-tItens[[#This Row],[Desconto]])</f>
        <v>0</v>
      </c>
      <c r="N949" t="str">
        <f>IFERROR(INDEX(tProdutos[Foco],MATCH(tItens[[#This Row],[Produto]],tProdutos[Produto],0)),"Não")</f>
        <v>Não</v>
      </c>
      <c r="O949" t="str">
        <f>IFERROR(INDEX(tEditais[SRP],MATCH(tItens[[#This Row],[Edital]],tEditais[Edital],0)),"Não")</f>
        <v>Não</v>
      </c>
      <c r="P949" s="4">
        <f>IF(COUNTIFS(INDEX(tItens[Edital],1):tItens[[#This Row],[Edital]],tItens[[#This Row],[Edital]],INDEX(tItens[Produto],1):tItens[[#This Row],[Produto]],tItens[[#This Row],[Produto]])=1,1,0)</f>
        <v>1</v>
      </c>
    </row>
    <row r="950" spans="1:16" x14ac:dyDescent="0.25">
      <c r="A950" t="s">
        <v>1030</v>
      </c>
      <c r="B950">
        <v>43757</v>
      </c>
      <c r="C950" t="s">
        <v>4105</v>
      </c>
      <c r="D950" t="s">
        <v>283</v>
      </c>
      <c r="E950" s="13">
        <v>845438</v>
      </c>
      <c r="F950" s="12">
        <v>0</v>
      </c>
      <c r="G950" t="str">
        <f>IFERROR(INDEX(tEditais[Órgão],MATCH(tItens[[#This Row],[Edital]],tEditais[Edital],0)),"")</f>
        <v>MUNICIPIO DE FORTALEZA</v>
      </c>
      <c r="H950" t="str">
        <f>IFERROR(INDEX(tEditais[UF],MATCH(tItens[[#This Row],[Edital]],tEditais[Edital],0)),"")</f>
        <v>CE</v>
      </c>
      <c r="I950" s="11">
        <f>IFERROR(INDEX(tEditais[Encerramento],MATCH(tItens[[#This Row],[Edital]],tEditais[Edital],0)),"")</f>
        <v>46311.375</v>
      </c>
      <c r="J950" t="str">
        <f>IFERROR(INDEX(tProdutos[Classe],MATCH(tItens[[#This Row],[Produto]],tProdutos[Produto],0)),"produto não cadastrado")</f>
        <v>FORA</v>
      </c>
      <c r="K950" s="12">
        <f>tItens[[#This Row],[Qtd]]*tItens[[#This Row],[Vlr unit]]</f>
        <v>0</v>
      </c>
      <c r="L950" s="6">
        <f>IFERROR(IF(INDEX(tProdutos[Desconto homologado],MATCH(tItens[[#This Row],[Produto]],tProdutos[Produto],0))="",DescontoPadrao,INDEX(tProdutos[Desconto homologado],MATCH(tItens[[#This Row],[Produto]],tProdutos[Produto],0))),DescontoPadrao)</f>
        <v>0.40540540540540498</v>
      </c>
      <c r="M950" s="12">
        <f>tItens[[#This Row],[Valor]]*(1-tItens[[#This Row],[Desconto]])</f>
        <v>0</v>
      </c>
      <c r="N950" t="str">
        <f>IFERROR(INDEX(tProdutos[Foco],MATCH(tItens[[#This Row],[Produto]],tProdutos[Produto],0)),"Não")</f>
        <v>Não</v>
      </c>
      <c r="O950" t="str">
        <f>IFERROR(INDEX(tEditais[SRP],MATCH(tItens[[#This Row],[Edital]],tEditais[Edital],0)),"Não")</f>
        <v>Não</v>
      </c>
      <c r="P950" s="4">
        <f>IF(COUNTIFS(INDEX(tItens[Edital],1):tItens[[#This Row],[Edital]],tItens[[#This Row],[Edital]],INDEX(tItens[Produto],1):tItens[[#This Row],[Produto]],tItens[[#This Row],[Produto]])=1,1,0)</f>
        <v>0</v>
      </c>
    </row>
    <row r="951" spans="1:16" x14ac:dyDescent="0.25">
      <c r="A951" t="s">
        <v>1030</v>
      </c>
      <c r="B951">
        <v>43758</v>
      </c>
      <c r="C951" t="s">
        <v>4106</v>
      </c>
      <c r="D951" t="s">
        <v>265</v>
      </c>
      <c r="E951" s="13">
        <v>236250</v>
      </c>
      <c r="F951" s="12">
        <v>0</v>
      </c>
      <c r="G951" t="str">
        <f>IFERROR(INDEX(tEditais[Órgão],MATCH(tItens[[#This Row],[Edital]],tEditais[Edital],0)),"")</f>
        <v>MUNICIPIO DE FORTALEZA</v>
      </c>
      <c r="H951" t="str">
        <f>IFERROR(INDEX(tEditais[UF],MATCH(tItens[[#This Row],[Edital]],tEditais[Edital],0)),"")</f>
        <v>CE</v>
      </c>
      <c r="I951" s="11">
        <f>IFERROR(INDEX(tEditais[Encerramento],MATCH(tItens[[#This Row],[Edital]],tEditais[Edital],0)),"")</f>
        <v>46311.375</v>
      </c>
      <c r="J951" t="str">
        <f>IFERROR(INDEX(tProdutos[Classe],MATCH(tItens[[#This Row],[Produto]],tProdutos[Produto],0)),"produto não cadastrado")</f>
        <v>DISPUTADO</v>
      </c>
      <c r="K951" s="12">
        <f>tItens[[#This Row],[Qtd]]*tItens[[#This Row],[Vlr unit]]</f>
        <v>0</v>
      </c>
      <c r="L951" s="6">
        <f>IFERROR(IF(INDEX(tProdutos[Desconto homologado],MATCH(tItens[[#This Row],[Produto]],tProdutos[Produto],0))="",DescontoPadrao,INDEX(tProdutos[Desconto homologado],MATCH(tItens[[#This Row],[Produto]],tProdutos[Produto],0))),DescontoPadrao)</f>
        <v>0.377587663709337</v>
      </c>
      <c r="M951" s="12">
        <f>tItens[[#This Row],[Valor]]*(1-tItens[[#This Row],[Desconto]])</f>
        <v>0</v>
      </c>
      <c r="N951" t="str">
        <f>IFERROR(INDEX(tProdutos[Foco],MATCH(tItens[[#This Row],[Produto]],tProdutos[Produto],0)),"Não")</f>
        <v>Não</v>
      </c>
      <c r="O951" t="str">
        <f>IFERROR(INDEX(tEditais[SRP],MATCH(tItens[[#This Row],[Edital]],tEditais[Edital],0)),"Não")</f>
        <v>Não</v>
      </c>
      <c r="P951" s="4">
        <f>IF(COUNTIFS(INDEX(tItens[Edital],1):tItens[[#This Row],[Edital]],tItens[[#This Row],[Edital]],INDEX(tItens[Produto],1):tItens[[#This Row],[Produto]],tItens[[#This Row],[Produto]])=1,1,0)</f>
        <v>1</v>
      </c>
    </row>
    <row r="952" spans="1:16" x14ac:dyDescent="0.25">
      <c r="A952" t="s">
        <v>1030</v>
      </c>
      <c r="B952">
        <v>43759</v>
      </c>
      <c r="C952" t="s">
        <v>4106</v>
      </c>
      <c r="D952" t="s">
        <v>265</v>
      </c>
      <c r="E952" s="13">
        <v>708750</v>
      </c>
      <c r="F952" s="12">
        <v>0</v>
      </c>
      <c r="G952" t="str">
        <f>IFERROR(INDEX(tEditais[Órgão],MATCH(tItens[[#This Row],[Edital]],tEditais[Edital],0)),"")</f>
        <v>MUNICIPIO DE FORTALEZA</v>
      </c>
      <c r="H952" t="str">
        <f>IFERROR(INDEX(tEditais[UF],MATCH(tItens[[#This Row],[Edital]],tEditais[Edital],0)),"")</f>
        <v>CE</v>
      </c>
      <c r="I952" s="11">
        <f>IFERROR(INDEX(tEditais[Encerramento],MATCH(tItens[[#This Row],[Edital]],tEditais[Edital],0)),"")</f>
        <v>46311.375</v>
      </c>
      <c r="J952" t="str">
        <f>IFERROR(INDEX(tProdutos[Classe],MATCH(tItens[[#This Row],[Produto]],tProdutos[Produto],0)),"produto não cadastrado")</f>
        <v>DISPUTADO</v>
      </c>
      <c r="K952" s="12">
        <f>tItens[[#This Row],[Qtd]]*tItens[[#This Row],[Vlr unit]]</f>
        <v>0</v>
      </c>
      <c r="L952" s="6">
        <f>IFERROR(IF(INDEX(tProdutos[Desconto homologado],MATCH(tItens[[#This Row],[Produto]],tProdutos[Produto],0))="",DescontoPadrao,INDEX(tProdutos[Desconto homologado],MATCH(tItens[[#This Row],[Produto]],tProdutos[Produto],0))),DescontoPadrao)</f>
        <v>0.377587663709337</v>
      </c>
      <c r="M952" s="12">
        <f>tItens[[#This Row],[Valor]]*(1-tItens[[#This Row],[Desconto]])</f>
        <v>0</v>
      </c>
      <c r="N952" t="str">
        <f>IFERROR(INDEX(tProdutos[Foco],MATCH(tItens[[#This Row],[Produto]],tProdutos[Produto],0)),"Não")</f>
        <v>Não</v>
      </c>
      <c r="O952" t="str">
        <f>IFERROR(INDEX(tEditais[SRP],MATCH(tItens[[#This Row],[Edital]],tEditais[Edital],0)),"Não")</f>
        <v>Não</v>
      </c>
      <c r="P952" s="4">
        <f>IF(COUNTIFS(INDEX(tItens[Edital],1):tItens[[#This Row],[Edital]],tItens[[#This Row],[Edital]],INDEX(tItens[Produto],1):tItens[[#This Row],[Produto]],tItens[[#This Row],[Produto]])=1,1,0)</f>
        <v>0</v>
      </c>
    </row>
    <row r="953" spans="1:16" x14ac:dyDescent="0.25">
      <c r="A953" t="s">
        <v>1030</v>
      </c>
      <c r="B953">
        <v>43763</v>
      </c>
      <c r="C953" t="s">
        <v>4107</v>
      </c>
      <c r="D953" t="s">
        <v>275</v>
      </c>
      <c r="E953" s="13">
        <v>59062</v>
      </c>
      <c r="F953" s="12">
        <v>0</v>
      </c>
      <c r="G953" t="str">
        <f>IFERROR(INDEX(tEditais[Órgão],MATCH(tItens[[#This Row],[Edital]],tEditais[Edital],0)),"")</f>
        <v>MUNICIPIO DE FORTALEZA</v>
      </c>
      <c r="H953" t="str">
        <f>IFERROR(INDEX(tEditais[UF],MATCH(tItens[[#This Row],[Edital]],tEditais[Edital],0)),"")</f>
        <v>CE</v>
      </c>
      <c r="I953" s="11">
        <f>IFERROR(INDEX(tEditais[Encerramento],MATCH(tItens[[#This Row],[Edital]],tEditais[Edital],0)),"")</f>
        <v>46311.375</v>
      </c>
      <c r="J953" t="str">
        <f>IFERROR(INDEX(tProdutos[Classe],MATCH(tItens[[#This Row],[Produto]],tProdutos[Produto],0)),"produto não cadastrado")</f>
        <v>FORA</v>
      </c>
      <c r="K953" s="12">
        <f>tItens[[#This Row],[Qtd]]*tItens[[#This Row],[Vlr unit]]</f>
        <v>0</v>
      </c>
      <c r="L953" s="6">
        <f>IFERROR(IF(INDEX(tProdutos[Desconto homologado],MATCH(tItens[[#This Row],[Produto]],tProdutos[Produto],0))="",DescontoPadrao,INDEX(tProdutos[Desconto homologado],MATCH(tItens[[#This Row],[Produto]],tProdutos[Produto],0))),DescontoPadrao)</f>
        <v>0.405797101449275</v>
      </c>
      <c r="M953" s="12">
        <f>tItens[[#This Row],[Valor]]*(1-tItens[[#This Row],[Desconto]])</f>
        <v>0</v>
      </c>
      <c r="N953" t="str">
        <f>IFERROR(INDEX(tProdutos[Foco],MATCH(tItens[[#This Row],[Produto]],tProdutos[Produto],0)),"Não")</f>
        <v>Não</v>
      </c>
      <c r="O953" t="str">
        <f>IFERROR(INDEX(tEditais[SRP],MATCH(tItens[[#This Row],[Edital]],tEditais[Edital],0)),"Não")</f>
        <v>Não</v>
      </c>
      <c r="P953" s="4">
        <f>IF(COUNTIFS(INDEX(tItens[Edital],1):tItens[[#This Row],[Edital]],tItens[[#This Row],[Edital]],INDEX(tItens[Produto],1):tItens[[#This Row],[Produto]],tItens[[#This Row],[Produto]])=1,1,0)</f>
        <v>1</v>
      </c>
    </row>
    <row r="954" spans="1:16" x14ac:dyDescent="0.25">
      <c r="A954" t="s">
        <v>1030</v>
      </c>
      <c r="B954">
        <v>43764</v>
      </c>
      <c r="C954" t="s">
        <v>4107</v>
      </c>
      <c r="D954" t="s">
        <v>275</v>
      </c>
      <c r="E954" s="13">
        <v>177188</v>
      </c>
      <c r="F954" s="12">
        <v>0</v>
      </c>
      <c r="G954" t="str">
        <f>IFERROR(INDEX(tEditais[Órgão],MATCH(tItens[[#This Row],[Edital]],tEditais[Edital],0)),"")</f>
        <v>MUNICIPIO DE FORTALEZA</v>
      </c>
      <c r="H954" t="str">
        <f>IFERROR(INDEX(tEditais[UF],MATCH(tItens[[#This Row],[Edital]],tEditais[Edital],0)),"")</f>
        <v>CE</v>
      </c>
      <c r="I954" s="11">
        <f>IFERROR(INDEX(tEditais[Encerramento],MATCH(tItens[[#This Row],[Edital]],tEditais[Edital],0)),"")</f>
        <v>46311.375</v>
      </c>
      <c r="J954" t="str">
        <f>IFERROR(INDEX(tProdutos[Classe],MATCH(tItens[[#This Row],[Produto]],tProdutos[Produto],0)),"produto não cadastrado")</f>
        <v>FORA</v>
      </c>
      <c r="K954" s="12">
        <f>tItens[[#This Row],[Qtd]]*tItens[[#This Row],[Vlr unit]]</f>
        <v>0</v>
      </c>
      <c r="L954" s="6">
        <f>IFERROR(IF(INDEX(tProdutos[Desconto homologado],MATCH(tItens[[#This Row],[Produto]],tProdutos[Produto],0))="",DescontoPadrao,INDEX(tProdutos[Desconto homologado],MATCH(tItens[[#This Row],[Produto]],tProdutos[Produto],0))),DescontoPadrao)</f>
        <v>0.405797101449275</v>
      </c>
      <c r="M954" s="12">
        <f>tItens[[#This Row],[Valor]]*(1-tItens[[#This Row],[Desconto]])</f>
        <v>0</v>
      </c>
      <c r="N954" t="str">
        <f>IFERROR(INDEX(tProdutos[Foco],MATCH(tItens[[#This Row],[Produto]],tProdutos[Produto],0)),"Não")</f>
        <v>Não</v>
      </c>
      <c r="O954" t="str">
        <f>IFERROR(INDEX(tEditais[SRP],MATCH(tItens[[#This Row],[Edital]],tEditais[Edital],0)),"Não")</f>
        <v>Não</v>
      </c>
      <c r="P954" s="4">
        <f>IF(COUNTIFS(INDEX(tItens[Edital],1):tItens[[#This Row],[Edital]],tItens[[#This Row],[Edital]],INDEX(tItens[Produto],1):tItens[[#This Row],[Produto]],tItens[[#This Row],[Produto]])=1,1,0)</f>
        <v>0</v>
      </c>
    </row>
    <row r="955" spans="1:16" x14ac:dyDescent="0.25">
      <c r="A955" t="s">
        <v>1030</v>
      </c>
      <c r="B955">
        <v>43765</v>
      </c>
      <c r="C955" t="s">
        <v>4108</v>
      </c>
      <c r="D955" t="s">
        <v>317</v>
      </c>
      <c r="E955" s="13">
        <v>24750</v>
      </c>
      <c r="F955" s="12">
        <v>0</v>
      </c>
      <c r="G955" t="str">
        <f>IFERROR(INDEX(tEditais[Órgão],MATCH(tItens[[#This Row],[Edital]],tEditais[Edital],0)),"")</f>
        <v>MUNICIPIO DE FORTALEZA</v>
      </c>
      <c r="H955" t="str">
        <f>IFERROR(INDEX(tEditais[UF],MATCH(tItens[[#This Row],[Edital]],tEditais[Edital],0)),"")</f>
        <v>CE</v>
      </c>
      <c r="I955" s="11">
        <f>IFERROR(INDEX(tEditais[Encerramento],MATCH(tItens[[#This Row],[Edital]],tEditais[Edital],0)),"")</f>
        <v>46311.375</v>
      </c>
      <c r="J955" t="str">
        <f>IFERROR(INDEX(tProdutos[Classe],MATCH(tItens[[#This Row],[Produto]],tProdutos[Produto],0)),"produto não cadastrado")</f>
        <v>FORA</v>
      </c>
      <c r="K955" s="12">
        <f>tItens[[#This Row],[Qtd]]*tItens[[#This Row],[Vlr unit]]</f>
        <v>0</v>
      </c>
      <c r="L955" s="6">
        <f>IFERROR(IF(INDEX(tProdutos[Desconto homologado],MATCH(tItens[[#This Row],[Produto]],tProdutos[Produto],0))="",DescontoPadrao,INDEX(tProdutos[Desconto homologado],MATCH(tItens[[#This Row],[Produto]],tProdutos[Produto],0))),DescontoPadrao)</f>
        <v>0.5</v>
      </c>
      <c r="M955" s="12">
        <f>tItens[[#This Row],[Valor]]*(1-tItens[[#This Row],[Desconto]])</f>
        <v>0</v>
      </c>
      <c r="N955" t="str">
        <f>IFERROR(INDEX(tProdutos[Foco],MATCH(tItens[[#This Row],[Produto]],tProdutos[Produto],0)),"Não")</f>
        <v>Não</v>
      </c>
      <c r="O955" t="str">
        <f>IFERROR(INDEX(tEditais[SRP],MATCH(tItens[[#This Row],[Edital]],tEditais[Edital],0)),"Não")</f>
        <v>Não</v>
      </c>
      <c r="P955" s="4">
        <f>IF(COUNTIFS(INDEX(tItens[Edital],1):tItens[[#This Row],[Edital]],tItens[[#This Row],[Edital]],INDEX(tItens[Produto],1):tItens[[#This Row],[Produto]],tItens[[#This Row],[Produto]])=1,1,0)</f>
        <v>1</v>
      </c>
    </row>
    <row r="956" spans="1:16" x14ac:dyDescent="0.25">
      <c r="A956" t="s">
        <v>1030</v>
      </c>
      <c r="B956">
        <v>43766</v>
      </c>
      <c r="C956" t="s">
        <v>4108</v>
      </c>
      <c r="D956" t="s">
        <v>317</v>
      </c>
      <c r="E956" s="13">
        <v>74250</v>
      </c>
      <c r="F956" s="12">
        <v>0</v>
      </c>
      <c r="G956" t="str">
        <f>IFERROR(INDEX(tEditais[Órgão],MATCH(tItens[[#This Row],[Edital]],tEditais[Edital],0)),"")</f>
        <v>MUNICIPIO DE FORTALEZA</v>
      </c>
      <c r="H956" t="str">
        <f>IFERROR(INDEX(tEditais[UF],MATCH(tItens[[#This Row],[Edital]],tEditais[Edital],0)),"")</f>
        <v>CE</v>
      </c>
      <c r="I956" s="11">
        <f>IFERROR(INDEX(tEditais[Encerramento],MATCH(tItens[[#This Row],[Edital]],tEditais[Edital],0)),"")</f>
        <v>46311.375</v>
      </c>
      <c r="J956" t="str">
        <f>IFERROR(INDEX(tProdutos[Classe],MATCH(tItens[[#This Row],[Produto]],tProdutos[Produto],0)),"produto não cadastrado")</f>
        <v>FORA</v>
      </c>
      <c r="K956" s="12">
        <f>tItens[[#This Row],[Qtd]]*tItens[[#This Row],[Vlr unit]]</f>
        <v>0</v>
      </c>
      <c r="L956" s="6">
        <f>IFERROR(IF(INDEX(tProdutos[Desconto homologado],MATCH(tItens[[#This Row],[Produto]],tProdutos[Produto],0))="",DescontoPadrao,INDEX(tProdutos[Desconto homologado],MATCH(tItens[[#This Row],[Produto]],tProdutos[Produto],0))),DescontoPadrao)</f>
        <v>0.5</v>
      </c>
      <c r="M956" s="12">
        <f>tItens[[#This Row],[Valor]]*(1-tItens[[#This Row],[Desconto]])</f>
        <v>0</v>
      </c>
      <c r="N956" t="str">
        <f>IFERROR(INDEX(tProdutos[Foco],MATCH(tItens[[#This Row],[Produto]],tProdutos[Produto],0)),"Não")</f>
        <v>Não</v>
      </c>
      <c r="O956" t="str">
        <f>IFERROR(INDEX(tEditais[SRP],MATCH(tItens[[#This Row],[Edital]],tEditais[Edital],0)),"Não")</f>
        <v>Não</v>
      </c>
      <c r="P956" s="4">
        <f>IF(COUNTIFS(INDEX(tItens[Edital],1):tItens[[#This Row],[Edital]],tItens[[#This Row],[Edital]],INDEX(tItens[Produto],1):tItens[[#This Row],[Produto]],tItens[[#This Row],[Produto]])=1,1,0)</f>
        <v>0</v>
      </c>
    </row>
    <row r="957" spans="1:16" x14ac:dyDescent="0.25">
      <c r="A957" t="s">
        <v>1032</v>
      </c>
      <c r="B957">
        <v>1</v>
      </c>
      <c r="C957" t="s">
        <v>3483</v>
      </c>
      <c r="D957" t="s">
        <v>315</v>
      </c>
      <c r="E957" s="13">
        <v>421875</v>
      </c>
      <c r="F957" s="12">
        <v>0</v>
      </c>
      <c r="G957" t="str">
        <f>IFERROR(INDEX(tEditais[Órgão],MATCH(tItens[[#This Row],[Edital]],tEditais[Edital],0)),"")</f>
        <v>MUNICIPIO DE FORTALEZA</v>
      </c>
      <c r="H957" t="str">
        <f>IFERROR(INDEX(tEditais[UF],MATCH(tItens[[#This Row],[Edital]],tEditais[Edital],0)),"")</f>
        <v>CE</v>
      </c>
      <c r="I957" s="11">
        <f>IFERROR(INDEX(tEditais[Encerramento],MATCH(tItens[[#This Row],[Edital]],tEditais[Edital],0)),"")</f>
        <v>46311.375</v>
      </c>
      <c r="J957" t="str">
        <f>IFERROR(INDEX(tProdutos[Classe],MATCH(tItens[[#This Row],[Produto]],tProdutos[Produto],0)),"produto não cadastrado")</f>
        <v>FORA</v>
      </c>
      <c r="K957" s="12">
        <f>tItens[[#This Row],[Qtd]]*tItens[[#This Row],[Vlr unit]]</f>
        <v>0</v>
      </c>
      <c r="L957" s="6">
        <f>IFERROR(IF(INDEX(tProdutos[Desconto homologado],MATCH(tItens[[#This Row],[Produto]],tProdutos[Produto],0))="",DescontoPadrao,INDEX(tProdutos[Desconto homologado],MATCH(tItens[[#This Row],[Produto]],tProdutos[Produto],0))),DescontoPadrao)</f>
        <v>0.38432036097010702</v>
      </c>
      <c r="M957" s="12">
        <f>tItens[[#This Row],[Valor]]*(1-tItens[[#This Row],[Desconto]])</f>
        <v>0</v>
      </c>
      <c r="N957" t="str">
        <f>IFERROR(INDEX(tProdutos[Foco],MATCH(tItens[[#This Row],[Produto]],tProdutos[Produto],0)),"Não")</f>
        <v>Não</v>
      </c>
      <c r="O957" t="str">
        <f>IFERROR(INDEX(tEditais[SRP],MATCH(tItens[[#This Row],[Edital]],tEditais[Edital],0)),"Não")</f>
        <v>Sim</v>
      </c>
      <c r="P957" s="4">
        <f>IF(COUNTIFS(INDEX(tItens[Edital],1):tItens[[#This Row],[Edital]],tItens[[#This Row],[Edital]],INDEX(tItens[Produto],1):tItens[[#This Row],[Produto]],tItens[[#This Row],[Produto]])=1,1,0)</f>
        <v>1</v>
      </c>
    </row>
    <row r="958" spans="1:16" x14ac:dyDescent="0.25">
      <c r="A958" t="s">
        <v>1032</v>
      </c>
      <c r="B958">
        <v>2</v>
      </c>
      <c r="C958" t="s">
        <v>3483</v>
      </c>
      <c r="D958" t="s">
        <v>315</v>
      </c>
      <c r="E958" s="13">
        <v>140625</v>
      </c>
      <c r="F958" s="12">
        <v>0</v>
      </c>
      <c r="G958" t="str">
        <f>IFERROR(INDEX(tEditais[Órgão],MATCH(tItens[[#This Row],[Edital]],tEditais[Edital],0)),"")</f>
        <v>MUNICIPIO DE FORTALEZA</v>
      </c>
      <c r="H958" t="str">
        <f>IFERROR(INDEX(tEditais[UF],MATCH(tItens[[#This Row],[Edital]],tEditais[Edital],0)),"")</f>
        <v>CE</v>
      </c>
      <c r="I958" s="11">
        <f>IFERROR(INDEX(tEditais[Encerramento],MATCH(tItens[[#This Row],[Edital]],tEditais[Edital],0)),"")</f>
        <v>46311.375</v>
      </c>
      <c r="J958" t="str">
        <f>IFERROR(INDEX(tProdutos[Classe],MATCH(tItens[[#This Row],[Produto]],tProdutos[Produto],0)),"produto não cadastrado")</f>
        <v>FORA</v>
      </c>
      <c r="K958" s="12">
        <f>tItens[[#This Row],[Qtd]]*tItens[[#This Row],[Vlr unit]]</f>
        <v>0</v>
      </c>
      <c r="L958" s="6">
        <f>IFERROR(IF(INDEX(tProdutos[Desconto homologado],MATCH(tItens[[#This Row],[Produto]],tProdutos[Produto],0))="",DescontoPadrao,INDEX(tProdutos[Desconto homologado],MATCH(tItens[[#This Row],[Produto]],tProdutos[Produto],0))),DescontoPadrao)</f>
        <v>0.38432036097010702</v>
      </c>
      <c r="M958" s="12">
        <f>tItens[[#This Row],[Valor]]*(1-tItens[[#This Row],[Desconto]])</f>
        <v>0</v>
      </c>
      <c r="N958" t="str">
        <f>IFERROR(INDEX(tProdutos[Foco],MATCH(tItens[[#This Row],[Produto]],tProdutos[Produto],0)),"Não")</f>
        <v>Não</v>
      </c>
      <c r="O958" t="str">
        <f>IFERROR(INDEX(tEditais[SRP],MATCH(tItens[[#This Row],[Edital]],tEditais[Edital],0)),"Não")</f>
        <v>Sim</v>
      </c>
      <c r="P958" s="4">
        <f>IF(COUNTIFS(INDEX(tItens[Edital],1):tItens[[#This Row],[Edital]],tItens[[#This Row],[Edital]],INDEX(tItens[Produto],1):tItens[[#This Row],[Produto]],tItens[[#This Row],[Produto]])=1,1,0)</f>
        <v>0</v>
      </c>
    </row>
    <row r="959" spans="1:16" x14ac:dyDescent="0.25">
      <c r="A959" t="s">
        <v>1032</v>
      </c>
      <c r="B959">
        <v>3</v>
      </c>
      <c r="C959" t="s">
        <v>4109</v>
      </c>
      <c r="D959" t="s">
        <v>315</v>
      </c>
      <c r="E959" s="13">
        <v>253125</v>
      </c>
      <c r="F959" s="12">
        <v>0</v>
      </c>
      <c r="G959" t="str">
        <f>IFERROR(INDEX(tEditais[Órgão],MATCH(tItens[[#This Row],[Edital]],tEditais[Edital],0)),"")</f>
        <v>MUNICIPIO DE FORTALEZA</v>
      </c>
      <c r="H959" t="str">
        <f>IFERROR(INDEX(tEditais[UF],MATCH(tItens[[#This Row],[Edital]],tEditais[Edital],0)),"")</f>
        <v>CE</v>
      </c>
      <c r="I959" s="11">
        <f>IFERROR(INDEX(tEditais[Encerramento],MATCH(tItens[[#This Row],[Edital]],tEditais[Edital],0)),"")</f>
        <v>46311.375</v>
      </c>
      <c r="J959" t="str">
        <f>IFERROR(INDEX(tProdutos[Classe],MATCH(tItens[[#This Row],[Produto]],tProdutos[Produto],0)),"produto não cadastrado")</f>
        <v>FORA</v>
      </c>
      <c r="K959" s="12">
        <f>tItens[[#This Row],[Qtd]]*tItens[[#This Row],[Vlr unit]]</f>
        <v>0</v>
      </c>
      <c r="L959" s="6">
        <f>IFERROR(IF(INDEX(tProdutos[Desconto homologado],MATCH(tItens[[#This Row],[Produto]],tProdutos[Produto],0))="",DescontoPadrao,INDEX(tProdutos[Desconto homologado],MATCH(tItens[[#This Row],[Produto]],tProdutos[Produto],0))),DescontoPadrao)</f>
        <v>0.38432036097010702</v>
      </c>
      <c r="M959" s="12">
        <f>tItens[[#This Row],[Valor]]*(1-tItens[[#This Row],[Desconto]])</f>
        <v>0</v>
      </c>
      <c r="N959" t="str">
        <f>IFERROR(INDEX(tProdutos[Foco],MATCH(tItens[[#This Row],[Produto]],tProdutos[Produto],0)),"Não")</f>
        <v>Não</v>
      </c>
      <c r="O959" t="str">
        <f>IFERROR(INDEX(tEditais[SRP],MATCH(tItens[[#This Row],[Edital]],tEditais[Edital],0)),"Não")</f>
        <v>Sim</v>
      </c>
      <c r="P959" s="4">
        <f>IF(COUNTIFS(INDEX(tItens[Edital],1):tItens[[#This Row],[Edital]],tItens[[#This Row],[Edital]],INDEX(tItens[Produto],1):tItens[[#This Row],[Produto]],tItens[[#This Row],[Produto]])=1,1,0)</f>
        <v>0</v>
      </c>
    </row>
    <row r="960" spans="1:16" x14ac:dyDescent="0.25">
      <c r="A960" t="s">
        <v>1032</v>
      </c>
      <c r="B960">
        <v>4</v>
      </c>
      <c r="C960" t="s">
        <v>4109</v>
      </c>
      <c r="D960" t="s">
        <v>315</v>
      </c>
      <c r="E960" s="13">
        <v>84375</v>
      </c>
      <c r="F960" s="12">
        <v>0</v>
      </c>
      <c r="G960" t="str">
        <f>IFERROR(INDEX(tEditais[Órgão],MATCH(tItens[[#This Row],[Edital]],tEditais[Edital],0)),"")</f>
        <v>MUNICIPIO DE FORTALEZA</v>
      </c>
      <c r="H960" t="str">
        <f>IFERROR(INDEX(tEditais[UF],MATCH(tItens[[#This Row],[Edital]],tEditais[Edital],0)),"")</f>
        <v>CE</v>
      </c>
      <c r="I960" s="11">
        <f>IFERROR(INDEX(tEditais[Encerramento],MATCH(tItens[[#This Row],[Edital]],tEditais[Edital],0)),"")</f>
        <v>46311.375</v>
      </c>
      <c r="J960" t="str">
        <f>IFERROR(INDEX(tProdutos[Classe],MATCH(tItens[[#This Row],[Produto]],tProdutos[Produto],0)),"produto não cadastrado")</f>
        <v>FORA</v>
      </c>
      <c r="K960" s="12">
        <f>tItens[[#This Row],[Qtd]]*tItens[[#This Row],[Vlr unit]]</f>
        <v>0</v>
      </c>
      <c r="L960" s="6">
        <f>IFERROR(IF(INDEX(tProdutos[Desconto homologado],MATCH(tItens[[#This Row],[Produto]],tProdutos[Produto],0))="",DescontoPadrao,INDEX(tProdutos[Desconto homologado],MATCH(tItens[[#This Row],[Produto]],tProdutos[Produto],0))),DescontoPadrao)</f>
        <v>0.38432036097010702</v>
      </c>
      <c r="M960" s="12">
        <f>tItens[[#This Row],[Valor]]*(1-tItens[[#This Row],[Desconto]])</f>
        <v>0</v>
      </c>
      <c r="N960" t="str">
        <f>IFERROR(INDEX(tProdutos[Foco],MATCH(tItens[[#This Row],[Produto]],tProdutos[Produto],0)),"Não")</f>
        <v>Não</v>
      </c>
      <c r="O960" t="str">
        <f>IFERROR(INDEX(tEditais[SRP],MATCH(tItens[[#This Row],[Edital]],tEditais[Edital],0)),"Não")</f>
        <v>Sim</v>
      </c>
      <c r="P960" s="4">
        <f>IF(COUNTIFS(INDEX(tItens[Edital],1):tItens[[#This Row],[Edital]],tItens[[#This Row],[Edital]],INDEX(tItens[Produto],1):tItens[[#This Row],[Produto]],tItens[[#This Row],[Produto]])=1,1,0)</f>
        <v>0</v>
      </c>
    </row>
    <row r="961" spans="1:16" x14ac:dyDescent="0.25">
      <c r="A961" t="s">
        <v>1032</v>
      </c>
      <c r="B961">
        <v>5</v>
      </c>
      <c r="C961" t="s">
        <v>4110</v>
      </c>
      <c r="D961" t="s">
        <v>277</v>
      </c>
      <c r="E961" s="13">
        <v>506250</v>
      </c>
      <c r="F961" s="12">
        <v>0</v>
      </c>
      <c r="G961" t="str">
        <f>IFERROR(INDEX(tEditais[Órgão],MATCH(tItens[[#This Row],[Edital]],tEditais[Edital],0)),"")</f>
        <v>MUNICIPIO DE FORTALEZA</v>
      </c>
      <c r="H961" t="str">
        <f>IFERROR(INDEX(tEditais[UF],MATCH(tItens[[#This Row],[Edital]],tEditais[Edital],0)),"")</f>
        <v>CE</v>
      </c>
      <c r="I961" s="11">
        <f>IFERROR(INDEX(tEditais[Encerramento],MATCH(tItens[[#This Row],[Edital]],tEditais[Edital],0)),"")</f>
        <v>46311.375</v>
      </c>
      <c r="J961" t="str">
        <f>IFERROR(INDEX(tProdutos[Classe],MATCH(tItens[[#This Row],[Produto]],tProdutos[Produto],0)),"produto não cadastrado")</f>
        <v>DISPUTADO</v>
      </c>
      <c r="K961" s="12">
        <f>tItens[[#This Row],[Qtd]]*tItens[[#This Row],[Vlr unit]]</f>
        <v>0</v>
      </c>
      <c r="L961" s="6">
        <f>IFERROR(IF(INDEX(tProdutos[Desconto homologado],MATCH(tItens[[#This Row],[Produto]],tProdutos[Produto],0))="",DescontoPadrao,INDEX(tProdutos[Desconto homologado],MATCH(tItens[[#This Row],[Produto]],tProdutos[Produto],0))),DescontoPadrao)</f>
        <v>0.50460666194188497</v>
      </c>
      <c r="M961" s="12">
        <f>tItens[[#This Row],[Valor]]*(1-tItens[[#This Row],[Desconto]])</f>
        <v>0</v>
      </c>
      <c r="N961" t="str">
        <f>IFERROR(INDEX(tProdutos[Foco],MATCH(tItens[[#This Row],[Produto]],tProdutos[Produto],0)),"Não")</f>
        <v>Não</v>
      </c>
      <c r="O961" t="str">
        <f>IFERROR(INDEX(tEditais[SRP],MATCH(tItens[[#This Row],[Edital]],tEditais[Edital],0)),"Não")</f>
        <v>Sim</v>
      </c>
      <c r="P961" s="4">
        <f>IF(COUNTIFS(INDEX(tItens[Edital],1):tItens[[#This Row],[Edital]],tItens[[#This Row],[Edital]],INDEX(tItens[Produto],1):tItens[[#This Row],[Produto]],tItens[[#This Row],[Produto]])=1,1,0)</f>
        <v>1</v>
      </c>
    </row>
    <row r="962" spans="1:16" x14ac:dyDescent="0.25">
      <c r="A962" t="s">
        <v>1032</v>
      </c>
      <c r="B962">
        <v>6</v>
      </c>
      <c r="C962" t="s">
        <v>4110</v>
      </c>
      <c r="D962" t="s">
        <v>277</v>
      </c>
      <c r="E962" s="13">
        <v>168750</v>
      </c>
      <c r="F962" s="12">
        <v>0</v>
      </c>
      <c r="G962" t="str">
        <f>IFERROR(INDEX(tEditais[Órgão],MATCH(tItens[[#This Row],[Edital]],tEditais[Edital],0)),"")</f>
        <v>MUNICIPIO DE FORTALEZA</v>
      </c>
      <c r="H962" t="str">
        <f>IFERROR(INDEX(tEditais[UF],MATCH(tItens[[#This Row],[Edital]],tEditais[Edital],0)),"")</f>
        <v>CE</v>
      </c>
      <c r="I962" s="11">
        <f>IFERROR(INDEX(tEditais[Encerramento],MATCH(tItens[[#This Row],[Edital]],tEditais[Edital],0)),"")</f>
        <v>46311.375</v>
      </c>
      <c r="J962" t="str">
        <f>IFERROR(INDEX(tProdutos[Classe],MATCH(tItens[[#This Row],[Produto]],tProdutos[Produto],0)),"produto não cadastrado")</f>
        <v>DISPUTADO</v>
      </c>
      <c r="K962" s="12">
        <f>tItens[[#This Row],[Qtd]]*tItens[[#This Row],[Vlr unit]]</f>
        <v>0</v>
      </c>
      <c r="L962" s="6">
        <f>IFERROR(IF(INDEX(tProdutos[Desconto homologado],MATCH(tItens[[#This Row],[Produto]],tProdutos[Produto],0))="",DescontoPadrao,INDEX(tProdutos[Desconto homologado],MATCH(tItens[[#This Row],[Produto]],tProdutos[Produto],0))),DescontoPadrao)</f>
        <v>0.50460666194188497</v>
      </c>
      <c r="M962" s="12">
        <f>tItens[[#This Row],[Valor]]*(1-tItens[[#This Row],[Desconto]])</f>
        <v>0</v>
      </c>
      <c r="N962" t="str">
        <f>IFERROR(INDEX(tProdutos[Foco],MATCH(tItens[[#This Row],[Produto]],tProdutos[Produto],0)),"Não")</f>
        <v>Não</v>
      </c>
      <c r="O962" t="str">
        <f>IFERROR(INDEX(tEditais[SRP],MATCH(tItens[[#This Row],[Edital]],tEditais[Edital],0)),"Não")</f>
        <v>Sim</v>
      </c>
      <c r="P962" s="4">
        <f>IF(COUNTIFS(INDEX(tItens[Edital],1):tItens[[#This Row],[Edital]],tItens[[#This Row],[Edital]],INDEX(tItens[Produto],1):tItens[[#This Row],[Produto]],tItens[[#This Row],[Produto]])=1,1,0)</f>
        <v>0</v>
      </c>
    </row>
    <row r="963" spans="1:16" x14ac:dyDescent="0.25">
      <c r="A963" t="s">
        <v>1032</v>
      </c>
      <c r="B963">
        <v>7</v>
      </c>
      <c r="C963" t="s">
        <v>3329</v>
      </c>
      <c r="D963" t="s">
        <v>82</v>
      </c>
      <c r="E963" s="13">
        <v>120</v>
      </c>
      <c r="F963" s="12">
        <v>0</v>
      </c>
      <c r="G963" t="str">
        <f>IFERROR(INDEX(tEditais[Órgão],MATCH(tItens[[#This Row],[Edital]],tEditais[Edital],0)),"")</f>
        <v>MUNICIPIO DE FORTALEZA</v>
      </c>
      <c r="H963" t="str">
        <f>IFERROR(INDEX(tEditais[UF],MATCH(tItens[[#This Row],[Edital]],tEditais[Edital],0)),"")</f>
        <v>CE</v>
      </c>
      <c r="I963" s="11">
        <f>IFERROR(INDEX(tEditais[Encerramento],MATCH(tItens[[#This Row],[Edital]],tEditais[Edital],0)),"")</f>
        <v>46311.375</v>
      </c>
      <c r="J963" t="str">
        <f>IFERROR(INDEX(tProdutos[Classe],MATCH(tItens[[#This Row],[Produto]],tProdutos[Produto],0)),"produto não cadastrado")</f>
        <v>NÚCLEO</v>
      </c>
      <c r="K963" s="12">
        <f>tItens[[#This Row],[Qtd]]*tItens[[#This Row],[Vlr unit]]</f>
        <v>0</v>
      </c>
      <c r="L963" s="6">
        <f>IFERROR(IF(INDEX(tProdutos[Desconto homologado],MATCH(tItens[[#This Row],[Produto]],tProdutos[Produto],0))="",DescontoPadrao,INDEX(tProdutos[Desconto homologado],MATCH(tItens[[#This Row],[Produto]],tProdutos[Produto],0))),DescontoPadrao)</f>
        <v>0.40487090276506099</v>
      </c>
      <c r="M963" s="12">
        <f>tItens[[#This Row],[Valor]]*(1-tItens[[#This Row],[Desconto]])</f>
        <v>0</v>
      </c>
      <c r="N963" t="str">
        <f>IFERROR(INDEX(tProdutos[Foco],MATCH(tItens[[#This Row],[Produto]],tProdutos[Produto],0)),"Não")</f>
        <v>Não</v>
      </c>
      <c r="O963" t="str">
        <f>IFERROR(INDEX(tEditais[SRP],MATCH(tItens[[#This Row],[Edital]],tEditais[Edital],0)),"Não")</f>
        <v>Sim</v>
      </c>
      <c r="P963" s="4">
        <f>IF(COUNTIFS(INDEX(tItens[Edital],1):tItens[[#This Row],[Edital]],tItens[[#This Row],[Edital]],INDEX(tItens[Produto],1):tItens[[#This Row],[Produto]],tItens[[#This Row],[Produto]])=1,1,0)</f>
        <v>1</v>
      </c>
    </row>
    <row r="964" spans="1:16" x14ac:dyDescent="0.25">
      <c r="A964" t="s">
        <v>1032</v>
      </c>
      <c r="B964">
        <v>8</v>
      </c>
      <c r="C964" t="s">
        <v>4111</v>
      </c>
      <c r="D964" t="s">
        <v>82</v>
      </c>
      <c r="E964" s="13">
        <v>120</v>
      </c>
      <c r="F964" s="12">
        <v>0</v>
      </c>
      <c r="G964" t="str">
        <f>IFERROR(INDEX(tEditais[Órgão],MATCH(tItens[[#This Row],[Edital]],tEditais[Edital],0)),"")</f>
        <v>MUNICIPIO DE FORTALEZA</v>
      </c>
      <c r="H964" t="str">
        <f>IFERROR(INDEX(tEditais[UF],MATCH(tItens[[#This Row],[Edital]],tEditais[Edital],0)),"")</f>
        <v>CE</v>
      </c>
      <c r="I964" s="11">
        <f>IFERROR(INDEX(tEditais[Encerramento],MATCH(tItens[[#This Row],[Edital]],tEditais[Edital],0)),"")</f>
        <v>46311.375</v>
      </c>
      <c r="J964" t="str">
        <f>IFERROR(INDEX(tProdutos[Classe],MATCH(tItens[[#This Row],[Produto]],tProdutos[Produto],0)),"produto não cadastrado")</f>
        <v>NÚCLEO</v>
      </c>
      <c r="K964" s="12">
        <f>tItens[[#This Row],[Qtd]]*tItens[[#This Row],[Vlr unit]]</f>
        <v>0</v>
      </c>
      <c r="L964" s="6">
        <f>IFERROR(IF(INDEX(tProdutos[Desconto homologado],MATCH(tItens[[#This Row],[Produto]],tProdutos[Produto],0))="",DescontoPadrao,INDEX(tProdutos[Desconto homologado],MATCH(tItens[[#This Row],[Produto]],tProdutos[Produto],0))),DescontoPadrao)</f>
        <v>0.40487090276506099</v>
      </c>
      <c r="M964" s="12">
        <f>tItens[[#This Row],[Valor]]*(1-tItens[[#This Row],[Desconto]])</f>
        <v>0</v>
      </c>
      <c r="N964" t="str">
        <f>IFERROR(INDEX(tProdutos[Foco],MATCH(tItens[[#This Row],[Produto]],tProdutos[Produto],0)),"Não")</f>
        <v>Não</v>
      </c>
      <c r="O964" t="str">
        <f>IFERROR(INDEX(tEditais[SRP],MATCH(tItens[[#This Row],[Edital]],tEditais[Edital],0)),"Não")</f>
        <v>Sim</v>
      </c>
      <c r="P964" s="4">
        <f>IF(COUNTIFS(INDEX(tItens[Edital],1):tItens[[#This Row],[Edital]],tItens[[#This Row],[Edital]],INDEX(tItens[Produto],1):tItens[[#This Row],[Produto]],tItens[[#This Row],[Produto]])=1,1,0)</f>
        <v>0</v>
      </c>
    </row>
    <row r="965" spans="1:16" x14ac:dyDescent="0.25">
      <c r="A965" t="s">
        <v>1032</v>
      </c>
      <c r="B965">
        <v>9</v>
      </c>
      <c r="C965" t="s">
        <v>4112</v>
      </c>
      <c r="D965" t="s">
        <v>315</v>
      </c>
      <c r="E965" s="13">
        <v>168750</v>
      </c>
      <c r="F965" s="12">
        <v>0</v>
      </c>
      <c r="G965" t="str">
        <f>IFERROR(INDEX(tEditais[Órgão],MATCH(tItens[[#This Row],[Edital]],tEditais[Edital],0)),"")</f>
        <v>MUNICIPIO DE FORTALEZA</v>
      </c>
      <c r="H965" t="str">
        <f>IFERROR(INDEX(tEditais[UF],MATCH(tItens[[#This Row],[Edital]],tEditais[Edital],0)),"")</f>
        <v>CE</v>
      </c>
      <c r="I965" s="11">
        <f>IFERROR(INDEX(tEditais[Encerramento],MATCH(tItens[[#This Row],[Edital]],tEditais[Edital],0)),"")</f>
        <v>46311.375</v>
      </c>
      <c r="J965" t="str">
        <f>IFERROR(INDEX(tProdutos[Classe],MATCH(tItens[[#This Row],[Produto]],tProdutos[Produto],0)),"produto não cadastrado")</f>
        <v>FORA</v>
      </c>
      <c r="K965" s="12">
        <f>tItens[[#This Row],[Qtd]]*tItens[[#This Row],[Vlr unit]]</f>
        <v>0</v>
      </c>
      <c r="L965" s="6">
        <f>IFERROR(IF(INDEX(tProdutos[Desconto homologado],MATCH(tItens[[#This Row],[Produto]],tProdutos[Produto],0))="",DescontoPadrao,INDEX(tProdutos[Desconto homologado],MATCH(tItens[[#This Row],[Produto]],tProdutos[Produto],0))),DescontoPadrao)</f>
        <v>0.38432036097010702</v>
      </c>
      <c r="M965" s="12">
        <f>tItens[[#This Row],[Valor]]*(1-tItens[[#This Row],[Desconto]])</f>
        <v>0</v>
      </c>
      <c r="N965" t="str">
        <f>IFERROR(INDEX(tProdutos[Foco],MATCH(tItens[[#This Row],[Produto]],tProdutos[Produto],0)),"Não")</f>
        <v>Não</v>
      </c>
      <c r="O965" t="str">
        <f>IFERROR(INDEX(tEditais[SRP],MATCH(tItens[[#This Row],[Edital]],tEditais[Edital],0)),"Não")</f>
        <v>Sim</v>
      </c>
      <c r="P965" s="4">
        <f>IF(COUNTIFS(INDEX(tItens[Edital],1):tItens[[#This Row],[Edital]],tItens[[#This Row],[Edital]],INDEX(tItens[Produto],1):tItens[[#This Row],[Produto]],tItens[[#This Row],[Produto]])=1,1,0)</f>
        <v>0</v>
      </c>
    </row>
    <row r="966" spans="1:16" x14ac:dyDescent="0.25">
      <c r="A966" t="s">
        <v>1032</v>
      </c>
      <c r="B966">
        <v>10</v>
      </c>
      <c r="C966" t="s">
        <v>4112</v>
      </c>
      <c r="D966" t="s">
        <v>315</v>
      </c>
      <c r="E966" s="13">
        <v>56250</v>
      </c>
      <c r="F966" s="12">
        <v>0</v>
      </c>
      <c r="G966" t="str">
        <f>IFERROR(INDEX(tEditais[Órgão],MATCH(tItens[[#This Row],[Edital]],tEditais[Edital],0)),"")</f>
        <v>MUNICIPIO DE FORTALEZA</v>
      </c>
      <c r="H966" t="str">
        <f>IFERROR(INDEX(tEditais[UF],MATCH(tItens[[#This Row],[Edital]],tEditais[Edital],0)),"")</f>
        <v>CE</v>
      </c>
      <c r="I966" s="11">
        <f>IFERROR(INDEX(tEditais[Encerramento],MATCH(tItens[[#This Row],[Edital]],tEditais[Edital],0)),"")</f>
        <v>46311.375</v>
      </c>
      <c r="J966" t="str">
        <f>IFERROR(INDEX(tProdutos[Classe],MATCH(tItens[[#This Row],[Produto]],tProdutos[Produto],0)),"produto não cadastrado")</f>
        <v>FORA</v>
      </c>
      <c r="K966" s="12">
        <f>tItens[[#This Row],[Qtd]]*tItens[[#This Row],[Vlr unit]]</f>
        <v>0</v>
      </c>
      <c r="L966" s="6">
        <f>IFERROR(IF(INDEX(tProdutos[Desconto homologado],MATCH(tItens[[#This Row],[Produto]],tProdutos[Produto],0))="",DescontoPadrao,INDEX(tProdutos[Desconto homologado],MATCH(tItens[[#This Row],[Produto]],tProdutos[Produto],0))),DescontoPadrao)</f>
        <v>0.38432036097010702</v>
      </c>
      <c r="M966" s="12">
        <f>tItens[[#This Row],[Valor]]*(1-tItens[[#This Row],[Desconto]])</f>
        <v>0</v>
      </c>
      <c r="N966" t="str">
        <f>IFERROR(INDEX(tProdutos[Foco],MATCH(tItens[[#This Row],[Produto]],tProdutos[Produto],0)),"Não")</f>
        <v>Não</v>
      </c>
      <c r="O966" t="str">
        <f>IFERROR(INDEX(tEditais[SRP],MATCH(tItens[[#This Row],[Edital]],tEditais[Edital],0)),"Não")</f>
        <v>Sim</v>
      </c>
      <c r="P966" s="4">
        <f>IF(COUNTIFS(INDEX(tItens[Edital],1):tItens[[#This Row],[Edital]],tItens[[#This Row],[Edital]],INDEX(tItens[Produto],1):tItens[[#This Row],[Produto]],tItens[[#This Row],[Produto]])=1,1,0)</f>
        <v>0</v>
      </c>
    </row>
    <row r="967" spans="1:16" x14ac:dyDescent="0.25">
      <c r="A967" t="s">
        <v>1032</v>
      </c>
      <c r="B967">
        <v>11</v>
      </c>
      <c r="C967" t="s">
        <v>4113</v>
      </c>
      <c r="D967" t="s">
        <v>315</v>
      </c>
      <c r="E967" s="13">
        <v>225000</v>
      </c>
      <c r="F967" s="12">
        <v>0</v>
      </c>
      <c r="G967" t="str">
        <f>IFERROR(INDEX(tEditais[Órgão],MATCH(tItens[[#This Row],[Edital]],tEditais[Edital],0)),"")</f>
        <v>MUNICIPIO DE FORTALEZA</v>
      </c>
      <c r="H967" t="str">
        <f>IFERROR(INDEX(tEditais[UF],MATCH(tItens[[#This Row],[Edital]],tEditais[Edital],0)),"")</f>
        <v>CE</v>
      </c>
      <c r="I967" s="11">
        <f>IFERROR(INDEX(tEditais[Encerramento],MATCH(tItens[[#This Row],[Edital]],tEditais[Edital],0)),"")</f>
        <v>46311.375</v>
      </c>
      <c r="J967" t="str">
        <f>IFERROR(INDEX(tProdutos[Classe],MATCH(tItens[[#This Row],[Produto]],tProdutos[Produto],0)),"produto não cadastrado")</f>
        <v>FORA</v>
      </c>
      <c r="K967" s="12">
        <f>tItens[[#This Row],[Qtd]]*tItens[[#This Row],[Vlr unit]]</f>
        <v>0</v>
      </c>
      <c r="L967" s="6">
        <f>IFERROR(IF(INDEX(tProdutos[Desconto homologado],MATCH(tItens[[#This Row],[Produto]],tProdutos[Produto],0))="",DescontoPadrao,INDEX(tProdutos[Desconto homologado],MATCH(tItens[[#This Row],[Produto]],tProdutos[Produto],0))),DescontoPadrao)</f>
        <v>0.38432036097010702</v>
      </c>
      <c r="M967" s="12">
        <f>tItens[[#This Row],[Valor]]*(1-tItens[[#This Row],[Desconto]])</f>
        <v>0</v>
      </c>
      <c r="N967" t="str">
        <f>IFERROR(INDEX(tProdutos[Foco],MATCH(tItens[[#This Row],[Produto]],tProdutos[Produto],0)),"Não")</f>
        <v>Não</v>
      </c>
      <c r="O967" t="str">
        <f>IFERROR(INDEX(tEditais[SRP],MATCH(tItens[[#This Row],[Edital]],tEditais[Edital],0)),"Não")</f>
        <v>Sim</v>
      </c>
      <c r="P967" s="4">
        <f>IF(COUNTIFS(INDEX(tItens[Edital],1):tItens[[#This Row],[Edital]],tItens[[#This Row],[Edital]],INDEX(tItens[Produto],1):tItens[[#This Row],[Produto]],tItens[[#This Row],[Produto]])=1,1,0)</f>
        <v>0</v>
      </c>
    </row>
    <row r="968" spans="1:16" x14ac:dyDescent="0.25">
      <c r="A968" t="s">
        <v>1032</v>
      </c>
      <c r="B968">
        <v>12</v>
      </c>
      <c r="C968" t="s">
        <v>4113</v>
      </c>
      <c r="D968" t="s">
        <v>315</v>
      </c>
      <c r="E968" s="13">
        <v>75000</v>
      </c>
      <c r="F968" s="12">
        <v>0</v>
      </c>
      <c r="G968" t="str">
        <f>IFERROR(INDEX(tEditais[Órgão],MATCH(tItens[[#This Row],[Edital]],tEditais[Edital],0)),"")</f>
        <v>MUNICIPIO DE FORTALEZA</v>
      </c>
      <c r="H968" t="str">
        <f>IFERROR(INDEX(tEditais[UF],MATCH(tItens[[#This Row],[Edital]],tEditais[Edital],0)),"")</f>
        <v>CE</v>
      </c>
      <c r="I968" s="11">
        <f>IFERROR(INDEX(tEditais[Encerramento],MATCH(tItens[[#This Row],[Edital]],tEditais[Edital],0)),"")</f>
        <v>46311.375</v>
      </c>
      <c r="J968" t="str">
        <f>IFERROR(INDEX(tProdutos[Classe],MATCH(tItens[[#This Row],[Produto]],tProdutos[Produto],0)),"produto não cadastrado")</f>
        <v>FORA</v>
      </c>
      <c r="K968" s="12">
        <f>tItens[[#This Row],[Qtd]]*tItens[[#This Row],[Vlr unit]]</f>
        <v>0</v>
      </c>
      <c r="L968" s="6">
        <f>IFERROR(IF(INDEX(tProdutos[Desconto homologado],MATCH(tItens[[#This Row],[Produto]],tProdutos[Produto],0))="",DescontoPadrao,INDEX(tProdutos[Desconto homologado],MATCH(tItens[[#This Row],[Produto]],tProdutos[Produto],0))),DescontoPadrao)</f>
        <v>0.38432036097010702</v>
      </c>
      <c r="M968" s="12">
        <f>tItens[[#This Row],[Valor]]*(1-tItens[[#This Row],[Desconto]])</f>
        <v>0</v>
      </c>
      <c r="N968" t="str">
        <f>IFERROR(INDEX(tProdutos[Foco],MATCH(tItens[[#This Row],[Produto]],tProdutos[Produto],0)),"Não")</f>
        <v>Não</v>
      </c>
      <c r="O968" t="str">
        <f>IFERROR(INDEX(tEditais[SRP],MATCH(tItens[[#This Row],[Edital]],tEditais[Edital],0)),"Não")</f>
        <v>Sim</v>
      </c>
      <c r="P968" s="4">
        <f>IF(COUNTIFS(INDEX(tItens[Edital],1):tItens[[#This Row],[Edital]],tItens[[#This Row],[Edital]],INDEX(tItens[Produto],1):tItens[[#This Row],[Produto]],tItens[[#This Row],[Produto]])=1,1,0)</f>
        <v>0</v>
      </c>
    </row>
    <row r="969" spans="1:16" x14ac:dyDescent="0.25">
      <c r="A969" t="s">
        <v>1032</v>
      </c>
      <c r="B969">
        <v>13</v>
      </c>
      <c r="C969" t="s">
        <v>3478</v>
      </c>
      <c r="D969" t="s">
        <v>315</v>
      </c>
      <c r="E969" s="13">
        <v>1351688</v>
      </c>
      <c r="F969" s="12">
        <v>0</v>
      </c>
      <c r="G969" t="str">
        <f>IFERROR(INDEX(tEditais[Órgão],MATCH(tItens[[#This Row],[Edital]],tEditais[Edital],0)),"")</f>
        <v>MUNICIPIO DE FORTALEZA</v>
      </c>
      <c r="H969" t="str">
        <f>IFERROR(INDEX(tEditais[UF],MATCH(tItens[[#This Row],[Edital]],tEditais[Edital],0)),"")</f>
        <v>CE</v>
      </c>
      <c r="I969" s="11">
        <f>IFERROR(INDEX(tEditais[Encerramento],MATCH(tItens[[#This Row],[Edital]],tEditais[Edital],0)),"")</f>
        <v>46311.375</v>
      </c>
      <c r="J969" t="str">
        <f>IFERROR(INDEX(tProdutos[Classe],MATCH(tItens[[#This Row],[Produto]],tProdutos[Produto],0)),"produto não cadastrado")</f>
        <v>FORA</v>
      </c>
      <c r="K969" s="12">
        <f>tItens[[#This Row],[Qtd]]*tItens[[#This Row],[Vlr unit]]</f>
        <v>0</v>
      </c>
      <c r="L969" s="6">
        <f>IFERROR(IF(INDEX(tProdutos[Desconto homologado],MATCH(tItens[[#This Row],[Produto]],tProdutos[Produto],0))="",DescontoPadrao,INDEX(tProdutos[Desconto homologado],MATCH(tItens[[#This Row],[Produto]],tProdutos[Produto],0))),DescontoPadrao)</f>
        <v>0.38432036097010702</v>
      </c>
      <c r="M969" s="12">
        <f>tItens[[#This Row],[Valor]]*(1-tItens[[#This Row],[Desconto]])</f>
        <v>0</v>
      </c>
      <c r="N969" t="str">
        <f>IFERROR(INDEX(tProdutos[Foco],MATCH(tItens[[#This Row],[Produto]],tProdutos[Produto],0)),"Não")</f>
        <v>Não</v>
      </c>
      <c r="O969" t="str">
        <f>IFERROR(INDEX(tEditais[SRP],MATCH(tItens[[#This Row],[Edital]],tEditais[Edital],0)),"Não")</f>
        <v>Sim</v>
      </c>
      <c r="P969" s="4">
        <f>IF(COUNTIFS(INDEX(tItens[Edital],1):tItens[[#This Row],[Edital]],tItens[[#This Row],[Edital]],INDEX(tItens[Produto],1):tItens[[#This Row],[Produto]],tItens[[#This Row],[Produto]])=1,1,0)</f>
        <v>0</v>
      </c>
    </row>
    <row r="970" spans="1:16" x14ac:dyDescent="0.25">
      <c r="A970" t="s">
        <v>1032</v>
      </c>
      <c r="B970">
        <v>14</v>
      </c>
      <c r="C970" t="s">
        <v>3478</v>
      </c>
      <c r="D970" t="s">
        <v>315</v>
      </c>
      <c r="E970" s="13">
        <v>450562</v>
      </c>
      <c r="F970" s="12">
        <v>0</v>
      </c>
      <c r="G970" t="str">
        <f>IFERROR(INDEX(tEditais[Órgão],MATCH(tItens[[#This Row],[Edital]],tEditais[Edital],0)),"")</f>
        <v>MUNICIPIO DE FORTALEZA</v>
      </c>
      <c r="H970" t="str">
        <f>IFERROR(INDEX(tEditais[UF],MATCH(tItens[[#This Row],[Edital]],tEditais[Edital],0)),"")</f>
        <v>CE</v>
      </c>
      <c r="I970" s="11">
        <f>IFERROR(INDEX(tEditais[Encerramento],MATCH(tItens[[#This Row],[Edital]],tEditais[Edital],0)),"")</f>
        <v>46311.375</v>
      </c>
      <c r="J970" t="str">
        <f>IFERROR(INDEX(tProdutos[Classe],MATCH(tItens[[#This Row],[Produto]],tProdutos[Produto],0)),"produto não cadastrado")</f>
        <v>FORA</v>
      </c>
      <c r="K970" s="12">
        <f>tItens[[#This Row],[Qtd]]*tItens[[#This Row],[Vlr unit]]</f>
        <v>0</v>
      </c>
      <c r="L970" s="6">
        <f>IFERROR(IF(INDEX(tProdutos[Desconto homologado],MATCH(tItens[[#This Row],[Produto]],tProdutos[Produto],0))="",DescontoPadrao,INDEX(tProdutos[Desconto homologado],MATCH(tItens[[#This Row],[Produto]],tProdutos[Produto],0))),DescontoPadrao)</f>
        <v>0.38432036097010702</v>
      </c>
      <c r="M970" s="12">
        <f>tItens[[#This Row],[Valor]]*(1-tItens[[#This Row],[Desconto]])</f>
        <v>0</v>
      </c>
      <c r="N970" t="str">
        <f>IFERROR(INDEX(tProdutos[Foco],MATCH(tItens[[#This Row],[Produto]],tProdutos[Produto],0)),"Não")</f>
        <v>Não</v>
      </c>
      <c r="O970" t="str">
        <f>IFERROR(INDEX(tEditais[SRP],MATCH(tItens[[#This Row],[Edital]],tEditais[Edital],0)),"Não")</f>
        <v>Sim</v>
      </c>
      <c r="P970" s="4">
        <f>IF(COUNTIFS(INDEX(tItens[Edital],1):tItens[[#This Row],[Edital]],tItens[[#This Row],[Edital]],INDEX(tItens[Produto],1):tItens[[#This Row],[Produto]],tItens[[#This Row],[Produto]])=1,1,0)</f>
        <v>0</v>
      </c>
    </row>
    <row r="971" spans="1:16" x14ac:dyDescent="0.25">
      <c r="A971" t="s">
        <v>1035</v>
      </c>
      <c r="B971">
        <v>6</v>
      </c>
      <c r="C971" t="s">
        <v>4114</v>
      </c>
      <c r="D971" t="s">
        <v>347</v>
      </c>
      <c r="E971" s="13">
        <v>1900</v>
      </c>
      <c r="F971" s="12">
        <v>0</v>
      </c>
      <c r="G971" t="str">
        <f>IFERROR(INDEX(tEditais[Órgão],MATCH(tItens[[#This Row],[Edital]],tEditais[Edital],0)),"")</f>
        <v>MUNICIPIO DE FORTALEZA</v>
      </c>
      <c r="H971" t="str">
        <f>IFERROR(INDEX(tEditais[UF],MATCH(tItens[[#This Row],[Edital]],tEditais[Edital],0)),"")</f>
        <v>CE</v>
      </c>
      <c r="I971" s="11">
        <f>IFERROR(INDEX(tEditais[Encerramento],MATCH(tItens[[#This Row],[Edital]],tEditais[Edital],0)),"")</f>
        <v>46311.375</v>
      </c>
      <c r="J971" t="str">
        <f>IFERROR(INDEX(tProdutos[Classe],MATCH(tItens[[#This Row],[Produto]],tProdutos[Produto],0)),"produto não cadastrado")</f>
        <v>FORA</v>
      </c>
      <c r="K971" s="12">
        <f>tItens[[#This Row],[Qtd]]*tItens[[#This Row],[Vlr unit]]</f>
        <v>0</v>
      </c>
      <c r="L971" s="6">
        <f>IFERROR(IF(INDEX(tProdutos[Desconto homologado],MATCH(tItens[[#This Row],[Produto]],tProdutos[Produto],0))="",DescontoPadrao,INDEX(tProdutos[Desconto homologado],MATCH(tItens[[#This Row],[Produto]],tProdutos[Produto],0))),DescontoPadrao)</f>
        <v>0.26356465005931201</v>
      </c>
      <c r="M971" s="12">
        <f>tItens[[#This Row],[Valor]]*(1-tItens[[#This Row],[Desconto]])</f>
        <v>0</v>
      </c>
      <c r="N971" t="str">
        <f>IFERROR(INDEX(tProdutos[Foco],MATCH(tItens[[#This Row],[Produto]],tProdutos[Produto],0)),"Não")</f>
        <v>Não</v>
      </c>
      <c r="O971" t="str">
        <f>IFERROR(INDEX(tEditais[SRP],MATCH(tItens[[#This Row],[Edital]],tEditais[Edital],0)),"Não")</f>
        <v>Sim</v>
      </c>
      <c r="P971" s="4">
        <f>IF(COUNTIFS(INDEX(tItens[Edital],1):tItens[[#This Row],[Edital]],tItens[[#This Row],[Edital]],INDEX(tItens[Produto],1):tItens[[#This Row],[Produto]],tItens[[#This Row],[Produto]])=1,1,0)</f>
        <v>1</v>
      </c>
    </row>
    <row r="972" spans="1:16" x14ac:dyDescent="0.25">
      <c r="A972" t="s">
        <v>1035</v>
      </c>
      <c r="B972">
        <v>7</v>
      </c>
      <c r="C972" t="s">
        <v>4115</v>
      </c>
      <c r="D972" t="s">
        <v>347</v>
      </c>
      <c r="E972" s="13">
        <v>1900</v>
      </c>
      <c r="F972" s="12">
        <v>0</v>
      </c>
      <c r="G972" t="str">
        <f>IFERROR(INDEX(tEditais[Órgão],MATCH(tItens[[#This Row],[Edital]],tEditais[Edital],0)),"")</f>
        <v>MUNICIPIO DE FORTALEZA</v>
      </c>
      <c r="H972" t="str">
        <f>IFERROR(INDEX(tEditais[UF],MATCH(tItens[[#This Row],[Edital]],tEditais[Edital],0)),"")</f>
        <v>CE</v>
      </c>
      <c r="I972" s="11">
        <f>IFERROR(INDEX(tEditais[Encerramento],MATCH(tItens[[#This Row],[Edital]],tEditais[Edital],0)),"")</f>
        <v>46311.375</v>
      </c>
      <c r="J972" t="str">
        <f>IFERROR(INDEX(tProdutos[Classe],MATCH(tItens[[#This Row],[Produto]],tProdutos[Produto],0)),"produto não cadastrado")</f>
        <v>FORA</v>
      </c>
      <c r="K972" s="12">
        <f>tItens[[#This Row],[Qtd]]*tItens[[#This Row],[Vlr unit]]</f>
        <v>0</v>
      </c>
      <c r="L972" s="6">
        <f>IFERROR(IF(INDEX(tProdutos[Desconto homologado],MATCH(tItens[[#This Row],[Produto]],tProdutos[Produto],0))="",DescontoPadrao,INDEX(tProdutos[Desconto homologado],MATCH(tItens[[#This Row],[Produto]],tProdutos[Produto],0))),DescontoPadrao)</f>
        <v>0.26356465005931201</v>
      </c>
      <c r="M972" s="12">
        <f>tItens[[#This Row],[Valor]]*(1-tItens[[#This Row],[Desconto]])</f>
        <v>0</v>
      </c>
      <c r="N972" t="str">
        <f>IFERROR(INDEX(tProdutos[Foco],MATCH(tItens[[#This Row],[Produto]],tProdutos[Produto],0)),"Não")</f>
        <v>Não</v>
      </c>
      <c r="O972" t="str">
        <f>IFERROR(INDEX(tEditais[SRP],MATCH(tItens[[#This Row],[Edital]],tEditais[Edital],0)),"Não")</f>
        <v>Sim</v>
      </c>
      <c r="P972" s="4">
        <f>IF(COUNTIFS(INDEX(tItens[Edital],1):tItens[[#This Row],[Edital]],tItens[[#This Row],[Edital]],INDEX(tItens[Produto],1):tItens[[#This Row],[Produto]],tItens[[#This Row],[Produto]])=1,1,0)</f>
        <v>0</v>
      </c>
    </row>
    <row r="973" spans="1:16" x14ac:dyDescent="0.25">
      <c r="A973" t="s">
        <v>1035</v>
      </c>
      <c r="B973">
        <v>8</v>
      </c>
      <c r="C973" t="s">
        <v>4115</v>
      </c>
      <c r="D973" t="s">
        <v>347</v>
      </c>
      <c r="E973" s="13">
        <v>2100</v>
      </c>
      <c r="F973" s="12">
        <v>0</v>
      </c>
      <c r="G973" t="str">
        <f>IFERROR(INDEX(tEditais[Órgão],MATCH(tItens[[#This Row],[Edital]],tEditais[Edital],0)),"")</f>
        <v>MUNICIPIO DE FORTALEZA</v>
      </c>
      <c r="H973" t="str">
        <f>IFERROR(INDEX(tEditais[UF],MATCH(tItens[[#This Row],[Edital]],tEditais[Edital],0)),"")</f>
        <v>CE</v>
      </c>
      <c r="I973" s="11">
        <f>IFERROR(INDEX(tEditais[Encerramento],MATCH(tItens[[#This Row],[Edital]],tEditais[Edital],0)),"")</f>
        <v>46311.375</v>
      </c>
      <c r="J973" t="str">
        <f>IFERROR(INDEX(tProdutos[Classe],MATCH(tItens[[#This Row],[Produto]],tProdutos[Produto],0)),"produto não cadastrado")</f>
        <v>FORA</v>
      </c>
      <c r="K973" s="12">
        <f>tItens[[#This Row],[Qtd]]*tItens[[#This Row],[Vlr unit]]</f>
        <v>0</v>
      </c>
      <c r="L973" s="6">
        <f>IFERROR(IF(INDEX(tProdutos[Desconto homologado],MATCH(tItens[[#This Row],[Produto]],tProdutos[Produto],0))="",DescontoPadrao,INDEX(tProdutos[Desconto homologado],MATCH(tItens[[#This Row],[Produto]],tProdutos[Produto],0))),DescontoPadrao)</f>
        <v>0.26356465005931201</v>
      </c>
      <c r="M973" s="12">
        <f>tItens[[#This Row],[Valor]]*(1-tItens[[#This Row],[Desconto]])</f>
        <v>0</v>
      </c>
      <c r="N973" t="str">
        <f>IFERROR(INDEX(tProdutos[Foco],MATCH(tItens[[#This Row],[Produto]],tProdutos[Produto],0)),"Não")</f>
        <v>Não</v>
      </c>
      <c r="O973" t="str">
        <f>IFERROR(INDEX(tEditais[SRP],MATCH(tItens[[#This Row],[Edital]],tEditais[Edital],0)),"Não")</f>
        <v>Sim</v>
      </c>
      <c r="P973" s="4">
        <f>IF(COUNTIFS(INDEX(tItens[Edital],1):tItens[[#This Row],[Edital]],tItens[[#This Row],[Edital]],INDEX(tItens[Produto],1):tItens[[#This Row],[Produto]],tItens[[#This Row],[Produto]])=1,1,0)</f>
        <v>0</v>
      </c>
    </row>
    <row r="974" spans="1:16" x14ac:dyDescent="0.25">
      <c r="A974" t="s">
        <v>1035</v>
      </c>
      <c r="B974">
        <v>9</v>
      </c>
      <c r="C974" t="s">
        <v>4116</v>
      </c>
      <c r="D974" t="s">
        <v>347</v>
      </c>
      <c r="E974" s="13">
        <v>600</v>
      </c>
      <c r="F974" s="12">
        <v>0</v>
      </c>
      <c r="G974" t="str">
        <f>IFERROR(INDEX(tEditais[Órgão],MATCH(tItens[[#This Row],[Edital]],tEditais[Edital],0)),"")</f>
        <v>MUNICIPIO DE FORTALEZA</v>
      </c>
      <c r="H974" t="str">
        <f>IFERROR(INDEX(tEditais[UF],MATCH(tItens[[#This Row],[Edital]],tEditais[Edital],0)),"")</f>
        <v>CE</v>
      </c>
      <c r="I974" s="11">
        <f>IFERROR(INDEX(tEditais[Encerramento],MATCH(tItens[[#This Row],[Edital]],tEditais[Edital],0)),"")</f>
        <v>46311.375</v>
      </c>
      <c r="J974" t="str">
        <f>IFERROR(INDEX(tProdutos[Classe],MATCH(tItens[[#This Row],[Produto]],tProdutos[Produto],0)),"produto não cadastrado")</f>
        <v>FORA</v>
      </c>
      <c r="K974" s="12">
        <f>tItens[[#This Row],[Qtd]]*tItens[[#This Row],[Vlr unit]]</f>
        <v>0</v>
      </c>
      <c r="L974" s="6">
        <f>IFERROR(IF(INDEX(tProdutos[Desconto homologado],MATCH(tItens[[#This Row],[Produto]],tProdutos[Produto],0))="",DescontoPadrao,INDEX(tProdutos[Desconto homologado],MATCH(tItens[[#This Row],[Produto]],tProdutos[Produto],0))),DescontoPadrao)</f>
        <v>0.26356465005931201</v>
      </c>
      <c r="M974" s="12">
        <f>tItens[[#This Row],[Valor]]*(1-tItens[[#This Row],[Desconto]])</f>
        <v>0</v>
      </c>
      <c r="N974" t="str">
        <f>IFERROR(INDEX(tProdutos[Foco],MATCH(tItens[[#This Row],[Produto]],tProdutos[Produto],0)),"Não")</f>
        <v>Não</v>
      </c>
      <c r="O974" t="str">
        <f>IFERROR(INDEX(tEditais[SRP],MATCH(tItens[[#This Row],[Edital]],tEditais[Edital],0)),"Não")</f>
        <v>Sim</v>
      </c>
      <c r="P974" s="4">
        <f>IF(COUNTIFS(INDEX(tItens[Edital],1):tItens[[#This Row],[Edital]],tItens[[#This Row],[Edital]],INDEX(tItens[Produto],1):tItens[[#This Row],[Produto]],tItens[[#This Row],[Produto]])=1,1,0)</f>
        <v>0</v>
      </c>
    </row>
    <row r="975" spans="1:16" x14ac:dyDescent="0.25">
      <c r="A975" t="s">
        <v>1035</v>
      </c>
      <c r="B975">
        <v>10</v>
      </c>
      <c r="C975" t="s">
        <v>4116</v>
      </c>
      <c r="D975" t="s">
        <v>347</v>
      </c>
      <c r="E975" s="13">
        <v>700</v>
      </c>
      <c r="F975" s="12">
        <v>0</v>
      </c>
      <c r="G975" t="str">
        <f>IFERROR(INDEX(tEditais[Órgão],MATCH(tItens[[#This Row],[Edital]],tEditais[Edital],0)),"")</f>
        <v>MUNICIPIO DE FORTALEZA</v>
      </c>
      <c r="H975" t="str">
        <f>IFERROR(INDEX(tEditais[UF],MATCH(tItens[[#This Row],[Edital]],tEditais[Edital],0)),"")</f>
        <v>CE</v>
      </c>
      <c r="I975" s="11">
        <f>IFERROR(INDEX(tEditais[Encerramento],MATCH(tItens[[#This Row],[Edital]],tEditais[Edital],0)),"")</f>
        <v>46311.375</v>
      </c>
      <c r="J975" t="str">
        <f>IFERROR(INDEX(tProdutos[Classe],MATCH(tItens[[#This Row],[Produto]],tProdutos[Produto],0)),"produto não cadastrado")</f>
        <v>FORA</v>
      </c>
      <c r="K975" s="12">
        <f>tItens[[#This Row],[Qtd]]*tItens[[#This Row],[Vlr unit]]</f>
        <v>0</v>
      </c>
      <c r="L975" s="6">
        <f>IFERROR(IF(INDEX(tProdutos[Desconto homologado],MATCH(tItens[[#This Row],[Produto]],tProdutos[Produto],0))="",DescontoPadrao,INDEX(tProdutos[Desconto homologado],MATCH(tItens[[#This Row],[Produto]],tProdutos[Produto],0))),DescontoPadrao)</f>
        <v>0.26356465005931201</v>
      </c>
      <c r="M975" s="12">
        <f>tItens[[#This Row],[Valor]]*(1-tItens[[#This Row],[Desconto]])</f>
        <v>0</v>
      </c>
      <c r="N975" t="str">
        <f>IFERROR(INDEX(tProdutos[Foco],MATCH(tItens[[#This Row],[Produto]],tProdutos[Produto],0)),"Não")</f>
        <v>Não</v>
      </c>
      <c r="O975" t="str">
        <f>IFERROR(INDEX(tEditais[SRP],MATCH(tItens[[#This Row],[Edital]],tEditais[Edital],0)),"Não")</f>
        <v>Sim</v>
      </c>
      <c r="P975" s="4">
        <f>IF(COUNTIFS(INDEX(tItens[Edital],1):tItens[[#This Row],[Edital]],tItens[[#This Row],[Edital]],INDEX(tItens[Produto],1):tItens[[#This Row],[Produto]],tItens[[#This Row],[Produto]])=1,1,0)</f>
        <v>0</v>
      </c>
    </row>
    <row r="976" spans="1:16" x14ac:dyDescent="0.25">
      <c r="A976" t="s">
        <v>1035</v>
      </c>
      <c r="B976">
        <v>11</v>
      </c>
      <c r="C976" t="s">
        <v>4116</v>
      </c>
      <c r="D976" t="s">
        <v>347</v>
      </c>
      <c r="E976" s="13">
        <v>400</v>
      </c>
      <c r="F976" s="12">
        <v>0</v>
      </c>
      <c r="G976" t="str">
        <f>IFERROR(INDEX(tEditais[Órgão],MATCH(tItens[[#This Row],[Edital]],tEditais[Edital],0)),"")</f>
        <v>MUNICIPIO DE FORTALEZA</v>
      </c>
      <c r="H976" t="str">
        <f>IFERROR(INDEX(tEditais[UF],MATCH(tItens[[#This Row],[Edital]],tEditais[Edital],0)),"")</f>
        <v>CE</v>
      </c>
      <c r="I976" s="11">
        <f>IFERROR(INDEX(tEditais[Encerramento],MATCH(tItens[[#This Row],[Edital]],tEditais[Edital],0)),"")</f>
        <v>46311.375</v>
      </c>
      <c r="J976" t="str">
        <f>IFERROR(INDEX(tProdutos[Classe],MATCH(tItens[[#This Row],[Produto]],tProdutos[Produto],0)),"produto não cadastrado")</f>
        <v>FORA</v>
      </c>
      <c r="K976" s="12">
        <f>tItens[[#This Row],[Qtd]]*tItens[[#This Row],[Vlr unit]]</f>
        <v>0</v>
      </c>
      <c r="L976" s="6">
        <f>IFERROR(IF(INDEX(tProdutos[Desconto homologado],MATCH(tItens[[#This Row],[Produto]],tProdutos[Produto],0))="",DescontoPadrao,INDEX(tProdutos[Desconto homologado],MATCH(tItens[[#This Row],[Produto]],tProdutos[Produto],0))),DescontoPadrao)</f>
        <v>0.26356465005931201</v>
      </c>
      <c r="M976" s="12">
        <f>tItens[[#This Row],[Valor]]*(1-tItens[[#This Row],[Desconto]])</f>
        <v>0</v>
      </c>
      <c r="N976" t="str">
        <f>IFERROR(INDEX(tProdutos[Foco],MATCH(tItens[[#This Row],[Produto]],tProdutos[Produto],0)),"Não")</f>
        <v>Não</v>
      </c>
      <c r="O976" t="str">
        <f>IFERROR(INDEX(tEditais[SRP],MATCH(tItens[[#This Row],[Edital]],tEditais[Edital],0)),"Não")</f>
        <v>Sim</v>
      </c>
      <c r="P976" s="4">
        <f>IF(COUNTIFS(INDEX(tItens[Edital],1):tItens[[#This Row],[Edital]],tItens[[#This Row],[Edital]],INDEX(tItens[Produto],1):tItens[[#This Row],[Produto]],tItens[[#This Row],[Produto]])=1,1,0)</f>
        <v>0</v>
      </c>
    </row>
    <row r="977" spans="1:16" x14ac:dyDescent="0.25">
      <c r="A977" t="s">
        <v>1035</v>
      </c>
      <c r="B977">
        <v>12</v>
      </c>
      <c r="C977" t="s">
        <v>4117</v>
      </c>
      <c r="D977" t="s">
        <v>75</v>
      </c>
      <c r="E977" s="13">
        <v>12000</v>
      </c>
      <c r="F977" s="12">
        <v>0</v>
      </c>
      <c r="G977" t="str">
        <f>IFERROR(INDEX(tEditais[Órgão],MATCH(tItens[[#This Row],[Edital]],tEditais[Edital],0)),"")</f>
        <v>MUNICIPIO DE FORTALEZA</v>
      </c>
      <c r="H977" t="str">
        <f>IFERROR(INDEX(tEditais[UF],MATCH(tItens[[#This Row],[Edital]],tEditais[Edital],0)),"")</f>
        <v>CE</v>
      </c>
      <c r="I977" s="11">
        <f>IFERROR(INDEX(tEditais[Encerramento],MATCH(tItens[[#This Row],[Edital]],tEditais[Edital],0)),"")</f>
        <v>46311.375</v>
      </c>
      <c r="J977" t="str">
        <f>IFERROR(INDEX(tProdutos[Classe],MATCH(tItens[[#This Row],[Produto]],tProdutos[Produto],0)),"produto não cadastrado")</f>
        <v>NÚCLEO</v>
      </c>
      <c r="K977" s="12">
        <f>tItens[[#This Row],[Qtd]]*tItens[[#This Row],[Vlr unit]]</f>
        <v>0</v>
      </c>
      <c r="L977" s="6">
        <f>IFERROR(IF(INDEX(tProdutos[Desconto homologado],MATCH(tItens[[#This Row],[Produto]],tProdutos[Produto],0))="",DescontoPadrao,INDEX(tProdutos[Desconto homologado],MATCH(tItens[[#This Row],[Produto]],tProdutos[Produto],0))),DescontoPadrao)</f>
        <v>0.26</v>
      </c>
      <c r="M977" s="12">
        <f>tItens[[#This Row],[Valor]]*(1-tItens[[#This Row],[Desconto]])</f>
        <v>0</v>
      </c>
      <c r="N977" t="str">
        <f>IFERROR(INDEX(tProdutos[Foco],MATCH(tItens[[#This Row],[Produto]],tProdutos[Produto],0)),"Não")</f>
        <v>Sim</v>
      </c>
      <c r="O977" t="str">
        <f>IFERROR(INDEX(tEditais[SRP],MATCH(tItens[[#This Row],[Edital]],tEditais[Edital],0)),"Não")</f>
        <v>Sim</v>
      </c>
      <c r="P977" s="4">
        <f>IF(COUNTIFS(INDEX(tItens[Edital],1):tItens[[#This Row],[Edital]],tItens[[#This Row],[Edital]],INDEX(tItens[Produto],1):tItens[[#This Row],[Produto]],tItens[[#This Row],[Produto]])=1,1,0)</f>
        <v>1</v>
      </c>
    </row>
    <row r="978" spans="1:16" x14ac:dyDescent="0.25">
      <c r="A978" t="s">
        <v>1035</v>
      </c>
      <c r="B978">
        <v>13</v>
      </c>
      <c r="C978" t="s">
        <v>4118</v>
      </c>
      <c r="D978" t="s">
        <v>75</v>
      </c>
      <c r="E978" s="13">
        <v>12000</v>
      </c>
      <c r="F978" s="12">
        <v>0</v>
      </c>
      <c r="G978" t="str">
        <f>IFERROR(INDEX(tEditais[Órgão],MATCH(tItens[[#This Row],[Edital]],tEditais[Edital],0)),"")</f>
        <v>MUNICIPIO DE FORTALEZA</v>
      </c>
      <c r="H978" t="str">
        <f>IFERROR(INDEX(tEditais[UF],MATCH(tItens[[#This Row],[Edital]],tEditais[Edital],0)),"")</f>
        <v>CE</v>
      </c>
      <c r="I978" s="11">
        <f>IFERROR(INDEX(tEditais[Encerramento],MATCH(tItens[[#This Row],[Edital]],tEditais[Edital],0)),"")</f>
        <v>46311.375</v>
      </c>
      <c r="J978" t="str">
        <f>IFERROR(INDEX(tProdutos[Classe],MATCH(tItens[[#This Row],[Produto]],tProdutos[Produto],0)),"produto não cadastrado")</f>
        <v>NÚCLEO</v>
      </c>
      <c r="K978" s="12">
        <f>tItens[[#This Row],[Qtd]]*tItens[[#This Row],[Vlr unit]]</f>
        <v>0</v>
      </c>
      <c r="L978" s="6">
        <f>IFERROR(IF(INDEX(tProdutos[Desconto homologado],MATCH(tItens[[#This Row],[Produto]],tProdutos[Produto],0))="",DescontoPadrao,INDEX(tProdutos[Desconto homologado],MATCH(tItens[[#This Row],[Produto]],tProdutos[Produto],0))),DescontoPadrao)</f>
        <v>0.26</v>
      </c>
      <c r="M978" s="12">
        <f>tItens[[#This Row],[Valor]]*(1-tItens[[#This Row],[Desconto]])</f>
        <v>0</v>
      </c>
      <c r="N978" t="str">
        <f>IFERROR(INDEX(tProdutos[Foco],MATCH(tItens[[#This Row],[Produto]],tProdutos[Produto],0)),"Não")</f>
        <v>Sim</v>
      </c>
      <c r="O978" t="str">
        <f>IFERROR(INDEX(tEditais[SRP],MATCH(tItens[[#This Row],[Edital]],tEditais[Edital],0)),"Não")</f>
        <v>Sim</v>
      </c>
      <c r="P978" s="4">
        <f>IF(COUNTIFS(INDEX(tItens[Edital],1):tItens[[#This Row],[Edital]],tItens[[#This Row],[Edital]],INDEX(tItens[Produto],1):tItens[[#This Row],[Produto]],tItens[[#This Row],[Produto]])=1,1,0)</f>
        <v>0</v>
      </c>
    </row>
    <row r="979" spans="1:16" x14ac:dyDescent="0.25">
      <c r="A979" t="s">
        <v>1035</v>
      </c>
      <c r="B979">
        <v>14</v>
      </c>
      <c r="C979" t="s">
        <v>4119</v>
      </c>
      <c r="D979" t="s">
        <v>75</v>
      </c>
      <c r="E979" s="13">
        <v>12000</v>
      </c>
      <c r="F979" s="12">
        <v>0</v>
      </c>
      <c r="G979" t="str">
        <f>IFERROR(INDEX(tEditais[Órgão],MATCH(tItens[[#This Row],[Edital]],tEditais[Edital],0)),"")</f>
        <v>MUNICIPIO DE FORTALEZA</v>
      </c>
      <c r="H979" t="str">
        <f>IFERROR(INDEX(tEditais[UF],MATCH(tItens[[#This Row],[Edital]],tEditais[Edital],0)),"")</f>
        <v>CE</v>
      </c>
      <c r="I979" s="11">
        <f>IFERROR(INDEX(tEditais[Encerramento],MATCH(tItens[[#This Row],[Edital]],tEditais[Edital],0)),"")</f>
        <v>46311.375</v>
      </c>
      <c r="J979" t="str">
        <f>IFERROR(INDEX(tProdutos[Classe],MATCH(tItens[[#This Row],[Produto]],tProdutos[Produto],0)),"produto não cadastrado")</f>
        <v>NÚCLEO</v>
      </c>
      <c r="K979" s="12">
        <f>tItens[[#This Row],[Qtd]]*tItens[[#This Row],[Vlr unit]]</f>
        <v>0</v>
      </c>
      <c r="L979" s="6">
        <f>IFERROR(IF(INDEX(tProdutos[Desconto homologado],MATCH(tItens[[#This Row],[Produto]],tProdutos[Produto],0))="",DescontoPadrao,INDEX(tProdutos[Desconto homologado],MATCH(tItens[[#This Row],[Produto]],tProdutos[Produto],0))),DescontoPadrao)</f>
        <v>0.26</v>
      </c>
      <c r="M979" s="12">
        <f>tItens[[#This Row],[Valor]]*(1-tItens[[#This Row],[Desconto]])</f>
        <v>0</v>
      </c>
      <c r="N979" t="str">
        <f>IFERROR(INDEX(tProdutos[Foco],MATCH(tItens[[#This Row],[Produto]],tProdutos[Produto],0)),"Não")</f>
        <v>Sim</v>
      </c>
      <c r="O979" t="str">
        <f>IFERROR(INDEX(tEditais[SRP],MATCH(tItens[[#This Row],[Edital]],tEditais[Edital],0)),"Não")</f>
        <v>Sim</v>
      </c>
      <c r="P979" s="4">
        <f>IF(COUNTIFS(INDEX(tItens[Edital],1):tItens[[#This Row],[Edital]],tItens[[#This Row],[Edital]],INDEX(tItens[Produto],1):tItens[[#This Row],[Produto]],tItens[[#This Row],[Produto]])=1,1,0)</f>
        <v>0</v>
      </c>
    </row>
    <row r="980" spans="1:16" x14ac:dyDescent="0.25">
      <c r="A980" t="s">
        <v>1035</v>
      </c>
      <c r="B980">
        <v>23</v>
      </c>
      <c r="C980" t="s">
        <v>4120</v>
      </c>
      <c r="D980" t="s">
        <v>479</v>
      </c>
      <c r="E980" s="13">
        <v>100</v>
      </c>
      <c r="F980" s="12">
        <v>0</v>
      </c>
      <c r="G980" t="str">
        <f>IFERROR(INDEX(tEditais[Órgão],MATCH(tItens[[#This Row],[Edital]],tEditais[Edital],0)),"")</f>
        <v>MUNICIPIO DE FORTALEZA</v>
      </c>
      <c r="H980" t="str">
        <f>IFERROR(INDEX(tEditais[UF],MATCH(tItens[[#This Row],[Edital]],tEditais[Edital],0)),"")</f>
        <v>CE</v>
      </c>
      <c r="I980" s="11">
        <f>IFERROR(INDEX(tEditais[Encerramento],MATCH(tItens[[#This Row],[Edital]],tEditais[Edital],0)),"")</f>
        <v>46311.375</v>
      </c>
      <c r="J980" t="str">
        <f>IFERROR(INDEX(tProdutos[Classe],MATCH(tItens[[#This Row],[Produto]],tProdutos[Produto],0)),"produto não cadastrado")</f>
        <v>FILA REBASE</v>
      </c>
      <c r="K980" s="12">
        <f>tItens[[#This Row],[Qtd]]*tItens[[#This Row],[Vlr unit]]</f>
        <v>0</v>
      </c>
      <c r="L980" s="6">
        <f>IFERROR(IF(INDEX(tProdutos[Desconto homologado],MATCH(tItens[[#This Row],[Produto]],tProdutos[Produto],0))="",DescontoPadrao,INDEX(tProdutos[Desconto homologado],MATCH(tItens[[#This Row],[Produto]],tProdutos[Produto],0))),DescontoPadrao)</f>
        <v>0.41266209000762799</v>
      </c>
      <c r="M980" s="12">
        <f>tItens[[#This Row],[Valor]]*(1-tItens[[#This Row],[Desconto]])</f>
        <v>0</v>
      </c>
      <c r="N980" t="str">
        <f>IFERROR(INDEX(tProdutos[Foco],MATCH(tItens[[#This Row],[Produto]],tProdutos[Produto],0)),"Não")</f>
        <v>Não</v>
      </c>
      <c r="O980" t="str">
        <f>IFERROR(INDEX(tEditais[SRP],MATCH(tItens[[#This Row],[Edital]],tEditais[Edital],0)),"Não")</f>
        <v>Sim</v>
      </c>
      <c r="P980" s="4">
        <f>IF(COUNTIFS(INDEX(tItens[Edital],1):tItens[[#This Row],[Edital]],tItens[[#This Row],[Edital]],INDEX(tItens[Produto],1):tItens[[#This Row],[Produto]],tItens[[#This Row],[Produto]])=1,1,0)</f>
        <v>1</v>
      </c>
    </row>
    <row r="981" spans="1:16" x14ac:dyDescent="0.25">
      <c r="A981" t="s">
        <v>1035</v>
      </c>
      <c r="B981">
        <v>24</v>
      </c>
      <c r="C981" t="s">
        <v>4121</v>
      </c>
      <c r="D981" t="s">
        <v>479</v>
      </c>
      <c r="E981" s="13">
        <v>5250</v>
      </c>
      <c r="F981" s="12">
        <v>0</v>
      </c>
      <c r="G981" t="str">
        <f>IFERROR(INDEX(tEditais[Órgão],MATCH(tItens[[#This Row],[Edital]],tEditais[Edital],0)),"")</f>
        <v>MUNICIPIO DE FORTALEZA</v>
      </c>
      <c r="H981" t="str">
        <f>IFERROR(INDEX(tEditais[UF],MATCH(tItens[[#This Row],[Edital]],tEditais[Edital],0)),"")</f>
        <v>CE</v>
      </c>
      <c r="I981" s="11">
        <f>IFERROR(INDEX(tEditais[Encerramento],MATCH(tItens[[#This Row],[Edital]],tEditais[Edital],0)),"")</f>
        <v>46311.375</v>
      </c>
      <c r="J981" t="str">
        <f>IFERROR(INDEX(tProdutos[Classe],MATCH(tItens[[#This Row],[Produto]],tProdutos[Produto],0)),"produto não cadastrado")</f>
        <v>FILA REBASE</v>
      </c>
      <c r="K981" s="12">
        <f>tItens[[#This Row],[Qtd]]*tItens[[#This Row],[Vlr unit]]</f>
        <v>0</v>
      </c>
      <c r="L981" s="6">
        <f>IFERROR(IF(INDEX(tProdutos[Desconto homologado],MATCH(tItens[[#This Row],[Produto]],tProdutos[Produto],0))="",DescontoPadrao,INDEX(tProdutos[Desconto homologado],MATCH(tItens[[#This Row],[Produto]],tProdutos[Produto],0))),DescontoPadrao)</f>
        <v>0.41266209000762799</v>
      </c>
      <c r="M981" s="12">
        <f>tItens[[#This Row],[Valor]]*(1-tItens[[#This Row],[Desconto]])</f>
        <v>0</v>
      </c>
      <c r="N981" t="str">
        <f>IFERROR(INDEX(tProdutos[Foco],MATCH(tItens[[#This Row],[Produto]],tProdutos[Produto],0)),"Não")</f>
        <v>Não</v>
      </c>
      <c r="O981" t="str">
        <f>IFERROR(INDEX(tEditais[SRP],MATCH(tItens[[#This Row],[Edital]],tEditais[Edital],0)),"Não")</f>
        <v>Sim</v>
      </c>
      <c r="P981" s="4">
        <f>IF(COUNTIFS(INDEX(tItens[Edital],1):tItens[[#This Row],[Edital]],tItens[[#This Row],[Edital]],INDEX(tItens[Produto],1):tItens[[#This Row],[Produto]],tItens[[#This Row],[Produto]])=1,1,0)</f>
        <v>0</v>
      </c>
    </row>
    <row r="982" spans="1:16" x14ac:dyDescent="0.25">
      <c r="A982" t="s">
        <v>1035</v>
      </c>
      <c r="B982">
        <v>25</v>
      </c>
      <c r="C982" t="s">
        <v>4121</v>
      </c>
      <c r="D982" t="s">
        <v>479</v>
      </c>
      <c r="E982" s="13">
        <v>1750</v>
      </c>
      <c r="F982" s="12">
        <v>0</v>
      </c>
      <c r="G982" t="str">
        <f>IFERROR(INDEX(tEditais[Órgão],MATCH(tItens[[#This Row],[Edital]],tEditais[Edital],0)),"")</f>
        <v>MUNICIPIO DE FORTALEZA</v>
      </c>
      <c r="H982" t="str">
        <f>IFERROR(INDEX(tEditais[UF],MATCH(tItens[[#This Row],[Edital]],tEditais[Edital],0)),"")</f>
        <v>CE</v>
      </c>
      <c r="I982" s="11">
        <f>IFERROR(INDEX(tEditais[Encerramento],MATCH(tItens[[#This Row],[Edital]],tEditais[Edital],0)),"")</f>
        <v>46311.375</v>
      </c>
      <c r="J982" t="str">
        <f>IFERROR(INDEX(tProdutos[Classe],MATCH(tItens[[#This Row],[Produto]],tProdutos[Produto],0)),"produto não cadastrado")</f>
        <v>FILA REBASE</v>
      </c>
      <c r="K982" s="12">
        <f>tItens[[#This Row],[Qtd]]*tItens[[#This Row],[Vlr unit]]</f>
        <v>0</v>
      </c>
      <c r="L982" s="6">
        <f>IFERROR(IF(INDEX(tProdutos[Desconto homologado],MATCH(tItens[[#This Row],[Produto]],tProdutos[Produto],0))="",DescontoPadrao,INDEX(tProdutos[Desconto homologado],MATCH(tItens[[#This Row],[Produto]],tProdutos[Produto],0))),DescontoPadrao)</f>
        <v>0.41266209000762799</v>
      </c>
      <c r="M982" s="12">
        <f>tItens[[#This Row],[Valor]]*(1-tItens[[#This Row],[Desconto]])</f>
        <v>0</v>
      </c>
      <c r="N982" t="str">
        <f>IFERROR(INDEX(tProdutos[Foco],MATCH(tItens[[#This Row],[Produto]],tProdutos[Produto],0)),"Não")</f>
        <v>Não</v>
      </c>
      <c r="O982" t="str">
        <f>IFERROR(INDEX(tEditais[SRP],MATCH(tItens[[#This Row],[Edital]],tEditais[Edital],0)),"Não")</f>
        <v>Sim</v>
      </c>
      <c r="P982" s="4">
        <f>IF(COUNTIFS(INDEX(tItens[Edital],1):tItens[[#This Row],[Edital]],tItens[[#This Row],[Edital]],INDEX(tItens[Produto],1):tItens[[#This Row],[Produto]],tItens[[#This Row],[Produto]])=1,1,0)</f>
        <v>0</v>
      </c>
    </row>
    <row r="983" spans="1:16" x14ac:dyDescent="0.25">
      <c r="A983" t="s">
        <v>1035</v>
      </c>
      <c r="B983">
        <v>26</v>
      </c>
      <c r="C983" t="s">
        <v>4121</v>
      </c>
      <c r="D983" t="s">
        <v>479</v>
      </c>
      <c r="E983" s="13">
        <v>300</v>
      </c>
      <c r="F983" s="12">
        <v>0</v>
      </c>
      <c r="G983" t="str">
        <f>IFERROR(INDEX(tEditais[Órgão],MATCH(tItens[[#This Row],[Edital]],tEditais[Edital],0)),"")</f>
        <v>MUNICIPIO DE FORTALEZA</v>
      </c>
      <c r="H983" t="str">
        <f>IFERROR(INDEX(tEditais[UF],MATCH(tItens[[#This Row],[Edital]],tEditais[Edital],0)),"")</f>
        <v>CE</v>
      </c>
      <c r="I983" s="11">
        <f>IFERROR(INDEX(tEditais[Encerramento],MATCH(tItens[[#This Row],[Edital]],tEditais[Edital],0)),"")</f>
        <v>46311.375</v>
      </c>
      <c r="J983" t="str">
        <f>IFERROR(INDEX(tProdutos[Classe],MATCH(tItens[[#This Row],[Produto]],tProdutos[Produto],0)),"produto não cadastrado")</f>
        <v>FILA REBASE</v>
      </c>
      <c r="K983" s="12">
        <f>tItens[[#This Row],[Qtd]]*tItens[[#This Row],[Vlr unit]]</f>
        <v>0</v>
      </c>
      <c r="L983" s="6">
        <f>IFERROR(IF(INDEX(tProdutos[Desconto homologado],MATCH(tItens[[#This Row],[Produto]],tProdutos[Produto],0))="",DescontoPadrao,INDEX(tProdutos[Desconto homologado],MATCH(tItens[[#This Row],[Produto]],tProdutos[Produto],0))),DescontoPadrao)</f>
        <v>0.41266209000762799</v>
      </c>
      <c r="M983" s="12">
        <f>tItens[[#This Row],[Valor]]*(1-tItens[[#This Row],[Desconto]])</f>
        <v>0</v>
      </c>
      <c r="N983" t="str">
        <f>IFERROR(INDEX(tProdutos[Foco],MATCH(tItens[[#This Row],[Produto]],tProdutos[Produto],0)),"Não")</f>
        <v>Não</v>
      </c>
      <c r="O983" t="str">
        <f>IFERROR(INDEX(tEditais[SRP],MATCH(tItens[[#This Row],[Edital]],tEditais[Edital],0)),"Não")</f>
        <v>Sim</v>
      </c>
      <c r="P983" s="4">
        <f>IF(COUNTIFS(INDEX(tItens[Edital],1):tItens[[#This Row],[Edital]],tItens[[#This Row],[Edital]],INDEX(tItens[Produto],1):tItens[[#This Row],[Produto]],tItens[[#This Row],[Produto]])=1,1,0)</f>
        <v>0</v>
      </c>
    </row>
    <row r="984" spans="1:16" x14ac:dyDescent="0.25">
      <c r="A984" t="s">
        <v>1035</v>
      </c>
      <c r="B984">
        <v>29</v>
      </c>
      <c r="C984" t="s">
        <v>4122</v>
      </c>
      <c r="D984" t="s">
        <v>110</v>
      </c>
      <c r="E984" s="13">
        <v>2350</v>
      </c>
      <c r="F984" s="12">
        <v>0</v>
      </c>
      <c r="G984" t="str">
        <f>IFERROR(INDEX(tEditais[Órgão],MATCH(tItens[[#This Row],[Edital]],tEditais[Edital],0)),"")</f>
        <v>MUNICIPIO DE FORTALEZA</v>
      </c>
      <c r="H984" t="str">
        <f>IFERROR(INDEX(tEditais[UF],MATCH(tItens[[#This Row],[Edital]],tEditais[Edital],0)),"")</f>
        <v>CE</v>
      </c>
      <c r="I984" s="11">
        <f>IFERROR(INDEX(tEditais[Encerramento],MATCH(tItens[[#This Row],[Edital]],tEditais[Edital],0)),"")</f>
        <v>46311.375</v>
      </c>
      <c r="J984" t="str">
        <f>IFERROR(INDEX(tProdutos[Classe],MATCH(tItens[[#This Row],[Produto]],tProdutos[Produto],0)),"produto não cadastrado")</f>
        <v>NÚCLEO</v>
      </c>
      <c r="K984" s="12">
        <f>tItens[[#This Row],[Qtd]]*tItens[[#This Row],[Vlr unit]]</f>
        <v>0</v>
      </c>
      <c r="L984" s="6">
        <f>IFERROR(IF(INDEX(tProdutos[Desconto homologado],MATCH(tItens[[#This Row],[Produto]],tProdutos[Produto],0))="",DescontoPadrao,INDEX(tProdutos[Desconto homologado],MATCH(tItens[[#This Row],[Produto]],tProdutos[Produto],0))),DescontoPadrao)</f>
        <v>0.30410958904109597</v>
      </c>
      <c r="M984" s="12">
        <f>tItens[[#This Row],[Valor]]*(1-tItens[[#This Row],[Desconto]])</f>
        <v>0</v>
      </c>
      <c r="N984" t="str">
        <f>IFERROR(INDEX(tProdutos[Foco],MATCH(tItens[[#This Row],[Produto]],tProdutos[Produto],0)),"Não")</f>
        <v>Não</v>
      </c>
      <c r="O984" t="str">
        <f>IFERROR(INDEX(tEditais[SRP],MATCH(tItens[[#This Row],[Edital]],tEditais[Edital],0)),"Não")</f>
        <v>Sim</v>
      </c>
      <c r="P984" s="4">
        <f>IF(COUNTIFS(INDEX(tItens[Edital],1):tItens[[#This Row],[Edital]],tItens[[#This Row],[Edital]],INDEX(tItens[Produto],1):tItens[[#This Row],[Produto]],tItens[[#This Row],[Produto]])=1,1,0)</f>
        <v>1</v>
      </c>
    </row>
    <row r="985" spans="1:16" x14ac:dyDescent="0.25">
      <c r="A985" t="s">
        <v>1038</v>
      </c>
      <c r="B985">
        <v>3</v>
      </c>
      <c r="C985" t="s">
        <v>4123</v>
      </c>
      <c r="D985" t="s">
        <v>140</v>
      </c>
      <c r="E985" s="13">
        <v>36</v>
      </c>
      <c r="F985" s="12">
        <v>194.29</v>
      </c>
      <c r="G985" t="str">
        <f>IFERROR(INDEX(tEditais[Órgão],MATCH(tItens[[#This Row],[Edital]],tEditais[Edital],0)),"")</f>
        <v>ESTADO DO CEARA</v>
      </c>
      <c r="H985" t="str">
        <f>IFERROR(INDEX(tEditais[UF],MATCH(tItens[[#This Row],[Edital]],tEditais[Edital],0)),"")</f>
        <v>CE</v>
      </c>
      <c r="I985" s="11">
        <f>IFERROR(INDEX(tEditais[Encerramento],MATCH(tItens[[#This Row],[Edital]],tEditais[Edital],0)),"")</f>
        <v>46314.375</v>
      </c>
      <c r="J985" t="str">
        <f>IFERROR(INDEX(tProdutos[Classe],MATCH(tItens[[#This Row],[Produto]],tProdutos[Produto],0)),"produto não cadastrado")</f>
        <v>DISPUTADO</v>
      </c>
      <c r="K985" s="12">
        <f>tItens[[#This Row],[Qtd]]*tItens[[#This Row],[Vlr unit]]</f>
        <v>6994.44</v>
      </c>
      <c r="L985" s="6">
        <f>IFERROR(IF(INDEX(tProdutos[Desconto homologado],MATCH(tItens[[#This Row],[Produto]],tProdutos[Produto],0))="",DescontoPadrao,INDEX(tProdutos[Desconto homologado],MATCH(tItens[[#This Row],[Produto]],tProdutos[Produto],0))),DescontoPadrao)</f>
        <v>0.48560177208958899</v>
      </c>
      <c r="M985" s="12">
        <f>tItens[[#This Row],[Valor]]*(1-tItens[[#This Row],[Desconto]])</f>
        <v>3597.9275412256948</v>
      </c>
      <c r="N985" t="str">
        <f>IFERROR(INDEX(tProdutos[Foco],MATCH(tItens[[#This Row],[Produto]],tProdutos[Produto],0)),"Não")</f>
        <v>Não</v>
      </c>
      <c r="O985" t="str">
        <f>IFERROR(INDEX(tEditais[SRP],MATCH(tItens[[#This Row],[Edital]],tEditais[Edital],0)),"Não")</f>
        <v>Sim</v>
      </c>
      <c r="P985" s="4">
        <f>IF(COUNTIFS(INDEX(tItens[Edital],1):tItens[[#This Row],[Edital]],tItens[[#This Row],[Edital]],INDEX(tItens[Produto],1):tItens[[#This Row],[Produto]],tItens[[#This Row],[Produto]])=1,1,0)</f>
        <v>1</v>
      </c>
    </row>
    <row r="986" spans="1:16" x14ac:dyDescent="0.25">
      <c r="A986" t="s">
        <v>1038</v>
      </c>
      <c r="B986">
        <v>4</v>
      </c>
      <c r="C986" t="s">
        <v>4124</v>
      </c>
      <c r="D986" t="s">
        <v>277</v>
      </c>
      <c r="E986" s="13">
        <v>240</v>
      </c>
      <c r="F986" s="12">
        <v>98.59</v>
      </c>
      <c r="G986" t="str">
        <f>IFERROR(INDEX(tEditais[Órgão],MATCH(tItens[[#This Row],[Edital]],tEditais[Edital],0)),"")</f>
        <v>ESTADO DO CEARA</v>
      </c>
      <c r="H986" t="str">
        <f>IFERROR(INDEX(tEditais[UF],MATCH(tItens[[#This Row],[Edital]],tEditais[Edital],0)),"")</f>
        <v>CE</v>
      </c>
      <c r="I986" s="11">
        <f>IFERROR(INDEX(tEditais[Encerramento],MATCH(tItens[[#This Row],[Edital]],tEditais[Edital],0)),"")</f>
        <v>46314.375</v>
      </c>
      <c r="J986" t="str">
        <f>IFERROR(INDEX(tProdutos[Classe],MATCH(tItens[[#This Row],[Produto]],tProdutos[Produto],0)),"produto não cadastrado")</f>
        <v>DISPUTADO</v>
      </c>
      <c r="K986" s="12">
        <f>tItens[[#This Row],[Qtd]]*tItens[[#This Row],[Vlr unit]]</f>
        <v>23661.600000000002</v>
      </c>
      <c r="L986" s="6">
        <f>IFERROR(IF(INDEX(tProdutos[Desconto homologado],MATCH(tItens[[#This Row],[Produto]],tProdutos[Produto],0))="",DescontoPadrao,INDEX(tProdutos[Desconto homologado],MATCH(tItens[[#This Row],[Produto]],tProdutos[Produto],0))),DescontoPadrao)</f>
        <v>0.50460666194188497</v>
      </c>
      <c r="M986" s="12">
        <f>tItens[[#This Row],[Valor]]*(1-tItens[[#This Row],[Desconto]])</f>
        <v>11721.799007795895</v>
      </c>
      <c r="N986" t="str">
        <f>IFERROR(INDEX(tProdutos[Foco],MATCH(tItens[[#This Row],[Produto]],tProdutos[Produto],0)),"Não")</f>
        <v>Não</v>
      </c>
      <c r="O986" t="str">
        <f>IFERROR(INDEX(tEditais[SRP],MATCH(tItens[[#This Row],[Edital]],tEditais[Edital],0)),"Não")</f>
        <v>Sim</v>
      </c>
      <c r="P986" s="4">
        <f>IF(COUNTIFS(INDEX(tItens[Edital],1):tItens[[#This Row],[Edital]],tItens[[#This Row],[Edital]],INDEX(tItens[Produto],1):tItens[[#This Row],[Produto]],tItens[[#This Row],[Produto]])=1,1,0)</f>
        <v>1</v>
      </c>
    </row>
    <row r="987" spans="1:16" x14ac:dyDescent="0.25">
      <c r="A987" t="s">
        <v>1041</v>
      </c>
      <c r="B987">
        <v>4</v>
      </c>
      <c r="C987" t="s">
        <v>4125</v>
      </c>
      <c r="D987" t="s">
        <v>277</v>
      </c>
      <c r="E987" s="13">
        <v>240</v>
      </c>
      <c r="F987" s="12">
        <v>98.59</v>
      </c>
      <c r="G987" t="str">
        <f>IFERROR(INDEX(tEditais[Órgão],MATCH(tItens[[#This Row],[Edital]],tEditais[Edital],0)),"")</f>
        <v>ESTADO DO CEARA</v>
      </c>
      <c r="H987" t="str">
        <f>IFERROR(INDEX(tEditais[UF],MATCH(tItens[[#This Row],[Edital]],tEditais[Edital],0)),"")</f>
        <v>CE</v>
      </c>
      <c r="I987" s="11">
        <f>IFERROR(INDEX(tEditais[Encerramento],MATCH(tItens[[#This Row],[Edital]],tEditais[Edital],0)),"")</f>
        <v>46314.375</v>
      </c>
      <c r="J987" t="str">
        <f>IFERROR(INDEX(tProdutos[Classe],MATCH(tItens[[#This Row],[Produto]],tProdutos[Produto],0)),"produto não cadastrado")</f>
        <v>DISPUTADO</v>
      </c>
      <c r="K987" s="12">
        <f>tItens[[#This Row],[Qtd]]*tItens[[#This Row],[Vlr unit]]</f>
        <v>23661.600000000002</v>
      </c>
      <c r="L987" s="6">
        <f>IFERROR(IF(INDEX(tProdutos[Desconto homologado],MATCH(tItens[[#This Row],[Produto]],tProdutos[Produto],0))="",DescontoPadrao,INDEX(tProdutos[Desconto homologado],MATCH(tItens[[#This Row],[Produto]],tProdutos[Produto],0))),DescontoPadrao)</f>
        <v>0.50460666194188497</v>
      </c>
      <c r="M987" s="12">
        <f>tItens[[#This Row],[Valor]]*(1-tItens[[#This Row],[Desconto]])</f>
        <v>11721.799007795895</v>
      </c>
      <c r="N987" t="str">
        <f>IFERROR(INDEX(tProdutos[Foco],MATCH(tItens[[#This Row],[Produto]],tProdutos[Produto],0)),"Não")</f>
        <v>Não</v>
      </c>
      <c r="O987" t="str">
        <f>IFERROR(INDEX(tEditais[SRP],MATCH(tItens[[#This Row],[Edital]],tEditais[Edital],0)),"Não")</f>
        <v>Sim</v>
      </c>
      <c r="P987" s="4">
        <f>IF(COUNTIFS(INDEX(tItens[Edital],1):tItens[[#This Row],[Edital]],tItens[[#This Row],[Edital]],INDEX(tItens[Produto],1):tItens[[#This Row],[Produto]],tItens[[#This Row],[Produto]])=1,1,0)</f>
        <v>1</v>
      </c>
    </row>
    <row r="988" spans="1:16" x14ac:dyDescent="0.25">
      <c r="A988" t="s">
        <v>1043</v>
      </c>
      <c r="B988">
        <v>2</v>
      </c>
      <c r="C988" t="s">
        <v>4126</v>
      </c>
      <c r="D988" t="s">
        <v>295</v>
      </c>
      <c r="E988" s="13">
        <v>1440</v>
      </c>
      <c r="F988" s="12">
        <v>0.52</v>
      </c>
      <c r="G988" t="str">
        <f>IFERROR(INDEX(tEditais[Órgão],MATCH(tItens[[#This Row],[Edital]],tEditais[Edital],0)),"")</f>
        <v>ESTADO DO CEARA</v>
      </c>
      <c r="H988" t="str">
        <f>IFERROR(INDEX(tEditais[UF],MATCH(tItens[[#This Row],[Edital]],tEditais[Edital],0)),"")</f>
        <v>CE</v>
      </c>
      <c r="I988" s="11">
        <f>IFERROR(INDEX(tEditais[Encerramento],MATCH(tItens[[#This Row],[Edital]],tEditais[Edital],0)),"")</f>
        <v>46314.375</v>
      </c>
      <c r="J988" t="str">
        <f>IFERROR(INDEX(tProdutos[Classe],MATCH(tItens[[#This Row],[Produto]],tProdutos[Produto],0)),"produto não cadastrado")</f>
        <v>FORA</v>
      </c>
      <c r="K988" s="12">
        <f>tItens[[#This Row],[Qtd]]*tItens[[#This Row],[Vlr unit]]</f>
        <v>748.80000000000007</v>
      </c>
      <c r="L988" s="6">
        <f>IFERROR(IF(INDEX(tProdutos[Desconto homologado],MATCH(tItens[[#This Row],[Produto]],tProdutos[Produto],0))="",DescontoPadrao,INDEX(tProdutos[Desconto homologado],MATCH(tItens[[#This Row],[Produto]],tProdutos[Produto],0))),DescontoPadrao)</f>
        <v>0.219311377245509</v>
      </c>
      <c r="M988" s="12">
        <f>tItens[[#This Row],[Valor]]*(1-tItens[[#This Row],[Desconto]])</f>
        <v>584.57964071856293</v>
      </c>
      <c r="N988" t="str">
        <f>IFERROR(INDEX(tProdutos[Foco],MATCH(tItens[[#This Row],[Produto]],tProdutos[Produto],0)),"Não")</f>
        <v>Não</v>
      </c>
      <c r="O988" t="str">
        <f>IFERROR(INDEX(tEditais[SRP],MATCH(tItens[[#This Row],[Edital]],tEditais[Edital],0)),"Não")</f>
        <v>Sim</v>
      </c>
      <c r="P988" s="4">
        <f>IF(COUNTIFS(INDEX(tItens[Edital],1):tItens[[#This Row],[Edital]],tItens[[#This Row],[Edital]],INDEX(tItens[Produto],1):tItens[[#This Row],[Produto]],tItens[[#This Row],[Produto]])=1,1,0)</f>
        <v>1</v>
      </c>
    </row>
    <row r="989" spans="1:16" x14ac:dyDescent="0.25">
      <c r="A989" t="s">
        <v>1044</v>
      </c>
      <c r="B989">
        <v>3</v>
      </c>
      <c r="C989" t="s">
        <v>4127</v>
      </c>
      <c r="D989" t="s">
        <v>229</v>
      </c>
      <c r="E989" s="13">
        <v>19500</v>
      </c>
      <c r="F989" s="12">
        <v>53</v>
      </c>
      <c r="G989" t="str">
        <f>IFERROR(INDEX(tEditais[Órgão],MATCH(tItens[[#This Row],[Edital]],tEditais[Edital],0)),"")</f>
        <v>COMANDO DO EXERCITO</v>
      </c>
      <c r="H989" t="str">
        <f>IFERROR(INDEX(tEditais[UF],MATCH(tItens[[#This Row],[Edital]],tEditais[Edital],0)),"")</f>
        <v>DF</v>
      </c>
      <c r="I989" s="11">
        <f>IFERROR(INDEX(tEditais[Encerramento],MATCH(tItens[[#This Row],[Edital]],tEditais[Edital],0)),"")</f>
        <v>46304.333333333336</v>
      </c>
      <c r="J989" t="str">
        <f>IFERROR(INDEX(tProdutos[Classe],MATCH(tItens[[#This Row],[Produto]],tProdutos[Produto],0)),"produto não cadastrado")</f>
        <v>FORA</v>
      </c>
      <c r="K989" s="12">
        <f>tItens[[#This Row],[Qtd]]*tItens[[#This Row],[Vlr unit]]</f>
        <v>1033500</v>
      </c>
      <c r="L989" s="6">
        <f>IFERROR(IF(INDEX(tProdutos[Desconto homologado],MATCH(tItens[[#This Row],[Produto]],tProdutos[Produto],0))="",DescontoPadrao,INDEX(tProdutos[Desconto homologado],MATCH(tItens[[#This Row],[Produto]],tProdutos[Produto],0))),DescontoPadrao)</f>
        <v>0.33093491191658198</v>
      </c>
      <c r="M989" s="12">
        <f>tItens[[#This Row],[Valor]]*(1-tItens[[#This Row],[Desconto]])</f>
        <v>691478.76853421249</v>
      </c>
      <c r="N989" t="str">
        <f>IFERROR(INDEX(tProdutos[Foco],MATCH(tItens[[#This Row],[Produto]],tProdutos[Produto],0)),"Não")</f>
        <v>Não</v>
      </c>
      <c r="O989" t="str">
        <f>IFERROR(INDEX(tEditais[SRP],MATCH(tItens[[#This Row],[Edital]],tEditais[Edital],0)),"Não")</f>
        <v>Não</v>
      </c>
      <c r="P989" s="4">
        <f>IF(COUNTIFS(INDEX(tItens[Edital],1):tItens[[#This Row],[Edital]],tItens[[#This Row],[Edital]],INDEX(tItens[Produto],1):tItens[[#This Row],[Produto]],tItens[[#This Row],[Produto]])=1,1,0)</f>
        <v>1</v>
      </c>
    </row>
    <row r="990" spans="1:16" x14ac:dyDescent="0.25">
      <c r="A990" t="s">
        <v>1044</v>
      </c>
      <c r="B990">
        <v>4</v>
      </c>
      <c r="C990" t="s">
        <v>4128</v>
      </c>
      <c r="D990" t="s">
        <v>229</v>
      </c>
      <c r="E990" s="13">
        <v>6500</v>
      </c>
      <c r="F990" s="12">
        <v>40.24</v>
      </c>
      <c r="G990" t="str">
        <f>IFERROR(INDEX(tEditais[Órgão],MATCH(tItens[[#This Row],[Edital]],tEditais[Edital],0)),"")</f>
        <v>COMANDO DO EXERCITO</v>
      </c>
      <c r="H990" t="str">
        <f>IFERROR(INDEX(tEditais[UF],MATCH(tItens[[#This Row],[Edital]],tEditais[Edital],0)),"")</f>
        <v>DF</v>
      </c>
      <c r="I990" s="11">
        <f>IFERROR(INDEX(tEditais[Encerramento],MATCH(tItens[[#This Row],[Edital]],tEditais[Edital],0)),"")</f>
        <v>46304.333333333336</v>
      </c>
      <c r="J990" t="str">
        <f>IFERROR(INDEX(tProdutos[Classe],MATCH(tItens[[#This Row],[Produto]],tProdutos[Produto],0)),"produto não cadastrado")</f>
        <v>FORA</v>
      </c>
      <c r="K990" s="12">
        <f>tItens[[#This Row],[Qtd]]*tItens[[#This Row],[Vlr unit]]</f>
        <v>261560</v>
      </c>
      <c r="L990" s="6">
        <f>IFERROR(IF(INDEX(tProdutos[Desconto homologado],MATCH(tItens[[#This Row],[Produto]],tProdutos[Produto],0))="",DescontoPadrao,INDEX(tProdutos[Desconto homologado],MATCH(tItens[[#This Row],[Produto]],tProdutos[Produto],0))),DescontoPadrao)</f>
        <v>0.33093491191658198</v>
      </c>
      <c r="M990" s="12">
        <f>tItens[[#This Row],[Valor]]*(1-tItens[[#This Row],[Desconto]])</f>
        <v>175000.66443909882</v>
      </c>
      <c r="N990" t="str">
        <f>IFERROR(INDEX(tProdutos[Foco],MATCH(tItens[[#This Row],[Produto]],tProdutos[Produto],0)),"Não")</f>
        <v>Não</v>
      </c>
      <c r="O990" t="str">
        <f>IFERROR(INDEX(tEditais[SRP],MATCH(tItens[[#This Row],[Edital]],tEditais[Edital],0)),"Não")</f>
        <v>Não</v>
      </c>
      <c r="P990" s="4">
        <f>IF(COUNTIFS(INDEX(tItens[Edital],1):tItens[[#This Row],[Edital]],tItens[[#This Row],[Edital]],INDEX(tItens[Produto],1):tItens[[#This Row],[Produto]],tItens[[#This Row],[Produto]])=1,1,0)</f>
        <v>0</v>
      </c>
    </row>
    <row r="991" spans="1:16" x14ac:dyDescent="0.25">
      <c r="A991" t="s">
        <v>1044</v>
      </c>
      <c r="B991">
        <v>5</v>
      </c>
      <c r="C991" t="s">
        <v>3326</v>
      </c>
      <c r="D991" t="s">
        <v>229</v>
      </c>
      <c r="E991" s="13">
        <v>6500</v>
      </c>
      <c r="F991" s="12">
        <v>45.9</v>
      </c>
      <c r="G991" t="str">
        <f>IFERROR(INDEX(tEditais[Órgão],MATCH(tItens[[#This Row],[Edital]],tEditais[Edital],0)),"")</f>
        <v>COMANDO DO EXERCITO</v>
      </c>
      <c r="H991" t="str">
        <f>IFERROR(INDEX(tEditais[UF],MATCH(tItens[[#This Row],[Edital]],tEditais[Edital],0)),"")</f>
        <v>DF</v>
      </c>
      <c r="I991" s="11">
        <f>IFERROR(INDEX(tEditais[Encerramento],MATCH(tItens[[#This Row],[Edital]],tEditais[Edital],0)),"")</f>
        <v>46304.333333333336</v>
      </c>
      <c r="J991" t="str">
        <f>IFERROR(INDEX(tProdutos[Classe],MATCH(tItens[[#This Row],[Produto]],tProdutos[Produto],0)),"produto não cadastrado")</f>
        <v>FORA</v>
      </c>
      <c r="K991" s="12">
        <f>tItens[[#This Row],[Qtd]]*tItens[[#This Row],[Vlr unit]]</f>
        <v>298350</v>
      </c>
      <c r="L991" s="6">
        <f>IFERROR(IF(INDEX(tProdutos[Desconto homologado],MATCH(tItens[[#This Row],[Produto]],tProdutos[Produto],0))="",DescontoPadrao,INDEX(tProdutos[Desconto homologado],MATCH(tItens[[#This Row],[Produto]],tProdutos[Produto],0))),DescontoPadrao)</f>
        <v>0.33093491191658198</v>
      </c>
      <c r="M991" s="12">
        <f>tItens[[#This Row],[Valor]]*(1-tItens[[#This Row],[Desconto]])</f>
        <v>199615.56902968776</v>
      </c>
      <c r="N991" t="str">
        <f>IFERROR(INDEX(tProdutos[Foco],MATCH(tItens[[#This Row],[Produto]],tProdutos[Produto],0)),"Não")</f>
        <v>Não</v>
      </c>
      <c r="O991" t="str">
        <f>IFERROR(INDEX(tEditais[SRP],MATCH(tItens[[#This Row],[Edital]],tEditais[Edital],0)),"Não")</f>
        <v>Não</v>
      </c>
      <c r="P991" s="4">
        <f>IF(COUNTIFS(INDEX(tItens[Edital],1):tItens[[#This Row],[Edital]],tItens[[#This Row],[Edital]],INDEX(tItens[Produto],1):tItens[[#This Row],[Produto]],tItens[[#This Row],[Produto]])=1,1,0)</f>
        <v>0</v>
      </c>
    </row>
    <row r="992" spans="1:16" x14ac:dyDescent="0.25">
      <c r="A992" t="s">
        <v>1044</v>
      </c>
      <c r="B992">
        <v>6</v>
      </c>
      <c r="C992" t="s">
        <v>4127</v>
      </c>
      <c r="D992" t="s">
        <v>229</v>
      </c>
      <c r="E992" s="13">
        <v>13000</v>
      </c>
      <c r="F992" s="12">
        <v>39.64</v>
      </c>
      <c r="G992" t="str">
        <f>IFERROR(INDEX(tEditais[Órgão],MATCH(tItens[[#This Row],[Edital]],tEditais[Edital],0)),"")</f>
        <v>COMANDO DO EXERCITO</v>
      </c>
      <c r="H992" t="str">
        <f>IFERROR(INDEX(tEditais[UF],MATCH(tItens[[#This Row],[Edital]],tEditais[Edital],0)),"")</f>
        <v>DF</v>
      </c>
      <c r="I992" s="11">
        <f>IFERROR(INDEX(tEditais[Encerramento],MATCH(tItens[[#This Row],[Edital]],tEditais[Edital],0)),"")</f>
        <v>46304.333333333336</v>
      </c>
      <c r="J992" t="str">
        <f>IFERROR(INDEX(tProdutos[Classe],MATCH(tItens[[#This Row],[Produto]],tProdutos[Produto],0)),"produto não cadastrado")</f>
        <v>FORA</v>
      </c>
      <c r="K992" s="12">
        <f>tItens[[#This Row],[Qtd]]*tItens[[#This Row],[Vlr unit]]</f>
        <v>515320</v>
      </c>
      <c r="L992" s="6">
        <f>IFERROR(IF(INDEX(tProdutos[Desconto homologado],MATCH(tItens[[#This Row],[Produto]],tProdutos[Produto],0))="",DescontoPadrao,INDEX(tProdutos[Desconto homologado],MATCH(tItens[[#This Row],[Produto]],tProdutos[Produto],0))),DescontoPadrao)</f>
        <v>0.33093491191658198</v>
      </c>
      <c r="M992" s="12">
        <f>tItens[[#This Row],[Valor]]*(1-tItens[[#This Row],[Desconto]])</f>
        <v>344782.62119114696</v>
      </c>
      <c r="N992" t="str">
        <f>IFERROR(INDEX(tProdutos[Foco],MATCH(tItens[[#This Row],[Produto]],tProdutos[Produto],0)),"Não")</f>
        <v>Não</v>
      </c>
      <c r="O992" t="str">
        <f>IFERROR(INDEX(tEditais[SRP],MATCH(tItens[[#This Row],[Edital]],tEditais[Edital],0)),"Não")</f>
        <v>Não</v>
      </c>
      <c r="P992" s="4">
        <f>IF(COUNTIFS(INDEX(tItens[Edital],1):tItens[[#This Row],[Edital]],tItens[[#This Row],[Edital]],INDEX(tItens[Produto],1):tItens[[#This Row],[Produto]],tItens[[#This Row],[Produto]])=1,1,0)</f>
        <v>0</v>
      </c>
    </row>
    <row r="993" spans="1:16" x14ac:dyDescent="0.25">
      <c r="A993" t="s">
        <v>1044</v>
      </c>
      <c r="B993">
        <v>7</v>
      </c>
      <c r="C993" t="s">
        <v>4129</v>
      </c>
      <c r="D993" t="s">
        <v>102</v>
      </c>
      <c r="E993" s="13">
        <v>130</v>
      </c>
      <c r="F993" s="12">
        <v>5.53</v>
      </c>
      <c r="G993" t="str">
        <f>IFERROR(INDEX(tEditais[Órgão],MATCH(tItens[[#This Row],[Edital]],tEditais[Edital],0)),"")</f>
        <v>COMANDO DO EXERCITO</v>
      </c>
      <c r="H993" t="str">
        <f>IFERROR(INDEX(tEditais[UF],MATCH(tItens[[#This Row],[Edital]],tEditais[Edital],0)),"")</f>
        <v>DF</v>
      </c>
      <c r="I993" s="11">
        <f>IFERROR(INDEX(tEditais[Encerramento],MATCH(tItens[[#This Row],[Edital]],tEditais[Edital],0)),"")</f>
        <v>46304.333333333336</v>
      </c>
      <c r="J993" t="str">
        <f>IFERROR(INDEX(tProdutos[Classe],MATCH(tItens[[#This Row],[Produto]],tProdutos[Produto],0)),"produto não cadastrado")</f>
        <v>DISPUTADO</v>
      </c>
      <c r="K993" s="12">
        <f>tItens[[#This Row],[Qtd]]*tItens[[#This Row],[Vlr unit]]</f>
        <v>718.9</v>
      </c>
      <c r="L993" s="6">
        <f>IFERROR(IF(INDEX(tProdutos[Desconto homologado],MATCH(tItens[[#This Row],[Produto]],tProdutos[Produto],0))="",DescontoPadrao,INDEX(tProdutos[Desconto homologado],MATCH(tItens[[#This Row],[Produto]],tProdutos[Produto],0))),DescontoPadrao)</f>
        <v>0.38053097345132803</v>
      </c>
      <c r="M993" s="12">
        <f>tItens[[#This Row],[Valor]]*(1-tItens[[#This Row],[Desconto]])</f>
        <v>445.33628318584027</v>
      </c>
      <c r="N993" t="str">
        <f>IFERROR(INDEX(tProdutos[Foco],MATCH(tItens[[#This Row],[Produto]],tProdutos[Produto],0)),"Não")</f>
        <v>Não</v>
      </c>
      <c r="O993" t="str">
        <f>IFERROR(INDEX(tEditais[SRP],MATCH(tItens[[#This Row],[Edital]],tEditais[Edital],0)),"Não")</f>
        <v>Não</v>
      </c>
      <c r="P993" s="4">
        <f>IF(COUNTIFS(INDEX(tItens[Edital],1):tItens[[#This Row],[Edital]],tItens[[#This Row],[Edital]],INDEX(tItens[Produto],1):tItens[[#This Row],[Produto]],tItens[[#This Row],[Produto]])=1,1,0)</f>
        <v>1</v>
      </c>
    </row>
    <row r="994" spans="1:16" x14ac:dyDescent="0.25">
      <c r="A994" t="s">
        <v>1044</v>
      </c>
      <c r="B994">
        <v>31</v>
      </c>
      <c r="C994" t="s">
        <v>4130</v>
      </c>
      <c r="D994" t="s">
        <v>195</v>
      </c>
      <c r="E994" s="13">
        <v>17400</v>
      </c>
      <c r="F994" s="12">
        <v>2.62</v>
      </c>
      <c r="G994" t="str">
        <f>IFERROR(INDEX(tEditais[Órgão],MATCH(tItens[[#This Row],[Edital]],tEditais[Edital],0)),"")</f>
        <v>COMANDO DO EXERCITO</v>
      </c>
      <c r="H994" t="str">
        <f>IFERROR(INDEX(tEditais[UF],MATCH(tItens[[#This Row],[Edital]],tEditais[Edital],0)),"")</f>
        <v>DF</v>
      </c>
      <c r="I994" s="11">
        <f>IFERROR(INDEX(tEditais[Encerramento],MATCH(tItens[[#This Row],[Edital]],tEditais[Edital],0)),"")</f>
        <v>46304.333333333336</v>
      </c>
      <c r="J994" t="str">
        <f>IFERROR(INDEX(tProdutos[Classe],MATCH(tItens[[#This Row],[Produto]],tProdutos[Produto],0)),"produto não cadastrado")</f>
        <v>FORA</v>
      </c>
      <c r="K994" s="12">
        <f>tItens[[#This Row],[Qtd]]*tItens[[#This Row],[Vlr unit]]</f>
        <v>45588</v>
      </c>
      <c r="L994" s="6">
        <f>IFERROR(IF(INDEX(tProdutos[Desconto homologado],MATCH(tItens[[#This Row],[Produto]],tProdutos[Produto],0))="",DescontoPadrao,INDEX(tProdutos[Desconto homologado],MATCH(tItens[[#This Row],[Produto]],tProdutos[Produto],0))),DescontoPadrao)</f>
        <v>0.27813657840171302</v>
      </c>
      <c r="M994" s="12">
        <f>tItens[[#This Row],[Valor]]*(1-tItens[[#This Row],[Desconto]])</f>
        <v>32908.309663822707</v>
      </c>
      <c r="N994" t="str">
        <f>IFERROR(INDEX(tProdutos[Foco],MATCH(tItens[[#This Row],[Produto]],tProdutos[Produto],0)),"Não")</f>
        <v>Não</v>
      </c>
      <c r="O994" t="str">
        <f>IFERROR(INDEX(tEditais[SRP],MATCH(tItens[[#This Row],[Edital]],tEditais[Edital],0)),"Não")</f>
        <v>Não</v>
      </c>
      <c r="P994" s="4">
        <f>IF(COUNTIFS(INDEX(tItens[Edital],1):tItens[[#This Row],[Edital]],tItens[[#This Row],[Edital]],INDEX(tItens[Produto],1):tItens[[#This Row],[Produto]],tItens[[#This Row],[Produto]])=1,1,0)</f>
        <v>1</v>
      </c>
    </row>
    <row r="995" spans="1:16" x14ac:dyDescent="0.25">
      <c r="A995" t="s">
        <v>1049</v>
      </c>
      <c r="B995">
        <v>1</v>
      </c>
      <c r="C995" t="s">
        <v>4131</v>
      </c>
      <c r="D995" t="s">
        <v>160</v>
      </c>
      <c r="E995" s="13">
        <v>66618</v>
      </c>
      <c r="F995" s="12">
        <v>9.6999999999999993</v>
      </c>
      <c r="G995" t="str">
        <f>IFERROR(INDEX(tEditais[Órgão],MATCH(tItens[[#This Row],[Edital]],tEditais[Edital],0)),"")</f>
        <v>DISTRITO FEDERAL SECRETARIA DE SAUDE</v>
      </c>
      <c r="H995" t="str">
        <f>IFERROR(INDEX(tEditais[UF],MATCH(tItens[[#This Row],[Edital]],tEditais[Edital],0)),"")</f>
        <v>DF</v>
      </c>
      <c r="I995" s="11">
        <f>IFERROR(INDEX(tEditais[Encerramento],MATCH(tItens[[#This Row],[Edital]],tEditais[Edital],0)),"")</f>
        <v>46308.354166666664</v>
      </c>
      <c r="J995" t="str">
        <f>IFERROR(INDEX(tProdutos[Classe],MATCH(tItens[[#This Row],[Produto]],tProdutos[Produto],0)),"produto não cadastrado")</f>
        <v>DISPUTADO</v>
      </c>
      <c r="K995" s="12">
        <f>tItens[[#This Row],[Qtd]]*tItens[[#This Row],[Vlr unit]]</f>
        <v>646194.6</v>
      </c>
      <c r="L995" s="6">
        <f>IFERROR(IF(INDEX(tProdutos[Desconto homologado],MATCH(tItens[[#This Row],[Produto]],tProdutos[Produto],0))="",DescontoPadrao,INDEX(tProdutos[Desconto homologado],MATCH(tItens[[#This Row],[Produto]],tProdutos[Produto],0))),DescontoPadrao)</f>
        <v>0.28000000000000003</v>
      </c>
      <c r="M995" s="12">
        <f>tItens[[#This Row],[Valor]]*(1-tItens[[#This Row],[Desconto]])</f>
        <v>465260.11199999996</v>
      </c>
      <c r="N995" t="str">
        <f>IFERROR(INDEX(tProdutos[Foco],MATCH(tItens[[#This Row],[Produto]],tProdutos[Produto],0)),"Não")</f>
        <v>Sim</v>
      </c>
      <c r="O995" t="str">
        <f>IFERROR(INDEX(tEditais[SRP],MATCH(tItens[[#This Row],[Edital]],tEditais[Edital],0)),"Não")</f>
        <v>Sim</v>
      </c>
      <c r="P995" s="4">
        <f>IF(COUNTIFS(INDEX(tItens[Edital],1):tItens[[#This Row],[Edital]],tItens[[#This Row],[Edital]],INDEX(tItens[Produto],1):tItens[[#This Row],[Produto]],tItens[[#This Row],[Produto]])=1,1,0)</f>
        <v>1</v>
      </c>
    </row>
    <row r="996" spans="1:16" x14ac:dyDescent="0.25">
      <c r="A996" t="s">
        <v>1049</v>
      </c>
      <c r="B996">
        <v>2</v>
      </c>
      <c r="C996" t="s">
        <v>4132</v>
      </c>
      <c r="D996" t="s">
        <v>419</v>
      </c>
      <c r="E996" s="13">
        <v>66618</v>
      </c>
      <c r="F996" s="12">
        <v>8.18</v>
      </c>
      <c r="G996" t="str">
        <f>IFERROR(INDEX(tEditais[Órgão],MATCH(tItens[[#This Row],[Edital]],tEditais[Edital],0)),"")</f>
        <v>DISTRITO FEDERAL SECRETARIA DE SAUDE</v>
      </c>
      <c r="H996" t="str">
        <f>IFERROR(INDEX(tEditais[UF],MATCH(tItens[[#This Row],[Edital]],tEditais[Edital],0)),"")</f>
        <v>DF</v>
      </c>
      <c r="I996" s="11">
        <f>IFERROR(INDEX(tEditais[Encerramento],MATCH(tItens[[#This Row],[Edital]],tEditais[Edital],0)),"")</f>
        <v>46308.354166666664</v>
      </c>
      <c r="J996" t="str">
        <f>IFERROR(INDEX(tProdutos[Classe],MATCH(tItens[[#This Row],[Produto]],tProdutos[Produto],0)),"produto não cadastrado")</f>
        <v>FORA</v>
      </c>
      <c r="K996" s="12">
        <f>tItens[[#This Row],[Qtd]]*tItens[[#This Row],[Vlr unit]]</f>
        <v>544935.24</v>
      </c>
      <c r="L996" s="6">
        <f>IFERROR(IF(INDEX(tProdutos[Desconto homologado],MATCH(tItens[[#This Row],[Produto]],tProdutos[Produto],0))="",DescontoPadrao,INDEX(tProdutos[Desconto homologado],MATCH(tItens[[#This Row],[Produto]],tProdutos[Produto],0))),DescontoPadrao)</f>
        <v>0.26185567010309302</v>
      </c>
      <c r="M996" s="12">
        <f>tItens[[#This Row],[Valor]]*(1-tItens[[#This Row],[Desconto]])</f>
        <v>402240.85756701021</v>
      </c>
      <c r="N996" t="str">
        <f>IFERROR(INDEX(tProdutos[Foco],MATCH(tItens[[#This Row],[Produto]],tProdutos[Produto],0)),"Não")</f>
        <v>Não</v>
      </c>
      <c r="O996" t="str">
        <f>IFERROR(INDEX(tEditais[SRP],MATCH(tItens[[#This Row],[Edital]],tEditais[Edital],0)),"Não")</f>
        <v>Sim</v>
      </c>
      <c r="P996" s="4">
        <f>IF(COUNTIFS(INDEX(tItens[Edital],1):tItens[[#This Row],[Edital]],tItens[[#This Row],[Edital]],INDEX(tItens[Produto],1):tItens[[#This Row],[Produto]],tItens[[#This Row],[Produto]])=1,1,0)</f>
        <v>1</v>
      </c>
    </row>
    <row r="997" spans="1:16" x14ac:dyDescent="0.25">
      <c r="A997" t="s">
        <v>1049</v>
      </c>
      <c r="B997">
        <v>3</v>
      </c>
      <c r="C997" t="s">
        <v>4133</v>
      </c>
      <c r="D997" t="s">
        <v>419</v>
      </c>
      <c r="E997" s="13">
        <v>33313</v>
      </c>
      <c r="F997" s="12">
        <v>6.37</v>
      </c>
      <c r="G997" t="str">
        <f>IFERROR(INDEX(tEditais[Órgão],MATCH(tItens[[#This Row],[Edital]],tEditais[Edital],0)),"")</f>
        <v>DISTRITO FEDERAL SECRETARIA DE SAUDE</v>
      </c>
      <c r="H997" t="str">
        <f>IFERROR(INDEX(tEditais[UF],MATCH(tItens[[#This Row],[Edital]],tEditais[Edital],0)),"")</f>
        <v>DF</v>
      </c>
      <c r="I997" s="11">
        <f>IFERROR(INDEX(tEditais[Encerramento],MATCH(tItens[[#This Row],[Edital]],tEditais[Edital],0)),"")</f>
        <v>46308.354166666664</v>
      </c>
      <c r="J997" t="str">
        <f>IFERROR(INDEX(tProdutos[Classe],MATCH(tItens[[#This Row],[Produto]],tProdutos[Produto],0)),"produto não cadastrado")</f>
        <v>FORA</v>
      </c>
      <c r="K997" s="12">
        <f>tItens[[#This Row],[Qtd]]*tItens[[#This Row],[Vlr unit]]</f>
        <v>212203.81</v>
      </c>
      <c r="L997" s="6">
        <f>IFERROR(IF(INDEX(tProdutos[Desconto homologado],MATCH(tItens[[#This Row],[Produto]],tProdutos[Produto],0))="",DescontoPadrao,INDEX(tProdutos[Desconto homologado],MATCH(tItens[[#This Row],[Produto]],tProdutos[Produto],0))),DescontoPadrao)</f>
        <v>0.26185567010309302</v>
      </c>
      <c r="M997" s="12">
        <f>tItens[[#This Row],[Valor]]*(1-tItens[[#This Row],[Desconto]])</f>
        <v>156637.03913402057</v>
      </c>
      <c r="N997" t="str">
        <f>IFERROR(INDEX(tProdutos[Foco],MATCH(tItens[[#This Row],[Produto]],tProdutos[Produto],0)),"Não")</f>
        <v>Não</v>
      </c>
      <c r="O997" t="str">
        <f>IFERROR(INDEX(tEditais[SRP],MATCH(tItens[[#This Row],[Edital]],tEditais[Edital],0)),"Não")</f>
        <v>Sim</v>
      </c>
      <c r="P997" s="4">
        <f>IF(COUNTIFS(INDEX(tItens[Edital],1):tItens[[#This Row],[Edital]],tItens[[#This Row],[Edital]],INDEX(tItens[Produto],1):tItens[[#This Row],[Produto]],tItens[[#This Row],[Produto]])=1,1,0)</f>
        <v>0</v>
      </c>
    </row>
    <row r="998" spans="1:16" x14ac:dyDescent="0.25">
      <c r="A998" t="s">
        <v>1049</v>
      </c>
      <c r="B998">
        <v>4</v>
      </c>
      <c r="C998" t="s">
        <v>4134</v>
      </c>
      <c r="D998" t="s">
        <v>419</v>
      </c>
      <c r="E998" s="13">
        <v>33313</v>
      </c>
      <c r="F998" s="12">
        <v>8.76</v>
      </c>
      <c r="G998" t="str">
        <f>IFERROR(INDEX(tEditais[Órgão],MATCH(tItens[[#This Row],[Edital]],tEditais[Edital],0)),"")</f>
        <v>DISTRITO FEDERAL SECRETARIA DE SAUDE</v>
      </c>
      <c r="H998" t="str">
        <f>IFERROR(INDEX(tEditais[UF],MATCH(tItens[[#This Row],[Edital]],tEditais[Edital],0)),"")</f>
        <v>DF</v>
      </c>
      <c r="I998" s="11">
        <f>IFERROR(INDEX(tEditais[Encerramento],MATCH(tItens[[#This Row],[Edital]],tEditais[Edital],0)),"")</f>
        <v>46308.354166666664</v>
      </c>
      <c r="J998" t="str">
        <f>IFERROR(INDEX(tProdutos[Classe],MATCH(tItens[[#This Row],[Produto]],tProdutos[Produto],0)),"produto não cadastrado")</f>
        <v>FORA</v>
      </c>
      <c r="K998" s="12">
        <f>tItens[[#This Row],[Qtd]]*tItens[[#This Row],[Vlr unit]]</f>
        <v>291821.88</v>
      </c>
      <c r="L998" s="6">
        <f>IFERROR(IF(INDEX(tProdutos[Desconto homologado],MATCH(tItens[[#This Row],[Produto]],tProdutos[Produto],0))="",DescontoPadrao,INDEX(tProdutos[Desconto homologado],MATCH(tItens[[#This Row],[Produto]],tProdutos[Produto],0))),DescontoPadrao)</f>
        <v>0.26185567010309302</v>
      </c>
      <c r="M998" s="12">
        <f>tItens[[#This Row],[Valor]]*(1-tItens[[#This Row],[Desconto]])</f>
        <v>215406.66606185562</v>
      </c>
      <c r="N998" t="str">
        <f>IFERROR(INDEX(tProdutos[Foco],MATCH(tItens[[#This Row],[Produto]],tProdutos[Produto],0)),"Não")</f>
        <v>Não</v>
      </c>
      <c r="O998" t="str">
        <f>IFERROR(INDEX(tEditais[SRP],MATCH(tItens[[#This Row],[Edital]],tEditais[Edital],0)),"Não")</f>
        <v>Sim</v>
      </c>
      <c r="P998" s="4">
        <f>IF(COUNTIFS(INDEX(tItens[Edital],1):tItens[[#This Row],[Edital]],tItens[[#This Row],[Edital]],INDEX(tItens[Produto],1):tItens[[#This Row],[Produto]],tItens[[#This Row],[Produto]])=1,1,0)</f>
        <v>0</v>
      </c>
    </row>
    <row r="999" spans="1:16" x14ac:dyDescent="0.25">
      <c r="A999" t="s">
        <v>1049</v>
      </c>
      <c r="B999">
        <v>5</v>
      </c>
      <c r="C999" t="s">
        <v>4131</v>
      </c>
      <c r="D999" t="s">
        <v>160</v>
      </c>
      <c r="E999" s="13">
        <v>22206</v>
      </c>
      <c r="F999" s="12">
        <v>9.6999999999999993</v>
      </c>
      <c r="G999" t="str">
        <f>IFERROR(INDEX(tEditais[Órgão],MATCH(tItens[[#This Row],[Edital]],tEditais[Edital],0)),"")</f>
        <v>DISTRITO FEDERAL SECRETARIA DE SAUDE</v>
      </c>
      <c r="H999" t="str">
        <f>IFERROR(INDEX(tEditais[UF],MATCH(tItens[[#This Row],[Edital]],tEditais[Edital],0)),"")</f>
        <v>DF</v>
      </c>
      <c r="I999" s="11">
        <f>IFERROR(INDEX(tEditais[Encerramento],MATCH(tItens[[#This Row],[Edital]],tEditais[Edital],0)),"")</f>
        <v>46308.354166666664</v>
      </c>
      <c r="J999" t="str">
        <f>IFERROR(INDEX(tProdutos[Classe],MATCH(tItens[[#This Row],[Produto]],tProdutos[Produto],0)),"produto não cadastrado")</f>
        <v>DISPUTADO</v>
      </c>
      <c r="K999" s="12">
        <f>tItens[[#This Row],[Qtd]]*tItens[[#This Row],[Vlr unit]]</f>
        <v>215398.19999999998</v>
      </c>
      <c r="L999" s="6">
        <f>IFERROR(IF(INDEX(tProdutos[Desconto homologado],MATCH(tItens[[#This Row],[Produto]],tProdutos[Produto],0))="",DescontoPadrao,INDEX(tProdutos[Desconto homologado],MATCH(tItens[[#This Row],[Produto]],tProdutos[Produto],0))),DescontoPadrao)</f>
        <v>0.28000000000000003</v>
      </c>
      <c r="M999" s="12">
        <f>tItens[[#This Row],[Valor]]*(1-tItens[[#This Row],[Desconto]])</f>
        <v>155086.70399999997</v>
      </c>
      <c r="N999" t="str">
        <f>IFERROR(INDEX(tProdutos[Foco],MATCH(tItens[[#This Row],[Produto]],tProdutos[Produto],0)),"Não")</f>
        <v>Sim</v>
      </c>
      <c r="O999" t="str">
        <f>IFERROR(INDEX(tEditais[SRP],MATCH(tItens[[#This Row],[Edital]],tEditais[Edital],0)),"Não")</f>
        <v>Sim</v>
      </c>
      <c r="P999" s="4">
        <f>IF(COUNTIFS(INDEX(tItens[Edital],1):tItens[[#This Row],[Edital]],tItens[[#This Row],[Edital]],INDEX(tItens[Produto],1):tItens[[#This Row],[Produto]],tItens[[#This Row],[Produto]])=1,1,0)</f>
        <v>0</v>
      </c>
    </row>
    <row r="1000" spans="1:16" x14ac:dyDescent="0.25">
      <c r="A1000" t="s">
        <v>1049</v>
      </c>
      <c r="B1000">
        <v>6</v>
      </c>
      <c r="C1000" t="s">
        <v>4132</v>
      </c>
      <c r="D1000" t="s">
        <v>419</v>
      </c>
      <c r="E1000" s="13">
        <v>22206</v>
      </c>
      <c r="F1000" s="12">
        <v>8.18</v>
      </c>
      <c r="G1000" t="str">
        <f>IFERROR(INDEX(tEditais[Órgão],MATCH(tItens[[#This Row],[Edital]],tEditais[Edital],0)),"")</f>
        <v>DISTRITO FEDERAL SECRETARIA DE SAUDE</v>
      </c>
      <c r="H1000" t="str">
        <f>IFERROR(INDEX(tEditais[UF],MATCH(tItens[[#This Row],[Edital]],tEditais[Edital],0)),"")</f>
        <v>DF</v>
      </c>
      <c r="I1000" s="11">
        <f>IFERROR(INDEX(tEditais[Encerramento],MATCH(tItens[[#This Row],[Edital]],tEditais[Edital],0)),"")</f>
        <v>46308.354166666664</v>
      </c>
      <c r="J1000" t="str">
        <f>IFERROR(INDEX(tProdutos[Classe],MATCH(tItens[[#This Row],[Produto]],tProdutos[Produto],0)),"produto não cadastrado")</f>
        <v>FORA</v>
      </c>
      <c r="K1000" s="12">
        <f>tItens[[#This Row],[Qtd]]*tItens[[#This Row],[Vlr unit]]</f>
        <v>181645.08</v>
      </c>
      <c r="L1000" s="6">
        <f>IFERROR(IF(INDEX(tProdutos[Desconto homologado],MATCH(tItens[[#This Row],[Produto]],tProdutos[Produto],0))="",DescontoPadrao,INDEX(tProdutos[Desconto homologado],MATCH(tItens[[#This Row],[Produto]],tProdutos[Produto],0))),DescontoPadrao)</f>
        <v>0.26185567010309302</v>
      </c>
      <c r="M1000" s="12">
        <f>tItens[[#This Row],[Valor]]*(1-tItens[[#This Row],[Desconto]])</f>
        <v>134080.28585567005</v>
      </c>
      <c r="N1000" t="str">
        <f>IFERROR(INDEX(tProdutos[Foco],MATCH(tItens[[#This Row],[Produto]],tProdutos[Produto],0)),"Não")</f>
        <v>Não</v>
      </c>
      <c r="O1000" t="str">
        <f>IFERROR(INDEX(tEditais[SRP],MATCH(tItens[[#This Row],[Edital]],tEditais[Edital],0)),"Não")</f>
        <v>Sim</v>
      </c>
      <c r="P1000" s="4">
        <f>IF(COUNTIFS(INDEX(tItens[Edital],1):tItens[[#This Row],[Edital]],tItens[[#This Row],[Edital]],INDEX(tItens[Produto],1):tItens[[#This Row],[Produto]],tItens[[#This Row],[Produto]])=1,1,0)</f>
        <v>0</v>
      </c>
    </row>
    <row r="1001" spans="1:16" x14ac:dyDescent="0.25">
      <c r="A1001" t="s">
        <v>1049</v>
      </c>
      <c r="B1001">
        <v>7</v>
      </c>
      <c r="C1001" t="s">
        <v>4133</v>
      </c>
      <c r="D1001" t="s">
        <v>419</v>
      </c>
      <c r="E1001" s="13">
        <v>11104</v>
      </c>
      <c r="F1001" s="12">
        <v>6.37</v>
      </c>
      <c r="G1001" t="str">
        <f>IFERROR(INDEX(tEditais[Órgão],MATCH(tItens[[#This Row],[Edital]],tEditais[Edital],0)),"")</f>
        <v>DISTRITO FEDERAL SECRETARIA DE SAUDE</v>
      </c>
      <c r="H1001" t="str">
        <f>IFERROR(INDEX(tEditais[UF],MATCH(tItens[[#This Row],[Edital]],tEditais[Edital],0)),"")</f>
        <v>DF</v>
      </c>
      <c r="I1001" s="11">
        <f>IFERROR(INDEX(tEditais[Encerramento],MATCH(tItens[[#This Row],[Edital]],tEditais[Edital],0)),"")</f>
        <v>46308.354166666664</v>
      </c>
      <c r="J1001" t="str">
        <f>IFERROR(INDEX(tProdutos[Classe],MATCH(tItens[[#This Row],[Produto]],tProdutos[Produto],0)),"produto não cadastrado")</f>
        <v>FORA</v>
      </c>
      <c r="K1001" s="12">
        <f>tItens[[#This Row],[Qtd]]*tItens[[#This Row],[Vlr unit]]</f>
        <v>70732.479999999996</v>
      </c>
      <c r="L1001" s="6">
        <f>IFERROR(IF(INDEX(tProdutos[Desconto homologado],MATCH(tItens[[#This Row],[Produto]],tProdutos[Produto],0))="",DescontoPadrao,INDEX(tProdutos[Desconto homologado],MATCH(tItens[[#This Row],[Produto]],tProdutos[Produto],0))),DescontoPadrao)</f>
        <v>0.26185567010309302</v>
      </c>
      <c r="M1001" s="12">
        <f>tItens[[#This Row],[Valor]]*(1-tItens[[#This Row],[Desconto]])</f>
        <v>52210.779051546378</v>
      </c>
      <c r="N1001" t="str">
        <f>IFERROR(INDEX(tProdutos[Foco],MATCH(tItens[[#This Row],[Produto]],tProdutos[Produto],0)),"Não")</f>
        <v>Não</v>
      </c>
      <c r="O1001" t="str">
        <f>IFERROR(INDEX(tEditais[SRP],MATCH(tItens[[#This Row],[Edital]],tEditais[Edital],0)),"Não")</f>
        <v>Sim</v>
      </c>
      <c r="P1001" s="4">
        <f>IF(COUNTIFS(INDEX(tItens[Edital],1):tItens[[#This Row],[Edital]],tItens[[#This Row],[Edital]],INDEX(tItens[Produto],1):tItens[[#This Row],[Produto]],tItens[[#This Row],[Produto]])=1,1,0)</f>
        <v>0</v>
      </c>
    </row>
    <row r="1002" spans="1:16" x14ac:dyDescent="0.25">
      <c r="A1002" t="s">
        <v>1049</v>
      </c>
      <c r="B1002">
        <v>8</v>
      </c>
      <c r="C1002" t="s">
        <v>4134</v>
      </c>
      <c r="D1002" t="s">
        <v>419</v>
      </c>
      <c r="E1002" s="13">
        <v>11104</v>
      </c>
      <c r="F1002" s="12">
        <v>8.76</v>
      </c>
      <c r="G1002" t="str">
        <f>IFERROR(INDEX(tEditais[Órgão],MATCH(tItens[[#This Row],[Edital]],tEditais[Edital],0)),"")</f>
        <v>DISTRITO FEDERAL SECRETARIA DE SAUDE</v>
      </c>
      <c r="H1002" t="str">
        <f>IFERROR(INDEX(tEditais[UF],MATCH(tItens[[#This Row],[Edital]],tEditais[Edital],0)),"")</f>
        <v>DF</v>
      </c>
      <c r="I1002" s="11">
        <f>IFERROR(INDEX(tEditais[Encerramento],MATCH(tItens[[#This Row],[Edital]],tEditais[Edital],0)),"")</f>
        <v>46308.354166666664</v>
      </c>
      <c r="J1002" t="str">
        <f>IFERROR(INDEX(tProdutos[Classe],MATCH(tItens[[#This Row],[Produto]],tProdutos[Produto],0)),"produto não cadastrado")</f>
        <v>FORA</v>
      </c>
      <c r="K1002" s="12">
        <f>tItens[[#This Row],[Qtd]]*tItens[[#This Row],[Vlr unit]]</f>
        <v>97271.039999999994</v>
      </c>
      <c r="L1002" s="6">
        <f>IFERROR(IF(INDEX(tProdutos[Desconto homologado],MATCH(tItens[[#This Row],[Produto]],tProdutos[Produto],0))="",DescontoPadrao,INDEX(tProdutos[Desconto homologado],MATCH(tItens[[#This Row],[Produto]],tProdutos[Produto],0))),DescontoPadrao)</f>
        <v>0.26185567010309302</v>
      </c>
      <c r="M1002" s="12">
        <f>tItens[[#This Row],[Valor]]*(1-tItens[[#This Row],[Desconto]])</f>
        <v>71800.066639175231</v>
      </c>
      <c r="N1002" t="str">
        <f>IFERROR(INDEX(tProdutos[Foco],MATCH(tItens[[#This Row],[Produto]],tProdutos[Produto],0)),"Não")</f>
        <v>Não</v>
      </c>
      <c r="O1002" t="str">
        <f>IFERROR(INDEX(tEditais[SRP],MATCH(tItens[[#This Row],[Edital]],tEditais[Edital],0)),"Não")</f>
        <v>Sim</v>
      </c>
      <c r="P1002" s="4">
        <f>IF(COUNTIFS(INDEX(tItens[Edital],1):tItens[[#This Row],[Edital]],tItens[[#This Row],[Edital]],INDEX(tItens[Produto],1):tItens[[#This Row],[Produto]],tItens[[#This Row],[Produto]])=1,1,0)</f>
        <v>0</v>
      </c>
    </row>
    <row r="1003" spans="1:16" x14ac:dyDescent="0.25">
      <c r="A1003" t="s">
        <v>1053</v>
      </c>
      <c r="B1003">
        <v>4</v>
      </c>
      <c r="C1003" t="s">
        <v>4135</v>
      </c>
      <c r="D1003" t="s">
        <v>297</v>
      </c>
      <c r="E1003" s="13">
        <v>25</v>
      </c>
      <c r="F1003" s="12">
        <v>31.53</v>
      </c>
      <c r="G1003" t="str">
        <f>IFERROR(INDEX(tEditais[Órgão],MATCH(tItens[[#This Row],[Edital]],tEditais[Edital],0)),"")</f>
        <v>POLICIA MILITAR DO DISTRITO FEDERAL</v>
      </c>
      <c r="H1003" t="str">
        <f>IFERROR(INDEX(tEditais[UF],MATCH(tItens[[#This Row],[Edital]],tEditais[Edital],0)),"")</f>
        <v>DF</v>
      </c>
      <c r="I1003" s="11">
        <f>IFERROR(INDEX(tEditais[Encerramento],MATCH(tItens[[#This Row],[Edital]],tEditais[Edital],0)),"")</f>
        <v>46308.583333333336</v>
      </c>
      <c r="J1003" t="str">
        <f>IFERROR(INDEX(tProdutos[Classe],MATCH(tItens[[#This Row],[Produto]],tProdutos[Produto],0)),"produto não cadastrado")</f>
        <v>FORA</v>
      </c>
      <c r="K1003" s="12">
        <f>tItens[[#This Row],[Qtd]]*tItens[[#This Row],[Vlr unit]]</f>
        <v>788.25</v>
      </c>
      <c r="L1003" s="6">
        <f>IFERROR(IF(INDEX(tProdutos[Desconto homologado],MATCH(tItens[[#This Row],[Produto]],tProdutos[Produto],0))="",DescontoPadrao,INDEX(tProdutos[Desconto homologado],MATCH(tItens[[#This Row],[Produto]],tProdutos[Produto],0))),DescontoPadrao)</f>
        <v>0.249544626593807</v>
      </c>
      <c r="M1003" s="12">
        <f>tItens[[#This Row],[Valor]]*(1-tItens[[#This Row],[Desconto]])</f>
        <v>591.5464480874316</v>
      </c>
      <c r="N1003" t="str">
        <f>IFERROR(INDEX(tProdutos[Foco],MATCH(tItens[[#This Row],[Produto]],tProdutos[Produto],0)),"Não")</f>
        <v>Não</v>
      </c>
      <c r="O1003" t="str">
        <f>IFERROR(INDEX(tEditais[SRP],MATCH(tItens[[#This Row],[Edital]],tEditais[Edital],0)),"Não")</f>
        <v>Sim</v>
      </c>
      <c r="P1003" s="4">
        <f>IF(COUNTIFS(INDEX(tItens[Edital],1):tItens[[#This Row],[Edital]],tItens[[#This Row],[Edital]],INDEX(tItens[Produto],1):tItens[[#This Row],[Produto]],tItens[[#This Row],[Produto]])=1,1,0)</f>
        <v>1</v>
      </c>
    </row>
    <row r="1004" spans="1:16" x14ac:dyDescent="0.25">
      <c r="A1004" t="s">
        <v>1053</v>
      </c>
      <c r="B1004">
        <v>5</v>
      </c>
      <c r="C1004" t="s">
        <v>4136</v>
      </c>
      <c r="D1004" t="s">
        <v>297</v>
      </c>
      <c r="E1004" s="13">
        <v>47</v>
      </c>
      <c r="F1004" s="12">
        <v>32.369999999999997</v>
      </c>
      <c r="G1004" t="str">
        <f>IFERROR(INDEX(tEditais[Órgão],MATCH(tItens[[#This Row],[Edital]],tEditais[Edital],0)),"")</f>
        <v>POLICIA MILITAR DO DISTRITO FEDERAL</v>
      </c>
      <c r="H1004" t="str">
        <f>IFERROR(INDEX(tEditais[UF],MATCH(tItens[[#This Row],[Edital]],tEditais[Edital],0)),"")</f>
        <v>DF</v>
      </c>
      <c r="I1004" s="11">
        <f>IFERROR(INDEX(tEditais[Encerramento],MATCH(tItens[[#This Row],[Edital]],tEditais[Edital],0)),"")</f>
        <v>46308.583333333336</v>
      </c>
      <c r="J1004" t="str">
        <f>IFERROR(INDEX(tProdutos[Classe],MATCH(tItens[[#This Row],[Produto]],tProdutos[Produto],0)),"produto não cadastrado")</f>
        <v>FORA</v>
      </c>
      <c r="K1004" s="12">
        <f>tItens[[#This Row],[Qtd]]*tItens[[#This Row],[Vlr unit]]</f>
        <v>1521.3899999999999</v>
      </c>
      <c r="L1004" s="6">
        <f>IFERROR(IF(INDEX(tProdutos[Desconto homologado],MATCH(tItens[[#This Row],[Produto]],tProdutos[Produto],0))="",DescontoPadrao,INDEX(tProdutos[Desconto homologado],MATCH(tItens[[#This Row],[Produto]],tProdutos[Produto],0))),DescontoPadrao)</f>
        <v>0.249544626593807</v>
      </c>
      <c r="M1004" s="12">
        <f>tItens[[#This Row],[Valor]]*(1-tItens[[#This Row],[Desconto]])</f>
        <v>1141.7353005464479</v>
      </c>
      <c r="N1004" t="str">
        <f>IFERROR(INDEX(tProdutos[Foco],MATCH(tItens[[#This Row],[Produto]],tProdutos[Produto],0)),"Não")</f>
        <v>Não</v>
      </c>
      <c r="O1004" t="str">
        <f>IFERROR(INDEX(tEditais[SRP],MATCH(tItens[[#This Row],[Edital]],tEditais[Edital],0)),"Não")</f>
        <v>Sim</v>
      </c>
      <c r="P1004" s="4">
        <f>IF(COUNTIFS(INDEX(tItens[Edital],1):tItens[[#This Row],[Edital]],tItens[[#This Row],[Edital]],INDEX(tItens[Produto],1):tItens[[#This Row],[Produto]],tItens[[#This Row],[Produto]])=1,1,0)</f>
        <v>0</v>
      </c>
    </row>
    <row r="1005" spans="1:16" x14ac:dyDescent="0.25">
      <c r="A1005" t="s">
        <v>1053</v>
      </c>
      <c r="B1005">
        <v>6</v>
      </c>
      <c r="C1005" t="s">
        <v>3478</v>
      </c>
      <c r="D1005" t="s">
        <v>315</v>
      </c>
      <c r="E1005" s="13">
        <v>55</v>
      </c>
      <c r="F1005" s="12">
        <v>40.49</v>
      </c>
      <c r="G1005" t="str">
        <f>IFERROR(INDEX(tEditais[Órgão],MATCH(tItens[[#This Row],[Edital]],tEditais[Edital],0)),"")</f>
        <v>POLICIA MILITAR DO DISTRITO FEDERAL</v>
      </c>
      <c r="H1005" t="str">
        <f>IFERROR(INDEX(tEditais[UF],MATCH(tItens[[#This Row],[Edital]],tEditais[Edital],0)),"")</f>
        <v>DF</v>
      </c>
      <c r="I1005" s="11">
        <f>IFERROR(INDEX(tEditais[Encerramento],MATCH(tItens[[#This Row],[Edital]],tEditais[Edital],0)),"")</f>
        <v>46308.583333333336</v>
      </c>
      <c r="J1005" t="str">
        <f>IFERROR(INDEX(tProdutos[Classe],MATCH(tItens[[#This Row],[Produto]],tProdutos[Produto],0)),"produto não cadastrado")</f>
        <v>FORA</v>
      </c>
      <c r="K1005" s="12">
        <f>tItens[[#This Row],[Qtd]]*tItens[[#This Row],[Vlr unit]]</f>
        <v>2226.9500000000003</v>
      </c>
      <c r="L1005" s="6">
        <f>IFERROR(IF(INDEX(tProdutos[Desconto homologado],MATCH(tItens[[#This Row],[Produto]],tProdutos[Produto],0))="",DescontoPadrao,INDEX(tProdutos[Desconto homologado],MATCH(tItens[[#This Row],[Produto]],tProdutos[Produto],0))),DescontoPadrao)</f>
        <v>0.38432036097010702</v>
      </c>
      <c r="M1005" s="12">
        <f>tItens[[#This Row],[Valor]]*(1-tItens[[#This Row],[Desconto]])</f>
        <v>1371.0877721376203</v>
      </c>
      <c r="N1005" t="str">
        <f>IFERROR(INDEX(tProdutos[Foco],MATCH(tItens[[#This Row],[Produto]],tProdutos[Produto],0)),"Não")</f>
        <v>Não</v>
      </c>
      <c r="O1005" t="str">
        <f>IFERROR(INDEX(tEditais[SRP],MATCH(tItens[[#This Row],[Edital]],tEditais[Edital],0)),"Não")</f>
        <v>Sim</v>
      </c>
      <c r="P1005" s="4">
        <f>IF(COUNTIFS(INDEX(tItens[Edital],1):tItens[[#This Row],[Edital]],tItens[[#This Row],[Edital]],INDEX(tItens[Produto],1):tItens[[#This Row],[Produto]],tItens[[#This Row],[Produto]])=1,1,0)</f>
        <v>1</v>
      </c>
    </row>
    <row r="1006" spans="1:16" x14ac:dyDescent="0.25">
      <c r="A1006" t="s">
        <v>1053</v>
      </c>
      <c r="B1006">
        <v>7</v>
      </c>
      <c r="C1006" t="s">
        <v>4137</v>
      </c>
      <c r="D1006" t="s">
        <v>315</v>
      </c>
      <c r="E1006" s="13">
        <v>26</v>
      </c>
      <c r="F1006" s="12">
        <v>41.7</v>
      </c>
      <c r="G1006" t="str">
        <f>IFERROR(INDEX(tEditais[Órgão],MATCH(tItens[[#This Row],[Edital]],tEditais[Edital],0)),"")</f>
        <v>POLICIA MILITAR DO DISTRITO FEDERAL</v>
      </c>
      <c r="H1006" t="str">
        <f>IFERROR(INDEX(tEditais[UF],MATCH(tItens[[#This Row],[Edital]],tEditais[Edital],0)),"")</f>
        <v>DF</v>
      </c>
      <c r="I1006" s="11">
        <f>IFERROR(INDEX(tEditais[Encerramento],MATCH(tItens[[#This Row],[Edital]],tEditais[Edital],0)),"")</f>
        <v>46308.583333333336</v>
      </c>
      <c r="J1006" t="str">
        <f>IFERROR(INDEX(tProdutos[Classe],MATCH(tItens[[#This Row],[Produto]],tProdutos[Produto],0)),"produto não cadastrado")</f>
        <v>FORA</v>
      </c>
      <c r="K1006" s="12">
        <f>tItens[[#This Row],[Qtd]]*tItens[[#This Row],[Vlr unit]]</f>
        <v>1084.2</v>
      </c>
      <c r="L1006" s="6">
        <f>IFERROR(IF(INDEX(tProdutos[Desconto homologado],MATCH(tItens[[#This Row],[Produto]],tProdutos[Produto],0))="",DescontoPadrao,INDEX(tProdutos[Desconto homologado],MATCH(tItens[[#This Row],[Produto]],tProdutos[Produto],0))),DescontoPadrao)</f>
        <v>0.38432036097010702</v>
      </c>
      <c r="M1006" s="12">
        <f>tItens[[#This Row],[Valor]]*(1-tItens[[#This Row],[Desconto]])</f>
        <v>667.51986463620995</v>
      </c>
      <c r="N1006" t="str">
        <f>IFERROR(INDEX(tProdutos[Foco],MATCH(tItens[[#This Row],[Produto]],tProdutos[Produto],0)),"Não")</f>
        <v>Não</v>
      </c>
      <c r="O1006" t="str">
        <f>IFERROR(INDEX(tEditais[SRP],MATCH(tItens[[#This Row],[Edital]],tEditais[Edital],0)),"Não")</f>
        <v>Sim</v>
      </c>
      <c r="P1006" s="4">
        <f>IF(COUNTIFS(INDEX(tItens[Edital],1):tItens[[#This Row],[Edital]],tItens[[#This Row],[Edital]],INDEX(tItens[Produto],1):tItens[[#This Row],[Produto]],tItens[[#This Row],[Produto]])=1,1,0)</f>
        <v>0</v>
      </c>
    </row>
    <row r="1007" spans="1:16" x14ac:dyDescent="0.25">
      <c r="A1007" t="s">
        <v>1053</v>
      </c>
      <c r="B1007">
        <v>8</v>
      </c>
      <c r="C1007" t="s">
        <v>4138</v>
      </c>
      <c r="D1007" t="s">
        <v>315</v>
      </c>
      <c r="E1007" s="13">
        <v>76</v>
      </c>
      <c r="F1007" s="12">
        <v>29.76</v>
      </c>
      <c r="G1007" t="str">
        <f>IFERROR(INDEX(tEditais[Órgão],MATCH(tItens[[#This Row],[Edital]],tEditais[Edital],0)),"")</f>
        <v>POLICIA MILITAR DO DISTRITO FEDERAL</v>
      </c>
      <c r="H1007" t="str">
        <f>IFERROR(INDEX(tEditais[UF],MATCH(tItens[[#This Row],[Edital]],tEditais[Edital],0)),"")</f>
        <v>DF</v>
      </c>
      <c r="I1007" s="11">
        <f>IFERROR(INDEX(tEditais[Encerramento],MATCH(tItens[[#This Row],[Edital]],tEditais[Edital],0)),"")</f>
        <v>46308.583333333336</v>
      </c>
      <c r="J1007" t="str">
        <f>IFERROR(INDEX(tProdutos[Classe],MATCH(tItens[[#This Row],[Produto]],tProdutos[Produto],0)),"produto não cadastrado")</f>
        <v>FORA</v>
      </c>
      <c r="K1007" s="12">
        <f>tItens[[#This Row],[Qtd]]*tItens[[#This Row],[Vlr unit]]</f>
        <v>2261.7600000000002</v>
      </c>
      <c r="L1007" s="6">
        <f>IFERROR(IF(INDEX(tProdutos[Desconto homologado],MATCH(tItens[[#This Row],[Produto]],tProdutos[Produto],0))="",DescontoPadrao,INDEX(tProdutos[Desconto homologado],MATCH(tItens[[#This Row],[Produto]],tProdutos[Produto],0))),DescontoPadrao)</f>
        <v>0.38432036097010702</v>
      </c>
      <c r="M1007" s="12">
        <f>tItens[[#This Row],[Valor]]*(1-tItens[[#This Row],[Desconto]])</f>
        <v>1392.5195803722509</v>
      </c>
      <c r="N1007" t="str">
        <f>IFERROR(INDEX(tProdutos[Foco],MATCH(tItens[[#This Row],[Produto]],tProdutos[Produto],0)),"Não")</f>
        <v>Não</v>
      </c>
      <c r="O1007" t="str">
        <f>IFERROR(INDEX(tEditais[SRP],MATCH(tItens[[#This Row],[Edital]],tEditais[Edital],0)),"Não")</f>
        <v>Sim</v>
      </c>
      <c r="P1007" s="4">
        <f>IF(COUNTIFS(INDEX(tItens[Edital],1):tItens[[#This Row],[Edital]],tItens[[#This Row],[Edital]],INDEX(tItens[Produto],1):tItens[[#This Row],[Produto]],tItens[[#This Row],[Produto]])=1,1,0)</f>
        <v>0</v>
      </c>
    </row>
    <row r="1008" spans="1:16" x14ac:dyDescent="0.25">
      <c r="A1008" t="s">
        <v>1053</v>
      </c>
      <c r="B1008">
        <v>9</v>
      </c>
      <c r="C1008" t="s">
        <v>4139</v>
      </c>
      <c r="D1008" t="s">
        <v>315</v>
      </c>
      <c r="E1008" s="13">
        <v>5</v>
      </c>
      <c r="F1008" s="12">
        <v>39.630000000000003</v>
      </c>
      <c r="G1008" t="str">
        <f>IFERROR(INDEX(tEditais[Órgão],MATCH(tItens[[#This Row],[Edital]],tEditais[Edital],0)),"")</f>
        <v>POLICIA MILITAR DO DISTRITO FEDERAL</v>
      </c>
      <c r="H1008" t="str">
        <f>IFERROR(INDEX(tEditais[UF],MATCH(tItens[[#This Row],[Edital]],tEditais[Edital],0)),"")</f>
        <v>DF</v>
      </c>
      <c r="I1008" s="11">
        <f>IFERROR(INDEX(tEditais[Encerramento],MATCH(tItens[[#This Row],[Edital]],tEditais[Edital],0)),"")</f>
        <v>46308.583333333336</v>
      </c>
      <c r="J1008" t="str">
        <f>IFERROR(INDEX(tProdutos[Classe],MATCH(tItens[[#This Row],[Produto]],tProdutos[Produto],0)),"produto não cadastrado")</f>
        <v>FORA</v>
      </c>
      <c r="K1008" s="12">
        <f>tItens[[#This Row],[Qtd]]*tItens[[#This Row],[Vlr unit]]</f>
        <v>198.15</v>
      </c>
      <c r="L1008" s="6">
        <f>IFERROR(IF(INDEX(tProdutos[Desconto homologado],MATCH(tItens[[#This Row],[Produto]],tProdutos[Produto],0))="",DescontoPadrao,INDEX(tProdutos[Desconto homologado],MATCH(tItens[[#This Row],[Produto]],tProdutos[Produto],0))),DescontoPadrao)</f>
        <v>0.38432036097010702</v>
      </c>
      <c r="M1008" s="12">
        <f>tItens[[#This Row],[Valor]]*(1-tItens[[#This Row],[Desconto]])</f>
        <v>121.9969204737733</v>
      </c>
      <c r="N1008" t="str">
        <f>IFERROR(INDEX(tProdutos[Foco],MATCH(tItens[[#This Row],[Produto]],tProdutos[Produto],0)),"Não")</f>
        <v>Não</v>
      </c>
      <c r="O1008" t="str">
        <f>IFERROR(INDEX(tEditais[SRP],MATCH(tItens[[#This Row],[Edital]],tEditais[Edital],0)),"Não")</f>
        <v>Sim</v>
      </c>
      <c r="P1008" s="4">
        <f>IF(COUNTIFS(INDEX(tItens[Edital],1):tItens[[#This Row],[Edital]],tItens[[#This Row],[Edital]],INDEX(tItens[Produto],1):tItens[[#This Row],[Produto]],tItens[[#This Row],[Produto]])=1,1,0)</f>
        <v>0</v>
      </c>
    </row>
    <row r="1009" spans="1:16" x14ac:dyDescent="0.25">
      <c r="A1009" t="s">
        <v>1053</v>
      </c>
      <c r="B1009">
        <v>10</v>
      </c>
      <c r="C1009" t="s">
        <v>4113</v>
      </c>
      <c r="D1009" t="s">
        <v>315</v>
      </c>
      <c r="E1009" s="13">
        <v>30</v>
      </c>
      <c r="F1009" s="12">
        <v>43.03</v>
      </c>
      <c r="G1009" t="str">
        <f>IFERROR(INDEX(tEditais[Órgão],MATCH(tItens[[#This Row],[Edital]],tEditais[Edital],0)),"")</f>
        <v>POLICIA MILITAR DO DISTRITO FEDERAL</v>
      </c>
      <c r="H1009" t="str">
        <f>IFERROR(INDEX(tEditais[UF],MATCH(tItens[[#This Row],[Edital]],tEditais[Edital],0)),"")</f>
        <v>DF</v>
      </c>
      <c r="I1009" s="11">
        <f>IFERROR(INDEX(tEditais[Encerramento],MATCH(tItens[[#This Row],[Edital]],tEditais[Edital],0)),"")</f>
        <v>46308.583333333336</v>
      </c>
      <c r="J1009" t="str">
        <f>IFERROR(INDEX(tProdutos[Classe],MATCH(tItens[[#This Row],[Produto]],tProdutos[Produto],0)),"produto não cadastrado")</f>
        <v>FORA</v>
      </c>
      <c r="K1009" s="12">
        <f>tItens[[#This Row],[Qtd]]*tItens[[#This Row],[Vlr unit]]</f>
        <v>1290.9000000000001</v>
      </c>
      <c r="L1009" s="6">
        <f>IFERROR(IF(INDEX(tProdutos[Desconto homologado],MATCH(tItens[[#This Row],[Produto]],tProdutos[Produto],0))="",DescontoPadrao,INDEX(tProdutos[Desconto homologado],MATCH(tItens[[#This Row],[Produto]],tProdutos[Produto],0))),DescontoPadrao)</f>
        <v>0.38432036097010702</v>
      </c>
      <c r="M1009" s="12">
        <f>tItens[[#This Row],[Valor]]*(1-tItens[[#This Row],[Desconto]])</f>
        <v>794.78084602368892</v>
      </c>
      <c r="N1009" t="str">
        <f>IFERROR(INDEX(tProdutos[Foco],MATCH(tItens[[#This Row],[Produto]],tProdutos[Produto],0)),"Não")</f>
        <v>Não</v>
      </c>
      <c r="O1009" t="str">
        <f>IFERROR(INDEX(tEditais[SRP],MATCH(tItens[[#This Row],[Edital]],tEditais[Edital],0)),"Não")</f>
        <v>Sim</v>
      </c>
      <c r="P1009" s="4">
        <f>IF(COUNTIFS(INDEX(tItens[Edital],1):tItens[[#This Row],[Edital]],tItens[[#This Row],[Edital]],INDEX(tItens[Produto],1):tItens[[#This Row],[Produto]],tItens[[#This Row],[Produto]])=1,1,0)</f>
        <v>0</v>
      </c>
    </row>
    <row r="1010" spans="1:16" x14ac:dyDescent="0.25">
      <c r="A1010" t="s">
        <v>1053</v>
      </c>
      <c r="B1010">
        <v>22</v>
      </c>
      <c r="C1010" t="s">
        <v>4140</v>
      </c>
      <c r="D1010" t="s">
        <v>160</v>
      </c>
      <c r="E1010" s="13">
        <v>5050</v>
      </c>
      <c r="F1010" s="12">
        <v>4.76</v>
      </c>
      <c r="G1010" t="str">
        <f>IFERROR(INDEX(tEditais[Órgão],MATCH(tItens[[#This Row],[Edital]],tEditais[Edital],0)),"")</f>
        <v>POLICIA MILITAR DO DISTRITO FEDERAL</v>
      </c>
      <c r="H1010" t="str">
        <f>IFERROR(INDEX(tEditais[UF],MATCH(tItens[[#This Row],[Edital]],tEditais[Edital],0)),"")</f>
        <v>DF</v>
      </c>
      <c r="I1010" s="11">
        <f>IFERROR(INDEX(tEditais[Encerramento],MATCH(tItens[[#This Row],[Edital]],tEditais[Edital],0)),"")</f>
        <v>46308.583333333336</v>
      </c>
      <c r="J1010" t="str">
        <f>IFERROR(INDEX(tProdutos[Classe],MATCH(tItens[[#This Row],[Produto]],tProdutos[Produto],0)),"produto não cadastrado")</f>
        <v>DISPUTADO</v>
      </c>
      <c r="K1010" s="12">
        <f>tItens[[#This Row],[Qtd]]*tItens[[#This Row],[Vlr unit]]</f>
        <v>24038</v>
      </c>
      <c r="L1010" s="6">
        <f>IFERROR(IF(INDEX(tProdutos[Desconto homologado],MATCH(tItens[[#This Row],[Produto]],tProdutos[Produto],0))="",DescontoPadrao,INDEX(tProdutos[Desconto homologado],MATCH(tItens[[#This Row],[Produto]],tProdutos[Produto],0))),DescontoPadrao)</f>
        <v>0.28000000000000003</v>
      </c>
      <c r="M1010" s="12">
        <f>tItens[[#This Row],[Valor]]*(1-tItens[[#This Row],[Desconto]])</f>
        <v>17307.36</v>
      </c>
      <c r="N1010" t="str">
        <f>IFERROR(INDEX(tProdutos[Foco],MATCH(tItens[[#This Row],[Produto]],tProdutos[Produto],0)),"Não")</f>
        <v>Sim</v>
      </c>
      <c r="O1010" t="str">
        <f>IFERROR(INDEX(tEditais[SRP],MATCH(tItens[[#This Row],[Edital]],tEditais[Edital],0)),"Não")</f>
        <v>Sim</v>
      </c>
      <c r="P1010" s="4">
        <f>IF(COUNTIFS(INDEX(tItens[Edital],1):tItens[[#This Row],[Edital]],tItens[[#This Row],[Edital]],INDEX(tItens[Produto],1):tItens[[#This Row],[Produto]],tItens[[#This Row],[Produto]])=1,1,0)</f>
        <v>1</v>
      </c>
    </row>
    <row r="1011" spans="1:16" x14ac:dyDescent="0.25">
      <c r="A1011" t="s">
        <v>1053</v>
      </c>
      <c r="B1011">
        <v>25</v>
      </c>
      <c r="C1011" t="s">
        <v>4141</v>
      </c>
      <c r="D1011" t="s">
        <v>98</v>
      </c>
      <c r="E1011" s="13">
        <v>10</v>
      </c>
      <c r="F1011" s="12">
        <v>7.21</v>
      </c>
      <c r="G1011" t="str">
        <f>IFERROR(INDEX(tEditais[Órgão],MATCH(tItens[[#This Row],[Edital]],tEditais[Edital],0)),"")</f>
        <v>POLICIA MILITAR DO DISTRITO FEDERAL</v>
      </c>
      <c r="H1011" t="str">
        <f>IFERROR(INDEX(tEditais[UF],MATCH(tItens[[#This Row],[Edital]],tEditais[Edital],0)),"")</f>
        <v>DF</v>
      </c>
      <c r="I1011" s="11">
        <f>IFERROR(INDEX(tEditais[Encerramento],MATCH(tItens[[#This Row],[Edital]],tEditais[Edital],0)),"")</f>
        <v>46308.583333333336</v>
      </c>
      <c r="J1011" t="str">
        <f>IFERROR(INDEX(tProdutos[Classe],MATCH(tItens[[#This Row],[Produto]],tProdutos[Produto],0)),"produto não cadastrado")</f>
        <v>NÚCLEO</v>
      </c>
      <c r="K1011" s="12">
        <f>tItens[[#This Row],[Qtd]]*tItens[[#This Row],[Vlr unit]]</f>
        <v>72.099999999999994</v>
      </c>
      <c r="L1011" s="6">
        <f>IFERROR(IF(INDEX(tProdutos[Desconto homologado],MATCH(tItens[[#This Row],[Produto]],tProdutos[Produto],0))="",DescontoPadrao,INDEX(tProdutos[Desconto homologado],MATCH(tItens[[#This Row],[Produto]],tProdutos[Produto],0))),DescontoPadrao)</f>
        <v>0.39</v>
      </c>
      <c r="M1011" s="12">
        <f>tItens[[#This Row],[Valor]]*(1-tItens[[#This Row],[Desconto]])</f>
        <v>43.980999999999995</v>
      </c>
      <c r="N1011" t="str">
        <f>IFERROR(INDEX(tProdutos[Foco],MATCH(tItens[[#This Row],[Produto]],tProdutos[Produto],0)),"Não")</f>
        <v>Sim</v>
      </c>
      <c r="O1011" t="str">
        <f>IFERROR(INDEX(tEditais[SRP],MATCH(tItens[[#This Row],[Edital]],tEditais[Edital],0)),"Não")</f>
        <v>Sim</v>
      </c>
      <c r="P1011" s="4">
        <f>IF(COUNTIFS(INDEX(tItens[Edital],1):tItens[[#This Row],[Edital]],tItens[[#This Row],[Edital]],INDEX(tItens[Produto],1):tItens[[#This Row],[Produto]],tItens[[#This Row],[Produto]])=1,1,0)</f>
        <v>1</v>
      </c>
    </row>
    <row r="1012" spans="1:16" x14ac:dyDescent="0.25">
      <c r="A1012" t="s">
        <v>1053</v>
      </c>
      <c r="B1012">
        <v>26</v>
      </c>
      <c r="C1012" t="s">
        <v>4021</v>
      </c>
      <c r="D1012" t="s">
        <v>98</v>
      </c>
      <c r="E1012" s="13">
        <v>10</v>
      </c>
      <c r="F1012" s="12">
        <v>8.27</v>
      </c>
      <c r="G1012" t="str">
        <f>IFERROR(INDEX(tEditais[Órgão],MATCH(tItens[[#This Row],[Edital]],tEditais[Edital],0)),"")</f>
        <v>POLICIA MILITAR DO DISTRITO FEDERAL</v>
      </c>
      <c r="H1012" t="str">
        <f>IFERROR(INDEX(tEditais[UF],MATCH(tItens[[#This Row],[Edital]],tEditais[Edital],0)),"")</f>
        <v>DF</v>
      </c>
      <c r="I1012" s="11">
        <f>IFERROR(INDEX(tEditais[Encerramento],MATCH(tItens[[#This Row],[Edital]],tEditais[Edital],0)),"")</f>
        <v>46308.583333333336</v>
      </c>
      <c r="J1012" t="str">
        <f>IFERROR(INDEX(tProdutos[Classe],MATCH(tItens[[#This Row],[Produto]],tProdutos[Produto],0)),"produto não cadastrado")</f>
        <v>NÚCLEO</v>
      </c>
      <c r="K1012" s="12">
        <f>tItens[[#This Row],[Qtd]]*tItens[[#This Row],[Vlr unit]]</f>
        <v>82.699999999999989</v>
      </c>
      <c r="L1012" s="6">
        <f>IFERROR(IF(INDEX(tProdutos[Desconto homologado],MATCH(tItens[[#This Row],[Produto]],tProdutos[Produto],0))="",DescontoPadrao,INDEX(tProdutos[Desconto homologado],MATCH(tItens[[#This Row],[Produto]],tProdutos[Produto],0))),DescontoPadrao)</f>
        <v>0.39</v>
      </c>
      <c r="M1012" s="12">
        <f>tItens[[#This Row],[Valor]]*(1-tItens[[#This Row],[Desconto]])</f>
        <v>50.446999999999989</v>
      </c>
      <c r="N1012" t="str">
        <f>IFERROR(INDEX(tProdutos[Foco],MATCH(tItens[[#This Row],[Produto]],tProdutos[Produto],0)),"Não")</f>
        <v>Sim</v>
      </c>
      <c r="O1012" t="str">
        <f>IFERROR(INDEX(tEditais[SRP],MATCH(tItens[[#This Row],[Edital]],tEditais[Edital],0)),"Não")</f>
        <v>Sim</v>
      </c>
      <c r="P1012" s="4">
        <f>IF(COUNTIFS(INDEX(tItens[Edital],1):tItens[[#This Row],[Edital]],tItens[[#This Row],[Edital]],INDEX(tItens[Produto],1):tItens[[#This Row],[Produto]],tItens[[#This Row],[Produto]])=1,1,0)</f>
        <v>0</v>
      </c>
    </row>
    <row r="1013" spans="1:16" x14ac:dyDescent="0.25">
      <c r="A1013" t="s">
        <v>1053</v>
      </c>
      <c r="B1013">
        <v>27</v>
      </c>
      <c r="C1013" t="s">
        <v>4022</v>
      </c>
      <c r="D1013" t="s">
        <v>98</v>
      </c>
      <c r="E1013" s="13">
        <v>10</v>
      </c>
      <c r="F1013" s="12">
        <v>9.93</v>
      </c>
      <c r="G1013" t="str">
        <f>IFERROR(INDEX(tEditais[Órgão],MATCH(tItens[[#This Row],[Edital]],tEditais[Edital],0)),"")</f>
        <v>POLICIA MILITAR DO DISTRITO FEDERAL</v>
      </c>
      <c r="H1013" t="str">
        <f>IFERROR(INDEX(tEditais[UF],MATCH(tItens[[#This Row],[Edital]],tEditais[Edital],0)),"")</f>
        <v>DF</v>
      </c>
      <c r="I1013" s="11">
        <f>IFERROR(INDEX(tEditais[Encerramento],MATCH(tItens[[#This Row],[Edital]],tEditais[Edital],0)),"")</f>
        <v>46308.583333333336</v>
      </c>
      <c r="J1013" t="str">
        <f>IFERROR(INDEX(tProdutos[Classe],MATCH(tItens[[#This Row],[Produto]],tProdutos[Produto],0)),"produto não cadastrado")</f>
        <v>NÚCLEO</v>
      </c>
      <c r="K1013" s="12">
        <f>tItens[[#This Row],[Qtd]]*tItens[[#This Row],[Vlr unit]]</f>
        <v>99.3</v>
      </c>
      <c r="L1013" s="6">
        <f>IFERROR(IF(INDEX(tProdutos[Desconto homologado],MATCH(tItens[[#This Row],[Produto]],tProdutos[Produto],0))="",DescontoPadrao,INDEX(tProdutos[Desconto homologado],MATCH(tItens[[#This Row],[Produto]],tProdutos[Produto],0))),DescontoPadrao)</f>
        <v>0.39</v>
      </c>
      <c r="M1013" s="12">
        <f>tItens[[#This Row],[Valor]]*(1-tItens[[#This Row],[Desconto]])</f>
        <v>60.573</v>
      </c>
      <c r="N1013" t="str">
        <f>IFERROR(INDEX(tProdutos[Foco],MATCH(tItens[[#This Row],[Produto]],tProdutos[Produto],0)),"Não")</f>
        <v>Sim</v>
      </c>
      <c r="O1013" t="str">
        <f>IFERROR(INDEX(tEditais[SRP],MATCH(tItens[[#This Row],[Edital]],tEditais[Edital],0)),"Não")</f>
        <v>Sim</v>
      </c>
      <c r="P1013" s="4">
        <f>IF(COUNTIFS(INDEX(tItens[Edital],1):tItens[[#This Row],[Edital]],tItens[[#This Row],[Edital]],INDEX(tItens[Produto],1):tItens[[#This Row],[Produto]],tItens[[#This Row],[Produto]])=1,1,0)</f>
        <v>0</v>
      </c>
    </row>
    <row r="1014" spans="1:16" x14ac:dyDescent="0.25">
      <c r="A1014" t="s">
        <v>1053</v>
      </c>
      <c r="B1014">
        <v>28</v>
      </c>
      <c r="C1014" t="s">
        <v>4023</v>
      </c>
      <c r="D1014" t="s">
        <v>98</v>
      </c>
      <c r="E1014" s="13">
        <v>20</v>
      </c>
      <c r="F1014" s="12">
        <v>11.24</v>
      </c>
      <c r="G1014" t="str">
        <f>IFERROR(INDEX(tEditais[Órgão],MATCH(tItens[[#This Row],[Edital]],tEditais[Edital],0)),"")</f>
        <v>POLICIA MILITAR DO DISTRITO FEDERAL</v>
      </c>
      <c r="H1014" t="str">
        <f>IFERROR(INDEX(tEditais[UF],MATCH(tItens[[#This Row],[Edital]],tEditais[Edital],0)),"")</f>
        <v>DF</v>
      </c>
      <c r="I1014" s="11">
        <f>IFERROR(INDEX(tEditais[Encerramento],MATCH(tItens[[#This Row],[Edital]],tEditais[Edital],0)),"")</f>
        <v>46308.583333333336</v>
      </c>
      <c r="J1014" t="str">
        <f>IFERROR(INDEX(tProdutos[Classe],MATCH(tItens[[#This Row],[Produto]],tProdutos[Produto],0)),"produto não cadastrado")</f>
        <v>NÚCLEO</v>
      </c>
      <c r="K1014" s="12">
        <f>tItens[[#This Row],[Qtd]]*tItens[[#This Row],[Vlr unit]]</f>
        <v>224.8</v>
      </c>
      <c r="L1014" s="6">
        <f>IFERROR(IF(INDEX(tProdutos[Desconto homologado],MATCH(tItens[[#This Row],[Produto]],tProdutos[Produto],0))="",DescontoPadrao,INDEX(tProdutos[Desconto homologado],MATCH(tItens[[#This Row],[Produto]],tProdutos[Produto],0))),DescontoPadrao)</f>
        <v>0.39</v>
      </c>
      <c r="M1014" s="12">
        <f>tItens[[#This Row],[Valor]]*(1-tItens[[#This Row],[Desconto]])</f>
        <v>137.12800000000001</v>
      </c>
      <c r="N1014" t="str">
        <f>IFERROR(INDEX(tProdutos[Foco],MATCH(tItens[[#This Row],[Produto]],tProdutos[Produto],0)),"Não")</f>
        <v>Sim</v>
      </c>
      <c r="O1014" t="str">
        <f>IFERROR(INDEX(tEditais[SRP],MATCH(tItens[[#This Row],[Edital]],tEditais[Edital],0)),"Não")</f>
        <v>Sim</v>
      </c>
      <c r="P1014" s="4">
        <f>IF(COUNTIFS(INDEX(tItens[Edital],1):tItens[[#This Row],[Edital]],tItens[[#This Row],[Edital]],INDEX(tItens[Produto],1):tItens[[#This Row],[Produto]],tItens[[#This Row],[Produto]])=1,1,0)</f>
        <v>0</v>
      </c>
    </row>
    <row r="1015" spans="1:16" x14ac:dyDescent="0.25">
      <c r="A1015" t="s">
        <v>1053</v>
      </c>
      <c r="B1015">
        <v>29</v>
      </c>
      <c r="C1015" t="s">
        <v>4024</v>
      </c>
      <c r="D1015" t="s">
        <v>98</v>
      </c>
      <c r="E1015" s="13">
        <v>10</v>
      </c>
      <c r="F1015" s="12">
        <v>11.88</v>
      </c>
      <c r="G1015" t="str">
        <f>IFERROR(INDEX(tEditais[Órgão],MATCH(tItens[[#This Row],[Edital]],tEditais[Edital],0)),"")</f>
        <v>POLICIA MILITAR DO DISTRITO FEDERAL</v>
      </c>
      <c r="H1015" t="str">
        <f>IFERROR(INDEX(tEditais[UF],MATCH(tItens[[#This Row],[Edital]],tEditais[Edital],0)),"")</f>
        <v>DF</v>
      </c>
      <c r="I1015" s="11">
        <f>IFERROR(INDEX(tEditais[Encerramento],MATCH(tItens[[#This Row],[Edital]],tEditais[Edital],0)),"")</f>
        <v>46308.583333333336</v>
      </c>
      <c r="J1015" t="str">
        <f>IFERROR(INDEX(tProdutos[Classe],MATCH(tItens[[#This Row],[Produto]],tProdutos[Produto],0)),"produto não cadastrado")</f>
        <v>NÚCLEO</v>
      </c>
      <c r="K1015" s="12">
        <f>tItens[[#This Row],[Qtd]]*tItens[[#This Row],[Vlr unit]]</f>
        <v>118.80000000000001</v>
      </c>
      <c r="L1015" s="6">
        <f>IFERROR(IF(INDEX(tProdutos[Desconto homologado],MATCH(tItens[[#This Row],[Produto]],tProdutos[Produto],0))="",DescontoPadrao,INDEX(tProdutos[Desconto homologado],MATCH(tItens[[#This Row],[Produto]],tProdutos[Produto],0))),DescontoPadrao)</f>
        <v>0.39</v>
      </c>
      <c r="M1015" s="12">
        <f>tItens[[#This Row],[Valor]]*(1-tItens[[#This Row],[Desconto]])</f>
        <v>72.468000000000004</v>
      </c>
      <c r="N1015" t="str">
        <f>IFERROR(INDEX(tProdutos[Foco],MATCH(tItens[[#This Row],[Produto]],tProdutos[Produto],0)),"Não")</f>
        <v>Sim</v>
      </c>
      <c r="O1015" t="str">
        <f>IFERROR(INDEX(tEditais[SRP],MATCH(tItens[[#This Row],[Edital]],tEditais[Edital],0)),"Não")</f>
        <v>Sim</v>
      </c>
      <c r="P1015" s="4">
        <f>IF(COUNTIFS(INDEX(tItens[Edital],1):tItens[[#This Row],[Edital]],tItens[[#This Row],[Edital]],INDEX(tItens[Produto],1):tItens[[#This Row],[Produto]],tItens[[#This Row],[Produto]])=1,1,0)</f>
        <v>0</v>
      </c>
    </row>
    <row r="1016" spans="1:16" x14ac:dyDescent="0.25">
      <c r="A1016" t="s">
        <v>1053</v>
      </c>
      <c r="B1016">
        <v>30</v>
      </c>
      <c r="C1016" t="s">
        <v>4142</v>
      </c>
      <c r="D1016" t="s">
        <v>69</v>
      </c>
      <c r="E1016" s="13">
        <v>100</v>
      </c>
      <c r="F1016" s="12">
        <v>2.21</v>
      </c>
      <c r="G1016" t="str">
        <f>IFERROR(INDEX(tEditais[Órgão],MATCH(tItens[[#This Row],[Edital]],tEditais[Edital],0)),"")</f>
        <v>POLICIA MILITAR DO DISTRITO FEDERAL</v>
      </c>
      <c r="H1016" t="str">
        <f>IFERROR(INDEX(tEditais[UF],MATCH(tItens[[#This Row],[Edital]],tEditais[Edital],0)),"")</f>
        <v>DF</v>
      </c>
      <c r="I1016" s="11">
        <f>IFERROR(INDEX(tEditais[Encerramento],MATCH(tItens[[#This Row],[Edital]],tEditais[Edital],0)),"")</f>
        <v>46308.583333333336</v>
      </c>
      <c r="J1016" t="str">
        <f>IFERROR(INDEX(tProdutos[Classe],MATCH(tItens[[#This Row],[Produto]],tProdutos[Produto],0)),"produto não cadastrado")</f>
        <v>NÚCLEO</v>
      </c>
      <c r="K1016" s="12">
        <f>tItens[[#This Row],[Qtd]]*tItens[[#This Row],[Vlr unit]]</f>
        <v>221</v>
      </c>
      <c r="L1016" s="6">
        <f>IFERROR(IF(INDEX(tProdutos[Desconto homologado],MATCH(tItens[[#This Row],[Produto]],tProdutos[Produto],0))="",DescontoPadrao,INDEX(tProdutos[Desconto homologado],MATCH(tItens[[#This Row],[Produto]],tProdutos[Produto],0))),DescontoPadrao)</f>
        <v>0.38829259638568803</v>
      </c>
      <c r="M1016" s="12">
        <f>tItens[[#This Row],[Valor]]*(1-tItens[[#This Row],[Desconto]])</f>
        <v>135.18733619876295</v>
      </c>
      <c r="N1016" t="str">
        <f>IFERROR(INDEX(tProdutos[Foco],MATCH(tItens[[#This Row],[Produto]],tProdutos[Produto],0)),"Não")</f>
        <v>Não</v>
      </c>
      <c r="O1016" t="str">
        <f>IFERROR(INDEX(tEditais[SRP],MATCH(tItens[[#This Row],[Edital]],tEditais[Edital],0)),"Não")</f>
        <v>Sim</v>
      </c>
      <c r="P1016" s="4">
        <f>IF(COUNTIFS(INDEX(tItens[Edital],1):tItens[[#This Row],[Edital]],tItens[[#This Row],[Edital]],INDEX(tItens[Produto],1):tItens[[#This Row],[Produto]],tItens[[#This Row],[Produto]])=1,1,0)</f>
        <v>1</v>
      </c>
    </row>
    <row r="1017" spans="1:16" x14ac:dyDescent="0.25">
      <c r="A1017" t="s">
        <v>1053</v>
      </c>
      <c r="B1017">
        <v>31</v>
      </c>
      <c r="C1017" t="s">
        <v>4143</v>
      </c>
      <c r="D1017" t="s">
        <v>69</v>
      </c>
      <c r="E1017" s="13">
        <v>100</v>
      </c>
      <c r="F1017" s="12">
        <v>2.19</v>
      </c>
      <c r="G1017" t="str">
        <f>IFERROR(INDEX(tEditais[Órgão],MATCH(tItens[[#This Row],[Edital]],tEditais[Edital],0)),"")</f>
        <v>POLICIA MILITAR DO DISTRITO FEDERAL</v>
      </c>
      <c r="H1017" t="str">
        <f>IFERROR(INDEX(tEditais[UF],MATCH(tItens[[#This Row],[Edital]],tEditais[Edital],0)),"")</f>
        <v>DF</v>
      </c>
      <c r="I1017" s="11">
        <f>IFERROR(INDEX(tEditais[Encerramento],MATCH(tItens[[#This Row],[Edital]],tEditais[Edital],0)),"")</f>
        <v>46308.583333333336</v>
      </c>
      <c r="J1017" t="str">
        <f>IFERROR(INDEX(tProdutos[Classe],MATCH(tItens[[#This Row],[Produto]],tProdutos[Produto],0)),"produto não cadastrado")</f>
        <v>NÚCLEO</v>
      </c>
      <c r="K1017" s="12">
        <f>tItens[[#This Row],[Qtd]]*tItens[[#This Row],[Vlr unit]]</f>
        <v>219</v>
      </c>
      <c r="L1017" s="6">
        <f>IFERROR(IF(INDEX(tProdutos[Desconto homologado],MATCH(tItens[[#This Row],[Produto]],tProdutos[Produto],0))="",DescontoPadrao,INDEX(tProdutos[Desconto homologado],MATCH(tItens[[#This Row],[Produto]],tProdutos[Produto],0))),DescontoPadrao)</f>
        <v>0.38829259638568803</v>
      </c>
      <c r="M1017" s="12">
        <f>tItens[[#This Row],[Valor]]*(1-tItens[[#This Row],[Desconto]])</f>
        <v>133.96392139153431</v>
      </c>
      <c r="N1017" t="str">
        <f>IFERROR(INDEX(tProdutos[Foco],MATCH(tItens[[#This Row],[Produto]],tProdutos[Produto],0)),"Não")</f>
        <v>Não</v>
      </c>
      <c r="O1017" t="str">
        <f>IFERROR(INDEX(tEditais[SRP],MATCH(tItens[[#This Row],[Edital]],tEditais[Edital],0)),"Não")</f>
        <v>Sim</v>
      </c>
      <c r="P1017" s="4">
        <f>IF(COUNTIFS(INDEX(tItens[Edital],1):tItens[[#This Row],[Edital]],tItens[[#This Row],[Edital]],INDEX(tItens[Produto],1):tItens[[#This Row],[Produto]],tItens[[#This Row],[Produto]])=1,1,0)</f>
        <v>0</v>
      </c>
    </row>
    <row r="1018" spans="1:16" x14ac:dyDescent="0.25">
      <c r="A1018" t="s">
        <v>1053</v>
      </c>
      <c r="B1018">
        <v>32</v>
      </c>
      <c r="C1018" t="s">
        <v>4144</v>
      </c>
      <c r="D1018" t="s">
        <v>73</v>
      </c>
      <c r="E1018" s="13">
        <v>100</v>
      </c>
      <c r="F1018" s="12">
        <v>8.08</v>
      </c>
      <c r="G1018" t="str">
        <f>IFERROR(INDEX(tEditais[Órgão],MATCH(tItens[[#This Row],[Edital]],tEditais[Edital],0)),"")</f>
        <v>POLICIA MILITAR DO DISTRITO FEDERAL</v>
      </c>
      <c r="H1018" t="str">
        <f>IFERROR(INDEX(tEditais[UF],MATCH(tItens[[#This Row],[Edital]],tEditais[Edital],0)),"")</f>
        <v>DF</v>
      </c>
      <c r="I1018" s="11">
        <f>IFERROR(INDEX(tEditais[Encerramento],MATCH(tItens[[#This Row],[Edital]],tEditais[Edital],0)),"")</f>
        <v>46308.583333333336</v>
      </c>
      <c r="J1018" t="str">
        <f>IFERROR(INDEX(tProdutos[Classe],MATCH(tItens[[#This Row],[Produto]],tProdutos[Produto],0)),"produto não cadastrado")</f>
        <v>NÚCLEO</v>
      </c>
      <c r="K1018" s="12">
        <f>tItens[[#This Row],[Qtd]]*tItens[[#This Row],[Vlr unit]]</f>
        <v>808</v>
      </c>
      <c r="L1018" s="6">
        <f>IFERROR(IF(INDEX(tProdutos[Desconto homologado],MATCH(tItens[[#This Row],[Produto]],tProdutos[Produto],0))="",DescontoPadrao,INDEX(tProdutos[Desconto homologado],MATCH(tItens[[#This Row],[Produto]],tProdutos[Produto],0))),DescontoPadrao)</f>
        <v>0.37</v>
      </c>
      <c r="M1018" s="12">
        <f>tItens[[#This Row],[Valor]]*(1-tItens[[#This Row],[Desconto]])</f>
        <v>509.04</v>
      </c>
      <c r="N1018" t="str">
        <f>IFERROR(INDEX(tProdutos[Foco],MATCH(tItens[[#This Row],[Produto]],tProdutos[Produto],0)),"Não")</f>
        <v>Sim</v>
      </c>
      <c r="O1018" t="str">
        <f>IFERROR(INDEX(tEditais[SRP],MATCH(tItens[[#This Row],[Edital]],tEditais[Edital],0)),"Não")</f>
        <v>Sim</v>
      </c>
      <c r="P1018" s="4">
        <f>IF(COUNTIFS(INDEX(tItens[Edital],1):tItens[[#This Row],[Edital]],tItens[[#This Row],[Edital]],INDEX(tItens[Produto],1):tItens[[#This Row],[Produto]],tItens[[#This Row],[Produto]])=1,1,0)</f>
        <v>1</v>
      </c>
    </row>
    <row r="1019" spans="1:16" x14ac:dyDescent="0.25">
      <c r="A1019" t="s">
        <v>1053</v>
      </c>
      <c r="B1019">
        <v>33</v>
      </c>
      <c r="C1019" t="s">
        <v>4145</v>
      </c>
      <c r="D1019" t="s">
        <v>73</v>
      </c>
      <c r="E1019" s="13">
        <v>3200</v>
      </c>
      <c r="F1019" s="12">
        <v>19.309999999999999</v>
      </c>
      <c r="G1019" t="str">
        <f>IFERROR(INDEX(tEditais[Órgão],MATCH(tItens[[#This Row],[Edital]],tEditais[Edital],0)),"")</f>
        <v>POLICIA MILITAR DO DISTRITO FEDERAL</v>
      </c>
      <c r="H1019" t="str">
        <f>IFERROR(INDEX(tEditais[UF],MATCH(tItens[[#This Row],[Edital]],tEditais[Edital],0)),"")</f>
        <v>DF</v>
      </c>
      <c r="I1019" s="11">
        <f>IFERROR(INDEX(tEditais[Encerramento],MATCH(tItens[[#This Row],[Edital]],tEditais[Edital],0)),"")</f>
        <v>46308.583333333336</v>
      </c>
      <c r="J1019" t="str">
        <f>IFERROR(INDEX(tProdutos[Classe],MATCH(tItens[[#This Row],[Produto]],tProdutos[Produto],0)),"produto não cadastrado")</f>
        <v>NÚCLEO</v>
      </c>
      <c r="K1019" s="12">
        <f>tItens[[#This Row],[Qtd]]*tItens[[#This Row],[Vlr unit]]</f>
        <v>61791.999999999993</v>
      </c>
      <c r="L1019" s="6">
        <f>IFERROR(IF(INDEX(tProdutos[Desconto homologado],MATCH(tItens[[#This Row],[Produto]],tProdutos[Produto],0))="",DescontoPadrao,INDEX(tProdutos[Desconto homologado],MATCH(tItens[[#This Row],[Produto]],tProdutos[Produto],0))),DescontoPadrao)</f>
        <v>0.37</v>
      </c>
      <c r="M1019" s="12">
        <f>tItens[[#This Row],[Valor]]*(1-tItens[[#This Row],[Desconto]])</f>
        <v>38928.959999999999</v>
      </c>
      <c r="N1019" t="str">
        <f>IFERROR(INDEX(tProdutos[Foco],MATCH(tItens[[#This Row],[Produto]],tProdutos[Produto],0)),"Não")</f>
        <v>Sim</v>
      </c>
      <c r="O1019" t="str">
        <f>IFERROR(INDEX(tEditais[SRP],MATCH(tItens[[#This Row],[Edital]],tEditais[Edital],0)),"Não")</f>
        <v>Sim</v>
      </c>
      <c r="P1019" s="4">
        <f>IF(COUNTIFS(INDEX(tItens[Edital],1):tItens[[#This Row],[Edital]],tItens[[#This Row],[Edital]],INDEX(tItens[Produto],1):tItens[[#This Row],[Produto]],tItens[[#This Row],[Produto]])=1,1,0)</f>
        <v>0</v>
      </c>
    </row>
    <row r="1020" spans="1:16" x14ac:dyDescent="0.25">
      <c r="A1020" t="s">
        <v>1053</v>
      </c>
      <c r="B1020">
        <v>63</v>
      </c>
      <c r="C1020" t="s">
        <v>4146</v>
      </c>
      <c r="D1020" t="s">
        <v>180</v>
      </c>
      <c r="E1020" s="13">
        <v>1350</v>
      </c>
      <c r="F1020" s="12">
        <v>2.6</v>
      </c>
      <c r="G1020" t="str">
        <f>IFERROR(INDEX(tEditais[Órgão],MATCH(tItens[[#This Row],[Edital]],tEditais[Edital],0)),"")</f>
        <v>POLICIA MILITAR DO DISTRITO FEDERAL</v>
      </c>
      <c r="H1020" t="str">
        <f>IFERROR(INDEX(tEditais[UF],MATCH(tItens[[#This Row],[Edital]],tEditais[Edital],0)),"")</f>
        <v>DF</v>
      </c>
      <c r="I1020" s="11">
        <f>IFERROR(INDEX(tEditais[Encerramento],MATCH(tItens[[#This Row],[Edital]],tEditais[Edital],0)),"")</f>
        <v>46308.583333333336</v>
      </c>
      <c r="J1020" t="str">
        <f>IFERROR(INDEX(tProdutos[Classe],MATCH(tItens[[#This Row],[Produto]],tProdutos[Produto],0)),"produto não cadastrado")</f>
        <v>DISPUTADO</v>
      </c>
      <c r="K1020" s="12">
        <f>tItens[[#This Row],[Qtd]]*tItens[[#This Row],[Vlr unit]]</f>
        <v>3510</v>
      </c>
      <c r="L1020" s="6">
        <f>IFERROR(IF(INDEX(tProdutos[Desconto homologado],MATCH(tItens[[#This Row],[Produto]],tProdutos[Produto],0))="",DescontoPadrao,INDEX(tProdutos[Desconto homologado],MATCH(tItens[[#This Row],[Produto]],tProdutos[Produto],0))),DescontoPadrao)</f>
        <v>0.33333333333333298</v>
      </c>
      <c r="M1020" s="12">
        <f>tItens[[#This Row],[Valor]]*(1-tItens[[#This Row],[Desconto]])</f>
        <v>2340.0000000000009</v>
      </c>
      <c r="N1020" t="str">
        <f>IFERROR(INDEX(tProdutos[Foco],MATCH(tItens[[#This Row],[Produto]],tProdutos[Produto],0)),"Não")</f>
        <v>Não</v>
      </c>
      <c r="O1020" t="str">
        <f>IFERROR(INDEX(tEditais[SRP],MATCH(tItens[[#This Row],[Edital]],tEditais[Edital],0)),"Não")</f>
        <v>Sim</v>
      </c>
      <c r="P1020" s="4">
        <f>IF(COUNTIFS(INDEX(tItens[Edital],1):tItens[[#This Row],[Edital]],tItens[[#This Row],[Edital]],INDEX(tItens[Produto],1):tItens[[#This Row],[Produto]],tItens[[#This Row],[Produto]])=1,1,0)</f>
        <v>1</v>
      </c>
    </row>
    <row r="1021" spans="1:16" x14ac:dyDescent="0.25">
      <c r="A1021" t="s">
        <v>1053</v>
      </c>
      <c r="B1021">
        <v>64</v>
      </c>
      <c r="C1021" t="s">
        <v>4147</v>
      </c>
      <c r="D1021" t="s">
        <v>229</v>
      </c>
      <c r="E1021" s="13">
        <v>550</v>
      </c>
      <c r="F1021" s="12">
        <v>10.7</v>
      </c>
      <c r="G1021" t="str">
        <f>IFERROR(INDEX(tEditais[Órgão],MATCH(tItens[[#This Row],[Edital]],tEditais[Edital],0)),"")</f>
        <v>POLICIA MILITAR DO DISTRITO FEDERAL</v>
      </c>
      <c r="H1021" t="str">
        <f>IFERROR(INDEX(tEditais[UF],MATCH(tItens[[#This Row],[Edital]],tEditais[Edital],0)),"")</f>
        <v>DF</v>
      </c>
      <c r="I1021" s="11">
        <f>IFERROR(INDEX(tEditais[Encerramento],MATCH(tItens[[#This Row],[Edital]],tEditais[Edital],0)),"")</f>
        <v>46308.583333333336</v>
      </c>
      <c r="J1021" t="str">
        <f>IFERROR(INDEX(tProdutos[Classe],MATCH(tItens[[#This Row],[Produto]],tProdutos[Produto],0)),"produto não cadastrado")</f>
        <v>FORA</v>
      </c>
      <c r="K1021" s="12">
        <f>tItens[[#This Row],[Qtd]]*tItens[[#This Row],[Vlr unit]]</f>
        <v>5885</v>
      </c>
      <c r="L1021" s="6">
        <f>IFERROR(IF(INDEX(tProdutos[Desconto homologado],MATCH(tItens[[#This Row],[Produto]],tProdutos[Produto],0))="",DescontoPadrao,INDEX(tProdutos[Desconto homologado],MATCH(tItens[[#This Row],[Produto]],tProdutos[Produto],0))),DescontoPadrao)</f>
        <v>0.33093491191658198</v>
      </c>
      <c r="M1021" s="12">
        <f>tItens[[#This Row],[Valor]]*(1-tItens[[#This Row],[Desconto]])</f>
        <v>3937.448043370915</v>
      </c>
      <c r="N1021" t="str">
        <f>IFERROR(INDEX(tProdutos[Foco],MATCH(tItens[[#This Row],[Produto]],tProdutos[Produto],0)),"Não")</f>
        <v>Não</v>
      </c>
      <c r="O1021" t="str">
        <f>IFERROR(INDEX(tEditais[SRP],MATCH(tItens[[#This Row],[Edital]],tEditais[Edital],0)),"Não")</f>
        <v>Sim</v>
      </c>
      <c r="P1021" s="4">
        <f>IF(COUNTIFS(INDEX(tItens[Edital],1):tItens[[#This Row],[Edital]],tItens[[#This Row],[Edital]],INDEX(tItens[Produto],1):tItens[[#This Row],[Produto]],tItens[[#This Row],[Produto]])=1,1,0)</f>
        <v>1</v>
      </c>
    </row>
    <row r="1022" spans="1:16" x14ac:dyDescent="0.25">
      <c r="A1022" t="s">
        <v>1053</v>
      </c>
      <c r="B1022">
        <v>66</v>
      </c>
      <c r="C1022" t="s">
        <v>4148</v>
      </c>
      <c r="D1022" t="s">
        <v>75</v>
      </c>
      <c r="E1022" s="13">
        <v>50</v>
      </c>
      <c r="F1022" s="12">
        <v>4.34</v>
      </c>
      <c r="G1022" t="str">
        <f>IFERROR(INDEX(tEditais[Órgão],MATCH(tItens[[#This Row],[Edital]],tEditais[Edital],0)),"")</f>
        <v>POLICIA MILITAR DO DISTRITO FEDERAL</v>
      </c>
      <c r="H1022" t="str">
        <f>IFERROR(INDEX(tEditais[UF],MATCH(tItens[[#This Row],[Edital]],tEditais[Edital],0)),"")</f>
        <v>DF</v>
      </c>
      <c r="I1022" s="11">
        <f>IFERROR(INDEX(tEditais[Encerramento],MATCH(tItens[[#This Row],[Edital]],tEditais[Edital],0)),"")</f>
        <v>46308.583333333336</v>
      </c>
      <c r="J1022" t="str">
        <f>IFERROR(INDEX(tProdutos[Classe],MATCH(tItens[[#This Row],[Produto]],tProdutos[Produto],0)),"produto não cadastrado")</f>
        <v>NÚCLEO</v>
      </c>
      <c r="K1022" s="12">
        <f>tItens[[#This Row],[Qtd]]*tItens[[#This Row],[Vlr unit]]</f>
        <v>217</v>
      </c>
      <c r="L1022" s="6">
        <f>IFERROR(IF(INDEX(tProdutos[Desconto homologado],MATCH(tItens[[#This Row],[Produto]],tProdutos[Produto],0))="",DescontoPadrao,INDEX(tProdutos[Desconto homologado],MATCH(tItens[[#This Row],[Produto]],tProdutos[Produto],0))),DescontoPadrao)</f>
        <v>0.26</v>
      </c>
      <c r="M1022" s="12">
        <f>tItens[[#This Row],[Valor]]*(1-tItens[[#This Row],[Desconto]])</f>
        <v>160.57999999999998</v>
      </c>
      <c r="N1022" t="str">
        <f>IFERROR(INDEX(tProdutos[Foco],MATCH(tItens[[#This Row],[Produto]],tProdutos[Produto],0)),"Não")</f>
        <v>Sim</v>
      </c>
      <c r="O1022" t="str">
        <f>IFERROR(INDEX(tEditais[SRP],MATCH(tItens[[#This Row],[Edital]],tEditais[Edital],0)),"Não")</f>
        <v>Sim</v>
      </c>
      <c r="P1022" s="4">
        <f>IF(COUNTIFS(INDEX(tItens[Edital],1):tItens[[#This Row],[Edital]],tItens[[#This Row],[Edital]],INDEX(tItens[Produto],1):tItens[[#This Row],[Produto]],tItens[[#This Row],[Produto]])=1,1,0)</f>
        <v>1</v>
      </c>
    </row>
    <row r="1023" spans="1:16" x14ac:dyDescent="0.25">
      <c r="A1023" t="s">
        <v>1053</v>
      </c>
      <c r="B1023">
        <v>67</v>
      </c>
      <c r="C1023" t="s">
        <v>4149</v>
      </c>
      <c r="D1023" t="s">
        <v>75</v>
      </c>
      <c r="E1023" s="13">
        <v>35</v>
      </c>
      <c r="F1023" s="12">
        <v>3.27</v>
      </c>
      <c r="G1023" t="str">
        <f>IFERROR(INDEX(tEditais[Órgão],MATCH(tItens[[#This Row],[Edital]],tEditais[Edital],0)),"")</f>
        <v>POLICIA MILITAR DO DISTRITO FEDERAL</v>
      </c>
      <c r="H1023" t="str">
        <f>IFERROR(INDEX(tEditais[UF],MATCH(tItens[[#This Row],[Edital]],tEditais[Edital],0)),"")</f>
        <v>DF</v>
      </c>
      <c r="I1023" s="11">
        <f>IFERROR(INDEX(tEditais[Encerramento],MATCH(tItens[[#This Row],[Edital]],tEditais[Edital],0)),"")</f>
        <v>46308.583333333336</v>
      </c>
      <c r="J1023" t="str">
        <f>IFERROR(INDEX(tProdutos[Classe],MATCH(tItens[[#This Row],[Produto]],tProdutos[Produto],0)),"produto não cadastrado")</f>
        <v>NÚCLEO</v>
      </c>
      <c r="K1023" s="12">
        <f>tItens[[#This Row],[Qtd]]*tItens[[#This Row],[Vlr unit]]</f>
        <v>114.45</v>
      </c>
      <c r="L1023" s="6">
        <f>IFERROR(IF(INDEX(tProdutos[Desconto homologado],MATCH(tItens[[#This Row],[Produto]],tProdutos[Produto],0))="",DescontoPadrao,INDEX(tProdutos[Desconto homologado],MATCH(tItens[[#This Row],[Produto]],tProdutos[Produto],0))),DescontoPadrao)</f>
        <v>0.26</v>
      </c>
      <c r="M1023" s="12">
        <f>tItens[[#This Row],[Valor]]*(1-tItens[[#This Row],[Desconto]])</f>
        <v>84.692999999999998</v>
      </c>
      <c r="N1023" t="str">
        <f>IFERROR(INDEX(tProdutos[Foco],MATCH(tItens[[#This Row],[Produto]],tProdutos[Produto],0)),"Não")</f>
        <v>Sim</v>
      </c>
      <c r="O1023" t="str">
        <f>IFERROR(INDEX(tEditais[SRP],MATCH(tItens[[#This Row],[Edital]],tEditais[Edital],0)),"Não")</f>
        <v>Sim</v>
      </c>
      <c r="P1023" s="4">
        <f>IF(COUNTIFS(INDEX(tItens[Edital],1):tItens[[#This Row],[Edital]],tItens[[#This Row],[Edital]],INDEX(tItens[Produto],1):tItens[[#This Row],[Produto]],tItens[[#This Row],[Produto]])=1,1,0)</f>
        <v>0</v>
      </c>
    </row>
    <row r="1024" spans="1:16" x14ac:dyDescent="0.25">
      <c r="A1024" t="s">
        <v>1053</v>
      </c>
      <c r="B1024">
        <v>68</v>
      </c>
      <c r="C1024" t="s">
        <v>4150</v>
      </c>
      <c r="D1024" t="s">
        <v>75</v>
      </c>
      <c r="E1024" s="13">
        <v>15</v>
      </c>
      <c r="F1024" s="12">
        <v>2.58</v>
      </c>
      <c r="G1024" t="str">
        <f>IFERROR(INDEX(tEditais[Órgão],MATCH(tItens[[#This Row],[Edital]],tEditais[Edital],0)),"")</f>
        <v>POLICIA MILITAR DO DISTRITO FEDERAL</v>
      </c>
      <c r="H1024" t="str">
        <f>IFERROR(INDEX(tEditais[UF],MATCH(tItens[[#This Row],[Edital]],tEditais[Edital],0)),"")</f>
        <v>DF</v>
      </c>
      <c r="I1024" s="11">
        <f>IFERROR(INDEX(tEditais[Encerramento],MATCH(tItens[[#This Row],[Edital]],tEditais[Edital],0)),"")</f>
        <v>46308.583333333336</v>
      </c>
      <c r="J1024" t="str">
        <f>IFERROR(INDEX(tProdutos[Classe],MATCH(tItens[[#This Row],[Produto]],tProdutos[Produto],0)),"produto não cadastrado")</f>
        <v>NÚCLEO</v>
      </c>
      <c r="K1024" s="12">
        <f>tItens[[#This Row],[Qtd]]*tItens[[#This Row],[Vlr unit]]</f>
        <v>38.700000000000003</v>
      </c>
      <c r="L1024" s="6">
        <f>IFERROR(IF(INDEX(tProdutos[Desconto homologado],MATCH(tItens[[#This Row],[Produto]],tProdutos[Produto],0))="",DescontoPadrao,INDEX(tProdutos[Desconto homologado],MATCH(tItens[[#This Row],[Produto]],tProdutos[Produto],0))),DescontoPadrao)</f>
        <v>0.26</v>
      </c>
      <c r="M1024" s="12">
        <f>tItens[[#This Row],[Valor]]*(1-tItens[[#This Row],[Desconto]])</f>
        <v>28.638000000000002</v>
      </c>
      <c r="N1024" t="str">
        <f>IFERROR(INDEX(tProdutos[Foco],MATCH(tItens[[#This Row],[Produto]],tProdutos[Produto],0)),"Não")</f>
        <v>Sim</v>
      </c>
      <c r="O1024" t="str">
        <f>IFERROR(INDEX(tEditais[SRP],MATCH(tItens[[#This Row],[Edital]],tEditais[Edital],0)),"Não")</f>
        <v>Sim</v>
      </c>
      <c r="P1024" s="4">
        <f>IF(COUNTIFS(INDEX(tItens[Edital],1):tItens[[#This Row],[Edital]],tItens[[#This Row],[Edital]],INDEX(tItens[Produto],1):tItens[[#This Row],[Produto]],tItens[[#This Row],[Produto]])=1,1,0)</f>
        <v>0</v>
      </c>
    </row>
    <row r="1025" spans="1:16" x14ac:dyDescent="0.25">
      <c r="A1025" t="s">
        <v>1053</v>
      </c>
      <c r="B1025">
        <v>69</v>
      </c>
      <c r="C1025" t="s">
        <v>3489</v>
      </c>
      <c r="D1025" t="s">
        <v>461</v>
      </c>
      <c r="E1025" s="13">
        <v>720</v>
      </c>
      <c r="F1025" s="12">
        <v>2.78</v>
      </c>
      <c r="G1025" t="str">
        <f>IFERROR(INDEX(tEditais[Órgão],MATCH(tItens[[#This Row],[Edital]],tEditais[Edital],0)),"")</f>
        <v>POLICIA MILITAR DO DISTRITO FEDERAL</v>
      </c>
      <c r="H1025" t="str">
        <f>IFERROR(INDEX(tEditais[UF],MATCH(tItens[[#This Row],[Edital]],tEditais[Edital],0)),"")</f>
        <v>DF</v>
      </c>
      <c r="I1025" s="11">
        <f>IFERROR(INDEX(tEditais[Encerramento],MATCH(tItens[[#This Row],[Edital]],tEditais[Edital],0)),"")</f>
        <v>46308.583333333336</v>
      </c>
      <c r="J1025" t="str">
        <f>IFERROR(INDEX(tProdutos[Classe],MATCH(tItens[[#This Row],[Produto]],tProdutos[Produto],0)),"produto não cadastrado")</f>
        <v>FILA REBASE</v>
      </c>
      <c r="K1025" s="12">
        <f>tItens[[#This Row],[Qtd]]*tItens[[#This Row],[Vlr unit]]</f>
        <v>2001.6</v>
      </c>
      <c r="L1025" s="6">
        <f>IFERROR(IF(INDEX(tProdutos[Desconto homologado],MATCH(tItens[[#This Row],[Produto]],tProdutos[Produto],0))="",DescontoPadrao,INDEX(tProdutos[Desconto homologado],MATCH(tItens[[#This Row],[Produto]],tProdutos[Produto],0))),DescontoPadrao)</f>
        <v>0.44096385542168698</v>
      </c>
      <c r="M1025" s="12">
        <f>tItens[[#This Row],[Valor]]*(1-tItens[[#This Row],[Desconto]])</f>
        <v>1118.9667469879512</v>
      </c>
      <c r="N1025" t="str">
        <f>IFERROR(INDEX(tProdutos[Foco],MATCH(tItens[[#This Row],[Produto]],tProdutos[Produto],0)),"Não")</f>
        <v>Não</v>
      </c>
      <c r="O1025" t="str">
        <f>IFERROR(INDEX(tEditais[SRP],MATCH(tItens[[#This Row],[Edital]],tEditais[Edital],0)),"Não")</f>
        <v>Sim</v>
      </c>
      <c r="P1025" s="4">
        <f>IF(COUNTIFS(INDEX(tItens[Edital],1):tItens[[#This Row],[Edital]],tItens[[#This Row],[Edital]],INDEX(tItens[Produto],1):tItens[[#This Row],[Produto]],tItens[[#This Row],[Produto]])=1,1,0)</f>
        <v>1</v>
      </c>
    </row>
    <row r="1026" spans="1:16" x14ac:dyDescent="0.25">
      <c r="A1026" t="s">
        <v>1053</v>
      </c>
      <c r="B1026">
        <v>70</v>
      </c>
      <c r="C1026" t="s">
        <v>4151</v>
      </c>
      <c r="D1026" t="s">
        <v>461</v>
      </c>
      <c r="E1026" s="13">
        <v>480</v>
      </c>
      <c r="F1026" s="12">
        <v>2.04</v>
      </c>
      <c r="G1026" t="str">
        <f>IFERROR(INDEX(tEditais[Órgão],MATCH(tItens[[#This Row],[Edital]],tEditais[Edital],0)),"")</f>
        <v>POLICIA MILITAR DO DISTRITO FEDERAL</v>
      </c>
      <c r="H1026" t="str">
        <f>IFERROR(INDEX(tEditais[UF],MATCH(tItens[[#This Row],[Edital]],tEditais[Edital],0)),"")</f>
        <v>DF</v>
      </c>
      <c r="I1026" s="11">
        <f>IFERROR(INDEX(tEditais[Encerramento],MATCH(tItens[[#This Row],[Edital]],tEditais[Edital],0)),"")</f>
        <v>46308.583333333336</v>
      </c>
      <c r="J1026" t="str">
        <f>IFERROR(INDEX(tProdutos[Classe],MATCH(tItens[[#This Row],[Produto]],tProdutos[Produto],0)),"produto não cadastrado")</f>
        <v>FILA REBASE</v>
      </c>
      <c r="K1026" s="12">
        <f>tItens[[#This Row],[Qtd]]*tItens[[#This Row],[Vlr unit]]</f>
        <v>979.2</v>
      </c>
      <c r="L1026" s="6">
        <f>IFERROR(IF(INDEX(tProdutos[Desconto homologado],MATCH(tItens[[#This Row],[Produto]],tProdutos[Produto],0))="",DescontoPadrao,INDEX(tProdutos[Desconto homologado],MATCH(tItens[[#This Row],[Produto]],tProdutos[Produto],0))),DescontoPadrao)</f>
        <v>0.44096385542168698</v>
      </c>
      <c r="M1026" s="12">
        <f>tItens[[#This Row],[Valor]]*(1-tItens[[#This Row],[Desconto]])</f>
        <v>547.40819277108403</v>
      </c>
      <c r="N1026" t="str">
        <f>IFERROR(INDEX(tProdutos[Foco],MATCH(tItens[[#This Row],[Produto]],tProdutos[Produto],0)),"Não")</f>
        <v>Não</v>
      </c>
      <c r="O1026" t="str">
        <f>IFERROR(INDEX(tEditais[SRP],MATCH(tItens[[#This Row],[Edital]],tEditais[Edital],0)),"Não")</f>
        <v>Sim</v>
      </c>
      <c r="P1026" s="4">
        <f>IF(COUNTIFS(INDEX(tItens[Edital],1):tItens[[#This Row],[Edital]],tItens[[#This Row],[Edital]],INDEX(tItens[Produto],1):tItens[[#This Row],[Produto]],tItens[[#This Row],[Produto]])=1,1,0)</f>
        <v>0</v>
      </c>
    </row>
    <row r="1027" spans="1:16" x14ac:dyDescent="0.25">
      <c r="A1027" t="s">
        <v>1053</v>
      </c>
      <c r="B1027">
        <v>71</v>
      </c>
      <c r="C1027" t="s">
        <v>4152</v>
      </c>
      <c r="D1027" t="s">
        <v>461</v>
      </c>
      <c r="E1027" s="13">
        <v>120</v>
      </c>
      <c r="F1027" s="12">
        <v>29.3</v>
      </c>
      <c r="G1027" t="str">
        <f>IFERROR(INDEX(tEditais[Órgão],MATCH(tItens[[#This Row],[Edital]],tEditais[Edital],0)),"")</f>
        <v>POLICIA MILITAR DO DISTRITO FEDERAL</v>
      </c>
      <c r="H1027" t="str">
        <f>IFERROR(INDEX(tEditais[UF],MATCH(tItens[[#This Row],[Edital]],tEditais[Edital],0)),"")</f>
        <v>DF</v>
      </c>
      <c r="I1027" s="11">
        <f>IFERROR(INDEX(tEditais[Encerramento],MATCH(tItens[[#This Row],[Edital]],tEditais[Edital],0)),"")</f>
        <v>46308.583333333336</v>
      </c>
      <c r="J1027" t="str">
        <f>IFERROR(INDEX(tProdutos[Classe],MATCH(tItens[[#This Row],[Produto]],tProdutos[Produto],0)),"produto não cadastrado")</f>
        <v>FILA REBASE</v>
      </c>
      <c r="K1027" s="12">
        <f>tItens[[#This Row],[Qtd]]*tItens[[#This Row],[Vlr unit]]</f>
        <v>3516</v>
      </c>
      <c r="L1027" s="6">
        <f>IFERROR(IF(INDEX(tProdutos[Desconto homologado],MATCH(tItens[[#This Row],[Produto]],tProdutos[Produto],0))="",DescontoPadrao,INDEX(tProdutos[Desconto homologado],MATCH(tItens[[#This Row],[Produto]],tProdutos[Produto],0))),DescontoPadrao)</f>
        <v>0.44096385542168698</v>
      </c>
      <c r="M1027" s="12">
        <f>tItens[[#This Row],[Valor]]*(1-tItens[[#This Row],[Desconto]])</f>
        <v>1965.5710843373483</v>
      </c>
      <c r="N1027" t="str">
        <f>IFERROR(INDEX(tProdutos[Foco],MATCH(tItens[[#This Row],[Produto]],tProdutos[Produto],0)),"Não")</f>
        <v>Não</v>
      </c>
      <c r="O1027" t="str">
        <f>IFERROR(INDEX(tEditais[SRP],MATCH(tItens[[#This Row],[Edital]],tEditais[Edital],0)),"Não")</f>
        <v>Sim</v>
      </c>
      <c r="P1027" s="4">
        <f>IF(COUNTIFS(INDEX(tItens[Edital],1):tItens[[#This Row],[Edital]],tItens[[#This Row],[Edital]],INDEX(tItens[Produto],1):tItens[[#This Row],[Produto]],tItens[[#This Row],[Produto]])=1,1,0)</f>
        <v>0</v>
      </c>
    </row>
    <row r="1028" spans="1:16" x14ac:dyDescent="0.25">
      <c r="A1028" t="s">
        <v>1053</v>
      </c>
      <c r="B1028">
        <v>72</v>
      </c>
      <c r="C1028" t="s">
        <v>4153</v>
      </c>
      <c r="D1028" t="s">
        <v>375</v>
      </c>
      <c r="E1028" s="13">
        <v>120</v>
      </c>
      <c r="F1028" s="12">
        <v>73.97</v>
      </c>
      <c r="G1028" t="str">
        <f>IFERROR(INDEX(tEditais[Órgão],MATCH(tItens[[#This Row],[Edital]],tEditais[Edital],0)),"")</f>
        <v>POLICIA MILITAR DO DISTRITO FEDERAL</v>
      </c>
      <c r="H1028" t="str">
        <f>IFERROR(INDEX(tEditais[UF],MATCH(tItens[[#This Row],[Edital]],tEditais[Edital],0)),"")</f>
        <v>DF</v>
      </c>
      <c r="I1028" s="11">
        <f>IFERROR(INDEX(tEditais[Encerramento],MATCH(tItens[[#This Row],[Edital]],tEditais[Edital],0)),"")</f>
        <v>46308.583333333336</v>
      </c>
      <c r="J1028" t="str">
        <f>IFERROR(INDEX(tProdutos[Classe],MATCH(tItens[[#This Row],[Produto]],tProdutos[Produto],0)),"produto não cadastrado")</f>
        <v>FORA</v>
      </c>
      <c r="K1028" s="12">
        <f>tItens[[#This Row],[Qtd]]*tItens[[#This Row],[Vlr unit]]</f>
        <v>8876.4</v>
      </c>
      <c r="L1028" s="6">
        <f>IFERROR(IF(INDEX(tProdutos[Desconto homologado],MATCH(tItens[[#This Row],[Produto]],tProdutos[Produto],0))="",DescontoPadrao,INDEX(tProdutos[Desconto homologado],MATCH(tItens[[#This Row],[Produto]],tProdutos[Produto],0))),DescontoPadrao)</f>
        <v>0.25005895299481201</v>
      </c>
      <c r="M1028" s="12">
        <f>tItens[[#This Row],[Valor]]*(1-tItens[[#This Row],[Desconto]])</f>
        <v>6656.7767096368498</v>
      </c>
      <c r="N1028" t="str">
        <f>IFERROR(INDEX(tProdutos[Foco],MATCH(tItens[[#This Row],[Produto]],tProdutos[Produto],0)),"Não")</f>
        <v>Não</v>
      </c>
      <c r="O1028" t="str">
        <f>IFERROR(INDEX(tEditais[SRP],MATCH(tItens[[#This Row],[Edital]],tEditais[Edital],0)),"Não")</f>
        <v>Sim</v>
      </c>
      <c r="P1028" s="4">
        <f>IF(COUNTIFS(INDEX(tItens[Edital],1):tItens[[#This Row],[Edital]],tItens[[#This Row],[Edital]],INDEX(tItens[Produto],1):tItens[[#This Row],[Produto]],tItens[[#This Row],[Produto]])=1,1,0)</f>
        <v>1</v>
      </c>
    </row>
    <row r="1029" spans="1:16" x14ac:dyDescent="0.25">
      <c r="A1029" t="s">
        <v>1053</v>
      </c>
      <c r="B1029">
        <v>76</v>
      </c>
      <c r="C1029" t="s">
        <v>4154</v>
      </c>
      <c r="D1029" t="s">
        <v>77</v>
      </c>
      <c r="E1029" s="13">
        <v>56</v>
      </c>
      <c r="F1029" s="12">
        <v>10.69</v>
      </c>
      <c r="G1029" t="str">
        <f>IFERROR(INDEX(tEditais[Órgão],MATCH(tItens[[#This Row],[Edital]],tEditais[Edital],0)),"")</f>
        <v>POLICIA MILITAR DO DISTRITO FEDERAL</v>
      </c>
      <c r="H1029" t="str">
        <f>IFERROR(INDEX(tEditais[UF],MATCH(tItens[[#This Row],[Edital]],tEditais[Edital],0)),"")</f>
        <v>DF</v>
      </c>
      <c r="I1029" s="11">
        <f>IFERROR(INDEX(tEditais[Encerramento],MATCH(tItens[[#This Row],[Edital]],tEditais[Edital],0)),"")</f>
        <v>46308.583333333336</v>
      </c>
      <c r="J1029" t="str">
        <f>IFERROR(INDEX(tProdutos[Classe],MATCH(tItens[[#This Row],[Produto]],tProdutos[Produto],0)),"produto não cadastrado")</f>
        <v>DISPUTADO</v>
      </c>
      <c r="K1029" s="12">
        <f>tItens[[#This Row],[Qtd]]*tItens[[#This Row],[Vlr unit]]</f>
        <v>598.64</v>
      </c>
      <c r="L1029" s="6">
        <f>IFERROR(IF(INDEX(tProdutos[Desconto homologado],MATCH(tItens[[#This Row],[Produto]],tProdutos[Produto],0))="",DescontoPadrao,INDEX(tProdutos[Desconto homologado],MATCH(tItens[[#This Row],[Produto]],tProdutos[Produto],0))),DescontoPadrao)</f>
        <v>0.33</v>
      </c>
      <c r="M1029" s="12">
        <f>tItens[[#This Row],[Valor]]*(1-tItens[[#This Row],[Desconto]])</f>
        <v>401.08879999999994</v>
      </c>
      <c r="N1029" t="str">
        <f>IFERROR(INDEX(tProdutos[Foco],MATCH(tItens[[#This Row],[Produto]],tProdutos[Produto],0)),"Não")</f>
        <v>Sim</v>
      </c>
      <c r="O1029" t="str">
        <f>IFERROR(INDEX(tEditais[SRP],MATCH(tItens[[#This Row],[Edital]],tEditais[Edital],0)),"Não")</f>
        <v>Sim</v>
      </c>
      <c r="P1029" s="4">
        <f>IF(COUNTIFS(INDEX(tItens[Edital],1):tItens[[#This Row],[Edital]],tItens[[#This Row],[Edital]],INDEX(tItens[Produto],1):tItens[[#This Row],[Produto]],tItens[[#This Row],[Produto]])=1,1,0)</f>
        <v>1</v>
      </c>
    </row>
    <row r="1030" spans="1:16" x14ac:dyDescent="0.25">
      <c r="A1030" t="s">
        <v>1053</v>
      </c>
      <c r="B1030">
        <v>77</v>
      </c>
      <c r="C1030" t="s">
        <v>4155</v>
      </c>
      <c r="D1030" t="s">
        <v>77</v>
      </c>
      <c r="E1030" s="13">
        <v>112</v>
      </c>
      <c r="F1030" s="12">
        <v>12.25</v>
      </c>
      <c r="G1030" t="str">
        <f>IFERROR(INDEX(tEditais[Órgão],MATCH(tItens[[#This Row],[Edital]],tEditais[Edital],0)),"")</f>
        <v>POLICIA MILITAR DO DISTRITO FEDERAL</v>
      </c>
      <c r="H1030" t="str">
        <f>IFERROR(INDEX(tEditais[UF],MATCH(tItens[[#This Row],[Edital]],tEditais[Edital],0)),"")</f>
        <v>DF</v>
      </c>
      <c r="I1030" s="11">
        <f>IFERROR(INDEX(tEditais[Encerramento],MATCH(tItens[[#This Row],[Edital]],tEditais[Edital],0)),"")</f>
        <v>46308.583333333336</v>
      </c>
      <c r="J1030" t="str">
        <f>IFERROR(INDEX(tProdutos[Classe],MATCH(tItens[[#This Row],[Produto]],tProdutos[Produto],0)),"produto não cadastrado")</f>
        <v>DISPUTADO</v>
      </c>
      <c r="K1030" s="12">
        <f>tItens[[#This Row],[Qtd]]*tItens[[#This Row],[Vlr unit]]</f>
        <v>1372</v>
      </c>
      <c r="L1030" s="6">
        <f>IFERROR(IF(INDEX(tProdutos[Desconto homologado],MATCH(tItens[[#This Row],[Produto]],tProdutos[Produto],0))="",DescontoPadrao,INDEX(tProdutos[Desconto homologado],MATCH(tItens[[#This Row],[Produto]],tProdutos[Produto],0))),DescontoPadrao)</f>
        <v>0.33</v>
      </c>
      <c r="M1030" s="12">
        <f>tItens[[#This Row],[Valor]]*(1-tItens[[#This Row],[Desconto]])</f>
        <v>919.2399999999999</v>
      </c>
      <c r="N1030" t="str">
        <f>IFERROR(INDEX(tProdutos[Foco],MATCH(tItens[[#This Row],[Produto]],tProdutos[Produto],0)),"Não")</f>
        <v>Sim</v>
      </c>
      <c r="O1030" t="str">
        <f>IFERROR(INDEX(tEditais[SRP],MATCH(tItens[[#This Row],[Edital]],tEditais[Edital],0)),"Não")</f>
        <v>Sim</v>
      </c>
      <c r="P1030" s="4">
        <f>IF(COUNTIFS(INDEX(tItens[Edital],1):tItens[[#This Row],[Edital]],tItens[[#This Row],[Edital]],INDEX(tItens[Produto],1):tItens[[#This Row],[Produto]],tItens[[#This Row],[Produto]])=1,1,0)</f>
        <v>0</v>
      </c>
    </row>
    <row r="1031" spans="1:16" x14ac:dyDescent="0.25">
      <c r="A1031" t="s">
        <v>1053</v>
      </c>
      <c r="B1031">
        <v>80</v>
      </c>
      <c r="C1031" t="s">
        <v>4156</v>
      </c>
      <c r="D1031" t="s">
        <v>371</v>
      </c>
      <c r="E1031" s="13">
        <v>2900</v>
      </c>
      <c r="F1031" s="12">
        <v>0.8</v>
      </c>
      <c r="G1031" t="str">
        <f>IFERROR(INDEX(tEditais[Órgão],MATCH(tItens[[#This Row],[Edital]],tEditais[Edital],0)),"")</f>
        <v>POLICIA MILITAR DO DISTRITO FEDERAL</v>
      </c>
      <c r="H1031" t="str">
        <f>IFERROR(INDEX(tEditais[UF],MATCH(tItens[[#This Row],[Edital]],tEditais[Edital],0)),"")</f>
        <v>DF</v>
      </c>
      <c r="I1031" s="11">
        <f>IFERROR(INDEX(tEditais[Encerramento],MATCH(tItens[[#This Row],[Edital]],tEditais[Edital],0)),"")</f>
        <v>46308.583333333336</v>
      </c>
      <c r="J1031" t="str">
        <f>IFERROR(INDEX(tProdutos[Classe],MATCH(tItens[[#This Row],[Produto]],tProdutos[Produto],0)),"produto não cadastrado")</f>
        <v>FORA</v>
      </c>
      <c r="K1031" s="12">
        <f>tItens[[#This Row],[Qtd]]*tItens[[#This Row],[Vlr unit]]</f>
        <v>2320</v>
      </c>
      <c r="L1031" s="6">
        <f>IFERROR(IF(INDEX(tProdutos[Desconto homologado],MATCH(tItens[[#This Row],[Produto]],tProdutos[Produto],0))="",DescontoPadrao,INDEX(tProdutos[Desconto homologado],MATCH(tItens[[#This Row],[Produto]],tProdutos[Produto],0))),DescontoPadrao)</f>
        <v>0.217826086956522</v>
      </c>
      <c r="M1031" s="12">
        <f>tItens[[#This Row],[Valor]]*(1-tItens[[#This Row],[Desconto]])</f>
        <v>1814.6434782608687</v>
      </c>
      <c r="N1031" t="str">
        <f>IFERROR(INDEX(tProdutos[Foco],MATCH(tItens[[#This Row],[Produto]],tProdutos[Produto],0)),"Não")</f>
        <v>Não</v>
      </c>
      <c r="O1031" t="str">
        <f>IFERROR(INDEX(tEditais[SRP],MATCH(tItens[[#This Row],[Edital]],tEditais[Edital],0)),"Não")</f>
        <v>Sim</v>
      </c>
      <c r="P1031" s="4">
        <f>IF(COUNTIFS(INDEX(tItens[Edital],1):tItens[[#This Row],[Edital]],tItens[[#This Row],[Edital]],INDEX(tItens[Produto],1):tItens[[#This Row],[Produto]],tItens[[#This Row],[Produto]])=1,1,0)</f>
        <v>1</v>
      </c>
    </row>
    <row r="1032" spans="1:16" x14ac:dyDescent="0.25">
      <c r="A1032" t="s">
        <v>1053</v>
      </c>
      <c r="B1032">
        <v>82</v>
      </c>
      <c r="C1032" t="s">
        <v>4157</v>
      </c>
      <c r="D1032" t="s">
        <v>512</v>
      </c>
      <c r="E1032" s="13">
        <v>250</v>
      </c>
      <c r="F1032" s="12">
        <v>12.67</v>
      </c>
      <c r="G1032" t="str">
        <f>IFERROR(INDEX(tEditais[Órgão],MATCH(tItens[[#This Row],[Edital]],tEditais[Edital],0)),"")</f>
        <v>POLICIA MILITAR DO DISTRITO FEDERAL</v>
      </c>
      <c r="H1032" t="str">
        <f>IFERROR(INDEX(tEditais[UF],MATCH(tItens[[#This Row],[Edital]],tEditais[Edital],0)),"")</f>
        <v>DF</v>
      </c>
      <c r="I1032" s="11">
        <f>IFERROR(INDEX(tEditais[Encerramento],MATCH(tItens[[#This Row],[Edital]],tEditais[Edital],0)),"")</f>
        <v>46308.583333333336</v>
      </c>
      <c r="J1032" t="str">
        <f>IFERROR(INDEX(tProdutos[Classe],MATCH(tItens[[#This Row],[Produto]],tProdutos[Produto],0)),"produto não cadastrado")</f>
        <v>FILA REBASE</v>
      </c>
      <c r="K1032" s="12">
        <f>tItens[[#This Row],[Qtd]]*tItens[[#This Row],[Vlr unit]]</f>
        <v>3167.5</v>
      </c>
      <c r="L1032" s="6">
        <f>IFERROR(IF(INDEX(tProdutos[Desconto homologado],MATCH(tItens[[#This Row],[Produto]],tProdutos[Produto],0))="",DescontoPadrao,INDEX(tProdutos[Desconto homologado],MATCH(tItens[[#This Row],[Produto]],tProdutos[Produto],0))),DescontoPadrao)</f>
        <v>0.32579365079365102</v>
      </c>
      <c r="M1032" s="12">
        <f>tItens[[#This Row],[Valor]]*(1-tItens[[#This Row],[Desconto]])</f>
        <v>2135.5486111111104</v>
      </c>
      <c r="N1032" t="str">
        <f>IFERROR(INDEX(tProdutos[Foco],MATCH(tItens[[#This Row],[Produto]],tProdutos[Produto],0)),"Não")</f>
        <v>Não</v>
      </c>
      <c r="O1032" t="str">
        <f>IFERROR(INDEX(tEditais[SRP],MATCH(tItens[[#This Row],[Edital]],tEditais[Edital],0)),"Não")</f>
        <v>Sim</v>
      </c>
      <c r="P1032" s="4">
        <f>IF(COUNTIFS(INDEX(tItens[Edital],1):tItens[[#This Row],[Edital]],tItens[[#This Row],[Edital]],INDEX(tItens[Produto],1):tItens[[#This Row],[Produto]],tItens[[#This Row],[Produto]])=1,1,0)</f>
        <v>1</v>
      </c>
    </row>
    <row r="1033" spans="1:16" x14ac:dyDescent="0.25">
      <c r="A1033" t="s">
        <v>1053</v>
      </c>
      <c r="B1033">
        <v>84</v>
      </c>
      <c r="C1033" t="s">
        <v>4158</v>
      </c>
      <c r="D1033" t="s">
        <v>387</v>
      </c>
      <c r="E1033" s="13">
        <v>30</v>
      </c>
      <c r="F1033" s="12">
        <v>5.28</v>
      </c>
      <c r="G1033" t="str">
        <f>IFERROR(INDEX(tEditais[Órgão],MATCH(tItens[[#This Row],[Edital]],tEditais[Edital],0)),"")</f>
        <v>POLICIA MILITAR DO DISTRITO FEDERAL</v>
      </c>
      <c r="H1033" t="str">
        <f>IFERROR(INDEX(tEditais[UF],MATCH(tItens[[#This Row],[Edital]],tEditais[Edital],0)),"")</f>
        <v>DF</v>
      </c>
      <c r="I1033" s="11">
        <f>IFERROR(INDEX(tEditais[Encerramento],MATCH(tItens[[#This Row],[Edital]],tEditais[Edital],0)),"")</f>
        <v>46308.583333333336</v>
      </c>
      <c r="J1033" t="str">
        <f>IFERROR(INDEX(tProdutos[Classe],MATCH(tItens[[#This Row],[Produto]],tProdutos[Produto],0)),"produto não cadastrado")</f>
        <v>FORA</v>
      </c>
      <c r="K1033" s="12">
        <f>tItens[[#This Row],[Qtd]]*tItens[[#This Row],[Vlr unit]]</f>
        <v>158.4</v>
      </c>
      <c r="L1033" s="6">
        <f>IFERROR(IF(INDEX(tProdutos[Desconto homologado],MATCH(tItens[[#This Row],[Produto]],tProdutos[Produto],0))="",DescontoPadrao,INDEX(tProdutos[Desconto homologado],MATCH(tItens[[#This Row],[Produto]],tProdutos[Produto],0))),DescontoPadrao)</f>
        <v>0.30458221024258803</v>
      </c>
      <c r="M1033" s="12">
        <f>tItens[[#This Row],[Valor]]*(1-tItens[[#This Row],[Desconto]])</f>
        <v>110.15417789757406</v>
      </c>
      <c r="N1033" t="str">
        <f>IFERROR(INDEX(tProdutos[Foco],MATCH(tItens[[#This Row],[Produto]],tProdutos[Produto],0)),"Não")</f>
        <v>Não</v>
      </c>
      <c r="O1033" t="str">
        <f>IFERROR(INDEX(tEditais[SRP],MATCH(tItens[[#This Row],[Edital]],tEditais[Edital],0)),"Não")</f>
        <v>Sim</v>
      </c>
      <c r="P1033" s="4">
        <f>IF(COUNTIFS(INDEX(tItens[Edital],1):tItens[[#This Row],[Edital]],tItens[[#This Row],[Edital]],INDEX(tItens[Produto],1):tItens[[#This Row],[Produto]],tItens[[#This Row],[Produto]])=1,1,0)</f>
        <v>1</v>
      </c>
    </row>
    <row r="1034" spans="1:16" x14ac:dyDescent="0.25">
      <c r="A1034" t="s">
        <v>1053</v>
      </c>
      <c r="B1034">
        <v>87</v>
      </c>
      <c r="C1034" t="s">
        <v>4159</v>
      </c>
      <c r="D1034" t="s">
        <v>413</v>
      </c>
      <c r="E1034" s="13">
        <v>250</v>
      </c>
      <c r="F1034" s="12">
        <v>2.64</v>
      </c>
      <c r="G1034" t="str">
        <f>IFERROR(INDEX(tEditais[Órgão],MATCH(tItens[[#This Row],[Edital]],tEditais[Edital],0)),"")</f>
        <v>POLICIA MILITAR DO DISTRITO FEDERAL</v>
      </c>
      <c r="H1034" t="str">
        <f>IFERROR(INDEX(tEditais[UF],MATCH(tItens[[#This Row],[Edital]],tEditais[Edital],0)),"")</f>
        <v>DF</v>
      </c>
      <c r="I1034" s="11">
        <f>IFERROR(INDEX(tEditais[Encerramento],MATCH(tItens[[#This Row],[Edital]],tEditais[Edital],0)),"")</f>
        <v>46308.583333333336</v>
      </c>
      <c r="J1034" t="str">
        <f>IFERROR(INDEX(tProdutos[Classe],MATCH(tItens[[#This Row],[Produto]],tProdutos[Produto],0)),"produto não cadastrado")</f>
        <v>FORA</v>
      </c>
      <c r="K1034" s="12">
        <f>tItens[[#This Row],[Qtd]]*tItens[[#This Row],[Vlr unit]]</f>
        <v>660</v>
      </c>
      <c r="L1034" s="6">
        <f>IFERROR(IF(INDEX(tProdutos[Desconto homologado],MATCH(tItens[[#This Row],[Produto]],tProdutos[Produto],0))="",DescontoPadrao,INDEX(tProdutos[Desconto homologado],MATCH(tItens[[#This Row],[Produto]],tProdutos[Produto],0))),DescontoPadrao)</f>
        <v>0.477732793522267</v>
      </c>
      <c r="M1034" s="12">
        <f>tItens[[#This Row],[Valor]]*(1-tItens[[#This Row],[Desconto]])</f>
        <v>344.69635627530374</v>
      </c>
      <c r="N1034" t="str">
        <f>IFERROR(INDEX(tProdutos[Foco],MATCH(tItens[[#This Row],[Produto]],tProdutos[Produto],0)),"Não")</f>
        <v>Não</v>
      </c>
      <c r="O1034" t="str">
        <f>IFERROR(INDEX(tEditais[SRP],MATCH(tItens[[#This Row],[Edital]],tEditais[Edital],0)),"Não")</f>
        <v>Sim</v>
      </c>
      <c r="P1034" s="4">
        <f>IF(COUNTIFS(INDEX(tItens[Edital],1):tItens[[#This Row],[Edital]],tItens[[#This Row],[Edital]],INDEX(tItens[Produto],1):tItens[[#This Row],[Produto]],tItens[[#This Row],[Produto]])=1,1,0)</f>
        <v>1</v>
      </c>
    </row>
    <row r="1035" spans="1:16" x14ac:dyDescent="0.25">
      <c r="A1035" t="s">
        <v>1053</v>
      </c>
      <c r="B1035">
        <v>88</v>
      </c>
      <c r="C1035" t="s">
        <v>4160</v>
      </c>
      <c r="D1035" t="s">
        <v>413</v>
      </c>
      <c r="E1035" s="13">
        <v>500</v>
      </c>
      <c r="F1035" s="12">
        <v>2.4</v>
      </c>
      <c r="G1035" t="str">
        <f>IFERROR(INDEX(tEditais[Órgão],MATCH(tItens[[#This Row],[Edital]],tEditais[Edital],0)),"")</f>
        <v>POLICIA MILITAR DO DISTRITO FEDERAL</v>
      </c>
      <c r="H1035" t="str">
        <f>IFERROR(INDEX(tEditais[UF],MATCH(tItens[[#This Row],[Edital]],tEditais[Edital],0)),"")</f>
        <v>DF</v>
      </c>
      <c r="I1035" s="11">
        <f>IFERROR(INDEX(tEditais[Encerramento],MATCH(tItens[[#This Row],[Edital]],tEditais[Edital],0)),"")</f>
        <v>46308.583333333336</v>
      </c>
      <c r="J1035" t="str">
        <f>IFERROR(INDEX(tProdutos[Classe],MATCH(tItens[[#This Row],[Produto]],tProdutos[Produto],0)),"produto não cadastrado")</f>
        <v>FORA</v>
      </c>
      <c r="K1035" s="12">
        <f>tItens[[#This Row],[Qtd]]*tItens[[#This Row],[Vlr unit]]</f>
        <v>1200</v>
      </c>
      <c r="L1035" s="6">
        <f>IFERROR(IF(INDEX(tProdutos[Desconto homologado],MATCH(tItens[[#This Row],[Produto]],tProdutos[Produto],0))="",DescontoPadrao,INDEX(tProdutos[Desconto homologado],MATCH(tItens[[#This Row],[Produto]],tProdutos[Produto],0))),DescontoPadrao)</f>
        <v>0.477732793522267</v>
      </c>
      <c r="M1035" s="12">
        <f>tItens[[#This Row],[Valor]]*(1-tItens[[#This Row],[Desconto]])</f>
        <v>626.72064777327955</v>
      </c>
      <c r="N1035" t="str">
        <f>IFERROR(INDEX(tProdutos[Foco],MATCH(tItens[[#This Row],[Produto]],tProdutos[Produto],0)),"Não")</f>
        <v>Não</v>
      </c>
      <c r="O1035" t="str">
        <f>IFERROR(INDEX(tEditais[SRP],MATCH(tItens[[#This Row],[Edital]],tEditais[Edital],0)),"Não")</f>
        <v>Sim</v>
      </c>
      <c r="P1035" s="4">
        <f>IF(COUNTIFS(INDEX(tItens[Edital],1):tItens[[#This Row],[Edital]],tItens[[#This Row],[Edital]],INDEX(tItens[Produto],1):tItens[[#This Row],[Produto]],tItens[[#This Row],[Produto]])=1,1,0)</f>
        <v>0</v>
      </c>
    </row>
    <row r="1036" spans="1:16" x14ac:dyDescent="0.25">
      <c r="A1036" t="s">
        <v>1053</v>
      </c>
      <c r="B1036">
        <v>89</v>
      </c>
      <c r="C1036" t="s">
        <v>4161</v>
      </c>
      <c r="D1036" t="s">
        <v>413</v>
      </c>
      <c r="E1036" s="13">
        <v>300</v>
      </c>
      <c r="F1036" s="12">
        <v>2.62</v>
      </c>
      <c r="G1036" t="str">
        <f>IFERROR(INDEX(tEditais[Órgão],MATCH(tItens[[#This Row],[Edital]],tEditais[Edital],0)),"")</f>
        <v>POLICIA MILITAR DO DISTRITO FEDERAL</v>
      </c>
      <c r="H1036" t="str">
        <f>IFERROR(INDEX(tEditais[UF],MATCH(tItens[[#This Row],[Edital]],tEditais[Edital],0)),"")</f>
        <v>DF</v>
      </c>
      <c r="I1036" s="11">
        <f>IFERROR(INDEX(tEditais[Encerramento],MATCH(tItens[[#This Row],[Edital]],tEditais[Edital],0)),"")</f>
        <v>46308.583333333336</v>
      </c>
      <c r="J1036" t="str">
        <f>IFERROR(INDEX(tProdutos[Classe],MATCH(tItens[[#This Row],[Produto]],tProdutos[Produto],0)),"produto não cadastrado")</f>
        <v>FORA</v>
      </c>
      <c r="K1036" s="12">
        <f>tItens[[#This Row],[Qtd]]*tItens[[#This Row],[Vlr unit]]</f>
        <v>786</v>
      </c>
      <c r="L1036" s="6">
        <f>IFERROR(IF(INDEX(tProdutos[Desconto homologado],MATCH(tItens[[#This Row],[Produto]],tProdutos[Produto],0))="",DescontoPadrao,INDEX(tProdutos[Desconto homologado],MATCH(tItens[[#This Row],[Produto]],tProdutos[Produto],0))),DescontoPadrao)</f>
        <v>0.477732793522267</v>
      </c>
      <c r="M1036" s="12">
        <f>tItens[[#This Row],[Valor]]*(1-tItens[[#This Row],[Desconto]])</f>
        <v>410.50202429149812</v>
      </c>
      <c r="N1036" t="str">
        <f>IFERROR(INDEX(tProdutos[Foco],MATCH(tItens[[#This Row],[Produto]],tProdutos[Produto],0)),"Não")</f>
        <v>Não</v>
      </c>
      <c r="O1036" t="str">
        <f>IFERROR(INDEX(tEditais[SRP],MATCH(tItens[[#This Row],[Edital]],tEditais[Edital],0)),"Não")</f>
        <v>Sim</v>
      </c>
      <c r="P1036" s="4">
        <f>IF(COUNTIFS(INDEX(tItens[Edital],1):tItens[[#This Row],[Edital]],tItens[[#This Row],[Edital]],INDEX(tItens[Produto],1):tItens[[#This Row],[Produto]],tItens[[#This Row],[Produto]])=1,1,0)</f>
        <v>0</v>
      </c>
    </row>
    <row r="1037" spans="1:16" x14ac:dyDescent="0.25">
      <c r="A1037" t="s">
        <v>1053</v>
      </c>
      <c r="B1037">
        <v>90</v>
      </c>
      <c r="C1037" t="s">
        <v>3332</v>
      </c>
      <c r="D1037" t="s">
        <v>313</v>
      </c>
      <c r="E1037" s="13">
        <v>260</v>
      </c>
      <c r="F1037" s="12">
        <v>38.700000000000003</v>
      </c>
      <c r="G1037" t="str">
        <f>IFERROR(INDEX(tEditais[Órgão],MATCH(tItens[[#This Row],[Edital]],tEditais[Edital],0)),"")</f>
        <v>POLICIA MILITAR DO DISTRITO FEDERAL</v>
      </c>
      <c r="H1037" t="str">
        <f>IFERROR(INDEX(tEditais[UF],MATCH(tItens[[#This Row],[Edital]],tEditais[Edital],0)),"")</f>
        <v>DF</v>
      </c>
      <c r="I1037" s="11">
        <f>IFERROR(INDEX(tEditais[Encerramento],MATCH(tItens[[#This Row],[Edital]],tEditais[Edital],0)),"")</f>
        <v>46308.583333333336</v>
      </c>
      <c r="J1037" t="str">
        <f>IFERROR(INDEX(tProdutos[Classe],MATCH(tItens[[#This Row],[Produto]],tProdutos[Produto],0)),"produto não cadastrado")</f>
        <v>FORA</v>
      </c>
      <c r="K1037" s="12">
        <f>tItens[[#This Row],[Qtd]]*tItens[[#This Row],[Vlr unit]]</f>
        <v>10062</v>
      </c>
      <c r="L1037" s="6">
        <f>IFERROR(IF(INDEX(tProdutos[Desconto homologado],MATCH(tItens[[#This Row],[Produto]],tProdutos[Produto],0))="",DescontoPadrao,INDEX(tProdutos[Desconto homologado],MATCH(tItens[[#This Row],[Produto]],tProdutos[Produto],0))),DescontoPadrao)</f>
        <v>0.35766373163696302</v>
      </c>
      <c r="M1037" s="12">
        <f>tItens[[#This Row],[Valor]]*(1-tItens[[#This Row],[Desconto]])</f>
        <v>6463.1875322688775</v>
      </c>
      <c r="N1037" t="str">
        <f>IFERROR(INDEX(tProdutos[Foco],MATCH(tItens[[#This Row],[Produto]],tProdutos[Produto],0)),"Não")</f>
        <v>Não</v>
      </c>
      <c r="O1037" t="str">
        <f>IFERROR(INDEX(tEditais[SRP],MATCH(tItens[[#This Row],[Edital]],tEditais[Edital],0)),"Não")</f>
        <v>Sim</v>
      </c>
      <c r="P1037" s="4">
        <f>IF(COUNTIFS(INDEX(tItens[Edital],1):tItens[[#This Row],[Edital]],tItens[[#This Row],[Edital]],INDEX(tItens[Produto],1):tItens[[#This Row],[Produto]],tItens[[#This Row],[Produto]])=1,1,0)</f>
        <v>1</v>
      </c>
    </row>
    <row r="1038" spans="1:16" x14ac:dyDescent="0.25">
      <c r="A1038" t="s">
        <v>1053</v>
      </c>
      <c r="B1038">
        <v>97</v>
      </c>
      <c r="C1038" t="s">
        <v>4162</v>
      </c>
      <c r="D1038" t="s">
        <v>69</v>
      </c>
      <c r="E1038" s="13">
        <v>100</v>
      </c>
      <c r="F1038" s="12">
        <v>1.29</v>
      </c>
      <c r="G1038" t="str">
        <f>IFERROR(INDEX(tEditais[Órgão],MATCH(tItens[[#This Row],[Edital]],tEditais[Edital],0)),"")</f>
        <v>POLICIA MILITAR DO DISTRITO FEDERAL</v>
      </c>
      <c r="H1038" t="str">
        <f>IFERROR(INDEX(tEditais[UF],MATCH(tItens[[#This Row],[Edital]],tEditais[Edital],0)),"")</f>
        <v>DF</v>
      </c>
      <c r="I1038" s="11">
        <f>IFERROR(INDEX(tEditais[Encerramento],MATCH(tItens[[#This Row],[Edital]],tEditais[Edital],0)),"")</f>
        <v>46308.583333333336</v>
      </c>
      <c r="J1038" t="str">
        <f>IFERROR(INDEX(tProdutos[Classe],MATCH(tItens[[#This Row],[Produto]],tProdutos[Produto],0)),"produto não cadastrado")</f>
        <v>NÚCLEO</v>
      </c>
      <c r="K1038" s="12">
        <f>tItens[[#This Row],[Qtd]]*tItens[[#This Row],[Vlr unit]]</f>
        <v>129</v>
      </c>
      <c r="L1038" s="6">
        <f>IFERROR(IF(INDEX(tProdutos[Desconto homologado],MATCH(tItens[[#This Row],[Produto]],tProdutos[Produto],0))="",DescontoPadrao,INDEX(tProdutos[Desconto homologado],MATCH(tItens[[#This Row],[Produto]],tProdutos[Produto],0))),DescontoPadrao)</f>
        <v>0.38829259638568803</v>
      </c>
      <c r="M1038" s="12">
        <f>tItens[[#This Row],[Valor]]*(1-tItens[[#This Row],[Desconto]])</f>
        <v>78.910255066246251</v>
      </c>
      <c r="N1038" t="str">
        <f>IFERROR(INDEX(tProdutos[Foco],MATCH(tItens[[#This Row],[Produto]],tProdutos[Produto],0)),"Não")</f>
        <v>Não</v>
      </c>
      <c r="O1038" t="str">
        <f>IFERROR(INDEX(tEditais[SRP],MATCH(tItens[[#This Row],[Edital]],tEditais[Edital],0)),"Não")</f>
        <v>Sim</v>
      </c>
      <c r="P1038" s="4">
        <f>IF(COUNTIFS(INDEX(tItens[Edital],1):tItens[[#This Row],[Edital]],tItens[[#This Row],[Edital]],INDEX(tItens[Produto],1):tItens[[#This Row],[Produto]],tItens[[#This Row],[Produto]])=1,1,0)</f>
        <v>0</v>
      </c>
    </row>
    <row r="1039" spans="1:16" x14ac:dyDescent="0.25">
      <c r="A1039" t="s">
        <v>1053</v>
      </c>
      <c r="B1039">
        <v>98</v>
      </c>
      <c r="C1039" t="s">
        <v>4163</v>
      </c>
      <c r="D1039" t="s">
        <v>106</v>
      </c>
      <c r="E1039" s="13">
        <v>100</v>
      </c>
      <c r="F1039" s="12">
        <v>1.33</v>
      </c>
      <c r="G1039" t="str">
        <f>IFERROR(INDEX(tEditais[Órgão],MATCH(tItens[[#This Row],[Edital]],tEditais[Edital],0)),"")</f>
        <v>POLICIA MILITAR DO DISTRITO FEDERAL</v>
      </c>
      <c r="H1039" t="str">
        <f>IFERROR(INDEX(tEditais[UF],MATCH(tItens[[#This Row],[Edital]],tEditais[Edital],0)),"")</f>
        <v>DF</v>
      </c>
      <c r="I1039" s="11">
        <f>IFERROR(INDEX(tEditais[Encerramento],MATCH(tItens[[#This Row],[Edital]],tEditais[Edital],0)),"")</f>
        <v>46308.583333333336</v>
      </c>
      <c r="J1039" t="str">
        <f>IFERROR(INDEX(tProdutos[Classe],MATCH(tItens[[#This Row],[Produto]],tProdutos[Produto],0)),"produto não cadastrado")</f>
        <v>DISPUTADO</v>
      </c>
      <c r="K1039" s="12">
        <f>tItens[[#This Row],[Qtd]]*tItens[[#This Row],[Vlr unit]]</f>
        <v>133</v>
      </c>
      <c r="L1039" s="6">
        <f>IFERROR(IF(INDEX(tProdutos[Desconto homologado],MATCH(tItens[[#This Row],[Produto]],tProdutos[Produto],0))="",DescontoPadrao,INDEX(tProdutos[Desconto homologado],MATCH(tItens[[#This Row],[Produto]],tProdutos[Produto],0))),DescontoPadrao)</f>
        <v>0.24377518966589001</v>
      </c>
      <c r="M1039" s="12">
        <f>tItens[[#This Row],[Valor]]*(1-tItens[[#This Row],[Desconto]])</f>
        <v>100.57789977443663</v>
      </c>
      <c r="N1039" t="str">
        <f>IFERROR(INDEX(tProdutos[Foco],MATCH(tItens[[#This Row],[Produto]],tProdutos[Produto],0)),"Não")</f>
        <v>Não</v>
      </c>
      <c r="O1039" t="str">
        <f>IFERROR(INDEX(tEditais[SRP],MATCH(tItens[[#This Row],[Edital]],tEditais[Edital],0)),"Não")</f>
        <v>Sim</v>
      </c>
      <c r="P1039" s="4">
        <f>IF(COUNTIFS(INDEX(tItens[Edital],1):tItens[[#This Row],[Edital]],tItens[[#This Row],[Edital]],INDEX(tItens[Produto],1):tItens[[#This Row],[Produto]],tItens[[#This Row],[Produto]])=1,1,0)</f>
        <v>1</v>
      </c>
    </row>
    <row r="1040" spans="1:16" x14ac:dyDescent="0.25">
      <c r="A1040" t="s">
        <v>1053</v>
      </c>
      <c r="B1040">
        <v>100</v>
      </c>
      <c r="C1040" t="s">
        <v>4164</v>
      </c>
      <c r="D1040" t="s">
        <v>184</v>
      </c>
      <c r="E1040" s="13">
        <v>100</v>
      </c>
      <c r="F1040" s="12">
        <v>3.85</v>
      </c>
      <c r="G1040" t="str">
        <f>IFERROR(INDEX(tEditais[Órgão],MATCH(tItens[[#This Row],[Edital]],tEditais[Edital],0)),"")</f>
        <v>POLICIA MILITAR DO DISTRITO FEDERAL</v>
      </c>
      <c r="H1040" t="str">
        <f>IFERROR(INDEX(tEditais[UF],MATCH(tItens[[#This Row],[Edital]],tEditais[Edital],0)),"")</f>
        <v>DF</v>
      </c>
      <c r="I1040" s="11">
        <f>IFERROR(INDEX(tEditais[Encerramento],MATCH(tItens[[#This Row],[Edital]],tEditais[Edital],0)),"")</f>
        <v>46308.583333333336</v>
      </c>
      <c r="J1040" t="str">
        <f>IFERROR(INDEX(tProdutos[Classe],MATCH(tItens[[#This Row],[Produto]],tProdutos[Produto],0)),"produto não cadastrado")</f>
        <v>FORA</v>
      </c>
      <c r="K1040" s="12">
        <f>tItens[[#This Row],[Qtd]]*tItens[[#This Row],[Vlr unit]]</f>
        <v>385</v>
      </c>
      <c r="L1040" s="6">
        <f>IFERROR(IF(INDEX(tProdutos[Desconto homologado],MATCH(tItens[[#This Row],[Produto]],tProdutos[Produto],0))="",DescontoPadrao,INDEX(tProdutos[Desconto homologado],MATCH(tItens[[#This Row],[Produto]],tProdutos[Produto],0))),DescontoPadrao)</f>
        <v>0.363567906332742</v>
      </c>
      <c r="M1040" s="12">
        <f>tItens[[#This Row],[Valor]]*(1-tItens[[#This Row],[Desconto]])</f>
        <v>245.02635606189435</v>
      </c>
      <c r="N1040" t="str">
        <f>IFERROR(INDEX(tProdutos[Foco],MATCH(tItens[[#This Row],[Produto]],tProdutos[Produto],0)),"Não")</f>
        <v>Não</v>
      </c>
      <c r="O1040" t="str">
        <f>IFERROR(INDEX(tEditais[SRP],MATCH(tItens[[#This Row],[Edital]],tEditais[Edital],0)),"Não")</f>
        <v>Sim</v>
      </c>
      <c r="P1040" s="4">
        <f>IF(COUNTIFS(INDEX(tItens[Edital],1):tItens[[#This Row],[Edital]],tItens[[#This Row],[Edital]],INDEX(tItens[Produto],1):tItens[[#This Row],[Produto]],tItens[[#This Row],[Produto]])=1,1,0)</f>
        <v>1</v>
      </c>
    </row>
    <row r="1041" spans="1:16" x14ac:dyDescent="0.25">
      <c r="A1041" t="s">
        <v>1053</v>
      </c>
      <c r="B1041">
        <v>101</v>
      </c>
      <c r="C1041" t="s">
        <v>4165</v>
      </c>
      <c r="D1041" t="s">
        <v>184</v>
      </c>
      <c r="E1041" s="13">
        <v>100</v>
      </c>
      <c r="F1041" s="12">
        <v>4.74</v>
      </c>
      <c r="G1041" t="str">
        <f>IFERROR(INDEX(tEditais[Órgão],MATCH(tItens[[#This Row],[Edital]],tEditais[Edital],0)),"")</f>
        <v>POLICIA MILITAR DO DISTRITO FEDERAL</v>
      </c>
      <c r="H1041" t="str">
        <f>IFERROR(INDEX(tEditais[UF],MATCH(tItens[[#This Row],[Edital]],tEditais[Edital],0)),"")</f>
        <v>DF</v>
      </c>
      <c r="I1041" s="11">
        <f>IFERROR(INDEX(tEditais[Encerramento],MATCH(tItens[[#This Row],[Edital]],tEditais[Edital],0)),"")</f>
        <v>46308.583333333336</v>
      </c>
      <c r="J1041" t="str">
        <f>IFERROR(INDEX(tProdutos[Classe],MATCH(tItens[[#This Row],[Produto]],tProdutos[Produto],0)),"produto não cadastrado")</f>
        <v>FORA</v>
      </c>
      <c r="K1041" s="12">
        <f>tItens[[#This Row],[Qtd]]*tItens[[#This Row],[Vlr unit]]</f>
        <v>474</v>
      </c>
      <c r="L1041" s="6">
        <f>IFERROR(IF(INDEX(tProdutos[Desconto homologado],MATCH(tItens[[#This Row],[Produto]],tProdutos[Produto],0))="",DescontoPadrao,INDEX(tProdutos[Desconto homologado],MATCH(tItens[[#This Row],[Produto]],tProdutos[Produto],0))),DescontoPadrao)</f>
        <v>0.363567906332742</v>
      </c>
      <c r="M1041" s="12">
        <f>tItens[[#This Row],[Valor]]*(1-tItens[[#This Row],[Desconto]])</f>
        <v>301.66881239828029</v>
      </c>
      <c r="N1041" t="str">
        <f>IFERROR(INDEX(tProdutos[Foco],MATCH(tItens[[#This Row],[Produto]],tProdutos[Produto],0)),"Não")</f>
        <v>Não</v>
      </c>
      <c r="O1041" t="str">
        <f>IFERROR(INDEX(tEditais[SRP],MATCH(tItens[[#This Row],[Edital]],tEditais[Edital],0)),"Não")</f>
        <v>Sim</v>
      </c>
      <c r="P1041" s="4">
        <f>IF(COUNTIFS(INDEX(tItens[Edital],1):tItens[[#This Row],[Edital]],tItens[[#This Row],[Edital]],INDEX(tItens[Produto],1):tItens[[#This Row],[Produto]],tItens[[#This Row],[Produto]])=1,1,0)</f>
        <v>0</v>
      </c>
    </row>
    <row r="1042" spans="1:16" x14ac:dyDescent="0.25">
      <c r="A1042" t="s">
        <v>1053</v>
      </c>
      <c r="B1042">
        <v>102</v>
      </c>
      <c r="C1042" t="s">
        <v>4166</v>
      </c>
      <c r="D1042" t="s">
        <v>184</v>
      </c>
      <c r="E1042" s="13">
        <v>100</v>
      </c>
      <c r="F1042" s="12">
        <v>4.34</v>
      </c>
      <c r="G1042" t="str">
        <f>IFERROR(INDEX(tEditais[Órgão],MATCH(tItens[[#This Row],[Edital]],tEditais[Edital],0)),"")</f>
        <v>POLICIA MILITAR DO DISTRITO FEDERAL</v>
      </c>
      <c r="H1042" t="str">
        <f>IFERROR(INDEX(tEditais[UF],MATCH(tItens[[#This Row],[Edital]],tEditais[Edital],0)),"")</f>
        <v>DF</v>
      </c>
      <c r="I1042" s="11">
        <f>IFERROR(INDEX(tEditais[Encerramento],MATCH(tItens[[#This Row],[Edital]],tEditais[Edital],0)),"")</f>
        <v>46308.583333333336</v>
      </c>
      <c r="J1042" t="str">
        <f>IFERROR(INDEX(tProdutos[Classe],MATCH(tItens[[#This Row],[Produto]],tProdutos[Produto],0)),"produto não cadastrado")</f>
        <v>FORA</v>
      </c>
      <c r="K1042" s="12">
        <f>tItens[[#This Row],[Qtd]]*tItens[[#This Row],[Vlr unit]]</f>
        <v>434</v>
      </c>
      <c r="L1042" s="6">
        <f>IFERROR(IF(INDEX(tProdutos[Desconto homologado],MATCH(tItens[[#This Row],[Produto]],tProdutos[Produto],0))="",DescontoPadrao,INDEX(tProdutos[Desconto homologado],MATCH(tItens[[#This Row],[Produto]],tProdutos[Produto],0))),DescontoPadrao)</f>
        <v>0.363567906332742</v>
      </c>
      <c r="M1042" s="12">
        <f>tItens[[#This Row],[Valor]]*(1-tItens[[#This Row],[Desconto]])</f>
        <v>276.21152865159002</v>
      </c>
      <c r="N1042" t="str">
        <f>IFERROR(INDEX(tProdutos[Foco],MATCH(tItens[[#This Row],[Produto]],tProdutos[Produto],0)),"Não")</f>
        <v>Não</v>
      </c>
      <c r="O1042" t="str">
        <f>IFERROR(INDEX(tEditais[SRP],MATCH(tItens[[#This Row],[Edital]],tEditais[Edital],0)),"Não")</f>
        <v>Sim</v>
      </c>
      <c r="P1042" s="4">
        <f>IF(COUNTIFS(INDEX(tItens[Edital],1):tItens[[#This Row],[Edital]],tItens[[#This Row],[Edital]],INDEX(tItens[Produto],1):tItens[[#This Row],[Produto]],tItens[[#This Row],[Produto]])=1,1,0)</f>
        <v>0</v>
      </c>
    </row>
    <row r="1043" spans="1:16" x14ac:dyDescent="0.25">
      <c r="A1043" t="s">
        <v>1053</v>
      </c>
      <c r="B1043">
        <v>103</v>
      </c>
      <c r="C1043" t="s">
        <v>4167</v>
      </c>
      <c r="D1043" t="s">
        <v>184</v>
      </c>
      <c r="E1043" s="13">
        <v>100</v>
      </c>
      <c r="F1043" s="12">
        <v>4.1900000000000004</v>
      </c>
      <c r="G1043" t="str">
        <f>IFERROR(INDEX(tEditais[Órgão],MATCH(tItens[[#This Row],[Edital]],tEditais[Edital],0)),"")</f>
        <v>POLICIA MILITAR DO DISTRITO FEDERAL</v>
      </c>
      <c r="H1043" t="str">
        <f>IFERROR(INDEX(tEditais[UF],MATCH(tItens[[#This Row],[Edital]],tEditais[Edital],0)),"")</f>
        <v>DF</v>
      </c>
      <c r="I1043" s="11">
        <f>IFERROR(INDEX(tEditais[Encerramento],MATCH(tItens[[#This Row],[Edital]],tEditais[Edital],0)),"")</f>
        <v>46308.583333333336</v>
      </c>
      <c r="J1043" t="str">
        <f>IFERROR(INDEX(tProdutos[Classe],MATCH(tItens[[#This Row],[Produto]],tProdutos[Produto],0)),"produto não cadastrado")</f>
        <v>FORA</v>
      </c>
      <c r="K1043" s="12">
        <f>tItens[[#This Row],[Qtd]]*tItens[[#This Row],[Vlr unit]]</f>
        <v>419.00000000000006</v>
      </c>
      <c r="L1043" s="6">
        <f>IFERROR(IF(INDEX(tProdutos[Desconto homologado],MATCH(tItens[[#This Row],[Produto]],tProdutos[Produto],0))="",DescontoPadrao,INDEX(tProdutos[Desconto homologado],MATCH(tItens[[#This Row],[Produto]],tProdutos[Produto],0))),DescontoPadrao)</f>
        <v>0.363567906332742</v>
      </c>
      <c r="M1043" s="12">
        <f>tItens[[#This Row],[Valor]]*(1-tItens[[#This Row],[Desconto]])</f>
        <v>266.66504724658114</v>
      </c>
      <c r="N1043" t="str">
        <f>IFERROR(INDEX(tProdutos[Foco],MATCH(tItens[[#This Row],[Produto]],tProdutos[Produto],0)),"Não")</f>
        <v>Não</v>
      </c>
      <c r="O1043" t="str">
        <f>IFERROR(INDEX(tEditais[SRP],MATCH(tItens[[#This Row],[Edital]],tEditais[Edital],0)),"Não")</f>
        <v>Sim</v>
      </c>
      <c r="P1043" s="4">
        <f>IF(COUNTIFS(INDEX(tItens[Edital],1):tItens[[#This Row],[Edital]],tItens[[#This Row],[Edital]],INDEX(tItens[Produto],1):tItens[[#This Row],[Produto]],tItens[[#This Row],[Produto]])=1,1,0)</f>
        <v>0</v>
      </c>
    </row>
    <row r="1044" spans="1:16" x14ac:dyDescent="0.25">
      <c r="A1044" t="s">
        <v>1053</v>
      </c>
      <c r="B1044">
        <v>104</v>
      </c>
      <c r="C1044" t="s">
        <v>4168</v>
      </c>
      <c r="D1044" t="s">
        <v>184</v>
      </c>
      <c r="E1044" s="13">
        <v>100</v>
      </c>
      <c r="F1044" s="12">
        <v>4.34</v>
      </c>
      <c r="G1044" t="str">
        <f>IFERROR(INDEX(tEditais[Órgão],MATCH(tItens[[#This Row],[Edital]],tEditais[Edital],0)),"")</f>
        <v>POLICIA MILITAR DO DISTRITO FEDERAL</v>
      </c>
      <c r="H1044" t="str">
        <f>IFERROR(INDEX(tEditais[UF],MATCH(tItens[[#This Row],[Edital]],tEditais[Edital],0)),"")</f>
        <v>DF</v>
      </c>
      <c r="I1044" s="11">
        <f>IFERROR(INDEX(tEditais[Encerramento],MATCH(tItens[[#This Row],[Edital]],tEditais[Edital],0)),"")</f>
        <v>46308.583333333336</v>
      </c>
      <c r="J1044" t="str">
        <f>IFERROR(INDEX(tProdutos[Classe],MATCH(tItens[[#This Row],[Produto]],tProdutos[Produto],0)),"produto não cadastrado")</f>
        <v>FORA</v>
      </c>
      <c r="K1044" s="12">
        <f>tItens[[#This Row],[Qtd]]*tItens[[#This Row],[Vlr unit]]</f>
        <v>434</v>
      </c>
      <c r="L1044" s="6">
        <f>IFERROR(IF(INDEX(tProdutos[Desconto homologado],MATCH(tItens[[#This Row],[Produto]],tProdutos[Produto],0))="",DescontoPadrao,INDEX(tProdutos[Desconto homologado],MATCH(tItens[[#This Row],[Produto]],tProdutos[Produto],0))),DescontoPadrao)</f>
        <v>0.363567906332742</v>
      </c>
      <c r="M1044" s="12">
        <f>tItens[[#This Row],[Valor]]*(1-tItens[[#This Row],[Desconto]])</f>
        <v>276.21152865159002</v>
      </c>
      <c r="N1044" t="str">
        <f>IFERROR(INDEX(tProdutos[Foco],MATCH(tItens[[#This Row],[Produto]],tProdutos[Produto],0)),"Não")</f>
        <v>Não</v>
      </c>
      <c r="O1044" t="str">
        <f>IFERROR(INDEX(tEditais[SRP],MATCH(tItens[[#This Row],[Edital]],tEditais[Edital],0)),"Não")</f>
        <v>Sim</v>
      </c>
      <c r="P1044" s="4">
        <f>IF(COUNTIFS(INDEX(tItens[Edital],1):tItens[[#This Row],[Edital]],tItens[[#This Row],[Edital]],INDEX(tItens[Produto],1):tItens[[#This Row],[Produto]],tItens[[#This Row],[Produto]])=1,1,0)</f>
        <v>0</v>
      </c>
    </row>
    <row r="1045" spans="1:16" x14ac:dyDescent="0.25">
      <c r="A1045" t="s">
        <v>1053</v>
      </c>
      <c r="B1045">
        <v>105</v>
      </c>
      <c r="C1045" t="s">
        <v>4169</v>
      </c>
      <c r="D1045" t="s">
        <v>253</v>
      </c>
      <c r="E1045" s="13">
        <v>100</v>
      </c>
      <c r="F1045" s="12">
        <v>5.97</v>
      </c>
      <c r="G1045" t="str">
        <f>IFERROR(INDEX(tEditais[Órgão],MATCH(tItens[[#This Row],[Edital]],tEditais[Edital],0)),"")</f>
        <v>POLICIA MILITAR DO DISTRITO FEDERAL</v>
      </c>
      <c r="H1045" t="str">
        <f>IFERROR(INDEX(tEditais[UF],MATCH(tItens[[#This Row],[Edital]],tEditais[Edital],0)),"")</f>
        <v>DF</v>
      </c>
      <c r="I1045" s="11">
        <f>IFERROR(INDEX(tEditais[Encerramento],MATCH(tItens[[#This Row],[Edital]],tEditais[Edital],0)),"")</f>
        <v>46308.583333333336</v>
      </c>
      <c r="J1045" t="str">
        <f>IFERROR(INDEX(tProdutos[Classe],MATCH(tItens[[#This Row],[Produto]],tProdutos[Produto],0)),"produto não cadastrado")</f>
        <v>FORA</v>
      </c>
      <c r="K1045" s="12">
        <f>tItens[[#This Row],[Qtd]]*tItens[[#This Row],[Vlr unit]]</f>
        <v>597</v>
      </c>
      <c r="L1045" s="6">
        <f>IFERROR(IF(INDEX(tProdutos[Desconto homologado],MATCH(tItens[[#This Row],[Produto]],tProdutos[Produto],0))="",DescontoPadrao,INDEX(tProdutos[Desconto homologado],MATCH(tItens[[#This Row],[Produto]],tProdutos[Produto],0))),DescontoPadrao)</f>
        <v>0.31735159817351599</v>
      </c>
      <c r="M1045" s="12">
        <f>tItens[[#This Row],[Valor]]*(1-tItens[[#This Row],[Desconto]])</f>
        <v>407.54109589041093</v>
      </c>
      <c r="N1045" t="str">
        <f>IFERROR(INDEX(tProdutos[Foco],MATCH(tItens[[#This Row],[Produto]],tProdutos[Produto],0)),"Não")</f>
        <v>Não</v>
      </c>
      <c r="O1045" t="str">
        <f>IFERROR(INDEX(tEditais[SRP],MATCH(tItens[[#This Row],[Edital]],tEditais[Edital],0)),"Não")</f>
        <v>Sim</v>
      </c>
      <c r="P1045" s="4">
        <f>IF(COUNTIFS(INDEX(tItens[Edital],1):tItens[[#This Row],[Edital]],tItens[[#This Row],[Edital]],INDEX(tItens[Produto],1):tItens[[#This Row],[Produto]],tItens[[#This Row],[Produto]])=1,1,0)</f>
        <v>1</v>
      </c>
    </row>
    <row r="1046" spans="1:16" x14ac:dyDescent="0.25">
      <c r="A1046" t="s">
        <v>1053</v>
      </c>
      <c r="B1046">
        <v>106</v>
      </c>
      <c r="C1046" t="s">
        <v>4170</v>
      </c>
      <c r="D1046" t="s">
        <v>184</v>
      </c>
      <c r="E1046" s="13">
        <v>100</v>
      </c>
      <c r="F1046" s="12">
        <v>6.52</v>
      </c>
      <c r="G1046" t="str">
        <f>IFERROR(INDEX(tEditais[Órgão],MATCH(tItens[[#This Row],[Edital]],tEditais[Edital],0)),"")</f>
        <v>POLICIA MILITAR DO DISTRITO FEDERAL</v>
      </c>
      <c r="H1046" t="str">
        <f>IFERROR(INDEX(tEditais[UF],MATCH(tItens[[#This Row],[Edital]],tEditais[Edital],0)),"")</f>
        <v>DF</v>
      </c>
      <c r="I1046" s="11">
        <f>IFERROR(INDEX(tEditais[Encerramento],MATCH(tItens[[#This Row],[Edital]],tEditais[Edital],0)),"")</f>
        <v>46308.583333333336</v>
      </c>
      <c r="J1046" t="str">
        <f>IFERROR(INDEX(tProdutos[Classe],MATCH(tItens[[#This Row],[Produto]],tProdutos[Produto],0)),"produto não cadastrado")</f>
        <v>FORA</v>
      </c>
      <c r="K1046" s="12">
        <f>tItens[[#This Row],[Qtd]]*tItens[[#This Row],[Vlr unit]]</f>
        <v>652</v>
      </c>
      <c r="L1046" s="6">
        <f>IFERROR(IF(INDEX(tProdutos[Desconto homologado],MATCH(tItens[[#This Row],[Produto]],tProdutos[Produto],0))="",DescontoPadrao,INDEX(tProdutos[Desconto homologado],MATCH(tItens[[#This Row],[Produto]],tProdutos[Produto],0))),DescontoPadrao)</f>
        <v>0.363567906332742</v>
      </c>
      <c r="M1046" s="12">
        <f>tItens[[#This Row],[Valor]]*(1-tItens[[#This Row],[Desconto]])</f>
        <v>414.95372507105225</v>
      </c>
      <c r="N1046" t="str">
        <f>IFERROR(INDEX(tProdutos[Foco],MATCH(tItens[[#This Row],[Produto]],tProdutos[Produto],0)),"Não")</f>
        <v>Não</v>
      </c>
      <c r="O1046" t="str">
        <f>IFERROR(INDEX(tEditais[SRP],MATCH(tItens[[#This Row],[Edital]],tEditais[Edital],0)),"Não")</f>
        <v>Sim</v>
      </c>
      <c r="P1046" s="4">
        <f>IF(COUNTIFS(INDEX(tItens[Edital],1):tItens[[#This Row],[Edital]],tItens[[#This Row],[Edital]],INDEX(tItens[Produto],1):tItens[[#This Row],[Produto]],tItens[[#This Row],[Produto]])=1,1,0)</f>
        <v>0</v>
      </c>
    </row>
    <row r="1047" spans="1:16" x14ac:dyDescent="0.25">
      <c r="A1047" t="s">
        <v>1053</v>
      </c>
      <c r="B1047">
        <v>110</v>
      </c>
      <c r="C1047" t="s">
        <v>4171</v>
      </c>
      <c r="D1047" t="s">
        <v>114</v>
      </c>
      <c r="E1047" s="13">
        <v>574</v>
      </c>
      <c r="F1047" s="12">
        <v>12.64</v>
      </c>
      <c r="G1047" t="str">
        <f>IFERROR(INDEX(tEditais[Órgão],MATCH(tItens[[#This Row],[Edital]],tEditais[Edital],0)),"")</f>
        <v>POLICIA MILITAR DO DISTRITO FEDERAL</v>
      </c>
      <c r="H1047" t="str">
        <f>IFERROR(INDEX(tEditais[UF],MATCH(tItens[[#This Row],[Edital]],tEditais[Edital],0)),"")</f>
        <v>DF</v>
      </c>
      <c r="I1047" s="11">
        <f>IFERROR(INDEX(tEditais[Encerramento],MATCH(tItens[[#This Row],[Edital]],tEditais[Edital],0)),"")</f>
        <v>46308.583333333336</v>
      </c>
      <c r="J1047" t="str">
        <f>IFERROR(INDEX(tProdutos[Classe],MATCH(tItens[[#This Row],[Produto]],tProdutos[Produto],0)),"produto não cadastrado")</f>
        <v>DISPUTADO</v>
      </c>
      <c r="K1047" s="12">
        <f>tItens[[#This Row],[Qtd]]*tItens[[#This Row],[Vlr unit]]</f>
        <v>7255.3600000000006</v>
      </c>
      <c r="L1047" s="6">
        <f>IFERROR(IF(INDEX(tProdutos[Desconto homologado],MATCH(tItens[[#This Row],[Produto]],tProdutos[Produto],0))="",DescontoPadrao,INDEX(tProdutos[Desconto homologado],MATCH(tItens[[#This Row],[Produto]],tProdutos[Produto],0))),DescontoPadrao)</f>
        <v>0.24332656063896899</v>
      </c>
      <c r="M1047" s="12">
        <f>tItens[[#This Row],[Valor]]*(1-tItens[[#This Row],[Desconto]])</f>
        <v>5489.9382050024506</v>
      </c>
      <c r="N1047" t="str">
        <f>IFERROR(INDEX(tProdutos[Foco],MATCH(tItens[[#This Row],[Produto]],tProdutos[Produto],0)),"Não")</f>
        <v>Não</v>
      </c>
      <c r="O1047" t="str">
        <f>IFERROR(INDEX(tEditais[SRP],MATCH(tItens[[#This Row],[Edital]],tEditais[Edital],0)),"Não")</f>
        <v>Sim</v>
      </c>
      <c r="P1047" s="4">
        <f>IF(COUNTIFS(INDEX(tItens[Edital],1):tItens[[#This Row],[Edital]],tItens[[#This Row],[Edital]],INDEX(tItens[Produto],1):tItens[[#This Row],[Produto]],tItens[[#This Row],[Produto]])=1,1,0)</f>
        <v>1</v>
      </c>
    </row>
    <row r="1048" spans="1:16" x14ac:dyDescent="0.25">
      <c r="A1048" t="s">
        <v>1053</v>
      </c>
      <c r="B1048">
        <v>117</v>
      </c>
      <c r="C1048" t="s">
        <v>4172</v>
      </c>
      <c r="D1048" t="s">
        <v>551</v>
      </c>
      <c r="E1048" s="13">
        <v>20</v>
      </c>
      <c r="F1048" s="12">
        <v>62.22</v>
      </c>
      <c r="G1048" t="str">
        <f>IFERROR(INDEX(tEditais[Órgão],MATCH(tItens[[#This Row],[Edital]],tEditais[Edital],0)),"")</f>
        <v>POLICIA MILITAR DO DISTRITO FEDERAL</v>
      </c>
      <c r="H1048" t="str">
        <f>IFERROR(INDEX(tEditais[UF],MATCH(tItens[[#This Row],[Edital]],tEditais[Edital],0)),"")</f>
        <v>DF</v>
      </c>
      <c r="I1048" s="11">
        <f>IFERROR(INDEX(tEditais[Encerramento],MATCH(tItens[[#This Row],[Edital]],tEditais[Edital],0)),"")</f>
        <v>46308.583333333336</v>
      </c>
      <c r="J1048" t="str">
        <f>IFERROR(INDEX(tProdutos[Classe],MATCH(tItens[[#This Row],[Produto]],tProdutos[Produto],0)),"produto não cadastrado")</f>
        <v>FILA REBASE</v>
      </c>
      <c r="K1048" s="12">
        <f>tItens[[#This Row],[Qtd]]*tItens[[#This Row],[Vlr unit]]</f>
        <v>1244.4000000000001</v>
      </c>
      <c r="L1048" s="6">
        <f>IFERROR(IF(INDEX(tProdutos[Desconto homologado],MATCH(tItens[[#This Row],[Produto]],tProdutos[Produto],0))="",DescontoPadrao,INDEX(tProdutos[Desconto homologado],MATCH(tItens[[#This Row],[Produto]],tProdutos[Produto],0))),DescontoPadrao)</f>
        <v>0.71401513972830499</v>
      </c>
      <c r="M1048" s="12">
        <f>tItens[[#This Row],[Valor]]*(1-tItens[[#This Row],[Desconto]])</f>
        <v>355.8795601220973</v>
      </c>
      <c r="N1048" t="str">
        <f>IFERROR(INDEX(tProdutos[Foco],MATCH(tItens[[#This Row],[Produto]],tProdutos[Produto],0)),"Não")</f>
        <v>Não</v>
      </c>
      <c r="O1048" t="str">
        <f>IFERROR(INDEX(tEditais[SRP],MATCH(tItens[[#This Row],[Edital]],tEditais[Edital],0)),"Não")</f>
        <v>Sim</v>
      </c>
      <c r="P1048" s="4">
        <f>IF(COUNTIFS(INDEX(tItens[Edital],1):tItens[[#This Row],[Edital]],tItens[[#This Row],[Edital]],INDEX(tItens[Produto],1):tItens[[#This Row],[Produto]],tItens[[#This Row],[Produto]])=1,1,0)</f>
        <v>1</v>
      </c>
    </row>
    <row r="1049" spans="1:16" x14ac:dyDescent="0.25">
      <c r="A1049" t="s">
        <v>1053</v>
      </c>
      <c r="B1049">
        <v>118</v>
      </c>
      <c r="C1049" t="s">
        <v>4173</v>
      </c>
      <c r="D1049" t="s">
        <v>551</v>
      </c>
      <c r="E1049" s="13">
        <v>20</v>
      </c>
      <c r="F1049" s="12">
        <v>64.98</v>
      </c>
      <c r="G1049" t="str">
        <f>IFERROR(INDEX(tEditais[Órgão],MATCH(tItens[[#This Row],[Edital]],tEditais[Edital],0)),"")</f>
        <v>POLICIA MILITAR DO DISTRITO FEDERAL</v>
      </c>
      <c r="H1049" t="str">
        <f>IFERROR(INDEX(tEditais[UF],MATCH(tItens[[#This Row],[Edital]],tEditais[Edital],0)),"")</f>
        <v>DF</v>
      </c>
      <c r="I1049" s="11">
        <f>IFERROR(INDEX(tEditais[Encerramento],MATCH(tItens[[#This Row],[Edital]],tEditais[Edital],0)),"")</f>
        <v>46308.583333333336</v>
      </c>
      <c r="J1049" t="str">
        <f>IFERROR(INDEX(tProdutos[Classe],MATCH(tItens[[#This Row],[Produto]],tProdutos[Produto],0)),"produto não cadastrado")</f>
        <v>FILA REBASE</v>
      </c>
      <c r="K1049" s="12">
        <f>tItens[[#This Row],[Qtd]]*tItens[[#This Row],[Vlr unit]]</f>
        <v>1299.6000000000001</v>
      </c>
      <c r="L1049" s="6">
        <f>IFERROR(IF(INDEX(tProdutos[Desconto homologado],MATCH(tItens[[#This Row],[Produto]],tProdutos[Produto],0))="",DescontoPadrao,INDEX(tProdutos[Desconto homologado],MATCH(tItens[[#This Row],[Produto]],tProdutos[Produto],0))),DescontoPadrao)</f>
        <v>0.71401513972830499</v>
      </c>
      <c r="M1049" s="12">
        <f>tItens[[#This Row],[Valor]]*(1-tItens[[#This Row],[Desconto]])</f>
        <v>371.66592440909488</v>
      </c>
      <c r="N1049" t="str">
        <f>IFERROR(INDEX(tProdutos[Foco],MATCH(tItens[[#This Row],[Produto]],tProdutos[Produto],0)),"Não")</f>
        <v>Não</v>
      </c>
      <c r="O1049" t="str">
        <f>IFERROR(INDEX(tEditais[SRP],MATCH(tItens[[#This Row],[Edital]],tEditais[Edital],0)),"Não")</f>
        <v>Sim</v>
      </c>
      <c r="P1049" s="4">
        <f>IF(COUNTIFS(INDEX(tItens[Edital],1):tItens[[#This Row],[Edital]],tItens[[#This Row],[Edital]],INDEX(tItens[Produto],1):tItens[[#This Row],[Produto]],tItens[[#This Row],[Produto]])=1,1,0)</f>
        <v>0</v>
      </c>
    </row>
    <row r="1050" spans="1:16" x14ac:dyDescent="0.25">
      <c r="A1050" t="s">
        <v>1053</v>
      </c>
      <c r="B1050">
        <v>119</v>
      </c>
      <c r="C1050" t="s">
        <v>4174</v>
      </c>
      <c r="D1050" t="s">
        <v>551</v>
      </c>
      <c r="E1050" s="13">
        <v>20</v>
      </c>
      <c r="F1050" s="12">
        <v>63.5</v>
      </c>
      <c r="G1050" t="str">
        <f>IFERROR(INDEX(tEditais[Órgão],MATCH(tItens[[#This Row],[Edital]],tEditais[Edital],0)),"")</f>
        <v>POLICIA MILITAR DO DISTRITO FEDERAL</v>
      </c>
      <c r="H1050" t="str">
        <f>IFERROR(INDEX(tEditais[UF],MATCH(tItens[[#This Row],[Edital]],tEditais[Edital],0)),"")</f>
        <v>DF</v>
      </c>
      <c r="I1050" s="11">
        <f>IFERROR(INDEX(tEditais[Encerramento],MATCH(tItens[[#This Row],[Edital]],tEditais[Edital],0)),"")</f>
        <v>46308.583333333336</v>
      </c>
      <c r="J1050" t="str">
        <f>IFERROR(INDEX(tProdutos[Classe],MATCH(tItens[[#This Row],[Produto]],tProdutos[Produto],0)),"produto não cadastrado")</f>
        <v>FILA REBASE</v>
      </c>
      <c r="K1050" s="12">
        <f>tItens[[#This Row],[Qtd]]*tItens[[#This Row],[Vlr unit]]</f>
        <v>1270</v>
      </c>
      <c r="L1050" s="6">
        <f>IFERROR(IF(INDEX(tProdutos[Desconto homologado],MATCH(tItens[[#This Row],[Produto]],tProdutos[Produto],0))="",DescontoPadrao,INDEX(tProdutos[Desconto homologado],MATCH(tItens[[#This Row],[Produto]],tProdutos[Produto],0))),DescontoPadrao)</f>
        <v>0.71401513972830499</v>
      </c>
      <c r="M1050" s="12">
        <f>tItens[[#This Row],[Valor]]*(1-tItens[[#This Row],[Desconto]])</f>
        <v>363.20077254505264</v>
      </c>
      <c r="N1050" t="str">
        <f>IFERROR(INDEX(tProdutos[Foco],MATCH(tItens[[#This Row],[Produto]],tProdutos[Produto],0)),"Não")</f>
        <v>Não</v>
      </c>
      <c r="O1050" t="str">
        <f>IFERROR(INDEX(tEditais[SRP],MATCH(tItens[[#This Row],[Edital]],tEditais[Edital],0)),"Não")</f>
        <v>Sim</v>
      </c>
      <c r="P1050" s="4">
        <f>IF(COUNTIFS(INDEX(tItens[Edital],1):tItens[[#This Row],[Edital]],tItens[[#This Row],[Edital]],INDEX(tItens[Produto],1):tItens[[#This Row],[Produto]],tItens[[#This Row],[Produto]])=1,1,0)</f>
        <v>0</v>
      </c>
    </row>
    <row r="1051" spans="1:16" x14ac:dyDescent="0.25">
      <c r="A1051" t="s">
        <v>1053</v>
      </c>
      <c r="B1051">
        <v>120</v>
      </c>
      <c r="C1051" t="s">
        <v>4175</v>
      </c>
      <c r="D1051" t="s">
        <v>170</v>
      </c>
      <c r="E1051" s="13">
        <v>10</v>
      </c>
      <c r="F1051" s="12">
        <v>60.57</v>
      </c>
      <c r="G1051" t="str">
        <f>IFERROR(INDEX(tEditais[Órgão],MATCH(tItens[[#This Row],[Edital]],tEditais[Edital],0)),"")</f>
        <v>POLICIA MILITAR DO DISTRITO FEDERAL</v>
      </c>
      <c r="H1051" t="str">
        <f>IFERROR(INDEX(tEditais[UF],MATCH(tItens[[#This Row],[Edital]],tEditais[Edital],0)),"")</f>
        <v>DF</v>
      </c>
      <c r="I1051" s="11">
        <f>IFERROR(INDEX(tEditais[Encerramento],MATCH(tItens[[#This Row],[Edital]],tEditais[Edital],0)),"")</f>
        <v>46308.583333333336</v>
      </c>
      <c r="J1051" t="str">
        <f>IFERROR(INDEX(tProdutos[Classe],MATCH(tItens[[#This Row],[Produto]],tProdutos[Produto],0)),"produto não cadastrado")</f>
        <v>DISPUTADO</v>
      </c>
      <c r="K1051" s="12">
        <f>tItens[[#This Row],[Qtd]]*tItens[[#This Row],[Vlr unit]]</f>
        <v>605.70000000000005</v>
      </c>
      <c r="L1051" s="6">
        <f>IFERROR(IF(INDEX(tProdutos[Desconto homologado],MATCH(tItens[[#This Row],[Produto]],tProdutos[Produto],0))="",DescontoPadrao,INDEX(tProdutos[Desconto homologado],MATCH(tItens[[#This Row],[Produto]],tProdutos[Produto],0))),DescontoPadrao)</f>
        <v>0.36</v>
      </c>
      <c r="M1051" s="12">
        <f>tItens[[#This Row],[Valor]]*(1-tItens[[#This Row],[Desconto]])</f>
        <v>387.64800000000002</v>
      </c>
      <c r="N1051" t="str">
        <f>IFERROR(INDEX(tProdutos[Foco],MATCH(tItens[[#This Row],[Produto]],tProdutos[Produto],0)),"Não")</f>
        <v>Sim</v>
      </c>
      <c r="O1051" t="str">
        <f>IFERROR(INDEX(tEditais[SRP],MATCH(tItens[[#This Row],[Edital]],tEditais[Edital],0)),"Não")</f>
        <v>Sim</v>
      </c>
      <c r="P1051" s="4">
        <f>IF(COUNTIFS(INDEX(tItens[Edital],1):tItens[[#This Row],[Edital]],tItens[[#This Row],[Edital]],INDEX(tItens[Produto],1):tItens[[#This Row],[Produto]],tItens[[#This Row],[Produto]])=1,1,0)</f>
        <v>1</v>
      </c>
    </row>
    <row r="1052" spans="1:16" x14ac:dyDescent="0.25">
      <c r="A1052" t="s">
        <v>1053</v>
      </c>
      <c r="B1052">
        <v>121</v>
      </c>
      <c r="C1052" t="s">
        <v>4176</v>
      </c>
      <c r="D1052" t="s">
        <v>170</v>
      </c>
      <c r="E1052" s="13">
        <v>10</v>
      </c>
      <c r="F1052" s="12">
        <v>63.26</v>
      </c>
      <c r="G1052" t="str">
        <f>IFERROR(INDEX(tEditais[Órgão],MATCH(tItens[[#This Row],[Edital]],tEditais[Edital],0)),"")</f>
        <v>POLICIA MILITAR DO DISTRITO FEDERAL</v>
      </c>
      <c r="H1052" t="str">
        <f>IFERROR(INDEX(tEditais[UF],MATCH(tItens[[#This Row],[Edital]],tEditais[Edital],0)),"")</f>
        <v>DF</v>
      </c>
      <c r="I1052" s="11">
        <f>IFERROR(INDEX(tEditais[Encerramento],MATCH(tItens[[#This Row],[Edital]],tEditais[Edital],0)),"")</f>
        <v>46308.583333333336</v>
      </c>
      <c r="J1052" t="str">
        <f>IFERROR(INDEX(tProdutos[Classe],MATCH(tItens[[#This Row],[Produto]],tProdutos[Produto],0)),"produto não cadastrado")</f>
        <v>DISPUTADO</v>
      </c>
      <c r="K1052" s="12">
        <f>tItens[[#This Row],[Qtd]]*tItens[[#This Row],[Vlr unit]]</f>
        <v>632.6</v>
      </c>
      <c r="L1052" s="6">
        <f>IFERROR(IF(INDEX(tProdutos[Desconto homologado],MATCH(tItens[[#This Row],[Produto]],tProdutos[Produto],0))="",DescontoPadrao,INDEX(tProdutos[Desconto homologado],MATCH(tItens[[#This Row],[Produto]],tProdutos[Produto],0))),DescontoPadrao)</f>
        <v>0.36</v>
      </c>
      <c r="M1052" s="12">
        <f>tItens[[#This Row],[Valor]]*(1-tItens[[#This Row],[Desconto]])</f>
        <v>404.86400000000003</v>
      </c>
      <c r="N1052" t="str">
        <f>IFERROR(INDEX(tProdutos[Foco],MATCH(tItens[[#This Row],[Produto]],tProdutos[Produto],0)),"Não")</f>
        <v>Sim</v>
      </c>
      <c r="O1052" t="str">
        <f>IFERROR(INDEX(tEditais[SRP],MATCH(tItens[[#This Row],[Edital]],tEditais[Edital],0)),"Não")</f>
        <v>Sim</v>
      </c>
      <c r="P1052" s="4">
        <f>IF(COUNTIFS(INDEX(tItens[Edital],1):tItens[[#This Row],[Edital]],tItens[[#This Row],[Edital]],INDEX(tItens[Produto],1):tItens[[#This Row],[Produto]],tItens[[#This Row],[Produto]])=1,1,0)</f>
        <v>0</v>
      </c>
    </row>
    <row r="1053" spans="1:16" x14ac:dyDescent="0.25">
      <c r="A1053" t="s">
        <v>1053</v>
      </c>
      <c r="B1053">
        <v>122</v>
      </c>
      <c r="C1053" t="s">
        <v>4177</v>
      </c>
      <c r="D1053" t="s">
        <v>170</v>
      </c>
      <c r="E1053" s="13">
        <v>10</v>
      </c>
      <c r="F1053" s="12">
        <v>87.81</v>
      </c>
      <c r="G1053" t="str">
        <f>IFERROR(INDEX(tEditais[Órgão],MATCH(tItens[[#This Row],[Edital]],tEditais[Edital],0)),"")</f>
        <v>POLICIA MILITAR DO DISTRITO FEDERAL</v>
      </c>
      <c r="H1053" t="str">
        <f>IFERROR(INDEX(tEditais[UF],MATCH(tItens[[#This Row],[Edital]],tEditais[Edital],0)),"")</f>
        <v>DF</v>
      </c>
      <c r="I1053" s="11">
        <f>IFERROR(INDEX(tEditais[Encerramento],MATCH(tItens[[#This Row],[Edital]],tEditais[Edital],0)),"")</f>
        <v>46308.583333333336</v>
      </c>
      <c r="J1053" t="str">
        <f>IFERROR(INDEX(tProdutos[Classe],MATCH(tItens[[#This Row],[Produto]],tProdutos[Produto],0)),"produto não cadastrado")</f>
        <v>DISPUTADO</v>
      </c>
      <c r="K1053" s="12">
        <f>tItens[[#This Row],[Qtd]]*tItens[[#This Row],[Vlr unit]]</f>
        <v>878.1</v>
      </c>
      <c r="L1053" s="6">
        <f>IFERROR(IF(INDEX(tProdutos[Desconto homologado],MATCH(tItens[[#This Row],[Produto]],tProdutos[Produto],0))="",DescontoPadrao,INDEX(tProdutos[Desconto homologado],MATCH(tItens[[#This Row],[Produto]],tProdutos[Produto],0))),DescontoPadrao)</f>
        <v>0.36</v>
      </c>
      <c r="M1053" s="12">
        <f>tItens[[#This Row],[Valor]]*(1-tItens[[#This Row],[Desconto]])</f>
        <v>561.98400000000004</v>
      </c>
      <c r="N1053" t="str">
        <f>IFERROR(INDEX(tProdutos[Foco],MATCH(tItens[[#This Row],[Produto]],tProdutos[Produto],0)),"Não")</f>
        <v>Sim</v>
      </c>
      <c r="O1053" t="str">
        <f>IFERROR(INDEX(tEditais[SRP],MATCH(tItens[[#This Row],[Edital]],tEditais[Edital],0)),"Não")</f>
        <v>Sim</v>
      </c>
      <c r="P1053" s="4">
        <f>IF(COUNTIFS(INDEX(tItens[Edital],1):tItens[[#This Row],[Edital]],tItens[[#This Row],[Edital]],INDEX(tItens[Produto],1):tItens[[#This Row],[Produto]],tItens[[#This Row],[Produto]])=1,1,0)</f>
        <v>0</v>
      </c>
    </row>
    <row r="1054" spans="1:16" x14ac:dyDescent="0.25">
      <c r="A1054" t="s">
        <v>1053</v>
      </c>
      <c r="B1054">
        <v>123</v>
      </c>
      <c r="C1054" t="s">
        <v>4178</v>
      </c>
      <c r="D1054" t="s">
        <v>170</v>
      </c>
      <c r="E1054" s="13">
        <v>10</v>
      </c>
      <c r="F1054" s="12">
        <v>65.06</v>
      </c>
      <c r="G1054" t="str">
        <f>IFERROR(INDEX(tEditais[Órgão],MATCH(tItens[[#This Row],[Edital]],tEditais[Edital],0)),"")</f>
        <v>POLICIA MILITAR DO DISTRITO FEDERAL</v>
      </c>
      <c r="H1054" t="str">
        <f>IFERROR(INDEX(tEditais[UF],MATCH(tItens[[#This Row],[Edital]],tEditais[Edital],0)),"")</f>
        <v>DF</v>
      </c>
      <c r="I1054" s="11">
        <f>IFERROR(INDEX(tEditais[Encerramento],MATCH(tItens[[#This Row],[Edital]],tEditais[Edital],0)),"")</f>
        <v>46308.583333333336</v>
      </c>
      <c r="J1054" t="str">
        <f>IFERROR(INDEX(tProdutos[Classe],MATCH(tItens[[#This Row],[Produto]],tProdutos[Produto],0)),"produto não cadastrado")</f>
        <v>DISPUTADO</v>
      </c>
      <c r="K1054" s="12">
        <f>tItens[[#This Row],[Qtd]]*tItens[[#This Row],[Vlr unit]]</f>
        <v>650.6</v>
      </c>
      <c r="L1054" s="6">
        <f>IFERROR(IF(INDEX(tProdutos[Desconto homologado],MATCH(tItens[[#This Row],[Produto]],tProdutos[Produto],0))="",DescontoPadrao,INDEX(tProdutos[Desconto homologado],MATCH(tItens[[#This Row],[Produto]],tProdutos[Produto],0))),DescontoPadrao)</f>
        <v>0.36</v>
      </c>
      <c r="M1054" s="12">
        <f>tItens[[#This Row],[Valor]]*(1-tItens[[#This Row],[Desconto]])</f>
        <v>416.38400000000001</v>
      </c>
      <c r="N1054" t="str">
        <f>IFERROR(INDEX(tProdutos[Foco],MATCH(tItens[[#This Row],[Produto]],tProdutos[Produto],0)),"Não")</f>
        <v>Sim</v>
      </c>
      <c r="O1054" t="str">
        <f>IFERROR(INDEX(tEditais[SRP],MATCH(tItens[[#This Row],[Edital]],tEditais[Edital],0)),"Não")</f>
        <v>Sim</v>
      </c>
      <c r="P1054" s="4">
        <f>IF(COUNTIFS(INDEX(tItens[Edital],1):tItens[[#This Row],[Edital]],tItens[[#This Row],[Edital]],INDEX(tItens[Produto],1):tItens[[#This Row],[Produto]],tItens[[#This Row],[Produto]])=1,1,0)</f>
        <v>0</v>
      </c>
    </row>
    <row r="1055" spans="1:16" x14ac:dyDescent="0.25">
      <c r="A1055" t="s">
        <v>1053</v>
      </c>
      <c r="B1055">
        <v>145</v>
      </c>
      <c r="C1055" t="s">
        <v>4179</v>
      </c>
      <c r="D1055" t="s">
        <v>641</v>
      </c>
      <c r="E1055" s="13">
        <v>15</v>
      </c>
      <c r="F1055" s="12">
        <v>64.33</v>
      </c>
      <c r="G1055" t="str">
        <f>IFERROR(INDEX(tEditais[Órgão],MATCH(tItens[[#This Row],[Edital]],tEditais[Edital],0)),"")</f>
        <v>POLICIA MILITAR DO DISTRITO FEDERAL</v>
      </c>
      <c r="H1055" t="str">
        <f>IFERROR(INDEX(tEditais[UF],MATCH(tItens[[#This Row],[Edital]],tEditais[Edital],0)),"")</f>
        <v>DF</v>
      </c>
      <c r="I1055" s="11">
        <f>IFERROR(INDEX(tEditais[Encerramento],MATCH(tItens[[#This Row],[Edital]],tEditais[Edital],0)),"")</f>
        <v>46308.583333333336</v>
      </c>
      <c r="J1055" t="str">
        <f>IFERROR(INDEX(tProdutos[Classe],MATCH(tItens[[#This Row],[Produto]],tProdutos[Produto],0)),"produto não cadastrado")</f>
        <v>FILA REBASE</v>
      </c>
      <c r="K1055" s="12">
        <f>tItens[[#This Row],[Qtd]]*tItens[[#This Row],[Vlr unit]]</f>
        <v>964.94999999999993</v>
      </c>
      <c r="L1055" s="6">
        <f>IFERROR(IF(INDEX(tProdutos[Desconto homologado],MATCH(tItens[[#This Row],[Produto]],tProdutos[Produto],0))="",DescontoPadrao,INDEX(tProdutos[Desconto homologado],MATCH(tItens[[#This Row],[Produto]],tProdutos[Produto],0))),DescontoPadrao)</f>
        <v>0.3</v>
      </c>
      <c r="M1055" s="12">
        <f>tItens[[#This Row],[Valor]]*(1-tItens[[#This Row],[Desconto]])</f>
        <v>675.46499999999992</v>
      </c>
      <c r="N1055" t="str">
        <f>IFERROR(INDEX(tProdutos[Foco],MATCH(tItens[[#This Row],[Produto]],tProdutos[Produto],0)),"Não")</f>
        <v>Não</v>
      </c>
      <c r="O1055" t="str">
        <f>IFERROR(INDEX(tEditais[SRP],MATCH(tItens[[#This Row],[Edital]],tEditais[Edital],0)),"Não")</f>
        <v>Sim</v>
      </c>
      <c r="P1055" s="4">
        <f>IF(COUNTIFS(INDEX(tItens[Edital],1):tItens[[#This Row],[Edital]],tItens[[#This Row],[Edital]],INDEX(tItens[Produto],1):tItens[[#This Row],[Produto]],tItens[[#This Row],[Produto]])=1,1,0)</f>
        <v>1</v>
      </c>
    </row>
    <row r="1056" spans="1:16" x14ac:dyDescent="0.25">
      <c r="A1056" t="s">
        <v>1053</v>
      </c>
      <c r="B1056">
        <v>182</v>
      </c>
      <c r="C1056" t="s">
        <v>4180</v>
      </c>
      <c r="D1056" t="s">
        <v>156</v>
      </c>
      <c r="E1056" s="13">
        <v>20</v>
      </c>
      <c r="F1056" s="12">
        <v>31.35</v>
      </c>
      <c r="G1056" t="str">
        <f>IFERROR(INDEX(tEditais[Órgão],MATCH(tItens[[#This Row],[Edital]],tEditais[Edital],0)),"")</f>
        <v>POLICIA MILITAR DO DISTRITO FEDERAL</v>
      </c>
      <c r="H1056" t="str">
        <f>IFERROR(INDEX(tEditais[UF],MATCH(tItens[[#This Row],[Edital]],tEditais[Edital],0)),"")</f>
        <v>DF</v>
      </c>
      <c r="I1056" s="11">
        <f>IFERROR(INDEX(tEditais[Encerramento],MATCH(tItens[[#This Row],[Edital]],tEditais[Edital],0)),"")</f>
        <v>46308.583333333336</v>
      </c>
      <c r="J1056" t="str">
        <f>IFERROR(INDEX(tProdutos[Classe],MATCH(tItens[[#This Row],[Produto]],tProdutos[Produto],0)),"produto não cadastrado")</f>
        <v>DISPUTADO</v>
      </c>
      <c r="K1056" s="12">
        <f>tItens[[#This Row],[Qtd]]*tItens[[#This Row],[Vlr unit]]</f>
        <v>627</v>
      </c>
      <c r="L1056" s="6">
        <f>IFERROR(IF(INDEX(tProdutos[Desconto homologado],MATCH(tItens[[#This Row],[Produto]],tProdutos[Produto],0))="",DescontoPadrao,INDEX(tProdutos[Desconto homologado],MATCH(tItens[[#This Row],[Produto]],tProdutos[Produto],0))),DescontoPadrao)</f>
        <v>0.27131852489802799</v>
      </c>
      <c r="M1056" s="12">
        <f>tItens[[#This Row],[Valor]]*(1-tItens[[#This Row],[Desconto]])</f>
        <v>456.88328488893643</v>
      </c>
      <c r="N1056" t="str">
        <f>IFERROR(INDEX(tProdutos[Foco],MATCH(tItens[[#This Row],[Produto]],tProdutos[Produto],0)),"Não")</f>
        <v>Não</v>
      </c>
      <c r="O1056" t="str">
        <f>IFERROR(INDEX(tEditais[SRP],MATCH(tItens[[#This Row],[Edital]],tEditais[Edital],0)),"Não")</f>
        <v>Sim</v>
      </c>
      <c r="P1056" s="4">
        <f>IF(COUNTIFS(INDEX(tItens[Edital],1):tItens[[#This Row],[Edital]],tItens[[#This Row],[Edital]],INDEX(tItens[Produto],1):tItens[[#This Row],[Produto]],tItens[[#This Row],[Produto]])=1,1,0)</f>
        <v>1</v>
      </c>
    </row>
    <row r="1057" spans="1:16" x14ac:dyDescent="0.25">
      <c r="A1057" t="s">
        <v>1057</v>
      </c>
      <c r="B1057">
        <v>3</v>
      </c>
      <c r="C1057" t="s">
        <v>4181</v>
      </c>
      <c r="D1057" t="s">
        <v>315</v>
      </c>
      <c r="E1057" s="13">
        <v>11856</v>
      </c>
      <c r="F1057" s="12">
        <v>0</v>
      </c>
      <c r="G1057" t="str">
        <f>IFERROR(INDEX(tEditais[Órgão],MATCH(tItens[[#This Row],[Edital]],tEditais[Edital],0)),"")</f>
        <v>DISTRITO FEDERAL SECRETARIA DE SAUDE</v>
      </c>
      <c r="H1057" t="str">
        <f>IFERROR(INDEX(tEditais[UF],MATCH(tItens[[#This Row],[Edital]],tEditais[Edital],0)),"")</f>
        <v>DF</v>
      </c>
      <c r="I1057" s="11">
        <f>IFERROR(INDEX(tEditais[Encerramento],MATCH(tItens[[#This Row],[Edital]],tEditais[Edital],0)),"")</f>
        <v>46310.354166666664</v>
      </c>
      <c r="J1057" t="str">
        <f>IFERROR(INDEX(tProdutos[Classe],MATCH(tItens[[#This Row],[Produto]],tProdutos[Produto],0)),"produto não cadastrado")</f>
        <v>FORA</v>
      </c>
      <c r="K1057" s="12">
        <f>tItens[[#This Row],[Qtd]]*tItens[[#This Row],[Vlr unit]]</f>
        <v>0</v>
      </c>
      <c r="L1057" s="6">
        <f>IFERROR(IF(INDEX(tProdutos[Desconto homologado],MATCH(tItens[[#This Row],[Produto]],tProdutos[Produto],0))="",DescontoPadrao,INDEX(tProdutos[Desconto homologado],MATCH(tItens[[#This Row],[Produto]],tProdutos[Produto],0))),DescontoPadrao)</f>
        <v>0.38432036097010702</v>
      </c>
      <c r="M1057" s="12">
        <f>tItens[[#This Row],[Valor]]*(1-tItens[[#This Row],[Desconto]])</f>
        <v>0</v>
      </c>
      <c r="N1057" t="str">
        <f>IFERROR(INDEX(tProdutos[Foco],MATCH(tItens[[#This Row],[Produto]],tProdutos[Produto],0)),"Não")</f>
        <v>Não</v>
      </c>
      <c r="O1057" t="str">
        <f>IFERROR(INDEX(tEditais[SRP],MATCH(tItens[[#This Row],[Edital]],tEditais[Edital],0)),"Não")</f>
        <v>Sim</v>
      </c>
      <c r="P1057" s="4">
        <f>IF(COUNTIFS(INDEX(tItens[Edital],1):tItens[[#This Row],[Edital]],tItens[[#This Row],[Edital]],INDEX(tItens[Produto],1):tItens[[#This Row],[Produto]],tItens[[#This Row],[Produto]])=1,1,0)</f>
        <v>1</v>
      </c>
    </row>
    <row r="1058" spans="1:16" x14ac:dyDescent="0.25">
      <c r="A1058" t="s">
        <v>1060</v>
      </c>
      <c r="B1058">
        <v>20</v>
      </c>
      <c r="C1058" t="s">
        <v>4182</v>
      </c>
      <c r="D1058" t="s">
        <v>229</v>
      </c>
      <c r="E1058" s="13">
        <v>1</v>
      </c>
      <c r="F1058" s="12">
        <v>900</v>
      </c>
      <c r="G1058" t="str">
        <f>IFERROR(INDEX(tEditais[Órgão],MATCH(tItens[[#This Row],[Edital]],tEditais[Edital],0)),"")</f>
        <v>SUPERIOR TRIBUNAL MILITAR</v>
      </c>
      <c r="H1058" t="str">
        <f>IFERROR(INDEX(tEditais[UF],MATCH(tItens[[#This Row],[Edital]],tEditais[Edital],0)),"")</f>
        <v>DF</v>
      </c>
      <c r="I1058" s="11">
        <f>IFERROR(INDEX(tEditais[Encerramento],MATCH(tItens[[#This Row],[Edital]],tEditais[Edital],0)),"")</f>
        <v>46310.583333333336</v>
      </c>
      <c r="J1058" t="str">
        <f>IFERROR(INDEX(tProdutos[Classe],MATCH(tItens[[#This Row],[Produto]],tProdutos[Produto],0)),"produto não cadastrado")</f>
        <v>FORA</v>
      </c>
      <c r="K1058" s="12">
        <f>tItens[[#This Row],[Qtd]]*tItens[[#This Row],[Vlr unit]]</f>
        <v>900</v>
      </c>
      <c r="L1058" s="6">
        <f>IFERROR(IF(INDEX(tProdutos[Desconto homologado],MATCH(tItens[[#This Row],[Produto]],tProdutos[Produto],0))="",DescontoPadrao,INDEX(tProdutos[Desconto homologado],MATCH(tItens[[#This Row],[Produto]],tProdutos[Produto],0))),DescontoPadrao)</f>
        <v>0.33093491191658198</v>
      </c>
      <c r="M1058" s="12">
        <f>tItens[[#This Row],[Valor]]*(1-tItens[[#This Row],[Desconto]])</f>
        <v>602.15857927507625</v>
      </c>
      <c r="N1058" t="str">
        <f>IFERROR(INDEX(tProdutos[Foco],MATCH(tItens[[#This Row],[Produto]],tProdutos[Produto],0)),"Não")</f>
        <v>Não</v>
      </c>
      <c r="O1058" t="str">
        <f>IFERROR(INDEX(tEditais[SRP],MATCH(tItens[[#This Row],[Edital]],tEditais[Edital],0)),"Não")</f>
        <v>Não</v>
      </c>
      <c r="P1058" s="4">
        <f>IF(COUNTIFS(INDEX(tItens[Edital],1):tItens[[#This Row],[Edital]],tItens[[#This Row],[Edital]],INDEX(tItens[Produto],1):tItens[[#This Row],[Produto]],tItens[[#This Row],[Produto]])=1,1,0)</f>
        <v>1</v>
      </c>
    </row>
    <row r="1059" spans="1:16" x14ac:dyDescent="0.25">
      <c r="A1059" t="s">
        <v>1064</v>
      </c>
      <c r="B1059">
        <v>5</v>
      </c>
      <c r="C1059" t="s">
        <v>4183</v>
      </c>
      <c r="D1059" t="s">
        <v>267</v>
      </c>
      <c r="E1059" s="13">
        <v>4</v>
      </c>
      <c r="F1059" s="12">
        <v>16.53</v>
      </c>
      <c r="G1059" t="str">
        <f>IFERROR(INDEX(tEditais[Órgão],MATCH(tItens[[#This Row],[Edital]],tEditais[Edital],0)),"")</f>
        <v>MINISTERIO DA JUSTICA E SEGURANCA PUBLICA</v>
      </c>
      <c r="H1059" t="str">
        <f>IFERROR(INDEX(tEditais[UF],MATCH(tItens[[#This Row],[Edital]],tEditais[Edital],0)),"")</f>
        <v>DF</v>
      </c>
      <c r="I1059" s="11">
        <f>IFERROR(INDEX(tEditais[Encerramento],MATCH(tItens[[#This Row],[Edital]],tEditais[Edital],0)),"")</f>
        <v>46311.333333333336</v>
      </c>
      <c r="J1059" t="str">
        <f>IFERROR(INDEX(tProdutos[Classe],MATCH(tItens[[#This Row],[Produto]],tProdutos[Produto],0)),"produto não cadastrado")</f>
        <v>FORA</v>
      </c>
      <c r="K1059" s="12">
        <f>tItens[[#This Row],[Qtd]]*tItens[[#This Row],[Vlr unit]]</f>
        <v>66.12</v>
      </c>
      <c r="L1059" s="6">
        <f>IFERROR(IF(INDEX(tProdutos[Desconto homologado],MATCH(tItens[[#This Row],[Produto]],tProdutos[Produto],0))="",DescontoPadrao,INDEX(tProdutos[Desconto homologado],MATCH(tItens[[#This Row],[Produto]],tProdutos[Produto],0))),DescontoPadrao)</f>
        <v>0.19963672657401599</v>
      </c>
      <c r="M1059" s="12">
        <f>tItens[[#This Row],[Valor]]*(1-tItens[[#This Row],[Desconto]])</f>
        <v>52.920019638926064</v>
      </c>
      <c r="N1059" t="str">
        <f>IFERROR(INDEX(tProdutos[Foco],MATCH(tItens[[#This Row],[Produto]],tProdutos[Produto],0)),"Não")</f>
        <v>Não</v>
      </c>
      <c r="O1059" t="str">
        <f>IFERROR(INDEX(tEditais[SRP],MATCH(tItens[[#This Row],[Edital]],tEditais[Edital],0)),"Não")</f>
        <v>Não</v>
      </c>
      <c r="P1059" s="4">
        <f>IF(COUNTIFS(INDEX(tItens[Edital],1):tItens[[#This Row],[Edital]],tItens[[#This Row],[Edital]],INDEX(tItens[Produto],1):tItens[[#This Row],[Produto]],tItens[[#This Row],[Produto]])=1,1,0)</f>
        <v>1</v>
      </c>
    </row>
    <row r="1060" spans="1:16" x14ac:dyDescent="0.25">
      <c r="A1060" t="s">
        <v>1068</v>
      </c>
      <c r="B1060">
        <v>17</v>
      </c>
      <c r="C1060" t="s">
        <v>4184</v>
      </c>
      <c r="D1060" t="s">
        <v>277</v>
      </c>
      <c r="E1060" s="13">
        <v>1000</v>
      </c>
      <c r="F1060" s="12">
        <v>0</v>
      </c>
      <c r="G1060" t="str">
        <f>IFERROR(INDEX(tEditais[Órgão],MATCH(tItens[[#This Row],[Edital]],tEditais[Edital],0)),"")</f>
        <v>EMPRESA BRASILEIRA DE SERVICOS HOSPITALARES - EBSERH</v>
      </c>
      <c r="H1060" t="str">
        <f>IFERROR(INDEX(tEditais[UF],MATCH(tItens[[#This Row],[Edital]],tEditais[Edital],0)),"")</f>
        <v>DF</v>
      </c>
      <c r="I1060" s="11">
        <f>IFERROR(INDEX(tEditais[Encerramento],MATCH(tItens[[#This Row],[Edital]],tEditais[Edital],0)),"")</f>
        <v>46311.416666666664</v>
      </c>
      <c r="J1060" t="str">
        <f>IFERROR(INDEX(tProdutos[Classe],MATCH(tItens[[#This Row],[Produto]],tProdutos[Produto],0)),"produto não cadastrado")</f>
        <v>DISPUTADO</v>
      </c>
      <c r="K1060" s="12">
        <f>tItens[[#This Row],[Qtd]]*tItens[[#This Row],[Vlr unit]]</f>
        <v>0</v>
      </c>
      <c r="L1060" s="6">
        <f>IFERROR(IF(INDEX(tProdutos[Desconto homologado],MATCH(tItens[[#This Row],[Produto]],tProdutos[Produto],0))="",DescontoPadrao,INDEX(tProdutos[Desconto homologado],MATCH(tItens[[#This Row],[Produto]],tProdutos[Produto],0))),DescontoPadrao)</f>
        <v>0.50460666194188497</v>
      </c>
      <c r="M1060" s="12">
        <f>tItens[[#This Row],[Valor]]*(1-tItens[[#This Row],[Desconto]])</f>
        <v>0</v>
      </c>
      <c r="N1060" t="str">
        <f>IFERROR(INDEX(tProdutos[Foco],MATCH(tItens[[#This Row],[Produto]],tProdutos[Produto],0)),"Não")</f>
        <v>Não</v>
      </c>
      <c r="O1060" t="str">
        <f>IFERROR(INDEX(tEditais[SRP],MATCH(tItens[[#This Row],[Edital]],tEditais[Edital],0)),"Não")</f>
        <v>Não</v>
      </c>
      <c r="P1060" s="4">
        <f>IF(COUNTIFS(INDEX(tItens[Edital],1):tItens[[#This Row],[Edital]],tItens[[#This Row],[Edital]],INDEX(tItens[Produto],1):tItens[[#This Row],[Produto]],tItens[[#This Row],[Produto]])=1,1,0)</f>
        <v>1</v>
      </c>
    </row>
    <row r="1061" spans="1:16" x14ac:dyDescent="0.25">
      <c r="A1061" t="s">
        <v>1068</v>
      </c>
      <c r="B1061">
        <v>18</v>
      </c>
      <c r="C1061" t="s">
        <v>4184</v>
      </c>
      <c r="D1061" t="s">
        <v>277</v>
      </c>
      <c r="E1061" s="13">
        <v>2000</v>
      </c>
      <c r="F1061" s="12">
        <v>0</v>
      </c>
      <c r="G1061" t="str">
        <f>IFERROR(INDEX(tEditais[Órgão],MATCH(tItens[[#This Row],[Edital]],tEditais[Edital],0)),"")</f>
        <v>EMPRESA BRASILEIRA DE SERVICOS HOSPITALARES - EBSERH</v>
      </c>
      <c r="H1061" t="str">
        <f>IFERROR(INDEX(tEditais[UF],MATCH(tItens[[#This Row],[Edital]],tEditais[Edital],0)),"")</f>
        <v>DF</v>
      </c>
      <c r="I1061" s="11">
        <f>IFERROR(INDEX(tEditais[Encerramento],MATCH(tItens[[#This Row],[Edital]],tEditais[Edital],0)),"")</f>
        <v>46311.416666666664</v>
      </c>
      <c r="J1061" t="str">
        <f>IFERROR(INDEX(tProdutos[Classe],MATCH(tItens[[#This Row],[Produto]],tProdutos[Produto],0)),"produto não cadastrado")</f>
        <v>DISPUTADO</v>
      </c>
      <c r="K1061" s="12">
        <f>tItens[[#This Row],[Qtd]]*tItens[[#This Row],[Vlr unit]]</f>
        <v>0</v>
      </c>
      <c r="L1061" s="6">
        <f>IFERROR(IF(INDEX(tProdutos[Desconto homologado],MATCH(tItens[[#This Row],[Produto]],tProdutos[Produto],0))="",DescontoPadrao,INDEX(tProdutos[Desconto homologado],MATCH(tItens[[#This Row],[Produto]],tProdutos[Produto],0))),DescontoPadrao)</f>
        <v>0.50460666194188497</v>
      </c>
      <c r="M1061" s="12">
        <f>tItens[[#This Row],[Valor]]*(1-tItens[[#This Row],[Desconto]])</f>
        <v>0</v>
      </c>
      <c r="N1061" t="str">
        <f>IFERROR(INDEX(tProdutos[Foco],MATCH(tItens[[#This Row],[Produto]],tProdutos[Produto],0)),"Não")</f>
        <v>Não</v>
      </c>
      <c r="O1061" t="str">
        <f>IFERROR(INDEX(tEditais[SRP],MATCH(tItens[[#This Row],[Edital]],tEditais[Edital],0)),"Não")</f>
        <v>Não</v>
      </c>
      <c r="P1061" s="4">
        <f>IF(COUNTIFS(INDEX(tItens[Edital],1):tItens[[#This Row],[Edital]],tItens[[#This Row],[Edital]],INDEX(tItens[Produto],1):tItens[[#This Row],[Produto]],tItens[[#This Row],[Produto]])=1,1,0)</f>
        <v>0</v>
      </c>
    </row>
    <row r="1062" spans="1:16" x14ac:dyDescent="0.25">
      <c r="A1062" t="s">
        <v>1068</v>
      </c>
      <c r="B1062">
        <v>19</v>
      </c>
      <c r="C1062" t="s">
        <v>4110</v>
      </c>
      <c r="D1062" t="s">
        <v>277</v>
      </c>
      <c r="E1062" s="13">
        <v>800</v>
      </c>
      <c r="F1062" s="12">
        <v>0</v>
      </c>
      <c r="G1062" t="str">
        <f>IFERROR(INDEX(tEditais[Órgão],MATCH(tItens[[#This Row],[Edital]],tEditais[Edital],0)),"")</f>
        <v>EMPRESA BRASILEIRA DE SERVICOS HOSPITALARES - EBSERH</v>
      </c>
      <c r="H1062" t="str">
        <f>IFERROR(INDEX(tEditais[UF],MATCH(tItens[[#This Row],[Edital]],tEditais[Edital],0)),"")</f>
        <v>DF</v>
      </c>
      <c r="I1062" s="11">
        <f>IFERROR(INDEX(tEditais[Encerramento],MATCH(tItens[[#This Row],[Edital]],tEditais[Edital],0)),"")</f>
        <v>46311.416666666664</v>
      </c>
      <c r="J1062" t="str">
        <f>IFERROR(INDEX(tProdutos[Classe],MATCH(tItens[[#This Row],[Produto]],tProdutos[Produto],0)),"produto não cadastrado")</f>
        <v>DISPUTADO</v>
      </c>
      <c r="K1062" s="12">
        <f>tItens[[#This Row],[Qtd]]*tItens[[#This Row],[Vlr unit]]</f>
        <v>0</v>
      </c>
      <c r="L1062" s="6">
        <f>IFERROR(IF(INDEX(tProdutos[Desconto homologado],MATCH(tItens[[#This Row],[Produto]],tProdutos[Produto],0))="",DescontoPadrao,INDEX(tProdutos[Desconto homologado],MATCH(tItens[[#This Row],[Produto]],tProdutos[Produto],0))),DescontoPadrao)</f>
        <v>0.50460666194188497</v>
      </c>
      <c r="M1062" s="12">
        <f>tItens[[#This Row],[Valor]]*(1-tItens[[#This Row],[Desconto]])</f>
        <v>0</v>
      </c>
      <c r="N1062" t="str">
        <f>IFERROR(INDEX(tProdutos[Foco],MATCH(tItens[[#This Row],[Produto]],tProdutos[Produto],0)),"Não")</f>
        <v>Não</v>
      </c>
      <c r="O1062" t="str">
        <f>IFERROR(INDEX(tEditais[SRP],MATCH(tItens[[#This Row],[Edital]],tEditais[Edital],0)),"Não")</f>
        <v>Não</v>
      </c>
      <c r="P1062" s="4">
        <f>IF(COUNTIFS(INDEX(tItens[Edital],1):tItens[[#This Row],[Edital]],tItens[[#This Row],[Edital]],INDEX(tItens[Produto],1):tItens[[#This Row],[Produto]],tItens[[#This Row],[Produto]])=1,1,0)</f>
        <v>0</v>
      </c>
    </row>
    <row r="1063" spans="1:16" x14ac:dyDescent="0.25">
      <c r="A1063" t="s">
        <v>1068</v>
      </c>
      <c r="B1063">
        <v>21</v>
      </c>
      <c r="C1063" t="s">
        <v>3478</v>
      </c>
      <c r="D1063" t="s">
        <v>315</v>
      </c>
      <c r="E1063" s="13">
        <v>600</v>
      </c>
      <c r="F1063" s="12">
        <v>0</v>
      </c>
      <c r="G1063" t="str">
        <f>IFERROR(INDEX(tEditais[Órgão],MATCH(tItens[[#This Row],[Edital]],tEditais[Edital],0)),"")</f>
        <v>EMPRESA BRASILEIRA DE SERVICOS HOSPITALARES - EBSERH</v>
      </c>
      <c r="H1063" t="str">
        <f>IFERROR(INDEX(tEditais[UF],MATCH(tItens[[#This Row],[Edital]],tEditais[Edital],0)),"")</f>
        <v>DF</v>
      </c>
      <c r="I1063" s="11">
        <f>IFERROR(INDEX(tEditais[Encerramento],MATCH(tItens[[#This Row],[Edital]],tEditais[Edital],0)),"")</f>
        <v>46311.416666666664</v>
      </c>
      <c r="J1063" t="str">
        <f>IFERROR(INDEX(tProdutos[Classe],MATCH(tItens[[#This Row],[Produto]],tProdutos[Produto],0)),"produto não cadastrado")</f>
        <v>FORA</v>
      </c>
      <c r="K1063" s="12">
        <f>tItens[[#This Row],[Qtd]]*tItens[[#This Row],[Vlr unit]]</f>
        <v>0</v>
      </c>
      <c r="L1063" s="6">
        <f>IFERROR(IF(INDEX(tProdutos[Desconto homologado],MATCH(tItens[[#This Row],[Produto]],tProdutos[Produto],0))="",DescontoPadrao,INDEX(tProdutos[Desconto homologado],MATCH(tItens[[#This Row],[Produto]],tProdutos[Produto],0))),DescontoPadrao)</f>
        <v>0.38432036097010702</v>
      </c>
      <c r="M1063" s="12">
        <f>tItens[[#This Row],[Valor]]*(1-tItens[[#This Row],[Desconto]])</f>
        <v>0</v>
      </c>
      <c r="N1063" t="str">
        <f>IFERROR(INDEX(tProdutos[Foco],MATCH(tItens[[#This Row],[Produto]],tProdutos[Produto],0)),"Não")</f>
        <v>Não</v>
      </c>
      <c r="O1063" t="str">
        <f>IFERROR(INDEX(tEditais[SRP],MATCH(tItens[[#This Row],[Edital]],tEditais[Edital],0)),"Não")</f>
        <v>Não</v>
      </c>
      <c r="P1063" s="4">
        <f>IF(COUNTIFS(INDEX(tItens[Edital],1):tItens[[#This Row],[Edital]],tItens[[#This Row],[Edital]],INDEX(tItens[Produto],1):tItens[[#This Row],[Produto]],tItens[[#This Row],[Produto]])=1,1,0)</f>
        <v>1</v>
      </c>
    </row>
    <row r="1064" spans="1:16" x14ac:dyDescent="0.25">
      <c r="A1064" t="s">
        <v>1068</v>
      </c>
      <c r="B1064">
        <v>33</v>
      </c>
      <c r="C1064" t="s">
        <v>4185</v>
      </c>
      <c r="D1064" t="s">
        <v>114</v>
      </c>
      <c r="E1064" s="13">
        <v>6000</v>
      </c>
      <c r="F1064" s="12">
        <v>0</v>
      </c>
      <c r="G1064" t="str">
        <f>IFERROR(INDEX(tEditais[Órgão],MATCH(tItens[[#This Row],[Edital]],tEditais[Edital],0)),"")</f>
        <v>EMPRESA BRASILEIRA DE SERVICOS HOSPITALARES - EBSERH</v>
      </c>
      <c r="H1064" t="str">
        <f>IFERROR(INDEX(tEditais[UF],MATCH(tItens[[#This Row],[Edital]],tEditais[Edital],0)),"")</f>
        <v>DF</v>
      </c>
      <c r="I1064" s="11">
        <f>IFERROR(INDEX(tEditais[Encerramento],MATCH(tItens[[#This Row],[Edital]],tEditais[Edital],0)),"")</f>
        <v>46311.416666666664</v>
      </c>
      <c r="J1064" t="str">
        <f>IFERROR(INDEX(tProdutos[Classe],MATCH(tItens[[#This Row],[Produto]],tProdutos[Produto],0)),"produto não cadastrado")</f>
        <v>DISPUTADO</v>
      </c>
      <c r="K1064" s="12">
        <f>tItens[[#This Row],[Qtd]]*tItens[[#This Row],[Vlr unit]]</f>
        <v>0</v>
      </c>
      <c r="L1064" s="6">
        <f>IFERROR(IF(INDEX(tProdutos[Desconto homologado],MATCH(tItens[[#This Row],[Produto]],tProdutos[Produto],0))="",DescontoPadrao,INDEX(tProdutos[Desconto homologado],MATCH(tItens[[#This Row],[Produto]],tProdutos[Produto],0))),DescontoPadrao)</f>
        <v>0.24332656063896899</v>
      </c>
      <c r="M1064" s="12">
        <f>tItens[[#This Row],[Valor]]*(1-tItens[[#This Row],[Desconto]])</f>
        <v>0</v>
      </c>
      <c r="N1064" t="str">
        <f>IFERROR(INDEX(tProdutos[Foco],MATCH(tItens[[#This Row],[Produto]],tProdutos[Produto],0)),"Não")</f>
        <v>Não</v>
      </c>
      <c r="O1064" t="str">
        <f>IFERROR(INDEX(tEditais[SRP],MATCH(tItens[[#This Row],[Edital]],tEditais[Edital],0)),"Não")</f>
        <v>Não</v>
      </c>
      <c r="P1064" s="4">
        <f>IF(COUNTIFS(INDEX(tItens[Edital],1):tItens[[#This Row],[Edital]],tItens[[#This Row],[Edital]],INDEX(tItens[Produto],1):tItens[[#This Row],[Produto]],tItens[[#This Row],[Produto]])=1,1,0)</f>
        <v>1</v>
      </c>
    </row>
    <row r="1065" spans="1:16" x14ac:dyDescent="0.25">
      <c r="A1065" t="s">
        <v>1068</v>
      </c>
      <c r="B1065">
        <v>59</v>
      </c>
      <c r="C1065" t="s">
        <v>4186</v>
      </c>
      <c r="D1065" t="s">
        <v>371</v>
      </c>
      <c r="E1065" s="13">
        <v>30000</v>
      </c>
      <c r="F1065" s="12">
        <v>0</v>
      </c>
      <c r="G1065" t="str">
        <f>IFERROR(INDEX(tEditais[Órgão],MATCH(tItens[[#This Row],[Edital]],tEditais[Edital],0)),"")</f>
        <v>EMPRESA BRASILEIRA DE SERVICOS HOSPITALARES - EBSERH</v>
      </c>
      <c r="H1065" t="str">
        <f>IFERROR(INDEX(tEditais[UF],MATCH(tItens[[#This Row],[Edital]],tEditais[Edital],0)),"")</f>
        <v>DF</v>
      </c>
      <c r="I1065" s="11">
        <f>IFERROR(INDEX(tEditais[Encerramento],MATCH(tItens[[#This Row],[Edital]],tEditais[Edital],0)),"")</f>
        <v>46311.416666666664</v>
      </c>
      <c r="J1065" t="str">
        <f>IFERROR(INDEX(tProdutos[Classe],MATCH(tItens[[#This Row],[Produto]],tProdutos[Produto],0)),"produto não cadastrado")</f>
        <v>FORA</v>
      </c>
      <c r="K1065" s="12">
        <f>tItens[[#This Row],[Qtd]]*tItens[[#This Row],[Vlr unit]]</f>
        <v>0</v>
      </c>
      <c r="L1065" s="6">
        <f>IFERROR(IF(INDEX(tProdutos[Desconto homologado],MATCH(tItens[[#This Row],[Produto]],tProdutos[Produto],0))="",DescontoPadrao,INDEX(tProdutos[Desconto homologado],MATCH(tItens[[#This Row],[Produto]],tProdutos[Produto],0))),DescontoPadrao)</f>
        <v>0.217826086956522</v>
      </c>
      <c r="M1065" s="12">
        <f>tItens[[#This Row],[Valor]]*(1-tItens[[#This Row],[Desconto]])</f>
        <v>0</v>
      </c>
      <c r="N1065" t="str">
        <f>IFERROR(INDEX(tProdutos[Foco],MATCH(tItens[[#This Row],[Produto]],tProdutos[Produto],0)),"Não")</f>
        <v>Não</v>
      </c>
      <c r="O1065" t="str">
        <f>IFERROR(INDEX(tEditais[SRP],MATCH(tItens[[#This Row],[Edital]],tEditais[Edital],0)),"Não")</f>
        <v>Não</v>
      </c>
      <c r="P1065" s="4">
        <f>IF(COUNTIFS(INDEX(tItens[Edital],1):tItens[[#This Row],[Edital]],tItens[[#This Row],[Edital]],INDEX(tItens[Produto],1):tItens[[#This Row],[Produto]],tItens[[#This Row],[Produto]])=1,1,0)</f>
        <v>1</v>
      </c>
    </row>
    <row r="1066" spans="1:16" x14ac:dyDescent="0.25">
      <c r="A1066" t="s">
        <v>1068</v>
      </c>
      <c r="B1066">
        <v>79</v>
      </c>
      <c r="C1066" t="s">
        <v>4187</v>
      </c>
      <c r="D1066" t="s">
        <v>180</v>
      </c>
      <c r="E1066" s="13">
        <v>51000</v>
      </c>
      <c r="F1066" s="12">
        <v>0</v>
      </c>
      <c r="G1066" t="str">
        <f>IFERROR(INDEX(tEditais[Órgão],MATCH(tItens[[#This Row],[Edital]],tEditais[Edital],0)),"")</f>
        <v>EMPRESA BRASILEIRA DE SERVICOS HOSPITALARES - EBSERH</v>
      </c>
      <c r="H1066" t="str">
        <f>IFERROR(INDEX(tEditais[UF],MATCH(tItens[[#This Row],[Edital]],tEditais[Edital],0)),"")</f>
        <v>DF</v>
      </c>
      <c r="I1066" s="11">
        <f>IFERROR(INDEX(tEditais[Encerramento],MATCH(tItens[[#This Row],[Edital]],tEditais[Edital],0)),"")</f>
        <v>46311.416666666664</v>
      </c>
      <c r="J1066" t="str">
        <f>IFERROR(INDEX(tProdutos[Classe],MATCH(tItens[[#This Row],[Produto]],tProdutos[Produto],0)),"produto não cadastrado")</f>
        <v>DISPUTADO</v>
      </c>
      <c r="K1066" s="12">
        <f>tItens[[#This Row],[Qtd]]*tItens[[#This Row],[Vlr unit]]</f>
        <v>0</v>
      </c>
      <c r="L1066" s="6">
        <f>IFERROR(IF(INDEX(tProdutos[Desconto homologado],MATCH(tItens[[#This Row],[Produto]],tProdutos[Produto],0))="",DescontoPadrao,INDEX(tProdutos[Desconto homologado],MATCH(tItens[[#This Row],[Produto]],tProdutos[Produto],0))),DescontoPadrao)</f>
        <v>0.33333333333333298</v>
      </c>
      <c r="M1066" s="12">
        <f>tItens[[#This Row],[Valor]]*(1-tItens[[#This Row],[Desconto]])</f>
        <v>0</v>
      </c>
      <c r="N1066" t="str">
        <f>IFERROR(INDEX(tProdutos[Foco],MATCH(tItens[[#This Row],[Produto]],tProdutos[Produto],0)),"Não")</f>
        <v>Não</v>
      </c>
      <c r="O1066" t="str">
        <f>IFERROR(INDEX(tEditais[SRP],MATCH(tItens[[#This Row],[Edital]],tEditais[Edital],0)),"Não")</f>
        <v>Não</v>
      </c>
      <c r="P1066" s="4">
        <f>IF(COUNTIFS(INDEX(tItens[Edital],1):tItens[[#This Row],[Edital]],tItens[[#This Row],[Edital]],INDEX(tItens[Produto],1):tItens[[#This Row],[Produto]],tItens[[#This Row],[Produto]])=1,1,0)</f>
        <v>1</v>
      </c>
    </row>
    <row r="1067" spans="1:16" x14ac:dyDescent="0.25">
      <c r="A1067" t="s">
        <v>1071</v>
      </c>
      <c r="B1067">
        <v>3</v>
      </c>
      <c r="C1067" t="s">
        <v>4113</v>
      </c>
      <c r="D1067" t="s">
        <v>315</v>
      </c>
      <c r="E1067" s="13">
        <v>15000</v>
      </c>
      <c r="F1067" s="12">
        <v>0</v>
      </c>
      <c r="G1067" t="str">
        <f>IFERROR(INDEX(tEditais[Órgão],MATCH(tItens[[#This Row],[Edital]],tEditais[Edital],0)),"")</f>
        <v>EMPRESA BRASILEIRA DE SERVICOS HOSPITALARES - EBSERH</v>
      </c>
      <c r="H1067" t="str">
        <f>IFERROR(INDEX(tEditais[UF],MATCH(tItens[[#This Row],[Edital]],tEditais[Edital],0)),"")</f>
        <v>DF</v>
      </c>
      <c r="I1067" s="11">
        <f>IFERROR(INDEX(tEditais[Encerramento],MATCH(tItens[[#This Row],[Edital]],tEditais[Edital],0)),"")</f>
        <v>46314.416666666664</v>
      </c>
      <c r="J1067" t="str">
        <f>IFERROR(INDEX(tProdutos[Classe],MATCH(tItens[[#This Row],[Produto]],tProdutos[Produto],0)),"produto não cadastrado")</f>
        <v>FORA</v>
      </c>
      <c r="K1067" s="12">
        <f>tItens[[#This Row],[Qtd]]*tItens[[#This Row],[Vlr unit]]</f>
        <v>0</v>
      </c>
      <c r="L1067" s="6">
        <f>IFERROR(IF(INDEX(tProdutos[Desconto homologado],MATCH(tItens[[#This Row],[Produto]],tProdutos[Produto],0))="",DescontoPadrao,INDEX(tProdutos[Desconto homologado],MATCH(tItens[[#This Row],[Produto]],tProdutos[Produto],0))),DescontoPadrao)</f>
        <v>0.38432036097010702</v>
      </c>
      <c r="M1067" s="12">
        <f>tItens[[#This Row],[Valor]]*(1-tItens[[#This Row],[Desconto]])</f>
        <v>0</v>
      </c>
      <c r="N1067" t="str">
        <f>IFERROR(INDEX(tProdutos[Foco],MATCH(tItens[[#This Row],[Produto]],tProdutos[Produto],0)),"Não")</f>
        <v>Não</v>
      </c>
      <c r="O1067" t="str">
        <f>IFERROR(INDEX(tEditais[SRP],MATCH(tItens[[#This Row],[Edital]],tEditais[Edital],0)),"Não")</f>
        <v>Não</v>
      </c>
      <c r="P1067" s="4">
        <f>IF(COUNTIFS(INDEX(tItens[Edital],1):tItens[[#This Row],[Edital]],tItens[[#This Row],[Edital]],INDEX(tItens[Produto],1):tItens[[#This Row],[Produto]],tItens[[#This Row],[Produto]])=1,1,0)</f>
        <v>1</v>
      </c>
    </row>
    <row r="1068" spans="1:16" x14ac:dyDescent="0.25">
      <c r="A1068" t="s">
        <v>1071</v>
      </c>
      <c r="B1068">
        <v>4</v>
      </c>
      <c r="C1068" t="s">
        <v>3478</v>
      </c>
      <c r="D1068" t="s">
        <v>315</v>
      </c>
      <c r="E1068" s="13">
        <v>80000</v>
      </c>
      <c r="F1068" s="12">
        <v>0</v>
      </c>
      <c r="G1068" t="str">
        <f>IFERROR(INDEX(tEditais[Órgão],MATCH(tItens[[#This Row],[Edital]],tEditais[Edital],0)),"")</f>
        <v>EMPRESA BRASILEIRA DE SERVICOS HOSPITALARES - EBSERH</v>
      </c>
      <c r="H1068" t="str">
        <f>IFERROR(INDEX(tEditais[UF],MATCH(tItens[[#This Row],[Edital]],tEditais[Edital],0)),"")</f>
        <v>DF</v>
      </c>
      <c r="I1068" s="11">
        <f>IFERROR(INDEX(tEditais[Encerramento],MATCH(tItens[[#This Row],[Edital]],tEditais[Edital],0)),"")</f>
        <v>46314.416666666664</v>
      </c>
      <c r="J1068" t="str">
        <f>IFERROR(INDEX(tProdutos[Classe],MATCH(tItens[[#This Row],[Produto]],tProdutos[Produto],0)),"produto não cadastrado")</f>
        <v>FORA</v>
      </c>
      <c r="K1068" s="12">
        <f>tItens[[#This Row],[Qtd]]*tItens[[#This Row],[Vlr unit]]</f>
        <v>0</v>
      </c>
      <c r="L1068" s="6">
        <f>IFERROR(IF(INDEX(tProdutos[Desconto homologado],MATCH(tItens[[#This Row],[Produto]],tProdutos[Produto],0))="",DescontoPadrao,INDEX(tProdutos[Desconto homologado],MATCH(tItens[[#This Row],[Produto]],tProdutos[Produto],0))),DescontoPadrao)</f>
        <v>0.38432036097010702</v>
      </c>
      <c r="M1068" s="12">
        <f>tItens[[#This Row],[Valor]]*(1-tItens[[#This Row],[Desconto]])</f>
        <v>0</v>
      </c>
      <c r="N1068" t="str">
        <f>IFERROR(INDEX(tProdutos[Foco],MATCH(tItens[[#This Row],[Produto]],tProdutos[Produto],0)),"Não")</f>
        <v>Não</v>
      </c>
      <c r="O1068" t="str">
        <f>IFERROR(INDEX(tEditais[SRP],MATCH(tItens[[#This Row],[Edital]],tEditais[Edital],0)),"Não")</f>
        <v>Não</v>
      </c>
      <c r="P1068" s="4">
        <f>IF(COUNTIFS(INDEX(tItens[Edital],1):tItens[[#This Row],[Edital]],tItens[[#This Row],[Edital]],INDEX(tItens[Produto],1):tItens[[#This Row],[Produto]],tItens[[#This Row],[Produto]])=1,1,0)</f>
        <v>0</v>
      </c>
    </row>
    <row r="1069" spans="1:16" x14ac:dyDescent="0.25">
      <c r="A1069" t="s">
        <v>1071</v>
      </c>
      <c r="B1069">
        <v>5</v>
      </c>
      <c r="C1069" t="s">
        <v>4188</v>
      </c>
      <c r="D1069" t="s">
        <v>315</v>
      </c>
      <c r="E1069" s="13">
        <v>30000</v>
      </c>
      <c r="F1069" s="12">
        <v>0</v>
      </c>
      <c r="G1069" t="str">
        <f>IFERROR(INDEX(tEditais[Órgão],MATCH(tItens[[#This Row],[Edital]],tEditais[Edital],0)),"")</f>
        <v>EMPRESA BRASILEIRA DE SERVICOS HOSPITALARES - EBSERH</v>
      </c>
      <c r="H1069" t="str">
        <f>IFERROR(INDEX(tEditais[UF],MATCH(tItens[[#This Row],[Edital]],tEditais[Edital],0)),"")</f>
        <v>DF</v>
      </c>
      <c r="I1069" s="11">
        <f>IFERROR(INDEX(tEditais[Encerramento],MATCH(tItens[[#This Row],[Edital]],tEditais[Edital],0)),"")</f>
        <v>46314.416666666664</v>
      </c>
      <c r="J1069" t="str">
        <f>IFERROR(INDEX(tProdutos[Classe],MATCH(tItens[[#This Row],[Produto]],tProdutos[Produto],0)),"produto não cadastrado")</f>
        <v>FORA</v>
      </c>
      <c r="K1069" s="12">
        <f>tItens[[#This Row],[Qtd]]*tItens[[#This Row],[Vlr unit]]</f>
        <v>0</v>
      </c>
      <c r="L1069" s="6">
        <f>IFERROR(IF(INDEX(tProdutos[Desconto homologado],MATCH(tItens[[#This Row],[Produto]],tProdutos[Produto],0))="",DescontoPadrao,INDEX(tProdutos[Desconto homologado],MATCH(tItens[[#This Row],[Produto]],tProdutos[Produto],0))),DescontoPadrao)</f>
        <v>0.38432036097010702</v>
      </c>
      <c r="M1069" s="12">
        <f>tItens[[#This Row],[Valor]]*(1-tItens[[#This Row],[Desconto]])</f>
        <v>0</v>
      </c>
      <c r="N1069" t="str">
        <f>IFERROR(INDEX(tProdutos[Foco],MATCH(tItens[[#This Row],[Produto]],tProdutos[Produto],0)),"Não")</f>
        <v>Não</v>
      </c>
      <c r="O1069" t="str">
        <f>IFERROR(INDEX(tEditais[SRP],MATCH(tItens[[#This Row],[Edital]],tEditais[Edital],0)),"Não")</f>
        <v>Não</v>
      </c>
      <c r="P1069" s="4">
        <f>IF(COUNTIFS(INDEX(tItens[Edital],1):tItens[[#This Row],[Edital]],tItens[[#This Row],[Edital]],INDEX(tItens[Produto],1):tItens[[#This Row],[Produto]],tItens[[#This Row],[Produto]])=1,1,0)</f>
        <v>0</v>
      </c>
    </row>
    <row r="1070" spans="1:16" x14ac:dyDescent="0.25">
      <c r="A1070" t="s">
        <v>1071</v>
      </c>
      <c r="B1070">
        <v>6</v>
      </c>
      <c r="C1070" t="s">
        <v>3480</v>
      </c>
      <c r="D1070" t="s">
        <v>315</v>
      </c>
      <c r="E1070" s="13">
        <v>180000</v>
      </c>
      <c r="F1070" s="12">
        <v>0</v>
      </c>
      <c r="G1070" t="str">
        <f>IFERROR(INDEX(tEditais[Órgão],MATCH(tItens[[#This Row],[Edital]],tEditais[Edital],0)),"")</f>
        <v>EMPRESA BRASILEIRA DE SERVICOS HOSPITALARES - EBSERH</v>
      </c>
      <c r="H1070" t="str">
        <f>IFERROR(INDEX(tEditais[UF],MATCH(tItens[[#This Row],[Edital]],tEditais[Edital],0)),"")</f>
        <v>DF</v>
      </c>
      <c r="I1070" s="11">
        <f>IFERROR(INDEX(tEditais[Encerramento],MATCH(tItens[[#This Row],[Edital]],tEditais[Edital],0)),"")</f>
        <v>46314.416666666664</v>
      </c>
      <c r="J1070" t="str">
        <f>IFERROR(INDEX(tProdutos[Classe],MATCH(tItens[[#This Row],[Produto]],tProdutos[Produto],0)),"produto não cadastrado")</f>
        <v>FORA</v>
      </c>
      <c r="K1070" s="12">
        <f>tItens[[#This Row],[Qtd]]*tItens[[#This Row],[Vlr unit]]</f>
        <v>0</v>
      </c>
      <c r="L1070" s="6">
        <f>IFERROR(IF(INDEX(tProdutos[Desconto homologado],MATCH(tItens[[#This Row],[Produto]],tProdutos[Produto],0))="",DescontoPadrao,INDEX(tProdutos[Desconto homologado],MATCH(tItens[[#This Row],[Produto]],tProdutos[Produto],0))),DescontoPadrao)</f>
        <v>0.38432036097010702</v>
      </c>
      <c r="M1070" s="12">
        <f>tItens[[#This Row],[Valor]]*(1-tItens[[#This Row],[Desconto]])</f>
        <v>0</v>
      </c>
      <c r="N1070" t="str">
        <f>IFERROR(INDEX(tProdutos[Foco],MATCH(tItens[[#This Row],[Produto]],tProdutos[Produto],0)),"Não")</f>
        <v>Não</v>
      </c>
      <c r="O1070" t="str">
        <f>IFERROR(INDEX(tEditais[SRP],MATCH(tItens[[#This Row],[Edital]],tEditais[Edital],0)),"Não")</f>
        <v>Não</v>
      </c>
      <c r="P1070" s="4">
        <f>IF(COUNTIFS(INDEX(tItens[Edital],1):tItens[[#This Row],[Edital]],tItens[[#This Row],[Edital]],INDEX(tItens[Produto],1):tItens[[#This Row],[Produto]],tItens[[#This Row],[Produto]])=1,1,0)</f>
        <v>0</v>
      </c>
    </row>
    <row r="1071" spans="1:16" x14ac:dyDescent="0.25">
      <c r="A1071" t="s">
        <v>1071</v>
      </c>
      <c r="B1071">
        <v>7</v>
      </c>
      <c r="C1071" t="s">
        <v>3481</v>
      </c>
      <c r="D1071" t="s">
        <v>297</v>
      </c>
      <c r="E1071" s="13">
        <v>160000</v>
      </c>
      <c r="F1071" s="12">
        <v>0</v>
      </c>
      <c r="G1071" t="str">
        <f>IFERROR(INDEX(tEditais[Órgão],MATCH(tItens[[#This Row],[Edital]],tEditais[Edital],0)),"")</f>
        <v>EMPRESA BRASILEIRA DE SERVICOS HOSPITALARES - EBSERH</v>
      </c>
      <c r="H1071" t="str">
        <f>IFERROR(INDEX(tEditais[UF],MATCH(tItens[[#This Row],[Edital]],tEditais[Edital],0)),"")</f>
        <v>DF</v>
      </c>
      <c r="I1071" s="11">
        <f>IFERROR(INDEX(tEditais[Encerramento],MATCH(tItens[[#This Row],[Edital]],tEditais[Edital],0)),"")</f>
        <v>46314.416666666664</v>
      </c>
      <c r="J1071" t="str">
        <f>IFERROR(INDEX(tProdutos[Classe],MATCH(tItens[[#This Row],[Produto]],tProdutos[Produto],0)),"produto não cadastrado")</f>
        <v>FORA</v>
      </c>
      <c r="K1071" s="12">
        <f>tItens[[#This Row],[Qtd]]*tItens[[#This Row],[Vlr unit]]</f>
        <v>0</v>
      </c>
      <c r="L1071" s="6">
        <f>IFERROR(IF(INDEX(tProdutos[Desconto homologado],MATCH(tItens[[#This Row],[Produto]],tProdutos[Produto],0))="",DescontoPadrao,INDEX(tProdutos[Desconto homologado],MATCH(tItens[[#This Row],[Produto]],tProdutos[Produto],0))),DescontoPadrao)</f>
        <v>0.249544626593807</v>
      </c>
      <c r="M1071" s="12">
        <f>tItens[[#This Row],[Valor]]*(1-tItens[[#This Row],[Desconto]])</f>
        <v>0</v>
      </c>
      <c r="N1071" t="str">
        <f>IFERROR(INDEX(tProdutos[Foco],MATCH(tItens[[#This Row],[Produto]],tProdutos[Produto],0)),"Não")</f>
        <v>Não</v>
      </c>
      <c r="O1071" t="str">
        <f>IFERROR(INDEX(tEditais[SRP],MATCH(tItens[[#This Row],[Edital]],tEditais[Edital],0)),"Não")</f>
        <v>Não</v>
      </c>
      <c r="P1071" s="4">
        <f>IF(COUNTIFS(INDEX(tItens[Edital],1):tItens[[#This Row],[Edital]],tItens[[#This Row],[Edital]],INDEX(tItens[Produto],1):tItens[[#This Row],[Produto]],tItens[[#This Row],[Produto]])=1,1,0)</f>
        <v>1</v>
      </c>
    </row>
    <row r="1072" spans="1:16" x14ac:dyDescent="0.25">
      <c r="A1072" t="s">
        <v>1071</v>
      </c>
      <c r="B1072">
        <v>8</v>
      </c>
      <c r="C1072" t="s">
        <v>4189</v>
      </c>
      <c r="D1072" t="s">
        <v>315</v>
      </c>
      <c r="E1072" s="13">
        <v>30000</v>
      </c>
      <c r="F1072" s="12">
        <v>0</v>
      </c>
      <c r="G1072" t="str">
        <f>IFERROR(INDEX(tEditais[Órgão],MATCH(tItens[[#This Row],[Edital]],tEditais[Edital],0)),"")</f>
        <v>EMPRESA BRASILEIRA DE SERVICOS HOSPITALARES - EBSERH</v>
      </c>
      <c r="H1072" t="str">
        <f>IFERROR(INDEX(tEditais[UF],MATCH(tItens[[#This Row],[Edital]],tEditais[Edital],0)),"")</f>
        <v>DF</v>
      </c>
      <c r="I1072" s="11">
        <f>IFERROR(INDEX(tEditais[Encerramento],MATCH(tItens[[#This Row],[Edital]],tEditais[Edital],0)),"")</f>
        <v>46314.416666666664</v>
      </c>
      <c r="J1072" t="str">
        <f>IFERROR(INDEX(tProdutos[Classe],MATCH(tItens[[#This Row],[Produto]],tProdutos[Produto],0)),"produto não cadastrado")</f>
        <v>FORA</v>
      </c>
      <c r="K1072" s="12">
        <f>tItens[[#This Row],[Qtd]]*tItens[[#This Row],[Vlr unit]]</f>
        <v>0</v>
      </c>
      <c r="L1072" s="6">
        <f>IFERROR(IF(INDEX(tProdutos[Desconto homologado],MATCH(tItens[[#This Row],[Produto]],tProdutos[Produto],0))="",DescontoPadrao,INDEX(tProdutos[Desconto homologado],MATCH(tItens[[#This Row],[Produto]],tProdutos[Produto],0))),DescontoPadrao)</f>
        <v>0.38432036097010702</v>
      </c>
      <c r="M1072" s="12">
        <f>tItens[[#This Row],[Valor]]*(1-tItens[[#This Row],[Desconto]])</f>
        <v>0</v>
      </c>
      <c r="N1072" t="str">
        <f>IFERROR(INDEX(tProdutos[Foco],MATCH(tItens[[#This Row],[Produto]],tProdutos[Produto],0)),"Não")</f>
        <v>Não</v>
      </c>
      <c r="O1072" t="str">
        <f>IFERROR(INDEX(tEditais[SRP],MATCH(tItens[[#This Row],[Edital]],tEditais[Edital],0)),"Não")</f>
        <v>Não</v>
      </c>
      <c r="P1072" s="4">
        <f>IF(COUNTIFS(INDEX(tItens[Edital],1):tItens[[#This Row],[Edital]],tItens[[#This Row],[Edital]],INDEX(tItens[Produto],1):tItens[[#This Row],[Produto]],tItens[[#This Row],[Produto]])=1,1,0)</f>
        <v>0</v>
      </c>
    </row>
    <row r="1073" spans="1:16" x14ac:dyDescent="0.25">
      <c r="A1073" t="s">
        <v>1071</v>
      </c>
      <c r="B1073">
        <v>9</v>
      </c>
      <c r="C1073" t="s">
        <v>4135</v>
      </c>
      <c r="D1073" t="s">
        <v>297</v>
      </c>
      <c r="E1073" s="13">
        <v>120000</v>
      </c>
      <c r="F1073" s="12">
        <v>0</v>
      </c>
      <c r="G1073" t="str">
        <f>IFERROR(INDEX(tEditais[Órgão],MATCH(tItens[[#This Row],[Edital]],tEditais[Edital],0)),"")</f>
        <v>EMPRESA BRASILEIRA DE SERVICOS HOSPITALARES - EBSERH</v>
      </c>
      <c r="H1073" t="str">
        <f>IFERROR(INDEX(tEditais[UF],MATCH(tItens[[#This Row],[Edital]],tEditais[Edital],0)),"")</f>
        <v>DF</v>
      </c>
      <c r="I1073" s="11">
        <f>IFERROR(INDEX(tEditais[Encerramento],MATCH(tItens[[#This Row],[Edital]],tEditais[Edital],0)),"")</f>
        <v>46314.416666666664</v>
      </c>
      <c r="J1073" t="str">
        <f>IFERROR(INDEX(tProdutos[Classe],MATCH(tItens[[#This Row],[Produto]],tProdutos[Produto],0)),"produto não cadastrado")</f>
        <v>FORA</v>
      </c>
      <c r="K1073" s="12">
        <f>tItens[[#This Row],[Qtd]]*tItens[[#This Row],[Vlr unit]]</f>
        <v>0</v>
      </c>
      <c r="L1073" s="6">
        <f>IFERROR(IF(INDEX(tProdutos[Desconto homologado],MATCH(tItens[[#This Row],[Produto]],tProdutos[Produto],0))="",DescontoPadrao,INDEX(tProdutos[Desconto homologado],MATCH(tItens[[#This Row],[Produto]],tProdutos[Produto],0))),DescontoPadrao)</f>
        <v>0.249544626593807</v>
      </c>
      <c r="M1073" s="12">
        <f>tItens[[#This Row],[Valor]]*(1-tItens[[#This Row],[Desconto]])</f>
        <v>0</v>
      </c>
      <c r="N1073" t="str">
        <f>IFERROR(INDEX(tProdutos[Foco],MATCH(tItens[[#This Row],[Produto]],tProdutos[Produto],0)),"Não")</f>
        <v>Não</v>
      </c>
      <c r="O1073" t="str">
        <f>IFERROR(INDEX(tEditais[SRP],MATCH(tItens[[#This Row],[Edital]],tEditais[Edital],0)),"Não")</f>
        <v>Não</v>
      </c>
      <c r="P1073" s="4">
        <f>IF(COUNTIFS(INDEX(tItens[Edital],1):tItens[[#This Row],[Edital]],tItens[[#This Row],[Edital]],INDEX(tItens[Produto],1):tItens[[#This Row],[Produto]],tItens[[#This Row],[Produto]])=1,1,0)</f>
        <v>0</v>
      </c>
    </row>
    <row r="1074" spans="1:16" x14ac:dyDescent="0.25">
      <c r="A1074" t="s">
        <v>1071</v>
      </c>
      <c r="B1074">
        <v>10</v>
      </c>
      <c r="C1074" t="s">
        <v>3482</v>
      </c>
      <c r="D1074" t="s">
        <v>315</v>
      </c>
      <c r="E1074" s="13">
        <v>150000</v>
      </c>
      <c r="F1074" s="12">
        <v>0</v>
      </c>
      <c r="G1074" t="str">
        <f>IFERROR(INDEX(tEditais[Órgão],MATCH(tItens[[#This Row],[Edital]],tEditais[Edital],0)),"")</f>
        <v>EMPRESA BRASILEIRA DE SERVICOS HOSPITALARES - EBSERH</v>
      </c>
      <c r="H1074" t="str">
        <f>IFERROR(INDEX(tEditais[UF],MATCH(tItens[[#This Row],[Edital]],tEditais[Edital],0)),"")</f>
        <v>DF</v>
      </c>
      <c r="I1074" s="11">
        <f>IFERROR(INDEX(tEditais[Encerramento],MATCH(tItens[[#This Row],[Edital]],tEditais[Edital],0)),"")</f>
        <v>46314.416666666664</v>
      </c>
      <c r="J1074" t="str">
        <f>IFERROR(INDEX(tProdutos[Classe],MATCH(tItens[[#This Row],[Produto]],tProdutos[Produto],0)),"produto não cadastrado")</f>
        <v>FORA</v>
      </c>
      <c r="K1074" s="12">
        <f>tItens[[#This Row],[Qtd]]*tItens[[#This Row],[Vlr unit]]</f>
        <v>0</v>
      </c>
      <c r="L1074" s="6">
        <f>IFERROR(IF(INDEX(tProdutos[Desconto homologado],MATCH(tItens[[#This Row],[Produto]],tProdutos[Produto],0))="",DescontoPadrao,INDEX(tProdutos[Desconto homologado],MATCH(tItens[[#This Row],[Produto]],tProdutos[Produto],0))),DescontoPadrao)</f>
        <v>0.38432036097010702</v>
      </c>
      <c r="M1074" s="12">
        <f>tItens[[#This Row],[Valor]]*(1-tItens[[#This Row],[Desconto]])</f>
        <v>0</v>
      </c>
      <c r="N1074" t="str">
        <f>IFERROR(INDEX(tProdutos[Foco],MATCH(tItens[[#This Row],[Produto]],tProdutos[Produto],0)),"Não")</f>
        <v>Não</v>
      </c>
      <c r="O1074" t="str">
        <f>IFERROR(INDEX(tEditais[SRP],MATCH(tItens[[#This Row],[Edital]],tEditais[Edital],0)),"Não")</f>
        <v>Não</v>
      </c>
      <c r="P1074" s="4">
        <f>IF(COUNTIFS(INDEX(tItens[Edital],1):tItens[[#This Row],[Edital]],tItens[[#This Row],[Edital]],INDEX(tItens[Produto],1):tItens[[#This Row],[Produto]],tItens[[#This Row],[Produto]])=1,1,0)</f>
        <v>0</v>
      </c>
    </row>
    <row r="1075" spans="1:16" x14ac:dyDescent="0.25">
      <c r="A1075" t="s">
        <v>1071</v>
      </c>
      <c r="B1075">
        <v>11</v>
      </c>
      <c r="C1075" t="s">
        <v>4137</v>
      </c>
      <c r="D1075" t="s">
        <v>315</v>
      </c>
      <c r="E1075" s="13">
        <v>10000</v>
      </c>
      <c r="F1075" s="12">
        <v>0</v>
      </c>
      <c r="G1075" t="str">
        <f>IFERROR(INDEX(tEditais[Órgão],MATCH(tItens[[#This Row],[Edital]],tEditais[Edital],0)),"")</f>
        <v>EMPRESA BRASILEIRA DE SERVICOS HOSPITALARES - EBSERH</v>
      </c>
      <c r="H1075" t="str">
        <f>IFERROR(INDEX(tEditais[UF],MATCH(tItens[[#This Row],[Edital]],tEditais[Edital],0)),"")</f>
        <v>DF</v>
      </c>
      <c r="I1075" s="11">
        <f>IFERROR(INDEX(tEditais[Encerramento],MATCH(tItens[[#This Row],[Edital]],tEditais[Edital],0)),"")</f>
        <v>46314.416666666664</v>
      </c>
      <c r="J1075" t="str">
        <f>IFERROR(INDEX(tProdutos[Classe],MATCH(tItens[[#This Row],[Produto]],tProdutos[Produto],0)),"produto não cadastrado")</f>
        <v>FORA</v>
      </c>
      <c r="K1075" s="12">
        <f>tItens[[#This Row],[Qtd]]*tItens[[#This Row],[Vlr unit]]</f>
        <v>0</v>
      </c>
      <c r="L1075" s="6">
        <f>IFERROR(IF(INDEX(tProdutos[Desconto homologado],MATCH(tItens[[#This Row],[Produto]],tProdutos[Produto],0))="",DescontoPadrao,INDEX(tProdutos[Desconto homologado],MATCH(tItens[[#This Row],[Produto]],tProdutos[Produto],0))),DescontoPadrao)</f>
        <v>0.38432036097010702</v>
      </c>
      <c r="M1075" s="12">
        <f>tItens[[#This Row],[Valor]]*(1-tItens[[#This Row],[Desconto]])</f>
        <v>0</v>
      </c>
      <c r="N1075" t="str">
        <f>IFERROR(INDEX(tProdutos[Foco],MATCH(tItens[[#This Row],[Produto]],tProdutos[Produto],0)),"Não")</f>
        <v>Não</v>
      </c>
      <c r="O1075" t="str">
        <f>IFERROR(INDEX(tEditais[SRP],MATCH(tItens[[#This Row],[Edital]],tEditais[Edital],0)),"Não")</f>
        <v>Não</v>
      </c>
      <c r="P1075" s="4">
        <f>IF(COUNTIFS(INDEX(tItens[Edital],1):tItens[[#This Row],[Edital]],tItens[[#This Row],[Edital]],INDEX(tItens[Produto],1):tItens[[#This Row],[Produto]],tItens[[#This Row],[Produto]])=1,1,0)</f>
        <v>0</v>
      </c>
    </row>
    <row r="1076" spans="1:16" x14ac:dyDescent="0.25">
      <c r="A1076" t="s">
        <v>1071</v>
      </c>
      <c r="B1076">
        <v>14</v>
      </c>
      <c r="C1076" t="s">
        <v>4190</v>
      </c>
      <c r="D1076" t="s">
        <v>245</v>
      </c>
      <c r="E1076" s="13">
        <v>100</v>
      </c>
      <c r="F1076" s="12">
        <v>0</v>
      </c>
      <c r="G1076" t="str">
        <f>IFERROR(INDEX(tEditais[Órgão],MATCH(tItens[[#This Row],[Edital]],tEditais[Edital],0)),"")</f>
        <v>EMPRESA BRASILEIRA DE SERVICOS HOSPITALARES - EBSERH</v>
      </c>
      <c r="H1076" t="str">
        <f>IFERROR(INDEX(tEditais[UF],MATCH(tItens[[#This Row],[Edital]],tEditais[Edital],0)),"")</f>
        <v>DF</v>
      </c>
      <c r="I1076" s="11">
        <f>IFERROR(INDEX(tEditais[Encerramento],MATCH(tItens[[#This Row],[Edital]],tEditais[Edital],0)),"")</f>
        <v>46314.416666666664</v>
      </c>
      <c r="J1076" t="str">
        <f>IFERROR(INDEX(tProdutos[Classe],MATCH(tItens[[#This Row],[Produto]],tProdutos[Produto],0)),"produto não cadastrado")</f>
        <v>FORA</v>
      </c>
      <c r="K1076" s="12">
        <f>tItens[[#This Row],[Qtd]]*tItens[[#This Row],[Vlr unit]]</f>
        <v>0</v>
      </c>
      <c r="L1076" s="6">
        <f>IFERROR(IF(INDEX(tProdutos[Desconto homologado],MATCH(tItens[[#This Row],[Produto]],tProdutos[Produto],0))="",DescontoPadrao,INDEX(tProdutos[Desconto homologado],MATCH(tItens[[#This Row],[Produto]],tProdutos[Produto],0))),DescontoPadrao)</f>
        <v>0.34516963542284401</v>
      </c>
      <c r="M1076" s="12">
        <f>tItens[[#This Row],[Valor]]*(1-tItens[[#This Row],[Desconto]])</f>
        <v>0</v>
      </c>
      <c r="N1076" t="str">
        <f>IFERROR(INDEX(tProdutos[Foco],MATCH(tItens[[#This Row],[Produto]],tProdutos[Produto],0)),"Não")</f>
        <v>Não</v>
      </c>
      <c r="O1076" t="str">
        <f>IFERROR(INDEX(tEditais[SRP],MATCH(tItens[[#This Row],[Edital]],tEditais[Edital],0)),"Não")</f>
        <v>Não</v>
      </c>
      <c r="P1076" s="4">
        <f>IF(COUNTIFS(INDEX(tItens[Edital],1):tItens[[#This Row],[Edital]],tItens[[#This Row],[Edital]],INDEX(tItens[Produto],1):tItens[[#This Row],[Produto]],tItens[[#This Row],[Produto]])=1,1,0)</f>
        <v>1</v>
      </c>
    </row>
    <row r="1077" spans="1:16" x14ac:dyDescent="0.25">
      <c r="A1077" t="s">
        <v>1071</v>
      </c>
      <c r="B1077">
        <v>15</v>
      </c>
      <c r="C1077" t="s">
        <v>4191</v>
      </c>
      <c r="D1077" t="s">
        <v>245</v>
      </c>
      <c r="E1077" s="13">
        <v>100</v>
      </c>
      <c r="F1077" s="12">
        <v>0</v>
      </c>
      <c r="G1077" t="str">
        <f>IFERROR(INDEX(tEditais[Órgão],MATCH(tItens[[#This Row],[Edital]],tEditais[Edital],0)),"")</f>
        <v>EMPRESA BRASILEIRA DE SERVICOS HOSPITALARES - EBSERH</v>
      </c>
      <c r="H1077" t="str">
        <f>IFERROR(INDEX(tEditais[UF],MATCH(tItens[[#This Row],[Edital]],tEditais[Edital],0)),"")</f>
        <v>DF</v>
      </c>
      <c r="I1077" s="11">
        <f>IFERROR(INDEX(tEditais[Encerramento],MATCH(tItens[[#This Row],[Edital]],tEditais[Edital],0)),"")</f>
        <v>46314.416666666664</v>
      </c>
      <c r="J1077" t="str">
        <f>IFERROR(INDEX(tProdutos[Classe],MATCH(tItens[[#This Row],[Produto]],tProdutos[Produto],0)),"produto não cadastrado")</f>
        <v>FORA</v>
      </c>
      <c r="K1077" s="12">
        <f>tItens[[#This Row],[Qtd]]*tItens[[#This Row],[Vlr unit]]</f>
        <v>0</v>
      </c>
      <c r="L1077" s="6">
        <f>IFERROR(IF(INDEX(tProdutos[Desconto homologado],MATCH(tItens[[#This Row],[Produto]],tProdutos[Produto],0))="",DescontoPadrao,INDEX(tProdutos[Desconto homologado],MATCH(tItens[[#This Row],[Produto]],tProdutos[Produto],0))),DescontoPadrao)</f>
        <v>0.34516963542284401</v>
      </c>
      <c r="M1077" s="12">
        <f>tItens[[#This Row],[Valor]]*(1-tItens[[#This Row],[Desconto]])</f>
        <v>0</v>
      </c>
      <c r="N1077" t="str">
        <f>IFERROR(INDEX(tProdutos[Foco],MATCH(tItens[[#This Row],[Produto]],tProdutos[Produto],0)),"Não")</f>
        <v>Não</v>
      </c>
      <c r="O1077" t="str">
        <f>IFERROR(INDEX(tEditais[SRP],MATCH(tItens[[#This Row],[Edital]],tEditais[Edital],0)),"Não")</f>
        <v>Não</v>
      </c>
      <c r="P1077" s="4">
        <f>IF(COUNTIFS(INDEX(tItens[Edital],1):tItens[[#This Row],[Edital]],tItens[[#This Row],[Edital]],INDEX(tItens[Produto],1):tItens[[#This Row],[Produto]],tItens[[#This Row],[Produto]])=1,1,0)</f>
        <v>0</v>
      </c>
    </row>
    <row r="1078" spans="1:16" x14ac:dyDescent="0.25">
      <c r="A1078" t="s">
        <v>1071</v>
      </c>
      <c r="B1078">
        <v>16</v>
      </c>
      <c r="C1078" t="s">
        <v>4191</v>
      </c>
      <c r="D1078" t="s">
        <v>245</v>
      </c>
      <c r="E1078" s="13">
        <v>200</v>
      </c>
      <c r="F1078" s="12">
        <v>0</v>
      </c>
      <c r="G1078" t="str">
        <f>IFERROR(INDEX(tEditais[Órgão],MATCH(tItens[[#This Row],[Edital]],tEditais[Edital],0)),"")</f>
        <v>EMPRESA BRASILEIRA DE SERVICOS HOSPITALARES - EBSERH</v>
      </c>
      <c r="H1078" t="str">
        <f>IFERROR(INDEX(tEditais[UF],MATCH(tItens[[#This Row],[Edital]],tEditais[Edital],0)),"")</f>
        <v>DF</v>
      </c>
      <c r="I1078" s="11">
        <f>IFERROR(INDEX(tEditais[Encerramento],MATCH(tItens[[#This Row],[Edital]],tEditais[Edital],0)),"")</f>
        <v>46314.416666666664</v>
      </c>
      <c r="J1078" t="str">
        <f>IFERROR(INDEX(tProdutos[Classe],MATCH(tItens[[#This Row],[Produto]],tProdutos[Produto],0)),"produto não cadastrado")</f>
        <v>FORA</v>
      </c>
      <c r="K1078" s="12">
        <f>tItens[[#This Row],[Qtd]]*tItens[[#This Row],[Vlr unit]]</f>
        <v>0</v>
      </c>
      <c r="L1078" s="6">
        <f>IFERROR(IF(INDEX(tProdutos[Desconto homologado],MATCH(tItens[[#This Row],[Produto]],tProdutos[Produto],0))="",DescontoPadrao,INDEX(tProdutos[Desconto homologado],MATCH(tItens[[#This Row],[Produto]],tProdutos[Produto],0))),DescontoPadrao)</f>
        <v>0.34516963542284401</v>
      </c>
      <c r="M1078" s="12">
        <f>tItens[[#This Row],[Valor]]*(1-tItens[[#This Row],[Desconto]])</f>
        <v>0</v>
      </c>
      <c r="N1078" t="str">
        <f>IFERROR(INDEX(tProdutos[Foco],MATCH(tItens[[#This Row],[Produto]],tProdutos[Produto],0)),"Não")</f>
        <v>Não</v>
      </c>
      <c r="O1078" t="str">
        <f>IFERROR(INDEX(tEditais[SRP],MATCH(tItens[[#This Row],[Edital]],tEditais[Edital],0)),"Não")</f>
        <v>Não</v>
      </c>
      <c r="P1078" s="4">
        <f>IF(COUNTIFS(INDEX(tItens[Edital],1):tItens[[#This Row],[Edital]],tItens[[#This Row],[Edital]],INDEX(tItens[Produto],1):tItens[[#This Row],[Produto]],tItens[[#This Row],[Produto]])=1,1,0)</f>
        <v>0</v>
      </c>
    </row>
    <row r="1079" spans="1:16" x14ac:dyDescent="0.25">
      <c r="A1079" t="s">
        <v>1071</v>
      </c>
      <c r="B1079">
        <v>17</v>
      </c>
      <c r="C1079" t="s">
        <v>4192</v>
      </c>
      <c r="D1079" t="s">
        <v>245</v>
      </c>
      <c r="E1079" s="13">
        <v>100</v>
      </c>
      <c r="F1079" s="12">
        <v>0</v>
      </c>
      <c r="G1079" t="str">
        <f>IFERROR(INDEX(tEditais[Órgão],MATCH(tItens[[#This Row],[Edital]],tEditais[Edital],0)),"")</f>
        <v>EMPRESA BRASILEIRA DE SERVICOS HOSPITALARES - EBSERH</v>
      </c>
      <c r="H1079" t="str">
        <f>IFERROR(INDEX(tEditais[UF],MATCH(tItens[[#This Row],[Edital]],tEditais[Edital],0)),"")</f>
        <v>DF</v>
      </c>
      <c r="I1079" s="11">
        <f>IFERROR(INDEX(tEditais[Encerramento],MATCH(tItens[[#This Row],[Edital]],tEditais[Edital],0)),"")</f>
        <v>46314.416666666664</v>
      </c>
      <c r="J1079" t="str">
        <f>IFERROR(INDEX(tProdutos[Classe],MATCH(tItens[[#This Row],[Produto]],tProdutos[Produto],0)),"produto não cadastrado")</f>
        <v>FORA</v>
      </c>
      <c r="K1079" s="12">
        <f>tItens[[#This Row],[Qtd]]*tItens[[#This Row],[Vlr unit]]</f>
        <v>0</v>
      </c>
      <c r="L1079" s="6">
        <f>IFERROR(IF(INDEX(tProdutos[Desconto homologado],MATCH(tItens[[#This Row],[Produto]],tProdutos[Produto],0))="",DescontoPadrao,INDEX(tProdutos[Desconto homologado],MATCH(tItens[[#This Row],[Produto]],tProdutos[Produto],0))),DescontoPadrao)</f>
        <v>0.34516963542284401</v>
      </c>
      <c r="M1079" s="12">
        <f>tItens[[#This Row],[Valor]]*(1-tItens[[#This Row],[Desconto]])</f>
        <v>0</v>
      </c>
      <c r="N1079" t="str">
        <f>IFERROR(INDEX(tProdutos[Foco],MATCH(tItens[[#This Row],[Produto]],tProdutos[Produto],0)),"Não")</f>
        <v>Não</v>
      </c>
      <c r="O1079" t="str">
        <f>IFERROR(INDEX(tEditais[SRP],MATCH(tItens[[#This Row],[Edital]],tEditais[Edital],0)),"Não")</f>
        <v>Não</v>
      </c>
      <c r="P1079" s="4">
        <f>IF(COUNTIFS(INDEX(tItens[Edital],1):tItens[[#This Row],[Edital]],tItens[[#This Row],[Edital]],INDEX(tItens[Produto],1):tItens[[#This Row],[Produto]],tItens[[#This Row],[Produto]])=1,1,0)</f>
        <v>0</v>
      </c>
    </row>
    <row r="1080" spans="1:16" x14ac:dyDescent="0.25">
      <c r="A1080" t="s">
        <v>1071</v>
      </c>
      <c r="B1080">
        <v>18</v>
      </c>
      <c r="C1080" t="s">
        <v>4193</v>
      </c>
      <c r="D1080" t="s">
        <v>245</v>
      </c>
      <c r="E1080" s="13">
        <v>350</v>
      </c>
      <c r="F1080" s="12">
        <v>0</v>
      </c>
      <c r="G1080" t="str">
        <f>IFERROR(INDEX(tEditais[Órgão],MATCH(tItens[[#This Row],[Edital]],tEditais[Edital],0)),"")</f>
        <v>EMPRESA BRASILEIRA DE SERVICOS HOSPITALARES - EBSERH</v>
      </c>
      <c r="H1080" t="str">
        <f>IFERROR(INDEX(tEditais[UF],MATCH(tItens[[#This Row],[Edital]],tEditais[Edital],0)),"")</f>
        <v>DF</v>
      </c>
      <c r="I1080" s="11">
        <f>IFERROR(INDEX(tEditais[Encerramento],MATCH(tItens[[#This Row],[Edital]],tEditais[Edital],0)),"")</f>
        <v>46314.416666666664</v>
      </c>
      <c r="J1080" t="str">
        <f>IFERROR(INDEX(tProdutos[Classe],MATCH(tItens[[#This Row],[Produto]],tProdutos[Produto],0)),"produto não cadastrado")</f>
        <v>FORA</v>
      </c>
      <c r="K1080" s="12">
        <f>tItens[[#This Row],[Qtd]]*tItens[[#This Row],[Vlr unit]]</f>
        <v>0</v>
      </c>
      <c r="L1080" s="6">
        <f>IFERROR(IF(INDEX(tProdutos[Desconto homologado],MATCH(tItens[[#This Row],[Produto]],tProdutos[Produto],0))="",DescontoPadrao,INDEX(tProdutos[Desconto homologado],MATCH(tItens[[#This Row],[Produto]],tProdutos[Produto],0))),DescontoPadrao)</f>
        <v>0.34516963542284401</v>
      </c>
      <c r="M1080" s="12">
        <f>tItens[[#This Row],[Valor]]*(1-tItens[[#This Row],[Desconto]])</f>
        <v>0</v>
      </c>
      <c r="N1080" t="str">
        <f>IFERROR(INDEX(tProdutos[Foco],MATCH(tItens[[#This Row],[Produto]],tProdutos[Produto],0)),"Não")</f>
        <v>Não</v>
      </c>
      <c r="O1080" t="str">
        <f>IFERROR(INDEX(tEditais[SRP],MATCH(tItens[[#This Row],[Edital]],tEditais[Edital],0)),"Não")</f>
        <v>Não</v>
      </c>
      <c r="P1080" s="4">
        <f>IF(COUNTIFS(INDEX(tItens[Edital],1):tItens[[#This Row],[Edital]],tItens[[#This Row],[Edital]],INDEX(tItens[Produto],1):tItens[[#This Row],[Produto]],tItens[[#This Row],[Produto]])=1,1,0)</f>
        <v>0</v>
      </c>
    </row>
    <row r="1081" spans="1:16" x14ac:dyDescent="0.25">
      <c r="A1081" t="s">
        <v>1071</v>
      </c>
      <c r="B1081">
        <v>19</v>
      </c>
      <c r="C1081" t="s">
        <v>4194</v>
      </c>
      <c r="D1081" t="s">
        <v>245</v>
      </c>
      <c r="E1081" s="13">
        <v>500</v>
      </c>
      <c r="F1081" s="12">
        <v>0</v>
      </c>
      <c r="G1081" t="str">
        <f>IFERROR(INDEX(tEditais[Órgão],MATCH(tItens[[#This Row],[Edital]],tEditais[Edital],0)),"")</f>
        <v>EMPRESA BRASILEIRA DE SERVICOS HOSPITALARES - EBSERH</v>
      </c>
      <c r="H1081" t="str">
        <f>IFERROR(INDEX(tEditais[UF],MATCH(tItens[[#This Row],[Edital]],tEditais[Edital],0)),"")</f>
        <v>DF</v>
      </c>
      <c r="I1081" s="11">
        <f>IFERROR(INDEX(tEditais[Encerramento],MATCH(tItens[[#This Row],[Edital]],tEditais[Edital],0)),"")</f>
        <v>46314.416666666664</v>
      </c>
      <c r="J1081" t="str">
        <f>IFERROR(INDEX(tProdutos[Classe],MATCH(tItens[[#This Row],[Produto]],tProdutos[Produto],0)),"produto não cadastrado")</f>
        <v>FORA</v>
      </c>
      <c r="K1081" s="12">
        <f>tItens[[#This Row],[Qtd]]*tItens[[#This Row],[Vlr unit]]</f>
        <v>0</v>
      </c>
      <c r="L1081" s="6">
        <f>IFERROR(IF(INDEX(tProdutos[Desconto homologado],MATCH(tItens[[#This Row],[Produto]],tProdutos[Produto],0))="",DescontoPadrao,INDEX(tProdutos[Desconto homologado],MATCH(tItens[[#This Row],[Produto]],tProdutos[Produto],0))),DescontoPadrao)</f>
        <v>0.34516963542284401</v>
      </c>
      <c r="M1081" s="12">
        <f>tItens[[#This Row],[Valor]]*(1-tItens[[#This Row],[Desconto]])</f>
        <v>0</v>
      </c>
      <c r="N1081" t="str">
        <f>IFERROR(INDEX(tProdutos[Foco],MATCH(tItens[[#This Row],[Produto]],tProdutos[Produto],0)),"Não")</f>
        <v>Não</v>
      </c>
      <c r="O1081" t="str">
        <f>IFERROR(INDEX(tEditais[SRP],MATCH(tItens[[#This Row],[Edital]],tEditais[Edital],0)),"Não")</f>
        <v>Não</v>
      </c>
      <c r="P1081" s="4">
        <f>IF(COUNTIFS(INDEX(tItens[Edital],1):tItens[[#This Row],[Edital]],tItens[[#This Row],[Edital]],INDEX(tItens[Produto],1):tItens[[#This Row],[Produto]],tItens[[#This Row],[Produto]])=1,1,0)</f>
        <v>0</v>
      </c>
    </row>
    <row r="1082" spans="1:16" x14ac:dyDescent="0.25">
      <c r="A1082" t="s">
        <v>1071</v>
      </c>
      <c r="B1082">
        <v>20</v>
      </c>
      <c r="C1082" t="s">
        <v>4195</v>
      </c>
      <c r="D1082" t="s">
        <v>245</v>
      </c>
      <c r="E1082" s="13">
        <v>200</v>
      </c>
      <c r="F1082" s="12">
        <v>0</v>
      </c>
      <c r="G1082" t="str">
        <f>IFERROR(INDEX(tEditais[Órgão],MATCH(tItens[[#This Row],[Edital]],tEditais[Edital],0)),"")</f>
        <v>EMPRESA BRASILEIRA DE SERVICOS HOSPITALARES - EBSERH</v>
      </c>
      <c r="H1082" t="str">
        <f>IFERROR(INDEX(tEditais[UF],MATCH(tItens[[#This Row],[Edital]],tEditais[Edital],0)),"")</f>
        <v>DF</v>
      </c>
      <c r="I1082" s="11">
        <f>IFERROR(INDEX(tEditais[Encerramento],MATCH(tItens[[#This Row],[Edital]],tEditais[Edital],0)),"")</f>
        <v>46314.416666666664</v>
      </c>
      <c r="J1082" t="str">
        <f>IFERROR(INDEX(tProdutos[Classe],MATCH(tItens[[#This Row],[Produto]],tProdutos[Produto],0)),"produto não cadastrado")</f>
        <v>FORA</v>
      </c>
      <c r="K1082" s="12">
        <f>tItens[[#This Row],[Qtd]]*tItens[[#This Row],[Vlr unit]]</f>
        <v>0</v>
      </c>
      <c r="L1082" s="6">
        <f>IFERROR(IF(INDEX(tProdutos[Desconto homologado],MATCH(tItens[[#This Row],[Produto]],tProdutos[Produto],0))="",DescontoPadrao,INDEX(tProdutos[Desconto homologado],MATCH(tItens[[#This Row],[Produto]],tProdutos[Produto],0))),DescontoPadrao)</f>
        <v>0.34516963542284401</v>
      </c>
      <c r="M1082" s="12">
        <f>tItens[[#This Row],[Valor]]*(1-tItens[[#This Row],[Desconto]])</f>
        <v>0</v>
      </c>
      <c r="N1082" t="str">
        <f>IFERROR(INDEX(tProdutos[Foco],MATCH(tItens[[#This Row],[Produto]],tProdutos[Produto],0)),"Não")</f>
        <v>Não</v>
      </c>
      <c r="O1082" t="str">
        <f>IFERROR(INDEX(tEditais[SRP],MATCH(tItens[[#This Row],[Edital]],tEditais[Edital],0)),"Não")</f>
        <v>Não</v>
      </c>
      <c r="P1082" s="4">
        <f>IF(COUNTIFS(INDEX(tItens[Edital],1):tItens[[#This Row],[Edital]],tItens[[#This Row],[Edital]],INDEX(tItens[Produto],1):tItens[[#This Row],[Produto]],tItens[[#This Row],[Produto]])=1,1,0)</f>
        <v>0</v>
      </c>
    </row>
    <row r="1083" spans="1:16" x14ac:dyDescent="0.25">
      <c r="A1083" t="s">
        <v>1071</v>
      </c>
      <c r="B1083">
        <v>28</v>
      </c>
      <c r="C1083" t="s">
        <v>4196</v>
      </c>
      <c r="D1083" t="s">
        <v>227</v>
      </c>
      <c r="E1083" s="13">
        <v>500</v>
      </c>
      <c r="F1083" s="12">
        <v>0</v>
      </c>
      <c r="G1083" t="str">
        <f>IFERROR(INDEX(tEditais[Órgão],MATCH(tItens[[#This Row],[Edital]],tEditais[Edital],0)),"")</f>
        <v>EMPRESA BRASILEIRA DE SERVICOS HOSPITALARES - EBSERH</v>
      </c>
      <c r="H1083" t="str">
        <f>IFERROR(INDEX(tEditais[UF],MATCH(tItens[[#This Row],[Edital]],tEditais[Edital],0)),"")</f>
        <v>DF</v>
      </c>
      <c r="I1083" s="11">
        <f>IFERROR(INDEX(tEditais[Encerramento],MATCH(tItens[[#This Row],[Edital]],tEditais[Edital],0)),"")</f>
        <v>46314.416666666664</v>
      </c>
      <c r="J1083" t="str">
        <f>IFERROR(INDEX(tProdutos[Classe],MATCH(tItens[[#This Row],[Produto]],tProdutos[Produto],0)),"produto não cadastrado")</f>
        <v>FORA</v>
      </c>
      <c r="K1083" s="12">
        <f>tItens[[#This Row],[Qtd]]*tItens[[#This Row],[Vlr unit]]</f>
        <v>0</v>
      </c>
      <c r="L1083" s="6">
        <f>IFERROR(IF(INDEX(tProdutos[Desconto homologado],MATCH(tItens[[#This Row],[Produto]],tProdutos[Produto],0))="",DescontoPadrao,INDEX(tProdutos[Desconto homologado],MATCH(tItens[[#This Row],[Produto]],tProdutos[Produto],0))),DescontoPadrao)</f>
        <v>0.38</v>
      </c>
      <c r="M1083" s="12">
        <f>tItens[[#This Row],[Valor]]*(1-tItens[[#This Row],[Desconto]])</f>
        <v>0</v>
      </c>
      <c r="N1083" t="str">
        <f>IFERROR(INDEX(tProdutos[Foco],MATCH(tItens[[#This Row],[Produto]],tProdutos[Produto],0)),"Não")</f>
        <v>Não</v>
      </c>
      <c r="O1083" t="str">
        <f>IFERROR(INDEX(tEditais[SRP],MATCH(tItens[[#This Row],[Edital]],tEditais[Edital],0)),"Não")</f>
        <v>Não</v>
      </c>
      <c r="P1083" s="4">
        <f>IF(COUNTIFS(INDEX(tItens[Edital],1):tItens[[#This Row],[Edital]],tItens[[#This Row],[Edital]],INDEX(tItens[Produto],1):tItens[[#This Row],[Produto]],tItens[[#This Row],[Produto]])=1,1,0)</f>
        <v>1</v>
      </c>
    </row>
    <row r="1084" spans="1:16" x14ac:dyDescent="0.25">
      <c r="A1084" t="s">
        <v>1071</v>
      </c>
      <c r="B1084">
        <v>29</v>
      </c>
      <c r="C1084" t="s">
        <v>4197</v>
      </c>
      <c r="D1084" t="s">
        <v>227</v>
      </c>
      <c r="E1084" s="13">
        <v>1000</v>
      </c>
      <c r="F1084" s="12">
        <v>0</v>
      </c>
      <c r="G1084" t="str">
        <f>IFERROR(INDEX(tEditais[Órgão],MATCH(tItens[[#This Row],[Edital]],tEditais[Edital],0)),"")</f>
        <v>EMPRESA BRASILEIRA DE SERVICOS HOSPITALARES - EBSERH</v>
      </c>
      <c r="H1084" t="str">
        <f>IFERROR(INDEX(tEditais[UF],MATCH(tItens[[#This Row],[Edital]],tEditais[Edital],0)),"")</f>
        <v>DF</v>
      </c>
      <c r="I1084" s="11">
        <f>IFERROR(INDEX(tEditais[Encerramento],MATCH(tItens[[#This Row],[Edital]],tEditais[Edital],0)),"")</f>
        <v>46314.416666666664</v>
      </c>
      <c r="J1084" t="str">
        <f>IFERROR(INDEX(tProdutos[Classe],MATCH(tItens[[#This Row],[Produto]],tProdutos[Produto],0)),"produto não cadastrado")</f>
        <v>FORA</v>
      </c>
      <c r="K1084" s="12">
        <f>tItens[[#This Row],[Qtd]]*tItens[[#This Row],[Vlr unit]]</f>
        <v>0</v>
      </c>
      <c r="L1084" s="6">
        <f>IFERROR(IF(INDEX(tProdutos[Desconto homologado],MATCH(tItens[[#This Row],[Produto]],tProdutos[Produto],0))="",DescontoPadrao,INDEX(tProdutos[Desconto homologado],MATCH(tItens[[#This Row],[Produto]],tProdutos[Produto],0))),DescontoPadrao)</f>
        <v>0.38</v>
      </c>
      <c r="M1084" s="12">
        <f>tItens[[#This Row],[Valor]]*(1-tItens[[#This Row],[Desconto]])</f>
        <v>0</v>
      </c>
      <c r="N1084" t="str">
        <f>IFERROR(INDEX(tProdutos[Foco],MATCH(tItens[[#This Row],[Produto]],tProdutos[Produto],0)),"Não")</f>
        <v>Não</v>
      </c>
      <c r="O1084" t="str">
        <f>IFERROR(INDEX(tEditais[SRP],MATCH(tItens[[#This Row],[Edital]],tEditais[Edital],0)),"Não")</f>
        <v>Não</v>
      </c>
      <c r="P1084" s="4">
        <f>IF(COUNTIFS(INDEX(tItens[Edital],1):tItens[[#This Row],[Edital]],tItens[[#This Row],[Edital]],INDEX(tItens[Produto],1):tItens[[#This Row],[Produto]],tItens[[#This Row],[Produto]])=1,1,0)</f>
        <v>0</v>
      </c>
    </row>
    <row r="1085" spans="1:16" x14ac:dyDescent="0.25">
      <c r="A1085" t="s">
        <v>1071</v>
      </c>
      <c r="B1085">
        <v>30</v>
      </c>
      <c r="C1085" t="s">
        <v>4198</v>
      </c>
      <c r="D1085" t="s">
        <v>227</v>
      </c>
      <c r="E1085" s="13">
        <v>1200</v>
      </c>
      <c r="F1085" s="12">
        <v>0</v>
      </c>
      <c r="G1085" t="str">
        <f>IFERROR(INDEX(tEditais[Órgão],MATCH(tItens[[#This Row],[Edital]],tEditais[Edital],0)),"")</f>
        <v>EMPRESA BRASILEIRA DE SERVICOS HOSPITALARES - EBSERH</v>
      </c>
      <c r="H1085" t="str">
        <f>IFERROR(INDEX(tEditais[UF],MATCH(tItens[[#This Row],[Edital]],tEditais[Edital],0)),"")</f>
        <v>DF</v>
      </c>
      <c r="I1085" s="11">
        <f>IFERROR(INDEX(tEditais[Encerramento],MATCH(tItens[[#This Row],[Edital]],tEditais[Edital],0)),"")</f>
        <v>46314.416666666664</v>
      </c>
      <c r="J1085" t="str">
        <f>IFERROR(INDEX(tProdutos[Classe],MATCH(tItens[[#This Row],[Produto]],tProdutos[Produto],0)),"produto não cadastrado")</f>
        <v>FORA</v>
      </c>
      <c r="K1085" s="12">
        <f>tItens[[#This Row],[Qtd]]*tItens[[#This Row],[Vlr unit]]</f>
        <v>0</v>
      </c>
      <c r="L1085" s="6">
        <f>IFERROR(IF(INDEX(tProdutos[Desconto homologado],MATCH(tItens[[#This Row],[Produto]],tProdutos[Produto],0))="",DescontoPadrao,INDEX(tProdutos[Desconto homologado],MATCH(tItens[[#This Row],[Produto]],tProdutos[Produto],0))),DescontoPadrao)</f>
        <v>0.38</v>
      </c>
      <c r="M1085" s="12">
        <f>tItens[[#This Row],[Valor]]*(1-tItens[[#This Row],[Desconto]])</f>
        <v>0</v>
      </c>
      <c r="N1085" t="str">
        <f>IFERROR(INDEX(tProdutos[Foco],MATCH(tItens[[#This Row],[Produto]],tProdutos[Produto],0)),"Não")</f>
        <v>Não</v>
      </c>
      <c r="O1085" t="str">
        <f>IFERROR(INDEX(tEditais[SRP],MATCH(tItens[[#This Row],[Edital]],tEditais[Edital],0)),"Não")</f>
        <v>Não</v>
      </c>
      <c r="P1085" s="4">
        <f>IF(COUNTIFS(INDEX(tItens[Edital],1):tItens[[#This Row],[Edital]],tItens[[#This Row],[Edital]],INDEX(tItens[Produto],1):tItens[[#This Row],[Produto]],tItens[[#This Row],[Produto]])=1,1,0)</f>
        <v>0</v>
      </c>
    </row>
    <row r="1086" spans="1:16" x14ac:dyDescent="0.25">
      <c r="A1086" t="s">
        <v>1071</v>
      </c>
      <c r="B1086">
        <v>31</v>
      </c>
      <c r="C1086" t="s">
        <v>4198</v>
      </c>
      <c r="D1086" t="s">
        <v>227</v>
      </c>
      <c r="E1086" s="13">
        <v>1500</v>
      </c>
      <c r="F1086" s="12">
        <v>0</v>
      </c>
      <c r="G1086" t="str">
        <f>IFERROR(INDEX(tEditais[Órgão],MATCH(tItens[[#This Row],[Edital]],tEditais[Edital],0)),"")</f>
        <v>EMPRESA BRASILEIRA DE SERVICOS HOSPITALARES - EBSERH</v>
      </c>
      <c r="H1086" t="str">
        <f>IFERROR(INDEX(tEditais[UF],MATCH(tItens[[#This Row],[Edital]],tEditais[Edital],0)),"")</f>
        <v>DF</v>
      </c>
      <c r="I1086" s="11">
        <f>IFERROR(INDEX(tEditais[Encerramento],MATCH(tItens[[#This Row],[Edital]],tEditais[Edital],0)),"")</f>
        <v>46314.416666666664</v>
      </c>
      <c r="J1086" t="str">
        <f>IFERROR(INDEX(tProdutos[Classe],MATCH(tItens[[#This Row],[Produto]],tProdutos[Produto],0)),"produto não cadastrado")</f>
        <v>FORA</v>
      </c>
      <c r="K1086" s="12">
        <f>tItens[[#This Row],[Qtd]]*tItens[[#This Row],[Vlr unit]]</f>
        <v>0</v>
      </c>
      <c r="L1086" s="6">
        <f>IFERROR(IF(INDEX(tProdutos[Desconto homologado],MATCH(tItens[[#This Row],[Produto]],tProdutos[Produto],0))="",DescontoPadrao,INDEX(tProdutos[Desconto homologado],MATCH(tItens[[#This Row],[Produto]],tProdutos[Produto],0))),DescontoPadrao)</f>
        <v>0.38</v>
      </c>
      <c r="M1086" s="12">
        <f>tItens[[#This Row],[Valor]]*(1-tItens[[#This Row],[Desconto]])</f>
        <v>0</v>
      </c>
      <c r="N1086" t="str">
        <f>IFERROR(INDEX(tProdutos[Foco],MATCH(tItens[[#This Row],[Produto]],tProdutos[Produto],0)),"Não")</f>
        <v>Não</v>
      </c>
      <c r="O1086" t="str">
        <f>IFERROR(INDEX(tEditais[SRP],MATCH(tItens[[#This Row],[Edital]],tEditais[Edital],0)),"Não")</f>
        <v>Não</v>
      </c>
      <c r="P1086" s="4">
        <f>IF(COUNTIFS(INDEX(tItens[Edital],1):tItens[[#This Row],[Edital]],tItens[[#This Row],[Edital]],INDEX(tItens[Produto],1):tItens[[#This Row],[Produto]],tItens[[#This Row],[Produto]])=1,1,0)</f>
        <v>0</v>
      </c>
    </row>
    <row r="1087" spans="1:16" x14ac:dyDescent="0.25">
      <c r="A1087" t="s">
        <v>1071</v>
      </c>
      <c r="B1087">
        <v>37</v>
      </c>
      <c r="C1087" t="s">
        <v>4199</v>
      </c>
      <c r="D1087" t="s">
        <v>245</v>
      </c>
      <c r="E1087" s="13">
        <v>100</v>
      </c>
      <c r="F1087" s="12">
        <v>0</v>
      </c>
      <c r="G1087" t="str">
        <f>IFERROR(INDEX(tEditais[Órgão],MATCH(tItens[[#This Row],[Edital]],tEditais[Edital],0)),"")</f>
        <v>EMPRESA BRASILEIRA DE SERVICOS HOSPITALARES - EBSERH</v>
      </c>
      <c r="H1087" t="str">
        <f>IFERROR(INDEX(tEditais[UF],MATCH(tItens[[#This Row],[Edital]],tEditais[Edital],0)),"")</f>
        <v>DF</v>
      </c>
      <c r="I1087" s="11">
        <f>IFERROR(INDEX(tEditais[Encerramento],MATCH(tItens[[#This Row],[Edital]],tEditais[Edital],0)),"")</f>
        <v>46314.416666666664</v>
      </c>
      <c r="J1087" t="str">
        <f>IFERROR(INDEX(tProdutos[Classe],MATCH(tItens[[#This Row],[Produto]],tProdutos[Produto],0)),"produto não cadastrado")</f>
        <v>FORA</v>
      </c>
      <c r="K1087" s="12">
        <f>tItens[[#This Row],[Qtd]]*tItens[[#This Row],[Vlr unit]]</f>
        <v>0</v>
      </c>
      <c r="L1087" s="6">
        <f>IFERROR(IF(INDEX(tProdutos[Desconto homologado],MATCH(tItens[[#This Row],[Produto]],tProdutos[Produto],0))="",DescontoPadrao,INDEX(tProdutos[Desconto homologado],MATCH(tItens[[#This Row],[Produto]],tProdutos[Produto],0))),DescontoPadrao)</f>
        <v>0.34516963542284401</v>
      </c>
      <c r="M1087" s="12">
        <f>tItens[[#This Row],[Valor]]*(1-tItens[[#This Row],[Desconto]])</f>
        <v>0</v>
      </c>
      <c r="N1087" t="str">
        <f>IFERROR(INDEX(tProdutos[Foco],MATCH(tItens[[#This Row],[Produto]],tProdutos[Produto],0)),"Não")</f>
        <v>Não</v>
      </c>
      <c r="O1087" t="str">
        <f>IFERROR(INDEX(tEditais[SRP],MATCH(tItens[[#This Row],[Edital]],tEditais[Edital],0)),"Não")</f>
        <v>Não</v>
      </c>
      <c r="P1087" s="4">
        <f>IF(COUNTIFS(INDEX(tItens[Edital],1):tItens[[#This Row],[Edital]],tItens[[#This Row],[Edital]],INDEX(tItens[Produto],1):tItens[[#This Row],[Produto]],tItens[[#This Row],[Produto]])=1,1,0)</f>
        <v>0</v>
      </c>
    </row>
    <row r="1088" spans="1:16" x14ac:dyDescent="0.25">
      <c r="A1088" t="s">
        <v>1071</v>
      </c>
      <c r="B1088">
        <v>38</v>
      </c>
      <c r="C1088" t="s">
        <v>4200</v>
      </c>
      <c r="D1088" t="s">
        <v>245</v>
      </c>
      <c r="E1088" s="13">
        <v>500</v>
      </c>
      <c r="F1088" s="12">
        <v>0</v>
      </c>
      <c r="G1088" t="str">
        <f>IFERROR(INDEX(tEditais[Órgão],MATCH(tItens[[#This Row],[Edital]],tEditais[Edital],0)),"")</f>
        <v>EMPRESA BRASILEIRA DE SERVICOS HOSPITALARES - EBSERH</v>
      </c>
      <c r="H1088" t="str">
        <f>IFERROR(INDEX(tEditais[UF],MATCH(tItens[[#This Row],[Edital]],tEditais[Edital],0)),"")</f>
        <v>DF</v>
      </c>
      <c r="I1088" s="11">
        <f>IFERROR(INDEX(tEditais[Encerramento],MATCH(tItens[[#This Row],[Edital]],tEditais[Edital],0)),"")</f>
        <v>46314.416666666664</v>
      </c>
      <c r="J1088" t="str">
        <f>IFERROR(INDEX(tProdutos[Classe],MATCH(tItens[[#This Row],[Produto]],tProdutos[Produto],0)),"produto não cadastrado")</f>
        <v>FORA</v>
      </c>
      <c r="K1088" s="12">
        <f>tItens[[#This Row],[Qtd]]*tItens[[#This Row],[Vlr unit]]</f>
        <v>0</v>
      </c>
      <c r="L1088" s="6">
        <f>IFERROR(IF(INDEX(tProdutos[Desconto homologado],MATCH(tItens[[#This Row],[Produto]],tProdutos[Produto],0))="",DescontoPadrao,INDEX(tProdutos[Desconto homologado],MATCH(tItens[[#This Row],[Produto]],tProdutos[Produto],0))),DescontoPadrao)</f>
        <v>0.34516963542284401</v>
      </c>
      <c r="M1088" s="12">
        <f>tItens[[#This Row],[Valor]]*(1-tItens[[#This Row],[Desconto]])</f>
        <v>0</v>
      </c>
      <c r="N1088" t="str">
        <f>IFERROR(INDEX(tProdutos[Foco],MATCH(tItens[[#This Row],[Produto]],tProdutos[Produto],0)),"Não")</f>
        <v>Não</v>
      </c>
      <c r="O1088" t="str">
        <f>IFERROR(INDEX(tEditais[SRP],MATCH(tItens[[#This Row],[Edital]],tEditais[Edital],0)),"Não")</f>
        <v>Não</v>
      </c>
      <c r="P1088" s="4">
        <f>IF(COUNTIFS(INDEX(tItens[Edital],1):tItens[[#This Row],[Edital]],tItens[[#This Row],[Edital]],INDEX(tItens[Produto],1):tItens[[#This Row],[Produto]],tItens[[#This Row],[Produto]])=1,1,0)</f>
        <v>0</v>
      </c>
    </row>
    <row r="1089" spans="1:16" x14ac:dyDescent="0.25">
      <c r="A1089" t="s">
        <v>1071</v>
      </c>
      <c r="B1089">
        <v>39</v>
      </c>
      <c r="C1089" t="s">
        <v>4201</v>
      </c>
      <c r="D1089" t="s">
        <v>245</v>
      </c>
      <c r="E1089" s="13">
        <v>300</v>
      </c>
      <c r="F1089" s="12">
        <v>0</v>
      </c>
      <c r="G1089" t="str">
        <f>IFERROR(INDEX(tEditais[Órgão],MATCH(tItens[[#This Row],[Edital]],tEditais[Edital],0)),"")</f>
        <v>EMPRESA BRASILEIRA DE SERVICOS HOSPITALARES - EBSERH</v>
      </c>
      <c r="H1089" t="str">
        <f>IFERROR(INDEX(tEditais[UF],MATCH(tItens[[#This Row],[Edital]],tEditais[Edital],0)),"")</f>
        <v>DF</v>
      </c>
      <c r="I1089" s="11">
        <f>IFERROR(INDEX(tEditais[Encerramento],MATCH(tItens[[#This Row],[Edital]],tEditais[Edital],0)),"")</f>
        <v>46314.416666666664</v>
      </c>
      <c r="J1089" t="str">
        <f>IFERROR(INDEX(tProdutos[Classe],MATCH(tItens[[#This Row],[Produto]],tProdutos[Produto],0)),"produto não cadastrado")</f>
        <v>FORA</v>
      </c>
      <c r="K1089" s="12">
        <f>tItens[[#This Row],[Qtd]]*tItens[[#This Row],[Vlr unit]]</f>
        <v>0</v>
      </c>
      <c r="L1089" s="6">
        <f>IFERROR(IF(INDEX(tProdutos[Desconto homologado],MATCH(tItens[[#This Row],[Produto]],tProdutos[Produto],0))="",DescontoPadrao,INDEX(tProdutos[Desconto homologado],MATCH(tItens[[#This Row],[Produto]],tProdutos[Produto],0))),DescontoPadrao)</f>
        <v>0.34516963542284401</v>
      </c>
      <c r="M1089" s="12">
        <f>tItens[[#This Row],[Valor]]*(1-tItens[[#This Row],[Desconto]])</f>
        <v>0</v>
      </c>
      <c r="N1089" t="str">
        <f>IFERROR(INDEX(tProdutos[Foco],MATCH(tItens[[#This Row],[Produto]],tProdutos[Produto],0)),"Não")</f>
        <v>Não</v>
      </c>
      <c r="O1089" t="str">
        <f>IFERROR(INDEX(tEditais[SRP],MATCH(tItens[[#This Row],[Edital]],tEditais[Edital],0)),"Não")</f>
        <v>Não</v>
      </c>
      <c r="P1089" s="4">
        <f>IF(COUNTIFS(INDEX(tItens[Edital],1):tItens[[#This Row],[Edital]],tItens[[#This Row],[Edital]],INDEX(tItens[Produto],1):tItens[[#This Row],[Produto]],tItens[[#This Row],[Produto]])=1,1,0)</f>
        <v>0</v>
      </c>
    </row>
    <row r="1090" spans="1:16" x14ac:dyDescent="0.25">
      <c r="A1090" t="s">
        <v>1071</v>
      </c>
      <c r="B1090">
        <v>40</v>
      </c>
      <c r="C1090" t="s">
        <v>3356</v>
      </c>
      <c r="D1090" t="s">
        <v>245</v>
      </c>
      <c r="E1090" s="13">
        <v>200</v>
      </c>
      <c r="F1090" s="12">
        <v>0</v>
      </c>
      <c r="G1090" t="str">
        <f>IFERROR(INDEX(tEditais[Órgão],MATCH(tItens[[#This Row],[Edital]],tEditais[Edital],0)),"")</f>
        <v>EMPRESA BRASILEIRA DE SERVICOS HOSPITALARES - EBSERH</v>
      </c>
      <c r="H1090" t="str">
        <f>IFERROR(INDEX(tEditais[UF],MATCH(tItens[[#This Row],[Edital]],tEditais[Edital],0)),"")</f>
        <v>DF</v>
      </c>
      <c r="I1090" s="11">
        <f>IFERROR(INDEX(tEditais[Encerramento],MATCH(tItens[[#This Row],[Edital]],tEditais[Edital],0)),"")</f>
        <v>46314.416666666664</v>
      </c>
      <c r="J1090" t="str">
        <f>IFERROR(INDEX(tProdutos[Classe],MATCH(tItens[[#This Row],[Produto]],tProdutos[Produto],0)),"produto não cadastrado")</f>
        <v>FORA</v>
      </c>
      <c r="K1090" s="12">
        <f>tItens[[#This Row],[Qtd]]*tItens[[#This Row],[Vlr unit]]</f>
        <v>0</v>
      </c>
      <c r="L1090" s="6">
        <f>IFERROR(IF(INDEX(tProdutos[Desconto homologado],MATCH(tItens[[#This Row],[Produto]],tProdutos[Produto],0))="",DescontoPadrao,INDEX(tProdutos[Desconto homologado],MATCH(tItens[[#This Row],[Produto]],tProdutos[Produto],0))),DescontoPadrao)</f>
        <v>0.34516963542284401</v>
      </c>
      <c r="M1090" s="12">
        <f>tItens[[#This Row],[Valor]]*(1-tItens[[#This Row],[Desconto]])</f>
        <v>0</v>
      </c>
      <c r="N1090" t="str">
        <f>IFERROR(INDEX(tProdutos[Foco],MATCH(tItens[[#This Row],[Produto]],tProdutos[Produto],0)),"Não")</f>
        <v>Não</v>
      </c>
      <c r="O1090" t="str">
        <f>IFERROR(INDEX(tEditais[SRP],MATCH(tItens[[#This Row],[Edital]],tEditais[Edital],0)),"Não")</f>
        <v>Não</v>
      </c>
      <c r="P1090" s="4">
        <f>IF(COUNTIFS(INDEX(tItens[Edital],1):tItens[[#This Row],[Edital]],tItens[[#This Row],[Edital]],INDEX(tItens[Produto],1):tItens[[#This Row],[Produto]],tItens[[#This Row],[Produto]])=1,1,0)</f>
        <v>0</v>
      </c>
    </row>
    <row r="1091" spans="1:16" x14ac:dyDescent="0.25">
      <c r="A1091" t="s">
        <v>1071</v>
      </c>
      <c r="B1091">
        <v>41</v>
      </c>
      <c r="C1091" t="s">
        <v>4202</v>
      </c>
      <c r="D1091" t="s">
        <v>245</v>
      </c>
      <c r="E1091" s="13">
        <v>500</v>
      </c>
      <c r="F1091" s="12">
        <v>0</v>
      </c>
      <c r="G1091" t="str">
        <f>IFERROR(INDEX(tEditais[Órgão],MATCH(tItens[[#This Row],[Edital]],tEditais[Edital],0)),"")</f>
        <v>EMPRESA BRASILEIRA DE SERVICOS HOSPITALARES - EBSERH</v>
      </c>
      <c r="H1091" t="str">
        <f>IFERROR(INDEX(tEditais[UF],MATCH(tItens[[#This Row],[Edital]],tEditais[Edital],0)),"")</f>
        <v>DF</v>
      </c>
      <c r="I1091" s="11">
        <f>IFERROR(INDEX(tEditais[Encerramento],MATCH(tItens[[#This Row],[Edital]],tEditais[Edital],0)),"")</f>
        <v>46314.416666666664</v>
      </c>
      <c r="J1091" t="str">
        <f>IFERROR(INDEX(tProdutos[Classe],MATCH(tItens[[#This Row],[Produto]],tProdutos[Produto],0)),"produto não cadastrado")</f>
        <v>FORA</v>
      </c>
      <c r="K1091" s="12">
        <f>tItens[[#This Row],[Qtd]]*tItens[[#This Row],[Vlr unit]]</f>
        <v>0</v>
      </c>
      <c r="L1091" s="6">
        <f>IFERROR(IF(INDEX(tProdutos[Desconto homologado],MATCH(tItens[[#This Row],[Produto]],tProdutos[Produto],0))="",DescontoPadrao,INDEX(tProdutos[Desconto homologado],MATCH(tItens[[#This Row],[Produto]],tProdutos[Produto],0))),DescontoPadrao)</f>
        <v>0.34516963542284401</v>
      </c>
      <c r="M1091" s="12">
        <f>tItens[[#This Row],[Valor]]*(1-tItens[[#This Row],[Desconto]])</f>
        <v>0</v>
      </c>
      <c r="N1091" t="str">
        <f>IFERROR(INDEX(tProdutos[Foco],MATCH(tItens[[#This Row],[Produto]],tProdutos[Produto],0)),"Não")</f>
        <v>Não</v>
      </c>
      <c r="O1091" t="str">
        <f>IFERROR(INDEX(tEditais[SRP],MATCH(tItens[[#This Row],[Edital]],tEditais[Edital],0)),"Não")</f>
        <v>Não</v>
      </c>
      <c r="P1091" s="4">
        <f>IF(COUNTIFS(INDEX(tItens[Edital],1):tItens[[#This Row],[Edital]],tItens[[#This Row],[Edital]],INDEX(tItens[Produto],1):tItens[[#This Row],[Produto]],tItens[[#This Row],[Produto]])=1,1,0)</f>
        <v>0</v>
      </c>
    </row>
    <row r="1092" spans="1:16" x14ac:dyDescent="0.25">
      <c r="A1092" t="s">
        <v>1071</v>
      </c>
      <c r="B1092">
        <v>42</v>
      </c>
      <c r="C1092" t="s">
        <v>4203</v>
      </c>
      <c r="D1092" t="s">
        <v>245</v>
      </c>
      <c r="E1092" s="13">
        <v>2000</v>
      </c>
      <c r="F1092" s="12">
        <v>0</v>
      </c>
      <c r="G1092" t="str">
        <f>IFERROR(INDEX(tEditais[Órgão],MATCH(tItens[[#This Row],[Edital]],tEditais[Edital],0)),"")</f>
        <v>EMPRESA BRASILEIRA DE SERVICOS HOSPITALARES - EBSERH</v>
      </c>
      <c r="H1092" t="str">
        <f>IFERROR(INDEX(tEditais[UF],MATCH(tItens[[#This Row],[Edital]],tEditais[Edital],0)),"")</f>
        <v>DF</v>
      </c>
      <c r="I1092" s="11">
        <f>IFERROR(INDEX(tEditais[Encerramento],MATCH(tItens[[#This Row],[Edital]],tEditais[Edital],0)),"")</f>
        <v>46314.416666666664</v>
      </c>
      <c r="J1092" t="str">
        <f>IFERROR(INDEX(tProdutos[Classe],MATCH(tItens[[#This Row],[Produto]],tProdutos[Produto],0)),"produto não cadastrado")</f>
        <v>FORA</v>
      </c>
      <c r="K1092" s="12">
        <f>tItens[[#This Row],[Qtd]]*tItens[[#This Row],[Vlr unit]]</f>
        <v>0</v>
      </c>
      <c r="L1092" s="6">
        <f>IFERROR(IF(INDEX(tProdutos[Desconto homologado],MATCH(tItens[[#This Row],[Produto]],tProdutos[Produto],0))="",DescontoPadrao,INDEX(tProdutos[Desconto homologado],MATCH(tItens[[#This Row],[Produto]],tProdutos[Produto],0))),DescontoPadrao)</f>
        <v>0.34516963542284401</v>
      </c>
      <c r="M1092" s="12">
        <f>tItens[[#This Row],[Valor]]*(1-tItens[[#This Row],[Desconto]])</f>
        <v>0</v>
      </c>
      <c r="N1092" t="str">
        <f>IFERROR(INDEX(tProdutos[Foco],MATCH(tItens[[#This Row],[Produto]],tProdutos[Produto],0)),"Não")</f>
        <v>Não</v>
      </c>
      <c r="O1092" t="str">
        <f>IFERROR(INDEX(tEditais[SRP],MATCH(tItens[[#This Row],[Edital]],tEditais[Edital],0)),"Não")</f>
        <v>Não</v>
      </c>
      <c r="P1092" s="4">
        <f>IF(COUNTIFS(INDEX(tItens[Edital],1):tItens[[#This Row],[Edital]],tItens[[#This Row],[Edital]],INDEX(tItens[Produto],1):tItens[[#This Row],[Produto]],tItens[[#This Row],[Produto]])=1,1,0)</f>
        <v>0</v>
      </c>
    </row>
    <row r="1093" spans="1:16" x14ac:dyDescent="0.25">
      <c r="A1093" t="s">
        <v>1071</v>
      </c>
      <c r="B1093">
        <v>43</v>
      </c>
      <c r="C1093" t="s">
        <v>4204</v>
      </c>
      <c r="D1093" t="s">
        <v>245</v>
      </c>
      <c r="E1093" s="13">
        <v>500</v>
      </c>
      <c r="F1093" s="12">
        <v>0</v>
      </c>
      <c r="G1093" t="str">
        <f>IFERROR(INDEX(tEditais[Órgão],MATCH(tItens[[#This Row],[Edital]],tEditais[Edital],0)),"")</f>
        <v>EMPRESA BRASILEIRA DE SERVICOS HOSPITALARES - EBSERH</v>
      </c>
      <c r="H1093" t="str">
        <f>IFERROR(INDEX(tEditais[UF],MATCH(tItens[[#This Row],[Edital]],tEditais[Edital],0)),"")</f>
        <v>DF</v>
      </c>
      <c r="I1093" s="11">
        <f>IFERROR(INDEX(tEditais[Encerramento],MATCH(tItens[[#This Row],[Edital]],tEditais[Edital],0)),"")</f>
        <v>46314.416666666664</v>
      </c>
      <c r="J1093" t="str">
        <f>IFERROR(INDEX(tProdutos[Classe],MATCH(tItens[[#This Row],[Produto]],tProdutos[Produto],0)),"produto não cadastrado")</f>
        <v>FORA</v>
      </c>
      <c r="K1093" s="12">
        <f>tItens[[#This Row],[Qtd]]*tItens[[#This Row],[Vlr unit]]</f>
        <v>0</v>
      </c>
      <c r="L1093" s="6">
        <f>IFERROR(IF(INDEX(tProdutos[Desconto homologado],MATCH(tItens[[#This Row],[Produto]],tProdutos[Produto],0))="",DescontoPadrao,INDEX(tProdutos[Desconto homologado],MATCH(tItens[[#This Row],[Produto]],tProdutos[Produto],0))),DescontoPadrao)</f>
        <v>0.34516963542284401</v>
      </c>
      <c r="M1093" s="12">
        <f>tItens[[#This Row],[Valor]]*(1-tItens[[#This Row],[Desconto]])</f>
        <v>0</v>
      </c>
      <c r="N1093" t="str">
        <f>IFERROR(INDEX(tProdutos[Foco],MATCH(tItens[[#This Row],[Produto]],tProdutos[Produto],0)),"Não")</f>
        <v>Não</v>
      </c>
      <c r="O1093" t="str">
        <f>IFERROR(INDEX(tEditais[SRP],MATCH(tItens[[#This Row],[Edital]],tEditais[Edital],0)),"Não")</f>
        <v>Não</v>
      </c>
      <c r="P1093" s="4">
        <f>IF(COUNTIFS(INDEX(tItens[Edital],1):tItens[[#This Row],[Edital]],tItens[[#This Row],[Edital]],INDEX(tItens[Produto],1):tItens[[#This Row],[Produto]],tItens[[#This Row],[Produto]])=1,1,0)</f>
        <v>0</v>
      </c>
    </row>
    <row r="1094" spans="1:16" x14ac:dyDescent="0.25">
      <c r="A1094" t="s">
        <v>1071</v>
      </c>
      <c r="B1094">
        <v>51</v>
      </c>
      <c r="C1094" t="s">
        <v>4205</v>
      </c>
      <c r="D1094" t="s">
        <v>333</v>
      </c>
      <c r="E1094" s="13">
        <v>120000</v>
      </c>
      <c r="F1094" s="12">
        <v>0</v>
      </c>
      <c r="G1094" t="str">
        <f>IFERROR(INDEX(tEditais[Órgão],MATCH(tItens[[#This Row],[Edital]],tEditais[Edital],0)),"")</f>
        <v>EMPRESA BRASILEIRA DE SERVICOS HOSPITALARES - EBSERH</v>
      </c>
      <c r="H1094" t="str">
        <f>IFERROR(INDEX(tEditais[UF],MATCH(tItens[[#This Row],[Edital]],tEditais[Edital],0)),"")</f>
        <v>DF</v>
      </c>
      <c r="I1094" s="11">
        <f>IFERROR(INDEX(tEditais[Encerramento],MATCH(tItens[[#This Row],[Edital]],tEditais[Edital],0)),"")</f>
        <v>46314.416666666664</v>
      </c>
      <c r="J1094" t="str">
        <f>IFERROR(INDEX(tProdutos[Classe],MATCH(tItens[[#This Row],[Produto]],tProdutos[Produto],0)),"produto não cadastrado")</f>
        <v>FORA</v>
      </c>
      <c r="K1094" s="12">
        <f>tItens[[#This Row],[Qtd]]*tItens[[#This Row],[Vlr unit]]</f>
        <v>0</v>
      </c>
      <c r="L1094" s="6">
        <f>IFERROR(IF(INDEX(tProdutos[Desconto homologado],MATCH(tItens[[#This Row],[Produto]],tProdutos[Produto],0))="",DescontoPadrao,INDEX(tProdutos[Desconto homologado],MATCH(tItens[[#This Row],[Produto]],tProdutos[Produto],0))),DescontoPadrao)</f>
        <v>0.48951048951048998</v>
      </c>
      <c r="M1094" s="12">
        <f>tItens[[#This Row],[Valor]]*(1-tItens[[#This Row],[Desconto]])</f>
        <v>0</v>
      </c>
      <c r="N1094" t="str">
        <f>IFERROR(INDEX(tProdutos[Foco],MATCH(tItens[[#This Row],[Produto]],tProdutos[Produto],0)),"Não")</f>
        <v>Não</v>
      </c>
      <c r="O1094" t="str">
        <f>IFERROR(INDEX(tEditais[SRP],MATCH(tItens[[#This Row],[Edital]],tEditais[Edital],0)),"Não")</f>
        <v>Não</v>
      </c>
      <c r="P1094" s="4">
        <f>IF(COUNTIFS(INDEX(tItens[Edital],1):tItens[[#This Row],[Edital]],tItens[[#This Row],[Edital]],INDEX(tItens[Produto],1):tItens[[#This Row],[Produto]],tItens[[#This Row],[Produto]])=1,1,0)</f>
        <v>1</v>
      </c>
    </row>
    <row r="1095" spans="1:16" x14ac:dyDescent="0.25">
      <c r="A1095" t="s">
        <v>1071</v>
      </c>
      <c r="B1095">
        <v>52</v>
      </c>
      <c r="C1095" t="s">
        <v>4206</v>
      </c>
      <c r="D1095" t="s">
        <v>333</v>
      </c>
      <c r="E1095" s="13">
        <v>18000</v>
      </c>
      <c r="F1095" s="12">
        <v>0</v>
      </c>
      <c r="G1095" t="str">
        <f>IFERROR(INDEX(tEditais[Órgão],MATCH(tItens[[#This Row],[Edital]],tEditais[Edital],0)),"")</f>
        <v>EMPRESA BRASILEIRA DE SERVICOS HOSPITALARES - EBSERH</v>
      </c>
      <c r="H1095" t="str">
        <f>IFERROR(INDEX(tEditais[UF],MATCH(tItens[[#This Row],[Edital]],tEditais[Edital],0)),"")</f>
        <v>DF</v>
      </c>
      <c r="I1095" s="11">
        <f>IFERROR(INDEX(tEditais[Encerramento],MATCH(tItens[[#This Row],[Edital]],tEditais[Edital],0)),"")</f>
        <v>46314.416666666664</v>
      </c>
      <c r="J1095" t="str">
        <f>IFERROR(INDEX(tProdutos[Classe],MATCH(tItens[[#This Row],[Produto]],tProdutos[Produto],0)),"produto não cadastrado")</f>
        <v>FORA</v>
      </c>
      <c r="K1095" s="12">
        <f>tItens[[#This Row],[Qtd]]*tItens[[#This Row],[Vlr unit]]</f>
        <v>0</v>
      </c>
      <c r="L1095" s="6">
        <f>IFERROR(IF(INDEX(tProdutos[Desconto homologado],MATCH(tItens[[#This Row],[Produto]],tProdutos[Produto],0))="",DescontoPadrao,INDEX(tProdutos[Desconto homologado],MATCH(tItens[[#This Row],[Produto]],tProdutos[Produto],0))),DescontoPadrao)</f>
        <v>0.48951048951048998</v>
      </c>
      <c r="M1095" s="12">
        <f>tItens[[#This Row],[Valor]]*(1-tItens[[#This Row],[Desconto]])</f>
        <v>0</v>
      </c>
      <c r="N1095" t="str">
        <f>IFERROR(INDEX(tProdutos[Foco],MATCH(tItens[[#This Row],[Produto]],tProdutos[Produto],0)),"Não")</f>
        <v>Não</v>
      </c>
      <c r="O1095" t="str">
        <f>IFERROR(INDEX(tEditais[SRP],MATCH(tItens[[#This Row],[Edital]],tEditais[Edital],0)),"Não")</f>
        <v>Não</v>
      </c>
      <c r="P1095" s="4">
        <f>IF(COUNTIFS(INDEX(tItens[Edital],1):tItens[[#This Row],[Edital]],tItens[[#This Row],[Edital]],INDEX(tItens[Produto],1):tItens[[#This Row],[Produto]],tItens[[#This Row],[Produto]])=1,1,0)</f>
        <v>0</v>
      </c>
    </row>
    <row r="1096" spans="1:16" x14ac:dyDescent="0.25">
      <c r="A1096" t="s">
        <v>1071</v>
      </c>
      <c r="B1096">
        <v>57</v>
      </c>
      <c r="C1096" t="s">
        <v>4146</v>
      </c>
      <c r="D1096" t="s">
        <v>180</v>
      </c>
      <c r="E1096" s="13">
        <v>120000</v>
      </c>
      <c r="F1096" s="12">
        <v>0</v>
      </c>
      <c r="G1096" t="str">
        <f>IFERROR(INDEX(tEditais[Órgão],MATCH(tItens[[#This Row],[Edital]],tEditais[Edital],0)),"")</f>
        <v>EMPRESA BRASILEIRA DE SERVICOS HOSPITALARES - EBSERH</v>
      </c>
      <c r="H1096" t="str">
        <f>IFERROR(INDEX(tEditais[UF],MATCH(tItens[[#This Row],[Edital]],tEditais[Edital],0)),"")</f>
        <v>DF</v>
      </c>
      <c r="I1096" s="11">
        <f>IFERROR(INDEX(tEditais[Encerramento],MATCH(tItens[[#This Row],[Edital]],tEditais[Edital],0)),"")</f>
        <v>46314.416666666664</v>
      </c>
      <c r="J1096" t="str">
        <f>IFERROR(INDEX(tProdutos[Classe],MATCH(tItens[[#This Row],[Produto]],tProdutos[Produto],0)),"produto não cadastrado")</f>
        <v>DISPUTADO</v>
      </c>
      <c r="K1096" s="12">
        <f>tItens[[#This Row],[Qtd]]*tItens[[#This Row],[Vlr unit]]</f>
        <v>0</v>
      </c>
      <c r="L1096" s="6">
        <f>IFERROR(IF(INDEX(tProdutos[Desconto homologado],MATCH(tItens[[#This Row],[Produto]],tProdutos[Produto],0))="",DescontoPadrao,INDEX(tProdutos[Desconto homologado],MATCH(tItens[[#This Row],[Produto]],tProdutos[Produto],0))),DescontoPadrao)</f>
        <v>0.33333333333333298</v>
      </c>
      <c r="M1096" s="12">
        <f>tItens[[#This Row],[Valor]]*(1-tItens[[#This Row],[Desconto]])</f>
        <v>0</v>
      </c>
      <c r="N1096" t="str">
        <f>IFERROR(INDEX(tProdutos[Foco],MATCH(tItens[[#This Row],[Produto]],tProdutos[Produto],0)),"Não")</f>
        <v>Não</v>
      </c>
      <c r="O1096" t="str">
        <f>IFERROR(INDEX(tEditais[SRP],MATCH(tItens[[#This Row],[Edital]],tEditais[Edital],0)),"Não")</f>
        <v>Não</v>
      </c>
      <c r="P1096" s="4">
        <f>IF(COUNTIFS(INDEX(tItens[Edital],1):tItens[[#This Row],[Edital]],tItens[[#This Row],[Edital]],INDEX(tItens[Produto],1):tItens[[#This Row],[Produto]],tItens[[#This Row],[Produto]])=1,1,0)</f>
        <v>1</v>
      </c>
    </row>
    <row r="1097" spans="1:16" x14ac:dyDescent="0.25">
      <c r="A1097" t="s">
        <v>1071</v>
      </c>
      <c r="B1097">
        <v>64</v>
      </c>
      <c r="C1097" t="s">
        <v>4207</v>
      </c>
      <c r="D1097" t="s">
        <v>56</v>
      </c>
      <c r="E1097" s="13">
        <v>4500</v>
      </c>
      <c r="F1097" s="12">
        <v>0</v>
      </c>
      <c r="G1097" t="str">
        <f>IFERROR(INDEX(tEditais[Órgão],MATCH(tItens[[#This Row],[Edital]],tEditais[Edital],0)),"")</f>
        <v>EMPRESA BRASILEIRA DE SERVICOS HOSPITALARES - EBSERH</v>
      </c>
      <c r="H1097" t="str">
        <f>IFERROR(INDEX(tEditais[UF],MATCH(tItens[[#This Row],[Edital]],tEditais[Edital],0)),"")</f>
        <v>DF</v>
      </c>
      <c r="I1097" s="11">
        <f>IFERROR(INDEX(tEditais[Encerramento],MATCH(tItens[[#This Row],[Edital]],tEditais[Edital],0)),"")</f>
        <v>46314.416666666664</v>
      </c>
      <c r="J1097" t="str">
        <f>IFERROR(INDEX(tProdutos[Classe],MATCH(tItens[[#This Row],[Produto]],tProdutos[Produto],0)),"produto não cadastrado")</f>
        <v>NÚCLEO</v>
      </c>
      <c r="K1097" s="12">
        <f>tItens[[#This Row],[Qtd]]*tItens[[#This Row],[Vlr unit]]</f>
        <v>0</v>
      </c>
      <c r="L1097" s="6">
        <f>IFERROR(IF(INDEX(tProdutos[Desconto homologado],MATCH(tItens[[#This Row],[Produto]],tProdutos[Produto],0))="",DescontoPadrao,INDEX(tProdutos[Desconto homologado],MATCH(tItens[[#This Row],[Produto]],tProdutos[Produto],0))),DescontoPadrao)</f>
        <v>0.34</v>
      </c>
      <c r="M1097" s="12">
        <f>tItens[[#This Row],[Valor]]*(1-tItens[[#This Row],[Desconto]])</f>
        <v>0</v>
      </c>
      <c r="N1097" t="str">
        <f>IFERROR(INDEX(tProdutos[Foco],MATCH(tItens[[#This Row],[Produto]],tProdutos[Produto],0)),"Não")</f>
        <v>Sim</v>
      </c>
      <c r="O1097" t="str">
        <f>IFERROR(INDEX(tEditais[SRP],MATCH(tItens[[#This Row],[Edital]],tEditais[Edital],0)),"Não")</f>
        <v>Não</v>
      </c>
      <c r="P1097" s="4">
        <f>IF(COUNTIFS(INDEX(tItens[Edital],1):tItens[[#This Row],[Edital]],tItens[[#This Row],[Edital]],INDEX(tItens[Produto],1):tItens[[#This Row],[Produto]],tItens[[#This Row],[Produto]])=1,1,0)</f>
        <v>1</v>
      </c>
    </row>
    <row r="1098" spans="1:16" x14ac:dyDescent="0.25">
      <c r="A1098" t="s">
        <v>1071</v>
      </c>
      <c r="B1098">
        <v>65</v>
      </c>
      <c r="C1098" t="s">
        <v>4208</v>
      </c>
      <c r="D1098" t="s">
        <v>56</v>
      </c>
      <c r="E1098" s="13">
        <v>5000</v>
      </c>
      <c r="F1098" s="12">
        <v>0</v>
      </c>
      <c r="G1098" t="str">
        <f>IFERROR(INDEX(tEditais[Órgão],MATCH(tItens[[#This Row],[Edital]],tEditais[Edital],0)),"")</f>
        <v>EMPRESA BRASILEIRA DE SERVICOS HOSPITALARES - EBSERH</v>
      </c>
      <c r="H1098" t="str">
        <f>IFERROR(INDEX(tEditais[UF],MATCH(tItens[[#This Row],[Edital]],tEditais[Edital],0)),"")</f>
        <v>DF</v>
      </c>
      <c r="I1098" s="11">
        <f>IFERROR(INDEX(tEditais[Encerramento],MATCH(tItens[[#This Row],[Edital]],tEditais[Edital],0)),"")</f>
        <v>46314.416666666664</v>
      </c>
      <c r="J1098" t="str">
        <f>IFERROR(INDEX(tProdutos[Classe],MATCH(tItens[[#This Row],[Produto]],tProdutos[Produto],0)),"produto não cadastrado")</f>
        <v>NÚCLEO</v>
      </c>
      <c r="K1098" s="12">
        <f>tItens[[#This Row],[Qtd]]*tItens[[#This Row],[Vlr unit]]</f>
        <v>0</v>
      </c>
      <c r="L1098" s="6">
        <f>IFERROR(IF(INDEX(tProdutos[Desconto homologado],MATCH(tItens[[#This Row],[Produto]],tProdutos[Produto],0))="",DescontoPadrao,INDEX(tProdutos[Desconto homologado],MATCH(tItens[[#This Row],[Produto]],tProdutos[Produto],0))),DescontoPadrao)</f>
        <v>0.34</v>
      </c>
      <c r="M1098" s="12">
        <f>tItens[[#This Row],[Valor]]*(1-tItens[[#This Row],[Desconto]])</f>
        <v>0</v>
      </c>
      <c r="N1098" t="str">
        <f>IFERROR(INDEX(tProdutos[Foco],MATCH(tItens[[#This Row],[Produto]],tProdutos[Produto],0)),"Não")</f>
        <v>Sim</v>
      </c>
      <c r="O1098" t="str">
        <f>IFERROR(INDEX(tEditais[SRP],MATCH(tItens[[#This Row],[Edital]],tEditais[Edital],0)),"Não")</f>
        <v>Não</v>
      </c>
      <c r="P1098" s="4">
        <f>IF(COUNTIFS(INDEX(tItens[Edital],1):tItens[[#This Row],[Edital]],tItens[[#This Row],[Edital]],INDEX(tItens[Produto],1):tItens[[#This Row],[Produto]],tItens[[#This Row],[Produto]])=1,1,0)</f>
        <v>0</v>
      </c>
    </row>
    <row r="1099" spans="1:16" x14ac:dyDescent="0.25">
      <c r="A1099" t="s">
        <v>1071</v>
      </c>
      <c r="B1099">
        <v>66</v>
      </c>
      <c r="C1099" t="s">
        <v>4209</v>
      </c>
      <c r="D1099" t="s">
        <v>56</v>
      </c>
      <c r="E1099" s="13">
        <v>10000</v>
      </c>
      <c r="F1099" s="12">
        <v>0</v>
      </c>
      <c r="G1099" t="str">
        <f>IFERROR(INDEX(tEditais[Órgão],MATCH(tItens[[#This Row],[Edital]],tEditais[Edital],0)),"")</f>
        <v>EMPRESA BRASILEIRA DE SERVICOS HOSPITALARES - EBSERH</v>
      </c>
      <c r="H1099" t="str">
        <f>IFERROR(INDEX(tEditais[UF],MATCH(tItens[[#This Row],[Edital]],tEditais[Edital],0)),"")</f>
        <v>DF</v>
      </c>
      <c r="I1099" s="11">
        <f>IFERROR(INDEX(tEditais[Encerramento],MATCH(tItens[[#This Row],[Edital]],tEditais[Edital],0)),"")</f>
        <v>46314.416666666664</v>
      </c>
      <c r="J1099" t="str">
        <f>IFERROR(INDEX(tProdutos[Classe],MATCH(tItens[[#This Row],[Produto]],tProdutos[Produto],0)),"produto não cadastrado")</f>
        <v>NÚCLEO</v>
      </c>
      <c r="K1099" s="12">
        <f>tItens[[#This Row],[Qtd]]*tItens[[#This Row],[Vlr unit]]</f>
        <v>0</v>
      </c>
      <c r="L1099" s="6">
        <f>IFERROR(IF(INDEX(tProdutos[Desconto homologado],MATCH(tItens[[#This Row],[Produto]],tProdutos[Produto],0))="",DescontoPadrao,INDEX(tProdutos[Desconto homologado],MATCH(tItens[[#This Row],[Produto]],tProdutos[Produto],0))),DescontoPadrao)</f>
        <v>0.34</v>
      </c>
      <c r="M1099" s="12">
        <f>tItens[[#This Row],[Valor]]*(1-tItens[[#This Row],[Desconto]])</f>
        <v>0</v>
      </c>
      <c r="N1099" t="str">
        <f>IFERROR(INDEX(tProdutos[Foco],MATCH(tItens[[#This Row],[Produto]],tProdutos[Produto],0)),"Não")</f>
        <v>Sim</v>
      </c>
      <c r="O1099" t="str">
        <f>IFERROR(INDEX(tEditais[SRP],MATCH(tItens[[#This Row],[Edital]],tEditais[Edital],0)),"Não")</f>
        <v>Não</v>
      </c>
      <c r="P1099" s="4">
        <f>IF(COUNTIFS(INDEX(tItens[Edital],1):tItens[[#This Row],[Edital]],tItens[[#This Row],[Edital]],INDEX(tItens[Produto],1):tItens[[#This Row],[Produto]],tItens[[#This Row],[Produto]])=1,1,0)</f>
        <v>0</v>
      </c>
    </row>
    <row r="1100" spans="1:16" x14ac:dyDescent="0.25">
      <c r="A1100" t="s">
        <v>1071</v>
      </c>
      <c r="B1100">
        <v>67</v>
      </c>
      <c r="C1100" t="s">
        <v>3484</v>
      </c>
      <c r="D1100" t="s">
        <v>56</v>
      </c>
      <c r="E1100" s="13">
        <v>260000</v>
      </c>
      <c r="F1100" s="12">
        <v>0</v>
      </c>
      <c r="G1100" t="str">
        <f>IFERROR(INDEX(tEditais[Órgão],MATCH(tItens[[#This Row],[Edital]],tEditais[Edital],0)),"")</f>
        <v>EMPRESA BRASILEIRA DE SERVICOS HOSPITALARES - EBSERH</v>
      </c>
      <c r="H1100" t="str">
        <f>IFERROR(INDEX(tEditais[UF],MATCH(tItens[[#This Row],[Edital]],tEditais[Edital],0)),"")</f>
        <v>DF</v>
      </c>
      <c r="I1100" s="11">
        <f>IFERROR(INDEX(tEditais[Encerramento],MATCH(tItens[[#This Row],[Edital]],tEditais[Edital],0)),"")</f>
        <v>46314.416666666664</v>
      </c>
      <c r="J1100" t="str">
        <f>IFERROR(INDEX(tProdutos[Classe],MATCH(tItens[[#This Row],[Produto]],tProdutos[Produto],0)),"produto não cadastrado")</f>
        <v>NÚCLEO</v>
      </c>
      <c r="K1100" s="12">
        <f>tItens[[#This Row],[Qtd]]*tItens[[#This Row],[Vlr unit]]</f>
        <v>0</v>
      </c>
      <c r="L1100" s="6">
        <f>IFERROR(IF(INDEX(tProdutos[Desconto homologado],MATCH(tItens[[#This Row],[Produto]],tProdutos[Produto],0))="",DescontoPadrao,INDEX(tProdutos[Desconto homologado],MATCH(tItens[[#This Row],[Produto]],tProdutos[Produto],0))),DescontoPadrao)</f>
        <v>0.34</v>
      </c>
      <c r="M1100" s="12">
        <f>tItens[[#This Row],[Valor]]*(1-tItens[[#This Row],[Desconto]])</f>
        <v>0</v>
      </c>
      <c r="N1100" t="str">
        <f>IFERROR(INDEX(tProdutos[Foco],MATCH(tItens[[#This Row],[Produto]],tProdutos[Produto],0)),"Não")</f>
        <v>Sim</v>
      </c>
      <c r="O1100" t="str">
        <f>IFERROR(INDEX(tEditais[SRP],MATCH(tItens[[#This Row],[Edital]],tEditais[Edital],0)),"Não")</f>
        <v>Não</v>
      </c>
      <c r="P1100" s="4">
        <f>IF(COUNTIFS(INDEX(tItens[Edital],1):tItens[[#This Row],[Edital]],tItens[[#This Row],[Edital]],INDEX(tItens[Produto],1):tItens[[#This Row],[Produto]],tItens[[#This Row],[Produto]])=1,1,0)</f>
        <v>0</v>
      </c>
    </row>
    <row r="1101" spans="1:16" x14ac:dyDescent="0.25">
      <c r="A1101" t="s">
        <v>1071</v>
      </c>
      <c r="B1101">
        <v>68</v>
      </c>
      <c r="C1101" t="s">
        <v>4210</v>
      </c>
      <c r="D1101" t="s">
        <v>56</v>
      </c>
      <c r="E1101" s="13">
        <v>1000</v>
      </c>
      <c r="F1101" s="12">
        <v>0</v>
      </c>
      <c r="G1101" t="str">
        <f>IFERROR(INDEX(tEditais[Órgão],MATCH(tItens[[#This Row],[Edital]],tEditais[Edital],0)),"")</f>
        <v>EMPRESA BRASILEIRA DE SERVICOS HOSPITALARES - EBSERH</v>
      </c>
      <c r="H1101" t="str">
        <f>IFERROR(INDEX(tEditais[UF],MATCH(tItens[[#This Row],[Edital]],tEditais[Edital],0)),"")</f>
        <v>DF</v>
      </c>
      <c r="I1101" s="11">
        <f>IFERROR(INDEX(tEditais[Encerramento],MATCH(tItens[[#This Row],[Edital]],tEditais[Edital],0)),"")</f>
        <v>46314.416666666664</v>
      </c>
      <c r="J1101" t="str">
        <f>IFERROR(INDEX(tProdutos[Classe],MATCH(tItens[[#This Row],[Produto]],tProdutos[Produto],0)),"produto não cadastrado")</f>
        <v>NÚCLEO</v>
      </c>
      <c r="K1101" s="12">
        <f>tItens[[#This Row],[Qtd]]*tItens[[#This Row],[Vlr unit]]</f>
        <v>0</v>
      </c>
      <c r="L1101" s="6">
        <f>IFERROR(IF(INDEX(tProdutos[Desconto homologado],MATCH(tItens[[#This Row],[Produto]],tProdutos[Produto],0))="",DescontoPadrao,INDEX(tProdutos[Desconto homologado],MATCH(tItens[[#This Row],[Produto]],tProdutos[Produto],0))),DescontoPadrao)</f>
        <v>0.34</v>
      </c>
      <c r="M1101" s="12">
        <f>tItens[[#This Row],[Valor]]*(1-tItens[[#This Row],[Desconto]])</f>
        <v>0</v>
      </c>
      <c r="N1101" t="str">
        <f>IFERROR(INDEX(tProdutos[Foco],MATCH(tItens[[#This Row],[Produto]],tProdutos[Produto],0)),"Não")</f>
        <v>Sim</v>
      </c>
      <c r="O1101" t="str">
        <f>IFERROR(INDEX(tEditais[SRP],MATCH(tItens[[#This Row],[Edital]],tEditais[Edital],0)),"Não")</f>
        <v>Não</v>
      </c>
      <c r="P1101" s="4">
        <f>IF(COUNTIFS(INDEX(tItens[Edital],1):tItens[[#This Row],[Edital]],tItens[[#This Row],[Edital]],INDEX(tItens[Produto],1):tItens[[#This Row],[Produto]],tItens[[#This Row],[Produto]])=1,1,0)</f>
        <v>0</v>
      </c>
    </row>
    <row r="1102" spans="1:16" x14ac:dyDescent="0.25">
      <c r="A1102" t="s">
        <v>1071</v>
      </c>
      <c r="B1102">
        <v>69</v>
      </c>
      <c r="C1102" t="s">
        <v>3485</v>
      </c>
      <c r="D1102" t="s">
        <v>56</v>
      </c>
      <c r="E1102" s="13">
        <v>10000</v>
      </c>
      <c r="F1102" s="12">
        <v>0</v>
      </c>
      <c r="G1102" t="str">
        <f>IFERROR(INDEX(tEditais[Órgão],MATCH(tItens[[#This Row],[Edital]],tEditais[Edital],0)),"")</f>
        <v>EMPRESA BRASILEIRA DE SERVICOS HOSPITALARES - EBSERH</v>
      </c>
      <c r="H1102" t="str">
        <f>IFERROR(INDEX(tEditais[UF],MATCH(tItens[[#This Row],[Edital]],tEditais[Edital],0)),"")</f>
        <v>DF</v>
      </c>
      <c r="I1102" s="11">
        <f>IFERROR(INDEX(tEditais[Encerramento],MATCH(tItens[[#This Row],[Edital]],tEditais[Edital],0)),"")</f>
        <v>46314.416666666664</v>
      </c>
      <c r="J1102" t="str">
        <f>IFERROR(INDEX(tProdutos[Classe],MATCH(tItens[[#This Row],[Produto]],tProdutos[Produto],0)),"produto não cadastrado")</f>
        <v>NÚCLEO</v>
      </c>
      <c r="K1102" s="12">
        <f>tItens[[#This Row],[Qtd]]*tItens[[#This Row],[Vlr unit]]</f>
        <v>0</v>
      </c>
      <c r="L1102" s="6">
        <f>IFERROR(IF(INDEX(tProdutos[Desconto homologado],MATCH(tItens[[#This Row],[Produto]],tProdutos[Produto],0))="",DescontoPadrao,INDEX(tProdutos[Desconto homologado],MATCH(tItens[[#This Row],[Produto]],tProdutos[Produto],0))),DescontoPadrao)</f>
        <v>0.34</v>
      </c>
      <c r="M1102" s="12">
        <f>tItens[[#This Row],[Valor]]*(1-tItens[[#This Row],[Desconto]])</f>
        <v>0</v>
      </c>
      <c r="N1102" t="str">
        <f>IFERROR(INDEX(tProdutos[Foco],MATCH(tItens[[#This Row],[Produto]],tProdutos[Produto],0)),"Não")</f>
        <v>Sim</v>
      </c>
      <c r="O1102" t="str">
        <f>IFERROR(INDEX(tEditais[SRP],MATCH(tItens[[#This Row],[Edital]],tEditais[Edital],0)),"Não")</f>
        <v>Não</v>
      </c>
      <c r="P1102" s="4">
        <f>IF(COUNTIFS(INDEX(tItens[Edital],1):tItens[[#This Row],[Edital]],tItens[[#This Row],[Edital]],INDEX(tItens[Produto],1):tItens[[#This Row],[Produto]],tItens[[#This Row],[Produto]])=1,1,0)</f>
        <v>0</v>
      </c>
    </row>
    <row r="1103" spans="1:16" x14ac:dyDescent="0.25">
      <c r="A1103" t="s">
        <v>1071</v>
      </c>
      <c r="B1103">
        <v>70</v>
      </c>
      <c r="C1103" t="s">
        <v>3486</v>
      </c>
      <c r="D1103" t="s">
        <v>56</v>
      </c>
      <c r="E1103" s="13">
        <v>20000</v>
      </c>
      <c r="F1103" s="12">
        <v>0</v>
      </c>
      <c r="G1103" t="str">
        <f>IFERROR(INDEX(tEditais[Órgão],MATCH(tItens[[#This Row],[Edital]],tEditais[Edital],0)),"")</f>
        <v>EMPRESA BRASILEIRA DE SERVICOS HOSPITALARES - EBSERH</v>
      </c>
      <c r="H1103" t="str">
        <f>IFERROR(INDEX(tEditais[UF],MATCH(tItens[[#This Row],[Edital]],tEditais[Edital],0)),"")</f>
        <v>DF</v>
      </c>
      <c r="I1103" s="11">
        <f>IFERROR(INDEX(tEditais[Encerramento],MATCH(tItens[[#This Row],[Edital]],tEditais[Edital],0)),"")</f>
        <v>46314.416666666664</v>
      </c>
      <c r="J1103" t="str">
        <f>IFERROR(INDEX(tProdutos[Classe],MATCH(tItens[[#This Row],[Produto]],tProdutos[Produto],0)),"produto não cadastrado")</f>
        <v>NÚCLEO</v>
      </c>
      <c r="K1103" s="12">
        <f>tItens[[#This Row],[Qtd]]*tItens[[#This Row],[Vlr unit]]</f>
        <v>0</v>
      </c>
      <c r="L1103" s="6">
        <f>IFERROR(IF(INDEX(tProdutos[Desconto homologado],MATCH(tItens[[#This Row],[Produto]],tProdutos[Produto],0))="",DescontoPadrao,INDEX(tProdutos[Desconto homologado],MATCH(tItens[[#This Row],[Produto]],tProdutos[Produto],0))),DescontoPadrao)</f>
        <v>0.34</v>
      </c>
      <c r="M1103" s="12">
        <f>tItens[[#This Row],[Valor]]*(1-tItens[[#This Row],[Desconto]])</f>
        <v>0</v>
      </c>
      <c r="N1103" t="str">
        <f>IFERROR(INDEX(tProdutos[Foco],MATCH(tItens[[#This Row],[Produto]],tProdutos[Produto],0)),"Não")</f>
        <v>Sim</v>
      </c>
      <c r="O1103" t="str">
        <f>IFERROR(INDEX(tEditais[SRP],MATCH(tItens[[#This Row],[Edital]],tEditais[Edital],0)),"Não")</f>
        <v>Não</v>
      </c>
      <c r="P1103" s="4">
        <f>IF(COUNTIFS(INDEX(tItens[Edital],1):tItens[[#This Row],[Edital]],tItens[[#This Row],[Edital]],INDEX(tItens[Produto],1):tItens[[#This Row],[Produto]],tItens[[#This Row],[Produto]])=1,1,0)</f>
        <v>0</v>
      </c>
    </row>
    <row r="1104" spans="1:16" x14ac:dyDescent="0.25">
      <c r="A1104" t="s">
        <v>1071</v>
      </c>
      <c r="B1104">
        <v>71</v>
      </c>
      <c r="C1104" t="s">
        <v>3487</v>
      </c>
      <c r="D1104" t="s">
        <v>56</v>
      </c>
      <c r="E1104" s="13">
        <v>20000</v>
      </c>
      <c r="F1104" s="12">
        <v>0</v>
      </c>
      <c r="G1104" t="str">
        <f>IFERROR(INDEX(tEditais[Órgão],MATCH(tItens[[#This Row],[Edital]],tEditais[Edital],0)),"")</f>
        <v>EMPRESA BRASILEIRA DE SERVICOS HOSPITALARES - EBSERH</v>
      </c>
      <c r="H1104" t="str">
        <f>IFERROR(INDEX(tEditais[UF],MATCH(tItens[[#This Row],[Edital]],tEditais[Edital],0)),"")</f>
        <v>DF</v>
      </c>
      <c r="I1104" s="11">
        <f>IFERROR(INDEX(tEditais[Encerramento],MATCH(tItens[[#This Row],[Edital]],tEditais[Edital],0)),"")</f>
        <v>46314.416666666664</v>
      </c>
      <c r="J1104" t="str">
        <f>IFERROR(INDEX(tProdutos[Classe],MATCH(tItens[[#This Row],[Produto]],tProdutos[Produto],0)),"produto não cadastrado")</f>
        <v>NÚCLEO</v>
      </c>
      <c r="K1104" s="12">
        <f>tItens[[#This Row],[Qtd]]*tItens[[#This Row],[Vlr unit]]</f>
        <v>0</v>
      </c>
      <c r="L1104" s="6">
        <f>IFERROR(IF(INDEX(tProdutos[Desconto homologado],MATCH(tItens[[#This Row],[Produto]],tProdutos[Produto],0))="",DescontoPadrao,INDEX(tProdutos[Desconto homologado],MATCH(tItens[[#This Row],[Produto]],tProdutos[Produto],0))),DescontoPadrao)</f>
        <v>0.34</v>
      </c>
      <c r="M1104" s="12">
        <f>tItens[[#This Row],[Valor]]*(1-tItens[[#This Row],[Desconto]])</f>
        <v>0</v>
      </c>
      <c r="N1104" t="str">
        <f>IFERROR(INDEX(tProdutos[Foco],MATCH(tItens[[#This Row],[Produto]],tProdutos[Produto],0)),"Não")</f>
        <v>Sim</v>
      </c>
      <c r="O1104" t="str">
        <f>IFERROR(INDEX(tEditais[SRP],MATCH(tItens[[#This Row],[Edital]],tEditais[Edital],0)),"Não")</f>
        <v>Não</v>
      </c>
      <c r="P1104" s="4">
        <f>IF(COUNTIFS(INDEX(tItens[Edital],1):tItens[[#This Row],[Edital]],tItens[[#This Row],[Edital]],INDEX(tItens[Produto],1):tItens[[#This Row],[Produto]],tItens[[#This Row],[Produto]])=1,1,0)</f>
        <v>0</v>
      </c>
    </row>
    <row r="1105" spans="1:16" x14ac:dyDescent="0.25">
      <c r="A1105" t="s">
        <v>1071</v>
      </c>
      <c r="B1105">
        <v>72</v>
      </c>
      <c r="C1105" t="s">
        <v>3487</v>
      </c>
      <c r="D1105" t="s">
        <v>56</v>
      </c>
      <c r="E1105" s="13">
        <v>15000</v>
      </c>
      <c r="F1105" s="12">
        <v>0</v>
      </c>
      <c r="G1105" t="str">
        <f>IFERROR(INDEX(tEditais[Órgão],MATCH(tItens[[#This Row],[Edital]],tEditais[Edital],0)),"")</f>
        <v>EMPRESA BRASILEIRA DE SERVICOS HOSPITALARES - EBSERH</v>
      </c>
      <c r="H1105" t="str">
        <f>IFERROR(INDEX(tEditais[UF],MATCH(tItens[[#This Row],[Edital]],tEditais[Edital],0)),"")</f>
        <v>DF</v>
      </c>
      <c r="I1105" s="11">
        <f>IFERROR(INDEX(tEditais[Encerramento],MATCH(tItens[[#This Row],[Edital]],tEditais[Edital],0)),"")</f>
        <v>46314.416666666664</v>
      </c>
      <c r="J1105" t="str">
        <f>IFERROR(INDEX(tProdutos[Classe],MATCH(tItens[[#This Row],[Produto]],tProdutos[Produto],0)),"produto não cadastrado")</f>
        <v>NÚCLEO</v>
      </c>
      <c r="K1105" s="12">
        <f>tItens[[#This Row],[Qtd]]*tItens[[#This Row],[Vlr unit]]</f>
        <v>0</v>
      </c>
      <c r="L1105" s="6">
        <f>IFERROR(IF(INDEX(tProdutos[Desconto homologado],MATCH(tItens[[#This Row],[Produto]],tProdutos[Produto],0))="",DescontoPadrao,INDEX(tProdutos[Desconto homologado],MATCH(tItens[[#This Row],[Produto]],tProdutos[Produto],0))),DescontoPadrao)</f>
        <v>0.34</v>
      </c>
      <c r="M1105" s="12">
        <f>tItens[[#This Row],[Valor]]*(1-tItens[[#This Row],[Desconto]])</f>
        <v>0</v>
      </c>
      <c r="N1105" t="str">
        <f>IFERROR(INDEX(tProdutos[Foco],MATCH(tItens[[#This Row],[Produto]],tProdutos[Produto],0)),"Não")</f>
        <v>Sim</v>
      </c>
      <c r="O1105" t="str">
        <f>IFERROR(INDEX(tEditais[SRP],MATCH(tItens[[#This Row],[Edital]],tEditais[Edital],0)),"Não")</f>
        <v>Não</v>
      </c>
      <c r="P1105" s="4">
        <f>IF(COUNTIFS(INDEX(tItens[Edital],1):tItens[[#This Row],[Edital]],tItens[[#This Row],[Edital]],INDEX(tItens[Produto],1):tItens[[#This Row],[Produto]],tItens[[#This Row],[Produto]])=1,1,0)</f>
        <v>0</v>
      </c>
    </row>
    <row r="1106" spans="1:16" x14ac:dyDescent="0.25">
      <c r="A1106" t="s">
        <v>1071</v>
      </c>
      <c r="B1106">
        <v>90</v>
      </c>
      <c r="C1106" t="s">
        <v>4211</v>
      </c>
      <c r="D1106" t="s">
        <v>195</v>
      </c>
      <c r="E1106" s="13">
        <v>60000</v>
      </c>
      <c r="F1106" s="12">
        <v>0</v>
      </c>
      <c r="G1106" t="str">
        <f>IFERROR(INDEX(tEditais[Órgão],MATCH(tItens[[#This Row],[Edital]],tEditais[Edital],0)),"")</f>
        <v>EMPRESA BRASILEIRA DE SERVICOS HOSPITALARES - EBSERH</v>
      </c>
      <c r="H1106" t="str">
        <f>IFERROR(INDEX(tEditais[UF],MATCH(tItens[[#This Row],[Edital]],tEditais[Edital],0)),"")</f>
        <v>DF</v>
      </c>
      <c r="I1106" s="11">
        <f>IFERROR(INDEX(tEditais[Encerramento],MATCH(tItens[[#This Row],[Edital]],tEditais[Edital],0)),"")</f>
        <v>46314.416666666664</v>
      </c>
      <c r="J1106" t="str">
        <f>IFERROR(INDEX(tProdutos[Classe],MATCH(tItens[[#This Row],[Produto]],tProdutos[Produto],0)),"produto não cadastrado")</f>
        <v>FORA</v>
      </c>
      <c r="K1106" s="12">
        <f>tItens[[#This Row],[Qtd]]*tItens[[#This Row],[Vlr unit]]</f>
        <v>0</v>
      </c>
      <c r="L1106" s="6">
        <f>IFERROR(IF(INDEX(tProdutos[Desconto homologado],MATCH(tItens[[#This Row],[Produto]],tProdutos[Produto],0))="",DescontoPadrao,INDEX(tProdutos[Desconto homologado],MATCH(tItens[[#This Row],[Produto]],tProdutos[Produto],0))),DescontoPadrao)</f>
        <v>0.27813657840171302</v>
      </c>
      <c r="M1106" s="12">
        <f>tItens[[#This Row],[Valor]]*(1-tItens[[#This Row],[Desconto]])</f>
        <v>0</v>
      </c>
      <c r="N1106" t="str">
        <f>IFERROR(INDEX(tProdutos[Foco],MATCH(tItens[[#This Row],[Produto]],tProdutos[Produto],0)),"Não")</f>
        <v>Não</v>
      </c>
      <c r="O1106" t="str">
        <f>IFERROR(INDEX(tEditais[SRP],MATCH(tItens[[#This Row],[Edital]],tEditais[Edital],0)),"Não")</f>
        <v>Não</v>
      </c>
      <c r="P1106" s="4">
        <f>IF(COUNTIFS(INDEX(tItens[Edital],1):tItens[[#This Row],[Edital]],tItens[[#This Row],[Edital]],INDEX(tItens[Produto],1):tItens[[#This Row],[Produto]],tItens[[#This Row],[Produto]])=1,1,0)</f>
        <v>1</v>
      </c>
    </row>
    <row r="1107" spans="1:16" x14ac:dyDescent="0.25">
      <c r="A1107" t="s">
        <v>1071</v>
      </c>
      <c r="B1107">
        <v>91</v>
      </c>
      <c r="C1107" t="s">
        <v>4212</v>
      </c>
      <c r="D1107" t="s">
        <v>512</v>
      </c>
      <c r="E1107" s="13">
        <v>2000</v>
      </c>
      <c r="F1107" s="12">
        <v>0</v>
      </c>
      <c r="G1107" t="str">
        <f>IFERROR(INDEX(tEditais[Órgão],MATCH(tItens[[#This Row],[Edital]],tEditais[Edital],0)),"")</f>
        <v>EMPRESA BRASILEIRA DE SERVICOS HOSPITALARES - EBSERH</v>
      </c>
      <c r="H1107" t="str">
        <f>IFERROR(INDEX(tEditais[UF],MATCH(tItens[[#This Row],[Edital]],tEditais[Edital],0)),"")</f>
        <v>DF</v>
      </c>
      <c r="I1107" s="11">
        <f>IFERROR(INDEX(tEditais[Encerramento],MATCH(tItens[[#This Row],[Edital]],tEditais[Edital],0)),"")</f>
        <v>46314.416666666664</v>
      </c>
      <c r="J1107" t="str">
        <f>IFERROR(INDEX(tProdutos[Classe],MATCH(tItens[[#This Row],[Produto]],tProdutos[Produto],0)),"produto não cadastrado")</f>
        <v>FILA REBASE</v>
      </c>
      <c r="K1107" s="12">
        <f>tItens[[#This Row],[Qtd]]*tItens[[#This Row],[Vlr unit]]</f>
        <v>0</v>
      </c>
      <c r="L1107" s="6">
        <f>IFERROR(IF(INDEX(tProdutos[Desconto homologado],MATCH(tItens[[#This Row],[Produto]],tProdutos[Produto],0))="",DescontoPadrao,INDEX(tProdutos[Desconto homologado],MATCH(tItens[[#This Row],[Produto]],tProdutos[Produto],0))),DescontoPadrao)</f>
        <v>0.32579365079365102</v>
      </c>
      <c r="M1107" s="12">
        <f>tItens[[#This Row],[Valor]]*(1-tItens[[#This Row],[Desconto]])</f>
        <v>0</v>
      </c>
      <c r="N1107" t="str">
        <f>IFERROR(INDEX(tProdutos[Foco],MATCH(tItens[[#This Row],[Produto]],tProdutos[Produto],0)),"Não")</f>
        <v>Não</v>
      </c>
      <c r="O1107" t="str">
        <f>IFERROR(INDEX(tEditais[SRP],MATCH(tItens[[#This Row],[Edital]],tEditais[Edital],0)),"Não")</f>
        <v>Não</v>
      </c>
      <c r="P1107" s="4">
        <f>IF(COUNTIFS(INDEX(tItens[Edital],1):tItens[[#This Row],[Edital]],tItens[[#This Row],[Edital]],INDEX(tItens[Produto],1):tItens[[#This Row],[Produto]],tItens[[#This Row],[Produto]])=1,1,0)</f>
        <v>1</v>
      </c>
    </row>
    <row r="1108" spans="1:16" x14ac:dyDescent="0.25">
      <c r="A1108" t="s">
        <v>1074</v>
      </c>
      <c r="B1108">
        <v>1</v>
      </c>
      <c r="C1108" t="s">
        <v>4213</v>
      </c>
      <c r="D1108" t="s">
        <v>275</v>
      </c>
      <c r="E1108" s="13">
        <v>621700</v>
      </c>
      <c r="F1108" s="12">
        <v>0.28000000000000003</v>
      </c>
      <c r="G1108" t="str">
        <f>IFERROR(INDEX(tEditais[Órgão],MATCH(tItens[[#This Row],[Edital]],tEditais[Edital],0)),"")</f>
        <v>CONSORCIO PUBLICO DA REGIAO POLINORTE - CIM POLINORTE</v>
      </c>
      <c r="H1108" t="str">
        <f>IFERROR(INDEX(tEditais[UF],MATCH(tItens[[#This Row],[Edital]],tEditais[Edital],0)),"")</f>
        <v>ES</v>
      </c>
      <c r="I1108" s="11">
        <f>IFERROR(INDEX(tEditais[Encerramento],MATCH(tItens[[#This Row],[Edital]],tEditais[Edital],0)),"")</f>
        <v>46304.368055555555</v>
      </c>
      <c r="J1108" t="str">
        <f>IFERROR(INDEX(tProdutos[Classe],MATCH(tItens[[#This Row],[Produto]],tProdutos[Produto],0)),"produto não cadastrado")</f>
        <v>FORA</v>
      </c>
      <c r="K1108" s="12">
        <f>tItens[[#This Row],[Qtd]]*tItens[[#This Row],[Vlr unit]]</f>
        <v>174076.00000000003</v>
      </c>
      <c r="L1108" s="6">
        <f>IFERROR(IF(INDEX(tProdutos[Desconto homologado],MATCH(tItens[[#This Row],[Produto]],tProdutos[Produto],0))="",DescontoPadrao,INDEX(tProdutos[Desconto homologado],MATCH(tItens[[#This Row],[Produto]],tProdutos[Produto],0))),DescontoPadrao)</f>
        <v>0.405797101449275</v>
      </c>
      <c r="M1108" s="12">
        <f>tItens[[#This Row],[Valor]]*(1-tItens[[#This Row],[Desconto]])</f>
        <v>103436.46376811604</v>
      </c>
      <c r="N1108" t="str">
        <f>IFERROR(INDEX(tProdutos[Foco],MATCH(tItens[[#This Row],[Produto]],tProdutos[Produto],0)),"Não")</f>
        <v>Não</v>
      </c>
      <c r="O1108" t="str">
        <f>IFERROR(INDEX(tEditais[SRP],MATCH(tItens[[#This Row],[Edital]],tEditais[Edital],0)),"Não")</f>
        <v>Não</v>
      </c>
      <c r="P1108" s="4">
        <f>IF(COUNTIFS(INDEX(tItens[Edital],1):tItens[[#This Row],[Edital]],tItens[[#This Row],[Edital]],INDEX(tItens[Produto],1):tItens[[#This Row],[Produto]],tItens[[#This Row],[Produto]])=1,1,0)</f>
        <v>1</v>
      </c>
    </row>
    <row r="1109" spans="1:16" x14ac:dyDescent="0.25">
      <c r="A1109" t="s">
        <v>1074</v>
      </c>
      <c r="B1109">
        <v>2</v>
      </c>
      <c r="C1109" t="s">
        <v>4214</v>
      </c>
      <c r="D1109" t="s">
        <v>281</v>
      </c>
      <c r="E1109" s="13">
        <v>1185800</v>
      </c>
      <c r="F1109" s="12">
        <v>0.57999999999999996</v>
      </c>
      <c r="G1109" t="str">
        <f>IFERROR(INDEX(tEditais[Órgão],MATCH(tItens[[#This Row],[Edital]],tEditais[Edital],0)),"")</f>
        <v>CONSORCIO PUBLICO DA REGIAO POLINORTE - CIM POLINORTE</v>
      </c>
      <c r="H1109" t="str">
        <f>IFERROR(INDEX(tEditais[UF],MATCH(tItens[[#This Row],[Edital]],tEditais[Edital],0)),"")</f>
        <v>ES</v>
      </c>
      <c r="I1109" s="11">
        <f>IFERROR(INDEX(tEditais[Encerramento],MATCH(tItens[[#This Row],[Edital]],tEditais[Edital],0)),"")</f>
        <v>46304.368055555555</v>
      </c>
      <c r="J1109" t="str">
        <f>IFERROR(INDEX(tProdutos[Classe],MATCH(tItens[[#This Row],[Produto]],tProdutos[Produto],0)),"produto não cadastrado")</f>
        <v>DISPUTADO</v>
      </c>
      <c r="K1109" s="12">
        <f>tItens[[#This Row],[Qtd]]*tItens[[#This Row],[Vlr unit]]</f>
        <v>687764</v>
      </c>
      <c r="L1109" s="6">
        <f>IFERROR(IF(INDEX(tProdutos[Desconto homologado],MATCH(tItens[[#This Row],[Produto]],tProdutos[Produto],0))="",DescontoPadrao,INDEX(tProdutos[Desconto homologado],MATCH(tItens[[#This Row],[Produto]],tProdutos[Produto],0))),DescontoPadrao)</f>
        <v>0.42461538461538501</v>
      </c>
      <c r="M1109" s="12">
        <f>tItens[[#This Row],[Valor]]*(1-tItens[[#This Row],[Desconto]])</f>
        <v>395728.82461538434</v>
      </c>
      <c r="N1109" t="str">
        <f>IFERROR(INDEX(tProdutos[Foco],MATCH(tItens[[#This Row],[Produto]],tProdutos[Produto],0)),"Não")</f>
        <v>Não</v>
      </c>
      <c r="O1109" t="str">
        <f>IFERROR(INDEX(tEditais[SRP],MATCH(tItens[[#This Row],[Edital]],tEditais[Edital],0)),"Não")</f>
        <v>Não</v>
      </c>
      <c r="P1109" s="4">
        <f>IF(COUNTIFS(INDEX(tItens[Edital],1):tItens[[#This Row],[Edital]],tItens[[#This Row],[Edital]],INDEX(tItens[Produto],1):tItens[[#This Row],[Produto]],tItens[[#This Row],[Produto]])=1,1,0)</f>
        <v>1</v>
      </c>
    </row>
    <row r="1110" spans="1:16" x14ac:dyDescent="0.25">
      <c r="A1110" t="s">
        <v>1074</v>
      </c>
      <c r="B1110">
        <v>3</v>
      </c>
      <c r="C1110" t="s">
        <v>4215</v>
      </c>
      <c r="D1110" t="s">
        <v>275</v>
      </c>
      <c r="E1110" s="13">
        <v>4686000</v>
      </c>
      <c r="F1110" s="12">
        <v>1.46</v>
      </c>
      <c r="G1110" t="str">
        <f>IFERROR(INDEX(tEditais[Órgão],MATCH(tItens[[#This Row],[Edital]],tEditais[Edital],0)),"")</f>
        <v>CONSORCIO PUBLICO DA REGIAO POLINORTE - CIM POLINORTE</v>
      </c>
      <c r="H1110" t="str">
        <f>IFERROR(INDEX(tEditais[UF],MATCH(tItens[[#This Row],[Edital]],tEditais[Edital],0)),"")</f>
        <v>ES</v>
      </c>
      <c r="I1110" s="11">
        <f>IFERROR(INDEX(tEditais[Encerramento],MATCH(tItens[[#This Row],[Edital]],tEditais[Edital],0)),"")</f>
        <v>46304.368055555555</v>
      </c>
      <c r="J1110" t="str">
        <f>IFERROR(INDEX(tProdutos[Classe],MATCH(tItens[[#This Row],[Produto]],tProdutos[Produto],0)),"produto não cadastrado")</f>
        <v>FORA</v>
      </c>
      <c r="K1110" s="12">
        <f>tItens[[#This Row],[Qtd]]*tItens[[#This Row],[Vlr unit]]</f>
        <v>6841560</v>
      </c>
      <c r="L1110" s="6">
        <f>IFERROR(IF(INDEX(tProdutos[Desconto homologado],MATCH(tItens[[#This Row],[Produto]],tProdutos[Produto],0))="",DescontoPadrao,INDEX(tProdutos[Desconto homologado],MATCH(tItens[[#This Row],[Produto]],tProdutos[Produto],0))),DescontoPadrao)</f>
        <v>0.405797101449275</v>
      </c>
      <c r="M1110" s="12">
        <f>tItens[[#This Row],[Valor]]*(1-tItens[[#This Row],[Desconto]])</f>
        <v>4065274.7826086986</v>
      </c>
      <c r="N1110" t="str">
        <f>IFERROR(INDEX(tProdutos[Foco],MATCH(tItens[[#This Row],[Produto]],tProdutos[Produto],0)),"Não")</f>
        <v>Não</v>
      </c>
      <c r="O1110" t="str">
        <f>IFERROR(INDEX(tEditais[SRP],MATCH(tItens[[#This Row],[Edital]],tEditais[Edital],0)),"Não")</f>
        <v>Não</v>
      </c>
      <c r="P1110" s="4">
        <f>IF(COUNTIFS(INDEX(tItens[Edital],1):tItens[[#This Row],[Edital]],tItens[[#This Row],[Edital]],INDEX(tItens[Produto],1):tItens[[#This Row],[Produto]],tItens[[#This Row],[Produto]])=1,1,0)</f>
        <v>0</v>
      </c>
    </row>
    <row r="1111" spans="1:16" x14ac:dyDescent="0.25">
      <c r="A1111" t="s">
        <v>1074</v>
      </c>
      <c r="B1111">
        <v>4</v>
      </c>
      <c r="C1111" t="s">
        <v>4216</v>
      </c>
      <c r="D1111" t="s">
        <v>275</v>
      </c>
      <c r="E1111" s="13">
        <v>1622500</v>
      </c>
      <c r="F1111" s="12">
        <v>1.4</v>
      </c>
      <c r="G1111" t="str">
        <f>IFERROR(INDEX(tEditais[Órgão],MATCH(tItens[[#This Row],[Edital]],tEditais[Edital],0)),"")</f>
        <v>CONSORCIO PUBLICO DA REGIAO POLINORTE - CIM POLINORTE</v>
      </c>
      <c r="H1111" t="str">
        <f>IFERROR(INDEX(tEditais[UF],MATCH(tItens[[#This Row],[Edital]],tEditais[Edital],0)),"")</f>
        <v>ES</v>
      </c>
      <c r="I1111" s="11">
        <f>IFERROR(INDEX(tEditais[Encerramento],MATCH(tItens[[#This Row],[Edital]],tEditais[Edital],0)),"")</f>
        <v>46304.368055555555</v>
      </c>
      <c r="J1111" t="str">
        <f>IFERROR(INDEX(tProdutos[Classe],MATCH(tItens[[#This Row],[Produto]],tProdutos[Produto],0)),"produto não cadastrado")</f>
        <v>FORA</v>
      </c>
      <c r="K1111" s="12">
        <f>tItens[[#This Row],[Qtd]]*tItens[[#This Row],[Vlr unit]]</f>
        <v>2271500</v>
      </c>
      <c r="L1111" s="6">
        <f>IFERROR(IF(INDEX(tProdutos[Desconto homologado],MATCH(tItens[[#This Row],[Produto]],tProdutos[Produto],0))="",DescontoPadrao,INDEX(tProdutos[Desconto homologado],MATCH(tItens[[#This Row],[Produto]],tProdutos[Produto],0))),DescontoPadrao)</f>
        <v>0.405797101449275</v>
      </c>
      <c r="M1111" s="12">
        <f>tItens[[#This Row],[Valor]]*(1-tItens[[#This Row],[Desconto]])</f>
        <v>1349731.8840579719</v>
      </c>
      <c r="N1111" t="str">
        <f>IFERROR(INDEX(tProdutos[Foco],MATCH(tItens[[#This Row],[Produto]],tProdutos[Produto],0)),"Não")</f>
        <v>Não</v>
      </c>
      <c r="O1111" t="str">
        <f>IFERROR(INDEX(tEditais[SRP],MATCH(tItens[[#This Row],[Edital]],tEditais[Edital],0)),"Não")</f>
        <v>Não</v>
      </c>
      <c r="P1111" s="4">
        <f>IF(COUNTIFS(INDEX(tItens[Edital],1):tItens[[#This Row],[Edital]],tItens[[#This Row],[Edital]],INDEX(tItens[Produto],1):tItens[[#This Row],[Produto]],tItens[[#This Row],[Produto]])=1,1,0)</f>
        <v>0</v>
      </c>
    </row>
    <row r="1112" spans="1:16" x14ac:dyDescent="0.25">
      <c r="A1112" t="s">
        <v>1074</v>
      </c>
      <c r="B1112">
        <v>5</v>
      </c>
      <c r="C1112" t="s">
        <v>4217</v>
      </c>
      <c r="D1112" t="s">
        <v>289</v>
      </c>
      <c r="E1112" s="13">
        <v>978500</v>
      </c>
      <c r="F1112" s="12">
        <v>1.02</v>
      </c>
      <c r="G1112" t="str">
        <f>IFERROR(INDEX(tEditais[Órgão],MATCH(tItens[[#This Row],[Edital]],tEditais[Edital],0)),"")</f>
        <v>CONSORCIO PUBLICO DA REGIAO POLINORTE - CIM POLINORTE</v>
      </c>
      <c r="H1112" t="str">
        <f>IFERROR(INDEX(tEditais[UF],MATCH(tItens[[#This Row],[Edital]],tEditais[Edital],0)),"")</f>
        <v>ES</v>
      </c>
      <c r="I1112" s="11">
        <f>IFERROR(INDEX(tEditais[Encerramento],MATCH(tItens[[#This Row],[Edital]],tEditais[Edital],0)),"")</f>
        <v>46304.368055555555</v>
      </c>
      <c r="J1112" t="str">
        <f>IFERROR(INDEX(tProdutos[Classe],MATCH(tItens[[#This Row],[Produto]],tProdutos[Produto],0)),"produto não cadastrado")</f>
        <v>DISPUTADO</v>
      </c>
      <c r="K1112" s="12">
        <f>tItens[[#This Row],[Qtd]]*tItens[[#This Row],[Vlr unit]]</f>
        <v>998070</v>
      </c>
      <c r="L1112" s="6">
        <f>IFERROR(IF(INDEX(tProdutos[Desconto homologado],MATCH(tItens[[#This Row],[Produto]],tProdutos[Produto],0))="",DescontoPadrao,INDEX(tProdutos[Desconto homologado],MATCH(tItens[[#This Row],[Produto]],tProdutos[Produto],0))),DescontoPadrao)</f>
        <v>0.35849056603773599</v>
      </c>
      <c r="M1112" s="12">
        <f>tItens[[#This Row],[Valor]]*(1-tItens[[#This Row],[Desconto]])</f>
        <v>640271.32075471687</v>
      </c>
      <c r="N1112" t="str">
        <f>IFERROR(INDEX(tProdutos[Foco],MATCH(tItens[[#This Row],[Produto]],tProdutos[Produto],0)),"Não")</f>
        <v>Não</v>
      </c>
      <c r="O1112" t="str">
        <f>IFERROR(INDEX(tEditais[SRP],MATCH(tItens[[#This Row],[Edital]],tEditais[Edital],0)),"Não")</f>
        <v>Não</v>
      </c>
      <c r="P1112" s="4">
        <f>IF(COUNTIFS(INDEX(tItens[Edital],1):tItens[[#This Row],[Edital]],tItens[[#This Row],[Edital]],INDEX(tItens[Produto],1):tItens[[#This Row],[Produto]],tItens[[#This Row],[Produto]])=1,1,0)</f>
        <v>1</v>
      </c>
    </row>
    <row r="1113" spans="1:16" x14ac:dyDescent="0.25">
      <c r="A1113" t="s">
        <v>1074</v>
      </c>
      <c r="B1113">
        <v>6</v>
      </c>
      <c r="C1113" t="s">
        <v>4218</v>
      </c>
      <c r="D1113" t="s">
        <v>283</v>
      </c>
      <c r="E1113" s="13">
        <v>1217200</v>
      </c>
      <c r="F1113" s="12">
        <v>0.33</v>
      </c>
      <c r="G1113" t="str">
        <f>IFERROR(INDEX(tEditais[Órgão],MATCH(tItens[[#This Row],[Edital]],tEditais[Edital],0)),"")</f>
        <v>CONSORCIO PUBLICO DA REGIAO POLINORTE - CIM POLINORTE</v>
      </c>
      <c r="H1113" t="str">
        <f>IFERROR(INDEX(tEditais[UF],MATCH(tItens[[#This Row],[Edital]],tEditais[Edital],0)),"")</f>
        <v>ES</v>
      </c>
      <c r="I1113" s="11">
        <f>IFERROR(INDEX(tEditais[Encerramento],MATCH(tItens[[#This Row],[Edital]],tEditais[Edital],0)),"")</f>
        <v>46304.368055555555</v>
      </c>
      <c r="J1113" t="str">
        <f>IFERROR(INDEX(tProdutos[Classe],MATCH(tItens[[#This Row],[Produto]],tProdutos[Produto],0)),"produto não cadastrado")</f>
        <v>FORA</v>
      </c>
      <c r="K1113" s="12">
        <f>tItens[[#This Row],[Qtd]]*tItens[[#This Row],[Vlr unit]]</f>
        <v>401676</v>
      </c>
      <c r="L1113" s="6">
        <f>IFERROR(IF(INDEX(tProdutos[Desconto homologado],MATCH(tItens[[#This Row],[Produto]],tProdutos[Produto],0))="",DescontoPadrao,INDEX(tProdutos[Desconto homologado],MATCH(tItens[[#This Row],[Produto]],tProdutos[Produto],0))),DescontoPadrao)</f>
        <v>0.40540540540540498</v>
      </c>
      <c r="M1113" s="12">
        <f>tItens[[#This Row],[Valor]]*(1-tItens[[#This Row],[Desconto]])</f>
        <v>238834.37837837852</v>
      </c>
      <c r="N1113" t="str">
        <f>IFERROR(INDEX(tProdutos[Foco],MATCH(tItens[[#This Row],[Produto]],tProdutos[Produto],0)),"Não")</f>
        <v>Não</v>
      </c>
      <c r="O1113" t="str">
        <f>IFERROR(INDEX(tEditais[SRP],MATCH(tItens[[#This Row],[Edital]],tEditais[Edital],0)),"Não")</f>
        <v>Não</v>
      </c>
      <c r="P1113" s="4">
        <f>IF(COUNTIFS(INDEX(tItens[Edital],1):tItens[[#This Row],[Edital]],tItens[[#This Row],[Edital]],INDEX(tItens[Produto],1):tItens[[#This Row],[Produto]],tItens[[#This Row],[Produto]])=1,1,0)</f>
        <v>1</v>
      </c>
    </row>
    <row r="1114" spans="1:16" x14ac:dyDescent="0.25">
      <c r="A1114" t="s">
        <v>1074</v>
      </c>
      <c r="B1114">
        <v>7</v>
      </c>
      <c r="C1114" t="s">
        <v>4219</v>
      </c>
      <c r="D1114" t="s">
        <v>265</v>
      </c>
      <c r="E1114" s="13">
        <v>1386000</v>
      </c>
      <c r="F1114" s="12">
        <v>0.4</v>
      </c>
      <c r="G1114" t="str">
        <f>IFERROR(INDEX(tEditais[Órgão],MATCH(tItens[[#This Row],[Edital]],tEditais[Edital],0)),"")</f>
        <v>CONSORCIO PUBLICO DA REGIAO POLINORTE - CIM POLINORTE</v>
      </c>
      <c r="H1114" t="str">
        <f>IFERROR(INDEX(tEditais[UF],MATCH(tItens[[#This Row],[Edital]],tEditais[Edital],0)),"")</f>
        <v>ES</v>
      </c>
      <c r="I1114" s="11">
        <f>IFERROR(INDEX(tEditais[Encerramento],MATCH(tItens[[#This Row],[Edital]],tEditais[Edital],0)),"")</f>
        <v>46304.368055555555</v>
      </c>
      <c r="J1114" t="str">
        <f>IFERROR(INDEX(tProdutos[Classe],MATCH(tItens[[#This Row],[Produto]],tProdutos[Produto],0)),"produto não cadastrado")</f>
        <v>DISPUTADO</v>
      </c>
      <c r="K1114" s="12">
        <f>tItens[[#This Row],[Qtd]]*tItens[[#This Row],[Vlr unit]]</f>
        <v>554400</v>
      </c>
      <c r="L1114" s="6">
        <f>IFERROR(IF(INDEX(tProdutos[Desconto homologado],MATCH(tItens[[#This Row],[Produto]],tProdutos[Produto],0))="",DescontoPadrao,INDEX(tProdutos[Desconto homologado],MATCH(tItens[[#This Row],[Produto]],tProdutos[Produto],0))),DescontoPadrao)</f>
        <v>0.377587663709337</v>
      </c>
      <c r="M1114" s="12">
        <f>tItens[[#This Row],[Valor]]*(1-tItens[[#This Row],[Desconto]])</f>
        <v>345065.39923954359</v>
      </c>
      <c r="N1114" t="str">
        <f>IFERROR(INDEX(tProdutos[Foco],MATCH(tItens[[#This Row],[Produto]],tProdutos[Produto],0)),"Não")</f>
        <v>Não</v>
      </c>
      <c r="O1114" t="str">
        <f>IFERROR(INDEX(tEditais[SRP],MATCH(tItens[[#This Row],[Edital]],tEditais[Edital],0)),"Não")</f>
        <v>Não</v>
      </c>
      <c r="P1114" s="4">
        <f>IF(COUNTIFS(INDEX(tItens[Edital],1):tItens[[#This Row],[Edital]],tItens[[#This Row],[Edital]],INDEX(tItens[Produto],1):tItens[[#This Row],[Produto]],tItens[[#This Row],[Produto]])=1,1,0)</f>
        <v>1</v>
      </c>
    </row>
    <row r="1115" spans="1:16" x14ac:dyDescent="0.25">
      <c r="A1115" t="s">
        <v>1074</v>
      </c>
      <c r="B1115">
        <v>9</v>
      </c>
      <c r="C1115" t="s">
        <v>4220</v>
      </c>
      <c r="D1115" t="s">
        <v>281</v>
      </c>
      <c r="E1115" s="13">
        <v>975700</v>
      </c>
      <c r="F1115" s="12">
        <v>0.45</v>
      </c>
      <c r="G1115" t="str">
        <f>IFERROR(INDEX(tEditais[Órgão],MATCH(tItens[[#This Row],[Edital]],tEditais[Edital],0)),"")</f>
        <v>CONSORCIO PUBLICO DA REGIAO POLINORTE - CIM POLINORTE</v>
      </c>
      <c r="H1115" t="str">
        <f>IFERROR(INDEX(tEditais[UF],MATCH(tItens[[#This Row],[Edital]],tEditais[Edital],0)),"")</f>
        <v>ES</v>
      </c>
      <c r="I1115" s="11">
        <f>IFERROR(INDEX(tEditais[Encerramento],MATCH(tItens[[#This Row],[Edital]],tEditais[Edital],0)),"")</f>
        <v>46304.368055555555</v>
      </c>
      <c r="J1115" t="str">
        <f>IFERROR(INDEX(tProdutos[Classe],MATCH(tItens[[#This Row],[Produto]],tProdutos[Produto],0)),"produto não cadastrado")</f>
        <v>DISPUTADO</v>
      </c>
      <c r="K1115" s="12">
        <f>tItens[[#This Row],[Qtd]]*tItens[[#This Row],[Vlr unit]]</f>
        <v>439065</v>
      </c>
      <c r="L1115" s="6">
        <f>IFERROR(IF(INDEX(tProdutos[Desconto homologado],MATCH(tItens[[#This Row],[Produto]],tProdutos[Produto],0))="",DescontoPadrao,INDEX(tProdutos[Desconto homologado],MATCH(tItens[[#This Row],[Produto]],tProdutos[Produto],0))),DescontoPadrao)</f>
        <v>0.42461538461538501</v>
      </c>
      <c r="M1115" s="12">
        <f>tItens[[#This Row],[Valor]]*(1-tItens[[#This Row],[Desconto]])</f>
        <v>252631.24615384595</v>
      </c>
      <c r="N1115" t="str">
        <f>IFERROR(INDEX(tProdutos[Foco],MATCH(tItens[[#This Row],[Produto]],tProdutos[Produto],0)),"Não")</f>
        <v>Não</v>
      </c>
      <c r="O1115" t="str">
        <f>IFERROR(INDEX(tEditais[SRP],MATCH(tItens[[#This Row],[Edital]],tEditais[Edital],0)),"Não")</f>
        <v>Não</v>
      </c>
      <c r="P1115" s="4">
        <f>IF(COUNTIFS(INDEX(tItens[Edital],1):tItens[[#This Row],[Edital]],tItens[[#This Row],[Edital]],INDEX(tItens[Produto],1):tItens[[#This Row],[Produto]],tItens[[#This Row],[Produto]])=1,1,0)</f>
        <v>0</v>
      </c>
    </row>
    <row r="1116" spans="1:16" x14ac:dyDescent="0.25">
      <c r="A1116" t="s">
        <v>1074</v>
      </c>
      <c r="B1116">
        <v>10</v>
      </c>
      <c r="C1116" t="s">
        <v>4221</v>
      </c>
      <c r="D1116" t="s">
        <v>265</v>
      </c>
      <c r="E1116" s="13">
        <v>1117600</v>
      </c>
      <c r="F1116" s="12">
        <v>0.36</v>
      </c>
      <c r="G1116" t="str">
        <f>IFERROR(INDEX(tEditais[Órgão],MATCH(tItens[[#This Row],[Edital]],tEditais[Edital],0)),"")</f>
        <v>CONSORCIO PUBLICO DA REGIAO POLINORTE - CIM POLINORTE</v>
      </c>
      <c r="H1116" t="str">
        <f>IFERROR(INDEX(tEditais[UF],MATCH(tItens[[#This Row],[Edital]],tEditais[Edital],0)),"")</f>
        <v>ES</v>
      </c>
      <c r="I1116" s="11">
        <f>IFERROR(INDEX(tEditais[Encerramento],MATCH(tItens[[#This Row],[Edital]],tEditais[Edital],0)),"")</f>
        <v>46304.368055555555</v>
      </c>
      <c r="J1116" t="str">
        <f>IFERROR(INDEX(tProdutos[Classe],MATCH(tItens[[#This Row],[Produto]],tProdutos[Produto],0)),"produto não cadastrado")</f>
        <v>DISPUTADO</v>
      </c>
      <c r="K1116" s="12">
        <f>tItens[[#This Row],[Qtd]]*tItens[[#This Row],[Vlr unit]]</f>
        <v>402336</v>
      </c>
      <c r="L1116" s="6">
        <f>IFERROR(IF(INDEX(tProdutos[Desconto homologado],MATCH(tItens[[#This Row],[Produto]],tProdutos[Produto],0))="",DescontoPadrao,INDEX(tProdutos[Desconto homologado],MATCH(tItens[[#This Row],[Produto]],tProdutos[Produto],0))),DescontoPadrao)</f>
        <v>0.377587663709337</v>
      </c>
      <c r="M1116" s="12">
        <f>tItens[[#This Row],[Valor]]*(1-tItens[[#This Row],[Desconto]])</f>
        <v>250418.88973384022</v>
      </c>
      <c r="N1116" t="str">
        <f>IFERROR(INDEX(tProdutos[Foco],MATCH(tItens[[#This Row],[Produto]],tProdutos[Produto],0)),"Não")</f>
        <v>Não</v>
      </c>
      <c r="O1116" t="str">
        <f>IFERROR(INDEX(tEditais[SRP],MATCH(tItens[[#This Row],[Edital]],tEditais[Edital],0)),"Não")</f>
        <v>Não</v>
      </c>
      <c r="P1116" s="4">
        <f>IF(COUNTIFS(INDEX(tItens[Edital],1):tItens[[#This Row],[Edital]],tItens[[#This Row],[Edital]],INDEX(tItens[Produto],1):tItens[[#This Row],[Produto]],tItens[[#This Row],[Produto]])=1,1,0)</f>
        <v>0</v>
      </c>
    </row>
    <row r="1117" spans="1:16" x14ac:dyDescent="0.25">
      <c r="A1117" t="s">
        <v>1074</v>
      </c>
      <c r="B1117">
        <v>11</v>
      </c>
      <c r="C1117" t="s">
        <v>4222</v>
      </c>
      <c r="D1117" t="s">
        <v>283</v>
      </c>
      <c r="E1117" s="13">
        <v>570900</v>
      </c>
      <c r="F1117" s="12">
        <v>0.35</v>
      </c>
      <c r="G1117" t="str">
        <f>IFERROR(INDEX(tEditais[Órgão],MATCH(tItens[[#This Row],[Edital]],tEditais[Edital],0)),"")</f>
        <v>CONSORCIO PUBLICO DA REGIAO POLINORTE - CIM POLINORTE</v>
      </c>
      <c r="H1117" t="str">
        <f>IFERROR(INDEX(tEditais[UF],MATCH(tItens[[#This Row],[Edital]],tEditais[Edital],0)),"")</f>
        <v>ES</v>
      </c>
      <c r="I1117" s="11">
        <f>IFERROR(INDEX(tEditais[Encerramento],MATCH(tItens[[#This Row],[Edital]],tEditais[Edital],0)),"")</f>
        <v>46304.368055555555</v>
      </c>
      <c r="J1117" t="str">
        <f>IFERROR(INDEX(tProdutos[Classe],MATCH(tItens[[#This Row],[Produto]],tProdutos[Produto],0)),"produto não cadastrado")</f>
        <v>FORA</v>
      </c>
      <c r="K1117" s="12">
        <f>tItens[[#This Row],[Qtd]]*tItens[[#This Row],[Vlr unit]]</f>
        <v>199815</v>
      </c>
      <c r="L1117" s="6">
        <f>IFERROR(IF(INDEX(tProdutos[Desconto homologado],MATCH(tItens[[#This Row],[Produto]],tProdutos[Produto],0))="",DescontoPadrao,INDEX(tProdutos[Desconto homologado],MATCH(tItens[[#This Row],[Produto]],tProdutos[Produto],0))),DescontoPadrao)</f>
        <v>0.40540540540540498</v>
      </c>
      <c r="M1117" s="12">
        <f>tItens[[#This Row],[Valor]]*(1-tItens[[#This Row],[Desconto]])</f>
        <v>118808.91891891899</v>
      </c>
      <c r="N1117" t="str">
        <f>IFERROR(INDEX(tProdutos[Foco],MATCH(tItens[[#This Row],[Produto]],tProdutos[Produto],0)),"Não")</f>
        <v>Não</v>
      </c>
      <c r="O1117" t="str">
        <f>IFERROR(INDEX(tEditais[SRP],MATCH(tItens[[#This Row],[Edital]],tEditais[Edital],0)),"Não")</f>
        <v>Não</v>
      </c>
      <c r="P1117" s="4">
        <f>IF(COUNTIFS(INDEX(tItens[Edital],1):tItens[[#This Row],[Edital]],tItens[[#This Row],[Edital]],INDEX(tItens[Produto],1):tItens[[#This Row],[Produto]],tItens[[#This Row],[Produto]])=1,1,0)</f>
        <v>0</v>
      </c>
    </row>
    <row r="1118" spans="1:16" x14ac:dyDescent="0.25">
      <c r="A1118" t="s">
        <v>1080</v>
      </c>
      <c r="B1118">
        <v>28</v>
      </c>
      <c r="C1118" t="s">
        <v>4223</v>
      </c>
      <c r="D1118" t="s">
        <v>144</v>
      </c>
      <c r="E1118" s="13">
        <v>1</v>
      </c>
      <c r="F1118" s="12">
        <v>122.61</v>
      </c>
      <c r="G1118" t="str">
        <f>IFERROR(INDEX(tEditais[Órgão],MATCH(tItens[[#This Row],[Edital]],tEditais[Edital],0)),"")</f>
        <v>UNIVERSIDADE FEDERAL DO ESPIRITO SANTO</v>
      </c>
      <c r="H1118" t="str">
        <f>IFERROR(INDEX(tEditais[UF],MATCH(tItens[[#This Row],[Edital]],tEditais[Edital],0)),"")</f>
        <v>ES</v>
      </c>
      <c r="I1118" s="11">
        <f>IFERROR(INDEX(tEditais[Encerramento],MATCH(tItens[[#This Row],[Edital]],tEditais[Edital],0)),"")</f>
        <v>46304.375</v>
      </c>
      <c r="J1118" t="str">
        <f>IFERROR(INDEX(tProdutos[Classe],MATCH(tItens[[#This Row],[Produto]],tProdutos[Produto],0)),"produto não cadastrado")</f>
        <v>DISPUTADO</v>
      </c>
      <c r="K1118" s="12">
        <f>tItens[[#This Row],[Qtd]]*tItens[[#This Row],[Vlr unit]]</f>
        <v>122.61</v>
      </c>
      <c r="L1118" s="6">
        <f>IFERROR(IF(INDEX(tProdutos[Desconto homologado],MATCH(tItens[[#This Row],[Produto]],tProdutos[Produto],0))="",DescontoPadrao,INDEX(tProdutos[Desconto homologado],MATCH(tItens[[#This Row],[Produto]],tProdutos[Produto],0))),DescontoPadrao)</f>
        <v>0.371428571428571</v>
      </c>
      <c r="M1118" s="12">
        <f>tItens[[#This Row],[Valor]]*(1-tItens[[#This Row],[Desconto]])</f>
        <v>77.069142857142907</v>
      </c>
      <c r="N1118" t="str">
        <f>IFERROR(INDEX(tProdutos[Foco],MATCH(tItens[[#This Row],[Produto]],tProdutos[Produto],0)),"Não")</f>
        <v>Não</v>
      </c>
      <c r="O1118" t="str">
        <f>IFERROR(INDEX(tEditais[SRP],MATCH(tItens[[#This Row],[Edital]],tEditais[Edital],0)),"Não")</f>
        <v>Não</v>
      </c>
      <c r="P1118" s="4">
        <f>IF(COUNTIFS(INDEX(tItens[Edital],1):tItens[[#This Row],[Edital]],tItens[[#This Row],[Edital]],INDEX(tItens[Produto],1):tItens[[#This Row],[Produto]],tItens[[#This Row],[Produto]])=1,1,0)</f>
        <v>1</v>
      </c>
    </row>
    <row r="1119" spans="1:16" x14ac:dyDescent="0.25">
      <c r="A1119" t="s">
        <v>1080</v>
      </c>
      <c r="B1119">
        <v>35</v>
      </c>
      <c r="C1119" t="s">
        <v>4154</v>
      </c>
      <c r="D1119" t="s">
        <v>77</v>
      </c>
      <c r="E1119" s="13">
        <v>94</v>
      </c>
      <c r="F1119" s="12">
        <v>8.92</v>
      </c>
      <c r="G1119" t="str">
        <f>IFERROR(INDEX(tEditais[Órgão],MATCH(tItens[[#This Row],[Edital]],tEditais[Edital],0)),"")</f>
        <v>UNIVERSIDADE FEDERAL DO ESPIRITO SANTO</v>
      </c>
      <c r="H1119" t="str">
        <f>IFERROR(INDEX(tEditais[UF],MATCH(tItens[[#This Row],[Edital]],tEditais[Edital],0)),"")</f>
        <v>ES</v>
      </c>
      <c r="I1119" s="11">
        <f>IFERROR(INDEX(tEditais[Encerramento],MATCH(tItens[[#This Row],[Edital]],tEditais[Edital],0)),"")</f>
        <v>46304.375</v>
      </c>
      <c r="J1119" t="str">
        <f>IFERROR(INDEX(tProdutos[Classe],MATCH(tItens[[#This Row],[Produto]],tProdutos[Produto],0)),"produto não cadastrado")</f>
        <v>DISPUTADO</v>
      </c>
      <c r="K1119" s="12">
        <f>tItens[[#This Row],[Qtd]]*tItens[[#This Row],[Vlr unit]]</f>
        <v>838.48</v>
      </c>
      <c r="L1119" s="6">
        <f>IFERROR(IF(INDEX(tProdutos[Desconto homologado],MATCH(tItens[[#This Row],[Produto]],tProdutos[Produto],0))="",DescontoPadrao,INDEX(tProdutos[Desconto homologado],MATCH(tItens[[#This Row],[Produto]],tProdutos[Produto],0))),DescontoPadrao)</f>
        <v>0.33</v>
      </c>
      <c r="M1119" s="12">
        <f>tItens[[#This Row],[Valor]]*(1-tItens[[#This Row],[Desconto]])</f>
        <v>561.78159999999991</v>
      </c>
      <c r="N1119" t="str">
        <f>IFERROR(INDEX(tProdutos[Foco],MATCH(tItens[[#This Row],[Produto]],tProdutos[Produto],0)),"Não")</f>
        <v>Sim</v>
      </c>
      <c r="O1119" t="str">
        <f>IFERROR(INDEX(tEditais[SRP],MATCH(tItens[[#This Row],[Edital]],tEditais[Edital],0)),"Não")</f>
        <v>Não</v>
      </c>
      <c r="P1119" s="4">
        <f>IF(COUNTIFS(INDEX(tItens[Edital],1):tItens[[#This Row],[Edital]],tItens[[#This Row],[Edital]],INDEX(tItens[Produto],1):tItens[[#This Row],[Produto]],tItens[[#This Row],[Produto]])=1,1,0)</f>
        <v>1</v>
      </c>
    </row>
    <row r="1120" spans="1:16" x14ac:dyDescent="0.25">
      <c r="A1120" t="s">
        <v>1080</v>
      </c>
      <c r="B1120">
        <v>36</v>
      </c>
      <c r="C1120" t="s">
        <v>4224</v>
      </c>
      <c r="D1120" t="s">
        <v>77</v>
      </c>
      <c r="E1120" s="13">
        <v>10</v>
      </c>
      <c r="F1120" s="12">
        <v>21.08</v>
      </c>
      <c r="G1120" t="str">
        <f>IFERROR(INDEX(tEditais[Órgão],MATCH(tItens[[#This Row],[Edital]],tEditais[Edital],0)),"")</f>
        <v>UNIVERSIDADE FEDERAL DO ESPIRITO SANTO</v>
      </c>
      <c r="H1120" t="str">
        <f>IFERROR(INDEX(tEditais[UF],MATCH(tItens[[#This Row],[Edital]],tEditais[Edital],0)),"")</f>
        <v>ES</v>
      </c>
      <c r="I1120" s="11">
        <f>IFERROR(INDEX(tEditais[Encerramento],MATCH(tItens[[#This Row],[Edital]],tEditais[Edital],0)),"")</f>
        <v>46304.375</v>
      </c>
      <c r="J1120" t="str">
        <f>IFERROR(INDEX(tProdutos[Classe],MATCH(tItens[[#This Row],[Produto]],tProdutos[Produto],0)),"produto não cadastrado")</f>
        <v>DISPUTADO</v>
      </c>
      <c r="K1120" s="12">
        <f>tItens[[#This Row],[Qtd]]*tItens[[#This Row],[Vlr unit]]</f>
        <v>210.79999999999998</v>
      </c>
      <c r="L1120" s="6">
        <f>IFERROR(IF(INDEX(tProdutos[Desconto homologado],MATCH(tItens[[#This Row],[Produto]],tProdutos[Produto],0))="",DescontoPadrao,INDEX(tProdutos[Desconto homologado],MATCH(tItens[[#This Row],[Produto]],tProdutos[Produto],0))),DescontoPadrao)</f>
        <v>0.33</v>
      </c>
      <c r="M1120" s="12">
        <f>tItens[[#This Row],[Valor]]*(1-tItens[[#This Row],[Desconto]])</f>
        <v>141.23599999999996</v>
      </c>
      <c r="N1120" t="str">
        <f>IFERROR(INDEX(tProdutos[Foco],MATCH(tItens[[#This Row],[Produto]],tProdutos[Produto],0)),"Não")</f>
        <v>Sim</v>
      </c>
      <c r="O1120" t="str">
        <f>IFERROR(INDEX(tEditais[SRP],MATCH(tItens[[#This Row],[Edital]],tEditais[Edital],0)),"Não")</f>
        <v>Não</v>
      </c>
      <c r="P1120" s="4">
        <f>IF(COUNTIFS(INDEX(tItens[Edital],1):tItens[[#This Row],[Edital]],tItens[[#This Row],[Edital]],INDEX(tItens[Produto],1):tItens[[#This Row],[Produto]],tItens[[#This Row],[Produto]])=1,1,0)</f>
        <v>0</v>
      </c>
    </row>
    <row r="1121" spans="1:16" x14ac:dyDescent="0.25">
      <c r="A1121" t="s">
        <v>1080</v>
      </c>
      <c r="B1121">
        <v>39</v>
      </c>
      <c r="C1121" t="s">
        <v>4225</v>
      </c>
      <c r="D1121" t="s">
        <v>140</v>
      </c>
      <c r="E1121" s="13">
        <v>1</v>
      </c>
      <c r="F1121" s="12">
        <v>121.28</v>
      </c>
      <c r="G1121" t="str">
        <f>IFERROR(INDEX(tEditais[Órgão],MATCH(tItens[[#This Row],[Edital]],tEditais[Edital],0)),"")</f>
        <v>UNIVERSIDADE FEDERAL DO ESPIRITO SANTO</v>
      </c>
      <c r="H1121" t="str">
        <f>IFERROR(INDEX(tEditais[UF],MATCH(tItens[[#This Row],[Edital]],tEditais[Edital],0)),"")</f>
        <v>ES</v>
      </c>
      <c r="I1121" s="11">
        <f>IFERROR(INDEX(tEditais[Encerramento],MATCH(tItens[[#This Row],[Edital]],tEditais[Edital],0)),"")</f>
        <v>46304.375</v>
      </c>
      <c r="J1121" t="str">
        <f>IFERROR(INDEX(tProdutos[Classe],MATCH(tItens[[#This Row],[Produto]],tProdutos[Produto],0)),"produto não cadastrado")</f>
        <v>DISPUTADO</v>
      </c>
      <c r="K1121" s="12">
        <f>tItens[[#This Row],[Qtd]]*tItens[[#This Row],[Vlr unit]]</f>
        <v>121.28</v>
      </c>
      <c r="L1121" s="6">
        <f>IFERROR(IF(INDEX(tProdutos[Desconto homologado],MATCH(tItens[[#This Row],[Produto]],tProdutos[Produto],0))="",DescontoPadrao,INDEX(tProdutos[Desconto homologado],MATCH(tItens[[#This Row],[Produto]],tProdutos[Produto],0))),DescontoPadrao)</f>
        <v>0.48560177208958899</v>
      </c>
      <c r="M1121" s="12">
        <f>tItens[[#This Row],[Valor]]*(1-tItens[[#This Row],[Desconto]])</f>
        <v>62.386217080974646</v>
      </c>
      <c r="N1121" t="str">
        <f>IFERROR(INDEX(tProdutos[Foco],MATCH(tItens[[#This Row],[Produto]],tProdutos[Produto],0)),"Não")</f>
        <v>Não</v>
      </c>
      <c r="O1121" t="str">
        <f>IFERROR(INDEX(tEditais[SRP],MATCH(tItens[[#This Row],[Edital]],tEditais[Edital],0)),"Não")</f>
        <v>Não</v>
      </c>
      <c r="P1121" s="4">
        <f>IF(COUNTIFS(INDEX(tItens[Edital],1):tItens[[#This Row],[Edital]],tItens[[#This Row],[Edital]],INDEX(tItens[Produto],1):tItens[[#This Row],[Produto]],tItens[[#This Row],[Produto]])=1,1,0)</f>
        <v>1</v>
      </c>
    </row>
    <row r="1122" spans="1:16" x14ac:dyDescent="0.25">
      <c r="A1122" t="s">
        <v>1080</v>
      </c>
      <c r="B1122">
        <v>40</v>
      </c>
      <c r="C1122" t="s">
        <v>4226</v>
      </c>
      <c r="D1122" t="s">
        <v>411</v>
      </c>
      <c r="E1122" s="13">
        <v>5</v>
      </c>
      <c r="F1122" s="12">
        <v>1525.25</v>
      </c>
      <c r="G1122" t="str">
        <f>IFERROR(INDEX(tEditais[Órgão],MATCH(tItens[[#This Row],[Edital]],tEditais[Edital],0)),"")</f>
        <v>UNIVERSIDADE FEDERAL DO ESPIRITO SANTO</v>
      </c>
      <c r="H1122" t="str">
        <f>IFERROR(INDEX(tEditais[UF],MATCH(tItens[[#This Row],[Edital]],tEditais[Edital],0)),"")</f>
        <v>ES</v>
      </c>
      <c r="I1122" s="11">
        <f>IFERROR(INDEX(tEditais[Encerramento],MATCH(tItens[[#This Row],[Edital]],tEditais[Edital],0)),"")</f>
        <v>46304.375</v>
      </c>
      <c r="J1122" t="str">
        <f>IFERROR(INDEX(tProdutos[Classe],MATCH(tItens[[#This Row],[Produto]],tProdutos[Produto],0)),"produto não cadastrado")</f>
        <v>FORA</v>
      </c>
      <c r="K1122" s="12">
        <f>tItens[[#This Row],[Qtd]]*tItens[[#This Row],[Vlr unit]]</f>
        <v>7626.25</v>
      </c>
      <c r="L1122" s="6">
        <f>IFERROR(IF(INDEX(tProdutos[Desconto homologado],MATCH(tItens[[#This Row],[Produto]],tProdutos[Produto],0))="",DescontoPadrao,INDEX(tProdutos[Desconto homologado],MATCH(tItens[[#This Row],[Produto]],tProdutos[Produto],0))),DescontoPadrao)</f>
        <v>0.50029835957199398</v>
      </c>
      <c r="M1122" s="12">
        <f>tItens[[#This Row],[Valor]]*(1-tItens[[#This Row],[Desconto]])</f>
        <v>3810.8496353140808</v>
      </c>
      <c r="N1122" t="str">
        <f>IFERROR(INDEX(tProdutos[Foco],MATCH(tItens[[#This Row],[Produto]],tProdutos[Produto],0)),"Não")</f>
        <v>Não</v>
      </c>
      <c r="O1122" t="str">
        <f>IFERROR(INDEX(tEditais[SRP],MATCH(tItens[[#This Row],[Edital]],tEditais[Edital],0)),"Não")</f>
        <v>Não</v>
      </c>
      <c r="P1122" s="4">
        <f>IF(COUNTIFS(INDEX(tItens[Edital],1):tItens[[#This Row],[Edital]],tItens[[#This Row],[Edital]],INDEX(tItens[Produto],1):tItens[[#This Row],[Produto]],tItens[[#This Row],[Produto]])=1,1,0)</f>
        <v>1</v>
      </c>
    </row>
    <row r="1123" spans="1:16" x14ac:dyDescent="0.25">
      <c r="A1123" t="s">
        <v>1085</v>
      </c>
      <c r="B1123">
        <v>1</v>
      </c>
      <c r="C1123" t="s">
        <v>4227</v>
      </c>
      <c r="D1123" t="s">
        <v>315</v>
      </c>
      <c r="E1123" s="13">
        <v>40000</v>
      </c>
      <c r="F1123" s="12">
        <v>0</v>
      </c>
      <c r="G1123" t="str">
        <f>IFERROR(INDEX(tEditais[Órgão],MATCH(tItens[[#This Row],[Edital]],tEditais[Edital],0)),"")</f>
        <v>EMPRESA BRASILEIRA DE SERVICOS HOSPITALARES - EBSERH</v>
      </c>
      <c r="H1123" t="str">
        <f>IFERROR(INDEX(tEditais[UF],MATCH(tItens[[#This Row],[Edital]],tEditais[Edital],0)),"")</f>
        <v>ES</v>
      </c>
      <c r="I1123" s="11">
        <f>IFERROR(INDEX(tEditais[Encerramento],MATCH(tItens[[#This Row],[Edital]],tEditais[Edital],0)),"")</f>
        <v>46304.375</v>
      </c>
      <c r="J1123" t="str">
        <f>IFERROR(INDEX(tProdutos[Classe],MATCH(tItens[[#This Row],[Produto]],tProdutos[Produto],0)),"produto não cadastrado")</f>
        <v>FORA</v>
      </c>
      <c r="K1123" s="12">
        <f>tItens[[#This Row],[Qtd]]*tItens[[#This Row],[Vlr unit]]</f>
        <v>0</v>
      </c>
      <c r="L1123" s="6">
        <f>IFERROR(IF(INDEX(tProdutos[Desconto homologado],MATCH(tItens[[#This Row],[Produto]],tProdutos[Produto],0))="",DescontoPadrao,INDEX(tProdutos[Desconto homologado],MATCH(tItens[[#This Row],[Produto]],tProdutos[Produto],0))),DescontoPadrao)</f>
        <v>0.38432036097010702</v>
      </c>
      <c r="M1123" s="12">
        <f>tItens[[#This Row],[Valor]]*(1-tItens[[#This Row],[Desconto]])</f>
        <v>0</v>
      </c>
      <c r="N1123" t="str">
        <f>IFERROR(INDEX(tProdutos[Foco],MATCH(tItens[[#This Row],[Produto]],tProdutos[Produto],0)),"Não")</f>
        <v>Não</v>
      </c>
      <c r="O1123" t="str">
        <f>IFERROR(INDEX(tEditais[SRP],MATCH(tItens[[#This Row],[Edital]],tEditais[Edital],0)),"Não")</f>
        <v>Não</v>
      </c>
      <c r="P1123" s="4">
        <f>IF(COUNTIFS(INDEX(tItens[Edital],1):tItens[[#This Row],[Edital]],tItens[[#This Row],[Edital]],INDEX(tItens[Produto],1):tItens[[#This Row],[Produto]],tItens[[#This Row],[Produto]])=1,1,0)</f>
        <v>1</v>
      </c>
    </row>
    <row r="1124" spans="1:16" x14ac:dyDescent="0.25">
      <c r="A1124" t="s">
        <v>1085</v>
      </c>
      <c r="B1124">
        <v>2</v>
      </c>
      <c r="C1124" t="s">
        <v>4228</v>
      </c>
      <c r="D1124" t="s">
        <v>315</v>
      </c>
      <c r="E1124" s="13">
        <v>28000</v>
      </c>
      <c r="F1124" s="12">
        <v>0</v>
      </c>
      <c r="G1124" t="str">
        <f>IFERROR(INDEX(tEditais[Órgão],MATCH(tItens[[#This Row],[Edital]],tEditais[Edital],0)),"")</f>
        <v>EMPRESA BRASILEIRA DE SERVICOS HOSPITALARES - EBSERH</v>
      </c>
      <c r="H1124" t="str">
        <f>IFERROR(INDEX(tEditais[UF],MATCH(tItens[[#This Row],[Edital]],tEditais[Edital],0)),"")</f>
        <v>ES</v>
      </c>
      <c r="I1124" s="11">
        <f>IFERROR(INDEX(tEditais[Encerramento],MATCH(tItens[[#This Row],[Edital]],tEditais[Edital],0)),"")</f>
        <v>46304.375</v>
      </c>
      <c r="J1124" t="str">
        <f>IFERROR(INDEX(tProdutos[Classe],MATCH(tItens[[#This Row],[Produto]],tProdutos[Produto],0)),"produto não cadastrado")</f>
        <v>FORA</v>
      </c>
      <c r="K1124" s="12">
        <f>tItens[[#This Row],[Qtd]]*tItens[[#This Row],[Vlr unit]]</f>
        <v>0</v>
      </c>
      <c r="L1124" s="6">
        <f>IFERROR(IF(INDEX(tProdutos[Desconto homologado],MATCH(tItens[[#This Row],[Produto]],tProdutos[Produto],0))="",DescontoPadrao,INDEX(tProdutos[Desconto homologado],MATCH(tItens[[#This Row],[Produto]],tProdutos[Produto],0))),DescontoPadrao)</f>
        <v>0.38432036097010702</v>
      </c>
      <c r="M1124" s="12">
        <f>tItens[[#This Row],[Valor]]*(1-tItens[[#This Row],[Desconto]])</f>
        <v>0</v>
      </c>
      <c r="N1124" t="str">
        <f>IFERROR(INDEX(tProdutos[Foco],MATCH(tItens[[#This Row],[Produto]],tProdutos[Produto],0)),"Não")</f>
        <v>Não</v>
      </c>
      <c r="O1124" t="str">
        <f>IFERROR(INDEX(tEditais[SRP],MATCH(tItens[[#This Row],[Edital]],tEditais[Edital],0)),"Não")</f>
        <v>Não</v>
      </c>
      <c r="P1124" s="4">
        <f>IF(COUNTIFS(INDEX(tItens[Edital],1):tItens[[#This Row],[Edital]],tItens[[#This Row],[Edital]],INDEX(tItens[Produto],1):tItens[[#This Row],[Produto]],tItens[[#This Row],[Produto]])=1,1,0)</f>
        <v>0</v>
      </c>
    </row>
    <row r="1125" spans="1:16" x14ac:dyDescent="0.25">
      <c r="A1125" t="s">
        <v>1085</v>
      </c>
      <c r="B1125">
        <v>3</v>
      </c>
      <c r="C1125" t="s">
        <v>4229</v>
      </c>
      <c r="D1125" t="s">
        <v>71</v>
      </c>
      <c r="E1125" s="13">
        <v>500</v>
      </c>
      <c r="F1125" s="12">
        <v>0</v>
      </c>
      <c r="G1125" t="str">
        <f>IFERROR(INDEX(tEditais[Órgão],MATCH(tItens[[#This Row],[Edital]],tEditais[Edital],0)),"")</f>
        <v>EMPRESA BRASILEIRA DE SERVICOS HOSPITALARES - EBSERH</v>
      </c>
      <c r="H1125" t="str">
        <f>IFERROR(INDEX(tEditais[UF],MATCH(tItens[[#This Row],[Edital]],tEditais[Edital],0)),"")</f>
        <v>ES</v>
      </c>
      <c r="I1125" s="11">
        <f>IFERROR(INDEX(tEditais[Encerramento],MATCH(tItens[[#This Row],[Edital]],tEditais[Edital],0)),"")</f>
        <v>46304.375</v>
      </c>
      <c r="J1125" t="str">
        <f>IFERROR(INDEX(tProdutos[Classe],MATCH(tItens[[#This Row],[Produto]],tProdutos[Produto],0)),"produto não cadastrado")</f>
        <v>NÚCLEO</v>
      </c>
      <c r="K1125" s="12">
        <f>tItens[[#This Row],[Qtd]]*tItens[[#This Row],[Vlr unit]]</f>
        <v>0</v>
      </c>
      <c r="L1125" s="6">
        <f>IFERROR(IF(INDEX(tProdutos[Desconto homologado],MATCH(tItens[[#This Row],[Produto]],tProdutos[Produto],0))="",DescontoPadrao,INDEX(tProdutos[Desconto homologado],MATCH(tItens[[#This Row],[Produto]],tProdutos[Produto],0))),DescontoPadrao)</f>
        <v>0.44981412639405199</v>
      </c>
      <c r="M1125" s="12">
        <f>tItens[[#This Row],[Valor]]*(1-tItens[[#This Row],[Desconto]])</f>
        <v>0</v>
      </c>
      <c r="N1125" t="str">
        <f>IFERROR(INDEX(tProdutos[Foco],MATCH(tItens[[#This Row],[Produto]],tProdutos[Produto],0)),"Não")</f>
        <v>Não</v>
      </c>
      <c r="O1125" t="str">
        <f>IFERROR(INDEX(tEditais[SRP],MATCH(tItens[[#This Row],[Edital]],tEditais[Edital],0)),"Não")</f>
        <v>Não</v>
      </c>
      <c r="P1125" s="4">
        <f>IF(COUNTIFS(INDEX(tItens[Edital],1):tItens[[#This Row],[Edital]],tItens[[#This Row],[Edital]],INDEX(tItens[Produto],1):tItens[[#This Row],[Produto]],tItens[[#This Row],[Produto]])=1,1,0)</f>
        <v>1</v>
      </c>
    </row>
    <row r="1126" spans="1:16" x14ac:dyDescent="0.25">
      <c r="A1126" t="s">
        <v>1085</v>
      </c>
      <c r="B1126">
        <v>4</v>
      </c>
      <c r="C1126" t="s">
        <v>4230</v>
      </c>
      <c r="D1126" t="s">
        <v>315</v>
      </c>
      <c r="E1126" s="13">
        <v>200000</v>
      </c>
      <c r="F1126" s="12">
        <v>0</v>
      </c>
      <c r="G1126" t="str">
        <f>IFERROR(INDEX(tEditais[Órgão],MATCH(tItens[[#This Row],[Edital]],tEditais[Edital],0)),"")</f>
        <v>EMPRESA BRASILEIRA DE SERVICOS HOSPITALARES - EBSERH</v>
      </c>
      <c r="H1126" t="str">
        <f>IFERROR(INDEX(tEditais[UF],MATCH(tItens[[#This Row],[Edital]],tEditais[Edital],0)),"")</f>
        <v>ES</v>
      </c>
      <c r="I1126" s="11">
        <f>IFERROR(INDEX(tEditais[Encerramento],MATCH(tItens[[#This Row],[Edital]],tEditais[Edital],0)),"")</f>
        <v>46304.375</v>
      </c>
      <c r="J1126" t="str">
        <f>IFERROR(INDEX(tProdutos[Classe],MATCH(tItens[[#This Row],[Produto]],tProdutos[Produto],0)),"produto não cadastrado")</f>
        <v>FORA</v>
      </c>
      <c r="K1126" s="12">
        <f>tItens[[#This Row],[Qtd]]*tItens[[#This Row],[Vlr unit]]</f>
        <v>0</v>
      </c>
      <c r="L1126" s="6">
        <f>IFERROR(IF(INDEX(tProdutos[Desconto homologado],MATCH(tItens[[#This Row],[Produto]],tProdutos[Produto],0))="",DescontoPadrao,INDEX(tProdutos[Desconto homologado],MATCH(tItens[[#This Row],[Produto]],tProdutos[Produto],0))),DescontoPadrao)</f>
        <v>0.38432036097010702</v>
      </c>
      <c r="M1126" s="12">
        <f>tItens[[#This Row],[Valor]]*(1-tItens[[#This Row],[Desconto]])</f>
        <v>0</v>
      </c>
      <c r="N1126" t="str">
        <f>IFERROR(INDEX(tProdutos[Foco],MATCH(tItens[[#This Row],[Produto]],tProdutos[Produto],0)),"Não")</f>
        <v>Não</v>
      </c>
      <c r="O1126" t="str">
        <f>IFERROR(INDEX(tEditais[SRP],MATCH(tItens[[#This Row],[Edital]],tEditais[Edital],0)),"Não")</f>
        <v>Não</v>
      </c>
      <c r="P1126" s="4">
        <f>IF(COUNTIFS(INDEX(tItens[Edital],1):tItens[[#This Row],[Edital]],tItens[[#This Row],[Edital]],INDEX(tItens[Produto],1):tItens[[#This Row],[Produto]],tItens[[#This Row],[Produto]])=1,1,0)</f>
        <v>0</v>
      </c>
    </row>
    <row r="1127" spans="1:16" x14ac:dyDescent="0.25">
      <c r="A1127" t="s">
        <v>1085</v>
      </c>
      <c r="B1127">
        <v>14</v>
      </c>
      <c r="C1127" t="s">
        <v>4231</v>
      </c>
      <c r="D1127" t="s">
        <v>275</v>
      </c>
      <c r="E1127" s="13">
        <v>5000</v>
      </c>
      <c r="F1127" s="12">
        <v>0</v>
      </c>
      <c r="G1127" t="str">
        <f>IFERROR(INDEX(tEditais[Órgão],MATCH(tItens[[#This Row],[Edital]],tEditais[Edital],0)),"")</f>
        <v>EMPRESA BRASILEIRA DE SERVICOS HOSPITALARES - EBSERH</v>
      </c>
      <c r="H1127" t="str">
        <f>IFERROR(INDEX(tEditais[UF],MATCH(tItens[[#This Row],[Edital]],tEditais[Edital],0)),"")</f>
        <v>ES</v>
      </c>
      <c r="I1127" s="11">
        <f>IFERROR(INDEX(tEditais[Encerramento],MATCH(tItens[[#This Row],[Edital]],tEditais[Edital],0)),"")</f>
        <v>46304.375</v>
      </c>
      <c r="J1127" t="str">
        <f>IFERROR(INDEX(tProdutos[Classe],MATCH(tItens[[#This Row],[Produto]],tProdutos[Produto],0)),"produto não cadastrado")</f>
        <v>FORA</v>
      </c>
      <c r="K1127" s="12">
        <f>tItens[[#This Row],[Qtd]]*tItens[[#This Row],[Vlr unit]]</f>
        <v>0</v>
      </c>
      <c r="L1127" s="6">
        <f>IFERROR(IF(INDEX(tProdutos[Desconto homologado],MATCH(tItens[[#This Row],[Produto]],tProdutos[Produto],0))="",DescontoPadrao,INDEX(tProdutos[Desconto homologado],MATCH(tItens[[#This Row],[Produto]],tProdutos[Produto],0))),DescontoPadrao)</f>
        <v>0.405797101449275</v>
      </c>
      <c r="M1127" s="12">
        <f>tItens[[#This Row],[Valor]]*(1-tItens[[#This Row],[Desconto]])</f>
        <v>0</v>
      </c>
      <c r="N1127" t="str">
        <f>IFERROR(INDEX(tProdutos[Foco],MATCH(tItens[[#This Row],[Produto]],tProdutos[Produto],0)),"Não")</f>
        <v>Não</v>
      </c>
      <c r="O1127" t="str">
        <f>IFERROR(INDEX(tEditais[SRP],MATCH(tItens[[#This Row],[Edital]],tEditais[Edital],0)),"Não")</f>
        <v>Não</v>
      </c>
      <c r="P1127" s="4">
        <f>IF(COUNTIFS(INDEX(tItens[Edital],1):tItens[[#This Row],[Edital]],tItens[[#This Row],[Edital]],INDEX(tItens[Produto],1):tItens[[#This Row],[Produto]],tItens[[#This Row],[Produto]])=1,1,0)</f>
        <v>1</v>
      </c>
    </row>
    <row r="1128" spans="1:16" x14ac:dyDescent="0.25">
      <c r="A1128" t="s">
        <v>1085</v>
      </c>
      <c r="B1128">
        <v>19</v>
      </c>
      <c r="C1128" t="s">
        <v>4232</v>
      </c>
      <c r="D1128" t="s">
        <v>281</v>
      </c>
      <c r="E1128" s="13">
        <v>3000</v>
      </c>
      <c r="F1128" s="12">
        <v>0</v>
      </c>
      <c r="G1128" t="str">
        <f>IFERROR(INDEX(tEditais[Órgão],MATCH(tItens[[#This Row],[Edital]],tEditais[Edital],0)),"")</f>
        <v>EMPRESA BRASILEIRA DE SERVICOS HOSPITALARES - EBSERH</v>
      </c>
      <c r="H1128" t="str">
        <f>IFERROR(INDEX(tEditais[UF],MATCH(tItens[[#This Row],[Edital]],tEditais[Edital],0)),"")</f>
        <v>ES</v>
      </c>
      <c r="I1128" s="11">
        <f>IFERROR(INDEX(tEditais[Encerramento],MATCH(tItens[[#This Row],[Edital]],tEditais[Edital],0)),"")</f>
        <v>46304.375</v>
      </c>
      <c r="J1128" t="str">
        <f>IFERROR(INDEX(tProdutos[Classe],MATCH(tItens[[#This Row],[Produto]],tProdutos[Produto],0)),"produto não cadastrado")</f>
        <v>DISPUTADO</v>
      </c>
      <c r="K1128" s="12">
        <f>tItens[[#This Row],[Qtd]]*tItens[[#This Row],[Vlr unit]]</f>
        <v>0</v>
      </c>
      <c r="L1128" s="6">
        <f>IFERROR(IF(INDEX(tProdutos[Desconto homologado],MATCH(tItens[[#This Row],[Produto]],tProdutos[Produto],0))="",DescontoPadrao,INDEX(tProdutos[Desconto homologado],MATCH(tItens[[#This Row],[Produto]],tProdutos[Produto],0))),DescontoPadrao)</f>
        <v>0.42461538461538501</v>
      </c>
      <c r="M1128" s="12">
        <f>tItens[[#This Row],[Valor]]*(1-tItens[[#This Row],[Desconto]])</f>
        <v>0</v>
      </c>
      <c r="N1128" t="str">
        <f>IFERROR(INDEX(tProdutos[Foco],MATCH(tItens[[#This Row],[Produto]],tProdutos[Produto],0)),"Não")</f>
        <v>Não</v>
      </c>
      <c r="O1128" t="str">
        <f>IFERROR(INDEX(tEditais[SRP],MATCH(tItens[[#This Row],[Edital]],tEditais[Edital],0)),"Não")</f>
        <v>Não</v>
      </c>
      <c r="P1128" s="4">
        <f>IF(COUNTIFS(INDEX(tItens[Edital],1):tItens[[#This Row],[Edital]],tItens[[#This Row],[Edital]],INDEX(tItens[Produto],1):tItens[[#This Row],[Produto]],tItens[[#This Row],[Produto]])=1,1,0)</f>
        <v>1</v>
      </c>
    </row>
    <row r="1129" spans="1:16" x14ac:dyDescent="0.25">
      <c r="A1129" t="s">
        <v>1088</v>
      </c>
      <c r="B1129">
        <v>2</v>
      </c>
      <c r="C1129" t="s">
        <v>4233</v>
      </c>
      <c r="D1129" t="s">
        <v>578</v>
      </c>
      <c r="E1129" s="13">
        <v>18</v>
      </c>
      <c r="F1129" s="12">
        <v>4463.2</v>
      </c>
      <c r="G1129" t="str">
        <f>IFERROR(INDEX(tEditais[Órgão],MATCH(tItens[[#This Row],[Edital]],tEditais[Edital],0)),"")</f>
        <v>SECRETARIA DE ESTADO DA SAUDE</v>
      </c>
      <c r="H1129" t="str">
        <f>IFERROR(INDEX(tEditais[UF],MATCH(tItens[[#This Row],[Edital]],tEditais[Edital],0)),"")</f>
        <v>ES</v>
      </c>
      <c r="I1129" s="11">
        <f>IFERROR(INDEX(tEditais[Encerramento],MATCH(tItens[[#This Row],[Edital]],tEditais[Edital],0)),"")</f>
        <v>46308.333333333336</v>
      </c>
      <c r="J1129" t="str">
        <f>IFERROR(INDEX(tProdutos[Classe],MATCH(tItens[[#This Row],[Produto]],tProdutos[Produto],0)),"produto não cadastrado")</f>
        <v>FILA REBASE</v>
      </c>
      <c r="K1129" s="12">
        <f>tItens[[#This Row],[Qtd]]*tItens[[#This Row],[Vlr unit]]</f>
        <v>80337.599999999991</v>
      </c>
      <c r="L1129" s="6">
        <f>IFERROR(IF(INDEX(tProdutos[Desconto homologado],MATCH(tItens[[#This Row],[Produto]],tProdutos[Produto],0))="",DescontoPadrao,INDEX(tProdutos[Desconto homologado],MATCH(tItens[[#This Row],[Produto]],tProdutos[Produto],0))),DescontoPadrao)</f>
        <v>0.36014625228519198</v>
      </c>
      <c r="M1129" s="12">
        <f>tItens[[#This Row],[Valor]]*(1-tItens[[#This Row],[Desconto]])</f>
        <v>51404.314442413161</v>
      </c>
      <c r="N1129" t="str">
        <f>IFERROR(INDEX(tProdutos[Foco],MATCH(tItens[[#This Row],[Produto]],tProdutos[Produto],0)),"Não")</f>
        <v>Não</v>
      </c>
      <c r="O1129" t="str">
        <f>IFERROR(INDEX(tEditais[SRP],MATCH(tItens[[#This Row],[Edital]],tEditais[Edital],0)),"Não")</f>
        <v>Não</v>
      </c>
      <c r="P1129" s="4">
        <f>IF(COUNTIFS(INDEX(tItens[Edital],1):tItens[[#This Row],[Edital]],tItens[[#This Row],[Edital]],INDEX(tItens[Produto],1):tItens[[#This Row],[Produto]],tItens[[#This Row],[Produto]])=1,1,0)</f>
        <v>1</v>
      </c>
    </row>
    <row r="1130" spans="1:16" x14ac:dyDescent="0.25">
      <c r="A1130" t="s">
        <v>1091</v>
      </c>
      <c r="B1130">
        <v>2</v>
      </c>
      <c r="C1130" t="s">
        <v>4234</v>
      </c>
      <c r="D1130" t="s">
        <v>277</v>
      </c>
      <c r="E1130" s="13">
        <v>2000000</v>
      </c>
      <c r="F1130" s="12">
        <v>0.19</v>
      </c>
      <c r="G1130" t="str">
        <f>IFERROR(INDEX(tEditais[Órgão],MATCH(tItens[[#This Row],[Edital]],tEditais[Edital],0)),"")</f>
        <v>MUNICIPIO DE LINHARES</v>
      </c>
      <c r="H1130" t="str">
        <f>IFERROR(INDEX(tEditais[UF],MATCH(tItens[[#This Row],[Edital]],tEditais[Edital],0)),"")</f>
        <v>ES</v>
      </c>
      <c r="I1130" s="11">
        <f>IFERROR(INDEX(tEditais[Encerramento],MATCH(tItens[[#This Row],[Edital]],tEditais[Edital],0)),"")</f>
        <v>46308.333333333336</v>
      </c>
      <c r="J1130" t="str">
        <f>IFERROR(INDEX(tProdutos[Classe],MATCH(tItens[[#This Row],[Produto]],tProdutos[Produto],0)),"produto não cadastrado")</f>
        <v>DISPUTADO</v>
      </c>
      <c r="K1130" s="12">
        <f>tItens[[#This Row],[Qtd]]*tItens[[#This Row],[Vlr unit]]</f>
        <v>380000</v>
      </c>
      <c r="L1130" s="6">
        <f>IFERROR(IF(INDEX(tProdutos[Desconto homologado],MATCH(tItens[[#This Row],[Produto]],tProdutos[Produto],0))="",DescontoPadrao,INDEX(tProdutos[Desconto homologado],MATCH(tItens[[#This Row],[Produto]],tProdutos[Produto],0))),DescontoPadrao)</f>
        <v>0.50460666194188497</v>
      </c>
      <c r="M1130" s="12">
        <f>tItens[[#This Row],[Valor]]*(1-tItens[[#This Row],[Desconto]])</f>
        <v>188249.46846208372</v>
      </c>
      <c r="N1130" t="str">
        <f>IFERROR(INDEX(tProdutos[Foco],MATCH(tItens[[#This Row],[Produto]],tProdutos[Produto],0)),"Não")</f>
        <v>Não</v>
      </c>
      <c r="O1130" t="str">
        <f>IFERROR(INDEX(tEditais[SRP],MATCH(tItens[[#This Row],[Edital]],tEditais[Edital],0)),"Não")</f>
        <v>Não</v>
      </c>
      <c r="P1130" s="4">
        <f>IF(COUNTIFS(INDEX(tItens[Edital],1):tItens[[#This Row],[Edital]],tItens[[#This Row],[Edital]],INDEX(tItens[Produto],1):tItens[[#This Row],[Produto]],tItens[[#This Row],[Produto]])=1,1,0)</f>
        <v>1</v>
      </c>
    </row>
    <row r="1131" spans="1:16" x14ac:dyDescent="0.25">
      <c r="A1131" t="s">
        <v>1091</v>
      </c>
      <c r="B1131">
        <v>3</v>
      </c>
      <c r="C1131" t="s">
        <v>4235</v>
      </c>
      <c r="D1131" t="s">
        <v>317</v>
      </c>
      <c r="E1131" s="13">
        <v>400000</v>
      </c>
      <c r="F1131" s="12">
        <v>0.56000000000000005</v>
      </c>
      <c r="G1131" t="str">
        <f>IFERROR(INDEX(tEditais[Órgão],MATCH(tItens[[#This Row],[Edital]],tEditais[Edital],0)),"")</f>
        <v>MUNICIPIO DE LINHARES</v>
      </c>
      <c r="H1131" t="str">
        <f>IFERROR(INDEX(tEditais[UF],MATCH(tItens[[#This Row],[Edital]],tEditais[Edital],0)),"")</f>
        <v>ES</v>
      </c>
      <c r="I1131" s="11">
        <f>IFERROR(INDEX(tEditais[Encerramento],MATCH(tItens[[#This Row],[Edital]],tEditais[Edital],0)),"")</f>
        <v>46308.333333333336</v>
      </c>
      <c r="J1131" t="str">
        <f>IFERROR(INDEX(tProdutos[Classe],MATCH(tItens[[#This Row],[Produto]],tProdutos[Produto],0)),"produto não cadastrado")</f>
        <v>FORA</v>
      </c>
      <c r="K1131" s="12">
        <f>tItens[[#This Row],[Qtd]]*tItens[[#This Row],[Vlr unit]]</f>
        <v>224000.00000000003</v>
      </c>
      <c r="L1131" s="6">
        <f>IFERROR(IF(INDEX(tProdutos[Desconto homologado],MATCH(tItens[[#This Row],[Produto]],tProdutos[Produto],0))="",DescontoPadrao,INDEX(tProdutos[Desconto homologado],MATCH(tItens[[#This Row],[Produto]],tProdutos[Produto],0))),DescontoPadrao)</f>
        <v>0.5</v>
      </c>
      <c r="M1131" s="12">
        <f>tItens[[#This Row],[Valor]]*(1-tItens[[#This Row],[Desconto]])</f>
        <v>112000.00000000001</v>
      </c>
      <c r="N1131" t="str">
        <f>IFERROR(INDEX(tProdutos[Foco],MATCH(tItens[[#This Row],[Produto]],tProdutos[Produto],0)),"Não")</f>
        <v>Não</v>
      </c>
      <c r="O1131" t="str">
        <f>IFERROR(INDEX(tEditais[SRP],MATCH(tItens[[#This Row],[Edital]],tEditais[Edital],0)),"Não")</f>
        <v>Não</v>
      </c>
      <c r="P1131" s="4">
        <f>IF(COUNTIFS(INDEX(tItens[Edital],1):tItens[[#This Row],[Edital]],tItens[[#This Row],[Edital]],INDEX(tItens[Produto],1):tItens[[#This Row],[Produto]],tItens[[#This Row],[Produto]])=1,1,0)</f>
        <v>1</v>
      </c>
    </row>
    <row r="1132" spans="1:16" x14ac:dyDescent="0.25">
      <c r="A1132" t="s">
        <v>1096</v>
      </c>
      <c r="B1132">
        <v>13</v>
      </c>
      <c r="C1132" t="s">
        <v>4225</v>
      </c>
      <c r="D1132" t="s">
        <v>140</v>
      </c>
      <c r="E1132" s="13">
        <v>5</v>
      </c>
      <c r="F1132" s="12">
        <v>18.399999999999999</v>
      </c>
      <c r="G1132" t="str">
        <f>IFERROR(INDEX(tEditais[Órgão],MATCH(tItens[[#This Row],[Edital]],tEditais[Edital],0)),"")</f>
        <v>UNIVERSIDADE FEDERAL DO ESPIRITO SANTO</v>
      </c>
      <c r="H1132" t="str">
        <f>IFERROR(INDEX(tEditais[UF],MATCH(tItens[[#This Row],[Edital]],tEditais[Edital],0)),"")</f>
        <v>ES</v>
      </c>
      <c r="I1132" s="11">
        <f>IFERROR(INDEX(tEditais[Encerramento],MATCH(tItens[[#This Row],[Edital]],tEditais[Edital],0)),"")</f>
        <v>46308.375</v>
      </c>
      <c r="J1132" t="str">
        <f>IFERROR(INDEX(tProdutos[Classe],MATCH(tItens[[#This Row],[Produto]],tProdutos[Produto],0)),"produto não cadastrado")</f>
        <v>DISPUTADO</v>
      </c>
      <c r="K1132" s="12">
        <f>tItens[[#This Row],[Qtd]]*tItens[[#This Row],[Vlr unit]]</f>
        <v>92</v>
      </c>
      <c r="L1132" s="6">
        <f>IFERROR(IF(INDEX(tProdutos[Desconto homologado],MATCH(tItens[[#This Row],[Produto]],tProdutos[Produto],0))="",DescontoPadrao,INDEX(tProdutos[Desconto homologado],MATCH(tItens[[#This Row],[Produto]],tProdutos[Produto],0))),DescontoPadrao)</f>
        <v>0.48560177208958899</v>
      </c>
      <c r="M1132" s="12">
        <f>tItens[[#This Row],[Valor]]*(1-tItens[[#This Row],[Desconto]])</f>
        <v>47.324636967757812</v>
      </c>
      <c r="N1132" t="str">
        <f>IFERROR(INDEX(tProdutos[Foco],MATCH(tItens[[#This Row],[Produto]],tProdutos[Produto],0)),"Não")</f>
        <v>Não</v>
      </c>
      <c r="O1132" t="str">
        <f>IFERROR(INDEX(tEditais[SRP],MATCH(tItens[[#This Row],[Edital]],tEditais[Edital],0)),"Não")</f>
        <v>Não</v>
      </c>
      <c r="P1132" s="4">
        <f>IF(COUNTIFS(INDEX(tItens[Edital],1):tItens[[#This Row],[Edital]],tItens[[#This Row],[Edital]],INDEX(tItens[Produto],1):tItens[[#This Row],[Produto]],tItens[[#This Row],[Produto]])=1,1,0)</f>
        <v>1</v>
      </c>
    </row>
    <row r="1133" spans="1:16" x14ac:dyDescent="0.25">
      <c r="A1133" t="s">
        <v>1096</v>
      </c>
      <c r="B1133">
        <v>18</v>
      </c>
      <c r="C1133" t="s">
        <v>3475</v>
      </c>
      <c r="D1133" t="s">
        <v>313</v>
      </c>
      <c r="E1133" s="13">
        <v>138</v>
      </c>
      <c r="F1133" s="12">
        <v>19.149999999999999</v>
      </c>
      <c r="G1133" t="str">
        <f>IFERROR(INDEX(tEditais[Órgão],MATCH(tItens[[#This Row],[Edital]],tEditais[Edital],0)),"")</f>
        <v>UNIVERSIDADE FEDERAL DO ESPIRITO SANTO</v>
      </c>
      <c r="H1133" t="str">
        <f>IFERROR(INDEX(tEditais[UF],MATCH(tItens[[#This Row],[Edital]],tEditais[Edital],0)),"")</f>
        <v>ES</v>
      </c>
      <c r="I1133" s="11">
        <f>IFERROR(INDEX(tEditais[Encerramento],MATCH(tItens[[#This Row],[Edital]],tEditais[Edital],0)),"")</f>
        <v>46308.375</v>
      </c>
      <c r="J1133" t="str">
        <f>IFERROR(INDEX(tProdutos[Classe],MATCH(tItens[[#This Row],[Produto]],tProdutos[Produto],0)),"produto não cadastrado")</f>
        <v>FORA</v>
      </c>
      <c r="K1133" s="12">
        <f>tItens[[#This Row],[Qtd]]*tItens[[#This Row],[Vlr unit]]</f>
        <v>2642.7</v>
      </c>
      <c r="L1133" s="6">
        <f>IFERROR(IF(INDEX(tProdutos[Desconto homologado],MATCH(tItens[[#This Row],[Produto]],tProdutos[Produto],0))="",DescontoPadrao,INDEX(tProdutos[Desconto homologado],MATCH(tItens[[#This Row],[Produto]],tProdutos[Produto],0))),DescontoPadrao)</f>
        <v>0.35766373163696302</v>
      </c>
      <c r="M1133" s="12">
        <f>tItens[[#This Row],[Valor]]*(1-tItens[[#This Row],[Desconto]])</f>
        <v>1697.5020564029976</v>
      </c>
      <c r="N1133" t="str">
        <f>IFERROR(INDEX(tProdutos[Foco],MATCH(tItens[[#This Row],[Produto]],tProdutos[Produto],0)),"Não")</f>
        <v>Não</v>
      </c>
      <c r="O1133" t="str">
        <f>IFERROR(INDEX(tEditais[SRP],MATCH(tItens[[#This Row],[Edital]],tEditais[Edital],0)),"Não")</f>
        <v>Não</v>
      </c>
      <c r="P1133" s="4">
        <f>IF(COUNTIFS(INDEX(tItens[Edital],1):tItens[[#This Row],[Edital]],tItens[[#This Row],[Edital]],INDEX(tItens[Produto],1):tItens[[#This Row],[Produto]],tItens[[#This Row],[Produto]])=1,1,0)</f>
        <v>1</v>
      </c>
    </row>
    <row r="1134" spans="1:16" x14ac:dyDescent="0.25">
      <c r="A1134" t="s">
        <v>1096</v>
      </c>
      <c r="B1134">
        <v>21</v>
      </c>
      <c r="C1134" t="s">
        <v>4236</v>
      </c>
      <c r="D1134" t="s">
        <v>315</v>
      </c>
      <c r="E1134" s="13">
        <v>5</v>
      </c>
      <c r="F1134" s="12">
        <v>14.49</v>
      </c>
      <c r="G1134" t="str">
        <f>IFERROR(INDEX(tEditais[Órgão],MATCH(tItens[[#This Row],[Edital]],tEditais[Edital],0)),"")</f>
        <v>UNIVERSIDADE FEDERAL DO ESPIRITO SANTO</v>
      </c>
      <c r="H1134" t="str">
        <f>IFERROR(INDEX(tEditais[UF],MATCH(tItens[[#This Row],[Edital]],tEditais[Edital],0)),"")</f>
        <v>ES</v>
      </c>
      <c r="I1134" s="11">
        <f>IFERROR(INDEX(tEditais[Encerramento],MATCH(tItens[[#This Row],[Edital]],tEditais[Edital],0)),"")</f>
        <v>46308.375</v>
      </c>
      <c r="J1134" t="str">
        <f>IFERROR(INDEX(tProdutos[Classe],MATCH(tItens[[#This Row],[Produto]],tProdutos[Produto],0)),"produto não cadastrado")</f>
        <v>FORA</v>
      </c>
      <c r="K1134" s="12">
        <f>tItens[[#This Row],[Qtd]]*tItens[[#This Row],[Vlr unit]]</f>
        <v>72.45</v>
      </c>
      <c r="L1134" s="6">
        <f>IFERROR(IF(INDEX(tProdutos[Desconto homologado],MATCH(tItens[[#This Row],[Produto]],tProdutos[Produto],0))="",DescontoPadrao,INDEX(tProdutos[Desconto homologado],MATCH(tItens[[#This Row],[Produto]],tProdutos[Produto],0))),DescontoPadrao)</f>
        <v>0.38432036097010702</v>
      </c>
      <c r="M1134" s="12">
        <f>tItens[[#This Row],[Valor]]*(1-tItens[[#This Row],[Desconto]])</f>
        <v>44.605989847715747</v>
      </c>
      <c r="N1134" t="str">
        <f>IFERROR(INDEX(tProdutos[Foco],MATCH(tItens[[#This Row],[Produto]],tProdutos[Produto],0)),"Não")</f>
        <v>Não</v>
      </c>
      <c r="O1134" t="str">
        <f>IFERROR(INDEX(tEditais[SRP],MATCH(tItens[[#This Row],[Edital]],tEditais[Edital],0)),"Não")</f>
        <v>Não</v>
      </c>
      <c r="P1134" s="4">
        <f>IF(COUNTIFS(INDEX(tItens[Edital],1):tItens[[#This Row],[Edital]],tItens[[#This Row],[Edital]],INDEX(tItens[Produto],1):tItens[[#This Row],[Produto]],tItens[[#This Row],[Produto]])=1,1,0)</f>
        <v>1</v>
      </c>
    </row>
    <row r="1135" spans="1:16" x14ac:dyDescent="0.25">
      <c r="A1135" t="s">
        <v>1096</v>
      </c>
      <c r="B1135">
        <v>22</v>
      </c>
      <c r="C1135" t="s">
        <v>4236</v>
      </c>
      <c r="D1135" t="s">
        <v>315</v>
      </c>
      <c r="E1135" s="13">
        <v>500</v>
      </c>
      <c r="F1135" s="12">
        <v>0.51</v>
      </c>
      <c r="G1135" t="str">
        <f>IFERROR(INDEX(tEditais[Órgão],MATCH(tItens[[#This Row],[Edital]],tEditais[Edital],0)),"")</f>
        <v>UNIVERSIDADE FEDERAL DO ESPIRITO SANTO</v>
      </c>
      <c r="H1135" t="str">
        <f>IFERROR(INDEX(tEditais[UF],MATCH(tItens[[#This Row],[Edital]],tEditais[Edital],0)),"")</f>
        <v>ES</v>
      </c>
      <c r="I1135" s="11">
        <f>IFERROR(INDEX(tEditais[Encerramento],MATCH(tItens[[#This Row],[Edital]],tEditais[Edital],0)),"")</f>
        <v>46308.375</v>
      </c>
      <c r="J1135" t="str">
        <f>IFERROR(INDEX(tProdutos[Classe],MATCH(tItens[[#This Row],[Produto]],tProdutos[Produto],0)),"produto não cadastrado")</f>
        <v>FORA</v>
      </c>
      <c r="K1135" s="12">
        <f>tItens[[#This Row],[Qtd]]*tItens[[#This Row],[Vlr unit]]</f>
        <v>255</v>
      </c>
      <c r="L1135" s="6">
        <f>IFERROR(IF(INDEX(tProdutos[Desconto homologado],MATCH(tItens[[#This Row],[Produto]],tProdutos[Produto],0))="",DescontoPadrao,INDEX(tProdutos[Desconto homologado],MATCH(tItens[[#This Row],[Produto]],tProdutos[Produto],0))),DescontoPadrao)</f>
        <v>0.38432036097010702</v>
      </c>
      <c r="M1135" s="12">
        <f>tItens[[#This Row],[Valor]]*(1-tItens[[#This Row],[Desconto]])</f>
        <v>156.9983079526227</v>
      </c>
      <c r="N1135" t="str">
        <f>IFERROR(INDEX(tProdutos[Foco],MATCH(tItens[[#This Row],[Produto]],tProdutos[Produto],0)),"Não")</f>
        <v>Não</v>
      </c>
      <c r="O1135" t="str">
        <f>IFERROR(INDEX(tEditais[SRP],MATCH(tItens[[#This Row],[Edital]],tEditais[Edital],0)),"Não")</f>
        <v>Não</v>
      </c>
      <c r="P1135" s="4">
        <f>IF(COUNTIFS(INDEX(tItens[Edital],1):tItens[[#This Row],[Edital]],tItens[[#This Row],[Edital]],INDEX(tItens[Produto],1):tItens[[#This Row],[Produto]],tItens[[#This Row],[Produto]])=1,1,0)</f>
        <v>0</v>
      </c>
    </row>
    <row r="1136" spans="1:16" x14ac:dyDescent="0.25">
      <c r="A1136" t="s">
        <v>1096</v>
      </c>
      <c r="B1136">
        <v>24</v>
      </c>
      <c r="C1136" t="s">
        <v>4237</v>
      </c>
      <c r="D1136" t="s">
        <v>313</v>
      </c>
      <c r="E1136" s="13">
        <v>10</v>
      </c>
      <c r="F1136" s="12">
        <v>23.71</v>
      </c>
      <c r="G1136" t="str">
        <f>IFERROR(INDEX(tEditais[Órgão],MATCH(tItens[[#This Row],[Edital]],tEditais[Edital],0)),"")</f>
        <v>UNIVERSIDADE FEDERAL DO ESPIRITO SANTO</v>
      </c>
      <c r="H1136" t="str">
        <f>IFERROR(INDEX(tEditais[UF],MATCH(tItens[[#This Row],[Edital]],tEditais[Edital],0)),"")</f>
        <v>ES</v>
      </c>
      <c r="I1136" s="11">
        <f>IFERROR(INDEX(tEditais[Encerramento],MATCH(tItens[[#This Row],[Edital]],tEditais[Edital],0)),"")</f>
        <v>46308.375</v>
      </c>
      <c r="J1136" t="str">
        <f>IFERROR(INDEX(tProdutos[Classe],MATCH(tItens[[#This Row],[Produto]],tProdutos[Produto],0)),"produto não cadastrado")</f>
        <v>FORA</v>
      </c>
      <c r="K1136" s="12">
        <f>tItens[[#This Row],[Qtd]]*tItens[[#This Row],[Vlr unit]]</f>
        <v>237.10000000000002</v>
      </c>
      <c r="L1136" s="6">
        <f>IFERROR(IF(INDEX(tProdutos[Desconto homologado],MATCH(tItens[[#This Row],[Produto]],tProdutos[Produto],0))="",DescontoPadrao,INDEX(tProdutos[Desconto homologado],MATCH(tItens[[#This Row],[Produto]],tProdutos[Produto],0))),DescontoPadrao)</f>
        <v>0.35766373163696302</v>
      </c>
      <c r="M1136" s="12">
        <f>tItens[[#This Row],[Valor]]*(1-tItens[[#This Row],[Desconto]])</f>
        <v>152.29792922887606</v>
      </c>
      <c r="N1136" t="str">
        <f>IFERROR(INDEX(tProdutos[Foco],MATCH(tItens[[#This Row],[Produto]],tProdutos[Produto],0)),"Não")</f>
        <v>Não</v>
      </c>
      <c r="O1136" t="str">
        <f>IFERROR(INDEX(tEditais[SRP],MATCH(tItens[[#This Row],[Edital]],tEditais[Edital],0)),"Não")</f>
        <v>Não</v>
      </c>
      <c r="P1136" s="4">
        <f>IF(COUNTIFS(INDEX(tItens[Edital],1):tItens[[#This Row],[Edital]],tItens[[#This Row],[Edital]],INDEX(tItens[Produto],1):tItens[[#This Row],[Produto]],tItens[[#This Row],[Produto]])=1,1,0)</f>
        <v>0</v>
      </c>
    </row>
    <row r="1137" spans="1:16" x14ac:dyDescent="0.25">
      <c r="A1137" t="s">
        <v>1096</v>
      </c>
      <c r="B1137">
        <v>25</v>
      </c>
      <c r="C1137" t="s">
        <v>4238</v>
      </c>
      <c r="D1137" t="s">
        <v>164</v>
      </c>
      <c r="E1137" s="13">
        <v>150</v>
      </c>
      <c r="F1137" s="12">
        <v>12.68</v>
      </c>
      <c r="G1137" t="str">
        <f>IFERROR(INDEX(tEditais[Órgão],MATCH(tItens[[#This Row],[Edital]],tEditais[Edital],0)),"")</f>
        <v>UNIVERSIDADE FEDERAL DO ESPIRITO SANTO</v>
      </c>
      <c r="H1137" t="str">
        <f>IFERROR(INDEX(tEditais[UF],MATCH(tItens[[#This Row],[Edital]],tEditais[Edital],0)),"")</f>
        <v>ES</v>
      </c>
      <c r="I1137" s="11">
        <f>IFERROR(INDEX(tEditais[Encerramento],MATCH(tItens[[#This Row],[Edital]],tEditais[Edital],0)),"")</f>
        <v>46308.375</v>
      </c>
      <c r="J1137" t="str">
        <f>IFERROR(INDEX(tProdutos[Classe],MATCH(tItens[[#This Row],[Produto]],tProdutos[Produto],0)),"produto não cadastrado")</f>
        <v>DISPUTADO</v>
      </c>
      <c r="K1137" s="12">
        <f>tItens[[#This Row],[Qtd]]*tItens[[#This Row],[Vlr unit]]</f>
        <v>1902</v>
      </c>
      <c r="L1137" s="6">
        <f>IFERROR(IF(INDEX(tProdutos[Desconto homologado],MATCH(tItens[[#This Row],[Produto]],tProdutos[Produto],0))="",DescontoPadrao,INDEX(tProdutos[Desconto homologado],MATCH(tItens[[#This Row],[Produto]],tProdutos[Produto],0))),DescontoPadrao)</f>
        <v>0.445300462249615</v>
      </c>
      <c r="M1137" s="12">
        <f>tItens[[#This Row],[Valor]]*(1-tItens[[#This Row],[Desconto]])</f>
        <v>1055.0385208012322</v>
      </c>
      <c r="N1137" t="str">
        <f>IFERROR(INDEX(tProdutos[Foco],MATCH(tItens[[#This Row],[Produto]],tProdutos[Produto],0)),"Não")</f>
        <v>Não</v>
      </c>
      <c r="O1137" t="str">
        <f>IFERROR(INDEX(tEditais[SRP],MATCH(tItens[[#This Row],[Edital]],tEditais[Edital],0)),"Não")</f>
        <v>Não</v>
      </c>
      <c r="P1137" s="4">
        <f>IF(COUNTIFS(INDEX(tItens[Edital],1):tItens[[#This Row],[Edital]],tItens[[#This Row],[Edital]],INDEX(tItens[Produto],1):tItens[[#This Row],[Produto]],tItens[[#This Row],[Produto]])=1,1,0)</f>
        <v>1</v>
      </c>
    </row>
    <row r="1138" spans="1:16" x14ac:dyDescent="0.25">
      <c r="A1138" t="s">
        <v>1096</v>
      </c>
      <c r="B1138">
        <v>27</v>
      </c>
      <c r="C1138" t="s">
        <v>4239</v>
      </c>
      <c r="D1138" t="s">
        <v>245</v>
      </c>
      <c r="E1138" s="13">
        <v>300</v>
      </c>
      <c r="F1138" s="12">
        <v>223.68</v>
      </c>
      <c r="G1138" t="str">
        <f>IFERROR(INDEX(tEditais[Órgão],MATCH(tItens[[#This Row],[Edital]],tEditais[Edital],0)),"")</f>
        <v>UNIVERSIDADE FEDERAL DO ESPIRITO SANTO</v>
      </c>
      <c r="H1138" t="str">
        <f>IFERROR(INDEX(tEditais[UF],MATCH(tItens[[#This Row],[Edital]],tEditais[Edital],0)),"")</f>
        <v>ES</v>
      </c>
      <c r="I1138" s="11">
        <f>IFERROR(INDEX(tEditais[Encerramento],MATCH(tItens[[#This Row],[Edital]],tEditais[Edital],0)),"")</f>
        <v>46308.375</v>
      </c>
      <c r="J1138" t="str">
        <f>IFERROR(INDEX(tProdutos[Classe],MATCH(tItens[[#This Row],[Produto]],tProdutos[Produto],0)),"produto não cadastrado")</f>
        <v>FORA</v>
      </c>
      <c r="K1138" s="12">
        <f>tItens[[#This Row],[Qtd]]*tItens[[#This Row],[Vlr unit]]</f>
        <v>67104</v>
      </c>
      <c r="L1138" s="6">
        <f>IFERROR(IF(INDEX(tProdutos[Desconto homologado],MATCH(tItens[[#This Row],[Produto]],tProdutos[Produto],0))="",DescontoPadrao,INDEX(tProdutos[Desconto homologado],MATCH(tItens[[#This Row],[Produto]],tProdutos[Produto],0))),DescontoPadrao)</f>
        <v>0.34516963542284401</v>
      </c>
      <c r="M1138" s="12">
        <f>tItens[[#This Row],[Valor]]*(1-tItens[[#This Row],[Desconto]])</f>
        <v>43941.736784585482</v>
      </c>
      <c r="N1138" t="str">
        <f>IFERROR(INDEX(tProdutos[Foco],MATCH(tItens[[#This Row],[Produto]],tProdutos[Produto],0)),"Não")</f>
        <v>Não</v>
      </c>
      <c r="O1138" t="str">
        <f>IFERROR(INDEX(tEditais[SRP],MATCH(tItens[[#This Row],[Edital]],tEditais[Edital],0)),"Não")</f>
        <v>Não</v>
      </c>
      <c r="P1138" s="4">
        <f>IF(COUNTIFS(INDEX(tItens[Edital],1):tItens[[#This Row],[Edital]],tItens[[#This Row],[Edital]],INDEX(tItens[Produto],1):tItens[[#This Row],[Produto]],tItens[[#This Row],[Produto]])=1,1,0)</f>
        <v>1</v>
      </c>
    </row>
    <row r="1139" spans="1:16" x14ac:dyDescent="0.25">
      <c r="A1139" t="s">
        <v>1096</v>
      </c>
      <c r="B1139">
        <v>29</v>
      </c>
      <c r="C1139" t="s">
        <v>4240</v>
      </c>
      <c r="D1139" t="s">
        <v>201</v>
      </c>
      <c r="E1139" s="13">
        <v>5</v>
      </c>
      <c r="F1139" s="12">
        <v>50.69</v>
      </c>
      <c r="G1139" t="str">
        <f>IFERROR(INDEX(tEditais[Órgão],MATCH(tItens[[#This Row],[Edital]],tEditais[Edital],0)),"")</f>
        <v>UNIVERSIDADE FEDERAL DO ESPIRITO SANTO</v>
      </c>
      <c r="H1139" t="str">
        <f>IFERROR(INDEX(tEditais[UF],MATCH(tItens[[#This Row],[Edital]],tEditais[Edital],0)),"")</f>
        <v>ES</v>
      </c>
      <c r="I1139" s="11">
        <f>IFERROR(INDEX(tEditais[Encerramento],MATCH(tItens[[#This Row],[Edital]],tEditais[Edital],0)),"")</f>
        <v>46308.375</v>
      </c>
      <c r="J1139" t="str">
        <f>IFERROR(INDEX(tProdutos[Classe],MATCH(tItens[[#This Row],[Produto]],tProdutos[Produto],0)),"produto não cadastrado")</f>
        <v>DISPUTADO</v>
      </c>
      <c r="K1139" s="12">
        <f>tItens[[#This Row],[Qtd]]*tItens[[#This Row],[Vlr unit]]</f>
        <v>253.45</v>
      </c>
      <c r="L1139" s="6">
        <f>IFERROR(IF(INDEX(tProdutos[Desconto homologado],MATCH(tItens[[#This Row],[Produto]],tProdutos[Produto],0))="",DescontoPadrao,INDEX(tProdutos[Desconto homologado],MATCH(tItens[[#This Row],[Produto]],tProdutos[Produto],0))),DescontoPadrao)</f>
        <v>0.27203065134099602</v>
      </c>
      <c r="M1139" s="12">
        <f>tItens[[#This Row],[Valor]]*(1-tItens[[#This Row],[Desconto]])</f>
        <v>184.50383141762455</v>
      </c>
      <c r="N1139" t="str">
        <f>IFERROR(INDEX(tProdutos[Foco],MATCH(tItens[[#This Row],[Produto]],tProdutos[Produto],0)),"Não")</f>
        <v>Não</v>
      </c>
      <c r="O1139" t="str">
        <f>IFERROR(INDEX(tEditais[SRP],MATCH(tItens[[#This Row],[Edital]],tEditais[Edital],0)),"Não")</f>
        <v>Não</v>
      </c>
      <c r="P1139" s="4">
        <f>IF(COUNTIFS(INDEX(tItens[Edital],1):tItens[[#This Row],[Edital]],tItens[[#This Row],[Edital]],INDEX(tItens[Produto],1):tItens[[#This Row],[Produto]],tItens[[#This Row],[Produto]])=1,1,0)</f>
        <v>1</v>
      </c>
    </row>
    <row r="1140" spans="1:16" x14ac:dyDescent="0.25">
      <c r="A1140" t="s">
        <v>1096</v>
      </c>
      <c r="B1140">
        <v>31</v>
      </c>
      <c r="C1140" t="s">
        <v>4241</v>
      </c>
      <c r="D1140" t="s">
        <v>315</v>
      </c>
      <c r="E1140" s="13">
        <v>10</v>
      </c>
      <c r="F1140" s="12">
        <v>9.4</v>
      </c>
      <c r="G1140" t="str">
        <f>IFERROR(INDEX(tEditais[Órgão],MATCH(tItens[[#This Row],[Edital]],tEditais[Edital],0)),"")</f>
        <v>UNIVERSIDADE FEDERAL DO ESPIRITO SANTO</v>
      </c>
      <c r="H1140" t="str">
        <f>IFERROR(INDEX(tEditais[UF],MATCH(tItens[[#This Row],[Edital]],tEditais[Edital],0)),"")</f>
        <v>ES</v>
      </c>
      <c r="I1140" s="11">
        <f>IFERROR(INDEX(tEditais[Encerramento],MATCH(tItens[[#This Row],[Edital]],tEditais[Edital],0)),"")</f>
        <v>46308.375</v>
      </c>
      <c r="J1140" t="str">
        <f>IFERROR(INDEX(tProdutos[Classe],MATCH(tItens[[#This Row],[Produto]],tProdutos[Produto],0)),"produto não cadastrado")</f>
        <v>FORA</v>
      </c>
      <c r="K1140" s="12">
        <f>tItens[[#This Row],[Qtd]]*tItens[[#This Row],[Vlr unit]]</f>
        <v>94</v>
      </c>
      <c r="L1140" s="6">
        <f>IFERROR(IF(INDEX(tProdutos[Desconto homologado],MATCH(tItens[[#This Row],[Produto]],tProdutos[Produto],0))="",DescontoPadrao,INDEX(tProdutos[Desconto homologado],MATCH(tItens[[#This Row],[Produto]],tProdutos[Produto],0))),DescontoPadrao)</f>
        <v>0.38432036097010702</v>
      </c>
      <c r="M1140" s="12">
        <f>tItens[[#This Row],[Valor]]*(1-tItens[[#This Row],[Desconto]])</f>
        <v>57.873886068809938</v>
      </c>
      <c r="N1140" t="str">
        <f>IFERROR(INDEX(tProdutos[Foco],MATCH(tItens[[#This Row],[Produto]],tProdutos[Produto],0)),"Não")</f>
        <v>Não</v>
      </c>
      <c r="O1140" t="str">
        <f>IFERROR(INDEX(tEditais[SRP],MATCH(tItens[[#This Row],[Edital]],tEditais[Edital],0)),"Não")</f>
        <v>Não</v>
      </c>
      <c r="P1140" s="4">
        <f>IF(COUNTIFS(INDEX(tItens[Edital],1):tItens[[#This Row],[Edital]],tItens[[#This Row],[Edital]],INDEX(tItens[Produto],1):tItens[[#This Row],[Produto]],tItens[[#This Row],[Produto]])=1,1,0)</f>
        <v>0</v>
      </c>
    </row>
    <row r="1141" spans="1:16" x14ac:dyDescent="0.25">
      <c r="A1141" t="s">
        <v>1096</v>
      </c>
      <c r="B1141">
        <v>34</v>
      </c>
      <c r="C1141" t="s">
        <v>4183</v>
      </c>
      <c r="D1141" t="s">
        <v>267</v>
      </c>
      <c r="E1141" s="13">
        <v>5</v>
      </c>
      <c r="F1141" s="12">
        <v>12.19</v>
      </c>
      <c r="G1141" t="str">
        <f>IFERROR(INDEX(tEditais[Órgão],MATCH(tItens[[#This Row],[Edital]],tEditais[Edital],0)),"")</f>
        <v>UNIVERSIDADE FEDERAL DO ESPIRITO SANTO</v>
      </c>
      <c r="H1141" t="str">
        <f>IFERROR(INDEX(tEditais[UF],MATCH(tItens[[#This Row],[Edital]],tEditais[Edital],0)),"")</f>
        <v>ES</v>
      </c>
      <c r="I1141" s="11">
        <f>IFERROR(INDEX(tEditais[Encerramento],MATCH(tItens[[#This Row],[Edital]],tEditais[Edital],0)),"")</f>
        <v>46308.375</v>
      </c>
      <c r="J1141" t="str">
        <f>IFERROR(INDEX(tProdutos[Classe],MATCH(tItens[[#This Row],[Produto]],tProdutos[Produto],0)),"produto não cadastrado")</f>
        <v>FORA</v>
      </c>
      <c r="K1141" s="12">
        <f>tItens[[#This Row],[Qtd]]*tItens[[#This Row],[Vlr unit]]</f>
        <v>60.949999999999996</v>
      </c>
      <c r="L1141" s="6">
        <f>IFERROR(IF(INDEX(tProdutos[Desconto homologado],MATCH(tItens[[#This Row],[Produto]],tProdutos[Produto],0))="",DescontoPadrao,INDEX(tProdutos[Desconto homologado],MATCH(tItens[[#This Row],[Produto]],tProdutos[Produto],0))),DescontoPadrao)</f>
        <v>0.19963672657401599</v>
      </c>
      <c r="M1141" s="12">
        <f>tItens[[#This Row],[Valor]]*(1-tItens[[#This Row],[Desconto]])</f>
        <v>48.782141515313725</v>
      </c>
      <c r="N1141" t="str">
        <f>IFERROR(INDEX(tProdutos[Foco],MATCH(tItens[[#This Row],[Produto]],tProdutos[Produto],0)),"Não")</f>
        <v>Não</v>
      </c>
      <c r="O1141" t="str">
        <f>IFERROR(INDEX(tEditais[SRP],MATCH(tItens[[#This Row],[Edital]],tEditais[Edital],0)),"Não")</f>
        <v>Não</v>
      </c>
      <c r="P1141" s="4">
        <f>IF(COUNTIFS(INDEX(tItens[Edital],1):tItens[[#This Row],[Edital]],tItens[[#This Row],[Edital]],INDEX(tItens[Produto],1):tItens[[#This Row],[Produto]],tItens[[#This Row],[Produto]])=1,1,0)</f>
        <v>1</v>
      </c>
    </row>
    <row r="1142" spans="1:16" x14ac:dyDescent="0.25">
      <c r="A1142" t="s">
        <v>1096</v>
      </c>
      <c r="B1142">
        <v>36</v>
      </c>
      <c r="C1142" t="s">
        <v>3238</v>
      </c>
      <c r="D1142" t="s">
        <v>413</v>
      </c>
      <c r="E1142" s="13">
        <v>6</v>
      </c>
      <c r="F1142" s="12">
        <v>67.5</v>
      </c>
      <c r="G1142" t="str">
        <f>IFERROR(INDEX(tEditais[Órgão],MATCH(tItens[[#This Row],[Edital]],tEditais[Edital],0)),"")</f>
        <v>UNIVERSIDADE FEDERAL DO ESPIRITO SANTO</v>
      </c>
      <c r="H1142" t="str">
        <f>IFERROR(INDEX(tEditais[UF],MATCH(tItens[[#This Row],[Edital]],tEditais[Edital],0)),"")</f>
        <v>ES</v>
      </c>
      <c r="I1142" s="11">
        <f>IFERROR(INDEX(tEditais[Encerramento],MATCH(tItens[[#This Row],[Edital]],tEditais[Edital],0)),"")</f>
        <v>46308.375</v>
      </c>
      <c r="J1142" t="str">
        <f>IFERROR(INDEX(tProdutos[Classe],MATCH(tItens[[#This Row],[Produto]],tProdutos[Produto],0)),"produto não cadastrado")</f>
        <v>FORA</v>
      </c>
      <c r="K1142" s="12">
        <f>tItens[[#This Row],[Qtd]]*tItens[[#This Row],[Vlr unit]]</f>
        <v>405</v>
      </c>
      <c r="L1142" s="6">
        <f>IFERROR(IF(INDEX(tProdutos[Desconto homologado],MATCH(tItens[[#This Row],[Produto]],tProdutos[Produto],0))="",DescontoPadrao,INDEX(tProdutos[Desconto homologado],MATCH(tItens[[#This Row],[Produto]],tProdutos[Produto],0))),DescontoPadrao)</f>
        <v>0.477732793522267</v>
      </c>
      <c r="M1142" s="12">
        <f>tItens[[#This Row],[Valor]]*(1-tItens[[#This Row],[Desconto]])</f>
        <v>211.51821862348186</v>
      </c>
      <c r="N1142" t="str">
        <f>IFERROR(INDEX(tProdutos[Foco],MATCH(tItens[[#This Row],[Produto]],tProdutos[Produto],0)),"Não")</f>
        <v>Não</v>
      </c>
      <c r="O1142" t="str">
        <f>IFERROR(INDEX(tEditais[SRP],MATCH(tItens[[#This Row],[Edital]],tEditais[Edital],0)),"Não")</f>
        <v>Não</v>
      </c>
      <c r="P1142" s="4">
        <f>IF(COUNTIFS(INDEX(tItens[Edital],1):tItens[[#This Row],[Edital]],tItens[[#This Row],[Edital]],INDEX(tItens[Produto],1):tItens[[#This Row],[Produto]],tItens[[#This Row],[Produto]])=1,1,0)</f>
        <v>1</v>
      </c>
    </row>
    <row r="1143" spans="1:16" x14ac:dyDescent="0.25">
      <c r="A1143" t="s">
        <v>1096</v>
      </c>
      <c r="B1143">
        <v>37</v>
      </c>
      <c r="C1143" t="s">
        <v>4242</v>
      </c>
      <c r="D1143" t="s">
        <v>413</v>
      </c>
      <c r="E1143" s="13">
        <v>6</v>
      </c>
      <c r="F1143" s="12">
        <v>71</v>
      </c>
      <c r="G1143" t="str">
        <f>IFERROR(INDEX(tEditais[Órgão],MATCH(tItens[[#This Row],[Edital]],tEditais[Edital],0)),"")</f>
        <v>UNIVERSIDADE FEDERAL DO ESPIRITO SANTO</v>
      </c>
      <c r="H1143" t="str">
        <f>IFERROR(INDEX(tEditais[UF],MATCH(tItens[[#This Row],[Edital]],tEditais[Edital],0)),"")</f>
        <v>ES</v>
      </c>
      <c r="I1143" s="11">
        <f>IFERROR(INDEX(tEditais[Encerramento],MATCH(tItens[[#This Row],[Edital]],tEditais[Edital],0)),"")</f>
        <v>46308.375</v>
      </c>
      <c r="J1143" t="str">
        <f>IFERROR(INDEX(tProdutos[Classe],MATCH(tItens[[#This Row],[Produto]],tProdutos[Produto],0)),"produto não cadastrado")</f>
        <v>FORA</v>
      </c>
      <c r="K1143" s="12">
        <f>tItens[[#This Row],[Qtd]]*tItens[[#This Row],[Vlr unit]]</f>
        <v>426</v>
      </c>
      <c r="L1143" s="6">
        <f>IFERROR(IF(INDEX(tProdutos[Desconto homologado],MATCH(tItens[[#This Row],[Produto]],tProdutos[Produto],0))="",DescontoPadrao,INDEX(tProdutos[Desconto homologado],MATCH(tItens[[#This Row],[Produto]],tProdutos[Produto],0))),DescontoPadrao)</f>
        <v>0.477732793522267</v>
      </c>
      <c r="M1143" s="12">
        <f>tItens[[#This Row],[Valor]]*(1-tItens[[#This Row],[Desconto]])</f>
        <v>222.48582995951423</v>
      </c>
      <c r="N1143" t="str">
        <f>IFERROR(INDEX(tProdutos[Foco],MATCH(tItens[[#This Row],[Produto]],tProdutos[Produto],0)),"Não")</f>
        <v>Não</v>
      </c>
      <c r="O1143" t="str">
        <f>IFERROR(INDEX(tEditais[SRP],MATCH(tItens[[#This Row],[Edital]],tEditais[Edital],0)),"Não")</f>
        <v>Não</v>
      </c>
      <c r="P1143" s="4">
        <f>IF(COUNTIFS(INDEX(tItens[Edital],1):tItens[[#This Row],[Edital]],tItens[[#This Row],[Edital]],INDEX(tItens[Produto],1):tItens[[#This Row],[Produto]],tItens[[#This Row],[Produto]])=1,1,0)</f>
        <v>0</v>
      </c>
    </row>
    <row r="1144" spans="1:16" x14ac:dyDescent="0.25">
      <c r="A1144" t="s">
        <v>1096</v>
      </c>
      <c r="B1144">
        <v>38</v>
      </c>
      <c r="C1144" t="s">
        <v>4243</v>
      </c>
      <c r="D1144" t="s">
        <v>413</v>
      </c>
      <c r="E1144" s="13">
        <v>6</v>
      </c>
      <c r="F1144" s="12">
        <v>66.17</v>
      </c>
      <c r="G1144" t="str">
        <f>IFERROR(INDEX(tEditais[Órgão],MATCH(tItens[[#This Row],[Edital]],tEditais[Edital],0)),"")</f>
        <v>UNIVERSIDADE FEDERAL DO ESPIRITO SANTO</v>
      </c>
      <c r="H1144" t="str">
        <f>IFERROR(INDEX(tEditais[UF],MATCH(tItens[[#This Row],[Edital]],tEditais[Edital],0)),"")</f>
        <v>ES</v>
      </c>
      <c r="I1144" s="11">
        <f>IFERROR(INDEX(tEditais[Encerramento],MATCH(tItens[[#This Row],[Edital]],tEditais[Edital],0)),"")</f>
        <v>46308.375</v>
      </c>
      <c r="J1144" t="str">
        <f>IFERROR(INDEX(tProdutos[Classe],MATCH(tItens[[#This Row],[Produto]],tProdutos[Produto],0)),"produto não cadastrado")</f>
        <v>FORA</v>
      </c>
      <c r="K1144" s="12">
        <f>tItens[[#This Row],[Qtd]]*tItens[[#This Row],[Vlr unit]]</f>
        <v>397.02</v>
      </c>
      <c r="L1144" s="6">
        <f>IFERROR(IF(INDEX(tProdutos[Desconto homologado],MATCH(tItens[[#This Row],[Produto]],tProdutos[Produto],0))="",DescontoPadrao,INDEX(tProdutos[Desconto homologado],MATCH(tItens[[#This Row],[Produto]],tProdutos[Produto],0))),DescontoPadrao)</f>
        <v>0.477732793522267</v>
      </c>
      <c r="M1144" s="12">
        <f>tItens[[#This Row],[Valor]]*(1-tItens[[#This Row],[Desconto]])</f>
        <v>207.35052631578952</v>
      </c>
      <c r="N1144" t="str">
        <f>IFERROR(INDEX(tProdutos[Foco],MATCH(tItens[[#This Row],[Produto]],tProdutos[Produto],0)),"Não")</f>
        <v>Não</v>
      </c>
      <c r="O1144" t="str">
        <f>IFERROR(INDEX(tEditais[SRP],MATCH(tItens[[#This Row],[Edital]],tEditais[Edital],0)),"Não")</f>
        <v>Não</v>
      </c>
      <c r="P1144" s="4">
        <f>IF(COUNTIFS(INDEX(tItens[Edital],1):tItens[[#This Row],[Edital]],tItens[[#This Row],[Edital]],INDEX(tItens[Produto],1):tItens[[#This Row],[Produto]],tItens[[#This Row],[Produto]])=1,1,0)</f>
        <v>0</v>
      </c>
    </row>
    <row r="1145" spans="1:16" x14ac:dyDescent="0.25">
      <c r="A1145" t="s">
        <v>1096</v>
      </c>
      <c r="B1145">
        <v>39</v>
      </c>
      <c r="C1145" t="s">
        <v>3482</v>
      </c>
      <c r="D1145" t="s">
        <v>315</v>
      </c>
      <c r="E1145" s="13">
        <v>10</v>
      </c>
      <c r="F1145" s="12">
        <v>27.98</v>
      </c>
      <c r="G1145" t="str">
        <f>IFERROR(INDEX(tEditais[Órgão],MATCH(tItens[[#This Row],[Edital]],tEditais[Edital],0)),"")</f>
        <v>UNIVERSIDADE FEDERAL DO ESPIRITO SANTO</v>
      </c>
      <c r="H1145" t="str">
        <f>IFERROR(INDEX(tEditais[UF],MATCH(tItens[[#This Row],[Edital]],tEditais[Edital],0)),"")</f>
        <v>ES</v>
      </c>
      <c r="I1145" s="11">
        <f>IFERROR(INDEX(tEditais[Encerramento],MATCH(tItens[[#This Row],[Edital]],tEditais[Edital],0)),"")</f>
        <v>46308.375</v>
      </c>
      <c r="J1145" t="str">
        <f>IFERROR(INDEX(tProdutos[Classe],MATCH(tItens[[#This Row],[Produto]],tProdutos[Produto],0)),"produto não cadastrado")</f>
        <v>FORA</v>
      </c>
      <c r="K1145" s="12">
        <f>tItens[[#This Row],[Qtd]]*tItens[[#This Row],[Vlr unit]]</f>
        <v>279.8</v>
      </c>
      <c r="L1145" s="6">
        <f>IFERROR(IF(INDEX(tProdutos[Desconto homologado],MATCH(tItens[[#This Row],[Produto]],tProdutos[Produto],0))="",DescontoPadrao,INDEX(tProdutos[Desconto homologado],MATCH(tItens[[#This Row],[Produto]],tProdutos[Produto],0))),DescontoPadrao)</f>
        <v>0.38432036097010702</v>
      </c>
      <c r="M1145" s="12">
        <f>tItens[[#This Row],[Valor]]*(1-tItens[[#This Row],[Desconto]])</f>
        <v>172.26716300056407</v>
      </c>
      <c r="N1145" t="str">
        <f>IFERROR(INDEX(tProdutos[Foco],MATCH(tItens[[#This Row],[Produto]],tProdutos[Produto],0)),"Não")</f>
        <v>Não</v>
      </c>
      <c r="O1145" t="str">
        <f>IFERROR(INDEX(tEditais[SRP],MATCH(tItens[[#This Row],[Edital]],tEditais[Edital],0)),"Não")</f>
        <v>Não</v>
      </c>
      <c r="P1145" s="4">
        <f>IF(COUNTIFS(INDEX(tItens[Edital],1):tItens[[#This Row],[Edital]],tItens[[#This Row],[Edital]],INDEX(tItens[Produto],1):tItens[[#This Row],[Produto]],tItens[[#This Row],[Produto]])=1,1,0)</f>
        <v>0</v>
      </c>
    </row>
    <row r="1146" spans="1:16" x14ac:dyDescent="0.25">
      <c r="A1146" t="s">
        <v>1096</v>
      </c>
      <c r="B1146">
        <v>40</v>
      </c>
      <c r="C1146" t="s">
        <v>4244</v>
      </c>
      <c r="D1146" t="s">
        <v>315</v>
      </c>
      <c r="E1146" s="13">
        <v>5</v>
      </c>
      <c r="F1146" s="12">
        <v>12.58</v>
      </c>
      <c r="G1146" t="str">
        <f>IFERROR(INDEX(tEditais[Órgão],MATCH(tItens[[#This Row],[Edital]],tEditais[Edital],0)),"")</f>
        <v>UNIVERSIDADE FEDERAL DO ESPIRITO SANTO</v>
      </c>
      <c r="H1146" t="str">
        <f>IFERROR(INDEX(tEditais[UF],MATCH(tItens[[#This Row],[Edital]],tEditais[Edital],0)),"")</f>
        <v>ES</v>
      </c>
      <c r="I1146" s="11">
        <f>IFERROR(INDEX(tEditais[Encerramento],MATCH(tItens[[#This Row],[Edital]],tEditais[Edital],0)),"")</f>
        <v>46308.375</v>
      </c>
      <c r="J1146" t="str">
        <f>IFERROR(INDEX(tProdutos[Classe],MATCH(tItens[[#This Row],[Produto]],tProdutos[Produto],0)),"produto não cadastrado")</f>
        <v>FORA</v>
      </c>
      <c r="K1146" s="12">
        <f>tItens[[#This Row],[Qtd]]*tItens[[#This Row],[Vlr unit]]</f>
        <v>62.9</v>
      </c>
      <c r="L1146" s="6">
        <f>IFERROR(IF(INDEX(tProdutos[Desconto homologado],MATCH(tItens[[#This Row],[Produto]],tProdutos[Produto],0))="",DescontoPadrao,INDEX(tProdutos[Desconto homologado],MATCH(tItens[[#This Row],[Produto]],tProdutos[Produto],0))),DescontoPadrao)</f>
        <v>0.38432036097010702</v>
      </c>
      <c r="M1146" s="12">
        <f>tItens[[#This Row],[Valor]]*(1-tItens[[#This Row],[Desconto]])</f>
        <v>38.726249294980271</v>
      </c>
      <c r="N1146" t="str">
        <f>IFERROR(INDEX(tProdutos[Foco],MATCH(tItens[[#This Row],[Produto]],tProdutos[Produto],0)),"Não")</f>
        <v>Não</v>
      </c>
      <c r="O1146" t="str">
        <f>IFERROR(INDEX(tEditais[SRP],MATCH(tItens[[#This Row],[Edital]],tEditais[Edital],0)),"Não")</f>
        <v>Não</v>
      </c>
      <c r="P1146" s="4">
        <f>IF(COUNTIFS(INDEX(tItens[Edital],1):tItens[[#This Row],[Edital]],tItens[[#This Row],[Edital]],INDEX(tItens[Produto],1):tItens[[#This Row],[Produto]],tItens[[#This Row],[Produto]])=1,1,0)</f>
        <v>0</v>
      </c>
    </row>
    <row r="1147" spans="1:16" x14ac:dyDescent="0.25">
      <c r="A1147" t="s">
        <v>1096</v>
      </c>
      <c r="B1147">
        <v>43</v>
      </c>
      <c r="C1147" t="s">
        <v>4245</v>
      </c>
      <c r="D1147" t="s">
        <v>245</v>
      </c>
      <c r="E1147" s="13">
        <v>30</v>
      </c>
      <c r="F1147" s="12">
        <v>277.5</v>
      </c>
      <c r="G1147" t="str">
        <f>IFERROR(INDEX(tEditais[Órgão],MATCH(tItens[[#This Row],[Edital]],tEditais[Edital],0)),"")</f>
        <v>UNIVERSIDADE FEDERAL DO ESPIRITO SANTO</v>
      </c>
      <c r="H1147" t="str">
        <f>IFERROR(INDEX(tEditais[UF],MATCH(tItens[[#This Row],[Edital]],tEditais[Edital],0)),"")</f>
        <v>ES</v>
      </c>
      <c r="I1147" s="11">
        <f>IFERROR(INDEX(tEditais[Encerramento],MATCH(tItens[[#This Row],[Edital]],tEditais[Edital],0)),"")</f>
        <v>46308.375</v>
      </c>
      <c r="J1147" t="str">
        <f>IFERROR(INDEX(tProdutos[Classe],MATCH(tItens[[#This Row],[Produto]],tProdutos[Produto],0)),"produto não cadastrado")</f>
        <v>FORA</v>
      </c>
      <c r="K1147" s="12">
        <f>tItens[[#This Row],[Qtd]]*tItens[[#This Row],[Vlr unit]]</f>
        <v>8325</v>
      </c>
      <c r="L1147" s="6">
        <f>IFERROR(IF(INDEX(tProdutos[Desconto homologado],MATCH(tItens[[#This Row],[Produto]],tProdutos[Produto],0))="",DescontoPadrao,INDEX(tProdutos[Desconto homologado],MATCH(tItens[[#This Row],[Produto]],tProdutos[Produto],0))),DescontoPadrao)</f>
        <v>0.34516963542284401</v>
      </c>
      <c r="M1147" s="12">
        <f>tItens[[#This Row],[Valor]]*(1-tItens[[#This Row],[Desconto]])</f>
        <v>5451.4627851048244</v>
      </c>
      <c r="N1147" t="str">
        <f>IFERROR(INDEX(tProdutos[Foco],MATCH(tItens[[#This Row],[Produto]],tProdutos[Produto],0)),"Não")</f>
        <v>Não</v>
      </c>
      <c r="O1147" t="str">
        <f>IFERROR(INDEX(tEditais[SRP],MATCH(tItens[[#This Row],[Edital]],tEditais[Edital],0)),"Não")</f>
        <v>Não</v>
      </c>
      <c r="P1147" s="4">
        <f>IF(COUNTIFS(INDEX(tItens[Edital],1):tItens[[#This Row],[Edital]],tItens[[#This Row],[Edital]],INDEX(tItens[Produto],1):tItens[[#This Row],[Produto]],tItens[[#This Row],[Produto]])=1,1,0)</f>
        <v>0</v>
      </c>
    </row>
    <row r="1148" spans="1:16" x14ac:dyDescent="0.25">
      <c r="A1148" t="s">
        <v>1096</v>
      </c>
      <c r="B1148">
        <v>46</v>
      </c>
      <c r="C1148" t="s">
        <v>4246</v>
      </c>
      <c r="D1148" t="s">
        <v>253</v>
      </c>
      <c r="E1148" s="13">
        <v>70</v>
      </c>
      <c r="F1148" s="12">
        <v>2.21</v>
      </c>
      <c r="G1148" t="str">
        <f>IFERROR(INDEX(tEditais[Órgão],MATCH(tItens[[#This Row],[Edital]],tEditais[Edital],0)),"")</f>
        <v>UNIVERSIDADE FEDERAL DO ESPIRITO SANTO</v>
      </c>
      <c r="H1148" t="str">
        <f>IFERROR(INDEX(tEditais[UF],MATCH(tItens[[#This Row],[Edital]],tEditais[Edital],0)),"")</f>
        <v>ES</v>
      </c>
      <c r="I1148" s="11">
        <f>IFERROR(INDEX(tEditais[Encerramento],MATCH(tItens[[#This Row],[Edital]],tEditais[Edital],0)),"")</f>
        <v>46308.375</v>
      </c>
      <c r="J1148" t="str">
        <f>IFERROR(INDEX(tProdutos[Classe],MATCH(tItens[[#This Row],[Produto]],tProdutos[Produto],0)),"produto não cadastrado")</f>
        <v>FORA</v>
      </c>
      <c r="K1148" s="12">
        <f>tItens[[#This Row],[Qtd]]*tItens[[#This Row],[Vlr unit]]</f>
        <v>154.69999999999999</v>
      </c>
      <c r="L1148" s="6">
        <f>IFERROR(IF(INDEX(tProdutos[Desconto homologado],MATCH(tItens[[#This Row],[Produto]],tProdutos[Produto],0))="",DescontoPadrao,INDEX(tProdutos[Desconto homologado],MATCH(tItens[[#This Row],[Produto]],tProdutos[Produto],0))),DescontoPadrao)</f>
        <v>0.31735159817351599</v>
      </c>
      <c r="M1148" s="12">
        <f>tItens[[#This Row],[Valor]]*(1-tItens[[#This Row],[Desconto]])</f>
        <v>105.60570776255707</v>
      </c>
      <c r="N1148" t="str">
        <f>IFERROR(INDEX(tProdutos[Foco],MATCH(tItens[[#This Row],[Produto]],tProdutos[Produto],0)),"Não")</f>
        <v>Não</v>
      </c>
      <c r="O1148" t="str">
        <f>IFERROR(INDEX(tEditais[SRP],MATCH(tItens[[#This Row],[Edital]],tEditais[Edital],0)),"Não")</f>
        <v>Não</v>
      </c>
      <c r="P1148" s="4">
        <f>IF(COUNTIFS(INDEX(tItens[Edital],1):tItens[[#This Row],[Edital]],tItens[[#This Row],[Edital]],INDEX(tItens[Produto],1):tItens[[#This Row],[Produto]],tItens[[#This Row],[Produto]])=1,1,0)</f>
        <v>1</v>
      </c>
    </row>
    <row r="1149" spans="1:16" x14ac:dyDescent="0.25">
      <c r="A1149" t="s">
        <v>1096</v>
      </c>
      <c r="B1149">
        <v>50</v>
      </c>
      <c r="C1149" t="s">
        <v>4247</v>
      </c>
      <c r="D1149" t="s">
        <v>387</v>
      </c>
      <c r="E1149" s="13">
        <v>350</v>
      </c>
      <c r="F1149" s="12">
        <v>67</v>
      </c>
      <c r="G1149" t="str">
        <f>IFERROR(INDEX(tEditais[Órgão],MATCH(tItens[[#This Row],[Edital]],tEditais[Edital],0)),"")</f>
        <v>UNIVERSIDADE FEDERAL DO ESPIRITO SANTO</v>
      </c>
      <c r="H1149" t="str">
        <f>IFERROR(INDEX(tEditais[UF],MATCH(tItens[[#This Row],[Edital]],tEditais[Edital],0)),"")</f>
        <v>ES</v>
      </c>
      <c r="I1149" s="11">
        <f>IFERROR(INDEX(tEditais[Encerramento],MATCH(tItens[[#This Row],[Edital]],tEditais[Edital],0)),"")</f>
        <v>46308.375</v>
      </c>
      <c r="J1149" t="str">
        <f>IFERROR(INDEX(tProdutos[Classe],MATCH(tItens[[#This Row],[Produto]],tProdutos[Produto],0)),"produto não cadastrado")</f>
        <v>FORA</v>
      </c>
      <c r="K1149" s="12">
        <f>tItens[[#This Row],[Qtd]]*tItens[[#This Row],[Vlr unit]]</f>
        <v>23450</v>
      </c>
      <c r="L1149" s="6">
        <f>IFERROR(IF(INDEX(tProdutos[Desconto homologado],MATCH(tItens[[#This Row],[Produto]],tProdutos[Produto],0))="",DescontoPadrao,INDEX(tProdutos[Desconto homologado],MATCH(tItens[[#This Row],[Produto]],tProdutos[Produto],0))),DescontoPadrao)</f>
        <v>0.30458221024258803</v>
      </c>
      <c r="M1149" s="12">
        <f>tItens[[#This Row],[Valor]]*(1-tItens[[#This Row],[Desconto]])</f>
        <v>16307.547169811311</v>
      </c>
      <c r="N1149" t="str">
        <f>IFERROR(INDEX(tProdutos[Foco],MATCH(tItens[[#This Row],[Produto]],tProdutos[Produto],0)),"Não")</f>
        <v>Não</v>
      </c>
      <c r="O1149" t="str">
        <f>IFERROR(INDEX(tEditais[SRP],MATCH(tItens[[#This Row],[Edital]],tEditais[Edital],0)),"Não")</f>
        <v>Não</v>
      </c>
      <c r="P1149" s="4">
        <f>IF(COUNTIFS(INDEX(tItens[Edital],1):tItens[[#This Row],[Edital]],tItens[[#This Row],[Edital]],INDEX(tItens[Produto],1):tItens[[#This Row],[Produto]],tItens[[#This Row],[Produto]])=1,1,0)</f>
        <v>1</v>
      </c>
    </row>
    <row r="1150" spans="1:16" x14ac:dyDescent="0.25">
      <c r="A1150" t="s">
        <v>1096</v>
      </c>
      <c r="B1150">
        <v>51</v>
      </c>
      <c r="C1150" t="s">
        <v>3488</v>
      </c>
      <c r="D1150" t="s">
        <v>120</v>
      </c>
      <c r="E1150" s="13">
        <v>100</v>
      </c>
      <c r="F1150" s="12">
        <v>0.91</v>
      </c>
      <c r="G1150" t="str">
        <f>IFERROR(INDEX(tEditais[Órgão],MATCH(tItens[[#This Row],[Edital]],tEditais[Edital],0)),"")</f>
        <v>UNIVERSIDADE FEDERAL DO ESPIRITO SANTO</v>
      </c>
      <c r="H1150" t="str">
        <f>IFERROR(INDEX(tEditais[UF],MATCH(tItens[[#This Row],[Edital]],tEditais[Edital],0)),"")</f>
        <v>ES</v>
      </c>
      <c r="I1150" s="11">
        <f>IFERROR(INDEX(tEditais[Encerramento],MATCH(tItens[[#This Row],[Edital]],tEditais[Edital],0)),"")</f>
        <v>46308.375</v>
      </c>
      <c r="J1150" t="str">
        <f>IFERROR(INDEX(tProdutos[Classe],MATCH(tItens[[#This Row],[Produto]],tProdutos[Produto],0)),"produto não cadastrado")</f>
        <v>DISPUTADO</v>
      </c>
      <c r="K1150" s="12">
        <f>tItens[[#This Row],[Qtd]]*tItens[[#This Row],[Vlr unit]]</f>
        <v>91</v>
      </c>
      <c r="L1150" s="6">
        <f>IFERROR(IF(INDEX(tProdutos[Desconto homologado],MATCH(tItens[[#This Row],[Produto]],tProdutos[Produto],0))="",DescontoPadrao,INDEX(tProdutos[Desconto homologado],MATCH(tItens[[#This Row],[Produto]],tProdutos[Produto],0))),DescontoPadrao)</f>
        <v>0.40909090909090901</v>
      </c>
      <c r="M1150" s="12">
        <f>tItens[[#This Row],[Valor]]*(1-tItens[[#This Row],[Desconto]])</f>
        <v>53.772727272727288</v>
      </c>
      <c r="N1150" t="str">
        <f>IFERROR(INDEX(tProdutos[Foco],MATCH(tItens[[#This Row],[Produto]],tProdutos[Produto],0)),"Não")</f>
        <v>Não</v>
      </c>
      <c r="O1150" t="str">
        <f>IFERROR(INDEX(tEditais[SRP],MATCH(tItens[[#This Row],[Edital]],tEditais[Edital],0)),"Não")</f>
        <v>Não</v>
      </c>
      <c r="P1150" s="4">
        <f>IF(COUNTIFS(INDEX(tItens[Edital],1):tItens[[#This Row],[Edital]],tItens[[#This Row],[Edital]],INDEX(tItens[Produto],1):tItens[[#This Row],[Produto]],tItens[[#This Row],[Produto]])=1,1,0)</f>
        <v>1</v>
      </c>
    </row>
    <row r="1151" spans="1:16" x14ac:dyDescent="0.25">
      <c r="A1151" t="s">
        <v>1096</v>
      </c>
      <c r="B1151">
        <v>56</v>
      </c>
      <c r="C1151" t="s">
        <v>4248</v>
      </c>
      <c r="D1151" t="s">
        <v>413</v>
      </c>
      <c r="E1151" s="13">
        <v>2</v>
      </c>
      <c r="F1151" s="12">
        <v>70.5</v>
      </c>
      <c r="G1151" t="str">
        <f>IFERROR(INDEX(tEditais[Órgão],MATCH(tItens[[#This Row],[Edital]],tEditais[Edital],0)),"")</f>
        <v>UNIVERSIDADE FEDERAL DO ESPIRITO SANTO</v>
      </c>
      <c r="H1151" t="str">
        <f>IFERROR(INDEX(tEditais[UF],MATCH(tItens[[#This Row],[Edital]],tEditais[Edital],0)),"")</f>
        <v>ES</v>
      </c>
      <c r="I1151" s="11">
        <f>IFERROR(INDEX(tEditais[Encerramento],MATCH(tItens[[#This Row],[Edital]],tEditais[Edital],0)),"")</f>
        <v>46308.375</v>
      </c>
      <c r="J1151" t="str">
        <f>IFERROR(INDEX(tProdutos[Classe],MATCH(tItens[[#This Row],[Produto]],tProdutos[Produto],0)),"produto não cadastrado")</f>
        <v>FORA</v>
      </c>
      <c r="K1151" s="12">
        <f>tItens[[#This Row],[Qtd]]*tItens[[#This Row],[Vlr unit]]</f>
        <v>141</v>
      </c>
      <c r="L1151" s="6">
        <f>IFERROR(IF(INDEX(tProdutos[Desconto homologado],MATCH(tItens[[#This Row],[Produto]],tProdutos[Produto],0))="",DescontoPadrao,INDEX(tProdutos[Desconto homologado],MATCH(tItens[[#This Row],[Produto]],tProdutos[Produto],0))),DescontoPadrao)</f>
        <v>0.477732793522267</v>
      </c>
      <c r="M1151" s="12">
        <f>tItens[[#This Row],[Valor]]*(1-tItens[[#This Row],[Desconto]])</f>
        <v>73.639676113360352</v>
      </c>
      <c r="N1151" t="str">
        <f>IFERROR(INDEX(tProdutos[Foco],MATCH(tItens[[#This Row],[Produto]],tProdutos[Produto],0)),"Não")</f>
        <v>Não</v>
      </c>
      <c r="O1151" t="str">
        <f>IFERROR(INDEX(tEditais[SRP],MATCH(tItens[[#This Row],[Edital]],tEditais[Edital],0)),"Não")</f>
        <v>Não</v>
      </c>
      <c r="P1151" s="4">
        <f>IF(COUNTIFS(INDEX(tItens[Edital],1):tItens[[#This Row],[Edital]],tItens[[#This Row],[Edital]],INDEX(tItens[Produto],1):tItens[[#This Row],[Produto]],tItens[[#This Row],[Produto]])=1,1,0)</f>
        <v>0</v>
      </c>
    </row>
    <row r="1152" spans="1:16" x14ac:dyDescent="0.25">
      <c r="A1152" t="s">
        <v>1096</v>
      </c>
      <c r="B1152">
        <v>60</v>
      </c>
      <c r="C1152" t="s">
        <v>4249</v>
      </c>
      <c r="D1152" t="s">
        <v>530</v>
      </c>
      <c r="E1152" s="13">
        <v>5</v>
      </c>
      <c r="F1152" s="12">
        <v>18.53</v>
      </c>
      <c r="G1152" t="str">
        <f>IFERROR(INDEX(tEditais[Órgão],MATCH(tItens[[#This Row],[Edital]],tEditais[Edital],0)),"")</f>
        <v>UNIVERSIDADE FEDERAL DO ESPIRITO SANTO</v>
      </c>
      <c r="H1152" t="str">
        <f>IFERROR(INDEX(tEditais[UF],MATCH(tItens[[#This Row],[Edital]],tEditais[Edital],0)),"")</f>
        <v>ES</v>
      </c>
      <c r="I1152" s="11">
        <f>IFERROR(INDEX(tEditais[Encerramento],MATCH(tItens[[#This Row],[Edital]],tEditais[Edital],0)),"")</f>
        <v>46308.375</v>
      </c>
      <c r="J1152" t="str">
        <f>IFERROR(INDEX(tProdutos[Classe],MATCH(tItens[[#This Row],[Produto]],tProdutos[Produto],0)),"produto não cadastrado")</f>
        <v>FILA REBASE</v>
      </c>
      <c r="K1152" s="12">
        <f>tItens[[#This Row],[Qtd]]*tItens[[#This Row],[Vlr unit]]</f>
        <v>92.65</v>
      </c>
      <c r="L1152" s="6">
        <f>IFERROR(IF(INDEX(tProdutos[Desconto homologado],MATCH(tItens[[#This Row],[Produto]],tProdutos[Produto],0))="",DescontoPadrao,INDEX(tProdutos[Desconto homologado],MATCH(tItens[[#This Row],[Produto]],tProdutos[Produto],0))),DescontoPadrao)</f>
        <v>0.457328385899815</v>
      </c>
      <c r="M1152" s="12">
        <f>tItens[[#This Row],[Valor]]*(1-tItens[[#This Row],[Desconto]])</f>
        <v>50.27852504638215</v>
      </c>
      <c r="N1152" t="str">
        <f>IFERROR(INDEX(tProdutos[Foco],MATCH(tItens[[#This Row],[Produto]],tProdutos[Produto],0)),"Não")</f>
        <v>Não</v>
      </c>
      <c r="O1152" t="str">
        <f>IFERROR(INDEX(tEditais[SRP],MATCH(tItens[[#This Row],[Edital]],tEditais[Edital],0)),"Não")</f>
        <v>Não</v>
      </c>
      <c r="P1152" s="4">
        <f>IF(COUNTIFS(INDEX(tItens[Edital],1):tItens[[#This Row],[Edital]],tItens[[#This Row],[Edital]],INDEX(tItens[Produto],1):tItens[[#This Row],[Produto]],tItens[[#This Row],[Produto]])=1,1,0)</f>
        <v>1</v>
      </c>
    </row>
    <row r="1153" spans="1:16" x14ac:dyDescent="0.25">
      <c r="A1153" t="s">
        <v>1096</v>
      </c>
      <c r="B1153">
        <v>61</v>
      </c>
      <c r="C1153" t="s">
        <v>4250</v>
      </c>
      <c r="D1153" t="s">
        <v>381</v>
      </c>
      <c r="E1153" s="13">
        <v>5</v>
      </c>
      <c r="F1153" s="12">
        <v>19.54</v>
      </c>
      <c r="G1153" t="str">
        <f>IFERROR(INDEX(tEditais[Órgão],MATCH(tItens[[#This Row],[Edital]],tEditais[Edital],0)),"")</f>
        <v>UNIVERSIDADE FEDERAL DO ESPIRITO SANTO</v>
      </c>
      <c r="H1153" t="str">
        <f>IFERROR(INDEX(tEditais[UF],MATCH(tItens[[#This Row],[Edital]],tEditais[Edital],0)),"")</f>
        <v>ES</v>
      </c>
      <c r="I1153" s="11">
        <f>IFERROR(INDEX(tEditais[Encerramento],MATCH(tItens[[#This Row],[Edital]],tEditais[Edital],0)),"")</f>
        <v>46308.375</v>
      </c>
      <c r="J1153" t="str">
        <f>IFERROR(INDEX(tProdutos[Classe],MATCH(tItens[[#This Row],[Produto]],tProdutos[Produto],0)),"produto não cadastrado")</f>
        <v>FORA</v>
      </c>
      <c r="K1153" s="12">
        <f>tItens[[#This Row],[Qtd]]*tItens[[#This Row],[Vlr unit]]</f>
        <v>97.699999999999989</v>
      </c>
      <c r="L1153" s="6">
        <f>IFERROR(IF(INDEX(tProdutos[Desconto homologado],MATCH(tItens[[#This Row],[Produto]],tProdutos[Produto],0))="",DescontoPadrao,INDEX(tProdutos[Desconto homologado],MATCH(tItens[[#This Row],[Produto]],tProdutos[Produto],0))),DescontoPadrao)</f>
        <v>0.41112828438949001</v>
      </c>
      <c r="M1153" s="12">
        <f>tItens[[#This Row],[Valor]]*(1-tItens[[#This Row],[Desconto]])</f>
        <v>57.532766615146819</v>
      </c>
      <c r="N1153" t="str">
        <f>IFERROR(INDEX(tProdutos[Foco],MATCH(tItens[[#This Row],[Produto]],tProdutos[Produto],0)),"Não")</f>
        <v>Não</v>
      </c>
      <c r="O1153" t="str">
        <f>IFERROR(INDEX(tEditais[SRP],MATCH(tItens[[#This Row],[Edital]],tEditais[Edital],0)),"Não")</f>
        <v>Não</v>
      </c>
      <c r="P1153" s="4">
        <f>IF(COUNTIFS(INDEX(tItens[Edital],1):tItens[[#This Row],[Edital]],tItens[[#This Row],[Edital]],INDEX(tItens[Produto],1):tItens[[#This Row],[Produto]],tItens[[#This Row],[Produto]])=1,1,0)</f>
        <v>1</v>
      </c>
    </row>
    <row r="1154" spans="1:16" x14ac:dyDescent="0.25">
      <c r="A1154" t="s">
        <v>1096</v>
      </c>
      <c r="B1154">
        <v>63</v>
      </c>
      <c r="C1154" t="s">
        <v>3474</v>
      </c>
      <c r="D1154" t="s">
        <v>313</v>
      </c>
      <c r="E1154" s="13">
        <v>128</v>
      </c>
      <c r="F1154" s="12">
        <v>20.03</v>
      </c>
      <c r="G1154" t="str">
        <f>IFERROR(INDEX(tEditais[Órgão],MATCH(tItens[[#This Row],[Edital]],tEditais[Edital],0)),"")</f>
        <v>UNIVERSIDADE FEDERAL DO ESPIRITO SANTO</v>
      </c>
      <c r="H1154" t="str">
        <f>IFERROR(INDEX(tEditais[UF],MATCH(tItens[[#This Row],[Edital]],tEditais[Edital],0)),"")</f>
        <v>ES</v>
      </c>
      <c r="I1154" s="11">
        <f>IFERROR(INDEX(tEditais[Encerramento],MATCH(tItens[[#This Row],[Edital]],tEditais[Edital],0)),"")</f>
        <v>46308.375</v>
      </c>
      <c r="J1154" t="str">
        <f>IFERROR(INDEX(tProdutos[Classe],MATCH(tItens[[#This Row],[Produto]],tProdutos[Produto],0)),"produto não cadastrado")</f>
        <v>FORA</v>
      </c>
      <c r="K1154" s="12">
        <f>tItens[[#This Row],[Qtd]]*tItens[[#This Row],[Vlr unit]]</f>
        <v>2563.84</v>
      </c>
      <c r="L1154" s="6">
        <f>IFERROR(IF(INDEX(tProdutos[Desconto homologado],MATCH(tItens[[#This Row],[Produto]],tProdutos[Produto],0))="",DescontoPadrao,INDEX(tProdutos[Desconto homologado],MATCH(tItens[[#This Row],[Produto]],tProdutos[Produto],0))),DescontoPadrao)</f>
        <v>0.35766373163696302</v>
      </c>
      <c r="M1154" s="12">
        <f>tItens[[#This Row],[Valor]]*(1-tItens[[#This Row],[Desconto]])</f>
        <v>1646.8474182798886</v>
      </c>
      <c r="N1154" t="str">
        <f>IFERROR(INDEX(tProdutos[Foco],MATCH(tItens[[#This Row],[Produto]],tProdutos[Produto],0)),"Não")</f>
        <v>Não</v>
      </c>
      <c r="O1154" t="str">
        <f>IFERROR(INDEX(tEditais[SRP],MATCH(tItens[[#This Row],[Edital]],tEditais[Edital],0)),"Não")</f>
        <v>Não</v>
      </c>
      <c r="P1154" s="4">
        <f>IF(COUNTIFS(INDEX(tItens[Edital],1):tItens[[#This Row],[Edital]],tItens[[#This Row],[Edital]],INDEX(tItens[Produto],1):tItens[[#This Row],[Produto]],tItens[[#This Row],[Produto]])=1,1,0)</f>
        <v>0</v>
      </c>
    </row>
    <row r="1155" spans="1:16" x14ac:dyDescent="0.25">
      <c r="A1155" t="s">
        <v>1096</v>
      </c>
      <c r="B1155">
        <v>64</v>
      </c>
      <c r="C1155" t="s">
        <v>3332</v>
      </c>
      <c r="D1155" t="s">
        <v>313</v>
      </c>
      <c r="E1155" s="13">
        <v>28</v>
      </c>
      <c r="F1155" s="12">
        <v>21.64</v>
      </c>
      <c r="G1155" t="str">
        <f>IFERROR(INDEX(tEditais[Órgão],MATCH(tItens[[#This Row],[Edital]],tEditais[Edital],0)),"")</f>
        <v>UNIVERSIDADE FEDERAL DO ESPIRITO SANTO</v>
      </c>
      <c r="H1155" t="str">
        <f>IFERROR(INDEX(tEditais[UF],MATCH(tItens[[#This Row],[Edital]],tEditais[Edital],0)),"")</f>
        <v>ES</v>
      </c>
      <c r="I1155" s="11">
        <f>IFERROR(INDEX(tEditais[Encerramento],MATCH(tItens[[#This Row],[Edital]],tEditais[Edital],0)),"")</f>
        <v>46308.375</v>
      </c>
      <c r="J1155" t="str">
        <f>IFERROR(INDEX(tProdutos[Classe],MATCH(tItens[[#This Row],[Produto]],tProdutos[Produto],0)),"produto não cadastrado")</f>
        <v>FORA</v>
      </c>
      <c r="K1155" s="12">
        <f>tItens[[#This Row],[Qtd]]*tItens[[#This Row],[Vlr unit]]</f>
        <v>605.92000000000007</v>
      </c>
      <c r="L1155" s="6">
        <f>IFERROR(IF(INDEX(tProdutos[Desconto homologado],MATCH(tItens[[#This Row],[Produto]],tProdutos[Produto],0))="",DescontoPadrao,INDEX(tProdutos[Desconto homologado],MATCH(tItens[[#This Row],[Produto]],tProdutos[Produto],0))),DescontoPadrao)</f>
        <v>0.35766373163696302</v>
      </c>
      <c r="M1155" s="12">
        <f>tItens[[#This Row],[Valor]]*(1-tItens[[#This Row],[Desconto]])</f>
        <v>389.20439172653136</v>
      </c>
      <c r="N1155" t="str">
        <f>IFERROR(INDEX(tProdutos[Foco],MATCH(tItens[[#This Row],[Produto]],tProdutos[Produto],0)),"Não")</f>
        <v>Não</v>
      </c>
      <c r="O1155" t="str">
        <f>IFERROR(INDEX(tEditais[SRP],MATCH(tItens[[#This Row],[Edital]],tEditais[Edital],0)),"Não")</f>
        <v>Não</v>
      </c>
      <c r="P1155" s="4">
        <f>IF(COUNTIFS(INDEX(tItens[Edital],1):tItens[[#This Row],[Edital]],tItens[[#This Row],[Edital]],INDEX(tItens[Produto],1):tItens[[#This Row],[Produto]],tItens[[#This Row],[Produto]])=1,1,0)</f>
        <v>0</v>
      </c>
    </row>
    <row r="1156" spans="1:16" x14ac:dyDescent="0.25">
      <c r="A1156" t="s">
        <v>1096</v>
      </c>
      <c r="B1156">
        <v>67</v>
      </c>
      <c r="C1156" t="s">
        <v>4251</v>
      </c>
      <c r="D1156" t="s">
        <v>144</v>
      </c>
      <c r="E1156" s="13">
        <v>15</v>
      </c>
      <c r="F1156" s="12">
        <v>4.33</v>
      </c>
      <c r="G1156" t="str">
        <f>IFERROR(INDEX(tEditais[Órgão],MATCH(tItens[[#This Row],[Edital]],tEditais[Edital],0)),"")</f>
        <v>UNIVERSIDADE FEDERAL DO ESPIRITO SANTO</v>
      </c>
      <c r="H1156" t="str">
        <f>IFERROR(INDEX(tEditais[UF],MATCH(tItens[[#This Row],[Edital]],tEditais[Edital],0)),"")</f>
        <v>ES</v>
      </c>
      <c r="I1156" s="11">
        <f>IFERROR(INDEX(tEditais[Encerramento],MATCH(tItens[[#This Row],[Edital]],tEditais[Edital],0)),"")</f>
        <v>46308.375</v>
      </c>
      <c r="J1156" t="str">
        <f>IFERROR(INDEX(tProdutos[Classe],MATCH(tItens[[#This Row],[Produto]],tProdutos[Produto],0)),"produto não cadastrado")</f>
        <v>DISPUTADO</v>
      </c>
      <c r="K1156" s="12">
        <f>tItens[[#This Row],[Qtd]]*tItens[[#This Row],[Vlr unit]]</f>
        <v>64.95</v>
      </c>
      <c r="L1156" s="6">
        <f>IFERROR(IF(INDEX(tProdutos[Desconto homologado],MATCH(tItens[[#This Row],[Produto]],tProdutos[Produto],0))="",DescontoPadrao,INDEX(tProdutos[Desconto homologado],MATCH(tItens[[#This Row],[Produto]],tProdutos[Produto],0))),DescontoPadrao)</f>
        <v>0.371428571428571</v>
      </c>
      <c r="M1156" s="12">
        <f>tItens[[#This Row],[Valor]]*(1-tItens[[#This Row],[Desconto]])</f>
        <v>40.825714285714312</v>
      </c>
      <c r="N1156" t="str">
        <f>IFERROR(INDEX(tProdutos[Foco],MATCH(tItens[[#This Row],[Produto]],tProdutos[Produto],0)),"Não")</f>
        <v>Não</v>
      </c>
      <c r="O1156" t="str">
        <f>IFERROR(INDEX(tEditais[SRP],MATCH(tItens[[#This Row],[Edital]],tEditais[Edital],0)),"Não")</f>
        <v>Não</v>
      </c>
      <c r="P1156" s="4">
        <f>IF(COUNTIFS(INDEX(tItens[Edital],1):tItens[[#This Row],[Edital]],tItens[[#This Row],[Edital]],INDEX(tItens[Produto],1):tItens[[#This Row],[Produto]],tItens[[#This Row],[Produto]])=1,1,0)</f>
        <v>1</v>
      </c>
    </row>
    <row r="1157" spans="1:16" x14ac:dyDescent="0.25">
      <c r="A1157" t="s">
        <v>1096</v>
      </c>
      <c r="B1157">
        <v>73</v>
      </c>
      <c r="C1157" t="s">
        <v>3480</v>
      </c>
      <c r="D1157" t="s">
        <v>315</v>
      </c>
      <c r="E1157" s="13">
        <v>2</v>
      </c>
      <c r="F1157" s="12">
        <v>8.7899999999999991</v>
      </c>
      <c r="G1157" t="str">
        <f>IFERROR(INDEX(tEditais[Órgão],MATCH(tItens[[#This Row],[Edital]],tEditais[Edital],0)),"")</f>
        <v>UNIVERSIDADE FEDERAL DO ESPIRITO SANTO</v>
      </c>
      <c r="H1157" t="str">
        <f>IFERROR(INDEX(tEditais[UF],MATCH(tItens[[#This Row],[Edital]],tEditais[Edital],0)),"")</f>
        <v>ES</v>
      </c>
      <c r="I1157" s="11">
        <f>IFERROR(INDEX(tEditais[Encerramento],MATCH(tItens[[#This Row],[Edital]],tEditais[Edital],0)),"")</f>
        <v>46308.375</v>
      </c>
      <c r="J1157" t="str">
        <f>IFERROR(INDEX(tProdutos[Classe],MATCH(tItens[[#This Row],[Produto]],tProdutos[Produto],0)),"produto não cadastrado")</f>
        <v>FORA</v>
      </c>
      <c r="K1157" s="12">
        <f>tItens[[#This Row],[Qtd]]*tItens[[#This Row],[Vlr unit]]</f>
        <v>17.579999999999998</v>
      </c>
      <c r="L1157" s="6">
        <f>IFERROR(IF(INDEX(tProdutos[Desconto homologado],MATCH(tItens[[#This Row],[Produto]],tProdutos[Produto],0))="",DescontoPadrao,INDEX(tProdutos[Desconto homologado],MATCH(tItens[[#This Row],[Produto]],tProdutos[Produto],0))),DescontoPadrao)</f>
        <v>0.38432036097010702</v>
      </c>
      <c r="M1157" s="12">
        <f>tItens[[#This Row],[Valor]]*(1-tItens[[#This Row],[Desconto]])</f>
        <v>10.823648054145517</v>
      </c>
      <c r="N1157" t="str">
        <f>IFERROR(INDEX(tProdutos[Foco],MATCH(tItens[[#This Row],[Produto]],tProdutos[Produto],0)),"Não")</f>
        <v>Não</v>
      </c>
      <c r="O1157" t="str">
        <f>IFERROR(INDEX(tEditais[SRP],MATCH(tItens[[#This Row],[Edital]],tEditais[Edital],0)),"Não")</f>
        <v>Não</v>
      </c>
      <c r="P1157" s="4">
        <f>IF(COUNTIFS(INDEX(tItens[Edital],1):tItens[[#This Row],[Edital]],tItens[[#This Row],[Edital]],INDEX(tItens[Produto],1):tItens[[#This Row],[Produto]],tItens[[#This Row],[Produto]])=1,1,0)</f>
        <v>0</v>
      </c>
    </row>
    <row r="1158" spans="1:16" x14ac:dyDescent="0.25">
      <c r="A1158" t="s">
        <v>1096</v>
      </c>
      <c r="B1158">
        <v>77</v>
      </c>
      <c r="C1158" t="s">
        <v>4252</v>
      </c>
      <c r="D1158" t="s">
        <v>311</v>
      </c>
      <c r="E1158" s="13">
        <v>15</v>
      </c>
      <c r="F1158" s="12">
        <v>7.46</v>
      </c>
      <c r="G1158" t="str">
        <f>IFERROR(INDEX(tEditais[Órgão],MATCH(tItens[[#This Row],[Edital]],tEditais[Edital],0)),"")</f>
        <v>UNIVERSIDADE FEDERAL DO ESPIRITO SANTO</v>
      </c>
      <c r="H1158" t="str">
        <f>IFERROR(INDEX(tEditais[UF],MATCH(tItens[[#This Row],[Edital]],tEditais[Edital],0)),"")</f>
        <v>ES</v>
      </c>
      <c r="I1158" s="11">
        <f>IFERROR(INDEX(tEditais[Encerramento],MATCH(tItens[[#This Row],[Edital]],tEditais[Edital],0)),"")</f>
        <v>46308.375</v>
      </c>
      <c r="J1158" t="str">
        <f>IFERROR(INDEX(tProdutos[Classe],MATCH(tItens[[#This Row],[Produto]],tProdutos[Produto],0)),"produto não cadastrado")</f>
        <v>FORA</v>
      </c>
      <c r="K1158" s="12">
        <f>tItens[[#This Row],[Qtd]]*tItens[[#This Row],[Vlr unit]]</f>
        <v>111.9</v>
      </c>
      <c r="L1158" s="6">
        <f>IFERROR(IF(INDEX(tProdutos[Desconto homologado],MATCH(tItens[[#This Row],[Produto]],tProdutos[Produto],0))="",DescontoPadrao,INDEX(tProdutos[Desconto homologado],MATCH(tItens[[#This Row],[Produto]],tProdutos[Produto],0))),DescontoPadrao)</f>
        <v>0.29046182846371399</v>
      </c>
      <c r="M1158" s="12">
        <f>tItens[[#This Row],[Valor]]*(1-tItens[[#This Row],[Desconto]])</f>
        <v>79.397321394910421</v>
      </c>
      <c r="N1158" t="str">
        <f>IFERROR(INDEX(tProdutos[Foco],MATCH(tItens[[#This Row],[Produto]],tProdutos[Produto],0)),"Não")</f>
        <v>Não</v>
      </c>
      <c r="O1158" t="str">
        <f>IFERROR(INDEX(tEditais[SRP],MATCH(tItens[[#This Row],[Edital]],tEditais[Edital],0)),"Não")</f>
        <v>Não</v>
      </c>
      <c r="P1158" s="4">
        <f>IF(COUNTIFS(INDEX(tItens[Edital],1):tItens[[#This Row],[Edital]],tItens[[#This Row],[Edital]],INDEX(tItens[Produto],1):tItens[[#This Row],[Produto]],tItens[[#This Row],[Produto]])=1,1,0)</f>
        <v>1</v>
      </c>
    </row>
    <row r="1159" spans="1:16" x14ac:dyDescent="0.25">
      <c r="A1159" t="s">
        <v>1100</v>
      </c>
      <c r="B1159">
        <v>1</v>
      </c>
      <c r="C1159" t="s">
        <v>4253</v>
      </c>
      <c r="D1159" t="s">
        <v>160</v>
      </c>
      <c r="E1159" s="13">
        <v>7350</v>
      </c>
      <c r="F1159" s="12">
        <v>140.88</v>
      </c>
      <c r="G1159" t="str">
        <f>IFERROR(INDEX(tEditais[Órgão],MATCH(tItens[[#This Row],[Edital]],tEditais[Edital],0)),"")</f>
        <v>SECRETARIA DE ESTADO DA SAUDE</v>
      </c>
      <c r="H1159" t="str">
        <f>IFERROR(INDEX(tEditais[UF],MATCH(tItens[[#This Row],[Edital]],tEditais[Edital],0)),"")</f>
        <v>ES</v>
      </c>
      <c r="I1159" s="11">
        <f>IFERROR(INDEX(tEditais[Encerramento],MATCH(tItens[[#This Row],[Edital]],tEditais[Edital],0)),"")</f>
        <v>46308.375</v>
      </c>
      <c r="J1159" t="str">
        <f>IFERROR(INDEX(tProdutos[Classe],MATCH(tItens[[#This Row],[Produto]],tProdutos[Produto],0)),"produto não cadastrado")</f>
        <v>DISPUTADO</v>
      </c>
      <c r="K1159" s="12">
        <f>tItens[[#This Row],[Qtd]]*tItens[[#This Row],[Vlr unit]]</f>
        <v>1035468</v>
      </c>
      <c r="L1159" s="6">
        <f>IFERROR(IF(INDEX(tProdutos[Desconto homologado],MATCH(tItens[[#This Row],[Produto]],tProdutos[Produto],0))="",DescontoPadrao,INDEX(tProdutos[Desconto homologado],MATCH(tItens[[#This Row],[Produto]],tProdutos[Produto],0))),DescontoPadrao)</f>
        <v>0.28000000000000003</v>
      </c>
      <c r="M1159" s="12">
        <f>tItens[[#This Row],[Valor]]*(1-tItens[[#This Row],[Desconto]])</f>
        <v>745536.96</v>
      </c>
      <c r="N1159" t="str">
        <f>IFERROR(INDEX(tProdutos[Foco],MATCH(tItens[[#This Row],[Produto]],tProdutos[Produto],0)),"Não")</f>
        <v>Sim</v>
      </c>
      <c r="O1159" t="str">
        <f>IFERROR(INDEX(tEditais[SRP],MATCH(tItens[[#This Row],[Edital]],tEditais[Edital],0)),"Não")</f>
        <v>Não</v>
      </c>
      <c r="P1159" s="4">
        <f>IF(COUNTIFS(INDEX(tItens[Edital],1):tItens[[#This Row],[Edital]],tItens[[#This Row],[Edital]],INDEX(tItens[Produto],1):tItens[[#This Row],[Produto]],tItens[[#This Row],[Produto]])=1,1,0)</f>
        <v>1</v>
      </c>
    </row>
    <row r="1160" spans="1:16" x14ac:dyDescent="0.25">
      <c r="A1160" t="s">
        <v>1100</v>
      </c>
      <c r="B1160">
        <v>2</v>
      </c>
      <c r="C1160" t="s">
        <v>4253</v>
      </c>
      <c r="D1160" t="s">
        <v>160</v>
      </c>
      <c r="E1160" s="13">
        <v>2450</v>
      </c>
      <c r="F1160" s="12">
        <v>140.88</v>
      </c>
      <c r="G1160" t="str">
        <f>IFERROR(INDEX(tEditais[Órgão],MATCH(tItens[[#This Row],[Edital]],tEditais[Edital],0)),"")</f>
        <v>SECRETARIA DE ESTADO DA SAUDE</v>
      </c>
      <c r="H1160" t="str">
        <f>IFERROR(INDEX(tEditais[UF],MATCH(tItens[[#This Row],[Edital]],tEditais[Edital],0)),"")</f>
        <v>ES</v>
      </c>
      <c r="I1160" s="11">
        <f>IFERROR(INDEX(tEditais[Encerramento],MATCH(tItens[[#This Row],[Edital]],tEditais[Edital],0)),"")</f>
        <v>46308.375</v>
      </c>
      <c r="J1160" t="str">
        <f>IFERROR(INDEX(tProdutos[Classe],MATCH(tItens[[#This Row],[Produto]],tProdutos[Produto],0)),"produto não cadastrado")</f>
        <v>DISPUTADO</v>
      </c>
      <c r="K1160" s="12">
        <f>tItens[[#This Row],[Qtd]]*tItens[[#This Row],[Vlr unit]]</f>
        <v>345156</v>
      </c>
      <c r="L1160" s="6">
        <f>IFERROR(IF(INDEX(tProdutos[Desconto homologado],MATCH(tItens[[#This Row],[Produto]],tProdutos[Produto],0))="",DescontoPadrao,INDEX(tProdutos[Desconto homologado],MATCH(tItens[[#This Row],[Produto]],tProdutos[Produto],0))),DescontoPadrao)</f>
        <v>0.28000000000000003</v>
      </c>
      <c r="M1160" s="12">
        <f>tItens[[#This Row],[Valor]]*(1-tItens[[#This Row],[Desconto]])</f>
        <v>248512.31999999998</v>
      </c>
      <c r="N1160" t="str">
        <f>IFERROR(INDEX(tProdutos[Foco],MATCH(tItens[[#This Row],[Produto]],tProdutos[Produto],0)),"Não")</f>
        <v>Sim</v>
      </c>
      <c r="O1160" t="str">
        <f>IFERROR(INDEX(tEditais[SRP],MATCH(tItens[[#This Row],[Edital]],tEditais[Edital],0)),"Não")</f>
        <v>Não</v>
      </c>
      <c r="P1160" s="4">
        <f>IF(COUNTIFS(INDEX(tItens[Edital],1):tItens[[#This Row],[Edital]],tItens[[#This Row],[Edital]],INDEX(tItens[Produto],1):tItens[[#This Row],[Produto]],tItens[[#This Row],[Produto]])=1,1,0)</f>
        <v>0</v>
      </c>
    </row>
    <row r="1161" spans="1:16" x14ac:dyDescent="0.25">
      <c r="A1161" t="s">
        <v>1100</v>
      </c>
      <c r="B1161">
        <v>3</v>
      </c>
      <c r="C1161" t="s">
        <v>4254</v>
      </c>
      <c r="D1161" t="s">
        <v>160</v>
      </c>
      <c r="E1161" s="13">
        <v>7350</v>
      </c>
      <c r="F1161" s="12">
        <v>240</v>
      </c>
      <c r="G1161" t="str">
        <f>IFERROR(INDEX(tEditais[Órgão],MATCH(tItens[[#This Row],[Edital]],tEditais[Edital],0)),"")</f>
        <v>SECRETARIA DE ESTADO DA SAUDE</v>
      </c>
      <c r="H1161" t="str">
        <f>IFERROR(INDEX(tEditais[UF],MATCH(tItens[[#This Row],[Edital]],tEditais[Edital],0)),"")</f>
        <v>ES</v>
      </c>
      <c r="I1161" s="11">
        <f>IFERROR(INDEX(tEditais[Encerramento],MATCH(tItens[[#This Row],[Edital]],tEditais[Edital],0)),"")</f>
        <v>46308.375</v>
      </c>
      <c r="J1161" t="str">
        <f>IFERROR(INDEX(tProdutos[Classe],MATCH(tItens[[#This Row],[Produto]],tProdutos[Produto],0)),"produto não cadastrado")</f>
        <v>DISPUTADO</v>
      </c>
      <c r="K1161" s="12">
        <f>tItens[[#This Row],[Qtd]]*tItens[[#This Row],[Vlr unit]]</f>
        <v>1764000</v>
      </c>
      <c r="L1161" s="6">
        <f>IFERROR(IF(INDEX(tProdutos[Desconto homologado],MATCH(tItens[[#This Row],[Produto]],tProdutos[Produto],0))="",DescontoPadrao,INDEX(tProdutos[Desconto homologado],MATCH(tItens[[#This Row],[Produto]],tProdutos[Produto],0))),DescontoPadrao)</f>
        <v>0.28000000000000003</v>
      </c>
      <c r="M1161" s="12">
        <f>tItens[[#This Row],[Valor]]*(1-tItens[[#This Row],[Desconto]])</f>
        <v>1270080</v>
      </c>
      <c r="N1161" t="str">
        <f>IFERROR(INDEX(tProdutos[Foco],MATCH(tItens[[#This Row],[Produto]],tProdutos[Produto],0)),"Não")</f>
        <v>Sim</v>
      </c>
      <c r="O1161" t="str">
        <f>IFERROR(INDEX(tEditais[SRP],MATCH(tItens[[#This Row],[Edital]],tEditais[Edital],0)),"Não")</f>
        <v>Não</v>
      </c>
      <c r="P1161" s="4">
        <f>IF(COUNTIFS(INDEX(tItens[Edital],1):tItens[[#This Row],[Edital]],tItens[[#This Row],[Edital]],INDEX(tItens[Produto],1):tItens[[#This Row],[Produto]],tItens[[#This Row],[Produto]])=1,1,0)</f>
        <v>0</v>
      </c>
    </row>
    <row r="1162" spans="1:16" x14ac:dyDescent="0.25">
      <c r="A1162" t="s">
        <v>1100</v>
      </c>
      <c r="B1162">
        <v>4</v>
      </c>
      <c r="C1162" t="s">
        <v>4254</v>
      </c>
      <c r="D1162" t="s">
        <v>160</v>
      </c>
      <c r="E1162" s="13">
        <v>2450</v>
      </c>
      <c r="F1162" s="12">
        <v>240</v>
      </c>
      <c r="G1162" t="str">
        <f>IFERROR(INDEX(tEditais[Órgão],MATCH(tItens[[#This Row],[Edital]],tEditais[Edital],0)),"")</f>
        <v>SECRETARIA DE ESTADO DA SAUDE</v>
      </c>
      <c r="H1162" t="str">
        <f>IFERROR(INDEX(tEditais[UF],MATCH(tItens[[#This Row],[Edital]],tEditais[Edital],0)),"")</f>
        <v>ES</v>
      </c>
      <c r="I1162" s="11">
        <f>IFERROR(INDEX(tEditais[Encerramento],MATCH(tItens[[#This Row],[Edital]],tEditais[Edital],0)),"")</f>
        <v>46308.375</v>
      </c>
      <c r="J1162" t="str">
        <f>IFERROR(INDEX(tProdutos[Classe],MATCH(tItens[[#This Row],[Produto]],tProdutos[Produto],0)),"produto não cadastrado")</f>
        <v>DISPUTADO</v>
      </c>
      <c r="K1162" s="12">
        <f>tItens[[#This Row],[Qtd]]*tItens[[#This Row],[Vlr unit]]</f>
        <v>588000</v>
      </c>
      <c r="L1162" s="6">
        <f>IFERROR(IF(INDEX(tProdutos[Desconto homologado],MATCH(tItens[[#This Row],[Produto]],tProdutos[Produto],0))="",DescontoPadrao,INDEX(tProdutos[Desconto homologado],MATCH(tItens[[#This Row],[Produto]],tProdutos[Produto],0))),DescontoPadrao)</f>
        <v>0.28000000000000003</v>
      </c>
      <c r="M1162" s="12">
        <f>tItens[[#This Row],[Valor]]*(1-tItens[[#This Row],[Desconto]])</f>
        <v>423360</v>
      </c>
      <c r="N1162" t="str">
        <f>IFERROR(INDEX(tProdutos[Foco],MATCH(tItens[[#This Row],[Produto]],tProdutos[Produto],0)),"Não")</f>
        <v>Sim</v>
      </c>
      <c r="O1162" t="str">
        <f>IFERROR(INDEX(tEditais[SRP],MATCH(tItens[[#This Row],[Edital]],tEditais[Edital],0)),"Não")</f>
        <v>Não</v>
      </c>
      <c r="P1162" s="4">
        <f>IF(COUNTIFS(INDEX(tItens[Edital],1):tItens[[#This Row],[Edital]],tItens[[#This Row],[Edital]],INDEX(tItens[Produto],1):tItens[[#This Row],[Produto]],tItens[[#This Row],[Produto]])=1,1,0)</f>
        <v>0</v>
      </c>
    </row>
    <row r="1163" spans="1:16" x14ac:dyDescent="0.25">
      <c r="A1163" t="s">
        <v>1100</v>
      </c>
      <c r="B1163">
        <v>5</v>
      </c>
      <c r="C1163" t="s">
        <v>4255</v>
      </c>
      <c r="D1163" t="s">
        <v>387</v>
      </c>
      <c r="E1163" s="13">
        <v>54375</v>
      </c>
      <c r="F1163" s="12">
        <v>32</v>
      </c>
      <c r="G1163" t="str">
        <f>IFERROR(INDEX(tEditais[Órgão],MATCH(tItens[[#This Row],[Edital]],tEditais[Edital],0)),"")</f>
        <v>SECRETARIA DE ESTADO DA SAUDE</v>
      </c>
      <c r="H1163" t="str">
        <f>IFERROR(INDEX(tEditais[UF],MATCH(tItens[[#This Row],[Edital]],tEditais[Edital],0)),"")</f>
        <v>ES</v>
      </c>
      <c r="I1163" s="11">
        <f>IFERROR(INDEX(tEditais[Encerramento],MATCH(tItens[[#This Row],[Edital]],tEditais[Edital],0)),"")</f>
        <v>46308.375</v>
      </c>
      <c r="J1163" t="str">
        <f>IFERROR(INDEX(tProdutos[Classe],MATCH(tItens[[#This Row],[Produto]],tProdutos[Produto],0)),"produto não cadastrado")</f>
        <v>FORA</v>
      </c>
      <c r="K1163" s="12">
        <f>tItens[[#This Row],[Qtd]]*tItens[[#This Row],[Vlr unit]]</f>
        <v>1740000</v>
      </c>
      <c r="L1163" s="6">
        <f>IFERROR(IF(INDEX(tProdutos[Desconto homologado],MATCH(tItens[[#This Row],[Produto]],tProdutos[Produto],0))="",DescontoPadrao,INDEX(tProdutos[Desconto homologado],MATCH(tItens[[#This Row],[Produto]],tProdutos[Produto],0))),DescontoPadrao)</f>
        <v>0.30458221024258803</v>
      </c>
      <c r="M1163" s="12">
        <f>tItens[[#This Row],[Valor]]*(1-tItens[[#This Row],[Desconto]])</f>
        <v>1210026.9541778967</v>
      </c>
      <c r="N1163" t="str">
        <f>IFERROR(INDEX(tProdutos[Foco],MATCH(tItens[[#This Row],[Produto]],tProdutos[Produto],0)),"Não")</f>
        <v>Não</v>
      </c>
      <c r="O1163" t="str">
        <f>IFERROR(INDEX(tEditais[SRP],MATCH(tItens[[#This Row],[Edital]],tEditais[Edital],0)),"Não")</f>
        <v>Não</v>
      </c>
      <c r="P1163" s="4">
        <f>IF(COUNTIFS(INDEX(tItens[Edital],1):tItens[[#This Row],[Edital]],tItens[[#This Row],[Edital]],INDEX(tItens[Produto],1):tItens[[#This Row],[Produto]],tItens[[#This Row],[Produto]])=1,1,0)</f>
        <v>1</v>
      </c>
    </row>
    <row r="1164" spans="1:16" x14ac:dyDescent="0.25">
      <c r="A1164" t="s">
        <v>1100</v>
      </c>
      <c r="B1164">
        <v>6</v>
      </c>
      <c r="C1164" t="s">
        <v>4255</v>
      </c>
      <c r="D1164" t="s">
        <v>387</v>
      </c>
      <c r="E1164" s="13">
        <v>18125</v>
      </c>
      <c r="F1164" s="12">
        <v>32</v>
      </c>
      <c r="G1164" t="str">
        <f>IFERROR(INDEX(tEditais[Órgão],MATCH(tItens[[#This Row],[Edital]],tEditais[Edital],0)),"")</f>
        <v>SECRETARIA DE ESTADO DA SAUDE</v>
      </c>
      <c r="H1164" t="str">
        <f>IFERROR(INDEX(tEditais[UF],MATCH(tItens[[#This Row],[Edital]],tEditais[Edital],0)),"")</f>
        <v>ES</v>
      </c>
      <c r="I1164" s="11">
        <f>IFERROR(INDEX(tEditais[Encerramento],MATCH(tItens[[#This Row],[Edital]],tEditais[Edital],0)),"")</f>
        <v>46308.375</v>
      </c>
      <c r="J1164" t="str">
        <f>IFERROR(INDEX(tProdutos[Classe],MATCH(tItens[[#This Row],[Produto]],tProdutos[Produto],0)),"produto não cadastrado")</f>
        <v>FORA</v>
      </c>
      <c r="K1164" s="12">
        <f>tItens[[#This Row],[Qtd]]*tItens[[#This Row],[Vlr unit]]</f>
        <v>580000</v>
      </c>
      <c r="L1164" s="6">
        <f>IFERROR(IF(INDEX(tProdutos[Desconto homologado],MATCH(tItens[[#This Row],[Produto]],tProdutos[Produto],0))="",DescontoPadrao,INDEX(tProdutos[Desconto homologado],MATCH(tItens[[#This Row],[Produto]],tProdutos[Produto],0))),DescontoPadrao)</f>
        <v>0.30458221024258803</v>
      </c>
      <c r="M1164" s="12">
        <f>tItens[[#This Row],[Valor]]*(1-tItens[[#This Row],[Desconto]])</f>
        <v>403342.31805929897</v>
      </c>
      <c r="N1164" t="str">
        <f>IFERROR(INDEX(tProdutos[Foco],MATCH(tItens[[#This Row],[Produto]],tProdutos[Produto],0)),"Não")</f>
        <v>Não</v>
      </c>
      <c r="O1164" t="str">
        <f>IFERROR(INDEX(tEditais[SRP],MATCH(tItens[[#This Row],[Edital]],tEditais[Edital],0)),"Não")</f>
        <v>Não</v>
      </c>
      <c r="P1164" s="4">
        <f>IF(COUNTIFS(INDEX(tItens[Edital],1):tItens[[#This Row],[Edital]],tItens[[#This Row],[Edital]],INDEX(tItens[Produto],1):tItens[[#This Row],[Produto]],tItens[[#This Row],[Produto]])=1,1,0)</f>
        <v>0</v>
      </c>
    </row>
    <row r="1165" spans="1:16" x14ac:dyDescent="0.25">
      <c r="A1165" t="s">
        <v>1100</v>
      </c>
      <c r="B1165">
        <v>7</v>
      </c>
      <c r="C1165" t="s">
        <v>4255</v>
      </c>
      <c r="D1165" t="s">
        <v>387</v>
      </c>
      <c r="E1165" s="13">
        <v>64575</v>
      </c>
      <c r="F1165" s="12">
        <v>40.950000000000003</v>
      </c>
      <c r="G1165" t="str">
        <f>IFERROR(INDEX(tEditais[Órgão],MATCH(tItens[[#This Row],[Edital]],tEditais[Edital],0)),"")</f>
        <v>SECRETARIA DE ESTADO DA SAUDE</v>
      </c>
      <c r="H1165" t="str">
        <f>IFERROR(INDEX(tEditais[UF],MATCH(tItens[[#This Row],[Edital]],tEditais[Edital],0)),"")</f>
        <v>ES</v>
      </c>
      <c r="I1165" s="11">
        <f>IFERROR(INDEX(tEditais[Encerramento],MATCH(tItens[[#This Row],[Edital]],tEditais[Edital],0)),"")</f>
        <v>46308.375</v>
      </c>
      <c r="J1165" t="str">
        <f>IFERROR(INDEX(tProdutos[Classe],MATCH(tItens[[#This Row],[Produto]],tProdutos[Produto],0)),"produto não cadastrado")</f>
        <v>FORA</v>
      </c>
      <c r="K1165" s="12">
        <f>tItens[[#This Row],[Qtd]]*tItens[[#This Row],[Vlr unit]]</f>
        <v>2644346.25</v>
      </c>
      <c r="L1165" s="6">
        <f>IFERROR(IF(INDEX(tProdutos[Desconto homologado],MATCH(tItens[[#This Row],[Produto]],tProdutos[Produto],0))="",DescontoPadrao,INDEX(tProdutos[Desconto homologado],MATCH(tItens[[#This Row],[Produto]],tProdutos[Produto],0))),DescontoPadrao)</f>
        <v>0.30458221024258803</v>
      </c>
      <c r="M1165" s="12">
        <f>tItens[[#This Row],[Valor]]*(1-tItens[[#This Row],[Desconto]])</f>
        <v>1838925.4245283008</v>
      </c>
      <c r="N1165" t="str">
        <f>IFERROR(INDEX(tProdutos[Foco],MATCH(tItens[[#This Row],[Produto]],tProdutos[Produto],0)),"Não")</f>
        <v>Não</v>
      </c>
      <c r="O1165" t="str">
        <f>IFERROR(INDEX(tEditais[SRP],MATCH(tItens[[#This Row],[Edital]],tEditais[Edital],0)),"Não")</f>
        <v>Não</v>
      </c>
      <c r="P1165" s="4">
        <f>IF(COUNTIFS(INDEX(tItens[Edital],1):tItens[[#This Row],[Edital]],tItens[[#This Row],[Edital]],INDEX(tItens[Produto],1):tItens[[#This Row],[Produto]],tItens[[#This Row],[Produto]])=1,1,0)</f>
        <v>0</v>
      </c>
    </row>
    <row r="1166" spans="1:16" x14ac:dyDescent="0.25">
      <c r="A1166" t="s">
        <v>1100</v>
      </c>
      <c r="B1166">
        <v>8</v>
      </c>
      <c r="C1166" t="s">
        <v>4255</v>
      </c>
      <c r="D1166" t="s">
        <v>387</v>
      </c>
      <c r="E1166" s="13">
        <v>21525</v>
      </c>
      <c r="F1166" s="12">
        <v>40.950000000000003</v>
      </c>
      <c r="G1166" t="str">
        <f>IFERROR(INDEX(tEditais[Órgão],MATCH(tItens[[#This Row],[Edital]],tEditais[Edital],0)),"")</f>
        <v>SECRETARIA DE ESTADO DA SAUDE</v>
      </c>
      <c r="H1166" t="str">
        <f>IFERROR(INDEX(tEditais[UF],MATCH(tItens[[#This Row],[Edital]],tEditais[Edital],0)),"")</f>
        <v>ES</v>
      </c>
      <c r="I1166" s="11">
        <f>IFERROR(INDEX(tEditais[Encerramento],MATCH(tItens[[#This Row],[Edital]],tEditais[Edital],0)),"")</f>
        <v>46308.375</v>
      </c>
      <c r="J1166" t="str">
        <f>IFERROR(INDEX(tProdutos[Classe],MATCH(tItens[[#This Row],[Produto]],tProdutos[Produto],0)),"produto não cadastrado")</f>
        <v>FORA</v>
      </c>
      <c r="K1166" s="12">
        <f>tItens[[#This Row],[Qtd]]*tItens[[#This Row],[Vlr unit]]</f>
        <v>881448.75000000012</v>
      </c>
      <c r="L1166" s="6">
        <f>IFERROR(IF(INDEX(tProdutos[Desconto homologado],MATCH(tItens[[#This Row],[Produto]],tProdutos[Produto],0))="",DescontoPadrao,INDEX(tProdutos[Desconto homologado],MATCH(tItens[[#This Row],[Produto]],tProdutos[Produto],0))),DescontoPadrao)</f>
        <v>0.30458221024258803</v>
      </c>
      <c r="M1166" s="12">
        <f>tItens[[#This Row],[Valor]]*(1-tItens[[#This Row],[Desconto]])</f>
        <v>612975.14150943363</v>
      </c>
      <c r="N1166" t="str">
        <f>IFERROR(INDEX(tProdutos[Foco],MATCH(tItens[[#This Row],[Produto]],tProdutos[Produto],0)),"Não")</f>
        <v>Não</v>
      </c>
      <c r="O1166" t="str">
        <f>IFERROR(INDEX(tEditais[SRP],MATCH(tItens[[#This Row],[Edital]],tEditais[Edital],0)),"Não")</f>
        <v>Não</v>
      </c>
      <c r="P1166" s="4">
        <f>IF(COUNTIFS(INDEX(tItens[Edital],1):tItens[[#This Row],[Edital]],tItens[[#This Row],[Edital]],INDEX(tItens[Produto],1):tItens[[#This Row],[Produto]],tItens[[#This Row],[Produto]])=1,1,0)</f>
        <v>0</v>
      </c>
    </row>
    <row r="1167" spans="1:16" x14ac:dyDescent="0.25">
      <c r="A1167" t="s">
        <v>1100</v>
      </c>
      <c r="B1167">
        <v>9</v>
      </c>
      <c r="C1167" t="s">
        <v>4256</v>
      </c>
      <c r="D1167" t="s">
        <v>387</v>
      </c>
      <c r="E1167" s="13">
        <v>48000</v>
      </c>
      <c r="F1167" s="12">
        <v>40.450000000000003</v>
      </c>
      <c r="G1167" t="str">
        <f>IFERROR(INDEX(tEditais[Órgão],MATCH(tItens[[#This Row],[Edital]],tEditais[Edital],0)),"")</f>
        <v>SECRETARIA DE ESTADO DA SAUDE</v>
      </c>
      <c r="H1167" t="str">
        <f>IFERROR(INDEX(tEditais[UF],MATCH(tItens[[#This Row],[Edital]],tEditais[Edital],0)),"")</f>
        <v>ES</v>
      </c>
      <c r="I1167" s="11">
        <f>IFERROR(INDEX(tEditais[Encerramento],MATCH(tItens[[#This Row],[Edital]],tEditais[Edital],0)),"")</f>
        <v>46308.375</v>
      </c>
      <c r="J1167" t="str">
        <f>IFERROR(INDEX(tProdutos[Classe],MATCH(tItens[[#This Row],[Produto]],tProdutos[Produto],0)),"produto não cadastrado")</f>
        <v>FORA</v>
      </c>
      <c r="K1167" s="12">
        <f>tItens[[#This Row],[Qtd]]*tItens[[#This Row],[Vlr unit]]</f>
        <v>1941600.0000000002</v>
      </c>
      <c r="L1167" s="6">
        <f>IFERROR(IF(INDEX(tProdutos[Desconto homologado],MATCH(tItens[[#This Row],[Produto]],tProdutos[Produto],0))="",DescontoPadrao,INDEX(tProdutos[Desconto homologado],MATCH(tItens[[#This Row],[Produto]],tProdutos[Produto],0))),DescontoPadrao)</f>
        <v>0.30458221024258803</v>
      </c>
      <c r="M1167" s="12">
        <f>tItens[[#This Row],[Valor]]*(1-tItens[[#This Row],[Desconto]])</f>
        <v>1350223.1805929912</v>
      </c>
      <c r="N1167" t="str">
        <f>IFERROR(INDEX(tProdutos[Foco],MATCH(tItens[[#This Row],[Produto]],tProdutos[Produto],0)),"Não")</f>
        <v>Não</v>
      </c>
      <c r="O1167" t="str">
        <f>IFERROR(INDEX(tEditais[SRP],MATCH(tItens[[#This Row],[Edital]],tEditais[Edital],0)),"Não")</f>
        <v>Não</v>
      </c>
      <c r="P1167" s="4">
        <f>IF(COUNTIFS(INDEX(tItens[Edital],1):tItens[[#This Row],[Edital]],tItens[[#This Row],[Edital]],INDEX(tItens[Produto],1):tItens[[#This Row],[Produto]],tItens[[#This Row],[Produto]])=1,1,0)</f>
        <v>0</v>
      </c>
    </row>
    <row r="1168" spans="1:16" x14ac:dyDescent="0.25">
      <c r="A1168" t="s">
        <v>1100</v>
      </c>
      <c r="B1168">
        <v>10</v>
      </c>
      <c r="C1168" t="s">
        <v>4256</v>
      </c>
      <c r="D1168" t="s">
        <v>387</v>
      </c>
      <c r="E1168" s="13">
        <v>16000</v>
      </c>
      <c r="F1168" s="12">
        <v>40.450000000000003</v>
      </c>
      <c r="G1168" t="str">
        <f>IFERROR(INDEX(tEditais[Órgão],MATCH(tItens[[#This Row],[Edital]],tEditais[Edital],0)),"")</f>
        <v>SECRETARIA DE ESTADO DA SAUDE</v>
      </c>
      <c r="H1168" t="str">
        <f>IFERROR(INDEX(tEditais[UF],MATCH(tItens[[#This Row],[Edital]],tEditais[Edital],0)),"")</f>
        <v>ES</v>
      </c>
      <c r="I1168" s="11">
        <f>IFERROR(INDEX(tEditais[Encerramento],MATCH(tItens[[#This Row],[Edital]],tEditais[Edital],0)),"")</f>
        <v>46308.375</v>
      </c>
      <c r="J1168" t="str">
        <f>IFERROR(INDEX(tProdutos[Classe],MATCH(tItens[[#This Row],[Produto]],tProdutos[Produto],0)),"produto não cadastrado")</f>
        <v>FORA</v>
      </c>
      <c r="K1168" s="12">
        <f>tItens[[#This Row],[Qtd]]*tItens[[#This Row],[Vlr unit]]</f>
        <v>647200</v>
      </c>
      <c r="L1168" s="6">
        <f>IFERROR(IF(INDEX(tProdutos[Desconto homologado],MATCH(tItens[[#This Row],[Produto]],tProdutos[Produto],0))="",DescontoPadrao,INDEX(tProdutos[Desconto homologado],MATCH(tItens[[#This Row],[Produto]],tProdutos[Produto],0))),DescontoPadrao)</f>
        <v>0.30458221024258803</v>
      </c>
      <c r="M1168" s="12">
        <f>tItens[[#This Row],[Valor]]*(1-tItens[[#This Row],[Desconto]])</f>
        <v>450074.39353099704</v>
      </c>
      <c r="N1168" t="str">
        <f>IFERROR(INDEX(tProdutos[Foco],MATCH(tItens[[#This Row],[Produto]],tProdutos[Produto],0)),"Não")</f>
        <v>Não</v>
      </c>
      <c r="O1168" t="str">
        <f>IFERROR(INDEX(tEditais[SRP],MATCH(tItens[[#This Row],[Edital]],tEditais[Edital],0)),"Não")</f>
        <v>Não</v>
      </c>
      <c r="P1168" s="4">
        <f>IF(COUNTIFS(INDEX(tItens[Edital],1):tItens[[#This Row],[Edital]],tItens[[#This Row],[Edital]],INDEX(tItens[Produto],1):tItens[[#This Row],[Produto]],tItens[[#This Row],[Produto]])=1,1,0)</f>
        <v>0</v>
      </c>
    </row>
    <row r="1169" spans="1:16" x14ac:dyDescent="0.25">
      <c r="A1169" t="s">
        <v>1100</v>
      </c>
      <c r="B1169">
        <v>11</v>
      </c>
      <c r="C1169" t="s">
        <v>4257</v>
      </c>
      <c r="D1169" t="s">
        <v>279</v>
      </c>
      <c r="E1169" s="13">
        <v>23475</v>
      </c>
      <c r="F1169" s="12">
        <v>10</v>
      </c>
      <c r="G1169" t="str">
        <f>IFERROR(INDEX(tEditais[Órgão],MATCH(tItens[[#This Row],[Edital]],tEditais[Edital],0)),"")</f>
        <v>SECRETARIA DE ESTADO DA SAUDE</v>
      </c>
      <c r="H1169" t="str">
        <f>IFERROR(INDEX(tEditais[UF],MATCH(tItens[[#This Row],[Edital]],tEditais[Edital],0)),"")</f>
        <v>ES</v>
      </c>
      <c r="I1169" s="11">
        <f>IFERROR(INDEX(tEditais[Encerramento],MATCH(tItens[[#This Row],[Edital]],tEditais[Edital],0)),"")</f>
        <v>46308.375</v>
      </c>
      <c r="J1169" t="str">
        <f>IFERROR(INDEX(tProdutos[Classe],MATCH(tItens[[#This Row],[Produto]],tProdutos[Produto],0)),"produto não cadastrado")</f>
        <v>FORA</v>
      </c>
      <c r="K1169" s="12">
        <f>tItens[[#This Row],[Qtd]]*tItens[[#This Row],[Vlr unit]]</f>
        <v>234750</v>
      </c>
      <c r="L1169" s="6">
        <f>IFERROR(IF(INDEX(tProdutos[Desconto homologado],MATCH(tItens[[#This Row],[Produto]],tProdutos[Produto],0))="",DescontoPadrao,INDEX(tProdutos[Desconto homologado],MATCH(tItens[[#This Row],[Produto]],tProdutos[Produto],0))),DescontoPadrao)</f>
        <v>0.28909090909090901</v>
      </c>
      <c r="M1169" s="12">
        <f>tItens[[#This Row],[Valor]]*(1-tItens[[#This Row],[Desconto]])</f>
        <v>166885.90909090909</v>
      </c>
      <c r="N1169" t="str">
        <f>IFERROR(INDEX(tProdutos[Foco],MATCH(tItens[[#This Row],[Produto]],tProdutos[Produto],0)),"Não")</f>
        <v>Não</v>
      </c>
      <c r="O1169" t="str">
        <f>IFERROR(INDEX(tEditais[SRP],MATCH(tItens[[#This Row],[Edital]],tEditais[Edital],0)),"Não")</f>
        <v>Não</v>
      </c>
      <c r="P1169" s="4">
        <f>IF(COUNTIFS(INDEX(tItens[Edital],1):tItens[[#This Row],[Edital]],tItens[[#This Row],[Edital]],INDEX(tItens[Produto],1):tItens[[#This Row],[Produto]],tItens[[#This Row],[Produto]])=1,1,0)</f>
        <v>1</v>
      </c>
    </row>
    <row r="1170" spans="1:16" x14ac:dyDescent="0.25">
      <c r="A1170" t="s">
        <v>1100</v>
      </c>
      <c r="B1170">
        <v>12</v>
      </c>
      <c r="C1170" t="s">
        <v>4257</v>
      </c>
      <c r="D1170" t="s">
        <v>279</v>
      </c>
      <c r="E1170" s="13">
        <v>7825</v>
      </c>
      <c r="F1170" s="12">
        <v>10</v>
      </c>
      <c r="G1170" t="str">
        <f>IFERROR(INDEX(tEditais[Órgão],MATCH(tItens[[#This Row],[Edital]],tEditais[Edital],0)),"")</f>
        <v>SECRETARIA DE ESTADO DA SAUDE</v>
      </c>
      <c r="H1170" t="str">
        <f>IFERROR(INDEX(tEditais[UF],MATCH(tItens[[#This Row],[Edital]],tEditais[Edital],0)),"")</f>
        <v>ES</v>
      </c>
      <c r="I1170" s="11">
        <f>IFERROR(INDEX(tEditais[Encerramento],MATCH(tItens[[#This Row],[Edital]],tEditais[Edital],0)),"")</f>
        <v>46308.375</v>
      </c>
      <c r="J1170" t="str">
        <f>IFERROR(INDEX(tProdutos[Classe],MATCH(tItens[[#This Row],[Produto]],tProdutos[Produto],0)),"produto não cadastrado")</f>
        <v>FORA</v>
      </c>
      <c r="K1170" s="12">
        <f>tItens[[#This Row],[Qtd]]*tItens[[#This Row],[Vlr unit]]</f>
        <v>78250</v>
      </c>
      <c r="L1170" s="6">
        <f>IFERROR(IF(INDEX(tProdutos[Desconto homologado],MATCH(tItens[[#This Row],[Produto]],tProdutos[Produto],0))="",DescontoPadrao,INDEX(tProdutos[Desconto homologado],MATCH(tItens[[#This Row],[Produto]],tProdutos[Produto],0))),DescontoPadrao)</f>
        <v>0.28909090909090901</v>
      </c>
      <c r="M1170" s="12">
        <f>tItens[[#This Row],[Valor]]*(1-tItens[[#This Row],[Desconto]])</f>
        <v>55628.636363636368</v>
      </c>
      <c r="N1170" t="str">
        <f>IFERROR(INDEX(tProdutos[Foco],MATCH(tItens[[#This Row],[Produto]],tProdutos[Produto],0)),"Não")</f>
        <v>Não</v>
      </c>
      <c r="O1170" t="str">
        <f>IFERROR(INDEX(tEditais[SRP],MATCH(tItens[[#This Row],[Edital]],tEditais[Edital],0)),"Não")</f>
        <v>Não</v>
      </c>
      <c r="P1170" s="4">
        <f>IF(COUNTIFS(INDEX(tItens[Edital],1):tItens[[#This Row],[Edital]],tItens[[#This Row],[Edital]],INDEX(tItens[Produto],1):tItens[[#This Row],[Produto]],tItens[[#This Row],[Produto]])=1,1,0)</f>
        <v>0</v>
      </c>
    </row>
    <row r="1171" spans="1:16" x14ac:dyDescent="0.25">
      <c r="A1171" t="s">
        <v>1100</v>
      </c>
      <c r="B1171">
        <v>13</v>
      </c>
      <c r="C1171" t="s">
        <v>4258</v>
      </c>
      <c r="D1171" t="s">
        <v>371</v>
      </c>
      <c r="E1171" s="13">
        <v>50400</v>
      </c>
      <c r="F1171" s="12">
        <v>6.09</v>
      </c>
      <c r="G1171" t="str">
        <f>IFERROR(INDEX(tEditais[Órgão],MATCH(tItens[[#This Row],[Edital]],tEditais[Edital],0)),"")</f>
        <v>SECRETARIA DE ESTADO DA SAUDE</v>
      </c>
      <c r="H1171" t="str">
        <f>IFERROR(INDEX(tEditais[UF],MATCH(tItens[[#This Row],[Edital]],tEditais[Edital],0)),"")</f>
        <v>ES</v>
      </c>
      <c r="I1171" s="11">
        <f>IFERROR(INDEX(tEditais[Encerramento],MATCH(tItens[[#This Row],[Edital]],tEditais[Edital],0)),"")</f>
        <v>46308.375</v>
      </c>
      <c r="J1171" t="str">
        <f>IFERROR(INDEX(tProdutos[Classe],MATCH(tItens[[#This Row],[Produto]],tProdutos[Produto],0)),"produto não cadastrado")</f>
        <v>FORA</v>
      </c>
      <c r="K1171" s="12">
        <f>tItens[[#This Row],[Qtd]]*tItens[[#This Row],[Vlr unit]]</f>
        <v>306936</v>
      </c>
      <c r="L1171" s="6">
        <f>IFERROR(IF(INDEX(tProdutos[Desconto homologado],MATCH(tItens[[#This Row],[Produto]],tProdutos[Produto],0))="",DescontoPadrao,INDEX(tProdutos[Desconto homologado],MATCH(tItens[[#This Row],[Produto]],tProdutos[Produto],0))),DescontoPadrao)</f>
        <v>0.217826086956522</v>
      </c>
      <c r="M1171" s="12">
        <f>tItens[[#This Row],[Valor]]*(1-tItens[[#This Row],[Desconto]])</f>
        <v>240077.33217391293</v>
      </c>
      <c r="N1171" t="str">
        <f>IFERROR(INDEX(tProdutos[Foco],MATCH(tItens[[#This Row],[Produto]],tProdutos[Produto],0)),"Não")</f>
        <v>Não</v>
      </c>
      <c r="O1171" t="str">
        <f>IFERROR(INDEX(tEditais[SRP],MATCH(tItens[[#This Row],[Edital]],tEditais[Edital],0)),"Não")</f>
        <v>Não</v>
      </c>
      <c r="P1171" s="4">
        <f>IF(COUNTIFS(INDEX(tItens[Edital],1):tItens[[#This Row],[Edital]],tItens[[#This Row],[Edital]],INDEX(tItens[Produto],1):tItens[[#This Row],[Produto]],tItens[[#This Row],[Produto]])=1,1,0)</f>
        <v>1</v>
      </c>
    </row>
    <row r="1172" spans="1:16" x14ac:dyDescent="0.25">
      <c r="A1172" t="s">
        <v>1100</v>
      </c>
      <c r="B1172">
        <v>14</v>
      </c>
      <c r="C1172" t="s">
        <v>4258</v>
      </c>
      <c r="D1172" t="s">
        <v>371</v>
      </c>
      <c r="E1172" s="13">
        <v>16800</v>
      </c>
      <c r="F1172" s="12">
        <v>6.09</v>
      </c>
      <c r="G1172" t="str">
        <f>IFERROR(INDEX(tEditais[Órgão],MATCH(tItens[[#This Row],[Edital]],tEditais[Edital],0)),"")</f>
        <v>SECRETARIA DE ESTADO DA SAUDE</v>
      </c>
      <c r="H1172" t="str">
        <f>IFERROR(INDEX(tEditais[UF],MATCH(tItens[[#This Row],[Edital]],tEditais[Edital],0)),"")</f>
        <v>ES</v>
      </c>
      <c r="I1172" s="11">
        <f>IFERROR(INDEX(tEditais[Encerramento],MATCH(tItens[[#This Row],[Edital]],tEditais[Edital],0)),"")</f>
        <v>46308.375</v>
      </c>
      <c r="J1172" t="str">
        <f>IFERROR(INDEX(tProdutos[Classe],MATCH(tItens[[#This Row],[Produto]],tProdutos[Produto],0)),"produto não cadastrado")</f>
        <v>FORA</v>
      </c>
      <c r="K1172" s="12">
        <f>tItens[[#This Row],[Qtd]]*tItens[[#This Row],[Vlr unit]]</f>
        <v>102312</v>
      </c>
      <c r="L1172" s="6">
        <f>IFERROR(IF(INDEX(tProdutos[Desconto homologado],MATCH(tItens[[#This Row],[Produto]],tProdutos[Produto],0))="",DescontoPadrao,INDEX(tProdutos[Desconto homologado],MATCH(tItens[[#This Row],[Produto]],tProdutos[Produto],0))),DescontoPadrao)</f>
        <v>0.217826086956522</v>
      </c>
      <c r="M1172" s="12">
        <f>tItens[[#This Row],[Valor]]*(1-tItens[[#This Row],[Desconto]])</f>
        <v>80025.77739130432</v>
      </c>
      <c r="N1172" t="str">
        <f>IFERROR(INDEX(tProdutos[Foco],MATCH(tItens[[#This Row],[Produto]],tProdutos[Produto],0)),"Não")</f>
        <v>Não</v>
      </c>
      <c r="O1172" t="str">
        <f>IFERROR(INDEX(tEditais[SRP],MATCH(tItens[[#This Row],[Edital]],tEditais[Edital],0)),"Não")</f>
        <v>Não</v>
      </c>
      <c r="P1172" s="4">
        <f>IF(COUNTIFS(INDEX(tItens[Edital],1):tItens[[#This Row],[Edital]],tItens[[#This Row],[Edital]],INDEX(tItens[Produto],1):tItens[[#This Row],[Produto]],tItens[[#This Row],[Produto]])=1,1,0)</f>
        <v>0</v>
      </c>
    </row>
    <row r="1173" spans="1:16" x14ac:dyDescent="0.25">
      <c r="A1173" t="s">
        <v>1100</v>
      </c>
      <c r="B1173">
        <v>15</v>
      </c>
      <c r="C1173" t="s">
        <v>4259</v>
      </c>
      <c r="D1173" t="s">
        <v>485</v>
      </c>
      <c r="E1173" s="13">
        <v>11250</v>
      </c>
      <c r="F1173" s="12">
        <v>16.559999999999999</v>
      </c>
      <c r="G1173" t="str">
        <f>IFERROR(INDEX(tEditais[Órgão],MATCH(tItens[[#This Row],[Edital]],tEditais[Edital],0)),"")</f>
        <v>SECRETARIA DE ESTADO DA SAUDE</v>
      </c>
      <c r="H1173" t="str">
        <f>IFERROR(INDEX(tEditais[UF],MATCH(tItens[[#This Row],[Edital]],tEditais[Edital],0)),"")</f>
        <v>ES</v>
      </c>
      <c r="I1173" s="11">
        <f>IFERROR(INDEX(tEditais[Encerramento],MATCH(tItens[[#This Row],[Edital]],tEditais[Edital],0)),"")</f>
        <v>46308.375</v>
      </c>
      <c r="J1173" t="str">
        <f>IFERROR(INDEX(tProdutos[Classe],MATCH(tItens[[#This Row],[Produto]],tProdutos[Produto],0)),"produto não cadastrado")</f>
        <v>FILA REBASE</v>
      </c>
      <c r="K1173" s="12">
        <f>tItens[[#This Row],[Qtd]]*tItens[[#This Row],[Vlr unit]]</f>
        <v>186300</v>
      </c>
      <c r="L1173" s="6">
        <f>IFERROR(IF(INDEX(tProdutos[Desconto homologado],MATCH(tItens[[#This Row],[Produto]],tProdutos[Produto],0))="",DescontoPadrao,INDEX(tProdutos[Desconto homologado],MATCH(tItens[[#This Row],[Produto]],tProdutos[Produto],0))),DescontoPadrao)</f>
        <v>0.371991013159302</v>
      </c>
      <c r="M1173" s="12">
        <f>tItens[[#This Row],[Valor]]*(1-tItens[[#This Row],[Desconto]])</f>
        <v>116998.07424842202</v>
      </c>
      <c r="N1173" t="str">
        <f>IFERROR(INDEX(tProdutos[Foco],MATCH(tItens[[#This Row],[Produto]],tProdutos[Produto],0)),"Não")</f>
        <v>Não</v>
      </c>
      <c r="O1173" t="str">
        <f>IFERROR(INDEX(tEditais[SRP],MATCH(tItens[[#This Row],[Edital]],tEditais[Edital],0)),"Não")</f>
        <v>Não</v>
      </c>
      <c r="P1173" s="4">
        <f>IF(COUNTIFS(INDEX(tItens[Edital],1):tItens[[#This Row],[Edital]],tItens[[#This Row],[Edital]],INDEX(tItens[Produto],1):tItens[[#This Row],[Produto]],tItens[[#This Row],[Produto]])=1,1,0)</f>
        <v>1</v>
      </c>
    </row>
    <row r="1174" spans="1:16" x14ac:dyDescent="0.25">
      <c r="A1174" t="s">
        <v>1100</v>
      </c>
      <c r="B1174">
        <v>16</v>
      </c>
      <c r="C1174" t="s">
        <v>4259</v>
      </c>
      <c r="D1174" t="s">
        <v>485</v>
      </c>
      <c r="E1174" s="13">
        <v>3750</v>
      </c>
      <c r="F1174" s="12">
        <v>16.559999999999999</v>
      </c>
      <c r="G1174" t="str">
        <f>IFERROR(INDEX(tEditais[Órgão],MATCH(tItens[[#This Row],[Edital]],tEditais[Edital],0)),"")</f>
        <v>SECRETARIA DE ESTADO DA SAUDE</v>
      </c>
      <c r="H1174" t="str">
        <f>IFERROR(INDEX(tEditais[UF],MATCH(tItens[[#This Row],[Edital]],tEditais[Edital],0)),"")</f>
        <v>ES</v>
      </c>
      <c r="I1174" s="11">
        <f>IFERROR(INDEX(tEditais[Encerramento],MATCH(tItens[[#This Row],[Edital]],tEditais[Edital],0)),"")</f>
        <v>46308.375</v>
      </c>
      <c r="J1174" t="str">
        <f>IFERROR(INDEX(tProdutos[Classe],MATCH(tItens[[#This Row],[Produto]],tProdutos[Produto],0)),"produto não cadastrado")</f>
        <v>FILA REBASE</v>
      </c>
      <c r="K1174" s="12">
        <f>tItens[[#This Row],[Qtd]]*tItens[[#This Row],[Vlr unit]]</f>
        <v>62099.999999999993</v>
      </c>
      <c r="L1174" s="6">
        <f>IFERROR(IF(INDEX(tProdutos[Desconto homologado],MATCH(tItens[[#This Row],[Produto]],tProdutos[Produto],0))="",DescontoPadrao,INDEX(tProdutos[Desconto homologado],MATCH(tItens[[#This Row],[Produto]],tProdutos[Produto],0))),DescontoPadrao)</f>
        <v>0.371991013159302</v>
      </c>
      <c r="M1174" s="12">
        <f>tItens[[#This Row],[Valor]]*(1-tItens[[#This Row],[Desconto]])</f>
        <v>38999.358082807339</v>
      </c>
      <c r="N1174" t="str">
        <f>IFERROR(INDEX(tProdutos[Foco],MATCH(tItens[[#This Row],[Produto]],tProdutos[Produto],0)),"Não")</f>
        <v>Não</v>
      </c>
      <c r="O1174" t="str">
        <f>IFERROR(INDEX(tEditais[SRP],MATCH(tItens[[#This Row],[Edital]],tEditais[Edital],0)),"Não")</f>
        <v>Não</v>
      </c>
      <c r="P1174" s="4">
        <f>IF(COUNTIFS(INDEX(tItens[Edital],1):tItens[[#This Row],[Edital]],tItens[[#This Row],[Edital]],INDEX(tItens[Produto],1):tItens[[#This Row],[Produto]],tItens[[#This Row],[Produto]])=1,1,0)</f>
        <v>0</v>
      </c>
    </row>
    <row r="1175" spans="1:16" x14ac:dyDescent="0.25">
      <c r="A1175" t="s">
        <v>1100</v>
      </c>
      <c r="B1175">
        <v>17</v>
      </c>
      <c r="C1175" t="s">
        <v>4253</v>
      </c>
      <c r="D1175" t="s">
        <v>160</v>
      </c>
      <c r="E1175" s="13">
        <v>24750</v>
      </c>
      <c r="F1175" s="12">
        <v>114.47</v>
      </c>
      <c r="G1175" t="str">
        <f>IFERROR(INDEX(tEditais[Órgão],MATCH(tItens[[#This Row],[Edital]],tEditais[Edital],0)),"")</f>
        <v>SECRETARIA DE ESTADO DA SAUDE</v>
      </c>
      <c r="H1175" t="str">
        <f>IFERROR(INDEX(tEditais[UF],MATCH(tItens[[#This Row],[Edital]],tEditais[Edital],0)),"")</f>
        <v>ES</v>
      </c>
      <c r="I1175" s="11">
        <f>IFERROR(INDEX(tEditais[Encerramento],MATCH(tItens[[#This Row],[Edital]],tEditais[Edital],0)),"")</f>
        <v>46308.375</v>
      </c>
      <c r="J1175" t="str">
        <f>IFERROR(INDEX(tProdutos[Classe],MATCH(tItens[[#This Row],[Produto]],tProdutos[Produto],0)),"produto não cadastrado")</f>
        <v>DISPUTADO</v>
      </c>
      <c r="K1175" s="12">
        <f>tItens[[#This Row],[Qtd]]*tItens[[#This Row],[Vlr unit]]</f>
        <v>2833132.5</v>
      </c>
      <c r="L1175" s="6">
        <f>IFERROR(IF(INDEX(tProdutos[Desconto homologado],MATCH(tItens[[#This Row],[Produto]],tProdutos[Produto],0))="",DescontoPadrao,INDEX(tProdutos[Desconto homologado],MATCH(tItens[[#This Row],[Produto]],tProdutos[Produto],0))),DescontoPadrao)</f>
        <v>0.28000000000000003</v>
      </c>
      <c r="M1175" s="12">
        <f>tItens[[#This Row],[Valor]]*(1-tItens[[#This Row],[Desconto]])</f>
        <v>2039855.4</v>
      </c>
      <c r="N1175" t="str">
        <f>IFERROR(INDEX(tProdutos[Foco],MATCH(tItens[[#This Row],[Produto]],tProdutos[Produto],0)),"Não")</f>
        <v>Sim</v>
      </c>
      <c r="O1175" t="str">
        <f>IFERROR(INDEX(tEditais[SRP],MATCH(tItens[[#This Row],[Edital]],tEditais[Edital],0)),"Não")</f>
        <v>Não</v>
      </c>
      <c r="P1175" s="4">
        <f>IF(COUNTIFS(INDEX(tItens[Edital],1):tItens[[#This Row],[Edital]],tItens[[#This Row],[Edital]],INDEX(tItens[Produto],1):tItens[[#This Row],[Produto]],tItens[[#This Row],[Produto]])=1,1,0)</f>
        <v>0</v>
      </c>
    </row>
    <row r="1176" spans="1:16" x14ac:dyDescent="0.25">
      <c r="A1176" t="s">
        <v>1100</v>
      </c>
      <c r="B1176">
        <v>18</v>
      </c>
      <c r="C1176" t="s">
        <v>4253</v>
      </c>
      <c r="D1176" t="s">
        <v>160</v>
      </c>
      <c r="E1176" s="13">
        <v>8250</v>
      </c>
      <c r="F1176" s="12">
        <v>114.47</v>
      </c>
      <c r="G1176" t="str">
        <f>IFERROR(INDEX(tEditais[Órgão],MATCH(tItens[[#This Row],[Edital]],tEditais[Edital],0)),"")</f>
        <v>SECRETARIA DE ESTADO DA SAUDE</v>
      </c>
      <c r="H1176" t="str">
        <f>IFERROR(INDEX(tEditais[UF],MATCH(tItens[[#This Row],[Edital]],tEditais[Edital],0)),"")</f>
        <v>ES</v>
      </c>
      <c r="I1176" s="11">
        <f>IFERROR(INDEX(tEditais[Encerramento],MATCH(tItens[[#This Row],[Edital]],tEditais[Edital],0)),"")</f>
        <v>46308.375</v>
      </c>
      <c r="J1176" t="str">
        <f>IFERROR(INDEX(tProdutos[Classe],MATCH(tItens[[#This Row],[Produto]],tProdutos[Produto],0)),"produto não cadastrado")</f>
        <v>DISPUTADO</v>
      </c>
      <c r="K1176" s="12">
        <f>tItens[[#This Row],[Qtd]]*tItens[[#This Row],[Vlr unit]]</f>
        <v>944377.5</v>
      </c>
      <c r="L1176" s="6">
        <f>IFERROR(IF(INDEX(tProdutos[Desconto homologado],MATCH(tItens[[#This Row],[Produto]],tProdutos[Produto],0))="",DescontoPadrao,INDEX(tProdutos[Desconto homologado],MATCH(tItens[[#This Row],[Produto]],tProdutos[Produto],0))),DescontoPadrao)</f>
        <v>0.28000000000000003</v>
      </c>
      <c r="M1176" s="12">
        <f>tItens[[#This Row],[Valor]]*(1-tItens[[#This Row],[Desconto]])</f>
        <v>679951.79999999993</v>
      </c>
      <c r="N1176" t="str">
        <f>IFERROR(INDEX(tProdutos[Foco],MATCH(tItens[[#This Row],[Produto]],tProdutos[Produto],0)),"Não")</f>
        <v>Sim</v>
      </c>
      <c r="O1176" t="str">
        <f>IFERROR(INDEX(tEditais[SRP],MATCH(tItens[[#This Row],[Edital]],tEditais[Edital],0)),"Não")</f>
        <v>Não</v>
      </c>
      <c r="P1176" s="4">
        <f>IF(COUNTIFS(INDEX(tItens[Edital],1):tItens[[#This Row],[Edital]],tItens[[#This Row],[Edital]],INDEX(tItens[Produto],1):tItens[[#This Row],[Produto]],tItens[[#This Row],[Produto]])=1,1,0)</f>
        <v>0</v>
      </c>
    </row>
    <row r="1177" spans="1:16" x14ac:dyDescent="0.25">
      <c r="A1177" t="s">
        <v>1100</v>
      </c>
      <c r="B1177">
        <v>19</v>
      </c>
      <c r="C1177" t="s">
        <v>4260</v>
      </c>
      <c r="D1177" t="s">
        <v>409</v>
      </c>
      <c r="E1177" s="13">
        <v>18750</v>
      </c>
      <c r="F1177" s="12">
        <v>7.2</v>
      </c>
      <c r="G1177" t="str">
        <f>IFERROR(INDEX(tEditais[Órgão],MATCH(tItens[[#This Row],[Edital]],tEditais[Edital],0)),"")</f>
        <v>SECRETARIA DE ESTADO DA SAUDE</v>
      </c>
      <c r="H1177" t="str">
        <f>IFERROR(INDEX(tEditais[UF],MATCH(tItens[[#This Row],[Edital]],tEditais[Edital],0)),"")</f>
        <v>ES</v>
      </c>
      <c r="I1177" s="11">
        <f>IFERROR(INDEX(tEditais[Encerramento],MATCH(tItens[[#This Row],[Edital]],tEditais[Edital],0)),"")</f>
        <v>46308.375</v>
      </c>
      <c r="J1177" t="str">
        <f>IFERROR(INDEX(tProdutos[Classe],MATCH(tItens[[#This Row],[Produto]],tProdutos[Produto],0)),"produto não cadastrado")</f>
        <v>FORA</v>
      </c>
      <c r="K1177" s="12">
        <f>tItens[[#This Row],[Qtd]]*tItens[[#This Row],[Vlr unit]]</f>
        <v>135000</v>
      </c>
      <c r="L1177" s="6">
        <f>IFERROR(IF(INDEX(tProdutos[Desconto homologado],MATCH(tItens[[#This Row],[Produto]],tProdutos[Produto],0))="",DescontoPadrao,INDEX(tProdutos[Desconto homologado],MATCH(tItens[[#This Row],[Produto]],tProdutos[Produto],0))),DescontoPadrao)</f>
        <v>0.24924924924924899</v>
      </c>
      <c r="M1177" s="12">
        <f>tItens[[#This Row],[Valor]]*(1-tItens[[#This Row],[Desconto]])</f>
        <v>101351.35135135139</v>
      </c>
      <c r="N1177" t="str">
        <f>IFERROR(INDEX(tProdutos[Foco],MATCH(tItens[[#This Row],[Produto]],tProdutos[Produto],0)),"Não")</f>
        <v>Não</v>
      </c>
      <c r="O1177" t="str">
        <f>IFERROR(INDEX(tEditais[SRP],MATCH(tItens[[#This Row],[Edital]],tEditais[Edital],0)),"Não")</f>
        <v>Não</v>
      </c>
      <c r="P1177" s="4">
        <f>IF(COUNTIFS(INDEX(tItens[Edital],1):tItens[[#This Row],[Edital]],tItens[[#This Row],[Edital]],INDEX(tItens[Produto],1):tItens[[#This Row],[Produto]],tItens[[#This Row],[Produto]])=1,1,0)</f>
        <v>1</v>
      </c>
    </row>
    <row r="1178" spans="1:16" x14ac:dyDescent="0.25">
      <c r="A1178" t="s">
        <v>1100</v>
      </c>
      <c r="B1178">
        <v>20</v>
      </c>
      <c r="C1178" t="s">
        <v>4260</v>
      </c>
      <c r="D1178" t="s">
        <v>409</v>
      </c>
      <c r="E1178" s="13">
        <v>6250</v>
      </c>
      <c r="F1178" s="12">
        <v>7.2</v>
      </c>
      <c r="G1178" t="str">
        <f>IFERROR(INDEX(tEditais[Órgão],MATCH(tItens[[#This Row],[Edital]],tEditais[Edital],0)),"")</f>
        <v>SECRETARIA DE ESTADO DA SAUDE</v>
      </c>
      <c r="H1178" t="str">
        <f>IFERROR(INDEX(tEditais[UF],MATCH(tItens[[#This Row],[Edital]],tEditais[Edital],0)),"")</f>
        <v>ES</v>
      </c>
      <c r="I1178" s="11">
        <f>IFERROR(INDEX(tEditais[Encerramento],MATCH(tItens[[#This Row],[Edital]],tEditais[Edital],0)),"")</f>
        <v>46308.375</v>
      </c>
      <c r="J1178" t="str">
        <f>IFERROR(INDEX(tProdutos[Classe],MATCH(tItens[[#This Row],[Produto]],tProdutos[Produto],0)),"produto não cadastrado")</f>
        <v>FORA</v>
      </c>
      <c r="K1178" s="12">
        <f>tItens[[#This Row],[Qtd]]*tItens[[#This Row],[Vlr unit]]</f>
        <v>45000</v>
      </c>
      <c r="L1178" s="6">
        <f>IFERROR(IF(INDEX(tProdutos[Desconto homologado],MATCH(tItens[[#This Row],[Produto]],tProdutos[Produto],0))="",DescontoPadrao,INDEX(tProdutos[Desconto homologado],MATCH(tItens[[#This Row],[Produto]],tProdutos[Produto],0))),DescontoPadrao)</f>
        <v>0.24924924924924899</v>
      </c>
      <c r="M1178" s="12">
        <f>tItens[[#This Row],[Valor]]*(1-tItens[[#This Row],[Desconto]])</f>
        <v>33783.783783783794</v>
      </c>
      <c r="N1178" t="str">
        <f>IFERROR(INDEX(tProdutos[Foco],MATCH(tItens[[#This Row],[Produto]],tProdutos[Produto],0)),"Não")</f>
        <v>Não</v>
      </c>
      <c r="O1178" t="str">
        <f>IFERROR(INDEX(tEditais[SRP],MATCH(tItens[[#This Row],[Edital]],tEditais[Edital],0)),"Não")</f>
        <v>Não</v>
      </c>
      <c r="P1178" s="4">
        <f>IF(COUNTIFS(INDEX(tItens[Edital],1):tItens[[#This Row],[Edital]],tItens[[#This Row],[Edital]],INDEX(tItens[Produto],1):tItens[[#This Row],[Produto]],tItens[[#This Row],[Produto]])=1,1,0)</f>
        <v>0</v>
      </c>
    </row>
    <row r="1179" spans="1:16" x14ac:dyDescent="0.25">
      <c r="A1179" t="s">
        <v>1100</v>
      </c>
      <c r="B1179">
        <v>21</v>
      </c>
      <c r="C1179" t="s">
        <v>4261</v>
      </c>
      <c r="D1179" t="s">
        <v>160</v>
      </c>
      <c r="E1179" s="13">
        <v>12750</v>
      </c>
      <c r="F1179" s="12">
        <v>9</v>
      </c>
      <c r="G1179" t="str">
        <f>IFERROR(INDEX(tEditais[Órgão],MATCH(tItens[[#This Row],[Edital]],tEditais[Edital],0)),"")</f>
        <v>SECRETARIA DE ESTADO DA SAUDE</v>
      </c>
      <c r="H1179" t="str">
        <f>IFERROR(INDEX(tEditais[UF],MATCH(tItens[[#This Row],[Edital]],tEditais[Edital],0)),"")</f>
        <v>ES</v>
      </c>
      <c r="I1179" s="11">
        <f>IFERROR(INDEX(tEditais[Encerramento],MATCH(tItens[[#This Row],[Edital]],tEditais[Edital],0)),"")</f>
        <v>46308.375</v>
      </c>
      <c r="J1179" t="str">
        <f>IFERROR(INDEX(tProdutos[Classe],MATCH(tItens[[#This Row],[Produto]],tProdutos[Produto],0)),"produto não cadastrado")</f>
        <v>DISPUTADO</v>
      </c>
      <c r="K1179" s="12">
        <f>tItens[[#This Row],[Qtd]]*tItens[[#This Row],[Vlr unit]]</f>
        <v>114750</v>
      </c>
      <c r="L1179" s="6">
        <f>IFERROR(IF(INDEX(tProdutos[Desconto homologado],MATCH(tItens[[#This Row],[Produto]],tProdutos[Produto],0))="",DescontoPadrao,INDEX(tProdutos[Desconto homologado],MATCH(tItens[[#This Row],[Produto]],tProdutos[Produto],0))),DescontoPadrao)</f>
        <v>0.28000000000000003</v>
      </c>
      <c r="M1179" s="12">
        <f>tItens[[#This Row],[Valor]]*(1-tItens[[#This Row],[Desconto]])</f>
        <v>82620</v>
      </c>
      <c r="N1179" t="str">
        <f>IFERROR(INDEX(tProdutos[Foco],MATCH(tItens[[#This Row],[Produto]],tProdutos[Produto],0)),"Não")</f>
        <v>Sim</v>
      </c>
      <c r="O1179" t="str">
        <f>IFERROR(INDEX(tEditais[SRP],MATCH(tItens[[#This Row],[Edital]],tEditais[Edital],0)),"Não")</f>
        <v>Não</v>
      </c>
      <c r="P1179" s="4">
        <f>IF(COUNTIFS(INDEX(tItens[Edital],1):tItens[[#This Row],[Edital]],tItens[[#This Row],[Edital]],INDEX(tItens[Produto],1):tItens[[#This Row],[Produto]],tItens[[#This Row],[Produto]])=1,1,0)</f>
        <v>0</v>
      </c>
    </row>
    <row r="1180" spans="1:16" x14ac:dyDescent="0.25">
      <c r="A1180" t="s">
        <v>1100</v>
      </c>
      <c r="B1180">
        <v>22</v>
      </c>
      <c r="C1180" t="s">
        <v>4261</v>
      </c>
      <c r="D1180" t="s">
        <v>160</v>
      </c>
      <c r="E1180" s="13">
        <v>4250</v>
      </c>
      <c r="F1180" s="12">
        <v>9</v>
      </c>
      <c r="G1180" t="str">
        <f>IFERROR(INDEX(tEditais[Órgão],MATCH(tItens[[#This Row],[Edital]],tEditais[Edital],0)),"")</f>
        <v>SECRETARIA DE ESTADO DA SAUDE</v>
      </c>
      <c r="H1180" t="str">
        <f>IFERROR(INDEX(tEditais[UF],MATCH(tItens[[#This Row],[Edital]],tEditais[Edital],0)),"")</f>
        <v>ES</v>
      </c>
      <c r="I1180" s="11">
        <f>IFERROR(INDEX(tEditais[Encerramento],MATCH(tItens[[#This Row],[Edital]],tEditais[Edital],0)),"")</f>
        <v>46308.375</v>
      </c>
      <c r="J1180" t="str">
        <f>IFERROR(INDEX(tProdutos[Classe],MATCH(tItens[[#This Row],[Produto]],tProdutos[Produto],0)),"produto não cadastrado")</f>
        <v>DISPUTADO</v>
      </c>
      <c r="K1180" s="12">
        <f>tItens[[#This Row],[Qtd]]*tItens[[#This Row],[Vlr unit]]</f>
        <v>38250</v>
      </c>
      <c r="L1180" s="6">
        <f>IFERROR(IF(INDEX(tProdutos[Desconto homologado],MATCH(tItens[[#This Row],[Produto]],tProdutos[Produto],0))="",DescontoPadrao,INDEX(tProdutos[Desconto homologado],MATCH(tItens[[#This Row],[Produto]],tProdutos[Produto],0))),DescontoPadrao)</f>
        <v>0.28000000000000003</v>
      </c>
      <c r="M1180" s="12">
        <f>tItens[[#This Row],[Valor]]*(1-tItens[[#This Row],[Desconto]])</f>
        <v>27540</v>
      </c>
      <c r="N1180" t="str">
        <f>IFERROR(INDEX(tProdutos[Foco],MATCH(tItens[[#This Row],[Produto]],tProdutos[Produto],0)),"Não")</f>
        <v>Sim</v>
      </c>
      <c r="O1180" t="str">
        <f>IFERROR(INDEX(tEditais[SRP],MATCH(tItens[[#This Row],[Edital]],tEditais[Edital],0)),"Não")</f>
        <v>Não</v>
      </c>
      <c r="P1180" s="4">
        <f>IF(COUNTIFS(INDEX(tItens[Edital],1):tItens[[#This Row],[Edital]],tItens[[#This Row],[Edital]],INDEX(tItens[Produto],1):tItens[[#This Row],[Produto]],tItens[[#This Row],[Produto]])=1,1,0)</f>
        <v>0</v>
      </c>
    </row>
    <row r="1181" spans="1:16" x14ac:dyDescent="0.25">
      <c r="A1181" t="s">
        <v>1100</v>
      </c>
      <c r="B1181">
        <v>23</v>
      </c>
      <c r="C1181" t="s">
        <v>4262</v>
      </c>
      <c r="D1181" t="s">
        <v>419</v>
      </c>
      <c r="E1181" s="13">
        <v>11325</v>
      </c>
      <c r="F1181" s="12">
        <v>18.27</v>
      </c>
      <c r="G1181" t="str">
        <f>IFERROR(INDEX(tEditais[Órgão],MATCH(tItens[[#This Row],[Edital]],tEditais[Edital],0)),"")</f>
        <v>SECRETARIA DE ESTADO DA SAUDE</v>
      </c>
      <c r="H1181" t="str">
        <f>IFERROR(INDEX(tEditais[UF],MATCH(tItens[[#This Row],[Edital]],tEditais[Edital],0)),"")</f>
        <v>ES</v>
      </c>
      <c r="I1181" s="11">
        <f>IFERROR(INDEX(tEditais[Encerramento],MATCH(tItens[[#This Row],[Edital]],tEditais[Edital],0)),"")</f>
        <v>46308.375</v>
      </c>
      <c r="J1181" t="str">
        <f>IFERROR(INDEX(tProdutos[Classe],MATCH(tItens[[#This Row],[Produto]],tProdutos[Produto],0)),"produto não cadastrado")</f>
        <v>FORA</v>
      </c>
      <c r="K1181" s="12">
        <f>tItens[[#This Row],[Qtd]]*tItens[[#This Row],[Vlr unit]]</f>
        <v>206907.75</v>
      </c>
      <c r="L1181" s="6">
        <f>IFERROR(IF(INDEX(tProdutos[Desconto homologado],MATCH(tItens[[#This Row],[Produto]],tProdutos[Produto],0))="",DescontoPadrao,INDEX(tProdutos[Desconto homologado],MATCH(tItens[[#This Row],[Produto]],tProdutos[Produto],0))),DescontoPadrao)</f>
        <v>0.26185567010309302</v>
      </c>
      <c r="M1181" s="12">
        <f>tItens[[#This Row],[Valor]]*(1-tItens[[#This Row],[Desconto]])</f>
        <v>152727.78247422675</v>
      </c>
      <c r="N1181" t="str">
        <f>IFERROR(INDEX(tProdutos[Foco],MATCH(tItens[[#This Row],[Produto]],tProdutos[Produto],0)),"Não")</f>
        <v>Não</v>
      </c>
      <c r="O1181" t="str">
        <f>IFERROR(INDEX(tEditais[SRP],MATCH(tItens[[#This Row],[Edital]],tEditais[Edital],0)),"Não")</f>
        <v>Não</v>
      </c>
      <c r="P1181" s="4">
        <f>IF(COUNTIFS(INDEX(tItens[Edital],1):tItens[[#This Row],[Edital]],tItens[[#This Row],[Edital]],INDEX(tItens[Produto],1):tItens[[#This Row],[Produto]],tItens[[#This Row],[Produto]])=1,1,0)</f>
        <v>1</v>
      </c>
    </row>
    <row r="1182" spans="1:16" x14ac:dyDescent="0.25">
      <c r="A1182" t="s">
        <v>1100</v>
      </c>
      <c r="B1182">
        <v>24</v>
      </c>
      <c r="C1182" t="s">
        <v>4262</v>
      </c>
      <c r="D1182" t="s">
        <v>419</v>
      </c>
      <c r="E1182" s="13">
        <v>3775</v>
      </c>
      <c r="F1182" s="12">
        <v>18.27</v>
      </c>
      <c r="G1182" t="str">
        <f>IFERROR(INDEX(tEditais[Órgão],MATCH(tItens[[#This Row],[Edital]],tEditais[Edital],0)),"")</f>
        <v>SECRETARIA DE ESTADO DA SAUDE</v>
      </c>
      <c r="H1182" t="str">
        <f>IFERROR(INDEX(tEditais[UF],MATCH(tItens[[#This Row],[Edital]],tEditais[Edital],0)),"")</f>
        <v>ES</v>
      </c>
      <c r="I1182" s="11">
        <f>IFERROR(INDEX(tEditais[Encerramento],MATCH(tItens[[#This Row],[Edital]],tEditais[Edital],0)),"")</f>
        <v>46308.375</v>
      </c>
      <c r="J1182" t="str">
        <f>IFERROR(INDEX(tProdutos[Classe],MATCH(tItens[[#This Row],[Produto]],tProdutos[Produto],0)),"produto não cadastrado")</f>
        <v>FORA</v>
      </c>
      <c r="K1182" s="12">
        <f>tItens[[#This Row],[Qtd]]*tItens[[#This Row],[Vlr unit]]</f>
        <v>68969.25</v>
      </c>
      <c r="L1182" s="6">
        <f>IFERROR(IF(INDEX(tProdutos[Desconto homologado],MATCH(tItens[[#This Row],[Produto]],tProdutos[Produto],0))="",DescontoPadrao,INDEX(tProdutos[Desconto homologado],MATCH(tItens[[#This Row],[Produto]],tProdutos[Produto],0))),DescontoPadrao)</f>
        <v>0.26185567010309302</v>
      </c>
      <c r="M1182" s="12">
        <f>tItens[[#This Row],[Valor]]*(1-tItens[[#This Row],[Desconto]])</f>
        <v>50909.260824742254</v>
      </c>
      <c r="N1182" t="str">
        <f>IFERROR(INDEX(tProdutos[Foco],MATCH(tItens[[#This Row],[Produto]],tProdutos[Produto],0)),"Não")</f>
        <v>Não</v>
      </c>
      <c r="O1182" t="str">
        <f>IFERROR(INDEX(tEditais[SRP],MATCH(tItens[[#This Row],[Edital]],tEditais[Edital],0)),"Não")</f>
        <v>Não</v>
      </c>
      <c r="P1182" s="4">
        <f>IF(COUNTIFS(INDEX(tItens[Edital],1):tItens[[#This Row],[Edital]],tItens[[#This Row],[Edital]],INDEX(tItens[Produto],1):tItens[[#This Row],[Produto]],tItens[[#This Row],[Produto]])=1,1,0)</f>
        <v>0</v>
      </c>
    </row>
    <row r="1183" spans="1:16" x14ac:dyDescent="0.25">
      <c r="A1183" t="s">
        <v>1100</v>
      </c>
      <c r="B1183">
        <v>25</v>
      </c>
      <c r="C1183" t="s">
        <v>4253</v>
      </c>
      <c r="D1183" t="s">
        <v>160</v>
      </c>
      <c r="E1183" s="13">
        <v>11250</v>
      </c>
      <c r="F1183" s="12">
        <v>5.93</v>
      </c>
      <c r="G1183" t="str">
        <f>IFERROR(INDEX(tEditais[Órgão],MATCH(tItens[[#This Row],[Edital]],tEditais[Edital],0)),"")</f>
        <v>SECRETARIA DE ESTADO DA SAUDE</v>
      </c>
      <c r="H1183" t="str">
        <f>IFERROR(INDEX(tEditais[UF],MATCH(tItens[[#This Row],[Edital]],tEditais[Edital],0)),"")</f>
        <v>ES</v>
      </c>
      <c r="I1183" s="11">
        <f>IFERROR(INDEX(tEditais[Encerramento],MATCH(tItens[[#This Row],[Edital]],tEditais[Edital],0)),"")</f>
        <v>46308.375</v>
      </c>
      <c r="J1183" t="str">
        <f>IFERROR(INDEX(tProdutos[Classe],MATCH(tItens[[#This Row],[Produto]],tProdutos[Produto],0)),"produto não cadastrado")</f>
        <v>DISPUTADO</v>
      </c>
      <c r="K1183" s="12">
        <f>tItens[[#This Row],[Qtd]]*tItens[[#This Row],[Vlr unit]]</f>
        <v>66712.5</v>
      </c>
      <c r="L1183" s="6">
        <f>IFERROR(IF(INDEX(tProdutos[Desconto homologado],MATCH(tItens[[#This Row],[Produto]],tProdutos[Produto],0))="",DescontoPadrao,INDEX(tProdutos[Desconto homologado],MATCH(tItens[[#This Row],[Produto]],tProdutos[Produto],0))),DescontoPadrao)</f>
        <v>0.28000000000000003</v>
      </c>
      <c r="M1183" s="12">
        <f>tItens[[#This Row],[Valor]]*(1-tItens[[#This Row],[Desconto]])</f>
        <v>48033</v>
      </c>
      <c r="N1183" t="str">
        <f>IFERROR(INDEX(tProdutos[Foco],MATCH(tItens[[#This Row],[Produto]],tProdutos[Produto],0)),"Não")</f>
        <v>Sim</v>
      </c>
      <c r="O1183" t="str">
        <f>IFERROR(INDEX(tEditais[SRP],MATCH(tItens[[#This Row],[Edital]],tEditais[Edital],0)),"Não")</f>
        <v>Não</v>
      </c>
      <c r="P1183" s="4">
        <f>IF(COUNTIFS(INDEX(tItens[Edital],1):tItens[[#This Row],[Edital]],tItens[[#This Row],[Edital]],INDEX(tItens[Produto],1):tItens[[#This Row],[Produto]],tItens[[#This Row],[Produto]])=1,1,0)</f>
        <v>0</v>
      </c>
    </row>
    <row r="1184" spans="1:16" x14ac:dyDescent="0.25">
      <c r="A1184" t="s">
        <v>1100</v>
      </c>
      <c r="B1184">
        <v>26</v>
      </c>
      <c r="C1184" t="s">
        <v>4253</v>
      </c>
      <c r="D1184" t="s">
        <v>160</v>
      </c>
      <c r="E1184" s="13">
        <v>3750</v>
      </c>
      <c r="F1184" s="12">
        <v>5.93</v>
      </c>
      <c r="G1184" t="str">
        <f>IFERROR(INDEX(tEditais[Órgão],MATCH(tItens[[#This Row],[Edital]],tEditais[Edital],0)),"")</f>
        <v>SECRETARIA DE ESTADO DA SAUDE</v>
      </c>
      <c r="H1184" t="str">
        <f>IFERROR(INDEX(tEditais[UF],MATCH(tItens[[#This Row],[Edital]],tEditais[Edital],0)),"")</f>
        <v>ES</v>
      </c>
      <c r="I1184" s="11">
        <f>IFERROR(INDEX(tEditais[Encerramento],MATCH(tItens[[#This Row],[Edital]],tEditais[Edital],0)),"")</f>
        <v>46308.375</v>
      </c>
      <c r="J1184" t="str">
        <f>IFERROR(INDEX(tProdutos[Classe],MATCH(tItens[[#This Row],[Produto]],tProdutos[Produto],0)),"produto não cadastrado")</f>
        <v>DISPUTADO</v>
      </c>
      <c r="K1184" s="12">
        <f>tItens[[#This Row],[Qtd]]*tItens[[#This Row],[Vlr unit]]</f>
        <v>22237.5</v>
      </c>
      <c r="L1184" s="6">
        <f>IFERROR(IF(INDEX(tProdutos[Desconto homologado],MATCH(tItens[[#This Row],[Produto]],tProdutos[Produto],0))="",DescontoPadrao,INDEX(tProdutos[Desconto homologado],MATCH(tItens[[#This Row],[Produto]],tProdutos[Produto],0))),DescontoPadrao)</f>
        <v>0.28000000000000003</v>
      </c>
      <c r="M1184" s="12">
        <f>tItens[[#This Row],[Valor]]*(1-tItens[[#This Row],[Desconto]])</f>
        <v>16011</v>
      </c>
      <c r="N1184" t="str">
        <f>IFERROR(INDEX(tProdutos[Foco],MATCH(tItens[[#This Row],[Produto]],tProdutos[Produto],0)),"Não")</f>
        <v>Sim</v>
      </c>
      <c r="O1184" t="str">
        <f>IFERROR(INDEX(tEditais[SRP],MATCH(tItens[[#This Row],[Edital]],tEditais[Edital],0)),"Não")</f>
        <v>Não</v>
      </c>
      <c r="P1184" s="4">
        <f>IF(COUNTIFS(INDEX(tItens[Edital],1):tItens[[#This Row],[Edital]],tItens[[#This Row],[Edital]],INDEX(tItens[Produto],1):tItens[[#This Row],[Produto]],tItens[[#This Row],[Produto]])=1,1,0)</f>
        <v>0</v>
      </c>
    </row>
    <row r="1185" spans="1:16" x14ac:dyDescent="0.25">
      <c r="A1185" t="s">
        <v>1100</v>
      </c>
      <c r="B1185">
        <v>27</v>
      </c>
      <c r="C1185" t="s">
        <v>4263</v>
      </c>
      <c r="D1185" t="s">
        <v>160</v>
      </c>
      <c r="E1185" s="13">
        <v>16125</v>
      </c>
      <c r="F1185" s="12">
        <v>6.73</v>
      </c>
      <c r="G1185" t="str">
        <f>IFERROR(INDEX(tEditais[Órgão],MATCH(tItens[[#This Row],[Edital]],tEditais[Edital],0)),"")</f>
        <v>SECRETARIA DE ESTADO DA SAUDE</v>
      </c>
      <c r="H1185" t="str">
        <f>IFERROR(INDEX(tEditais[UF],MATCH(tItens[[#This Row],[Edital]],tEditais[Edital],0)),"")</f>
        <v>ES</v>
      </c>
      <c r="I1185" s="11">
        <f>IFERROR(INDEX(tEditais[Encerramento],MATCH(tItens[[#This Row],[Edital]],tEditais[Edital],0)),"")</f>
        <v>46308.375</v>
      </c>
      <c r="J1185" t="str">
        <f>IFERROR(INDEX(tProdutos[Classe],MATCH(tItens[[#This Row],[Produto]],tProdutos[Produto],0)),"produto não cadastrado")</f>
        <v>DISPUTADO</v>
      </c>
      <c r="K1185" s="12">
        <f>tItens[[#This Row],[Qtd]]*tItens[[#This Row],[Vlr unit]]</f>
        <v>108521.25</v>
      </c>
      <c r="L1185" s="6">
        <f>IFERROR(IF(INDEX(tProdutos[Desconto homologado],MATCH(tItens[[#This Row],[Produto]],tProdutos[Produto],0))="",DescontoPadrao,INDEX(tProdutos[Desconto homologado],MATCH(tItens[[#This Row],[Produto]],tProdutos[Produto],0))),DescontoPadrao)</f>
        <v>0.28000000000000003</v>
      </c>
      <c r="M1185" s="12">
        <f>tItens[[#This Row],[Valor]]*(1-tItens[[#This Row],[Desconto]])</f>
        <v>78135.3</v>
      </c>
      <c r="N1185" t="str">
        <f>IFERROR(INDEX(tProdutos[Foco],MATCH(tItens[[#This Row],[Produto]],tProdutos[Produto],0)),"Não")</f>
        <v>Sim</v>
      </c>
      <c r="O1185" t="str">
        <f>IFERROR(INDEX(tEditais[SRP],MATCH(tItens[[#This Row],[Edital]],tEditais[Edital],0)),"Não")</f>
        <v>Não</v>
      </c>
      <c r="P1185" s="4">
        <f>IF(COUNTIFS(INDEX(tItens[Edital],1):tItens[[#This Row],[Edital]],tItens[[#This Row],[Edital]],INDEX(tItens[Produto],1):tItens[[#This Row],[Produto]],tItens[[#This Row],[Produto]])=1,1,0)</f>
        <v>0</v>
      </c>
    </row>
    <row r="1186" spans="1:16" x14ac:dyDescent="0.25">
      <c r="A1186" t="s">
        <v>1100</v>
      </c>
      <c r="B1186">
        <v>28</v>
      </c>
      <c r="C1186" t="s">
        <v>4263</v>
      </c>
      <c r="D1186" t="s">
        <v>160</v>
      </c>
      <c r="E1186" s="13">
        <v>5375</v>
      </c>
      <c r="F1186" s="12">
        <v>6.73</v>
      </c>
      <c r="G1186" t="str">
        <f>IFERROR(INDEX(tEditais[Órgão],MATCH(tItens[[#This Row],[Edital]],tEditais[Edital],0)),"")</f>
        <v>SECRETARIA DE ESTADO DA SAUDE</v>
      </c>
      <c r="H1186" t="str">
        <f>IFERROR(INDEX(tEditais[UF],MATCH(tItens[[#This Row],[Edital]],tEditais[Edital],0)),"")</f>
        <v>ES</v>
      </c>
      <c r="I1186" s="11">
        <f>IFERROR(INDEX(tEditais[Encerramento],MATCH(tItens[[#This Row],[Edital]],tEditais[Edital],0)),"")</f>
        <v>46308.375</v>
      </c>
      <c r="J1186" t="str">
        <f>IFERROR(INDEX(tProdutos[Classe],MATCH(tItens[[#This Row],[Produto]],tProdutos[Produto],0)),"produto não cadastrado")</f>
        <v>DISPUTADO</v>
      </c>
      <c r="K1186" s="12">
        <f>tItens[[#This Row],[Qtd]]*tItens[[#This Row],[Vlr unit]]</f>
        <v>36173.75</v>
      </c>
      <c r="L1186" s="6">
        <f>IFERROR(IF(INDEX(tProdutos[Desconto homologado],MATCH(tItens[[#This Row],[Produto]],tProdutos[Produto],0))="",DescontoPadrao,INDEX(tProdutos[Desconto homologado],MATCH(tItens[[#This Row],[Produto]],tProdutos[Produto],0))),DescontoPadrao)</f>
        <v>0.28000000000000003</v>
      </c>
      <c r="M1186" s="12">
        <f>tItens[[#This Row],[Valor]]*(1-tItens[[#This Row],[Desconto]])</f>
        <v>26045.1</v>
      </c>
      <c r="N1186" t="str">
        <f>IFERROR(INDEX(tProdutos[Foco],MATCH(tItens[[#This Row],[Produto]],tProdutos[Produto],0)),"Não")</f>
        <v>Sim</v>
      </c>
      <c r="O1186" t="str">
        <f>IFERROR(INDEX(tEditais[SRP],MATCH(tItens[[#This Row],[Edital]],tEditais[Edital],0)),"Não")</f>
        <v>Não</v>
      </c>
      <c r="P1186" s="4">
        <f>IF(COUNTIFS(INDEX(tItens[Edital],1):tItens[[#This Row],[Edital]],tItens[[#This Row],[Edital]],INDEX(tItens[Produto],1):tItens[[#This Row],[Produto]],tItens[[#This Row],[Produto]])=1,1,0)</f>
        <v>0</v>
      </c>
    </row>
    <row r="1187" spans="1:16" x14ac:dyDescent="0.25">
      <c r="A1187" t="s">
        <v>1100</v>
      </c>
      <c r="B1187">
        <v>29</v>
      </c>
      <c r="C1187" t="s">
        <v>4264</v>
      </c>
      <c r="D1187" t="s">
        <v>409</v>
      </c>
      <c r="E1187" s="13">
        <v>15000</v>
      </c>
      <c r="F1187" s="12">
        <v>20.9</v>
      </c>
      <c r="G1187" t="str">
        <f>IFERROR(INDEX(tEditais[Órgão],MATCH(tItens[[#This Row],[Edital]],tEditais[Edital],0)),"")</f>
        <v>SECRETARIA DE ESTADO DA SAUDE</v>
      </c>
      <c r="H1187" t="str">
        <f>IFERROR(INDEX(tEditais[UF],MATCH(tItens[[#This Row],[Edital]],tEditais[Edital],0)),"")</f>
        <v>ES</v>
      </c>
      <c r="I1187" s="11">
        <f>IFERROR(INDEX(tEditais[Encerramento],MATCH(tItens[[#This Row],[Edital]],tEditais[Edital],0)),"")</f>
        <v>46308.375</v>
      </c>
      <c r="J1187" t="str">
        <f>IFERROR(INDEX(tProdutos[Classe],MATCH(tItens[[#This Row],[Produto]],tProdutos[Produto],0)),"produto não cadastrado")</f>
        <v>FORA</v>
      </c>
      <c r="K1187" s="12">
        <f>tItens[[#This Row],[Qtd]]*tItens[[#This Row],[Vlr unit]]</f>
        <v>313500</v>
      </c>
      <c r="L1187" s="6">
        <f>IFERROR(IF(INDEX(tProdutos[Desconto homologado],MATCH(tItens[[#This Row],[Produto]],tProdutos[Produto],0))="",DescontoPadrao,INDEX(tProdutos[Desconto homologado],MATCH(tItens[[#This Row],[Produto]],tProdutos[Produto],0))),DescontoPadrao)</f>
        <v>0.24924924924924899</v>
      </c>
      <c r="M1187" s="12">
        <f>tItens[[#This Row],[Valor]]*(1-tItens[[#This Row],[Desconto]])</f>
        <v>235360.36036036044</v>
      </c>
      <c r="N1187" t="str">
        <f>IFERROR(INDEX(tProdutos[Foco],MATCH(tItens[[#This Row],[Produto]],tProdutos[Produto],0)),"Não")</f>
        <v>Não</v>
      </c>
      <c r="O1187" t="str">
        <f>IFERROR(INDEX(tEditais[SRP],MATCH(tItens[[#This Row],[Edital]],tEditais[Edital],0)),"Não")</f>
        <v>Não</v>
      </c>
      <c r="P1187" s="4">
        <f>IF(COUNTIFS(INDEX(tItens[Edital],1):tItens[[#This Row],[Edital]],tItens[[#This Row],[Edital]],INDEX(tItens[Produto],1):tItens[[#This Row],[Produto]],tItens[[#This Row],[Produto]])=1,1,0)</f>
        <v>0</v>
      </c>
    </row>
    <row r="1188" spans="1:16" x14ac:dyDescent="0.25">
      <c r="A1188" t="s">
        <v>1100</v>
      </c>
      <c r="B1188">
        <v>30</v>
      </c>
      <c r="C1188" t="s">
        <v>4264</v>
      </c>
      <c r="D1188" t="s">
        <v>409</v>
      </c>
      <c r="E1188" s="13">
        <v>5000</v>
      </c>
      <c r="F1188" s="12">
        <v>20.9</v>
      </c>
      <c r="G1188" t="str">
        <f>IFERROR(INDEX(tEditais[Órgão],MATCH(tItens[[#This Row],[Edital]],tEditais[Edital],0)),"")</f>
        <v>SECRETARIA DE ESTADO DA SAUDE</v>
      </c>
      <c r="H1188" t="str">
        <f>IFERROR(INDEX(tEditais[UF],MATCH(tItens[[#This Row],[Edital]],tEditais[Edital],0)),"")</f>
        <v>ES</v>
      </c>
      <c r="I1188" s="11">
        <f>IFERROR(INDEX(tEditais[Encerramento],MATCH(tItens[[#This Row],[Edital]],tEditais[Edital],0)),"")</f>
        <v>46308.375</v>
      </c>
      <c r="J1188" t="str">
        <f>IFERROR(INDEX(tProdutos[Classe],MATCH(tItens[[#This Row],[Produto]],tProdutos[Produto],0)),"produto não cadastrado")</f>
        <v>FORA</v>
      </c>
      <c r="K1188" s="12">
        <f>tItens[[#This Row],[Qtd]]*tItens[[#This Row],[Vlr unit]]</f>
        <v>104500</v>
      </c>
      <c r="L1188" s="6">
        <f>IFERROR(IF(INDEX(tProdutos[Desconto homologado],MATCH(tItens[[#This Row],[Produto]],tProdutos[Produto],0))="",DescontoPadrao,INDEX(tProdutos[Desconto homologado],MATCH(tItens[[#This Row],[Produto]],tProdutos[Produto],0))),DescontoPadrao)</f>
        <v>0.24924924924924899</v>
      </c>
      <c r="M1188" s="12">
        <f>tItens[[#This Row],[Valor]]*(1-tItens[[#This Row],[Desconto]])</f>
        <v>78453.453453453491</v>
      </c>
      <c r="N1188" t="str">
        <f>IFERROR(INDEX(tProdutos[Foco],MATCH(tItens[[#This Row],[Produto]],tProdutos[Produto],0)),"Não")</f>
        <v>Não</v>
      </c>
      <c r="O1188" t="str">
        <f>IFERROR(INDEX(tEditais[SRP],MATCH(tItens[[#This Row],[Edital]],tEditais[Edital],0)),"Não")</f>
        <v>Não</v>
      </c>
      <c r="P1188" s="4">
        <f>IF(COUNTIFS(INDEX(tItens[Edital],1):tItens[[#This Row],[Edital]],tItens[[#This Row],[Edital]],INDEX(tItens[Produto],1):tItens[[#This Row],[Produto]],tItens[[#This Row],[Produto]])=1,1,0)</f>
        <v>0</v>
      </c>
    </row>
    <row r="1189" spans="1:16" x14ac:dyDescent="0.25">
      <c r="A1189" t="s">
        <v>1100</v>
      </c>
      <c r="B1189">
        <v>35</v>
      </c>
      <c r="C1189" t="s">
        <v>4265</v>
      </c>
      <c r="D1189" t="s">
        <v>152</v>
      </c>
      <c r="E1189" s="13">
        <v>1215</v>
      </c>
      <c r="F1189" s="12">
        <v>64.5</v>
      </c>
      <c r="G1189" t="str">
        <f>IFERROR(INDEX(tEditais[Órgão],MATCH(tItens[[#This Row],[Edital]],tEditais[Edital],0)),"")</f>
        <v>SECRETARIA DE ESTADO DA SAUDE</v>
      </c>
      <c r="H1189" t="str">
        <f>IFERROR(INDEX(tEditais[UF],MATCH(tItens[[#This Row],[Edital]],tEditais[Edital],0)),"")</f>
        <v>ES</v>
      </c>
      <c r="I1189" s="11">
        <f>IFERROR(INDEX(tEditais[Encerramento],MATCH(tItens[[#This Row],[Edital]],tEditais[Edital],0)),"")</f>
        <v>46308.375</v>
      </c>
      <c r="J1189" t="str">
        <f>IFERROR(INDEX(tProdutos[Classe],MATCH(tItens[[#This Row],[Produto]],tProdutos[Produto],0)),"produto não cadastrado")</f>
        <v>DISPUTADO</v>
      </c>
      <c r="K1189" s="12">
        <f>tItens[[#This Row],[Qtd]]*tItens[[#This Row],[Vlr unit]]</f>
        <v>78367.5</v>
      </c>
      <c r="L1189" s="6">
        <f>IFERROR(IF(INDEX(tProdutos[Desconto homologado],MATCH(tItens[[#This Row],[Produto]],tProdutos[Produto],0))="",DescontoPadrao,INDEX(tProdutos[Desconto homologado],MATCH(tItens[[#This Row],[Produto]],tProdutos[Produto],0))),DescontoPadrao)</f>
        <v>0.33154310923563801</v>
      </c>
      <c r="M1189" s="12">
        <f>tItens[[#This Row],[Valor]]*(1-tItens[[#This Row],[Desconto]])</f>
        <v>52385.29538697614</v>
      </c>
      <c r="N1189" t="str">
        <f>IFERROR(INDEX(tProdutos[Foco],MATCH(tItens[[#This Row],[Produto]],tProdutos[Produto],0)),"Não")</f>
        <v>Não</v>
      </c>
      <c r="O1189" t="str">
        <f>IFERROR(INDEX(tEditais[SRP],MATCH(tItens[[#This Row],[Edital]],tEditais[Edital],0)),"Não")</f>
        <v>Não</v>
      </c>
      <c r="P1189" s="4">
        <f>IF(COUNTIFS(INDEX(tItens[Edital],1):tItens[[#This Row],[Edital]],tItens[[#This Row],[Edital]],INDEX(tItens[Produto],1):tItens[[#This Row],[Produto]],tItens[[#This Row],[Produto]])=1,1,0)</f>
        <v>1</v>
      </c>
    </row>
    <row r="1190" spans="1:16" x14ac:dyDescent="0.25">
      <c r="A1190" t="s">
        <v>1100</v>
      </c>
      <c r="B1190">
        <v>36</v>
      </c>
      <c r="C1190" t="s">
        <v>4265</v>
      </c>
      <c r="D1190" t="s">
        <v>152</v>
      </c>
      <c r="E1190" s="13">
        <v>405</v>
      </c>
      <c r="F1190" s="12">
        <v>64.5</v>
      </c>
      <c r="G1190" t="str">
        <f>IFERROR(INDEX(tEditais[Órgão],MATCH(tItens[[#This Row],[Edital]],tEditais[Edital],0)),"")</f>
        <v>SECRETARIA DE ESTADO DA SAUDE</v>
      </c>
      <c r="H1190" t="str">
        <f>IFERROR(INDEX(tEditais[UF],MATCH(tItens[[#This Row],[Edital]],tEditais[Edital],0)),"")</f>
        <v>ES</v>
      </c>
      <c r="I1190" s="11">
        <f>IFERROR(INDEX(tEditais[Encerramento],MATCH(tItens[[#This Row],[Edital]],tEditais[Edital],0)),"")</f>
        <v>46308.375</v>
      </c>
      <c r="J1190" t="str">
        <f>IFERROR(INDEX(tProdutos[Classe],MATCH(tItens[[#This Row],[Produto]],tProdutos[Produto],0)),"produto não cadastrado")</f>
        <v>DISPUTADO</v>
      </c>
      <c r="K1190" s="12">
        <f>tItens[[#This Row],[Qtd]]*tItens[[#This Row],[Vlr unit]]</f>
        <v>26122.5</v>
      </c>
      <c r="L1190" s="6">
        <f>IFERROR(IF(INDEX(tProdutos[Desconto homologado],MATCH(tItens[[#This Row],[Produto]],tProdutos[Produto],0))="",DescontoPadrao,INDEX(tProdutos[Desconto homologado],MATCH(tItens[[#This Row],[Produto]],tProdutos[Produto],0))),DescontoPadrao)</f>
        <v>0.33154310923563801</v>
      </c>
      <c r="M1190" s="12">
        <f>tItens[[#This Row],[Valor]]*(1-tItens[[#This Row],[Desconto]])</f>
        <v>17461.765128992047</v>
      </c>
      <c r="N1190" t="str">
        <f>IFERROR(INDEX(tProdutos[Foco],MATCH(tItens[[#This Row],[Produto]],tProdutos[Produto],0)),"Não")</f>
        <v>Não</v>
      </c>
      <c r="O1190" t="str">
        <f>IFERROR(INDEX(tEditais[SRP],MATCH(tItens[[#This Row],[Edital]],tEditais[Edital],0)),"Não")</f>
        <v>Não</v>
      </c>
      <c r="P1190" s="4">
        <f>IF(COUNTIFS(INDEX(tItens[Edital],1):tItens[[#This Row],[Edital]],tItens[[#This Row],[Edital]],INDEX(tItens[Produto],1):tItens[[#This Row],[Produto]],tItens[[#This Row],[Produto]])=1,1,0)</f>
        <v>0</v>
      </c>
    </row>
    <row r="1191" spans="1:16" x14ac:dyDescent="0.25">
      <c r="A1191" t="s">
        <v>1100</v>
      </c>
      <c r="B1191">
        <v>37</v>
      </c>
      <c r="C1191" t="s">
        <v>4266</v>
      </c>
      <c r="D1191" t="s">
        <v>152</v>
      </c>
      <c r="E1191" s="13">
        <v>2138</v>
      </c>
      <c r="F1191" s="12">
        <v>64.5</v>
      </c>
      <c r="G1191" t="str">
        <f>IFERROR(INDEX(tEditais[Órgão],MATCH(tItens[[#This Row],[Edital]],tEditais[Edital],0)),"")</f>
        <v>SECRETARIA DE ESTADO DA SAUDE</v>
      </c>
      <c r="H1191" t="str">
        <f>IFERROR(INDEX(tEditais[UF],MATCH(tItens[[#This Row],[Edital]],tEditais[Edital],0)),"")</f>
        <v>ES</v>
      </c>
      <c r="I1191" s="11">
        <f>IFERROR(INDEX(tEditais[Encerramento],MATCH(tItens[[#This Row],[Edital]],tEditais[Edital],0)),"")</f>
        <v>46308.375</v>
      </c>
      <c r="J1191" t="str">
        <f>IFERROR(INDEX(tProdutos[Classe],MATCH(tItens[[#This Row],[Produto]],tProdutos[Produto],0)),"produto não cadastrado")</f>
        <v>DISPUTADO</v>
      </c>
      <c r="K1191" s="12">
        <f>tItens[[#This Row],[Qtd]]*tItens[[#This Row],[Vlr unit]]</f>
        <v>137901</v>
      </c>
      <c r="L1191" s="6">
        <f>IFERROR(IF(INDEX(tProdutos[Desconto homologado],MATCH(tItens[[#This Row],[Produto]],tProdutos[Produto],0))="",DescontoPadrao,INDEX(tProdutos[Desconto homologado],MATCH(tItens[[#This Row],[Produto]],tProdutos[Produto],0))),DescontoPadrao)</f>
        <v>0.33154310923563801</v>
      </c>
      <c r="M1191" s="12">
        <f>tItens[[#This Row],[Valor]]*(1-tItens[[#This Row],[Desconto]])</f>
        <v>92180.873693296278</v>
      </c>
      <c r="N1191" t="str">
        <f>IFERROR(INDEX(tProdutos[Foco],MATCH(tItens[[#This Row],[Produto]],tProdutos[Produto],0)),"Não")</f>
        <v>Não</v>
      </c>
      <c r="O1191" t="str">
        <f>IFERROR(INDEX(tEditais[SRP],MATCH(tItens[[#This Row],[Edital]],tEditais[Edital],0)),"Não")</f>
        <v>Não</v>
      </c>
      <c r="P1191" s="4">
        <f>IF(COUNTIFS(INDEX(tItens[Edital],1):tItens[[#This Row],[Edital]],tItens[[#This Row],[Edital]],INDEX(tItens[Produto],1):tItens[[#This Row],[Produto]],tItens[[#This Row],[Produto]])=1,1,0)</f>
        <v>0</v>
      </c>
    </row>
    <row r="1192" spans="1:16" x14ac:dyDescent="0.25">
      <c r="A1192" t="s">
        <v>1100</v>
      </c>
      <c r="B1192">
        <v>38</v>
      </c>
      <c r="C1192" t="s">
        <v>4266</v>
      </c>
      <c r="D1192" t="s">
        <v>152</v>
      </c>
      <c r="E1192" s="13">
        <v>712</v>
      </c>
      <c r="F1192" s="12">
        <v>64.5</v>
      </c>
      <c r="G1192" t="str">
        <f>IFERROR(INDEX(tEditais[Órgão],MATCH(tItens[[#This Row],[Edital]],tEditais[Edital],0)),"")</f>
        <v>SECRETARIA DE ESTADO DA SAUDE</v>
      </c>
      <c r="H1192" t="str">
        <f>IFERROR(INDEX(tEditais[UF],MATCH(tItens[[#This Row],[Edital]],tEditais[Edital],0)),"")</f>
        <v>ES</v>
      </c>
      <c r="I1192" s="11">
        <f>IFERROR(INDEX(tEditais[Encerramento],MATCH(tItens[[#This Row],[Edital]],tEditais[Edital],0)),"")</f>
        <v>46308.375</v>
      </c>
      <c r="J1192" t="str">
        <f>IFERROR(INDEX(tProdutos[Classe],MATCH(tItens[[#This Row],[Produto]],tProdutos[Produto],0)),"produto não cadastrado")</f>
        <v>DISPUTADO</v>
      </c>
      <c r="K1192" s="12">
        <f>tItens[[#This Row],[Qtd]]*tItens[[#This Row],[Vlr unit]]</f>
        <v>45924</v>
      </c>
      <c r="L1192" s="6">
        <f>IFERROR(IF(INDEX(tProdutos[Desconto homologado],MATCH(tItens[[#This Row],[Produto]],tProdutos[Produto],0))="",DescontoPadrao,INDEX(tProdutos[Desconto homologado],MATCH(tItens[[#This Row],[Produto]],tProdutos[Produto],0))),DescontoPadrao)</f>
        <v>0.33154310923563801</v>
      </c>
      <c r="M1192" s="12">
        <f>tItens[[#This Row],[Valor]]*(1-tItens[[#This Row],[Desconto]])</f>
        <v>30698.214251462559</v>
      </c>
      <c r="N1192" t="str">
        <f>IFERROR(INDEX(tProdutos[Foco],MATCH(tItens[[#This Row],[Produto]],tProdutos[Produto],0)),"Não")</f>
        <v>Não</v>
      </c>
      <c r="O1192" t="str">
        <f>IFERROR(INDEX(tEditais[SRP],MATCH(tItens[[#This Row],[Edital]],tEditais[Edital],0)),"Não")</f>
        <v>Não</v>
      </c>
      <c r="P1192" s="4">
        <f>IF(COUNTIFS(INDEX(tItens[Edital],1):tItens[[#This Row],[Edital]],tItens[[#This Row],[Edital]],INDEX(tItens[Produto],1):tItens[[#This Row],[Produto]],tItens[[#This Row],[Produto]])=1,1,0)</f>
        <v>0</v>
      </c>
    </row>
    <row r="1193" spans="1:16" x14ac:dyDescent="0.25">
      <c r="A1193" t="s">
        <v>1104</v>
      </c>
      <c r="B1193">
        <v>1</v>
      </c>
      <c r="C1193" t="s">
        <v>4267</v>
      </c>
      <c r="D1193" t="s">
        <v>413</v>
      </c>
      <c r="E1193" s="13">
        <v>6000</v>
      </c>
      <c r="F1193" s="12">
        <v>0</v>
      </c>
      <c r="G1193" t="str">
        <f>IFERROR(INDEX(tEditais[Órgão],MATCH(tItens[[#This Row],[Edital]],tEditais[Edital],0)),"")</f>
        <v>EMPRESA BRASILEIRA DE SERVICOS HOSPITALARES - EBSERH</v>
      </c>
      <c r="H1193" t="str">
        <f>IFERROR(INDEX(tEditais[UF],MATCH(tItens[[#This Row],[Edital]],tEditais[Edital],0)),"")</f>
        <v>ES</v>
      </c>
      <c r="I1193" s="11">
        <f>IFERROR(INDEX(tEditais[Encerramento],MATCH(tItens[[#This Row],[Edital]],tEditais[Edital],0)),"")</f>
        <v>46308.375</v>
      </c>
      <c r="J1193" t="str">
        <f>IFERROR(INDEX(tProdutos[Classe],MATCH(tItens[[#This Row],[Produto]],tProdutos[Produto],0)),"produto não cadastrado")</f>
        <v>FORA</v>
      </c>
      <c r="K1193" s="12">
        <f>tItens[[#This Row],[Qtd]]*tItens[[#This Row],[Vlr unit]]</f>
        <v>0</v>
      </c>
      <c r="L1193" s="6">
        <f>IFERROR(IF(INDEX(tProdutos[Desconto homologado],MATCH(tItens[[#This Row],[Produto]],tProdutos[Produto],0))="",DescontoPadrao,INDEX(tProdutos[Desconto homologado],MATCH(tItens[[#This Row],[Produto]],tProdutos[Produto],0))),DescontoPadrao)</f>
        <v>0.477732793522267</v>
      </c>
      <c r="M1193" s="12">
        <f>tItens[[#This Row],[Valor]]*(1-tItens[[#This Row],[Desconto]])</f>
        <v>0</v>
      </c>
      <c r="N1193" t="str">
        <f>IFERROR(INDEX(tProdutos[Foco],MATCH(tItens[[#This Row],[Produto]],tProdutos[Produto],0)),"Não")</f>
        <v>Não</v>
      </c>
      <c r="O1193" t="str">
        <f>IFERROR(INDEX(tEditais[SRP],MATCH(tItens[[#This Row],[Edital]],tEditais[Edital],0)),"Não")</f>
        <v>Não</v>
      </c>
      <c r="P1193" s="4">
        <f>IF(COUNTIFS(INDEX(tItens[Edital],1):tItens[[#This Row],[Edital]],tItens[[#This Row],[Edital]],INDEX(tItens[Produto],1):tItens[[#This Row],[Produto]],tItens[[#This Row],[Produto]])=1,1,0)</f>
        <v>1</v>
      </c>
    </row>
    <row r="1194" spans="1:16" x14ac:dyDescent="0.25">
      <c r="A1194" t="s">
        <v>1104</v>
      </c>
      <c r="B1194">
        <v>2</v>
      </c>
      <c r="C1194" t="s">
        <v>4268</v>
      </c>
      <c r="D1194" t="s">
        <v>413</v>
      </c>
      <c r="E1194" s="13">
        <v>2000</v>
      </c>
      <c r="F1194" s="12">
        <v>0</v>
      </c>
      <c r="G1194" t="str">
        <f>IFERROR(INDEX(tEditais[Órgão],MATCH(tItens[[#This Row],[Edital]],tEditais[Edital],0)),"")</f>
        <v>EMPRESA BRASILEIRA DE SERVICOS HOSPITALARES - EBSERH</v>
      </c>
      <c r="H1194" t="str">
        <f>IFERROR(INDEX(tEditais[UF],MATCH(tItens[[#This Row],[Edital]],tEditais[Edital],0)),"")</f>
        <v>ES</v>
      </c>
      <c r="I1194" s="11">
        <f>IFERROR(INDEX(tEditais[Encerramento],MATCH(tItens[[#This Row],[Edital]],tEditais[Edital],0)),"")</f>
        <v>46308.375</v>
      </c>
      <c r="J1194" t="str">
        <f>IFERROR(INDEX(tProdutos[Classe],MATCH(tItens[[#This Row],[Produto]],tProdutos[Produto],0)),"produto não cadastrado")</f>
        <v>FORA</v>
      </c>
      <c r="K1194" s="12">
        <f>tItens[[#This Row],[Qtd]]*tItens[[#This Row],[Vlr unit]]</f>
        <v>0</v>
      </c>
      <c r="L1194" s="6">
        <f>IFERROR(IF(INDEX(tProdutos[Desconto homologado],MATCH(tItens[[#This Row],[Produto]],tProdutos[Produto],0))="",DescontoPadrao,INDEX(tProdutos[Desconto homologado],MATCH(tItens[[#This Row],[Produto]],tProdutos[Produto],0))),DescontoPadrao)</f>
        <v>0.477732793522267</v>
      </c>
      <c r="M1194" s="12">
        <f>tItens[[#This Row],[Valor]]*(1-tItens[[#This Row],[Desconto]])</f>
        <v>0</v>
      </c>
      <c r="N1194" t="str">
        <f>IFERROR(INDEX(tProdutos[Foco],MATCH(tItens[[#This Row],[Produto]],tProdutos[Produto],0)),"Não")</f>
        <v>Não</v>
      </c>
      <c r="O1194" t="str">
        <f>IFERROR(INDEX(tEditais[SRP],MATCH(tItens[[#This Row],[Edital]],tEditais[Edital],0)),"Não")</f>
        <v>Não</v>
      </c>
      <c r="P1194" s="4">
        <f>IF(COUNTIFS(INDEX(tItens[Edital],1):tItens[[#This Row],[Edital]],tItens[[#This Row],[Edital]],INDEX(tItens[Produto],1):tItens[[#This Row],[Produto]],tItens[[#This Row],[Produto]])=1,1,0)</f>
        <v>0</v>
      </c>
    </row>
    <row r="1195" spans="1:16" x14ac:dyDescent="0.25">
      <c r="A1195" t="s">
        <v>1104</v>
      </c>
      <c r="B1195">
        <v>3</v>
      </c>
      <c r="C1195" t="s">
        <v>4269</v>
      </c>
      <c r="D1195" t="s">
        <v>413</v>
      </c>
      <c r="E1195" s="13">
        <v>2000</v>
      </c>
      <c r="F1195" s="12">
        <v>0</v>
      </c>
      <c r="G1195" t="str">
        <f>IFERROR(INDEX(tEditais[Órgão],MATCH(tItens[[#This Row],[Edital]],tEditais[Edital],0)),"")</f>
        <v>EMPRESA BRASILEIRA DE SERVICOS HOSPITALARES - EBSERH</v>
      </c>
      <c r="H1195" t="str">
        <f>IFERROR(INDEX(tEditais[UF],MATCH(tItens[[#This Row],[Edital]],tEditais[Edital],0)),"")</f>
        <v>ES</v>
      </c>
      <c r="I1195" s="11">
        <f>IFERROR(INDEX(tEditais[Encerramento],MATCH(tItens[[#This Row],[Edital]],tEditais[Edital],0)),"")</f>
        <v>46308.375</v>
      </c>
      <c r="J1195" t="str">
        <f>IFERROR(INDEX(tProdutos[Classe],MATCH(tItens[[#This Row],[Produto]],tProdutos[Produto],0)),"produto não cadastrado")</f>
        <v>FORA</v>
      </c>
      <c r="K1195" s="12">
        <f>tItens[[#This Row],[Qtd]]*tItens[[#This Row],[Vlr unit]]</f>
        <v>0</v>
      </c>
      <c r="L1195" s="6">
        <f>IFERROR(IF(INDEX(tProdutos[Desconto homologado],MATCH(tItens[[#This Row],[Produto]],tProdutos[Produto],0))="",DescontoPadrao,INDEX(tProdutos[Desconto homologado],MATCH(tItens[[#This Row],[Produto]],tProdutos[Produto],0))),DescontoPadrao)</f>
        <v>0.477732793522267</v>
      </c>
      <c r="M1195" s="12">
        <f>tItens[[#This Row],[Valor]]*(1-tItens[[#This Row],[Desconto]])</f>
        <v>0</v>
      </c>
      <c r="N1195" t="str">
        <f>IFERROR(INDEX(tProdutos[Foco],MATCH(tItens[[#This Row],[Produto]],tProdutos[Produto],0)),"Não")</f>
        <v>Não</v>
      </c>
      <c r="O1195" t="str">
        <f>IFERROR(INDEX(tEditais[SRP],MATCH(tItens[[#This Row],[Edital]],tEditais[Edital],0)),"Não")</f>
        <v>Não</v>
      </c>
      <c r="P1195" s="4">
        <f>IF(COUNTIFS(INDEX(tItens[Edital],1):tItens[[#This Row],[Edital]],tItens[[#This Row],[Edital]],INDEX(tItens[Produto],1):tItens[[#This Row],[Produto]],tItens[[#This Row],[Produto]])=1,1,0)</f>
        <v>0</v>
      </c>
    </row>
    <row r="1196" spans="1:16" x14ac:dyDescent="0.25">
      <c r="A1196" t="s">
        <v>1104</v>
      </c>
      <c r="B1196">
        <v>4</v>
      </c>
      <c r="C1196" t="s">
        <v>4270</v>
      </c>
      <c r="D1196" t="s">
        <v>413</v>
      </c>
      <c r="E1196" s="13">
        <v>800</v>
      </c>
      <c r="F1196" s="12">
        <v>0</v>
      </c>
      <c r="G1196" t="str">
        <f>IFERROR(INDEX(tEditais[Órgão],MATCH(tItens[[#This Row],[Edital]],tEditais[Edital],0)),"")</f>
        <v>EMPRESA BRASILEIRA DE SERVICOS HOSPITALARES - EBSERH</v>
      </c>
      <c r="H1196" t="str">
        <f>IFERROR(INDEX(tEditais[UF],MATCH(tItens[[#This Row],[Edital]],tEditais[Edital],0)),"")</f>
        <v>ES</v>
      </c>
      <c r="I1196" s="11">
        <f>IFERROR(INDEX(tEditais[Encerramento],MATCH(tItens[[#This Row],[Edital]],tEditais[Edital],0)),"")</f>
        <v>46308.375</v>
      </c>
      <c r="J1196" t="str">
        <f>IFERROR(INDEX(tProdutos[Classe],MATCH(tItens[[#This Row],[Produto]],tProdutos[Produto],0)),"produto não cadastrado")</f>
        <v>FORA</v>
      </c>
      <c r="K1196" s="12">
        <f>tItens[[#This Row],[Qtd]]*tItens[[#This Row],[Vlr unit]]</f>
        <v>0</v>
      </c>
      <c r="L1196" s="6">
        <f>IFERROR(IF(INDEX(tProdutos[Desconto homologado],MATCH(tItens[[#This Row],[Produto]],tProdutos[Produto],0))="",DescontoPadrao,INDEX(tProdutos[Desconto homologado],MATCH(tItens[[#This Row],[Produto]],tProdutos[Produto],0))),DescontoPadrao)</f>
        <v>0.477732793522267</v>
      </c>
      <c r="M1196" s="12">
        <f>tItens[[#This Row],[Valor]]*(1-tItens[[#This Row],[Desconto]])</f>
        <v>0</v>
      </c>
      <c r="N1196" t="str">
        <f>IFERROR(INDEX(tProdutos[Foco],MATCH(tItens[[#This Row],[Produto]],tProdutos[Produto],0)),"Não")</f>
        <v>Não</v>
      </c>
      <c r="O1196" t="str">
        <f>IFERROR(INDEX(tEditais[SRP],MATCH(tItens[[#This Row],[Edital]],tEditais[Edital],0)),"Não")</f>
        <v>Não</v>
      </c>
      <c r="P1196" s="4">
        <f>IF(COUNTIFS(INDEX(tItens[Edital],1):tItens[[#This Row],[Edital]],tItens[[#This Row],[Edital]],INDEX(tItens[Produto],1):tItens[[#This Row],[Produto]],tItens[[#This Row],[Produto]])=1,1,0)</f>
        <v>0</v>
      </c>
    </row>
    <row r="1197" spans="1:16" x14ac:dyDescent="0.25">
      <c r="A1197" t="s">
        <v>1104</v>
      </c>
      <c r="B1197">
        <v>5</v>
      </c>
      <c r="C1197" t="s">
        <v>4271</v>
      </c>
      <c r="D1197" t="s">
        <v>413</v>
      </c>
      <c r="E1197" s="13">
        <v>3000</v>
      </c>
      <c r="F1197" s="12">
        <v>0</v>
      </c>
      <c r="G1197" t="str">
        <f>IFERROR(INDEX(tEditais[Órgão],MATCH(tItens[[#This Row],[Edital]],tEditais[Edital],0)),"")</f>
        <v>EMPRESA BRASILEIRA DE SERVICOS HOSPITALARES - EBSERH</v>
      </c>
      <c r="H1197" t="str">
        <f>IFERROR(INDEX(tEditais[UF],MATCH(tItens[[#This Row],[Edital]],tEditais[Edital],0)),"")</f>
        <v>ES</v>
      </c>
      <c r="I1197" s="11">
        <f>IFERROR(INDEX(tEditais[Encerramento],MATCH(tItens[[#This Row],[Edital]],tEditais[Edital],0)),"")</f>
        <v>46308.375</v>
      </c>
      <c r="J1197" t="str">
        <f>IFERROR(INDEX(tProdutos[Classe],MATCH(tItens[[#This Row],[Produto]],tProdutos[Produto],0)),"produto não cadastrado")</f>
        <v>FORA</v>
      </c>
      <c r="K1197" s="12">
        <f>tItens[[#This Row],[Qtd]]*tItens[[#This Row],[Vlr unit]]</f>
        <v>0</v>
      </c>
      <c r="L1197" s="6">
        <f>IFERROR(IF(INDEX(tProdutos[Desconto homologado],MATCH(tItens[[#This Row],[Produto]],tProdutos[Produto],0))="",DescontoPadrao,INDEX(tProdutos[Desconto homologado],MATCH(tItens[[#This Row],[Produto]],tProdutos[Produto],0))),DescontoPadrao)</f>
        <v>0.477732793522267</v>
      </c>
      <c r="M1197" s="12">
        <f>tItens[[#This Row],[Valor]]*(1-tItens[[#This Row],[Desconto]])</f>
        <v>0</v>
      </c>
      <c r="N1197" t="str">
        <f>IFERROR(INDEX(tProdutos[Foco],MATCH(tItens[[#This Row],[Produto]],tProdutos[Produto],0)),"Não")</f>
        <v>Não</v>
      </c>
      <c r="O1197" t="str">
        <f>IFERROR(INDEX(tEditais[SRP],MATCH(tItens[[#This Row],[Edital]],tEditais[Edital],0)),"Não")</f>
        <v>Não</v>
      </c>
      <c r="P1197" s="4">
        <f>IF(COUNTIFS(INDEX(tItens[Edital],1):tItens[[#This Row],[Edital]],tItens[[#This Row],[Edital]],INDEX(tItens[Produto],1):tItens[[#This Row],[Produto]],tItens[[#This Row],[Produto]])=1,1,0)</f>
        <v>0</v>
      </c>
    </row>
    <row r="1198" spans="1:16" x14ac:dyDescent="0.25">
      <c r="A1198" t="s">
        <v>1104</v>
      </c>
      <c r="B1198">
        <v>11</v>
      </c>
      <c r="C1198" t="s">
        <v>4272</v>
      </c>
      <c r="D1198" t="s">
        <v>114</v>
      </c>
      <c r="E1198" s="13">
        <v>400000</v>
      </c>
      <c r="F1198" s="12">
        <v>0</v>
      </c>
      <c r="G1198" t="str">
        <f>IFERROR(INDEX(tEditais[Órgão],MATCH(tItens[[#This Row],[Edital]],tEditais[Edital],0)),"")</f>
        <v>EMPRESA BRASILEIRA DE SERVICOS HOSPITALARES - EBSERH</v>
      </c>
      <c r="H1198" t="str">
        <f>IFERROR(INDEX(tEditais[UF],MATCH(tItens[[#This Row],[Edital]],tEditais[Edital],0)),"")</f>
        <v>ES</v>
      </c>
      <c r="I1198" s="11">
        <f>IFERROR(INDEX(tEditais[Encerramento],MATCH(tItens[[#This Row],[Edital]],tEditais[Edital],0)),"")</f>
        <v>46308.375</v>
      </c>
      <c r="J1198" t="str">
        <f>IFERROR(INDEX(tProdutos[Classe],MATCH(tItens[[#This Row],[Produto]],tProdutos[Produto],0)),"produto não cadastrado")</f>
        <v>DISPUTADO</v>
      </c>
      <c r="K1198" s="12">
        <f>tItens[[#This Row],[Qtd]]*tItens[[#This Row],[Vlr unit]]</f>
        <v>0</v>
      </c>
      <c r="L1198" s="6">
        <f>IFERROR(IF(INDEX(tProdutos[Desconto homologado],MATCH(tItens[[#This Row],[Produto]],tProdutos[Produto],0))="",DescontoPadrao,INDEX(tProdutos[Desconto homologado],MATCH(tItens[[#This Row],[Produto]],tProdutos[Produto],0))),DescontoPadrao)</f>
        <v>0.24332656063896899</v>
      </c>
      <c r="M1198" s="12">
        <f>tItens[[#This Row],[Valor]]*(1-tItens[[#This Row],[Desconto]])</f>
        <v>0</v>
      </c>
      <c r="N1198" t="str">
        <f>IFERROR(INDEX(tProdutos[Foco],MATCH(tItens[[#This Row],[Produto]],tProdutos[Produto],0)),"Não")</f>
        <v>Não</v>
      </c>
      <c r="O1198" t="str">
        <f>IFERROR(INDEX(tEditais[SRP],MATCH(tItens[[#This Row],[Edital]],tEditais[Edital],0)),"Não")</f>
        <v>Não</v>
      </c>
      <c r="P1198" s="4">
        <f>IF(COUNTIFS(INDEX(tItens[Edital],1):tItens[[#This Row],[Edital]],tItens[[#This Row],[Edital]],INDEX(tItens[Produto],1):tItens[[#This Row],[Produto]],tItens[[#This Row],[Produto]])=1,1,0)</f>
        <v>1</v>
      </c>
    </row>
    <row r="1199" spans="1:16" x14ac:dyDescent="0.25">
      <c r="A1199" t="s">
        <v>1104</v>
      </c>
      <c r="B1199">
        <v>12</v>
      </c>
      <c r="C1199" t="s">
        <v>4273</v>
      </c>
      <c r="D1199" t="s">
        <v>160</v>
      </c>
      <c r="E1199" s="13">
        <v>7000</v>
      </c>
      <c r="F1199" s="12">
        <v>0</v>
      </c>
      <c r="G1199" t="str">
        <f>IFERROR(INDEX(tEditais[Órgão],MATCH(tItens[[#This Row],[Edital]],tEditais[Edital],0)),"")</f>
        <v>EMPRESA BRASILEIRA DE SERVICOS HOSPITALARES - EBSERH</v>
      </c>
      <c r="H1199" t="str">
        <f>IFERROR(INDEX(tEditais[UF],MATCH(tItens[[#This Row],[Edital]],tEditais[Edital],0)),"")</f>
        <v>ES</v>
      </c>
      <c r="I1199" s="11">
        <f>IFERROR(INDEX(tEditais[Encerramento],MATCH(tItens[[#This Row],[Edital]],tEditais[Edital],0)),"")</f>
        <v>46308.375</v>
      </c>
      <c r="J1199" t="str">
        <f>IFERROR(INDEX(tProdutos[Classe],MATCH(tItens[[#This Row],[Produto]],tProdutos[Produto],0)),"produto não cadastrado")</f>
        <v>DISPUTADO</v>
      </c>
      <c r="K1199" s="12">
        <f>tItens[[#This Row],[Qtd]]*tItens[[#This Row],[Vlr unit]]</f>
        <v>0</v>
      </c>
      <c r="L1199" s="6">
        <f>IFERROR(IF(INDEX(tProdutos[Desconto homologado],MATCH(tItens[[#This Row],[Produto]],tProdutos[Produto],0))="",DescontoPadrao,INDEX(tProdutos[Desconto homologado],MATCH(tItens[[#This Row],[Produto]],tProdutos[Produto],0))),DescontoPadrao)</f>
        <v>0.28000000000000003</v>
      </c>
      <c r="M1199" s="12">
        <f>tItens[[#This Row],[Valor]]*(1-tItens[[#This Row],[Desconto]])</f>
        <v>0</v>
      </c>
      <c r="N1199" t="str">
        <f>IFERROR(INDEX(tProdutos[Foco],MATCH(tItens[[#This Row],[Produto]],tProdutos[Produto],0)),"Não")</f>
        <v>Sim</v>
      </c>
      <c r="O1199" t="str">
        <f>IFERROR(INDEX(tEditais[SRP],MATCH(tItens[[#This Row],[Edital]],tEditais[Edital],0)),"Não")</f>
        <v>Não</v>
      </c>
      <c r="P1199" s="4">
        <f>IF(COUNTIFS(INDEX(tItens[Edital],1):tItens[[#This Row],[Edital]],tItens[[#This Row],[Edital]],INDEX(tItens[Produto],1):tItens[[#This Row],[Produto]],tItens[[#This Row],[Produto]])=1,1,0)</f>
        <v>1</v>
      </c>
    </row>
    <row r="1200" spans="1:16" x14ac:dyDescent="0.25">
      <c r="A1200" t="s">
        <v>1107</v>
      </c>
      <c r="B1200">
        <v>35</v>
      </c>
      <c r="C1200" t="s">
        <v>4274</v>
      </c>
      <c r="D1200" t="s">
        <v>423</v>
      </c>
      <c r="E1200" s="13">
        <v>15</v>
      </c>
      <c r="F1200" s="12">
        <v>17.22</v>
      </c>
      <c r="G1200" t="str">
        <f>IFERROR(INDEX(tEditais[Órgão],MATCH(tItens[[#This Row],[Edital]],tEditais[Edital],0)),"")</f>
        <v>MUNICIPIO DE LINHARES</v>
      </c>
      <c r="H1200" t="str">
        <f>IFERROR(INDEX(tEditais[UF],MATCH(tItens[[#This Row],[Edital]],tEditais[Edital],0)),"")</f>
        <v>ES</v>
      </c>
      <c r="I1200" s="11">
        <f>IFERROR(INDEX(tEditais[Encerramento],MATCH(tItens[[#This Row],[Edital]],tEditais[Edital],0)),"")</f>
        <v>46309.333333333336</v>
      </c>
      <c r="J1200" t="str">
        <f>IFERROR(INDEX(tProdutos[Classe],MATCH(tItens[[#This Row],[Produto]],tProdutos[Produto],0)),"produto não cadastrado")</f>
        <v>FORA</v>
      </c>
      <c r="K1200" s="12">
        <f>tItens[[#This Row],[Qtd]]*tItens[[#This Row],[Vlr unit]]</f>
        <v>258.29999999999995</v>
      </c>
      <c r="L1200" s="6">
        <f>IFERROR(IF(INDEX(tProdutos[Desconto homologado],MATCH(tItens[[#This Row],[Produto]],tProdutos[Produto],0))="",DescontoPadrao,INDEX(tProdutos[Desconto homologado],MATCH(tItens[[#This Row],[Produto]],tProdutos[Produto],0))),DescontoPadrao)</f>
        <v>0.38271604938271597</v>
      </c>
      <c r="M1200" s="12">
        <f>tItens[[#This Row],[Valor]]*(1-tItens[[#This Row],[Desconto]])</f>
        <v>159.44444444444443</v>
      </c>
      <c r="N1200" t="str">
        <f>IFERROR(INDEX(tProdutos[Foco],MATCH(tItens[[#This Row],[Produto]],tProdutos[Produto],0)),"Não")</f>
        <v>Não</v>
      </c>
      <c r="O1200" t="str">
        <f>IFERROR(INDEX(tEditais[SRP],MATCH(tItens[[#This Row],[Edital]],tEditais[Edital],0)),"Não")</f>
        <v>Não</v>
      </c>
      <c r="P1200" s="4">
        <f>IF(COUNTIFS(INDEX(tItens[Edital],1):tItens[[#This Row],[Edital]],tItens[[#This Row],[Edital]],INDEX(tItens[Produto],1):tItens[[#This Row],[Produto]],tItens[[#This Row],[Produto]])=1,1,0)</f>
        <v>1</v>
      </c>
    </row>
    <row r="1201" spans="1:16" x14ac:dyDescent="0.25">
      <c r="A1201" t="s">
        <v>1107</v>
      </c>
      <c r="B1201">
        <v>36</v>
      </c>
      <c r="C1201" t="s">
        <v>4275</v>
      </c>
      <c r="D1201" t="s">
        <v>421</v>
      </c>
      <c r="E1201" s="13">
        <v>15</v>
      </c>
      <c r="F1201" s="12">
        <v>17.55</v>
      </c>
      <c r="G1201" t="str">
        <f>IFERROR(INDEX(tEditais[Órgão],MATCH(tItens[[#This Row],[Edital]],tEditais[Edital],0)),"")</f>
        <v>MUNICIPIO DE LINHARES</v>
      </c>
      <c r="H1201" t="str">
        <f>IFERROR(INDEX(tEditais[UF],MATCH(tItens[[#This Row],[Edital]],tEditais[Edital],0)),"")</f>
        <v>ES</v>
      </c>
      <c r="I1201" s="11">
        <f>IFERROR(INDEX(tEditais[Encerramento],MATCH(tItens[[#This Row],[Edital]],tEditais[Edital],0)),"")</f>
        <v>46309.333333333336</v>
      </c>
      <c r="J1201" t="str">
        <f>IFERROR(INDEX(tProdutos[Classe],MATCH(tItens[[#This Row],[Produto]],tProdutos[Produto],0)),"produto não cadastrado")</f>
        <v>FORA</v>
      </c>
      <c r="K1201" s="12">
        <f>tItens[[#This Row],[Qtd]]*tItens[[#This Row],[Vlr unit]]</f>
        <v>263.25</v>
      </c>
      <c r="L1201" s="6">
        <f>IFERROR(IF(INDEX(tProdutos[Desconto homologado],MATCH(tItens[[#This Row],[Produto]],tProdutos[Produto],0))="",DescontoPadrao,INDEX(tProdutos[Desconto homologado],MATCH(tItens[[#This Row],[Produto]],tProdutos[Produto],0))),DescontoPadrao)</f>
        <v>0.43</v>
      </c>
      <c r="M1201" s="12">
        <f>tItens[[#This Row],[Valor]]*(1-tItens[[#This Row],[Desconto]])</f>
        <v>150.05250000000001</v>
      </c>
      <c r="N1201" t="str">
        <f>IFERROR(INDEX(tProdutos[Foco],MATCH(tItens[[#This Row],[Produto]],tProdutos[Produto],0)),"Não")</f>
        <v>Sim</v>
      </c>
      <c r="O1201" t="str">
        <f>IFERROR(INDEX(tEditais[SRP],MATCH(tItens[[#This Row],[Edital]],tEditais[Edital],0)),"Não")</f>
        <v>Não</v>
      </c>
      <c r="P1201" s="4">
        <f>IF(COUNTIFS(INDEX(tItens[Edital],1):tItens[[#This Row],[Edital]],tItens[[#This Row],[Edital]],INDEX(tItens[Produto],1):tItens[[#This Row],[Produto]],tItens[[#This Row],[Produto]])=1,1,0)</f>
        <v>1</v>
      </c>
    </row>
    <row r="1202" spans="1:16" x14ac:dyDescent="0.25">
      <c r="A1202" t="s">
        <v>1107</v>
      </c>
      <c r="B1202">
        <v>48</v>
      </c>
      <c r="C1202" t="s">
        <v>4276</v>
      </c>
      <c r="D1202" t="s">
        <v>641</v>
      </c>
      <c r="E1202" s="13">
        <v>50</v>
      </c>
      <c r="F1202" s="12">
        <v>62.31</v>
      </c>
      <c r="G1202" t="str">
        <f>IFERROR(INDEX(tEditais[Órgão],MATCH(tItens[[#This Row],[Edital]],tEditais[Edital],0)),"")</f>
        <v>MUNICIPIO DE LINHARES</v>
      </c>
      <c r="H1202" t="str">
        <f>IFERROR(INDEX(tEditais[UF],MATCH(tItens[[#This Row],[Edital]],tEditais[Edital],0)),"")</f>
        <v>ES</v>
      </c>
      <c r="I1202" s="11">
        <f>IFERROR(INDEX(tEditais[Encerramento],MATCH(tItens[[#This Row],[Edital]],tEditais[Edital],0)),"")</f>
        <v>46309.333333333336</v>
      </c>
      <c r="J1202" t="str">
        <f>IFERROR(INDEX(tProdutos[Classe],MATCH(tItens[[#This Row],[Produto]],tProdutos[Produto],0)),"produto não cadastrado")</f>
        <v>FILA REBASE</v>
      </c>
      <c r="K1202" s="12">
        <f>tItens[[#This Row],[Qtd]]*tItens[[#This Row],[Vlr unit]]</f>
        <v>3115.5</v>
      </c>
      <c r="L1202" s="6">
        <f>IFERROR(IF(INDEX(tProdutos[Desconto homologado],MATCH(tItens[[#This Row],[Produto]],tProdutos[Produto],0))="",DescontoPadrao,INDEX(tProdutos[Desconto homologado],MATCH(tItens[[#This Row],[Produto]],tProdutos[Produto],0))),DescontoPadrao)</f>
        <v>0.3</v>
      </c>
      <c r="M1202" s="12">
        <f>tItens[[#This Row],[Valor]]*(1-tItens[[#This Row],[Desconto]])</f>
        <v>2180.85</v>
      </c>
      <c r="N1202" t="str">
        <f>IFERROR(INDEX(tProdutos[Foco],MATCH(tItens[[#This Row],[Produto]],tProdutos[Produto],0)),"Não")</f>
        <v>Não</v>
      </c>
      <c r="O1202" t="str">
        <f>IFERROR(INDEX(tEditais[SRP],MATCH(tItens[[#This Row],[Edital]],tEditais[Edital],0)),"Não")</f>
        <v>Não</v>
      </c>
      <c r="P1202" s="4">
        <f>IF(COUNTIFS(INDEX(tItens[Edital],1):tItens[[#This Row],[Edital]],tItens[[#This Row],[Edital]],INDEX(tItens[Produto],1):tItens[[#This Row],[Produto]],tItens[[#This Row],[Produto]])=1,1,0)</f>
        <v>1</v>
      </c>
    </row>
    <row r="1203" spans="1:16" x14ac:dyDescent="0.25">
      <c r="A1203" t="s">
        <v>1110</v>
      </c>
      <c r="B1203">
        <v>1</v>
      </c>
      <c r="C1203" t="s">
        <v>4277</v>
      </c>
      <c r="D1203" t="s">
        <v>277</v>
      </c>
      <c r="E1203" s="13">
        <v>3400000</v>
      </c>
      <c r="F1203" s="12">
        <v>0.1</v>
      </c>
      <c r="G1203" t="str">
        <f>IFERROR(INDEX(tEditais[Órgão],MATCH(tItens[[#This Row],[Edital]],tEditais[Edital],0)),"")</f>
        <v>MUNICIPIO DE VITORIA</v>
      </c>
      <c r="H1203" t="str">
        <f>IFERROR(INDEX(tEditais[UF],MATCH(tItens[[#This Row],[Edital]],tEditais[Edital],0)),"")</f>
        <v>ES</v>
      </c>
      <c r="I1203" s="11">
        <f>IFERROR(INDEX(tEditais[Encerramento],MATCH(tItens[[#This Row],[Edital]],tEditais[Edital],0)),"")</f>
        <v>46309.375</v>
      </c>
      <c r="J1203" t="str">
        <f>IFERROR(INDEX(tProdutos[Classe],MATCH(tItens[[#This Row],[Produto]],tProdutos[Produto],0)),"produto não cadastrado")</f>
        <v>DISPUTADO</v>
      </c>
      <c r="K1203" s="12">
        <f>tItens[[#This Row],[Qtd]]*tItens[[#This Row],[Vlr unit]]</f>
        <v>340000</v>
      </c>
      <c r="L1203" s="6">
        <f>IFERROR(IF(INDEX(tProdutos[Desconto homologado],MATCH(tItens[[#This Row],[Produto]],tProdutos[Produto],0))="",DescontoPadrao,INDEX(tProdutos[Desconto homologado],MATCH(tItens[[#This Row],[Produto]],tProdutos[Produto],0))),DescontoPadrao)</f>
        <v>0.50460666194188497</v>
      </c>
      <c r="M1203" s="12">
        <f>tItens[[#This Row],[Valor]]*(1-tItens[[#This Row],[Desconto]])</f>
        <v>168433.7349397591</v>
      </c>
      <c r="N1203" t="str">
        <f>IFERROR(INDEX(tProdutos[Foco],MATCH(tItens[[#This Row],[Produto]],tProdutos[Produto],0)),"Não")</f>
        <v>Não</v>
      </c>
      <c r="O1203" t="str">
        <f>IFERROR(INDEX(tEditais[SRP],MATCH(tItens[[#This Row],[Edital]],tEditais[Edital],0)),"Não")</f>
        <v>Sim</v>
      </c>
      <c r="P1203" s="4">
        <f>IF(COUNTIFS(INDEX(tItens[Edital],1):tItens[[#This Row],[Edital]],tItens[[#This Row],[Edital]],INDEX(tItens[Produto],1):tItens[[#This Row],[Produto]],tItens[[#This Row],[Produto]])=1,1,0)</f>
        <v>1</v>
      </c>
    </row>
    <row r="1204" spans="1:16" x14ac:dyDescent="0.25">
      <c r="A1204" t="s">
        <v>1110</v>
      </c>
      <c r="B1204">
        <v>2</v>
      </c>
      <c r="C1204" t="s">
        <v>4278</v>
      </c>
      <c r="D1204" t="s">
        <v>317</v>
      </c>
      <c r="E1204" s="13">
        <v>545000</v>
      </c>
      <c r="F1204" s="12">
        <v>0.33</v>
      </c>
      <c r="G1204" t="str">
        <f>IFERROR(INDEX(tEditais[Órgão],MATCH(tItens[[#This Row],[Edital]],tEditais[Edital],0)),"")</f>
        <v>MUNICIPIO DE VITORIA</v>
      </c>
      <c r="H1204" t="str">
        <f>IFERROR(INDEX(tEditais[UF],MATCH(tItens[[#This Row],[Edital]],tEditais[Edital],0)),"")</f>
        <v>ES</v>
      </c>
      <c r="I1204" s="11">
        <f>IFERROR(INDEX(tEditais[Encerramento],MATCH(tItens[[#This Row],[Edital]],tEditais[Edital],0)),"")</f>
        <v>46309.375</v>
      </c>
      <c r="J1204" t="str">
        <f>IFERROR(INDEX(tProdutos[Classe],MATCH(tItens[[#This Row],[Produto]],tProdutos[Produto],0)),"produto não cadastrado")</f>
        <v>FORA</v>
      </c>
      <c r="K1204" s="12">
        <f>tItens[[#This Row],[Qtd]]*tItens[[#This Row],[Vlr unit]]</f>
        <v>179850</v>
      </c>
      <c r="L1204" s="6">
        <f>IFERROR(IF(INDEX(tProdutos[Desconto homologado],MATCH(tItens[[#This Row],[Produto]],tProdutos[Produto],0))="",DescontoPadrao,INDEX(tProdutos[Desconto homologado],MATCH(tItens[[#This Row],[Produto]],tProdutos[Produto],0))),DescontoPadrao)</f>
        <v>0.5</v>
      </c>
      <c r="M1204" s="12">
        <f>tItens[[#This Row],[Valor]]*(1-tItens[[#This Row],[Desconto]])</f>
        <v>89925</v>
      </c>
      <c r="N1204" t="str">
        <f>IFERROR(INDEX(tProdutos[Foco],MATCH(tItens[[#This Row],[Produto]],tProdutos[Produto],0)),"Não")</f>
        <v>Não</v>
      </c>
      <c r="O1204" t="str">
        <f>IFERROR(INDEX(tEditais[SRP],MATCH(tItens[[#This Row],[Edital]],tEditais[Edital],0)),"Não")</f>
        <v>Sim</v>
      </c>
      <c r="P1204" s="4">
        <f>IF(COUNTIFS(INDEX(tItens[Edital],1):tItens[[#This Row],[Edital]],tItens[[#This Row],[Edital]],INDEX(tItens[Produto],1):tItens[[#This Row],[Produto]],tItens[[#This Row],[Produto]])=1,1,0)</f>
        <v>1</v>
      </c>
    </row>
    <row r="1205" spans="1:16" x14ac:dyDescent="0.25">
      <c r="A1205" t="s">
        <v>1110</v>
      </c>
      <c r="B1205">
        <v>3</v>
      </c>
      <c r="C1205" t="s">
        <v>4279</v>
      </c>
      <c r="D1205" t="s">
        <v>317</v>
      </c>
      <c r="E1205" s="13">
        <v>137000</v>
      </c>
      <c r="F1205" s="12">
        <v>0.56000000000000005</v>
      </c>
      <c r="G1205" t="str">
        <f>IFERROR(INDEX(tEditais[Órgão],MATCH(tItens[[#This Row],[Edital]],tEditais[Edital],0)),"")</f>
        <v>MUNICIPIO DE VITORIA</v>
      </c>
      <c r="H1205" t="str">
        <f>IFERROR(INDEX(tEditais[UF],MATCH(tItens[[#This Row],[Edital]],tEditais[Edital],0)),"")</f>
        <v>ES</v>
      </c>
      <c r="I1205" s="11">
        <f>IFERROR(INDEX(tEditais[Encerramento],MATCH(tItens[[#This Row],[Edital]],tEditais[Edital],0)),"")</f>
        <v>46309.375</v>
      </c>
      <c r="J1205" t="str">
        <f>IFERROR(INDEX(tProdutos[Classe],MATCH(tItens[[#This Row],[Produto]],tProdutos[Produto],0)),"produto não cadastrado")</f>
        <v>FORA</v>
      </c>
      <c r="K1205" s="12">
        <f>tItens[[#This Row],[Qtd]]*tItens[[#This Row],[Vlr unit]]</f>
        <v>76720.000000000015</v>
      </c>
      <c r="L1205" s="6">
        <f>IFERROR(IF(INDEX(tProdutos[Desconto homologado],MATCH(tItens[[#This Row],[Produto]],tProdutos[Produto],0))="",DescontoPadrao,INDEX(tProdutos[Desconto homologado],MATCH(tItens[[#This Row],[Produto]],tProdutos[Produto],0))),DescontoPadrao)</f>
        <v>0.5</v>
      </c>
      <c r="M1205" s="12">
        <f>tItens[[#This Row],[Valor]]*(1-tItens[[#This Row],[Desconto]])</f>
        <v>38360.000000000007</v>
      </c>
      <c r="N1205" t="str">
        <f>IFERROR(INDEX(tProdutos[Foco],MATCH(tItens[[#This Row],[Produto]],tProdutos[Produto],0)),"Não")</f>
        <v>Não</v>
      </c>
      <c r="O1205" t="str">
        <f>IFERROR(INDEX(tEditais[SRP],MATCH(tItens[[#This Row],[Edital]],tEditais[Edital],0)),"Não")</f>
        <v>Sim</v>
      </c>
      <c r="P1205" s="4">
        <f>IF(COUNTIFS(INDEX(tItens[Edital],1):tItens[[#This Row],[Edital]],tItens[[#This Row],[Edital]],INDEX(tItens[Produto],1):tItens[[#This Row],[Produto]],tItens[[#This Row],[Produto]])=1,1,0)</f>
        <v>0</v>
      </c>
    </row>
    <row r="1206" spans="1:16" x14ac:dyDescent="0.25">
      <c r="A1206" t="s">
        <v>1113</v>
      </c>
      <c r="B1206">
        <v>1</v>
      </c>
      <c r="C1206" t="s">
        <v>4280</v>
      </c>
      <c r="D1206" t="s">
        <v>281</v>
      </c>
      <c r="E1206" s="13">
        <v>43000</v>
      </c>
      <c r="F1206" s="12">
        <v>31.6</v>
      </c>
      <c r="G1206" t="str">
        <f>IFERROR(INDEX(tEditais[Órgão],MATCH(tItens[[#This Row],[Edital]],tEditais[Edital],0)),"")</f>
        <v>SECRETARIA DE ESTADO DA SAUDE</v>
      </c>
      <c r="H1206" t="str">
        <f>IFERROR(INDEX(tEditais[UF],MATCH(tItens[[#This Row],[Edital]],tEditais[Edital],0)),"")</f>
        <v>ES</v>
      </c>
      <c r="I1206" s="11">
        <f>IFERROR(INDEX(tEditais[Encerramento],MATCH(tItens[[#This Row],[Edital]],tEditais[Edital],0)),"")</f>
        <v>46309.415972222225</v>
      </c>
      <c r="J1206" t="str">
        <f>IFERROR(INDEX(tProdutos[Classe],MATCH(tItens[[#This Row],[Produto]],tProdutos[Produto],0)),"produto não cadastrado")</f>
        <v>DISPUTADO</v>
      </c>
      <c r="K1206" s="12">
        <f>tItens[[#This Row],[Qtd]]*tItens[[#This Row],[Vlr unit]]</f>
        <v>1358800</v>
      </c>
      <c r="L1206" s="6">
        <f>IFERROR(IF(INDEX(tProdutos[Desconto homologado],MATCH(tItens[[#This Row],[Produto]],tProdutos[Produto],0))="",DescontoPadrao,INDEX(tProdutos[Desconto homologado],MATCH(tItens[[#This Row],[Produto]],tProdutos[Produto],0))),DescontoPadrao)</f>
        <v>0.42461538461538501</v>
      </c>
      <c r="M1206" s="12">
        <f>tItens[[#This Row],[Valor]]*(1-tItens[[#This Row],[Desconto]])</f>
        <v>781832.61538461479</v>
      </c>
      <c r="N1206" t="str">
        <f>IFERROR(INDEX(tProdutos[Foco],MATCH(tItens[[#This Row],[Produto]],tProdutos[Produto],0)),"Não")</f>
        <v>Não</v>
      </c>
      <c r="O1206" t="str">
        <f>IFERROR(INDEX(tEditais[SRP],MATCH(tItens[[#This Row],[Edital]],tEditais[Edital],0)),"Não")</f>
        <v>Não</v>
      </c>
      <c r="P1206" s="4">
        <f>IF(COUNTIFS(INDEX(tItens[Edital],1):tItens[[#This Row],[Edital]],tItens[[#This Row],[Edital]],INDEX(tItens[Produto],1):tItens[[#This Row],[Produto]],tItens[[#This Row],[Produto]])=1,1,0)</f>
        <v>1</v>
      </c>
    </row>
    <row r="1207" spans="1:16" x14ac:dyDescent="0.25">
      <c r="A1207" t="s">
        <v>1113</v>
      </c>
      <c r="B1207">
        <v>2</v>
      </c>
      <c r="C1207" t="s">
        <v>4281</v>
      </c>
      <c r="D1207" t="s">
        <v>289</v>
      </c>
      <c r="E1207" s="13">
        <v>32000</v>
      </c>
      <c r="F1207" s="12">
        <v>40.5</v>
      </c>
      <c r="G1207" t="str">
        <f>IFERROR(INDEX(tEditais[Órgão],MATCH(tItens[[#This Row],[Edital]],tEditais[Edital],0)),"")</f>
        <v>SECRETARIA DE ESTADO DA SAUDE</v>
      </c>
      <c r="H1207" t="str">
        <f>IFERROR(INDEX(tEditais[UF],MATCH(tItens[[#This Row],[Edital]],tEditais[Edital],0)),"")</f>
        <v>ES</v>
      </c>
      <c r="I1207" s="11">
        <f>IFERROR(INDEX(tEditais[Encerramento],MATCH(tItens[[#This Row],[Edital]],tEditais[Edital],0)),"")</f>
        <v>46309.415972222225</v>
      </c>
      <c r="J1207" t="str">
        <f>IFERROR(INDEX(tProdutos[Classe],MATCH(tItens[[#This Row],[Produto]],tProdutos[Produto],0)),"produto não cadastrado")</f>
        <v>DISPUTADO</v>
      </c>
      <c r="K1207" s="12">
        <f>tItens[[#This Row],[Qtd]]*tItens[[#This Row],[Vlr unit]]</f>
        <v>1296000</v>
      </c>
      <c r="L1207" s="6">
        <f>IFERROR(IF(INDEX(tProdutos[Desconto homologado],MATCH(tItens[[#This Row],[Produto]],tProdutos[Produto],0))="",DescontoPadrao,INDEX(tProdutos[Desconto homologado],MATCH(tItens[[#This Row],[Produto]],tProdutos[Produto],0))),DescontoPadrao)</f>
        <v>0.35849056603773599</v>
      </c>
      <c r="M1207" s="12">
        <f>tItens[[#This Row],[Valor]]*(1-tItens[[#This Row],[Desconto]])</f>
        <v>831396.2264150941</v>
      </c>
      <c r="N1207" t="str">
        <f>IFERROR(INDEX(tProdutos[Foco],MATCH(tItens[[#This Row],[Produto]],tProdutos[Produto],0)),"Não")</f>
        <v>Não</v>
      </c>
      <c r="O1207" t="str">
        <f>IFERROR(INDEX(tEditais[SRP],MATCH(tItens[[#This Row],[Edital]],tEditais[Edital],0)),"Não")</f>
        <v>Não</v>
      </c>
      <c r="P1207" s="4">
        <f>IF(COUNTIFS(INDEX(tItens[Edital],1):tItens[[#This Row],[Edital]],tItens[[#This Row],[Edital]],INDEX(tItens[Produto],1):tItens[[#This Row],[Produto]],tItens[[#This Row],[Produto]])=1,1,0)</f>
        <v>1</v>
      </c>
    </row>
    <row r="1208" spans="1:16" x14ac:dyDescent="0.25">
      <c r="A1208" t="s">
        <v>1113</v>
      </c>
      <c r="B1208">
        <v>4</v>
      </c>
      <c r="C1208" t="s">
        <v>4281</v>
      </c>
      <c r="D1208" t="s">
        <v>289</v>
      </c>
      <c r="E1208" s="13">
        <v>21500</v>
      </c>
      <c r="F1208" s="12">
        <v>43.75</v>
      </c>
      <c r="G1208" t="str">
        <f>IFERROR(INDEX(tEditais[Órgão],MATCH(tItens[[#This Row],[Edital]],tEditais[Edital],0)),"")</f>
        <v>SECRETARIA DE ESTADO DA SAUDE</v>
      </c>
      <c r="H1208" t="str">
        <f>IFERROR(INDEX(tEditais[UF],MATCH(tItens[[#This Row],[Edital]],tEditais[Edital],0)),"")</f>
        <v>ES</v>
      </c>
      <c r="I1208" s="11">
        <f>IFERROR(INDEX(tEditais[Encerramento],MATCH(tItens[[#This Row],[Edital]],tEditais[Edital],0)),"")</f>
        <v>46309.415972222225</v>
      </c>
      <c r="J1208" t="str">
        <f>IFERROR(INDEX(tProdutos[Classe],MATCH(tItens[[#This Row],[Produto]],tProdutos[Produto],0)),"produto não cadastrado")</f>
        <v>DISPUTADO</v>
      </c>
      <c r="K1208" s="12">
        <f>tItens[[#This Row],[Qtd]]*tItens[[#This Row],[Vlr unit]]</f>
        <v>940625</v>
      </c>
      <c r="L1208" s="6">
        <f>IFERROR(IF(INDEX(tProdutos[Desconto homologado],MATCH(tItens[[#This Row],[Produto]],tProdutos[Produto],0))="",DescontoPadrao,INDEX(tProdutos[Desconto homologado],MATCH(tItens[[#This Row],[Produto]],tProdutos[Produto],0))),DescontoPadrao)</f>
        <v>0.35849056603773599</v>
      </c>
      <c r="M1208" s="12">
        <f>tItens[[#This Row],[Valor]]*(1-tItens[[#This Row],[Desconto]])</f>
        <v>603419.81132075458</v>
      </c>
      <c r="N1208" t="str">
        <f>IFERROR(INDEX(tProdutos[Foco],MATCH(tItens[[#This Row],[Produto]],tProdutos[Produto],0)),"Não")</f>
        <v>Não</v>
      </c>
      <c r="O1208" t="str">
        <f>IFERROR(INDEX(tEditais[SRP],MATCH(tItens[[#This Row],[Edital]],tEditais[Edital],0)),"Não")</f>
        <v>Não</v>
      </c>
      <c r="P1208" s="4">
        <f>IF(COUNTIFS(INDEX(tItens[Edital],1):tItens[[#This Row],[Edital]],tItens[[#This Row],[Edital]],INDEX(tItens[Produto],1):tItens[[#This Row],[Produto]],tItens[[#This Row],[Produto]])=1,1,0)</f>
        <v>0</v>
      </c>
    </row>
    <row r="1209" spans="1:16" x14ac:dyDescent="0.25">
      <c r="A1209" t="s">
        <v>1113</v>
      </c>
      <c r="B1209">
        <v>6</v>
      </c>
      <c r="C1209" t="s">
        <v>4282</v>
      </c>
      <c r="D1209" t="s">
        <v>289</v>
      </c>
      <c r="E1209" s="13">
        <v>26500</v>
      </c>
      <c r="F1209" s="12">
        <v>42.13</v>
      </c>
      <c r="G1209" t="str">
        <f>IFERROR(INDEX(tEditais[Órgão],MATCH(tItens[[#This Row],[Edital]],tEditais[Edital],0)),"")</f>
        <v>SECRETARIA DE ESTADO DA SAUDE</v>
      </c>
      <c r="H1209" t="str">
        <f>IFERROR(INDEX(tEditais[UF],MATCH(tItens[[#This Row],[Edital]],tEditais[Edital],0)),"")</f>
        <v>ES</v>
      </c>
      <c r="I1209" s="11">
        <f>IFERROR(INDEX(tEditais[Encerramento],MATCH(tItens[[#This Row],[Edital]],tEditais[Edital],0)),"")</f>
        <v>46309.415972222225</v>
      </c>
      <c r="J1209" t="str">
        <f>IFERROR(INDEX(tProdutos[Classe],MATCH(tItens[[#This Row],[Produto]],tProdutos[Produto],0)),"produto não cadastrado")</f>
        <v>DISPUTADO</v>
      </c>
      <c r="K1209" s="12">
        <f>tItens[[#This Row],[Qtd]]*tItens[[#This Row],[Vlr unit]]</f>
        <v>1116445</v>
      </c>
      <c r="L1209" s="6">
        <f>IFERROR(IF(INDEX(tProdutos[Desconto homologado],MATCH(tItens[[#This Row],[Produto]],tProdutos[Produto],0))="",DescontoPadrao,INDEX(tProdutos[Desconto homologado],MATCH(tItens[[#This Row],[Produto]],tProdutos[Produto],0))),DescontoPadrao)</f>
        <v>0.35849056603773599</v>
      </c>
      <c r="M1209" s="12">
        <f>tItens[[#This Row],[Valor]]*(1-tItens[[#This Row],[Desconto]])</f>
        <v>716209.99999999988</v>
      </c>
      <c r="N1209" t="str">
        <f>IFERROR(INDEX(tProdutos[Foco],MATCH(tItens[[#This Row],[Produto]],tProdutos[Produto],0)),"Não")</f>
        <v>Não</v>
      </c>
      <c r="O1209" t="str">
        <f>IFERROR(INDEX(tEditais[SRP],MATCH(tItens[[#This Row],[Edital]],tEditais[Edital],0)),"Não")</f>
        <v>Não</v>
      </c>
      <c r="P1209" s="4">
        <f>IF(COUNTIFS(INDEX(tItens[Edital],1):tItens[[#This Row],[Edital]],tItens[[#This Row],[Edital]],INDEX(tItens[Produto],1):tItens[[#This Row],[Produto]],tItens[[#This Row],[Produto]])=1,1,0)</f>
        <v>0</v>
      </c>
    </row>
    <row r="1210" spans="1:16" x14ac:dyDescent="0.25">
      <c r="A1210" t="s">
        <v>1115</v>
      </c>
      <c r="B1210">
        <v>2</v>
      </c>
      <c r="C1210" t="s">
        <v>4283</v>
      </c>
      <c r="D1210" t="s">
        <v>277</v>
      </c>
      <c r="E1210" s="13">
        <v>476000</v>
      </c>
      <c r="F1210" s="12">
        <v>0.13</v>
      </c>
      <c r="G1210" t="str">
        <f>IFERROR(INDEX(tEditais[Órgão],MATCH(tItens[[#This Row],[Edital]],tEditais[Edital],0)),"")</f>
        <v>MUNICIPIO DE MARATAIZES</v>
      </c>
      <c r="H1210" t="str">
        <f>IFERROR(INDEX(tEditais[UF],MATCH(tItens[[#This Row],[Edital]],tEditais[Edital],0)),"")</f>
        <v>ES</v>
      </c>
      <c r="I1210" s="11">
        <f>IFERROR(INDEX(tEditais[Encerramento],MATCH(tItens[[#This Row],[Edital]],tEditais[Edital],0)),"")</f>
        <v>46309.645833333336</v>
      </c>
      <c r="J1210" t="str">
        <f>IFERROR(INDEX(tProdutos[Classe],MATCH(tItens[[#This Row],[Produto]],tProdutos[Produto],0)),"produto não cadastrado")</f>
        <v>DISPUTADO</v>
      </c>
      <c r="K1210" s="12">
        <f>tItens[[#This Row],[Qtd]]*tItens[[#This Row],[Vlr unit]]</f>
        <v>61880</v>
      </c>
      <c r="L1210" s="6">
        <f>IFERROR(IF(INDEX(tProdutos[Desconto homologado],MATCH(tItens[[#This Row],[Produto]],tProdutos[Produto],0))="",DescontoPadrao,INDEX(tProdutos[Desconto homologado],MATCH(tItens[[#This Row],[Produto]],tProdutos[Produto],0))),DescontoPadrao)</f>
        <v>0.50460666194188497</v>
      </c>
      <c r="M1210" s="12">
        <f>tItens[[#This Row],[Valor]]*(1-tItens[[#This Row],[Desconto]])</f>
        <v>30654.939759036159</v>
      </c>
      <c r="N1210" t="str">
        <f>IFERROR(INDEX(tProdutos[Foco],MATCH(tItens[[#This Row],[Produto]],tProdutos[Produto],0)),"Não")</f>
        <v>Não</v>
      </c>
      <c r="O1210" t="str">
        <f>IFERROR(INDEX(tEditais[SRP],MATCH(tItens[[#This Row],[Edital]],tEditais[Edital],0)),"Não")</f>
        <v>Não</v>
      </c>
      <c r="P1210" s="4">
        <f>IF(COUNTIFS(INDEX(tItens[Edital],1):tItens[[#This Row],[Edital]],tItens[[#This Row],[Edital]],INDEX(tItens[Produto],1):tItens[[#This Row],[Produto]],tItens[[#This Row],[Produto]])=1,1,0)</f>
        <v>1</v>
      </c>
    </row>
    <row r="1211" spans="1:16" x14ac:dyDescent="0.25">
      <c r="A1211" t="s">
        <v>1119</v>
      </c>
      <c r="B1211">
        <v>1</v>
      </c>
      <c r="C1211" t="s">
        <v>4284</v>
      </c>
      <c r="D1211" t="s">
        <v>485</v>
      </c>
      <c r="E1211" s="13">
        <v>2500</v>
      </c>
      <c r="F1211" s="12">
        <v>9.4600000000000009</v>
      </c>
      <c r="G1211" t="str">
        <f>IFERROR(INDEX(tEditais[Órgão],MATCH(tItens[[#This Row],[Edital]],tEditais[Edital],0)),"")</f>
        <v>SECRETARIA DE ESTADO DA SAUDE</v>
      </c>
      <c r="H1211" t="str">
        <f>IFERROR(INDEX(tEditais[UF],MATCH(tItens[[#This Row],[Edital]],tEditais[Edital],0)),"")</f>
        <v>ES</v>
      </c>
      <c r="I1211" s="11">
        <f>IFERROR(INDEX(tEditais[Encerramento],MATCH(tItens[[#This Row],[Edital]],tEditais[Edital],0)),"")</f>
        <v>46310.332638888889</v>
      </c>
      <c r="J1211" t="str">
        <f>IFERROR(INDEX(tProdutos[Classe],MATCH(tItens[[#This Row],[Produto]],tProdutos[Produto],0)),"produto não cadastrado")</f>
        <v>FILA REBASE</v>
      </c>
      <c r="K1211" s="12">
        <f>tItens[[#This Row],[Qtd]]*tItens[[#This Row],[Vlr unit]]</f>
        <v>23650.000000000004</v>
      </c>
      <c r="L1211" s="6">
        <f>IFERROR(IF(INDEX(tProdutos[Desconto homologado],MATCH(tItens[[#This Row],[Produto]],tProdutos[Produto],0))="",DescontoPadrao,INDEX(tProdutos[Desconto homologado],MATCH(tItens[[#This Row],[Produto]],tProdutos[Produto],0))),DescontoPadrao)</f>
        <v>0.371991013159302</v>
      </c>
      <c r="M1211" s="12">
        <f>tItens[[#This Row],[Valor]]*(1-tItens[[#This Row],[Desconto]])</f>
        <v>14852.412538782508</v>
      </c>
      <c r="N1211" t="str">
        <f>IFERROR(INDEX(tProdutos[Foco],MATCH(tItens[[#This Row],[Produto]],tProdutos[Produto],0)),"Não")</f>
        <v>Não</v>
      </c>
      <c r="O1211" t="str">
        <f>IFERROR(INDEX(tEditais[SRP],MATCH(tItens[[#This Row],[Edital]],tEditais[Edital],0)),"Não")</f>
        <v>Não</v>
      </c>
      <c r="P1211" s="4">
        <f>IF(COUNTIFS(INDEX(tItens[Edital],1):tItens[[#This Row],[Edital]],tItens[[#This Row],[Edital]],INDEX(tItens[Produto],1):tItens[[#This Row],[Produto]],tItens[[#This Row],[Produto]])=1,1,0)</f>
        <v>1</v>
      </c>
    </row>
    <row r="1212" spans="1:16" x14ac:dyDescent="0.25">
      <c r="A1212" t="s">
        <v>1119</v>
      </c>
      <c r="B1212">
        <v>2</v>
      </c>
      <c r="C1212" t="s">
        <v>4259</v>
      </c>
      <c r="D1212" t="s">
        <v>485</v>
      </c>
      <c r="E1212" s="13">
        <v>15600</v>
      </c>
      <c r="F1212" s="12">
        <v>9.4600000000000009</v>
      </c>
      <c r="G1212" t="str">
        <f>IFERROR(INDEX(tEditais[Órgão],MATCH(tItens[[#This Row],[Edital]],tEditais[Edital],0)),"")</f>
        <v>SECRETARIA DE ESTADO DA SAUDE</v>
      </c>
      <c r="H1212" t="str">
        <f>IFERROR(INDEX(tEditais[UF],MATCH(tItens[[#This Row],[Edital]],tEditais[Edital],0)),"")</f>
        <v>ES</v>
      </c>
      <c r="I1212" s="11">
        <f>IFERROR(INDEX(tEditais[Encerramento],MATCH(tItens[[#This Row],[Edital]],tEditais[Edital],0)),"")</f>
        <v>46310.332638888889</v>
      </c>
      <c r="J1212" t="str">
        <f>IFERROR(INDEX(tProdutos[Classe],MATCH(tItens[[#This Row],[Produto]],tProdutos[Produto],0)),"produto não cadastrado")</f>
        <v>FILA REBASE</v>
      </c>
      <c r="K1212" s="12">
        <f>tItens[[#This Row],[Qtd]]*tItens[[#This Row],[Vlr unit]]</f>
        <v>147576</v>
      </c>
      <c r="L1212" s="6">
        <f>IFERROR(IF(INDEX(tProdutos[Desconto homologado],MATCH(tItens[[#This Row],[Produto]],tProdutos[Produto],0))="",DescontoPadrao,INDEX(tProdutos[Desconto homologado],MATCH(tItens[[#This Row],[Produto]],tProdutos[Produto],0))),DescontoPadrao)</f>
        <v>0.371991013159302</v>
      </c>
      <c r="M1212" s="12">
        <f>tItens[[#This Row],[Valor]]*(1-tItens[[#This Row],[Desconto]])</f>
        <v>92679.054242002836</v>
      </c>
      <c r="N1212" t="str">
        <f>IFERROR(INDEX(tProdutos[Foco],MATCH(tItens[[#This Row],[Produto]],tProdutos[Produto],0)),"Não")</f>
        <v>Não</v>
      </c>
      <c r="O1212" t="str">
        <f>IFERROR(INDEX(tEditais[SRP],MATCH(tItens[[#This Row],[Edital]],tEditais[Edital],0)),"Não")</f>
        <v>Não</v>
      </c>
      <c r="P1212" s="4">
        <f>IF(COUNTIFS(INDEX(tItens[Edital],1):tItens[[#This Row],[Edital]],tItens[[#This Row],[Edital]],INDEX(tItens[Produto],1):tItens[[#This Row],[Produto]],tItens[[#This Row],[Produto]])=1,1,0)</f>
        <v>0</v>
      </c>
    </row>
    <row r="1213" spans="1:16" x14ac:dyDescent="0.25">
      <c r="A1213" t="s">
        <v>1121</v>
      </c>
      <c r="B1213">
        <v>1</v>
      </c>
      <c r="C1213" t="s">
        <v>4285</v>
      </c>
      <c r="D1213" t="s">
        <v>387</v>
      </c>
      <c r="E1213" s="13">
        <v>2500</v>
      </c>
      <c r="F1213" s="12">
        <v>18.420000000000002</v>
      </c>
      <c r="G1213" t="str">
        <f>IFERROR(INDEX(tEditais[Órgão],MATCH(tItens[[#This Row],[Edital]],tEditais[Edital],0)),"")</f>
        <v>MUNICIPIO DE LINHARES</v>
      </c>
      <c r="H1213" t="str">
        <f>IFERROR(INDEX(tEditais[UF],MATCH(tItens[[#This Row],[Edital]],tEditais[Edital],0)),"")</f>
        <v>ES</v>
      </c>
      <c r="I1213" s="11">
        <f>IFERROR(INDEX(tEditais[Encerramento],MATCH(tItens[[#This Row],[Edital]],tEditais[Edital],0)),"")</f>
        <v>46310.333333333336</v>
      </c>
      <c r="J1213" t="str">
        <f>IFERROR(INDEX(tProdutos[Classe],MATCH(tItens[[#This Row],[Produto]],tProdutos[Produto],0)),"produto não cadastrado")</f>
        <v>FORA</v>
      </c>
      <c r="K1213" s="12">
        <f>tItens[[#This Row],[Qtd]]*tItens[[#This Row],[Vlr unit]]</f>
        <v>46050.000000000007</v>
      </c>
      <c r="L1213" s="6">
        <f>IFERROR(IF(INDEX(tProdutos[Desconto homologado],MATCH(tItens[[#This Row],[Produto]],tProdutos[Produto],0))="",DescontoPadrao,INDEX(tProdutos[Desconto homologado],MATCH(tItens[[#This Row],[Produto]],tProdutos[Produto],0))),DescontoPadrao)</f>
        <v>0.30458221024258803</v>
      </c>
      <c r="M1213" s="12">
        <f>tItens[[#This Row],[Valor]]*(1-tItens[[#This Row],[Desconto]])</f>
        <v>32023.989218328825</v>
      </c>
      <c r="N1213" t="str">
        <f>IFERROR(INDEX(tProdutos[Foco],MATCH(tItens[[#This Row],[Produto]],tProdutos[Produto],0)),"Não")</f>
        <v>Não</v>
      </c>
      <c r="O1213" t="str">
        <f>IFERROR(INDEX(tEditais[SRP],MATCH(tItens[[#This Row],[Edital]],tEditais[Edital],0)),"Não")</f>
        <v>Não</v>
      </c>
      <c r="P1213" s="4">
        <f>IF(COUNTIFS(INDEX(tItens[Edital],1):tItens[[#This Row],[Edital]],tItens[[#This Row],[Edital]],INDEX(tItens[Produto],1):tItens[[#This Row],[Produto]],tItens[[#This Row],[Produto]])=1,1,0)</f>
        <v>1</v>
      </c>
    </row>
    <row r="1214" spans="1:16" x14ac:dyDescent="0.25">
      <c r="A1214" t="s">
        <v>1121</v>
      </c>
      <c r="B1214">
        <v>2</v>
      </c>
      <c r="C1214" t="s">
        <v>4286</v>
      </c>
      <c r="D1214" t="s">
        <v>494</v>
      </c>
      <c r="E1214" s="13">
        <v>20</v>
      </c>
      <c r="F1214" s="12">
        <v>297.12</v>
      </c>
      <c r="G1214" t="str">
        <f>IFERROR(INDEX(tEditais[Órgão],MATCH(tItens[[#This Row],[Edital]],tEditais[Edital],0)),"")</f>
        <v>MUNICIPIO DE LINHARES</v>
      </c>
      <c r="H1214" t="str">
        <f>IFERROR(INDEX(tEditais[UF],MATCH(tItens[[#This Row],[Edital]],tEditais[Edital],0)),"")</f>
        <v>ES</v>
      </c>
      <c r="I1214" s="11">
        <f>IFERROR(INDEX(tEditais[Encerramento],MATCH(tItens[[#This Row],[Edital]],tEditais[Edital],0)),"")</f>
        <v>46310.333333333336</v>
      </c>
      <c r="J1214" t="str">
        <f>IFERROR(INDEX(tProdutos[Classe],MATCH(tItens[[#This Row],[Produto]],tProdutos[Produto],0)),"produto não cadastrado")</f>
        <v>FILA REBASE</v>
      </c>
      <c r="K1214" s="12">
        <f>tItens[[#This Row],[Qtd]]*tItens[[#This Row],[Vlr unit]]</f>
        <v>5942.4</v>
      </c>
      <c r="L1214" s="6">
        <f>IFERROR(IF(INDEX(tProdutos[Desconto homologado],MATCH(tItens[[#This Row],[Produto]],tProdutos[Produto],0))="",DescontoPadrao,INDEX(tProdutos[Desconto homologado],MATCH(tItens[[#This Row],[Produto]],tProdutos[Produto],0))),DescontoPadrao)</f>
        <v>0.253736324829619</v>
      </c>
      <c r="M1214" s="12">
        <f>tItens[[#This Row],[Valor]]*(1-tItens[[#This Row],[Desconto]])</f>
        <v>4434.5972633324718</v>
      </c>
      <c r="N1214" t="str">
        <f>IFERROR(INDEX(tProdutos[Foco],MATCH(tItens[[#This Row],[Produto]],tProdutos[Produto],0)),"Não")</f>
        <v>Não</v>
      </c>
      <c r="O1214" t="str">
        <f>IFERROR(INDEX(tEditais[SRP],MATCH(tItens[[#This Row],[Edital]],tEditais[Edital],0)),"Não")</f>
        <v>Não</v>
      </c>
      <c r="P1214" s="4">
        <f>IF(COUNTIFS(INDEX(tItens[Edital],1):tItens[[#This Row],[Edital]],tItens[[#This Row],[Edital]],INDEX(tItens[Produto],1):tItens[[#This Row],[Produto]],tItens[[#This Row],[Produto]])=1,1,0)</f>
        <v>1</v>
      </c>
    </row>
    <row r="1215" spans="1:16" x14ac:dyDescent="0.25">
      <c r="A1215" t="s">
        <v>1121</v>
      </c>
      <c r="B1215">
        <v>3</v>
      </c>
      <c r="C1215" t="s">
        <v>4287</v>
      </c>
      <c r="D1215" t="s">
        <v>409</v>
      </c>
      <c r="E1215" s="13">
        <v>22000</v>
      </c>
      <c r="F1215" s="12">
        <v>3.68</v>
      </c>
      <c r="G1215" t="str">
        <f>IFERROR(INDEX(tEditais[Órgão],MATCH(tItens[[#This Row],[Edital]],tEditais[Edital],0)),"")</f>
        <v>MUNICIPIO DE LINHARES</v>
      </c>
      <c r="H1215" t="str">
        <f>IFERROR(INDEX(tEditais[UF],MATCH(tItens[[#This Row],[Edital]],tEditais[Edital],0)),"")</f>
        <v>ES</v>
      </c>
      <c r="I1215" s="11">
        <f>IFERROR(INDEX(tEditais[Encerramento],MATCH(tItens[[#This Row],[Edital]],tEditais[Edital],0)),"")</f>
        <v>46310.333333333336</v>
      </c>
      <c r="J1215" t="str">
        <f>IFERROR(INDEX(tProdutos[Classe],MATCH(tItens[[#This Row],[Produto]],tProdutos[Produto],0)),"produto não cadastrado")</f>
        <v>FORA</v>
      </c>
      <c r="K1215" s="12">
        <f>tItens[[#This Row],[Qtd]]*tItens[[#This Row],[Vlr unit]]</f>
        <v>80960</v>
      </c>
      <c r="L1215" s="6">
        <f>IFERROR(IF(INDEX(tProdutos[Desconto homologado],MATCH(tItens[[#This Row],[Produto]],tProdutos[Produto],0))="",DescontoPadrao,INDEX(tProdutos[Desconto homologado],MATCH(tItens[[#This Row],[Produto]],tProdutos[Produto],0))),DescontoPadrao)</f>
        <v>0.24924924924924899</v>
      </c>
      <c r="M1215" s="12">
        <f>tItens[[#This Row],[Valor]]*(1-tItens[[#This Row],[Desconto]])</f>
        <v>60780.780780780806</v>
      </c>
      <c r="N1215" t="str">
        <f>IFERROR(INDEX(tProdutos[Foco],MATCH(tItens[[#This Row],[Produto]],tProdutos[Produto],0)),"Não")</f>
        <v>Não</v>
      </c>
      <c r="O1215" t="str">
        <f>IFERROR(INDEX(tEditais[SRP],MATCH(tItens[[#This Row],[Edital]],tEditais[Edital],0)),"Não")</f>
        <v>Não</v>
      </c>
      <c r="P1215" s="4">
        <f>IF(COUNTIFS(INDEX(tItens[Edital],1):tItens[[#This Row],[Edital]],tItens[[#This Row],[Edital]],INDEX(tItens[Produto],1):tItens[[#This Row],[Produto]],tItens[[#This Row],[Produto]])=1,1,0)</f>
        <v>1</v>
      </c>
    </row>
    <row r="1216" spans="1:16" x14ac:dyDescent="0.25">
      <c r="A1216" t="s">
        <v>1124</v>
      </c>
      <c r="B1216">
        <v>1</v>
      </c>
      <c r="C1216" t="s">
        <v>4288</v>
      </c>
      <c r="D1216" t="s">
        <v>229</v>
      </c>
      <c r="E1216" s="13">
        <v>92100</v>
      </c>
      <c r="F1216" s="12">
        <v>20.5</v>
      </c>
      <c r="G1216" t="str">
        <f>IFERROR(INDEX(tEditais[Órgão],MATCH(tItens[[#This Row],[Edital]],tEditais[Edital],0)),"")</f>
        <v>FUNDACAO ESTADUAL DE  INOVACAO EM SAUDE - INOVA CAPIXABA</v>
      </c>
      <c r="H1216" t="str">
        <f>IFERROR(INDEX(tEditais[UF],MATCH(tItens[[#This Row],[Edital]],tEditais[Edital],0)),"")</f>
        <v>ES</v>
      </c>
      <c r="I1216" s="11">
        <f>IFERROR(INDEX(tEditais[Encerramento],MATCH(tItens[[#This Row],[Edital]],tEditais[Edital],0)),"")</f>
        <v>46310.625</v>
      </c>
      <c r="J1216" t="str">
        <f>IFERROR(INDEX(tProdutos[Classe],MATCH(tItens[[#This Row],[Produto]],tProdutos[Produto],0)),"produto não cadastrado")</f>
        <v>FORA</v>
      </c>
      <c r="K1216" s="12">
        <f>tItens[[#This Row],[Qtd]]*tItens[[#This Row],[Vlr unit]]</f>
        <v>1888050</v>
      </c>
      <c r="L1216" s="6">
        <f>IFERROR(IF(INDEX(tProdutos[Desconto homologado],MATCH(tItens[[#This Row],[Produto]],tProdutos[Produto],0))="",DescontoPadrao,INDEX(tProdutos[Desconto homologado],MATCH(tItens[[#This Row],[Produto]],tProdutos[Produto],0))),DescontoPadrao)</f>
        <v>0.33093491191658198</v>
      </c>
      <c r="M1216" s="12">
        <f>tItens[[#This Row],[Valor]]*(1-tItens[[#This Row],[Desconto]])</f>
        <v>1263228.3395558975</v>
      </c>
      <c r="N1216" t="str">
        <f>IFERROR(INDEX(tProdutos[Foco],MATCH(tItens[[#This Row],[Produto]],tProdutos[Produto],0)),"Não")</f>
        <v>Não</v>
      </c>
      <c r="O1216" t="str">
        <f>IFERROR(INDEX(tEditais[SRP],MATCH(tItens[[#This Row],[Edital]],tEditais[Edital],0)),"Não")</f>
        <v>Sim</v>
      </c>
      <c r="P1216" s="4">
        <f>IF(COUNTIFS(INDEX(tItens[Edital],1):tItens[[#This Row],[Edital]],tItens[[#This Row],[Edital]],INDEX(tItens[Produto],1):tItens[[#This Row],[Produto]],tItens[[#This Row],[Produto]])=1,1,0)</f>
        <v>1</v>
      </c>
    </row>
    <row r="1217" spans="1:16" x14ac:dyDescent="0.25">
      <c r="A1217" t="s">
        <v>1124</v>
      </c>
      <c r="B1217">
        <v>2</v>
      </c>
      <c r="C1217" t="s">
        <v>4289</v>
      </c>
      <c r="D1217" t="s">
        <v>229</v>
      </c>
      <c r="E1217" s="13">
        <v>67530</v>
      </c>
      <c r="F1217" s="12">
        <v>14.67</v>
      </c>
      <c r="G1217" t="str">
        <f>IFERROR(INDEX(tEditais[Órgão],MATCH(tItens[[#This Row],[Edital]],tEditais[Edital],0)),"")</f>
        <v>FUNDACAO ESTADUAL DE  INOVACAO EM SAUDE - INOVA CAPIXABA</v>
      </c>
      <c r="H1217" t="str">
        <f>IFERROR(INDEX(tEditais[UF],MATCH(tItens[[#This Row],[Edital]],tEditais[Edital],0)),"")</f>
        <v>ES</v>
      </c>
      <c r="I1217" s="11">
        <f>IFERROR(INDEX(tEditais[Encerramento],MATCH(tItens[[#This Row],[Edital]],tEditais[Edital],0)),"")</f>
        <v>46310.625</v>
      </c>
      <c r="J1217" t="str">
        <f>IFERROR(INDEX(tProdutos[Classe],MATCH(tItens[[#This Row],[Produto]],tProdutos[Produto],0)),"produto não cadastrado")</f>
        <v>FORA</v>
      </c>
      <c r="K1217" s="12">
        <f>tItens[[#This Row],[Qtd]]*tItens[[#This Row],[Vlr unit]]</f>
        <v>990665.1</v>
      </c>
      <c r="L1217" s="6">
        <f>IFERROR(IF(INDEX(tProdutos[Desconto homologado],MATCH(tItens[[#This Row],[Produto]],tProdutos[Produto],0))="",DescontoPadrao,INDEX(tProdutos[Desconto homologado],MATCH(tItens[[#This Row],[Produto]],tProdutos[Produto],0))),DescontoPadrao)</f>
        <v>0.33093491191658198</v>
      </c>
      <c r="M1217" s="12">
        <f>tItens[[#This Row],[Valor]]*(1-tItens[[#This Row],[Desconto]])</f>
        <v>662819.4323926681</v>
      </c>
      <c r="N1217" t="str">
        <f>IFERROR(INDEX(tProdutos[Foco],MATCH(tItens[[#This Row],[Produto]],tProdutos[Produto],0)),"Não")</f>
        <v>Não</v>
      </c>
      <c r="O1217" t="str">
        <f>IFERROR(INDEX(tEditais[SRP],MATCH(tItens[[#This Row],[Edital]],tEditais[Edital],0)),"Não")</f>
        <v>Sim</v>
      </c>
      <c r="P1217" s="4">
        <f>IF(COUNTIFS(INDEX(tItens[Edital],1):tItens[[#This Row],[Edital]],tItens[[#This Row],[Edital]],INDEX(tItens[Produto],1):tItens[[#This Row],[Produto]],tItens[[#This Row],[Produto]])=1,1,0)</f>
        <v>0</v>
      </c>
    </row>
    <row r="1218" spans="1:16" x14ac:dyDescent="0.25">
      <c r="A1218" t="s">
        <v>1124</v>
      </c>
      <c r="B1218">
        <v>3</v>
      </c>
      <c r="C1218" t="s">
        <v>4290</v>
      </c>
      <c r="D1218" t="s">
        <v>229</v>
      </c>
      <c r="E1218" s="13">
        <v>19800</v>
      </c>
      <c r="F1218" s="12">
        <v>24</v>
      </c>
      <c r="G1218" t="str">
        <f>IFERROR(INDEX(tEditais[Órgão],MATCH(tItens[[#This Row],[Edital]],tEditais[Edital],0)),"")</f>
        <v>FUNDACAO ESTADUAL DE  INOVACAO EM SAUDE - INOVA CAPIXABA</v>
      </c>
      <c r="H1218" t="str">
        <f>IFERROR(INDEX(tEditais[UF],MATCH(tItens[[#This Row],[Edital]],tEditais[Edital],0)),"")</f>
        <v>ES</v>
      </c>
      <c r="I1218" s="11">
        <f>IFERROR(INDEX(tEditais[Encerramento],MATCH(tItens[[#This Row],[Edital]],tEditais[Edital],0)),"")</f>
        <v>46310.625</v>
      </c>
      <c r="J1218" t="str">
        <f>IFERROR(INDEX(tProdutos[Classe],MATCH(tItens[[#This Row],[Produto]],tProdutos[Produto],0)),"produto não cadastrado")</f>
        <v>FORA</v>
      </c>
      <c r="K1218" s="12">
        <f>tItens[[#This Row],[Qtd]]*tItens[[#This Row],[Vlr unit]]</f>
        <v>475200</v>
      </c>
      <c r="L1218" s="6">
        <f>IFERROR(IF(INDEX(tProdutos[Desconto homologado],MATCH(tItens[[#This Row],[Produto]],tProdutos[Produto],0))="",DescontoPadrao,INDEX(tProdutos[Desconto homologado],MATCH(tItens[[#This Row],[Produto]],tProdutos[Produto],0))),DescontoPadrao)</f>
        <v>0.33093491191658198</v>
      </c>
      <c r="M1218" s="12">
        <f>tItens[[#This Row],[Valor]]*(1-tItens[[#This Row],[Desconto]])</f>
        <v>317939.72985724022</v>
      </c>
      <c r="N1218" t="str">
        <f>IFERROR(INDEX(tProdutos[Foco],MATCH(tItens[[#This Row],[Produto]],tProdutos[Produto],0)),"Não")</f>
        <v>Não</v>
      </c>
      <c r="O1218" t="str">
        <f>IFERROR(INDEX(tEditais[SRP],MATCH(tItens[[#This Row],[Edital]],tEditais[Edital],0)),"Não")</f>
        <v>Sim</v>
      </c>
      <c r="P1218" s="4">
        <f>IF(COUNTIFS(INDEX(tItens[Edital],1):tItens[[#This Row],[Edital]],tItens[[#This Row],[Edital]],INDEX(tItens[Produto],1):tItens[[#This Row],[Produto]],tItens[[#This Row],[Produto]])=1,1,0)</f>
        <v>0</v>
      </c>
    </row>
    <row r="1219" spans="1:16" x14ac:dyDescent="0.25">
      <c r="A1219" t="s">
        <v>1129</v>
      </c>
      <c r="B1219">
        <v>70</v>
      </c>
      <c r="C1219" t="s">
        <v>4291</v>
      </c>
      <c r="D1219" t="s">
        <v>521</v>
      </c>
      <c r="E1219" s="13">
        <v>4</v>
      </c>
      <c r="F1219" s="12">
        <v>189.59</v>
      </c>
      <c r="G1219" t="str">
        <f>IFERROR(INDEX(tEditais[Órgão],MATCH(tItens[[#This Row],[Edital]],tEditais[Edital],0)),"")</f>
        <v>DIRETORIA DE SAUDE DA POLICIA MILITAR DO ESPIRITO SANTO</v>
      </c>
      <c r="H1219" t="str">
        <f>IFERROR(INDEX(tEditais[UF],MATCH(tItens[[#This Row],[Edital]],tEditais[Edital],0)),"")</f>
        <v>ES</v>
      </c>
      <c r="I1219" s="11">
        <f>IFERROR(INDEX(tEditais[Encerramento],MATCH(tItens[[#This Row],[Edital]],tEditais[Edital],0)),"")</f>
        <v>46311.333333333336</v>
      </c>
      <c r="J1219" t="str">
        <f>IFERROR(INDEX(tProdutos[Classe],MATCH(tItens[[#This Row],[Produto]],tProdutos[Produto],0)),"produto não cadastrado")</f>
        <v>FILA REBASE</v>
      </c>
      <c r="K1219" s="12">
        <f>tItens[[#This Row],[Qtd]]*tItens[[#This Row],[Vlr unit]]</f>
        <v>758.36</v>
      </c>
      <c r="L1219" s="6">
        <f>IFERROR(IF(INDEX(tProdutos[Desconto homologado],MATCH(tItens[[#This Row],[Produto]],tProdutos[Produto],0))="",DescontoPadrao,INDEX(tProdutos[Desconto homologado],MATCH(tItens[[#This Row],[Produto]],tProdutos[Produto],0))),DescontoPadrao)</f>
        <v>0.20254361398888801</v>
      </c>
      <c r="M1219" s="12">
        <f>tItens[[#This Row],[Valor]]*(1-tItens[[#This Row],[Desconto]])</f>
        <v>604.75902489538691</v>
      </c>
      <c r="N1219" t="str">
        <f>IFERROR(INDEX(tProdutos[Foco],MATCH(tItens[[#This Row],[Produto]],tProdutos[Produto],0)),"Não")</f>
        <v>Não</v>
      </c>
      <c r="O1219" t="str">
        <f>IFERROR(INDEX(tEditais[SRP],MATCH(tItens[[#This Row],[Edital]],tEditais[Edital],0)),"Não")</f>
        <v>Não</v>
      </c>
      <c r="P1219" s="4">
        <f>IF(COUNTIFS(INDEX(tItens[Edital],1):tItens[[#This Row],[Edital]],tItens[[#This Row],[Edital]],INDEX(tItens[Produto],1):tItens[[#This Row],[Produto]],tItens[[#This Row],[Produto]])=1,1,0)</f>
        <v>1</v>
      </c>
    </row>
    <row r="1220" spans="1:16" x14ac:dyDescent="0.25">
      <c r="A1220" t="s">
        <v>1129</v>
      </c>
      <c r="B1220">
        <v>80</v>
      </c>
      <c r="C1220" t="s">
        <v>4292</v>
      </c>
      <c r="D1220" t="s">
        <v>521</v>
      </c>
      <c r="E1220" s="13">
        <v>20</v>
      </c>
      <c r="F1220" s="12">
        <v>107.5</v>
      </c>
      <c r="G1220" t="str">
        <f>IFERROR(INDEX(tEditais[Órgão],MATCH(tItens[[#This Row],[Edital]],tEditais[Edital],0)),"")</f>
        <v>DIRETORIA DE SAUDE DA POLICIA MILITAR DO ESPIRITO SANTO</v>
      </c>
      <c r="H1220" t="str">
        <f>IFERROR(INDEX(tEditais[UF],MATCH(tItens[[#This Row],[Edital]],tEditais[Edital],0)),"")</f>
        <v>ES</v>
      </c>
      <c r="I1220" s="11">
        <f>IFERROR(INDEX(tEditais[Encerramento],MATCH(tItens[[#This Row],[Edital]],tEditais[Edital],0)),"")</f>
        <v>46311.333333333336</v>
      </c>
      <c r="J1220" t="str">
        <f>IFERROR(INDEX(tProdutos[Classe],MATCH(tItens[[#This Row],[Produto]],tProdutos[Produto],0)),"produto não cadastrado")</f>
        <v>FILA REBASE</v>
      </c>
      <c r="K1220" s="12">
        <f>tItens[[#This Row],[Qtd]]*tItens[[#This Row],[Vlr unit]]</f>
        <v>2150</v>
      </c>
      <c r="L1220" s="6">
        <f>IFERROR(IF(INDEX(tProdutos[Desconto homologado],MATCH(tItens[[#This Row],[Produto]],tProdutos[Produto],0))="",DescontoPadrao,INDEX(tProdutos[Desconto homologado],MATCH(tItens[[#This Row],[Produto]],tProdutos[Produto],0))),DescontoPadrao)</f>
        <v>0.20254361398888801</v>
      </c>
      <c r="M1220" s="12">
        <f>tItens[[#This Row],[Valor]]*(1-tItens[[#This Row],[Desconto]])</f>
        <v>1714.5312299238908</v>
      </c>
      <c r="N1220" t="str">
        <f>IFERROR(INDEX(tProdutos[Foco],MATCH(tItens[[#This Row],[Produto]],tProdutos[Produto],0)),"Não")</f>
        <v>Não</v>
      </c>
      <c r="O1220" t="str">
        <f>IFERROR(INDEX(tEditais[SRP],MATCH(tItens[[#This Row],[Edital]],tEditais[Edital],0)),"Não")</f>
        <v>Não</v>
      </c>
      <c r="P1220" s="4">
        <f>IF(COUNTIFS(INDEX(tItens[Edital],1):tItens[[#This Row],[Edital]],tItens[[#This Row],[Edital]],INDEX(tItens[Produto],1):tItens[[#This Row],[Produto]],tItens[[#This Row],[Produto]])=1,1,0)</f>
        <v>0</v>
      </c>
    </row>
    <row r="1221" spans="1:16" x14ac:dyDescent="0.25">
      <c r="A1221" t="s">
        <v>1132</v>
      </c>
      <c r="B1221">
        <v>7</v>
      </c>
      <c r="C1221" t="s">
        <v>4293</v>
      </c>
      <c r="D1221" t="s">
        <v>351</v>
      </c>
      <c r="E1221" s="13">
        <v>30000</v>
      </c>
      <c r="F1221" s="12">
        <v>0</v>
      </c>
      <c r="G1221" t="str">
        <f>IFERROR(INDEX(tEditais[Órgão],MATCH(tItens[[#This Row],[Edital]],tEditais[Edital],0)),"")</f>
        <v>FUNDO MUNICIPAL DE SAUDE IBATIBA</v>
      </c>
      <c r="H1221" t="str">
        <f>IFERROR(INDEX(tEditais[UF],MATCH(tItens[[#This Row],[Edital]],tEditais[Edital],0)),"")</f>
        <v>ES</v>
      </c>
      <c r="I1221" s="11">
        <f>IFERROR(INDEX(tEditais[Encerramento],MATCH(tItens[[#This Row],[Edital]],tEditais[Edital],0)),"")</f>
        <v>46311.375</v>
      </c>
      <c r="J1221" t="str">
        <f>IFERROR(INDEX(tProdutos[Classe],MATCH(tItens[[#This Row],[Produto]],tProdutos[Produto],0)),"produto não cadastrado")</f>
        <v>FORA</v>
      </c>
      <c r="K1221" s="12">
        <f>tItens[[#This Row],[Qtd]]*tItens[[#This Row],[Vlr unit]]</f>
        <v>0</v>
      </c>
      <c r="L1221" s="6">
        <f>IFERROR(IF(INDEX(tProdutos[Desconto homologado],MATCH(tItens[[#This Row],[Produto]],tProdutos[Produto],0))="",DescontoPadrao,INDEX(tProdutos[Desconto homologado],MATCH(tItens[[#This Row],[Produto]],tProdutos[Produto],0))),DescontoPadrao)</f>
        <v>0.33518005540166201</v>
      </c>
      <c r="M1221" s="12">
        <f>tItens[[#This Row],[Valor]]*(1-tItens[[#This Row],[Desconto]])</f>
        <v>0</v>
      </c>
      <c r="N1221" t="str">
        <f>IFERROR(INDEX(tProdutos[Foco],MATCH(tItens[[#This Row],[Produto]],tProdutos[Produto],0)),"Não")</f>
        <v>Não</v>
      </c>
      <c r="O1221" t="str">
        <f>IFERROR(INDEX(tEditais[SRP],MATCH(tItens[[#This Row],[Edital]],tEditais[Edital],0)),"Não")</f>
        <v>Sim</v>
      </c>
      <c r="P1221" s="4">
        <f>IF(COUNTIFS(INDEX(tItens[Edital],1):tItens[[#This Row],[Edital]],tItens[[#This Row],[Edital]],INDEX(tItens[Produto],1):tItens[[#This Row],[Produto]],tItens[[#This Row],[Produto]])=1,1,0)</f>
        <v>1</v>
      </c>
    </row>
    <row r="1222" spans="1:16" x14ac:dyDescent="0.25">
      <c r="A1222" t="s">
        <v>1132</v>
      </c>
      <c r="B1222">
        <v>8</v>
      </c>
      <c r="C1222" t="s">
        <v>4294</v>
      </c>
      <c r="D1222" t="s">
        <v>351</v>
      </c>
      <c r="E1222" s="13">
        <v>30000</v>
      </c>
      <c r="F1222" s="12">
        <v>0</v>
      </c>
      <c r="G1222" t="str">
        <f>IFERROR(INDEX(tEditais[Órgão],MATCH(tItens[[#This Row],[Edital]],tEditais[Edital],0)),"")</f>
        <v>FUNDO MUNICIPAL DE SAUDE IBATIBA</v>
      </c>
      <c r="H1222" t="str">
        <f>IFERROR(INDEX(tEditais[UF],MATCH(tItens[[#This Row],[Edital]],tEditais[Edital],0)),"")</f>
        <v>ES</v>
      </c>
      <c r="I1222" s="11">
        <f>IFERROR(INDEX(tEditais[Encerramento],MATCH(tItens[[#This Row],[Edital]],tEditais[Edital],0)),"")</f>
        <v>46311.375</v>
      </c>
      <c r="J1222" t="str">
        <f>IFERROR(INDEX(tProdutos[Classe],MATCH(tItens[[#This Row],[Produto]],tProdutos[Produto],0)),"produto não cadastrado")</f>
        <v>FORA</v>
      </c>
      <c r="K1222" s="12">
        <f>tItens[[#This Row],[Qtd]]*tItens[[#This Row],[Vlr unit]]</f>
        <v>0</v>
      </c>
      <c r="L1222" s="6">
        <f>IFERROR(IF(INDEX(tProdutos[Desconto homologado],MATCH(tItens[[#This Row],[Produto]],tProdutos[Produto],0))="",DescontoPadrao,INDEX(tProdutos[Desconto homologado],MATCH(tItens[[#This Row],[Produto]],tProdutos[Produto],0))),DescontoPadrao)</f>
        <v>0.33518005540166201</v>
      </c>
      <c r="M1222" s="12">
        <f>tItens[[#This Row],[Valor]]*(1-tItens[[#This Row],[Desconto]])</f>
        <v>0</v>
      </c>
      <c r="N1222" t="str">
        <f>IFERROR(INDEX(tProdutos[Foco],MATCH(tItens[[#This Row],[Produto]],tProdutos[Produto],0)),"Não")</f>
        <v>Não</v>
      </c>
      <c r="O1222" t="str">
        <f>IFERROR(INDEX(tEditais[SRP],MATCH(tItens[[#This Row],[Edital]],tEditais[Edital],0)),"Não")</f>
        <v>Sim</v>
      </c>
      <c r="P1222" s="4">
        <f>IF(COUNTIFS(INDEX(tItens[Edital],1):tItens[[#This Row],[Edital]],tItens[[#This Row],[Edital]],INDEX(tItens[Produto],1):tItens[[#This Row],[Produto]],tItens[[#This Row],[Produto]])=1,1,0)</f>
        <v>0</v>
      </c>
    </row>
    <row r="1223" spans="1:16" x14ac:dyDescent="0.25">
      <c r="A1223" t="s">
        <v>1132</v>
      </c>
      <c r="B1223">
        <v>9</v>
      </c>
      <c r="C1223" t="s">
        <v>4295</v>
      </c>
      <c r="D1223" t="s">
        <v>351</v>
      </c>
      <c r="E1223" s="13">
        <v>30000</v>
      </c>
      <c r="F1223" s="12">
        <v>0</v>
      </c>
      <c r="G1223" t="str">
        <f>IFERROR(INDEX(tEditais[Órgão],MATCH(tItens[[#This Row],[Edital]],tEditais[Edital],0)),"")</f>
        <v>FUNDO MUNICIPAL DE SAUDE IBATIBA</v>
      </c>
      <c r="H1223" t="str">
        <f>IFERROR(INDEX(tEditais[UF],MATCH(tItens[[#This Row],[Edital]],tEditais[Edital],0)),"")</f>
        <v>ES</v>
      </c>
      <c r="I1223" s="11">
        <f>IFERROR(INDEX(tEditais[Encerramento],MATCH(tItens[[#This Row],[Edital]],tEditais[Edital],0)),"")</f>
        <v>46311.375</v>
      </c>
      <c r="J1223" t="str">
        <f>IFERROR(INDEX(tProdutos[Classe],MATCH(tItens[[#This Row],[Produto]],tProdutos[Produto],0)),"produto não cadastrado")</f>
        <v>FORA</v>
      </c>
      <c r="K1223" s="12">
        <f>tItens[[#This Row],[Qtd]]*tItens[[#This Row],[Vlr unit]]</f>
        <v>0</v>
      </c>
      <c r="L1223" s="6">
        <f>IFERROR(IF(INDEX(tProdutos[Desconto homologado],MATCH(tItens[[#This Row],[Produto]],tProdutos[Produto],0))="",DescontoPadrao,INDEX(tProdutos[Desconto homologado],MATCH(tItens[[#This Row],[Produto]],tProdutos[Produto],0))),DescontoPadrao)</f>
        <v>0.33518005540166201</v>
      </c>
      <c r="M1223" s="12">
        <f>tItens[[#This Row],[Valor]]*(1-tItens[[#This Row],[Desconto]])</f>
        <v>0</v>
      </c>
      <c r="N1223" t="str">
        <f>IFERROR(INDEX(tProdutos[Foco],MATCH(tItens[[#This Row],[Produto]],tProdutos[Produto],0)),"Não")</f>
        <v>Não</v>
      </c>
      <c r="O1223" t="str">
        <f>IFERROR(INDEX(tEditais[SRP],MATCH(tItens[[#This Row],[Edital]],tEditais[Edital],0)),"Não")</f>
        <v>Sim</v>
      </c>
      <c r="P1223" s="4">
        <f>IF(COUNTIFS(INDEX(tItens[Edital],1):tItens[[#This Row],[Edital]],tItens[[#This Row],[Edital]],INDEX(tItens[Produto],1):tItens[[#This Row],[Produto]],tItens[[#This Row],[Produto]])=1,1,0)</f>
        <v>0</v>
      </c>
    </row>
    <row r="1224" spans="1:16" x14ac:dyDescent="0.25">
      <c r="A1224" t="s">
        <v>1132</v>
      </c>
      <c r="B1224">
        <v>10</v>
      </c>
      <c r="C1224" t="s">
        <v>4296</v>
      </c>
      <c r="D1224" t="s">
        <v>351</v>
      </c>
      <c r="E1224" s="13">
        <v>30000</v>
      </c>
      <c r="F1224" s="12">
        <v>0</v>
      </c>
      <c r="G1224" t="str">
        <f>IFERROR(INDEX(tEditais[Órgão],MATCH(tItens[[#This Row],[Edital]],tEditais[Edital],0)),"")</f>
        <v>FUNDO MUNICIPAL DE SAUDE IBATIBA</v>
      </c>
      <c r="H1224" t="str">
        <f>IFERROR(INDEX(tEditais[UF],MATCH(tItens[[#This Row],[Edital]],tEditais[Edital],0)),"")</f>
        <v>ES</v>
      </c>
      <c r="I1224" s="11">
        <f>IFERROR(INDEX(tEditais[Encerramento],MATCH(tItens[[#This Row],[Edital]],tEditais[Edital],0)),"")</f>
        <v>46311.375</v>
      </c>
      <c r="J1224" t="str">
        <f>IFERROR(INDEX(tProdutos[Classe],MATCH(tItens[[#This Row],[Produto]],tProdutos[Produto],0)),"produto não cadastrado")</f>
        <v>FORA</v>
      </c>
      <c r="K1224" s="12">
        <f>tItens[[#This Row],[Qtd]]*tItens[[#This Row],[Vlr unit]]</f>
        <v>0</v>
      </c>
      <c r="L1224" s="6">
        <f>IFERROR(IF(INDEX(tProdutos[Desconto homologado],MATCH(tItens[[#This Row],[Produto]],tProdutos[Produto],0))="",DescontoPadrao,INDEX(tProdutos[Desconto homologado],MATCH(tItens[[#This Row],[Produto]],tProdutos[Produto],0))),DescontoPadrao)</f>
        <v>0.33518005540166201</v>
      </c>
      <c r="M1224" s="12">
        <f>tItens[[#This Row],[Valor]]*(1-tItens[[#This Row],[Desconto]])</f>
        <v>0</v>
      </c>
      <c r="N1224" t="str">
        <f>IFERROR(INDEX(tProdutos[Foco],MATCH(tItens[[#This Row],[Produto]],tProdutos[Produto],0)),"Não")</f>
        <v>Não</v>
      </c>
      <c r="O1224" t="str">
        <f>IFERROR(INDEX(tEditais[SRP],MATCH(tItens[[#This Row],[Edital]],tEditais[Edital],0)),"Não")</f>
        <v>Sim</v>
      </c>
      <c r="P1224" s="4">
        <f>IF(COUNTIFS(INDEX(tItens[Edital],1):tItens[[#This Row],[Edital]],tItens[[#This Row],[Edital]],INDEX(tItens[Produto],1):tItens[[#This Row],[Produto]],tItens[[#This Row],[Produto]])=1,1,0)</f>
        <v>0</v>
      </c>
    </row>
    <row r="1225" spans="1:16" x14ac:dyDescent="0.25">
      <c r="A1225" t="s">
        <v>1132</v>
      </c>
      <c r="B1225">
        <v>11</v>
      </c>
      <c r="C1225" t="s">
        <v>4297</v>
      </c>
      <c r="D1225" t="s">
        <v>351</v>
      </c>
      <c r="E1225" s="13">
        <v>30000</v>
      </c>
      <c r="F1225" s="12">
        <v>0</v>
      </c>
      <c r="G1225" t="str">
        <f>IFERROR(INDEX(tEditais[Órgão],MATCH(tItens[[#This Row],[Edital]],tEditais[Edital],0)),"")</f>
        <v>FUNDO MUNICIPAL DE SAUDE IBATIBA</v>
      </c>
      <c r="H1225" t="str">
        <f>IFERROR(INDEX(tEditais[UF],MATCH(tItens[[#This Row],[Edital]],tEditais[Edital],0)),"")</f>
        <v>ES</v>
      </c>
      <c r="I1225" s="11">
        <f>IFERROR(INDEX(tEditais[Encerramento],MATCH(tItens[[#This Row],[Edital]],tEditais[Edital],0)),"")</f>
        <v>46311.375</v>
      </c>
      <c r="J1225" t="str">
        <f>IFERROR(INDEX(tProdutos[Classe],MATCH(tItens[[#This Row],[Produto]],tProdutos[Produto],0)),"produto não cadastrado")</f>
        <v>FORA</v>
      </c>
      <c r="K1225" s="12">
        <f>tItens[[#This Row],[Qtd]]*tItens[[#This Row],[Vlr unit]]</f>
        <v>0</v>
      </c>
      <c r="L1225" s="6">
        <f>IFERROR(IF(INDEX(tProdutos[Desconto homologado],MATCH(tItens[[#This Row],[Produto]],tProdutos[Produto],0))="",DescontoPadrao,INDEX(tProdutos[Desconto homologado],MATCH(tItens[[#This Row],[Produto]],tProdutos[Produto],0))),DescontoPadrao)</f>
        <v>0.33518005540166201</v>
      </c>
      <c r="M1225" s="12">
        <f>tItens[[#This Row],[Valor]]*(1-tItens[[#This Row],[Desconto]])</f>
        <v>0</v>
      </c>
      <c r="N1225" t="str">
        <f>IFERROR(INDEX(tProdutos[Foco],MATCH(tItens[[#This Row],[Produto]],tProdutos[Produto],0)),"Não")</f>
        <v>Não</v>
      </c>
      <c r="O1225" t="str">
        <f>IFERROR(INDEX(tEditais[SRP],MATCH(tItens[[#This Row],[Edital]],tEditais[Edital],0)),"Não")</f>
        <v>Sim</v>
      </c>
      <c r="P1225" s="4">
        <f>IF(COUNTIFS(INDEX(tItens[Edital],1):tItens[[#This Row],[Edital]],tItens[[#This Row],[Edital]],INDEX(tItens[Produto],1):tItens[[#This Row],[Produto]],tItens[[#This Row],[Produto]])=1,1,0)</f>
        <v>0</v>
      </c>
    </row>
    <row r="1226" spans="1:16" x14ac:dyDescent="0.25">
      <c r="A1226" t="s">
        <v>1132</v>
      </c>
      <c r="B1226">
        <v>14</v>
      </c>
      <c r="C1226" t="s">
        <v>4298</v>
      </c>
      <c r="D1226" t="s">
        <v>641</v>
      </c>
      <c r="E1226" s="13">
        <v>20</v>
      </c>
      <c r="F1226" s="12">
        <v>0</v>
      </c>
      <c r="G1226" t="str">
        <f>IFERROR(INDEX(tEditais[Órgão],MATCH(tItens[[#This Row],[Edital]],tEditais[Edital],0)),"")</f>
        <v>FUNDO MUNICIPAL DE SAUDE IBATIBA</v>
      </c>
      <c r="H1226" t="str">
        <f>IFERROR(INDEX(tEditais[UF],MATCH(tItens[[#This Row],[Edital]],tEditais[Edital],0)),"")</f>
        <v>ES</v>
      </c>
      <c r="I1226" s="11">
        <f>IFERROR(INDEX(tEditais[Encerramento],MATCH(tItens[[#This Row],[Edital]],tEditais[Edital],0)),"")</f>
        <v>46311.375</v>
      </c>
      <c r="J1226" t="str">
        <f>IFERROR(INDEX(tProdutos[Classe],MATCH(tItens[[#This Row],[Produto]],tProdutos[Produto],0)),"produto não cadastrado")</f>
        <v>FILA REBASE</v>
      </c>
      <c r="K1226" s="12">
        <f>tItens[[#This Row],[Qtd]]*tItens[[#This Row],[Vlr unit]]</f>
        <v>0</v>
      </c>
      <c r="L1226" s="6">
        <f>IFERROR(IF(INDEX(tProdutos[Desconto homologado],MATCH(tItens[[#This Row],[Produto]],tProdutos[Produto],0))="",DescontoPadrao,INDEX(tProdutos[Desconto homologado],MATCH(tItens[[#This Row],[Produto]],tProdutos[Produto],0))),DescontoPadrao)</f>
        <v>0.3</v>
      </c>
      <c r="M1226" s="12">
        <f>tItens[[#This Row],[Valor]]*(1-tItens[[#This Row],[Desconto]])</f>
        <v>0</v>
      </c>
      <c r="N1226" t="str">
        <f>IFERROR(INDEX(tProdutos[Foco],MATCH(tItens[[#This Row],[Produto]],tProdutos[Produto],0)),"Não")</f>
        <v>Não</v>
      </c>
      <c r="O1226" t="str">
        <f>IFERROR(INDEX(tEditais[SRP],MATCH(tItens[[#This Row],[Edital]],tEditais[Edital],0)),"Não")</f>
        <v>Sim</v>
      </c>
      <c r="P1226" s="4">
        <f>IF(COUNTIFS(INDEX(tItens[Edital],1):tItens[[#This Row],[Edital]],tItens[[#This Row],[Edital]],INDEX(tItens[Produto],1):tItens[[#This Row],[Produto]],tItens[[#This Row],[Produto]])=1,1,0)</f>
        <v>1</v>
      </c>
    </row>
    <row r="1227" spans="1:16" x14ac:dyDescent="0.25">
      <c r="A1227" t="s">
        <v>1132</v>
      </c>
      <c r="B1227">
        <v>15</v>
      </c>
      <c r="C1227" t="s">
        <v>4299</v>
      </c>
      <c r="D1227" t="s">
        <v>144</v>
      </c>
      <c r="E1227" s="13">
        <v>1500</v>
      </c>
      <c r="F1227" s="12">
        <v>0</v>
      </c>
      <c r="G1227" t="str">
        <f>IFERROR(INDEX(tEditais[Órgão],MATCH(tItens[[#This Row],[Edital]],tEditais[Edital],0)),"")</f>
        <v>FUNDO MUNICIPAL DE SAUDE IBATIBA</v>
      </c>
      <c r="H1227" t="str">
        <f>IFERROR(INDEX(tEditais[UF],MATCH(tItens[[#This Row],[Edital]],tEditais[Edital],0)),"")</f>
        <v>ES</v>
      </c>
      <c r="I1227" s="11">
        <f>IFERROR(INDEX(tEditais[Encerramento],MATCH(tItens[[#This Row],[Edital]],tEditais[Edital],0)),"")</f>
        <v>46311.375</v>
      </c>
      <c r="J1227" t="str">
        <f>IFERROR(INDEX(tProdutos[Classe],MATCH(tItens[[#This Row],[Produto]],tProdutos[Produto],0)),"produto não cadastrado")</f>
        <v>DISPUTADO</v>
      </c>
      <c r="K1227" s="12">
        <f>tItens[[#This Row],[Qtd]]*tItens[[#This Row],[Vlr unit]]</f>
        <v>0</v>
      </c>
      <c r="L1227" s="6">
        <f>IFERROR(IF(INDEX(tProdutos[Desconto homologado],MATCH(tItens[[#This Row],[Produto]],tProdutos[Produto],0))="",DescontoPadrao,INDEX(tProdutos[Desconto homologado],MATCH(tItens[[#This Row],[Produto]],tProdutos[Produto],0))),DescontoPadrao)</f>
        <v>0.371428571428571</v>
      </c>
      <c r="M1227" s="12">
        <f>tItens[[#This Row],[Valor]]*(1-tItens[[#This Row],[Desconto]])</f>
        <v>0</v>
      </c>
      <c r="N1227" t="str">
        <f>IFERROR(INDEX(tProdutos[Foco],MATCH(tItens[[#This Row],[Produto]],tProdutos[Produto],0)),"Não")</f>
        <v>Não</v>
      </c>
      <c r="O1227" t="str">
        <f>IFERROR(INDEX(tEditais[SRP],MATCH(tItens[[#This Row],[Edital]],tEditais[Edital],0)),"Não")</f>
        <v>Sim</v>
      </c>
      <c r="P1227" s="4">
        <f>IF(COUNTIFS(INDEX(tItens[Edital],1):tItens[[#This Row],[Edital]],tItens[[#This Row],[Edital]],INDEX(tItens[Produto],1):tItens[[#This Row],[Produto]],tItens[[#This Row],[Produto]])=1,1,0)</f>
        <v>1</v>
      </c>
    </row>
    <row r="1228" spans="1:16" x14ac:dyDescent="0.25">
      <c r="A1228" t="s">
        <v>1132</v>
      </c>
      <c r="B1228">
        <v>16</v>
      </c>
      <c r="C1228" t="s">
        <v>4300</v>
      </c>
      <c r="D1228" t="s">
        <v>90</v>
      </c>
      <c r="E1228" s="13">
        <v>400</v>
      </c>
      <c r="F1228" s="12">
        <v>0</v>
      </c>
      <c r="G1228" t="str">
        <f>IFERROR(INDEX(tEditais[Órgão],MATCH(tItens[[#This Row],[Edital]],tEditais[Edital],0)),"")</f>
        <v>FUNDO MUNICIPAL DE SAUDE IBATIBA</v>
      </c>
      <c r="H1228" t="str">
        <f>IFERROR(INDEX(tEditais[UF],MATCH(tItens[[#This Row],[Edital]],tEditais[Edital],0)),"")</f>
        <v>ES</v>
      </c>
      <c r="I1228" s="11">
        <f>IFERROR(INDEX(tEditais[Encerramento],MATCH(tItens[[#This Row],[Edital]],tEditais[Edital],0)),"")</f>
        <v>46311.375</v>
      </c>
      <c r="J1228" t="str">
        <f>IFERROR(INDEX(tProdutos[Classe],MATCH(tItens[[#This Row],[Produto]],tProdutos[Produto],0)),"produto não cadastrado")</f>
        <v>DISPUTADO</v>
      </c>
      <c r="K1228" s="12">
        <f>tItens[[#This Row],[Qtd]]*tItens[[#This Row],[Vlr unit]]</f>
        <v>0</v>
      </c>
      <c r="L1228" s="6">
        <f>IFERROR(IF(INDEX(tProdutos[Desconto homologado],MATCH(tItens[[#This Row],[Produto]],tProdutos[Produto],0))="",DescontoPadrao,INDEX(tProdutos[Desconto homologado],MATCH(tItens[[#This Row],[Produto]],tProdutos[Produto],0))),DescontoPadrao)</f>
        <v>0.25393823957010597</v>
      </c>
      <c r="M1228" s="12">
        <f>tItens[[#This Row],[Valor]]*(1-tItens[[#This Row],[Desconto]])</f>
        <v>0</v>
      </c>
      <c r="N1228" t="str">
        <f>IFERROR(INDEX(tProdutos[Foco],MATCH(tItens[[#This Row],[Produto]],tProdutos[Produto],0)),"Não")</f>
        <v>Não</v>
      </c>
      <c r="O1228" t="str">
        <f>IFERROR(INDEX(tEditais[SRP],MATCH(tItens[[#This Row],[Edital]],tEditais[Edital],0)),"Não")</f>
        <v>Sim</v>
      </c>
      <c r="P1228" s="4">
        <f>IF(COUNTIFS(INDEX(tItens[Edital],1):tItens[[#This Row],[Edital]],tItens[[#This Row],[Edital]],INDEX(tItens[Produto],1):tItens[[#This Row],[Produto]],tItens[[#This Row],[Produto]])=1,1,0)</f>
        <v>1</v>
      </c>
    </row>
    <row r="1229" spans="1:16" x14ac:dyDescent="0.25">
      <c r="A1229" t="s">
        <v>1132</v>
      </c>
      <c r="B1229">
        <v>17</v>
      </c>
      <c r="C1229" t="s">
        <v>4301</v>
      </c>
      <c r="D1229" t="s">
        <v>154</v>
      </c>
      <c r="E1229" s="13">
        <v>300</v>
      </c>
      <c r="F1229" s="12">
        <v>0</v>
      </c>
      <c r="G1229" t="str">
        <f>IFERROR(INDEX(tEditais[Órgão],MATCH(tItens[[#This Row],[Edital]],tEditais[Edital],0)),"")</f>
        <v>FUNDO MUNICIPAL DE SAUDE IBATIBA</v>
      </c>
      <c r="H1229" t="str">
        <f>IFERROR(INDEX(tEditais[UF],MATCH(tItens[[#This Row],[Edital]],tEditais[Edital],0)),"")</f>
        <v>ES</v>
      </c>
      <c r="I1229" s="11">
        <f>IFERROR(INDEX(tEditais[Encerramento],MATCH(tItens[[#This Row],[Edital]],tEditais[Edital],0)),"")</f>
        <v>46311.375</v>
      </c>
      <c r="J1229" t="str">
        <f>IFERROR(INDEX(tProdutos[Classe],MATCH(tItens[[#This Row],[Produto]],tProdutos[Produto],0)),"produto não cadastrado")</f>
        <v>DISPUTADO</v>
      </c>
      <c r="K1229" s="12">
        <f>tItens[[#This Row],[Qtd]]*tItens[[#This Row],[Vlr unit]]</f>
        <v>0</v>
      </c>
      <c r="L1229" s="6">
        <f>IFERROR(IF(INDEX(tProdutos[Desconto homologado],MATCH(tItens[[#This Row],[Produto]],tProdutos[Produto],0))="",DescontoPadrao,INDEX(tProdutos[Desconto homologado],MATCH(tItens[[#This Row],[Produto]],tProdutos[Produto],0))),DescontoPadrao)</f>
        <v>0.48690097134476601</v>
      </c>
      <c r="M1229" s="12">
        <f>tItens[[#This Row],[Valor]]*(1-tItens[[#This Row],[Desconto]])</f>
        <v>0</v>
      </c>
      <c r="N1229" t="str">
        <f>IFERROR(INDEX(tProdutos[Foco],MATCH(tItens[[#This Row],[Produto]],tProdutos[Produto],0)),"Não")</f>
        <v>Não</v>
      </c>
      <c r="O1229" t="str">
        <f>IFERROR(INDEX(tEditais[SRP],MATCH(tItens[[#This Row],[Edital]],tEditais[Edital],0)),"Não")</f>
        <v>Sim</v>
      </c>
      <c r="P1229" s="4">
        <f>IF(COUNTIFS(INDEX(tItens[Edital],1):tItens[[#This Row],[Edital]],tItens[[#This Row],[Edital]],INDEX(tItens[Produto],1):tItens[[#This Row],[Produto]],tItens[[#This Row],[Produto]])=1,1,0)</f>
        <v>1</v>
      </c>
    </row>
    <row r="1230" spans="1:16" x14ac:dyDescent="0.25">
      <c r="A1230" t="s">
        <v>1132</v>
      </c>
      <c r="B1230">
        <v>21</v>
      </c>
      <c r="C1230" t="s">
        <v>4302</v>
      </c>
      <c r="D1230" t="s">
        <v>383</v>
      </c>
      <c r="E1230" s="13">
        <v>80000</v>
      </c>
      <c r="F1230" s="12">
        <v>0</v>
      </c>
      <c r="G1230" t="str">
        <f>IFERROR(INDEX(tEditais[Órgão],MATCH(tItens[[#This Row],[Edital]],tEditais[Edital],0)),"")</f>
        <v>FUNDO MUNICIPAL DE SAUDE IBATIBA</v>
      </c>
      <c r="H1230" t="str">
        <f>IFERROR(INDEX(tEditais[UF],MATCH(tItens[[#This Row],[Edital]],tEditais[Edital],0)),"")</f>
        <v>ES</v>
      </c>
      <c r="I1230" s="11">
        <f>IFERROR(INDEX(tEditais[Encerramento],MATCH(tItens[[#This Row],[Edital]],tEditais[Edital],0)),"")</f>
        <v>46311.375</v>
      </c>
      <c r="J1230" t="str">
        <f>IFERROR(INDEX(tProdutos[Classe],MATCH(tItens[[#This Row],[Produto]],tProdutos[Produto],0)),"produto não cadastrado")</f>
        <v>FORA</v>
      </c>
      <c r="K1230" s="12">
        <f>tItens[[#This Row],[Qtd]]*tItens[[#This Row],[Vlr unit]]</f>
        <v>0</v>
      </c>
      <c r="L1230" s="6">
        <f>IFERROR(IF(INDEX(tProdutos[Desconto homologado],MATCH(tItens[[#This Row],[Produto]],tProdutos[Produto],0))="",DescontoPadrao,INDEX(tProdutos[Desconto homologado],MATCH(tItens[[#This Row],[Produto]],tProdutos[Produto],0))),DescontoPadrao)</f>
        <v>0.48749999999999999</v>
      </c>
      <c r="M1230" s="12">
        <f>tItens[[#This Row],[Valor]]*(1-tItens[[#This Row],[Desconto]])</f>
        <v>0</v>
      </c>
      <c r="N1230" t="str">
        <f>IFERROR(INDEX(tProdutos[Foco],MATCH(tItens[[#This Row],[Produto]],tProdutos[Produto],0)),"Não")</f>
        <v>Não</v>
      </c>
      <c r="O1230" t="str">
        <f>IFERROR(INDEX(tEditais[SRP],MATCH(tItens[[#This Row],[Edital]],tEditais[Edital],0)),"Não")</f>
        <v>Sim</v>
      </c>
      <c r="P1230" s="4">
        <f>IF(COUNTIFS(INDEX(tItens[Edital],1):tItens[[#This Row],[Edital]],tItens[[#This Row],[Edital]],INDEX(tItens[Produto],1):tItens[[#This Row],[Produto]],tItens[[#This Row],[Produto]])=1,1,0)</f>
        <v>1</v>
      </c>
    </row>
    <row r="1231" spans="1:16" x14ac:dyDescent="0.25">
      <c r="A1231" t="s">
        <v>1132</v>
      </c>
      <c r="B1231">
        <v>26</v>
      </c>
      <c r="C1231" t="s">
        <v>4303</v>
      </c>
      <c r="D1231" t="s">
        <v>90</v>
      </c>
      <c r="E1231" s="13">
        <v>1000</v>
      </c>
      <c r="F1231" s="12">
        <v>0</v>
      </c>
      <c r="G1231" t="str">
        <f>IFERROR(INDEX(tEditais[Órgão],MATCH(tItens[[#This Row],[Edital]],tEditais[Edital],0)),"")</f>
        <v>FUNDO MUNICIPAL DE SAUDE IBATIBA</v>
      </c>
      <c r="H1231" t="str">
        <f>IFERROR(INDEX(tEditais[UF],MATCH(tItens[[#This Row],[Edital]],tEditais[Edital],0)),"")</f>
        <v>ES</v>
      </c>
      <c r="I1231" s="11">
        <f>IFERROR(INDEX(tEditais[Encerramento],MATCH(tItens[[#This Row],[Edital]],tEditais[Edital],0)),"")</f>
        <v>46311.375</v>
      </c>
      <c r="J1231" t="str">
        <f>IFERROR(INDEX(tProdutos[Classe],MATCH(tItens[[#This Row],[Produto]],tProdutos[Produto],0)),"produto não cadastrado")</f>
        <v>DISPUTADO</v>
      </c>
      <c r="K1231" s="12">
        <f>tItens[[#This Row],[Qtd]]*tItens[[#This Row],[Vlr unit]]</f>
        <v>0</v>
      </c>
      <c r="L1231" s="6">
        <f>IFERROR(IF(INDEX(tProdutos[Desconto homologado],MATCH(tItens[[#This Row],[Produto]],tProdutos[Produto],0))="",DescontoPadrao,INDEX(tProdutos[Desconto homologado],MATCH(tItens[[#This Row],[Produto]],tProdutos[Produto],0))),DescontoPadrao)</f>
        <v>0.25393823957010597</v>
      </c>
      <c r="M1231" s="12">
        <f>tItens[[#This Row],[Valor]]*(1-tItens[[#This Row],[Desconto]])</f>
        <v>0</v>
      </c>
      <c r="N1231" t="str">
        <f>IFERROR(INDEX(tProdutos[Foco],MATCH(tItens[[#This Row],[Produto]],tProdutos[Produto],0)),"Não")</f>
        <v>Não</v>
      </c>
      <c r="O1231" t="str">
        <f>IFERROR(INDEX(tEditais[SRP],MATCH(tItens[[#This Row],[Edital]],tEditais[Edital],0)),"Não")</f>
        <v>Sim</v>
      </c>
      <c r="P1231" s="4">
        <f>IF(COUNTIFS(INDEX(tItens[Edital],1):tItens[[#This Row],[Edital]],tItens[[#This Row],[Edital]],INDEX(tItens[Produto],1):tItens[[#This Row],[Produto]],tItens[[#This Row],[Produto]])=1,1,0)</f>
        <v>0</v>
      </c>
    </row>
    <row r="1232" spans="1:16" x14ac:dyDescent="0.25">
      <c r="A1232" t="s">
        <v>1132</v>
      </c>
      <c r="B1232">
        <v>34</v>
      </c>
      <c r="C1232" t="s">
        <v>4304</v>
      </c>
      <c r="D1232" t="s">
        <v>341</v>
      </c>
      <c r="E1232" s="13">
        <v>500</v>
      </c>
      <c r="F1232" s="12">
        <v>0</v>
      </c>
      <c r="G1232" t="str">
        <f>IFERROR(INDEX(tEditais[Órgão],MATCH(tItens[[#This Row],[Edital]],tEditais[Edital],0)),"")</f>
        <v>FUNDO MUNICIPAL DE SAUDE IBATIBA</v>
      </c>
      <c r="H1232" t="str">
        <f>IFERROR(INDEX(tEditais[UF],MATCH(tItens[[#This Row],[Edital]],tEditais[Edital],0)),"")</f>
        <v>ES</v>
      </c>
      <c r="I1232" s="11">
        <f>IFERROR(INDEX(tEditais[Encerramento],MATCH(tItens[[#This Row],[Edital]],tEditais[Edital],0)),"")</f>
        <v>46311.375</v>
      </c>
      <c r="J1232" t="str">
        <f>IFERROR(INDEX(tProdutos[Classe],MATCH(tItens[[#This Row],[Produto]],tProdutos[Produto],0)),"produto não cadastrado")</f>
        <v>FORA</v>
      </c>
      <c r="K1232" s="12">
        <f>tItens[[#This Row],[Qtd]]*tItens[[#This Row],[Vlr unit]]</f>
        <v>0</v>
      </c>
      <c r="L1232" s="6">
        <f>IFERROR(IF(INDEX(tProdutos[Desconto homologado],MATCH(tItens[[#This Row],[Produto]],tProdutos[Produto],0))="",DescontoPadrao,INDEX(tProdutos[Desconto homologado],MATCH(tItens[[#This Row],[Produto]],tProdutos[Produto],0))),DescontoPadrao)</f>
        <v>0.46918578497525898</v>
      </c>
      <c r="M1232" s="12">
        <f>tItens[[#This Row],[Valor]]*(1-tItens[[#This Row],[Desconto]])</f>
        <v>0</v>
      </c>
      <c r="N1232" t="str">
        <f>IFERROR(INDEX(tProdutos[Foco],MATCH(tItens[[#This Row],[Produto]],tProdutos[Produto],0)),"Não")</f>
        <v>Não</v>
      </c>
      <c r="O1232" t="str">
        <f>IFERROR(INDEX(tEditais[SRP],MATCH(tItens[[#This Row],[Edital]],tEditais[Edital],0)),"Não")</f>
        <v>Sim</v>
      </c>
      <c r="P1232" s="4">
        <f>IF(COUNTIFS(INDEX(tItens[Edital],1):tItens[[#This Row],[Edital]],tItens[[#This Row],[Edital]],INDEX(tItens[Produto],1):tItens[[#This Row],[Produto]],tItens[[#This Row],[Produto]])=1,1,0)</f>
        <v>1</v>
      </c>
    </row>
    <row r="1233" spans="1:16" x14ac:dyDescent="0.25">
      <c r="A1233" t="s">
        <v>1132</v>
      </c>
      <c r="B1233">
        <v>37</v>
      </c>
      <c r="C1233" t="s">
        <v>4305</v>
      </c>
      <c r="D1233" t="s">
        <v>56</v>
      </c>
      <c r="E1233" s="13">
        <v>70</v>
      </c>
      <c r="F1233" s="12">
        <v>0</v>
      </c>
      <c r="G1233" t="str">
        <f>IFERROR(INDEX(tEditais[Órgão],MATCH(tItens[[#This Row],[Edital]],tEditais[Edital],0)),"")</f>
        <v>FUNDO MUNICIPAL DE SAUDE IBATIBA</v>
      </c>
      <c r="H1233" t="str">
        <f>IFERROR(INDEX(tEditais[UF],MATCH(tItens[[#This Row],[Edital]],tEditais[Edital],0)),"")</f>
        <v>ES</v>
      </c>
      <c r="I1233" s="11">
        <f>IFERROR(INDEX(tEditais[Encerramento],MATCH(tItens[[#This Row],[Edital]],tEditais[Edital],0)),"")</f>
        <v>46311.375</v>
      </c>
      <c r="J1233" t="str">
        <f>IFERROR(INDEX(tProdutos[Classe],MATCH(tItens[[#This Row],[Produto]],tProdutos[Produto],0)),"produto não cadastrado")</f>
        <v>NÚCLEO</v>
      </c>
      <c r="K1233" s="12">
        <f>tItens[[#This Row],[Qtd]]*tItens[[#This Row],[Vlr unit]]</f>
        <v>0</v>
      </c>
      <c r="L1233" s="6">
        <f>IFERROR(IF(INDEX(tProdutos[Desconto homologado],MATCH(tItens[[#This Row],[Produto]],tProdutos[Produto],0))="",DescontoPadrao,INDEX(tProdutos[Desconto homologado],MATCH(tItens[[#This Row],[Produto]],tProdutos[Produto],0))),DescontoPadrao)</f>
        <v>0.34</v>
      </c>
      <c r="M1233" s="12">
        <f>tItens[[#This Row],[Valor]]*(1-tItens[[#This Row],[Desconto]])</f>
        <v>0</v>
      </c>
      <c r="N1233" t="str">
        <f>IFERROR(INDEX(tProdutos[Foco],MATCH(tItens[[#This Row],[Produto]],tProdutos[Produto],0)),"Não")</f>
        <v>Sim</v>
      </c>
      <c r="O1233" t="str">
        <f>IFERROR(INDEX(tEditais[SRP],MATCH(tItens[[#This Row],[Edital]],tEditais[Edital],0)),"Não")</f>
        <v>Sim</v>
      </c>
      <c r="P1233" s="4">
        <f>IF(COUNTIFS(INDEX(tItens[Edital],1):tItens[[#This Row],[Edital]],tItens[[#This Row],[Edital]],INDEX(tItens[Produto],1):tItens[[#This Row],[Produto]],tItens[[#This Row],[Produto]])=1,1,0)</f>
        <v>1</v>
      </c>
    </row>
    <row r="1234" spans="1:16" x14ac:dyDescent="0.25">
      <c r="A1234" t="s">
        <v>1132</v>
      </c>
      <c r="B1234">
        <v>38</v>
      </c>
      <c r="C1234" t="s">
        <v>4306</v>
      </c>
      <c r="D1234" t="s">
        <v>56</v>
      </c>
      <c r="E1234" s="13">
        <v>70</v>
      </c>
      <c r="F1234" s="12">
        <v>0</v>
      </c>
      <c r="G1234" t="str">
        <f>IFERROR(INDEX(tEditais[Órgão],MATCH(tItens[[#This Row],[Edital]],tEditais[Edital],0)),"")</f>
        <v>FUNDO MUNICIPAL DE SAUDE IBATIBA</v>
      </c>
      <c r="H1234" t="str">
        <f>IFERROR(INDEX(tEditais[UF],MATCH(tItens[[#This Row],[Edital]],tEditais[Edital],0)),"")</f>
        <v>ES</v>
      </c>
      <c r="I1234" s="11">
        <f>IFERROR(INDEX(tEditais[Encerramento],MATCH(tItens[[#This Row],[Edital]],tEditais[Edital],0)),"")</f>
        <v>46311.375</v>
      </c>
      <c r="J1234" t="str">
        <f>IFERROR(INDEX(tProdutos[Classe],MATCH(tItens[[#This Row],[Produto]],tProdutos[Produto],0)),"produto não cadastrado")</f>
        <v>NÚCLEO</v>
      </c>
      <c r="K1234" s="12">
        <f>tItens[[#This Row],[Qtd]]*tItens[[#This Row],[Vlr unit]]</f>
        <v>0</v>
      </c>
      <c r="L1234" s="6">
        <f>IFERROR(IF(INDEX(tProdutos[Desconto homologado],MATCH(tItens[[#This Row],[Produto]],tProdutos[Produto],0))="",DescontoPadrao,INDEX(tProdutos[Desconto homologado],MATCH(tItens[[#This Row],[Produto]],tProdutos[Produto],0))),DescontoPadrao)</f>
        <v>0.34</v>
      </c>
      <c r="M1234" s="12">
        <f>tItens[[#This Row],[Valor]]*(1-tItens[[#This Row],[Desconto]])</f>
        <v>0</v>
      </c>
      <c r="N1234" t="str">
        <f>IFERROR(INDEX(tProdutos[Foco],MATCH(tItens[[#This Row],[Produto]],tProdutos[Produto],0)),"Não")</f>
        <v>Sim</v>
      </c>
      <c r="O1234" t="str">
        <f>IFERROR(INDEX(tEditais[SRP],MATCH(tItens[[#This Row],[Edital]],tEditais[Edital],0)),"Não")</f>
        <v>Sim</v>
      </c>
      <c r="P1234" s="4">
        <f>IF(COUNTIFS(INDEX(tItens[Edital],1):tItens[[#This Row],[Edital]],tItens[[#This Row],[Edital]],INDEX(tItens[Produto],1):tItens[[#This Row],[Produto]],tItens[[#This Row],[Produto]])=1,1,0)</f>
        <v>0</v>
      </c>
    </row>
    <row r="1235" spans="1:16" x14ac:dyDescent="0.25">
      <c r="A1235" t="s">
        <v>1137</v>
      </c>
      <c r="B1235">
        <v>5</v>
      </c>
      <c r="C1235" t="s">
        <v>4307</v>
      </c>
      <c r="D1235" t="s">
        <v>90</v>
      </c>
      <c r="E1235" s="13">
        <v>2145</v>
      </c>
      <c r="F1235" s="12">
        <v>20.25</v>
      </c>
      <c r="G1235" t="str">
        <f>IFERROR(INDEX(tEditais[Órgão],MATCH(tItens[[#This Row],[Edital]],tEditais[Edital],0)),"")</f>
        <v>MUNICIPIO DE CARIACICA</v>
      </c>
      <c r="H1235" t="str">
        <f>IFERROR(INDEX(tEditais[UF],MATCH(tItens[[#This Row],[Edital]],tEditais[Edital],0)),"")</f>
        <v>ES</v>
      </c>
      <c r="I1235" s="11">
        <f>IFERROR(INDEX(tEditais[Encerramento],MATCH(tItens[[#This Row],[Edital]],tEditais[Edital],0)),"")</f>
        <v>46311.416666666664</v>
      </c>
      <c r="J1235" t="str">
        <f>IFERROR(INDEX(tProdutos[Classe],MATCH(tItens[[#This Row],[Produto]],tProdutos[Produto],0)),"produto não cadastrado")</f>
        <v>DISPUTADO</v>
      </c>
      <c r="K1235" s="12">
        <f>tItens[[#This Row],[Qtd]]*tItens[[#This Row],[Vlr unit]]</f>
        <v>43436.25</v>
      </c>
      <c r="L1235" s="6">
        <f>IFERROR(IF(INDEX(tProdutos[Desconto homologado],MATCH(tItens[[#This Row],[Produto]],tProdutos[Produto],0))="",DescontoPadrao,INDEX(tProdutos[Desconto homologado],MATCH(tItens[[#This Row],[Produto]],tProdutos[Produto],0))),DescontoPadrao)</f>
        <v>0.25393823957010597</v>
      </c>
      <c r="M1235" s="12">
        <f>tItens[[#This Row],[Valor]]*(1-tItens[[#This Row],[Desconto]])</f>
        <v>32406.125141472985</v>
      </c>
      <c r="N1235" t="str">
        <f>IFERROR(INDEX(tProdutos[Foco],MATCH(tItens[[#This Row],[Produto]],tProdutos[Produto],0)),"Não")</f>
        <v>Não</v>
      </c>
      <c r="O1235" t="str">
        <f>IFERROR(INDEX(tEditais[SRP],MATCH(tItens[[#This Row],[Edital]],tEditais[Edital],0)),"Não")</f>
        <v>Sim</v>
      </c>
      <c r="P1235" s="4">
        <f>IF(COUNTIFS(INDEX(tItens[Edital],1):tItens[[#This Row],[Edital]],tItens[[#This Row],[Edital]],INDEX(tItens[Produto],1):tItens[[#This Row],[Produto]],tItens[[#This Row],[Produto]])=1,1,0)</f>
        <v>1</v>
      </c>
    </row>
    <row r="1236" spans="1:16" x14ac:dyDescent="0.25">
      <c r="A1236" t="s">
        <v>1137</v>
      </c>
      <c r="B1236">
        <v>7</v>
      </c>
      <c r="C1236" t="s">
        <v>4308</v>
      </c>
      <c r="D1236" t="s">
        <v>154</v>
      </c>
      <c r="E1236" s="13">
        <v>468</v>
      </c>
      <c r="F1236" s="12">
        <v>50.59</v>
      </c>
      <c r="G1236" t="str">
        <f>IFERROR(INDEX(tEditais[Órgão],MATCH(tItens[[#This Row],[Edital]],tEditais[Edital],0)),"")</f>
        <v>MUNICIPIO DE CARIACICA</v>
      </c>
      <c r="H1236" t="str">
        <f>IFERROR(INDEX(tEditais[UF],MATCH(tItens[[#This Row],[Edital]],tEditais[Edital],0)),"")</f>
        <v>ES</v>
      </c>
      <c r="I1236" s="11">
        <f>IFERROR(INDEX(tEditais[Encerramento],MATCH(tItens[[#This Row],[Edital]],tEditais[Edital],0)),"")</f>
        <v>46311.416666666664</v>
      </c>
      <c r="J1236" t="str">
        <f>IFERROR(INDEX(tProdutos[Classe],MATCH(tItens[[#This Row],[Produto]],tProdutos[Produto],0)),"produto não cadastrado")</f>
        <v>DISPUTADO</v>
      </c>
      <c r="K1236" s="12">
        <f>tItens[[#This Row],[Qtd]]*tItens[[#This Row],[Vlr unit]]</f>
        <v>23676.120000000003</v>
      </c>
      <c r="L1236" s="6">
        <f>IFERROR(IF(INDEX(tProdutos[Desconto homologado],MATCH(tItens[[#This Row],[Produto]],tProdutos[Produto],0))="",DescontoPadrao,INDEX(tProdutos[Desconto homologado],MATCH(tItens[[#This Row],[Produto]],tProdutos[Produto],0))),DescontoPadrao)</f>
        <v>0.48690097134476601</v>
      </c>
      <c r="M1236" s="12">
        <f>tItens[[#This Row],[Valor]]*(1-tItens[[#This Row],[Desconto]])</f>
        <v>12148.194174324759</v>
      </c>
      <c r="N1236" t="str">
        <f>IFERROR(INDEX(tProdutos[Foco],MATCH(tItens[[#This Row],[Produto]],tProdutos[Produto],0)),"Não")</f>
        <v>Não</v>
      </c>
      <c r="O1236" t="str">
        <f>IFERROR(INDEX(tEditais[SRP],MATCH(tItens[[#This Row],[Edital]],tEditais[Edital],0)),"Não")</f>
        <v>Sim</v>
      </c>
      <c r="P1236" s="4">
        <f>IF(COUNTIFS(INDEX(tItens[Edital],1):tItens[[#This Row],[Edital]],tItens[[#This Row],[Edital]],INDEX(tItens[Produto],1):tItens[[#This Row],[Produto]],tItens[[#This Row],[Produto]])=1,1,0)</f>
        <v>1</v>
      </c>
    </row>
    <row r="1237" spans="1:16" x14ac:dyDescent="0.25">
      <c r="A1237" t="s">
        <v>1137</v>
      </c>
      <c r="B1237">
        <v>10</v>
      </c>
      <c r="C1237" t="s">
        <v>4307</v>
      </c>
      <c r="D1237" t="s">
        <v>90</v>
      </c>
      <c r="E1237" s="13">
        <v>6435</v>
      </c>
      <c r="F1237" s="12">
        <v>20.25</v>
      </c>
      <c r="G1237" t="str">
        <f>IFERROR(INDEX(tEditais[Órgão],MATCH(tItens[[#This Row],[Edital]],tEditais[Edital],0)),"")</f>
        <v>MUNICIPIO DE CARIACICA</v>
      </c>
      <c r="H1237" t="str">
        <f>IFERROR(INDEX(tEditais[UF],MATCH(tItens[[#This Row],[Edital]],tEditais[Edital],0)),"")</f>
        <v>ES</v>
      </c>
      <c r="I1237" s="11">
        <f>IFERROR(INDEX(tEditais[Encerramento],MATCH(tItens[[#This Row],[Edital]],tEditais[Edital],0)),"")</f>
        <v>46311.416666666664</v>
      </c>
      <c r="J1237" t="str">
        <f>IFERROR(INDEX(tProdutos[Classe],MATCH(tItens[[#This Row],[Produto]],tProdutos[Produto],0)),"produto não cadastrado")</f>
        <v>DISPUTADO</v>
      </c>
      <c r="K1237" s="12">
        <f>tItens[[#This Row],[Qtd]]*tItens[[#This Row],[Vlr unit]]</f>
        <v>130308.75</v>
      </c>
      <c r="L1237" s="6">
        <f>IFERROR(IF(INDEX(tProdutos[Desconto homologado],MATCH(tItens[[#This Row],[Produto]],tProdutos[Produto],0))="",DescontoPadrao,INDEX(tProdutos[Desconto homologado],MATCH(tItens[[#This Row],[Produto]],tProdutos[Produto],0))),DescontoPadrao)</f>
        <v>0.25393823957010597</v>
      </c>
      <c r="M1237" s="12">
        <f>tItens[[#This Row],[Valor]]*(1-tItens[[#This Row],[Desconto]])</f>
        <v>97218.375424418948</v>
      </c>
      <c r="N1237" t="str">
        <f>IFERROR(INDEX(tProdutos[Foco],MATCH(tItens[[#This Row],[Produto]],tProdutos[Produto],0)),"Não")</f>
        <v>Não</v>
      </c>
      <c r="O1237" t="str">
        <f>IFERROR(INDEX(tEditais[SRP],MATCH(tItens[[#This Row],[Edital]],tEditais[Edital],0)),"Não")</f>
        <v>Sim</v>
      </c>
      <c r="P1237" s="4">
        <f>IF(COUNTIFS(INDEX(tItens[Edital],1):tItens[[#This Row],[Edital]],tItens[[#This Row],[Edital]],INDEX(tItens[Produto],1):tItens[[#This Row],[Produto]],tItens[[#This Row],[Produto]])=1,1,0)</f>
        <v>0</v>
      </c>
    </row>
    <row r="1238" spans="1:16" x14ac:dyDescent="0.25">
      <c r="A1238" t="s">
        <v>1142</v>
      </c>
      <c r="B1238">
        <v>4</v>
      </c>
      <c r="C1238" t="s">
        <v>4309</v>
      </c>
      <c r="D1238" t="s">
        <v>269</v>
      </c>
      <c r="E1238" s="13">
        <v>13500</v>
      </c>
      <c r="F1238" s="12">
        <v>0</v>
      </c>
      <c r="G1238" t="str">
        <f>IFERROR(INDEX(tEditais[Órgão],MATCH(tItens[[#This Row],[Edital]],tEditais[Edital],0)),"")</f>
        <v>FUNDO MUNICIPAL DE SAUDE</v>
      </c>
      <c r="H1238" t="str">
        <f>IFERROR(INDEX(tEditais[UF],MATCH(tItens[[#This Row],[Edital]],tEditais[Edital],0)),"")</f>
        <v>GO</v>
      </c>
      <c r="I1238" s="11">
        <f>IFERROR(INDEX(tEditais[Encerramento],MATCH(tItens[[#This Row],[Edital]],tEditais[Edital],0)),"")</f>
        <v>46304.3125</v>
      </c>
      <c r="J1238" t="str">
        <f>IFERROR(INDEX(tProdutos[Classe],MATCH(tItens[[#This Row],[Produto]],tProdutos[Produto],0)),"produto não cadastrado")</f>
        <v>FORA</v>
      </c>
      <c r="K1238" s="12">
        <f>tItens[[#This Row],[Qtd]]*tItens[[#This Row],[Vlr unit]]</f>
        <v>0</v>
      </c>
      <c r="L1238" s="6">
        <f>IFERROR(IF(INDEX(tProdutos[Desconto homologado],MATCH(tItens[[#This Row],[Produto]],tProdutos[Produto],0))="",DescontoPadrao,INDEX(tProdutos[Desconto homologado],MATCH(tItens[[#This Row],[Produto]],tProdutos[Produto],0))),DescontoPadrao)</f>
        <v>0.28935117103332197</v>
      </c>
      <c r="M1238" s="12">
        <f>tItens[[#This Row],[Valor]]*(1-tItens[[#This Row],[Desconto]])</f>
        <v>0</v>
      </c>
      <c r="N1238" t="str">
        <f>IFERROR(INDEX(tProdutos[Foco],MATCH(tItens[[#This Row],[Produto]],tProdutos[Produto],0)),"Não")</f>
        <v>Não</v>
      </c>
      <c r="O1238" t="str">
        <f>IFERROR(INDEX(tEditais[SRP],MATCH(tItens[[#This Row],[Edital]],tEditais[Edital],0)),"Não")</f>
        <v>Não</v>
      </c>
      <c r="P1238" s="4">
        <f>IF(COUNTIFS(INDEX(tItens[Edital],1):tItens[[#This Row],[Edital]],tItens[[#This Row],[Edital]],INDEX(tItens[Produto],1):tItens[[#This Row],[Produto]],tItens[[#This Row],[Produto]])=1,1,0)</f>
        <v>1</v>
      </c>
    </row>
    <row r="1239" spans="1:16" x14ac:dyDescent="0.25">
      <c r="A1239" t="s">
        <v>1142</v>
      </c>
      <c r="B1239">
        <v>5</v>
      </c>
      <c r="C1239" t="s">
        <v>4310</v>
      </c>
      <c r="D1239" t="s">
        <v>409</v>
      </c>
      <c r="E1239" s="13">
        <v>1000</v>
      </c>
      <c r="F1239" s="12">
        <v>0</v>
      </c>
      <c r="G1239" t="str">
        <f>IFERROR(INDEX(tEditais[Órgão],MATCH(tItens[[#This Row],[Edital]],tEditais[Edital],0)),"")</f>
        <v>FUNDO MUNICIPAL DE SAUDE</v>
      </c>
      <c r="H1239" t="str">
        <f>IFERROR(INDEX(tEditais[UF],MATCH(tItens[[#This Row],[Edital]],tEditais[Edital],0)),"")</f>
        <v>GO</v>
      </c>
      <c r="I1239" s="11">
        <f>IFERROR(INDEX(tEditais[Encerramento],MATCH(tItens[[#This Row],[Edital]],tEditais[Edital],0)),"")</f>
        <v>46304.3125</v>
      </c>
      <c r="J1239" t="str">
        <f>IFERROR(INDEX(tProdutos[Classe],MATCH(tItens[[#This Row],[Produto]],tProdutos[Produto],0)),"produto não cadastrado")</f>
        <v>FORA</v>
      </c>
      <c r="K1239" s="12">
        <f>tItens[[#This Row],[Qtd]]*tItens[[#This Row],[Vlr unit]]</f>
        <v>0</v>
      </c>
      <c r="L1239" s="6">
        <f>IFERROR(IF(INDEX(tProdutos[Desconto homologado],MATCH(tItens[[#This Row],[Produto]],tProdutos[Produto],0))="",DescontoPadrao,INDEX(tProdutos[Desconto homologado],MATCH(tItens[[#This Row],[Produto]],tProdutos[Produto],0))),DescontoPadrao)</f>
        <v>0.24924924924924899</v>
      </c>
      <c r="M1239" s="12">
        <f>tItens[[#This Row],[Valor]]*(1-tItens[[#This Row],[Desconto]])</f>
        <v>0</v>
      </c>
      <c r="N1239" t="str">
        <f>IFERROR(INDEX(tProdutos[Foco],MATCH(tItens[[#This Row],[Produto]],tProdutos[Produto],0)),"Não")</f>
        <v>Não</v>
      </c>
      <c r="O1239" t="str">
        <f>IFERROR(INDEX(tEditais[SRP],MATCH(tItens[[#This Row],[Edital]],tEditais[Edital],0)),"Não")</f>
        <v>Não</v>
      </c>
      <c r="P1239" s="4">
        <f>IF(COUNTIFS(INDEX(tItens[Edital],1):tItens[[#This Row],[Edital]],tItens[[#This Row],[Edital]],INDEX(tItens[Produto],1):tItens[[#This Row],[Produto]],tItens[[#This Row],[Produto]])=1,1,0)</f>
        <v>1</v>
      </c>
    </row>
    <row r="1240" spans="1:16" x14ac:dyDescent="0.25">
      <c r="A1240" t="s">
        <v>1142</v>
      </c>
      <c r="B1240">
        <v>15</v>
      </c>
      <c r="C1240" t="s">
        <v>4311</v>
      </c>
      <c r="D1240" t="s">
        <v>267</v>
      </c>
      <c r="E1240" s="13">
        <v>5000</v>
      </c>
      <c r="F1240" s="12">
        <v>0</v>
      </c>
      <c r="G1240" t="str">
        <f>IFERROR(INDEX(tEditais[Órgão],MATCH(tItens[[#This Row],[Edital]],tEditais[Edital],0)),"")</f>
        <v>FUNDO MUNICIPAL DE SAUDE</v>
      </c>
      <c r="H1240" t="str">
        <f>IFERROR(INDEX(tEditais[UF],MATCH(tItens[[#This Row],[Edital]],tEditais[Edital],0)),"")</f>
        <v>GO</v>
      </c>
      <c r="I1240" s="11">
        <f>IFERROR(INDEX(tEditais[Encerramento],MATCH(tItens[[#This Row],[Edital]],tEditais[Edital],0)),"")</f>
        <v>46304.3125</v>
      </c>
      <c r="J1240" t="str">
        <f>IFERROR(INDEX(tProdutos[Classe],MATCH(tItens[[#This Row],[Produto]],tProdutos[Produto],0)),"produto não cadastrado")</f>
        <v>FORA</v>
      </c>
      <c r="K1240" s="12">
        <f>tItens[[#This Row],[Qtd]]*tItens[[#This Row],[Vlr unit]]</f>
        <v>0</v>
      </c>
      <c r="L1240" s="6">
        <f>IFERROR(IF(INDEX(tProdutos[Desconto homologado],MATCH(tItens[[#This Row],[Produto]],tProdutos[Produto],0))="",DescontoPadrao,INDEX(tProdutos[Desconto homologado],MATCH(tItens[[#This Row],[Produto]],tProdutos[Produto],0))),DescontoPadrao)</f>
        <v>0.19963672657401599</v>
      </c>
      <c r="M1240" s="12">
        <f>tItens[[#This Row],[Valor]]*(1-tItens[[#This Row],[Desconto]])</f>
        <v>0</v>
      </c>
      <c r="N1240" t="str">
        <f>IFERROR(INDEX(tProdutos[Foco],MATCH(tItens[[#This Row],[Produto]],tProdutos[Produto],0)),"Não")</f>
        <v>Não</v>
      </c>
      <c r="O1240" t="str">
        <f>IFERROR(INDEX(tEditais[SRP],MATCH(tItens[[#This Row],[Edital]],tEditais[Edital],0)),"Não")</f>
        <v>Não</v>
      </c>
      <c r="P1240" s="4">
        <f>IF(COUNTIFS(INDEX(tItens[Edital],1):tItens[[#This Row],[Edital]],tItens[[#This Row],[Edital]],INDEX(tItens[Produto],1):tItens[[#This Row],[Produto]],tItens[[#This Row],[Produto]])=1,1,0)</f>
        <v>1</v>
      </c>
    </row>
    <row r="1241" spans="1:16" x14ac:dyDescent="0.25">
      <c r="A1241" t="s">
        <v>1142</v>
      </c>
      <c r="B1241">
        <v>16</v>
      </c>
      <c r="C1241" t="s">
        <v>4312</v>
      </c>
      <c r="D1241" t="s">
        <v>267</v>
      </c>
      <c r="E1241" s="13">
        <v>5000</v>
      </c>
      <c r="F1241" s="12">
        <v>0</v>
      </c>
      <c r="G1241" t="str">
        <f>IFERROR(INDEX(tEditais[Órgão],MATCH(tItens[[#This Row],[Edital]],tEditais[Edital],0)),"")</f>
        <v>FUNDO MUNICIPAL DE SAUDE</v>
      </c>
      <c r="H1241" t="str">
        <f>IFERROR(INDEX(tEditais[UF],MATCH(tItens[[#This Row],[Edital]],tEditais[Edital],0)),"")</f>
        <v>GO</v>
      </c>
      <c r="I1241" s="11">
        <f>IFERROR(INDEX(tEditais[Encerramento],MATCH(tItens[[#This Row],[Edital]],tEditais[Edital],0)),"")</f>
        <v>46304.3125</v>
      </c>
      <c r="J1241" t="str">
        <f>IFERROR(INDEX(tProdutos[Classe],MATCH(tItens[[#This Row],[Produto]],tProdutos[Produto],0)),"produto não cadastrado")</f>
        <v>FORA</v>
      </c>
      <c r="K1241" s="12">
        <f>tItens[[#This Row],[Qtd]]*tItens[[#This Row],[Vlr unit]]</f>
        <v>0</v>
      </c>
      <c r="L1241" s="6">
        <f>IFERROR(IF(INDEX(tProdutos[Desconto homologado],MATCH(tItens[[#This Row],[Produto]],tProdutos[Produto],0))="",DescontoPadrao,INDEX(tProdutos[Desconto homologado],MATCH(tItens[[#This Row],[Produto]],tProdutos[Produto],0))),DescontoPadrao)</f>
        <v>0.19963672657401599</v>
      </c>
      <c r="M1241" s="12">
        <f>tItens[[#This Row],[Valor]]*(1-tItens[[#This Row],[Desconto]])</f>
        <v>0</v>
      </c>
      <c r="N1241" t="str">
        <f>IFERROR(INDEX(tProdutos[Foco],MATCH(tItens[[#This Row],[Produto]],tProdutos[Produto],0)),"Não")</f>
        <v>Não</v>
      </c>
      <c r="O1241" t="str">
        <f>IFERROR(INDEX(tEditais[SRP],MATCH(tItens[[#This Row],[Edital]],tEditais[Edital],0)),"Não")</f>
        <v>Não</v>
      </c>
      <c r="P1241" s="4">
        <f>IF(COUNTIFS(INDEX(tItens[Edital],1):tItens[[#This Row],[Edital]],tItens[[#This Row],[Edital]],INDEX(tItens[Produto],1):tItens[[#This Row],[Produto]],tItens[[#This Row],[Produto]])=1,1,0)</f>
        <v>0</v>
      </c>
    </row>
    <row r="1242" spans="1:16" x14ac:dyDescent="0.25">
      <c r="A1242" t="s">
        <v>1142</v>
      </c>
      <c r="B1242">
        <v>26</v>
      </c>
      <c r="C1242" t="s">
        <v>4313</v>
      </c>
      <c r="D1242" t="s">
        <v>363</v>
      </c>
      <c r="E1242" s="13">
        <v>500</v>
      </c>
      <c r="F1242" s="12">
        <v>0</v>
      </c>
      <c r="G1242" t="str">
        <f>IFERROR(INDEX(tEditais[Órgão],MATCH(tItens[[#This Row],[Edital]],tEditais[Edital],0)),"")</f>
        <v>FUNDO MUNICIPAL DE SAUDE</v>
      </c>
      <c r="H1242" t="str">
        <f>IFERROR(INDEX(tEditais[UF],MATCH(tItens[[#This Row],[Edital]],tEditais[Edital],0)),"")</f>
        <v>GO</v>
      </c>
      <c r="I1242" s="11">
        <f>IFERROR(INDEX(tEditais[Encerramento],MATCH(tItens[[#This Row],[Edital]],tEditais[Edital],0)),"")</f>
        <v>46304.3125</v>
      </c>
      <c r="J1242" t="str">
        <f>IFERROR(INDEX(tProdutos[Classe],MATCH(tItens[[#This Row],[Produto]],tProdutos[Produto],0)),"produto não cadastrado")</f>
        <v>FORA</v>
      </c>
      <c r="K1242" s="12">
        <f>tItens[[#This Row],[Qtd]]*tItens[[#This Row],[Vlr unit]]</f>
        <v>0</v>
      </c>
      <c r="L1242" s="6">
        <f>IFERROR(IF(INDEX(tProdutos[Desconto homologado],MATCH(tItens[[#This Row],[Produto]],tProdutos[Produto],0))="",DescontoPadrao,INDEX(tProdutos[Desconto homologado],MATCH(tItens[[#This Row],[Produto]],tProdutos[Produto],0))),DescontoPadrao)</f>
        <v>0.36454545454545501</v>
      </c>
      <c r="M1242" s="12">
        <f>tItens[[#This Row],[Valor]]*(1-tItens[[#This Row],[Desconto]])</f>
        <v>0</v>
      </c>
      <c r="N1242" t="str">
        <f>IFERROR(INDEX(tProdutos[Foco],MATCH(tItens[[#This Row],[Produto]],tProdutos[Produto],0)),"Não")</f>
        <v>Não</v>
      </c>
      <c r="O1242" t="str">
        <f>IFERROR(INDEX(tEditais[SRP],MATCH(tItens[[#This Row],[Edital]],tEditais[Edital],0)),"Não")</f>
        <v>Não</v>
      </c>
      <c r="P1242" s="4">
        <f>IF(COUNTIFS(INDEX(tItens[Edital],1):tItens[[#This Row],[Edital]],tItens[[#This Row],[Edital]],INDEX(tItens[Produto],1):tItens[[#This Row],[Produto]],tItens[[#This Row],[Produto]])=1,1,0)</f>
        <v>1</v>
      </c>
    </row>
    <row r="1243" spans="1:16" x14ac:dyDescent="0.25">
      <c r="A1243" t="s">
        <v>1142</v>
      </c>
      <c r="B1243">
        <v>29</v>
      </c>
      <c r="C1243" t="s">
        <v>4314</v>
      </c>
      <c r="D1243" t="s">
        <v>275</v>
      </c>
      <c r="E1243" s="13">
        <v>2000</v>
      </c>
      <c r="F1243" s="12">
        <v>0</v>
      </c>
      <c r="G1243" t="str">
        <f>IFERROR(INDEX(tEditais[Órgão],MATCH(tItens[[#This Row],[Edital]],tEditais[Edital],0)),"")</f>
        <v>FUNDO MUNICIPAL DE SAUDE</v>
      </c>
      <c r="H1243" t="str">
        <f>IFERROR(INDEX(tEditais[UF],MATCH(tItens[[#This Row],[Edital]],tEditais[Edital],0)),"")</f>
        <v>GO</v>
      </c>
      <c r="I1243" s="11">
        <f>IFERROR(INDEX(tEditais[Encerramento],MATCH(tItens[[#This Row],[Edital]],tEditais[Edital],0)),"")</f>
        <v>46304.3125</v>
      </c>
      <c r="J1243" t="str">
        <f>IFERROR(INDEX(tProdutos[Classe],MATCH(tItens[[#This Row],[Produto]],tProdutos[Produto],0)),"produto não cadastrado")</f>
        <v>FORA</v>
      </c>
      <c r="K1243" s="12">
        <f>tItens[[#This Row],[Qtd]]*tItens[[#This Row],[Vlr unit]]</f>
        <v>0</v>
      </c>
      <c r="L1243" s="6">
        <f>IFERROR(IF(INDEX(tProdutos[Desconto homologado],MATCH(tItens[[#This Row],[Produto]],tProdutos[Produto],0))="",DescontoPadrao,INDEX(tProdutos[Desconto homologado],MATCH(tItens[[#This Row],[Produto]],tProdutos[Produto],0))),DescontoPadrao)</f>
        <v>0.405797101449275</v>
      </c>
      <c r="M1243" s="12">
        <f>tItens[[#This Row],[Valor]]*(1-tItens[[#This Row],[Desconto]])</f>
        <v>0</v>
      </c>
      <c r="N1243" t="str">
        <f>IFERROR(INDEX(tProdutos[Foco],MATCH(tItens[[#This Row],[Produto]],tProdutos[Produto],0)),"Não")</f>
        <v>Não</v>
      </c>
      <c r="O1243" t="str">
        <f>IFERROR(INDEX(tEditais[SRP],MATCH(tItens[[#This Row],[Edital]],tEditais[Edital],0)),"Não")</f>
        <v>Não</v>
      </c>
      <c r="P1243" s="4">
        <f>IF(COUNTIFS(INDEX(tItens[Edital],1):tItens[[#This Row],[Edital]],tItens[[#This Row],[Edital]],INDEX(tItens[Produto],1):tItens[[#This Row],[Produto]],tItens[[#This Row],[Produto]])=1,1,0)</f>
        <v>1</v>
      </c>
    </row>
    <row r="1244" spans="1:16" x14ac:dyDescent="0.25">
      <c r="A1244" t="s">
        <v>1142</v>
      </c>
      <c r="B1244">
        <v>30</v>
      </c>
      <c r="C1244" t="s">
        <v>4315</v>
      </c>
      <c r="D1244" t="s">
        <v>283</v>
      </c>
      <c r="E1244" s="13">
        <v>7500</v>
      </c>
      <c r="F1244" s="12">
        <v>0</v>
      </c>
      <c r="G1244" t="str">
        <f>IFERROR(INDEX(tEditais[Órgão],MATCH(tItens[[#This Row],[Edital]],tEditais[Edital],0)),"")</f>
        <v>FUNDO MUNICIPAL DE SAUDE</v>
      </c>
      <c r="H1244" t="str">
        <f>IFERROR(INDEX(tEditais[UF],MATCH(tItens[[#This Row],[Edital]],tEditais[Edital],0)),"")</f>
        <v>GO</v>
      </c>
      <c r="I1244" s="11">
        <f>IFERROR(INDEX(tEditais[Encerramento],MATCH(tItens[[#This Row],[Edital]],tEditais[Edital],0)),"")</f>
        <v>46304.3125</v>
      </c>
      <c r="J1244" t="str">
        <f>IFERROR(INDEX(tProdutos[Classe],MATCH(tItens[[#This Row],[Produto]],tProdutos[Produto],0)),"produto não cadastrado")</f>
        <v>FORA</v>
      </c>
      <c r="K1244" s="12">
        <f>tItens[[#This Row],[Qtd]]*tItens[[#This Row],[Vlr unit]]</f>
        <v>0</v>
      </c>
      <c r="L1244" s="6">
        <f>IFERROR(IF(INDEX(tProdutos[Desconto homologado],MATCH(tItens[[#This Row],[Produto]],tProdutos[Produto],0))="",DescontoPadrao,INDEX(tProdutos[Desconto homologado],MATCH(tItens[[#This Row],[Produto]],tProdutos[Produto],0))),DescontoPadrao)</f>
        <v>0.40540540540540498</v>
      </c>
      <c r="M1244" s="12">
        <f>tItens[[#This Row],[Valor]]*(1-tItens[[#This Row],[Desconto]])</f>
        <v>0</v>
      </c>
      <c r="N1244" t="str">
        <f>IFERROR(INDEX(tProdutos[Foco],MATCH(tItens[[#This Row],[Produto]],tProdutos[Produto],0)),"Não")</f>
        <v>Não</v>
      </c>
      <c r="O1244" t="str">
        <f>IFERROR(INDEX(tEditais[SRP],MATCH(tItens[[#This Row],[Edital]],tEditais[Edital],0)),"Não")</f>
        <v>Não</v>
      </c>
      <c r="P1244" s="4">
        <f>IF(COUNTIFS(INDEX(tItens[Edital],1):tItens[[#This Row],[Edital]],tItens[[#This Row],[Edital]],INDEX(tItens[Produto],1):tItens[[#This Row],[Produto]],tItens[[#This Row],[Produto]])=1,1,0)</f>
        <v>1</v>
      </c>
    </row>
    <row r="1245" spans="1:16" x14ac:dyDescent="0.25">
      <c r="A1245" t="s">
        <v>1142</v>
      </c>
      <c r="B1245">
        <v>31</v>
      </c>
      <c r="C1245" t="s">
        <v>4316</v>
      </c>
      <c r="D1245" t="s">
        <v>265</v>
      </c>
      <c r="E1245" s="13">
        <v>7500</v>
      </c>
      <c r="F1245" s="12">
        <v>0</v>
      </c>
      <c r="G1245" t="str">
        <f>IFERROR(INDEX(tEditais[Órgão],MATCH(tItens[[#This Row],[Edital]],tEditais[Edital],0)),"")</f>
        <v>FUNDO MUNICIPAL DE SAUDE</v>
      </c>
      <c r="H1245" t="str">
        <f>IFERROR(INDEX(tEditais[UF],MATCH(tItens[[#This Row],[Edital]],tEditais[Edital],0)),"")</f>
        <v>GO</v>
      </c>
      <c r="I1245" s="11">
        <f>IFERROR(INDEX(tEditais[Encerramento],MATCH(tItens[[#This Row],[Edital]],tEditais[Edital],0)),"")</f>
        <v>46304.3125</v>
      </c>
      <c r="J1245" t="str">
        <f>IFERROR(INDEX(tProdutos[Classe],MATCH(tItens[[#This Row],[Produto]],tProdutos[Produto],0)),"produto não cadastrado")</f>
        <v>DISPUTADO</v>
      </c>
      <c r="K1245" s="12">
        <f>tItens[[#This Row],[Qtd]]*tItens[[#This Row],[Vlr unit]]</f>
        <v>0</v>
      </c>
      <c r="L1245" s="6">
        <f>IFERROR(IF(INDEX(tProdutos[Desconto homologado],MATCH(tItens[[#This Row],[Produto]],tProdutos[Produto],0))="",DescontoPadrao,INDEX(tProdutos[Desconto homologado],MATCH(tItens[[#This Row],[Produto]],tProdutos[Produto],0))),DescontoPadrao)</f>
        <v>0.377587663709337</v>
      </c>
      <c r="M1245" s="12">
        <f>tItens[[#This Row],[Valor]]*(1-tItens[[#This Row],[Desconto]])</f>
        <v>0</v>
      </c>
      <c r="N1245" t="str">
        <f>IFERROR(INDEX(tProdutos[Foco],MATCH(tItens[[#This Row],[Produto]],tProdutos[Produto],0)),"Não")</f>
        <v>Não</v>
      </c>
      <c r="O1245" t="str">
        <f>IFERROR(INDEX(tEditais[SRP],MATCH(tItens[[#This Row],[Edital]],tEditais[Edital],0)),"Não")</f>
        <v>Não</v>
      </c>
      <c r="P1245" s="4">
        <f>IF(COUNTIFS(INDEX(tItens[Edital],1):tItens[[#This Row],[Edital]],tItens[[#This Row],[Edital]],INDEX(tItens[Produto],1):tItens[[#This Row],[Produto]],tItens[[#This Row],[Produto]])=1,1,0)</f>
        <v>1</v>
      </c>
    </row>
    <row r="1246" spans="1:16" x14ac:dyDescent="0.25">
      <c r="A1246" t="s">
        <v>1142</v>
      </c>
      <c r="B1246">
        <v>32</v>
      </c>
      <c r="C1246" t="s">
        <v>4317</v>
      </c>
      <c r="D1246" t="s">
        <v>281</v>
      </c>
      <c r="E1246" s="13">
        <v>7500</v>
      </c>
      <c r="F1246" s="12">
        <v>0</v>
      </c>
      <c r="G1246" t="str">
        <f>IFERROR(INDEX(tEditais[Órgão],MATCH(tItens[[#This Row],[Edital]],tEditais[Edital],0)),"")</f>
        <v>FUNDO MUNICIPAL DE SAUDE</v>
      </c>
      <c r="H1246" t="str">
        <f>IFERROR(INDEX(tEditais[UF],MATCH(tItens[[#This Row],[Edital]],tEditais[Edital],0)),"")</f>
        <v>GO</v>
      </c>
      <c r="I1246" s="11">
        <f>IFERROR(INDEX(tEditais[Encerramento],MATCH(tItens[[#This Row],[Edital]],tEditais[Edital],0)),"")</f>
        <v>46304.3125</v>
      </c>
      <c r="J1246" t="str">
        <f>IFERROR(INDEX(tProdutos[Classe],MATCH(tItens[[#This Row],[Produto]],tProdutos[Produto],0)),"produto não cadastrado")</f>
        <v>DISPUTADO</v>
      </c>
      <c r="K1246" s="12">
        <f>tItens[[#This Row],[Qtd]]*tItens[[#This Row],[Vlr unit]]</f>
        <v>0</v>
      </c>
      <c r="L1246" s="6">
        <f>IFERROR(IF(INDEX(tProdutos[Desconto homologado],MATCH(tItens[[#This Row],[Produto]],tProdutos[Produto],0))="",DescontoPadrao,INDEX(tProdutos[Desconto homologado],MATCH(tItens[[#This Row],[Produto]],tProdutos[Produto],0))),DescontoPadrao)</f>
        <v>0.42461538461538501</v>
      </c>
      <c r="M1246" s="12">
        <f>tItens[[#This Row],[Valor]]*(1-tItens[[#This Row],[Desconto]])</f>
        <v>0</v>
      </c>
      <c r="N1246" t="str">
        <f>IFERROR(INDEX(tProdutos[Foco],MATCH(tItens[[#This Row],[Produto]],tProdutos[Produto],0)),"Não")</f>
        <v>Não</v>
      </c>
      <c r="O1246" t="str">
        <f>IFERROR(INDEX(tEditais[SRP],MATCH(tItens[[#This Row],[Edital]],tEditais[Edital],0)),"Não")</f>
        <v>Não</v>
      </c>
      <c r="P1246" s="4">
        <f>IF(COUNTIFS(INDEX(tItens[Edital],1):tItens[[#This Row],[Edital]],tItens[[#This Row],[Edital]],INDEX(tItens[Produto],1):tItens[[#This Row],[Produto]],tItens[[#This Row],[Produto]])=1,1,0)</f>
        <v>1</v>
      </c>
    </row>
    <row r="1247" spans="1:16" x14ac:dyDescent="0.25">
      <c r="A1247" t="s">
        <v>1142</v>
      </c>
      <c r="B1247">
        <v>33</v>
      </c>
      <c r="C1247" t="s">
        <v>4318</v>
      </c>
      <c r="D1247" t="s">
        <v>289</v>
      </c>
      <c r="E1247" s="13">
        <v>7500</v>
      </c>
      <c r="F1247" s="12">
        <v>0</v>
      </c>
      <c r="G1247" t="str">
        <f>IFERROR(INDEX(tEditais[Órgão],MATCH(tItens[[#This Row],[Edital]],tEditais[Edital],0)),"")</f>
        <v>FUNDO MUNICIPAL DE SAUDE</v>
      </c>
      <c r="H1247" t="str">
        <f>IFERROR(INDEX(tEditais[UF],MATCH(tItens[[#This Row],[Edital]],tEditais[Edital],0)),"")</f>
        <v>GO</v>
      </c>
      <c r="I1247" s="11">
        <f>IFERROR(INDEX(tEditais[Encerramento],MATCH(tItens[[#This Row],[Edital]],tEditais[Edital],0)),"")</f>
        <v>46304.3125</v>
      </c>
      <c r="J1247" t="str">
        <f>IFERROR(INDEX(tProdutos[Classe],MATCH(tItens[[#This Row],[Produto]],tProdutos[Produto],0)),"produto não cadastrado")</f>
        <v>DISPUTADO</v>
      </c>
      <c r="K1247" s="12">
        <f>tItens[[#This Row],[Qtd]]*tItens[[#This Row],[Vlr unit]]</f>
        <v>0</v>
      </c>
      <c r="L1247" s="6">
        <f>IFERROR(IF(INDEX(tProdutos[Desconto homologado],MATCH(tItens[[#This Row],[Produto]],tProdutos[Produto],0))="",DescontoPadrao,INDEX(tProdutos[Desconto homologado],MATCH(tItens[[#This Row],[Produto]],tProdutos[Produto],0))),DescontoPadrao)</f>
        <v>0.35849056603773599</v>
      </c>
      <c r="M1247" s="12">
        <f>tItens[[#This Row],[Valor]]*(1-tItens[[#This Row],[Desconto]])</f>
        <v>0</v>
      </c>
      <c r="N1247" t="str">
        <f>IFERROR(INDEX(tProdutos[Foco],MATCH(tItens[[#This Row],[Produto]],tProdutos[Produto],0)),"Não")</f>
        <v>Não</v>
      </c>
      <c r="O1247" t="str">
        <f>IFERROR(INDEX(tEditais[SRP],MATCH(tItens[[#This Row],[Edital]],tEditais[Edital],0)),"Não")</f>
        <v>Não</v>
      </c>
      <c r="P1247" s="4">
        <f>IF(COUNTIFS(INDEX(tItens[Edital],1):tItens[[#This Row],[Edital]],tItens[[#This Row],[Edital]],INDEX(tItens[Produto],1):tItens[[#This Row],[Produto]],tItens[[#This Row],[Produto]])=1,1,0)</f>
        <v>1</v>
      </c>
    </row>
    <row r="1248" spans="1:16" x14ac:dyDescent="0.25">
      <c r="A1248" t="s">
        <v>1142</v>
      </c>
      <c r="B1248">
        <v>34</v>
      </c>
      <c r="C1248" t="s">
        <v>4319</v>
      </c>
      <c r="D1248" t="s">
        <v>283</v>
      </c>
      <c r="E1248" s="13">
        <v>3750</v>
      </c>
      <c r="F1248" s="12">
        <v>0</v>
      </c>
      <c r="G1248" t="str">
        <f>IFERROR(INDEX(tEditais[Órgão],MATCH(tItens[[#This Row],[Edital]],tEditais[Edital],0)),"")</f>
        <v>FUNDO MUNICIPAL DE SAUDE</v>
      </c>
      <c r="H1248" t="str">
        <f>IFERROR(INDEX(tEditais[UF],MATCH(tItens[[#This Row],[Edital]],tEditais[Edital],0)),"")</f>
        <v>GO</v>
      </c>
      <c r="I1248" s="11">
        <f>IFERROR(INDEX(tEditais[Encerramento],MATCH(tItens[[#This Row],[Edital]],tEditais[Edital],0)),"")</f>
        <v>46304.3125</v>
      </c>
      <c r="J1248" t="str">
        <f>IFERROR(INDEX(tProdutos[Classe],MATCH(tItens[[#This Row],[Produto]],tProdutos[Produto],0)),"produto não cadastrado")</f>
        <v>FORA</v>
      </c>
      <c r="K1248" s="12">
        <f>tItens[[#This Row],[Qtd]]*tItens[[#This Row],[Vlr unit]]</f>
        <v>0</v>
      </c>
      <c r="L1248" s="6">
        <f>IFERROR(IF(INDEX(tProdutos[Desconto homologado],MATCH(tItens[[#This Row],[Produto]],tProdutos[Produto],0))="",DescontoPadrao,INDEX(tProdutos[Desconto homologado],MATCH(tItens[[#This Row],[Produto]],tProdutos[Produto],0))),DescontoPadrao)</f>
        <v>0.40540540540540498</v>
      </c>
      <c r="M1248" s="12">
        <f>tItens[[#This Row],[Valor]]*(1-tItens[[#This Row],[Desconto]])</f>
        <v>0</v>
      </c>
      <c r="N1248" t="str">
        <f>IFERROR(INDEX(tProdutos[Foco],MATCH(tItens[[#This Row],[Produto]],tProdutos[Produto],0)),"Não")</f>
        <v>Não</v>
      </c>
      <c r="O1248" t="str">
        <f>IFERROR(INDEX(tEditais[SRP],MATCH(tItens[[#This Row],[Edital]],tEditais[Edital],0)),"Não")</f>
        <v>Não</v>
      </c>
      <c r="P1248" s="4">
        <f>IF(COUNTIFS(INDEX(tItens[Edital],1):tItens[[#This Row],[Edital]],tItens[[#This Row],[Edital]],INDEX(tItens[Produto],1):tItens[[#This Row],[Produto]],tItens[[#This Row],[Produto]])=1,1,0)</f>
        <v>0</v>
      </c>
    </row>
    <row r="1249" spans="1:16" x14ac:dyDescent="0.25">
      <c r="A1249" t="s">
        <v>1142</v>
      </c>
      <c r="B1249">
        <v>35</v>
      </c>
      <c r="C1249" t="s">
        <v>4320</v>
      </c>
      <c r="D1249" t="s">
        <v>265</v>
      </c>
      <c r="E1249" s="13">
        <v>3750</v>
      </c>
      <c r="F1249" s="12">
        <v>0</v>
      </c>
      <c r="G1249" t="str">
        <f>IFERROR(INDEX(tEditais[Órgão],MATCH(tItens[[#This Row],[Edital]],tEditais[Edital],0)),"")</f>
        <v>FUNDO MUNICIPAL DE SAUDE</v>
      </c>
      <c r="H1249" t="str">
        <f>IFERROR(INDEX(tEditais[UF],MATCH(tItens[[#This Row],[Edital]],tEditais[Edital],0)),"")</f>
        <v>GO</v>
      </c>
      <c r="I1249" s="11">
        <f>IFERROR(INDEX(tEditais[Encerramento],MATCH(tItens[[#This Row],[Edital]],tEditais[Edital],0)),"")</f>
        <v>46304.3125</v>
      </c>
      <c r="J1249" t="str">
        <f>IFERROR(INDEX(tProdutos[Classe],MATCH(tItens[[#This Row],[Produto]],tProdutos[Produto],0)),"produto não cadastrado")</f>
        <v>DISPUTADO</v>
      </c>
      <c r="K1249" s="12">
        <f>tItens[[#This Row],[Qtd]]*tItens[[#This Row],[Vlr unit]]</f>
        <v>0</v>
      </c>
      <c r="L1249" s="6">
        <f>IFERROR(IF(INDEX(tProdutos[Desconto homologado],MATCH(tItens[[#This Row],[Produto]],tProdutos[Produto],0))="",DescontoPadrao,INDEX(tProdutos[Desconto homologado],MATCH(tItens[[#This Row],[Produto]],tProdutos[Produto],0))),DescontoPadrao)</f>
        <v>0.377587663709337</v>
      </c>
      <c r="M1249" s="12">
        <f>tItens[[#This Row],[Valor]]*(1-tItens[[#This Row],[Desconto]])</f>
        <v>0</v>
      </c>
      <c r="N1249" t="str">
        <f>IFERROR(INDEX(tProdutos[Foco],MATCH(tItens[[#This Row],[Produto]],tProdutos[Produto],0)),"Não")</f>
        <v>Não</v>
      </c>
      <c r="O1249" t="str">
        <f>IFERROR(INDEX(tEditais[SRP],MATCH(tItens[[#This Row],[Edital]],tEditais[Edital],0)),"Não")</f>
        <v>Não</v>
      </c>
      <c r="P1249" s="4">
        <f>IF(COUNTIFS(INDEX(tItens[Edital],1):tItens[[#This Row],[Edital]],tItens[[#This Row],[Edital]],INDEX(tItens[Produto],1):tItens[[#This Row],[Produto]],tItens[[#This Row],[Produto]])=1,1,0)</f>
        <v>0</v>
      </c>
    </row>
    <row r="1250" spans="1:16" x14ac:dyDescent="0.25">
      <c r="A1250" t="s">
        <v>1142</v>
      </c>
      <c r="B1250">
        <v>36</v>
      </c>
      <c r="C1250" t="s">
        <v>4321</v>
      </c>
      <c r="D1250" t="s">
        <v>281</v>
      </c>
      <c r="E1250" s="13">
        <v>3750</v>
      </c>
      <c r="F1250" s="12">
        <v>0</v>
      </c>
      <c r="G1250" t="str">
        <f>IFERROR(INDEX(tEditais[Órgão],MATCH(tItens[[#This Row],[Edital]],tEditais[Edital],0)),"")</f>
        <v>FUNDO MUNICIPAL DE SAUDE</v>
      </c>
      <c r="H1250" t="str">
        <f>IFERROR(INDEX(tEditais[UF],MATCH(tItens[[#This Row],[Edital]],tEditais[Edital],0)),"")</f>
        <v>GO</v>
      </c>
      <c r="I1250" s="11">
        <f>IFERROR(INDEX(tEditais[Encerramento],MATCH(tItens[[#This Row],[Edital]],tEditais[Edital],0)),"")</f>
        <v>46304.3125</v>
      </c>
      <c r="J1250" t="str">
        <f>IFERROR(INDEX(tProdutos[Classe],MATCH(tItens[[#This Row],[Produto]],tProdutos[Produto],0)),"produto não cadastrado")</f>
        <v>DISPUTADO</v>
      </c>
      <c r="K1250" s="12">
        <f>tItens[[#This Row],[Qtd]]*tItens[[#This Row],[Vlr unit]]</f>
        <v>0</v>
      </c>
      <c r="L1250" s="6">
        <f>IFERROR(IF(INDEX(tProdutos[Desconto homologado],MATCH(tItens[[#This Row],[Produto]],tProdutos[Produto],0))="",DescontoPadrao,INDEX(tProdutos[Desconto homologado],MATCH(tItens[[#This Row],[Produto]],tProdutos[Produto],0))),DescontoPadrao)</f>
        <v>0.42461538461538501</v>
      </c>
      <c r="M1250" s="12">
        <f>tItens[[#This Row],[Valor]]*(1-tItens[[#This Row],[Desconto]])</f>
        <v>0</v>
      </c>
      <c r="N1250" t="str">
        <f>IFERROR(INDEX(tProdutos[Foco],MATCH(tItens[[#This Row],[Produto]],tProdutos[Produto],0)),"Não")</f>
        <v>Não</v>
      </c>
      <c r="O1250" t="str">
        <f>IFERROR(INDEX(tEditais[SRP],MATCH(tItens[[#This Row],[Edital]],tEditais[Edital],0)),"Não")</f>
        <v>Não</v>
      </c>
      <c r="P1250" s="4">
        <f>IF(COUNTIFS(INDEX(tItens[Edital],1):tItens[[#This Row],[Edital]],tItens[[#This Row],[Edital]],INDEX(tItens[Produto],1):tItens[[#This Row],[Produto]],tItens[[#This Row],[Produto]])=1,1,0)</f>
        <v>0</v>
      </c>
    </row>
    <row r="1251" spans="1:16" x14ac:dyDescent="0.25">
      <c r="A1251" t="s">
        <v>1142</v>
      </c>
      <c r="B1251">
        <v>37</v>
      </c>
      <c r="C1251" t="s">
        <v>4322</v>
      </c>
      <c r="D1251" t="s">
        <v>289</v>
      </c>
      <c r="E1251" s="13">
        <v>3750</v>
      </c>
      <c r="F1251" s="12">
        <v>0</v>
      </c>
      <c r="G1251" t="str">
        <f>IFERROR(INDEX(tEditais[Órgão],MATCH(tItens[[#This Row],[Edital]],tEditais[Edital],0)),"")</f>
        <v>FUNDO MUNICIPAL DE SAUDE</v>
      </c>
      <c r="H1251" t="str">
        <f>IFERROR(INDEX(tEditais[UF],MATCH(tItens[[#This Row],[Edital]],tEditais[Edital],0)),"")</f>
        <v>GO</v>
      </c>
      <c r="I1251" s="11">
        <f>IFERROR(INDEX(tEditais[Encerramento],MATCH(tItens[[#This Row],[Edital]],tEditais[Edital],0)),"")</f>
        <v>46304.3125</v>
      </c>
      <c r="J1251" t="str">
        <f>IFERROR(INDEX(tProdutos[Classe],MATCH(tItens[[#This Row],[Produto]],tProdutos[Produto],0)),"produto não cadastrado")</f>
        <v>DISPUTADO</v>
      </c>
      <c r="K1251" s="12">
        <f>tItens[[#This Row],[Qtd]]*tItens[[#This Row],[Vlr unit]]</f>
        <v>0</v>
      </c>
      <c r="L1251" s="6">
        <f>IFERROR(IF(INDEX(tProdutos[Desconto homologado],MATCH(tItens[[#This Row],[Produto]],tProdutos[Produto],0))="",DescontoPadrao,INDEX(tProdutos[Desconto homologado],MATCH(tItens[[#This Row],[Produto]],tProdutos[Produto],0))),DescontoPadrao)</f>
        <v>0.35849056603773599</v>
      </c>
      <c r="M1251" s="12">
        <f>tItens[[#This Row],[Valor]]*(1-tItens[[#This Row],[Desconto]])</f>
        <v>0</v>
      </c>
      <c r="N1251" t="str">
        <f>IFERROR(INDEX(tProdutos[Foco],MATCH(tItens[[#This Row],[Produto]],tProdutos[Produto],0)),"Não")</f>
        <v>Não</v>
      </c>
      <c r="O1251" t="str">
        <f>IFERROR(INDEX(tEditais[SRP],MATCH(tItens[[#This Row],[Edital]],tEditais[Edital],0)),"Não")</f>
        <v>Não</v>
      </c>
      <c r="P1251" s="4">
        <f>IF(COUNTIFS(INDEX(tItens[Edital],1):tItens[[#This Row],[Edital]],tItens[[#This Row],[Edital]],INDEX(tItens[Produto],1):tItens[[#This Row],[Produto]],tItens[[#This Row],[Produto]])=1,1,0)</f>
        <v>0</v>
      </c>
    </row>
    <row r="1252" spans="1:16" x14ac:dyDescent="0.25">
      <c r="A1252" t="s">
        <v>1142</v>
      </c>
      <c r="B1252">
        <v>40</v>
      </c>
      <c r="C1252" t="s">
        <v>4323</v>
      </c>
      <c r="D1252" t="s">
        <v>329</v>
      </c>
      <c r="E1252" s="13">
        <v>100</v>
      </c>
      <c r="F1252" s="12">
        <v>0</v>
      </c>
      <c r="G1252" t="str">
        <f>IFERROR(INDEX(tEditais[Órgão],MATCH(tItens[[#This Row],[Edital]],tEditais[Edital],0)),"")</f>
        <v>FUNDO MUNICIPAL DE SAUDE</v>
      </c>
      <c r="H1252" t="str">
        <f>IFERROR(INDEX(tEditais[UF],MATCH(tItens[[#This Row],[Edital]],tEditais[Edital],0)),"")</f>
        <v>GO</v>
      </c>
      <c r="I1252" s="11">
        <f>IFERROR(INDEX(tEditais[Encerramento],MATCH(tItens[[#This Row],[Edital]],tEditais[Edital],0)),"")</f>
        <v>46304.3125</v>
      </c>
      <c r="J1252" t="str">
        <f>IFERROR(INDEX(tProdutos[Classe],MATCH(tItens[[#This Row],[Produto]],tProdutos[Produto],0)),"produto não cadastrado")</f>
        <v>FORA</v>
      </c>
      <c r="K1252" s="12">
        <f>tItens[[#This Row],[Qtd]]*tItens[[#This Row],[Vlr unit]]</f>
        <v>0</v>
      </c>
      <c r="L1252" s="6">
        <f>IFERROR(IF(INDEX(tProdutos[Desconto homologado],MATCH(tItens[[#This Row],[Produto]],tProdutos[Produto],0))="",DescontoPadrao,INDEX(tProdutos[Desconto homologado],MATCH(tItens[[#This Row],[Produto]],tProdutos[Produto],0))),DescontoPadrao)</f>
        <v>0.46441781031074703</v>
      </c>
      <c r="M1252" s="12">
        <f>tItens[[#This Row],[Valor]]*(1-tItens[[#This Row],[Desconto]])</f>
        <v>0</v>
      </c>
      <c r="N1252" t="str">
        <f>IFERROR(INDEX(tProdutos[Foco],MATCH(tItens[[#This Row],[Produto]],tProdutos[Produto],0)),"Não")</f>
        <v>Não</v>
      </c>
      <c r="O1252" t="str">
        <f>IFERROR(INDEX(tEditais[SRP],MATCH(tItens[[#This Row],[Edital]],tEditais[Edital],0)),"Não")</f>
        <v>Não</v>
      </c>
      <c r="P1252" s="4">
        <f>IF(COUNTIFS(INDEX(tItens[Edital],1):tItens[[#This Row],[Edital]],tItens[[#This Row],[Edital]],INDEX(tItens[Produto],1):tItens[[#This Row],[Produto]],tItens[[#This Row],[Produto]])=1,1,0)</f>
        <v>1</v>
      </c>
    </row>
    <row r="1253" spans="1:16" x14ac:dyDescent="0.25">
      <c r="A1253" t="s">
        <v>1142</v>
      </c>
      <c r="B1253">
        <v>41</v>
      </c>
      <c r="C1253" t="s">
        <v>4324</v>
      </c>
      <c r="D1253" t="s">
        <v>335</v>
      </c>
      <c r="E1253" s="13">
        <v>100</v>
      </c>
      <c r="F1253" s="12">
        <v>0</v>
      </c>
      <c r="G1253" t="str">
        <f>IFERROR(INDEX(tEditais[Órgão],MATCH(tItens[[#This Row],[Edital]],tEditais[Edital],0)),"")</f>
        <v>FUNDO MUNICIPAL DE SAUDE</v>
      </c>
      <c r="H1253" t="str">
        <f>IFERROR(INDEX(tEditais[UF],MATCH(tItens[[#This Row],[Edital]],tEditais[Edital],0)),"")</f>
        <v>GO</v>
      </c>
      <c r="I1253" s="11">
        <f>IFERROR(INDEX(tEditais[Encerramento],MATCH(tItens[[#This Row],[Edital]],tEditais[Edital],0)),"")</f>
        <v>46304.3125</v>
      </c>
      <c r="J1253" t="str">
        <f>IFERROR(INDEX(tProdutos[Classe],MATCH(tItens[[#This Row],[Produto]],tProdutos[Produto],0)),"produto não cadastrado")</f>
        <v>FORA</v>
      </c>
      <c r="K1253" s="12">
        <f>tItens[[#This Row],[Qtd]]*tItens[[#This Row],[Vlr unit]]</f>
        <v>0</v>
      </c>
      <c r="L1253" s="6">
        <f>IFERROR(IF(INDEX(tProdutos[Desconto homologado],MATCH(tItens[[#This Row],[Produto]],tProdutos[Produto],0))="",DescontoPadrao,INDEX(tProdutos[Desconto homologado],MATCH(tItens[[#This Row],[Produto]],tProdutos[Produto],0))),DescontoPadrao)</f>
        <v>0.419047619047619</v>
      </c>
      <c r="M1253" s="12">
        <f>tItens[[#This Row],[Valor]]*(1-tItens[[#This Row],[Desconto]])</f>
        <v>0</v>
      </c>
      <c r="N1253" t="str">
        <f>IFERROR(INDEX(tProdutos[Foco],MATCH(tItens[[#This Row],[Produto]],tProdutos[Produto],0)),"Não")</f>
        <v>Não</v>
      </c>
      <c r="O1253" t="str">
        <f>IFERROR(INDEX(tEditais[SRP],MATCH(tItens[[#This Row],[Edital]],tEditais[Edital],0)),"Não")</f>
        <v>Não</v>
      </c>
      <c r="P1253" s="4">
        <f>IF(COUNTIFS(INDEX(tItens[Edital],1):tItens[[#This Row],[Edital]],tItens[[#This Row],[Edital]],INDEX(tItens[Produto],1):tItens[[#This Row],[Produto]],tItens[[#This Row],[Produto]])=1,1,0)</f>
        <v>1</v>
      </c>
    </row>
    <row r="1254" spans="1:16" x14ac:dyDescent="0.25">
      <c r="A1254" t="s">
        <v>1142</v>
      </c>
      <c r="B1254">
        <v>42</v>
      </c>
      <c r="C1254" t="s">
        <v>4325</v>
      </c>
      <c r="D1254" t="s">
        <v>365</v>
      </c>
      <c r="E1254" s="13">
        <v>100</v>
      </c>
      <c r="F1254" s="12">
        <v>0</v>
      </c>
      <c r="G1254" t="str">
        <f>IFERROR(INDEX(tEditais[Órgão],MATCH(tItens[[#This Row],[Edital]],tEditais[Edital],0)),"")</f>
        <v>FUNDO MUNICIPAL DE SAUDE</v>
      </c>
      <c r="H1254" t="str">
        <f>IFERROR(INDEX(tEditais[UF],MATCH(tItens[[#This Row],[Edital]],tEditais[Edital],0)),"")</f>
        <v>GO</v>
      </c>
      <c r="I1254" s="11">
        <f>IFERROR(INDEX(tEditais[Encerramento],MATCH(tItens[[#This Row],[Edital]],tEditais[Edital],0)),"")</f>
        <v>46304.3125</v>
      </c>
      <c r="J1254" t="str">
        <f>IFERROR(INDEX(tProdutos[Classe],MATCH(tItens[[#This Row],[Produto]],tProdutos[Produto],0)),"produto não cadastrado")</f>
        <v>FORA</v>
      </c>
      <c r="K1254" s="12">
        <f>tItens[[#This Row],[Qtd]]*tItens[[#This Row],[Vlr unit]]</f>
        <v>0</v>
      </c>
      <c r="L1254" s="6">
        <f>IFERROR(IF(INDEX(tProdutos[Desconto homologado],MATCH(tItens[[#This Row],[Produto]],tProdutos[Produto],0))="",DescontoPadrao,INDEX(tProdutos[Desconto homologado],MATCH(tItens[[#This Row],[Produto]],tProdutos[Produto],0))),DescontoPadrao)</f>
        <v>0.41120529659182697</v>
      </c>
      <c r="M1254" s="12">
        <f>tItens[[#This Row],[Valor]]*(1-tItens[[#This Row],[Desconto]])</f>
        <v>0</v>
      </c>
      <c r="N1254" t="str">
        <f>IFERROR(INDEX(tProdutos[Foco],MATCH(tItens[[#This Row],[Produto]],tProdutos[Produto],0)),"Não")</f>
        <v>Não</v>
      </c>
      <c r="O1254" t="str">
        <f>IFERROR(INDEX(tEditais[SRP],MATCH(tItens[[#This Row],[Edital]],tEditais[Edital],0)),"Não")</f>
        <v>Não</v>
      </c>
      <c r="P1254" s="4">
        <f>IF(COUNTIFS(INDEX(tItens[Edital],1):tItens[[#This Row],[Edital]],tItens[[#This Row],[Edital]],INDEX(tItens[Produto],1):tItens[[#This Row],[Produto]],tItens[[#This Row],[Produto]])=1,1,0)</f>
        <v>1</v>
      </c>
    </row>
    <row r="1255" spans="1:16" x14ac:dyDescent="0.25">
      <c r="A1255" t="s">
        <v>1142</v>
      </c>
      <c r="B1255">
        <v>43</v>
      </c>
      <c r="C1255" t="s">
        <v>4326</v>
      </c>
      <c r="D1255" t="s">
        <v>379</v>
      </c>
      <c r="E1255" s="13">
        <v>750</v>
      </c>
      <c r="F1255" s="12">
        <v>0</v>
      </c>
      <c r="G1255" t="str">
        <f>IFERROR(INDEX(tEditais[Órgão],MATCH(tItens[[#This Row],[Edital]],tEditais[Edital],0)),"")</f>
        <v>FUNDO MUNICIPAL DE SAUDE</v>
      </c>
      <c r="H1255" t="str">
        <f>IFERROR(INDEX(tEditais[UF],MATCH(tItens[[#This Row],[Edital]],tEditais[Edital],0)),"")</f>
        <v>GO</v>
      </c>
      <c r="I1255" s="11">
        <f>IFERROR(INDEX(tEditais[Encerramento],MATCH(tItens[[#This Row],[Edital]],tEditais[Edital],0)),"")</f>
        <v>46304.3125</v>
      </c>
      <c r="J1255" t="str">
        <f>IFERROR(INDEX(tProdutos[Classe],MATCH(tItens[[#This Row],[Produto]],tProdutos[Produto],0)),"produto não cadastrado")</f>
        <v>FORA</v>
      </c>
      <c r="K1255" s="12">
        <f>tItens[[#This Row],[Qtd]]*tItens[[#This Row],[Vlr unit]]</f>
        <v>0</v>
      </c>
      <c r="L1255" s="6">
        <f>IFERROR(IF(INDEX(tProdutos[Desconto homologado],MATCH(tItens[[#This Row],[Produto]],tProdutos[Produto],0))="",DescontoPadrao,INDEX(tProdutos[Desconto homologado],MATCH(tItens[[#This Row],[Produto]],tProdutos[Produto],0))),DescontoPadrao)</f>
        <v>0.49504950495049499</v>
      </c>
      <c r="M1255" s="12">
        <f>tItens[[#This Row],[Valor]]*(1-tItens[[#This Row],[Desconto]])</f>
        <v>0</v>
      </c>
      <c r="N1255" t="str">
        <f>IFERROR(INDEX(tProdutos[Foco],MATCH(tItens[[#This Row],[Produto]],tProdutos[Produto],0)),"Não")</f>
        <v>Não</v>
      </c>
      <c r="O1255" t="str">
        <f>IFERROR(INDEX(tEditais[SRP],MATCH(tItens[[#This Row],[Edital]],tEditais[Edital],0)),"Não")</f>
        <v>Não</v>
      </c>
      <c r="P1255" s="4">
        <f>IF(COUNTIFS(INDEX(tItens[Edital],1):tItens[[#This Row],[Edital]],tItens[[#This Row],[Edital]],INDEX(tItens[Produto],1):tItens[[#This Row],[Produto]],tItens[[#This Row],[Produto]])=1,1,0)</f>
        <v>1</v>
      </c>
    </row>
    <row r="1256" spans="1:16" x14ac:dyDescent="0.25">
      <c r="A1256" t="s">
        <v>1142</v>
      </c>
      <c r="B1256">
        <v>44</v>
      </c>
      <c r="C1256" t="s">
        <v>4327</v>
      </c>
      <c r="D1256" t="s">
        <v>247</v>
      </c>
      <c r="E1256" s="13">
        <v>2250</v>
      </c>
      <c r="F1256" s="12">
        <v>0</v>
      </c>
      <c r="G1256" t="str">
        <f>IFERROR(INDEX(tEditais[Órgão],MATCH(tItens[[#This Row],[Edital]],tEditais[Edital],0)),"")</f>
        <v>FUNDO MUNICIPAL DE SAUDE</v>
      </c>
      <c r="H1256" t="str">
        <f>IFERROR(INDEX(tEditais[UF],MATCH(tItens[[#This Row],[Edital]],tEditais[Edital],0)),"")</f>
        <v>GO</v>
      </c>
      <c r="I1256" s="11">
        <f>IFERROR(INDEX(tEditais[Encerramento],MATCH(tItens[[#This Row],[Edital]],tEditais[Edital],0)),"")</f>
        <v>46304.3125</v>
      </c>
      <c r="J1256" t="str">
        <f>IFERROR(INDEX(tProdutos[Classe],MATCH(tItens[[#This Row],[Produto]],tProdutos[Produto],0)),"produto não cadastrado")</f>
        <v>FORA</v>
      </c>
      <c r="K1256" s="12">
        <f>tItens[[#This Row],[Qtd]]*tItens[[#This Row],[Vlr unit]]</f>
        <v>0</v>
      </c>
      <c r="L1256" s="6">
        <f>IFERROR(IF(INDEX(tProdutos[Desconto homologado],MATCH(tItens[[#This Row],[Produto]],tProdutos[Produto],0))="",DescontoPadrao,INDEX(tProdutos[Desconto homologado],MATCH(tItens[[#This Row],[Produto]],tProdutos[Produto],0))),DescontoPadrao)</f>
        <v>0.27353256199762999</v>
      </c>
      <c r="M1256" s="12">
        <f>tItens[[#This Row],[Valor]]*(1-tItens[[#This Row],[Desconto]])</f>
        <v>0</v>
      </c>
      <c r="N1256" t="str">
        <f>IFERROR(INDEX(tProdutos[Foco],MATCH(tItens[[#This Row],[Produto]],tProdutos[Produto],0)),"Não")</f>
        <v>Não</v>
      </c>
      <c r="O1256" t="str">
        <f>IFERROR(INDEX(tEditais[SRP],MATCH(tItens[[#This Row],[Edital]],tEditais[Edital],0)),"Não")</f>
        <v>Não</v>
      </c>
      <c r="P1256" s="4">
        <f>IF(COUNTIFS(INDEX(tItens[Edital],1):tItens[[#This Row],[Edital]],tItens[[#This Row],[Edital]],INDEX(tItens[Produto],1):tItens[[#This Row],[Produto]],tItens[[#This Row],[Produto]])=1,1,0)</f>
        <v>1</v>
      </c>
    </row>
    <row r="1257" spans="1:16" x14ac:dyDescent="0.25">
      <c r="A1257" t="s">
        <v>1142</v>
      </c>
      <c r="B1257">
        <v>45</v>
      </c>
      <c r="C1257" t="s">
        <v>4328</v>
      </c>
      <c r="D1257" t="s">
        <v>287</v>
      </c>
      <c r="E1257" s="13">
        <v>2250</v>
      </c>
      <c r="F1257" s="12">
        <v>0</v>
      </c>
      <c r="G1257" t="str">
        <f>IFERROR(INDEX(tEditais[Órgão],MATCH(tItens[[#This Row],[Edital]],tEditais[Edital],0)),"")</f>
        <v>FUNDO MUNICIPAL DE SAUDE</v>
      </c>
      <c r="H1257" t="str">
        <f>IFERROR(INDEX(tEditais[UF],MATCH(tItens[[#This Row],[Edital]],tEditais[Edital],0)),"")</f>
        <v>GO</v>
      </c>
      <c r="I1257" s="11">
        <f>IFERROR(INDEX(tEditais[Encerramento],MATCH(tItens[[#This Row],[Edital]],tEditais[Edital],0)),"")</f>
        <v>46304.3125</v>
      </c>
      <c r="J1257" t="str">
        <f>IFERROR(INDEX(tProdutos[Classe],MATCH(tItens[[#This Row],[Produto]],tProdutos[Produto],0)),"produto não cadastrado")</f>
        <v>FORA</v>
      </c>
      <c r="K1257" s="12">
        <f>tItens[[#This Row],[Qtd]]*tItens[[#This Row],[Vlr unit]]</f>
        <v>0</v>
      </c>
      <c r="L1257" s="6">
        <f>IFERROR(IF(INDEX(tProdutos[Desconto homologado],MATCH(tItens[[#This Row],[Produto]],tProdutos[Produto],0))="",DescontoPadrao,INDEX(tProdutos[Desconto homologado],MATCH(tItens[[#This Row],[Produto]],tProdutos[Produto],0))),DescontoPadrao)</f>
        <v>0.46344491178876002</v>
      </c>
      <c r="M1257" s="12">
        <f>tItens[[#This Row],[Valor]]*(1-tItens[[#This Row],[Desconto]])</f>
        <v>0</v>
      </c>
      <c r="N1257" t="str">
        <f>IFERROR(INDEX(tProdutos[Foco],MATCH(tItens[[#This Row],[Produto]],tProdutos[Produto],0)),"Não")</f>
        <v>Não</v>
      </c>
      <c r="O1257" t="str">
        <f>IFERROR(INDEX(tEditais[SRP],MATCH(tItens[[#This Row],[Edital]],tEditais[Edital],0)),"Não")</f>
        <v>Não</v>
      </c>
      <c r="P1257" s="4">
        <f>IF(COUNTIFS(INDEX(tItens[Edital],1):tItens[[#This Row],[Edital]],tItens[[#This Row],[Edital]],INDEX(tItens[Produto],1):tItens[[#This Row],[Produto]],tItens[[#This Row],[Produto]])=1,1,0)</f>
        <v>1</v>
      </c>
    </row>
    <row r="1258" spans="1:16" x14ac:dyDescent="0.25">
      <c r="A1258" t="s">
        <v>1142</v>
      </c>
      <c r="B1258">
        <v>49</v>
      </c>
      <c r="C1258" t="s">
        <v>4329</v>
      </c>
      <c r="D1258" t="s">
        <v>245</v>
      </c>
      <c r="E1258" s="13">
        <v>100</v>
      </c>
      <c r="F1258" s="12">
        <v>0</v>
      </c>
      <c r="G1258" t="str">
        <f>IFERROR(INDEX(tEditais[Órgão],MATCH(tItens[[#This Row],[Edital]],tEditais[Edital],0)),"")</f>
        <v>FUNDO MUNICIPAL DE SAUDE</v>
      </c>
      <c r="H1258" t="str">
        <f>IFERROR(INDEX(tEditais[UF],MATCH(tItens[[#This Row],[Edital]],tEditais[Edital],0)),"")</f>
        <v>GO</v>
      </c>
      <c r="I1258" s="11">
        <f>IFERROR(INDEX(tEditais[Encerramento],MATCH(tItens[[#This Row],[Edital]],tEditais[Edital],0)),"")</f>
        <v>46304.3125</v>
      </c>
      <c r="J1258" t="str">
        <f>IFERROR(INDEX(tProdutos[Classe],MATCH(tItens[[#This Row],[Produto]],tProdutos[Produto],0)),"produto não cadastrado")</f>
        <v>FORA</v>
      </c>
      <c r="K1258" s="12">
        <f>tItens[[#This Row],[Qtd]]*tItens[[#This Row],[Vlr unit]]</f>
        <v>0</v>
      </c>
      <c r="L1258" s="6">
        <f>IFERROR(IF(INDEX(tProdutos[Desconto homologado],MATCH(tItens[[#This Row],[Produto]],tProdutos[Produto],0))="",DescontoPadrao,INDEX(tProdutos[Desconto homologado],MATCH(tItens[[#This Row],[Produto]],tProdutos[Produto],0))),DescontoPadrao)</f>
        <v>0.34516963542284401</v>
      </c>
      <c r="M1258" s="12">
        <f>tItens[[#This Row],[Valor]]*(1-tItens[[#This Row],[Desconto]])</f>
        <v>0</v>
      </c>
      <c r="N1258" t="str">
        <f>IFERROR(INDEX(tProdutos[Foco],MATCH(tItens[[#This Row],[Produto]],tProdutos[Produto],0)),"Não")</f>
        <v>Não</v>
      </c>
      <c r="O1258" t="str">
        <f>IFERROR(INDEX(tEditais[SRP],MATCH(tItens[[#This Row],[Edital]],tEditais[Edital],0)),"Não")</f>
        <v>Não</v>
      </c>
      <c r="P1258" s="4">
        <f>IF(COUNTIFS(INDEX(tItens[Edital],1):tItens[[#This Row],[Edital]],tItens[[#This Row],[Edital]],INDEX(tItens[Produto],1):tItens[[#This Row],[Produto]],tItens[[#This Row],[Produto]])=1,1,0)</f>
        <v>1</v>
      </c>
    </row>
    <row r="1259" spans="1:16" x14ac:dyDescent="0.25">
      <c r="A1259" t="s">
        <v>1142</v>
      </c>
      <c r="B1259">
        <v>50</v>
      </c>
      <c r="C1259" t="s">
        <v>4330</v>
      </c>
      <c r="D1259" t="s">
        <v>245</v>
      </c>
      <c r="E1259" s="13">
        <v>100</v>
      </c>
      <c r="F1259" s="12">
        <v>0</v>
      </c>
      <c r="G1259" t="str">
        <f>IFERROR(INDEX(tEditais[Órgão],MATCH(tItens[[#This Row],[Edital]],tEditais[Edital],0)),"")</f>
        <v>FUNDO MUNICIPAL DE SAUDE</v>
      </c>
      <c r="H1259" t="str">
        <f>IFERROR(INDEX(tEditais[UF],MATCH(tItens[[#This Row],[Edital]],tEditais[Edital],0)),"")</f>
        <v>GO</v>
      </c>
      <c r="I1259" s="11">
        <f>IFERROR(INDEX(tEditais[Encerramento],MATCH(tItens[[#This Row],[Edital]],tEditais[Edital],0)),"")</f>
        <v>46304.3125</v>
      </c>
      <c r="J1259" t="str">
        <f>IFERROR(INDEX(tProdutos[Classe],MATCH(tItens[[#This Row],[Produto]],tProdutos[Produto],0)),"produto não cadastrado")</f>
        <v>FORA</v>
      </c>
      <c r="K1259" s="12">
        <f>tItens[[#This Row],[Qtd]]*tItens[[#This Row],[Vlr unit]]</f>
        <v>0</v>
      </c>
      <c r="L1259" s="6">
        <f>IFERROR(IF(INDEX(tProdutos[Desconto homologado],MATCH(tItens[[#This Row],[Produto]],tProdutos[Produto],0))="",DescontoPadrao,INDEX(tProdutos[Desconto homologado],MATCH(tItens[[#This Row],[Produto]],tProdutos[Produto],0))),DescontoPadrao)</f>
        <v>0.34516963542284401</v>
      </c>
      <c r="M1259" s="12">
        <f>tItens[[#This Row],[Valor]]*(1-tItens[[#This Row],[Desconto]])</f>
        <v>0</v>
      </c>
      <c r="N1259" t="str">
        <f>IFERROR(INDEX(tProdutos[Foco],MATCH(tItens[[#This Row],[Produto]],tProdutos[Produto],0)),"Não")</f>
        <v>Não</v>
      </c>
      <c r="O1259" t="str">
        <f>IFERROR(INDEX(tEditais[SRP],MATCH(tItens[[#This Row],[Edital]],tEditais[Edital],0)),"Não")</f>
        <v>Não</v>
      </c>
      <c r="P1259" s="4">
        <f>IF(COUNTIFS(INDEX(tItens[Edital],1):tItens[[#This Row],[Edital]],tItens[[#This Row],[Edital]],INDEX(tItens[Produto],1):tItens[[#This Row],[Produto]],tItens[[#This Row],[Produto]])=1,1,0)</f>
        <v>0</v>
      </c>
    </row>
    <row r="1260" spans="1:16" x14ac:dyDescent="0.25">
      <c r="A1260" t="s">
        <v>1142</v>
      </c>
      <c r="B1260">
        <v>51</v>
      </c>
      <c r="C1260" t="s">
        <v>4331</v>
      </c>
      <c r="D1260" t="s">
        <v>245</v>
      </c>
      <c r="E1260" s="13">
        <v>120</v>
      </c>
      <c r="F1260" s="12">
        <v>0</v>
      </c>
      <c r="G1260" t="str">
        <f>IFERROR(INDEX(tEditais[Órgão],MATCH(tItens[[#This Row],[Edital]],tEditais[Edital],0)),"")</f>
        <v>FUNDO MUNICIPAL DE SAUDE</v>
      </c>
      <c r="H1260" t="str">
        <f>IFERROR(INDEX(tEditais[UF],MATCH(tItens[[#This Row],[Edital]],tEditais[Edital],0)),"")</f>
        <v>GO</v>
      </c>
      <c r="I1260" s="11">
        <f>IFERROR(INDEX(tEditais[Encerramento],MATCH(tItens[[#This Row],[Edital]],tEditais[Edital],0)),"")</f>
        <v>46304.3125</v>
      </c>
      <c r="J1260" t="str">
        <f>IFERROR(INDEX(tProdutos[Classe],MATCH(tItens[[#This Row],[Produto]],tProdutos[Produto],0)),"produto não cadastrado")</f>
        <v>FORA</v>
      </c>
      <c r="K1260" s="12">
        <f>tItens[[#This Row],[Qtd]]*tItens[[#This Row],[Vlr unit]]</f>
        <v>0</v>
      </c>
      <c r="L1260" s="6">
        <f>IFERROR(IF(INDEX(tProdutos[Desconto homologado],MATCH(tItens[[#This Row],[Produto]],tProdutos[Produto],0))="",DescontoPadrao,INDEX(tProdutos[Desconto homologado],MATCH(tItens[[#This Row],[Produto]],tProdutos[Produto],0))),DescontoPadrao)</f>
        <v>0.34516963542284401</v>
      </c>
      <c r="M1260" s="12">
        <f>tItens[[#This Row],[Valor]]*(1-tItens[[#This Row],[Desconto]])</f>
        <v>0</v>
      </c>
      <c r="N1260" t="str">
        <f>IFERROR(INDEX(tProdutos[Foco],MATCH(tItens[[#This Row],[Produto]],tProdutos[Produto],0)),"Não")</f>
        <v>Não</v>
      </c>
      <c r="O1260" t="str">
        <f>IFERROR(INDEX(tEditais[SRP],MATCH(tItens[[#This Row],[Edital]],tEditais[Edital],0)),"Não")</f>
        <v>Não</v>
      </c>
      <c r="P1260" s="4">
        <f>IF(COUNTIFS(INDEX(tItens[Edital],1):tItens[[#This Row],[Edital]],tItens[[#This Row],[Edital]],INDEX(tItens[Produto],1):tItens[[#This Row],[Produto]],tItens[[#This Row],[Produto]])=1,1,0)</f>
        <v>0</v>
      </c>
    </row>
    <row r="1261" spans="1:16" x14ac:dyDescent="0.25">
      <c r="A1261" t="s">
        <v>1142</v>
      </c>
      <c r="B1261">
        <v>58</v>
      </c>
      <c r="C1261" t="s">
        <v>4332</v>
      </c>
      <c r="D1261" t="s">
        <v>399</v>
      </c>
      <c r="E1261" s="13">
        <v>10</v>
      </c>
      <c r="F1261" s="12">
        <v>0</v>
      </c>
      <c r="G1261" t="str">
        <f>IFERROR(INDEX(tEditais[Órgão],MATCH(tItens[[#This Row],[Edital]],tEditais[Edital],0)),"")</f>
        <v>FUNDO MUNICIPAL DE SAUDE</v>
      </c>
      <c r="H1261" t="str">
        <f>IFERROR(INDEX(tEditais[UF],MATCH(tItens[[#This Row],[Edital]],tEditais[Edital],0)),"")</f>
        <v>GO</v>
      </c>
      <c r="I1261" s="11">
        <f>IFERROR(INDEX(tEditais[Encerramento],MATCH(tItens[[#This Row],[Edital]],tEditais[Edital],0)),"")</f>
        <v>46304.3125</v>
      </c>
      <c r="J1261" t="str">
        <f>IFERROR(INDEX(tProdutos[Classe],MATCH(tItens[[#This Row],[Produto]],tProdutos[Produto],0)),"produto não cadastrado")</f>
        <v>FORA</v>
      </c>
      <c r="K1261" s="12">
        <f>tItens[[#This Row],[Qtd]]*tItens[[#This Row],[Vlr unit]]</f>
        <v>0</v>
      </c>
      <c r="L1261" s="6">
        <f>IFERROR(IF(INDEX(tProdutos[Desconto homologado],MATCH(tItens[[#This Row],[Produto]],tProdutos[Produto],0))="",DescontoPadrao,INDEX(tProdutos[Desconto homologado],MATCH(tItens[[#This Row],[Produto]],tProdutos[Produto],0))),DescontoPadrao)</f>
        <v>0.30009041591320101</v>
      </c>
      <c r="M1261" s="12">
        <f>tItens[[#This Row],[Valor]]*(1-tItens[[#This Row],[Desconto]])</f>
        <v>0</v>
      </c>
      <c r="N1261" t="str">
        <f>IFERROR(INDEX(tProdutos[Foco],MATCH(tItens[[#This Row],[Produto]],tProdutos[Produto],0)),"Não")</f>
        <v>Não</v>
      </c>
      <c r="O1261" t="str">
        <f>IFERROR(INDEX(tEditais[SRP],MATCH(tItens[[#This Row],[Edital]],tEditais[Edital],0)),"Não")</f>
        <v>Não</v>
      </c>
      <c r="P1261" s="4">
        <f>IF(COUNTIFS(INDEX(tItens[Edital],1):tItens[[#This Row],[Edital]],tItens[[#This Row],[Edital]],INDEX(tItens[Produto],1):tItens[[#This Row],[Produto]],tItens[[#This Row],[Produto]])=1,1,0)</f>
        <v>1</v>
      </c>
    </row>
    <row r="1262" spans="1:16" x14ac:dyDescent="0.25">
      <c r="A1262" t="s">
        <v>1142</v>
      </c>
      <c r="B1262">
        <v>59</v>
      </c>
      <c r="C1262" t="s">
        <v>4333</v>
      </c>
      <c r="D1262" t="s">
        <v>170</v>
      </c>
      <c r="E1262" s="13">
        <v>10</v>
      </c>
      <c r="F1262" s="12">
        <v>0</v>
      </c>
      <c r="G1262" t="str">
        <f>IFERROR(INDEX(tEditais[Órgão],MATCH(tItens[[#This Row],[Edital]],tEditais[Edital],0)),"")</f>
        <v>FUNDO MUNICIPAL DE SAUDE</v>
      </c>
      <c r="H1262" t="str">
        <f>IFERROR(INDEX(tEditais[UF],MATCH(tItens[[#This Row],[Edital]],tEditais[Edital],0)),"")</f>
        <v>GO</v>
      </c>
      <c r="I1262" s="11">
        <f>IFERROR(INDEX(tEditais[Encerramento],MATCH(tItens[[#This Row],[Edital]],tEditais[Edital],0)),"")</f>
        <v>46304.3125</v>
      </c>
      <c r="J1262" t="str">
        <f>IFERROR(INDEX(tProdutos[Classe],MATCH(tItens[[#This Row],[Produto]],tProdutos[Produto],0)),"produto não cadastrado")</f>
        <v>DISPUTADO</v>
      </c>
      <c r="K1262" s="12">
        <f>tItens[[#This Row],[Qtd]]*tItens[[#This Row],[Vlr unit]]</f>
        <v>0</v>
      </c>
      <c r="L1262" s="6">
        <f>IFERROR(IF(INDEX(tProdutos[Desconto homologado],MATCH(tItens[[#This Row],[Produto]],tProdutos[Produto],0))="",DescontoPadrao,INDEX(tProdutos[Desconto homologado],MATCH(tItens[[#This Row],[Produto]],tProdutos[Produto],0))),DescontoPadrao)</f>
        <v>0.36</v>
      </c>
      <c r="M1262" s="12">
        <f>tItens[[#This Row],[Valor]]*(1-tItens[[#This Row],[Desconto]])</f>
        <v>0</v>
      </c>
      <c r="N1262" t="str">
        <f>IFERROR(INDEX(tProdutos[Foco],MATCH(tItens[[#This Row],[Produto]],tProdutos[Produto],0)),"Não")</f>
        <v>Sim</v>
      </c>
      <c r="O1262" t="str">
        <f>IFERROR(INDEX(tEditais[SRP],MATCH(tItens[[#This Row],[Edital]],tEditais[Edital],0)),"Não")</f>
        <v>Não</v>
      </c>
      <c r="P1262" s="4">
        <f>IF(COUNTIFS(INDEX(tItens[Edital],1):tItens[[#This Row],[Edital]],tItens[[#This Row],[Edital]],INDEX(tItens[Produto],1):tItens[[#This Row],[Produto]],tItens[[#This Row],[Produto]])=1,1,0)</f>
        <v>1</v>
      </c>
    </row>
    <row r="1263" spans="1:16" x14ac:dyDescent="0.25">
      <c r="A1263" t="s">
        <v>1142</v>
      </c>
      <c r="B1263">
        <v>60</v>
      </c>
      <c r="C1263" t="s">
        <v>4334</v>
      </c>
      <c r="D1263" t="s">
        <v>170</v>
      </c>
      <c r="E1263" s="13">
        <v>10</v>
      </c>
      <c r="F1263" s="12">
        <v>0</v>
      </c>
      <c r="G1263" t="str">
        <f>IFERROR(INDEX(tEditais[Órgão],MATCH(tItens[[#This Row],[Edital]],tEditais[Edital],0)),"")</f>
        <v>FUNDO MUNICIPAL DE SAUDE</v>
      </c>
      <c r="H1263" t="str">
        <f>IFERROR(INDEX(tEditais[UF],MATCH(tItens[[#This Row],[Edital]],tEditais[Edital],0)),"")</f>
        <v>GO</v>
      </c>
      <c r="I1263" s="11">
        <f>IFERROR(INDEX(tEditais[Encerramento],MATCH(tItens[[#This Row],[Edital]],tEditais[Edital],0)),"")</f>
        <v>46304.3125</v>
      </c>
      <c r="J1263" t="str">
        <f>IFERROR(INDEX(tProdutos[Classe],MATCH(tItens[[#This Row],[Produto]],tProdutos[Produto],0)),"produto não cadastrado")</f>
        <v>DISPUTADO</v>
      </c>
      <c r="K1263" s="12">
        <f>tItens[[#This Row],[Qtd]]*tItens[[#This Row],[Vlr unit]]</f>
        <v>0</v>
      </c>
      <c r="L1263" s="6">
        <f>IFERROR(IF(INDEX(tProdutos[Desconto homologado],MATCH(tItens[[#This Row],[Produto]],tProdutos[Produto],0))="",DescontoPadrao,INDEX(tProdutos[Desconto homologado],MATCH(tItens[[#This Row],[Produto]],tProdutos[Produto],0))),DescontoPadrao)</f>
        <v>0.36</v>
      </c>
      <c r="M1263" s="12">
        <f>tItens[[#This Row],[Valor]]*(1-tItens[[#This Row],[Desconto]])</f>
        <v>0</v>
      </c>
      <c r="N1263" t="str">
        <f>IFERROR(INDEX(tProdutos[Foco],MATCH(tItens[[#This Row],[Produto]],tProdutos[Produto],0)),"Não")</f>
        <v>Sim</v>
      </c>
      <c r="O1263" t="str">
        <f>IFERROR(INDEX(tEditais[SRP],MATCH(tItens[[#This Row],[Edital]],tEditais[Edital],0)),"Não")</f>
        <v>Não</v>
      </c>
      <c r="P1263" s="4">
        <f>IF(COUNTIFS(INDEX(tItens[Edital],1):tItens[[#This Row],[Edital]],tItens[[#This Row],[Edital]],INDEX(tItens[Produto],1):tItens[[#This Row],[Produto]],tItens[[#This Row],[Produto]])=1,1,0)</f>
        <v>0</v>
      </c>
    </row>
    <row r="1264" spans="1:16" x14ac:dyDescent="0.25">
      <c r="A1264" t="s">
        <v>1142</v>
      </c>
      <c r="B1264">
        <v>61</v>
      </c>
      <c r="C1264" t="s">
        <v>4335</v>
      </c>
      <c r="D1264" t="s">
        <v>170</v>
      </c>
      <c r="E1264" s="13">
        <v>10</v>
      </c>
      <c r="F1264" s="12">
        <v>0</v>
      </c>
      <c r="G1264" t="str">
        <f>IFERROR(INDEX(tEditais[Órgão],MATCH(tItens[[#This Row],[Edital]],tEditais[Edital],0)),"")</f>
        <v>FUNDO MUNICIPAL DE SAUDE</v>
      </c>
      <c r="H1264" t="str">
        <f>IFERROR(INDEX(tEditais[UF],MATCH(tItens[[#This Row],[Edital]],tEditais[Edital],0)),"")</f>
        <v>GO</v>
      </c>
      <c r="I1264" s="11">
        <f>IFERROR(INDEX(tEditais[Encerramento],MATCH(tItens[[#This Row],[Edital]],tEditais[Edital],0)),"")</f>
        <v>46304.3125</v>
      </c>
      <c r="J1264" t="str">
        <f>IFERROR(INDEX(tProdutos[Classe],MATCH(tItens[[#This Row],[Produto]],tProdutos[Produto],0)),"produto não cadastrado")</f>
        <v>DISPUTADO</v>
      </c>
      <c r="K1264" s="12">
        <f>tItens[[#This Row],[Qtd]]*tItens[[#This Row],[Vlr unit]]</f>
        <v>0</v>
      </c>
      <c r="L1264" s="6">
        <f>IFERROR(IF(INDEX(tProdutos[Desconto homologado],MATCH(tItens[[#This Row],[Produto]],tProdutos[Produto],0))="",DescontoPadrao,INDEX(tProdutos[Desconto homologado],MATCH(tItens[[#This Row],[Produto]],tProdutos[Produto],0))),DescontoPadrao)</f>
        <v>0.36</v>
      </c>
      <c r="M1264" s="12">
        <f>tItens[[#This Row],[Valor]]*(1-tItens[[#This Row],[Desconto]])</f>
        <v>0</v>
      </c>
      <c r="N1264" t="str">
        <f>IFERROR(INDEX(tProdutos[Foco],MATCH(tItens[[#This Row],[Produto]],tProdutos[Produto],0)),"Não")</f>
        <v>Sim</v>
      </c>
      <c r="O1264" t="str">
        <f>IFERROR(INDEX(tEditais[SRP],MATCH(tItens[[#This Row],[Edital]],tEditais[Edital],0)),"Não")</f>
        <v>Não</v>
      </c>
      <c r="P1264" s="4">
        <f>IF(COUNTIFS(INDEX(tItens[Edital],1):tItens[[#This Row],[Edital]],tItens[[#This Row],[Edital]],INDEX(tItens[Produto],1):tItens[[#This Row],[Produto]],tItens[[#This Row],[Produto]])=1,1,0)</f>
        <v>0</v>
      </c>
    </row>
    <row r="1265" spans="1:16" x14ac:dyDescent="0.25">
      <c r="A1265" t="s">
        <v>1142</v>
      </c>
      <c r="B1265">
        <v>109</v>
      </c>
      <c r="C1265" t="s">
        <v>4336</v>
      </c>
      <c r="D1265" t="s">
        <v>596</v>
      </c>
      <c r="E1265" s="13">
        <v>5</v>
      </c>
      <c r="F1265" s="12">
        <v>0</v>
      </c>
      <c r="G1265" t="str">
        <f>IFERROR(INDEX(tEditais[Órgão],MATCH(tItens[[#This Row],[Edital]],tEditais[Edital],0)),"")</f>
        <v>FUNDO MUNICIPAL DE SAUDE</v>
      </c>
      <c r="H1265" t="str">
        <f>IFERROR(INDEX(tEditais[UF],MATCH(tItens[[#This Row],[Edital]],tEditais[Edital],0)),"")</f>
        <v>GO</v>
      </c>
      <c r="I1265" s="11">
        <f>IFERROR(INDEX(tEditais[Encerramento],MATCH(tItens[[#This Row],[Edital]],tEditais[Edital],0)),"")</f>
        <v>46304.3125</v>
      </c>
      <c r="J1265" t="str">
        <f>IFERROR(INDEX(tProdutos[Classe],MATCH(tItens[[#This Row],[Produto]],tProdutos[Produto],0)),"produto não cadastrado")</f>
        <v>FILA REBASE</v>
      </c>
      <c r="K1265" s="12">
        <f>tItens[[#This Row],[Qtd]]*tItens[[#This Row],[Vlr unit]]</f>
        <v>0</v>
      </c>
      <c r="L1265" s="6">
        <f>IFERROR(IF(INDEX(tProdutos[Desconto homologado],MATCH(tItens[[#This Row],[Produto]],tProdutos[Produto],0))="",DescontoPadrao,INDEX(tProdutos[Desconto homologado],MATCH(tItens[[#This Row],[Produto]],tProdutos[Produto],0))),DescontoPadrao)</f>
        <v>0.35501453488372098</v>
      </c>
      <c r="M1265" s="12">
        <f>tItens[[#This Row],[Valor]]*(1-tItens[[#This Row],[Desconto]])</f>
        <v>0</v>
      </c>
      <c r="N1265" t="str">
        <f>IFERROR(INDEX(tProdutos[Foco],MATCH(tItens[[#This Row],[Produto]],tProdutos[Produto],0)),"Não")</f>
        <v>Não</v>
      </c>
      <c r="O1265" t="str">
        <f>IFERROR(INDEX(tEditais[SRP],MATCH(tItens[[#This Row],[Edital]],tEditais[Edital],0)),"Não")</f>
        <v>Não</v>
      </c>
      <c r="P1265" s="4">
        <f>IF(COUNTIFS(INDEX(tItens[Edital],1):tItens[[#This Row],[Edital]],tItens[[#This Row],[Edital]],INDEX(tItens[Produto],1):tItens[[#This Row],[Produto]],tItens[[#This Row],[Produto]])=1,1,0)</f>
        <v>1</v>
      </c>
    </row>
    <row r="1266" spans="1:16" x14ac:dyDescent="0.25">
      <c r="A1266" t="s">
        <v>1142</v>
      </c>
      <c r="B1266">
        <v>116</v>
      </c>
      <c r="C1266" t="s">
        <v>4337</v>
      </c>
      <c r="D1266" t="s">
        <v>67</v>
      </c>
      <c r="E1266" s="13">
        <v>50</v>
      </c>
      <c r="F1266" s="12">
        <v>0</v>
      </c>
      <c r="G1266" t="str">
        <f>IFERROR(INDEX(tEditais[Órgão],MATCH(tItens[[#This Row],[Edital]],tEditais[Edital],0)),"")</f>
        <v>FUNDO MUNICIPAL DE SAUDE</v>
      </c>
      <c r="H1266" t="str">
        <f>IFERROR(INDEX(tEditais[UF],MATCH(tItens[[#This Row],[Edital]],tEditais[Edital],0)),"")</f>
        <v>GO</v>
      </c>
      <c r="I1266" s="11">
        <f>IFERROR(INDEX(tEditais[Encerramento],MATCH(tItens[[#This Row],[Edital]],tEditais[Edital],0)),"")</f>
        <v>46304.3125</v>
      </c>
      <c r="J1266" t="str">
        <f>IFERROR(INDEX(tProdutos[Classe],MATCH(tItens[[#This Row],[Produto]],tProdutos[Produto],0)),"produto não cadastrado")</f>
        <v>NÚCLEO</v>
      </c>
      <c r="K1266" s="12">
        <f>tItens[[#This Row],[Qtd]]*tItens[[#This Row],[Vlr unit]]</f>
        <v>0</v>
      </c>
      <c r="L1266" s="6">
        <f>IFERROR(IF(INDEX(tProdutos[Desconto homologado],MATCH(tItens[[#This Row],[Produto]],tProdutos[Produto],0))="",DescontoPadrao,INDEX(tProdutos[Desconto homologado],MATCH(tItens[[#This Row],[Produto]],tProdutos[Produto],0))),DescontoPadrao)</f>
        <v>0.35766423357664201</v>
      </c>
      <c r="M1266" s="12">
        <f>tItens[[#This Row],[Valor]]*(1-tItens[[#This Row],[Desconto]])</f>
        <v>0</v>
      </c>
      <c r="N1266" t="str">
        <f>IFERROR(INDEX(tProdutos[Foco],MATCH(tItens[[#This Row],[Produto]],tProdutos[Produto],0)),"Não")</f>
        <v>Não</v>
      </c>
      <c r="O1266" t="str">
        <f>IFERROR(INDEX(tEditais[SRP],MATCH(tItens[[#This Row],[Edital]],tEditais[Edital],0)),"Não")</f>
        <v>Não</v>
      </c>
      <c r="P1266" s="4">
        <f>IF(COUNTIFS(INDEX(tItens[Edital],1):tItens[[#This Row],[Edital]],tItens[[#This Row],[Edital]],INDEX(tItens[Produto],1):tItens[[#This Row],[Produto]],tItens[[#This Row],[Produto]])=1,1,0)</f>
        <v>1</v>
      </c>
    </row>
    <row r="1267" spans="1:16" x14ac:dyDescent="0.25">
      <c r="A1267" t="s">
        <v>1142</v>
      </c>
      <c r="B1267">
        <v>117</v>
      </c>
      <c r="C1267" t="s">
        <v>4338</v>
      </c>
      <c r="D1267" t="s">
        <v>67</v>
      </c>
      <c r="E1267" s="13">
        <v>50</v>
      </c>
      <c r="F1267" s="12">
        <v>0</v>
      </c>
      <c r="G1267" t="str">
        <f>IFERROR(INDEX(tEditais[Órgão],MATCH(tItens[[#This Row],[Edital]],tEditais[Edital],0)),"")</f>
        <v>FUNDO MUNICIPAL DE SAUDE</v>
      </c>
      <c r="H1267" t="str">
        <f>IFERROR(INDEX(tEditais[UF],MATCH(tItens[[#This Row],[Edital]],tEditais[Edital],0)),"")</f>
        <v>GO</v>
      </c>
      <c r="I1267" s="11">
        <f>IFERROR(INDEX(tEditais[Encerramento],MATCH(tItens[[#This Row],[Edital]],tEditais[Edital],0)),"")</f>
        <v>46304.3125</v>
      </c>
      <c r="J1267" t="str">
        <f>IFERROR(INDEX(tProdutos[Classe],MATCH(tItens[[#This Row],[Produto]],tProdutos[Produto],0)),"produto não cadastrado")</f>
        <v>NÚCLEO</v>
      </c>
      <c r="K1267" s="12">
        <f>tItens[[#This Row],[Qtd]]*tItens[[#This Row],[Vlr unit]]</f>
        <v>0</v>
      </c>
      <c r="L1267" s="6">
        <f>IFERROR(IF(INDEX(tProdutos[Desconto homologado],MATCH(tItens[[#This Row],[Produto]],tProdutos[Produto],0))="",DescontoPadrao,INDEX(tProdutos[Desconto homologado],MATCH(tItens[[#This Row],[Produto]],tProdutos[Produto],0))),DescontoPadrao)</f>
        <v>0.35766423357664201</v>
      </c>
      <c r="M1267" s="12">
        <f>tItens[[#This Row],[Valor]]*(1-tItens[[#This Row],[Desconto]])</f>
        <v>0</v>
      </c>
      <c r="N1267" t="str">
        <f>IFERROR(INDEX(tProdutos[Foco],MATCH(tItens[[#This Row],[Produto]],tProdutos[Produto],0)),"Não")</f>
        <v>Não</v>
      </c>
      <c r="O1267" t="str">
        <f>IFERROR(INDEX(tEditais[SRP],MATCH(tItens[[#This Row],[Edital]],tEditais[Edital],0)),"Não")</f>
        <v>Não</v>
      </c>
      <c r="P1267" s="4">
        <f>IF(COUNTIFS(INDEX(tItens[Edital],1):tItens[[#This Row],[Edital]],tItens[[#This Row],[Edital]],INDEX(tItens[Produto],1):tItens[[#This Row],[Produto]],tItens[[#This Row],[Produto]])=1,1,0)</f>
        <v>0</v>
      </c>
    </row>
    <row r="1268" spans="1:16" x14ac:dyDescent="0.25">
      <c r="A1268" t="s">
        <v>1142</v>
      </c>
      <c r="B1268">
        <v>150</v>
      </c>
      <c r="C1268" t="s">
        <v>4339</v>
      </c>
      <c r="D1268" t="s">
        <v>512</v>
      </c>
      <c r="E1268" s="13">
        <v>20</v>
      </c>
      <c r="F1268" s="12">
        <v>0</v>
      </c>
      <c r="G1268" t="str">
        <f>IFERROR(INDEX(tEditais[Órgão],MATCH(tItens[[#This Row],[Edital]],tEditais[Edital],0)),"")</f>
        <v>FUNDO MUNICIPAL DE SAUDE</v>
      </c>
      <c r="H1268" t="str">
        <f>IFERROR(INDEX(tEditais[UF],MATCH(tItens[[#This Row],[Edital]],tEditais[Edital],0)),"")</f>
        <v>GO</v>
      </c>
      <c r="I1268" s="11">
        <f>IFERROR(INDEX(tEditais[Encerramento],MATCH(tItens[[#This Row],[Edital]],tEditais[Edital],0)),"")</f>
        <v>46304.3125</v>
      </c>
      <c r="J1268" t="str">
        <f>IFERROR(INDEX(tProdutos[Classe],MATCH(tItens[[#This Row],[Produto]],tProdutos[Produto],0)),"produto não cadastrado")</f>
        <v>FILA REBASE</v>
      </c>
      <c r="K1268" s="12">
        <f>tItens[[#This Row],[Qtd]]*tItens[[#This Row],[Vlr unit]]</f>
        <v>0</v>
      </c>
      <c r="L1268" s="6">
        <f>IFERROR(IF(INDEX(tProdutos[Desconto homologado],MATCH(tItens[[#This Row],[Produto]],tProdutos[Produto],0))="",DescontoPadrao,INDEX(tProdutos[Desconto homologado],MATCH(tItens[[#This Row],[Produto]],tProdutos[Produto],0))),DescontoPadrao)</f>
        <v>0.32579365079365102</v>
      </c>
      <c r="M1268" s="12">
        <f>tItens[[#This Row],[Valor]]*(1-tItens[[#This Row],[Desconto]])</f>
        <v>0</v>
      </c>
      <c r="N1268" t="str">
        <f>IFERROR(INDEX(tProdutos[Foco],MATCH(tItens[[#This Row],[Produto]],tProdutos[Produto],0)),"Não")</f>
        <v>Não</v>
      </c>
      <c r="O1268" t="str">
        <f>IFERROR(INDEX(tEditais[SRP],MATCH(tItens[[#This Row],[Edital]],tEditais[Edital],0)),"Não")</f>
        <v>Não</v>
      </c>
      <c r="P1268" s="4">
        <f>IF(COUNTIFS(INDEX(tItens[Edital],1):tItens[[#This Row],[Edital]],tItens[[#This Row],[Edital]],INDEX(tItens[Produto],1):tItens[[#This Row],[Produto]],tItens[[#This Row],[Produto]])=1,1,0)</f>
        <v>1</v>
      </c>
    </row>
    <row r="1269" spans="1:16" x14ac:dyDescent="0.25">
      <c r="A1269" t="s">
        <v>1142</v>
      </c>
      <c r="B1269">
        <v>151</v>
      </c>
      <c r="C1269" t="s">
        <v>4340</v>
      </c>
      <c r="D1269" t="s">
        <v>512</v>
      </c>
      <c r="E1269" s="13">
        <v>20</v>
      </c>
      <c r="F1269" s="12">
        <v>0</v>
      </c>
      <c r="G1269" t="str">
        <f>IFERROR(INDEX(tEditais[Órgão],MATCH(tItens[[#This Row],[Edital]],tEditais[Edital],0)),"")</f>
        <v>FUNDO MUNICIPAL DE SAUDE</v>
      </c>
      <c r="H1269" t="str">
        <f>IFERROR(INDEX(tEditais[UF],MATCH(tItens[[#This Row],[Edital]],tEditais[Edital],0)),"")</f>
        <v>GO</v>
      </c>
      <c r="I1269" s="11">
        <f>IFERROR(INDEX(tEditais[Encerramento],MATCH(tItens[[#This Row],[Edital]],tEditais[Edital],0)),"")</f>
        <v>46304.3125</v>
      </c>
      <c r="J1269" t="str">
        <f>IFERROR(INDEX(tProdutos[Classe],MATCH(tItens[[#This Row],[Produto]],tProdutos[Produto],0)),"produto não cadastrado")</f>
        <v>FILA REBASE</v>
      </c>
      <c r="K1269" s="12">
        <f>tItens[[#This Row],[Qtd]]*tItens[[#This Row],[Vlr unit]]</f>
        <v>0</v>
      </c>
      <c r="L1269" s="6">
        <f>IFERROR(IF(INDEX(tProdutos[Desconto homologado],MATCH(tItens[[#This Row],[Produto]],tProdutos[Produto],0))="",DescontoPadrao,INDEX(tProdutos[Desconto homologado],MATCH(tItens[[#This Row],[Produto]],tProdutos[Produto],0))),DescontoPadrao)</f>
        <v>0.32579365079365102</v>
      </c>
      <c r="M1269" s="12">
        <f>tItens[[#This Row],[Valor]]*(1-tItens[[#This Row],[Desconto]])</f>
        <v>0</v>
      </c>
      <c r="N1269" t="str">
        <f>IFERROR(INDEX(tProdutos[Foco],MATCH(tItens[[#This Row],[Produto]],tProdutos[Produto],0)),"Não")</f>
        <v>Não</v>
      </c>
      <c r="O1269" t="str">
        <f>IFERROR(INDEX(tEditais[SRP],MATCH(tItens[[#This Row],[Edital]],tEditais[Edital],0)),"Não")</f>
        <v>Não</v>
      </c>
      <c r="P1269" s="4">
        <f>IF(COUNTIFS(INDEX(tItens[Edital],1):tItens[[#This Row],[Edital]],tItens[[#This Row],[Edital]],INDEX(tItens[Produto],1):tItens[[#This Row],[Produto]],tItens[[#This Row],[Produto]])=1,1,0)</f>
        <v>0</v>
      </c>
    </row>
    <row r="1270" spans="1:16" x14ac:dyDescent="0.25">
      <c r="A1270" t="s">
        <v>1142</v>
      </c>
      <c r="B1270">
        <v>160</v>
      </c>
      <c r="C1270" t="s">
        <v>4341</v>
      </c>
      <c r="D1270" t="s">
        <v>156</v>
      </c>
      <c r="E1270" s="13">
        <v>100</v>
      </c>
      <c r="F1270" s="12">
        <v>0</v>
      </c>
      <c r="G1270" t="str">
        <f>IFERROR(INDEX(tEditais[Órgão],MATCH(tItens[[#This Row],[Edital]],tEditais[Edital],0)),"")</f>
        <v>FUNDO MUNICIPAL DE SAUDE</v>
      </c>
      <c r="H1270" t="str">
        <f>IFERROR(INDEX(tEditais[UF],MATCH(tItens[[#This Row],[Edital]],tEditais[Edital],0)),"")</f>
        <v>GO</v>
      </c>
      <c r="I1270" s="11">
        <f>IFERROR(INDEX(tEditais[Encerramento],MATCH(tItens[[#This Row],[Edital]],tEditais[Edital],0)),"")</f>
        <v>46304.3125</v>
      </c>
      <c r="J1270" t="str">
        <f>IFERROR(INDEX(tProdutos[Classe],MATCH(tItens[[#This Row],[Produto]],tProdutos[Produto],0)),"produto não cadastrado")</f>
        <v>DISPUTADO</v>
      </c>
      <c r="K1270" s="12">
        <f>tItens[[#This Row],[Qtd]]*tItens[[#This Row],[Vlr unit]]</f>
        <v>0</v>
      </c>
      <c r="L1270" s="6">
        <f>IFERROR(IF(INDEX(tProdutos[Desconto homologado],MATCH(tItens[[#This Row],[Produto]],tProdutos[Produto],0))="",DescontoPadrao,INDEX(tProdutos[Desconto homologado],MATCH(tItens[[#This Row],[Produto]],tProdutos[Produto],0))),DescontoPadrao)</f>
        <v>0.27131852489802799</v>
      </c>
      <c r="M1270" s="12">
        <f>tItens[[#This Row],[Valor]]*(1-tItens[[#This Row],[Desconto]])</f>
        <v>0</v>
      </c>
      <c r="N1270" t="str">
        <f>IFERROR(INDEX(tProdutos[Foco],MATCH(tItens[[#This Row],[Produto]],tProdutos[Produto],0)),"Não")</f>
        <v>Não</v>
      </c>
      <c r="O1270" t="str">
        <f>IFERROR(INDEX(tEditais[SRP],MATCH(tItens[[#This Row],[Edital]],tEditais[Edital],0)),"Não")</f>
        <v>Não</v>
      </c>
      <c r="P1270" s="4">
        <f>IF(COUNTIFS(INDEX(tItens[Edital],1):tItens[[#This Row],[Edital]],tItens[[#This Row],[Edital]],INDEX(tItens[Produto],1):tItens[[#This Row],[Produto]],tItens[[#This Row],[Produto]])=1,1,0)</f>
        <v>1</v>
      </c>
    </row>
    <row r="1271" spans="1:16" x14ac:dyDescent="0.25">
      <c r="A1271" t="s">
        <v>1142</v>
      </c>
      <c r="B1271">
        <v>161</v>
      </c>
      <c r="C1271" t="s">
        <v>4342</v>
      </c>
      <c r="D1271" t="s">
        <v>405</v>
      </c>
      <c r="E1271" s="13">
        <v>100</v>
      </c>
      <c r="F1271" s="12">
        <v>0</v>
      </c>
      <c r="G1271" t="str">
        <f>IFERROR(INDEX(tEditais[Órgão],MATCH(tItens[[#This Row],[Edital]],tEditais[Edital],0)),"")</f>
        <v>FUNDO MUNICIPAL DE SAUDE</v>
      </c>
      <c r="H1271" t="str">
        <f>IFERROR(INDEX(tEditais[UF],MATCH(tItens[[#This Row],[Edital]],tEditais[Edital],0)),"")</f>
        <v>GO</v>
      </c>
      <c r="I1271" s="11">
        <f>IFERROR(INDEX(tEditais[Encerramento],MATCH(tItens[[#This Row],[Edital]],tEditais[Edital],0)),"")</f>
        <v>46304.3125</v>
      </c>
      <c r="J1271" t="str">
        <f>IFERROR(INDEX(tProdutos[Classe],MATCH(tItens[[#This Row],[Produto]],tProdutos[Produto],0)),"produto não cadastrado")</f>
        <v>FORA</v>
      </c>
      <c r="K1271" s="12">
        <f>tItens[[#This Row],[Qtd]]*tItens[[#This Row],[Vlr unit]]</f>
        <v>0</v>
      </c>
      <c r="L1271" s="6">
        <f>IFERROR(IF(INDEX(tProdutos[Desconto homologado],MATCH(tItens[[#This Row],[Produto]],tProdutos[Produto],0))="",DescontoPadrao,INDEX(tProdutos[Desconto homologado],MATCH(tItens[[#This Row],[Produto]],tProdutos[Produto],0))),DescontoPadrao)</f>
        <v>0.43839061190276601</v>
      </c>
      <c r="M1271" s="12">
        <f>tItens[[#This Row],[Valor]]*(1-tItens[[#This Row],[Desconto]])</f>
        <v>0</v>
      </c>
      <c r="N1271" t="str">
        <f>IFERROR(INDEX(tProdutos[Foco],MATCH(tItens[[#This Row],[Produto]],tProdutos[Produto],0)),"Não")</f>
        <v>Não</v>
      </c>
      <c r="O1271" t="str">
        <f>IFERROR(INDEX(tEditais[SRP],MATCH(tItens[[#This Row],[Edital]],tEditais[Edital],0)),"Não")</f>
        <v>Não</v>
      </c>
      <c r="P1271" s="4">
        <f>IF(COUNTIFS(INDEX(tItens[Edital],1):tItens[[#This Row],[Edital]],tItens[[#This Row],[Edital]],INDEX(tItens[Produto],1):tItens[[#This Row],[Produto]],tItens[[#This Row],[Produto]])=1,1,0)</f>
        <v>1</v>
      </c>
    </row>
    <row r="1272" spans="1:16" x14ac:dyDescent="0.25">
      <c r="A1272" t="s">
        <v>1142</v>
      </c>
      <c r="B1272">
        <v>162</v>
      </c>
      <c r="C1272" t="s">
        <v>4343</v>
      </c>
      <c r="D1272" t="s">
        <v>277</v>
      </c>
      <c r="E1272" s="13">
        <v>1000</v>
      </c>
      <c r="F1272" s="12">
        <v>0</v>
      </c>
      <c r="G1272" t="str">
        <f>IFERROR(INDEX(tEditais[Órgão],MATCH(tItens[[#This Row],[Edital]],tEditais[Edital],0)),"")</f>
        <v>FUNDO MUNICIPAL DE SAUDE</v>
      </c>
      <c r="H1272" t="str">
        <f>IFERROR(INDEX(tEditais[UF],MATCH(tItens[[#This Row],[Edital]],tEditais[Edital],0)),"")</f>
        <v>GO</v>
      </c>
      <c r="I1272" s="11">
        <f>IFERROR(INDEX(tEditais[Encerramento],MATCH(tItens[[#This Row],[Edital]],tEditais[Edital],0)),"")</f>
        <v>46304.3125</v>
      </c>
      <c r="J1272" t="str">
        <f>IFERROR(INDEX(tProdutos[Classe],MATCH(tItens[[#This Row],[Produto]],tProdutos[Produto],0)),"produto não cadastrado")</f>
        <v>DISPUTADO</v>
      </c>
      <c r="K1272" s="12">
        <f>tItens[[#This Row],[Qtd]]*tItens[[#This Row],[Vlr unit]]</f>
        <v>0</v>
      </c>
      <c r="L1272" s="6">
        <f>IFERROR(IF(INDEX(tProdutos[Desconto homologado],MATCH(tItens[[#This Row],[Produto]],tProdutos[Produto],0))="",DescontoPadrao,INDEX(tProdutos[Desconto homologado],MATCH(tItens[[#This Row],[Produto]],tProdutos[Produto],0))),DescontoPadrao)</f>
        <v>0.50460666194188497</v>
      </c>
      <c r="M1272" s="12">
        <f>tItens[[#This Row],[Valor]]*(1-tItens[[#This Row],[Desconto]])</f>
        <v>0</v>
      </c>
      <c r="N1272" t="str">
        <f>IFERROR(INDEX(tProdutos[Foco],MATCH(tItens[[#This Row],[Produto]],tProdutos[Produto],0)),"Não")</f>
        <v>Não</v>
      </c>
      <c r="O1272" t="str">
        <f>IFERROR(INDEX(tEditais[SRP],MATCH(tItens[[#This Row],[Edital]],tEditais[Edital],0)),"Não")</f>
        <v>Não</v>
      </c>
      <c r="P1272" s="4">
        <f>IF(COUNTIFS(INDEX(tItens[Edital],1):tItens[[#This Row],[Edital]],tItens[[#This Row],[Edital]],INDEX(tItens[Produto],1):tItens[[#This Row],[Produto]],tItens[[#This Row],[Produto]])=1,1,0)</f>
        <v>1</v>
      </c>
    </row>
    <row r="1273" spans="1:16" x14ac:dyDescent="0.25">
      <c r="A1273" t="s">
        <v>1142</v>
      </c>
      <c r="B1273">
        <v>164</v>
      </c>
      <c r="C1273" t="s">
        <v>4344</v>
      </c>
      <c r="D1273" t="s">
        <v>142</v>
      </c>
      <c r="E1273" s="13">
        <v>300</v>
      </c>
      <c r="F1273" s="12">
        <v>0</v>
      </c>
      <c r="G1273" t="str">
        <f>IFERROR(INDEX(tEditais[Órgão],MATCH(tItens[[#This Row],[Edital]],tEditais[Edital],0)),"")</f>
        <v>FUNDO MUNICIPAL DE SAUDE</v>
      </c>
      <c r="H1273" t="str">
        <f>IFERROR(INDEX(tEditais[UF],MATCH(tItens[[#This Row],[Edital]],tEditais[Edital],0)),"")</f>
        <v>GO</v>
      </c>
      <c r="I1273" s="11">
        <f>IFERROR(INDEX(tEditais[Encerramento],MATCH(tItens[[#This Row],[Edital]],tEditais[Edital],0)),"")</f>
        <v>46304.3125</v>
      </c>
      <c r="J1273" t="str">
        <f>IFERROR(INDEX(tProdutos[Classe],MATCH(tItens[[#This Row],[Produto]],tProdutos[Produto],0)),"produto não cadastrado")</f>
        <v>DISPUTADO</v>
      </c>
      <c r="K1273" s="12">
        <f>tItens[[#This Row],[Qtd]]*tItens[[#This Row],[Vlr unit]]</f>
        <v>0</v>
      </c>
      <c r="L1273" s="6">
        <f>IFERROR(IF(INDEX(tProdutos[Desconto homologado],MATCH(tItens[[#This Row],[Produto]],tProdutos[Produto],0))="",DescontoPadrao,INDEX(tProdutos[Desconto homologado],MATCH(tItens[[#This Row],[Produto]],tProdutos[Produto],0))),DescontoPadrao)</f>
        <v>0.37093619495691699</v>
      </c>
      <c r="M1273" s="12">
        <f>tItens[[#This Row],[Valor]]*(1-tItens[[#This Row],[Desconto]])</f>
        <v>0</v>
      </c>
      <c r="N1273" t="str">
        <f>IFERROR(INDEX(tProdutos[Foco],MATCH(tItens[[#This Row],[Produto]],tProdutos[Produto],0)),"Não")</f>
        <v>Não</v>
      </c>
      <c r="O1273" t="str">
        <f>IFERROR(INDEX(tEditais[SRP],MATCH(tItens[[#This Row],[Edital]],tEditais[Edital],0)),"Não")</f>
        <v>Não</v>
      </c>
      <c r="P1273" s="4">
        <f>IF(COUNTIFS(INDEX(tItens[Edital],1):tItens[[#This Row],[Edital]],tItens[[#This Row],[Edital]],INDEX(tItens[Produto],1):tItens[[#This Row],[Produto]],tItens[[#This Row],[Produto]])=1,1,0)</f>
        <v>1</v>
      </c>
    </row>
    <row r="1274" spans="1:16" x14ac:dyDescent="0.25">
      <c r="A1274" t="s">
        <v>1142</v>
      </c>
      <c r="B1274">
        <v>169</v>
      </c>
      <c r="C1274" t="s">
        <v>4345</v>
      </c>
      <c r="D1274" t="s">
        <v>62</v>
      </c>
      <c r="E1274" s="13">
        <v>10000</v>
      </c>
      <c r="F1274" s="12">
        <v>0</v>
      </c>
      <c r="G1274" t="str">
        <f>IFERROR(INDEX(tEditais[Órgão],MATCH(tItens[[#This Row],[Edital]],tEditais[Edital],0)),"")</f>
        <v>FUNDO MUNICIPAL DE SAUDE</v>
      </c>
      <c r="H1274" t="str">
        <f>IFERROR(INDEX(tEditais[UF],MATCH(tItens[[#This Row],[Edital]],tEditais[Edital],0)),"")</f>
        <v>GO</v>
      </c>
      <c r="I1274" s="11">
        <f>IFERROR(INDEX(tEditais[Encerramento],MATCH(tItens[[#This Row],[Edital]],tEditais[Edital],0)),"")</f>
        <v>46304.3125</v>
      </c>
      <c r="J1274" t="str">
        <f>IFERROR(INDEX(tProdutos[Classe],MATCH(tItens[[#This Row],[Produto]],tProdutos[Produto],0)),"produto não cadastrado")</f>
        <v>NÚCLEO</v>
      </c>
      <c r="K1274" s="12">
        <f>tItens[[#This Row],[Qtd]]*tItens[[#This Row],[Vlr unit]]</f>
        <v>0</v>
      </c>
      <c r="L1274" s="6">
        <f>IFERROR(IF(INDEX(tProdutos[Desconto homologado],MATCH(tItens[[#This Row],[Produto]],tProdutos[Produto],0))="",DescontoPadrao,INDEX(tProdutos[Desconto homologado],MATCH(tItens[[#This Row],[Produto]],tProdutos[Produto],0))),DescontoPadrao)</f>
        <v>0.3</v>
      </c>
      <c r="M1274" s="12">
        <f>tItens[[#This Row],[Valor]]*(1-tItens[[#This Row],[Desconto]])</f>
        <v>0</v>
      </c>
      <c r="N1274" t="str">
        <f>IFERROR(INDEX(tProdutos[Foco],MATCH(tItens[[#This Row],[Produto]],tProdutos[Produto],0)),"Não")</f>
        <v>Sim</v>
      </c>
      <c r="O1274" t="str">
        <f>IFERROR(INDEX(tEditais[SRP],MATCH(tItens[[#This Row],[Edital]],tEditais[Edital],0)),"Não")</f>
        <v>Não</v>
      </c>
      <c r="P1274" s="4">
        <f>IF(COUNTIFS(INDEX(tItens[Edital],1):tItens[[#This Row],[Edital]],tItens[[#This Row],[Edital]],INDEX(tItens[Produto],1):tItens[[#This Row],[Produto]],tItens[[#This Row],[Produto]])=1,1,0)</f>
        <v>1</v>
      </c>
    </row>
    <row r="1275" spans="1:16" x14ac:dyDescent="0.25">
      <c r="A1275" t="s">
        <v>1142</v>
      </c>
      <c r="B1275">
        <v>170</v>
      </c>
      <c r="C1275" t="s">
        <v>4346</v>
      </c>
      <c r="D1275" t="s">
        <v>62</v>
      </c>
      <c r="E1275" s="13">
        <v>7500</v>
      </c>
      <c r="F1275" s="12">
        <v>0</v>
      </c>
      <c r="G1275" t="str">
        <f>IFERROR(INDEX(tEditais[Órgão],MATCH(tItens[[#This Row],[Edital]],tEditais[Edital],0)),"")</f>
        <v>FUNDO MUNICIPAL DE SAUDE</v>
      </c>
      <c r="H1275" t="str">
        <f>IFERROR(INDEX(tEditais[UF],MATCH(tItens[[#This Row],[Edital]],tEditais[Edital],0)),"")</f>
        <v>GO</v>
      </c>
      <c r="I1275" s="11">
        <f>IFERROR(INDEX(tEditais[Encerramento],MATCH(tItens[[#This Row],[Edital]],tEditais[Edital],0)),"")</f>
        <v>46304.3125</v>
      </c>
      <c r="J1275" t="str">
        <f>IFERROR(INDEX(tProdutos[Classe],MATCH(tItens[[#This Row],[Produto]],tProdutos[Produto],0)),"produto não cadastrado")</f>
        <v>NÚCLEO</v>
      </c>
      <c r="K1275" s="12">
        <f>tItens[[#This Row],[Qtd]]*tItens[[#This Row],[Vlr unit]]</f>
        <v>0</v>
      </c>
      <c r="L1275" s="6">
        <f>IFERROR(IF(INDEX(tProdutos[Desconto homologado],MATCH(tItens[[#This Row],[Produto]],tProdutos[Produto],0))="",DescontoPadrao,INDEX(tProdutos[Desconto homologado],MATCH(tItens[[#This Row],[Produto]],tProdutos[Produto],0))),DescontoPadrao)</f>
        <v>0.3</v>
      </c>
      <c r="M1275" s="12">
        <f>tItens[[#This Row],[Valor]]*(1-tItens[[#This Row],[Desconto]])</f>
        <v>0</v>
      </c>
      <c r="N1275" t="str">
        <f>IFERROR(INDEX(tProdutos[Foco],MATCH(tItens[[#This Row],[Produto]],tProdutos[Produto],0)),"Não")</f>
        <v>Sim</v>
      </c>
      <c r="O1275" t="str">
        <f>IFERROR(INDEX(tEditais[SRP],MATCH(tItens[[#This Row],[Edital]],tEditais[Edital],0)),"Não")</f>
        <v>Não</v>
      </c>
      <c r="P1275" s="4">
        <f>IF(COUNTIFS(INDEX(tItens[Edital],1):tItens[[#This Row],[Edital]],tItens[[#This Row],[Edital]],INDEX(tItens[Produto],1):tItens[[#This Row],[Produto]],tItens[[#This Row],[Produto]])=1,1,0)</f>
        <v>0</v>
      </c>
    </row>
    <row r="1276" spans="1:16" x14ac:dyDescent="0.25">
      <c r="A1276" t="s">
        <v>1142</v>
      </c>
      <c r="B1276">
        <v>171</v>
      </c>
      <c r="C1276" t="s">
        <v>4347</v>
      </c>
      <c r="D1276" t="s">
        <v>124</v>
      </c>
      <c r="E1276" s="13">
        <v>7500</v>
      </c>
      <c r="F1276" s="12">
        <v>0</v>
      </c>
      <c r="G1276" t="str">
        <f>IFERROR(INDEX(tEditais[Órgão],MATCH(tItens[[#This Row],[Edital]],tEditais[Edital],0)),"")</f>
        <v>FUNDO MUNICIPAL DE SAUDE</v>
      </c>
      <c r="H1276" t="str">
        <f>IFERROR(INDEX(tEditais[UF],MATCH(tItens[[#This Row],[Edital]],tEditais[Edital],0)),"")</f>
        <v>GO</v>
      </c>
      <c r="I1276" s="11">
        <f>IFERROR(INDEX(tEditais[Encerramento],MATCH(tItens[[#This Row],[Edital]],tEditais[Edital],0)),"")</f>
        <v>46304.3125</v>
      </c>
      <c r="J1276" t="str">
        <f>IFERROR(INDEX(tProdutos[Classe],MATCH(tItens[[#This Row],[Produto]],tProdutos[Produto],0)),"produto não cadastrado")</f>
        <v>DISPUTADO</v>
      </c>
      <c r="K1276" s="12">
        <f>tItens[[#This Row],[Qtd]]*tItens[[#This Row],[Vlr unit]]</f>
        <v>0</v>
      </c>
      <c r="L1276" s="6">
        <f>IFERROR(IF(INDEX(tProdutos[Desconto homologado],MATCH(tItens[[#This Row],[Produto]],tProdutos[Produto],0))="",DescontoPadrao,INDEX(tProdutos[Desconto homologado],MATCH(tItens[[#This Row],[Produto]],tProdutos[Produto],0))),DescontoPadrao)</f>
        <v>0.34</v>
      </c>
      <c r="M1276" s="12">
        <f>tItens[[#This Row],[Valor]]*(1-tItens[[#This Row],[Desconto]])</f>
        <v>0</v>
      </c>
      <c r="N1276" t="str">
        <f>IFERROR(INDEX(tProdutos[Foco],MATCH(tItens[[#This Row],[Produto]],tProdutos[Produto],0)),"Não")</f>
        <v>Sim</v>
      </c>
      <c r="O1276" t="str">
        <f>IFERROR(INDEX(tEditais[SRP],MATCH(tItens[[#This Row],[Edital]],tEditais[Edital],0)),"Não")</f>
        <v>Não</v>
      </c>
      <c r="P1276" s="4">
        <f>IF(COUNTIFS(INDEX(tItens[Edital],1):tItens[[#This Row],[Edital]],tItens[[#This Row],[Edital]],INDEX(tItens[Produto],1):tItens[[#This Row],[Produto]],tItens[[#This Row],[Produto]])=1,1,0)</f>
        <v>1</v>
      </c>
    </row>
    <row r="1277" spans="1:16" x14ac:dyDescent="0.25">
      <c r="A1277" t="s">
        <v>1142</v>
      </c>
      <c r="B1277">
        <v>172</v>
      </c>
      <c r="C1277" t="s">
        <v>4348</v>
      </c>
      <c r="D1277" t="s">
        <v>357</v>
      </c>
      <c r="E1277" s="13">
        <v>5000</v>
      </c>
      <c r="F1277" s="12">
        <v>0</v>
      </c>
      <c r="G1277" t="str">
        <f>IFERROR(INDEX(tEditais[Órgão],MATCH(tItens[[#This Row],[Edital]],tEditais[Edital],0)),"")</f>
        <v>FUNDO MUNICIPAL DE SAUDE</v>
      </c>
      <c r="H1277" t="str">
        <f>IFERROR(INDEX(tEditais[UF],MATCH(tItens[[#This Row],[Edital]],tEditais[Edital],0)),"")</f>
        <v>GO</v>
      </c>
      <c r="I1277" s="11">
        <f>IFERROR(INDEX(tEditais[Encerramento],MATCH(tItens[[#This Row],[Edital]],tEditais[Edital],0)),"")</f>
        <v>46304.3125</v>
      </c>
      <c r="J1277" t="str">
        <f>IFERROR(INDEX(tProdutos[Classe],MATCH(tItens[[#This Row],[Produto]],tProdutos[Produto],0)),"produto não cadastrado")</f>
        <v>FORA</v>
      </c>
      <c r="K1277" s="12">
        <f>tItens[[#This Row],[Qtd]]*tItens[[#This Row],[Vlr unit]]</f>
        <v>0</v>
      </c>
      <c r="L1277" s="6">
        <f>IFERROR(IF(INDEX(tProdutos[Desconto homologado],MATCH(tItens[[#This Row],[Produto]],tProdutos[Produto],0))="",DescontoPadrao,INDEX(tProdutos[Desconto homologado],MATCH(tItens[[#This Row],[Produto]],tProdutos[Produto],0))),DescontoPadrao)</f>
        <v>0.38730158730158698</v>
      </c>
      <c r="M1277" s="12">
        <f>tItens[[#This Row],[Valor]]*(1-tItens[[#This Row],[Desconto]])</f>
        <v>0</v>
      </c>
      <c r="N1277" t="str">
        <f>IFERROR(INDEX(tProdutos[Foco],MATCH(tItens[[#This Row],[Produto]],tProdutos[Produto],0)),"Não")</f>
        <v>Não</v>
      </c>
      <c r="O1277" t="str">
        <f>IFERROR(INDEX(tEditais[SRP],MATCH(tItens[[#This Row],[Edital]],tEditais[Edital],0)),"Não")</f>
        <v>Não</v>
      </c>
      <c r="P1277" s="4">
        <f>IF(COUNTIFS(INDEX(tItens[Edital],1):tItens[[#This Row],[Edital]],tItens[[#This Row],[Edital]],INDEX(tItens[Produto],1):tItens[[#This Row],[Produto]],tItens[[#This Row],[Produto]])=1,1,0)</f>
        <v>1</v>
      </c>
    </row>
    <row r="1278" spans="1:16" x14ac:dyDescent="0.25">
      <c r="A1278" t="s">
        <v>1142</v>
      </c>
      <c r="B1278">
        <v>173</v>
      </c>
      <c r="C1278" t="s">
        <v>4349</v>
      </c>
      <c r="D1278" t="s">
        <v>339</v>
      </c>
      <c r="E1278" s="13">
        <v>12</v>
      </c>
      <c r="F1278" s="12">
        <v>0</v>
      </c>
      <c r="G1278" t="str">
        <f>IFERROR(INDEX(tEditais[Órgão],MATCH(tItens[[#This Row],[Edital]],tEditais[Edital],0)),"")</f>
        <v>FUNDO MUNICIPAL DE SAUDE</v>
      </c>
      <c r="H1278" t="str">
        <f>IFERROR(INDEX(tEditais[UF],MATCH(tItens[[#This Row],[Edital]],tEditais[Edital],0)),"")</f>
        <v>GO</v>
      </c>
      <c r="I1278" s="11">
        <f>IFERROR(INDEX(tEditais[Encerramento],MATCH(tItens[[#This Row],[Edital]],tEditais[Edital],0)),"")</f>
        <v>46304.3125</v>
      </c>
      <c r="J1278" t="str">
        <f>IFERROR(INDEX(tProdutos[Classe],MATCH(tItens[[#This Row],[Produto]],tProdutos[Produto],0)),"produto não cadastrado")</f>
        <v>FORA</v>
      </c>
      <c r="K1278" s="12">
        <f>tItens[[#This Row],[Qtd]]*tItens[[#This Row],[Vlr unit]]</f>
        <v>0</v>
      </c>
      <c r="L1278" s="6">
        <f>IFERROR(IF(INDEX(tProdutos[Desconto homologado],MATCH(tItens[[#This Row],[Produto]],tProdutos[Produto],0))="",DescontoPadrao,INDEX(tProdutos[Desconto homologado],MATCH(tItens[[#This Row],[Produto]],tProdutos[Produto],0))),DescontoPadrao)</f>
        <v>0.35388629091804102</v>
      </c>
      <c r="M1278" s="12">
        <f>tItens[[#This Row],[Valor]]*(1-tItens[[#This Row],[Desconto]])</f>
        <v>0</v>
      </c>
      <c r="N1278" t="str">
        <f>IFERROR(INDEX(tProdutos[Foco],MATCH(tItens[[#This Row],[Produto]],tProdutos[Produto],0)),"Não")</f>
        <v>Não</v>
      </c>
      <c r="O1278" t="str">
        <f>IFERROR(INDEX(tEditais[SRP],MATCH(tItens[[#This Row],[Edital]],tEditais[Edital],0)),"Não")</f>
        <v>Não</v>
      </c>
      <c r="P1278" s="4">
        <f>IF(COUNTIFS(INDEX(tItens[Edital],1):tItens[[#This Row],[Edital]],tItens[[#This Row],[Edital]],INDEX(tItens[Produto],1):tItens[[#This Row],[Produto]],tItens[[#This Row],[Produto]])=1,1,0)</f>
        <v>1</v>
      </c>
    </row>
    <row r="1279" spans="1:16" x14ac:dyDescent="0.25">
      <c r="A1279" t="s">
        <v>1142</v>
      </c>
      <c r="B1279">
        <v>174</v>
      </c>
      <c r="C1279" t="s">
        <v>4350</v>
      </c>
      <c r="D1279" t="s">
        <v>339</v>
      </c>
      <c r="E1279" s="13">
        <v>100</v>
      </c>
      <c r="F1279" s="12">
        <v>0</v>
      </c>
      <c r="G1279" t="str">
        <f>IFERROR(INDEX(tEditais[Órgão],MATCH(tItens[[#This Row],[Edital]],tEditais[Edital],0)),"")</f>
        <v>FUNDO MUNICIPAL DE SAUDE</v>
      </c>
      <c r="H1279" t="str">
        <f>IFERROR(INDEX(tEditais[UF],MATCH(tItens[[#This Row],[Edital]],tEditais[Edital],0)),"")</f>
        <v>GO</v>
      </c>
      <c r="I1279" s="11">
        <f>IFERROR(INDEX(tEditais[Encerramento],MATCH(tItens[[#This Row],[Edital]],tEditais[Edital],0)),"")</f>
        <v>46304.3125</v>
      </c>
      <c r="J1279" t="str">
        <f>IFERROR(INDEX(tProdutos[Classe],MATCH(tItens[[#This Row],[Produto]],tProdutos[Produto],0)),"produto não cadastrado")</f>
        <v>FORA</v>
      </c>
      <c r="K1279" s="12">
        <f>tItens[[#This Row],[Qtd]]*tItens[[#This Row],[Vlr unit]]</f>
        <v>0</v>
      </c>
      <c r="L1279" s="6">
        <f>IFERROR(IF(INDEX(tProdutos[Desconto homologado],MATCH(tItens[[#This Row],[Produto]],tProdutos[Produto],0))="",DescontoPadrao,INDEX(tProdutos[Desconto homologado],MATCH(tItens[[#This Row],[Produto]],tProdutos[Produto],0))),DescontoPadrao)</f>
        <v>0.35388629091804102</v>
      </c>
      <c r="M1279" s="12">
        <f>tItens[[#This Row],[Valor]]*(1-tItens[[#This Row],[Desconto]])</f>
        <v>0</v>
      </c>
      <c r="N1279" t="str">
        <f>IFERROR(INDEX(tProdutos[Foco],MATCH(tItens[[#This Row],[Produto]],tProdutos[Produto],0)),"Não")</f>
        <v>Não</v>
      </c>
      <c r="O1279" t="str">
        <f>IFERROR(INDEX(tEditais[SRP],MATCH(tItens[[#This Row],[Edital]],tEditais[Edital],0)),"Não")</f>
        <v>Não</v>
      </c>
      <c r="P1279" s="4">
        <f>IF(COUNTIFS(INDEX(tItens[Edital],1):tItens[[#This Row],[Edital]],tItens[[#This Row],[Edital]],INDEX(tItens[Produto],1):tItens[[#This Row],[Produto]],tItens[[#This Row],[Produto]])=1,1,0)</f>
        <v>0</v>
      </c>
    </row>
    <row r="1280" spans="1:16" x14ac:dyDescent="0.25">
      <c r="A1280" t="s">
        <v>1142</v>
      </c>
      <c r="B1280">
        <v>175</v>
      </c>
      <c r="C1280" t="s">
        <v>4351</v>
      </c>
      <c r="D1280" t="s">
        <v>339</v>
      </c>
      <c r="E1280" s="13">
        <v>500</v>
      </c>
      <c r="F1280" s="12">
        <v>0</v>
      </c>
      <c r="G1280" t="str">
        <f>IFERROR(INDEX(tEditais[Órgão],MATCH(tItens[[#This Row],[Edital]],tEditais[Edital],0)),"")</f>
        <v>FUNDO MUNICIPAL DE SAUDE</v>
      </c>
      <c r="H1280" t="str">
        <f>IFERROR(INDEX(tEditais[UF],MATCH(tItens[[#This Row],[Edital]],tEditais[Edital],0)),"")</f>
        <v>GO</v>
      </c>
      <c r="I1280" s="11">
        <f>IFERROR(INDEX(tEditais[Encerramento],MATCH(tItens[[#This Row],[Edital]],tEditais[Edital],0)),"")</f>
        <v>46304.3125</v>
      </c>
      <c r="J1280" t="str">
        <f>IFERROR(INDEX(tProdutos[Classe],MATCH(tItens[[#This Row],[Produto]],tProdutos[Produto],0)),"produto não cadastrado")</f>
        <v>FORA</v>
      </c>
      <c r="K1280" s="12">
        <f>tItens[[#This Row],[Qtd]]*tItens[[#This Row],[Vlr unit]]</f>
        <v>0</v>
      </c>
      <c r="L1280" s="6">
        <f>IFERROR(IF(INDEX(tProdutos[Desconto homologado],MATCH(tItens[[#This Row],[Produto]],tProdutos[Produto],0))="",DescontoPadrao,INDEX(tProdutos[Desconto homologado],MATCH(tItens[[#This Row],[Produto]],tProdutos[Produto],0))),DescontoPadrao)</f>
        <v>0.35388629091804102</v>
      </c>
      <c r="M1280" s="12">
        <f>tItens[[#This Row],[Valor]]*(1-tItens[[#This Row],[Desconto]])</f>
        <v>0</v>
      </c>
      <c r="N1280" t="str">
        <f>IFERROR(INDEX(tProdutos[Foco],MATCH(tItens[[#This Row],[Produto]],tProdutos[Produto],0)),"Não")</f>
        <v>Não</v>
      </c>
      <c r="O1280" t="str">
        <f>IFERROR(INDEX(tEditais[SRP],MATCH(tItens[[#This Row],[Edital]],tEditais[Edital],0)),"Não")</f>
        <v>Não</v>
      </c>
      <c r="P1280" s="4">
        <f>IF(COUNTIFS(INDEX(tItens[Edital],1):tItens[[#This Row],[Edital]],tItens[[#This Row],[Edital]],INDEX(tItens[Produto],1):tItens[[#This Row],[Produto]],tItens[[#This Row],[Produto]])=1,1,0)</f>
        <v>0</v>
      </c>
    </row>
    <row r="1281" spans="1:16" x14ac:dyDescent="0.25">
      <c r="A1281" t="s">
        <v>1142</v>
      </c>
      <c r="B1281">
        <v>176</v>
      </c>
      <c r="C1281" t="s">
        <v>4352</v>
      </c>
      <c r="D1281" t="s">
        <v>339</v>
      </c>
      <c r="E1281" s="13">
        <v>500</v>
      </c>
      <c r="F1281" s="12">
        <v>0</v>
      </c>
      <c r="G1281" t="str">
        <f>IFERROR(INDEX(tEditais[Órgão],MATCH(tItens[[#This Row],[Edital]],tEditais[Edital],0)),"")</f>
        <v>FUNDO MUNICIPAL DE SAUDE</v>
      </c>
      <c r="H1281" t="str">
        <f>IFERROR(INDEX(tEditais[UF],MATCH(tItens[[#This Row],[Edital]],tEditais[Edital],0)),"")</f>
        <v>GO</v>
      </c>
      <c r="I1281" s="11">
        <f>IFERROR(INDEX(tEditais[Encerramento],MATCH(tItens[[#This Row],[Edital]],tEditais[Edital],0)),"")</f>
        <v>46304.3125</v>
      </c>
      <c r="J1281" t="str">
        <f>IFERROR(INDEX(tProdutos[Classe],MATCH(tItens[[#This Row],[Produto]],tProdutos[Produto],0)),"produto não cadastrado")</f>
        <v>FORA</v>
      </c>
      <c r="K1281" s="12">
        <f>tItens[[#This Row],[Qtd]]*tItens[[#This Row],[Vlr unit]]</f>
        <v>0</v>
      </c>
      <c r="L1281" s="6">
        <f>IFERROR(IF(INDEX(tProdutos[Desconto homologado],MATCH(tItens[[#This Row],[Produto]],tProdutos[Produto],0))="",DescontoPadrao,INDEX(tProdutos[Desconto homologado],MATCH(tItens[[#This Row],[Produto]],tProdutos[Produto],0))),DescontoPadrao)</f>
        <v>0.35388629091804102</v>
      </c>
      <c r="M1281" s="12">
        <f>tItens[[#This Row],[Valor]]*(1-tItens[[#This Row],[Desconto]])</f>
        <v>0</v>
      </c>
      <c r="N1281" t="str">
        <f>IFERROR(INDEX(tProdutos[Foco],MATCH(tItens[[#This Row],[Produto]],tProdutos[Produto],0)),"Não")</f>
        <v>Não</v>
      </c>
      <c r="O1281" t="str">
        <f>IFERROR(INDEX(tEditais[SRP],MATCH(tItens[[#This Row],[Edital]],tEditais[Edital],0)),"Não")</f>
        <v>Não</v>
      </c>
      <c r="P1281" s="4">
        <f>IF(COUNTIFS(INDEX(tItens[Edital],1):tItens[[#This Row],[Edital]],tItens[[#This Row],[Edital]],INDEX(tItens[Produto],1):tItens[[#This Row],[Produto]],tItens[[#This Row],[Produto]])=1,1,0)</f>
        <v>0</v>
      </c>
    </row>
    <row r="1282" spans="1:16" x14ac:dyDescent="0.25">
      <c r="A1282" t="s">
        <v>1142</v>
      </c>
      <c r="B1282">
        <v>177</v>
      </c>
      <c r="C1282" t="s">
        <v>4353</v>
      </c>
      <c r="D1282" t="s">
        <v>339</v>
      </c>
      <c r="E1282" s="13">
        <v>500</v>
      </c>
      <c r="F1282" s="12">
        <v>0</v>
      </c>
      <c r="G1282" t="str">
        <f>IFERROR(INDEX(tEditais[Órgão],MATCH(tItens[[#This Row],[Edital]],tEditais[Edital],0)),"")</f>
        <v>FUNDO MUNICIPAL DE SAUDE</v>
      </c>
      <c r="H1282" t="str">
        <f>IFERROR(INDEX(tEditais[UF],MATCH(tItens[[#This Row],[Edital]],tEditais[Edital],0)),"")</f>
        <v>GO</v>
      </c>
      <c r="I1282" s="11">
        <f>IFERROR(INDEX(tEditais[Encerramento],MATCH(tItens[[#This Row],[Edital]],tEditais[Edital],0)),"")</f>
        <v>46304.3125</v>
      </c>
      <c r="J1282" t="str">
        <f>IFERROR(INDEX(tProdutos[Classe],MATCH(tItens[[#This Row],[Produto]],tProdutos[Produto],0)),"produto não cadastrado")</f>
        <v>FORA</v>
      </c>
      <c r="K1282" s="12">
        <f>tItens[[#This Row],[Qtd]]*tItens[[#This Row],[Vlr unit]]</f>
        <v>0</v>
      </c>
      <c r="L1282" s="6">
        <f>IFERROR(IF(INDEX(tProdutos[Desconto homologado],MATCH(tItens[[#This Row],[Produto]],tProdutos[Produto],0))="",DescontoPadrao,INDEX(tProdutos[Desconto homologado],MATCH(tItens[[#This Row],[Produto]],tProdutos[Produto],0))),DescontoPadrao)</f>
        <v>0.35388629091804102</v>
      </c>
      <c r="M1282" s="12">
        <f>tItens[[#This Row],[Valor]]*(1-tItens[[#This Row],[Desconto]])</f>
        <v>0</v>
      </c>
      <c r="N1282" t="str">
        <f>IFERROR(INDEX(tProdutos[Foco],MATCH(tItens[[#This Row],[Produto]],tProdutos[Produto],0)),"Não")</f>
        <v>Não</v>
      </c>
      <c r="O1282" t="str">
        <f>IFERROR(INDEX(tEditais[SRP],MATCH(tItens[[#This Row],[Edital]],tEditais[Edital],0)),"Não")</f>
        <v>Não</v>
      </c>
      <c r="P1282" s="4">
        <f>IF(COUNTIFS(INDEX(tItens[Edital],1):tItens[[#This Row],[Edital]],tItens[[#This Row],[Edital]],INDEX(tItens[Produto],1):tItens[[#This Row],[Produto]],tItens[[#This Row],[Produto]])=1,1,0)</f>
        <v>0</v>
      </c>
    </row>
    <row r="1283" spans="1:16" x14ac:dyDescent="0.25">
      <c r="A1283" t="s">
        <v>1142</v>
      </c>
      <c r="B1283">
        <v>178</v>
      </c>
      <c r="C1283" t="s">
        <v>4354</v>
      </c>
      <c r="D1283" t="s">
        <v>339</v>
      </c>
      <c r="E1283" s="13">
        <v>300</v>
      </c>
      <c r="F1283" s="12">
        <v>0</v>
      </c>
      <c r="G1283" t="str">
        <f>IFERROR(INDEX(tEditais[Órgão],MATCH(tItens[[#This Row],[Edital]],tEditais[Edital],0)),"")</f>
        <v>FUNDO MUNICIPAL DE SAUDE</v>
      </c>
      <c r="H1283" t="str">
        <f>IFERROR(INDEX(tEditais[UF],MATCH(tItens[[#This Row],[Edital]],tEditais[Edital],0)),"")</f>
        <v>GO</v>
      </c>
      <c r="I1283" s="11">
        <f>IFERROR(INDEX(tEditais[Encerramento],MATCH(tItens[[#This Row],[Edital]],tEditais[Edital],0)),"")</f>
        <v>46304.3125</v>
      </c>
      <c r="J1283" t="str">
        <f>IFERROR(INDEX(tProdutos[Classe],MATCH(tItens[[#This Row],[Produto]],tProdutos[Produto],0)),"produto não cadastrado")</f>
        <v>FORA</v>
      </c>
      <c r="K1283" s="12">
        <f>tItens[[#This Row],[Qtd]]*tItens[[#This Row],[Vlr unit]]</f>
        <v>0</v>
      </c>
      <c r="L1283" s="6">
        <f>IFERROR(IF(INDEX(tProdutos[Desconto homologado],MATCH(tItens[[#This Row],[Produto]],tProdutos[Produto],0))="",DescontoPadrao,INDEX(tProdutos[Desconto homologado],MATCH(tItens[[#This Row],[Produto]],tProdutos[Produto],0))),DescontoPadrao)</f>
        <v>0.35388629091804102</v>
      </c>
      <c r="M1283" s="12">
        <f>tItens[[#This Row],[Valor]]*(1-tItens[[#This Row],[Desconto]])</f>
        <v>0</v>
      </c>
      <c r="N1283" t="str">
        <f>IFERROR(INDEX(tProdutos[Foco],MATCH(tItens[[#This Row],[Produto]],tProdutos[Produto],0)),"Não")</f>
        <v>Não</v>
      </c>
      <c r="O1283" t="str">
        <f>IFERROR(INDEX(tEditais[SRP],MATCH(tItens[[#This Row],[Edital]],tEditais[Edital],0)),"Não")</f>
        <v>Não</v>
      </c>
      <c r="P1283" s="4">
        <f>IF(COUNTIFS(INDEX(tItens[Edital],1):tItens[[#This Row],[Edital]],tItens[[#This Row],[Edital]],INDEX(tItens[Produto],1):tItens[[#This Row],[Produto]],tItens[[#This Row],[Produto]])=1,1,0)</f>
        <v>0</v>
      </c>
    </row>
    <row r="1284" spans="1:16" x14ac:dyDescent="0.25">
      <c r="A1284" t="s">
        <v>1142</v>
      </c>
      <c r="B1284">
        <v>179</v>
      </c>
      <c r="C1284" t="s">
        <v>4355</v>
      </c>
      <c r="D1284" t="s">
        <v>339</v>
      </c>
      <c r="E1284" s="13">
        <v>100</v>
      </c>
      <c r="F1284" s="12">
        <v>0</v>
      </c>
      <c r="G1284" t="str">
        <f>IFERROR(INDEX(tEditais[Órgão],MATCH(tItens[[#This Row],[Edital]],tEditais[Edital],0)),"")</f>
        <v>FUNDO MUNICIPAL DE SAUDE</v>
      </c>
      <c r="H1284" t="str">
        <f>IFERROR(INDEX(tEditais[UF],MATCH(tItens[[#This Row],[Edital]],tEditais[Edital],0)),"")</f>
        <v>GO</v>
      </c>
      <c r="I1284" s="11">
        <f>IFERROR(INDEX(tEditais[Encerramento],MATCH(tItens[[#This Row],[Edital]],tEditais[Edital],0)),"")</f>
        <v>46304.3125</v>
      </c>
      <c r="J1284" t="str">
        <f>IFERROR(INDEX(tProdutos[Classe],MATCH(tItens[[#This Row],[Produto]],tProdutos[Produto],0)),"produto não cadastrado")</f>
        <v>FORA</v>
      </c>
      <c r="K1284" s="12">
        <f>tItens[[#This Row],[Qtd]]*tItens[[#This Row],[Vlr unit]]</f>
        <v>0</v>
      </c>
      <c r="L1284" s="6">
        <f>IFERROR(IF(INDEX(tProdutos[Desconto homologado],MATCH(tItens[[#This Row],[Produto]],tProdutos[Produto],0))="",DescontoPadrao,INDEX(tProdutos[Desconto homologado],MATCH(tItens[[#This Row],[Produto]],tProdutos[Produto],0))),DescontoPadrao)</f>
        <v>0.35388629091804102</v>
      </c>
      <c r="M1284" s="12">
        <f>tItens[[#This Row],[Valor]]*(1-tItens[[#This Row],[Desconto]])</f>
        <v>0</v>
      </c>
      <c r="N1284" t="str">
        <f>IFERROR(INDEX(tProdutos[Foco],MATCH(tItens[[#This Row],[Produto]],tProdutos[Produto],0)),"Não")</f>
        <v>Não</v>
      </c>
      <c r="O1284" t="str">
        <f>IFERROR(INDEX(tEditais[SRP],MATCH(tItens[[#This Row],[Edital]],tEditais[Edital],0)),"Não")</f>
        <v>Não</v>
      </c>
      <c r="P1284" s="4">
        <f>IF(COUNTIFS(INDEX(tItens[Edital],1):tItens[[#This Row],[Edital]],tItens[[#This Row],[Edital]],INDEX(tItens[Produto],1):tItens[[#This Row],[Produto]],tItens[[#This Row],[Produto]])=1,1,0)</f>
        <v>0</v>
      </c>
    </row>
    <row r="1285" spans="1:16" x14ac:dyDescent="0.25">
      <c r="A1285" t="s">
        <v>1142</v>
      </c>
      <c r="B1285">
        <v>181</v>
      </c>
      <c r="C1285" t="s">
        <v>4356</v>
      </c>
      <c r="D1285" t="s">
        <v>345</v>
      </c>
      <c r="E1285" s="13">
        <v>100</v>
      </c>
      <c r="F1285" s="12">
        <v>0</v>
      </c>
      <c r="G1285" t="str">
        <f>IFERROR(INDEX(tEditais[Órgão],MATCH(tItens[[#This Row],[Edital]],tEditais[Edital],0)),"")</f>
        <v>FUNDO MUNICIPAL DE SAUDE</v>
      </c>
      <c r="H1285" t="str">
        <f>IFERROR(INDEX(tEditais[UF],MATCH(tItens[[#This Row],[Edital]],tEditais[Edital],0)),"")</f>
        <v>GO</v>
      </c>
      <c r="I1285" s="11">
        <f>IFERROR(INDEX(tEditais[Encerramento],MATCH(tItens[[#This Row],[Edital]],tEditais[Edital],0)),"")</f>
        <v>46304.3125</v>
      </c>
      <c r="J1285" t="str">
        <f>IFERROR(INDEX(tProdutos[Classe],MATCH(tItens[[#This Row],[Produto]],tProdutos[Produto],0)),"produto não cadastrado")</f>
        <v>FORA</v>
      </c>
      <c r="K1285" s="12">
        <f>tItens[[#This Row],[Qtd]]*tItens[[#This Row],[Vlr unit]]</f>
        <v>0</v>
      </c>
      <c r="L1285" s="6">
        <f>IFERROR(IF(INDEX(tProdutos[Desconto homologado],MATCH(tItens[[#This Row],[Produto]],tProdutos[Produto],0))="",DescontoPadrao,INDEX(tProdutos[Desconto homologado],MATCH(tItens[[#This Row],[Produto]],tProdutos[Produto],0))),DescontoPadrao)</f>
        <v>0.412394275616498</v>
      </c>
      <c r="M1285" s="12">
        <f>tItens[[#This Row],[Valor]]*(1-tItens[[#This Row],[Desconto]])</f>
        <v>0</v>
      </c>
      <c r="N1285" t="str">
        <f>IFERROR(INDEX(tProdutos[Foco],MATCH(tItens[[#This Row],[Produto]],tProdutos[Produto],0)),"Não")</f>
        <v>Não</v>
      </c>
      <c r="O1285" t="str">
        <f>IFERROR(INDEX(tEditais[SRP],MATCH(tItens[[#This Row],[Edital]],tEditais[Edital],0)),"Não")</f>
        <v>Não</v>
      </c>
      <c r="P1285" s="4">
        <f>IF(COUNTIFS(INDEX(tItens[Edital],1):tItens[[#This Row],[Edital]],tItens[[#This Row],[Edital]],INDEX(tItens[Produto],1):tItens[[#This Row],[Produto]],tItens[[#This Row],[Produto]])=1,1,0)</f>
        <v>1</v>
      </c>
    </row>
    <row r="1286" spans="1:16" x14ac:dyDescent="0.25">
      <c r="A1286" t="s">
        <v>1142</v>
      </c>
      <c r="B1286">
        <v>182</v>
      </c>
      <c r="C1286" t="s">
        <v>4357</v>
      </c>
      <c r="D1286" t="s">
        <v>345</v>
      </c>
      <c r="E1286" s="13">
        <v>500</v>
      </c>
      <c r="F1286" s="12">
        <v>0</v>
      </c>
      <c r="G1286" t="str">
        <f>IFERROR(INDEX(tEditais[Órgão],MATCH(tItens[[#This Row],[Edital]],tEditais[Edital],0)),"")</f>
        <v>FUNDO MUNICIPAL DE SAUDE</v>
      </c>
      <c r="H1286" t="str">
        <f>IFERROR(INDEX(tEditais[UF],MATCH(tItens[[#This Row],[Edital]],tEditais[Edital],0)),"")</f>
        <v>GO</v>
      </c>
      <c r="I1286" s="11">
        <f>IFERROR(INDEX(tEditais[Encerramento],MATCH(tItens[[#This Row],[Edital]],tEditais[Edital],0)),"")</f>
        <v>46304.3125</v>
      </c>
      <c r="J1286" t="str">
        <f>IFERROR(INDEX(tProdutos[Classe],MATCH(tItens[[#This Row],[Produto]],tProdutos[Produto],0)),"produto não cadastrado")</f>
        <v>FORA</v>
      </c>
      <c r="K1286" s="12">
        <f>tItens[[#This Row],[Qtd]]*tItens[[#This Row],[Vlr unit]]</f>
        <v>0</v>
      </c>
      <c r="L1286" s="6">
        <f>IFERROR(IF(INDEX(tProdutos[Desconto homologado],MATCH(tItens[[#This Row],[Produto]],tProdutos[Produto],0))="",DescontoPadrao,INDEX(tProdutos[Desconto homologado],MATCH(tItens[[#This Row],[Produto]],tProdutos[Produto],0))),DescontoPadrao)</f>
        <v>0.412394275616498</v>
      </c>
      <c r="M1286" s="12">
        <f>tItens[[#This Row],[Valor]]*(1-tItens[[#This Row],[Desconto]])</f>
        <v>0</v>
      </c>
      <c r="N1286" t="str">
        <f>IFERROR(INDEX(tProdutos[Foco],MATCH(tItens[[#This Row],[Produto]],tProdutos[Produto],0)),"Não")</f>
        <v>Não</v>
      </c>
      <c r="O1286" t="str">
        <f>IFERROR(INDEX(tEditais[SRP],MATCH(tItens[[#This Row],[Edital]],tEditais[Edital],0)),"Não")</f>
        <v>Não</v>
      </c>
      <c r="P1286" s="4">
        <f>IF(COUNTIFS(INDEX(tItens[Edital],1):tItens[[#This Row],[Edital]],tItens[[#This Row],[Edital]],INDEX(tItens[Produto],1):tItens[[#This Row],[Produto]],tItens[[#This Row],[Produto]])=1,1,0)</f>
        <v>0</v>
      </c>
    </row>
    <row r="1287" spans="1:16" x14ac:dyDescent="0.25">
      <c r="A1287" t="s">
        <v>1142</v>
      </c>
      <c r="B1287">
        <v>183</v>
      </c>
      <c r="C1287" t="s">
        <v>4358</v>
      </c>
      <c r="D1287" t="s">
        <v>345</v>
      </c>
      <c r="E1287" s="13">
        <v>500</v>
      </c>
      <c r="F1287" s="12">
        <v>0</v>
      </c>
      <c r="G1287" t="str">
        <f>IFERROR(INDEX(tEditais[Órgão],MATCH(tItens[[#This Row],[Edital]],tEditais[Edital],0)),"")</f>
        <v>FUNDO MUNICIPAL DE SAUDE</v>
      </c>
      <c r="H1287" t="str">
        <f>IFERROR(INDEX(tEditais[UF],MATCH(tItens[[#This Row],[Edital]],tEditais[Edital],0)),"")</f>
        <v>GO</v>
      </c>
      <c r="I1287" s="11">
        <f>IFERROR(INDEX(tEditais[Encerramento],MATCH(tItens[[#This Row],[Edital]],tEditais[Edital],0)),"")</f>
        <v>46304.3125</v>
      </c>
      <c r="J1287" t="str">
        <f>IFERROR(INDEX(tProdutos[Classe],MATCH(tItens[[#This Row],[Produto]],tProdutos[Produto],0)),"produto não cadastrado")</f>
        <v>FORA</v>
      </c>
      <c r="K1287" s="12">
        <f>tItens[[#This Row],[Qtd]]*tItens[[#This Row],[Vlr unit]]</f>
        <v>0</v>
      </c>
      <c r="L1287" s="6">
        <f>IFERROR(IF(INDEX(tProdutos[Desconto homologado],MATCH(tItens[[#This Row],[Produto]],tProdutos[Produto],0))="",DescontoPadrao,INDEX(tProdutos[Desconto homologado],MATCH(tItens[[#This Row],[Produto]],tProdutos[Produto],0))),DescontoPadrao)</f>
        <v>0.412394275616498</v>
      </c>
      <c r="M1287" s="12">
        <f>tItens[[#This Row],[Valor]]*(1-tItens[[#This Row],[Desconto]])</f>
        <v>0</v>
      </c>
      <c r="N1287" t="str">
        <f>IFERROR(INDEX(tProdutos[Foco],MATCH(tItens[[#This Row],[Produto]],tProdutos[Produto],0)),"Não")</f>
        <v>Não</v>
      </c>
      <c r="O1287" t="str">
        <f>IFERROR(INDEX(tEditais[SRP],MATCH(tItens[[#This Row],[Edital]],tEditais[Edital],0)),"Não")</f>
        <v>Não</v>
      </c>
      <c r="P1287" s="4">
        <f>IF(COUNTIFS(INDEX(tItens[Edital],1):tItens[[#This Row],[Edital]],tItens[[#This Row],[Edital]],INDEX(tItens[Produto],1):tItens[[#This Row],[Produto]],tItens[[#This Row],[Produto]])=1,1,0)</f>
        <v>0</v>
      </c>
    </row>
    <row r="1288" spans="1:16" x14ac:dyDescent="0.25">
      <c r="A1288" t="s">
        <v>1142</v>
      </c>
      <c r="B1288">
        <v>184</v>
      </c>
      <c r="C1288" t="s">
        <v>4359</v>
      </c>
      <c r="D1288" t="s">
        <v>345</v>
      </c>
      <c r="E1288" s="13">
        <v>500</v>
      </c>
      <c r="F1288" s="12">
        <v>0</v>
      </c>
      <c r="G1288" t="str">
        <f>IFERROR(INDEX(tEditais[Órgão],MATCH(tItens[[#This Row],[Edital]],tEditais[Edital],0)),"")</f>
        <v>FUNDO MUNICIPAL DE SAUDE</v>
      </c>
      <c r="H1288" t="str">
        <f>IFERROR(INDEX(tEditais[UF],MATCH(tItens[[#This Row],[Edital]],tEditais[Edital],0)),"")</f>
        <v>GO</v>
      </c>
      <c r="I1288" s="11">
        <f>IFERROR(INDEX(tEditais[Encerramento],MATCH(tItens[[#This Row],[Edital]],tEditais[Edital],0)),"")</f>
        <v>46304.3125</v>
      </c>
      <c r="J1288" t="str">
        <f>IFERROR(INDEX(tProdutos[Classe],MATCH(tItens[[#This Row],[Produto]],tProdutos[Produto],0)),"produto não cadastrado")</f>
        <v>FORA</v>
      </c>
      <c r="K1288" s="12">
        <f>tItens[[#This Row],[Qtd]]*tItens[[#This Row],[Vlr unit]]</f>
        <v>0</v>
      </c>
      <c r="L1288" s="6">
        <f>IFERROR(IF(INDEX(tProdutos[Desconto homologado],MATCH(tItens[[#This Row],[Produto]],tProdutos[Produto],0))="",DescontoPadrao,INDEX(tProdutos[Desconto homologado],MATCH(tItens[[#This Row],[Produto]],tProdutos[Produto],0))),DescontoPadrao)</f>
        <v>0.412394275616498</v>
      </c>
      <c r="M1288" s="12">
        <f>tItens[[#This Row],[Valor]]*(1-tItens[[#This Row],[Desconto]])</f>
        <v>0</v>
      </c>
      <c r="N1288" t="str">
        <f>IFERROR(INDEX(tProdutos[Foco],MATCH(tItens[[#This Row],[Produto]],tProdutos[Produto],0)),"Não")</f>
        <v>Não</v>
      </c>
      <c r="O1288" t="str">
        <f>IFERROR(INDEX(tEditais[SRP],MATCH(tItens[[#This Row],[Edital]],tEditais[Edital],0)),"Não")</f>
        <v>Não</v>
      </c>
      <c r="P1288" s="4">
        <f>IF(COUNTIFS(INDEX(tItens[Edital],1):tItens[[#This Row],[Edital]],tItens[[#This Row],[Edital]],INDEX(tItens[Produto],1):tItens[[#This Row],[Produto]],tItens[[#This Row],[Produto]])=1,1,0)</f>
        <v>0</v>
      </c>
    </row>
    <row r="1289" spans="1:16" x14ac:dyDescent="0.25">
      <c r="A1289" t="s">
        <v>1142</v>
      </c>
      <c r="B1289">
        <v>185</v>
      </c>
      <c r="C1289" t="s">
        <v>4360</v>
      </c>
      <c r="D1289" t="s">
        <v>345</v>
      </c>
      <c r="E1289" s="13">
        <v>500</v>
      </c>
      <c r="F1289" s="12">
        <v>0</v>
      </c>
      <c r="G1289" t="str">
        <f>IFERROR(INDEX(tEditais[Órgão],MATCH(tItens[[#This Row],[Edital]],tEditais[Edital],0)),"")</f>
        <v>FUNDO MUNICIPAL DE SAUDE</v>
      </c>
      <c r="H1289" t="str">
        <f>IFERROR(INDEX(tEditais[UF],MATCH(tItens[[#This Row],[Edital]],tEditais[Edital],0)),"")</f>
        <v>GO</v>
      </c>
      <c r="I1289" s="11">
        <f>IFERROR(INDEX(tEditais[Encerramento],MATCH(tItens[[#This Row],[Edital]],tEditais[Edital],0)),"")</f>
        <v>46304.3125</v>
      </c>
      <c r="J1289" t="str">
        <f>IFERROR(INDEX(tProdutos[Classe],MATCH(tItens[[#This Row],[Produto]],tProdutos[Produto],0)),"produto não cadastrado")</f>
        <v>FORA</v>
      </c>
      <c r="K1289" s="12">
        <f>tItens[[#This Row],[Qtd]]*tItens[[#This Row],[Vlr unit]]</f>
        <v>0</v>
      </c>
      <c r="L1289" s="6">
        <f>IFERROR(IF(INDEX(tProdutos[Desconto homologado],MATCH(tItens[[#This Row],[Produto]],tProdutos[Produto],0))="",DescontoPadrao,INDEX(tProdutos[Desconto homologado],MATCH(tItens[[#This Row],[Produto]],tProdutos[Produto],0))),DescontoPadrao)</f>
        <v>0.412394275616498</v>
      </c>
      <c r="M1289" s="12">
        <f>tItens[[#This Row],[Valor]]*(1-tItens[[#This Row],[Desconto]])</f>
        <v>0</v>
      </c>
      <c r="N1289" t="str">
        <f>IFERROR(INDEX(tProdutos[Foco],MATCH(tItens[[#This Row],[Produto]],tProdutos[Produto],0)),"Não")</f>
        <v>Não</v>
      </c>
      <c r="O1289" t="str">
        <f>IFERROR(INDEX(tEditais[SRP],MATCH(tItens[[#This Row],[Edital]],tEditais[Edital],0)),"Não")</f>
        <v>Não</v>
      </c>
      <c r="P1289" s="4">
        <f>IF(COUNTIFS(INDEX(tItens[Edital],1):tItens[[#This Row],[Edital]],tItens[[#This Row],[Edital]],INDEX(tItens[Produto],1):tItens[[#This Row],[Produto]],tItens[[#This Row],[Produto]])=1,1,0)</f>
        <v>0</v>
      </c>
    </row>
    <row r="1290" spans="1:16" x14ac:dyDescent="0.25">
      <c r="A1290" t="s">
        <v>1142</v>
      </c>
      <c r="B1290">
        <v>186</v>
      </c>
      <c r="C1290" t="s">
        <v>4361</v>
      </c>
      <c r="D1290" t="s">
        <v>345</v>
      </c>
      <c r="E1290" s="13">
        <v>100</v>
      </c>
      <c r="F1290" s="12">
        <v>0</v>
      </c>
      <c r="G1290" t="str">
        <f>IFERROR(INDEX(tEditais[Órgão],MATCH(tItens[[#This Row],[Edital]],tEditais[Edital],0)),"")</f>
        <v>FUNDO MUNICIPAL DE SAUDE</v>
      </c>
      <c r="H1290" t="str">
        <f>IFERROR(INDEX(tEditais[UF],MATCH(tItens[[#This Row],[Edital]],tEditais[Edital],0)),"")</f>
        <v>GO</v>
      </c>
      <c r="I1290" s="11">
        <f>IFERROR(INDEX(tEditais[Encerramento],MATCH(tItens[[#This Row],[Edital]],tEditais[Edital],0)),"")</f>
        <v>46304.3125</v>
      </c>
      <c r="J1290" t="str">
        <f>IFERROR(INDEX(tProdutos[Classe],MATCH(tItens[[#This Row],[Produto]],tProdutos[Produto],0)),"produto não cadastrado")</f>
        <v>FORA</v>
      </c>
      <c r="K1290" s="12">
        <f>tItens[[#This Row],[Qtd]]*tItens[[#This Row],[Vlr unit]]</f>
        <v>0</v>
      </c>
      <c r="L1290" s="6">
        <f>IFERROR(IF(INDEX(tProdutos[Desconto homologado],MATCH(tItens[[#This Row],[Produto]],tProdutos[Produto],0))="",DescontoPadrao,INDEX(tProdutos[Desconto homologado],MATCH(tItens[[#This Row],[Produto]],tProdutos[Produto],0))),DescontoPadrao)</f>
        <v>0.412394275616498</v>
      </c>
      <c r="M1290" s="12">
        <f>tItens[[#This Row],[Valor]]*(1-tItens[[#This Row],[Desconto]])</f>
        <v>0</v>
      </c>
      <c r="N1290" t="str">
        <f>IFERROR(INDEX(tProdutos[Foco],MATCH(tItens[[#This Row],[Produto]],tProdutos[Produto],0)),"Não")</f>
        <v>Não</v>
      </c>
      <c r="O1290" t="str">
        <f>IFERROR(INDEX(tEditais[SRP],MATCH(tItens[[#This Row],[Edital]],tEditais[Edital],0)),"Não")</f>
        <v>Não</v>
      </c>
      <c r="P1290" s="4">
        <f>IF(COUNTIFS(INDEX(tItens[Edital],1):tItens[[#This Row],[Edital]],tItens[[#This Row],[Edital]],INDEX(tItens[Produto],1):tItens[[#This Row],[Produto]],tItens[[#This Row],[Produto]])=1,1,0)</f>
        <v>0</v>
      </c>
    </row>
    <row r="1291" spans="1:16" x14ac:dyDescent="0.25">
      <c r="A1291" t="s">
        <v>1142</v>
      </c>
      <c r="B1291">
        <v>206</v>
      </c>
      <c r="C1291" t="s">
        <v>4362</v>
      </c>
      <c r="D1291" t="s">
        <v>132</v>
      </c>
      <c r="E1291" s="13">
        <v>200</v>
      </c>
      <c r="F1291" s="12">
        <v>0</v>
      </c>
      <c r="G1291" t="str">
        <f>IFERROR(INDEX(tEditais[Órgão],MATCH(tItens[[#This Row],[Edital]],tEditais[Edital],0)),"")</f>
        <v>FUNDO MUNICIPAL DE SAUDE</v>
      </c>
      <c r="H1291" t="str">
        <f>IFERROR(INDEX(tEditais[UF],MATCH(tItens[[#This Row],[Edital]],tEditais[Edital],0)),"")</f>
        <v>GO</v>
      </c>
      <c r="I1291" s="11">
        <f>IFERROR(INDEX(tEditais[Encerramento],MATCH(tItens[[#This Row],[Edital]],tEditais[Edital],0)),"")</f>
        <v>46304.3125</v>
      </c>
      <c r="J1291" t="str">
        <f>IFERROR(INDEX(tProdutos[Classe],MATCH(tItens[[#This Row],[Produto]],tProdutos[Produto],0)),"produto não cadastrado")</f>
        <v>NÚCLEO</v>
      </c>
      <c r="K1291" s="12">
        <f>tItens[[#This Row],[Qtd]]*tItens[[#This Row],[Vlr unit]]</f>
        <v>0</v>
      </c>
      <c r="L1291" s="6">
        <f>IFERROR(IF(INDEX(tProdutos[Desconto homologado],MATCH(tItens[[#This Row],[Produto]],tProdutos[Produto],0))="",DescontoPadrao,INDEX(tProdutos[Desconto homologado],MATCH(tItens[[#This Row],[Produto]],tProdutos[Produto],0))),DescontoPadrao)</f>
        <v>0.27</v>
      </c>
      <c r="M1291" s="12">
        <f>tItens[[#This Row],[Valor]]*(1-tItens[[#This Row],[Desconto]])</f>
        <v>0</v>
      </c>
      <c r="N1291" t="str">
        <f>IFERROR(INDEX(tProdutos[Foco],MATCH(tItens[[#This Row],[Produto]],tProdutos[Produto],0)),"Não")</f>
        <v>Sim</v>
      </c>
      <c r="O1291" t="str">
        <f>IFERROR(INDEX(tEditais[SRP],MATCH(tItens[[#This Row],[Edital]],tEditais[Edital],0)),"Não")</f>
        <v>Não</v>
      </c>
      <c r="P1291" s="4">
        <f>IF(COUNTIFS(INDEX(tItens[Edital],1):tItens[[#This Row],[Edital]],tItens[[#This Row],[Edital]],INDEX(tItens[Produto],1):tItens[[#This Row],[Produto]],tItens[[#This Row],[Produto]])=1,1,0)</f>
        <v>1</v>
      </c>
    </row>
    <row r="1292" spans="1:16" x14ac:dyDescent="0.25">
      <c r="A1292" t="s">
        <v>1142</v>
      </c>
      <c r="B1292">
        <v>213</v>
      </c>
      <c r="C1292" t="s">
        <v>4363</v>
      </c>
      <c r="D1292" t="s">
        <v>313</v>
      </c>
      <c r="E1292" s="13">
        <v>2250</v>
      </c>
      <c r="F1292" s="12">
        <v>0</v>
      </c>
      <c r="G1292" t="str">
        <f>IFERROR(INDEX(tEditais[Órgão],MATCH(tItens[[#This Row],[Edital]],tEditais[Edital],0)),"")</f>
        <v>FUNDO MUNICIPAL DE SAUDE</v>
      </c>
      <c r="H1292" t="str">
        <f>IFERROR(INDEX(tEditais[UF],MATCH(tItens[[#This Row],[Edital]],tEditais[Edital],0)),"")</f>
        <v>GO</v>
      </c>
      <c r="I1292" s="11">
        <f>IFERROR(INDEX(tEditais[Encerramento],MATCH(tItens[[#This Row],[Edital]],tEditais[Edital],0)),"")</f>
        <v>46304.3125</v>
      </c>
      <c r="J1292" t="str">
        <f>IFERROR(INDEX(tProdutos[Classe],MATCH(tItens[[#This Row],[Produto]],tProdutos[Produto],0)),"produto não cadastrado")</f>
        <v>FORA</v>
      </c>
      <c r="K1292" s="12">
        <f>tItens[[#This Row],[Qtd]]*tItens[[#This Row],[Vlr unit]]</f>
        <v>0</v>
      </c>
      <c r="L1292" s="6">
        <f>IFERROR(IF(INDEX(tProdutos[Desconto homologado],MATCH(tItens[[#This Row],[Produto]],tProdutos[Produto],0))="",DescontoPadrao,INDEX(tProdutos[Desconto homologado],MATCH(tItens[[#This Row],[Produto]],tProdutos[Produto],0))),DescontoPadrao)</f>
        <v>0.35766373163696302</v>
      </c>
      <c r="M1292" s="12">
        <f>tItens[[#This Row],[Valor]]*(1-tItens[[#This Row],[Desconto]])</f>
        <v>0</v>
      </c>
      <c r="N1292" t="str">
        <f>IFERROR(INDEX(tProdutos[Foco],MATCH(tItens[[#This Row],[Produto]],tProdutos[Produto],0)),"Não")</f>
        <v>Não</v>
      </c>
      <c r="O1292" t="str">
        <f>IFERROR(INDEX(tEditais[SRP],MATCH(tItens[[#This Row],[Edital]],tEditais[Edital],0)),"Não")</f>
        <v>Não</v>
      </c>
      <c r="P1292" s="4">
        <f>IF(COUNTIFS(INDEX(tItens[Edital],1):tItens[[#This Row],[Edital]],tItens[[#This Row],[Edital]],INDEX(tItens[Produto],1):tItens[[#This Row],[Produto]],tItens[[#This Row],[Produto]])=1,1,0)</f>
        <v>1</v>
      </c>
    </row>
    <row r="1293" spans="1:16" x14ac:dyDescent="0.25">
      <c r="A1293" t="s">
        <v>1142</v>
      </c>
      <c r="B1293">
        <v>214</v>
      </c>
      <c r="C1293" t="s">
        <v>4364</v>
      </c>
      <c r="D1293" t="s">
        <v>313</v>
      </c>
      <c r="E1293" s="13">
        <v>3750</v>
      </c>
      <c r="F1293" s="12">
        <v>0</v>
      </c>
      <c r="G1293" t="str">
        <f>IFERROR(INDEX(tEditais[Órgão],MATCH(tItens[[#This Row],[Edital]],tEditais[Edital],0)),"")</f>
        <v>FUNDO MUNICIPAL DE SAUDE</v>
      </c>
      <c r="H1293" t="str">
        <f>IFERROR(INDEX(tEditais[UF],MATCH(tItens[[#This Row],[Edital]],tEditais[Edital],0)),"")</f>
        <v>GO</v>
      </c>
      <c r="I1293" s="11">
        <f>IFERROR(INDEX(tEditais[Encerramento],MATCH(tItens[[#This Row],[Edital]],tEditais[Edital],0)),"")</f>
        <v>46304.3125</v>
      </c>
      <c r="J1293" t="str">
        <f>IFERROR(INDEX(tProdutos[Classe],MATCH(tItens[[#This Row],[Produto]],tProdutos[Produto],0)),"produto não cadastrado")</f>
        <v>FORA</v>
      </c>
      <c r="K1293" s="12">
        <f>tItens[[#This Row],[Qtd]]*tItens[[#This Row],[Vlr unit]]</f>
        <v>0</v>
      </c>
      <c r="L1293" s="6">
        <f>IFERROR(IF(INDEX(tProdutos[Desconto homologado],MATCH(tItens[[#This Row],[Produto]],tProdutos[Produto],0))="",DescontoPadrao,INDEX(tProdutos[Desconto homologado],MATCH(tItens[[#This Row],[Produto]],tProdutos[Produto],0))),DescontoPadrao)</f>
        <v>0.35766373163696302</v>
      </c>
      <c r="M1293" s="12">
        <f>tItens[[#This Row],[Valor]]*(1-tItens[[#This Row],[Desconto]])</f>
        <v>0</v>
      </c>
      <c r="N1293" t="str">
        <f>IFERROR(INDEX(tProdutos[Foco],MATCH(tItens[[#This Row],[Produto]],tProdutos[Produto],0)),"Não")</f>
        <v>Não</v>
      </c>
      <c r="O1293" t="str">
        <f>IFERROR(INDEX(tEditais[SRP],MATCH(tItens[[#This Row],[Edital]],tEditais[Edital],0)),"Não")</f>
        <v>Não</v>
      </c>
      <c r="P1293" s="4">
        <f>IF(COUNTIFS(INDEX(tItens[Edital],1):tItens[[#This Row],[Edital]],tItens[[#This Row],[Edital]],INDEX(tItens[Produto],1):tItens[[#This Row],[Produto]],tItens[[#This Row],[Produto]])=1,1,0)</f>
        <v>0</v>
      </c>
    </row>
    <row r="1294" spans="1:16" x14ac:dyDescent="0.25">
      <c r="A1294" t="s">
        <v>1142</v>
      </c>
      <c r="B1294">
        <v>215</v>
      </c>
      <c r="C1294" t="s">
        <v>4365</v>
      </c>
      <c r="D1294" t="s">
        <v>313</v>
      </c>
      <c r="E1294" s="13">
        <v>7500</v>
      </c>
      <c r="F1294" s="12">
        <v>0</v>
      </c>
      <c r="G1294" t="str">
        <f>IFERROR(INDEX(tEditais[Órgão],MATCH(tItens[[#This Row],[Edital]],tEditais[Edital],0)),"")</f>
        <v>FUNDO MUNICIPAL DE SAUDE</v>
      </c>
      <c r="H1294" t="str">
        <f>IFERROR(INDEX(tEditais[UF],MATCH(tItens[[#This Row],[Edital]],tEditais[Edital],0)),"")</f>
        <v>GO</v>
      </c>
      <c r="I1294" s="11">
        <f>IFERROR(INDEX(tEditais[Encerramento],MATCH(tItens[[#This Row],[Edital]],tEditais[Edital],0)),"")</f>
        <v>46304.3125</v>
      </c>
      <c r="J1294" t="str">
        <f>IFERROR(INDEX(tProdutos[Classe],MATCH(tItens[[#This Row],[Produto]],tProdutos[Produto],0)),"produto não cadastrado")</f>
        <v>FORA</v>
      </c>
      <c r="K1294" s="12">
        <f>tItens[[#This Row],[Qtd]]*tItens[[#This Row],[Vlr unit]]</f>
        <v>0</v>
      </c>
      <c r="L1294" s="6">
        <f>IFERROR(IF(INDEX(tProdutos[Desconto homologado],MATCH(tItens[[#This Row],[Produto]],tProdutos[Produto],0))="",DescontoPadrao,INDEX(tProdutos[Desconto homologado],MATCH(tItens[[#This Row],[Produto]],tProdutos[Produto],0))),DescontoPadrao)</f>
        <v>0.35766373163696302</v>
      </c>
      <c r="M1294" s="12">
        <f>tItens[[#This Row],[Valor]]*(1-tItens[[#This Row],[Desconto]])</f>
        <v>0</v>
      </c>
      <c r="N1294" t="str">
        <f>IFERROR(INDEX(tProdutos[Foco],MATCH(tItens[[#This Row],[Produto]],tProdutos[Produto],0)),"Não")</f>
        <v>Não</v>
      </c>
      <c r="O1294" t="str">
        <f>IFERROR(INDEX(tEditais[SRP],MATCH(tItens[[#This Row],[Edital]],tEditais[Edital],0)),"Não")</f>
        <v>Não</v>
      </c>
      <c r="P1294" s="4">
        <f>IF(COUNTIFS(INDEX(tItens[Edital],1):tItens[[#This Row],[Edital]],tItens[[#This Row],[Edital]],INDEX(tItens[Produto],1):tItens[[#This Row],[Produto]],tItens[[#This Row],[Produto]])=1,1,0)</f>
        <v>0</v>
      </c>
    </row>
    <row r="1295" spans="1:16" x14ac:dyDescent="0.25">
      <c r="A1295" t="s">
        <v>1142</v>
      </c>
      <c r="B1295">
        <v>216</v>
      </c>
      <c r="C1295" t="s">
        <v>4366</v>
      </c>
      <c r="D1295" t="s">
        <v>313</v>
      </c>
      <c r="E1295" s="13">
        <v>2906</v>
      </c>
      <c r="F1295" s="12">
        <v>0</v>
      </c>
      <c r="G1295" t="str">
        <f>IFERROR(INDEX(tEditais[Órgão],MATCH(tItens[[#This Row],[Edital]],tEditais[Edital],0)),"")</f>
        <v>FUNDO MUNICIPAL DE SAUDE</v>
      </c>
      <c r="H1295" t="str">
        <f>IFERROR(INDEX(tEditais[UF],MATCH(tItens[[#This Row],[Edital]],tEditais[Edital],0)),"")</f>
        <v>GO</v>
      </c>
      <c r="I1295" s="11">
        <f>IFERROR(INDEX(tEditais[Encerramento],MATCH(tItens[[#This Row],[Edital]],tEditais[Edital],0)),"")</f>
        <v>46304.3125</v>
      </c>
      <c r="J1295" t="str">
        <f>IFERROR(INDEX(tProdutos[Classe],MATCH(tItens[[#This Row],[Produto]],tProdutos[Produto],0)),"produto não cadastrado")</f>
        <v>FORA</v>
      </c>
      <c r="K1295" s="12">
        <f>tItens[[#This Row],[Qtd]]*tItens[[#This Row],[Vlr unit]]</f>
        <v>0</v>
      </c>
      <c r="L1295" s="6">
        <f>IFERROR(IF(INDEX(tProdutos[Desconto homologado],MATCH(tItens[[#This Row],[Produto]],tProdutos[Produto],0))="",DescontoPadrao,INDEX(tProdutos[Desconto homologado],MATCH(tItens[[#This Row],[Produto]],tProdutos[Produto],0))),DescontoPadrao)</f>
        <v>0.35766373163696302</v>
      </c>
      <c r="M1295" s="12">
        <f>tItens[[#This Row],[Valor]]*(1-tItens[[#This Row],[Desconto]])</f>
        <v>0</v>
      </c>
      <c r="N1295" t="str">
        <f>IFERROR(INDEX(tProdutos[Foco],MATCH(tItens[[#This Row],[Produto]],tProdutos[Produto],0)),"Não")</f>
        <v>Não</v>
      </c>
      <c r="O1295" t="str">
        <f>IFERROR(INDEX(tEditais[SRP],MATCH(tItens[[#This Row],[Edital]],tEditais[Edital],0)),"Não")</f>
        <v>Não</v>
      </c>
      <c r="P1295" s="4">
        <f>IF(COUNTIFS(INDEX(tItens[Edital],1):tItens[[#This Row],[Edital]],tItens[[#This Row],[Edital]],INDEX(tItens[Produto],1):tItens[[#This Row],[Produto]],tItens[[#This Row],[Produto]])=1,1,0)</f>
        <v>0</v>
      </c>
    </row>
    <row r="1296" spans="1:16" x14ac:dyDescent="0.25">
      <c r="A1296" t="s">
        <v>1142</v>
      </c>
      <c r="B1296">
        <v>223</v>
      </c>
      <c r="C1296" t="s">
        <v>4367</v>
      </c>
      <c r="D1296" t="s">
        <v>60</v>
      </c>
      <c r="E1296" s="13">
        <v>2250</v>
      </c>
      <c r="F1296" s="12">
        <v>0</v>
      </c>
      <c r="G1296" t="str">
        <f>IFERROR(INDEX(tEditais[Órgão],MATCH(tItens[[#This Row],[Edital]],tEditais[Edital],0)),"")</f>
        <v>FUNDO MUNICIPAL DE SAUDE</v>
      </c>
      <c r="H1296" t="str">
        <f>IFERROR(INDEX(tEditais[UF],MATCH(tItens[[#This Row],[Edital]],tEditais[Edital],0)),"")</f>
        <v>GO</v>
      </c>
      <c r="I1296" s="11">
        <f>IFERROR(INDEX(tEditais[Encerramento],MATCH(tItens[[#This Row],[Edital]],tEditais[Edital],0)),"")</f>
        <v>46304.3125</v>
      </c>
      <c r="J1296" t="str">
        <f>IFERROR(INDEX(tProdutos[Classe],MATCH(tItens[[#This Row],[Produto]],tProdutos[Produto],0)),"produto não cadastrado")</f>
        <v>NÚCLEO</v>
      </c>
      <c r="K1296" s="12">
        <f>tItens[[#This Row],[Qtd]]*tItens[[#This Row],[Vlr unit]]</f>
        <v>0</v>
      </c>
      <c r="L1296" s="6">
        <f>IFERROR(IF(INDEX(tProdutos[Desconto homologado],MATCH(tItens[[#This Row],[Produto]],tProdutos[Produto],0))="",DescontoPadrao,INDEX(tProdutos[Desconto homologado],MATCH(tItens[[#This Row],[Produto]],tProdutos[Produto],0))),DescontoPadrao)</f>
        <v>0.23</v>
      </c>
      <c r="M1296" s="12">
        <f>tItens[[#This Row],[Valor]]*(1-tItens[[#This Row],[Desconto]])</f>
        <v>0</v>
      </c>
      <c r="N1296" t="str">
        <f>IFERROR(INDEX(tProdutos[Foco],MATCH(tItens[[#This Row],[Produto]],tProdutos[Produto],0)),"Não")</f>
        <v>Sim</v>
      </c>
      <c r="O1296" t="str">
        <f>IFERROR(INDEX(tEditais[SRP],MATCH(tItens[[#This Row],[Edital]],tEditais[Edital],0)),"Não")</f>
        <v>Não</v>
      </c>
      <c r="P1296" s="4">
        <f>IF(COUNTIFS(INDEX(tItens[Edital],1):tItens[[#This Row],[Edital]],tItens[[#This Row],[Edital]],INDEX(tItens[Produto],1):tItens[[#This Row],[Produto]],tItens[[#This Row],[Produto]])=1,1,0)</f>
        <v>1</v>
      </c>
    </row>
    <row r="1297" spans="1:16" x14ac:dyDescent="0.25">
      <c r="A1297" t="s">
        <v>1142</v>
      </c>
      <c r="B1297">
        <v>229</v>
      </c>
      <c r="C1297" t="s">
        <v>4368</v>
      </c>
      <c r="D1297" t="s">
        <v>233</v>
      </c>
      <c r="E1297" s="13">
        <v>7500</v>
      </c>
      <c r="F1297" s="12">
        <v>0</v>
      </c>
      <c r="G1297" t="str">
        <f>IFERROR(INDEX(tEditais[Órgão],MATCH(tItens[[#This Row],[Edital]],tEditais[Edital],0)),"")</f>
        <v>FUNDO MUNICIPAL DE SAUDE</v>
      </c>
      <c r="H1297" t="str">
        <f>IFERROR(INDEX(tEditais[UF],MATCH(tItens[[#This Row],[Edital]],tEditais[Edital],0)),"")</f>
        <v>GO</v>
      </c>
      <c r="I1297" s="11">
        <f>IFERROR(INDEX(tEditais[Encerramento],MATCH(tItens[[#This Row],[Edital]],tEditais[Edital],0)),"")</f>
        <v>46304.3125</v>
      </c>
      <c r="J1297" t="str">
        <f>IFERROR(INDEX(tProdutos[Classe],MATCH(tItens[[#This Row],[Produto]],tProdutos[Produto],0)),"produto não cadastrado")</f>
        <v>FORA</v>
      </c>
      <c r="K1297" s="12">
        <f>tItens[[#This Row],[Qtd]]*tItens[[#This Row],[Vlr unit]]</f>
        <v>0</v>
      </c>
      <c r="L1297" s="6">
        <f>IFERROR(IF(INDEX(tProdutos[Desconto homologado],MATCH(tItens[[#This Row],[Produto]],tProdutos[Produto],0))="",DescontoPadrao,INDEX(tProdutos[Desconto homologado],MATCH(tItens[[#This Row],[Produto]],tProdutos[Produto],0))),DescontoPadrao)</f>
        <v>0.246270084162204</v>
      </c>
      <c r="M1297" s="12">
        <f>tItens[[#This Row],[Valor]]*(1-tItens[[#This Row],[Desconto]])</f>
        <v>0</v>
      </c>
      <c r="N1297" t="str">
        <f>IFERROR(INDEX(tProdutos[Foco],MATCH(tItens[[#This Row],[Produto]],tProdutos[Produto],0)),"Não")</f>
        <v>Não</v>
      </c>
      <c r="O1297" t="str">
        <f>IFERROR(INDEX(tEditais[SRP],MATCH(tItens[[#This Row],[Edital]],tEditais[Edital],0)),"Não")</f>
        <v>Não</v>
      </c>
      <c r="P1297" s="4">
        <f>IF(COUNTIFS(INDEX(tItens[Edital],1):tItens[[#This Row],[Edital]],tItens[[#This Row],[Edital]],INDEX(tItens[Produto],1):tItens[[#This Row],[Produto]],tItens[[#This Row],[Produto]])=1,1,0)</f>
        <v>1</v>
      </c>
    </row>
    <row r="1298" spans="1:16" x14ac:dyDescent="0.25">
      <c r="A1298" t="s">
        <v>1142</v>
      </c>
      <c r="B1298">
        <v>233</v>
      </c>
      <c r="C1298" t="s">
        <v>3516</v>
      </c>
      <c r="D1298" t="s">
        <v>172</v>
      </c>
      <c r="E1298" s="13">
        <v>2000</v>
      </c>
      <c r="F1298" s="12">
        <v>0</v>
      </c>
      <c r="G1298" t="str">
        <f>IFERROR(INDEX(tEditais[Órgão],MATCH(tItens[[#This Row],[Edital]],tEditais[Edital],0)),"")</f>
        <v>FUNDO MUNICIPAL DE SAUDE</v>
      </c>
      <c r="H1298" t="str">
        <f>IFERROR(INDEX(tEditais[UF],MATCH(tItens[[#This Row],[Edital]],tEditais[Edital],0)),"")</f>
        <v>GO</v>
      </c>
      <c r="I1298" s="11">
        <f>IFERROR(INDEX(tEditais[Encerramento],MATCH(tItens[[#This Row],[Edital]],tEditais[Edital],0)),"")</f>
        <v>46304.3125</v>
      </c>
      <c r="J1298" t="str">
        <f>IFERROR(INDEX(tProdutos[Classe],MATCH(tItens[[#This Row],[Produto]],tProdutos[Produto],0)),"produto não cadastrado")</f>
        <v>DISPUTADO</v>
      </c>
      <c r="K1298" s="12">
        <f>tItens[[#This Row],[Qtd]]*tItens[[#This Row],[Vlr unit]]</f>
        <v>0</v>
      </c>
      <c r="L1298" s="6">
        <f>IFERROR(IF(INDEX(tProdutos[Desconto homologado],MATCH(tItens[[#This Row],[Produto]],tProdutos[Produto],0))="",DescontoPadrao,INDEX(tProdutos[Desconto homologado],MATCH(tItens[[#This Row],[Produto]],tProdutos[Produto],0))),DescontoPadrao)</f>
        <v>0.33578431372549</v>
      </c>
      <c r="M1298" s="12">
        <f>tItens[[#This Row],[Valor]]*(1-tItens[[#This Row],[Desconto]])</f>
        <v>0</v>
      </c>
      <c r="N1298" t="str">
        <f>IFERROR(INDEX(tProdutos[Foco],MATCH(tItens[[#This Row],[Produto]],tProdutos[Produto],0)),"Não")</f>
        <v>Não</v>
      </c>
      <c r="O1298" t="str">
        <f>IFERROR(INDEX(tEditais[SRP],MATCH(tItens[[#This Row],[Edital]],tEditais[Edital],0)),"Não")</f>
        <v>Não</v>
      </c>
      <c r="P1298" s="4">
        <f>IF(COUNTIFS(INDEX(tItens[Edital],1):tItens[[#This Row],[Edital]],tItens[[#This Row],[Edital]],INDEX(tItens[Produto],1):tItens[[#This Row],[Produto]],tItens[[#This Row],[Produto]])=1,1,0)</f>
        <v>1</v>
      </c>
    </row>
    <row r="1299" spans="1:16" x14ac:dyDescent="0.25">
      <c r="A1299" t="s">
        <v>1142</v>
      </c>
      <c r="B1299">
        <v>238</v>
      </c>
      <c r="C1299" t="s">
        <v>4369</v>
      </c>
      <c r="D1299" t="s">
        <v>90</v>
      </c>
      <c r="E1299" s="13">
        <v>15000</v>
      </c>
      <c r="F1299" s="12">
        <v>0</v>
      </c>
      <c r="G1299" t="str">
        <f>IFERROR(INDEX(tEditais[Órgão],MATCH(tItens[[#This Row],[Edital]],tEditais[Edital],0)),"")</f>
        <v>FUNDO MUNICIPAL DE SAUDE</v>
      </c>
      <c r="H1299" t="str">
        <f>IFERROR(INDEX(tEditais[UF],MATCH(tItens[[#This Row],[Edital]],tEditais[Edital],0)),"")</f>
        <v>GO</v>
      </c>
      <c r="I1299" s="11">
        <f>IFERROR(INDEX(tEditais[Encerramento],MATCH(tItens[[#This Row],[Edital]],tEditais[Edital],0)),"")</f>
        <v>46304.3125</v>
      </c>
      <c r="J1299" t="str">
        <f>IFERROR(INDEX(tProdutos[Classe],MATCH(tItens[[#This Row],[Produto]],tProdutos[Produto],0)),"produto não cadastrado")</f>
        <v>DISPUTADO</v>
      </c>
      <c r="K1299" s="12">
        <f>tItens[[#This Row],[Qtd]]*tItens[[#This Row],[Vlr unit]]</f>
        <v>0</v>
      </c>
      <c r="L1299" s="6">
        <f>IFERROR(IF(INDEX(tProdutos[Desconto homologado],MATCH(tItens[[#This Row],[Produto]],tProdutos[Produto],0))="",DescontoPadrao,INDEX(tProdutos[Desconto homologado],MATCH(tItens[[#This Row],[Produto]],tProdutos[Produto],0))),DescontoPadrao)</f>
        <v>0.25393823957010597</v>
      </c>
      <c r="M1299" s="12">
        <f>tItens[[#This Row],[Valor]]*(1-tItens[[#This Row],[Desconto]])</f>
        <v>0</v>
      </c>
      <c r="N1299" t="str">
        <f>IFERROR(INDEX(tProdutos[Foco],MATCH(tItens[[#This Row],[Produto]],tProdutos[Produto],0)),"Não")</f>
        <v>Não</v>
      </c>
      <c r="O1299" t="str">
        <f>IFERROR(INDEX(tEditais[SRP],MATCH(tItens[[#This Row],[Edital]],tEditais[Edital],0)),"Não")</f>
        <v>Não</v>
      </c>
      <c r="P1299" s="4">
        <f>IF(COUNTIFS(INDEX(tItens[Edital],1):tItens[[#This Row],[Edital]],tItens[[#This Row],[Edital]],INDEX(tItens[Produto],1):tItens[[#This Row],[Produto]],tItens[[#This Row],[Produto]])=1,1,0)</f>
        <v>1</v>
      </c>
    </row>
    <row r="1300" spans="1:16" x14ac:dyDescent="0.25">
      <c r="A1300" t="s">
        <v>1142</v>
      </c>
      <c r="B1300">
        <v>239</v>
      </c>
      <c r="C1300" t="s">
        <v>4370</v>
      </c>
      <c r="D1300" t="s">
        <v>90</v>
      </c>
      <c r="E1300" s="13">
        <v>15000</v>
      </c>
      <c r="F1300" s="12">
        <v>0</v>
      </c>
      <c r="G1300" t="str">
        <f>IFERROR(INDEX(tEditais[Órgão],MATCH(tItens[[#This Row],[Edital]],tEditais[Edital],0)),"")</f>
        <v>FUNDO MUNICIPAL DE SAUDE</v>
      </c>
      <c r="H1300" t="str">
        <f>IFERROR(INDEX(tEditais[UF],MATCH(tItens[[#This Row],[Edital]],tEditais[Edital],0)),"")</f>
        <v>GO</v>
      </c>
      <c r="I1300" s="11">
        <f>IFERROR(INDEX(tEditais[Encerramento],MATCH(tItens[[#This Row],[Edital]],tEditais[Edital],0)),"")</f>
        <v>46304.3125</v>
      </c>
      <c r="J1300" t="str">
        <f>IFERROR(INDEX(tProdutos[Classe],MATCH(tItens[[#This Row],[Produto]],tProdutos[Produto],0)),"produto não cadastrado")</f>
        <v>DISPUTADO</v>
      </c>
      <c r="K1300" s="12">
        <f>tItens[[#This Row],[Qtd]]*tItens[[#This Row],[Vlr unit]]</f>
        <v>0</v>
      </c>
      <c r="L1300" s="6">
        <f>IFERROR(IF(INDEX(tProdutos[Desconto homologado],MATCH(tItens[[#This Row],[Produto]],tProdutos[Produto],0))="",DescontoPadrao,INDEX(tProdutos[Desconto homologado],MATCH(tItens[[#This Row],[Produto]],tProdutos[Produto],0))),DescontoPadrao)</f>
        <v>0.25393823957010597</v>
      </c>
      <c r="M1300" s="12">
        <f>tItens[[#This Row],[Valor]]*(1-tItens[[#This Row],[Desconto]])</f>
        <v>0</v>
      </c>
      <c r="N1300" t="str">
        <f>IFERROR(INDEX(tProdutos[Foco],MATCH(tItens[[#This Row],[Produto]],tProdutos[Produto],0)),"Não")</f>
        <v>Não</v>
      </c>
      <c r="O1300" t="str">
        <f>IFERROR(INDEX(tEditais[SRP],MATCH(tItens[[#This Row],[Edital]],tEditais[Edital],0)),"Não")</f>
        <v>Não</v>
      </c>
      <c r="P1300" s="4">
        <f>IF(COUNTIFS(INDEX(tItens[Edital],1):tItens[[#This Row],[Edital]],tItens[[#This Row],[Edital]],INDEX(tItens[Produto],1):tItens[[#This Row],[Produto]],tItens[[#This Row],[Produto]])=1,1,0)</f>
        <v>0</v>
      </c>
    </row>
    <row r="1301" spans="1:16" x14ac:dyDescent="0.25">
      <c r="A1301" t="s">
        <v>1142</v>
      </c>
      <c r="B1301">
        <v>264</v>
      </c>
      <c r="C1301" t="s">
        <v>4371</v>
      </c>
      <c r="D1301" t="s">
        <v>184</v>
      </c>
      <c r="E1301" s="13">
        <v>500</v>
      </c>
      <c r="F1301" s="12">
        <v>0</v>
      </c>
      <c r="G1301" t="str">
        <f>IFERROR(INDEX(tEditais[Órgão],MATCH(tItens[[#This Row],[Edital]],tEditais[Edital],0)),"")</f>
        <v>FUNDO MUNICIPAL DE SAUDE</v>
      </c>
      <c r="H1301" t="str">
        <f>IFERROR(INDEX(tEditais[UF],MATCH(tItens[[#This Row],[Edital]],tEditais[Edital],0)),"")</f>
        <v>GO</v>
      </c>
      <c r="I1301" s="11">
        <f>IFERROR(INDEX(tEditais[Encerramento],MATCH(tItens[[#This Row],[Edital]],tEditais[Edital],0)),"")</f>
        <v>46304.3125</v>
      </c>
      <c r="J1301" t="str">
        <f>IFERROR(INDEX(tProdutos[Classe],MATCH(tItens[[#This Row],[Produto]],tProdutos[Produto],0)),"produto não cadastrado")</f>
        <v>FORA</v>
      </c>
      <c r="K1301" s="12">
        <f>tItens[[#This Row],[Qtd]]*tItens[[#This Row],[Vlr unit]]</f>
        <v>0</v>
      </c>
      <c r="L1301" s="6">
        <f>IFERROR(IF(INDEX(tProdutos[Desconto homologado],MATCH(tItens[[#This Row],[Produto]],tProdutos[Produto],0))="",DescontoPadrao,INDEX(tProdutos[Desconto homologado],MATCH(tItens[[#This Row],[Produto]],tProdutos[Produto],0))),DescontoPadrao)</f>
        <v>0.363567906332742</v>
      </c>
      <c r="M1301" s="12">
        <f>tItens[[#This Row],[Valor]]*(1-tItens[[#This Row],[Desconto]])</f>
        <v>0</v>
      </c>
      <c r="N1301" t="str">
        <f>IFERROR(INDEX(tProdutos[Foco],MATCH(tItens[[#This Row],[Produto]],tProdutos[Produto],0)),"Não")</f>
        <v>Não</v>
      </c>
      <c r="O1301" t="str">
        <f>IFERROR(INDEX(tEditais[SRP],MATCH(tItens[[#This Row],[Edital]],tEditais[Edital],0)),"Não")</f>
        <v>Não</v>
      </c>
      <c r="P1301" s="4">
        <f>IF(COUNTIFS(INDEX(tItens[Edital],1):tItens[[#This Row],[Edital]],tItens[[#This Row],[Edital]],INDEX(tItens[Produto],1):tItens[[#This Row],[Produto]],tItens[[#This Row],[Produto]])=1,1,0)</f>
        <v>1</v>
      </c>
    </row>
    <row r="1302" spans="1:16" x14ac:dyDescent="0.25">
      <c r="A1302" t="s">
        <v>1142</v>
      </c>
      <c r="B1302">
        <v>265</v>
      </c>
      <c r="C1302" t="s">
        <v>4372</v>
      </c>
      <c r="D1302" t="s">
        <v>184</v>
      </c>
      <c r="E1302" s="13">
        <v>500</v>
      </c>
      <c r="F1302" s="12">
        <v>0</v>
      </c>
      <c r="G1302" t="str">
        <f>IFERROR(INDEX(tEditais[Órgão],MATCH(tItens[[#This Row],[Edital]],tEditais[Edital],0)),"")</f>
        <v>FUNDO MUNICIPAL DE SAUDE</v>
      </c>
      <c r="H1302" t="str">
        <f>IFERROR(INDEX(tEditais[UF],MATCH(tItens[[#This Row],[Edital]],tEditais[Edital],0)),"")</f>
        <v>GO</v>
      </c>
      <c r="I1302" s="11">
        <f>IFERROR(INDEX(tEditais[Encerramento],MATCH(tItens[[#This Row],[Edital]],tEditais[Edital],0)),"")</f>
        <v>46304.3125</v>
      </c>
      <c r="J1302" t="str">
        <f>IFERROR(INDEX(tProdutos[Classe],MATCH(tItens[[#This Row],[Produto]],tProdutos[Produto],0)),"produto não cadastrado")</f>
        <v>FORA</v>
      </c>
      <c r="K1302" s="12">
        <f>tItens[[#This Row],[Qtd]]*tItens[[#This Row],[Vlr unit]]</f>
        <v>0</v>
      </c>
      <c r="L1302" s="6">
        <f>IFERROR(IF(INDEX(tProdutos[Desconto homologado],MATCH(tItens[[#This Row],[Produto]],tProdutos[Produto],0))="",DescontoPadrao,INDEX(tProdutos[Desconto homologado],MATCH(tItens[[#This Row],[Produto]],tProdutos[Produto],0))),DescontoPadrao)</f>
        <v>0.363567906332742</v>
      </c>
      <c r="M1302" s="12">
        <f>tItens[[#This Row],[Valor]]*(1-tItens[[#This Row],[Desconto]])</f>
        <v>0</v>
      </c>
      <c r="N1302" t="str">
        <f>IFERROR(INDEX(tProdutos[Foco],MATCH(tItens[[#This Row],[Produto]],tProdutos[Produto],0)),"Não")</f>
        <v>Não</v>
      </c>
      <c r="O1302" t="str">
        <f>IFERROR(INDEX(tEditais[SRP],MATCH(tItens[[#This Row],[Edital]],tEditais[Edital],0)),"Não")</f>
        <v>Não</v>
      </c>
      <c r="P1302" s="4">
        <f>IF(COUNTIFS(INDEX(tItens[Edital],1):tItens[[#This Row],[Edital]],tItens[[#This Row],[Edital]],INDEX(tItens[Produto],1):tItens[[#This Row],[Produto]],tItens[[#This Row],[Produto]])=1,1,0)</f>
        <v>0</v>
      </c>
    </row>
    <row r="1303" spans="1:16" x14ac:dyDescent="0.25">
      <c r="A1303" t="s">
        <v>1142</v>
      </c>
      <c r="B1303">
        <v>266</v>
      </c>
      <c r="C1303" t="s">
        <v>4373</v>
      </c>
      <c r="D1303" t="s">
        <v>184</v>
      </c>
      <c r="E1303" s="13">
        <v>1000</v>
      </c>
      <c r="F1303" s="12">
        <v>0</v>
      </c>
      <c r="G1303" t="str">
        <f>IFERROR(INDEX(tEditais[Órgão],MATCH(tItens[[#This Row],[Edital]],tEditais[Edital],0)),"")</f>
        <v>FUNDO MUNICIPAL DE SAUDE</v>
      </c>
      <c r="H1303" t="str">
        <f>IFERROR(INDEX(tEditais[UF],MATCH(tItens[[#This Row],[Edital]],tEditais[Edital],0)),"")</f>
        <v>GO</v>
      </c>
      <c r="I1303" s="11">
        <f>IFERROR(INDEX(tEditais[Encerramento],MATCH(tItens[[#This Row],[Edital]],tEditais[Edital],0)),"")</f>
        <v>46304.3125</v>
      </c>
      <c r="J1303" t="str">
        <f>IFERROR(INDEX(tProdutos[Classe],MATCH(tItens[[#This Row],[Produto]],tProdutos[Produto],0)),"produto não cadastrado")</f>
        <v>FORA</v>
      </c>
      <c r="K1303" s="12">
        <f>tItens[[#This Row],[Qtd]]*tItens[[#This Row],[Vlr unit]]</f>
        <v>0</v>
      </c>
      <c r="L1303" s="6">
        <f>IFERROR(IF(INDEX(tProdutos[Desconto homologado],MATCH(tItens[[#This Row],[Produto]],tProdutos[Produto],0))="",DescontoPadrao,INDEX(tProdutos[Desconto homologado],MATCH(tItens[[#This Row],[Produto]],tProdutos[Produto],0))),DescontoPadrao)</f>
        <v>0.363567906332742</v>
      </c>
      <c r="M1303" s="12">
        <f>tItens[[#This Row],[Valor]]*(1-tItens[[#This Row],[Desconto]])</f>
        <v>0</v>
      </c>
      <c r="N1303" t="str">
        <f>IFERROR(INDEX(tProdutos[Foco],MATCH(tItens[[#This Row],[Produto]],tProdutos[Produto],0)),"Não")</f>
        <v>Não</v>
      </c>
      <c r="O1303" t="str">
        <f>IFERROR(INDEX(tEditais[SRP],MATCH(tItens[[#This Row],[Edital]],tEditais[Edital],0)),"Não")</f>
        <v>Não</v>
      </c>
      <c r="P1303" s="4">
        <f>IF(COUNTIFS(INDEX(tItens[Edital],1):tItens[[#This Row],[Edital]],tItens[[#This Row],[Edital]],INDEX(tItens[Produto],1):tItens[[#This Row],[Produto]],tItens[[#This Row],[Produto]])=1,1,0)</f>
        <v>0</v>
      </c>
    </row>
    <row r="1304" spans="1:16" x14ac:dyDescent="0.25">
      <c r="A1304" t="s">
        <v>1142</v>
      </c>
      <c r="B1304">
        <v>267</v>
      </c>
      <c r="C1304" t="s">
        <v>4374</v>
      </c>
      <c r="D1304" t="s">
        <v>184</v>
      </c>
      <c r="E1304" s="13">
        <v>5000</v>
      </c>
      <c r="F1304" s="12">
        <v>0</v>
      </c>
      <c r="G1304" t="str">
        <f>IFERROR(INDEX(tEditais[Órgão],MATCH(tItens[[#This Row],[Edital]],tEditais[Edital],0)),"")</f>
        <v>FUNDO MUNICIPAL DE SAUDE</v>
      </c>
      <c r="H1304" t="str">
        <f>IFERROR(INDEX(tEditais[UF],MATCH(tItens[[#This Row],[Edital]],tEditais[Edital],0)),"")</f>
        <v>GO</v>
      </c>
      <c r="I1304" s="11">
        <f>IFERROR(INDEX(tEditais[Encerramento],MATCH(tItens[[#This Row],[Edital]],tEditais[Edital],0)),"")</f>
        <v>46304.3125</v>
      </c>
      <c r="J1304" t="str">
        <f>IFERROR(INDEX(tProdutos[Classe],MATCH(tItens[[#This Row],[Produto]],tProdutos[Produto],0)),"produto não cadastrado")</f>
        <v>FORA</v>
      </c>
      <c r="K1304" s="12">
        <f>tItens[[#This Row],[Qtd]]*tItens[[#This Row],[Vlr unit]]</f>
        <v>0</v>
      </c>
      <c r="L1304" s="6">
        <f>IFERROR(IF(INDEX(tProdutos[Desconto homologado],MATCH(tItens[[#This Row],[Produto]],tProdutos[Produto],0))="",DescontoPadrao,INDEX(tProdutos[Desconto homologado],MATCH(tItens[[#This Row],[Produto]],tProdutos[Produto],0))),DescontoPadrao)</f>
        <v>0.363567906332742</v>
      </c>
      <c r="M1304" s="12">
        <f>tItens[[#This Row],[Valor]]*(1-tItens[[#This Row],[Desconto]])</f>
        <v>0</v>
      </c>
      <c r="N1304" t="str">
        <f>IFERROR(INDEX(tProdutos[Foco],MATCH(tItens[[#This Row],[Produto]],tProdutos[Produto],0)),"Não")</f>
        <v>Não</v>
      </c>
      <c r="O1304" t="str">
        <f>IFERROR(INDEX(tEditais[SRP],MATCH(tItens[[#This Row],[Edital]],tEditais[Edital],0)),"Não")</f>
        <v>Não</v>
      </c>
      <c r="P1304" s="4">
        <f>IF(COUNTIFS(INDEX(tItens[Edital],1):tItens[[#This Row],[Edital]],tItens[[#This Row],[Edital]],INDEX(tItens[Produto],1):tItens[[#This Row],[Produto]],tItens[[#This Row],[Produto]])=1,1,0)</f>
        <v>0</v>
      </c>
    </row>
    <row r="1305" spans="1:16" x14ac:dyDescent="0.25">
      <c r="A1305" t="s">
        <v>1142</v>
      </c>
      <c r="B1305">
        <v>268</v>
      </c>
      <c r="C1305" t="s">
        <v>4375</v>
      </c>
      <c r="D1305" t="s">
        <v>184</v>
      </c>
      <c r="E1305" s="13">
        <v>1000</v>
      </c>
      <c r="F1305" s="12">
        <v>0</v>
      </c>
      <c r="G1305" t="str">
        <f>IFERROR(INDEX(tEditais[Órgão],MATCH(tItens[[#This Row],[Edital]],tEditais[Edital],0)),"")</f>
        <v>FUNDO MUNICIPAL DE SAUDE</v>
      </c>
      <c r="H1305" t="str">
        <f>IFERROR(INDEX(tEditais[UF],MATCH(tItens[[#This Row],[Edital]],tEditais[Edital],0)),"")</f>
        <v>GO</v>
      </c>
      <c r="I1305" s="11">
        <f>IFERROR(INDEX(tEditais[Encerramento],MATCH(tItens[[#This Row],[Edital]],tEditais[Edital],0)),"")</f>
        <v>46304.3125</v>
      </c>
      <c r="J1305" t="str">
        <f>IFERROR(INDEX(tProdutos[Classe],MATCH(tItens[[#This Row],[Produto]],tProdutos[Produto],0)),"produto não cadastrado")</f>
        <v>FORA</v>
      </c>
      <c r="K1305" s="12">
        <f>tItens[[#This Row],[Qtd]]*tItens[[#This Row],[Vlr unit]]</f>
        <v>0</v>
      </c>
      <c r="L1305" s="6">
        <f>IFERROR(IF(INDEX(tProdutos[Desconto homologado],MATCH(tItens[[#This Row],[Produto]],tProdutos[Produto],0))="",DescontoPadrao,INDEX(tProdutos[Desconto homologado],MATCH(tItens[[#This Row],[Produto]],tProdutos[Produto],0))),DescontoPadrao)</f>
        <v>0.363567906332742</v>
      </c>
      <c r="M1305" s="12">
        <f>tItens[[#This Row],[Valor]]*(1-tItens[[#This Row],[Desconto]])</f>
        <v>0</v>
      </c>
      <c r="N1305" t="str">
        <f>IFERROR(INDEX(tProdutos[Foco],MATCH(tItens[[#This Row],[Produto]],tProdutos[Produto],0)),"Não")</f>
        <v>Não</v>
      </c>
      <c r="O1305" t="str">
        <f>IFERROR(INDEX(tEditais[SRP],MATCH(tItens[[#This Row],[Edital]],tEditais[Edital],0)),"Não")</f>
        <v>Não</v>
      </c>
      <c r="P1305" s="4">
        <f>IF(COUNTIFS(INDEX(tItens[Edital],1):tItens[[#This Row],[Edital]],tItens[[#This Row],[Edital]],INDEX(tItens[Produto],1):tItens[[#This Row],[Produto]],tItens[[#This Row],[Produto]])=1,1,0)</f>
        <v>0</v>
      </c>
    </row>
    <row r="1306" spans="1:16" x14ac:dyDescent="0.25">
      <c r="A1306" t="s">
        <v>1142</v>
      </c>
      <c r="B1306">
        <v>269</v>
      </c>
      <c r="C1306" t="s">
        <v>4376</v>
      </c>
      <c r="D1306" t="s">
        <v>253</v>
      </c>
      <c r="E1306" s="13">
        <v>500</v>
      </c>
      <c r="F1306" s="12">
        <v>0</v>
      </c>
      <c r="G1306" t="str">
        <f>IFERROR(INDEX(tEditais[Órgão],MATCH(tItens[[#This Row],[Edital]],tEditais[Edital],0)),"")</f>
        <v>FUNDO MUNICIPAL DE SAUDE</v>
      </c>
      <c r="H1306" t="str">
        <f>IFERROR(INDEX(tEditais[UF],MATCH(tItens[[#This Row],[Edital]],tEditais[Edital],0)),"")</f>
        <v>GO</v>
      </c>
      <c r="I1306" s="11">
        <f>IFERROR(INDEX(tEditais[Encerramento],MATCH(tItens[[#This Row],[Edital]],tEditais[Edital],0)),"")</f>
        <v>46304.3125</v>
      </c>
      <c r="J1306" t="str">
        <f>IFERROR(INDEX(tProdutos[Classe],MATCH(tItens[[#This Row],[Produto]],tProdutos[Produto],0)),"produto não cadastrado")</f>
        <v>FORA</v>
      </c>
      <c r="K1306" s="12">
        <f>tItens[[#This Row],[Qtd]]*tItens[[#This Row],[Vlr unit]]</f>
        <v>0</v>
      </c>
      <c r="L1306" s="6">
        <f>IFERROR(IF(INDEX(tProdutos[Desconto homologado],MATCH(tItens[[#This Row],[Produto]],tProdutos[Produto],0))="",DescontoPadrao,INDEX(tProdutos[Desconto homologado],MATCH(tItens[[#This Row],[Produto]],tProdutos[Produto],0))),DescontoPadrao)</f>
        <v>0.31735159817351599</v>
      </c>
      <c r="M1306" s="12">
        <f>tItens[[#This Row],[Valor]]*(1-tItens[[#This Row],[Desconto]])</f>
        <v>0</v>
      </c>
      <c r="N1306" t="str">
        <f>IFERROR(INDEX(tProdutos[Foco],MATCH(tItens[[#This Row],[Produto]],tProdutos[Produto],0)),"Não")</f>
        <v>Não</v>
      </c>
      <c r="O1306" t="str">
        <f>IFERROR(INDEX(tEditais[SRP],MATCH(tItens[[#This Row],[Edital]],tEditais[Edital],0)),"Não")</f>
        <v>Não</v>
      </c>
      <c r="P1306" s="4">
        <f>IF(COUNTIFS(INDEX(tItens[Edital],1):tItens[[#This Row],[Edital]],tItens[[#This Row],[Edital]],INDEX(tItens[Produto],1):tItens[[#This Row],[Produto]],tItens[[#This Row],[Produto]])=1,1,0)</f>
        <v>1</v>
      </c>
    </row>
    <row r="1307" spans="1:16" x14ac:dyDescent="0.25">
      <c r="A1307" t="s">
        <v>1142</v>
      </c>
      <c r="B1307">
        <v>270</v>
      </c>
      <c r="C1307" t="s">
        <v>4377</v>
      </c>
      <c r="D1307" t="s">
        <v>253</v>
      </c>
      <c r="E1307" s="13">
        <v>200</v>
      </c>
      <c r="F1307" s="12">
        <v>0</v>
      </c>
      <c r="G1307" t="str">
        <f>IFERROR(INDEX(tEditais[Órgão],MATCH(tItens[[#This Row],[Edital]],tEditais[Edital],0)),"")</f>
        <v>FUNDO MUNICIPAL DE SAUDE</v>
      </c>
      <c r="H1307" t="str">
        <f>IFERROR(INDEX(tEditais[UF],MATCH(tItens[[#This Row],[Edital]],tEditais[Edital],0)),"")</f>
        <v>GO</v>
      </c>
      <c r="I1307" s="11">
        <f>IFERROR(INDEX(tEditais[Encerramento],MATCH(tItens[[#This Row],[Edital]],tEditais[Edital],0)),"")</f>
        <v>46304.3125</v>
      </c>
      <c r="J1307" t="str">
        <f>IFERROR(INDEX(tProdutos[Classe],MATCH(tItens[[#This Row],[Produto]],tProdutos[Produto],0)),"produto não cadastrado")</f>
        <v>FORA</v>
      </c>
      <c r="K1307" s="12">
        <f>tItens[[#This Row],[Qtd]]*tItens[[#This Row],[Vlr unit]]</f>
        <v>0</v>
      </c>
      <c r="L1307" s="6">
        <f>IFERROR(IF(INDEX(tProdutos[Desconto homologado],MATCH(tItens[[#This Row],[Produto]],tProdutos[Produto],0))="",DescontoPadrao,INDEX(tProdutos[Desconto homologado],MATCH(tItens[[#This Row],[Produto]],tProdutos[Produto],0))),DescontoPadrao)</f>
        <v>0.31735159817351599</v>
      </c>
      <c r="M1307" s="12">
        <f>tItens[[#This Row],[Valor]]*(1-tItens[[#This Row],[Desconto]])</f>
        <v>0</v>
      </c>
      <c r="N1307" t="str">
        <f>IFERROR(INDEX(tProdutos[Foco],MATCH(tItens[[#This Row],[Produto]],tProdutos[Produto],0)),"Não")</f>
        <v>Não</v>
      </c>
      <c r="O1307" t="str">
        <f>IFERROR(INDEX(tEditais[SRP],MATCH(tItens[[#This Row],[Edital]],tEditais[Edital],0)),"Não")</f>
        <v>Não</v>
      </c>
      <c r="P1307" s="4">
        <f>IF(COUNTIFS(INDEX(tItens[Edital],1):tItens[[#This Row],[Edital]],tItens[[#This Row],[Edital]],INDEX(tItens[Produto],1):tItens[[#This Row],[Produto]],tItens[[#This Row],[Produto]])=1,1,0)</f>
        <v>0</v>
      </c>
    </row>
    <row r="1308" spans="1:16" x14ac:dyDescent="0.25">
      <c r="A1308" t="s">
        <v>1142</v>
      </c>
      <c r="B1308">
        <v>271</v>
      </c>
      <c r="C1308" t="s">
        <v>3570</v>
      </c>
      <c r="D1308" t="s">
        <v>253</v>
      </c>
      <c r="E1308" s="13">
        <v>200</v>
      </c>
      <c r="F1308" s="12">
        <v>0</v>
      </c>
      <c r="G1308" t="str">
        <f>IFERROR(INDEX(tEditais[Órgão],MATCH(tItens[[#This Row],[Edital]],tEditais[Edital],0)),"")</f>
        <v>FUNDO MUNICIPAL DE SAUDE</v>
      </c>
      <c r="H1308" t="str">
        <f>IFERROR(INDEX(tEditais[UF],MATCH(tItens[[#This Row],[Edital]],tEditais[Edital],0)),"")</f>
        <v>GO</v>
      </c>
      <c r="I1308" s="11">
        <f>IFERROR(INDEX(tEditais[Encerramento],MATCH(tItens[[#This Row],[Edital]],tEditais[Edital],0)),"")</f>
        <v>46304.3125</v>
      </c>
      <c r="J1308" t="str">
        <f>IFERROR(INDEX(tProdutos[Classe],MATCH(tItens[[#This Row],[Produto]],tProdutos[Produto],0)),"produto não cadastrado")</f>
        <v>FORA</v>
      </c>
      <c r="K1308" s="12">
        <f>tItens[[#This Row],[Qtd]]*tItens[[#This Row],[Vlr unit]]</f>
        <v>0</v>
      </c>
      <c r="L1308" s="6">
        <f>IFERROR(IF(INDEX(tProdutos[Desconto homologado],MATCH(tItens[[#This Row],[Produto]],tProdutos[Produto],0))="",DescontoPadrao,INDEX(tProdutos[Desconto homologado],MATCH(tItens[[#This Row],[Produto]],tProdutos[Produto],0))),DescontoPadrao)</f>
        <v>0.31735159817351599</v>
      </c>
      <c r="M1308" s="12">
        <f>tItens[[#This Row],[Valor]]*(1-tItens[[#This Row],[Desconto]])</f>
        <v>0</v>
      </c>
      <c r="N1308" t="str">
        <f>IFERROR(INDEX(tProdutos[Foco],MATCH(tItens[[#This Row],[Produto]],tProdutos[Produto],0)),"Não")</f>
        <v>Não</v>
      </c>
      <c r="O1308" t="str">
        <f>IFERROR(INDEX(tEditais[SRP],MATCH(tItens[[#This Row],[Edital]],tEditais[Edital],0)),"Não")</f>
        <v>Não</v>
      </c>
      <c r="P1308" s="4">
        <f>IF(COUNTIFS(INDEX(tItens[Edital],1):tItens[[#This Row],[Edital]],tItens[[#This Row],[Edital]],INDEX(tItens[Produto],1):tItens[[#This Row],[Produto]],tItens[[#This Row],[Produto]])=1,1,0)</f>
        <v>0</v>
      </c>
    </row>
    <row r="1309" spans="1:16" x14ac:dyDescent="0.25">
      <c r="A1309" t="s">
        <v>1142</v>
      </c>
      <c r="B1309">
        <v>272</v>
      </c>
      <c r="C1309" t="s">
        <v>3571</v>
      </c>
      <c r="D1309" t="s">
        <v>253</v>
      </c>
      <c r="E1309" s="13">
        <v>300</v>
      </c>
      <c r="F1309" s="12">
        <v>0</v>
      </c>
      <c r="G1309" t="str">
        <f>IFERROR(INDEX(tEditais[Órgão],MATCH(tItens[[#This Row],[Edital]],tEditais[Edital],0)),"")</f>
        <v>FUNDO MUNICIPAL DE SAUDE</v>
      </c>
      <c r="H1309" t="str">
        <f>IFERROR(INDEX(tEditais[UF],MATCH(tItens[[#This Row],[Edital]],tEditais[Edital],0)),"")</f>
        <v>GO</v>
      </c>
      <c r="I1309" s="11">
        <f>IFERROR(INDEX(tEditais[Encerramento],MATCH(tItens[[#This Row],[Edital]],tEditais[Edital],0)),"")</f>
        <v>46304.3125</v>
      </c>
      <c r="J1309" t="str">
        <f>IFERROR(INDEX(tProdutos[Classe],MATCH(tItens[[#This Row],[Produto]],tProdutos[Produto],0)),"produto não cadastrado")</f>
        <v>FORA</v>
      </c>
      <c r="K1309" s="12">
        <f>tItens[[#This Row],[Qtd]]*tItens[[#This Row],[Vlr unit]]</f>
        <v>0</v>
      </c>
      <c r="L1309" s="6">
        <f>IFERROR(IF(INDEX(tProdutos[Desconto homologado],MATCH(tItens[[#This Row],[Produto]],tProdutos[Produto],0))="",DescontoPadrao,INDEX(tProdutos[Desconto homologado],MATCH(tItens[[#This Row],[Produto]],tProdutos[Produto],0))),DescontoPadrao)</f>
        <v>0.31735159817351599</v>
      </c>
      <c r="M1309" s="12">
        <f>tItens[[#This Row],[Valor]]*(1-tItens[[#This Row],[Desconto]])</f>
        <v>0</v>
      </c>
      <c r="N1309" t="str">
        <f>IFERROR(INDEX(tProdutos[Foco],MATCH(tItens[[#This Row],[Produto]],tProdutos[Produto],0)),"Não")</f>
        <v>Não</v>
      </c>
      <c r="O1309" t="str">
        <f>IFERROR(INDEX(tEditais[SRP],MATCH(tItens[[#This Row],[Edital]],tEditais[Edital],0)),"Não")</f>
        <v>Não</v>
      </c>
      <c r="P1309" s="4">
        <f>IF(COUNTIFS(INDEX(tItens[Edital],1):tItens[[#This Row],[Edital]],tItens[[#This Row],[Edital]],INDEX(tItens[Produto],1):tItens[[#This Row],[Produto]],tItens[[#This Row],[Produto]])=1,1,0)</f>
        <v>0</v>
      </c>
    </row>
    <row r="1310" spans="1:16" x14ac:dyDescent="0.25">
      <c r="A1310" t="s">
        <v>1142</v>
      </c>
      <c r="B1310">
        <v>273</v>
      </c>
      <c r="C1310" t="s">
        <v>3572</v>
      </c>
      <c r="D1310" t="s">
        <v>253</v>
      </c>
      <c r="E1310" s="13">
        <v>300</v>
      </c>
      <c r="F1310" s="12">
        <v>0</v>
      </c>
      <c r="G1310" t="str">
        <f>IFERROR(INDEX(tEditais[Órgão],MATCH(tItens[[#This Row],[Edital]],tEditais[Edital],0)),"")</f>
        <v>FUNDO MUNICIPAL DE SAUDE</v>
      </c>
      <c r="H1310" t="str">
        <f>IFERROR(INDEX(tEditais[UF],MATCH(tItens[[#This Row],[Edital]],tEditais[Edital],0)),"")</f>
        <v>GO</v>
      </c>
      <c r="I1310" s="11">
        <f>IFERROR(INDEX(tEditais[Encerramento],MATCH(tItens[[#This Row],[Edital]],tEditais[Edital],0)),"")</f>
        <v>46304.3125</v>
      </c>
      <c r="J1310" t="str">
        <f>IFERROR(INDEX(tProdutos[Classe],MATCH(tItens[[#This Row],[Produto]],tProdutos[Produto],0)),"produto não cadastrado")</f>
        <v>FORA</v>
      </c>
      <c r="K1310" s="12">
        <f>tItens[[#This Row],[Qtd]]*tItens[[#This Row],[Vlr unit]]</f>
        <v>0</v>
      </c>
      <c r="L1310" s="6">
        <f>IFERROR(IF(INDEX(tProdutos[Desconto homologado],MATCH(tItens[[#This Row],[Produto]],tProdutos[Produto],0))="",DescontoPadrao,INDEX(tProdutos[Desconto homologado],MATCH(tItens[[#This Row],[Produto]],tProdutos[Produto],0))),DescontoPadrao)</f>
        <v>0.31735159817351599</v>
      </c>
      <c r="M1310" s="12">
        <f>tItens[[#This Row],[Valor]]*(1-tItens[[#This Row],[Desconto]])</f>
        <v>0</v>
      </c>
      <c r="N1310" t="str">
        <f>IFERROR(INDEX(tProdutos[Foco],MATCH(tItens[[#This Row],[Produto]],tProdutos[Produto],0)),"Não")</f>
        <v>Não</v>
      </c>
      <c r="O1310" t="str">
        <f>IFERROR(INDEX(tEditais[SRP],MATCH(tItens[[#This Row],[Edital]],tEditais[Edital],0)),"Não")</f>
        <v>Não</v>
      </c>
      <c r="P1310" s="4">
        <f>IF(COUNTIFS(INDEX(tItens[Edital],1):tItens[[#This Row],[Edital]],tItens[[#This Row],[Edital]],INDEX(tItens[Produto],1):tItens[[#This Row],[Produto]],tItens[[#This Row],[Produto]])=1,1,0)</f>
        <v>0</v>
      </c>
    </row>
    <row r="1311" spans="1:16" x14ac:dyDescent="0.25">
      <c r="A1311" t="s">
        <v>1142</v>
      </c>
      <c r="B1311">
        <v>274</v>
      </c>
      <c r="C1311" t="s">
        <v>4378</v>
      </c>
      <c r="D1311" t="s">
        <v>170</v>
      </c>
      <c r="E1311" s="13">
        <v>50</v>
      </c>
      <c r="F1311" s="12">
        <v>0</v>
      </c>
      <c r="G1311" t="str">
        <f>IFERROR(INDEX(tEditais[Órgão],MATCH(tItens[[#This Row],[Edital]],tEditais[Edital],0)),"")</f>
        <v>FUNDO MUNICIPAL DE SAUDE</v>
      </c>
      <c r="H1311" t="str">
        <f>IFERROR(INDEX(tEditais[UF],MATCH(tItens[[#This Row],[Edital]],tEditais[Edital],0)),"")</f>
        <v>GO</v>
      </c>
      <c r="I1311" s="11">
        <f>IFERROR(INDEX(tEditais[Encerramento],MATCH(tItens[[#This Row],[Edital]],tEditais[Edital],0)),"")</f>
        <v>46304.3125</v>
      </c>
      <c r="J1311" t="str">
        <f>IFERROR(INDEX(tProdutos[Classe],MATCH(tItens[[#This Row],[Produto]],tProdutos[Produto],0)),"produto não cadastrado")</f>
        <v>DISPUTADO</v>
      </c>
      <c r="K1311" s="12">
        <f>tItens[[#This Row],[Qtd]]*tItens[[#This Row],[Vlr unit]]</f>
        <v>0</v>
      </c>
      <c r="L1311" s="6">
        <f>IFERROR(IF(INDEX(tProdutos[Desconto homologado],MATCH(tItens[[#This Row],[Produto]],tProdutos[Produto],0))="",DescontoPadrao,INDEX(tProdutos[Desconto homologado],MATCH(tItens[[#This Row],[Produto]],tProdutos[Produto],0))),DescontoPadrao)</f>
        <v>0.36</v>
      </c>
      <c r="M1311" s="12">
        <f>tItens[[#This Row],[Valor]]*(1-tItens[[#This Row],[Desconto]])</f>
        <v>0</v>
      </c>
      <c r="N1311" t="str">
        <f>IFERROR(INDEX(tProdutos[Foco],MATCH(tItens[[#This Row],[Produto]],tProdutos[Produto],0)),"Não")</f>
        <v>Sim</v>
      </c>
      <c r="O1311" t="str">
        <f>IFERROR(INDEX(tEditais[SRP],MATCH(tItens[[#This Row],[Edital]],tEditais[Edital],0)),"Não")</f>
        <v>Não</v>
      </c>
      <c r="P1311" s="4">
        <f>IF(COUNTIFS(INDEX(tItens[Edital],1):tItens[[#This Row],[Edital]],tItens[[#This Row],[Edital]],INDEX(tItens[Produto],1):tItens[[#This Row],[Produto]],tItens[[#This Row],[Produto]])=1,1,0)</f>
        <v>0</v>
      </c>
    </row>
    <row r="1312" spans="1:16" x14ac:dyDescent="0.25">
      <c r="A1312" t="s">
        <v>1142</v>
      </c>
      <c r="B1312">
        <v>275</v>
      </c>
      <c r="C1312" t="s">
        <v>4379</v>
      </c>
      <c r="D1312" t="s">
        <v>170</v>
      </c>
      <c r="E1312" s="13">
        <v>50</v>
      </c>
      <c r="F1312" s="12">
        <v>0</v>
      </c>
      <c r="G1312" t="str">
        <f>IFERROR(INDEX(tEditais[Órgão],MATCH(tItens[[#This Row],[Edital]],tEditais[Edital],0)),"")</f>
        <v>FUNDO MUNICIPAL DE SAUDE</v>
      </c>
      <c r="H1312" t="str">
        <f>IFERROR(INDEX(tEditais[UF],MATCH(tItens[[#This Row],[Edital]],tEditais[Edital],0)),"")</f>
        <v>GO</v>
      </c>
      <c r="I1312" s="11">
        <f>IFERROR(INDEX(tEditais[Encerramento],MATCH(tItens[[#This Row],[Edital]],tEditais[Edital],0)),"")</f>
        <v>46304.3125</v>
      </c>
      <c r="J1312" t="str">
        <f>IFERROR(INDEX(tProdutos[Classe],MATCH(tItens[[#This Row],[Produto]],tProdutos[Produto],0)),"produto não cadastrado")</f>
        <v>DISPUTADO</v>
      </c>
      <c r="K1312" s="12">
        <f>tItens[[#This Row],[Qtd]]*tItens[[#This Row],[Vlr unit]]</f>
        <v>0</v>
      </c>
      <c r="L1312" s="6">
        <f>IFERROR(IF(INDEX(tProdutos[Desconto homologado],MATCH(tItens[[#This Row],[Produto]],tProdutos[Produto],0))="",DescontoPadrao,INDEX(tProdutos[Desconto homologado],MATCH(tItens[[#This Row],[Produto]],tProdutos[Produto],0))),DescontoPadrao)</f>
        <v>0.36</v>
      </c>
      <c r="M1312" s="12">
        <f>tItens[[#This Row],[Valor]]*(1-tItens[[#This Row],[Desconto]])</f>
        <v>0</v>
      </c>
      <c r="N1312" t="str">
        <f>IFERROR(INDEX(tProdutos[Foco],MATCH(tItens[[#This Row],[Produto]],tProdutos[Produto],0)),"Não")</f>
        <v>Sim</v>
      </c>
      <c r="O1312" t="str">
        <f>IFERROR(INDEX(tEditais[SRP],MATCH(tItens[[#This Row],[Edital]],tEditais[Edital],0)),"Não")</f>
        <v>Não</v>
      </c>
      <c r="P1312" s="4">
        <f>IF(COUNTIFS(INDEX(tItens[Edital],1):tItens[[#This Row],[Edital]],tItens[[#This Row],[Edital]],INDEX(tItens[Produto],1):tItens[[#This Row],[Produto]],tItens[[#This Row],[Produto]])=1,1,0)</f>
        <v>0</v>
      </c>
    </row>
    <row r="1313" spans="1:16" x14ac:dyDescent="0.25">
      <c r="A1313" t="s">
        <v>1142</v>
      </c>
      <c r="B1313">
        <v>276</v>
      </c>
      <c r="C1313" t="s">
        <v>4380</v>
      </c>
      <c r="D1313" t="s">
        <v>110</v>
      </c>
      <c r="E1313" s="13">
        <v>200</v>
      </c>
      <c r="F1313" s="12">
        <v>0</v>
      </c>
      <c r="G1313" t="str">
        <f>IFERROR(INDEX(tEditais[Órgão],MATCH(tItens[[#This Row],[Edital]],tEditais[Edital],0)),"")</f>
        <v>FUNDO MUNICIPAL DE SAUDE</v>
      </c>
      <c r="H1313" t="str">
        <f>IFERROR(INDEX(tEditais[UF],MATCH(tItens[[#This Row],[Edital]],tEditais[Edital],0)),"")</f>
        <v>GO</v>
      </c>
      <c r="I1313" s="11">
        <f>IFERROR(INDEX(tEditais[Encerramento],MATCH(tItens[[#This Row],[Edital]],tEditais[Edital],0)),"")</f>
        <v>46304.3125</v>
      </c>
      <c r="J1313" t="str">
        <f>IFERROR(INDEX(tProdutos[Classe],MATCH(tItens[[#This Row],[Produto]],tProdutos[Produto],0)),"produto não cadastrado")</f>
        <v>NÚCLEO</v>
      </c>
      <c r="K1313" s="12">
        <f>tItens[[#This Row],[Qtd]]*tItens[[#This Row],[Vlr unit]]</f>
        <v>0</v>
      </c>
      <c r="L1313" s="6">
        <f>IFERROR(IF(INDEX(tProdutos[Desconto homologado],MATCH(tItens[[#This Row],[Produto]],tProdutos[Produto],0))="",DescontoPadrao,INDEX(tProdutos[Desconto homologado],MATCH(tItens[[#This Row],[Produto]],tProdutos[Produto],0))),DescontoPadrao)</f>
        <v>0.30410958904109597</v>
      </c>
      <c r="M1313" s="12">
        <f>tItens[[#This Row],[Valor]]*(1-tItens[[#This Row],[Desconto]])</f>
        <v>0</v>
      </c>
      <c r="N1313" t="str">
        <f>IFERROR(INDEX(tProdutos[Foco],MATCH(tItens[[#This Row],[Produto]],tProdutos[Produto],0)),"Não")</f>
        <v>Não</v>
      </c>
      <c r="O1313" t="str">
        <f>IFERROR(INDEX(tEditais[SRP],MATCH(tItens[[#This Row],[Edital]],tEditais[Edital],0)),"Não")</f>
        <v>Não</v>
      </c>
      <c r="P1313" s="4">
        <f>IF(COUNTIFS(INDEX(tItens[Edital],1):tItens[[#This Row],[Edital]],tItens[[#This Row],[Edital]],INDEX(tItens[Produto],1):tItens[[#This Row],[Produto]],tItens[[#This Row],[Produto]])=1,1,0)</f>
        <v>1</v>
      </c>
    </row>
    <row r="1314" spans="1:16" x14ac:dyDescent="0.25">
      <c r="A1314" t="s">
        <v>1142</v>
      </c>
      <c r="B1314">
        <v>277</v>
      </c>
      <c r="C1314" t="s">
        <v>4381</v>
      </c>
      <c r="D1314" t="s">
        <v>110</v>
      </c>
      <c r="E1314" s="13">
        <v>200</v>
      </c>
      <c r="F1314" s="12">
        <v>0</v>
      </c>
      <c r="G1314" t="str">
        <f>IFERROR(INDEX(tEditais[Órgão],MATCH(tItens[[#This Row],[Edital]],tEditais[Edital],0)),"")</f>
        <v>FUNDO MUNICIPAL DE SAUDE</v>
      </c>
      <c r="H1314" t="str">
        <f>IFERROR(INDEX(tEditais[UF],MATCH(tItens[[#This Row],[Edital]],tEditais[Edital],0)),"")</f>
        <v>GO</v>
      </c>
      <c r="I1314" s="11">
        <f>IFERROR(INDEX(tEditais[Encerramento],MATCH(tItens[[#This Row],[Edital]],tEditais[Edital],0)),"")</f>
        <v>46304.3125</v>
      </c>
      <c r="J1314" t="str">
        <f>IFERROR(INDEX(tProdutos[Classe],MATCH(tItens[[#This Row],[Produto]],tProdutos[Produto],0)),"produto não cadastrado")</f>
        <v>NÚCLEO</v>
      </c>
      <c r="K1314" s="12">
        <f>tItens[[#This Row],[Qtd]]*tItens[[#This Row],[Vlr unit]]</f>
        <v>0</v>
      </c>
      <c r="L1314" s="6">
        <f>IFERROR(IF(INDEX(tProdutos[Desconto homologado],MATCH(tItens[[#This Row],[Produto]],tProdutos[Produto],0))="",DescontoPadrao,INDEX(tProdutos[Desconto homologado],MATCH(tItens[[#This Row],[Produto]],tProdutos[Produto],0))),DescontoPadrao)</f>
        <v>0.30410958904109597</v>
      </c>
      <c r="M1314" s="12">
        <f>tItens[[#This Row],[Valor]]*(1-tItens[[#This Row],[Desconto]])</f>
        <v>0</v>
      </c>
      <c r="N1314" t="str">
        <f>IFERROR(INDEX(tProdutos[Foco],MATCH(tItens[[#This Row],[Produto]],tProdutos[Produto],0)),"Não")</f>
        <v>Não</v>
      </c>
      <c r="O1314" t="str">
        <f>IFERROR(INDEX(tEditais[SRP],MATCH(tItens[[#This Row],[Edital]],tEditais[Edital],0)),"Não")</f>
        <v>Não</v>
      </c>
      <c r="P1314" s="4">
        <f>IF(COUNTIFS(INDEX(tItens[Edital],1):tItens[[#This Row],[Edital]],tItens[[#This Row],[Edital]],INDEX(tItens[Produto],1):tItens[[#This Row],[Produto]],tItens[[#This Row],[Produto]])=1,1,0)</f>
        <v>0</v>
      </c>
    </row>
    <row r="1315" spans="1:16" x14ac:dyDescent="0.25">
      <c r="A1315" t="s">
        <v>1142</v>
      </c>
      <c r="B1315">
        <v>278</v>
      </c>
      <c r="C1315" t="s">
        <v>4382</v>
      </c>
      <c r="D1315" t="s">
        <v>110</v>
      </c>
      <c r="E1315" s="13">
        <v>200</v>
      </c>
      <c r="F1315" s="12">
        <v>0</v>
      </c>
      <c r="G1315" t="str">
        <f>IFERROR(INDEX(tEditais[Órgão],MATCH(tItens[[#This Row],[Edital]],tEditais[Edital],0)),"")</f>
        <v>FUNDO MUNICIPAL DE SAUDE</v>
      </c>
      <c r="H1315" t="str">
        <f>IFERROR(INDEX(tEditais[UF],MATCH(tItens[[#This Row],[Edital]],tEditais[Edital],0)),"")</f>
        <v>GO</v>
      </c>
      <c r="I1315" s="11">
        <f>IFERROR(INDEX(tEditais[Encerramento],MATCH(tItens[[#This Row],[Edital]],tEditais[Edital],0)),"")</f>
        <v>46304.3125</v>
      </c>
      <c r="J1315" t="str">
        <f>IFERROR(INDEX(tProdutos[Classe],MATCH(tItens[[#This Row],[Produto]],tProdutos[Produto],0)),"produto não cadastrado")</f>
        <v>NÚCLEO</v>
      </c>
      <c r="K1315" s="12">
        <f>tItens[[#This Row],[Qtd]]*tItens[[#This Row],[Vlr unit]]</f>
        <v>0</v>
      </c>
      <c r="L1315" s="6">
        <f>IFERROR(IF(INDEX(tProdutos[Desconto homologado],MATCH(tItens[[#This Row],[Produto]],tProdutos[Produto],0))="",DescontoPadrao,INDEX(tProdutos[Desconto homologado],MATCH(tItens[[#This Row],[Produto]],tProdutos[Produto],0))),DescontoPadrao)</f>
        <v>0.30410958904109597</v>
      </c>
      <c r="M1315" s="12">
        <f>tItens[[#This Row],[Valor]]*(1-tItens[[#This Row],[Desconto]])</f>
        <v>0</v>
      </c>
      <c r="N1315" t="str">
        <f>IFERROR(INDEX(tProdutos[Foco],MATCH(tItens[[#This Row],[Produto]],tProdutos[Produto],0)),"Não")</f>
        <v>Não</v>
      </c>
      <c r="O1315" t="str">
        <f>IFERROR(INDEX(tEditais[SRP],MATCH(tItens[[#This Row],[Edital]],tEditais[Edital],0)),"Não")</f>
        <v>Não</v>
      </c>
      <c r="P1315" s="4">
        <f>IF(COUNTIFS(INDEX(tItens[Edital],1):tItens[[#This Row],[Edital]],tItens[[#This Row],[Edital]],INDEX(tItens[Produto],1):tItens[[#This Row],[Produto]],tItens[[#This Row],[Produto]])=1,1,0)</f>
        <v>0</v>
      </c>
    </row>
    <row r="1316" spans="1:16" x14ac:dyDescent="0.25">
      <c r="A1316" t="s">
        <v>1142</v>
      </c>
      <c r="B1316">
        <v>279</v>
      </c>
      <c r="C1316" t="s">
        <v>4383</v>
      </c>
      <c r="D1316" t="s">
        <v>110</v>
      </c>
      <c r="E1316" s="13">
        <v>100</v>
      </c>
      <c r="F1316" s="12">
        <v>0</v>
      </c>
      <c r="G1316" t="str">
        <f>IFERROR(INDEX(tEditais[Órgão],MATCH(tItens[[#This Row],[Edital]],tEditais[Edital],0)),"")</f>
        <v>FUNDO MUNICIPAL DE SAUDE</v>
      </c>
      <c r="H1316" t="str">
        <f>IFERROR(INDEX(tEditais[UF],MATCH(tItens[[#This Row],[Edital]],tEditais[Edital],0)),"")</f>
        <v>GO</v>
      </c>
      <c r="I1316" s="11">
        <f>IFERROR(INDEX(tEditais[Encerramento],MATCH(tItens[[#This Row],[Edital]],tEditais[Edital],0)),"")</f>
        <v>46304.3125</v>
      </c>
      <c r="J1316" t="str">
        <f>IFERROR(INDEX(tProdutos[Classe],MATCH(tItens[[#This Row],[Produto]],tProdutos[Produto],0)),"produto não cadastrado")</f>
        <v>NÚCLEO</v>
      </c>
      <c r="K1316" s="12">
        <f>tItens[[#This Row],[Qtd]]*tItens[[#This Row],[Vlr unit]]</f>
        <v>0</v>
      </c>
      <c r="L1316" s="6">
        <f>IFERROR(IF(INDEX(tProdutos[Desconto homologado],MATCH(tItens[[#This Row],[Produto]],tProdutos[Produto],0))="",DescontoPadrao,INDEX(tProdutos[Desconto homologado],MATCH(tItens[[#This Row],[Produto]],tProdutos[Produto],0))),DescontoPadrao)</f>
        <v>0.30410958904109597</v>
      </c>
      <c r="M1316" s="12">
        <f>tItens[[#This Row],[Valor]]*(1-tItens[[#This Row],[Desconto]])</f>
        <v>0</v>
      </c>
      <c r="N1316" t="str">
        <f>IFERROR(INDEX(tProdutos[Foco],MATCH(tItens[[#This Row],[Produto]],tProdutos[Produto],0)),"Não")</f>
        <v>Não</v>
      </c>
      <c r="O1316" t="str">
        <f>IFERROR(INDEX(tEditais[SRP],MATCH(tItens[[#This Row],[Edital]],tEditais[Edital],0)),"Não")</f>
        <v>Não</v>
      </c>
      <c r="P1316" s="4">
        <f>IF(COUNTIFS(INDEX(tItens[Edital],1):tItens[[#This Row],[Edital]],tItens[[#This Row],[Edital]],INDEX(tItens[Produto],1):tItens[[#This Row],[Produto]],tItens[[#This Row],[Produto]])=1,1,0)</f>
        <v>0</v>
      </c>
    </row>
    <row r="1317" spans="1:16" x14ac:dyDescent="0.25">
      <c r="A1317" t="s">
        <v>1142</v>
      </c>
      <c r="B1317">
        <v>280</v>
      </c>
      <c r="C1317" t="s">
        <v>4384</v>
      </c>
      <c r="D1317" t="s">
        <v>110</v>
      </c>
      <c r="E1317" s="13">
        <v>100</v>
      </c>
      <c r="F1317" s="12">
        <v>0</v>
      </c>
      <c r="G1317" t="str">
        <f>IFERROR(INDEX(tEditais[Órgão],MATCH(tItens[[#This Row],[Edital]],tEditais[Edital],0)),"")</f>
        <v>FUNDO MUNICIPAL DE SAUDE</v>
      </c>
      <c r="H1317" t="str">
        <f>IFERROR(INDEX(tEditais[UF],MATCH(tItens[[#This Row],[Edital]],tEditais[Edital],0)),"")</f>
        <v>GO</v>
      </c>
      <c r="I1317" s="11">
        <f>IFERROR(INDEX(tEditais[Encerramento],MATCH(tItens[[#This Row],[Edital]],tEditais[Edital],0)),"")</f>
        <v>46304.3125</v>
      </c>
      <c r="J1317" t="str">
        <f>IFERROR(INDEX(tProdutos[Classe],MATCH(tItens[[#This Row],[Produto]],tProdutos[Produto],0)),"produto não cadastrado")</f>
        <v>NÚCLEO</v>
      </c>
      <c r="K1317" s="12">
        <f>tItens[[#This Row],[Qtd]]*tItens[[#This Row],[Vlr unit]]</f>
        <v>0</v>
      </c>
      <c r="L1317" s="6">
        <f>IFERROR(IF(INDEX(tProdutos[Desconto homologado],MATCH(tItens[[#This Row],[Produto]],tProdutos[Produto],0))="",DescontoPadrao,INDEX(tProdutos[Desconto homologado],MATCH(tItens[[#This Row],[Produto]],tProdutos[Produto],0))),DescontoPadrao)</f>
        <v>0.30410958904109597</v>
      </c>
      <c r="M1317" s="12">
        <f>tItens[[#This Row],[Valor]]*(1-tItens[[#This Row],[Desconto]])</f>
        <v>0</v>
      </c>
      <c r="N1317" t="str">
        <f>IFERROR(INDEX(tProdutos[Foco],MATCH(tItens[[#This Row],[Produto]],tProdutos[Produto],0)),"Não")</f>
        <v>Não</v>
      </c>
      <c r="O1317" t="str">
        <f>IFERROR(INDEX(tEditais[SRP],MATCH(tItens[[#This Row],[Edital]],tEditais[Edital],0)),"Não")</f>
        <v>Não</v>
      </c>
      <c r="P1317" s="4">
        <f>IF(COUNTIFS(INDEX(tItens[Edital],1):tItens[[#This Row],[Edital]],tItens[[#This Row],[Edital]],INDEX(tItens[Produto],1):tItens[[#This Row],[Produto]],tItens[[#This Row],[Produto]])=1,1,0)</f>
        <v>0</v>
      </c>
    </row>
    <row r="1318" spans="1:16" x14ac:dyDescent="0.25">
      <c r="A1318" t="s">
        <v>1142</v>
      </c>
      <c r="B1318">
        <v>281</v>
      </c>
      <c r="C1318" t="s">
        <v>4385</v>
      </c>
      <c r="D1318" t="s">
        <v>110</v>
      </c>
      <c r="E1318" s="13">
        <v>200</v>
      </c>
      <c r="F1318" s="12">
        <v>0</v>
      </c>
      <c r="G1318" t="str">
        <f>IFERROR(INDEX(tEditais[Órgão],MATCH(tItens[[#This Row],[Edital]],tEditais[Edital],0)),"")</f>
        <v>FUNDO MUNICIPAL DE SAUDE</v>
      </c>
      <c r="H1318" t="str">
        <f>IFERROR(INDEX(tEditais[UF],MATCH(tItens[[#This Row],[Edital]],tEditais[Edital],0)),"")</f>
        <v>GO</v>
      </c>
      <c r="I1318" s="11">
        <f>IFERROR(INDEX(tEditais[Encerramento],MATCH(tItens[[#This Row],[Edital]],tEditais[Edital],0)),"")</f>
        <v>46304.3125</v>
      </c>
      <c r="J1318" t="str">
        <f>IFERROR(INDEX(tProdutos[Classe],MATCH(tItens[[#This Row],[Produto]],tProdutos[Produto],0)),"produto não cadastrado")</f>
        <v>NÚCLEO</v>
      </c>
      <c r="K1318" s="12">
        <f>tItens[[#This Row],[Qtd]]*tItens[[#This Row],[Vlr unit]]</f>
        <v>0</v>
      </c>
      <c r="L1318" s="6">
        <f>IFERROR(IF(INDEX(tProdutos[Desconto homologado],MATCH(tItens[[#This Row],[Produto]],tProdutos[Produto],0))="",DescontoPadrao,INDEX(tProdutos[Desconto homologado],MATCH(tItens[[#This Row],[Produto]],tProdutos[Produto],0))),DescontoPadrao)</f>
        <v>0.30410958904109597</v>
      </c>
      <c r="M1318" s="12">
        <f>tItens[[#This Row],[Valor]]*(1-tItens[[#This Row],[Desconto]])</f>
        <v>0</v>
      </c>
      <c r="N1318" t="str">
        <f>IFERROR(INDEX(tProdutos[Foco],MATCH(tItens[[#This Row],[Produto]],tProdutos[Produto],0)),"Não")</f>
        <v>Não</v>
      </c>
      <c r="O1318" t="str">
        <f>IFERROR(INDEX(tEditais[SRP],MATCH(tItens[[#This Row],[Edital]],tEditais[Edital],0)),"Não")</f>
        <v>Não</v>
      </c>
      <c r="P1318" s="4">
        <f>IF(COUNTIFS(INDEX(tItens[Edital],1):tItens[[#This Row],[Edital]],tItens[[#This Row],[Edital]],INDEX(tItens[Produto],1):tItens[[#This Row],[Produto]],tItens[[#This Row],[Produto]])=1,1,0)</f>
        <v>0</v>
      </c>
    </row>
    <row r="1319" spans="1:16" x14ac:dyDescent="0.25">
      <c r="A1319" t="s">
        <v>1142</v>
      </c>
      <c r="B1319">
        <v>282</v>
      </c>
      <c r="C1319" t="s">
        <v>4386</v>
      </c>
      <c r="D1319" t="s">
        <v>120</v>
      </c>
      <c r="E1319" s="13">
        <v>500</v>
      </c>
      <c r="F1319" s="12">
        <v>0</v>
      </c>
      <c r="G1319" t="str">
        <f>IFERROR(INDEX(tEditais[Órgão],MATCH(tItens[[#This Row],[Edital]],tEditais[Edital],0)),"")</f>
        <v>FUNDO MUNICIPAL DE SAUDE</v>
      </c>
      <c r="H1319" t="str">
        <f>IFERROR(INDEX(tEditais[UF],MATCH(tItens[[#This Row],[Edital]],tEditais[Edital],0)),"")</f>
        <v>GO</v>
      </c>
      <c r="I1319" s="11">
        <f>IFERROR(INDEX(tEditais[Encerramento],MATCH(tItens[[#This Row],[Edital]],tEditais[Edital],0)),"")</f>
        <v>46304.3125</v>
      </c>
      <c r="J1319" t="str">
        <f>IFERROR(INDEX(tProdutos[Classe],MATCH(tItens[[#This Row],[Produto]],tProdutos[Produto],0)),"produto não cadastrado")</f>
        <v>DISPUTADO</v>
      </c>
      <c r="K1319" s="12">
        <f>tItens[[#This Row],[Qtd]]*tItens[[#This Row],[Vlr unit]]</f>
        <v>0</v>
      </c>
      <c r="L1319" s="6">
        <f>IFERROR(IF(INDEX(tProdutos[Desconto homologado],MATCH(tItens[[#This Row],[Produto]],tProdutos[Produto],0))="",DescontoPadrao,INDEX(tProdutos[Desconto homologado],MATCH(tItens[[#This Row],[Produto]],tProdutos[Produto],0))),DescontoPadrao)</f>
        <v>0.40909090909090901</v>
      </c>
      <c r="M1319" s="12">
        <f>tItens[[#This Row],[Valor]]*(1-tItens[[#This Row],[Desconto]])</f>
        <v>0</v>
      </c>
      <c r="N1319" t="str">
        <f>IFERROR(INDEX(tProdutos[Foco],MATCH(tItens[[#This Row],[Produto]],tProdutos[Produto],0)),"Não")</f>
        <v>Não</v>
      </c>
      <c r="O1319" t="str">
        <f>IFERROR(INDEX(tEditais[SRP],MATCH(tItens[[#This Row],[Edital]],tEditais[Edital],0)),"Não")</f>
        <v>Não</v>
      </c>
      <c r="P1319" s="4">
        <f>IF(COUNTIFS(INDEX(tItens[Edital],1):tItens[[#This Row],[Edital]],tItens[[#This Row],[Edital]],INDEX(tItens[Produto],1):tItens[[#This Row],[Produto]],tItens[[#This Row],[Produto]])=1,1,0)</f>
        <v>1</v>
      </c>
    </row>
    <row r="1320" spans="1:16" x14ac:dyDescent="0.25">
      <c r="A1320" t="s">
        <v>1142</v>
      </c>
      <c r="B1320">
        <v>283</v>
      </c>
      <c r="C1320" t="s">
        <v>4387</v>
      </c>
      <c r="D1320" t="s">
        <v>120</v>
      </c>
      <c r="E1320" s="13">
        <v>500</v>
      </c>
      <c r="F1320" s="12">
        <v>0</v>
      </c>
      <c r="G1320" t="str">
        <f>IFERROR(INDEX(tEditais[Órgão],MATCH(tItens[[#This Row],[Edital]],tEditais[Edital],0)),"")</f>
        <v>FUNDO MUNICIPAL DE SAUDE</v>
      </c>
      <c r="H1320" t="str">
        <f>IFERROR(INDEX(tEditais[UF],MATCH(tItens[[#This Row],[Edital]],tEditais[Edital],0)),"")</f>
        <v>GO</v>
      </c>
      <c r="I1320" s="11">
        <f>IFERROR(INDEX(tEditais[Encerramento],MATCH(tItens[[#This Row],[Edital]],tEditais[Edital],0)),"")</f>
        <v>46304.3125</v>
      </c>
      <c r="J1320" t="str">
        <f>IFERROR(INDEX(tProdutos[Classe],MATCH(tItens[[#This Row],[Produto]],tProdutos[Produto],0)),"produto não cadastrado")</f>
        <v>DISPUTADO</v>
      </c>
      <c r="K1320" s="12">
        <f>tItens[[#This Row],[Qtd]]*tItens[[#This Row],[Vlr unit]]</f>
        <v>0</v>
      </c>
      <c r="L1320" s="6">
        <f>IFERROR(IF(INDEX(tProdutos[Desconto homologado],MATCH(tItens[[#This Row],[Produto]],tProdutos[Produto],0))="",DescontoPadrao,INDEX(tProdutos[Desconto homologado],MATCH(tItens[[#This Row],[Produto]],tProdutos[Produto],0))),DescontoPadrao)</f>
        <v>0.40909090909090901</v>
      </c>
      <c r="M1320" s="12">
        <f>tItens[[#This Row],[Valor]]*(1-tItens[[#This Row],[Desconto]])</f>
        <v>0</v>
      </c>
      <c r="N1320" t="str">
        <f>IFERROR(INDEX(tProdutos[Foco],MATCH(tItens[[#This Row],[Produto]],tProdutos[Produto],0)),"Não")</f>
        <v>Não</v>
      </c>
      <c r="O1320" t="str">
        <f>IFERROR(INDEX(tEditais[SRP],MATCH(tItens[[#This Row],[Edital]],tEditais[Edital],0)),"Não")</f>
        <v>Não</v>
      </c>
      <c r="P1320" s="4">
        <f>IF(COUNTIFS(INDEX(tItens[Edital],1):tItens[[#This Row],[Edital]],tItens[[#This Row],[Edital]],INDEX(tItens[Produto],1):tItens[[#This Row],[Produto]],tItens[[#This Row],[Produto]])=1,1,0)</f>
        <v>0</v>
      </c>
    </row>
    <row r="1321" spans="1:16" x14ac:dyDescent="0.25">
      <c r="A1321" t="s">
        <v>1142</v>
      </c>
      <c r="B1321">
        <v>284</v>
      </c>
      <c r="C1321" t="s">
        <v>4388</v>
      </c>
      <c r="D1321" t="s">
        <v>120</v>
      </c>
      <c r="E1321" s="13">
        <v>800</v>
      </c>
      <c r="F1321" s="12">
        <v>0</v>
      </c>
      <c r="G1321" t="str">
        <f>IFERROR(INDEX(tEditais[Órgão],MATCH(tItens[[#This Row],[Edital]],tEditais[Edital],0)),"")</f>
        <v>FUNDO MUNICIPAL DE SAUDE</v>
      </c>
      <c r="H1321" t="str">
        <f>IFERROR(INDEX(tEditais[UF],MATCH(tItens[[#This Row],[Edital]],tEditais[Edital],0)),"")</f>
        <v>GO</v>
      </c>
      <c r="I1321" s="11">
        <f>IFERROR(INDEX(tEditais[Encerramento],MATCH(tItens[[#This Row],[Edital]],tEditais[Edital],0)),"")</f>
        <v>46304.3125</v>
      </c>
      <c r="J1321" t="str">
        <f>IFERROR(INDEX(tProdutos[Classe],MATCH(tItens[[#This Row],[Produto]],tProdutos[Produto],0)),"produto não cadastrado")</f>
        <v>DISPUTADO</v>
      </c>
      <c r="K1321" s="12">
        <f>tItens[[#This Row],[Qtd]]*tItens[[#This Row],[Vlr unit]]</f>
        <v>0</v>
      </c>
      <c r="L1321" s="6">
        <f>IFERROR(IF(INDEX(tProdutos[Desconto homologado],MATCH(tItens[[#This Row],[Produto]],tProdutos[Produto],0))="",DescontoPadrao,INDEX(tProdutos[Desconto homologado],MATCH(tItens[[#This Row],[Produto]],tProdutos[Produto],0))),DescontoPadrao)</f>
        <v>0.40909090909090901</v>
      </c>
      <c r="M1321" s="12">
        <f>tItens[[#This Row],[Valor]]*(1-tItens[[#This Row],[Desconto]])</f>
        <v>0</v>
      </c>
      <c r="N1321" t="str">
        <f>IFERROR(INDEX(tProdutos[Foco],MATCH(tItens[[#This Row],[Produto]],tProdutos[Produto],0)),"Não")</f>
        <v>Não</v>
      </c>
      <c r="O1321" t="str">
        <f>IFERROR(INDEX(tEditais[SRP],MATCH(tItens[[#This Row],[Edital]],tEditais[Edital],0)),"Não")</f>
        <v>Não</v>
      </c>
      <c r="P1321" s="4">
        <f>IF(COUNTIFS(INDEX(tItens[Edital],1):tItens[[#This Row],[Edital]],tItens[[#This Row],[Edital]],INDEX(tItens[Produto],1):tItens[[#This Row],[Produto]],tItens[[#This Row],[Produto]])=1,1,0)</f>
        <v>0</v>
      </c>
    </row>
    <row r="1322" spans="1:16" x14ac:dyDescent="0.25">
      <c r="A1322" t="s">
        <v>1142</v>
      </c>
      <c r="B1322">
        <v>285</v>
      </c>
      <c r="C1322" t="s">
        <v>4389</v>
      </c>
      <c r="D1322" t="s">
        <v>120</v>
      </c>
      <c r="E1322" s="13">
        <v>5000</v>
      </c>
      <c r="F1322" s="12">
        <v>0</v>
      </c>
      <c r="G1322" t="str">
        <f>IFERROR(INDEX(tEditais[Órgão],MATCH(tItens[[#This Row],[Edital]],tEditais[Edital],0)),"")</f>
        <v>FUNDO MUNICIPAL DE SAUDE</v>
      </c>
      <c r="H1322" t="str">
        <f>IFERROR(INDEX(tEditais[UF],MATCH(tItens[[#This Row],[Edital]],tEditais[Edital],0)),"")</f>
        <v>GO</v>
      </c>
      <c r="I1322" s="11">
        <f>IFERROR(INDEX(tEditais[Encerramento],MATCH(tItens[[#This Row],[Edital]],tEditais[Edital],0)),"")</f>
        <v>46304.3125</v>
      </c>
      <c r="J1322" t="str">
        <f>IFERROR(INDEX(tProdutos[Classe],MATCH(tItens[[#This Row],[Produto]],tProdutos[Produto],0)),"produto não cadastrado")</f>
        <v>DISPUTADO</v>
      </c>
      <c r="K1322" s="12">
        <f>tItens[[#This Row],[Qtd]]*tItens[[#This Row],[Vlr unit]]</f>
        <v>0</v>
      </c>
      <c r="L1322" s="6">
        <f>IFERROR(IF(INDEX(tProdutos[Desconto homologado],MATCH(tItens[[#This Row],[Produto]],tProdutos[Produto],0))="",DescontoPadrao,INDEX(tProdutos[Desconto homologado],MATCH(tItens[[#This Row],[Produto]],tProdutos[Produto],0))),DescontoPadrao)</f>
        <v>0.40909090909090901</v>
      </c>
      <c r="M1322" s="12">
        <f>tItens[[#This Row],[Valor]]*(1-tItens[[#This Row],[Desconto]])</f>
        <v>0</v>
      </c>
      <c r="N1322" t="str">
        <f>IFERROR(INDEX(tProdutos[Foco],MATCH(tItens[[#This Row],[Produto]],tProdutos[Produto],0)),"Não")</f>
        <v>Não</v>
      </c>
      <c r="O1322" t="str">
        <f>IFERROR(INDEX(tEditais[SRP],MATCH(tItens[[#This Row],[Edital]],tEditais[Edital],0)),"Não")</f>
        <v>Não</v>
      </c>
      <c r="P1322" s="4">
        <f>IF(COUNTIFS(INDEX(tItens[Edital],1):tItens[[#This Row],[Edital]],tItens[[#This Row],[Edital]],INDEX(tItens[Produto],1):tItens[[#This Row],[Produto]],tItens[[#This Row],[Produto]])=1,1,0)</f>
        <v>0</v>
      </c>
    </row>
    <row r="1323" spans="1:16" x14ac:dyDescent="0.25">
      <c r="A1323" t="s">
        <v>1142</v>
      </c>
      <c r="B1323">
        <v>286</v>
      </c>
      <c r="C1323" t="s">
        <v>4390</v>
      </c>
      <c r="D1323" t="s">
        <v>120</v>
      </c>
      <c r="E1323" s="13">
        <v>500</v>
      </c>
      <c r="F1323" s="12">
        <v>0</v>
      </c>
      <c r="G1323" t="str">
        <f>IFERROR(INDEX(tEditais[Órgão],MATCH(tItens[[#This Row],[Edital]],tEditais[Edital],0)),"")</f>
        <v>FUNDO MUNICIPAL DE SAUDE</v>
      </c>
      <c r="H1323" t="str">
        <f>IFERROR(INDEX(tEditais[UF],MATCH(tItens[[#This Row],[Edital]],tEditais[Edital],0)),"")</f>
        <v>GO</v>
      </c>
      <c r="I1323" s="11">
        <f>IFERROR(INDEX(tEditais[Encerramento],MATCH(tItens[[#This Row],[Edital]],tEditais[Edital],0)),"")</f>
        <v>46304.3125</v>
      </c>
      <c r="J1323" t="str">
        <f>IFERROR(INDEX(tProdutos[Classe],MATCH(tItens[[#This Row],[Produto]],tProdutos[Produto],0)),"produto não cadastrado")</f>
        <v>DISPUTADO</v>
      </c>
      <c r="K1323" s="12">
        <f>tItens[[#This Row],[Qtd]]*tItens[[#This Row],[Vlr unit]]</f>
        <v>0</v>
      </c>
      <c r="L1323" s="6">
        <f>IFERROR(IF(INDEX(tProdutos[Desconto homologado],MATCH(tItens[[#This Row],[Produto]],tProdutos[Produto],0))="",DescontoPadrao,INDEX(tProdutos[Desconto homologado],MATCH(tItens[[#This Row],[Produto]],tProdutos[Produto],0))),DescontoPadrao)</f>
        <v>0.40909090909090901</v>
      </c>
      <c r="M1323" s="12">
        <f>tItens[[#This Row],[Valor]]*(1-tItens[[#This Row],[Desconto]])</f>
        <v>0</v>
      </c>
      <c r="N1323" t="str">
        <f>IFERROR(INDEX(tProdutos[Foco],MATCH(tItens[[#This Row],[Produto]],tProdutos[Produto],0)),"Não")</f>
        <v>Não</v>
      </c>
      <c r="O1323" t="str">
        <f>IFERROR(INDEX(tEditais[SRP],MATCH(tItens[[#This Row],[Edital]],tEditais[Edital],0)),"Não")</f>
        <v>Não</v>
      </c>
      <c r="P1323" s="4">
        <f>IF(COUNTIFS(INDEX(tItens[Edital],1):tItens[[#This Row],[Edital]],tItens[[#This Row],[Edital]],INDEX(tItens[Produto],1):tItens[[#This Row],[Produto]],tItens[[#This Row],[Produto]])=1,1,0)</f>
        <v>0</v>
      </c>
    </row>
    <row r="1324" spans="1:16" x14ac:dyDescent="0.25">
      <c r="A1324" t="s">
        <v>1142</v>
      </c>
      <c r="B1324">
        <v>287</v>
      </c>
      <c r="C1324" t="s">
        <v>4391</v>
      </c>
      <c r="D1324" t="s">
        <v>120</v>
      </c>
      <c r="E1324" s="13">
        <v>800</v>
      </c>
      <c r="F1324" s="12">
        <v>0</v>
      </c>
      <c r="G1324" t="str">
        <f>IFERROR(INDEX(tEditais[Órgão],MATCH(tItens[[#This Row],[Edital]],tEditais[Edital],0)),"")</f>
        <v>FUNDO MUNICIPAL DE SAUDE</v>
      </c>
      <c r="H1324" t="str">
        <f>IFERROR(INDEX(tEditais[UF],MATCH(tItens[[#This Row],[Edital]],tEditais[Edital],0)),"")</f>
        <v>GO</v>
      </c>
      <c r="I1324" s="11">
        <f>IFERROR(INDEX(tEditais[Encerramento],MATCH(tItens[[#This Row],[Edital]],tEditais[Edital],0)),"")</f>
        <v>46304.3125</v>
      </c>
      <c r="J1324" t="str">
        <f>IFERROR(INDEX(tProdutos[Classe],MATCH(tItens[[#This Row],[Produto]],tProdutos[Produto],0)),"produto não cadastrado")</f>
        <v>DISPUTADO</v>
      </c>
      <c r="K1324" s="12">
        <f>tItens[[#This Row],[Qtd]]*tItens[[#This Row],[Vlr unit]]</f>
        <v>0</v>
      </c>
      <c r="L1324" s="6">
        <f>IFERROR(IF(INDEX(tProdutos[Desconto homologado],MATCH(tItens[[#This Row],[Produto]],tProdutos[Produto],0))="",DescontoPadrao,INDEX(tProdutos[Desconto homologado],MATCH(tItens[[#This Row],[Produto]],tProdutos[Produto],0))),DescontoPadrao)</f>
        <v>0.40909090909090901</v>
      </c>
      <c r="M1324" s="12">
        <f>tItens[[#This Row],[Valor]]*(1-tItens[[#This Row],[Desconto]])</f>
        <v>0</v>
      </c>
      <c r="N1324" t="str">
        <f>IFERROR(INDEX(tProdutos[Foco],MATCH(tItens[[#This Row],[Produto]],tProdutos[Produto],0)),"Não")</f>
        <v>Não</v>
      </c>
      <c r="O1324" t="str">
        <f>IFERROR(INDEX(tEditais[SRP],MATCH(tItens[[#This Row],[Edital]],tEditais[Edital],0)),"Não")</f>
        <v>Não</v>
      </c>
      <c r="P1324" s="4">
        <f>IF(COUNTIFS(INDEX(tItens[Edital],1):tItens[[#This Row],[Edital]],tItens[[#This Row],[Edital]],INDEX(tItens[Produto],1):tItens[[#This Row],[Produto]],tItens[[#This Row],[Produto]])=1,1,0)</f>
        <v>0</v>
      </c>
    </row>
    <row r="1325" spans="1:16" x14ac:dyDescent="0.25">
      <c r="A1325" t="s">
        <v>1142</v>
      </c>
      <c r="B1325">
        <v>288</v>
      </c>
      <c r="C1325" t="s">
        <v>4392</v>
      </c>
      <c r="D1325" t="s">
        <v>120</v>
      </c>
      <c r="E1325" s="13">
        <v>200</v>
      </c>
      <c r="F1325" s="12">
        <v>0</v>
      </c>
      <c r="G1325" t="str">
        <f>IFERROR(INDEX(tEditais[Órgão],MATCH(tItens[[#This Row],[Edital]],tEditais[Edital],0)),"")</f>
        <v>FUNDO MUNICIPAL DE SAUDE</v>
      </c>
      <c r="H1325" t="str">
        <f>IFERROR(INDEX(tEditais[UF],MATCH(tItens[[#This Row],[Edital]],tEditais[Edital],0)),"")</f>
        <v>GO</v>
      </c>
      <c r="I1325" s="11">
        <f>IFERROR(INDEX(tEditais[Encerramento],MATCH(tItens[[#This Row],[Edital]],tEditais[Edital],0)),"")</f>
        <v>46304.3125</v>
      </c>
      <c r="J1325" t="str">
        <f>IFERROR(INDEX(tProdutos[Classe],MATCH(tItens[[#This Row],[Produto]],tProdutos[Produto],0)),"produto não cadastrado")</f>
        <v>DISPUTADO</v>
      </c>
      <c r="K1325" s="12">
        <f>tItens[[#This Row],[Qtd]]*tItens[[#This Row],[Vlr unit]]</f>
        <v>0</v>
      </c>
      <c r="L1325" s="6">
        <f>IFERROR(IF(INDEX(tProdutos[Desconto homologado],MATCH(tItens[[#This Row],[Produto]],tProdutos[Produto],0))="",DescontoPadrao,INDEX(tProdutos[Desconto homologado],MATCH(tItens[[#This Row],[Produto]],tProdutos[Produto],0))),DescontoPadrao)</f>
        <v>0.40909090909090901</v>
      </c>
      <c r="M1325" s="12">
        <f>tItens[[#This Row],[Valor]]*(1-tItens[[#This Row],[Desconto]])</f>
        <v>0</v>
      </c>
      <c r="N1325" t="str">
        <f>IFERROR(INDEX(tProdutos[Foco],MATCH(tItens[[#This Row],[Produto]],tProdutos[Produto],0)),"Não")</f>
        <v>Não</v>
      </c>
      <c r="O1325" t="str">
        <f>IFERROR(INDEX(tEditais[SRP],MATCH(tItens[[#This Row],[Edital]],tEditais[Edital],0)),"Não")</f>
        <v>Não</v>
      </c>
      <c r="P1325" s="4">
        <f>IF(COUNTIFS(INDEX(tItens[Edital],1):tItens[[#This Row],[Edital]],tItens[[#This Row],[Edital]],INDEX(tItens[Produto],1):tItens[[#This Row],[Produto]],tItens[[#This Row],[Produto]])=1,1,0)</f>
        <v>0</v>
      </c>
    </row>
    <row r="1326" spans="1:16" x14ac:dyDescent="0.25">
      <c r="A1326" t="s">
        <v>1142</v>
      </c>
      <c r="B1326">
        <v>289</v>
      </c>
      <c r="C1326" t="s">
        <v>4393</v>
      </c>
      <c r="D1326" t="s">
        <v>110</v>
      </c>
      <c r="E1326" s="13">
        <v>200</v>
      </c>
      <c r="F1326" s="12">
        <v>0</v>
      </c>
      <c r="G1326" t="str">
        <f>IFERROR(INDEX(tEditais[Órgão],MATCH(tItens[[#This Row],[Edital]],tEditais[Edital],0)),"")</f>
        <v>FUNDO MUNICIPAL DE SAUDE</v>
      </c>
      <c r="H1326" t="str">
        <f>IFERROR(INDEX(tEditais[UF],MATCH(tItens[[#This Row],[Edital]],tEditais[Edital],0)),"")</f>
        <v>GO</v>
      </c>
      <c r="I1326" s="11">
        <f>IFERROR(INDEX(tEditais[Encerramento],MATCH(tItens[[#This Row],[Edital]],tEditais[Edital],0)),"")</f>
        <v>46304.3125</v>
      </c>
      <c r="J1326" t="str">
        <f>IFERROR(INDEX(tProdutos[Classe],MATCH(tItens[[#This Row],[Produto]],tProdutos[Produto],0)),"produto não cadastrado")</f>
        <v>NÚCLEO</v>
      </c>
      <c r="K1326" s="12">
        <f>tItens[[#This Row],[Qtd]]*tItens[[#This Row],[Vlr unit]]</f>
        <v>0</v>
      </c>
      <c r="L1326" s="6">
        <f>IFERROR(IF(INDEX(tProdutos[Desconto homologado],MATCH(tItens[[#This Row],[Produto]],tProdutos[Produto],0))="",DescontoPadrao,INDEX(tProdutos[Desconto homologado],MATCH(tItens[[#This Row],[Produto]],tProdutos[Produto],0))),DescontoPadrao)</f>
        <v>0.30410958904109597</v>
      </c>
      <c r="M1326" s="12">
        <f>tItens[[#This Row],[Valor]]*(1-tItens[[#This Row],[Desconto]])</f>
        <v>0</v>
      </c>
      <c r="N1326" t="str">
        <f>IFERROR(INDEX(tProdutos[Foco],MATCH(tItens[[#This Row],[Produto]],tProdutos[Produto],0)),"Não")</f>
        <v>Não</v>
      </c>
      <c r="O1326" t="str">
        <f>IFERROR(INDEX(tEditais[SRP],MATCH(tItens[[#This Row],[Edital]],tEditais[Edital],0)),"Não")</f>
        <v>Não</v>
      </c>
      <c r="P1326" s="4">
        <f>IF(COUNTIFS(INDEX(tItens[Edital],1):tItens[[#This Row],[Edital]],tItens[[#This Row],[Edital]],INDEX(tItens[Produto],1):tItens[[#This Row],[Produto]],tItens[[#This Row],[Produto]])=1,1,0)</f>
        <v>0</v>
      </c>
    </row>
    <row r="1327" spans="1:16" x14ac:dyDescent="0.25">
      <c r="A1327" t="s">
        <v>1142</v>
      </c>
      <c r="B1327">
        <v>290</v>
      </c>
      <c r="C1327" t="s">
        <v>4394</v>
      </c>
      <c r="D1327" t="s">
        <v>110</v>
      </c>
      <c r="E1327" s="13">
        <v>200</v>
      </c>
      <c r="F1327" s="12">
        <v>0</v>
      </c>
      <c r="G1327" t="str">
        <f>IFERROR(INDEX(tEditais[Órgão],MATCH(tItens[[#This Row],[Edital]],tEditais[Edital],0)),"")</f>
        <v>FUNDO MUNICIPAL DE SAUDE</v>
      </c>
      <c r="H1327" t="str">
        <f>IFERROR(INDEX(tEditais[UF],MATCH(tItens[[#This Row],[Edital]],tEditais[Edital],0)),"")</f>
        <v>GO</v>
      </c>
      <c r="I1327" s="11">
        <f>IFERROR(INDEX(tEditais[Encerramento],MATCH(tItens[[#This Row],[Edital]],tEditais[Edital],0)),"")</f>
        <v>46304.3125</v>
      </c>
      <c r="J1327" t="str">
        <f>IFERROR(INDEX(tProdutos[Classe],MATCH(tItens[[#This Row],[Produto]],tProdutos[Produto],0)),"produto não cadastrado")</f>
        <v>NÚCLEO</v>
      </c>
      <c r="K1327" s="12">
        <f>tItens[[#This Row],[Qtd]]*tItens[[#This Row],[Vlr unit]]</f>
        <v>0</v>
      </c>
      <c r="L1327" s="6">
        <f>IFERROR(IF(INDEX(tProdutos[Desconto homologado],MATCH(tItens[[#This Row],[Produto]],tProdutos[Produto],0))="",DescontoPadrao,INDEX(tProdutos[Desconto homologado],MATCH(tItens[[#This Row],[Produto]],tProdutos[Produto],0))),DescontoPadrao)</f>
        <v>0.30410958904109597</v>
      </c>
      <c r="M1327" s="12">
        <f>tItens[[#This Row],[Valor]]*(1-tItens[[#This Row],[Desconto]])</f>
        <v>0</v>
      </c>
      <c r="N1327" t="str">
        <f>IFERROR(INDEX(tProdutos[Foco],MATCH(tItens[[#This Row],[Produto]],tProdutos[Produto],0)),"Não")</f>
        <v>Não</v>
      </c>
      <c r="O1327" t="str">
        <f>IFERROR(INDEX(tEditais[SRP],MATCH(tItens[[#This Row],[Edital]],tEditais[Edital],0)),"Não")</f>
        <v>Não</v>
      </c>
      <c r="P1327" s="4">
        <f>IF(COUNTIFS(INDEX(tItens[Edital],1):tItens[[#This Row],[Edital]],tItens[[#This Row],[Edital]],INDEX(tItens[Produto],1):tItens[[#This Row],[Produto]],tItens[[#This Row],[Produto]])=1,1,0)</f>
        <v>0</v>
      </c>
    </row>
    <row r="1328" spans="1:16" x14ac:dyDescent="0.25">
      <c r="A1328" t="s">
        <v>1142</v>
      </c>
      <c r="B1328">
        <v>291</v>
      </c>
      <c r="C1328" t="s">
        <v>4395</v>
      </c>
      <c r="D1328" t="s">
        <v>110</v>
      </c>
      <c r="E1328" s="13">
        <v>200</v>
      </c>
      <c r="F1328" s="12">
        <v>0</v>
      </c>
      <c r="G1328" t="str">
        <f>IFERROR(INDEX(tEditais[Órgão],MATCH(tItens[[#This Row],[Edital]],tEditais[Edital],0)),"")</f>
        <v>FUNDO MUNICIPAL DE SAUDE</v>
      </c>
      <c r="H1328" t="str">
        <f>IFERROR(INDEX(tEditais[UF],MATCH(tItens[[#This Row],[Edital]],tEditais[Edital],0)),"")</f>
        <v>GO</v>
      </c>
      <c r="I1328" s="11">
        <f>IFERROR(INDEX(tEditais[Encerramento],MATCH(tItens[[#This Row],[Edital]],tEditais[Edital],0)),"")</f>
        <v>46304.3125</v>
      </c>
      <c r="J1328" t="str">
        <f>IFERROR(INDEX(tProdutos[Classe],MATCH(tItens[[#This Row],[Produto]],tProdutos[Produto],0)),"produto não cadastrado")</f>
        <v>NÚCLEO</v>
      </c>
      <c r="K1328" s="12">
        <f>tItens[[#This Row],[Qtd]]*tItens[[#This Row],[Vlr unit]]</f>
        <v>0</v>
      </c>
      <c r="L1328" s="6">
        <f>IFERROR(IF(INDEX(tProdutos[Desconto homologado],MATCH(tItens[[#This Row],[Produto]],tProdutos[Produto],0))="",DescontoPadrao,INDEX(tProdutos[Desconto homologado],MATCH(tItens[[#This Row],[Produto]],tProdutos[Produto],0))),DescontoPadrao)</f>
        <v>0.30410958904109597</v>
      </c>
      <c r="M1328" s="12">
        <f>tItens[[#This Row],[Valor]]*(1-tItens[[#This Row],[Desconto]])</f>
        <v>0</v>
      </c>
      <c r="N1328" t="str">
        <f>IFERROR(INDEX(tProdutos[Foco],MATCH(tItens[[#This Row],[Produto]],tProdutos[Produto],0)),"Não")</f>
        <v>Não</v>
      </c>
      <c r="O1328" t="str">
        <f>IFERROR(INDEX(tEditais[SRP],MATCH(tItens[[#This Row],[Edital]],tEditais[Edital],0)),"Não")</f>
        <v>Não</v>
      </c>
      <c r="P1328" s="4">
        <f>IF(COUNTIFS(INDEX(tItens[Edital],1):tItens[[#This Row],[Edital]],tItens[[#This Row],[Edital]],INDEX(tItens[Produto],1):tItens[[#This Row],[Produto]],tItens[[#This Row],[Produto]])=1,1,0)</f>
        <v>0</v>
      </c>
    </row>
    <row r="1329" spans="1:16" x14ac:dyDescent="0.25">
      <c r="A1329" t="s">
        <v>1142</v>
      </c>
      <c r="B1329">
        <v>292</v>
      </c>
      <c r="C1329" t="s">
        <v>4396</v>
      </c>
      <c r="D1329" t="s">
        <v>110</v>
      </c>
      <c r="E1329" s="13">
        <v>200</v>
      </c>
      <c r="F1329" s="12">
        <v>0</v>
      </c>
      <c r="G1329" t="str">
        <f>IFERROR(INDEX(tEditais[Órgão],MATCH(tItens[[#This Row],[Edital]],tEditais[Edital],0)),"")</f>
        <v>FUNDO MUNICIPAL DE SAUDE</v>
      </c>
      <c r="H1329" t="str">
        <f>IFERROR(INDEX(tEditais[UF],MATCH(tItens[[#This Row],[Edital]],tEditais[Edital],0)),"")</f>
        <v>GO</v>
      </c>
      <c r="I1329" s="11">
        <f>IFERROR(INDEX(tEditais[Encerramento],MATCH(tItens[[#This Row],[Edital]],tEditais[Edital],0)),"")</f>
        <v>46304.3125</v>
      </c>
      <c r="J1329" t="str">
        <f>IFERROR(INDEX(tProdutos[Classe],MATCH(tItens[[#This Row],[Produto]],tProdutos[Produto],0)),"produto não cadastrado")</f>
        <v>NÚCLEO</v>
      </c>
      <c r="K1329" s="12">
        <f>tItens[[#This Row],[Qtd]]*tItens[[#This Row],[Vlr unit]]</f>
        <v>0</v>
      </c>
      <c r="L1329" s="6">
        <f>IFERROR(IF(INDEX(tProdutos[Desconto homologado],MATCH(tItens[[#This Row],[Produto]],tProdutos[Produto],0))="",DescontoPadrao,INDEX(tProdutos[Desconto homologado],MATCH(tItens[[#This Row],[Produto]],tProdutos[Produto],0))),DescontoPadrao)</f>
        <v>0.30410958904109597</v>
      </c>
      <c r="M1329" s="12">
        <f>tItens[[#This Row],[Valor]]*(1-tItens[[#This Row],[Desconto]])</f>
        <v>0</v>
      </c>
      <c r="N1329" t="str">
        <f>IFERROR(INDEX(tProdutos[Foco],MATCH(tItens[[#This Row],[Produto]],tProdutos[Produto],0)),"Não")</f>
        <v>Não</v>
      </c>
      <c r="O1329" t="str">
        <f>IFERROR(INDEX(tEditais[SRP],MATCH(tItens[[#This Row],[Edital]],tEditais[Edital],0)),"Não")</f>
        <v>Não</v>
      </c>
      <c r="P1329" s="4">
        <f>IF(COUNTIFS(INDEX(tItens[Edital],1):tItens[[#This Row],[Edital]],tItens[[#This Row],[Edital]],INDEX(tItens[Produto],1):tItens[[#This Row],[Produto]],tItens[[#This Row],[Produto]])=1,1,0)</f>
        <v>0</v>
      </c>
    </row>
    <row r="1330" spans="1:16" x14ac:dyDescent="0.25">
      <c r="A1330" t="s">
        <v>1142</v>
      </c>
      <c r="B1330">
        <v>293</v>
      </c>
      <c r="C1330" t="s">
        <v>4397</v>
      </c>
      <c r="D1330" t="s">
        <v>110</v>
      </c>
      <c r="E1330" s="13">
        <v>200</v>
      </c>
      <c r="F1330" s="12">
        <v>0</v>
      </c>
      <c r="G1330" t="str">
        <f>IFERROR(INDEX(tEditais[Órgão],MATCH(tItens[[#This Row],[Edital]],tEditais[Edital],0)),"")</f>
        <v>FUNDO MUNICIPAL DE SAUDE</v>
      </c>
      <c r="H1330" t="str">
        <f>IFERROR(INDEX(tEditais[UF],MATCH(tItens[[#This Row],[Edital]],tEditais[Edital],0)),"")</f>
        <v>GO</v>
      </c>
      <c r="I1330" s="11">
        <f>IFERROR(INDEX(tEditais[Encerramento],MATCH(tItens[[#This Row],[Edital]],tEditais[Edital],0)),"")</f>
        <v>46304.3125</v>
      </c>
      <c r="J1330" t="str">
        <f>IFERROR(INDEX(tProdutos[Classe],MATCH(tItens[[#This Row],[Produto]],tProdutos[Produto],0)),"produto não cadastrado")</f>
        <v>NÚCLEO</v>
      </c>
      <c r="K1330" s="12">
        <f>tItens[[#This Row],[Qtd]]*tItens[[#This Row],[Vlr unit]]</f>
        <v>0</v>
      </c>
      <c r="L1330" s="6">
        <f>IFERROR(IF(INDEX(tProdutos[Desconto homologado],MATCH(tItens[[#This Row],[Produto]],tProdutos[Produto],0))="",DescontoPadrao,INDEX(tProdutos[Desconto homologado],MATCH(tItens[[#This Row],[Produto]],tProdutos[Produto],0))),DescontoPadrao)</f>
        <v>0.30410958904109597</v>
      </c>
      <c r="M1330" s="12">
        <f>tItens[[#This Row],[Valor]]*(1-tItens[[#This Row],[Desconto]])</f>
        <v>0</v>
      </c>
      <c r="N1330" t="str">
        <f>IFERROR(INDEX(tProdutos[Foco],MATCH(tItens[[#This Row],[Produto]],tProdutos[Produto],0)),"Não")</f>
        <v>Não</v>
      </c>
      <c r="O1330" t="str">
        <f>IFERROR(INDEX(tEditais[SRP],MATCH(tItens[[#This Row],[Edital]],tEditais[Edital],0)),"Não")</f>
        <v>Não</v>
      </c>
      <c r="P1330" s="4">
        <f>IF(COUNTIFS(INDEX(tItens[Edital],1):tItens[[#This Row],[Edital]],tItens[[#This Row],[Edital]],INDEX(tItens[Produto],1):tItens[[#This Row],[Produto]],tItens[[#This Row],[Produto]])=1,1,0)</f>
        <v>0</v>
      </c>
    </row>
    <row r="1331" spans="1:16" x14ac:dyDescent="0.25">
      <c r="A1331" t="s">
        <v>1142</v>
      </c>
      <c r="B1331">
        <v>313</v>
      </c>
      <c r="C1331" t="s">
        <v>4398</v>
      </c>
      <c r="D1331" t="s">
        <v>333</v>
      </c>
      <c r="E1331" s="13">
        <v>80000</v>
      </c>
      <c r="F1331" s="12">
        <v>0</v>
      </c>
      <c r="G1331" t="str">
        <f>IFERROR(INDEX(tEditais[Órgão],MATCH(tItens[[#This Row],[Edital]],tEditais[Edital],0)),"")</f>
        <v>FUNDO MUNICIPAL DE SAUDE</v>
      </c>
      <c r="H1331" t="str">
        <f>IFERROR(INDEX(tEditais[UF],MATCH(tItens[[#This Row],[Edital]],tEditais[Edital],0)),"")</f>
        <v>GO</v>
      </c>
      <c r="I1331" s="11">
        <f>IFERROR(INDEX(tEditais[Encerramento],MATCH(tItens[[#This Row],[Edital]],tEditais[Edital],0)),"")</f>
        <v>46304.3125</v>
      </c>
      <c r="J1331" t="str">
        <f>IFERROR(INDEX(tProdutos[Classe],MATCH(tItens[[#This Row],[Produto]],tProdutos[Produto],0)),"produto não cadastrado")</f>
        <v>FORA</v>
      </c>
      <c r="K1331" s="12">
        <f>tItens[[#This Row],[Qtd]]*tItens[[#This Row],[Vlr unit]]</f>
        <v>0</v>
      </c>
      <c r="L1331" s="6">
        <f>IFERROR(IF(INDEX(tProdutos[Desconto homologado],MATCH(tItens[[#This Row],[Produto]],tProdutos[Produto],0))="",DescontoPadrao,INDEX(tProdutos[Desconto homologado],MATCH(tItens[[#This Row],[Produto]],tProdutos[Produto],0))),DescontoPadrao)</f>
        <v>0.48951048951048998</v>
      </c>
      <c r="M1331" s="12">
        <f>tItens[[#This Row],[Valor]]*(1-tItens[[#This Row],[Desconto]])</f>
        <v>0</v>
      </c>
      <c r="N1331" t="str">
        <f>IFERROR(INDEX(tProdutos[Foco],MATCH(tItens[[#This Row],[Produto]],tProdutos[Produto],0)),"Não")</f>
        <v>Não</v>
      </c>
      <c r="O1331" t="str">
        <f>IFERROR(INDEX(tEditais[SRP],MATCH(tItens[[#This Row],[Edital]],tEditais[Edital],0)),"Não")</f>
        <v>Não</v>
      </c>
      <c r="P1331" s="4">
        <f>IF(COUNTIFS(INDEX(tItens[Edital],1):tItens[[#This Row],[Edital]],tItens[[#This Row],[Edital]],INDEX(tItens[Produto],1):tItens[[#This Row],[Produto]],tItens[[#This Row],[Produto]])=1,1,0)</f>
        <v>1</v>
      </c>
    </row>
    <row r="1332" spans="1:16" x14ac:dyDescent="0.25">
      <c r="A1332" t="s">
        <v>1142</v>
      </c>
      <c r="B1332">
        <v>314</v>
      </c>
      <c r="C1332" t="s">
        <v>4399</v>
      </c>
      <c r="D1332" t="s">
        <v>333</v>
      </c>
      <c r="E1332" s="13">
        <v>30000</v>
      </c>
      <c r="F1332" s="12">
        <v>0</v>
      </c>
      <c r="G1332" t="str">
        <f>IFERROR(INDEX(tEditais[Órgão],MATCH(tItens[[#This Row],[Edital]],tEditais[Edital],0)),"")</f>
        <v>FUNDO MUNICIPAL DE SAUDE</v>
      </c>
      <c r="H1332" t="str">
        <f>IFERROR(INDEX(tEditais[UF],MATCH(tItens[[#This Row],[Edital]],tEditais[Edital],0)),"")</f>
        <v>GO</v>
      </c>
      <c r="I1332" s="11">
        <f>IFERROR(INDEX(tEditais[Encerramento],MATCH(tItens[[#This Row],[Edital]],tEditais[Edital],0)),"")</f>
        <v>46304.3125</v>
      </c>
      <c r="J1332" t="str">
        <f>IFERROR(INDEX(tProdutos[Classe],MATCH(tItens[[#This Row],[Produto]],tProdutos[Produto],0)),"produto não cadastrado")</f>
        <v>FORA</v>
      </c>
      <c r="K1332" s="12">
        <f>tItens[[#This Row],[Qtd]]*tItens[[#This Row],[Vlr unit]]</f>
        <v>0</v>
      </c>
      <c r="L1332" s="6">
        <f>IFERROR(IF(INDEX(tProdutos[Desconto homologado],MATCH(tItens[[#This Row],[Produto]],tProdutos[Produto],0))="",DescontoPadrao,INDEX(tProdutos[Desconto homologado],MATCH(tItens[[#This Row],[Produto]],tProdutos[Produto],0))),DescontoPadrao)</f>
        <v>0.48951048951048998</v>
      </c>
      <c r="M1332" s="12">
        <f>tItens[[#This Row],[Valor]]*(1-tItens[[#This Row],[Desconto]])</f>
        <v>0</v>
      </c>
      <c r="N1332" t="str">
        <f>IFERROR(INDEX(tProdutos[Foco],MATCH(tItens[[#This Row],[Produto]],tProdutos[Produto],0)),"Não")</f>
        <v>Não</v>
      </c>
      <c r="O1332" t="str">
        <f>IFERROR(INDEX(tEditais[SRP],MATCH(tItens[[#This Row],[Edital]],tEditais[Edital],0)),"Não")</f>
        <v>Não</v>
      </c>
      <c r="P1332" s="4">
        <f>IF(COUNTIFS(INDEX(tItens[Edital],1):tItens[[#This Row],[Edital]],tItens[[#This Row],[Edital]],INDEX(tItens[Produto],1):tItens[[#This Row],[Produto]],tItens[[#This Row],[Produto]])=1,1,0)</f>
        <v>0</v>
      </c>
    </row>
    <row r="1333" spans="1:16" x14ac:dyDescent="0.25">
      <c r="A1333" t="s">
        <v>1142</v>
      </c>
      <c r="B1333">
        <v>315</v>
      </c>
      <c r="C1333" t="s">
        <v>4400</v>
      </c>
      <c r="D1333" t="s">
        <v>187</v>
      </c>
      <c r="E1333" s="13">
        <v>10000</v>
      </c>
      <c r="F1333" s="12">
        <v>0</v>
      </c>
      <c r="G1333" t="str">
        <f>IFERROR(INDEX(tEditais[Órgão],MATCH(tItens[[#This Row],[Edital]],tEditais[Edital],0)),"")</f>
        <v>FUNDO MUNICIPAL DE SAUDE</v>
      </c>
      <c r="H1333" t="str">
        <f>IFERROR(INDEX(tEditais[UF],MATCH(tItens[[#This Row],[Edital]],tEditais[Edital],0)),"")</f>
        <v>GO</v>
      </c>
      <c r="I1333" s="11">
        <f>IFERROR(INDEX(tEditais[Encerramento],MATCH(tItens[[#This Row],[Edital]],tEditais[Edital],0)),"")</f>
        <v>46304.3125</v>
      </c>
      <c r="J1333" t="str">
        <f>IFERROR(INDEX(tProdutos[Classe],MATCH(tItens[[#This Row],[Produto]],tProdutos[Produto],0)),"produto não cadastrado")</f>
        <v>DISPUTADO</v>
      </c>
      <c r="K1333" s="12">
        <f>tItens[[#This Row],[Qtd]]*tItens[[#This Row],[Vlr unit]]</f>
        <v>0</v>
      </c>
      <c r="L1333" s="6">
        <f>IFERROR(IF(INDEX(tProdutos[Desconto homologado],MATCH(tItens[[#This Row],[Produto]],tProdutos[Produto],0))="",DescontoPadrao,INDEX(tProdutos[Desconto homologado],MATCH(tItens[[#This Row],[Produto]],tProdutos[Produto],0))),DescontoPadrao)</f>
        <v>0.44298820445609399</v>
      </c>
      <c r="M1333" s="12">
        <f>tItens[[#This Row],[Valor]]*(1-tItens[[#This Row],[Desconto]])</f>
        <v>0</v>
      </c>
      <c r="N1333" t="str">
        <f>IFERROR(INDEX(tProdutos[Foco],MATCH(tItens[[#This Row],[Produto]],tProdutos[Produto],0)),"Não")</f>
        <v>Não</v>
      </c>
      <c r="O1333" t="str">
        <f>IFERROR(INDEX(tEditais[SRP],MATCH(tItens[[#This Row],[Edital]],tEditais[Edital],0)),"Não")</f>
        <v>Não</v>
      </c>
      <c r="P1333" s="4">
        <f>IF(COUNTIFS(INDEX(tItens[Edital],1):tItens[[#This Row],[Edital]],tItens[[#This Row],[Edital]],INDEX(tItens[Produto],1):tItens[[#This Row],[Produto]],tItens[[#This Row],[Produto]])=1,1,0)</f>
        <v>1</v>
      </c>
    </row>
    <row r="1334" spans="1:16" x14ac:dyDescent="0.25">
      <c r="A1334" t="s">
        <v>1142</v>
      </c>
      <c r="B1334">
        <v>316</v>
      </c>
      <c r="C1334" t="s">
        <v>4401</v>
      </c>
      <c r="D1334" t="s">
        <v>229</v>
      </c>
      <c r="E1334" s="13">
        <v>3750</v>
      </c>
      <c r="F1334" s="12">
        <v>0</v>
      </c>
      <c r="G1334" t="str">
        <f>IFERROR(INDEX(tEditais[Órgão],MATCH(tItens[[#This Row],[Edital]],tEditais[Edital],0)),"")</f>
        <v>FUNDO MUNICIPAL DE SAUDE</v>
      </c>
      <c r="H1334" t="str">
        <f>IFERROR(INDEX(tEditais[UF],MATCH(tItens[[#This Row],[Edital]],tEditais[Edital],0)),"")</f>
        <v>GO</v>
      </c>
      <c r="I1334" s="11">
        <f>IFERROR(INDEX(tEditais[Encerramento],MATCH(tItens[[#This Row],[Edital]],tEditais[Edital],0)),"")</f>
        <v>46304.3125</v>
      </c>
      <c r="J1334" t="str">
        <f>IFERROR(INDEX(tProdutos[Classe],MATCH(tItens[[#This Row],[Produto]],tProdutos[Produto],0)),"produto não cadastrado")</f>
        <v>FORA</v>
      </c>
      <c r="K1334" s="12">
        <f>tItens[[#This Row],[Qtd]]*tItens[[#This Row],[Vlr unit]]</f>
        <v>0</v>
      </c>
      <c r="L1334" s="6">
        <f>IFERROR(IF(INDEX(tProdutos[Desconto homologado],MATCH(tItens[[#This Row],[Produto]],tProdutos[Produto],0))="",DescontoPadrao,INDEX(tProdutos[Desconto homologado],MATCH(tItens[[#This Row],[Produto]],tProdutos[Produto],0))),DescontoPadrao)</f>
        <v>0.33093491191658198</v>
      </c>
      <c r="M1334" s="12">
        <f>tItens[[#This Row],[Valor]]*(1-tItens[[#This Row],[Desconto]])</f>
        <v>0</v>
      </c>
      <c r="N1334" t="str">
        <f>IFERROR(INDEX(tProdutos[Foco],MATCH(tItens[[#This Row],[Produto]],tProdutos[Produto],0)),"Não")</f>
        <v>Não</v>
      </c>
      <c r="O1334" t="str">
        <f>IFERROR(INDEX(tEditais[SRP],MATCH(tItens[[#This Row],[Edital]],tEditais[Edital],0)),"Não")</f>
        <v>Não</v>
      </c>
      <c r="P1334" s="4">
        <f>IF(COUNTIFS(INDEX(tItens[Edital],1):tItens[[#This Row],[Edital]],tItens[[#This Row],[Edital]],INDEX(tItens[Produto],1):tItens[[#This Row],[Produto]],tItens[[#This Row],[Produto]])=1,1,0)</f>
        <v>1</v>
      </c>
    </row>
    <row r="1335" spans="1:16" x14ac:dyDescent="0.25">
      <c r="A1335" t="s">
        <v>1142</v>
      </c>
      <c r="B1335">
        <v>317</v>
      </c>
      <c r="C1335" t="s">
        <v>4402</v>
      </c>
      <c r="D1335" t="s">
        <v>229</v>
      </c>
      <c r="E1335" s="13">
        <v>3750</v>
      </c>
      <c r="F1335" s="12">
        <v>0</v>
      </c>
      <c r="G1335" t="str">
        <f>IFERROR(INDEX(tEditais[Órgão],MATCH(tItens[[#This Row],[Edital]],tEditais[Edital],0)),"")</f>
        <v>FUNDO MUNICIPAL DE SAUDE</v>
      </c>
      <c r="H1335" t="str">
        <f>IFERROR(INDEX(tEditais[UF],MATCH(tItens[[#This Row],[Edital]],tEditais[Edital],0)),"")</f>
        <v>GO</v>
      </c>
      <c r="I1335" s="11">
        <f>IFERROR(INDEX(tEditais[Encerramento],MATCH(tItens[[#This Row],[Edital]],tEditais[Edital],0)),"")</f>
        <v>46304.3125</v>
      </c>
      <c r="J1335" t="str">
        <f>IFERROR(INDEX(tProdutos[Classe],MATCH(tItens[[#This Row],[Produto]],tProdutos[Produto],0)),"produto não cadastrado")</f>
        <v>FORA</v>
      </c>
      <c r="K1335" s="12">
        <f>tItens[[#This Row],[Qtd]]*tItens[[#This Row],[Vlr unit]]</f>
        <v>0</v>
      </c>
      <c r="L1335" s="6">
        <f>IFERROR(IF(INDEX(tProdutos[Desconto homologado],MATCH(tItens[[#This Row],[Produto]],tProdutos[Produto],0))="",DescontoPadrao,INDEX(tProdutos[Desconto homologado],MATCH(tItens[[#This Row],[Produto]],tProdutos[Produto],0))),DescontoPadrao)</f>
        <v>0.33093491191658198</v>
      </c>
      <c r="M1335" s="12">
        <f>tItens[[#This Row],[Valor]]*(1-tItens[[#This Row],[Desconto]])</f>
        <v>0</v>
      </c>
      <c r="N1335" t="str">
        <f>IFERROR(INDEX(tProdutos[Foco],MATCH(tItens[[#This Row],[Produto]],tProdutos[Produto],0)),"Não")</f>
        <v>Não</v>
      </c>
      <c r="O1335" t="str">
        <f>IFERROR(INDEX(tEditais[SRP],MATCH(tItens[[#This Row],[Edital]],tEditais[Edital],0)),"Não")</f>
        <v>Não</v>
      </c>
      <c r="P1335" s="4">
        <f>IF(COUNTIFS(INDEX(tItens[Edital],1):tItens[[#This Row],[Edital]],tItens[[#This Row],[Edital]],INDEX(tItens[Produto],1):tItens[[#This Row],[Produto]],tItens[[#This Row],[Produto]])=1,1,0)</f>
        <v>0</v>
      </c>
    </row>
    <row r="1336" spans="1:16" x14ac:dyDescent="0.25">
      <c r="A1336" t="s">
        <v>1142</v>
      </c>
      <c r="B1336">
        <v>318</v>
      </c>
      <c r="C1336" t="s">
        <v>4403</v>
      </c>
      <c r="D1336" t="s">
        <v>209</v>
      </c>
      <c r="E1336" s="13">
        <v>5000</v>
      </c>
      <c r="F1336" s="12">
        <v>0</v>
      </c>
      <c r="G1336" t="str">
        <f>IFERROR(INDEX(tEditais[Órgão],MATCH(tItens[[#This Row],[Edital]],tEditais[Edital],0)),"")</f>
        <v>FUNDO MUNICIPAL DE SAUDE</v>
      </c>
      <c r="H1336" t="str">
        <f>IFERROR(INDEX(tEditais[UF],MATCH(tItens[[#This Row],[Edital]],tEditais[Edital],0)),"")</f>
        <v>GO</v>
      </c>
      <c r="I1336" s="11">
        <f>IFERROR(INDEX(tEditais[Encerramento],MATCH(tItens[[#This Row],[Edital]],tEditais[Edital],0)),"")</f>
        <v>46304.3125</v>
      </c>
      <c r="J1336" t="str">
        <f>IFERROR(INDEX(tProdutos[Classe],MATCH(tItens[[#This Row],[Produto]],tProdutos[Produto],0)),"produto não cadastrado")</f>
        <v>FORA</v>
      </c>
      <c r="K1336" s="12">
        <f>tItens[[#This Row],[Qtd]]*tItens[[#This Row],[Vlr unit]]</f>
        <v>0</v>
      </c>
      <c r="L1336" s="6">
        <f>IFERROR(IF(INDEX(tProdutos[Desconto homologado],MATCH(tItens[[#This Row],[Produto]],tProdutos[Produto],0))="",DescontoPadrao,INDEX(tProdutos[Desconto homologado],MATCH(tItens[[#This Row],[Produto]],tProdutos[Produto],0))),DescontoPadrao)</f>
        <v>0.16442507504040599</v>
      </c>
      <c r="M1336" s="12">
        <f>tItens[[#This Row],[Valor]]*(1-tItens[[#This Row],[Desconto]])</f>
        <v>0</v>
      </c>
      <c r="N1336" t="str">
        <f>IFERROR(INDEX(tProdutos[Foco],MATCH(tItens[[#This Row],[Produto]],tProdutos[Produto],0)),"Não")</f>
        <v>Não</v>
      </c>
      <c r="O1336" t="str">
        <f>IFERROR(INDEX(tEditais[SRP],MATCH(tItens[[#This Row],[Edital]],tEditais[Edital],0)),"Não")</f>
        <v>Não</v>
      </c>
      <c r="P1336" s="4">
        <f>IF(COUNTIFS(INDEX(tItens[Edital],1):tItens[[#This Row],[Edital]],tItens[[#This Row],[Edital]],INDEX(tItens[Produto],1):tItens[[#This Row],[Produto]],tItens[[#This Row],[Produto]])=1,1,0)</f>
        <v>1</v>
      </c>
    </row>
    <row r="1337" spans="1:16" x14ac:dyDescent="0.25">
      <c r="A1337" t="s">
        <v>1142</v>
      </c>
      <c r="B1337">
        <v>319</v>
      </c>
      <c r="C1337" t="s">
        <v>4404</v>
      </c>
      <c r="D1337" t="s">
        <v>229</v>
      </c>
      <c r="E1337" s="13">
        <v>5000</v>
      </c>
      <c r="F1337" s="12">
        <v>0</v>
      </c>
      <c r="G1337" t="str">
        <f>IFERROR(INDEX(tEditais[Órgão],MATCH(tItens[[#This Row],[Edital]],tEditais[Edital],0)),"")</f>
        <v>FUNDO MUNICIPAL DE SAUDE</v>
      </c>
      <c r="H1337" t="str">
        <f>IFERROR(INDEX(tEditais[UF],MATCH(tItens[[#This Row],[Edital]],tEditais[Edital],0)),"")</f>
        <v>GO</v>
      </c>
      <c r="I1337" s="11">
        <f>IFERROR(INDEX(tEditais[Encerramento],MATCH(tItens[[#This Row],[Edital]],tEditais[Edital],0)),"")</f>
        <v>46304.3125</v>
      </c>
      <c r="J1337" t="str">
        <f>IFERROR(INDEX(tProdutos[Classe],MATCH(tItens[[#This Row],[Produto]],tProdutos[Produto],0)),"produto não cadastrado")</f>
        <v>FORA</v>
      </c>
      <c r="K1337" s="12">
        <f>tItens[[#This Row],[Qtd]]*tItens[[#This Row],[Vlr unit]]</f>
        <v>0</v>
      </c>
      <c r="L1337" s="6">
        <f>IFERROR(IF(INDEX(tProdutos[Desconto homologado],MATCH(tItens[[#This Row],[Produto]],tProdutos[Produto],0))="",DescontoPadrao,INDEX(tProdutos[Desconto homologado],MATCH(tItens[[#This Row],[Produto]],tProdutos[Produto],0))),DescontoPadrao)</f>
        <v>0.33093491191658198</v>
      </c>
      <c r="M1337" s="12">
        <f>tItens[[#This Row],[Valor]]*(1-tItens[[#This Row],[Desconto]])</f>
        <v>0</v>
      </c>
      <c r="N1337" t="str">
        <f>IFERROR(INDEX(tProdutos[Foco],MATCH(tItens[[#This Row],[Produto]],tProdutos[Produto],0)),"Não")</f>
        <v>Não</v>
      </c>
      <c r="O1337" t="str">
        <f>IFERROR(INDEX(tEditais[SRP],MATCH(tItens[[#This Row],[Edital]],tEditais[Edital],0)),"Não")</f>
        <v>Não</v>
      </c>
      <c r="P1337" s="4">
        <f>IF(COUNTIFS(INDEX(tItens[Edital],1):tItens[[#This Row],[Edital]],tItens[[#This Row],[Edital]],INDEX(tItens[Produto],1):tItens[[#This Row],[Produto]],tItens[[#This Row],[Produto]])=1,1,0)</f>
        <v>0</v>
      </c>
    </row>
    <row r="1338" spans="1:16" x14ac:dyDescent="0.25">
      <c r="A1338" t="s">
        <v>1142</v>
      </c>
      <c r="B1338">
        <v>339</v>
      </c>
      <c r="C1338" t="s">
        <v>4405</v>
      </c>
      <c r="D1338" t="s">
        <v>283</v>
      </c>
      <c r="E1338" s="13">
        <v>2500</v>
      </c>
      <c r="F1338" s="12">
        <v>0</v>
      </c>
      <c r="G1338" t="str">
        <f>IFERROR(INDEX(tEditais[Órgão],MATCH(tItens[[#This Row],[Edital]],tEditais[Edital],0)),"")</f>
        <v>FUNDO MUNICIPAL DE SAUDE</v>
      </c>
      <c r="H1338" t="str">
        <f>IFERROR(INDEX(tEditais[UF],MATCH(tItens[[#This Row],[Edital]],tEditais[Edital],0)),"")</f>
        <v>GO</v>
      </c>
      <c r="I1338" s="11">
        <f>IFERROR(INDEX(tEditais[Encerramento],MATCH(tItens[[#This Row],[Edital]],tEditais[Edital],0)),"")</f>
        <v>46304.3125</v>
      </c>
      <c r="J1338" t="str">
        <f>IFERROR(INDEX(tProdutos[Classe],MATCH(tItens[[#This Row],[Produto]],tProdutos[Produto],0)),"produto não cadastrado")</f>
        <v>FORA</v>
      </c>
      <c r="K1338" s="12">
        <f>tItens[[#This Row],[Qtd]]*tItens[[#This Row],[Vlr unit]]</f>
        <v>0</v>
      </c>
      <c r="L1338" s="6">
        <f>IFERROR(IF(INDEX(tProdutos[Desconto homologado],MATCH(tItens[[#This Row],[Produto]],tProdutos[Produto],0))="",DescontoPadrao,INDEX(tProdutos[Desconto homologado],MATCH(tItens[[#This Row],[Produto]],tProdutos[Produto],0))),DescontoPadrao)</f>
        <v>0.40540540540540498</v>
      </c>
      <c r="M1338" s="12">
        <f>tItens[[#This Row],[Valor]]*(1-tItens[[#This Row],[Desconto]])</f>
        <v>0</v>
      </c>
      <c r="N1338" t="str">
        <f>IFERROR(INDEX(tProdutos[Foco],MATCH(tItens[[#This Row],[Produto]],tProdutos[Produto],0)),"Não")</f>
        <v>Não</v>
      </c>
      <c r="O1338" t="str">
        <f>IFERROR(INDEX(tEditais[SRP],MATCH(tItens[[#This Row],[Edital]],tEditais[Edital],0)),"Não")</f>
        <v>Não</v>
      </c>
      <c r="P1338" s="4">
        <f>IF(COUNTIFS(INDEX(tItens[Edital],1):tItens[[#This Row],[Edital]],tItens[[#This Row],[Edital]],INDEX(tItens[Produto],1):tItens[[#This Row],[Produto]],tItens[[#This Row],[Produto]])=1,1,0)</f>
        <v>0</v>
      </c>
    </row>
    <row r="1339" spans="1:16" x14ac:dyDescent="0.25">
      <c r="A1339" t="s">
        <v>1142</v>
      </c>
      <c r="B1339">
        <v>340</v>
      </c>
      <c r="C1339" t="s">
        <v>4406</v>
      </c>
      <c r="D1339" t="s">
        <v>265</v>
      </c>
      <c r="E1339" s="13">
        <v>2500</v>
      </c>
      <c r="F1339" s="12">
        <v>0</v>
      </c>
      <c r="G1339" t="str">
        <f>IFERROR(INDEX(tEditais[Órgão],MATCH(tItens[[#This Row],[Edital]],tEditais[Edital],0)),"")</f>
        <v>FUNDO MUNICIPAL DE SAUDE</v>
      </c>
      <c r="H1339" t="str">
        <f>IFERROR(INDEX(tEditais[UF],MATCH(tItens[[#This Row],[Edital]],tEditais[Edital],0)),"")</f>
        <v>GO</v>
      </c>
      <c r="I1339" s="11">
        <f>IFERROR(INDEX(tEditais[Encerramento],MATCH(tItens[[#This Row],[Edital]],tEditais[Edital],0)),"")</f>
        <v>46304.3125</v>
      </c>
      <c r="J1339" t="str">
        <f>IFERROR(INDEX(tProdutos[Classe],MATCH(tItens[[#This Row],[Produto]],tProdutos[Produto],0)),"produto não cadastrado")</f>
        <v>DISPUTADO</v>
      </c>
      <c r="K1339" s="12">
        <f>tItens[[#This Row],[Qtd]]*tItens[[#This Row],[Vlr unit]]</f>
        <v>0</v>
      </c>
      <c r="L1339" s="6">
        <f>IFERROR(IF(INDEX(tProdutos[Desconto homologado],MATCH(tItens[[#This Row],[Produto]],tProdutos[Produto],0))="",DescontoPadrao,INDEX(tProdutos[Desconto homologado],MATCH(tItens[[#This Row],[Produto]],tProdutos[Produto],0))),DescontoPadrao)</f>
        <v>0.377587663709337</v>
      </c>
      <c r="M1339" s="12">
        <f>tItens[[#This Row],[Valor]]*(1-tItens[[#This Row],[Desconto]])</f>
        <v>0</v>
      </c>
      <c r="N1339" t="str">
        <f>IFERROR(INDEX(tProdutos[Foco],MATCH(tItens[[#This Row],[Produto]],tProdutos[Produto],0)),"Não")</f>
        <v>Não</v>
      </c>
      <c r="O1339" t="str">
        <f>IFERROR(INDEX(tEditais[SRP],MATCH(tItens[[#This Row],[Edital]],tEditais[Edital],0)),"Não")</f>
        <v>Não</v>
      </c>
      <c r="P1339" s="4">
        <f>IF(COUNTIFS(INDEX(tItens[Edital],1):tItens[[#This Row],[Edital]],tItens[[#This Row],[Edital]],INDEX(tItens[Produto],1):tItens[[#This Row],[Produto]],tItens[[#This Row],[Produto]])=1,1,0)</f>
        <v>0</v>
      </c>
    </row>
    <row r="1340" spans="1:16" x14ac:dyDescent="0.25">
      <c r="A1340" t="s">
        <v>1142</v>
      </c>
      <c r="B1340">
        <v>341</v>
      </c>
      <c r="C1340" t="s">
        <v>4407</v>
      </c>
      <c r="D1340" t="s">
        <v>281</v>
      </c>
      <c r="E1340" s="13">
        <v>2500</v>
      </c>
      <c r="F1340" s="12">
        <v>0</v>
      </c>
      <c r="G1340" t="str">
        <f>IFERROR(INDEX(tEditais[Órgão],MATCH(tItens[[#This Row],[Edital]],tEditais[Edital],0)),"")</f>
        <v>FUNDO MUNICIPAL DE SAUDE</v>
      </c>
      <c r="H1340" t="str">
        <f>IFERROR(INDEX(tEditais[UF],MATCH(tItens[[#This Row],[Edital]],tEditais[Edital],0)),"")</f>
        <v>GO</v>
      </c>
      <c r="I1340" s="11">
        <f>IFERROR(INDEX(tEditais[Encerramento],MATCH(tItens[[#This Row],[Edital]],tEditais[Edital],0)),"")</f>
        <v>46304.3125</v>
      </c>
      <c r="J1340" t="str">
        <f>IFERROR(INDEX(tProdutos[Classe],MATCH(tItens[[#This Row],[Produto]],tProdutos[Produto],0)),"produto não cadastrado")</f>
        <v>DISPUTADO</v>
      </c>
      <c r="K1340" s="12">
        <f>tItens[[#This Row],[Qtd]]*tItens[[#This Row],[Vlr unit]]</f>
        <v>0</v>
      </c>
      <c r="L1340" s="6">
        <f>IFERROR(IF(INDEX(tProdutos[Desconto homologado],MATCH(tItens[[#This Row],[Produto]],tProdutos[Produto],0))="",DescontoPadrao,INDEX(tProdutos[Desconto homologado],MATCH(tItens[[#This Row],[Produto]],tProdutos[Produto],0))),DescontoPadrao)</f>
        <v>0.42461538461538501</v>
      </c>
      <c r="M1340" s="12">
        <f>tItens[[#This Row],[Valor]]*(1-tItens[[#This Row],[Desconto]])</f>
        <v>0</v>
      </c>
      <c r="N1340" t="str">
        <f>IFERROR(INDEX(tProdutos[Foco],MATCH(tItens[[#This Row],[Produto]],tProdutos[Produto],0)),"Não")</f>
        <v>Não</v>
      </c>
      <c r="O1340" t="str">
        <f>IFERROR(INDEX(tEditais[SRP],MATCH(tItens[[#This Row],[Edital]],tEditais[Edital],0)),"Não")</f>
        <v>Não</v>
      </c>
      <c r="P1340" s="4">
        <f>IF(COUNTIFS(INDEX(tItens[Edital],1):tItens[[#This Row],[Edital]],tItens[[#This Row],[Edital]],INDEX(tItens[Produto],1):tItens[[#This Row],[Produto]],tItens[[#This Row],[Produto]])=1,1,0)</f>
        <v>0</v>
      </c>
    </row>
    <row r="1341" spans="1:16" x14ac:dyDescent="0.25">
      <c r="A1341" t="s">
        <v>1142</v>
      </c>
      <c r="B1341">
        <v>342</v>
      </c>
      <c r="C1341" t="s">
        <v>4408</v>
      </c>
      <c r="D1341" t="s">
        <v>289</v>
      </c>
      <c r="E1341" s="13">
        <v>2500</v>
      </c>
      <c r="F1341" s="12">
        <v>0</v>
      </c>
      <c r="G1341" t="str">
        <f>IFERROR(INDEX(tEditais[Órgão],MATCH(tItens[[#This Row],[Edital]],tEditais[Edital],0)),"")</f>
        <v>FUNDO MUNICIPAL DE SAUDE</v>
      </c>
      <c r="H1341" t="str">
        <f>IFERROR(INDEX(tEditais[UF],MATCH(tItens[[#This Row],[Edital]],tEditais[Edital],0)),"")</f>
        <v>GO</v>
      </c>
      <c r="I1341" s="11">
        <f>IFERROR(INDEX(tEditais[Encerramento],MATCH(tItens[[#This Row],[Edital]],tEditais[Edital],0)),"")</f>
        <v>46304.3125</v>
      </c>
      <c r="J1341" t="str">
        <f>IFERROR(INDEX(tProdutos[Classe],MATCH(tItens[[#This Row],[Produto]],tProdutos[Produto],0)),"produto não cadastrado")</f>
        <v>DISPUTADO</v>
      </c>
      <c r="K1341" s="12">
        <f>tItens[[#This Row],[Qtd]]*tItens[[#This Row],[Vlr unit]]</f>
        <v>0</v>
      </c>
      <c r="L1341" s="6">
        <f>IFERROR(IF(INDEX(tProdutos[Desconto homologado],MATCH(tItens[[#This Row],[Produto]],tProdutos[Produto],0))="",DescontoPadrao,INDEX(tProdutos[Desconto homologado],MATCH(tItens[[#This Row],[Produto]],tProdutos[Produto],0))),DescontoPadrao)</f>
        <v>0.35849056603773599</v>
      </c>
      <c r="M1341" s="12">
        <f>tItens[[#This Row],[Valor]]*(1-tItens[[#This Row],[Desconto]])</f>
        <v>0</v>
      </c>
      <c r="N1341" t="str">
        <f>IFERROR(INDEX(tProdutos[Foco],MATCH(tItens[[#This Row],[Produto]],tProdutos[Produto],0)),"Não")</f>
        <v>Não</v>
      </c>
      <c r="O1341" t="str">
        <f>IFERROR(INDEX(tEditais[SRP],MATCH(tItens[[#This Row],[Edital]],tEditais[Edital],0)),"Não")</f>
        <v>Não</v>
      </c>
      <c r="P1341" s="4">
        <f>IF(COUNTIFS(INDEX(tItens[Edital],1):tItens[[#This Row],[Edital]],tItens[[#This Row],[Edital]],INDEX(tItens[Produto],1):tItens[[#This Row],[Produto]],tItens[[#This Row],[Produto]])=1,1,0)</f>
        <v>0</v>
      </c>
    </row>
    <row r="1342" spans="1:16" x14ac:dyDescent="0.25">
      <c r="A1342" t="s">
        <v>1142</v>
      </c>
      <c r="B1342">
        <v>343</v>
      </c>
      <c r="C1342" t="s">
        <v>4409</v>
      </c>
      <c r="D1342" t="s">
        <v>283</v>
      </c>
      <c r="E1342" s="13">
        <v>1250</v>
      </c>
      <c r="F1342" s="12">
        <v>0</v>
      </c>
      <c r="G1342" t="str">
        <f>IFERROR(INDEX(tEditais[Órgão],MATCH(tItens[[#This Row],[Edital]],tEditais[Edital],0)),"")</f>
        <v>FUNDO MUNICIPAL DE SAUDE</v>
      </c>
      <c r="H1342" t="str">
        <f>IFERROR(INDEX(tEditais[UF],MATCH(tItens[[#This Row],[Edital]],tEditais[Edital],0)),"")</f>
        <v>GO</v>
      </c>
      <c r="I1342" s="11">
        <f>IFERROR(INDEX(tEditais[Encerramento],MATCH(tItens[[#This Row],[Edital]],tEditais[Edital],0)),"")</f>
        <v>46304.3125</v>
      </c>
      <c r="J1342" t="str">
        <f>IFERROR(INDEX(tProdutos[Classe],MATCH(tItens[[#This Row],[Produto]],tProdutos[Produto],0)),"produto não cadastrado")</f>
        <v>FORA</v>
      </c>
      <c r="K1342" s="12">
        <f>tItens[[#This Row],[Qtd]]*tItens[[#This Row],[Vlr unit]]</f>
        <v>0</v>
      </c>
      <c r="L1342" s="6">
        <f>IFERROR(IF(INDEX(tProdutos[Desconto homologado],MATCH(tItens[[#This Row],[Produto]],tProdutos[Produto],0))="",DescontoPadrao,INDEX(tProdutos[Desconto homologado],MATCH(tItens[[#This Row],[Produto]],tProdutos[Produto],0))),DescontoPadrao)</f>
        <v>0.40540540540540498</v>
      </c>
      <c r="M1342" s="12">
        <f>tItens[[#This Row],[Valor]]*(1-tItens[[#This Row],[Desconto]])</f>
        <v>0</v>
      </c>
      <c r="N1342" t="str">
        <f>IFERROR(INDEX(tProdutos[Foco],MATCH(tItens[[#This Row],[Produto]],tProdutos[Produto],0)),"Não")</f>
        <v>Não</v>
      </c>
      <c r="O1342" t="str">
        <f>IFERROR(INDEX(tEditais[SRP],MATCH(tItens[[#This Row],[Edital]],tEditais[Edital],0)),"Não")</f>
        <v>Não</v>
      </c>
      <c r="P1342" s="4">
        <f>IF(COUNTIFS(INDEX(tItens[Edital],1):tItens[[#This Row],[Edital]],tItens[[#This Row],[Edital]],INDEX(tItens[Produto],1):tItens[[#This Row],[Produto]],tItens[[#This Row],[Produto]])=1,1,0)</f>
        <v>0</v>
      </c>
    </row>
    <row r="1343" spans="1:16" x14ac:dyDescent="0.25">
      <c r="A1343" t="s">
        <v>1142</v>
      </c>
      <c r="B1343">
        <v>344</v>
      </c>
      <c r="C1343" t="s">
        <v>4410</v>
      </c>
      <c r="D1343" t="s">
        <v>265</v>
      </c>
      <c r="E1343" s="13">
        <v>1250</v>
      </c>
      <c r="F1343" s="12">
        <v>0</v>
      </c>
      <c r="G1343" t="str">
        <f>IFERROR(INDEX(tEditais[Órgão],MATCH(tItens[[#This Row],[Edital]],tEditais[Edital],0)),"")</f>
        <v>FUNDO MUNICIPAL DE SAUDE</v>
      </c>
      <c r="H1343" t="str">
        <f>IFERROR(INDEX(tEditais[UF],MATCH(tItens[[#This Row],[Edital]],tEditais[Edital],0)),"")</f>
        <v>GO</v>
      </c>
      <c r="I1343" s="11">
        <f>IFERROR(INDEX(tEditais[Encerramento],MATCH(tItens[[#This Row],[Edital]],tEditais[Edital],0)),"")</f>
        <v>46304.3125</v>
      </c>
      <c r="J1343" t="str">
        <f>IFERROR(INDEX(tProdutos[Classe],MATCH(tItens[[#This Row],[Produto]],tProdutos[Produto],0)),"produto não cadastrado")</f>
        <v>DISPUTADO</v>
      </c>
      <c r="K1343" s="12">
        <f>tItens[[#This Row],[Qtd]]*tItens[[#This Row],[Vlr unit]]</f>
        <v>0</v>
      </c>
      <c r="L1343" s="6">
        <f>IFERROR(IF(INDEX(tProdutos[Desconto homologado],MATCH(tItens[[#This Row],[Produto]],tProdutos[Produto],0))="",DescontoPadrao,INDEX(tProdutos[Desconto homologado],MATCH(tItens[[#This Row],[Produto]],tProdutos[Produto],0))),DescontoPadrao)</f>
        <v>0.377587663709337</v>
      </c>
      <c r="M1343" s="12">
        <f>tItens[[#This Row],[Valor]]*(1-tItens[[#This Row],[Desconto]])</f>
        <v>0</v>
      </c>
      <c r="N1343" t="str">
        <f>IFERROR(INDEX(tProdutos[Foco],MATCH(tItens[[#This Row],[Produto]],tProdutos[Produto],0)),"Não")</f>
        <v>Não</v>
      </c>
      <c r="O1343" t="str">
        <f>IFERROR(INDEX(tEditais[SRP],MATCH(tItens[[#This Row],[Edital]],tEditais[Edital],0)),"Não")</f>
        <v>Não</v>
      </c>
      <c r="P1343" s="4">
        <f>IF(COUNTIFS(INDEX(tItens[Edital],1):tItens[[#This Row],[Edital]],tItens[[#This Row],[Edital]],INDEX(tItens[Produto],1):tItens[[#This Row],[Produto]],tItens[[#This Row],[Produto]])=1,1,0)</f>
        <v>0</v>
      </c>
    </row>
    <row r="1344" spans="1:16" x14ac:dyDescent="0.25">
      <c r="A1344" t="s">
        <v>1142</v>
      </c>
      <c r="B1344">
        <v>345</v>
      </c>
      <c r="C1344" t="s">
        <v>4411</v>
      </c>
      <c r="D1344" t="s">
        <v>281</v>
      </c>
      <c r="E1344" s="13">
        <v>1250</v>
      </c>
      <c r="F1344" s="12">
        <v>0</v>
      </c>
      <c r="G1344" t="str">
        <f>IFERROR(INDEX(tEditais[Órgão],MATCH(tItens[[#This Row],[Edital]],tEditais[Edital],0)),"")</f>
        <v>FUNDO MUNICIPAL DE SAUDE</v>
      </c>
      <c r="H1344" t="str">
        <f>IFERROR(INDEX(tEditais[UF],MATCH(tItens[[#This Row],[Edital]],tEditais[Edital],0)),"")</f>
        <v>GO</v>
      </c>
      <c r="I1344" s="11">
        <f>IFERROR(INDEX(tEditais[Encerramento],MATCH(tItens[[#This Row],[Edital]],tEditais[Edital],0)),"")</f>
        <v>46304.3125</v>
      </c>
      <c r="J1344" t="str">
        <f>IFERROR(INDEX(tProdutos[Classe],MATCH(tItens[[#This Row],[Produto]],tProdutos[Produto],0)),"produto não cadastrado")</f>
        <v>DISPUTADO</v>
      </c>
      <c r="K1344" s="12">
        <f>tItens[[#This Row],[Qtd]]*tItens[[#This Row],[Vlr unit]]</f>
        <v>0</v>
      </c>
      <c r="L1344" s="6">
        <f>IFERROR(IF(INDEX(tProdutos[Desconto homologado],MATCH(tItens[[#This Row],[Produto]],tProdutos[Produto],0))="",DescontoPadrao,INDEX(tProdutos[Desconto homologado],MATCH(tItens[[#This Row],[Produto]],tProdutos[Produto],0))),DescontoPadrao)</f>
        <v>0.42461538461538501</v>
      </c>
      <c r="M1344" s="12">
        <f>tItens[[#This Row],[Valor]]*(1-tItens[[#This Row],[Desconto]])</f>
        <v>0</v>
      </c>
      <c r="N1344" t="str">
        <f>IFERROR(INDEX(tProdutos[Foco],MATCH(tItens[[#This Row],[Produto]],tProdutos[Produto],0)),"Não")</f>
        <v>Não</v>
      </c>
      <c r="O1344" t="str">
        <f>IFERROR(INDEX(tEditais[SRP],MATCH(tItens[[#This Row],[Edital]],tEditais[Edital],0)),"Não")</f>
        <v>Não</v>
      </c>
      <c r="P1344" s="4">
        <f>IF(COUNTIFS(INDEX(tItens[Edital],1):tItens[[#This Row],[Edital]],tItens[[#This Row],[Edital]],INDEX(tItens[Produto],1):tItens[[#This Row],[Produto]],tItens[[#This Row],[Produto]])=1,1,0)</f>
        <v>0</v>
      </c>
    </row>
    <row r="1345" spans="1:16" x14ac:dyDescent="0.25">
      <c r="A1345" t="s">
        <v>1142</v>
      </c>
      <c r="B1345">
        <v>346</v>
      </c>
      <c r="C1345" t="s">
        <v>4412</v>
      </c>
      <c r="D1345" t="s">
        <v>289</v>
      </c>
      <c r="E1345" s="13">
        <v>1250</v>
      </c>
      <c r="F1345" s="12">
        <v>0</v>
      </c>
      <c r="G1345" t="str">
        <f>IFERROR(INDEX(tEditais[Órgão],MATCH(tItens[[#This Row],[Edital]],tEditais[Edital],0)),"")</f>
        <v>FUNDO MUNICIPAL DE SAUDE</v>
      </c>
      <c r="H1345" t="str">
        <f>IFERROR(INDEX(tEditais[UF],MATCH(tItens[[#This Row],[Edital]],tEditais[Edital],0)),"")</f>
        <v>GO</v>
      </c>
      <c r="I1345" s="11">
        <f>IFERROR(INDEX(tEditais[Encerramento],MATCH(tItens[[#This Row],[Edital]],tEditais[Edital],0)),"")</f>
        <v>46304.3125</v>
      </c>
      <c r="J1345" t="str">
        <f>IFERROR(INDEX(tProdutos[Classe],MATCH(tItens[[#This Row],[Produto]],tProdutos[Produto],0)),"produto não cadastrado")</f>
        <v>DISPUTADO</v>
      </c>
      <c r="K1345" s="12">
        <f>tItens[[#This Row],[Qtd]]*tItens[[#This Row],[Vlr unit]]</f>
        <v>0</v>
      </c>
      <c r="L1345" s="6">
        <f>IFERROR(IF(INDEX(tProdutos[Desconto homologado],MATCH(tItens[[#This Row],[Produto]],tProdutos[Produto],0))="",DescontoPadrao,INDEX(tProdutos[Desconto homologado],MATCH(tItens[[#This Row],[Produto]],tProdutos[Produto],0))),DescontoPadrao)</f>
        <v>0.35849056603773599</v>
      </c>
      <c r="M1345" s="12">
        <f>tItens[[#This Row],[Valor]]*(1-tItens[[#This Row],[Desconto]])</f>
        <v>0</v>
      </c>
      <c r="N1345" t="str">
        <f>IFERROR(INDEX(tProdutos[Foco],MATCH(tItens[[#This Row],[Produto]],tProdutos[Produto],0)),"Não")</f>
        <v>Não</v>
      </c>
      <c r="O1345" t="str">
        <f>IFERROR(INDEX(tEditais[SRP],MATCH(tItens[[#This Row],[Edital]],tEditais[Edital],0)),"Não")</f>
        <v>Não</v>
      </c>
      <c r="P1345" s="4">
        <f>IF(COUNTIFS(INDEX(tItens[Edital],1):tItens[[#This Row],[Edital]],tItens[[#This Row],[Edital]],INDEX(tItens[Produto],1):tItens[[#This Row],[Produto]],tItens[[#This Row],[Produto]])=1,1,0)</f>
        <v>0</v>
      </c>
    </row>
    <row r="1346" spans="1:16" x14ac:dyDescent="0.25">
      <c r="A1346" t="s">
        <v>1142</v>
      </c>
      <c r="B1346">
        <v>348</v>
      </c>
      <c r="C1346" t="s">
        <v>4413</v>
      </c>
      <c r="D1346" t="s">
        <v>379</v>
      </c>
      <c r="E1346" s="13">
        <v>250</v>
      </c>
      <c r="F1346" s="12">
        <v>0</v>
      </c>
      <c r="G1346" t="str">
        <f>IFERROR(INDEX(tEditais[Órgão],MATCH(tItens[[#This Row],[Edital]],tEditais[Edital],0)),"")</f>
        <v>FUNDO MUNICIPAL DE SAUDE</v>
      </c>
      <c r="H1346" t="str">
        <f>IFERROR(INDEX(tEditais[UF],MATCH(tItens[[#This Row],[Edital]],tEditais[Edital],0)),"")</f>
        <v>GO</v>
      </c>
      <c r="I1346" s="11">
        <f>IFERROR(INDEX(tEditais[Encerramento],MATCH(tItens[[#This Row],[Edital]],tEditais[Edital],0)),"")</f>
        <v>46304.3125</v>
      </c>
      <c r="J1346" t="str">
        <f>IFERROR(INDEX(tProdutos[Classe],MATCH(tItens[[#This Row],[Produto]],tProdutos[Produto],0)),"produto não cadastrado")</f>
        <v>FORA</v>
      </c>
      <c r="K1346" s="12">
        <f>tItens[[#This Row],[Qtd]]*tItens[[#This Row],[Vlr unit]]</f>
        <v>0</v>
      </c>
      <c r="L1346" s="6">
        <f>IFERROR(IF(INDEX(tProdutos[Desconto homologado],MATCH(tItens[[#This Row],[Produto]],tProdutos[Produto],0))="",DescontoPadrao,INDEX(tProdutos[Desconto homologado],MATCH(tItens[[#This Row],[Produto]],tProdutos[Produto],0))),DescontoPadrao)</f>
        <v>0.49504950495049499</v>
      </c>
      <c r="M1346" s="12">
        <f>tItens[[#This Row],[Valor]]*(1-tItens[[#This Row],[Desconto]])</f>
        <v>0</v>
      </c>
      <c r="N1346" t="str">
        <f>IFERROR(INDEX(tProdutos[Foco],MATCH(tItens[[#This Row],[Produto]],tProdutos[Produto],0)),"Não")</f>
        <v>Não</v>
      </c>
      <c r="O1346" t="str">
        <f>IFERROR(INDEX(tEditais[SRP],MATCH(tItens[[#This Row],[Edital]],tEditais[Edital],0)),"Não")</f>
        <v>Não</v>
      </c>
      <c r="P1346" s="4">
        <f>IF(COUNTIFS(INDEX(tItens[Edital],1):tItens[[#This Row],[Edital]],tItens[[#This Row],[Edital]],INDEX(tItens[Produto],1):tItens[[#This Row],[Produto]],tItens[[#This Row],[Produto]])=1,1,0)</f>
        <v>0</v>
      </c>
    </row>
    <row r="1347" spans="1:16" x14ac:dyDescent="0.25">
      <c r="A1347" t="s">
        <v>1142</v>
      </c>
      <c r="B1347">
        <v>349</v>
      </c>
      <c r="C1347" t="s">
        <v>4414</v>
      </c>
      <c r="D1347" t="s">
        <v>247</v>
      </c>
      <c r="E1347" s="13">
        <v>750</v>
      </c>
      <c r="F1347" s="12">
        <v>0</v>
      </c>
      <c r="G1347" t="str">
        <f>IFERROR(INDEX(tEditais[Órgão],MATCH(tItens[[#This Row],[Edital]],tEditais[Edital],0)),"")</f>
        <v>FUNDO MUNICIPAL DE SAUDE</v>
      </c>
      <c r="H1347" t="str">
        <f>IFERROR(INDEX(tEditais[UF],MATCH(tItens[[#This Row],[Edital]],tEditais[Edital],0)),"")</f>
        <v>GO</v>
      </c>
      <c r="I1347" s="11">
        <f>IFERROR(INDEX(tEditais[Encerramento],MATCH(tItens[[#This Row],[Edital]],tEditais[Edital],0)),"")</f>
        <v>46304.3125</v>
      </c>
      <c r="J1347" t="str">
        <f>IFERROR(INDEX(tProdutos[Classe],MATCH(tItens[[#This Row],[Produto]],tProdutos[Produto],0)),"produto não cadastrado")</f>
        <v>FORA</v>
      </c>
      <c r="K1347" s="12">
        <f>tItens[[#This Row],[Qtd]]*tItens[[#This Row],[Vlr unit]]</f>
        <v>0</v>
      </c>
      <c r="L1347" s="6">
        <f>IFERROR(IF(INDEX(tProdutos[Desconto homologado],MATCH(tItens[[#This Row],[Produto]],tProdutos[Produto],0))="",DescontoPadrao,INDEX(tProdutos[Desconto homologado],MATCH(tItens[[#This Row],[Produto]],tProdutos[Produto],0))),DescontoPadrao)</f>
        <v>0.27353256199762999</v>
      </c>
      <c r="M1347" s="12">
        <f>tItens[[#This Row],[Valor]]*(1-tItens[[#This Row],[Desconto]])</f>
        <v>0</v>
      </c>
      <c r="N1347" t="str">
        <f>IFERROR(INDEX(tProdutos[Foco],MATCH(tItens[[#This Row],[Produto]],tProdutos[Produto],0)),"Não")</f>
        <v>Não</v>
      </c>
      <c r="O1347" t="str">
        <f>IFERROR(INDEX(tEditais[SRP],MATCH(tItens[[#This Row],[Edital]],tEditais[Edital],0)),"Não")</f>
        <v>Não</v>
      </c>
      <c r="P1347" s="4">
        <f>IF(COUNTIFS(INDEX(tItens[Edital],1):tItens[[#This Row],[Edital]],tItens[[#This Row],[Edital]],INDEX(tItens[Produto],1):tItens[[#This Row],[Produto]],tItens[[#This Row],[Produto]])=1,1,0)</f>
        <v>0</v>
      </c>
    </row>
    <row r="1348" spans="1:16" x14ac:dyDescent="0.25">
      <c r="A1348" t="s">
        <v>1142</v>
      </c>
      <c r="B1348">
        <v>350</v>
      </c>
      <c r="C1348" t="s">
        <v>4415</v>
      </c>
      <c r="D1348" t="s">
        <v>287</v>
      </c>
      <c r="E1348" s="13">
        <v>750</v>
      </c>
      <c r="F1348" s="12">
        <v>0</v>
      </c>
      <c r="G1348" t="str">
        <f>IFERROR(INDEX(tEditais[Órgão],MATCH(tItens[[#This Row],[Edital]],tEditais[Edital],0)),"")</f>
        <v>FUNDO MUNICIPAL DE SAUDE</v>
      </c>
      <c r="H1348" t="str">
        <f>IFERROR(INDEX(tEditais[UF],MATCH(tItens[[#This Row],[Edital]],tEditais[Edital],0)),"")</f>
        <v>GO</v>
      </c>
      <c r="I1348" s="11">
        <f>IFERROR(INDEX(tEditais[Encerramento],MATCH(tItens[[#This Row],[Edital]],tEditais[Edital],0)),"")</f>
        <v>46304.3125</v>
      </c>
      <c r="J1348" t="str">
        <f>IFERROR(INDEX(tProdutos[Classe],MATCH(tItens[[#This Row],[Produto]],tProdutos[Produto],0)),"produto não cadastrado")</f>
        <v>FORA</v>
      </c>
      <c r="K1348" s="12">
        <f>tItens[[#This Row],[Qtd]]*tItens[[#This Row],[Vlr unit]]</f>
        <v>0</v>
      </c>
      <c r="L1348" s="6">
        <f>IFERROR(IF(INDEX(tProdutos[Desconto homologado],MATCH(tItens[[#This Row],[Produto]],tProdutos[Produto],0))="",DescontoPadrao,INDEX(tProdutos[Desconto homologado],MATCH(tItens[[#This Row],[Produto]],tProdutos[Produto],0))),DescontoPadrao)</f>
        <v>0.46344491178876002</v>
      </c>
      <c r="M1348" s="12">
        <f>tItens[[#This Row],[Valor]]*(1-tItens[[#This Row],[Desconto]])</f>
        <v>0</v>
      </c>
      <c r="N1348" t="str">
        <f>IFERROR(INDEX(tProdutos[Foco],MATCH(tItens[[#This Row],[Produto]],tProdutos[Produto],0)),"Não")</f>
        <v>Não</v>
      </c>
      <c r="O1348" t="str">
        <f>IFERROR(INDEX(tEditais[SRP],MATCH(tItens[[#This Row],[Edital]],tEditais[Edital],0)),"Não")</f>
        <v>Não</v>
      </c>
      <c r="P1348" s="4">
        <f>IF(COUNTIFS(INDEX(tItens[Edital],1):tItens[[#This Row],[Edital]],tItens[[#This Row],[Edital]],INDEX(tItens[Produto],1):tItens[[#This Row],[Produto]],tItens[[#This Row],[Produto]])=1,1,0)</f>
        <v>0</v>
      </c>
    </row>
    <row r="1349" spans="1:16" x14ac:dyDescent="0.25">
      <c r="A1349" t="s">
        <v>1142</v>
      </c>
      <c r="B1349">
        <v>356</v>
      </c>
      <c r="C1349" t="s">
        <v>4416</v>
      </c>
      <c r="D1349" t="s">
        <v>62</v>
      </c>
      <c r="E1349" s="13">
        <v>2500</v>
      </c>
      <c r="F1349" s="12">
        <v>0</v>
      </c>
      <c r="G1349" t="str">
        <f>IFERROR(INDEX(tEditais[Órgão],MATCH(tItens[[#This Row],[Edital]],tEditais[Edital],0)),"")</f>
        <v>FUNDO MUNICIPAL DE SAUDE</v>
      </c>
      <c r="H1349" t="str">
        <f>IFERROR(INDEX(tEditais[UF],MATCH(tItens[[#This Row],[Edital]],tEditais[Edital],0)),"")</f>
        <v>GO</v>
      </c>
      <c r="I1349" s="11">
        <f>IFERROR(INDEX(tEditais[Encerramento],MATCH(tItens[[#This Row],[Edital]],tEditais[Edital],0)),"")</f>
        <v>46304.3125</v>
      </c>
      <c r="J1349" t="str">
        <f>IFERROR(INDEX(tProdutos[Classe],MATCH(tItens[[#This Row],[Produto]],tProdutos[Produto],0)),"produto não cadastrado")</f>
        <v>NÚCLEO</v>
      </c>
      <c r="K1349" s="12">
        <f>tItens[[#This Row],[Qtd]]*tItens[[#This Row],[Vlr unit]]</f>
        <v>0</v>
      </c>
      <c r="L1349" s="6">
        <f>IFERROR(IF(INDEX(tProdutos[Desconto homologado],MATCH(tItens[[#This Row],[Produto]],tProdutos[Produto],0))="",DescontoPadrao,INDEX(tProdutos[Desconto homologado],MATCH(tItens[[#This Row],[Produto]],tProdutos[Produto],0))),DescontoPadrao)</f>
        <v>0.3</v>
      </c>
      <c r="M1349" s="12">
        <f>tItens[[#This Row],[Valor]]*(1-tItens[[#This Row],[Desconto]])</f>
        <v>0</v>
      </c>
      <c r="N1349" t="str">
        <f>IFERROR(INDEX(tProdutos[Foco],MATCH(tItens[[#This Row],[Produto]],tProdutos[Produto],0)),"Não")</f>
        <v>Sim</v>
      </c>
      <c r="O1349" t="str">
        <f>IFERROR(INDEX(tEditais[SRP],MATCH(tItens[[#This Row],[Edital]],tEditais[Edital],0)),"Não")</f>
        <v>Não</v>
      </c>
      <c r="P1349" s="4">
        <f>IF(COUNTIFS(INDEX(tItens[Edital],1):tItens[[#This Row],[Edital]],tItens[[#This Row],[Edital]],INDEX(tItens[Produto],1):tItens[[#This Row],[Produto]],tItens[[#This Row],[Produto]])=1,1,0)</f>
        <v>0</v>
      </c>
    </row>
    <row r="1350" spans="1:16" x14ac:dyDescent="0.25">
      <c r="A1350" t="s">
        <v>1142</v>
      </c>
      <c r="B1350">
        <v>359</v>
      </c>
      <c r="C1350" t="s">
        <v>4417</v>
      </c>
      <c r="D1350" t="s">
        <v>313</v>
      </c>
      <c r="E1350" s="13">
        <v>750</v>
      </c>
      <c r="F1350" s="12">
        <v>0</v>
      </c>
      <c r="G1350" t="str">
        <f>IFERROR(INDEX(tEditais[Órgão],MATCH(tItens[[#This Row],[Edital]],tEditais[Edital],0)),"")</f>
        <v>FUNDO MUNICIPAL DE SAUDE</v>
      </c>
      <c r="H1350" t="str">
        <f>IFERROR(INDEX(tEditais[UF],MATCH(tItens[[#This Row],[Edital]],tEditais[Edital],0)),"")</f>
        <v>GO</v>
      </c>
      <c r="I1350" s="11">
        <f>IFERROR(INDEX(tEditais[Encerramento],MATCH(tItens[[#This Row],[Edital]],tEditais[Edital],0)),"")</f>
        <v>46304.3125</v>
      </c>
      <c r="J1350" t="str">
        <f>IFERROR(INDEX(tProdutos[Classe],MATCH(tItens[[#This Row],[Produto]],tProdutos[Produto],0)),"produto não cadastrado")</f>
        <v>FORA</v>
      </c>
      <c r="K1350" s="12">
        <f>tItens[[#This Row],[Qtd]]*tItens[[#This Row],[Vlr unit]]</f>
        <v>0</v>
      </c>
      <c r="L1350" s="6">
        <f>IFERROR(IF(INDEX(tProdutos[Desconto homologado],MATCH(tItens[[#This Row],[Produto]],tProdutos[Produto],0))="",DescontoPadrao,INDEX(tProdutos[Desconto homologado],MATCH(tItens[[#This Row],[Produto]],tProdutos[Produto],0))),DescontoPadrao)</f>
        <v>0.35766373163696302</v>
      </c>
      <c r="M1350" s="12">
        <f>tItens[[#This Row],[Valor]]*(1-tItens[[#This Row],[Desconto]])</f>
        <v>0</v>
      </c>
      <c r="N1350" t="str">
        <f>IFERROR(INDEX(tProdutos[Foco],MATCH(tItens[[#This Row],[Produto]],tProdutos[Produto],0)),"Não")</f>
        <v>Não</v>
      </c>
      <c r="O1350" t="str">
        <f>IFERROR(INDEX(tEditais[SRP],MATCH(tItens[[#This Row],[Edital]],tEditais[Edital],0)),"Não")</f>
        <v>Não</v>
      </c>
      <c r="P1350" s="4">
        <f>IF(COUNTIFS(INDEX(tItens[Edital],1):tItens[[#This Row],[Edital]],tItens[[#This Row],[Edital]],INDEX(tItens[Produto],1):tItens[[#This Row],[Produto]],tItens[[#This Row],[Produto]])=1,1,0)</f>
        <v>0</v>
      </c>
    </row>
    <row r="1351" spans="1:16" x14ac:dyDescent="0.25">
      <c r="A1351" t="s">
        <v>1142</v>
      </c>
      <c r="B1351">
        <v>360</v>
      </c>
      <c r="C1351" t="s">
        <v>4418</v>
      </c>
      <c r="D1351" t="s">
        <v>313</v>
      </c>
      <c r="E1351" s="13">
        <v>1250</v>
      </c>
      <c r="F1351" s="12">
        <v>0</v>
      </c>
      <c r="G1351" t="str">
        <f>IFERROR(INDEX(tEditais[Órgão],MATCH(tItens[[#This Row],[Edital]],tEditais[Edital],0)),"")</f>
        <v>FUNDO MUNICIPAL DE SAUDE</v>
      </c>
      <c r="H1351" t="str">
        <f>IFERROR(INDEX(tEditais[UF],MATCH(tItens[[#This Row],[Edital]],tEditais[Edital],0)),"")</f>
        <v>GO</v>
      </c>
      <c r="I1351" s="11">
        <f>IFERROR(INDEX(tEditais[Encerramento],MATCH(tItens[[#This Row],[Edital]],tEditais[Edital],0)),"")</f>
        <v>46304.3125</v>
      </c>
      <c r="J1351" t="str">
        <f>IFERROR(INDEX(tProdutos[Classe],MATCH(tItens[[#This Row],[Produto]],tProdutos[Produto],0)),"produto não cadastrado")</f>
        <v>FORA</v>
      </c>
      <c r="K1351" s="12">
        <f>tItens[[#This Row],[Qtd]]*tItens[[#This Row],[Vlr unit]]</f>
        <v>0</v>
      </c>
      <c r="L1351" s="6">
        <f>IFERROR(IF(INDEX(tProdutos[Desconto homologado],MATCH(tItens[[#This Row],[Produto]],tProdutos[Produto],0))="",DescontoPadrao,INDEX(tProdutos[Desconto homologado],MATCH(tItens[[#This Row],[Produto]],tProdutos[Produto],0))),DescontoPadrao)</f>
        <v>0.35766373163696302</v>
      </c>
      <c r="M1351" s="12">
        <f>tItens[[#This Row],[Valor]]*(1-tItens[[#This Row],[Desconto]])</f>
        <v>0</v>
      </c>
      <c r="N1351" t="str">
        <f>IFERROR(INDEX(tProdutos[Foco],MATCH(tItens[[#This Row],[Produto]],tProdutos[Produto],0)),"Não")</f>
        <v>Não</v>
      </c>
      <c r="O1351" t="str">
        <f>IFERROR(INDEX(tEditais[SRP],MATCH(tItens[[#This Row],[Edital]],tEditais[Edital],0)),"Não")</f>
        <v>Não</v>
      </c>
      <c r="P1351" s="4">
        <f>IF(COUNTIFS(INDEX(tItens[Edital],1):tItens[[#This Row],[Edital]],tItens[[#This Row],[Edital]],INDEX(tItens[Produto],1):tItens[[#This Row],[Produto]],tItens[[#This Row],[Produto]])=1,1,0)</f>
        <v>0</v>
      </c>
    </row>
    <row r="1352" spans="1:16" x14ac:dyDescent="0.25">
      <c r="A1352" t="s">
        <v>1142</v>
      </c>
      <c r="B1352">
        <v>361</v>
      </c>
      <c r="C1352" t="s">
        <v>4419</v>
      </c>
      <c r="D1352" t="s">
        <v>313</v>
      </c>
      <c r="E1352" s="13">
        <v>2500</v>
      </c>
      <c r="F1352" s="12">
        <v>0</v>
      </c>
      <c r="G1352" t="str">
        <f>IFERROR(INDEX(tEditais[Órgão],MATCH(tItens[[#This Row],[Edital]],tEditais[Edital],0)),"")</f>
        <v>FUNDO MUNICIPAL DE SAUDE</v>
      </c>
      <c r="H1352" t="str">
        <f>IFERROR(INDEX(tEditais[UF],MATCH(tItens[[#This Row],[Edital]],tEditais[Edital],0)),"")</f>
        <v>GO</v>
      </c>
      <c r="I1352" s="11">
        <f>IFERROR(INDEX(tEditais[Encerramento],MATCH(tItens[[#This Row],[Edital]],tEditais[Edital],0)),"")</f>
        <v>46304.3125</v>
      </c>
      <c r="J1352" t="str">
        <f>IFERROR(INDEX(tProdutos[Classe],MATCH(tItens[[#This Row],[Produto]],tProdutos[Produto],0)),"produto não cadastrado")</f>
        <v>FORA</v>
      </c>
      <c r="K1352" s="12">
        <f>tItens[[#This Row],[Qtd]]*tItens[[#This Row],[Vlr unit]]</f>
        <v>0</v>
      </c>
      <c r="L1352" s="6">
        <f>IFERROR(IF(INDEX(tProdutos[Desconto homologado],MATCH(tItens[[#This Row],[Produto]],tProdutos[Produto],0))="",DescontoPadrao,INDEX(tProdutos[Desconto homologado],MATCH(tItens[[#This Row],[Produto]],tProdutos[Produto],0))),DescontoPadrao)</f>
        <v>0.35766373163696302</v>
      </c>
      <c r="M1352" s="12">
        <f>tItens[[#This Row],[Valor]]*(1-tItens[[#This Row],[Desconto]])</f>
        <v>0</v>
      </c>
      <c r="N1352" t="str">
        <f>IFERROR(INDEX(tProdutos[Foco],MATCH(tItens[[#This Row],[Produto]],tProdutos[Produto],0)),"Não")</f>
        <v>Não</v>
      </c>
      <c r="O1352" t="str">
        <f>IFERROR(INDEX(tEditais[SRP],MATCH(tItens[[#This Row],[Edital]],tEditais[Edital],0)),"Não")</f>
        <v>Não</v>
      </c>
      <c r="P1352" s="4">
        <f>IF(COUNTIFS(INDEX(tItens[Edital],1):tItens[[#This Row],[Edital]],tItens[[#This Row],[Edital]],INDEX(tItens[Produto],1):tItens[[#This Row],[Produto]],tItens[[#This Row],[Produto]])=1,1,0)</f>
        <v>0</v>
      </c>
    </row>
    <row r="1353" spans="1:16" x14ac:dyDescent="0.25">
      <c r="A1353" t="s">
        <v>1142</v>
      </c>
      <c r="B1353">
        <v>362</v>
      </c>
      <c r="C1353" t="s">
        <v>4420</v>
      </c>
      <c r="D1353" t="s">
        <v>313</v>
      </c>
      <c r="E1353" s="13">
        <v>969</v>
      </c>
      <c r="F1353" s="12">
        <v>0</v>
      </c>
      <c r="G1353" t="str">
        <f>IFERROR(INDEX(tEditais[Órgão],MATCH(tItens[[#This Row],[Edital]],tEditais[Edital],0)),"")</f>
        <v>FUNDO MUNICIPAL DE SAUDE</v>
      </c>
      <c r="H1353" t="str">
        <f>IFERROR(INDEX(tEditais[UF],MATCH(tItens[[#This Row],[Edital]],tEditais[Edital],0)),"")</f>
        <v>GO</v>
      </c>
      <c r="I1353" s="11">
        <f>IFERROR(INDEX(tEditais[Encerramento],MATCH(tItens[[#This Row],[Edital]],tEditais[Edital],0)),"")</f>
        <v>46304.3125</v>
      </c>
      <c r="J1353" t="str">
        <f>IFERROR(INDEX(tProdutos[Classe],MATCH(tItens[[#This Row],[Produto]],tProdutos[Produto],0)),"produto não cadastrado")</f>
        <v>FORA</v>
      </c>
      <c r="K1353" s="12">
        <f>tItens[[#This Row],[Qtd]]*tItens[[#This Row],[Vlr unit]]</f>
        <v>0</v>
      </c>
      <c r="L1353" s="6">
        <f>IFERROR(IF(INDEX(tProdutos[Desconto homologado],MATCH(tItens[[#This Row],[Produto]],tProdutos[Produto],0))="",DescontoPadrao,INDEX(tProdutos[Desconto homologado],MATCH(tItens[[#This Row],[Produto]],tProdutos[Produto],0))),DescontoPadrao)</f>
        <v>0.35766373163696302</v>
      </c>
      <c r="M1353" s="12">
        <f>tItens[[#This Row],[Valor]]*(1-tItens[[#This Row],[Desconto]])</f>
        <v>0</v>
      </c>
      <c r="N1353" t="str">
        <f>IFERROR(INDEX(tProdutos[Foco],MATCH(tItens[[#This Row],[Produto]],tProdutos[Produto],0)),"Não")</f>
        <v>Não</v>
      </c>
      <c r="O1353" t="str">
        <f>IFERROR(INDEX(tEditais[SRP],MATCH(tItens[[#This Row],[Edital]],tEditais[Edital],0)),"Não")</f>
        <v>Não</v>
      </c>
      <c r="P1353" s="4">
        <f>IF(COUNTIFS(INDEX(tItens[Edital],1):tItens[[#This Row],[Edital]],tItens[[#This Row],[Edital]],INDEX(tItens[Produto],1):tItens[[#This Row],[Produto]],tItens[[#This Row],[Produto]])=1,1,0)</f>
        <v>0</v>
      </c>
    </row>
    <row r="1354" spans="1:16" x14ac:dyDescent="0.25">
      <c r="A1354" t="s">
        <v>1142</v>
      </c>
      <c r="B1354">
        <v>364</v>
      </c>
      <c r="C1354" t="s">
        <v>4421</v>
      </c>
      <c r="D1354" t="s">
        <v>60</v>
      </c>
      <c r="E1354" s="13">
        <v>750</v>
      </c>
      <c r="F1354" s="12">
        <v>0</v>
      </c>
      <c r="G1354" t="str">
        <f>IFERROR(INDEX(tEditais[Órgão],MATCH(tItens[[#This Row],[Edital]],tEditais[Edital],0)),"")</f>
        <v>FUNDO MUNICIPAL DE SAUDE</v>
      </c>
      <c r="H1354" t="str">
        <f>IFERROR(INDEX(tEditais[UF],MATCH(tItens[[#This Row],[Edital]],tEditais[Edital],0)),"")</f>
        <v>GO</v>
      </c>
      <c r="I1354" s="11">
        <f>IFERROR(INDEX(tEditais[Encerramento],MATCH(tItens[[#This Row],[Edital]],tEditais[Edital],0)),"")</f>
        <v>46304.3125</v>
      </c>
      <c r="J1354" t="str">
        <f>IFERROR(INDEX(tProdutos[Classe],MATCH(tItens[[#This Row],[Produto]],tProdutos[Produto],0)),"produto não cadastrado")</f>
        <v>NÚCLEO</v>
      </c>
      <c r="K1354" s="12">
        <f>tItens[[#This Row],[Qtd]]*tItens[[#This Row],[Vlr unit]]</f>
        <v>0</v>
      </c>
      <c r="L1354" s="6">
        <f>IFERROR(IF(INDEX(tProdutos[Desconto homologado],MATCH(tItens[[#This Row],[Produto]],tProdutos[Produto],0))="",DescontoPadrao,INDEX(tProdutos[Desconto homologado],MATCH(tItens[[#This Row],[Produto]],tProdutos[Produto],0))),DescontoPadrao)</f>
        <v>0.23</v>
      </c>
      <c r="M1354" s="12">
        <f>tItens[[#This Row],[Valor]]*(1-tItens[[#This Row],[Desconto]])</f>
        <v>0</v>
      </c>
      <c r="N1354" t="str">
        <f>IFERROR(INDEX(tProdutos[Foco],MATCH(tItens[[#This Row],[Produto]],tProdutos[Produto],0)),"Não")</f>
        <v>Sim</v>
      </c>
      <c r="O1354" t="str">
        <f>IFERROR(INDEX(tEditais[SRP],MATCH(tItens[[#This Row],[Edital]],tEditais[Edital],0)),"Não")</f>
        <v>Não</v>
      </c>
      <c r="P1354" s="4">
        <f>IF(COUNTIFS(INDEX(tItens[Edital],1):tItens[[#This Row],[Edital]],tItens[[#This Row],[Edital]],INDEX(tItens[Produto],1):tItens[[#This Row],[Produto]],tItens[[#This Row],[Produto]])=1,1,0)</f>
        <v>0</v>
      </c>
    </row>
    <row r="1355" spans="1:16" x14ac:dyDescent="0.25">
      <c r="A1355" t="s">
        <v>1142</v>
      </c>
      <c r="B1355">
        <v>365</v>
      </c>
      <c r="C1355" t="s">
        <v>4422</v>
      </c>
      <c r="D1355" t="s">
        <v>233</v>
      </c>
      <c r="E1355" s="13">
        <v>2500</v>
      </c>
      <c r="F1355" s="12">
        <v>0</v>
      </c>
      <c r="G1355" t="str">
        <f>IFERROR(INDEX(tEditais[Órgão],MATCH(tItens[[#This Row],[Edital]],tEditais[Edital],0)),"")</f>
        <v>FUNDO MUNICIPAL DE SAUDE</v>
      </c>
      <c r="H1355" t="str">
        <f>IFERROR(INDEX(tEditais[UF],MATCH(tItens[[#This Row],[Edital]],tEditais[Edital],0)),"")</f>
        <v>GO</v>
      </c>
      <c r="I1355" s="11">
        <f>IFERROR(INDEX(tEditais[Encerramento],MATCH(tItens[[#This Row],[Edital]],tEditais[Edital],0)),"")</f>
        <v>46304.3125</v>
      </c>
      <c r="J1355" t="str">
        <f>IFERROR(INDEX(tProdutos[Classe],MATCH(tItens[[#This Row],[Produto]],tProdutos[Produto],0)),"produto não cadastrado")</f>
        <v>FORA</v>
      </c>
      <c r="K1355" s="12">
        <f>tItens[[#This Row],[Qtd]]*tItens[[#This Row],[Vlr unit]]</f>
        <v>0</v>
      </c>
      <c r="L1355" s="6">
        <f>IFERROR(IF(INDEX(tProdutos[Desconto homologado],MATCH(tItens[[#This Row],[Produto]],tProdutos[Produto],0))="",DescontoPadrao,INDEX(tProdutos[Desconto homologado],MATCH(tItens[[#This Row],[Produto]],tProdutos[Produto],0))),DescontoPadrao)</f>
        <v>0.246270084162204</v>
      </c>
      <c r="M1355" s="12">
        <f>tItens[[#This Row],[Valor]]*(1-tItens[[#This Row],[Desconto]])</f>
        <v>0</v>
      </c>
      <c r="N1355" t="str">
        <f>IFERROR(INDEX(tProdutos[Foco],MATCH(tItens[[#This Row],[Produto]],tProdutos[Produto],0)),"Não")</f>
        <v>Não</v>
      </c>
      <c r="O1355" t="str">
        <f>IFERROR(INDEX(tEditais[SRP],MATCH(tItens[[#This Row],[Edital]],tEditais[Edital],0)),"Não")</f>
        <v>Não</v>
      </c>
      <c r="P1355" s="4">
        <f>IF(COUNTIFS(INDEX(tItens[Edital],1):tItens[[#This Row],[Edital]],tItens[[#This Row],[Edital]],INDEX(tItens[Produto],1):tItens[[#This Row],[Produto]],tItens[[#This Row],[Produto]])=1,1,0)</f>
        <v>0</v>
      </c>
    </row>
    <row r="1356" spans="1:16" x14ac:dyDescent="0.25">
      <c r="A1356" t="s">
        <v>1142</v>
      </c>
      <c r="B1356">
        <v>366</v>
      </c>
      <c r="C1356" t="s">
        <v>4423</v>
      </c>
      <c r="D1356" t="s">
        <v>90</v>
      </c>
      <c r="E1356" s="13">
        <v>5000</v>
      </c>
      <c r="F1356" s="12">
        <v>0</v>
      </c>
      <c r="G1356" t="str">
        <f>IFERROR(INDEX(tEditais[Órgão],MATCH(tItens[[#This Row],[Edital]],tEditais[Edital],0)),"")</f>
        <v>FUNDO MUNICIPAL DE SAUDE</v>
      </c>
      <c r="H1356" t="str">
        <f>IFERROR(INDEX(tEditais[UF],MATCH(tItens[[#This Row],[Edital]],tEditais[Edital],0)),"")</f>
        <v>GO</v>
      </c>
      <c r="I1356" s="11">
        <f>IFERROR(INDEX(tEditais[Encerramento],MATCH(tItens[[#This Row],[Edital]],tEditais[Edital],0)),"")</f>
        <v>46304.3125</v>
      </c>
      <c r="J1356" t="str">
        <f>IFERROR(INDEX(tProdutos[Classe],MATCH(tItens[[#This Row],[Produto]],tProdutos[Produto],0)),"produto não cadastrado")</f>
        <v>DISPUTADO</v>
      </c>
      <c r="K1356" s="12">
        <f>tItens[[#This Row],[Qtd]]*tItens[[#This Row],[Vlr unit]]</f>
        <v>0</v>
      </c>
      <c r="L1356" s="6">
        <f>IFERROR(IF(INDEX(tProdutos[Desconto homologado],MATCH(tItens[[#This Row],[Produto]],tProdutos[Produto],0))="",DescontoPadrao,INDEX(tProdutos[Desconto homologado],MATCH(tItens[[#This Row],[Produto]],tProdutos[Produto],0))),DescontoPadrao)</f>
        <v>0.25393823957010597</v>
      </c>
      <c r="M1356" s="12">
        <f>tItens[[#This Row],[Valor]]*(1-tItens[[#This Row],[Desconto]])</f>
        <v>0</v>
      </c>
      <c r="N1356" t="str">
        <f>IFERROR(INDEX(tProdutos[Foco],MATCH(tItens[[#This Row],[Produto]],tProdutos[Produto],0)),"Não")</f>
        <v>Não</v>
      </c>
      <c r="O1356" t="str">
        <f>IFERROR(INDEX(tEditais[SRP],MATCH(tItens[[#This Row],[Edital]],tEditais[Edital],0)),"Não")</f>
        <v>Não</v>
      </c>
      <c r="P1356" s="4">
        <f>IF(COUNTIFS(INDEX(tItens[Edital],1):tItens[[#This Row],[Edital]],tItens[[#This Row],[Edital]],INDEX(tItens[Produto],1):tItens[[#This Row],[Produto]],tItens[[#This Row],[Produto]])=1,1,0)</f>
        <v>0</v>
      </c>
    </row>
    <row r="1357" spans="1:16" x14ac:dyDescent="0.25">
      <c r="A1357" t="s">
        <v>1142</v>
      </c>
      <c r="B1357">
        <v>367</v>
      </c>
      <c r="C1357" t="s">
        <v>4424</v>
      </c>
      <c r="D1357" t="s">
        <v>90</v>
      </c>
      <c r="E1357" s="13">
        <v>5000</v>
      </c>
      <c r="F1357" s="12">
        <v>0</v>
      </c>
      <c r="G1357" t="str">
        <f>IFERROR(INDEX(tEditais[Órgão],MATCH(tItens[[#This Row],[Edital]],tEditais[Edital],0)),"")</f>
        <v>FUNDO MUNICIPAL DE SAUDE</v>
      </c>
      <c r="H1357" t="str">
        <f>IFERROR(INDEX(tEditais[UF],MATCH(tItens[[#This Row],[Edital]],tEditais[Edital],0)),"")</f>
        <v>GO</v>
      </c>
      <c r="I1357" s="11">
        <f>IFERROR(INDEX(tEditais[Encerramento],MATCH(tItens[[#This Row],[Edital]],tEditais[Edital],0)),"")</f>
        <v>46304.3125</v>
      </c>
      <c r="J1357" t="str">
        <f>IFERROR(INDEX(tProdutos[Classe],MATCH(tItens[[#This Row],[Produto]],tProdutos[Produto],0)),"produto não cadastrado")</f>
        <v>DISPUTADO</v>
      </c>
      <c r="K1357" s="12">
        <f>tItens[[#This Row],[Qtd]]*tItens[[#This Row],[Vlr unit]]</f>
        <v>0</v>
      </c>
      <c r="L1357" s="6">
        <f>IFERROR(IF(INDEX(tProdutos[Desconto homologado],MATCH(tItens[[#This Row],[Produto]],tProdutos[Produto],0))="",DescontoPadrao,INDEX(tProdutos[Desconto homologado],MATCH(tItens[[#This Row],[Produto]],tProdutos[Produto],0))),DescontoPadrao)</f>
        <v>0.25393823957010597</v>
      </c>
      <c r="M1357" s="12">
        <f>tItens[[#This Row],[Valor]]*(1-tItens[[#This Row],[Desconto]])</f>
        <v>0</v>
      </c>
      <c r="N1357" t="str">
        <f>IFERROR(INDEX(tProdutos[Foco],MATCH(tItens[[#This Row],[Produto]],tProdutos[Produto],0)),"Não")</f>
        <v>Não</v>
      </c>
      <c r="O1357" t="str">
        <f>IFERROR(INDEX(tEditais[SRP],MATCH(tItens[[#This Row],[Edital]],tEditais[Edital],0)),"Não")</f>
        <v>Não</v>
      </c>
      <c r="P1357" s="4">
        <f>IF(COUNTIFS(INDEX(tItens[Edital],1):tItens[[#This Row],[Edital]],tItens[[#This Row],[Edital]],INDEX(tItens[Produto],1):tItens[[#This Row],[Produto]],tItens[[#This Row],[Produto]])=1,1,0)</f>
        <v>0</v>
      </c>
    </row>
    <row r="1358" spans="1:16" x14ac:dyDescent="0.25">
      <c r="A1358" t="s">
        <v>1142</v>
      </c>
      <c r="B1358">
        <v>370</v>
      </c>
      <c r="C1358" t="s">
        <v>4425</v>
      </c>
      <c r="D1358" t="s">
        <v>229</v>
      </c>
      <c r="E1358" s="13">
        <v>1250</v>
      </c>
      <c r="F1358" s="12">
        <v>0</v>
      </c>
      <c r="G1358" t="str">
        <f>IFERROR(INDEX(tEditais[Órgão],MATCH(tItens[[#This Row],[Edital]],tEditais[Edital],0)),"")</f>
        <v>FUNDO MUNICIPAL DE SAUDE</v>
      </c>
      <c r="H1358" t="str">
        <f>IFERROR(INDEX(tEditais[UF],MATCH(tItens[[#This Row],[Edital]],tEditais[Edital],0)),"")</f>
        <v>GO</v>
      </c>
      <c r="I1358" s="11">
        <f>IFERROR(INDEX(tEditais[Encerramento],MATCH(tItens[[#This Row],[Edital]],tEditais[Edital],0)),"")</f>
        <v>46304.3125</v>
      </c>
      <c r="J1358" t="str">
        <f>IFERROR(INDEX(tProdutos[Classe],MATCH(tItens[[#This Row],[Produto]],tProdutos[Produto],0)),"produto não cadastrado")</f>
        <v>FORA</v>
      </c>
      <c r="K1358" s="12">
        <f>tItens[[#This Row],[Qtd]]*tItens[[#This Row],[Vlr unit]]</f>
        <v>0</v>
      </c>
      <c r="L1358" s="6">
        <f>IFERROR(IF(INDEX(tProdutos[Desconto homologado],MATCH(tItens[[#This Row],[Produto]],tProdutos[Produto],0))="",DescontoPadrao,INDEX(tProdutos[Desconto homologado],MATCH(tItens[[#This Row],[Produto]],tProdutos[Produto],0))),DescontoPadrao)</f>
        <v>0.33093491191658198</v>
      </c>
      <c r="M1358" s="12">
        <f>tItens[[#This Row],[Valor]]*(1-tItens[[#This Row],[Desconto]])</f>
        <v>0</v>
      </c>
      <c r="N1358" t="str">
        <f>IFERROR(INDEX(tProdutos[Foco],MATCH(tItens[[#This Row],[Produto]],tProdutos[Produto],0)),"Não")</f>
        <v>Não</v>
      </c>
      <c r="O1358" t="str">
        <f>IFERROR(INDEX(tEditais[SRP],MATCH(tItens[[#This Row],[Edital]],tEditais[Edital],0)),"Não")</f>
        <v>Não</v>
      </c>
      <c r="P1358" s="4">
        <f>IF(COUNTIFS(INDEX(tItens[Edital],1):tItens[[#This Row],[Edital]],tItens[[#This Row],[Edital]],INDEX(tItens[Produto],1):tItens[[#This Row],[Produto]],tItens[[#This Row],[Produto]])=1,1,0)</f>
        <v>0</v>
      </c>
    </row>
    <row r="1359" spans="1:16" x14ac:dyDescent="0.25">
      <c r="A1359" t="s">
        <v>1142</v>
      </c>
      <c r="B1359">
        <v>371</v>
      </c>
      <c r="C1359" t="s">
        <v>4426</v>
      </c>
      <c r="D1359" t="s">
        <v>229</v>
      </c>
      <c r="E1359" s="13">
        <v>1250</v>
      </c>
      <c r="F1359" s="12">
        <v>0</v>
      </c>
      <c r="G1359" t="str">
        <f>IFERROR(INDEX(tEditais[Órgão],MATCH(tItens[[#This Row],[Edital]],tEditais[Edital],0)),"")</f>
        <v>FUNDO MUNICIPAL DE SAUDE</v>
      </c>
      <c r="H1359" t="str">
        <f>IFERROR(INDEX(tEditais[UF],MATCH(tItens[[#This Row],[Edital]],tEditais[Edital],0)),"")</f>
        <v>GO</v>
      </c>
      <c r="I1359" s="11">
        <f>IFERROR(INDEX(tEditais[Encerramento],MATCH(tItens[[#This Row],[Edital]],tEditais[Edital],0)),"")</f>
        <v>46304.3125</v>
      </c>
      <c r="J1359" t="str">
        <f>IFERROR(INDEX(tProdutos[Classe],MATCH(tItens[[#This Row],[Produto]],tProdutos[Produto],0)),"produto não cadastrado")</f>
        <v>FORA</v>
      </c>
      <c r="K1359" s="12">
        <f>tItens[[#This Row],[Qtd]]*tItens[[#This Row],[Vlr unit]]</f>
        <v>0</v>
      </c>
      <c r="L1359" s="6">
        <f>IFERROR(IF(INDEX(tProdutos[Desconto homologado],MATCH(tItens[[#This Row],[Produto]],tProdutos[Produto],0))="",DescontoPadrao,INDEX(tProdutos[Desconto homologado],MATCH(tItens[[#This Row],[Produto]],tProdutos[Produto],0))),DescontoPadrao)</f>
        <v>0.33093491191658198</v>
      </c>
      <c r="M1359" s="12">
        <f>tItens[[#This Row],[Valor]]*(1-tItens[[#This Row],[Desconto]])</f>
        <v>0</v>
      </c>
      <c r="N1359" t="str">
        <f>IFERROR(INDEX(tProdutos[Foco],MATCH(tItens[[#This Row],[Produto]],tProdutos[Produto],0)),"Não")</f>
        <v>Não</v>
      </c>
      <c r="O1359" t="str">
        <f>IFERROR(INDEX(tEditais[SRP],MATCH(tItens[[#This Row],[Edital]],tEditais[Edital],0)),"Não")</f>
        <v>Não</v>
      </c>
      <c r="P1359" s="4">
        <f>IF(COUNTIFS(INDEX(tItens[Edital],1):tItens[[#This Row],[Edital]],tItens[[#This Row],[Edital]],INDEX(tItens[Produto],1):tItens[[#This Row],[Produto]],tItens[[#This Row],[Produto]])=1,1,0)</f>
        <v>0</v>
      </c>
    </row>
    <row r="1360" spans="1:16" x14ac:dyDescent="0.25">
      <c r="A1360" t="s">
        <v>1146</v>
      </c>
      <c r="B1360">
        <v>9</v>
      </c>
      <c r="C1360" t="s">
        <v>4427</v>
      </c>
      <c r="D1360" t="s">
        <v>343</v>
      </c>
      <c r="E1360" s="13">
        <v>2000</v>
      </c>
      <c r="F1360" s="12">
        <v>0</v>
      </c>
      <c r="G1360" t="str">
        <f>IFERROR(INDEX(tEditais[Órgão],MATCH(tItens[[#This Row],[Edital]],tEditais[Edital],0)),"")</f>
        <v>FUNDO MUNICIPAL DE SAUDE DE MINEIROS</v>
      </c>
      <c r="H1360" t="str">
        <f>IFERROR(INDEX(tEditais[UF],MATCH(tItens[[#This Row],[Edital]],tEditais[Edital],0)),"")</f>
        <v>GO</v>
      </c>
      <c r="I1360" s="11">
        <f>IFERROR(INDEX(tEditais[Encerramento],MATCH(tItens[[#This Row],[Edital]],tEditais[Edital],0)),"")</f>
        <v>46308.291666666664</v>
      </c>
      <c r="J1360" t="str">
        <f>IFERROR(INDEX(tProdutos[Classe],MATCH(tItens[[#This Row],[Produto]],tProdutos[Produto],0)),"produto não cadastrado")</f>
        <v>FORA</v>
      </c>
      <c r="K1360" s="12">
        <f>tItens[[#This Row],[Qtd]]*tItens[[#This Row],[Vlr unit]]</f>
        <v>0</v>
      </c>
      <c r="L1360" s="6">
        <f>IFERROR(IF(INDEX(tProdutos[Desconto homologado],MATCH(tItens[[#This Row],[Produto]],tProdutos[Produto],0))="",DescontoPadrao,INDEX(tProdutos[Desconto homologado],MATCH(tItens[[#This Row],[Produto]],tProdutos[Produto],0))),DescontoPadrao)</f>
        <v>0.35412234042553198</v>
      </c>
      <c r="M1360" s="12">
        <f>tItens[[#This Row],[Valor]]*(1-tItens[[#This Row],[Desconto]])</f>
        <v>0</v>
      </c>
      <c r="N1360" t="str">
        <f>IFERROR(INDEX(tProdutos[Foco],MATCH(tItens[[#This Row],[Produto]],tProdutos[Produto],0)),"Não")</f>
        <v>Não</v>
      </c>
      <c r="O1360" t="str">
        <f>IFERROR(INDEX(tEditais[SRP],MATCH(tItens[[#This Row],[Edital]],tEditais[Edital],0)),"Não")</f>
        <v>Não</v>
      </c>
      <c r="P1360" s="4">
        <f>IF(COUNTIFS(INDEX(tItens[Edital],1):tItens[[#This Row],[Edital]],tItens[[#This Row],[Edital]],INDEX(tItens[Produto],1):tItens[[#This Row],[Produto]],tItens[[#This Row],[Produto]])=1,1,0)</f>
        <v>1</v>
      </c>
    </row>
    <row r="1361" spans="1:16" x14ac:dyDescent="0.25">
      <c r="A1361" t="s">
        <v>1146</v>
      </c>
      <c r="B1361">
        <v>10</v>
      </c>
      <c r="C1361" t="s">
        <v>4428</v>
      </c>
      <c r="D1361" t="s">
        <v>343</v>
      </c>
      <c r="E1361" s="13">
        <v>12000</v>
      </c>
      <c r="F1361" s="12">
        <v>0</v>
      </c>
      <c r="G1361" t="str">
        <f>IFERROR(INDEX(tEditais[Órgão],MATCH(tItens[[#This Row],[Edital]],tEditais[Edital],0)),"")</f>
        <v>FUNDO MUNICIPAL DE SAUDE DE MINEIROS</v>
      </c>
      <c r="H1361" t="str">
        <f>IFERROR(INDEX(tEditais[UF],MATCH(tItens[[#This Row],[Edital]],tEditais[Edital],0)),"")</f>
        <v>GO</v>
      </c>
      <c r="I1361" s="11">
        <f>IFERROR(INDEX(tEditais[Encerramento],MATCH(tItens[[#This Row],[Edital]],tEditais[Edital],0)),"")</f>
        <v>46308.291666666664</v>
      </c>
      <c r="J1361" t="str">
        <f>IFERROR(INDEX(tProdutos[Classe],MATCH(tItens[[#This Row],[Produto]],tProdutos[Produto],0)),"produto não cadastrado")</f>
        <v>FORA</v>
      </c>
      <c r="K1361" s="12">
        <f>tItens[[#This Row],[Qtd]]*tItens[[#This Row],[Vlr unit]]</f>
        <v>0</v>
      </c>
      <c r="L1361" s="6">
        <f>IFERROR(IF(INDEX(tProdutos[Desconto homologado],MATCH(tItens[[#This Row],[Produto]],tProdutos[Produto],0))="",DescontoPadrao,INDEX(tProdutos[Desconto homologado],MATCH(tItens[[#This Row],[Produto]],tProdutos[Produto],0))),DescontoPadrao)</f>
        <v>0.35412234042553198</v>
      </c>
      <c r="M1361" s="12">
        <f>tItens[[#This Row],[Valor]]*(1-tItens[[#This Row],[Desconto]])</f>
        <v>0</v>
      </c>
      <c r="N1361" t="str">
        <f>IFERROR(INDEX(tProdutos[Foco],MATCH(tItens[[#This Row],[Produto]],tProdutos[Produto],0)),"Não")</f>
        <v>Não</v>
      </c>
      <c r="O1361" t="str">
        <f>IFERROR(INDEX(tEditais[SRP],MATCH(tItens[[#This Row],[Edital]],tEditais[Edital],0)),"Não")</f>
        <v>Não</v>
      </c>
      <c r="P1361" s="4">
        <f>IF(COUNTIFS(INDEX(tItens[Edital],1):tItens[[#This Row],[Edital]],tItens[[#This Row],[Edital]],INDEX(tItens[Produto],1):tItens[[#This Row],[Produto]],tItens[[#This Row],[Produto]])=1,1,0)</f>
        <v>0</v>
      </c>
    </row>
    <row r="1362" spans="1:16" x14ac:dyDescent="0.25">
      <c r="A1362" t="s">
        <v>1146</v>
      </c>
      <c r="B1362">
        <v>11</v>
      </c>
      <c r="C1362" t="s">
        <v>4429</v>
      </c>
      <c r="D1362" t="s">
        <v>343</v>
      </c>
      <c r="E1362" s="13">
        <v>9000</v>
      </c>
      <c r="F1362" s="12">
        <v>0</v>
      </c>
      <c r="G1362" t="str">
        <f>IFERROR(INDEX(tEditais[Órgão],MATCH(tItens[[#This Row],[Edital]],tEditais[Edital],0)),"")</f>
        <v>FUNDO MUNICIPAL DE SAUDE DE MINEIROS</v>
      </c>
      <c r="H1362" t="str">
        <f>IFERROR(INDEX(tEditais[UF],MATCH(tItens[[#This Row],[Edital]],tEditais[Edital],0)),"")</f>
        <v>GO</v>
      </c>
      <c r="I1362" s="11">
        <f>IFERROR(INDEX(tEditais[Encerramento],MATCH(tItens[[#This Row],[Edital]],tEditais[Edital],0)),"")</f>
        <v>46308.291666666664</v>
      </c>
      <c r="J1362" t="str">
        <f>IFERROR(INDEX(tProdutos[Classe],MATCH(tItens[[#This Row],[Produto]],tProdutos[Produto],0)),"produto não cadastrado")</f>
        <v>FORA</v>
      </c>
      <c r="K1362" s="12">
        <f>tItens[[#This Row],[Qtd]]*tItens[[#This Row],[Vlr unit]]</f>
        <v>0</v>
      </c>
      <c r="L1362" s="6">
        <f>IFERROR(IF(INDEX(tProdutos[Desconto homologado],MATCH(tItens[[#This Row],[Produto]],tProdutos[Produto],0))="",DescontoPadrao,INDEX(tProdutos[Desconto homologado],MATCH(tItens[[#This Row],[Produto]],tProdutos[Produto],0))),DescontoPadrao)</f>
        <v>0.35412234042553198</v>
      </c>
      <c r="M1362" s="12">
        <f>tItens[[#This Row],[Valor]]*(1-tItens[[#This Row],[Desconto]])</f>
        <v>0</v>
      </c>
      <c r="N1362" t="str">
        <f>IFERROR(INDEX(tProdutos[Foco],MATCH(tItens[[#This Row],[Produto]],tProdutos[Produto],0)),"Não")</f>
        <v>Não</v>
      </c>
      <c r="O1362" t="str">
        <f>IFERROR(INDEX(tEditais[SRP],MATCH(tItens[[#This Row],[Edital]],tEditais[Edital],0)),"Não")</f>
        <v>Não</v>
      </c>
      <c r="P1362" s="4">
        <f>IF(COUNTIFS(INDEX(tItens[Edital],1):tItens[[#This Row],[Edital]],tItens[[#This Row],[Edital]],INDEX(tItens[Produto],1):tItens[[#This Row],[Produto]],tItens[[#This Row],[Produto]])=1,1,0)</f>
        <v>0</v>
      </c>
    </row>
    <row r="1363" spans="1:16" x14ac:dyDescent="0.25">
      <c r="A1363" t="s">
        <v>1146</v>
      </c>
      <c r="B1363">
        <v>12</v>
      </c>
      <c r="C1363" t="s">
        <v>4430</v>
      </c>
      <c r="D1363" t="s">
        <v>343</v>
      </c>
      <c r="E1363" s="13">
        <v>9000</v>
      </c>
      <c r="F1363" s="12">
        <v>0</v>
      </c>
      <c r="G1363" t="str">
        <f>IFERROR(INDEX(tEditais[Órgão],MATCH(tItens[[#This Row],[Edital]],tEditais[Edital],0)),"")</f>
        <v>FUNDO MUNICIPAL DE SAUDE DE MINEIROS</v>
      </c>
      <c r="H1363" t="str">
        <f>IFERROR(INDEX(tEditais[UF],MATCH(tItens[[#This Row],[Edital]],tEditais[Edital],0)),"")</f>
        <v>GO</v>
      </c>
      <c r="I1363" s="11">
        <f>IFERROR(INDEX(tEditais[Encerramento],MATCH(tItens[[#This Row],[Edital]],tEditais[Edital],0)),"")</f>
        <v>46308.291666666664</v>
      </c>
      <c r="J1363" t="str">
        <f>IFERROR(INDEX(tProdutos[Classe],MATCH(tItens[[#This Row],[Produto]],tProdutos[Produto],0)),"produto não cadastrado")</f>
        <v>FORA</v>
      </c>
      <c r="K1363" s="12">
        <f>tItens[[#This Row],[Qtd]]*tItens[[#This Row],[Vlr unit]]</f>
        <v>0</v>
      </c>
      <c r="L1363" s="6">
        <f>IFERROR(IF(INDEX(tProdutos[Desconto homologado],MATCH(tItens[[#This Row],[Produto]],tProdutos[Produto],0))="",DescontoPadrao,INDEX(tProdutos[Desconto homologado],MATCH(tItens[[#This Row],[Produto]],tProdutos[Produto],0))),DescontoPadrao)</f>
        <v>0.35412234042553198</v>
      </c>
      <c r="M1363" s="12">
        <f>tItens[[#This Row],[Valor]]*(1-tItens[[#This Row],[Desconto]])</f>
        <v>0</v>
      </c>
      <c r="N1363" t="str">
        <f>IFERROR(INDEX(tProdutos[Foco],MATCH(tItens[[#This Row],[Produto]],tProdutos[Produto],0)),"Não")</f>
        <v>Não</v>
      </c>
      <c r="O1363" t="str">
        <f>IFERROR(INDEX(tEditais[SRP],MATCH(tItens[[#This Row],[Edital]],tEditais[Edital],0)),"Não")</f>
        <v>Não</v>
      </c>
      <c r="P1363" s="4">
        <f>IF(COUNTIFS(INDEX(tItens[Edital],1):tItens[[#This Row],[Edital]],tItens[[#This Row],[Edital]],INDEX(tItens[Produto],1):tItens[[#This Row],[Produto]],tItens[[#This Row],[Produto]])=1,1,0)</f>
        <v>0</v>
      </c>
    </row>
    <row r="1364" spans="1:16" x14ac:dyDescent="0.25">
      <c r="A1364" t="s">
        <v>1146</v>
      </c>
      <c r="B1364">
        <v>13</v>
      </c>
      <c r="C1364" t="s">
        <v>4431</v>
      </c>
      <c r="D1364" t="s">
        <v>343</v>
      </c>
      <c r="E1364" s="13">
        <v>8000</v>
      </c>
      <c r="F1364" s="12">
        <v>0</v>
      </c>
      <c r="G1364" t="str">
        <f>IFERROR(INDEX(tEditais[Órgão],MATCH(tItens[[#This Row],[Edital]],tEditais[Edital],0)),"")</f>
        <v>FUNDO MUNICIPAL DE SAUDE DE MINEIROS</v>
      </c>
      <c r="H1364" t="str">
        <f>IFERROR(INDEX(tEditais[UF],MATCH(tItens[[#This Row],[Edital]],tEditais[Edital],0)),"")</f>
        <v>GO</v>
      </c>
      <c r="I1364" s="11">
        <f>IFERROR(INDEX(tEditais[Encerramento],MATCH(tItens[[#This Row],[Edital]],tEditais[Edital],0)),"")</f>
        <v>46308.291666666664</v>
      </c>
      <c r="J1364" t="str">
        <f>IFERROR(INDEX(tProdutos[Classe],MATCH(tItens[[#This Row],[Produto]],tProdutos[Produto],0)),"produto não cadastrado")</f>
        <v>FORA</v>
      </c>
      <c r="K1364" s="12">
        <f>tItens[[#This Row],[Qtd]]*tItens[[#This Row],[Vlr unit]]</f>
        <v>0</v>
      </c>
      <c r="L1364" s="6">
        <f>IFERROR(IF(INDEX(tProdutos[Desconto homologado],MATCH(tItens[[#This Row],[Produto]],tProdutos[Produto],0))="",DescontoPadrao,INDEX(tProdutos[Desconto homologado],MATCH(tItens[[#This Row],[Produto]],tProdutos[Produto],0))),DescontoPadrao)</f>
        <v>0.35412234042553198</v>
      </c>
      <c r="M1364" s="12">
        <f>tItens[[#This Row],[Valor]]*(1-tItens[[#This Row],[Desconto]])</f>
        <v>0</v>
      </c>
      <c r="N1364" t="str">
        <f>IFERROR(INDEX(tProdutos[Foco],MATCH(tItens[[#This Row],[Produto]],tProdutos[Produto],0)),"Não")</f>
        <v>Não</v>
      </c>
      <c r="O1364" t="str">
        <f>IFERROR(INDEX(tEditais[SRP],MATCH(tItens[[#This Row],[Edital]],tEditais[Edital],0)),"Não")</f>
        <v>Não</v>
      </c>
      <c r="P1364" s="4">
        <f>IF(COUNTIFS(INDEX(tItens[Edital],1):tItens[[#This Row],[Edital]],tItens[[#This Row],[Edital]],INDEX(tItens[Produto],1):tItens[[#This Row],[Produto]],tItens[[#This Row],[Produto]])=1,1,0)</f>
        <v>0</v>
      </c>
    </row>
    <row r="1365" spans="1:16" x14ac:dyDescent="0.25">
      <c r="A1365" t="s">
        <v>1146</v>
      </c>
      <c r="B1365">
        <v>14</v>
      </c>
      <c r="C1365" t="s">
        <v>4432</v>
      </c>
      <c r="D1365" t="s">
        <v>343</v>
      </c>
      <c r="E1365" s="13">
        <v>5000</v>
      </c>
      <c r="F1365" s="12">
        <v>0</v>
      </c>
      <c r="G1365" t="str">
        <f>IFERROR(INDEX(tEditais[Órgão],MATCH(tItens[[#This Row],[Edital]],tEditais[Edital],0)),"")</f>
        <v>FUNDO MUNICIPAL DE SAUDE DE MINEIROS</v>
      </c>
      <c r="H1365" t="str">
        <f>IFERROR(INDEX(tEditais[UF],MATCH(tItens[[#This Row],[Edital]],tEditais[Edital],0)),"")</f>
        <v>GO</v>
      </c>
      <c r="I1365" s="11">
        <f>IFERROR(INDEX(tEditais[Encerramento],MATCH(tItens[[#This Row],[Edital]],tEditais[Edital],0)),"")</f>
        <v>46308.291666666664</v>
      </c>
      <c r="J1365" t="str">
        <f>IFERROR(INDEX(tProdutos[Classe],MATCH(tItens[[#This Row],[Produto]],tProdutos[Produto],0)),"produto não cadastrado")</f>
        <v>FORA</v>
      </c>
      <c r="K1365" s="12">
        <f>tItens[[#This Row],[Qtd]]*tItens[[#This Row],[Vlr unit]]</f>
        <v>0</v>
      </c>
      <c r="L1365" s="6">
        <f>IFERROR(IF(INDEX(tProdutos[Desconto homologado],MATCH(tItens[[#This Row],[Produto]],tProdutos[Produto],0))="",DescontoPadrao,INDEX(tProdutos[Desconto homologado],MATCH(tItens[[#This Row],[Produto]],tProdutos[Produto],0))),DescontoPadrao)</f>
        <v>0.35412234042553198</v>
      </c>
      <c r="M1365" s="12">
        <f>tItens[[#This Row],[Valor]]*(1-tItens[[#This Row],[Desconto]])</f>
        <v>0</v>
      </c>
      <c r="N1365" t="str">
        <f>IFERROR(INDEX(tProdutos[Foco],MATCH(tItens[[#This Row],[Produto]],tProdutos[Produto],0)),"Não")</f>
        <v>Não</v>
      </c>
      <c r="O1365" t="str">
        <f>IFERROR(INDEX(tEditais[SRP],MATCH(tItens[[#This Row],[Edital]],tEditais[Edital],0)),"Não")</f>
        <v>Não</v>
      </c>
      <c r="P1365" s="4">
        <f>IF(COUNTIFS(INDEX(tItens[Edital],1):tItens[[#This Row],[Edital]],tItens[[#This Row],[Edital]],INDEX(tItens[Produto],1):tItens[[#This Row],[Produto]],tItens[[#This Row],[Produto]])=1,1,0)</f>
        <v>0</v>
      </c>
    </row>
    <row r="1366" spans="1:16" x14ac:dyDescent="0.25">
      <c r="A1366" t="s">
        <v>1146</v>
      </c>
      <c r="B1366">
        <v>16</v>
      </c>
      <c r="C1366" t="s">
        <v>4433</v>
      </c>
      <c r="D1366" t="s">
        <v>313</v>
      </c>
      <c r="E1366" s="13">
        <v>5950</v>
      </c>
      <c r="F1366" s="12">
        <v>0</v>
      </c>
      <c r="G1366" t="str">
        <f>IFERROR(INDEX(tEditais[Órgão],MATCH(tItens[[#This Row],[Edital]],tEditais[Edital],0)),"")</f>
        <v>FUNDO MUNICIPAL DE SAUDE DE MINEIROS</v>
      </c>
      <c r="H1366" t="str">
        <f>IFERROR(INDEX(tEditais[UF],MATCH(tItens[[#This Row],[Edital]],tEditais[Edital],0)),"")</f>
        <v>GO</v>
      </c>
      <c r="I1366" s="11">
        <f>IFERROR(INDEX(tEditais[Encerramento],MATCH(tItens[[#This Row],[Edital]],tEditais[Edital],0)),"")</f>
        <v>46308.291666666664</v>
      </c>
      <c r="J1366" t="str">
        <f>IFERROR(INDEX(tProdutos[Classe],MATCH(tItens[[#This Row],[Produto]],tProdutos[Produto],0)),"produto não cadastrado")</f>
        <v>FORA</v>
      </c>
      <c r="K1366" s="12">
        <f>tItens[[#This Row],[Qtd]]*tItens[[#This Row],[Vlr unit]]</f>
        <v>0</v>
      </c>
      <c r="L1366" s="6">
        <f>IFERROR(IF(INDEX(tProdutos[Desconto homologado],MATCH(tItens[[#This Row],[Produto]],tProdutos[Produto],0))="",DescontoPadrao,INDEX(tProdutos[Desconto homologado],MATCH(tItens[[#This Row],[Produto]],tProdutos[Produto],0))),DescontoPadrao)</f>
        <v>0.35766373163696302</v>
      </c>
      <c r="M1366" s="12">
        <f>tItens[[#This Row],[Valor]]*(1-tItens[[#This Row],[Desconto]])</f>
        <v>0</v>
      </c>
      <c r="N1366" t="str">
        <f>IFERROR(INDEX(tProdutos[Foco],MATCH(tItens[[#This Row],[Produto]],tProdutos[Produto],0)),"Não")</f>
        <v>Não</v>
      </c>
      <c r="O1366" t="str">
        <f>IFERROR(INDEX(tEditais[SRP],MATCH(tItens[[#This Row],[Edital]],tEditais[Edital],0)),"Não")</f>
        <v>Não</v>
      </c>
      <c r="P1366" s="4">
        <f>IF(COUNTIFS(INDEX(tItens[Edital],1):tItens[[#This Row],[Edital]],tItens[[#This Row],[Edital]],INDEX(tItens[Produto],1):tItens[[#This Row],[Produto]],tItens[[#This Row],[Produto]])=1,1,0)</f>
        <v>1</v>
      </c>
    </row>
    <row r="1367" spans="1:16" x14ac:dyDescent="0.25">
      <c r="A1367" t="s">
        <v>1146</v>
      </c>
      <c r="B1367">
        <v>17</v>
      </c>
      <c r="C1367" t="s">
        <v>4434</v>
      </c>
      <c r="D1367" t="s">
        <v>313</v>
      </c>
      <c r="E1367" s="13">
        <v>1050</v>
      </c>
      <c r="F1367" s="12">
        <v>0</v>
      </c>
      <c r="G1367" t="str">
        <f>IFERROR(INDEX(tEditais[Órgão],MATCH(tItens[[#This Row],[Edital]],tEditais[Edital],0)),"")</f>
        <v>FUNDO MUNICIPAL DE SAUDE DE MINEIROS</v>
      </c>
      <c r="H1367" t="str">
        <f>IFERROR(INDEX(tEditais[UF],MATCH(tItens[[#This Row],[Edital]],tEditais[Edital],0)),"")</f>
        <v>GO</v>
      </c>
      <c r="I1367" s="11">
        <f>IFERROR(INDEX(tEditais[Encerramento],MATCH(tItens[[#This Row],[Edital]],tEditais[Edital],0)),"")</f>
        <v>46308.291666666664</v>
      </c>
      <c r="J1367" t="str">
        <f>IFERROR(INDEX(tProdutos[Classe],MATCH(tItens[[#This Row],[Produto]],tProdutos[Produto],0)),"produto não cadastrado")</f>
        <v>FORA</v>
      </c>
      <c r="K1367" s="12">
        <f>tItens[[#This Row],[Qtd]]*tItens[[#This Row],[Vlr unit]]</f>
        <v>0</v>
      </c>
      <c r="L1367" s="6">
        <f>IFERROR(IF(INDEX(tProdutos[Desconto homologado],MATCH(tItens[[#This Row],[Produto]],tProdutos[Produto],0))="",DescontoPadrao,INDEX(tProdutos[Desconto homologado],MATCH(tItens[[#This Row],[Produto]],tProdutos[Produto],0))),DescontoPadrao)</f>
        <v>0.35766373163696302</v>
      </c>
      <c r="M1367" s="12">
        <f>tItens[[#This Row],[Valor]]*(1-tItens[[#This Row],[Desconto]])</f>
        <v>0</v>
      </c>
      <c r="N1367" t="str">
        <f>IFERROR(INDEX(tProdutos[Foco],MATCH(tItens[[#This Row],[Produto]],tProdutos[Produto],0)),"Não")</f>
        <v>Não</v>
      </c>
      <c r="O1367" t="str">
        <f>IFERROR(INDEX(tEditais[SRP],MATCH(tItens[[#This Row],[Edital]],tEditais[Edital],0)),"Não")</f>
        <v>Não</v>
      </c>
      <c r="P1367" s="4">
        <f>IF(COUNTIFS(INDEX(tItens[Edital],1):tItens[[#This Row],[Edital]],tItens[[#This Row],[Edital]],INDEX(tItens[Produto],1):tItens[[#This Row],[Produto]],tItens[[#This Row],[Produto]])=1,1,0)</f>
        <v>0</v>
      </c>
    </row>
    <row r="1368" spans="1:16" x14ac:dyDescent="0.25">
      <c r="A1368" t="s">
        <v>1146</v>
      </c>
      <c r="B1368">
        <v>18</v>
      </c>
      <c r="C1368" t="s">
        <v>4435</v>
      </c>
      <c r="D1368" t="s">
        <v>313</v>
      </c>
      <c r="E1368" s="13">
        <v>4250</v>
      </c>
      <c r="F1368" s="12">
        <v>0</v>
      </c>
      <c r="G1368" t="str">
        <f>IFERROR(INDEX(tEditais[Órgão],MATCH(tItens[[#This Row],[Edital]],tEditais[Edital],0)),"")</f>
        <v>FUNDO MUNICIPAL DE SAUDE DE MINEIROS</v>
      </c>
      <c r="H1368" t="str">
        <f>IFERROR(INDEX(tEditais[UF],MATCH(tItens[[#This Row],[Edital]],tEditais[Edital],0)),"")</f>
        <v>GO</v>
      </c>
      <c r="I1368" s="11">
        <f>IFERROR(INDEX(tEditais[Encerramento],MATCH(tItens[[#This Row],[Edital]],tEditais[Edital],0)),"")</f>
        <v>46308.291666666664</v>
      </c>
      <c r="J1368" t="str">
        <f>IFERROR(INDEX(tProdutos[Classe],MATCH(tItens[[#This Row],[Produto]],tProdutos[Produto],0)),"produto não cadastrado")</f>
        <v>FORA</v>
      </c>
      <c r="K1368" s="12">
        <f>tItens[[#This Row],[Qtd]]*tItens[[#This Row],[Vlr unit]]</f>
        <v>0</v>
      </c>
      <c r="L1368" s="6">
        <f>IFERROR(IF(INDEX(tProdutos[Desconto homologado],MATCH(tItens[[#This Row],[Produto]],tProdutos[Produto],0))="",DescontoPadrao,INDEX(tProdutos[Desconto homologado],MATCH(tItens[[#This Row],[Produto]],tProdutos[Produto],0))),DescontoPadrao)</f>
        <v>0.35766373163696302</v>
      </c>
      <c r="M1368" s="12">
        <f>tItens[[#This Row],[Valor]]*(1-tItens[[#This Row],[Desconto]])</f>
        <v>0</v>
      </c>
      <c r="N1368" t="str">
        <f>IFERROR(INDEX(tProdutos[Foco],MATCH(tItens[[#This Row],[Produto]],tProdutos[Produto],0)),"Não")</f>
        <v>Não</v>
      </c>
      <c r="O1368" t="str">
        <f>IFERROR(INDEX(tEditais[SRP],MATCH(tItens[[#This Row],[Edital]],tEditais[Edital],0)),"Não")</f>
        <v>Não</v>
      </c>
      <c r="P1368" s="4">
        <f>IF(COUNTIFS(INDEX(tItens[Edital],1):tItens[[#This Row],[Edital]],tItens[[#This Row],[Edital]],INDEX(tItens[Produto],1):tItens[[#This Row],[Produto]],tItens[[#This Row],[Produto]])=1,1,0)</f>
        <v>0</v>
      </c>
    </row>
    <row r="1369" spans="1:16" x14ac:dyDescent="0.25">
      <c r="A1369" t="s">
        <v>1146</v>
      </c>
      <c r="B1369">
        <v>19</v>
      </c>
      <c r="C1369" t="s">
        <v>4436</v>
      </c>
      <c r="D1369" t="s">
        <v>313</v>
      </c>
      <c r="E1369" s="13">
        <v>750</v>
      </c>
      <c r="F1369" s="12">
        <v>0</v>
      </c>
      <c r="G1369" t="str">
        <f>IFERROR(INDEX(tEditais[Órgão],MATCH(tItens[[#This Row],[Edital]],tEditais[Edital],0)),"")</f>
        <v>FUNDO MUNICIPAL DE SAUDE DE MINEIROS</v>
      </c>
      <c r="H1369" t="str">
        <f>IFERROR(INDEX(tEditais[UF],MATCH(tItens[[#This Row],[Edital]],tEditais[Edital],0)),"")</f>
        <v>GO</v>
      </c>
      <c r="I1369" s="11">
        <f>IFERROR(INDEX(tEditais[Encerramento],MATCH(tItens[[#This Row],[Edital]],tEditais[Edital],0)),"")</f>
        <v>46308.291666666664</v>
      </c>
      <c r="J1369" t="str">
        <f>IFERROR(INDEX(tProdutos[Classe],MATCH(tItens[[#This Row],[Produto]],tProdutos[Produto],0)),"produto não cadastrado")</f>
        <v>FORA</v>
      </c>
      <c r="K1369" s="12">
        <f>tItens[[#This Row],[Qtd]]*tItens[[#This Row],[Vlr unit]]</f>
        <v>0</v>
      </c>
      <c r="L1369" s="6">
        <f>IFERROR(IF(INDEX(tProdutos[Desconto homologado],MATCH(tItens[[#This Row],[Produto]],tProdutos[Produto],0))="",DescontoPadrao,INDEX(tProdutos[Desconto homologado],MATCH(tItens[[#This Row],[Produto]],tProdutos[Produto],0))),DescontoPadrao)</f>
        <v>0.35766373163696302</v>
      </c>
      <c r="M1369" s="12">
        <f>tItens[[#This Row],[Valor]]*(1-tItens[[#This Row],[Desconto]])</f>
        <v>0</v>
      </c>
      <c r="N1369" t="str">
        <f>IFERROR(INDEX(tProdutos[Foco],MATCH(tItens[[#This Row],[Produto]],tProdutos[Produto],0)),"Não")</f>
        <v>Não</v>
      </c>
      <c r="O1369" t="str">
        <f>IFERROR(INDEX(tEditais[SRP],MATCH(tItens[[#This Row],[Edital]],tEditais[Edital],0)),"Não")</f>
        <v>Não</v>
      </c>
      <c r="P1369" s="4">
        <f>IF(COUNTIFS(INDEX(tItens[Edital],1):tItens[[#This Row],[Edital]],tItens[[#This Row],[Edital]],INDEX(tItens[Produto],1):tItens[[#This Row],[Produto]],tItens[[#This Row],[Produto]])=1,1,0)</f>
        <v>0</v>
      </c>
    </row>
    <row r="1370" spans="1:16" x14ac:dyDescent="0.25">
      <c r="A1370" t="s">
        <v>1146</v>
      </c>
      <c r="B1370">
        <v>20</v>
      </c>
      <c r="C1370" t="s">
        <v>4437</v>
      </c>
      <c r="D1370" t="s">
        <v>313</v>
      </c>
      <c r="E1370" s="13">
        <v>6800</v>
      </c>
      <c r="F1370" s="12">
        <v>0</v>
      </c>
      <c r="G1370" t="str">
        <f>IFERROR(INDEX(tEditais[Órgão],MATCH(tItens[[#This Row],[Edital]],tEditais[Edital],0)),"")</f>
        <v>FUNDO MUNICIPAL DE SAUDE DE MINEIROS</v>
      </c>
      <c r="H1370" t="str">
        <f>IFERROR(INDEX(tEditais[UF],MATCH(tItens[[#This Row],[Edital]],tEditais[Edital],0)),"")</f>
        <v>GO</v>
      </c>
      <c r="I1370" s="11">
        <f>IFERROR(INDEX(tEditais[Encerramento],MATCH(tItens[[#This Row],[Edital]],tEditais[Edital],0)),"")</f>
        <v>46308.291666666664</v>
      </c>
      <c r="J1370" t="str">
        <f>IFERROR(INDEX(tProdutos[Classe],MATCH(tItens[[#This Row],[Produto]],tProdutos[Produto],0)),"produto não cadastrado")</f>
        <v>FORA</v>
      </c>
      <c r="K1370" s="12">
        <f>tItens[[#This Row],[Qtd]]*tItens[[#This Row],[Vlr unit]]</f>
        <v>0</v>
      </c>
      <c r="L1370" s="6">
        <f>IFERROR(IF(INDEX(tProdutos[Desconto homologado],MATCH(tItens[[#This Row],[Produto]],tProdutos[Produto],0))="",DescontoPadrao,INDEX(tProdutos[Desconto homologado],MATCH(tItens[[#This Row],[Produto]],tProdutos[Produto],0))),DescontoPadrao)</f>
        <v>0.35766373163696302</v>
      </c>
      <c r="M1370" s="12">
        <f>tItens[[#This Row],[Valor]]*(1-tItens[[#This Row],[Desconto]])</f>
        <v>0</v>
      </c>
      <c r="N1370" t="str">
        <f>IFERROR(INDEX(tProdutos[Foco],MATCH(tItens[[#This Row],[Produto]],tProdutos[Produto],0)),"Não")</f>
        <v>Não</v>
      </c>
      <c r="O1370" t="str">
        <f>IFERROR(INDEX(tEditais[SRP],MATCH(tItens[[#This Row],[Edital]],tEditais[Edital],0)),"Não")</f>
        <v>Não</v>
      </c>
      <c r="P1370" s="4">
        <f>IF(COUNTIFS(INDEX(tItens[Edital],1):tItens[[#This Row],[Edital]],tItens[[#This Row],[Edital]],INDEX(tItens[Produto],1):tItens[[#This Row],[Produto]],tItens[[#This Row],[Produto]])=1,1,0)</f>
        <v>0</v>
      </c>
    </row>
    <row r="1371" spans="1:16" x14ac:dyDescent="0.25">
      <c r="A1371" t="s">
        <v>1146</v>
      </c>
      <c r="B1371">
        <v>21</v>
      </c>
      <c r="C1371" t="s">
        <v>4438</v>
      </c>
      <c r="D1371" t="s">
        <v>313</v>
      </c>
      <c r="E1371" s="13">
        <v>1200</v>
      </c>
      <c r="F1371" s="12">
        <v>0</v>
      </c>
      <c r="G1371" t="str">
        <f>IFERROR(INDEX(tEditais[Órgão],MATCH(tItens[[#This Row],[Edital]],tEditais[Edital],0)),"")</f>
        <v>FUNDO MUNICIPAL DE SAUDE DE MINEIROS</v>
      </c>
      <c r="H1371" t="str">
        <f>IFERROR(INDEX(tEditais[UF],MATCH(tItens[[#This Row],[Edital]],tEditais[Edital],0)),"")</f>
        <v>GO</v>
      </c>
      <c r="I1371" s="11">
        <f>IFERROR(INDEX(tEditais[Encerramento],MATCH(tItens[[#This Row],[Edital]],tEditais[Edital],0)),"")</f>
        <v>46308.291666666664</v>
      </c>
      <c r="J1371" t="str">
        <f>IFERROR(INDEX(tProdutos[Classe],MATCH(tItens[[#This Row],[Produto]],tProdutos[Produto],0)),"produto não cadastrado")</f>
        <v>FORA</v>
      </c>
      <c r="K1371" s="12">
        <f>tItens[[#This Row],[Qtd]]*tItens[[#This Row],[Vlr unit]]</f>
        <v>0</v>
      </c>
      <c r="L1371" s="6">
        <f>IFERROR(IF(INDEX(tProdutos[Desconto homologado],MATCH(tItens[[#This Row],[Produto]],tProdutos[Produto],0))="",DescontoPadrao,INDEX(tProdutos[Desconto homologado],MATCH(tItens[[#This Row],[Produto]],tProdutos[Produto],0))),DescontoPadrao)</f>
        <v>0.35766373163696302</v>
      </c>
      <c r="M1371" s="12">
        <f>tItens[[#This Row],[Valor]]*(1-tItens[[#This Row],[Desconto]])</f>
        <v>0</v>
      </c>
      <c r="N1371" t="str">
        <f>IFERROR(INDEX(tProdutos[Foco],MATCH(tItens[[#This Row],[Produto]],tProdutos[Produto],0)),"Não")</f>
        <v>Não</v>
      </c>
      <c r="O1371" t="str">
        <f>IFERROR(INDEX(tEditais[SRP],MATCH(tItens[[#This Row],[Edital]],tEditais[Edital],0)),"Não")</f>
        <v>Não</v>
      </c>
      <c r="P1371" s="4">
        <f>IF(COUNTIFS(INDEX(tItens[Edital],1):tItens[[#This Row],[Edital]],tItens[[#This Row],[Edital]],INDEX(tItens[Produto],1):tItens[[#This Row],[Produto]],tItens[[#This Row],[Produto]])=1,1,0)</f>
        <v>0</v>
      </c>
    </row>
    <row r="1372" spans="1:16" x14ac:dyDescent="0.25">
      <c r="A1372" t="s">
        <v>1146</v>
      </c>
      <c r="B1372">
        <v>22</v>
      </c>
      <c r="C1372" t="s">
        <v>4439</v>
      </c>
      <c r="D1372" t="s">
        <v>313</v>
      </c>
      <c r="E1372" s="13">
        <v>8500</v>
      </c>
      <c r="F1372" s="12">
        <v>0</v>
      </c>
      <c r="G1372" t="str">
        <f>IFERROR(INDEX(tEditais[Órgão],MATCH(tItens[[#This Row],[Edital]],tEditais[Edital],0)),"")</f>
        <v>FUNDO MUNICIPAL DE SAUDE DE MINEIROS</v>
      </c>
      <c r="H1372" t="str">
        <f>IFERROR(INDEX(tEditais[UF],MATCH(tItens[[#This Row],[Edital]],tEditais[Edital],0)),"")</f>
        <v>GO</v>
      </c>
      <c r="I1372" s="11">
        <f>IFERROR(INDEX(tEditais[Encerramento],MATCH(tItens[[#This Row],[Edital]],tEditais[Edital],0)),"")</f>
        <v>46308.291666666664</v>
      </c>
      <c r="J1372" t="str">
        <f>IFERROR(INDEX(tProdutos[Classe],MATCH(tItens[[#This Row],[Produto]],tProdutos[Produto],0)),"produto não cadastrado")</f>
        <v>FORA</v>
      </c>
      <c r="K1372" s="12">
        <f>tItens[[#This Row],[Qtd]]*tItens[[#This Row],[Vlr unit]]</f>
        <v>0</v>
      </c>
      <c r="L1372" s="6">
        <f>IFERROR(IF(INDEX(tProdutos[Desconto homologado],MATCH(tItens[[#This Row],[Produto]],tProdutos[Produto],0))="",DescontoPadrao,INDEX(tProdutos[Desconto homologado],MATCH(tItens[[#This Row],[Produto]],tProdutos[Produto],0))),DescontoPadrao)</f>
        <v>0.35766373163696302</v>
      </c>
      <c r="M1372" s="12">
        <f>tItens[[#This Row],[Valor]]*(1-tItens[[#This Row],[Desconto]])</f>
        <v>0</v>
      </c>
      <c r="N1372" t="str">
        <f>IFERROR(INDEX(tProdutos[Foco],MATCH(tItens[[#This Row],[Produto]],tProdutos[Produto],0)),"Não")</f>
        <v>Não</v>
      </c>
      <c r="O1372" t="str">
        <f>IFERROR(INDEX(tEditais[SRP],MATCH(tItens[[#This Row],[Edital]],tEditais[Edital],0)),"Não")</f>
        <v>Não</v>
      </c>
      <c r="P1372" s="4">
        <f>IF(COUNTIFS(INDEX(tItens[Edital],1):tItens[[#This Row],[Edital]],tItens[[#This Row],[Edital]],INDEX(tItens[Produto],1):tItens[[#This Row],[Produto]],tItens[[#This Row],[Produto]])=1,1,0)</f>
        <v>0</v>
      </c>
    </row>
    <row r="1373" spans="1:16" x14ac:dyDescent="0.25">
      <c r="A1373" t="s">
        <v>1146</v>
      </c>
      <c r="B1373">
        <v>23</v>
      </c>
      <c r="C1373" t="s">
        <v>4440</v>
      </c>
      <c r="D1373" t="s">
        <v>313</v>
      </c>
      <c r="E1373" s="13">
        <v>1500</v>
      </c>
      <c r="F1373" s="12">
        <v>0</v>
      </c>
      <c r="G1373" t="str">
        <f>IFERROR(INDEX(tEditais[Órgão],MATCH(tItens[[#This Row],[Edital]],tEditais[Edital],0)),"")</f>
        <v>FUNDO MUNICIPAL DE SAUDE DE MINEIROS</v>
      </c>
      <c r="H1373" t="str">
        <f>IFERROR(INDEX(tEditais[UF],MATCH(tItens[[#This Row],[Edital]],tEditais[Edital],0)),"")</f>
        <v>GO</v>
      </c>
      <c r="I1373" s="11">
        <f>IFERROR(INDEX(tEditais[Encerramento],MATCH(tItens[[#This Row],[Edital]],tEditais[Edital],0)),"")</f>
        <v>46308.291666666664</v>
      </c>
      <c r="J1373" t="str">
        <f>IFERROR(INDEX(tProdutos[Classe],MATCH(tItens[[#This Row],[Produto]],tProdutos[Produto],0)),"produto não cadastrado")</f>
        <v>FORA</v>
      </c>
      <c r="K1373" s="12">
        <f>tItens[[#This Row],[Qtd]]*tItens[[#This Row],[Vlr unit]]</f>
        <v>0</v>
      </c>
      <c r="L1373" s="6">
        <f>IFERROR(IF(INDEX(tProdutos[Desconto homologado],MATCH(tItens[[#This Row],[Produto]],tProdutos[Produto],0))="",DescontoPadrao,INDEX(tProdutos[Desconto homologado],MATCH(tItens[[#This Row],[Produto]],tProdutos[Produto],0))),DescontoPadrao)</f>
        <v>0.35766373163696302</v>
      </c>
      <c r="M1373" s="12">
        <f>tItens[[#This Row],[Valor]]*(1-tItens[[#This Row],[Desconto]])</f>
        <v>0</v>
      </c>
      <c r="N1373" t="str">
        <f>IFERROR(INDEX(tProdutos[Foco],MATCH(tItens[[#This Row],[Produto]],tProdutos[Produto],0)),"Não")</f>
        <v>Não</v>
      </c>
      <c r="O1373" t="str">
        <f>IFERROR(INDEX(tEditais[SRP],MATCH(tItens[[#This Row],[Edital]],tEditais[Edital],0)),"Não")</f>
        <v>Não</v>
      </c>
      <c r="P1373" s="4">
        <f>IF(COUNTIFS(INDEX(tItens[Edital],1):tItens[[#This Row],[Edital]],tItens[[#This Row],[Edital]],INDEX(tItens[Produto],1):tItens[[#This Row],[Produto]],tItens[[#This Row],[Produto]])=1,1,0)</f>
        <v>0</v>
      </c>
    </row>
    <row r="1374" spans="1:16" x14ac:dyDescent="0.25">
      <c r="A1374" t="s">
        <v>1146</v>
      </c>
      <c r="B1374">
        <v>24</v>
      </c>
      <c r="C1374" t="s">
        <v>4441</v>
      </c>
      <c r="D1374" t="s">
        <v>377</v>
      </c>
      <c r="E1374" s="13">
        <v>2550</v>
      </c>
      <c r="F1374" s="12">
        <v>0</v>
      </c>
      <c r="G1374" t="str">
        <f>IFERROR(INDEX(tEditais[Órgão],MATCH(tItens[[#This Row],[Edital]],tEditais[Edital],0)),"")</f>
        <v>FUNDO MUNICIPAL DE SAUDE DE MINEIROS</v>
      </c>
      <c r="H1374" t="str">
        <f>IFERROR(INDEX(tEditais[UF],MATCH(tItens[[#This Row],[Edital]],tEditais[Edital],0)),"")</f>
        <v>GO</v>
      </c>
      <c r="I1374" s="11">
        <f>IFERROR(INDEX(tEditais[Encerramento],MATCH(tItens[[#This Row],[Edital]],tEditais[Edital],0)),"")</f>
        <v>46308.291666666664</v>
      </c>
      <c r="J1374" t="str">
        <f>IFERROR(INDEX(tProdutos[Classe],MATCH(tItens[[#This Row],[Produto]],tProdutos[Produto],0)),"produto não cadastrado")</f>
        <v>FORA</v>
      </c>
      <c r="K1374" s="12">
        <f>tItens[[#This Row],[Qtd]]*tItens[[#This Row],[Vlr unit]]</f>
        <v>0</v>
      </c>
      <c r="L1374" s="6">
        <f>IFERROR(IF(INDEX(tProdutos[Desconto homologado],MATCH(tItens[[#This Row],[Produto]],tProdutos[Produto],0))="",DescontoPadrao,INDEX(tProdutos[Desconto homologado],MATCH(tItens[[#This Row],[Produto]],tProdutos[Produto],0))),DescontoPadrao)</f>
        <v>0.29186603777106501</v>
      </c>
      <c r="M1374" s="12">
        <f>tItens[[#This Row],[Valor]]*(1-tItens[[#This Row],[Desconto]])</f>
        <v>0</v>
      </c>
      <c r="N1374" t="str">
        <f>IFERROR(INDEX(tProdutos[Foco],MATCH(tItens[[#This Row],[Produto]],tProdutos[Produto],0)),"Não")</f>
        <v>Não</v>
      </c>
      <c r="O1374" t="str">
        <f>IFERROR(INDEX(tEditais[SRP],MATCH(tItens[[#This Row],[Edital]],tEditais[Edital],0)),"Não")</f>
        <v>Não</v>
      </c>
      <c r="P1374" s="4">
        <f>IF(COUNTIFS(INDEX(tItens[Edital],1):tItens[[#This Row],[Edital]],tItens[[#This Row],[Edital]],INDEX(tItens[Produto],1):tItens[[#This Row],[Produto]],tItens[[#This Row],[Produto]])=1,1,0)</f>
        <v>1</v>
      </c>
    </row>
    <row r="1375" spans="1:16" x14ac:dyDescent="0.25">
      <c r="A1375" t="s">
        <v>1146</v>
      </c>
      <c r="B1375">
        <v>25</v>
      </c>
      <c r="C1375" t="s">
        <v>4441</v>
      </c>
      <c r="D1375" t="s">
        <v>377</v>
      </c>
      <c r="E1375" s="13">
        <v>450</v>
      </c>
      <c r="F1375" s="12">
        <v>0</v>
      </c>
      <c r="G1375" t="str">
        <f>IFERROR(INDEX(tEditais[Órgão],MATCH(tItens[[#This Row],[Edital]],tEditais[Edital],0)),"")</f>
        <v>FUNDO MUNICIPAL DE SAUDE DE MINEIROS</v>
      </c>
      <c r="H1375" t="str">
        <f>IFERROR(INDEX(tEditais[UF],MATCH(tItens[[#This Row],[Edital]],tEditais[Edital],0)),"")</f>
        <v>GO</v>
      </c>
      <c r="I1375" s="11">
        <f>IFERROR(INDEX(tEditais[Encerramento],MATCH(tItens[[#This Row],[Edital]],tEditais[Edital],0)),"")</f>
        <v>46308.291666666664</v>
      </c>
      <c r="J1375" t="str">
        <f>IFERROR(INDEX(tProdutos[Classe],MATCH(tItens[[#This Row],[Produto]],tProdutos[Produto],0)),"produto não cadastrado")</f>
        <v>FORA</v>
      </c>
      <c r="K1375" s="12">
        <f>tItens[[#This Row],[Qtd]]*tItens[[#This Row],[Vlr unit]]</f>
        <v>0</v>
      </c>
      <c r="L1375" s="6">
        <f>IFERROR(IF(INDEX(tProdutos[Desconto homologado],MATCH(tItens[[#This Row],[Produto]],tProdutos[Produto],0))="",DescontoPadrao,INDEX(tProdutos[Desconto homologado],MATCH(tItens[[#This Row],[Produto]],tProdutos[Produto],0))),DescontoPadrao)</f>
        <v>0.29186603777106501</v>
      </c>
      <c r="M1375" s="12">
        <f>tItens[[#This Row],[Valor]]*(1-tItens[[#This Row],[Desconto]])</f>
        <v>0</v>
      </c>
      <c r="N1375" t="str">
        <f>IFERROR(INDEX(tProdutos[Foco],MATCH(tItens[[#This Row],[Produto]],tProdutos[Produto],0)),"Não")</f>
        <v>Não</v>
      </c>
      <c r="O1375" t="str">
        <f>IFERROR(INDEX(tEditais[SRP],MATCH(tItens[[#This Row],[Edital]],tEditais[Edital],0)),"Não")</f>
        <v>Não</v>
      </c>
      <c r="P1375" s="4">
        <f>IF(COUNTIFS(INDEX(tItens[Edital],1):tItens[[#This Row],[Edital]],tItens[[#This Row],[Edital]],INDEX(tItens[Produto],1):tItens[[#This Row],[Produto]],tItens[[#This Row],[Produto]])=1,1,0)</f>
        <v>0</v>
      </c>
    </row>
    <row r="1376" spans="1:16" x14ac:dyDescent="0.25">
      <c r="A1376" t="s">
        <v>1146</v>
      </c>
      <c r="B1376">
        <v>26</v>
      </c>
      <c r="C1376" t="s">
        <v>4442</v>
      </c>
      <c r="D1376" t="s">
        <v>377</v>
      </c>
      <c r="E1376" s="13">
        <v>2000</v>
      </c>
      <c r="F1376" s="12">
        <v>0</v>
      </c>
      <c r="G1376" t="str">
        <f>IFERROR(INDEX(tEditais[Órgão],MATCH(tItens[[#This Row],[Edital]],tEditais[Edital],0)),"")</f>
        <v>FUNDO MUNICIPAL DE SAUDE DE MINEIROS</v>
      </c>
      <c r="H1376" t="str">
        <f>IFERROR(INDEX(tEditais[UF],MATCH(tItens[[#This Row],[Edital]],tEditais[Edital],0)),"")</f>
        <v>GO</v>
      </c>
      <c r="I1376" s="11">
        <f>IFERROR(INDEX(tEditais[Encerramento],MATCH(tItens[[#This Row],[Edital]],tEditais[Edital],0)),"")</f>
        <v>46308.291666666664</v>
      </c>
      <c r="J1376" t="str">
        <f>IFERROR(INDEX(tProdutos[Classe],MATCH(tItens[[#This Row],[Produto]],tProdutos[Produto],0)),"produto não cadastrado")</f>
        <v>FORA</v>
      </c>
      <c r="K1376" s="12">
        <f>tItens[[#This Row],[Qtd]]*tItens[[#This Row],[Vlr unit]]</f>
        <v>0</v>
      </c>
      <c r="L1376" s="6">
        <f>IFERROR(IF(INDEX(tProdutos[Desconto homologado],MATCH(tItens[[#This Row],[Produto]],tProdutos[Produto],0))="",DescontoPadrao,INDEX(tProdutos[Desconto homologado],MATCH(tItens[[#This Row],[Produto]],tProdutos[Produto],0))),DescontoPadrao)</f>
        <v>0.29186603777106501</v>
      </c>
      <c r="M1376" s="12">
        <f>tItens[[#This Row],[Valor]]*(1-tItens[[#This Row],[Desconto]])</f>
        <v>0</v>
      </c>
      <c r="N1376" t="str">
        <f>IFERROR(INDEX(tProdutos[Foco],MATCH(tItens[[#This Row],[Produto]],tProdutos[Produto],0)),"Não")</f>
        <v>Não</v>
      </c>
      <c r="O1376" t="str">
        <f>IFERROR(INDEX(tEditais[SRP],MATCH(tItens[[#This Row],[Edital]],tEditais[Edital],0)),"Não")</f>
        <v>Não</v>
      </c>
      <c r="P1376" s="4">
        <f>IF(COUNTIFS(INDEX(tItens[Edital],1):tItens[[#This Row],[Edital]],tItens[[#This Row],[Edital]],INDEX(tItens[Produto],1):tItens[[#This Row],[Produto]],tItens[[#This Row],[Produto]])=1,1,0)</f>
        <v>0</v>
      </c>
    </row>
    <row r="1377" spans="1:16" x14ac:dyDescent="0.25">
      <c r="A1377" t="s">
        <v>1146</v>
      </c>
      <c r="B1377">
        <v>27</v>
      </c>
      <c r="C1377" t="s">
        <v>4443</v>
      </c>
      <c r="D1377" t="s">
        <v>377</v>
      </c>
      <c r="E1377" s="13">
        <v>2549</v>
      </c>
      <c r="F1377" s="12">
        <v>0</v>
      </c>
      <c r="G1377" t="str">
        <f>IFERROR(INDEX(tEditais[Órgão],MATCH(tItens[[#This Row],[Edital]],tEditais[Edital],0)),"")</f>
        <v>FUNDO MUNICIPAL DE SAUDE DE MINEIROS</v>
      </c>
      <c r="H1377" t="str">
        <f>IFERROR(INDEX(tEditais[UF],MATCH(tItens[[#This Row],[Edital]],tEditais[Edital],0)),"")</f>
        <v>GO</v>
      </c>
      <c r="I1377" s="11">
        <f>IFERROR(INDEX(tEditais[Encerramento],MATCH(tItens[[#This Row],[Edital]],tEditais[Edital],0)),"")</f>
        <v>46308.291666666664</v>
      </c>
      <c r="J1377" t="str">
        <f>IFERROR(INDEX(tProdutos[Classe],MATCH(tItens[[#This Row],[Produto]],tProdutos[Produto],0)),"produto não cadastrado")</f>
        <v>FORA</v>
      </c>
      <c r="K1377" s="12">
        <f>tItens[[#This Row],[Qtd]]*tItens[[#This Row],[Vlr unit]]</f>
        <v>0</v>
      </c>
      <c r="L1377" s="6">
        <f>IFERROR(IF(INDEX(tProdutos[Desconto homologado],MATCH(tItens[[#This Row],[Produto]],tProdutos[Produto],0))="",DescontoPadrao,INDEX(tProdutos[Desconto homologado],MATCH(tItens[[#This Row],[Produto]],tProdutos[Produto],0))),DescontoPadrao)</f>
        <v>0.29186603777106501</v>
      </c>
      <c r="M1377" s="12">
        <f>tItens[[#This Row],[Valor]]*(1-tItens[[#This Row],[Desconto]])</f>
        <v>0</v>
      </c>
      <c r="N1377" t="str">
        <f>IFERROR(INDEX(tProdutos[Foco],MATCH(tItens[[#This Row],[Produto]],tProdutos[Produto],0)),"Não")</f>
        <v>Não</v>
      </c>
      <c r="O1377" t="str">
        <f>IFERROR(INDEX(tEditais[SRP],MATCH(tItens[[#This Row],[Edital]],tEditais[Edital],0)),"Não")</f>
        <v>Não</v>
      </c>
      <c r="P1377" s="4">
        <f>IF(COUNTIFS(INDEX(tItens[Edital],1):tItens[[#This Row],[Edital]],tItens[[#This Row],[Edital]],INDEX(tItens[Produto],1):tItens[[#This Row],[Produto]],tItens[[#This Row],[Produto]])=1,1,0)</f>
        <v>0</v>
      </c>
    </row>
    <row r="1378" spans="1:16" x14ac:dyDescent="0.25">
      <c r="A1378" t="s">
        <v>1146</v>
      </c>
      <c r="B1378">
        <v>28</v>
      </c>
      <c r="C1378" t="s">
        <v>4443</v>
      </c>
      <c r="D1378" t="s">
        <v>377</v>
      </c>
      <c r="E1378" s="13">
        <v>451</v>
      </c>
      <c r="F1378" s="12">
        <v>0</v>
      </c>
      <c r="G1378" t="str">
        <f>IFERROR(INDEX(tEditais[Órgão],MATCH(tItens[[#This Row],[Edital]],tEditais[Edital],0)),"")</f>
        <v>FUNDO MUNICIPAL DE SAUDE DE MINEIROS</v>
      </c>
      <c r="H1378" t="str">
        <f>IFERROR(INDEX(tEditais[UF],MATCH(tItens[[#This Row],[Edital]],tEditais[Edital],0)),"")</f>
        <v>GO</v>
      </c>
      <c r="I1378" s="11">
        <f>IFERROR(INDEX(tEditais[Encerramento],MATCH(tItens[[#This Row],[Edital]],tEditais[Edital],0)),"")</f>
        <v>46308.291666666664</v>
      </c>
      <c r="J1378" t="str">
        <f>IFERROR(INDEX(tProdutos[Classe],MATCH(tItens[[#This Row],[Produto]],tProdutos[Produto],0)),"produto não cadastrado")</f>
        <v>FORA</v>
      </c>
      <c r="K1378" s="12">
        <f>tItens[[#This Row],[Qtd]]*tItens[[#This Row],[Vlr unit]]</f>
        <v>0</v>
      </c>
      <c r="L1378" s="6">
        <f>IFERROR(IF(INDEX(tProdutos[Desconto homologado],MATCH(tItens[[#This Row],[Produto]],tProdutos[Produto],0))="",DescontoPadrao,INDEX(tProdutos[Desconto homologado],MATCH(tItens[[#This Row],[Produto]],tProdutos[Produto],0))),DescontoPadrao)</f>
        <v>0.29186603777106501</v>
      </c>
      <c r="M1378" s="12">
        <f>tItens[[#This Row],[Valor]]*(1-tItens[[#This Row],[Desconto]])</f>
        <v>0</v>
      </c>
      <c r="N1378" t="str">
        <f>IFERROR(INDEX(tProdutos[Foco],MATCH(tItens[[#This Row],[Produto]],tProdutos[Produto],0)),"Não")</f>
        <v>Não</v>
      </c>
      <c r="O1378" t="str">
        <f>IFERROR(INDEX(tEditais[SRP],MATCH(tItens[[#This Row],[Edital]],tEditais[Edital],0)),"Não")</f>
        <v>Não</v>
      </c>
      <c r="P1378" s="4">
        <f>IF(COUNTIFS(INDEX(tItens[Edital],1):tItens[[#This Row],[Edital]],tItens[[#This Row],[Edital]],INDEX(tItens[Produto],1):tItens[[#This Row],[Produto]],tItens[[#This Row],[Produto]])=1,1,0)</f>
        <v>0</v>
      </c>
    </row>
    <row r="1379" spans="1:16" x14ac:dyDescent="0.25">
      <c r="A1379" t="s">
        <v>1146</v>
      </c>
      <c r="B1379">
        <v>29</v>
      </c>
      <c r="C1379" t="s">
        <v>4444</v>
      </c>
      <c r="D1379" t="s">
        <v>377</v>
      </c>
      <c r="E1379" s="13">
        <v>1500</v>
      </c>
      <c r="F1379" s="12">
        <v>0</v>
      </c>
      <c r="G1379" t="str">
        <f>IFERROR(INDEX(tEditais[Órgão],MATCH(tItens[[#This Row],[Edital]],tEditais[Edital],0)),"")</f>
        <v>FUNDO MUNICIPAL DE SAUDE DE MINEIROS</v>
      </c>
      <c r="H1379" t="str">
        <f>IFERROR(INDEX(tEditais[UF],MATCH(tItens[[#This Row],[Edital]],tEditais[Edital],0)),"")</f>
        <v>GO</v>
      </c>
      <c r="I1379" s="11">
        <f>IFERROR(INDEX(tEditais[Encerramento],MATCH(tItens[[#This Row],[Edital]],tEditais[Edital],0)),"")</f>
        <v>46308.291666666664</v>
      </c>
      <c r="J1379" t="str">
        <f>IFERROR(INDEX(tProdutos[Classe],MATCH(tItens[[#This Row],[Produto]],tProdutos[Produto],0)),"produto não cadastrado")</f>
        <v>FORA</v>
      </c>
      <c r="K1379" s="12">
        <f>tItens[[#This Row],[Qtd]]*tItens[[#This Row],[Vlr unit]]</f>
        <v>0</v>
      </c>
      <c r="L1379" s="6">
        <f>IFERROR(IF(INDEX(tProdutos[Desconto homologado],MATCH(tItens[[#This Row],[Produto]],tProdutos[Produto],0))="",DescontoPadrao,INDEX(tProdutos[Desconto homologado],MATCH(tItens[[#This Row],[Produto]],tProdutos[Produto],0))),DescontoPadrao)</f>
        <v>0.29186603777106501</v>
      </c>
      <c r="M1379" s="12">
        <f>tItens[[#This Row],[Valor]]*(1-tItens[[#This Row],[Desconto]])</f>
        <v>0</v>
      </c>
      <c r="N1379" t="str">
        <f>IFERROR(INDEX(tProdutos[Foco],MATCH(tItens[[#This Row],[Produto]],tProdutos[Produto],0)),"Não")</f>
        <v>Não</v>
      </c>
      <c r="O1379" t="str">
        <f>IFERROR(INDEX(tEditais[SRP],MATCH(tItens[[#This Row],[Edital]],tEditais[Edital],0)),"Não")</f>
        <v>Não</v>
      </c>
      <c r="P1379" s="4">
        <f>IF(COUNTIFS(INDEX(tItens[Edital],1):tItens[[#This Row],[Edital]],tItens[[#This Row],[Edital]],INDEX(tItens[Produto],1):tItens[[#This Row],[Produto]],tItens[[#This Row],[Produto]])=1,1,0)</f>
        <v>0</v>
      </c>
    </row>
    <row r="1380" spans="1:16" x14ac:dyDescent="0.25">
      <c r="A1380" t="s">
        <v>1146</v>
      </c>
      <c r="B1380">
        <v>31</v>
      </c>
      <c r="C1380" t="s">
        <v>4445</v>
      </c>
      <c r="D1380" t="s">
        <v>385</v>
      </c>
      <c r="E1380" s="13">
        <v>8500</v>
      </c>
      <c r="F1380" s="12">
        <v>0</v>
      </c>
      <c r="G1380" t="str">
        <f>IFERROR(INDEX(tEditais[Órgão],MATCH(tItens[[#This Row],[Edital]],tEditais[Edital],0)),"")</f>
        <v>FUNDO MUNICIPAL DE SAUDE DE MINEIROS</v>
      </c>
      <c r="H1380" t="str">
        <f>IFERROR(INDEX(tEditais[UF],MATCH(tItens[[#This Row],[Edital]],tEditais[Edital],0)),"")</f>
        <v>GO</v>
      </c>
      <c r="I1380" s="11">
        <f>IFERROR(INDEX(tEditais[Encerramento],MATCH(tItens[[#This Row],[Edital]],tEditais[Edital],0)),"")</f>
        <v>46308.291666666664</v>
      </c>
      <c r="J1380" t="str">
        <f>IFERROR(INDEX(tProdutos[Classe],MATCH(tItens[[#This Row],[Produto]],tProdutos[Produto],0)),"produto não cadastrado")</f>
        <v>FORA</v>
      </c>
      <c r="K1380" s="12">
        <f>tItens[[#This Row],[Qtd]]*tItens[[#This Row],[Vlr unit]]</f>
        <v>0</v>
      </c>
      <c r="L1380" s="6">
        <f>IFERROR(IF(INDEX(tProdutos[Desconto homologado],MATCH(tItens[[#This Row],[Produto]],tProdutos[Produto],0))="",DescontoPadrao,INDEX(tProdutos[Desconto homologado],MATCH(tItens[[#This Row],[Produto]],tProdutos[Produto],0))),DescontoPadrao)</f>
        <v>0.46969696969697</v>
      </c>
      <c r="M1380" s="12">
        <f>tItens[[#This Row],[Valor]]*(1-tItens[[#This Row],[Desconto]])</f>
        <v>0</v>
      </c>
      <c r="N1380" t="str">
        <f>IFERROR(INDEX(tProdutos[Foco],MATCH(tItens[[#This Row],[Produto]],tProdutos[Produto],0)),"Não")</f>
        <v>Não</v>
      </c>
      <c r="O1380" t="str">
        <f>IFERROR(INDEX(tEditais[SRP],MATCH(tItens[[#This Row],[Edital]],tEditais[Edital],0)),"Não")</f>
        <v>Não</v>
      </c>
      <c r="P1380" s="4">
        <f>IF(COUNTIFS(INDEX(tItens[Edital],1):tItens[[#This Row],[Edital]],tItens[[#This Row],[Edital]],INDEX(tItens[Produto],1):tItens[[#This Row],[Produto]],tItens[[#This Row],[Produto]])=1,1,0)</f>
        <v>1</v>
      </c>
    </row>
    <row r="1381" spans="1:16" x14ac:dyDescent="0.25">
      <c r="A1381" t="s">
        <v>1146</v>
      </c>
      <c r="B1381">
        <v>32</v>
      </c>
      <c r="C1381" t="s">
        <v>4445</v>
      </c>
      <c r="D1381" t="s">
        <v>385</v>
      </c>
      <c r="E1381" s="13">
        <v>1500</v>
      </c>
      <c r="F1381" s="12">
        <v>0</v>
      </c>
      <c r="G1381" t="str">
        <f>IFERROR(INDEX(tEditais[Órgão],MATCH(tItens[[#This Row],[Edital]],tEditais[Edital],0)),"")</f>
        <v>FUNDO MUNICIPAL DE SAUDE DE MINEIROS</v>
      </c>
      <c r="H1381" t="str">
        <f>IFERROR(INDEX(tEditais[UF],MATCH(tItens[[#This Row],[Edital]],tEditais[Edital],0)),"")</f>
        <v>GO</v>
      </c>
      <c r="I1381" s="11">
        <f>IFERROR(INDEX(tEditais[Encerramento],MATCH(tItens[[#This Row],[Edital]],tEditais[Edital],0)),"")</f>
        <v>46308.291666666664</v>
      </c>
      <c r="J1381" t="str">
        <f>IFERROR(INDEX(tProdutos[Classe],MATCH(tItens[[#This Row],[Produto]],tProdutos[Produto],0)),"produto não cadastrado")</f>
        <v>FORA</v>
      </c>
      <c r="K1381" s="12">
        <f>tItens[[#This Row],[Qtd]]*tItens[[#This Row],[Vlr unit]]</f>
        <v>0</v>
      </c>
      <c r="L1381" s="6">
        <f>IFERROR(IF(INDEX(tProdutos[Desconto homologado],MATCH(tItens[[#This Row],[Produto]],tProdutos[Produto],0))="",DescontoPadrao,INDEX(tProdutos[Desconto homologado],MATCH(tItens[[#This Row],[Produto]],tProdutos[Produto],0))),DescontoPadrao)</f>
        <v>0.46969696969697</v>
      </c>
      <c r="M1381" s="12">
        <f>tItens[[#This Row],[Valor]]*(1-tItens[[#This Row],[Desconto]])</f>
        <v>0</v>
      </c>
      <c r="N1381" t="str">
        <f>IFERROR(INDEX(tProdutos[Foco],MATCH(tItens[[#This Row],[Produto]],tProdutos[Produto],0)),"Não")</f>
        <v>Não</v>
      </c>
      <c r="O1381" t="str">
        <f>IFERROR(INDEX(tEditais[SRP],MATCH(tItens[[#This Row],[Edital]],tEditais[Edital],0)),"Não")</f>
        <v>Não</v>
      </c>
      <c r="P1381" s="4">
        <f>IF(COUNTIFS(INDEX(tItens[Edital],1):tItens[[#This Row],[Edital]],tItens[[#This Row],[Edital]],INDEX(tItens[Produto],1):tItens[[#This Row],[Produto]],tItens[[#This Row],[Produto]])=1,1,0)</f>
        <v>0</v>
      </c>
    </row>
    <row r="1382" spans="1:16" x14ac:dyDescent="0.25">
      <c r="A1382" t="s">
        <v>1146</v>
      </c>
      <c r="B1382">
        <v>33</v>
      </c>
      <c r="C1382" t="s">
        <v>4446</v>
      </c>
      <c r="D1382" t="s">
        <v>403</v>
      </c>
      <c r="E1382" s="13">
        <v>8500</v>
      </c>
      <c r="F1382" s="12">
        <v>0</v>
      </c>
      <c r="G1382" t="str">
        <f>IFERROR(INDEX(tEditais[Órgão],MATCH(tItens[[#This Row],[Edital]],tEditais[Edital],0)),"")</f>
        <v>FUNDO MUNICIPAL DE SAUDE DE MINEIROS</v>
      </c>
      <c r="H1382" t="str">
        <f>IFERROR(INDEX(tEditais[UF],MATCH(tItens[[#This Row],[Edital]],tEditais[Edital],0)),"")</f>
        <v>GO</v>
      </c>
      <c r="I1382" s="11">
        <f>IFERROR(INDEX(tEditais[Encerramento],MATCH(tItens[[#This Row],[Edital]],tEditais[Edital],0)),"")</f>
        <v>46308.291666666664</v>
      </c>
      <c r="J1382" t="str">
        <f>IFERROR(INDEX(tProdutos[Classe],MATCH(tItens[[#This Row],[Produto]],tProdutos[Produto],0)),"produto não cadastrado")</f>
        <v>FORA</v>
      </c>
      <c r="K1382" s="12">
        <f>tItens[[#This Row],[Qtd]]*tItens[[#This Row],[Vlr unit]]</f>
        <v>0</v>
      </c>
      <c r="L1382" s="6">
        <f>IFERROR(IF(INDEX(tProdutos[Desconto homologado],MATCH(tItens[[#This Row],[Produto]],tProdutos[Produto],0))="",DescontoPadrao,INDEX(tProdutos[Desconto homologado],MATCH(tItens[[#This Row],[Produto]],tProdutos[Produto],0))),DescontoPadrao)</f>
        <v>0.35326086956521702</v>
      </c>
      <c r="M1382" s="12">
        <f>tItens[[#This Row],[Valor]]*(1-tItens[[#This Row],[Desconto]])</f>
        <v>0</v>
      </c>
      <c r="N1382" t="str">
        <f>IFERROR(INDEX(tProdutos[Foco],MATCH(tItens[[#This Row],[Produto]],tProdutos[Produto],0)),"Não")</f>
        <v>Não</v>
      </c>
      <c r="O1382" t="str">
        <f>IFERROR(INDEX(tEditais[SRP],MATCH(tItens[[#This Row],[Edital]],tEditais[Edital],0)),"Não")</f>
        <v>Não</v>
      </c>
      <c r="P1382" s="4">
        <f>IF(COUNTIFS(INDEX(tItens[Edital],1):tItens[[#This Row],[Edital]],tItens[[#This Row],[Edital]],INDEX(tItens[Produto],1):tItens[[#This Row],[Produto]],tItens[[#This Row],[Produto]])=1,1,0)</f>
        <v>1</v>
      </c>
    </row>
    <row r="1383" spans="1:16" x14ac:dyDescent="0.25">
      <c r="A1383" t="s">
        <v>1146</v>
      </c>
      <c r="B1383">
        <v>35</v>
      </c>
      <c r="C1383" t="s">
        <v>4447</v>
      </c>
      <c r="D1383" t="s">
        <v>327</v>
      </c>
      <c r="E1383" s="13">
        <v>1000</v>
      </c>
      <c r="F1383" s="12">
        <v>0</v>
      </c>
      <c r="G1383" t="str">
        <f>IFERROR(INDEX(tEditais[Órgão],MATCH(tItens[[#This Row],[Edital]],tEditais[Edital],0)),"")</f>
        <v>FUNDO MUNICIPAL DE SAUDE DE MINEIROS</v>
      </c>
      <c r="H1383" t="str">
        <f>IFERROR(INDEX(tEditais[UF],MATCH(tItens[[#This Row],[Edital]],tEditais[Edital],0)),"")</f>
        <v>GO</v>
      </c>
      <c r="I1383" s="11">
        <f>IFERROR(INDEX(tEditais[Encerramento],MATCH(tItens[[#This Row],[Edital]],tEditais[Edital],0)),"")</f>
        <v>46308.291666666664</v>
      </c>
      <c r="J1383" t="str">
        <f>IFERROR(INDEX(tProdutos[Classe],MATCH(tItens[[#This Row],[Produto]],tProdutos[Produto],0)),"produto não cadastrado")</f>
        <v>FORA</v>
      </c>
      <c r="K1383" s="12">
        <f>tItens[[#This Row],[Qtd]]*tItens[[#This Row],[Vlr unit]]</f>
        <v>0</v>
      </c>
      <c r="L1383" s="6">
        <f>IFERROR(IF(INDEX(tProdutos[Desconto homologado],MATCH(tItens[[#This Row],[Produto]],tProdutos[Produto],0))="",DescontoPadrao,INDEX(tProdutos[Desconto homologado],MATCH(tItens[[#This Row],[Produto]],tProdutos[Produto],0))),DescontoPadrao)</f>
        <v>0.49969483918783197</v>
      </c>
      <c r="M1383" s="12">
        <f>tItens[[#This Row],[Valor]]*(1-tItens[[#This Row],[Desconto]])</f>
        <v>0</v>
      </c>
      <c r="N1383" t="str">
        <f>IFERROR(INDEX(tProdutos[Foco],MATCH(tItens[[#This Row],[Produto]],tProdutos[Produto],0)),"Não")</f>
        <v>Não</v>
      </c>
      <c r="O1383" t="str">
        <f>IFERROR(INDEX(tEditais[SRP],MATCH(tItens[[#This Row],[Edital]],tEditais[Edital],0)),"Não")</f>
        <v>Não</v>
      </c>
      <c r="P1383" s="4">
        <f>IF(COUNTIFS(INDEX(tItens[Edital],1):tItens[[#This Row],[Edital]],tItens[[#This Row],[Edital]],INDEX(tItens[Produto],1):tItens[[#This Row],[Produto]],tItens[[#This Row],[Produto]])=1,1,0)</f>
        <v>1</v>
      </c>
    </row>
    <row r="1384" spans="1:16" x14ac:dyDescent="0.25">
      <c r="A1384" t="s">
        <v>1146</v>
      </c>
      <c r="B1384">
        <v>36</v>
      </c>
      <c r="C1384" t="s">
        <v>4448</v>
      </c>
      <c r="D1384" t="s">
        <v>479</v>
      </c>
      <c r="E1384" s="13">
        <v>250</v>
      </c>
      <c r="F1384" s="12">
        <v>0</v>
      </c>
      <c r="G1384" t="str">
        <f>IFERROR(INDEX(tEditais[Órgão],MATCH(tItens[[#This Row],[Edital]],tEditais[Edital],0)),"")</f>
        <v>FUNDO MUNICIPAL DE SAUDE DE MINEIROS</v>
      </c>
      <c r="H1384" t="str">
        <f>IFERROR(INDEX(tEditais[UF],MATCH(tItens[[#This Row],[Edital]],tEditais[Edital],0)),"")</f>
        <v>GO</v>
      </c>
      <c r="I1384" s="11">
        <f>IFERROR(INDEX(tEditais[Encerramento],MATCH(tItens[[#This Row],[Edital]],tEditais[Edital],0)),"")</f>
        <v>46308.291666666664</v>
      </c>
      <c r="J1384" t="str">
        <f>IFERROR(INDEX(tProdutos[Classe],MATCH(tItens[[#This Row],[Produto]],tProdutos[Produto],0)),"produto não cadastrado")</f>
        <v>FILA REBASE</v>
      </c>
      <c r="K1384" s="12">
        <f>tItens[[#This Row],[Qtd]]*tItens[[#This Row],[Vlr unit]]</f>
        <v>0</v>
      </c>
      <c r="L1384" s="6">
        <f>IFERROR(IF(INDEX(tProdutos[Desconto homologado],MATCH(tItens[[#This Row],[Produto]],tProdutos[Produto],0))="",DescontoPadrao,INDEX(tProdutos[Desconto homologado],MATCH(tItens[[#This Row],[Produto]],tProdutos[Produto],0))),DescontoPadrao)</f>
        <v>0.41266209000762799</v>
      </c>
      <c r="M1384" s="12">
        <f>tItens[[#This Row],[Valor]]*(1-tItens[[#This Row],[Desconto]])</f>
        <v>0</v>
      </c>
      <c r="N1384" t="str">
        <f>IFERROR(INDEX(tProdutos[Foco],MATCH(tItens[[#This Row],[Produto]],tProdutos[Produto],0)),"Não")</f>
        <v>Não</v>
      </c>
      <c r="O1384" t="str">
        <f>IFERROR(INDEX(tEditais[SRP],MATCH(tItens[[#This Row],[Edital]],tEditais[Edital],0)),"Não")</f>
        <v>Não</v>
      </c>
      <c r="P1384" s="4">
        <f>IF(COUNTIFS(INDEX(tItens[Edital],1):tItens[[#This Row],[Edital]],tItens[[#This Row],[Edital]],INDEX(tItens[Produto],1):tItens[[#This Row],[Produto]],tItens[[#This Row],[Produto]])=1,1,0)</f>
        <v>1</v>
      </c>
    </row>
    <row r="1385" spans="1:16" x14ac:dyDescent="0.25">
      <c r="A1385" t="s">
        <v>1146</v>
      </c>
      <c r="B1385">
        <v>49</v>
      </c>
      <c r="C1385" t="s">
        <v>4449</v>
      </c>
      <c r="D1385" t="s">
        <v>315</v>
      </c>
      <c r="E1385" s="13">
        <v>700</v>
      </c>
      <c r="F1385" s="12">
        <v>0</v>
      </c>
      <c r="G1385" t="str">
        <f>IFERROR(INDEX(tEditais[Órgão],MATCH(tItens[[#This Row],[Edital]],tEditais[Edital],0)),"")</f>
        <v>FUNDO MUNICIPAL DE SAUDE DE MINEIROS</v>
      </c>
      <c r="H1385" t="str">
        <f>IFERROR(INDEX(tEditais[UF],MATCH(tItens[[#This Row],[Edital]],tEditais[Edital],0)),"")</f>
        <v>GO</v>
      </c>
      <c r="I1385" s="11">
        <f>IFERROR(INDEX(tEditais[Encerramento],MATCH(tItens[[#This Row],[Edital]],tEditais[Edital],0)),"")</f>
        <v>46308.291666666664</v>
      </c>
      <c r="J1385" t="str">
        <f>IFERROR(INDEX(tProdutos[Classe],MATCH(tItens[[#This Row],[Produto]],tProdutos[Produto],0)),"produto não cadastrado")</f>
        <v>FORA</v>
      </c>
      <c r="K1385" s="12">
        <f>tItens[[#This Row],[Qtd]]*tItens[[#This Row],[Vlr unit]]</f>
        <v>0</v>
      </c>
      <c r="L1385" s="6">
        <f>IFERROR(IF(INDEX(tProdutos[Desconto homologado],MATCH(tItens[[#This Row],[Produto]],tProdutos[Produto],0))="",DescontoPadrao,INDEX(tProdutos[Desconto homologado],MATCH(tItens[[#This Row],[Produto]],tProdutos[Produto],0))),DescontoPadrao)</f>
        <v>0.38432036097010702</v>
      </c>
      <c r="M1385" s="12">
        <f>tItens[[#This Row],[Valor]]*(1-tItens[[#This Row],[Desconto]])</f>
        <v>0</v>
      </c>
      <c r="N1385" t="str">
        <f>IFERROR(INDEX(tProdutos[Foco],MATCH(tItens[[#This Row],[Produto]],tProdutos[Produto],0)),"Não")</f>
        <v>Não</v>
      </c>
      <c r="O1385" t="str">
        <f>IFERROR(INDEX(tEditais[SRP],MATCH(tItens[[#This Row],[Edital]],tEditais[Edital],0)),"Não")</f>
        <v>Não</v>
      </c>
      <c r="P1385" s="4">
        <f>IF(COUNTIFS(INDEX(tItens[Edital],1):tItens[[#This Row],[Edital]],tItens[[#This Row],[Edital]],INDEX(tItens[Produto],1):tItens[[#This Row],[Produto]],tItens[[#This Row],[Produto]])=1,1,0)</f>
        <v>1</v>
      </c>
    </row>
    <row r="1386" spans="1:16" x14ac:dyDescent="0.25">
      <c r="A1386" t="s">
        <v>1146</v>
      </c>
      <c r="B1386">
        <v>50</v>
      </c>
      <c r="C1386" t="s">
        <v>4450</v>
      </c>
      <c r="D1386" t="s">
        <v>315</v>
      </c>
      <c r="E1386" s="13">
        <v>1400</v>
      </c>
      <c r="F1386" s="12">
        <v>0</v>
      </c>
      <c r="G1386" t="str">
        <f>IFERROR(INDEX(tEditais[Órgão],MATCH(tItens[[#This Row],[Edital]],tEditais[Edital],0)),"")</f>
        <v>FUNDO MUNICIPAL DE SAUDE DE MINEIROS</v>
      </c>
      <c r="H1386" t="str">
        <f>IFERROR(INDEX(tEditais[UF],MATCH(tItens[[#This Row],[Edital]],tEditais[Edital],0)),"")</f>
        <v>GO</v>
      </c>
      <c r="I1386" s="11">
        <f>IFERROR(INDEX(tEditais[Encerramento],MATCH(tItens[[#This Row],[Edital]],tEditais[Edital],0)),"")</f>
        <v>46308.291666666664</v>
      </c>
      <c r="J1386" t="str">
        <f>IFERROR(INDEX(tProdutos[Classe],MATCH(tItens[[#This Row],[Produto]],tProdutos[Produto],0)),"produto não cadastrado")</f>
        <v>FORA</v>
      </c>
      <c r="K1386" s="12">
        <f>tItens[[#This Row],[Qtd]]*tItens[[#This Row],[Vlr unit]]</f>
        <v>0</v>
      </c>
      <c r="L1386" s="6">
        <f>IFERROR(IF(INDEX(tProdutos[Desconto homologado],MATCH(tItens[[#This Row],[Produto]],tProdutos[Produto],0))="",DescontoPadrao,INDEX(tProdutos[Desconto homologado],MATCH(tItens[[#This Row],[Produto]],tProdutos[Produto],0))),DescontoPadrao)</f>
        <v>0.38432036097010702</v>
      </c>
      <c r="M1386" s="12">
        <f>tItens[[#This Row],[Valor]]*(1-tItens[[#This Row],[Desconto]])</f>
        <v>0</v>
      </c>
      <c r="N1386" t="str">
        <f>IFERROR(INDEX(tProdutos[Foco],MATCH(tItens[[#This Row],[Produto]],tProdutos[Produto],0)),"Não")</f>
        <v>Não</v>
      </c>
      <c r="O1386" t="str">
        <f>IFERROR(INDEX(tEditais[SRP],MATCH(tItens[[#This Row],[Edital]],tEditais[Edital],0)),"Não")</f>
        <v>Não</v>
      </c>
      <c r="P1386" s="4">
        <f>IF(COUNTIFS(INDEX(tItens[Edital],1):tItens[[#This Row],[Edital]],tItens[[#This Row],[Edital]],INDEX(tItens[Produto],1):tItens[[#This Row],[Produto]],tItens[[#This Row],[Produto]])=1,1,0)</f>
        <v>0</v>
      </c>
    </row>
    <row r="1387" spans="1:16" x14ac:dyDescent="0.25">
      <c r="A1387" t="s">
        <v>1146</v>
      </c>
      <c r="B1387">
        <v>51</v>
      </c>
      <c r="C1387" t="s">
        <v>4451</v>
      </c>
      <c r="D1387" t="s">
        <v>315</v>
      </c>
      <c r="E1387" s="13">
        <v>2500</v>
      </c>
      <c r="F1387" s="12">
        <v>0</v>
      </c>
      <c r="G1387" t="str">
        <f>IFERROR(INDEX(tEditais[Órgão],MATCH(tItens[[#This Row],[Edital]],tEditais[Edital],0)),"")</f>
        <v>FUNDO MUNICIPAL DE SAUDE DE MINEIROS</v>
      </c>
      <c r="H1387" t="str">
        <f>IFERROR(INDEX(tEditais[UF],MATCH(tItens[[#This Row],[Edital]],tEditais[Edital],0)),"")</f>
        <v>GO</v>
      </c>
      <c r="I1387" s="11">
        <f>IFERROR(INDEX(tEditais[Encerramento],MATCH(tItens[[#This Row],[Edital]],tEditais[Edital],0)),"")</f>
        <v>46308.291666666664</v>
      </c>
      <c r="J1387" t="str">
        <f>IFERROR(INDEX(tProdutos[Classe],MATCH(tItens[[#This Row],[Produto]],tProdutos[Produto],0)),"produto não cadastrado")</f>
        <v>FORA</v>
      </c>
      <c r="K1387" s="12">
        <f>tItens[[#This Row],[Qtd]]*tItens[[#This Row],[Vlr unit]]</f>
        <v>0</v>
      </c>
      <c r="L1387" s="6">
        <f>IFERROR(IF(INDEX(tProdutos[Desconto homologado],MATCH(tItens[[#This Row],[Produto]],tProdutos[Produto],0))="",DescontoPadrao,INDEX(tProdutos[Desconto homologado],MATCH(tItens[[#This Row],[Produto]],tProdutos[Produto],0))),DescontoPadrao)</f>
        <v>0.38432036097010702</v>
      </c>
      <c r="M1387" s="12">
        <f>tItens[[#This Row],[Valor]]*(1-tItens[[#This Row],[Desconto]])</f>
        <v>0</v>
      </c>
      <c r="N1387" t="str">
        <f>IFERROR(INDEX(tProdutos[Foco],MATCH(tItens[[#This Row],[Produto]],tProdutos[Produto],0)),"Não")</f>
        <v>Não</v>
      </c>
      <c r="O1387" t="str">
        <f>IFERROR(INDEX(tEditais[SRP],MATCH(tItens[[#This Row],[Edital]],tEditais[Edital],0)),"Não")</f>
        <v>Não</v>
      </c>
      <c r="P1387" s="4">
        <f>IF(COUNTIFS(INDEX(tItens[Edital],1):tItens[[#This Row],[Edital]],tItens[[#This Row],[Edital]],INDEX(tItens[Produto],1):tItens[[#This Row],[Produto]],tItens[[#This Row],[Produto]])=1,1,0)</f>
        <v>0</v>
      </c>
    </row>
    <row r="1388" spans="1:16" x14ac:dyDescent="0.25">
      <c r="A1388" t="s">
        <v>1146</v>
      </c>
      <c r="B1388">
        <v>52</v>
      </c>
      <c r="C1388" t="s">
        <v>4452</v>
      </c>
      <c r="D1388" t="s">
        <v>297</v>
      </c>
      <c r="E1388" s="13">
        <v>1000</v>
      </c>
      <c r="F1388" s="12">
        <v>0</v>
      </c>
      <c r="G1388" t="str">
        <f>IFERROR(INDEX(tEditais[Órgão],MATCH(tItens[[#This Row],[Edital]],tEditais[Edital],0)),"")</f>
        <v>FUNDO MUNICIPAL DE SAUDE DE MINEIROS</v>
      </c>
      <c r="H1388" t="str">
        <f>IFERROR(INDEX(tEditais[UF],MATCH(tItens[[#This Row],[Edital]],tEditais[Edital],0)),"")</f>
        <v>GO</v>
      </c>
      <c r="I1388" s="11">
        <f>IFERROR(INDEX(tEditais[Encerramento],MATCH(tItens[[#This Row],[Edital]],tEditais[Edital],0)),"")</f>
        <v>46308.291666666664</v>
      </c>
      <c r="J1388" t="str">
        <f>IFERROR(INDEX(tProdutos[Classe],MATCH(tItens[[#This Row],[Produto]],tProdutos[Produto],0)),"produto não cadastrado")</f>
        <v>FORA</v>
      </c>
      <c r="K1388" s="12">
        <f>tItens[[#This Row],[Qtd]]*tItens[[#This Row],[Vlr unit]]</f>
        <v>0</v>
      </c>
      <c r="L1388" s="6">
        <f>IFERROR(IF(INDEX(tProdutos[Desconto homologado],MATCH(tItens[[#This Row],[Produto]],tProdutos[Produto],0))="",DescontoPadrao,INDEX(tProdutos[Desconto homologado],MATCH(tItens[[#This Row],[Produto]],tProdutos[Produto],0))),DescontoPadrao)</f>
        <v>0.249544626593807</v>
      </c>
      <c r="M1388" s="12">
        <f>tItens[[#This Row],[Valor]]*(1-tItens[[#This Row],[Desconto]])</f>
        <v>0</v>
      </c>
      <c r="N1388" t="str">
        <f>IFERROR(INDEX(tProdutos[Foco],MATCH(tItens[[#This Row],[Produto]],tProdutos[Produto],0)),"Não")</f>
        <v>Não</v>
      </c>
      <c r="O1388" t="str">
        <f>IFERROR(INDEX(tEditais[SRP],MATCH(tItens[[#This Row],[Edital]],tEditais[Edital],0)),"Não")</f>
        <v>Não</v>
      </c>
      <c r="P1388" s="4">
        <f>IF(COUNTIFS(INDEX(tItens[Edital],1):tItens[[#This Row],[Edital]],tItens[[#This Row],[Edital]],INDEX(tItens[Produto],1):tItens[[#This Row],[Produto]],tItens[[#This Row],[Produto]])=1,1,0)</f>
        <v>1</v>
      </c>
    </row>
    <row r="1389" spans="1:16" x14ac:dyDescent="0.25">
      <c r="A1389" t="s">
        <v>1146</v>
      </c>
      <c r="B1389">
        <v>53</v>
      </c>
      <c r="C1389" t="s">
        <v>4453</v>
      </c>
      <c r="D1389" t="s">
        <v>363</v>
      </c>
      <c r="E1389" s="13">
        <v>20</v>
      </c>
      <c r="F1389" s="12">
        <v>0</v>
      </c>
      <c r="G1389" t="str">
        <f>IFERROR(INDEX(tEditais[Órgão],MATCH(tItens[[#This Row],[Edital]],tEditais[Edital],0)),"")</f>
        <v>FUNDO MUNICIPAL DE SAUDE DE MINEIROS</v>
      </c>
      <c r="H1389" t="str">
        <f>IFERROR(INDEX(tEditais[UF],MATCH(tItens[[#This Row],[Edital]],tEditais[Edital],0)),"")</f>
        <v>GO</v>
      </c>
      <c r="I1389" s="11">
        <f>IFERROR(INDEX(tEditais[Encerramento],MATCH(tItens[[#This Row],[Edital]],tEditais[Edital],0)),"")</f>
        <v>46308.291666666664</v>
      </c>
      <c r="J1389" t="str">
        <f>IFERROR(INDEX(tProdutos[Classe],MATCH(tItens[[#This Row],[Produto]],tProdutos[Produto],0)),"produto não cadastrado")</f>
        <v>FORA</v>
      </c>
      <c r="K1389" s="12">
        <f>tItens[[#This Row],[Qtd]]*tItens[[#This Row],[Vlr unit]]</f>
        <v>0</v>
      </c>
      <c r="L1389" s="6">
        <f>IFERROR(IF(INDEX(tProdutos[Desconto homologado],MATCH(tItens[[#This Row],[Produto]],tProdutos[Produto],0))="",DescontoPadrao,INDEX(tProdutos[Desconto homologado],MATCH(tItens[[#This Row],[Produto]],tProdutos[Produto],0))),DescontoPadrao)</f>
        <v>0.36454545454545501</v>
      </c>
      <c r="M1389" s="12">
        <f>tItens[[#This Row],[Valor]]*(1-tItens[[#This Row],[Desconto]])</f>
        <v>0</v>
      </c>
      <c r="N1389" t="str">
        <f>IFERROR(INDEX(tProdutos[Foco],MATCH(tItens[[#This Row],[Produto]],tProdutos[Produto],0)),"Não")</f>
        <v>Não</v>
      </c>
      <c r="O1389" t="str">
        <f>IFERROR(INDEX(tEditais[SRP],MATCH(tItens[[#This Row],[Edital]],tEditais[Edital],0)),"Não")</f>
        <v>Não</v>
      </c>
      <c r="P1389" s="4">
        <f>IF(COUNTIFS(INDEX(tItens[Edital],1):tItens[[#This Row],[Edital]],tItens[[#This Row],[Edital]],INDEX(tItens[Produto],1):tItens[[#This Row],[Produto]],tItens[[#This Row],[Produto]])=1,1,0)</f>
        <v>1</v>
      </c>
    </row>
    <row r="1390" spans="1:16" x14ac:dyDescent="0.25">
      <c r="A1390" t="s">
        <v>1146</v>
      </c>
      <c r="B1390">
        <v>54</v>
      </c>
      <c r="C1390" t="s">
        <v>4454</v>
      </c>
      <c r="D1390" t="s">
        <v>319</v>
      </c>
      <c r="E1390" s="13">
        <v>3700</v>
      </c>
      <c r="F1390" s="12">
        <v>0</v>
      </c>
      <c r="G1390" t="str">
        <f>IFERROR(INDEX(tEditais[Órgão],MATCH(tItens[[#This Row],[Edital]],tEditais[Edital],0)),"")</f>
        <v>FUNDO MUNICIPAL DE SAUDE DE MINEIROS</v>
      </c>
      <c r="H1390" t="str">
        <f>IFERROR(INDEX(tEditais[UF],MATCH(tItens[[#This Row],[Edital]],tEditais[Edital],0)),"")</f>
        <v>GO</v>
      </c>
      <c r="I1390" s="11">
        <f>IFERROR(INDEX(tEditais[Encerramento],MATCH(tItens[[#This Row],[Edital]],tEditais[Edital],0)),"")</f>
        <v>46308.291666666664</v>
      </c>
      <c r="J1390" t="str">
        <f>IFERROR(INDEX(tProdutos[Classe],MATCH(tItens[[#This Row],[Produto]],tProdutos[Produto],0)),"produto não cadastrado")</f>
        <v>FORA</v>
      </c>
      <c r="K1390" s="12">
        <f>tItens[[#This Row],[Qtd]]*tItens[[#This Row],[Vlr unit]]</f>
        <v>0</v>
      </c>
      <c r="L1390" s="6">
        <f>IFERROR(IF(INDEX(tProdutos[Desconto homologado],MATCH(tItens[[#This Row],[Produto]],tProdutos[Produto],0))="",DescontoPadrao,INDEX(tProdutos[Desconto homologado],MATCH(tItens[[#This Row],[Produto]],tProdutos[Produto],0))),DescontoPadrao)</f>
        <v>0.210006500066517</v>
      </c>
      <c r="M1390" s="12">
        <f>tItens[[#This Row],[Valor]]*(1-tItens[[#This Row],[Desconto]])</f>
        <v>0</v>
      </c>
      <c r="N1390" t="str">
        <f>IFERROR(INDEX(tProdutos[Foco],MATCH(tItens[[#This Row],[Produto]],tProdutos[Produto],0)),"Não")</f>
        <v>Não</v>
      </c>
      <c r="O1390" t="str">
        <f>IFERROR(INDEX(tEditais[SRP],MATCH(tItens[[#This Row],[Edital]],tEditais[Edital],0)),"Não")</f>
        <v>Não</v>
      </c>
      <c r="P1390" s="4">
        <f>IF(COUNTIFS(INDEX(tItens[Edital],1):tItens[[#This Row],[Edital]],tItens[[#This Row],[Edital]],INDEX(tItens[Produto],1):tItens[[#This Row],[Produto]],tItens[[#This Row],[Produto]])=1,1,0)</f>
        <v>1</v>
      </c>
    </row>
    <row r="1391" spans="1:16" x14ac:dyDescent="0.25">
      <c r="A1391" t="s">
        <v>1146</v>
      </c>
      <c r="B1391">
        <v>55</v>
      </c>
      <c r="C1391" t="s">
        <v>4455</v>
      </c>
      <c r="D1391" t="s">
        <v>295</v>
      </c>
      <c r="E1391" s="13">
        <v>1000</v>
      </c>
      <c r="F1391" s="12">
        <v>0</v>
      </c>
      <c r="G1391" t="str">
        <f>IFERROR(INDEX(tEditais[Órgão],MATCH(tItens[[#This Row],[Edital]],tEditais[Edital],0)),"")</f>
        <v>FUNDO MUNICIPAL DE SAUDE DE MINEIROS</v>
      </c>
      <c r="H1391" t="str">
        <f>IFERROR(INDEX(tEditais[UF],MATCH(tItens[[#This Row],[Edital]],tEditais[Edital],0)),"")</f>
        <v>GO</v>
      </c>
      <c r="I1391" s="11">
        <f>IFERROR(INDEX(tEditais[Encerramento],MATCH(tItens[[#This Row],[Edital]],tEditais[Edital],0)),"")</f>
        <v>46308.291666666664</v>
      </c>
      <c r="J1391" t="str">
        <f>IFERROR(INDEX(tProdutos[Classe],MATCH(tItens[[#This Row],[Produto]],tProdutos[Produto],0)),"produto não cadastrado")</f>
        <v>FORA</v>
      </c>
      <c r="K1391" s="12">
        <f>tItens[[#This Row],[Qtd]]*tItens[[#This Row],[Vlr unit]]</f>
        <v>0</v>
      </c>
      <c r="L1391" s="6">
        <f>IFERROR(IF(INDEX(tProdutos[Desconto homologado],MATCH(tItens[[#This Row],[Produto]],tProdutos[Produto],0))="",DescontoPadrao,INDEX(tProdutos[Desconto homologado],MATCH(tItens[[#This Row],[Produto]],tProdutos[Produto],0))),DescontoPadrao)</f>
        <v>0.219311377245509</v>
      </c>
      <c r="M1391" s="12">
        <f>tItens[[#This Row],[Valor]]*(1-tItens[[#This Row],[Desconto]])</f>
        <v>0</v>
      </c>
      <c r="N1391" t="str">
        <f>IFERROR(INDEX(tProdutos[Foco],MATCH(tItens[[#This Row],[Produto]],tProdutos[Produto],0)),"Não")</f>
        <v>Não</v>
      </c>
      <c r="O1391" t="str">
        <f>IFERROR(INDEX(tEditais[SRP],MATCH(tItens[[#This Row],[Edital]],tEditais[Edital],0)),"Não")</f>
        <v>Não</v>
      </c>
      <c r="P1391" s="4">
        <f>IF(COUNTIFS(INDEX(tItens[Edital],1):tItens[[#This Row],[Edital]],tItens[[#This Row],[Edital]],INDEX(tItens[Produto],1):tItens[[#This Row],[Produto]],tItens[[#This Row],[Produto]])=1,1,0)</f>
        <v>1</v>
      </c>
    </row>
    <row r="1392" spans="1:16" x14ac:dyDescent="0.25">
      <c r="A1392" t="s">
        <v>1146</v>
      </c>
      <c r="B1392">
        <v>56</v>
      </c>
      <c r="C1392" t="s">
        <v>4456</v>
      </c>
      <c r="D1392" t="s">
        <v>295</v>
      </c>
      <c r="E1392" s="13">
        <v>600</v>
      </c>
      <c r="F1392" s="12">
        <v>0</v>
      </c>
      <c r="G1392" t="str">
        <f>IFERROR(INDEX(tEditais[Órgão],MATCH(tItens[[#This Row],[Edital]],tEditais[Edital],0)),"")</f>
        <v>FUNDO MUNICIPAL DE SAUDE DE MINEIROS</v>
      </c>
      <c r="H1392" t="str">
        <f>IFERROR(INDEX(tEditais[UF],MATCH(tItens[[#This Row],[Edital]],tEditais[Edital],0)),"")</f>
        <v>GO</v>
      </c>
      <c r="I1392" s="11">
        <f>IFERROR(INDEX(tEditais[Encerramento],MATCH(tItens[[#This Row],[Edital]],tEditais[Edital],0)),"")</f>
        <v>46308.291666666664</v>
      </c>
      <c r="J1392" t="str">
        <f>IFERROR(INDEX(tProdutos[Classe],MATCH(tItens[[#This Row],[Produto]],tProdutos[Produto],0)),"produto não cadastrado")</f>
        <v>FORA</v>
      </c>
      <c r="K1392" s="12">
        <f>tItens[[#This Row],[Qtd]]*tItens[[#This Row],[Vlr unit]]</f>
        <v>0</v>
      </c>
      <c r="L1392" s="6">
        <f>IFERROR(IF(INDEX(tProdutos[Desconto homologado],MATCH(tItens[[#This Row],[Produto]],tProdutos[Produto],0))="",DescontoPadrao,INDEX(tProdutos[Desconto homologado],MATCH(tItens[[#This Row],[Produto]],tProdutos[Produto],0))),DescontoPadrao)</f>
        <v>0.219311377245509</v>
      </c>
      <c r="M1392" s="12">
        <f>tItens[[#This Row],[Valor]]*(1-tItens[[#This Row],[Desconto]])</f>
        <v>0</v>
      </c>
      <c r="N1392" t="str">
        <f>IFERROR(INDEX(tProdutos[Foco],MATCH(tItens[[#This Row],[Produto]],tProdutos[Produto],0)),"Não")</f>
        <v>Não</v>
      </c>
      <c r="O1392" t="str">
        <f>IFERROR(INDEX(tEditais[SRP],MATCH(tItens[[#This Row],[Edital]],tEditais[Edital],0)),"Não")</f>
        <v>Não</v>
      </c>
      <c r="P1392" s="4">
        <f>IF(COUNTIFS(INDEX(tItens[Edital],1):tItens[[#This Row],[Edital]],tItens[[#This Row],[Edital]],INDEX(tItens[Produto],1):tItens[[#This Row],[Produto]],tItens[[#This Row],[Produto]])=1,1,0)</f>
        <v>0</v>
      </c>
    </row>
    <row r="1393" spans="1:16" x14ac:dyDescent="0.25">
      <c r="A1393" t="s">
        <v>1146</v>
      </c>
      <c r="B1393">
        <v>64</v>
      </c>
      <c r="C1393" t="s">
        <v>4457</v>
      </c>
      <c r="D1393" t="s">
        <v>363</v>
      </c>
      <c r="E1393" s="13">
        <v>250</v>
      </c>
      <c r="F1393" s="12">
        <v>0</v>
      </c>
      <c r="G1393" t="str">
        <f>IFERROR(INDEX(tEditais[Órgão],MATCH(tItens[[#This Row],[Edital]],tEditais[Edital],0)),"")</f>
        <v>FUNDO MUNICIPAL DE SAUDE DE MINEIROS</v>
      </c>
      <c r="H1393" t="str">
        <f>IFERROR(INDEX(tEditais[UF],MATCH(tItens[[#This Row],[Edital]],tEditais[Edital],0)),"")</f>
        <v>GO</v>
      </c>
      <c r="I1393" s="11">
        <f>IFERROR(INDEX(tEditais[Encerramento],MATCH(tItens[[#This Row],[Edital]],tEditais[Edital],0)),"")</f>
        <v>46308.291666666664</v>
      </c>
      <c r="J1393" t="str">
        <f>IFERROR(INDEX(tProdutos[Classe],MATCH(tItens[[#This Row],[Produto]],tProdutos[Produto],0)),"produto não cadastrado")</f>
        <v>FORA</v>
      </c>
      <c r="K1393" s="12">
        <f>tItens[[#This Row],[Qtd]]*tItens[[#This Row],[Vlr unit]]</f>
        <v>0</v>
      </c>
      <c r="L1393" s="6">
        <f>IFERROR(IF(INDEX(tProdutos[Desconto homologado],MATCH(tItens[[#This Row],[Produto]],tProdutos[Produto],0))="",DescontoPadrao,INDEX(tProdutos[Desconto homologado],MATCH(tItens[[#This Row],[Produto]],tProdutos[Produto],0))),DescontoPadrao)</f>
        <v>0.36454545454545501</v>
      </c>
      <c r="M1393" s="12">
        <f>tItens[[#This Row],[Valor]]*(1-tItens[[#This Row],[Desconto]])</f>
        <v>0</v>
      </c>
      <c r="N1393" t="str">
        <f>IFERROR(INDEX(tProdutos[Foco],MATCH(tItens[[#This Row],[Produto]],tProdutos[Produto],0)),"Não")</f>
        <v>Não</v>
      </c>
      <c r="O1393" t="str">
        <f>IFERROR(INDEX(tEditais[SRP],MATCH(tItens[[#This Row],[Edital]],tEditais[Edital],0)),"Não")</f>
        <v>Não</v>
      </c>
      <c r="P1393" s="4">
        <f>IF(COUNTIFS(INDEX(tItens[Edital],1):tItens[[#This Row],[Edital]],tItens[[#This Row],[Edital]],INDEX(tItens[Produto],1):tItens[[#This Row],[Produto]],tItens[[#This Row],[Produto]])=1,1,0)</f>
        <v>0</v>
      </c>
    </row>
    <row r="1394" spans="1:16" x14ac:dyDescent="0.25">
      <c r="A1394" t="s">
        <v>1146</v>
      </c>
      <c r="B1394">
        <v>91</v>
      </c>
      <c r="C1394" t="s">
        <v>4458</v>
      </c>
      <c r="D1394" t="s">
        <v>351</v>
      </c>
      <c r="E1394" s="13">
        <v>3300</v>
      </c>
      <c r="F1394" s="12">
        <v>0</v>
      </c>
      <c r="G1394" t="str">
        <f>IFERROR(INDEX(tEditais[Órgão],MATCH(tItens[[#This Row],[Edital]],tEditais[Edital],0)),"")</f>
        <v>FUNDO MUNICIPAL DE SAUDE DE MINEIROS</v>
      </c>
      <c r="H1394" t="str">
        <f>IFERROR(INDEX(tEditais[UF],MATCH(tItens[[#This Row],[Edital]],tEditais[Edital],0)),"")</f>
        <v>GO</v>
      </c>
      <c r="I1394" s="11">
        <f>IFERROR(INDEX(tEditais[Encerramento],MATCH(tItens[[#This Row],[Edital]],tEditais[Edital],0)),"")</f>
        <v>46308.291666666664</v>
      </c>
      <c r="J1394" t="str">
        <f>IFERROR(INDEX(tProdutos[Classe],MATCH(tItens[[#This Row],[Produto]],tProdutos[Produto],0)),"produto não cadastrado")</f>
        <v>FORA</v>
      </c>
      <c r="K1394" s="12">
        <f>tItens[[#This Row],[Qtd]]*tItens[[#This Row],[Vlr unit]]</f>
        <v>0</v>
      </c>
      <c r="L1394" s="6">
        <f>IFERROR(IF(INDEX(tProdutos[Desconto homologado],MATCH(tItens[[#This Row],[Produto]],tProdutos[Produto],0))="",DescontoPadrao,INDEX(tProdutos[Desconto homologado],MATCH(tItens[[#This Row],[Produto]],tProdutos[Produto],0))),DescontoPadrao)</f>
        <v>0.33518005540166201</v>
      </c>
      <c r="M1394" s="12">
        <f>tItens[[#This Row],[Valor]]*(1-tItens[[#This Row],[Desconto]])</f>
        <v>0</v>
      </c>
      <c r="N1394" t="str">
        <f>IFERROR(INDEX(tProdutos[Foco],MATCH(tItens[[#This Row],[Produto]],tProdutos[Produto],0)),"Não")</f>
        <v>Não</v>
      </c>
      <c r="O1394" t="str">
        <f>IFERROR(INDEX(tEditais[SRP],MATCH(tItens[[#This Row],[Edital]],tEditais[Edital],0)),"Não")</f>
        <v>Não</v>
      </c>
      <c r="P1394" s="4">
        <f>IF(COUNTIFS(INDEX(tItens[Edital],1):tItens[[#This Row],[Edital]],tItens[[#This Row],[Edital]],INDEX(tItens[Produto],1):tItens[[#This Row],[Produto]],tItens[[#This Row],[Produto]])=1,1,0)</f>
        <v>1</v>
      </c>
    </row>
    <row r="1395" spans="1:16" x14ac:dyDescent="0.25">
      <c r="A1395" t="s">
        <v>1146</v>
      </c>
      <c r="B1395">
        <v>92</v>
      </c>
      <c r="C1395" t="s">
        <v>4459</v>
      </c>
      <c r="D1395" t="s">
        <v>351</v>
      </c>
      <c r="E1395" s="13">
        <v>2805</v>
      </c>
      <c r="F1395" s="12">
        <v>0</v>
      </c>
      <c r="G1395" t="str">
        <f>IFERROR(INDEX(tEditais[Órgão],MATCH(tItens[[#This Row],[Edital]],tEditais[Edital],0)),"")</f>
        <v>FUNDO MUNICIPAL DE SAUDE DE MINEIROS</v>
      </c>
      <c r="H1395" t="str">
        <f>IFERROR(INDEX(tEditais[UF],MATCH(tItens[[#This Row],[Edital]],tEditais[Edital],0)),"")</f>
        <v>GO</v>
      </c>
      <c r="I1395" s="11">
        <f>IFERROR(INDEX(tEditais[Encerramento],MATCH(tItens[[#This Row],[Edital]],tEditais[Edital],0)),"")</f>
        <v>46308.291666666664</v>
      </c>
      <c r="J1395" t="str">
        <f>IFERROR(INDEX(tProdutos[Classe],MATCH(tItens[[#This Row],[Produto]],tProdutos[Produto],0)),"produto não cadastrado")</f>
        <v>FORA</v>
      </c>
      <c r="K1395" s="12">
        <f>tItens[[#This Row],[Qtd]]*tItens[[#This Row],[Vlr unit]]</f>
        <v>0</v>
      </c>
      <c r="L1395" s="6">
        <f>IFERROR(IF(INDEX(tProdutos[Desconto homologado],MATCH(tItens[[#This Row],[Produto]],tProdutos[Produto],0))="",DescontoPadrao,INDEX(tProdutos[Desconto homologado],MATCH(tItens[[#This Row],[Produto]],tProdutos[Produto],0))),DescontoPadrao)</f>
        <v>0.33518005540166201</v>
      </c>
      <c r="M1395" s="12">
        <f>tItens[[#This Row],[Valor]]*(1-tItens[[#This Row],[Desconto]])</f>
        <v>0</v>
      </c>
      <c r="N1395" t="str">
        <f>IFERROR(INDEX(tProdutos[Foco],MATCH(tItens[[#This Row],[Produto]],tProdutos[Produto],0)),"Não")</f>
        <v>Não</v>
      </c>
      <c r="O1395" t="str">
        <f>IFERROR(INDEX(tEditais[SRP],MATCH(tItens[[#This Row],[Edital]],tEditais[Edital],0)),"Não")</f>
        <v>Não</v>
      </c>
      <c r="P1395" s="4">
        <f>IF(COUNTIFS(INDEX(tItens[Edital],1):tItens[[#This Row],[Edital]],tItens[[#This Row],[Edital]],INDEX(tItens[Produto],1):tItens[[#This Row],[Produto]],tItens[[#This Row],[Produto]])=1,1,0)</f>
        <v>0</v>
      </c>
    </row>
    <row r="1396" spans="1:16" x14ac:dyDescent="0.25">
      <c r="A1396" t="s">
        <v>1146</v>
      </c>
      <c r="B1396">
        <v>93</v>
      </c>
      <c r="C1396" t="s">
        <v>4459</v>
      </c>
      <c r="D1396" t="s">
        <v>351</v>
      </c>
      <c r="E1396" s="13">
        <v>495</v>
      </c>
      <c r="F1396" s="12">
        <v>0</v>
      </c>
      <c r="G1396" t="str">
        <f>IFERROR(INDEX(tEditais[Órgão],MATCH(tItens[[#This Row],[Edital]],tEditais[Edital],0)),"")</f>
        <v>FUNDO MUNICIPAL DE SAUDE DE MINEIROS</v>
      </c>
      <c r="H1396" t="str">
        <f>IFERROR(INDEX(tEditais[UF],MATCH(tItens[[#This Row],[Edital]],tEditais[Edital],0)),"")</f>
        <v>GO</v>
      </c>
      <c r="I1396" s="11">
        <f>IFERROR(INDEX(tEditais[Encerramento],MATCH(tItens[[#This Row],[Edital]],tEditais[Edital],0)),"")</f>
        <v>46308.291666666664</v>
      </c>
      <c r="J1396" t="str">
        <f>IFERROR(INDEX(tProdutos[Classe],MATCH(tItens[[#This Row],[Produto]],tProdutos[Produto],0)),"produto não cadastrado")</f>
        <v>FORA</v>
      </c>
      <c r="K1396" s="12">
        <f>tItens[[#This Row],[Qtd]]*tItens[[#This Row],[Vlr unit]]</f>
        <v>0</v>
      </c>
      <c r="L1396" s="6">
        <f>IFERROR(IF(INDEX(tProdutos[Desconto homologado],MATCH(tItens[[#This Row],[Produto]],tProdutos[Produto],0))="",DescontoPadrao,INDEX(tProdutos[Desconto homologado],MATCH(tItens[[#This Row],[Produto]],tProdutos[Produto],0))),DescontoPadrao)</f>
        <v>0.33518005540166201</v>
      </c>
      <c r="M1396" s="12">
        <f>tItens[[#This Row],[Valor]]*(1-tItens[[#This Row],[Desconto]])</f>
        <v>0</v>
      </c>
      <c r="N1396" t="str">
        <f>IFERROR(INDEX(tProdutos[Foco],MATCH(tItens[[#This Row],[Produto]],tProdutos[Produto],0)),"Não")</f>
        <v>Não</v>
      </c>
      <c r="O1396" t="str">
        <f>IFERROR(INDEX(tEditais[SRP],MATCH(tItens[[#This Row],[Edital]],tEditais[Edital],0)),"Não")</f>
        <v>Não</v>
      </c>
      <c r="P1396" s="4">
        <f>IF(COUNTIFS(INDEX(tItens[Edital],1):tItens[[#This Row],[Edital]],tItens[[#This Row],[Edital]],INDEX(tItens[Produto],1):tItens[[#This Row],[Produto]],tItens[[#This Row],[Produto]])=1,1,0)</f>
        <v>0</v>
      </c>
    </row>
    <row r="1397" spans="1:16" x14ac:dyDescent="0.25">
      <c r="A1397" t="s">
        <v>1146</v>
      </c>
      <c r="B1397">
        <v>94</v>
      </c>
      <c r="C1397" t="s">
        <v>4460</v>
      </c>
      <c r="D1397" t="s">
        <v>351</v>
      </c>
      <c r="E1397" s="13">
        <v>2500</v>
      </c>
      <c r="F1397" s="12">
        <v>0</v>
      </c>
      <c r="G1397" t="str">
        <f>IFERROR(INDEX(tEditais[Órgão],MATCH(tItens[[#This Row],[Edital]],tEditais[Edital],0)),"")</f>
        <v>FUNDO MUNICIPAL DE SAUDE DE MINEIROS</v>
      </c>
      <c r="H1397" t="str">
        <f>IFERROR(INDEX(tEditais[UF],MATCH(tItens[[#This Row],[Edital]],tEditais[Edital],0)),"")</f>
        <v>GO</v>
      </c>
      <c r="I1397" s="11">
        <f>IFERROR(INDEX(tEditais[Encerramento],MATCH(tItens[[#This Row],[Edital]],tEditais[Edital],0)),"")</f>
        <v>46308.291666666664</v>
      </c>
      <c r="J1397" t="str">
        <f>IFERROR(INDEX(tProdutos[Classe],MATCH(tItens[[#This Row],[Produto]],tProdutos[Produto],0)),"produto não cadastrado")</f>
        <v>FORA</v>
      </c>
      <c r="K1397" s="12">
        <f>tItens[[#This Row],[Qtd]]*tItens[[#This Row],[Vlr unit]]</f>
        <v>0</v>
      </c>
      <c r="L1397" s="6">
        <f>IFERROR(IF(INDEX(tProdutos[Desconto homologado],MATCH(tItens[[#This Row],[Produto]],tProdutos[Produto],0))="",DescontoPadrao,INDEX(tProdutos[Desconto homologado],MATCH(tItens[[#This Row],[Produto]],tProdutos[Produto],0))),DescontoPadrao)</f>
        <v>0.33518005540166201</v>
      </c>
      <c r="M1397" s="12">
        <f>tItens[[#This Row],[Valor]]*(1-tItens[[#This Row],[Desconto]])</f>
        <v>0</v>
      </c>
      <c r="N1397" t="str">
        <f>IFERROR(INDEX(tProdutos[Foco],MATCH(tItens[[#This Row],[Produto]],tProdutos[Produto],0)),"Não")</f>
        <v>Não</v>
      </c>
      <c r="O1397" t="str">
        <f>IFERROR(INDEX(tEditais[SRP],MATCH(tItens[[#This Row],[Edital]],tEditais[Edital],0)),"Não")</f>
        <v>Não</v>
      </c>
      <c r="P1397" s="4">
        <f>IF(COUNTIFS(INDEX(tItens[Edital],1):tItens[[#This Row],[Edital]],tItens[[#This Row],[Edital]],INDEX(tItens[Produto],1):tItens[[#This Row],[Produto]],tItens[[#This Row],[Produto]])=1,1,0)</f>
        <v>0</v>
      </c>
    </row>
    <row r="1398" spans="1:16" x14ac:dyDescent="0.25">
      <c r="A1398" t="s">
        <v>1146</v>
      </c>
      <c r="B1398">
        <v>99</v>
      </c>
      <c r="C1398" t="s">
        <v>4461</v>
      </c>
      <c r="D1398" t="s">
        <v>389</v>
      </c>
      <c r="E1398" s="13">
        <v>350</v>
      </c>
      <c r="F1398" s="12">
        <v>0</v>
      </c>
      <c r="G1398" t="str">
        <f>IFERROR(INDEX(tEditais[Órgão],MATCH(tItens[[#This Row],[Edital]],tEditais[Edital],0)),"")</f>
        <v>FUNDO MUNICIPAL DE SAUDE DE MINEIROS</v>
      </c>
      <c r="H1398" t="str">
        <f>IFERROR(INDEX(tEditais[UF],MATCH(tItens[[#This Row],[Edital]],tEditais[Edital],0)),"")</f>
        <v>GO</v>
      </c>
      <c r="I1398" s="11">
        <f>IFERROR(INDEX(tEditais[Encerramento],MATCH(tItens[[#This Row],[Edital]],tEditais[Edital],0)),"")</f>
        <v>46308.291666666664</v>
      </c>
      <c r="J1398" t="str">
        <f>IFERROR(INDEX(tProdutos[Classe],MATCH(tItens[[#This Row],[Produto]],tProdutos[Produto],0)),"produto não cadastrado")</f>
        <v>FORA</v>
      </c>
      <c r="K1398" s="12">
        <f>tItens[[#This Row],[Qtd]]*tItens[[#This Row],[Vlr unit]]</f>
        <v>0</v>
      </c>
      <c r="L1398" s="6">
        <f>IFERROR(IF(INDEX(tProdutos[Desconto homologado],MATCH(tItens[[#This Row],[Produto]],tProdutos[Produto],0))="",DescontoPadrao,INDEX(tProdutos[Desconto homologado],MATCH(tItens[[#This Row],[Produto]],tProdutos[Produto],0))),DescontoPadrao)</f>
        <v>0.39163140573577798</v>
      </c>
      <c r="M1398" s="12">
        <f>tItens[[#This Row],[Valor]]*(1-tItens[[#This Row],[Desconto]])</f>
        <v>0</v>
      </c>
      <c r="N1398" t="str">
        <f>IFERROR(INDEX(tProdutos[Foco],MATCH(tItens[[#This Row],[Produto]],tProdutos[Produto],0)),"Não")</f>
        <v>Não</v>
      </c>
      <c r="O1398" t="str">
        <f>IFERROR(INDEX(tEditais[SRP],MATCH(tItens[[#This Row],[Edital]],tEditais[Edital],0)),"Não")</f>
        <v>Não</v>
      </c>
      <c r="P1398" s="4">
        <f>IF(COUNTIFS(INDEX(tItens[Edital],1):tItens[[#This Row],[Edital]],tItens[[#This Row],[Edital]],INDEX(tItens[Produto],1):tItens[[#This Row],[Produto]],tItens[[#This Row],[Produto]])=1,1,0)</f>
        <v>1</v>
      </c>
    </row>
    <row r="1399" spans="1:16" x14ac:dyDescent="0.25">
      <c r="A1399" t="s">
        <v>1146</v>
      </c>
      <c r="B1399">
        <v>103</v>
      </c>
      <c r="C1399" t="s">
        <v>4462</v>
      </c>
      <c r="D1399" t="s">
        <v>62</v>
      </c>
      <c r="E1399" s="13">
        <v>1300</v>
      </c>
      <c r="F1399" s="12">
        <v>0</v>
      </c>
      <c r="G1399" t="str">
        <f>IFERROR(INDEX(tEditais[Órgão],MATCH(tItens[[#This Row],[Edital]],tEditais[Edital],0)),"")</f>
        <v>FUNDO MUNICIPAL DE SAUDE DE MINEIROS</v>
      </c>
      <c r="H1399" t="str">
        <f>IFERROR(INDEX(tEditais[UF],MATCH(tItens[[#This Row],[Edital]],tEditais[Edital],0)),"")</f>
        <v>GO</v>
      </c>
      <c r="I1399" s="11">
        <f>IFERROR(INDEX(tEditais[Encerramento],MATCH(tItens[[#This Row],[Edital]],tEditais[Edital],0)),"")</f>
        <v>46308.291666666664</v>
      </c>
      <c r="J1399" t="str">
        <f>IFERROR(INDEX(tProdutos[Classe],MATCH(tItens[[#This Row],[Produto]],tProdutos[Produto],0)),"produto não cadastrado")</f>
        <v>NÚCLEO</v>
      </c>
      <c r="K1399" s="12">
        <f>tItens[[#This Row],[Qtd]]*tItens[[#This Row],[Vlr unit]]</f>
        <v>0</v>
      </c>
      <c r="L1399" s="6">
        <f>IFERROR(IF(INDEX(tProdutos[Desconto homologado],MATCH(tItens[[#This Row],[Produto]],tProdutos[Produto],0))="",DescontoPadrao,INDEX(tProdutos[Desconto homologado],MATCH(tItens[[#This Row],[Produto]],tProdutos[Produto],0))),DescontoPadrao)</f>
        <v>0.3</v>
      </c>
      <c r="M1399" s="12">
        <f>tItens[[#This Row],[Valor]]*(1-tItens[[#This Row],[Desconto]])</f>
        <v>0</v>
      </c>
      <c r="N1399" t="str">
        <f>IFERROR(INDEX(tProdutos[Foco],MATCH(tItens[[#This Row],[Produto]],tProdutos[Produto],0)),"Não")</f>
        <v>Sim</v>
      </c>
      <c r="O1399" t="str">
        <f>IFERROR(INDEX(tEditais[SRP],MATCH(tItens[[#This Row],[Edital]],tEditais[Edital],0)),"Não")</f>
        <v>Não</v>
      </c>
      <c r="P1399" s="4">
        <f>IF(COUNTIFS(INDEX(tItens[Edital],1):tItens[[#This Row],[Edital]],tItens[[#This Row],[Edital]],INDEX(tItens[Produto],1):tItens[[#This Row],[Produto]],tItens[[#This Row],[Produto]])=1,1,0)</f>
        <v>1</v>
      </c>
    </row>
    <row r="1400" spans="1:16" x14ac:dyDescent="0.25">
      <c r="A1400" t="s">
        <v>1146</v>
      </c>
      <c r="B1400">
        <v>104</v>
      </c>
      <c r="C1400" t="s">
        <v>4463</v>
      </c>
      <c r="D1400" t="s">
        <v>62</v>
      </c>
      <c r="E1400" s="13">
        <v>2500</v>
      </c>
      <c r="F1400" s="12">
        <v>0</v>
      </c>
      <c r="G1400" t="str">
        <f>IFERROR(INDEX(tEditais[Órgão],MATCH(tItens[[#This Row],[Edital]],tEditais[Edital],0)),"")</f>
        <v>FUNDO MUNICIPAL DE SAUDE DE MINEIROS</v>
      </c>
      <c r="H1400" t="str">
        <f>IFERROR(INDEX(tEditais[UF],MATCH(tItens[[#This Row],[Edital]],tEditais[Edital],0)),"")</f>
        <v>GO</v>
      </c>
      <c r="I1400" s="11">
        <f>IFERROR(INDEX(tEditais[Encerramento],MATCH(tItens[[#This Row],[Edital]],tEditais[Edital],0)),"")</f>
        <v>46308.291666666664</v>
      </c>
      <c r="J1400" t="str">
        <f>IFERROR(INDEX(tProdutos[Classe],MATCH(tItens[[#This Row],[Produto]],tProdutos[Produto],0)),"produto não cadastrado")</f>
        <v>NÚCLEO</v>
      </c>
      <c r="K1400" s="12">
        <f>tItens[[#This Row],[Qtd]]*tItens[[#This Row],[Vlr unit]]</f>
        <v>0</v>
      </c>
      <c r="L1400" s="6">
        <f>IFERROR(IF(INDEX(tProdutos[Desconto homologado],MATCH(tItens[[#This Row],[Produto]],tProdutos[Produto],0))="",DescontoPadrao,INDEX(tProdutos[Desconto homologado],MATCH(tItens[[#This Row],[Produto]],tProdutos[Produto],0))),DescontoPadrao)</f>
        <v>0.3</v>
      </c>
      <c r="M1400" s="12">
        <f>tItens[[#This Row],[Valor]]*(1-tItens[[#This Row],[Desconto]])</f>
        <v>0</v>
      </c>
      <c r="N1400" t="str">
        <f>IFERROR(INDEX(tProdutos[Foco],MATCH(tItens[[#This Row],[Produto]],tProdutos[Produto],0)),"Não")</f>
        <v>Sim</v>
      </c>
      <c r="O1400" t="str">
        <f>IFERROR(INDEX(tEditais[SRP],MATCH(tItens[[#This Row],[Edital]],tEditais[Edital],0)),"Não")</f>
        <v>Não</v>
      </c>
      <c r="P1400" s="4">
        <f>IF(COUNTIFS(INDEX(tItens[Edital],1):tItens[[#This Row],[Edital]],tItens[[#This Row],[Edital]],INDEX(tItens[Produto],1):tItens[[#This Row],[Produto]],tItens[[#This Row],[Produto]])=1,1,0)</f>
        <v>0</v>
      </c>
    </row>
    <row r="1401" spans="1:16" x14ac:dyDescent="0.25">
      <c r="A1401" t="s">
        <v>1146</v>
      </c>
      <c r="B1401">
        <v>106</v>
      </c>
      <c r="C1401" t="s">
        <v>4464</v>
      </c>
      <c r="D1401" t="s">
        <v>124</v>
      </c>
      <c r="E1401" s="13">
        <v>1230</v>
      </c>
      <c r="F1401" s="12">
        <v>0</v>
      </c>
      <c r="G1401" t="str">
        <f>IFERROR(INDEX(tEditais[Órgão],MATCH(tItens[[#This Row],[Edital]],tEditais[Edital],0)),"")</f>
        <v>FUNDO MUNICIPAL DE SAUDE DE MINEIROS</v>
      </c>
      <c r="H1401" t="str">
        <f>IFERROR(INDEX(tEditais[UF],MATCH(tItens[[#This Row],[Edital]],tEditais[Edital],0)),"")</f>
        <v>GO</v>
      </c>
      <c r="I1401" s="11">
        <f>IFERROR(INDEX(tEditais[Encerramento],MATCH(tItens[[#This Row],[Edital]],tEditais[Edital],0)),"")</f>
        <v>46308.291666666664</v>
      </c>
      <c r="J1401" t="str">
        <f>IFERROR(INDEX(tProdutos[Classe],MATCH(tItens[[#This Row],[Produto]],tProdutos[Produto],0)),"produto não cadastrado")</f>
        <v>DISPUTADO</v>
      </c>
      <c r="K1401" s="12">
        <f>tItens[[#This Row],[Qtd]]*tItens[[#This Row],[Vlr unit]]</f>
        <v>0</v>
      </c>
      <c r="L1401" s="6">
        <f>IFERROR(IF(INDEX(tProdutos[Desconto homologado],MATCH(tItens[[#This Row],[Produto]],tProdutos[Produto],0))="",DescontoPadrao,INDEX(tProdutos[Desconto homologado],MATCH(tItens[[#This Row],[Produto]],tProdutos[Produto],0))),DescontoPadrao)</f>
        <v>0.34</v>
      </c>
      <c r="M1401" s="12">
        <f>tItens[[#This Row],[Valor]]*(1-tItens[[#This Row],[Desconto]])</f>
        <v>0</v>
      </c>
      <c r="N1401" t="str">
        <f>IFERROR(INDEX(tProdutos[Foco],MATCH(tItens[[#This Row],[Produto]],tProdutos[Produto],0)),"Não")</f>
        <v>Sim</v>
      </c>
      <c r="O1401" t="str">
        <f>IFERROR(INDEX(tEditais[SRP],MATCH(tItens[[#This Row],[Edital]],tEditais[Edital],0)),"Não")</f>
        <v>Não</v>
      </c>
      <c r="P1401" s="4">
        <f>IF(COUNTIFS(INDEX(tItens[Edital],1):tItens[[#This Row],[Edital]],tItens[[#This Row],[Edital]],INDEX(tItens[Produto],1):tItens[[#This Row],[Produto]],tItens[[#This Row],[Produto]])=1,1,0)</f>
        <v>1</v>
      </c>
    </row>
    <row r="1402" spans="1:16" x14ac:dyDescent="0.25">
      <c r="A1402" t="s">
        <v>1146</v>
      </c>
      <c r="B1402">
        <v>109</v>
      </c>
      <c r="C1402" t="s">
        <v>4465</v>
      </c>
      <c r="D1402" t="s">
        <v>124</v>
      </c>
      <c r="E1402" s="13">
        <v>1700</v>
      </c>
      <c r="F1402" s="12">
        <v>0</v>
      </c>
      <c r="G1402" t="str">
        <f>IFERROR(INDEX(tEditais[Órgão],MATCH(tItens[[#This Row],[Edital]],tEditais[Edital],0)),"")</f>
        <v>FUNDO MUNICIPAL DE SAUDE DE MINEIROS</v>
      </c>
      <c r="H1402" t="str">
        <f>IFERROR(INDEX(tEditais[UF],MATCH(tItens[[#This Row],[Edital]],tEditais[Edital],0)),"")</f>
        <v>GO</v>
      </c>
      <c r="I1402" s="11">
        <f>IFERROR(INDEX(tEditais[Encerramento],MATCH(tItens[[#This Row],[Edital]],tEditais[Edital],0)),"")</f>
        <v>46308.291666666664</v>
      </c>
      <c r="J1402" t="str">
        <f>IFERROR(INDEX(tProdutos[Classe],MATCH(tItens[[#This Row],[Produto]],tProdutos[Produto],0)),"produto não cadastrado")</f>
        <v>DISPUTADO</v>
      </c>
      <c r="K1402" s="12">
        <f>tItens[[#This Row],[Qtd]]*tItens[[#This Row],[Vlr unit]]</f>
        <v>0</v>
      </c>
      <c r="L1402" s="6">
        <f>IFERROR(IF(INDEX(tProdutos[Desconto homologado],MATCH(tItens[[#This Row],[Produto]],tProdutos[Produto],0))="",DescontoPadrao,INDEX(tProdutos[Desconto homologado],MATCH(tItens[[#This Row],[Produto]],tProdutos[Produto],0))),DescontoPadrao)</f>
        <v>0.34</v>
      </c>
      <c r="M1402" s="12">
        <f>tItens[[#This Row],[Valor]]*(1-tItens[[#This Row],[Desconto]])</f>
        <v>0</v>
      </c>
      <c r="N1402" t="str">
        <f>IFERROR(INDEX(tProdutos[Foco],MATCH(tItens[[#This Row],[Produto]],tProdutos[Produto],0)),"Não")</f>
        <v>Sim</v>
      </c>
      <c r="O1402" t="str">
        <f>IFERROR(INDEX(tEditais[SRP],MATCH(tItens[[#This Row],[Edital]],tEditais[Edital],0)),"Não")</f>
        <v>Não</v>
      </c>
      <c r="P1402" s="4">
        <f>IF(COUNTIFS(INDEX(tItens[Edital],1):tItens[[#This Row],[Edital]],tItens[[#This Row],[Edital]],INDEX(tItens[Produto],1):tItens[[#This Row],[Produto]],tItens[[#This Row],[Produto]])=1,1,0)</f>
        <v>0</v>
      </c>
    </row>
    <row r="1403" spans="1:16" x14ac:dyDescent="0.25">
      <c r="A1403" t="s">
        <v>1146</v>
      </c>
      <c r="B1403">
        <v>110</v>
      </c>
      <c r="C1403" t="s">
        <v>4465</v>
      </c>
      <c r="D1403" t="s">
        <v>124</v>
      </c>
      <c r="E1403" s="13">
        <v>300</v>
      </c>
      <c r="F1403" s="12">
        <v>0</v>
      </c>
      <c r="G1403" t="str">
        <f>IFERROR(INDEX(tEditais[Órgão],MATCH(tItens[[#This Row],[Edital]],tEditais[Edital],0)),"")</f>
        <v>FUNDO MUNICIPAL DE SAUDE DE MINEIROS</v>
      </c>
      <c r="H1403" t="str">
        <f>IFERROR(INDEX(tEditais[UF],MATCH(tItens[[#This Row],[Edital]],tEditais[Edital],0)),"")</f>
        <v>GO</v>
      </c>
      <c r="I1403" s="11">
        <f>IFERROR(INDEX(tEditais[Encerramento],MATCH(tItens[[#This Row],[Edital]],tEditais[Edital],0)),"")</f>
        <v>46308.291666666664</v>
      </c>
      <c r="J1403" t="str">
        <f>IFERROR(INDEX(tProdutos[Classe],MATCH(tItens[[#This Row],[Produto]],tProdutos[Produto],0)),"produto não cadastrado")</f>
        <v>DISPUTADO</v>
      </c>
      <c r="K1403" s="12">
        <f>tItens[[#This Row],[Qtd]]*tItens[[#This Row],[Vlr unit]]</f>
        <v>0</v>
      </c>
      <c r="L1403" s="6">
        <f>IFERROR(IF(INDEX(tProdutos[Desconto homologado],MATCH(tItens[[#This Row],[Produto]],tProdutos[Produto],0))="",DescontoPadrao,INDEX(tProdutos[Desconto homologado],MATCH(tItens[[#This Row],[Produto]],tProdutos[Produto],0))),DescontoPadrao)</f>
        <v>0.34</v>
      </c>
      <c r="M1403" s="12">
        <f>tItens[[#This Row],[Valor]]*(1-tItens[[#This Row],[Desconto]])</f>
        <v>0</v>
      </c>
      <c r="N1403" t="str">
        <f>IFERROR(INDEX(tProdutos[Foco],MATCH(tItens[[#This Row],[Produto]],tProdutos[Produto],0)),"Não")</f>
        <v>Sim</v>
      </c>
      <c r="O1403" t="str">
        <f>IFERROR(INDEX(tEditais[SRP],MATCH(tItens[[#This Row],[Edital]],tEditais[Edital],0)),"Não")</f>
        <v>Não</v>
      </c>
      <c r="P1403" s="4">
        <f>IF(COUNTIFS(INDEX(tItens[Edital],1):tItens[[#This Row],[Edital]],tItens[[#This Row],[Edital]],INDEX(tItens[Produto],1):tItens[[#This Row],[Produto]],tItens[[#This Row],[Produto]])=1,1,0)</f>
        <v>0</v>
      </c>
    </row>
    <row r="1404" spans="1:16" x14ac:dyDescent="0.25">
      <c r="A1404" t="s">
        <v>1146</v>
      </c>
      <c r="B1404">
        <v>120</v>
      </c>
      <c r="C1404" t="s">
        <v>4466</v>
      </c>
      <c r="D1404" t="s">
        <v>409</v>
      </c>
      <c r="E1404" s="13">
        <v>800</v>
      </c>
      <c r="F1404" s="12">
        <v>0</v>
      </c>
      <c r="G1404" t="str">
        <f>IFERROR(INDEX(tEditais[Órgão],MATCH(tItens[[#This Row],[Edital]],tEditais[Edital],0)),"")</f>
        <v>FUNDO MUNICIPAL DE SAUDE DE MINEIROS</v>
      </c>
      <c r="H1404" t="str">
        <f>IFERROR(INDEX(tEditais[UF],MATCH(tItens[[#This Row],[Edital]],tEditais[Edital],0)),"")</f>
        <v>GO</v>
      </c>
      <c r="I1404" s="11">
        <f>IFERROR(INDEX(tEditais[Encerramento],MATCH(tItens[[#This Row],[Edital]],tEditais[Edital],0)),"")</f>
        <v>46308.291666666664</v>
      </c>
      <c r="J1404" t="str">
        <f>IFERROR(INDEX(tProdutos[Classe],MATCH(tItens[[#This Row],[Produto]],tProdutos[Produto],0)),"produto não cadastrado")</f>
        <v>FORA</v>
      </c>
      <c r="K1404" s="12">
        <f>tItens[[#This Row],[Qtd]]*tItens[[#This Row],[Vlr unit]]</f>
        <v>0</v>
      </c>
      <c r="L1404" s="6">
        <f>IFERROR(IF(INDEX(tProdutos[Desconto homologado],MATCH(tItens[[#This Row],[Produto]],tProdutos[Produto],0))="",DescontoPadrao,INDEX(tProdutos[Desconto homologado],MATCH(tItens[[#This Row],[Produto]],tProdutos[Produto],0))),DescontoPadrao)</f>
        <v>0.24924924924924899</v>
      </c>
      <c r="M1404" s="12">
        <f>tItens[[#This Row],[Valor]]*(1-tItens[[#This Row],[Desconto]])</f>
        <v>0</v>
      </c>
      <c r="N1404" t="str">
        <f>IFERROR(INDEX(tProdutos[Foco],MATCH(tItens[[#This Row],[Produto]],tProdutos[Produto],0)),"Não")</f>
        <v>Não</v>
      </c>
      <c r="O1404" t="str">
        <f>IFERROR(INDEX(tEditais[SRP],MATCH(tItens[[#This Row],[Edital]],tEditais[Edital],0)),"Não")</f>
        <v>Não</v>
      </c>
      <c r="P1404" s="4">
        <f>IF(COUNTIFS(INDEX(tItens[Edital],1):tItens[[#This Row],[Edital]],tItens[[#This Row],[Edital]],INDEX(tItens[Produto],1):tItens[[#This Row],[Produto]],tItens[[#This Row],[Produto]])=1,1,0)</f>
        <v>1</v>
      </c>
    </row>
    <row r="1405" spans="1:16" x14ac:dyDescent="0.25">
      <c r="A1405" t="s">
        <v>1146</v>
      </c>
      <c r="B1405">
        <v>130</v>
      </c>
      <c r="C1405" t="s">
        <v>4467</v>
      </c>
      <c r="D1405" t="s">
        <v>118</v>
      </c>
      <c r="E1405" s="13">
        <v>15</v>
      </c>
      <c r="F1405" s="12">
        <v>0</v>
      </c>
      <c r="G1405" t="str">
        <f>IFERROR(INDEX(tEditais[Órgão],MATCH(tItens[[#This Row],[Edital]],tEditais[Edital],0)),"")</f>
        <v>FUNDO MUNICIPAL DE SAUDE DE MINEIROS</v>
      </c>
      <c r="H1405" t="str">
        <f>IFERROR(INDEX(tEditais[UF],MATCH(tItens[[#This Row],[Edital]],tEditais[Edital],0)),"")</f>
        <v>GO</v>
      </c>
      <c r="I1405" s="11">
        <f>IFERROR(INDEX(tEditais[Encerramento],MATCH(tItens[[#This Row],[Edital]],tEditais[Edital],0)),"")</f>
        <v>46308.291666666664</v>
      </c>
      <c r="J1405" t="str">
        <f>IFERROR(INDEX(tProdutos[Classe],MATCH(tItens[[#This Row],[Produto]],tProdutos[Produto],0)),"produto não cadastrado")</f>
        <v>DISPUTADO</v>
      </c>
      <c r="K1405" s="12">
        <f>tItens[[#This Row],[Qtd]]*tItens[[#This Row],[Vlr unit]]</f>
        <v>0</v>
      </c>
      <c r="L1405" s="6">
        <f>IFERROR(IF(INDEX(tProdutos[Desconto homologado],MATCH(tItens[[#This Row],[Produto]],tProdutos[Produto],0))="",DescontoPadrao,INDEX(tProdutos[Desconto homologado],MATCH(tItens[[#This Row],[Produto]],tProdutos[Produto],0))),DescontoPadrao)</f>
        <v>0.45970952208503602</v>
      </c>
      <c r="M1405" s="12">
        <f>tItens[[#This Row],[Valor]]*(1-tItens[[#This Row],[Desconto]])</f>
        <v>0</v>
      </c>
      <c r="N1405" t="str">
        <f>IFERROR(INDEX(tProdutos[Foco],MATCH(tItens[[#This Row],[Produto]],tProdutos[Produto],0)),"Não")</f>
        <v>Não</v>
      </c>
      <c r="O1405" t="str">
        <f>IFERROR(INDEX(tEditais[SRP],MATCH(tItens[[#This Row],[Edital]],tEditais[Edital],0)),"Não")</f>
        <v>Não</v>
      </c>
      <c r="P1405" s="4">
        <f>IF(COUNTIFS(INDEX(tItens[Edital],1):tItens[[#This Row],[Edital]],tItens[[#This Row],[Edital]],INDEX(tItens[Produto],1):tItens[[#This Row],[Produto]],tItens[[#This Row],[Produto]])=1,1,0)</f>
        <v>1</v>
      </c>
    </row>
    <row r="1406" spans="1:16" x14ac:dyDescent="0.25">
      <c r="A1406" t="s">
        <v>1146</v>
      </c>
      <c r="B1406">
        <v>154</v>
      </c>
      <c r="C1406" t="s">
        <v>4468</v>
      </c>
      <c r="D1406" t="s">
        <v>521</v>
      </c>
      <c r="E1406" s="13">
        <v>30</v>
      </c>
      <c r="F1406" s="12">
        <v>0</v>
      </c>
      <c r="G1406" t="str">
        <f>IFERROR(INDEX(tEditais[Órgão],MATCH(tItens[[#This Row],[Edital]],tEditais[Edital],0)),"")</f>
        <v>FUNDO MUNICIPAL DE SAUDE DE MINEIROS</v>
      </c>
      <c r="H1406" t="str">
        <f>IFERROR(INDEX(tEditais[UF],MATCH(tItens[[#This Row],[Edital]],tEditais[Edital],0)),"")</f>
        <v>GO</v>
      </c>
      <c r="I1406" s="11">
        <f>IFERROR(INDEX(tEditais[Encerramento],MATCH(tItens[[#This Row],[Edital]],tEditais[Edital],0)),"")</f>
        <v>46308.291666666664</v>
      </c>
      <c r="J1406" t="str">
        <f>IFERROR(INDEX(tProdutos[Classe],MATCH(tItens[[#This Row],[Produto]],tProdutos[Produto],0)),"produto não cadastrado")</f>
        <v>FILA REBASE</v>
      </c>
      <c r="K1406" s="12">
        <f>tItens[[#This Row],[Qtd]]*tItens[[#This Row],[Vlr unit]]</f>
        <v>0</v>
      </c>
      <c r="L1406" s="6">
        <f>IFERROR(IF(INDEX(tProdutos[Desconto homologado],MATCH(tItens[[#This Row],[Produto]],tProdutos[Produto],0))="",DescontoPadrao,INDEX(tProdutos[Desconto homologado],MATCH(tItens[[#This Row],[Produto]],tProdutos[Produto],0))),DescontoPadrao)</f>
        <v>0.20254361398888801</v>
      </c>
      <c r="M1406" s="12">
        <f>tItens[[#This Row],[Valor]]*(1-tItens[[#This Row],[Desconto]])</f>
        <v>0</v>
      </c>
      <c r="N1406" t="str">
        <f>IFERROR(INDEX(tProdutos[Foco],MATCH(tItens[[#This Row],[Produto]],tProdutos[Produto],0)),"Não")</f>
        <v>Não</v>
      </c>
      <c r="O1406" t="str">
        <f>IFERROR(INDEX(tEditais[SRP],MATCH(tItens[[#This Row],[Edital]],tEditais[Edital],0)),"Não")</f>
        <v>Não</v>
      </c>
      <c r="P1406" s="4">
        <f>IF(COUNTIFS(INDEX(tItens[Edital],1):tItens[[#This Row],[Edital]],tItens[[#This Row],[Edital]],INDEX(tItens[Produto],1):tItens[[#This Row],[Produto]],tItens[[#This Row],[Produto]])=1,1,0)</f>
        <v>1</v>
      </c>
    </row>
    <row r="1407" spans="1:16" x14ac:dyDescent="0.25">
      <c r="A1407" t="s">
        <v>1146</v>
      </c>
      <c r="B1407">
        <v>155</v>
      </c>
      <c r="C1407" t="s">
        <v>4469</v>
      </c>
      <c r="D1407" t="s">
        <v>521</v>
      </c>
      <c r="E1407" s="13">
        <v>5</v>
      </c>
      <c r="F1407" s="12">
        <v>0</v>
      </c>
      <c r="G1407" t="str">
        <f>IFERROR(INDEX(tEditais[Órgão],MATCH(tItens[[#This Row],[Edital]],tEditais[Edital],0)),"")</f>
        <v>FUNDO MUNICIPAL DE SAUDE DE MINEIROS</v>
      </c>
      <c r="H1407" t="str">
        <f>IFERROR(INDEX(tEditais[UF],MATCH(tItens[[#This Row],[Edital]],tEditais[Edital],0)),"")</f>
        <v>GO</v>
      </c>
      <c r="I1407" s="11">
        <f>IFERROR(INDEX(tEditais[Encerramento],MATCH(tItens[[#This Row],[Edital]],tEditais[Edital],0)),"")</f>
        <v>46308.291666666664</v>
      </c>
      <c r="J1407" t="str">
        <f>IFERROR(INDEX(tProdutos[Classe],MATCH(tItens[[#This Row],[Produto]],tProdutos[Produto],0)),"produto não cadastrado")</f>
        <v>FILA REBASE</v>
      </c>
      <c r="K1407" s="12">
        <f>tItens[[#This Row],[Qtd]]*tItens[[#This Row],[Vlr unit]]</f>
        <v>0</v>
      </c>
      <c r="L1407" s="6">
        <f>IFERROR(IF(INDEX(tProdutos[Desconto homologado],MATCH(tItens[[#This Row],[Produto]],tProdutos[Produto],0))="",DescontoPadrao,INDEX(tProdutos[Desconto homologado],MATCH(tItens[[#This Row],[Produto]],tProdutos[Produto],0))),DescontoPadrao)</f>
        <v>0.20254361398888801</v>
      </c>
      <c r="M1407" s="12">
        <f>tItens[[#This Row],[Valor]]*(1-tItens[[#This Row],[Desconto]])</f>
        <v>0</v>
      </c>
      <c r="N1407" t="str">
        <f>IFERROR(INDEX(tProdutos[Foco],MATCH(tItens[[#This Row],[Produto]],tProdutos[Produto],0)),"Não")</f>
        <v>Não</v>
      </c>
      <c r="O1407" t="str">
        <f>IFERROR(INDEX(tEditais[SRP],MATCH(tItens[[#This Row],[Edital]],tEditais[Edital],0)),"Não")</f>
        <v>Não</v>
      </c>
      <c r="P1407" s="4">
        <f>IF(COUNTIFS(INDEX(tItens[Edital],1):tItens[[#This Row],[Edital]],tItens[[#This Row],[Edital]],INDEX(tItens[Produto],1):tItens[[#This Row],[Produto]],tItens[[#This Row],[Produto]])=1,1,0)</f>
        <v>0</v>
      </c>
    </row>
    <row r="1408" spans="1:16" x14ac:dyDescent="0.25">
      <c r="A1408" t="s">
        <v>1146</v>
      </c>
      <c r="B1408">
        <v>164</v>
      </c>
      <c r="C1408" t="s">
        <v>4470</v>
      </c>
      <c r="D1408" t="s">
        <v>521</v>
      </c>
      <c r="E1408" s="13">
        <v>15</v>
      </c>
      <c r="F1408" s="12">
        <v>0</v>
      </c>
      <c r="G1408" t="str">
        <f>IFERROR(INDEX(tEditais[Órgão],MATCH(tItens[[#This Row],[Edital]],tEditais[Edital],0)),"")</f>
        <v>FUNDO MUNICIPAL DE SAUDE DE MINEIROS</v>
      </c>
      <c r="H1408" t="str">
        <f>IFERROR(INDEX(tEditais[UF],MATCH(tItens[[#This Row],[Edital]],tEditais[Edital],0)),"")</f>
        <v>GO</v>
      </c>
      <c r="I1408" s="11">
        <f>IFERROR(INDEX(tEditais[Encerramento],MATCH(tItens[[#This Row],[Edital]],tEditais[Edital],0)),"")</f>
        <v>46308.291666666664</v>
      </c>
      <c r="J1408" t="str">
        <f>IFERROR(INDEX(tProdutos[Classe],MATCH(tItens[[#This Row],[Produto]],tProdutos[Produto],0)),"produto não cadastrado")</f>
        <v>FILA REBASE</v>
      </c>
      <c r="K1408" s="12">
        <f>tItens[[#This Row],[Qtd]]*tItens[[#This Row],[Vlr unit]]</f>
        <v>0</v>
      </c>
      <c r="L1408" s="6">
        <f>IFERROR(IF(INDEX(tProdutos[Desconto homologado],MATCH(tItens[[#This Row],[Produto]],tProdutos[Produto],0))="",DescontoPadrao,INDEX(tProdutos[Desconto homologado],MATCH(tItens[[#This Row],[Produto]],tProdutos[Produto],0))),DescontoPadrao)</f>
        <v>0.20254361398888801</v>
      </c>
      <c r="M1408" s="12">
        <f>tItens[[#This Row],[Valor]]*(1-tItens[[#This Row],[Desconto]])</f>
        <v>0</v>
      </c>
      <c r="N1408" t="str">
        <f>IFERROR(INDEX(tProdutos[Foco],MATCH(tItens[[#This Row],[Produto]],tProdutos[Produto],0)),"Não")</f>
        <v>Não</v>
      </c>
      <c r="O1408" t="str">
        <f>IFERROR(INDEX(tEditais[SRP],MATCH(tItens[[#This Row],[Edital]],tEditais[Edital],0)),"Não")</f>
        <v>Não</v>
      </c>
      <c r="P1408" s="4">
        <f>IF(COUNTIFS(INDEX(tItens[Edital],1):tItens[[#This Row],[Edital]],tItens[[#This Row],[Edital]],INDEX(tItens[Produto],1):tItens[[#This Row],[Produto]],tItens[[#This Row],[Produto]])=1,1,0)</f>
        <v>0</v>
      </c>
    </row>
    <row r="1409" spans="1:16" x14ac:dyDescent="0.25">
      <c r="A1409" t="s">
        <v>1146</v>
      </c>
      <c r="B1409">
        <v>165</v>
      </c>
      <c r="C1409" t="s">
        <v>4471</v>
      </c>
      <c r="D1409" t="s">
        <v>521</v>
      </c>
      <c r="E1409" s="13">
        <v>15</v>
      </c>
      <c r="F1409" s="12">
        <v>0</v>
      </c>
      <c r="G1409" t="str">
        <f>IFERROR(INDEX(tEditais[Órgão],MATCH(tItens[[#This Row],[Edital]],tEditais[Edital],0)),"")</f>
        <v>FUNDO MUNICIPAL DE SAUDE DE MINEIROS</v>
      </c>
      <c r="H1409" t="str">
        <f>IFERROR(INDEX(tEditais[UF],MATCH(tItens[[#This Row],[Edital]],tEditais[Edital],0)),"")</f>
        <v>GO</v>
      </c>
      <c r="I1409" s="11">
        <f>IFERROR(INDEX(tEditais[Encerramento],MATCH(tItens[[#This Row],[Edital]],tEditais[Edital],0)),"")</f>
        <v>46308.291666666664</v>
      </c>
      <c r="J1409" t="str">
        <f>IFERROR(INDEX(tProdutos[Classe],MATCH(tItens[[#This Row],[Produto]],tProdutos[Produto],0)),"produto não cadastrado")</f>
        <v>FILA REBASE</v>
      </c>
      <c r="K1409" s="12">
        <f>tItens[[#This Row],[Qtd]]*tItens[[#This Row],[Vlr unit]]</f>
        <v>0</v>
      </c>
      <c r="L1409" s="6">
        <f>IFERROR(IF(INDEX(tProdutos[Desconto homologado],MATCH(tItens[[#This Row],[Produto]],tProdutos[Produto],0))="",DescontoPadrao,INDEX(tProdutos[Desconto homologado],MATCH(tItens[[#This Row],[Produto]],tProdutos[Produto],0))),DescontoPadrao)</f>
        <v>0.20254361398888801</v>
      </c>
      <c r="M1409" s="12">
        <f>tItens[[#This Row],[Valor]]*(1-tItens[[#This Row],[Desconto]])</f>
        <v>0</v>
      </c>
      <c r="N1409" t="str">
        <f>IFERROR(INDEX(tProdutos[Foco],MATCH(tItens[[#This Row],[Produto]],tProdutos[Produto],0)),"Não")</f>
        <v>Não</v>
      </c>
      <c r="O1409" t="str">
        <f>IFERROR(INDEX(tEditais[SRP],MATCH(tItens[[#This Row],[Edital]],tEditais[Edital],0)),"Não")</f>
        <v>Não</v>
      </c>
      <c r="P1409" s="4">
        <f>IF(COUNTIFS(INDEX(tItens[Edital],1):tItens[[#This Row],[Edital]],tItens[[#This Row],[Edital]],INDEX(tItens[Produto],1):tItens[[#This Row],[Produto]],tItens[[#This Row],[Produto]])=1,1,0)</f>
        <v>0</v>
      </c>
    </row>
    <row r="1410" spans="1:16" x14ac:dyDescent="0.25">
      <c r="A1410" t="s">
        <v>1146</v>
      </c>
      <c r="B1410">
        <v>166</v>
      </c>
      <c r="C1410" t="s">
        <v>4472</v>
      </c>
      <c r="D1410" t="s">
        <v>521</v>
      </c>
      <c r="E1410" s="13">
        <v>15</v>
      </c>
      <c r="F1410" s="12">
        <v>0</v>
      </c>
      <c r="G1410" t="str">
        <f>IFERROR(INDEX(tEditais[Órgão],MATCH(tItens[[#This Row],[Edital]],tEditais[Edital],0)),"")</f>
        <v>FUNDO MUNICIPAL DE SAUDE DE MINEIROS</v>
      </c>
      <c r="H1410" t="str">
        <f>IFERROR(INDEX(tEditais[UF],MATCH(tItens[[#This Row],[Edital]],tEditais[Edital],0)),"")</f>
        <v>GO</v>
      </c>
      <c r="I1410" s="11">
        <f>IFERROR(INDEX(tEditais[Encerramento],MATCH(tItens[[#This Row],[Edital]],tEditais[Edital],0)),"")</f>
        <v>46308.291666666664</v>
      </c>
      <c r="J1410" t="str">
        <f>IFERROR(INDEX(tProdutos[Classe],MATCH(tItens[[#This Row],[Produto]],tProdutos[Produto],0)),"produto não cadastrado")</f>
        <v>FILA REBASE</v>
      </c>
      <c r="K1410" s="12">
        <f>tItens[[#This Row],[Qtd]]*tItens[[#This Row],[Vlr unit]]</f>
        <v>0</v>
      </c>
      <c r="L1410" s="6">
        <f>IFERROR(IF(INDEX(tProdutos[Desconto homologado],MATCH(tItens[[#This Row],[Produto]],tProdutos[Produto],0))="",DescontoPadrao,INDEX(tProdutos[Desconto homologado],MATCH(tItens[[#This Row],[Produto]],tProdutos[Produto],0))),DescontoPadrao)</f>
        <v>0.20254361398888801</v>
      </c>
      <c r="M1410" s="12">
        <f>tItens[[#This Row],[Valor]]*(1-tItens[[#This Row],[Desconto]])</f>
        <v>0</v>
      </c>
      <c r="N1410" t="str">
        <f>IFERROR(INDEX(tProdutos[Foco],MATCH(tItens[[#This Row],[Produto]],tProdutos[Produto],0)),"Não")</f>
        <v>Não</v>
      </c>
      <c r="O1410" t="str">
        <f>IFERROR(INDEX(tEditais[SRP],MATCH(tItens[[#This Row],[Edital]],tEditais[Edital],0)),"Não")</f>
        <v>Não</v>
      </c>
      <c r="P1410" s="4">
        <f>IF(COUNTIFS(INDEX(tItens[Edital],1):tItens[[#This Row],[Edital]],tItens[[#This Row],[Edital]],INDEX(tItens[Produto],1):tItens[[#This Row],[Produto]],tItens[[#This Row],[Produto]])=1,1,0)</f>
        <v>0</v>
      </c>
    </row>
    <row r="1411" spans="1:16" x14ac:dyDescent="0.25">
      <c r="A1411" t="s">
        <v>1146</v>
      </c>
      <c r="B1411">
        <v>167</v>
      </c>
      <c r="C1411" t="s">
        <v>4473</v>
      </c>
      <c r="D1411" t="s">
        <v>521</v>
      </c>
      <c r="E1411" s="13">
        <v>15</v>
      </c>
      <c r="F1411" s="12">
        <v>0</v>
      </c>
      <c r="G1411" t="str">
        <f>IFERROR(INDEX(tEditais[Órgão],MATCH(tItens[[#This Row],[Edital]],tEditais[Edital],0)),"")</f>
        <v>FUNDO MUNICIPAL DE SAUDE DE MINEIROS</v>
      </c>
      <c r="H1411" t="str">
        <f>IFERROR(INDEX(tEditais[UF],MATCH(tItens[[#This Row],[Edital]],tEditais[Edital],0)),"")</f>
        <v>GO</v>
      </c>
      <c r="I1411" s="11">
        <f>IFERROR(INDEX(tEditais[Encerramento],MATCH(tItens[[#This Row],[Edital]],tEditais[Edital],0)),"")</f>
        <v>46308.291666666664</v>
      </c>
      <c r="J1411" t="str">
        <f>IFERROR(INDEX(tProdutos[Classe],MATCH(tItens[[#This Row],[Produto]],tProdutos[Produto],0)),"produto não cadastrado")</f>
        <v>FILA REBASE</v>
      </c>
      <c r="K1411" s="12">
        <f>tItens[[#This Row],[Qtd]]*tItens[[#This Row],[Vlr unit]]</f>
        <v>0</v>
      </c>
      <c r="L1411" s="6">
        <f>IFERROR(IF(INDEX(tProdutos[Desconto homologado],MATCH(tItens[[#This Row],[Produto]],tProdutos[Produto],0))="",DescontoPadrao,INDEX(tProdutos[Desconto homologado],MATCH(tItens[[#This Row],[Produto]],tProdutos[Produto],0))),DescontoPadrao)</f>
        <v>0.20254361398888801</v>
      </c>
      <c r="M1411" s="12">
        <f>tItens[[#This Row],[Valor]]*(1-tItens[[#This Row],[Desconto]])</f>
        <v>0</v>
      </c>
      <c r="N1411" t="str">
        <f>IFERROR(INDEX(tProdutos[Foco],MATCH(tItens[[#This Row],[Produto]],tProdutos[Produto],0)),"Não")</f>
        <v>Não</v>
      </c>
      <c r="O1411" t="str">
        <f>IFERROR(INDEX(tEditais[SRP],MATCH(tItens[[#This Row],[Edital]],tEditais[Edital],0)),"Não")</f>
        <v>Não</v>
      </c>
      <c r="P1411" s="4">
        <f>IF(COUNTIFS(INDEX(tItens[Edital],1):tItens[[#This Row],[Edital]],tItens[[#This Row],[Edital]],INDEX(tItens[Produto],1):tItens[[#This Row],[Produto]],tItens[[#This Row],[Produto]])=1,1,0)</f>
        <v>0</v>
      </c>
    </row>
    <row r="1412" spans="1:16" x14ac:dyDescent="0.25">
      <c r="A1412" t="s">
        <v>1146</v>
      </c>
      <c r="B1412">
        <v>180</v>
      </c>
      <c r="C1412" t="s">
        <v>4474</v>
      </c>
      <c r="D1412" t="s">
        <v>227</v>
      </c>
      <c r="E1412" s="13">
        <v>40</v>
      </c>
      <c r="F1412" s="12">
        <v>0</v>
      </c>
      <c r="G1412" t="str">
        <f>IFERROR(INDEX(tEditais[Órgão],MATCH(tItens[[#This Row],[Edital]],tEditais[Edital],0)),"")</f>
        <v>FUNDO MUNICIPAL DE SAUDE DE MINEIROS</v>
      </c>
      <c r="H1412" t="str">
        <f>IFERROR(INDEX(tEditais[UF],MATCH(tItens[[#This Row],[Edital]],tEditais[Edital],0)),"")</f>
        <v>GO</v>
      </c>
      <c r="I1412" s="11">
        <f>IFERROR(INDEX(tEditais[Encerramento],MATCH(tItens[[#This Row],[Edital]],tEditais[Edital],0)),"")</f>
        <v>46308.291666666664</v>
      </c>
      <c r="J1412" t="str">
        <f>IFERROR(INDEX(tProdutos[Classe],MATCH(tItens[[#This Row],[Produto]],tProdutos[Produto],0)),"produto não cadastrado")</f>
        <v>FORA</v>
      </c>
      <c r="K1412" s="12">
        <f>tItens[[#This Row],[Qtd]]*tItens[[#This Row],[Vlr unit]]</f>
        <v>0</v>
      </c>
      <c r="L1412" s="6">
        <f>IFERROR(IF(INDEX(tProdutos[Desconto homologado],MATCH(tItens[[#This Row],[Produto]],tProdutos[Produto],0))="",DescontoPadrao,INDEX(tProdutos[Desconto homologado],MATCH(tItens[[#This Row],[Produto]],tProdutos[Produto],0))),DescontoPadrao)</f>
        <v>0.38</v>
      </c>
      <c r="M1412" s="12">
        <f>tItens[[#This Row],[Valor]]*(1-tItens[[#This Row],[Desconto]])</f>
        <v>0</v>
      </c>
      <c r="N1412" t="str">
        <f>IFERROR(INDEX(tProdutos[Foco],MATCH(tItens[[#This Row],[Produto]],tProdutos[Produto],0)),"Não")</f>
        <v>Não</v>
      </c>
      <c r="O1412" t="str">
        <f>IFERROR(INDEX(tEditais[SRP],MATCH(tItens[[#This Row],[Edital]],tEditais[Edital],0)),"Não")</f>
        <v>Não</v>
      </c>
      <c r="P1412" s="4">
        <f>IF(COUNTIFS(INDEX(tItens[Edital],1):tItens[[#This Row],[Edital]],tItens[[#This Row],[Edital]],INDEX(tItens[Produto],1):tItens[[#This Row],[Produto]],tItens[[#This Row],[Produto]])=1,1,0)</f>
        <v>1</v>
      </c>
    </row>
    <row r="1413" spans="1:16" x14ac:dyDescent="0.25">
      <c r="A1413" t="s">
        <v>1146</v>
      </c>
      <c r="B1413">
        <v>181</v>
      </c>
      <c r="C1413" t="s">
        <v>4475</v>
      </c>
      <c r="D1413" t="s">
        <v>227</v>
      </c>
      <c r="E1413" s="13">
        <v>40</v>
      </c>
      <c r="F1413" s="12">
        <v>0</v>
      </c>
      <c r="G1413" t="str">
        <f>IFERROR(INDEX(tEditais[Órgão],MATCH(tItens[[#This Row],[Edital]],tEditais[Edital],0)),"")</f>
        <v>FUNDO MUNICIPAL DE SAUDE DE MINEIROS</v>
      </c>
      <c r="H1413" t="str">
        <f>IFERROR(INDEX(tEditais[UF],MATCH(tItens[[#This Row],[Edital]],tEditais[Edital],0)),"")</f>
        <v>GO</v>
      </c>
      <c r="I1413" s="11">
        <f>IFERROR(INDEX(tEditais[Encerramento],MATCH(tItens[[#This Row],[Edital]],tEditais[Edital],0)),"")</f>
        <v>46308.291666666664</v>
      </c>
      <c r="J1413" t="str">
        <f>IFERROR(INDEX(tProdutos[Classe],MATCH(tItens[[#This Row],[Produto]],tProdutos[Produto],0)),"produto não cadastrado")</f>
        <v>FORA</v>
      </c>
      <c r="K1413" s="12">
        <f>tItens[[#This Row],[Qtd]]*tItens[[#This Row],[Vlr unit]]</f>
        <v>0</v>
      </c>
      <c r="L1413" s="6">
        <f>IFERROR(IF(INDEX(tProdutos[Desconto homologado],MATCH(tItens[[#This Row],[Produto]],tProdutos[Produto],0))="",DescontoPadrao,INDEX(tProdutos[Desconto homologado],MATCH(tItens[[#This Row],[Produto]],tProdutos[Produto],0))),DescontoPadrao)</f>
        <v>0.38</v>
      </c>
      <c r="M1413" s="12">
        <f>tItens[[#This Row],[Valor]]*(1-tItens[[#This Row],[Desconto]])</f>
        <v>0</v>
      </c>
      <c r="N1413" t="str">
        <f>IFERROR(INDEX(tProdutos[Foco],MATCH(tItens[[#This Row],[Produto]],tProdutos[Produto],0)),"Não")</f>
        <v>Não</v>
      </c>
      <c r="O1413" t="str">
        <f>IFERROR(INDEX(tEditais[SRP],MATCH(tItens[[#This Row],[Edital]],tEditais[Edital],0)),"Não")</f>
        <v>Não</v>
      </c>
      <c r="P1413" s="4">
        <f>IF(COUNTIFS(INDEX(tItens[Edital],1):tItens[[#This Row],[Edital]],tItens[[#This Row],[Edital]],INDEX(tItens[Produto],1):tItens[[#This Row],[Produto]],tItens[[#This Row],[Produto]])=1,1,0)</f>
        <v>0</v>
      </c>
    </row>
    <row r="1414" spans="1:16" x14ac:dyDescent="0.25">
      <c r="A1414" t="s">
        <v>1146</v>
      </c>
      <c r="B1414">
        <v>191</v>
      </c>
      <c r="C1414" t="s">
        <v>4476</v>
      </c>
      <c r="D1414" t="s">
        <v>73</v>
      </c>
      <c r="E1414" s="13">
        <v>3500</v>
      </c>
      <c r="F1414" s="12">
        <v>0</v>
      </c>
      <c r="G1414" t="str">
        <f>IFERROR(INDEX(tEditais[Órgão],MATCH(tItens[[#This Row],[Edital]],tEditais[Edital],0)),"")</f>
        <v>FUNDO MUNICIPAL DE SAUDE DE MINEIROS</v>
      </c>
      <c r="H1414" t="str">
        <f>IFERROR(INDEX(tEditais[UF],MATCH(tItens[[#This Row],[Edital]],tEditais[Edital],0)),"")</f>
        <v>GO</v>
      </c>
      <c r="I1414" s="11">
        <f>IFERROR(INDEX(tEditais[Encerramento],MATCH(tItens[[#This Row],[Edital]],tEditais[Edital],0)),"")</f>
        <v>46308.291666666664</v>
      </c>
      <c r="J1414" t="str">
        <f>IFERROR(INDEX(tProdutos[Classe],MATCH(tItens[[#This Row],[Produto]],tProdutos[Produto],0)),"produto não cadastrado")</f>
        <v>NÚCLEO</v>
      </c>
      <c r="K1414" s="12">
        <f>tItens[[#This Row],[Qtd]]*tItens[[#This Row],[Vlr unit]]</f>
        <v>0</v>
      </c>
      <c r="L1414" s="6">
        <f>IFERROR(IF(INDEX(tProdutos[Desconto homologado],MATCH(tItens[[#This Row],[Produto]],tProdutos[Produto],0))="",DescontoPadrao,INDEX(tProdutos[Desconto homologado],MATCH(tItens[[#This Row],[Produto]],tProdutos[Produto],0))),DescontoPadrao)</f>
        <v>0.37</v>
      </c>
      <c r="M1414" s="12">
        <f>tItens[[#This Row],[Valor]]*(1-tItens[[#This Row],[Desconto]])</f>
        <v>0</v>
      </c>
      <c r="N1414" t="str">
        <f>IFERROR(INDEX(tProdutos[Foco],MATCH(tItens[[#This Row],[Produto]],tProdutos[Produto],0)),"Não")</f>
        <v>Sim</v>
      </c>
      <c r="O1414" t="str">
        <f>IFERROR(INDEX(tEditais[SRP],MATCH(tItens[[#This Row],[Edital]],tEditais[Edital],0)),"Não")</f>
        <v>Não</v>
      </c>
      <c r="P1414" s="4">
        <f>IF(COUNTIFS(INDEX(tItens[Edital],1):tItens[[#This Row],[Edital]],tItens[[#This Row],[Edital]],INDEX(tItens[Produto],1):tItens[[#This Row],[Produto]],tItens[[#This Row],[Produto]])=1,1,0)</f>
        <v>1</v>
      </c>
    </row>
    <row r="1415" spans="1:16" x14ac:dyDescent="0.25">
      <c r="A1415" t="s">
        <v>1146</v>
      </c>
      <c r="B1415">
        <v>192</v>
      </c>
      <c r="C1415" t="s">
        <v>4477</v>
      </c>
      <c r="D1415" t="s">
        <v>73</v>
      </c>
      <c r="E1415" s="13">
        <v>650</v>
      </c>
      <c r="F1415" s="12">
        <v>0</v>
      </c>
      <c r="G1415" t="str">
        <f>IFERROR(INDEX(tEditais[Órgão],MATCH(tItens[[#This Row],[Edital]],tEditais[Edital],0)),"")</f>
        <v>FUNDO MUNICIPAL DE SAUDE DE MINEIROS</v>
      </c>
      <c r="H1415" t="str">
        <f>IFERROR(INDEX(tEditais[UF],MATCH(tItens[[#This Row],[Edital]],tEditais[Edital],0)),"")</f>
        <v>GO</v>
      </c>
      <c r="I1415" s="11">
        <f>IFERROR(INDEX(tEditais[Encerramento],MATCH(tItens[[#This Row],[Edital]],tEditais[Edital],0)),"")</f>
        <v>46308.291666666664</v>
      </c>
      <c r="J1415" t="str">
        <f>IFERROR(INDEX(tProdutos[Classe],MATCH(tItens[[#This Row],[Produto]],tProdutos[Produto],0)),"produto não cadastrado")</f>
        <v>NÚCLEO</v>
      </c>
      <c r="K1415" s="12">
        <f>tItens[[#This Row],[Qtd]]*tItens[[#This Row],[Vlr unit]]</f>
        <v>0</v>
      </c>
      <c r="L1415" s="6">
        <f>IFERROR(IF(INDEX(tProdutos[Desconto homologado],MATCH(tItens[[#This Row],[Produto]],tProdutos[Produto],0))="",DescontoPadrao,INDEX(tProdutos[Desconto homologado],MATCH(tItens[[#This Row],[Produto]],tProdutos[Produto],0))),DescontoPadrao)</f>
        <v>0.37</v>
      </c>
      <c r="M1415" s="12">
        <f>tItens[[#This Row],[Valor]]*(1-tItens[[#This Row],[Desconto]])</f>
        <v>0</v>
      </c>
      <c r="N1415" t="str">
        <f>IFERROR(INDEX(tProdutos[Foco],MATCH(tItens[[#This Row],[Produto]],tProdutos[Produto],0)),"Não")</f>
        <v>Sim</v>
      </c>
      <c r="O1415" t="str">
        <f>IFERROR(INDEX(tEditais[SRP],MATCH(tItens[[#This Row],[Edital]],tEditais[Edital],0)),"Não")</f>
        <v>Não</v>
      </c>
      <c r="P1415" s="4">
        <f>IF(COUNTIFS(INDEX(tItens[Edital],1):tItens[[#This Row],[Edital]],tItens[[#This Row],[Edital]],INDEX(tItens[Produto],1):tItens[[#This Row],[Produto]],tItens[[#This Row],[Produto]])=1,1,0)</f>
        <v>0</v>
      </c>
    </row>
    <row r="1416" spans="1:16" x14ac:dyDescent="0.25">
      <c r="A1416" t="s">
        <v>1146</v>
      </c>
      <c r="B1416">
        <v>193</v>
      </c>
      <c r="C1416" t="s">
        <v>4478</v>
      </c>
      <c r="D1416" t="s">
        <v>73</v>
      </c>
      <c r="E1416" s="13">
        <v>440</v>
      </c>
      <c r="F1416" s="12">
        <v>0</v>
      </c>
      <c r="G1416" t="str">
        <f>IFERROR(INDEX(tEditais[Órgão],MATCH(tItens[[#This Row],[Edital]],tEditais[Edital],0)),"")</f>
        <v>FUNDO MUNICIPAL DE SAUDE DE MINEIROS</v>
      </c>
      <c r="H1416" t="str">
        <f>IFERROR(INDEX(tEditais[UF],MATCH(tItens[[#This Row],[Edital]],tEditais[Edital],0)),"")</f>
        <v>GO</v>
      </c>
      <c r="I1416" s="11">
        <f>IFERROR(INDEX(tEditais[Encerramento],MATCH(tItens[[#This Row],[Edital]],tEditais[Edital],0)),"")</f>
        <v>46308.291666666664</v>
      </c>
      <c r="J1416" t="str">
        <f>IFERROR(INDEX(tProdutos[Classe],MATCH(tItens[[#This Row],[Produto]],tProdutos[Produto],0)),"produto não cadastrado")</f>
        <v>NÚCLEO</v>
      </c>
      <c r="K1416" s="12">
        <f>tItens[[#This Row],[Qtd]]*tItens[[#This Row],[Vlr unit]]</f>
        <v>0</v>
      </c>
      <c r="L1416" s="6">
        <f>IFERROR(IF(INDEX(tProdutos[Desconto homologado],MATCH(tItens[[#This Row],[Produto]],tProdutos[Produto],0))="",DescontoPadrao,INDEX(tProdutos[Desconto homologado],MATCH(tItens[[#This Row],[Produto]],tProdutos[Produto],0))),DescontoPadrao)</f>
        <v>0.37</v>
      </c>
      <c r="M1416" s="12">
        <f>tItens[[#This Row],[Valor]]*(1-tItens[[#This Row],[Desconto]])</f>
        <v>0</v>
      </c>
      <c r="N1416" t="str">
        <f>IFERROR(INDEX(tProdutos[Foco],MATCH(tItens[[#This Row],[Produto]],tProdutos[Produto],0)),"Não")</f>
        <v>Sim</v>
      </c>
      <c r="O1416" t="str">
        <f>IFERROR(INDEX(tEditais[SRP],MATCH(tItens[[#This Row],[Edital]],tEditais[Edital],0)),"Não")</f>
        <v>Não</v>
      </c>
      <c r="P1416" s="4">
        <f>IF(COUNTIFS(INDEX(tItens[Edital],1):tItens[[#This Row],[Edital]],tItens[[#This Row],[Edital]],INDEX(tItens[Produto],1):tItens[[#This Row],[Produto]],tItens[[#This Row],[Produto]])=1,1,0)</f>
        <v>0</v>
      </c>
    </row>
    <row r="1417" spans="1:16" x14ac:dyDescent="0.25">
      <c r="A1417" t="s">
        <v>1146</v>
      </c>
      <c r="B1417">
        <v>194</v>
      </c>
      <c r="C1417" t="s">
        <v>4479</v>
      </c>
      <c r="D1417" t="s">
        <v>353</v>
      </c>
      <c r="E1417" s="13">
        <v>20</v>
      </c>
      <c r="F1417" s="12">
        <v>0</v>
      </c>
      <c r="G1417" t="str">
        <f>IFERROR(INDEX(tEditais[Órgão],MATCH(tItens[[#This Row],[Edital]],tEditais[Edital],0)),"")</f>
        <v>FUNDO MUNICIPAL DE SAUDE DE MINEIROS</v>
      </c>
      <c r="H1417" t="str">
        <f>IFERROR(INDEX(tEditais[UF],MATCH(tItens[[#This Row],[Edital]],tEditais[Edital],0)),"")</f>
        <v>GO</v>
      </c>
      <c r="I1417" s="11">
        <f>IFERROR(INDEX(tEditais[Encerramento],MATCH(tItens[[#This Row],[Edital]],tEditais[Edital],0)),"")</f>
        <v>46308.291666666664</v>
      </c>
      <c r="J1417" t="str">
        <f>IFERROR(INDEX(tProdutos[Classe],MATCH(tItens[[#This Row],[Produto]],tProdutos[Produto],0)),"produto não cadastrado")</f>
        <v>FORA</v>
      </c>
      <c r="K1417" s="12">
        <f>tItens[[#This Row],[Qtd]]*tItens[[#This Row],[Vlr unit]]</f>
        <v>0</v>
      </c>
      <c r="L1417" s="6">
        <f>IFERROR(IF(INDEX(tProdutos[Desconto homologado],MATCH(tItens[[#This Row],[Produto]],tProdutos[Produto],0))="",DescontoPadrao,INDEX(tProdutos[Desconto homologado],MATCH(tItens[[#This Row],[Produto]],tProdutos[Produto],0))),DescontoPadrao)</f>
        <v>0.44729172947442503</v>
      </c>
      <c r="M1417" s="12">
        <f>tItens[[#This Row],[Valor]]*(1-tItens[[#This Row],[Desconto]])</f>
        <v>0</v>
      </c>
      <c r="N1417" t="str">
        <f>IFERROR(INDEX(tProdutos[Foco],MATCH(tItens[[#This Row],[Produto]],tProdutos[Produto],0)),"Não")</f>
        <v>Não</v>
      </c>
      <c r="O1417" t="str">
        <f>IFERROR(INDEX(tEditais[SRP],MATCH(tItens[[#This Row],[Edital]],tEditais[Edital],0)),"Não")</f>
        <v>Não</v>
      </c>
      <c r="P1417" s="4">
        <f>IF(COUNTIFS(INDEX(tItens[Edital],1):tItens[[#This Row],[Edital]],tItens[[#This Row],[Edital]],INDEX(tItens[Produto],1):tItens[[#This Row],[Produto]],tItens[[#This Row],[Produto]])=1,1,0)</f>
        <v>1</v>
      </c>
    </row>
    <row r="1418" spans="1:16" x14ac:dyDescent="0.25">
      <c r="A1418" t="s">
        <v>1146</v>
      </c>
      <c r="B1418">
        <v>195</v>
      </c>
      <c r="C1418" t="s">
        <v>4480</v>
      </c>
      <c r="D1418" t="s">
        <v>353</v>
      </c>
      <c r="E1418" s="13">
        <v>20</v>
      </c>
      <c r="F1418" s="12">
        <v>0</v>
      </c>
      <c r="G1418" t="str">
        <f>IFERROR(INDEX(tEditais[Órgão],MATCH(tItens[[#This Row],[Edital]],tEditais[Edital],0)),"")</f>
        <v>FUNDO MUNICIPAL DE SAUDE DE MINEIROS</v>
      </c>
      <c r="H1418" t="str">
        <f>IFERROR(INDEX(tEditais[UF],MATCH(tItens[[#This Row],[Edital]],tEditais[Edital],0)),"")</f>
        <v>GO</v>
      </c>
      <c r="I1418" s="11">
        <f>IFERROR(INDEX(tEditais[Encerramento],MATCH(tItens[[#This Row],[Edital]],tEditais[Edital],0)),"")</f>
        <v>46308.291666666664</v>
      </c>
      <c r="J1418" t="str">
        <f>IFERROR(INDEX(tProdutos[Classe],MATCH(tItens[[#This Row],[Produto]],tProdutos[Produto],0)),"produto não cadastrado")</f>
        <v>FORA</v>
      </c>
      <c r="K1418" s="12">
        <f>tItens[[#This Row],[Qtd]]*tItens[[#This Row],[Vlr unit]]</f>
        <v>0</v>
      </c>
      <c r="L1418" s="6">
        <f>IFERROR(IF(INDEX(tProdutos[Desconto homologado],MATCH(tItens[[#This Row],[Produto]],tProdutos[Produto],0))="",DescontoPadrao,INDEX(tProdutos[Desconto homologado],MATCH(tItens[[#This Row],[Produto]],tProdutos[Produto],0))),DescontoPadrao)</f>
        <v>0.44729172947442503</v>
      </c>
      <c r="M1418" s="12">
        <f>tItens[[#This Row],[Valor]]*(1-tItens[[#This Row],[Desconto]])</f>
        <v>0</v>
      </c>
      <c r="N1418" t="str">
        <f>IFERROR(INDEX(tProdutos[Foco],MATCH(tItens[[#This Row],[Produto]],tProdutos[Produto],0)),"Não")</f>
        <v>Não</v>
      </c>
      <c r="O1418" t="str">
        <f>IFERROR(INDEX(tEditais[SRP],MATCH(tItens[[#This Row],[Edital]],tEditais[Edital],0)),"Não")</f>
        <v>Não</v>
      </c>
      <c r="P1418" s="4">
        <f>IF(COUNTIFS(INDEX(tItens[Edital],1):tItens[[#This Row],[Edital]],tItens[[#This Row],[Edital]],INDEX(tItens[Produto],1):tItens[[#This Row],[Produto]],tItens[[#This Row],[Produto]])=1,1,0)</f>
        <v>0</v>
      </c>
    </row>
    <row r="1419" spans="1:16" x14ac:dyDescent="0.25">
      <c r="A1419" t="s">
        <v>1146</v>
      </c>
      <c r="B1419">
        <v>196</v>
      </c>
      <c r="C1419" t="s">
        <v>4481</v>
      </c>
      <c r="D1419" t="s">
        <v>353</v>
      </c>
      <c r="E1419" s="13">
        <v>20</v>
      </c>
      <c r="F1419" s="12">
        <v>0</v>
      </c>
      <c r="G1419" t="str">
        <f>IFERROR(INDEX(tEditais[Órgão],MATCH(tItens[[#This Row],[Edital]],tEditais[Edital],0)),"")</f>
        <v>FUNDO MUNICIPAL DE SAUDE DE MINEIROS</v>
      </c>
      <c r="H1419" t="str">
        <f>IFERROR(INDEX(tEditais[UF],MATCH(tItens[[#This Row],[Edital]],tEditais[Edital],0)),"")</f>
        <v>GO</v>
      </c>
      <c r="I1419" s="11">
        <f>IFERROR(INDEX(tEditais[Encerramento],MATCH(tItens[[#This Row],[Edital]],tEditais[Edital],0)),"")</f>
        <v>46308.291666666664</v>
      </c>
      <c r="J1419" t="str">
        <f>IFERROR(INDEX(tProdutos[Classe],MATCH(tItens[[#This Row],[Produto]],tProdutos[Produto],0)),"produto não cadastrado")</f>
        <v>FORA</v>
      </c>
      <c r="K1419" s="12">
        <f>tItens[[#This Row],[Qtd]]*tItens[[#This Row],[Vlr unit]]</f>
        <v>0</v>
      </c>
      <c r="L1419" s="6">
        <f>IFERROR(IF(INDEX(tProdutos[Desconto homologado],MATCH(tItens[[#This Row],[Produto]],tProdutos[Produto],0))="",DescontoPadrao,INDEX(tProdutos[Desconto homologado],MATCH(tItens[[#This Row],[Produto]],tProdutos[Produto],0))),DescontoPadrao)</f>
        <v>0.44729172947442503</v>
      </c>
      <c r="M1419" s="12">
        <f>tItens[[#This Row],[Valor]]*(1-tItens[[#This Row],[Desconto]])</f>
        <v>0</v>
      </c>
      <c r="N1419" t="str">
        <f>IFERROR(INDEX(tProdutos[Foco],MATCH(tItens[[#This Row],[Produto]],tProdutos[Produto],0)),"Não")</f>
        <v>Não</v>
      </c>
      <c r="O1419" t="str">
        <f>IFERROR(INDEX(tEditais[SRP],MATCH(tItens[[#This Row],[Edital]],tEditais[Edital],0)),"Não")</f>
        <v>Não</v>
      </c>
      <c r="P1419" s="4">
        <f>IF(COUNTIFS(INDEX(tItens[Edital],1):tItens[[#This Row],[Edital]],tItens[[#This Row],[Edital]],INDEX(tItens[Produto],1):tItens[[#This Row],[Produto]],tItens[[#This Row],[Produto]])=1,1,0)</f>
        <v>0</v>
      </c>
    </row>
    <row r="1420" spans="1:16" x14ac:dyDescent="0.25">
      <c r="A1420" t="s">
        <v>1146</v>
      </c>
      <c r="B1420">
        <v>197</v>
      </c>
      <c r="C1420" t="s">
        <v>4482</v>
      </c>
      <c r="D1420" t="s">
        <v>245</v>
      </c>
      <c r="E1420" s="13">
        <v>25</v>
      </c>
      <c r="F1420" s="12">
        <v>0</v>
      </c>
      <c r="G1420" t="str">
        <f>IFERROR(INDEX(tEditais[Órgão],MATCH(tItens[[#This Row],[Edital]],tEditais[Edital],0)),"")</f>
        <v>FUNDO MUNICIPAL DE SAUDE DE MINEIROS</v>
      </c>
      <c r="H1420" t="str">
        <f>IFERROR(INDEX(tEditais[UF],MATCH(tItens[[#This Row],[Edital]],tEditais[Edital],0)),"")</f>
        <v>GO</v>
      </c>
      <c r="I1420" s="11">
        <f>IFERROR(INDEX(tEditais[Encerramento],MATCH(tItens[[#This Row],[Edital]],tEditais[Edital],0)),"")</f>
        <v>46308.291666666664</v>
      </c>
      <c r="J1420" t="str">
        <f>IFERROR(INDEX(tProdutos[Classe],MATCH(tItens[[#This Row],[Produto]],tProdutos[Produto],0)),"produto não cadastrado")</f>
        <v>FORA</v>
      </c>
      <c r="K1420" s="12">
        <f>tItens[[#This Row],[Qtd]]*tItens[[#This Row],[Vlr unit]]</f>
        <v>0</v>
      </c>
      <c r="L1420" s="6">
        <f>IFERROR(IF(INDEX(tProdutos[Desconto homologado],MATCH(tItens[[#This Row],[Produto]],tProdutos[Produto],0))="",DescontoPadrao,INDEX(tProdutos[Desconto homologado],MATCH(tItens[[#This Row],[Produto]],tProdutos[Produto],0))),DescontoPadrao)</f>
        <v>0.34516963542284401</v>
      </c>
      <c r="M1420" s="12">
        <f>tItens[[#This Row],[Valor]]*(1-tItens[[#This Row],[Desconto]])</f>
        <v>0</v>
      </c>
      <c r="N1420" t="str">
        <f>IFERROR(INDEX(tProdutos[Foco],MATCH(tItens[[#This Row],[Produto]],tProdutos[Produto],0)),"Não")</f>
        <v>Não</v>
      </c>
      <c r="O1420" t="str">
        <f>IFERROR(INDEX(tEditais[SRP],MATCH(tItens[[#This Row],[Edital]],tEditais[Edital],0)),"Não")</f>
        <v>Não</v>
      </c>
      <c r="P1420" s="4">
        <f>IF(COUNTIFS(INDEX(tItens[Edital],1):tItens[[#This Row],[Edital]],tItens[[#This Row],[Edital]],INDEX(tItens[Produto],1):tItens[[#This Row],[Produto]],tItens[[#This Row],[Produto]])=1,1,0)</f>
        <v>1</v>
      </c>
    </row>
    <row r="1421" spans="1:16" x14ac:dyDescent="0.25">
      <c r="A1421" t="s">
        <v>1146</v>
      </c>
      <c r="B1421">
        <v>198</v>
      </c>
      <c r="C1421" t="s">
        <v>4483</v>
      </c>
      <c r="D1421" t="s">
        <v>245</v>
      </c>
      <c r="E1421" s="13">
        <v>450</v>
      </c>
      <c r="F1421" s="12">
        <v>0</v>
      </c>
      <c r="G1421" t="str">
        <f>IFERROR(INDEX(tEditais[Órgão],MATCH(tItens[[#This Row],[Edital]],tEditais[Edital],0)),"")</f>
        <v>FUNDO MUNICIPAL DE SAUDE DE MINEIROS</v>
      </c>
      <c r="H1421" t="str">
        <f>IFERROR(INDEX(tEditais[UF],MATCH(tItens[[#This Row],[Edital]],tEditais[Edital],0)),"")</f>
        <v>GO</v>
      </c>
      <c r="I1421" s="11">
        <f>IFERROR(INDEX(tEditais[Encerramento],MATCH(tItens[[#This Row],[Edital]],tEditais[Edital],0)),"")</f>
        <v>46308.291666666664</v>
      </c>
      <c r="J1421" t="str">
        <f>IFERROR(INDEX(tProdutos[Classe],MATCH(tItens[[#This Row],[Produto]],tProdutos[Produto],0)),"produto não cadastrado")</f>
        <v>FORA</v>
      </c>
      <c r="K1421" s="12">
        <f>tItens[[#This Row],[Qtd]]*tItens[[#This Row],[Vlr unit]]</f>
        <v>0</v>
      </c>
      <c r="L1421" s="6">
        <f>IFERROR(IF(INDEX(tProdutos[Desconto homologado],MATCH(tItens[[#This Row],[Produto]],tProdutos[Produto],0))="",DescontoPadrao,INDEX(tProdutos[Desconto homologado],MATCH(tItens[[#This Row],[Produto]],tProdutos[Produto],0))),DescontoPadrao)</f>
        <v>0.34516963542284401</v>
      </c>
      <c r="M1421" s="12">
        <f>tItens[[#This Row],[Valor]]*(1-tItens[[#This Row],[Desconto]])</f>
        <v>0</v>
      </c>
      <c r="N1421" t="str">
        <f>IFERROR(INDEX(tProdutos[Foco],MATCH(tItens[[#This Row],[Produto]],tProdutos[Produto],0)),"Não")</f>
        <v>Não</v>
      </c>
      <c r="O1421" t="str">
        <f>IFERROR(INDEX(tEditais[SRP],MATCH(tItens[[#This Row],[Edital]],tEditais[Edital],0)),"Não")</f>
        <v>Não</v>
      </c>
      <c r="P1421" s="4">
        <f>IF(COUNTIFS(INDEX(tItens[Edital],1):tItens[[#This Row],[Edital]],tItens[[#This Row],[Edital]],INDEX(tItens[Produto],1):tItens[[#This Row],[Produto]],tItens[[#This Row],[Produto]])=1,1,0)</f>
        <v>0</v>
      </c>
    </row>
    <row r="1422" spans="1:16" x14ac:dyDescent="0.25">
      <c r="A1422" t="s">
        <v>1146</v>
      </c>
      <c r="B1422">
        <v>205</v>
      </c>
      <c r="C1422" t="s">
        <v>4484</v>
      </c>
      <c r="D1422" t="s">
        <v>566</v>
      </c>
      <c r="E1422" s="13">
        <v>35</v>
      </c>
      <c r="F1422" s="12">
        <v>0</v>
      </c>
      <c r="G1422" t="str">
        <f>IFERROR(INDEX(tEditais[Órgão],MATCH(tItens[[#This Row],[Edital]],tEditais[Edital],0)),"")</f>
        <v>FUNDO MUNICIPAL DE SAUDE DE MINEIROS</v>
      </c>
      <c r="H1422" t="str">
        <f>IFERROR(INDEX(tEditais[UF],MATCH(tItens[[#This Row],[Edital]],tEditais[Edital],0)),"")</f>
        <v>GO</v>
      </c>
      <c r="I1422" s="11">
        <f>IFERROR(INDEX(tEditais[Encerramento],MATCH(tItens[[#This Row],[Edital]],tEditais[Edital],0)),"")</f>
        <v>46308.291666666664</v>
      </c>
      <c r="J1422" t="str">
        <f>IFERROR(INDEX(tProdutos[Classe],MATCH(tItens[[#This Row],[Produto]],tProdutos[Produto],0)),"produto não cadastrado")</f>
        <v>FILA REBASE</v>
      </c>
      <c r="K1422" s="12">
        <f>tItens[[#This Row],[Qtd]]*tItens[[#This Row],[Vlr unit]]</f>
        <v>0</v>
      </c>
      <c r="L1422" s="6">
        <f>IFERROR(IF(INDEX(tProdutos[Desconto homologado],MATCH(tItens[[#This Row],[Produto]],tProdutos[Produto],0))="",DescontoPadrao,INDEX(tProdutos[Desconto homologado],MATCH(tItens[[#This Row],[Produto]],tProdutos[Produto],0))),DescontoPadrao)</f>
        <v>0.1816062551698</v>
      </c>
      <c r="M1422" s="12">
        <f>tItens[[#This Row],[Valor]]*(1-tItens[[#This Row],[Desconto]])</f>
        <v>0</v>
      </c>
      <c r="N1422" t="str">
        <f>IFERROR(INDEX(tProdutos[Foco],MATCH(tItens[[#This Row],[Produto]],tProdutos[Produto],0)),"Não")</f>
        <v>Não</v>
      </c>
      <c r="O1422" t="str">
        <f>IFERROR(INDEX(tEditais[SRP],MATCH(tItens[[#This Row],[Edital]],tEditais[Edital],0)),"Não")</f>
        <v>Não</v>
      </c>
      <c r="P1422" s="4">
        <f>IF(COUNTIFS(INDEX(tItens[Edital],1):tItens[[#This Row],[Edital]],tItens[[#This Row],[Edital]],INDEX(tItens[Produto],1):tItens[[#This Row],[Produto]],tItens[[#This Row],[Produto]])=1,1,0)</f>
        <v>1</v>
      </c>
    </row>
    <row r="1423" spans="1:16" x14ac:dyDescent="0.25">
      <c r="A1423" t="s">
        <v>1146</v>
      </c>
      <c r="B1423">
        <v>207</v>
      </c>
      <c r="C1423" t="s">
        <v>4485</v>
      </c>
      <c r="D1423" t="s">
        <v>566</v>
      </c>
      <c r="E1423" s="13">
        <v>10</v>
      </c>
      <c r="F1423" s="12">
        <v>0</v>
      </c>
      <c r="G1423" t="str">
        <f>IFERROR(INDEX(tEditais[Órgão],MATCH(tItens[[#This Row],[Edital]],tEditais[Edital],0)),"")</f>
        <v>FUNDO MUNICIPAL DE SAUDE DE MINEIROS</v>
      </c>
      <c r="H1423" t="str">
        <f>IFERROR(INDEX(tEditais[UF],MATCH(tItens[[#This Row],[Edital]],tEditais[Edital],0)),"")</f>
        <v>GO</v>
      </c>
      <c r="I1423" s="11">
        <f>IFERROR(INDEX(tEditais[Encerramento],MATCH(tItens[[#This Row],[Edital]],tEditais[Edital],0)),"")</f>
        <v>46308.291666666664</v>
      </c>
      <c r="J1423" t="str">
        <f>IFERROR(INDEX(tProdutos[Classe],MATCH(tItens[[#This Row],[Produto]],tProdutos[Produto],0)),"produto não cadastrado")</f>
        <v>FILA REBASE</v>
      </c>
      <c r="K1423" s="12">
        <f>tItens[[#This Row],[Qtd]]*tItens[[#This Row],[Vlr unit]]</f>
        <v>0</v>
      </c>
      <c r="L1423" s="6">
        <f>IFERROR(IF(INDEX(tProdutos[Desconto homologado],MATCH(tItens[[#This Row],[Produto]],tProdutos[Produto],0))="",DescontoPadrao,INDEX(tProdutos[Desconto homologado],MATCH(tItens[[#This Row],[Produto]],tProdutos[Produto],0))),DescontoPadrao)</f>
        <v>0.1816062551698</v>
      </c>
      <c r="M1423" s="12">
        <f>tItens[[#This Row],[Valor]]*(1-tItens[[#This Row],[Desconto]])</f>
        <v>0</v>
      </c>
      <c r="N1423" t="str">
        <f>IFERROR(INDEX(tProdutos[Foco],MATCH(tItens[[#This Row],[Produto]],tProdutos[Produto],0)),"Não")</f>
        <v>Não</v>
      </c>
      <c r="O1423" t="str">
        <f>IFERROR(INDEX(tEditais[SRP],MATCH(tItens[[#This Row],[Edital]],tEditais[Edital],0)),"Não")</f>
        <v>Não</v>
      </c>
      <c r="P1423" s="4">
        <f>IF(COUNTIFS(INDEX(tItens[Edital],1):tItens[[#This Row],[Edital]],tItens[[#This Row],[Edital]],INDEX(tItens[Produto],1):tItens[[#This Row],[Produto]],tItens[[#This Row],[Produto]])=1,1,0)</f>
        <v>0</v>
      </c>
    </row>
    <row r="1424" spans="1:16" x14ac:dyDescent="0.25">
      <c r="A1424" t="s">
        <v>1146</v>
      </c>
      <c r="B1424">
        <v>208</v>
      </c>
      <c r="C1424" t="s">
        <v>4486</v>
      </c>
      <c r="D1424" t="s">
        <v>566</v>
      </c>
      <c r="E1424" s="13">
        <v>2</v>
      </c>
      <c r="F1424" s="12">
        <v>0</v>
      </c>
      <c r="G1424" t="str">
        <f>IFERROR(INDEX(tEditais[Órgão],MATCH(tItens[[#This Row],[Edital]],tEditais[Edital],0)),"")</f>
        <v>FUNDO MUNICIPAL DE SAUDE DE MINEIROS</v>
      </c>
      <c r="H1424" t="str">
        <f>IFERROR(INDEX(tEditais[UF],MATCH(tItens[[#This Row],[Edital]],tEditais[Edital],0)),"")</f>
        <v>GO</v>
      </c>
      <c r="I1424" s="11">
        <f>IFERROR(INDEX(tEditais[Encerramento],MATCH(tItens[[#This Row],[Edital]],tEditais[Edital],0)),"")</f>
        <v>46308.291666666664</v>
      </c>
      <c r="J1424" t="str">
        <f>IFERROR(INDEX(tProdutos[Classe],MATCH(tItens[[#This Row],[Produto]],tProdutos[Produto],0)),"produto não cadastrado")</f>
        <v>FILA REBASE</v>
      </c>
      <c r="K1424" s="12">
        <f>tItens[[#This Row],[Qtd]]*tItens[[#This Row],[Vlr unit]]</f>
        <v>0</v>
      </c>
      <c r="L1424" s="6">
        <f>IFERROR(IF(INDEX(tProdutos[Desconto homologado],MATCH(tItens[[#This Row],[Produto]],tProdutos[Produto],0))="",DescontoPadrao,INDEX(tProdutos[Desconto homologado],MATCH(tItens[[#This Row],[Produto]],tProdutos[Produto],0))),DescontoPadrao)</f>
        <v>0.1816062551698</v>
      </c>
      <c r="M1424" s="12">
        <f>tItens[[#This Row],[Valor]]*(1-tItens[[#This Row],[Desconto]])</f>
        <v>0</v>
      </c>
      <c r="N1424" t="str">
        <f>IFERROR(INDEX(tProdutos[Foco],MATCH(tItens[[#This Row],[Produto]],tProdutos[Produto],0)),"Não")</f>
        <v>Não</v>
      </c>
      <c r="O1424" t="str">
        <f>IFERROR(INDEX(tEditais[SRP],MATCH(tItens[[#This Row],[Edital]],tEditais[Edital],0)),"Não")</f>
        <v>Não</v>
      </c>
      <c r="P1424" s="4">
        <f>IF(COUNTIFS(INDEX(tItens[Edital],1):tItens[[#This Row],[Edital]],tItens[[#This Row],[Edital]],INDEX(tItens[Produto],1):tItens[[#This Row],[Produto]],tItens[[#This Row],[Produto]])=1,1,0)</f>
        <v>0</v>
      </c>
    </row>
    <row r="1425" spans="1:16" x14ac:dyDescent="0.25">
      <c r="A1425" t="s">
        <v>1146</v>
      </c>
      <c r="B1425">
        <v>209</v>
      </c>
      <c r="C1425" t="s">
        <v>4487</v>
      </c>
      <c r="D1425" t="s">
        <v>566</v>
      </c>
      <c r="E1425" s="13">
        <v>2</v>
      </c>
      <c r="F1425" s="12">
        <v>0</v>
      </c>
      <c r="G1425" t="str">
        <f>IFERROR(INDEX(tEditais[Órgão],MATCH(tItens[[#This Row],[Edital]],tEditais[Edital],0)),"")</f>
        <v>FUNDO MUNICIPAL DE SAUDE DE MINEIROS</v>
      </c>
      <c r="H1425" t="str">
        <f>IFERROR(INDEX(tEditais[UF],MATCH(tItens[[#This Row],[Edital]],tEditais[Edital],0)),"")</f>
        <v>GO</v>
      </c>
      <c r="I1425" s="11">
        <f>IFERROR(INDEX(tEditais[Encerramento],MATCH(tItens[[#This Row],[Edital]],tEditais[Edital],0)),"")</f>
        <v>46308.291666666664</v>
      </c>
      <c r="J1425" t="str">
        <f>IFERROR(INDEX(tProdutos[Classe],MATCH(tItens[[#This Row],[Produto]],tProdutos[Produto],0)),"produto não cadastrado")</f>
        <v>FILA REBASE</v>
      </c>
      <c r="K1425" s="12">
        <f>tItens[[#This Row],[Qtd]]*tItens[[#This Row],[Vlr unit]]</f>
        <v>0</v>
      </c>
      <c r="L1425" s="6">
        <f>IFERROR(IF(INDEX(tProdutos[Desconto homologado],MATCH(tItens[[#This Row],[Produto]],tProdutos[Produto],0))="",DescontoPadrao,INDEX(tProdutos[Desconto homologado],MATCH(tItens[[#This Row],[Produto]],tProdutos[Produto],0))),DescontoPadrao)</f>
        <v>0.1816062551698</v>
      </c>
      <c r="M1425" s="12">
        <f>tItens[[#This Row],[Valor]]*(1-tItens[[#This Row],[Desconto]])</f>
        <v>0</v>
      </c>
      <c r="N1425" t="str">
        <f>IFERROR(INDEX(tProdutos[Foco],MATCH(tItens[[#This Row],[Produto]],tProdutos[Produto],0)),"Não")</f>
        <v>Não</v>
      </c>
      <c r="O1425" t="str">
        <f>IFERROR(INDEX(tEditais[SRP],MATCH(tItens[[#This Row],[Edital]],tEditais[Edital],0)),"Não")</f>
        <v>Não</v>
      </c>
      <c r="P1425" s="4">
        <f>IF(COUNTIFS(INDEX(tItens[Edital],1):tItens[[#This Row],[Edital]],tItens[[#This Row],[Edital]],INDEX(tItens[Produto],1):tItens[[#This Row],[Produto]],tItens[[#This Row],[Produto]])=1,1,0)</f>
        <v>0</v>
      </c>
    </row>
    <row r="1426" spans="1:16" x14ac:dyDescent="0.25">
      <c r="A1426" t="s">
        <v>1146</v>
      </c>
      <c r="B1426">
        <v>210</v>
      </c>
      <c r="C1426" t="s">
        <v>4488</v>
      </c>
      <c r="D1426" t="s">
        <v>566</v>
      </c>
      <c r="E1426" s="13">
        <v>3</v>
      </c>
      <c r="F1426" s="12">
        <v>0</v>
      </c>
      <c r="G1426" t="str">
        <f>IFERROR(INDEX(tEditais[Órgão],MATCH(tItens[[#This Row],[Edital]],tEditais[Edital],0)),"")</f>
        <v>FUNDO MUNICIPAL DE SAUDE DE MINEIROS</v>
      </c>
      <c r="H1426" t="str">
        <f>IFERROR(INDEX(tEditais[UF],MATCH(tItens[[#This Row],[Edital]],tEditais[Edital],0)),"")</f>
        <v>GO</v>
      </c>
      <c r="I1426" s="11">
        <f>IFERROR(INDEX(tEditais[Encerramento],MATCH(tItens[[#This Row],[Edital]],tEditais[Edital],0)),"")</f>
        <v>46308.291666666664</v>
      </c>
      <c r="J1426" t="str">
        <f>IFERROR(INDEX(tProdutos[Classe],MATCH(tItens[[#This Row],[Produto]],tProdutos[Produto],0)),"produto não cadastrado")</f>
        <v>FILA REBASE</v>
      </c>
      <c r="K1426" s="12">
        <f>tItens[[#This Row],[Qtd]]*tItens[[#This Row],[Vlr unit]]</f>
        <v>0</v>
      </c>
      <c r="L1426" s="6">
        <f>IFERROR(IF(INDEX(tProdutos[Desconto homologado],MATCH(tItens[[#This Row],[Produto]],tProdutos[Produto],0))="",DescontoPadrao,INDEX(tProdutos[Desconto homologado],MATCH(tItens[[#This Row],[Produto]],tProdutos[Produto],0))),DescontoPadrao)</f>
        <v>0.1816062551698</v>
      </c>
      <c r="M1426" s="12">
        <f>tItens[[#This Row],[Valor]]*(1-tItens[[#This Row],[Desconto]])</f>
        <v>0</v>
      </c>
      <c r="N1426" t="str">
        <f>IFERROR(INDEX(tProdutos[Foco],MATCH(tItens[[#This Row],[Produto]],tProdutos[Produto],0)),"Não")</f>
        <v>Não</v>
      </c>
      <c r="O1426" t="str">
        <f>IFERROR(INDEX(tEditais[SRP],MATCH(tItens[[#This Row],[Edital]],tEditais[Edital],0)),"Não")</f>
        <v>Não</v>
      </c>
      <c r="P1426" s="4">
        <f>IF(COUNTIFS(INDEX(tItens[Edital],1):tItens[[#This Row],[Edital]],tItens[[#This Row],[Edital]],INDEX(tItens[Produto],1):tItens[[#This Row],[Produto]],tItens[[#This Row],[Produto]])=1,1,0)</f>
        <v>0</v>
      </c>
    </row>
    <row r="1427" spans="1:16" x14ac:dyDescent="0.25">
      <c r="A1427" t="s">
        <v>1146</v>
      </c>
      <c r="B1427">
        <v>211</v>
      </c>
      <c r="C1427" t="s">
        <v>4489</v>
      </c>
      <c r="D1427" t="s">
        <v>172</v>
      </c>
      <c r="E1427" s="13">
        <v>1300</v>
      </c>
      <c r="F1427" s="12">
        <v>0</v>
      </c>
      <c r="G1427" t="str">
        <f>IFERROR(INDEX(tEditais[Órgão],MATCH(tItens[[#This Row],[Edital]],tEditais[Edital],0)),"")</f>
        <v>FUNDO MUNICIPAL DE SAUDE DE MINEIROS</v>
      </c>
      <c r="H1427" t="str">
        <f>IFERROR(INDEX(tEditais[UF],MATCH(tItens[[#This Row],[Edital]],tEditais[Edital],0)),"")</f>
        <v>GO</v>
      </c>
      <c r="I1427" s="11">
        <f>IFERROR(INDEX(tEditais[Encerramento],MATCH(tItens[[#This Row],[Edital]],tEditais[Edital],0)),"")</f>
        <v>46308.291666666664</v>
      </c>
      <c r="J1427" t="str">
        <f>IFERROR(INDEX(tProdutos[Classe],MATCH(tItens[[#This Row],[Produto]],tProdutos[Produto],0)),"produto não cadastrado")</f>
        <v>DISPUTADO</v>
      </c>
      <c r="K1427" s="12">
        <f>tItens[[#This Row],[Qtd]]*tItens[[#This Row],[Vlr unit]]</f>
        <v>0</v>
      </c>
      <c r="L1427" s="6">
        <f>IFERROR(IF(INDEX(tProdutos[Desconto homologado],MATCH(tItens[[#This Row],[Produto]],tProdutos[Produto],0))="",DescontoPadrao,INDEX(tProdutos[Desconto homologado],MATCH(tItens[[#This Row],[Produto]],tProdutos[Produto],0))),DescontoPadrao)</f>
        <v>0.33578431372549</v>
      </c>
      <c r="M1427" s="12">
        <f>tItens[[#This Row],[Valor]]*(1-tItens[[#This Row],[Desconto]])</f>
        <v>0</v>
      </c>
      <c r="N1427" t="str">
        <f>IFERROR(INDEX(tProdutos[Foco],MATCH(tItens[[#This Row],[Produto]],tProdutos[Produto],0)),"Não")</f>
        <v>Não</v>
      </c>
      <c r="O1427" t="str">
        <f>IFERROR(INDEX(tEditais[SRP],MATCH(tItens[[#This Row],[Edital]],tEditais[Edital],0)),"Não")</f>
        <v>Não</v>
      </c>
      <c r="P1427" s="4">
        <f>IF(COUNTIFS(INDEX(tItens[Edital],1):tItens[[#This Row],[Edital]],tItens[[#This Row],[Edital]],INDEX(tItens[Produto],1):tItens[[#This Row],[Produto]],tItens[[#This Row],[Produto]])=1,1,0)</f>
        <v>1</v>
      </c>
    </row>
    <row r="1428" spans="1:16" x14ac:dyDescent="0.25">
      <c r="A1428" t="s">
        <v>1146</v>
      </c>
      <c r="B1428">
        <v>243</v>
      </c>
      <c r="C1428" t="s">
        <v>4490</v>
      </c>
      <c r="D1428" t="s">
        <v>311</v>
      </c>
      <c r="E1428" s="13">
        <v>4000</v>
      </c>
      <c r="F1428" s="12">
        <v>0</v>
      </c>
      <c r="G1428" t="str">
        <f>IFERROR(INDEX(tEditais[Órgão],MATCH(tItens[[#This Row],[Edital]],tEditais[Edital],0)),"")</f>
        <v>FUNDO MUNICIPAL DE SAUDE DE MINEIROS</v>
      </c>
      <c r="H1428" t="str">
        <f>IFERROR(INDEX(tEditais[UF],MATCH(tItens[[#This Row],[Edital]],tEditais[Edital],0)),"")</f>
        <v>GO</v>
      </c>
      <c r="I1428" s="11">
        <f>IFERROR(INDEX(tEditais[Encerramento],MATCH(tItens[[#This Row],[Edital]],tEditais[Edital],0)),"")</f>
        <v>46308.291666666664</v>
      </c>
      <c r="J1428" t="str">
        <f>IFERROR(INDEX(tProdutos[Classe],MATCH(tItens[[#This Row],[Produto]],tProdutos[Produto],0)),"produto não cadastrado")</f>
        <v>FORA</v>
      </c>
      <c r="K1428" s="12">
        <f>tItens[[#This Row],[Qtd]]*tItens[[#This Row],[Vlr unit]]</f>
        <v>0</v>
      </c>
      <c r="L1428" s="6">
        <f>IFERROR(IF(INDEX(tProdutos[Desconto homologado],MATCH(tItens[[#This Row],[Produto]],tProdutos[Produto],0))="",DescontoPadrao,INDEX(tProdutos[Desconto homologado],MATCH(tItens[[#This Row],[Produto]],tProdutos[Produto],0))),DescontoPadrao)</f>
        <v>0.29046182846371399</v>
      </c>
      <c r="M1428" s="12">
        <f>tItens[[#This Row],[Valor]]*(1-tItens[[#This Row],[Desconto]])</f>
        <v>0</v>
      </c>
      <c r="N1428" t="str">
        <f>IFERROR(INDEX(tProdutos[Foco],MATCH(tItens[[#This Row],[Produto]],tProdutos[Produto],0)),"Não")</f>
        <v>Não</v>
      </c>
      <c r="O1428" t="str">
        <f>IFERROR(INDEX(tEditais[SRP],MATCH(tItens[[#This Row],[Edital]],tEditais[Edital],0)),"Não")</f>
        <v>Não</v>
      </c>
      <c r="P1428" s="4">
        <f>IF(COUNTIFS(INDEX(tItens[Edital],1):tItens[[#This Row],[Edital]],tItens[[#This Row],[Edital]],INDEX(tItens[Produto],1):tItens[[#This Row],[Produto]],tItens[[#This Row],[Produto]])=1,1,0)</f>
        <v>1</v>
      </c>
    </row>
    <row r="1429" spans="1:16" x14ac:dyDescent="0.25">
      <c r="A1429" t="s">
        <v>1146</v>
      </c>
      <c r="B1429">
        <v>244</v>
      </c>
      <c r="C1429" t="s">
        <v>4491</v>
      </c>
      <c r="D1429" t="s">
        <v>311</v>
      </c>
      <c r="E1429" s="13">
        <v>1000</v>
      </c>
      <c r="F1429" s="12">
        <v>0</v>
      </c>
      <c r="G1429" t="str">
        <f>IFERROR(INDEX(tEditais[Órgão],MATCH(tItens[[#This Row],[Edital]],tEditais[Edital],0)),"")</f>
        <v>FUNDO MUNICIPAL DE SAUDE DE MINEIROS</v>
      </c>
      <c r="H1429" t="str">
        <f>IFERROR(INDEX(tEditais[UF],MATCH(tItens[[#This Row],[Edital]],tEditais[Edital],0)),"")</f>
        <v>GO</v>
      </c>
      <c r="I1429" s="11">
        <f>IFERROR(INDEX(tEditais[Encerramento],MATCH(tItens[[#This Row],[Edital]],tEditais[Edital],0)),"")</f>
        <v>46308.291666666664</v>
      </c>
      <c r="J1429" t="str">
        <f>IFERROR(INDEX(tProdutos[Classe],MATCH(tItens[[#This Row],[Produto]],tProdutos[Produto],0)),"produto não cadastrado")</f>
        <v>FORA</v>
      </c>
      <c r="K1429" s="12">
        <f>tItens[[#This Row],[Qtd]]*tItens[[#This Row],[Vlr unit]]</f>
        <v>0</v>
      </c>
      <c r="L1429" s="6">
        <f>IFERROR(IF(INDEX(tProdutos[Desconto homologado],MATCH(tItens[[#This Row],[Produto]],tProdutos[Produto],0))="",DescontoPadrao,INDEX(tProdutos[Desconto homologado],MATCH(tItens[[#This Row],[Produto]],tProdutos[Produto],0))),DescontoPadrao)</f>
        <v>0.29046182846371399</v>
      </c>
      <c r="M1429" s="12">
        <f>tItens[[#This Row],[Valor]]*(1-tItens[[#This Row],[Desconto]])</f>
        <v>0</v>
      </c>
      <c r="N1429" t="str">
        <f>IFERROR(INDEX(tProdutos[Foco],MATCH(tItens[[#This Row],[Produto]],tProdutos[Produto],0)),"Não")</f>
        <v>Não</v>
      </c>
      <c r="O1429" t="str">
        <f>IFERROR(INDEX(tEditais[SRP],MATCH(tItens[[#This Row],[Edital]],tEditais[Edital],0)),"Não")</f>
        <v>Não</v>
      </c>
      <c r="P1429" s="4">
        <f>IF(COUNTIFS(INDEX(tItens[Edital],1):tItens[[#This Row],[Edital]],tItens[[#This Row],[Edital]],INDEX(tItens[Produto],1):tItens[[#This Row],[Produto]],tItens[[#This Row],[Produto]])=1,1,0)</f>
        <v>0</v>
      </c>
    </row>
    <row r="1430" spans="1:16" x14ac:dyDescent="0.25">
      <c r="A1430" t="s">
        <v>1146</v>
      </c>
      <c r="B1430">
        <v>245</v>
      </c>
      <c r="C1430" t="s">
        <v>4492</v>
      </c>
      <c r="D1430" t="s">
        <v>94</v>
      </c>
      <c r="E1430" s="13">
        <v>200</v>
      </c>
      <c r="F1430" s="12">
        <v>0</v>
      </c>
      <c r="G1430" t="str">
        <f>IFERROR(INDEX(tEditais[Órgão],MATCH(tItens[[#This Row],[Edital]],tEditais[Edital],0)),"")</f>
        <v>FUNDO MUNICIPAL DE SAUDE DE MINEIROS</v>
      </c>
      <c r="H1430" t="str">
        <f>IFERROR(INDEX(tEditais[UF],MATCH(tItens[[#This Row],[Edital]],tEditais[Edital],0)),"")</f>
        <v>GO</v>
      </c>
      <c r="I1430" s="11">
        <f>IFERROR(INDEX(tEditais[Encerramento],MATCH(tItens[[#This Row],[Edital]],tEditais[Edital],0)),"")</f>
        <v>46308.291666666664</v>
      </c>
      <c r="J1430" t="str">
        <f>IFERROR(INDEX(tProdutos[Classe],MATCH(tItens[[#This Row],[Produto]],tProdutos[Produto],0)),"produto não cadastrado")</f>
        <v>NÚCLEO</v>
      </c>
      <c r="K1430" s="12">
        <f>tItens[[#This Row],[Qtd]]*tItens[[#This Row],[Vlr unit]]</f>
        <v>0</v>
      </c>
      <c r="L1430" s="6">
        <f>IFERROR(IF(INDEX(tProdutos[Desconto homologado],MATCH(tItens[[#This Row],[Produto]],tProdutos[Produto],0))="",DescontoPadrao,INDEX(tProdutos[Desconto homologado],MATCH(tItens[[#This Row],[Produto]],tProdutos[Produto],0))),DescontoPadrao)</f>
        <v>0.21</v>
      </c>
      <c r="M1430" s="12">
        <f>tItens[[#This Row],[Valor]]*(1-tItens[[#This Row],[Desconto]])</f>
        <v>0</v>
      </c>
      <c r="N1430" t="str">
        <f>IFERROR(INDEX(tProdutos[Foco],MATCH(tItens[[#This Row],[Produto]],tProdutos[Produto],0)),"Não")</f>
        <v>Sim</v>
      </c>
      <c r="O1430" t="str">
        <f>IFERROR(INDEX(tEditais[SRP],MATCH(tItens[[#This Row],[Edital]],tEditais[Edital],0)),"Não")</f>
        <v>Não</v>
      </c>
      <c r="P1430" s="4">
        <f>IF(COUNTIFS(INDEX(tItens[Edital],1):tItens[[#This Row],[Edital]],tItens[[#This Row],[Edital]],INDEX(tItens[Produto],1):tItens[[#This Row],[Produto]],tItens[[#This Row],[Produto]])=1,1,0)</f>
        <v>1</v>
      </c>
    </row>
    <row r="1431" spans="1:16" x14ac:dyDescent="0.25">
      <c r="A1431" t="s">
        <v>1146</v>
      </c>
      <c r="B1431">
        <v>250</v>
      </c>
      <c r="C1431" t="s">
        <v>4493</v>
      </c>
      <c r="D1431" t="s">
        <v>383</v>
      </c>
      <c r="E1431" s="13">
        <v>183600</v>
      </c>
      <c r="F1431" s="12">
        <v>0</v>
      </c>
      <c r="G1431" t="str">
        <f>IFERROR(INDEX(tEditais[Órgão],MATCH(tItens[[#This Row],[Edital]],tEditais[Edital],0)),"")</f>
        <v>FUNDO MUNICIPAL DE SAUDE DE MINEIROS</v>
      </c>
      <c r="H1431" t="str">
        <f>IFERROR(INDEX(tEditais[UF],MATCH(tItens[[#This Row],[Edital]],tEditais[Edital],0)),"")</f>
        <v>GO</v>
      </c>
      <c r="I1431" s="11">
        <f>IFERROR(INDEX(tEditais[Encerramento],MATCH(tItens[[#This Row],[Edital]],tEditais[Edital],0)),"")</f>
        <v>46308.291666666664</v>
      </c>
      <c r="J1431" t="str">
        <f>IFERROR(INDEX(tProdutos[Classe],MATCH(tItens[[#This Row],[Produto]],tProdutos[Produto],0)),"produto não cadastrado")</f>
        <v>FORA</v>
      </c>
      <c r="K1431" s="12">
        <f>tItens[[#This Row],[Qtd]]*tItens[[#This Row],[Vlr unit]]</f>
        <v>0</v>
      </c>
      <c r="L1431" s="6">
        <f>IFERROR(IF(INDEX(tProdutos[Desconto homologado],MATCH(tItens[[#This Row],[Produto]],tProdutos[Produto],0))="",DescontoPadrao,INDEX(tProdutos[Desconto homologado],MATCH(tItens[[#This Row],[Produto]],tProdutos[Produto],0))),DescontoPadrao)</f>
        <v>0.48749999999999999</v>
      </c>
      <c r="M1431" s="12">
        <f>tItens[[#This Row],[Valor]]*(1-tItens[[#This Row],[Desconto]])</f>
        <v>0</v>
      </c>
      <c r="N1431" t="str">
        <f>IFERROR(INDEX(tProdutos[Foco],MATCH(tItens[[#This Row],[Produto]],tProdutos[Produto],0)),"Não")</f>
        <v>Não</v>
      </c>
      <c r="O1431" t="str">
        <f>IFERROR(INDEX(tEditais[SRP],MATCH(tItens[[#This Row],[Edital]],tEditais[Edital],0)),"Não")</f>
        <v>Não</v>
      </c>
      <c r="P1431" s="4">
        <f>IF(COUNTIFS(INDEX(tItens[Edital],1):tItens[[#This Row],[Edital]],tItens[[#This Row],[Edital]],INDEX(tItens[Produto],1):tItens[[#This Row],[Produto]],tItens[[#This Row],[Produto]])=1,1,0)</f>
        <v>1</v>
      </c>
    </row>
    <row r="1432" spans="1:16" x14ac:dyDescent="0.25">
      <c r="A1432" t="s">
        <v>1146</v>
      </c>
      <c r="B1432">
        <v>251</v>
      </c>
      <c r="C1432" t="s">
        <v>4493</v>
      </c>
      <c r="D1432" t="s">
        <v>383</v>
      </c>
      <c r="E1432" s="13">
        <v>32400</v>
      </c>
      <c r="F1432" s="12">
        <v>0</v>
      </c>
      <c r="G1432" t="str">
        <f>IFERROR(INDEX(tEditais[Órgão],MATCH(tItens[[#This Row],[Edital]],tEditais[Edital],0)),"")</f>
        <v>FUNDO MUNICIPAL DE SAUDE DE MINEIROS</v>
      </c>
      <c r="H1432" t="str">
        <f>IFERROR(INDEX(tEditais[UF],MATCH(tItens[[#This Row],[Edital]],tEditais[Edital],0)),"")</f>
        <v>GO</v>
      </c>
      <c r="I1432" s="11">
        <f>IFERROR(INDEX(tEditais[Encerramento],MATCH(tItens[[#This Row],[Edital]],tEditais[Edital],0)),"")</f>
        <v>46308.291666666664</v>
      </c>
      <c r="J1432" t="str">
        <f>IFERROR(INDEX(tProdutos[Classe],MATCH(tItens[[#This Row],[Produto]],tProdutos[Produto],0)),"produto não cadastrado")</f>
        <v>FORA</v>
      </c>
      <c r="K1432" s="12">
        <f>tItens[[#This Row],[Qtd]]*tItens[[#This Row],[Vlr unit]]</f>
        <v>0</v>
      </c>
      <c r="L1432" s="6">
        <f>IFERROR(IF(INDEX(tProdutos[Desconto homologado],MATCH(tItens[[#This Row],[Produto]],tProdutos[Produto],0))="",DescontoPadrao,INDEX(tProdutos[Desconto homologado],MATCH(tItens[[#This Row],[Produto]],tProdutos[Produto],0))),DescontoPadrao)</f>
        <v>0.48749999999999999</v>
      </c>
      <c r="M1432" s="12">
        <f>tItens[[#This Row],[Valor]]*(1-tItens[[#This Row],[Desconto]])</f>
        <v>0</v>
      </c>
      <c r="N1432" t="str">
        <f>IFERROR(INDEX(tProdutos[Foco],MATCH(tItens[[#This Row],[Produto]],tProdutos[Produto],0)),"Não")</f>
        <v>Não</v>
      </c>
      <c r="O1432" t="str">
        <f>IFERROR(INDEX(tEditais[SRP],MATCH(tItens[[#This Row],[Edital]],tEditais[Edital],0)),"Não")</f>
        <v>Não</v>
      </c>
      <c r="P1432" s="4">
        <f>IF(COUNTIFS(INDEX(tItens[Edital],1):tItens[[#This Row],[Edital]],tItens[[#This Row],[Edital]],INDEX(tItens[Produto],1):tItens[[#This Row],[Produto]],tItens[[#This Row],[Produto]])=1,1,0)</f>
        <v>0</v>
      </c>
    </row>
    <row r="1433" spans="1:16" x14ac:dyDescent="0.25">
      <c r="A1433" t="s">
        <v>1146</v>
      </c>
      <c r="B1433">
        <v>260</v>
      </c>
      <c r="C1433" t="s">
        <v>4494</v>
      </c>
      <c r="D1433" t="s">
        <v>154</v>
      </c>
      <c r="E1433" s="13">
        <v>170</v>
      </c>
      <c r="F1433" s="12">
        <v>0</v>
      </c>
      <c r="G1433" t="str">
        <f>IFERROR(INDEX(tEditais[Órgão],MATCH(tItens[[#This Row],[Edital]],tEditais[Edital],0)),"")</f>
        <v>FUNDO MUNICIPAL DE SAUDE DE MINEIROS</v>
      </c>
      <c r="H1433" t="str">
        <f>IFERROR(INDEX(tEditais[UF],MATCH(tItens[[#This Row],[Edital]],tEditais[Edital],0)),"")</f>
        <v>GO</v>
      </c>
      <c r="I1433" s="11">
        <f>IFERROR(INDEX(tEditais[Encerramento],MATCH(tItens[[#This Row],[Edital]],tEditais[Edital],0)),"")</f>
        <v>46308.291666666664</v>
      </c>
      <c r="J1433" t="str">
        <f>IFERROR(INDEX(tProdutos[Classe],MATCH(tItens[[#This Row],[Produto]],tProdutos[Produto],0)),"produto não cadastrado")</f>
        <v>DISPUTADO</v>
      </c>
      <c r="K1433" s="12">
        <f>tItens[[#This Row],[Qtd]]*tItens[[#This Row],[Vlr unit]]</f>
        <v>0</v>
      </c>
      <c r="L1433" s="6">
        <f>IFERROR(IF(INDEX(tProdutos[Desconto homologado],MATCH(tItens[[#This Row],[Produto]],tProdutos[Produto],0))="",DescontoPadrao,INDEX(tProdutos[Desconto homologado],MATCH(tItens[[#This Row],[Produto]],tProdutos[Produto],0))),DescontoPadrao)</f>
        <v>0.48690097134476601</v>
      </c>
      <c r="M1433" s="12">
        <f>tItens[[#This Row],[Valor]]*(1-tItens[[#This Row],[Desconto]])</f>
        <v>0</v>
      </c>
      <c r="N1433" t="str">
        <f>IFERROR(INDEX(tProdutos[Foco],MATCH(tItens[[#This Row],[Produto]],tProdutos[Produto],0)),"Não")</f>
        <v>Não</v>
      </c>
      <c r="O1433" t="str">
        <f>IFERROR(INDEX(tEditais[SRP],MATCH(tItens[[#This Row],[Edital]],tEditais[Edital],0)),"Não")</f>
        <v>Não</v>
      </c>
      <c r="P1433" s="4">
        <f>IF(COUNTIFS(INDEX(tItens[Edital],1):tItens[[#This Row],[Edital]],tItens[[#This Row],[Edital]],INDEX(tItens[Produto],1):tItens[[#This Row],[Produto]],tItens[[#This Row],[Produto]])=1,1,0)</f>
        <v>1</v>
      </c>
    </row>
    <row r="1434" spans="1:16" x14ac:dyDescent="0.25">
      <c r="A1434" t="s">
        <v>1146</v>
      </c>
      <c r="B1434">
        <v>261</v>
      </c>
      <c r="C1434" t="s">
        <v>4495</v>
      </c>
      <c r="D1434" t="s">
        <v>154</v>
      </c>
      <c r="E1434" s="13">
        <v>149</v>
      </c>
      <c r="F1434" s="12">
        <v>0</v>
      </c>
      <c r="G1434" t="str">
        <f>IFERROR(INDEX(tEditais[Órgão],MATCH(tItens[[#This Row],[Edital]],tEditais[Edital],0)),"")</f>
        <v>FUNDO MUNICIPAL DE SAUDE DE MINEIROS</v>
      </c>
      <c r="H1434" t="str">
        <f>IFERROR(INDEX(tEditais[UF],MATCH(tItens[[#This Row],[Edital]],tEditais[Edital],0)),"")</f>
        <v>GO</v>
      </c>
      <c r="I1434" s="11">
        <f>IFERROR(INDEX(tEditais[Encerramento],MATCH(tItens[[#This Row],[Edital]],tEditais[Edital],0)),"")</f>
        <v>46308.291666666664</v>
      </c>
      <c r="J1434" t="str">
        <f>IFERROR(INDEX(tProdutos[Classe],MATCH(tItens[[#This Row],[Produto]],tProdutos[Produto],0)),"produto não cadastrado")</f>
        <v>DISPUTADO</v>
      </c>
      <c r="K1434" s="12">
        <f>tItens[[#This Row],[Qtd]]*tItens[[#This Row],[Vlr unit]]</f>
        <v>0</v>
      </c>
      <c r="L1434" s="6">
        <f>IFERROR(IF(INDEX(tProdutos[Desconto homologado],MATCH(tItens[[#This Row],[Produto]],tProdutos[Produto],0))="",DescontoPadrao,INDEX(tProdutos[Desconto homologado],MATCH(tItens[[#This Row],[Produto]],tProdutos[Produto],0))),DescontoPadrao)</f>
        <v>0.48690097134476601</v>
      </c>
      <c r="M1434" s="12">
        <f>tItens[[#This Row],[Valor]]*(1-tItens[[#This Row],[Desconto]])</f>
        <v>0</v>
      </c>
      <c r="N1434" t="str">
        <f>IFERROR(INDEX(tProdutos[Foco],MATCH(tItens[[#This Row],[Produto]],tProdutos[Produto],0)),"Não")</f>
        <v>Não</v>
      </c>
      <c r="O1434" t="str">
        <f>IFERROR(INDEX(tEditais[SRP],MATCH(tItens[[#This Row],[Edital]],tEditais[Edital],0)),"Não")</f>
        <v>Não</v>
      </c>
      <c r="P1434" s="4">
        <f>IF(COUNTIFS(INDEX(tItens[Edital],1):tItens[[#This Row],[Edital]],tItens[[#This Row],[Edital]],INDEX(tItens[Produto],1):tItens[[#This Row],[Produto]],tItens[[#This Row],[Produto]])=1,1,0)</f>
        <v>0</v>
      </c>
    </row>
    <row r="1435" spans="1:16" x14ac:dyDescent="0.25">
      <c r="A1435" t="s">
        <v>1146</v>
      </c>
      <c r="B1435">
        <v>262</v>
      </c>
      <c r="C1435" t="s">
        <v>4496</v>
      </c>
      <c r="D1435" t="s">
        <v>154</v>
      </c>
      <c r="E1435" s="13">
        <v>144</v>
      </c>
      <c r="F1435" s="12">
        <v>0</v>
      </c>
      <c r="G1435" t="str">
        <f>IFERROR(INDEX(tEditais[Órgão],MATCH(tItens[[#This Row],[Edital]],tEditais[Edital],0)),"")</f>
        <v>FUNDO MUNICIPAL DE SAUDE DE MINEIROS</v>
      </c>
      <c r="H1435" t="str">
        <f>IFERROR(INDEX(tEditais[UF],MATCH(tItens[[#This Row],[Edital]],tEditais[Edital],0)),"")</f>
        <v>GO</v>
      </c>
      <c r="I1435" s="11">
        <f>IFERROR(INDEX(tEditais[Encerramento],MATCH(tItens[[#This Row],[Edital]],tEditais[Edital],0)),"")</f>
        <v>46308.291666666664</v>
      </c>
      <c r="J1435" t="str">
        <f>IFERROR(INDEX(tProdutos[Classe],MATCH(tItens[[#This Row],[Produto]],tProdutos[Produto],0)),"produto não cadastrado")</f>
        <v>DISPUTADO</v>
      </c>
      <c r="K1435" s="12">
        <f>tItens[[#This Row],[Qtd]]*tItens[[#This Row],[Vlr unit]]</f>
        <v>0</v>
      </c>
      <c r="L1435" s="6">
        <f>IFERROR(IF(INDEX(tProdutos[Desconto homologado],MATCH(tItens[[#This Row],[Produto]],tProdutos[Produto],0))="",DescontoPadrao,INDEX(tProdutos[Desconto homologado],MATCH(tItens[[#This Row],[Produto]],tProdutos[Produto],0))),DescontoPadrao)</f>
        <v>0.48690097134476601</v>
      </c>
      <c r="M1435" s="12">
        <f>tItens[[#This Row],[Valor]]*(1-tItens[[#This Row],[Desconto]])</f>
        <v>0</v>
      </c>
      <c r="N1435" t="str">
        <f>IFERROR(INDEX(tProdutos[Foco],MATCH(tItens[[#This Row],[Produto]],tProdutos[Produto],0)),"Não")</f>
        <v>Não</v>
      </c>
      <c r="O1435" t="str">
        <f>IFERROR(INDEX(tEditais[SRP],MATCH(tItens[[#This Row],[Edital]],tEditais[Edital],0)),"Não")</f>
        <v>Não</v>
      </c>
      <c r="P1435" s="4">
        <f>IF(COUNTIFS(INDEX(tItens[Edital],1):tItens[[#This Row],[Edital]],tItens[[#This Row],[Edital]],INDEX(tItens[Produto],1):tItens[[#This Row],[Produto]],tItens[[#This Row],[Produto]])=1,1,0)</f>
        <v>0</v>
      </c>
    </row>
    <row r="1436" spans="1:16" x14ac:dyDescent="0.25">
      <c r="A1436" t="s">
        <v>1146</v>
      </c>
      <c r="B1436">
        <v>263</v>
      </c>
      <c r="C1436" t="s">
        <v>4497</v>
      </c>
      <c r="D1436" t="s">
        <v>144</v>
      </c>
      <c r="E1436" s="13">
        <v>110</v>
      </c>
      <c r="F1436" s="12">
        <v>0</v>
      </c>
      <c r="G1436" t="str">
        <f>IFERROR(INDEX(tEditais[Órgão],MATCH(tItens[[#This Row],[Edital]],tEditais[Edital],0)),"")</f>
        <v>FUNDO MUNICIPAL DE SAUDE DE MINEIROS</v>
      </c>
      <c r="H1436" t="str">
        <f>IFERROR(INDEX(tEditais[UF],MATCH(tItens[[#This Row],[Edital]],tEditais[Edital],0)),"")</f>
        <v>GO</v>
      </c>
      <c r="I1436" s="11">
        <f>IFERROR(INDEX(tEditais[Encerramento],MATCH(tItens[[#This Row],[Edital]],tEditais[Edital],0)),"")</f>
        <v>46308.291666666664</v>
      </c>
      <c r="J1436" t="str">
        <f>IFERROR(INDEX(tProdutos[Classe],MATCH(tItens[[#This Row],[Produto]],tProdutos[Produto],0)),"produto não cadastrado")</f>
        <v>DISPUTADO</v>
      </c>
      <c r="K1436" s="12">
        <f>tItens[[#This Row],[Qtd]]*tItens[[#This Row],[Vlr unit]]</f>
        <v>0</v>
      </c>
      <c r="L1436" s="6">
        <f>IFERROR(IF(INDEX(tProdutos[Desconto homologado],MATCH(tItens[[#This Row],[Produto]],tProdutos[Produto],0))="",DescontoPadrao,INDEX(tProdutos[Desconto homologado],MATCH(tItens[[#This Row],[Produto]],tProdutos[Produto],0))),DescontoPadrao)</f>
        <v>0.371428571428571</v>
      </c>
      <c r="M1436" s="12">
        <f>tItens[[#This Row],[Valor]]*(1-tItens[[#This Row],[Desconto]])</f>
        <v>0</v>
      </c>
      <c r="N1436" t="str">
        <f>IFERROR(INDEX(tProdutos[Foco],MATCH(tItens[[#This Row],[Produto]],tProdutos[Produto],0)),"Não")</f>
        <v>Não</v>
      </c>
      <c r="O1436" t="str">
        <f>IFERROR(INDEX(tEditais[SRP],MATCH(tItens[[#This Row],[Edital]],tEditais[Edital],0)),"Não")</f>
        <v>Não</v>
      </c>
      <c r="P1436" s="4">
        <f>IF(COUNTIFS(INDEX(tItens[Edital],1):tItens[[#This Row],[Edital]],tItens[[#This Row],[Edital]],INDEX(tItens[Produto],1):tItens[[#This Row],[Produto]],tItens[[#This Row],[Produto]])=1,1,0)</f>
        <v>1</v>
      </c>
    </row>
    <row r="1437" spans="1:16" x14ac:dyDescent="0.25">
      <c r="A1437" t="s">
        <v>1146</v>
      </c>
      <c r="B1437">
        <v>264</v>
      </c>
      <c r="C1437" t="s">
        <v>4498</v>
      </c>
      <c r="D1437" t="s">
        <v>144</v>
      </c>
      <c r="E1437" s="13">
        <v>80</v>
      </c>
      <c r="F1437" s="12">
        <v>0</v>
      </c>
      <c r="G1437" t="str">
        <f>IFERROR(INDEX(tEditais[Órgão],MATCH(tItens[[#This Row],[Edital]],tEditais[Edital],0)),"")</f>
        <v>FUNDO MUNICIPAL DE SAUDE DE MINEIROS</v>
      </c>
      <c r="H1437" t="str">
        <f>IFERROR(INDEX(tEditais[UF],MATCH(tItens[[#This Row],[Edital]],tEditais[Edital],0)),"")</f>
        <v>GO</v>
      </c>
      <c r="I1437" s="11">
        <f>IFERROR(INDEX(tEditais[Encerramento],MATCH(tItens[[#This Row],[Edital]],tEditais[Edital],0)),"")</f>
        <v>46308.291666666664</v>
      </c>
      <c r="J1437" t="str">
        <f>IFERROR(INDEX(tProdutos[Classe],MATCH(tItens[[#This Row],[Produto]],tProdutos[Produto],0)),"produto não cadastrado")</f>
        <v>DISPUTADO</v>
      </c>
      <c r="K1437" s="12">
        <f>tItens[[#This Row],[Qtd]]*tItens[[#This Row],[Vlr unit]]</f>
        <v>0</v>
      </c>
      <c r="L1437" s="6">
        <f>IFERROR(IF(INDEX(tProdutos[Desconto homologado],MATCH(tItens[[#This Row],[Produto]],tProdutos[Produto],0))="",DescontoPadrao,INDEX(tProdutos[Desconto homologado],MATCH(tItens[[#This Row],[Produto]],tProdutos[Produto],0))),DescontoPadrao)</f>
        <v>0.371428571428571</v>
      </c>
      <c r="M1437" s="12">
        <f>tItens[[#This Row],[Valor]]*(1-tItens[[#This Row],[Desconto]])</f>
        <v>0</v>
      </c>
      <c r="N1437" t="str">
        <f>IFERROR(INDEX(tProdutos[Foco],MATCH(tItens[[#This Row],[Produto]],tProdutos[Produto],0)),"Não")</f>
        <v>Não</v>
      </c>
      <c r="O1437" t="str">
        <f>IFERROR(INDEX(tEditais[SRP],MATCH(tItens[[#This Row],[Edital]],tEditais[Edital],0)),"Não")</f>
        <v>Não</v>
      </c>
      <c r="P1437" s="4">
        <f>IF(COUNTIFS(INDEX(tItens[Edital],1):tItens[[#This Row],[Edital]],tItens[[#This Row],[Edital]],INDEX(tItens[Produto],1):tItens[[#This Row],[Produto]],tItens[[#This Row],[Produto]])=1,1,0)</f>
        <v>0</v>
      </c>
    </row>
    <row r="1438" spans="1:16" x14ac:dyDescent="0.25">
      <c r="A1438" t="s">
        <v>1146</v>
      </c>
      <c r="B1438">
        <v>265</v>
      </c>
      <c r="C1438" t="s">
        <v>4499</v>
      </c>
      <c r="D1438" t="s">
        <v>144</v>
      </c>
      <c r="E1438" s="13">
        <v>70</v>
      </c>
      <c r="F1438" s="12">
        <v>0</v>
      </c>
      <c r="G1438" t="str">
        <f>IFERROR(INDEX(tEditais[Órgão],MATCH(tItens[[#This Row],[Edital]],tEditais[Edital],0)),"")</f>
        <v>FUNDO MUNICIPAL DE SAUDE DE MINEIROS</v>
      </c>
      <c r="H1438" t="str">
        <f>IFERROR(INDEX(tEditais[UF],MATCH(tItens[[#This Row],[Edital]],tEditais[Edital],0)),"")</f>
        <v>GO</v>
      </c>
      <c r="I1438" s="11">
        <f>IFERROR(INDEX(tEditais[Encerramento],MATCH(tItens[[#This Row],[Edital]],tEditais[Edital],0)),"")</f>
        <v>46308.291666666664</v>
      </c>
      <c r="J1438" t="str">
        <f>IFERROR(INDEX(tProdutos[Classe],MATCH(tItens[[#This Row],[Produto]],tProdutos[Produto],0)),"produto não cadastrado")</f>
        <v>DISPUTADO</v>
      </c>
      <c r="K1438" s="12">
        <f>tItens[[#This Row],[Qtd]]*tItens[[#This Row],[Vlr unit]]</f>
        <v>0</v>
      </c>
      <c r="L1438" s="6">
        <f>IFERROR(IF(INDEX(tProdutos[Desconto homologado],MATCH(tItens[[#This Row],[Produto]],tProdutos[Produto],0))="",DescontoPadrao,INDEX(tProdutos[Desconto homologado],MATCH(tItens[[#This Row],[Produto]],tProdutos[Produto],0))),DescontoPadrao)</f>
        <v>0.371428571428571</v>
      </c>
      <c r="M1438" s="12">
        <f>tItens[[#This Row],[Valor]]*(1-tItens[[#This Row],[Desconto]])</f>
        <v>0</v>
      </c>
      <c r="N1438" t="str">
        <f>IFERROR(INDEX(tProdutos[Foco],MATCH(tItens[[#This Row],[Produto]],tProdutos[Produto],0)),"Não")</f>
        <v>Não</v>
      </c>
      <c r="O1438" t="str">
        <f>IFERROR(INDEX(tEditais[SRP],MATCH(tItens[[#This Row],[Edital]],tEditais[Edital],0)),"Não")</f>
        <v>Não</v>
      </c>
      <c r="P1438" s="4">
        <f>IF(COUNTIFS(INDEX(tItens[Edital],1):tItens[[#This Row],[Edital]],tItens[[#This Row],[Edital]],INDEX(tItens[Produto],1):tItens[[#This Row],[Produto]],tItens[[#This Row],[Produto]])=1,1,0)</f>
        <v>0</v>
      </c>
    </row>
    <row r="1439" spans="1:16" x14ac:dyDescent="0.25">
      <c r="A1439" t="s">
        <v>1146</v>
      </c>
      <c r="B1439">
        <v>283</v>
      </c>
      <c r="C1439" t="s">
        <v>4500</v>
      </c>
      <c r="D1439" t="s">
        <v>347</v>
      </c>
      <c r="E1439" s="13">
        <v>25</v>
      </c>
      <c r="F1439" s="12">
        <v>0</v>
      </c>
      <c r="G1439" t="str">
        <f>IFERROR(INDEX(tEditais[Órgão],MATCH(tItens[[#This Row],[Edital]],tEditais[Edital],0)),"")</f>
        <v>FUNDO MUNICIPAL DE SAUDE DE MINEIROS</v>
      </c>
      <c r="H1439" t="str">
        <f>IFERROR(INDEX(tEditais[UF],MATCH(tItens[[#This Row],[Edital]],tEditais[Edital],0)),"")</f>
        <v>GO</v>
      </c>
      <c r="I1439" s="11">
        <f>IFERROR(INDEX(tEditais[Encerramento],MATCH(tItens[[#This Row],[Edital]],tEditais[Edital],0)),"")</f>
        <v>46308.291666666664</v>
      </c>
      <c r="J1439" t="str">
        <f>IFERROR(INDEX(tProdutos[Classe],MATCH(tItens[[#This Row],[Produto]],tProdutos[Produto],0)),"produto não cadastrado")</f>
        <v>FORA</v>
      </c>
      <c r="K1439" s="12">
        <f>tItens[[#This Row],[Qtd]]*tItens[[#This Row],[Vlr unit]]</f>
        <v>0</v>
      </c>
      <c r="L1439" s="6">
        <f>IFERROR(IF(INDEX(tProdutos[Desconto homologado],MATCH(tItens[[#This Row],[Produto]],tProdutos[Produto],0))="",DescontoPadrao,INDEX(tProdutos[Desconto homologado],MATCH(tItens[[#This Row],[Produto]],tProdutos[Produto],0))),DescontoPadrao)</f>
        <v>0.26356465005931201</v>
      </c>
      <c r="M1439" s="12">
        <f>tItens[[#This Row],[Valor]]*(1-tItens[[#This Row],[Desconto]])</f>
        <v>0</v>
      </c>
      <c r="N1439" t="str">
        <f>IFERROR(INDEX(tProdutos[Foco],MATCH(tItens[[#This Row],[Produto]],tProdutos[Produto],0)),"Não")</f>
        <v>Não</v>
      </c>
      <c r="O1439" t="str">
        <f>IFERROR(INDEX(tEditais[SRP],MATCH(tItens[[#This Row],[Edital]],tEditais[Edital],0)),"Não")</f>
        <v>Não</v>
      </c>
      <c r="P1439" s="4">
        <f>IF(COUNTIFS(INDEX(tItens[Edital],1):tItens[[#This Row],[Edital]],tItens[[#This Row],[Edital]],INDEX(tItens[Produto],1):tItens[[#This Row],[Produto]],tItens[[#This Row],[Produto]])=1,1,0)</f>
        <v>1</v>
      </c>
    </row>
    <row r="1440" spans="1:16" x14ac:dyDescent="0.25">
      <c r="A1440" t="s">
        <v>1146</v>
      </c>
      <c r="B1440">
        <v>284</v>
      </c>
      <c r="C1440" t="s">
        <v>4501</v>
      </c>
      <c r="D1440" t="s">
        <v>347</v>
      </c>
      <c r="E1440" s="13">
        <v>25</v>
      </c>
      <c r="F1440" s="12">
        <v>0</v>
      </c>
      <c r="G1440" t="str">
        <f>IFERROR(INDEX(tEditais[Órgão],MATCH(tItens[[#This Row],[Edital]],tEditais[Edital],0)),"")</f>
        <v>FUNDO MUNICIPAL DE SAUDE DE MINEIROS</v>
      </c>
      <c r="H1440" t="str">
        <f>IFERROR(INDEX(tEditais[UF],MATCH(tItens[[#This Row],[Edital]],tEditais[Edital],0)),"")</f>
        <v>GO</v>
      </c>
      <c r="I1440" s="11">
        <f>IFERROR(INDEX(tEditais[Encerramento],MATCH(tItens[[#This Row],[Edital]],tEditais[Edital],0)),"")</f>
        <v>46308.291666666664</v>
      </c>
      <c r="J1440" t="str">
        <f>IFERROR(INDEX(tProdutos[Classe],MATCH(tItens[[#This Row],[Produto]],tProdutos[Produto],0)),"produto não cadastrado")</f>
        <v>FORA</v>
      </c>
      <c r="K1440" s="12">
        <f>tItens[[#This Row],[Qtd]]*tItens[[#This Row],[Vlr unit]]</f>
        <v>0</v>
      </c>
      <c r="L1440" s="6">
        <f>IFERROR(IF(INDEX(tProdutos[Desconto homologado],MATCH(tItens[[#This Row],[Produto]],tProdutos[Produto],0))="",DescontoPadrao,INDEX(tProdutos[Desconto homologado],MATCH(tItens[[#This Row],[Produto]],tProdutos[Produto],0))),DescontoPadrao)</f>
        <v>0.26356465005931201</v>
      </c>
      <c r="M1440" s="12">
        <f>tItens[[#This Row],[Valor]]*(1-tItens[[#This Row],[Desconto]])</f>
        <v>0</v>
      </c>
      <c r="N1440" t="str">
        <f>IFERROR(INDEX(tProdutos[Foco],MATCH(tItens[[#This Row],[Produto]],tProdutos[Produto],0)),"Não")</f>
        <v>Não</v>
      </c>
      <c r="O1440" t="str">
        <f>IFERROR(INDEX(tEditais[SRP],MATCH(tItens[[#This Row],[Edital]],tEditais[Edital],0)),"Não")</f>
        <v>Não</v>
      </c>
      <c r="P1440" s="4">
        <f>IF(COUNTIFS(INDEX(tItens[Edital],1):tItens[[#This Row],[Edital]],tItens[[#This Row],[Edital]],INDEX(tItens[Produto],1):tItens[[#This Row],[Produto]],tItens[[#This Row],[Produto]])=1,1,0)</f>
        <v>0</v>
      </c>
    </row>
    <row r="1441" spans="1:16" x14ac:dyDescent="0.25">
      <c r="A1441" t="s">
        <v>1146</v>
      </c>
      <c r="B1441">
        <v>285</v>
      </c>
      <c r="C1441" t="s">
        <v>4502</v>
      </c>
      <c r="D1441" t="s">
        <v>347</v>
      </c>
      <c r="E1441" s="13">
        <v>25</v>
      </c>
      <c r="F1441" s="12">
        <v>0</v>
      </c>
      <c r="G1441" t="str">
        <f>IFERROR(INDEX(tEditais[Órgão],MATCH(tItens[[#This Row],[Edital]],tEditais[Edital],0)),"")</f>
        <v>FUNDO MUNICIPAL DE SAUDE DE MINEIROS</v>
      </c>
      <c r="H1441" t="str">
        <f>IFERROR(INDEX(tEditais[UF],MATCH(tItens[[#This Row],[Edital]],tEditais[Edital],0)),"")</f>
        <v>GO</v>
      </c>
      <c r="I1441" s="11">
        <f>IFERROR(INDEX(tEditais[Encerramento],MATCH(tItens[[#This Row],[Edital]],tEditais[Edital],0)),"")</f>
        <v>46308.291666666664</v>
      </c>
      <c r="J1441" t="str">
        <f>IFERROR(INDEX(tProdutos[Classe],MATCH(tItens[[#This Row],[Produto]],tProdutos[Produto],0)),"produto não cadastrado")</f>
        <v>FORA</v>
      </c>
      <c r="K1441" s="12">
        <f>tItens[[#This Row],[Qtd]]*tItens[[#This Row],[Vlr unit]]</f>
        <v>0</v>
      </c>
      <c r="L1441" s="6">
        <f>IFERROR(IF(INDEX(tProdutos[Desconto homologado],MATCH(tItens[[#This Row],[Produto]],tProdutos[Produto],0))="",DescontoPadrao,INDEX(tProdutos[Desconto homologado],MATCH(tItens[[#This Row],[Produto]],tProdutos[Produto],0))),DescontoPadrao)</f>
        <v>0.26356465005931201</v>
      </c>
      <c r="M1441" s="12">
        <f>tItens[[#This Row],[Valor]]*(1-tItens[[#This Row],[Desconto]])</f>
        <v>0</v>
      </c>
      <c r="N1441" t="str">
        <f>IFERROR(INDEX(tProdutos[Foco],MATCH(tItens[[#This Row],[Produto]],tProdutos[Produto],0)),"Não")</f>
        <v>Não</v>
      </c>
      <c r="O1441" t="str">
        <f>IFERROR(INDEX(tEditais[SRP],MATCH(tItens[[#This Row],[Edital]],tEditais[Edital],0)),"Não")</f>
        <v>Não</v>
      </c>
      <c r="P1441" s="4">
        <f>IF(COUNTIFS(INDEX(tItens[Edital],1):tItens[[#This Row],[Edital]],tItens[[#This Row],[Edital]],INDEX(tItens[Produto],1):tItens[[#This Row],[Produto]],tItens[[#This Row],[Produto]])=1,1,0)</f>
        <v>0</v>
      </c>
    </row>
    <row r="1442" spans="1:16" x14ac:dyDescent="0.25">
      <c r="A1442" t="s">
        <v>1146</v>
      </c>
      <c r="B1442">
        <v>313</v>
      </c>
      <c r="C1442" t="s">
        <v>4503</v>
      </c>
      <c r="D1442" t="s">
        <v>331</v>
      </c>
      <c r="E1442" s="13">
        <v>6545</v>
      </c>
      <c r="F1442" s="12">
        <v>0</v>
      </c>
      <c r="G1442" t="str">
        <f>IFERROR(INDEX(tEditais[Órgão],MATCH(tItens[[#This Row],[Edital]],tEditais[Edital],0)),"")</f>
        <v>FUNDO MUNICIPAL DE SAUDE DE MINEIROS</v>
      </c>
      <c r="H1442" t="str">
        <f>IFERROR(INDEX(tEditais[UF],MATCH(tItens[[#This Row],[Edital]],tEditais[Edital],0)),"")</f>
        <v>GO</v>
      </c>
      <c r="I1442" s="11">
        <f>IFERROR(INDEX(tEditais[Encerramento],MATCH(tItens[[#This Row],[Edital]],tEditais[Edital],0)),"")</f>
        <v>46308.291666666664</v>
      </c>
      <c r="J1442" t="str">
        <f>IFERROR(INDEX(tProdutos[Classe],MATCH(tItens[[#This Row],[Produto]],tProdutos[Produto],0)),"produto não cadastrado")</f>
        <v>FORA</v>
      </c>
      <c r="K1442" s="12">
        <f>tItens[[#This Row],[Qtd]]*tItens[[#This Row],[Vlr unit]]</f>
        <v>0</v>
      </c>
      <c r="L1442" s="6">
        <f>IFERROR(IF(INDEX(tProdutos[Desconto homologado],MATCH(tItens[[#This Row],[Produto]],tProdutos[Produto],0))="",DescontoPadrao,INDEX(tProdutos[Desconto homologado],MATCH(tItens[[#This Row],[Produto]],tProdutos[Produto],0))),DescontoPadrao)</f>
        <v>0.45927812223206399</v>
      </c>
      <c r="M1442" s="12">
        <f>tItens[[#This Row],[Valor]]*(1-tItens[[#This Row],[Desconto]])</f>
        <v>0</v>
      </c>
      <c r="N1442" t="str">
        <f>IFERROR(INDEX(tProdutos[Foco],MATCH(tItens[[#This Row],[Produto]],tProdutos[Produto],0)),"Não")</f>
        <v>Não</v>
      </c>
      <c r="O1442" t="str">
        <f>IFERROR(INDEX(tEditais[SRP],MATCH(tItens[[#This Row],[Edital]],tEditais[Edital],0)),"Não")</f>
        <v>Não</v>
      </c>
      <c r="P1442" s="4">
        <f>IF(COUNTIFS(INDEX(tItens[Edital],1):tItens[[#This Row],[Edital]],tItens[[#This Row],[Edital]],INDEX(tItens[Produto],1):tItens[[#This Row],[Produto]],tItens[[#This Row],[Produto]])=1,1,0)</f>
        <v>1</v>
      </c>
    </row>
    <row r="1443" spans="1:16" x14ac:dyDescent="0.25">
      <c r="A1443" t="s">
        <v>1146</v>
      </c>
      <c r="B1443">
        <v>314</v>
      </c>
      <c r="C1443" t="s">
        <v>4504</v>
      </c>
      <c r="D1443" t="s">
        <v>331</v>
      </c>
      <c r="E1443" s="13">
        <v>1155</v>
      </c>
      <c r="F1443" s="12">
        <v>0</v>
      </c>
      <c r="G1443" t="str">
        <f>IFERROR(INDEX(tEditais[Órgão],MATCH(tItens[[#This Row],[Edital]],tEditais[Edital],0)),"")</f>
        <v>FUNDO MUNICIPAL DE SAUDE DE MINEIROS</v>
      </c>
      <c r="H1443" t="str">
        <f>IFERROR(INDEX(tEditais[UF],MATCH(tItens[[#This Row],[Edital]],tEditais[Edital],0)),"")</f>
        <v>GO</v>
      </c>
      <c r="I1443" s="11">
        <f>IFERROR(INDEX(tEditais[Encerramento],MATCH(tItens[[#This Row],[Edital]],tEditais[Edital],0)),"")</f>
        <v>46308.291666666664</v>
      </c>
      <c r="J1443" t="str">
        <f>IFERROR(INDEX(tProdutos[Classe],MATCH(tItens[[#This Row],[Produto]],tProdutos[Produto],0)),"produto não cadastrado")</f>
        <v>FORA</v>
      </c>
      <c r="K1443" s="12">
        <f>tItens[[#This Row],[Qtd]]*tItens[[#This Row],[Vlr unit]]</f>
        <v>0</v>
      </c>
      <c r="L1443" s="6">
        <f>IFERROR(IF(INDEX(tProdutos[Desconto homologado],MATCH(tItens[[#This Row],[Produto]],tProdutos[Produto],0))="",DescontoPadrao,INDEX(tProdutos[Desconto homologado],MATCH(tItens[[#This Row],[Produto]],tProdutos[Produto],0))),DescontoPadrao)</f>
        <v>0.45927812223206399</v>
      </c>
      <c r="M1443" s="12">
        <f>tItens[[#This Row],[Valor]]*(1-tItens[[#This Row],[Desconto]])</f>
        <v>0</v>
      </c>
      <c r="N1443" t="str">
        <f>IFERROR(INDEX(tProdutos[Foco],MATCH(tItens[[#This Row],[Produto]],tProdutos[Produto],0)),"Não")</f>
        <v>Não</v>
      </c>
      <c r="O1443" t="str">
        <f>IFERROR(INDEX(tEditais[SRP],MATCH(tItens[[#This Row],[Edital]],tEditais[Edital],0)),"Não")</f>
        <v>Não</v>
      </c>
      <c r="P1443" s="4">
        <f>IF(COUNTIFS(INDEX(tItens[Edital],1):tItens[[#This Row],[Edital]],tItens[[#This Row],[Edital]],INDEX(tItens[Produto],1):tItens[[#This Row],[Produto]],tItens[[#This Row],[Produto]])=1,1,0)</f>
        <v>0</v>
      </c>
    </row>
    <row r="1444" spans="1:16" x14ac:dyDescent="0.25">
      <c r="A1444" t="s">
        <v>1146</v>
      </c>
      <c r="B1444">
        <v>315</v>
      </c>
      <c r="C1444" t="s">
        <v>4505</v>
      </c>
      <c r="D1444" t="s">
        <v>331</v>
      </c>
      <c r="E1444" s="13">
        <v>18000</v>
      </c>
      <c r="F1444" s="12">
        <v>0</v>
      </c>
      <c r="G1444" t="str">
        <f>IFERROR(INDEX(tEditais[Órgão],MATCH(tItens[[#This Row],[Edital]],tEditais[Edital],0)),"")</f>
        <v>FUNDO MUNICIPAL DE SAUDE DE MINEIROS</v>
      </c>
      <c r="H1444" t="str">
        <f>IFERROR(INDEX(tEditais[UF],MATCH(tItens[[#This Row],[Edital]],tEditais[Edital],0)),"")</f>
        <v>GO</v>
      </c>
      <c r="I1444" s="11">
        <f>IFERROR(INDEX(tEditais[Encerramento],MATCH(tItens[[#This Row],[Edital]],tEditais[Edital],0)),"")</f>
        <v>46308.291666666664</v>
      </c>
      <c r="J1444" t="str">
        <f>IFERROR(INDEX(tProdutos[Classe],MATCH(tItens[[#This Row],[Produto]],tProdutos[Produto],0)),"produto não cadastrado")</f>
        <v>FORA</v>
      </c>
      <c r="K1444" s="12">
        <f>tItens[[#This Row],[Qtd]]*tItens[[#This Row],[Vlr unit]]</f>
        <v>0</v>
      </c>
      <c r="L1444" s="6">
        <f>IFERROR(IF(INDEX(tProdutos[Desconto homologado],MATCH(tItens[[#This Row],[Produto]],tProdutos[Produto],0))="",DescontoPadrao,INDEX(tProdutos[Desconto homologado],MATCH(tItens[[#This Row],[Produto]],tProdutos[Produto],0))),DescontoPadrao)</f>
        <v>0.45927812223206399</v>
      </c>
      <c r="M1444" s="12">
        <f>tItens[[#This Row],[Valor]]*(1-tItens[[#This Row],[Desconto]])</f>
        <v>0</v>
      </c>
      <c r="N1444" t="str">
        <f>IFERROR(INDEX(tProdutos[Foco],MATCH(tItens[[#This Row],[Produto]],tProdutos[Produto],0)),"Não")</f>
        <v>Não</v>
      </c>
      <c r="O1444" t="str">
        <f>IFERROR(INDEX(tEditais[SRP],MATCH(tItens[[#This Row],[Edital]],tEditais[Edital],0)),"Não")</f>
        <v>Não</v>
      </c>
      <c r="P1444" s="4">
        <f>IF(COUNTIFS(INDEX(tItens[Edital],1):tItens[[#This Row],[Edital]],tItens[[#This Row],[Edital]],INDEX(tItens[Produto],1):tItens[[#This Row],[Produto]],tItens[[#This Row],[Produto]])=1,1,0)</f>
        <v>0</v>
      </c>
    </row>
    <row r="1445" spans="1:16" x14ac:dyDescent="0.25">
      <c r="A1445" t="s">
        <v>1146</v>
      </c>
      <c r="B1445">
        <v>317</v>
      </c>
      <c r="C1445" t="s">
        <v>4506</v>
      </c>
      <c r="D1445" t="s">
        <v>333</v>
      </c>
      <c r="E1445" s="13">
        <v>170000</v>
      </c>
      <c r="F1445" s="12">
        <v>0</v>
      </c>
      <c r="G1445" t="str">
        <f>IFERROR(INDEX(tEditais[Órgão],MATCH(tItens[[#This Row],[Edital]],tEditais[Edital],0)),"")</f>
        <v>FUNDO MUNICIPAL DE SAUDE DE MINEIROS</v>
      </c>
      <c r="H1445" t="str">
        <f>IFERROR(INDEX(tEditais[UF],MATCH(tItens[[#This Row],[Edital]],tEditais[Edital],0)),"")</f>
        <v>GO</v>
      </c>
      <c r="I1445" s="11">
        <f>IFERROR(INDEX(tEditais[Encerramento],MATCH(tItens[[#This Row],[Edital]],tEditais[Edital],0)),"")</f>
        <v>46308.291666666664</v>
      </c>
      <c r="J1445" t="str">
        <f>IFERROR(INDEX(tProdutos[Classe],MATCH(tItens[[#This Row],[Produto]],tProdutos[Produto],0)),"produto não cadastrado")</f>
        <v>FORA</v>
      </c>
      <c r="K1445" s="12">
        <f>tItens[[#This Row],[Qtd]]*tItens[[#This Row],[Vlr unit]]</f>
        <v>0</v>
      </c>
      <c r="L1445" s="6">
        <f>IFERROR(IF(INDEX(tProdutos[Desconto homologado],MATCH(tItens[[#This Row],[Produto]],tProdutos[Produto],0))="",DescontoPadrao,INDEX(tProdutos[Desconto homologado],MATCH(tItens[[#This Row],[Produto]],tProdutos[Produto],0))),DescontoPadrao)</f>
        <v>0.48951048951048998</v>
      </c>
      <c r="M1445" s="12">
        <f>tItens[[#This Row],[Valor]]*(1-tItens[[#This Row],[Desconto]])</f>
        <v>0</v>
      </c>
      <c r="N1445" t="str">
        <f>IFERROR(INDEX(tProdutos[Foco],MATCH(tItens[[#This Row],[Produto]],tProdutos[Produto],0)),"Não")</f>
        <v>Não</v>
      </c>
      <c r="O1445" t="str">
        <f>IFERROR(INDEX(tEditais[SRP],MATCH(tItens[[#This Row],[Edital]],tEditais[Edital],0)),"Não")</f>
        <v>Não</v>
      </c>
      <c r="P1445" s="4">
        <f>IF(COUNTIFS(INDEX(tItens[Edital],1):tItens[[#This Row],[Edital]],tItens[[#This Row],[Edital]],INDEX(tItens[Produto],1):tItens[[#This Row],[Produto]],tItens[[#This Row],[Produto]])=1,1,0)</f>
        <v>1</v>
      </c>
    </row>
    <row r="1446" spans="1:16" x14ac:dyDescent="0.25">
      <c r="A1446" t="s">
        <v>1146</v>
      </c>
      <c r="B1446">
        <v>318</v>
      </c>
      <c r="C1446" t="s">
        <v>4506</v>
      </c>
      <c r="D1446" t="s">
        <v>333</v>
      </c>
      <c r="E1446" s="13">
        <v>30000</v>
      </c>
      <c r="F1446" s="12">
        <v>0</v>
      </c>
      <c r="G1446" t="str">
        <f>IFERROR(INDEX(tEditais[Órgão],MATCH(tItens[[#This Row],[Edital]],tEditais[Edital],0)),"")</f>
        <v>FUNDO MUNICIPAL DE SAUDE DE MINEIROS</v>
      </c>
      <c r="H1446" t="str">
        <f>IFERROR(INDEX(tEditais[UF],MATCH(tItens[[#This Row],[Edital]],tEditais[Edital],0)),"")</f>
        <v>GO</v>
      </c>
      <c r="I1446" s="11">
        <f>IFERROR(INDEX(tEditais[Encerramento],MATCH(tItens[[#This Row],[Edital]],tEditais[Edital],0)),"")</f>
        <v>46308.291666666664</v>
      </c>
      <c r="J1446" t="str">
        <f>IFERROR(INDEX(tProdutos[Classe],MATCH(tItens[[#This Row],[Produto]],tProdutos[Produto],0)),"produto não cadastrado")</f>
        <v>FORA</v>
      </c>
      <c r="K1446" s="12">
        <f>tItens[[#This Row],[Qtd]]*tItens[[#This Row],[Vlr unit]]</f>
        <v>0</v>
      </c>
      <c r="L1446" s="6">
        <f>IFERROR(IF(INDEX(tProdutos[Desconto homologado],MATCH(tItens[[#This Row],[Produto]],tProdutos[Produto],0))="",DescontoPadrao,INDEX(tProdutos[Desconto homologado],MATCH(tItens[[#This Row],[Produto]],tProdutos[Produto],0))),DescontoPadrao)</f>
        <v>0.48951048951048998</v>
      </c>
      <c r="M1446" s="12">
        <f>tItens[[#This Row],[Valor]]*(1-tItens[[#This Row],[Desconto]])</f>
        <v>0</v>
      </c>
      <c r="N1446" t="str">
        <f>IFERROR(INDEX(tProdutos[Foco],MATCH(tItens[[#This Row],[Produto]],tProdutos[Produto],0)),"Não")</f>
        <v>Não</v>
      </c>
      <c r="O1446" t="str">
        <f>IFERROR(INDEX(tEditais[SRP],MATCH(tItens[[#This Row],[Edital]],tEditais[Edital],0)),"Não")</f>
        <v>Não</v>
      </c>
      <c r="P1446" s="4">
        <f>IF(COUNTIFS(INDEX(tItens[Edital],1):tItens[[#This Row],[Edital]],tItens[[#This Row],[Edital]],INDEX(tItens[Produto],1):tItens[[#This Row],[Produto]],tItens[[#This Row],[Produto]])=1,1,0)</f>
        <v>0</v>
      </c>
    </row>
    <row r="1447" spans="1:16" x14ac:dyDescent="0.25">
      <c r="A1447" t="s">
        <v>1146</v>
      </c>
      <c r="B1447">
        <v>319</v>
      </c>
      <c r="C1447" t="s">
        <v>4507</v>
      </c>
      <c r="D1447" t="s">
        <v>209</v>
      </c>
      <c r="E1447" s="13">
        <v>2000</v>
      </c>
      <c r="F1447" s="12">
        <v>0</v>
      </c>
      <c r="G1447" t="str">
        <f>IFERROR(INDEX(tEditais[Órgão],MATCH(tItens[[#This Row],[Edital]],tEditais[Edital],0)),"")</f>
        <v>FUNDO MUNICIPAL DE SAUDE DE MINEIROS</v>
      </c>
      <c r="H1447" t="str">
        <f>IFERROR(INDEX(tEditais[UF],MATCH(tItens[[#This Row],[Edital]],tEditais[Edital],0)),"")</f>
        <v>GO</v>
      </c>
      <c r="I1447" s="11">
        <f>IFERROR(INDEX(tEditais[Encerramento],MATCH(tItens[[#This Row],[Edital]],tEditais[Edital],0)),"")</f>
        <v>46308.291666666664</v>
      </c>
      <c r="J1447" t="str">
        <f>IFERROR(INDEX(tProdutos[Classe],MATCH(tItens[[#This Row],[Produto]],tProdutos[Produto],0)),"produto não cadastrado")</f>
        <v>FORA</v>
      </c>
      <c r="K1447" s="12">
        <f>tItens[[#This Row],[Qtd]]*tItens[[#This Row],[Vlr unit]]</f>
        <v>0</v>
      </c>
      <c r="L1447" s="6">
        <f>IFERROR(IF(INDEX(tProdutos[Desconto homologado],MATCH(tItens[[#This Row],[Produto]],tProdutos[Produto],0))="",DescontoPadrao,INDEX(tProdutos[Desconto homologado],MATCH(tItens[[#This Row],[Produto]],tProdutos[Produto],0))),DescontoPadrao)</f>
        <v>0.16442507504040599</v>
      </c>
      <c r="M1447" s="12">
        <f>tItens[[#This Row],[Valor]]*(1-tItens[[#This Row],[Desconto]])</f>
        <v>0</v>
      </c>
      <c r="N1447" t="str">
        <f>IFERROR(INDEX(tProdutos[Foco],MATCH(tItens[[#This Row],[Produto]],tProdutos[Produto],0)),"Não")</f>
        <v>Não</v>
      </c>
      <c r="O1447" t="str">
        <f>IFERROR(INDEX(tEditais[SRP],MATCH(tItens[[#This Row],[Edital]],tEditais[Edital],0)),"Não")</f>
        <v>Não</v>
      </c>
      <c r="P1447" s="4">
        <f>IF(COUNTIFS(INDEX(tItens[Edital],1):tItens[[#This Row],[Edital]],tItens[[#This Row],[Edital]],INDEX(tItens[Produto],1):tItens[[#This Row],[Produto]],tItens[[#This Row],[Produto]])=1,1,0)</f>
        <v>1</v>
      </c>
    </row>
    <row r="1448" spans="1:16" x14ac:dyDescent="0.25">
      <c r="A1448" t="s">
        <v>1146</v>
      </c>
      <c r="B1448">
        <v>320</v>
      </c>
      <c r="C1448" t="s">
        <v>4508</v>
      </c>
      <c r="D1448" t="s">
        <v>187</v>
      </c>
      <c r="E1448" s="13">
        <v>1000</v>
      </c>
      <c r="F1448" s="12">
        <v>0</v>
      </c>
      <c r="G1448" t="str">
        <f>IFERROR(INDEX(tEditais[Órgão],MATCH(tItens[[#This Row],[Edital]],tEditais[Edital],0)),"")</f>
        <v>FUNDO MUNICIPAL DE SAUDE DE MINEIROS</v>
      </c>
      <c r="H1448" t="str">
        <f>IFERROR(INDEX(tEditais[UF],MATCH(tItens[[#This Row],[Edital]],tEditais[Edital],0)),"")</f>
        <v>GO</v>
      </c>
      <c r="I1448" s="11">
        <f>IFERROR(INDEX(tEditais[Encerramento],MATCH(tItens[[#This Row],[Edital]],tEditais[Edital],0)),"")</f>
        <v>46308.291666666664</v>
      </c>
      <c r="J1448" t="str">
        <f>IFERROR(INDEX(tProdutos[Classe],MATCH(tItens[[#This Row],[Produto]],tProdutos[Produto],0)),"produto não cadastrado")</f>
        <v>DISPUTADO</v>
      </c>
      <c r="K1448" s="12">
        <f>tItens[[#This Row],[Qtd]]*tItens[[#This Row],[Vlr unit]]</f>
        <v>0</v>
      </c>
      <c r="L1448" s="6">
        <f>IFERROR(IF(INDEX(tProdutos[Desconto homologado],MATCH(tItens[[#This Row],[Produto]],tProdutos[Produto],0))="",DescontoPadrao,INDEX(tProdutos[Desconto homologado],MATCH(tItens[[#This Row],[Produto]],tProdutos[Produto],0))),DescontoPadrao)</f>
        <v>0.44298820445609399</v>
      </c>
      <c r="M1448" s="12">
        <f>tItens[[#This Row],[Valor]]*(1-tItens[[#This Row],[Desconto]])</f>
        <v>0</v>
      </c>
      <c r="N1448" t="str">
        <f>IFERROR(INDEX(tProdutos[Foco],MATCH(tItens[[#This Row],[Produto]],tProdutos[Produto],0)),"Não")</f>
        <v>Não</v>
      </c>
      <c r="O1448" t="str">
        <f>IFERROR(INDEX(tEditais[SRP],MATCH(tItens[[#This Row],[Edital]],tEditais[Edital],0)),"Não")</f>
        <v>Não</v>
      </c>
      <c r="P1448" s="4">
        <f>IF(COUNTIFS(INDEX(tItens[Edital],1):tItens[[#This Row],[Edital]],tItens[[#This Row],[Edital]],INDEX(tItens[Produto],1):tItens[[#This Row],[Produto]],tItens[[#This Row],[Produto]])=1,1,0)</f>
        <v>1</v>
      </c>
    </row>
    <row r="1449" spans="1:16" x14ac:dyDescent="0.25">
      <c r="A1449" t="s">
        <v>1146</v>
      </c>
      <c r="B1449">
        <v>322</v>
      </c>
      <c r="C1449" t="s">
        <v>4509</v>
      </c>
      <c r="D1449" t="s">
        <v>102</v>
      </c>
      <c r="E1449" s="13">
        <v>1000</v>
      </c>
      <c r="F1449" s="12">
        <v>0</v>
      </c>
      <c r="G1449" t="str">
        <f>IFERROR(INDEX(tEditais[Órgão],MATCH(tItens[[#This Row],[Edital]],tEditais[Edital],0)),"")</f>
        <v>FUNDO MUNICIPAL DE SAUDE DE MINEIROS</v>
      </c>
      <c r="H1449" t="str">
        <f>IFERROR(INDEX(tEditais[UF],MATCH(tItens[[#This Row],[Edital]],tEditais[Edital],0)),"")</f>
        <v>GO</v>
      </c>
      <c r="I1449" s="11">
        <f>IFERROR(INDEX(tEditais[Encerramento],MATCH(tItens[[#This Row],[Edital]],tEditais[Edital],0)),"")</f>
        <v>46308.291666666664</v>
      </c>
      <c r="J1449" t="str">
        <f>IFERROR(INDEX(tProdutos[Classe],MATCH(tItens[[#This Row],[Produto]],tProdutos[Produto],0)),"produto não cadastrado")</f>
        <v>DISPUTADO</v>
      </c>
      <c r="K1449" s="12">
        <f>tItens[[#This Row],[Qtd]]*tItens[[#This Row],[Vlr unit]]</f>
        <v>0</v>
      </c>
      <c r="L1449" s="6">
        <f>IFERROR(IF(INDEX(tProdutos[Desconto homologado],MATCH(tItens[[#This Row],[Produto]],tProdutos[Produto],0))="",DescontoPadrao,INDEX(tProdutos[Desconto homologado],MATCH(tItens[[#This Row],[Produto]],tProdutos[Produto],0))),DescontoPadrao)</f>
        <v>0.38053097345132803</v>
      </c>
      <c r="M1449" s="12">
        <f>tItens[[#This Row],[Valor]]*(1-tItens[[#This Row],[Desconto]])</f>
        <v>0</v>
      </c>
      <c r="N1449" t="str">
        <f>IFERROR(INDEX(tProdutos[Foco],MATCH(tItens[[#This Row],[Produto]],tProdutos[Produto],0)),"Não")</f>
        <v>Não</v>
      </c>
      <c r="O1449" t="str">
        <f>IFERROR(INDEX(tEditais[SRP],MATCH(tItens[[#This Row],[Edital]],tEditais[Edital],0)),"Não")</f>
        <v>Não</v>
      </c>
      <c r="P1449" s="4">
        <f>IF(COUNTIFS(INDEX(tItens[Edital],1):tItens[[#This Row],[Edital]],tItens[[#This Row],[Edital]],INDEX(tItens[Produto],1):tItens[[#This Row],[Produto]],tItens[[#This Row],[Produto]])=1,1,0)</f>
        <v>1</v>
      </c>
    </row>
    <row r="1450" spans="1:16" x14ac:dyDescent="0.25">
      <c r="A1450" t="s">
        <v>1146</v>
      </c>
      <c r="B1450">
        <v>324</v>
      </c>
      <c r="C1450" t="s">
        <v>4510</v>
      </c>
      <c r="D1450" t="s">
        <v>229</v>
      </c>
      <c r="E1450" s="13">
        <v>5100</v>
      </c>
      <c r="F1450" s="12">
        <v>0</v>
      </c>
      <c r="G1450" t="str">
        <f>IFERROR(INDEX(tEditais[Órgão],MATCH(tItens[[#This Row],[Edital]],tEditais[Edital],0)),"")</f>
        <v>FUNDO MUNICIPAL DE SAUDE DE MINEIROS</v>
      </c>
      <c r="H1450" t="str">
        <f>IFERROR(INDEX(tEditais[UF],MATCH(tItens[[#This Row],[Edital]],tEditais[Edital],0)),"")</f>
        <v>GO</v>
      </c>
      <c r="I1450" s="11">
        <f>IFERROR(INDEX(tEditais[Encerramento],MATCH(tItens[[#This Row],[Edital]],tEditais[Edital],0)),"")</f>
        <v>46308.291666666664</v>
      </c>
      <c r="J1450" t="str">
        <f>IFERROR(INDEX(tProdutos[Classe],MATCH(tItens[[#This Row],[Produto]],tProdutos[Produto],0)),"produto não cadastrado")</f>
        <v>FORA</v>
      </c>
      <c r="K1450" s="12">
        <f>tItens[[#This Row],[Qtd]]*tItens[[#This Row],[Vlr unit]]</f>
        <v>0</v>
      </c>
      <c r="L1450" s="6">
        <f>IFERROR(IF(INDEX(tProdutos[Desconto homologado],MATCH(tItens[[#This Row],[Produto]],tProdutos[Produto],0))="",DescontoPadrao,INDEX(tProdutos[Desconto homologado],MATCH(tItens[[#This Row],[Produto]],tProdutos[Produto],0))),DescontoPadrao)</f>
        <v>0.33093491191658198</v>
      </c>
      <c r="M1450" s="12">
        <f>tItens[[#This Row],[Valor]]*(1-tItens[[#This Row],[Desconto]])</f>
        <v>0</v>
      </c>
      <c r="N1450" t="str">
        <f>IFERROR(INDEX(tProdutos[Foco],MATCH(tItens[[#This Row],[Produto]],tProdutos[Produto],0)),"Não")</f>
        <v>Não</v>
      </c>
      <c r="O1450" t="str">
        <f>IFERROR(INDEX(tEditais[SRP],MATCH(tItens[[#This Row],[Edital]],tEditais[Edital],0)),"Não")</f>
        <v>Não</v>
      </c>
      <c r="P1450" s="4">
        <f>IF(COUNTIFS(INDEX(tItens[Edital],1):tItens[[#This Row],[Edital]],tItens[[#This Row],[Edital]],INDEX(tItens[Produto],1):tItens[[#This Row],[Produto]],tItens[[#This Row],[Produto]])=1,1,0)</f>
        <v>1</v>
      </c>
    </row>
    <row r="1451" spans="1:16" x14ac:dyDescent="0.25">
      <c r="A1451" t="s">
        <v>1146</v>
      </c>
      <c r="B1451">
        <v>325</v>
      </c>
      <c r="C1451" t="s">
        <v>4511</v>
      </c>
      <c r="D1451" t="s">
        <v>229</v>
      </c>
      <c r="E1451" s="13">
        <v>900</v>
      </c>
      <c r="F1451" s="12">
        <v>0</v>
      </c>
      <c r="G1451" t="str">
        <f>IFERROR(INDEX(tEditais[Órgão],MATCH(tItens[[#This Row],[Edital]],tEditais[Edital],0)),"")</f>
        <v>FUNDO MUNICIPAL DE SAUDE DE MINEIROS</v>
      </c>
      <c r="H1451" t="str">
        <f>IFERROR(INDEX(tEditais[UF],MATCH(tItens[[#This Row],[Edital]],tEditais[Edital],0)),"")</f>
        <v>GO</v>
      </c>
      <c r="I1451" s="11">
        <f>IFERROR(INDEX(tEditais[Encerramento],MATCH(tItens[[#This Row],[Edital]],tEditais[Edital],0)),"")</f>
        <v>46308.291666666664</v>
      </c>
      <c r="J1451" t="str">
        <f>IFERROR(INDEX(tProdutos[Classe],MATCH(tItens[[#This Row],[Produto]],tProdutos[Produto],0)),"produto não cadastrado")</f>
        <v>FORA</v>
      </c>
      <c r="K1451" s="12">
        <f>tItens[[#This Row],[Qtd]]*tItens[[#This Row],[Vlr unit]]</f>
        <v>0</v>
      </c>
      <c r="L1451" s="6">
        <f>IFERROR(IF(INDEX(tProdutos[Desconto homologado],MATCH(tItens[[#This Row],[Produto]],tProdutos[Produto],0))="",DescontoPadrao,INDEX(tProdutos[Desconto homologado],MATCH(tItens[[#This Row],[Produto]],tProdutos[Produto],0))),DescontoPadrao)</f>
        <v>0.33093491191658198</v>
      </c>
      <c r="M1451" s="12">
        <f>tItens[[#This Row],[Valor]]*(1-tItens[[#This Row],[Desconto]])</f>
        <v>0</v>
      </c>
      <c r="N1451" t="str">
        <f>IFERROR(INDEX(tProdutos[Foco],MATCH(tItens[[#This Row],[Produto]],tProdutos[Produto],0)),"Não")</f>
        <v>Não</v>
      </c>
      <c r="O1451" t="str">
        <f>IFERROR(INDEX(tEditais[SRP],MATCH(tItens[[#This Row],[Edital]],tEditais[Edital],0)),"Não")</f>
        <v>Não</v>
      </c>
      <c r="P1451" s="4">
        <f>IF(COUNTIFS(INDEX(tItens[Edital],1):tItens[[#This Row],[Edital]],tItens[[#This Row],[Edital]],INDEX(tItens[Produto],1):tItens[[#This Row],[Produto]],tItens[[#This Row],[Produto]])=1,1,0)</f>
        <v>0</v>
      </c>
    </row>
    <row r="1452" spans="1:16" x14ac:dyDescent="0.25">
      <c r="A1452" t="s">
        <v>1146</v>
      </c>
      <c r="B1452">
        <v>326</v>
      </c>
      <c r="C1452" t="s">
        <v>4512</v>
      </c>
      <c r="D1452" t="s">
        <v>229</v>
      </c>
      <c r="E1452" s="13">
        <v>3400</v>
      </c>
      <c r="F1452" s="12">
        <v>0</v>
      </c>
      <c r="G1452" t="str">
        <f>IFERROR(INDEX(tEditais[Órgão],MATCH(tItens[[#This Row],[Edital]],tEditais[Edital],0)),"")</f>
        <v>FUNDO MUNICIPAL DE SAUDE DE MINEIROS</v>
      </c>
      <c r="H1452" t="str">
        <f>IFERROR(INDEX(tEditais[UF],MATCH(tItens[[#This Row],[Edital]],tEditais[Edital],0)),"")</f>
        <v>GO</v>
      </c>
      <c r="I1452" s="11">
        <f>IFERROR(INDEX(tEditais[Encerramento],MATCH(tItens[[#This Row],[Edital]],tEditais[Edital],0)),"")</f>
        <v>46308.291666666664</v>
      </c>
      <c r="J1452" t="str">
        <f>IFERROR(INDEX(tProdutos[Classe],MATCH(tItens[[#This Row],[Produto]],tProdutos[Produto],0)),"produto não cadastrado")</f>
        <v>FORA</v>
      </c>
      <c r="K1452" s="12">
        <f>tItens[[#This Row],[Qtd]]*tItens[[#This Row],[Vlr unit]]</f>
        <v>0</v>
      </c>
      <c r="L1452" s="6">
        <f>IFERROR(IF(INDEX(tProdutos[Desconto homologado],MATCH(tItens[[#This Row],[Produto]],tProdutos[Produto],0))="",DescontoPadrao,INDEX(tProdutos[Desconto homologado],MATCH(tItens[[#This Row],[Produto]],tProdutos[Produto],0))),DescontoPadrao)</f>
        <v>0.33093491191658198</v>
      </c>
      <c r="M1452" s="12">
        <f>tItens[[#This Row],[Valor]]*(1-tItens[[#This Row],[Desconto]])</f>
        <v>0</v>
      </c>
      <c r="N1452" t="str">
        <f>IFERROR(INDEX(tProdutos[Foco],MATCH(tItens[[#This Row],[Produto]],tProdutos[Produto],0)),"Não")</f>
        <v>Não</v>
      </c>
      <c r="O1452" t="str">
        <f>IFERROR(INDEX(tEditais[SRP],MATCH(tItens[[#This Row],[Edital]],tEditais[Edital],0)),"Não")</f>
        <v>Não</v>
      </c>
      <c r="P1452" s="4">
        <f>IF(COUNTIFS(INDEX(tItens[Edital],1):tItens[[#This Row],[Edital]],tItens[[#This Row],[Edital]],INDEX(tItens[Produto],1):tItens[[#This Row],[Produto]],tItens[[#This Row],[Produto]])=1,1,0)</f>
        <v>0</v>
      </c>
    </row>
    <row r="1453" spans="1:16" x14ac:dyDescent="0.25">
      <c r="A1453" t="s">
        <v>1146</v>
      </c>
      <c r="B1453">
        <v>327</v>
      </c>
      <c r="C1453" t="s">
        <v>4513</v>
      </c>
      <c r="D1453" t="s">
        <v>229</v>
      </c>
      <c r="E1453" s="13">
        <v>600</v>
      </c>
      <c r="F1453" s="12">
        <v>0</v>
      </c>
      <c r="G1453" t="str">
        <f>IFERROR(INDEX(tEditais[Órgão],MATCH(tItens[[#This Row],[Edital]],tEditais[Edital],0)),"")</f>
        <v>FUNDO MUNICIPAL DE SAUDE DE MINEIROS</v>
      </c>
      <c r="H1453" t="str">
        <f>IFERROR(INDEX(tEditais[UF],MATCH(tItens[[#This Row],[Edital]],tEditais[Edital],0)),"")</f>
        <v>GO</v>
      </c>
      <c r="I1453" s="11">
        <f>IFERROR(INDEX(tEditais[Encerramento],MATCH(tItens[[#This Row],[Edital]],tEditais[Edital],0)),"")</f>
        <v>46308.291666666664</v>
      </c>
      <c r="J1453" t="str">
        <f>IFERROR(INDEX(tProdutos[Classe],MATCH(tItens[[#This Row],[Produto]],tProdutos[Produto],0)),"produto não cadastrado")</f>
        <v>FORA</v>
      </c>
      <c r="K1453" s="12">
        <f>tItens[[#This Row],[Qtd]]*tItens[[#This Row],[Vlr unit]]</f>
        <v>0</v>
      </c>
      <c r="L1453" s="6">
        <f>IFERROR(IF(INDEX(tProdutos[Desconto homologado],MATCH(tItens[[#This Row],[Produto]],tProdutos[Produto],0))="",DescontoPadrao,INDEX(tProdutos[Desconto homologado],MATCH(tItens[[#This Row],[Produto]],tProdutos[Produto],0))),DescontoPadrao)</f>
        <v>0.33093491191658198</v>
      </c>
      <c r="M1453" s="12">
        <f>tItens[[#This Row],[Valor]]*(1-tItens[[#This Row],[Desconto]])</f>
        <v>0</v>
      </c>
      <c r="N1453" t="str">
        <f>IFERROR(INDEX(tProdutos[Foco],MATCH(tItens[[#This Row],[Produto]],tProdutos[Produto],0)),"Não")</f>
        <v>Não</v>
      </c>
      <c r="O1453" t="str">
        <f>IFERROR(INDEX(tEditais[SRP],MATCH(tItens[[#This Row],[Edital]],tEditais[Edital],0)),"Não")</f>
        <v>Não</v>
      </c>
      <c r="P1453" s="4">
        <f>IF(COUNTIFS(INDEX(tItens[Edital],1):tItens[[#This Row],[Edital]],tItens[[#This Row],[Edital]],INDEX(tItens[Produto],1):tItens[[#This Row],[Produto]],tItens[[#This Row],[Produto]])=1,1,0)</f>
        <v>0</v>
      </c>
    </row>
    <row r="1454" spans="1:16" x14ac:dyDescent="0.25">
      <c r="A1454" t="s">
        <v>1146</v>
      </c>
      <c r="B1454">
        <v>330</v>
      </c>
      <c r="C1454" t="s">
        <v>4514</v>
      </c>
      <c r="D1454" t="s">
        <v>638</v>
      </c>
      <c r="E1454" s="13">
        <v>6</v>
      </c>
      <c r="F1454" s="12">
        <v>0</v>
      </c>
      <c r="G1454" t="str">
        <f>IFERROR(INDEX(tEditais[Órgão],MATCH(tItens[[#This Row],[Edital]],tEditais[Edital],0)),"")</f>
        <v>FUNDO MUNICIPAL DE SAUDE DE MINEIROS</v>
      </c>
      <c r="H1454" t="str">
        <f>IFERROR(INDEX(tEditais[UF],MATCH(tItens[[#This Row],[Edital]],tEditais[Edital],0)),"")</f>
        <v>GO</v>
      </c>
      <c r="I1454" s="11">
        <f>IFERROR(INDEX(tEditais[Encerramento],MATCH(tItens[[#This Row],[Edital]],tEditais[Edital],0)),"")</f>
        <v>46308.291666666664</v>
      </c>
      <c r="J1454" t="str">
        <f>IFERROR(INDEX(tProdutos[Classe],MATCH(tItens[[#This Row],[Produto]],tProdutos[Produto],0)),"produto não cadastrado")</f>
        <v>FILA REBASE</v>
      </c>
      <c r="K1454" s="12">
        <f>tItens[[#This Row],[Qtd]]*tItens[[#This Row],[Vlr unit]]</f>
        <v>0</v>
      </c>
      <c r="L1454" s="6">
        <f>IFERROR(IF(INDEX(tProdutos[Desconto homologado],MATCH(tItens[[#This Row],[Produto]],tProdutos[Produto],0))="",DescontoPadrao,INDEX(tProdutos[Desconto homologado],MATCH(tItens[[#This Row],[Produto]],tProdutos[Produto],0))),DescontoPadrao)</f>
        <v>0.487179487179487</v>
      </c>
      <c r="M1454" s="12">
        <f>tItens[[#This Row],[Valor]]*(1-tItens[[#This Row],[Desconto]])</f>
        <v>0</v>
      </c>
      <c r="N1454" t="str">
        <f>IFERROR(INDEX(tProdutos[Foco],MATCH(tItens[[#This Row],[Produto]],tProdutos[Produto],0)),"Não")</f>
        <v>Não</v>
      </c>
      <c r="O1454" t="str">
        <f>IFERROR(INDEX(tEditais[SRP],MATCH(tItens[[#This Row],[Edital]],tEditais[Edital],0)),"Não")</f>
        <v>Não</v>
      </c>
      <c r="P1454" s="4">
        <f>IF(COUNTIFS(INDEX(tItens[Edital],1):tItens[[#This Row],[Edital]],tItens[[#This Row],[Edital]],INDEX(tItens[Produto],1):tItens[[#This Row],[Produto]],tItens[[#This Row],[Produto]])=1,1,0)</f>
        <v>1</v>
      </c>
    </row>
    <row r="1455" spans="1:16" x14ac:dyDescent="0.25">
      <c r="A1455" t="s">
        <v>1146</v>
      </c>
      <c r="B1455">
        <v>338</v>
      </c>
      <c r="C1455" t="s">
        <v>4515</v>
      </c>
      <c r="D1455" t="s">
        <v>75</v>
      </c>
      <c r="E1455" s="13">
        <v>600</v>
      </c>
      <c r="F1455" s="12">
        <v>0</v>
      </c>
      <c r="G1455" t="str">
        <f>IFERROR(INDEX(tEditais[Órgão],MATCH(tItens[[#This Row],[Edital]],tEditais[Edital],0)),"")</f>
        <v>FUNDO MUNICIPAL DE SAUDE DE MINEIROS</v>
      </c>
      <c r="H1455" t="str">
        <f>IFERROR(INDEX(tEditais[UF],MATCH(tItens[[#This Row],[Edital]],tEditais[Edital],0)),"")</f>
        <v>GO</v>
      </c>
      <c r="I1455" s="11">
        <f>IFERROR(INDEX(tEditais[Encerramento],MATCH(tItens[[#This Row],[Edital]],tEditais[Edital],0)),"")</f>
        <v>46308.291666666664</v>
      </c>
      <c r="J1455" t="str">
        <f>IFERROR(INDEX(tProdutos[Classe],MATCH(tItens[[#This Row],[Produto]],tProdutos[Produto],0)),"produto não cadastrado")</f>
        <v>NÚCLEO</v>
      </c>
      <c r="K1455" s="12">
        <f>tItens[[#This Row],[Qtd]]*tItens[[#This Row],[Vlr unit]]</f>
        <v>0</v>
      </c>
      <c r="L1455" s="6">
        <f>IFERROR(IF(INDEX(tProdutos[Desconto homologado],MATCH(tItens[[#This Row],[Produto]],tProdutos[Produto],0))="",DescontoPadrao,INDEX(tProdutos[Desconto homologado],MATCH(tItens[[#This Row],[Produto]],tProdutos[Produto],0))),DescontoPadrao)</f>
        <v>0.26</v>
      </c>
      <c r="M1455" s="12">
        <f>tItens[[#This Row],[Valor]]*(1-tItens[[#This Row],[Desconto]])</f>
        <v>0</v>
      </c>
      <c r="N1455" t="str">
        <f>IFERROR(INDEX(tProdutos[Foco],MATCH(tItens[[#This Row],[Produto]],tProdutos[Produto],0)),"Não")</f>
        <v>Sim</v>
      </c>
      <c r="O1455" t="str">
        <f>IFERROR(INDEX(tEditais[SRP],MATCH(tItens[[#This Row],[Edital]],tEditais[Edital],0)),"Não")</f>
        <v>Não</v>
      </c>
      <c r="P1455" s="4">
        <f>IF(COUNTIFS(INDEX(tItens[Edital],1):tItens[[#This Row],[Edital]],tItens[[#This Row],[Edital]],INDEX(tItens[Produto],1):tItens[[#This Row],[Produto]],tItens[[#This Row],[Produto]])=1,1,0)</f>
        <v>1</v>
      </c>
    </row>
    <row r="1456" spans="1:16" x14ac:dyDescent="0.25">
      <c r="A1456" t="s">
        <v>1146</v>
      </c>
      <c r="B1456">
        <v>339</v>
      </c>
      <c r="C1456" t="s">
        <v>4516</v>
      </c>
      <c r="D1456" t="s">
        <v>75</v>
      </c>
      <c r="E1456" s="13">
        <v>600</v>
      </c>
      <c r="F1456" s="12">
        <v>0</v>
      </c>
      <c r="G1456" t="str">
        <f>IFERROR(INDEX(tEditais[Órgão],MATCH(tItens[[#This Row],[Edital]],tEditais[Edital],0)),"")</f>
        <v>FUNDO MUNICIPAL DE SAUDE DE MINEIROS</v>
      </c>
      <c r="H1456" t="str">
        <f>IFERROR(INDEX(tEditais[UF],MATCH(tItens[[#This Row],[Edital]],tEditais[Edital],0)),"")</f>
        <v>GO</v>
      </c>
      <c r="I1456" s="11">
        <f>IFERROR(INDEX(tEditais[Encerramento],MATCH(tItens[[#This Row],[Edital]],tEditais[Edital],0)),"")</f>
        <v>46308.291666666664</v>
      </c>
      <c r="J1456" t="str">
        <f>IFERROR(INDEX(tProdutos[Classe],MATCH(tItens[[#This Row],[Produto]],tProdutos[Produto],0)),"produto não cadastrado")</f>
        <v>NÚCLEO</v>
      </c>
      <c r="K1456" s="12">
        <f>tItens[[#This Row],[Qtd]]*tItens[[#This Row],[Vlr unit]]</f>
        <v>0</v>
      </c>
      <c r="L1456" s="6">
        <f>IFERROR(IF(INDEX(tProdutos[Desconto homologado],MATCH(tItens[[#This Row],[Produto]],tProdutos[Produto],0))="",DescontoPadrao,INDEX(tProdutos[Desconto homologado],MATCH(tItens[[#This Row],[Produto]],tProdutos[Produto],0))),DescontoPadrao)</f>
        <v>0.26</v>
      </c>
      <c r="M1456" s="12">
        <f>tItens[[#This Row],[Valor]]*(1-tItens[[#This Row],[Desconto]])</f>
        <v>0</v>
      </c>
      <c r="N1456" t="str">
        <f>IFERROR(INDEX(tProdutos[Foco],MATCH(tItens[[#This Row],[Produto]],tProdutos[Produto],0)),"Não")</f>
        <v>Sim</v>
      </c>
      <c r="O1456" t="str">
        <f>IFERROR(INDEX(tEditais[SRP],MATCH(tItens[[#This Row],[Edital]],tEditais[Edital],0)),"Não")</f>
        <v>Não</v>
      </c>
      <c r="P1456" s="4">
        <f>IF(COUNTIFS(INDEX(tItens[Edital],1):tItens[[#This Row],[Edital]],tItens[[#This Row],[Edital]],INDEX(tItens[Produto],1):tItens[[#This Row],[Produto]],tItens[[#This Row],[Produto]])=1,1,0)</f>
        <v>0</v>
      </c>
    </row>
    <row r="1457" spans="1:16" x14ac:dyDescent="0.25">
      <c r="A1457" t="s">
        <v>1146</v>
      </c>
      <c r="B1457">
        <v>340</v>
      </c>
      <c r="C1457" t="s">
        <v>4517</v>
      </c>
      <c r="D1457" t="s">
        <v>75</v>
      </c>
      <c r="E1457" s="13">
        <v>600</v>
      </c>
      <c r="F1457" s="12">
        <v>0</v>
      </c>
      <c r="G1457" t="str">
        <f>IFERROR(INDEX(tEditais[Órgão],MATCH(tItens[[#This Row],[Edital]],tEditais[Edital],0)),"")</f>
        <v>FUNDO MUNICIPAL DE SAUDE DE MINEIROS</v>
      </c>
      <c r="H1457" t="str">
        <f>IFERROR(INDEX(tEditais[UF],MATCH(tItens[[#This Row],[Edital]],tEditais[Edital],0)),"")</f>
        <v>GO</v>
      </c>
      <c r="I1457" s="11">
        <f>IFERROR(INDEX(tEditais[Encerramento],MATCH(tItens[[#This Row],[Edital]],tEditais[Edital],0)),"")</f>
        <v>46308.291666666664</v>
      </c>
      <c r="J1457" t="str">
        <f>IFERROR(INDEX(tProdutos[Classe],MATCH(tItens[[#This Row],[Produto]],tProdutos[Produto],0)),"produto não cadastrado")</f>
        <v>NÚCLEO</v>
      </c>
      <c r="K1457" s="12">
        <f>tItens[[#This Row],[Qtd]]*tItens[[#This Row],[Vlr unit]]</f>
        <v>0</v>
      </c>
      <c r="L1457" s="6">
        <f>IFERROR(IF(INDEX(tProdutos[Desconto homologado],MATCH(tItens[[#This Row],[Produto]],tProdutos[Produto],0))="",DescontoPadrao,INDEX(tProdutos[Desconto homologado],MATCH(tItens[[#This Row],[Produto]],tProdutos[Produto],0))),DescontoPadrao)</f>
        <v>0.26</v>
      </c>
      <c r="M1457" s="12">
        <f>tItens[[#This Row],[Valor]]*(1-tItens[[#This Row],[Desconto]])</f>
        <v>0</v>
      </c>
      <c r="N1457" t="str">
        <f>IFERROR(INDEX(tProdutos[Foco],MATCH(tItens[[#This Row],[Produto]],tProdutos[Produto],0)),"Não")</f>
        <v>Sim</v>
      </c>
      <c r="O1457" t="str">
        <f>IFERROR(INDEX(tEditais[SRP],MATCH(tItens[[#This Row],[Edital]],tEditais[Edital],0)),"Não")</f>
        <v>Não</v>
      </c>
      <c r="P1457" s="4">
        <f>IF(COUNTIFS(INDEX(tItens[Edital],1):tItens[[#This Row],[Edital]],tItens[[#This Row],[Edital]],INDEX(tItens[Produto],1):tItens[[#This Row],[Produto]],tItens[[#This Row],[Produto]])=1,1,0)</f>
        <v>0</v>
      </c>
    </row>
    <row r="1458" spans="1:16" x14ac:dyDescent="0.25">
      <c r="A1458" t="s">
        <v>1146</v>
      </c>
      <c r="B1458">
        <v>363</v>
      </c>
      <c r="C1458" t="s">
        <v>4518</v>
      </c>
      <c r="D1458" t="s">
        <v>405</v>
      </c>
      <c r="E1458" s="13">
        <v>3200</v>
      </c>
      <c r="F1458" s="12">
        <v>0</v>
      </c>
      <c r="G1458" t="str">
        <f>IFERROR(INDEX(tEditais[Órgão],MATCH(tItens[[#This Row],[Edital]],tEditais[Edital],0)),"")</f>
        <v>FUNDO MUNICIPAL DE SAUDE DE MINEIROS</v>
      </c>
      <c r="H1458" t="str">
        <f>IFERROR(INDEX(tEditais[UF],MATCH(tItens[[#This Row],[Edital]],tEditais[Edital],0)),"")</f>
        <v>GO</v>
      </c>
      <c r="I1458" s="11">
        <f>IFERROR(INDEX(tEditais[Encerramento],MATCH(tItens[[#This Row],[Edital]],tEditais[Edital],0)),"")</f>
        <v>46308.291666666664</v>
      </c>
      <c r="J1458" t="str">
        <f>IFERROR(INDEX(tProdutos[Classe],MATCH(tItens[[#This Row],[Produto]],tProdutos[Produto],0)),"produto não cadastrado")</f>
        <v>FORA</v>
      </c>
      <c r="K1458" s="12">
        <f>tItens[[#This Row],[Qtd]]*tItens[[#This Row],[Vlr unit]]</f>
        <v>0</v>
      </c>
      <c r="L1458" s="6">
        <f>IFERROR(IF(INDEX(tProdutos[Desconto homologado],MATCH(tItens[[#This Row],[Produto]],tProdutos[Produto],0))="",DescontoPadrao,INDEX(tProdutos[Desconto homologado],MATCH(tItens[[#This Row],[Produto]],tProdutos[Produto],0))),DescontoPadrao)</f>
        <v>0.43839061190276601</v>
      </c>
      <c r="M1458" s="12">
        <f>tItens[[#This Row],[Valor]]*(1-tItens[[#This Row],[Desconto]])</f>
        <v>0</v>
      </c>
      <c r="N1458" t="str">
        <f>IFERROR(INDEX(tProdutos[Foco],MATCH(tItens[[#This Row],[Produto]],tProdutos[Produto],0)),"Não")</f>
        <v>Não</v>
      </c>
      <c r="O1458" t="str">
        <f>IFERROR(INDEX(tEditais[SRP],MATCH(tItens[[#This Row],[Edital]],tEditais[Edital],0)),"Não")</f>
        <v>Não</v>
      </c>
      <c r="P1458" s="4">
        <f>IF(COUNTIFS(INDEX(tItens[Edital],1):tItens[[#This Row],[Edital]],tItens[[#This Row],[Edital]],INDEX(tItens[Produto],1):tItens[[#This Row],[Produto]],tItens[[#This Row],[Produto]])=1,1,0)</f>
        <v>1</v>
      </c>
    </row>
    <row r="1459" spans="1:16" x14ac:dyDescent="0.25">
      <c r="A1459" t="s">
        <v>1146</v>
      </c>
      <c r="B1459">
        <v>366</v>
      </c>
      <c r="C1459" t="s">
        <v>4519</v>
      </c>
      <c r="D1459" t="s">
        <v>405</v>
      </c>
      <c r="E1459" s="13">
        <v>75</v>
      </c>
      <c r="F1459" s="12">
        <v>0</v>
      </c>
      <c r="G1459" t="str">
        <f>IFERROR(INDEX(tEditais[Órgão],MATCH(tItens[[#This Row],[Edital]],tEditais[Edital],0)),"")</f>
        <v>FUNDO MUNICIPAL DE SAUDE DE MINEIROS</v>
      </c>
      <c r="H1459" t="str">
        <f>IFERROR(INDEX(tEditais[UF],MATCH(tItens[[#This Row],[Edital]],tEditais[Edital],0)),"")</f>
        <v>GO</v>
      </c>
      <c r="I1459" s="11">
        <f>IFERROR(INDEX(tEditais[Encerramento],MATCH(tItens[[#This Row],[Edital]],tEditais[Edital],0)),"")</f>
        <v>46308.291666666664</v>
      </c>
      <c r="J1459" t="str">
        <f>IFERROR(INDEX(tProdutos[Classe],MATCH(tItens[[#This Row],[Produto]],tProdutos[Produto],0)),"produto não cadastrado")</f>
        <v>FORA</v>
      </c>
      <c r="K1459" s="12">
        <f>tItens[[#This Row],[Qtd]]*tItens[[#This Row],[Vlr unit]]</f>
        <v>0</v>
      </c>
      <c r="L1459" s="6">
        <f>IFERROR(IF(INDEX(tProdutos[Desconto homologado],MATCH(tItens[[#This Row],[Produto]],tProdutos[Produto],0))="",DescontoPadrao,INDEX(tProdutos[Desconto homologado],MATCH(tItens[[#This Row],[Produto]],tProdutos[Produto],0))),DescontoPadrao)</f>
        <v>0.43839061190276601</v>
      </c>
      <c r="M1459" s="12">
        <f>tItens[[#This Row],[Valor]]*(1-tItens[[#This Row],[Desconto]])</f>
        <v>0</v>
      </c>
      <c r="N1459" t="str">
        <f>IFERROR(INDEX(tProdutos[Foco],MATCH(tItens[[#This Row],[Produto]],tProdutos[Produto],0)),"Não")</f>
        <v>Não</v>
      </c>
      <c r="O1459" t="str">
        <f>IFERROR(INDEX(tEditais[SRP],MATCH(tItens[[#This Row],[Edital]],tEditais[Edital],0)),"Não")</f>
        <v>Não</v>
      </c>
      <c r="P1459" s="4">
        <f>IF(COUNTIFS(INDEX(tItens[Edital],1):tItens[[#This Row],[Edital]],tItens[[#This Row],[Edital]],INDEX(tItens[Produto],1):tItens[[#This Row],[Produto]],tItens[[#This Row],[Produto]])=1,1,0)</f>
        <v>0</v>
      </c>
    </row>
    <row r="1460" spans="1:16" x14ac:dyDescent="0.25">
      <c r="A1460" t="s">
        <v>1146</v>
      </c>
      <c r="B1460">
        <v>423</v>
      </c>
      <c r="C1460" t="s">
        <v>4520</v>
      </c>
      <c r="D1460" t="s">
        <v>205</v>
      </c>
      <c r="E1460" s="13">
        <v>30</v>
      </c>
      <c r="F1460" s="12">
        <v>0</v>
      </c>
      <c r="G1460" t="str">
        <f>IFERROR(INDEX(tEditais[Órgão],MATCH(tItens[[#This Row],[Edital]],tEditais[Edital],0)),"")</f>
        <v>FUNDO MUNICIPAL DE SAUDE DE MINEIROS</v>
      </c>
      <c r="H1460" t="str">
        <f>IFERROR(INDEX(tEditais[UF],MATCH(tItens[[#This Row],[Edital]],tEditais[Edital],0)),"")</f>
        <v>GO</v>
      </c>
      <c r="I1460" s="11">
        <f>IFERROR(INDEX(tEditais[Encerramento],MATCH(tItens[[#This Row],[Edital]],tEditais[Edital],0)),"")</f>
        <v>46308.291666666664</v>
      </c>
      <c r="J1460" t="str">
        <f>IFERROR(INDEX(tProdutos[Classe],MATCH(tItens[[#This Row],[Produto]],tProdutos[Produto],0)),"produto não cadastrado")</f>
        <v>FORA</v>
      </c>
      <c r="K1460" s="12">
        <f>tItens[[#This Row],[Qtd]]*tItens[[#This Row],[Vlr unit]]</f>
        <v>0</v>
      </c>
      <c r="L1460" s="6">
        <f>IFERROR(IF(INDEX(tProdutos[Desconto homologado],MATCH(tItens[[#This Row],[Produto]],tProdutos[Produto],0))="",DescontoPadrao,INDEX(tProdutos[Desconto homologado],MATCH(tItens[[#This Row],[Produto]],tProdutos[Produto],0))),DescontoPadrao)</f>
        <v>0.468911625815156</v>
      </c>
      <c r="M1460" s="12">
        <f>tItens[[#This Row],[Valor]]*(1-tItens[[#This Row],[Desconto]])</f>
        <v>0</v>
      </c>
      <c r="N1460" t="str">
        <f>IFERROR(INDEX(tProdutos[Foco],MATCH(tItens[[#This Row],[Produto]],tProdutos[Produto],0)),"Não")</f>
        <v>Não</v>
      </c>
      <c r="O1460" t="str">
        <f>IFERROR(INDEX(tEditais[SRP],MATCH(tItens[[#This Row],[Edital]],tEditais[Edital],0)),"Não")</f>
        <v>Não</v>
      </c>
      <c r="P1460" s="4">
        <f>IF(COUNTIFS(INDEX(tItens[Edital],1):tItens[[#This Row],[Edital]],tItens[[#This Row],[Edital]],INDEX(tItens[Produto],1):tItens[[#This Row],[Produto]],tItens[[#This Row],[Produto]])=1,1,0)</f>
        <v>1</v>
      </c>
    </row>
    <row r="1461" spans="1:16" x14ac:dyDescent="0.25">
      <c r="A1461" t="s">
        <v>1146</v>
      </c>
      <c r="B1461">
        <v>424</v>
      </c>
      <c r="C1461" t="s">
        <v>4521</v>
      </c>
      <c r="D1461" t="s">
        <v>205</v>
      </c>
      <c r="E1461" s="13">
        <v>30</v>
      </c>
      <c r="F1461" s="12">
        <v>0</v>
      </c>
      <c r="G1461" t="str">
        <f>IFERROR(INDEX(tEditais[Órgão],MATCH(tItens[[#This Row],[Edital]],tEditais[Edital],0)),"")</f>
        <v>FUNDO MUNICIPAL DE SAUDE DE MINEIROS</v>
      </c>
      <c r="H1461" t="str">
        <f>IFERROR(INDEX(tEditais[UF],MATCH(tItens[[#This Row],[Edital]],tEditais[Edital],0)),"")</f>
        <v>GO</v>
      </c>
      <c r="I1461" s="11">
        <f>IFERROR(INDEX(tEditais[Encerramento],MATCH(tItens[[#This Row],[Edital]],tEditais[Edital],0)),"")</f>
        <v>46308.291666666664</v>
      </c>
      <c r="J1461" t="str">
        <f>IFERROR(INDEX(tProdutos[Classe],MATCH(tItens[[#This Row],[Produto]],tProdutos[Produto],0)),"produto não cadastrado")</f>
        <v>FORA</v>
      </c>
      <c r="K1461" s="12">
        <f>tItens[[#This Row],[Qtd]]*tItens[[#This Row],[Vlr unit]]</f>
        <v>0</v>
      </c>
      <c r="L1461" s="6">
        <f>IFERROR(IF(INDEX(tProdutos[Desconto homologado],MATCH(tItens[[#This Row],[Produto]],tProdutos[Produto],0))="",DescontoPadrao,INDEX(tProdutos[Desconto homologado],MATCH(tItens[[#This Row],[Produto]],tProdutos[Produto],0))),DescontoPadrao)</f>
        <v>0.468911625815156</v>
      </c>
      <c r="M1461" s="12">
        <f>tItens[[#This Row],[Valor]]*(1-tItens[[#This Row],[Desconto]])</f>
        <v>0</v>
      </c>
      <c r="N1461" t="str">
        <f>IFERROR(INDEX(tProdutos[Foco],MATCH(tItens[[#This Row],[Produto]],tProdutos[Produto],0)),"Não")</f>
        <v>Não</v>
      </c>
      <c r="O1461" t="str">
        <f>IFERROR(INDEX(tEditais[SRP],MATCH(tItens[[#This Row],[Edital]],tEditais[Edital],0)),"Não")</f>
        <v>Não</v>
      </c>
      <c r="P1461" s="4">
        <f>IF(COUNTIFS(INDEX(tItens[Edital],1):tItens[[#This Row],[Edital]],tItens[[#This Row],[Edital]],INDEX(tItens[Produto],1):tItens[[#This Row],[Produto]],tItens[[#This Row],[Produto]])=1,1,0)</f>
        <v>0</v>
      </c>
    </row>
    <row r="1462" spans="1:16" x14ac:dyDescent="0.25">
      <c r="A1462" t="s">
        <v>1146</v>
      </c>
      <c r="B1462">
        <v>425</v>
      </c>
      <c r="C1462" t="s">
        <v>4522</v>
      </c>
      <c r="D1462" t="s">
        <v>205</v>
      </c>
      <c r="E1462" s="13">
        <v>10</v>
      </c>
      <c r="F1462" s="12">
        <v>0</v>
      </c>
      <c r="G1462" t="str">
        <f>IFERROR(INDEX(tEditais[Órgão],MATCH(tItens[[#This Row],[Edital]],tEditais[Edital],0)),"")</f>
        <v>FUNDO MUNICIPAL DE SAUDE DE MINEIROS</v>
      </c>
      <c r="H1462" t="str">
        <f>IFERROR(INDEX(tEditais[UF],MATCH(tItens[[#This Row],[Edital]],tEditais[Edital],0)),"")</f>
        <v>GO</v>
      </c>
      <c r="I1462" s="11">
        <f>IFERROR(INDEX(tEditais[Encerramento],MATCH(tItens[[#This Row],[Edital]],tEditais[Edital],0)),"")</f>
        <v>46308.291666666664</v>
      </c>
      <c r="J1462" t="str">
        <f>IFERROR(INDEX(tProdutos[Classe],MATCH(tItens[[#This Row],[Produto]],tProdutos[Produto],0)),"produto não cadastrado")</f>
        <v>FORA</v>
      </c>
      <c r="K1462" s="12">
        <f>tItens[[#This Row],[Qtd]]*tItens[[#This Row],[Vlr unit]]</f>
        <v>0</v>
      </c>
      <c r="L1462" s="6">
        <f>IFERROR(IF(INDEX(tProdutos[Desconto homologado],MATCH(tItens[[#This Row],[Produto]],tProdutos[Produto],0))="",DescontoPadrao,INDEX(tProdutos[Desconto homologado],MATCH(tItens[[#This Row],[Produto]],tProdutos[Produto],0))),DescontoPadrao)</f>
        <v>0.468911625815156</v>
      </c>
      <c r="M1462" s="12">
        <f>tItens[[#This Row],[Valor]]*(1-tItens[[#This Row],[Desconto]])</f>
        <v>0</v>
      </c>
      <c r="N1462" t="str">
        <f>IFERROR(INDEX(tProdutos[Foco],MATCH(tItens[[#This Row],[Produto]],tProdutos[Produto],0)),"Não")</f>
        <v>Não</v>
      </c>
      <c r="O1462" t="str">
        <f>IFERROR(INDEX(tEditais[SRP],MATCH(tItens[[#This Row],[Edital]],tEditais[Edital],0)),"Não")</f>
        <v>Não</v>
      </c>
      <c r="P1462" s="4">
        <f>IF(COUNTIFS(INDEX(tItens[Edital],1):tItens[[#This Row],[Edital]],tItens[[#This Row],[Edital]],INDEX(tItens[Produto],1):tItens[[#This Row],[Produto]],tItens[[#This Row],[Produto]])=1,1,0)</f>
        <v>0</v>
      </c>
    </row>
    <row r="1463" spans="1:16" x14ac:dyDescent="0.25">
      <c r="A1463" t="s">
        <v>1146</v>
      </c>
      <c r="B1463">
        <v>429</v>
      </c>
      <c r="C1463" t="s">
        <v>4523</v>
      </c>
      <c r="D1463" t="s">
        <v>142</v>
      </c>
      <c r="E1463" s="13">
        <v>850</v>
      </c>
      <c r="F1463" s="12">
        <v>0</v>
      </c>
      <c r="G1463" t="str">
        <f>IFERROR(INDEX(tEditais[Órgão],MATCH(tItens[[#This Row],[Edital]],tEditais[Edital],0)),"")</f>
        <v>FUNDO MUNICIPAL DE SAUDE DE MINEIROS</v>
      </c>
      <c r="H1463" t="str">
        <f>IFERROR(INDEX(tEditais[UF],MATCH(tItens[[#This Row],[Edital]],tEditais[Edital],0)),"")</f>
        <v>GO</v>
      </c>
      <c r="I1463" s="11">
        <f>IFERROR(INDEX(tEditais[Encerramento],MATCH(tItens[[#This Row],[Edital]],tEditais[Edital],0)),"")</f>
        <v>46308.291666666664</v>
      </c>
      <c r="J1463" t="str">
        <f>IFERROR(INDEX(tProdutos[Classe],MATCH(tItens[[#This Row],[Produto]],tProdutos[Produto],0)),"produto não cadastrado")</f>
        <v>DISPUTADO</v>
      </c>
      <c r="K1463" s="12">
        <f>tItens[[#This Row],[Qtd]]*tItens[[#This Row],[Vlr unit]]</f>
        <v>0</v>
      </c>
      <c r="L1463" s="6">
        <f>IFERROR(IF(INDEX(tProdutos[Desconto homologado],MATCH(tItens[[#This Row],[Produto]],tProdutos[Produto],0))="",DescontoPadrao,INDEX(tProdutos[Desconto homologado],MATCH(tItens[[#This Row],[Produto]],tProdutos[Produto],0))),DescontoPadrao)</f>
        <v>0.37093619495691699</v>
      </c>
      <c r="M1463" s="12">
        <f>tItens[[#This Row],[Valor]]*(1-tItens[[#This Row],[Desconto]])</f>
        <v>0</v>
      </c>
      <c r="N1463" t="str">
        <f>IFERROR(INDEX(tProdutos[Foco],MATCH(tItens[[#This Row],[Produto]],tProdutos[Produto],0)),"Não")</f>
        <v>Não</v>
      </c>
      <c r="O1463" t="str">
        <f>IFERROR(INDEX(tEditais[SRP],MATCH(tItens[[#This Row],[Edital]],tEditais[Edital],0)),"Não")</f>
        <v>Não</v>
      </c>
      <c r="P1463" s="4">
        <f>IF(COUNTIFS(INDEX(tItens[Edital],1):tItens[[#This Row],[Edital]],tItens[[#This Row],[Edital]],INDEX(tItens[Produto],1):tItens[[#This Row],[Produto]],tItens[[#This Row],[Produto]])=1,1,0)</f>
        <v>1</v>
      </c>
    </row>
    <row r="1464" spans="1:16" x14ac:dyDescent="0.25">
      <c r="A1464" t="s">
        <v>1146</v>
      </c>
      <c r="B1464">
        <v>430</v>
      </c>
      <c r="C1464" t="s">
        <v>4524</v>
      </c>
      <c r="D1464" t="s">
        <v>90</v>
      </c>
      <c r="E1464" s="13">
        <v>4675</v>
      </c>
      <c r="F1464" s="12">
        <v>0</v>
      </c>
      <c r="G1464" t="str">
        <f>IFERROR(INDEX(tEditais[Órgão],MATCH(tItens[[#This Row],[Edital]],tEditais[Edital],0)),"")</f>
        <v>FUNDO MUNICIPAL DE SAUDE DE MINEIROS</v>
      </c>
      <c r="H1464" t="str">
        <f>IFERROR(INDEX(tEditais[UF],MATCH(tItens[[#This Row],[Edital]],tEditais[Edital],0)),"")</f>
        <v>GO</v>
      </c>
      <c r="I1464" s="11">
        <f>IFERROR(INDEX(tEditais[Encerramento],MATCH(tItens[[#This Row],[Edital]],tEditais[Edital],0)),"")</f>
        <v>46308.291666666664</v>
      </c>
      <c r="J1464" t="str">
        <f>IFERROR(INDEX(tProdutos[Classe],MATCH(tItens[[#This Row],[Produto]],tProdutos[Produto],0)),"produto não cadastrado")</f>
        <v>DISPUTADO</v>
      </c>
      <c r="K1464" s="12">
        <f>tItens[[#This Row],[Qtd]]*tItens[[#This Row],[Vlr unit]]</f>
        <v>0</v>
      </c>
      <c r="L1464" s="6">
        <f>IFERROR(IF(INDEX(tProdutos[Desconto homologado],MATCH(tItens[[#This Row],[Produto]],tProdutos[Produto],0))="",DescontoPadrao,INDEX(tProdutos[Desconto homologado],MATCH(tItens[[#This Row],[Produto]],tProdutos[Produto],0))),DescontoPadrao)</f>
        <v>0.25393823957010597</v>
      </c>
      <c r="M1464" s="12">
        <f>tItens[[#This Row],[Valor]]*(1-tItens[[#This Row],[Desconto]])</f>
        <v>0</v>
      </c>
      <c r="N1464" t="str">
        <f>IFERROR(INDEX(tProdutos[Foco],MATCH(tItens[[#This Row],[Produto]],tProdutos[Produto],0)),"Não")</f>
        <v>Não</v>
      </c>
      <c r="O1464" t="str">
        <f>IFERROR(INDEX(tEditais[SRP],MATCH(tItens[[#This Row],[Edital]],tEditais[Edital],0)),"Não")</f>
        <v>Não</v>
      </c>
      <c r="P1464" s="4">
        <f>IF(COUNTIFS(INDEX(tItens[Edital],1):tItens[[#This Row],[Edital]],tItens[[#This Row],[Edital]],INDEX(tItens[Produto],1):tItens[[#This Row],[Produto]],tItens[[#This Row],[Produto]])=1,1,0)</f>
        <v>1</v>
      </c>
    </row>
    <row r="1465" spans="1:16" x14ac:dyDescent="0.25">
      <c r="A1465" t="s">
        <v>1146</v>
      </c>
      <c r="B1465">
        <v>431</v>
      </c>
      <c r="C1465" t="s">
        <v>4525</v>
      </c>
      <c r="D1465" t="s">
        <v>90</v>
      </c>
      <c r="E1465" s="13">
        <v>825</v>
      </c>
      <c r="F1465" s="12">
        <v>0</v>
      </c>
      <c r="G1465" t="str">
        <f>IFERROR(INDEX(tEditais[Órgão],MATCH(tItens[[#This Row],[Edital]],tEditais[Edital],0)),"")</f>
        <v>FUNDO MUNICIPAL DE SAUDE DE MINEIROS</v>
      </c>
      <c r="H1465" t="str">
        <f>IFERROR(INDEX(tEditais[UF],MATCH(tItens[[#This Row],[Edital]],tEditais[Edital],0)),"")</f>
        <v>GO</v>
      </c>
      <c r="I1465" s="11">
        <f>IFERROR(INDEX(tEditais[Encerramento],MATCH(tItens[[#This Row],[Edital]],tEditais[Edital],0)),"")</f>
        <v>46308.291666666664</v>
      </c>
      <c r="J1465" t="str">
        <f>IFERROR(INDEX(tProdutos[Classe],MATCH(tItens[[#This Row],[Produto]],tProdutos[Produto],0)),"produto não cadastrado")</f>
        <v>DISPUTADO</v>
      </c>
      <c r="K1465" s="12">
        <f>tItens[[#This Row],[Qtd]]*tItens[[#This Row],[Vlr unit]]</f>
        <v>0</v>
      </c>
      <c r="L1465" s="6">
        <f>IFERROR(IF(INDEX(tProdutos[Desconto homologado],MATCH(tItens[[#This Row],[Produto]],tProdutos[Produto],0))="",DescontoPadrao,INDEX(tProdutos[Desconto homologado],MATCH(tItens[[#This Row],[Produto]],tProdutos[Produto],0))),DescontoPadrao)</f>
        <v>0.25393823957010597</v>
      </c>
      <c r="M1465" s="12">
        <f>tItens[[#This Row],[Valor]]*(1-tItens[[#This Row],[Desconto]])</f>
        <v>0</v>
      </c>
      <c r="N1465" t="str">
        <f>IFERROR(INDEX(tProdutos[Foco],MATCH(tItens[[#This Row],[Produto]],tProdutos[Produto],0)),"Não")</f>
        <v>Não</v>
      </c>
      <c r="O1465" t="str">
        <f>IFERROR(INDEX(tEditais[SRP],MATCH(tItens[[#This Row],[Edital]],tEditais[Edital],0)),"Não")</f>
        <v>Não</v>
      </c>
      <c r="P1465" s="4">
        <f>IF(COUNTIFS(INDEX(tItens[Edital],1):tItens[[#This Row],[Edital]],tItens[[#This Row],[Edital]],INDEX(tItens[Produto],1):tItens[[#This Row],[Produto]],tItens[[#This Row],[Produto]])=1,1,0)</f>
        <v>0</v>
      </c>
    </row>
    <row r="1466" spans="1:16" x14ac:dyDescent="0.25">
      <c r="A1466" t="s">
        <v>1146</v>
      </c>
      <c r="B1466">
        <v>432</v>
      </c>
      <c r="C1466" t="s">
        <v>4526</v>
      </c>
      <c r="D1466" t="s">
        <v>77</v>
      </c>
      <c r="E1466" s="13">
        <v>7500</v>
      </c>
      <c r="F1466" s="12">
        <v>0</v>
      </c>
      <c r="G1466" t="str">
        <f>IFERROR(INDEX(tEditais[Órgão],MATCH(tItens[[#This Row],[Edital]],tEditais[Edital],0)),"")</f>
        <v>FUNDO MUNICIPAL DE SAUDE DE MINEIROS</v>
      </c>
      <c r="H1466" t="str">
        <f>IFERROR(INDEX(tEditais[UF],MATCH(tItens[[#This Row],[Edital]],tEditais[Edital],0)),"")</f>
        <v>GO</v>
      </c>
      <c r="I1466" s="11">
        <f>IFERROR(INDEX(tEditais[Encerramento],MATCH(tItens[[#This Row],[Edital]],tEditais[Edital],0)),"")</f>
        <v>46308.291666666664</v>
      </c>
      <c r="J1466" t="str">
        <f>IFERROR(INDEX(tProdutos[Classe],MATCH(tItens[[#This Row],[Produto]],tProdutos[Produto],0)),"produto não cadastrado")</f>
        <v>DISPUTADO</v>
      </c>
      <c r="K1466" s="12">
        <f>tItens[[#This Row],[Qtd]]*tItens[[#This Row],[Vlr unit]]</f>
        <v>0</v>
      </c>
      <c r="L1466" s="6">
        <f>IFERROR(IF(INDEX(tProdutos[Desconto homologado],MATCH(tItens[[#This Row],[Produto]],tProdutos[Produto],0))="",DescontoPadrao,INDEX(tProdutos[Desconto homologado],MATCH(tItens[[#This Row],[Produto]],tProdutos[Produto],0))),DescontoPadrao)</f>
        <v>0.33</v>
      </c>
      <c r="M1466" s="12">
        <f>tItens[[#This Row],[Valor]]*(1-tItens[[#This Row],[Desconto]])</f>
        <v>0</v>
      </c>
      <c r="N1466" t="str">
        <f>IFERROR(INDEX(tProdutos[Foco],MATCH(tItens[[#This Row],[Produto]],tProdutos[Produto],0)),"Não")</f>
        <v>Sim</v>
      </c>
      <c r="O1466" t="str">
        <f>IFERROR(INDEX(tEditais[SRP],MATCH(tItens[[#This Row],[Edital]],tEditais[Edital],0)),"Não")</f>
        <v>Não</v>
      </c>
      <c r="P1466" s="4">
        <f>IF(COUNTIFS(INDEX(tItens[Edital],1):tItens[[#This Row],[Edital]],tItens[[#This Row],[Edital]],INDEX(tItens[Produto],1):tItens[[#This Row],[Produto]],tItens[[#This Row],[Produto]])=1,1,0)</f>
        <v>1</v>
      </c>
    </row>
    <row r="1467" spans="1:16" x14ac:dyDescent="0.25">
      <c r="A1467" t="s">
        <v>1146</v>
      </c>
      <c r="B1467">
        <v>434</v>
      </c>
      <c r="C1467" t="s">
        <v>4527</v>
      </c>
      <c r="D1467" t="s">
        <v>67</v>
      </c>
      <c r="E1467" s="13">
        <v>2300</v>
      </c>
      <c r="F1467" s="12">
        <v>0</v>
      </c>
      <c r="G1467" t="str">
        <f>IFERROR(INDEX(tEditais[Órgão],MATCH(tItens[[#This Row],[Edital]],tEditais[Edital],0)),"")</f>
        <v>FUNDO MUNICIPAL DE SAUDE DE MINEIROS</v>
      </c>
      <c r="H1467" t="str">
        <f>IFERROR(INDEX(tEditais[UF],MATCH(tItens[[#This Row],[Edital]],tEditais[Edital],0)),"")</f>
        <v>GO</v>
      </c>
      <c r="I1467" s="11">
        <f>IFERROR(INDEX(tEditais[Encerramento],MATCH(tItens[[#This Row],[Edital]],tEditais[Edital],0)),"")</f>
        <v>46308.291666666664</v>
      </c>
      <c r="J1467" t="str">
        <f>IFERROR(INDEX(tProdutos[Classe],MATCH(tItens[[#This Row],[Produto]],tProdutos[Produto],0)),"produto não cadastrado")</f>
        <v>NÚCLEO</v>
      </c>
      <c r="K1467" s="12">
        <f>tItens[[#This Row],[Qtd]]*tItens[[#This Row],[Vlr unit]]</f>
        <v>0</v>
      </c>
      <c r="L1467" s="6">
        <f>IFERROR(IF(INDEX(tProdutos[Desconto homologado],MATCH(tItens[[#This Row],[Produto]],tProdutos[Produto],0))="",DescontoPadrao,INDEX(tProdutos[Desconto homologado],MATCH(tItens[[#This Row],[Produto]],tProdutos[Produto],0))),DescontoPadrao)</f>
        <v>0.35766423357664201</v>
      </c>
      <c r="M1467" s="12">
        <f>tItens[[#This Row],[Valor]]*(1-tItens[[#This Row],[Desconto]])</f>
        <v>0</v>
      </c>
      <c r="N1467" t="str">
        <f>IFERROR(INDEX(tProdutos[Foco],MATCH(tItens[[#This Row],[Produto]],tProdutos[Produto],0)),"Não")</f>
        <v>Não</v>
      </c>
      <c r="O1467" t="str">
        <f>IFERROR(INDEX(tEditais[SRP],MATCH(tItens[[#This Row],[Edital]],tEditais[Edital],0)),"Não")</f>
        <v>Não</v>
      </c>
      <c r="P1467" s="4">
        <f>IF(COUNTIFS(INDEX(tItens[Edital],1):tItens[[#This Row],[Edital]],tItens[[#This Row],[Edital]],INDEX(tItens[Produto],1):tItens[[#This Row],[Produto]],tItens[[#This Row],[Produto]])=1,1,0)</f>
        <v>1</v>
      </c>
    </row>
    <row r="1468" spans="1:16" x14ac:dyDescent="0.25">
      <c r="A1468" t="s">
        <v>1146</v>
      </c>
      <c r="B1468">
        <v>435</v>
      </c>
      <c r="C1468" t="s">
        <v>4528</v>
      </c>
      <c r="D1468" t="s">
        <v>67</v>
      </c>
      <c r="E1468" s="13">
        <v>3270</v>
      </c>
      <c r="F1468" s="12">
        <v>0</v>
      </c>
      <c r="G1468" t="str">
        <f>IFERROR(INDEX(tEditais[Órgão],MATCH(tItens[[#This Row],[Edital]],tEditais[Edital],0)),"")</f>
        <v>FUNDO MUNICIPAL DE SAUDE DE MINEIROS</v>
      </c>
      <c r="H1468" t="str">
        <f>IFERROR(INDEX(tEditais[UF],MATCH(tItens[[#This Row],[Edital]],tEditais[Edital],0)),"")</f>
        <v>GO</v>
      </c>
      <c r="I1468" s="11">
        <f>IFERROR(INDEX(tEditais[Encerramento],MATCH(tItens[[#This Row],[Edital]],tEditais[Edital],0)),"")</f>
        <v>46308.291666666664</v>
      </c>
      <c r="J1468" t="str">
        <f>IFERROR(INDEX(tProdutos[Classe],MATCH(tItens[[#This Row],[Produto]],tProdutos[Produto],0)),"produto não cadastrado")</f>
        <v>NÚCLEO</v>
      </c>
      <c r="K1468" s="12">
        <f>tItens[[#This Row],[Qtd]]*tItens[[#This Row],[Vlr unit]]</f>
        <v>0</v>
      </c>
      <c r="L1468" s="6">
        <f>IFERROR(IF(INDEX(tProdutos[Desconto homologado],MATCH(tItens[[#This Row],[Produto]],tProdutos[Produto],0))="",DescontoPadrao,INDEX(tProdutos[Desconto homologado],MATCH(tItens[[#This Row],[Produto]],tProdutos[Produto],0))),DescontoPadrao)</f>
        <v>0.35766423357664201</v>
      </c>
      <c r="M1468" s="12">
        <f>tItens[[#This Row],[Valor]]*(1-tItens[[#This Row],[Desconto]])</f>
        <v>0</v>
      </c>
      <c r="N1468" t="str">
        <f>IFERROR(INDEX(tProdutos[Foco],MATCH(tItens[[#This Row],[Produto]],tProdutos[Produto],0)),"Não")</f>
        <v>Não</v>
      </c>
      <c r="O1468" t="str">
        <f>IFERROR(INDEX(tEditais[SRP],MATCH(tItens[[#This Row],[Edital]],tEditais[Edital],0)),"Não")</f>
        <v>Não</v>
      </c>
      <c r="P1468" s="4">
        <f>IF(COUNTIFS(INDEX(tItens[Edital],1):tItens[[#This Row],[Edital]],tItens[[#This Row],[Edital]],INDEX(tItens[Produto],1):tItens[[#This Row],[Produto]],tItens[[#This Row],[Produto]])=1,1,0)</f>
        <v>0</v>
      </c>
    </row>
    <row r="1469" spans="1:16" x14ac:dyDescent="0.25">
      <c r="A1469" t="s">
        <v>1146</v>
      </c>
      <c r="B1469">
        <v>436</v>
      </c>
      <c r="C1469" t="s">
        <v>4529</v>
      </c>
      <c r="D1469" t="s">
        <v>67</v>
      </c>
      <c r="E1469" s="13">
        <v>250</v>
      </c>
      <c r="F1469" s="12">
        <v>0</v>
      </c>
      <c r="G1469" t="str">
        <f>IFERROR(INDEX(tEditais[Órgão],MATCH(tItens[[#This Row],[Edital]],tEditais[Edital],0)),"")</f>
        <v>FUNDO MUNICIPAL DE SAUDE DE MINEIROS</v>
      </c>
      <c r="H1469" t="str">
        <f>IFERROR(INDEX(tEditais[UF],MATCH(tItens[[#This Row],[Edital]],tEditais[Edital],0)),"")</f>
        <v>GO</v>
      </c>
      <c r="I1469" s="11">
        <f>IFERROR(INDEX(tEditais[Encerramento],MATCH(tItens[[#This Row],[Edital]],tEditais[Edital],0)),"")</f>
        <v>46308.291666666664</v>
      </c>
      <c r="J1469" t="str">
        <f>IFERROR(INDEX(tProdutos[Classe],MATCH(tItens[[#This Row],[Produto]],tProdutos[Produto],0)),"produto não cadastrado")</f>
        <v>NÚCLEO</v>
      </c>
      <c r="K1469" s="12">
        <f>tItens[[#This Row],[Qtd]]*tItens[[#This Row],[Vlr unit]]</f>
        <v>0</v>
      </c>
      <c r="L1469" s="6">
        <f>IFERROR(IF(INDEX(tProdutos[Desconto homologado],MATCH(tItens[[#This Row],[Produto]],tProdutos[Produto],0))="",DescontoPadrao,INDEX(tProdutos[Desconto homologado],MATCH(tItens[[#This Row],[Produto]],tProdutos[Produto],0))),DescontoPadrao)</f>
        <v>0.35766423357664201</v>
      </c>
      <c r="M1469" s="12">
        <f>tItens[[#This Row],[Valor]]*(1-tItens[[#This Row],[Desconto]])</f>
        <v>0</v>
      </c>
      <c r="N1469" t="str">
        <f>IFERROR(INDEX(tProdutos[Foco],MATCH(tItens[[#This Row],[Produto]],tProdutos[Produto],0)),"Não")</f>
        <v>Não</v>
      </c>
      <c r="O1469" t="str">
        <f>IFERROR(INDEX(tEditais[SRP],MATCH(tItens[[#This Row],[Edital]],tEditais[Edital],0)),"Não")</f>
        <v>Não</v>
      </c>
      <c r="P1469" s="4">
        <f>IF(COUNTIFS(INDEX(tItens[Edital],1):tItens[[#This Row],[Edital]],tItens[[#This Row],[Edital]],INDEX(tItens[Produto],1):tItens[[#This Row],[Produto]],tItens[[#This Row],[Produto]])=1,1,0)</f>
        <v>0</v>
      </c>
    </row>
    <row r="1470" spans="1:16" x14ac:dyDescent="0.25">
      <c r="A1470" t="s">
        <v>1146</v>
      </c>
      <c r="B1470">
        <v>438</v>
      </c>
      <c r="C1470" t="s">
        <v>4530</v>
      </c>
      <c r="D1470" t="s">
        <v>339</v>
      </c>
      <c r="E1470" s="13">
        <v>2200</v>
      </c>
      <c r="F1470" s="12">
        <v>0</v>
      </c>
      <c r="G1470" t="str">
        <f>IFERROR(INDEX(tEditais[Órgão],MATCH(tItens[[#This Row],[Edital]],tEditais[Edital],0)),"")</f>
        <v>FUNDO MUNICIPAL DE SAUDE DE MINEIROS</v>
      </c>
      <c r="H1470" t="str">
        <f>IFERROR(INDEX(tEditais[UF],MATCH(tItens[[#This Row],[Edital]],tEditais[Edital],0)),"")</f>
        <v>GO</v>
      </c>
      <c r="I1470" s="11">
        <f>IFERROR(INDEX(tEditais[Encerramento],MATCH(tItens[[#This Row],[Edital]],tEditais[Edital],0)),"")</f>
        <v>46308.291666666664</v>
      </c>
      <c r="J1470" t="str">
        <f>IFERROR(INDEX(tProdutos[Classe],MATCH(tItens[[#This Row],[Produto]],tProdutos[Produto],0)),"produto não cadastrado")</f>
        <v>FORA</v>
      </c>
      <c r="K1470" s="12">
        <f>tItens[[#This Row],[Qtd]]*tItens[[#This Row],[Vlr unit]]</f>
        <v>0</v>
      </c>
      <c r="L1470" s="6">
        <f>IFERROR(IF(INDEX(tProdutos[Desconto homologado],MATCH(tItens[[#This Row],[Produto]],tProdutos[Produto],0))="",DescontoPadrao,INDEX(tProdutos[Desconto homologado],MATCH(tItens[[#This Row],[Produto]],tProdutos[Produto],0))),DescontoPadrao)</f>
        <v>0.35388629091804102</v>
      </c>
      <c r="M1470" s="12">
        <f>tItens[[#This Row],[Valor]]*(1-tItens[[#This Row],[Desconto]])</f>
        <v>0</v>
      </c>
      <c r="N1470" t="str">
        <f>IFERROR(INDEX(tProdutos[Foco],MATCH(tItens[[#This Row],[Produto]],tProdutos[Produto],0)),"Não")</f>
        <v>Não</v>
      </c>
      <c r="O1470" t="str">
        <f>IFERROR(INDEX(tEditais[SRP],MATCH(tItens[[#This Row],[Edital]],tEditais[Edital],0)),"Não")</f>
        <v>Não</v>
      </c>
      <c r="P1470" s="4">
        <f>IF(COUNTIFS(INDEX(tItens[Edital],1):tItens[[#This Row],[Edital]],tItens[[#This Row],[Edital]],INDEX(tItens[Produto],1):tItens[[#This Row],[Produto]],tItens[[#This Row],[Produto]])=1,1,0)</f>
        <v>1</v>
      </c>
    </row>
    <row r="1471" spans="1:16" x14ac:dyDescent="0.25">
      <c r="A1471" t="s">
        <v>1146</v>
      </c>
      <c r="B1471">
        <v>439</v>
      </c>
      <c r="C1471" t="s">
        <v>4531</v>
      </c>
      <c r="D1471" t="s">
        <v>339</v>
      </c>
      <c r="E1471" s="13">
        <v>1460</v>
      </c>
      <c r="F1471" s="12">
        <v>0</v>
      </c>
      <c r="G1471" t="str">
        <f>IFERROR(INDEX(tEditais[Órgão],MATCH(tItens[[#This Row],[Edital]],tEditais[Edital],0)),"")</f>
        <v>FUNDO MUNICIPAL DE SAUDE DE MINEIROS</v>
      </c>
      <c r="H1471" t="str">
        <f>IFERROR(INDEX(tEditais[UF],MATCH(tItens[[#This Row],[Edital]],tEditais[Edital],0)),"")</f>
        <v>GO</v>
      </c>
      <c r="I1471" s="11">
        <f>IFERROR(INDEX(tEditais[Encerramento],MATCH(tItens[[#This Row],[Edital]],tEditais[Edital],0)),"")</f>
        <v>46308.291666666664</v>
      </c>
      <c r="J1471" t="str">
        <f>IFERROR(INDEX(tProdutos[Classe],MATCH(tItens[[#This Row],[Produto]],tProdutos[Produto],0)),"produto não cadastrado")</f>
        <v>FORA</v>
      </c>
      <c r="K1471" s="12">
        <f>tItens[[#This Row],[Qtd]]*tItens[[#This Row],[Vlr unit]]</f>
        <v>0</v>
      </c>
      <c r="L1471" s="6">
        <f>IFERROR(IF(INDEX(tProdutos[Desconto homologado],MATCH(tItens[[#This Row],[Produto]],tProdutos[Produto],0))="",DescontoPadrao,INDEX(tProdutos[Desconto homologado],MATCH(tItens[[#This Row],[Produto]],tProdutos[Produto],0))),DescontoPadrao)</f>
        <v>0.35388629091804102</v>
      </c>
      <c r="M1471" s="12">
        <f>tItens[[#This Row],[Valor]]*(1-tItens[[#This Row],[Desconto]])</f>
        <v>0</v>
      </c>
      <c r="N1471" t="str">
        <f>IFERROR(INDEX(tProdutos[Foco],MATCH(tItens[[#This Row],[Produto]],tProdutos[Produto],0)),"Não")</f>
        <v>Não</v>
      </c>
      <c r="O1471" t="str">
        <f>IFERROR(INDEX(tEditais[SRP],MATCH(tItens[[#This Row],[Edital]],tEditais[Edital],0)),"Não")</f>
        <v>Não</v>
      </c>
      <c r="P1471" s="4">
        <f>IF(COUNTIFS(INDEX(tItens[Edital],1):tItens[[#This Row],[Edital]],tItens[[#This Row],[Edital]],INDEX(tItens[Produto],1):tItens[[#This Row],[Produto]],tItens[[#This Row],[Produto]])=1,1,0)</f>
        <v>0</v>
      </c>
    </row>
    <row r="1472" spans="1:16" x14ac:dyDescent="0.25">
      <c r="A1472" t="s">
        <v>1146</v>
      </c>
      <c r="B1472">
        <v>440</v>
      </c>
      <c r="C1472" t="s">
        <v>4532</v>
      </c>
      <c r="D1472" t="s">
        <v>339</v>
      </c>
      <c r="E1472" s="13">
        <v>2300</v>
      </c>
      <c r="F1472" s="12">
        <v>0</v>
      </c>
      <c r="G1472" t="str">
        <f>IFERROR(INDEX(tEditais[Órgão],MATCH(tItens[[#This Row],[Edital]],tEditais[Edital],0)),"")</f>
        <v>FUNDO MUNICIPAL DE SAUDE DE MINEIROS</v>
      </c>
      <c r="H1472" t="str">
        <f>IFERROR(INDEX(tEditais[UF],MATCH(tItens[[#This Row],[Edital]],tEditais[Edital],0)),"")</f>
        <v>GO</v>
      </c>
      <c r="I1472" s="11">
        <f>IFERROR(INDEX(tEditais[Encerramento],MATCH(tItens[[#This Row],[Edital]],tEditais[Edital],0)),"")</f>
        <v>46308.291666666664</v>
      </c>
      <c r="J1472" t="str">
        <f>IFERROR(INDEX(tProdutos[Classe],MATCH(tItens[[#This Row],[Produto]],tProdutos[Produto],0)),"produto não cadastrado")</f>
        <v>FORA</v>
      </c>
      <c r="K1472" s="12">
        <f>tItens[[#This Row],[Qtd]]*tItens[[#This Row],[Vlr unit]]</f>
        <v>0</v>
      </c>
      <c r="L1472" s="6">
        <f>IFERROR(IF(INDEX(tProdutos[Desconto homologado],MATCH(tItens[[#This Row],[Produto]],tProdutos[Produto],0))="",DescontoPadrao,INDEX(tProdutos[Desconto homologado],MATCH(tItens[[#This Row],[Produto]],tProdutos[Produto],0))),DescontoPadrao)</f>
        <v>0.35388629091804102</v>
      </c>
      <c r="M1472" s="12">
        <f>tItens[[#This Row],[Valor]]*(1-tItens[[#This Row],[Desconto]])</f>
        <v>0</v>
      </c>
      <c r="N1472" t="str">
        <f>IFERROR(INDEX(tProdutos[Foco],MATCH(tItens[[#This Row],[Produto]],tProdutos[Produto],0)),"Não")</f>
        <v>Não</v>
      </c>
      <c r="O1472" t="str">
        <f>IFERROR(INDEX(tEditais[SRP],MATCH(tItens[[#This Row],[Edital]],tEditais[Edital],0)),"Não")</f>
        <v>Não</v>
      </c>
      <c r="P1472" s="4">
        <f>IF(COUNTIFS(INDEX(tItens[Edital],1):tItens[[#This Row],[Edital]],tItens[[#This Row],[Edital]],INDEX(tItens[Produto],1):tItens[[#This Row],[Produto]],tItens[[#This Row],[Produto]])=1,1,0)</f>
        <v>0</v>
      </c>
    </row>
    <row r="1473" spans="1:16" x14ac:dyDescent="0.25">
      <c r="A1473" t="s">
        <v>1146</v>
      </c>
      <c r="B1473">
        <v>441</v>
      </c>
      <c r="C1473" t="s">
        <v>4533</v>
      </c>
      <c r="D1473" t="s">
        <v>339</v>
      </c>
      <c r="E1473" s="13">
        <v>5200</v>
      </c>
      <c r="F1473" s="12">
        <v>0</v>
      </c>
      <c r="G1473" t="str">
        <f>IFERROR(INDEX(tEditais[Órgão],MATCH(tItens[[#This Row],[Edital]],tEditais[Edital],0)),"")</f>
        <v>FUNDO MUNICIPAL DE SAUDE DE MINEIROS</v>
      </c>
      <c r="H1473" t="str">
        <f>IFERROR(INDEX(tEditais[UF],MATCH(tItens[[#This Row],[Edital]],tEditais[Edital],0)),"")</f>
        <v>GO</v>
      </c>
      <c r="I1473" s="11">
        <f>IFERROR(INDEX(tEditais[Encerramento],MATCH(tItens[[#This Row],[Edital]],tEditais[Edital],0)),"")</f>
        <v>46308.291666666664</v>
      </c>
      <c r="J1473" t="str">
        <f>IFERROR(INDEX(tProdutos[Classe],MATCH(tItens[[#This Row],[Produto]],tProdutos[Produto],0)),"produto não cadastrado")</f>
        <v>FORA</v>
      </c>
      <c r="K1473" s="12">
        <f>tItens[[#This Row],[Qtd]]*tItens[[#This Row],[Vlr unit]]</f>
        <v>0</v>
      </c>
      <c r="L1473" s="6">
        <f>IFERROR(IF(INDEX(tProdutos[Desconto homologado],MATCH(tItens[[#This Row],[Produto]],tProdutos[Produto],0))="",DescontoPadrao,INDEX(tProdutos[Desconto homologado],MATCH(tItens[[#This Row],[Produto]],tProdutos[Produto],0))),DescontoPadrao)</f>
        <v>0.35388629091804102</v>
      </c>
      <c r="M1473" s="12">
        <f>tItens[[#This Row],[Valor]]*(1-tItens[[#This Row],[Desconto]])</f>
        <v>0</v>
      </c>
      <c r="N1473" t="str">
        <f>IFERROR(INDEX(tProdutos[Foco],MATCH(tItens[[#This Row],[Produto]],tProdutos[Produto],0)),"Não")</f>
        <v>Não</v>
      </c>
      <c r="O1473" t="str">
        <f>IFERROR(INDEX(tEditais[SRP],MATCH(tItens[[#This Row],[Edital]],tEditais[Edital],0)),"Não")</f>
        <v>Não</v>
      </c>
      <c r="P1473" s="4">
        <f>IF(COUNTIFS(INDEX(tItens[Edital],1):tItens[[#This Row],[Edital]],tItens[[#This Row],[Edital]],INDEX(tItens[Produto],1):tItens[[#This Row],[Produto]],tItens[[#This Row],[Produto]])=1,1,0)</f>
        <v>0</v>
      </c>
    </row>
    <row r="1474" spans="1:16" x14ac:dyDescent="0.25">
      <c r="A1474" t="s">
        <v>1146</v>
      </c>
      <c r="B1474">
        <v>442</v>
      </c>
      <c r="C1474" t="s">
        <v>4534</v>
      </c>
      <c r="D1474" t="s">
        <v>339</v>
      </c>
      <c r="E1474" s="13">
        <v>7000</v>
      </c>
      <c r="F1474" s="12">
        <v>0</v>
      </c>
      <c r="G1474" t="str">
        <f>IFERROR(INDEX(tEditais[Órgão],MATCH(tItens[[#This Row],[Edital]],tEditais[Edital],0)),"")</f>
        <v>FUNDO MUNICIPAL DE SAUDE DE MINEIROS</v>
      </c>
      <c r="H1474" t="str">
        <f>IFERROR(INDEX(tEditais[UF],MATCH(tItens[[#This Row],[Edital]],tEditais[Edital],0)),"")</f>
        <v>GO</v>
      </c>
      <c r="I1474" s="11">
        <f>IFERROR(INDEX(tEditais[Encerramento],MATCH(tItens[[#This Row],[Edital]],tEditais[Edital],0)),"")</f>
        <v>46308.291666666664</v>
      </c>
      <c r="J1474" t="str">
        <f>IFERROR(INDEX(tProdutos[Classe],MATCH(tItens[[#This Row],[Produto]],tProdutos[Produto],0)),"produto não cadastrado")</f>
        <v>FORA</v>
      </c>
      <c r="K1474" s="12">
        <f>tItens[[#This Row],[Qtd]]*tItens[[#This Row],[Vlr unit]]</f>
        <v>0</v>
      </c>
      <c r="L1474" s="6">
        <f>IFERROR(IF(INDEX(tProdutos[Desconto homologado],MATCH(tItens[[#This Row],[Produto]],tProdutos[Produto],0))="",DescontoPadrao,INDEX(tProdutos[Desconto homologado],MATCH(tItens[[#This Row],[Produto]],tProdutos[Produto],0))),DescontoPadrao)</f>
        <v>0.35388629091804102</v>
      </c>
      <c r="M1474" s="12">
        <f>tItens[[#This Row],[Valor]]*(1-tItens[[#This Row],[Desconto]])</f>
        <v>0</v>
      </c>
      <c r="N1474" t="str">
        <f>IFERROR(INDEX(tProdutos[Foco],MATCH(tItens[[#This Row],[Produto]],tProdutos[Produto],0)),"Não")</f>
        <v>Não</v>
      </c>
      <c r="O1474" t="str">
        <f>IFERROR(INDEX(tEditais[SRP],MATCH(tItens[[#This Row],[Edital]],tEditais[Edital],0)),"Não")</f>
        <v>Não</v>
      </c>
      <c r="P1474" s="4">
        <f>IF(COUNTIFS(INDEX(tItens[Edital],1):tItens[[#This Row],[Edital]],tItens[[#This Row],[Edital]],INDEX(tItens[Produto],1):tItens[[#This Row],[Produto]],tItens[[#This Row],[Produto]])=1,1,0)</f>
        <v>0</v>
      </c>
    </row>
    <row r="1475" spans="1:16" x14ac:dyDescent="0.25">
      <c r="A1475" t="s">
        <v>1146</v>
      </c>
      <c r="B1475">
        <v>444</v>
      </c>
      <c r="C1475" t="s">
        <v>4535</v>
      </c>
      <c r="D1475" t="s">
        <v>345</v>
      </c>
      <c r="E1475" s="13">
        <v>6970</v>
      </c>
      <c r="F1475" s="12">
        <v>0</v>
      </c>
      <c r="G1475" t="str">
        <f>IFERROR(INDEX(tEditais[Órgão],MATCH(tItens[[#This Row],[Edital]],tEditais[Edital],0)),"")</f>
        <v>FUNDO MUNICIPAL DE SAUDE DE MINEIROS</v>
      </c>
      <c r="H1475" t="str">
        <f>IFERROR(INDEX(tEditais[UF],MATCH(tItens[[#This Row],[Edital]],tEditais[Edital],0)),"")</f>
        <v>GO</v>
      </c>
      <c r="I1475" s="11">
        <f>IFERROR(INDEX(tEditais[Encerramento],MATCH(tItens[[#This Row],[Edital]],tEditais[Edital],0)),"")</f>
        <v>46308.291666666664</v>
      </c>
      <c r="J1475" t="str">
        <f>IFERROR(INDEX(tProdutos[Classe],MATCH(tItens[[#This Row],[Produto]],tProdutos[Produto],0)),"produto não cadastrado")</f>
        <v>FORA</v>
      </c>
      <c r="K1475" s="12">
        <f>tItens[[#This Row],[Qtd]]*tItens[[#This Row],[Vlr unit]]</f>
        <v>0</v>
      </c>
      <c r="L1475" s="6">
        <f>IFERROR(IF(INDEX(tProdutos[Desconto homologado],MATCH(tItens[[#This Row],[Produto]],tProdutos[Produto],0))="",DescontoPadrao,INDEX(tProdutos[Desconto homologado],MATCH(tItens[[#This Row],[Produto]],tProdutos[Produto],0))),DescontoPadrao)</f>
        <v>0.412394275616498</v>
      </c>
      <c r="M1475" s="12">
        <f>tItens[[#This Row],[Valor]]*(1-tItens[[#This Row],[Desconto]])</f>
        <v>0</v>
      </c>
      <c r="N1475" t="str">
        <f>IFERROR(INDEX(tProdutos[Foco],MATCH(tItens[[#This Row],[Produto]],tProdutos[Produto],0)),"Não")</f>
        <v>Não</v>
      </c>
      <c r="O1475" t="str">
        <f>IFERROR(INDEX(tEditais[SRP],MATCH(tItens[[#This Row],[Edital]],tEditais[Edital],0)),"Não")</f>
        <v>Não</v>
      </c>
      <c r="P1475" s="4">
        <f>IF(COUNTIFS(INDEX(tItens[Edital],1):tItens[[#This Row],[Edital]],tItens[[#This Row],[Edital]],INDEX(tItens[Produto],1):tItens[[#This Row],[Produto]],tItens[[#This Row],[Produto]])=1,1,0)</f>
        <v>1</v>
      </c>
    </row>
    <row r="1476" spans="1:16" x14ac:dyDescent="0.25">
      <c r="A1476" t="s">
        <v>1146</v>
      </c>
      <c r="B1476">
        <v>445</v>
      </c>
      <c r="C1476" t="s">
        <v>4535</v>
      </c>
      <c r="D1476" t="s">
        <v>345</v>
      </c>
      <c r="E1476" s="13">
        <v>1230</v>
      </c>
      <c r="F1476" s="12">
        <v>0</v>
      </c>
      <c r="G1476" t="str">
        <f>IFERROR(INDEX(tEditais[Órgão],MATCH(tItens[[#This Row],[Edital]],tEditais[Edital],0)),"")</f>
        <v>FUNDO MUNICIPAL DE SAUDE DE MINEIROS</v>
      </c>
      <c r="H1476" t="str">
        <f>IFERROR(INDEX(tEditais[UF],MATCH(tItens[[#This Row],[Edital]],tEditais[Edital],0)),"")</f>
        <v>GO</v>
      </c>
      <c r="I1476" s="11">
        <f>IFERROR(INDEX(tEditais[Encerramento],MATCH(tItens[[#This Row],[Edital]],tEditais[Edital],0)),"")</f>
        <v>46308.291666666664</v>
      </c>
      <c r="J1476" t="str">
        <f>IFERROR(INDEX(tProdutos[Classe],MATCH(tItens[[#This Row],[Produto]],tProdutos[Produto],0)),"produto não cadastrado")</f>
        <v>FORA</v>
      </c>
      <c r="K1476" s="12">
        <f>tItens[[#This Row],[Qtd]]*tItens[[#This Row],[Vlr unit]]</f>
        <v>0</v>
      </c>
      <c r="L1476" s="6">
        <f>IFERROR(IF(INDEX(tProdutos[Desconto homologado],MATCH(tItens[[#This Row],[Produto]],tProdutos[Produto],0))="",DescontoPadrao,INDEX(tProdutos[Desconto homologado],MATCH(tItens[[#This Row],[Produto]],tProdutos[Produto],0))),DescontoPadrao)</f>
        <v>0.412394275616498</v>
      </c>
      <c r="M1476" s="12">
        <f>tItens[[#This Row],[Valor]]*(1-tItens[[#This Row],[Desconto]])</f>
        <v>0</v>
      </c>
      <c r="N1476" t="str">
        <f>IFERROR(INDEX(tProdutos[Foco],MATCH(tItens[[#This Row],[Produto]],tProdutos[Produto],0)),"Não")</f>
        <v>Não</v>
      </c>
      <c r="O1476" t="str">
        <f>IFERROR(INDEX(tEditais[SRP],MATCH(tItens[[#This Row],[Edital]],tEditais[Edital],0)),"Não")</f>
        <v>Não</v>
      </c>
      <c r="P1476" s="4">
        <f>IF(COUNTIFS(INDEX(tItens[Edital],1):tItens[[#This Row],[Edital]],tItens[[#This Row],[Edital]],INDEX(tItens[Produto],1):tItens[[#This Row],[Produto]],tItens[[#This Row],[Produto]])=1,1,0)</f>
        <v>0</v>
      </c>
    </row>
    <row r="1477" spans="1:16" x14ac:dyDescent="0.25">
      <c r="A1477" t="s">
        <v>1146</v>
      </c>
      <c r="B1477">
        <v>446</v>
      </c>
      <c r="C1477" t="s">
        <v>4536</v>
      </c>
      <c r="D1477" t="s">
        <v>345</v>
      </c>
      <c r="E1477" s="13">
        <v>4760</v>
      </c>
      <c r="F1477" s="12">
        <v>0</v>
      </c>
      <c r="G1477" t="str">
        <f>IFERROR(INDEX(tEditais[Órgão],MATCH(tItens[[#This Row],[Edital]],tEditais[Edital],0)),"")</f>
        <v>FUNDO MUNICIPAL DE SAUDE DE MINEIROS</v>
      </c>
      <c r="H1477" t="str">
        <f>IFERROR(INDEX(tEditais[UF],MATCH(tItens[[#This Row],[Edital]],tEditais[Edital],0)),"")</f>
        <v>GO</v>
      </c>
      <c r="I1477" s="11">
        <f>IFERROR(INDEX(tEditais[Encerramento],MATCH(tItens[[#This Row],[Edital]],tEditais[Edital],0)),"")</f>
        <v>46308.291666666664</v>
      </c>
      <c r="J1477" t="str">
        <f>IFERROR(INDEX(tProdutos[Classe],MATCH(tItens[[#This Row],[Produto]],tProdutos[Produto],0)),"produto não cadastrado")</f>
        <v>FORA</v>
      </c>
      <c r="K1477" s="12">
        <f>tItens[[#This Row],[Qtd]]*tItens[[#This Row],[Vlr unit]]</f>
        <v>0</v>
      </c>
      <c r="L1477" s="6">
        <f>IFERROR(IF(INDEX(tProdutos[Desconto homologado],MATCH(tItens[[#This Row],[Produto]],tProdutos[Produto],0))="",DescontoPadrao,INDEX(tProdutos[Desconto homologado],MATCH(tItens[[#This Row],[Produto]],tProdutos[Produto],0))),DescontoPadrao)</f>
        <v>0.412394275616498</v>
      </c>
      <c r="M1477" s="12">
        <f>tItens[[#This Row],[Valor]]*(1-tItens[[#This Row],[Desconto]])</f>
        <v>0</v>
      </c>
      <c r="N1477" t="str">
        <f>IFERROR(INDEX(tProdutos[Foco],MATCH(tItens[[#This Row],[Produto]],tProdutos[Produto],0)),"Não")</f>
        <v>Não</v>
      </c>
      <c r="O1477" t="str">
        <f>IFERROR(INDEX(tEditais[SRP],MATCH(tItens[[#This Row],[Edital]],tEditais[Edital],0)),"Não")</f>
        <v>Não</v>
      </c>
      <c r="P1477" s="4">
        <f>IF(COUNTIFS(INDEX(tItens[Edital],1):tItens[[#This Row],[Edital]],tItens[[#This Row],[Edital]],INDEX(tItens[Produto],1):tItens[[#This Row],[Produto]],tItens[[#This Row],[Produto]])=1,1,0)</f>
        <v>0</v>
      </c>
    </row>
    <row r="1478" spans="1:16" x14ac:dyDescent="0.25">
      <c r="A1478" t="s">
        <v>1146</v>
      </c>
      <c r="B1478">
        <v>447</v>
      </c>
      <c r="C1478" t="s">
        <v>4536</v>
      </c>
      <c r="D1478" t="s">
        <v>345</v>
      </c>
      <c r="E1478" s="13">
        <v>840</v>
      </c>
      <c r="F1478" s="12">
        <v>0</v>
      </c>
      <c r="G1478" t="str">
        <f>IFERROR(INDEX(tEditais[Órgão],MATCH(tItens[[#This Row],[Edital]],tEditais[Edital],0)),"")</f>
        <v>FUNDO MUNICIPAL DE SAUDE DE MINEIROS</v>
      </c>
      <c r="H1478" t="str">
        <f>IFERROR(INDEX(tEditais[UF],MATCH(tItens[[#This Row],[Edital]],tEditais[Edital],0)),"")</f>
        <v>GO</v>
      </c>
      <c r="I1478" s="11">
        <f>IFERROR(INDEX(tEditais[Encerramento],MATCH(tItens[[#This Row],[Edital]],tEditais[Edital],0)),"")</f>
        <v>46308.291666666664</v>
      </c>
      <c r="J1478" t="str">
        <f>IFERROR(INDEX(tProdutos[Classe],MATCH(tItens[[#This Row],[Produto]],tProdutos[Produto],0)),"produto não cadastrado")</f>
        <v>FORA</v>
      </c>
      <c r="K1478" s="12">
        <f>tItens[[#This Row],[Qtd]]*tItens[[#This Row],[Vlr unit]]</f>
        <v>0</v>
      </c>
      <c r="L1478" s="6">
        <f>IFERROR(IF(INDEX(tProdutos[Desconto homologado],MATCH(tItens[[#This Row],[Produto]],tProdutos[Produto],0))="",DescontoPadrao,INDEX(tProdutos[Desconto homologado],MATCH(tItens[[#This Row],[Produto]],tProdutos[Produto],0))),DescontoPadrao)</f>
        <v>0.412394275616498</v>
      </c>
      <c r="M1478" s="12">
        <f>tItens[[#This Row],[Valor]]*(1-tItens[[#This Row],[Desconto]])</f>
        <v>0</v>
      </c>
      <c r="N1478" t="str">
        <f>IFERROR(INDEX(tProdutos[Foco],MATCH(tItens[[#This Row],[Produto]],tProdutos[Produto],0)),"Não")</f>
        <v>Não</v>
      </c>
      <c r="O1478" t="str">
        <f>IFERROR(INDEX(tEditais[SRP],MATCH(tItens[[#This Row],[Edital]],tEditais[Edital],0)),"Não")</f>
        <v>Não</v>
      </c>
      <c r="P1478" s="4">
        <f>IF(COUNTIFS(INDEX(tItens[Edital],1):tItens[[#This Row],[Edital]],tItens[[#This Row],[Edital]],INDEX(tItens[Produto],1):tItens[[#This Row],[Produto]],tItens[[#This Row],[Produto]])=1,1,0)</f>
        <v>0</v>
      </c>
    </row>
    <row r="1479" spans="1:16" x14ac:dyDescent="0.25">
      <c r="A1479" t="s">
        <v>1146</v>
      </c>
      <c r="B1479">
        <v>448</v>
      </c>
      <c r="C1479" t="s">
        <v>4537</v>
      </c>
      <c r="D1479" t="s">
        <v>345</v>
      </c>
      <c r="E1479" s="13">
        <v>3440</v>
      </c>
      <c r="F1479" s="12">
        <v>0</v>
      </c>
      <c r="G1479" t="str">
        <f>IFERROR(INDEX(tEditais[Órgão],MATCH(tItens[[#This Row],[Edital]],tEditais[Edital],0)),"")</f>
        <v>FUNDO MUNICIPAL DE SAUDE DE MINEIROS</v>
      </c>
      <c r="H1479" t="str">
        <f>IFERROR(INDEX(tEditais[UF],MATCH(tItens[[#This Row],[Edital]],tEditais[Edital],0)),"")</f>
        <v>GO</v>
      </c>
      <c r="I1479" s="11">
        <f>IFERROR(INDEX(tEditais[Encerramento],MATCH(tItens[[#This Row],[Edital]],tEditais[Edital],0)),"")</f>
        <v>46308.291666666664</v>
      </c>
      <c r="J1479" t="str">
        <f>IFERROR(INDEX(tProdutos[Classe],MATCH(tItens[[#This Row],[Produto]],tProdutos[Produto],0)),"produto não cadastrado")</f>
        <v>FORA</v>
      </c>
      <c r="K1479" s="12">
        <f>tItens[[#This Row],[Qtd]]*tItens[[#This Row],[Vlr unit]]</f>
        <v>0</v>
      </c>
      <c r="L1479" s="6">
        <f>IFERROR(IF(INDEX(tProdutos[Desconto homologado],MATCH(tItens[[#This Row],[Produto]],tProdutos[Produto],0))="",DescontoPadrao,INDEX(tProdutos[Desconto homologado],MATCH(tItens[[#This Row],[Produto]],tProdutos[Produto],0))),DescontoPadrao)</f>
        <v>0.412394275616498</v>
      </c>
      <c r="M1479" s="12">
        <f>tItens[[#This Row],[Valor]]*(1-tItens[[#This Row],[Desconto]])</f>
        <v>0</v>
      </c>
      <c r="N1479" t="str">
        <f>IFERROR(INDEX(tProdutos[Foco],MATCH(tItens[[#This Row],[Produto]],tProdutos[Produto],0)),"Não")</f>
        <v>Não</v>
      </c>
      <c r="O1479" t="str">
        <f>IFERROR(INDEX(tEditais[SRP],MATCH(tItens[[#This Row],[Edital]],tEditais[Edital],0)),"Não")</f>
        <v>Não</v>
      </c>
      <c r="P1479" s="4">
        <f>IF(COUNTIFS(INDEX(tItens[Edital],1):tItens[[#This Row],[Edital]],tItens[[#This Row],[Edital]],INDEX(tItens[Produto],1):tItens[[#This Row],[Produto]],tItens[[#This Row],[Produto]])=1,1,0)</f>
        <v>0</v>
      </c>
    </row>
    <row r="1480" spans="1:16" x14ac:dyDescent="0.25">
      <c r="A1480" t="s">
        <v>1146</v>
      </c>
      <c r="B1480">
        <v>449</v>
      </c>
      <c r="C1480" t="s">
        <v>4538</v>
      </c>
      <c r="D1480" t="s">
        <v>345</v>
      </c>
      <c r="E1480" s="13">
        <v>1970</v>
      </c>
      <c r="F1480" s="12">
        <v>0</v>
      </c>
      <c r="G1480" t="str">
        <f>IFERROR(INDEX(tEditais[Órgão],MATCH(tItens[[#This Row],[Edital]],tEditais[Edital],0)),"")</f>
        <v>FUNDO MUNICIPAL DE SAUDE DE MINEIROS</v>
      </c>
      <c r="H1480" t="str">
        <f>IFERROR(INDEX(tEditais[UF],MATCH(tItens[[#This Row],[Edital]],tEditais[Edital],0)),"")</f>
        <v>GO</v>
      </c>
      <c r="I1480" s="11">
        <f>IFERROR(INDEX(tEditais[Encerramento],MATCH(tItens[[#This Row],[Edital]],tEditais[Edital],0)),"")</f>
        <v>46308.291666666664</v>
      </c>
      <c r="J1480" t="str">
        <f>IFERROR(INDEX(tProdutos[Classe],MATCH(tItens[[#This Row],[Produto]],tProdutos[Produto],0)),"produto não cadastrado")</f>
        <v>FORA</v>
      </c>
      <c r="K1480" s="12">
        <f>tItens[[#This Row],[Qtd]]*tItens[[#This Row],[Vlr unit]]</f>
        <v>0</v>
      </c>
      <c r="L1480" s="6">
        <f>IFERROR(IF(INDEX(tProdutos[Desconto homologado],MATCH(tItens[[#This Row],[Produto]],tProdutos[Produto],0))="",DescontoPadrao,INDEX(tProdutos[Desconto homologado],MATCH(tItens[[#This Row],[Produto]],tProdutos[Produto],0))),DescontoPadrao)</f>
        <v>0.412394275616498</v>
      </c>
      <c r="M1480" s="12">
        <f>tItens[[#This Row],[Valor]]*(1-tItens[[#This Row],[Desconto]])</f>
        <v>0</v>
      </c>
      <c r="N1480" t="str">
        <f>IFERROR(INDEX(tProdutos[Foco],MATCH(tItens[[#This Row],[Produto]],tProdutos[Produto],0)),"Não")</f>
        <v>Não</v>
      </c>
      <c r="O1480" t="str">
        <f>IFERROR(INDEX(tEditais[SRP],MATCH(tItens[[#This Row],[Edital]],tEditais[Edital],0)),"Não")</f>
        <v>Não</v>
      </c>
      <c r="P1480" s="4">
        <f>IF(COUNTIFS(INDEX(tItens[Edital],1):tItens[[#This Row],[Edital]],tItens[[#This Row],[Edital]],INDEX(tItens[Produto],1):tItens[[#This Row],[Produto]],tItens[[#This Row],[Produto]])=1,1,0)</f>
        <v>0</v>
      </c>
    </row>
    <row r="1481" spans="1:16" x14ac:dyDescent="0.25">
      <c r="A1481" t="s">
        <v>1146</v>
      </c>
      <c r="B1481">
        <v>463</v>
      </c>
      <c r="C1481" t="s">
        <v>4539</v>
      </c>
      <c r="D1481" t="s">
        <v>397</v>
      </c>
      <c r="E1481" s="13">
        <v>800</v>
      </c>
      <c r="F1481" s="12">
        <v>0</v>
      </c>
      <c r="G1481" t="str">
        <f>IFERROR(INDEX(tEditais[Órgão],MATCH(tItens[[#This Row],[Edital]],tEditais[Edital],0)),"")</f>
        <v>FUNDO MUNICIPAL DE SAUDE DE MINEIROS</v>
      </c>
      <c r="H1481" t="str">
        <f>IFERROR(INDEX(tEditais[UF],MATCH(tItens[[#This Row],[Edital]],tEditais[Edital],0)),"")</f>
        <v>GO</v>
      </c>
      <c r="I1481" s="11">
        <f>IFERROR(INDEX(tEditais[Encerramento],MATCH(tItens[[#This Row],[Edital]],tEditais[Edital],0)),"")</f>
        <v>46308.291666666664</v>
      </c>
      <c r="J1481" t="str">
        <f>IFERROR(INDEX(tProdutos[Classe],MATCH(tItens[[#This Row],[Produto]],tProdutos[Produto],0)),"produto não cadastrado")</f>
        <v>FORA</v>
      </c>
      <c r="K1481" s="12">
        <f>tItens[[#This Row],[Qtd]]*tItens[[#This Row],[Vlr unit]]</f>
        <v>0</v>
      </c>
      <c r="L1481" s="6">
        <f>IFERROR(IF(INDEX(tProdutos[Desconto homologado],MATCH(tItens[[#This Row],[Produto]],tProdutos[Produto],0))="",DescontoPadrao,INDEX(tProdutos[Desconto homologado],MATCH(tItens[[#This Row],[Produto]],tProdutos[Produto],0))),DescontoPadrao)</f>
        <v>0.336426116838488</v>
      </c>
      <c r="M1481" s="12">
        <f>tItens[[#This Row],[Valor]]*(1-tItens[[#This Row],[Desconto]])</f>
        <v>0</v>
      </c>
      <c r="N1481" t="str">
        <f>IFERROR(INDEX(tProdutos[Foco],MATCH(tItens[[#This Row],[Produto]],tProdutos[Produto],0)),"Não")</f>
        <v>Não</v>
      </c>
      <c r="O1481" t="str">
        <f>IFERROR(INDEX(tEditais[SRP],MATCH(tItens[[#This Row],[Edital]],tEditais[Edital],0)),"Não")</f>
        <v>Não</v>
      </c>
      <c r="P1481" s="4">
        <f>IF(COUNTIFS(INDEX(tItens[Edital],1):tItens[[#This Row],[Edital]],tItens[[#This Row],[Edital]],INDEX(tItens[Produto],1):tItens[[#This Row],[Produto]],tItens[[#This Row],[Produto]])=1,1,0)</f>
        <v>1</v>
      </c>
    </row>
    <row r="1482" spans="1:16" x14ac:dyDescent="0.25">
      <c r="A1482" t="s">
        <v>1146</v>
      </c>
      <c r="B1482">
        <v>464</v>
      </c>
      <c r="C1482" t="s">
        <v>4540</v>
      </c>
      <c r="D1482" t="s">
        <v>397</v>
      </c>
      <c r="E1482" s="13">
        <v>4000</v>
      </c>
      <c r="F1482" s="12">
        <v>0</v>
      </c>
      <c r="G1482" t="str">
        <f>IFERROR(INDEX(tEditais[Órgão],MATCH(tItens[[#This Row],[Edital]],tEditais[Edital],0)),"")</f>
        <v>FUNDO MUNICIPAL DE SAUDE DE MINEIROS</v>
      </c>
      <c r="H1482" t="str">
        <f>IFERROR(INDEX(tEditais[UF],MATCH(tItens[[#This Row],[Edital]],tEditais[Edital],0)),"")</f>
        <v>GO</v>
      </c>
      <c r="I1482" s="11">
        <f>IFERROR(INDEX(tEditais[Encerramento],MATCH(tItens[[#This Row],[Edital]],tEditais[Edital],0)),"")</f>
        <v>46308.291666666664</v>
      </c>
      <c r="J1482" t="str">
        <f>IFERROR(INDEX(tProdutos[Classe],MATCH(tItens[[#This Row],[Produto]],tProdutos[Produto],0)),"produto não cadastrado")</f>
        <v>FORA</v>
      </c>
      <c r="K1482" s="12">
        <f>tItens[[#This Row],[Qtd]]*tItens[[#This Row],[Vlr unit]]</f>
        <v>0</v>
      </c>
      <c r="L1482" s="6">
        <f>IFERROR(IF(INDEX(tProdutos[Desconto homologado],MATCH(tItens[[#This Row],[Produto]],tProdutos[Produto],0))="",DescontoPadrao,INDEX(tProdutos[Desconto homologado],MATCH(tItens[[#This Row],[Produto]],tProdutos[Produto],0))),DescontoPadrao)</f>
        <v>0.336426116838488</v>
      </c>
      <c r="M1482" s="12">
        <f>tItens[[#This Row],[Valor]]*(1-tItens[[#This Row],[Desconto]])</f>
        <v>0</v>
      </c>
      <c r="N1482" t="str">
        <f>IFERROR(INDEX(tProdutos[Foco],MATCH(tItens[[#This Row],[Produto]],tProdutos[Produto],0)),"Não")</f>
        <v>Não</v>
      </c>
      <c r="O1482" t="str">
        <f>IFERROR(INDEX(tEditais[SRP],MATCH(tItens[[#This Row],[Edital]],tEditais[Edital],0)),"Não")</f>
        <v>Não</v>
      </c>
      <c r="P1482" s="4">
        <f>IF(COUNTIFS(INDEX(tItens[Edital],1):tItens[[#This Row],[Edital]],tItens[[#This Row],[Edital]],INDEX(tItens[Produto],1):tItens[[#This Row],[Produto]],tItens[[#This Row],[Produto]])=1,1,0)</f>
        <v>0</v>
      </c>
    </row>
    <row r="1483" spans="1:16" x14ac:dyDescent="0.25">
      <c r="A1483" t="s">
        <v>1146</v>
      </c>
      <c r="B1483">
        <v>469</v>
      </c>
      <c r="C1483" t="s">
        <v>4541</v>
      </c>
      <c r="D1483" t="s">
        <v>130</v>
      </c>
      <c r="E1483" s="13">
        <v>13000</v>
      </c>
      <c r="F1483" s="12">
        <v>0</v>
      </c>
      <c r="G1483" t="str">
        <f>IFERROR(INDEX(tEditais[Órgão],MATCH(tItens[[#This Row],[Edital]],tEditais[Edital],0)),"")</f>
        <v>FUNDO MUNICIPAL DE SAUDE DE MINEIROS</v>
      </c>
      <c r="H1483" t="str">
        <f>IFERROR(INDEX(tEditais[UF],MATCH(tItens[[#This Row],[Edital]],tEditais[Edital],0)),"")</f>
        <v>GO</v>
      </c>
      <c r="I1483" s="11">
        <f>IFERROR(INDEX(tEditais[Encerramento],MATCH(tItens[[#This Row],[Edital]],tEditais[Edital],0)),"")</f>
        <v>46308.291666666664</v>
      </c>
      <c r="J1483" t="str">
        <f>IFERROR(INDEX(tProdutos[Classe],MATCH(tItens[[#This Row],[Produto]],tProdutos[Produto],0)),"produto não cadastrado")</f>
        <v>DISPUTADO</v>
      </c>
      <c r="K1483" s="12">
        <f>tItens[[#This Row],[Qtd]]*tItens[[#This Row],[Vlr unit]]</f>
        <v>0</v>
      </c>
      <c r="L1483" s="6">
        <f>IFERROR(IF(INDEX(tProdutos[Desconto homologado],MATCH(tItens[[#This Row],[Produto]],tProdutos[Produto],0))="",DescontoPadrao,INDEX(tProdutos[Desconto homologado],MATCH(tItens[[#This Row],[Produto]],tProdutos[Produto],0))),DescontoPadrao)</f>
        <v>0.32</v>
      </c>
      <c r="M1483" s="12">
        <f>tItens[[#This Row],[Valor]]*(1-tItens[[#This Row],[Desconto]])</f>
        <v>0</v>
      </c>
      <c r="N1483" t="str">
        <f>IFERROR(INDEX(tProdutos[Foco],MATCH(tItens[[#This Row],[Produto]],tProdutos[Produto],0)),"Não")</f>
        <v>Sim</v>
      </c>
      <c r="O1483" t="str">
        <f>IFERROR(INDEX(tEditais[SRP],MATCH(tItens[[#This Row],[Edital]],tEditais[Edital],0)),"Não")</f>
        <v>Não</v>
      </c>
      <c r="P1483" s="4">
        <f>IF(COUNTIFS(INDEX(tItens[Edital],1):tItens[[#This Row],[Edital]],tItens[[#This Row],[Edital]],INDEX(tItens[Produto],1):tItens[[#This Row],[Produto]],tItens[[#This Row],[Produto]])=1,1,0)</f>
        <v>1</v>
      </c>
    </row>
    <row r="1484" spans="1:16" x14ac:dyDescent="0.25">
      <c r="A1484" t="s">
        <v>1146</v>
      </c>
      <c r="B1484">
        <v>503</v>
      </c>
      <c r="C1484" t="s">
        <v>4542</v>
      </c>
      <c r="D1484" t="s">
        <v>417</v>
      </c>
      <c r="E1484" s="13">
        <v>7</v>
      </c>
      <c r="F1484" s="12">
        <v>0</v>
      </c>
      <c r="G1484" t="str">
        <f>IFERROR(INDEX(tEditais[Órgão],MATCH(tItens[[#This Row],[Edital]],tEditais[Edital],0)),"")</f>
        <v>FUNDO MUNICIPAL DE SAUDE DE MINEIROS</v>
      </c>
      <c r="H1484" t="str">
        <f>IFERROR(INDEX(tEditais[UF],MATCH(tItens[[#This Row],[Edital]],tEditais[Edital],0)),"")</f>
        <v>GO</v>
      </c>
      <c r="I1484" s="11">
        <f>IFERROR(INDEX(tEditais[Encerramento],MATCH(tItens[[#This Row],[Edital]],tEditais[Edital],0)),"")</f>
        <v>46308.291666666664</v>
      </c>
      <c r="J1484" t="str">
        <f>IFERROR(INDEX(tProdutos[Classe],MATCH(tItens[[#This Row],[Produto]],tProdutos[Produto],0)),"produto não cadastrado")</f>
        <v>FORA</v>
      </c>
      <c r="K1484" s="12">
        <f>tItens[[#This Row],[Qtd]]*tItens[[#This Row],[Vlr unit]]</f>
        <v>0</v>
      </c>
      <c r="L1484" s="6">
        <f>IFERROR(IF(INDEX(tProdutos[Desconto homologado],MATCH(tItens[[#This Row],[Produto]],tProdutos[Produto],0))="",DescontoPadrao,INDEX(tProdutos[Desconto homologado],MATCH(tItens[[#This Row],[Produto]],tProdutos[Produto],0))),DescontoPadrao)</f>
        <v>0.27842432580405202</v>
      </c>
      <c r="M1484" s="12">
        <f>tItens[[#This Row],[Valor]]*(1-tItens[[#This Row],[Desconto]])</f>
        <v>0</v>
      </c>
      <c r="N1484" t="str">
        <f>IFERROR(INDEX(tProdutos[Foco],MATCH(tItens[[#This Row],[Produto]],tProdutos[Produto],0)),"Não")</f>
        <v>Não</v>
      </c>
      <c r="O1484" t="str">
        <f>IFERROR(INDEX(tEditais[SRP],MATCH(tItens[[#This Row],[Edital]],tEditais[Edital],0)),"Não")</f>
        <v>Não</v>
      </c>
      <c r="P1484" s="4">
        <f>IF(COUNTIFS(INDEX(tItens[Edital],1):tItens[[#This Row],[Edital]],tItens[[#This Row],[Edital]],INDEX(tItens[Produto],1):tItens[[#This Row],[Produto]],tItens[[#This Row],[Produto]])=1,1,0)</f>
        <v>1</v>
      </c>
    </row>
    <row r="1485" spans="1:16" x14ac:dyDescent="0.25">
      <c r="A1485" t="s">
        <v>1146</v>
      </c>
      <c r="B1485">
        <v>504</v>
      </c>
      <c r="C1485" t="s">
        <v>4543</v>
      </c>
      <c r="D1485" t="s">
        <v>56</v>
      </c>
      <c r="E1485" s="13">
        <v>1000</v>
      </c>
      <c r="F1485" s="12">
        <v>0</v>
      </c>
      <c r="G1485" t="str">
        <f>IFERROR(INDEX(tEditais[Órgão],MATCH(tItens[[#This Row],[Edital]],tEditais[Edital],0)),"")</f>
        <v>FUNDO MUNICIPAL DE SAUDE DE MINEIROS</v>
      </c>
      <c r="H1485" t="str">
        <f>IFERROR(INDEX(tEditais[UF],MATCH(tItens[[#This Row],[Edital]],tEditais[Edital],0)),"")</f>
        <v>GO</v>
      </c>
      <c r="I1485" s="11">
        <f>IFERROR(INDEX(tEditais[Encerramento],MATCH(tItens[[#This Row],[Edital]],tEditais[Edital],0)),"")</f>
        <v>46308.291666666664</v>
      </c>
      <c r="J1485" t="str">
        <f>IFERROR(INDEX(tProdutos[Classe],MATCH(tItens[[#This Row],[Produto]],tProdutos[Produto],0)),"produto não cadastrado")</f>
        <v>NÚCLEO</v>
      </c>
      <c r="K1485" s="12">
        <f>tItens[[#This Row],[Qtd]]*tItens[[#This Row],[Vlr unit]]</f>
        <v>0</v>
      </c>
      <c r="L1485" s="6">
        <f>IFERROR(IF(INDEX(tProdutos[Desconto homologado],MATCH(tItens[[#This Row],[Produto]],tProdutos[Produto],0))="",DescontoPadrao,INDEX(tProdutos[Desconto homologado],MATCH(tItens[[#This Row],[Produto]],tProdutos[Produto],0))),DescontoPadrao)</f>
        <v>0.34</v>
      </c>
      <c r="M1485" s="12">
        <f>tItens[[#This Row],[Valor]]*(1-tItens[[#This Row],[Desconto]])</f>
        <v>0</v>
      </c>
      <c r="N1485" t="str">
        <f>IFERROR(INDEX(tProdutos[Foco],MATCH(tItens[[#This Row],[Produto]],tProdutos[Produto],0)),"Não")</f>
        <v>Sim</v>
      </c>
      <c r="O1485" t="str">
        <f>IFERROR(INDEX(tEditais[SRP],MATCH(tItens[[#This Row],[Edital]],tEditais[Edital],0)),"Não")</f>
        <v>Não</v>
      </c>
      <c r="P1485" s="4">
        <f>IF(COUNTIFS(INDEX(tItens[Edital],1):tItens[[#This Row],[Edital]],tItens[[#This Row],[Edital]],INDEX(tItens[Produto],1):tItens[[#This Row],[Produto]],tItens[[#This Row],[Produto]])=1,1,0)</f>
        <v>1</v>
      </c>
    </row>
    <row r="1486" spans="1:16" x14ac:dyDescent="0.25">
      <c r="A1486" t="s">
        <v>1146</v>
      </c>
      <c r="B1486">
        <v>505</v>
      </c>
      <c r="C1486" t="s">
        <v>4544</v>
      </c>
      <c r="D1486" t="s">
        <v>56</v>
      </c>
      <c r="E1486" s="13">
        <v>90</v>
      </c>
      <c r="F1486" s="12">
        <v>0</v>
      </c>
      <c r="G1486" t="str">
        <f>IFERROR(INDEX(tEditais[Órgão],MATCH(tItens[[#This Row],[Edital]],tEditais[Edital],0)),"")</f>
        <v>FUNDO MUNICIPAL DE SAUDE DE MINEIROS</v>
      </c>
      <c r="H1486" t="str">
        <f>IFERROR(INDEX(tEditais[UF],MATCH(tItens[[#This Row],[Edital]],tEditais[Edital],0)),"")</f>
        <v>GO</v>
      </c>
      <c r="I1486" s="11">
        <f>IFERROR(INDEX(tEditais[Encerramento],MATCH(tItens[[#This Row],[Edital]],tEditais[Edital],0)),"")</f>
        <v>46308.291666666664</v>
      </c>
      <c r="J1486" t="str">
        <f>IFERROR(INDEX(tProdutos[Classe],MATCH(tItens[[#This Row],[Produto]],tProdutos[Produto],0)),"produto não cadastrado")</f>
        <v>NÚCLEO</v>
      </c>
      <c r="K1486" s="12">
        <f>tItens[[#This Row],[Qtd]]*tItens[[#This Row],[Vlr unit]]</f>
        <v>0</v>
      </c>
      <c r="L1486" s="6">
        <f>IFERROR(IF(INDEX(tProdutos[Desconto homologado],MATCH(tItens[[#This Row],[Produto]],tProdutos[Produto],0))="",DescontoPadrao,INDEX(tProdutos[Desconto homologado],MATCH(tItens[[#This Row],[Produto]],tProdutos[Produto],0))),DescontoPadrao)</f>
        <v>0.34</v>
      </c>
      <c r="M1486" s="12">
        <f>tItens[[#This Row],[Valor]]*(1-tItens[[#This Row],[Desconto]])</f>
        <v>0</v>
      </c>
      <c r="N1486" t="str">
        <f>IFERROR(INDEX(tProdutos[Foco],MATCH(tItens[[#This Row],[Produto]],tProdutos[Produto],0)),"Não")</f>
        <v>Sim</v>
      </c>
      <c r="O1486" t="str">
        <f>IFERROR(INDEX(tEditais[SRP],MATCH(tItens[[#This Row],[Edital]],tEditais[Edital],0)),"Não")</f>
        <v>Não</v>
      </c>
      <c r="P1486" s="4">
        <f>IF(COUNTIFS(INDEX(tItens[Edital],1):tItens[[#This Row],[Edital]],tItens[[#This Row],[Edital]],INDEX(tItens[Produto],1):tItens[[#This Row],[Produto]],tItens[[#This Row],[Produto]])=1,1,0)</f>
        <v>0</v>
      </c>
    </row>
    <row r="1487" spans="1:16" x14ac:dyDescent="0.25">
      <c r="A1487" t="s">
        <v>1146</v>
      </c>
      <c r="B1487">
        <v>506</v>
      </c>
      <c r="C1487" t="s">
        <v>4545</v>
      </c>
      <c r="D1487" t="s">
        <v>56</v>
      </c>
      <c r="E1487" s="13">
        <v>46</v>
      </c>
      <c r="F1487" s="12">
        <v>0</v>
      </c>
      <c r="G1487" t="str">
        <f>IFERROR(INDEX(tEditais[Órgão],MATCH(tItens[[#This Row],[Edital]],tEditais[Edital],0)),"")</f>
        <v>FUNDO MUNICIPAL DE SAUDE DE MINEIROS</v>
      </c>
      <c r="H1487" t="str">
        <f>IFERROR(INDEX(tEditais[UF],MATCH(tItens[[#This Row],[Edital]],tEditais[Edital],0)),"")</f>
        <v>GO</v>
      </c>
      <c r="I1487" s="11">
        <f>IFERROR(INDEX(tEditais[Encerramento],MATCH(tItens[[#This Row],[Edital]],tEditais[Edital],0)),"")</f>
        <v>46308.291666666664</v>
      </c>
      <c r="J1487" t="str">
        <f>IFERROR(INDEX(tProdutos[Classe],MATCH(tItens[[#This Row],[Produto]],tProdutos[Produto],0)),"produto não cadastrado")</f>
        <v>NÚCLEO</v>
      </c>
      <c r="K1487" s="12">
        <f>tItens[[#This Row],[Qtd]]*tItens[[#This Row],[Vlr unit]]</f>
        <v>0</v>
      </c>
      <c r="L1487" s="6">
        <f>IFERROR(IF(INDEX(tProdutos[Desconto homologado],MATCH(tItens[[#This Row],[Produto]],tProdutos[Produto],0))="",DescontoPadrao,INDEX(tProdutos[Desconto homologado],MATCH(tItens[[#This Row],[Produto]],tProdutos[Produto],0))),DescontoPadrao)</f>
        <v>0.34</v>
      </c>
      <c r="M1487" s="12">
        <f>tItens[[#This Row],[Valor]]*(1-tItens[[#This Row],[Desconto]])</f>
        <v>0</v>
      </c>
      <c r="N1487" t="str">
        <f>IFERROR(INDEX(tProdutos[Foco],MATCH(tItens[[#This Row],[Produto]],tProdutos[Produto],0)),"Não")</f>
        <v>Sim</v>
      </c>
      <c r="O1487" t="str">
        <f>IFERROR(INDEX(tEditais[SRP],MATCH(tItens[[#This Row],[Edital]],tEditais[Edital],0)),"Não")</f>
        <v>Não</v>
      </c>
      <c r="P1487" s="4">
        <f>IF(COUNTIFS(INDEX(tItens[Edital],1):tItens[[#This Row],[Edital]],tItens[[#This Row],[Edital]],INDEX(tItens[Produto],1):tItens[[#This Row],[Produto]],tItens[[#This Row],[Produto]])=1,1,0)</f>
        <v>0</v>
      </c>
    </row>
    <row r="1488" spans="1:16" x14ac:dyDescent="0.25">
      <c r="A1488" t="s">
        <v>1146</v>
      </c>
      <c r="B1488">
        <v>507</v>
      </c>
      <c r="C1488" t="s">
        <v>4546</v>
      </c>
      <c r="D1488" t="s">
        <v>56</v>
      </c>
      <c r="E1488" s="13">
        <v>63</v>
      </c>
      <c r="F1488" s="12">
        <v>0</v>
      </c>
      <c r="G1488" t="str">
        <f>IFERROR(INDEX(tEditais[Órgão],MATCH(tItens[[#This Row],[Edital]],tEditais[Edital],0)),"")</f>
        <v>FUNDO MUNICIPAL DE SAUDE DE MINEIROS</v>
      </c>
      <c r="H1488" t="str">
        <f>IFERROR(INDEX(tEditais[UF],MATCH(tItens[[#This Row],[Edital]],tEditais[Edital],0)),"")</f>
        <v>GO</v>
      </c>
      <c r="I1488" s="11">
        <f>IFERROR(INDEX(tEditais[Encerramento],MATCH(tItens[[#This Row],[Edital]],tEditais[Edital],0)),"")</f>
        <v>46308.291666666664</v>
      </c>
      <c r="J1488" t="str">
        <f>IFERROR(INDEX(tProdutos[Classe],MATCH(tItens[[#This Row],[Produto]],tProdutos[Produto],0)),"produto não cadastrado")</f>
        <v>NÚCLEO</v>
      </c>
      <c r="K1488" s="12">
        <f>tItens[[#This Row],[Qtd]]*tItens[[#This Row],[Vlr unit]]</f>
        <v>0</v>
      </c>
      <c r="L1488" s="6">
        <f>IFERROR(IF(INDEX(tProdutos[Desconto homologado],MATCH(tItens[[#This Row],[Produto]],tProdutos[Produto],0))="",DescontoPadrao,INDEX(tProdutos[Desconto homologado],MATCH(tItens[[#This Row],[Produto]],tProdutos[Produto],0))),DescontoPadrao)</f>
        <v>0.34</v>
      </c>
      <c r="M1488" s="12">
        <f>tItens[[#This Row],[Valor]]*(1-tItens[[#This Row],[Desconto]])</f>
        <v>0</v>
      </c>
      <c r="N1488" t="str">
        <f>IFERROR(INDEX(tProdutos[Foco],MATCH(tItens[[#This Row],[Produto]],tProdutos[Produto],0)),"Não")</f>
        <v>Sim</v>
      </c>
      <c r="O1488" t="str">
        <f>IFERROR(INDEX(tEditais[SRP],MATCH(tItens[[#This Row],[Edital]],tEditais[Edital],0)),"Não")</f>
        <v>Não</v>
      </c>
      <c r="P1488" s="4">
        <f>IF(COUNTIFS(INDEX(tItens[Edital],1):tItens[[#This Row],[Edital]],tItens[[#This Row],[Edital]],INDEX(tItens[Produto],1):tItens[[#This Row],[Produto]],tItens[[#This Row],[Produto]])=1,1,0)</f>
        <v>0</v>
      </c>
    </row>
    <row r="1489" spans="1:16" x14ac:dyDescent="0.25">
      <c r="A1489" t="s">
        <v>1146</v>
      </c>
      <c r="B1489">
        <v>524</v>
      </c>
      <c r="C1489" t="s">
        <v>4547</v>
      </c>
      <c r="D1489" t="s">
        <v>56</v>
      </c>
      <c r="E1489" s="13">
        <v>4</v>
      </c>
      <c r="F1489" s="12">
        <v>0</v>
      </c>
      <c r="G1489" t="str">
        <f>IFERROR(INDEX(tEditais[Órgão],MATCH(tItens[[#This Row],[Edital]],tEditais[Edital],0)),"")</f>
        <v>FUNDO MUNICIPAL DE SAUDE DE MINEIROS</v>
      </c>
      <c r="H1489" t="str">
        <f>IFERROR(INDEX(tEditais[UF],MATCH(tItens[[#This Row],[Edital]],tEditais[Edital],0)),"")</f>
        <v>GO</v>
      </c>
      <c r="I1489" s="11">
        <f>IFERROR(INDEX(tEditais[Encerramento],MATCH(tItens[[#This Row],[Edital]],tEditais[Edital],0)),"")</f>
        <v>46308.291666666664</v>
      </c>
      <c r="J1489" t="str">
        <f>IFERROR(INDEX(tProdutos[Classe],MATCH(tItens[[#This Row],[Produto]],tProdutos[Produto],0)),"produto não cadastrado")</f>
        <v>NÚCLEO</v>
      </c>
      <c r="K1489" s="12">
        <f>tItens[[#This Row],[Qtd]]*tItens[[#This Row],[Vlr unit]]</f>
        <v>0</v>
      </c>
      <c r="L1489" s="6">
        <f>IFERROR(IF(INDEX(tProdutos[Desconto homologado],MATCH(tItens[[#This Row],[Produto]],tProdutos[Produto],0))="",DescontoPadrao,INDEX(tProdutos[Desconto homologado],MATCH(tItens[[#This Row],[Produto]],tProdutos[Produto],0))),DescontoPadrao)</f>
        <v>0.34</v>
      </c>
      <c r="M1489" s="12">
        <f>tItens[[#This Row],[Valor]]*(1-tItens[[#This Row],[Desconto]])</f>
        <v>0</v>
      </c>
      <c r="N1489" t="str">
        <f>IFERROR(INDEX(tProdutos[Foco],MATCH(tItens[[#This Row],[Produto]],tProdutos[Produto],0)),"Não")</f>
        <v>Sim</v>
      </c>
      <c r="O1489" t="str">
        <f>IFERROR(INDEX(tEditais[SRP],MATCH(tItens[[#This Row],[Edital]],tEditais[Edital],0)),"Não")</f>
        <v>Não</v>
      </c>
      <c r="P1489" s="4">
        <f>IF(COUNTIFS(INDEX(tItens[Edital],1):tItens[[#This Row],[Edital]],tItens[[#This Row],[Edital]],INDEX(tItens[Produto],1):tItens[[#This Row],[Produto]],tItens[[#This Row],[Produto]])=1,1,0)</f>
        <v>0</v>
      </c>
    </row>
    <row r="1490" spans="1:16" x14ac:dyDescent="0.25">
      <c r="A1490" t="s">
        <v>1146</v>
      </c>
      <c r="B1490">
        <v>525</v>
      </c>
      <c r="C1490" t="s">
        <v>4548</v>
      </c>
      <c r="D1490" t="s">
        <v>488</v>
      </c>
      <c r="E1490" s="13">
        <v>2000</v>
      </c>
      <c r="F1490" s="12">
        <v>0</v>
      </c>
      <c r="G1490" t="str">
        <f>IFERROR(INDEX(tEditais[Órgão],MATCH(tItens[[#This Row],[Edital]],tEditais[Edital],0)),"")</f>
        <v>FUNDO MUNICIPAL DE SAUDE DE MINEIROS</v>
      </c>
      <c r="H1490" t="str">
        <f>IFERROR(INDEX(tEditais[UF],MATCH(tItens[[#This Row],[Edital]],tEditais[Edital],0)),"")</f>
        <v>GO</v>
      </c>
      <c r="I1490" s="11">
        <f>IFERROR(INDEX(tEditais[Encerramento],MATCH(tItens[[#This Row],[Edital]],tEditais[Edital],0)),"")</f>
        <v>46308.291666666664</v>
      </c>
      <c r="J1490" t="str">
        <f>IFERROR(INDEX(tProdutos[Classe],MATCH(tItens[[#This Row],[Produto]],tProdutos[Produto],0)),"produto não cadastrado")</f>
        <v>FILA REBASE</v>
      </c>
      <c r="K1490" s="12">
        <f>tItens[[#This Row],[Qtd]]*tItens[[#This Row],[Vlr unit]]</f>
        <v>0</v>
      </c>
      <c r="L1490" s="6">
        <f>IFERROR(IF(INDEX(tProdutos[Desconto homologado],MATCH(tItens[[#This Row],[Produto]],tProdutos[Produto],0))="",DescontoPadrao,INDEX(tProdutos[Desconto homologado],MATCH(tItens[[#This Row],[Produto]],tProdutos[Produto],0))),DescontoPadrao)</f>
        <v>0.18126754267078801</v>
      </c>
      <c r="M1490" s="12">
        <f>tItens[[#This Row],[Valor]]*(1-tItens[[#This Row],[Desconto]])</f>
        <v>0</v>
      </c>
      <c r="N1490" t="str">
        <f>IFERROR(INDEX(tProdutos[Foco],MATCH(tItens[[#This Row],[Produto]],tProdutos[Produto],0)),"Não")</f>
        <v>Não</v>
      </c>
      <c r="O1490" t="str">
        <f>IFERROR(INDEX(tEditais[SRP],MATCH(tItens[[#This Row],[Edital]],tEditais[Edital],0)),"Não")</f>
        <v>Não</v>
      </c>
      <c r="P1490" s="4">
        <f>IF(COUNTIFS(INDEX(tItens[Edital],1):tItens[[#This Row],[Edital]],tItens[[#This Row],[Edital]],INDEX(tItens[Produto],1):tItens[[#This Row],[Produto]],tItens[[#This Row],[Produto]])=1,1,0)</f>
        <v>1</v>
      </c>
    </row>
    <row r="1491" spans="1:16" x14ac:dyDescent="0.25">
      <c r="A1491" t="s">
        <v>1146</v>
      </c>
      <c r="B1491">
        <v>527</v>
      </c>
      <c r="C1491" t="s">
        <v>4549</v>
      </c>
      <c r="D1491" t="s">
        <v>277</v>
      </c>
      <c r="E1491" s="13">
        <v>8499</v>
      </c>
      <c r="F1491" s="12">
        <v>0</v>
      </c>
      <c r="G1491" t="str">
        <f>IFERROR(INDEX(tEditais[Órgão],MATCH(tItens[[#This Row],[Edital]],tEditais[Edital],0)),"")</f>
        <v>FUNDO MUNICIPAL DE SAUDE DE MINEIROS</v>
      </c>
      <c r="H1491" t="str">
        <f>IFERROR(INDEX(tEditais[UF],MATCH(tItens[[#This Row],[Edital]],tEditais[Edital],0)),"")</f>
        <v>GO</v>
      </c>
      <c r="I1491" s="11">
        <f>IFERROR(INDEX(tEditais[Encerramento],MATCH(tItens[[#This Row],[Edital]],tEditais[Edital],0)),"")</f>
        <v>46308.291666666664</v>
      </c>
      <c r="J1491" t="str">
        <f>IFERROR(INDEX(tProdutos[Classe],MATCH(tItens[[#This Row],[Produto]],tProdutos[Produto],0)),"produto não cadastrado")</f>
        <v>DISPUTADO</v>
      </c>
      <c r="K1491" s="12">
        <f>tItens[[#This Row],[Qtd]]*tItens[[#This Row],[Vlr unit]]</f>
        <v>0</v>
      </c>
      <c r="L1491" s="6">
        <f>IFERROR(IF(INDEX(tProdutos[Desconto homologado],MATCH(tItens[[#This Row],[Produto]],tProdutos[Produto],0))="",DescontoPadrao,INDEX(tProdutos[Desconto homologado],MATCH(tItens[[#This Row],[Produto]],tProdutos[Produto],0))),DescontoPadrao)</f>
        <v>0.50460666194188497</v>
      </c>
      <c r="M1491" s="12">
        <f>tItens[[#This Row],[Valor]]*(1-tItens[[#This Row],[Desconto]])</f>
        <v>0</v>
      </c>
      <c r="N1491" t="str">
        <f>IFERROR(INDEX(tProdutos[Foco],MATCH(tItens[[#This Row],[Produto]],tProdutos[Produto],0)),"Não")</f>
        <v>Não</v>
      </c>
      <c r="O1491" t="str">
        <f>IFERROR(INDEX(tEditais[SRP],MATCH(tItens[[#This Row],[Edital]],tEditais[Edital],0)),"Não")</f>
        <v>Não</v>
      </c>
      <c r="P1491" s="4">
        <f>IF(COUNTIFS(INDEX(tItens[Edital],1):tItens[[#This Row],[Edital]],tItens[[#This Row],[Edital]],INDEX(tItens[Produto],1):tItens[[#This Row],[Produto]],tItens[[#This Row],[Produto]])=1,1,0)</f>
        <v>1</v>
      </c>
    </row>
    <row r="1492" spans="1:16" x14ac:dyDescent="0.25">
      <c r="A1492" t="s">
        <v>1146</v>
      </c>
      <c r="B1492">
        <v>528</v>
      </c>
      <c r="C1492" t="s">
        <v>4550</v>
      </c>
      <c r="D1492" t="s">
        <v>277</v>
      </c>
      <c r="E1492" s="13">
        <v>1501</v>
      </c>
      <c r="F1492" s="12">
        <v>0</v>
      </c>
      <c r="G1492" t="str">
        <f>IFERROR(INDEX(tEditais[Órgão],MATCH(tItens[[#This Row],[Edital]],tEditais[Edital],0)),"")</f>
        <v>FUNDO MUNICIPAL DE SAUDE DE MINEIROS</v>
      </c>
      <c r="H1492" t="str">
        <f>IFERROR(INDEX(tEditais[UF],MATCH(tItens[[#This Row],[Edital]],tEditais[Edital],0)),"")</f>
        <v>GO</v>
      </c>
      <c r="I1492" s="11">
        <f>IFERROR(INDEX(tEditais[Encerramento],MATCH(tItens[[#This Row],[Edital]],tEditais[Edital],0)),"")</f>
        <v>46308.291666666664</v>
      </c>
      <c r="J1492" t="str">
        <f>IFERROR(INDEX(tProdutos[Classe],MATCH(tItens[[#This Row],[Produto]],tProdutos[Produto],0)),"produto não cadastrado")</f>
        <v>DISPUTADO</v>
      </c>
      <c r="K1492" s="12">
        <f>tItens[[#This Row],[Qtd]]*tItens[[#This Row],[Vlr unit]]</f>
        <v>0</v>
      </c>
      <c r="L1492" s="6">
        <f>IFERROR(IF(INDEX(tProdutos[Desconto homologado],MATCH(tItens[[#This Row],[Produto]],tProdutos[Produto],0))="",DescontoPadrao,INDEX(tProdutos[Desconto homologado],MATCH(tItens[[#This Row],[Produto]],tProdutos[Produto],0))),DescontoPadrao)</f>
        <v>0.50460666194188497</v>
      </c>
      <c r="M1492" s="12">
        <f>tItens[[#This Row],[Valor]]*(1-tItens[[#This Row],[Desconto]])</f>
        <v>0</v>
      </c>
      <c r="N1492" t="str">
        <f>IFERROR(INDEX(tProdutos[Foco],MATCH(tItens[[#This Row],[Produto]],tProdutos[Produto],0)),"Não")</f>
        <v>Não</v>
      </c>
      <c r="O1492" t="str">
        <f>IFERROR(INDEX(tEditais[SRP],MATCH(tItens[[#This Row],[Edital]],tEditais[Edital],0)),"Não")</f>
        <v>Não</v>
      </c>
      <c r="P1492" s="4">
        <f>IF(COUNTIFS(INDEX(tItens[Edital],1):tItens[[#This Row],[Edital]],tItens[[#This Row],[Edital]],INDEX(tItens[Produto],1):tItens[[#This Row],[Produto]],tItens[[#This Row],[Produto]])=1,1,0)</f>
        <v>0</v>
      </c>
    </row>
    <row r="1493" spans="1:16" x14ac:dyDescent="0.25">
      <c r="A1493" t="s">
        <v>1146</v>
      </c>
      <c r="B1493">
        <v>530</v>
      </c>
      <c r="C1493" t="s">
        <v>4551</v>
      </c>
      <c r="D1493" t="s">
        <v>267</v>
      </c>
      <c r="E1493" s="13">
        <v>100</v>
      </c>
      <c r="F1493" s="12">
        <v>0</v>
      </c>
      <c r="G1493" t="str">
        <f>IFERROR(INDEX(tEditais[Órgão],MATCH(tItens[[#This Row],[Edital]],tEditais[Edital],0)),"")</f>
        <v>FUNDO MUNICIPAL DE SAUDE DE MINEIROS</v>
      </c>
      <c r="H1493" t="str">
        <f>IFERROR(INDEX(tEditais[UF],MATCH(tItens[[#This Row],[Edital]],tEditais[Edital],0)),"")</f>
        <v>GO</v>
      </c>
      <c r="I1493" s="11">
        <f>IFERROR(INDEX(tEditais[Encerramento],MATCH(tItens[[#This Row],[Edital]],tEditais[Edital],0)),"")</f>
        <v>46308.291666666664</v>
      </c>
      <c r="J1493" t="str">
        <f>IFERROR(INDEX(tProdutos[Classe],MATCH(tItens[[#This Row],[Produto]],tProdutos[Produto],0)),"produto não cadastrado")</f>
        <v>FORA</v>
      </c>
      <c r="K1493" s="12">
        <f>tItens[[#This Row],[Qtd]]*tItens[[#This Row],[Vlr unit]]</f>
        <v>0</v>
      </c>
      <c r="L1493" s="6">
        <f>IFERROR(IF(INDEX(tProdutos[Desconto homologado],MATCH(tItens[[#This Row],[Produto]],tProdutos[Produto],0))="",DescontoPadrao,INDEX(tProdutos[Desconto homologado],MATCH(tItens[[#This Row],[Produto]],tProdutos[Produto],0))),DescontoPadrao)</f>
        <v>0.19963672657401599</v>
      </c>
      <c r="M1493" s="12">
        <f>tItens[[#This Row],[Valor]]*(1-tItens[[#This Row],[Desconto]])</f>
        <v>0</v>
      </c>
      <c r="N1493" t="str">
        <f>IFERROR(INDEX(tProdutos[Foco],MATCH(tItens[[#This Row],[Produto]],tProdutos[Produto],0)),"Não")</f>
        <v>Não</v>
      </c>
      <c r="O1493" t="str">
        <f>IFERROR(INDEX(tEditais[SRP],MATCH(tItens[[#This Row],[Edital]],tEditais[Edital],0)),"Não")</f>
        <v>Não</v>
      </c>
      <c r="P1493" s="4">
        <f>IF(COUNTIFS(INDEX(tItens[Edital],1):tItens[[#This Row],[Edital]],tItens[[#This Row],[Edital]],INDEX(tItens[Produto],1):tItens[[#This Row],[Produto]],tItens[[#This Row],[Produto]])=1,1,0)</f>
        <v>1</v>
      </c>
    </row>
    <row r="1494" spans="1:16" x14ac:dyDescent="0.25">
      <c r="A1494" t="s">
        <v>1146</v>
      </c>
      <c r="B1494">
        <v>533</v>
      </c>
      <c r="C1494" t="s">
        <v>4552</v>
      </c>
      <c r="D1494" t="s">
        <v>257</v>
      </c>
      <c r="E1494" s="13">
        <v>1000</v>
      </c>
      <c r="F1494" s="12">
        <v>0</v>
      </c>
      <c r="G1494" t="str">
        <f>IFERROR(INDEX(tEditais[Órgão],MATCH(tItens[[#This Row],[Edital]],tEditais[Edital],0)),"")</f>
        <v>FUNDO MUNICIPAL DE SAUDE DE MINEIROS</v>
      </c>
      <c r="H1494" t="str">
        <f>IFERROR(INDEX(tEditais[UF],MATCH(tItens[[#This Row],[Edital]],tEditais[Edital],0)),"")</f>
        <v>GO</v>
      </c>
      <c r="I1494" s="11">
        <f>IFERROR(INDEX(tEditais[Encerramento],MATCH(tItens[[#This Row],[Edital]],tEditais[Edital],0)),"")</f>
        <v>46308.291666666664</v>
      </c>
      <c r="J1494" t="str">
        <f>IFERROR(INDEX(tProdutos[Classe],MATCH(tItens[[#This Row],[Produto]],tProdutos[Produto],0)),"produto não cadastrado")</f>
        <v>FORA</v>
      </c>
      <c r="K1494" s="12">
        <f>tItens[[#This Row],[Qtd]]*tItens[[#This Row],[Vlr unit]]</f>
        <v>0</v>
      </c>
      <c r="L1494" s="6">
        <f>IFERROR(IF(INDEX(tProdutos[Desconto homologado],MATCH(tItens[[#This Row],[Produto]],tProdutos[Produto],0))="",DescontoPadrao,INDEX(tProdutos[Desconto homologado],MATCH(tItens[[#This Row],[Produto]],tProdutos[Produto],0))),DescontoPadrao)</f>
        <v>0.500812004991805</v>
      </c>
      <c r="M1494" s="12">
        <f>tItens[[#This Row],[Valor]]*(1-tItens[[#This Row],[Desconto]])</f>
        <v>0</v>
      </c>
      <c r="N1494" t="str">
        <f>IFERROR(INDEX(tProdutos[Foco],MATCH(tItens[[#This Row],[Produto]],tProdutos[Produto],0)),"Não")</f>
        <v>Não</v>
      </c>
      <c r="O1494" t="str">
        <f>IFERROR(INDEX(tEditais[SRP],MATCH(tItens[[#This Row],[Edital]],tEditais[Edital],0)),"Não")</f>
        <v>Não</v>
      </c>
      <c r="P1494" s="4">
        <f>IF(COUNTIFS(INDEX(tItens[Edital],1):tItens[[#This Row],[Edital]],tItens[[#This Row],[Edital]],INDEX(tItens[Produto],1):tItens[[#This Row],[Produto]],tItens[[#This Row],[Produto]])=1,1,0)</f>
        <v>1</v>
      </c>
    </row>
    <row r="1495" spans="1:16" x14ac:dyDescent="0.25">
      <c r="A1495" t="s">
        <v>1146</v>
      </c>
      <c r="B1495">
        <v>536</v>
      </c>
      <c r="C1495" t="s">
        <v>4553</v>
      </c>
      <c r="D1495" t="s">
        <v>257</v>
      </c>
      <c r="E1495" s="13">
        <v>50</v>
      </c>
      <c r="F1495" s="12">
        <v>0</v>
      </c>
      <c r="G1495" t="str">
        <f>IFERROR(INDEX(tEditais[Órgão],MATCH(tItens[[#This Row],[Edital]],tEditais[Edital],0)),"")</f>
        <v>FUNDO MUNICIPAL DE SAUDE DE MINEIROS</v>
      </c>
      <c r="H1495" t="str">
        <f>IFERROR(INDEX(tEditais[UF],MATCH(tItens[[#This Row],[Edital]],tEditais[Edital],0)),"")</f>
        <v>GO</v>
      </c>
      <c r="I1495" s="11">
        <f>IFERROR(INDEX(tEditais[Encerramento],MATCH(tItens[[#This Row],[Edital]],tEditais[Edital],0)),"")</f>
        <v>46308.291666666664</v>
      </c>
      <c r="J1495" t="str">
        <f>IFERROR(INDEX(tProdutos[Classe],MATCH(tItens[[#This Row],[Produto]],tProdutos[Produto],0)),"produto não cadastrado")</f>
        <v>FORA</v>
      </c>
      <c r="K1495" s="12">
        <f>tItens[[#This Row],[Qtd]]*tItens[[#This Row],[Vlr unit]]</f>
        <v>0</v>
      </c>
      <c r="L1495" s="6">
        <f>IFERROR(IF(INDEX(tProdutos[Desconto homologado],MATCH(tItens[[#This Row],[Produto]],tProdutos[Produto],0))="",DescontoPadrao,INDEX(tProdutos[Desconto homologado],MATCH(tItens[[#This Row],[Produto]],tProdutos[Produto],0))),DescontoPadrao)</f>
        <v>0.500812004991805</v>
      </c>
      <c r="M1495" s="12">
        <f>tItens[[#This Row],[Valor]]*(1-tItens[[#This Row],[Desconto]])</f>
        <v>0</v>
      </c>
      <c r="N1495" t="str">
        <f>IFERROR(INDEX(tProdutos[Foco],MATCH(tItens[[#This Row],[Produto]],tProdutos[Produto],0)),"Não")</f>
        <v>Não</v>
      </c>
      <c r="O1495" t="str">
        <f>IFERROR(INDEX(tEditais[SRP],MATCH(tItens[[#This Row],[Edital]],tEditais[Edital],0)),"Não")</f>
        <v>Não</v>
      </c>
      <c r="P1495" s="4">
        <f>IF(COUNTIFS(INDEX(tItens[Edital],1):tItens[[#This Row],[Edital]],tItens[[#This Row],[Edital]],INDEX(tItens[Produto],1):tItens[[#This Row],[Produto]],tItens[[#This Row],[Produto]])=1,1,0)</f>
        <v>0</v>
      </c>
    </row>
    <row r="1496" spans="1:16" x14ac:dyDescent="0.25">
      <c r="A1496" t="s">
        <v>1146</v>
      </c>
      <c r="B1496">
        <v>537</v>
      </c>
      <c r="C1496" t="s">
        <v>4554</v>
      </c>
      <c r="D1496" t="s">
        <v>249</v>
      </c>
      <c r="E1496" s="13">
        <v>25</v>
      </c>
      <c r="F1496" s="12">
        <v>0</v>
      </c>
      <c r="G1496" t="str">
        <f>IFERROR(INDEX(tEditais[Órgão],MATCH(tItens[[#This Row],[Edital]],tEditais[Edital],0)),"")</f>
        <v>FUNDO MUNICIPAL DE SAUDE DE MINEIROS</v>
      </c>
      <c r="H1496" t="str">
        <f>IFERROR(INDEX(tEditais[UF],MATCH(tItens[[#This Row],[Edital]],tEditais[Edital],0)),"")</f>
        <v>GO</v>
      </c>
      <c r="I1496" s="11">
        <f>IFERROR(INDEX(tEditais[Encerramento],MATCH(tItens[[#This Row],[Edital]],tEditais[Edital],0)),"")</f>
        <v>46308.291666666664</v>
      </c>
      <c r="J1496" t="str">
        <f>IFERROR(INDEX(tProdutos[Classe],MATCH(tItens[[#This Row],[Produto]],tProdutos[Produto],0)),"produto não cadastrado")</f>
        <v>FORA</v>
      </c>
      <c r="K1496" s="12">
        <f>tItens[[#This Row],[Qtd]]*tItens[[#This Row],[Vlr unit]]</f>
        <v>0</v>
      </c>
      <c r="L1496" s="6">
        <f>IFERROR(IF(INDEX(tProdutos[Desconto homologado],MATCH(tItens[[#This Row],[Produto]],tProdutos[Produto],0))="",DescontoPadrao,INDEX(tProdutos[Desconto homologado],MATCH(tItens[[#This Row],[Produto]],tProdutos[Produto],0))),DescontoPadrao)</f>
        <v>0.45399945399945402</v>
      </c>
      <c r="M1496" s="12">
        <f>tItens[[#This Row],[Valor]]*(1-tItens[[#This Row],[Desconto]])</f>
        <v>0</v>
      </c>
      <c r="N1496" t="str">
        <f>IFERROR(INDEX(tProdutos[Foco],MATCH(tItens[[#This Row],[Produto]],tProdutos[Produto],0)),"Não")</f>
        <v>Não</v>
      </c>
      <c r="O1496" t="str">
        <f>IFERROR(INDEX(tEditais[SRP],MATCH(tItens[[#This Row],[Edital]],tEditais[Edital],0)),"Não")</f>
        <v>Não</v>
      </c>
      <c r="P1496" s="4">
        <f>IF(COUNTIFS(INDEX(tItens[Edital],1):tItens[[#This Row],[Edital]],tItens[[#This Row],[Edital]],INDEX(tItens[Produto],1):tItens[[#This Row],[Produto]],tItens[[#This Row],[Produto]])=1,1,0)</f>
        <v>1</v>
      </c>
    </row>
    <row r="1497" spans="1:16" x14ac:dyDescent="0.25">
      <c r="A1497" t="s">
        <v>1146</v>
      </c>
      <c r="B1497">
        <v>543</v>
      </c>
      <c r="C1497" t="s">
        <v>4555</v>
      </c>
      <c r="D1497" t="s">
        <v>170</v>
      </c>
      <c r="E1497" s="13">
        <v>40</v>
      </c>
      <c r="F1497" s="12">
        <v>0</v>
      </c>
      <c r="G1497" t="str">
        <f>IFERROR(INDEX(tEditais[Órgão],MATCH(tItens[[#This Row],[Edital]],tEditais[Edital],0)),"")</f>
        <v>FUNDO MUNICIPAL DE SAUDE DE MINEIROS</v>
      </c>
      <c r="H1497" t="str">
        <f>IFERROR(INDEX(tEditais[UF],MATCH(tItens[[#This Row],[Edital]],tEditais[Edital],0)),"")</f>
        <v>GO</v>
      </c>
      <c r="I1497" s="11">
        <f>IFERROR(INDEX(tEditais[Encerramento],MATCH(tItens[[#This Row],[Edital]],tEditais[Edital],0)),"")</f>
        <v>46308.291666666664</v>
      </c>
      <c r="J1497" t="str">
        <f>IFERROR(INDEX(tProdutos[Classe],MATCH(tItens[[#This Row],[Produto]],tProdutos[Produto],0)),"produto não cadastrado")</f>
        <v>DISPUTADO</v>
      </c>
      <c r="K1497" s="12">
        <f>tItens[[#This Row],[Qtd]]*tItens[[#This Row],[Vlr unit]]</f>
        <v>0</v>
      </c>
      <c r="L1497" s="6">
        <f>IFERROR(IF(INDEX(tProdutos[Desconto homologado],MATCH(tItens[[#This Row],[Produto]],tProdutos[Produto],0))="",DescontoPadrao,INDEX(tProdutos[Desconto homologado],MATCH(tItens[[#This Row],[Produto]],tProdutos[Produto],0))),DescontoPadrao)</f>
        <v>0.36</v>
      </c>
      <c r="M1497" s="12">
        <f>tItens[[#This Row],[Valor]]*(1-tItens[[#This Row],[Desconto]])</f>
        <v>0</v>
      </c>
      <c r="N1497" t="str">
        <f>IFERROR(INDEX(tProdutos[Foco],MATCH(tItens[[#This Row],[Produto]],tProdutos[Produto],0)),"Não")</f>
        <v>Sim</v>
      </c>
      <c r="O1497" t="str">
        <f>IFERROR(INDEX(tEditais[SRP],MATCH(tItens[[#This Row],[Edital]],tEditais[Edital],0)),"Não")</f>
        <v>Não</v>
      </c>
      <c r="P1497" s="4">
        <f>IF(COUNTIFS(INDEX(tItens[Edital],1):tItens[[#This Row],[Edital]],tItens[[#This Row],[Edital]],INDEX(tItens[Produto],1):tItens[[#This Row],[Produto]],tItens[[#This Row],[Produto]])=1,1,0)</f>
        <v>1</v>
      </c>
    </row>
    <row r="1498" spans="1:16" x14ac:dyDescent="0.25">
      <c r="A1498" t="s">
        <v>1146</v>
      </c>
      <c r="B1498">
        <v>544</v>
      </c>
      <c r="C1498" t="s">
        <v>4556</v>
      </c>
      <c r="D1498" t="s">
        <v>170</v>
      </c>
      <c r="E1498" s="13">
        <v>40</v>
      </c>
      <c r="F1498" s="12">
        <v>0</v>
      </c>
      <c r="G1498" t="str">
        <f>IFERROR(INDEX(tEditais[Órgão],MATCH(tItens[[#This Row],[Edital]],tEditais[Edital],0)),"")</f>
        <v>FUNDO MUNICIPAL DE SAUDE DE MINEIROS</v>
      </c>
      <c r="H1498" t="str">
        <f>IFERROR(INDEX(tEditais[UF],MATCH(tItens[[#This Row],[Edital]],tEditais[Edital],0)),"")</f>
        <v>GO</v>
      </c>
      <c r="I1498" s="11">
        <f>IFERROR(INDEX(tEditais[Encerramento],MATCH(tItens[[#This Row],[Edital]],tEditais[Edital],0)),"")</f>
        <v>46308.291666666664</v>
      </c>
      <c r="J1498" t="str">
        <f>IFERROR(INDEX(tProdutos[Classe],MATCH(tItens[[#This Row],[Produto]],tProdutos[Produto],0)),"produto não cadastrado")</f>
        <v>DISPUTADO</v>
      </c>
      <c r="K1498" s="12">
        <f>tItens[[#This Row],[Qtd]]*tItens[[#This Row],[Vlr unit]]</f>
        <v>0</v>
      </c>
      <c r="L1498" s="6">
        <f>IFERROR(IF(INDEX(tProdutos[Desconto homologado],MATCH(tItens[[#This Row],[Produto]],tProdutos[Produto],0))="",DescontoPadrao,INDEX(tProdutos[Desconto homologado],MATCH(tItens[[#This Row],[Produto]],tProdutos[Produto],0))),DescontoPadrao)</f>
        <v>0.36</v>
      </c>
      <c r="M1498" s="12">
        <f>tItens[[#This Row],[Valor]]*(1-tItens[[#This Row],[Desconto]])</f>
        <v>0</v>
      </c>
      <c r="N1498" t="str">
        <f>IFERROR(INDEX(tProdutos[Foco],MATCH(tItens[[#This Row],[Produto]],tProdutos[Produto],0)),"Não")</f>
        <v>Sim</v>
      </c>
      <c r="O1498" t="str">
        <f>IFERROR(INDEX(tEditais[SRP],MATCH(tItens[[#This Row],[Edital]],tEditais[Edital],0)),"Não")</f>
        <v>Não</v>
      </c>
      <c r="P1498" s="4">
        <f>IF(COUNTIFS(INDEX(tItens[Edital],1):tItens[[#This Row],[Edital]],tItens[[#This Row],[Edital]],INDEX(tItens[Produto],1):tItens[[#This Row],[Produto]],tItens[[#This Row],[Produto]])=1,1,0)</f>
        <v>0</v>
      </c>
    </row>
    <row r="1499" spans="1:16" x14ac:dyDescent="0.25">
      <c r="A1499" t="s">
        <v>1146</v>
      </c>
      <c r="B1499">
        <v>545</v>
      </c>
      <c r="C1499" t="s">
        <v>4557</v>
      </c>
      <c r="D1499" t="s">
        <v>170</v>
      </c>
      <c r="E1499" s="13">
        <v>40</v>
      </c>
      <c r="F1499" s="12">
        <v>0</v>
      </c>
      <c r="G1499" t="str">
        <f>IFERROR(INDEX(tEditais[Órgão],MATCH(tItens[[#This Row],[Edital]],tEditais[Edital],0)),"")</f>
        <v>FUNDO MUNICIPAL DE SAUDE DE MINEIROS</v>
      </c>
      <c r="H1499" t="str">
        <f>IFERROR(INDEX(tEditais[UF],MATCH(tItens[[#This Row],[Edital]],tEditais[Edital],0)),"")</f>
        <v>GO</v>
      </c>
      <c r="I1499" s="11">
        <f>IFERROR(INDEX(tEditais[Encerramento],MATCH(tItens[[#This Row],[Edital]],tEditais[Edital],0)),"")</f>
        <v>46308.291666666664</v>
      </c>
      <c r="J1499" t="str">
        <f>IFERROR(INDEX(tProdutos[Classe],MATCH(tItens[[#This Row],[Produto]],tProdutos[Produto],0)),"produto não cadastrado")</f>
        <v>DISPUTADO</v>
      </c>
      <c r="K1499" s="12">
        <f>tItens[[#This Row],[Qtd]]*tItens[[#This Row],[Vlr unit]]</f>
        <v>0</v>
      </c>
      <c r="L1499" s="6">
        <f>IFERROR(IF(INDEX(tProdutos[Desconto homologado],MATCH(tItens[[#This Row],[Produto]],tProdutos[Produto],0))="",DescontoPadrao,INDEX(tProdutos[Desconto homologado],MATCH(tItens[[#This Row],[Produto]],tProdutos[Produto],0))),DescontoPadrao)</f>
        <v>0.36</v>
      </c>
      <c r="M1499" s="12">
        <f>tItens[[#This Row],[Valor]]*(1-tItens[[#This Row],[Desconto]])</f>
        <v>0</v>
      </c>
      <c r="N1499" t="str">
        <f>IFERROR(INDEX(tProdutos[Foco],MATCH(tItens[[#This Row],[Produto]],tProdutos[Produto],0)),"Não")</f>
        <v>Sim</v>
      </c>
      <c r="O1499" t="str">
        <f>IFERROR(INDEX(tEditais[SRP],MATCH(tItens[[#This Row],[Edital]],tEditais[Edital],0)),"Não")</f>
        <v>Não</v>
      </c>
      <c r="P1499" s="4">
        <f>IF(COUNTIFS(INDEX(tItens[Edital],1):tItens[[#This Row],[Edital]],tItens[[#This Row],[Edital]],INDEX(tItens[Produto],1):tItens[[#This Row],[Produto]],tItens[[#This Row],[Produto]])=1,1,0)</f>
        <v>0</v>
      </c>
    </row>
    <row r="1500" spans="1:16" x14ac:dyDescent="0.25">
      <c r="A1500" t="s">
        <v>1146</v>
      </c>
      <c r="B1500">
        <v>546</v>
      </c>
      <c r="C1500" t="s">
        <v>4558</v>
      </c>
      <c r="D1500" t="s">
        <v>170</v>
      </c>
      <c r="E1500" s="13">
        <v>40</v>
      </c>
      <c r="F1500" s="12">
        <v>0</v>
      </c>
      <c r="G1500" t="str">
        <f>IFERROR(INDEX(tEditais[Órgão],MATCH(tItens[[#This Row],[Edital]],tEditais[Edital],0)),"")</f>
        <v>FUNDO MUNICIPAL DE SAUDE DE MINEIROS</v>
      </c>
      <c r="H1500" t="str">
        <f>IFERROR(INDEX(tEditais[UF],MATCH(tItens[[#This Row],[Edital]],tEditais[Edital],0)),"")</f>
        <v>GO</v>
      </c>
      <c r="I1500" s="11">
        <f>IFERROR(INDEX(tEditais[Encerramento],MATCH(tItens[[#This Row],[Edital]],tEditais[Edital],0)),"")</f>
        <v>46308.291666666664</v>
      </c>
      <c r="J1500" t="str">
        <f>IFERROR(INDEX(tProdutos[Classe],MATCH(tItens[[#This Row],[Produto]],tProdutos[Produto],0)),"produto não cadastrado")</f>
        <v>DISPUTADO</v>
      </c>
      <c r="K1500" s="12">
        <f>tItens[[#This Row],[Qtd]]*tItens[[#This Row],[Vlr unit]]</f>
        <v>0</v>
      </c>
      <c r="L1500" s="6">
        <f>IFERROR(IF(INDEX(tProdutos[Desconto homologado],MATCH(tItens[[#This Row],[Produto]],tProdutos[Produto],0))="",DescontoPadrao,INDEX(tProdutos[Desconto homologado],MATCH(tItens[[#This Row],[Produto]],tProdutos[Produto],0))),DescontoPadrao)</f>
        <v>0.36</v>
      </c>
      <c r="M1500" s="12">
        <f>tItens[[#This Row],[Valor]]*(1-tItens[[#This Row],[Desconto]])</f>
        <v>0</v>
      </c>
      <c r="N1500" t="str">
        <f>IFERROR(INDEX(tProdutos[Foco],MATCH(tItens[[#This Row],[Produto]],tProdutos[Produto],0)),"Não")</f>
        <v>Sim</v>
      </c>
      <c r="O1500" t="str">
        <f>IFERROR(INDEX(tEditais[SRP],MATCH(tItens[[#This Row],[Edital]],tEditais[Edital],0)),"Não")</f>
        <v>Não</v>
      </c>
      <c r="P1500" s="4">
        <f>IF(COUNTIFS(INDEX(tItens[Edital],1):tItens[[#This Row],[Edital]],tItens[[#This Row],[Edital]],INDEX(tItens[Produto],1):tItens[[#This Row],[Produto]],tItens[[#This Row],[Produto]])=1,1,0)</f>
        <v>0</v>
      </c>
    </row>
    <row r="1501" spans="1:16" x14ac:dyDescent="0.25">
      <c r="A1501" t="s">
        <v>1146</v>
      </c>
      <c r="B1501">
        <v>547</v>
      </c>
      <c r="C1501" t="s">
        <v>4559</v>
      </c>
      <c r="D1501" t="s">
        <v>170</v>
      </c>
      <c r="E1501" s="13">
        <v>60</v>
      </c>
      <c r="F1501" s="12">
        <v>0</v>
      </c>
      <c r="G1501" t="str">
        <f>IFERROR(INDEX(tEditais[Órgão],MATCH(tItens[[#This Row],[Edital]],tEditais[Edital],0)),"")</f>
        <v>FUNDO MUNICIPAL DE SAUDE DE MINEIROS</v>
      </c>
      <c r="H1501" t="str">
        <f>IFERROR(INDEX(tEditais[UF],MATCH(tItens[[#This Row],[Edital]],tEditais[Edital],0)),"")</f>
        <v>GO</v>
      </c>
      <c r="I1501" s="11">
        <f>IFERROR(INDEX(tEditais[Encerramento],MATCH(tItens[[#This Row],[Edital]],tEditais[Edital],0)),"")</f>
        <v>46308.291666666664</v>
      </c>
      <c r="J1501" t="str">
        <f>IFERROR(INDEX(tProdutos[Classe],MATCH(tItens[[#This Row],[Produto]],tProdutos[Produto],0)),"produto não cadastrado")</f>
        <v>DISPUTADO</v>
      </c>
      <c r="K1501" s="12">
        <f>tItens[[#This Row],[Qtd]]*tItens[[#This Row],[Vlr unit]]</f>
        <v>0</v>
      </c>
      <c r="L1501" s="6">
        <f>IFERROR(IF(INDEX(tProdutos[Desconto homologado],MATCH(tItens[[#This Row],[Produto]],tProdutos[Produto],0))="",DescontoPadrao,INDEX(tProdutos[Desconto homologado],MATCH(tItens[[#This Row],[Produto]],tProdutos[Produto],0))),DescontoPadrao)</f>
        <v>0.36</v>
      </c>
      <c r="M1501" s="12">
        <f>tItens[[#This Row],[Valor]]*(1-tItens[[#This Row],[Desconto]])</f>
        <v>0</v>
      </c>
      <c r="N1501" t="str">
        <f>IFERROR(INDEX(tProdutos[Foco],MATCH(tItens[[#This Row],[Produto]],tProdutos[Produto],0)),"Não")</f>
        <v>Sim</v>
      </c>
      <c r="O1501" t="str">
        <f>IFERROR(INDEX(tEditais[SRP],MATCH(tItens[[#This Row],[Edital]],tEditais[Edital],0)),"Não")</f>
        <v>Não</v>
      </c>
      <c r="P1501" s="4">
        <f>IF(COUNTIFS(INDEX(tItens[Edital],1):tItens[[#This Row],[Edital]],tItens[[#This Row],[Edital]],INDEX(tItens[Produto],1):tItens[[#This Row],[Produto]],tItens[[#This Row],[Produto]])=1,1,0)</f>
        <v>0</v>
      </c>
    </row>
    <row r="1502" spans="1:16" x14ac:dyDescent="0.25">
      <c r="A1502" t="s">
        <v>1146</v>
      </c>
      <c r="B1502">
        <v>548</v>
      </c>
      <c r="C1502" t="s">
        <v>4560</v>
      </c>
      <c r="D1502" t="s">
        <v>170</v>
      </c>
      <c r="E1502" s="13">
        <v>60</v>
      </c>
      <c r="F1502" s="12">
        <v>0</v>
      </c>
      <c r="G1502" t="str">
        <f>IFERROR(INDEX(tEditais[Órgão],MATCH(tItens[[#This Row],[Edital]],tEditais[Edital],0)),"")</f>
        <v>FUNDO MUNICIPAL DE SAUDE DE MINEIROS</v>
      </c>
      <c r="H1502" t="str">
        <f>IFERROR(INDEX(tEditais[UF],MATCH(tItens[[#This Row],[Edital]],tEditais[Edital],0)),"")</f>
        <v>GO</v>
      </c>
      <c r="I1502" s="11">
        <f>IFERROR(INDEX(tEditais[Encerramento],MATCH(tItens[[#This Row],[Edital]],tEditais[Edital],0)),"")</f>
        <v>46308.291666666664</v>
      </c>
      <c r="J1502" t="str">
        <f>IFERROR(INDEX(tProdutos[Classe],MATCH(tItens[[#This Row],[Produto]],tProdutos[Produto],0)),"produto não cadastrado")</f>
        <v>DISPUTADO</v>
      </c>
      <c r="K1502" s="12">
        <f>tItens[[#This Row],[Qtd]]*tItens[[#This Row],[Vlr unit]]</f>
        <v>0</v>
      </c>
      <c r="L1502" s="6">
        <f>IFERROR(IF(INDEX(tProdutos[Desconto homologado],MATCH(tItens[[#This Row],[Produto]],tProdutos[Produto],0))="",DescontoPadrao,INDEX(tProdutos[Desconto homologado],MATCH(tItens[[#This Row],[Produto]],tProdutos[Produto],0))),DescontoPadrao)</f>
        <v>0.36</v>
      </c>
      <c r="M1502" s="12">
        <f>tItens[[#This Row],[Valor]]*(1-tItens[[#This Row],[Desconto]])</f>
        <v>0</v>
      </c>
      <c r="N1502" t="str">
        <f>IFERROR(INDEX(tProdutos[Foco],MATCH(tItens[[#This Row],[Produto]],tProdutos[Produto],0)),"Não")</f>
        <v>Sim</v>
      </c>
      <c r="O1502" t="str">
        <f>IFERROR(INDEX(tEditais[SRP],MATCH(tItens[[#This Row],[Edital]],tEditais[Edital],0)),"Não")</f>
        <v>Não</v>
      </c>
      <c r="P1502" s="4">
        <f>IF(COUNTIFS(INDEX(tItens[Edital],1):tItens[[#This Row],[Edital]],tItens[[#This Row],[Edital]],INDEX(tItens[Produto],1):tItens[[#This Row],[Produto]],tItens[[#This Row],[Produto]])=1,1,0)</f>
        <v>0</v>
      </c>
    </row>
    <row r="1503" spans="1:16" x14ac:dyDescent="0.25">
      <c r="A1503" t="s">
        <v>1146</v>
      </c>
      <c r="B1503">
        <v>549</v>
      </c>
      <c r="C1503" t="s">
        <v>4561</v>
      </c>
      <c r="D1503" t="s">
        <v>170</v>
      </c>
      <c r="E1503" s="13">
        <v>50</v>
      </c>
      <c r="F1503" s="12">
        <v>0</v>
      </c>
      <c r="G1503" t="str">
        <f>IFERROR(INDEX(tEditais[Órgão],MATCH(tItens[[#This Row],[Edital]],tEditais[Edital],0)),"")</f>
        <v>FUNDO MUNICIPAL DE SAUDE DE MINEIROS</v>
      </c>
      <c r="H1503" t="str">
        <f>IFERROR(INDEX(tEditais[UF],MATCH(tItens[[#This Row],[Edital]],tEditais[Edital],0)),"")</f>
        <v>GO</v>
      </c>
      <c r="I1503" s="11">
        <f>IFERROR(INDEX(tEditais[Encerramento],MATCH(tItens[[#This Row],[Edital]],tEditais[Edital],0)),"")</f>
        <v>46308.291666666664</v>
      </c>
      <c r="J1503" t="str">
        <f>IFERROR(INDEX(tProdutos[Classe],MATCH(tItens[[#This Row],[Produto]],tProdutos[Produto],0)),"produto não cadastrado")</f>
        <v>DISPUTADO</v>
      </c>
      <c r="K1503" s="12">
        <f>tItens[[#This Row],[Qtd]]*tItens[[#This Row],[Vlr unit]]</f>
        <v>0</v>
      </c>
      <c r="L1503" s="6">
        <f>IFERROR(IF(INDEX(tProdutos[Desconto homologado],MATCH(tItens[[#This Row],[Produto]],tProdutos[Produto],0))="",DescontoPadrao,INDEX(tProdutos[Desconto homologado],MATCH(tItens[[#This Row],[Produto]],tProdutos[Produto],0))),DescontoPadrao)</f>
        <v>0.36</v>
      </c>
      <c r="M1503" s="12">
        <f>tItens[[#This Row],[Valor]]*(1-tItens[[#This Row],[Desconto]])</f>
        <v>0</v>
      </c>
      <c r="N1503" t="str">
        <f>IFERROR(INDEX(tProdutos[Foco],MATCH(tItens[[#This Row],[Produto]],tProdutos[Produto],0)),"Não")</f>
        <v>Sim</v>
      </c>
      <c r="O1503" t="str">
        <f>IFERROR(INDEX(tEditais[SRP],MATCH(tItens[[#This Row],[Edital]],tEditais[Edital],0)),"Não")</f>
        <v>Não</v>
      </c>
      <c r="P1503" s="4">
        <f>IF(COUNTIFS(INDEX(tItens[Edital],1):tItens[[#This Row],[Edital]],tItens[[#This Row],[Edital]],INDEX(tItens[Produto],1):tItens[[#This Row],[Produto]],tItens[[#This Row],[Produto]])=1,1,0)</f>
        <v>0</v>
      </c>
    </row>
    <row r="1504" spans="1:16" x14ac:dyDescent="0.25">
      <c r="A1504" t="s">
        <v>1146</v>
      </c>
      <c r="B1504">
        <v>553</v>
      </c>
      <c r="C1504" t="s">
        <v>4562</v>
      </c>
      <c r="D1504" t="s">
        <v>694</v>
      </c>
      <c r="E1504" s="13">
        <v>15</v>
      </c>
      <c r="F1504" s="12">
        <v>0</v>
      </c>
      <c r="G1504" t="str">
        <f>IFERROR(INDEX(tEditais[Órgão],MATCH(tItens[[#This Row],[Edital]],tEditais[Edital],0)),"")</f>
        <v>FUNDO MUNICIPAL DE SAUDE DE MINEIROS</v>
      </c>
      <c r="H1504" t="str">
        <f>IFERROR(INDEX(tEditais[UF],MATCH(tItens[[#This Row],[Edital]],tEditais[Edital],0)),"")</f>
        <v>GO</v>
      </c>
      <c r="I1504" s="11">
        <f>IFERROR(INDEX(tEditais[Encerramento],MATCH(tItens[[#This Row],[Edital]],tEditais[Edital],0)),"")</f>
        <v>46308.291666666664</v>
      </c>
      <c r="J1504" t="str">
        <f>IFERROR(INDEX(tProdutos[Classe],MATCH(tItens[[#This Row],[Produto]],tProdutos[Produto],0)),"produto não cadastrado")</f>
        <v>FILA REBASE</v>
      </c>
      <c r="K1504" s="12">
        <f>tItens[[#This Row],[Qtd]]*tItens[[#This Row],[Vlr unit]]</f>
        <v>0</v>
      </c>
      <c r="L1504" s="6">
        <f>IFERROR(IF(INDEX(tProdutos[Desconto homologado],MATCH(tItens[[#This Row],[Produto]],tProdutos[Produto],0))="",DescontoPadrao,INDEX(tProdutos[Desconto homologado],MATCH(tItens[[#This Row],[Produto]],tProdutos[Produto],0))),DescontoPadrao)</f>
        <v>0.61577111781048699</v>
      </c>
      <c r="M1504" s="12">
        <f>tItens[[#This Row],[Valor]]*(1-tItens[[#This Row],[Desconto]])</f>
        <v>0</v>
      </c>
      <c r="N1504" t="str">
        <f>IFERROR(INDEX(tProdutos[Foco],MATCH(tItens[[#This Row],[Produto]],tProdutos[Produto],0)),"Não")</f>
        <v>Não</v>
      </c>
      <c r="O1504" t="str">
        <f>IFERROR(INDEX(tEditais[SRP],MATCH(tItens[[#This Row],[Edital]],tEditais[Edital],0)),"Não")</f>
        <v>Não</v>
      </c>
      <c r="P1504" s="4">
        <f>IF(COUNTIFS(INDEX(tItens[Edital],1):tItens[[#This Row],[Edital]],tItens[[#This Row],[Edital]],INDEX(tItens[Produto],1):tItens[[#This Row],[Produto]],tItens[[#This Row],[Produto]])=1,1,0)</f>
        <v>1</v>
      </c>
    </row>
    <row r="1505" spans="1:16" x14ac:dyDescent="0.25">
      <c r="A1505" t="s">
        <v>1146</v>
      </c>
      <c r="B1505">
        <v>554</v>
      </c>
      <c r="C1505" t="s">
        <v>4563</v>
      </c>
      <c r="D1505" t="s">
        <v>694</v>
      </c>
      <c r="E1505" s="13">
        <v>15</v>
      </c>
      <c r="F1505" s="12">
        <v>0</v>
      </c>
      <c r="G1505" t="str">
        <f>IFERROR(INDEX(tEditais[Órgão],MATCH(tItens[[#This Row],[Edital]],tEditais[Edital],0)),"")</f>
        <v>FUNDO MUNICIPAL DE SAUDE DE MINEIROS</v>
      </c>
      <c r="H1505" t="str">
        <f>IFERROR(INDEX(tEditais[UF],MATCH(tItens[[#This Row],[Edital]],tEditais[Edital],0)),"")</f>
        <v>GO</v>
      </c>
      <c r="I1505" s="11">
        <f>IFERROR(INDEX(tEditais[Encerramento],MATCH(tItens[[#This Row],[Edital]],tEditais[Edital],0)),"")</f>
        <v>46308.291666666664</v>
      </c>
      <c r="J1505" t="str">
        <f>IFERROR(INDEX(tProdutos[Classe],MATCH(tItens[[#This Row],[Produto]],tProdutos[Produto],0)),"produto não cadastrado")</f>
        <v>FILA REBASE</v>
      </c>
      <c r="K1505" s="12">
        <f>tItens[[#This Row],[Qtd]]*tItens[[#This Row],[Vlr unit]]</f>
        <v>0</v>
      </c>
      <c r="L1505" s="6">
        <f>IFERROR(IF(INDEX(tProdutos[Desconto homologado],MATCH(tItens[[#This Row],[Produto]],tProdutos[Produto],0))="",DescontoPadrao,INDEX(tProdutos[Desconto homologado],MATCH(tItens[[#This Row],[Produto]],tProdutos[Produto],0))),DescontoPadrao)</f>
        <v>0.61577111781048699</v>
      </c>
      <c r="M1505" s="12">
        <f>tItens[[#This Row],[Valor]]*(1-tItens[[#This Row],[Desconto]])</f>
        <v>0</v>
      </c>
      <c r="N1505" t="str">
        <f>IFERROR(INDEX(tProdutos[Foco],MATCH(tItens[[#This Row],[Produto]],tProdutos[Produto],0)),"Não")</f>
        <v>Não</v>
      </c>
      <c r="O1505" t="str">
        <f>IFERROR(INDEX(tEditais[SRP],MATCH(tItens[[#This Row],[Edital]],tEditais[Edital],0)),"Não")</f>
        <v>Não</v>
      </c>
      <c r="P1505" s="4">
        <f>IF(COUNTIFS(INDEX(tItens[Edital],1):tItens[[#This Row],[Edital]],tItens[[#This Row],[Edital]],INDEX(tItens[Produto],1):tItens[[#This Row],[Produto]],tItens[[#This Row],[Produto]])=1,1,0)</f>
        <v>0</v>
      </c>
    </row>
    <row r="1506" spans="1:16" x14ac:dyDescent="0.25">
      <c r="A1506" t="s">
        <v>1146</v>
      </c>
      <c r="B1506">
        <v>579</v>
      </c>
      <c r="C1506" t="s">
        <v>4564</v>
      </c>
      <c r="D1506" t="s">
        <v>494</v>
      </c>
      <c r="E1506" s="13">
        <v>170</v>
      </c>
      <c r="F1506" s="12">
        <v>0</v>
      </c>
      <c r="G1506" t="str">
        <f>IFERROR(INDEX(tEditais[Órgão],MATCH(tItens[[#This Row],[Edital]],tEditais[Edital],0)),"")</f>
        <v>FUNDO MUNICIPAL DE SAUDE DE MINEIROS</v>
      </c>
      <c r="H1506" t="str">
        <f>IFERROR(INDEX(tEditais[UF],MATCH(tItens[[#This Row],[Edital]],tEditais[Edital],0)),"")</f>
        <v>GO</v>
      </c>
      <c r="I1506" s="11">
        <f>IFERROR(INDEX(tEditais[Encerramento],MATCH(tItens[[#This Row],[Edital]],tEditais[Edital],0)),"")</f>
        <v>46308.291666666664</v>
      </c>
      <c r="J1506" t="str">
        <f>IFERROR(INDEX(tProdutos[Classe],MATCH(tItens[[#This Row],[Produto]],tProdutos[Produto],0)),"produto não cadastrado")</f>
        <v>FILA REBASE</v>
      </c>
      <c r="K1506" s="12">
        <f>tItens[[#This Row],[Qtd]]*tItens[[#This Row],[Vlr unit]]</f>
        <v>0</v>
      </c>
      <c r="L1506" s="6">
        <f>IFERROR(IF(INDEX(tProdutos[Desconto homologado],MATCH(tItens[[#This Row],[Produto]],tProdutos[Produto],0))="",DescontoPadrao,INDEX(tProdutos[Desconto homologado],MATCH(tItens[[#This Row],[Produto]],tProdutos[Produto],0))),DescontoPadrao)</f>
        <v>0.253736324829619</v>
      </c>
      <c r="M1506" s="12">
        <f>tItens[[#This Row],[Valor]]*(1-tItens[[#This Row],[Desconto]])</f>
        <v>0</v>
      </c>
      <c r="N1506" t="str">
        <f>IFERROR(INDEX(tProdutos[Foco],MATCH(tItens[[#This Row],[Produto]],tProdutos[Produto],0)),"Não")</f>
        <v>Não</v>
      </c>
      <c r="O1506" t="str">
        <f>IFERROR(INDEX(tEditais[SRP],MATCH(tItens[[#This Row],[Edital]],tEditais[Edital],0)),"Não")</f>
        <v>Não</v>
      </c>
      <c r="P1506" s="4">
        <f>IF(COUNTIFS(INDEX(tItens[Edital],1):tItens[[#This Row],[Edital]],tItens[[#This Row],[Edital]],INDEX(tItens[Produto],1):tItens[[#This Row],[Produto]],tItens[[#This Row],[Produto]])=1,1,0)</f>
        <v>1</v>
      </c>
    </row>
    <row r="1507" spans="1:16" x14ac:dyDescent="0.25">
      <c r="A1507" t="s">
        <v>1146</v>
      </c>
      <c r="B1507">
        <v>580</v>
      </c>
      <c r="C1507" t="s">
        <v>4565</v>
      </c>
      <c r="D1507" t="s">
        <v>494</v>
      </c>
      <c r="E1507" s="13">
        <v>200</v>
      </c>
      <c r="F1507" s="12">
        <v>0</v>
      </c>
      <c r="G1507" t="str">
        <f>IFERROR(INDEX(tEditais[Órgão],MATCH(tItens[[#This Row],[Edital]],tEditais[Edital],0)),"")</f>
        <v>FUNDO MUNICIPAL DE SAUDE DE MINEIROS</v>
      </c>
      <c r="H1507" t="str">
        <f>IFERROR(INDEX(tEditais[UF],MATCH(tItens[[#This Row],[Edital]],tEditais[Edital],0)),"")</f>
        <v>GO</v>
      </c>
      <c r="I1507" s="11">
        <f>IFERROR(INDEX(tEditais[Encerramento],MATCH(tItens[[#This Row],[Edital]],tEditais[Edital],0)),"")</f>
        <v>46308.291666666664</v>
      </c>
      <c r="J1507" t="str">
        <f>IFERROR(INDEX(tProdutos[Classe],MATCH(tItens[[#This Row],[Produto]],tProdutos[Produto],0)),"produto não cadastrado")</f>
        <v>FILA REBASE</v>
      </c>
      <c r="K1507" s="12">
        <f>tItens[[#This Row],[Qtd]]*tItens[[#This Row],[Vlr unit]]</f>
        <v>0</v>
      </c>
      <c r="L1507" s="6">
        <f>IFERROR(IF(INDEX(tProdutos[Desconto homologado],MATCH(tItens[[#This Row],[Produto]],tProdutos[Produto],0))="",DescontoPadrao,INDEX(tProdutos[Desconto homologado],MATCH(tItens[[#This Row],[Produto]],tProdutos[Produto],0))),DescontoPadrao)</f>
        <v>0.253736324829619</v>
      </c>
      <c r="M1507" s="12">
        <f>tItens[[#This Row],[Valor]]*(1-tItens[[#This Row],[Desconto]])</f>
        <v>0</v>
      </c>
      <c r="N1507" t="str">
        <f>IFERROR(INDEX(tProdutos[Foco],MATCH(tItens[[#This Row],[Produto]],tProdutos[Produto],0)),"Não")</f>
        <v>Não</v>
      </c>
      <c r="O1507" t="str">
        <f>IFERROR(INDEX(tEditais[SRP],MATCH(tItens[[#This Row],[Edital]],tEditais[Edital],0)),"Não")</f>
        <v>Não</v>
      </c>
      <c r="P1507" s="4">
        <f>IF(COUNTIFS(INDEX(tItens[Edital],1):tItens[[#This Row],[Edital]],tItens[[#This Row],[Edital]],INDEX(tItens[Produto],1):tItens[[#This Row],[Produto]],tItens[[#This Row],[Produto]])=1,1,0)</f>
        <v>0</v>
      </c>
    </row>
    <row r="1508" spans="1:16" x14ac:dyDescent="0.25">
      <c r="A1508" t="s">
        <v>1146</v>
      </c>
      <c r="B1508">
        <v>581</v>
      </c>
      <c r="C1508" t="s">
        <v>4566</v>
      </c>
      <c r="D1508" t="s">
        <v>494</v>
      </c>
      <c r="E1508" s="13">
        <v>170</v>
      </c>
      <c r="F1508" s="12">
        <v>0</v>
      </c>
      <c r="G1508" t="str">
        <f>IFERROR(INDEX(tEditais[Órgão],MATCH(tItens[[#This Row],[Edital]],tEditais[Edital],0)),"")</f>
        <v>FUNDO MUNICIPAL DE SAUDE DE MINEIROS</v>
      </c>
      <c r="H1508" t="str">
        <f>IFERROR(INDEX(tEditais[UF],MATCH(tItens[[#This Row],[Edital]],tEditais[Edital],0)),"")</f>
        <v>GO</v>
      </c>
      <c r="I1508" s="11">
        <f>IFERROR(INDEX(tEditais[Encerramento],MATCH(tItens[[#This Row],[Edital]],tEditais[Edital],0)),"")</f>
        <v>46308.291666666664</v>
      </c>
      <c r="J1508" t="str">
        <f>IFERROR(INDEX(tProdutos[Classe],MATCH(tItens[[#This Row],[Produto]],tProdutos[Produto],0)),"produto não cadastrado")</f>
        <v>FILA REBASE</v>
      </c>
      <c r="K1508" s="12">
        <f>tItens[[#This Row],[Qtd]]*tItens[[#This Row],[Vlr unit]]</f>
        <v>0</v>
      </c>
      <c r="L1508" s="6">
        <f>IFERROR(IF(INDEX(tProdutos[Desconto homologado],MATCH(tItens[[#This Row],[Produto]],tProdutos[Produto],0))="",DescontoPadrao,INDEX(tProdutos[Desconto homologado],MATCH(tItens[[#This Row],[Produto]],tProdutos[Produto],0))),DescontoPadrao)</f>
        <v>0.253736324829619</v>
      </c>
      <c r="M1508" s="12">
        <f>tItens[[#This Row],[Valor]]*(1-tItens[[#This Row],[Desconto]])</f>
        <v>0</v>
      </c>
      <c r="N1508" t="str">
        <f>IFERROR(INDEX(tProdutos[Foco],MATCH(tItens[[#This Row],[Produto]],tProdutos[Produto],0)),"Não")</f>
        <v>Não</v>
      </c>
      <c r="O1508" t="str">
        <f>IFERROR(INDEX(tEditais[SRP],MATCH(tItens[[#This Row],[Edital]],tEditais[Edital],0)),"Não")</f>
        <v>Não</v>
      </c>
      <c r="P1508" s="4">
        <f>IF(COUNTIFS(INDEX(tItens[Edital],1):tItens[[#This Row],[Edital]],tItens[[#This Row],[Edital]],INDEX(tItens[Produto],1):tItens[[#This Row],[Produto]],tItens[[#This Row],[Produto]])=1,1,0)</f>
        <v>0</v>
      </c>
    </row>
    <row r="1509" spans="1:16" x14ac:dyDescent="0.25">
      <c r="A1509" t="s">
        <v>1146</v>
      </c>
      <c r="B1509">
        <v>582</v>
      </c>
      <c r="C1509" t="s">
        <v>4567</v>
      </c>
      <c r="D1509" t="s">
        <v>494</v>
      </c>
      <c r="E1509" s="13">
        <v>200</v>
      </c>
      <c r="F1509" s="12">
        <v>0</v>
      </c>
      <c r="G1509" t="str">
        <f>IFERROR(INDEX(tEditais[Órgão],MATCH(tItens[[#This Row],[Edital]],tEditais[Edital],0)),"")</f>
        <v>FUNDO MUNICIPAL DE SAUDE DE MINEIROS</v>
      </c>
      <c r="H1509" t="str">
        <f>IFERROR(INDEX(tEditais[UF],MATCH(tItens[[#This Row],[Edital]],tEditais[Edital],0)),"")</f>
        <v>GO</v>
      </c>
      <c r="I1509" s="11">
        <f>IFERROR(INDEX(tEditais[Encerramento],MATCH(tItens[[#This Row],[Edital]],tEditais[Edital],0)),"")</f>
        <v>46308.291666666664</v>
      </c>
      <c r="J1509" t="str">
        <f>IFERROR(INDEX(tProdutos[Classe],MATCH(tItens[[#This Row],[Produto]],tProdutos[Produto],0)),"produto não cadastrado")</f>
        <v>FILA REBASE</v>
      </c>
      <c r="K1509" s="12">
        <f>tItens[[#This Row],[Qtd]]*tItens[[#This Row],[Vlr unit]]</f>
        <v>0</v>
      </c>
      <c r="L1509" s="6">
        <f>IFERROR(IF(INDEX(tProdutos[Desconto homologado],MATCH(tItens[[#This Row],[Produto]],tProdutos[Produto],0))="",DescontoPadrao,INDEX(tProdutos[Desconto homologado],MATCH(tItens[[#This Row],[Produto]],tProdutos[Produto],0))),DescontoPadrao)</f>
        <v>0.253736324829619</v>
      </c>
      <c r="M1509" s="12">
        <f>tItens[[#This Row],[Valor]]*(1-tItens[[#This Row],[Desconto]])</f>
        <v>0</v>
      </c>
      <c r="N1509" t="str">
        <f>IFERROR(INDEX(tProdutos[Foco],MATCH(tItens[[#This Row],[Produto]],tProdutos[Produto],0)),"Não")</f>
        <v>Não</v>
      </c>
      <c r="O1509" t="str">
        <f>IFERROR(INDEX(tEditais[SRP],MATCH(tItens[[#This Row],[Edital]],tEditais[Edital],0)),"Não")</f>
        <v>Não</v>
      </c>
      <c r="P1509" s="4">
        <f>IF(COUNTIFS(INDEX(tItens[Edital],1):tItens[[#This Row],[Edital]],tItens[[#This Row],[Edital]],INDEX(tItens[Produto],1):tItens[[#This Row],[Produto]],tItens[[#This Row],[Produto]])=1,1,0)</f>
        <v>0</v>
      </c>
    </row>
    <row r="1510" spans="1:16" x14ac:dyDescent="0.25">
      <c r="A1510" t="s">
        <v>1146</v>
      </c>
      <c r="B1510">
        <v>583</v>
      </c>
      <c r="C1510" t="s">
        <v>4568</v>
      </c>
      <c r="D1510" t="s">
        <v>494</v>
      </c>
      <c r="E1510" s="13">
        <v>60</v>
      </c>
      <c r="F1510" s="12">
        <v>0</v>
      </c>
      <c r="G1510" t="str">
        <f>IFERROR(INDEX(tEditais[Órgão],MATCH(tItens[[#This Row],[Edital]],tEditais[Edital],0)),"")</f>
        <v>FUNDO MUNICIPAL DE SAUDE DE MINEIROS</v>
      </c>
      <c r="H1510" t="str">
        <f>IFERROR(INDEX(tEditais[UF],MATCH(tItens[[#This Row],[Edital]],tEditais[Edital],0)),"")</f>
        <v>GO</v>
      </c>
      <c r="I1510" s="11">
        <f>IFERROR(INDEX(tEditais[Encerramento],MATCH(tItens[[#This Row],[Edital]],tEditais[Edital],0)),"")</f>
        <v>46308.291666666664</v>
      </c>
      <c r="J1510" t="str">
        <f>IFERROR(INDEX(tProdutos[Classe],MATCH(tItens[[#This Row],[Produto]],tProdutos[Produto],0)),"produto não cadastrado")</f>
        <v>FILA REBASE</v>
      </c>
      <c r="K1510" s="12">
        <f>tItens[[#This Row],[Qtd]]*tItens[[#This Row],[Vlr unit]]</f>
        <v>0</v>
      </c>
      <c r="L1510" s="6">
        <f>IFERROR(IF(INDEX(tProdutos[Desconto homologado],MATCH(tItens[[#This Row],[Produto]],tProdutos[Produto],0))="",DescontoPadrao,INDEX(tProdutos[Desconto homologado],MATCH(tItens[[#This Row],[Produto]],tProdutos[Produto],0))),DescontoPadrao)</f>
        <v>0.253736324829619</v>
      </c>
      <c r="M1510" s="12">
        <f>tItens[[#This Row],[Valor]]*(1-tItens[[#This Row],[Desconto]])</f>
        <v>0</v>
      </c>
      <c r="N1510" t="str">
        <f>IFERROR(INDEX(tProdutos[Foco],MATCH(tItens[[#This Row],[Produto]],tProdutos[Produto],0)),"Não")</f>
        <v>Não</v>
      </c>
      <c r="O1510" t="str">
        <f>IFERROR(INDEX(tEditais[SRP],MATCH(tItens[[#This Row],[Edital]],tEditais[Edital],0)),"Não")</f>
        <v>Não</v>
      </c>
      <c r="P1510" s="4">
        <f>IF(COUNTIFS(INDEX(tItens[Edital],1):tItens[[#This Row],[Edital]],tItens[[#This Row],[Edital]],INDEX(tItens[Produto],1):tItens[[#This Row],[Produto]],tItens[[#This Row],[Produto]])=1,1,0)</f>
        <v>0</v>
      </c>
    </row>
    <row r="1511" spans="1:16" x14ac:dyDescent="0.25">
      <c r="A1511" t="s">
        <v>1146</v>
      </c>
      <c r="B1511">
        <v>584</v>
      </c>
      <c r="C1511" t="s">
        <v>4569</v>
      </c>
      <c r="D1511" t="s">
        <v>494</v>
      </c>
      <c r="E1511" s="13">
        <v>60</v>
      </c>
      <c r="F1511" s="12">
        <v>0</v>
      </c>
      <c r="G1511" t="str">
        <f>IFERROR(INDEX(tEditais[Órgão],MATCH(tItens[[#This Row],[Edital]],tEditais[Edital],0)),"")</f>
        <v>FUNDO MUNICIPAL DE SAUDE DE MINEIROS</v>
      </c>
      <c r="H1511" t="str">
        <f>IFERROR(INDEX(tEditais[UF],MATCH(tItens[[#This Row],[Edital]],tEditais[Edital],0)),"")</f>
        <v>GO</v>
      </c>
      <c r="I1511" s="11">
        <f>IFERROR(INDEX(tEditais[Encerramento],MATCH(tItens[[#This Row],[Edital]],tEditais[Edital],0)),"")</f>
        <v>46308.291666666664</v>
      </c>
      <c r="J1511" t="str">
        <f>IFERROR(INDEX(tProdutos[Classe],MATCH(tItens[[#This Row],[Produto]],tProdutos[Produto],0)),"produto não cadastrado")</f>
        <v>FILA REBASE</v>
      </c>
      <c r="K1511" s="12">
        <f>tItens[[#This Row],[Qtd]]*tItens[[#This Row],[Vlr unit]]</f>
        <v>0</v>
      </c>
      <c r="L1511" s="6">
        <f>IFERROR(IF(INDEX(tProdutos[Desconto homologado],MATCH(tItens[[#This Row],[Produto]],tProdutos[Produto],0))="",DescontoPadrao,INDEX(tProdutos[Desconto homologado],MATCH(tItens[[#This Row],[Produto]],tProdutos[Produto],0))),DescontoPadrao)</f>
        <v>0.253736324829619</v>
      </c>
      <c r="M1511" s="12">
        <f>tItens[[#This Row],[Valor]]*(1-tItens[[#This Row],[Desconto]])</f>
        <v>0</v>
      </c>
      <c r="N1511" t="str">
        <f>IFERROR(INDEX(tProdutos[Foco],MATCH(tItens[[#This Row],[Produto]],tProdutos[Produto],0)),"Não")</f>
        <v>Não</v>
      </c>
      <c r="O1511" t="str">
        <f>IFERROR(INDEX(tEditais[SRP],MATCH(tItens[[#This Row],[Edital]],tEditais[Edital],0)),"Não")</f>
        <v>Não</v>
      </c>
      <c r="P1511" s="4">
        <f>IF(COUNTIFS(INDEX(tItens[Edital],1):tItens[[#This Row],[Edital]],tItens[[#This Row],[Edital]],INDEX(tItens[Produto],1):tItens[[#This Row],[Produto]],tItens[[#This Row],[Produto]])=1,1,0)</f>
        <v>0</v>
      </c>
    </row>
    <row r="1512" spans="1:16" x14ac:dyDescent="0.25">
      <c r="A1512" t="s">
        <v>1146</v>
      </c>
      <c r="B1512">
        <v>585</v>
      </c>
      <c r="C1512" t="s">
        <v>4570</v>
      </c>
      <c r="D1512" t="s">
        <v>267</v>
      </c>
      <c r="E1512" s="13">
        <v>5950</v>
      </c>
      <c r="F1512" s="12">
        <v>0</v>
      </c>
      <c r="G1512" t="str">
        <f>IFERROR(INDEX(tEditais[Órgão],MATCH(tItens[[#This Row],[Edital]],tEditais[Edital],0)),"")</f>
        <v>FUNDO MUNICIPAL DE SAUDE DE MINEIROS</v>
      </c>
      <c r="H1512" t="str">
        <f>IFERROR(INDEX(tEditais[UF],MATCH(tItens[[#This Row],[Edital]],tEditais[Edital],0)),"")</f>
        <v>GO</v>
      </c>
      <c r="I1512" s="11">
        <f>IFERROR(INDEX(tEditais[Encerramento],MATCH(tItens[[#This Row],[Edital]],tEditais[Edital],0)),"")</f>
        <v>46308.291666666664</v>
      </c>
      <c r="J1512" t="str">
        <f>IFERROR(INDEX(tProdutos[Classe],MATCH(tItens[[#This Row],[Produto]],tProdutos[Produto],0)),"produto não cadastrado")</f>
        <v>FORA</v>
      </c>
      <c r="K1512" s="12">
        <f>tItens[[#This Row],[Qtd]]*tItens[[#This Row],[Vlr unit]]</f>
        <v>0</v>
      </c>
      <c r="L1512" s="6">
        <f>IFERROR(IF(INDEX(tProdutos[Desconto homologado],MATCH(tItens[[#This Row],[Produto]],tProdutos[Produto],0))="",DescontoPadrao,INDEX(tProdutos[Desconto homologado],MATCH(tItens[[#This Row],[Produto]],tProdutos[Produto],0))),DescontoPadrao)</f>
        <v>0.19963672657401599</v>
      </c>
      <c r="M1512" s="12">
        <f>tItens[[#This Row],[Valor]]*(1-tItens[[#This Row],[Desconto]])</f>
        <v>0</v>
      </c>
      <c r="N1512" t="str">
        <f>IFERROR(INDEX(tProdutos[Foco],MATCH(tItens[[#This Row],[Produto]],tProdutos[Produto],0)),"Não")</f>
        <v>Não</v>
      </c>
      <c r="O1512" t="str">
        <f>IFERROR(INDEX(tEditais[SRP],MATCH(tItens[[#This Row],[Edital]],tEditais[Edital],0)),"Não")</f>
        <v>Não</v>
      </c>
      <c r="P1512" s="4">
        <f>IF(COUNTIFS(INDEX(tItens[Edital],1):tItens[[#This Row],[Edital]],tItens[[#This Row],[Edital]],INDEX(tItens[Produto],1):tItens[[#This Row],[Produto]],tItens[[#This Row],[Produto]])=1,1,0)</f>
        <v>0</v>
      </c>
    </row>
    <row r="1513" spans="1:16" x14ac:dyDescent="0.25">
      <c r="A1513" t="s">
        <v>1146</v>
      </c>
      <c r="B1513">
        <v>586</v>
      </c>
      <c r="C1513" t="s">
        <v>4571</v>
      </c>
      <c r="D1513" t="s">
        <v>267</v>
      </c>
      <c r="E1513" s="13">
        <v>1050</v>
      </c>
      <c r="F1513" s="12">
        <v>0</v>
      </c>
      <c r="G1513" t="str">
        <f>IFERROR(INDEX(tEditais[Órgão],MATCH(tItens[[#This Row],[Edital]],tEditais[Edital],0)),"")</f>
        <v>FUNDO MUNICIPAL DE SAUDE DE MINEIROS</v>
      </c>
      <c r="H1513" t="str">
        <f>IFERROR(INDEX(tEditais[UF],MATCH(tItens[[#This Row],[Edital]],tEditais[Edital],0)),"")</f>
        <v>GO</v>
      </c>
      <c r="I1513" s="11">
        <f>IFERROR(INDEX(tEditais[Encerramento],MATCH(tItens[[#This Row],[Edital]],tEditais[Edital],0)),"")</f>
        <v>46308.291666666664</v>
      </c>
      <c r="J1513" t="str">
        <f>IFERROR(INDEX(tProdutos[Classe],MATCH(tItens[[#This Row],[Produto]],tProdutos[Produto],0)),"produto não cadastrado")</f>
        <v>FORA</v>
      </c>
      <c r="K1513" s="12">
        <f>tItens[[#This Row],[Qtd]]*tItens[[#This Row],[Vlr unit]]</f>
        <v>0</v>
      </c>
      <c r="L1513" s="6">
        <f>IFERROR(IF(INDEX(tProdutos[Desconto homologado],MATCH(tItens[[#This Row],[Produto]],tProdutos[Produto],0))="",DescontoPadrao,INDEX(tProdutos[Desconto homologado],MATCH(tItens[[#This Row],[Produto]],tProdutos[Produto],0))),DescontoPadrao)</f>
        <v>0.19963672657401599</v>
      </c>
      <c r="M1513" s="12">
        <f>tItens[[#This Row],[Valor]]*(1-tItens[[#This Row],[Desconto]])</f>
        <v>0</v>
      </c>
      <c r="N1513" t="str">
        <f>IFERROR(INDEX(tProdutos[Foco],MATCH(tItens[[#This Row],[Produto]],tProdutos[Produto],0)),"Não")</f>
        <v>Não</v>
      </c>
      <c r="O1513" t="str">
        <f>IFERROR(INDEX(tEditais[SRP],MATCH(tItens[[#This Row],[Edital]],tEditais[Edital],0)),"Não")</f>
        <v>Não</v>
      </c>
      <c r="P1513" s="4">
        <f>IF(COUNTIFS(INDEX(tItens[Edital],1):tItens[[#This Row],[Edital]],tItens[[#This Row],[Edital]],INDEX(tItens[Produto],1):tItens[[#This Row],[Produto]],tItens[[#This Row],[Produto]])=1,1,0)</f>
        <v>0</v>
      </c>
    </row>
    <row r="1514" spans="1:16" x14ac:dyDescent="0.25">
      <c r="A1514" t="s">
        <v>1146</v>
      </c>
      <c r="B1514">
        <v>598</v>
      </c>
      <c r="C1514" t="s">
        <v>4572</v>
      </c>
      <c r="D1514" t="s">
        <v>694</v>
      </c>
      <c r="E1514" s="13">
        <v>60</v>
      </c>
      <c r="F1514" s="12">
        <v>0</v>
      </c>
      <c r="G1514" t="str">
        <f>IFERROR(INDEX(tEditais[Órgão],MATCH(tItens[[#This Row],[Edital]],tEditais[Edital],0)),"")</f>
        <v>FUNDO MUNICIPAL DE SAUDE DE MINEIROS</v>
      </c>
      <c r="H1514" t="str">
        <f>IFERROR(INDEX(tEditais[UF],MATCH(tItens[[#This Row],[Edital]],tEditais[Edital],0)),"")</f>
        <v>GO</v>
      </c>
      <c r="I1514" s="11">
        <f>IFERROR(INDEX(tEditais[Encerramento],MATCH(tItens[[#This Row],[Edital]],tEditais[Edital],0)),"")</f>
        <v>46308.291666666664</v>
      </c>
      <c r="J1514" t="str">
        <f>IFERROR(INDEX(tProdutos[Classe],MATCH(tItens[[#This Row],[Produto]],tProdutos[Produto],0)),"produto não cadastrado")</f>
        <v>FILA REBASE</v>
      </c>
      <c r="K1514" s="12">
        <f>tItens[[#This Row],[Qtd]]*tItens[[#This Row],[Vlr unit]]</f>
        <v>0</v>
      </c>
      <c r="L1514" s="6">
        <f>IFERROR(IF(INDEX(tProdutos[Desconto homologado],MATCH(tItens[[#This Row],[Produto]],tProdutos[Produto],0))="",DescontoPadrao,INDEX(tProdutos[Desconto homologado],MATCH(tItens[[#This Row],[Produto]],tProdutos[Produto],0))),DescontoPadrao)</f>
        <v>0.61577111781048699</v>
      </c>
      <c r="M1514" s="12">
        <f>tItens[[#This Row],[Valor]]*(1-tItens[[#This Row],[Desconto]])</f>
        <v>0</v>
      </c>
      <c r="N1514" t="str">
        <f>IFERROR(INDEX(tProdutos[Foco],MATCH(tItens[[#This Row],[Produto]],tProdutos[Produto],0)),"Não")</f>
        <v>Não</v>
      </c>
      <c r="O1514" t="str">
        <f>IFERROR(INDEX(tEditais[SRP],MATCH(tItens[[#This Row],[Edital]],tEditais[Edital],0)),"Não")</f>
        <v>Não</v>
      </c>
      <c r="P1514" s="4">
        <f>IF(COUNTIFS(INDEX(tItens[Edital],1):tItens[[#This Row],[Edital]],tItens[[#This Row],[Edital]],INDEX(tItens[Produto],1):tItens[[#This Row],[Produto]],tItens[[#This Row],[Produto]])=1,1,0)</f>
        <v>0</v>
      </c>
    </row>
    <row r="1515" spans="1:16" x14ac:dyDescent="0.25">
      <c r="A1515" t="s">
        <v>1146</v>
      </c>
      <c r="B1515">
        <v>615</v>
      </c>
      <c r="C1515" t="s">
        <v>4573</v>
      </c>
      <c r="D1515" t="s">
        <v>275</v>
      </c>
      <c r="E1515" s="13">
        <v>56950</v>
      </c>
      <c r="F1515" s="12">
        <v>0</v>
      </c>
      <c r="G1515" t="str">
        <f>IFERROR(INDEX(tEditais[Órgão],MATCH(tItens[[#This Row],[Edital]],tEditais[Edital],0)),"")</f>
        <v>FUNDO MUNICIPAL DE SAUDE DE MINEIROS</v>
      </c>
      <c r="H1515" t="str">
        <f>IFERROR(INDEX(tEditais[UF],MATCH(tItens[[#This Row],[Edital]],tEditais[Edital],0)),"")</f>
        <v>GO</v>
      </c>
      <c r="I1515" s="11">
        <f>IFERROR(INDEX(tEditais[Encerramento],MATCH(tItens[[#This Row],[Edital]],tEditais[Edital],0)),"")</f>
        <v>46308.291666666664</v>
      </c>
      <c r="J1515" t="str">
        <f>IFERROR(INDEX(tProdutos[Classe],MATCH(tItens[[#This Row],[Produto]],tProdutos[Produto],0)),"produto não cadastrado")</f>
        <v>FORA</v>
      </c>
      <c r="K1515" s="12">
        <f>tItens[[#This Row],[Qtd]]*tItens[[#This Row],[Vlr unit]]</f>
        <v>0</v>
      </c>
      <c r="L1515" s="6">
        <f>IFERROR(IF(INDEX(tProdutos[Desconto homologado],MATCH(tItens[[#This Row],[Produto]],tProdutos[Produto],0))="",DescontoPadrao,INDEX(tProdutos[Desconto homologado],MATCH(tItens[[#This Row],[Produto]],tProdutos[Produto],0))),DescontoPadrao)</f>
        <v>0.405797101449275</v>
      </c>
      <c r="M1515" s="12">
        <f>tItens[[#This Row],[Valor]]*(1-tItens[[#This Row],[Desconto]])</f>
        <v>0</v>
      </c>
      <c r="N1515" t="str">
        <f>IFERROR(INDEX(tProdutos[Foco],MATCH(tItens[[#This Row],[Produto]],tProdutos[Produto],0)),"Não")</f>
        <v>Não</v>
      </c>
      <c r="O1515" t="str">
        <f>IFERROR(INDEX(tEditais[SRP],MATCH(tItens[[#This Row],[Edital]],tEditais[Edital],0)),"Não")</f>
        <v>Não</v>
      </c>
      <c r="P1515" s="4">
        <f>IF(COUNTIFS(INDEX(tItens[Edital],1):tItens[[#This Row],[Edital]],tItens[[#This Row],[Edital]],INDEX(tItens[Produto],1):tItens[[#This Row],[Produto]],tItens[[#This Row],[Produto]])=1,1,0)</f>
        <v>1</v>
      </c>
    </row>
    <row r="1516" spans="1:16" x14ac:dyDescent="0.25">
      <c r="A1516" t="s">
        <v>1146</v>
      </c>
      <c r="B1516">
        <v>616</v>
      </c>
      <c r="C1516" t="s">
        <v>4574</v>
      </c>
      <c r="D1516" t="s">
        <v>275</v>
      </c>
      <c r="E1516" s="13">
        <v>10050</v>
      </c>
      <c r="F1516" s="12">
        <v>0</v>
      </c>
      <c r="G1516" t="str">
        <f>IFERROR(INDEX(tEditais[Órgão],MATCH(tItens[[#This Row],[Edital]],tEditais[Edital],0)),"")</f>
        <v>FUNDO MUNICIPAL DE SAUDE DE MINEIROS</v>
      </c>
      <c r="H1516" t="str">
        <f>IFERROR(INDEX(tEditais[UF],MATCH(tItens[[#This Row],[Edital]],tEditais[Edital],0)),"")</f>
        <v>GO</v>
      </c>
      <c r="I1516" s="11">
        <f>IFERROR(INDEX(tEditais[Encerramento],MATCH(tItens[[#This Row],[Edital]],tEditais[Edital],0)),"")</f>
        <v>46308.291666666664</v>
      </c>
      <c r="J1516" t="str">
        <f>IFERROR(INDEX(tProdutos[Classe],MATCH(tItens[[#This Row],[Produto]],tProdutos[Produto],0)),"produto não cadastrado")</f>
        <v>FORA</v>
      </c>
      <c r="K1516" s="12">
        <f>tItens[[#This Row],[Qtd]]*tItens[[#This Row],[Vlr unit]]</f>
        <v>0</v>
      </c>
      <c r="L1516" s="6">
        <f>IFERROR(IF(INDEX(tProdutos[Desconto homologado],MATCH(tItens[[#This Row],[Produto]],tProdutos[Produto],0))="",DescontoPadrao,INDEX(tProdutos[Desconto homologado],MATCH(tItens[[#This Row],[Produto]],tProdutos[Produto],0))),DescontoPadrao)</f>
        <v>0.405797101449275</v>
      </c>
      <c r="M1516" s="12">
        <f>tItens[[#This Row],[Valor]]*(1-tItens[[#This Row],[Desconto]])</f>
        <v>0</v>
      </c>
      <c r="N1516" t="str">
        <f>IFERROR(INDEX(tProdutos[Foco],MATCH(tItens[[#This Row],[Produto]],tProdutos[Produto],0)),"Não")</f>
        <v>Não</v>
      </c>
      <c r="O1516" t="str">
        <f>IFERROR(INDEX(tEditais[SRP],MATCH(tItens[[#This Row],[Edital]],tEditais[Edital],0)),"Não")</f>
        <v>Não</v>
      </c>
      <c r="P1516" s="4">
        <f>IF(COUNTIFS(INDEX(tItens[Edital],1):tItens[[#This Row],[Edital]],tItens[[#This Row],[Edital]],INDEX(tItens[Produto],1):tItens[[#This Row],[Produto]],tItens[[#This Row],[Produto]])=1,1,0)</f>
        <v>0</v>
      </c>
    </row>
    <row r="1517" spans="1:16" x14ac:dyDescent="0.25">
      <c r="A1517" t="s">
        <v>1146</v>
      </c>
      <c r="B1517">
        <v>617</v>
      </c>
      <c r="C1517" t="s">
        <v>4575</v>
      </c>
      <c r="D1517" t="s">
        <v>275</v>
      </c>
      <c r="E1517" s="13">
        <v>80000</v>
      </c>
      <c r="F1517" s="12">
        <v>0</v>
      </c>
      <c r="G1517" t="str">
        <f>IFERROR(INDEX(tEditais[Órgão],MATCH(tItens[[#This Row],[Edital]],tEditais[Edital],0)),"")</f>
        <v>FUNDO MUNICIPAL DE SAUDE DE MINEIROS</v>
      </c>
      <c r="H1517" t="str">
        <f>IFERROR(INDEX(tEditais[UF],MATCH(tItens[[#This Row],[Edital]],tEditais[Edital],0)),"")</f>
        <v>GO</v>
      </c>
      <c r="I1517" s="11">
        <f>IFERROR(INDEX(tEditais[Encerramento],MATCH(tItens[[#This Row],[Edital]],tEditais[Edital],0)),"")</f>
        <v>46308.291666666664</v>
      </c>
      <c r="J1517" t="str">
        <f>IFERROR(INDEX(tProdutos[Classe],MATCH(tItens[[#This Row],[Produto]],tProdutos[Produto],0)),"produto não cadastrado")</f>
        <v>FORA</v>
      </c>
      <c r="K1517" s="12">
        <f>tItens[[#This Row],[Qtd]]*tItens[[#This Row],[Vlr unit]]</f>
        <v>0</v>
      </c>
      <c r="L1517" s="6">
        <f>IFERROR(IF(INDEX(tProdutos[Desconto homologado],MATCH(tItens[[#This Row],[Produto]],tProdutos[Produto],0))="",DescontoPadrao,INDEX(tProdutos[Desconto homologado],MATCH(tItens[[#This Row],[Produto]],tProdutos[Produto],0))),DescontoPadrao)</f>
        <v>0.405797101449275</v>
      </c>
      <c r="M1517" s="12">
        <f>tItens[[#This Row],[Valor]]*(1-tItens[[#This Row],[Desconto]])</f>
        <v>0</v>
      </c>
      <c r="N1517" t="str">
        <f>IFERROR(INDEX(tProdutos[Foco],MATCH(tItens[[#This Row],[Produto]],tProdutos[Produto],0)),"Não")</f>
        <v>Não</v>
      </c>
      <c r="O1517" t="str">
        <f>IFERROR(INDEX(tEditais[SRP],MATCH(tItens[[#This Row],[Edital]],tEditais[Edital],0)),"Não")</f>
        <v>Não</v>
      </c>
      <c r="P1517" s="4">
        <f>IF(COUNTIFS(INDEX(tItens[Edital],1):tItens[[#This Row],[Edital]],tItens[[#This Row],[Edital]],INDEX(tItens[Produto],1):tItens[[#This Row],[Produto]],tItens[[#This Row],[Produto]])=1,1,0)</f>
        <v>0</v>
      </c>
    </row>
    <row r="1518" spans="1:16" x14ac:dyDescent="0.25">
      <c r="A1518" t="s">
        <v>1146</v>
      </c>
      <c r="B1518">
        <v>618</v>
      </c>
      <c r="C1518" t="s">
        <v>4576</v>
      </c>
      <c r="D1518" t="s">
        <v>275</v>
      </c>
      <c r="E1518" s="13">
        <v>119000</v>
      </c>
      <c r="F1518" s="12">
        <v>0</v>
      </c>
      <c r="G1518" t="str">
        <f>IFERROR(INDEX(tEditais[Órgão],MATCH(tItens[[#This Row],[Edital]],tEditais[Edital],0)),"")</f>
        <v>FUNDO MUNICIPAL DE SAUDE DE MINEIROS</v>
      </c>
      <c r="H1518" t="str">
        <f>IFERROR(INDEX(tEditais[UF],MATCH(tItens[[#This Row],[Edital]],tEditais[Edital],0)),"")</f>
        <v>GO</v>
      </c>
      <c r="I1518" s="11">
        <f>IFERROR(INDEX(tEditais[Encerramento],MATCH(tItens[[#This Row],[Edital]],tEditais[Edital],0)),"")</f>
        <v>46308.291666666664</v>
      </c>
      <c r="J1518" t="str">
        <f>IFERROR(INDEX(tProdutos[Classe],MATCH(tItens[[#This Row],[Produto]],tProdutos[Produto],0)),"produto não cadastrado")</f>
        <v>FORA</v>
      </c>
      <c r="K1518" s="12">
        <f>tItens[[#This Row],[Qtd]]*tItens[[#This Row],[Vlr unit]]</f>
        <v>0</v>
      </c>
      <c r="L1518" s="6">
        <f>IFERROR(IF(INDEX(tProdutos[Desconto homologado],MATCH(tItens[[#This Row],[Produto]],tProdutos[Produto],0))="",DescontoPadrao,INDEX(tProdutos[Desconto homologado],MATCH(tItens[[#This Row],[Produto]],tProdutos[Produto],0))),DescontoPadrao)</f>
        <v>0.405797101449275</v>
      </c>
      <c r="M1518" s="12">
        <f>tItens[[#This Row],[Valor]]*(1-tItens[[#This Row],[Desconto]])</f>
        <v>0</v>
      </c>
      <c r="N1518" t="str">
        <f>IFERROR(INDEX(tProdutos[Foco],MATCH(tItens[[#This Row],[Produto]],tProdutos[Produto],0)),"Não")</f>
        <v>Não</v>
      </c>
      <c r="O1518" t="str">
        <f>IFERROR(INDEX(tEditais[SRP],MATCH(tItens[[#This Row],[Edital]],tEditais[Edital],0)),"Não")</f>
        <v>Não</v>
      </c>
      <c r="P1518" s="4">
        <f>IF(COUNTIFS(INDEX(tItens[Edital],1):tItens[[#This Row],[Edital]],tItens[[#This Row],[Edital]],INDEX(tItens[Produto],1):tItens[[#This Row],[Produto]],tItens[[#This Row],[Produto]])=1,1,0)</f>
        <v>0</v>
      </c>
    </row>
    <row r="1519" spans="1:16" x14ac:dyDescent="0.25">
      <c r="A1519" t="s">
        <v>1146</v>
      </c>
      <c r="B1519">
        <v>619</v>
      </c>
      <c r="C1519" t="s">
        <v>4577</v>
      </c>
      <c r="D1519" t="s">
        <v>275</v>
      </c>
      <c r="E1519" s="13">
        <v>21000</v>
      </c>
      <c r="F1519" s="12">
        <v>0</v>
      </c>
      <c r="G1519" t="str">
        <f>IFERROR(INDEX(tEditais[Órgão],MATCH(tItens[[#This Row],[Edital]],tEditais[Edital],0)),"")</f>
        <v>FUNDO MUNICIPAL DE SAUDE DE MINEIROS</v>
      </c>
      <c r="H1519" t="str">
        <f>IFERROR(INDEX(tEditais[UF],MATCH(tItens[[#This Row],[Edital]],tEditais[Edital],0)),"")</f>
        <v>GO</v>
      </c>
      <c r="I1519" s="11">
        <f>IFERROR(INDEX(tEditais[Encerramento],MATCH(tItens[[#This Row],[Edital]],tEditais[Edital],0)),"")</f>
        <v>46308.291666666664</v>
      </c>
      <c r="J1519" t="str">
        <f>IFERROR(INDEX(tProdutos[Classe],MATCH(tItens[[#This Row],[Produto]],tProdutos[Produto],0)),"produto não cadastrado")</f>
        <v>FORA</v>
      </c>
      <c r="K1519" s="12">
        <f>tItens[[#This Row],[Qtd]]*tItens[[#This Row],[Vlr unit]]</f>
        <v>0</v>
      </c>
      <c r="L1519" s="6">
        <f>IFERROR(IF(INDEX(tProdutos[Desconto homologado],MATCH(tItens[[#This Row],[Produto]],tProdutos[Produto],0))="",DescontoPadrao,INDEX(tProdutos[Desconto homologado],MATCH(tItens[[#This Row],[Produto]],tProdutos[Produto],0))),DescontoPadrao)</f>
        <v>0.405797101449275</v>
      </c>
      <c r="M1519" s="12">
        <f>tItens[[#This Row],[Valor]]*(1-tItens[[#This Row],[Desconto]])</f>
        <v>0</v>
      </c>
      <c r="N1519" t="str">
        <f>IFERROR(INDEX(tProdutos[Foco],MATCH(tItens[[#This Row],[Produto]],tProdutos[Produto],0)),"Não")</f>
        <v>Não</v>
      </c>
      <c r="O1519" t="str">
        <f>IFERROR(INDEX(tEditais[SRP],MATCH(tItens[[#This Row],[Edital]],tEditais[Edital],0)),"Não")</f>
        <v>Não</v>
      </c>
      <c r="P1519" s="4">
        <f>IF(COUNTIFS(INDEX(tItens[Edital],1):tItens[[#This Row],[Edital]],tItens[[#This Row],[Edital]],INDEX(tItens[Produto],1):tItens[[#This Row],[Produto]],tItens[[#This Row],[Produto]])=1,1,0)</f>
        <v>0</v>
      </c>
    </row>
    <row r="1520" spans="1:16" x14ac:dyDescent="0.25">
      <c r="A1520" t="s">
        <v>1146</v>
      </c>
      <c r="B1520">
        <v>620</v>
      </c>
      <c r="C1520" t="s">
        <v>4578</v>
      </c>
      <c r="D1520" t="s">
        <v>275</v>
      </c>
      <c r="E1520" s="13">
        <v>119000</v>
      </c>
      <c r="F1520" s="12">
        <v>0</v>
      </c>
      <c r="G1520" t="str">
        <f>IFERROR(INDEX(tEditais[Órgão],MATCH(tItens[[#This Row],[Edital]],tEditais[Edital],0)),"")</f>
        <v>FUNDO MUNICIPAL DE SAUDE DE MINEIROS</v>
      </c>
      <c r="H1520" t="str">
        <f>IFERROR(INDEX(tEditais[UF],MATCH(tItens[[#This Row],[Edital]],tEditais[Edital],0)),"")</f>
        <v>GO</v>
      </c>
      <c r="I1520" s="11">
        <f>IFERROR(INDEX(tEditais[Encerramento],MATCH(tItens[[#This Row],[Edital]],tEditais[Edital],0)),"")</f>
        <v>46308.291666666664</v>
      </c>
      <c r="J1520" t="str">
        <f>IFERROR(INDEX(tProdutos[Classe],MATCH(tItens[[#This Row],[Produto]],tProdutos[Produto],0)),"produto não cadastrado")</f>
        <v>FORA</v>
      </c>
      <c r="K1520" s="12">
        <f>tItens[[#This Row],[Qtd]]*tItens[[#This Row],[Vlr unit]]</f>
        <v>0</v>
      </c>
      <c r="L1520" s="6">
        <f>IFERROR(IF(INDEX(tProdutos[Desconto homologado],MATCH(tItens[[#This Row],[Produto]],tProdutos[Produto],0))="",DescontoPadrao,INDEX(tProdutos[Desconto homologado],MATCH(tItens[[#This Row],[Produto]],tProdutos[Produto],0))),DescontoPadrao)</f>
        <v>0.405797101449275</v>
      </c>
      <c r="M1520" s="12">
        <f>tItens[[#This Row],[Valor]]*(1-tItens[[#This Row],[Desconto]])</f>
        <v>0</v>
      </c>
      <c r="N1520" t="str">
        <f>IFERROR(INDEX(tProdutos[Foco],MATCH(tItens[[#This Row],[Produto]],tProdutos[Produto],0)),"Não")</f>
        <v>Não</v>
      </c>
      <c r="O1520" t="str">
        <f>IFERROR(INDEX(tEditais[SRP],MATCH(tItens[[#This Row],[Edital]],tEditais[Edital],0)),"Não")</f>
        <v>Não</v>
      </c>
      <c r="P1520" s="4">
        <f>IF(COUNTIFS(INDEX(tItens[Edital],1):tItens[[#This Row],[Edital]],tItens[[#This Row],[Edital]],INDEX(tItens[Produto],1):tItens[[#This Row],[Produto]],tItens[[#This Row],[Produto]])=1,1,0)</f>
        <v>0</v>
      </c>
    </row>
    <row r="1521" spans="1:16" x14ac:dyDescent="0.25">
      <c r="A1521" t="s">
        <v>1146</v>
      </c>
      <c r="B1521">
        <v>621</v>
      </c>
      <c r="C1521" t="s">
        <v>4579</v>
      </c>
      <c r="D1521" t="s">
        <v>275</v>
      </c>
      <c r="E1521" s="13">
        <v>21000</v>
      </c>
      <c r="F1521" s="12">
        <v>0</v>
      </c>
      <c r="G1521" t="str">
        <f>IFERROR(INDEX(tEditais[Órgão],MATCH(tItens[[#This Row],[Edital]],tEditais[Edital],0)),"")</f>
        <v>FUNDO MUNICIPAL DE SAUDE DE MINEIROS</v>
      </c>
      <c r="H1521" t="str">
        <f>IFERROR(INDEX(tEditais[UF],MATCH(tItens[[#This Row],[Edital]],tEditais[Edital],0)),"")</f>
        <v>GO</v>
      </c>
      <c r="I1521" s="11">
        <f>IFERROR(INDEX(tEditais[Encerramento],MATCH(tItens[[#This Row],[Edital]],tEditais[Edital],0)),"")</f>
        <v>46308.291666666664</v>
      </c>
      <c r="J1521" t="str">
        <f>IFERROR(INDEX(tProdutos[Classe],MATCH(tItens[[#This Row],[Produto]],tProdutos[Produto],0)),"produto não cadastrado")</f>
        <v>FORA</v>
      </c>
      <c r="K1521" s="12">
        <f>tItens[[#This Row],[Qtd]]*tItens[[#This Row],[Vlr unit]]</f>
        <v>0</v>
      </c>
      <c r="L1521" s="6">
        <f>IFERROR(IF(INDEX(tProdutos[Desconto homologado],MATCH(tItens[[#This Row],[Produto]],tProdutos[Produto],0))="",DescontoPadrao,INDEX(tProdutos[Desconto homologado],MATCH(tItens[[#This Row],[Produto]],tProdutos[Produto],0))),DescontoPadrao)</f>
        <v>0.405797101449275</v>
      </c>
      <c r="M1521" s="12">
        <f>tItens[[#This Row],[Valor]]*(1-tItens[[#This Row],[Desconto]])</f>
        <v>0</v>
      </c>
      <c r="N1521" t="str">
        <f>IFERROR(INDEX(tProdutos[Foco],MATCH(tItens[[#This Row],[Produto]],tProdutos[Produto],0)),"Não")</f>
        <v>Não</v>
      </c>
      <c r="O1521" t="str">
        <f>IFERROR(INDEX(tEditais[SRP],MATCH(tItens[[#This Row],[Edital]],tEditais[Edital],0)),"Não")</f>
        <v>Não</v>
      </c>
      <c r="P1521" s="4">
        <f>IF(COUNTIFS(INDEX(tItens[Edital],1):tItens[[#This Row],[Edital]],tItens[[#This Row],[Edital]],INDEX(tItens[Produto],1):tItens[[#This Row],[Produto]],tItens[[#This Row],[Produto]])=1,1,0)</f>
        <v>0</v>
      </c>
    </row>
    <row r="1522" spans="1:16" x14ac:dyDescent="0.25">
      <c r="A1522" t="s">
        <v>1146</v>
      </c>
      <c r="B1522">
        <v>622</v>
      </c>
      <c r="C1522" t="s">
        <v>4580</v>
      </c>
      <c r="D1522" t="s">
        <v>275</v>
      </c>
      <c r="E1522" s="13">
        <v>42500</v>
      </c>
      <c r="F1522" s="12">
        <v>0</v>
      </c>
      <c r="G1522" t="str">
        <f>IFERROR(INDEX(tEditais[Órgão],MATCH(tItens[[#This Row],[Edital]],tEditais[Edital],0)),"")</f>
        <v>FUNDO MUNICIPAL DE SAUDE DE MINEIROS</v>
      </c>
      <c r="H1522" t="str">
        <f>IFERROR(INDEX(tEditais[UF],MATCH(tItens[[#This Row],[Edital]],tEditais[Edital],0)),"")</f>
        <v>GO</v>
      </c>
      <c r="I1522" s="11">
        <f>IFERROR(INDEX(tEditais[Encerramento],MATCH(tItens[[#This Row],[Edital]],tEditais[Edital],0)),"")</f>
        <v>46308.291666666664</v>
      </c>
      <c r="J1522" t="str">
        <f>IFERROR(INDEX(tProdutos[Classe],MATCH(tItens[[#This Row],[Produto]],tProdutos[Produto],0)),"produto não cadastrado")</f>
        <v>FORA</v>
      </c>
      <c r="K1522" s="12">
        <f>tItens[[#This Row],[Qtd]]*tItens[[#This Row],[Vlr unit]]</f>
        <v>0</v>
      </c>
      <c r="L1522" s="6">
        <f>IFERROR(IF(INDEX(tProdutos[Desconto homologado],MATCH(tItens[[#This Row],[Produto]],tProdutos[Produto],0))="",DescontoPadrao,INDEX(tProdutos[Desconto homologado],MATCH(tItens[[#This Row],[Produto]],tProdutos[Produto],0))),DescontoPadrao)</f>
        <v>0.405797101449275</v>
      </c>
      <c r="M1522" s="12">
        <f>tItens[[#This Row],[Valor]]*(1-tItens[[#This Row],[Desconto]])</f>
        <v>0</v>
      </c>
      <c r="N1522" t="str">
        <f>IFERROR(INDEX(tProdutos[Foco],MATCH(tItens[[#This Row],[Produto]],tProdutos[Produto],0)),"Não")</f>
        <v>Não</v>
      </c>
      <c r="O1522" t="str">
        <f>IFERROR(INDEX(tEditais[SRP],MATCH(tItens[[#This Row],[Edital]],tEditais[Edital],0)),"Não")</f>
        <v>Não</v>
      </c>
      <c r="P1522" s="4">
        <f>IF(COUNTIFS(INDEX(tItens[Edital],1):tItens[[#This Row],[Edital]],tItens[[#This Row],[Edital]],INDEX(tItens[Produto],1):tItens[[#This Row],[Produto]],tItens[[#This Row],[Produto]])=1,1,0)</f>
        <v>0</v>
      </c>
    </row>
    <row r="1523" spans="1:16" x14ac:dyDescent="0.25">
      <c r="A1523" t="s">
        <v>1146</v>
      </c>
      <c r="B1523">
        <v>623</v>
      </c>
      <c r="C1523" t="s">
        <v>4581</v>
      </c>
      <c r="D1523" t="s">
        <v>275</v>
      </c>
      <c r="E1523" s="13">
        <v>7500</v>
      </c>
      <c r="F1523" s="12">
        <v>0</v>
      </c>
      <c r="G1523" t="str">
        <f>IFERROR(INDEX(tEditais[Órgão],MATCH(tItens[[#This Row],[Edital]],tEditais[Edital],0)),"")</f>
        <v>FUNDO MUNICIPAL DE SAUDE DE MINEIROS</v>
      </c>
      <c r="H1523" t="str">
        <f>IFERROR(INDEX(tEditais[UF],MATCH(tItens[[#This Row],[Edital]],tEditais[Edital],0)),"")</f>
        <v>GO</v>
      </c>
      <c r="I1523" s="11">
        <f>IFERROR(INDEX(tEditais[Encerramento],MATCH(tItens[[#This Row],[Edital]],tEditais[Edital],0)),"")</f>
        <v>46308.291666666664</v>
      </c>
      <c r="J1523" t="str">
        <f>IFERROR(INDEX(tProdutos[Classe],MATCH(tItens[[#This Row],[Produto]],tProdutos[Produto],0)),"produto não cadastrado")</f>
        <v>FORA</v>
      </c>
      <c r="K1523" s="12">
        <f>tItens[[#This Row],[Qtd]]*tItens[[#This Row],[Vlr unit]]</f>
        <v>0</v>
      </c>
      <c r="L1523" s="6">
        <f>IFERROR(IF(INDEX(tProdutos[Desconto homologado],MATCH(tItens[[#This Row],[Produto]],tProdutos[Produto],0))="",DescontoPadrao,INDEX(tProdutos[Desconto homologado],MATCH(tItens[[#This Row],[Produto]],tProdutos[Produto],0))),DescontoPadrao)</f>
        <v>0.405797101449275</v>
      </c>
      <c r="M1523" s="12">
        <f>tItens[[#This Row],[Valor]]*(1-tItens[[#This Row],[Desconto]])</f>
        <v>0</v>
      </c>
      <c r="N1523" t="str">
        <f>IFERROR(INDEX(tProdutos[Foco],MATCH(tItens[[#This Row],[Produto]],tProdutos[Produto],0)),"Não")</f>
        <v>Não</v>
      </c>
      <c r="O1523" t="str">
        <f>IFERROR(INDEX(tEditais[SRP],MATCH(tItens[[#This Row],[Edital]],tEditais[Edital],0)),"Não")</f>
        <v>Não</v>
      </c>
      <c r="P1523" s="4">
        <f>IF(COUNTIFS(INDEX(tItens[Edital],1):tItens[[#This Row],[Edital]],tItens[[#This Row],[Edital]],INDEX(tItens[Produto],1):tItens[[#This Row],[Produto]],tItens[[#This Row],[Produto]])=1,1,0)</f>
        <v>0</v>
      </c>
    </row>
    <row r="1524" spans="1:16" x14ac:dyDescent="0.25">
      <c r="A1524" t="s">
        <v>1146</v>
      </c>
      <c r="B1524">
        <v>624</v>
      </c>
      <c r="C1524" t="s">
        <v>4582</v>
      </c>
      <c r="D1524" t="s">
        <v>283</v>
      </c>
      <c r="E1524" s="13">
        <v>140000</v>
      </c>
      <c r="F1524" s="12">
        <v>0</v>
      </c>
      <c r="G1524" t="str">
        <f>IFERROR(INDEX(tEditais[Órgão],MATCH(tItens[[#This Row],[Edital]],tEditais[Edital],0)),"")</f>
        <v>FUNDO MUNICIPAL DE SAUDE DE MINEIROS</v>
      </c>
      <c r="H1524" t="str">
        <f>IFERROR(INDEX(tEditais[UF],MATCH(tItens[[#This Row],[Edital]],tEditais[Edital],0)),"")</f>
        <v>GO</v>
      </c>
      <c r="I1524" s="11">
        <f>IFERROR(INDEX(tEditais[Encerramento],MATCH(tItens[[#This Row],[Edital]],tEditais[Edital],0)),"")</f>
        <v>46308.291666666664</v>
      </c>
      <c r="J1524" t="str">
        <f>IFERROR(INDEX(tProdutos[Classe],MATCH(tItens[[#This Row],[Produto]],tProdutos[Produto],0)),"produto não cadastrado")</f>
        <v>FORA</v>
      </c>
      <c r="K1524" s="12">
        <f>tItens[[#This Row],[Qtd]]*tItens[[#This Row],[Vlr unit]]</f>
        <v>0</v>
      </c>
      <c r="L1524" s="6">
        <f>IFERROR(IF(INDEX(tProdutos[Desconto homologado],MATCH(tItens[[#This Row],[Produto]],tProdutos[Produto],0))="",DescontoPadrao,INDEX(tProdutos[Desconto homologado],MATCH(tItens[[#This Row],[Produto]],tProdutos[Produto],0))),DescontoPadrao)</f>
        <v>0.40540540540540498</v>
      </c>
      <c r="M1524" s="12">
        <f>tItens[[#This Row],[Valor]]*(1-tItens[[#This Row],[Desconto]])</f>
        <v>0</v>
      </c>
      <c r="N1524" t="str">
        <f>IFERROR(INDEX(tProdutos[Foco],MATCH(tItens[[#This Row],[Produto]],tProdutos[Produto],0)),"Não")</f>
        <v>Não</v>
      </c>
      <c r="O1524" t="str">
        <f>IFERROR(INDEX(tEditais[SRP],MATCH(tItens[[#This Row],[Edital]],tEditais[Edital],0)),"Não")</f>
        <v>Não</v>
      </c>
      <c r="P1524" s="4">
        <f>IF(COUNTIFS(INDEX(tItens[Edital],1):tItens[[#This Row],[Edital]],tItens[[#This Row],[Edital]],INDEX(tItens[Produto],1):tItens[[#This Row],[Produto]],tItens[[#This Row],[Produto]])=1,1,0)</f>
        <v>1</v>
      </c>
    </row>
    <row r="1525" spans="1:16" x14ac:dyDescent="0.25">
      <c r="A1525" t="s">
        <v>1146</v>
      </c>
      <c r="B1525">
        <v>625</v>
      </c>
      <c r="C1525" t="s">
        <v>4583</v>
      </c>
      <c r="D1525" t="s">
        <v>265</v>
      </c>
      <c r="E1525" s="13">
        <v>120000</v>
      </c>
      <c r="F1525" s="12">
        <v>0</v>
      </c>
      <c r="G1525" t="str">
        <f>IFERROR(INDEX(tEditais[Órgão],MATCH(tItens[[#This Row],[Edital]],tEditais[Edital],0)),"")</f>
        <v>FUNDO MUNICIPAL DE SAUDE DE MINEIROS</v>
      </c>
      <c r="H1525" t="str">
        <f>IFERROR(INDEX(tEditais[UF],MATCH(tItens[[#This Row],[Edital]],tEditais[Edital],0)),"")</f>
        <v>GO</v>
      </c>
      <c r="I1525" s="11">
        <f>IFERROR(INDEX(tEditais[Encerramento],MATCH(tItens[[#This Row],[Edital]],tEditais[Edital],0)),"")</f>
        <v>46308.291666666664</v>
      </c>
      <c r="J1525" t="str">
        <f>IFERROR(INDEX(tProdutos[Classe],MATCH(tItens[[#This Row],[Produto]],tProdutos[Produto],0)),"produto não cadastrado")</f>
        <v>DISPUTADO</v>
      </c>
      <c r="K1525" s="12">
        <f>tItens[[#This Row],[Qtd]]*tItens[[#This Row],[Vlr unit]]</f>
        <v>0</v>
      </c>
      <c r="L1525" s="6">
        <f>IFERROR(IF(INDEX(tProdutos[Desconto homologado],MATCH(tItens[[#This Row],[Produto]],tProdutos[Produto],0))="",DescontoPadrao,INDEX(tProdutos[Desconto homologado],MATCH(tItens[[#This Row],[Produto]],tProdutos[Produto],0))),DescontoPadrao)</f>
        <v>0.377587663709337</v>
      </c>
      <c r="M1525" s="12">
        <f>tItens[[#This Row],[Valor]]*(1-tItens[[#This Row],[Desconto]])</f>
        <v>0</v>
      </c>
      <c r="N1525" t="str">
        <f>IFERROR(INDEX(tProdutos[Foco],MATCH(tItens[[#This Row],[Produto]],tProdutos[Produto],0)),"Não")</f>
        <v>Não</v>
      </c>
      <c r="O1525" t="str">
        <f>IFERROR(INDEX(tEditais[SRP],MATCH(tItens[[#This Row],[Edital]],tEditais[Edital],0)),"Não")</f>
        <v>Não</v>
      </c>
      <c r="P1525" s="4">
        <f>IF(COUNTIFS(INDEX(tItens[Edital],1):tItens[[#This Row],[Edital]],tItens[[#This Row],[Edital]],INDEX(tItens[Produto],1):tItens[[#This Row],[Produto]],tItens[[#This Row],[Produto]])=1,1,0)</f>
        <v>1</v>
      </c>
    </row>
    <row r="1526" spans="1:16" x14ac:dyDescent="0.25">
      <c r="A1526" t="s">
        <v>1146</v>
      </c>
      <c r="B1526">
        <v>626</v>
      </c>
      <c r="C1526" t="s">
        <v>4584</v>
      </c>
      <c r="D1526" t="s">
        <v>281</v>
      </c>
      <c r="E1526" s="13">
        <v>238000</v>
      </c>
      <c r="F1526" s="12">
        <v>0</v>
      </c>
      <c r="G1526" t="str">
        <f>IFERROR(INDEX(tEditais[Órgão],MATCH(tItens[[#This Row],[Edital]],tEditais[Edital],0)),"")</f>
        <v>FUNDO MUNICIPAL DE SAUDE DE MINEIROS</v>
      </c>
      <c r="H1526" t="str">
        <f>IFERROR(INDEX(tEditais[UF],MATCH(tItens[[#This Row],[Edital]],tEditais[Edital],0)),"")</f>
        <v>GO</v>
      </c>
      <c r="I1526" s="11">
        <f>IFERROR(INDEX(tEditais[Encerramento],MATCH(tItens[[#This Row],[Edital]],tEditais[Edital],0)),"")</f>
        <v>46308.291666666664</v>
      </c>
      <c r="J1526" t="str">
        <f>IFERROR(INDEX(tProdutos[Classe],MATCH(tItens[[#This Row],[Produto]],tProdutos[Produto],0)),"produto não cadastrado")</f>
        <v>DISPUTADO</v>
      </c>
      <c r="K1526" s="12">
        <f>tItens[[#This Row],[Qtd]]*tItens[[#This Row],[Vlr unit]]</f>
        <v>0</v>
      </c>
      <c r="L1526" s="6">
        <f>IFERROR(IF(INDEX(tProdutos[Desconto homologado],MATCH(tItens[[#This Row],[Produto]],tProdutos[Produto],0))="",DescontoPadrao,INDEX(tProdutos[Desconto homologado],MATCH(tItens[[#This Row],[Produto]],tProdutos[Produto],0))),DescontoPadrao)</f>
        <v>0.42461538461538501</v>
      </c>
      <c r="M1526" s="12">
        <f>tItens[[#This Row],[Valor]]*(1-tItens[[#This Row],[Desconto]])</f>
        <v>0</v>
      </c>
      <c r="N1526" t="str">
        <f>IFERROR(INDEX(tProdutos[Foco],MATCH(tItens[[#This Row],[Produto]],tProdutos[Produto],0)),"Não")</f>
        <v>Não</v>
      </c>
      <c r="O1526" t="str">
        <f>IFERROR(INDEX(tEditais[SRP],MATCH(tItens[[#This Row],[Edital]],tEditais[Edital],0)),"Não")</f>
        <v>Não</v>
      </c>
      <c r="P1526" s="4">
        <f>IF(COUNTIFS(INDEX(tItens[Edital],1):tItens[[#This Row],[Edital]],tItens[[#This Row],[Edital]],INDEX(tItens[Produto],1):tItens[[#This Row],[Produto]],tItens[[#This Row],[Produto]])=1,1,0)</f>
        <v>1</v>
      </c>
    </row>
    <row r="1527" spans="1:16" x14ac:dyDescent="0.25">
      <c r="A1527" t="s">
        <v>1146</v>
      </c>
      <c r="B1527">
        <v>627</v>
      </c>
      <c r="C1527" t="s">
        <v>4585</v>
      </c>
      <c r="D1527" t="s">
        <v>281</v>
      </c>
      <c r="E1527" s="13">
        <v>42000</v>
      </c>
      <c r="F1527" s="12">
        <v>0</v>
      </c>
      <c r="G1527" t="str">
        <f>IFERROR(INDEX(tEditais[Órgão],MATCH(tItens[[#This Row],[Edital]],tEditais[Edital],0)),"")</f>
        <v>FUNDO MUNICIPAL DE SAUDE DE MINEIROS</v>
      </c>
      <c r="H1527" t="str">
        <f>IFERROR(INDEX(tEditais[UF],MATCH(tItens[[#This Row],[Edital]],tEditais[Edital],0)),"")</f>
        <v>GO</v>
      </c>
      <c r="I1527" s="11">
        <f>IFERROR(INDEX(tEditais[Encerramento],MATCH(tItens[[#This Row],[Edital]],tEditais[Edital],0)),"")</f>
        <v>46308.291666666664</v>
      </c>
      <c r="J1527" t="str">
        <f>IFERROR(INDEX(tProdutos[Classe],MATCH(tItens[[#This Row],[Produto]],tProdutos[Produto],0)),"produto não cadastrado")</f>
        <v>DISPUTADO</v>
      </c>
      <c r="K1527" s="12">
        <f>tItens[[#This Row],[Qtd]]*tItens[[#This Row],[Vlr unit]]</f>
        <v>0</v>
      </c>
      <c r="L1527" s="6">
        <f>IFERROR(IF(INDEX(tProdutos[Desconto homologado],MATCH(tItens[[#This Row],[Produto]],tProdutos[Produto],0))="",DescontoPadrao,INDEX(tProdutos[Desconto homologado],MATCH(tItens[[#This Row],[Produto]],tProdutos[Produto],0))),DescontoPadrao)</f>
        <v>0.42461538461538501</v>
      </c>
      <c r="M1527" s="12">
        <f>tItens[[#This Row],[Valor]]*(1-tItens[[#This Row],[Desconto]])</f>
        <v>0</v>
      </c>
      <c r="N1527" t="str">
        <f>IFERROR(INDEX(tProdutos[Foco],MATCH(tItens[[#This Row],[Produto]],tProdutos[Produto],0)),"Não")</f>
        <v>Não</v>
      </c>
      <c r="O1527" t="str">
        <f>IFERROR(INDEX(tEditais[SRP],MATCH(tItens[[#This Row],[Edital]],tEditais[Edital],0)),"Não")</f>
        <v>Não</v>
      </c>
      <c r="P1527" s="4">
        <f>IF(COUNTIFS(INDEX(tItens[Edital],1):tItens[[#This Row],[Edital]],tItens[[#This Row],[Edital]],INDEX(tItens[Produto],1):tItens[[#This Row],[Produto]],tItens[[#This Row],[Produto]])=1,1,0)</f>
        <v>0</v>
      </c>
    </row>
    <row r="1528" spans="1:16" x14ac:dyDescent="0.25">
      <c r="A1528" t="s">
        <v>1146</v>
      </c>
      <c r="B1528">
        <v>628</v>
      </c>
      <c r="C1528" t="s">
        <v>4586</v>
      </c>
      <c r="D1528" t="s">
        <v>289</v>
      </c>
      <c r="E1528" s="13">
        <v>100000</v>
      </c>
      <c r="F1528" s="12">
        <v>0</v>
      </c>
      <c r="G1528" t="str">
        <f>IFERROR(INDEX(tEditais[Órgão],MATCH(tItens[[#This Row],[Edital]],tEditais[Edital],0)),"")</f>
        <v>FUNDO MUNICIPAL DE SAUDE DE MINEIROS</v>
      </c>
      <c r="H1528" t="str">
        <f>IFERROR(INDEX(tEditais[UF],MATCH(tItens[[#This Row],[Edital]],tEditais[Edital],0)),"")</f>
        <v>GO</v>
      </c>
      <c r="I1528" s="11">
        <f>IFERROR(INDEX(tEditais[Encerramento],MATCH(tItens[[#This Row],[Edital]],tEditais[Edital],0)),"")</f>
        <v>46308.291666666664</v>
      </c>
      <c r="J1528" t="str">
        <f>IFERROR(INDEX(tProdutos[Classe],MATCH(tItens[[#This Row],[Produto]],tProdutos[Produto],0)),"produto não cadastrado")</f>
        <v>DISPUTADO</v>
      </c>
      <c r="K1528" s="12">
        <f>tItens[[#This Row],[Qtd]]*tItens[[#This Row],[Vlr unit]]</f>
        <v>0</v>
      </c>
      <c r="L1528" s="6">
        <f>IFERROR(IF(INDEX(tProdutos[Desconto homologado],MATCH(tItens[[#This Row],[Produto]],tProdutos[Produto],0))="",DescontoPadrao,INDEX(tProdutos[Desconto homologado],MATCH(tItens[[#This Row],[Produto]],tProdutos[Produto],0))),DescontoPadrao)</f>
        <v>0.35849056603773599</v>
      </c>
      <c r="M1528" s="12">
        <f>tItens[[#This Row],[Valor]]*(1-tItens[[#This Row],[Desconto]])</f>
        <v>0</v>
      </c>
      <c r="N1528" t="str">
        <f>IFERROR(INDEX(tProdutos[Foco],MATCH(tItens[[#This Row],[Produto]],tProdutos[Produto],0)),"Não")</f>
        <v>Não</v>
      </c>
      <c r="O1528" t="str">
        <f>IFERROR(INDEX(tEditais[SRP],MATCH(tItens[[#This Row],[Edital]],tEditais[Edital],0)),"Não")</f>
        <v>Não</v>
      </c>
      <c r="P1528" s="4">
        <f>IF(COUNTIFS(INDEX(tItens[Edital],1):tItens[[#This Row],[Edital]],tItens[[#This Row],[Edital]],INDEX(tItens[Produto],1):tItens[[#This Row],[Produto]],tItens[[#This Row],[Produto]])=1,1,0)</f>
        <v>1</v>
      </c>
    </row>
    <row r="1529" spans="1:16" x14ac:dyDescent="0.25">
      <c r="A1529" t="s">
        <v>1146</v>
      </c>
      <c r="B1529">
        <v>629</v>
      </c>
      <c r="C1529" t="s">
        <v>4587</v>
      </c>
      <c r="D1529" t="s">
        <v>289</v>
      </c>
      <c r="E1529" s="13">
        <v>114750</v>
      </c>
      <c r="F1529" s="12">
        <v>0</v>
      </c>
      <c r="G1529" t="str">
        <f>IFERROR(INDEX(tEditais[Órgão],MATCH(tItens[[#This Row],[Edital]],tEditais[Edital],0)),"")</f>
        <v>FUNDO MUNICIPAL DE SAUDE DE MINEIROS</v>
      </c>
      <c r="H1529" t="str">
        <f>IFERROR(INDEX(tEditais[UF],MATCH(tItens[[#This Row],[Edital]],tEditais[Edital],0)),"")</f>
        <v>GO</v>
      </c>
      <c r="I1529" s="11">
        <f>IFERROR(INDEX(tEditais[Encerramento],MATCH(tItens[[#This Row],[Edital]],tEditais[Edital],0)),"")</f>
        <v>46308.291666666664</v>
      </c>
      <c r="J1529" t="str">
        <f>IFERROR(INDEX(tProdutos[Classe],MATCH(tItens[[#This Row],[Produto]],tProdutos[Produto],0)),"produto não cadastrado")</f>
        <v>DISPUTADO</v>
      </c>
      <c r="K1529" s="12">
        <f>tItens[[#This Row],[Qtd]]*tItens[[#This Row],[Vlr unit]]</f>
        <v>0</v>
      </c>
      <c r="L1529" s="6">
        <f>IFERROR(IF(INDEX(tProdutos[Desconto homologado],MATCH(tItens[[#This Row],[Produto]],tProdutos[Produto],0))="",DescontoPadrao,INDEX(tProdutos[Desconto homologado],MATCH(tItens[[#This Row],[Produto]],tProdutos[Produto],0))),DescontoPadrao)</f>
        <v>0.35849056603773599</v>
      </c>
      <c r="M1529" s="12">
        <f>tItens[[#This Row],[Valor]]*(1-tItens[[#This Row],[Desconto]])</f>
        <v>0</v>
      </c>
      <c r="N1529" t="str">
        <f>IFERROR(INDEX(tProdutos[Foco],MATCH(tItens[[#This Row],[Produto]],tProdutos[Produto],0)),"Não")</f>
        <v>Não</v>
      </c>
      <c r="O1529" t="str">
        <f>IFERROR(INDEX(tEditais[SRP],MATCH(tItens[[#This Row],[Edital]],tEditais[Edital],0)),"Não")</f>
        <v>Não</v>
      </c>
      <c r="P1529" s="4">
        <f>IF(COUNTIFS(INDEX(tItens[Edital],1):tItens[[#This Row],[Edital]],tItens[[#This Row],[Edital]],INDEX(tItens[Produto],1):tItens[[#This Row],[Produto]],tItens[[#This Row],[Produto]])=1,1,0)</f>
        <v>0</v>
      </c>
    </row>
    <row r="1530" spans="1:16" x14ac:dyDescent="0.25">
      <c r="A1530" t="s">
        <v>1146</v>
      </c>
      <c r="B1530">
        <v>630</v>
      </c>
      <c r="C1530" t="s">
        <v>4588</v>
      </c>
      <c r="D1530" t="s">
        <v>289</v>
      </c>
      <c r="E1530" s="13">
        <v>20250</v>
      </c>
      <c r="F1530" s="12">
        <v>0</v>
      </c>
      <c r="G1530" t="str">
        <f>IFERROR(INDEX(tEditais[Órgão],MATCH(tItens[[#This Row],[Edital]],tEditais[Edital],0)),"")</f>
        <v>FUNDO MUNICIPAL DE SAUDE DE MINEIROS</v>
      </c>
      <c r="H1530" t="str">
        <f>IFERROR(INDEX(tEditais[UF],MATCH(tItens[[#This Row],[Edital]],tEditais[Edital],0)),"")</f>
        <v>GO</v>
      </c>
      <c r="I1530" s="11">
        <f>IFERROR(INDEX(tEditais[Encerramento],MATCH(tItens[[#This Row],[Edital]],tEditais[Edital],0)),"")</f>
        <v>46308.291666666664</v>
      </c>
      <c r="J1530" t="str">
        <f>IFERROR(INDEX(tProdutos[Classe],MATCH(tItens[[#This Row],[Produto]],tProdutos[Produto],0)),"produto não cadastrado")</f>
        <v>DISPUTADO</v>
      </c>
      <c r="K1530" s="12">
        <f>tItens[[#This Row],[Qtd]]*tItens[[#This Row],[Vlr unit]]</f>
        <v>0</v>
      </c>
      <c r="L1530" s="6">
        <f>IFERROR(IF(INDEX(tProdutos[Desconto homologado],MATCH(tItens[[#This Row],[Produto]],tProdutos[Produto],0))="",DescontoPadrao,INDEX(tProdutos[Desconto homologado],MATCH(tItens[[#This Row],[Produto]],tProdutos[Produto],0))),DescontoPadrao)</f>
        <v>0.35849056603773599</v>
      </c>
      <c r="M1530" s="12">
        <f>tItens[[#This Row],[Valor]]*(1-tItens[[#This Row],[Desconto]])</f>
        <v>0</v>
      </c>
      <c r="N1530" t="str">
        <f>IFERROR(INDEX(tProdutos[Foco],MATCH(tItens[[#This Row],[Produto]],tProdutos[Produto],0)),"Não")</f>
        <v>Não</v>
      </c>
      <c r="O1530" t="str">
        <f>IFERROR(INDEX(tEditais[SRP],MATCH(tItens[[#This Row],[Edital]],tEditais[Edital],0)),"Não")</f>
        <v>Não</v>
      </c>
      <c r="P1530" s="4">
        <f>IF(COUNTIFS(INDEX(tItens[Edital],1):tItens[[#This Row],[Edital]],tItens[[#This Row],[Edital]],INDEX(tItens[Produto],1):tItens[[#This Row],[Produto]],tItens[[#This Row],[Produto]])=1,1,0)</f>
        <v>0</v>
      </c>
    </row>
    <row r="1531" spans="1:16" x14ac:dyDescent="0.25">
      <c r="A1531" t="s">
        <v>1146</v>
      </c>
      <c r="B1531">
        <v>633</v>
      </c>
      <c r="C1531" t="s">
        <v>4589</v>
      </c>
      <c r="D1531" t="s">
        <v>303</v>
      </c>
      <c r="E1531" s="13">
        <v>1000</v>
      </c>
      <c r="F1531" s="12">
        <v>0</v>
      </c>
      <c r="G1531" t="str">
        <f>IFERROR(INDEX(tEditais[Órgão],MATCH(tItens[[#This Row],[Edital]],tEditais[Edital],0)),"")</f>
        <v>FUNDO MUNICIPAL DE SAUDE DE MINEIROS</v>
      </c>
      <c r="H1531" t="str">
        <f>IFERROR(INDEX(tEditais[UF],MATCH(tItens[[#This Row],[Edital]],tEditais[Edital],0)),"")</f>
        <v>GO</v>
      </c>
      <c r="I1531" s="11">
        <f>IFERROR(INDEX(tEditais[Encerramento],MATCH(tItens[[#This Row],[Edital]],tEditais[Edital],0)),"")</f>
        <v>46308.291666666664</v>
      </c>
      <c r="J1531" t="str">
        <f>IFERROR(INDEX(tProdutos[Classe],MATCH(tItens[[#This Row],[Produto]],tProdutos[Produto],0)),"produto não cadastrado")</f>
        <v>FORA</v>
      </c>
      <c r="K1531" s="12">
        <f>tItens[[#This Row],[Qtd]]*tItens[[#This Row],[Vlr unit]]</f>
        <v>0</v>
      </c>
      <c r="L1531" s="6">
        <f>IFERROR(IF(INDEX(tProdutos[Desconto homologado],MATCH(tItens[[#This Row],[Produto]],tProdutos[Produto],0))="",DescontoPadrao,INDEX(tProdutos[Desconto homologado],MATCH(tItens[[#This Row],[Produto]],tProdutos[Produto],0))),DescontoPadrao)</f>
        <v>0.35748048048048098</v>
      </c>
      <c r="M1531" s="12">
        <f>tItens[[#This Row],[Valor]]*(1-tItens[[#This Row],[Desconto]])</f>
        <v>0</v>
      </c>
      <c r="N1531" t="str">
        <f>IFERROR(INDEX(tProdutos[Foco],MATCH(tItens[[#This Row],[Produto]],tProdutos[Produto],0)),"Não")</f>
        <v>Não</v>
      </c>
      <c r="O1531" t="str">
        <f>IFERROR(INDEX(tEditais[SRP],MATCH(tItens[[#This Row],[Edital]],tEditais[Edital],0)),"Não")</f>
        <v>Não</v>
      </c>
      <c r="P1531" s="4">
        <f>IF(COUNTIFS(INDEX(tItens[Edital],1):tItens[[#This Row],[Edital]],tItens[[#This Row],[Edital]],INDEX(tItens[Produto],1):tItens[[#This Row],[Produto]],tItens[[#This Row],[Produto]])=1,1,0)</f>
        <v>1</v>
      </c>
    </row>
    <row r="1532" spans="1:16" x14ac:dyDescent="0.25">
      <c r="A1532" t="s">
        <v>1146</v>
      </c>
      <c r="B1532">
        <v>634</v>
      </c>
      <c r="C1532" t="s">
        <v>4590</v>
      </c>
      <c r="D1532" t="s">
        <v>303</v>
      </c>
      <c r="E1532" s="13">
        <v>500</v>
      </c>
      <c r="F1532" s="12">
        <v>0</v>
      </c>
      <c r="G1532" t="str">
        <f>IFERROR(INDEX(tEditais[Órgão],MATCH(tItens[[#This Row],[Edital]],tEditais[Edital],0)),"")</f>
        <v>FUNDO MUNICIPAL DE SAUDE DE MINEIROS</v>
      </c>
      <c r="H1532" t="str">
        <f>IFERROR(INDEX(tEditais[UF],MATCH(tItens[[#This Row],[Edital]],tEditais[Edital],0)),"")</f>
        <v>GO</v>
      </c>
      <c r="I1532" s="11">
        <f>IFERROR(INDEX(tEditais[Encerramento],MATCH(tItens[[#This Row],[Edital]],tEditais[Edital],0)),"")</f>
        <v>46308.291666666664</v>
      </c>
      <c r="J1532" t="str">
        <f>IFERROR(INDEX(tProdutos[Classe],MATCH(tItens[[#This Row],[Produto]],tProdutos[Produto],0)),"produto não cadastrado")</f>
        <v>FORA</v>
      </c>
      <c r="K1532" s="12">
        <f>tItens[[#This Row],[Qtd]]*tItens[[#This Row],[Vlr unit]]</f>
        <v>0</v>
      </c>
      <c r="L1532" s="6">
        <f>IFERROR(IF(INDEX(tProdutos[Desconto homologado],MATCH(tItens[[#This Row],[Produto]],tProdutos[Produto],0))="",DescontoPadrao,INDEX(tProdutos[Desconto homologado],MATCH(tItens[[#This Row],[Produto]],tProdutos[Produto],0))),DescontoPadrao)</f>
        <v>0.35748048048048098</v>
      </c>
      <c r="M1532" s="12">
        <f>tItens[[#This Row],[Valor]]*(1-tItens[[#This Row],[Desconto]])</f>
        <v>0</v>
      </c>
      <c r="N1532" t="str">
        <f>IFERROR(INDEX(tProdutos[Foco],MATCH(tItens[[#This Row],[Produto]],tProdutos[Produto],0)),"Não")</f>
        <v>Não</v>
      </c>
      <c r="O1532" t="str">
        <f>IFERROR(INDEX(tEditais[SRP],MATCH(tItens[[#This Row],[Edital]],tEditais[Edital],0)),"Não")</f>
        <v>Não</v>
      </c>
      <c r="P1532" s="4">
        <f>IF(COUNTIFS(INDEX(tItens[Edital],1):tItens[[#This Row],[Edital]],tItens[[#This Row],[Edital]],INDEX(tItens[Produto],1):tItens[[#This Row],[Produto]],tItens[[#This Row],[Produto]])=1,1,0)</f>
        <v>0</v>
      </c>
    </row>
    <row r="1533" spans="1:16" x14ac:dyDescent="0.25">
      <c r="A1533" t="s">
        <v>1146</v>
      </c>
      <c r="B1533">
        <v>635</v>
      </c>
      <c r="C1533" t="s">
        <v>4591</v>
      </c>
      <c r="D1533" t="s">
        <v>106</v>
      </c>
      <c r="E1533" s="13">
        <v>220</v>
      </c>
      <c r="F1533" s="12">
        <v>0</v>
      </c>
      <c r="G1533" t="str">
        <f>IFERROR(INDEX(tEditais[Órgão],MATCH(tItens[[#This Row],[Edital]],tEditais[Edital],0)),"")</f>
        <v>FUNDO MUNICIPAL DE SAUDE DE MINEIROS</v>
      </c>
      <c r="H1533" t="str">
        <f>IFERROR(INDEX(tEditais[UF],MATCH(tItens[[#This Row],[Edital]],tEditais[Edital],0)),"")</f>
        <v>GO</v>
      </c>
      <c r="I1533" s="11">
        <f>IFERROR(INDEX(tEditais[Encerramento],MATCH(tItens[[#This Row],[Edital]],tEditais[Edital],0)),"")</f>
        <v>46308.291666666664</v>
      </c>
      <c r="J1533" t="str">
        <f>IFERROR(INDEX(tProdutos[Classe],MATCH(tItens[[#This Row],[Produto]],tProdutos[Produto],0)),"produto não cadastrado")</f>
        <v>DISPUTADO</v>
      </c>
      <c r="K1533" s="12">
        <f>tItens[[#This Row],[Qtd]]*tItens[[#This Row],[Vlr unit]]</f>
        <v>0</v>
      </c>
      <c r="L1533" s="6">
        <f>IFERROR(IF(INDEX(tProdutos[Desconto homologado],MATCH(tItens[[#This Row],[Produto]],tProdutos[Produto],0))="",DescontoPadrao,INDEX(tProdutos[Desconto homologado],MATCH(tItens[[#This Row],[Produto]],tProdutos[Produto],0))),DescontoPadrao)</f>
        <v>0.24377518966589001</v>
      </c>
      <c r="M1533" s="12">
        <f>tItens[[#This Row],[Valor]]*(1-tItens[[#This Row],[Desconto]])</f>
        <v>0</v>
      </c>
      <c r="N1533" t="str">
        <f>IFERROR(INDEX(tProdutos[Foco],MATCH(tItens[[#This Row],[Produto]],tProdutos[Produto],0)),"Não")</f>
        <v>Não</v>
      </c>
      <c r="O1533" t="str">
        <f>IFERROR(INDEX(tEditais[SRP],MATCH(tItens[[#This Row],[Edital]],tEditais[Edital],0)),"Não")</f>
        <v>Não</v>
      </c>
      <c r="P1533" s="4">
        <f>IF(COUNTIFS(INDEX(tItens[Edital],1):tItens[[#This Row],[Edital]],tItens[[#This Row],[Edital]],INDEX(tItens[Produto],1):tItens[[#This Row],[Produto]],tItens[[#This Row],[Produto]])=1,1,0)</f>
        <v>1</v>
      </c>
    </row>
    <row r="1534" spans="1:16" x14ac:dyDescent="0.25">
      <c r="A1534" t="s">
        <v>1146</v>
      </c>
      <c r="B1534">
        <v>636</v>
      </c>
      <c r="C1534" t="s">
        <v>4592</v>
      </c>
      <c r="D1534" t="s">
        <v>106</v>
      </c>
      <c r="E1534" s="13">
        <v>220</v>
      </c>
      <c r="F1534" s="12">
        <v>0</v>
      </c>
      <c r="G1534" t="str">
        <f>IFERROR(INDEX(tEditais[Órgão],MATCH(tItens[[#This Row],[Edital]],tEditais[Edital],0)),"")</f>
        <v>FUNDO MUNICIPAL DE SAUDE DE MINEIROS</v>
      </c>
      <c r="H1534" t="str">
        <f>IFERROR(INDEX(tEditais[UF],MATCH(tItens[[#This Row],[Edital]],tEditais[Edital],0)),"")</f>
        <v>GO</v>
      </c>
      <c r="I1534" s="11">
        <f>IFERROR(INDEX(tEditais[Encerramento],MATCH(tItens[[#This Row],[Edital]],tEditais[Edital],0)),"")</f>
        <v>46308.291666666664</v>
      </c>
      <c r="J1534" t="str">
        <f>IFERROR(INDEX(tProdutos[Classe],MATCH(tItens[[#This Row],[Produto]],tProdutos[Produto],0)),"produto não cadastrado")</f>
        <v>DISPUTADO</v>
      </c>
      <c r="K1534" s="12">
        <f>tItens[[#This Row],[Qtd]]*tItens[[#This Row],[Vlr unit]]</f>
        <v>0</v>
      </c>
      <c r="L1534" s="6">
        <f>IFERROR(IF(INDEX(tProdutos[Desconto homologado],MATCH(tItens[[#This Row],[Produto]],tProdutos[Produto],0))="",DescontoPadrao,INDEX(tProdutos[Desconto homologado],MATCH(tItens[[#This Row],[Produto]],tProdutos[Produto],0))),DescontoPadrao)</f>
        <v>0.24377518966589001</v>
      </c>
      <c r="M1534" s="12">
        <f>tItens[[#This Row],[Valor]]*(1-tItens[[#This Row],[Desconto]])</f>
        <v>0</v>
      </c>
      <c r="N1534" t="str">
        <f>IFERROR(INDEX(tProdutos[Foco],MATCH(tItens[[#This Row],[Produto]],tProdutos[Produto],0)),"Não")</f>
        <v>Não</v>
      </c>
      <c r="O1534" t="str">
        <f>IFERROR(INDEX(tEditais[SRP],MATCH(tItens[[#This Row],[Edital]],tEditais[Edital],0)),"Não")</f>
        <v>Não</v>
      </c>
      <c r="P1534" s="4">
        <f>IF(COUNTIFS(INDEX(tItens[Edital],1):tItens[[#This Row],[Edital]],tItens[[#This Row],[Edital]],INDEX(tItens[Produto],1):tItens[[#This Row],[Produto]],tItens[[#This Row],[Produto]])=1,1,0)</f>
        <v>0</v>
      </c>
    </row>
    <row r="1535" spans="1:16" x14ac:dyDescent="0.25">
      <c r="A1535" t="s">
        <v>1146</v>
      </c>
      <c r="B1535">
        <v>637</v>
      </c>
      <c r="C1535" t="s">
        <v>4593</v>
      </c>
      <c r="D1535" t="s">
        <v>106</v>
      </c>
      <c r="E1535" s="13">
        <v>220</v>
      </c>
      <c r="F1535" s="12">
        <v>0</v>
      </c>
      <c r="G1535" t="str">
        <f>IFERROR(INDEX(tEditais[Órgão],MATCH(tItens[[#This Row],[Edital]],tEditais[Edital],0)),"")</f>
        <v>FUNDO MUNICIPAL DE SAUDE DE MINEIROS</v>
      </c>
      <c r="H1535" t="str">
        <f>IFERROR(INDEX(tEditais[UF],MATCH(tItens[[#This Row],[Edital]],tEditais[Edital],0)),"")</f>
        <v>GO</v>
      </c>
      <c r="I1535" s="11">
        <f>IFERROR(INDEX(tEditais[Encerramento],MATCH(tItens[[#This Row],[Edital]],tEditais[Edital],0)),"")</f>
        <v>46308.291666666664</v>
      </c>
      <c r="J1535" t="str">
        <f>IFERROR(INDEX(tProdutos[Classe],MATCH(tItens[[#This Row],[Produto]],tProdutos[Produto],0)),"produto não cadastrado")</f>
        <v>DISPUTADO</v>
      </c>
      <c r="K1535" s="12">
        <f>tItens[[#This Row],[Qtd]]*tItens[[#This Row],[Vlr unit]]</f>
        <v>0</v>
      </c>
      <c r="L1535" s="6">
        <f>IFERROR(IF(INDEX(tProdutos[Desconto homologado],MATCH(tItens[[#This Row],[Produto]],tProdutos[Produto],0))="",DescontoPadrao,INDEX(tProdutos[Desconto homologado],MATCH(tItens[[#This Row],[Produto]],tProdutos[Produto],0))),DescontoPadrao)</f>
        <v>0.24377518966589001</v>
      </c>
      <c r="M1535" s="12">
        <f>tItens[[#This Row],[Valor]]*(1-tItens[[#This Row],[Desconto]])</f>
        <v>0</v>
      </c>
      <c r="N1535" t="str">
        <f>IFERROR(INDEX(tProdutos[Foco],MATCH(tItens[[#This Row],[Produto]],tProdutos[Produto],0)),"Não")</f>
        <v>Não</v>
      </c>
      <c r="O1535" t="str">
        <f>IFERROR(INDEX(tEditais[SRP],MATCH(tItens[[#This Row],[Edital]],tEditais[Edital],0)),"Não")</f>
        <v>Não</v>
      </c>
      <c r="P1535" s="4">
        <f>IF(COUNTIFS(INDEX(tItens[Edital],1):tItens[[#This Row],[Edital]],tItens[[#This Row],[Edital]],INDEX(tItens[Produto],1):tItens[[#This Row],[Produto]],tItens[[#This Row],[Produto]])=1,1,0)</f>
        <v>0</v>
      </c>
    </row>
    <row r="1536" spans="1:16" x14ac:dyDescent="0.25">
      <c r="A1536" t="s">
        <v>1146</v>
      </c>
      <c r="B1536">
        <v>638</v>
      </c>
      <c r="C1536" t="s">
        <v>4594</v>
      </c>
      <c r="D1536" t="s">
        <v>106</v>
      </c>
      <c r="E1536" s="13">
        <v>1260</v>
      </c>
      <c r="F1536" s="12">
        <v>0</v>
      </c>
      <c r="G1536" t="str">
        <f>IFERROR(INDEX(tEditais[Órgão],MATCH(tItens[[#This Row],[Edital]],tEditais[Edital],0)),"")</f>
        <v>FUNDO MUNICIPAL DE SAUDE DE MINEIROS</v>
      </c>
      <c r="H1536" t="str">
        <f>IFERROR(INDEX(tEditais[UF],MATCH(tItens[[#This Row],[Edital]],tEditais[Edital],0)),"")</f>
        <v>GO</v>
      </c>
      <c r="I1536" s="11">
        <f>IFERROR(INDEX(tEditais[Encerramento],MATCH(tItens[[#This Row],[Edital]],tEditais[Edital],0)),"")</f>
        <v>46308.291666666664</v>
      </c>
      <c r="J1536" t="str">
        <f>IFERROR(INDEX(tProdutos[Classe],MATCH(tItens[[#This Row],[Produto]],tProdutos[Produto],0)),"produto não cadastrado")</f>
        <v>DISPUTADO</v>
      </c>
      <c r="K1536" s="12">
        <f>tItens[[#This Row],[Qtd]]*tItens[[#This Row],[Vlr unit]]</f>
        <v>0</v>
      </c>
      <c r="L1536" s="6">
        <f>IFERROR(IF(INDEX(tProdutos[Desconto homologado],MATCH(tItens[[#This Row],[Produto]],tProdutos[Produto],0))="",DescontoPadrao,INDEX(tProdutos[Desconto homologado],MATCH(tItens[[#This Row],[Produto]],tProdutos[Produto],0))),DescontoPadrao)</f>
        <v>0.24377518966589001</v>
      </c>
      <c r="M1536" s="12">
        <f>tItens[[#This Row],[Valor]]*(1-tItens[[#This Row],[Desconto]])</f>
        <v>0</v>
      </c>
      <c r="N1536" t="str">
        <f>IFERROR(INDEX(tProdutos[Foco],MATCH(tItens[[#This Row],[Produto]],tProdutos[Produto],0)),"Não")</f>
        <v>Não</v>
      </c>
      <c r="O1536" t="str">
        <f>IFERROR(INDEX(tEditais[SRP],MATCH(tItens[[#This Row],[Edital]],tEditais[Edital],0)),"Não")</f>
        <v>Não</v>
      </c>
      <c r="P1536" s="4">
        <f>IF(COUNTIFS(INDEX(tItens[Edital],1):tItens[[#This Row],[Edital]],tItens[[#This Row],[Edital]],INDEX(tItens[Produto],1):tItens[[#This Row],[Produto]],tItens[[#This Row],[Produto]])=1,1,0)</f>
        <v>0</v>
      </c>
    </row>
    <row r="1537" spans="1:16" x14ac:dyDescent="0.25">
      <c r="A1537" t="s">
        <v>1146</v>
      </c>
      <c r="B1537">
        <v>652</v>
      </c>
      <c r="C1537" t="s">
        <v>4595</v>
      </c>
      <c r="D1537" t="s">
        <v>184</v>
      </c>
      <c r="E1537" s="13">
        <v>80</v>
      </c>
      <c r="F1537" s="12">
        <v>0</v>
      </c>
      <c r="G1537" t="str">
        <f>IFERROR(INDEX(tEditais[Órgão],MATCH(tItens[[#This Row],[Edital]],tEditais[Edital],0)),"")</f>
        <v>FUNDO MUNICIPAL DE SAUDE DE MINEIROS</v>
      </c>
      <c r="H1537" t="str">
        <f>IFERROR(INDEX(tEditais[UF],MATCH(tItens[[#This Row],[Edital]],tEditais[Edital],0)),"")</f>
        <v>GO</v>
      </c>
      <c r="I1537" s="11">
        <f>IFERROR(INDEX(tEditais[Encerramento],MATCH(tItens[[#This Row],[Edital]],tEditais[Edital],0)),"")</f>
        <v>46308.291666666664</v>
      </c>
      <c r="J1537" t="str">
        <f>IFERROR(INDEX(tProdutos[Classe],MATCH(tItens[[#This Row],[Produto]],tProdutos[Produto],0)),"produto não cadastrado")</f>
        <v>FORA</v>
      </c>
      <c r="K1537" s="12">
        <f>tItens[[#This Row],[Qtd]]*tItens[[#This Row],[Vlr unit]]</f>
        <v>0</v>
      </c>
      <c r="L1537" s="6">
        <f>IFERROR(IF(INDEX(tProdutos[Desconto homologado],MATCH(tItens[[#This Row],[Produto]],tProdutos[Produto],0))="",DescontoPadrao,INDEX(tProdutos[Desconto homologado],MATCH(tItens[[#This Row],[Produto]],tProdutos[Produto],0))),DescontoPadrao)</f>
        <v>0.363567906332742</v>
      </c>
      <c r="M1537" s="12">
        <f>tItens[[#This Row],[Valor]]*(1-tItens[[#This Row],[Desconto]])</f>
        <v>0</v>
      </c>
      <c r="N1537" t="str">
        <f>IFERROR(INDEX(tProdutos[Foco],MATCH(tItens[[#This Row],[Produto]],tProdutos[Produto],0)),"Não")</f>
        <v>Não</v>
      </c>
      <c r="O1537" t="str">
        <f>IFERROR(INDEX(tEditais[SRP],MATCH(tItens[[#This Row],[Edital]],tEditais[Edital],0)),"Não")</f>
        <v>Não</v>
      </c>
      <c r="P1537" s="4">
        <f>IF(COUNTIFS(INDEX(tItens[Edital],1):tItens[[#This Row],[Edital]],tItens[[#This Row],[Edital]],INDEX(tItens[Produto],1):tItens[[#This Row],[Produto]],tItens[[#This Row],[Produto]])=1,1,0)</f>
        <v>1</v>
      </c>
    </row>
    <row r="1538" spans="1:16" x14ac:dyDescent="0.25">
      <c r="A1538" t="s">
        <v>1146</v>
      </c>
      <c r="B1538">
        <v>653</v>
      </c>
      <c r="C1538" t="s">
        <v>4596</v>
      </c>
      <c r="D1538" t="s">
        <v>184</v>
      </c>
      <c r="E1538" s="13">
        <v>105</v>
      </c>
      <c r="F1538" s="12">
        <v>0</v>
      </c>
      <c r="G1538" t="str">
        <f>IFERROR(INDEX(tEditais[Órgão],MATCH(tItens[[#This Row],[Edital]],tEditais[Edital],0)),"")</f>
        <v>FUNDO MUNICIPAL DE SAUDE DE MINEIROS</v>
      </c>
      <c r="H1538" t="str">
        <f>IFERROR(INDEX(tEditais[UF],MATCH(tItens[[#This Row],[Edital]],tEditais[Edital],0)),"")</f>
        <v>GO</v>
      </c>
      <c r="I1538" s="11">
        <f>IFERROR(INDEX(tEditais[Encerramento],MATCH(tItens[[#This Row],[Edital]],tEditais[Edital],0)),"")</f>
        <v>46308.291666666664</v>
      </c>
      <c r="J1538" t="str">
        <f>IFERROR(INDEX(tProdutos[Classe],MATCH(tItens[[#This Row],[Produto]],tProdutos[Produto],0)),"produto não cadastrado")</f>
        <v>FORA</v>
      </c>
      <c r="K1538" s="12">
        <f>tItens[[#This Row],[Qtd]]*tItens[[#This Row],[Vlr unit]]</f>
        <v>0</v>
      </c>
      <c r="L1538" s="6">
        <f>IFERROR(IF(INDEX(tProdutos[Desconto homologado],MATCH(tItens[[#This Row],[Produto]],tProdutos[Produto],0))="",DescontoPadrao,INDEX(tProdutos[Desconto homologado],MATCH(tItens[[#This Row],[Produto]],tProdutos[Produto],0))),DescontoPadrao)</f>
        <v>0.363567906332742</v>
      </c>
      <c r="M1538" s="12">
        <f>tItens[[#This Row],[Valor]]*(1-tItens[[#This Row],[Desconto]])</f>
        <v>0</v>
      </c>
      <c r="N1538" t="str">
        <f>IFERROR(INDEX(tProdutos[Foco],MATCH(tItens[[#This Row],[Produto]],tProdutos[Produto],0)),"Não")</f>
        <v>Não</v>
      </c>
      <c r="O1538" t="str">
        <f>IFERROR(INDEX(tEditais[SRP],MATCH(tItens[[#This Row],[Edital]],tEditais[Edital],0)),"Não")</f>
        <v>Não</v>
      </c>
      <c r="P1538" s="4">
        <f>IF(COUNTIFS(INDEX(tItens[Edital],1):tItens[[#This Row],[Edital]],tItens[[#This Row],[Edital]],INDEX(tItens[Produto],1):tItens[[#This Row],[Produto]],tItens[[#This Row],[Produto]])=1,1,0)</f>
        <v>0</v>
      </c>
    </row>
    <row r="1539" spans="1:16" x14ac:dyDescent="0.25">
      <c r="A1539" t="s">
        <v>1146</v>
      </c>
      <c r="B1539">
        <v>654</v>
      </c>
      <c r="C1539" t="s">
        <v>4597</v>
      </c>
      <c r="D1539" t="s">
        <v>184</v>
      </c>
      <c r="E1539" s="13">
        <v>605</v>
      </c>
      <c r="F1539" s="12">
        <v>0</v>
      </c>
      <c r="G1539" t="str">
        <f>IFERROR(INDEX(tEditais[Órgão],MATCH(tItens[[#This Row],[Edital]],tEditais[Edital],0)),"")</f>
        <v>FUNDO MUNICIPAL DE SAUDE DE MINEIROS</v>
      </c>
      <c r="H1539" t="str">
        <f>IFERROR(INDEX(tEditais[UF],MATCH(tItens[[#This Row],[Edital]],tEditais[Edital],0)),"")</f>
        <v>GO</v>
      </c>
      <c r="I1539" s="11">
        <f>IFERROR(INDEX(tEditais[Encerramento],MATCH(tItens[[#This Row],[Edital]],tEditais[Edital],0)),"")</f>
        <v>46308.291666666664</v>
      </c>
      <c r="J1539" t="str">
        <f>IFERROR(INDEX(tProdutos[Classe],MATCH(tItens[[#This Row],[Produto]],tProdutos[Produto],0)),"produto não cadastrado")</f>
        <v>FORA</v>
      </c>
      <c r="K1539" s="12">
        <f>tItens[[#This Row],[Qtd]]*tItens[[#This Row],[Vlr unit]]</f>
        <v>0</v>
      </c>
      <c r="L1539" s="6">
        <f>IFERROR(IF(INDEX(tProdutos[Desconto homologado],MATCH(tItens[[#This Row],[Produto]],tProdutos[Produto],0))="",DescontoPadrao,INDEX(tProdutos[Desconto homologado],MATCH(tItens[[#This Row],[Produto]],tProdutos[Produto],0))),DescontoPadrao)</f>
        <v>0.363567906332742</v>
      </c>
      <c r="M1539" s="12">
        <f>tItens[[#This Row],[Valor]]*(1-tItens[[#This Row],[Desconto]])</f>
        <v>0</v>
      </c>
      <c r="N1539" t="str">
        <f>IFERROR(INDEX(tProdutos[Foco],MATCH(tItens[[#This Row],[Produto]],tProdutos[Produto],0)),"Não")</f>
        <v>Não</v>
      </c>
      <c r="O1539" t="str">
        <f>IFERROR(INDEX(tEditais[SRP],MATCH(tItens[[#This Row],[Edital]],tEditais[Edital],0)),"Não")</f>
        <v>Não</v>
      </c>
      <c r="P1539" s="4">
        <f>IF(COUNTIFS(INDEX(tItens[Edital],1):tItens[[#This Row],[Edital]],tItens[[#This Row],[Edital]],INDEX(tItens[Produto],1):tItens[[#This Row],[Produto]],tItens[[#This Row],[Produto]])=1,1,0)</f>
        <v>0</v>
      </c>
    </row>
    <row r="1540" spans="1:16" x14ac:dyDescent="0.25">
      <c r="A1540" t="s">
        <v>1146</v>
      </c>
      <c r="B1540">
        <v>655</v>
      </c>
      <c r="C1540" t="s">
        <v>4598</v>
      </c>
      <c r="D1540" t="s">
        <v>184</v>
      </c>
      <c r="E1540" s="13">
        <v>430</v>
      </c>
      <c r="F1540" s="12">
        <v>0</v>
      </c>
      <c r="G1540" t="str">
        <f>IFERROR(INDEX(tEditais[Órgão],MATCH(tItens[[#This Row],[Edital]],tEditais[Edital],0)),"")</f>
        <v>FUNDO MUNICIPAL DE SAUDE DE MINEIROS</v>
      </c>
      <c r="H1540" t="str">
        <f>IFERROR(INDEX(tEditais[UF],MATCH(tItens[[#This Row],[Edital]],tEditais[Edital],0)),"")</f>
        <v>GO</v>
      </c>
      <c r="I1540" s="11">
        <f>IFERROR(INDEX(tEditais[Encerramento],MATCH(tItens[[#This Row],[Edital]],tEditais[Edital],0)),"")</f>
        <v>46308.291666666664</v>
      </c>
      <c r="J1540" t="str">
        <f>IFERROR(INDEX(tProdutos[Classe],MATCH(tItens[[#This Row],[Produto]],tProdutos[Produto],0)),"produto não cadastrado")</f>
        <v>FORA</v>
      </c>
      <c r="K1540" s="12">
        <f>tItens[[#This Row],[Qtd]]*tItens[[#This Row],[Vlr unit]]</f>
        <v>0</v>
      </c>
      <c r="L1540" s="6">
        <f>IFERROR(IF(INDEX(tProdutos[Desconto homologado],MATCH(tItens[[#This Row],[Produto]],tProdutos[Produto],0))="",DescontoPadrao,INDEX(tProdutos[Desconto homologado],MATCH(tItens[[#This Row],[Produto]],tProdutos[Produto],0))),DescontoPadrao)</f>
        <v>0.363567906332742</v>
      </c>
      <c r="M1540" s="12">
        <f>tItens[[#This Row],[Valor]]*(1-tItens[[#This Row],[Desconto]])</f>
        <v>0</v>
      </c>
      <c r="N1540" t="str">
        <f>IFERROR(INDEX(tProdutos[Foco],MATCH(tItens[[#This Row],[Produto]],tProdutos[Produto],0)),"Não")</f>
        <v>Não</v>
      </c>
      <c r="O1540" t="str">
        <f>IFERROR(INDEX(tEditais[SRP],MATCH(tItens[[#This Row],[Edital]],tEditais[Edital],0)),"Não")</f>
        <v>Não</v>
      </c>
      <c r="P1540" s="4">
        <f>IF(COUNTIFS(INDEX(tItens[Edital],1):tItens[[#This Row],[Edital]],tItens[[#This Row],[Edital]],INDEX(tItens[Produto],1):tItens[[#This Row],[Produto]],tItens[[#This Row],[Produto]])=1,1,0)</f>
        <v>0</v>
      </c>
    </row>
    <row r="1541" spans="1:16" x14ac:dyDescent="0.25">
      <c r="A1541" t="s">
        <v>1146</v>
      </c>
      <c r="B1541">
        <v>656</v>
      </c>
      <c r="C1541" t="s">
        <v>4599</v>
      </c>
      <c r="D1541" t="s">
        <v>184</v>
      </c>
      <c r="E1541" s="13">
        <v>1160</v>
      </c>
      <c r="F1541" s="12">
        <v>0</v>
      </c>
      <c r="G1541" t="str">
        <f>IFERROR(INDEX(tEditais[Órgão],MATCH(tItens[[#This Row],[Edital]],tEditais[Edital],0)),"")</f>
        <v>FUNDO MUNICIPAL DE SAUDE DE MINEIROS</v>
      </c>
      <c r="H1541" t="str">
        <f>IFERROR(INDEX(tEditais[UF],MATCH(tItens[[#This Row],[Edital]],tEditais[Edital],0)),"")</f>
        <v>GO</v>
      </c>
      <c r="I1541" s="11">
        <f>IFERROR(INDEX(tEditais[Encerramento],MATCH(tItens[[#This Row],[Edital]],tEditais[Edital],0)),"")</f>
        <v>46308.291666666664</v>
      </c>
      <c r="J1541" t="str">
        <f>IFERROR(INDEX(tProdutos[Classe],MATCH(tItens[[#This Row],[Produto]],tProdutos[Produto],0)),"produto não cadastrado")</f>
        <v>FORA</v>
      </c>
      <c r="K1541" s="12">
        <f>tItens[[#This Row],[Qtd]]*tItens[[#This Row],[Vlr unit]]</f>
        <v>0</v>
      </c>
      <c r="L1541" s="6">
        <f>IFERROR(IF(INDEX(tProdutos[Desconto homologado],MATCH(tItens[[#This Row],[Produto]],tProdutos[Produto],0))="",DescontoPadrao,INDEX(tProdutos[Desconto homologado],MATCH(tItens[[#This Row],[Produto]],tProdutos[Produto],0))),DescontoPadrao)</f>
        <v>0.363567906332742</v>
      </c>
      <c r="M1541" s="12">
        <f>tItens[[#This Row],[Valor]]*(1-tItens[[#This Row],[Desconto]])</f>
        <v>0</v>
      </c>
      <c r="N1541" t="str">
        <f>IFERROR(INDEX(tProdutos[Foco],MATCH(tItens[[#This Row],[Produto]],tProdutos[Produto],0)),"Não")</f>
        <v>Não</v>
      </c>
      <c r="O1541" t="str">
        <f>IFERROR(INDEX(tEditais[SRP],MATCH(tItens[[#This Row],[Edital]],tEditais[Edital],0)),"Não")</f>
        <v>Não</v>
      </c>
      <c r="P1541" s="4">
        <f>IF(COUNTIFS(INDEX(tItens[Edital],1):tItens[[#This Row],[Edital]],tItens[[#This Row],[Edital]],INDEX(tItens[Produto],1):tItens[[#This Row],[Produto]],tItens[[#This Row],[Produto]])=1,1,0)</f>
        <v>0</v>
      </c>
    </row>
    <row r="1542" spans="1:16" x14ac:dyDescent="0.25">
      <c r="A1542" t="s">
        <v>1146</v>
      </c>
      <c r="B1542">
        <v>657</v>
      </c>
      <c r="C1542" t="s">
        <v>4600</v>
      </c>
      <c r="D1542" t="s">
        <v>253</v>
      </c>
      <c r="E1542" s="13">
        <v>180</v>
      </c>
      <c r="F1542" s="12">
        <v>0</v>
      </c>
      <c r="G1542" t="str">
        <f>IFERROR(INDEX(tEditais[Órgão],MATCH(tItens[[#This Row],[Edital]],tEditais[Edital],0)),"")</f>
        <v>FUNDO MUNICIPAL DE SAUDE DE MINEIROS</v>
      </c>
      <c r="H1542" t="str">
        <f>IFERROR(INDEX(tEditais[UF],MATCH(tItens[[#This Row],[Edital]],tEditais[Edital],0)),"")</f>
        <v>GO</v>
      </c>
      <c r="I1542" s="11">
        <f>IFERROR(INDEX(tEditais[Encerramento],MATCH(tItens[[#This Row],[Edital]],tEditais[Edital],0)),"")</f>
        <v>46308.291666666664</v>
      </c>
      <c r="J1542" t="str">
        <f>IFERROR(INDEX(tProdutos[Classe],MATCH(tItens[[#This Row],[Produto]],tProdutos[Produto],0)),"produto não cadastrado")</f>
        <v>FORA</v>
      </c>
      <c r="K1542" s="12">
        <f>tItens[[#This Row],[Qtd]]*tItens[[#This Row],[Vlr unit]]</f>
        <v>0</v>
      </c>
      <c r="L1542" s="6">
        <f>IFERROR(IF(INDEX(tProdutos[Desconto homologado],MATCH(tItens[[#This Row],[Produto]],tProdutos[Produto],0))="",DescontoPadrao,INDEX(tProdutos[Desconto homologado],MATCH(tItens[[#This Row],[Produto]],tProdutos[Produto],0))),DescontoPadrao)</f>
        <v>0.31735159817351599</v>
      </c>
      <c r="M1542" s="12">
        <f>tItens[[#This Row],[Valor]]*(1-tItens[[#This Row],[Desconto]])</f>
        <v>0</v>
      </c>
      <c r="N1542" t="str">
        <f>IFERROR(INDEX(tProdutos[Foco],MATCH(tItens[[#This Row],[Produto]],tProdutos[Produto],0)),"Não")</f>
        <v>Não</v>
      </c>
      <c r="O1542" t="str">
        <f>IFERROR(INDEX(tEditais[SRP],MATCH(tItens[[#This Row],[Edital]],tEditais[Edital],0)),"Não")</f>
        <v>Não</v>
      </c>
      <c r="P1542" s="4">
        <f>IF(COUNTIFS(INDEX(tItens[Edital],1):tItens[[#This Row],[Edital]],tItens[[#This Row],[Edital]],INDEX(tItens[Produto],1):tItens[[#This Row],[Produto]],tItens[[#This Row],[Produto]])=1,1,0)</f>
        <v>1</v>
      </c>
    </row>
    <row r="1543" spans="1:16" x14ac:dyDescent="0.25">
      <c r="A1543" t="s">
        <v>1146</v>
      </c>
      <c r="B1543">
        <v>658</v>
      </c>
      <c r="C1543" t="s">
        <v>4601</v>
      </c>
      <c r="D1543" t="s">
        <v>184</v>
      </c>
      <c r="E1543" s="13">
        <v>1060</v>
      </c>
      <c r="F1543" s="12">
        <v>0</v>
      </c>
      <c r="G1543" t="str">
        <f>IFERROR(INDEX(tEditais[Órgão],MATCH(tItens[[#This Row],[Edital]],tEditais[Edital],0)),"")</f>
        <v>FUNDO MUNICIPAL DE SAUDE DE MINEIROS</v>
      </c>
      <c r="H1543" t="str">
        <f>IFERROR(INDEX(tEditais[UF],MATCH(tItens[[#This Row],[Edital]],tEditais[Edital],0)),"")</f>
        <v>GO</v>
      </c>
      <c r="I1543" s="11">
        <f>IFERROR(INDEX(tEditais[Encerramento],MATCH(tItens[[#This Row],[Edital]],tEditais[Edital],0)),"")</f>
        <v>46308.291666666664</v>
      </c>
      <c r="J1543" t="str">
        <f>IFERROR(INDEX(tProdutos[Classe],MATCH(tItens[[#This Row],[Produto]],tProdutos[Produto],0)),"produto não cadastrado")</f>
        <v>FORA</v>
      </c>
      <c r="K1543" s="12">
        <f>tItens[[#This Row],[Qtd]]*tItens[[#This Row],[Vlr unit]]</f>
        <v>0</v>
      </c>
      <c r="L1543" s="6">
        <f>IFERROR(IF(INDEX(tProdutos[Desconto homologado],MATCH(tItens[[#This Row],[Produto]],tProdutos[Produto],0))="",DescontoPadrao,INDEX(tProdutos[Desconto homologado],MATCH(tItens[[#This Row],[Produto]],tProdutos[Produto],0))),DescontoPadrao)</f>
        <v>0.363567906332742</v>
      </c>
      <c r="M1543" s="12">
        <f>tItens[[#This Row],[Valor]]*(1-tItens[[#This Row],[Desconto]])</f>
        <v>0</v>
      </c>
      <c r="N1543" t="str">
        <f>IFERROR(INDEX(tProdutos[Foco],MATCH(tItens[[#This Row],[Produto]],tProdutos[Produto],0)),"Não")</f>
        <v>Não</v>
      </c>
      <c r="O1543" t="str">
        <f>IFERROR(INDEX(tEditais[SRP],MATCH(tItens[[#This Row],[Edital]],tEditais[Edital],0)),"Não")</f>
        <v>Não</v>
      </c>
      <c r="P1543" s="4">
        <f>IF(COUNTIFS(INDEX(tItens[Edital],1):tItens[[#This Row],[Edital]],tItens[[#This Row],[Edital]],INDEX(tItens[Produto],1):tItens[[#This Row],[Produto]],tItens[[#This Row],[Produto]])=1,1,0)</f>
        <v>0</v>
      </c>
    </row>
    <row r="1544" spans="1:16" x14ac:dyDescent="0.25">
      <c r="A1544" t="s">
        <v>1146</v>
      </c>
      <c r="B1544">
        <v>659</v>
      </c>
      <c r="C1544" t="s">
        <v>4602</v>
      </c>
      <c r="D1544" t="s">
        <v>253</v>
      </c>
      <c r="E1544" s="13">
        <v>120</v>
      </c>
      <c r="F1544" s="12">
        <v>0</v>
      </c>
      <c r="G1544" t="str">
        <f>IFERROR(INDEX(tEditais[Órgão],MATCH(tItens[[#This Row],[Edital]],tEditais[Edital],0)),"")</f>
        <v>FUNDO MUNICIPAL DE SAUDE DE MINEIROS</v>
      </c>
      <c r="H1544" t="str">
        <f>IFERROR(INDEX(tEditais[UF],MATCH(tItens[[#This Row],[Edital]],tEditais[Edital],0)),"")</f>
        <v>GO</v>
      </c>
      <c r="I1544" s="11">
        <f>IFERROR(INDEX(tEditais[Encerramento],MATCH(tItens[[#This Row],[Edital]],tEditais[Edital],0)),"")</f>
        <v>46308.291666666664</v>
      </c>
      <c r="J1544" t="str">
        <f>IFERROR(INDEX(tProdutos[Classe],MATCH(tItens[[#This Row],[Produto]],tProdutos[Produto],0)),"produto não cadastrado")</f>
        <v>FORA</v>
      </c>
      <c r="K1544" s="12">
        <f>tItens[[#This Row],[Qtd]]*tItens[[#This Row],[Vlr unit]]</f>
        <v>0</v>
      </c>
      <c r="L1544" s="6">
        <f>IFERROR(IF(INDEX(tProdutos[Desconto homologado],MATCH(tItens[[#This Row],[Produto]],tProdutos[Produto],0))="",DescontoPadrao,INDEX(tProdutos[Desconto homologado],MATCH(tItens[[#This Row],[Produto]],tProdutos[Produto],0))),DescontoPadrao)</f>
        <v>0.31735159817351599</v>
      </c>
      <c r="M1544" s="12">
        <f>tItens[[#This Row],[Valor]]*(1-tItens[[#This Row],[Desconto]])</f>
        <v>0</v>
      </c>
      <c r="N1544" t="str">
        <f>IFERROR(INDEX(tProdutos[Foco],MATCH(tItens[[#This Row],[Produto]],tProdutos[Produto],0)),"Não")</f>
        <v>Não</v>
      </c>
      <c r="O1544" t="str">
        <f>IFERROR(INDEX(tEditais[SRP],MATCH(tItens[[#This Row],[Edital]],tEditais[Edital],0)),"Não")</f>
        <v>Não</v>
      </c>
      <c r="P1544" s="4">
        <f>IF(COUNTIFS(INDEX(tItens[Edital],1):tItens[[#This Row],[Edital]],tItens[[#This Row],[Edital]],INDEX(tItens[Produto],1):tItens[[#This Row],[Produto]],tItens[[#This Row],[Produto]])=1,1,0)</f>
        <v>0</v>
      </c>
    </row>
    <row r="1545" spans="1:16" x14ac:dyDescent="0.25">
      <c r="A1545" t="s">
        <v>1146</v>
      </c>
      <c r="B1545">
        <v>660</v>
      </c>
      <c r="C1545" t="s">
        <v>4603</v>
      </c>
      <c r="D1545" t="s">
        <v>184</v>
      </c>
      <c r="E1545" s="13">
        <v>155</v>
      </c>
      <c r="F1545" s="12">
        <v>0</v>
      </c>
      <c r="G1545" t="str">
        <f>IFERROR(INDEX(tEditais[Órgão],MATCH(tItens[[#This Row],[Edital]],tEditais[Edital],0)),"")</f>
        <v>FUNDO MUNICIPAL DE SAUDE DE MINEIROS</v>
      </c>
      <c r="H1545" t="str">
        <f>IFERROR(INDEX(tEditais[UF],MATCH(tItens[[#This Row],[Edital]],tEditais[Edital],0)),"")</f>
        <v>GO</v>
      </c>
      <c r="I1545" s="11">
        <f>IFERROR(INDEX(tEditais[Encerramento],MATCH(tItens[[#This Row],[Edital]],tEditais[Edital],0)),"")</f>
        <v>46308.291666666664</v>
      </c>
      <c r="J1545" t="str">
        <f>IFERROR(INDEX(tProdutos[Classe],MATCH(tItens[[#This Row],[Produto]],tProdutos[Produto],0)),"produto não cadastrado")</f>
        <v>FORA</v>
      </c>
      <c r="K1545" s="12">
        <f>tItens[[#This Row],[Qtd]]*tItens[[#This Row],[Vlr unit]]</f>
        <v>0</v>
      </c>
      <c r="L1545" s="6">
        <f>IFERROR(IF(INDEX(tProdutos[Desconto homologado],MATCH(tItens[[#This Row],[Produto]],tProdutos[Produto],0))="",DescontoPadrao,INDEX(tProdutos[Desconto homologado],MATCH(tItens[[#This Row],[Produto]],tProdutos[Produto],0))),DescontoPadrao)</f>
        <v>0.363567906332742</v>
      </c>
      <c r="M1545" s="12">
        <f>tItens[[#This Row],[Valor]]*(1-tItens[[#This Row],[Desconto]])</f>
        <v>0</v>
      </c>
      <c r="N1545" t="str">
        <f>IFERROR(INDEX(tProdutos[Foco],MATCH(tItens[[#This Row],[Produto]],tProdutos[Produto],0)),"Não")</f>
        <v>Não</v>
      </c>
      <c r="O1545" t="str">
        <f>IFERROR(INDEX(tEditais[SRP],MATCH(tItens[[#This Row],[Edital]],tEditais[Edital],0)),"Não")</f>
        <v>Não</v>
      </c>
      <c r="P1545" s="4">
        <f>IF(COUNTIFS(INDEX(tItens[Edital],1):tItens[[#This Row],[Edital]],tItens[[#This Row],[Edital]],INDEX(tItens[Produto],1):tItens[[#This Row],[Produto]],tItens[[#This Row],[Produto]])=1,1,0)</f>
        <v>0</v>
      </c>
    </row>
    <row r="1546" spans="1:16" x14ac:dyDescent="0.25">
      <c r="A1546" t="s">
        <v>1146</v>
      </c>
      <c r="B1546">
        <v>661</v>
      </c>
      <c r="C1546" t="s">
        <v>4604</v>
      </c>
      <c r="D1546" t="s">
        <v>253</v>
      </c>
      <c r="E1546" s="13">
        <v>72</v>
      </c>
      <c r="F1546" s="12">
        <v>0</v>
      </c>
      <c r="G1546" t="str">
        <f>IFERROR(INDEX(tEditais[Órgão],MATCH(tItens[[#This Row],[Edital]],tEditais[Edital],0)),"")</f>
        <v>FUNDO MUNICIPAL DE SAUDE DE MINEIROS</v>
      </c>
      <c r="H1546" t="str">
        <f>IFERROR(INDEX(tEditais[UF],MATCH(tItens[[#This Row],[Edital]],tEditais[Edital],0)),"")</f>
        <v>GO</v>
      </c>
      <c r="I1546" s="11">
        <f>IFERROR(INDEX(tEditais[Encerramento],MATCH(tItens[[#This Row],[Edital]],tEditais[Edital],0)),"")</f>
        <v>46308.291666666664</v>
      </c>
      <c r="J1546" t="str">
        <f>IFERROR(INDEX(tProdutos[Classe],MATCH(tItens[[#This Row],[Produto]],tProdutos[Produto],0)),"produto não cadastrado")</f>
        <v>FORA</v>
      </c>
      <c r="K1546" s="12">
        <f>tItens[[#This Row],[Qtd]]*tItens[[#This Row],[Vlr unit]]</f>
        <v>0</v>
      </c>
      <c r="L1546" s="6">
        <f>IFERROR(IF(INDEX(tProdutos[Desconto homologado],MATCH(tItens[[#This Row],[Produto]],tProdutos[Produto],0))="",DescontoPadrao,INDEX(tProdutos[Desconto homologado],MATCH(tItens[[#This Row],[Produto]],tProdutos[Produto],0))),DescontoPadrao)</f>
        <v>0.31735159817351599</v>
      </c>
      <c r="M1546" s="12">
        <f>tItens[[#This Row],[Valor]]*(1-tItens[[#This Row],[Desconto]])</f>
        <v>0</v>
      </c>
      <c r="N1546" t="str">
        <f>IFERROR(INDEX(tProdutos[Foco],MATCH(tItens[[#This Row],[Produto]],tProdutos[Produto],0)),"Não")</f>
        <v>Não</v>
      </c>
      <c r="O1546" t="str">
        <f>IFERROR(INDEX(tEditais[SRP],MATCH(tItens[[#This Row],[Edital]],tEditais[Edital],0)),"Não")</f>
        <v>Não</v>
      </c>
      <c r="P1546" s="4">
        <f>IF(COUNTIFS(INDEX(tItens[Edital],1):tItens[[#This Row],[Edital]],tItens[[#This Row],[Edital]],INDEX(tItens[Produto],1):tItens[[#This Row],[Produto]],tItens[[#This Row],[Produto]])=1,1,0)</f>
        <v>0</v>
      </c>
    </row>
    <row r="1547" spans="1:16" x14ac:dyDescent="0.25">
      <c r="A1547" t="s">
        <v>1146</v>
      </c>
      <c r="B1547">
        <v>662</v>
      </c>
      <c r="C1547" t="s">
        <v>4605</v>
      </c>
      <c r="D1547" t="s">
        <v>184</v>
      </c>
      <c r="E1547" s="13">
        <v>255</v>
      </c>
      <c r="F1547" s="12">
        <v>0</v>
      </c>
      <c r="G1547" t="str">
        <f>IFERROR(INDEX(tEditais[Órgão],MATCH(tItens[[#This Row],[Edital]],tEditais[Edital],0)),"")</f>
        <v>FUNDO MUNICIPAL DE SAUDE DE MINEIROS</v>
      </c>
      <c r="H1547" t="str">
        <f>IFERROR(INDEX(tEditais[UF],MATCH(tItens[[#This Row],[Edital]],tEditais[Edital],0)),"")</f>
        <v>GO</v>
      </c>
      <c r="I1547" s="11">
        <f>IFERROR(INDEX(tEditais[Encerramento],MATCH(tItens[[#This Row],[Edital]],tEditais[Edital],0)),"")</f>
        <v>46308.291666666664</v>
      </c>
      <c r="J1547" t="str">
        <f>IFERROR(INDEX(tProdutos[Classe],MATCH(tItens[[#This Row],[Produto]],tProdutos[Produto],0)),"produto não cadastrado")</f>
        <v>FORA</v>
      </c>
      <c r="K1547" s="12">
        <f>tItens[[#This Row],[Qtd]]*tItens[[#This Row],[Vlr unit]]</f>
        <v>0</v>
      </c>
      <c r="L1547" s="6">
        <f>IFERROR(IF(INDEX(tProdutos[Desconto homologado],MATCH(tItens[[#This Row],[Produto]],tProdutos[Produto],0))="",DescontoPadrao,INDEX(tProdutos[Desconto homologado],MATCH(tItens[[#This Row],[Produto]],tProdutos[Produto],0))),DescontoPadrao)</f>
        <v>0.363567906332742</v>
      </c>
      <c r="M1547" s="12">
        <f>tItens[[#This Row],[Valor]]*(1-tItens[[#This Row],[Desconto]])</f>
        <v>0</v>
      </c>
      <c r="N1547" t="str">
        <f>IFERROR(INDEX(tProdutos[Foco],MATCH(tItens[[#This Row],[Produto]],tProdutos[Produto],0)),"Não")</f>
        <v>Não</v>
      </c>
      <c r="O1547" t="str">
        <f>IFERROR(INDEX(tEditais[SRP],MATCH(tItens[[#This Row],[Edital]],tEditais[Edital],0)),"Não")</f>
        <v>Não</v>
      </c>
      <c r="P1547" s="4">
        <f>IF(COUNTIFS(INDEX(tItens[Edital],1):tItens[[#This Row],[Edital]],tItens[[#This Row],[Edital]],INDEX(tItens[Produto],1):tItens[[#This Row],[Produto]],tItens[[#This Row],[Produto]])=1,1,0)</f>
        <v>0</v>
      </c>
    </row>
    <row r="1548" spans="1:16" x14ac:dyDescent="0.25">
      <c r="A1548" t="s">
        <v>1146</v>
      </c>
      <c r="B1548">
        <v>663</v>
      </c>
      <c r="C1548" t="s">
        <v>4606</v>
      </c>
      <c r="D1548" t="s">
        <v>253</v>
      </c>
      <c r="E1548" s="13">
        <v>73</v>
      </c>
      <c r="F1548" s="12">
        <v>0</v>
      </c>
      <c r="G1548" t="str">
        <f>IFERROR(INDEX(tEditais[Órgão],MATCH(tItens[[#This Row],[Edital]],tEditais[Edital],0)),"")</f>
        <v>FUNDO MUNICIPAL DE SAUDE DE MINEIROS</v>
      </c>
      <c r="H1548" t="str">
        <f>IFERROR(INDEX(tEditais[UF],MATCH(tItens[[#This Row],[Edital]],tEditais[Edital],0)),"")</f>
        <v>GO</v>
      </c>
      <c r="I1548" s="11">
        <f>IFERROR(INDEX(tEditais[Encerramento],MATCH(tItens[[#This Row],[Edital]],tEditais[Edital],0)),"")</f>
        <v>46308.291666666664</v>
      </c>
      <c r="J1548" t="str">
        <f>IFERROR(INDEX(tProdutos[Classe],MATCH(tItens[[#This Row],[Produto]],tProdutos[Produto],0)),"produto não cadastrado")</f>
        <v>FORA</v>
      </c>
      <c r="K1548" s="12">
        <f>tItens[[#This Row],[Qtd]]*tItens[[#This Row],[Vlr unit]]</f>
        <v>0</v>
      </c>
      <c r="L1548" s="6">
        <f>IFERROR(IF(INDEX(tProdutos[Desconto homologado],MATCH(tItens[[#This Row],[Produto]],tProdutos[Produto],0))="",DescontoPadrao,INDEX(tProdutos[Desconto homologado],MATCH(tItens[[#This Row],[Produto]],tProdutos[Produto],0))),DescontoPadrao)</f>
        <v>0.31735159817351599</v>
      </c>
      <c r="M1548" s="12">
        <f>tItens[[#This Row],[Valor]]*(1-tItens[[#This Row],[Desconto]])</f>
        <v>0</v>
      </c>
      <c r="N1548" t="str">
        <f>IFERROR(INDEX(tProdutos[Foco],MATCH(tItens[[#This Row],[Produto]],tProdutos[Produto],0)),"Não")</f>
        <v>Não</v>
      </c>
      <c r="O1548" t="str">
        <f>IFERROR(INDEX(tEditais[SRP],MATCH(tItens[[#This Row],[Edital]],tEditais[Edital],0)),"Não")</f>
        <v>Não</v>
      </c>
      <c r="P1548" s="4">
        <f>IF(COUNTIFS(INDEX(tItens[Edital],1):tItens[[#This Row],[Edital]],tItens[[#This Row],[Edital]],INDEX(tItens[Produto],1):tItens[[#This Row],[Produto]],tItens[[#This Row],[Produto]])=1,1,0)</f>
        <v>0</v>
      </c>
    </row>
    <row r="1549" spans="1:16" x14ac:dyDescent="0.25">
      <c r="A1549" t="s">
        <v>1146</v>
      </c>
      <c r="B1549">
        <v>664</v>
      </c>
      <c r="C1549" t="s">
        <v>4607</v>
      </c>
      <c r="D1549" t="s">
        <v>184</v>
      </c>
      <c r="E1549" s="13">
        <v>100</v>
      </c>
      <c r="F1549" s="12">
        <v>0</v>
      </c>
      <c r="G1549" t="str">
        <f>IFERROR(INDEX(tEditais[Órgão],MATCH(tItens[[#This Row],[Edital]],tEditais[Edital],0)),"")</f>
        <v>FUNDO MUNICIPAL DE SAUDE DE MINEIROS</v>
      </c>
      <c r="H1549" t="str">
        <f>IFERROR(INDEX(tEditais[UF],MATCH(tItens[[#This Row],[Edital]],tEditais[Edital],0)),"")</f>
        <v>GO</v>
      </c>
      <c r="I1549" s="11">
        <f>IFERROR(INDEX(tEditais[Encerramento],MATCH(tItens[[#This Row],[Edital]],tEditais[Edital],0)),"")</f>
        <v>46308.291666666664</v>
      </c>
      <c r="J1549" t="str">
        <f>IFERROR(INDEX(tProdutos[Classe],MATCH(tItens[[#This Row],[Produto]],tProdutos[Produto],0)),"produto não cadastrado")</f>
        <v>FORA</v>
      </c>
      <c r="K1549" s="12">
        <f>tItens[[#This Row],[Qtd]]*tItens[[#This Row],[Vlr unit]]</f>
        <v>0</v>
      </c>
      <c r="L1549" s="6">
        <f>IFERROR(IF(INDEX(tProdutos[Desconto homologado],MATCH(tItens[[#This Row],[Produto]],tProdutos[Produto],0))="",DescontoPadrao,INDEX(tProdutos[Desconto homologado],MATCH(tItens[[#This Row],[Produto]],tProdutos[Produto],0))),DescontoPadrao)</f>
        <v>0.363567906332742</v>
      </c>
      <c r="M1549" s="12">
        <f>tItens[[#This Row],[Valor]]*(1-tItens[[#This Row],[Desconto]])</f>
        <v>0</v>
      </c>
      <c r="N1549" t="str">
        <f>IFERROR(INDEX(tProdutos[Foco],MATCH(tItens[[#This Row],[Produto]],tProdutos[Produto],0)),"Não")</f>
        <v>Não</v>
      </c>
      <c r="O1549" t="str">
        <f>IFERROR(INDEX(tEditais[SRP],MATCH(tItens[[#This Row],[Edital]],tEditais[Edital],0)),"Não")</f>
        <v>Não</v>
      </c>
      <c r="P1549" s="4">
        <f>IF(COUNTIFS(INDEX(tItens[Edital],1):tItens[[#This Row],[Edital]],tItens[[#This Row],[Edital]],INDEX(tItens[Produto],1):tItens[[#This Row],[Produto]],tItens[[#This Row],[Produto]])=1,1,0)</f>
        <v>0</v>
      </c>
    </row>
    <row r="1550" spans="1:16" x14ac:dyDescent="0.25">
      <c r="A1550" t="s">
        <v>1146</v>
      </c>
      <c r="B1550">
        <v>665</v>
      </c>
      <c r="C1550" t="s">
        <v>4608</v>
      </c>
      <c r="D1550" t="s">
        <v>253</v>
      </c>
      <c r="E1550" s="13">
        <v>76</v>
      </c>
      <c r="F1550" s="12">
        <v>0</v>
      </c>
      <c r="G1550" t="str">
        <f>IFERROR(INDEX(tEditais[Órgão],MATCH(tItens[[#This Row],[Edital]],tEditais[Edital],0)),"")</f>
        <v>FUNDO MUNICIPAL DE SAUDE DE MINEIROS</v>
      </c>
      <c r="H1550" t="str">
        <f>IFERROR(INDEX(tEditais[UF],MATCH(tItens[[#This Row],[Edital]],tEditais[Edital],0)),"")</f>
        <v>GO</v>
      </c>
      <c r="I1550" s="11">
        <f>IFERROR(INDEX(tEditais[Encerramento],MATCH(tItens[[#This Row],[Edital]],tEditais[Edital],0)),"")</f>
        <v>46308.291666666664</v>
      </c>
      <c r="J1550" t="str">
        <f>IFERROR(INDEX(tProdutos[Classe],MATCH(tItens[[#This Row],[Produto]],tProdutos[Produto],0)),"produto não cadastrado")</f>
        <v>FORA</v>
      </c>
      <c r="K1550" s="12">
        <f>tItens[[#This Row],[Qtd]]*tItens[[#This Row],[Vlr unit]]</f>
        <v>0</v>
      </c>
      <c r="L1550" s="6">
        <f>IFERROR(IF(INDEX(tProdutos[Desconto homologado],MATCH(tItens[[#This Row],[Produto]],tProdutos[Produto],0))="",DescontoPadrao,INDEX(tProdutos[Desconto homologado],MATCH(tItens[[#This Row],[Produto]],tProdutos[Produto],0))),DescontoPadrao)</f>
        <v>0.31735159817351599</v>
      </c>
      <c r="M1550" s="12">
        <f>tItens[[#This Row],[Valor]]*(1-tItens[[#This Row],[Desconto]])</f>
        <v>0</v>
      </c>
      <c r="N1550" t="str">
        <f>IFERROR(INDEX(tProdutos[Foco],MATCH(tItens[[#This Row],[Produto]],tProdutos[Produto],0)),"Não")</f>
        <v>Não</v>
      </c>
      <c r="O1550" t="str">
        <f>IFERROR(INDEX(tEditais[SRP],MATCH(tItens[[#This Row],[Edital]],tEditais[Edital],0)),"Não")</f>
        <v>Não</v>
      </c>
      <c r="P1550" s="4">
        <f>IF(COUNTIFS(INDEX(tItens[Edital],1):tItens[[#This Row],[Edital]],tItens[[#This Row],[Edital]],INDEX(tItens[Produto],1):tItens[[#This Row],[Produto]],tItens[[#This Row],[Produto]])=1,1,0)</f>
        <v>0</v>
      </c>
    </row>
    <row r="1551" spans="1:16" x14ac:dyDescent="0.25">
      <c r="A1551" t="s">
        <v>1146</v>
      </c>
      <c r="B1551">
        <v>694</v>
      </c>
      <c r="C1551" t="s">
        <v>4609</v>
      </c>
      <c r="D1551" t="s">
        <v>110</v>
      </c>
      <c r="E1551" s="13">
        <v>100</v>
      </c>
      <c r="F1551" s="12">
        <v>0</v>
      </c>
      <c r="G1551" t="str">
        <f>IFERROR(INDEX(tEditais[Órgão],MATCH(tItens[[#This Row],[Edital]],tEditais[Edital],0)),"")</f>
        <v>FUNDO MUNICIPAL DE SAUDE DE MINEIROS</v>
      </c>
      <c r="H1551" t="str">
        <f>IFERROR(INDEX(tEditais[UF],MATCH(tItens[[#This Row],[Edital]],tEditais[Edital],0)),"")</f>
        <v>GO</v>
      </c>
      <c r="I1551" s="11">
        <f>IFERROR(INDEX(tEditais[Encerramento],MATCH(tItens[[#This Row],[Edital]],tEditais[Edital],0)),"")</f>
        <v>46308.291666666664</v>
      </c>
      <c r="J1551" t="str">
        <f>IFERROR(INDEX(tProdutos[Classe],MATCH(tItens[[#This Row],[Produto]],tProdutos[Produto],0)),"produto não cadastrado")</f>
        <v>NÚCLEO</v>
      </c>
      <c r="K1551" s="12">
        <f>tItens[[#This Row],[Qtd]]*tItens[[#This Row],[Vlr unit]]</f>
        <v>0</v>
      </c>
      <c r="L1551" s="6">
        <f>IFERROR(IF(INDEX(tProdutos[Desconto homologado],MATCH(tItens[[#This Row],[Produto]],tProdutos[Produto],0))="",DescontoPadrao,INDEX(tProdutos[Desconto homologado],MATCH(tItens[[#This Row],[Produto]],tProdutos[Produto],0))),DescontoPadrao)</f>
        <v>0.30410958904109597</v>
      </c>
      <c r="M1551" s="12">
        <f>tItens[[#This Row],[Valor]]*(1-tItens[[#This Row],[Desconto]])</f>
        <v>0</v>
      </c>
      <c r="N1551" t="str">
        <f>IFERROR(INDEX(tProdutos[Foco],MATCH(tItens[[#This Row],[Produto]],tProdutos[Produto],0)),"Não")</f>
        <v>Não</v>
      </c>
      <c r="O1551" t="str">
        <f>IFERROR(INDEX(tEditais[SRP],MATCH(tItens[[#This Row],[Edital]],tEditais[Edital],0)),"Não")</f>
        <v>Não</v>
      </c>
      <c r="P1551" s="4">
        <f>IF(COUNTIFS(INDEX(tItens[Edital],1):tItens[[#This Row],[Edital]],tItens[[#This Row],[Edital]],INDEX(tItens[Produto],1):tItens[[#This Row],[Produto]],tItens[[#This Row],[Produto]])=1,1,0)</f>
        <v>1</v>
      </c>
    </row>
    <row r="1552" spans="1:16" x14ac:dyDescent="0.25">
      <c r="A1552" t="s">
        <v>1146</v>
      </c>
      <c r="B1552">
        <v>695</v>
      </c>
      <c r="C1552" t="s">
        <v>4610</v>
      </c>
      <c r="D1552" t="s">
        <v>110</v>
      </c>
      <c r="E1552" s="13">
        <v>100</v>
      </c>
      <c r="F1552" s="12">
        <v>0</v>
      </c>
      <c r="G1552" t="str">
        <f>IFERROR(INDEX(tEditais[Órgão],MATCH(tItens[[#This Row],[Edital]],tEditais[Edital],0)),"")</f>
        <v>FUNDO MUNICIPAL DE SAUDE DE MINEIROS</v>
      </c>
      <c r="H1552" t="str">
        <f>IFERROR(INDEX(tEditais[UF],MATCH(tItens[[#This Row],[Edital]],tEditais[Edital],0)),"")</f>
        <v>GO</v>
      </c>
      <c r="I1552" s="11">
        <f>IFERROR(INDEX(tEditais[Encerramento],MATCH(tItens[[#This Row],[Edital]],tEditais[Edital],0)),"")</f>
        <v>46308.291666666664</v>
      </c>
      <c r="J1552" t="str">
        <f>IFERROR(INDEX(tProdutos[Classe],MATCH(tItens[[#This Row],[Produto]],tProdutos[Produto],0)),"produto não cadastrado")</f>
        <v>NÚCLEO</v>
      </c>
      <c r="K1552" s="12">
        <f>tItens[[#This Row],[Qtd]]*tItens[[#This Row],[Vlr unit]]</f>
        <v>0</v>
      </c>
      <c r="L1552" s="6">
        <f>IFERROR(IF(INDEX(tProdutos[Desconto homologado],MATCH(tItens[[#This Row],[Produto]],tProdutos[Produto],0))="",DescontoPadrao,INDEX(tProdutos[Desconto homologado],MATCH(tItens[[#This Row],[Produto]],tProdutos[Produto],0))),DescontoPadrao)</f>
        <v>0.30410958904109597</v>
      </c>
      <c r="M1552" s="12">
        <f>tItens[[#This Row],[Valor]]*(1-tItens[[#This Row],[Desconto]])</f>
        <v>0</v>
      </c>
      <c r="N1552" t="str">
        <f>IFERROR(INDEX(tProdutos[Foco],MATCH(tItens[[#This Row],[Produto]],tProdutos[Produto],0)),"Não")</f>
        <v>Não</v>
      </c>
      <c r="O1552" t="str">
        <f>IFERROR(INDEX(tEditais[SRP],MATCH(tItens[[#This Row],[Edital]],tEditais[Edital],0)),"Não")</f>
        <v>Não</v>
      </c>
      <c r="P1552" s="4">
        <f>IF(COUNTIFS(INDEX(tItens[Edital],1):tItens[[#This Row],[Edital]],tItens[[#This Row],[Edital]],INDEX(tItens[Produto],1):tItens[[#This Row],[Produto]],tItens[[#This Row],[Produto]])=1,1,0)</f>
        <v>0</v>
      </c>
    </row>
    <row r="1553" spans="1:16" x14ac:dyDescent="0.25">
      <c r="A1553" t="s">
        <v>1146</v>
      </c>
      <c r="B1553">
        <v>696</v>
      </c>
      <c r="C1553" t="s">
        <v>4611</v>
      </c>
      <c r="D1553" t="s">
        <v>110</v>
      </c>
      <c r="E1553" s="13">
        <v>100</v>
      </c>
      <c r="F1553" s="12">
        <v>0</v>
      </c>
      <c r="G1553" t="str">
        <f>IFERROR(INDEX(tEditais[Órgão],MATCH(tItens[[#This Row],[Edital]],tEditais[Edital],0)),"")</f>
        <v>FUNDO MUNICIPAL DE SAUDE DE MINEIROS</v>
      </c>
      <c r="H1553" t="str">
        <f>IFERROR(INDEX(tEditais[UF],MATCH(tItens[[#This Row],[Edital]],tEditais[Edital],0)),"")</f>
        <v>GO</v>
      </c>
      <c r="I1553" s="11">
        <f>IFERROR(INDEX(tEditais[Encerramento],MATCH(tItens[[#This Row],[Edital]],tEditais[Edital],0)),"")</f>
        <v>46308.291666666664</v>
      </c>
      <c r="J1553" t="str">
        <f>IFERROR(INDEX(tProdutos[Classe],MATCH(tItens[[#This Row],[Produto]],tProdutos[Produto],0)),"produto não cadastrado")</f>
        <v>NÚCLEO</v>
      </c>
      <c r="K1553" s="12">
        <f>tItens[[#This Row],[Qtd]]*tItens[[#This Row],[Vlr unit]]</f>
        <v>0</v>
      </c>
      <c r="L1553" s="6">
        <f>IFERROR(IF(INDEX(tProdutos[Desconto homologado],MATCH(tItens[[#This Row],[Produto]],tProdutos[Produto],0))="",DescontoPadrao,INDEX(tProdutos[Desconto homologado],MATCH(tItens[[#This Row],[Produto]],tProdutos[Produto],0))),DescontoPadrao)</f>
        <v>0.30410958904109597</v>
      </c>
      <c r="M1553" s="12">
        <f>tItens[[#This Row],[Valor]]*(1-tItens[[#This Row],[Desconto]])</f>
        <v>0</v>
      </c>
      <c r="N1553" t="str">
        <f>IFERROR(INDEX(tProdutos[Foco],MATCH(tItens[[#This Row],[Produto]],tProdutos[Produto],0)),"Não")</f>
        <v>Não</v>
      </c>
      <c r="O1553" t="str">
        <f>IFERROR(INDEX(tEditais[SRP],MATCH(tItens[[#This Row],[Edital]],tEditais[Edital],0)),"Não")</f>
        <v>Não</v>
      </c>
      <c r="P1553" s="4">
        <f>IF(COUNTIFS(INDEX(tItens[Edital],1):tItens[[#This Row],[Edital]],tItens[[#This Row],[Edital]],INDEX(tItens[Produto],1):tItens[[#This Row],[Produto]],tItens[[#This Row],[Produto]])=1,1,0)</f>
        <v>0</v>
      </c>
    </row>
    <row r="1554" spans="1:16" x14ac:dyDescent="0.25">
      <c r="A1554" t="s">
        <v>1146</v>
      </c>
      <c r="B1554">
        <v>697</v>
      </c>
      <c r="C1554" t="s">
        <v>4612</v>
      </c>
      <c r="D1554" t="s">
        <v>110</v>
      </c>
      <c r="E1554" s="13">
        <v>100</v>
      </c>
      <c r="F1554" s="12">
        <v>0</v>
      </c>
      <c r="G1554" t="str">
        <f>IFERROR(INDEX(tEditais[Órgão],MATCH(tItens[[#This Row],[Edital]],tEditais[Edital],0)),"")</f>
        <v>FUNDO MUNICIPAL DE SAUDE DE MINEIROS</v>
      </c>
      <c r="H1554" t="str">
        <f>IFERROR(INDEX(tEditais[UF],MATCH(tItens[[#This Row],[Edital]],tEditais[Edital],0)),"")</f>
        <v>GO</v>
      </c>
      <c r="I1554" s="11">
        <f>IFERROR(INDEX(tEditais[Encerramento],MATCH(tItens[[#This Row],[Edital]],tEditais[Edital],0)),"")</f>
        <v>46308.291666666664</v>
      </c>
      <c r="J1554" t="str">
        <f>IFERROR(INDEX(tProdutos[Classe],MATCH(tItens[[#This Row],[Produto]],tProdutos[Produto],0)),"produto não cadastrado")</f>
        <v>NÚCLEO</v>
      </c>
      <c r="K1554" s="12">
        <f>tItens[[#This Row],[Qtd]]*tItens[[#This Row],[Vlr unit]]</f>
        <v>0</v>
      </c>
      <c r="L1554" s="6">
        <f>IFERROR(IF(INDEX(tProdutos[Desconto homologado],MATCH(tItens[[#This Row],[Produto]],tProdutos[Produto],0))="",DescontoPadrao,INDEX(tProdutos[Desconto homologado],MATCH(tItens[[#This Row],[Produto]],tProdutos[Produto],0))),DescontoPadrao)</f>
        <v>0.30410958904109597</v>
      </c>
      <c r="M1554" s="12">
        <f>tItens[[#This Row],[Valor]]*(1-tItens[[#This Row],[Desconto]])</f>
        <v>0</v>
      </c>
      <c r="N1554" t="str">
        <f>IFERROR(INDEX(tProdutos[Foco],MATCH(tItens[[#This Row],[Produto]],tProdutos[Produto],0)),"Não")</f>
        <v>Não</v>
      </c>
      <c r="O1554" t="str">
        <f>IFERROR(INDEX(tEditais[SRP],MATCH(tItens[[#This Row],[Edital]],tEditais[Edital],0)),"Não")</f>
        <v>Não</v>
      </c>
      <c r="P1554" s="4">
        <f>IF(COUNTIFS(INDEX(tItens[Edital],1):tItens[[#This Row],[Edital]],tItens[[#This Row],[Edital]],INDEX(tItens[Produto],1):tItens[[#This Row],[Produto]],tItens[[#This Row],[Produto]])=1,1,0)</f>
        <v>0</v>
      </c>
    </row>
    <row r="1555" spans="1:16" x14ac:dyDescent="0.25">
      <c r="A1555" t="s">
        <v>1146</v>
      </c>
      <c r="B1555">
        <v>698</v>
      </c>
      <c r="C1555" t="s">
        <v>4613</v>
      </c>
      <c r="D1555" t="s">
        <v>110</v>
      </c>
      <c r="E1555" s="13">
        <v>100</v>
      </c>
      <c r="F1555" s="12">
        <v>0</v>
      </c>
      <c r="G1555" t="str">
        <f>IFERROR(INDEX(tEditais[Órgão],MATCH(tItens[[#This Row],[Edital]],tEditais[Edital],0)),"")</f>
        <v>FUNDO MUNICIPAL DE SAUDE DE MINEIROS</v>
      </c>
      <c r="H1555" t="str">
        <f>IFERROR(INDEX(tEditais[UF],MATCH(tItens[[#This Row],[Edital]],tEditais[Edital],0)),"")</f>
        <v>GO</v>
      </c>
      <c r="I1555" s="11">
        <f>IFERROR(INDEX(tEditais[Encerramento],MATCH(tItens[[#This Row],[Edital]],tEditais[Edital],0)),"")</f>
        <v>46308.291666666664</v>
      </c>
      <c r="J1555" t="str">
        <f>IFERROR(INDEX(tProdutos[Classe],MATCH(tItens[[#This Row],[Produto]],tProdutos[Produto],0)),"produto não cadastrado")</f>
        <v>NÚCLEO</v>
      </c>
      <c r="K1555" s="12">
        <f>tItens[[#This Row],[Qtd]]*tItens[[#This Row],[Vlr unit]]</f>
        <v>0</v>
      </c>
      <c r="L1555" s="6">
        <f>IFERROR(IF(INDEX(tProdutos[Desconto homologado],MATCH(tItens[[#This Row],[Produto]],tProdutos[Produto],0))="",DescontoPadrao,INDEX(tProdutos[Desconto homologado],MATCH(tItens[[#This Row],[Produto]],tProdutos[Produto],0))),DescontoPadrao)</f>
        <v>0.30410958904109597</v>
      </c>
      <c r="M1555" s="12">
        <f>tItens[[#This Row],[Valor]]*(1-tItens[[#This Row],[Desconto]])</f>
        <v>0</v>
      </c>
      <c r="N1555" t="str">
        <f>IFERROR(INDEX(tProdutos[Foco],MATCH(tItens[[#This Row],[Produto]],tProdutos[Produto],0)),"Não")</f>
        <v>Não</v>
      </c>
      <c r="O1555" t="str">
        <f>IFERROR(INDEX(tEditais[SRP],MATCH(tItens[[#This Row],[Edital]],tEditais[Edital],0)),"Não")</f>
        <v>Não</v>
      </c>
      <c r="P1555" s="4">
        <f>IF(COUNTIFS(INDEX(tItens[Edital],1):tItens[[#This Row],[Edital]],tItens[[#This Row],[Edital]],INDEX(tItens[Produto],1):tItens[[#This Row],[Produto]],tItens[[#This Row],[Produto]])=1,1,0)</f>
        <v>0</v>
      </c>
    </row>
    <row r="1556" spans="1:16" x14ac:dyDescent="0.25">
      <c r="A1556" t="s">
        <v>1146</v>
      </c>
      <c r="B1556">
        <v>699</v>
      </c>
      <c r="C1556" t="s">
        <v>4614</v>
      </c>
      <c r="D1556" t="s">
        <v>110</v>
      </c>
      <c r="E1556" s="13">
        <v>160</v>
      </c>
      <c r="F1556" s="12">
        <v>0</v>
      </c>
      <c r="G1556" t="str">
        <f>IFERROR(INDEX(tEditais[Órgão],MATCH(tItens[[#This Row],[Edital]],tEditais[Edital],0)),"")</f>
        <v>FUNDO MUNICIPAL DE SAUDE DE MINEIROS</v>
      </c>
      <c r="H1556" t="str">
        <f>IFERROR(INDEX(tEditais[UF],MATCH(tItens[[#This Row],[Edital]],tEditais[Edital],0)),"")</f>
        <v>GO</v>
      </c>
      <c r="I1556" s="11">
        <f>IFERROR(INDEX(tEditais[Encerramento],MATCH(tItens[[#This Row],[Edital]],tEditais[Edital],0)),"")</f>
        <v>46308.291666666664</v>
      </c>
      <c r="J1556" t="str">
        <f>IFERROR(INDEX(tProdutos[Classe],MATCH(tItens[[#This Row],[Produto]],tProdutos[Produto],0)),"produto não cadastrado")</f>
        <v>NÚCLEO</v>
      </c>
      <c r="K1556" s="12">
        <f>tItens[[#This Row],[Qtd]]*tItens[[#This Row],[Vlr unit]]</f>
        <v>0</v>
      </c>
      <c r="L1556" s="6">
        <f>IFERROR(IF(INDEX(tProdutos[Desconto homologado],MATCH(tItens[[#This Row],[Produto]],tProdutos[Produto],0))="",DescontoPadrao,INDEX(tProdutos[Desconto homologado],MATCH(tItens[[#This Row],[Produto]],tProdutos[Produto],0))),DescontoPadrao)</f>
        <v>0.30410958904109597</v>
      </c>
      <c r="M1556" s="12">
        <f>tItens[[#This Row],[Valor]]*(1-tItens[[#This Row],[Desconto]])</f>
        <v>0</v>
      </c>
      <c r="N1556" t="str">
        <f>IFERROR(INDEX(tProdutos[Foco],MATCH(tItens[[#This Row],[Produto]],tProdutos[Produto],0)),"Não")</f>
        <v>Não</v>
      </c>
      <c r="O1556" t="str">
        <f>IFERROR(INDEX(tEditais[SRP],MATCH(tItens[[#This Row],[Edital]],tEditais[Edital],0)),"Não")</f>
        <v>Não</v>
      </c>
      <c r="P1556" s="4">
        <f>IF(COUNTIFS(INDEX(tItens[Edital],1):tItens[[#This Row],[Edital]],tItens[[#This Row],[Edital]],INDEX(tItens[Produto],1):tItens[[#This Row],[Produto]],tItens[[#This Row],[Produto]])=1,1,0)</f>
        <v>0</v>
      </c>
    </row>
    <row r="1557" spans="1:16" x14ac:dyDescent="0.25">
      <c r="A1557" t="s">
        <v>1146</v>
      </c>
      <c r="B1557">
        <v>700</v>
      </c>
      <c r="C1557" t="s">
        <v>4615</v>
      </c>
      <c r="D1557" t="s">
        <v>110</v>
      </c>
      <c r="E1557" s="13">
        <v>100</v>
      </c>
      <c r="F1557" s="12">
        <v>0</v>
      </c>
      <c r="G1557" t="str">
        <f>IFERROR(INDEX(tEditais[Órgão],MATCH(tItens[[#This Row],[Edital]],tEditais[Edital],0)),"")</f>
        <v>FUNDO MUNICIPAL DE SAUDE DE MINEIROS</v>
      </c>
      <c r="H1557" t="str">
        <f>IFERROR(INDEX(tEditais[UF],MATCH(tItens[[#This Row],[Edital]],tEditais[Edital],0)),"")</f>
        <v>GO</v>
      </c>
      <c r="I1557" s="11">
        <f>IFERROR(INDEX(tEditais[Encerramento],MATCH(tItens[[#This Row],[Edital]],tEditais[Edital],0)),"")</f>
        <v>46308.291666666664</v>
      </c>
      <c r="J1557" t="str">
        <f>IFERROR(INDEX(tProdutos[Classe],MATCH(tItens[[#This Row],[Produto]],tProdutos[Produto],0)),"produto não cadastrado")</f>
        <v>NÚCLEO</v>
      </c>
      <c r="K1557" s="12">
        <f>tItens[[#This Row],[Qtd]]*tItens[[#This Row],[Vlr unit]]</f>
        <v>0</v>
      </c>
      <c r="L1557" s="6">
        <f>IFERROR(IF(INDEX(tProdutos[Desconto homologado],MATCH(tItens[[#This Row],[Produto]],tProdutos[Produto],0))="",DescontoPadrao,INDEX(tProdutos[Desconto homologado],MATCH(tItens[[#This Row],[Produto]],tProdutos[Produto],0))),DescontoPadrao)</f>
        <v>0.30410958904109597</v>
      </c>
      <c r="M1557" s="12">
        <f>tItens[[#This Row],[Valor]]*(1-tItens[[#This Row],[Desconto]])</f>
        <v>0</v>
      </c>
      <c r="N1557" t="str">
        <f>IFERROR(INDEX(tProdutos[Foco],MATCH(tItens[[#This Row],[Produto]],tProdutos[Produto],0)),"Não")</f>
        <v>Não</v>
      </c>
      <c r="O1557" t="str">
        <f>IFERROR(INDEX(tEditais[SRP],MATCH(tItens[[#This Row],[Edital]],tEditais[Edital],0)),"Não")</f>
        <v>Não</v>
      </c>
      <c r="P1557" s="4">
        <f>IF(COUNTIFS(INDEX(tItens[Edital],1):tItens[[#This Row],[Edital]],tItens[[#This Row],[Edital]],INDEX(tItens[Produto],1):tItens[[#This Row],[Produto]],tItens[[#This Row],[Produto]])=1,1,0)</f>
        <v>0</v>
      </c>
    </row>
    <row r="1558" spans="1:16" x14ac:dyDescent="0.25">
      <c r="A1558" t="s">
        <v>1146</v>
      </c>
      <c r="B1558">
        <v>701</v>
      </c>
      <c r="C1558" t="s">
        <v>4616</v>
      </c>
      <c r="D1558" t="s">
        <v>110</v>
      </c>
      <c r="E1558" s="13">
        <v>100</v>
      </c>
      <c r="F1558" s="12">
        <v>0</v>
      </c>
      <c r="G1558" t="str">
        <f>IFERROR(INDEX(tEditais[Órgão],MATCH(tItens[[#This Row],[Edital]],tEditais[Edital],0)),"")</f>
        <v>FUNDO MUNICIPAL DE SAUDE DE MINEIROS</v>
      </c>
      <c r="H1558" t="str">
        <f>IFERROR(INDEX(tEditais[UF],MATCH(tItens[[#This Row],[Edital]],tEditais[Edital],0)),"")</f>
        <v>GO</v>
      </c>
      <c r="I1558" s="11">
        <f>IFERROR(INDEX(tEditais[Encerramento],MATCH(tItens[[#This Row],[Edital]],tEditais[Edital],0)),"")</f>
        <v>46308.291666666664</v>
      </c>
      <c r="J1558" t="str">
        <f>IFERROR(INDEX(tProdutos[Classe],MATCH(tItens[[#This Row],[Produto]],tProdutos[Produto],0)),"produto não cadastrado")</f>
        <v>NÚCLEO</v>
      </c>
      <c r="K1558" s="12">
        <f>tItens[[#This Row],[Qtd]]*tItens[[#This Row],[Vlr unit]]</f>
        <v>0</v>
      </c>
      <c r="L1558" s="6">
        <f>IFERROR(IF(INDEX(tProdutos[Desconto homologado],MATCH(tItens[[#This Row],[Produto]],tProdutos[Produto],0))="",DescontoPadrao,INDEX(tProdutos[Desconto homologado],MATCH(tItens[[#This Row],[Produto]],tProdutos[Produto],0))),DescontoPadrao)</f>
        <v>0.30410958904109597</v>
      </c>
      <c r="M1558" s="12">
        <f>tItens[[#This Row],[Valor]]*(1-tItens[[#This Row],[Desconto]])</f>
        <v>0</v>
      </c>
      <c r="N1558" t="str">
        <f>IFERROR(INDEX(tProdutos[Foco],MATCH(tItens[[#This Row],[Produto]],tProdutos[Produto],0)),"Não")</f>
        <v>Não</v>
      </c>
      <c r="O1558" t="str">
        <f>IFERROR(INDEX(tEditais[SRP],MATCH(tItens[[#This Row],[Edital]],tEditais[Edital],0)),"Não")</f>
        <v>Não</v>
      </c>
      <c r="P1558" s="4">
        <f>IF(COUNTIFS(INDEX(tItens[Edital],1):tItens[[#This Row],[Edital]],tItens[[#This Row],[Edital]],INDEX(tItens[Produto],1):tItens[[#This Row],[Produto]],tItens[[#This Row],[Produto]])=1,1,0)</f>
        <v>0</v>
      </c>
    </row>
    <row r="1559" spans="1:16" x14ac:dyDescent="0.25">
      <c r="A1559" t="s">
        <v>1146</v>
      </c>
      <c r="B1559">
        <v>702</v>
      </c>
      <c r="C1559" t="s">
        <v>4617</v>
      </c>
      <c r="D1559" t="s">
        <v>110</v>
      </c>
      <c r="E1559" s="13">
        <v>200</v>
      </c>
      <c r="F1559" s="12">
        <v>0</v>
      </c>
      <c r="G1559" t="str">
        <f>IFERROR(INDEX(tEditais[Órgão],MATCH(tItens[[#This Row],[Edital]],tEditais[Edital],0)),"")</f>
        <v>FUNDO MUNICIPAL DE SAUDE DE MINEIROS</v>
      </c>
      <c r="H1559" t="str">
        <f>IFERROR(INDEX(tEditais[UF],MATCH(tItens[[#This Row],[Edital]],tEditais[Edital],0)),"")</f>
        <v>GO</v>
      </c>
      <c r="I1559" s="11">
        <f>IFERROR(INDEX(tEditais[Encerramento],MATCH(tItens[[#This Row],[Edital]],tEditais[Edital],0)),"")</f>
        <v>46308.291666666664</v>
      </c>
      <c r="J1559" t="str">
        <f>IFERROR(INDEX(tProdutos[Classe],MATCH(tItens[[#This Row],[Produto]],tProdutos[Produto],0)),"produto não cadastrado")</f>
        <v>NÚCLEO</v>
      </c>
      <c r="K1559" s="12">
        <f>tItens[[#This Row],[Qtd]]*tItens[[#This Row],[Vlr unit]]</f>
        <v>0</v>
      </c>
      <c r="L1559" s="6">
        <f>IFERROR(IF(INDEX(tProdutos[Desconto homologado],MATCH(tItens[[#This Row],[Produto]],tProdutos[Produto],0))="",DescontoPadrao,INDEX(tProdutos[Desconto homologado],MATCH(tItens[[#This Row],[Produto]],tProdutos[Produto],0))),DescontoPadrao)</f>
        <v>0.30410958904109597</v>
      </c>
      <c r="M1559" s="12">
        <f>tItens[[#This Row],[Valor]]*(1-tItens[[#This Row],[Desconto]])</f>
        <v>0</v>
      </c>
      <c r="N1559" t="str">
        <f>IFERROR(INDEX(tProdutos[Foco],MATCH(tItens[[#This Row],[Produto]],tProdutos[Produto],0)),"Não")</f>
        <v>Não</v>
      </c>
      <c r="O1559" t="str">
        <f>IFERROR(INDEX(tEditais[SRP],MATCH(tItens[[#This Row],[Edital]],tEditais[Edital],0)),"Não")</f>
        <v>Não</v>
      </c>
      <c r="P1559" s="4">
        <f>IF(COUNTIFS(INDEX(tItens[Edital],1):tItens[[#This Row],[Edital]],tItens[[#This Row],[Edital]],INDEX(tItens[Produto],1):tItens[[#This Row],[Produto]],tItens[[#This Row],[Produto]])=1,1,0)</f>
        <v>0</v>
      </c>
    </row>
    <row r="1560" spans="1:16" x14ac:dyDescent="0.25">
      <c r="A1560" t="s">
        <v>1146</v>
      </c>
      <c r="B1560">
        <v>703</v>
      </c>
      <c r="C1560" t="s">
        <v>4618</v>
      </c>
      <c r="D1560" t="s">
        <v>110</v>
      </c>
      <c r="E1560" s="13">
        <v>200</v>
      </c>
      <c r="F1560" s="12">
        <v>0</v>
      </c>
      <c r="G1560" t="str">
        <f>IFERROR(INDEX(tEditais[Órgão],MATCH(tItens[[#This Row],[Edital]],tEditais[Edital],0)),"")</f>
        <v>FUNDO MUNICIPAL DE SAUDE DE MINEIROS</v>
      </c>
      <c r="H1560" t="str">
        <f>IFERROR(INDEX(tEditais[UF],MATCH(tItens[[#This Row],[Edital]],tEditais[Edital],0)),"")</f>
        <v>GO</v>
      </c>
      <c r="I1560" s="11">
        <f>IFERROR(INDEX(tEditais[Encerramento],MATCH(tItens[[#This Row],[Edital]],tEditais[Edital],0)),"")</f>
        <v>46308.291666666664</v>
      </c>
      <c r="J1560" t="str">
        <f>IFERROR(INDEX(tProdutos[Classe],MATCH(tItens[[#This Row],[Produto]],tProdutos[Produto],0)),"produto não cadastrado")</f>
        <v>NÚCLEO</v>
      </c>
      <c r="K1560" s="12">
        <f>tItens[[#This Row],[Qtd]]*tItens[[#This Row],[Vlr unit]]</f>
        <v>0</v>
      </c>
      <c r="L1560" s="6">
        <f>IFERROR(IF(INDEX(tProdutos[Desconto homologado],MATCH(tItens[[#This Row],[Produto]],tProdutos[Produto],0))="",DescontoPadrao,INDEX(tProdutos[Desconto homologado],MATCH(tItens[[#This Row],[Produto]],tProdutos[Produto],0))),DescontoPadrao)</f>
        <v>0.30410958904109597</v>
      </c>
      <c r="M1560" s="12">
        <f>tItens[[#This Row],[Valor]]*(1-tItens[[#This Row],[Desconto]])</f>
        <v>0</v>
      </c>
      <c r="N1560" t="str">
        <f>IFERROR(INDEX(tProdutos[Foco],MATCH(tItens[[#This Row],[Produto]],tProdutos[Produto],0)),"Não")</f>
        <v>Não</v>
      </c>
      <c r="O1560" t="str">
        <f>IFERROR(INDEX(tEditais[SRP],MATCH(tItens[[#This Row],[Edital]],tEditais[Edital],0)),"Não")</f>
        <v>Não</v>
      </c>
      <c r="P1560" s="4">
        <f>IF(COUNTIFS(INDEX(tItens[Edital],1):tItens[[#This Row],[Edital]],tItens[[#This Row],[Edital]],INDEX(tItens[Produto],1):tItens[[#This Row],[Produto]],tItens[[#This Row],[Produto]])=1,1,0)</f>
        <v>0</v>
      </c>
    </row>
    <row r="1561" spans="1:16" x14ac:dyDescent="0.25">
      <c r="A1561" t="s">
        <v>1146</v>
      </c>
      <c r="B1561">
        <v>704</v>
      </c>
      <c r="C1561" t="s">
        <v>4619</v>
      </c>
      <c r="D1561" t="s">
        <v>110</v>
      </c>
      <c r="E1561" s="13">
        <v>100</v>
      </c>
      <c r="F1561" s="12">
        <v>0</v>
      </c>
      <c r="G1561" t="str">
        <f>IFERROR(INDEX(tEditais[Órgão],MATCH(tItens[[#This Row],[Edital]],tEditais[Edital],0)),"")</f>
        <v>FUNDO MUNICIPAL DE SAUDE DE MINEIROS</v>
      </c>
      <c r="H1561" t="str">
        <f>IFERROR(INDEX(tEditais[UF],MATCH(tItens[[#This Row],[Edital]],tEditais[Edital],0)),"")</f>
        <v>GO</v>
      </c>
      <c r="I1561" s="11">
        <f>IFERROR(INDEX(tEditais[Encerramento],MATCH(tItens[[#This Row],[Edital]],tEditais[Edital],0)),"")</f>
        <v>46308.291666666664</v>
      </c>
      <c r="J1561" t="str">
        <f>IFERROR(INDEX(tProdutos[Classe],MATCH(tItens[[#This Row],[Produto]],tProdutos[Produto],0)),"produto não cadastrado")</f>
        <v>NÚCLEO</v>
      </c>
      <c r="K1561" s="12">
        <f>tItens[[#This Row],[Qtd]]*tItens[[#This Row],[Vlr unit]]</f>
        <v>0</v>
      </c>
      <c r="L1561" s="6">
        <f>IFERROR(IF(INDEX(tProdutos[Desconto homologado],MATCH(tItens[[#This Row],[Produto]],tProdutos[Produto],0))="",DescontoPadrao,INDEX(tProdutos[Desconto homologado],MATCH(tItens[[#This Row],[Produto]],tProdutos[Produto],0))),DescontoPadrao)</f>
        <v>0.30410958904109597</v>
      </c>
      <c r="M1561" s="12">
        <f>tItens[[#This Row],[Valor]]*(1-tItens[[#This Row],[Desconto]])</f>
        <v>0</v>
      </c>
      <c r="N1561" t="str">
        <f>IFERROR(INDEX(tProdutos[Foco],MATCH(tItens[[#This Row],[Produto]],tProdutos[Produto],0)),"Não")</f>
        <v>Não</v>
      </c>
      <c r="O1561" t="str">
        <f>IFERROR(INDEX(tEditais[SRP],MATCH(tItens[[#This Row],[Edital]],tEditais[Edital],0)),"Não")</f>
        <v>Não</v>
      </c>
      <c r="P1561" s="4">
        <f>IF(COUNTIFS(INDEX(tItens[Edital],1):tItens[[#This Row],[Edital]],tItens[[#This Row],[Edital]],INDEX(tItens[Produto],1):tItens[[#This Row],[Produto]],tItens[[#This Row],[Produto]])=1,1,0)</f>
        <v>0</v>
      </c>
    </row>
    <row r="1562" spans="1:16" x14ac:dyDescent="0.25">
      <c r="A1562" t="s">
        <v>1146</v>
      </c>
      <c r="B1562">
        <v>705</v>
      </c>
      <c r="C1562" t="s">
        <v>4620</v>
      </c>
      <c r="D1562" t="s">
        <v>110</v>
      </c>
      <c r="E1562" s="13">
        <v>300</v>
      </c>
      <c r="F1562" s="12">
        <v>0</v>
      </c>
      <c r="G1562" t="str">
        <f>IFERROR(INDEX(tEditais[Órgão],MATCH(tItens[[#This Row],[Edital]],tEditais[Edital],0)),"")</f>
        <v>FUNDO MUNICIPAL DE SAUDE DE MINEIROS</v>
      </c>
      <c r="H1562" t="str">
        <f>IFERROR(INDEX(tEditais[UF],MATCH(tItens[[#This Row],[Edital]],tEditais[Edital],0)),"")</f>
        <v>GO</v>
      </c>
      <c r="I1562" s="11">
        <f>IFERROR(INDEX(tEditais[Encerramento],MATCH(tItens[[#This Row],[Edital]],tEditais[Edital],0)),"")</f>
        <v>46308.291666666664</v>
      </c>
      <c r="J1562" t="str">
        <f>IFERROR(INDEX(tProdutos[Classe],MATCH(tItens[[#This Row],[Produto]],tProdutos[Produto],0)),"produto não cadastrado")</f>
        <v>NÚCLEO</v>
      </c>
      <c r="K1562" s="12">
        <f>tItens[[#This Row],[Qtd]]*tItens[[#This Row],[Vlr unit]]</f>
        <v>0</v>
      </c>
      <c r="L1562" s="6">
        <f>IFERROR(IF(INDEX(tProdutos[Desconto homologado],MATCH(tItens[[#This Row],[Produto]],tProdutos[Produto],0))="",DescontoPadrao,INDEX(tProdutos[Desconto homologado],MATCH(tItens[[#This Row],[Produto]],tProdutos[Produto],0))),DescontoPadrao)</f>
        <v>0.30410958904109597</v>
      </c>
      <c r="M1562" s="12">
        <f>tItens[[#This Row],[Valor]]*(1-tItens[[#This Row],[Desconto]])</f>
        <v>0</v>
      </c>
      <c r="N1562" t="str">
        <f>IFERROR(INDEX(tProdutos[Foco],MATCH(tItens[[#This Row],[Produto]],tProdutos[Produto],0)),"Não")</f>
        <v>Não</v>
      </c>
      <c r="O1562" t="str">
        <f>IFERROR(INDEX(tEditais[SRP],MATCH(tItens[[#This Row],[Edital]],tEditais[Edital],0)),"Não")</f>
        <v>Não</v>
      </c>
      <c r="P1562" s="4">
        <f>IF(COUNTIFS(INDEX(tItens[Edital],1):tItens[[#This Row],[Edital]],tItens[[#This Row],[Edital]],INDEX(tItens[Produto],1):tItens[[#This Row],[Produto]],tItens[[#This Row],[Produto]])=1,1,0)</f>
        <v>0</v>
      </c>
    </row>
    <row r="1563" spans="1:16" x14ac:dyDescent="0.25">
      <c r="A1563" t="s">
        <v>1146</v>
      </c>
      <c r="B1563">
        <v>706</v>
      </c>
      <c r="C1563" t="s">
        <v>4621</v>
      </c>
      <c r="D1563" t="s">
        <v>110</v>
      </c>
      <c r="E1563" s="13">
        <v>300</v>
      </c>
      <c r="F1563" s="12">
        <v>0</v>
      </c>
      <c r="G1563" t="str">
        <f>IFERROR(INDEX(tEditais[Órgão],MATCH(tItens[[#This Row],[Edital]],tEditais[Edital],0)),"")</f>
        <v>FUNDO MUNICIPAL DE SAUDE DE MINEIROS</v>
      </c>
      <c r="H1563" t="str">
        <f>IFERROR(INDEX(tEditais[UF],MATCH(tItens[[#This Row],[Edital]],tEditais[Edital],0)),"")</f>
        <v>GO</v>
      </c>
      <c r="I1563" s="11">
        <f>IFERROR(INDEX(tEditais[Encerramento],MATCH(tItens[[#This Row],[Edital]],tEditais[Edital],0)),"")</f>
        <v>46308.291666666664</v>
      </c>
      <c r="J1563" t="str">
        <f>IFERROR(INDEX(tProdutos[Classe],MATCH(tItens[[#This Row],[Produto]],tProdutos[Produto],0)),"produto não cadastrado")</f>
        <v>NÚCLEO</v>
      </c>
      <c r="K1563" s="12">
        <f>tItens[[#This Row],[Qtd]]*tItens[[#This Row],[Vlr unit]]</f>
        <v>0</v>
      </c>
      <c r="L1563" s="6">
        <f>IFERROR(IF(INDEX(tProdutos[Desconto homologado],MATCH(tItens[[#This Row],[Produto]],tProdutos[Produto],0))="",DescontoPadrao,INDEX(tProdutos[Desconto homologado],MATCH(tItens[[#This Row],[Produto]],tProdutos[Produto],0))),DescontoPadrao)</f>
        <v>0.30410958904109597</v>
      </c>
      <c r="M1563" s="12">
        <f>tItens[[#This Row],[Valor]]*(1-tItens[[#This Row],[Desconto]])</f>
        <v>0</v>
      </c>
      <c r="N1563" t="str">
        <f>IFERROR(INDEX(tProdutos[Foco],MATCH(tItens[[#This Row],[Produto]],tProdutos[Produto],0)),"Não")</f>
        <v>Não</v>
      </c>
      <c r="O1563" t="str">
        <f>IFERROR(INDEX(tEditais[SRP],MATCH(tItens[[#This Row],[Edital]],tEditais[Edital],0)),"Não")</f>
        <v>Não</v>
      </c>
      <c r="P1563" s="4">
        <f>IF(COUNTIFS(INDEX(tItens[Edital],1):tItens[[#This Row],[Edital]],tItens[[#This Row],[Edital]],INDEX(tItens[Produto],1):tItens[[#This Row],[Produto]],tItens[[#This Row],[Produto]])=1,1,0)</f>
        <v>0</v>
      </c>
    </row>
    <row r="1564" spans="1:16" x14ac:dyDescent="0.25">
      <c r="A1564" t="s">
        <v>1146</v>
      </c>
      <c r="B1564">
        <v>707</v>
      </c>
      <c r="C1564" t="s">
        <v>4622</v>
      </c>
      <c r="D1564" t="s">
        <v>110</v>
      </c>
      <c r="E1564" s="13">
        <v>300</v>
      </c>
      <c r="F1564" s="12">
        <v>0</v>
      </c>
      <c r="G1564" t="str">
        <f>IFERROR(INDEX(tEditais[Órgão],MATCH(tItens[[#This Row],[Edital]],tEditais[Edital],0)),"")</f>
        <v>FUNDO MUNICIPAL DE SAUDE DE MINEIROS</v>
      </c>
      <c r="H1564" t="str">
        <f>IFERROR(INDEX(tEditais[UF],MATCH(tItens[[#This Row],[Edital]],tEditais[Edital],0)),"")</f>
        <v>GO</v>
      </c>
      <c r="I1564" s="11">
        <f>IFERROR(INDEX(tEditais[Encerramento],MATCH(tItens[[#This Row],[Edital]],tEditais[Edital],0)),"")</f>
        <v>46308.291666666664</v>
      </c>
      <c r="J1564" t="str">
        <f>IFERROR(INDEX(tProdutos[Classe],MATCH(tItens[[#This Row],[Produto]],tProdutos[Produto],0)),"produto não cadastrado")</f>
        <v>NÚCLEO</v>
      </c>
      <c r="K1564" s="12">
        <f>tItens[[#This Row],[Qtd]]*tItens[[#This Row],[Vlr unit]]</f>
        <v>0</v>
      </c>
      <c r="L1564" s="6">
        <f>IFERROR(IF(INDEX(tProdutos[Desconto homologado],MATCH(tItens[[#This Row],[Produto]],tProdutos[Produto],0))="",DescontoPadrao,INDEX(tProdutos[Desconto homologado],MATCH(tItens[[#This Row],[Produto]],tProdutos[Produto],0))),DescontoPadrao)</f>
        <v>0.30410958904109597</v>
      </c>
      <c r="M1564" s="12">
        <f>tItens[[#This Row],[Valor]]*(1-tItens[[#This Row],[Desconto]])</f>
        <v>0</v>
      </c>
      <c r="N1564" t="str">
        <f>IFERROR(INDEX(tProdutos[Foco],MATCH(tItens[[#This Row],[Produto]],tProdutos[Produto],0)),"Não")</f>
        <v>Não</v>
      </c>
      <c r="O1564" t="str">
        <f>IFERROR(INDEX(tEditais[SRP],MATCH(tItens[[#This Row],[Edital]],tEditais[Edital],0)),"Não")</f>
        <v>Não</v>
      </c>
      <c r="P1564" s="4">
        <f>IF(COUNTIFS(INDEX(tItens[Edital],1):tItens[[#This Row],[Edital]],tItens[[#This Row],[Edital]],INDEX(tItens[Produto],1):tItens[[#This Row],[Produto]],tItens[[#This Row],[Produto]])=1,1,0)</f>
        <v>0</v>
      </c>
    </row>
    <row r="1565" spans="1:16" x14ac:dyDescent="0.25">
      <c r="A1565" t="s">
        <v>1146</v>
      </c>
      <c r="B1565">
        <v>708</v>
      </c>
      <c r="C1565" t="s">
        <v>4623</v>
      </c>
      <c r="D1565" t="s">
        <v>110</v>
      </c>
      <c r="E1565" s="13">
        <v>300</v>
      </c>
      <c r="F1565" s="12">
        <v>0</v>
      </c>
      <c r="G1565" t="str">
        <f>IFERROR(INDEX(tEditais[Órgão],MATCH(tItens[[#This Row],[Edital]],tEditais[Edital],0)),"")</f>
        <v>FUNDO MUNICIPAL DE SAUDE DE MINEIROS</v>
      </c>
      <c r="H1565" t="str">
        <f>IFERROR(INDEX(tEditais[UF],MATCH(tItens[[#This Row],[Edital]],tEditais[Edital],0)),"")</f>
        <v>GO</v>
      </c>
      <c r="I1565" s="11">
        <f>IFERROR(INDEX(tEditais[Encerramento],MATCH(tItens[[#This Row],[Edital]],tEditais[Edital],0)),"")</f>
        <v>46308.291666666664</v>
      </c>
      <c r="J1565" t="str">
        <f>IFERROR(INDEX(tProdutos[Classe],MATCH(tItens[[#This Row],[Produto]],tProdutos[Produto],0)),"produto não cadastrado")</f>
        <v>NÚCLEO</v>
      </c>
      <c r="K1565" s="12">
        <f>tItens[[#This Row],[Qtd]]*tItens[[#This Row],[Vlr unit]]</f>
        <v>0</v>
      </c>
      <c r="L1565" s="6">
        <f>IFERROR(IF(INDEX(tProdutos[Desconto homologado],MATCH(tItens[[#This Row],[Produto]],tProdutos[Produto],0))="",DescontoPadrao,INDEX(tProdutos[Desconto homologado],MATCH(tItens[[#This Row],[Produto]],tProdutos[Produto],0))),DescontoPadrao)</f>
        <v>0.30410958904109597</v>
      </c>
      <c r="M1565" s="12">
        <f>tItens[[#This Row],[Valor]]*(1-tItens[[#This Row],[Desconto]])</f>
        <v>0</v>
      </c>
      <c r="N1565" t="str">
        <f>IFERROR(INDEX(tProdutos[Foco],MATCH(tItens[[#This Row],[Produto]],tProdutos[Produto],0)),"Não")</f>
        <v>Não</v>
      </c>
      <c r="O1565" t="str">
        <f>IFERROR(INDEX(tEditais[SRP],MATCH(tItens[[#This Row],[Edital]],tEditais[Edital],0)),"Não")</f>
        <v>Não</v>
      </c>
      <c r="P1565" s="4">
        <f>IF(COUNTIFS(INDEX(tItens[Edital],1):tItens[[#This Row],[Edital]],tItens[[#This Row],[Edital]],INDEX(tItens[Produto],1):tItens[[#This Row],[Produto]],tItens[[#This Row],[Produto]])=1,1,0)</f>
        <v>0</v>
      </c>
    </row>
    <row r="1566" spans="1:16" x14ac:dyDescent="0.25">
      <c r="A1566" t="s">
        <v>1146</v>
      </c>
      <c r="B1566">
        <v>709</v>
      </c>
      <c r="C1566" t="s">
        <v>4624</v>
      </c>
      <c r="D1566" t="s">
        <v>110</v>
      </c>
      <c r="E1566" s="13">
        <v>100</v>
      </c>
      <c r="F1566" s="12">
        <v>0</v>
      </c>
      <c r="G1566" t="str">
        <f>IFERROR(INDEX(tEditais[Órgão],MATCH(tItens[[#This Row],[Edital]],tEditais[Edital],0)),"")</f>
        <v>FUNDO MUNICIPAL DE SAUDE DE MINEIROS</v>
      </c>
      <c r="H1566" t="str">
        <f>IFERROR(INDEX(tEditais[UF],MATCH(tItens[[#This Row],[Edital]],tEditais[Edital],0)),"")</f>
        <v>GO</v>
      </c>
      <c r="I1566" s="11">
        <f>IFERROR(INDEX(tEditais[Encerramento],MATCH(tItens[[#This Row],[Edital]],tEditais[Edital],0)),"")</f>
        <v>46308.291666666664</v>
      </c>
      <c r="J1566" t="str">
        <f>IFERROR(INDEX(tProdutos[Classe],MATCH(tItens[[#This Row],[Produto]],tProdutos[Produto],0)),"produto não cadastrado")</f>
        <v>NÚCLEO</v>
      </c>
      <c r="K1566" s="12">
        <f>tItens[[#This Row],[Qtd]]*tItens[[#This Row],[Vlr unit]]</f>
        <v>0</v>
      </c>
      <c r="L1566" s="6">
        <f>IFERROR(IF(INDEX(tProdutos[Desconto homologado],MATCH(tItens[[#This Row],[Produto]],tProdutos[Produto],0))="",DescontoPadrao,INDEX(tProdutos[Desconto homologado],MATCH(tItens[[#This Row],[Produto]],tProdutos[Produto],0))),DescontoPadrao)</f>
        <v>0.30410958904109597</v>
      </c>
      <c r="M1566" s="12">
        <f>tItens[[#This Row],[Valor]]*(1-tItens[[#This Row],[Desconto]])</f>
        <v>0</v>
      </c>
      <c r="N1566" t="str">
        <f>IFERROR(INDEX(tProdutos[Foco],MATCH(tItens[[#This Row],[Produto]],tProdutos[Produto],0)),"Não")</f>
        <v>Não</v>
      </c>
      <c r="O1566" t="str">
        <f>IFERROR(INDEX(tEditais[SRP],MATCH(tItens[[#This Row],[Edital]],tEditais[Edital],0)),"Não")</f>
        <v>Não</v>
      </c>
      <c r="P1566" s="4">
        <f>IF(COUNTIFS(INDEX(tItens[Edital],1):tItens[[#This Row],[Edital]],tItens[[#This Row],[Edital]],INDEX(tItens[Produto],1):tItens[[#This Row],[Produto]],tItens[[#This Row],[Produto]])=1,1,0)</f>
        <v>0</v>
      </c>
    </row>
    <row r="1567" spans="1:16" x14ac:dyDescent="0.25">
      <c r="A1567" t="s">
        <v>1146</v>
      </c>
      <c r="B1567">
        <v>710</v>
      </c>
      <c r="C1567" t="s">
        <v>4625</v>
      </c>
      <c r="D1567" t="s">
        <v>110</v>
      </c>
      <c r="E1567" s="13">
        <v>200</v>
      </c>
      <c r="F1567" s="12">
        <v>0</v>
      </c>
      <c r="G1567" t="str">
        <f>IFERROR(INDEX(tEditais[Órgão],MATCH(tItens[[#This Row],[Edital]],tEditais[Edital],0)),"")</f>
        <v>FUNDO MUNICIPAL DE SAUDE DE MINEIROS</v>
      </c>
      <c r="H1567" t="str">
        <f>IFERROR(INDEX(tEditais[UF],MATCH(tItens[[#This Row],[Edital]],tEditais[Edital],0)),"")</f>
        <v>GO</v>
      </c>
      <c r="I1567" s="11">
        <f>IFERROR(INDEX(tEditais[Encerramento],MATCH(tItens[[#This Row],[Edital]],tEditais[Edital],0)),"")</f>
        <v>46308.291666666664</v>
      </c>
      <c r="J1567" t="str">
        <f>IFERROR(INDEX(tProdutos[Classe],MATCH(tItens[[#This Row],[Produto]],tProdutos[Produto],0)),"produto não cadastrado")</f>
        <v>NÚCLEO</v>
      </c>
      <c r="K1567" s="12">
        <f>tItens[[#This Row],[Qtd]]*tItens[[#This Row],[Vlr unit]]</f>
        <v>0</v>
      </c>
      <c r="L1567" s="6">
        <f>IFERROR(IF(INDEX(tProdutos[Desconto homologado],MATCH(tItens[[#This Row],[Produto]],tProdutos[Produto],0))="",DescontoPadrao,INDEX(tProdutos[Desconto homologado],MATCH(tItens[[#This Row],[Produto]],tProdutos[Produto],0))),DescontoPadrao)</f>
        <v>0.30410958904109597</v>
      </c>
      <c r="M1567" s="12">
        <f>tItens[[#This Row],[Valor]]*(1-tItens[[#This Row],[Desconto]])</f>
        <v>0</v>
      </c>
      <c r="N1567" t="str">
        <f>IFERROR(INDEX(tProdutos[Foco],MATCH(tItens[[#This Row],[Produto]],tProdutos[Produto],0)),"Não")</f>
        <v>Não</v>
      </c>
      <c r="O1567" t="str">
        <f>IFERROR(INDEX(tEditais[SRP],MATCH(tItens[[#This Row],[Edital]],tEditais[Edital],0)),"Não")</f>
        <v>Não</v>
      </c>
      <c r="P1567" s="4">
        <f>IF(COUNTIFS(INDEX(tItens[Edital],1):tItens[[#This Row],[Edital]],tItens[[#This Row],[Edital]],INDEX(tItens[Produto],1):tItens[[#This Row],[Produto]],tItens[[#This Row],[Produto]])=1,1,0)</f>
        <v>0</v>
      </c>
    </row>
    <row r="1568" spans="1:16" x14ac:dyDescent="0.25">
      <c r="A1568" t="s">
        <v>1146</v>
      </c>
      <c r="B1568">
        <v>713</v>
      </c>
      <c r="C1568" t="s">
        <v>4626</v>
      </c>
      <c r="D1568" t="s">
        <v>164</v>
      </c>
      <c r="E1568" s="13">
        <v>1400</v>
      </c>
      <c r="F1568" s="12">
        <v>0</v>
      </c>
      <c r="G1568" t="str">
        <f>IFERROR(INDEX(tEditais[Órgão],MATCH(tItens[[#This Row],[Edital]],tEditais[Edital],0)),"")</f>
        <v>FUNDO MUNICIPAL DE SAUDE DE MINEIROS</v>
      </c>
      <c r="H1568" t="str">
        <f>IFERROR(INDEX(tEditais[UF],MATCH(tItens[[#This Row],[Edital]],tEditais[Edital],0)),"")</f>
        <v>GO</v>
      </c>
      <c r="I1568" s="11">
        <f>IFERROR(INDEX(tEditais[Encerramento],MATCH(tItens[[#This Row],[Edital]],tEditais[Edital],0)),"")</f>
        <v>46308.291666666664</v>
      </c>
      <c r="J1568" t="str">
        <f>IFERROR(INDEX(tProdutos[Classe],MATCH(tItens[[#This Row],[Produto]],tProdutos[Produto],0)),"produto não cadastrado")</f>
        <v>DISPUTADO</v>
      </c>
      <c r="K1568" s="12">
        <f>tItens[[#This Row],[Qtd]]*tItens[[#This Row],[Vlr unit]]</f>
        <v>0</v>
      </c>
      <c r="L1568" s="6">
        <f>IFERROR(IF(INDEX(tProdutos[Desconto homologado],MATCH(tItens[[#This Row],[Produto]],tProdutos[Produto],0))="",DescontoPadrao,INDEX(tProdutos[Desconto homologado],MATCH(tItens[[#This Row],[Produto]],tProdutos[Produto],0))),DescontoPadrao)</f>
        <v>0.445300462249615</v>
      </c>
      <c r="M1568" s="12">
        <f>tItens[[#This Row],[Valor]]*(1-tItens[[#This Row],[Desconto]])</f>
        <v>0</v>
      </c>
      <c r="N1568" t="str">
        <f>IFERROR(INDEX(tProdutos[Foco],MATCH(tItens[[#This Row],[Produto]],tProdutos[Produto],0)),"Não")</f>
        <v>Não</v>
      </c>
      <c r="O1568" t="str">
        <f>IFERROR(INDEX(tEditais[SRP],MATCH(tItens[[#This Row],[Edital]],tEditais[Edital],0)),"Não")</f>
        <v>Não</v>
      </c>
      <c r="P1568" s="4">
        <f>IF(COUNTIFS(INDEX(tItens[Edital],1):tItens[[#This Row],[Edital]],tItens[[#This Row],[Edital]],INDEX(tItens[Produto],1):tItens[[#This Row],[Produto]],tItens[[#This Row],[Produto]])=1,1,0)</f>
        <v>1</v>
      </c>
    </row>
    <row r="1569" spans="1:16" x14ac:dyDescent="0.25">
      <c r="A1569" t="s">
        <v>1146</v>
      </c>
      <c r="B1569">
        <v>724</v>
      </c>
      <c r="C1569" t="s">
        <v>4627</v>
      </c>
      <c r="D1569" t="s">
        <v>120</v>
      </c>
      <c r="E1569" s="13">
        <v>200</v>
      </c>
      <c r="F1569" s="12">
        <v>0</v>
      </c>
      <c r="G1569" t="str">
        <f>IFERROR(INDEX(tEditais[Órgão],MATCH(tItens[[#This Row],[Edital]],tEditais[Edital],0)),"")</f>
        <v>FUNDO MUNICIPAL DE SAUDE DE MINEIROS</v>
      </c>
      <c r="H1569" t="str">
        <f>IFERROR(INDEX(tEditais[UF],MATCH(tItens[[#This Row],[Edital]],tEditais[Edital],0)),"")</f>
        <v>GO</v>
      </c>
      <c r="I1569" s="11">
        <f>IFERROR(INDEX(tEditais[Encerramento],MATCH(tItens[[#This Row],[Edital]],tEditais[Edital],0)),"")</f>
        <v>46308.291666666664</v>
      </c>
      <c r="J1569" t="str">
        <f>IFERROR(INDEX(tProdutos[Classe],MATCH(tItens[[#This Row],[Produto]],tProdutos[Produto],0)),"produto não cadastrado")</f>
        <v>DISPUTADO</v>
      </c>
      <c r="K1569" s="12">
        <f>tItens[[#This Row],[Qtd]]*tItens[[#This Row],[Vlr unit]]</f>
        <v>0</v>
      </c>
      <c r="L1569" s="6">
        <f>IFERROR(IF(INDEX(tProdutos[Desconto homologado],MATCH(tItens[[#This Row],[Produto]],tProdutos[Produto],0))="",DescontoPadrao,INDEX(tProdutos[Desconto homologado],MATCH(tItens[[#This Row],[Produto]],tProdutos[Produto],0))),DescontoPadrao)</f>
        <v>0.40909090909090901</v>
      </c>
      <c r="M1569" s="12">
        <f>tItens[[#This Row],[Valor]]*(1-tItens[[#This Row],[Desconto]])</f>
        <v>0</v>
      </c>
      <c r="N1569" t="str">
        <f>IFERROR(INDEX(tProdutos[Foco],MATCH(tItens[[#This Row],[Produto]],tProdutos[Produto],0)),"Não")</f>
        <v>Não</v>
      </c>
      <c r="O1569" t="str">
        <f>IFERROR(INDEX(tEditais[SRP],MATCH(tItens[[#This Row],[Edital]],tEditais[Edital],0)),"Não")</f>
        <v>Não</v>
      </c>
      <c r="P1569" s="4">
        <f>IF(COUNTIFS(INDEX(tItens[Edital],1):tItens[[#This Row],[Edital]],tItens[[#This Row],[Edital]],INDEX(tItens[Produto],1):tItens[[#This Row],[Produto]],tItens[[#This Row],[Produto]])=1,1,0)</f>
        <v>1</v>
      </c>
    </row>
    <row r="1570" spans="1:16" x14ac:dyDescent="0.25">
      <c r="A1570" t="s">
        <v>1146</v>
      </c>
      <c r="B1570">
        <v>725</v>
      </c>
      <c r="C1570" t="s">
        <v>4628</v>
      </c>
      <c r="D1570" t="s">
        <v>120</v>
      </c>
      <c r="E1570" s="13">
        <v>200</v>
      </c>
      <c r="F1570" s="12">
        <v>0</v>
      </c>
      <c r="G1570" t="str">
        <f>IFERROR(INDEX(tEditais[Órgão],MATCH(tItens[[#This Row],[Edital]],tEditais[Edital],0)),"")</f>
        <v>FUNDO MUNICIPAL DE SAUDE DE MINEIROS</v>
      </c>
      <c r="H1570" t="str">
        <f>IFERROR(INDEX(tEditais[UF],MATCH(tItens[[#This Row],[Edital]],tEditais[Edital],0)),"")</f>
        <v>GO</v>
      </c>
      <c r="I1570" s="11">
        <f>IFERROR(INDEX(tEditais[Encerramento],MATCH(tItens[[#This Row],[Edital]],tEditais[Edital],0)),"")</f>
        <v>46308.291666666664</v>
      </c>
      <c r="J1570" t="str">
        <f>IFERROR(INDEX(tProdutos[Classe],MATCH(tItens[[#This Row],[Produto]],tProdutos[Produto],0)),"produto não cadastrado")</f>
        <v>DISPUTADO</v>
      </c>
      <c r="K1570" s="12">
        <f>tItens[[#This Row],[Qtd]]*tItens[[#This Row],[Vlr unit]]</f>
        <v>0</v>
      </c>
      <c r="L1570" s="6">
        <f>IFERROR(IF(INDEX(tProdutos[Desconto homologado],MATCH(tItens[[#This Row],[Produto]],tProdutos[Produto],0))="",DescontoPadrao,INDEX(tProdutos[Desconto homologado],MATCH(tItens[[#This Row],[Produto]],tProdutos[Produto],0))),DescontoPadrao)</f>
        <v>0.40909090909090901</v>
      </c>
      <c r="M1570" s="12">
        <f>tItens[[#This Row],[Valor]]*(1-tItens[[#This Row],[Desconto]])</f>
        <v>0</v>
      </c>
      <c r="N1570" t="str">
        <f>IFERROR(INDEX(tProdutos[Foco],MATCH(tItens[[#This Row],[Produto]],tProdutos[Produto],0)),"Não")</f>
        <v>Não</v>
      </c>
      <c r="O1570" t="str">
        <f>IFERROR(INDEX(tEditais[SRP],MATCH(tItens[[#This Row],[Edital]],tEditais[Edital],0)),"Não")</f>
        <v>Não</v>
      </c>
      <c r="P1570" s="4">
        <f>IF(COUNTIFS(INDEX(tItens[Edital],1):tItens[[#This Row],[Edital]],tItens[[#This Row],[Edital]],INDEX(tItens[Produto],1):tItens[[#This Row],[Produto]],tItens[[#This Row],[Produto]])=1,1,0)</f>
        <v>0</v>
      </c>
    </row>
    <row r="1571" spans="1:16" x14ac:dyDescent="0.25">
      <c r="A1571" t="s">
        <v>1146</v>
      </c>
      <c r="B1571">
        <v>726</v>
      </c>
      <c r="C1571" t="s">
        <v>4629</v>
      </c>
      <c r="D1571" t="s">
        <v>120</v>
      </c>
      <c r="E1571" s="13">
        <v>5600</v>
      </c>
      <c r="F1571" s="12">
        <v>0</v>
      </c>
      <c r="G1571" t="str">
        <f>IFERROR(INDEX(tEditais[Órgão],MATCH(tItens[[#This Row],[Edital]],tEditais[Edital],0)),"")</f>
        <v>FUNDO MUNICIPAL DE SAUDE DE MINEIROS</v>
      </c>
      <c r="H1571" t="str">
        <f>IFERROR(INDEX(tEditais[UF],MATCH(tItens[[#This Row],[Edital]],tEditais[Edital],0)),"")</f>
        <v>GO</v>
      </c>
      <c r="I1571" s="11">
        <f>IFERROR(INDEX(tEditais[Encerramento],MATCH(tItens[[#This Row],[Edital]],tEditais[Edital],0)),"")</f>
        <v>46308.291666666664</v>
      </c>
      <c r="J1571" t="str">
        <f>IFERROR(INDEX(tProdutos[Classe],MATCH(tItens[[#This Row],[Produto]],tProdutos[Produto],0)),"produto não cadastrado")</f>
        <v>DISPUTADO</v>
      </c>
      <c r="K1571" s="12">
        <f>tItens[[#This Row],[Qtd]]*tItens[[#This Row],[Vlr unit]]</f>
        <v>0</v>
      </c>
      <c r="L1571" s="6">
        <f>IFERROR(IF(INDEX(tProdutos[Desconto homologado],MATCH(tItens[[#This Row],[Produto]],tProdutos[Produto],0))="",DescontoPadrao,INDEX(tProdutos[Desconto homologado],MATCH(tItens[[#This Row],[Produto]],tProdutos[Produto],0))),DescontoPadrao)</f>
        <v>0.40909090909090901</v>
      </c>
      <c r="M1571" s="12">
        <f>tItens[[#This Row],[Valor]]*(1-tItens[[#This Row],[Desconto]])</f>
        <v>0</v>
      </c>
      <c r="N1571" t="str">
        <f>IFERROR(INDEX(tProdutos[Foco],MATCH(tItens[[#This Row],[Produto]],tProdutos[Produto],0)),"Não")</f>
        <v>Não</v>
      </c>
      <c r="O1571" t="str">
        <f>IFERROR(INDEX(tEditais[SRP],MATCH(tItens[[#This Row],[Edital]],tEditais[Edital],0)),"Não")</f>
        <v>Não</v>
      </c>
      <c r="P1571" s="4">
        <f>IF(COUNTIFS(INDEX(tItens[Edital],1):tItens[[#This Row],[Edital]],tItens[[#This Row],[Edital]],INDEX(tItens[Produto],1):tItens[[#This Row],[Produto]],tItens[[#This Row],[Produto]])=1,1,0)</f>
        <v>0</v>
      </c>
    </row>
    <row r="1572" spans="1:16" x14ac:dyDescent="0.25">
      <c r="A1572" t="s">
        <v>1146</v>
      </c>
      <c r="B1572">
        <v>727</v>
      </c>
      <c r="C1572" t="s">
        <v>4630</v>
      </c>
      <c r="D1572" t="s">
        <v>120</v>
      </c>
      <c r="E1572" s="13">
        <v>5530</v>
      </c>
      <c r="F1572" s="12">
        <v>0</v>
      </c>
      <c r="G1572" t="str">
        <f>IFERROR(INDEX(tEditais[Órgão],MATCH(tItens[[#This Row],[Edital]],tEditais[Edital],0)),"")</f>
        <v>FUNDO MUNICIPAL DE SAUDE DE MINEIROS</v>
      </c>
      <c r="H1572" t="str">
        <f>IFERROR(INDEX(tEditais[UF],MATCH(tItens[[#This Row],[Edital]],tEditais[Edital],0)),"")</f>
        <v>GO</v>
      </c>
      <c r="I1572" s="11">
        <f>IFERROR(INDEX(tEditais[Encerramento],MATCH(tItens[[#This Row],[Edital]],tEditais[Edital],0)),"")</f>
        <v>46308.291666666664</v>
      </c>
      <c r="J1572" t="str">
        <f>IFERROR(INDEX(tProdutos[Classe],MATCH(tItens[[#This Row],[Produto]],tProdutos[Produto],0)),"produto não cadastrado")</f>
        <v>DISPUTADO</v>
      </c>
      <c r="K1572" s="12">
        <f>tItens[[#This Row],[Qtd]]*tItens[[#This Row],[Vlr unit]]</f>
        <v>0</v>
      </c>
      <c r="L1572" s="6">
        <f>IFERROR(IF(INDEX(tProdutos[Desconto homologado],MATCH(tItens[[#This Row],[Produto]],tProdutos[Produto],0))="",DescontoPadrao,INDEX(tProdutos[Desconto homologado],MATCH(tItens[[#This Row],[Produto]],tProdutos[Produto],0))),DescontoPadrao)</f>
        <v>0.40909090909090901</v>
      </c>
      <c r="M1572" s="12">
        <f>tItens[[#This Row],[Valor]]*(1-tItens[[#This Row],[Desconto]])</f>
        <v>0</v>
      </c>
      <c r="N1572" t="str">
        <f>IFERROR(INDEX(tProdutos[Foco],MATCH(tItens[[#This Row],[Produto]],tProdutos[Produto],0)),"Não")</f>
        <v>Não</v>
      </c>
      <c r="O1572" t="str">
        <f>IFERROR(INDEX(tEditais[SRP],MATCH(tItens[[#This Row],[Edital]],tEditais[Edital],0)),"Não")</f>
        <v>Não</v>
      </c>
      <c r="P1572" s="4">
        <f>IF(COUNTIFS(INDEX(tItens[Edital],1):tItens[[#This Row],[Edital]],tItens[[#This Row],[Edital]],INDEX(tItens[Produto],1):tItens[[#This Row],[Produto]],tItens[[#This Row],[Produto]])=1,1,0)</f>
        <v>0</v>
      </c>
    </row>
    <row r="1573" spans="1:16" x14ac:dyDescent="0.25">
      <c r="A1573" t="s">
        <v>1146</v>
      </c>
      <c r="B1573">
        <v>728</v>
      </c>
      <c r="C1573" t="s">
        <v>4631</v>
      </c>
      <c r="D1573" t="s">
        <v>120</v>
      </c>
      <c r="E1573" s="13">
        <v>20000</v>
      </c>
      <c r="F1573" s="12">
        <v>0</v>
      </c>
      <c r="G1573" t="str">
        <f>IFERROR(INDEX(tEditais[Órgão],MATCH(tItens[[#This Row],[Edital]],tEditais[Edital],0)),"")</f>
        <v>FUNDO MUNICIPAL DE SAUDE DE MINEIROS</v>
      </c>
      <c r="H1573" t="str">
        <f>IFERROR(INDEX(tEditais[UF],MATCH(tItens[[#This Row],[Edital]],tEditais[Edital],0)),"")</f>
        <v>GO</v>
      </c>
      <c r="I1573" s="11">
        <f>IFERROR(INDEX(tEditais[Encerramento],MATCH(tItens[[#This Row],[Edital]],tEditais[Edital],0)),"")</f>
        <v>46308.291666666664</v>
      </c>
      <c r="J1573" t="str">
        <f>IFERROR(INDEX(tProdutos[Classe],MATCH(tItens[[#This Row],[Produto]],tProdutos[Produto],0)),"produto não cadastrado")</f>
        <v>DISPUTADO</v>
      </c>
      <c r="K1573" s="12">
        <f>tItens[[#This Row],[Qtd]]*tItens[[#This Row],[Vlr unit]]</f>
        <v>0</v>
      </c>
      <c r="L1573" s="6">
        <f>IFERROR(IF(INDEX(tProdutos[Desconto homologado],MATCH(tItens[[#This Row],[Produto]],tProdutos[Produto],0))="",DescontoPadrao,INDEX(tProdutos[Desconto homologado],MATCH(tItens[[#This Row],[Produto]],tProdutos[Produto],0))),DescontoPadrao)</f>
        <v>0.40909090909090901</v>
      </c>
      <c r="M1573" s="12">
        <f>tItens[[#This Row],[Valor]]*(1-tItens[[#This Row],[Desconto]])</f>
        <v>0</v>
      </c>
      <c r="N1573" t="str">
        <f>IFERROR(INDEX(tProdutos[Foco],MATCH(tItens[[#This Row],[Produto]],tProdutos[Produto],0)),"Não")</f>
        <v>Não</v>
      </c>
      <c r="O1573" t="str">
        <f>IFERROR(INDEX(tEditais[SRP],MATCH(tItens[[#This Row],[Edital]],tEditais[Edital],0)),"Não")</f>
        <v>Não</v>
      </c>
      <c r="P1573" s="4">
        <f>IF(COUNTIFS(INDEX(tItens[Edital],1):tItens[[#This Row],[Edital]],tItens[[#This Row],[Edital]],INDEX(tItens[Produto],1):tItens[[#This Row],[Produto]],tItens[[#This Row],[Produto]])=1,1,0)</f>
        <v>0</v>
      </c>
    </row>
    <row r="1574" spans="1:16" x14ac:dyDescent="0.25">
      <c r="A1574" t="s">
        <v>1146</v>
      </c>
      <c r="B1574">
        <v>729</v>
      </c>
      <c r="C1574" t="s">
        <v>4632</v>
      </c>
      <c r="D1574" t="s">
        <v>120</v>
      </c>
      <c r="E1574" s="13">
        <v>1670</v>
      </c>
      <c r="F1574" s="12">
        <v>0</v>
      </c>
      <c r="G1574" t="str">
        <f>IFERROR(INDEX(tEditais[Órgão],MATCH(tItens[[#This Row],[Edital]],tEditais[Edital],0)),"")</f>
        <v>FUNDO MUNICIPAL DE SAUDE DE MINEIROS</v>
      </c>
      <c r="H1574" t="str">
        <f>IFERROR(INDEX(tEditais[UF],MATCH(tItens[[#This Row],[Edital]],tEditais[Edital],0)),"")</f>
        <v>GO</v>
      </c>
      <c r="I1574" s="11">
        <f>IFERROR(INDEX(tEditais[Encerramento],MATCH(tItens[[#This Row],[Edital]],tEditais[Edital],0)),"")</f>
        <v>46308.291666666664</v>
      </c>
      <c r="J1574" t="str">
        <f>IFERROR(INDEX(tProdutos[Classe],MATCH(tItens[[#This Row],[Produto]],tProdutos[Produto],0)),"produto não cadastrado")</f>
        <v>DISPUTADO</v>
      </c>
      <c r="K1574" s="12">
        <f>tItens[[#This Row],[Qtd]]*tItens[[#This Row],[Vlr unit]]</f>
        <v>0</v>
      </c>
      <c r="L1574" s="6">
        <f>IFERROR(IF(INDEX(tProdutos[Desconto homologado],MATCH(tItens[[#This Row],[Produto]],tProdutos[Produto],0))="",DescontoPadrao,INDEX(tProdutos[Desconto homologado],MATCH(tItens[[#This Row],[Produto]],tProdutos[Produto],0))),DescontoPadrao)</f>
        <v>0.40909090909090901</v>
      </c>
      <c r="M1574" s="12">
        <f>tItens[[#This Row],[Valor]]*(1-tItens[[#This Row],[Desconto]])</f>
        <v>0</v>
      </c>
      <c r="N1574" t="str">
        <f>IFERROR(INDEX(tProdutos[Foco],MATCH(tItens[[#This Row],[Produto]],tProdutos[Produto],0)),"Não")</f>
        <v>Não</v>
      </c>
      <c r="O1574" t="str">
        <f>IFERROR(INDEX(tEditais[SRP],MATCH(tItens[[#This Row],[Edital]],tEditais[Edital],0)),"Não")</f>
        <v>Não</v>
      </c>
      <c r="P1574" s="4">
        <f>IF(COUNTIFS(INDEX(tItens[Edital],1):tItens[[#This Row],[Edital]],tItens[[#This Row],[Edital]],INDEX(tItens[Produto],1):tItens[[#This Row],[Produto]],tItens[[#This Row],[Produto]])=1,1,0)</f>
        <v>0</v>
      </c>
    </row>
    <row r="1575" spans="1:16" x14ac:dyDescent="0.25">
      <c r="A1575" t="s">
        <v>1146</v>
      </c>
      <c r="B1575">
        <v>730</v>
      </c>
      <c r="C1575" t="s">
        <v>4633</v>
      </c>
      <c r="D1575" t="s">
        <v>120</v>
      </c>
      <c r="E1575" s="13">
        <v>500</v>
      </c>
      <c r="F1575" s="12">
        <v>0</v>
      </c>
      <c r="G1575" t="str">
        <f>IFERROR(INDEX(tEditais[Órgão],MATCH(tItens[[#This Row],[Edital]],tEditais[Edital],0)),"")</f>
        <v>FUNDO MUNICIPAL DE SAUDE DE MINEIROS</v>
      </c>
      <c r="H1575" t="str">
        <f>IFERROR(INDEX(tEditais[UF],MATCH(tItens[[#This Row],[Edital]],tEditais[Edital],0)),"")</f>
        <v>GO</v>
      </c>
      <c r="I1575" s="11">
        <f>IFERROR(INDEX(tEditais[Encerramento],MATCH(tItens[[#This Row],[Edital]],tEditais[Edital],0)),"")</f>
        <v>46308.291666666664</v>
      </c>
      <c r="J1575" t="str">
        <f>IFERROR(INDEX(tProdutos[Classe],MATCH(tItens[[#This Row],[Produto]],tProdutos[Produto],0)),"produto não cadastrado")</f>
        <v>DISPUTADO</v>
      </c>
      <c r="K1575" s="12">
        <f>tItens[[#This Row],[Qtd]]*tItens[[#This Row],[Vlr unit]]</f>
        <v>0</v>
      </c>
      <c r="L1575" s="6">
        <f>IFERROR(IF(INDEX(tProdutos[Desconto homologado],MATCH(tItens[[#This Row],[Produto]],tProdutos[Produto],0))="",DescontoPadrao,INDEX(tProdutos[Desconto homologado],MATCH(tItens[[#This Row],[Produto]],tProdutos[Produto],0))),DescontoPadrao)</f>
        <v>0.40909090909090901</v>
      </c>
      <c r="M1575" s="12">
        <f>tItens[[#This Row],[Valor]]*(1-tItens[[#This Row],[Desconto]])</f>
        <v>0</v>
      </c>
      <c r="N1575" t="str">
        <f>IFERROR(INDEX(tProdutos[Foco],MATCH(tItens[[#This Row],[Produto]],tProdutos[Produto],0)),"Não")</f>
        <v>Não</v>
      </c>
      <c r="O1575" t="str">
        <f>IFERROR(INDEX(tEditais[SRP],MATCH(tItens[[#This Row],[Edital]],tEditais[Edital],0)),"Não")</f>
        <v>Não</v>
      </c>
      <c r="P1575" s="4">
        <f>IF(COUNTIFS(INDEX(tItens[Edital],1):tItens[[#This Row],[Edital]],tItens[[#This Row],[Edital]],INDEX(tItens[Produto],1):tItens[[#This Row],[Produto]],tItens[[#This Row],[Produto]])=1,1,0)</f>
        <v>0</v>
      </c>
    </row>
    <row r="1576" spans="1:16" x14ac:dyDescent="0.25">
      <c r="A1576" t="s">
        <v>1146</v>
      </c>
      <c r="B1576">
        <v>731</v>
      </c>
      <c r="C1576" t="s">
        <v>4634</v>
      </c>
      <c r="D1576" t="s">
        <v>120</v>
      </c>
      <c r="E1576" s="13">
        <v>375</v>
      </c>
      <c r="F1576" s="12">
        <v>0</v>
      </c>
      <c r="G1576" t="str">
        <f>IFERROR(INDEX(tEditais[Órgão],MATCH(tItens[[#This Row],[Edital]],tEditais[Edital],0)),"")</f>
        <v>FUNDO MUNICIPAL DE SAUDE DE MINEIROS</v>
      </c>
      <c r="H1576" t="str">
        <f>IFERROR(INDEX(tEditais[UF],MATCH(tItens[[#This Row],[Edital]],tEditais[Edital],0)),"")</f>
        <v>GO</v>
      </c>
      <c r="I1576" s="11">
        <f>IFERROR(INDEX(tEditais[Encerramento],MATCH(tItens[[#This Row],[Edital]],tEditais[Edital],0)),"")</f>
        <v>46308.291666666664</v>
      </c>
      <c r="J1576" t="str">
        <f>IFERROR(INDEX(tProdutos[Classe],MATCH(tItens[[#This Row],[Produto]],tProdutos[Produto],0)),"produto não cadastrado")</f>
        <v>DISPUTADO</v>
      </c>
      <c r="K1576" s="12">
        <f>tItens[[#This Row],[Qtd]]*tItens[[#This Row],[Vlr unit]]</f>
        <v>0</v>
      </c>
      <c r="L1576" s="6">
        <f>IFERROR(IF(INDEX(tProdutos[Desconto homologado],MATCH(tItens[[#This Row],[Produto]],tProdutos[Produto],0))="",DescontoPadrao,INDEX(tProdutos[Desconto homologado],MATCH(tItens[[#This Row],[Produto]],tProdutos[Produto],0))),DescontoPadrao)</f>
        <v>0.40909090909090901</v>
      </c>
      <c r="M1576" s="12">
        <f>tItens[[#This Row],[Valor]]*(1-tItens[[#This Row],[Desconto]])</f>
        <v>0</v>
      </c>
      <c r="N1576" t="str">
        <f>IFERROR(INDEX(tProdutos[Foco],MATCH(tItens[[#This Row],[Produto]],tProdutos[Produto],0)),"Não")</f>
        <v>Não</v>
      </c>
      <c r="O1576" t="str">
        <f>IFERROR(INDEX(tEditais[SRP],MATCH(tItens[[#This Row],[Edital]],tEditais[Edital],0)),"Não")</f>
        <v>Não</v>
      </c>
      <c r="P1576" s="4">
        <f>IF(COUNTIFS(INDEX(tItens[Edital],1):tItens[[#This Row],[Edital]],tItens[[#This Row],[Edital]],INDEX(tItens[Produto],1):tItens[[#This Row],[Produto]],tItens[[#This Row],[Produto]])=1,1,0)</f>
        <v>0</v>
      </c>
    </row>
    <row r="1577" spans="1:16" x14ac:dyDescent="0.25">
      <c r="A1577" t="s">
        <v>1146</v>
      </c>
      <c r="B1577">
        <v>732</v>
      </c>
      <c r="C1577" t="s">
        <v>4635</v>
      </c>
      <c r="D1577" t="s">
        <v>120</v>
      </c>
      <c r="E1577" s="13">
        <v>200</v>
      </c>
      <c r="F1577" s="12">
        <v>0</v>
      </c>
      <c r="G1577" t="str">
        <f>IFERROR(INDEX(tEditais[Órgão],MATCH(tItens[[#This Row],[Edital]],tEditais[Edital],0)),"")</f>
        <v>FUNDO MUNICIPAL DE SAUDE DE MINEIROS</v>
      </c>
      <c r="H1577" t="str">
        <f>IFERROR(INDEX(tEditais[UF],MATCH(tItens[[#This Row],[Edital]],tEditais[Edital],0)),"")</f>
        <v>GO</v>
      </c>
      <c r="I1577" s="11">
        <f>IFERROR(INDEX(tEditais[Encerramento],MATCH(tItens[[#This Row],[Edital]],tEditais[Edital],0)),"")</f>
        <v>46308.291666666664</v>
      </c>
      <c r="J1577" t="str">
        <f>IFERROR(INDEX(tProdutos[Classe],MATCH(tItens[[#This Row],[Produto]],tProdutos[Produto],0)),"produto não cadastrado")</f>
        <v>DISPUTADO</v>
      </c>
      <c r="K1577" s="12">
        <f>tItens[[#This Row],[Qtd]]*tItens[[#This Row],[Vlr unit]]</f>
        <v>0</v>
      </c>
      <c r="L1577" s="6">
        <f>IFERROR(IF(INDEX(tProdutos[Desconto homologado],MATCH(tItens[[#This Row],[Produto]],tProdutos[Produto],0))="",DescontoPadrao,INDEX(tProdutos[Desconto homologado],MATCH(tItens[[#This Row],[Produto]],tProdutos[Produto],0))),DescontoPadrao)</f>
        <v>0.40909090909090901</v>
      </c>
      <c r="M1577" s="12">
        <f>tItens[[#This Row],[Valor]]*(1-tItens[[#This Row],[Desconto]])</f>
        <v>0</v>
      </c>
      <c r="N1577" t="str">
        <f>IFERROR(INDEX(tProdutos[Foco],MATCH(tItens[[#This Row],[Produto]],tProdutos[Produto],0)),"Não")</f>
        <v>Não</v>
      </c>
      <c r="O1577" t="str">
        <f>IFERROR(INDEX(tEditais[SRP],MATCH(tItens[[#This Row],[Edital]],tEditais[Edital],0)),"Não")</f>
        <v>Não</v>
      </c>
      <c r="P1577" s="4">
        <f>IF(COUNTIFS(INDEX(tItens[Edital],1):tItens[[#This Row],[Edital]],tItens[[#This Row],[Edital]],INDEX(tItens[Produto],1):tItens[[#This Row],[Produto]],tItens[[#This Row],[Produto]])=1,1,0)</f>
        <v>0</v>
      </c>
    </row>
    <row r="1578" spans="1:16" x14ac:dyDescent="0.25">
      <c r="A1578" t="s">
        <v>1146</v>
      </c>
      <c r="B1578">
        <v>736</v>
      </c>
      <c r="C1578" t="s">
        <v>4636</v>
      </c>
      <c r="D1578" t="s">
        <v>311</v>
      </c>
      <c r="E1578" s="13">
        <v>14</v>
      </c>
      <c r="F1578" s="12">
        <v>0</v>
      </c>
      <c r="G1578" t="str">
        <f>IFERROR(INDEX(tEditais[Órgão],MATCH(tItens[[#This Row],[Edital]],tEditais[Edital],0)),"")</f>
        <v>FUNDO MUNICIPAL DE SAUDE DE MINEIROS</v>
      </c>
      <c r="H1578" t="str">
        <f>IFERROR(INDEX(tEditais[UF],MATCH(tItens[[#This Row],[Edital]],tEditais[Edital],0)),"")</f>
        <v>GO</v>
      </c>
      <c r="I1578" s="11">
        <f>IFERROR(INDEX(tEditais[Encerramento],MATCH(tItens[[#This Row],[Edital]],tEditais[Edital],0)),"")</f>
        <v>46308.291666666664</v>
      </c>
      <c r="J1578" t="str">
        <f>IFERROR(INDEX(tProdutos[Classe],MATCH(tItens[[#This Row],[Produto]],tProdutos[Produto],0)),"produto não cadastrado")</f>
        <v>FORA</v>
      </c>
      <c r="K1578" s="12">
        <f>tItens[[#This Row],[Qtd]]*tItens[[#This Row],[Vlr unit]]</f>
        <v>0</v>
      </c>
      <c r="L1578" s="6">
        <f>IFERROR(IF(INDEX(tProdutos[Desconto homologado],MATCH(tItens[[#This Row],[Produto]],tProdutos[Produto],0))="",DescontoPadrao,INDEX(tProdutos[Desconto homologado],MATCH(tItens[[#This Row],[Produto]],tProdutos[Produto],0))),DescontoPadrao)</f>
        <v>0.29046182846371399</v>
      </c>
      <c r="M1578" s="12">
        <f>tItens[[#This Row],[Valor]]*(1-tItens[[#This Row],[Desconto]])</f>
        <v>0</v>
      </c>
      <c r="N1578" t="str">
        <f>IFERROR(INDEX(tProdutos[Foco],MATCH(tItens[[#This Row],[Produto]],tProdutos[Produto],0)),"Não")</f>
        <v>Não</v>
      </c>
      <c r="O1578" t="str">
        <f>IFERROR(INDEX(tEditais[SRP],MATCH(tItens[[#This Row],[Edital]],tEditais[Edital],0)),"Não")</f>
        <v>Não</v>
      </c>
      <c r="P1578" s="4">
        <f>IF(COUNTIFS(INDEX(tItens[Edital],1):tItens[[#This Row],[Edital]],tItens[[#This Row],[Edital]],INDEX(tItens[Produto],1):tItens[[#This Row],[Produto]],tItens[[#This Row],[Produto]])=1,1,0)</f>
        <v>0</v>
      </c>
    </row>
    <row r="1579" spans="1:16" x14ac:dyDescent="0.25">
      <c r="A1579" t="s">
        <v>1146</v>
      </c>
      <c r="B1579">
        <v>737</v>
      </c>
      <c r="C1579" t="s">
        <v>4637</v>
      </c>
      <c r="D1579" t="s">
        <v>311</v>
      </c>
      <c r="E1579" s="13">
        <v>38</v>
      </c>
      <c r="F1579" s="12">
        <v>0</v>
      </c>
      <c r="G1579" t="str">
        <f>IFERROR(INDEX(tEditais[Órgão],MATCH(tItens[[#This Row],[Edital]],tEditais[Edital],0)),"")</f>
        <v>FUNDO MUNICIPAL DE SAUDE DE MINEIROS</v>
      </c>
      <c r="H1579" t="str">
        <f>IFERROR(INDEX(tEditais[UF],MATCH(tItens[[#This Row],[Edital]],tEditais[Edital],0)),"")</f>
        <v>GO</v>
      </c>
      <c r="I1579" s="11">
        <f>IFERROR(INDEX(tEditais[Encerramento],MATCH(tItens[[#This Row],[Edital]],tEditais[Edital],0)),"")</f>
        <v>46308.291666666664</v>
      </c>
      <c r="J1579" t="str">
        <f>IFERROR(INDEX(tProdutos[Classe],MATCH(tItens[[#This Row],[Produto]],tProdutos[Produto],0)),"produto não cadastrado")</f>
        <v>FORA</v>
      </c>
      <c r="K1579" s="12">
        <f>tItens[[#This Row],[Qtd]]*tItens[[#This Row],[Vlr unit]]</f>
        <v>0</v>
      </c>
      <c r="L1579" s="6">
        <f>IFERROR(IF(INDEX(tProdutos[Desconto homologado],MATCH(tItens[[#This Row],[Produto]],tProdutos[Produto],0))="",DescontoPadrao,INDEX(tProdutos[Desconto homologado],MATCH(tItens[[#This Row],[Produto]],tProdutos[Produto],0))),DescontoPadrao)</f>
        <v>0.29046182846371399</v>
      </c>
      <c r="M1579" s="12">
        <f>tItens[[#This Row],[Valor]]*(1-tItens[[#This Row],[Desconto]])</f>
        <v>0</v>
      </c>
      <c r="N1579" t="str">
        <f>IFERROR(INDEX(tProdutos[Foco],MATCH(tItens[[#This Row],[Produto]],tProdutos[Produto],0)),"Não")</f>
        <v>Não</v>
      </c>
      <c r="O1579" t="str">
        <f>IFERROR(INDEX(tEditais[SRP],MATCH(tItens[[#This Row],[Edital]],tEditais[Edital],0)),"Não")</f>
        <v>Não</v>
      </c>
      <c r="P1579" s="4">
        <f>IF(COUNTIFS(INDEX(tItens[Edital],1):tItens[[#This Row],[Edital]],tItens[[#This Row],[Edital]],INDEX(tItens[Produto],1):tItens[[#This Row],[Produto]],tItens[[#This Row],[Produto]])=1,1,0)</f>
        <v>0</v>
      </c>
    </row>
    <row r="1580" spans="1:16" x14ac:dyDescent="0.25">
      <c r="A1580" t="s">
        <v>1146</v>
      </c>
      <c r="B1580">
        <v>738</v>
      </c>
      <c r="C1580" t="s">
        <v>4638</v>
      </c>
      <c r="D1580" t="s">
        <v>359</v>
      </c>
      <c r="E1580" s="13">
        <v>100000</v>
      </c>
      <c r="F1580" s="12">
        <v>0</v>
      </c>
      <c r="G1580" t="str">
        <f>IFERROR(INDEX(tEditais[Órgão],MATCH(tItens[[#This Row],[Edital]],tEditais[Edital],0)),"")</f>
        <v>FUNDO MUNICIPAL DE SAUDE DE MINEIROS</v>
      </c>
      <c r="H1580" t="str">
        <f>IFERROR(INDEX(tEditais[UF],MATCH(tItens[[#This Row],[Edital]],tEditais[Edital],0)),"")</f>
        <v>GO</v>
      </c>
      <c r="I1580" s="11">
        <f>IFERROR(INDEX(tEditais[Encerramento],MATCH(tItens[[#This Row],[Edital]],tEditais[Edital],0)),"")</f>
        <v>46308.291666666664</v>
      </c>
      <c r="J1580" t="str">
        <f>IFERROR(INDEX(tProdutos[Classe],MATCH(tItens[[#This Row],[Produto]],tProdutos[Produto],0)),"produto não cadastrado")</f>
        <v>FORA</v>
      </c>
      <c r="K1580" s="12">
        <f>tItens[[#This Row],[Qtd]]*tItens[[#This Row],[Vlr unit]]</f>
        <v>0</v>
      </c>
      <c r="L1580" s="6">
        <f>IFERROR(IF(INDEX(tProdutos[Desconto homologado],MATCH(tItens[[#This Row],[Produto]],tProdutos[Produto],0))="",DescontoPadrao,INDEX(tProdutos[Desconto homologado],MATCH(tItens[[#This Row],[Produto]],tProdutos[Produto],0))),DescontoPadrao)</f>
        <v>0.39303196084077202</v>
      </c>
      <c r="M1580" s="12">
        <f>tItens[[#This Row],[Valor]]*(1-tItens[[#This Row],[Desconto]])</f>
        <v>0</v>
      </c>
      <c r="N1580" t="str">
        <f>IFERROR(INDEX(tProdutos[Foco],MATCH(tItens[[#This Row],[Produto]],tProdutos[Produto],0)),"Não")</f>
        <v>Não</v>
      </c>
      <c r="O1580" t="str">
        <f>IFERROR(INDEX(tEditais[SRP],MATCH(tItens[[#This Row],[Edital]],tEditais[Edital],0)),"Não")</f>
        <v>Não</v>
      </c>
      <c r="P1580" s="4">
        <f>IF(COUNTIFS(INDEX(tItens[Edital],1):tItens[[#This Row],[Edital]],tItens[[#This Row],[Edital]],INDEX(tItens[Produto],1):tItens[[#This Row],[Produto]],tItens[[#This Row],[Produto]])=1,1,0)</f>
        <v>1</v>
      </c>
    </row>
    <row r="1581" spans="1:16" x14ac:dyDescent="0.25">
      <c r="A1581" t="s">
        <v>1146</v>
      </c>
      <c r="B1581">
        <v>751</v>
      </c>
      <c r="C1581" t="s">
        <v>4639</v>
      </c>
      <c r="D1581" t="s">
        <v>162</v>
      </c>
      <c r="E1581" s="13">
        <v>18500</v>
      </c>
      <c r="F1581" s="12">
        <v>0</v>
      </c>
      <c r="G1581" t="str">
        <f>IFERROR(INDEX(tEditais[Órgão],MATCH(tItens[[#This Row],[Edital]],tEditais[Edital],0)),"")</f>
        <v>FUNDO MUNICIPAL DE SAUDE DE MINEIROS</v>
      </c>
      <c r="H1581" t="str">
        <f>IFERROR(INDEX(tEditais[UF],MATCH(tItens[[#This Row],[Edital]],tEditais[Edital],0)),"")</f>
        <v>GO</v>
      </c>
      <c r="I1581" s="11">
        <f>IFERROR(INDEX(tEditais[Encerramento],MATCH(tItens[[#This Row],[Edital]],tEditais[Edital],0)),"")</f>
        <v>46308.291666666664</v>
      </c>
      <c r="J1581" t="str">
        <f>IFERROR(INDEX(tProdutos[Classe],MATCH(tItens[[#This Row],[Produto]],tProdutos[Produto],0)),"produto não cadastrado")</f>
        <v>DISPUTADO</v>
      </c>
      <c r="K1581" s="12">
        <f>tItens[[#This Row],[Qtd]]*tItens[[#This Row],[Vlr unit]]</f>
        <v>0</v>
      </c>
      <c r="L1581" s="6">
        <f>IFERROR(IF(INDEX(tProdutos[Desconto homologado],MATCH(tItens[[#This Row],[Produto]],tProdutos[Produto],0))="",DescontoPadrao,INDEX(tProdutos[Desconto homologado],MATCH(tItens[[#This Row],[Produto]],tProdutos[Produto],0))),DescontoPadrao)</f>
        <v>0.41269841269841301</v>
      </c>
      <c r="M1581" s="12">
        <f>tItens[[#This Row],[Valor]]*(1-tItens[[#This Row],[Desconto]])</f>
        <v>0</v>
      </c>
      <c r="N1581" t="str">
        <f>IFERROR(INDEX(tProdutos[Foco],MATCH(tItens[[#This Row],[Produto]],tProdutos[Produto],0)),"Não")</f>
        <v>Não</v>
      </c>
      <c r="O1581" t="str">
        <f>IFERROR(INDEX(tEditais[SRP],MATCH(tItens[[#This Row],[Edital]],tEditais[Edital],0)),"Não")</f>
        <v>Não</v>
      </c>
      <c r="P1581" s="4">
        <f>IF(COUNTIFS(INDEX(tItens[Edital],1):tItens[[#This Row],[Edital]],tItens[[#This Row],[Edital]],INDEX(tItens[Produto],1):tItens[[#This Row],[Produto]],tItens[[#This Row],[Produto]])=1,1,0)</f>
        <v>1</v>
      </c>
    </row>
    <row r="1582" spans="1:16" x14ac:dyDescent="0.25">
      <c r="A1582" t="s">
        <v>1146</v>
      </c>
      <c r="B1582">
        <v>752</v>
      </c>
      <c r="C1582" t="s">
        <v>4640</v>
      </c>
      <c r="D1582" t="s">
        <v>114</v>
      </c>
      <c r="E1582" s="13">
        <v>1200</v>
      </c>
      <c r="F1582" s="12">
        <v>0</v>
      </c>
      <c r="G1582" t="str">
        <f>IFERROR(INDEX(tEditais[Órgão],MATCH(tItens[[#This Row],[Edital]],tEditais[Edital],0)),"")</f>
        <v>FUNDO MUNICIPAL DE SAUDE DE MINEIROS</v>
      </c>
      <c r="H1582" t="str">
        <f>IFERROR(INDEX(tEditais[UF],MATCH(tItens[[#This Row],[Edital]],tEditais[Edital],0)),"")</f>
        <v>GO</v>
      </c>
      <c r="I1582" s="11">
        <f>IFERROR(INDEX(tEditais[Encerramento],MATCH(tItens[[#This Row],[Edital]],tEditais[Edital],0)),"")</f>
        <v>46308.291666666664</v>
      </c>
      <c r="J1582" t="str">
        <f>IFERROR(INDEX(tProdutos[Classe],MATCH(tItens[[#This Row],[Produto]],tProdutos[Produto],0)),"produto não cadastrado")</f>
        <v>DISPUTADO</v>
      </c>
      <c r="K1582" s="12">
        <f>tItens[[#This Row],[Qtd]]*tItens[[#This Row],[Vlr unit]]</f>
        <v>0</v>
      </c>
      <c r="L1582" s="6">
        <f>IFERROR(IF(INDEX(tProdutos[Desconto homologado],MATCH(tItens[[#This Row],[Produto]],tProdutos[Produto],0))="",DescontoPadrao,INDEX(tProdutos[Desconto homologado],MATCH(tItens[[#This Row],[Produto]],tProdutos[Produto],0))),DescontoPadrao)</f>
        <v>0.24332656063896899</v>
      </c>
      <c r="M1582" s="12">
        <f>tItens[[#This Row],[Valor]]*(1-tItens[[#This Row],[Desconto]])</f>
        <v>0</v>
      </c>
      <c r="N1582" t="str">
        <f>IFERROR(INDEX(tProdutos[Foco],MATCH(tItens[[#This Row],[Produto]],tProdutos[Produto],0)),"Não")</f>
        <v>Não</v>
      </c>
      <c r="O1582" t="str">
        <f>IFERROR(INDEX(tEditais[SRP],MATCH(tItens[[#This Row],[Edital]],tEditais[Edital],0)),"Não")</f>
        <v>Não</v>
      </c>
      <c r="P1582" s="4">
        <f>IF(COUNTIFS(INDEX(tItens[Edital],1):tItens[[#This Row],[Edital]],tItens[[#This Row],[Edital]],INDEX(tItens[Produto],1):tItens[[#This Row],[Produto]],tItens[[#This Row],[Produto]])=1,1,0)</f>
        <v>1</v>
      </c>
    </row>
    <row r="1583" spans="1:16" x14ac:dyDescent="0.25">
      <c r="A1583" t="s">
        <v>1146</v>
      </c>
      <c r="B1583">
        <v>753</v>
      </c>
      <c r="C1583" t="s">
        <v>4641</v>
      </c>
      <c r="D1583" t="s">
        <v>273</v>
      </c>
      <c r="E1583" s="13">
        <v>220</v>
      </c>
      <c r="F1583" s="12">
        <v>0</v>
      </c>
      <c r="G1583" t="str">
        <f>IFERROR(INDEX(tEditais[Órgão],MATCH(tItens[[#This Row],[Edital]],tEditais[Edital],0)),"")</f>
        <v>FUNDO MUNICIPAL DE SAUDE DE MINEIROS</v>
      </c>
      <c r="H1583" t="str">
        <f>IFERROR(INDEX(tEditais[UF],MATCH(tItens[[#This Row],[Edital]],tEditais[Edital],0)),"")</f>
        <v>GO</v>
      </c>
      <c r="I1583" s="11">
        <f>IFERROR(INDEX(tEditais[Encerramento],MATCH(tItens[[#This Row],[Edital]],tEditais[Edital],0)),"")</f>
        <v>46308.291666666664</v>
      </c>
      <c r="J1583" t="str">
        <f>IFERROR(INDEX(tProdutos[Classe],MATCH(tItens[[#This Row],[Produto]],tProdutos[Produto],0)),"produto não cadastrado")</f>
        <v>FORA</v>
      </c>
      <c r="K1583" s="12">
        <f>tItens[[#This Row],[Qtd]]*tItens[[#This Row],[Vlr unit]]</f>
        <v>0</v>
      </c>
      <c r="L1583" s="6">
        <f>IFERROR(IF(INDEX(tProdutos[Desconto homologado],MATCH(tItens[[#This Row],[Produto]],tProdutos[Produto],0))="",DescontoPadrao,INDEX(tProdutos[Desconto homologado],MATCH(tItens[[#This Row],[Produto]],tProdutos[Produto],0))),DescontoPadrao)</f>
        <v>0.33168166649812902</v>
      </c>
      <c r="M1583" s="12">
        <f>tItens[[#This Row],[Valor]]*(1-tItens[[#This Row],[Desconto]])</f>
        <v>0</v>
      </c>
      <c r="N1583" t="str">
        <f>IFERROR(INDEX(tProdutos[Foco],MATCH(tItens[[#This Row],[Produto]],tProdutos[Produto],0)),"Não")</f>
        <v>Não</v>
      </c>
      <c r="O1583" t="str">
        <f>IFERROR(INDEX(tEditais[SRP],MATCH(tItens[[#This Row],[Edital]],tEditais[Edital],0)),"Não")</f>
        <v>Não</v>
      </c>
      <c r="P1583" s="4">
        <f>IF(COUNTIFS(INDEX(tItens[Edital],1):tItens[[#This Row],[Edital]],tItens[[#This Row],[Edital]],INDEX(tItens[Produto],1):tItens[[#This Row],[Produto]],tItens[[#This Row],[Produto]])=1,1,0)</f>
        <v>1</v>
      </c>
    </row>
    <row r="1584" spans="1:16" x14ac:dyDescent="0.25">
      <c r="A1584" t="s">
        <v>1146</v>
      </c>
      <c r="B1584">
        <v>771</v>
      </c>
      <c r="C1584" t="s">
        <v>4642</v>
      </c>
      <c r="D1584" t="s">
        <v>682</v>
      </c>
      <c r="E1584" s="13">
        <v>5</v>
      </c>
      <c r="F1584" s="12">
        <v>0</v>
      </c>
      <c r="G1584" t="str">
        <f>IFERROR(INDEX(tEditais[Órgão],MATCH(tItens[[#This Row],[Edital]],tEditais[Edital],0)),"")</f>
        <v>FUNDO MUNICIPAL DE SAUDE DE MINEIROS</v>
      </c>
      <c r="H1584" t="str">
        <f>IFERROR(INDEX(tEditais[UF],MATCH(tItens[[#This Row],[Edital]],tEditais[Edital],0)),"")</f>
        <v>GO</v>
      </c>
      <c r="I1584" s="11">
        <f>IFERROR(INDEX(tEditais[Encerramento],MATCH(tItens[[#This Row],[Edital]],tEditais[Edital],0)),"")</f>
        <v>46308.291666666664</v>
      </c>
      <c r="J1584" t="str">
        <f>IFERROR(INDEX(tProdutos[Classe],MATCH(tItens[[#This Row],[Produto]],tProdutos[Produto],0)),"produto não cadastrado")</f>
        <v>FILA REBASE</v>
      </c>
      <c r="K1584" s="12">
        <f>tItens[[#This Row],[Qtd]]*tItens[[#This Row],[Vlr unit]]</f>
        <v>0</v>
      </c>
      <c r="L1584" s="6">
        <f>IFERROR(IF(INDEX(tProdutos[Desconto homologado],MATCH(tItens[[#This Row],[Produto]],tProdutos[Produto],0))="",DescontoPadrao,INDEX(tProdutos[Desconto homologado],MATCH(tItens[[#This Row],[Produto]],tProdutos[Produto],0))),DescontoPadrao)</f>
        <v>0.3</v>
      </c>
      <c r="M1584" s="12">
        <f>tItens[[#This Row],[Valor]]*(1-tItens[[#This Row],[Desconto]])</f>
        <v>0</v>
      </c>
      <c r="N1584" t="str">
        <f>IFERROR(INDEX(tProdutos[Foco],MATCH(tItens[[#This Row],[Produto]],tProdutos[Produto],0)),"Não")</f>
        <v>Não</v>
      </c>
      <c r="O1584" t="str">
        <f>IFERROR(INDEX(tEditais[SRP],MATCH(tItens[[#This Row],[Edital]],tEditais[Edital],0)),"Não")</f>
        <v>Não</v>
      </c>
      <c r="P1584" s="4">
        <f>IF(COUNTIFS(INDEX(tItens[Edital],1):tItens[[#This Row],[Edital]],tItens[[#This Row],[Edital]],INDEX(tItens[Produto],1):tItens[[#This Row],[Produto]],tItens[[#This Row],[Produto]])=1,1,0)</f>
        <v>1</v>
      </c>
    </row>
    <row r="1585" spans="1:16" x14ac:dyDescent="0.25">
      <c r="A1585" t="s">
        <v>1146</v>
      </c>
      <c r="B1585">
        <v>773</v>
      </c>
      <c r="C1585" t="s">
        <v>4643</v>
      </c>
      <c r="D1585" t="s">
        <v>156</v>
      </c>
      <c r="E1585" s="13">
        <v>120</v>
      </c>
      <c r="F1585" s="12">
        <v>0</v>
      </c>
      <c r="G1585" t="str">
        <f>IFERROR(INDEX(tEditais[Órgão],MATCH(tItens[[#This Row],[Edital]],tEditais[Edital],0)),"")</f>
        <v>FUNDO MUNICIPAL DE SAUDE DE MINEIROS</v>
      </c>
      <c r="H1585" t="str">
        <f>IFERROR(INDEX(tEditais[UF],MATCH(tItens[[#This Row],[Edital]],tEditais[Edital],0)),"")</f>
        <v>GO</v>
      </c>
      <c r="I1585" s="11">
        <f>IFERROR(INDEX(tEditais[Encerramento],MATCH(tItens[[#This Row],[Edital]],tEditais[Edital],0)),"")</f>
        <v>46308.291666666664</v>
      </c>
      <c r="J1585" t="str">
        <f>IFERROR(INDEX(tProdutos[Classe],MATCH(tItens[[#This Row],[Produto]],tProdutos[Produto],0)),"produto não cadastrado")</f>
        <v>DISPUTADO</v>
      </c>
      <c r="K1585" s="12">
        <f>tItens[[#This Row],[Qtd]]*tItens[[#This Row],[Vlr unit]]</f>
        <v>0</v>
      </c>
      <c r="L1585" s="6">
        <f>IFERROR(IF(INDEX(tProdutos[Desconto homologado],MATCH(tItens[[#This Row],[Produto]],tProdutos[Produto],0))="",DescontoPadrao,INDEX(tProdutos[Desconto homologado],MATCH(tItens[[#This Row],[Produto]],tProdutos[Produto],0))),DescontoPadrao)</f>
        <v>0.27131852489802799</v>
      </c>
      <c r="M1585" s="12">
        <f>tItens[[#This Row],[Valor]]*(1-tItens[[#This Row],[Desconto]])</f>
        <v>0</v>
      </c>
      <c r="N1585" t="str">
        <f>IFERROR(INDEX(tProdutos[Foco],MATCH(tItens[[#This Row],[Produto]],tProdutos[Produto],0)),"Não")</f>
        <v>Não</v>
      </c>
      <c r="O1585" t="str">
        <f>IFERROR(INDEX(tEditais[SRP],MATCH(tItens[[#This Row],[Edital]],tEditais[Edital],0)),"Não")</f>
        <v>Não</v>
      </c>
      <c r="P1585" s="4">
        <f>IF(COUNTIFS(INDEX(tItens[Edital],1):tItens[[#This Row],[Edital]],tItens[[#This Row],[Edital]],INDEX(tItens[Produto],1):tItens[[#This Row],[Produto]],tItens[[#This Row],[Produto]])=1,1,0)</f>
        <v>1</v>
      </c>
    </row>
    <row r="1586" spans="1:16" x14ac:dyDescent="0.25">
      <c r="A1586" t="s">
        <v>1146</v>
      </c>
      <c r="B1586">
        <v>774</v>
      </c>
      <c r="C1586" t="s">
        <v>4644</v>
      </c>
      <c r="D1586" t="s">
        <v>156</v>
      </c>
      <c r="E1586" s="13">
        <v>150</v>
      </c>
      <c r="F1586" s="12">
        <v>0</v>
      </c>
      <c r="G1586" t="str">
        <f>IFERROR(INDEX(tEditais[Órgão],MATCH(tItens[[#This Row],[Edital]],tEditais[Edital],0)),"")</f>
        <v>FUNDO MUNICIPAL DE SAUDE DE MINEIROS</v>
      </c>
      <c r="H1586" t="str">
        <f>IFERROR(INDEX(tEditais[UF],MATCH(tItens[[#This Row],[Edital]],tEditais[Edital],0)),"")</f>
        <v>GO</v>
      </c>
      <c r="I1586" s="11">
        <f>IFERROR(INDEX(tEditais[Encerramento],MATCH(tItens[[#This Row],[Edital]],tEditais[Edital],0)),"")</f>
        <v>46308.291666666664</v>
      </c>
      <c r="J1586" t="str">
        <f>IFERROR(INDEX(tProdutos[Classe],MATCH(tItens[[#This Row],[Produto]],tProdutos[Produto],0)),"produto não cadastrado")</f>
        <v>DISPUTADO</v>
      </c>
      <c r="K1586" s="12">
        <f>tItens[[#This Row],[Qtd]]*tItens[[#This Row],[Vlr unit]]</f>
        <v>0</v>
      </c>
      <c r="L1586" s="6">
        <f>IFERROR(IF(INDEX(tProdutos[Desconto homologado],MATCH(tItens[[#This Row],[Produto]],tProdutos[Produto],0))="",DescontoPadrao,INDEX(tProdutos[Desconto homologado],MATCH(tItens[[#This Row],[Produto]],tProdutos[Produto],0))),DescontoPadrao)</f>
        <v>0.27131852489802799</v>
      </c>
      <c r="M1586" s="12">
        <f>tItens[[#This Row],[Valor]]*(1-tItens[[#This Row],[Desconto]])</f>
        <v>0</v>
      </c>
      <c r="N1586" t="str">
        <f>IFERROR(INDEX(tProdutos[Foco],MATCH(tItens[[#This Row],[Produto]],tProdutos[Produto],0)),"Não")</f>
        <v>Não</v>
      </c>
      <c r="O1586" t="str">
        <f>IFERROR(INDEX(tEditais[SRP],MATCH(tItens[[#This Row],[Edital]],tEditais[Edital],0)),"Não")</f>
        <v>Não</v>
      </c>
      <c r="P1586" s="4">
        <f>IF(COUNTIFS(INDEX(tItens[Edital],1):tItens[[#This Row],[Edital]],tItens[[#This Row],[Edital]],INDEX(tItens[Produto],1):tItens[[#This Row],[Produto]],tItens[[#This Row],[Produto]])=1,1,0)</f>
        <v>0</v>
      </c>
    </row>
    <row r="1587" spans="1:16" x14ac:dyDescent="0.25">
      <c r="A1587" t="s">
        <v>1146</v>
      </c>
      <c r="B1587">
        <v>789</v>
      </c>
      <c r="C1587" t="s">
        <v>4645</v>
      </c>
      <c r="D1587" t="s">
        <v>146</v>
      </c>
      <c r="E1587" s="13">
        <v>100</v>
      </c>
      <c r="F1587" s="12">
        <v>0</v>
      </c>
      <c r="G1587" t="str">
        <f>IFERROR(INDEX(tEditais[Órgão],MATCH(tItens[[#This Row],[Edital]],tEditais[Edital],0)),"")</f>
        <v>FUNDO MUNICIPAL DE SAUDE DE MINEIROS</v>
      </c>
      <c r="H1587" t="str">
        <f>IFERROR(INDEX(tEditais[UF],MATCH(tItens[[#This Row],[Edital]],tEditais[Edital],0)),"")</f>
        <v>GO</v>
      </c>
      <c r="I1587" s="11">
        <f>IFERROR(INDEX(tEditais[Encerramento],MATCH(tItens[[#This Row],[Edital]],tEditais[Edital],0)),"")</f>
        <v>46308.291666666664</v>
      </c>
      <c r="J1587" t="str">
        <f>IFERROR(INDEX(tProdutos[Classe],MATCH(tItens[[#This Row],[Produto]],tProdutos[Produto],0)),"produto não cadastrado")</f>
        <v>DISPUTADO</v>
      </c>
      <c r="K1587" s="12">
        <f>tItens[[#This Row],[Qtd]]*tItens[[#This Row],[Vlr unit]]</f>
        <v>0</v>
      </c>
      <c r="L1587" s="6">
        <f>IFERROR(IF(INDEX(tProdutos[Desconto homologado],MATCH(tItens[[#This Row],[Produto]],tProdutos[Produto],0))="",DescontoPadrao,INDEX(tProdutos[Desconto homologado],MATCH(tItens[[#This Row],[Produto]],tProdutos[Produto],0))),DescontoPadrao)</f>
        <v>0.17898379508054499</v>
      </c>
      <c r="M1587" s="12">
        <f>tItens[[#This Row],[Valor]]*(1-tItens[[#This Row],[Desconto]])</f>
        <v>0</v>
      </c>
      <c r="N1587" t="str">
        <f>IFERROR(INDEX(tProdutos[Foco],MATCH(tItens[[#This Row],[Produto]],tProdutos[Produto],0)),"Não")</f>
        <v>Não</v>
      </c>
      <c r="O1587" t="str">
        <f>IFERROR(INDEX(tEditais[SRP],MATCH(tItens[[#This Row],[Edital]],tEditais[Edital],0)),"Não")</f>
        <v>Não</v>
      </c>
      <c r="P1587" s="4">
        <f>IF(COUNTIFS(INDEX(tItens[Edital],1):tItens[[#This Row],[Edital]],tItens[[#This Row],[Edital]],INDEX(tItens[Produto],1):tItens[[#This Row],[Produto]],tItens[[#This Row],[Produto]])=1,1,0)</f>
        <v>1</v>
      </c>
    </row>
    <row r="1588" spans="1:16" x14ac:dyDescent="0.25">
      <c r="A1588" t="s">
        <v>1150</v>
      </c>
      <c r="B1588">
        <v>36</v>
      </c>
      <c r="C1588" t="s">
        <v>4646</v>
      </c>
      <c r="D1588" t="s">
        <v>269</v>
      </c>
      <c r="E1588" s="13">
        <v>2250</v>
      </c>
      <c r="F1588" s="12">
        <v>0</v>
      </c>
      <c r="G1588" t="str">
        <f>IFERROR(INDEX(tEditais[Órgão],MATCH(tItens[[#This Row],[Edital]],tEditais[Edital],0)),"")</f>
        <v>FUNDO MUNICIPAL DE SAUDE</v>
      </c>
      <c r="H1588" t="str">
        <f>IFERROR(INDEX(tEditais[UF],MATCH(tItens[[#This Row],[Edital]],tEditais[Edital],0)),"")</f>
        <v>GO</v>
      </c>
      <c r="I1588" s="11">
        <f>IFERROR(INDEX(tEditais[Encerramento],MATCH(tItens[[#This Row],[Edital]],tEditais[Edital],0)),"")</f>
        <v>46308.3125</v>
      </c>
      <c r="J1588" t="str">
        <f>IFERROR(INDEX(tProdutos[Classe],MATCH(tItens[[#This Row],[Produto]],tProdutos[Produto],0)),"produto não cadastrado")</f>
        <v>FORA</v>
      </c>
      <c r="K1588" s="12">
        <f>tItens[[#This Row],[Qtd]]*tItens[[#This Row],[Vlr unit]]</f>
        <v>0</v>
      </c>
      <c r="L1588" s="6">
        <f>IFERROR(IF(INDEX(tProdutos[Desconto homologado],MATCH(tItens[[#This Row],[Produto]],tProdutos[Produto],0))="",DescontoPadrao,INDEX(tProdutos[Desconto homologado],MATCH(tItens[[#This Row],[Produto]],tProdutos[Produto],0))),DescontoPadrao)</f>
        <v>0.28935117103332197</v>
      </c>
      <c r="M1588" s="12">
        <f>tItens[[#This Row],[Valor]]*(1-tItens[[#This Row],[Desconto]])</f>
        <v>0</v>
      </c>
      <c r="N1588" t="str">
        <f>IFERROR(INDEX(tProdutos[Foco],MATCH(tItens[[#This Row],[Produto]],tProdutos[Produto],0)),"Não")</f>
        <v>Não</v>
      </c>
      <c r="O1588" t="str">
        <f>IFERROR(INDEX(tEditais[SRP],MATCH(tItens[[#This Row],[Edital]],tEditais[Edital],0)),"Não")</f>
        <v>Não</v>
      </c>
      <c r="P1588" s="4">
        <f>IF(COUNTIFS(INDEX(tItens[Edital],1):tItens[[#This Row],[Edital]],tItens[[#This Row],[Edital]],INDEX(tItens[Produto],1):tItens[[#This Row],[Produto]],tItens[[#This Row],[Produto]])=1,1,0)</f>
        <v>1</v>
      </c>
    </row>
    <row r="1589" spans="1:16" x14ac:dyDescent="0.25">
      <c r="A1589" t="s">
        <v>1150</v>
      </c>
      <c r="B1589">
        <v>50</v>
      </c>
      <c r="C1589" t="s">
        <v>4647</v>
      </c>
      <c r="D1589" t="s">
        <v>142</v>
      </c>
      <c r="E1589" s="13">
        <v>100</v>
      </c>
      <c r="F1589" s="12">
        <v>0</v>
      </c>
      <c r="G1589" t="str">
        <f>IFERROR(INDEX(tEditais[Órgão],MATCH(tItens[[#This Row],[Edital]],tEditais[Edital],0)),"")</f>
        <v>FUNDO MUNICIPAL DE SAUDE</v>
      </c>
      <c r="H1589" t="str">
        <f>IFERROR(INDEX(tEditais[UF],MATCH(tItens[[#This Row],[Edital]],tEditais[Edital],0)),"")</f>
        <v>GO</v>
      </c>
      <c r="I1589" s="11">
        <f>IFERROR(INDEX(tEditais[Encerramento],MATCH(tItens[[#This Row],[Edital]],tEditais[Edital],0)),"")</f>
        <v>46308.3125</v>
      </c>
      <c r="J1589" t="str">
        <f>IFERROR(INDEX(tProdutos[Classe],MATCH(tItens[[#This Row],[Produto]],tProdutos[Produto],0)),"produto não cadastrado")</f>
        <v>DISPUTADO</v>
      </c>
      <c r="K1589" s="12">
        <f>tItens[[#This Row],[Qtd]]*tItens[[#This Row],[Vlr unit]]</f>
        <v>0</v>
      </c>
      <c r="L1589" s="6">
        <f>IFERROR(IF(INDEX(tProdutos[Desconto homologado],MATCH(tItens[[#This Row],[Produto]],tProdutos[Produto],0))="",DescontoPadrao,INDEX(tProdutos[Desconto homologado],MATCH(tItens[[#This Row],[Produto]],tProdutos[Produto],0))),DescontoPadrao)</f>
        <v>0.37093619495691699</v>
      </c>
      <c r="M1589" s="12">
        <f>tItens[[#This Row],[Valor]]*(1-tItens[[#This Row],[Desconto]])</f>
        <v>0</v>
      </c>
      <c r="N1589" t="str">
        <f>IFERROR(INDEX(tProdutos[Foco],MATCH(tItens[[#This Row],[Produto]],tProdutos[Produto],0)),"Não")</f>
        <v>Não</v>
      </c>
      <c r="O1589" t="str">
        <f>IFERROR(INDEX(tEditais[SRP],MATCH(tItens[[#This Row],[Edital]],tEditais[Edital],0)),"Não")</f>
        <v>Não</v>
      </c>
      <c r="P1589" s="4">
        <f>IF(COUNTIFS(INDEX(tItens[Edital],1):tItens[[#This Row],[Edital]],tItens[[#This Row],[Edital]],INDEX(tItens[Produto],1):tItens[[#This Row],[Produto]],tItens[[#This Row],[Produto]])=1,1,0)</f>
        <v>1</v>
      </c>
    </row>
    <row r="1590" spans="1:16" x14ac:dyDescent="0.25">
      <c r="A1590" t="s">
        <v>1150</v>
      </c>
      <c r="B1590">
        <v>81</v>
      </c>
      <c r="C1590" t="s">
        <v>4648</v>
      </c>
      <c r="D1590" t="s">
        <v>494</v>
      </c>
      <c r="E1590" s="13">
        <v>100</v>
      </c>
      <c r="F1590" s="12">
        <v>0</v>
      </c>
      <c r="G1590" t="str">
        <f>IFERROR(INDEX(tEditais[Órgão],MATCH(tItens[[#This Row],[Edital]],tEditais[Edital],0)),"")</f>
        <v>FUNDO MUNICIPAL DE SAUDE</v>
      </c>
      <c r="H1590" t="str">
        <f>IFERROR(INDEX(tEditais[UF],MATCH(tItens[[#This Row],[Edital]],tEditais[Edital],0)),"")</f>
        <v>GO</v>
      </c>
      <c r="I1590" s="11">
        <f>IFERROR(INDEX(tEditais[Encerramento],MATCH(tItens[[#This Row],[Edital]],tEditais[Edital],0)),"")</f>
        <v>46308.3125</v>
      </c>
      <c r="J1590" t="str">
        <f>IFERROR(INDEX(tProdutos[Classe],MATCH(tItens[[#This Row],[Produto]],tProdutos[Produto],0)),"produto não cadastrado")</f>
        <v>FILA REBASE</v>
      </c>
      <c r="K1590" s="12">
        <f>tItens[[#This Row],[Qtd]]*tItens[[#This Row],[Vlr unit]]</f>
        <v>0</v>
      </c>
      <c r="L1590" s="6">
        <f>IFERROR(IF(INDEX(tProdutos[Desconto homologado],MATCH(tItens[[#This Row],[Produto]],tProdutos[Produto],0))="",DescontoPadrao,INDEX(tProdutos[Desconto homologado],MATCH(tItens[[#This Row],[Produto]],tProdutos[Produto],0))),DescontoPadrao)</f>
        <v>0.253736324829619</v>
      </c>
      <c r="M1590" s="12">
        <f>tItens[[#This Row],[Valor]]*(1-tItens[[#This Row],[Desconto]])</f>
        <v>0</v>
      </c>
      <c r="N1590" t="str">
        <f>IFERROR(INDEX(tProdutos[Foco],MATCH(tItens[[#This Row],[Produto]],tProdutos[Produto],0)),"Não")</f>
        <v>Não</v>
      </c>
      <c r="O1590" t="str">
        <f>IFERROR(INDEX(tEditais[SRP],MATCH(tItens[[#This Row],[Edital]],tEditais[Edital],0)),"Não")</f>
        <v>Não</v>
      </c>
      <c r="P1590" s="4">
        <f>IF(COUNTIFS(INDEX(tItens[Edital],1):tItens[[#This Row],[Edital]],tItens[[#This Row],[Edital]],INDEX(tItens[Produto],1):tItens[[#This Row],[Produto]],tItens[[#This Row],[Produto]])=1,1,0)</f>
        <v>1</v>
      </c>
    </row>
    <row r="1591" spans="1:16" x14ac:dyDescent="0.25">
      <c r="A1591" t="s">
        <v>1150</v>
      </c>
      <c r="B1591">
        <v>82</v>
      </c>
      <c r="C1591" t="s">
        <v>4649</v>
      </c>
      <c r="D1591" t="s">
        <v>494</v>
      </c>
      <c r="E1591" s="13">
        <v>200</v>
      </c>
      <c r="F1591" s="12">
        <v>0</v>
      </c>
      <c r="G1591" t="str">
        <f>IFERROR(INDEX(tEditais[Órgão],MATCH(tItens[[#This Row],[Edital]],tEditais[Edital],0)),"")</f>
        <v>FUNDO MUNICIPAL DE SAUDE</v>
      </c>
      <c r="H1591" t="str">
        <f>IFERROR(INDEX(tEditais[UF],MATCH(tItens[[#This Row],[Edital]],tEditais[Edital],0)),"")</f>
        <v>GO</v>
      </c>
      <c r="I1591" s="11">
        <f>IFERROR(INDEX(tEditais[Encerramento],MATCH(tItens[[#This Row],[Edital]],tEditais[Edital],0)),"")</f>
        <v>46308.3125</v>
      </c>
      <c r="J1591" t="str">
        <f>IFERROR(INDEX(tProdutos[Classe],MATCH(tItens[[#This Row],[Produto]],tProdutos[Produto],0)),"produto não cadastrado")</f>
        <v>FILA REBASE</v>
      </c>
      <c r="K1591" s="12">
        <f>tItens[[#This Row],[Qtd]]*tItens[[#This Row],[Vlr unit]]</f>
        <v>0</v>
      </c>
      <c r="L1591" s="6">
        <f>IFERROR(IF(INDEX(tProdutos[Desconto homologado],MATCH(tItens[[#This Row],[Produto]],tProdutos[Produto],0))="",DescontoPadrao,INDEX(tProdutos[Desconto homologado],MATCH(tItens[[#This Row],[Produto]],tProdutos[Produto],0))),DescontoPadrao)</f>
        <v>0.253736324829619</v>
      </c>
      <c r="M1591" s="12">
        <f>tItens[[#This Row],[Valor]]*(1-tItens[[#This Row],[Desconto]])</f>
        <v>0</v>
      </c>
      <c r="N1591" t="str">
        <f>IFERROR(INDEX(tProdutos[Foco],MATCH(tItens[[#This Row],[Produto]],tProdutos[Produto],0)),"Não")</f>
        <v>Não</v>
      </c>
      <c r="O1591" t="str">
        <f>IFERROR(INDEX(tEditais[SRP],MATCH(tItens[[#This Row],[Edital]],tEditais[Edital],0)),"Não")</f>
        <v>Não</v>
      </c>
      <c r="P1591" s="4">
        <f>IF(COUNTIFS(INDEX(tItens[Edital],1):tItens[[#This Row],[Edital]],tItens[[#This Row],[Edital]],INDEX(tItens[Produto],1):tItens[[#This Row],[Produto]],tItens[[#This Row],[Produto]])=1,1,0)</f>
        <v>0</v>
      </c>
    </row>
    <row r="1592" spans="1:16" x14ac:dyDescent="0.25">
      <c r="A1592" t="s">
        <v>1150</v>
      </c>
      <c r="B1592">
        <v>83</v>
      </c>
      <c r="C1592" t="s">
        <v>4650</v>
      </c>
      <c r="D1592" t="s">
        <v>494</v>
      </c>
      <c r="E1592" s="13">
        <v>200</v>
      </c>
      <c r="F1592" s="12">
        <v>0</v>
      </c>
      <c r="G1592" t="str">
        <f>IFERROR(INDEX(tEditais[Órgão],MATCH(tItens[[#This Row],[Edital]],tEditais[Edital],0)),"")</f>
        <v>FUNDO MUNICIPAL DE SAUDE</v>
      </c>
      <c r="H1592" t="str">
        <f>IFERROR(INDEX(tEditais[UF],MATCH(tItens[[#This Row],[Edital]],tEditais[Edital],0)),"")</f>
        <v>GO</v>
      </c>
      <c r="I1592" s="11">
        <f>IFERROR(INDEX(tEditais[Encerramento],MATCH(tItens[[#This Row],[Edital]],tEditais[Edital],0)),"")</f>
        <v>46308.3125</v>
      </c>
      <c r="J1592" t="str">
        <f>IFERROR(INDEX(tProdutos[Classe],MATCH(tItens[[#This Row],[Produto]],tProdutos[Produto],0)),"produto não cadastrado")</f>
        <v>FILA REBASE</v>
      </c>
      <c r="K1592" s="12">
        <f>tItens[[#This Row],[Qtd]]*tItens[[#This Row],[Vlr unit]]</f>
        <v>0</v>
      </c>
      <c r="L1592" s="6">
        <f>IFERROR(IF(INDEX(tProdutos[Desconto homologado],MATCH(tItens[[#This Row],[Produto]],tProdutos[Produto],0))="",DescontoPadrao,INDEX(tProdutos[Desconto homologado],MATCH(tItens[[#This Row],[Produto]],tProdutos[Produto],0))),DescontoPadrao)</f>
        <v>0.253736324829619</v>
      </c>
      <c r="M1592" s="12">
        <f>tItens[[#This Row],[Valor]]*(1-tItens[[#This Row],[Desconto]])</f>
        <v>0</v>
      </c>
      <c r="N1592" t="str">
        <f>IFERROR(INDEX(tProdutos[Foco],MATCH(tItens[[#This Row],[Produto]],tProdutos[Produto],0)),"Não")</f>
        <v>Não</v>
      </c>
      <c r="O1592" t="str">
        <f>IFERROR(INDEX(tEditais[SRP],MATCH(tItens[[#This Row],[Edital]],tEditais[Edital],0)),"Não")</f>
        <v>Não</v>
      </c>
      <c r="P1592" s="4">
        <f>IF(COUNTIFS(INDEX(tItens[Edital],1):tItens[[#This Row],[Edital]],tItens[[#This Row],[Edital]],INDEX(tItens[Produto],1):tItens[[#This Row],[Produto]],tItens[[#This Row],[Produto]])=1,1,0)</f>
        <v>0</v>
      </c>
    </row>
    <row r="1593" spans="1:16" x14ac:dyDescent="0.25">
      <c r="A1593" t="s">
        <v>1150</v>
      </c>
      <c r="B1593">
        <v>109</v>
      </c>
      <c r="C1593" t="s">
        <v>4651</v>
      </c>
      <c r="D1593" t="s">
        <v>269</v>
      </c>
      <c r="E1593" s="13">
        <v>750</v>
      </c>
      <c r="F1593" s="12">
        <v>0</v>
      </c>
      <c r="G1593" t="str">
        <f>IFERROR(INDEX(tEditais[Órgão],MATCH(tItens[[#This Row],[Edital]],tEditais[Edital],0)),"")</f>
        <v>FUNDO MUNICIPAL DE SAUDE</v>
      </c>
      <c r="H1593" t="str">
        <f>IFERROR(INDEX(tEditais[UF],MATCH(tItens[[#This Row],[Edital]],tEditais[Edital],0)),"")</f>
        <v>GO</v>
      </c>
      <c r="I1593" s="11">
        <f>IFERROR(INDEX(tEditais[Encerramento],MATCH(tItens[[#This Row],[Edital]],tEditais[Edital],0)),"")</f>
        <v>46308.3125</v>
      </c>
      <c r="J1593" t="str">
        <f>IFERROR(INDEX(tProdutos[Classe],MATCH(tItens[[#This Row],[Produto]],tProdutos[Produto],0)),"produto não cadastrado")</f>
        <v>FORA</v>
      </c>
      <c r="K1593" s="12">
        <f>tItens[[#This Row],[Qtd]]*tItens[[#This Row],[Vlr unit]]</f>
        <v>0</v>
      </c>
      <c r="L1593" s="6">
        <f>IFERROR(IF(INDEX(tProdutos[Desconto homologado],MATCH(tItens[[#This Row],[Produto]],tProdutos[Produto],0))="",DescontoPadrao,INDEX(tProdutos[Desconto homologado],MATCH(tItens[[#This Row],[Produto]],tProdutos[Produto],0))),DescontoPadrao)</f>
        <v>0.28935117103332197</v>
      </c>
      <c r="M1593" s="12">
        <f>tItens[[#This Row],[Valor]]*(1-tItens[[#This Row],[Desconto]])</f>
        <v>0</v>
      </c>
      <c r="N1593" t="str">
        <f>IFERROR(INDEX(tProdutos[Foco],MATCH(tItens[[#This Row],[Produto]],tProdutos[Produto],0)),"Não")</f>
        <v>Não</v>
      </c>
      <c r="O1593" t="str">
        <f>IFERROR(INDEX(tEditais[SRP],MATCH(tItens[[#This Row],[Edital]],tEditais[Edital],0)),"Não")</f>
        <v>Não</v>
      </c>
      <c r="P1593" s="4">
        <f>IF(COUNTIFS(INDEX(tItens[Edital],1):tItens[[#This Row],[Edital]],tItens[[#This Row],[Edital]],INDEX(tItens[Produto],1):tItens[[#This Row],[Produto]],tItens[[#This Row],[Produto]])=1,1,0)</f>
        <v>0</v>
      </c>
    </row>
    <row r="1594" spans="1:16" x14ac:dyDescent="0.25">
      <c r="A1594" t="s">
        <v>1152</v>
      </c>
      <c r="B1594">
        <v>17</v>
      </c>
      <c r="C1594" t="s">
        <v>4652</v>
      </c>
      <c r="D1594" t="s">
        <v>363</v>
      </c>
      <c r="E1594" s="13">
        <v>600</v>
      </c>
      <c r="F1594" s="12">
        <v>6.5</v>
      </c>
      <c r="G1594" t="str">
        <f>IFERROR(INDEX(tEditais[Órgão],MATCH(tItens[[#This Row],[Edital]],tEditais[Edital],0)),"")</f>
        <v>FUNDO MUNICIPAL DE SAUDE</v>
      </c>
      <c r="H1594" t="str">
        <f>IFERROR(INDEX(tEditais[UF],MATCH(tItens[[#This Row],[Edital]],tEditais[Edital],0)),"")</f>
        <v>GO</v>
      </c>
      <c r="I1594" s="11">
        <f>IFERROR(INDEX(tEditais[Encerramento],MATCH(tItens[[#This Row],[Edital]],tEditais[Edital],0)),"")</f>
        <v>46308.332638888889</v>
      </c>
      <c r="J1594" t="str">
        <f>IFERROR(INDEX(tProdutos[Classe],MATCH(tItens[[#This Row],[Produto]],tProdutos[Produto],0)),"produto não cadastrado")</f>
        <v>FORA</v>
      </c>
      <c r="K1594" s="12">
        <f>tItens[[#This Row],[Qtd]]*tItens[[#This Row],[Vlr unit]]</f>
        <v>3900</v>
      </c>
      <c r="L1594" s="6">
        <f>IFERROR(IF(INDEX(tProdutos[Desconto homologado],MATCH(tItens[[#This Row],[Produto]],tProdutos[Produto],0))="",DescontoPadrao,INDEX(tProdutos[Desconto homologado],MATCH(tItens[[#This Row],[Produto]],tProdutos[Produto],0))),DescontoPadrao)</f>
        <v>0.36454545454545501</v>
      </c>
      <c r="M1594" s="12">
        <f>tItens[[#This Row],[Valor]]*(1-tItens[[#This Row],[Desconto]])</f>
        <v>2478.2727272727257</v>
      </c>
      <c r="N1594" t="str">
        <f>IFERROR(INDEX(tProdutos[Foco],MATCH(tItens[[#This Row],[Produto]],tProdutos[Produto],0)),"Não")</f>
        <v>Não</v>
      </c>
      <c r="O1594" t="str">
        <f>IFERROR(INDEX(tEditais[SRP],MATCH(tItens[[#This Row],[Edital]],tEditais[Edital],0)),"Não")</f>
        <v>Sim</v>
      </c>
      <c r="P1594" s="4">
        <f>IF(COUNTIFS(INDEX(tItens[Edital],1):tItens[[#This Row],[Edital]],tItens[[#This Row],[Edital]],INDEX(tItens[Produto],1):tItens[[#This Row],[Produto]],tItens[[#This Row],[Produto]])=1,1,0)</f>
        <v>1</v>
      </c>
    </row>
    <row r="1595" spans="1:16" x14ac:dyDescent="0.25">
      <c r="A1595" t="s">
        <v>1152</v>
      </c>
      <c r="B1595">
        <v>48</v>
      </c>
      <c r="C1595" t="s">
        <v>4653</v>
      </c>
      <c r="D1595" t="s">
        <v>277</v>
      </c>
      <c r="E1595" s="13">
        <v>5000</v>
      </c>
      <c r="F1595" s="12">
        <v>0.16</v>
      </c>
      <c r="G1595" t="str">
        <f>IFERROR(INDEX(tEditais[Órgão],MATCH(tItens[[#This Row],[Edital]],tEditais[Edital],0)),"")</f>
        <v>FUNDO MUNICIPAL DE SAUDE</v>
      </c>
      <c r="H1595" t="str">
        <f>IFERROR(INDEX(tEditais[UF],MATCH(tItens[[#This Row],[Edital]],tEditais[Edital],0)),"")</f>
        <v>GO</v>
      </c>
      <c r="I1595" s="11">
        <f>IFERROR(INDEX(tEditais[Encerramento],MATCH(tItens[[#This Row],[Edital]],tEditais[Edital],0)),"")</f>
        <v>46308.332638888889</v>
      </c>
      <c r="J1595" t="str">
        <f>IFERROR(INDEX(tProdutos[Classe],MATCH(tItens[[#This Row],[Produto]],tProdutos[Produto],0)),"produto não cadastrado")</f>
        <v>DISPUTADO</v>
      </c>
      <c r="K1595" s="12">
        <f>tItens[[#This Row],[Qtd]]*tItens[[#This Row],[Vlr unit]]</f>
        <v>800</v>
      </c>
      <c r="L1595" s="6">
        <f>IFERROR(IF(INDEX(tProdutos[Desconto homologado],MATCH(tItens[[#This Row],[Produto]],tProdutos[Produto],0))="",DescontoPadrao,INDEX(tProdutos[Desconto homologado],MATCH(tItens[[#This Row],[Produto]],tProdutos[Produto],0))),DescontoPadrao)</f>
        <v>0.50460666194188497</v>
      </c>
      <c r="M1595" s="12">
        <f>tItens[[#This Row],[Valor]]*(1-tItens[[#This Row],[Desconto]])</f>
        <v>396.31467044649202</v>
      </c>
      <c r="N1595" t="str">
        <f>IFERROR(INDEX(tProdutos[Foco],MATCH(tItens[[#This Row],[Produto]],tProdutos[Produto],0)),"Não")</f>
        <v>Não</v>
      </c>
      <c r="O1595" t="str">
        <f>IFERROR(INDEX(tEditais[SRP],MATCH(tItens[[#This Row],[Edital]],tEditais[Edital],0)),"Não")</f>
        <v>Sim</v>
      </c>
      <c r="P1595" s="4">
        <f>IF(COUNTIFS(INDEX(tItens[Edital],1):tItens[[#This Row],[Edital]],tItens[[#This Row],[Edital]],INDEX(tItens[Produto],1):tItens[[#This Row],[Produto]],tItens[[#This Row],[Produto]])=1,1,0)</f>
        <v>1</v>
      </c>
    </row>
    <row r="1596" spans="1:16" x14ac:dyDescent="0.25">
      <c r="A1596" t="s">
        <v>1152</v>
      </c>
      <c r="B1596">
        <v>52</v>
      </c>
      <c r="C1596" t="s">
        <v>4654</v>
      </c>
      <c r="D1596" t="s">
        <v>62</v>
      </c>
      <c r="E1596" s="13">
        <v>1000</v>
      </c>
      <c r="F1596" s="12">
        <v>7.5</v>
      </c>
      <c r="G1596" t="str">
        <f>IFERROR(INDEX(tEditais[Órgão],MATCH(tItens[[#This Row],[Edital]],tEditais[Edital],0)),"")</f>
        <v>FUNDO MUNICIPAL DE SAUDE</v>
      </c>
      <c r="H1596" t="str">
        <f>IFERROR(INDEX(tEditais[UF],MATCH(tItens[[#This Row],[Edital]],tEditais[Edital],0)),"")</f>
        <v>GO</v>
      </c>
      <c r="I1596" s="11">
        <f>IFERROR(INDEX(tEditais[Encerramento],MATCH(tItens[[#This Row],[Edital]],tEditais[Edital],0)),"")</f>
        <v>46308.332638888889</v>
      </c>
      <c r="J1596" t="str">
        <f>IFERROR(INDEX(tProdutos[Classe],MATCH(tItens[[#This Row],[Produto]],tProdutos[Produto],0)),"produto não cadastrado")</f>
        <v>NÚCLEO</v>
      </c>
      <c r="K1596" s="12">
        <f>tItens[[#This Row],[Qtd]]*tItens[[#This Row],[Vlr unit]]</f>
        <v>7500</v>
      </c>
      <c r="L1596" s="6">
        <f>IFERROR(IF(INDEX(tProdutos[Desconto homologado],MATCH(tItens[[#This Row],[Produto]],tProdutos[Produto],0))="",DescontoPadrao,INDEX(tProdutos[Desconto homologado],MATCH(tItens[[#This Row],[Produto]],tProdutos[Produto],0))),DescontoPadrao)</f>
        <v>0.3</v>
      </c>
      <c r="M1596" s="12">
        <f>tItens[[#This Row],[Valor]]*(1-tItens[[#This Row],[Desconto]])</f>
        <v>5250</v>
      </c>
      <c r="N1596" t="str">
        <f>IFERROR(INDEX(tProdutos[Foco],MATCH(tItens[[#This Row],[Produto]],tProdutos[Produto],0)),"Não")</f>
        <v>Sim</v>
      </c>
      <c r="O1596" t="str">
        <f>IFERROR(INDEX(tEditais[SRP],MATCH(tItens[[#This Row],[Edital]],tEditais[Edital],0)),"Não")</f>
        <v>Sim</v>
      </c>
      <c r="P1596" s="4">
        <f>IF(COUNTIFS(INDEX(tItens[Edital],1):tItens[[#This Row],[Edital]],tItens[[#This Row],[Edital]],INDEX(tItens[Produto],1):tItens[[#This Row],[Produto]],tItens[[#This Row],[Produto]])=1,1,0)</f>
        <v>1</v>
      </c>
    </row>
    <row r="1597" spans="1:16" x14ac:dyDescent="0.25">
      <c r="A1597" t="s">
        <v>1152</v>
      </c>
      <c r="B1597">
        <v>53</v>
      </c>
      <c r="C1597" t="s">
        <v>4655</v>
      </c>
      <c r="D1597" t="s">
        <v>124</v>
      </c>
      <c r="E1597" s="13">
        <v>50</v>
      </c>
      <c r="F1597" s="12">
        <v>30.31</v>
      </c>
      <c r="G1597" t="str">
        <f>IFERROR(INDEX(tEditais[Órgão],MATCH(tItens[[#This Row],[Edital]],tEditais[Edital],0)),"")</f>
        <v>FUNDO MUNICIPAL DE SAUDE</v>
      </c>
      <c r="H1597" t="str">
        <f>IFERROR(INDEX(tEditais[UF],MATCH(tItens[[#This Row],[Edital]],tEditais[Edital],0)),"")</f>
        <v>GO</v>
      </c>
      <c r="I1597" s="11">
        <f>IFERROR(INDEX(tEditais[Encerramento],MATCH(tItens[[#This Row],[Edital]],tEditais[Edital],0)),"")</f>
        <v>46308.332638888889</v>
      </c>
      <c r="J1597" t="str">
        <f>IFERROR(INDEX(tProdutos[Classe],MATCH(tItens[[#This Row],[Produto]],tProdutos[Produto],0)),"produto não cadastrado")</f>
        <v>DISPUTADO</v>
      </c>
      <c r="K1597" s="12">
        <f>tItens[[#This Row],[Qtd]]*tItens[[#This Row],[Vlr unit]]</f>
        <v>1515.5</v>
      </c>
      <c r="L1597" s="6">
        <f>IFERROR(IF(INDEX(tProdutos[Desconto homologado],MATCH(tItens[[#This Row],[Produto]],tProdutos[Produto],0))="",DescontoPadrao,INDEX(tProdutos[Desconto homologado],MATCH(tItens[[#This Row],[Produto]],tProdutos[Produto],0))),DescontoPadrao)</f>
        <v>0.34</v>
      </c>
      <c r="M1597" s="12">
        <f>tItens[[#This Row],[Valor]]*(1-tItens[[#This Row],[Desconto]])</f>
        <v>1000.2299999999999</v>
      </c>
      <c r="N1597" t="str">
        <f>IFERROR(INDEX(tProdutos[Foco],MATCH(tItens[[#This Row],[Produto]],tProdutos[Produto],0)),"Não")</f>
        <v>Sim</v>
      </c>
      <c r="O1597" t="str">
        <f>IFERROR(INDEX(tEditais[SRP],MATCH(tItens[[#This Row],[Edital]],tEditais[Edital],0)),"Não")</f>
        <v>Sim</v>
      </c>
      <c r="P1597" s="4">
        <f>IF(COUNTIFS(INDEX(tItens[Edital],1):tItens[[#This Row],[Edital]],tItens[[#This Row],[Edital]],INDEX(tItens[Produto],1):tItens[[#This Row],[Produto]],tItens[[#This Row],[Produto]])=1,1,0)</f>
        <v>1</v>
      </c>
    </row>
    <row r="1598" spans="1:16" x14ac:dyDescent="0.25">
      <c r="A1598" t="s">
        <v>1152</v>
      </c>
      <c r="B1598">
        <v>54</v>
      </c>
      <c r="C1598" t="s">
        <v>4656</v>
      </c>
      <c r="D1598" t="s">
        <v>124</v>
      </c>
      <c r="E1598" s="13">
        <v>50</v>
      </c>
      <c r="F1598" s="12">
        <v>26.3</v>
      </c>
      <c r="G1598" t="str">
        <f>IFERROR(INDEX(tEditais[Órgão],MATCH(tItens[[#This Row],[Edital]],tEditais[Edital],0)),"")</f>
        <v>FUNDO MUNICIPAL DE SAUDE</v>
      </c>
      <c r="H1598" t="str">
        <f>IFERROR(INDEX(tEditais[UF],MATCH(tItens[[#This Row],[Edital]],tEditais[Edital],0)),"")</f>
        <v>GO</v>
      </c>
      <c r="I1598" s="11">
        <f>IFERROR(INDEX(tEditais[Encerramento],MATCH(tItens[[#This Row],[Edital]],tEditais[Edital],0)),"")</f>
        <v>46308.332638888889</v>
      </c>
      <c r="J1598" t="str">
        <f>IFERROR(INDEX(tProdutos[Classe],MATCH(tItens[[#This Row],[Produto]],tProdutos[Produto],0)),"produto não cadastrado")</f>
        <v>DISPUTADO</v>
      </c>
      <c r="K1598" s="12">
        <f>tItens[[#This Row],[Qtd]]*tItens[[#This Row],[Vlr unit]]</f>
        <v>1315</v>
      </c>
      <c r="L1598" s="6">
        <f>IFERROR(IF(INDEX(tProdutos[Desconto homologado],MATCH(tItens[[#This Row],[Produto]],tProdutos[Produto],0))="",DescontoPadrao,INDEX(tProdutos[Desconto homologado],MATCH(tItens[[#This Row],[Produto]],tProdutos[Produto],0))),DescontoPadrao)</f>
        <v>0.34</v>
      </c>
      <c r="M1598" s="12">
        <f>tItens[[#This Row],[Valor]]*(1-tItens[[#This Row],[Desconto]])</f>
        <v>867.89999999999986</v>
      </c>
      <c r="N1598" t="str">
        <f>IFERROR(INDEX(tProdutos[Foco],MATCH(tItens[[#This Row],[Produto]],tProdutos[Produto],0)),"Não")</f>
        <v>Sim</v>
      </c>
      <c r="O1598" t="str">
        <f>IFERROR(INDEX(tEditais[SRP],MATCH(tItens[[#This Row],[Edital]],tEditais[Edital],0)),"Não")</f>
        <v>Sim</v>
      </c>
      <c r="P1598" s="4">
        <f>IF(COUNTIFS(INDEX(tItens[Edital],1):tItens[[#This Row],[Edital]],tItens[[#This Row],[Edital]],INDEX(tItens[Produto],1):tItens[[#This Row],[Produto]],tItens[[#This Row],[Produto]])=1,1,0)</f>
        <v>0</v>
      </c>
    </row>
    <row r="1599" spans="1:16" x14ac:dyDescent="0.25">
      <c r="A1599" t="s">
        <v>1152</v>
      </c>
      <c r="B1599">
        <v>58</v>
      </c>
      <c r="C1599" t="s">
        <v>4657</v>
      </c>
      <c r="D1599" t="s">
        <v>118</v>
      </c>
      <c r="E1599" s="13">
        <v>5</v>
      </c>
      <c r="F1599" s="12">
        <v>604.05999999999995</v>
      </c>
      <c r="G1599" t="str">
        <f>IFERROR(INDEX(tEditais[Órgão],MATCH(tItens[[#This Row],[Edital]],tEditais[Edital],0)),"")</f>
        <v>FUNDO MUNICIPAL DE SAUDE</v>
      </c>
      <c r="H1599" t="str">
        <f>IFERROR(INDEX(tEditais[UF],MATCH(tItens[[#This Row],[Edital]],tEditais[Edital],0)),"")</f>
        <v>GO</v>
      </c>
      <c r="I1599" s="11">
        <f>IFERROR(INDEX(tEditais[Encerramento],MATCH(tItens[[#This Row],[Edital]],tEditais[Edital],0)),"")</f>
        <v>46308.332638888889</v>
      </c>
      <c r="J1599" t="str">
        <f>IFERROR(INDEX(tProdutos[Classe],MATCH(tItens[[#This Row],[Produto]],tProdutos[Produto],0)),"produto não cadastrado")</f>
        <v>DISPUTADO</v>
      </c>
      <c r="K1599" s="12">
        <f>tItens[[#This Row],[Qtd]]*tItens[[#This Row],[Vlr unit]]</f>
        <v>3020.2999999999997</v>
      </c>
      <c r="L1599" s="6">
        <f>IFERROR(IF(INDEX(tProdutos[Desconto homologado],MATCH(tItens[[#This Row],[Produto]],tProdutos[Produto],0))="",DescontoPadrao,INDEX(tProdutos[Desconto homologado],MATCH(tItens[[#This Row],[Produto]],tProdutos[Produto],0))),DescontoPadrao)</f>
        <v>0.45970952208503602</v>
      </c>
      <c r="M1599" s="12">
        <f>tItens[[#This Row],[Valor]]*(1-tItens[[#This Row],[Desconto]])</f>
        <v>1631.8393304465656</v>
      </c>
      <c r="N1599" t="str">
        <f>IFERROR(INDEX(tProdutos[Foco],MATCH(tItens[[#This Row],[Produto]],tProdutos[Produto],0)),"Não")</f>
        <v>Não</v>
      </c>
      <c r="O1599" t="str">
        <f>IFERROR(INDEX(tEditais[SRP],MATCH(tItens[[#This Row],[Edital]],tEditais[Edital],0)),"Não")</f>
        <v>Sim</v>
      </c>
      <c r="P1599" s="4">
        <f>IF(COUNTIFS(INDEX(tItens[Edital],1):tItens[[#This Row],[Edital]],tItens[[#This Row],[Edital]],INDEX(tItens[Produto],1):tItens[[#This Row],[Produto]],tItens[[#This Row],[Produto]])=1,1,0)</f>
        <v>1</v>
      </c>
    </row>
    <row r="1600" spans="1:16" x14ac:dyDescent="0.25">
      <c r="A1600" t="s">
        <v>1152</v>
      </c>
      <c r="B1600">
        <v>59</v>
      </c>
      <c r="C1600" t="s">
        <v>4658</v>
      </c>
      <c r="D1600" t="s">
        <v>160</v>
      </c>
      <c r="E1600" s="13">
        <v>35000</v>
      </c>
      <c r="F1600" s="12">
        <v>1.88</v>
      </c>
      <c r="G1600" t="str">
        <f>IFERROR(INDEX(tEditais[Órgão],MATCH(tItens[[#This Row],[Edital]],tEditais[Edital],0)),"")</f>
        <v>FUNDO MUNICIPAL DE SAUDE</v>
      </c>
      <c r="H1600" t="str">
        <f>IFERROR(INDEX(tEditais[UF],MATCH(tItens[[#This Row],[Edital]],tEditais[Edital],0)),"")</f>
        <v>GO</v>
      </c>
      <c r="I1600" s="11">
        <f>IFERROR(INDEX(tEditais[Encerramento],MATCH(tItens[[#This Row],[Edital]],tEditais[Edital],0)),"")</f>
        <v>46308.332638888889</v>
      </c>
      <c r="J1600" t="str">
        <f>IFERROR(INDEX(tProdutos[Classe],MATCH(tItens[[#This Row],[Produto]],tProdutos[Produto],0)),"produto não cadastrado")</f>
        <v>DISPUTADO</v>
      </c>
      <c r="K1600" s="12">
        <f>tItens[[#This Row],[Qtd]]*tItens[[#This Row],[Vlr unit]]</f>
        <v>65800</v>
      </c>
      <c r="L1600" s="6">
        <f>IFERROR(IF(INDEX(tProdutos[Desconto homologado],MATCH(tItens[[#This Row],[Produto]],tProdutos[Produto],0))="",DescontoPadrao,INDEX(tProdutos[Desconto homologado],MATCH(tItens[[#This Row],[Produto]],tProdutos[Produto],0))),DescontoPadrao)</f>
        <v>0.28000000000000003</v>
      </c>
      <c r="M1600" s="12">
        <f>tItens[[#This Row],[Valor]]*(1-tItens[[#This Row],[Desconto]])</f>
        <v>47376</v>
      </c>
      <c r="N1600" t="str">
        <f>IFERROR(INDEX(tProdutos[Foco],MATCH(tItens[[#This Row],[Produto]],tProdutos[Produto],0)),"Não")</f>
        <v>Sim</v>
      </c>
      <c r="O1600" t="str">
        <f>IFERROR(INDEX(tEditais[SRP],MATCH(tItens[[#This Row],[Edital]],tEditais[Edital],0)),"Não")</f>
        <v>Sim</v>
      </c>
      <c r="P1600" s="4">
        <f>IF(COUNTIFS(INDEX(tItens[Edital],1):tItens[[#This Row],[Edital]],tItens[[#This Row],[Edital]],INDEX(tItens[Produto],1):tItens[[#This Row],[Produto]],tItens[[#This Row],[Produto]])=1,1,0)</f>
        <v>1</v>
      </c>
    </row>
    <row r="1601" spans="1:16" x14ac:dyDescent="0.25">
      <c r="A1601" t="s">
        <v>1152</v>
      </c>
      <c r="B1601">
        <v>60</v>
      </c>
      <c r="C1601" t="s">
        <v>4659</v>
      </c>
      <c r="D1601" t="s">
        <v>160</v>
      </c>
      <c r="E1601" s="13">
        <v>10000</v>
      </c>
      <c r="F1601" s="12">
        <v>2</v>
      </c>
      <c r="G1601" t="str">
        <f>IFERROR(INDEX(tEditais[Órgão],MATCH(tItens[[#This Row],[Edital]],tEditais[Edital],0)),"")</f>
        <v>FUNDO MUNICIPAL DE SAUDE</v>
      </c>
      <c r="H1601" t="str">
        <f>IFERROR(INDEX(tEditais[UF],MATCH(tItens[[#This Row],[Edital]],tEditais[Edital],0)),"")</f>
        <v>GO</v>
      </c>
      <c r="I1601" s="11">
        <f>IFERROR(INDEX(tEditais[Encerramento],MATCH(tItens[[#This Row],[Edital]],tEditais[Edital],0)),"")</f>
        <v>46308.332638888889</v>
      </c>
      <c r="J1601" t="str">
        <f>IFERROR(INDEX(tProdutos[Classe],MATCH(tItens[[#This Row],[Produto]],tProdutos[Produto],0)),"produto não cadastrado")</f>
        <v>DISPUTADO</v>
      </c>
      <c r="K1601" s="12">
        <f>tItens[[#This Row],[Qtd]]*tItens[[#This Row],[Vlr unit]]</f>
        <v>20000</v>
      </c>
      <c r="L1601" s="6">
        <f>IFERROR(IF(INDEX(tProdutos[Desconto homologado],MATCH(tItens[[#This Row],[Produto]],tProdutos[Produto],0))="",DescontoPadrao,INDEX(tProdutos[Desconto homologado],MATCH(tItens[[#This Row],[Produto]],tProdutos[Produto],0))),DescontoPadrao)</f>
        <v>0.28000000000000003</v>
      </c>
      <c r="M1601" s="12">
        <f>tItens[[#This Row],[Valor]]*(1-tItens[[#This Row],[Desconto]])</f>
        <v>14400</v>
      </c>
      <c r="N1601" t="str">
        <f>IFERROR(INDEX(tProdutos[Foco],MATCH(tItens[[#This Row],[Produto]],tProdutos[Produto],0)),"Não")</f>
        <v>Sim</v>
      </c>
      <c r="O1601" t="str">
        <f>IFERROR(INDEX(tEditais[SRP],MATCH(tItens[[#This Row],[Edital]],tEditais[Edital],0)),"Não")</f>
        <v>Sim</v>
      </c>
      <c r="P1601" s="4">
        <f>IF(COUNTIFS(INDEX(tItens[Edital],1):tItens[[#This Row],[Edital]],tItens[[#This Row],[Edital]],INDEX(tItens[Produto],1):tItens[[#This Row],[Produto]],tItens[[#This Row],[Produto]])=1,1,0)</f>
        <v>0</v>
      </c>
    </row>
    <row r="1602" spans="1:16" x14ac:dyDescent="0.25">
      <c r="A1602" t="s">
        <v>1152</v>
      </c>
      <c r="B1602">
        <v>73</v>
      </c>
      <c r="C1602" t="s">
        <v>4660</v>
      </c>
      <c r="D1602" t="s">
        <v>73</v>
      </c>
      <c r="E1602" s="13">
        <v>5000</v>
      </c>
      <c r="F1602" s="12">
        <v>2.1</v>
      </c>
      <c r="G1602" t="str">
        <f>IFERROR(INDEX(tEditais[Órgão],MATCH(tItens[[#This Row],[Edital]],tEditais[Edital],0)),"")</f>
        <v>FUNDO MUNICIPAL DE SAUDE</v>
      </c>
      <c r="H1602" t="str">
        <f>IFERROR(INDEX(tEditais[UF],MATCH(tItens[[#This Row],[Edital]],tEditais[Edital],0)),"")</f>
        <v>GO</v>
      </c>
      <c r="I1602" s="11">
        <f>IFERROR(INDEX(tEditais[Encerramento],MATCH(tItens[[#This Row],[Edital]],tEditais[Edital],0)),"")</f>
        <v>46308.332638888889</v>
      </c>
      <c r="J1602" t="str">
        <f>IFERROR(INDEX(tProdutos[Classe],MATCH(tItens[[#This Row],[Produto]],tProdutos[Produto],0)),"produto não cadastrado")</f>
        <v>NÚCLEO</v>
      </c>
      <c r="K1602" s="12">
        <f>tItens[[#This Row],[Qtd]]*tItens[[#This Row],[Vlr unit]]</f>
        <v>10500</v>
      </c>
      <c r="L1602" s="6">
        <f>IFERROR(IF(INDEX(tProdutos[Desconto homologado],MATCH(tItens[[#This Row],[Produto]],tProdutos[Produto],0))="",DescontoPadrao,INDEX(tProdutos[Desconto homologado],MATCH(tItens[[#This Row],[Produto]],tProdutos[Produto],0))),DescontoPadrao)</f>
        <v>0.37</v>
      </c>
      <c r="M1602" s="12">
        <f>tItens[[#This Row],[Valor]]*(1-tItens[[#This Row],[Desconto]])</f>
        <v>6615</v>
      </c>
      <c r="N1602" t="str">
        <f>IFERROR(INDEX(tProdutos[Foco],MATCH(tItens[[#This Row],[Produto]],tProdutos[Produto],0)),"Não")</f>
        <v>Sim</v>
      </c>
      <c r="O1602" t="str">
        <f>IFERROR(INDEX(tEditais[SRP],MATCH(tItens[[#This Row],[Edital]],tEditais[Edital],0)),"Não")</f>
        <v>Sim</v>
      </c>
      <c r="P1602" s="4">
        <f>IF(COUNTIFS(INDEX(tItens[Edital],1):tItens[[#This Row],[Edital]],tItens[[#This Row],[Edital]],INDEX(tItens[Produto],1):tItens[[#This Row],[Produto]],tItens[[#This Row],[Produto]])=1,1,0)</f>
        <v>1</v>
      </c>
    </row>
    <row r="1603" spans="1:16" x14ac:dyDescent="0.25">
      <c r="A1603" t="s">
        <v>1152</v>
      </c>
      <c r="B1603">
        <v>95</v>
      </c>
      <c r="C1603" t="s">
        <v>4661</v>
      </c>
      <c r="D1603" t="s">
        <v>279</v>
      </c>
      <c r="E1603" s="13">
        <v>500</v>
      </c>
      <c r="F1603" s="12">
        <v>1.56</v>
      </c>
      <c r="G1603" t="str">
        <f>IFERROR(INDEX(tEditais[Órgão],MATCH(tItens[[#This Row],[Edital]],tEditais[Edital],0)),"")</f>
        <v>FUNDO MUNICIPAL DE SAUDE</v>
      </c>
      <c r="H1603" t="str">
        <f>IFERROR(INDEX(tEditais[UF],MATCH(tItens[[#This Row],[Edital]],tEditais[Edital],0)),"")</f>
        <v>GO</v>
      </c>
      <c r="I1603" s="11">
        <f>IFERROR(INDEX(tEditais[Encerramento],MATCH(tItens[[#This Row],[Edital]],tEditais[Edital],0)),"")</f>
        <v>46308.332638888889</v>
      </c>
      <c r="J1603" t="str">
        <f>IFERROR(INDEX(tProdutos[Classe],MATCH(tItens[[#This Row],[Produto]],tProdutos[Produto],0)),"produto não cadastrado")</f>
        <v>FORA</v>
      </c>
      <c r="K1603" s="12">
        <f>tItens[[#This Row],[Qtd]]*tItens[[#This Row],[Vlr unit]]</f>
        <v>780</v>
      </c>
      <c r="L1603" s="6">
        <f>IFERROR(IF(INDEX(tProdutos[Desconto homologado],MATCH(tItens[[#This Row],[Produto]],tProdutos[Produto],0))="",DescontoPadrao,INDEX(tProdutos[Desconto homologado],MATCH(tItens[[#This Row],[Produto]],tProdutos[Produto],0))),DescontoPadrao)</f>
        <v>0.28909090909090901</v>
      </c>
      <c r="M1603" s="12">
        <f>tItens[[#This Row],[Valor]]*(1-tItens[[#This Row],[Desconto]])</f>
        <v>554.5090909090909</v>
      </c>
      <c r="N1603" t="str">
        <f>IFERROR(INDEX(tProdutos[Foco],MATCH(tItens[[#This Row],[Produto]],tProdutos[Produto],0)),"Não")</f>
        <v>Não</v>
      </c>
      <c r="O1603" t="str">
        <f>IFERROR(INDEX(tEditais[SRP],MATCH(tItens[[#This Row],[Edital]],tEditais[Edital],0)),"Não")</f>
        <v>Sim</v>
      </c>
      <c r="P1603" s="4">
        <f>IF(COUNTIFS(INDEX(tItens[Edital],1):tItens[[#This Row],[Edital]],tItens[[#This Row],[Edital]],INDEX(tItens[Produto],1):tItens[[#This Row],[Produto]],tItens[[#This Row],[Produto]])=1,1,0)</f>
        <v>1</v>
      </c>
    </row>
    <row r="1604" spans="1:16" x14ac:dyDescent="0.25">
      <c r="A1604" t="s">
        <v>1152</v>
      </c>
      <c r="B1604">
        <v>96</v>
      </c>
      <c r="C1604" t="s">
        <v>4662</v>
      </c>
      <c r="D1604" t="s">
        <v>279</v>
      </c>
      <c r="E1604" s="13">
        <v>3</v>
      </c>
      <c r="F1604" s="12">
        <v>159.74</v>
      </c>
      <c r="G1604" t="str">
        <f>IFERROR(INDEX(tEditais[Órgão],MATCH(tItens[[#This Row],[Edital]],tEditais[Edital],0)),"")</f>
        <v>FUNDO MUNICIPAL DE SAUDE</v>
      </c>
      <c r="H1604" t="str">
        <f>IFERROR(INDEX(tEditais[UF],MATCH(tItens[[#This Row],[Edital]],tEditais[Edital],0)),"")</f>
        <v>GO</v>
      </c>
      <c r="I1604" s="11">
        <f>IFERROR(INDEX(tEditais[Encerramento],MATCH(tItens[[#This Row],[Edital]],tEditais[Edital],0)),"")</f>
        <v>46308.332638888889</v>
      </c>
      <c r="J1604" t="str">
        <f>IFERROR(INDEX(tProdutos[Classe],MATCH(tItens[[#This Row],[Produto]],tProdutos[Produto],0)),"produto não cadastrado")</f>
        <v>FORA</v>
      </c>
      <c r="K1604" s="12">
        <f>tItens[[#This Row],[Qtd]]*tItens[[#This Row],[Vlr unit]]</f>
        <v>479.22</v>
      </c>
      <c r="L1604" s="6">
        <f>IFERROR(IF(INDEX(tProdutos[Desconto homologado],MATCH(tItens[[#This Row],[Produto]],tProdutos[Produto],0))="",DescontoPadrao,INDEX(tProdutos[Desconto homologado],MATCH(tItens[[#This Row],[Produto]],tProdutos[Produto],0))),DescontoPadrao)</f>
        <v>0.28909090909090901</v>
      </c>
      <c r="M1604" s="12">
        <f>tItens[[#This Row],[Valor]]*(1-tItens[[#This Row],[Desconto]])</f>
        <v>340.6818545454546</v>
      </c>
      <c r="N1604" t="str">
        <f>IFERROR(INDEX(tProdutos[Foco],MATCH(tItens[[#This Row],[Produto]],tProdutos[Produto],0)),"Não")</f>
        <v>Não</v>
      </c>
      <c r="O1604" t="str">
        <f>IFERROR(INDEX(tEditais[SRP],MATCH(tItens[[#This Row],[Edital]],tEditais[Edital],0)),"Não")</f>
        <v>Sim</v>
      </c>
      <c r="P1604" s="4">
        <f>IF(COUNTIFS(INDEX(tItens[Edital],1):tItens[[#This Row],[Edital]],tItens[[#This Row],[Edital]],INDEX(tItens[Produto],1):tItens[[#This Row],[Produto]],tItens[[#This Row],[Produto]])=1,1,0)</f>
        <v>0</v>
      </c>
    </row>
    <row r="1605" spans="1:16" x14ac:dyDescent="0.25">
      <c r="A1605" t="s">
        <v>1152</v>
      </c>
      <c r="B1605">
        <v>97</v>
      </c>
      <c r="C1605" t="s">
        <v>4663</v>
      </c>
      <c r="D1605" t="s">
        <v>349</v>
      </c>
      <c r="E1605" s="13">
        <v>5000</v>
      </c>
      <c r="F1605" s="12">
        <v>1.54</v>
      </c>
      <c r="G1605" t="str">
        <f>IFERROR(INDEX(tEditais[Órgão],MATCH(tItens[[#This Row],[Edital]],tEditais[Edital],0)),"")</f>
        <v>FUNDO MUNICIPAL DE SAUDE</v>
      </c>
      <c r="H1605" t="str">
        <f>IFERROR(INDEX(tEditais[UF],MATCH(tItens[[#This Row],[Edital]],tEditais[Edital],0)),"")</f>
        <v>GO</v>
      </c>
      <c r="I1605" s="11">
        <f>IFERROR(INDEX(tEditais[Encerramento],MATCH(tItens[[#This Row],[Edital]],tEditais[Edital],0)),"")</f>
        <v>46308.332638888889</v>
      </c>
      <c r="J1605" t="str">
        <f>IFERROR(INDEX(tProdutos[Classe],MATCH(tItens[[#This Row],[Produto]],tProdutos[Produto],0)),"produto não cadastrado")</f>
        <v>FORA</v>
      </c>
      <c r="K1605" s="12">
        <f>tItens[[#This Row],[Qtd]]*tItens[[#This Row],[Vlr unit]]</f>
        <v>7700</v>
      </c>
      <c r="L1605" s="6">
        <f>IFERROR(IF(INDEX(tProdutos[Desconto homologado],MATCH(tItens[[#This Row],[Produto]],tProdutos[Produto],0))="",DescontoPadrao,INDEX(tProdutos[Desconto homologado],MATCH(tItens[[#This Row],[Produto]],tProdutos[Produto],0))),DescontoPadrao)</f>
        <v>0.38826228254635797</v>
      </c>
      <c r="M1605" s="12">
        <f>tItens[[#This Row],[Valor]]*(1-tItens[[#This Row],[Desconto]])</f>
        <v>4710.3804243930435</v>
      </c>
      <c r="N1605" t="str">
        <f>IFERROR(INDEX(tProdutos[Foco],MATCH(tItens[[#This Row],[Produto]],tProdutos[Produto],0)),"Não")</f>
        <v>Não</v>
      </c>
      <c r="O1605" t="str">
        <f>IFERROR(INDEX(tEditais[SRP],MATCH(tItens[[#This Row],[Edital]],tEditais[Edital],0)),"Não")</f>
        <v>Sim</v>
      </c>
      <c r="P1605" s="4">
        <f>IF(COUNTIFS(INDEX(tItens[Edital],1):tItens[[#This Row],[Edital]],tItens[[#This Row],[Edital]],INDEX(tItens[Produto],1):tItens[[#This Row],[Produto]],tItens[[#This Row],[Produto]])=1,1,0)</f>
        <v>1</v>
      </c>
    </row>
    <row r="1606" spans="1:16" x14ac:dyDescent="0.25">
      <c r="A1606" t="s">
        <v>1152</v>
      </c>
      <c r="B1606">
        <v>102</v>
      </c>
      <c r="C1606" t="s">
        <v>4664</v>
      </c>
      <c r="D1606" t="s">
        <v>341</v>
      </c>
      <c r="E1606" s="13">
        <v>5500</v>
      </c>
      <c r="F1606" s="12">
        <v>77.91</v>
      </c>
      <c r="G1606" t="str">
        <f>IFERROR(INDEX(tEditais[Órgão],MATCH(tItens[[#This Row],[Edital]],tEditais[Edital],0)),"")</f>
        <v>FUNDO MUNICIPAL DE SAUDE</v>
      </c>
      <c r="H1606" t="str">
        <f>IFERROR(INDEX(tEditais[UF],MATCH(tItens[[#This Row],[Edital]],tEditais[Edital],0)),"")</f>
        <v>GO</v>
      </c>
      <c r="I1606" s="11">
        <f>IFERROR(INDEX(tEditais[Encerramento],MATCH(tItens[[#This Row],[Edital]],tEditais[Edital],0)),"")</f>
        <v>46308.332638888889</v>
      </c>
      <c r="J1606" t="str">
        <f>IFERROR(INDEX(tProdutos[Classe],MATCH(tItens[[#This Row],[Produto]],tProdutos[Produto],0)),"produto não cadastrado")</f>
        <v>FORA</v>
      </c>
      <c r="K1606" s="12">
        <f>tItens[[#This Row],[Qtd]]*tItens[[#This Row],[Vlr unit]]</f>
        <v>428505</v>
      </c>
      <c r="L1606" s="6">
        <f>IFERROR(IF(INDEX(tProdutos[Desconto homologado],MATCH(tItens[[#This Row],[Produto]],tProdutos[Produto],0))="",DescontoPadrao,INDEX(tProdutos[Desconto homologado],MATCH(tItens[[#This Row],[Produto]],tProdutos[Produto],0))),DescontoPadrao)</f>
        <v>0.46918578497525898</v>
      </c>
      <c r="M1606" s="12">
        <f>tItens[[#This Row],[Valor]]*(1-tItens[[#This Row],[Desconto]])</f>
        <v>227456.54520917666</v>
      </c>
      <c r="N1606" t="str">
        <f>IFERROR(INDEX(tProdutos[Foco],MATCH(tItens[[#This Row],[Produto]],tProdutos[Produto],0)),"Não")</f>
        <v>Não</v>
      </c>
      <c r="O1606" t="str">
        <f>IFERROR(INDEX(tEditais[SRP],MATCH(tItens[[#This Row],[Edital]],tEditais[Edital],0)),"Não")</f>
        <v>Sim</v>
      </c>
      <c r="P1606" s="4">
        <f>IF(COUNTIFS(INDEX(tItens[Edital],1):tItens[[#This Row],[Edital]],tItens[[#This Row],[Edital]],INDEX(tItens[Produto],1):tItens[[#This Row],[Produto]],tItens[[#This Row],[Produto]])=1,1,0)</f>
        <v>1</v>
      </c>
    </row>
    <row r="1607" spans="1:16" x14ac:dyDescent="0.25">
      <c r="A1607" t="s">
        <v>1152</v>
      </c>
      <c r="B1607">
        <v>105</v>
      </c>
      <c r="C1607" t="s">
        <v>4044</v>
      </c>
      <c r="D1607" t="s">
        <v>333</v>
      </c>
      <c r="E1607" s="13">
        <v>30000</v>
      </c>
      <c r="F1607" s="12">
        <v>1.67</v>
      </c>
      <c r="G1607" t="str">
        <f>IFERROR(INDEX(tEditais[Órgão],MATCH(tItens[[#This Row],[Edital]],tEditais[Edital],0)),"")</f>
        <v>FUNDO MUNICIPAL DE SAUDE</v>
      </c>
      <c r="H1607" t="str">
        <f>IFERROR(INDEX(tEditais[UF],MATCH(tItens[[#This Row],[Edital]],tEditais[Edital],0)),"")</f>
        <v>GO</v>
      </c>
      <c r="I1607" s="11">
        <f>IFERROR(INDEX(tEditais[Encerramento],MATCH(tItens[[#This Row],[Edital]],tEditais[Edital],0)),"")</f>
        <v>46308.332638888889</v>
      </c>
      <c r="J1607" t="str">
        <f>IFERROR(INDEX(tProdutos[Classe],MATCH(tItens[[#This Row],[Produto]],tProdutos[Produto],0)),"produto não cadastrado")</f>
        <v>FORA</v>
      </c>
      <c r="K1607" s="12">
        <f>tItens[[#This Row],[Qtd]]*tItens[[#This Row],[Vlr unit]]</f>
        <v>50100</v>
      </c>
      <c r="L1607" s="6">
        <f>IFERROR(IF(INDEX(tProdutos[Desconto homologado],MATCH(tItens[[#This Row],[Produto]],tProdutos[Produto],0))="",DescontoPadrao,INDEX(tProdutos[Desconto homologado],MATCH(tItens[[#This Row],[Produto]],tProdutos[Produto],0))),DescontoPadrao)</f>
        <v>0.48951048951048998</v>
      </c>
      <c r="M1607" s="12">
        <f>tItens[[#This Row],[Valor]]*(1-tItens[[#This Row],[Desconto]])</f>
        <v>25575.524475524449</v>
      </c>
      <c r="N1607" t="str">
        <f>IFERROR(INDEX(tProdutos[Foco],MATCH(tItens[[#This Row],[Produto]],tProdutos[Produto],0)),"Não")</f>
        <v>Não</v>
      </c>
      <c r="O1607" t="str">
        <f>IFERROR(INDEX(tEditais[SRP],MATCH(tItens[[#This Row],[Edital]],tEditais[Edital],0)),"Não")</f>
        <v>Sim</v>
      </c>
      <c r="P1607" s="4">
        <f>IF(COUNTIFS(INDEX(tItens[Edital],1):tItens[[#This Row],[Edital]],tItens[[#This Row],[Edital]],INDEX(tItens[Produto],1):tItens[[#This Row],[Produto]],tItens[[#This Row],[Produto]])=1,1,0)</f>
        <v>1</v>
      </c>
    </row>
    <row r="1608" spans="1:16" x14ac:dyDescent="0.25">
      <c r="A1608" t="s">
        <v>1152</v>
      </c>
      <c r="B1608">
        <v>106</v>
      </c>
      <c r="C1608" t="s">
        <v>4665</v>
      </c>
      <c r="D1608" t="s">
        <v>187</v>
      </c>
      <c r="E1608" s="13">
        <v>3000</v>
      </c>
      <c r="F1608" s="12">
        <v>2.19</v>
      </c>
      <c r="G1608" t="str">
        <f>IFERROR(INDEX(tEditais[Órgão],MATCH(tItens[[#This Row],[Edital]],tEditais[Edital],0)),"")</f>
        <v>FUNDO MUNICIPAL DE SAUDE</v>
      </c>
      <c r="H1608" t="str">
        <f>IFERROR(INDEX(tEditais[UF],MATCH(tItens[[#This Row],[Edital]],tEditais[Edital],0)),"")</f>
        <v>GO</v>
      </c>
      <c r="I1608" s="11">
        <f>IFERROR(INDEX(tEditais[Encerramento],MATCH(tItens[[#This Row],[Edital]],tEditais[Edital],0)),"")</f>
        <v>46308.332638888889</v>
      </c>
      <c r="J1608" t="str">
        <f>IFERROR(INDEX(tProdutos[Classe],MATCH(tItens[[#This Row],[Produto]],tProdutos[Produto],0)),"produto não cadastrado")</f>
        <v>DISPUTADO</v>
      </c>
      <c r="K1608" s="12">
        <f>tItens[[#This Row],[Qtd]]*tItens[[#This Row],[Vlr unit]]</f>
        <v>6570</v>
      </c>
      <c r="L1608" s="6">
        <f>IFERROR(IF(INDEX(tProdutos[Desconto homologado],MATCH(tItens[[#This Row],[Produto]],tProdutos[Produto],0))="",DescontoPadrao,INDEX(tProdutos[Desconto homologado],MATCH(tItens[[#This Row],[Produto]],tProdutos[Produto],0))),DescontoPadrao)</f>
        <v>0.44298820445609399</v>
      </c>
      <c r="M1608" s="12">
        <f>tItens[[#This Row],[Valor]]*(1-tItens[[#This Row],[Desconto]])</f>
        <v>3659.5674967234627</v>
      </c>
      <c r="N1608" t="str">
        <f>IFERROR(INDEX(tProdutos[Foco],MATCH(tItens[[#This Row],[Produto]],tProdutos[Produto],0)),"Não")</f>
        <v>Não</v>
      </c>
      <c r="O1608" t="str">
        <f>IFERROR(INDEX(tEditais[SRP],MATCH(tItens[[#This Row],[Edital]],tEditais[Edital],0)),"Não")</f>
        <v>Sim</v>
      </c>
      <c r="P1608" s="4">
        <f>IF(COUNTIFS(INDEX(tItens[Edital],1):tItens[[#This Row],[Edital]],tItens[[#This Row],[Edital]],INDEX(tItens[Produto],1):tItens[[#This Row],[Produto]],tItens[[#This Row],[Produto]])=1,1,0)</f>
        <v>1</v>
      </c>
    </row>
    <row r="1609" spans="1:16" x14ac:dyDescent="0.25">
      <c r="A1609" t="s">
        <v>1152</v>
      </c>
      <c r="B1609">
        <v>110</v>
      </c>
      <c r="C1609" t="s">
        <v>4666</v>
      </c>
      <c r="D1609" t="s">
        <v>60</v>
      </c>
      <c r="E1609" s="13">
        <v>1000</v>
      </c>
      <c r="F1609" s="12">
        <v>1.6</v>
      </c>
      <c r="G1609" t="str">
        <f>IFERROR(INDEX(tEditais[Órgão],MATCH(tItens[[#This Row],[Edital]],tEditais[Edital],0)),"")</f>
        <v>FUNDO MUNICIPAL DE SAUDE</v>
      </c>
      <c r="H1609" t="str">
        <f>IFERROR(INDEX(tEditais[UF],MATCH(tItens[[#This Row],[Edital]],tEditais[Edital],0)),"")</f>
        <v>GO</v>
      </c>
      <c r="I1609" s="11">
        <f>IFERROR(INDEX(tEditais[Encerramento],MATCH(tItens[[#This Row],[Edital]],tEditais[Edital],0)),"")</f>
        <v>46308.332638888889</v>
      </c>
      <c r="J1609" t="str">
        <f>IFERROR(INDEX(tProdutos[Classe],MATCH(tItens[[#This Row],[Produto]],tProdutos[Produto],0)),"produto não cadastrado")</f>
        <v>NÚCLEO</v>
      </c>
      <c r="K1609" s="12">
        <f>tItens[[#This Row],[Qtd]]*tItens[[#This Row],[Vlr unit]]</f>
        <v>1600</v>
      </c>
      <c r="L1609" s="6">
        <f>IFERROR(IF(INDEX(tProdutos[Desconto homologado],MATCH(tItens[[#This Row],[Produto]],tProdutos[Produto],0))="",DescontoPadrao,INDEX(tProdutos[Desconto homologado],MATCH(tItens[[#This Row],[Produto]],tProdutos[Produto],0))),DescontoPadrao)</f>
        <v>0.23</v>
      </c>
      <c r="M1609" s="12">
        <f>tItens[[#This Row],[Valor]]*(1-tItens[[#This Row],[Desconto]])</f>
        <v>1232</v>
      </c>
      <c r="N1609" t="str">
        <f>IFERROR(INDEX(tProdutos[Foco],MATCH(tItens[[#This Row],[Produto]],tProdutos[Produto],0)),"Não")</f>
        <v>Sim</v>
      </c>
      <c r="O1609" t="str">
        <f>IFERROR(INDEX(tEditais[SRP],MATCH(tItens[[#This Row],[Edital]],tEditais[Edital],0)),"Não")</f>
        <v>Sim</v>
      </c>
      <c r="P1609" s="4">
        <f>IF(COUNTIFS(INDEX(tItens[Edital],1):tItens[[#This Row],[Edital]],tItens[[#This Row],[Edital]],INDEX(tItens[Produto],1):tItens[[#This Row],[Produto]],tItens[[#This Row],[Produto]])=1,1,0)</f>
        <v>1</v>
      </c>
    </row>
    <row r="1610" spans="1:16" x14ac:dyDescent="0.25">
      <c r="A1610" t="s">
        <v>1152</v>
      </c>
      <c r="B1610">
        <v>111</v>
      </c>
      <c r="C1610" t="s">
        <v>4667</v>
      </c>
      <c r="D1610" t="s">
        <v>233</v>
      </c>
      <c r="E1610" s="13">
        <v>1200</v>
      </c>
      <c r="F1610" s="12">
        <v>0.32</v>
      </c>
      <c r="G1610" t="str">
        <f>IFERROR(INDEX(tEditais[Órgão],MATCH(tItens[[#This Row],[Edital]],tEditais[Edital],0)),"")</f>
        <v>FUNDO MUNICIPAL DE SAUDE</v>
      </c>
      <c r="H1610" t="str">
        <f>IFERROR(INDEX(tEditais[UF],MATCH(tItens[[#This Row],[Edital]],tEditais[Edital],0)),"")</f>
        <v>GO</v>
      </c>
      <c r="I1610" s="11">
        <f>IFERROR(INDEX(tEditais[Encerramento],MATCH(tItens[[#This Row],[Edital]],tEditais[Edital],0)),"")</f>
        <v>46308.332638888889</v>
      </c>
      <c r="J1610" t="str">
        <f>IFERROR(INDEX(tProdutos[Classe],MATCH(tItens[[#This Row],[Produto]],tProdutos[Produto],0)),"produto não cadastrado")</f>
        <v>FORA</v>
      </c>
      <c r="K1610" s="12">
        <f>tItens[[#This Row],[Qtd]]*tItens[[#This Row],[Vlr unit]]</f>
        <v>384</v>
      </c>
      <c r="L1610" s="6">
        <f>IFERROR(IF(INDEX(tProdutos[Desconto homologado],MATCH(tItens[[#This Row],[Produto]],tProdutos[Produto],0))="",DescontoPadrao,INDEX(tProdutos[Desconto homologado],MATCH(tItens[[#This Row],[Produto]],tProdutos[Produto],0))),DescontoPadrao)</f>
        <v>0.246270084162204</v>
      </c>
      <c r="M1610" s="12">
        <f>tItens[[#This Row],[Valor]]*(1-tItens[[#This Row],[Desconto]])</f>
        <v>289.43228768171366</v>
      </c>
      <c r="N1610" t="str">
        <f>IFERROR(INDEX(tProdutos[Foco],MATCH(tItens[[#This Row],[Produto]],tProdutos[Produto],0)),"Não")</f>
        <v>Não</v>
      </c>
      <c r="O1610" t="str">
        <f>IFERROR(INDEX(tEditais[SRP],MATCH(tItens[[#This Row],[Edital]],tEditais[Edital],0)),"Não")</f>
        <v>Sim</v>
      </c>
      <c r="P1610" s="4">
        <f>IF(COUNTIFS(INDEX(tItens[Edital],1):tItens[[#This Row],[Edital]],tItens[[#This Row],[Edital]],INDEX(tItens[Produto],1):tItens[[#This Row],[Produto]],tItens[[#This Row],[Produto]])=1,1,0)</f>
        <v>1</v>
      </c>
    </row>
    <row r="1611" spans="1:16" x14ac:dyDescent="0.25">
      <c r="A1611" t="s">
        <v>1152</v>
      </c>
      <c r="B1611">
        <v>112</v>
      </c>
      <c r="C1611" t="s">
        <v>4668</v>
      </c>
      <c r="D1611" t="s">
        <v>75</v>
      </c>
      <c r="E1611" s="13">
        <v>1000</v>
      </c>
      <c r="F1611" s="12">
        <v>3.63</v>
      </c>
      <c r="G1611" t="str">
        <f>IFERROR(INDEX(tEditais[Órgão],MATCH(tItens[[#This Row],[Edital]],tEditais[Edital],0)),"")</f>
        <v>FUNDO MUNICIPAL DE SAUDE</v>
      </c>
      <c r="H1611" t="str">
        <f>IFERROR(INDEX(tEditais[UF],MATCH(tItens[[#This Row],[Edital]],tEditais[Edital],0)),"")</f>
        <v>GO</v>
      </c>
      <c r="I1611" s="11">
        <f>IFERROR(INDEX(tEditais[Encerramento],MATCH(tItens[[#This Row],[Edital]],tEditais[Edital],0)),"")</f>
        <v>46308.332638888889</v>
      </c>
      <c r="J1611" t="str">
        <f>IFERROR(INDEX(tProdutos[Classe],MATCH(tItens[[#This Row],[Produto]],tProdutos[Produto],0)),"produto não cadastrado")</f>
        <v>NÚCLEO</v>
      </c>
      <c r="K1611" s="12">
        <f>tItens[[#This Row],[Qtd]]*tItens[[#This Row],[Vlr unit]]</f>
        <v>3630</v>
      </c>
      <c r="L1611" s="6">
        <f>IFERROR(IF(INDEX(tProdutos[Desconto homologado],MATCH(tItens[[#This Row],[Produto]],tProdutos[Produto],0))="",DescontoPadrao,INDEX(tProdutos[Desconto homologado],MATCH(tItens[[#This Row],[Produto]],tProdutos[Produto],0))),DescontoPadrao)</f>
        <v>0.26</v>
      </c>
      <c r="M1611" s="12">
        <f>tItens[[#This Row],[Valor]]*(1-tItens[[#This Row],[Desconto]])</f>
        <v>2686.2</v>
      </c>
      <c r="N1611" t="str">
        <f>IFERROR(INDEX(tProdutos[Foco],MATCH(tItens[[#This Row],[Produto]],tProdutos[Produto],0)),"Não")</f>
        <v>Sim</v>
      </c>
      <c r="O1611" t="str">
        <f>IFERROR(INDEX(tEditais[SRP],MATCH(tItens[[#This Row],[Edital]],tEditais[Edital],0)),"Não")</f>
        <v>Sim</v>
      </c>
      <c r="P1611" s="4">
        <f>IF(COUNTIFS(INDEX(tItens[Edital],1):tItens[[#This Row],[Edital]],tItens[[#This Row],[Edital]],INDEX(tItens[Produto],1):tItens[[#This Row],[Produto]],tItens[[#This Row],[Produto]])=1,1,0)</f>
        <v>1</v>
      </c>
    </row>
    <row r="1612" spans="1:16" x14ac:dyDescent="0.25">
      <c r="A1612" t="s">
        <v>1152</v>
      </c>
      <c r="B1612">
        <v>113</v>
      </c>
      <c r="C1612" t="s">
        <v>4669</v>
      </c>
      <c r="D1612" t="s">
        <v>75</v>
      </c>
      <c r="E1612" s="13">
        <v>1000</v>
      </c>
      <c r="F1612" s="12">
        <v>3.79</v>
      </c>
      <c r="G1612" t="str">
        <f>IFERROR(INDEX(tEditais[Órgão],MATCH(tItens[[#This Row],[Edital]],tEditais[Edital],0)),"")</f>
        <v>FUNDO MUNICIPAL DE SAUDE</v>
      </c>
      <c r="H1612" t="str">
        <f>IFERROR(INDEX(tEditais[UF],MATCH(tItens[[#This Row],[Edital]],tEditais[Edital],0)),"")</f>
        <v>GO</v>
      </c>
      <c r="I1612" s="11">
        <f>IFERROR(INDEX(tEditais[Encerramento],MATCH(tItens[[#This Row],[Edital]],tEditais[Edital],0)),"")</f>
        <v>46308.332638888889</v>
      </c>
      <c r="J1612" t="str">
        <f>IFERROR(INDEX(tProdutos[Classe],MATCH(tItens[[#This Row],[Produto]],tProdutos[Produto],0)),"produto não cadastrado")</f>
        <v>NÚCLEO</v>
      </c>
      <c r="K1612" s="12">
        <f>tItens[[#This Row],[Qtd]]*tItens[[#This Row],[Vlr unit]]</f>
        <v>3790</v>
      </c>
      <c r="L1612" s="6">
        <f>IFERROR(IF(INDEX(tProdutos[Desconto homologado],MATCH(tItens[[#This Row],[Produto]],tProdutos[Produto],0))="",DescontoPadrao,INDEX(tProdutos[Desconto homologado],MATCH(tItens[[#This Row],[Produto]],tProdutos[Produto],0))),DescontoPadrao)</f>
        <v>0.26</v>
      </c>
      <c r="M1612" s="12">
        <f>tItens[[#This Row],[Valor]]*(1-tItens[[#This Row],[Desconto]])</f>
        <v>2804.6</v>
      </c>
      <c r="N1612" t="str">
        <f>IFERROR(INDEX(tProdutos[Foco],MATCH(tItens[[#This Row],[Produto]],tProdutos[Produto],0)),"Não")</f>
        <v>Sim</v>
      </c>
      <c r="O1612" t="str">
        <f>IFERROR(INDEX(tEditais[SRP],MATCH(tItens[[#This Row],[Edital]],tEditais[Edital],0)),"Não")</f>
        <v>Sim</v>
      </c>
      <c r="P1612" s="4">
        <f>IF(COUNTIFS(INDEX(tItens[Edital],1):tItens[[#This Row],[Edital]],tItens[[#This Row],[Edital]],INDEX(tItens[Produto],1):tItens[[#This Row],[Produto]],tItens[[#This Row],[Produto]])=1,1,0)</f>
        <v>0</v>
      </c>
    </row>
    <row r="1613" spans="1:16" x14ac:dyDescent="0.25">
      <c r="A1613" t="s">
        <v>1152</v>
      </c>
      <c r="B1613">
        <v>114</v>
      </c>
      <c r="C1613" t="s">
        <v>4670</v>
      </c>
      <c r="D1613" t="s">
        <v>75</v>
      </c>
      <c r="E1613" s="13">
        <v>1000</v>
      </c>
      <c r="F1613" s="12">
        <v>3.49</v>
      </c>
      <c r="G1613" t="str">
        <f>IFERROR(INDEX(tEditais[Órgão],MATCH(tItens[[#This Row],[Edital]],tEditais[Edital],0)),"")</f>
        <v>FUNDO MUNICIPAL DE SAUDE</v>
      </c>
      <c r="H1613" t="str">
        <f>IFERROR(INDEX(tEditais[UF],MATCH(tItens[[#This Row],[Edital]],tEditais[Edital],0)),"")</f>
        <v>GO</v>
      </c>
      <c r="I1613" s="11">
        <f>IFERROR(INDEX(tEditais[Encerramento],MATCH(tItens[[#This Row],[Edital]],tEditais[Edital],0)),"")</f>
        <v>46308.332638888889</v>
      </c>
      <c r="J1613" t="str">
        <f>IFERROR(INDEX(tProdutos[Classe],MATCH(tItens[[#This Row],[Produto]],tProdutos[Produto],0)),"produto não cadastrado")</f>
        <v>NÚCLEO</v>
      </c>
      <c r="K1613" s="12">
        <f>tItens[[#This Row],[Qtd]]*tItens[[#This Row],[Vlr unit]]</f>
        <v>3490</v>
      </c>
      <c r="L1613" s="6">
        <f>IFERROR(IF(INDEX(tProdutos[Desconto homologado],MATCH(tItens[[#This Row],[Produto]],tProdutos[Produto],0))="",DescontoPadrao,INDEX(tProdutos[Desconto homologado],MATCH(tItens[[#This Row],[Produto]],tProdutos[Produto],0))),DescontoPadrao)</f>
        <v>0.26</v>
      </c>
      <c r="M1613" s="12">
        <f>tItens[[#This Row],[Valor]]*(1-tItens[[#This Row],[Desconto]])</f>
        <v>2582.6</v>
      </c>
      <c r="N1613" t="str">
        <f>IFERROR(INDEX(tProdutos[Foco],MATCH(tItens[[#This Row],[Produto]],tProdutos[Produto],0)),"Não")</f>
        <v>Sim</v>
      </c>
      <c r="O1613" t="str">
        <f>IFERROR(INDEX(tEditais[SRP],MATCH(tItens[[#This Row],[Edital]],tEditais[Edital],0)),"Não")</f>
        <v>Sim</v>
      </c>
      <c r="P1613" s="4">
        <f>IF(COUNTIFS(INDEX(tItens[Edital],1):tItens[[#This Row],[Edital]],tItens[[#This Row],[Edital]],INDEX(tItens[Produto],1):tItens[[#This Row],[Produto]],tItens[[#This Row],[Produto]])=1,1,0)</f>
        <v>0</v>
      </c>
    </row>
    <row r="1614" spans="1:16" x14ac:dyDescent="0.25">
      <c r="A1614" t="s">
        <v>1152</v>
      </c>
      <c r="B1614">
        <v>115</v>
      </c>
      <c r="C1614" t="s">
        <v>4671</v>
      </c>
      <c r="D1614" t="s">
        <v>90</v>
      </c>
      <c r="E1614" s="13">
        <v>3500</v>
      </c>
      <c r="F1614" s="12">
        <v>11.54</v>
      </c>
      <c r="G1614" t="str">
        <f>IFERROR(INDEX(tEditais[Órgão],MATCH(tItens[[#This Row],[Edital]],tEditais[Edital],0)),"")</f>
        <v>FUNDO MUNICIPAL DE SAUDE</v>
      </c>
      <c r="H1614" t="str">
        <f>IFERROR(INDEX(tEditais[UF],MATCH(tItens[[#This Row],[Edital]],tEditais[Edital],0)),"")</f>
        <v>GO</v>
      </c>
      <c r="I1614" s="11">
        <f>IFERROR(INDEX(tEditais[Encerramento],MATCH(tItens[[#This Row],[Edital]],tEditais[Edital],0)),"")</f>
        <v>46308.332638888889</v>
      </c>
      <c r="J1614" t="str">
        <f>IFERROR(INDEX(tProdutos[Classe],MATCH(tItens[[#This Row],[Produto]],tProdutos[Produto],0)),"produto não cadastrado")</f>
        <v>DISPUTADO</v>
      </c>
      <c r="K1614" s="12">
        <f>tItens[[#This Row],[Qtd]]*tItens[[#This Row],[Vlr unit]]</f>
        <v>40390</v>
      </c>
      <c r="L1614" s="6">
        <f>IFERROR(IF(INDEX(tProdutos[Desconto homologado],MATCH(tItens[[#This Row],[Produto]],tProdutos[Produto],0))="",DescontoPadrao,INDEX(tProdutos[Desconto homologado],MATCH(tItens[[#This Row],[Produto]],tProdutos[Produto],0))),DescontoPadrao)</f>
        <v>0.25393823957010597</v>
      </c>
      <c r="M1614" s="12">
        <f>tItens[[#This Row],[Valor]]*(1-tItens[[#This Row],[Desconto]])</f>
        <v>30133.434503763419</v>
      </c>
      <c r="N1614" t="str">
        <f>IFERROR(INDEX(tProdutos[Foco],MATCH(tItens[[#This Row],[Produto]],tProdutos[Produto],0)),"Não")</f>
        <v>Não</v>
      </c>
      <c r="O1614" t="str">
        <f>IFERROR(INDEX(tEditais[SRP],MATCH(tItens[[#This Row],[Edital]],tEditais[Edital],0)),"Não")</f>
        <v>Sim</v>
      </c>
      <c r="P1614" s="4">
        <f>IF(COUNTIFS(INDEX(tItens[Edital],1):tItens[[#This Row],[Edital]],tItens[[#This Row],[Edital]],INDEX(tItens[Produto],1):tItens[[#This Row],[Produto]],tItens[[#This Row],[Produto]])=1,1,0)</f>
        <v>1</v>
      </c>
    </row>
    <row r="1615" spans="1:16" x14ac:dyDescent="0.25">
      <c r="A1615" t="s">
        <v>1152</v>
      </c>
      <c r="B1615">
        <v>117</v>
      </c>
      <c r="C1615" t="s">
        <v>4672</v>
      </c>
      <c r="D1615" t="s">
        <v>77</v>
      </c>
      <c r="E1615" s="13">
        <v>500</v>
      </c>
      <c r="F1615" s="12">
        <v>8.9700000000000006</v>
      </c>
      <c r="G1615" t="str">
        <f>IFERROR(INDEX(tEditais[Órgão],MATCH(tItens[[#This Row],[Edital]],tEditais[Edital],0)),"")</f>
        <v>FUNDO MUNICIPAL DE SAUDE</v>
      </c>
      <c r="H1615" t="str">
        <f>IFERROR(INDEX(tEditais[UF],MATCH(tItens[[#This Row],[Edital]],tEditais[Edital],0)),"")</f>
        <v>GO</v>
      </c>
      <c r="I1615" s="11">
        <f>IFERROR(INDEX(tEditais[Encerramento],MATCH(tItens[[#This Row],[Edital]],tEditais[Edital],0)),"")</f>
        <v>46308.332638888889</v>
      </c>
      <c r="J1615" t="str">
        <f>IFERROR(INDEX(tProdutos[Classe],MATCH(tItens[[#This Row],[Produto]],tProdutos[Produto],0)),"produto não cadastrado")</f>
        <v>DISPUTADO</v>
      </c>
      <c r="K1615" s="12">
        <f>tItens[[#This Row],[Qtd]]*tItens[[#This Row],[Vlr unit]]</f>
        <v>4485</v>
      </c>
      <c r="L1615" s="6">
        <f>IFERROR(IF(INDEX(tProdutos[Desconto homologado],MATCH(tItens[[#This Row],[Produto]],tProdutos[Produto],0))="",DescontoPadrao,INDEX(tProdutos[Desconto homologado],MATCH(tItens[[#This Row],[Produto]],tProdutos[Produto],0))),DescontoPadrao)</f>
        <v>0.33</v>
      </c>
      <c r="M1615" s="12">
        <f>tItens[[#This Row],[Valor]]*(1-tItens[[#This Row],[Desconto]])</f>
        <v>3004.95</v>
      </c>
      <c r="N1615" t="str">
        <f>IFERROR(INDEX(tProdutos[Foco],MATCH(tItens[[#This Row],[Produto]],tProdutos[Produto],0)),"Não")</f>
        <v>Sim</v>
      </c>
      <c r="O1615" t="str">
        <f>IFERROR(INDEX(tEditais[SRP],MATCH(tItens[[#This Row],[Edital]],tEditais[Edital],0)),"Não")</f>
        <v>Sim</v>
      </c>
      <c r="P1615" s="4">
        <f>IF(COUNTIFS(INDEX(tItens[Edital],1):tItens[[#This Row],[Edital]],tItens[[#This Row],[Edital]],INDEX(tItens[Produto],1):tItens[[#This Row],[Produto]],tItens[[#This Row],[Produto]])=1,1,0)</f>
        <v>1</v>
      </c>
    </row>
    <row r="1616" spans="1:16" x14ac:dyDescent="0.25">
      <c r="A1616" t="s">
        <v>1152</v>
      </c>
      <c r="B1616">
        <v>123</v>
      </c>
      <c r="C1616" t="s">
        <v>4673</v>
      </c>
      <c r="D1616" t="s">
        <v>142</v>
      </c>
      <c r="E1616" s="13">
        <v>500</v>
      </c>
      <c r="F1616" s="12">
        <v>9</v>
      </c>
      <c r="G1616" t="str">
        <f>IFERROR(INDEX(tEditais[Órgão],MATCH(tItens[[#This Row],[Edital]],tEditais[Edital],0)),"")</f>
        <v>FUNDO MUNICIPAL DE SAUDE</v>
      </c>
      <c r="H1616" t="str">
        <f>IFERROR(INDEX(tEditais[UF],MATCH(tItens[[#This Row],[Edital]],tEditais[Edital],0)),"")</f>
        <v>GO</v>
      </c>
      <c r="I1616" s="11">
        <f>IFERROR(INDEX(tEditais[Encerramento],MATCH(tItens[[#This Row],[Edital]],tEditais[Edital],0)),"")</f>
        <v>46308.332638888889</v>
      </c>
      <c r="J1616" t="str">
        <f>IFERROR(INDEX(tProdutos[Classe],MATCH(tItens[[#This Row],[Produto]],tProdutos[Produto],0)),"produto não cadastrado")</f>
        <v>DISPUTADO</v>
      </c>
      <c r="K1616" s="12">
        <f>tItens[[#This Row],[Qtd]]*tItens[[#This Row],[Vlr unit]]</f>
        <v>4500</v>
      </c>
      <c r="L1616" s="6">
        <f>IFERROR(IF(INDEX(tProdutos[Desconto homologado],MATCH(tItens[[#This Row],[Produto]],tProdutos[Produto],0))="",DescontoPadrao,INDEX(tProdutos[Desconto homologado],MATCH(tItens[[#This Row],[Produto]],tProdutos[Produto],0))),DescontoPadrao)</f>
        <v>0.37093619495691699</v>
      </c>
      <c r="M1616" s="12">
        <f>tItens[[#This Row],[Valor]]*(1-tItens[[#This Row],[Desconto]])</f>
        <v>2830.7871226938737</v>
      </c>
      <c r="N1616" t="str">
        <f>IFERROR(INDEX(tProdutos[Foco],MATCH(tItens[[#This Row],[Produto]],tProdutos[Produto],0)),"Não")</f>
        <v>Não</v>
      </c>
      <c r="O1616" t="str">
        <f>IFERROR(INDEX(tEditais[SRP],MATCH(tItens[[#This Row],[Edital]],tEditais[Edital],0)),"Não")</f>
        <v>Sim</v>
      </c>
      <c r="P1616" s="4">
        <f>IF(COUNTIFS(INDEX(tItens[Edital],1):tItens[[#This Row],[Edital]],tItens[[#This Row],[Edital]],INDEX(tItens[Produto],1):tItens[[#This Row],[Produto]],tItens[[#This Row],[Produto]])=1,1,0)</f>
        <v>1</v>
      </c>
    </row>
    <row r="1617" spans="1:16" x14ac:dyDescent="0.25">
      <c r="A1617" t="s">
        <v>1152</v>
      </c>
      <c r="B1617">
        <v>125</v>
      </c>
      <c r="C1617" t="s">
        <v>4674</v>
      </c>
      <c r="D1617" t="s">
        <v>345</v>
      </c>
      <c r="E1617" s="13">
        <v>100</v>
      </c>
      <c r="F1617" s="12">
        <v>3.45</v>
      </c>
      <c r="G1617" t="str">
        <f>IFERROR(INDEX(tEditais[Órgão],MATCH(tItens[[#This Row],[Edital]],tEditais[Edital],0)),"")</f>
        <v>FUNDO MUNICIPAL DE SAUDE</v>
      </c>
      <c r="H1617" t="str">
        <f>IFERROR(INDEX(tEditais[UF],MATCH(tItens[[#This Row],[Edital]],tEditais[Edital],0)),"")</f>
        <v>GO</v>
      </c>
      <c r="I1617" s="11">
        <f>IFERROR(INDEX(tEditais[Encerramento],MATCH(tItens[[#This Row],[Edital]],tEditais[Edital],0)),"")</f>
        <v>46308.332638888889</v>
      </c>
      <c r="J1617" t="str">
        <f>IFERROR(INDEX(tProdutos[Classe],MATCH(tItens[[#This Row],[Produto]],tProdutos[Produto],0)),"produto não cadastrado")</f>
        <v>FORA</v>
      </c>
      <c r="K1617" s="12">
        <f>tItens[[#This Row],[Qtd]]*tItens[[#This Row],[Vlr unit]]</f>
        <v>345</v>
      </c>
      <c r="L1617" s="6">
        <f>IFERROR(IF(INDEX(tProdutos[Desconto homologado],MATCH(tItens[[#This Row],[Produto]],tProdutos[Produto],0))="",DescontoPadrao,INDEX(tProdutos[Desconto homologado],MATCH(tItens[[#This Row],[Produto]],tProdutos[Produto],0))),DescontoPadrao)</f>
        <v>0.412394275616498</v>
      </c>
      <c r="M1617" s="12">
        <f>tItens[[#This Row],[Valor]]*(1-tItens[[#This Row],[Desconto]])</f>
        <v>202.72397491230819</v>
      </c>
      <c r="N1617" t="str">
        <f>IFERROR(INDEX(tProdutos[Foco],MATCH(tItens[[#This Row],[Produto]],tProdutos[Produto],0)),"Não")</f>
        <v>Não</v>
      </c>
      <c r="O1617" t="str">
        <f>IFERROR(INDEX(tEditais[SRP],MATCH(tItens[[#This Row],[Edital]],tEditais[Edital],0)),"Não")</f>
        <v>Sim</v>
      </c>
      <c r="P1617" s="4">
        <f>IF(COUNTIFS(INDEX(tItens[Edital],1):tItens[[#This Row],[Edital]],tItens[[#This Row],[Edital]],INDEX(tItens[Produto],1):tItens[[#This Row],[Produto]],tItens[[#This Row],[Produto]])=1,1,0)</f>
        <v>1</v>
      </c>
    </row>
    <row r="1618" spans="1:16" x14ac:dyDescent="0.25">
      <c r="A1618" t="s">
        <v>1152</v>
      </c>
      <c r="B1618">
        <v>126</v>
      </c>
      <c r="C1618" t="s">
        <v>4675</v>
      </c>
      <c r="D1618" t="s">
        <v>345</v>
      </c>
      <c r="E1618" s="13">
        <v>100</v>
      </c>
      <c r="F1618" s="12">
        <v>3.85</v>
      </c>
      <c r="G1618" t="str">
        <f>IFERROR(INDEX(tEditais[Órgão],MATCH(tItens[[#This Row],[Edital]],tEditais[Edital],0)),"")</f>
        <v>FUNDO MUNICIPAL DE SAUDE</v>
      </c>
      <c r="H1618" t="str">
        <f>IFERROR(INDEX(tEditais[UF],MATCH(tItens[[#This Row],[Edital]],tEditais[Edital],0)),"")</f>
        <v>GO</v>
      </c>
      <c r="I1618" s="11">
        <f>IFERROR(INDEX(tEditais[Encerramento],MATCH(tItens[[#This Row],[Edital]],tEditais[Edital],0)),"")</f>
        <v>46308.332638888889</v>
      </c>
      <c r="J1618" t="str">
        <f>IFERROR(INDEX(tProdutos[Classe],MATCH(tItens[[#This Row],[Produto]],tProdutos[Produto],0)),"produto não cadastrado")</f>
        <v>FORA</v>
      </c>
      <c r="K1618" s="12">
        <f>tItens[[#This Row],[Qtd]]*tItens[[#This Row],[Vlr unit]]</f>
        <v>385</v>
      </c>
      <c r="L1618" s="6">
        <f>IFERROR(IF(INDEX(tProdutos[Desconto homologado],MATCH(tItens[[#This Row],[Produto]],tProdutos[Produto],0))="",DescontoPadrao,INDEX(tProdutos[Desconto homologado],MATCH(tItens[[#This Row],[Produto]],tProdutos[Produto],0))),DescontoPadrao)</f>
        <v>0.412394275616498</v>
      </c>
      <c r="M1618" s="12">
        <f>tItens[[#This Row],[Valor]]*(1-tItens[[#This Row],[Desconto]])</f>
        <v>226.22820388764828</v>
      </c>
      <c r="N1618" t="str">
        <f>IFERROR(INDEX(tProdutos[Foco],MATCH(tItens[[#This Row],[Produto]],tProdutos[Produto],0)),"Não")</f>
        <v>Não</v>
      </c>
      <c r="O1618" t="str">
        <f>IFERROR(INDEX(tEditais[SRP],MATCH(tItens[[#This Row],[Edital]],tEditais[Edital],0)),"Não")</f>
        <v>Sim</v>
      </c>
      <c r="P1618" s="4">
        <f>IF(COUNTIFS(INDEX(tItens[Edital],1):tItens[[#This Row],[Edital]],tItens[[#This Row],[Edital]],INDEX(tItens[Produto],1):tItens[[#This Row],[Produto]],tItens[[#This Row],[Produto]])=1,1,0)</f>
        <v>0</v>
      </c>
    </row>
    <row r="1619" spans="1:16" x14ac:dyDescent="0.25">
      <c r="A1619" t="s">
        <v>1152</v>
      </c>
      <c r="B1619">
        <v>127</v>
      </c>
      <c r="C1619" t="s">
        <v>4676</v>
      </c>
      <c r="D1619" t="s">
        <v>345</v>
      </c>
      <c r="E1619" s="13">
        <v>100</v>
      </c>
      <c r="F1619" s="12">
        <v>2.98</v>
      </c>
      <c r="G1619" t="str">
        <f>IFERROR(INDEX(tEditais[Órgão],MATCH(tItens[[#This Row],[Edital]],tEditais[Edital],0)),"")</f>
        <v>FUNDO MUNICIPAL DE SAUDE</v>
      </c>
      <c r="H1619" t="str">
        <f>IFERROR(INDEX(tEditais[UF],MATCH(tItens[[#This Row],[Edital]],tEditais[Edital],0)),"")</f>
        <v>GO</v>
      </c>
      <c r="I1619" s="11">
        <f>IFERROR(INDEX(tEditais[Encerramento],MATCH(tItens[[#This Row],[Edital]],tEditais[Edital],0)),"")</f>
        <v>46308.332638888889</v>
      </c>
      <c r="J1619" t="str">
        <f>IFERROR(INDEX(tProdutos[Classe],MATCH(tItens[[#This Row],[Produto]],tProdutos[Produto],0)),"produto não cadastrado")</f>
        <v>FORA</v>
      </c>
      <c r="K1619" s="12">
        <f>tItens[[#This Row],[Qtd]]*tItens[[#This Row],[Vlr unit]]</f>
        <v>298</v>
      </c>
      <c r="L1619" s="6">
        <f>IFERROR(IF(INDEX(tProdutos[Desconto homologado],MATCH(tItens[[#This Row],[Produto]],tProdutos[Produto],0))="",DescontoPadrao,INDEX(tProdutos[Desconto homologado],MATCH(tItens[[#This Row],[Produto]],tProdutos[Produto],0))),DescontoPadrao)</f>
        <v>0.412394275616498</v>
      </c>
      <c r="M1619" s="12">
        <f>tItens[[#This Row],[Valor]]*(1-tItens[[#This Row],[Desconto]])</f>
        <v>175.10650586628358</v>
      </c>
      <c r="N1619" t="str">
        <f>IFERROR(INDEX(tProdutos[Foco],MATCH(tItens[[#This Row],[Produto]],tProdutos[Produto],0)),"Não")</f>
        <v>Não</v>
      </c>
      <c r="O1619" t="str">
        <f>IFERROR(INDEX(tEditais[SRP],MATCH(tItens[[#This Row],[Edital]],tEditais[Edital],0)),"Não")</f>
        <v>Sim</v>
      </c>
      <c r="P1619" s="4">
        <f>IF(COUNTIFS(INDEX(tItens[Edital],1):tItens[[#This Row],[Edital]],tItens[[#This Row],[Edital]],INDEX(tItens[Produto],1):tItens[[#This Row],[Produto]],tItens[[#This Row],[Produto]])=1,1,0)</f>
        <v>0</v>
      </c>
    </row>
    <row r="1620" spans="1:16" x14ac:dyDescent="0.25">
      <c r="A1620" t="s">
        <v>1152</v>
      </c>
      <c r="B1620">
        <v>128</v>
      </c>
      <c r="C1620" t="s">
        <v>4677</v>
      </c>
      <c r="D1620" t="s">
        <v>345</v>
      </c>
      <c r="E1620" s="13">
        <v>100</v>
      </c>
      <c r="F1620" s="12">
        <v>3.42</v>
      </c>
      <c r="G1620" t="str">
        <f>IFERROR(INDEX(tEditais[Órgão],MATCH(tItens[[#This Row],[Edital]],tEditais[Edital],0)),"")</f>
        <v>FUNDO MUNICIPAL DE SAUDE</v>
      </c>
      <c r="H1620" t="str">
        <f>IFERROR(INDEX(tEditais[UF],MATCH(tItens[[#This Row],[Edital]],tEditais[Edital],0)),"")</f>
        <v>GO</v>
      </c>
      <c r="I1620" s="11">
        <f>IFERROR(INDEX(tEditais[Encerramento],MATCH(tItens[[#This Row],[Edital]],tEditais[Edital],0)),"")</f>
        <v>46308.332638888889</v>
      </c>
      <c r="J1620" t="str">
        <f>IFERROR(INDEX(tProdutos[Classe],MATCH(tItens[[#This Row],[Produto]],tProdutos[Produto],0)),"produto não cadastrado")</f>
        <v>FORA</v>
      </c>
      <c r="K1620" s="12">
        <f>tItens[[#This Row],[Qtd]]*tItens[[#This Row],[Vlr unit]]</f>
        <v>342</v>
      </c>
      <c r="L1620" s="6">
        <f>IFERROR(IF(INDEX(tProdutos[Desconto homologado],MATCH(tItens[[#This Row],[Produto]],tProdutos[Produto],0))="",DescontoPadrao,INDEX(tProdutos[Desconto homologado],MATCH(tItens[[#This Row],[Produto]],tProdutos[Produto],0))),DescontoPadrao)</f>
        <v>0.412394275616498</v>
      </c>
      <c r="M1620" s="12">
        <f>tItens[[#This Row],[Valor]]*(1-tItens[[#This Row],[Desconto]])</f>
        <v>200.9611577391577</v>
      </c>
      <c r="N1620" t="str">
        <f>IFERROR(INDEX(tProdutos[Foco],MATCH(tItens[[#This Row],[Produto]],tProdutos[Produto],0)),"Não")</f>
        <v>Não</v>
      </c>
      <c r="O1620" t="str">
        <f>IFERROR(INDEX(tEditais[SRP],MATCH(tItens[[#This Row],[Edital]],tEditais[Edital],0)),"Não")</f>
        <v>Sim</v>
      </c>
      <c r="P1620" s="4">
        <f>IF(COUNTIFS(INDEX(tItens[Edital],1):tItens[[#This Row],[Edital]],tItens[[#This Row],[Edital]],INDEX(tItens[Produto],1):tItens[[#This Row],[Produto]],tItens[[#This Row],[Produto]])=1,1,0)</f>
        <v>0</v>
      </c>
    </row>
    <row r="1621" spans="1:16" x14ac:dyDescent="0.25">
      <c r="A1621" t="s">
        <v>1152</v>
      </c>
      <c r="B1621">
        <v>130</v>
      </c>
      <c r="C1621" t="s">
        <v>4678</v>
      </c>
      <c r="D1621" t="s">
        <v>512</v>
      </c>
      <c r="E1621" s="13">
        <v>20</v>
      </c>
      <c r="F1621" s="12">
        <v>15.07</v>
      </c>
      <c r="G1621" t="str">
        <f>IFERROR(INDEX(tEditais[Órgão],MATCH(tItens[[#This Row],[Edital]],tEditais[Edital],0)),"")</f>
        <v>FUNDO MUNICIPAL DE SAUDE</v>
      </c>
      <c r="H1621" t="str">
        <f>IFERROR(INDEX(tEditais[UF],MATCH(tItens[[#This Row],[Edital]],tEditais[Edital],0)),"")</f>
        <v>GO</v>
      </c>
      <c r="I1621" s="11">
        <f>IFERROR(INDEX(tEditais[Encerramento],MATCH(tItens[[#This Row],[Edital]],tEditais[Edital],0)),"")</f>
        <v>46308.332638888889</v>
      </c>
      <c r="J1621" t="str">
        <f>IFERROR(INDEX(tProdutos[Classe],MATCH(tItens[[#This Row],[Produto]],tProdutos[Produto],0)),"produto não cadastrado")</f>
        <v>FILA REBASE</v>
      </c>
      <c r="K1621" s="12">
        <f>tItens[[#This Row],[Qtd]]*tItens[[#This Row],[Vlr unit]]</f>
        <v>301.39999999999998</v>
      </c>
      <c r="L1621" s="6">
        <f>IFERROR(IF(INDEX(tProdutos[Desconto homologado],MATCH(tItens[[#This Row],[Produto]],tProdutos[Produto],0))="",DescontoPadrao,INDEX(tProdutos[Desconto homologado],MATCH(tItens[[#This Row],[Produto]],tProdutos[Produto],0))),DescontoPadrao)</f>
        <v>0.32579365079365102</v>
      </c>
      <c r="M1621" s="12">
        <f>tItens[[#This Row],[Valor]]*(1-tItens[[#This Row],[Desconto]])</f>
        <v>203.20579365079359</v>
      </c>
      <c r="N1621" t="str">
        <f>IFERROR(INDEX(tProdutos[Foco],MATCH(tItens[[#This Row],[Produto]],tProdutos[Produto],0)),"Não")</f>
        <v>Não</v>
      </c>
      <c r="O1621" t="str">
        <f>IFERROR(INDEX(tEditais[SRP],MATCH(tItens[[#This Row],[Edital]],tEditais[Edital],0)),"Não")</f>
        <v>Sim</v>
      </c>
      <c r="P1621" s="4">
        <f>IF(COUNTIFS(INDEX(tItens[Edital],1):tItens[[#This Row],[Edital]],tItens[[#This Row],[Edital]],INDEX(tItens[Produto],1):tItens[[#This Row],[Produto]],tItens[[#This Row],[Produto]])=1,1,0)</f>
        <v>1</v>
      </c>
    </row>
    <row r="1622" spans="1:16" x14ac:dyDescent="0.25">
      <c r="A1622" t="s">
        <v>1152</v>
      </c>
      <c r="B1622">
        <v>131</v>
      </c>
      <c r="C1622" t="s">
        <v>4679</v>
      </c>
      <c r="D1622" t="s">
        <v>512</v>
      </c>
      <c r="E1622" s="13">
        <v>500</v>
      </c>
      <c r="F1622" s="12">
        <v>2.29</v>
      </c>
      <c r="G1622" t="str">
        <f>IFERROR(INDEX(tEditais[Órgão],MATCH(tItens[[#This Row],[Edital]],tEditais[Edital],0)),"")</f>
        <v>FUNDO MUNICIPAL DE SAUDE</v>
      </c>
      <c r="H1622" t="str">
        <f>IFERROR(INDEX(tEditais[UF],MATCH(tItens[[#This Row],[Edital]],tEditais[Edital],0)),"")</f>
        <v>GO</v>
      </c>
      <c r="I1622" s="11">
        <f>IFERROR(INDEX(tEditais[Encerramento],MATCH(tItens[[#This Row],[Edital]],tEditais[Edital],0)),"")</f>
        <v>46308.332638888889</v>
      </c>
      <c r="J1622" t="str">
        <f>IFERROR(INDEX(tProdutos[Classe],MATCH(tItens[[#This Row],[Produto]],tProdutos[Produto],0)),"produto não cadastrado")</f>
        <v>FILA REBASE</v>
      </c>
      <c r="K1622" s="12">
        <f>tItens[[#This Row],[Qtd]]*tItens[[#This Row],[Vlr unit]]</f>
        <v>1145</v>
      </c>
      <c r="L1622" s="6">
        <f>IFERROR(IF(INDEX(tProdutos[Desconto homologado],MATCH(tItens[[#This Row],[Produto]],tProdutos[Produto],0))="",DescontoPadrao,INDEX(tProdutos[Desconto homologado],MATCH(tItens[[#This Row],[Produto]],tProdutos[Produto],0))),DescontoPadrao)</f>
        <v>0.32579365079365102</v>
      </c>
      <c r="M1622" s="12">
        <f>tItens[[#This Row],[Valor]]*(1-tItens[[#This Row],[Desconto]])</f>
        <v>771.96626984126965</v>
      </c>
      <c r="N1622" t="str">
        <f>IFERROR(INDEX(tProdutos[Foco],MATCH(tItens[[#This Row],[Produto]],tProdutos[Produto],0)),"Não")</f>
        <v>Não</v>
      </c>
      <c r="O1622" t="str">
        <f>IFERROR(INDEX(tEditais[SRP],MATCH(tItens[[#This Row],[Edital]],tEditais[Edital],0)),"Não")</f>
        <v>Sim</v>
      </c>
      <c r="P1622" s="4">
        <f>IF(COUNTIFS(INDEX(tItens[Edital],1):tItens[[#This Row],[Edital]],tItens[[#This Row],[Edital]],INDEX(tItens[Produto],1):tItens[[#This Row],[Produto]],tItens[[#This Row],[Produto]])=1,1,0)</f>
        <v>0</v>
      </c>
    </row>
    <row r="1623" spans="1:16" x14ac:dyDescent="0.25">
      <c r="A1623" t="s">
        <v>1152</v>
      </c>
      <c r="B1623">
        <v>147</v>
      </c>
      <c r="C1623" t="s">
        <v>4680</v>
      </c>
      <c r="D1623" t="s">
        <v>56</v>
      </c>
      <c r="E1623" s="13">
        <v>1000</v>
      </c>
      <c r="F1623" s="12">
        <v>0.8</v>
      </c>
      <c r="G1623" t="str">
        <f>IFERROR(INDEX(tEditais[Órgão],MATCH(tItens[[#This Row],[Edital]],tEditais[Edital],0)),"")</f>
        <v>FUNDO MUNICIPAL DE SAUDE</v>
      </c>
      <c r="H1623" t="str">
        <f>IFERROR(INDEX(tEditais[UF],MATCH(tItens[[#This Row],[Edital]],tEditais[Edital],0)),"")</f>
        <v>GO</v>
      </c>
      <c r="I1623" s="11">
        <f>IFERROR(INDEX(tEditais[Encerramento],MATCH(tItens[[#This Row],[Edital]],tEditais[Edital],0)),"")</f>
        <v>46308.332638888889</v>
      </c>
      <c r="J1623" t="str">
        <f>IFERROR(INDEX(tProdutos[Classe],MATCH(tItens[[#This Row],[Produto]],tProdutos[Produto],0)),"produto não cadastrado")</f>
        <v>NÚCLEO</v>
      </c>
      <c r="K1623" s="12">
        <f>tItens[[#This Row],[Qtd]]*tItens[[#This Row],[Vlr unit]]</f>
        <v>800</v>
      </c>
      <c r="L1623" s="6">
        <f>IFERROR(IF(INDEX(tProdutos[Desconto homologado],MATCH(tItens[[#This Row],[Produto]],tProdutos[Produto],0))="",DescontoPadrao,INDEX(tProdutos[Desconto homologado],MATCH(tItens[[#This Row],[Produto]],tProdutos[Produto],0))),DescontoPadrao)</f>
        <v>0.34</v>
      </c>
      <c r="M1623" s="12">
        <f>tItens[[#This Row],[Valor]]*(1-tItens[[#This Row],[Desconto]])</f>
        <v>527.99999999999989</v>
      </c>
      <c r="N1623" t="str">
        <f>IFERROR(INDEX(tProdutos[Foco],MATCH(tItens[[#This Row],[Produto]],tProdutos[Produto],0)),"Não")</f>
        <v>Sim</v>
      </c>
      <c r="O1623" t="str">
        <f>IFERROR(INDEX(tEditais[SRP],MATCH(tItens[[#This Row],[Edital]],tEditais[Edital],0)),"Não")</f>
        <v>Sim</v>
      </c>
      <c r="P1623" s="4">
        <f>IF(COUNTIFS(INDEX(tItens[Edital],1):tItens[[#This Row],[Edital]],tItens[[#This Row],[Edital]],INDEX(tItens[Produto],1):tItens[[#This Row],[Produto]],tItens[[#This Row],[Produto]])=1,1,0)</f>
        <v>1</v>
      </c>
    </row>
    <row r="1624" spans="1:16" x14ac:dyDescent="0.25">
      <c r="A1624" t="s">
        <v>1152</v>
      </c>
      <c r="B1624">
        <v>148</v>
      </c>
      <c r="C1624" t="s">
        <v>4681</v>
      </c>
      <c r="D1624" t="s">
        <v>56</v>
      </c>
      <c r="E1624" s="13">
        <v>1000</v>
      </c>
      <c r="F1624" s="12">
        <v>0.74</v>
      </c>
      <c r="G1624" t="str">
        <f>IFERROR(INDEX(tEditais[Órgão],MATCH(tItens[[#This Row],[Edital]],tEditais[Edital],0)),"")</f>
        <v>FUNDO MUNICIPAL DE SAUDE</v>
      </c>
      <c r="H1624" t="str">
        <f>IFERROR(INDEX(tEditais[UF],MATCH(tItens[[#This Row],[Edital]],tEditais[Edital],0)),"")</f>
        <v>GO</v>
      </c>
      <c r="I1624" s="11">
        <f>IFERROR(INDEX(tEditais[Encerramento],MATCH(tItens[[#This Row],[Edital]],tEditais[Edital],0)),"")</f>
        <v>46308.332638888889</v>
      </c>
      <c r="J1624" t="str">
        <f>IFERROR(INDEX(tProdutos[Classe],MATCH(tItens[[#This Row],[Produto]],tProdutos[Produto],0)),"produto não cadastrado")</f>
        <v>NÚCLEO</v>
      </c>
      <c r="K1624" s="12">
        <f>tItens[[#This Row],[Qtd]]*tItens[[#This Row],[Vlr unit]]</f>
        <v>740</v>
      </c>
      <c r="L1624" s="6">
        <f>IFERROR(IF(INDEX(tProdutos[Desconto homologado],MATCH(tItens[[#This Row],[Produto]],tProdutos[Produto],0))="",DescontoPadrao,INDEX(tProdutos[Desconto homologado],MATCH(tItens[[#This Row],[Produto]],tProdutos[Produto],0))),DescontoPadrao)</f>
        <v>0.34</v>
      </c>
      <c r="M1624" s="12">
        <f>tItens[[#This Row],[Valor]]*(1-tItens[[#This Row],[Desconto]])</f>
        <v>488.39999999999992</v>
      </c>
      <c r="N1624" t="str">
        <f>IFERROR(INDEX(tProdutos[Foco],MATCH(tItens[[#This Row],[Produto]],tProdutos[Produto],0)),"Não")</f>
        <v>Sim</v>
      </c>
      <c r="O1624" t="str">
        <f>IFERROR(INDEX(tEditais[SRP],MATCH(tItens[[#This Row],[Edital]],tEditais[Edital],0)),"Não")</f>
        <v>Sim</v>
      </c>
      <c r="P1624" s="4">
        <f>IF(COUNTIFS(INDEX(tItens[Edital],1):tItens[[#This Row],[Edital]],tItens[[#This Row],[Edital]],INDEX(tItens[Produto],1):tItens[[#This Row],[Produto]],tItens[[#This Row],[Produto]])=1,1,0)</f>
        <v>0</v>
      </c>
    </row>
    <row r="1625" spans="1:16" x14ac:dyDescent="0.25">
      <c r="A1625" t="s">
        <v>1152</v>
      </c>
      <c r="B1625">
        <v>149</v>
      </c>
      <c r="C1625" t="s">
        <v>4682</v>
      </c>
      <c r="D1625" t="s">
        <v>56</v>
      </c>
      <c r="E1625" s="13">
        <v>1000</v>
      </c>
      <c r="F1625" s="12">
        <v>0.88</v>
      </c>
      <c r="G1625" t="str">
        <f>IFERROR(INDEX(tEditais[Órgão],MATCH(tItens[[#This Row],[Edital]],tEditais[Edital],0)),"")</f>
        <v>FUNDO MUNICIPAL DE SAUDE</v>
      </c>
      <c r="H1625" t="str">
        <f>IFERROR(INDEX(tEditais[UF],MATCH(tItens[[#This Row],[Edital]],tEditais[Edital],0)),"")</f>
        <v>GO</v>
      </c>
      <c r="I1625" s="11">
        <f>IFERROR(INDEX(tEditais[Encerramento],MATCH(tItens[[#This Row],[Edital]],tEditais[Edital],0)),"")</f>
        <v>46308.332638888889</v>
      </c>
      <c r="J1625" t="str">
        <f>IFERROR(INDEX(tProdutos[Classe],MATCH(tItens[[#This Row],[Produto]],tProdutos[Produto],0)),"produto não cadastrado")</f>
        <v>NÚCLEO</v>
      </c>
      <c r="K1625" s="12">
        <f>tItens[[#This Row],[Qtd]]*tItens[[#This Row],[Vlr unit]]</f>
        <v>880</v>
      </c>
      <c r="L1625" s="6">
        <f>IFERROR(IF(INDEX(tProdutos[Desconto homologado],MATCH(tItens[[#This Row],[Produto]],tProdutos[Produto],0))="",DescontoPadrao,INDEX(tProdutos[Desconto homologado],MATCH(tItens[[#This Row],[Produto]],tProdutos[Produto],0))),DescontoPadrao)</f>
        <v>0.34</v>
      </c>
      <c r="M1625" s="12">
        <f>tItens[[#This Row],[Valor]]*(1-tItens[[#This Row],[Desconto]])</f>
        <v>580.79999999999995</v>
      </c>
      <c r="N1625" t="str">
        <f>IFERROR(INDEX(tProdutos[Foco],MATCH(tItens[[#This Row],[Produto]],tProdutos[Produto],0)),"Não")</f>
        <v>Sim</v>
      </c>
      <c r="O1625" t="str">
        <f>IFERROR(INDEX(tEditais[SRP],MATCH(tItens[[#This Row],[Edital]],tEditais[Edital],0)),"Não")</f>
        <v>Sim</v>
      </c>
      <c r="P1625" s="4">
        <f>IF(COUNTIFS(INDEX(tItens[Edital],1):tItens[[#This Row],[Edital]],tItens[[#This Row],[Edital]],INDEX(tItens[Produto],1):tItens[[#This Row],[Produto]],tItens[[#This Row],[Produto]])=1,1,0)</f>
        <v>0</v>
      </c>
    </row>
    <row r="1626" spans="1:16" x14ac:dyDescent="0.25">
      <c r="A1626" t="s">
        <v>1152</v>
      </c>
      <c r="B1626">
        <v>150</v>
      </c>
      <c r="C1626" t="s">
        <v>4683</v>
      </c>
      <c r="D1626" t="s">
        <v>56</v>
      </c>
      <c r="E1626" s="13">
        <v>1000</v>
      </c>
      <c r="F1626" s="12">
        <v>0.49</v>
      </c>
      <c r="G1626" t="str">
        <f>IFERROR(INDEX(tEditais[Órgão],MATCH(tItens[[#This Row],[Edital]],tEditais[Edital],0)),"")</f>
        <v>FUNDO MUNICIPAL DE SAUDE</v>
      </c>
      <c r="H1626" t="str">
        <f>IFERROR(INDEX(tEditais[UF],MATCH(tItens[[#This Row],[Edital]],tEditais[Edital],0)),"")</f>
        <v>GO</v>
      </c>
      <c r="I1626" s="11">
        <f>IFERROR(INDEX(tEditais[Encerramento],MATCH(tItens[[#This Row],[Edital]],tEditais[Edital],0)),"")</f>
        <v>46308.332638888889</v>
      </c>
      <c r="J1626" t="str">
        <f>IFERROR(INDEX(tProdutos[Classe],MATCH(tItens[[#This Row],[Produto]],tProdutos[Produto],0)),"produto não cadastrado")</f>
        <v>NÚCLEO</v>
      </c>
      <c r="K1626" s="12">
        <f>tItens[[#This Row],[Qtd]]*tItens[[#This Row],[Vlr unit]]</f>
        <v>490</v>
      </c>
      <c r="L1626" s="6">
        <f>IFERROR(IF(INDEX(tProdutos[Desconto homologado],MATCH(tItens[[#This Row],[Produto]],tProdutos[Produto],0))="",DescontoPadrao,INDEX(tProdutos[Desconto homologado],MATCH(tItens[[#This Row],[Produto]],tProdutos[Produto],0))),DescontoPadrao)</f>
        <v>0.34</v>
      </c>
      <c r="M1626" s="12">
        <f>tItens[[#This Row],[Valor]]*(1-tItens[[#This Row],[Desconto]])</f>
        <v>323.39999999999998</v>
      </c>
      <c r="N1626" t="str">
        <f>IFERROR(INDEX(tProdutos[Foco],MATCH(tItens[[#This Row],[Produto]],tProdutos[Produto],0)),"Não")</f>
        <v>Sim</v>
      </c>
      <c r="O1626" t="str">
        <f>IFERROR(INDEX(tEditais[SRP],MATCH(tItens[[#This Row],[Edital]],tEditais[Edital],0)),"Não")</f>
        <v>Sim</v>
      </c>
      <c r="P1626" s="4">
        <f>IF(COUNTIFS(INDEX(tItens[Edital],1):tItens[[#This Row],[Edital]],tItens[[#This Row],[Edital]],INDEX(tItens[Produto],1):tItens[[#This Row],[Produto]],tItens[[#This Row],[Produto]])=1,1,0)</f>
        <v>0</v>
      </c>
    </row>
    <row r="1627" spans="1:16" x14ac:dyDescent="0.25">
      <c r="A1627" t="s">
        <v>1152</v>
      </c>
      <c r="B1627">
        <v>151</v>
      </c>
      <c r="C1627" t="s">
        <v>4684</v>
      </c>
      <c r="D1627" t="s">
        <v>56</v>
      </c>
      <c r="E1627" s="13">
        <v>1000</v>
      </c>
      <c r="F1627" s="12">
        <v>0.39</v>
      </c>
      <c r="G1627" t="str">
        <f>IFERROR(INDEX(tEditais[Órgão],MATCH(tItens[[#This Row],[Edital]],tEditais[Edital],0)),"")</f>
        <v>FUNDO MUNICIPAL DE SAUDE</v>
      </c>
      <c r="H1627" t="str">
        <f>IFERROR(INDEX(tEditais[UF],MATCH(tItens[[#This Row],[Edital]],tEditais[Edital],0)),"")</f>
        <v>GO</v>
      </c>
      <c r="I1627" s="11">
        <f>IFERROR(INDEX(tEditais[Encerramento],MATCH(tItens[[#This Row],[Edital]],tEditais[Edital],0)),"")</f>
        <v>46308.332638888889</v>
      </c>
      <c r="J1627" t="str">
        <f>IFERROR(INDEX(tProdutos[Classe],MATCH(tItens[[#This Row],[Produto]],tProdutos[Produto],0)),"produto não cadastrado")</f>
        <v>NÚCLEO</v>
      </c>
      <c r="K1627" s="12">
        <f>tItens[[#This Row],[Qtd]]*tItens[[#This Row],[Vlr unit]]</f>
        <v>390</v>
      </c>
      <c r="L1627" s="6">
        <f>IFERROR(IF(INDEX(tProdutos[Desconto homologado],MATCH(tItens[[#This Row],[Produto]],tProdutos[Produto],0))="",DescontoPadrao,INDEX(tProdutos[Desconto homologado],MATCH(tItens[[#This Row],[Produto]],tProdutos[Produto],0))),DescontoPadrao)</f>
        <v>0.34</v>
      </c>
      <c r="M1627" s="12">
        <f>tItens[[#This Row],[Valor]]*(1-tItens[[#This Row],[Desconto]])</f>
        <v>257.39999999999998</v>
      </c>
      <c r="N1627" t="str">
        <f>IFERROR(INDEX(tProdutos[Foco],MATCH(tItens[[#This Row],[Produto]],tProdutos[Produto],0)),"Não")</f>
        <v>Sim</v>
      </c>
      <c r="O1627" t="str">
        <f>IFERROR(INDEX(tEditais[SRP],MATCH(tItens[[#This Row],[Edital]],tEditais[Edital],0)),"Não")</f>
        <v>Sim</v>
      </c>
      <c r="P1627" s="4">
        <f>IF(COUNTIFS(INDEX(tItens[Edital],1):tItens[[#This Row],[Edital]],tItens[[#This Row],[Edital]],INDEX(tItens[Produto],1):tItens[[#This Row],[Produto]],tItens[[#This Row],[Produto]])=1,1,0)</f>
        <v>0</v>
      </c>
    </row>
    <row r="1628" spans="1:16" x14ac:dyDescent="0.25">
      <c r="A1628" t="s">
        <v>1152</v>
      </c>
      <c r="B1628">
        <v>152</v>
      </c>
      <c r="C1628" t="s">
        <v>4685</v>
      </c>
      <c r="D1628" t="s">
        <v>56</v>
      </c>
      <c r="E1628" s="13">
        <v>1500</v>
      </c>
      <c r="F1628" s="12">
        <v>0.71</v>
      </c>
      <c r="G1628" t="str">
        <f>IFERROR(INDEX(tEditais[Órgão],MATCH(tItens[[#This Row],[Edital]],tEditais[Edital],0)),"")</f>
        <v>FUNDO MUNICIPAL DE SAUDE</v>
      </c>
      <c r="H1628" t="str">
        <f>IFERROR(INDEX(tEditais[UF],MATCH(tItens[[#This Row],[Edital]],tEditais[Edital],0)),"")</f>
        <v>GO</v>
      </c>
      <c r="I1628" s="11">
        <f>IFERROR(INDEX(tEditais[Encerramento],MATCH(tItens[[#This Row],[Edital]],tEditais[Edital],0)),"")</f>
        <v>46308.332638888889</v>
      </c>
      <c r="J1628" t="str">
        <f>IFERROR(INDEX(tProdutos[Classe],MATCH(tItens[[#This Row],[Produto]],tProdutos[Produto],0)),"produto não cadastrado")</f>
        <v>NÚCLEO</v>
      </c>
      <c r="K1628" s="12">
        <f>tItens[[#This Row],[Qtd]]*tItens[[#This Row],[Vlr unit]]</f>
        <v>1065</v>
      </c>
      <c r="L1628" s="6">
        <f>IFERROR(IF(INDEX(tProdutos[Desconto homologado],MATCH(tItens[[#This Row],[Produto]],tProdutos[Produto],0))="",DescontoPadrao,INDEX(tProdutos[Desconto homologado],MATCH(tItens[[#This Row],[Produto]],tProdutos[Produto],0))),DescontoPadrao)</f>
        <v>0.34</v>
      </c>
      <c r="M1628" s="12">
        <f>tItens[[#This Row],[Valor]]*(1-tItens[[#This Row],[Desconto]])</f>
        <v>702.89999999999986</v>
      </c>
      <c r="N1628" t="str">
        <f>IFERROR(INDEX(tProdutos[Foco],MATCH(tItens[[#This Row],[Produto]],tProdutos[Produto],0)),"Não")</f>
        <v>Sim</v>
      </c>
      <c r="O1628" t="str">
        <f>IFERROR(INDEX(tEditais[SRP],MATCH(tItens[[#This Row],[Edital]],tEditais[Edital],0)),"Não")</f>
        <v>Sim</v>
      </c>
      <c r="P1628" s="4">
        <f>IF(COUNTIFS(INDEX(tItens[Edital],1):tItens[[#This Row],[Edital]],tItens[[#This Row],[Edital]],INDEX(tItens[Produto],1):tItens[[#This Row],[Produto]],tItens[[#This Row],[Produto]])=1,1,0)</f>
        <v>0</v>
      </c>
    </row>
    <row r="1629" spans="1:16" x14ac:dyDescent="0.25">
      <c r="A1629" t="s">
        <v>1152</v>
      </c>
      <c r="B1629">
        <v>153</v>
      </c>
      <c r="C1629" t="s">
        <v>4686</v>
      </c>
      <c r="D1629" t="s">
        <v>56</v>
      </c>
      <c r="E1629" s="13">
        <v>2000</v>
      </c>
      <c r="F1629" s="12">
        <v>0.56999999999999995</v>
      </c>
      <c r="G1629" t="str">
        <f>IFERROR(INDEX(tEditais[Órgão],MATCH(tItens[[#This Row],[Edital]],tEditais[Edital],0)),"")</f>
        <v>FUNDO MUNICIPAL DE SAUDE</v>
      </c>
      <c r="H1629" t="str">
        <f>IFERROR(INDEX(tEditais[UF],MATCH(tItens[[#This Row],[Edital]],tEditais[Edital],0)),"")</f>
        <v>GO</v>
      </c>
      <c r="I1629" s="11">
        <f>IFERROR(INDEX(tEditais[Encerramento],MATCH(tItens[[#This Row],[Edital]],tEditais[Edital],0)),"")</f>
        <v>46308.332638888889</v>
      </c>
      <c r="J1629" t="str">
        <f>IFERROR(INDEX(tProdutos[Classe],MATCH(tItens[[#This Row],[Produto]],tProdutos[Produto],0)),"produto não cadastrado")</f>
        <v>NÚCLEO</v>
      </c>
      <c r="K1629" s="12">
        <f>tItens[[#This Row],[Qtd]]*tItens[[#This Row],[Vlr unit]]</f>
        <v>1140</v>
      </c>
      <c r="L1629" s="6">
        <f>IFERROR(IF(INDEX(tProdutos[Desconto homologado],MATCH(tItens[[#This Row],[Produto]],tProdutos[Produto],0))="",DescontoPadrao,INDEX(tProdutos[Desconto homologado],MATCH(tItens[[#This Row],[Produto]],tProdutos[Produto],0))),DescontoPadrao)</f>
        <v>0.34</v>
      </c>
      <c r="M1629" s="12">
        <f>tItens[[#This Row],[Valor]]*(1-tItens[[#This Row],[Desconto]])</f>
        <v>752.39999999999986</v>
      </c>
      <c r="N1629" t="str">
        <f>IFERROR(INDEX(tProdutos[Foco],MATCH(tItens[[#This Row],[Produto]],tProdutos[Produto],0)),"Não")</f>
        <v>Sim</v>
      </c>
      <c r="O1629" t="str">
        <f>IFERROR(INDEX(tEditais[SRP],MATCH(tItens[[#This Row],[Edital]],tEditais[Edital],0)),"Não")</f>
        <v>Sim</v>
      </c>
      <c r="P1629" s="4">
        <f>IF(COUNTIFS(INDEX(tItens[Edital],1):tItens[[#This Row],[Edital]],tItens[[#This Row],[Edital]],INDEX(tItens[Produto],1):tItens[[#This Row],[Produto]],tItens[[#This Row],[Produto]])=1,1,0)</f>
        <v>0</v>
      </c>
    </row>
    <row r="1630" spans="1:16" x14ac:dyDescent="0.25">
      <c r="A1630" t="s">
        <v>1152</v>
      </c>
      <c r="B1630">
        <v>154</v>
      </c>
      <c r="C1630" t="s">
        <v>4687</v>
      </c>
      <c r="D1630" t="s">
        <v>277</v>
      </c>
      <c r="E1630" s="13">
        <v>5000</v>
      </c>
      <c r="F1630" s="12">
        <v>1</v>
      </c>
      <c r="G1630" t="str">
        <f>IFERROR(INDEX(tEditais[Órgão],MATCH(tItens[[#This Row],[Edital]],tEditais[Edital],0)),"")</f>
        <v>FUNDO MUNICIPAL DE SAUDE</v>
      </c>
      <c r="H1630" t="str">
        <f>IFERROR(INDEX(tEditais[UF],MATCH(tItens[[#This Row],[Edital]],tEditais[Edital],0)),"")</f>
        <v>GO</v>
      </c>
      <c r="I1630" s="11">
        <f>IFERROR(INDEX(tEditais[Encerramento],MATCH(tItens[[#This Row],[Edital]],tEditais[Edital],0)),"")</f>
        <v>46308.332638888889</v>
      </c>
      <c r="J1630" t="str">
        <f>IFERROR(INDEX(tProdutos[Classe],MATCH(tItens[[#This Row],[Produto]],tProdutos[Produto],0)),"produto não cadastrado")</f>
        <v>DISPUTADO</v>
      </c>
      <c r="K1630" s="12">
        <f>tItens[[#This Row],[Qtd]]*tItens[[#This Row],[Vlr unit]]</f>
        <v>5000</v>
      </c>
      <c r="L1630" s="6">
        <f>IFERROR(IF(INDEX(tProdutos[Desconto homologado],MATCH(tItens[[#This Row],[Produto]],tProdutos[Produto],0))="",DescontoPadrao,INDEX(tProdutos[Desconto homologado],MATCH(tItens[[#This Row],[Produto]],tProdutos[Produto],0))),DescontoPadrao)</f>
        <v>0.50460666194188497</v>
      </c>
      <c r="M1630" s="12">
        <f>tItens[[#This Row],[Valor]]*(1-tItens[[#This Row],[Desconto]])</f>
        <v>2476.9666902905751</v>
      </c>
      <c r="N1630" t="str">
        <f>IFERROR(INDEX(tProdutos[Foco],MATCH(tItens[[#This Row],[Produto]],tProdutos[Produto],0)),"Não")</f>
        <v>Não</v>
      </c>
      <c r="O1630" t="str">
        <f>IFERROR(INDEX(tEditais[SRP],MATCH(tItens[[#This Row],[Edital]],tEditais[Edital],0)),"Não")</f>
        <v>Sim</v>
      </c>
      <c r="P1630" s="4">
        <f>IF(COUNTIFS(INDEX(tItens[Edital],1):tItens[[#This Row],[Edital]],tItens[[#This Row],[Edital]],INDEX(tItens[Produto],1):tItens[[#This Row],[Produto]],tItens[[#This Row],[Produto]])=1,1,0)</f>
        <v>0</v>
      </c>
    </row>
    <row r="1631" spans="1:16" x14ac:dyDescent="0.25">
      <c r="A1631" t="s">
        <v>1152</v>
      </c>
      <c r="B1631">
        <v>155</v>
      </c>
      <c r="C1631" t="s">
        <v>4688</v>
      </c>
      <c r="D1631" t="s">
        <v>267</v>
      </c>
      <c r="E1631" s="13">
        <v>500</v>
      </c>
      <c r="F1631" s="12">
        <v>14.75</v>
      </c>
      <c r="G1631" t="str">
        <f>IFERROR(INDEX(tEditais[Órgão],MATCH(tItens[[#This Row],[Edital]],tEditais[Edital],0)),"")</f>
        <v>FUNDO MUNICIPAL DE SAUDE</v>
      </c>
      <c r="H1631" t="str">
        <f>IFERROR(INDEX(tEditais[UF],MATCH(tItens[[#This Row],[Edital]],tEditais[Edital],0)),"")</f>
        <v>GO</v>
      </c>
      <c r="I1631" s="11">
        <f>IFERROR(INDEX(tEditais[Encerramento],MATCH(tItens[[#This Row],[Edital]],tEditais[Edital],0)),"")</f>
        <v>46308.332638888889</v>
      </c>
      <c r="J1631" t="str">
        <f>IFERROR(INDEX(tProdutos[Classe],MATCH(tItens[[#This Row],[Produto]],tProdutos[Produto],0)),"produto não cadastrado")</f>
        <v>FORA</v>
      </c>
      <c r="K1631" s="12">
        <f>tItens[[#This Row],[Qtd]]*tItens[[#This Row],[Vlr unit]]</f>
        <v>7375</v>
      </c>
      <c r="L1631" s="6">
        <f>IFERROR(IF(INDEX(tProdutos[Desconto homologado],MATCH(tItens[[#This Row],[Produto]],tProdutos[Produto],0))="",DescontoPadrao,INDEX(tProdutos[Desconto homologado],MATCH(tItens[[#This Row],[Produto]],tProdutos[Produto],0))),DescontoPadrao)</f>
        <v>0.19963672657401599</v>
      </c>
      <c r="M1631" s="12">
        <f>tItens[[#This Row],[Valor]]*(1-tItens[[#This Row],[Desconto]])</f>
        <v>5902.6791415166317</v>
      </c>
      <c r="N1631" t="str">
        <f>IFERROR(INDEX(tProdutos[Foco],MATCH(tItens[[#This Row],[Produto]],tProdutos[Produto],0)),"Não")</f>
        <v>Não</v>
      </c>
      <c r="O1631" t="str">
        <f>IFERROR(INDEX(tEditais[SRP],MATCH(tItens[[#This Row],[Edital]],tEditais[Edital],0)),"Não")</f>
        <v>Sim</v>
      </c>
      <c r="P1631" s="4">
        <f>IF(COUNTIFS(INDEX(tItens[Edital],1):tItens[[#This Row],[Edital]],tItens[[#This Row],[Edital]],INDEX(tItens[Produto],1):tItens[[#This Row],[Produto]],tItens[[#This Row],[Produto]])=1,1,0)</f>
        <v>1</v>
      </c>
    </row>
    <row r="1632" spans="1:16" x14ac:dyDescent="0.25">
      <c r="A1632" t="s">
        <v>1152</v>
      </c>
      <c r="B1632">
        <v>162</v>
      </c>
      <c r="C1632" t="s">
        <v>4689</v>
      </c>
      <c r="D1632" t="s">
        <v>343</v>
      </c>
      <c r="E1632" s="13">
        <v>1000</v>
      </c>
      <c r="F1632" s="12">
        <v>2.19</v>
      </c>
      <c r="G1632" t="str">
        <f>IFERROR(INDEX(tEditais[Órgão],MATCH(tItens[[#This Row],[Edital]],tEditais[Edital],0)),"")</f>
        <v>FUNDO MUNICIPAL DE SAUDE</v>
      </c>
      <c r="H1632" t="str">
        <f>IFERROR(INDEX(tEditais[UF],MATCH(tItens[[#This Row],[Edital]],tEditais[Edital],0)),"")</f>
        <v>GO</v>
      </c>
      <c r="I1632" s="11">
        <f>IFERROR(INDEX(tEditais[Encerramento],MATCH(tItens[[#This Row],[Edital]],tEditais[Edital],0)),"")</f>
        <v>46308.332638888889</v>
      </c>
      <c r="J1632" t="str">
        <f>IFERROR(INDEX(tProdutos[Classe],MATCH(tItens[[#This Row],[Produto]],tProdutos[Produto],0)),"produto não cadastrado")</f>
        <v>FORA</v>
      </c>
      <c r="K1632" s="12">
        <f>tItens[[#This Row],[Qtd]]*tItens[[#This Row],[Vlr unit]]</f>
        <v>2190</v>
      </c>
      <c r="L1632" s="6">
        <f>IFERROR(IF(INDEX(tProdutos[Desconto homologado],MATCH(tItens[[#This Row],[Produto]],tProdutos[Produto],0))="",DescontoPadrao,INDEX(tProdutos[Desconto homologado],MATCH(tItens[[#This Row],[Produto]],tProdutos[Produto],0))),DescontoPadrao)</f>
        <v>0.35412234042553198</v>
      </c>
      <c r="M1632" s="12">
        <f>tItens[[#This Row],[Valor]]*(1-tItens[[#This Row],[Desconto]])</f>
        <v>1414.4720744680849</v>
      </c>
      <c r="N1632" t="str">
        <f>IFERROR(INDEX(tProdutos[Foco],MATCH(tItens[[#This Row],[Produto]],tProdutos[Produto],0)),"Não")</f>
        <v>Não</v>
      </c>
      <c r="O1632" t="str">
        <f>IFERROR(INDEX(tEditais[SRP],MATCH(tItens[[#This Row],[Edital]],tEditais[Edital],0)),"Não")</f>
        <v>Sim</v>
      </c>
      <c r="P1632" s="4">
        <f>IF(COUNTIFS(INDEX(tItens[Edital],1):tItens[[#This Row],[Edital]],tItens[[#This Row],[Edital]],INDEX(tItens[Produto],1):tItens[[#This Row],[Produto]],tItens[[#This Row],[Produto]])=1,1,0)</f>
        <v>1</v>
      </c>
    </row>
    <row r="1633" spans="1:16" x14ac:dyDescent="0.25">
      <c r="A1633" t="s">
        <v>1152</v>
      </c>
      <c r="B1633">
        <v>163</v>
      </c>
      <c r="C1633" t="s">
        <v>4690</v>
      </c>
      <c r="D1633" t="s">
        <v>343</v>
      </c>
      <c r="E1633" s="13">
        <v>1000</v>
      </c>
      <c r="F1633" s="12">
        <v>2.13</v>
      </c>
      <c r="G1633" t="str">
        <f>IFERROR(INDEX(tEditais[Órgão],MATCH(tItens[[#This Row],[Edital]],tEditais[Edital],0)),"")</f>
        <v>FUNDO MUNICIPAL DE SAUDE</v>
      </c>
      <c r="H1633" t="str">
        <f>IFERROR(INDEX(tEditais[UF],MATCH(tItens[[#This Row],[Edital]],tEditais[Edital],0)),"")</f>
        <v>GO</v>
      </c>
      <c r="I1633" s="11">
        <f>IFERROR(INDEX(tEditais[Encerramento],MATCH(tItens[[#This Row],[Edital]],tEditais[Edital],0)),"")</f>
        <v>46308.332638888889</v>
      </c>
      <c r="J1633" t="str">
        <f>IFERROR(INDEX(tProdutos[Classe],MATCH(tItens[[#This Row],[Produto]],tProdutos[Produto],0)),"produto não cadastrado")</f>
        <v>FORA</v>
      </c>
      <c r="K1633" s="12">
        <f>tItens[[#This Row],[Qtd]]*tItens[[#This Row],[Vlr unit]]</f>
        <v>2130</v>
      </c>
      <c r="L1633" s="6">
        <f>IFERROR(IF(INDEX(tProdutos[Desconto homologado],MATCH(tItens[[#This Row],[Produto]],tProdutos[Produto],0))="",DescontoPadrao,INDEX(tProdutos[Desconto homologado],MATCH(tItens[[#This Row],[Produto]],tProdutos[Produto],0))),DescontoPadrao)</f>
        <v>0.35412234042553198</v>
      </c>
      <c r="M1633" s="12">
        <f>tItens[[#This Row],[Valor]]*(1-tItens[[#This Row],[Desconto]])</f>
        <v>1375.7194148936167</v>
      </c>
      <c r="N1633" t="str">
        <f>IFERROR(INDEX(tProdutos[Foco],MATCH(tItens[[#This Row],[Produto]],tProdutos[Produto],0)),"Não")</f>
        <v>Não</v>
      </c>
      <c r="O1633" t="str">
        <f>IFERROR(INDEX(tEditais[SRP],MATCH(tItens[[#This Row],[Edital]],tEditais[Edital],0)),"Não")</f>
        <v>Sim</v>
      </c>
      <c r="P1633" s="4">
        <f>IF(COUNTIFS(INDEX(tItens[Edital],1):tItens[[#This Row],[Edital]],tItens[[#This Row],[Edital]],INDEX(tItens[Produto],1):tItens[[#This Row],[Produto]],tItens[[#This Row],[Produto]])=1,1,0)</f>
        <v>0</v>
      </c>
    </row>
    <row r="1634" spans="1:16" x14ac:dyDescent="0.25">
      <c r="A1634" t="s">
        <v>1152</v>
      </c>
      <c r="B1634">
        <v>164</v>
      </c>
      <c r="C1634" t="s">
        <v>4691</v>
      </c>
      <c r="D1634" t="s">
        <v>343</v>
      </c>
      <c r="E1634" s="13">
        <v>1400</v>
      </c>
      <c r="F1634" s="12">
        <v>1.99</v>
      </c>
      <c r="G1634" t="str">
        <f>IFERROR(INDEX(tEditais[Órgão],MATCH(tItens[[#This Row],[Edital]],tEditais[Edital],0)),"")</f>
        <v>FUNDO MUNICIPAL DE SAUDE</v>
      </c>
      <c r="H1634" t="str">
        <f>IFERROR(INDEX(tEditais[UF],MATCH(tItens[[#This Row],[Edital]],tEditais[Edital],0)),"")</f>
        <v>GO</v>
      </c>
      <c r="I1634" s="11">
        <f>IFERROR(INDEX(tEditais[Encerramento],MATCH(tItens[[#This Row],[Edital]],tEditais[Edital],0)),"")</f>
        <v>46308.332638888889</v>
      </c>
      <c r="J1634" t="str">
        <f>IFERROR(INDEX(tProdutos[Classe],MATCH(tItens[[#This Row],[Produto]],tProdutos[Produto],0)),"produto não cadastrado")</f>
        <v>FORA</v>
      </c>
      <c r="K1634" s="12">
        <f>tItens[[#This Row],[Qtd]]*tItens[[#This Row],[Vlr unit]]</f>
        <v>2786</v>
      </c>
      <c r="L1634" s="6">
        <f>IFERROR(IF(INDEX(tProdutos[Desconto homologado],MATCH(tItens[[#This Row],[Produto]],tProdutos[Produto],0))="",DescontoPadrao,INDEX(tProdutos[Desconto homologado],MATCH(tItens[[#This Row],[Produto]],tProdutos[Produto],0))),DescontoPadrao)</f>
        <v>0.35412234042553198</v>
      </c>
      <c r="M1634" s="12">
        <f>tItens[[#This Row],[Valor]]*(1-tItens[[#This Row],[Desconto]])</f>
        <v>1799.4151595744677</v>
      </c>
      <c r="N1634" t="str">
        <f>IFERROR(INDEX(tProdutos[Foco],MATCH(tItens[[#This Row],[Produto]],tProdutos[Produto],0)),"Não")</f>
        <v>Não</v>
      </c>
      <c r="O1634" t="str">
        <f>IFERROR(INDEX(tEditais[SRP],MATCH(tItens[[#This Row],[Edital]],tEditais[Edital],0)),"Não")</f>
        <v>Sim</v>
      </c>
      <c r="P1634" s="4">
        <f>IF(COUNTIFS(INDEX(tItens[Edital],1):tItens[[#This Row],[Edital]],tItens[[#This Row],[Edital]],INDEX(tItens[Produto],1):tItens[[#This Row],[Produto]],tItens[[#This Row],[Produto]])=1,1,0)</f>
        <v>0</v>
      </c>
    </row>
    <row r="1635" spans="1:16" x14ac:dyDescent="0.25">
      <c r="A1635" t="s">
        <v>1152</v>
      </c>
      <c r="B1635">
        <v>165</v>
      </c>
      <c r="C1635" t="s">
        <v>4692</v>
      </c>
      <c r="D1635" t="s">
        <v>343</v>
      </c>
      <c r="E1635" s="13">
        <v>1400</v>
      </c>
      <c r="F1635" s="12">
        <v>1.98</v>
      </c>
      <c r="G1635" t="str">
        <f>IFERROR(INDEX(tEditais[Órgão],MATCH(tItens[[#This Row],[Edital]],tEditais[Edital],0)),"")</f>
        <v>FUNDO MUNICIPAL DE SAUDE</v>
      </c>
      <c r="H1635" t="str">
        <f>IFERROR(INDEX(tEditais[UF],MATCH(tItens[[#This Row],[Edital]],tEditais[Edital],0)),"")</f>
        <v>GO</v>
      </c>
      <c r="I1635" s="11">
        <f>IFERROR(INDEX(tEditais[Encerramento],MATCH(tItens[[#This Row],[Edital]],tEditais[Edital],0)),"")</f>
        <v>46308.332638888889</v>
      </c>
      <c r="J1635" t="str">
        <f>IFERROR(INDEX(tProdutos[Classe],MATCH(tItens[[#This Row],[Produto]],tProdutos[Produto],0)),"produto não cadastrado")</f>
        <v>FORA</v>
      </c>
      <c r="K1635" s="12">
        <f>tItens[[#This Row],[Qtd]]*tItens[[#This Row],[Vlr unit]]</f>
        <v>2772</v>
      </c>
      <c r="L1635" s="6">
        <f>IFERROR(IF(INDEX(tProdutos[Desconto homologado],MATCH(tItens[[#This Row],[Produto]],tProdutos[Produto],0))="",DescontoPadrao,INDEX(tProdutos[Desconto homologado],MATCH(tItens[[#This Row],[Produto]],tProdutos[Produto],0))),DescontoPadrao)</f>
        <v>0.35412234042553198</v>
      </c>
      <c r="M1635" s="12">
        <f>tItens[[#This Row],[Valor]]*(1-tItens[[#This Row],[Desconto]])</f>
        <v>1790.3728723404251</v>
      </c>
      <c r="N1635" t="str">
        <f>IFERROR(INDEX(tProdutos[Foco],MATCH(tItens[[#This Row],[Produto]],tProdutos[Produto],0)),"Não")</f>
        <v>Não</v>
      </c>
      <c r="O1635" t="str">
        <f>IFERROR(INDEX(tEditais[SRP],MATCH(tItens[[#This Row],[Edital]],tEditais[Edital],0)),"Não")</f>
        <v>Sim</v>
      </c>
      <c r="P1635" s="4">
        <f>IF(COUNTIFS(INDEX(tItens[Edital],1):tItens[[#This Row],[Edital]],tItens[[#This Row],[Edital]],INDEX(tItens[Produto],1):tItens[[#This Row],[Produto]],tItens[[#This Row],[Produto]])=1,1,0)</f>
        <v>0</v>
      </c>
    </row>
    <row r="1636" spans="1:16" x14ac:dyDescent="0.25">
      <c r="A1636" t="s">
        <v>1152</v>
      </c>
      <c r="B1636">
        <v>167</v>
      </c>
      <c r="C1636" t="s">
        <v>4693</v>
      </c>
      <c r="D1636" t="s">
        <v>385</v>
      </c>
      <c r="E1636" s="13">
        <v>80000</v>
      </c>
      <c r="F1636" s="12">
        <v>0.33</v>
      </c>
      <c r="G1636" t="str">
        <f>IFERROR(INDEX(tEditais[Órgão],MATCH(tItens[[#This Row],[Edital]],tEditais[Edital],0)),"")</f>
        <v>FUNDO MUNICIPAL DE SAUDE</v>
      </c>
      <c r="H1636" t="str">
        <f>IFERROR(INDEX(tEditais[UF],MATCH(tItens[[#This Row],[Edital]],tEditais[Edital],0)),"")</f>
        <v>GO</v>
      </c>
      <c r="I1636" s="11">
        <f>IFERROR(INDEX(tEditais[Encerramento],MATCH(tItens[[#This Row],[Edital]],tEditais[Edital],0)),"")</f>
        <v>46308.332638888889</v>
      </c>
      <c r="J1636" t="str">
        <f>IFERROR(INDEX(tProdutos[Classe],MATCH(tItens[[#This Row],[Produto]],tProdutos[Produto],0)),"produto não cadastrado")</f>
        <v>FORA</v>
      </c>
      <c r="K1636" s="12">
        <f>tItens[[#This Row],[Qtd]]*tItens[[#This Row],[Vlr unit]]</f>
        <v>26400</v>
      </c>
      <c r="L1636" s="6">
        <f>IFERROR(IF(INDEX(tProdutos[Desconto homologado],MATCH(tItens[[#This Row],[Produto]],tProdutos[Produto],0))="",DescontoPadrao,INDEX(tProdutos[Desconto homologado],MATCH(tItens[[#This Row],[Produto]],tProdutos[Produto],0))),DescontoPadrao)</f>
        <v>0.46969696969697</v>
      </c>
      <c r="M1636" s="12">
        <f>tItens[[#This Row],[Valor]]*(1-tItens[[#This Row],[Desconto]])</f>
        <v>13999.999999999993</v>
      </c>
      <c r="N1636" t="str">
        <f>IFERROR(INDEX(tProdutos[Foco],MATCH(tItens[[#This Row],[Produto]],tProdutos[Produto],0)),"Não")</f>
        <v>Não</v>
      </c>
      <c r="O1636" t="str">
        <f>IFERROR(INDEX(tEditais[SRP],MATCH(tItens[[#This Row],[Edital]],tEditais[Edital],0)),"Não")</f>
        <v>Sim</v>
      </c>
      <c r="P1636" s="4">
        <f>IF(COUNTIFS(INDEX(tItens[Edital],1):tItens[[#This Row],[Edital]],tItens[[#This Row],[Edital]],INDEX(tItens[Produto],1):tItens[[#This Row],[Produto]],tItens[[#This Row],[Produto]])=1,1,0)</f>
        <v>1</v>
      </c>
    </row>
    <row r="1637" spans="1:16" x14ac:dyDescent="0.25">
      <c r="A1637" t="s">
        <v>1152</v>
      </c>
      <c r="B1637">
        <v>169</v>
      </c>
      <c r="C1637" t="s">
        <v>4694</v>
      </c>
      <c r="D1637" t="s">
        <v>257</v>
      </c>
      <c r="E1637" s="13">
        <v>150</v>
      </c>
      <c r="F1637" s="12">
        <v>10.38</v>
      </c>
      <c r="G1637" t="str">
        <f>IFERROR(INDEX(tEditais[Órgão],MATCH(tItens[[#This Row],[Edital]],tEditais[Edital],0)),"")</f>
        <v>FUNDO MUNICIPAL DE SAUDE</v>
      </c>
      <c r="H1637" t="str">
        <f>IFERROR(INDEX(tEditais[UF],MATCH(tItens[[#This Row],[Edital]],tEditais[Edital],0)),"")</f>
        <v>GO</v>
      </c>
      <c r="I1637" s="11">
        <f>IFERROR(INDEX(tEditais[Encerramento],MATCH(tItens[[#This Row],[Edital]],tEditais[Edital],0)),"")</f>
        <v>46308.332638888889</v>
      </c>
      <c r="J1637" t="str">
        <f>IFERROR(INDEX(tProdutos[Classe],MATCH(tItens[[#This Row],[Produto]],tProdutos[Produto],0)),"produto não cadastrado")</f>
        <v>FORA</v>
      </c>
      <c r="K1637" s="12">
        <f>tItens[[#This Row],[Qtd]]*tItens[[#This Row],[Vlr unit]]</f>
        <v>1557.0000000000002</v>
      </c>
      <c r="L1637" s="6">
        <f>IFERROR(IF(INDEX(tProdutos[Desconto homologado],MATCH(tItens[[#This Row],[Produto]],tProdutos[Produto],0))="",DescontoPadrao,INDEX(tProdutos[Desconto homologado],MATCH(tItens[[#This Row],[Produto]],tProdutos[Produto],0))),DescontoPadrao)</f>
        <v>0.500812004991805</v>
      </c>
      <c r="M1637" s="12">
        <f>tItens[[#This Row],[Valor]]*(1-tItens[[#This Row],[Desconto]])</f>
        <v>777.23570822775969</v>
      </c>
      <c r="N1637" t="str">
        <f>IFERROR(INDEX(tProdutos[Foco],MATCH(tItens[[#This Row],[Produto]],tProdutos[Produto],0)),"Não")</f>
        <v>Não</v>
      </c>
      <c r="O1637" t="str">
        <f>IFERROR(INDEX(tEditais[SRP],MATCH(tItens[[#This Row],[Edital]],tEditais[Edital],0)),"Não")</f>
        <v>Sim</v>
      </c>
      <c r="P1637" s="4">
        <f>IF(COUNTIFS(INDEX(tItens[Edital],1):tItens[[#This Row],[Edital]],tItens[[#This Row],[Edital]],INDEX(tItens[Produto],1):tItens[[#This Row],[Produto]],tItens[[#This Row],[Produto]])=1,1,0)</f>
        <v>1</v>
      </c>
    </row>
    <row r="1638" spans="1:16" x14ac:dyDescent="0.25">
      <c r="A1638" t="s">
        <v>1152</v>
      </c>
      <c r="B1638">
        <v>170</v>
      </c>
      <c r="C1638" t="s">
        <v>4695</v>
      </c>
      <c r="D1638" t="s">
        <v>249</v>
      </c>
      <c r="E1638" s="13">
        <v>100</v>
      </c>
      <c r="F1638" s="12">
        <v>9.1999999999999993</v>
      </c>
      <c r="G1638" t="str">
        <f>IFERROR(INDEX(tEditais[Órgão],MATCH(tItens[[#This Row],[Edital]],tEditais[Edital],0)),"")</f>
        <v>FUNDO MUNICIPAL DE SAUDE</v>
      </c>
      <c r="H1638" t="str">
        <f>IFERROR(INDEX(tEditais[UF],MATCH(tItens[[#This Row],[Edital]],tEditais[Edital],0)),"")</f>
        <v>GO</v>
      </c>
      <c r="I1638" s="11">
        <f>IFERROR(INDEX(tEditais[Encerramento],MATCH(tItens[[#This Row],[Edital]],tEditais[Edital],0)),"")</f>
        <v>46308.332638888889</v>
      </c>
      <c r="J1638" t="str">
        <f>IFERROR(INDEX(tProdutos[Classe],MATCH(tItens[[#This Row],[Produto]],tProdutos[Produto],0)),"produto não cadastrado")</f>
        <v>FORA</v>
      </c>
      <c r="K1638" s="12">
        <f>tItens[[#This Row],[Qtd]]*tItens[[#This Row],[Vlr unit]]</f>
        <v>919.99999999999989</v>
      </c>
      <c r="L1638" s="6">
        <f>IFERROR(IF(INDEX(tProdutos[Desconto homologado],MATCH(tItens[[#This Row],[Produto]],tProdutos[Produto],0))="",DescontoPadrao,INDEX(tProdutos[Desconto homologado],MATCH(tItens[[#This Row],[Produto]],tProdutos[Produto],0))),DescontoPadrao)</f>
        <v>0.45399945399945402</v>
      </c>
      <c r="M1638" s="12">
        <f>tItens[[#This Row],[Valor]]*(1-tItens[[#This Row],[Desconto]])</f>
        <v>502.32050232050221</v>
      </c>
      <c r="N1638" t="str">
        <f>IFERROR(INDEX(tProdutos[Foco],MATCH(tItens[[#This Row],[Produto]],tProdutos[Produto],0)),"Não")</f>
        <v>Não</v>
      </c>
      <c r="O1638" t="str">
        <f>IFERROR(INDEX(tEditais[SRP],MATCH(tItens[[#This Row],[Edital]],tEditais[Edital],0)),"Não")</f>
        <v>Sim</v>
      </c>
      <c r="P1638" s="4">
        <f>IF(COUNTIFS(INDEX(tItens[Edital],1):tItens[[#This Row],[Edital]],tItens[[#This Row],[Edital]],INDEX(tItens[Produto],1):tItens[[#This Row],[Produto]],tItens[[#This Row],[Produto]])=1,1,0)</f>
        <v>1</v>
      </c>
    </row>
    <row r="1639" spans="1:16" x14ac:dyDescent="0.25">
      <c r="A1639" t="s">
        <v>1152</v>
      </c>
      <c r="B1639">
        <v>185</v>
      </c>
      <c r="C1639" t="s">
        <v>4696</v>
      </c>
      <c r="D1639" t="s">
        <v>494</v>
      </c>
      <c r="E1639" s="13">
        <v>50</v>
      </c>
      <c r="F1639" s="12">
        <v>94.68</v>
      </c>
      <c r="G1639" t="str">
        <f>IFERROR(INDEX(tEditais[Órgão],MATCH(tItens[[#This Row],[Edital]],tEditais[Edital],0)),"")</f>
        <v>FUNDO MUNICIPAL DE SAUDE</v>
      </c>
      <c r="H1639" t="str">
        <f>IFERROR(INDEX(tEditais[UF],MATCH(tItens[[#This Row],[Edital]],tEditais[Edital],0)),"")</f>
        <v>GO</v>
      </c>
      <c r="I1639" s="11">
        <f>IFERROR(INDEX(tEditais[Encerramento],MATCH(tItens[[#This Row],[Edital]],tEditais[Edital],0)),"")</f>
        <v>46308.332638888889</v>
      </c>
      <c r="J1639" t="str">
        <f>IFERROR(INDEX(tProdutos[Classe],MATCH(tItens[[#This Row],[Produto]],tProdutos[Produto],0)),"produto não cadastrado")</f>
        <v>FILA REBASE</v>
      </c>
      <c r="K1639" s="12">
        <f>tItens[[#This Row],[Qtd]]*tItens[[#This Row],[Vlr unit]]</f>
        <v>4734</v>
      </c>
      <c r="L1639" s="6">
        <f>IFERROR(IF(INDEX(tProdutos[Desconto homologado],MATCH(tItens[[#This Row],[Produto]],tProdutos[Produto],0))="",DescontoPadrao,INDEX(tProdutos[Desconto homologado],MATCH(tItens[[#This Row],[Produto]],tProdutos[Produto],0))),DescontoPadrao)</f>
        <v>0.253736324829619</v>
      </c>
      <c r="M1639" s="12">
        <f>tItens[[#This Row],[Valor]]*(1-tItens[[#This Row],[Desconto]])</f>
        <v>3532.8122382565839</v>
      </c>
      <c r="N1639" t="str">
        <f>IFERROR(INDEX(tProdutos[Foco],MATCH(tItens[[#This Row],[Produto]],tProdutos[Produto],0)),"Não")</f>
        <v>Não</v>
      </c>
      <c r="O1639" t="str">
        <f>IFERROR(INDEX(tEditais[SRP],MATCH(tItens[[#This Row],[Edital]],tEditais[Edital],0)),"Não")</f>
        <v>Sim</v>
      </c>
      <c r="P1639" s="4">
        <f>IF(COUNTIFS(INDEX(tItens[Edital],1):tItens[[#This Row],[Edital]],tItens[[#This Row],[Edital]],INDEX(tItens[Produto],1):tItens[[#This Row],[Produto]],tItens[[#This Row],[Produto]])=1,1,0)</f>
        <v>1</v>
      </c>
    </row>
    <row r="1640" spans="1:16" x14ac:dyDescent="0.25">
      <c r="A1640" t="s">
        <v>1152</v>
      </c>
      <c r="B1640">
        <v>186</v>
      </c>
      <c r="C1640" t="s">
        <v>4697</v>
      </c>
      <c r="D1640" t="s">
        <v>494</v>
      </c>
      <c r="E1640" s="13">
        <v>50</v>
      </c>
      <c r="F1640" s="12">
        <v>114.68</v>
      </c>
      <c r="G1640" t="str">
        <f>IFERROR(INDEX(tEditais[Órgão],MATCH(tItens[[#This Row],[Edital]],tEditais[Edital],0)),"")</f>
        <v>FUNDO MUNICIPAL DE SAUDE</v>
      </c>
      <c r="H1640" t="str">
        <f>IFERROR(INDEX(tEditais[UF],MATCH(tItens[[#This Row],[Edital]],tEditais[Edital],0)),"")</f>
        <v>GO</v>
      </c>
      <c r="I1640" s="11">
        <f>IFERROR(INDEX(tEditais[Encerramento],MATCH(tItens[[#This Row],[Edital]],tEditais[Edital],0)),"")</f>
        <v>46308.332638888889</v>
      </c>
      <c r="J1640" t="str">
        <f>IFERROR(INDEX(tProdutos[Classe],MATCH(tItens[[#This Row],[Produto]],tProdutos[Produto],0)),"produto não cadastrado")</f>
        <v>FILA REBASE</v>
      </c>
      <c r="K1640" s="12">
        <f>tItens[[#This Row],[Qtd]]*tItens[[#This Row],[Vlr unit]]</f>
        <v>5734</v>
      </c>
      <c r="L1640" s="6">
        <f>IFERROR(IF(INDEX(tProdutos[Desconto homologado],MATCH(tItens[[#This Row],[Produto]],tProdutos[Produto],0))="",DescontoPadrao,INDEX(tProdutos[Desconto homologado],MATCH(tItens[[#This Row],[Produto]],tProdutos[Produto],0))),DescontoPadrao)</f>
        <v>0.253736324829619</v>
      </c>
      <c r="M1640" s="12">
        <f>tItens[[#This Row],[Valor]]*(1-tItens[[#This Row],[Desconto]])</f>
        <v>4279.0759134269647</v>
      </c>
      <c r="N1640" t="str">
        <f>IFERROR(INDEX(tProdutos[Foco],MATCH(tItens[[#This Row],[Produto]],tProdutos[Produto],0)),"Não")</f>
        <v>Não</v>
      </c>
      <c r="O1640" t="str">
        <f>IFERROR(INDEX(tEditais[SRP],MATCH(tItens[[#This Row],[Edital]],tEditais[Edital],0)),"Não")</f>
        <v>Sim</v>
      </c>
      <c r="P1640" s="4">
        <f>IF(COUNTIFS(INDEX(tItens[Edital],1):tItens[[#This Row],[Edital]],tItens[[#This Row],[Edital]],INDEX(tItens[Produto],1):tItens[[#This Row],[Produto]],tItens[[#This Row],[Produto]])=1,1,0)</f>
        <v>0</v>
      </c>
    </row>
    <row r="1641" spans="1:16" x14ac:dyDescent="0.25">
      <c r="A1641" t="s">
        <v>1152</v>
      </c>
      <c r="B1641">
        <v>187</v>
      </c>
      <c r="C1641" t="s">
        <v>4698</v>
      </c>
      <c r="D1641" t="s">
        <v>494</v>
      </c>
      <c r="E1641" s="13">
        <v>50</v>
      </c>
      <c r="F1641" s="12">
        <v>180.47</v>
      </c>
      <c r="G1641" t="str">
        <f>IFERROR(INDEX(tEditais[Órgão],MATCH(tItens[[#This Row],[Edital]],tEditais[Edital],0)),"")</f>
        <v>FUNDO MUNICIPAL DE SAUDE</v>
      </c>
      <c r="H1641" t="str">
        <f>IFERROR(INDEX(tEditais[UF],MATCH(tItens[[#This Row],[Edital]],tEditais[Edital],0)),"")</f>
        <v>GO</v>
      </c>
      <c r="I1641" s="11">
        <f>IFERROR(INDEX(tEditais[Encerramento],MATCH(tItens[[#This Row],[Edital]],tEditais[Edital],0)),"")</f>
        <v>46308.332638888889</v>
      </c>
      <c r="J1641" t="str">
        <f>IFERROR(INDEX(tProdutos[Classe],MATCH(tItens[[#This Row],[Produto]],tProdutos[Produto],0)),"produto não cadastrado")</f>
        <v>FILA REBASE</v>
      </c>
      <c r="K1641" s="12">
        <f>tItens[[#This Row],[Qtd]]*tItens[[#This Row],[Vlr unit]]</f>
        <v>9023.5</v>
      </c>
      <c r="L1641" s="6">
        <f>IFERROR(IF(INDEX(tProdutos[Desconto homologado],MATCH(tItens[[#This Row],[Produto]],tProdutos[Produto],0))="",DescontoPadrao,INDEX(tProdutos[Desconto homologado],MATCH(tItens[[#This Row],[Produto]],tProdutos[Produto],0))),DescontoPadrao)</f>
        <v>0.253736324829619</v>
      </c>
      <c r="M1641" s="12">
        <f>tItens[[#This Row],[Valor]]*(1-tItens[[#This Row],[Desconto]])</f>
        <v>6733.9102728999333</v>
      </c>
      <c r="N1641" t="str">
        <f>IFERROR(INDEX(tProdutos[Foco],MATCH(tItens[[#This Row],[Produto]],tProdutos[Produto],0)),"Não")</f>
        <v>Não</v>
      </c>
      <c r="O1641" t="str">
        <f>IFERROR(INDEX(tEditais[SRP],MATCH(tItens[[#This Row],[Edital]],tEditais[Edital],0)),"Não")</f>
        <v>Sim</v>
      </c>
      <c r="P1641" s="4">
        <f>IF(COUNTIFS(INDEX(tItens[Edital],1):tItens[[#This Row],[Edital]],tItens[[#This Row],[Edital]],INDEX(tItens[Produto],1):tItens[[#This Row],[Produto]],tItens[[#This Row],[Produto]])=1,1,0)</f>
        <v>0</v>
      </c>
    </row>
    <row r="1642" spans="1:16" x14ac:dyDescent="0.25">
      <c r="A1642" t="s">
        <v>1152</v>
      </c>
      <c r="B1642">
        <v>188</v>
      </c>
      <c r="C1642" t="s">
        <v>4699</v>
      </c>
      <c r="D1642" t="s">
        <v>494</v>
      </c>
      <c r="E1642" s="13">
        <v>50</v>
      </c>
      <c r="F1642" s="12">
        <v>192.51</v>
      </c>
      <c r="G1642" t="str">
        <f>IFERROR(INDEX(tEditais[Órgão],MATCH(tItens[[#This Row],[Edital]],tEditais[Edital],0)),"")</f>
        <v>FUNDO MUNICIPAL DE SAUDE</v>
      </c>
      <c r="H1642" t="str">
        <f>IFERROR(INDEX(tEditais[UF],MATCH(tItens[[#This Row],[Edital]],tEditais[Edital],0)),"")</f>
        <v>GO</v>
      </c>
      <c r="I1642" s="11">
        <f>IFERROR(INDEX(tEditais[Encerramento],MATCH(tItens[[#This Row],[Edital]],tEditais[Edital],0)),"")</f>
        <v>46308.332638888889</v>
      </c>
      <c r="J1642" t="str">
        <f>IFERROR(INDEX(tProdutos[Classe],MATCH(tItens[[#This Row],[Produto]],tProdutos[Produto],0)),"produto não cadastrado")</f>
        <v>FILA REBASE</v>
      </c>
      <c r="K1642" s="12">
        <f>tItens[[#This Row],[Qtd]]*tItens[[#This Row],[Vlr unit]]</f>
        <v>9625.5</v>
      </c>
      <c r="L1642" s="6">
        <f>IFERROR(IF(INDEX(tProdutos[Desconto homologado],MATCH(tItens[[#This Row],[Produto]],tProdutos[Produto],0))="",DescontoPadrao,INDEX(tProdutos[Desconto homologado],MATCH(tItens[[#This Row],[Produto]],tProdutos[Produto],0))),DescontoPadrao)</f>
        <v>0.253736324829619</v>
      </c>
      <c r="M1642" s="12">
        <f>tItens[[#This Row],[Valor]]*(1-tItens[[#This Row],[Desconto]])</f>
        <v>7183.1610053525028</v>
      </c>
      <c r="N1642" t="str">
        <f>IFERROR(INDEX(tProdutos[Foco],MATCH(tItens[[#This Row],[Produto]],tProdutos[Produto],0)),"Não")</f>
        <v>Não</v>
      </c>
      <c r="O1642" t="str">
        <f>IFERROR(INDEX(tEditais[SRP],MATCH(tItens[[#This Row],[Edital]],tEditais[Edital],0)),"Não")</f>
        <v>Sim</v>
      </c>
      <c r="P1642" s="4">
        <f>IF(COUNTIFS(INDEX(tItens[Edital],1):tItens[[#This Row],[Edital]],tItens[[#This Row],[Edital]],INDEX(tItens[Produto],1):tItens[[#This Row],[Produto]],tItens[[#This Row],[Produto]])=1,1,0)</f>
        <v>0</v>
      </c>
    </row>
    <row r="1643" spans="1:16" x14ac:dyDescent="0.25">
      <c r="A1643" t="s">
        <v>1152</v>
      </c>
      <c r="B1643">
        <v>189</v>
      </c>
      <c r="C1643" t="s">
        <v>4700</v>
      </c>
      <c r="D1643" t="s">
        <v>494</v>
      </c>
      <c r="E1643" s="13">
        <v>40</v>
      </c>
      <c r="F1643" s="12">
        <v>198.53</v>
      </c>
      <c r="G1643" t="str">
        <f>IFERROR(INDEX(tEditais[Órgão],MATCH(tItens[[#This Row],[Edital]],tEditais[Edital],0)),"")</f>
        <v>FUNDO MUNICIPAL DE SAUDE</v>
      </c>
      <c r="H1643" t="str">
        <f>IFERROR(INDEX(tEditais[UF],MATCH(tItens[[#This Row],[Edital]],tEditais[Edital],0)),"")</f>
        <v>GO</v>
      </c>
      <c r="I1643" s="11">
        <f>IFERROR(INDEX(tEditais[Encerramento],MATCH(tItens[[#This Row],[Edital]],tEditais[Edital],0)),"")</f>
        <v>46308.332638888889</v>
      </c>
      <c r="J1643" t="str">
        <f>IFERROR(INDEX(tProdutos[Classe],MATCH(tItens[[#This Row],[Produto]],tProdutos[Produto],0)),"produto não cadastrado")</f>
        <v>FILA REBASE</v>
      </c>
      <c r="K1643" s="12">
        <f>tItens[[#This Row],[Qtd]]*tItens[[#This Row],[Vlr unit]]</f>
        <v>7941.2</v>
      </c>
      <c r="L1643" s="6">
        <f>IFERROR(IF(INDEX(tProdutos[Desconto homologado],MATCH(tItens[[#This Row],[Produto]],tProdutos[Produto],0))="",DescontoPadrao,INDEX(tProdutos[Desconto homologado],MATCH(tItens[[#This Row],[Produto]],tProdutos[Produto],0))),DescontoPadrao)</f>
        <v>0.253736324829619</v>
      </c>
      <c r="M1643" s="12">
        <f>tItens[[#This Row],[Valor]]*(1-tItens[[#This Row],[Desconto]])</f>
        <v>5926.2290972630299</v>
      </c>
      <c r="N1643" t="str">
        <f>IFERROR(INDEX(tProdutos[Foco],MATCH(tItens[[#This Row],[Produto]],tProdutos[Produto],0)),"Não")</f>
        <v>Não</v>
      </c>
      <c r="O1643" t="str">
        <f>IFERROR(INDEX(tEditais[SRP],MATCH(tItens[[#This Row],[Edital]],tEditais[Edital],0)),"Não")</f>
        <v>Sim</v>
      </c>
      <c r="P1643" s="4">
        <f>IF(COUNTIFS(INDEX(tItens[Edital],1):tItens[[#This Row],[Edital]],tItens[[#This Row],[Edital]],INDEX(tItens[Produto],1):tItens[[#This Row],[Produto]],tItens[[#This Row],[Produto]])=1,1,0)</f>
        <v>0</v>
      </c>
    </row>
    <row r="1644" spans="1:16" x14ac:dyDescent="0.25">
      <c r="A1644" t="s">
        <v>1152</v>
      </c>
      <c r="B1644">
        <v>190</v>
      </c>
      <c r="C1644" t="s">
        <v>4701</v>
      </c>
      <c r="D1644" t="s">
        <v>494</v>
      </c>
      <c r="E1644" s="13">
        <v>10</v>
      </c>
      <c r="F1644" s="12">
        <v>242.74</v>
      </c>
      <c r="G1644" t="str">
        <f>IFERROR(INDEX(tEditais[Órgão],MATCH(tItens[[#This Row],[Edital]],tEditais[Edital],0)),"")</f>
        <v>FUNDO MUNICIPAL DE SAUDE</v>
      </c>
      <c r="H1644" t="str">
        <f>IFERROR(INDEX(tEditais[UF],MATCH(tItens[[#This Row],[Edital]],tEditais[Edital],0)),"")</f>
        <v>GO</v>
      </c>
      <c r="I1644" s="11">
        <f>IFERROR(INDEX(tEditais[Encerramento],MATCH(tItens[[#This Row],[Edital]],tEditais[Edital],0)),"")</f>
        <v>46308.332638888889</v>
      </c>
      <c r="J1644" t="str">
        <f>IFERROR(INDEX(tProdutos[Classe],MATCH(tItens[[#This Row],[Produto]],tProdutos[Produto],0)),"produto não cadastrado")</f>
        <v>FILA REBASE</v>
      </c>
      <c r="K1644" s="12">
        <f>tItens[[#This Row],[Qtd]]*tItens[[#This Row],[Vlr unit]]</f>
        <v>2427.4</v>
      </c>
      <c r="L1644" s="6">
        <f>IFERROR(IF(INDEX(tProdutos[Desconto homologado],MATCH(tItens[[#This Row],[Produto]],tProdutos[Produto],0))="",DescontoPadrao,INDEX(tProdutos[Desconto homologado],MATCH(tItens[[#This Row],[Produto]],tProdutos[Produto],0))),DescontoPadrao)</f>
        <v>0.253736324829619</v>
      </c>
      <c r="M1644" s="12">
        <f>tItens[[#This Row],[Valor]]*(1-tItens[[#This Row],[Desconto]])</f>
        <v>1811.4804451085831</v>
      </c>
      <c r="N1644" t="str">
        <f>IFERROR(INDEX(tProdutos[Foco],MATCH(tItens[[#This Row],[Produto]],tProdutos[Produto],0)),"Não")</f>
        <v>Não</v>
      </c>
      <c r="O1644" t="str">
        <f>IFERROR(INDEX(tEditais[SRP],MATCH(tItens[[#This Row],[Edital]],tEditais[Edital],0)),"Não")</f>
        <v>Sim</v>
      </c>
      <c r="P1644" s="4">
        <f>IF(COUNTIFS(INDEX(tItens[Edital],1):tItens[[#This Row],[Edital]],tItens[[#This Row],[Edital]],INDEX(tItens[Produto],1):tItens[[#This Row],[Produto]],tItens[[#This Row],[Produto]])=1,1,0)</f>
        <v>0</v>
      </c>
    </row>
    <row r="1645" spans="1:16" x14ac:dyDescent="0.25">
      <c r="A1645" t="s">
        <v>1152</v>
      </c>
      <c r="B1645">
        <v>212</v>
      </c>
      <c r="C1645" t="s">
        <v>4702</v>
      </c>
      <c r="D1645" t="s">
        <v>275</v>
      </c>
      <c r="E1645" s="13">
        <v>15000</v>
      </c>
      <c r="F1645" s="12">
        <v>0.39</v>
      </c>
      <c r="G1645" t="str">
        <f>IFERROR(INDEX(tEditais[Órgão],MATCH(tItens[[#This Row],[Edital]],tEditais[Edital],0)),"")</f>
        <v>FUNDO MUNICIPAL DE SAUDE</v>
      </c>
      <c r="H1645" t="str">
        <f>IFERROR(INDEX(tEditais[UF],MATCH(tItens[[#This Row],[Edital]],tEditais[Edital],0)),"")</f>
        <v>GO</v>
      </c>
      <c r="I1645" s="11">
        <f>IFERROR(INDEX(tEditais[Encerramento],MATCH(tItens[[#This Row],[Edital]],tEditais[Edital],0)),"")</f>
        <v>46308.332638888889</v>
      </c>
      <c r="J1645" t="str">
        <f>IFERROR(INDEX(tProdutos[Classe],MATCH(tItens[[#This Row],[Produto]],tProdutos[Produto],0)),"produto não cadastrado")</f>
        <v>FORA</v>
      </c>
      <c r="K1645" s="12">
        <f>tItens[[#This Row],[Qtd]]*tItens[[#This Row],[Vlr unit]]</f>
        <v>5850</v>
      </c>
      <c r="L1645" s="6">
        <f>IFERROR(IF(INDEX(tProdutos[Desconto homologado],MATCH(tItens[[#This Row],[Produto]],tProdutos[Produto],0))="",DescontoPadrao,INDEX(tProdutos[Desconto homologado],MATCH(tItens[[#This Row],[Produto]],tProdutos[Produto],0))),DescontoPadrao)</f>
        <v>0.405797101449275</v>
      </c>
      <c r="M1645" s="12">
        <f>tItens[[#This Row],[Valor]]*(1-tItens[[#This Row],[Desconto]])</f>
        <v>3476.0869565217417</v>
      </c>
      <c r="N1645" t="str">
        <f>IFERROR(INDEX(tProdutos[Foco],MATCH(tItens[[#This Row],[Produto]],tProdutos[Produto],0)),"Não")</f>
        <v>Não</v>
      </c>
      <c r="O1645" t="str">
        <f>IFERROR(INDEX(tEditais[SRP],MATCH(tItens[[#This Row],[Edital]],tEditais[Edital],0)),"Não")</f>
        <v>Sim</v>
      </c>
      <c r="P1645" s="4">
        <f>IF(COUNTIFS(INDEX(tItens[Edital],1):tItens[[#This Row],[Edital]],tItens[[#This Row],[Edital]],INDEX(tItens[Produto],1):tItens[[#This Row],[Produto]],tItens[[#This Row],[Produto]])=1,1,0)</f>
        <v>1</v>
      </c>
    </row>
    <row r="1646" spans="1:16" x14ac:dyDescent="0.25">
      <c r="A1646" t="s">
        <v>1152</v>
      </c>
      <c r="B1646">
        <v>213</v>
      </c>
      <c r="C1646" t="s">
        <v>4703</v>
      </c>
      <c r="D1646" t="s">
        <v>275</v>
      </c>
      <c r="E1646" s="13">
        <v>10000</v>
      </c>
      <c r="F1646" s="12">
        <v>0.79</v>
      </c>
      <c r="G1646" t="str">
        <f>IFERROR(INDEX(tEditais[Órgão],MATCH(tItens[[#This Row],[Edital]],tEditais[Edital],0)),"")</f>
        <v>FUNDO MUNICIPAL DE SAUDE</v>
      </c>
      <c r="H1646" t="str">
        <f>IFERROR(INDEX(tEditais[UF],MATCH(tItens[[#This Row],[Edital]],tEditais[Edital],0)),"")</f>
        <v>GO</v>
      </c>
      <c r="I1646" s="11">
        <f>IFERROR(INDEX(tEditais[Encerramento],MATCH(tItens[[#This Row],[Edital]],tEditais[Edital],0)),"")</f>
        <v>46308.332638888889</v>
      </c>
      <c r="J1646" t="str">
        <f>IFERROR(INDEX(tProdutos[Classe],MATCH(tItens[[#This Row],[Produto]],tProdutos[Produto],0)),"produto não cadastrado")</f>
        <v>FORA</v>
      </c>
      <c r="K1646" s="12">
        <f>tItens[[#This Row],[Qtd]]*tItens[[#This Row],[Vlr unit]]</f>
        <v>7900</v>
      </c>
      <c r="L1646" s="6">
        <f>IFERROR(IF(INDEX(tProdutos[Desconto homologado],MATCH(tItens[[#This Row],[Produto]],tProdutos[Produto],0))="",DescontoPadrao,INDEX(tProdutos[Desconto homologado],MATCH(tItens[[#This Row],[Produto]],tProdutos[Produto],0))),DescontoPadrao)</f>
        <v>0.405797101449275</v>
      </c>
      <c r="M1646" s="12">
        <f>tItens[[#This Row],[Valor]]*(1-tItens[[#This Row],[Desconto]])</f>
        <v>4694.2028985507277</v>
      </c>
      <c r="N1646" t="str">
        <f>IFERROR(INDEX(tProdutos[Foco],MATCH(tItens[[#This Row],[Produto]],tProdutos[Produto],0)),"Não")</f>
        <v>Não</v>
      </c>
      <c r="O1646" t="str">
        <f>IFERROR(INDEX(tEditais[SRP],MATCH(tItens[[#This Row],[Edital]],tEditais[Edital],0)),"Não")</f>
        <v>Sim</v>
      </c>
      <c r="P1646" s="4">
        <f>IF(COUNTIFS(INDEX(tItens[Edital],1):tItens[[#This Row],[Edital]],tItens[[#This Row],[Edital]],INDEX(tItens[Produto],1):tItens[[#This Row],[Produto]],tItens[[#This Row],[Produto]])=1,1,0)</f>
        <v>0</v>
      </c>
    </row>
    <row r="1647" spans="1:16" x14ac:dyDescent="0.25">
      <c r="A1647" t="s">
        <v>1152</v>
      </c>
      <c r="B1647">
        <v>214</v>
      </c>
      <c r="C1647" t="s">
        <v>4704</v>
      </c>
      <c r="D1647" t="s">
        <v>275</v>
      </c>
      <c r="E1647" s="13">
        <v>10000</v>
      </c>
      <c r="F1647" s="12">
        <v>0.79</v>
      </c>
      <c r="G1647" t="str">
        <f>IFERROR(INDEX(tEditais[Órgão],MATCH(tItens[[#This Row],[Edital]],tEditais[Edital],0)),"")</f>
        <v>FUNDO MUNICIPAL DE SAUDE</v>
      </c>
      <c r="H1647" t="str">
        <f>IFERROR(INDEX(tEditais[UF],MATCH(tItens[[#This Row],[Edital]],tEditais[Edital],0)),"")</f>
        <v>GO</v>
      </c>
      <c r="I1647" s="11">
        <f>IFERROR(INDEX(tEditais[Encerramento],MATCH(tItens[[#This Row],[Edital]],tEditais[Edital],0)),"")</f>
        <v>46308.332638888889</v>
      </c>
      <c r="J1647" t="str">
        <f>IFERROR(INDEX(tProdutos[Classe],MATCH(tItens[[#This Row],[Produto]],tProdutos[Produto],0)),"produto não cadastrado")</f>
        <v>FORA</v>
      </c>
      <c r="K1647" s="12">
        <f>tItens[[#This Row],[Qtd]]*tItens[[#This Row],[Vlr unit]]</f>
        <v>7900</v>
      </c>
      <c r="L1647" s="6">
        <f>IFERROR(IF(INDEX(tProdutos[Desconto homologado],MATCH(tItens[[#This Row],[Produto]],tProdutos[Produto],0))="",DescontoPadrao,INDEX(tProdutos[Desconto homologado],MATCH(tItens[[#This Row],[Produto]],tProdutos[Produto],0))),DescontoPadrao)</f>
        <v>0.405797101449275</v>
      </c>
      <c r="M1647" s="12">
        <f>tItens[[#This Row],[Valor]]*(1-tItens[[#This Row],[Desconto]])</f>
        <v>4694.2028985507277</v>
      </c>
      <c r="N1647" t="str">
        <f>IFERROR(INDEX(tProdutos[Foco],MATCH(tItens[[#This Row],[Produto]],tProdutos[Produto],0)),"Não")</f>
        <v>Não</v>
      </c>
      <c r="O1647" t="str">
        <f>IFERROR(INDEX(tEditais[SRP],MATCH(tItens[[#This Row],[Edital]],tEditais[Edital],0)),"Não")</f>
        <v>Sim</v>
      </c>
      <c r="P1647" s="4">
        <f>IF(COUNTIFS(INDEX(tItens[Edital],1):tItens[[#This Row],[Edital]],tItens[[#This Row],[Edital]],INDEX(tItens[Produto],1):tItens[[#This Row],[Produto]],tItens[[#This Row],[Produto]])=1,1,0)</f>
        <v>0</v>
      </c>
    </row>
    <row r="1648" spans="1:16" x14ac:dyDescent="0.25">
      <c r="A1648" t="s">
        <v>1152</v>
      </c>
      <c r="B1648">
        <v>215</v>
      </c>
      <c r="C1648" t="s">
        <v>4705</v>
      </c>
      <c r="D1648" t="s">
        <v>281</v>
      </c>
      <c r="E1648" s="13">
        <v>50000</v>
      </c>
      <c r="F1648" s="12">
        <v>0.88</v>
      </c>
      <c r="G1648" t="str">
        <f>IFERROR(INDEX(tEditais[Órgão],MATCH(tItens[[#This Row],[Edital]],tEditais[Edital],0)),"")</f>
        <v>FUNDO MUNICIPAL DE SAUDE</v>
      </c>
      <c r="H1648" t="str">
        <f>IFERROR(INDEX(tEditais[UF],MATCH(tItens[[#This Row],[Edital]],tEditais[Edital],0)),"")</f>
        <v>GO</v>
      </c>
      <c r="I1648" s="11">
        <f>IFERROR(INDEX(tEditais[Encerramento],MATCH(tItens[[#This Row],[Edital]],tEditais[Edital],0)),"")</f>
        <v>46308.332638888889</v>
      </c>
      <c r="J1648" t="str">
        <f>IFERROR(INDEX(tProdutos[Classe],MATCH(tItens[[#This Row],[Produto]],tProdutos[Produto],0)),"produto não cadastrado")</f>
        <v>DISPUTADO</v>
      </c>
      <c r="K1648" s="12">
        <f>tItens[[#This Row],[Qtd]]*tItens[[#This Row],[Vlr unit]]</f>
        <v>44000</v>
      </c>
      <c r="L1648" s="6">
        <f>IFERROR(IF(INDEX(tProdutos[Desconto homologado],MATCH(tItens[[#This Row],[Produto]],tProdutos[Produto],0))="",DescontoPadrao,INDEX(tProdutos[Desconto homologado],MATCH(tItens[[#This Row],[Produto]],tProdutos[Produto],0))),DescontoPadrao)</f>
        <v>0.42461538461538501</v>
      </c>
      <c r="M1648" s="12">
        <f>tItens[[#This Row],[Valor]]*(1-tItens[[#This Row],[Desconto]])</f>
        <v>25316.923076923056</v>
      </c>
      <c r="N1648" t="str">
        <f>IFERROR(INDEX(tProdutos[Foco],MATCH(tItens[[#This Row],[Produto]],tProdutos[Produto],0)),"Não")</f>
        <v>Não</v>
      </c>
      <c r="O1648" t="str">
        <f>IFERROR(INDEX(tEditais[SRP],MATCH(tItens[[#This Row],[Edital]],tEditais[Edital],0)),"Não")</f>
        <v>Sim</v>
      </c>
      <c r="P1648" s="4">
        <f>IF(COUNTIFS(INDEX(tItens[Edital],1):tItens[[#This Row],[Edital]],tItens[[#This Row],[Edital]],INDEX(tItens[Produto],1):tItens[[#This Row],[Produto]],tItens[[#This Row],[Produto]])=1,1,0)</f>
        <v>1</v>
      </c>
    </row>
    <row r="1649" spans="1:16" x14ac:dyDescent="0.25">
      <c r="A1649" t="s">
        <v>1152</v>
      </c>
      <c r="B1649">
        <v>216</v>
      </c>
      <c r="C1649" t="s">
        <v>4706</v>
      </c>
      <c r="D1649" t="s">
        <v>289</v>
      </c>
      <c r="E1649" s="13">
        <v>50000</v>
      </c>
      <c r="F1649" s="12">
        <v>1.39</v>
      </c>
      <c r="G1649" t="str">
        <f>IFERROR(INDEX(tEditais[Órgão],MATCH(tItens[[#This Row],[Edital]],tEditais[Edital],0)),"")</f>
        <v>FUNDO MUNICIPAL DE SAUDE</v>
      </c>
      <c r="H1649" t="str">
        <f>IFERROR(INDEX(tEditais[UF],MATCH(tItens[[#This Row],[Edital]],tEditais[Edital],0)),"")</f>
        <v>GO</v>
      </c>
      <c r="I1649" s="11">
        <f>IFERROR(INDEX(tEditais[Encerramento],MATCH(tItens[[#This Row],[Edital]],tEditais[Edital],0)),"")</f>
        <v>46308.332638888889</v>
      </c>
      <c r="J1649" t="str">
        <f>IFERROR(INDEX(tProdutos[Classe],MATCH(tItens[[#This Row],[Produto]],tProdutos[Produto],0)),"produto não cadastrado")</f>
        <v>DISPUTADO</v>
      </c>
      <c r="K1649" s="12">
        <f>tItens[[#This Row],[Qtd]]*tItens[[#This Row],[Vlr unit]]</f>
        <v>69500</v>
      </c>
      <c r="L1649" s="6">
        <f>IFERROR(IF(INDEX(tProdutos[Desconto homologado],MATCH(tItens[[#This Row],[Produto]],tProdutos[Produto],0))="",DescontoPadrao,INDEX(tProdutos[Desconto homologado],MATCH(tItens[[#This Row],[Produto]],tProdutos[Produto],0))),DescontoPadrao)</f>
        <v>0.35849056603773599</v>
      </c>
      <c r="M1649" s="12">
        <f>tItens[[#This Row],[Valor]]*(1-tItens[[#This Row],[Desconto]])</f>
        <v>44584.90566037735</v>
      </c>
      <c r="N1649" t="str">
        <f>IFERROR(INDEX(tProdutos[Foco],MATCH(tItens[[#This Row],[Produto]],tProdutos[Produto],0)),"Não")</f>
        <v>Não</v>
      </c>
      <c r="O1649" t="str">
        <f>IFERROR(INDEX(tEditais[SRP],MATCH(tItens[[#This Row],[Edital]],tEditais[Edital],0)),"Não")</f>
        <v>Sim</v>
      </c>
      <c r="P1649" s="4">
        <f>IF(COUNTIFS(INDEX(tItens[Edital],1):tItens[[#This Row],[Edital]],tItens[[#This Row],[Edital]],INDEX(tItens[Produto],1):tItens[[#This Row],[Produto]],tItens[[#This Row],[Produto]])=1,1,0)</f>
        <v>1</v>
      </c>
    </row>
    <row r="1650" spans="1:16" x14ac:dyDescent="0.25">
      <c r="A1650" t="s">
        <v>1152</v>
      </c>
      <c r="B1650">
        <v>217</v>
      </c>
      <c r="C1650" t="s">
        <v>4707</v>
      </c>
      <c r="D1650" t="s">
        <v>283</v>
      </c>
      <c r="E1650" s="13">
        <v>2000</v>
      </c>
      <c r="F1650" s="12">
        <v>1.28</v>
      </c>
      <c r="G1650" t="str">
        <f>IFERROR(INDEX(tEditais[Órgão],MATCH(tItens[[#This Row],[Edital]],tEditais[Edital],0)),"")</f>
        <v>FUNDO MUNICIPAL DE SAUDE</v>
      </c>
      <c r="H1650" t="str">
        <f>IFERROR(INDEX(tEditais[UF],MATCH(tItens[[#This Row],[Edital]],tEditais[Edital],0)),"")</f>
        <v>GO</v>
      </c>
      <c r="I1650" s="11">
        <f>IFERROR(INDEX(tEditais[Encerramento],MATCH(tItens[[#This Row],[Edital]],tEditais[Edital],0)),"")</f>
        <v>46308.332638888889</v>
      </c>
      <c r="J1650" t="str">
        <f>IFERROR(INDEX(tProdutos[Classe],MATCH(tItens[[#This Row],[Produto]],tProdutos[Produto],0)),"produto não cadastrado")</f>
        <v>FORA</v>
      </c>
      <c r="K1650" s="12">
        <f>tItens[[#This Row],[Qtd]]*tItens[[#This Row],[Vlr unit]]</f>
        <v>2560</v>
      </c>
      <c r="L1650" s="6">
        <f>IFERROR(IF(INDEX(tProdutos[Desconto homologado],MATCH(tItens[[#This Row],[Produto]],tProdutos[Produto],0))="",DescontoPadrao,INDEX(tProdutos[Desconto homologado],MATCH(tItens[[#This Row],[Produto]],tProdutos[Produto],0))),DescontoPadrao)</f>
        <v>0.40540540540540498</v>
      </c>
      <c r="M1650" s="12">
        <f>tItens[[#This Row],[Valor]]*(1-tItens[[#This Row],[Desconto]])</f>
        <v>1522.162162162163</v>
      </c>
      <c r="N1650" t="str">
        <f>IFERROR(INDEX(tProdutos[Foco],MATCH(tItens[[#This Row],[Produto]],tProdutos[Produto],0)),"Não")</f>
        <v>Não</v>
      </c>
      <c r="O1650" t="str">
        <f>IFERROR(INDEX(tEditais[SRP],MATCH(tItens[[#This Row],[Edital]],tEditais[Edital],0)),"Não")</f>
        <v>Sim</v>
      </c>
      <c r="P1650" s="4">
        <f>IF(COUNTIFS(INDEX(tItens[Edital],1):tItens[[#This Row],[Edital]],tItens[[#This Row],[Edital]],INDEX(tItens[Produto],1):tItens[[#This Row],[Produto]],tItens[[#This Row],[Produto]])=1,1,0)</f>
        <v>1</v>
      </c>
    </row>
    <row r="1651" spans="1:16" x14ac:dyDescent="0.25">
      <c r="A1651" t="s">
        <v>1152</v>
      </c>
      <c r="B1651">
        <v>218</v>
      </c>
      <c r="C1651" t="s">
        <v>4708</v>
      </c>
      <c r="D1651" t="s">
        <v>283</v>
      </c>
      <c r="E1651" s="13">
        <v>20000</v>
      </c>
      <c r="F1651" s="12">
        <v>0.67</v>
      </c>
      <c r="G1651" t="str">
        <f>IFERROR(INDEX(tEditais[Órgão],MATCH(tItens[[#This Row],[Edital]],tEditais[Edital],0)),"")</f>
        <v>FUNDO MUNICIPAL DE SAUDE</v>
      </c>
      <c r="H1651" t="str">
        <f>IFERROR(INDEX(tEditais[UF],MATCH(tItens[[#This Row],[Edital]],tEditais[Edital],0)),"")</f>
        <v>GO</v>
      </c>
      <c r="I1651" s="11">
        <f>IFERROR(INDEX(tEditais[Encerramento],MATCH(tItens[[#This Row],[Edital]],tEditais[Edital],0)),"")</f>
        <v>46308.332638888889</v>
      </c>
      <c r="J1651" t="str">
        <f>IFERROR(INDEX(tProdutos[Classe],MATCH(tItens[[#This Row],[Produto]],tProdutos[Produto],0)),"produto não cadastrado")</f>
        <v>FORA</v>
      </c>
      <c r="K1651" s="12">
        <f>tItens[[#This Row],[Qtd]]*tItens[[#This Row],[Vlr unit]]</f>
        <v>13400</v>
      </c>
      <c r="L1651" s="6">
        <f>IFERROR(IF(INDEX(tProdutos[Desconto homologado],MATCH(tItens[[#This Row],[Produto]],tProdutos[Produto],0))="",DescontoPadrao,INDEX(tProdutos[Desconto homologado],MATCH(tItens[[#This Row],[Produto]],tProdutos[Produto],0))),DescontoPadrao)</f>
        <v>0.40540540540540498</v>
      </c>
      <c r="M1651" s="12">
        <f>tItens[[#This Row],[Valor]]*(1-tItens[[#This Row],[Desconto]])</f>
        <v>7967.567567567572</v>
      </c>
      <c r="N1651" t="str">
        <f>IFERROR(INDEX(tProdutos[Foco],MATCH(tItens[[#This Row],[Produto]],tProdutos[Produto],0)),"Não")</f>
        <v>Não</v>
      </c>
      <c r="O1651" t="str">
        <f>IFERROR(INDEX(tEditais[SRP],MATCH(tItens[[#This Row],[Edital]],tEditais[Edital],0)),"Não")</f>
        <v>Sim</v>
      </c>
      <c r="P1651" s="4">
        <f>IF(COUNTIFS(INDEX(tItens[Edital],1):tItens[[#This Row],[Edital]],tItens[[#This Row],[Edital]],INDEX(tItens[Produto],1):tItens[[#This Row],[Produto]],tItens[[#This Row],[Produto]])=1,1,0)</f>
        <v>0</v>
      </c>
    </row>
    <row r="1652" spans="1:16" x14ac:dyDescent="0.25">
      <c r="A1652" t="s">
        <v>1152</v>
      </c>
      <c r="B1652">
        <v>219</v>
      </c>
      <c r="C1652" t="s">
        <v>4709</v>
      </c>
      <c r="D1652" t="s">
        <v>283</v>
      </c>
      <c r="E1652" s="13">
        <v>10000</v>
      </c>
      <c r="F1652" s="12">
        <v>0.81</v>
      </c>
      <c r="G1652" t="str">
        <f>IFERROR(INDEX(tEditais[Órgão],MATCH(tItens[[#This Row],[Edital]],tEditais[Edital],0)),"")</f>
        <v>FUNDO MUNICIPAL DE SAUDE</v>
      </c>
      <c r="H1652" t="str">
        <f>IFERROR(INDEX(tEditais[UF],MATCH(tItens[[#This Row],[Edital]],tEditais[Edital],0)),"")</f>
        <v>GO</v>
      </c>
      <c r="I1652" s="11">
        <f>IFERROR(INDEX(tEditais[Encerramento],MATCH(tItens[[#This Row],[Edital]],tEditais[Edital],0)),"")</f>
        <v>46308.332638888889</v>
      </c>
      <c r="J1652" t="str">
        <f>IFERROR(INDEX(tProdutos[Classe],MATCH(tItens[[#This Row],[Produto]],tProdutos[Produto],0)),"produto não cadastrado")</f>
        <v>FORA</v>
      </c>
      <c r="K1652" s="12">
        <f>tItens[[#This Row],[Qtd]]*tItens[[#This Row],[Vlr unit]]</f>
        <v>8100.0000000000009</v>
      </c>
      <c r="L1652" s="6">
        <f>IFERROR(IF(INDEX(tProdutos[Desconto homologado],MATCH(tItens[[#This Row],[Produto]],tProdutos[Produto],0))="",DescontoPadrao,INDEX(tProdutos[Desconto homologado],MATCH(tItens[[#This Row],[Produto]],tProdutos[Produto],0))),DescontoPadrao)</f>
        <v>0.40540540540540498</v>
      </c>
      <c r="M1652" s="12">
        <f>tItens[[#This Row],[Valor]]*(1-tItens[[#This Row],[Desconto]])</f>
        <v>4816.2162162162194</v>
      </c>
      <c r="N1652" t="str">
        <f>IFERROR(INDEX(tProdutos[Foco],MATCH(tItens[[#This Row],[Produto]],tProdutos[Produto],0)),"Não")</f>
        <v>Não</v>
      </c>
      <c r="O1652" t="str">
        <f>IFERROR(INDEX(tEditais[SRP],MATCH(tItens[[#This Row],[Edital]],tEditais[Edital],0)),"Não")</f>
        <v>Sim</v>
      </c>
      <c r="P1652" s="4">
        <f>IF(COUNTIFS(INDEX(tItens[Edital],1):tItens[[#This Row],[Edital]],tItens[[#This Row],[Edital]],INDEX(tItens[Produto],1):tItens[[#This Row],[Produto]],tItens[[#This Row],[Produto]])=1,1,0)</f>
        <v>0</v>
      </c>
    </row>
    <row r="1653" spans="1:16" x14ac:dyDescent="0.25">
      <c r="A1653" t="s">
        <v>1152</v>
      </c>
      <c r="B1653">
        <v>221</v>
      </c>
      <c r="C1653" t="s">
        <v>4710</v>
      </c>
      <c r="D1653" t="s">
        <v>265</v>
      </c>
      <c r="E1653" s="13">
        <v>26000</v>
      </c>
      <c r="F1653" s="12">
        <v>0.71</v>
      </c>
      <c r="G1653" t="str">
        <f>IFERROR(INDEX(tEditais[Órgão],MATCH(tItens[[#This Row],[Edital]],tEditais[Edital],0)),"")</f>
        <v>FUNDO MUNICIPAL DE SAUDE</v>
      </c>
      <c r="H1653" t="str">
        <f>IFERROR(INDEX(tEditais[UF],MATCH(tItens[[#This Row],[Edital]],tEditais[Edital],0)),"")</f>
        <v>GO</v>
      </c>
      <c r="I1653" s="11">
        <f>IFERROR(INDEX(tEditais[Encerramento],MATCH(tItens[[#This Row],[Edital]],tEditais[Edital],0)),"")</f>
        <v>46308.332638888889</v>
      </c>
      <c r="J1653" t="str">
        <f>IFERROR(INDEX(tProdutos[Classe],MATCH(tItens[[#This Row],[Produto]],tProdutos[Produto],0)),"produto não cadastrado")</f>
        <v>DISPUTADO</v>
      </c>
      <c r="K1653" s="12">
        <f>tItens[[#This Row],[Qtd]]*tItens[[#This Row],[Vlr unit]]</f>
        <v>18460</v>
      </c>
      <c r="L1653" s="6">
        <f>IFERROR(IF(INDEX(tProdutos[Desconto homologado],MATCH(tItens[[#This Row],[Produto]],tProdutos[Produto],0))="",DescontoPadrao,INDEX(tProdutos[Desconto homologado],MATCH(tItens[[#This Row],[Produto]],tProdutos[Produto],0))),DescontoPadrao)</f>
        <v>0.377587663709337</v>
      </c>
      <c r="M1653" s="12">
        <f>tItens[[#This Row],[Valor]]*(1-tItens[[#This Row],[Desconto]])</f>
        <v>11489.73172792564</v>
      </c>
      <c r="N1653" t="str">
        <f>IFERROR(INDEX(tProdutos[Foco],MATCH(tItens[[#This Row],[Produto]],tProdutos[Produto],0)),"Não")</f>
        <v>Não</v>
      </c>
      <c r="O1653" t="str">
        <f>IFERROR(INDEX(tEditais[SRP],MATCH(tItens[[#This Row],[Edital]],tEditais[Edital],0)),"Não")</f>
        <v>Sim</v>
      </c>
      <c r="P1653" s="4">
        <f>IF(COUNTIFS(INDEX(tItens[Edital],1):tItens[[#This Row],[Edital]],tItens[[#This Row],[Edital]],INDEX(tItens[Produto],1):tItens[[#This Row],[Produto]],tItens[[#This Row],[Produto]])=1,1,0)</f>
        <v>1</v>
      </c>
    </row>
    <row r="1654" spans="1:16" x14ac:dyDescent="0.25">
      <c r="A1654" t="s">
        <v>1152</v>
      </c>
      <c r="B1654">
        <v>224</v>
      </c>
      <c r="C1654" t="s">
        <v>4711</v>
      </c>
      <c r="D1654" t="s">
        <v>184</v>
      </c>
      <c r="E1654" s="13">
        <v>50</v>
      </c>
      <c r="F1654" s="12">
        <v>4.3600000000000003</v>
      </c>
      <c r="G1654" t="str">
        <f>IFERROR(INDEX(tEditais[Órgão],MATCH(tItens[[#This Row],[Edital]],tEditais[Edital],0)),"")</f>
        <v>FUNDO MUNICIPAL DE SAUDE</v>
      </c>
      <c r="H1654" t="str">
        <f>IFERROR(INDEX(tEditais[UF],MATCH(tItens[[#This Row],[Edital]],tEditais[Edital],0)),"")</f>
        <v>GO</v>
      </c>
      <c r="I1654" s="11">
        <f>IFERROR(INDEX(tEditais[Encerramento],MATCH(tItens[[#This Row],[Edital]],tEditais[Edital],0)),"")</f>
        <v>46308.332638888889</v>
      </c>
      <c r="J1654" t="str">
        <f>IFERROR(INDEX(tProdutos[Classe],MATCH(tItens[[#This Row],[Produto]],tProdutos[Produto],0)),"produto não cadastrado")</f>
        <v>FORA</v>
      </c>
      <c r="K1654" s="12">
        <f>tItens[[#This Row],[Qtd]]*tItens[[#This Row],[Vlr unit]]</f>
        <v>218.00000000000003</v>
      </c>
      <c r="L1654" s="6">
        <f>IFERROR(IF(INDEX(tProdutos[Desconto homologado],MATCH(tItens[[#This Row],[Produto]],tProdutos[Produto],0))="",DescontoPadrao,INDEX(tProdutos[Desconto homologado],MATCH(tItens[[#This Row],[Produto]],tProdutos[Produto],0))),DescontoPadrao)</f>
        <v>0.363567906332742</v>
      </c>
      <c r="M1654" s="12">
        <f>tItens[[#This Row],[Valor]]*(1-tItens[[#This Row],[Desconto]])</f>
        <v>138.74219641946229</v>
      </c>
      <c r="N1654" t="str">
        <f>IFERROR(INDEX(tProdutos[Foco],MATCH(tItens[[#This Row],[Produto]],tProdutos[Produto],0)),"Não")</f>
        <v>Não</v>
      </c>
      <c r="O1654" t="str">
        <f>IFERROR(INDEX(tEditais[SRP],MATCH(tItens[[#This Row],[Edital]],tEditais[Edital],0)),"Não")</f>
        <v>Sim</v>
      </c>
      <c r="P1654" s="4">
        <f>IF(COUNTIFS(INDEX(tItens[Edital],1):tItens[[#This Row],[Edital]],tItens[[#This Row],[Edital]],INDEX(tItens[Produto],1):tItens[[#This Row],[Produto]],tItens[[#This Row],[Produto]])=1,1,0)</f>
        <v>1</v>
      </c>
    </row>
    <row r="1655" spans="1:16" x14ac:dyDescent="0.25">
      <c r="A1655" t="s">
        <v>1152</v>
      </c>
      <c r="B1655">
        <v>225</v>
      </c>
      <c r="C1655" t="s">
        <v>4712</v>
      </c>
      <c r="D1655" t="s">
        <v>184</v>
      </c>
      <c r="E1655" s="13">
        <v>100</v>
      </c>
      <c r="F1655" s="12">
        <v>5.04</v>
      </c>
      <c r="G1655" t="str">
        <f>IFERROR(INDEX(tEditais[Órgão],MATCH(tItens[[#This Row],[Edital]],tEditais[Edital],0)),"")</f>
        <v>FUNDO MUNICIPAL DE SAUDE</v>
      </c>
      <c r="H1655" t="str">
        <f>IFERROR(INDEX(tEditais[UF],MATCH(tItens[[#This Row],[Edital]],tEditais[Edital],0)),"")</f>
        <v>GO</v>
      </c>
      <c r="I1655" s="11">
        <f>IFERROR(INDEX(tEditais[Encerramento],MATCH(tItens[[#This Row],[Edital]],tEditais[Edital],0)),"")</f>
        <v>46308.332638888889</v>
      </c>
      <c r="J1655" t="str">
        <f>IFERROR(INDEX(tProdutos[Classe],MATCH(tItens[[#This Row],[Produto]],tProdutos[Produto],0)),"produto não cadastrado")</f>
        <v>FORA</v>
      </c>
      <c r="K1655" s="12">
        <f>tItens[[#This Row],[Qtd]]*tItens[[#This Row],[Vlr unit]]</f>
        <v>504</v>
      </c>
      <c r="L1655" s="6">
        <f>IFERROR(IF(INDEX(tProdutos[Desconto homologado],MATCH(tItens[[#This Row],[Produto]],tProdutos[Produto],0))="",DescontoPadrao,INDEX(tProdutos[Desconto homologado],MATCH(tItens[[#This Row],[Produto]],tProdutos[Produto],0))),DescontoPadrao)</f>
        <v>0.363567906332742</v>
      </c>
      <c r="M1655" s="12">
        <f>tItens[[#This Row],[Valor]]*(1-tItens[[#This Row],[Desconto]])</f>
        <v>320.76177520829805</v>
      </c>
      <c r="N1655" t="str">
        <f>IFERROR(INDEX(tProdutos[Foco],MATCH(tItens[[#This Row],[Produto]],tProdutos[Produto],0)),"Não")</f>
        <v>Não</v>
      </c>
      <c r="O1655" t="str">
        <f>IFERROR(INDEX(tEditais[SRP],MATCH(tItens[[#This Row],[Edital]],tEditais[Edital],0)),"Não")</f>
        <v>Sim</v>
      </c>
      <c r="P1655" s="4">
        <f>IF(COUNTIFS(INDEX(tItens[Edital],1):tItens[[#This Row],[Edital]],tItens[[#This Row],[Edital]],INDEX(tItens[Produto],1):tItens[[#This Row],[Produto]],tItens[[#This Row],[Produto]])=1,1,0)</f>
        <v>0</v>
      </c>
    </row>
    <row r="1656" spans="1:16" x14ac:dyDescent="0.25">
      <c r="A1656" t="s">
        <v>1152</v>
      </c>
      <c r="B1656">
        <v>226</v>
      </c>
      <c r="C1656" t="s">
        <v>4713</v>
      </c>
      <c r="D1656" t="s">
        <v>184</v>
      </c>
      <c r="E1656" s="13">
        <v>120</v>
      </c>
      <c r="F1656" s="12">
        <v>4.46</v>
      </c>
      <c r="G1656" t="str">
        <f>IFERROR(INDEX(tEditais[Órgão],MATCH(tItens[[#This Row],[Edital]],tEditais[Edital],0)),"")</f>
        <v>FUNDO MUNICIPAL DE SAUDE</v>
      </c>
      <c r="H1656" t="str">
        <f>IFERROR(INDEX(tEditais[UF],MATCH(tItens[[#This Row],[Edital]],tEditais[Edital],0)),"")</f>
        <v>GO</v>
      </c>
      <c r="I1656" s="11">
        <f>IFERROR(INDEX(tEditais[Encerramento],MATCH(tItens[[#This Row],[Edital]],tEditais[Edital],0)),"")</f>
        <v>46308.332638888889</v>
      </c>
      <c r="J1656" t="str">
        <f>IFERROR(INDEX(tProdutos[Classe],MATCH(tItens[[#This Row],[Produto]],tProdutos[Produto],0)),"produto não cadastrado")</f>
        <v>FORA</v>
      </c>
      <c r="K1656" s="12">
        <f>tItens[[#This Row],[Qtd]]*tItens[[#This Row],[Vlr unit]]</f>
        <v>535.20000000000005</v>
      </c>
      <c r="L1656" s="6">
        <f>IFERROR(IF(INDEX(tProdutos[Desconto homologado],MATCH(tItens[[#This Row],[Produto]],tProdutos[Produto],0))="",DescontoPadrao,INDEX(tProdutos[Desconto homologado],MATCH(tItens[[#This Row],[Produto]],tProdutos[Produto],0))),DescontoPadrao)</f>
        <v>0.363567906332742</v>
      </c>
      <c r="M1656" s="12">
        <f>tItens[[#This Row],[Valor]]*(1-tItens[[#This Row],[Desconto]])</f>
        <v>340.61845653071651</v>
      </c>
      <c r="N1656" t="str">
        <f>IFERROR(INDEX(tProdutos[Foco],MATCH(tItens[[#This Row],[Produto]],tProdutos[Produto],0)),"Não")</f>
        <v>Não</v>
      </c>
      <c r="O1656" t="str">
        <f>IFERROR(INDEX(tEditais[SRP],MATCH(tItens[[#This Row],[Edital]],tEditais[Edital],0)),"Não")</f>
        <v>Sim</v>
      </c>
      <c r="P1656" s="4">
        <f>IF(COUNTIFS(INDEX(tItens[Edital],1):tItens[[#This Row],[Edital]],tItens[[#This Row],[Edital]],INDEX(tItens[Produto],1):tItens[[#This Row],[Produto]],tItens[[#This Row],[Produto]])=1,1,0)</f>
        <v>0</v>
      </c>
    </row>
    <row r="1657" spans="1:16" x14ac:dyDescent="0.25">
      <c r="A1657" t="s">
        <v>1152</v>
      </c>
      <c r="B1657">
        <v>227</v>
      </c>
      <c r="C1657" t="s">
        <v>4714</v>
      </c>
      <c r="D1657" t="s">
        <v>253</v>
      </c>
      <c r="E1657" s="13">
        <v>50</v>
      </c>
      <c r="F1657" s="12">
        <v>5.6</v>
      </c>
      <c r="G1657" t="str">
        <f>IFERROR(INDEX(tEditais[Órgão],MATCH(tItens[[#This Row],[Edital]],tEditais[Edital],0)),"")</f>
        <v>FUNDO MUNICIPAL DE SAUDE</v>
      </c>
      <c r="H1657" t="str">
        <f>IFERROR(INDEX(tEditais[UF],MATCH(tItens[[#This Row],[Edital]],tEditais[Edital],0)),"")</f>
        <v>GO</v>
      </c>
      <c r="I1657" s="11">
        <f>IFERROR(INDEX(tEditais[Encerramento],MATCH(tItens[[#This Row],[Edital]],tEditais[Edital],0)),"")</f>
        <v>46308.332638888889</v>
      </c>
      <c r="J1657" t="str">
        <f>IFERROR(INDEX(tProdutos[Classe],MATCH(tItens[[#This Row],[Produto]],tProdutos[Produto],0)),"produto não cadastrado")</f>
        <v>FORA</v>
      </c>
      <c r="K1657" s="12">
        <f>tItens[[#This Row],[Qtd]]*tItens[[#This Row],[Vlr unit]]</f>
        <v>280</v>
      </c>
      <c r="L1657" s="6">
        <f>IFERROR(IF(INDEX(tProdutos[Desconto homologado],MATCH(tItens[[#This Row],[Produto]],tProdutos[Produto],0))="",DescontoPadrao,INDEX(tProdutos[Desconto homologado],MATCH(tItens[[#This Row],[Produto]],tProdutos[Produto],0))),DescontoPadrao)</f>
        <v>0.31735159817351599</v>
      </c>
      <c r="M1657" s="12">
        <f>tItens[[#This Row],[Valor]]*(1-tItens[[#This Row],[Desconto]])</f>
        <v>191.14155251141551</v>
      </c>
      <c r="N1657" t="str">
        <f>IFERROR(INDEX(tProdutos[Foco],MATCH(tItens[[#This Row],[Produto]],tProdutos[Produto],0)),"Não")</f>
        <v>Não</v>
      </c>
      <c r="O1657" t="str">
        <f>IFERROR(INDEX(tEditais[SRP],MATCH(tItens[[#This Row],[Edital]],tEditais[Edital],0)),"Não")</f>
        <v>Sim</v>
      </c>
      <c r="P1657" s="4">
        <f>IF(COUNTIFS(INDEX(tItens[Edital],1):tItens[[#This Row],[Edital]],tItens[[#This Row],[Edital]],INDEX(tItens[Produto],1):tItens[[#This Row],[Produto]],tItens[[#This Row],[Produto]])=1,1,0)</f>
        <v>1</v>
      </c>
    </row>
    <row r="1658" spans="1:16" x14ac:dyDescent="0.25">
      <c r="A1658" t="s">
        <v>1152</v>
      </c>
      <c r="B1658">
        <v>228</v>
      </c>
      <c r="C1658" t="s">
        <v>4715</v>
      </c>
      <c r="D1658" t="s">
        <v>184</v>
      </c>
      <c r="E1658" s="13">
        <v>100</v>
      </c>
      <c r="F1658" s="12">
        <v>4.3899999999999997</v>
      </c>
      <c r="G1658" t="str">
        <f>IFERROR(INDEX(tEditais[Órgão],MATCH(tItens[[#This Row],[Edital]],tEditais[Edital],0)),"")</f>
        <v>FUNDO MUNICIPAL DE SAUDE</v>
      </c>
      <c r="H1658" t="str">
        <f>IFERROR(INDEX(tEditais[UF],MATCH(tItens[[#This Row],[Edital]],tEditais[Edital],0)),"")</f>
        <v>GO</v>
      </c>
      <c r="I1658" s="11">
        <f>IFERROR(INDEX(tEditais[Encerramento],MATCH(tItens[[#This Row],[Edital]],tEditais[Edital],0)),"")</f>
        <v>46308.332638888889</v>
      </c>
      <c r="J1658" t="str">
        <f>IFERROR(INDEX(tProdutos[Classe],MATCH(tItens[[#This Row],[Produto]],tProdutos[Produto],0)),"produto não cadastrado")</f>
        <v>FORA</v>
      </c>
      <c r="K1658" s="12">
        <f>tItens[[#This Row],[Qtd]]*tItens[[#This Row],[Vlr unit]]</f>
        <v>438.99999999999994</v>
      </c>
      <c r="L1658" s="6">
        <f>IFERROR(IF(INDEX(tProdutos[Desconto homologado],MATCH(tItens[[#This Row],[Produto]],tProdutos[Produto],0))="",DescontoPadrao,INDEX(tProdutos[Desconto homologado],MATCH(tItens[[#This Row],[Produto]],tProdutos[Produto],0))),DescontoPadrao)</f>
        <v>0.363567906332742</v>
      </c>
      <c r="M1658" s="12">
        <f>tItens[[#This Row],[Valor]]*(1-tItens[[#This Row],[Desconto]])</f>
        <v>279.39368911992625</v>
      </c>
      <c r="N1658" t="str">
        <f>IFERROR(INDEX(tProdutos[Foco],MATCH(tItens[[#This Row],[Produto]],tProdutos[Produto],0)),"Não")</f>
        <v>Não</v>
      </c>
      <c r="O1658" t="str">
        <f>IFERROR(INDEX(tEditais[SRP],MATCH(tItens[[#This Row],[Edital]],tEditais[Edital],0)),"Não")</f>
        <v>Sim</v>
      </c>
      <c r="P1658" s="4">
        <f>IF(COUNTIFS(INDEX(tItens[Edital],1):tItens[[#This Row],[Edital]],tItens[[#This Row],[Edital]],INDEX(tItens[Produto],1):tItens[[#This Row],[Produto]],tItens[[#This Row],[Produto]])=1,1,0)</f>
        <v>0</v>
      </c>
    </row>
    <row r="1659" spans="1:16" x14ac:dyDescent="0.25">
      <c r="A1659" t="s">
        <v>1152</v>
      </c>
      <c r="B1659">
        <v>229</v>
      </c>
      <c r="C1659" t="s">
        <v>4716</v>
      </c>
      <c r="D1659" t="s">
        <v>184</v>
      </c>
      <c r="E1659" s="13">
        <v>100</v>
      </c>
      <c r="F1659" s="12">
        <v>4.3600000000000003</v>
      </c>
      <c r="G1659" t="str">
        <f>IFERROR(INDEX(tEditais[Órgão],MATCH(tItens[[#This Row],[Edital]],tEditais[Edital],0)),"")</f>
        <v>FUNDO MUNICIPAL DE SAUDE</v>
      </c>
      <c r="H1659" t="str">
        <f>IFERROR(INDEX(tEditais[UF],MATCH(tItens[[#This Row],[Edital]],tEditais[Edital],0)),"")</f>
        <v>GO</v>
      </c>
      <c r="I1659" s="11">
        <f>IFERROR(INDEX(tEditais[Encerramento],MATCH(tItens[[#This Row],[Edital]],tEditais[Edital],0)),"")</f>
        <v>46308.332638888889</v>
      </c>
      <c r="J1659" t="str">
        <f>IFERROR(INDEX(tProdutos[Classe],MATCH(tItens[[#This Row],[Produto]],tProdutos[Produto],0)),"produto não cadastrado")</f>
        <v>FORA</v>
      </c>
      <c r="K1659" s="12">
        <f>tItens[[#This Row],[Qtd]]*tItens[[#This Row],[Vlr unit]]</f>
        <v>436.00000000000006</v>
      </c>
      <c r="L1659" s="6">
        <f>IFERROR(IF(INDEX(tProdutos[Desconto homologado],MATCH(tItens[[#This Row],[Produto]],tProdutos[Produto],0))="",DescontoPadrao,INDEX(tProdutos[Desconto homologado],MATCH(tItens[[#This Row],[Produto]],tProdutos[Produto],0))),DescontoPadrao)</f>
        <v>0.363567906332742</v>
      </c>
      <c r="M1659" s="12">
        <f>tItens[[#This Row],[Valor]]*(1-tItens[[#This Row],[Desconto]])</f>
        <v>277.48439283892458</v>
      </c>
      <c r="N1659" t="str">
        <f>IFERROR(INDEX(tProdutos[Foco],MATCH(tItens[[#This Row],[Produto]],tProdutos[Produto],0)),"Não")</f>
        <v>Não</v>
      </c>
      <c r="O1659" t="str">
        <f>IFERROR(INDEX(tEditais[SRP],MATCH(tItens[[#This Row],[Edital]],tEditais[Edital],0)),"Não")</f>
        <v>Sim</v>
      </c>
      <c r="P1659" s="4">
        <f>IF(COUNTIFS(INDEX(tItens[Edital],1):tItens[[#This Row],[Edital]],tItens[[#This Row],[Edital]],INDEX(tItens[Produto],1):tItens[[#This Row],[Produto]],tItens[[#This Row],[Produto]])=1,1,0)</f>
        <v>0</v>
      </c>
    </row>
    <row r="1660" spans="1:16" x14ac:dyDescent="0.25">
      <c r="A1660" t="s">
        <v>1152</v>
      </c>
      <c r="B1660">
        <v>230</v>
      </c>
      <c r="C1660" t="s">
        <v>4717</v>
      </c>
      <c r="D1660" t="s">
        <v>110</v>
      </c>
      <c r="E1660" s="13">
        <v>100</v>
      </c>
      <c r="F1660" s="12">
        <v>1.4</v>
      </c>
      <c r="G1660" t="str">
        <f>IFERROR(INDEX(tEditais[Órgão],MATCH(tItens[[#This Row],[Edital]],tEditais[Edital],0)),"")</f>
        <v>FUNDO MUNICIPAL DE SAUDE</v>
      </c>
      <c r="H1660" t="str">
        <f>IFERROR(INDEX(tEditais[UF],MATCH(tItens[[#This Row],[Edital]],tEditais[Edital],0)),"")</f>
        <v>GO</v>
      </c>
      <c r="I1660" s="11">
        <f>IFERROR(INDEX(tEditais[Encerramento],MATCH(tItens[[#This Row],[Edital]],tEditais[Edital],0)),"")</f>
        <v>46308.332638888889</v>
      </c>
      <c r="J1660" t="str">
        <f>IFERROR(INDEX(tProdutos[Classe],MATCH(tItens[[#This Row],[Produto]],tProdutos[Produto],0)),"produto não cadastrado")</f>
        <v>NÚCLEO</v>
      </c>
      <c r="K1660" s="12">
        <f>tItens[[#This Row],[Qtd]]*tItens[[#This Row],[Vlr unit]]</f>
        <v>140</v>
      </c>
      <c r="L1660" s="6">
        <f>IFERROR(IF(INDEX(tProdutos[Desconto homologado],MATCH(tItens[[#This Row],[Produto]],tProdutos[Produto],0))="",DescontoPadrao,INDEX(tProdutos[Desconto homologado],MATCH(tItens[[#This Row],[Produto]],tProdutos[Produto],0))),DescontoPadrao)</f>
        <v>0.30410958904109597</v>
      </c>
      <c r="M1660" s="12">
        <f>tItens[[#This Row],[Valor]]*(1-tItens[[#This Row],[Desconto]])</f>
        <v>97.424657534246563</v>
      </c>
      <c r="N1660" t="str">
        <f>IFERROR(INDEX(tProdutos[Foco],MATCH(tItens[[#This Row],[Produto]],tProdutos[Produto],0)),"Não")</f>
        <v>Não</v>
      </c>
      <c r="O1660" t="str">
        <f>IFERROR(INDEX(tEditais[SRP],MATCH(tItens[[#This Row],[Edital]],tEditais[Edital],0)),"Não")</f>
        <v>Sim</v>
      </c>
      <c r="P1660" s="4">
        <f>IF(COUNTIFS(INDEX(tItens[Edital],1):tItens[[#This Row],[Edital]],tItens[[#This Row],[Edital]],INDEX(tItens[Produto],1):tItens[[#This Row],[Produto]],tItens[[#This Row],[Produto]])=1,1,0)</f>
        <v>1</v>
      </c>
    </row>
    <row r="1661" spans="1:16" x14ac:dyDescent="0.25">
      <c r="A1661" t="s">
        <v>1152</v>
      </c>
      <c r="B1661">
        <v>231</v>
      </c>
      <c r="C1661" t="s">
        <v>4718</v>
      </c>
      <c r="D1661" t="s">
        <v>110</v>
      </c>
      <c r="E1661" s="13">
        <v>100</v>
      </c>
      <c r="F1661" s="12">
        <v>1.34</v>
      </c>
      <c r="G1661" t="str">
        <f>IFERROR(INDEX(tEditais[Órgão],MATCH(tItens[[#This Row],[Edital]],tEditais[Edital],0)),"")</f>
        <v>FUNDO MUNICIPAL DE SAUDE</v>
      </c>
      <c r="H1661" t="str">
        <f>IFERROR(INDEX(tEditais[UF],MATCH(tItens[[#This Row],[Edital]],tEditais[Edital],0)),"")</f>
        <v>GO</v>
      </c>
      <c r="I1661" s="11">
        <f>IFERROR(INDEX(tEditais[Encerramento],MATCH(tItens[[#This Row],[Edital]],tEditais[Edital],0)),"")</f>
        <v>46308.332638888889</v>
      </c>
      <c r="J1661" t="str">
        <f>IFERROR(INDEX(tProdutos[Classe],MATCH(tItens[[#This Row],[Produto]],tProdutos[Produto],0)),"produto não cadastrado")</f>
        <v>NÚCLEO</v>
      </c>
      <c r="K1661" s="12">
        <f>tItens[[#This Row],[Qtd]]*tItens[[#This Row],[Vlr unit]]</f>
        <v>134</v>
      </c>
      <c r="L1661" s="6">
        <f>IFERROR(IF(INDEX(tProdutos[Desconto homologado],MATCH(tItens[[#This Row],[Produto]],tProdutos[Produto],0))="",DescontoPadrao,INDEX(tProdutos[Desconto homologado],MATCH(tItens[[#This Row],[Produto]],tProdutos[Produto],0))),DescontoPadrao)</f>
        <v>0.30410958904109597</v>
      </c>
      <c r="M1661" s="12">
        <f>tItens[[#This Row],[Valor]]*(1-tItens[[#This Row],[Desconto]])</f>
        <v>93.249315068493146</v>
      </c>
      <c r="N1661" t="str">
        <f>IFERROR(INDEX(tProdutos[Foco],MATCH(tItens[[#This Row],[Produto]],tProdutos[Produto],0)),"Não")</f>
        <v>Não</v>
      </c>
      <c r="O1661" t="str">
        <f>IFERROR(INDEX(tEditais[SRP],MATCH(tItens[[#This Row],[Edital]],tEditais[Edital],0)),"Não")</f>
        <v>Sim</v>
      </c>
      <c r="P1661" s="4">
        <f>IF(COUNTIFS(INDEX(tItens[Edital],1):tItens[[#This Row],[Edital]],tItens[[#This Row],[Edital]],INDEX(tItens[Produto],1):tItens[[#This Row],[Produto]],tItens[[#This Row],[Produto]])=1,1,0)</f>
        <v>0</v>
      </c>
    </row>
    <row r="1662" spans="1:16" x14ac:dyDescent="0.25">
      <c r="A1662" t="s">
        <v>1152</v>
      </c>
      <c r="B1662">
        <v>232</v>
      </c>
      <c r="C1662" t="s">
        <v>4719</v>
      </c>
      <c r="D1662" t="s">
        <v>110</v>
      </c>
      <c r="E1662" s="13">
        <v>100</v>
      </c>
      <c r="F1662" s="12">
        <v>1.47</v>
      </c>
      <c r="G1662" t="str">
        <f>IFERROR(INDEX(tEditais[Órgão],MATCH(tItens[[#This Row],[Edital]],tEditais[Edital],0)),"")</f>
        <v>FUNDO MUNICIPAL DE SAUDE</v>
      </c>
      <c r="H1662" t="str">
        <f>IFERROR(INDEX(tEditais[UF],MATCH(tItens[[#This Row],[Edital]],tEditais[Edital],0)),"")</f>
        <v>GO</v>
      </c>
      <c r="I1662" s="11">
        <f>IFERROR(INDEX(tEditais[Encerramento],MATCH(tItens[[#This Row],[Edital]],tEditais[Edital],0)),"")</f>
        <v>46308.332638888889</v>
      </c>
      <c r="J1662" t="str">
        <f>IFERROR(INDEX(tProdutos[Classe],MATCH(tItens[[#This Row],[Produto]],tProdutos[Produto],0)),"produto não cadastrado")</f>
        <v>NÚCLEO</v>
      </c>
      <c r="K1662" s="12">
        <f>tItens[[#This Row],[Qtd]]*tItens[[#This Row],[Vlr unit]]</f>
        <v>147</v>
      </c>
      <c r="L1662" s="6">
        <f>IFERROR(IF(INDEX(tProdutos[Desconto homologado],MATCH(tItens[[#This Row],[Produto]],tProdutos[Produto],0))="",DescontoPadrao,INDEX(tProdutos[Desconto homologado],MATCH(tItens[[#This Row],[Produto]],tProdutos[Produto],0))),DescontoPadrao)</f>
        <v>0.30410958904109597</v>
      </c>
      <c r="M1662" s="12">
        <f>tItens[[#This Row],[Valor]]*(1-tItens[[#This Row],[Desconto]])</f>
        <v>102.29589041095889</v>
      </c>
      <c r="N1662" t="str">
        <f>IFERROR(INDEX(tProdutos[Foco],MATCH(tItens[[#This Row],[Produto]],tProdutos[Produto],0)),"Não")</f>
        <v>Não</v>
      </c>
      <c r="O1662" t="str">
        <f>IFERROR(INDEX(tEditais[SRP],MATCH(tItens[[#This Row],[Edital]],tEditais[Edital],0)),"Não")</f>
        <v>Sim</v>
      </c>
      <c r="P1662" s="4">
        <f>IF(COUNTIFS(INDEX(tItens[Edital],1):tItens[[#This Row],[Edital]],tItens[[#This Row],[Edital]],INDEX(tItens[Produto],1):tItens[[#This Row],[Produto]],tItens[[#This Row],[Produto]])=1,1,0)</f>
        <v>0</v>
      </c>
    </row>
    <row r="1663" spans="1:16" x14ac:dyDescent="0.25">
      <c r="A1663" t="s">
        <v>1152</v>
      </c>
      <c r="B1663">
        <v>233</v>
      </c>
      <c r="C1663" t="s">
        <v>4720</v>
      </c>
      <c r="D1663" t="s">
        <v>110</v>
      </c>
      <c r="E1663" s="13">
        <v>100</v>
      </c>
      <c r="F1663" s="12">
        <v>1.91</v>
      </c>
      <c r="G1663" t="str">
        <f>IFERROR(INDEX(tEditais[Órgão],MATCH(tItens[[#This Row],[Edital]],tEditais[Edital],0)),"")</f>
        <v>FUNDO MUNICIPAL DE SAUDE</v>
      </c>
      <c r="H1663" t="str">
        <f>IFERROR(INDEX(tEditais[UF],MATCH(tItens[[#This Row],[Edital]],tEditais[Edital],0)),"")</f>
        <v>GO</v>
      </c>
      <c r="I1663" s="11">
        <f>IFERROR(INDEX(tEditais[Encerramento],MATCH(tItens[[#This Row],[Edital]],tEditais[Edital],0)),"")</f>
        <v>46308.332638888889</v>
      </c>
      <c r="J1663" t="str">
        <f>IFERROR(INDEX(tProdutos[Classe],MATCH(tItens[[#This Row],[Produto]],tProdutos[Produto],0)),"produto não cadastrado")</f>
        <v>NÚCLEO</v>
      </c>
      <c r="K1663" s="12">
        <f>tItens[[#This Row],[Qtd]]*tItens[[#This Row],[Vlr unit]]</f>
        <v>191</v>
      </c>
      <c r="L1663" s="6">
        <f>IFERROR(IF(INDEX(tProdutos[Desconto homologado],MATCH(tItens[[#This Row],[Produto]],tProdutos[Produto],0))="",DescontoPadrao,INDEX(tProdutos[Desconto homologado],MATCH(tItens[[#This Row],[Produto]],tProdutos[Produto],0))),DescontoPadrao)</f>
        <v>0.30410958904109597</v>
      </c>
      <c r="M1663" s="12">
        <f>tItens[[#This Row],[Valor]]*(1-tItens[[#This Row],[Desconto]])</f>
        <v>132.91506849315067</v>
      </c>
      <c r="N1663" t="str">
        <f>IFERROR(INDEX(tProdutos[Foco],MATCH(tItens[[#This Row],[Produto]],tProdutos[Produto],0)),"Não")</f>
        <v>Não</v>
      </c>
      <c r="O1663" t="str">
        <f>IFERROR(INDEX(tEditais[SRP],MATCH(tItens[[#This Row],[Edital]],tEditais[Edital],0)),"Não")</f>
        <v>Sim</v>
      </c>
      <c r="P1663" s="4">
        <f>IF(COUNTIFS(INDEX(tItens[Edital],1):tItens[[#This Row],[Edital]],tItens[[#This Row],[Edital]],INDEX(tItens[Produto],1):tItens[[#This Row],[Produto]],tItens[[#This Row],[Produto]])=1,1,0)</f>
        <v>0</v>
      </c>
    </row>
    <row r="1664" spans="1:16" x14ac:dyDescent="0.25">
      <c r="A1664" t="s">
        <v>1152</v>
      </c>
      <c r="B1664">
        <v>234</v>
      </c>
      <c r="C1664" t="s">
        <v>4721</v>
      </c>
      <c r="D1664" t="s">
        <v>110</v>
      </c>
      <c r="E1664" s="13">
        <v>100</v>
      </c>
      <c r="F1664" s="12">
        <v>1.78</v>
      </c>
      <c r="G1664" t="str">
        <f>IFERROR(INDEX(tEditais[Órgão],MATCH(tItens[[#This Row],[Edital]],tEditais[Edital],0)),"")</f>
        <v>FUNDO MUNICIPAL DE SAUDE</v>
      </c>
      <c r="H1664" t="str">
        <f>IFERROR(INDEX(tEditais[UF],MATCH(tItens[[#This Row],[Edital]],tEditais[Edital],0)),"")</f>
        <v>GO</v>
      </c>
      <c r="I1664" s="11">
        <f>IFERROR(INDEX(tEditais[Encerramento],MATCH(tItens[[#This Row],[Edital]],tEditais[Edital],0)),"")</f>
        <v>46308.332638888889</v>
      </c>
      <c r="J1664" t="str">
        <f>IFERROR(INDEX(tProdutos[Classe],MATCH(tItens[[#This Row],[Produto]],tProdutos[Produto],0)),"produto não cadastrado")</f>
        <v>NÚCLEO</v>
      </c>
      <c r="K1664" s="12">
        <f>tItens[[#This Row],[Qtd]]*tItens[[#This Row],[Vlr unit]]</f>
        <v>178</v>
      </c>
      <c r="L1664" s="6">
        <f>IFERROR(IF(INDEX(tProdutos[Desconto homologado],MATCH(tItens[[#This Row],[Produto]],tProdutos[Produto],0))="",DescontoPadrao,INDEX(tProdutos[Desconto homologado],MATCH(tItens[[#This Row],[Produto]],tProdutos[Produto],0))),DescontoPadrao)</f>
        <v>0.30410958904109597</v>
      </c>
      <c r="M1664" s="12">
        <f>tItens[[#This Row],[Valor]]*(1-tItens[[#This Row],[Desconto]])</f>
        <v>123.86849315068491</v>
      </c>
      <c r="N1664" t="str">
        <f>IFERROR(INDEX(tProdutos[Foco],MATCH(tItens[[#This Row],[Produto]],tProdutos[Produto],0)),"Não")</f>
        <v>Não</v>
      </c>
      <c r="O1664" t="str">
        <f>IFERROR(INDEX(tEditais[SRP],MATCH(tItens[[#This Row],[Edital]],tEditais[Edital],0)),"Não")</f>
        <v>Sim</v>
      </c>
      <c r="P1664" s="4">
        <f>IF(COUNTIFS(INDEX(tItens[Edital],1):tItens[[#This Row],[Edital]],tItens[[#This Row],[Edital]],INDEX(tItens[Produto],1):tItens[[#This Row],[Produto]],tItens[[#This Row],[Produto]])=1,1,0)</f>
        <v>0</v>
      </c>
    </row>
    <row r="1665" spans="1:16" x14ac:dyDescent="0.25">
      <c r="A1665" t="s">
        <v>1152</v>
      </c>
      <c r="B1665">
        <v>235</v>
      </c>
      <c r="C1665" t="s">
        <v>4395</v>
      </c>
      <c r="D1665" t="s">
        <v>110</v>
      </c>
      <c r="E1665" s="13">
        <v>100</v>
      </c>
      <c r="F1665" s="12">
        <v>1.82</v>
      </c>
      <c r="G1665" t="str">
        <f>IFERROR(INDEX(tEditais[Órgão],MATCH(tItens[[#This Row],[Edital]],tEditais[Edital],0)),"")</f>
        <v>FUNDO MUNICIPAL DE SAUDE</v>
      </c>
      <c r="H1665" t="str">
        <f>IFERROR(INDEX(tEditais[UF],MATCH(tItens[[#This Row],[Edital]],tEditais[Edital],0)),"")</f>
        <v>GO</v>
      </c>
      <c r="I1665" s="11">
        <f>IFERROR(INDEX(tEditais[Encerramento],MATCH(tItens[[#This Row],[Edital]],tEditais[Edital],0)),"")</f>
        <v>46308.332638888889</v>
      </c>
      <c r="J1665" t="str">
        <f>IFERROR(INDEX(tProdutos[Classe],MATCH(tItens[[#This Row],[Produto]],tProdutos[Produto],0)),"produto não cadastrado")</f>
        <v>NÚCLEO</v>
      </c>
      <c r="K1665" s="12">
        <f>tItens[[#This Row],[Qtd]]*tItens[[#This Row],[Vlr unit]]</f>
        <v>182</v>
      </c>
      <c r="L1665" s="6">
        <f>IFERROR(IF(INDEX(tProdutos[Desconto homologado],MATCH(tItens[[#This Row],[Produto]],tProdutos[Produto],0))="",DescontoPadrao,INDEX(tProdutos[Desconto homologado],MATCH(tItens[[#This Row],[Produto]],tProdutos[Produto],0))),DescontoPadrao)</f>
        <v>0.30410958904109597</v>
      </c>
      <c r="M1665" s="12">
        <f>tItens[[#This Row],[Valor]]*(1-tItens[[#This Row],[Desconto]])</f>
        <v>126.65205479452054</v>
      </c>
      <c r="N1665" t="str">
        <f>IFERROR(INDEX(tProdutos[Foco],MATCH(tItens[[#This Row],[Produto]],tProdutos[Produto],0)),"Não")</f>
        <v>Não</v>
      </c>
      <c r="O1665" t="str">
        <f>IFERROR(INDEX(tEditais[SRP],MATCH(tItens[[#This Row],[Edital]],tEditais[Edital],0)),"Não")</f>
        <v>Sim</v>
      </c>
      <c r="P1665" s="4">
        <f>IF(COUNTIFS(INDEX(tItens[Edital],1):tItens[[#This Row],[Edital]],tItens[[#This Row],[Edital]],INDEX(tItens[Produto],1):tItens[[#This Row],[Produto]],tItens[[#This Row],[Produto]])=1,1,0)</f>
        <v>0</v>
      </c>
    </row>
    <row r="1666" spans="1:16" x14ac:dyDescent="0.25">
      <c r="A1666" t="s">
        <v>1152</v>
      </c>
      <c r="B1666">
        <v>236</v>
      </c>
      <c r="C1666" t="s">
        <v>4396</v>
      </c>
      <c r="D1666" t="s">
        <v>110</v>
      </c>
      <c r="E1666" s="13">
        <v>100</v>
      </c>
      <c r="F1666" s="12">
        <v>2.4500000000000002</v>
      </c>
      <c r="G1666" t="str">
        <f>IFERROR(INDEX(tEditais[Órgão],MATCH(tItens[[#This Row],[Edital]],tEditais[Edital],0)),"")</f>
        <v>FUNDO MUNICIPAL DE SAUDE</v>
      </c>
      <c r="H1666" t="str">
        <f>IFERROR(INDEX(tEditais[UF],MATCH(tItens[[#This Row],[Edital]],tEditais[Edital],0)),"")</f>
        <v>GO</v>
      </c>
      <c r="I1666" s="11">
        <f>IFERROR(INDEX(tEditais[Encerramento],MATCH(tItens[[#This Row],[Edital]],tEditais[Edital],0)),"")</f>
        <v>46308.332638888889</v>
      </c>
      <c r="J1666" t="str">
        <f>IFERROR(INDEX(tProdutos[Classe],MATCH(tItens[[#This Row],[Produto]],tProdutos[Produto],0)),"produto não cadastrado")</f>
        <v>NÚCLEO</v>
      </c>
      <c r="K1666" s="12">
        <f>tItens[[#This Row],[Qtd]]*tItens[[#This Row],[Vlr unit]]</f>
        <v>245.00000000000003</v>
      </c>
      <c r="L1666" s="6">
        <f>IFERROR(IF(INDEX(tProdutos[Desconto homologado],MATCH(tItens[[#This Row],[Produto]],tProdutos[Produto],0))="",DescontoPadrao,INDEX(tProdutos[Desconto homologado],MATCH(tItens[[#This Row],[Produto]],tProdutos[Produto],0))),DescontoPadrao)</f>
        <v>0.30410958904109597</v>
      </c>
      <c r="M1666" s="12">
        <f>tItens[[#This Row],[Valor]]*(1-tItens[[#This Row],[Desconto]])</f>
        <v>170.49315068493149</v>
      </c>
      <c r="N1666" t="str">
        <f>IFERROR(INDEX(tProdutos[Foco],MATCH(tItens[[#This Row],[Produto]],tProdutos[Produto],0)),"Não")</f>
        <v>Não</v>
      </c>
      <c r="O1666" t="str">
        <f>IFERROR(INDEX(tEditais[SRP],MATCH(tItens[[#This Row],[Edital]],tEditais[Edital],0)),"Não")</f>
        <v>Sim</v>
      </c>
      <c r="P1666" s="4">
        <f>IF(COUNTIFS(INDEX(tItens[Edital],1):tItens[[#This Row],[Edital]],tItens[[#This Row],[Edital]],INDEX(tItens[Produto],1):tItens[[#This Row],[Produto]],tItens[[#This Row],[Produto]])=1,1,0)</f>
        <v>0</v>
      </c>
    </row>
    <row r="1667" spans="1:16" x14ac:dyDescent="0.25">
      <c r="A1667" t="s">
        <v>1152</v>
      </c>
      <c r="B1667">
        <v>237</v>
      </c>
      <c r="C1667" t="s">
        <v>4397</v>
      </c>
      <c r="D1667" t="s">
        <v>110</v>
      </c>
      <c r="E1667" s="13">
        <v>100</v>
      </c>
      <c r="F1667" s="12">
        <v>2.38</v>
      </c>
      <c r="G1667" t="str">
        <f>IFERROR(INDEX(tEditais[Órgão],MATCH(tItens[[#This Row],[Edital]],tEditais[Edital],0)),"")</f>
        <v>FUNDO MUNICIPAL DE SAUDE</v>
      </c>
      <c r="H1667" t="str">
        <f>IFERROR(INDEX(tEditais[UF],MATCH(tItens[[#This Row],[Edital]],tEditais[Edital],0)),"")</f>
        <v>GO</v>
      </c>
      <c r="I1667" s="11">
        <f>IFERROR(INDEX(tEditais[Encerramento],MATCH(tItens[[#This Row],[Edital]],tEditais[Edital],0)),"")</f>
        <v>46308.332638888889</v>
      </c>
      <c r="J1667" t="str">
        <f>IFERROR(INDEX(tProdutos[Classe],MATCH(tItens[[#This Row],[Produto]],tProdutos[Produto],0)),"produto não cadastrado")</f>
        <v>NÚCLEO</v>
      </c>
      <c r="K1667" s="12">
        <f>tItens[[#This Row],[Qtd]]*tItens[[#This Row],[Vlr unit]]</f>
        <v>238</v>
      </c>
      <c r="L1667" s="6">
        <f>IFERROR(IF(INDEX(tProdutos[Desconto homologado],MATCH(tItens[[#This Row],[Produto]],tProdutos[Produto],0))="",DescontoPadrao,INDEX(tProdutos[Desconto homologado],MATCH(tItens[[#This Row],[Produto]],tProdutos[Produto],0))),DescontoPadrao)</f>
        <v>0.30410958904109597</v>
      </c>
      <c r="M1667" s="12">
        <f>tItens[[#This Row],[Valor]]*(1-tItens[[#This Row],[Desconto]])</f>
        <v>165.62191780821917</v>
      </c>
      <c r="N1667" t="str">
        <f>IFERROR(INDEX(tProdutos[Foco],MATCH(tItens[[#This Row],[Produto]],tProdutos[Produto],0)),"Não")</f>
        <v>Não</v>
      </c>
      <c r="O1667" t="str">
        <f>IFERROR(INDEX(tEditais[SRP],MATCH(tItens[[#This Row],[Edital]],tEditais[Edital],0)),"Não")</f>
        <v>Sim</v>
      </c>
      <c r="P1667" s="4">
        <f>IF(COUNTIFS(INDEX(tItens[Edital],1):tItens[[#This Row],[Edital]],tItens[[#This Row],[Edital]],INDEX(tItens[Produto],1):tItens[[#This Row],[Produto]],tItens[[#This Row],[Produto]])=1,1,0)</f>
        <v>0</v>
      </c>
    </row>
    <row r="1668" spans="1:16" x14ac:dyDescent="0.25">
      <c r="A1668" t="s">
        <v>1152</v>
      </c>
      <c r="B1668">
        <v>238</v>
      </c>
      <c r="C1668" t="s">
        <v>4722</v>
      </c>
      <c r="D1668" t="s">
        <v>110</v>
      </c>
      <c r="E1668" s="13">
        <v>100</v>
      </c>
      <c r="F1668" s="12">
        <v>2.2200000000000002</v>
      </c>
      <c r="G1668" t="str">
        <f>IFERROR(INDEX(tEditais[Órgão],MATCH(tItens[[#This Row],[Edital]],tEditais[Edital],0)),"")</f>
        <v>FUNDO MUNICIPAL DE SAUDE</v>
      </c>
      <c r="H1668" t="str">
        <f>IFERROR(INDEX(tEditais[UF],MATCH(tItens[[#This Row],[Edital]],tEditais[Edital],0)),"")</f>
        <v>GO</v>
      </c>
      <c r="I1668" s="11">
        <f>IFERROR(INDEX(tEditais[Encerramento],MATCH(tItens[[#This Row],[Edital]],tEditais[Edital],0)),"")</f>
        <v>46308.332638888889</v>
      </c>
      <c r="J1668" t="str">
        <f>IFERROR(INDEX(tProdutos[Classe],MATCH(tItens[[#This Row],[Produto]],tProdutos[Produto],0)),"produto não cadastrado")</f>
        <v>NÚCLEO</v>
      </c>
      <c r="K1668" s="12">
        <f>tItens[[#This Row],[Qtd]]*tItens[[#This Row],[Vlr unit]]</f>
        <v>222.00000000000003</v>
      </c>
      <c r="L1668" s="6">
        <f>IFERROR(IF(INDEX(tProdutos[Desconto homologado],MATCH(tItens[[#This Row],[Produto]],tProdutos[Produto],0))="",DescontoPadrao,INDEX(tProdutos[Desconto homologado],MATCH(tItens[[#This Row],[Produto]],tProdutos[Produto],0))),DescontoPadrao)</f>
        <v>0.30410958904109597</v>
      </c>
      <c r="M1668" s="12">
        <f>tItens[[#This Row],[Valor]]*(1-tItens[[#This Row],[Desconto]])</f>
        <v>154.48767123287672</v>
      </c>
      <c r="N1668" t="str">
        <f>IFERROR(INDEX(tProdutos[Foco],MATCH(tItens[[#This Row],[Produto]],tProdutos[Produto],0)),"Não")</f>
        <v>Não</v>
      </c>
      <c r="O1668" t="str">
        <f>IFERROR(INDEX(tEditais[SRP],MATCH(tItens[[#This Row],[Edital]],tEditais[Edital],0)),"Não")</f>
        <v>Sim</v>
      </c>
      <c r="P1668" s="4">
        <f>IF(COUNTIFS(INDEX(tItens[Edital],1):tItens[[#This Row],[Edital]],tItens[[#This Row],[Edital]],INDEX(tItens[Produto],1):tItens[[#This Row],[Produto]],tItens[[#This Row],[Produto]])=1,1,0)</f>
        <v>0</v>
      </c>
    </row>
    <row r="1669" spans="1:16" x14ac:dyDescent="0.25">
      <c r="A1669" t="s">
        <v>1152</v>
      </c>
      <c r="B1669">
        <v>239</v>
      </c>
      <c r="C1669" t="s">
        <v>4723</v>
      </c>
      <c r="D1669" t="s">
        <v>170</v>
      </c>
      <c r="E1669" s="13">
        <v>50</v>
      </c>
      <c r="F1669" s="12">
        <v>23</v>
      </c>
      <c r="G1669" t="str">
        <f>IFERROR(INDEX(tEditais[Órgão],MATCH(tItens[[#This Row],[Edital]],tEditais[Edital],0)),"")</f>
        <v>FUNDO MUNICIPAL DE SAUDE</v>
      </c>
      <c r="H1669" t="str">
        <f>IFERROR(INDEX(tEditais[UF],MATCH(tItens[[#This Row],[Edital]],tEditais[Edital],0)),"")</f>
        <v>GO</v>
      </c>
      <c r="I1669" s="11">
        <f>IFERROR(INDEX(tEditais[Encerramento],MATCH(tItens[[#This Row],[Edital]],tEditais[Edital],0)),"")</f>
        <v>46308.332638888889</v>
      </c>
      <c r="J1669" t="str">
        <f>IFERROR(INDEX(tProdutos[Classe],MATCH(tItens[[#This Row],[Produto]],tProdutos[Produto],0)),"produto não cadastrado")</f>
        <v>DISPUTADO</v>
      </c>
      <c r="K1669" s="12">
        <f>tItens[[#This Row],[Qtd]]*tItens[[#This Row],[Vlr unit]]</f>
        <v>1150</v>
      </c>
      <c r="L1669" s="6">
        <f>IFERROR(IF(INDEX(tProdutos[Desconto homologado],MATCH(tItens[[#This Row],[Produto]],tProdutos[Produto],0))="",DescontoPadrao,INDEX(tProdutos[Desconto homologado],MATCH(tItens[[#This Row],[Produto]],tProdutos[Produto],0))),DescontoPadrao)</f>
        <v>0.36</v>
      </c>
      <c r="M1669" s="12">
        <f>tItens[[#This Row],[Valor]]*(1-tItens[[#This Row],[Desconto]])</f>
        <v>736</v>
      </c>
      <c r="N1669" t="str">
        <f>IFERROR(INDEX(tProdutos[Foco],MATCH(tItens[[#This Row],[Produto]],tProdutos[Produto],0)),"Não")</f>
        <v>Sim</v>
      </c>
      <c r="O1669" t="str">
        <f>IFERROR(INDEX(tEditais[SRP],MATCH(tItens[[#This Row],[Edital]],tEditais[Edital],0)),"Não")</f>
        <v>Sim</v>
      </c>
      <c r="P1669" s="4">
        <f>IF(COUNTIFS(INDEX(tItens[Edital],1):tItens[[#This Row],[Edital]],tItens[[#This Row],[Edital]],INDEX(tItens[Produto],1):tItens[[#This Row],[Produto]],tItens[[#This Row],[Produto]])=1,1,0)</f>
        <v>1</v>
      </c>
    </row>
    <row r="1670" spans="1:16" x14ac:dyDescent="0.25">
      <c r="A1670" t="s">
        <v>1152</v>
      </c>
      <c r="B1670">
        <v>240</v>
      </c>
      <c r="C1670" t="s">
        <v>4724</v>
      </c>
      <c r="D1670" t="s">
        <v>170</v>
      </c>
      <c r="E1670" s="13">
        <v>50</v>
      </c>
      <c r="F1670" s="12">
        <v>25.98</v>
      </c>
      <c r="G1670" t="str">
        <f>IFERROR(INDEX(tEditais[Órgão],MATCH(tItens[[#This Row],[Edital]],tEditais[Edital],0)),"")</f>
        <v>FUNDO MUNICIPAL DE SAUDE</v>
      </c>
      <c r="H1670" t="str">
        <f>IFERROR(INDEX(tEditais[UF],MATCH(tItens[[#This Row],[Edital]],tEditais[Edital],0)),"")</f>
        <v>GO</v>
      </c>
      <c r="I1670" s="11">
        <f>IFERROR(INDEX(tEditais[Encerramento],MATCH(tItens[[#This Row],[Edital]],tEditais[Edital],0)),"")</f>
        <v>46308.332638888889</v>
      </c>
      <c r="J1670" t="str">
        <f>IFERROR(INDEX(tProdutos[Classe],MATCH(tItens[[#This Row],[Produto]],tProdutos[Produto],0)),"produto não cadastrado")</f>
        <v>DISPUTADO</v>
      </c>
      <c r="K1670" s="12">
        <f>tItens[[#This Row],[Qtd]]*tItens[[#This Row],[Vlr unit]]</f>
        <v>1299</v>
      </c>
      <c r="L1670" s="6">
        <f>IFERROR(IF(INDEX(tProdutos[Desconto homologado],MATCH(tItens[[#This Row],[Produto]],tProdutos[Produto],0))="",DescontoPadrao,INDEX(tProdutos[Desconto homologado],MATCH(tItens[[#This Row],[Produto]],tProdutos[Produto],0))),DescontoPadrao)</f>
        <v>0.36</v>
      </c>
      <c r="M1670" s="12">
        <f>tItens[[#This Row],[Valor]]*(1-tItens[[#This Row],[Desconto]])</f>
        <v>831.36</v>
      </c>
      <c r="N1670" t="str">
        <f>IFERROR(INDEX(tProdutos[Foco],MATCH(tItens[[#This Row],[Produto]],tProdutos[Produto],0)),"Não")</f>
        <v>Sim</v>
      </c>
      <c r="O1670" t="str">
        <f>IFERROR(INDEX(tEditais[SRP],MATCH(tItens[[#This Row],[Edital]],tEditais[Edital],0)),"Não")</f>
        <v>Sim</v>
      </c>
      <c r="P1670" s="4">
        <f>IF(COUNTIFS(INDEX(tItens[Edital],1):tItens[[#This Row],[Edital]],tItens[[#This Row],[Edital]],INDEX(tItens[Produto],1):tItens[[#This Row],[Produto]],tItens[[#This Row],[Produto]])=1,1,0)</f>
        <v>0</v>
      </c>
    </row>
    <row r="1671" spans="1:16" x14ac:dyDescent="0.25">
      <c r="A1671" t="s">
        <v>1152</v>
      </c>
      <c r="B1671">
        <v>241</v>
      </c>
      <c r="C1671" t="s">
        <v>4725</v>
      </c>
      <c r="D1671" t="s">
        <v>170</v>
      </c>
      <c r="E1671" s="13">
        <v>50</v>
      </c>
      <c r="F1671" s="12">
        <v>23.75</v>
      </c>
      <c r="G1671" t="str">
        <f>IFERROR(INDEX(tEditais[Órgão],MATCH(tItens[[#This Row],[Edital]],tEditais[Edital],0)),"")</f>
        <v>FUNDO MUNICIPAL DE SAUDE</v>
      </c>
      <c r="H1671" t="str">
        <f>IFERROR(INDEX(tEditais[UF],MATCH(tItens[[#This Row],[Edital]],tEditais[Edital],0)),"")</f>
        <v>GO</v>
      </c>
      <c r="I1671" s="11">
        <f>IFERROR(INDEX(tEditais[Encerramento],MATCH(tItens[[#This Row],[Edital]],tEditais[Edital],0)),"")</f>
        <v>46308.332638888889</v>
      </c>
      <c r="J1671" t="str">
        <f>IFERROR(INDEX(tProdutos[Classe],MATCH(tItens[[#This Row],[Produto]],tProdutos[Produto],0)),"produto não cadastrado")</f>
        <v>DISPUTADO</v>
      </c>
      <c r="K1671" s="12">
        <f>tItens[[#This Row],[Qtd]]*tItens[[#This Row],[Vlr unit]]</f>
        <v>1187.5</v>
      </c>
      <c r="L1671" s="6">
        <f>IFERROR(IF(INDEX(tProdutos[Desconto homologado],MATCH(tItens[[#This Row],[Produto]],tProdutos[Produto],0))="",DescontoPadrao,INDEX(tProdutos[Desconto homologado],MATCH(tItens[[#This Row],[Produto]],tProdutos[Produto],0))),DescontoPadrao)</f>
        <v>0.36</v>
      </c>
      <c r="M1671" s="12">
        <f>tItens[[#This Row],[Valor]]*(1-tItens[[#This Row],[Desconto]])</f>
        <v>760</v>
      </c>
      <c r="N1671" t="str">
        <f>IFERROR(INDEX(tProdutos[Foco],MATCH(tItens[[#This Row],[Produto]],tProdutos[Produto],0)),"Não")</f>
        <v>Sim</v>
      </c>
      <c r="O1671" t="str">
        <f>IFERROR(INDEX(tEditais[SRP],MATCH(tItens[[#This Row],[Edital]],tEditais[Edital],0)),"Não")</f>
        <v>Sim</v>
      </c>
      <c r="P1671" s="4">
        <f>IF(COUNTIFS(INDEX(tItens[Edital],1):tItens[[#This Row],[Edital]],tItens[[#This Row],[Edital]],INDEX(tItens[Produto],1):tItens[[#This Row],[Produto]],tItens[[#This Row],[Produto]])=1,1,0)</f>
        <v>0</v>
      </c>
    </row>
    <row r="1672" spans="1:16" x14ac:dyDescent="0.25">
      <c r="A1672" t="s">
        <v>1152</v>
      </c>
      <c r="B1672">
        <v>242</v>
      </c>
      <c r="C1672" t="s">
        <v>4726</v>
      </c>
      <c r="D1672" t="s">
        <v>170</v>
      </c>
      <c r="E1672" s="13">
        <v>50</v>
      </c>
      <c r="F1672" s="12">
        <v>27.64</v>
      </c>
      <c r="G1672" t="str">
        <f>IFERROR(INDEX(tEditais[Órgão],MATCH(tItens[[#This Row],[Edital]],tEditais[Edital],0)),"")</f>
        <v>FUNDO MUNICIPAL DE SAUDE</v>
      </c>
      <c r="H1672" t="str">
        <f>IFERROR(INDEX(tEditais[UF],MATCH(tItens[[#This Row],[Edital]],tEditais[Edital],0)),"")</f>
        <v>GO</v>
      </c>
      <c r="I1672" s="11">
        <f>IFERROR(INDEX(tEditais[Encerramento],MATCH(tItens[[#This Row],[Edital]],tEditais[Edital],0)),"")</f>
        <v>46308.332638888889</v>
      </c>
      <c r="J1672" t="str">
        <f>IFERROR(INDEX(tProdutos[Classe],MATCH(tItens[[#This Row],[Produto]],tProdutos[Produto],0)),"produto não cadastrado")</f>
        <v>DISPUTADO</v>
      </c>
      <c r="K1672" s="12">
        <f>tItens[[#This Row],[Qtd]]*tItens[[#This Row],[Vlr unit]]</f>
        <v>1382</v>
      </c>
      <c r="L1672" s="6">
        <f>IFERROR(IF(INDEX(tProdutos[Desconto homologado],MATCH(tItens[[#This Row],[Produto]],tProdutos[Produto],0))="",DescontoPadrao,INDEX(tProdutos[Desconto homologado],MATCH(tItens[[#This Row],[Produto]],tProdutos[Produto],0))),DescontoPadrao)</f>
        <v>0.36</v>
      </c>
      <c r="M1672" s="12">
        <f>tItens[[#This Row],[Valor]]*(1-tItens[[#This Row],[Desconto]])</f>
        <v>884.48</v>
      </c>
      <c r="N1672" t="str">
        <f>IFERROR(INDEX(tProdutos[Foco],MATCH(tItens[[#This Row],[Produto]],tProdutos[Produto],0)),"Não")</f>
        <v>Sim</v>
      </c>
      <c r="O1672" t="str">
        <f>IFERROR(INDEX(tEditais[SRP],MATCH(tItens[[#This Row],[Edital]],tEditais[Edital],0)),"Não")</f>
        <v>Sim</v>
      </c>
      <c r="P1672" s="4">
        <f>IF(COUNTIFS(INDEX(tItens[Edital],1):tItens[[#This Row],[Edital]],tItens[[#This Row],[Edital]],INDEX(tItens[Produto],1):tItens[[#This Row],[Produto]],tItens[[#This Row],[Produto]])=1,1,0)</f>
        <v>0</v>
      </c>
    </row>
    <row r="1673" spans="1:16" x14ac:dyDescent="0.25">
      <c r="A1673" t="s">
        <v>1152</v>
      </c>
      <c r="B1673">
        <v>243</v>
      </c>
      <c r="C1673" t="s">
        <v>4727</v>
      </c>
      <c r="D1673" t="s">
        <v>170</v>
      </c>
      <c r="E1673" s="13">
        <v>50</v>
      </c>
      <c r="F1673" s="12">
        <v>22.52</v>
      </c>
      <c r="G1673" t="str">
        <f>IFERROR(INDEX(tEditais[Órgão],MATCH(tItens[[#This Row],[Edital]],tEditais[Edital],0)),"")</f>
        <v>FUNDO MUNICIPAL DE SAUDE</v>
      </c>
      <c r="H1673" t="str">
        <f>IFERROR(INDEX(tEditais[UF],MATCH(tItens[[#This Row],[Edital]],tEditais[Edital],0)),"")</f>
        <v>GO</v>
      </c>
      <c r="I1673" s="11">
        <f>IFERROR(INDEX(tEditais[Encerramento],MATCH(tItens[[#This Row],[Edital]],tEditais[Edital],0)),"")</f>
        <v>46308.332638888889</v>
      </c>
      <c r="J1673" t="str">
        <f>IFERROR(INDEX(tProdutos[Classe],MATCH(tItens[[#This Row],[Produto]],tProdutos[Produto],0)),"produto não cadastrado")</f>
        <v>DISPUTADO</v>
      </c>
      <c r="K1673" s="12">
        <f>tItens[[#This Row],[Qtd]]*tItens[[#This Row],[Vlr unit]]</f>
        <v>1126</v>
      </c>
      <c r="L1673" s="6">
        <f>IFERROR(IF(INDEX(tProdutos[Desconto homologado],MATCH(tItens[[#This Row],[Produto]],tProdutos[Produto],0))="",DescontoPadrao,INDEX(tProdutos[Desconto homologado],MATCH(tItens[[#This Row],[Produto]],tProdutos[Produto],0))),DescontoPadrao)</f>
        <v>0.36</v>
      </c>
      <c r="M1673" s="12">
        <f>tItens[[#This Row],[Valor]]*(1-tItens[[#This Row],[Desconto]])</f>
        <v>720.64</v>
      </c>
      <c r="N1673" t="str">
        <f>IFERROR(INDEX(tProdutos[Foco],MATCH(tItens[[#This Row],[Produto]],tProdutos[Produto],0)),"Não")</f>
        <v>Sim</v>
      </c>
      <c r="O1673" t="str">
        <f>IFERROR(INDEX(tEditais[SRP],MATCH(tItens[[#This Row],[Edital]],tEditais[Edital],0)),"Não")</f>
        <v>Sim</v>
      </c>
      <c r="P1673" s="4">
        <f>IF(COUNTIFS(INDEX(tItens[Edital],1):tItens[[#This Row],[Edital]],tItens[[#This Row],[Edital]],INDEX(tItens[Produto],1):tItens[[#This Row],[Produto]],tItens[[#This Row],[Produto]])=1,1,0)</f>
        <v>0</v>
      </c>
    </row>
    <row r="1674" spans="1:16" x14ac:dyDescent="0.25">
      <c r="A1674" t="s">
        <v>1152</v>
      </c>
      <c r="B1674">
        <v>244</v>
      </c>
      <c r="C1674" t="s">
        <v>4728</v>
      </c>
      <c r="D1674" t="s">
        <v>170</v>
      </c>
      <c r="E1674" s="13">
        <v>50</v>
      </c>
      <c r="F1674" s="12">
        <v>25.36</v>
      </c>
      <c r="G1674" t="str">
        <f>IFERROR(INDEX(tEditais[Órgão],MATCH(tItens[[#This Row],[Edital]],tEditais[Edital],0)),"")</f>
        <v>FUNDO MUNICIPAL DE SAUDE</v>
      </c>
      <c r="H1674" t="str">
        <f>IFERROR(INDEX(tEditais[UF],MATCH(tItens[[#This Row],[Edital]],tEditais[Edital],0)),"")</f>
        <v>GO</v>
      </c>
      <c r="I1674" s="11">
        <f>IFERROR(INDEX(tEditais[Encerramento],MATCH(tItens[[#This Row],[Edital]],tEditais[Edital],0)),"")</f>
        <v>46308.332638888889</v>
      </c>
      <c r="J1674" t="str">
        <f>IFERROR(INDEX(tProdutos[Classe],MATCH(tItens[[#This Row],[Produto]],tProdutos[Produto],0)),"produto não cadastrado")</f>
        <v>DISPUTADO</v>
      </c>
      <c r="K1674" s="12">
        <f>tItens[[#This Row],[Qtd]]*tItens[[#This Row],[Vlr unit]]</f>
        <v>1268</v>
      </c>
      <c r="L1674" s="6">
        <f>IFERROR(IF(INDEX(tProdutos[Desconto homologado],MATCH(tItens[[#This Row],[Produto]],tProdutos[Produto],0))="",DescontoPadrao,INDEX(tProdutos[Desconto homologado],MATCH(tItens[[#This Row],[Produto]],tProdutos[Produto],0))),DescontoPadrao)</f>
        <v>0.36</v>
      </c>
      <c r="M1674" s="12">
        <f>tItens[[#This Row],[Valor]]*(1-tItens[[#This Row],[Desconto]])</f>
        <v>811.52</v>
      </c>
      <c r="N1674" t="str">
        <f>IFERROR(INDEX(tProdutos[Foco],MATCH(tItens[[#This Row],[Produto]],tProdutos[Produto],0)),"Não")</f>
        <v>Sim</v>
      </c>
      <c r="O1674" t="str">
        <f>IFERROR(INDEX(tEditais[SRP],MATCH(tItens[[#This Row],[Edital]],tEditais[Edital],0)),"Não")</f>
        <v>Sim</v>
      </c>
      <c r="P1674" s="4">
        <f>IF(COUNTIFS(INDEX(tItens[Edital],1):tItens[[#This Row],[Edital]],tItens[[#This Row],[Edital]],INDEX(tItens[Produto],1):tItens[[#This Row],[Produto]],tItens[[#This Row],[Produto]])=1,1,0)</f>
        <v>0</v>
      </c>
    </row>
    <row r="1675" spans="1:16" x14ac:dyDescent="0.25">
      <c r="A1675" t="s">
        <v>1152</v>
      </c>
      <c r="B1675">
        <v>245</v>
      </c>
      <c r="C1675" t="s">
        <v>4729</v>
      </c>
      <c r="D1675" t="s">
        <v>120</v>
      </c>
      <c r="E1675" s="13">
        <v>100</v>
      </c>
      <c r="F1675" s="12">
        <v>4.6100000000000003</v>
      </c>
      <c r="G1675" t="str">
        <f>IFERROR(INDEX(tEditais[Órgão],MATCH(tItens[[#This Row],[Edital]],tEditais[Edital],0)),"")</f>
        <v>FUNDO MUNICIPAL DE SAUDE</v>
      </c>
      <c r="H1675" t="str">
        <f>IFERROR(INDEX(tEditais[UF],MATCH(tItens[[#This Row],[Edital]],tEditais[Edital],0)),"")</f>
        <v>GO</v>
      </c>
      <c r="I1675" s="11">
        <f>IFERROR(INDEX(tEditais[Encerramento],MATCH(tItens[[#This Row],[Edital]],tEditais[Edital],0)),"")</f>
        <v>46308.332638888889</v>
      </c>
      <c r="J1675" t="str">
        <f>IFERROR(INDEX(tProdutos[Classe],MATCH(tItens[[#This Row],[Produto]],tProdutos[Produto],0)),"produto não cadastrado")</f>
        <v>DISPUTADO</v>
      </c>
      <c r="K1675" s="12">
        <f>tItens[[#This Row],[Qtd]]*tItens[[#This Row],[Vlr unit]]</f>
        <v>461.00000000000006</v>
      </c>
      <c r="L1675" s="6">
        <f>IFERROR(IF(INDEX(tProdutos[Desconto homologado],MATCH(tItens[[#This Row],[Produto]],tProdutos[Produto],0))="",DescontoPadrao,INDEX(tProdutos[Desconto homologado],MATCH(tItens[[#This Row],[Produto]],tProdutos[Produto],0))),DescontoPadrao)</f>
        <v>0.40909090909090901</v>
      </c>
      <c r="M1675" s="12">
        <f>tItens[[#This Row],[Valor]]*(1-tItens[[#This Row],[Desconto]])</f>
        <v>272.40909090909099</v>
      </c>
      <c r="N1675" t="str">
        <f>IFERROR(INDEX(tProdutos[Foco],MATCH(tItens[[#This Row],[Produto]],tProdutos[Produto],0)),"Não")</f>
        <v>Não</v>
      </c>
      <c r="O1675" t="str">
        <f>IFERROR(INDEX(tEditais[SRP],MATCH(tItens[[#This Row],[Edital]],tEditais[Edital],0)),"Não")</f>
        <v>Sim</v>
      </c>
      <c r="P1675" s="4">
        <f>IF(COUNTIFS(INDEX(tItens[Edital],1):tItens[[#This Row],[Edital]],tItens[[#This Row],[Edital]],INDEX(tItens[Produto],1):tItens[[#This Row],[Produto]],tItens[[#This Row],[Produto]])=1,1,0)</f>
        <v>1</v>
      </c>
    </row>
    <row r="1676" spans="1:16" x14ac:dyDescent="0.25">
      <c r="A1676" t="s">
        <v>1152</v>
      </c>
      <c r="B1676">
        <v>246</v>
      </c>
      <c r="C1676" t="s">
        <v>4730</v>
      </c>
      <c r="D1676" t="s">
        <v>120</v>
      </c>
      <c r="E1676" s="13">
        <v>100</v>
      </c>
      <c r="F1676" s="12">
        <v>5.28</v>
      </c>
      <c r="G1676" t="str">
        <f>IFERROR(INDEX(tEditais[Órgão],MATCH(tItens[[#This Row],[Edital]],tEditais[Edital],0)),"")</f>
        <v>FUNDO MUNICIPAL DE SAUDE</v>
      </c>
      <c r="H1676" t="str">
        <f>IFERROR(INDEX(tEditais[UF],MATCH(tItens[[#This Row],[Edital]],tEditais[Edital],0)),"")</f>
        <v>GO</v>
      </c>
      <c r="I1676" s="11">
        <f>IFERROR(INDEX(tEditais[Encerramento],MATCH(tItens[[#This Row],[Edital]],tEditais[Edital],0)),"")</f>
        <v>46308.332638888889</v>
      </c>
      <c r="J1676" t="str">
        <f>IFERROR(INDEX(tProdutos[Classe],MATCH(tItens[[#This Row],[Produto]],tProdutos[Produto],0)),"produto não cadastrado")</f>
        <v>DISPUTADO</v>
      </c>
      <c r="K1676" s="12">
        <f>tItens[[#This Row],[Qtd]]*tItens[[#This Row],[Vlr unit]]</f>
        <v>528</v>
      </c>
      <c r="L1676" s="6">
        <f>IFERROR(IF(INDEX(tProdutos[Desconto homologado],MATCH(tItens[[#This Row],[Produto]],tProdutos[Produto],0))="",DescontoPadrao,INDEX(tProdutos[Desconto homologado],MATCH(tItens[[#This Row],[Produto]],tProdutos[Produto],0))),DescontoPadrao)</f>
        <v>0.40909090909090901</v>
      </c>
      <c r="M1676" s="12">
        <f>tItens[[#This Row],[Valor]]*(1-tItens[[#This Row],[Desconto]])</f>
        <v>312.00000000000006</v>
      </c>
      <c r="N1676" t="str">
        <f>IFERROR(INDEX(tProdutos[Foco],MATCH(tItens[[#This Row],[Produto]],tProdutos[Produto],0)),"Não")</f>
        <v>Não</v>
      </c>
      <c r="O1676" t="str">
        <f>IFERROR(INDEX(tEditais[SRP],MATCH(tItens[[#This Row],[Edital]],tEditais[Edital],0)),"Não")</f>
        <v>Sim</v>
      </c>
      <c r="P1676" s="4">
        <f>IF(COUNTIFS(INDEX(tItens[Edital],1):tItens[[#This Row],[Edital]],tItens[[#This Row],[Edital]],INDEX(tItens[Produto],1):tItens[[#This Row],[Produto]],tItens[[#This Row],[Produto]])=1,1,0)</f>
        <v>0</v>
      </c>
    </row>
    <row r="1677" spans="1:16" x14ac:dyDescent="0.25">
      <c r="A1677" t="s">
        <v>1152</v>
      </c>
      <c r="B1677">
        <v>247</v>
      </c>
      <c r="C1677" t="s">
        <v>4731</v>
      </c>
      <c r="D1677" t="s">
        <v>120</v>
      </c>
      <c r="E1677" s="13">
        <v>100</v>
      </c>
      <c r="F1677" s="12">
        <v>4.6900000000000004</v>
      </c>
      <c r="G1677" t="str">
        <f>IFERROR(INDEX(tEditais[Órgão],MATCH(tItens[[#This Row],[Edital]],tEditais[Edital],0)),"")</f>
        <v>FUNDO MUNICIPAL DE SAUDE</v>
      </c>
      <c r="H1677" t="str">
        <f>IFERROR(INDEX(tEditais[UF],MATCH(tItens[[#This Row],[Edital]],tEditais[Edital],0)),"")</f>
        <v>GO</v>
      </c>
      <c r="I1677" s="11">
        <f>IFERROR(INDEX(tEditais[Encerramento],MATCH(tItens[[#This Row],[Edital]],tEditais[Edital],0)),"")</f>
        <v>46308.332638888889</v>
      </c>
      <c r="J1677" t="str">
        <f>IFERROR(INDEX(tProdutos[Classe],MATCH(tItens[[#This Row],[Produto]],tProdutos[Produto],0)),"produto não cadastrado")</f>
        <v>DISPUTADO</v>
      </c>
      <c r="K1677" s="12">
        <f>tItens[[#This Row],[Qtd]]*tItens[[#This Row],[Vlr unit]]</f>
        <v>469.00000000000006</v>
      </c>
      <c r="L1677" s="6">
        <f>IFERROR(IF(INDEX(tProdutos[Desconto homologado],MATCH(tItens[[#This Row],[Produto]],tProdutos[Produto],0))="",DescontoPadrao,INDEX(tProdutos[Desconto homologado],MATCH(tItens[[#This Row],[Produto]],tProdutos[Produto],0))),DescontoPadrao)</f>
        <v>0.40909090909090901</v>
      </c>
      <c r="M1677" s="12">
        <f>tItens[[#This Row],[Valor]]*(1-tItens[[#This Row],[Desconto]])</f>
        <v>277.13636363636374</v>
      </c>
      <c r="N1677" t="str">
        <f>IFERROR(INDEX(tProdutos[Foco],MATCH(tItens[[#This Row],[Produto]],tProdutos[Produto],0)),"Não")</f>
        <v>Não</v>
      </c>
      <c r="O1677" t="str">
        <f>IFERROR(INDEX(tEditais[SRP],MATCH(tItens[[#This Row],[Edital]],tEditais[Edital],0)),"Não")</f>
        <v>Sim</v>
      </c>
      <c r="P1677" s="4">
        <f>IF(COUNTIFS(INDEX(tItens[Edital],1):tItens[[#This Row],[Edital]],tItens[[#This Row],[Edital]],INDEX(tItens[Produto],1):tItens[[#This Row],[Produto]],tItens[[#This Row],[Produto]])=1,1,0)</f>
        <v>0</v>
      </c>
    </row>
    <row r="1678" spans="1:16" x14ac:dyDescent="0.25">
      <c r="A1678" t="s">
        <v>1152</v>
      </c>
      <c r="B1678">
        <v>248</v>
      </c>
      <c r="C1678" t="s">
        <v>4732</v>
      </c>
      <c r="D1678" t="s">
        <v>120</v>
      </c>
      <c r="E1678" s="13">
        <v>100</v>
      </c>
      <c r="F1678" s="12">
        <v>4.9800000000000004</v>
      </c>
      <c r="G1678" t="str">
        <f>IFERROR(INDEX(tEditais[Órgão],MATCH(tItens[[#This Row],[Edital]],tEditais[Edital],0)),"")</f>
        <v>FUNDO MUNICIPAL DE SAUDE</v>
      </c>
      <c r="H1678" t="str">
        <f>IFERROR(INDEX(tEditais[UF],MATCH(tItens[[#This Row],[Edital]],tEditais[Edital],0)),"")</f>
        <v>GO</v>
      </c>
      <c r="I1678" s="11">
        <f>IFERROR(INDEX(tEditais[Encerramento],MATCH(tItens[[#This Row],[Edital]],tEditais[Edital],0)),"")</f>
        <v>46308.332638888889</v>
      </c>
      <c r="J1678" t="str">
        <f>IFERROR(INDEX(tProdutos[Classe],MATCH(tItens[[#This Row],[Produto]],tProdutos[Produto],0)),"produto não cadastrado")</f>
        <v>DISPUTADO</v>
      </c>
      <c r="K1678" s="12">
        <f>tItens[[#This Row],[Qtd]]*tItens[[#This Row],[Vlr unit]]</f>
        <v>498.00000000000006</v>
      </c>
      <c r="L1678" s="6">
        <f>IFERROR(IF(INDEX(tProdutos[Desconto homologado],MATCH(tItens[[#This Row],[Produto]],tProdutos[Produto],0))="",DescontoPadrao,INDEX(tProdutos[Desconto homologado],MATCH(tItens[[#This Row],[Produto]],tProdutos[Produto],0))),DescontoPadrao)</f>
        <v>0.40909090909090901</v>
      </c>
      <c r="M1678" s="12">
        <f>tItens[[#This Row],[Valor]]*(1-tItens[[#This Row],[Desconto]])</f>
        <v>294.27272727272737</v>
      </c>
      <c r="N1678" t="str">
        <f>IFERROR(INDEX(tProdutos[Foco],MATCH(tItens[[#This Row],[Produto]],tProdutos[Produto],0)),"Não")</f>
        <v>Não</v>
      </c>
      <c r="O1678" t="str">
        <f>IFERROR(INDEX(tEditais[SRP],MATCH(tItens[[#This Row],[Edital]],tEditais[Edital],0)),"Não")</f>
        <v>Sim</v>
      </c>
      <c r="P1678" s="4">
        <f>IF(COUNTIFS(INDEX(tItens[Edital],1):tItens[[#This Row],[Edital]],tItens[[#This Row],[Edital]],INDEX(tItens[Produto],1):tItens[[#This Row],[Produto]],tItens[[#This Row],[Produto]])=1,1,0)</f>
        <v>0</v>
      </c>
    </row>
    <row r="1679" spans="1:16" x14ac:dyDescent="0.25">
      <c r="A1679" t="s">
        <v>1152</v>
      </c>
      <c r="B1679">
        <v>249</v>
      </c>
      <c r="C1679" t="s">
        <v>4733</v>
      </c>
      <c r="D1679" t="s">
        <v>120</v>
      </c>
      <c r="E1679" s="13">
        <v>100</v>
      </c>
      <c r="F1679" s="12">
        <v>5.32</v>
      </c>
      <c r="G1679" t="str">
        <f>IFERROR(INDEX(tEditais[Órgão],MATCH(tItens[[#This Row],[Edital]],tEditais[Edital],0)),"")</f>
        <v>FUNDO MUNICIPAL DE SAUDE</v>
      </c>
      <c r="H1679" t="str">
        <f>IFERROR(INDEX(tEditais[UF],MATCH(tItens[[#This Row],[Edital]],tEditais[Edital],0)),"")</f>
        <v>GO</v>
      </c>
      <c r="I1679" s="11">
        <f>IFERROR(INDEX(tEditais[Encerramento],MATCH(tItens[[#This Row],[Edital]],tEditais[Edital],0)),"")</f>
        <v>46308.332638888889</v>
      </c>
      <c r="J1679" t="str">
        <f>IFERROR(INDEX(tProdutos[Classe],MATCH(tItens[[#This Row],[Produto]],tProdutos[Produto],0)),"produto não cadastrado")</f>
        <v>DISPUTADO</v>
      </c>
      <c r="K1679" s="12">
        <f>tItens[[#This Row],[Qtd]]*tItens[[#This Row],[Vlr unit]]</f>
        <v>532</v>
      </c>
      <c r="L1679" s="6">
        <f>IFERROR(IF(INDEX(tProdutos[Desconto homologado],MATCH(tItens[[#This Row],[Produto]],tProdutos[Produto],0))="",DescontoPadrao,INDEX(tProdutos[Desconto homologado],MATCH(tItens[[#This Row],[Produto]],tProdutos[Produto],0))),DescontoPadrao)</f>
        <v>0.40909090909090901</v>
      </c>
      <c r="M1679" s="12">
        <f>tItens[[#This Row],[Valor]]*(1-tItens[[#This Row],[Desconto]])</f>
        <v>314.36363636363643</v>
      </c>
      <c r="N1679" t="str">
        <f>IFERROR(INDEX(tProdutos[Foco],MATCH(tItens[[#This Row],[Produto]],tProdutos[Produto],0)),"Não")</f>
        <v>Não</v>
      </c>
      <c r="O1679" t="str">
        <f>IFERROR(INDEX(tEditais[SRP],MATCH(tItens[[#This Row],[Edital]],tEditais[Edital],0)),"Não")</f>
        <v>Sim</v>
      </c>
      <c r="P1679" s="4">
        <f>IF(COUNTIFS(INDEX(tItens[Edital],1):tItens[[#This Row],[Edital]],tItens[[#This Row],[Edital]],INDEX(tItens[Produto],1):tItens[[#This Row],[Produto]],tItens[[#This Row],[Produto]])=1,1,0)</f>
        <v>0</v>
      </c>
    </row>
    <row r="1680" spans="1:16" x14ac:dyDescent="0.25">
      <c r="A1680" t="s">
        <v>1152</v>
      </c>
      <c r="B1680">
        <v>250</v>
      </c>
      <c r="C1680" t="s">
        <v>4734</v>
      </c>
      <c r="D1680" t="s">
        <v>120</v>
      </c>
      <c r="E1680" s="13">
        <v>100</v>
      </c>
      <c r="F1680" s="12">
        <v>5.5</v>
      </c>
      <c r="G1680" t="str">
        <f>IFERROR(INDEX(tEditais[Órgão],MATCH(tItens[[#This Row],[Edital]],tEditais[Edital],0)),"")</f>
        <v>FUNDO MUNICIPAL DE SAUDE</v>
      </c>
      <c r="H1680" t="str">
        <f>IFERROR(INDEX(tEditais[UF],MATCH(tItens[[#This Row],[Edital]],tEditais[Edital],0)),"")</f>
        <v>GO</v>
      </c>
      <c r="I1680" s="11">
        <f>IFERROR(INDEX(tEditais[Encerramento],MATCH(tItens[[#This Row],[Edital]],tEditais[Edital],0)),"")</f>
        <v>46308.332638888889</v>
      </c>
      <c r="J1680" t="str">
        <f>IFERROR(INDEX(tProdutos[Classe],MATCH(tItens[[#This Row],[Produto]],tProdutos[Produto],0)),"produto não cadastrado")</f>
        <v>DISPUTADO</v>
      </c>
      <c r="K1680" s="12">
        <f>tItens[[#This Row],[Qtd]]*tItens[[#This Row],[Vlr unit]]</f>
        <v>550</v>
      </c>
      <c r="L1680" s="6">
        <f>IFERROR(IF(INDEX(tProdutos[Desconto homologado],MATCH(tItens[[#This Row],[Produto]],tProdutos[Produto],0))="",DescontoPadrao,INDEX(tProdutos[Desconto homologado],MATCH(tItens[[#This Row],[Produto]],tProdutos[Produto],0))),DescontoPadrao)</f>
        <v>0.40909090909090901</v>
      </c>
      <c r="M1680" s="12">
        <f>tItens[[#This Row],[Valor]]*(1-tItens[[#This Row],[Desconto]])</f>
        <v>325.00000000000006</v>
      </c>
      <c r="N1680" t="str">
        <f>IFERROR(INDEX(tProdutos[Foco],MATCH(tItens[[#This Row],[Produto]],tProdutos[Produto],0)),"Não")</f>
        <v>Não</v>
      </c>
      <c r="O1680" t="str">
        <f>IFERROR(INDEX(tEditais[SRP],MATCH(tItens[[#This Row],[Edital]],tEditais[Edital],0)),"Não")</f>
        <v>Sim</v>
      </c>
      <c r="P1680" s="4">
        <f>IF(COUNTIFS(INDEX(tItens[Edital],1):tItens[[#This Row],[Edital]],tItens[[#This Row],[Edital]],INDEX(tItens[Produto],1):tItens[[#This Row],[Produto]],tItens[[#This Row],[Produto]])=1,1,0)</f>
        <v>0</v>
      </c>
    </row>
    <row r="1681" spans="1:16" x14ac:dyDescent="0.25">
      <c r="A1681" t="s">
        <v>1152</v>
      </c>
      <c r="B1681">
        <v>251</v>
      </c>
      <c r="C1681" t="s">
        <v>4735</v>
      </c>
      <c r="D1681" t="s">
        <v>120</v>
      </c>
      <c r="E1681" s="13">
        <v>100</v>
      </c>
      <c r="F1681" s="12">
        <v>4.78</v>
      </c>
      <c r="G1681" t="str">
        <f>IFERROR(INDEX(tEditais[Órgão],MATCH(tItens[[#This Row],[Edital]],tEditais[Edital],0)),"")</f>
        <v>FUNDO MUNICIPAL DE SAUDE</v>
      </c>
      <c r="H1681" t="str">
        <f>IFERROR(INDEX(tEditais[UF],MATCH(tItens[[#This Row],[Edital]],tEditais[Edital],0)),"")</f>
        <v>GO</v>
      </c>
      <c r="I1681" s="11">
        <f>IFERROR(INDEX(tEditais[Encerramento],MATCH(tItens[[#This Row],[Edital]],tEditais[Edital],0)),"")</f>
        <v>46308.332638888889</v>
      </c>
      <c r="J1681" t="str">
        <f>IFERROR(INDEX(tProdutos[Classe],MATCH(tItens[[#This Row],[Produto]],tProdutos[Produto],0)),"produto não cadastrado")</f>
        <v>DISPUTADO</v>
      </c>
      <c r="K1681" s="12">
        <f>tItens[[#This Row],[Qtd]]*tItens[[#This Row],[Vlr unit]]</f>
        <v>478</v>
      </c>
      <c r="L1681" s="6">
        <f>IFERROR(IF(INDEX(tProdutos[Desconto homologado],MATCH(tItens[[#This Row],[Produto]],tProdutos[Produto],0))="",DescontoPadrao,INDEX(tProdutos[Desconto homologado],MATCH(tItens[[#This Row],[Produto]],tProdutos[Produto],0))),DescontoPadrao)</f>
        <v>0.40909090909090901</v>
      </c>
      <c r="M1681" s="12">
        <f>tItens[[#This Row],[Valor]]*(1-tItens[[#This Row],[Desconto]])</f>
        <v>282.4545454545455</v>
      </c>
      <c r="N1681" t="str">
        <f>IFERROR(INDEX(tProdutos[Foco],MATCH(tItens[[#This Row],[Produto]],tProdutos[Produto],0)),"Não")</f>
        <v>Não</v>
      </c>
      <c r="O1681" t="str">
        <f>IFERROR(INDEX(tEditais[SRP],MATCH(tItens[[#This Row],[Edital]],tEditais[Edital],0)),"Não")</f>
        <v>Sim</v>
      </c>
      <c r="P1681" s="4">
        <f>IF(COUNTIFS(INDEX(tItens[Edital],1):tItens[[#This Row],[Edital]],tItens[[#This Row],[Edital]],INDEX(tItens[Produto],1):tItens[[#This Row],[Produto]],tItens[[#This Row],[Produto]])=1,1,0)</f>
        <v>0</v>
      </c>
    </row>
    <row r="1682" spans="1:16" x14ac:dyDescent="0.25">
      <c r="A1682" t="s">
        <v>1152</v>
      </c>
      <c r="B1682">
        <v>262</v>
      </c>
      <c r="C1682" t="s">
        <v>4736</v>
      </c>
      <c r="D1682" t="s">
        <v>114</v>
      </c>
      <c r="E1682" s="13">
        <v>10000</v>
      </c>
      <c r="F1682" s="12">
        <v>0.21</v>
      </c>
      <c r="G1682" t="str">
        <f>IFERROR(INDEX(tEditais[Órgão],MATCH(tItens[[#This Row],[Edital]],tEditais[Edital],0)),"")</f>
        <v>FUNDO MUNICIPAL DE SAUDE</v>
      </c>
      <c r="H1682" t="str">
        <f>IFERROR(INDEX(tEditais[UF],MATCH(tItens[[#This Row],[Edital]],tEditais[Edital],0)),"")</f>
        <v>GO</v>
      </c>
      <c r="I1682" s="11">
        <f>IFERROR(INDEX(tEditais[Encerramento],MATCH(tItens[[#This Row],[Edital]],tEditais[Edital],0)),"")</f>
        <v>46308.332638888889</v>
      </c>
      <c r="J1682" t="str">
        <f>IFERROR(INDEX(tProdutos[Classe],MATCH(tItens[[#This Row],[Produto]],tProdutos[Produto],0)),"produto não cadastrado")</f>
        <v>DISPUTADO</v>
      </c>
      <c r="K1682" s="12">
        <f>tItens[[#This Row],[Qtd]]*tItens[[#This Row],[Vlr unit]]</f>
        <v>2100</v>
      </c>
      <c r="L1682" s="6">
        <f>IFERROR(IF(INDEX(tProdutos[Desconto homologado],MATCH(tItens[[#This Row],[Produto]],tProdutos[Produto],0))="",DescontoPadrao,INDEX(tProdutos[Desconto homologado],MATCH(tItens[[#This Row],[Produto]],tProdutos[Produto],0))),DescontoPadrao)</f>
        <v>0.24332656063896899</v>
      </c>
      <c r="M1682" s="12">
        <f>tItens[[#This Row],[Valor]]*(1-tItens[[#This Row],[Desconto]])</f>
        <v>1589.0142226581652</v>
      </c>
      <c r="N1682" t="str">
        <f>IFERROR(INDEX(tProdutos[Foco],MATCH(tItens[[#This Row],[Produto]],tProdutos[Produto],0)),"Não")</f>
        <v>Não</v>
      </c>
      <c r="O1682" t="str">
        <f>IFERROR(INDEX(tEditais[SRP],MATCH(tItens[[#This Row],[Edital]],tEditais[Edital],0)),"Não")</f>
        <v>Sim</v>
      </c>
      <c r="P1682" s="4">
        <f>IF(COUNTIFS(INDEX(tItens[Edital],1):tItens[[#This Row],[Edital]],tItens[[#This Row],[Edital]],INDEX(tItens[Produto],1):tItens[[#This Row],[Produto]],tItens[[#This Row],[Produto]])=1,1,0)</f>
        <v>1</v>
      </c>
    </row>
    <row r="1683" spans="1:16" x14ac:dyDescent="0.25">
      <c r="A1683" t="s">
        <v>1152</v>
      </c>
      <c r="B1683">
        <v>274</v>
      </c>
      <c r="C1683" t="s">
        <v>4737</v>
      </c>
      <c r="D1683" t="s">
        <v>156</v>
      </c>
      <c r="E1683" s="13">
        <v>30</v>
      </c>
      <c r="F1683" s="12">
        <v>17.48</v>
      </c>
      <c r="G1683" t="str">
        <f>IFERROR(INDEX(tEditais[Órgão],MATCH(tItens[[#This Row],[Edital]],tEditais[Edital],0)),"")</f>
        <v>FUNDO MUNICIPAL DE SAUDE</v>
      </c>
      <c r="H1683" t="str">
        <f>IFERROR(INDEX(tEditais[UF],MATCH(tItens[[#This Row],[Edital]],tEditais[Edital],0)),"")</f>
        <v>GO</v>
      </c>
      <c r="I1683" s="11">
        <f>IFERROR(INDEX(tEditais[Encerramento],MATCH(tItens[[#This Row],[Edital]],tEditais[Edital],0)),"")</f>
        <v>46308.332638888889</v>
      </c>
      <c r="J1683" t="str">
        <f>IFERROR(INDEX(tProdutos[Classe],MATCH(tItens[[#This Row],[Produto]],tProdutos[Produto],0)),"produto não cadastrado")</f>
        <v>DISPUTADO</v>
      </c>
      <c r="K1683" s="12">
        <f>tItens[[#This Row],[Qtd]]*tItens[[#This Row],[Vlr unit]]</f>
        <v>524.4</v>
      </c>
      <c r="L1683" s="6">
        <f>IFERROR(IF(INDEX(tProdutos[Desconto homologado],MATCH(tItens[[#This Row],[Produto]],tProdutos[Produto],0))="",DescontoPadrao,INDEX(tProdutos[Desconto homologado],MATCH(tItens[[#This Row],[Produto]],tProdutos[Produto],0))),DescontoPadrao)</f>
        <v>0.27131852489802799</v>
      </c>
      <c r="M1683" s="12">
        <f>tItens[[#This Row],[Valor]]*(1-tItens[[#This Row],[Desconto]])</f>
        <v>382.12056554347413</v>
      </c>
      <c r="N1683" t="str">
        <f>IFERROR(INDEX(tProdutos[Foco],MATCH(tItens[[#This Row],[Produto]],tProdutos[Produto],0)),"Não")</f>
        <v>Não</v>
      </c>
      <c r="O1683" t="str">
        <f>IFERROR(INDEX(tEditais[SRP],MATCH(tItens[[#This Row],[Edital]],tEditais[Edital],0)),"Não")</f>
        <v>Sim</v>
      </c>
      <c r="P1683" s="4">
        <f>IF(COUNTIFS(INDEX(tItens[Edital],1):tItens[[#This Row],[Edital]],tItens[[#This Row],[Edital]],INDEX(tItens[Produto],1):tItens[[#This Row],[Produto]],tItens[[#This Row],[Produto]])=1,1,0)</f>
        <v>1</v>
      </c>
    </row>
    <row r="1684" spans="1:16" x14ac:dyDescent="0.25">
      <c r="A1684" t="s">
        <v>1152</v>
      </c>
      <c r="B1684">
        <v>296</v>
      </c>
      <c r="C1684" t="s">
        <v>4738</v>
      </c>
      <c r="D1684" t="s">
        <v>423</v>
      </c>
      <c r="E1684" s="13">
        <v>5</v>
      </c>
      <c r="F1684" s="12">
        <v>19.16</v>
      </c>
      <c r="G1684" t="str">
        <f>IFERROR(INDEX(tEditais[Órgão],MATCH(tItens[[#This Row],[Edital]],tEditais[Edital],0)),"")</f>
        <v>FUNDO MUNICIPAL DE SAUDE</v>
      </c>
      <c r="H1684" t="str">
        <f>IFERROR(INDEX(tEditais[UF],MATCH(tItens[[#This Row],[Edital]],tEditais[Edital],0)),"")</f>
        <v>GO</v>
      </c>
      <c r="I1684" s="11">
        <f>IFERROR(INDEX(tEditais[Encerramento],MATCH(tItens[[#This Row],[Edital]],tEditais[Edital],0)),"")</f>
        <v>46308.332638888889</v>
      </c>
      <c r="J1684" t="str">
        <f>IFERROR(INDEX(tProdutos[Classe],MATCH(tItens[[#This Row],[Produto]],tProdutos[Produto],0)),"produto não cadastrado")</f>
        <v>FORA</v>
      </c>
      <c r="K1684" s="12">
        <f>tItens[[#This Row],[Qtd]]*tItens[[#This Row],[Vlr unit]]</f>
        <v>95.8</v>
      </c>
      <c r="L1684" s="6">
        <f>IFERROR(IF(INDEX(tProdutos[Desconto homologado],MATCH(tItens[[#This Row],[Produto]],tProdutos[Produto],0))="",DescontoPadrao,INDEX(tProdutos[Desconto homologado],MATCH(tItens[[#This Row],[Produto]],tProdutos[Produto],0))),DescontoPadrao)</f>
        <v>0.38271604938271597</v>
      </c>
      <c r="M1684" s="12">
        <f>tItens[[#This Row],[Valor]]*(1-tItens[[#This Row],[Desconto]])</f>
        <v>59.135802469135811</v>
      </c>
      <c r="N1684" t="str">
        <f>IFERROR(INDEX(tProdutos[Foco],MATCH(tItens[[#This Row],[Produto]],tProdutos[Produto],0)),"Não")</f>
        <v>Não</v>
      </c>
      <c r="O1684" t="str">
        <f>IFERROR(INDEX(tEditais[SRP],MATCH(tItens[[#This Row],[Edital]],tEditais[Edital],0)),"Não")</f>
        <v>Sim</v>
      </c>
      <c r="P1684" s="4">
        <f>IF(COUNTIFS(INDEX(tItens[Edital],1):tItens[[#This Row],[Edital]],tItens[[#This Row],[Edital]],INDEX(tItens[Produto],1):tItens[[#This Row],[Produto]],tItens[[#This Row],[Produto]])=1,1,0)</f>
        <v>1</v>
      </c>
    </row>
    <row r="1685" spans="1:16" x14ac:dyDescent="0.25">
      <c r="A1685" t="s">
        <v>1152</v>
      </c>
      <c r="B1685">
        <v>318</v>
      </c>
      <c r="C1685" t="s">
        <v>4739</v>
      </c>
      <c r="D1685" t="s">
        <v>229</v>
      </c>
      <c r="E1685" s="13">
        <v>1000</v>
      </c>
      <c r="F1685" s="12">
        <v>15.15</v>
      </c>
      <c r="G1685" t="str">
        <f>IFERROR(INDEX(tEditais[Órgão],MATCH(tItens[[#This Row],[Edital]],tEditais[Edital],0)),"")</f>
        <v>FUNDO MUNICIPAL DE SAUDE</v>
      </c>
      <c r="H1685" t="str">
        <f>IFERROR(INDEX(tEditais[UF],MATCH(tItens[[#This Row],[Edital]],tEditais[Edital],0)),"")</f>
        <v>GO</v>
      </c>
      <c r="I1685" s="11">
        <f>IFERROR(INDEX(tEditais[Encerramento],MATCH(tItens[[#This Row],[Edital]],tEditais[Edital],0)),"")</f>
        <v>46308.332638888889</v>
      </c>
      <c r="J1685" t="str">
        <f>IFERROR(INDEX(tProdutos[Classe],MATCH(tItens[[#This Row],[Produto]],tProdutos[Produto],0)),"produto não cadastrado")</f>
        <v>FORA</v>
      </c>
      <c r="K1685" s="12">
        <f>tItens[[#This Row],[Qtd]]*tItens[[#This Row],[Vlr unit]]</f>
        <v>15150</v>
      </c>
      <c r="L1685" s="6">
        <f>IFERROR(IF(INDEX(tProdutos[Desconto homologado],MATCH(tItens[[#This Row],[Produto]],tProdutos[Produto],0))="",DescontoPadrao,INDEX(tProdutos[Desconto homologado],MATCH(tItens[[#This Row],[Produto]],tProdutos[Produto],0))),DescontoPadrao)</f>
        <v>0.33093491191658198</v>
      </c>
      <c r="M1685" s="12">
        <f>tItens[[#This Row],[Valor]]*(1-tItens[[#This Row],[Desconto]])</f>
        <v>10136.336084463783</v>
      </c>
      <c r="N1685" t="str">
        <f>IFERROR(INDEX(tProdutos[Foco],MATCH(tItens[[#This Row],[Produto]],tProdutos[Produto],0)),"Não")</f>
        <v>Não</v>
      </c>
      <c r="O1685" t="str">
        <f>IFERROR(INDEX(tEditais[SRP],MATCH(tItens[[#This Row],[Edital]],tEditais[Edital],0)),"Não")</f>
        <v>Sim</v>
      </c>
      <c r="P1685" s="4">
        <f>IF(COUNTIFS(INDEX(tItens[Edital],1):tItens[[#This Row],[Edital]],tItens[[#This Row],[Edital]],INDEX(tItens[Produto],1):tItens[[#This Row],[Produto]],tItens[[#This Row],[Produto]])=1,1,0)</f>
        <v>1</v>
      </c>
    </row>
    <row r="1686" spans="1:16" x14ac:dyDescent="0.25">
      <c r="A1686" t="s">
        <v>1152</v>
      </c>
      <c r="B1686">
        <v>335</v>
      </c>
      <c r="C1686" t="s">
        <v>4740</v>
      </c>
      <c r="D1686" t="s">
        <v>267</v>
      </c>
      <c r="E1686" s="13">
        <v>150000</v>
      </c>
      <c r="F1686" s="12">
        <v>1.84</v>
      </c>
      <c r="G1686" t="str">
        <f>IFERROR(INDEX(tEditais[Órgão],MATCH(tItens[[#This Row],[Edital]],tEditais[Edital],0)),"")</f>
        <v>FUNDO MUNICIPAL DE SAUDE</v>
      </c>
      <c r="H1686" t="str">
        <f>IFERROR(INDEX(tEditais[UF],MATCH(tItens[[#This Row],[Edital]],tEditais[Edital],0)),"")</f>
        <v>GO</v>
      </c>
      <c r="I1686" s="11">
        <f>IFERROR(INDEX(tEditais[Encerramento],MATCH(tItens[[#This Row],[Edital]],tEditais[Edital],0)),"")</f>
        <v>46308.332638888889</v>
      </c>
      <c r="J1686" t="str">
        <f>IFERROR(INDEX(tProdutos[Classe],MATCH(tItens[[#This Row],[Produto]],tProdutos[Produto],0)),"produto não cadastrado")</f>
        <v>FORA</v>
      </c>
      <c r="K1686" s="12">
        <f>tItens[[#This Row],[Qtd]]*tItens[[#This Row],[Vlr unit]]</f>
        <v>276000</v>
      </c>
      <c r="L1686" s="6">
        <f>IFERROR(IF(INDEX(tProdutos[Desconto homologado],MATCH(tItens[[#This Row],[Produto]],tProdutos[Produto],0))="",DescontoPadrao,INDEX(tProdutos[Desconto homologado],MATCH(tItens[[#This Row],[Produto]],tProdutos[Produto],0))),DescontoPadrao)</f>
        <v>0.19963672657401599</v>
      </c>
      <c r="M1686" s="12">
        <f>tItens[[#This Row],[Valor]]*(1-tItens[[#This Row],[Desconto]])</f>
        <v>220900.2634655716</v>
      </c>
      <c r="N1686" t="str">
        <f>IFERROR(INDEX(tProdutos[Foco],MATCH(tItens[[#This Row],[Produto]],tProdutos[Produto],0)),"Não")</f>
        <v>Não</v>
      </c>
      <c r="O1686" t="str">
        <f>IFERROR(INDEX(tEditais[SRP],MATCH(tItens[[#This Row],[Edital]],tEditais[Edital],0)),"Não")</f>
        <v>Sim</v>
      </c>
      <c r="P1686" s="4">
        <f>IF(COUNTIFS(INDEX(tItens[Edital],1):tItens[[#This Row],[Edital]],tItens[[#This Row],[Edital]],INDEX(tItens[Produto],1):tItens[[#This Row],[Produto]],tItens[[#This Row],[Produto]])=1,1,0)</f>
        <v>0</v>
      </c>
    </row>
    <row r="1687" spans="1:16" x14ac:dyDescent="0.25">
      <c r="A1687" t="s">
        <v>1152</v>
      </c>
      <c r="B1687">
        <v>336</v>
      </c>
      <c r="C1687" t="s">
        <v>4741</v>
      </c>
      <c r="D1687" t="s">
        <v>245</v>
      </c>
      <c r="E1687" s="13">
        <v>100</v>
      </c>
      <c r="F1687" s="12">
        <v>78.55</v>
      </c>
      <c r="G1687" t="str">
        <f>IFERROR(INDEX(tEditais[Órgão],MATCH(tItens[[#This Row],[Edital]],tEditais[Edital],0)),"")</f>
        <v>FUNDO MUNICIPAL DE SAUDE</v>
      </c>
      <c r="H1687" t="str">
        <f>IFERROR(INDEX(tEditais[UF],MATCH(tItens[[#This Row],[Edital]],tEditais[Edital],0)),"")</f>
        <v>GO</v>
      </c>
      <c r="I1687" s="11">
        <f>IFERROR(INDEX(tEditais[Encerramento],MATCH(tItens[[#This Row],[Edital]],tEditais[Edital],0)),"")</f>
        <v>46308.332638888889</v>
      </c>
      <c r="J1687" t="str">
        <f>IFERROR(INDEX(tProdutos[Classe],MATCH(tItens[[#This Row],[Produto]],tProdutos[Produto],0)),"produto não cadastrado")</f>
        <v>FORA</v>
      </c>
      <c r="K1687" s="12">
        <f>tItens[[#This Row],[Qtd]]*tItens[[#This Row],[Vlr unit]]</f>
        <v>7855</v>
      </c>
      <c r="L1687" s="6">
        <f>IFERROR(IF(INDEX(tProdutos[Desconto homologado],MATCH(tItens[[#This Row],[Produto]],tProdutos[Produto],0))="",DescontoPadrao,INDEX(tProdutos[Desconto homologado],MATCH(tItens[[#This Row],[Produto]],tProdutos[Produto],0))),DescontoPadrao)</f>
        <v>0.34516963542284401</v>
      </c>
      <c r="M1687" s="12">
        <f>tItens[[#This Row],[Valor]]*(1-tItens[[#This Row],[Desconto]])</f>
        <v>5143.6925137535609</v>
      </c>
      <c r="N1687" t="str">
        <f>IFERROR(INDEX(tProdutos[Foco],MATCH(tItens[[#This Row],[Produto]],tProdutos[Produto],0)),"Não")</f>
        <v>Não</v>
      </c>
      <c r="O1687" t="str">
        <f>IFERROR(INDEX(tEditais[SRP],MATCH(tItens[[#This Row],[Edital]],tEditais[Edital],0)),"Não")</f>
        <v>Sim</v>
      </c>
      <c r="P1687" s="4">
        <f>IF(COUNTIFS(INDEX(tItens[Edital],1):tItens[[#This Row],[Edital]],tItens[[#This Row],[Edital]],INDEX(tItens[Produto],1):tItens[[#This Row],[Produto]],tItens[[#This Row],[Produto]])=1,1,0)</f>
        <v>1</v>
      </c>
    </row>
    <row r="1688" spans="1:16" x14ac:dyDescent="0.25">
      <c r="A1688" t="s">
        <v>1156</v>
      </c>
      <c r="B1688">
        <v>1</v>
      </c>
      <c r="C1688" t="s">
        <v>4742</v>
      </c>
      <c r="D1688" t="s">
        <v>82</v>
      </c>
      <c r="E1688" s="13">
        <v>10</v>
      </c>
      <c r="F1688" s="12">
        <v>59.93</v>
      </c>
      <c r="G1688" t="str">
        <f>IFERROR(INDEX(tEditais[Órgão],MATCH(tItens[[#This Row],[Edital]],tEditais[Edital],0)),"")</f>
        <v>COMANDO DO EXERCITO</v>
      </c>
      <c r="H1688" t="str">
        <f>IFERROR(INDEX(tEditais[UF],MATCH(tItens[[#This Row],[Edital]],tEditais[Edital],0)),"")</f>
        <v>GO</v>
      </c>
      <c r="I1688" s="11">
        <f>IFERROR(INDEX(tEditais[Encerramento],MATCH(tItens[[#This Row],[Edital]],tEditais[Edital],0)),"")</f>
        <v>46308.333333333336</v>
      </c>
      <c r="J1688" t="str">
        <f>IFERROR(INDEX(tProdutos[Classe],MATCH(tItens[[#This Row],[Produto]],tProdutos[Produto],0)),"produto não cadastrado")</f>
        <v>NÚCLEO</v>
      </c>
      <c r="K1688" s="12">
        <f>tItens[[#This Row],[Qtd]]*tItens[[#This Row],[Vlr unit]]</f>
        <v>599.29999999999995</v>
      </c>
      <c r="L1688" s="6">
        <f>IFERROR(IF(INDEX(tProdutos[Desconto homologado],MATCH(tItens[[#This Row],[Produto]],tProdutos[Produto],0))="",DescontoPadrao,INDEX(tProdutos[Desconto homologado],MATCH(tItens[[#This Row],[Produto]],tProdutos[Produto],0))),DescontoPadrao)</f>
        <v>0.40487090276506099</v>
      </c>
      <c r="M1688" s="12">
        <f>tItens[[#This Row],[Valor]]*(1-tItens[[#This Row],[Desconto]])</f>
        <v>356.66086797289893</v>
      </c>
      <c r="N1688" t="str">
        <f>IFERROR(INDEX(tProdutos[Foco],MATCH(tItens[[#This Row],[Produto]],tProdutos[Produto],0)),"Não")</f>
        <v>Não</v>
      </c>
      <c r="O1688" t="str">
        <f>IFERROR(INDEX(tEditais[SRP],MATCH(tItens[[#This Row],[Edital]],tEditais[Edital],0)),"Não")</f>
        <v>Não</v>
      </c>
      <c r="P1688" s="4">
        <f>IF(COUNTIFS(INDEX(tItens[Edital],1):tItens[[#This Row],[Edital]],tItens[[#This Row],[Edital]],INDEX(tItens[Produto],1):tItens[[#This Row],[Produto]],tItens[[#This Row],[Produto]])=1,1,0)</f>
        <v>1</v>
      </c>
    </row>
    <row r="1689" spans="1:16" x14ac:dyDescent="0.25">
      <c r="A1689" t="s">
        <v>1156</v>
      </c>
      <c r="B1689">
        <v>2</v>
      </c>
      <c r="C1689" t="s">
        <v>4743</v>
      </c>
      <c r="D1689" t="s">
        <v>138</v>
      </c>
      <c r="E1689" s="13">
        <v>2</v>
      </c>
      <c r="F1689" s="12">
        <v>57.26</v>
      </c>
      <c r="G1689" t="str">
        <f>IFERROR(INDEX(tEditais[Órgão],MATCH(tItens[[#This Row],[Edital]],tEditais[Edital],0)),"")</f>
        <v>COMANDO DO EXERCITO</v>
      </c>
      <c r="H1689" t="str">
        <f>IFERROR(INDEX(tEditais[UF],MATCH(tItens[[#This Row],[Edital]],tEditais[Edital],0)),"")</f>
        <v>GO</v>
      </c>
      <c r="I1689" s="11">
        <f>IFERROR(INDEX(tEditais[Encerramento],MATCH(tItens[[#This Row],[Edital]],tEditais[Edital],0)),"")</f>
        <v>46308.333333333336</v>
      </c>
      <c r="J1689" t="str">
        <f>IFERROR(INDEX(tProdutos[Classe],MATCH(tItens[[#This Row],[Produto]],tProdutos[Produto],0)),"produto não cadastrado")</f>
        <v>DISPUTADO</v>
      </c>
      <c r="K1689" s="12">
        <f>tItens[[#This Row],[Qtd]]*tItens[[#This Row],[Vlr unit]]</f>
        <v>114.52</v>
      </c>
      <c r="L1689" s="6">
        <f>IFERROR(IF(INDEX(tProdutos[Desconto homologado],MATCH(tItens[[#This Row],[Produto]],tProdutos[Produto],0))="",DescontoPadrao,INDEX(tProdutos[Desconto homologado],MATCH(tItens[[#This Row],[Produto]],tProdutos[Produto],0))),DescontoPadrao)</f>
        <v>0.26998708082016998</v>
      </c>
      <c r="M1689" s="12">
        <f>tItens[[#This Row],[Valor]]*(1-tItens[[#This Row],[Desconto]])</f>
        <v>83.601079504474129</v>
      </c>
      <c r="N1689" t="str">
        <f>IFERROR(INDEX(tProdutos[Foco],MATCH(tItens[[#This Row],[Produto]],tProdutos[Produto],0)),"Não")</f>
        <v>Não</v>
      </c>
      <c r="O1689" t="str">
        <f>IFERROR(INDEX(tEditais[SRP],MATCH(tItens[[#This Row],[Edital]],tEditais[Edital],0)),"Não")</f>
        <v>Não</v>
      </c>
      <c r="P1689" s="4">
        <f>IF(COUNTIFS(INDEX(tItens[Edital],1):tItens[[#This Row],[Edital]],tItens[[#This Row],[Edital]],INDEX(tItens[Produto],1):tItens[[#This Row],[Produto]],tItens[[#This Row],[Produto]])=1,1,0)</f>
        <v>1</v>
      </c>
    </row>
    <row r="1690" spans="1:16" x14ac:dyDescent="0.25">
      <c r="A1690" t="s">
        <v>1156</v>
      </c>
      <c r="B1690">
        <v>8</v>
      </c>
      <c r="C1690" t="s">
        <v>4744</v>
      </c>
      <c r="D1690" t="s">
        <v>409</v>
      </c>
      <c r="E1690" s="13">
        <v>49</v>
      </c>
      <c r="F1690" s="12">
        <v>43.56</v>
      </c>
      <c r="G1690" t="str">
        <f>IFERROR(INDEX(tEditais[Órgão],MATCH(tItens[[#This Row],[Edital]],tEditais[Edital],0)),"")</f>
        <v>COMANDO DO EXERCITO</v>
      </c>
      <c r="H1690" t="str">
        <f>IFERROR(INDEX(tEditais[UF],MATCH(tItens[[#This Row],[Edital]],tEditais[Edital],0)),"")</f>
        <v>GO</v>
      </c>
      <c r="I1690" s="11">
        <f>IFERROR(INDEX(tEditais[Encerramento],MATCH(tItens[[#This Row],[Edital]],tEditais[Edital],0)),"")</f>
        <v>46308.333333333336</v>
      </c>
      <c r="J1690" t="str">
        <f>IFERROR(INDEX(tProdutos[Classe],MATCH(tItens[[#This Row],[Produto]],tProdutos[Produto],0)),"produto não cadastrado")</f>
        <v>FORA</v>
      </c>
      <c r="K1690" s="12">
        <f>tItens[[#This Row],[Qtd]]*tItens[[#This Row],[Vlr unit]]</f>
        <v>2134.44</v>
      </c>
      <c r="L1690" s="6">
        <f>IFERROR(IF(INDEX(tProdutos[Desconto homologado],MATCH(tItens[[#This Row],[Produto]],tProdutos[Produto],0))="",DescontoPadrao,INDEX(tProdutos[Desconto homologado],MATCH(tItens[[#This Row],[Produto]],tProdutos[Produto],0))),DescontoPadrao)</f>
        <v>0.24924924924924899</v>
      </c>
      <c r="M1690" s="12">
        <f>tItens[[#This Row],[Valor]]*(1-tItens[[#This Row],[Desconto]])</f>
        <v>1602.4324324324332</v>
      </c>
      <c r="N1690" t="str">
        <f>IFERROR(INDEX(tProdutos[Foco],MATCH(tItens[[#This Row],[Produto]],tProdutos[Produto],0)),"Não")</f>
        <v>Não</v>
      </c>
      <c r="O1690" t="str">
        <f>IFERROR(INDEX(tEditais[SRP],MATCH(tItens[[#This Row],[Edital]],tEditais[Edital],0)),"Não")</f>
        <v>Não</v>
      </c>
      <c r="P1690" s="4">
        <f>IF(COUNTIFS(INDEX(tItens[Edital],1):tItens[[#This Row],[Edital]],tItens[[#This Row],[Edital]],INDEX(tItens[Produto],1):tItens[[#This Row],[Produto]],tItens[[#This Row],[Produto]])=1,1,0)</f>
        <v>1</v>
      </c>
    </row>
    <row r="1691" spans="1:16" x14ac:dyDescent="0.25">
      <c r="A1691" t="s">
        <v>1160</v>
      </c>
      <c r="B1691">
        <v>1</v>
      </c>
      <c r="C1691" t="s">
        <v>4745</v>
      </c>
      <c r="D1691" t="s">
        <v>71</v>
      </c>
      <c r="E1691" s="13">
        <v>84</v>
      </c>
      <c r="F1691" s="12">
        <v>57.96</v>
      </c>
      <c r="G1691" t="str">
        <f>IFERROR(INDEX(tEditais[Órgão],MATCH(tItens[[#This Row],[Edital]],tEditais[Edital],0)),"")</f>
        <v>FUNDO MUNICIPAL DE SAUDE DE CERES</v>
      </c>
      <c r="H1691" t="str">
        <f>IFERROR(INDEX(tEditais[UF],MATCH(tItens[[#This Row],[Edital]],tEditais[Edital],0)),"")</f>
        <v>GO</v>
      </c>
      <c r="I1691" s="11">
        <f>IFERROR(INDEX(tEditais[Encerramento],MATCH(tItens[[#This Row],[Edital]],tEditais[Edital],0)),"")</f>
        <v>46308.333333333336</v>
      </c>
      <c r="J1691" t="str">
        <f>IFERROR(INDEX(tProdutos[Classe],MATCH(tItens[[#This Row],[Produto]],tProdutos[Produto],0)),"produto não cadastrado")</f>
        <v>NÚCLEO</v>
      </c>
      <c r="K1691" s="12">
        <f>tItens[[#This Row],[Qtd]]*tItens[[#This Row],[Vlr unit]]</f>
        <v>4868.6400000000003</v>
      </c>
      <c r="L1691" s="6">
        <f>IFERROR(IF(INDEX(tProdutos[Desconto homologado],MATCH(tItens[[#This Row],[Produto]],tProdutos[Produto],0))="",DescontoPadrao,INDEX(tProdutos[Desconto homologado],MATCH(tItens[[#This Row],[Produto]],tProdutos[Produto],0))),DescontoPadrao)</f>
        <v>0.44981412639405199</v>
      </c>
      <c r="M1691" s="12">
        <f>tItens[[#This Row],[Valor]]*(1-tItens[[#This Row],[Desconto]])</f>
        <v>2678.6569516728628</v>
      </c>
      <c r="N1691" t="str">
        <f>IFERROR(INDEX(tProdutos[Foco],MATCH(tItens[[#This Row],[Produto]],tProdutos[Produto],0)),"Não")</f>
        <v>Não</v>
      </c>
      <c r="O1691" t="str">
        <f>IFERROR(INDEX(tEditais[SRP],MATCH(tItens[[#This Row],[Edital]],tEditais[Edital],0)),"Não")</f>
        <v>Não</v>
      </c>
      <c r="P1691" s="4">
        <f>IF(COUNTIFS(INDEX(tItens[Edital],1):tItens[[#This Row],[Edital]],tItens[[#This Row],[Edital]],INDEX(tItens[Produto],1):tItens[[#This Row],[Produto]],tItens[[#This Row],[Produto]])=1,1,0)</f>
        <v>1</v>
      </c>
    </row>
    <row r="1692" spans="1:16" x14ac:dyDescent="0.25">
      <c r="A1692" t="s">
        <v>1160</v>
      </c>
      <c r="B1692">
        <v>2</v>
      </c>
      <c r="C1692" t="s">
        <v>4746</v>
      </c>
      <c r="D1692" t="s">
        <v>112</v>
      </c>
      <c r="E1692" s="13">
        <v>84</v>
      </c>
      <c r="F1692" s="12">
        <v>54.53</v>
      </c>
      <c r="G1692" t="str">
        <f>IFERROR(INDEX(tEditais[Órgão],MATCH(tItens[[#This Row],[Edital]],tEditais[Edital],0)),"")</f>
        <v>FUNDO MUNICIPAL DE SAUDE DE CERES</v>
      </c>
      <c r="H1692" t="str">
        <f>IFERROR(INDEX(tEditais[UF],MATCH(tItens[[#This Row],[Edital]],tEditais[Edital],0)),"")</f>
        <v>GO</v>
      </c>
      <c r="I1692" s="11">
        <f>IFERROR(INDEX(tEditais[Encerramento],MATCH(tItens[[#This Row],[Edital]],tEditais[Edital],0)),"")</f>
        <v>46308.333333333336</v>
      </c>
      <c r="J1692" t="str">
        <f>IFERROR(INDEX(tProdutos[Classe],MATCH(tItens[[#This Row],[Produto]],tProdutos[Produto],0)),"produto não cadastrado")</f>
        <v>DISPUTADO</v>
      </c>
      <c r="K1692" s="12">
        <f>tItens[[#This Row],[Qtd]]*tItens[[#This Row],[Vlr unit]]</f>
        <v>4580.5200000000004</v>
      </c>
      <c r="L1692" s="6">
        <f>IFERROR(IF(INDEX(tProdutos[Desconto homologado],MATCH(tItens[[#This Row],[Produto]],tProdutos[Produto],0))="",DescontoPadrao,INDEX(tProdutos[Desconto homologado],MATCH(tItens[[#This Row],[Produto]],tProdutos[Produto],0))),DescontoPadrao)</f>
        <v>0.35273348841447499</v>
      </c>
      <c r="M1692" s="12">
        <f>tItens[[#This Row],[Valor]]*(1-tItens[[#This Row],[Desconto]])</f>
        <v>2964.8172016477292</v>
      </c>
      <c r="N1692" t="str">
        <f>IFERROR(INDEX(tProdutos[Foco],MATCH(tItens[[#This Row],[Produto]],tProdutos[Produto],0)),"Não")</f>
        <v>Não</v>
      </c>
      <c r="O1692" t="str">
        <f>IFERROR(INDEX(tEditais[SRP],MATCH(tItens[[#This Row],[Edital]],tEditais[Edital],0)),"Não")</f>
        <v>Não</v>
      </c>
      <c r="P1692" s="4">
        <f>IF(COUNTIFS(INDEX(tItens[Edital],1):tItens[[#This Row],[Edital]],tItens[[#This Row],[Edital]],INDEX(tItens[Produto],1):tItens[[#This Row],[Produto]],tItens[[#This Row],[Produto]])=1,1,0)</f>
        <v>1</v>
      </c>
    </row>
    <row r="1693" spans="1:16" x14ac:dyDescent="0.25">
      <c r="A1693" t="s">
        <v>1160</v>
      </c>
      <c r="B1693">
        <v>3</v>
      </c>
      <c r="C1693" t="s">
        <v>4747</v>
      </c>
      <c r="D1693" t="s">
        <v>82</v>
      </c>
      <c r="E1693" s="13">
        <v>84</v>
      </c>
      <c r="F1693" s="12">
        <v>50.95</v>
      </c>
      <c r="G1693" t="str">
        <f>IFERROR(INDEX(tEditais[Órgão],MATCH(tItens[[#This Row],[Edital]],tEditais[Edital],0)),"")</f>
        <v>FUNDO MUNICIPAL DE SAUDE DE CERES</v>
      </c>
      <c r="H1693" t="str">
        <f>IFERROR(INDEX(tEditais[UF],MATCH(tItens[[#This Row],[Edital]],tEditais[Edital],0)),"")</f>
        <v>GO</v>
      </c>
      <c r="I1693" s="11">
        <f>IFERROR(INDEX(tEditais[Encerramento],MATCH(tItens[[#This Row],[Edital]],tEditais[Edital],0)),"")</f>
        <v>46308.333333333336</v>
      </c>
      <c r="J1693" t="str">
        <f>IFERROR(INDEX(tProdutos[Classe],MATCH(tItens[[#This Row],[Produto]],tProdutos[Produto],0)),"produto não cadastrado")</f>
        <v>NÚCLEO</v>
      </c>
      <c r="K1693" s="12">
        <f>tItens[[#This Row],[Qtd]]*tItens[[#This Row],[Vlr unit]]</f>
        <v>4279.8</v>
      </c>
      <c r="L1693" s="6">
        <f>IFERROR(IF(INDEX(tProdutos[Desconto homologado],MATCH(tItens[[#This Row],[Produto]],tProdutos[Produto],0))="",DescontoPadrao,INDEX(tProdutos[Desconto homologado],MATCH(tItens[[#This Row],[Produto]],tProdutos[Produto],0))),DescontoPadrao)</f>
        <v>0.40487090276506099</v>
      </c>
      <c r="M1693" s="12">
        <f>tItens[[#This Row],[Valor]]*(1-tItens[[#This Row],[Desconto]])</f>
        <v>2547.033510346092</v>
      </c>
      <c r="N1693" t="str">
        <f>IFERROR(INDEX(tProdutos[Foco],MATCH(tItens[[#This Row],[Produto]],tProdutos[Produto],0)),"Não")</f>
        <v>Não</v>
      </c>
      <c r="O1693" t="str">
        <f>IFERROR(INDEX(tEditais[SRP],MATCH(tItens[[#This Row],[Edital]],tEditais[Edital],0)),"Não")</f>
        <v>Não</v>
      </c>
      <c r="P1693" s="4">
        <f>IF(COUNTIFS(INDEX(tItens[Edital],1):tItens[[#This Row],[Edital]],tItens[[#This Row],[Edital]],INDEX(tItens[Produto],1):tItens[[#This Row],[Produto]],tItens[[#This Row],[Produto]])=1,1,0)</f>
        <v>1</v>
      </c>
    </row>
    <row r="1694" spans="1:16" x14ac:dyDescent="0.25">
      <c r="A1694" t="s">
        <v>1160</v>
      </c>
      <c r="B1694">
        <v>4</v>
      </c>
      <c r="C1694" t="s">
        <v>4748</v>
      </c>
      <c r="D1694" t="s">
        <v>315</v>
      </c>
      <c r="E1694" s="13">
        <v>84</v>
      </c>
      <c r="F1694" s="12">
        <v>38.93</v>
      </c>
      <c r="G1694" t="str">
        <f>IFERROR(INDEX(tEditais[Órgão],MATCH(tItens[[#This Row],[Edital]],tEditais[Edital],0)),"")</f>
        <v>FUNDO MUNICIPAL DE SAUDE DE CERES</v>
      </c>
      <c r="H1694" t="str">
        <f>IFERROR(INDEX(tEditais[UF],MATCH(tItens[[#This Row],[Edital]],tEditais[Edital],0)),"")</f>
        <v>GO</v>
      </c>
      <c r="I1694" s="11">
        <f>IFERROR(INDEX(tEditais[Encerramento],MATCH(tItens[[#This Row],[Edital]],tEditais[Edital],0)),"")</f>
        <v>46308.333333333336</v>
      </c>
      <c r="J1694" t="str">
        <f>IFERROR(INDEX(tProdutos[Classe],MATCH(tItens[[#This Row],[Produto]],tProdutos[Produto],0)),"produto não cadastrado")</f>
        <v>FORA</v>
      </c>
      <c r="K1694" s="12">
        <f>tItens[[#This Row],[Qtd]]*tItens[[#This Row],[Vlr unit]]</f>
        <v>3270.12</v>
      </c>
      <c r="L1694" s="6">
        <f>IFERROR(IF(INDEX(tProdutos[Desconto homologado],MATCH(tItens[[#This Row],[Produto]],tProdutos[Produto],0))="",DescontoPadrao,INDEX(tProdutos[Desconto homologado],MATCH(tItens[[#This Row],[Produto]],tProdutos[Produto],0))),DescontoPadrao)</f>
        <v>0.38432036097010702</v>
      </c>
      <c r="M1694" s="12">
        <f>tItens[[#This Row],[Valor]]*(1-tItens[[#This Row],[Desconto]])</f>
        <v>2013.3463011844335</v>
      </c>
      <c r="N1694" t="str">
        <f>IFERROR(INDEX(tProdutos[Foco],MATCH(tItens[[#This Row],[Produto]],tProdutos[Produto],0)),"Não")</f>
        <v>Não</v>
      </c>
      <c r="O1694" t="str">
        <f>IFERROR(INDEX(tEditais[SRP],MATCH(tItens[[#This Row],[Edital]],tEditais[Edital],0)),"Não")</f>
        <v>Não</v>
      </c>
      <c r="P1694" s="4">
        <f>IF(COUNTIFS(INDEX(tItens[Edital],1):tItens[[#This Row],[Edital]],tItens[[#This Row],[Edital]],INDEX(tItens[Produto],1):tItens[[#This Row],[Produto]],tItens[[#This Row],[Produto]])=1,1,0)</f>
        <v>1</v>
      </c>
    </row>
    <row r="1695" spans="1:16" x14ac:dyDescent="0.25">
      <c r="A1695" t="s">
        <v>1160</v>
      </c>
      <c r="B1695">
        <v>5</v>
      </c>
      <c r="C1695" t="s">
        <v>4749</v>
      </c>
      <c r="D1695" t="s">
        <v>315</v>
      </c>
      <c r="E1695" s="13">
        <v>50</v>
      </c>
      <c r="F1695" s="12">
        <v>29.73</v>
      </c>
      <c r="G1695" t="str">
        <f>IFERROR(INDEX(tEditais[Órgão],MATCH(tItens[[#This Row],[Edital]],tEditais[Edital],0)),"")</f>
        <v>FUNDO MUNICIPAL DE SAUDE DE CERES</v>
      </c>
      <c r="H1695" t="str">
        <f>IFERROR(INDEX(tEditais[UF],MATCH(tItens[[#This Row],[Edital]],tEditais[Edital],0)),"")</f>
        <v>GO</v>
      </c>
      <c r="I1695" s="11">
        <f>IFERROR(INDEX(tEditais[Encerramento],MATCH(tItens[[#This Row],[Edital]],tEditais[Edital],0)),"")</f>
        <v>46308.333333333336</v>
      </c>
      <c r="J1695" t="str">
        <f>IFERROR(INDEX(tProdutos[Classe],MATCH(tItens[[#This Row],[Produto]],tProdutos[Produto],0)),"produto não cadastrado")</f>
        <v>FORA</v>
      </c>
      <c r="K1695" s="12">
        <f>tItens[[#This Row],[Qtd]]*tItens[[#This Row],[Vlr unit]]</f>
        <v>1486.5</v>
      </c>
      <c r="L1695" s="6">
        <f>IFERROR(IF(INDEX(tProdutos[Desconto homologado],MATCH(tItens[[#This Row],[Produto]],tProdutos[Produto],0))="",DescontoPadrao,INDEX(tProdutos[Desconto homologado],MATCH(tItens[[#This Row],[Produto]],tProdutos[Produto],0))),DescontoPadrao)</f>
        <v>0.38432036097010702</v>
      </c>
      <c r="M1695" s="12">
        <f>tItens[[#This Row],[Valor]]*(1-tItens[[#This Row],[Desconto]])</f>
        <v>915.20778341793596</v>
      </c>
      <c r="N1695" t="str">
        <f>IFERROR(INDEX(tProdutos[Foco],MATCH(tItens[[#This Row],[Produto]],tProdutos[Produto],0)),"Não")</f>
        <v>Não</v>
      </c>
      <c r="O1695" t="str">
        <f>IFERROR(INDEX(tEditais[SRP],MATCH(tItens[[#This Row],[Edital]],tEditais[Edital],0)),"Não")</f>
        <v>Não</v>
      </c>
      <c r="P1695" s="4">
        <f>IF(COUNTIFS(INDEX(tItens[Edital],1):tItens[[#This Row],[Edital]],tItens[[#This Row],[Edital]],INDEX(tItens[Produto],1):tItens[[#This Row],[Produto]],tItens[[#This Row],[Produto]])=1,1,0)</f>
        <v>0</v>
      </c>
    </row>
    <row r="1696" spans="1:16" x14ac:dyDescent="0.25">
      <c r="A1696" t="s">
        <v>1160</v>
      </c>
      <c r="B1696">
        <v>28</v>
      </c>
      <c r="C1696" t="s">
        <v>4750</v>
      </c>
      <c r="D1696" t="s">
        <v>423</v>
      </c>
      <c r="E1696" s="13">
        <v>20</v>
      </c>
      <c r="F1696" s="12">
        <v>33.17</v>
      </c>
      <c r="G1696" t="str">
        <f>IFERROR(INDEX(tEditais[Órgão],MATCH(tItens[[#This Row],[Edital]],tEditais[Edital],0)),"")</f>
        <v>FUNDO MUNICIPAL DE SAUDE DE CERES</v>
      </c>
      <c r="H1696" t="str">
        <f>IFERROR(INDEX(tEditais[UF],MATCH(tItens[[#This Row],[Edital]],tEditais[Edital],0)),"")</f>
        <v>GO</v>
      </c>
      <c r="I1696" s="11">
        <f>IFERROR(INDEX(tEditais[Encerramento],MATCH(tItens[[#This Row],[Edital]],tEditais[Edital],0)),"")</f>
        <v>46308.333333333336</v>
      </c>
      <c r="J1696" t="str">
        <f>IFERROR(INDEX(tProdutos[Classe],MATCH(tItens[[#This Row],[Produto]],tProdutos[Produto],0)),"produto não cadastrado")</f>
        <v>FORA</v>
      </c>
      <c r="K1696" s="12">
        <f>tItens[[#This Row],[Qtd]]*tItens[[#This Row],[Vlr unit]]</f>
        <v>663.40000000000009</v>
      </c>
      <c r="L1696" s="6">
        <f>IFERROR(IF(INDEX(tProdutos[Desconto homologado],MATCH(tItens[[#This Row],[Produto]],tProdutos[Produto],0))="",DescontoPadrao,INDEX(tProdutos[Desconto homologado],MATCH(tItens[[#This Row],[Produto]],tProdutos[Produto],0))),DescontoPadrao)</f>
        <v>0.38271604938271597</v>
      </c>
      <c r="M1696" s="12">
        <f>tItens[[#This Row],[Valor]]*(1-tItens[[#This Row],[Desconto]])</f>
        <v>409.50617283950629</v>
      </c>
      <c r="N1696" t="str">
        <f>IFERROR(INDEX(tProdutos[Foco],MATCH(tItens[[#This Row],[Produto]],tProdutos[Produto],0)),"Não")</f>
        <v>Não</v>
      </c>
      <c r="O1696" t="str">
        <f>IFERROR(INDEX(tEditais[SRP],MATCH(tItens[[#This Row],[Edital]],tEditais[Edital],0)),"Não")</f>
        <v>Não</v>
      </c>
      <c r="P1696" s="4">
        <f>IF(COUNTIFS(INDEX(tItens[Edital],1):tItens[[#This Row],[Edital]],tItens[[#This Row],[Edital]],INDEX(tItens[Produto],1):tItens[[#This Row],[Produto]],tItens[[#This Row],[Produto]])=1,1,0)</f>
        <v>1</v>
      </c>
    </row>
    <row r="1697" spans="1:16" x14ac:dyDescent="0.25">
      <c r="A1697" t="s">
        <v>1160</v>
      </c>
      <c r="B1697">
        <v>53</v>
      </c>
      <c r="C1697" t="s">
        <v>4751</v>
      </c>
      <c r="D1697" t="s">
        <v>56</v>
      </c>
      <c r="E1697" s="13">
        <v>20</v>
      </c>
      <c r="F1697" s="12">
        <v>52.97</v>
      </c>
      <c r="G1697" t="str">
        <f>IFERROR(INDEX(tEditais[Órgão],MATCH(tItens[[#This Row],[Edital]],tEditais[Edital],0)),"")</f>
        <v>FUNDO MUNICIPAL DE SAUDE DE CERES</v>
      </c>
      <c r="H1697" t="str">
        <f>IFERROR(INDEX(tEditais[UF],MATCH(tItens[[#This Row],[Edital]],tEditais[Edital],0)),"")</f>
        <v>GO</v>
      </c>
      <c r="I1697" s="11">
        <f>IFERROR(INDEX(tEditais[Encerramento],MATCH(tItens[[#This Row],[Edital]],tEditais[Edital],0)),"")</f>
        <v>46308.333333333336</v>
      </c>
      <c r="J1697" t="str">
        <f>IFERROR(INDEX(tProdutos[Classe],MATCH(tItens[[#This Row],[Produto]],tProdutos[Produto],0)),"produto não cadastrado")</f>
        <v>NÚCLEO</v>
      </c>
      <c r="K1697" s="12">
        <f>tItens[[#This Row],[Qtd]]*tItens[[#This Row],[Vlr unit]]</f>
        <v>1059.4000000000001</v>
      </c>
      <c r="L1697" s="6">
        <f>IFERROR(IF(INDEX(tProdutos[Desconto homologado],MATCH(tItens[[#This Row],[Produto]],tProdutos[Produto],0))="",DescontoPadrao,INDEX(tProdutos[Desconto homologado],MATCH(tItens[[#This Row],[Produto]],tProdutos[Produto],0))),DescontoPadrao)</f>
        <v>0.34</v>
      </c>
      <c r="M1697" s="12">
        <f>tItens[[#This Row],[Valor]]*(1-tItens[[#This Row],[Desconto]])</f>
        <v>699.20399999999995</v>
      </c>
      <c r="N1697" t="str">
        <f>IFERROR(INDEX(tProdutos[Foco],MATCH(tItens[[#This Row],[Produto]],tProdutos[Produto],0)),"Não")</f>
        <v>Sim</v>
      </c>
      <c r="O1697" t="str">
        <f>IFERROR(INDEX(tEditais[SRP],MATCH(tItens[[#This Row],[Edital]],tEditais[Edital],0)),"Não")</f>
        <v>Não</v>
      </c>
      <c r="P1697" s="4">
        <f>IF(COUNTIFS(INDEX(tItens[Edital],1):tItens[[#This Row],[Edital]],tItens[[#This Row],[Edital]],INDEX(tItens[Produto],1):tItens[[#This Row],[Produto]],tItens[[#This Row],[Produto]])=1,1,0)</f>
        <v>1</v>
      </c>
    </row>
    <row r="1698" spans="1:16" x14ac:dyDescent="0.25">
      <c r="A1698" t="s">
        <v>1160</v>
      </c>
      <c r="B1698">
        <v>54</v>
      </c>
      <c r="C1698" t="s">
        <v>4752</v>
      </c>
      <c r="D1698" t="s">
        <v>56</v>
      </c>
      <c r="E1698" s="13">
        <v>50</v>
      </c>
      <c r="F1698" s="12">
        <v>49.3</v>
      </c>
      <c r="G1698" t="str">
        <f>IFERROR(INDEX(tEditais[Órgão],MATCH(tItens[[#This Row],[Edital]],tEditais[Edital],0)),"")</f>
        <v>FUNDO MUNICIPAL DE SAUDE DE CERES</v>
      </c>
      <c r="H1698" t="str">
        <f>IFERROR(INDEX(tEditais[UF],MATCH(tItens[[#This Row],[Edital]],tEditais[Edital],0)),"")</f>
        <v>GO</v>
      </c>
      <c r="I1698" s="11">
        <f>IFERROR(INDEX(tEditais[Encerramento],MATCH(tItens[[#This Row],[Edital]],tEditais[Edital],0)),"")</f>
        <v>46308.333333333336</v>
      </c>
      <c r="J1698" t="str">
        <f>IFERROR(INDEX(tProdutos[Classe],MATCH(tItens[[#This Row],[Produto]],tProdutos[Produto],0)),"produto não cadastrado")</f>
        <v>NÚCLEO</v>
      </c>
      <c r="K1698" s="12">
        <f>tItens[[#This Row],[Qtd]]*tItens[[#This Row],[Vlr unit]]</f>
        <v>2465</v>
      </c>
      <c r="L1698" s="6">
        <f>IFERROR(IF(INDEX(tProdutos[Desconto homologado],MATCH(tItens[[#This Row],[Produto]],tProdutos[Produto],0))="",DescontoPadrao,INDEX(tProdutos[Desconto homologado],MATCH(tItens[[#This Row],[Produto]],tProdutos[Produto],0))),DescontoPadrao)</f>
        <v>0.34</v>
      </c>
      <c r="M1698" s="12">
        <f>tItens[[#This Row],[Valor]]*(1-tItens[[#This Row],[Desconto]])</f>
        <v>1626.8999999999999</v>
      </c>
      <c r="N1698" t="str">
        <f>IFERROR(INDEX(tProdutos[Foco],MATCH(tItens[[#This Row],[Produto]],tProdutos[Produto],0)),"Não")</f>
        <v>Sim</v>
      </c>
      <c r="O1698" t="str">
        <f>IFERROR(INDEX(tEditais[SRP],MATCH(tItens[[#This Row],[Edital]],tEditais[Edital],0)),"Não")</f>
        <v>Não</v>
      </c>
      <c r="P1698" s="4">
        <f>IF(COUNTIFS(INDEX(tItens[Edital],1):tItens[[#This Row],[Edital]],tItens[[#This Row],[Edital]],INDEX(tItens[Produto],1):tItens[[#This Row],[Produto]],tItens[[#This Row],[Produto]])=1,1,0)</f>
        <v>0</v>
      </c>
    </row>
    <row r="1699" spans="1:16" x14ac:dyDescent="0.25">
      <c r="A1699" t="s">
        <v>1160</v>
      </c>
      <c r="B1699">
        <v>57</v>
      </c>
      <c r="C1699" t="s">
        <v>4753</v>
      </c>
      <c r="D1699" t="s">
        <v>241</v>
      </c>
      <c r="E1699" s="13">
        <v>300</v>
      </c>
      <c r="F1699" s="12">
        <v>36.58</v>
      </c>
      <c r="G1699" t="str">
        <f>IFERROR(INDEX(tEditais[Órgão],MATCH(tItens[[#This Row],[Edital]],tEditais[Edital],0)),"")</f>
        <v>FUNDO MUNICIPAL DE SAUDE DE CERES</v>
      </c>
      <c r="H1699" t="str">
        <f>IFERROR(INDEX(tEditais[UF],MATCH(tItens[[#This Row],[Edital]],tEditais[Edital],0)),"")</f>
        <v>GO</v>
      </c>
      <c r="I1699" s="11">
        <f>IFERROR(INDEX(tEditais[Encerramento],MATCH(tItens[[#This Row],[Edital]],tEditais[Edital],0)),"")</f>
        <v>46308.333333333336</v>
      </c>
      <c r="J1699" t="str">
        <f>IFERROR(INDEX(tProdutos[Classe],MATCH(tItens[[#This Row],[Produto]],tProdutos[Produto],0)),"produto não cadastrado")</f>
        <v>DISPUTADO</v>
      </c>
      <c r="K1699" s="12">
        <f>tItens[[#This Row],[Qtd]]*tItens[[#This Row],[Vlr unit]]</f>
        <v>10974</v>
      </c>
      <c r="L1699" s="6">
        <f>IFERROR(IF(INDEX(tProdutos[Desconto homologado],MATCH(tItens[[#This Row],[Produto]],tProdutos[Produto],0))="",DescontoPadrao,INDEX(tProdutos[Desconto homologado],MATCH(tItens[[#This Row],[Produto]],tProdutos[Produto],0))),DescontoPadrao)</f>
        <v>0.36881329157903497</v>
      </c>
      <c r="M1699" s="12">
        <f>tItens[[#This Row],[Valor]]*(1-tItens[[#This Row],[Desconto]])</f>
        <v>6926.6429382116703</v>
      </c>
      <c r="N1699" t="str">
        <f>IFERROR(INDEX(tProdutos[Foco],MATCH(tItens[[#This Row],[Produto]],tProdutos[Produto],0)),"Não")</f>
        <v>Não</v>
      </c>
      <c r="O1699" t="str">
        <f>IFERROR(INDEX(tEditais[SRP],MATCH(tItens[[#This Row],[Edital]],tEditais[Edital],0)),"Não")</f>
        <v>Não</v>
      </c>
      <c r="P1699" s="4">
        <f>IF(COUNTIFS(INDEX(tItens[Edital],1):tItens[[#This Row],[Edital]],tItens[[#This Row],[Edital]],INDEX(tItens[Produto],1):tItens[[#This Row],[Produto]],tItens[[#This Row],[Produto]])=1,1,0)</f>
        <v>1</v>
      </c>
    </row>
    <row r="1700" spans="1:16" x14ac:dyDescent="0.25">
      <c r="A1700" t="s">
        <v>1160</v>
      </c>
      <c r="B1700">
        <v>68</v>
      </c>
      <c r="C1700" t="s">
        <v>4754</v>
      </c>
      <c r="D1700" t="s">
        <v>56</v>
      </c>
      <c r="E1700" s="13">
        <v>10</v>
      </c>
      <c r="F1700" s="12">
        <v>64.52</v>
      </c>
      <c r="G1700" t="str">
        <f>IFERROR(INDEX(tEditais[Órgão],MATCH(tItens[[#This Row],[Edital]],tEditais[Edital],0)),"")</f>
        <v>FUNDO MUNICIPAL DE SAUDE DE CERES</v>
      </c>
      <c r="H1700" t="str">
        <f>IFERROR(INDEX(tEditais[UF],MATCH(tItens[[#This Row],[Edital]],tEditais[Edital],0)),"")</f>
        <v>GO</v>
      </c>
      <c r="I1700" s="11">
        <f>IFERROR(INDEX(tEditais[Encerramento],MATCH(tItens[[#This Row],[Edital]],tEditais[Edital],0)),"")</f>
        <v>46308.333333333336</v>
      </c>
      <c r="J1700" t="str">
        <f>IFERROR(INDEX(tProdutos[Classe],MATCH(tItens[[#This Row],[Produto]],tProdutos[Produto],0)),"produto não cadastrado")</f>
        <v>NÚCLEO</v>
      </c>
      <c r="K1700" s="12">
        <f>tItens[[#This Row],[Qtd]]*tItens[[#This Row],[Vlr unit]]</f>
        <v>645.19999999999993</v>
      </c>
      <c r="L1700" s="6">
        <f>IFERROR(IF(INDEX(tProdutos[Desconto homologado],MATCH(tItens[[#This Row],[Produto]],tProdutos[Produto],0))="",DescontoPadrao,INDEX(tProdutos[Desconto homologado],MATCH(tItens[[#This Row],[Produto]],tProdutos[Produto],0))),DescontoPadrao)</f>
        <v>0.34</v>
      </c>
      <c r="M1700" s="12">
        <f>tItens[[#This Row],[Valor]]*(1-tItens[[#This Row],[Desconto]])</f>
        <v>425.83199999999988</v>
      </c>
      <c r="N1700" t="str">
        <f>IFERROR(INDEX(tProdutos[Foco],MATCH(tItens[[#This Row],[Produto]],tProdutos[Produto],0)),"Não")</f>
        <v>Sim</v>
      </c>
      <c r="O1700" t="str">
        <f>IFERROR(INDEX(tEditais[SRP],MATCH(tItens[[#This Row],[Edital]],tEditais[Edital],0)),"Não")</f>
        <v>Não</v>
      </c>
      <c r="P1700" s="4">
        <f>IF(COUNTIFS(INDEX(tItens[Edital],1):tItens[[#This Row],[Edital]],tItens[[#This Row],[Edital]],INDEX(tItens[Produto],1):tItens[[#This Row],[Produto]],tItens[[#This Row],[Produto]])=1,1,0)</f>
        <v>0</v>
      </c>
    </row>
    <row r="1701" spans="1:16" x14ac:dyDescent="0.25">
      <c r="A1701" t="s">
        <v>1160</v>
      </c>
      <c r="B1701">
        <v>69</v>
      </c>
      <c r="C1701" t="s">
        <v>4755</v>
      </c>
      <c r="D1701" t="s">
        <v>241</v>
      </c>
      <c r="E1701" s="13">
        <v>600</v>
      </c>
      <c r="F1701" s="12">
        <v>8.5299999999999994</v>
      </c>
      <c r="G1701" t="str">
        <f>IFERROR(INDEX(tEditais[Órgão],MATCH(tItens[[#This Row],[Edital]],tEditais[Edital],0)),"")</f>
        <v>FUNDO MUNICIPAL DE SAUDE DE CERES</v>
      </c>
      <c r="H1701" t="str">
        <f>IFERROR(INDEX(tEditais[UF],MATCH(tItens[[#This Row],[Edital]],tEditais[Edital],0)),"")</f>
        <v>GO</v>
      </c>
      <c r="I1701" s="11">
        <f>IFERROR(INDEX(tEditais[Encerramento],MATCH(tItens[[#This Row],[Edital]],tEditais[Edital],0)),"")</f>
        <v>46308.333333333336</v>
      </c>
      <c r="J1701" t="str">
        <f>IFERROR(INDEX(tProdutos[Classe],MATCH(tItens[[#This Row],[Produto]],tProdutos[Produto],0)),"produto não cadastrado")</f>
        <v>DISPUTADO</v>
      </c>
      <c r="K1701" s="12">
        <f>tItens[[#This Row],[Qtd]]*tItens[[#This Row],[Vlr unit]]</f>
        <v>5118</v>
      </c>
      <c r="L1701" s="6">
        <f>IFERROR(IF(INDEX(tProdutos[Desconto homologado],MATCH(tItens[[#This Row],[Produto]],tProdutos[Produto],0))="",DescontoPadrao,INDEX(tProdutos[Desconto homologado],MATCH(tItens[[#This Row],[Produto]],tProdutos[Produto],0))),DescontoPadrao)</f>
        <v>0.36881329157903497</v>
      </c>
      <c r="M1701" s="12">
        <f>tItens[[#This Row],[Valor]]*(1-tItens[[#This Row],[Desconto]])</f>
        <v>3230.413573698499</v>
      </c>
      <c r="N1701" t="str">
        <f>IFERROR(INDEX(tProdutos[Foco],MATCH(tItens[[#This Row],[Produto]],tProdutos[Produto],0)),"Não")</f>
        <v>Não</v>
      </c>
      <c r="O1701" t="str">
        <f>IFERROR(INDEX(tEditais[SRP],MATCH(tItens[[#This Row],[Edital]],tEditais[Edital],0)),"Não")</f>
        <v>Não</v>
      </c>
      <c r="P1701" s="4">
        <f>IF(COUNTIFS(INDEX(tItens[Edital],1):tItens[[#This Row],[Edital]],tItens[[#This Row],[Edital]],INDEX(tItens[Produto],1):tItens[[#This Row],[Produto]],tItens[[#This Row],[Produto]])=1,1,0)</f>
        <v>0</v>
      </c>
    </row>
    <row r="1702" spans="1:16" x14ac:dyDescent="0.25">
      <c r="A1702" t="s">
        <v>1160</v>
      </c>
      <c r="B1702">
        <v>109</v>
      </c>
      <c r="C1702" t="s">
        <v>4756</v>
      </c>
      <c r="D1702" t="s">
        <v>455</v>
      </c>
      <c r="E1702" s="13">
        <v>6</v>
      </c>
      <c r="F1702" s="12">
        <v>97.61</v>
      </c>
      <c r="G1702" t="str">
        <f>IFERROR(INDEX(tEditais[Órgão],MATCH(tItens[[#This Row],[Edital]],tEditais[Edital],0)),"")</f>
        <v>FUNDO MUNICIPAL DE SAUDE DE CERES</v>
      </c>
      <c r="H1702" t="str">
        <f>IFERROR(INDEX(tEditais[UF],MATCH(tItens[[#This Row],[Edital]],tEditais[Edital],0)),"")</f>
        <v>GO</v>
      </c>
      <c r="I1702" s="11">
        <f>IFERROR(INDEX(tEditais[Encerramento],MATCH(tItens[[#This Row],[Edital]],tEditais[Edital],0)),"")</f>
        <v>46308.333333333336</v>
      </c>
      <c r="J1702" t="str">
        <f>IFERROR(INDEX(tProdutos[Classe],MATCH(tItens[[#This Row],[Produto]],tProdutos[Produto],0)),"produto não cadastrado")</f>
        <v>FILA REBASE</v>
      </c>
      <c r="K1702" s="12">
        <f>tItens[[#This Row],[Qtd]]*tItens[[#This Row],[Vlr unit]]</f>
        <v>585.66</v>
      </c>
      <c r="L1702" s="6">
        <f>IFERROR(IF(INDEX(tProdutos[Desconto homologado],MATCH(tItens[[#This Row],[Produto]],tProdutos[Produto],0))="",DescontoPadrao,INDEX(tProdutos[Desconto homologado],MATCH(tItens[[#This Row],[Produto]],tProdutos[Produto],0))),DescontoPadrao)</f>
        <v>0.29595946765523801</v>
      </c>
      <c r="M1702" s="12">
        <f>tItens[[#This Row],[Valor]]*(1-tItens[[#This Row],[Desconto]])</f>
        <v>412.32837817303334</v>
      </c>
      <c r="N1702" t="str">
        <f>IFERROR(INDEX(tProdutos[Foco],MATCH(tItens[[#This Row],[Produto]],tProdutos[Produto],0)),"Não")</f>
        <v>Não</v>
      </c>
      <c r="O1702" t="str">
        <f>IFERROR(INDEX(tEditais[SRP],MATCH(tItens[[#This Row],[Edital]],tEditais[Edital],0)),"Não")</f>
        <v>Não</v>
      </c>
      <c r="P1702" s="4">
        <f>IF(COUNTIFS(INDEX(tItens[Edital],1):tItens[[#This Row],[Edital]],tItens[[#This Row],[Edital]],INDEX(tItens[Produto],1):tItens[[#This Row],[Produto]],tItens[[#This Row],[Produto]])=1,1,0)</f>
        <v>1</v>
      </c>
    </row>
    <row r="1703" spans="1:16" x14ac:dyDescent="0.25">
      <c r="A1703" t="s">
        <v>1160</v>
      </c>
      <c r="B1703">
        <v>110</v>
      </c>
      <c r="C1703" t="s">
        <v>4757</v>
      </c>
      <c r="D1703" t="s">
        <v>455</v>
      </c>
      <c r="E1703" s="13">
        <v>6</v>
      </c>
      <c r="F1703" s="12">
        <v>97.61</v>
      </c>
      <c r="G1703" t="str">
        <f>IFERROR(INDEX(tEditais[Órgão],MATCH(tItens[[#This Row],[Edital]],tEditais[Edital],0)),"")</f>
        <v>FUNDO MUNICIPAL DE SAUDE DE CERES</v>
      </c>
      <c r="H1703" t="str">
        <f>IFERROR(INDEX(tEditais[UF],MATCH(tItens[[#This Row],[Edital]],tEditais[Edital],0)),"")</f>
        <v>GO</v>
      </c>
      <c r="I1703" s="11">
        <f>IFERROR(INDEX(tEditais[Encerramento],MATCH(tItens[[#This Row],[Edital]],tEditais[Edital],0)),"")</f>
        <v>46308.333333333336</v>
      </c>
      <c r="J1703" t="str">
        <f>IFERROR(INDEX(tProdutos[Classe],MATCH(tItens[[#This Row],[Produto]],tProdutos[Produto],0)),"produto não cadastrado")</f>
        <v>FILA REBASE</v>
      </c>
      <c r="K1703" s="12">
        <f>tItens[[#This Row],[Qtd]]*tItens[[#This Row],[Vlr unit]]</f>
        <v>585.66</v>
      </c>
      <c r="L1703" s="6">
        <f>IFERROR(IF(INDEX(tProdutos[Desconto homologado],MATCH(tItens[[#This Row],[Produto]],tProdutos[Produto],0))="",DescontoPadrao,INDEX(tProdutos[Desconto homologado],MATCH(tItens[[#This Row],[Produto]],tProdutos[Produto],0))),DescontoPadrao)</f>
        <v>0.29595946765523801</v>
      </c>
      <c r="M1703" s="12">
        <f>tItens[[#This Row],[Valor]]*(1-tItens[[#This Row],[Desconto]])</f>
        <v>412.32837817303334</v>
      </c>
      <c r="N1703" t="str">
        <f>IFERROR(INDEX(tProdutos[Foco],MATCH(tItens[[#This Row],[Produto]],tProdutos[Produto],0)),"Não")</f>
        <v>Não</v>
      </c>
      <c r="O1703" t="str">
        <f>IFERROR(INDEX(tEditais[SRP],MATCH(tItens[[#This Row],[Edital]],tEditais[Edital],0)),"Não")</f>
        <v>Não</v>
      </c>
      <c r="P1703" s="4">
        <f>IF(COUNTIFS(INDEX(tItens[Edital],1):tItens[[#This Row],[Edital]],tItens[[#This Row],[Edital]],INDEX(tItens[Produto],1):tItens[[#This Row],[Produto]],tItens[[#This Row],[Produto]])=1,1,0)</f>
        <v>0</v>
      </c>
    </row>
    <row r="1704" spans="1:16" x14ac:dyDescent="0.25">
      <c r="A1704" t="s">
        <v>1160</v>
      </c>
      <c r="B1704">
        <v>111</v>
      </c>
      <c r="C1704" t="s">
        <v>4758</v>
      </c>
      <c r="D1704" t="s">
        <v>455</v>
      </c>
      <c r="E1704" s="13">
        <v>6</v>
      </c>
      <c r="F1704" s="12">
        <v>97.61</v>
      </c>
      <c r="G1704" t="str">
        <f>IFERROR(INDEX(tEditais[Órgão],MATCH(tItens[[#This Row],[Edital]],tEditais[Edital],0)),"")</f>
        <v>FUNDO MUNICIPAL DE SAUDE DE CERES</v>
      </c>
      <c r="H1704" t="str">
        <f>IFERROR(INDEX(tEditais[UF],MATCH(tItens[[#This Row],[Edital]],tEditais[Edital],0)),"")</f>
        <v>GO</v>
      </c>
      <c r="I1704" s="11">
        <f>IFERROR(INDEX(tEditais[Encerramento],MATCH(tItens[[#This Row],[Edital]],tEditais[Edital],0)),"")</f>
        <v>46308.333333333336</v>
      </c>
      <c r="J1704" t="str">
        <f>IFERROR(INDEX(tProdutos[Classe],MATCH(tItens[[#This Row],[Produto]],tProdutos[Produto],0)),"produto não cadastrado")</f>
        <v>FILA REBASE</v>
      </c>
      <c r="K1704" s="12">
        <f>tItens[[#This Row],[Qtd]]*tItens[[#This Row],[Vlr unit]]</f>
        <v>585.66</v>
      </c>
      <c r="L1704" s="6">
        <f>IFERROR(IF(INDEX(tProdutos[Desconto homologado],MATCH(tItens[[#This Row],[Produto]],tProdutos[Produto],0))="",DescontoPadrao,INDEX(tProdutos[Desconto homologado],MATCH(tItens[[#This Row],[Produto]],tProdutos[Produto],0))),DescontoPadrao)</f>
        <v>0.29595946765523801</v>
      </c>
      <c r="M1704" s="12">
        <f>tItens[[#This Row],[Valor]]*(1-tItens[[#This Row],[Desconto]])</f>
        <v>412.32837817303334</v>
      </c>
      <c r="N1704" t="str">
        <f>IFERROR(INDEX(tProdutos[Foco],MATCH(tItens[[#This Row],[Produto]],tProdutos[Produto],0)),"Não")</f>
        <v>Não</v>
      </c>
      <c r="O1704" t="str">
        <f>IFERROR(INDEX(tEditais[SRP],MATCH(tItens[[#This Row],[Edital]],tEditais[Edital],0)),"Não")</f>
        <v>Não</v>
      </c>
      <c r="P1704" s="4">
        <f>IF(COUNTIFS(INDEX(tItens[Edital],1):tItens[[#This Row],[Edital]],tItens[[#This Row],[Edital]],INDEX(tItens[Produto],1):tItens[[#This Row],[Produto]],tItens[[#This Row],[Produto]])=1,1,0)</f>
        <v>0</v>
      </c>
    </row>
    <row r="1705" spans="1:16" x14ac:dyDescent="0.25">
      <c r="A1705" t="s">
        <v>1160</v>
      </c>
      <c r="B1705">
        <v>112</v>
      </c>
      <c r="C1705" t="s">
        <v>4759</v>
      </c>
      <c r="D1705" t="s">
        <v>455</v>
      </c>
      <c r="E1705" s="13">
        <v>6</v>
      </c>
      <c r="F1705" s="12">
        <v>97.61</v>
      </c>
      <c r="G1705" t="str">
        <f>IFERROR(INDEX(tEditais[Órgão],MATCH(tItens[[#This Row],[Edital]],tEditais[Edital],0)),"")</f>
        <v>FUNDO MUNICIPAL DE SAUDE DE CERES</v>
      </c>
      <c r="H1705" t="str">
        <f>IFERROR(INDEX(tEditais[UF],MATCH(tItens[[#This Row],[Edital]],tEditais[Edital],0)),"")</f>
        <v>GO</v>
      </c>
      <c r="I1705" s="11">
        <f>IFERROR(INDEX(tEditais[Encerramento],MATCH(tItens[[#This Row],[Edital]],tEditais[Edital],0)),"")</f>
        <v>46308.333333333336</v>
      </c>
      <c r="J1705" t="str">
        <f>IFERROR(INDEX(tProdutos[Classe],MATCH(tItens[[#This Row],[Produto]],tProdutos[Produto],0)),"produto não cadastrado")</f>
        <v>FILA REBASE</v>
      </c>
      <c r="K1705" s="12">
        <f>tItens[[#This Row],[Qtd]]*tItens[[#This Row],[Vlr unit]]</f>
        <v>585.66</v>
      </c>
      <c r="L1705" s="6">
        <f>IFERROR(IF(INDEX(tProdutos[Desconto homologado],MATCH(tItens[[#This Row],[Produto]],tProdutos[Produto],0))="",DescontoPadrao,INDEX(tProdutos[Desconto homologado],MATCH(tItens[[#This Row],[Produto]],tProdutos[Produto],0))),DescontoPadrao)</f>
        <v>0.29595946765523801</v>
      </c>
      <c r="M1705" s="12">
        <f>tItens[[#This Row],[Valor]]*(1-tItens[[#This Row],[Desconto]])</f>
        <v>412.32837817303334</v>
      </c>
      <c r="N1705" t="str">
        <f>IFERROR(INDEX(tProdutos[Foco],MATCH(tItens[[#This Row],[Produto]],tProdutos[Produto],0)),"Não")</f>
        <v>Não</v>
      </c>
      <c r="O1705" t="str">
        <f>IFERROR(INDEX(tEditais[SRP],MATCH(tItens[[#This Row],[Edital]],tEditais[Edital],0)),"Não")</f>
        <v>Não</v>
      </c>
      <c r="P1705" s="4">
        <f>IF(COUNTIFS(INDEX(tItens[Edital],1):tItens[[#This Row],[Edital]],tItens[[#This Row],[Edital]],INDEX(tItens[Produto],1):tItens[[#This Row],[Produto]],tItens[[#This Row],[Produto]])=1,1,0)</f>
        <v>0</v>
      </c>
    </row>
    <row r="1706" spans="1:16" x14ac:dyDescent="0.25">
      <c r="A1706" t="s">
        <v>1160</v>
      </c>
      <c r="B1706">
        <v>113</v>
      </c>
      <c r="C1706" t="s">
        <v>4760</v>
      </c>
      <c r="D1706" t="s">
        <v>455</v>
      </c>
      <c r="E1706" s="13">
        <v>6</v>
      </c>
      <c r="F1706" s="12">
        <v>97.61</v>
      </c>
      <c r="G1706" t="str">
        <f>IFERROR(INDEX(tEditais[Órgão],MATCH(tItens[[#This Row],[Edital]],tEditais[Edital],0)),"")</f>
        <v>FUNDO MUNICIPAL DE SAUDE DE CERES</v>
      </c>
      <c r="H1706" t="str">
        <f>IFERROR(INDEX(tEditais[UF],MATCH(tItens[[#This Row],[Edital]],tEditais[Edital],0)),"")</f>
        <v>GO</v>
      </c>
      <c r="I1706" s="11">
        <f>IFERROR(INDEX(tEditais[Encerramento],MATCH(tItens[[#This Row],[Edital]],tEditais[Edital],0)),"")</f>
        <v>46308.333333333336</v>
      </c>
      <c r="J1706" t="str">
        <f>IFERROR(INDEX(tProdutos[Classe],MATCH(tItens[[#This Row],[Produto]],tProdutos[Produto],0)),"produto não cadastrado")</f>
        <v>FILA REBASE</v>
      </c>
      <c r="K1706" s="12">
        <f>tItens[[#This Row],[Qtd]]*tItens[[#This Row],[Vlr unit]]</f>
        <v>585.66</v>
      </c>
      <c r="L1706" s="6">
        <f>IFERROR(IF(INDEX(tProdutos[Desconto homologado],MATCH(tItens[[#This Row],[Produto]],tProdutos[Produto],0))="",DescontoPadrao,INDEX(tProdutos[Desconto homologado],MATCH(tItens[[#This Row],[Produto]],tProdutos[Produto],0))),DescontoPadrao)</f>
        <v>0.29595946765523801</v>
      </c>
      <c r="M1706" s="12">
        <f>tItens[[#This Row],[Valor]]*(1-tItens[[#This Row],[Desconto]])</f>
        <v>412.32837817303334</v>
      </c>
      <c r="N1706" t="str">
        <f>IFERROR(INDEX(tProdutos[Foco],MATCH(tItens[[#This Row],[Produto]],tProdutos[Produto],0)),"Não")</f>
        <v>Não</v>
      </c>
      <c r="O1706" t="str">
        <f>IFERROR(INDEX(tEditais[SRP],MATCH(tItens[[#This Row],[Edital]],tEditais[Edital],0)),"Não")</f>
        <v>Não</v>
      </c>
      <c r="P1706" s="4">
        <f>IF(COUNTIFS(INDEX(tItens[Edital],1):tItens[[#This Row],[Edital]],tItens[[#This Row],[Edital]],INDEX(tItens[Produto],1):tItens[[#This Row],[Produto]],tItens[[#This Row],[Produto]])=1,1,0)</f>
        <v>0</v>
      </c>
    </row>
    <row r="1707" spans="1:16" x14ac:dyDescent="0.25">
      <c r="A1707" t="s">
        <v>1160</v>
      </c>
      <c r="B1707">
        <v>114</v>
      </c>
      <c r="C1707" t="s">
        <v>4761</v>
      </c>
      <c r="D1707" t="s">
        <v>455</v>
      </c>
      <c r="E1707" s="13">
        <v>6</v>
      </c>
      <c r="F1707" s="12">
        <v>97.61</v>
      </c>
      <c r="G1707" t="str">
        <f>IFERROR(INDEX(tEditais[Órgão],MATCH(tItens[[#This Row],[Edital]],tEditais[Edital],0)),"")</f>
        <v>FUNDO MUNICIPAL DE SAUDE DE CERES</v>
      </c>
      <c r="H1707" t="str">
        <f>IFERROR(INDEX(tEditais[UF],MATCH(tItens[[#This Row],[Edital]],tEditais[Edital],0)),"")</f>
        <v>GO</v>
      </c>
      <c r="I1707" s="11">
        <f>IFERROR(INDEX(tEditais[Encerramento],MATCH(tItens[[#This Row],[Edital]],tEditais[Edital],0)),"")</f>
        <v>46308.333333333336</v>
      </c>
      <c r="J1707" t="str">
        <f>IFERROR(INDEX(tProdutos[Classe],MATCH(tItens[[#This Row],[Produto]],tProdutos[Produto],0)),"produto não cadastrado")</f>
        <v>FILA REBASE</v>
      </c>
      <c r="K1707" s="12">
        <f>tItens[[#This Row],[Qtd]]*tItens[[#This Row],[Vlr unit]]</f>
        <v>585.66</v>
      </c>
      <c r="L1707" s="6">
        <f>IFERROR(IF(INDEX(tProdutos[Desconto homologado],MATCH(tItens[[#This Row],[Produto]],tProdutos[Produto],0))="",DescontoPadrao,INDEX(tProdutos[Desconto homologado],MATCH(tItens[[#This Row],[Produto]],tProdutos[Produto],0))),DescontoPadrao)</f>
        <v>0.29595946765523801</v>
      </c>
      <c r="M1707" s="12">
        <f>tItens[[#This Row],[Valor]]*(1-tItens[[#This Row],[Desconto]])</f>
        <v>412.32837817303334</v>
      </c>
      <c r="N1707" t="str">
        <f>IFERROR(INDEX(tProdutos[Foco],MATCH(tItens[[#This Row],[Produto]],tProdutos[Produto],0)),"Não")</f>
        <v>Não</v>
      </c>
      <c r="O1707" t="str">
        <f>IFERROR(INDEX(tEditais[SRP],MATCH(tItens[[#This Row],[Edital]],tEditais[Edital],0)),"Não")</f>
        <v>Não</v>
      </c>
      <c r="P1707" s="4">
        <f>IF(COUNTIFS(INDEX(tItens[Edital],1):tItens[[#This Row],[Edital]],tItens[[#This Row],[Edital]],INDEX(tItens[Produto],1):tItens[[#This Row],[Produto]],tItens[[#This Row],[Produto]])=1,1,0)</f>
        <v>0</v>
      </c>
    </row>
    <row r="1708" spans="1:16" x14ac:dyDescent="0.25">
      <c r="A1708" t="s">
        <v>1164</v>
      </c>
      <c r="B1708">
        <v>231</v>
      </c>
      <c r="C1708" t="s">
        <v>4762</v>
      </c>
      <c r="D1708" t="s">
        <v>363</v>
      </c>
      <c r="E1708" s="13">
        <v>100</v>
      </c>
      <c r="F1708" s="12">
        <v>12.11</v>
      </c>
      <c r="G1708" t="str">
        <f>IFERROR(INDEX(tEditais[Órgão],MATCH(tItens[[#This Row],[Edital]],tEditais[Edital],0)),"")</f>
        <v>FUNDO MUNICIPAL DE SAUDE DE VILA PROPICIO</v>
      </c>
      <c r="H1708" t="str">
        <f>IFERROR(INDEX(tEditais[UF],MATCH(tItens[[#This Row],[Edital]],tEditais[Edital],0)),"")</f>
        <v>GO</v>
      </c>
      <c r="I1708" s="11">
        <f>IFERROR(INDEX(tEditais[Encerramento],MATCH(tItens[[#This Row],[Edital]],tEditais[Edital],0)),"")</f>
        <v>46308.333333333336</v>
      </c>
      <c r="J1708" t="str">
        <f>IFERROR(INDEX(tProdutos[Classe],MATCH(tItens[[#This Row],[Produto]],tProdutos[Produto],0)),"produto não cadastrado")</f>
        <v>FORA</v>
      </c>
      <c r="K1708" s="12">
        <f>tItens[[#This Row],[Qtd]]*tItens[[#This Row],[Vlr unit]]</f>
        <v>1211</v>
      </c>
      <c r="L1708" s="6">
        <f>IFERROR(IF(INDEX(tProdutos[Desconto homologado],MATCH(tItens[[#This Row],[Produto]],tProdutos[Produto],0))="",DescontoPadrao,INDEX(tProdutos[Desconto homologado],MATCH(tItens[[#This Row],[Produto]],tProdutos[Produto],0))),DescontoPadrao)</f>
        <v>0.36454545454545501</v>
      </c>
      <c r="M1708" s="12">
        <f>tItens[[#This Row],[Valor]]*(1-tItens[[#This Row],[Desconto]])</f>
        <v>769.53545454545406</v>
      </c>
      <c r="N1708" t="str">
        <f>IFERROR(INDEX(tProdutos[Foco],MATCH(tItens[[#This Row],[Produto]],tProdutos[Produto],0)),"Não")</f>
        <v>Não</v>
      </c>
      <c r="O1708" t="str">
        <f>IFERROR(INDEX(tEditais[SRP],MATCH(tItens[[#This Row],[Edital]],tEditais[Edital],0)),"Não")</f>
        <v>Não</v>
      </c>
      <c r="P1708" s="4">
        <f>IF(COUNTIFS(INDEX(tItens[Edital],1):tItens[[#This Row],[Edital]],tItens[[#This Row],[Edital]],INDEX(tItens[Produto],1):tItens[[#This Row],[Produto]],tItens[[#This Row],[Produto]])=1,1,0)</f>
        <v>1</v>
      </c>
    </row>
    <row r="1709" spans="1:16" x14ac:dyDescent="0.25">
      <c r="A1709" t="s">
        <v>1164</v>
      </c>
      <c r="B1709">
        <v>232</v>
      </c>
      <c r="C1709" t="s">
        <v>4763</v>
      </c>
      <c r="D1709" t="s">
        <v>297</v>
      </c>
      <c r="E1709" s="13">
        <v>100</v>
      </c>
      <c r="F1709" s="12">
        <v>10.48</v>
      </c>
      <c r="G1709" t="str">
        <f>IFERROR(INDEX(tEditais[Órgão],MATCH(tItens[[#This Row],[Edital]],tEditais[Edital],0)),"")</f>
        <v>FUNDO MUNICIPAL DE SAUDE DE VILA PROPICIO</v>
      </c>
      <c r="H1709" t="str">
        <f>IFERROR(INDEX(tEditais[UF],MATCH(tItens[[#This Row],[Edital]],tEditais[Edital],0)),"")</f>
        <v>GO</v>
      </c>
      <c r="I1709" s="11">
        <f>IFERROR(INDEX(tEditais[Encerramento],MATCH(tItens[[#This Row],[Edital]],tEditais[Edital],0)),"")</f>
        <v>46308.333333333336</v>
      </c>
      <c r="J1709" t="str">
        <f>IFERROR(INDEX(tProdutos[Classe],MATCH(tItens[[#This Row],[Produto]],tProdutos[Produto],0)),"produto não cadastrado")</f>
        <v>FORA</v>
      </c>
      <c r="K1709" s="12">
        <f>tItens[[#This Row],[Qtd]]*tItens[[#This Row],[Vlr unit]]</f>
        <v>1048</v>
      </c>
      <c r="L1709" s="6">
        <f>IFERROR(IF(INDEX(tProdutos[Desconto homologado],MATCH(tItens[[#This Row],[Produto]],tProdutos[Produto],0))="",DescontoPadrao,INDEX(tProdutos[Desconto homologado],MATCH(tItens[[#This Row],[Produto]],tProdutos[Produto],0))),DescontoPadrao)</f>
        <v>0.249544626593807</v>
      </c>
      <c r="M1709" s="12">
        <f>tItens[[#This Row],[Valor]]*(1-tItens[[#This Row],[Desconto]])</f>
        <v>786.4772313296902</v>
      </c>
      <c r="N1709" t="str">
        <f>IFERROR(INDEX(tProdutos[Foco],MATCH(tItens[[#This Row],[Produto]],tProdutos[Produto],0)),"Não")</f>
        <v>Não</v>
      </c>
      <c r="O1709" t="str">
        <f>IFERROR(INDEX(tEditais[SRP],MATCH(tItens[[#This Row],[Edital]],tEditais[Edital],0)),"Não")</f>
        <v>Não</v>
      </c>
      <c r="P1709" s="4">
        <f>IF(COUNTIFS(INDEX(tItens[Edital],1):tItens[[#This Row],[Edital]],tItens[[#This Row],[Edital]],INDEX(tItens[Produto],1):tItens[[#This Row],[Produto]],tItens[[#This Row],[Produto]])=1,1,0)</f>
        <v>1</v>
      </c>
    </row>
    <row r="1710" spans="1:16" x14ac:dyDescent="0.25">
      <c r="A1710" t="s">
        <v>1164</v>
      </c>
      <c r="B1710">
        <v>233</v>
      </c>
      <c r="C1710" t="s">
        <v>4764</v>
      </c>
      <c r="D1710" t="s">
        <v>319</v>
      </c>
      <c r="E1710" s="13">
        <v>100</v>
      </c>
      <c r="F1710" s="12">
        <v>10.62</v>
      </c>
      <c r="G1710" t="str">
        <f>IFERROR(INDEX(tEditais[Órgão],MATCH(tItens[[#This Row],[Edital]],tEditais[Edital],0)),"")</f>
        <v>FUNDO MUNICIPAL DE SAUDE DE VILA PROPICIO</v>
      </c>
      <c r="H1710" t="str">
        <f>IFERROR(INDEX(tEditais[UF],MATCH(tItens[[#This Row],[Edital]],tEditais[Edital],0)),"")</f>
        <v>GO</v>
      </c>
      <c r="I1710" s="11">
        <f>IFERROR(INDEX(tEditais[Encerramento],MATCH(tItens[[#This Row],[Edital]],tEditais[Edital],0)),"")</f>
        <v>46308.333333333336</v>
      </c>
      <c r="J1710" t="str">
        <f>IFERROR(INDEX(tProdutos[Classe],MATCH(tItens[[#This Row],[Produto]],tProdutos[Produto],0)),"produto não cadastrado")</f>
        <v>FORA</v>
      </c>
      <c r="K1710" s="12">
        <f>tItens[[#This Row],[Qtd]]*tItens[[#This Row],[Vlr unit]]</f>
        <v>1062</v>
      </c>
      <c r="L1710" s="6">
        <f>IFERROR(IF(INDEX(tProdutos[Desconto homologado],MATCH(tItens[[#This Row],[Produto]],tProdutos[Produto],0))="",DescontoPadrao,INDEX(tProdutos[Desconto homologado],MATCH(tItens[[#This Row],[Produto]],tProdutos[Produto],0))),DescontoPadrao)</f>
        <v>0.210006500066517</v>
      </c>
      <c r="M1710" s="12">
        <f>tItens[[#This Row],[Valor]]*(1-tItens[[#This Row],[Desconto]])</f>
        <v>838.97309692935892</v>
      </c>
      <c r="N1710" t="str">
        <f>IFERROR(INDEX(tProdutos[Foco],MATCH(tItens[[#This Row],[Produto]],tProdutos[Produto],0)),"Não")</f>
        <v>Não</v>
      </c>
      <c r="O1710" t="str">
        <f>IFERROR(INDEX(tEditais[SRP],MATCH(tItens[[#This Row],[Edital]],tEditais[Edital],0)),"Não")</f>
        <v>Não</v>
      </c>
      <c r="P1710" s="4">
        <f>IF(COUNTIFS(INDEX(tItens[Edital],1):tItens[[#This Row],[Edital]],tItens[[#This Row],[Edital]],INDEX(tItens[Produto],1):tItens[[#This Row],[Produto]],tItens[[#This Row],[Produto]])=1,1,0)</f>
        <v>1</v>
      </c>
    </row>
    <row r="1711" spans="1:16" x14ac:dyDescent="0.25">
      <c r="A1711" t="s">
        <v>1164</v>
      </c>
      <c r="B1711">
        <v>248</v>
      </c>
      <c r="C1711" t="s">
        <v>4765</v>
      </c>
      <c r="D1711" t="s">
        <v>62</v>
      </c>
      <c r="E1711" s="13">
        <v>60</v>
      </c>
      <c r="F1711" s="12">
        <v>4.5</v>
      </c>
      <c r="G1711" t="str">
        <f>IFERROR(INDEX(tEditais[Órgão],MATCH(tItens[[#This Row],[Edital]],tEditais[Edital],0)),"")</f>
        <v>FUNDO MUNICIPAL DE SAUDE DE VILA PROPICIO</v>
      </c>
      <c r="H1711" t="str">
        <f>IFERROR(INDEX(tEditais[UF],MATCH(tItens[[#This Row],[Edital]],tEditais[Edital],0)),"")</f>
        <v>GO</v>
      </c>
      <c r="I1711" s="11">
        <f>IFERROR(INDEX(tEditais[Encerramento],MATCH(tItens[[#This Row],[Edital]],tEditais[Edital],0)),"")</f>
        <v>46308.333333333336</v>
      </c>
      <c r="J1711" t="str">
        <f>IFERROR(INDEX(tProdutos[Classe],MATCH(tItens[[#This Row],[Produto]],tProdutos[Produto],0)),"produto não cadastrado")</f>
        <v>NÚCLEO</v>
      </c>
      <c r="K1711" s="12">
        <f>tItens[[#This Row],[Qtd]]*tItens[[#This Row],[Vlr unit]]</f>
        <v>270</v>
      </c>
      <c r="L1711" s="6">
        <f>IFERROR(IF(INDEX(tProdutos[Desconto homologado],MATCH(tItens[[#This Row],[Produto]],tProdutos[Produto],0))="",DescontoPadrao,INDEX(tProdutos[Desconto homologado],MATCH(tItens[[#This Row],[Produto]],tProdutos[Produto],0))),DescontoPadrao)</f>
        <v>0.3</v>
      </c>
      <c r="M1711" s="12">
        <f>tItens[[#This Row],[Valor]]*(1-tItens[[#This Row],[Desconto]])</f>
        <v>189</v>
      </c>
      <c r="N1711" t="str">
        <f>IFERROR(INDEX(tProdutos[Foco],MATCH(tItens[[#This Row],[Produto]],tProdutos[Produto],0)),"Não")</f>
        <v>Sim</v>
      </c>
      <c r="O1711" t="str">
        <f>IFERROR(INDEX(tEditais[SRP],MATCH(tItens[[#This Row],[Edital]],tEditais[Edital],0)),"Não")</f>
        <v>Não</v>
      </c>
      <c r="P1711" s="4">
        <f>IF(COUNTIFS(INDEX(tItens[Edital],1):tItens[[#This Row],[Edital]],tItens[[#This Row],[Edital]],INDEX(tItens[Produto],1):tItens[[#This Row],[Produto]],tItens[[#This Row],[Produto]])=1,1,0)</f>
        <v>1</v>
      </c>
    </row>
    <row r="1712" spans="1:16" x14ac:dyDescent="0.25">
      <c r="A1712" t="s">
        <v>1164</v>
      </c>
      <c r="B1712">
        <v>249</v>
      </c>
      <c r="C1712" t="s">
        <v>4766</v>
      </c>
      <c r="D1712" t="s">
        <v>160</v>
      </c>
      <c r="E1712" s="13">
        <v>40</v>
      </c>
      <c r="F1712" s="12">
        <v>24.92</v>
      </c>
      <c r="G1712" t="str">
        <f>IFERROR(INDEX(tEditais[Órgão],MATCH(tItens[[#This Row],[Edital]],tEditais[Edital],0)),"")</f>
        <v>FUNDO MUNICIPAL DE SAUDE DE VILA PROPICIO</v>
      </c>
      <c r="H1712" t="str">
        <f>IFERROR(INDEX(tEditais[UF],MATCH(tItens[[#This Row],[Edital]],tEditais[Edital],0)),"")</f>
        <v>GO</v>
      </c>
      <c r="I1712" s="11">
        <f>IFERROR(INDEX(tEditais[Encerramento],MATCH(tItens[[#This Row],[Edital]],tEditais[Edital],0)),"")</f>
        <v>46308.333333333336</v>
      </c>
      <c r="J1712" t="str">
        <f>IFERROR(INDEX(tProdutos[Classe],MATCH(tItens[[#This Row],[Produto]],tProdutos[Produto],0)),"produto não cadastrado")</f>
        <v>DISPUTADO</v>
      </c>
      <c r="K1712" s="12">
        <f>tItens[[#This Row],[Qtd]]*tItens[[#This Row],[Vlr unit]]</f>
        <v>996.80000000000007</v>
      </c>
      <c r="L1712" s="6">
        <f>IFERROR(IF(INDEX(tProdutos[Desconto homologado],MATCH(tItens[[#This Row],[Produto]],tProdutos[Produto],0))="",DescontoPadrao,INDEX(tProdutos[Desconto homologado],MATCH(tItens[[#This Row],[Produto]],tProdutos[Produto],0))),DescontoPadrao)</f>
        <v>0.28000000000000003</v>
      </c>
      <c r="M1712" s="12">
        <f>tItens[[#This Row],[Valor]]*(1-tItens[[#This Row],[Desconto]])</f>
        <v>717.69600000000003</v>
      </c>
      <c r="N1712" t="str">
        <f>IFERROR(INDEX(tProdutos[Foco],MATCH(tItens[[#This Row],[Produto]],tProdutos[Produto],0)),"Não")</f>
        <v>Sim</v>
      </c>
      <c r="O1712" t="str">
        <f>IFERROR(INDEX(tEditais[SRP],MATCH(tItens[[#This Row],[Edital]],tEditais[Edital],0)),"Não")</f>
        <v>Não</v>
      </c>
      <c r="P1712" s="4">
        <f>IF(COUNTIFS(INDEX(tItens[Edital],1):tItens[[#This Row],[Edital]],tItens[[#This Row],[Edital]],INDEX(tItens[Produto],1):tItens[[#This Row],[Produto]],tItens[[#This Row],[Produto]])=1,1,0)</f>
        <v>1</v>
      </c>
    </row>
    <row r="1713" spans="1:16" x14ac:dyDescent="0.25">
      <c r="A1713" t="s">
        <v>1164</v>
      </c>
      <c r="B1713">
        <v>250</v>
      </c>
      <c r="C1713" t="s">
        <v>4767</v>
      </c>
      <c r="D1713" t="s">
        <v>409</v>
      </c>
      <c r="E1713" s="13">
        <v>200</v>
      </c>
      <c r="F1713" s="12">
        <v>9.5299999999999994</v>
      </c>
      <c r="G1713" t="str">
        <f>IFERROR(INDEX(tEditais[Órgão],MATCH(tItens[[#This Row],[Edital]],tEditais[Edital],0)),"")</f>
        <v>FUNDO MUNICIPAL DE SAUDE DE VILA PROPICIO</v>
      </c>
      <c r="H1713" t="str">
        <f>IFERROR(INDEX(tEditais[UF],MATCH(tItens[[#This Row],[Edital]],tEditais[Edital],0)),"")</f>
        <v>GO</v>
      </c>
      <c r="I1713" s="11">
        <f>IFERROR(INDEX(tEditais[Encerramento],MATCH(tItens[[#This Row],[Edital]],tEditais[Edital],0)),"")</f>
        <v>46308.333333333336</v>
      </c>
      <c r="J1713" t="str">
        <f>IFERROR(INDEX(tProdutos[Classe],MATCH(tItens[[#This Row],[Produto]],tProdutos[Produto],0)),"produto não cadastrado")</f>
        <v>FORA</v>
      </c>
      <c r="K1713" s="12">
        <f>tItens[[#This Row],[Qtd]]*tItens[[#This Row],[Vlr unit]]</f>
        <v>1905.9999999999998</v>
      </c>
      <c r="L1713" s="6">
        <f>IFERROR(IF(INDEX(tProdutos[Desconto homologado],MATCH(tItens[[#This Row],[Produto]],tProdutos[Produto],0))="",DescontoPadrao,INDEX(tProdutos[Desconto homologado],MATCH(tItens[[#This Row],[Produto]],tProdutos[Produto],0))),DescontoPadrao)</f>
        <v>0.24924924924924899</v>
      </c>
      <c r="M1713" s="12">
        <f>tItens[[#This Row],[Valor]]*(1-tItens[[#This Row],[Desconto]])</f>
        <v>1430.9309309309313</v>
      </c>
      <c r="N1713" t="str">
        <f>IFERROR(INDEX(tProdutos[Foco],MATCH(tItens[[#This Row],[Produto]],tProdutos[Produto],0)),"Não")</f>
        <v>Não</v>
      </c>
      <c r="O1713" t="str">
        <f>IFERROR(INDEX(tEditais[SRP],MATCH(tItens[[#This Row],[Edital]],tEditais[Edital],0)),"Não")</f>
        <v>Não</v>
      </c>
      <c r="P1713" s="4">
        <f>IF(COUNTIFS(INDEX(tItens[Edital],1):tItens[[#This Row],[Edital]],tItens[[#This Row],[Edital]],INDEX(tItens[Produto],1):tItens[[#This Row],[Produto]],tItens[[#This Row],[Produto]])=1,1,0)</f>
        <v>1</v>
      </c>
    </row>
    <row r="1714" spans="1:16" x14ac:dyDescent="0.25">
      <c r="A1714" t="s">
        <v>1164</v>
      </c>
      <c r="B1714">
        <v>251</v>
      </c>
      <c r="C1714" t="s">
        <v>4768</v>
      </c>
      <c r="D1714" t="s">
        <v>409</v>
      </c>
      <c r="E1714" s="13">
        <v>100</v>
      </c>
      <c r="F1714" s="12">
        <v>16.260000000000002</v>
      </c>
      <c r="G1714" t="str">
        <f>IFERROR(INDEX(tEditais[Órgão],MATCH(tItens[[#This Row],[Edital]],tEditais[Edital],0)),"")</f>
        <v>FUNDO MUNICIPAL DE SAUDE DE VILA PROPICIO</v>
      </c>
      <c r="H1714" t="str">
        <f>IFERROR(INDEX(tEditais[UF],MATCH(tItens[[#This Row],[Edital]],tEditais[Edital],0)),"")</f>
        <v>GO</v>
      </c>
      <c r="I1714" s="11">
        <f>IFERROR(INDEX(tEditais[Encerramento],MATCH(tItens[[#This Row],[Edital]],tEditais[Edital],0)),"")</f>
        <v>46308.333333333336</v>
      </c>
      <c r="J1714" t="str">
        <f>IFERROR(INDEX(tProdutos[Classe],MATCH(tItens[[#This Row],[Produto]],tProdutos[Produto],0)),"produto não cadastrado")</f>
        <v>FORA</v>
      </c>
      <c r="K1714" s="12">
        <f>tItens[[#This Row],[Qtd]]*tItens[[#This Row],[Vlr unit]]</f>
        <v>1626.0000000000002</v>
      </c>
      <c r="L1714" s="6">
        <f>IFERROR(IF(INDEX(tProdutos[Desconto homologado],MATCH(tItens[[#This Row],[Produto]],tProdutos[Produto],0))="",DescontoPadrao,INDEX(tProdutos[Desconto homologado],MATCH(tItens[[#This Row],[Produto]],tProdutos[Produto],0))),DescontoPadrao)</f>
        <v>0.24924924924924899</v>
      </c>
      <c r="M1714" s="12">
        <f>tItens[[#This Row],[Valor]]*(1-tItens[[#This Row],[Desconto]])</f>
        <v>1220.7207207207214</v>
      </c>
      <c r="N1714" t="str">
        <f>IFERROR(INDEX(tProdutos[Foco],MATCH(tItens[[#This Row],[Produto]],tProdutos[Produto],0)),"Não")</f>
        <v>Não</v>
      </c>
      <c r="O1714" t="str">
        <f>IFERROR(INDEX(tEditais[SRP],MATCH(tItens[[#This Row],[Edital]],tEditais[Edital],0)),"Não")</f>
        <v>Não</v>
      </c>
      <c r="P1714" s="4">
        <f>IF(COUNTIFS(INDEX(tItens[Edital],1):tItens[[#This Row],[Edital]],tItens[[#This Row],[Edital]],INDEX(tItens[Produto],1):tItens[[#This Row],[Produto]],tItens[[#This Row],[Produto]])=1,1,0)</f>
        <v>0</v>
      </c>
    </row>
    <row r="1715" spans="1:16" x14ac:dyDescent="0.25">
      <c r="A1715" t="s">
        <v>1164</v>
      </c>
      <c r="B1715">
        <v>253</v>
      </c>
      <c r="C1715" t="s">
        <v>4769</v>
      </c>
      <c r="D1715" t="s">
        <v>247</v>
      </c>
      <c r="E1715" s="13">
        <v>100</v>
      </c>
      <c r="F1715" s="12">
        <v>87.09</v>
      </c>
      <c r="G1715" t="str">
        <f>IFERROR(INDEX(tEditais[Órgão],MATCH(tItens[[#This Row],[Edital]],tEditais[Edital],0)),"")</f>
        <v>FUNDO MUNICIPAL DE SAUDE DE VILA PROPICIO</v>
      </c>
      <c r="H1715" t="str">
        <f>IFERROR(INDEX(tEditais[UF],MATCH(tItens[[#This Row],[Edital]],tEditais[Edital],0)),"")</f>
        <v>GO</v>
      </c>
      <c r="I1715" s="11">
        <f>IFERROR(INDEX(tEditais[Encerramento],MATCH(tItens[[#This Row],[Edital]],tEditais[Edital],0)),"")</f>
        <v>46308.333333333336</v>
      </c>
      <c r="J1715" t="str">
        <f>IFERROR(INDEX(tProdutos[Classe],MATCH(tItens[[#This Row],[Produto]],tProdutos[Produto],0)),"produto não cadastrado")</f>
        <v>FORA</v>
      </c>
      <c r="K1715" s="12">
        <f>tItens[[#This Row],[Qtd]]*tItens[[#This Row],[Vlr unit]]</f>
        <v>8709</v>
      </c>
      <c r="L1715" s="6">
        <f>IFERROR(IF(INDEX(tProdutos[Desconto homologado],MATCH(tItens[[#This Row],[Produto]],tProdutos[Produto],0))="",DescontoPadrao,INDEX(tProdutos[Desconto homologado],MATCH(tItens[[#This Row],[Produto]],tProdutos[Produto],0))),DescontoPadrao)</f>
        <v>0.27353256199762999</v>
      </c>
      <c r="M1715" s="12">
        <f>tItens[[#This Row],[Valor]]*(1-tItens[[#This Row],[Desconto]])</f>
        <v>6326.8049175626402</v>
      </c>
      <c r="N1715" t="str">
        <f>IFERROR(INDEX(tProdutos[Foco],MATCH(tItens[[#This Row],[Produto]],tProdutos[Produto],0)),"Não")</f>
        <v>Não</v>
      </c>
      <c r="O1715" t="str">
        <f>IFERROR(INDEX(tEditais[SRP],MATCH(tItens[[#This Row],[Edital]],tEditais[Edital],0)),"Não")</f>
        <v>Não</v>
      </c>
      <c r="P1715" s="4">
        <f>IF(COUNTIFS(INDEX(tItens[Edital],1):tItens[[#This Row],[Edital]],tItens[[#This Row],[Edital]],INDEX(tItens[Produto],1):tItens[[#This Row],[Produto]],tItens[[#This Row],[Produto]])=1,1,0)</f>
        <v>1</v>
      </c>
    </row>
    <row r="1716" spans="1:16" x14ac:dyDescent="0.25">
      <c r="A1716" t="s">
        <v>1164</v>
      </c>
      <c r="B1716">
        <v>254</v>
      </c>
      <c r="C1716" t="s">
        <v>4770</v>
      </c>
      <c r="D1716" t="s">
        <v>287</v>
      </c>
      <c r="E1716" s="13">
        <v>200</v>
      </c>
      <c r="F1716" s="12">
        <v>101.61</v>
      </c>
      <c r="G1716" t="str">
        <f>IFERROR(INDEX(tEditais[Órgão],MATCH(tItens[[#This Row],[Edital]],tEditais[Edital],0)),"")</f>
        <v>FUNDO MUNICIPAL DE SAUDE DE VILA PROPICIO</v>
      </c>
      <c r="H1716" t="str">
        <f>IFERROR(INDEX(tEditais[UF],MATCH(tItens[[#This Row],[Edital]],tEditais[Edital],0)),"")</f>
        <v>GO</v>
      </c>
      <c r="I1716" s="11">
        <f>IFERROR(INDEX(tEditais[Encerramento],MATCH(tItens[[#This Row],[Edital]],tEditais[Edital],0)),"")</f>
        <v>46308.333333333336</v>
      </c>
      <c r="J1716" t="str">
        <f>IFERROR(INDEX(tProdutos[Classe],MATCH(tItens[[#This Row],[Produto]],tProdutos[Produto],0)),"produto não cadastrado")</f>
        <v>FORA</v>
      </c>
      <c r="K1716" s="12">
        <f>tItens[[#This Row],[Qtd]]*tItens[[#This Row],[Vlr unit]]</f>
        <v>20322</v>
      </c>
      <c r="L1716" s="6">
        <f>IFERROR(IF(INDEX(tProdutos[Desconto homologado],MATCH(tItens[[#This Row],[Produto]],tProdutos[Produto],0))="",DescontoPadrao,INDEX(tProdutos[Desconto homologado],MATCH(tItens[[#This Row],[Produto]],tProdutos[Produto],0))),DescontoPadrao)</f>
        <v>0.46344491178876002</v>
      </c>
      <c r="M1716" s="12">
        <f>tItens[[#This Row],[Valor]]*(1-tItens[[#This Row],[Desconto]])</f>
        <v>10903.872502628819</v>
      </c>
      <c r="N1716" t="str">
        <f>IFERROR(INDEX(tProdutos[Foco],MATCH(tItens[[#This Row],[Produto]],tProdutos[Produto],0)),"Não")</f>
        <v>Não</v>
      </c>
      <c r="O1716" t="str">
        <f>IFERROR(INDEX(tEditais[SRP],MATCH(tItens[[#This Row],[Edital]],tEditais[Edital],0)),"Não")</f>
        <v>Não</v>
      </c>
      <c r="P1716" s="4">
        <f>IF(COUNTIFS(INDEX(tItens[Edital],1):tItens[[#This Row],[Edital]],tItens[[#This Row],[Edital]],INDEX(tItens[Produto],1):tItens[[#This Row],[Produto]],tItens[[#This Row],[Produto]])=1,1,0)</f>
        <v>1</v>
      </c>
    </row>
    <row r="1717" spans="1:16" x14ac:dyDescent="0.25">
      <c r="A1717" t="s">
        <v>1164</v>
      </c>
      <c r="B1717">
        <v>255</v>
      </c>
      <c r="C1717" t="s">
        <v>4771</v>
      </c>
      <c r="D1717" t="s">
        <v>73</v>
      </c>
      <c r="E1717" s="13">
        <v>300</v>
      </c>
      <c r="F1717" s="12">
        <v>1.6</v>
      </c>
      <c r="G1717" t="str">
        <f>IFERROR(INDEX(tEditais[Órgão],MATCH(tItens[[#This Row],[Edital]],tEditais[Edital],0)),"")</f>
        <v>FUNDO MUNICIPAL DE SAUDE DE VILA PROPICIO</v>
      </c>
      <c r="H1717" t="str">
        <f>IFERROR(INDEX(tEditais[UF],MATCH(tItens[[#This Row],[Edital]],tEditais[Edital],0)),"")</f>
        <v>GO</v>
      </c>
      <c r="I1717" s="11">
        <f>IFERROR(INDEX(tEditais[Encerramento],MATCH(tItens[[#This Row],[Edital]],tEditais[Edital],0)),"")</f>
        <v>46308.333333333336</v>
      </c>
      <c r="J1717" t="str">
        <f>IFERROR(INDEX(tProdutos[Classe],MATCH(tItens[[#This Row],[Produto]],tProdutos[Produto],0)),"produto não cadastrado")</f>
        <v>NÚCLEO</v>
      </c>
      <c r="K1717" s="12">
        <f>tItens[[#This Row],[Qtd]]*tItens[[#This Row],[Vlr unit]]</f>
        <v>480</v>
      </c>
      <c r="L1717" s="6">
        <f>IFERROR(IF(INDEX(tProdutos[Desconto homologado],MATCH(tItens[[#This Row],[Produto]],tProdutos[Produto],0))="",DescontoPadrao,INDEX(tProdutos[Desconto homologado],MATCH(tItens[[#This Row],[Produto]],tProdutos[Produto],0))),DescontoPadrao)</f>
        <v>0.37</v>
      </c>
      <c r="M1717" s="12">
        <f>tItens[[#This Row],[Valor]]*(1-tItens[[#This Row],[Desconto]])</f>
        <v>302.39999999999998</v>
      </c>
      <c r="N1717" t="str">
        <f>IFERROR(INDEX(tProdutos[Foco],MATCH(tItens[[#This Row],[Produto]],tProdutos[Produto],0)),"Não")</f>
        <v>Sim</v>
      </c>
      <c r="O1717" t="str">
        <f>IFERROR(INDEX(tEditais[SRP],MATCH(tItens[[#This Row],[Edital]],tEditais[Edital],0)),"Não")</f>
        <v>Não</v>
      </c>
      <c r="P1717" s="4">
        <f>IF(COUNTIFS(INDEX(tItens[Edital],1):tItens[[#This Row],[Edital]],tItens[[#This Row],[Edital]],INDEX(tItens[Produto],1):tItens[[#This Row],[Produto]],tItens[[#This Row],[Produto]])=1,1,0)</f>
        <v>1</v>
      </c>
    </row>
    <row r="1718" spans="1:16" x14ac:dyDescent="0.25">
      <c r="A1718" t="s">
        <v>1164</v>
      </c>
      <c r="B1718">
        <v>256</v>
      </c>
      <c r="C1718" t="s">
        <v>4772</v>
      </c>
      <c r="D1718" t="s">
        <v>73</v>
      </c>
      <c r="E1718" s="13">
        <v>40</v>
      </c>
      <c r="F1718" s="12">
        <v>3.37</v>
      </c>
      <c r="G1718" t="str">
        <f>IFERROR(INDEX(tEditais[Órgão],MATCH(tItens[[#This Row],[Edital]],tEditais[Edital],0)),"")</f>
        <v>FUNDO MUNICIPAL DE SAUDE DE VILA PROPICIO</v>
      </c>
      <c r="H1718" t="str">
        <f>IFERROR(INDEX(tEditais[UF],MATCH(tItens[[#This Row],[Edital]],tEditais[Edital],0)),"")</f>
        <v>GO</v>
      </c>
      <c r="I1718" s="11">
        <f>IFERROR(INDEX(tEditais[Encerramento],MATCH(tItens[[#This Row],[Edital]],tEditais[Edital],0)),"")</f>
        <v>46308.333333333336</v>
      </c>
      <c r="J1718" t="str">
        <f>IFERROR(INDEX(tProdutos[Classe],MATCH(tItens[[#This Row],[Produto]],tProdutos[Produto],0)),"produto não cadastrado")</f>
        <v>NÚCLEO</v>
      </c>
      <c r="K1718" s="12">
        <f>tItens[[#This Row],[Qtd]]*tItens[[#This Row],[Vlr unit]]</f>
        <v>134.80000000000001</v>
      </c>
      <c r="L1718" s="6">
        <f>IFERROR(IF(INDEX(tProdutos[Desconto homologado],MATCH(tItens[[#This Row],[Produto]],tProdutos[Produto],0))="",DescontoPadrao,INDEX(tProdutos[Desconto homologado],MATCH(tItens[[#This Row],[Produto]],tProdutos[Produto],0))),DescontoPadrao)</f>
        <v>0.37</v>
      </c>
      <c r="M1718" s="12">
        <f>tItens[[#This Row],[Valor]]*(1-tItens[[#This Row],[Desconto]])</f>
        <v>84.924000000000007</v>
      </c>
      <c r="N1718" t="str">
        <f>IFERROR(INDEX(tProdutos[Foco],MATCH(tItens[[#This Row],[Produto]],tProdutos[Produto],0)),"Não")</f>
        <v>Sim</v>
      </c>
      <c r="O1718" t="str">
        <f>IFERROR(INDEX(tEditais[SRP],MATCH(tItens[[#This Row],[Edital]],tEditais[Edital],0)),"Não")</f>
        <v>Não</v>
      </c>
      <c r="P1718" s="4">
        <f>IF(COUNTIFS(INDEX(tItens[Edital],1):tItens[[#This Row],[Edital]],tItens[[#This Row],[Edital]],INDEX(tItens[Produto],1):tItens[[#This Row],[Produto]],tItens[[#This Row],[Produto]])=1,1,0)</f>
        <v>0</v>
      </c>
    </row>
    <row r="1719" spans="1:16" x14ac:dyDescent="0.25">
      <c r="A1719" t="s">
        <v>1164</v>
      </c>
      <c r="B1719">
        <v>272</v>
      </c>
      <c r="C1719" t="s">
        <v>4773</v>
      </c>
      <c r="D1719" t="s">
        <v>144</v>
      </c>
      <c r="E1719" s="13">
        <v>70</v>
      </c>
      <c r="F1719" s="12">
        <v>78.760000000000005</v>
      </c>
      <c r="G1719" t="str">
        <f>IFERROR(INDEX(tEditais[Órgão],MATCH(tItens[[#This Row],[Edital]],tEditais[Edital],0)),"")</f>
        <v>FUNDO MUNICIPAL DE SAUDE DE VILA PROPICIO</v>
      </c>
      <c r="H1719" t="str">
        <f>IFERROR(INDEX(tEditais[UF],MATCH(tItens[[#This Row],[Edital]],tEditais[Edital],0)),"")</f>
        <v>GO</v>
      </c>
      <c r="I1719" s="11">
        <f>IFERROR(INDEX(tEditais[Encerramento],MATCH(tItens[[#This Row],[Edital]],tEditais[Edital],0)),"")</f>
        <v>46308.333333333336</v>
      </c>
      <c r="J1719" t="str">
        <f>IFERROR(INDEX(tProdutos[Classe],MATCH(tItens[[#This Row],[Produto]],tProdutos[Produto],0)),"produto não cadastrado")</f>
        <v>DISPUTADO</v>
      </c>
      <c r="K1719" s="12">
        <f>tItens[[#This Row],[Qtd]]*tItens[[#This Row],[Vlr unit]]</f>
        <v>5513.2000000000007</v>
      </c>
      <c r="L1719" s="6">
        <f>IFERROR(IF(INDEX(tProdutos[Desconto homologado],MATCH(tItens[[#This Row],[Produto]],tProdutos[Produto],0))="",DescontoPadrao,INDEX(tProdutos[Desconto homologado],MATCH(tItens[[#This Row],[Produto]],tProdutos[Produto],0))),DescontoPadrao)</f>
        <v>0.371428571428571</v>
      </c>
      <c r="M1719" s="12">
        <f>tItens[[#This Row],[Valor]]*(1-tItens[[#This Row],[Desconto]])</f>
        <v>3465.4400000000028</v>
      </c>
      <c r="N1719" t="str">
        <f>IFERROR(INDEX(tProdutos[Foco],MATCH(tItens[[#This Row],[Produto]],tProdutos[Produto],0)),"Não")</f>
        <v>Não</v>
      </c>
      <c r="O1719" t="str">
        <f>IFERROR(INDEX(tEditais[SRP],MATCH(tItens[[#This Row],[Edital]],tEditais[Edital],0)),"Não")</f>
        <v>Não</v>
      </c>
      <c r="P1719" s="4">
        <f>IF(COUNTIFS(INDEX(tItens[Edital],1):tItens[[#This Row],[Edital]],tItens[[#This Row],[Edital]],INDEX(tItens[Produto],1):tItens[[#This Row],[Produto]],tItens[[#This Row],[Produto]])=1,1,0)</f>
        <v>1</v>
      </c>
    </row>
    <row r="1720" spans="1:16" x14ac:dyDescent="0.25">
      <c r="A1720" t="s">
        <v>1164</v>
      </c>
      <c r="B1720">
        <v>279</v>
      </c>
      <c r="C1720" t="s">
        <v>4774</v>
      </c>
      <c r="D1720" t="s">
        <v>333</v>
      </c>
      <c r="E1720" s="13">
        <v>1000</v>
      </c>
      <c r="F1720" s="12">
        <v>1.55</v>
      </c>
      <c r="G1720" t="str">
        <f>IFERROR(INDEX(tEditais[Órgão],MATCH(tItens[[#This Row],[Edital]],tEditais[Edital],0)),"")</f>
        <v>FUNDO MUNICIPAL DE SAUDE DE VILA PROPICIO</v>
      </c>
      <c r="H1720" t="str">
        <f>IFERROR(INDEX(tEditais[UF],MATCH(tItens[[#This Row],[Edital]],tEditais[Edital],0)),"")</f>
        <v>GO</v>
      </c>
      <c r="I1720" s="11">
        <f>IFERROR(INDEX(tEditais[Encerramento],MATCH(tItens[[#This Row],[Edital]],tEditais[Edital],0)),"")</f>
        <v>46308.333333333336</v>
      </c>
      <c r="J1720" t="str">
        <f>IFERROR(INDEX(tProdutos[Classe],MATCH(tItens[[#This Row],[Produto]],tProdutos[Produto],0)),"produto não cadastrado")</f>
        <v>FORA</v>
      </c>
      <c r="K1720" s="12">
        <f>tItens[[#This Row],[Qtd]]*tItens[[#This Row],[Vlr unit]]</f>
        <v>1550</v>
      </c>
      <c r="L1720" s="6">
        <f>IFERROR(IF(INDEX(tProdutos[Desconto homologado],MATCH(tItens[[#This Row],[Produto]],tProdutos[Produto],0))="",DescontoPadrao,INDEX(tProdutos[Desconto homologado],MATCH(tItens[[#This Row],[Produto]],tProdutos[Produto],0))),DescontoPadrao)</f>
        <v>0.48951048951048998</v>
      </c>
      <c r="M1720" s="12">
        <f>tItens[[#This Row],[Valor]]*(1-tItens[[#This Row],[Desconto]])</f>
        <v>791.25874125874043</v>
      </c>
      <c r="N1720" t="str">
        <f>IFERROR(INDEX(tProdutos[Foco],MATCH(tItens[[#This Row],[Produto]],tProdutos[Produto],0)),"Não")</f>
        <v>Não</v>
      </c>
      <c r="O1720" t="str">
        <f>IFERROR(INDEX(tEditais[SRP],MATCH(tItens[[#This Row],[Edital]],tEditais[Edital],0)),"Não")</f>
        <v>Não</v>
      </c>
      <c r="P1720" s="4">
        <f>IF(COUNTIFS(INDEX(tItens[Edital],1):tItens[[#This Row],[Edital]],tItens[[#This Row],[Edital]],INDEX(tItens[Produto],1):tItens[[#This Row],[Produto]],tItens[[#This Row],[Produto]])=1,1,0)</f>
        <v>1</v>
      </c>
    </row>
    <row r="1721" spans="1:16" x14ac:dyDescent="0.25">
      <c r="A1721" t="s">
        <v>1164</v>
      </c>
      <c r="B1721">
        <v>283</v>
      </c>
      <c r="C1721" t="s">
        <v>4775</v>
      </c>
      <c r="D1721" t="s">
        <v>90</v>
      </c>
      <c r="E1721" s="13">
        <v>600</v>
      </c>
      <c r="F1721" s="12">
        <v>14.34</v>
      </c>
      <c r="G1721" t="str">
        <f>IFERROR(INDEX(tEditais[Órgão],MATCH(tItens[[#This Row],[Edital]],tEditais[Edital],0)),"")</f>
        <v>FUNDO MUNICIPAL DE SAUDE DE VILA PROPICIO</v>
      </c>
      <c r="H1721" t="str">
        <f>IFERROR(INDEX(tEditais[UF],MATCH(tItens[[#This Row],[Edital]],tEditais[Edital],0)),"")</f>
        <v>GO</v>
      </c>
      <c r="I1721" s="11">
        <f>IFERROR(INDEX(tEditais[Encerramento],MATCH(tItens[[#This Row],[Edital]],tEditais[Edital],0)),"")</f>
        <v>46308.333333333336</v>
      </c>
      <c r="J1721" t="str">
        <f>IFERROR(INDEX(tProdutos[Classe],MATCH(tItens[[#This Row],[Produto]],tProdutos[Produto],0)),"produto não cadastrado")</f>
        <v>DISPUTADO</v>
      </c>
      <c r="K1721" s="12">
        <f>tItens[[#This Row],[Qtd]]*tItens[[#This Row],[Vlr unit]]</f>
        <v>8604</v>
      </c>
      <c r="L1721" s="6">
        <f>IFERROR(IF(INDEX(tProdutos[Desconto homologado],MATCH(tItens[[#This Row],[Produto]],tProdutos[Produto],0))="",DescontoPadrao,INDEX(tProdutos[Desconto homologado],MATCH(tItens[[#This Row],[Produto]],tProdutos[Produto],0))),DescontoPadrao)</f>
        <v>0.25393823957010597</v>
      </c>
      <c r="M1721" s="12">
        <f>tItens[[#This Row],[Valor]]*(1-tItens[[#This Row],[Desconto]])</f>
        <v>6419.1153867388084</v>
      </c>
      <c r="N1721" t="str">
        <f>IFERROR(INDEX(tProdutos[Foco],MATCH(tItens[[#This Row],[Produto]],tProdutos[Produto],0)),"Não")</f>
        <v>Não</v>
      </c>
      <c r="O1721" t="str">
        <f>IFERROR(INDEX(tEditais[SRP],MATCH(tItens[[#This Row],[Edital]],tEditais[Edital],0)),"Não")</f>
        <v>Não</v>
      </c>
      <c r="P1721" s="4">
        <f>IF(COUNTIFS(INDEX(tItens[Edital],1):tItens[[#This Row],[Edital]],tItens[[#This Row],[Edital]],INDEX(tItens[Produto],1):tItens[[#This Row],[Produto]],tItens[[#This Row],[Produto]])=1,1,0)</f>
        <v>1</v>
      </c>
    </row>
    <row r="1722" spans="1:16" x14ac:dyDescent="0.25">
      <c r="A1722" t="s">
        <v>1164</v>
      </c>
      <c r="B1722">
        <v>284</v>
      </c>
      <c r="C1722" t="s">
        <v>4776</v>
      </c>
      <c r="D1722" t="s">
        <v>233</v>
      </c>
      <c r="E1722" s="13">
        <v>20</v>
      </c>
      <c r="F1722" s="12">
        <v>16.47</v>
      </c>
      <c r="G1722" t="str">
        <f>IFERROR(INDEX(tEditais[Órgão],MATCH(tItens[[#This Row],[Edital]],tEditais[Edital],0)),"")</f>
        <v>FUNDO MUNICIPAL DE SAUDE DE VILA PROPICIO</v>
      </c>
      <c r="H1722" t="str">
        <f>IFERROR(INDEX(tEditais[UF],MATCH(tItens[[#This Row],[Edital]],tEditais[Edital],0)),"")</f>
        <v>GO</v>
      </c>
      <c r="I1722" s="11">
        <f>IFERROR(INDEX(tEditais[Encerramento],MATCH(tItens[[#This Row],[Edital]],tEditais[Edital],0)),"")</f>
        <v>46308.333333333336</v>
      </c>
      <c r="J1722" t="str">
        <f>IFERROR(INDEX(tProdutos[Classe],MATCH(tItens[[#This Row],[Produto]],tProdutos[Produto],0)),"produto não cadastrado")</f>
        <v>FORA</v>
      </c>
      <c r="K1722" s="12">
        <f>tItens[[#This Row],[Qtd]]*tItens[[#This Row],[Vlr unit]]</f>
        <v>329.4</v>
      </c>
      <c r="L1722" s="6">
        <f>IFERROR(IF(INDEX(tProdutos[Desconto homologado],MATCH(tItens[[#This Row],[Produto]],tProdutos[Produto],0))="",DescontoPadrao,INDEX(tProdutos[Desconto homologado],MATCH(tItens[[#This Row],[Produto]],tProdutos[Produto],0))),DescontoPadrao)</f>
        <v>0.246270084162204</v>
      </c>
      <c r="M1722" s="12">
        <f>tItens[[#This Row],[Valor]]*(1-tItens[[#This Row],[Desconto]])</f>
        <v>248.27863427697</v>
      </c>
      <c r="N1722" t="str">
        <f>IFERROR(INDEX(tProdutos[Foco],MATCH(tItens[[#This Row],[Produto]],tProdutos[Produto],0)),"Não")</f>
        <v>Não</v>
      </c>
      <c r="O1722" t="str">
        <f>IFERROR(INDEX(tEditais[SRP],MATCH(tItens[[#This Row],[Edital]],tEditais[Edital],0)),"Não")</f>
        <v>Não</v>
      </c>
      <c r="P1722" s="4">
        <f>IF(COUNTIFS(INDEX(tItens[Edital],1):tItens[[#This Row],[Edital]],tItens[[#This Row],[Edital]],INDEX(tItens[Produto],1):tItens[[#This Row],[Produto]],tItens[[#This Row],[Produto]])=1,1,0)</f>
        <v>1</v>
      </c>
    </row>
    <row r="1723" spans="1:16" x14ac:dyDescent="0.25">
      <c r="A1723" t="s">
        <v>1164</v>
      </c>
      <c r="B1723">
        <v>285</v>
      </c>
      <c r="C1723" t="s">
        <v>4670</v>
      </c>
      <c r="D1723" t="s">
        <v>75</v>
      </c>
      <c r="E1723" s="13">
        <v>50</v>
      </c>
      <c r="F1723" s="12">
        <v>1.98</v>
      </c>
      <c r="G1723" t="str">
        <f>IFERROR(INDEX(tEditais[Órgão],MATCH(tItens[[#This Row],[Edital]],tEditais[Edital],0)),"")</f>
        <v>FUNDO MUNICIPAL DE SAUDE DE VILA PROPICIO</v>
      </c>
      <c r="H1723" t="str">
        <f>IFERROR(INDEX(tEditais[UF],MATCH(tItens[[#This Row],[Edital]],tEditais[Edital],0)),"")</f>
        <v>GO</v>
      </c>
      <c r="I1723" s="11">
        <f>IFERROR(INDEX(tEditais[Encerramento],MATCH(tItens[[#This Row],[Edital]],tEditais[Edital],0)),"")</f>
        <v>46308.333333333336</v>
      </c>
      <c r="J1723" t="str">
        <f>IFERROR(INDEX(tProdutos[Classe],MATCH(tItens[[#This Row],[Produto]],tProdutos[Produto],0)),"produto não cadastrado")</f>
        <v>NÚCLEO</v>
      </c>
      <c r="K1723" s="12">
        <f>tItens[[#This Row],[Qtd]]*tItens[[#This Row],[Vlr unit]]</f>
        <v>99</v>
      </c>
      <c r="L1723" s="6">
        <f>IFERROR(IF(INDEX(tProdutos[Desconto homologado],MATCH(tItens[[#This Row],[Produto]],tProdutos[Produto],0))="",DescontoPadrao,INDEX(tProdutos[Desconto homologado],MATCH(tItens[[#This Row],[Produto]],tProdutos[Produto],0))),DescontoPadrao)</f>
        <v>0.26</v>
      </c>
      <c r="M1723" s="12">
        <f>tItens[[#This Row],[Valor]]*(1-tItens[[#This Row],[Desconto]])</f>
        <v>73.260000000000005</v>
      </c>
      <c r="N1723" t="str">
        <f>IFERROR(INDEX(tProdutos[Foco],MATCH(tItens[[#This Row],[Produto]],tProdutos[Produto],0)),"Não")</f>
        <v>Sim</v>
      </c>
      <c r="O1723" t="str">
        <f>IFERROR(INDEX(tEditais[SRP],MATCH(tItens[[#This Row],[Edital]],tEditais[Edital],0)),"Não")</f>
        <v>Não</v>
      </c>
      <c r="P1723" s="4">
        <f>IF(COUNTIFS(INDEX(tItens[Edital],1):tItens[[#This Row],[Edital]],tItens[[#This Row],[Edital]],INDEX(tItens[Produto],1):tItens[[#This Row],[Produto]],tItens[[#This Row],[Produto]])=1,1,0)</f>
        <v>1</v>
      </c>
    </row>
    <row r="1724" spans="1:16" x14ac:dyDescent="0.25">
      <c r="A1724" t="s">
        <v>1164</v>
      </c>
      <c r="B1724">
        <v>286</v>
      </c>
      <c r="C1724" t="s">
        <v>4777</v>
      </c>
      <c r="D1724" t="s">
        <v>75</v>
      </c>
      <c r="E1724" s="13">
        <v>400</v>
      </c>
      <c r="F1724" s="12">
        <v>1.93</v>
      </c>
      <c r="G1724" t="str">
        <f>IFERROR(INDEX(tEditais[Órgão],MATCH(tItens[[#This Row],[Edital]],tEditais[Edital],0)),"")</f>
        <v>FUNDO MUNICIPAL DE SAUDE DE VILA PROPICIO</v>
      </c>
      <c r="H1724" t="str">
        <f>IFERROR(INDEX(tEditais[UF],MATCH(tItens[[#This Row],[Edital]],tEditais[Edital],0)),"")</f>
        <v>GO</v>
      </c>
      <c r="I1724" s="11">
        <f>IFERROR(INDEX(tEditais[Encerramento],MATCH(tItens[[#This Row],[Edital]],tEditais[Edital],0)),"")</f>
        <v>46308.333333333336</v>
      </c>
      <c r="J1724" t="str">
        <f>IFERROR(INDEX(tProdutos[Classe],MATCH(tItens[[#This Row],[Produto]],tProdutos[Produto],0)),"produto não cadastrado")</f>
        <v>NÚCLEO</v>
      </c>
      <c r="K1724" s="12">
        <f>tItens[[#This Row],[Qtd]]*tItens[[#This Row],[Vlr unit]]</f>
        <v>772</v>
      </c>
      <c r="L1724" s="6">
        <f>IFERROR(IF(INDEX(tProdutos[Desconto homologado],MATCH(tItens[[#This Row],[Produto]],tProdutos[Produto],0))="",DescontoPadrao,INDEX(tProdutos[Desconto homologado],MATCH(tItens[[#This Row],[Produto]],tProdutos[Produto],0))),DescontoPadrao)</f>
        <v>0.26</v>
      </c>
      <c r="M1724" s="12">
        <f>tItens[[#This Row],[Valor]]*(1-tItens[[#This Row],[Desconto]])</f>
        <v>571.28</v>
      </c>
      <c r="N1724" t="str">
        <f>IFERROR(INDEX(tProdutos[Foco],MATCH(tItens[[#This Row],[Produto]],tProdutos[Produto],0)),"Não")</f>
        <v>Sim</v>
      </c>
      <c r="O1724" t="str">
        <f>IFERROR(INDEX(tEditais[SRP],MATCH(tItens[[#This Row],[Edital]],tEditais[Edital],0)),"Não")</f>
        <v>Não</v>
      </c>
      <c r="P1724" s="4">
        <f>IF(COUNTIFS(INDEX(tItens[Edital],1):tItens[[#This Row],[Edital]],tItens[[#This Row],[Edital]],INDEX(tItens[Produto],1):tItens[[#This Row],[Produto]],tItens[[#This Row],[Produto]])=1,1,0)</f>
        <v>0</v>
      </c>
    </row>
    <row r="1725" spans="1:16" x14ac:dyDescent="0.25">
      <c r="A1725" t="s">
        <v>1164</v>
      </c>
      <c r="B1725">
        <v>287</v>
      </c>
      <c r="C1725" t="s">
        <v>4778</v>
      </c>
      <c r="D1725" t="s">
        <v>75</v>
      </c>
      <c r="E1725" s="13">
        <v>200</v>
      </c>
      <c r="F1725" s="12">
        <v>1.68</v>
      </c>
      <c r="G1725" t="str">
        <f>IFERROR(INDEX(tEditais[Órgão],MATCH(tItens[[#This Row],[Edital]],tEditais[Edital],0)),"")</f>
        <v>FUNDO MUNICIPAL DE SAUDE DE VILA PROPICIO</v>
      </c>
      <c r="H1725" t="str">
        <f>IFERROR(INDEX(tEditais[UF],MATCH(tItens[[#This Row],[Edital]],tEditais[Edital],0)),"")</f>
        <v>GO</v>
      </c>
      <c r="I1725" s="11">
        <f>IFERROR(INDEX(tEditais[Encerramento],MATCH(tItens[[#This Row],[Edital]],tEditais[Edital],0)),"")</f>
        <v>46308.333333333336</v>
      </c>
      <c r="J1725" t="str">
        <f>IFERROR(INDEX(tProdutos[Classe],MATCH(tItens[[#This Row],[Produto]],tProdutos[Produto],0)),"produto não cadastrado")</f>
        <v>NÚCLEO</v>
      </c>
      <c r="K1725" s="12">
        <f>tItens[[#This Row],[Qtd]]*tItens[[#This Row],[Vlr unit]]</f>
        <v>336</v>
      </c>
      <c r="L1725" s="6">
        <f>IFERROR(IF(INDEX(tProdutos[Desconto homologado],MATCH(tItens[[#This Row],[Produto]],tProdutos[Produto],0))="",DescontoPadrao,INDEX(tProdutos[Desconto homologado],MATCH(tItens[[#This Row],[Produto]],tProdutos[Produto],0))),DescontoPadrao)</f>
        <v>0.26</v>
      </c>
      <c r="M1725" s="12">
        <f>tItens[[#This Row],[Valor]]*(1-tItens[[#This Row],[Desconto]])</f>
        <v>248.64</v>
      </c>
      <c r="N1725" t="str">
        <f>IFERROR(INDEX(tProdutos[Foco],MATCH(tItens[[#This Row],[Produto]],tProdutos[Produto],0)),"Não")</f>
        <v>Sim</v>
      </c>
      <c r="O1725" t="str">
        <f>IFERROR(INDEX(tEditais[SRP],MATCH(tItens[[#This Row],[Edital]],tEditais[Edital],0)),"Não")</f>
        <v>Não</v>
      </c>
      <c r="P1725" s="4">
        <f>IF(COUNTIFS(INDEX(tItens[Edital],1):tItens[[#This Row],[Edital]],tItens[[#This Row],[Edital]],INDEX(tItens[Produto],1):tItens[[#This Row],[Produto]],tItens[[#This Row],[Produto]])=1,1,0)</f>
        <v>0</v>
      </c>
    </row>
    <row r="1726" spans="1:16" x14ac:dyDescent="0.25">
      <c r="A1726" t="s">
        <v>1164</v>
      </c>
      <c r="B1726">
        <v>293</v>
      </c>
      <c r="C1726" t="s">
        <v>4779</v>
      </c>
      <c r="D1726" t="s">
        <v>142</v>
      </c>
      <c r="E1726" s="13">
        <v>50</v>
      </c>
      <c r="F1726" s="12">
        <v>5.37</v>
      </c>
      <c r="G1726" t="str">
        <f>IFERROR(INDEX(tEditais[Órgão],MATCH(tItens[[#This Row],[Edital]],tEditais[Edital],0)),"")</f>
        <v>FUNDO MUNICIPAL DE SAUDE DE VILA PROPICIO</v>
      </c>
      <c r="H1726" t="str">
        <f>IFERROR(INDEX(tEditais[UF],MATCH(tItens[[#This Row],[Edital]],tEditais[Edital],0)),"")</f>
        <v>GO</v>
      </c>
      <c r="I1726" s="11">
        <f>IFERROR(INDEX(tEditais[Encerramento],MATCH(tItens[[#This Row],[Edital]],tEditais[Edital],0)),"")</f>
        <v>46308.333333333336</v>
      </c>
      <c r="J1726" t="str">
        <f>IFERROR(INDEX(tProdutos[Classe],MATCH(tItens[[#This Row],[Produto]],tProdutos[Produto],0)),"produto não cadastrado")</f>
        <v>DISPUTADO</v>
      </c>
      <c r="K1726" s="12">
        <f>tItens[[#This Row],[Qtd]]*tItens[[#This Row],[Vlr unit]]</f>
        <v>268.5</v>
      </c>
      <c r="L1726" s="6">
        <f>IFERROR(IF(INDEX(tProdutos[Desconto homologado],MATCH(tItens[[#This Row],[Produto]],tProdutos[Produto],0))="",DescontoPadrao,INDEX(tProdutos[Desconto homologado],MATCH(tItens[[#This Row],[Produto]],tProdutos[Produto],0))),DescontoPadrao)</f>
        <v>0.37093619495691699</v>
      </c>
      <c r="M1726" s="12">
        <f>tItens[[#This Row],[Valor]]*(1-tItens[[#This Row],[Desconto]])</f>
        <v>168.90363165406779</v>
      </c>
      <c r="N1726" t="str">
        <f>IFERROR(INDEX(tProdutos[Foco],MATCH(tItens[[#This Row],[Produto]],tProdutos[Produto],0)),"Não")</f>
        <v>Não</v>
      </c>
      <c r="O1726" t="str">
        <f>IFERROR(INDEX(tEditais[SRP],MATCH(tItens[[#This Row],[Edital]],tEditais[Edital],0)),"Não")</f>
        <v>Não</v>
      </c>
      <c r="P1726" s="4">
        <f>IF(COUNTIFS(INDEX(tItens[Edital],1):tItens[[#This Row],[Edital]],tItens[[#This Row],[Edital]],INDEX(tItens[Produto],1):tItens[[#This Row],[Produto]],tItens[[#This Row],[Produto]])=1,1,0)</f>
        <v>1</v>
      </c>
    </row>
    <row r="1727" spans="1:16" x14ac:dyDescent="0.25">
      <c r="A1727" t="s">
        <v>1164</v>
      </c>
      <c r="B1727">
        <v>294</v>
      </c>
      <c r="C1727" t="s">
        <v>4780</v>
      </c>
      <c r="D1727" t="s">
        <v>77</v>
      </c>
      <c r="E1727" s="13">
        <v>300</v>
      </c>
      <c r="F1727" s="12">
        <v>11.41</v>
      </c>
      <c r="G1727" t="str">
        <f>IFERROR(INDEX(tEditais[Órgão],MATCH(tItens[[#This Row],[Edital]],tEditais[Edital],0)),"")</f>
        <v>FUNDO MUNICIPAL DE SAUDE DE VILA PROPICIO</v>
      </c>
      <c r="H1727" t="str">
        <f>IFERROR(INDEX(tEditais[UF],MATCH(tItens[[#This Row],[Edital]],tEditais[Edital],0)),"")</f>
        <v>GO</v>
      </c>
      <c r="I1727" s="11">
        <f>IFERROR(INDEX(tEditais[Encerramento],MATCH(tItens[[#This Row],[Edital]],tEditais[Edital],0)),"")</f>
        <v>46308.333333333336</v>
      </c>
      <c r="J1727" t="str">
        <f>IFERROR(INDEX(tProdutos[Classe],MATCH(tItens[[#This Row],[Produto]],tProdutos[Produto],0)),"produto não cadastrado")</f>
        <v>DISPUTADO</v>
      </c>
      <c r="K1727" s="12">
        <f>tItens[[#This Row],[Qtd]]*tItens[[#This Row],[Vlr unit]]</f>
        <v>3423</v>
      </c>
      <c r="L1727" s="6">
        <f>IFERROR(IF(INDEX(tProdutos[Desconto homologado],MATCH(tItens[[#This Row],[Produto]],tProdutos[Produto],0))="",DescontoPadrao,INDEX(tProdutos[Desconto homologado],MATCH(tItens[[#This Row],[Produto]],tProdutos[Produto],0))),DescontoPadrao)</f>
        <v>0.33</v>
      </c>
      <c r="M1727" s="12">
        <f>tItens[[#This Row],[Valor]]*(1-tItens[[#This Row],[Desconto]])</f>
        <v>2293.41</v>
      </c>
      <c r="N1727" t="str">
        <f>IFERROR(INDEX(tProdutos[Foco],MATCH(tItens[[#This Row],[Produto]],tProdutos[Produto],0)),"Não")</f>
        <v>Sim</v>
      </c>
      <c r="O1727" t="str">
        <f>IFERROR(INDEX(tEditais[SRP],MATCH(tItens[[#This Row],[Edital]],tEditais[Edital],0)),"Não")</f>
        <v>Não</v>
      </c>
      <c r="P1727" s="4">
        <f>IF(COUNTIFS(INDEX(tItens[Edital],1):tItens[[#This Row],[Edital]],tItens[[#This Row],[Edital]],INDEX(tItens[Produto],1):tItens[[#This Row],[Produto]],tItens[[#This Row],[Produto]])=1,1,0)</f>
        <v>1</v>
      </c>
    </row>
    <row r="1728" spans="1:16" x14ac:dyDescent="0.25">
      <c r="A1728" t="s">
        <v>1164</v>
      </c>
      <c r="B1728">
        <v>296</v>
      </c>
      <c r="C1728" t="s">
        <v>4781</v>
      </c>
      <c r="D1728" t="s">
        <v>156</v>
      </c>
      <c r="E1728" s="13">
        <v>20</v>
      </c>
      <c r="F1728" s="12">
        <v>19.32</v>
      </c>
      <c r="G1728" t="str">
        <f>IFERROR(INDEX(tEditais[Órgão],MATCH(tItens[[#This Row],[Edital]],tEditais[Edital],0)),"")</f>
        <v>FUNDO MUNICIPAL DE SAUDE DE VILA PROPICIO</v>
      </c>
      <c r="H1728" t="str">
        <f>IFERROR(INDEX(tEditais[UF],MATCH(tItens[[#This Row],[Edital]],tEditais[Edital],0)),"")</f>
        <v>GO</v>
      </c>
      <c r="I1728" s="11">
        <f>IFERROR(INDEX(tEditais[Encerramento],MATCH(tItens[[#This Row],[Edital]],tEditais[Edital],0)),"")</f>
        <v>46308.333333333336</v>
      </c>
      <c r="J1728" t="str">
        <f>IFERROR(INDEX(tProdutos[Classe],MATCH(tItens[[#This Row],[Produto]],tProdutos[Produto],0)),"produto não cadastrado")</f>
        <v>DISPUTADO</v>
      </c>
      <c r="K1728" s="12">
        <f>tItens[[#This Row],[Qtd]]*tItens[[#This Row],[Vlr unit]]</f>
        <v>386.4</v>
      </c>
      <c r="L1728" s="6">
        <f>IFERROR(IF(INDEX(tProdutos[Desconto homologado],MATCH(tItens[[#This Row],[Produto]],tProdutos[Produto],0))="",DescontoPadrao,INDEX(tProdutos[Desconto homologado],MATCH(tItens[[#This Row],[Produto]],tProdutos[Produto],0))),DescontoPadrao)</f>
        <v>0.27131852489802799</v>
      </c>
      <c r="M1728" s="12">
        <f>tItens[[#This Row],[Valor]]*(1-tItens[[#This Row],[Desconto]])</f>
        <v>281.56252197940199</v>
      </c>
      <c r="N1728" t="str">
        <f>IFERROR(INDEX(tProdutos[Foco],MATCH(tItens[[#This Row],[Produto]],tProdutos[Produto],0)),"Não")</f>
        <v>Não</v>
      </c>
      <c r="O1728" t="str">
        <f>IFERROR(INDEX(tEditais[SRP],MATCH(tItens[[#This Row],[Edital]],tEditais[Edital],0)),"Não")</f>
        <v>Não</v>
      </c>
      <c r="P1728" s="4">
        <f>IF(COUNTIFS(INDEX(tItens[Edital],1):tItens[[#This Row],[Edital]],tItens[[#This Row],[Edital]],INDEX(tItens[Produto],1):tItens[[#This Row],[Produto]],tItens[[#This Row],[Produto]])=1,1,0)</f>
        <v>1</v>
      </c>
    </row>
    <row r="1729" spans="1:16" x14ac:dyDescent="0.25">
      <c r="A1729" t="s">
        <v>1164</v>
      </c>
      <c r="B1729">
        <v>298</v>
      </c>
      <c r="C1729" t="s">
        <v>4782</v>
      </c>
      <c r="D1729" t="s">
        <v>512</v>
      </c>
      <c r="E1729" s="13">
        <v>24</v>
      </c>
      <c r="F1729" s="12">
        <v>28.17</v>
      </c>
      <c r="G1729" t="str">
        <f>IFERROR(INDEX(tEditais[Órgão],MATCH(tItens[[#This Row],[Edital]],tEditais[Edital],0)),"")</f>
        <v>FUNDO MUNICIPAL DE SAUDE DE VILA PROPICIO</v>
      </c>
      <c r="H1729" t="str">
        <f>IFERROR(INDEX(tEditais[UF],MATCH(tItens[[#This Row],[Edital]],tEditais[Edital],0)),"")</f>
        <v>GO</v>
      </c>
      <c r="I1729" s="11">
        <f>IFERROR(INDEX(tEditais[Encerramento],MATCH(tItens[[#This Row],[Edital]],tEditais[Edital],0)),"")</f>
        <v>46308.333333333336</v>
      </c>
      <c r="J1729" t="str">
        <f>IFERROR(INDEX(tProdutos[Classe],MATCH(tItens[[#This Row],[Produto]],tProdutos[Produto],0)),"produto não cadastrado")</f>
        <v>FILA REBASE</v>
      </c>
      <c r="K1729" s="12">
        <f>tItens[[#This Row],[Qtd]]*tItens[[#This Row],[Vlr unit]]</f>
        <v>676.08</v>
      </c>
      <c r="L1729" s="6">
        <f>IFERROR(IF(INDEX(tProdutos[Desconto homologado],MATCH(tItens[[#This Row],[Produto]],tProdutos[Produto],0))="",DescontoPadrao,INDEX(tProdutos[Desconto homologado],MATCH(tItens[[#This Row],[Produto]],tProdutos[Produto],0))),DescontoPadrao)</f>
        <v>0.32579365079365102</v>
      </c>
      <c r="M1729" s="12">
        <f>tItens[[#This Row],[Valor]]*(1-tItens[[#This Row],[Desconto]])</f>
        <v>455.81742857142848</v>
      </c>
      <c r="N1729" t="str">
        <f>IFERROR(INDEX(tProdutos[Foco],MATCH(tItens[[#This Row],[Produto]],tProdutos[Produto],0)),"Não")</f>
        <v>Não</v>
      </c>
      <c r="O1729" t="str">
        <f>IFERROR(INDEX(tEditais[SRP],MATCH(tItens[[#This Row],[Edital]],tEditais[Edital],0)),"Não")</f>
        <v>Não</v>
      </c>
      <c r="P1729" s="4">
        <f>IF(COUNTIFS(INDEX(tItens[Edital],1):tItens[[#This Row],[Edital]],tItens[[#This Row],[Edital]],INDEX(tItens[Produto],1):tItens[[#This Row],[Produto]],tItens[[#This Row],[Produto]])=1,1,0)</f>
        <v>1</v>
      </c>
    </row>
    <row r="1730" spans="1:16" x14ac:dyDescent="0.25">
      <c r="A1730" t="s">
        <v>1164</v>
      </c>
      <c r="B1730">
        <v>300</v>
      </c>
      <c r="C1730" t="s">
        <v>4783</v>
      </c>
      <c r="D1730" t="s">
        <v>467</v>
      </c>
      <c r="E1730" s="13">
        <v>10</v>
      </c>
      <c r="F1730" s="12">
        <v>30.59</v>
      </c>
      <c r="G1730" t="str">
        <f>IFERROR(INDEX(tEditais[Órgão],MATCH(tItens[[#This Row],[Edital]],tEditais[Edital],0)),"")</f>
        <v>FUNDO MUNICIPAL DE SAUDE DE VILA PROPICIO</v>
      </c>
      <c r="H1730" t="str">
        <f>IFERROR(INDEX(tEditais[UF],MATCH(tItens[[#This Row],[Edital]],tEditais[Edital],0)),"")</f>
        <v>GO</v>
      </c>
      <c r="I1730" s="11">
        <f>IFERROR(INDEX(tEditais[Encerramento],MATCH(tItens[[#This Row],[Edital]],tEditais[Edital],0)),"")</f>
        <v>46308.333333333336</v>
      </c>
      <c r="J1730" t="str">
        <f>IFERROR(INDEX(tProdutos[Classe],MATCH(tItens[[#This Row],[Produto]],tProdutos[Produto],0)),"produto não cadastrado")</f>
        <v>FILA REBASE</v>
      </c>
      <c r="K1730" s="12">
        <f>tItens[[#This Row],[Qtd]]*tItens[[#This Row],[Vlr unit]]</f>
        <v>305.89999999999998</v>
      </c>
      <c r="L1730" s="6">
        <f>IFERROR(IF(INDEX(tProdutos[Desconto homologado],MATCH(tItens[[#This Row],[Produto]],tProdutos[Produto],0))="",DescontoPadrao,INDEX(tProdutos[Desconto homologado],MATCH(tItens[[#This Row],[Produto]],tProdutos[Produto],0))),DescontoPadrao)</f>
        <v>0.25007144898542499</v>
      </c>
      <c r="M1730" s="12">
        <f>tItens[[#This Row],[Valor]]*(1-tItens[[#This Row],[Desconto]])</f>
        <v>229.40314375535849</v>
      </c>
      <c r="N1730" t="str">
        <f>IFERROR(INDEX(tProdutos[Foco],MATCH(tItens[[#This Row],[Produto]],tProdutos[Produto],0)),"Não")</f>
        <v>Não</v>
      </c>
      <c r="O1730" t="str">
        <f>IFERROR(INDEX(tEditais[SRP],MATCH(tItens[[#This Row],[Edital]],tEditais[Edital],0)),"Não")</f>
        <v>Não</v>
      </c>
      <c r="P1730" s="4">
        <f>IF(COUNTIFS(INDEX(tItens[Edital],1):tItens[[#This Row],[Edital]],tItens[[#This Row],[Edital]],INDEX(tItens[Produto],1):tItens[[#This Row],[Produto]],tItens[[#This Row],[Produto]])=1,1,0)</f>
        <v>1</v>
      </c>
    </row>
    <row r="1731" spans="1:16" x14ac:dyDescent="0.25">
      <c r="A1731" t="s">
        <v>1164</v>
      </c>
      <c r="B1731">
        <v>308</v>
      </c>
      <c r="C1731" t="s">
        <v>4784</v>
      </c>
      <c r="D1731" t="s">
        <v>56</v>
      </c>
      <c r="E1731" s="13">
        <v>15</v>
      </c>
      <c r="F1731" s="12">
        <v>35.79</v>
      </c>
      <c r="G1731" t="str">
        <f>IFERROR(INDEX(tEditais[Órgão],MATCH(tItens[[#This Row],[Edital]],tEditais[Edital],0)),"")</f>
        <v>FUNDO MUNICIPAL DE SAUDE DE VILA PROPICIO</v>
      </c>
      <c r="H1731" t="str">
        <f>IFERROR(INDEX(tEditais[UF],MATCH(tItens[[#This Row],[Edital]],tEditais[Edital],0)),"")</f>
        <v>GO</v>
      </c>
      <c r="I1731" s="11">
        <f>IFERROR(INDEX(tEditais[Encerramento],MATCH(tItens[[#This Row],[Edital]],tEditais[Edital],0)),"")</f>
        <v>46308.333333333336</v>
      </c>
      <c r="J1731" t="str">
        <f>IFERROR(INDEX(tProdutos[Classe],MATCH(tItens[[#This Row],[Produto]],tProdutos[Produto],0)),"produto não cadastrado")</f>
        <v>NÚCLEO</v>
      </c>
      <c r="K1731" s="12">
        <f>tItens[[#This Row],[Qtd]]*tItens[[#This Row],[Vlr unit]]</f>
        <v>536.85</v>
      </c>
      <c r="L1731" s="6">
        <f>IFERROR(IF(INDEX(tProdutos[Desconto homologado],MATCH(tItens[[#This Row],[Produto]],tProdutos[Produto],0))="",DescontoPadrao,INDEX(tProdutos[Desconto homologado],MATCH(tItens[[#This Row],[Produto]],tProdutos[Produto],0))),DescontoPadrao)</f>
        <v>0.34</v>
      </c>
      <c r="M1731" s="12">
        <f>tItens[[#This Row],[Valor]]*(1-tItens[[#This Row],[Desconto]])</f>
        <v>354.32099999999997</v>
      </c>
      <c r="N1731" t="str">
        <f>IFERROR(INDEX(tProdutos[Foco],MATCH(tItens[[#This Row],[Produto]],tProdutos[Produto],0)),"Não")</f>
        <v>Sim</v>
      </c>
      <c r="O1731" t="str">
        <f>IFERROR(INDEX(tEditais[SRP],MATCH(tItens[[#This Row],[Edital]],tEditais[Edital],0)),"Não")</f>
        <v>Não</v>
      </c>
      <c r="P1731" s="4">
        <f>IF(COUNTIFS(INDEX(tItens[Edital],1):tItens[[#This Row],[Edital]],tItens[[#This Row],[Edital]],INDEX(tItens[Produto],1):tItens[[#This Row],[Produto]],tItens[[#This Row],[Produto]])=1,1,0)</f>
        <v>1</v>
      </c>
    </row>
    <row r="1732" spans="1:16" x14ac:dyDescent="0.25">
      <c r="A1732" t="s">
        <v>1164</v>
      </c>
      <c r="B1732">
        <v>309</v>
      </c>
      <c r="C1732" t="s">
        <v>4785</v>
      </c>
      <c r="D1732" t="s">
        <v>56</v>
      </c>
      <c r="E1732" s="13">
        <v>10</v>
      </c>
      <c r="F1732" s="12">
        <v>35.26</v>
      </c>
      <c r="G1732" t="str">
        <f>IFERROR(INDEX(tEditais[Órgão],MATCH(tItens[[#This Row],[Edital]],tEditais[Edital],0)),"")</f>
        <v>FUNDO MUNICIPAL DE SAUDE DE VILA PROPICIO</v>
      </c>
      <c r="H1732" t="str">
        <f>IFERROR(INDEX(tEditais[UF],MATCH(tItens[[#This Row],[Edital]],tEditais[Edital],0)),"")</f>
        <v>GO</v>
      </c>
      <c r="I1732" s="11">
        <f>IFERROR(INDEX(tEditais[Encerramento],MATCH(tItens[[#This Row],[Edital]],tEditais[Edital],0)),"")</f>
        <v>46308.333333333336</v>
      </c>
      <c r="J1732" t="str">
        <f>IFERROR(INDEX(tProdutos[Classe],MATCH(tItens[[#This Row],[Produto]],tProdutos[Produto],0)),"produto não cadastrado")</f>
        <v>NÚCLEO</v>
      </c>
      <c r="K1732" s="12">
        <f>tItens[[#This Row],[Qtd]]*tItens[[#This Row],[Vlr unit]]</f>
        <v>352.59999999999997</v>
      </c>
      <c r="L1732" s="6">
        <f>IFERROR(IF(INDEX(tProdutos[Desconto homologado],MATCH(tItens[[#This Row],[Produto]],tProdutos[Produto],0))="",DescontoPadrao,INDEX(tProdutos[Desconto homologado],MATCH(tItens[[#This Row],[Produto]],tProdutos[Produto],0))),DescontoPadrao)</f>
        <v>0.34</v>
      </c>
      <c r="M1732" s="12">
        <f>tItens[[#This Row],[Valor]]*(1-tItens[[#This Row],[Desconto]])</f>
        <v>232.71599999999995</v>
      </c>
      <c r="N1732" t="str">
        <f>IFERROR(INDEX(tProdutos[Foco],MATCH(tItens[[#This Row],[Produto]],tProdutos[Produto],0)),"Não")</f>
        <v>Sim</v>
      </c>
      <c r="O1732" t="str">
        <f>IFERROR(INDEX(tEditais[SRP],MATCH(tItens[[#This Row],[Edital]],tEditais[Edital],0)),"Não")</f>
        <v>Não</v>
      </c>
      <c r="P1732" s="4">
        <f>IF(COUNTIFS(INDEX(tItens[Edital],1):tItens[[#This Row],[Edital]],tItens[[#This Row],[Edital]],INDEX(tItens[Produto],1):tItens[[#This Row],[Produto]],tItens[[#This Row],[Produto]])=1,1,0)</f>
        <v>0</v>
      </c>
    </row>
    <row r="1733" spans="1:16" x14ac:dyDescent="0.25">
      <c r="A1733" t="s">
        <v>1164</v>
      </c>
      <c r="B1733">
        <v>310</v>
      </c>
      <c r="C1733" t="s">
        <v>4786</v>
      </c>
      <c r="D1733" t="s">
        <v>56</v>
      </c>
      <c r="E1733" s="13">
        <v>10</v>
      </c>
      <c r="F1733" s="12">
        <v>33.46</v>
      </c>
      <c r="G1733" t="str">
        <f>IFERROR(INDEX(tEditais[Órgão],MATCH(tItens[[#This Row],[Edital]],tEditais[Edital],0)),"")</f>
        <v>FUNDO MUNICIPAL DE SAUDE DE VILA PROPICIO</v>
      </c>
      <c r="H1733" t="str">
        <f>IFERROR(INDEX(tEditais[UF],MATCH(tItens[[#This Row],[Edital]],tEditais[Edital],0)),"")</f>
        <v>GO</v>
      </c>
      <c r="I1733" s="11">
        <f>IFERROR(INDEX(tEditais[Encerramento],MATCH(tItens[[#This Row],[Edital]],tEditais[Edital],0)),"")</f>
        <v>46308.333333333336</v>
      </c>
      <c r="J1733" t="str">
        <f>IFERROR(INDEX(tProdutos[Classe],MATCH(tItens[[#This Row],[Produto]],tProdutos[Produto],0)),"produto não cadastrado")</f>
        <v>NÚCLEO</v>
      </c>
      <c r="K1733" s="12">
        <f>tItens[[#This Row],[Qtd]]*tItens[[#This Row],[Vlr unit]]</f>
        <v>334.6</v>
      </c>
      <c r="L1733" s="6">
        <f>IFERROR(IF(INDEX(tProdutos[Desconto homologado],MATCH(tItens[[#This Row],[Produto]],tProdutos[Produto],0))="",DescontoPadrao,INDEX(tProdutos[Desconto homologado],MATCH(tItens[[#This Row],[Produto]],tProdutos[Produto],0))),DescontoPadrao)</f>
        <v>0.34</v>
      </c>
      <c r="M1733" s="12">
        <f>tItens[[#This Row],[Valor]]*(1-tItens[[#This Row],[Desconto]])</f>
        <v>220.83599999999998</v>
      </c>
      <c r="N1733" t="str">
        <f>IFERROR(INDEX(tProdutos[Foco],MATCH(tItens[[#This Row],[Produto]],tProdutos[Produto],0)),"Não")</f>
        <v>Sim</v>
      </c>
      <c r="O1733" t="str">
        <f>IFERROR(INDEX(tEditais[SRP],MATCH(tItens[[#This Row],[Edital]],tEditais[Edital],0)),"Não")</f>
        <v>Não</v>
      </c>
      <c r="P1733" s="4">
        <f>IF(COUNTIFS(INDEX(tItens[Edital],1):tItens[[#This Row],[Edital]],tItens[[#This Row],[Edital]],INDEX(tItens[Produto],1):tItens[[#This Row],[Produto]],tItens[[#This Row],[Produto]])=1,1,0)</f>
        <v>0</v>
      </c>
    </row>
    <row r="1734" spans="1:16" x14ac:dyDescent="0.25">
      <c r="A1734" t="s">
        <v>1164</v>
      </c>
      <c r="B1734">
        <v>311</v>
      </c>
      <c r="C1734" t="s">
        <v>4787</v>
      </c>
      <c r="D1734" t="s">
        <v>56</v>
      </c>
      <c r="E1734" s="13">
        <v>10</v>
      </c>
      <c r="F1734" s="12">
        <v>31.41</v>
      </c>
      <c r="G1734" t="str">
        <f>IFERROR(INDEX(tEditais[Órgão],MATCH(tItens[[#This Row],[Edital]],tEditais[Edital],0)),"")</f>
        <v>FUNDO MUNICIPAL DE SAUDE DE VILA PROPICIO</v>
      </c>
      <c r="H1734" t="str">
        <f>IFERROR(INDEX(tEditais[UF],MATCH(tItens[[#This Row],[Edital]],tEditais[Edital],0)),"")</f>
        <v>GO</v>
      </c>
      <c r="I1734" s="11">
        <f>IFERROR(INDEX(tEditais[Encerramento],MATCH(tItens[[#This Row],[Edital]],tEditais[Edital],0)),"")</f>
        <v>46308.333333333336</v>
      </c>
      <c r="J1734" t="str">
        <f>IFERROR(INDEX(tProdutos[Classe],MATCH(tItens[[#This Row],[Produto]],tProdutos[Produto],0)),"produto não cadastrado")</f>
        <v>NÚCLEO</v>
      </c>
      <c r="K1734" s="12">
        <f>tItens[[#This Row],[Qtd]]*tItens[[#This Row],[Vlr unit]]</f>
        <v>314.10000000000002</v>
      </c>
      <c r="L1734" s="6">
        <f>IFERROR(IF(INDEX(tProdutos[Desconto homologado],MATCH(tItens[[#This Row],[Produto]],tProdutos[Produto],0))="",DescontoPadrao,INDEX(tProdutos[Desconto homologado],MATCH(tItens[[#This Row],[Produto]],tProdutos[Produto],0))),DescontoPadrao)</f>
        <v>0.34</v>
      </c>
      <c r="M1734" s="12">
        <f>tItens[[#This Row],[Valor]]*(1-tItens[[#This Row],[Desconto]])</f>
        <v>207.30599999999998</v>
      </c>
      <c r="N1734" t="str">
        <f>IFERROR(INDEX(tProdutos[Foco],MATCH(tItens[[#This Row],[Produto]],tProdutos[Produto],0)),"Não")</f>
        <v>Sim</v>
      </c>
      <c r="O1734" t="str">
        <f>IFERROR(INDEX(tEditais[SRP],MATCH(tItens[[#This Row],[Edital]],tEditais[Edital],0)),"Não")</f>
        <v>Não</v>
      </c>
      <c r="P1734" s="4">
        <f>IF(COUNTIFS(INDEX(tItens[Edital],1):tItens[[#This Row],[Edital]],tItens[[#This Row],[Edital]],INDEX(tItens[Produto],1):tItens[[#This Row],[Produto]],tItens[[#This Row],[Produto]])=1,1,0)</f>
        <v>0</v>
      </c>
    </row>
    <row r="1735" spans="1:16" x14ac:dyDescent="0.25">
      <c r="A1735" t="s">
        <v>1164</v>
      </c>
      <c r="B1735">
        <v>313</v>
      </c>
      <c r="C1735" t="s">
        <v>4788</v>
      </c>
      <c r="D1735" t="s">
        <v>277</v>
      </c>
      <c r="E1735" s="13">
        <v>600</v>
      </c>
      <c r="F1735" s="12">
        <v>17.55</v>
      </c>
      <c r="G1735" t="str">
        <f>IFERROR(INDEX(tEditais[Órgão],MATCH(tItens[[#This Row],[Edital]],tEditais[Edital],0)),"")</f>
        <v>FUNDO MUNICIPAL DE SAUDE DE VILA PROPICIO</v>
      </c>
      <c r="H1735" t="str">
        <f>IFERROR(INDEX(tEditais[UF],MATCH(tItens[[#This Row],[Edital]],tEditais[Edital],0)),"")</f>
        <v>GO</v>
      </c>
      <c r="I1735" s="11">
        <f>IFERROR(INDEX(tEditais[Encerramento],MATCH(tItens[[#This Row],[Edital]],tEditais[Edital],0)),"")</f>
        <v>46308.333333333336</v>
      </c>
      <c r="J1735" t="str">
        <f>IFERROR(INDEX(tProdutos[Classe],MATCH(tItens[[#This Row],[Produto]],tProdutos[Produto],0)),"produto não cadastrado")</f>
        <v>DISPUTADO</v>
      </c>
      <c r="K1735" s="12">
        <f>tItens[[#This Row],[Qtd]]*tItens[[#This Row],[Vlr unit]]</f>
        <v>10530</v>
      </c>
      <c r="L1735" s="6">
        <f>IFERROR(IF(INDEX(tProdutos[Desconto homologado],MATCH(tItens[[#This Row],[Produto]],tProdutos[Produto],0))="",DescontoPadrao,INDEX(tProdutos[Desconto homologado],MATCH(tItens[[#This Row],[Produto]],tProdutos[Produto],0))),DescontoPadrao)</f>
        <v>0.50460666194188497</v>
      </c>
      <c r="M1735" s="12">
        <f>tItens[[#This Row],[Valor]]*(1-tItens[[#This Row],[Desconto]])</f>
        <v>5216.4918497519511</v>
      </c>
      <c r="N1735" t="str">
        <f>IFERROR(INDEX(tProdutos[Foco],MATCH(tItens[[#This Row],[Produto]],tProdutos[Produto],0)),"Não")</f>
        <v>Não</v>
      </c>
      <c r="O1735" t="str">
        <f>IFERROR(INDEX(tEditais[SRP],MATCH(tItens[[#This Row],[Edital]],tEditais[Edital],0)),"Não")</f>
        <v>Não</v>
      </c>
      <c r="P1735" s="4">
        <f>IF(COUNTIFS(INDEX(tItens[Edital],1):tItens[[#This Row],[Edital]],tItens[[#This Row],[Edital]],INDEX(tItens[Produto],1):tItens[[#This Row],[Produto]],tItens[[#This Row],[Produto]])=1,1,0)</f>
        <v>1</v>
      </c>
    </row>
    <row r="1736" spans="1:16" x14ac:dyDescent="0.25">
      <c r="A1736" t="s">
        <v>1164</v>
      </c>
      <c r="B1736">
        <v>314</v>
      </c>
      <c r="C1736" t="s">
        <v>4789</v>
      </c>
      <c r="D1736" t="s">
        <v>267</v>
      </c>
      <c r="E1736" s="13">
        <v>150</v>
      </c>
      <c r="F1736" s="12">
        <v>17.93</v>
      </c>
      <c r="G1736" t="str">
        <f>IFERROR(INDEX(tEditais[Órgão],MATCH(tItens[[#This Row],[Edital]],tEditais[Edital],0)),"")</f>
        <v>FUNDO MUNICIPAL DE SAUDE DE VILA PROPICIO</v>
      </c>
      <c r="H1736" t="str">
        <f>IFERROR(INDEX(tEditais[UF],MATCH(tItens[[#This Row],[Edital]],tEditais[Edital],0)),"")</f>
        <v>GO</v>
      </c>
      <c r="I1736" s="11">
        <f>IFERROR(INDEX(tEditais[Encerramento],MATCH(tItens[[#This Row],[Edital]],tEditais[Edital],0)),"")</f>
        <v>46308.333333333336</v>
      </c>
      <c r="J1736" t="str">
        <f>IFERROR(INDEX(tProdutos[Classe],MATCH(tItens[[#This Row],[Produto]],tProdutos[Produto],0)),"produto não cadastrado")</f>
        <v>FORA</v>
      </c>
      <c r="K1736" s="12">
        <f>tItens[[#This Row],[Qtd]]*tItens[[#This Row],[Vlr unit]]</f>
        <v>2689.5</v>
      </c>
      <c r="L1736" s="6">
        <f>IFERROR(IF(INDEX(tProdutos[Desconto homologado],MATCH(tItens[[#This Row],[Produto]],tProdutos[Produto],0))="",DescontoPadrao,INDEX(tProdutos[Desconto homologado],MATCH(tItens[[#This Row],[Produto]],tProdutos[Produto],0))),DescontoPadrao)</f>
        <v>0.19963672657401599</v>
      </c>
      <c r="M1736" s="12">
        <f>tItens[[#This Row],[Valor]]*(1-tItens[[#This Row],[Desconto]])</f>
        <v>2152.5770238791838</v>
      </c>
      <c r="N1736" t="str">
        <f>IFERROR(INDEX(tProdutos[Foco],MATCH(tItens[[#This Row],[Produto]],tProdutos[Produto],0)),"Não")</f>
        <v>Não</v>
      </c>
      <c r="O1736" t="str">
        <f>IFERROR(INDEX(tEditais[SRP],MATCH(tItens[[#This Row],[Edital]],tEditais[Edital],0)),"Não")</f>
        <v>Não</v>
      </c>
      <c r="P1736" s="4">
        <f>IF(COUNTIFS(INDEX(tItens[Edital],1):tItens[[#This Row],[Edital]],tItens[[#This Row],[Edital]],INDEX(tItens[Produto],1):tItens[[#This Row],[Produto]],tItens[[#This Row],[Produto]])=1,1,0)</f>
        <v>1</v>
      </c>
    </row>
    <row r="1737" spans="1:16" x14ac:dyDescent="0.25">
      <c r="A1737" t="s">
        <v>1164</v>
      </c>
      <c r="B1737">
        <v>315</v>
      </c>
      <c r="C1737" t="s">
        <v>4790</v>
      </c>
      <c r="D1737" t="s">
        <v>343</v>
      </c>
      <c r="E1737" s="13">
        <v>15</v>
      </c>
      <c r="F1737" s="12">
        <v>87.7</v>
      </c>
      <c r="G1737" t="str">
        <f>IFERROR(INDEX(tEditais[Órgão],MATCH(tItens[[#This Row],[Edital]],tEditais[Edital],0)),"")</f>
        <v>FUNDO MUNICIPAL DE SAUDE DE VILA PROPICIO</v>
      </c>
      <c r="H1737" t="str">
        <f>IFERROR(INDEX(tEditais[UF],MATCH(tItens[[#This Row],[Edital]],tEditais[Edital],0)),"")</f>
        <v>GO</v>
      </c>
      <c r="I1737" s="11">
        <f>IFERROR(INDEX(tEditais[Encerramento],MATCH(tItens[[#This Row],[Edital]],tEditais[Edital],0)),"")</f>
        <v>46308.333333333336</v>
      </c>
      <c r="J1737" t="str">
        <f>IFERROR(INDEX(tProdutos[Classe],MATCH(tItens[[#This Row],[Produto]],tProdutos[Produto],0)),"produto não cadastrado")</f>
        <v>FORA</v>
      </c>
      <c r="K1737" s="12">
        <f>tItens[[#This Row],[Qtd]]*tItens[[#This Row],[Vlr unit]]</f>
        <v>1315.5</v>
      </c>
      <c r="L1737" s="6">
        <f>IFERROR(IF(INDEX(tProdutos[Desconto homologado],MATCH(tItens[[#This Row],[Produto]],tProdutos[Produto],0))="",DescontoPadrao,INDEX(tProdutos[Desconto homologado],MATCH(tItens[[#This Row],[Produto]],tProdutos[Produto],0))),DescontoPadrao)</f>
        <v>0.35412234042553198</v>
      </c>
      <c r="M1737" s="12">
        <f>tItens[[#This Row],[Valor]]*(1-tItens[[#This Row],[Desconto]])</f>
        <v>849.65206117021262</v>
      </c>
      <c r="N1737" t="str">
        <f>IFERROR(INDEX(tProdutos[Foco],MATCH(tItens[[#This Row],[Produto]],tProdutos[Produto],0)),"Não")</f>
        <v>Não</v>
      </c>
      <c r="O1737" t="str">
        <f>IFERROR(INDEX(tEditais[SRP],MATCH(tItens[[#This Row],[Edital]],tEditais[Edital],0)),"Não")</f>
        <v>Não</v>
      </c>
      <c r="P1737" s="4">
        <f>IF(COUNTIFS(INDEX(tItens[Edital],1):tItens[[#This Row],[Edital]],tItens[[#This Row],[Edital]],INDEX(tItens[Produto],1):tItens[[#This Row],[Produto]],tItens[[#This Row],[Produto]])=1,1,0)</f>
        <v>1</v>
      </c>
    </row>
    <row r="1738" spans="1:16" x14ac:dyDescent="0.25">
      <c r="A1738" t="s">
        <v>1164</v>
      </c>
      <c r="B1738">
        <v>316</v>
      </c>
      <c r="C1738" t="s">
        <v>4791</v>
      </c>
      <c r="D1738" t="s">
        <v>343</v>
      </c>
      <c r="E1738" s="13">
        <v>25</v>
      </c>
      <c r="F1738" s="12">
        <v>82.98</v>
      </c>
      <c r="G1738" t="str">
        <f>IFERROR(INDEX(tEditais[Órgão],MATCH(tItens[[#This Row],[Edital]],tEditais[Edital],0)),"")</f>
        <v>FUNDO MUNICIPAL DE SAUDE DE VILA PROPICIO</v>
      </c>
      <c r="H1738" t="str">
        <f>IFERROR(INDEX(tEditais[UF],MATCH(tItens[[#This Row],[Edital]],tEditais[Edital],0)),"")</f>
        <v>GO</v>
      </c>
      <c r="I1738" s="11">
        <f>IFERROR(INDEX(tEditais[Encerramento],MATCH(tItens[[#This Row],[Edital]],tEditais[Edital],0)),"")</f>
        <v>46308.333333333336</v>
      </c>
      <c r="J1738" t="str">
        <f>IFERROR(INDEX(tProdutos[Classe],MATCH(tItens[[#This Row],[Produto]],tProdutos[Produto],0)),"produto não cadastrado")</f>
        <v>FORA</v>
      </c>
      <c r="K1738" s="12">
        <f>tItens[[#This Row],[Qtd]]*tItens[[#This Row],[Vlr unit]]</f>
        <v>2074.5</v>
      </c>
      <c r="L1738" s="6">
        <f>IFERROR(IF(INDEX(tProdutos[Desconto homologado],MATCH(tItens[[#This Row],[Produto]],tProdutos[Produto],0))="",DescontoPadrao,INDEX(tProdutos[Desconto homologado],MATCH(tItens[[#This Row],[Produto]],tProdutos[Produto],0))),DescontoPadrao)</f>
        <v>0.35412234042553198</v>
      </c>
      <c r="M1738" s="12">
        <f>tItens[[#This Row],[Valor]]*(1-tItens[[#This Row],[Desconto]])</f>
        <v>1339.8732047872338</v>
      </c>
      <c r="N1738" t="str">
        <f>IFERROR(INDEX(tProdutos[Foco],MATCH(tItens[[#This Row],[Produto]],tProdutos[Produto],0)),"Não")</f>
        <v>Não</v>
      </c>
      <c r="O1738" t="str">
        <f>IFERROR(INDEX(tEditais[SRP],MATCH(tItens[[#This Row],[Edital]],tEditais[Edital],0)),"Não")</f>
        <v>Não</v>
      </c>
      <c r="P1738" s="4">
        <f>IF(COUNTIFS(INDEX(tItens[Edital],1):tItens[[#This Row],[Edital]],tItens[[#This Row],[Edital]],INDEX(tItens[Produto],1):tItens[[#This Row],[Produto]],tItens[[#This Row],[Produto]])=1,1,0)</f>
        <v>0</v>
      </c>
    </row>
    <row r="1739" spans="1:16" x14ac:dyDescent="0.25">
      <c r="A1739" t="s">
        <v>1164</v>
      </c>
      <c r="B1739">
        <v>317</v>
      </c>
      <c r="C1739" t="s">
        <v>4792</v>
      </c>
      <c r="D1739" t="s">
        <v>343</v>
      </c>
      <c r="E1739" s="13">
        <v>50</v>
      </c>
      <c r="F1739" s="12">
        <v>86.65</v>
      </c>
      <c r="G1739" t="str">
        <f>IFERROR(INDEX(tEditais[Órgão],MATCH(tItens[[#This Row],[Edital]],tEditais[Edital],0)),"")</f>
        <v>FUNDO MUNICIPAL DE SAUDE DE VILA PROPICIO</v>
      </c>
      <c r="H1739" t="str">
        <f>IFERROR(INDEX(tEditais[UF],MATCH(tItens[[#This Row],[Edital]],tEditais[Edital],0)),"")</f>
        <v>GO</v>
      </c>
      <c r="I1739" s="11">
        <f>IFERROR(INDEX(tEditais[Encerramento],MATCH(tItens[[#This Row],[Edital]],tEditais[Edital],0)),"")</f>
        <v>46308.333333333336</v>
      </c>
      <c r="J1739" t="str">
        <f>IFERROR(INDEX(tProdutos[Classe],MATCH(tItens[[#This Row],[Produto]],tProdutos[Produto],0)),"produto não cadastrado")</f>
        <v>FORA</v>
      </c>
      <c r="K1739" s="12">
        <f>tItens[[#This Row],[Qtd]]*tItens[[#This Row],[Vlr unit]]</f>
        <v>4332.5</v>
      </c>
      <c r="L1739" s="6">
        <f>IFERROR(IF(INDEX(tProdutos[Desconto homologado],MATCH(tItens[[#This Row],[Produto]],tProdutos[Produto],0))="",DescontoPadrao,INDEX(tProdutos[Desconto homologado],MATCH(tItens[[#This Row],[Produto]],tProdutos[Produto],0))),DescontoPadrao)</f>
        <v>0.35412234042553198</v>
      </c>
      <c r="M1739" s="12">
        <f>tItens[[#This Row],[Valor]]*(1-tItens[[#This Row],[Desconto]])</f>
        <v>2798.2649601063827</v>
      </c>
      <c r="N1739" t="str">
        <f>IFERROR(INDEX(tProdutos[Foco],MATCH(tItens[[#This Row],[Produto]],tProdutos[Produto],0)),"Não")</f>
        <v>Não</v>
      </c>
      <c r="O1739" t="str">
        <f>IFERROR(INDEX(tEditais[SRP],MATCH(tItens[[#This Row],[Edital]],tEditais[Edital],0)),"Não")</f>
        <v>Não</v>
      </c>
      <c r="P1739" s="4">
        <f>IF(COUNTIFS(INDEX(tItens[Edital],1):tItens[[#This Row],[Edital]],tItens[[#This Row],[Edital]],INDEX(tItens[Produto],1):tItens[[#This Row],[Produto]],tItens[[#This Row],[Produto]])=1,1,0)</f>
        <v>0</v>
      </c>
    </row>
    <row r="1740" spans="1:16" x14ac:dyDescent="0.25">
      <c r="A1740" t="s">
        <v>1164</v>
      </c>
      <c r="B1740">
        <v>318</v>
      </c>
      <c r="C1740" t="s">
        <v>4793</v>
      </c>
      <c r="D1740" t="s">
        <v>343</v>
      </c>
      <c r="E1740" s="13">
        <v>20</v>
      </c>
      <c r="F1740" s="12">
        <v>92.57</v>
      </c>
      <c r="G1740" t="str">
        <f>IFERROR(INDEX(tEditais[Órgão],MATCH(tItens[[#This Row],[Edital]],tEditais[Edital],0)),"")</f>
        <v>FUNDO MUNICIPAL DE SAUDE DE VILA PROPICIO</v>
      </c>
      <c r="H1740" t="str">
        <f>IFERROR(INDEX(tEditais[UF],MATCH(tItens[[#This Row],[Edital]],tEditais[Edital],0)),"")</f>
        <v>GO</v>
      </c>
      <c r="I1740" s="11">
        <f>IFERROR(INDEX(tEditais[Encerramento],MATCH(tItens[[#This Row],[Edital]],tEditais[Edital],0)),"")</f>
        <v>46308.333333333336</v>
      </c>
      <c r="J1740" t="str">
        <f>IFERROR(INDEX(tProdutos[Classe],MATCH(tItens[[#This Row],[Produto]],tProdutos[Produto],0)),"produto não cadastrado")</f>
        <v>FORA</v>
      </c>
      <c r="K1740" s="12">
        <f>tItens[[#This Row],[Qtd]]*tItens[[#This Row],[Vlr unit]]</f>
        <v>1851.3999999999999</v>
      </c>
      <c r="L1740" s="6">
        <f>IFERROR(IF(INDEX(tProdutos[Desconto homologado],MATCH(tItens[[#This Row],[Produto]],tProdutos[Produto],0))="",DescontoPadrao,INDEX(tProdutos[Desconto homologado],MATCH(tItens[[#This Row],[Produto]],tProdutos[Produto],0))),DescontoPadrao)</f>
        <v>0.35412234042553198</v>
      </c>
      <c r="M1740" s="12">
        <f>tItens[[#This Row],[Valor]]*(1-tItens[[#This Row],[Desconto]])</f>
        <v>1195.77789893617</v>
      </c>
      <c r="N1740" t="str">
        <f>IFERROR(INDEX(tProdutos[Foco],MATCH(tItens[[#This Row],[Produto]],tProdutos[Produto],0)),"Não")</f>
        <v>Não</v>
      </c>
      <c r="O1740" t="str">
        <f>IFERROR(INDEX(tEditais[SRP],MATCH(tItens[[#This Row],[Edital]],tEditais[Edital],0)),"Não")</f>
        <v>Não</v>
      </c>
      <c r="P1740" s="4">
        <f>IF(COUNTIFS(INDEX(tItens[Edital],1):tItens[[#This Row],[Edital]],tItens[[#This Row],[Edital]],INDEX(tItens[Produto],1):tItens[[#This Row],[Produto]],tItens[[#This Row],[Produto]])=1,1,0)</f>
        <v>0</v>
      </c>
    </row>
    <row r="1741" spans="1:16" x14ac:dyDescent="0.25">
      <c r="A1741" t="s">
        <v>1164</v>
      </c>
      <c r="B1741">
        <v>319</v>
      </c>
      <c r="C1741" t="s">
        <v>4794</v>
      </c>
      <c r="D1741" t="s">
        <v>343</v>
      </c>
      <c r="E1741" s="13">
        <v>15</v>
      </c>
      <c r="F1741" s="12">
        <v>93.89</v>
      </c>
      <c r="G1741" t="str">
        <f>IFERROR(INDEX(tEditais[Órgão],MATCH(tItens[[#This Row],[Edital]],tEditais[Edital],0)),"")</f>
        <v>FUNDO MUNICIPAL DE SAUDE DE VILA PROPICIO</v>
      </c>
      <c r="H1741" t="str">
        <f>IFERROR(INDEX(tEditais[UF],MATCH(tItens[[#This Row],[Edital]],tEditais[Edital],0)),"")</f>
        <v>GO</v>
      </c>
      <c r="I1741" s="11">
        <f>IFERROR(INDEX(tEditais[Encerramento],MATCH(tItens[[#This Row],[Edital]],tEditais[Edital],0)),"")</f>
        <v>46308.333333333336</v>
      </c>
      <c r="J1741" t="str">
        <f>IFERROR(INDEX(tProdutos[Classe],MATCH(tItens[[#This Row],[Produto]],tProdutos[Produto],0)),"produto não cadastrado")</f>
        <v>FORA</v>
      </c>
      <c r="K1741" s="12">
        <f>tItens[[#This Row],[Qtd]]*tItens[[#This Row],[Vlr unit]]</f>
        <v>1408.35</v>
      </c>
      <c r="L1741" s="6">
        <f>IFERROR(IF(INDEX(tProdutos[Desconto homologado],MATCH(tItens[[#This Row],[Produto]],tProdutos[Produto],0))="",DescontoPadrao,INDEX(tProdutos[Desconto homologado],MATCH(tItens[[#This Row],[Produto]],tProdutos[Produto],0))),DescontoPadrao)</f>
        <v>0.35412234042553198</v>
      </c>
      <c r="M1741" s="12">
        <f>tItens[[#This Row],[Valor]]*(1-tItens[[#This Row],[Desconto]])</f>
        <v>909.6218018617019</v>
      </c>
      <c r="N1741" t="str">
        <f>IFERROR(INDEX(tProdutos[Foco],MATCH(tItens[[#This Row],[Produto]],tProdutos[Produto],0)),"Não")</f>
        <v>Não</v>
      </c>
      <c r="O1741" t="str">
        <f>IFERROR(INDEX(tEditais[SRP],MATCH(tItens[[#This Row],[Edital]],tEditais[Edital],0)),"Não")</f>
        <v>Não</v>
      </c>
      <c r="P1741" s="4">
        <f>IF(COUNTIFS(INDEX(tItens[Edital],1):tItens[[#This Row],[Edital]],tItens[[#This Row],[Edital]],INDEX(tItens[Produto],1):tItens[[#This Row],[Produto]],tItens[[#This Row],[Produto]])=1,1,0)</f>
        <v>0</v>
      </c>
    </row>
    <row r="1742" spans="1:16" x14ac:dyDescent="0.25">
      <c r="A1742" t="s">
        <v>1164</v>
      </c>
      <c r="B1742">
        <v>329</v>
      </c>
      <c r="C1742" t="s">
        <v>4795</v>
      </c>
      <c r="D1742" t="s">
        <v>257</v>
      </c>
      <c r="E1742" s="13">
        <v>100</v>
      </c>
      <c r="F1742" s="12">
        <v>29.34</v>
      </c>
      <c r="G1742" t="str">
        <f>IFERROR(INDEX(tEditais[Órgão],MATCH(tItens[[#This Row],[Edital]],tEditais[Edital],0)),"")</f>
        <v>FUNDO MUNICIPAL DE SAUDE DE VILA PROPICIO</v>
      </c>
      <c r="H1742" t="str">
        <f>IFERROR(INDEX(tEditais[UF],MATCH(tItens[[#This Row],[Edital]],tEditais[Edital],0)),"")</f>
        <v>GO</v>
      </c>
      <c r="I1742" s="11">
        <f>IFERROR(INDEX(tEditais[Encerramento],MATCH(tItens[[#This Row],[Edital]],tEditais[Edital],0)),"")</f>
        <v>46308.333333333336</v>
      </c>
      <c r="J1742" t="str">
        <f>IFERROR(INDEX(tProdutos[Classe],MATCH(tItens[[#This Row],[Produto]],tProdutos[Produto],0)),"produto não cadastrado")</f>
        <v>FORA</v>
      </c>
      <c r="K1742" s="12">
        <f>tItens[[#This Row],[Qtd]]*tItens[[#This Row],[Vlr unit]]</f>
        <v>2934</v>
      </c>
      <c r="L1742" s="6">
        <f>IFERROR(IF(INDEX(tProdutos[Desconto homologado],MATCH(tItens[[#This Row],[Produto]],tProdutos[Produto],0))="",DescontoPadrao,INDEX(tProdutos[Desconto homologado],MATCH(tItens[[#This Row],[Produto]],tProdutos[Produto],0))),DescontoPadrao)</f>
        <v>0.500812004991805</v>
      </c>
      <c r="M1742" s="12">
        <f>tItens[[#This Row],[Valor]]*(1-tItens[[#This Row],[Desconto]])</f>
        <v>1464.6175773540442</v>
      </c>
      <c r="N1742" t="str">
        <f>IFERROR(INDEX(tProdutos[Foco],MATCH(tItens[[#This Row],[Produto]],tProdutos[Produto],0)),"Não")</f>
        <v>Não</v>
      </c>
      <c r="O1742" t="str">
        <f>IFERROR(INDEX(tEditais[SRP],MATCH(tItens[[#This Row],[Edital]],tEditais[Edital],0)),"Não")</f>
        <v>Não</v>
      </c>
      <c r="P1742" s="4">
        <f>IF(COUNTIFS(INDEX(tItens[Edital],1):tItens[[#This Row],[Edital]],tItens[[#This Row],[Edital]],INDEX(tItens[Produto],1):tItens[[#This Row],[Produto]],tItens[[#This Row],[Produto]])=1,1,0)</f>
        <v>1</v>
      </c>
    </row>
    <row r="1743" spans="1:16" x14ac:dyDescent="0.25">
      <c r="A1743" t="s">
        <v>1164</v>
      </c>
      <c r="B1743">
        <v>330</v>
      </c>
      <c r="C1743" t="s">
        <v>4796</v>
      </c>
      <c r="D1743" t="s">
        <v>257</v>
      </c>
      <c r="E1743" s="13">
        <v>100</v>
      </c>
      <c r="F1743" s="12">
        <v>29.52</v>
      </c>
      <c r="G1743" t="str">
        <f>IFERROR(INDEX(tEditais[Órgão],MATCH(tItens[[#This Row],[Edital]],tEditais[Edital],0)),"")</f>
        <v>FUNDO MUNICIPAL DE SAUDE DE VILA PROPICIO</v>
      </c>
      <c r="H1743" t="str">
        <f>IFERROR(INDEX(tEditais[UF],MATCH(tItens[[#This Row],[Edital]],tEditais[Edital],0)),"")</f>
        <v>GO</v>
      </c>
      <c r="I1743" s="11">
        <f>IFERROR(INDEX(tEditais[Encerramento],MATCH(tItens[[#This Row],[Edital]],tEditais[Edital],0)),"")</f>
        <v>46308.333333333336</v>
      </c>
      <c r="J1743" t="str">
        <f>IFERROR(INDEX(tProdutos[Classe],MATCH(tItens[[#This Row],[Produto]],tProdutos[Produto],0)),"produto não cadastrado")</f>
        <v>FORA</v>
      </c>
      <c r="K1743" s="12">
        <f>tItens[[#This Row],[Qtd]]*tItens[[#This Row],[Vlr unit]]</f>
        <v>2952</v>
      </c>
      <c r="L1743" s="6">
        <f>IFERROR(IF(INDEX(tProdutos[Desconto homologado],MATCH(tItens[[#This Row],[Produto]],tProdutos[Produto],0))="",DescontoPadrao,INDEX(tProdutos[Desconto homologado],MATCH(tItens[[#This Row],[Produto]],tProdutos[Produto],0))),DescontoPadrao)</f>
        <v>0.500812004991805</v>
      </c>
      <c r="M1743" s="12">
        <f>tItens[[#This Row],[Valor]]*(1-tItens[[#This Row],[Desconto]])</f>
        <v>1473.6029612641917</v>
      </c>
      <c r="N1743" t="str">
        <f>IFERROR(INDEX(tProdutos[Foco],MATCH(tItens[[#This Row],[Produto]],tProdutos[Produto],0)),"Não")</f>
        <v>Não</v>
      </c>
      <c r="O1743" t="str">
        <f>IFERROR(INDEX(tEditais[SRP],MATCH(tItens[[#This Row],[Edital]],tEditais[Edital],0)),"Não")</f>
        <v>Não</v>
      </c>
      <c r="P1743" s="4">
        <f>IF(COUNTIFS(INDEX(tItens[Edital],1):tItens[[#This Row],[Edital]],tItens[[#This Row],[Edital]],INDEX(tItens[Produto],1):tItens[[#This Row],[Produto]],tItens[[#This Row],[Produto]])=1,1,0)</f>
        <v>0</v>
      </c>
    </row>
    <row r="1744" spans="1:16" x14ac:dyDescent="0.25">
      <c r="A1744" t="s">
        <v>1164</v>
      </c>
      <c r="B1744">
        <v>367</v>
      </c>
      <c r="C1744" t="s">
        <v>4797</v>
      </c>
      <c r="D1744" t="s">
        <v>275</v>
      </c>
      <c r="E1744" s="13">
        <v>30</v>
      </c>
      <c r="F1744" s="12">
        <v>44.93</v>
      </c>
      <c r="G1744" t="str">
        <f>IFERROR(INDEX(tEditais[Órgão],MATCH(tItens[[#This Row],[Edital]],tEditais[Edital],0)),"")</f>
        <v>FUNDO MUNICIPAL DE SAUDE DE VILA PROPICIO</v>
      </c>
      <c r="H1744" t="str">
        <f>IFERROR(INDEX(tEditais[UF],MATCH(tItens[[#This Row],[Edital]],tEditais[Edital],0)),"")</f>
        <v>GO</v>
      </c>
      <c r="I1744" s="11">
        <f>IFERROR(INDEX(tEditais[Encerramento],MATCH(tItens[[#This Row],[Edital]],tEditais[Edital],0)),"")</f>
        <v>46308.333333333336</v>
      </c>
      <c r="J1744" t="str">
        <f>IFERROR(INDEX(tProdutos[Classe],MATCH(tItens[[#This Row],[Produto]],tProdutos[Produto],0)),"produto não cadastrado")</f>
        <v>FORA</v>
      </c>
      <c r="K1744" s="12">
        <f>tItens[[#This Row],[Qtd]]*tItens[[#This Row],[Vlr unit]]</f>
        <v>1347.9</v>
      </c>
      <c r="L1744" s="6">
        <f>IFERROR(IF(INDEX(tProdutos[Desconto homologado],MATCH(tItens[[#This Row],[Produto]],tProdutos[Produto],0))="",DescontoPadrao,INDEX(tProdutos[Desconto homologado],MATCH(tItens[[#This Row],[Produto]],tProdutos[Produto],0))),DescontoPadrao)</f>
        <v>0.405797101449275</v>
      </c>
      <c r="M1744" s="12">
        <f>tItens[[#This Row],[Valor]]*(1-tItens[[#This Row],[Desconto]])</f>
        <v>800.92608695652234</v>
      </c>
      <c r="N1744" t="str">
        <f>IFERROR(INDEX(tProdutos[Foco],MATCH(tItens[[#This Row],[Produto]],tProdutos[Produto],0)),"Não")</f>
        <v>Não</v>
      </c>
      <c r="O1744" t="str">
        <f>IFERROR(INDEX(tEditais[SRP],MATCH(tItens[[#This Row],[Edital]],tEditais[Edital],0)),"Não")</f>
        <v>Não</v>
      </c>
      <c r="P1744" s="4">
        <f>IF(COUNTIFS(INDEX(tItens[Edital],1):tItens[[#This Row],[Edital]],tItens[[#This Row],[Edital]],INDEX(tItens[Produto],1):tItens[[#This Row],[Produto]],tItens[[#This Row],[Produto]])=1,1,0)</f>
        <v>1</v>
      </c>
    </row>
    <row r="1745" spans="1:16" x14ac:dyDescent="0.25">
      <c r="A1745" t="s">
        <v>1164</v>
      </c>
      <c r="B1745">
        <v>368</v>
      </c>
      <c r="C1745" t="s">
        <v>4798</v>
      </c>
      <c r="D1745" t="s">
        <v>281</v>
      </c>
      <c r="E1745" s="13">
        <v>300</v>
      </c>
      <c r="F1745" s="12">
        <v>61.23</v>
      </c>
      <c r="G1745" t="str">
        <f>IFERROR(INDEX(tEditais[Órgão],MATCH(tItens[[#This Row],[Edital]],tEditais[Edital],0)),"")</f>
        <v>FUNDO MUNICIPAL DE SAUDE DE VILA PROPICIO</v>
      </c>
      <c r="H1745" t="str">
        <f>IFERROR(INDEX(tEditais[UF],MATCH(tItens[[#This Row],[Edital]],tEditais[Edital],0)),"")</f>
        <v>GO</v>
      </c>
      <c r="I1745" s="11">
        <f>IFERROR(INDEX(tEditais[Encerramento],MATCH(tItens[[#This Row],[Edital]],tEditais[Edital],0)),"")</f>
        <v>46308.333333333336</v>
      </c>
      <c r="J1745" t="str">
        <f>IFERROR(INDEX(tProdutos[Classe],MATCH(tItens[[#This Row],[Produto]],tProdutos[Produto],0)),"produto não cadastrado")</f>
        <v>DISPUTADO</v>
      </c>
      <c r="K1745" s="12">
        <f>tItens[[#This Row],[Qtd]]*tItens[[#This Row],[Vlr unit]]</f>
        <v>18369</v>
      </c>
      <c r="L1745" s="6">
        <f>IFERROR(IF(INDEX(tProdutos[Desconto homologado],MATCH(tItens[[#This Row],[Produto]],tProdutos[Produto],0))="",DescontoPadrao,INDEX(tProdutos[Desconto homologado],MATCH(tItens[[#This Row],[Produto]],tProdutos[Produto],0))),DescontoPadrao)</f>
        <v>0.42461538461538501</v>
      </c>
      <c r="M1745" s="12">
        <f>tItens[[#This Row],[Valor]]*(1-tItens[[#This Row],[Desconto]])</f>
        <v>10569.239999999993</v>
      </c>
      <c r="N1745" t="str">
        <f>IFERROR(INDEX(tProdutos[Foco],MATCH(tItens[[#This Row],[Produto]],tProdutos[Produto],0)),"Não")</f>
        <v>Não</v>
      </c>
      <c r="O1745" t="str">
        <f>IFERROR(INDEX(tEditais[SRP],MATCH(tItens[[#This Row],[Edital]],tEditais[Edital],0)),"Não")</f>
        <v>Não</v>
      </c>
      <c r="P1745" s="4">
        <f>IF(COUNTIFS(INDEX(tItens[Edital],1):tItens[[#This Row],[Edital]],tItens[[#This Row],[Edital]],INDEX(tItens[Produto],1):tItens[[#This Row],[Produto]],tItens[[#This Row],[Produto]])=1,1,0)</f>
        <v>1</v>
      </c>
    </row>
    <row r="1746" spans="1:16" x14ac:dyDescent="0.25">
      <c r="A1746" t="s">
        <v>1164</v>
      </c>
      <c r="B1746">
        <v>369</v>
      </c>
      <c r="C1746" t="s">
        <v>4799</v>
      </c>
      <c r="D1746" t="s">
        <v>289</v>
      </c>
      <c r="E1746" s="13">
        <v>300</v>
      </c>
      <c r="F1746" s="12">
        <v>91.16</v>
      </c>
      <c r="G1746" t="str">
        <f>IFERROR(INDEX(tEditais[Órgão],MATCH(tItens[[#This Row],[Edital]],tEditais[Edital],0)),"")</f>
        <v>FUNDO MUNICIPAL DE SAUDE DE VILA PROPICIO</v>
      </c>
      <c r="H1746" t="str">
        <f>IFERROR(INDEX(tEditais[UF],MATCH(tItens[[#This Row],[Edital]],tEditais[Edital],0)),"")</f>
        <v>GO</v>
      </c>
      <c r="I1746" s="11">
        <f>IFERROR(INDEX(tEditais[Encerramento],MATCH(tItens[[#This Row],[Edital]],tEditais[Edital],0)),"")</f>
        <v>46308.333333333336</v>
      </c>
      <c r="J1746" t="str">
        <f>IFERROR(INDEX(tProdutos[Classe],MATCH(tItens[[#This Row],[Produto]],tProdutos[Produto],0)),"produto não cadastrado")</f>
        <v>DISPUTADO</v>
      </c>
      <c r="K1746" s="12">
        <f>tItens[[#This Row],[Qtd]]*tItens[[#This Row],[Vlr unit]]</f>
        <v>27348</v>
      </c>
      <c r="L1746" s="6">
        <f>IFERROR(IF(INDEX(tProdutos[Desconto homologado],MATCH(tItens[[#This Row],[Produto]],tProdutos[Produto],0))="",DescontoPadrao,INDEX(tProdutos[Desconto homologado],MATCH(tItens[[#This Row],[Produto]],tProdutos[Produto],0))),DescontoPadrao)</f>
        <v>0.35849056603773599</v>
      </c>
      <c r="M1746" s="12">
        <f>tItens[[#This Row],[Valor]]*(1-tItens[[#This Row],[Desconto]])</f>
        <v>17543.999999999996</v>
      </c>
      <c r="N1746" t="str">
        <f>IFERROR(INDEX(tProdutos[Foco],MATCH(tItens[[#This Row],[Produto]],tProdutos[Produto],0)),"Não")</f>
        <v>Não</v>
      </c>
      <c r="O1746" t="str">
        <f>IFERROR(INDEX(tEditais[SRP],MATCH(tItens[[#This Row],[Edital]],tEditais[Edital],0)),"Não")</f>
        <v>Não</v>
      </c>
      <c r="P1746" s="4">
        <f>IF(COUNTIFS(INDEX(tItens[Edital],1):tItens[[#This Row],[Edital]],tItens[[#This Row],[Edital]],INDEX(tItens[Produto],1):tItens[[#This Row],[Produto]],tItens[[#This Row],[Produto]])=1,1,0)</f>
        <v>1</v>
      </c>
    </row>
    <row r="1747" spans="1:16" x14ac:dyDescent="0.25">
      <c r="A1747" t="s">
        <v>1164</v>
      </c>
      <c r="B1747">
        <v>370</v>
      </c>
      <c r="C1747" t="s">
        <v>4800</v>
      </c>
      <c r="D1747" t="s">
        <v>283</v>
      </c>
      <c r="E1747" s="13">
        <v>130</v>
      </c>
      <c r="F1747" s="12">
        <v>46.15</v>
      </c>
      <c r="G1747" t="str">
        <f>IFERROR(INDEX(tEditais[Órgão],MATCH(tItens[[#This Row],[Edital]],tEditais[Edital],0)),"")</f>
        <v>FUNDO MUNICIPAL DE SAUDE DE VILA PROPICIO</v>
      </c>
      <c r="H1747" t="str">
        <f>IFERROR(INDEX(tEditais[UF],MATCH(tItens[[#This Row],[Edital]],tEditais[Edital],0)),"")</f>
        <v>GO</v>
      </c>
      <c r="I1747" s="11">
        <f>IFERROR(INDEX(tEditais[Encerramento],MATCH(tItens[[#This Row],[Edital]],tEditais[Edital],0)),"")</f>
        <v>46308.333333333336</v>
      </c>
      <c r="J1747" t="str">
        <f>IFERROR(INDEX(tProdutos[Classe],MATCH(tItens[[#This Row],[Produto]],tProdutos[Produto],0)),"produto não cadastrado")</f>
        <v>FORA</v>
      </c>
      <c r="K1747" s="12">
        <f>tItens[[#This Row],[Qtd]]*tItens[[#This Row],[Vlr unit]]</f>
        <v>5999.5</v>
      </c>
      <c r="L1747" s="6">
        <f>IFERROR(IF(INDEX(tProdutos[Desconto homologado],MATCH(tItens[[#This Row],[Produto]],tProdutos[Produto],0))="",DescontoPadrao,INDEX(tProdutos[Desconto homologado],MATCH(tItens[[#This Row],[Produto]],tProdutos[Produto],0))),DescontoPadrao)</f>
        <v>0.40540540540540498</v>
      </c>
      <c r="M1747" s="12">
        <f>tItens[[#This Row],[Valor]]*(1-tItens[[#This Row],[Desconto]])</f>
        <v>3567.2702702702722</v>
      </c>
      <c r="N1747" t="str">
        <f>IFERROR(INDEX(tProdutos[Foco],MATCH(tItens[[#This Row],[Produto]],tProdutos[Produto],0)),"Não")</f>
        <v>Não</v>
      </c>
      <c r="O1747" t="str">
        <f>IFERROR(INDEX(tEditais[SRP],MATCH(tItens[[#This Row],[Edital]],tEditais[Edital],0)),"Não")</f>
        <v>Não</v>
      </c>
      <c r="P1747" s="4">
        <f>IF(COUNTIFS(INDEX(tItens[Edital],1):tItens[[#This Row],[Edital]],tItens[[#This Row],[Edital]],INDEX(tItens[Produto],1):tItens[[#This Row],[Produto]],tItens[[#This Row],[Produto]])=1,1,0)</f>
        <v>1</v>
      </c>
    </row>
    <row r="1748" spans="1:16" x14ac:dyDescent="0.25">
      <c r="A1748" t="s">
        <v>1164</v>
      </c>
      <c r="B1748">
        <v>371</v>
      </c>
      <c r="C1748" t="s">
        <v>4801</v>
      </c>
      <c r="D1748" t="s">
        <v>265</v>
      </c>
      <c r="E1748" s="13">
        <v>300</v>
      </c>
      <c r="F1748" s="12">
        <v>43</v>
      </c>
      <c r="G1748" t="str">
        <f>IFERROR(INDEX(tEditais[Órgão],MATCH(tItens[[#This Row],[Edital]],tEditais[Edital],0)),"")</f>
        <v>FUNDO MUNICIPAL DE SAUDE DE VILA PROPICIO</v>
      </c>
      <c r="H1748" t="str">
        <f>IFERROR(INDEX(tEditais[UF],MATCH(tItens[[#This Row],[Edital]],tEditais[Edital],0)),"")</f>
        <v>GO</v>
      </c>
      <c r="I1748" s="11">
        <f>IFERROR(INDEX(tEditais[Encerramento],MATCH(tItens[[#This Row],[Edital]],tEditais[Edital],0)),"")</f>
        <v>46308.333333333336</v>
      </c>
      <c r="J1748" t="str">
        <f>IFERROR(INDEX(tProdutos[Classe],MATCH(tItens[[#This Row],[Produto]],tProdutos[Produto],0)),"produto não cadastrado")</f>
        <v>DISPUTADO</v>
      </c>
      <c r="K1748" s="12">
        <f>tItens[[#This Row],[Qtd]]*tItens[[#This Row],[Vlr unit]]</f>
        <v>12900</v>
      </c>
      <c r="L1748" s="6">
        <f>IFERROR(IF(INDEX(tProdutos[Desconto homologado],MATCH(tItens[[#This Row],[Produto]],tProdutos[Produto],0))="",DescontoPadrao,INDEX(tProdutos[Desconto homologado],MATCH(tItens[[#This Row],[Produto]],tProdutos[Produto],0))),DescontoPadrao)</f>
        <v>0.377587663709337</v>
      </c>
      <c r="M1748" s="12">
        <f>tItens[[#This Row],[Valor]]*(1-tItens[[#This Row],[Desconto]])</f>
        <v>8029.1191381495537</v>
      </c>
      <c r="N1748" t="str">
        <f>IFERROR(INDEX(tProdutos[Foco],MATCH(tItens[[#This Row],[Produto]],tProdutos[Produto],0)),"Não")</f>
        <v>Não</v>
      </c>
      <c r="O1748" t="str">
        <f>IFERROR(INDEX(tEditais[SRP],MATCH(tItens[[#This Row],[Edital]],tEditais[Edital],0)),"Não")</f>
        <v>Não</v>
      </c>
      <c r="P1748" s="4">
        <f>IF(COUNTIFS(INDEX(tItens[Edital],1):tItens[[#This Row],[Edital]],tItens[[#This Row],[Edital]],INDEX(tItens[Produto],1):tItens[[#This Row],[Produto]],tItens[[#This Row],[Produto]])=1,1,0)</f>
        <v>1</v>
      </c>
    </row>
    <row r="1749" spans="1:16" x14ac:dyDescent="0.25">
      <c r="A1749" t="s">
        <v>1164</v>
      </c>
      <c r="B1749">
        <v>394</v>
      </c>
      <c r="C1749" t="s">
        <v>4802</v>
      </c>
      <c r="D1749" t="s">
        <v>114</v>
      </c>
      <c r="E1749" s="13">
        <v>75</v>
      </c>
      <c r="F1749" s="12">
        <v>11.2</v>
      </c>
      <c r="G1749" t="str">
        <f>IFERROR(INDEX(tEditais[Órgão],MATCH(tItens[[#This Row],[Edital]],tEditais[Edital],0)),"")</f>
        <v>FUNDO MUNICIPAL DE SAUDE DE VILA PROPICIO</v>
      </c>
      <c r="H1749" t="str">
        <f>IFERROR(INDEX(tEditais[UF],MATCH(tItens[[#This Row],[Edital]],tEditais[Edital],0)),"")</f>
        <v>GO</v>
      </c>
      <c r="I1749" s="11">
        <f>IFERROR(INDEX(tEditais[Encerramento],MATCH(tItens[[#This Row],[Edital]],tEditais[Edital],0)),"")</f>
        <v>46308.333333333336</v>
      </c>
      <c r="J1749" t="str">
        <f>IFERROR(INDEX(tProdutos[Classe],MATCH(tItens[[#This Row],[Produto]],tProdutos[Produto],0)),"produto não cadastrado")</f>
        <v>DISPUTADO</v>
      </c>
      <c r="K1749" s="12">
        <f>tItens[[#This Row],[Qtd]]*tItens[[#This Row],[Vlr unit]]</f>
        <v>840</v>
      </c>
      <c r="L1749" s="6">
        <f>IFERROR(IF(INDEX(tProdutos[Desconto homologado],MATCH(tItens[[#This Row],[Produto]],tProdutos[Produto],0))="",DescontoPadrao,INDEX(tProdutos[Desconto homologado],MATCH(tItens[[#This Row],[Produto]],tProdutos[Produto],0))),DescontoPadrao)</f>
        <v>0.24332656063896899</v>
      </c>
      <c r="M1749" s="12">
        <f>tItens[[#This Row],[Valor]]*(1-tItens[[#This Row],[Desconto]])</f>
        <v>635.60568906326603</v>
      </c>
      <c r="N1749" t="str">
        <f>IFERROR(INDEX(tProdutos[Foco],MATCH(tItens[[#This Row],[Produto]],tProdutos[Produto],0)),"Não")</f>
        <v>Não</v>
      </c>
      <c r="O1749" t="str">
        <f>IFERROR(INDEX(tEditais[SRP],MATCH(tItens[[#This Row],[Edital]],tEditais[Edital],0)),"Não")</f>
        <v>Não</v>
      </c>
      <c r="P1749" s="4">
        <f>IF(COUNTIFS(INDEX(tItens[Edital],1):tItens[[#This Row],[Edital]],tItens[[#This Row],[Edital]],INDEX(tItens[Produto],1):tItens[[#This Row],[Produto]],tItens[[#This Row],[Produto]])=1,1,0)</f>
        <v>1</v>
      </c>
    </row>
    <row r="1750" spans="1:16" x14ac:dyDescent="0.25">
      <c r="A1750" t="s">
        <v>1164</v>
      </c>
      <c r="B1750">
        <v>395</v>
      </c>
      <c r="C1750" t="s">
        <v>4803</v>
      </c>
      <c r="D1750" t="s">
        <v>259</v>
      </c>
      <c r="E1750" s="13">
        <v>10</v>
      </c>
      <c r="F1750" s="12">
        <v>21.31</v>
      </c>
      <c r="G1750" t="str">
        <f>IFERROR(INDEX(tEditais[Órgão],MATCH(tItens[[#This Row],[Edital]],tEditais[Edital],0)),"")</f>
        <v>FUNDO MUNICIPAL DE SAUDE DE VILA PROPICIO</v>
      </c>
      <c r="H1750" t="str">
        <f>IFERROR(INDEX(tEditais[UF],MATCH(tItens[[#This Row],[Edital]],tEditais[Edital],0)),"")</f>
        <v>GO</v>
      </c>
      <c r="I1750" s="11">
        <f>IFERROR(INDEX(tEditais[Encerramento],MATCH(tItens[[#This Row],[Edital]],tEditais[Edital],0)),"")</f>
        <v>46308.333333333336</v>
      </c>
      <c r="J1750" t="str">
        <f>IFERROR(INDEX(tProdutos[Classe],MATCH(tItens[[#This Row],[Produto]],tProdutos[Produto],0)),"produto não cadastrado")</f>
        <v>FORA</v>
      </c>
      <c r="K1750" s="12">
        <f>tItens[[#This Row],[Qtd]]*tItens[[#This Row],[Vlr unit]]</f>
        <v>213.1</v>
      </c>
      <c r="L1750" s="6">
        <f>IFERROR(IF(INDEX(tProdutos[Desconto homologado],MATCH(tItens[[#This Row],[Produto]],tProdutos[Produto],0))="",DescontoPadrao,INDEX(tProdutos[Desconto homologado],MATCH(tItens[[#This Row],[Produto]],tProdutos[Produto],0))),DescontoPadrao)</f>
        <v>0.374798283789543</v>
      </c>
      <c r="M1750" s="12">
        <f>tItens[[#This Row],[Valor]]*(1-tItens[[#This Row],[Desconto]])</f>
        <v>133.23048572444839</v>
      </c>
      <c r="N1750" t="str">
        <f>IFERROR(INDEX(tProdutos[Foco],MATCH(tItens[[#This Row],[Produto]],tProdutos[Produto],0)),"Não")</f>
        <v>Não</v>
      </c>
      <c r="O1750" t="str">
        <f>IFERROR(INDEX(tEditais[SRP],MATCH(tItens[[#This Row],[Edital]],tEditais[Edital],0)),"Não")</f>
        <v>Não</v>
      </c>
      <c r="P1750" s="4">
        <f>IF(COUNTIFS(INDEX(tItens[Edital],1):tItens[[#This Row],[Edital]],tItens[[#This Row],[Edital]],INDEX(tItens[Produto],1):tItens[[#This Row],[Produto]],tItens[[#This Row],[Produto]])=1,1,0)</f>
        <v>1</v>
      </c>
    </row>
    <row r="1751" spans="1:16" x14ac:dyDescent="0.25">
      <c r="A1751" t="s">
        <v>1164</v>
      </c>
      <c r="B1751">
        <v>399</v>
      </c>
      <c r="C1751" t="s">
        <v>4804</v>
      </c>
      <c r="D1751" t="s">
        <v>297</v>
      </c>
      <c r="E1751" s="13">
        <v>20</v>
      </c>
      <c r="F1751" s="12">
        <v>75.77</v>
      </c>
      <c r="G1751" t="str">
        <f>IFERROR(INDEX(tEditais[Órgão],MATCH(tItens[[#This Row],[Edital]],tEditais[Edital],0)),"")</f>
        <v>FUNDO MUNICIPAL DE SAUDE DE VILA PROPICIO</v>
      </c>
      <c r="H1751" t="str">
        <f>IFERROR(INDEX(tEditais[UF],MATCH(tItens[[#This Row],[Edital]],tEditais[Edital],0)),"")</f>
        <v>GO</v>
      </c>
      <c r="I1751" s="11">
        <f>IFERROR(INDEX(tEditais[Encerramento],MATCH(tItens[[#This Row],[Edital]],tEditais[Edital],0)),"")</f>
        <v>46308.333333333336</v>
      </c>
      <c r="J1751" t="str">
        <f>IFERROR(INDEX(tProdutos[Classe],MATCH(tItens[[#This Row],[Produto]],tProdutos[Produto],0)),"produto não cadastrado")</f>
        <v>FORA</v>
      </c>
      <c r="K1751" s="12">
        <f>tItens[[#This Row],[Qtd]]*tItens[[#This Row],[Vlr unit]]</f>
        <v>1515.3999999999999</v>
      </c>
      <c r="L1751" s="6">
        <f>IFERROR(IF(INDEX(tProdutos[Desconto homologado],MATCH(tItens[[#This Row],[Produto]],tProdutos[Produto],0))="",DescontoPadrao,INDEX(tProdutos[Desconto homologado],MATCH(tItens[[#This Row],[Produto]],tProdutos[Produto],0))),DescontoPadrao)</f>
        <v>0.249544626593807</v>
      </c>
      <c r="M1751" s="12">
        <f>tItens[[#This Row],[Valor]]*(1-tItens[[#This Row],[Desconto]])</f>
        <v>1137.2400728597447</v>
      </c>
      <c r="N1751" t="str">
        <f>IFERROR(INDEX(tProdutos[Foco],MATCH(tItens[[#This Row],[Produto]],tProdutos[Produto],0)),"Não")</f>
        <v>Não</v>
      </c>
      <c r="O1751" t="str">
        <f>IFERROR(INDEX(tEditais[SRP],MATCH(tItens[[#This Row],[Edital]],tEditais[Edital],0)),"Não")</f>
        <v>Não</v>
      </c>
      <c r="P1751" s="4">
        <f>IF(COUNTIFS(INDEX(tItens[Edital],1):tItens[[#This Row],[Edital]],tItens[[#This Row],[Edital]],INDEX(tItens[Produto],1):tItens[[#This Row],[Produto]],tItens[[#This Row],[Produto]])=1,1,0)</f>
        <v>0</v>
      </c>
    </row>
    <row r="1752" spans="1:16" x14ac:dyDescent="0.25">
      <c r="A1752" t="s">
        <v>1164</v>
      </c>
      <c r="B1752">
        <v>418</v>
      </c>
      <c r="C1752" t="s">
        <v>4805</v>
      </c>
      <c r="D1752" t="s">
        <v>311</v>
      </c>
      <c r="E1752" s="13">
        <v>250</v>
      </c>
      <c r="F1752" s="12">
        <v>6.47</v>
      </c>
      <c r="G1752" t="str">
        <f>IFERROR(INDEX(tEditais[Órgão],MATCH(tItens[[#This Row],[Edital]],tEditais[Edital],0)),"")</f>
        <v>FUNDO MUNICIPAL DE SAUDE DE VILA PROPICIO</v>
      </c>
      <c r="H1752" t="str">
        <f>IFERROR(INDEX(tEditais[UF],MATCH(tItens[[#This Row],[Edital]],tEditais[Edital],0)),"")</f>
        <v>GO</v>
      </c>
      <c r="I1752" s="11">
        <f>IFERROR(INDEX(tEditais[Encerramento],MATCH(tItens[[#This Row],[Edital]],tEditais[Edital],0)),"")</f>
        <v>46308.333333333336</v>
      </c>
      <c r="J1752" t="str">
        <f>IFERROR(INDEX(tProdutos[Classe],MATCH(tItens[[#This Row],[Produto]],tProdutos[Produto],0)),"produto não cadastrado")</f>
        <v>FORA</v>
      </c>
      <c r="K1752" s="12">
        <f>tItens[[#This Row],[Qtd]]*tItens[[#This Row],[Vlr unit]]</f>
        <v>1617.5</v>
      </c>
      <c r="L1752" s="6">
        <f>IFERROR(IF(INDEX(tProdutos[Desconto homologado],MATCH(tItens[[#This Row],[Produto]],tProdutos[Produto],0))="",DescontoPadrao,INDEX(tProdutos[Desconto homologado],MATCH(tItens[[#This Row],[Produto]],tProdutos[Produto],0))),DescontoPadrao)</f>
        <v>0.29046182846371399</v>
      </c>
      <c r="M1752" s="12">
        <f>tItens[[#This Row],[Valor]]*(1-tItens[[#This Row],[Desconto]])</f>
        <v>1147.6779924599427</v>
      </c>
      <c r="N1752" t="str">
        <f>IFERROR(INDEX(tProdutos[Foco],MATCH(tItens[[#This Row],[Produto]],tProdutos[Produto],0)),"Não")</f>
        <v>Não</v>
      </c>
      <c r="O1752" t="str">
        <f>IFERROR(INDEX(tEditais[SRP],MATCH(tItens[[#This Row],[Edital]],tEditais[Edital],0)),"Não")</f>
        <v>Não</v>
      </c>
      <c r="P1752" s="4">
        <f>IF(COUNTIFS(INDEX(tItens[Edital],1):tItens[[#This Row],[Edital]],tItens[[#This Row],[Edital]],INDEX(tItens[Produto],1):tItens[[#This Row],[Produto]],tItens[[#This Row],[Produto]])=1,1,0)</f>
        <v>1</v>
      </c>
    </row>
    <row r="1753" spans="1:16" x14ac:dyDescent="0.25">
      <c r="A1753" t="s">
        <v>1164</v>
      </c>
      <c r="B1753">
        <v>419</v>
      </c>
      <c r="C1753" t="s">
        <v>4806</v>
      </c>
      <c r="D1753" t="s">
        <v>80</v>
      </c>
      <c r="E1753" s="13">
        <v>100</v>
      </c>
      <c r="F1753" s="12">
        <v>0.53</v>
      </c>
      <c r="G1753" t="str">
        <f>IFERROR(INDEX(tEditais[Órgão],MATCH(tItens[[#This Row],[Edital]],tEditais[Edital],0)),"")</f>
        <v>FUNDO MUNICIPAL DE SAUDE DE VILA PROPICIO</v>
      </c>
      <c r="H1753" t="str">
        <f>IFERROR(INDEX(tEditais[UF],MATCH(tItens[[#This Row],[Edital]],tEditais[Edital],0)),"")</f>
        <v>GO</v>
      </c>
      <c r="I1753" s="11">
        <f>IFERROR(INDEX(tEditais[Encerramento],MATCH(tItens[[#This Row],[Edital]],tEditais[Edital],0)),"")</f>
        <v>46308.333333333336</v>
      </c>
      <c r="J1753" t="str">
        <f>IFERROR(INDEX(tProdutos[Classe],MATCH(tItens[[#This Row],[Produto]],tProdutos[Produto],0)),"produto não cadastrado")</f>
        <v>NÚCLEO</v>
      </c>
      <c r="K1753" s="12">
        <f>tItens[[#This Row],[Qtd]]*tItens[[#This Row],[Vlr unit]]</f>
        <v>53</v>
      </c>
      <c r="L1753" s="6">
        <f>IFERROR(IF(INDEX(tProdutos[Desconto homologado],MATCH(tItens[[#This Row],[Produto]],tProdutos[Produto],0))="",DescontoPadrao,INDEX(tProdutos[Desconto homologado],MATCH(tItens[[#This Row],[Produto]],tProdutos[Produto],0))),DescontoPadrao)</f>
        <v>0.33</v>
      </c>
      <c r="M1753" s="12">
        <f>tItens[[#This Row],[Valor]]*(1-tItens[[#This Row],[Desconto]])</f>
        <v>35.51</v>
      </c>
      <c r="N1753" t="str">
        <f>IFERROR(INDEX(tProdutos[Foco],MATCH(tItens[[#This Row],[Produto]],tProdutos[Produto],0)),"Não")</f>
        <v>Sim</v>
      </c>
      <c r="O1753" t="str">
        <f>IFERROR(INDEX(tEditais[SRP],MATCH(tItens[[#This Row],[Edital]],tEditais[Edital],0)),"Não")</f>
        <v>Não</v>
      </c>
      <c r="P1753" s="4">
        <f>IF(COUNTIFS(INDEX(tItens[Edital],1):tItens[[#This Row],[Edital]],tItens[[#This Row],[Edital]],INDEX(tItens[Produto],1):tItens[[#This Row],[Produto]],tItens[[#This Row],[Produto]])=1,1,0)</f>
        <v>1</v>
      </c>
    </row>
    <row r="1754" spans="1:16" x14ac:dyDescent="0.25">
      <c r="A1754" t="s">
        <v>1164</v>
      </c>
      <c r="B1754">
        <v>421</v>
      </c>
      <c r="C1754" t="s">
        <v>4807</v>
      </c>
      <c r="D1754" t="s">
        <v>349</v>
      </c>
      <c r="E1754" s="13">
        <v>1000</v>
      </c>
      <c r="F1754" s="12">
        <v>59.79</v>
      </c>
      <c r="G1754" t="str">
        <f>IFERROR(INDEX(tEditais[Órgão],MATCH(tItens[[#This Row],[Edital]],tEditais[Edital],0)),"")</f>
        <v>FUNDO MUNICIPAL DE SAUDE DE VILA PROPICIO</v>
      </c>
      <c r="H1754" t="str">
        <f>IFERROR(INDEX(tEditais[UF],MATCH(tItens[[#This Row],[Edital]],tEditais[Edital],0)),"")</f>
        <v>GO</v>
      </c>
      <c r="I1754" s="11">
        <f>IFERROR(INDEX(tEditais[Encerramento],MATCH(tItens[[#This Row],[Edital]],tEditais[Edital],0)),"")</f>
        <v>46308.333333333336</v>
      </c>
      <c r="J1754" t="str">
        <f>IFERROR(INDEX(tProdutos[Classe],MATCH(tItens[[#This Row],[Produto]],tProdutos[Produto],0)),"produto não cadastrado")</f>
        <v>FORA</v>
      </c>
      <c r="K1754" s="12">
        <f>tItens[[#This Row],[Qtd]]*tItens[[#This Row],[Vlr unit]]</f>
        <v>59790</v>
      </c>
      <c r="L1754" s="6">
        <f>IFERROR(IF(INDEX(tProdutos[Desconto homologado],MATCH(tItens[[#This Row],[Produto]],tProdutos[Produto],0))="",DescontoPadrao,INDEX(tProdutos[Desconto homologado],MATCH(tItens[[#This Row],[Produto]],tProdutos[Produto],0))),DescontoPadrao)</f>
        <v>0.38826228254635797</v>
      </c>
      <c r="M1754" s="12">
        <f>tItens[[#This Row],[Valor]]*(1-tItens[[#This Row],[Desconto]])</f>
        <v>36575.798126553258</v>
      </c>
      <c r="N1754" t="str">
        <f>IFERROR(INDEX(tProdutos[Foco],MATCH(tItens[[#This Row],[Produto]],tProdutos[Produto],0)),"Não")</f>
        <v>Não</v>
      </c>
      <c r="O1754" t="str">
        <f>IFERROR(INDEX(tEditais[SRP],MATCH(tItens[[#This Row],[Edital]],tEditais[Edital],0)),"Não")</f>
        <v>Não</v>
      </c>
      <c r="P1754" s="4">
        <f>IF(COUNTIFS(INDEX(tItens[Edital],1):tItens[[#This Row],[Edital]],tItens[[#This Row],[Edital]],INDEX(tItens[Produto],1):tItens[[#This Row],[Produto]],tItens[[#This Row],[Produto]])=1,1,0)</f>
        <v>1</v>
      </c>
    </row>
    <row r="1755" spans="1:16" x14ac:dyDescent="0.25">
      <c r="A1755" t="s">
        <v>1164</v>
      </c>
      <c r="B1755">
        <v>442</v>
      </c>
      <c r="C1755" t="s">
        <v>4808</v>
      </c>
      <c r="D1755" t="s">
        <v>512</v>
      </c>
      <c r="E1755" s="13">
        <v>2</v>
      </c>
      <c r="F1755" s="12">
        <v>26.78</v>
      </c>
      <c r="G1755" t="str">
        <f>IFERROR(INDEX(tEditais[Órgão],MATCH(tItens[[#This Row],[Edital]],tEditais[Edital],0)),"")</f>
        <v>FUNDO MUNICIPAL DE SAUDE DE VILA PROPICIO</v>
      </c>
      <c r="H1755" t="str">
        <f>IFERROR(INDEX(tEditais[UF],MATCH(tItens[[#This Row],[Edital]],tEditais[Edital],0)),"")</f>
        <v>GO</v>
      </c>
      <c r="I1755" s="11">
        <f>IFERROR(INDEX(tEditais[Encerramento],MATCH(tItens[[#This Row],[Edital]],tEditais[Edital],0)),"")</f>
        <v>46308.333333333336</v>
      </c>
      <c r="J1755" t="str">
        <f>IFERROR(INDEX(tProdutos[Classe],MATCH(tItens[[#This Row],[Produto]],tProdutos[Produto],0)),"produto não cadastrado")</f>
        <v>FILA REBASE</v>
      </c>
      <c r="K1755" s="12">
        <f>tItens[[#This Row],[Qtd]]*tItens[[#This Row],[Vlr unit]]</f>
        <v>53.56</v>
      </c>
      <c r="L1755" s="6">
        <f>IFERROR(IF(INDEX(tProdutos[Desconto homologado],MATCH(tItens[[#This Row],[Produto]],tProdutos[Produto],0))="",DescontoPadrao,INDEX(tProdutos[Desconto homologado],MATCH(tItens[[#This Row],[Produto]],tProdutos[Produto],0))),DescontoPadrao)</f>
        <v>0.32579365079365102</v>
      </c>
      <c r="M1755" s="12">
        <f>tItens[[#This Row],[Valor]]*(1-tItens[[#This Row],[Desconto]])</f>
        <v>36.110492063492053</v>
      </c>
      <c r="N1755" t="str">
        <f>IFERROR(INDEX(tProdutos[Foco],MATCH(tItens[[#This Row],[Produto]],tProdutos[Produto],0)),"Não")</f>
        <v>Não</v>
      </c>
      <c r="O1755" t="str">
        <f>IFERROR(INDEX(tEditais[SRP],MATCH(tItens[[#This Row],[Edital]],tEditais[Edital],0)),"Não")</f>
        <v>Não</v>
      </c>
      <c r="P1755" s="4">
        <f>IF(COUNTIFS(INDEX(tItens[Edital],1):tItens[[#This Row],[Edital]],tItens[[#This Row],[Edital]],INDEX(tItens[Produto],1):tItens[[#This Row],[Produto]],tItens[[#This Row],[Produto]])=1,1,0)</f>
        <v>0</v>
      </c>
    </row>
    <row r="1756" spans="1:16" x14ac:dyDescent="0.25">
      <c r="A1756" t="s">
        <v>1164</v>
      </c>
      <c r="B1756">
        <v>443</v>
      </c>
      <c r="C1756" t="s">
        <v>4809</v>
      </c>
      <c r="D1756" t="s">
        <v>512</v>
      </c>
      <c r="E1756" s="13">
        <v>4</v>
      </c>
      <c r="F1756" s="12">
        <v>17.52</v>
      </c>
      <c r="G1756" t="str">
        <f>IFERROR(INDEX(tEditais[Órgão],MATCH(tItens[[#This Row],[Edital]],tEditais[Edital],0)),"")</f>
        <v>FUNDO MUNICIPAL DE SAUDE DE VILA PROPICIO</v>
      </c>
      <c r="H1756" t="str">
        <f>IFERROR(INDEX(tEditais[UF],MATCH(tItens[[#This Row],[Edital]],tEditais[Edital],0)),"")</f>
        <v>GO</v>
      </c>
      <c r="I1756" s="11">
        <f>IFERROR(INDEX(tEditais[Encerramento],MATCH(tItens[[#This Row],[Edital]],tEditais[Edital],0)),"")</f>
        <v>46308.333333333336</v>
      </c>
      <c r="J1756" t="str">
        <f>IFERROR(INDEX(tProdutos[Classe],MATCH(tItens[[#This Row],[Produto]],tProdutos[Produto],0)),"produto não cadastrado")</f>
        <v>FILA REBASE</v>
      </c>
      <c r="K1756" s="12">
        <f>tItens[[#This Row],[Qtd]]*tItens[[#This Row],[Vlr unit]]</f>
        <v>70.08</v>
      </c>
      <c r="L1756" s="6">
        <f>IFERROR(IF(INDEX(tProdutos[Desconto homologado],MATCH(tItens[[#This Row],[Produto]],tProdutos[Produto],0))="",DescontoPadrao,INDEX(tProdutos[Desconto homologado],MATCH(tItens[[#This Row],[Produto]],tProdutos[Produto],0))),DescontoPadrao)</f>
        <v>0.32579365079365102</v>
      </c>
      <c r="M1756" s="12">
        <f>tItens[[#This Row],[Valor]]*(1-tItens[[#This Row],[Desconto]])</f>
        <v>47.248380952380941</v>
      </c>
      <c r="N1756" t="str">
        <f>IFERROR(INDEX(tProdutos[Foco],MATCH(tItens[[#This Row],[Produto]],tProdutos[Produto],0)),"Não")</f>
        <v>Não</v>
      </c>
      <c r="O1756" t="str">
        <f>IFERROR(INDEX(tEditais[SRP],MATCH(tItens[[#This Row],[Edital]],tEditais[Edital],0)),"Não")</f>
        <v>Não</v>
      </c>
      <c r="P1756" s="4">
        <f>IF(COUNTIFS(INDEX(tItens[Edital],1):tItens[[#This Row],[Edital]],tItens[[#This Row],[Edital]],INDEX(tItens[Produto],1):tItens[[#This Row],[Produto]],tItens[[#This Row],[Produto]])=1,1,0)</f>
        <v>0</v>
      </c>
    </row>
    <row r="1757" spans="1:16" x14ac:dyDescent="0.25">
      <c r="A1757" t="s">
        <v>1164</v>
      </c>
      <c r="B1757">
        <v>472</v>
      </c>
      <c r="C1757" t="s">
        <v>4810</v>
      </c>
      <c r="D1757" t="s">
        <v>279</v>
      </c>
      <c r="E1757" s="13">
        <v>4000</v>
      </c>
      <c r="F1757" s="12">
        <v>0.7</v>
      </c>
      <c r="G1757" t="str">
        <f>IFERROR(INDEX(tEditais[Órgão],MATCH(tItens[[#This Row],[Edital]],tEditais[Edital],0)),"")</f>
        <v>FUNDO MUNICIPAL DE SAUDE DE VILA PROPICIO</v>
      </c>
      <c r="H1757" t="str">
        <f>IFERROR(INDEX(tEditais[UF],MATCH(tItens[[#This Row],[Edital]],tEditais[Edital],0)),"")</f>
        <v>GO</v>
      </c>
      <c r="I1757" s="11">
        <f>IFERROR(INDEX(tEditais[Encerramento],MATCH(tItens[[#This Row],[Edital]],tEditais[Edital],0)),"")</f>
        <v>46308.333333333336</v>
      </c>
      <c r="J1757" t="str">
        <f>IFERROR(INDEX(tProdutos[Classe],MATCH(tItens[[#This Row],[Produto]],tProdutos[Produto],0)),"produto não cadastrado")</f>
        <v>FORA</v>
      </c>
      <c r="K1757" s="12">
        <f>tItens[[#This Row],[Qtd]]*tItens[[#This Row],[Vlr unit]]</f>
        <v>2800</v>
      </c>
      <c r="L1757" s="6">
        <f>IFERROR(IF(INDEX(tProdutos[Desconto homologado],MATCH(tItens[[#This Row],[Produto]],tProdutos[Produto],0))="",DescontoPadrao,INDEX(tProdutos[Desconto homologado],MATCH(tItens[[#This Row],[Produto]],tProdutos[Produto],0))),DescontoPadrao)</f>
        <v>0.28909090909090901</v>
      </c>
      <c r="M1757" s="12">
        <f>tItens[[#This Row],[Valor]]*(1-tItens[[#This Row],[Desconto]])</f>
        <v>1990.5454545454545</v>
      </c>
      <c r="N1757" t="str">
        <f>IFERROR(INDEX(tProdutos[Foco],MATCH(tItens[[#This Row],[Produto]],tProdutos[Produto],0)),"Não")</f>
        <v>Não</v>
      </c>
      <c r="O1757" t="str">
        <f>IFERROR(INDEX(tEditais[SRP],MATCH(tItens[[#This Row],[Edital]],tEditais[Edital],0)),"Não")</f>
        <v>Não</v>
      </c>
      <c r="P1757" s="4">
        <f>IF(COUNTIFS(INDEX(tItens[Edital],1):tItens[[#This Row],[Edital]],tItens[[#This Row],[Edital]],INDEX(tItens[Produto],1):tItens[[#This Row],[Produto]],tItens[[#This Row],[Produto]])=1,1,0)</f>
        <v>1</v>
      </c>
    </row>
    <row r="1758" spans="1:16" x14ac:dyDescent="0.25">
      <c r="A1758" t="s">
        <v>1164</v>
      </c>
      <c r="B1758">
        <v>487</v>
      </c>
      <c r="C1758" t="s">
        <v>4811</v>
      </c>
      <c r="D1758" t="s">
        <v>385</v>
      </c>
      <c r="E1758" s="13">
        <v>5</v>
      </c>
      <c r="F1758" s="12">
        <v>11.05</v>
      </c>
      <c r="G1758" t="str">
        <f>IFERROR(INDEX(tEditais[Órgão],MATCH(tItens[[#This Row],[Edital]],tEditais[Edital],0)),"")</f>
        <v>FUNDO MUNICIPAL DE SAUDE DE VILA PROPICIO</v>
      </c>
      <c r="H1758" t="str">
        <f>IFERROR(INDEX(tEditais[UF],MATCH(tItens[[#This Row],[Edital]],tEditais[Edital],0)),"")</f>
        <v>GO</v>
      </c>
      <c r="I1758" s="11">
        <f>IFERROR(INDEX(tEditais[Encerramento],MATCH(tItens[[#This Row],[Edital]],tEditais[Edital],0)),"")</f>
        <v>46308.333333333336</v>
      </c>
      <c r="J1758" t="str">
        <f>IFERROR(INDEX(tProdutos[Classe],MATCH(tItens[[#This Row],[Produto]],tProdutos[Produto],0)),"produto não cadastrado")</f>
        <v>FORA</v>
      </c>
      <c r="K1758" s="12">
        <f>tItens[[#This Row],[Qtd]]*tItens[[#This Row],[Vlr unit]]</f>
        <v>55.25</v>
      </c>
      <c r="L1758" s="6">
        <f>IFERROR(IF(INDEX(tProdutos[Desconto homologado],MATCH(tItens[[#This Row],[Produto]],tProdutos[Produto],0))="",DescontoPadrao,INDEX(tProdutos[Desconto homologado],MATCH(tItens[[#This Row],[Produto]],tProdutos[Produto],0))),DescontoPadrao)</f>
        <v>0.46969696969697</v>
      </c>
      <c r="M1758" s="12">
        <f>tItens[[#This Row],[Valor]]*(1-tItens[[#This Row],[Desconto]])</f>
        <v>29.299242424242411</v>
      </c>
      <c r="N1758" t="str">
        <f>IFERROR(INDEX(tProdutos[Foco],MATCH(tItens[[#This Row],[Produto]],tProdutos[Produto],0)),"Não")</f>
        <v>Não</v>
      </c>
      <c r="O1758" t="str">
        <f>IFERROR(INDEX(tEditais[SRP],MATCH(tItens[[#This Row],[Edital]],tEditais[Edital],0)),"Não")</f>
        <v>Não</v>
      </c>
      <c r="P1758" s="4">
        <f>IF(COUNTIFS(INDEX(tItens[Edital],1):tItens[[#This Row],[Edital]],tItens[[#This Row],[Edital]],INDEX(tItens[Produto],1):tItens[[#This Row],[Produto]],tItens[[#This Row],[Produto]])=1,1,0)</f>
        <v>1</v>
      </c>
    </row>
    <row r="1759" spans="1:16" x14ac:dyDescent="0.25">
      <c r="A1759" t="s">
        <v>1164</v>
      </c>
      <c r="B1759">
        <v>534</v>
      </c>
      <c r="C1759" t="s">
        <v>4812</v>
      </c>
      <c r="D1759" t="s">
        <v>281</v>
      </c>
      <c r="E1759" s="13">
        <v>10</v>
      </c>
      <c r="F1759" s="12">
        <v>29.75</v>
      </c>
      <c r="G1759" t="str">
        <f>IFERROR(INDEX(tEditais[Órgão],MATCH(tItens[[#This Row],[Edital]],tEditais[Edital],0)),"")</f>
        <v>FUNDO MUNICIPAL DE SAUDE DE VILA PROPICIO</v>
      </c>
      <c r="H1759" t="str">
        <f>IFERROR(INDEX(tEditais[UF],MATCH(tItens[[#This Row],[Edital]],tEditais[Edital],0)),"")</f>
        <v>GO</v>
      </c>
      <c r="I1759" s="11">
        <f>IFERROR(INDEX(tEditais[Encerramento],MATCH(tItens[[#This Row],[Edital]],tEditais[Edital],0)),"")</f>
        <v>46308.333333333336</v>
      </c>
      <c r="J1759" t="str">
        <f>IFERROR(INDEX(tProdutos[Classe],MATCH(tItens[[#This Row],[Produto]],tProdutos[Produto],0)),"produto não cadastrado")</f>
        <v>DISPUTADO</v>
      </c>
      <c r="K1759" s="12">
        <f>tItens[[#This Row],[Qtd]]*tItens[[#This Row],[Vlr unit]]</f>
        <v>297.5</v>
      </c>
      <c r="L1759" s="6">
        <f>IFERROR(IF(INDEX(tProdutos[Desconto homologado],MATCH(tItens[[#This Row],[Produto]],tProdutos[Produto],0))="",DescontoPadrao,INDEX(tProdutos[Desconto homologado],MATCH(tItens[[#This Row],[Produto]],tProdutos[Produto],0))),DescontoPadrao)</f>
        <v>0.42461538461538501</v>
      </c>
      <c r="M1759" s="12">
        <f>tItens[[#This Row],[Valor]]*(1-tItens[[#This Row],[Desconto]])</f>
        <v>171.17692307692295</v>
      </c>
      <c r="N1759" t="str">
        <f>IFERROR(INDEX(tProdutos[Foco],MATCH(tItens[[#This Row],[Produto]],tProdutos[Produto],0)),"Não")</f>
        <v>Não</v>
      </c>
      <c r="O1759" t="str">
        <f>IFERROR(INDEX(tEditais[SRP],MATCH(tItens[[#This Row],[Edital]],tEditais[Edital],0)),"Não")</f>
        <v>Não</v>
      </c>
      <c r="P1759" s="4">
        <f>IF(COUNTIFS(INDEX(tItens[Edital],1):tItens[[#This Row],[Edital]],tItens[[#This Row],[Edital]],INDEX(tItens[Produto],1):tItens[[#This Row],[Produto]],tItens[[#This Row],[Produto]])=1,1,0)</f>
        <v>0</v>
      </c>
    </row>
    <row r="1760" spans="1:16" x14ac:dyDescent="0.25">
      <c r="A1760" t="s">
        <v>1164</v>
      </c>
      <c r="B1760">
        <v>560</v>
      </c>
      <c r="C1760" t="s">
        <v>4813</v>
      </c>
      <c r="D1760" t="s">
        <v>88</v>
      </c>
      <c r="E1760" s="13">
        <v>10</v>
      </c>
      <c r="F1760" s="12">
        <v>45.05</v>
      </c>
      <c r="G1760" t="str">
        <f>IFERROR(INDEX(tEditais[Órgão],MATCH(tItens[[#This Row],[Edital]],tEditais[Edital],0)),"")</f>
        <v>FUNDO MUNICIPAL DE SAUDE DE VILA PROPICIO</v>
      </c>
      <c r="H1760" t="str">
        <f>IFERROR(INDEX(tEditais[UF],MATCH(tItens[[#This Row],[Edital]],tEditais[Edital],0)),"")</f>
        <v>GO</v>
      </c>
      <c r="I1760" s="11">
        <f>IFERROR(INDEX(tEditais[Encerramento],MATCH(tItens[[#This Row],[Edital]],tEditais[Edital],0)),"")</f>
        <v>46308.333333333336</v>
      </c>
      <c r="J1760" t="str">
        <f>IFERROR(INDEX(tProdutos[Classe],MATCH(tItens[[#This Row],[Produto]],tProdutos[Produto],0)),"produto não cadastrado")</f>
        <v>NÚCLEO</v>
      </c>
      <c r="K1760" s="12">
        <f>tItens[[#This Row],[Qtd]]*tItens[[#This Row],[Vlr unit]]</f>
        <v>450.5</v>
      </c>
      <c r="L1760" s="6">
        <f>IFERROR(IF(INDEX(tProdutos[Desconto homologado],MATCH(tItens[[#This Row],[Produto]],tProdutos[Produto],0))="",DescontoPadrao,INDEX(tProdutos[Desconto homologado],MATCH(tItens[[#This Row],[Produto]],tProdutos[Produto],0))),DescontoPadrao)</f>
        <v>0.30251202565473001</v>
      </c>
      <c r="M1760" s="12">
        <f>tItens[[#This Row],[Valor]]*(1-tItens[[#This Row],[Desconto]])</f>
        <v>314.21833244254412</v>
      </c>
      <c r="N1760" t="str">
        <f>IFERROR(INDEX(tProdutos[Foco],MATCH(tItens[[#This Row],[Produto]],tProdutos[Produto],0)),"Não")</f>
        <v>Não</v>
      </c>
      <c r="O1760" t="str">
        <f>IFERROR(INDEX(tEditais[SRP],MATCH(tItens[[#This Row],[Edital]],tEditais[Edital],0)),"Não")</f>
        <v>Não</v>
      </c>
      <c r="P1760" s="4">
        <f>IF(COUNTIFS(INDEX(tItens[Edital],1):tItens[[#This Row],[Edital]],tItens[[#This Row],[Edital]],INDEX(tItens[Produto],1):tItens[[#This Row],[Produto]],tItens[[#This Row],[Produto]])=1,1,0)</f>
        <v>1</v>
      </c>
    </row>
    <row r="1761" spans="1:16" x14ac:dyDescent="0.25">
      <c r="A1761" t="s">
        <v>1164</v>
      </c>
      <c r="B1761">
        <v>561</v>
      </c>
      <c r="C1761" t="s">
        <v>4814</v>
      </c>
      <c r="D1761" t="s">
        <v>71</v>
      </c>
      <c r="E1761" s="13">
        <v>40</v>
      </c>
      <c r="F1761" s="12">
        <v>47.1</v>
      </c>
      <c r="G1761" t="str">
        <f>IFERROR(INDEX(tEditais[Órgão],MATCH(tItens[[#This Row],[Edital]],tEditais[Edital],0)),"")</f>
        <v>FUNDO MUNICIPAL DE SAUDE DE VILA PROPICIO</v>
      </c>
      <c r="H1761" t="str">
        <f>IFERROR(INDEX(tEditais[UF],MATCH(tItens[[#This Row],[Edital]],tEditais[Edital],0)),"")</f>
        <v>GO</v>
      </c>
      <c r="I1761" s="11">
        <f>IFERROR(INDEX(tEditais[Encerramento],MATCH(tItens[[#This Row],[Edital]],tEditais[Edital],0)),"")</f>
        <v>46308.333333333336</v>
      </c>
      <c r="J1761" t="str">
        <f>IFERROR(INDEX(tProdutos[Classe],MATCH(tItens[[#This Row],[Produto]],tProdutos[Produto],0)),"produto não cadastrado")</f>
        <v>NÚCLEO</v>
      </c>
      <c r="K1761" s="12">
        <f>tItens[[#This Row],[Qtd]]*tItens[[#This Row],[Vlr unit]]</f>
        <v>1884</v>
      </c>
      <c r="L1761" s="6">
        <f>IFERROR(IF(INDEX(tProdutos[Desconto homologado],MATCH(tItens[[#This Row],[Produto]],tProdutos[Produto],0))="",DescontoPadrao,INDEX(tProdutos[Desconto homologado],MATCH(tItens[[#This Row],[Produto]],tProdutos[Produto],0))),DescontoPadrao)</f>
        <v>0.44981412639405199</v>
      </c>
      <c r="M1761" s="12">
        <f>tItens[[#This Row],[Valor]]*(1-tItens[[#This Row],[Desconto]])</f>
        <v>1036.5501858736059</v>
      </c>
      <c r="N1761" t="str">
        <f>IFERROR(INDEX(tProdutos[Foco],MATCH(tItens[[#This Row],[Produto]],tProdutos[Produto],0)),"Não")</f>
        <v>Não</v>
      </c>
      <c r="O1761" t="str">
        <f>IFERROR(INDEX(tEditais[SRP],MATCH(tItens[[#This Row],[Edital]],tEditais[Edital],0)),"Não")</f>
        <v>Não</v>
      </c>
      <c r="P1761" s="4">
        <f>IF(COUNTIFS(INDEX(tItens[Edital],1):tItens[[#This Row],[Edital]],tItens[[#This Row],[Edital]],INDEX(tItens[Produto],1):tItens[[#This Row],[Produto]],tItens[[#This Row],[Produto]])=1,1,0)</f>
        <v>1</v>
      </c>
    </row>
    <row r="1762" spans="1:16" x14ac:dyDescent="0.25">
      <c r="A1762" t="s">
        <v>1164</v>
      </c>
      <c r="B1762">
        <v>570</v>
      </c>
      <c r="C1762" t="s">
        <v>4815</v>
      </c>
      <c r="D1762" t="s">
        <v>86</v>
      </c>
      <c r="E1762" s="13">
        <v>12</v>
      </c>
      <c r="F1762" s="12">
        <v>26.12</v>
      </c>
      <c r="G1762" t="str">
        <f>IFERROR(INDEX(tEditais[Órgão],MATCH(tItens[[#This Row],[Edital]],tEditais[Edital],0)),"")</f>
        <v>FUNDO MUNICIPAL DE SAUDE DE VILA PROPICIO</v>
      </c>
      <c r="H1762" t="str">
        <f>IFERROR(INDEX(tEditais[UF],MATCH(tItens[[#This Row],[Edital]],tEditais[Edital],0)),"")</f>
        <v>GO</v>
      </c>
      <c r="I1762" s="11">
        <f>IFERROR(INDEX(tEditais[Encerramento],MATCH(tItens[[#This Row],[Edital]],tEditais[Edital],0)),"")</f>
        <v>46308.333333333336</v>
      </c>
      <c r="J1762" t="str">
        <f>IFERROR(INDEX(tProdutos[Classe],MATCH(tItens[[#This Row],[Produto]],tProdutos[Produto],0)),"produto não cadastrado")</f>
        <v>NÚCLEO</v>
      </c>
      <c r="K1762" s="12">
        <f>tItens[[#This Row],[Qtd]]*tItens[[#This Row],[Vlr unit]]</f>
        <v>313.44</v>
      </c>
      <c r="L1762" s="6">
        <f>IFERROR(IF(INDEX(tProdutos[Desconto homologado],MATCH(tItens[[#This Row],[Produto]],tProdutos[Produto],0))="",DescontoPadrao,INDEX(tProdutos[Desconto homologado],MATCH(tItens[[#This Row],[Produto]],tProdutos[Produto],0))),DescontoPadrao)</f>
        <v>0.20202020202020199</v>
      </c>
      <c r="M1762" s="12">
        <f>tItens[[#This Row],[Valor]]*(1-tItens[[#This Row],[Desconto]])</f>
        <v>250.11878787878788</v>
      </c>
      <c r="N1762" t="str">
        <f>IFERROR(INDEX(tProdutos[Foco],MATCH(tItens[[#This Row],[Produto]],tProdutos[Produto],0)),"Não")</f>
        <v>Não</v>
      </c>
      <c r="O1762" t="str">
        <f>IFERROR(INDEX(tEditais[SRP],MATCH(tItens[[#This Row],[Edital]],tEditais[Edital],0)),"Não")</f>
        <v>Não</v>
      </c>
      <c r="P1762" s="4">
        <f>IF(COUNTIFS(INDEX(tItens[Edital],1):tItens[[#This Row],[Edital]],tItens[[#This Row],[Edital]],INDEX(tItens[Produto],1):tItens[[#This Row],[Produto]],tItens[[#This Row],[Produto]])=1,1,0)</f>
        <v>1</v>
      </c>
    </row>
    <row r="1763" spans="1:16" x14ac:dyDescent="0.25">
      <c r="A1763" t="s">
        <v>1164</v>
      </c>
      <c r="B1763">
        <v>582</v>
      </c>
      <c r="C1763" t="s">
        <v>4816</v>
      </c>
      <c r="D1763" t="s">
        <v>423</v>
      </c>
      <c r="E1763" s="13">
        <v>4</v>
      </c>
      <c r="F1763" s="12">
        <v>14.78</v>
      </c>
      <c r="G1763" t="str">
        <f>IFERROR(INDEX(tEditais[Órgão],MATCH(tItens[[#This Row],[Edital]],tEditais[Edital],0)),"")</f>
        <v>FUNDO MUNICIPAL DE SAUDE DE VILA PROPICIO</v>
      </c>
      <c r="H1763" t="str">
        <f>IFERROR(INDEX(tEditais[UF],MATCH(tItens[[#This Row],[Edital]],tEditais[Edital],0)),"")</f>
        <v>GO</v>
      </c>
      <c r="I1763" s="11">
        <f>IFERROR(INDEX(tEditais[Encerramento],MATCH(tItens[[#This Row],[Edital]],tEditais[Edital],0)),"")</f>
        <v>46308.333333333336</v>
      </c>
      <c r="J1763" t="str">
        <f>IFERROR(INDEX(tProdutos[Classe],MATCH(tItens[[#This Row],[Produto]],tProdutos[Produto],0)),"produto não cadastrado")</f>
        <v>FORA</v>
      </c>
      <c r="K1763" s="12">
        <f>tItens[[#This Row],[Qtd]]*tItens[[#This Row],[Vlr unit]]</f>
        <v>59.12</v>
      </c>
      <c r="L1763" s="6">
        <f>IFERROR(IF(INDEX(tProdutos[Desconto homologado],MATCH(tItens[[#This Row],[Produto]],tProdutos[Produto],0))="",DescontoPadrao,INDEX(tProdutos[Desconto homologado],MATCH(tItens[[#This Row],[Produto]],tProdutos[Produto],0))),DescontoPadrao)</f>
        <v>0.38271604938271597</v>
      </c>
      <c r="M1763" s="12">
        <f>tItens[[#This Row],[Valor]]*(1-tItens[[#This Row],[Desconto]])</f>
        <v>36.493827160493829</v>
      </c>
      <c r="N1763" t="str">
        <f>IFERROR(INDEX(tProdutos[Foco],MATCH(tItens[[#This Row],[Produto]],tProdutos[Produto],0)),"Não")</f>
        <v>Não</v>
      </c>
      <c r="O1763" t="str">
        <f>IFERROR(INDEX(tEditais[SRP],MATCH(tItens[[#This Row],[Edital]],tEditais[Edital],0)),"Não")</f>
        <v>Não</v>
      </c>
      <c r="P1763" s="4">
        <f>IF(COUNTIFS(INDEX(tItens[Edital],1):tItens[[#This Row],[Edital]],tItens[[#This Row],[Edital]],INDEX(tItens[Produto],1):tItens[[#This Row],[Produto]],tItens[[#This Row],[Produto]])=1,1,0)</f>
        <v>1</v>
      </c>
    </row>
    <row r="1764" spans="1:16" x14ac:dyDescent="0.25">
      <c r="A1764" t="s">
        <v>1164</v>
      </c>
      <c r="B1764">
        <v>618</v>
      </c>
      <c r="C1764" t="s">
        <v>4817</v>
      </c>
      <c r="D1764" t="s">
        <v>56</v>
      </c>
      <c r="E1764" s="13">
        <v>20</v>
      </c>
      <c r="F1764" s="12">
        <v>52.58</v>
      </c>
      <c r="G1764" t="str">
        <f>IFERROR(INDEX(tEditais[Órgão],MATCH(tItens[[#This Row],[Edital]],tEditais[Edital],0)),"")</f>
        <v>FUNDO MUNICIPAL DE SAUDE DE VILA PROPICIO</v>
      </c>
      <c r="H1764" t="str">
        <f>IFERROR(INDEX(tEditais[UF],MATCH(tItens[[#This Row],[Edital]],tEditais[Edital],0)),"")</f>
        <v>GO</v>
      </c>
      <c r="I1764" s="11">
        <f>IFERROR(INDEX(tEditais[Encerramento],MATCH(tItens[[#This Row],[Edital]],tEditais[Edital],0)),"")</f>
        <v>46308.333333333336</v>
      </c>
      <c r="J1764" t="str">
        <f>IFERROR(INDEX(tProdutos[Classe],MATCH(tItens[[#This Row],[Produto]],tProdutos[Produto],0)),"produto não cadastrado")</f>
        <v>NÚCLEO</v>
      </c>
      <c r="K1764" s="12">
        <f>tItens[[#This Row],[Qtd]]*tItens[[#This Row],[Vlr unit]]</f>
        <v>1051.5999999999999</v>
      </c>
      <c r="L1764" s="6">
        <f>IFERROR(IF(INDEX(tProdutos[Desconto homologado],MATCH(tItens[[#This Row],[Produto]],tProdutos[Produto],0))="",DescontoPadrao,INDEX(tProdutos[Desconto homologado],MATCH(tItens[[#This Row],[Produto]],tProdutos[Produto],0))),DescontoPadrao)</f>
        <v>0.34</v>
      </c>
      <c r="M1764" s="12">
        <f>tItens[[#This Row],[Valor]]*(1-tItens[[#This Row],[Desconto]])</f>
        <v>694.05599999999981</v>
      </c>
      <c r="N1764" t="str">
        <f>IFERROR(INDEX(tProdutos[Foco],MATCH(tItens[[#This Row],[Produto]],tProdutos[Produto],0)),"Não")</f>
        <v>Sim</v>
      </c>
      <c r="O1764" t="str">
        <f>IFERROR(INDEX(tEditais[SRP],MATCH(tItens[[#This Row],[Edital]],tEditais[Edital],0)),"Não")</f>
        <v>Não</v>
      </c>
      <c r="P1764" s="4">
        <f>IF(COUNTIFS(INDEX(tItens[Edital],1):tItens[[#This Row],[Edital]],tItens[[#This Row],[Edital]],INDEX(tItens[Produto],1):tItens[[#This Row],[Produto]],tItens[[#This Row],[Produto]])=1,1,0)</f>
        <v>0</v>
      </c>
    </row>
    <row r="1765" spans="1:16" x14ac:dyDescent="0.25">
      <c r="A1765" t="s">
        <v>1164</v>
      </c>
      <c r="B1765">
        <v>619</v>
      </c>
      <c r="C1765" t="s">
        <v>4818</v>
      </c>
      <c r="D1765" t="s">
        <v>56</v>
      </c>
      <c r="E1765" s="13">
        <v>10</v>
      </c>
      <c r="F1765" s="12">
        <v>53.33</v>
      </c>
      <c r="G1765" t="str">
        <f>IFERROR(INDEX(tEditais[Órgão],MATCH(tItens[[#This Row],[Edital]],tEditais[Edital],0)),"")</f>
        <v>FUNDO MUNICIPAL DE SAUDE DE VILA PROPICIO</v>
      </c>
      <c r="H1765" t="str">
        <f>IFERROR(INDEX(tEditais[UF],MATCH(tItens[[#This Row],[Edital]],tEditais[Edital],0)),"")</f>
        <v>GO</v>
      </c>
      <c r="I1765" s="11">
        <f>IFERROR(INDEX(tEditais[Encerramento],MATCH(tItens[[#This Row],[Edital]],tEditais[Edital],0)),"")</f>
        <v>46308.333333333336</v>
      </c>
      <c r="J1765" t="str">
        <f>IFERROR(INDEX(tProdutos[Classe],MATCH(tItens[[#This Row],[Produto]],tProdutos[Produto],0)),"produto não cadastrado")</f>
        <v>NÚCLEO</v>
      </c>
      <c r="K1765" s="12">
        <f>tItens[[#This Row],[Qtd]]*tItens[[#This Row],[Vlr unit]]</f>
        <v>533.29999999999995</v>
      </c>
      <c r="L1765" s="6">
        <f>IFERROR(IF(INDEX(tProdutos[Desconto homologado],MATCH(tItens[[#This Row],[Produto]],tProdutos[Produto],0))="",DescontoPadrao,INDEX(tProdutos[Desconto homologado],MATCH(tItens[[#This Row],[Produto]],tProdutos[Produto],0))),DescontoPadrao)</f>
        <v>0.34</v>
      </c>
      <c r="M1765" s="12">
        <f>tItens[[#This Row],[Valor]]*(1-tItens[[#This Row],[Desconto]])</f>
        <v>351.97799999999995</v>
      </c>
      <c r="N1765" t="str">
        <f>IFERROR(INDEX(tProdutos[Foco],MATCH(tItens[[#This Row],[Produto]],tProdutos[Produto],0)),"Não")</f>
        <v>Sim</v>
      </c>
      <c r="O1765" t="str">
        <f>IFERROR(INDEX(tEditais[SRP],MATCH(tItens[[#This Row],[Edital]],tEditais[Edital],0)),"Não")</f>
        <v>Não</v>
      </c>
      <c r="P1765" s="4">
        <f>IF(COUNTIFS(INDEX(tItens[Edital],1):tItens[[#This Row],[Edital]],tItens[[#This Row],[Edital]],INDEX(tItens[Produto],1):tItens[[#This Row],[Produto]],tItens[[#This Row],[Produto]])=1,1,0)</f>
        <v>0</v>
      </c>
    </row>
    <row r="1766" spans="1:16" x14ac:dyDescent="0.25">
      <c r="A1766" t="s">
        <v>1164</v>
      </c>
      <c r="B1766">
        <v>656</v>
      </c>
      <c r="C1766" t="s">
        <v>4819</v>
      </c>
      <c r="D1766" t="s">
        <v>241</v>
      </c>
      <c r="E1766" s="13">
        <v>150</v>
      </c>
      <c r="F1766" s="12">
        <v>11.35</v>
      </c>
      <c r="G1766" t="str">
        <f>IFERROR(INDEX(tEditais[Órgão],MATCH(tItens[[#This Row],[Edital]],tEditais[Edital],0)),"")</f>
        <v>FUNDO MUNICIPAL DE SAUDE DE VILA PROPICIO</v>
      </c>
      <c r="H1766" t="str">
        <f>IFERROR(INDEX(tEditais[UF],MATCH(tItens[[#This Row],[Edital]],tEditais[Edital],0)),"")</f>
        <v>GO</v>
      </c>
      <c r="I1766" s="11">
        <f>IFERROR(INDEX(tEditais[Encerramento],MATCH(tItens[[#This Row],[Edital]],tEditais[Edital],0)),"")</f>
        <v>46308.333333333336</v>
      </c>
      <c r="J1766" t="str">
        <f>IFERROR(INDEX(tProdutos[Classe],MATCH(tItens[[#This Row],[Produto]],tProdutos[Produto],0)),"produto não cadastrado")</f>
        <v>DISPUTADO</v>
      </c>
      <c r="K1766" s="12">
        <f>tItens[[#This Row],[Qtd]]*tItens[[#This Row],[Vlr unit]]</f>
        <v>1702.5</v>
      </c>
      <c r="L1766" s="6">
        <f>IFERROR(IF(INDEX(tProdutos[Desconto homologado],MATCH(tItens[[#This Row],[Produto]],tProdutos[Produto],0))="",DescontoPadrao,INDEX(tProdutos[Desconto homologado],MATCH(tItens[[#This Row],[Produto]],tProdutos[Produto],0))),DescontoPadrao)</f>
        <v>0.36881329157903497</v>
      </c>
      <c r="M1766" s="12">
        <f>tItens[[#This Row],[Valor]]*(1-tItens[[#This Row],[Desconto]])</f>
        <v>1074.5953710866929</v>
      </c>
      <c r="N1766" t="str">
        <f>IFERROR(INDEX(tProdutos[Foco],MATCH(tItens[[#This Row],[Produto]],tProdutos[Produto],0)),"Não")</f>
        <v>Não</v>
      </c>
      <c r="O1766" t="str">
        <f>IFERROR(INDEX(tEditais[SRP],MATCH(tItens[[#This Row],[Edital]],tEditais[Edital],0)),"Não")</f>
        <v>Não</v>
      </c>
      <c r="P1766" s="4">
        <f>IF(COUNTIFS(INDEX(tItens[Edital],1):tItens[[#This Row],[Edital]],tItens[[#This Row],[Edital]],INDEX(tItens[Produto],1):tItens[[#This Row],[Produto]],tItens[[#This Row],[Produto]])=1,1,0)</f>
        <v>1</v>
      </c>
    </row>
    <row r="1767" spans="1:16" x14ac:dyDescent="0.25">
      <c r="A1767" t="s">
        <v>1164</v>
      </c>
      <c r="B1767">
        <v>707</v>
      </c>
      <c r="C1767" t="s">
        <v>4820</v>
      </c>
      <c r="D1767" t="s">
        <v>267</v>
      </c>
      <c r="E1767" s="13">
        <v>750</v>
      </c>
      <c r="F1767" s="12">
        <v>81.48</v>
      </c>
      <c r="G1767" t="str">
        <f>IFERROR(INDEX(tEditais[Órgão],MATCH(tItens[[#This Row],[Edital]],tEditais[Edital],0)),"")</f>
        <v>FUNDO MUNICIPAL DE SAUDE DE VILA PROPICIO</v>
      </c>
      <c r="H1767" t="str">
        <f>IFERROR(INDEX(tEditais[UF],MATCH(tItens[[#This Row],[Edital]],tEditais[Edital],0)),"")</f>
        <v>GO</v>
      </c>
      <c r="I1767" s="11">
        <f>IFERROR(INDEX(tEditais[Encerramento],MATCH(tItens[[#This Row],[Edital]],tEditais[Edital],0)),"")</f>
        <v>46308.333333333336</v>
      </c>
      <c r="J1767" t="str">
        <f>IFERROR(INDEX(tProdutos[Classe],MATCH(tItens[[#This Row],[Produto]],tProdutos[Produto],0)),"produto não cadastrado")</f>
        <v>FORA</v>
      </c>
      <c r="K1767" s="12">
        <f>tItens[[#This Row],[Qtd]]*tItens[[#This Row],[Vlr unit]]</f>
        <v>61110</v>
      </c>
      <c r="L1767" s="6">
        <f>IFERROR(IF(INDEX(tProdutos[Desconto homologado],MATCH(tItens[[#This Row],[Produto]],tProdutos[Produto],0))="",DescontoPadrao,INDEX(tProdutos[Desconto homologado],MATCH(tItens[[#This Row],[Produto]],tProdutos[Produto],0))),DescontoPadrao)</f>
        <v>0.19963672657401599</v>
      </c>
      <c r="M1767" s="12">
        <f>tItens[[#This Row],[Valor]]*(1-tItens[[#This Row],[Desconto]])</f>
        <v>48910.199639061881</v>
      </c>
      <c r="N1767" t="str">
        <f>IFERROR(INDEX(tProdutos[Foco],MATCH(tItens[[#This Row],[Produto]],tProdutos[Produto],0)),"Não")</f>
        <v>Não</v>
      </c>
      <c r="O1767" t="str">
        <f>IFERROR(INDEX(tEditais[SRP],MATCH(tItens[[#This Row],[Edital]],tEditais[Edital],0)),"Não")</f>
        <v>Não</v>
      </c>
      <c r="P1767" s="4">
        <f>IF(COUNTIFS(INDEX(tItens[Edital],1):tItens[[#This Row],[Edital]],tItens[[#This Row],[Edital]],INDEX(tItens[Produto],1):tItens[[#This Row],[Produto]],tItens[[#This Row],[Produto]])=1,1,0)</f>
        <v>0</v>
      </c>
    </row>
    <row r="1768" spans="1:16" x14ac:dyDescent="0.25">
      <c r="A1768" t="s">
        <v>1164</v>
      </c>
      <c r="B1768">
        <v>722</v>
      </c>
      <c r="C1768" t="s">
        <v>4820</v>
      </c>
      <c r="D1768" t="s">
        <v>267</v>
      </c>
      <c r="E1768" s="13">
        <v>250</v>
      </c>
      <c r="F1768" s="12">
        <v>81.48</v>
      </c>
      <c r="G1768" t="str">
        <f>IFERROR(INDEX(tEditais[Órgão],MATCH(tItens[[#This Row],[Edital]],tEditais[Edital],0)),"")</f>
        <v>FUNDO MUNICIPAL DE SAUDE DE VILA PROPICIO</v>
      </c>
      <c r="H1768" t="str">
        <f>IFERROR(INDEX(tEditais[UF],MATCH(tItens[[#This Row],[Edital]],tEditais[Edital],0)),"")</f>
        <v>GO</v>
      </c>
      <c r="I1768" s="11">
        <f>IFERROR(INDEX(tEditais[Encerramento],MATCH(tItens[[#This Row],[Edital]],tEditais[Edital],0)),"")</f>
        <v>46308.333333333336</v>
      </c>
      <c r="J1768" t="str">
        <f>IFERROR(INDEX(tProdutos[Classe],MATCH(tItens[[#This Row],[Produto]],tProdutos[Produto],0)),"produto não cadastrado")</f>
        <v>FORA</v>
      </c>
      <c r="K1768" s="12">
        <f>tItens[[#This Row],[Qtd]]*tItens[[#This Row],[Vlr unit]]</f>
        <v>20370</v>
      </c>
      <c r="L1768" s="6">
        <f>IFERROR(IF(INDEX(tProdutos[Desconto homologado],MATCH(tItens[[#This Row],[Produto]],tProdutos[Produto],0))="",DescontoPadrao,INDEX(tProdutos[Desconto homologado],MATCH(tItens[[#This Row],[Produto]],tProdutos[Produto],0))),DescontoPadrao)</f>
        <v>0.19963672657401599</v>
      </c>
      <c r="M1768" s="12">
        <f>tItens[[#This Row],[Valor]]*(1-tItens[[#This Row],[Desconto]])</f>
        <v>16303.399879687295</v>
      </c>
      <c r="N1768" t="str">
        <f>IFERROR(INDEX(tProdutos[Foco],MATCH(tItens[[#This Row],[Produto]],tProdutos[Produto],0)),"Não")</f>
        <v>Não</v>
      </c>
      <c r="O1768" t="str">
        <f>IFERROR(INDEX(tEditais[SRP],MATCH(tItens[[#This Row],[Edital]],tEditais[Edital],0)),"Não")</f>
        <v>Não</v>
      </c>
      <c r="P1768" s="4">
        <f>IF(COUNTIFS(INDEX(tItens[Edital],1):tItens[[#This Row],[Edital]],tItens[[#This Row],[Edital]],INDEX(tItens[Produto],1):tItens[[#This Row],[Produto]],tItens[[#This Row],[Produto]])=1,1,0)</f>
        <v>0</v>
      </c>
    </row>
    <row r="1769" spans="1:16" x14ac:dyDescent="0.25">
      <c r="A1769" t="s">
        <v>1168</v>
      </c>
      <c r="B1769">
        <v>1</v>
      </c>
      <c r="C1769" t="s">
        <v>4821</v>
      </c>
      <c r="D1769" t="s">
        <v>339</v>
      </c>
      <c r="E1769" s="13">
        <v>20000</v>
      </c>
      <c r="F1769" s="12">
        <v>0</v>
      </c>
      <c r="G1769" t="str">
        <f>IFERROR(INDEX(tEditais[Órgão],MATCH(tItens[[#This Row],[Edital]],tEditais[Edital],0)),"")</f>
        <v>FUNDO MUNICIPAL DE SAUDE DE PIRENOPOLIS</v>
      </c>
      <c r="H1769" t="str">
        <f>IFERROR(INDEX(tEditais[UF],MATCH(tItens[[#This Row],[Edital]],tEditais[Edital],0)),"")</f>
        <v>GO</v>
      </c>
      <c r="I1769" s="11">
        <f>IFERROR(INDEX(tEditais[Encerramento],MATCH(tItens[[#This Row],[Edital]],tEditais[Edital],0)),"")</f>
        <v>46309.333333333336</v>
      </c>
      <c r="J1769" t="str">
        <f>IFERROR(INDEX(tProdutos[Classe],MATCH(tItens[[#This Row],[Produto]],tProdutos[Produto],0)),"produto não cadastrado")</f>
        <v>FORA</v>
      </c>
      <c r="K1769" s="12">
        <f>tItens[[#This Row],[Qtd]]*tItens[[#This Row],[Vlr unit]]</f>
        <v>0</v>
      </c>
      <c r="L1769" s="6">
        <f>IFERROR(IF(INDEX(tProdutos[Desconto homologado],MATCH(tItens[[#This Row],[Produto]],tProdutos[Produto],0))="",DescontoPadrao,INDEX(tProdutos[Desconto homologado],MATCH(tItens[[#This Row],[Produto]],tProdutos[Produto],0))),DescontoPadrao)</f>
        <v>0.35388629091804102</v>
      </c>
      <c r="M1769" s="12">
        <f>tItens[[#This Row],[Valor]]*(1-tItens[[#This Row],[Desconto]])</f>
        <v>0</v>
      </c>
      <c r="N1769" t="str">
        <f>IFERROR(INDEX(tProdutos[Foco],MATCH(tItens[[#This Row],[Produto]],tProdutos[Produto],0)),"Não")</f>
        <v>Não</v>
      </c>
      <c r="O1769" t="str">
        <f>IFERROR(INDEX(tEditais[SRP],MATCH(tItens[[#This Row],[Edital]],tEditais[Edital],0)),"Não")</f>
        <v>Não</v>
      </c>
      <c r="P1769" s="4">
        <f>IF(COUNTIFS(INDEX(tItens[Edital],1):tItens[[#This Row],[Edital]],tItens[[#This Row],[Edital]],INDEX(tItens[Produto],1):tItens[[#This Row],[Produto]],tItens[[#This Row],[Produto]])=1,1,0)</f>
        <v>1</v>
      </c>
    </row>
    <row r="1770" spans="1:16" x14ac:dyDescent="0.25">
      <c r="A1770" t="s">
        <v>1168</v>
      </c>
      <c r="B1770">
        <v>2</v>
      </c>
      <c r="C1770" t="s">
        <v>4822</v>
      </c>
      <c r="D1770" t="s">
        <v>339</v>
      </c>
      <c r="E1770" s="13">
        <v>20000</v>
      </c>
      <c r="F1770" s="12">
        <v>0</v>
      </c>
      <c r="G1770" t="str">
        <f>IFERROR(INDEX(tEditais[Órgão],MATCH(tItens[[#This Row],[Edital]],tEditais[Edital],0)),"")</f>
        <v>FUNDO MUNICIPAL DE SAUDE DE PIRENOPOLIS</v>
      </c>
      <c r="H1770" t="str">
        <f>IFERROR(INDEX(tEditais[UF],MATCH(tItens[[#This Row],[Edital]],tEditais[Edital],0)),"")</f>
        <v>GO</v>
      </c>
      <c r="I1770" s="11">
        <f>IFERROR(INDEX(tEditais[Encerramento],MATCH(tItens[[#This Row],[Edital]],tEditais[Edital],0)),"")</f>
        <v>46309.333333333336</v>
      </c>
      <c r="J1770" t="str">
        <f>IFERROR(INDEX(tProdutos[Classe],MATCH(tItens[[#This Row],[Produto]],tProdutos[Produto],0)),"produto não cadastrado")</f>
        <v>FORA</v>
      </c>
      <c r="K1770" s="12">
        <f>tItens[[#This Row],[Qtd]]*tItens[[#This Row],[Vlr unit]]</f>
        <v>0</v>
      </c>
      <c r="L1770" s="6">
        <f>IFERROR(IF(INDEX(tProdutos[Desconto homologado],MATCH(tItens[[#This Row],[Produto]],tProdutos[Produto],0))="",DescontoPadrao,INDEX(tProdutos[Desconto homologado],MATCH(tItens[[#This Row],[Produto]],tProdutos[Produto],0))),DescontoPadrao)</f>
        <v>0.35388629091804102</v>
      </c>
      <c r="M1770" s="12">
        <f>tItens[[#This Row],[Valor]]*(1-tItens[[#This Row],[Desconto]])</f>
        <v>0</v>
      </c>
      <c r="N1770" t="str">
        <f>IFERROR(INDEX(tProdutos[Foco],MATCH(tItens[[#This Row],[Produto]],tProdutos[Produto],0)),"Não")</f>
        <v>Não</v>
      </c>
      <c r="O1770" t="str">
        <f>IFERROR(INDEX(tEditais[SRP],MATCH(tItens[[#This Row],[Edital]],tEditais[Edital],0)),"Não")</f>
        <v>Não</v>
      </c>
      <c r="P1770" s="4">
        <f>IF(COUNTIFS(INDEX(tItens[Edital],1):tItens[[#This Row],[Edital]],tItens[[#This Row],[Edital]],INDEX(tItens[Produto],1):tItens[[#This Row],[Produto]],tItens[[#This Row],[Produto]])=1,1,0)</f>
        <v>0</v>
      </c>
    </row>
    <row r="1771" spans="1:16" x14ac:dyDescent="0.25">
      <c r="A1771" t="s">
        <v>1168</v>
      </c>
      <c r="B1771">
        <v>3</v>
      </c>
      <c r="C1771" t="s">
        <v>4823</v>
      </c>
      <c r="D1771" t="s">
        <v>339</v>
      </c>
      <c r="E1771" s="13">
        <v>20000</v>
      </c>
      <c r="F1771" s="12">
        <v>0</v>
      </c>
      <c r="G1771" t="str">
        <f>IFERROR(INDEX(tEditais[Órgão],MATCH(tItens[[#This Row],[Edital]],tEditais[Edital],0)),"")</f>
        <v>FUNDO MUNICIPAL DE SAUDE DE PIRENOPOLIS</v>
      </c>
      <c r="H1771" t="str">
        <f>IFERROR(INDEX(tEditais[UF],MATCH(tItens[[#This Row],[Edital]],tEditais[Edital],0)),"")</f>
        <v>GO</v>
      </c>
      <c r="I1771" s="11">
        <f>IFERROR(INDEX(tEditais[Encerramento],MATCH(tItens[[#This Row],[Edital]],tEditais[Edital],0)),"")</f>
        <v>46309.333333333336</v>
      </c>
      <c r="J1771" t="str">
        <f>IFERROR(INDEX(tProdutos[Classe],MATCH(tItens[[#This Row],[Produto]],tProdutos[Produto],0)),"produto não cadastrado")</f>
        <v>FORA</v>
      </c>
      <c r="K1771" s="12">
        <f>tItens[[#This Row],[Qtd]]*tItens[[#This Row],[Vlr unit]]</f>
        <v>0</v>
      </c>
      <c r="L1771" s="6">
        <f>IFERROR(IF(INDEX(tProdutos[Desconto homologado],MATCH(tItens[[#This Row],[Produto]],tProdutos[Produto],0))="",DescontoPadrao,INDEX(tProdutos[Desconto homologado],MATCH(tItens[[#This Row],[Produto]],tProdutos[Produto],0))),DescontoPadrao)</f>
        <v>0.35388629091804102</v>
      </c>
      <c r="M1771" s="12">
        <f>tItens[[#This Row],[Valor]]*(1-tItens[[#This Row],[Desconto]])</f>
        <v>0</v>
      </c>
      <c r="N1771" t="str">
        <f>IFERROR(INDEX(tProdutos[Foco],MATCH(tItens[[#This Row],[Produto]],tProdutos[Produto],0)),"Não")</f>
        <v>Não</v>
      </c>
      <c r="O1771" t="str">
        <f>IFERROR(INDEX(tEditais[SRP],MATCH(tItens[[#This Row],[Edital]],tEditais[Edital],0)),"Não")</f>
        <v>Não</v>
      </c>
      <c r="P1771" s="4">
        <f>IF(COUNTIFS(INDEX(tItens[Edital],1):tItens[[#This Row],[Edital]],tItens[[#This Row],[Edital]],INDEX(tItens[Produto],1):tItens[[#This Row],[Produto]],tItens[[#This Row],[Produto]])=1,1,0)</f>
        <v>0</v>
      </c>
    </row>
    <row r="1772" spans="1:16" x14ac:dyDescent="0.25">
      <c r="A1772" t="s">
        <v>1168</v>
      </c>
      <c r="B1772">
        <v>4</v>
      </c>
      <c r="C1772" t="s">
        <v>4824</v>
      </c>
      <c r="D1772" t="s">
        <v>339</v>
      </c>
      <c r="E1772" s="13">
        <v>20000</v>
      </c>
      <c r="F1772" s="12">
        <v>0</v>
      </c>
      <c r="G1772" t="str">
        <f>IFERROR(INDEX(tEditais[Órgão],MATCH(tItens[[#This Row],[Edital]],tEditais[Edital],0)),"")</f>
        <v>FUNDO MUNICIPAL DE SAUDE DE PIRENOPOLIS</v>
      </c>
      <c r="H1772" t="str">
        <f>IFERROR(INDEX(tEditais[UF],MATCH(tItens[[#This Row],[Edital]],tEditais[Edital],0)),"")</f>
        <v>GO</v>
      </c>
      <c r="I1772" s="11">
        <f>IFERROR(INDEX(tEditais[Encerramento],MATCH(tItens[[#This Row],[Edital]],tEditais[Edital],0)),"")</f>
        <v>46309.333333333336</v>
      </c>
      <c r="J1772" t="str">
        <f>IFERROR(INDEX(tProdutos[Classe],MATCH(tItens[[#This Row],[Produto]],tProdutos[Produto],0)),"produto não cadastrado")</f>
        <v>FORA</v>
      </c>
      <c r="K1772" s="12">
        <f>tItens[[#This Row],[Qtd]]*tItens[[#This Row],[Vlr unit]]</f>
        <v>0</v>
      </c>
      <c r="L1772" s="6">
        <f>IFERROR(IF(INDEX(tProdutos[Desconto homologado],MATCH(tItens[[#This Row],[Produto]],tProdutos[Produto],0))="",DescontoPadrao,INDEX(tProdutos[Desconto homologado],MATCH(tItens[[#This Row],[Produto]],tProdutos[Produto],0))),DescontoPadrao)</f>
        <v>0.35388629091804102</v>
      </c>
      <c r="M1772" s="12">
        <f>tItens[[#This Row],[Valor]]*(1-tItens[[#This Row],[Desconto]])</f>
        <v>0</v>
      </c>
      <c r="N1772" t="str">
        <f>IFERROR(INDEX(tProdutos[Foco],MATCH(tItens[[#This Row],[Produto]],tProdutos[Produto],0)),"Não")</f>
        <v>Não</v>
      </c>
      <c r="O1772" t="str">
        <f>IFERROR(INDEX(tEditais[SRP],MATCH(tItens[[#This Row],[Edital]],tEditais[Edital],0)),"Não")</f>
        <v>Não</v>
      </c>
      <c r="P1772" s="4">
        <f>IF(COUNTIFS(INDEX(tItens[Edital],1):tItens[[#This Row],[Edital]],tItens[[#This Row],[Edital]],INDEX(tItens[Produto],1):tItens[[#This Row],[Produto]],tItens[[#This Row],[Produto]])=1,1,0)</f>
        <v>0</v>
      </c>
    </row>
    <row r="1773" spans="1:16" x14ac:dyDescent="0.25">
      <c r="A1773" t="s">
        <v>1168</v>
      </c>
      <c r="B1773">
        <v>5</v>
      </c>
      <c r="C1773" t="s">
        <v>4825</v>
      </c>
      <c r="D1773" t="s">
        <v>339</v>
      </c>
      <c r="E1773" s="13">
        <v>5000</v>
      </c>
      <c r="F1773" s="12">
        <v>0</v>
      </c>
      <c r="G1773" t="str">
        <f>IFERROR(INDEX(tEditais[Órgão],MATCH(tItens[[#This Row],[Edital]],tEditais[Edital],0)),"")</f>
        <v>FUNDO MUNICIPAL DE SAUDE DE PIRENOPOLIS</v>
      </c>
      <c r="H1773" t="str">
        <f>IFERROR(INDEX(tEditais[UF],MATCH(tItens[[#This Row],[Edital]],tEditais[Edital],0)),"")</f>
        <v>GO</v>
      </c>
      <c r="I1773" s="11">
        <f>IFERROR(INDEX(tEditais[Encerramento],MATCH(tItens[[#This Row],[Edital]],tEditais[Edital],0)),"")</f>
        <v>46309.333333333336</v>
      </c>
      <c r="J1773" t="str">
        <f>IFERROR(INDEX(tProdutos[Classe],MATCH(tItens[[#This Row],[Produto]],tProdutos[Produto],0)),"produto não cadastrado")</f>
        <v>FORA</v>
      </c>
      <c r="K1773" s="12">
        <f>tItens[[#This Row],[Qtd]]*tItens[[#This Row],[Vlr unit]]</f>
        <v>0</v>
      </c>
      <c r="L1773" s="6">
        <f>IFERROR(IF(INDEX(tProdutos[Desconto homologado],MATCH(tItens[[#This Row],[Produto]],tProdutos[Produto],0))="",DescontoPadrao,INDEX(tProdutos[Desconto homologado],MATCH(tItens[[#This Row],[Produto]],tProdutos[Produto],0))),DescontoPadrao)</f>
        <v>0.35388629091804102</v>
      </c>
      <c r="M1773" s="12">
        <f>tItens[[#This Row],[Valor]]*(1-tItens[[#This Row],[Desconto]])</f>
        <v>0</v>
      </c>
      <c r="N1773" t="str">
        <f>IFERROR(INDEX(tProdutos[Foco],MATCH(tItens[[#This Row],[Produto]],tProdutos[Produto],0)),"Não")</f>
        <v>Não</v>
      </c>
      <c r="O1773" t="str">
        <f>IFERROR(INDEX(tEditais[SRP],MATCH(tItens[[#This Row],[Edital]],tEditais[Edital],0)),"Não")</f>
        <v>Não</v>
      </c>
      <c r="P1773" s="4">
        <f>IF(COUNTIFS(INDEX(tItens[Edital],1):tItens[[#This Row],[Edital]],tItens[[#This Row],[Edital]],INDEX(tItens[Produto],1):tItens[[#This Row],[Produto]],tItens[[#This Row],[Produto]])=1,1,0)</f>
        <v>0</v>
      </c>
    </row>
    <row r="1774" spans="1:16" x14ac:dyDescent="0.25">
      <c r="A1774" t="s">
        <v>1168</v>
      </c>
      <c r="B1774">
        <v>8</v>
      </c>
      <c r="C1774" t="s">
        <v>4826</v>
      </c>
      <c r="D1774" t="s">
        <v>345</v>
      </c>
      <c r="E1774" s="13">
        <v>40000</v>
      </c>
      <c r="F1774" s="12">
        <v>0</v>
      </c>
      <c r="G1774" t="str">
        <f>IFERROR(INDEX(tEditais[Órgão],MATCH(tItens[[#This Row],[Edital]],tEditais[Edital],0)),"")</f>
        <v>FUNDO MUNICIPAL DE SAUDE DE PIRENOPOLIS</v>
      </c>
      <c r="H1774" t="str">
        <f>IFERROR(INDEX(tEditais[UF],MATCH(tItens[[#This Row],[Edital]],tEditais[Edital],0)),"")</f>
        <v>GO</v>
      </c>
      <c r="I1774" s="11">
        <f>IFERROR(INDEX(tEditais[Encerramento],MATCH(tItens[[#This Row],[Edital]],tEditais[Edital],0)),"")</f>
        <v>46309.333333333336</v>
      </c>
      <c r="J1774" t="str">
        <f>IFERROR(INDEX(tProdutos[Classe],MATCH(tItens[[#This Row],[Produto]],tProdutos[Produto],0)),"produto não cadastrado")</f>
        <v>FORA</v>
      </c>
      <c r="K1774" s="12">
        <f>tItens[[#This Row],[Qtd]]*tItens[[#This Row],[Vlr unit]]</f>
        <v>0</v>
      </c>
      <c r="L1774" s="6">
        <f>IFERROR(IF(INDEX(tProdutos[Desconto homologado],MATCH(tItens[[#This Row],[Produto]],tProdutos[Produto],0))="",DescontoPadrao,INDEX(tProdutos[Desconto homologado],MATCH(tItens[[#This Row],[Produto]],tProdutos[Produto],0))),DescontoPadrao)</f>
        <v>0.412394275616498</v>
      </c>
      <c r="M1774" s="12">
        <f>tItens[[#This Row],[Valor]]*(1-tItens[[#This Row],[Desconto]])</f>
        <v>0</v>
      </c>
      <c r="N1774" t="str">
        <f>IFERROR(INDEX(tProdutos[Foco],MATCH(tItens[[#This Row],[Produto]],tProdutos[Produto],0)),"Não")</f>
        <v>Não</v>
      </c>
      <c r="O1774" t="str">
        <f>IFERROR(INDEX(tEditais[SRP],MATCH(tItens[[#This Row],[Edital]],tEditais[Edital],0)),"Não")</f>
        <v>Não</v>
      </c>
      <c r="P1774" s="4">
        <f>IF(COUNTIFS(INDEX(tItens[Edital],1):tItens[[#This Row],[Edital]],tItens[[#This Row],[Edital]],INDEX(tItens[Produto],1):tItens[[#This Row],[Produto]],tItens[[#This Row],[Produto]])=1,1,0)</f>
        <v>1</v>
      </c>
    </row>
    <row r="1775" spans="1:16" x14ac:dyDescent="0.25">
      <c r="A1775" t="s">
        <v>1168</v>
      </c>
      <c r="B1775">
        <v>9</v>
      </c>
      <c r="C1775" t="s">
        <v>4827</v>
      </c>
      <c r="D1775" t="s">
        <v>345</v>
      </c>
      <c r="E1775" s="13">
        <v>40000</v>
      </c>
      <c r="F1775" s="12">
        <v>0</v>
      </c>
      <c r="G1775" t="str">
        <f>IFERROR(INDEX(tEditais[Órgão],MATCH(tItens[[#This Row],[Edital]],tEditais[Edital],0)),"")</f>
        <v>FUNDO MUNICIPAL DE SAUDE DE PIRENOPOLIS</v>
      </c>
      <c r="H1775" t="str">
        <f>IFERROR(INDEX(tEditais[UF],MATCH(tItens[[#This Row],[Edital]],tEditais[Edital],0)),"")</f>
        <v>GO</v>
      </c>
      <c r="I1775" s="11">
        <f>IFERROR(INDEX(tEditais[Encerramento],MATCH(tItens[[#This Row],[Edital]],tEditais[Edital],0)),"")</f>
        <v>46309.333333333336</v>
      </c>
      <c r="J1775" t="str">
        <f>IFERROR(INDEX(tProdutos[Classe],MATCH(tItens[[#This Row],[Produto]],tProdutos[Produto],0)),"produto não cadastrado")</f>
        <v>FORA</v>
      </c>
      <c r="K1775" s="12">
        <f>tItens[[#This Row],[Qtd]]*tItens[[#This Row],[Vlr unit]]</f>
        <v>0</v>
      </c>
      <c r="L1775" s="6">
        <f>IFERROR(IF(INDEX(tProdutos[Desconto homologado],MATCH(tItens[[#This Row],[Produto]],tProdutos[Produto],0))="",DescontoPadrao,INDEX(tProdutos[Desconto homologado],MATCH(tItens[[#This Row],[Produto]],tProdutos[Produto],0))),DescontoPadrao)</f>
        <v>0.412394275616498</v>
      </c>
      <c r="M1775" s="12">
        <f>tItens[[#This Row],[Valor]]*(1-tItens[[#This Row],[Desconto]])</f>
        <v>0</v>
      </c>
      <c r="N1775" t="str">
        <f>IFERROR(INDEX(tProdutos[Foco],MATCH(tItens[[#This Row],[Produto]],tProdutos[Produto],0)),"Não")</f>
        <v>Não</v>
      </c>
      <c r="O1775" t="str">
        <f>IFERROR(INDEX(tEditais[SRP],MATCH(tItens[[#This Row],[Edital]],tEditais[Edital],0)),"Não")</f>
        <v>Não</v>
      </c>
      <c r="P1775" s="4">
        <f>IF(COUNTIFS(INDEX(tItens[Edital],1):tItens[[#This Row],[Edital]],tItens[[#This Row],[Edital]],INDEX(tItens[Produto],1):tItens[[#This Row],[Produto]],tItens[[#This Row],[Produto]])=1,1,0)</f>
        <v>0</v>
      </c>
    </row>
    <row r="1776" spans="1:16" x14ac:dyDescent="0.25">
      <c r="A1776" t="s">
        <v>1168</v>
      </c>
      <c r="B1776">
        <v>10</v>
      </c>
      <c r="C1776" t="s">
        <v>4828</v>
      </c>
      <c r="D1776" t="s">
        <v>345</v>
      </c>
      <c r="E1776" s="13">
        <v>40000</v>
      </c>
      <c r="F1776" s="12">
        <v>0</v>
      </c>
      <c r="G1776" t="str">
        <f>IFERROR(INDEX(tEditais[Órgão],MATCH(tItens[[#This Row],[Edital]],tEditais[Edital],0)),"")</f>
        <v>FUNDO MUNICIPAL DE SAUDE DE PIRENOPOLIS</v>
      </c>
      <c r="H1776" t="str">
        <f>IFERROR(INDEX(tEditais[UF],MATCH(tItens[[#This Row],[Edital]],tEditais[Edital],0)),"")</f>
        <v>GO</v>
      </c>
      <c r="I1776" s="11">
        <f>IFERROR(INDEX(tEditais[Encerramento],MATCH(tItens[[#This Row],[Edital]],tEditais[Edital],0)),"")</f>
        <v>46309.333333333336</v>
      </c>
      <c r="J1776" t="str">
        <f>IFERROR(INDEX(tProdutos[Classe],MATCH(tItens[[#This Row],[Produto]],tProdutos[Produto],0)),"produto não cadastrado")</f>
        <v>FORA</v>
      </c>
      <c r="K1776" s="12">
        <f>tItens[[#This Row],[Qtd]]*tItens[[#This Row],[Vlr unit]]</f>
        <v>0</v>
      </c>
      <c r="L1776" s="6">
        <f>IFERROR(IF(INDEX(tProdutos[Desconto homologado],MATCH(tItens[[#This Row],[Produto]],tProdutos[Produto],0))="",DescontoPadrao,INDEX(tProdutos[Desconto homologado],MATCH(tItens[[#This Row],[Produto]],tProdutos[Produto],0))),DescontoPadrao)</f>
        <v>0.412394275616498</v>
      </c>
      <c r="M1776" s="12">
        <f>tItens[[#This Row],[Valor]]*(1-tItens[[#This Row],[Desconto]])</f>
        <v>0</v>
      </c>
      <c r="N1776" t="str">
        <f>IFERROR(INDEX(tProdutos[Foco],MATCH(tItens[[#This Row],[Produto]],tProdutos[Produto],0)),"Não")</f>
        <v>Não</v>
      </c>
      <c r="O1776" t="str">
        <f>IFERROR(INDEX(tEditais[SRP],MATCH(tItens[[#This Row],[Edital]],tEditais[Edital],0)),"Não")</f>
        <v>Não</v>
      </c>
      <c r="P1776" s="4">
        <f>IF(COUNTIFS(INDEX(tItens[Edital],1):tItens[[#This Row],[Edital]],tItens[[#This Row],[Edital]],INDEX(tItens[Produto],1):tItens[[#This Row],[Produto]],tItens[[#This Row],[Produto]])=1,1,0)</f>
        <v>0</v>
      </c>
    </row>
    <row r="1777" spans="1:16" x14ac:dyDescent="0.25">
      <c r="A1777" t="s">
        <v>1172</v>
      </c>
      <c r="B1777">
        <v>2</v>
      </c>
      <c r="C1777" t="s">
        <v>4829</v>
      </c>
      <c r="D1777" t="s">
        <v>315</v>
      </c>
      <c r="E1777" s="13">
        <v>1000</v>
      </c>
      <c r="F1777" s="12">
        <v>7.11</v>
      </c>
      <c r="G1777" t="str">
        <f>IFERROR(INDEX(tEditais[Órgão],MATCH(tItens[[#This Row],[Edital]],tEditais[Edital],0)),"")</f>
        <v>MUNICIPIO DE EDEIA</v>
      </c>
      <c r="H1777" t="str">
        <f>IFERROR(INDEX(tEditais[UF],MATCH(tItens[[#This Row],[Edital]],tEditais[Edital],0)),"")</f>
        <v>GO</v>
      </c>
      <c r="I1777" s="11">
        <f>IFERROR(INDEX(tEditais[Encerramento],MATCH(tItens[[#This Row],[Edital]],tEditais[Edital],0)),"")</f>
        <v>46309.333333333336</v>
      </c>
      <c r="J1777" t="str">
        <f>IFERROR(INDEX(tProdutos[Classe],MATCH(tItens[[#This Row],[Produto]],tProdutos[Produto],0)),"produto não cadastrado")</f>
        <v>FORA</v>
      </c>
      <c r="K1777" s="12">
        <f>tItens[[#This Row],[Qtd]]*tItens[[#This Row],[Vlr unit]]</f>
        <v>7110</v>
      </c>
      <c r="L1777" s="6">
        <f>IFERROR(IF(INDEX(tProdutos[Desconto homologado],MATCH(tItens[[#This Row],[Produto]],tProdutos[Produto],0))="",DescontoPadrao,INDEX(tProdutos[Desconto homologado],MATCH(tItens[[#This Row],[Produto]],tProdutos[Produto],0))),DescontoPadrao)</f>
        <v>0.38432036097010702</v>
      </c>
      <c r="M1777" s="12">
        <f>tItens[[#This Row],[Valor]]*(1-tItens[[#This Row],[Desconto]])</f>
        <v>4377.4822335025392</v>
      </c>
      <c r="N1777" t="str">
        <f>IFERROR(INDEX(tProdutos[Foco],MATCH(tItens[[#This Row],[Produto]],tProdutos[Produto],0)),"Não")</f>
        <v>Não</v>
      </c>
      <c r="O1777" t="str">
        <f>IFERROR(INDEX(tEditais[SRP],MATCH(tItens[[#This Row],[Edital]],tEditais[Edital],0)),"Não")</f>
        <v>Sim</v>
      </c>
      <c r="P1777" s="4">
        <f>IF(COUNTIFS(INDEX(tItens[Edital],1):tItens[[#This Row],[Edital]],tItens[[#This Row],[Edital]],INDEX(tItens[Produto],1):tItens[[#This Row],[Produto]],tItens[[#This Row],[Produto]])=1,1,0)</f>
        <v>1</v>
      </c>
    </row>
    <row r="1778" spans="1:16" x14ac:dyDescent="0.25">
      <c r="A1778" t="s">
        <v>1172</v>
      </c>
      <c r="B1778">
        <v>3</v>
      </c>
      <c r="C1778" t="s">
        <v>4830</v>
      </c>
      <c r="D1778" t="s">
        <v>297</v>
      </c>
      <c r="E1778" s="13">
        <v>1000</v>
      </c>
      <c r="F1778" s="12">
        <v>8.01</v>
      </c>
      <c r="G1778" t="str">
        <f>IFERROR(INDEX(tEditais[Órgão],MATCH(tItens[[#This Row],[Edital]],tEditais[Edital],0)),"")</f>
        <v>MUNICIPIO DE EDEIA</v>
      </c>
      <c r="H1778" t="str">
        <f>IFERROR(INDEX(tEditais[UF],MATCH(tItens[[#This Row],[Edital]],tEditais[Edital],0)),"")</f>
        <v>GO</v>
      </c>
      <c r="I1778" s="11">
        <f>IFERROR(INDEX(tEditais[Encerramento],MATCH(tItens[[#This Row],[Edital]],tEditais[Edital],0)),"")</f>
        <v>46309.333333333336</v>
      </c>
      <c r="J1778" t="str">
        <f>IFERROR(INDEX(tProdutos[Classe],MATCH(tItens[[#This Row],[Produto]],tProdutos[Produto],0)),"produto não cadastrado")</f>
        <v>FORA</v>
      </c>
      <c r="K1778" s="12">
        <f>tItens[[#This Row],[Qtd]]*tItens[[#This Row],[Vlr unit]]</f>
        <v>8010</v>
      </c>
      <c r="L1778" s="6">
        <f>IFERROR(IF(INDEX(tProdutos[Desconto homologado],MATCH(tItens[[#This Row],[Produto]],tProdutos[Produto],0))="",DescontoPadrao,INDEX(tProdutos[Desconto homologado],MATCH(tItens[[#This Row],[Produto]],tProdutos[Produto],0))),DescontoPadrao)</f>
        <v>0.249544626593807</v>
      </c>
      <c r="M1778" s="12">
        <f>tItens[[#This Row],[Valor]]*(1-tItens[[#This Row],[Desconto]])</f>
        <v>6011.1475409836057</v>
      </c>
      <c r="N1778" t="str">
        <f>IFERROR(INDEX(tProdutos[Foco],MATCH(tItens[[#This Row],[Produto]],tProdutos[Produto],0)),"Não")</f>
        <v>Não</v>
      </c>
      <c r="O1778" t="str">
        <f>IFERROR(INDEX(tEditais[SRP],MATCH(tItens[[#This Row],[Edital]],tEditais[Edital],0)),"Não")</f>
        <v>Sim</v>
      </c>
      <c r="P1778" s="4">
        <f>IF(COUNTIFS(INDEX(tItens[Edital],1):tItens[[#This Row],[Edital]],tItens[[#This Row],[Edital]],INDEX(tItens[Produto],1):tItens[[#This Row],[Produto]],tItens[[#This Row],[Produto]])=1,1,0)</f>
        <v>1</v>
      </c>
    </row>
    <row r="1779" spans="1:16" x14ac:dyDescent="0.25">
      <c r="A1779" t="s">
        <v>1172</v>
      </c>
      <c r="B1779">
        <v>4</v>
      </c>
      <c r="C1779" t="s">
        <v>4831</v>
      </c>
      <c r="D1779" t="s">
        <v>315</v>
      </c>
      <c r="E1779" s="13">
        <v>5000</v>
      </c>
      <c r="F1779" s="12">
        <v>6.68</v>
      </c>
      <c r="G1779" t="str">
        <f>IFERROR(INDEX(tEditais[Órgão],MATCH(tItens[[#This Row],[Edital]],tEditais[Edital],0)),"")</f>
        <v>MUNICIPIO DE EDEIA</v>
      </c>
      <c r="H1779" t="str">
        <f>IFERROR(INDEX(tEditais[UF],MATCH(tItens[[#This Row],[Edital]],tEditais[Edital],0)),"")</f>
        <v>GO</v>
      </c>
      <c r="I1779" s="11">
        <f>IFERROR(INDEX(tEditais[Encerramento],MATCH(tItens[[#This Row],[Edital]],tEditais[Edital],0)),"")</f>
        <v>46309.333333333336</v>
      </c>
      <c r="J1779" t="str">
        <f>IFERROR(INDEX(tProdutos[Classe],MATCH(tItens[[#This Row],[Produto]],tProdutos[Produto],0)),"produto não cadastrado")</f>
        <v>FORA</v>
      </c>
      <c r="K1779" s="12">
        <f>tItens[[#This Row],[Qtd]]*tItens[[#This Row],[Vlr unit]]</f>
        <v>33400</v>
      </c>
      <c r="L1779" s="6">
        <f>IFERROR(IF(INDEX(tProdutos[Desconto homologado],MATCH(tItens[[#This Row],[Produto]],tProdutos[Produto],0))="",DescontoPadrao,INDEX(tProdutos[Desconto homologado],MATCH(tItens[[#This Row],[Produto]],tProdutos[Produto],0))),DescontoPadrao)</f>
        <v>0.38432036097010702</v>
      </c>
      <c r="M1779" s="12">
        <f>tItens[[#This Row],[Valor]]*(1-tItens[[#This Row],[Desconto]])</f>
        <v>20563.699943598425</v>
      </c>
      <c r="N1779" t="str">
        <f>IFERROR(INDEX(tProdutos[Foco],MATCH(tItens[[#This Row],[Produto]],tProdutos[Produto],0)),"Não")</f>
        <v>Não</v>
      </c>
      <c r="O1779" t="str">
        <f>IFERROR(INDEX(tEditais[SRP],MATCH(tItens[[#This Row],[Edital]],tEditais[Edital],0)),"Não")</f>
        <v>Sim</v>
      </c>
      <c r="P1779" s="4">
        <f>IF(COUNTIFS(INDEX(tItens[Edital],1):tItens[[#This Row],[Edital]],tItens[[#This Row],[Edital]],INDEX(tItens[Produto],1):tItens[[#This Row],[Produto]],tItens[[#This Row],[Produto]])=1,1,0)</f>
        <v>0</v>
      </c>
    </row>
    <row r="1780" spans="1:16" x14ac:dyDescent="0.25">
      <c r="A1780" t="s">
        <v>1172</v>
      </c>
      <c r="B1780">
        <v>11</v>
      </c>
      <c r="C1780" t="s">
        <v>4832</v>
      </c>
      <c r="D1780" t="s">
        <v>421</v>
      </c>
      <c r="E1780" s="13">
        <v>20</v>
      </c>
      <c r="F1780" s="12">
        <v>26.43</v>
      </c>
      <c r="G1780" t="str">
        <f>IFERROR(INDEX(tEditais[Órgão],MATCH(tItens[[#This Row],[Edital]],tEditais[Edital],0)),"")</f>
        <v>MUNICIPIO DE EDEIA</v>
      </c>
      <c r="H1780" t="str">
        <f>IFERROR(INDEX(tEditais[UF],MATCH(tItens[[#This Row],[Edital]],tEditais[Edital],0)),"")</f>
        <v>GO</v>
      </c>
      <c r="I1780" s="11">
        <f>IFERROR(INDEX(tEditais[Encerramento],MATCH(tItens[[#This Row],[Edital]],tEditais[Edital],0)),"")</f>
        <v>46309.333333333336</v>
      </c>
      <c r="J1780" t="str">
        <f>IFERROR(INDEX(tProdutos[Classe],MATCH(tItens[[#This Row],[Produto]],tProdutos[Produto],0)),"produto não cadastrado")</f>
        <v>FORA</v>
      </c>
      <c r="K1780" s="12">
        <f>tItens[[#This Row],[Qtd]]*tItens[[#This Row],[Vlr unit]]</f>
        <v>528.6</v>
      </c>
      <c r="L1780" s="6">
        <f>IFERROR(IF(INDEX(tProdutos[Desconto homologado],MATCH(tItens[[#This Row],[Produto]],tProdutos[Produto],0))="",DescontoPadrao,INDEX(tProdutos[Desconto homologado],MATCH(tItens[[#This Row],[Produto]],tProdutos[Produto],0))),DescontoPadrao)</f>
        <v>0.43</v>
      </c>
      <c r="M1780" s="12">
        <f>tItens[[#This Row],[Valor]]*(1-tItens[[#This Row],[Desconto]])</f>
        <v>301.30200000000002</v>
      </c>
      <c r="N1780" t="str">
        <f>IFERROR(INDEX(tProdutos[Foco],MATCH(tItens[[#This Row],[Produto]],tProdutos[Produto],0)),"Não")</f>
        <v>Sim</v>
      </c>
      <c r="O1780" t="str">
        <f>IFERROR(INDEX(tEditais[SRP],MATCH(tItens[[#This Row],[Edital]],tEditais[Edital],0)),"Não")</f>
        <v>Sim</v>
      </c>
      <c r="P1780" s="4">
        <f>IF(COUNTIFS(INDEX(tItens[Edital],1):tItens[[#This Row],[Edital]],tItens[[#This Row],[Edital]],INDEX(tItens[Produto],1):tItens[[#This Row],[Produto]],tItens[[#This Row],[Produto]])=1,1,0)</f>
        <v>1</v>
      </c>
    </row>
    <row r="1781" spans="1:16" x14ac:dyDescent="0.25">
      <c r="A1781" t="s">
        <v>1172</v>
      </c>
      <c r="B1781">
        <v>12</v>
      </c>
      <c r="C1781" t="s">
        <v>4833</v>
      </c>
      <c r="D1781" t="s">
        <v>73</v>
      </c>
      <c r="E1781" s="13">
        <v>900</v>
      </c>
      <c r="F1781" s="12">
        <v>3</v>
      </c>
      <c r="G1781" t="str">
        <f>IFERROR(INDEX(tEditais[Órgão],MATCH(tItens[[#This Row],[Edital]],tEditais[Edital],0)),"")</f>
        <v>MUNICIPIO DE EDEIA</v>
      </c>
      <c r="H1781" t="str">
        <f>IFERROR(INDEX(tEditais[UF],MATCH(tItens[[#This Row],[Edital]],tEditais[Edital],0)),"")</f>
        <v>GO</v>
      </c>
      <c r="I1781" s="11">
        <f>IFERROR(INDEX(tEditais[Encerramento],MATCH(tItens[[#This Row],[Edital]],tEditais[Edital],0)),"")</f>
        <v>46309.333333333336</v>
      </c>
      <c r="J1781" t="str">
        <f>IFERROR(INDEX(tProdutos[Classe],MATCH(tItens[[#This Row],[Produto]],tProdutos[Produto],0)),"produto não cadastrado")</f>
        <v>NÚCLEO</v>
      </c>
      <c r="K1781" s="12">
        <f>tItens[[#This Row],[Qtd]]*tItens[[#This Row],[Vlr unit]]</f>
        <v>2700</v>
      </c>
      <c r="L1781" s="6">
        <f>IFERROR(IF(INDEX(tProdutos[Desconto homologado],MATCH(tItens[[#This Row],[Produto]],tProdutos[Produto],0))="",DescontoPadrao,INDEX(tProdutos[Desconto homologado],MATCH(tItens[[#This Row],[Produto]],tProdutos[Produto],0))),DescontoPadrao)</f>
        <v>0.37</v>
      </c>
      <c r="M1781" s="12">
        <f>tItens[[#This Row],[Valor]]*(1-tItens[[#This Row],[Desconto]])</f>
        <v>1701</v>
      </c>
      <c r="N1781" t="str">
        <f>IFERROR(INDEX(tProdutos[Foco],MATCH(tItens[[#This Row],[Produto]],tProdutos[Produto],0)),"Não")</f>
        <v>Sim</v>
      </c>
      <c r="O1781" t="str">
        <f>IFERROR(INDEX(tEditais[SRP],MATCH(tItens[[#This Row],[Edital]],tEditais[Edital],0)),"Não")</f>
        <v>Sim</v>
      </c>
      <c r="P1781" s="4">
        <f>IF(COUNTIFS(INDEX(tItens[Edital],1):tItens[[#This Row],[Edital]],tItens[[#This Row],[Edital]],INDEX(tItens[Produto],1):tItens[[#This Row],[Produto]],tItens[[#This Row],[Produto]])=1,1,0)</f>
        <v>1</v>
      </c>
    </row>
    <row r="1782" spans="1:16" x14ac:dyDescent="0.25">
      <c r="A1782" t="s">
        <v>1172</v>
      </c>
      <c r="B1782">
        <v>14</v>
      </c>
      <c r="C1782" t="s">
        <v>4834</v>
      </c>
      <c r="D1782" t="s">
        <v>347</v>
      </c>
      <c r="E1782" s="13">
        <v>10</v>
      </c>
      <c r="F1782" s="12">
        <v>4.91</v>
      </c>
      <c r="G1782" t="str">
        <f>IFERROR(INDEX(tEditais[Órgão],MATCH(tItens[[#This Row],[Edital]],tEditais[Edital],0)),"")</f>
        <v>MUNICIPIO DE EDEIA</v>
      </c>
      <c r="H1782" t="str">
        <f>IFERROR(INDEX(tEditais[UF],MATCH(tItens[[#This Row],[Edital]],tEditais[Edital],0)),"")</f>
        <v>GO</v>
      </c>
      <c r="I1782" s="11">
        <f>IFERROR(INDEX(tEditais[Encerramento],MATCH(tItens[[#This Row],[Edital]],tEditais[Edital],0)),"")</f>
        <v>46309.333333333336</v>
      </c>
      <c r="J1782" t="str">
        <f>IFERROR(INDEX(tProdutos[Classe],MATCH(tItens[[#This Row],[Produto]],tProdutos[Produto],0)),"produto não cadastrado")</f>
        <v>FORA</v>
      </c>
      <c r="K1782" s="12">
        <f>tItens[[#This Row],[Qtd]]*tItens[[#This Row],[Vlr unit]]</f>
        <v>49.1</v>
      </c>
      <c r="L1782" s="6">
        <f>IFERROR(IF(INDEX(tProdutos[Desconto homologado],MATCH(tItens[[#This Row],[Produto]],tProdutos[Produto],0))="",DescontoPadrao,INDEX(tProdutos[Desconto homologado],MATCH(tItens[[#This Row],[Produto]],tProdutos[Produto],0))),DescontoPadrao)</f>
        <v>0.26356465005931201</v>
      </c>
      <c r="M1782" s="12">
        <f>tItens[[#This Row],[Valor]]*(1-tItens[[#This Row],[Desconto]])</f>
        <v>36.158975682087778</v>
      </c>
      <c r="N1782" t="str">
        <f>IFERROR(INDEX(tProdutos[Foco],MATCH(tItens[[#This Row],[Produto]],tProdutos[Produto],0)),"Não")</f>
        <v>Não</v>
      </c>
      <c r="O1782" t="str">
        <f>IFERROR(INDEX(tEditais[SRP],MATCH(tItens[[#This Row],[Edital]],tEditais[Edital],0)),"Não")</f>
        <v>Sim</v>
      </c>
      <c r="P1782" s="4">
        <f>IF(COUNTIFS(INDEX(tItens[Edital],1):tItens[[#This Row],[Edital]],tItens[[#This Row],[Edital]],INDEX(tItens[Produto],1):tItens[[#This Row],[Produto]],tItens[[#This Row],[Produto]])=1,1,0)</f>
        <v>1</v>
      </c>
    </row>
    <row r="1783" spans="1:16" x14ac:dyDescent="0.25">
      <c r="A1783" t="s">
        <v>1172</v>
      </c>
      <c r="B1783">
        <v>15</v>
      </c>
      <c r="C1783" t="s">
        <v>4835</v>
      </c>
      <c r="D1783" t="s">
        <v>347</v>
      </c>
      <c r="E1783" s="13">
        <v>10</v>
      </c>
      <c r="F1783" s="12">
        <v>5.24</v>
      </c>
      <c r="G1783" t="str">
        <f>IFERROR(INDEX(tEditais[Órgão],MATCH(tItens[[#This Row],[Edital]],tEditais[Edital],0)),"")</f>
        <v>MUNICIPIO DE EDEIA</v>
      </c>
      <c r="H1783" t="str">
        <f>IFERROR(INDEX(tEditais[UF],MATCH(tItens[[#This Row],[Edital]],tEditais[Edital],0)),"")</f>
        <v>GO</v>
      </c>
      <c r="I1783" s="11">
        <f>IFERROR(INDEX(tEditais[Encerramento],MATCH(tItens[[#This Row],[Edital]],tEditais[Edital],0)),"")</f>
        <v>46309.333333333336</v>
      </c>
      <c r="J1783" t="str">
        <f>IFERROR(INDEX(tProdutos[Classe],MATCH(tItens[[#This Row],[Produto]],tProdutos[Produto],0)),"produto não cadastrado")</f>
        <v>FORA</v>
      </c>
      <c r="K1783" s="12">
        <f>tItens[[#This Row],[Qtd]]*tItens[[#This Row],[Vlr unit]]</f>
        <v>52.400000000000006</v>
      </c>
      <c r="L1783" s="6">
        <f>IFERROR(IF(INDEX(tProdutos[Desconto homologado],MATCH(tItens[[#This Row],[Produto]],tProdutos[Produto],0))="",DescontoPadrao,INDEX(tProdutos[Desconto homologado],MATCH(tItens[[#This Row],[Produto]],tProdutos[Produto],0))),DescontoPadrao)</f>
        <v>0.26356465005931201</v>
      </c>
      <c r="M1783" s="12">
        <f>tItens[[#This Row],[Valor]]*(1-tItens[[#This Row],[Desconto]])</f>
        <v>38.589212336892054</v>
      </c>
      <c r="N1783" t="str">
        <f>IFERROR(INDEX(tProdutos[Foco],MATCH(tItens[[#This Row],[Produto]],tProdutos[Produto],0)),"Não")</f>
        <v>Não</v>
      </c>
      <c r="O1783" t="str">
        <f>IFERROR(INDEX(tEditais[SRP],MATCH(tItens[[#This Row],[Edital]],tEditais[Edital],0)),"Não")</f>
        <v>Sim</v>
      </c>
      <c r="P1783" s="4">
        <f>IF(COUNTIFS(INDEX(tItens[Edital],1):tItens[[#This Row],[Edital]],tItens[[#This Row],[Edital]],INDEX(tItens[Produto],1):tItens[[#This Row],[Produto]],tItens[[#This Row],[Produto]])=1,1,0)</f>
        <v>0</v>
      </c>
    </row>
    <row r="1784" spans="1:16" x14ac:dyDescent="0.25">
      <c r="A1784" t="s">
        <v>1172</v>
      </c>
      <c r="B1784">
        <v>16</v>
      </c>
      <c r="C1784" t="s">
        <v>4836</v>
      </c>
      <c r="D1784" t="s">
        <v>299</v>
      </c>
      <c r="E1784" s="13">
        <v>10</v>
      </c>
      <c r="F1784" s="12">
        <v>13.96</v>
      </c>
      <c r="G1784" t="str">
        <f>IFERROR(INDEX(tEditais[Órgão],MATCH(tItens[[#This Row],[Edital]],tEditais[Edital],0)),"")</f>
        <v>MUNICIPIO DE EDEIA</v>
      </c>
      <c r="H1784" t="str">
        <f>IFERROR(INDEX(tEditais[UF],MATCH(tItens[[#This Row],[Edital]],tEditais[Edital],0)),"")</f>
        <v>GO</v>
      </c>
      <c r="I1784" s="11">
        <f>IFERROR(INDEX(tEditais[Encerramento],MATCH(tItens[[#This Row],[Edital]],tEditais[Edital],0)),"")</f>
        <v>46309.333333333336</v>
      </c>
      <c r="J1784" t="str">
        <f>IFERROR(INDEX(tProdutos[Classe],MATCH(tItens[[#This Row],[Produto]],tProdutos[Produto],0)),"produto não cadastrado")</f>
        <v>FORA</v>
      </c>
      <c r="K1784" s="12">
        <f>tItens[[#This Row],[Qtd]]*tItens[[#This Row],[Vlr unit]]</f>
        <v>139.60000000000002</v>
      </c>
      <c r="L1784" s="6">
        <f>IFERROR(IF(INDEX(tProdutos[Desconto homologado],MATCH(tItens[[#This Row],[Produto]],tProdutos[Produto],0))="",DescontoPadrao,INDEX(tProdutos[Desconto homologado],MATCH(tItens[[#This Row],[Produto]],tProdutos[Produto],0))),DescontoPadrao)</f>
        <v>0.42211465163381601</v>
      </c>
      <c r="M1784" s="12">
        <f>tItens[[#This Row],[Valor]]*(1-tItens[[#This Row],[Desconto]])</f>
        <v>80.672794631919302</v>
      </c>
      <c r="N1784" t="str">
        <f>IFERROR(INDEX(tProdutos[Foco],MATCH(tItens[[#This Row],[Produto]],tProdutos[Produto],0)),"Não")</f>
        <v>Não</v>
      </c>
      <c r="O1784" t="str">
        <f>IFERROR(INDEX(tEditais[SRP],MATCH(tItens[[#This Row],[Edital]],tEditais[Edital],0)),"Não")</f>
        <v>Sim</v>
      </c>
      <c r="P1784" s="4">
        <f>IF(COUNTIFS(INDEX(tItens[Edital],1):tItens[[#This Row],[Edital]],tItens[[#This Row],[Edital]],INDEX(tItens[Produto],1):tItens[[#This Row],[Produto]],tItens[[#This Row],[Produto]])=1,1,0)</f>
        <v>1</v>
      </c>
    </row>
    <row r="1785" spans="1:16" x14ac:dyDescent="0.25">
      <c r="A1785" t="s">
        <v>1172</v>
      </c>
      <c r="B1785">
        <v>20</v>
      </c>
      <c r="C1785" t="s">
        <v>4837</v>
      </c>
      <c r="D1785" t="s">
        <v>375</v>
      </c>
      <c r="E1785" s="13">
        <v>10</v>
      </c>
      <c r="F1785" s="12">
        <v>158.86000000000001</v>
      </c>
      <c r="G1785" t="str">
        <f>IFERROR(INDEX(tEditais[Órgão],MATCH(tItens[[#This Row],[Edital]],tEditais[Edital],0)),"")</f>
        <v>MUNICIPIO DE EDEIA</v>
      </c>
      <c r="H1785" t="str">
        <f>IFERROR(INDEX(tEditais[UF],MATCH(tItens[[#This Row],[Edital]],tEditais[Edital],0)),"")</f>
        <v>GO</v>
      </c>
      <c r="I1785" s="11">
        <f>IFERROR(INDEX(tEditais[Encerramento],MATCH(tItens[[#This Row],[Edital]],tEditais[Edital],0)),"")</f>
        <v>46309.333333333336</v>
      </c>
      <c r="J1785" t="str">
        <f>IFERROR(INDEX(tProdutos[Classe],MATCH(tItens[[#This Row],[Produto]],tProdutos[Produto],0)),"produto não cadastrado")</f>
        <v>FORA</v>
      </c>
      <c r="K1785" s="12">
        <f>tItens[[#This Row],[Qtd]]*tItens[[#This Row],[Vlr unit]]</f>
        <v>1588.6000000000001</v>
      </c>
      <c r="L1785" s="6">
        <f>IFERROR(IF(INDEX(tProdutos[Desconto homologado],MATCH(tItens[[#This Row],[Produto]],tProdutos[Produto],0))="",DescontoPadrao,INDEX(tProdutos[Desconto homologado],MATCH(tItens[[#This Row],[Produto]],tProdutos[Produto],0))),DescontoPadrao)</f>
        <v>0.25005895299481201</v>
      </c>
      <c r="M1785" s="12">
        <f>tItens[[#This Row],[Valor]]*(1-tItens[[#This Row],[Desconto]])</f>
        <v>1191.3563472724416</v>
      </c>
      <c r="N1785" t="str">
        <f>IFERROR(INDEX(tProdutos[Foco],MATCH(tItens[[#This Row],[Produto]],tProdutos[Produto],0)),"Não")</f>
        <v>Não</v>
      </c>
      <c r="O1785" t="str">
        <f>IFERROR(INDEX(tEditais[SRP],MATCH(tItens[[#This Row],[Edital]],tEditais[Edital],0)),"Não")</f>
        <v>Sim</v>
      </c>
      <c r="P1785" s="4">
        <f>IF(COUNTIFS(INDEX(tItens[Edital],1):tItens[[#This Row],[Edital]],tItens[[#This Row],[Edital]],INDEX(tItens[Produto],1):tItens[[#This Row],[Produto]],tItens[[#This Row],[Produto]])=1,1,0)</f>
        <v>1</v>
      </c>
    </row>
    <row r="1786" spans="1:16" x14ac:dyDescent="0.25">
      <c r="A1786" t="s">
        <v>1172</v>
      </c>
      <c r="B1786">
        <v>21</v>
      </c>
      <c r="C1786" t="s">
        <v>4838</v>
      </c>
      <c r="D1786" t="s">
        <v>375</v>
      </c>
      <c r="E1786" s="13">
        <v>10</v>
      </c>
      <c r="F1786" s="12">
        <v>238.67</v>
      </c>
      <c r="G1786" t="str">
        <f>IFERROR(INDEX(tEditais[Órgão],MATCH(tItens[[#This Row],[Edital]],tEditais[Edital],0)),"")</f>
        <v>MUNICIPIO DE EDEIA</v>
      </c>
      <c r="H1786" t="str">
        <f>IFERROR(INDEX(tEditais[UF],MATCH(tItens[[#This Row],[Edital]],tEditais[Edital],0)),"")</f>
        <v>GO</v>
      </c>
      <c r="I1786" s="11">
        <f>IFERROR(INDEX(tEditais[Encerramento],MATCH(tItens[[#This Row],[Edital]],tEditais[Edital],0)),"")</f>
        <v>46309.333333333336</v>
      </c>
      <c r="J1786" t="str">
        <f>IFERROR(INDEX(tProdutos[Classe],MATCH(tItens[[#This Row],[Produto]],tProdutos[Produto],0)),"produto não cadastrado")</f>
        <v>FORA</v>
      </c>
      <c r="K1786" s="12">
        <f>tItens[[#This Row],[Qtd]]*tItens[[#This Row],[Vlr unit]]</f>
        <v>2386.6999999999998</v>
      </c>
      <c r="L1786" s="6">
        <f>IFERROR(IF(INDEX(tProdutos[Desconto homologado],MATCH(tItens[[#This Row],[Produto]],tProdutos[Produto],0))="",DescontoPadrao,INDEX(tProdutos[Desconto homologado],MATCH(tItens[[#This Row],[Produto]],tProdutos[Produto],0))),DescontoPadrao)</f>
        <v>0.25005895299481201</v>
      </c>
      <c r="M1786" s="12">
        <f>tItens[[#This Row],[Valor]]*(1-tItens[[#This Row],[Desconto]])</f>
        <v>1789.8842968872818</v>
      </c>
      <c r="N1786" t="str">
        <f>IFERROR(INDEX(tProdutos[Foco],MATCH(tItens[[#This Row],[Produto]],tProdutos[Produto],0)),"Não")</f>
        <v>Não</v>
      </c>
      <c r="O1786" t="str">
        <f>IFERROR(INDEX(tEditais[SRP],MATCH(tItens[[#This Row],[Edital]],tEditais[Edital],0)),"Não")</f>
        <v>Sim</v>
      </c>
      <c r="P1786" s="4">
        <f>IF(COUNTIFS(INDEX(tItens[Edital],1):tItens[[#This Row],[Edital]],tItens[[#This Row],[Edital]],INDEX(tItens[Produto],1):tItens[[#This Row],[Produto]],tItens[[#This Row],[Produto]])=1,1,0)</f>
        <v>0</v>
      </c>
    </row>
    <row r="1787" spans="1:16" x14ac:dyDescent="0.25">
      <c r="A1787" t="s">
        <v>1172</v>
      </c>
      <c r="B1787">
        <v>24</v>
      </c>
      <c r="C1787" t="s">
        <v>4839</v>
      </c>
      <c r="D1787" t="s">
        <v>277</v>
      </c>
      <c r="E1787" s="13">
        <v>35</v>
      </c>
      <c r="F1787" s="12">
        <v>15.47</v>
      </c>
      <c r="G1787" t="str">
        <f>IFERROR(INDEX(tEditais[Órgão],MATCH(tItens[[#This Row],[Edital]],tEditais[Edital],0)),"")</f>
        <v>MUNICIPIO DE EDEIA</v>
      </c>
      <c r="H1787" t="str">
        <f>IFERROR(INDEX(tEditais[UF],MATCH(tItens[[#This Row],[Edital]],tEditais[Edital],0)),"")</f>
        <v>GO</v>
      </c>
      <c r="I1787" s="11">
        <f>IFERROR(INDEX(tEditais[Encerramento],MATCH(tItens[[#This Row],[Edital]],tEditais[Edital],0)),"")</f>
        <v>46309.333333333336</v>
      </c>
      <c r="J1787" t="str">
        <f>IFERROR(INDEX(tProdutos[Classe],MATCH(tItens[[#This Row],[Produto]],tProdutos[Produto],0)),"produto não cadastrado")</f>
        <v>DISPUTADO</v>
      </c>
      <c r="K1787" s="12">
        <f>tItens[[#This Row],[Qtd]]*tItens[[#This Row],[Vlr unit]]</f>
        <v>541.45000000000005</v>
      </c>
      <c r="L1787" s="6">
        <f>IFERROR(IF(INDEX(tProdutos[Desconto homologado],MATCH(tItens[[#This Row],[Produto]],tProdutos[Produto],0))="",DescontoPadrao,INDEX(tProdutos[Desconto homologado],MATCH(tItens[[#This Row],[Produto]],tProdutos[Produto],0))),DescontoPadrao)</f>
        <v>0.50460666194188497</v>
      </c>
      <c r="M1787" s="12">
        <f>tItens[[#This Row],[Valor]]*(1-tItens[[#This Row],[Desconto]])</f>
        <v>268.23072289156642</v>
      </c>
      <c r="N1787" t="str">
        <f>IFERROR(INDEX(tProdutos[Foco],MATCH(tItens[[#This Row],[Produto]],tProdutos[Produto],0)),"Não")</f>
        <v>Não</v>
      </c>
      <c r="O1787" t="str">
        <f>IFERROR(INDEX(tEditais[SRP],MATCH(tItens[[#This Row],[Edital]],tEditais[Edital],0)),"Não")</f>
        <v>Sim</v>
      </c>
      <c r="P1787" s="4">
        <f>IF(COUNTIFS(INDEX(tItens[Edital],1):tItens[[#This Row],[Edital]],tItens[[#This Row],[Edital]],INDEX(tItens[Produto],1):tItens[[#This Row],[Produto]],tItens[[#This Row],[Produto]])=1,1,0)</f>
        <v>1</v>
      </c>
    </row>
    <row r="1788" spans="1:16" x14ac:dyDescent="0.25">
      <c r="A1788" t="s">
        <v>1172</v>
      </c>
      <c r="B1788">
        <v>29</v>
      </c>
      <c r="C1788" t="s">
        <v>4840</v>
      </c>
      <c r="D1788" t="s">
        <v>281</v>
      </c>
      <c r="E1788" s="13">
        <v>25000</v>
      </c>
      <c r="F1788" s="12">
        <v>0.37</v>
      </c>
      <c r="G1788" t="str">
        <f>IFERROR(INDEX(tEditais[Órgão],MATCH(tItens[[#This Row],[Edital]],tEditais[Edital],0)),"")</f>
        <v>MUNICIPIO DE EDEIA</v>
      </c>
      <c r="H1788" t="str">
        <f>IFERROR(INDEX(tEditais[UF],MATCH(tItens[[#This Row],[Edital]],tEditais[Edital],0)),"")</f>
        <v>GO</v>
      </c>
      <c r="I1788" s="11">
        <f>IFERROR(INDEX(tEditais[Encerramento],MATCH(tItens[[#This Row],[Edital]],tEditais[Edital],0)),"")</f>
        <v>46309.333333333336</v>
      </c>
      <c r="J1788" t="str">
        <f>IFERROR(INDEX(tProdutos[Classe],MATCH(tItens[[#This Row],[Produto]],tProdutos[Produto],0)),"produto não cadastrado")</f>
        <v>DISPUTADO</v>
      </c>
      <c r="K1788" s="12">
        <f>tItens[[#This Row],[Qtd]]*tItens[[#This Row],[Vlr unit]]</f>
        <v>9250</v>
      </c>
      <c r="L1788" s="6">
        <f>IFERROR(IF(INDEX(tProdutos[Desconto homologado],MATCH(tItens[[#This Row],[Produto]],tProdutos[Produto],0))="",DescontoPadrao,INDEX(tProdutos[Desconto homologado],MATCH(tItens[[#This Row],[Produto]],tProdutos[Produto],0))),DescontoPadrao)</f>
        <v>0.42461538461538501</v>
      </c>
      <c r="M1788" s="12">
        <f>tItens[[#This Row],[Valor]]*(1-tItens[[#This Row],[Desconto]])</f>
        <v>5322.3076923076878</v>
      </c>
      <c r="N1788" t="str">
        <f>IFERROR(INDEX(tProdutos[Foco],MATCH(tItens[[#This Row],[Produto]],tProdutos[Produto],0)),"Não")</f>
        <v>Não</v>
      </c>
      <c r="O1788" t="str">
        <f>IFERROR(INDEX(tEditais[SRP],MATCH(tItens[[#This Row],[Edital]],tEditais[Edital],0)),"Não")</f>
        <v>Sim</v>
      </c>
      <c r="P1788" s="4">
        <f>IF(COUNTIFS(INDEX(tItens[Edital],1):tItens[[#This Row],[Edital]],tItens[[#This Row],[Edital]],INDEX(tItens[Produto],1):tItens[[#This Row],[Produto]],tItens[[#This Row],[Produto]])=1,1,0)</f>
        <v>1</v>
      </c>
    </row>
    <row r="1789" spans="1:16" x14ac:dyDescent="0.25">
      <c r="A1789" t="s">
        <v>1172</v>
      </c>
      <c r="B1789">
        <v>30</v>
      </c>
      <c r="C1789" t="s">
        <v>4841</v>
      </c>
      <c r="D1789" t="s">
        <v>303</v>
      </c>
      <c r="E1789" s="13">
        <v>25000</v>
      </c>
      <c r="F1789" s="12">
        <v>0.35</v>
      </c>
      <c r="G1789" t="str">
        <f>IFERROR(INDEX(tEditais[Órgão],MATCH(tItens[[#This Row],[Edital]],tEditais[Edital],0)),"")</f>
        <v>MUNICIPIO DE EDEIA</v>
      </c>
      <c r="H1789" t="str">
        <f>IFERROR(INDEX(tEditais[UF],MATCH(tItens[[#This Row],[Edital]],tEditais[Edital],0)),"")</f>
        <v>GO</v>
      </c>
      <c r="I1789" s="11">
        <f>IFERROR(INDEX(tEditais[Encerramento],MATCH(tItens[[#This Row],[Edital]],tEditais[Edital],0)),"")</f>
        <v>46309.333333333336</v>
      </c>
      <c r="J1789" t="str">
        <f>IFERROR(INDEX(tProdutos[Classe],MATCH(tItens[[#This Row],[Produto]],tProdutos[Produto],0)),"produto não cadastrado")</f>
        <v>FORA</v>
      </c>
      <c r="K1789" s="12">
        <f>tItens[[#This Row],[Qtd]]*tItens[[#This Row],[Vlr unit]]</f>
        <v>8750</v>
      </c>
      <c r="L1789" s="6">
        <f>IFERROR(IF(INDEX(tProdutos[Desconto homologado],MATCH(tItens[[#This Row],[Produto]],tProdutos[Produto],0))="",DescontoPadrao,INDEX(tProdutos[Desconto homologado],MATCH(tItens[[#This Row],[Produto]],tProdutos[Produto],0))),DescontoPadrao)</f>
        <v>0.35748048048048098</v>
      </c>
      <c r="M1789" s="12">
        <f>tItens[[#This Row],[Valor]]*(1-tItens[[#This Row],[Desconto]])</f>
        <v>5622.0457957957915</v>
      </c>
      <c r="N1789" t="str">
        <f>IFERROR(INDEX(tProdutos[Foco],MATCH(tItens[[#This Row],[Produto]],tProdutos[Produto],0)),"Não")</f>
        <v>Não</v>
      </c>
      <c r="O1789" t="str">
        <f>IFERROR(INDEX(tEditais[SRP],MATCH(tItens[[#This Row],[Edital]],tEditais[Edital],0)),"Não")</f>
        <v>Sim</v>
      </c>
      <c r="P1789" s="4">
        <f>IF(COUNTIFS(INDEX(tItens[Edital],1):tItens[[#This Row],[Edital]],tItens[[#This Row],[Edital]],INDEX(tItens[Produto],1):tItens[[#This Row],[Produto]],tItens[[#This Row],[Produto]])=1,1,0)</f>
        <v>1</v>
      </c>
    </row>
    <row r="1790" spans="1:16" x14ac:dyDescent="0.25">
      <c r="A1790" t="s">
        <v>1172</v>
      </c>
      <c r="B1790">
        <v>31</v>
      </c>
      <c r="C1790" t="s">
        <v>4842</v>
      </c>
      <c r="D1790" t="s">
        <v>265</v>
      </c>
      <c r="E1790" s="13">
        <v>25000</v>
      </c>
      <c r="F1790" s="12">
        <v>0.24</v>
      </c>
      <c r="G1790" t="str">
        <f>IFERROR(INDEX(tEditais[Órgão],MATCH(tItens[[#This Row],[Edital]],tEditais[Edital],0)),"")</f>
        <v>MUNICIPIO DE EDEIA</v>
      </c>
      <c r="H1790" t="str">
        <f>IFERROR(INDEX(tEditais[UF],MATCH(tItens[[#This Row],[Edital]],tEditais[Edital],0)),"")</f>
        <v>GO</v>
      </c>
      <c r="I1790" s="11">
        <f>IFERROR(INDEX(tEditais[Encerramento],MATCH(tItens[[#This Row],[Edital]],tEditais[Edital],0)),"")</f>
        <v>46309.333333333336</v>
      </c>
      <c r="J1790" t="str">
        <f>IFERROR(INDEX(tProdutos[Classe],MATCH(tItens[[#This Row],[Produto]],tProdutos[Produto],0)),"produto não cadastrado")</f>
        <v>DISPUTADO</v>
      </c>
      <c r="K1790" s="12">
        <f>tItens[[#This Row],[Qtd]]*tItens[[#This Row],[Vlr unit]]</f>
        <v>6000</v>
      </c>
      <c r="L1790" s="6">
        <f>IFERROR(IF(INDEX(tProdutos[Desconto homologado],MATCH(tItens[[#This Row],[Produto]],tProdutos[Produto],0))="",DescontoPadrao,INDEX(tProdutos[Desconto homologado],MATCH(tItens[[#This Row],[Produto]],tProdutos[Produto],0))),DescontoPadrao)</f>
        <v>0.377587663709337</v>
      </c>
      <c r="M1790" s="12">
        <f>tItens[[#This Row],[Valor]]*(1-tItens[[#This Row],[Desconto]])</f>
        <v>3734.4740177439785</v>
      </c>
      <c r="N1790" t="str">
        <f>IFERROR(INDEX(tProdutos[Foco],MATCH(tItens[[#This Row],[Produto]],tProdutos[Produto],0)),"Não")</f>
        <v>Não</v>
      </c>
      <c r="O1790" t="str">
        <f>IFERROR(INDEX(tEditais[SRP],MATCH(tItens[[#This Row],[Edital]],tEditais[Edital],0)),"Não")</f>
        <v>Sim</v>
      </c>
      <c r="P1790" s="4">
        <f>IF(COUNTIFS(INDEX(tItens[Edital],1):tItens[[#This Row],[Edital]],tItens[[#This Row],[Edital]],INDEX(tItens[Produto],1):tItens[[#This Row],[Produto]],tItens[[#This Row],[Produto]])=1,1,0)</f>
        <v>1</v>
      </c>
    </row>
    <row r="1791" spans="1:16" x14ac:dyDescent="0.25">
      <c r="A1791" t="s">
        <v>1172</v>
      </c>
      <c r="B1791">
        <v>34</v>
      </c>
      <c r="C1791" t="s">
        <v>4843</v>
      </c>
      <c r="D1791" t="s">
        <v>110</v>
      </c>
      <c r="E1791" s="13">
        <v>30</v>
      </c>
      <c r="F1791" s="12">
        <v>1.34</v>
      </c>
      <c r="G1791" t="str">
        <f>IFERROR(INDEX(tEditais[Órgão],MATCH(tItens[[#This Row],[Edital]],tEditais[Edital],0)),"")</f>
        <v>MUNICIPIO DE EDEIA</v>
      </c>
      <c r="H1791" t="str">
        <f>IFERROR(INDEX(tEditais[UF],MATCH(tItens[[#This Row],[Edital]],tEditais[Edital],0)),"")</f>
        <v>GO</v>
      </c>
      <c r="I1791" s="11">
        <f>IFERROR(INDEX(tEditais[Encerramento],MATCH(tItens[[#This Row],[Edital]],tEditais[Edital],0)),"")</f>
        <v>46309.333333333336</v>
      </c>
      <c r="J1791" t="str">
        <f>IFERROR(INDEX(tProdutos[Classe],MATCH(tItens[[#This Row],[Produto]],tProdutos[Produto],0)),"produto não cadastrado")</f>
        <v>NÚCLEO</v>
      </c>
      <c r="K1791" s="12">
        <f>tItens[[#This Row],[Qtd]]*tItens[[#This Row],[Vlr unit]]</f>
        <v>40.200000000000003</v>
      </c>
      <c r="L1791" s="6">
        <f>IFERROR(IF(INDEX(tProdutos[Desconto homologado],MATCH(tItens[[#This Row],[Produto]],tProdutos[Produto],0))="",DescontoPadrao,INDEX(tProdutos[Desconto homologado],MATCH(tItens[[#This Row],[Produto]],tProdutos[Produto],0))),DescontoPadrao)</f>
        <v>0.30410958904109597</v>
      </c>
      <c r="M1791" s="12">
        <f>tItens[[#This Row],[Valor]]*(1-tItens[[#This Row],[Desconto]])</f>
        <v>27.974794520547945</v>
      </c>
      <c r="N1791" t="str">
        <f>IFERROR(INDEX(tProdutos[Foco],MATCH(tItens[[#This Row],[Produto]],tProdutos[Produto],0)),"Não")</f>
        <v>Não</v>
      </c>
      <c r="O1791" t="str">
        <f>IFERROR(INDEX(tEditais[SRP],MATCH(tItens[[#This Row],[Edital]],tEditais[Edital],0)),"Não")</f>
        <v>Sim</v>
      </c>
      <c r="P1791" s="4">
        <f>IF(COUNTIFS(INDEX(tItens[Edital],1):tItens[[#This Row],[Edital]],tItens[[#This Row],[Edital]],INDEX(tItens[Produto],1):tItens[[#This Row],[Produto]],tItens[[#This Row],[Produto]])=1,1,0)</f>
        <v>1</v>
      </c>
    </row>
    <row r="1792" spans="1:16" x14ac:dyDescent="0.25">
      <c r="A1792" t="s">
        <v>1172</v>
      </c>
      <c r="B1792">
        <v>39</v>
      </c>
      <c r="C1792" t="s">
        <v>4844</v>
      </c>
      <c r="D1792" t="s">
        <v>259</v>
      </c>
      <c r="E1792" s="13">
        <v>800</v>
      </c>
      <c r="F1792" s="12">
        <v>4.6500000000000004</v>
      </c>
      <c r="G1792" t="str">
        <f>IFERROR(INDEX(tEditais[Órgão],MATCH(tItens[[#This Row],[Edital]],tEditais[Edital],0)),"")</f>
        <v>MUNICIPIO DE EDEIA</v>
      </c>
      <c r="H1792" t="str">
        <f>IFERROR(INDEX(tEditais[UF],MATCH(tItens[[#This Row],[Edital]],tEditais[Edital],0)),"")</f>
        <v>GO</v>
      </c>
      <c r="I1792" s="11">
        <f>IFERROR(INDEX(tEditais[Encerramento],MATCH(tItens[[#This Row],[Edital]],tEditais[Edital],0)),"")</f>
        <v>46309.333333333336</v>
      </c>
      <c r="J1792" t="str">
        <f>IFERROR(INDEX(tProdutos[Classe],MATCH(tItens[[#This Row],[Produto]],tProdutos[Produto],0)),"produto não cadastrado")</f>
        <v>FORA</v>
      </c>
      <c r="K1792" s="12">
        <f>tItens[[#This Row],[Qtd]]*tItens[[#This Row],[Vlr unit]]</f>
        <v>3720.0000000000005</v>
      </c>
      <c r="L1792" s="6">
        <f>IFERROR(IF(INDEX(tProdutos[Desconto homologado],MATCH(tItens[[#This Row],[Produto]],tProdutos[Produto],0))="",DescontoPadrao,INDEX(tProdutos[Desconto homologado],MATCH(tItens[[#This Row],[Produto]],tProdutos[Produto],0))),DescontoPadrao)</f>
        <v>0.374798283789543</v>
      </c>
      <c r="M1792" s="12">
        <f>tItens[[#This Row],[Valor]]*(1-tItens[[#This Row],[Desconto]])</f>
        <v>2325.7503843029003</v>
      </c>
      <c r="N1792" t="str">
        <f>IFERROR(INDEX(tProdutos[Foco],MATCH(tItens[[#This Row],[Produto]],tProdutos[Produto],0)),"Não")</f>
        <v>Não</v>
      </c>
      <c r="O1792" t="str">
        <f>IFERROR(INDEX(tEditais[SRP],MATCH(tItens[[#This Row],[Edital]],tEditais[Edital],0)),"Não")</f>
        <v>Sim</v>
      </c>
      <c r="P1792" s="4">
        <f>IF(COUNTIFS(INDEX(tItens[Edital],1):tItens[[#This Row],[Edital]],tItens[[#This Row],[Edital]],INDEX(tItens[Produto],1):tItens[[#This Row],[Produto]],tItens[[#This Row],[Produto]])=1,1,0)</f>
        <v>1</v>
      </c>
    </row>
    <row r="1793" spans="1:16" x14ac:dyDescent="0.25">
      <c r="A1793" t="s">
        <v>1176</v>
      </c>
      <c r="B1793">
        <v>207</v>
      </c>
      <c r="C1793" t="s">
        <v>4845</v>
      </c>
      <c r="D1793" t="s">
        <v>275</v>
      </c>
      <c r="E1793" s="13">
        <v>30000</v>
      </c>
      <c r="F1793" s="12">
        <v>0.3</v>
      </c>
      <c r="G1793" t="str">
        <f>IFERROR(INDEX(tEditais[Órgão],MATCH(tItens[[#This Row],[Edital]],tEditais[Edital],0)),"")</f>
        <v>FUNDO MUNICIPAL DE SAUDE - CATALAO</v>
      </c>
      <c r="H1793" t="str">
        <f>IFERROR(INDEX(tEditais[UF],MATCH(tItens[[#This Row],[Edital]],tEditais[Edital],0)),"")</f>
        <v>GO</v>
      </c>
      <c r="I1793" s="11">
        <f>IFERROR(INDEX(tEditais[Encerramento],MATCH(tItens[[#This Row],[Edital]],tEditais[Edital],0)),"")</f>
        <v>46309.354166666664</v>
      </c>
      <c r="J1793" t="str">
        <f>IFERROR(INDEX(tProdutos[Classe],MATCH(tItens[[#This Row],[Produto]],tProdutos[Produto],0)),"produto não cadastrado")</f>
        <v>FORA</v>
      </c>
      <c r="K1793" s="12">
        <f>tItens[[#This Row],[Qtd]]*tItens[[#This Row],[Vlr unit]]</f>
        <v>9000</v>
      </c>
      <c r="L1793" s="6">
        <f>IFERROR(IF(INDEX(tProdutos[Desconto homologado],MATCH(tItens[[#This Row],[Produto]],tProdutos[Produto],0))="",DescontoPadrao,INDEX(tProdutos[Desconto homologado],MATCH(tItens[[#This Row],[Produto]],tProdutos[Produto],0))),DescontoPadrao)</f>
        <v>0.405797101449275</v>
      </c>
      <c r="M1793" s="12">
        <f>tItens[[#This Row],[Valor]]*(1-tItens[[#This Row],[Desconto]])</f>
        <v>5347.8260869565256</v>
      </c>
      <c r="N1793" t="str">
        <f>IFERROR(INDEX(tProdutos[Foco],MATCH(tItens[[#This Row],[Produto]],tProdutos[Produto],0)),"Não")</f>
        <v>Não</v>
      </c>
      <c r="O1793" t="str">
        <f>IFERROR(INDEX(tEditais[SRP],MATCH(tItens[[#This Row],[Edital]],tEditais[Edital],0)),"Não")</f>
        <v>Sim</v>
      </c>
      <c r="P1793" s="4">
        <f>IF(COUNTIFS(INDEX(tItens[Edital],1):tItens[[#This Row],[Edital]],tItens[[#This Row],[Edital]],INDEX(tItens[Produto],1):tItens[[#This Row],[Produto]],tItens[[#This Row],[Produto]])=1,1,0)</f>
        <v>1</v>
      </c>
    </row>
    <row r="1794" spans="1:16" x14ac:dyDescent="0.25">
      <c r="A1794" t="s">
        <v>1176</v>
      </c>
      <c r="B1794">
        <v>208</v>
      </c>
      <c r="C1794" t="s">
        <v>4845</v>
      </c>
      <c r="D1794" t="s">
        <v>275</v>
      </c>
      <c r="E1794" s="13">
        <v>10000</v>
      </c>
      <c r="F1794" s="12">
        <v>0.36</v>
      </c>
      <c r="G1794" t="str">
        <f>IFERROR(INDEX(tEditais[Órgão],MATCH(tItens[[#This Row],[Edital]],tEditais[Edital],0)),"")</f>
        <v>FUNDO MUNICIPAL DE SAUDE - CATALAO</v>
      </c>
      <c r="H1794" t="str">
        <f>IFERROR(INDEX(tEditais[UF],MATCH(tItens[[#This Row],[Edital]],tEditais[Edital],0)),"")</f>
        <v>GO</v>
      </c>
      <c r="I1794" s="11">
        <f>IFERROR(INDEX(tEditais[Encerramento],MATCH(tItens[[#This Row],[Edital]],tEditais[Edital],0)),"")</f>
        <v>46309.354166666664</v>
      </c>
      <c r="J1794" t="str">
        <f>IFERROR(INDEX(tProdutos[Classe],MATCH(tItens[[#This Row],[Produto]],tProdutos[Produto],0)),"produto não cadastrado")</f>
        <v>FORA</v>
      </c>
      <c r="K1794" s="12">
        <f>tItens[[#This Row],[Qtd]]*tItens[[#This Row],[Vlr unit]]</f>
        <v>3600</v>
      </c>
      <c r="L1794" s="6">
        <f>IFERROR(IF(INDEX(tProdutos[Desconto homologado],MATCH(tItens[[#This Row],[Produto]],tProdutos[Produto],0))="",DescontoPadrao,INDEX(tProdutos[Desconto homologado],MATCH(tItens[[#This Row],[Produto]],tProdutos[Produto],0))),DescontoPadrao)</f>
        <v>0.405797101449275</v>
      </c>
      <c r="M1794" s="12">
        <f>tItens[[#This Row],[Valor]]*(1-tItens[[#This Row],[Desconto]])</f>
        <v>2139.1304347826103</v>
      </c>
      <c r="N1794" t="str">
        <f>IFERROR(INDEX(tProdutos[Foco],MATCH(tItens[[#This Row],[Produto]],tProdutos[Produto],0)),"Não")</f>
        <v>Não</v>
      </c>
      <c r="O1794" t="str">
        <f>IFERROR(INDEX(tEditais[SRP],MATCH(tItens[[#This Row],[Edital]],tEditais[Edital],0)),"Não")</f>
        <v>Sim</v>
      </c>
      <c r="P1794" s="4">
        <f>IF(COUNTIFS(INDEX(tItens[Edital],1):tItens[[#This Row],[Edital]],tItens[[#This Row],[Edital]],INDEX(tItens[Produto],1):tItens[[#This Row],[Produto]],tItens[[#This Row],[Produto]])=1,1,0)</f>
        <v>0</v>
      </c>
    </row>
    <row r="1795" spans="1:16" x14ac:dyDescent="0.25">
      <c r="A1795" t="s">
        <v>1176</v>
      </c>
      <c r="B1795">
        <v>210</v>
      </c>
      <c r="C1795" t="s">
        <v>4845</v>
      </c>
      <c r="D1795" t="s">
        <v>275</v>
      </c>
      <c r="E1795" s="13">
        <v>10000</v>
      </c>
      <c r="F1795" s="12">
        <v>0.25</v>
      </c>
      <c r="G1795" t="str">
        <f>IFERROR(INDEX(tEditais[Órgão],MATCH(tItens[[#This Row],[Edital]],tEditais[Edital],0)),"")</f>
        <v>FUNDO MUNICIPAL DE SAUDE - CATALAO</v>
      </c>
      <c r="H1795" t="str">
        <f>IFERROR(INDEX(tEditais[UF],MATCH(tItens[[#This Row],[Edital]],tEditais[Edital],0)),"")</f>
        <v>GO</v>
      </c>
      <c r="I1795" s="11">
        <f>IFERROR(INDEX(tEditais[Encerramento],MATCH(tItens[[#This Row],[Edital]],tEditais[Edital],0)),"")</f>
        <v>46309.354166666664</v>
      </c>
      <c r="J1795" t="str">
        <f>IFERROR(INDEX(tProdutos[Classe],MATCH(tItens[[#This Row],[Produto]],tProdutos[Produto],0)),"produto não cadastrado")</f>
        <v>FORA</v>
      </c>
      <c r="K1795" s="12">
        <f>tItens[[#This Row],[Qtd]]*tItens[[#This Row],[Vlr unit]]</f>
        <v>2500</v>
      </c>
      <c r="L1795" s="6">
        <f>IFERROR(IF(INDEX(tProdutos[Desconto homologado],MATCH(tItens[[#This Row],[Produto]],tProdutos[Produto],0))="",DescontoPadrao,INDEX(tProdutos[Desconto homologado],MATCH(tItens[[#This Row],[Produto]],tProdutos[Produto],0))),DescontoPadrao)</f>
        <v>0.405797101449275</v>
      </c>
      <c r="M1795" s="12">
        <f>tItens[[#This Row],[Valor]]*(1-tItens[[#This Row],[Desconto]])</f>
        <v>1485.5072463768126</v>
      </c>
      <c r="N1795" t="str">
        <f>IFERROR(INDEX(tProdutos[Foco],MATCH(tItens[[#This Row],[Produto]],tProdutos[Produto],0)),"Não")</f>
        <v>Não</v>
      </c>
      <c r="O1795" t="str">
        <f>IFERROR(INDEX(tEditais[SRP],MATCH(tItens[[#This Row],[Edital]],tEditais[Edital],0)),"Não")</f>
        <v>Sim</v>
      </c>
      <c r="P1795" s="4">
        <f>IF(COUNTIFS(INDEX(tItens[Edital],1):tItens[[#This Row],[Edital]],tItens[[#This Row],[Edital]],INDEX(tItens[Produto],1):tItens[[#This Row],[Produto]],tItens[[#This Row],[Produto]])=1,1,0)</f>
        <v>0</v>
      </c>
    </row>
    <row r="1796" spans="1:16" x14ac:dyDescent="0.25">
      <c r="A1796" t="s">
        <v>1181</v>
      </c>
      <c r="B1796">
        <v>6</v>
      </c>
      <c r="C1796" t="s">
        <v>4846</v>
      </c>
      <c r="D1796" t="s">
        <v>156</v>
      </c>
      <c r="E1796" s="13">
        <v>100</v>
      </c>
      <c r="F1796" s="12">
        <v>12.56</v>
      </c>
      <c r="G1796" t="str">
        <f>IFERROR(INDEX(tEditais[Órgão],MATCH(tItens[[#This Row],[Edital]],tEditais[Edital],0)),"")</f>
        <v>FUNDO MUNICIPAL DE SAUDE</v>
      </c>
      <c r="H1796" t="str">
        <f>IFERROR(INDEX(tEditais[UF],MATCH(tItens[[#This Row],[Edital]],tEditais[Edital],0)),"")</f>
        <v>GO</v>
      </c>
      <c r="I1796" s="11">
        <f>IFERROR(INDEX(tEditais[Encerramento],MATCH(tItens[[#This Row],[Edital]],tEditais[Edital],0)),"")</f>
        <v>46309.354166666664</v>
      </c>
      <c r="J1796" t="str">
        <f>IFERROR(INDEX(tProdutos[Classe],MATCH(tItens[[#This Row],[Produto]],tProdutos[Produto],0)),"produto não cadastrado")</f>
        <v>DISPUTADO</v>
      </c>
      <c r="K1796" s="12">
        <f>tItens[[#This Row],[Qtd]]*tItens[[#This Row],[Vlr unit]]</f>
        <v>1256</v>
      </c>
      <c r="L1796" s="6">
        <f>IFERROR(IF(INDEX(tProdutos[Desconto homologado],MATCH(tItens[[#This Row],[Produto]],tProdutos[Produto],0))="",DescontoPadrao,INDEX(tProdutos[Desconto homologado],MATCH(tItens[[#This Row],[Produto]],tProdutos[Produto],0))),DescontoPadrao)</f>
        <v>0.27131852489802799</v>
      </c>
      <c r="M1796" s="12">
        <f>tItens[[#This Row],[Valor]]*(1-tItens[[#This Row],[Desconto]])</f>
        <v>915.22393272807687</v>
      </c>
      <c r="N1796" t="str">
        <f>IFERROR(INDEX(tProdutos[Foco],MATCH(tItens[[#This Row],[Produto]],tProdutos[Produto],0)),"Não")</f>
        <v>Não</v>
      </c>
      <c r="O1796" t="str">
        <f>IFERROR(INDEX(tEditais[SRP],MATCH(tItens[[#This Row],[Edital]],tEditais[Edital],0)),"Não")</f>
        <v>Sim</v>
      </c>
      <c r="P1796" s="4">
        <f>IF(COUNTIFS(INDEX(tItens[Edital],1):tItens[[#This Row],[Edital]],tItens[[#This Row],[Edital]],INDEX(tItens[Produto],1):tItens[[#This Row],[Produto]],tItens[[#This Row],[Produto]])=1,1,0)</f>
        <v>1</v>
      </c>
    </row>
    <row r="1797" spans="1:16" x14ac:dyDescent="0.25">
      <c r="A1797" t="s">
        <v>1181</v>
      </c>
      <c r="B1797">
        <v>15</v>
      </c>
      <c r="C1797" t="s">
        <v>4847</v>
      </c>
      <c r="D1797" t="s">
        <v>317</v>
      </c>
      <c r="E1797" s="13">
        <v>5000</v>
      </c>
      <c r="F1797" s="12">
        <v>61.88</v>
      </c>
      <c r="G1797" t="str">
        <f>IFERROR(INDEX(tEditais[Órgão],MATCH(tItens[[#This Row],[Edital]],tEditais[Edital],0)),"")</f>
        <v>FUNDO MUNICIPAL DE SAUDE</v>
      </c>
      <c r="H1797" t="str">
        <f>IFERROR(INDEX(tEditais[UF],MATCH(tItens[[#This Row],[Edital]],tEditais[Edital],0)),"")</f>
        <v>GO</v>
      </c>
      <c r="I1797" s="11">
        <f>IFERROR(INDEX(tEditais[Encerramento],MATCH(tItens[[#This Row],[Edital]],tEditais[Edital],0)),"")</f>
        <v>46309.354166666664</v>
      </c>
      <c r="J1797" t="str">
        <f>IFERROR(INDEX(tProdutos[Classe],MATCH(tItens[[#This Row],[Produto]],tProdutos[Produto],0)),"produto não cadastrado")</f>
        <v>FORA</v>
      </c>
      <c r="K1797" s="12">
        <f>tItens[[#This Row],[Qtd]]*tItens[[#This Row],[Vlr unit]]</f>
        <v>309400</v>
      </c>
      <c r="L1797" s="6">
        <f>IFERROR(IF(INDEX(tProdutos[Desconto homologado],MATCH(tItens[[#This Row],[Produto]],tProdutos[Produto],0))="",DescontoPadrao,INDEX(tProdutos[Desconto homologado],MATCH(tItens[[#This Row],[Produto]],tProdutos[Produto],0))),DescontoPadrao)</f>
        <v>0.5</v>
      </c>
      <c r="M1797" s="12">
        <f>tItens[[#This Row],[Valor]]*(1-tItens[[#This Row],[Desconto]])</f>
        <v>154700</v>
      </c>
      <c r="N1797" t="str">
        <f>IFERROR(INDEX(tProdutos[Foco],MATCH(tItens[[#This Row],[Produto]],tProdutos[Produto],0)),"Não")</f>
        <v>Não</v>
      </c>
      <c r="O1797" t="str">
        <f>IFERROR(INDEX(tEditais[SRP],MATCH(tItens[[#This Row],[Edital]],tEditais[Edital],0)),"Não")</f>
        <v>Sim</v>
      </c>
      <c r="P1797" s="4">
        <f>IF(COUNTIFS(INDEX(tItens[Edital],1):tItens[[#This Row],[Edital]],tItens[[#This Row],[Edital]],INDEX(tItens[Produto],1):tItens[[#This Row],[Produto]],tItens[[#This Row],[Produto]])=1,1,0)</f>
        <v>1</v>
      </c>
    </row>
    <row r="1798" spans="1:16" x14ac:dyDescent="0.25">
      <c r="A1798" t="s">
        <v>1181</v>
      </c>
      <c r="B1798">
        <v>16</v>
      </c>
      <c r="C1798" t="s">
        <v>4848</v>
      </c>
      <c r="D1798" t="s">
        <v>317</v>
      </c>
      <c r="E1798" s="13">
        <v>5000</v>
      </c>
      <c r="F1798" s="12">
        <v>59.9</v>
      </c>
      <c r="G1798" t="str">
        <f>IFERROR(INDEX(tEditais[Órgão],MATCH(tItens[[#This Row],[Edital]],tEditais[Edital],0)),"")</f>
        <v>FUNDO MUNICIPAL DE SAUDE</v>
      </c>
      <c r="H1798" t="str">
        <f>IFERROR(INDEX(tEditais[UF],MATCH(tItens[[#This Row],[Edital]],tEditais[Edital],0)),"")</f>
        <v>GO</v>
      </c>
      <c r="I1798" s="11">
        <f>IFERROR(INDEX(tEditais[Encerramento],MATCH(tItens[[#This Row],[Edital]],tEditais[Edital],0)),"")</f>
        <v>46309.354166666664</v>
      </c>
      <c r="J1798" t="str">
        <f>IFERROR(INDEX(tProdutos[Classe],MATCH(tItens[[#This Row],[Produto]],tProdutos[Produto],0)),"produto não cadastrado")</f>
        <v>FORA</v>
      </c>
      <c r="K1798" s="12">
        <f>tItens[[#This Row],[Qtd]]*tItens[[#This Row],[Vlr unit]]</f>
        <v>299500</v>
      </c>
      <c r="L1798" s="6">
        <f>IFERROR(IF(INDEX(tProdutos[Desconto homologado],MATCH(tItens[[#This Row],[Produto]],tProdutos[Produto],0))="",DescontoPadrao,INDEX(tProdutos[Desconto homologado],MATCH(tItens[[#This Row],[Produto]],tProdutos[Produto],0))),DescontoPadrao)</f>
        <v>0.5</v>
      </c>
      <c r="M1798" s="12">
        <f>tItens[[#This Row],[Valor]]*(1-tItens[[#This Row],[Desconto]])</f>
        <v>149750</v>
      </c>
      <c r="N1798" t="str">
        <f>IFERROR(INDEX(tProdutos[Foco],MATCH(tItens[[#This Row],[Produto]],tProdutos[Produto],0)),"Não")</f>
        <v>Não</v>
      </c>
      <c r="O1798" t="str">
        <f>IFERROR(INDEX(tEditais[SRP],MATCH(tItens[[#This Row],[Edital]],tEditais[Edital],0)),"Não")</f>
        <v>Sim</v>
      </c>
      <c r="P1798" s="4">
        <f>IF(COUNTIFS(INDEX(tItens[Edital],1):tItens[[#This Row],[Edital]],tItens[[#This Row],[Edital]],INDEX(tItens[Produto],1):tItens[[#This Row],[Produto]],tItens[[#This Row],[Produto]])=1,1,0)</f>
        <v>0</v>
      </c>
    </row>
    <row r="1799" spans="1:16" x14ac:dyDescent="0.25">
      <c r="A1799" t="s">
        <v>1181</v>
      </c>
      <c r="B1799">
        <v>20</v>
      </c>
      <c r="C1799" t="s">
        <v>4849</v>
      </c>
      <c r="D1799" t="s">
        <v>164</v>
      </c>
      <c r="E1799" s="13">
        <v>50</v>
      </c>
      <c r="F1799" s="12">
        <v>111.92</v>
      </c>
      <c r="G1799" t="str">
        <f>IFERROR(INDEX(tEditais[Órgão],MATCH(tItens[[#This Row],[Edital]],tEditais[Edital],0)),"")</f>
        <v>FUNDO MUNICIPAL DE SAUDE</v>
      </c>
      <c r="H1799" t="str">
        <f>IFERROR(INDEX(tEditais[UF],MATCH(tItens[[#This Row],[Edital]],tEditais[Edital],0)),"")</f>
        <v>GO</v>
      </c>
      <c r="I1799" s="11">
        <f>IFERROR(INDEX(tEditais[Encerramento],MATCH(tItens[[#This Row],[Edital]],tEditais[Edital],0)),"")</f>
        <v>46309.354166666664</v>
      </c>
      <c r="J1799" t="str">
        <f>IFERROR(INDEX(tProdutos[Classe],MATCH(tItens[[#This Row],[Produto]],tProdutos[Produto],0)),"produto não cadastrado")</f>
        <v>DISPUTADO</v>
      </c>
      <c r="K1799" s="12">
        <f>tItens[[#This Row],[Qtd]]*tItens[[#This Row],[Vlr unit]]</f>
        <v>5596</v>
      </c>
      <c r="L1799" s="6">
        <f>IFERROR(IF(INDEX(tProdutos[Desconto homologado],MATCH(tItens[[#This Row],[Produto]],tProdutos[Produto],0))="",DescontoPadrao,INDEX(tProdutos[Desconto homologado],MATCH(tItens[[#This Row],[Produto]],tProdutos[Produto],0))),DescontoPadrao)</f>
        <v>0.445300462249615</v>
      </c>
      <c r="M1799" s="12">
        <f>tItens[[#This Row],[Valor]]*(1-tItens[[#This Row],[Desconto]])</f>
        <v>3104.0986132511543</v>
      </c>
      <c r="N1799" t="str">
        <f>IFERROR(INDEX(tProdutos[Foco],MATCH(tItens[[#This Row],[Produto]],tProdutos[Produto],0)),"Não")</f>
        <v>Não</v>
      </c>
      <c r="O1799" t="str">
        <f>IFERROR(INDEX(tEditais[SRP],MATCH(tItens[[#This Row],[Edital]],tEditais[Edital],0)),"Não")</f>
        <v>Sim</v>
      </c>
      <c r="P1799" s="4">
        <f>IF(COUNTIFS(INDEX(tItens[Edital],1):tItens[[#This Row],[Edital]],tItens[[#This Row],[Edital]],INDEX(tItens[Produto],1):tItens[[#This Row],[Produto]],tItens[[#This Row],[Produto]])=1,1,0)</f>
        <v>1</v>
      </c>
    </row>
    <row r="1800" spans="1:16" x14ac:dyDescent="0.25">
      <c r="A1800" t="s">
        <v>1181</v>
      </c>
      <c r="B1800">
        <v>21</v>
      </c>
      <c r="C1800" t="s">
        <v>4850</v>
      </c>
      <c r="D1800" t="s">
        <v>110</v>
      </c>
      <c r="E1800" s="13">
        <v>60</v>
      </c>
      <c r="F1800" s="12">
        <v>0.85</v>
      </c>
      <c r="G1800" t="str">
        <f>IFERROR(INDEX(tEditais[Órgão],MATCH(tItens[[#This Row],[Edital]],tEditais[Edital],0)),"")</f>
        <v>FUNDO MUNICIPAL DE SAUDE</v>
      </c>
      <c r="H1800" t="str">
        <f>IFERROR(INDEX(tEditais[UF],MATCH(tItens[[#This Row],[Edital]],tEditais[Edital],0)),"")</f>
        <v>GO</v>
      </c>
      <c r="I1800" s="11">
        <f>IFERROR(INDEX(tEditais[Encerramento],MATCH(tItens[[#This Row],[Edital]],tEditais[Edital],0)),"")</f>
        <v>46309.354166666664</v>
      </c>
      <c r="J1800" t="str">
        <f>IFERROR(INDEX(tProdutos[Classe],MATCH(tItens[[#This Row],[Produto]],tProdutos[Produto],0)),"produto não cadastrado")</f>
        <v>NÚCLEO</v>
      </c>
      <c r="K1800" s="12">
        <f>tItens[[#This Row],[Qtd]]*tItens[[#This Row],[Vlr unit]]</f>
        <v>51</v>
      </c>
      <c r="L1800" s="6">
        <f>IFERROR(IF(INDEX(tProdutos[Desconto homologado],MATCH(tItens[[#This Row],[Produto]],tProdutos[Produto],0))="",DescontoPadrao,INDEX(tProdutos[Desconto homologado],MATCH(tItens[[#This Row],[Produto]],tProdutos[Produto],0))),DescontoPadrao)</f>
        <v>0.30410958904109597</v>
      </c>
      <c r="M1800" s="12">
        <f>tItens[[#This Row],[Valor]]*(1-tItens[[#This Row],[Desconto]])</f>
        <v>35.490410958904107</v>
      </c>
      <c r="N1800" t="str">
        <f>IFERROR(INDEX(tProdutos[Foco],MATCH(tItens[[#This Row],[Produto]],tProdutos[Produto],0)),"Não")</f>
        <v>Não</v>
      </c>
      <c r="O1800" t="str">
        <f>IFERROR(INDEX(tEditais[SRP],MATCH(tItens[[#This Row],[Edital]],tEditais[Edital],0)),"Não")</f>
        <v>Sim</v>
      </c>
      <c r="P1800" s="4">
        <f>IF(COUNTIFS(INDEX(tItens[Edital],1):tItens[[#This Row],[Edital]],tItens[[#This Row],[Edital]],INDEX(tItens[Produto],1):tItens[[#This Row],[Produto]],tItens[[#This Row],[Produto]])=1,1,0)</f>
        <v>1</v>
      </c>
    </row>
    <row r="1801" spans="1:16" x14ac:dyDescent="0.25">
      <c r="A1801" t="s">
        <v>1181</v>
      </c>
      <c r="B1801">
        <v>22</v>
      </c>
      <c r="C1801" t="s">
        <v>4393</v>
      </c>
      <c r="D1801" t="s">
        <v>110</v>
      </c>
      <c r="E1801" s="13">
        <v>80</v>
      </c>
      <c r="F1801" s="12">
        <v>0.9</v>
      </c>
      <c r="G1801" t="str">
        <f>IFERROR(INDEX(tEditais[Órgão],MATCH(tItens[[#This Row],[Edital]],tEditais[Edital],0)),"")</f>
        <v>FUNDO MUNICIPAL DE SAUDE</v>
      </c>
      <c r="H1801" t="str">
        <f>IFERROR(INDEX(tEditais[UF],MATCH(tItens[[#This Row],[Edital]],tEditais[Edital],0)),"")</f>
        <v>GO</v>
      </c>
      <c r="I1801" s="11">
        <f>IFERROR(INDEX(tEditais[Encerramento],MATCH(tItens[[#This Row],[Edital]],tEditais[Edital],0)),"")</f>
        <v>46309.354166666664</v>
      </c>
      <c r="J1801" t="str">
        <f>IFERROR(INDEX(tProdutos[Classe],MATCH(tItens[[#This Row],[Produto]],tProdutos[Produto],0)),"produto não cadastrado")</f>
        <v>NÚCLEO</v>
      </c>
      <c r="K1801" s="12">
        <f>tItens[[#This Row],[Qtd]]*tItens[[#This Row],[Vlr unit]]</f>
        <v>72</v>
      </c>
      <c r="L1801" s="6">
        <f>IFERROR(IF(INDEX(tProdutos[Desconto homologado],MATCH(tItens[[#This Row],[Produto]],tProdutos[Produto],0))="",DescontoPadrao,INDEX(tProdutos[Desconto homologado],MATCH(tItens[[#This Row],[Produto]],tProdutos[Produto],0))),DescontoPadrao)</f>
        <v>0.30410958904109597</v>
      </c>
      <c r="M1801" s="12">
        <f>tItens[[#This Row],[Valor]]*(1-tItens[[#This Row],[Desconto]])</f>
        <v>50.104109589041087</v>
      </c>
      <c r="N1801" t="str">
        <f>IFERROR(INDEX(tProdutos[Foco],MATCH(tItens[[#This Row],[Produto]],tProdutos[Produto],0)),"Não")</f>
        <v>Não</v>
      </c>
      <c r="O1801" t="str">
        <f>IFERROR(INDEX(tEditais[SRP],MATCH(tItens[[#This Row],[Edital]],tEditais[Edital],0)),"Não")</f>
        <v>Sim</v>
      </c>
      <c r="P1801" s="4">
        <f>IF(COUNTIFS(INDEX(tItens[Edital],1):tItens[[#This Row],[Edital]],tItens[[#This Row],[Edital]],INDEX(tItens[Produto],1):tItens[[#This Row],[Produto]],tItens[[#This Row],[Produto]])=1,1,0)</f>
        <v>0</v>
      </c>
    </row>
    <row r="1802" spans="1:16" x14ac:dyDescent="0.25">
      <c r="A1802" t="s">
        <v>1181</v>
      </c>
      <c r="B1802">
        <v>23</v>
      </c>
      <c r="C1802" t="s">
        <v>4394</v>
      </c>
      <c r="D1802" t="s">
        <v>110</v>
      </c>
      <c r="E1802" s="13">
        <v>80</v>
      </c>
      <c r="F1802" s="12">
        <v>0.94</v>
      </c>
      <c r="G1802" t="str">
        <f>IFERROR(INDEX(tEditais[Órgão],MATCH(tItens[[#This Row],[Edital]],tEditais[Edital],0)),"")</f>
        <v>FUNDO MUNICIPAL DE SAUDE</v>
      </c>
      <c r="H1802" t="str">
        <f>IFERROR(INDEX(tEditais[UF],MATCH(tItens[[#This Row],[Edital]],tEditais[Edital],0)),"")</f>
        <v>GO</v>
      </c>
      <c r="I1802" s="11">
        <f>IFERROR(INDEX(tEditais[Encerramento],MATCH(tItens[[#This Row],[Edital]],tEditais[Edital],0)),"")</f>
        <v>46309.354166666664</v>
      </c>
      <c r="J1802" t="str">
        <f>IFERROR(INDEX(tProdutos[Classe],MATCH(tItens[[#This Row],[Produto]],tProdutos[Produto],0)),"produto não cadastrado")</f>
        <v>NÚCLEO</v>
      </c>
      <c r="K1802" s="12">
        <f>tItens[[#This Row],[Qtd]]*tItens[[#This Row],[Vlr unit]]</f>
        <v>75.199999999999989</v>
      </c>
      <c r="L1802" s="6">
        <f>IFERROR(IF(INDEX(tProdutos[Desconto homologado],MATCH(tItens[[#This Row],[Produto]],tProdutos[Produto],0))="",DescontoPadrao,INDEX(tProdutos[Desconto homologado],MATCH(tItens[[#This Row],[Produto]],tProdutos[Produto],0))),DescontoPadrao)</f>
        <v>0.30410958904109597</v>
      </c>
      <c r="M1802" s="12">
        <f>tItens[[#This Row],[Valor]]*(1-tItens[[#This Row],[Desconto]])</f>
        <v>52.330958904109572</v>
      </c>
      <c r="N1802" t="str">
        <f>IFERROR(INDEX(tProdutos[Foco],MATCH(tItens[[#This Row],[Produto]],tProdutos[Produto],0)),"Não")</f>
        <v>Não</v>
      </c>
      <c r="O1802" t="str">
        <f>IFERROR(INDEX(tEditais[SRP],MATCH(tItens[[#This Row],[Edital]],tEditais[Edital],0)),"Não")</f>
        <v>Sim</v>
      </c>
      <c r="P1802" s="4">
        <f>IF(COUNTIFS(INDEX(tItens[Edital],1):tItens[[#This Row],[Edital]],tItens[[#This Row],[Edital]],INDEX(tItens[Produto],1):tItens[[#This Row],[Produto]],tItens[[#This Row],[Produto]])=1,1,0)</f>
        <v>0</v>
      </c>
    </row>
    <row r="1803" spans="1:16" x14ac:dyDescent="0.25">
      <c r="A1803" t="s">
        <v>1181</v>
      </c>
      <c r="B1803">
        <v>24</v>
      </c>
      <c r="C1803" t="s">
        <v>4395</v>
      </c>
      <c r="D1803" t="s">
        <v>110</v>
      </c>
      <c r="E1803" s="13">
        <v>20</v>
      </c>
      <c r="F1803" s="12">
        <v>1.07</v>
      </c>
      <c r="G1803" t="str">
        <f>IFERROR(INDEX(tEditais[Órgão],MATCH(tItens[[#This Row],[Edital]],tEditais[Edital],0)),"")</f>
        <v>FUNDO MUNICIPAL DE SAUDE</v>
      </c>
      <c r="H1803" t="str">
        <f>IFERROR(INDEX(tEditais[UF],MATCH(tItens[[#This Row],[Edital]],tEditais[Edital],0)),"")</f>
        <v>GO</v>
      </c>
      <c r="I1803" s="11">
        <f>IFERROR(INDEX(tEditais[Encerramento],MATCH(tItens[[#This Row],[Edital]],tEditais[Edital],0)),"")</f>
        <v>46309.354166666664</v>
      </c>
      <c r="J1803" t="str">
        <f>IFERROR(INDEX(tProdutos[Classe],MATCH(tItens[[#This Row],[Produto]],tProdutos[Produto],0)),"produto não cadastrado")</f>
        <v>NÚCLEO</v>
      </c>
      <c r="K1803" s="12">
        <f>tItens[[#This Row],[Qtd]]*tItens[[#This Row],[Vlr unit]]</f>
        <v>21.400000000000002</v>
      </c>
      <c r="L1803" s="6">
        <f>IFERROR(IF(INDEX(tProdutos[Desconto homologado],MATCH(tItens[[#This Row],[Produto]],tProdutos[Produto],0))="",DescontoPadrao,INDEX(tProdutos[Desconto homologado],MATCH(tItens[[#This Row],[Produto]],tProdutos[Produto],0))),DescontoPadrao)</f>
        <v>0.30410958904109597</v>
      </c>
      <c r="M1803" s="12">
        <f>tItens[[#This Row],[Valor]]*(1-tItens[[#This Row],[Desconto]])</f>
        <v>14.892054794520547</v>
      </c>
      <c r="N1803" t="str">
        <f>IFERROR(INDEX(tProdutos[Foco],MATCH(tItens[[#This Row],[Produto]],tProdutos[Produto],0)),"Não")</f>
        <v>Não</v>
      </c>
      <c r="O1803" t="str">
        <f>IFERROR(INDEX(tEditais[SRP],MATCH(tItens[[#This Row],[Edital]],tEditais[Edital],0)),"Não")</f>
        <v>Sim</v>
      </c>
      <c r="P1803" s="4">
        <f>IF(COUNTIFS(INDEX(tItens[Edital],1):tItens[[#This Row],[Edital]],tItens[[#This Row],[Edital]],INDEX(tItens[Produto],1):tItens[[#This Row],[Produto]],tItens[[#This Row],[Produto]])=1,1,0)</f>
        <v>0</v>
      </c>
    </row>
    <row r="1804" spans="1:16" x14ac:dyDescent="0.25">
      <c r="A1804" t="s">
        <v>1181</v>
      </c>
      <c r="B1804">
        <v>25</v>
      </c>
      <c r="C1804" t="s">
        <v>4396</v>
      </c>
      <c r="D1804" t="s">
        <v>110</v>
      </c>
      <c r="E1804" s="13">
        <v>40</v>
      </c>
      <c r="F1804" s="12">
        <v>1.1200000000000001</v>
      </c>
      <c r="G1804" t="str">
        <f>IFERROR(INDEX(tEditais[Órgão],MATCH(tItens[[#This Row],[Edital]],tEditais[Edital],0)),"")</f>
        <v>FUNDO MUNICIPAL DE SAUDE</v>
      </c>
      <c r="H1804" t="str">
        <f>IFERROR(INDEX(tEditais[UF],MATCH(tItens[[#This Row],[Edital]],tEditais[Edital],0)),"")</f>
        <v>GO</v>
      </c>
      <c r="I1804" s="11">
        <f>IFERROR(INDEX(tEditais[Encerramento],MATCH(tItens[[#This Row],[Edital]],tEditais[Edital],0)),"")</f>
        <v>46309.354166666664</v>
      </c>
      <c r="J1804" t="str">
        <f>IFERROR(INDEX(tProdutos[Classe],MATCH(tItens[[#This Row],[Produto]],tProdutos[Produto],0)),"produto não cadastrado")</f>
        <v>NÚCLEO</v>
      </c>
      <c r="K1804" s="12">
        <f>tItens[[#This Row],[Qtd]]*tItens[[#This Row],[Vlr unit]]</f>
        <v>44.800000000000004</v>
      </c>
      <c r="L1804" s="6">
        <f>IFERROR(IF(INDEX(tProdutos[Desconto homologado],MATCH(tItens[[#This Row],[Produto]],tProdutos[Produto],0))="",DescontoPadrao,INDEX(tProdutos[Desconto homologado],MATCH(tItens[[#This Row],[Produto]],tProdutos[Produto],0))),DescontoPadrao)</f>
        <v>0.30410958904109597</v>
      </c>
      <c r="M1804" s="12">
        <f>tItens[[#This Row],[Valor]]*(1-tItens[[#This Row],[Desconto]])</f>
        <v>31.175890410958903</v>
      </c>
      <c r="N1804" t="str">
        <f>IFERROR(INDEX(tProdutos[Foco],MATCH(tItens[[#This Row],[Produto]],tProdutos[Produto],0)),"Não")</f>
        <v>Não</v>
      </c>
      <c r="O1804" t="str">
        <f>IFERROR(INDEX(tEditais[SRP],MATCH(tItens[[#This Row],[Edital]],tEditais[Edital],0)),"Não")</f>
        <v>Sim</v>
      </c>
      <c r="P1804" s="4">
        <f>IF(COUNTIFS(INDEX(tItens[Edital],1):tItens[[#This Row],[Edital]],tItens[[#This Row],[Edital]],INDEX(tItens[Produto],1):tItens[[#This Row],[Produto]],tItens[[#This Row],[Produto]])=1,1,0)</f>
        <v>0</v>
      </c>
    </row>
    <row r="1805" spans="1:16" x14ac:dyDescent="0.25">
      <c r="A1805" t="s">
        <v>1181</v>
      </c>
      <c r="B1805">
        <v>26</v>
      </c>
      <c r="C1805" t="s">
        <v>4397</v>
      </c>
      <c r="D1805" t="s">
        <v>110</v>
      </c>
      <c r="E1805" s="13">
        <v>80</v>
      </c>
      <c r="F1805" s="12">
        <v>1.44</v>
      </c>
      <c r="G1805" t="str">
        <f>IFERROR(INDEX(tEditais[Órgão],MATCH(tItens[[#This Row],[Edital]],tEditais[Edital],0)),"")</f>
        <v>FUNDO MUNICIPAL DE SAUDE</v>
      </c>
      <c r="H1805" t="str">
        <f>IFERROR(INDEX(tEditais[UF],MATCH(tItens[[#This Row],[Edital]],tEditais[Edital],0)),"")</f>
        <v>GO</v>
      </c>
      <c r="I1805" s="11">
        <f>IFERROR(INDEX(tEditais[Encerramento],MATCH(tItens[[#This Row],[Edital]],tEditais[Edital],0)),"")</f>
        <v>46309.354166666664</v>
      </c>
      <c r="J1805" t="str">
        <f>IFERROR(INDEX(tProdutos[Classe],MATCH(tItens[[#This Row],[Produto]],tProdutos[Produto],0)),"produto não cadastrado")</f>
        <v>NÚCLEO</v>
      </c>
      <c r="K1805" s="12">
        <f>tItens[[#This Row],[Qtd]]*tItens[[#This Row],[Vlr unit]]</f>
        <v>115.19999999999999</v>
      </c>
      <c r="L1805" s="6">
        <f>IFERROR(IF(INDEX(tProdutos[Desconto homologado],MATCH(tItens[[#This Row],[Produto]],tProdutos[Produto],0))="",DescontoPadrao,INDEX(tProdutos[Desconto homologado],MATCH(tItens[[#This Row],[Produto]],tProdutos[Produto],0))),DescontoPadrao)</f>
        <v>0.30410958904109597</v>
      </c>
      <c r="M1805" s="12">
        <f>tItens[[#This Row],[Valor]]*(1-tItens[[#This Row],[Desconto]])</f>
        <v>80.166575342465734</v>
      </c>
      <c r="N1805" t="str">
        <f>IFERROR(INDEX(tProdutos[Foco],MATCH(tItens[[#This Row],[Produto]],tProdutos[Produto],0)),"Não")</f>
        <v>Não</v>
      </c>
      <c r="O1805" t="str">
        <f>IFERROR(INDEX(tEditais[SRP],MATCH(tItens[[#This Row],[Edital]],tEditais[Edital],0)),"Não")</f>
        <v>Sim</v>
      </c>
      <c r="P1805" s="4">
        <f>IF(COUNTIFS(INDEX(tItens[Edital],1):tItens[[#This Row],[Edital]],tItens[[#This Row],[Edital]],INDEX(tItens[Produto],1):tItens[[#This Row],[Produto]],tItens[[#This Row],[Produto]])=1,1,0)</f>
        <v>0</v>
      </c>
    </row>
    <row r="1806" spans="1:16" x14ac:dyDescent="0.25">
      <c r="A1806" t="s">
        <v>1181</v>
      </c>
      <c r="B1806">
        <v>32</v>
      </c>
      <c r="C1806" t="s">
        <v>4851</v>
      </c>
      <c r="D1806" t="s">
        <v>253</v>
      </c>
      <c r="E1806" s="13">
        <v>20</v>
      </c>
      <c r="F1806" s="12">
        <v>69</v>
      </c>
      <c r="G1806" t="str">
        <f>IFERROR(INDEX(tEditais[Órgão],MATCH(tItens[[#This Row],[Edital]],tEditais[Edital],0)),"")</f>
        <v>FUNDO MUNICIPAL DE SAUDE</v>
      </c>
      <c r="H1806" t="str">
        <f>IFERROR(INDEX(tEditais[UF],MATCH(tItens[[#This Row],[Edital]],tEditais[Edital],0)),"")</f>
        <v>GO</v>
      </c>
      <c r="I1806" s="11">
        <f>IFERROR(INDEX(tEditais[Encerramento],MATCH(tItens[[#This Row],[Edital]],tEditais[Edital],0)),"")</f>
        <v>46309.354166666664</v>
      </c>
      <c r="J1806" t="str">
        <f>IFERROR(INDEX(tProdutos[Classe],MATCH(tItens[[#This Row],[Produto]],tProdutos[Produto],0)),"produto não cadastrado")</f>
        <v>FORA</v>
      </c>
      <c r="K1806" s="12">
        <f>tItens[[#This Row],[Qtd]]*tItens[[#This Row],[Vlr unit]]</f>
        <v>1380</v>
      </c>
      <c r="L1806" s="6">
        <f>IFERROR(IF(INDEX(tProdutos[Desconto homologado],MATCH(tItens[[#This Row],[Produto]],tProdutos[Produto],0))="",DescontoPadrao,INDEX(tProdutos[Desconto homologado],MATCH(tItens[[#This Row],[Produto]],tProdutos[Produto],0))),DescontoPadrao)</f>
        <v>0.31735159817351599</v>
      </c>
      <c r="M1806" s="12">
        <f>tItens[[#This Row],[Valor]]*(1-tItens[[#This Row],[Desconto]])</f>
        <v>942.05479452054794</v>
      </c>
      <c r="N1806" t="str">
        <f>IFERROR(INDEX(tProdutos[Foco],MATCH(tItens[[#This Row],[Produto]],tProdutos[Produto],0)),"Não")</f>
        <v>Não</v>
      </c>
      <c r="O1806" t="str">
        <f>IFERROR(INDEX(tEditais[SRP],MATCH(tItens[[#This Row],[Edital]],tEditais[Edital],0)),"Não")</f>
        <v>Sim</v>
      </c>
      <c r="P1806" s="4">
        <f>IF(COUNTIFS(INDEX(tItens[Edital],1):tItens[[#This Row],[Edital]],tItens[[#This Row],[Edital]],INDEX(tItens[Produto],1):tItens[[#This Row],[Produto]],tItens[[#This Row],[Produto]])=1,1,0)</f>
        <v>1</v>
      </c>
    </row>
    <row r="1807" spans="1:16" x14ac:dyDescent="0.25">
      <c r="A1807" t="s">
        <v>1185</v>
      </c>
      <c r="B1807">
        <v>3</v>
      </c>
      <c r="C1807" t="s">
        <v>4852</v>
      </c>
      <c r="D1807" t="s">
        <v>383</v>
      </c>
      <c r="E1807" s="13">
        <v>200</v>
      </c>
      <c r="F1807" s="12">
        <v>61.9</v>
      </c>
      <c r="G1807" t="str">
        <f>IFERROR(INDEX(tEditais[Órgão],MATCH(tItens[[#This Row],[Edital]],tEditais[Edital],0)),"")</f>
        <v>FUNDO MUNICIPAL DE SAUDE DE TURVANIA</v>
      </c>
      <c r="H1807" t="str">
        <f>IFERROR(INDEX(tEditais[UF],MATCH(tItens[[#This Row],[Edital]],tEditais[Edital],0)),"")</f>
        <v>GO</v>
      </c>
      <c r="I1807" s="11">
        <f>IFERROR(INDEX(tEditais[Encerramento],MATCH(tItens[[#This Row],[Edital]],tEditais[Edital],0)),"")</f>
        <v>46310.291666666664</v>
      </c>
      <c r="J1807" t="str">
        <f>IFERROR(INDEX(tProdutos[Classe],MATCH(tItens[[#This Row],[Produto]],tProdutos[Produto],0)),"produto não cadastrado")</f>
        <v>FORA</v>
      </c>
      <c r="K1807" s="12">
        <f>tItens[[#This Row],[Qtd]]*tItens[[#This Row],[Vlr unit]]</f>
        <v>12380</v>
      </c>
      <c r="L1807" s="6">
        <f>IFERROR(IF(INDEX(tProdutos[Desconto homologado],MATCH(tItens[[#This Row],[Produto]],tProdutos[Produto],0))="",DescontoPadrao,INDEX(tProdutos[Desconto homologado],MATCH(tItens[[#This Row],[Produto]],tProdutos[Produto],0))),DescontoPadrao)</f>
        <v>0.48749999999999999</v>
      </c>
      <c r="M1807" s="12">
        <f>tItens[[#This Row],[Valor]]*(1-tItens[[#This Row],[Desconto]])</f>
        <v>6344.7499999999991</v>
      </c>
      <c r="N1807" t="str">
        <f>IFERROR(INDEX(tProdutos[Foco],MATCH(tItens[[#This Row],[Produto]],tProdutos[Produto],0)),"Não")</f>
        <v>Não</v>
      </c>
      <c r="O1807" t="str">
        <f>IFERROR(INDEX(tEditais[SRP],MATCH(tItens[[#This Row],[Edital]],tEditais[Edital],0)),"Não")</f>
        <v>Não</v>
      </c>
      <c r="P1807" s="4">
        <f>IF(COUNTIFS(INDEX(tItens[Edital],1):tItens[[#This Row],[Edital]],tItens[[#This Row],[Edital]],INDEX(tItens[Produto],1):tItens[[#This Row],[Produto]],tItens[[#This Row],[Produto]])=1,1,0)</f>
        <v>1</v>
      </c>
    </row>
    <row r="1808" spans="1:16" x14ac:dyDescent="0.25">
      <c r="A1808" t="s">
        <v>1185</v>
      </c>
      <c r="B1808">
        <v>8</v>
      </c>
      <c r="C1808" t="s">
        <v>4853</v>
      </c>
      <c r="D1808" t="s">
        <v>413</v>
      </c>
      <c r="E1808" s="13">
        <v>150</v>
      </c>
      <c r="F1808" s="12">
        <v>48.61</v>
      </c>
      <c r="G1808" t="str">
        <f>IFERROR(INDEX(tEditais[Órgão],MATCH(tItens[[#This Row],[Edital]],tEditais[Edital],0)),"")</f>
        <v>FUNDO MUNICIPAL DE SAUDE DE TURVANIA</v>
      </c>
      <c r="H1808" t="str">
        <f>IFERROR(INDEX(tEditais[UF],MATCH(tItens[[#This Row],[Edital]],tEditais[Edital],0)),"")</f>
        <v>GO</v>
      </c>
      <c r="I1808" s="11">
        <f>IFERROR(INDEX(tEditais[Encerramento],MATCH(tItens[[#This Row],[Edital]],tEditais[Edital],0)),"")</f>
        <v>46310.291666666664</v>
      </c>
      <c r="J1808" t="str">
        <f>IFERROR(INDEX(tProdutos[Classe],MATCH(tItens[[#This Row],[Produto]],tProdutos[Produto],0)),"produto não cadastrado")</f>
        <v>FORA</v>
      </c>
      <c r="K1808" s="12">
        <f>tItens[[#This Row],[Qtd]]*tItens[[#This Row],[Vlr unit]]</f>
        <v>7291.5</v>
      </c>
      <c r="L1808" s="6">
        <f>IFERROR(IF(INDEX(tProdutos[Desconto homologado],MATCH(tItens[[#This Row],[Produto]],tProdutos[Produto],0))="",DescontoPadrao,INDEX(tProdutos[Desconto homologado],MATCH(tItens[[#This Row],[Produto]],tProdutos[Produto],0))),DescontoPadrao)</f>
        <v>0.477732793522267</v>
      </c>
      <c r="M1808" s="12">
        <f>tItens[[#This Row],[Valor]]*(1-tItens[[#This Row],[Desconto]])</f>
        <v>3808.1113360323898</v>
      </c>
      <c r="N1808" t="str">
        <f>IFERROR(INDEX(tProdutos[Foco],MATCH(tItens[[#This Row],[Produto]],tProdutos[Produto],0)),"Não")</f>
        <v>Não</v>
      </c>
      <c r="O1808" t="str">
        <f>IFERROR(INDEX(tEditais[SRP],MATCH(tItens[[#This Row],[Edital]],tEditais[Edital],0)),"Não")</f>
        <v>Não</v>
      </c>
      <c r="P1808" s="4">
        <f>IF(COUNTIFS(INDEX(tItens[Edital],1):tItens[[#This Row],[Edital]],tItens[[#This Row],[Edital]],INDEX(tItens[Produto],1):tItens[[#This Row],[Produto]],tItens[[#This Row],[Produto]])=1,1,0)</f>
        <v>1</v>
      </c>
    </row>
    <row r="1809" spans="1:16" x14ac:dyDescent="0.25">
      <c r="A1809" t="s">
        <v>1185</v>
      </c>
      <c r="B1809">
        <v>10</v>
      </c>
      <c r="C1809" t="s">
        <v>4854</v>
      </c>
      <c r="D1809" t="s">
        <v>385</v>
      </c>
      <c r="E1809" s="13">
        <v>200</v>
      </c>
      <c r="F1809" s="12">
        <v>14.07</v>
      </c>
      <c r="G1809" t="str">
        <f>IFERROR(INDEX(tEditais[Órgão],MATCH(tItens[[#This Row],[Edital]],tEditais[Edital],0)),"")</f>
        <v>FUNDO MUNICIPAL DE SAUDE DE TURVANIA</v>
      </c>
      <c r="H1809" t="str">
        <f>IFERROR(INDEX(tEditais[UF],MATCH(tItens[[#This Row],[Edital]],tEditais[Edital],0)),"")</f>
        <v>GO</v>
      </c>
      <c r="I1809" s="11">
        <f>IFERROR(INDEX(tEditais[Encerramento],MATCH(tItens[[#This Row],[Edital]],tEditais[Edital],0)),"")</f>
        <v>46310.291666666664</v>
      </c>
      <c r="J1809" t="str">
        <f>IFERROR(INDEX(tProdutos[Classe],MATCH(tItens[[#This Row],[Produto]],tProdutos[Produto],0)),"produto não cadastrado")</f>
        <v>FORA</v>
      </c>
      <c r="K1809" s="12">
        <f>tItens[[#This Row],[Qtd]]*tItens[[#This Row],[Vlr unit]]</f>
        <v>2814</v>
      </c>
      <c r="L1809" s="6">
        <f>IFERROR(IF(INDEX(tProdutos[Desconto homologado],MATCH(tItens[[#This Row],[Produto]],tProdutos[Produto],0))="",DescontoPadrao,INDEX(tProdutos[Desconto homologado],MATCH(tItens[[#This Row],[Produto]],tProdutos[Produto],0))),DescontoPadrao)</f>
        <v>0.46969696969697</v>
      </c>
      <c r="M1809" s="12">
        <f>tItens[[#This Row],[Valor]]*(1-tItens[[#This Row],[Desconto]])</f>
        <v>1492.2727272727266</v>
      </c>
      <c r="N1809" t="str">
        <f>IFERROR(INDEX(tProdutos[Foco],MATCH(tItens[[#This Row],[Produto]],tProdutos[Produto],0)),"Não")</f>
        <v>Não</v>
      </c>
      <c r="O1809" t="str">
        <f>IFERROR(INDEX(tEditais[SRP],MATCH(tItens[[#This Row],[Edital]],tEditais[Edital],0)),"Não")</f>
        <v>Não</v>
      </c>
      <c r="P1809" s="4">
        <f>IF(COUNTIFS(INDEX(tItens[Edital],1):tItens[[#This Row],[Edital]],tItens[[#This Row],[Edital]],INDEX(tItens[Produto],1):tItens[[#This Row],[Produto]],tItens[[#This Row],[Produto]])=1,1,0)</f>
        <v>1</v>
      </c>
    </row>
    <row r="1810" spans="1:16" x14ac:dyDescent="0.25">
      <c r="A1810" t="s">
        <v>1185</v>
      </c>
      <c r="B1810">
        <v>19</v>
      </c>
      <c r="C1810" t="s">
        <v>4855</v>
      </c>
      <c r="D1810" t="s">
        <v>114</v>
      </c>
      <c r="E1810" s="13">
        <v>100</v>
      </c>
      <c r="F1810" s="12">
        <v>16.059999999999999</v>
      </c>
      <c r="G1810" t="str">
        <f>IFERROR(INDEX(tEditais[Órgão],MATCH(tItens[[#This Row],[Edital]],tEditais[Edital],0)),"")</f>
        <v>FUNDO MUNICIPAL DE SAUDE DE TURVANIA</v>
      </c>
      <c r="H1810" t="str">
        <f>IFERROR(INDEX(tEditais[UF],MATCH(tItens[[#This Row],[Edital]],tEditais[Edital],0)),"")</f>
        <v>GO</v>
      </c>
      <c r="I1810" s="11">
        <f>IFERROR(INDEX(tEditais[Encerramento],MATCH(tItens[[#This Row],[Edital]],tEditais[Edital],0)),"")</f>
        <v>46310.291666666664</v>
      </c>
      <c r="J1810" t="str">
        <f>IFERROR(INDEX(tProdutos[Classe],MATCH(tItens[[#This Row],[Produto]],tProdutos[Produto],0)),"produto não cadastrado")</f>
        <v>DISPUTADO</v>
      </c>
      <c r="K1810" s="12">
        <f>tItens[[#This Row],[Qtd]]*tItens[[#This Row],[Vlr unit]]</f>
        <v>1605.9999999999998</v>
      </c>
      <c r="L1810" s="6">
        <f>IFERROR(IF(INDEX(tProdutos[Desconto homologado],MATCH(tItens[[#This Row],[Produto]],tProdutos[Produto],0))="",DescontoPadrao,INDEX(tProdutos[Desconto homologado],MATCH(tItens[[#This Row],[Produto]],tProdutos[Produto],0))),DescontoPadrao)</f>
        <v>0.24332656063896899</v>
      </c>
      <c r="M1810" s="12">
        <f>tItens[[#This Row],[Valor]]*(1-tItens[[#This Row],[Desconto]])</f>
        <v>1215.2175436138157</v>
      </c>
      <c r="N1810" t="str">
        <f>IFERROR(INDEX(tProdutos[Foco],MATCH(tItens[[#This Row],[Produto]],tProdutos[Produto],0)),"Não")</f>
        <v>Não</v>
      </c>
      <c r="O1810" t="str">
        <f>IFERROR(INDEX(tEditais[SRP],MATCH(tItens[[#This Row],[Edital]],tEditais[Edital],0)),"Não")</f>
        <v>Não</v>
      </c>
      <c r="P1810" s="4">
        <f>IF(COUNTIFS(INDEX(tItens[Edital],1):tItens[[#This Row],[Edital]],tItens[[#This Row],[Edital]],INDEX(tItens[Produto],1):tItens[[#This Row],[Produto]],tItens[[#This Row],[Produto]])=1,1,0)</f>
        <v>1</v>
      </c>
    </row>
    <row r="1811" spans="1:16" x14ac:dyDescent="0.25">
      <c r="A1811" t="s">
        <v>1189</v>
      </c>
      <c r="B1811">
        <v>31</v>
      </c>
      <c r="C1811" t="s">
        <v>4856</v>
      </c>
      <c r="D1811" t="s">
        <v>351</v>
      </c>
      <c r="E1811" s="13">
        <v>1000</v>
      </c>
      <c r="F1811" s="12">
        <v>9.35</v>
      </c>
      <c r="G1811" t="str">
        <f>IFERROR(INDEX(tEditais[Órgão],MATCH(tItens[[#This Row],[Edital]],tEditais[Edital],0)),"")</f>
        <v>FUNDO MUNICIPAL DE SAUDE DE SAO PATRICIO</v>
      </c>
      <c r="H1811" t="str">
        <f>IFERROR(INDEX(tEditais[UF],MATCH(tItens[[#This Row],[Edital]],tEditais[Edital],0)),"")</f>
        <v>GO</v>
      </c>
      <c r="I1811" s="11">
        <f>IFERROR(INDEX(tEditais[Encerramento],MATCH(tItens[[#This Row],[Edital]],tEditais[Edital],0)),"")</f>
        <v>46310.3125</v>
      </c>
      <c r="J1811" t="str">
        <f>IFERROR(INDEX(tProdutos[Classe],MATCH(tItens[[#This Row],[Produto]],tProdutos[Produto],0)),"produto não cadastrado")</f>
        <v>FORA</v>
      </c>
      <c r="K1811" s="12">
        <f>tItens[[#This Row],[Qtd]]*tItens[[#This Row],[Vlr unit]]</f>
        <v>9350</v>
      </c>
      <c r="L1811" s="6">
        <f>IFERROR(IF(INDEX(tProdutos[Desconto homologado],MATCH(tItens[[#This Row],[Produto]],tProdutos[Produto],0))="",DescontoPadrao,INDEX(tProdutos[Desconto homologado],MATCH(tItens[[#This Row],[Produto]],tProdutos[Produto],0))),DescontoPadrao)</f>
        <v>0.33518005540166201</v>
      </c>
      <c r="M1811" s="12">
        <f>tItens[[#This Row],[Valor]]*(1-tItens[[#This Row],[Desconto]])</f>
        <v>6216.0664819944604</v>
      </c>
      <c r="N1811" t="str">
        <f>IFERROR(INDEX(tProdutos[Foco],MATCH(tItens[[#This Row],[Produto]],tProdutos[Produto],0)),"Não")</f>
        <v>Não</v>
      </c>
      <c r="O1811" t="str">
        <f>IFERROR(INDEX(tEditais[SRP],MATCH(tItens[[#This Row],[Edital]],tEditais[Edital],0)),"Não")</f>
        <v>Sim</v>
      </c>
      <c r="P1811" s="4">
        <f>IF(COUNTIFS(INDEX(tItens[Edital],1):tItens[[#This Row],[Edital]],tItens[[#This Row],[Edital]],INDEX(tItens[Produto],1):tItens[[#This Row],[Produto]],tItens[[#This Row],[Produto]])=1,1,0)</f>
        <v>1</v>
      </c>
    </row>
    <row r="1812" spans="1:16" x14ac:dyDescent="0.25">
      <c r="A1812" t="s">
        <v>1189</v>
      </c>
      <c r="B1812">
        <v>32</v>
      </c>
      <c r="C1812" t="s">
        <v>4857</v>
      </c>
      <c r="D1812" t="s">
        <v>351</v>
      </c>
      <c r="E1812" s="13">
        <v>1500</v>
      </c>
      <c r="F1812" s="12">
        <v>10.45</v>
      </c>
      <c r="G1812" t="str">
        <f>IFERROR(INDEX(tEditais[Órgão],MATCH(tItens[[#This Row],[Edital]],tEditais[Edital],0)),"")</f>
        <v>FUNDO MUNICIPAL DE SAUDE DE SAO PATRICIO</v>
      </c>
      <c r="H1812" t="str">
        <f>IFERROR(INDEX(tEditais[UF],MATCH(tItens[[#This Row],[Edital]],tEditais[Edital],0)),"")</f>
        <v>GO</v>
      </c>
      <c r="I1812" s="11">
        <f>IFERROR(INDEX(tEditais[Encerramento],MATCH(tItens[[#This Row],[Edital]],tEditais[Edital],0)),"")</f>
        <v>46310.3125</v>
      </c>
      <c r="J1812" t="str">
        <f>IFERROR(INDEX(tProdutos[Classe],MATCH(tItens[[#This Row],[Produto]],tProdutos[Produto],0)),"produto não cadastrado")</f>
        <v>FORA</v>
      </c>
      <c r="K1812" s="12">
        <f>tItens[[#This Row],[Qtd]]*tItens[[#This Row],[Vlr unit]]</f>
        <v>15674.999999999998</v>
      </c>
      <c r="L1812" s="6">
        <f>IFERROR(IF(INDEX(tProdutos[Desconto homologado],MATCH(tItens[[#This Row],[Produto]],tProdutos[Produto],0))="",DescontoPadrao,INDEX(tProdutos[Desconto homologado],MATCH(tItens[[#This Row],[Produto]],tProdutos[Produto],0))),DescontoPadrao)</f>
        <v>0.33518005540166201</v>
      </c>
      <c r="M1812" s="12">
        <f>tItens[[#This Row],[Valor]]*(1-tItens[[#This Row],[Desconto]])</f>
        <v>10421.052631578948</v>
      </c>
      <c r="N1812" t="str">
        <f>IFERROR(INDEX(tProdutos[Foco],MATCH(tItens[[#This Row],[Produto]],tProdutos[Produto],0)),"Não")</f>
        <v>Não</v>
      </c>
      <c r="O1812" t="str">
        <f>IFERROR(INDEX(tEditais[SRP],MATCH(tItens[[#This Row],[Edital]],tEditais[Edital],0)),"Não")</f>
        <v>Sim</v>
      </c>
      <c r="P1812" s="4">
        <f>IF(COUNTIFS(INDEX(tItens[Edital],1):tItens[[#This Row],[Edital]],tItens[[#This Row],[Edital]],INDEX(tItens[Produto],1):tItens[[#This Row],[Produto]],tItens[[#This Row],[Produto]])=1,1,0)</f>
        <v>0</v>
      </c>
    </row>
    <row r="1813" spans="1:16" x14ac:dyDescent="0.25">
      <c r="A1813" t="s">
        <v>1189</v>
      </c>
      <c r="B1813">
        <v>56</v>
      </c>
      <c r="C1813" t="s">
        <v>4858</v>
      </c>
      <c r="D1813" t="s">
        <v>73</v>
      </c>
      <c r="E1813" s="13">
        <v>2000</v>
      </c>
      <c r="F1813" s="12">
        <v>1.67</v>
      </c>
      <c r="G1813" t="str">
        <f>IFERROR(INDEX(tEditais[Órgão],MATCH(tItens[[#This Row],[Edital]],tEditais[Edital],0)),"")</f>
        <v>FUNDO MUNICIPAL DE SAUDE DE SAO PATRICIO</v>
      </c>
      <c r="H1813" t="str">
        <f>IFERROR(INDEX(tEditais[UF],MATCH(tItens[[#This Row],[Edital]],tEditais[Edital],0)),"")</f>
        <v>GO</v>
      </c>
      <c r="I1813" s="11">
        <f>IFERROR(INDEX(tEditais[Encerramento],MATCH(tItens[[#This Row],[Edital]],tEditais[Edital],0)),"")</f>
        <v>46310.3125</v>
      </c>
      <c r="J1813" t="str">
        <f>IFERROR(INDEX(tProdutos[Classe],MATCH(tItens[[#This Row],[Produto]],tProdutos[Produto],0)),"produto não cadastrado")</f>
        <v>NÚCLEO</v>
      </c>
      <c r="K1813" s="12">
        <f>tItens[[#This Row],[Qtd]]*tItens[[#This Row],[Vlr unit]]</f>
        <v>3340</v>
      </c>
      <c r="L1813" s="6">
        <f>IFERROR(IF(INDEX(tProdutos[Desconto homologado],MATCH(tItens[[#This Row],[Produto]],tProdutos[Produto],0))="",DescontoPadrao,INDEX(tProdutos[Desconto homologado],MATCH(tItens[[#This Row],[Produto]],tProdutos[Produto],0))),DescontoPadrao)</f>
        <v>0.37</v>
      </c>
      <c r="M1813" s="12">
        <f>tItens[[#This Row],[Valor]]*(1-tItens[[#This Row],[Desconto]])</f>
        <v>2104.1999999999998</v>
      </c>
      <c r="N1813" t="str">
        <f>IFERROR(INDEX(tProdutos[Foco],MATCH(tItens[[#This Row],[Produto]],tProdutos[Produto],0)),"Não")</f>
        <v>Sim</v>
      </c>
      <c r="O1813" t="str">
        <f>IFERROR(INDEX(tEditais[SRP],MATCH(tItens[[#This Row],[Edital]],tEditais[Edital],0)),"Não")</f>
        <v>Sim</v>
      </c>
      <c r="P1813" s="4">
        <f>IF(COUNTIFS(INDEX(tItens[Edital],1):tItens[[#This Row],[Edital]],tItens[[#This Row],[Edital]],INDEX(tItens[Produto],1):tItens[[#This Row],[Produto]],tItens[[#This Row],[Produto]])=1,1,0)</f>
        <v>1</v>
      </c>
    </row>
    <row r="1814" spans="1:16" x14ac:dyDescent="0.25">
      <c r="A1814" t="s">
        <v>1189</v>
      </c>
      <c r="B1814">
        <v>57</v>
      </c>
      <c r="C1814" t="s">
        <v>4859</v>
      </c>
      <c r="D1814" t="s">
        <v>73</v>
      </c>
      <c r="E1814" s="13">
        <v>500</v>
      </c>
      <c r="F1814" s="12">
        <v>4.5</v>
      </c>
      <c r="G1814" t="str">
        <f>IFERROR(INDEX(tEditais[Órgão],MATCH(tItens[[#This Row],[Edital]],tEditais[Edital],0)),"")</f>
        <v>FUNDO MUNICIPAL DE SAUDE DE SAO PATRICIO</v>
      </c>
      <c r="H1814" t="str">
        <f>IFERROR(INDEX(tEditais[UF],MATCH(tItens[[#This Row],[Edital]],tEditais[Edital],0)),"")</f>
        <v>GO</v>
      </c>
      <c r="I1814" s="11">
        <f>IFERROR(INDEX(tEditais[Encerramento],MATCH(tItens[[#This Row],[Edital]],tEditais[Edital],0)),"")</f>
        <v>46310.3125</v>
      </c>
      <c r="J1814" t="str">
        <f>IFERROR(INDEX(tProdutos[Classe],MATCH(tItens[[#This Row],[Produto]],tProdutos[Produto],0)),"produto não cadastrado")</f>
        <v>NÚCLEO</v>
      </c>
      <c r="K1814" s="12">
        <f>tItens[[#This Row],[Qtd]]*tItens[[#This Row],[Vlr unit]]</f>
        <v>2250</v>
      </c>
      <c r="L1814" s="6">
        <f>IFERROR(IF(INDEX(tProdutos[Desconto homologado],MATCH(tItens[[#This Row],[Produto]],tProdutos[Produto],0))="",DescontoPadrao,INDEX(tProdutos[Desconto homologado],MATCH(tItens[[#This Row],[Produto]],tProdutos[Produto],0))),DescontoPadrao)</f>
        <v>0.37</v>
      </c>
      <c r="M1814" s="12">
        <f>tItens[[#This Row],[Valor]]*(1-tItens[[#This Row],[Desconto]])</f>
        <v>1417.5</v>
      </c>
      <c r="N1814" t="str">
        <f>IFERROR(INDEX(tProdutos[Foco],MATCH(tItens[[#This Row],[Produto]],tProdutos[Produto],0)),"Não")</f>
        <v>Sim</v>
      </c>
      <c r="O1814" t="str">
        <f>IFERROR(INDEX(tEditais[SRP],MATCH(tItens[[#This Row],[Edital]],tEditais[Edital],0)),"Não")</f>
        <v>Sim</v>
      </c>
      <c r="P1814" s="4">
        <f>IF(COUNTIFS(INDEX(tItens[Edital],1):tItens[[#This Row],[Edital]],tItens[[#This Row],[Edital]],INDEX(tItens[Produto],1):tItens[[#This Row],[Produto]],tItens[[#This Row],[Produto]])=1,1,0)</f>
        <v>0</v>
      </c>
    </row>
    <row r="1815" spans="1:16" x14ac:dyDescent="0.25">
      <c r="A1815" t="s">
        <v>1189</v>
      </c>
      <c r="B1815">
        <v>89</v>
      </c>
      <c r="C1815" t="s">
        <v>4860</v>
      </c>
      <c r="D1815" t="s">
        <v>100</v>
      </c>
      <c r="E1815" s="13">
        <v>150</v>
      </c>
      <c r="F1815" s="12">
        <v>205.31</v>
      </c>
      <c r="G1815" t="str">
        <f>IFERROR(INDEX(tEditais[Órgão],MATCH(tItens[[#This Row],[Edital]],tEditais[Edital],0)),"")</f>
        <v>FUNDO MUNICIPAL DE SAUDE DE SAO PATRICIO</v>
      </c>
      <c r="H1815" t="str">
        <f>IFERROR(INDEX(tEditais[UF],MATCH(tItens[[#This Row],[Edital]],tEditais[Edital],0)),"")</f>
        <v>GO</v>
      </c>
      <c r="I1815" s="11">
        <f>IFERROR(INDEX(tEditais[Encerramento],MATCH(tItens[[#This Row],[Edital]],tEditais[Edital],0)),"")</f>
        <v>46310.3125</v>
      </c>
      <c r="J1815" t="str">
        <f>IFERROR(INDEX(tProdutos[Classe],MATCH(tItens[[#This Row],[Produto]],tProdutos[Produto],0)),"produto não cadastrado")</f>
        <v>NÚCLEO</v>
      </c>
      <c r="K1815" s="12">
        <f>tItens[[#This Row],[Qtd]]*tItens[[#This Row],[Vlr unit]]</f>
        <v>30796.5</v>
      </c>
      <c r="L1815" s="6">
        <f>IFERROR(IF(INDEX(tProdutos[Desconto homologado],MATCH(tItens[[#This Row],[Produto]],tProdutos[Produto],0))="",DescontoPadrao,INDEX(tProdutos[Desconto homologado],MATCH(tItens[[#This Row],[Produto]],tProdutos[Produto],0))),DescontoPadrao)</f>
        <v>0.24</v>
      </c>
      <c r="M1815" s="12">
        <f>tItens[[#This Row],[Valor]]*(1-tItens[[#This Row],[Desconto]])</f>
        <v>23405.34</v>
      </c>
      <c r="N1815" t="str">
        <f>IFERROR(INDEX(tProdutos[Foco],MATCH(tItens[[#This Row],[Produto]],tProdutos[Produto],0)),"Não")</f>
        <v>Sim</v>
      </c>
      <c r="O1815" t="str">
        <f>IFERROR(INDEX(tEditais[SRP],MATCH(tItens[[#This Row],[Edital]],tEditais[Edital],0)),"Não")</f>
        <v>Sim</v>
      </c>
      <c r="P1815" s="4">
        <f>IF(COUNTIFS(INDEX(tItens[Edital],1):tItens[[#This Row],[Edital]],tItens[[#This Row],[Edital]],INDEX(tItens[Produto],1):tItens[[#This Row],[Produto]],tItens[[#This Row],[Produto]])=1,1,0)</f>
        <v>1</v>
      </c>
    </row>
    <row r="1816" spans="1:16" x14ac:dyDescent="0.25">
      <c r="A1816" t="s">
        <v>1189</v>
      </c>
      <c r="B1816">
        <v>93</v>
      </c>
      <c r="C1816" t="s">
        <v>4861</v>
      </c>
      <c r="D1816" t="s">
        <v>90</v>
      </c>
      <c r="E1816" s="13">
        <v>1000</v>
      </c>
      <c r="F1816" s="12">
        <v>17.649999999999999</v>
      </c>
      <c r="G1816" t="str">
        <f>IFERROR(INDEX(tEditais[Órgão],MATCH(tItens[[#This Row],[Edital]],tEditais[Edital],0)),"")</f>
        <v>FUNDO MUNICIPAL DE SAUDE DE SAO PATRICIO</v>
      </c>
      <c r="H1816" t="str">
        <f>IFERROR(INDEX(tEditais[UF],MATCH(tItens[[#This Row],[Edital]],tEditais[Edital],0)),"")</f>
        <v>GO</v>
      </c>
      <c r="I1816" s="11">
        <f>IFERROR(INDEX(tEditais[Encerramento],MATCH(tItens[[#This Row],[Edital]],tEditais[Edital],0)),"")</f>
        <v>46310.3125</v>
      </c>
      <c r="J1816" t="str">
        <f>IFERROR(INDEX(tProdutos[Classe],MATCH(tItens[[#This Row],[Produto]],tProdutos[Produto],0)),"produto não cadastrado")</f>
        <v>DISPUTADO</v>
      </c>
      <c r="K1816" s="12">
        <f>tItens[[#This Row],[Qtd]]*tItens[[#This Row],[Vlr unit]]</f>
        <v>17650</v>
      </c>
      <c r="L1816" s="6">
        <f>IFERROR(IF(INDEX(tProdutos[Desconto homologado],MATCH(tItens[[#This Row],[Produto]],tProdutos[Produto],0))="",DescontoPadrao,INDEX(tProdutos[Desconto homologado],MATCH(tItens[[#This Row],[Produto]],tProdutos[Produto],0))),DescontoPadrao)</f>
        <v>0.25393823957010597</v>
      </c>
      <c r="M1816" s="12">
        <f>tItens[[#This Row],[Valor]]*(1-tItens[[#This Row],[Desconto]])</f>
        <v>13167.99007158763</v>
      </c>
      <c r="N1816" t="str">
        <f>IFERROR(INDEX(tProdutos[Foco],MATCH(tItens[[#This Row],[Produto]],tProdutos[Produto],0)),"Não")</f>
        <v>Não</v>
      </c>
      <c r="O1816" t="str">
        <f>IFERROR(INDEX(tEditais[SRP],MATCH(tItens[[#This Row],[Edital]],tEditais[Edital],0)),"Não")</f>
        <v>Sim</v>
      </c>
      <c r="P1816" s="4">
        <f>IF(COUNTIFS(INDEX(tItens[Edital],1):tItens[[#This Row],[Edital]],tItens[[#This Row],[Edital]],INDEX(tItens[Produto],1):tItens[[#This Row],[Produto]],tItens[[#This Row],[Produto]])=1,1,0)</f>
        <v>1</v>
      </c>
    </row>
    <row r="1817" spans="1:16" x14ac:dyDescent="0.25">
      <c r="A1817" t="s">
        <v>1189</v>
      </c>
      <c r="B1817">
        <v>94</v>
      </c>
      <c r="C1817" t="s">
        <v>4862</v>
      </c>
      <c r="D1817" t="s">
        <v>75</v>
      </c>
      <c r="E1817" s="13">
        <v>3000</v>
      </c>
      <c r="F1817" s="12">
        <v>2.4700000000000002</v>
      </c>
      <c r="G1817" t="str">
        <f>IFERROR(INDEX(tEditais[Órgão],MATCH(tItens[[#This Row],[Edital]],tEditais[Edital],0)),"")</f>
        <v>FUNDO MUNICIPAL DE SAUDE DE SAO PATRICIO</v>
      </c>
      <c r="H1817" t="str">
        <f>IFERROR(INDEX(tEditais[UF],MATCH(tItens[[#This Row],[Edital]],tEditais[Edital],0)),"")</f>
        <v>GO</v>
      </c>
      <c r="I1817" s="11">
        <f>IFERROR(INDEX(tEditais[Encerramento],MATCH(tItens[[#This Row],[Edital]],tEditais[Edital],0)),"")</f>
        <v>46310.3125</v>
      </c>
      <c r="J1817" t="str">
        <f>IFERROR(INDEX(tProdutos[Classe],MATCH(tItens[[#This Row],[Produto]],tProdutos[Produto],0)),"produto não cadastrado")</f>
        <v>NÚCLEO</v>
      </c>
      <c r="K1817" s="12">
        <f>tItens[[#This Row],[Qtd]]*tItens[[#This Row],[Vlr unit]]</f>
        <v>7410.0000000000009</v>
      </c>
      <c r="L1817" s="6">
        <f>IFERROR(IF(INDEX(tProdutos[Desconto homologado],MATCH(tItens[[#This Row],[Produto]],tProdutos[Produto],0))="",DescontoPadrao,INDEX(tProdutos[Desconto homologado],MATCH(tItens[[#This Row],[Produto]],tProdutos[Produto],0))),DescontoPadrao)</f>
        <v>0.26</v>
      </c>
      <c r="M1817" s="12">
        <f>tItens[[#This Row],[Valor]]*(1-tItens[[#This Row],[Desconto]])</f>
        <v>5483.4000000000005</v>
      </c>
      <c r="N1817" t="str">
        <f>IFERROR(INDEX(tProdutos[Foco],MATCH(tItens[[#This Row],[Produto]],tProdutos[Produto],0)),"Não")</f>
        <v>Sim</v>
      </c>
      <c r="O1817" t="str">
        <f>IFERROR(INDEX(tEditais[SRP],MATCH(tItens[[#This Row],[Edital]],tEditais[Edital],0)),"Não")</f>
        <v>Sim</v>
      </c>
      <c r="P1817" s="4">
        <f>IF(COUNTIFS(INDEX(tItens[Edital],1):tItens[[#This Row],[Edital]],tItens[[#This Row],[Edital]],INDEX(tItens[Produto],1):tItens[[#This Row],[Produto]],tItens[[#This Row],[Produto]])=1,1,0)</f>
        <v>1</v>
      </c>
    </row>
    <row r="1818" spans="1:16" x14ac:dyDescent="0.25">
      <c r="A1818" t="s">
        <v>1189</v>
      </c>
      <c r="B1818">
        <v>115</v>
      </c>
      <c r="C1818" t="s">
        <v>4863</v>
      </c>
      <c r="D1818" t="s">
        <v>512</v>
      </c>
      <c r="E1818" s="13">
        <v>10</v>
      </c>
      <c r="F1818" s="12">
        <v>173.82</v>
      </c>
      <c r="G1818" t="str">
        <f>IFERROR(INDEX(tEditais[Órgão],MATCH(tItens[[#This Row],[Edital]],tEditais[Edital],0)),"")</f>
        <v>FUNDO MUNICIPAL DE SAUDE DE SAO PATRICIO</v>
      </c>
      <c r="H1818" t="str">
        <f>IFERROR(INDEX(tEditais[UF],MATCH(tItens[[#This Row],[Edital]],tEditais[Edital],0)),"")</f>
        <v>GO</v>
      </c>
      <c r="I1818" s="11">
        <f>IFERROR(INDEX(tEditais[Encerramento],MATCH(tItens[[#This Row],[Edital]],tEditais[Edital],0)),"")</f>
        <v>46310.3125</v>
      </c>
      <c r="J1818" t="str">
        <f>IFERROR(INDEX(tProdutos[Classe],MATCH(tItens[[#This Row],[Produto]],tProdutos[Produto],0)),"produto não cadastrado")</f>
        <v>FILA REBASE</v>
      </c>
      <c r="K1818" s="12">
        <f>tItens[[#This Row],[Qtd]]*tItens[[#This Row],[Vlr unit]]</f>
        <v>1738.1999999999998</v>
      </c>
      <c r="L1818" s="6">
        <f>IFERROR(IF(INDEX(tProdutos[Desconto homologado],MATCH(tItens[[#This Row],[Produto]],tProdutos[Produto],0))="",DescontoPadrao,INDEX(tProdutos[Desconto homologado],MATCH(tItens[[#This Row],[Produto]],tProdutos[Produto],0))),DescontoPadrao)</f>
        <v>0.32579365079365102</v>
      </c>
      <c r="M1818" s="12">
        <f>tItens[[#This Row],[Valor]]*(1-tItens[[#This Row],[Desconto]])</f>
        <v>1171.9054761904758</v>
      </c>
      <c r="N1818" t="str">
        <f>IFERROR(INDEX(tProdutos[Foco],MATCH(tItens[[#This Row],[Produto]],tProdutos[Produto],0)),"Não")</f>
        <v>Não</v>
      </c>
      <c r="O1818" t="str">
        <f>IFERROR(INDEX(tEditais[SRP],MATCH(tItens[[#This Row],[Edital]],tEditais[Edital],0)),"Não")</f>
        <v>Sim</v>
      </c>
      <c r="P1818" s="4">
        <f>IF(COUNTIFS(INDEX(tItens[Edital],1):tItens[[#This Row],[Edital]],tItens[[#This Row],[Edital]],INDEX(tItens[Produto],1):tItens[[#This Row],[Produto]],tItens[[#This Row],[Produto]])=1,1,0)</f>
        <v>1</v>
      </c>
    </row>
    <row r="1819" spans="1:16" x14ac:dyDescent="0.25">
      <c r="A1819" t="s">
        <v>1189</v>
      </c>
      <c r="B1819">
        <v>146</v>
      </c>
      <c r="C1819" t="s">
        <v>4864</v>
      </c>
      <c r="D1819" t="s">
        <v>417</v>
      </c>
      <c r="E1819" s="13">
        <v>50</v>
      </c>
      <c r="F1819" s="12">
        <v>101.9</v>
      </c>
      <c r="G1819" t="str">
        <f>IFERROR(INDEX(tEditais[Órgão],MATCH(tItens[[#This Row],[Edital]],tEditais[Edital],0)),"")</f>
        <v>FUNDO MUNICIPAL DE SAUDE DE SAO PATRICIO</v>
      </c>
      <c r="H1819" t="str">
        <f>IFERROR(INDEX(tEditais[UF],MATCH(tItens[[#This Row],[Edital]],tEditais[Edital],0)),"")</f>
        <v>GO</v>
      </c>
      <c r="I1819" s="11">
        <f>IFERROR(INDEX(tEditais[Encerramento],MATCH(tItens[[#This Row],[Edital]],tEditais[Edital],0)),"")</f>
        <v>46310.3125</v>
      </c>
      <c r="J1819" t="str">
        <f>IFERROR(INDEX(tProdutos[Classe],MATCH(tItens[[#This Row],[Produto]],tProdutos[Produto],0)),"produto não cadastrado")</f>
        <v>FORA</v>
      </c>
      <c r="K1819" s="12">
        <f>tItens[[#This Row],[Qtd]]*tItens[[#This Row],[Vlr unit]]</f>
        <v>5095</v>
      </c>
      <c r="L1819" s="6">
        <f>IFERROR(IF(INDEX(tProdutos[Desconto homologado],MATCH(tItens[[#This Row],[Produto]],tProdutos[Produto],0))="",DescontoPadrao,INDEX(tProdutos[Desconto homologado],MATCH(tItens[[#This Row],[Produto]],tProdutos[Produto],0))),DescontoPadrao)</f>
        <v>0.27842432580405202</v>
      </c>
      <c r="M1819" s="12">
        <f>tItens[[#This Row],[Valor]]*(1-tItens[[#This Row],[Desconto]])</f>
        <v>3676.428060028355</v>
      </c>
      <c r="N1819" t="str">
        <f>IFERROR(INDEX(tProdutos[Foco],MATCH(tItens[[#This Row],[Produto]],tProdutos[Produto],0)),"Não")</f>
        <v>Não</v>
      </c>
      <c r="O1819" t="str">
        <f>IFERROR(INDEX(tEditais[SRP],MATCH(tItens[[#This Row],[Edital]],tEditais[Edital],0)),"Não")</f>
        <v>Sim</v>
      </c>
      <c r="P1819" s="4">
        <f>IF(COUNTIFS(INDEX(tItens[Edital],1):tItens[[#This Row],[Edital]],tItens[[#This Row],[Edital]],INDEX(tItens[Produto],1):tItens[[#This Row],[Produto]],tItens[[#This Row],[Produto]])=1,1,0)</f>
        <v>1</v>
      </c>
    </row>
    <row r="1820" spans="1:16" x14ac:dyDescent="0.25">
      <c r="A1820" t="s">
        <v>1189</v>
      </c>
      <c r="B1820">
        <v>151</v>
      </c>
      <c r="C1820" t="s">
        <v>4865</v>
      </c>
      <c r="D1820" t="s">
        <v>56</v>
      </c>
      <c r="E1820" s="13">
        <v>20</v>
      </c>
      <c r="F1820" s="12">
        <v>41.01</v>
      </c>
      <c r="G1820" t="str">
        <f>IFERROR(INDEX(tEditais[Órgão],MATCH(tItens[[#This Row],[Edital]],tEditais[Edital],0)),"")</f>
        <v>FUNDO MUNICIPAL DE SAUDE DE SAO PATRICIO</v>
      </c>
      <c r="H1820" t="str">
        <f>IFERROR(INDEX(tEditais[UF],MATCH(tItens[[#This Row],[Edital]],tEditais[Edital],0)),"")</f>
        <v>GO</v>
      </c>
      <c r="I1820" s="11">
        <f>IFERROR(INDEX(tEditais[Encerramento],MATCH(tItens[[#This Row],[Edital]],tEditais[Edital],0)),"")</f>
        <v>46310.3125</v>
      </c>
      <c r="J1820" t="str">
        <f>IFERROR(INDEX(tProdutos[Classe],MATCH(tItens[[#This Row],[Produto]],tProdutos[Produto],0)),"produto não cadastrado")</f>
        <v>NÚCLEO</v>
      </c>
      <c r="K1820" s="12">
        <f>tItens[[#This Row],[Qtd]]*tItens[[#This Row],[Vlr unit]]</f>
        <v>820.19999999999993</v>
      </c>
      <c r="L1820" s="6">
        <f>IFERROR(IF(INDEX(tProdutos[Desconto homologado],MATCH(tItens[[#This Row],[Produto]],tProdutos[Produto],0))="",DescontoPadrao,INDEX(tProdutos[Desconto homologado],MATCH(tItens[[#This Row],[Produto]],tProdutos[Produto],0))),DescontoPadrao)</f>
        <v>0.34</v>
      </c>
      <c r="M1820" s="12">
        <f>tItens[[#This Row],[Valor]]*(1-tItens[[#This Row],[Desconto]])</f>
        <v>541.33199999999988</v>
      </c>
      <c r="N1820" t="str">
        <f>IFERROR(INDEX(tProdutos[Foco],MATCH(tItens[[#This Row],[Produto]],tProdutos[Produto],0)),"Não")</f>
        <v>Sim</v>
      </c>
      <c r="O1820" t="str">
        <f>IFERROR(INDEX(tEditais[SRP],MATCH(tItens[[#This Row],[Edital]],tEditais[Edital],0)),"Não")</f>
        <v>Sim</v>
      </c>
      <c r="P1820" s="4">
        <f>IF(COUNTIFS(INDEX(tItens[Edital],1):tItens[[#This Row],[Edital]],tItens[[#This Row],[Edital]],INDEX(tItens[Produto],1):tItens[[#This Row],[Produto]],tItens[[#This Row],[Produto]])=1,1,0)</f>
        <v>1</v>
      </c>
    </row>
    <row r="1821" spans="1:16" x14ac:dyDescent="0.25">
      <c r="A1821" t="s">
        <v>1189</v>
      </c>
      <c r="B1821">
        <v>152</v>
      </c>
      <c r="C1821" t="s">
        <v>4866</v>
      </c>
      <c r="D1821" t="s">
        <v>56</v>
      </c>
      <c r="E1821" s="13">
        <v>5</v>
      </c>
      <c r="F1821" s="12">
        <v>41.93</v>
      </c>
      <c r="G1821" t="str">
        <f>IFERROR(INDEX(tEditais[Órgão],MATCH(tItens[[#This Row],[Edital]],tEditais[Edital],0)),"")</f>
        <v>FUNDO MUNICIPAL DE SAUDE DE SAO PATRICIO</v>
      </c>
      <c r="H1821" t="str">
        <f>IFERROR(INDEX(tEditais[UF],MATCH(tItens[[#This Row],[Edital]],tEditais[Edital],0)),"")</f>
        <v>GO</v>
      </c>
      <c r="I1821" s="11">
        <f>IFERROR(INDEX(tEditais[Encerramento],MATCH(tItens[[#This Row],[Edital]],tEditais[Edital],0)),"")</f>
        <v>46310.3125</v>
      </c>
      <c r="J1821" t="str">
        <f>IFERROR(INDEX(tProdutos[Classe],MATCH(tItens[[#This Row],[Produto]],tProdutos[Produto],0)),"produto não cadastrado")</f>
        <v>NÚCLEO</v>
      </c>
      <c r="K1821" s="12">
        <f>tItens[[#This Row],[Qtd]]*tItens[[#This Row],[Vlr unit]]</f>
        <v>209.65</v>
      </c>
      <c r="L1821" s="6">
        <f>IFERROR(IF(INDEX(tProdutos[Desconto homologado],MATCH(tItens[[#This Row],[Produto]],tProdutos[Produto],0))="",DescontoPadrao,INDEX(tProdutos[Desconto homologado],MATCH(tItens[[#This Row],[Produto]],tProdutos[Produto],0))),DescontoPadrao)</f>
        <v>0.34</v>
      </c>
      <c r="M1821" s="12">
        <f>tItens[[#This Row],[Valor]]*(1-tItens[[#This Row],[Desconto]])</f>
        <v>138.369</v>
      </c>
      <c r="N1821" t="str">
        <f>IFERROR(INDEX(tProdutos[Foco],MATCH(tItens[[#This Row],[Produto]],tProdutos[Produto],0)),"Não")</f>
        <v>Sim</v>
      </c>
      <c r="O1821" t="str">
        <f>IFERROR(INDEX(tEditais[SRP],MATCH(tItens[[#This Row],[Edital]],tEditais[Edital],0)),"Não")</f>
        <v>Sim</v>
      </c>
      <c r="P1821" s="4">
        <f>IF(COUNTIFS(INDEX(tItens[Edital],1):tItens[[#This Row],[Edital]],tItens[[#This Row],[Edital]],INDEX(tItens[Produto],1):tItens[[#This Row],[Produto]],tItens[[#This Row],[Produto]])=1,1,0)</f>
        <v>0</v>
      </c>
    </row>
    <row r="1822" spans="1:16" x14ac:dyDescent="0.25">
      <c r="A1822" t="s">
        <v>1189</v>
      </c>
      <c r="B1822">
        <v>153</v>
      </c>
      <c r="C1822" t="s">
        <v>4867</v>
      </c>
      <c r="D1822" t="s">
        <v>56</v>
      </c>
      <c r="E1822" s="13">
        <v>10</v>
      </c>
      <c r="F1822" s="12">
        <v>41.36</v>
      </c>
      <c r="G1822" t="str">
        <f>IFERROR(INDEX(tEditais[Órgão],MATCH(tItens[[#This Row],[Edital]],tEditais[Edital],0)),"")</f>
        <v>FUNDO MUNICIPAL DE SAUDE DE SAO PATRICIO</v>
      </c>
      <c r="H1822" t="str">
        <f>IFERROR(INDEX(tEditais[UF],MATCH(tItens[[#This Row],[Edital]],tEditais[Edital],0)),"")</f>
        <v>GO</v>
      </c>
      <c r="I1822" s="11">
        <f>IFERROR(INDEX(tEditais[Encerramento],MATCH(tItens[[#This Row],[Edital]],tEditais[Edital],0)),"")</f>
        <v>46310.3125</v>
      </c>
      <c r="J1822" t="str">
        <f>IFERROR(INDEX(tProdutos[Classe],MATCH(tItens[[#This Row],[Produto]],tProdutos[Produto],0)),"produto não cadastrado")</f>
        <v>NÚCLEO</v>
      </c>
      <c r="K1822" s="12">
        <f>tItens[[#This Row],[Qtd]]*tItens[[#This Row],[Vlr unit]]</f>
        <v>413.6</v>
      </c>
      <c r="L1822" s="6">
        <f>IFERROR(IF(INDEX(tProdutos[Desconto homologado],MATCH(tItens[[#This Row],[Produto]],tProdutos[Produto],0))="",DescontoPadrao,INDEX(tProdutos[Desconto homologado],MATCH(tItens[[#This Row],[Produto]],tProdutos[Produto],0))),DescontoPadrao)</f>
        <v>0.34</v>
      </c>
      <c r="M1822" s="12">
        <f>tItens[[#This Row],[Valor]]*(1-tItens[[#This Row],[Desconto]])</f>
        <v>272.976</v>
      </c>
      <c r="N1822" t="str">
        <f>IFERROR(INDEX(tProdutos[Foco],MATCH(tItens[[#This Row],[Produto]],tProdutos[Produto],0)),"Não")</f>
        <v>Sim</v>
      </c>
      <c r="O1822" t="str">
        <f>IFERROR(INDEX(tEditais[SRP],MATCH(tItens[[#This Row],[Edital]],tEditais[Edital],0)),"Não")</f>
        <v>Sim</v>
      </c>
      <c r="P1822" s="4">
        <f>IF(COUNTIFS(INDEX(tItens[Edital],1):tItens[[#This Row],[Edital]],tItens[[#This Row],[Edital]],INDEX(tItens[Produto],1):tItens[[#This Row],[Produto]],tItens[[#This Row],[Produto]])=1,1,0)</f>
        <v>0</v>
      </c>
    </row>
    <row r="1823" spans="1:16" x14ac:dyDescent="0.25">
      <c r="A1823" t="s">
        <v>1189</v>
      </c>
      <c r="B1823">
        <v>154</v>
      </c>
      <c r="C1823" t="s">
        <v>4868</v>
      </c>
      <c r="D1823" t="s">
        <v>56</v>
      </c>
      <c r="E1823" s="13">
        <v>5</v>
      </c>
      <c r="F1823" s="12">
        <v>57.5</v>
      </c>
      <c r="G1823" t="str">
        <f>IFERROR(INDEX(tEditais[Órgão],MATCH(tItens[[#This Row],[Edital]],tEditais[Edital],0)),"")</f>
        <v>FUNDO MUNICIPAL DE SAUDE DE SAO PATRICIO</v>
      </c>
      <c r="H1823" t="str">
        <f>IFERROR(INDEX(tEditais[UF],MATCH(tItens[[#This Row],[Edital]],tEditais[Edital],0)),"")</f>
        <v>GO</v>
      </c>
      <c r="I1823" s="11">
        <f>IFERROR(INDEX(tEditais[Encerramento],MATCH(tItens[[#This Row],[Edital]],tEditais[Edital],0)),"")</f>
        <v>46310.3125</v>
      </c>
      <c r="J1823" t="str">
        <f>IFERROR(INDEX(tProdutos[Classe],MATCH(tItens[[#This Row],[Produto]],tProdutos[Produto],0)),"produto não cadastrado")</f>
        <v>NÚCLEO</v>
      </c>
      <c r="K1823" s="12">
        <f>tItens[[#This Row],[Qtd]]*tItens[[#This Row],[Vlr unit]]</f>
        <v>287.5</v>
      </c>
      <c r="L1823" s="6">
        <f>IFERROR(IF(INDEX(tProdutos[Desconto homologado],MATCH(tItens[[#This Row],[Produto]],tProdutos[Produto],0))="",DescontoPadrao,INDEX(tProdutos[Desconto homologado],MATCH(tItens[[#This Row],[Produto]],tProdutos[Produto],0))),DescontoPadrao)</f>
        <v>0.34</v>
      </c>
      <c r="M1823" s="12">
        <f>tItens[[#This Row],[Valor]]*(1-tItens[[#This Row],[Desconto]])</f>
        <v>189.74999999999997</v>
      </c>
      <c r="N1823" t="str">
        <f>IFERROR(INDEX(tProdutos[Foco],MATCH(tItens[[#This Row],[Produto]],tProdutos[Produto],0)),"Não")</f>
        <v>Sim</v>
      </c>
      <c r="O1823" t="str">
        <f>IFERROR(INDEX(tEditais[SRP],MATCH(tItens[[#This Row],[Edital]],tEditais[Edital],0)),"Não")</f>
        <v>Sim</v>
      </c>
      <c r="P1823" s="4">
        <f>IF(COUNTIFS(INDEX(tItens[Edital],1):tItens[[#This Row],[Edital]],tItens[[#This Row],[Edital]],INDEX(tItens[Produto],1):tItens[[#This Row],[Produto]],tItens[[#This Row],[Produto]])=1,1,0)</f>
        <v>0</v>
      </c>
    </row>
    <row r="1824" spans="1:16" x14ac:dyDescent="0.25">
      <c r="A1824" t="s">
        <v>1189</v>
      </c>
      <c r="B1824">
        <v>155</v>
      </c>
      <c r="C1824" t="s">
        <v>4869</v>
      </c>
      <c r="D1824" t="s">
        <v>56</v>
      </c>
      <c r="E1824" s="13">
        <v>5</v>
      </c>
      <c r="F1824" s="12">
        <v>26.99</v>
      </c>
      <c r="G1824" t="str">
        <f>IFERROR(INDEX(tEditais[Órgão],MATCH(tItens[[#This Row],[Edital]],tEditais[Edital],0)),"")</f>
        <v>FUNDO MUNICIPAL DE SAUDE DE SAO PATRICIO</v>
      </c>
      <c r="H1824" t="str">
        <f>IFERROR(INDEX(tEditais[UF],MATCH(tItens[[#This Row],[Edital]],tEditais[Edital],0)),"")</f>
        <v>GO</v>
      </c>
      <c r="I1824" s="11">
        <f>IFERROR(INDEX(tEditais[Encerramento],MATCH(tItens[[#This Row],[Edital]],tEditais[Edital],0)),"")</f>
        <v>46310.3125</v>
      </c>
      <c r="J1824" t="str">
        <f>IFERROR(INDEX(tProdutos[Classe],MATCH(tItens[[#This Row],[Produto]],tProdutos[Produto],0)),"produto não cadastrado")</f>
        <v>NÚCLEO</v>
      </c>
      <c r="K1824" s="12">
        <f>tItens[[#This Row],[Qtd]]*tItens[[#This Row],[Vlr unit]]</f>
        <v>134.94999999999999</v>
      </c>
      <c r="L1824" s="6">
        <f>IFERROR(IF(INDEX(tProdutos[Desconto homologado],MATCH(tItens[[#This Row],[Produto]],tProdutos[Produto],0))="",DescontoPadrao,INDEX(tProdutos[Desconto homologado],MATCH(tItens[[#This Row],[Produto]],tProdutos[Produto],0))),DescontoPadrao)</f>
        <v>0.34</v>
      </c>
      <c r="M1824" s="12">
        <f>tItens[[#This Row],[Valor]]*(1-tItens[[#This Row],[Desconto]])</f>
        <v>89.066999999999979</v>
      </c>
      <c r="N1824" t="str">
        <f>IFERROR(INDEX(tProdutos[Foco],MATCH(tItens[[#This Row],[Produto]],tProdutos[Produto],0)),"Não")</f>
        <v>Sim</v>
      </c>
      <c r="O1824" t="str">
        <f>IFERROR(INDEX(tEditais[SRP],MATCH(tItens[[#This Row],[Edital]],tEditais[Edital],0)),"Não")</f>
        <v>Sim</v>
      </c>
      <c r="P1824" s="4">
        <f>IF(COUNTIFS(INDEX(tItens[Edital],1):tItens[[#This Row],[Edital]],tItens[[#This Row],[Edital]],INDEX(tItens[Produto],1):tItens[[#This Row],[Produto]],tItens[[#This Row],[Produto]])=1,1,0)</f>
        <v>0</v>
      </c>
    </row>
    <row r="1825" spans="1:16" x14ac:dyDescent="0.25">
      <c r="A1825" t="s">
        <v>1189</v>
      </c>
      <c r="B1825">
        <v>156</v>
      </c>
      <c r="C1825" t="s">
        <v>4870</v>
      </c>
      <c r="D1825" t="s">
        <v>56</v>
      </c>
      <c r="E1825" s="13">
        <v>5</v>
      </c>
      <c r="F1825" s="12">
        <v>42.36</v>
      </c>
      <c r="G1825" t="str">
        <f>IFERROR(INDEX(tEditais[Órgão],MATCH(tItens[[#This Row],[Edital]],tEditais[Edital],0)),"")</f>
        <v>FUNDO MUNICIPAL DE SAUDE DE SAO PATRICIO</v>
      </c>
      <c r="H1825" t="str">
        <f>IFERROR(INDEX(tEditais[UF],MATCH(tItens[[#This Row],[Edital]],tEditais[Edital],0)),"")</f>
        <v>GO</v>
      </c>
      <c r="I1825" s="11">
        <f>IFERROR(INDEX(tEditais[Encerramento],MATCH(tItens[[#This Row],[Edital]],tEditais[Edital],0)),"")</f>
        <v>46310.3125</v>
      </c>
      <c r="J1825" t="str">
        <f>IFERROR(INDEX(tProdutos[Classe],MATCH(tItens[[#This Row],[Produto]],tProdutos[Produto],0)),"produto não cadastrado")</f>
        <v>NÚCLEO</v>
      </c>
      <c r="K1825" s="12">
        <f>tItens[[#This Row],[Qtd]]*tItens[[#This Row],[Vlr unit]]</f>
        <v>211.8</v>
      </c>
      <c r="L1825" s="6">
        <f>IFERROR(IF(INDEX(tProdutos[Desconto homologado],MATCH(tItens[[#This Row],[Produto]],tProdutos[Produto],0))="",DescontoPadrao,INDEX(tProdutos[Desconto homologado],MATCH(tItens[[#This Row],[Produto]],tProdutos[Produto],0))),DescontoPadrao)</f>
        <v>0.34</v>
      </c>
      <c r="M1825" s="12">
        <f>tItens[[#This Row],[Valor]]*(1-tItens[[#This Row],[Desconto]])</f>
        <v>139.78799999999998</v>
      </c>
      <c r="N1825" t="str">
        <f>IFERROR(INDEX(tProdutos[Foco],MATCH(tItens[[#This Row],[Produto]],tProdutos[Produto],0)),"Não")</f>
        <v>Sim</v>
      </c>
      <c r="O1825" t="str">
        <f>IFERROR(INDEX(tEditais[SRP],MATCH(tItens[[#This Row],[Edital]],tEditais[Edital],0)),"Não")</f>
        <v>Sim</v>
      </c>
      <c r="P1825" s="4">
        <f>IF(COUNTIFS(INDEX(tItens[Edital],1):tItens[[#This Row],[Edital]],tItens[[#This Row],[Edital]],INDEX(tItens[Produto],1):tItens[[#This Row],[Produto]],tItens[[#This Row],[Produto]])=1,1,0)</f>
        <v>0</v>
      </c>
    </row>
    <row r="1826" spans="1:16" x14ac:dyDescent="0.25">
      <c r="A1826" t="s">
        <v>1189</v>
      </c>
      <c r="B1826">
        <v>247</v>
      </c>
      <c r="C1826" t="s">
        <v>4871</v>
      </c>
      <c r="D1826" t="s">
        <v>289</v>
      </c>
      <c r="E1826" s="13">
        <v>10000</v>
      </c>
      <c r="F1826" s="12">
        <v>0.88</v>
      </c>
      <c r="G1826" t="str">
        <f>IFERROR(INDEX(tEditais[Órgão],MATCH(tItens[[#This Row],[Edital]],tEditais[Edital],0)),"")</f>
        <v>FUNDO MUNICIPAL DE SAUDE DE SAO PATRICIO</v>
      </c>
      <c r="H1826" t="str">
        <f>IFERROR(INDEX(tEditais[UF],MATCH(tItens[[#This Row],[Edital]],tEditais[Edital],0)),"")</f>
        <v>GO</v>
      </c>
      <c r="I1826" s="11">
        <f>IFERROR(INDEX(tEditais[Encerramento],MATCH(tItens[[#This Row],[Edital]],tEditais[Edital],0)),"")</f>
        <v>46310.3125</v>
      </c>
      <c r="J1826" t="str">
        <f>IFERROR(INDEX(tProdutos[Classe],MATCH(tItens[[#This Row],[Produto]],tProdutos[Produto],0)),"produto não cadastrado")</f>
        <v>DISPUTADO</v>
      </c>
      <c r="K1826" s="12">
        <f>tItens[[#This Row],[Qtd]]*tItens[[#This Row],[Vlr unit]]</f>
        <v>8800</v>
      </c>
      <c r="L1826" s="6">
        <f>IFERROR(IF(INDEX(tProdutos[Desconto homologado],MATCH(tItens[[#This Row],[Produto]],tProdutos[Produto],0))="",DescontoPadrao,INDEX(tProdutos[Desconto homologado],MATCH(tItens[[#This Row],[Produto]],tProdutos[Produto],0))),DescontoPadrao)</f>
        <v>0.35849056603773599</v>
      </c>
      <c r="M1826" s="12">
        <f>tItens[[#This Row],[Valor]]*(1-tItens[[#This Row],[Desconto]])</f>
        <v>5645.2830188679236</v>
      </c>
      <c r="N1826" t="str">
        <f>IFERROR(INDEX(tProdutos[Foco],MATCH(tItens[[#This Row],[Produto]],tProdutos[Produto],0)),"Não")</f>
        <v>Não</v>
      </c>
      <c r="O1826" t="str">
        <f>IFERROR(INDEX(tEditais[SRP],MATCH(tItens[[#This Row],[Edital]],tEditais[Edital],0)),"Não")</f>
        <v>Sim</v>
      </c>
      <c r="P1826" s="4">
        <f>IF(COUNTIFS(INDEX(tItens[Edital],1):tItens[[#This Row],[Edital]],tItens[[#This Row],[Edital]],INDEX(tItens[Produto],1):tItens[[#This Row],[Produto]],tItens[[#This Row],[Produto]])=1,1,0)</f>
        <v>1</v>
      </c>
    </row>
    <row r="1827" spans="1:16" x14ac:dyDescent="0.25">
      <c r="A1827" t="s">
        <v>1189</v>
      </c>
      <c r="B1827">
        <v>251</v>
      </c>
      <c r="C1827" t="s">
        <v>4872</v>
      </c>
      <c r="D1827" t="s">
        <v>110</v>
      </c>
      <c r="E1827" s="13">
        <v>20</v>
      </c>
      <c r="F1827" s="12">
        <v>3.62</v>
      </c>
      <c r="G1827" t="str">
        <f>IFERROR(INDEX(tEditais[Órgão],MATCH(tItens[[#This Row],[Edital]],tEditais[Edital],0)),"")</f>
        <v>FUNDO MUNICIPAL DE SAUDE DE SAO PATRICIO</v>
      </c>
      <c r="H1827" t="str">
        <f>IFERROR(INDEX(tEditais[UF],MATCH(tItens[[#This Row],[Edital]],tEditais[Edital],0)),"")</f>
        <v>GO</v>
      </c>
      <c r="I1827" s="11">
        <f>IFERROR(INDEX(tEditais[Encerramento],MATCH(tItens[[#This Row],[Edital]],tEditais[Edital],0)),"")</f>
        <v>46310.3125</v>
      </c>
      <c r="J1827" t="str">
        <f>IFERROR(INDEX(tProdutos[Classe],MATCH(tItens[[#This Row],[Produto]],tProdutos[Produto],0)),"produto não cadastrado")</f>
        <v>NÚCLEO</v>
      </c>
      <c r="K1827" s="12">
        <f>tItens[[#This Row],[Qtd]]*tItens[[#This Row],[Vlr unit]]</f>
        <v>72.400000000000006</v>
      </c>
      <c r="L1827" s="6">
        <f>IFERROR(IF(INDEX(tProdutos[Desconto homologado],MATCH(tItens[[#This Row],[Produto]],tProdutos[Produto],0))="",DescontoPadrao,INDEX(tProdutos[Desconto homologado],MATCH(tItens[[#This Row],[Produto]],tProdutos[Produto],0))),DescontoPadrao)</f>
        <v>0.30410958904109597</v>
      </c>
      <c r="M1827" s="12">
        <f>tItens[[#This Row],[Valor]]*(1-tItens[[#This Row],[Desconto]])</f>
        <v>50.382465753424654</v>
      </c>
      <c r="N1827" t="str">
        <f>IFERROR(INDEX(tProdutos[Foco],MATCH(tItens[[#This Row],[Produto]],tProdutos[Produto],0)),"Não")</f>
        <v>Não</v>
      </c>
      <c r="O1827" t="str">
        <f>IFERROR(INDEX(tEditais[SRP],MATCH(tItens[[#This Row],[Edital]],tEditais[Edital],0)),"Não")</f>
        <v>Sim</v>
      </c>
      <c r="P1827" s="4">
        <f>IF(COUNTIFS(INDEX(tItens[Edital],1):tItens[[#This Row],[Edital]],tItens[[#This Row],[Edital]],INDEX(tItens[Produto],1):tItens[[#This Row],[Produto]],tItens[[#This Row],[Produto]])=1,1,0)</f>
        <v>1</v>
      </c>
    </row>
    <row r="1828" spans="1:16" x14ac:dyDescent="0.25">
      <c r="A1828" t="s">
        <v>1189</v>
      </c>
      <c r="B1828">
        <v>252</v>
      </c>
      <c r="C1828" t="s">
        <v>4873</v>
      </c>
      <c r="D1828" t="s">
        <v>110</v>
      </c>
      <c r="E1828" s="13">
        <v>20</v>
      </c>
      <c r="F1828" s="12">
        <v>1.99</v>
      </c>
      <c r="G1828" t="str">
        <f>IFERROR(INDEX(tEditais[Órgão],MATCH(tItens[[#This Row],[Edital]],tEditais[Edital],0)),"")</f>
        <v>FUNDO MUNICIPAL DE SAUDE DE SAO PATRICIO</v>
      </c>
      <c r="H1828" t="str">
        <f>IFERROR(INDEX(tEditais[UF],MATCH(tItens[[#This Row],[Edital]],tEditais[Edital],0)),"")</f>
        <v>GO</v>
      </c>
      <c r="I1828" s="11">
        <f>IFERROR(INDEX(tEditais[Encerramento],MATCH(tItens[[#This Row],[Edital]],tEditais[Edital],0)),"")</f>
        <v>46310.3125</v>
      </c>
      <c r="J1828" t="str">
        <f>IFERROR(INDEX(tProdutos[Classe],MATCH(tItens[[#This Row],[Produto]],tProdutos[Produto],0)),"produto não cadastrado")</f>
        <v>NÚCLEO</v>
      </c>
      <c r="K1828" s="12">
        <f>tItens[[#This Row],[Qtd]]*tItens[[#This Row],[Vlr unit]]</f>
        <v>39.799999999999997</v>
      </c>
      <c r="L1828" s="6">
        <f>IFERROR(IF(INDEX(tProdutos[Desconto homologado],MATCH(tItens[[#This Row],[Produto]],tProdutos[Produto],0))="",DescontoPadrao,INDEX(tProdutos[Desconto homologado],MATCH(tItens[[#This Row],[Produto]],tProdutos[Produto],0))),DescontoPadrao)</f>
        <v>0.30410958904109597</v>
      </c>
      <c r="M1828" s="12">
        <f>tItens[[#This Row],[Valor]]*(1-tItens[[#This Row],[Desconto]])</f>
        <v>27.696438356164379</v>
      </c>
      <c r="N1828" t="str">
        <f>IFERROR(INDEX(tProdutos[Foco],MATCH(tItens[[#This Row],[Produto]],tProdutos[Produto],0)),"Não")</f>
        <v>Não</v>
      </c>
      <c r="O1828" t="str">
        <f>IFERROR(INDEX(tEditais[SRP],MATCH(tItens[[#This Row],[Edital]],tEditais[Edital],0)),"Não")</f>
        <v>Sim</v>
      </c>
      <c r="P1828" s="4">
        <f>IF(COUNTIFS(INDEX(tItens[Edital],1):tItens[[#This Row],[Edital]],tItens[[#This Row],[Edital]],INDEX(tItens[Produto],1):tItens[[#This Row],[Produto]],tItens[[#This Row],[Produto]])=1,1,0)</f>
        <v>0</v>
      </c>
    </row>
    <row r="1829" spans="1:16" x14ac:dyDescent="0.25">
      <c r="A1829" t="s">
        <v>1189</v>
      </c>
      <c r="B1829">
        <v>290</v>
      </c>
      <c r="C1829" t="s">
        <v>4874</v>
      </c>
      <c r="D1829" t="s">
        <v>62</v>
      </c>
      <c r="E1829" s="13">
        <v>500</v>
      </c>
      <c r="F1829" s="12">
        <v>4.71</v>
      </c>
      <c r="G1829" t="str">
        <f>IFERROR(INDEX(tEditais[Órgão],MATCH(tItens[[#This Row],[Edital]],tEditais[Edital],0)),"")</f>
        <v>FUNDO MUNICIPAL DE SAUDE DE SAO PATRICIO</v>
      </c>
      <c r="H1829" t="str">
        <f>IFERROR(INDEX(tEditais[UF],MATCH(tItens[[#This Row],[Edital]],tEditais[Edital],0)),"")</f>
        <v>GO</v>
      </c>
      <c r="I1829" s="11">
        <f>IFERROR(INDEX(tEditais[Encerramento],MATCH(tItens[[#This Row],[Edital]],tEditais[Edital],0)),"")</f>
        <v>46310.3125</v>
      </c>
      <c r="J1829" t="str">
        <f>IFERROR(INDEX(tProdutos[Classe],MATCH(tItens[[#This Row],[Produto]],tProdutos[Produto],0)),"produto não cadastrado")</f>
        <v>NÚCLEO</v>
      </c>
      <c r="K1829" s="12">
        <f>tItens[[#This Row],[Qtd]]*tItens[[#This Row],[Vlr unit]]</f>
        <v>2355</v>
      </c>
      <c r="L1829" s="6">
        <f>IFERROR(IF(INDEX(tProdutos[Desconto homologado],MATCH(tItens[[#This Row],[Produto]],tProdutos[Produto],0))="",DescontoPadrao,INDEX(tProdutos[Desconto homologado],MATCH(tItens[[#This Row],[Produto]],tProdutos[Produto],0))),DescontoPadrao)</f>
        <v>0.3</v>
      </c>
      <c r="M1829" s="12">
        <f>tItens[[#This Row],[Valor]]*(1-tItens[[#This Row],[Desconto]])</f>
        <v>1648.5</v>
      </c>
      <c r="N1829" t="str">
        <f>IFERROR(INDEX(tProdutos[Foco],MATCH(tItens[[#This Row],[Produto]],tProdutos[Produto],0)),"Não")</f>
        <v>Sim</v>
      </c>
      <c r="O1829" t="str">
        <f>IFERROR(INDEX(tEditais[SRP],MATCH(tItens[[#This Row],[Edital]],tEditais[Edital],0)),"Não")</f>
        <v>Sim</v>
      </c>
      <c r="P1829" s="4">
        <f>IF(COUNTIFS(INDEX(tItens[Edital],1):tItens[[#This Row],[Edital]],tItens[[#This Row],[Edital]],INDEX(tItens[Produto],1):tItens[[#This Row],[Produto]],tItens[[#This Row],[Produto]])=1,1,0)</f>
        <v>1</v>
      </c>
    </row>
    <row r="1830" spans="1:16" x14ac:dyDescent="0.25">
      <c r="A1830" t="s">
        <v>1189</v>
      </c>
      <c r="B1830">
        <v>304</v>
      </c>
      <c r="C1830" t="s">
        <v>4875</v>
      </c>
      <c r="D1830" t="s">
        <v>279</v>
      </c>
      <c r="E1830" s="13">
        <v>5000</v>
      </c>
      <c r="F1830" s="12">
        <v>0.68</v>
      </c>
      <c r="G1830" t="str">
        <f>IFERROR(INDEX(tEditais[Órgão],MATCH(tItens[[#This Row],[Edital]],tEditais[Edital],0)),"")</f>
        <v>FUNDO MUNICIPAL DE SAUDE DE SAO PATRICIO</v>
      </c>
      <c r="H1830" t="str">
        <f>IFERROR(INDEX(tEditais[UF],MATCH(tItens[[#This Row],[Edital]],tEditais[Edital],0)),"")</f>
        <v>GO</v>
      </c>
      <c r="I1830" s="11">
        <f>IFERROR(INDEX(tEditais[Encerramento],MATCH(tItens[[#This Row],[Edital]],tEditais[Edital],0)),"")</f>
        <v>46310.3125</v>
      </c>
      <c r="J1830" t="str">
        <f>IFERROR(INDEX(tProdutos[Classe],MATCH(tItens[[#This Row],[Produto]],tProdutos[Produto],0)),"produto não cadastrado")</f>
        <v>FORA</v>
      </c>
      <c r="K1830" s="12">
        <f>tItens[[#This Row],[Qtd]]*tItens[[#This Row],[Vlr unit]]</f>
        <v>3400.0000000000005</v>
      </c>
      <c r="L1830" s="6">
        <f>IFERROR(IF(INDEX(tProdutos[Desconto homologado],MATCH(tItens[[#This Row],[Produto]],tProdutos[Produto],0))="",DescontoPadrao,INDEX(tProdutos[Desconto homologado],MATCH(tItens[[#This Row],[Produto]],tProdutos[Produto],0))),DescontoPadrao)</f>
        <v>0.28909090909090901</v>
      </c>
      <c r="M1830" s="12">
        <f>tItens[[#This Row],[Valor]]*(1-tItens[[#This Row],[Desconto]])</f>
        <v>2417.0909090909095</v>
      </c>
      <c r="N1830" t="str">
        <f>IFERROR(INDEX(tProdutos[Foco],MATCH(tItens[[#This Row],[Produto]],tProdutos[Produto],0)),"Não")</f>
        <v>Não</v>
      </c>
      <c r="O1830" t="str">
        <f>IFERROR(INDEX(tEditais[SRP],MATCH(tItens[[#This Row],[Edital]],tEditais[Edital],0)),"Não")</f>
        <v>Sim</v>
      </c>
      <c r="P1830" s="4">
        <f>IF(COUNTIFS(INDEX(tItens[Edital],1):tItens[[#This Row],[Edital]],tItens[[#This Row],[Edital]],INDEX(tItens[Produto],1):tItens[[#This Row],[Produto]],tItens[[#This Row],[Produto]])=1,1,0)</f>
        <v>1</v>
      </c>
    </row>
    <row r="1831" spans="1:16" x14ac:dyDescent="0.25">
      <c r="A1831" t="s">
        <v>1189</v>
      </c>
      <c r="B1831">
        <v>329</v>
      </c>
      <c r="C1831" t="s">
        <v>4876</v>
      </c>
      <c r="D1831" t="s">
        <v>142</v>
      </c>
      <c r="E1831" s="13">
        <v>200</v>
      </c>
      <c r="F1831" s="12">
        <v>5.83</v>
      </c>
      <c r="G1831" t="str">
        <f>IFERROR(INDEX(tEditais[Órgão],MATCH(tItens[[#This Row],[Edital]],tEditais[Edital],0)),"")</f>
        <v>FUNDO MUNICIPAL DE SAUDE DE SAO PATRICIO</v>
      </c>
      <c r="H1831" t="str">
        <f>IFERROR(INDEX(tEditais[UF],MATCH(tItens[[#This Row],[Edital]],tEditais[Edital],0)),"")</f>
        <v>GO</v>
      </c>
      <c r="I1831" s="11">
        <f>IFERROR(INDEX(tEditais[Encerramento],MATCH(tItens[[#This Row],[Edital]],tEditais[Edital],0)),"")</f>
        <v>46310.3125</v>
      </c>
      <c r="J1831" t="str">
        <f>IFERROR(INDEX(tProdutos[Classe],MATCH(tItens[[#This Row],[Produto]],tProdutos[Produto],0)),"produto não cadastrado")</f>
        <v>DISPUTADO</v>
      </c>
      <c r="K1831" s="12">
        <f>tItens[[#This Row],[Qtd]]*tItens[[#This Row],[Vlr unit]]</f>
        <v>1166</v>
      </c>
      <c r="L1831" s="6">
        <f>IFERROR(IF(INDEX(tProdutos[Desconto homologado],MATCH(tItens[[#This Row],[Produto]],tProdutos[Produto],0))="",DescontoPadrao,INDEX(tProdutos[Desconto homologado],MATCH(tItens[[#This Row],[Produto]],tProdutos[Produto],0))),DescontoPadrao)</f>
        <v>0.37093619495691699</v>
      </c>
      <c r="M1831" s="12">
        <f>tItens[[#This Row],[Valor]]*(1-tItens[[#This Row],[Desconto]])</f>
        <v>733.48839668023481</v>
      </c>
      <c r="N1831" t="str">
        <f>IFERROR(INDEX(tProdutos[Foco],MATCH(tItens[[#This Row],[Produto]],tProdutos[Produto],0)),"Não")</f>
        <v>Não</v>
      </c>
      <c r="O1831" t="str">
        <f>IFERROR(INDEX(tEditais[SRP],MATCH(tItens[[#This Row],[Edital]],tEditais[Edital],0)),"Não")</f>
        <v>Sim</v>
      </c>
      <c r="P1831" s="4">
        <f>IF(COUNTIFS(INDEX(tItens[Edital],1):tItens[[#This Row],[Edital]],tItens[[#This Row],[Edital]],INDEX(tItens[Produto],1):tItens[[#This Row],[Produto]],tItens[[#This Row],[Produto]])=1,1,0)</f>
        <v>1</v>
      </c>
    </row>
    <row r="1832" spans="1:16" x14ac:dyDescent="0.25">
      <c r="A1832" t="s">
        <v>1189</v>
      </c>
      <c r="B1832">
        <v>336</v>
      </c>
      <c r="C1832" t="s">
        <v>4877</v>
      </c>
      <c r="D1832" t="s">
        <v>56</v>
      </c>
      <c r="E1832" s="13">
        <v>5</v>
      </c>
      <c r="F1832" s="12">
        <v>44.02</v>
      </c>
      <c r="G1832" t="str">
        <f>IFERROR(INDEX(tEditais[Órgão],MATCH(tItens[[#This Row],[Edital]],tEditais[Edital],0)),"")</f>
        <v>FUNDO MUNICIPAL DE SAUDE DE SAO PATRICIO</v>
      </c>
      <c r="H1832" t="str">
        <f>IFERROR(INDEX(tEditais[UF],MATCH(tItens[[#This Row],[Edital]],tEditais[Edital],0)),"")</f>
        <v>GO</v>
      </c>
      <c r="I1832" s="11">
        <f>IFERROR(INDEX(tEditais[Encerramento],MATCH(tItens[[#This Row],[Edital]],tEditais[Edital],0)),"")</f>
        <v>46310.3125</v>
      </c>
      <c r="J1832" t="str">
        <f>IFERROR(INDEX(tProdutos[Classe],MATCH(tItens[[#This Row],[Produto]],tProdutos[Produto],0)),"produto não cadastrado")</f>
        <v>NÚCLEO</v>
      </c>
      <c r="K1832" s="12">
        <f>tItens[[#This Row],[Qtd]]*tItens[[#This Row],[Vlr unit]]</f>
        <v>220.10000000000002</v>
      </c>
      <c r="L1832" s="6">
        <f>IFERROR(IF(INDEX(tProdutos[Desconto homologado],MATCH(tItens[[#This Row],[Produto]],tProdutos[Produto],0))="",DescontoPadrao,INDEX(tProdutos[Desconto homologado],MATCH(tItens[[#This Row],[Produto]],tProdutos[Produto],0))),DescontoPadrao)</f>
        <v>0.34</v>
      </c>
      <c r="M1832" s="12">
        <f>tItens[[#This Row],[Valor]]*(1-tItens[[#This Row],[Desconto]])</f>
        <v>145.26599999999999</v>
      </c>
      <c r="N1832" t="str">
        <f>IFERROR(INDEX(tProdutos[Foco],MATCH(tItens[[#This Row],[Produto]],tProdutos[Produto],0)),"Não")</f>
        <v>Sim</v>
      </c>
      <c r="O1832" t="str">
        <f>IFERROR(INDEX(tEditais[SRP],MATCH(tItens[[#This Row],[Edital]],tEditais[Edital],0)),"Não")</f>
        <v>Sim</v>
      </c>
      <c r="P1832" s="4">
        <f>IF(COUNTIFS(INDEX(tItens[Edital],1):tItens[[#This Row],[Edital]],tItens[[#This Row],[Edital]],INDEX(tItens[Produto],1):tItens[[#This Row],[Produto]],tItens[[#This Row],[Produto]])=1,1,0)</f>
        <v>0</v>
      </c>
    </row>
    <row r="1833" spans="1:16" x14ac:dyDescent="0.25">
      <c r="A1833" t="s">
        <v>1189</v>
      </c>
      <c r="B1833">
        <v>337</v>
      </c>
      <c r="C1833" t="s">
        <v>4878</v>
      </c>
      <c r="D1833" t="s">
        <v>56</v>
      </c>
      <c r="E1833" s="13">
        <v>5</v>
      </c>
      <c r="F1833" s="12">
        <v>41.7</v>
      </c>
      <c r="G1833" t="str">
        <f>IFERROR(INDEX(tEditais[Órgão],MATCH(tItens[[#This Row],[Edital]],tEditais[Edital],0)),"")</f>
        <v>FUNDO MUNICIPAL DE SAUDE DE SAO PATRICIO</v>
      </c>
      <c r="H1833" t="str">
        <f>IFERROR(INDEX(tEditais[UF],MATCH(tItens[[#This Row],[Edital]],tEditais[Edital],0)),"")</f>
        <v>GO</v>
      </c>
      <c r="I1833" s="11">
        <f>IFERROR(INDEX(tEditais[Encerramento],MATCH(tItens[[#This Row],[Edital]],tEditais[Edital],0)),"")</f>
        <v>46310.3125</v>
      </c>
      <c r="J1833" t="str">
        <f>IFERROR(INDEX(tProdutos[Classe],MATCH(tItens[[#This Row],[Produto]],tProdutos[Produto],0)),"produto não cadastrado")</f>
        <v>NÚCLEO</v>
      </c>
      <c r="K1833" s="12">
        <f>tItens[[#This Row],[Qtd]]*tItens[[#This Row],[Vlr unit]]</f>
        <v>208.5</v>
      </c>
      <c r="L1833" s="6">
        <f>IFERROR(IF(INDEX(tProdutos[Desconto homologado],MATCH(tItens[[#This Row],[Produto]],tProdutos[Produto],0))="",DescontoPadrao,INDEX(tProdutos[Desconto homologado],MATCH(tItens[[#This Row],[Produto]],tProdutos[Produto],0))),DescontoPadrao)</f>
        <v>0.34</v>
      </c>
      <c r="M1833" s="12">
        <f>tItens[[#This Row],[Valor]]*(1-tItens[[#This Row],[Desconto]])</f>
        <v>137.60999999999999</v>
      </c>
      <c r="N1833" t="str">
        <f>IFERROR(INDEX(tProdutos[Foco],MATCH(tItens[[#This Row],[Produto]],tProdutos[Produto],0)),"Não")</f>
        <v>Sim</v>
      </c>
      <c r="O1833" t="str">
        <f>IFERROR(INDEX(tEditais[SRP],MATCH(tItens[[#This Row],[Edital]],tEditais[Edital],0)),"Não")</f>
        <v>Sim</v>
      </c>
      <c r="P1833" s="4">
        <f>IF(COUNTIFS(INDEX(tItens[Edital],1):tItens[[#This Row],[Edital]],tItens[[#This Row],[Edital]],INDEX(tItens[Produto],1):tItens[[#This Row],[Produto]],tItens[[#This Row],[Produto]])=1,1,0)</f>
        <v>0</v>
      </c>
    </row>
    <row r="1834" spans="1:16" x14ac:dyDescent="0.25">
      <c r="A1834" t="s">
        <v>1189</v>
      </c>
      <c r="B1834">
        <v>338</v>
      </c>
      <c r="C1834" t="s">
        <v>4879</v>
      </c>
      <c r="D1834" t="s">
        <v>56</v>
      </c>
      <c r="E1834" s="13">
        <v>10</v>
      </c>
      <c r="F1834" s="12">
        <v>41.18</v>
      </c>
      <c r="G1834" t="str">
        <f>IFERROR(INDEX(tEditais[Órgão],MATCH(tItens[[#This Row],[Edital]],tEditais[Edital],0)),"")</f>
        <v>FUNDO MUNICIPAL DE SAUDE DE SAO PATRICIO</v>
      </c>
      <c r="H1834" t="str">
        <f>IFERROR(INDEX(tEditais[UF],MATCH(tItens[[#This Row],[Edital]],tEditais[Edital],0)),"")</f>
        <v>GO</v>
      </c>
      <c r="I1834" s="11">
        <f>IFERROR(INDEX(tEditais[Encerramento],MATCH(tItens[[#This Row],[Edital]],tEditais[Edital],0)),"")</f>
        <v>46310.3125</v>
      </c>
      <c r="J1834" t="str">
        <f>IFERROR(INDEX(tProdutos[Classe],MATCH(tItens[[#This Row],[Produto]],tProdutos[Produto],0)),"produto não cadastrado")</f>
        <v>NÚCLEO</v>
      </c>
      <c r="K1834" s="12">
        <f>tItens[[#This Row],[Qtd]]*tItens[[#This Row],[Vlr unit]]</f>
        <v>411.8</v>
      </c>
      <c r="L1834" s="6">
        <f>IFERROR(IF(INDEX(tProdutos[Desconto homologado],MATCH(tItens[[#This Row],[Produto]],tProdutos[Produto],0))="",DescontoPadrao,INDEX(tProdutos[Desconto homologado],MATCH(tItens[[#This Row],[Produto]],tProdutos[Produto],0))),DescontoPadrao)</f>
        <v>0.34</v>
      </c>
      <c r="M1834" s="12">
        <f>tItens[[#This Row],[Valor]]*(1-tItens[[#This Row],[Desconto]])</f>
        <v>271.78799999999995</v>
      </c>
      <c r="N1834" t="str">
        <f>IFERROR(INDEX(tProdutos[Foco],MATCH(tItens[[#This Row],[Produto]],tProdutos[Produto],0)),"Não")</f>
        <v>Sim</v>
      </c>
      <c r="O1834" t="str">
        <f>IFERROR(INDEX(tEditais[SRP],MATCH(tItens[[#This Row],[Edital]],tEditais[Edital],0)),"Não")</f>
        <v>Sim</v>
      </c>
      <c r="P1834" s="4">
        <f>IF(COUNTIFS(INDEX(tItens[Edital],1):tItens[[#This Row],[Edital]],tItens[[#This Row],[Edital]],INDEX(tItens[Produto],1):tItens[[#This Row],[Produto]],tItens[[#This Row],[Produto]])=1,1,0)</f>
        <v>0</v>
      </c>
    </row>
    <row r="1835" spans="1:16" x14ac:dyDescent="0.25">
      <c r="A1835" t="s">
        <v>1189</v>
      </c>
      <c r="B1835">
        <v>339</v>
      </c>
      <c r="C1835" t="s">
        <v>4880</v>
      </c>
      <c r="D1835" t="s">
        <v>277</v>
      </c>
      <c r="E1835" s="13">
        <v>1000</v>
      </c>
      <c r="F1835" s="12">
        <v>18.5</v>
      </c>
      <c r="G1835" t="str">
        <f>IFERROR(INDEX(tEditais[Órgão],MATCH(tItens[[#This Row],[Edital]],tEditais[Edital],0)),"")</f>
        <v>FUNDO MUNICIPAL DE SAUDE DE SAO PATRICIO</v>
      </c>
      <c r="H1835" t="str">
        <f>IFERROR(INDEX(tEditais[UF],MATCH(tItens[[#This Row],[Edital]],tEditais[Edital],0)),"")</f>
        <v>GO</v>
      </c>
      <c r="I1835" s="11">
        <f>IFERROR(INDEX(tEditais[Encerramento],MATCH(tItens[[#This Row],[Edital]],tEditais[Edital],0)),"")</f>
        <v>46310.3125</v>
      </c>
      <c r="J1835" t="str">
        <f>IFERROR(INDEX(tProdutos[Classe],MATCH(tItens[[#This Row],[Produto]],tProdutos[Produto],0)),"produto não cadastrado")</f>
        <v>DISPUTADO</v>
      </c>
      <c r="K1835" s="12">
        <f>tItens[[#This Row],[Qtd]]*tItens[[#This Row],[Vlr unit]]</f>
        <v>18500</v>
      </c>
      <c r="L1835" s="6">
        <f>IFERROR(IF(INDEX(tProdutos[Desconto homologado],MATCH(tItens[[#This Row],[Produto]],tProdutos[Produto],0))="",DescontoPadrao,INDEX(tProdutos[Desconto homologado],MATCH(tItens[[#This Row],[Produto]],tProdutos[Produto],0))),DescontoPadrao)</f>
        <v>0.50460666194188497</v>
      </c>
      <c r="M1835" s="12">
        <f>tItens[[#This Row],[Valor]]*(1-tItens[[#This Row],[Desconto]])</f>
        <v>9164.7767540751283</v>
      </c>
      <c r="N1835" t="str">
        <f>IFERROR(INDEX(tProdutos[Foco],MATCH(tItens[[#This Row],[Produto]],tProdutos[Produto],0)),"Não")</f>
        <v>Não</v>
      </c>
      <c r="O1835" t="str">
        <f>IFERROR(INDEX(tEditais[SRP],MATCH(tItens[[#This Row],[Edital]],tEditais[Edital],0)),"Não")</f>
        <v>Sim</v>
      </c>
      <c r="P1835" s="4">
        <f>IF(COUNTIFS(INDEX(tItens[Edital],1):tItens[[#This Row],[Edital]],tItens[[#This Row],[Edital]],INDEX(tItens[Produto],1):tItens[[#This Row],[Produto]],tItens[[#This Row],[Produto]])=1,1,0)</f>
        <v>1</v>
      </c>
    </row>
    <row r="1836" spans="1:16" x14ac:dyDescent="0.25">
      <c r="A1836" t="s">
        <v>1189</v>
      </c>
      <c r="B1836">
        <v>341</v>
      </c>
      <c r="C1836" t="s">
        <v>4881</v>
      </c>
      <c r="D1836" t="s">
        <v>313</v>
      </c>
      <c r="E1836" s="13">
        <v>100</v>
      </c>
      <c r="F1836" s="12">
        <v>25.65</v>
      </c>
      <c r="G1836" t="str">
        <f>IFERROR(INDEX(tEditais[Órgão],MATCH(tItens[[#This Row],[Edital]],tEditais[Edital],0)),"")</f>
        <v>FUNDO MUNICIPAL DE SAUDE DE SAO PATRICIO</v>
      </c>
      <c r="H1836" t="str">
        <f>IFERROR(INDEX(tEditais[UF],MATCH(tItens[[#This Row],[Edital]],tEditais[Edital],0)),"")</f>
        <v>GO</v>
      </c>
      <c r="I1836" s="11">
        <f>IFERROR(INDEX(tEditais[Encerramento],MATCH(tItens[[#This Row],[Edital]],tEditais[Edital],0)),"")</f>
        <v>46310.3125</v>
      </c>
      <c r="J1836" t="str">
        <f>IFERROR(INDEX(tProdutos[Classe],MATCH(tItens[[#This Row],[Produto]],tProdutos[Produto],0)),"produto não cadastrado")</f>
        <v>FORA</v>
      </c>
      <c r="K1836" s="12">
        <f>tItens[[#This Row],[Qtd]]*tItens[[#This Row],[Vlr unit]]</f>
        <v>2565</v>
      </c>
      <c r="L1836" s="6">
        <f>IFERROR(IF(INDEX(tProdutos[Desconto homologado],MATCH(tItens[[#This Row],[Produto]],tProdutos[Produto],0))="",DescontoPadrao,INDEX(tProdutos[Desconto homologado],MATCH(tItens[[#This Row],[Produto]],tProdutos[Produto],0))),DescontoPadrao)</f>
        <v>0.35766373163696302</v>
      </c>
      <c r="M1836" s="12">
        <f>tItens[[#This Row],[Valor]]*(1-tItens[[#This Row],[Desconto]])</f>
        <v>1647.5925283511897</v>
      </c>
      <c r="N1836" t="str">
        <f>IFERROR(INDEX(tProdutos[Foco],MATCH(tItens[[#This Row],[Produto]],tProdutos[Produto],0)),"Não")</f>
        <v>Não</v>
      </c>
      <c r="O1836" t="str">
        <f>IFERROR(INDEX(tEditais[SRP],MATCH(tItens[[#This Row],[Edital]],tEditais[Edital],0)),"Não")</f>
        <v>Sim</v>
      </c>
      <c r="P1836" s="4">
        <f>IF(COUNTIFS(INDEX(tItens[Edital],1):tItens[[#This Row],[Edital]],tItens[[#This Row],[Edital]],INDEX(tItens[Produto],1):tItens[[#This Row],[Produto]],tItens[[#This Row],[Produto]])=1,1,0)</f>
        <v>1</v>
      </c>
    </row>
    <row r="1837" spans="1:16" x14ac:dyDescent="0.25">
      <c r="A1837" t="s">
        <v>1189</v>
      </c>
      <c r="B1837">
        <v>342</v>
      </c>
      <c r="C1837" t="s">
        <v>4882</v>
      </c>
      <c r="D1837" t="s">
        <v>313</v>
      </c>
      <c r="E1837" s="13">
        <v>100</v>
      </c>
      <c r="F1837" s="12">
        <v>25.91</v>
      </c>
      <c r="G1837" t="str">
        <f>IFERROR(INDEX(tEditais[Órgão],MATCH(tItens[[#This Row],[Edital]],tEditais[Edital],0)),"")</f>
        <v>FUNDO MUNICIPAL DE SAUDE DE SAO PATRICIO</v>
      </c>
      <c r="H1837" t="str">
        <f>IFERROR(INDEX(tEditais[UF],MATCH(tItens[[#This Row],[Edital]],tEditais[Edital],0)),"")</f>
        <v>GO</v>
      </c>
      <c r="I1837" s="11">
        <f>IFERROR(INDEX(tEditais[Encerramento],MATCH(tItens[[#This Row],[Edital]],tEditais[Edital],0)),"")</f>
        <v>46310.3125</v>
      </c>
      <c r="J1837" t="str">
        <f>IFERROR(INDEX(tProdutos[Classe],MATCH(tItens[[#This Row],[Produto]],tProdutos[Produto],0)),"produto não cadastrado")</f>
        <v>FORA</v>
      </c>
      <c r="K1837" s="12">
        <f>tItens[[#This Row],[Qtd]]*tItens[[#This Row],[Vlr unit]]</f>
        <v>2591</v>
      </c>
      <c r="L1837" s="6">
        <f>IFERROR(IF(INDEX(tProdutos[Desconto homologado],MATCH(tItens[[#This Row],[Produto]],tProdutos[Produto],0))="",DescontoPadrao,INDEX(tProdutos[Desconto homologado],MATCH(tItens[[#This Row],[Produto]],tProdutos[Produto],0))),DescontoPadrao)</f>
        <v>0.35766373163696302</v>
      </c>
      <c r="M1837" s="12">
        <f>tItens[[#This Row],[Valor]]*(1-tItens[[#This Row],[Desconto]])</f>
        <v>1664.2932713286286</v>
      </c>
      <c r="N1837" t="str">
        <f>IFERROR(INDEX(tProdutos[Foco],MATCH(tItens[[#This Row],[Produto]],tProdutos[Produto],0)),"Não")</f>
        <v>Não</v>
      </c>
      <c r="O1837" t="str">
        <f>IFERROR(INDEX(tEditais[SRP],MATCH(tItens[[#This Row],[Edital]],tEditais[Edital],0)),"Não")</f>
        <v>Sim</v>
      </c>
      <c r="P1837" s="4">
        <f>IF(COUNTIFS(INDEX(tItens[Edital],1):tItens[[#This Row],[Edital]],tItens[[#This Row],[Edital]],INDEX(tItens[Produto],1):tItens[[#This Row],[Produto]],tItens[[#This Row],[Produto]])=1,1,0)</f>
        <v>0</v>
      </c>
    </row>
    <row r="1838" spans="1:16" x14ac:dyDescent="0.25">
      <c r="A1838" t="s">
        <v>1189</v>
      </c>
      <c r="B1838">
        <v>349</v>
      </c>
      <c r="C1838" t="s">
        <v>4883</v>
      </c>
      <c r="D1838" t="s">
        <v>257</v>
      </c>
      <c r="E1838" s="13">
        <v>50</v>
      </c>
      <c r="F1838" s="12">
        <v>8.8800000000000008</v>
      </c>
      <c r="G1838" t="str">
        <f>IFERROR(INDEX(tEditais[Órgão],MATCH(tItens[[#This Row],[Edital]],tEditais[Edital],0)),"")</f>
        <v>FUNDO MUNICIPAL DE SAUDE DE SAO PATRICIO</v>
      </c>
      <c r="H1838" t="str">
        <f>IFERROR(INDEX(tEditais[UF],MATCH(tItens[[#This Row],[Edital]],tEditais[Edital],0)),"")</f>
        <v>GO</v>
      </c>
      <c r="I1838" s="11">
        <f>IFERROR(INDEX(tEditais[Encerramento],MATCH(tItens[[#This Row],[Edital]],tEditais[Edital],0)),"")</f>
        <v>46310.3125</v>
      </c>
      <c r="J1838" t="str">
        <f>IFERROR(INDEX(tProdutos[Classe],MATCH(tItens[[#This Row],[Produto]],tProdutos[Produto],0)),"produto não cadastrado")</f>
        <v>FORA</v>
      </c>
      <c r="K1838" s="12">
        <f>tItens[[#This Row],[Qtd]]*tItens[[#This Row],[Vlr unit]]</f>
        <v>444.00000000000006</v>
      </c>
      <c r="L1838" s="6">
        <f>IFERROR(IF(INDEX(tProdutos[Desconto homologado],MATCH(tItens[[#This Row],[Produto]],tProdutos[Produto],0))="",DescontoPadrao,INDEX(tProdutos[Desconto homologado],MATCH(tItens[[#This Row],[Produto]],tProdutos[Produto],0))),DescontoPadrao)</f>
        <v>0.500812004991805</v>
      </c>
      <c r="M1838" s="12">
        <f>tItens[[#This Row],[Valor]]*(1-tItens[[#This Row],[Desconto]])</f>
        <v>221.63946978363862</v>
      </c>
      <c r="N1838" t="str">
        <f>IFERROR(INDEX(tProdutos[Foco],MATCH(tItens[[#This Row],[Produto]],tProdutos[Produto],0)),"Não")</f>
        <v>Não</v>
      </c>
      <c r="O1838" t="str">
        <f>IFERROR(INDEX(tEditais[SRP],MATCH(tItens[[#This Row],[Edital]],tEditais[Edital],0)),"Não")</f>
        <v>Sim</v>
      </c>
      <c r="P1838" s="4">
        <f>IF(COUNTIFS(INDEX(tItens[Edital],1):tItens[[#This Row],[Edital]],tItens[[#This Row],[Edital]],INDEX(tItens[Produto],1):tItens[[#This Row],[Produto]],tItens[[#This Row],[Produto]])=1,1,0)</f>
        <v>1</v>
      </c>
    </row>
    <row r="1839" spans="1:16" x14ac:dyDescent="0.25">
      <c r="A1839" t="s">
        <v>1189</v>
      </c>
      <c r="B1839">
        <v>350</v>
      </c>
      <c r="C1839" t="s">
        <v>4884</v>
      </c>
      <c r="D1839" t="s">
        <v>249</v>
      </c>
      <c r="E1839" s="13">
        <v>50</v>
      </c>
      <c r="F1839" s="12">
        <v>8.76</v>
      </c>
      <c r="G1839" t="str">
        <f>IFERROR(INDEX(tEditais[Órgão],MATCH(tItens[[#This Row],[Edital]],tEditais[Edital],0)),"")</f>
        <v>FUNDO MUNICIPAL DE SAUDE DE SAO PATRICIO</v>
      </c>
      <c r="H1839" t="str">
        <f>IFERROR(INDEX(tEditais[UF],MATCH(tItens[[#This Row],[Edital]],tEditais[Edital],0)),"")</f>
        <v>GO</v>
      </c>
      <c r="I1839" s="11">
        <f>IFERROR(INDEX(tEditais[Encerramento],MATCH(tItens[[#This Row],[Edital]],tEditais[Edital],0)),"")</f>
        <v>46310.3125</v>
      </c>
      <c r="J1839" t="str">
        <f>IFERROR(INDEX(tProdutos[Classe],MATCH(tItens[[#This Row],[Produto]],tProdutos[Produto],0)),"produto não cadastrado")</f>
        <v>FORA</v>
      </c>
      <c r="K1839" s="12">
        <f>tItens[[#This Row],[Qtd]]*tItens[[#This Row],[Vlr unit]]</f>
        <v>438</v>
      </c>
      <c r="L1839" s="6">
        <f>IFERROR(IF(INDEX(tProdutos[Desconto homologado],MATCH(tItens[[#This Row],[Produto]],tProdutos[Produto],0))="",DescontoPadrao,INDEX(tProdutos[Desconto homologado],MATCH(tItens[[#This Row],[Produto]],tProdutos[Produto],0))),DescontoPadrao)</f>
        <v>0.45399945399945402</v>
      </c>
      <c r="M1839" s="12">
        <f>tItens[[#This Row],[Valor]]*(1-tItens[[#This Row],[Desconto]])</f>
        <v>239.14823914823913</v>
      </c>
      <c r="N1839" t="str">
        <f>IFERROR(INDEX(tProdutos[Foco],MATCH(tItens[[#This Row],[Produto]],tProdutos[Produto],0)),"Não")</f>
        <v>Não</v>
      </c>
      <c r="O1839" t="str">
        <f>IFERROR(INDEX(tEditais[SRP],MATCH(tItens[[#This Row],[Edital]],tEditais[Edital],0)),"Não")</f>
        <v>Sim</v>
      </c>
      <c r="P1839" s="4">
        <f>IF(COUNTIFS(INDEX(tItens[Edital],1):tItens[[#This Row],[Edital]],tItens[[#This Row],[Edital]],INDEX(tItens[Produto],1):tItens[[#This Row],[Produto]],tItens[[#This Row],[Produto]])=1,1,0)</f>
        <v>1</v>
      </c>
    </row>
    <row r="1840" spans="1:16" x14ac:dyDescent="0.25">
      <c r="A1840" t="s">
        <v>1189</v>
      </c>
      <c r="B1840">
        <v>364</v>
      </c>
      <c r="C1840" t="s">
        <v>4885</v>
      </c>
      <c r="D1840" t="s">
        <v>281</v>
      </c>
      <c r="E1840" s="13">
        <v>25000</v>
      </c>
      <c r="F1840" s="12">
        <v>0.71</v>
      </c>
      <c r="G1840" t="str">
        <f>IFERROR(INDEX(tEditais[Órgão],MATCH(tItens[[#This Row],[Edital]],tEditais[Edital],0)),"")</f>
        <v>FUNDO MUNICIPAL DE SAUDE DE SAO PATRICIO</v>
      </c>
      <c r="H1840" t="str">
        <f>IFERROR(INDEX(tEditais[UF],MATCH(tItens[[#This Row],[Edital]],tEditais[Edital],0)),"")</f>
        <v>GO</v>
      </c>
      <c r="I1840" s="11">
        <f>IFERROR(INDEX(tEditais[Encerramento],MATCH(tItens[[#This Row],[Edital]],tEditais[Edital],0)),"")</f>
        <v>46310.3125</v>
      </c>
      <c r="J1840" t="str">
        <f>IFERROR(INDEX(tProdutos[Classe],MATCH(tItens[[#This Row],[Produto]],tProdutos[Produto],0)),"produto não cadastrado")</f>
        <v>DISPUTADO</v>
      </c>
      <c r="K1840" s="12">
        <f>tItens[[#This Row],[Qtd]]*tItens[[#This Row],[Vlr unit]]</f>
        <v>17750</v>
      </c>
      <c r="L1840" s="6">
        <f>IFERROR(IF(INDEX(tProdutos[Desconto homologado],MATCH(tItens[[#This Row],[Produto]],tProdutos[Produto],0))="",DescontoPadrao,INDEX(tProdutos[Desconto homologado],MATCH(tItens[[#This Row],[Produto]],tProdutos[Produto],0))),DescontoPadrao)</f>
        <v>0.42461538461538501</v>
      </c>
      <c r="M1840" s="12">
        <f>tItens[[#This Row],[Valor]]*(1-tItens[[#This Row],[Desconto]])</f>
        <v>10213.076923076915</v>
      </c>
      <c r="N1840" t="str">
        <f>IFERROR(INDEX(tProdutos[Foco],MATCH(tItens[[#This Row],[Produto]],tProdutos[Produto],0)),"Não")</f>
        <v>Não</v>
      </c>
      <c r="O1840" t="str">
        <f>IFERROR(INDEX(tEditais[SRP],MATCH(tItens[[#This Row],[Edital]],tEditais[Edital],0)),"Não")</f>
        <v>Sim</v>
      </c>
      <c r="P1840" s="4">
        <f>IF(COUNTIFS(INDEX(tItens[Edital],1):tItens[[#This Row],[Edital]],tItens[[#This Row],[Edital]],INDEX(tItens[Produto],1):tItens[[#This Row],[Produto]],tItens[[#This Row],[Produto]])=1,1,0)</f>
        <v>1</v>
      </c>
    </row>
    <row r="1841" spans="1:16" x14ac:dyDescent="0.25">
      <c r="A1841" t="s">
        <v>1189</v>
      </c>
      <c r="B1841">
        <v>370</v>
      </c>
      <c r="C1841" t="s">
        <v>4886</v>
      </c>
      <c r="D1841" t="s">
        <v>110</v>
      </c>
      <c r="E1841" s="13">
        <v>100</v>
      </c>
      <c r="F1841" s="12">
        <v>1.84</v>
      </c>
      <c r="G1841" t="str">
        <f>IFERROR(INDEX(tEditais[Órgão],MATCH(tItens[[#This Row],[Edital]],tEditais[Edital],0)),"")</f>
        <v>FUNDO MUNICIPAL DE SAUDE DE SAO PATRICIO</v>
      </c>
      <c r="H1841" t="str">
        <f>IFERROR(INDEX(tEditais[UF],MATCH(tItens[[#This Row],[Edital]],tEditais[Edital],0)),"")</f>
        <v>GO</v>
      </c>
      <c r="I1841" s="11">
        <f>IFERROR(INDEX(tEditais[Encerramento],MATCH(tItens[[#This Row],[Edital]],tEditais[Edital],0)),"")</f>
        <v>46310.3125</v>
      </c>
      <c r="J1841" t="str">
        <f>IFERROR(INDEX(tProdutos[Classe],MATCH(tItens[[#This Row],[Produto]],tProdutos[Produto],0)),"produto não cadastrado")</f>
        <v>NÚCLEO</v>
      </c>
      <c r="K1841" s="12">
        <f>tItens[[#This Row],[Qtd]]*tItens[[#This Row],[Vlr unit]]</f>
        <v>184</v>
      </c>
      <c r="L1841" s="6">
        <f>IFERROR(IF(INDEX(tProdutos[Desconto homologado],MATCH(tItens[[#This Row],[Produto]],tProdutos[Produto],0))="",DescontoPadrao,INDEX(tProdutos[Desconto homologado],MATCH(tItens[[#This Row],[Produto]],tProdutos[Produto],0))),DescontoPadrao)</f>
        <v>0.30410958904109597</v>
      </c>
      <c r="M1841" s="12">
        <f>tItens[[#This Row],[Valor]]*(1-tItens[[#This Row],[Desconto]])</f>
        <v>128.04383561643834</v>
      </c>
      <c r="N1841" t="str">
        <f>IFERROR(INDEX(tProdutos[Foco],MATCH(tItens[[#This Row],[Produto]],tProdutos[Produto],0)),"Não")</f>
        <v>Não</v>
      </c>
      <c r="O1841" t="str">
        <f>IFERROR(INDEX(tEditais[SRP],MATCH(tItens[[#This Row],[Edital]],tEditais[Edital],0)),"Não")</f>
        <v>Sim</v>
      </c>
      <c r="P1841" s="4">
        <f>IF(COUNTIFS(INDEX(tItens[Edital],1):tItens[[#This Row],[Edital]],tItens[[#This Row],[Edital]],INDEX(tItens[Produto],1):tItens[[#This Row],[Produto]],tItens[[#This Row],[Produto]])=1,1,0)</f>
        <v>0</v>
      </c>
    </row>
    <row r="1842" spans="1:16" x14ac:dyDescent="0.25">
      <c r="A1842" t="s">
        <v>1189</v>
      </c>
      <c r="B1842">
        <v>371</v>
      </c>
      <c r="C1842" t="s">
        <v>4887</v>
      </c>
      <c r="D1842" t="s">
        <v>110</v>
      </c>
      <c r="E1842" s="13">
        <v>100</v>
      </c>
      <c r="F1842" s="12">
        <v>1.84</v>
      </c>
      <c r="G1842" t="str">
        <f>IFERROR(INDEX(tEditais[Órgão],MATCH(tItens[[#This Row],[Edital]],tEditais[Edital],0)),"")</f>
        <v>FUNDO MUNICIPAL DE SAUDE DE SAO PATRICIO</v>
      </c>
      <c r="H1842" t="str">
        <f>IFERROR(INDEX(tEditais[UF],MATCH(tItens[[#This Row],[Edital]],tEditais[Edital],0)),"")</f>
        <v>GO</v>
      </c>
      <c r="I1842" s="11">
        <f>IFERROR(INDEX(tEditais[Encerramento],MATCH(tItens[[#This Row],[Edital]],tEditais[Edital],0)),"")</f>
        <v>46310.3125</v>
      </c>
      <c r="J1842" t="str">
        <f>IFERROR(INDEX(tProdutos[Classe],MATCH(tItens[[#This Row],[Produto]],tProdutos[Produto],0)),"produto não cadastrado")</f>
        <v>NÚCLEO</v>
      </c>
      <c r="K1842" s="12">
        <f>tItens[[#This Row],[Qtd]]*tItens[[#This Row],[Vlr unit]]</f>
        <v>184</v>
      </c>
      <c r="L1842" s="6">
        <f>IFERROR(IF(INDEX(tProdutos[Desconto homologado],MATCH(tItens[[#This Row],[Produto]],tProdutos[Produto],0))="",DescontoPadrao,INDEX(tProdutos[Desconto homologado],MATCH(tItens[[#This Row],[Produto]],tProdutos[Produto],0))),DescontoPadrao)</f>
        <v>0.30410958904109597</v>
      </c>
      <c r="M1842" s="12">
        <f>tItens[[#This Row],[Valor]]*(1-tItens[[#This Row],[Desconto]])</f>
        <v>128.04383561643834</v>
      </c>
      <c r="N1842" t="str">
        <f>IFERROR(INDEX(tProdutos[Foco],MATCH(tItens[[#This Row],[Produto]],tProdutos[Produto],0)),"Não")</f>
        <v>Não</v>
      </c>
      <c r="O1842" t="str">
        <f>IFERROR(INDEX(tEditais[SRP],MATCH(tItens[[#This Row],[Edital]],tEditais[Edital],0)),"Não")</f>
        <v>Sim</v>
      </c>
      <c r="P1842" s="4">
        <f>IF(COUNTIFS(INDEX(tItens[Edital],1):tItens[[#This Row],[Edital]],tItens[[#This Row],[Edital]],INDEX(tItens[Produto],1):tItens[[#This Row],[Produto]],tItens[[#This Row],[Produto]])=1,1,0)</f>
        <v>0</v>
      </c>
    </row>
    <row r="1843" spans="1:16" x14ac:dyDescent="0.25">
      <c r="A1843" t="s">
        <v>1189</v>
      </c>
      <c r="B1843">
        <v>372</v>
      </c>
      <c r="C1843" t="s">
        <v>4888</v>
      </c>
      <c r="D1843" t="s">
        <v>120</v>
      </c>
      <c r="E1843" s="13">
        <v>10000</v>
      </c>
      <c r="F1843" s="12">
        <v>1.52</v>
      </c>
      <c r="G1843" t="str">
        <f>IFERROR(INDEX(tEditais[Órgão],MATCH(tItens[[#This Row],[Edital]],tEditais[Edital],0)),"")</f>
        <v>FUNDO MUNICIPAL DE SAUDE DE SAO PATRICIO</v>
      </c>
      <c r="H1843" t="str">
        <f>IFERROR(INDEX(tEditais[UF],MATCH(tItens[[#This Row],[Edital]],tEditais[Edital],0)),"")</f>
        <v>GO</v>
      </c>
      <c r="I1843" s="11">
        <f>IFERROR(INDEX(tEditais[Encerramento],MATCH(tItens[[#This Row],[Edital]],tEditais[Edital],0)),"")</f>
        <v>46310.3125</v>
      </c>
      <c r="J1843" t="str">
        <f>IFERROR(INDEX(tProdutos[Classe],MATCH(tItens[[#This Row],[Produto]],tProdutos[Produto],0)),"produto não cadastrado")</f>
        <v>DISPUTADO</v>
      </c>
      <c r="K1843" s="12">
        <f>tItens[[#This Row],[Qtd]]*tItens[[#This Row],[Vlr unit]]</f>
        <v>15200</v>
      </c>
      <c r="L1843" s="6">
        <f>IFERROR(IF(INDEX(tProdutos[Desconto homologado],MATCH(tItens[[#This Row],[Produto]],tProdutos[Produto],0))="",DescontoPadrao,INDEX(tProdutos[Desconto homologado],MATCH(tItens[[#This Row],[Produto]],tProdutos[Produto],0))),DescontoPadrao)</f>
        <v>0.40909090909090901</v>
      </c>
      <c r="M1843" s="12">
        <f>tItens[[#This Row],[Valor]]*(1-tItens[[#This Row],[Desconto]])</f>
        <v>8981.8181818181838</v>
      </c>
      <c r="N1843" t="str">
        <f>IFERROR(INDEX(tProdutos[Foco],MATCH(tItens[[#This Row],[Produto]],tProdutos[Produto],0)),"Não")</f>
        <v>Não</v>
      </c>
      <c r="O1843" t="str">
        <f>IFERROR(INDEX(tEditais[SRP],MATCH(tItens[[#This Row],[Edital]],tEditais[Edital],0)),"Não")</f>
        <v>Sim</v>
      </c>
      <c r="P1843" s="4">
        <f>IF(COUNTIFS(INDEX(tItens[Edital],1):tItens[[#This Row],[Edital]],tItens[[#This Row],[Edital]],INDEX(tItens[Produto],1):tItens[[#This Row],[Produto]],tItens[[#This Row],[Produto]])=1,1,0)</f>
        <v>1</v>
      </c>
    </row>
    <row r="1844" spans="1:16" x14ac:dyDescent="0.25">
      <c r="A1844" t="s">
        <v>1189</v>
      </c>
      <c r="B1844">
        <v>394</v>
      </c>
      <c r="C1844" t="s">
        <v>4889</v>
      </c>
      <c r="D1844" t="s">
        <v>351</v>
      </c>
      <c r="E1844" s="13">
        <v>1500</v>
      </c>
      <c r="F1844" s="12">
        <v>7.1</v>
      </c>
      <c r="G1844" t="str">
        <f>IFERROR(INDEX(tEditais[Órgão],MATCH(tItens[[#This Row],[Edital]],tEditais[Edital],0)),"")</f>
        <v>FUNDO MUNICIPAL DE SAUDE DE SAO PATRICIO</v>
      </c>
      <c r="H1844" t="str">
        <f>IFERROR(INDEX(tEditais[UF],MATCH(tItens[[#This Row],[Edital]],tEditais[Edital],0)),"")</f>
        <v>GO</v>
      </c>
      <c r="I1844" s="11">
        <f>IFERROR(INDEX(tEditais[Encerramento],MATCH(tItens[[#This Row],[Edital]],tEditais[Edital],0)),"")</f>
        <v>46310.3125</v>
      </c>
      <c r="J1844" t="str">
        <f>IFERROR(INDEX(tProdutos[Classe],MATCH(tItens[[#This Row],[Produto]],tProdutos[Produto],0)),"produto não cadastrado")</f>
        <v>FORA</v>
      </c>
      <c r="K1844" s="12">
        <f>tItens[[#This Row],[Qtd]]*tItens[[#This Row],[Vlr unit]]</f>
        <v>10650</v>
      </c>
      <c r="L1844" s="6">
        <f>IFERROR(IF(INDEX(tProdutos[Desconto homologado],MATCH(tItens[[#This Row],[Produto]],tProdutos[Produto],0))="",DescontoPadrao,INDEX(tProdutos[Desconto homologado],MATCH(tItens[[#This Row],[Produto]],tProdutos[Produto],0))),DescontoPadrao)</f>
        <v>0.33518005540166201</v>
      </c>
      <c r="M1844" s="12">
        <f>tItens[[#This Row],[Valor]]*(1-tItens[[#This Row],[Desconto]])</f>
        <v>7080.3324099723004</v>
      </c>
      <c r="N1844" t="str">
        <f>IFERROR(INDEX(tProdutos[Foco],MATCH(tItens[[#This Row],[Produto]],tProdutos[Produto],0)),"Não")</f>
        <v>Não</v>
      </c>
      <c r="O1844" t="str">
        <f>IFERROR(INDEX(tEditais[SRP],MATCH(tItens[[#This Row],[Edital]],tEditais[Edital],0)),"Não")</f>
        <v>Sim</v>
      </c>
      <c r="P1844" s="4">
        <f>IF(COUNTIFS(INDEX(tItens[Edital],1):tItens[[#This Row],[Edital]],tItens[[#This Row],[Edital]],INDEX(tItens[Produto],1):tItens[[#This Row],[Produto]],tItens[[#This Row],[Produto]])=1,1,0)</f>
        <v>0</v>
      </c>
    </row>
    <row r="1845" spans="1:16" x14ac:dyDescent="0.25">
      <c r="A1845" t="s">
        <v>1189</v>
      </c>
      <c r="B1845">
        <v>414</v>
      </c>
      <c r="C1845" t="s">
        <v>4890</v>
      </c>
      <c r="D1845" t="s">
        <v>56</v>
      </c>
      <c r="E1845" s="13">
        <v>10</v>
      </c>
      <c r="F1845" s="12">
        <v>44.03</v>
      </c>
      <c r="G1845" t="str">
        <f>IFERROR(INDEX(tEditais[Órgão],MATCH(tItens[[#This Row],[Edital]],tEditais[Edital],0)),"")</f>
        <v>FUNDO MUNICIPAL DE SAUDE DE SAO PATRICIO</v>
      </c>
      <c r="H1845" t="str">
        <f>IFERROR(INDEX(tEditais[UF],MATCH(tItens[[#This Row],[Edital]],tEditais[Edital],0)),"")</f>
        <v>GO</v>
      </c>
      <c r="I1845" s="11">
        <f>IFERROR(INDEX(tEditais[Encerramento],MATCH(tItens[[#This Row],[Edital]],tEditais[Edital],0)),"")</f>
        <v>46310.3125</v>
      </c>
      <c r="J1845" t="str">
        <f>IFERROR(INDEX(tProdutos[Classe],MATCH(tItens[[#This Row],[Produto]],tProdutos[Produto],0)),"produto não cadastrado")</f>
        <v>NÚCLEO</v>
      </c>
      <c r="K1845" s="12">
        <f>tItens[[#This Row],[Qtd]]*tItens[[#This Row],[Vlr unit]]</f>
        <v>440.3</v>
      </c>
      <c r="L1845" s="6">
        <f>IFERROR(IF(INDEX(tProdutos[Desconto homologado],MATCH(tItens[[#This Row],[Produto]],tProdutos[Produto],0))="",DescontoPadrao,INDEX(tProdutos[Desconto homologado],MATCH(tItens[[#This Row],[Produto]],tProdutos[Produto],0))),DescontoPadrao)</f>
        <v>0.34</v>
      </c>
      <c r="M1845" s="12">
        <f>tItens[[#This Row],[Valor]]*(1-tItens[[#This Row],[Desconto]])</f>
        <v>290.59799999999996</v>
      </c>
      <c r="N1845" t="str">
        <f>IFERROR(INDEX(tProdutos[Foco],MATCH(tItens[[#This Row],[Produto]],tProdutos[Produto],0)),"Não")</f>
        <v>Sim</v>
      </c>
      <c r="O1845" t="str">
        <f>IFERROR(INDEX(tEditais[SRP],MATCH(tItens[[#This Row],[Edital]],tEditais[Edital],0)),"Não")</f>
        <v>Sim</v>
      </c>
      <c r="P1845" s="4">
        <f>IF(COUNTIFS(INDEX(tItens[Edital],1):tItens[[#This Row],[Edital]],tItens[[#This Row],[Edital]],INDEX(tItens[Produto],1):tItens[[#This Row],[Produto]],tItens[[#This Row],[Produto]])=1,1,0)</f>
        <v>0</v>
      </c>
    </row>
    <row r="1846" spans="1:16" x14ac:dyDescent="0.25">
      <c r="A1846" t="s">
        <v>1189</v>
      </c>
      <c r="B1846">
        <v>421</v>
      </c>
      <c r="C1846" t="s">
        <v>4891</v>
      </c>
      <c r="D1846" t="s">
        <v>494</v>
      </c>
      <c r="E1846" s="13">
        <v>100</v>
      </c>
      <c r="F1846" s="12">
        <v>113.05</v>
      </c>
      <c r="G1846" t="str">
        <f>IFERROR(INDEX(tEditais[Órgão],MATCH(tItens[[#This Row],[Edital]],tEditais[Edital],0)),"")</f>
        <v>FUNDO MUNICIPAL DE SAUDE DE SAO PATRICIO</v>
      </c>
      <c r="H1846" t="str">
        <f>IFERROR(INDEX(tEditais[UF],MATCH(tItens[[#This Row],[Edital]],tEditais[Edital],0)),"")</f>
        <v>GO</v>
      </c>
      <c r="I1846" s="11">
        <f>IFERROR(INDEX(tEditais[Encerramento],MATCH(tItens[[#This Row],[Edital]],tEditais[Edital],0)),"")</f>
        <v>46310.3125</v>
      </c>
      <c r="J1846" t="str">
        <f>IFERROR(INDEX(tProdutos[Classe],MATCH(tItens[[#This Row],[Produto]],tProdutos[Produto],0)),"produto não cadastrado")</f>
        <v>FILA REBASE</v>
      </c>
      <c r="K1846" s="12">
        <f>tItens[[#This Row],[Qtd]]*tItens[[#This Row],[Vlr unit]]</f>
        <v>11305</v>
      </c>
      <c r="L1846" s="6">
        <f>IFERROR(IF(INDEX(tProdutos[Desconto homologado],MATCH(tItens[[#This Row],[Produto]],tProdutos[Produto],0))="",DescontoPadrao,INDEX(tProdutos[Desconto homologado],MATCH(tItens[[#This Row],[Produto]],tProdutos[Produto],0))),DescontoPadrao)</f>
        <v>0.253736324829619</v>
      </c>
      <c r="M1846" s="12">
        <f>tItens[[#This Row],[Valor]]*(1-tItens[[#This Row],[Desconto]])</f>
        <v>8436.5108478011571</v>
      </c>
      <c r="N1846" t="str">
        <f>IFERROR(INDEX(tProdutos[Foco],MATCH(tItens[[#This Row],[Produto]],tProdutos[Produto],0)),"Não")</f>
        <v>Não</v>
      </c>
      <c r="O1846" t="str">
        <f>IFERROR(INDEX(tEditais[SRP],MATCH(tItens[[#This Row],[Edital]],tEditais[Edital],0)),"Não")</f>
        <v>Sim</v>
      </c>
      <c r="P1846" s="4">
        <f>IF(COUNTIFS(INDEX(tItens[Edital],1):tItens[[#This Row],[Edital]],tItens[[#This Row],[Edital]],INDEX(tItens[Produto],1):tItens[[#This Row],[Produto]],tItens[[#This Row],[Produto]])=1,1,0)</f>
        <v>1</v>
      </c>
    </row>
    <row r="1847" spans="1:16" x14ac:dyDescent="0.25">
      <c r="A1847" t="s">
        <v>1193</v>
      </c>
      <c r="B1847">
        <v>4</v>
      </c>
      <c r="C1847" t="s">
        <v>4892</v>
      </c>
      <c r="D1847" t="s">
        <v>315</v>
      </c>
      <c r="E1847" s="13">
        <v>600</v>
      </c>
      <c r="F1847" s="12">
        <v>8.6199999999999992</v>
      </c>
      <c r="G1847" t="str">
        <f>IFERROR(INDEX(tEditais[Órgão],MATCH(tItens[[#This Row],[Edital]],tEditais[Edital],0)),"")</f>
        <v>MUNICIPIO DE CACHOEIRA DOURADA</v>
      </c>
      <c r="H1847" t="str">
        <f>IFERROR(INDEX(tEditais[UF],MATCH(tItens[[#This Row],[Edital]],tEditais[Edital],0)),"")</f>
        <v>GO</v>
      </c>
      <c r="I1847" s="11">
        <f>IFERROR(INDEX(tEditais[Encerramento],MATCH(tItens[[#This Row],[Edital]],tEditais[Edital],0)),"")</f>
        <v>46310.333333333336</v>
      </c>
      <c r="J1847" t="str">
        <f>IFERROR(INDEX(tProdutos[Classe],MATCH(tItens[[#This Row],[Produto]],tProdutos[Produto],0)),"produto não cadastrado")</f>
        <v>FORA</v>
      </c>
      <c r="K1847" s="12">
        <f>tItens[[#This Row],[Qtd]]*tItens[[#This Row],[Vlr unit]]</f>
        <v>5171.9999999999991</v>
      </c>
      <c r="L1847" s="6">
        <f>IFERROR(IF(INDEX(tProdutos[Desconto homologado],MATCH(tItens[[#This Row],[Produto]],tProdutos[Produto],0))="",DescontoPadrao,INDEX(tProdutos[Desconto homologado],MATCH(tItens[[#This Row],[Produto]],tProdutos[Produto],0))),DescontoPadrao)</f>
        <v>0.38432036097010702</v>
      </c>
      <c r="M1847" s="12">
        <f>tItens[[#This Row],[Valor]]*(1-tItens[[#This Row],[Desconto]])</f>
        <v>3184.2950930626057</v>
      </c>
      <c r="N1847" t="str">
        <f>IFERROR(INDEX(tProdutos[Foco],MATCH(tItens[[#This Row],[Produto]],tProdutos[Produto],0)),"Não")</f>
        <v>Não</v>
      </c>
      <c r="O1847" t="str">
        <f>IFERROR(INDEX(tEditais[SRP],MATCH(tItens[[#This Row],[Edital]],tEditais[Edital],0)),"Não")</f>
        <v>Não</v>
      </c>
      <c r="P1847" s="4">
        <f>IF(COUNTIFS(INDEX(tItens[Edital],1):tItens[[#This Row],[Edital]],tItens[[#This Row],[Edital]],INDEX(tItens[Produto],1):tItens[[#This Row],[Produto]],tItens[[#This Row],[Produto]])=1,1,0)</f>
        <v>1</v>
      </c>
    </row>
    <row r="1848" spans="1:16" x14ac:dyDescent="0.25">
      <c r="A1848" t="s">
        <v>1193</v>
      </c>
      <c r="B1848">
        <v>5</v>
      </c>
      <c r="C1848" t="s">
        <v>4893</v>
      </c>
      <c r="D1848" t="s">
        <v>315</v>
      </c>
      <c r="E1848" s="13">
        <v>3000</v>
      </c>
      <c r="F1848" s="12">
        <v>8.98</v>
      </c>
      <c r="G1848" t="str">
        <f>IFERROR(INDEX(tEditais[Órgão],MATCH(tItens[[#This Row],[Edital]],tEditais[Edital],0)),"")</f>
        <v>MUNICIPIO DE CACHOEIRA DOURADA</v>
      </c>
      <c r="H1848" t="str">
        <f>IFERROR(INDEX(tEditais[UF],MATCH(tItens[[#This Row],[Edital]],tEditais[Edital],0)),"")</f>
        <v>GO</v>
      </c>
      <c r="I1848" s="11">
        <f>IFERROR(INDEX(tEditais[Encerramento],MATCH(tItens[[#This Row],[Edital]],tEditais[Edital],0)),"")</f>
        <v>46310.333333333336</v>
      </c>
      <c r="J1848" t="str">
        <f>IFERROR(INDEX(tProdutos[Classe],MATCH(tItens[[#This Row],[Produto]],tProdutos[Produto],0)),"produto não cadastrado")</f>
        <v>FORA</v>
      </c>
      <c r="K1848" s="12">
        <f>tItens[[#This Row],[Qtd]]*tItens[[#This Row],[Vlr unit]]</f>
        <v>26940</v>
      </c>
      <c r="L1848" s="6">
        <f>IFERROR(IF(INDEX(tProdutos[Desconto homologado],MATCH(tItens[[#This Row],[Produto]],tProdutos[Produto],0))="",DescontoPadrao,INDEX(tProdutos[Desconto homologado],MATCH(tItens[[#This Row],[Produto]],tProdutos[Produto],0))),DescontoPadrao)</f>
        <v>0.38432036097010702</v>
      </c>
      <c r="M1848" s="12">
        <f>tItens[[#This Row],[Valor]]*(1-tItens[[#This Row],[Desconto]])</f>
        <v>16586.409475465316</v>
      </c>
      <c r="N1848" t="str">
        <f>IFERROR(INDEX(tProdutos[Foco],MATCH(tItens[[#This Row],[Produto]],tProdutos[Produto],0)),"Não")</f>
        <v>Não</v>
      </c>
      <c r="O1848" t="str">
        <f>IFERROR(INDEX(tEditais[SRP],MATCH(tItens[[#This Row],[Edital]],tEditais[Edital],0)),"Não")</f>
        <v>Não</v>
      </c>
      <c r="P1848" s="4">
        <f>IF(COUNTIFS(INDEX(tItens[Edital],1):tItens[[#This Row],[Edital]],tItens[[#This Row],[Edital]],INDEX(tItens[Produto],1):tItens[[#This Row],[Produto]],tItens[[#This Row],[Produto]])=1,1,0)</f>
        <v>0</v>
      </c>
    </row>
    <row r="1849" spans="1:16" x14ac:dyDescent="0.25">
      <c r="A1849" t="s">
        <v>1193</v>
      </c>
      <c r="B1849">
        <v>6</v>
      </c>
      <c r="C1849" t="s">
        <v>4894</v>
      </c>
      <c r="D1849" t="s">
        <v>315</v>
      </c>
      <c r="E1849" s="13">
        <v>3500</v>
      </c>
      <c r="F1849" s="12">
        <v>9.11</v>
      </c>
      <c r="G1849" t="str">
        <f>IFERROR(INDEX(tEditais[Órgão],MATCH(tItens[[#This Row],[Edital]],tEditais[Edital],0)),"")</f>
        <v>MUNICIPIO DE CACHOEIRA DOURADA</v>
      </c>
      <c r="H1849" t="str">
        <f>IFERROR(INDEX(tEditais[UF],MATCH(tItens[[#This Row],[Edital]],tEditais[Edital],0)),"")</f>
        <v>GO</v>
      </c>
      <c r="I1849" s="11">
        <f>IFERROR(INDEX(tEditais[Encerramento],MATCH(tItens[[#This Row],[Edital]],tEditais[Edital],0)),"")</f>
        <v>46310.333333333336</v>
      </c>
      <c r="J1849" t="str">
        <f>IFERROR(INDEX(tProdutos[Classe],MATCH(tItens[[#This Row],[Produto]],tProdutos[Produto],0)),"produto não cadastrado")</f>
        <v>FORA</v>
      </c>
      <c r="K1849" s="12">
        <f>tItens[[#This Row],[Qtd]]*tItens[[#This Row],[Vlr unit]]</f>
        <v>31884.999999999996</v>
      </c>
      <c r="L1849" s="6">
        <f>IFERROR(IF(INDEX(tProdutos[Desconto homologado],MATCH(tItens[[#This Row],[Produto]],tProdutos[Produto],0))="",DescontoPadrao,INDEX(tProdutos[Desconto homologado],MATCH(tItens[[#This Row],[Produto]],tProdutos[Produto],0))),DescontoPadrao)</f>
        <v>0.38432036097010702</v>
      </c>
      <c r="M1849" s="12">
        <f>tItens[[#This Row],[Valor]]*(1-tItens[[#This Row],[Desconto]])</f>
        <v>19630.945290468135</v>
      </c>
      <c r="N1849" t="str">
        <f>IFERROR(INDEX(tProdutos[Foco],MATCH(tItens[[#This Row],[Produto]],tProdutos[Produto],0)),"Não")</f>
        <v>Não</v>
      </c>
      <c r="O1849" t="str">
        <f>IFERROR(INDEX(tEditais[SRP],MATCH(tItens[[#This Row],[Edital]],tEditais[Edital],0)),"Não")</f>
        <v>Não</v>
      </c>
      <c r="P1849" s="4">
        <f>IF(COUNTIFS(INDEX(tItens[Edital],1):tItens[[#This Row],[Edital]],tItens[[#This Row],[Edital]],INDEX(tItens[Produto],1):tItens[[#This Row],[Produto]],tItens[[#This Row],[Produto]])=1,1,0)</f>
        <v>0</v>
      </c>
    </row>
    <row r="1850" spans="1:16" x14ac:dyDescent="0.25">
      <c r="A1850" t="s">
        <v>1193</v>
      </c>
      <c r="B1850">
        <v>7</v>
      </c>
      <c r="C1850" t="s">
        <v>4895</v>
      </c>
      <c r="D1850" t="s">
        <v>315</v>
      </c>
      <c r="E1850" s="13">
        <v>2000</v>
      </c>
      <c r="F1850" s="12">
        <v>9.1199999999999992</v>
      </c>
      <c r="G1850" t="str">
        <f>IFERROR(INDEX(tEditais[Órgão],MATCH(tItens[[#This Row],[Edital]],tEditais[Edital],0)),"")</f>
        <v>MUNICIPIO DE CACHOEIRA DOURADA</v>
      </c>
      <c r="H1850" t="str">
        <f>IFERROR(INDEX(tEditais[UF],MATCH(tItens[[#This Row],[Edital]],tEditais[Edital],0)),"")</f>
        <v>GO</v>
      </c>
      <c r="I1850" s="11">
        <f>IFERROR(INDEX(tEditais[Encerramento],MATCH(tItens[[#This Row],[Edital]],tEditais[Edital],0)),"")</f>
        <v>46310.333333333336</v>
      </c>
      <c r="J1850" t="str">
        <f>IFERROR(INDEX(tProdutos[Classe],MATCH(tItens[[#This Row],[Produto]],tProdutos[Produto],0)),"produto não cadastrado")</f>
        <v>FORA</v>
      </c>
      <c r="K1850" s="12">
        <f>tItens[[#This Row],[Qtd]]*tItens[[#This Row],[Vlr unit]]</f>
        <v>18240</v>
      </c>
      <c r="L1850" s="6">
        <f>IFERROR(IF(INDEX(tProdutos[Desconto homologado],MATCH(tItens[[#This Row],[Produto]],tProdutos[Produto],0))="",DescontoPadrao,INDEX(tProdutos[Desconto homologado],MATCH(tItens[[#This Row],[Produto]],tProdutos[Produto],0))),DescontoPadrao)</f>
        <v>0.38432036097010702</v>
      </c>
      <c r="M1850" s="12">
        <f>tItens[[#This Row],[Valor]]*(1-tItens[[#This Row],[Desconto]])</f>
        <v>11229.996615905247</v>
      </c>
      <c r="N1850" t="str">
        <f>IFERROR(INDEX(tProdutos[Foco],MATCH(tItens[[#This Row],[Produto]],tProdutos[Produto],0)),"Não")</f>
        <v>Não</v>
      </c>
      <c r="O1850" t="str">
        <f>IFERROR(INDEX(tEditais[SRP],MATCH(tItens[[#This Row],[Edital]],tEditais[Edital],0)),"Não")</f>
        <v>Não</v>
      </c>
      <c r="P1850" s="4">
        <f>IF(COUNTIFS(INDEX(tItens[Edital],1):tItens[[#This Row],[Edital]],tItens[[#This Row],[Edital]],INDEX(tItens[Produto],1):tItens[[#This Row],[Produto]],tItens[[#This Row],[Produto]])=1,1,0)</f>
        <v>0</v>
      </c>
    </row>
    <row r="1851" spans="1:16" x14ac:dyDescent="0.25">
      <c r="A1851" t="s">
        <v>1193</v>
      </c>
      <c r="B1851">
        <v>20</v>
      </c>
      <c r="C1851" t="s">
        <v>4896</v>
      </c>
      <c r="D1851" t="s">
        <v>277</v>
      </c>
      <c r="E1851" s="13">
        <v>3000</v>
      </c>
      <c r="F1851" s="12">
        <v>14.44</v>
      </c>
      <c r="G1851" t="str">
        <f>IFERROR(INDEX(tEditais[Órgão],MATCH(tItens[[#This Row],[Edital]],tEditais[Edital],0)),"")</f>
        <v>MUNICIPIO DE CACHOEIRA DOURADA</v>
      </c>
      <c r="H1851" t="str">
        <f>IFERROR(INDEX(tEditais[UF],MATCH(tItens[[#This Row],[Edital]],tEditais[Edital],0)),"")</f>
        <v>GO</v>
      </c>
      <c r="I1851" s="11">
        <f>IFERROR(INDEX(tEditais[Encerramento],MATCH(tItens[[#This Row],[Edital]],tEditais[Edital],0)),"")</f>
        <v>46310.333333333336</v>
      </c>
      <c r="J1851" t="str">
        <f>IFERROR(INDEX(tProdutos[Classe],MATCH(tItens[[#This Row],[Produto]],tProdutos[Produto],0)),"produto não cadastrado")</f>
        <v>DISPUTADO</v>
      </c>
      <c r="K1851" s="12">
        <f>tItens[[#This Row],[Qtd]]*tItens[[#This Row],[Vlr unit]]</f>
        <v>43320</v>
      </c>
      <c r="L1851" s="6">
        <f>IFERROR(IF(INDEX(tProdutos[Desconto homologado],MATCH(tItens[[#This Row],[Produto]],tProdutos[Produto],0))="",DescontoPadrao,INDEX(tProdutos[Desconto homologado],MATCH(tItens[[#This Row],[Produto]],tProdutos[Produto],0))),DescontoPadrao)</f>
        <v>0.50460666194188497</v>
      </c>
      <c r="M1851" s="12">
        <f>tItens[[#This Row],[Valor]]*(1-tItens[[#This Row],[Desconto]])</f>
        <v>21460.439404677541</v>
      </c>
      <c r="N1851" t="str">
        <f>IFERROR(INDEX(tProdutos[Foco],MATCH(tItens[[#This Row],[Produto]],tProdutos[Produto],0)),"Não")</f>
        <v>Não</v>
      </c>
      <c r="O1851" t="str">
        <f>IFERROR(INDEX(tEditais[SRP],MATCH(tItens[[#This Row],[Edital]],tEditais[Edital],0)),"Não")</f>
        <v>Não</v>
      </c>
      <c r="P1851" s="4">
        <f>IF(COUNTIFS(INDEX(tItens[Edital],1):tItens[[#This Row],[Edital]],tItens[[#This Row],[Edital]],INDEX(tItens[Produto],1):tItens[[#This Row],[Produto]],tItens[[#This Row],[Produto]])=1,1,0)</f>
        <v>1</v>
      </c>
    </row>
    <row r="1852" spans="1:16" x14ac:dyDescent="0.25">
      <c r="A1852" t="s">
        <v>1193</v>
      </c>
      <c r="B1852">
        <v>26</v>
      </c>
      <c r="C1852" t="s">
        <v>4897</v>
      </c>
      <c r="D1852" t="s">
        <v>62</v>
      </c>
      <c r="E1852" s="13">
        <v>2500</v>
      </c>
      <c r="F1852" s="12">
        <v>5.89</v>
      </c>
      <c r="G1852" t="str">
        <f>IFERROR(INDEX(tEditais[Órgão],MATCH(tItens[[#This Row],[Edital]],tEditais[Edital],0)),"")</f>
        <v>MUNICIPIO DE CACHOEIRA DOURADA</v>
      </c>
      <c r="H1852" t="str">
        <f>IFERROR(INDEX(tEditais[UF],MATCH(tItens[[#This Row],[Edital]],tEditais[Edital],0)),"")</f>
        <v>GO</v>
      </c>
      <c r="I1852" s="11">
        <f>IFERROR(INDEX(tEditais[Encerramento],MATCH(tItens[[#This Row],[Edital]],tEditais[Edital],0)),"")</f>
        <v>46310.333333333336</v>
      </c>
      <c r="J1852" t="str">
        <f>IFERROR(INDEX(tProdutos[Classe],MATCH(tItens[[#This Row],[Produto]],tProdutos[Produto],0)),"produto não cadastrado")</f>
        <v>NÚCLEO</v>
      </c>
      <c r="K1852" s="12">
        <f>tItens[[#This Row],[Qtd]]*tItens[[#This Row],[Vlr unit]]</f>
        <v>14725</v>
      </c>
      <c r="L1852" s="6">
        <f>IFERROR(IF(INDEX(tProdutos[Desconto homologado],MATCH(tItens[[#This Row],[Produto]],tProdutos[Produto],0))="",DescontoPadrao,INDEX(tProdutos[Desconto homologado],MATCH(tItens[[#This Row],[Produto]],tProdutos[Produto],0))),DescontoPadrao)</f>
        <v>0.3</v>
      </c>
      <c r="M1852" s="12">
        <f>tItens[[#This Row],[Valor]]*(1-tItens[[#This Row],[Desconto]])</f>
        <v>10307.5</v>
      </c>
      <c r="N1852" t="str">
        <f>IFERROR(INDEX(tProdutos[Foco],MATCH(tItens[[#This Row],[Produto]],tProdutos[Produto],0)),"Não")</f>
        <v>Sim</v>
      </c>
      <c r="O1852" t="str">
        <f>IFERROR(INDEX(tEditais[SRP],MATCH(tItens[[#This Row],[Edital]],tEditais[Edital],0)),"Não")</f>
        <v>Não</v>
      </c>
      <c r="P1852" s="4">
        <f>IF(COUNTIFS(INDEX(tItens[Edital],1):tItens[[#This Row],[Edital]],tItens[[#This Row],[Edital]],INDEX(tItens[Produto],1):tItens[[#This Row],[Produto]],tItens[[#This Row],[Produto]])=1,1,0)</f>
        <v>1</v>
      </c>
    </row>
    <row r="1853" spans="1:16" x14ac:dyDescent="0.25">
      <c r="A1853" t="s">
        <v>1193</v>
      </c>
      <c r="B1853">
        <v>28</v>
      </c>
      <c r="C1853" t="s">
        <v>4898</v>
      </c>
      <c r="D1853" t="s">
        <v>423</v>
      </c>
      <c r="E1853" s="13">
        <v>5</v>
      </c>
      <c r="F1853" s="12">
        <v>12.59</v>
      </c>
      <c r="G1853" t="str">
        <f>IFERROR(INDEX(tEditais[Órgão],MATCH(tItens[[#This Row],[Edital]],tEditais[Edital],0)),"")</f>
        <v>MUNICIPIO DE CACHOEIRA DOURADA</v>
      </c>
      <c r="H1853" t="str">
        <f>IFERROR(INDEX(tEditais[UF],MATCH(tItens[[#This Row],[Edital]],tEditais[Edital],0)),"")</f>
        <v>GO</v>
      </c>
      <c r="I1853" s="11">
        <f>IFERROR(INDEX(tEditais[Encerramento],MATCH(tItens[[#This Row],[Edital]],tEditais[Edital],0)),"")</f>
        <v>46310.333333333336</v>
      </c>
      <c r="J1853" t="str">
        <f>IFERROR(INDEX(tProdutos[Classe],MATCH(tItens[[#This Row],[Produto]],tProdutos[Produto],0)),"produto não cadastrado")</f>
        <v>FORA</v>
      </c>
      <c r="K1853" s="12">
        <f>tItens[[#This Row],[Qtd]]*tItens[[#This Row],[Vlr unit]]</f>
        <v>62.95</v>
      </c>
      <c r="L1853" s="6">
        <f>IFERROR(IF(INDEX(tProdutos[Desconto homologado],MATCH(tItens[[#This Row],[Produto]],tProdutos[Produto],0))="",DescontoPadrao,INDEX(tProdutos[Desconto homologado],MATCH(tItens[[#This Row],[Produto]],tProdutos[Produto],0))),DescontoPadrao)</f>
        <v>0.38271604938271597</v>
      </c>
      <c r="M1853" s="12">
        <f>tItens[[#This Row],[Valor]]*(1-tItens[[#This Row],[Desconto]])</f>
        <v>38.858024691358032</v>
      </c>
      <c r="N1853" t="str">
        <f>IFERROR(INDEX(tProdutos[Foco],MATCH(tItens[[#This Row],[Produto]],tProdutos[Produto],0)),"Não")</f>
        <v>Não</v>
      </c>
      <c r="O1853" t="str">
        <f>IFERROR(INDEX(tEditais[SRP],MATCH(tItens[[#This Row],[Edital]],tEditais[Edital],0)),"Não")</f>
        <v>Não</v>
      </c>
      <c r="P1853" s="4">
        <f>IF(COUNTIFS(INDEX(tItens[Edital],1):tItens[[#This Row],[Edital]],tItens[[#This Row],[Edital]],INDEX(tItens[Produto],1):tItens[[#This Row],[Produto]],tItens[[#This Row],[Produto]])=1,1,0)</f>
        <v>1</v>
      </c>
    </row>
    <row r="1854" spans="1:16" x14ac:dyDescent="0.25">
      <c r="A1854" t="s">
        <v>1193</v>
      </c>
      <c r="B1854">
        <v>29</v>
      </c>
      <c r="C1854" t="s">
        <v>4899</v>
      </c>
      <c r="D1854" t="s">
        <v>421</v>
      </c>
      <c r="E1854" s="13">
        <v>50</v>
      </c>
      <c r="F1854" s="12">
        <v>12.76</v>
      </c>
      <c r="G1854" t="str">
        <f>IFERROR(INDEX(tEditais[Órgão],MATCH(tItens[[#This Row],[Edital]],tEditais[Edital],0)),"")</f>
        <v>MUNICIPIO DE CACHOEIRA DOURADA</v>
      </c>
      <c r="H1854" t="str">
        <f>IFERROR(INDEX(tEditais[UF],MATCH(tItens[[#This Row],[Edital]],tEditais[Edital],0)),"")</f>
        <v>GO</v>
      </c>
      <c r="I1854" s="11">
        <f>IFERROR(INDEX(tEditais[Encerramento],MATCH(tItens[[#This Row],[Edital]],tEditais[Edital],0)),"")</f>
        <v>46310.333333333336</v>
      </c>
      <c r="J1854" t="str">
        <f>IFERROR(INDEX(tProdutos[Classe],MATCH(tItens[[#This Row],[Produto]],tProdutos[Produto],0)),"produto não cadastrado")</f>
        <v>FORA</v>
      </c>
      <c r="K1854" s="12">
        <f>tItens[[#This Row],[Qtd]]*tItens[[#This Row],[Vlr unit]]</f>
        <v>638</v>
      </c>
      <c r="L1854" s="6">
        <f>IFERROR(IF(INDEX(tProdutos[Desconto homologado],MATCH(tItens[[#This Row],[Produto]],tProdutos[Produto],0))="",DescontoPadrao,INDEX(tProdutos[Desconto homologado],MATCH(tItens[[#This Row],[Produto]],tProdutos[Produto],0))),DescontoPadrao)</f>
        <v>0.43</v>
      </c>
      <c r="M1854" s="12">
        <f>tItens[[#This Row],[Valor]]*(1-tItens[[#This Row],[Desconto]])</f>
        <v>363.66</v>
      </c>
      <c r="N1854" t="str">
        <f>IFERROR(INDEX(tProdutos[Foco],MATCH(tItens[[#This Row],[Produto]],tProdutos[Produto],0)),"Não")</f>
        <v>Sim</v>
      </c>
      <c r="O1854" t="str">
        <f>IFERROR(INDEX(tEditais[SRP],MATCH(tItens[[#This Row],[Edital]],tEditais[Edital],0)),"Não")</f>
        <v>Não</v>
      </c>
      <c r="P1854" s="4">
        <f>IF(COUNTIFS(INDEX(tItens[Edital],1):tItens[[#This Row],[Edital]],tItens[[#This Row],[Edital]],INDEX(tItens[Produto],1):tItens[[#This Row],[Produto]],tItens[[#This Row],[Produto]])=1,1,0)</f>
        <v>1</v>
      </c>
    </row>
    <row r="1855" spans="1:16" x14ac:dyDescent="0.25">
      <c r="A1855" t="s">
        <v>1193</v>
      </c>
      <c r="B1855">
        <v>30</v>
      </c>
      <c r="C1855" t="s">
        <v>4900</v>
      </c>
      <c r="D1855" t="s">
        <v>425</v>
      </c>
      <c r="E1855" s="13">
        <v>50</v>
      </c>
      <c r="F1855" s="12">
        <v>18.62</v>
      </c>
      <c r="G1855" t="str">
        <f>IFERROR(INDEX(tEditais[Órgão],MATCH(tItens[[#This Row],[Edital]],tEditais[Edital],0)),"")</f>
        <v>MUNICIPIO DE CACHOEIRA DOURADA</v>
      </c>
      <c r="H1855" t="str">
        <f>IFERROR(INDEX(tEditais[UF],MATCH(tItens[[#This Row],[Edital]],tEditais[Edital],0)),"")</f>
        <v>GO</v>
      </c>
      <c r="I1855" s="11">
        <f>IFERROR(INDEX(tEditais[Encerramento],MATCH(tItens[[#This Row],[Edital]],tEditais[Edital],0)),"")</f>
        <v>46310.333333333336</v>
      </c>
      <c r="J1855" t="str">
        <f>IFERROR(INDEX(tProdutos[Classe],MATCH(tItens[[#This Row],[Produto]],tProdutos[Produto],0)),"produto não cadastrado")</f>
        <v>FORA</v>
      </c>
      <c r="K1855" s="12">
        <f>tItens[[#This Row],[Qtd]]*tItens[[#This Row],[Vlr unit]]</f>
        <v>931</v>
      </c>
      <c r="L1855" s="6">
        <f>IFERROR(IF(INDEX(tProdutos[Desconto homologado],MATCH(tItens[[#This Row],[Produto]],tProdutos[Produto],0))="",DescontoPadrao,INDEX(tProdutos[Desconto homologado],MATCH(tItens[[#This Row],[Produto]],tProdutos[Produto],0))),DescontoPadrao)</f>
        <v>0.27454046510837898</v>
      </c>
      <c r="M1855" s="12">
        <f>tItens[[#This Row],[Valor]]*(1-tItens[[#This Row],[Desconto]])</f>
        <v>675.40282698409919</v>
      </c>
      <c r="N1855" t="str">
        <f>IFERROR(INDEX(tProdutos[Foco],MATCH(tItens[[#This Row],[Produto]],tProdutos[Produto],0)),"Não")</f>
        <v>Não</v>
      </c>
      <c r="O1855" t="str">
        <f>IFERROR(INDEX(tEditais[SRP],MATCH(tItens[[#This Row],[Edital]],tEditais[Edital],0)),"Não")</f>
        <v>Não</v>
      </c>
      <c r="P1855" s="4">
        <f>IF(COUNTIFS(INDEX(tItens[Edital],1):tItens[[#This Row],[Edital]],tItens[[#This Row],[Edital]],INDEX(tItens[Produto],1):tItens[[#This Row],[Produto]],tItens[[#This Row],[Produto]])=1,1,0)</f>
        <v>1</v>
      </c>
    </row>
    <row r="1856" spans="1:16" x14ac:dyDescent="0.25">
      <c r="A1856" t="s">
        <v>1193</v>
      </c>
      <c r="B1856">
        <v>31</v>
      </c>
      <c r="C1856" t="s">
        <v>4901</v>
      </c>
      <c r="D1856" t="s">
        <v>96</v>
      </c>
      <c r="E1856" s="13">
        <v>50</v>
      </c>
      <c r="F1856" s="12">
        <v>17.899999999999999</v>
      </c>
      <c r="G1856" t="str">
        <f>IFERROR(INDEX(tEditais[Órgão],MATCH(tItens[[#This Row],[Edital]],tEditais[Edital],0)),"")</f>
        <v>MUNICIPIO DE CACHOEIRA DOURADA</v>
      </c>
      <c r="H1856" t="str">
        <f>IFERROR(INDEX(tEditais[UF],MATCH(tItens[[#This Row],[Edital]],tEditais[Edital],0)),"")</f>
        <v>GO</v>
      </c>
      <c r="I1856" s="11">
        <f>IFERROR(INDEX(tEditais[Encerramento],MATCH(tItens[[#This Row],[Edital]],tEditais[Edital],0)),"")</f>
        <v>46310.333333333336</v>
      </c>
      <c r="J1856" t="str">
        <f>IFERROR(INDEX(tProdutos[Classe],MATCH(tItens[[#This Row],[Produto]],tProdutos[Produto],0)),"produto não cadastrado")</f>
        <v>NÚCLEO</v>
      </c>
      <c r="K1856" s="12">
        <f>tItens[[#This Row],[Qtd]]*tItens[[#This Row],[Vlr unit]]</f>
        <v>894.99999999999989</v>
      </c>
      <c r="L1856" s="6">
        <f>IFERROR(IF(INDEX(tProdutos[Desconto homologado],MATCH(tItens[[#This Row],[Produto]],tProdutos[Produto],0))="",DescontoPadrao,INDEX(tProdutos[Desconto homologado],MATCH(tItens[[#This Row],[Produto]],tProdutos[Produto],0))),DescontoPadrao)</f>
        <v>0.23886411318649201</v>
      </c>
      <c r="M1856" s="12">
        <f>tItens[[#This Row],[Valor]]*(1-tItens[[#This Row],[Desconto]])</f>
        <v>681.21661869808952</v>
      </c>
      <c r="N1856" t="str">
        <f>IFERROR(INDEX(tProdutos[Foco],MATCH(tItens[[#This Row],[Produto]],tProdutos[Produto],0)),"Não")</f>
        <v>Não</v>
      </c>
      <c r="O1856" t="str">
        <f>IFERROR(INDEX(tEditais[SRP],MATCH(tItens[[#This Row],[Edital]],tEditais[Edital],0)),"Não")</f>
        <v>Não</v>
      </c>
      <c r="P1856" s="4">
        <f>IF(COUNTIFS(INDEX(tItens[Edital],1):tItens[[#This Row],[Edital]],tItens[[#This Row],[Edital]],INDEX(tItens[Produto],1):tItens[[#This Row],[Produto]],tItens[[#This Row],[Produto]])=1,1,0)</f>
        <v>1</v>
      </c>
    </row>
    <row r="1857" spans="1:16" x14ac:dyDescent="0.25">
      <c r="A1857" t="s">
        <v>1193</v>
      </c>
      <c r="B1857">
        <v>67</v>
      </c>
      <c r="C1857" t="s">
        <v>4902</v>
      </c>
      <c r="D1857" t="s">
        <v>245</v>
      </c>
      <c r="E1857" s="13">
        <v>100</v>
      </c>
      <c r="F1857" s="12">
        <v>113.7</v>
      </c>
      <c r="G1857" t="str">
        <f>IFERROR(INDEX(tEditais[Órgão],MATCH(tItens[[#This Row],[Edital]],tEditais[Edital],0)),"")</f>
        <v>MUNICIPIO DE CACHOEIRA DOURADA</v>
      </c>
      <c r="H1857" t="str">
        <f>IFERROR(INDEX(tEditais[UF],MATCH(tItens[[#This Row],[Edital]],tEditais[Edital],0)),"")</f>
        <v>GO</v>
      </c>
      <c r="I1857" s="11">
        <f>IFERROR(INDEX(tEditais[Encerramento],MATCH(tItens[[#This Row],[Edital]],tEditais[Edital],0)),"")</f>
        <v>46310.333333333336</v>
      </c>
      <c r="J1857" t="str">
        <f>IFERROR(INDEX(tProdutos[Classe],MATCH(tItens[[#This Row],[Produto]],tProdutos[Produto],0)),"produto não cadastrado")</f>
        <v>FORA</v>
      </c>
      <c r="K1857" s="12">
        <f>tItens[[#This Row],[Qtd]]*tItens[[#This Row],[Vlr unit]]</f>
        <v>11370</v>
      </c>
      <c r="L1857" s="6">
        <f>IFERROR(IF(INDEX(tProdutos[Desconto homologado],MATCH(tItens[[#This Row],[Produto]],tProdutos[Produto],0))="",DescontoPadrao,INDEX(tProdutos[Desconto homologado],MATCH(tItens[[#This Row],[Produto]],tProdutos[Produto],0))),DescontoPadrao)</f>
        <v>0.34516963542284401</v>
      </c>
      <c r="M1857" s="12">
        <f>tItens[[#This Row],[Valor]]*(1-tItens[[#This Row],[Desconto]])</f>
        <v>7445.4212452422644</v>
      </c>
      <c r="N1857" t="str">
        <f>IFERROR(INDEX(tProdutos[Foco],MATCH(tItens[[#This Row],[Produto]],tProdutos[Produto],0)),"Não")</f>
        <v>Não</v>
      </c>
      <c r="O1857" t="str">
        <f>IFERROR(INDEX(tEditais[SRP],MATCH(tItens[[#This Row],[Edital]],tEditais[Edital],0)),"Não")</f>
        <v>Não</v>
      </c>
      <c r="P1857" s="4">
        <f>IF(COUNTIFS(INDEX(tItens[Edital],1):tItens[[#This Row],[Edital]],tItens[[#This Row],[Edital]],INDEX(tItens[Produto],1):tItens[[#This Row],[Produto]],tItens[[#This Row],[Produto]])=1,1,0)</f>
        <v>1</v>
      </c>
    </row>
    <row r="1858" spans="1:16" x14ac:dyDescent="0.25">
      <c r="A1858" t="s">
        <v>1193</v>
      </c>
      <c r="B1858">
        <v>68</v>
      </c>
      <c r="C1858" t="s">
        <v>4903</v>
      </c>
      <c r="D1858" t="s">
        <v>365</v>
      </c>
      <c r="E1858" s="13">
        <v>150</v>
      </c>
      <c r="F1858" s="12">
        <v>2.75</v>
      </c>
      <c r="G1858" t="str">
        <f>IFERROR(INDEX(tEditais[Órgão],MATCH(tItens[[#This Row],[Edital]],tEditais[Edital],0)),"")</f>
        <v>MUNICIPIO DE CACHOEIRA DOURADA</v>
      </c>
      <c r="H1858" t="str">
        <f>IFERROR(INDEX(tEditais[UF],MATCH(tItens[[#This Row],[Edital]],tEditais[Edital],0)),"")</f>
        <v>GO</v>
      </c>
      <c r="I1858" s="11">
        <f>IFERROR(INDEX(tEditais[Encerramento],MATCH(tItens[[#This Row],[Edital]],tEditais[Edital],0)),"")</f>
        <v>46310.333333333336</v>
      </c>
      <c r="J1858" t="str">
        <f>IFERROR(INDEX(tProdutos[Classe],MATCH(tItens[[#This Row],[Produto]],tProdutos[Produto],0)),"produto não cadastrado")</f>
        <v>FORA</v>
      </c>
      <c r="K1858" s="12">
        <f>tItens[[#This Row],[Qtd]]*tItens[[#This Row],[Vlr unit]]</f>
        <v>412.5</v>
      </c>
      <c r="L1858" s="6">
        <f>IFERROR(IF(INDEX(tProdutos[Desconto homologado],MATCH(tItens[[#This Row],[Produto]],tProdutos[Produto],0))="",DescontoPadrao,INDEX(tProdutos[Desconto homologado],MATCH(tItens[[#This Row],[Produto]],tProdutos[Produto],0))),DescontoPadrao)</f>
        <v>0.41120529659182697</v>
      </c>
      <c r="M1858" s="12">
        <f>tItens[[#This Row],[Valor]]*(1-tItens[[#This Row],[Desconto]])</f>
        <v>242.87781515587139</v>
      </c>
      <c r="N1858" t="str">
        <f>IFERROR(INDEX(tProdutos[Foco],MATCH(tItens[[#This Row],[Produto]],tProdutos[Produto],0)),"Não")</f>
        <v>Não</v>
      </c>
      <c r="O1858" t="str">
        <f>IFERROR(INDEX(tEditais[SRP],MATCH(tItens[[#This Row],[Edital]],tEditais[Edital],0)),"Não")</f>
        <v>Não</v>
      </c>
      <c r="P1858" s="4">
        <f>IF(COUNTIFS(INDEX(tItens[Edital],1):tItens[[#This Row],[Edital]],tItens[[#This Row],[Edital]],INDEX(tItens[Produto],1):tItens[[#This Row],[Produto]],tItens[[#This Row],[Produto]])=1,1,0)</f>
        <v>1</v>
      </c>
    </row>
    <row r="1859" spans="1:16" x14ac:dyDescent="0.25">
      <c r="A1859" t="s">
        <v>1193</v>
      </c>
      <c r="B1859">
        <v>69</v>
      </c>
      <c r="C1859" t="s">
        <v>4904</v>
      </c>
      <c r="D1859" t="s">
        <v>379</v>
      </c>
      <c r="E1859" s="13">
        <v>500</v>
      </c>
      <c r="F1859" s="12">
        <v>2.8</v>
      </c>
      <c r="G1859" t="str">
        <f>IFERROR(INDEX(tEditais[Órgão],MATCH(tItens[[#This Row],[Edital]],tEditais[Edital],0)),"")</f>
        <v>MUNICIPIO DE CACHOEIRA DOURADA</v>
      </c>
      <c r="H1859" t="str">
        <f>IFERROR(INDEX(tEditais[UF],MATCH(tItens[[#This Row],[Edital]],tEditais[Edital],0)),"")</f>
        <v>GO</v>
      </c>
      <c r="I1859" s="11">
        <f>IFERROR(INDEX(tEditais[Encerramento],MATCH(tItens[[#This Row],[Edital]],tEditais[Edital],0)),"")</f>
        <v>46310.333333333336</v>
      </c>
      <c r="J1859" t="str">
        <f>IFERROR(INDEX(tProdutos[Classe],MATCH(tItens[[#This Row],[Produto]],tProdutos[Produto],0)),"produto não cadastrado")</f>
        <v>FORA</v>
      </c>
      <c r="K1859" s="12">
        <f>tItens[[#This Row],[Qtd]]*tItens[[#This Row],[Vlr unit]]</f>
        <v>1400</v>
      </c>
      <c r="L1859" s="6">
        <f>IFERROR(IF(INDEX(tProdutos[Desconto homologado],MATCH(tItens[[#This Row],[Produto]],tProdutos[Produto],0))="",DescontoPadrao,INDEX(tProdutos[Desconto homologado],MATCH(tItens[[#This Row],[Produto]],tProdutos[Produto],0))),DescontoPadrao)</f>
        <v>0.49504950495049499</v>
      </c>
      <c r="M1859" s="12">
        <f>tItens[[#This Row],[Valor]]*(1-tItens[[#This Row],[Desconto]])</f>
        <v>706.93069306930693</v>
      </c>
      <c r="N1859" t="str">
        <f>IFERROR(INDEX(tProdutos[Foco],MATCH(tItens[[#This Row],[Produto]],tProdutos[Produto],0)),"Não")</f>
        <v>Não</v>
      </c>
      <c r="O1859" t="str">
        <f>IFERROR(INDEX(tEditais[SRP],MATCH(tItens[[#This Row],[Edital]],tEditais[Edital],0)),"Não")</f>
        <v>Não</v>
      </c>
      <c r="P1859" s="4">
        <f>IF(COUNTIFS(INDEX(tItens[Edital],1):tItens[[#This Row],[Edital]],tItens[[#This Row],[Edital]],INDEX(tItens[Produto],1):tItens[[#This Row],[Produto]],tItens[[#This Row],[Produto]])=1,1,0)</f>
        <v>1</v>
      </c>
    </row>
    <row r="1860" spans="1:16" x14ac:dyDescent="0.25">
      <c r="A1860" t="s">
        <v>1193</v>
      </c>
      <c r="B1860">
        <v>70</v>
      </c>
      <c r="C1860" t="s">
        <v>4905</v>
      </c>
      <c r="D1860" t="s">
        <v>329</v>
      </c>
      <c r="E1860" s="13">
        <v>100</v>
      </c>
      <c r="F1860" s="12">
        <v>2.72</v>
      </c>
      <c r="G1860" t="str">
        <f>IFERROR(INDEX(tEditais[Órgão],MATCH(tItens[[#This Row],[Edital]],tEditais[Edital],0)),"")</f>
        <v>MUNICIPIO DE CACHOEIRA DOURADA</v>
      </c>
      <c r="H1860" t="str">
        <f>IFERROR(INDEX(tEditais[UF],MATCH(tItens[[#This Row],[Edital]],tEditais[Edital],0)),"")</f>
        <v>GO</v>
      </c>
      <c r="I1860" s="11">
        <f>IFERROR(INDEX(tEditais[Encerramento],MATCH(tItens[[#This Row],[Edital]],tEditais[Edital],0)),"")</f>
        <v>46310.333333333336</v>
      </c>
      <c r="J1860" t="str">
        <f>IFERROR(INDEX(tProdutos[Classe],MATCH(tItens[[#This Row],[Produto]],tProdutos[Produto],0)),"produto não cadastrado")</f>
        <v>FORA</v>
      </c>
      <c r="K1860" s="12">
        <f>tItens[[#This Row],[Qtd]]*tItens[[#This Row],[Vlr unit]]</f>
        <v>272</v>
      </c>
      <c r="L1860" s="6">
        <f>IFERROR(IF(INDEX(tProdutos[Desconto homologado],MATCH(tItens[[#This Row],[Produto]],tProdutos[Produto],0))="",DescontoPadrao,INDEX(tProdutos[Desconto homologado],MATCH(tItens[[#This Row],[Produto]],tProdutos[Produto],0))),DescontoPadrao)</f>
        <v>0.46441781031074703</v>
      </c>
      <c r="M1860" s="12">
        <f>tItens[[#This Row],[Valor]]*(1-tItens[[#This Row],[Desconto]])</f>
        <v>145.6783555954768</v>
      </c>
      <c r="N1860" t="str">
        <f>IFERROR(INDEX(tProdutos[Foco],MATCH(tItens[[#This Row],[Produto]],tProdutos[Produto],0)),"Não")</f>
        <v>Não</v>
      </c>
      <c r="O1860" t="str">
        <f>IFERROR(INDEX(tEditais[SRP],MATCH(tItens[[#This Row],[Edital]],tEditais[Edital],0)),"Não")</f>
        <v>Não</v>
      </c>
      <c r="P1860" s="4">
        <f>IF(COUNTIFS(INDEX(tItens[Edital],1):tItens[[#This Row],[Edital]],tItens[[#This Row],[Edital]],INDEX(tItens[Produto],1):tItens[[#This Row],[Produto]],tItens[[#This Row],[Produto]])=1,1,0)</f>
        <v>1</v>
      </c>
    </row>
    <row r="1861" spans="1:16" x14ac:dyDescent="0.25">
      <c r="A1861" t="s">
        <v>1193</v>
      </c>
      <c r="B1861">
        <v>71</v>
      </c>
      <c r="C1861" t="s">
        <v>4906</v>
      </c>
      <c r="D1861" t="s">
        <v>335</v>
      </c>
      <c r="E1861" s="13">
        <v>100</v>
      </c>
      <c r="F1861" s="12">
        <v>2.73</v>
      </c>
      <c r="G1861" t="str">
        <f>IFERROR(INDEX(tEditais[Órgão],MATCH(tItens[[#This Row],[Edital]],tEditais[Edital],0)),"")</f>
        <v>MUNICIPIO DE CACHOEIRA DOURADA</v>
      </c>
      <c r="H1861" t="str">
        <f>IFERROR(INDEX(tEditais[UF],MATCH(tItens[[#This Row],[Edital]],tEditais[Edital],0)),"")</f>
        <v>GO</v>
      </c>
      <c r="I1861" s="11">
        <f>IFERROR(INDEX(tEditais[Encerramento],MATCH(tItens[[#This Row],[Edital]],tEditais[Edital],0)),"")</f>
        <v>46310.333333333336</v>
      </c>
      <c r="J1861" t="str">
        <f>IFERROR(INDEX(tProdutos[Classe],MATCH(tItens[[#This Row],[Produto]],tProdutos[Produto],0)),"produto não cadastrado")</f>
        <v>FORA</v>
      </c>
      <c r="K1861" s="12">
        <f>tItens[[#This Row],[Qtd]]*tItens[[#This Row],[Vlr unit]]</f>
        <v>273</v>
      </c>
      <c r="L1861" s="6">
        <f>IFERROR(IF(INDEX(tProdutos[Desconto homologado],MATCH(tItens[[#This Row],[Produto]],tProdutos[Produto],0))="",DescontoPadrao,INDEX(tProdutos[Desconto homologado],MATCH(tItens[[#This Row],[Produto]],tProdutos[Produto],0))),DescontoPadrao)</f>
        <v>0.419047619047619</v>
      </c>
      <c r="M1861" s="12">
        <f>tItens[[#This Row],[Valor]]*(1-tItens[[#This Row],[Desconto]])</f>
        <v>158.60000000000002</v>
      </c>
      <c r="N1861" t="str">
        <f>IFERROR(INDEX(tProdutos[Foco],MATCH(tItens[[#This Row],[Produto]],tProdutos[Produto],0)),"Não")</f>
        <v>Não</v>
      </c>
      <c r="O1861" t="str">
        <f>IFERROR(INDEX(tEditais[SRP],MATCH(tItens[[#This Row],[Edital]],tEditais[Edital],0)),"Não")</f>
        <v>Não</v>
      </c>
      <c r="P1861" s="4">
        <f>IF(COUNTIFS(INDEX(tItens[Edital],1):tItens[[#This Row],[Edital]],tItens[[#This Row],[Edital]],INDEX(tItens[Produto],1):tItens[[#This Row],[Produto]],tItens[[#This Row],[Produto]])=1,1,0)</f>
        <v>1</v>
      </c>
    </row>
    <row r="1862" spans="1:16" x14ac:dyDescent="0.25">
      <c r="A1862" t="s">
        <v>1193</v>
      </c>
      <c r="B1862">
        <v>72</v>
      </c>
      <c r="C1862" t="s">
        <v>4907</v>
      </c>
      <c r="D1862" t="s">
        <v>247</v>
      </c>
      <c r="E1862" s="13">
        <v>500</v>
      </c>
      <c r="F1862" s="12">
        <v>2.71</v>
      </c>
      <c r="G1862" t="str">
        <f>IFERROR(INDEX(tEditais[Órgão],MATCH(tItens[[#This Row],[Edital]],tEditais[Edital],0)),"")</f>
        <v>MUNICIPIO DE CACHOEIRA DOURADA</v>
      </c>
      <c r="H1862" t="str">
        <f>IFERROR(INDEX(tEditais[UF],MATCH(tItens[[#This Row],[Edital]],tEditais[Edital],0)),"")</f>
        <v>GO</v>
      </c>
      <c r="I1862" s="11">
        <f>IFERROR(INDEX(tEditais[Encerramento],MATCH(tItens[[#This Row],[Edital]],tEditais[Edital],0)),"")</f>
        <v>46310.333333333336</v>
      </c>
      <c r="J1862" t="str">
        <f>IFERROR(INDEX(tProdutos[Classe],MATCH(tItens[[#This Row],[Produto]],tProdutos[Produto],0)),"produto não cadastrado")</f>
        <v>FORA</v>
      </c>
      <c r="K1862" s="12">
        <f>tItens[[#This Row],[Qtd]]*tItens[[#This Row],[Vlr unit]]</f>
        <v>1355</v>
      </c>
      <c r="L1862" s="6">
        <f>IFERROR(IF(INDEX(tProdutos[Desconto homologado],MATCH(tItens[[#This Row],[Produto]],tProdutos[Produto],0))="",DescontoPadrao,INDEX(tProdutos[Desconto homologado],MATCH(tItens[[#This Row],[Produto]],tProdutos[Produto],0))),DescontoPadrao)</f>
        <v>0.27353256199762999</v>
      </c>
      <c r="M1862" s="12">
        <f>tItens[[#This Row],[Valor]]*(1-tItens[[#This Row],[Desconto]])</f>
        <v>984.36337849321137</v>
      </c>
      <c r="N1862" t="str">
        <f>IFERROR(INDEX(tProdutos[Foco],MATCH(tItens[[#This Row],[Produto]],tProdutos[Produto],0)),"Não")</f>
        <v>Não</v>
      </c>
      <c r="O1862" t="str">
        <f>IFERROR(INDEX(tEditais[SRP],MATCH(tItens[[#This Row],[Edital]],tEditais[Edital],0)),"Não")</f>
        <v>Não</v>
      </c>
      <c r="P1862" s="4">
        <f>IF(COUNTIFS(INDEX(tItens[Edital],1):tItens[[#This Row],[Edital]],tItens[[#This Row],[Edital]],INDEX(tItens[Produto],1):tItens[[#This Row],[Produto]],tItens[[#This Row],[Produto]])=1,1,0)</f>
        <v>1</v>
      </c>
    </row>
    <row r="1863" spans="1:16" x14ac:dyDescent="0.25">
      <c r="A1863" t="s">
        <v>1193</v>
      </c>
      <c r="B1863">
        <v>73</v>
      </c>
      <c r="C1863" t="s">
        <v>4908</v>
      </c>
      <c r="D1863" t="s">
        <v>287</v>
      </c>
      <c r="E1863" s="13">
        <v>800</v>
      </c>
      <c r="F1863" s="12">
        <v>2.84</v>
      </c>
      <c r="G1863" t="str">
        <f>IFERROR(INDEX(tEditais[Órgão],MATCH(tItens[[#This Row],[Edital]],tEditais[Edital],0)),"")</f>
        <v>MUNICIPIO DE CACHOEIRA DOURADA</v>
      </c>
      <c r="H1863" t="str">
        <f>IFERROR(INDEX(tEditais[UF],MATCH(tItens[[#This Row],[Edital]],tEditais[Edital],0)),"")</f>
        <v>GO</v>
      </c>
      <c r="I1863" s="11">
        <f>IFERROR(INDEX(tEditais[Encerramento],MATCH(tItens[[#This Row],[Edital]],tEditais[Edital],0)),"")</f>
        <v>46310.333333333336</v>
      </c>
      <c r="J1863" t="str">
        <f>IFERROR(INDEX(tProdutos[Classe],MATCH(tItens[[#This Row],[Produto]],tProdutos[Produto],0)),"produto não cadastrado")</f>
        <v>FORA</v>
      </c>
      <c r="K1863" s="12">
        <f>tItens[[#This Row],[Qtd]]*tItens[[#This Row],[Vlr unit]]</f>
        <v>2272</v>
      </c>
      <c r="L1863" s="6">
        <f>IFERROR(IF(INDEX(tProdutos[Desconto homologado],MATCH(tItens[[#This Row],[Produto]],tProdutos[Produto],0))="",DescontoPadrao,INDEX(tProdutos[Desconto homologado],MATCH(tItens[[#This Row],[Produto]],tProdutos[Produto],0))),DescontoPadrao)</f>
        <v>0.46344491178876002</v>
      </c>
      <c r="M1863" s="12">
        <f>tItens[[#This Row],[Valor]]*(1-tItens[[#This Row],[Desconto]])</f>
        <v>1219.0531604159373</v>
      </c>
      <c r="N1863" t="str">
        <f>IFERROR(INDEX(tProdutos[Foco],MATCH(tItens[[#This Row],[Produto]],tProdutos[Produto],0)),"Não")</f>
        <v>Não</v>
      </c>
      <c r="O1863" t="str">
        <f>IFERROR(INDEX(tEditais[SRP],MATCH(tItens[[#This Row],[Edital]],tEditais[Edital],0)),"Não")</f>
        <v>Não</v>
      </c>
      <c r="P1863" s="4">
        <f>IF(COUNTIFS(INDEX(tItens[Edital],1):tItens[[#This Row],[Edital]],tItens[[#This Row],[Edital]],INDEX(tItens[Produto],1):tItens[[#This Row],[Produto]],tItens[[#This Row],[Produto]])=1,1,0)</f>
        <v>1</v>
      </c>
    </row>
    <row r="1864" spans="1:16" x14ac:dyDescent="0.25">
      <c r="A1864" t="s">
        <v>1193</v>
      </c>
      <c r="B1864">
        <v>75</v>
      </c>
      <c r="C1864" t="s">
        <v>4909</v>
      </c>
      <c r="D1864" t="s">
        <v>73</v>
      </c>
      <c r="E1864" s="13">
        <v>1500</v>
      </c>
      <c r="F1864" s="12">
        <v>3</v>
      </c>
      <c r="G1864" t="str">
        <f>IFERROR(INDEX(tEditais[Órgão],MATCH(tItens[[#This Row],[Edital]],tEditais[Edital],0)),"")</f>
        <v>MUNICIPIO DE CACHOEIRA DOURADA</v>
      </c>
      <c r="H1864" t="str">
        <f>IFERROR(INDEX(tEditais[UF],MATCH(tItens[[#This Row],[Edital]],tEditais[Edital],0)),"")</f>
        <v>GO</v>
      </c>
      <c r="I1864" s="11">
        <f>IFERROR(INDEX(tEditais[Encerramento],MATCH(tItens[[#This Row],[Edital]],tEditais[Edital],0)),"")</f>
        <v>46310.333333333336</v>
      </c>
      <c r="J1864" t="str">
        <f>IFERROR(INDEX(tProdutos[Classe],MATCH(tItens[[#This Row],[Produto]],tProdutos[Produto],0)),"produto não cadastrado")</f>
        <v>NÚCLEO</v>
      </c>
      <c r="K1864" s="12">
        <f>tItens[[#This Row],[Qtd]]*tItens[[#This Row],[Vlr unit]]</f>
        <v>4500</v>
      </c>
      <c r="L1864" s="6">
        <f>IFERROR(IF(INDEX(tProdutos[Desconto homologado],MATCH(tItens[[#This Row],[Produto]],tProdutos[Produto],0))="",DescontoPadrao,INDEX(tProdutos[Desconto homologado],MATCH(tItens[[#This Row],[Produto]],tProdutos[Produto],0))),DescontoPadrao)</f>
        <v>0.37</v>
      </c>
      <c r="M1864" s="12">
        <f>tItens[[#This Row],[Valor]]*(1-tItens[[#This Row],[Desconto]])</f>
        <v>2835</v>
      </c>
      <c r="N1864" t="str">
        <f>IFERROR(INDEX(tProdutos[Foco],MATCH(tItens[[#This Row],[Produto]],tProdutos[Produto],0)),"Não")</f>
        <v>Sim</v>
      </c>
      <c r="O1864" t="str">
        <f>IFERROR(INDEX(tEditais[SRP],MATCH(tItens[[#This Row],[Edital]],tEditais[Edital],0)),"Não")</f>
        <v>Não</v>
      </c>
      <c r="P1864" s="4">
        <f>IF(COUNTIFS(INDEX(tItens[Edital],1):tItens[[#This Row],[Edital]],tItens[[#This Row],[Edital]],INDEX(tItens[Produto],1):tItens[[#This Row],[Produto]],tItens[[#This Row],[Produto]])=1,1,0)</f>
        <v>1</v>
      </c>
    </row>
    <row r="1865" spans="1:16" x14ac:dyDescent="0.25">
      <c r="A1865" t="s">
        <v>1193</v>
      </c>
      <c r="B1865">
        <v>84</v>
      </c>
      <c r="C1865" t="s">
        <v>4910</v>
      </c>
      <c r="D1865" t="s">
        <v>279</v>
      </c>
      <c r="E1865" s="13">
        <v>1500</v>
      </c>
      <c r="F1865" s="12">
        <v>2.56</v>
      </c>
      <c r="G1865" t="str">
        <f>IFERROR(INDEX(tEditais[Órgão],MATCH(tItens[[#This Row],[Edital]],tEditais[Edital],0)),"")</f>
        <v>MUNICIPIO DE CACHOEIRA DOURADA</v>
      </c>
      <c r="H1865" t="str">
        <f>IFERROR(INDEX(tEditais[UF],MATCH(tItens[[#This Row],[Edital]],tEditais[Edital],0)),"")</f>
        <v>GO</v>
      </c>
      <c r="I1865" s="11">
        <f>IFERROR(INDEX(tEditais[Encerramento],MATCH(tItens[[#This Row],[Edital]],tEditais[Edital],0)),"")</f>
        <v>46310.333333333336</v>
      </c>
      <c r="J1865" t="str">
        <f>IFERROR(INDEX(tProdutos[Classe],MATCH(tItens[[#This Row],[Produto]],tProdutos[Produto],0)),"produto não cadastrado")</f>
        <v>FORA</v>
      </c>
      <c r="K1865" s="12">
        <f>tItens[[#This Row],[Qtd]]*tItens[[#This Row],[Vlr unit]]</f>
        <v>3840</v>
      </c>
      <c r="L1865" s="6">
        <f>IFERROR(IF(INDEX(tProdutos[Desconto homologado],MATCH(tItens[[#This Row],[Produto]],tProdutos[Produto],0))="",DescontoPadrao,INDEX(tProdutos[Desconto homologado],MATCH(tItens[[#This Row],[Produto]],tProdutos[Produto],0))),DescontoPadrao)</f>
        <v>0.28909090909090901</v>
      </c>
      <c r="M1865" s="12">
        <f>tItens[[#This Row],[Valor]]*(1-tItens[[#This Row],[Desconto]])</f>
        <v>2729.8909090909092</v>
      </c>
      <c r="N1865" t="str">
        <f>IFERROR(INDEX(tProdutos[Foco],MATCH(tItens[[#This Row],[Produto]],tProdutos[Produto],0)),"Não")</f>
        <v>Não</v>
      </c>
      <c r="O1865" t="str">
        <f>IFERROR(INDEX(tEditais[SRP],MATCH(tItens[[#This Row],[Edital]],tEditais[Edital],0)),"Não")</f>
        <v>Não</v>
      </c>
      <c r="P1865" s="4">
        <f>IF(COUNTIFS(INDEX(tItens[Edital],1):tItens[[#This Row],[Edital]],tItens[[#This Row],[Edital]],INDEX(tItens[Produto],1):tItens[[#This Row],[Produto]],tItens[[#This Row],[Produto]])=1,1,0)</f>
        <v>1</v>
      </c>
    </row>
    <row r="1866" spans="1:16" x14ac:dyDescent="0.25">
      <c r="A1866" t="s">
        <v>1193</v>
      </c>
      <c r="B1866">
        <v>85</v>
      </c>
      <c r="C1866" t="s">
        <v>4911</v>
      </c>
      <c r="D1866" t="s">
        <v>80</v>
      </c>
      <c r="E1866" s="13">
        <v>600</v>
      </c>
      <c r="F1866" s="12">
        <v>2.4900000000000002</v>
      </c>
      <c r="G1866" t="str">
        <f>IFERROR(INDEX(tEditais[Órgão],MATCH(tItens[[#This Row],[Edital]],tEditais[Edital],0)),"")</f>
        <v>MUNICIPIO DE CACHOEIRA DOURADA</v>
      </c>
      <c r="H1866" t="str">
        <f>IFERROR(INDEX(tEditais[UF],MATCH(tItens[[#This Row],[Edital]],tEditais[Edital],0)),"")</f>
        <v>GO</v>
      </c>
      <c r="I1866" s="11">
        <f>IFERROR(INDEX(tEditais[Encerramento],MATCH(tItens[[#This Row],[Edital]],tEditais[Edital],0)),"")</f>
        <v>46310.333333333336</v>
      </c>
      <c r="J1866" t="str">
        <f>IFERROR(INDEX(tProdutos[Classe],MATCH(tItens[[#This Row],[Produto]],tProdutos[Produto],0)),"produto não cadastrado")</f>
        <v>NÚCLEO</v>
      </c>
      <c r="K1866" s="12">
        <f>tItens[[#This Row],[Qtd]]*tItens[[#This Row],[Vlr unit]]</f>
        <v>1494.0000000000002</v>
      </c>
      <c r="L1866" s="6">
        <f>IFERROR(IF(INDEX(tProdutos[Desconto homologado],MATCH(tItens[[#This Row],[Produto]],tProdutos[Produto],0))="",DescontoPadrao,INDEX(tProdutos[Desconto homologado],MATCH(tItens[[#This Row],[Produto]],tProdutos[Produto],0))),DescontoPadrao)</f>
        <v>0.33</v>
      </c>
      <c r="M1866" s="12">
        <f>tItens[[#This Row],[Valor]]*(1-tItens[[#This Row],[Desconto]])</f>
        <v>1000.98</v>
      </c>
      <c r="N1866" t="str">
        <f>IFERROR(INDEX(tProdutos[Foco],MATCH(tItens[[#This Row],[Produto]],tProdutos[Produto],0)),"Não")</f>
        <v>Sim</v>
      </c>
      <c r="O1866" t="str">
        <f>IFERROR(INDEX(tEditais[SRP],MATCH(tItens[[#This Row],[Edital]],tEditais[Edital],0)),"Não")</f>
        <v>Não</v>
      </c>
      <c r="P1866" s="4">
        <f>IF(COUNTIFS(INDEX(tItens[Edital],1):tItens[[#This Row],[Edital]],tItens[[#This Row],[Edital]],INDEX(tItens[Produto],1):tItens[[#This Row],[Produto]],tItens[[#This Row],[Produto]])=1,1,0)</f>
        <v>1</v>
      </c>
    </row>
    <row r="1867" spans="1:16" x14ac:dyDescent="0.25">
      <c r="A1867" t="s">
        <v>1193</v>
      </c>
      <c r="B1867">
        <v>86</v>
      </c>
      <c r="C1867" t="s">
        <v>4912</v>
      </c>
      <c r="D1867" t="s">
        <v>80</v>
      </c>
      <c r="E1867" s="13">
        <v>600</v>
      </c>
      <c r="F1867" s="12">
        <v>2.54</v>
      </c>
      <c r="G1867" t="str">
        <f>IFERROR(INDEX(tEditais[Órgão],MATCH(tItens[[#This Row],[Edital]],tEditais[Edital],0)),"")</f>
        <v>MUNICIPIO DE CACHOEIRA DOURADA</v>
      </c>
      <c r="H1867" t="str">
        <f>IFERROR(INDEX(tEditais[UF],MATCH(tItens[[#This Row],[Edital]],tEditais[Edital],0)),"")</f>
        <v>GO</v>
      </c>
      <c r="I1867" s="11">
        <f>IFERROR(INDEX(tEditais[Encerramento],MATCH(tItens[[#This Row],[Edital]],tEditais[Edital],0)),"")</f>
        <v>46310.333333333336</v>
      </c>
      <c r="J1867" t="str">
        <f>IFERROR(INDEX(tProdutos[Classe],MATCH(tItens[[#This Row],[Produto]],tProdutos[Produto],0)),"produto não cadastrado")</f>
        <v>NÚCLEO</v>
      </c>
      <c r="K1867" s="12">
        <f>tItens[[#This Row],[Qtd]]*tItens[[#This Row],[Vlr unit]]</f>
        <v>1524</v>
      </c>
      <c r="L1867" s="6">
        <f>IFERROR(IF(INDEX(tProdutos[Desconto homologado],MATCH(tItens[[#This Row],[Produto]],tProdutos[Produto],0))="",DescontoPadrao,INDEX(tProdutos[Desconto homologado],MATCH(tItens[[#This Row],[Produto]],tProdutos[Produto],0))),DescontoPadrao)</f>
        <v>0.33</v>
      </c>
      <c r="M1867" s="12">
        <f>tItens[[#This Row],[Valor]]*(1-tItens[[#This Row],[Desconto]])</f>
        <v>1021.0799999999999</v>
      </c>
      <c r="N1867" t="str">
        <f>IFERROR(INDEX(tProdutos[Foco],MATCH(tItens[[#This Row],[Produto]],tProdutos[Produto],0)),"Não")</f>
        <v>Sim</v>
      </c>
      <c r="O1867" t="str">
        <f>IFERROR(INDEX(tEditais[SRP],MATCH(tItens[[#This Row],[Edital]],tEditais[Edital],0)),"Não")</f>
        <v>Não</v>
      </c>
      <c r="P1867" s="4">
        <f>IF(COUNTIFS(INDEX(tItens[Edital],1):tItens[[#This Row],[Edital]],tItens[[#This Row],[Edital]],INDEX(tItens[Produto],1):tItens[[#This Row],[Produto]],tItens[[#This Row],[Produto]])=1,1,0)</f>
        <v>0</v>
      </c>
    </row>
    <row r="1868" spans="1:16" x14ac:dyDescent="0.25">
      <c r="A1868" t="s">
        <v>1193</v>
      </c>
      <c r="B1868">
        <v>89</v>
      </c>
      <c r="C1868" t="s">
        <v>4913</v>
      </c>
      <c r="D1868" t="s">
        <v>160</v>
      </c>
      <c r="E1868" s="13">
        <v>1500</v>
      </c>
      <c r="F1868" s="12">
        <v>20.62</v>
      </c>
      <c r="G1868" t="str">
        <f>IFERROR(INDEX(tEditais[Órgão],MATCH(tItens[[#This Row],[Edital]],tEditais[Edital],0)),"")</f>
        <v>MUNICIPIO DE CACHOEIRA DOURADA</v>
      </c>
      <c r="H1868" t="str">
        <f>IFERROR(INDEX(tEditais[UF],MATCH(tItens[[#This Row],[Edital]],tEditais[Edital],0)),"")</f>
        <v>GO</v>
      </c>
      <c r="I1868" s="11">
        <f>IFERROR(INDEX(tEditais[Encerramento],MATCH(tItens[[#This Row],[Edital]],tEditais[Edital],0)),"")</f>
        <v>46310.333333333336</v>
      </c>
      <c r="J1868" t="str">
        <f>IFERROR(INDEX(tProdutos[Classe],MATCH(tItens[[#This Row],[Produto]],tProdutos[Produto],0)),"produto não cadastrado")</f>
        <v>DISPUTADO</v>
      </c>
      <c r="K1868" s="12">
        <f>tItens[[#This Row],[Qtd]]*tItens[[#This Row],[Vlr unit]]</f>
        <v>30930</v>
      </c>
      <c r="L1868" s="6">
        <f>IFERROR(IF(INDEX(tProdutos[Desconto homologado],MATCH(tItens[[#This Row],[Produto]],tProdutos[Produto],0))="",DescontoPadrao,INDEX(tProdutos[Desconto homologado],MATCH(tItens[[#This Row],[Produto]],tProdutos[Produto],0))),DescontoPadrao)</f>
        <v>0.28000000000000003</v>
      </c>
      <c r="M1868" s="12">
        <f>tItens[[#This Row],[Valor]]*(1-tItens[[#This Row],[Desconto]])</f>
        <v>22269.599999999999</v>
      </c>
      <c r="N1868" t="str">
        <f>IFERROR(INDEX(tProdutos[Foco],MATCH(tItens[[#This Row],[Produto]],tProdutos[Produto],0)),"Não")</f>
        <v>Sim</v>
      </c>
      <c r="O1868" t="str">
        <f>IFERROR(INDEX(tEditais[SRP],MATCH(tItens[[#This Row],[Edital]],tEditais[Edital],0)),"Não")</f>
        <v>Não</v>
      </c>
      <c r="P1868" s="4">
        <f>IF(COUNTIFS(INDEX(tItens[Edital],1):tItens[[#This Row],[Edital]],tItens[[#This Row],[Edital]],INDEX(tItens[Produto],1):tItens[[#This Row],[Produto]],tItens[[#This Row],[Produto]])=1,1,0)</f>
        <v>1</v>
      </c>
    </row>
    <row r="1869" spans="1:16" x14ac:dyDescent="0.25">
      <c r="A1869" t="s">
        <v>1193</v>
      </c>
      <c r="B1869">
        <v>90</v>
      </c>
      <c r="C1869" t="s">
        <v>4914</v>
      </c>
      <c r="D1869" t="s">
        <v>383</v>
      </c>
      <c r="E1869" s="13">
        <v>80000</v>
      </c>
      <c r="F1869" s="12">
        <v>2.31</v>
      </c>
      <c r="G1869" t="str">
        <f>IFERROR(INDEX(tEditais[Órgão],MATCH(tItens[[#This Row],[Edital]],tEditais[Edital],0)),"")</f>
        <v>MUNICIPIO DE CACHOEIRA DOURADA</v>
      </c>
      <c r="H1869" t="str">
        <f>IFERROR(INDEX(tEditais[UF],MATCH(tItens[[#This Row],[Edital]],tEditais[Edital],0)),"")</f>
        <v>GO</v>
      </c>
      <c r="I1869" s="11">
        <f>IFERROR(INDEX(tEditais[Encerramento],MATCH(tItens[[#This Row],[Edital]],tEditais[Edital],0)),"")</f>
        <v>46310.333333333336</v>
      </c>
      <c r="J1869" t="str">
        <f>IFERROR(INDEX(tProdutos[Classe],MATCH(tItens[[#This Row],[Produto]],tProdutos[Produto],0)),"produto não cadastrado")</f>
        <v>FORA</v>
      </c>
      <c r="K1869" s="12">
        <f>tItens[[#This Row],[Qtd]]*tItens[[#This Row],[Vlr unit]]</f>
        <v>184800</v>
      </c>
      <c r="L1869" s="6">
        <f>IFERROR(IF(INDEX(tProdutos[Desconto homologado],MATCH(tItens[[#This Row],[Produto]],tProdutos[Produto],0))="",DescontoPadrao,INDEX(tProdutos[Desconto homologado],MATCH(tItens[[#This Row],[Produto]],tProdutos[Produto],0))),DescontoPadrao)</f>
        <v>0.48749999999999999</v>
      </c>
      <c r="M1869" s="12">
        <f>tItens[[#This Row],[Valor]]*(1-tItens[[#This Row],[Desconto]])</f>
        <v>94709.999999999985</v>
      </c>
      <c r="N1869" t="str">
        <f>IFERROR(INDEX(tProdutos[Foco],MATCH(tItens[[#This Row],[Produto]],tProdutos[Produto],0)),"Não")</f>
        <v>Não</v>
      </c>
      <c r="O1869" t="str">
        <f>IFERROR(INDEX(tEditais[SRP],MATCH(tItens[[#This Row],[Edital]],tEditais[Edital],0)),"Não")</f>
        <v>Não</v>
      </c>
      <c r="P1869" s="4">
        <f>IF(COUNTIFS(INDEX(tItens[Edital],1):tItens[[#This Row],[Edital]],tItens[[#This Row],[Edital]],INDEX(tItens[Produto],1):tItens[[#This Row],[Produto]],tItens[[#This Row],[Produto]])=1,1,0)</f>
        <v>1</v>
      </c>
    </row>
    <row r="1870" spans="1:16" x14ac:dyDescent="0.25">
      <c r="A1870" t="s">
        <v>1193</v>
      </c>
      <c r="B1870">
        <v>91</v>
      </c>
      <c r="C1870" t="s">
        <v>4915</v>
      </c>
      <c r="D1870" t="s">
        <v>293</v>
      </c>
      <c r="E1870" s="13">
        <v>150</v>
      </c>
      <c r="F1870" s="12">
        <v>9.75</v>
      </c>
      <c r="G1870" t="str">
        <f>IFERROR(INDEX(tEditais[Órgão],MATCH(tItens[[#This Row],[Edital]],tEditais[Edital],0)),"")</f>
        <v>MUNICIPIO DE CACHOEIRA DOURADA</v>
      </c>
      <c r="H1870" t="str">
        <f>IFERROR(INDEX(tEditais[UF],MATCH(tItens[[#This Row],[Edital]],tEditais[Edital],0)),"")</f>
        <v>GO</v>
      </c>
      <c r="I1870" s="11">
        <f>IFERROR(INDEX(tEditais[Encerramento],MATCH(tItens[[#This Row],[Edital]],tEditais[Edital],0)),"")</f>
        <v>46310.333333333336</v>
      </c>
      <c r="J1870" t="str">
        <f>IFERROR(INDEX(tProdutos[Classe],MATCH(tItens[[#This Row],[Produto]],tProdutos[Produto],0)),"produto não cadastrado")</f>
        <v>FORA</v>
      </c>
      <c r="K1870" s="12">
        <f>tItens[[#This Row],[Qtd]]*tItens[[#This Row],[Vlr unit]]</f>
        <v>1462.5</v>
      </c>
      <c r="L1870" s="6">
        <f>IFERROR(IF(INDEX(tProdutos[Desconto homologado],MATCH(tItens[[#This Row],[Produto]],tProdutos[Produto],0))="",DescontoPadrao,INDEX(tProdutos[Desconto homologado],MATCH(tItens[[#This Row],[Produto]],tProdutos[Produto],0))),DescontoPadrao)</f>
        <v>0.45236440369319098</v>
      </c>
      <c r="M1870" s="12">
        <f>tItens[[#This Row],[Valor]]*(1-tItens[[#This Row],[Desconto]])</f>
        <v>800.91705959870819</v>
      </c>
      <c r="N1870" t="str">
        <f>IFERROR(INDEX(tProdutos[Foco],MATCH(tItens[[#This Row],[Produto]],tProdutos[Produto],0)),"Não")</f>
        <v>Não</v>
      </c>
      <c r="O1870" t="str">
        <f>IFERROR(INDEX(tEditais[SRP],MATCH(tItens[[#This Row],[Edital]],tEditais[Edital],0)),"Não")</f>
        <v>Não</v>
      </c>
      <c r="P1870" s="4">
        <f>IF(COUNTIFS(INDEX(tItens[Edital],1):tItens[[#This Row],[Edital]],tItens[[#This Row],[Edital]],INDEX(tItens[Produto],1):tItens[[#This Row],[Produto]],tItens[[#This Row],[Produto]])=1,1,0)</f>
        <v>1</v>
      </c>
    </row>
    <row r="1871" spans="1:16" x14ac:dyDescent="0.25">
      <c r="A1871" t="s">
        <v>1193</v>
      </c>
      <c r="B1871">
        <v>92</v>
      </c>
      <c r="C1871" t="s">
        <v>4916</v>
      </c>
      <c r="D1871" t="s">
        <v>156</v>
      </c>
      <c r="E1871" s="13">
        <v>1000</v>
      </c>
      <c r="F1871" s="12">
        <v>12.9</v>
      </c>
      <c r="G1871" t="str">
        <f>IFERROR(INDEX(tEditais[Órgão],MATCH(tItens[[#This Row],[Edital]],tEditais[Edital],0)),"")</f>
        <v>MUNICIPIO DE CACHOEIRA DOURADA</v>
      </c>
      <c r="H1871" t="str">
        <f>IFERROR(INDEX(tEditais[UF],MATCH(tItens[[#This Row],[Edital]],tEditais[Edital],0)),"")</f>
        <v>GO</v>
      </c>
      <c r="I1871" s="11">
        <f>IFERROR(INDEX(tEditais[Encerramento],MATCH(tItens[[#This Row],[Edital]],tEditais[Edital],0)),"")</f>
        <v>46310.333333333336</v>
      </c>
      <c r="J1871" t="str">
        <f>IFERROR(INDEX(tProdutos[Classe],MATCH(tItens[[#This Row],[Produto]],tProdutos[Produto],0)),"produto não cadastrado")</f>
        <v>DISPUTADO</v>
      </c>
      <c r="K1871" s="12">
        <f>tItens[[#This Row],[Qtd]]*tItens[[#This Row],[Vlr unit]]</f>
        <v>12900</v>
      </c>
      <c r="L1871" s="6">
        <f>IFERROR(IF(INDEX(tProdutos[Desconto homologado],MATCH(tItens[[#This Row],[Produto]],tProdutos[Produto],0))="",DescontoPadrao,INDEX(tProdutos[Desconto homologado],MATCH(tItens[[#This Row],[Produto]],tProdutos[Produto],0))),DescontoPadrao)</f>
        <v>0.27131852489802799</v>
      </c>
      <c r="M1871" s="12">
        <f>tItens[[#This Row],[Valor]]*(1-tItens[[#This Row],[Desconto]])</f>
        <v>9399.9910288154388</v>
      </c>
      <c r="N1871" t="str">
        <f>IFERROR(INDEX(tProdutos[Foco],MATCH(tItens[[#This Row],[Produto]],tProdutos[Produto],0)),"Não")</f>
        <v>Não</v>
      </c>
      <c r="O1871" t="str">
        <f>IFERROR(INDEX(tEditais[SRP],MATCH(tItens[[#This Row],[Edital]],tEditais[Edital],0)),"Não")</f>
        <v>Não</v>
      </c>
      <c r="P1871" s="4">
        <f>IF(COUNTIFS(INDEX(tItens[Edital],1):tItens[[#This Row],[Edital]],tItens[[#This Row],[Edital]],INDEX(tItens[Produto],1):tItens[[#This Row],[Produto]],tItens[[#This Row],[Produto]])=1,1,0)</f>
        <v>1</v>
      </c>
    </row>
    <row r="1872" spans="1:16" x14ac:dyDescent="0.25">
      <c r="A1872" t="s">
        <v>1193</v>
      </c>
      <c r="B1872">
        <v>93</v>
      </c>
      <c r="C1872" t="s">
        <v>4917</v>
      </c>
      <c r="D1872" t="s">
        <v>156</v>
      </c>
      <c r="E1872" s="13">
        <v>1000</v>
      </c>
      <c r="F1872" s="12">
        <v>11.61</v>
      </c>
      <c r="G1872" t="str">
        <f>IFERROR(INDEX(tEditais[Órgão],MATCH(tItens[[#This Row],[Edital]],tEditais[Edital],0)),"")</f>
        <v>MUNICIPIO DE CACHOEIRA DOURADA</v>
      </c>
      <c r="H1872" t="str">
        <f>IFERROR(INDEX(tEditais[UF],MATCH(tItens[[#This Row],[Edital]],tEditais[Edital],0)),"")</f>
        <v>GO</v>
      </c>
      <c r="I1872" s="11">
        <f>IFERROR(INDEX(tEditais[Encerramento],MATCH(tItens[[#This Row],[Edital]],tEditais[Edital],0)),"")</f>
        <v>46310.333333333336</v>
      </c>
      <c r="J1872" t="str">
        <f>IFERROR(INDEX(tProdutos[Classe],MATCH(tItens[[#This Row],[Produto]],tProdutos[Produto],0)),"produto não cadastrado")</f>
        <v>DISPUTADO</v>
      </c>
      <c r="K1872" s="12">
        <f>tItens[[#This Row],[Qtd]]*tItens[[#This Row],[Vlr unit]]</f>
        <v>11610</v>
      </c>
      <c r="L1872" s="6">
        <f>IFERROR(IF(INDEX(tProdutos[Desconto homologado],MATCH(tItens[[#This Row],[Produto]],tProdutos[Produto],0))="",DescontoPadrao,INDEX(tProdutos[Desconto homologado],MATCH(tItens[[#This Row],[Produto]],tProdutos[Produto],0))),DescontoPadrao)</f>
        <v>0.27131852489802799</v>
      </c>
      <c r="M1872" s="12">
        <f>tItens[[#This Row],[Valor]]*(1-tItens[[#This Row],[Desconto]])</f>
        <v>8459.9919259338949</v>
      </c>
      <c r="N1872" t="str">
        <f>IFERROR(INDEX(tProdutos[Foco],MATCH(tItens[[#This Row],[Produto]],tProdutos[Produto],0)),"Não")</f>
        <v>Não</v>
      </c>
      <c r="O1872" t="str">
        <f>IFERROR(INDEX(tEditais[SRP],MATCH(tItens[[#This Row],[Edital]],tEditais[Edital],0)),"Não")</f>
        <v>Não</v>
      </c>
      <c r="P1872" s="4">
        <f>IF(COUNTIFS(INDEX(tItens[Edital],1):tItens[[#This Row],[Edital]],tItens[[#This Row],[Edital]],INDEX(tItens[Produto],1):tItens[[#This Row],[Produto]],tItens[[#This Row],[Produto]])=1,1,0)</f>
        <v>0</v>
      </c>
    </row>
    <row r="1873" spans="1:16" x14ac:dyDescent="0.25">
      <c r="A1873" t="s">
        <v>1193</v>
      </c>
      <c r="B1873">
        <v>109</v>
      </c>
      <c r="C1873" t="s">
        <v>4918</v>
      </c>
      <c r="D1873" t="s">
        <v>187</v>
      </c>
      <c r="E1873" s="13">
        <v>300</v>
      </c>
      <c r="F1873" s="12">
        <v>2.34</v>
      </c>
      <c r="G1873" t="str">
        <f>IFERROR(INDEX(tEditais[Órgão],MATCH(tItens[[#This Row],[Edital]],tEditais[Edital],0)),"")</f>
        <v>MUNICIPIO DE CACHOEIRA DOURADA</v>
      </c>
      <c r="H1873" t="str">
        <f>IFERROR(INDEX(tEditais[UF],MATCH(tItens[[#This Row],[Edital]],tEditais[Edital],0)),"")</f>
        <v>GO</v>
      </c>
      <c r="I1873" s="11">
        <f>IFERROR(INDEX(tEditais[Encerramento],MATCH(tItens[[#This Row],[Edital]],tEditais[Edital],0)),"")</f>
        <v>46310.333333333336</v>
      </c>
      <c r="J1873" t="str">
        <f>IFERROR(INDEX(tProdutos[Classe],MATCH(tItens[[#This Row],[Produto]],tProdutos[Produto],0)),"produto não cadastrado")</f>
        <v>DISPUTADO</v>
      </c>
      <c r="K1873" s="12">
        <f>tItens[[#This Row],[Qtd]]*tItens[[#This Row],[Vlr unit]]</f>
        <v>702</v>
      </c>
      <c r="L1873" s="6">
        <f>IFERROR(IF(INDEX(tProdutos[Desconto homologado],MATCH(tItens[[#This Row],[Produto]],tProdutos[Produto],0))="",DescontoPadrao,INDEX(tProdutos[Desconto homologado],MATCH(tItens[[#This Row],[Produto]],tProdutos[Produto],0))),DescontoPadrao)</f>
        <v>0.44298820445609399</v>
      </c>
      <c r="M1873" s="12">
        <f>tItens[[#This Row],[Valor]]*(1-tItens[[#This Row],[Desconto]])</f>
        <v>391.022280471822</v>
      </c>
      <c r="N1873" t="str">
        <f>IFERROR(INDEX(tProdutos[Foco],MATCH(tItens[[#This Row],[Produto]],tProdutos[Produto],0)),"Não")</f>
        <v>Não</v>
      </c>
      <c r="O1873" t="str">
        <f>IFERROR(INDEX(tEditais[SRP],MATCH(tItens[[#This Row],[Edital]],tEditais[Edital],0)),"Não")</f>
        <v>Não</v>
      </c>
      <c r="P1873" s="4">
        <f>IF(COUNTIFS(INDEX(tItens[Edital],1):tItens[[#This Row],[Edital]],tItens[[#This Row],[Edital]],INDEX(tItens[Produto],1):tItens[[#This Row],[Produto]],tItens[[#This Row],[Produto]])=1,1,0)</f>
        <v>1</v>
      </c>
    </row>
    <row r="1874" spans="1:16" x14ac:dyDescent="0.25">
      <c r="A1874" t="s">
        <v>1193</v>
      </c>
      <c r="B1874">
        <v>111</v>
      </c>
      <c r="C1874" t="s">
        <v>4919</v>
      </c>
      <c r="D1874" t="s">
        <v>60</v>
      </c>
      <c r="E1874" s="13">
        <v>200</v>
      </c>
      <c r="F1874" s="12">
        <v>29.15</v>
      </c>
      <c r="G1874" t="str">
        <f>IFERROR(INDEX(tEditais[Órgão],MATCH(tItens[[#This Row],[Edital]],tEditais[Edital],0)),"")</f>
        <v>MUNICIPIO DE CACHOEIRA DOURADA</v>
      </c>
      <c r="H1874" t="str">
        <f>IFERROR(INDEX(tEditais[UF],MATCH(tItens[[#This Row],[Edital]],tEditais[Edital],0)),"")</f>
        <v>GO</v>
      </c>
      <c r="I1874" s="11">
        <f>IFERROR(INDEX(tEditais[Encerramento],MATCH(tItens[[#This Row],[Edital]],tEditais[Edital],0)),"")</f>
        <v>46310.333333333336</v>
      </c>
      <c r="J1874" t="str">
        <f>IFERROR(INDEX(tProdutos[Classe],MATCH(tItens[[#This Row],[Produto]],tProdutos[Produto],0)),"produto não cadastrado")</f>
        <v>NÚCLEO</v>
      </c>
      <c r="K1874" s="12">
        <f>tItens[[#This Row],[Qtd]]*tItens[[#This Row],[Vlr unit]]</f>
        <v>5830</v>
      </c>
      <c r="L1874" s="6">
        <f>IFERROR(IF(INDEX(tProdutos[Desconto homologado],MATCH(tItens[[#This Row],[Produto]],tProdutos[Produto],0))="",DescontoPadrao,INDEX(tProdutos[Desconto homologado],MATCH(tItens[[#This Row],[Produto]],tProdutos[Produto],0))),DescontoPadrao)</f>
        <v>0.23</v>
      </c>
      <c r="M1874" s="12">
        <f>tItens[[#This Row],[Valor]]*(1-tItens[[#This Row],[Desconto]])</f>
        <v>4489.1000000000004</v>
      </c>
      <c r="N1874" t="str">
        <f>IFERROR(INDEX(tProdutos[Foco],MATCH(tItens[[#This Row],[Produto]],tProdutos[Produto],0)),"Não")</f>
        <v>Sim</v>
      </c>
      <c r="O1874" t="str">
        <f>IFERROR(INDEX(tEditais[SRP],MATCH(tItens[[#This Row],[Edital]],tEditais[Edital],0)),"Não")</f>
        <v>Não</v>
      </c>
      <c r="P1874" s="4">
        <f>IF(COUNTIFS(INDEX(tItens[Edital],1):tItens[[#This Row],[Edital]],tItens[[#This Row],[Edital]],INDEX(tItens[Produto],1):tItens[[#This Row],[Produto]],tItens[[#This Row],[Produto]])=1,1,0)</f>
        <v>1</v>
      </c>
    </row>
    <row r="1875" spans="1:16" x14ac:dyDescent="0.25">
      <c r="A1875" t="s">
        <v>1193</v>
      </c>
      <c r="B1875">
        <v>116</v>
      </c>
      <c r="C1875" t="s">
        <v>4920</v>
      </c>
      <c r="D1875" t="s">
        <v>90</v>
      </c>
      <c r="E1875" s="13">
        <v>8000</v>
      </c>
      <c r="F1875" s="12">
        <v>9.6</v>
      </c>
      <c r="G1875" t="str">
        <f>IFERROR(INDEX(tEditais[Órgão],MATCH(tItens[[#This Row],[Edital]],tEditais[Edital],0)),"")</f>
        <v>MUNICIPIO DE CACHOEIRA DOURADA</v>
      </c>
      <c r="H1875" t="str">
        <f>IFERROR(INDEX(tEditais[UF],MATCH(tItens[[#This Row],[Edital]],tEditais[Edital],0)),"")</f>
        <v>GO</v>
      </c>
      <c r="I1875" s="11">
        <f>IFERROR(INDEX(tEditais[Encerramento],MATCH(tItens[[#This Row],[Edital]],tEditais[Edital],0)),"")</f>
        <v>46310.333333333336</v>
      </c>
      <c r="J1875" t="str">
        <f>IFERROR(INDEX(tProdutos[Classe],MATCH(tItens[[#This Row],[Produto]],tProdutos[Produto],0)),"produto não cadastrado")</f>
        <v>DISPUTADO</v>
      </c>
      <c r="K1875" s="12">
        <f>tItens[[#This Row],[Qtd]]*tItens[[#This Row],[Vlr unit]]</f>
        <v>76800</v>
      </c>
      <c r="L1875" s="6">
        <f>IFERROR(IF(INDEX(tProdutos[Desconto homologado],MATCH(tItens[[#This Row],[Produto]],tProdutos[Produto],0))="",DescontoPadrao,INDEX(tProdutos[Desconto homologado],MATCH(tItens[[#This Row],[Produto]],tProdutos[Produto],0))),DescontoPadrao)</f>
        <v>0.25393823957010597</v>
      </c>
      <c r="M1875" s="12">
        <f>tItens[[#This Row],[Valor]]*(1-tItens[[#This Row],[Desconto]])</f>
        <v>57297.543201015862</v>
      </c>
      <c r="N1875" t="str">
        <f>IFERROR(INDEX(tProdutos[Foco],MATCH(tItens[[#This Row],[Produto]],tProdutos[Produto],0)),"Não")</f>
        <v>Não</v>
      </c>
      <c r="O1875" t="str">
        <f>IFERROR(INDEX(tEditais[SRP],MATCH(tItens[[#This Row],[Edital]],tEditais[Edital],0)),"Não")</f>
        <v>Não</v>
      </c>
      <c r="P1875" s="4">
        <f>IF(COUNTIFS(INDEX(tItens[Edital],1):tItens[[#This Row],[Edital]],tItens[[#This Row],[Edital]],INDEX(tItens[Produto],1):tItens[[#This Row],[Produto]],tItens[[#This Row],[Produto]])=1,1,0)</f>
        <v>1</v>
      </c>
    </row>
    <row r="1876" spans="1:16" x14ac:dyDescent="0.25">
      <c r="A1876" t="s">
        <v>1193</v>
      </c>
      <c r="B1876">
        <v>118</v>
      </c>
      <c r="C1876" t="s">
        <v>4921</v>
      </c>
      <c r="D1876" t="s">
        <v>75</v>
      </c>
      <c r="E1876" s="13">
        <v>1000</v>
      </c>
      <c r="F1876" s="12">
        <v>2.87</v>
      </c>
      <c r="G1876" t="str">
        <f>IFERROR(INDEX(tEditais[Órgão],MATCH(tItens[[#This Row],[Edital]],tEditais[Edital],0)),"")</f>
        <v>MUNICIPIO DE CACHOEIRA DOURADA</v>
      </c>
      <c r="H1876" t="str">
        <f>IFERROR(INDEX(tEditais[UF],MATCH(tItens[[#This Row],[Edital]],tEditais[Edital],0)),"")</f>
        <v>GO</v>
      </c>
      <c r="I1876" s="11">
        <f>IFERROR(INDEX(tEditais[Encerramento],MATCH(tItens[[#This Row],[Edital]],tEditais[Edital],0)),"")</f>
        <v>46310.333333333336</v>
      </c>
      <c r="J1876" t="str">
        <f>IFERROR(INDEX(tProdutos[Classe],MATCH(tItens[[#This Row],[Produto]],tProdutos[Produto],0)),"produto não cadastrado")</f>
        <v>NÚCLEO</v>
      </c>
      <c r="K1876" s="12">
        <f>tItens[[#This Row],[Qtd]]*tItens[[#This Row],[Vlr unit]]</f>
        <v>2870</v>
      </c>
      <c r="L1876" s="6">
        <f>IFERROR(IF(INDEX(tProdutos[Desconto homologado],MATCH(tItens[[#This Row],[Produto]],tProdutos[Produto],0))="",DescontoPadrao,INDEX(tProdutos[Desconto homologado],MATCH(tItens[[#This Row],[Produto]],tProdutos[Produto],0))),DescontoPadrao)</f>
        <v>0.26</v>
      </c>
      <c r="M1876" s="12">
        <f>tItens[[#This Row],[Valor]]*(1-tItens[[#This Row],[Desconto]])</f>
        <v>2123.8000000000002</v>
      </c>
      <c r="N1876" t="str">
        <f>IFERROR(INDEX(tProdutos[Foco],MATCH(tItens[[#This Row],[Produto]],tProdutos[Produto],0)),"Não")</f>
        <v>Sim</v>
      </c>
      <c r="O1876" t="str">
        <f>IFERROR(INDEX(tEditais[SRP],MATCH(tItens[[#This Row],[Edital]],tEditais[Edital],0)),"Não")</f>
        <v>Não</v>
      </c>
      <c r="P1876" s="4">
        <f>IF(COUNTIFS(INDEX(tItens[Edital],1):tItens[[#This Row],[Edital]],tItens[[#This Row],[Edital]],INDEX(tItens[Produto],1):tItens[[#This Row],[Produto]],tItens[[#This Row],[Produto]])=1,1,0)</f>
        <v>1</v>
      </c>
    </row>
    <row r="1877" spans="1:16" x14ac:dyDescent="0.25">
      <c r="A1877" t="s">
        <v>1193</v>
      </c>
      <c r="B1877">
        <v>119</v>
      </c>
      <c r="C1877" t="s">
        <v>4922</v>
      </c>
      <c r="D1877" t="s">
        <v>75</v>
      </c>
      <c r="E1877" s="13">
        <v>3000</v>
      </c>
      <c r="F1877" s="12">
        <v>3.07</v>
      </c>
      <c r="G1877" t="str">
        <f>IFERROR(INDEX(tEditais[Órgão],MATCH(tItens[[#This Row],[Edital]],tEditais[Edital],0)),"")</f>
        <v>MUNICIPIO DE CACHOEIRA DOURADA</v>
      </c>
      <c r="H1877" t="str">
        <f>IFERROR(INDEX(tEditais[UF],MATCH(tItens[[#This Row],[Edital]],tEditais[Edital],0)),"")</f>
        <v>GO</v>
      </c>
      <c r="I1877" s="11">
        <f>IFERROR(INDEX(tEditais[Encerramento],MATCH(tItens[[#This Row],[Edital]],tEditais[Edital],0)),"")</f>
        <v>46310.333333333336</v>
      </c>
      <c r="J1877" t="str">
        <f>IFERROR(INDEX(tProdutos[Classe],MATCH(tItens[[#This Row],[Produto]],tProdutos[Produto],0)),"produto não cadastrado")</f>
        <v>NÚCLEO</v>
      </c>
      <c r="K1877" s="12">
        <f>tItens[[#This Row],[Qtd]]*tItens[[#This Row],[Vlr unit]]</f>
        <v>9210</v>
      </c>
      <c r="L1877" s="6">
        <f>IFERROR(IF(INDEX(tProdutos[Desconto homologado],MATCH(tItens[[#This Row],[Produto]],tProdutos[Produto],0))="",DescontoPadrao,INDEX(tProdutos[Desconto homologado],MATCH(tItens[[#This Row],[Produto]],tProdutos[Produto],0))),DescontoPadrao)</f>
        <v>0.26</v>
      </c>
      <c r="M1877" s="12">
        <f>tItens[[#This Row],[Valor]]*(1-tItens[[#This Row],[Desconto]])</f>
        <v>6815.4</v>
      </c>
      <c r="N1877" t="str">
        <f>IFERROR(INDEX(tProdutos[Foco],MATCH(tItens[[#This Row],[Produto]],tProdutos[Produto],0)),"Não")</f>
        <v>Sim</v>
      </c>
      <c r="O1877" t="str">
        <f>IFERROR(INDEX(tEditais[SRP],MATCH(tItens[[#This Row],[Edital]],tEditais[Edital],0)),"Não")</f>
        <v>Não</v>
      </c>
      <c r="P1877" s="4">
        <f>IF(COUNTIFS(INDEX(tItens[Edital],1):tItens[[#This Row],[Edital]],tItens[[#This Row],[Edital]],INDEX(tItens[Produto],1):tItens[[#This Row],[Produto]],tItens[[#This Row],[Produto]])=1,1,0)</f>
        <v>0</v>
      </c>
    </row>
    <row r="1878" spans="1:16" x14ac:dyDescent="0.25">
      <c r="A1878" t="s">
        <v>1193</v>
      </c>
      <c r="B1878">
        <v>120</v>
      </c>
      <c r="C1878" t="s">
        <v>4923</v>
      </c>
      <c r="D1878" t="s">
        <v>75</v>
      </c>
      <c r="E1878" s="13">
        <v>20</v>
      </c>
      <c r="F1878" s="12">
        <v>2.73</v>
      </c>
      <c r="G1878" t="str">
        <f>IFERROR(INDEX(tEditais[Órgão],MATCH(tItens[[#This Row],[Edital]],tEditais[Edital],0)),"")</f>
        <v>MUNICIPIO DE CACHOEIRA DOURADA</v>
      </c>
      <c r="H1878" t="str">
        <f>IFERROR(INDEX(tEditais[UF],MATCH(tItens[[#This Row],[Edital]],tEditais[Edital],0)),"")</f>
        <v>GO</v>
      </c>
      <c r="I1878" s="11">
        <f>IFERROR(INDEX(tEditais[Encerramento],MATCH(tItens[[#This Row],[Edital]],tEditais[Edital],0)),"")</f>
        <v>46310.333333333336</v>
      </c>
      <c r="J1878" t="str">
        <f>IFERROR(INDEX(tProdutos[Classe],MATCH(tItens[[#This Row],[Produto]],tProdutos[Produto],0)),"produto não cadastrado")</f>
        <v>NÚCLEO</v>
      </c>
      <c r="K1878" s="12">
        <f>tItens[[#This Row],[Qtd]]*tItens[[#This Row],[Vlr unit]]</f>
        <v>54.6</v>
      </c>
      <c r="L1878" s="6">
        <f>IFERROR(IF(INDEX(tProdutos[Desconto homologado],MATCH(tItens[[#This Row],[Produto]],tProdutos[Produto],0))="",DescontoPadrao,INDEX(tProdutos[Desconto homologado],MATCH(tItens[[#This Row],[Produto]],tProdutos[Produto],0))),DescontoPadrao)</f>
        <v>0.26</v>
      </c>
      <c r="M1878" s="12">
        <f>tItens[[#This Row],[Valor]]*(1-tItens[[#This Row],[Desconto]])</f>
        <v>40.404000000000003</v>
      </c>
      <c r="N1878" t="str">
        <f>IFERROR(INDEX(tProdutos[Foco],MATCH(tItens[[#This Row],[Produto]],tProdutos[Produto],0)),"Não")</f>
        <v>Sim</v>
      </c>
      <c r="O1878" t="str">
        <f>IFERROR(INDEX(tEditais[SRP],MATCH(tItens[[#This Row],[Edital]],tEditais[Edital],0)),"Não")</f>
        <v>Não</v>
      </c>
      <c r="P1878" s="4">
        <f>IF(COUNTIFS(INDEX(tItens[Edital],1):tItens[[#This Row],[Edital]],tItens[[#This Row],[Edital]],INDEX(tItens[Produto],1):tItens[[#This Row],[Produto]],tItens[[#This Row],[Produto]])=1,1,0)</f>
        <v>0</v>
      </c>
    </row>
    <row r="1879" spans="1:16" x14ac:dyDescent="0.25">
      <c r="A1879" t="s">
        <v>1193</v>
      </c>
      <c r="B1879">
        <v>145</v>
      </c>
      <c r="C1879" t="s">
        <v>4924</v>
      </c>
      <c r="D1879" t="s">
        <v>461</v>
      </c>
      <c r="E1879" s="13">
        <v>150</v>
      </c>
      <c r="F1879" s="12">
        <v>40.369999999999997</v>
      </c>
      <c r="G1879" t="str">
        <f>IFERROR(INDEX(tEditais[Órgão],MATCH(tItens[[#This Row],[Edital]],tEditais[Edital],0)),"")</f>
        <v>MUNICIPIO DE CACHOEIRA DOURADA</v>
      </c>
      <c r="H1879" t="str">
        <f>IFERROR(INDEX(tEditais[UF],MATCH(tItens[[#This Row],[Edital]],tEditais[Edital],0)),"")</f>
        <v>GO</v>
      </c>
      <c r="I1879" s="11">
        <f>IFERROR(INDEX(tEditais[Encerramento],MATCH(tItens[[#This Row],[Edital]],tEditais[Edital],0)),"")</f>
        <v>46310.333333333336</v>
      </c>
      <c r="J1879" t="str">
        <f>IFERROR(INDEX(tProdutos[Classe],MATCH(tItens[[#This Row],[Produto]],tProdutos[Produto],0)),"produto não cadastrado")</f>
        <v>FILA REBASE</v>
      </c>
      <c r="K1879" s="12">
        <f>tItens[[#This Row],[Qtd]]*tItens[[#This Row],[Vlr unit]]</f>
        <v>6055.5</v>
      </c>
      <c r="L1879" s="6">
        <f>IFERROR(IF(INDEX(tProdutos[Desconto homologado],MATCH(tItens[[#This Row],[Produto]],tProdutos[Produto],0))="",DescontoPadrao,INDEX(tProdutos[Desconto homologado],MATCH(tItens[[#This Row],[Produto]],tProdutos[Produto],0))),DescontoPadrao)</f>
        <v>0.44096385542168698</v>
      </c>
      <c r="M1879" s="12">
        <f>tItens[[#This Row],[Valor]]*(1-tItens[[#This Row],[Desconto]])</f>
        <v>3385.2433734939741</v>
      </c>
      <c r="N1879" t="str">
        <f>IFERROR(INDEX(tProdutos[Foco],MATCH(tItens[[#This Row],[Produto]],tProdutos[Produto],0)),"Não")</f>
        <v>Não</v>
      </c>
      <c r="O1879" t="str">
        <f>IFERROR(INDEX(tEditais[SRP],MATCH(tItens[[#This Row],[Edital]],tEditais[Edital],0)),"Não")</f>
        <v>Não</v>
      </c>
      <c r="P1879" s="4">
        <f>IF(COUNTIFS(INDEX(tItens[Edital],1):tItens[[#This Row],[Edital]],tItens[[#This Row],[Edital]],INDEX(tItens[Produto],1):tItens[[#This Row],[Produto]],tItens[[#This Row],[Produto]])=1,1,0)</f>
        <v>1</v>
      </c>
    </row>
    <row r="1880" spans="1:16" x14ac:dyDescent="0.25">
      <c r="A1880" t="s">
        <v>1193</v>
      </c>
      <c r="B1880">
        <v>146</v>
      </c>
      <c r="C1880" t="s">
        <v>4925</v>
      </c>
      <c r="D1880" t="s">
        <v>461</v>
      </c>
      <c r="E1880" s="13">
        <v>150</v>
      </c>
      <c r="F1880" s="12">
        <v>36.619999999999997</v>
      </c>
      <c r="G1880" t="str">
        <f>IFERROR(INDEX(tEditais[Órgão],MATCH(tItens[[#This Row],[Edital]],tEditais[Edital],0)),"")</f>
        <v>MUNICIPIO DE CACHOEIRA DOURADA</v>
      </c>
      <c r="H1880" t="str">
        <f>IFERROR(INDEX(tEditais[UF],MATCH(tItens[[#This Row],[Edital]],tEditais[Edital],0)),"")</f>
        <v>GO</v>
      </c>
      <c r="I1880" s="11">
        <f>IFERROR(INDEX(tEditais[Encerramento],MATCH(tItens[[#This Row],[Edital]],tEditais[Edital],0)),"")</f>
        <v>46310.333333333336</v>
      </c>
      <c r="J1880" t="str">
        <f>IFERROR(INDEX(tProdutos[Classe],MATCH(tItens[[#This Row],[Produto]],tProdutos[Produto],0)),"produto não cadastrado")</f>
        <v>FILA REBASE</v>
      </c>
      <c r="K1880" s="12">
        <f>tItens[[#This Row],[Qtd]]*tItens[[#This Row],[Vlr unit]]</f>
        <v>5493</v>
      </c>
      <c r="L1880" s="6">
        <f>IFERROR(IF(INDEX(tProdutos[Desconto homologado],MATCH(tItens[[#This Row],[Produto]],tProdutos[Produto],0))="",DescontoPadrao,INDEX(tProdutos[Desconto homologado],MATCH(tItens[[#This Row],[Produto]],tProdutos[Produto],0))),DescontoPadrao)</f>
        <v>0.44096385542168698</v>
      </c>
      <c r="M1880" s="12">
        <f>tItens[[#This Row],[Valor]]*(1-tItens[[#This Row],[Desconto]])</f>
        <v>3070.7855421686731</v>
      </c>
      <c r="N1880" t="str">
        <f>IFERROR(INDEX(tProdutos[Foco],MATCH(tItens[[#This Row],[Produto]],tProdutos[Produto],0)),"Não")</f>
        <v>Não</v>
      </c>
      <c r="O1880" t="str">
        <f>IFERROR(INDEX(tEditais[SRP],MATCH(tItens[[#This Row],[Edital]],tEditais[Edital],0)),"Não")</f>
        <v>Não</v>
      </c>
      <c r="P1880" s="4">
        <f>IF(COUNTIFS(INDEX(tItens[Edital],1):tItens[[#This Row],[Edital]],tItens[[#This Row],[Edital]],INDEX(tItens[Produto],1):tItens[[#This Row],[Produto]],tItens[[#This Row],[Produto]])=1,1,0)</f>
        <v>0</v>
      </c>
    </row>
    <row r="1881" spans="1:16" x14ac:dyDescent="0.25">
      <c r="A1881" t="s">
        <v>1193</v>
      </c>
      <c r="B1881">
        <v>147</v>
      </c>
      <c r="C1881" t="s">
        <v>4926</v>
      </c>
      <c r="D1881" t="s">
        <v>461</v>
      </c>
      <c r="E1881" s="13">
        <v>150</v>
      </c>
      <c r="F1881" s="12">
        <v>35.64</v>
      </c>
      <c r="G1881" t="str">
        <f>IFERROR(INDEX(tEditais[Órgão],MATCH(tItens[[#This Row],[Edital]],tEditais[Edital],0)),"")</f>
        <v>MUNICIPIO DE CACHOEIRA DOURADA</v>
      </c>
      <c r="H1881" t="str">
        <f>IFERROR(INDEX(tEditais[UF],MATCH(tItens[[#This Row],[Edital]],tEditais[Edital],0)),"")</f>
        <v>GO</v>
      </c>
      <c r="I1881" s="11">
        <f>IFERROR(INDEX(tEditais[Encerramento],MATCH(tItens[[#This Row],[Edital]],tEditais[Edital],0)),"")</f>
        <v>46310.333333333336</v>
      </c>
      <c r="J1881" t="str">
        <f>IFERROR(INDEX(tProdutos[Classe],MATCH(tItens[[#This Row],[Produto]],tProdutos[Produto],0)),"produto não cadastrado")</f>
        <v>FILA REBASE</v>
      </c>
      <c r="K1881" s="12">
        <f>tItens[[#This Row],[Qtd]]*tItens[[#This Row],[Vlr unit]]</f>
        <v>5346</v>
      </c>
      <c r="L1881" s="6">
        <f>IFERROR(IF(INDEX(tProdutos[Desconto homologado],MATCH(tItens[[#This Row],[Produto]],tProdutos[Produto],0))="",DescontoPadrao,INDEX(tProdutos[Desconto homologado],MATCH(tItens[[#This Row],[Produto]],tProdutos[Produto],0))),DescontoPadrao)</f>
        <v>0.44096385542168698</v>
      </c>
      <c r="M1881" s="12">
        <f>tItens[[#This Row],[Valor]]*(1-tItens[[#This Row],[Desconto]])</f>
        <v>2988.6072289156609</v>
      </c>
      <c r="N1881" t="str">
        <f>IFERROR(INDEX(tProdutos[Foco],MATCH(tItens[[#This Row],[Produto]],tProdutos[Produto],0)),"Não")</f>
        <v>Não</v>
      </c>
      <c r="O1881" t="str">
        <f>IFERROR(INDEX(tEditais[SRP],MATCH(tItens[[#This Row],[Edital]],tEditais[Edital],0)),"Não")</f>
        <v>Não</v>
      </c>
      <c r="P1881" s="4">
        <f>IF(COUNTIFS(INDEX(tItens[Edital],1):tItens[[#This Row],[Edital]],tItens[[#This Row],[Edital]],INDEX(tItens[Produto],1):tItens[[#This Row],[Produto]],tItens[[#This Row],[Produto]])=1,1,0)</f>
        <v>0</v>
      </c>
    </row>
    <row r="1882" spans="1:16" x14ac:dyDescent="0.25">
      <c r="A1882" t="s">
        <v>1193</v>
      </c>
      <c r="B1882">
        <v>148</v>
      </c>
      <c r="C1882" t="s">
        <v>4927</v>
      </c>
      <c r="D1882" t="s">
        <v>461</v>
      </c>
      <c r="E1882" s="13">
        <v>200</v>
      </c>
      <c r="F1882" s="12">
        <v>33.33</v>
      </c>
      <c r="G1882" t="str">
        <f>IFERROR(INDEX(tEditais[Órgão],MATCH(tItens[[#This Row],[Edital]],tEditais[Edital],0)),"")</f>
        <v>MUNICIPIO DE CACHOEIRA DOURADA</v>
      </c>
      <c r="H1882" t="str">
        <f>IFERROR(INDEX(tEditais[UF],MATCH(tItens[[#This Row],[Edital]],tEditais[Edital],0)),"")</f>
        <v>GO</v>
      </c>
      <c r="I1882" s="11">
        <f>IFERROR(INDEX(tEditais[Encerramento],MATCH(tItens[[#This Row],[Edital]],tEditais[Edital],0)),"")</f>
        <v>46310.333333333336</v>
      </c>
      <c r="J1882" t="str">
        <f>IFERROR(INDEX(tProdutos[Classe],MATCH(tItens[[#This Row],[Produto]],tProdutos[Produto],0)),"produto não cadastrado")</f>
        <v>FILA REBASE</v>
      </c>
      <c r="K1882" s="12">
        <f>tItens[[#This Row],[Qtd]]*tItens[[#This Row],[Vlr unit]]</f>
        <v>6666</v>
      </c>
      <c r="L1882" s="6">
        <f>IFERROR(IF(INDEX(tProdutos[Desconto homologado],MATCH(tItens[[#This Row],[Produto]],tProdutos[Produto],0))="",DescontoPadrao,INDEX(tProdutos[Desconto homologado],MATCH(tItens[[#This Row],[Produto]],tProdutos[Produto],0))),DescontoPadrao)</f>
        <v>0.44096385542168698</v>
      </c>
      <c r="M1882" s="12">
        <f>tItens[[#This Row],[Valor]]*(1-tItens[[#This Row],[Desconto]])</f>
        <v>3726.5349397590344</v>
      </c>
      <c r="N1882" t="str">
        <f>IFERROR(INDEX(tProdutos[Foco],MATCH(tItens[[#This Row],[Produto]],tProdutos[Produto],0)),"Não")</f>
        <v>Não</v>
      </c>
      <c r="O1882" t="str">
        <f>IFERROR(INDEX(tEditais[SRP],MATCH(tItens[[#This Row],[Edital]],tEditais[Edital],0)),"Não")</f>
        <v>Não</v>
      </c>
      <c r="P1882" s="4">
        <f>IF(COUNTIFS(INDEX(tItens[Edital],1):tItens[[#This Row],[Edital]],tItens[[#This Row],[Edital]],INDEX(tItens[Produto],1):tItens[[#This Row],[Produto]],tItens[[#This Row],[Produto]])=1,1,0)</f>
        <v>0</v>
      </c>
    </row>
    <row r="1883" spans="1:16" x14ac:dyDescent="0.25">
      <c r="A1883" t="s">
        <v>1193</v>
      </c>
      <c r="B1883">
        <v>149</v>
      </c>
      <c r="C1883" t="s">
        <v>4928</v>
      </c>
      <c r="D1883" t="s">
        <v>461</v>
      </c>
      <c r="E1883" s="13">
        <v>150</v>
      </c>
      <c r="F1883" s="12">
        <v>31.37</v>
      </c>
      <c r="G1883" t="str">
        <f>IFERROR(INDEX(tEditais[Órgão],MATCH(tItens[[#This Row],[Edital]],tEditais[Edital],0)),"")</f>
        <v>MUNICIPIO DE CACHOEIRA DOURADA</v>
      </c>
      <c r="H1883" t="str">
        <f>IFERROR(INDEX(tEditais[UF],MATCH(tItens[[#This Row],[Edital]],tEditais[Edital],0)),"")</f>
        <v>GO</v>
      </c>
      <c r="I1883" s="11">
        <f>IFERROR(INDEX(tEditais[Encerramento],MATCH(tItens[[#This Row],[Edital]],tEditais[Edital],0)),"")</f>
        <v>46310.333333333336</v>
      </c>
      <c r="J1883" t="str">
        <f>IFERROR(INDEX(tProdutos[Classe],MATCH(tItens[[#This Row],[Produto]],tProdutos[Produto],0)),"produto não cadastrado")</f>
        <v>FILA REBASE</v>
      </c>
      <c r="K1883" s="12">
        <f>tItens[[#This Row],[Qtd]]*tItens[[#This Row],[Vlr unit]]</f>
        <v>4705.5</v>
      </c>
      <c r="L1883" s="6">
        <f>IFERROR(IF(INDEX(tProdutos[Desconto homologado],MATCH(tItens[[#This Row],[Produto]],tProdutos[Produto],0))="",DescontoPadrao,INDEX(tProdutos[Desconto homologado],MATCH(tItens[[#This Row],[Produto]],tProdutos[Produto],0))),DescontoPadrao)</f>
        <v>0.44096385542168698</v>
      </c>
      <c r="M1883" s="12">
        <f>tItens[[#This Row],[Valor]]*(1-tItens[[#This Row],[Desconto]])</f>
        <v>2630.5445783132518</v>
      </c>
      <c r="N1883" t="str">
        <f>IFERROR(INDEX(tProdutos[Foco],MATCH(tItens[[#This Row],[Produto]],tProdutos[Produto],0)),"Não")</f>
        <v>Não</v>
      </c>
      <c r="O1883" t="str">
        <f>IFERROR(INDEX(tEditais[SRP],MATCH(tItens[[#This Row],[Edital]],tEditais[Edital],0)),"Não")</f>
        <v>Não</v>
      </c>
      <c r="P1883" s="4">
        <f>IF(COUNTIFS(INDEX(tItens[Edital],1):tItens[[#This Row],[Edital]],tItens[[#This Row],[Edital]],INDEX(tItens[Produto],1):tItens[[#This Row],[Produto]],tItens[[#This Row],[Produto]])=1,1,0)</f>
        <v>0</v>
      </c>
    </row>
    <row r="1884" spans="1:16" x14ac:dyDescent="0.25">
      <c r="A1884" t="s">
        <v>1193</v>
      </c>
      <c r="B1884">
        <v>150</v>
      </c>
      <c r="C1884" t="s">
        <v>4929</v>
      </c>
      <c r="D1884" t="s">
        <v>461</v>
      </c>
      <c r="E1884" s="13">
        <v>150</v>
      </c>
      <c r="F1884" s="12">
        <v>31.37</v>
      </c>
      <c r="G1884" t="str">
        <f>IFERROR(INDEX(tEditais[Órgão],MATCH(tItens[[#This Row],[Edital]],tEditais[Edital],0)),"")</f>
        <v>MUNICIPIO DE CACHOEIRA DOURADA</v>
      </c>
      <c r="H1884" t="str">
        <f>IFERROR(INDEX(tEditais[UF],MATCH(tItens[[#This Row],[Edital]],tEditais[Edital],0)),"")</f>
        <v>GO</v>
      </c>
      <c r="I1884" s="11">
        <f>IFERROR(INDEX(tEditais[Encerramento],MATCH(tItens[[#This Row],[Edital]],tEditais[Edital],0)),"")</f>
        <v>46310.333333333336</v>
      </c>
      <c r="J1884" t="str">
        <f>IFERROR(INDEX(tProdutos[Classe],MATCH(tItens[[#This Row],[Produto]],tProdutos[Produto],0)),"produto não cadastrado")</f>
        <v>FILA REBASE</v>
      </c>
      <c r="K1884" s="12">
        <f>tItens[[#This Row],[Qtd]]*tItens[[#This Row],[Vlr unit]]</f>
        <v>4705.5</v>
      </c>
      <c r="L1884" s="6">
        <f>IFERROR(IF(INDEX(tProdutos[Desconto homologado],MATCH(tItens[[#This Row],[Produto]],tProdutos[Produto],0))="",DescontoPadrao,INDEX(tProdutos[Desconto homologado],MATCH(tItens[[#This Row],[Produto]],tProdutos[Produto],0))),DescontoPadrao)</f>
        <v>0.44096385542168698</v>
      </c>
      <c r="M1884" s="12">
        <f>tItens[[#This Row],[Valor]]*(1-tItens[[#This Row],[Desconto]])</f>
        <v>2630.5445783132518</v>
      </c>
      <c r="N1884" t="str">
        <f>IFERROR(INDEX(tProdutos[Foco],MATCH(tItens[[#This Row],[Produto]],tProdutos[Produto],0)),"Não")</f>
        <v>Não</v>
      </c>
      <c r="O1884" t="str">
        <f>IFERROR(INDEX(tEditais[SRP],MATCH(tItens[[#This Row],[Edital]],tEditais[Edital],0)),"Não")</f>
        <v>Não</v>
      </c>
      <c r="P1884" s="4">
        <f>IF(COUNTIFS(INDEX(tItens[Edital],1):tItens[[#This Row],[Edital]],tItens[[#This Row],[Edital]],INDEX(tItens[Produto],1):tItens[[#This Row],[Produto]],tItens[[#This Row],[Produto]])=1,1,0)</f>
        <v>0</v>
      </c>
    </row>
    <row r="1885" spans="1:16" x14ac:dyDescent="0.25">
      <c r="A1885" t="s">
        <v>1193</v>
      </c>
      <c r="B1885">
        <v>151</v>
      </c>
      <c r="C1885" t="s">
        <v>4930</v>
      </c>
      <c r="D1885" t="s">
        <v>461</v>
      </c>
      <c r="E1885" s="13">
        <v>100</v>
      </c>
      <c r="F1885" s="12">
        <v>31.7</v>
      </c>
      <c r="G1885" t="str">
        <f>IFERROR(INDEX(tEditais[Órgão],MATCH(tItens[[#This Row],[Edital]],tEditais[Edital],0)),"")</f>
        <v>MUNICIPIO DE CACHOEIRA DOURADA</v>
      </c>
      <c r="H1885" t="str">
        <f>IFERROR(INDEX(tEditais[UF],MATCH(tItens[[#This Row],[Edital]],tEditais[Edital],0)),"")</f>
        <v>GO</v>
      </c>
      <c r="I1885" s="11">
        <f>IFERROR(INDEX(tEditais[Encerramento],MATCH(tItens[[#This Row],[Edital]],tEditais[Edital],0)),"")</f>
        <v>46310.333333333336</v>
      </c>
      <c r="J1885" t="str">
        <f>IFERROR(INDEX(tProdutos[Classe],MATCH(tItens[[#This Row],[Produto]],tProdutos[Produto],0)),"produto não cadastrado")</f>
        <v>FILA REBASE</v>
      </c>
      <c r="K1885" s="12">
        <f>tItens[[#This Row],[Qtd]]*tItens[[#This Row],[Vlr unit]]</f>
        <v>3170</v>
      </c>
      <c r="L1885" s="6">
        <f>IFERROR(IF(INDEX(tProdutos[Desconto homologado],MATCH(tItens[[#This Row],[Produto]],tProdutos[Produto],0))="",DescontoPadrao,INDEX(tProdutos[Desconto homologado],MATCH(tItens[[#This Row],[Produto]],tProdutos[Produto],0))),DescontoPadrao)</f>
        <v>0.44096385542168698</v>
      </c>
      <c r="M1885" s="12">
        <f>tItens[[#This Row],[Valor]]*(1-tItens[[#This Row],[Desconto]])</f>
        <v>1772.1445783132522</v>
      </c>
      <c r="N1885" t="str">
        <f>IFERROR(INDEX(tProdutos[Foco],MATCH(tItens[[#This Row],[Produto]],tProdutos[Produto],0)),"Não")</f>
        <v>Não</v>
      </c>
      <c r="O1885" t="str">
        <f>IFERROR(INDEX(tEditais[SRP],MATCH(tItens[[#This Row],[Edital]],tEditais[Edital],0)),"Não")</f>
        <v>Não</v>
      </c>
      <c r="P1885" s="4">
        <f>IF(COUNTIFS(INDEX(tItens[Edital],1):tItens[[#This Row],[Edital]],tItens[[#This Row],[Edital]],INDEX(tItens[Produto],1):tItens[[#This Row],[Produto]],tItens[[#This Row],[Produto]])=1,1,0)</f>
        <v>0</v>
      </c>
    </row>
    <row r="1886" spans="1:16" x14ac:dyDescent="0.25">
      <c r="A1886" t="s">
        <v>1193</v>
      </c>
      <c r="B1886">
        <v>160</v>
      </c>
      <c r="C1886" t="s">
        <v>4931</v>
      </c>
      <c r="D1886" t="s">
        <v>142</v>
      </c>
      <c r="E1886" s="13">
        <v>1000</v>
      </c>
      <c r="F1886" s="12">
        <v>23.24</v>
      </c>
      <c r="G1886" t="str">
        <f>IFERROR(INDEX(tEditais[Órgão],MATCH(tItens[[#This Row],[Edital]],tEditais[Edital],0)),"")</f>
        <v>MUNICIPIO DE CACHOEIRA DOURADA</v>
      </c>
      <c r="H1886" t="str">
        <f>IFERROR(INDEX(tEditais[UF],MATCH(tItens[[#This Row],[Edital]],tEditais[Edital],0)),"")</f>
        <v>GO</v>
      </c>
      <c r="I1886" s="11">
        <f>IFERROR(INDEX(tEditais[Encerramento],MATCH(tItens[[#This Row],[Edital]],tEditais[Edital],0)),"")</f>
        <v>46310.333333333336</v>
      </c>
      <c r="J1886" t="str">
        <f>IFERROR(INDEX(tProdutos[Classe],MATCH(tItens[[#This Row],[Produto]],tProdutos[Produto],0)),"produto não cadastrado")</f>
        <v>DISPUTADO</v>
      </c>
      <c r="K1886" s="12">
        <f>tItens[[#This Row],[Qtd]]*tItens[[#This Row],[Vlr unit]]</f>
        <v>23240</v>
      </c>
      <c r="L1886" s="6">
        <f>IFERROR(IF(INDEX(tProdutos[Desconto homologado],MATCH(tItens[[#This Row],[Produto]],tProdutos[Produto],0))="",DescontoPadrao,INDEX(tProdutos[Desconto homologado],MATCH(tItens[[#This Row],[Produto]],tProdutos[Produto],0))),DescontoPadrao)</f>
        <v>0.37093619495691699</v>
      </c>
      <c r="M1886" s="12">
        <f>tItens[[#This Row],[Valor]]*(1-tItens[[#This Row],[Desconto]])</f>
        <v>14619.442829201249</v>
      </c>
      <c r="N1886" t="str">
        <f>IFERROR(INDEX(tProdutos[Foco],MATCH(tItens[[#This Row],[Produto]],tProdutos[Produto],0)),"Não")</f>
        <v>Não</v>
      </c>
      <c r="O1886" t="str">
        <f>IFERROR(INDEX(tEditais[SRP],MATCH(tItens[[#This Row],[Edital]],tEditais[Edital],0)),"Não")</f>
        <v>Não</v>
      </c>
      <c r="P1886" s="4">
        <f>IF(COUNTIFS(INDEX(tItens[Edital],1):tItens[[#This Row],[Edital]],tItens[[#This Row],[Edital]],INDEX(tItens[Produto],1):tItens[[#This Row],[Produto]],tItens[[#This Row],[Produto]])=1,1,0)</f>
        <v>1</v>
      </c>
    </row>
    <row r="1887" spans="1:16" x14ac:dyDescent="0.25">
      <c r="A1887" t="s">
        <v>1193</v>
      </c>
      <c r="B1887">
        <v>163</v>
      </c>
      <c r="C1887" t="s">
        <v>4932</v>
      </c>
      <c r="D1887" t="s">
        <v>77</v>
      </c>
      <c r="E1887" s="13">
        <v>10000</v>
      </c>
      <c r="F1887" s="12">
        <v>8.08</v>
      </c>
      <c r="G1887" t="str">
        <f>IFERROR(INDEX(tEditais[Órgão],MATCH(tItens[[#This Row],[Edital]],tEditais[Edital],0)),"")</f>
        <v>MUNICIPIO DE CACHOEIRA DOURADA</v>
      </c>
      <c r="H1887" t="str">
        <f>IFERROR(INDEX(tEditais[UF],MATCH(tItens[[#This Row],[Edital]],tEditais[Edital],0)),"")</f>
        <v>GO</v>
      </c>
      <c r="I1887" s="11">
        <f>IFERROR(INDEX(tEditais[Encerramento],MATCH(tItens[[#This Row],[Edital]],tEditais[Edital],0)),"")</f>
        <v>46310.333333333336</v>
      </c>
      <c r="J1887" t="str">
        <f>IFERROR(INDEX(tProdutos[Classe],MATCH(tItens[[#This Row],[Produto]],tProdutos[Produto],0)),"produto não cadastrado")</f>
        <v>DISPUTADO</v>
      </c>
      <c r="K1887" s="12">
        <f>tItens[[#This Row],[Qtd]]*tItens[[#This Row],[Vlr unit]]</f>
        <v>80800</v>
      </c>
      <c r="L1887" s="6">
        <f>IFERROR(IF(INDEX(tProdutos[Desconto homologado],MATCH(tItens[[#This Row],[Produto]],tProdutos[Produto],0))="",DescontoPadrao,INDEX(tProdutos[Desconto homologado],MATCH(tItens[[#This Row],[Produto]],tProdutos[Produto],0))),DescontoPadrao)</f>
        <v>0.33</v>
      </c>
      <c r="M1887" s="12">
        <f>tItens[[#This Row],[Valor]]*(1-tItens[[#This Row],[Desconto]])</f>
        <v>54135.999999999993</v>
      </c>
      <c r="N1887" t="str">
        <f>IFERROR(INDEX(tProdutos[Foco],MATCH(tItens[[#This Row],[Produto]],tProdutos[Produto],0)),"Não")</f>
        <v>Sim</v>
      </c>
      <c r="O1887" t="str">
        <f>IFERROR(INDEX(tEditais[SRP],MATCH(tItens[[#This Row],[Edital]],tEditais[Edital],0)),"Não")</f>
        <v>Não</v>
      </c>
      <c r="P1887" s="4">
        <f>IF(COUNTIFS(INDEX(tItens[Edital],1):tItens[[#This Row],[Edital]],tItens[[#This Row],[Edital]],INDEX(tItens[Produto],1):tItens[[#This Row],[Produto]],tItens[[#This Row],[Produto]])=1,1,0)</f>
        <v>1</v>
      </c>
    </row>
    <row r="1888" spans="1:16" x14ac:dyDescent="0.25">
      <c r="A1888" t="s">
        <v>1193</v>
      </c>
      <c r="B1888">
        <v>166</v>
      </c>
      <c r="C1888" t="s">
        <v>4933</v>
      </c>
      <c r="D1888" t="s">
        <v>345</v>
      </c>
      <c r="E1888" s="13">
        <v>2000</v>
      </c>
      <c r="F1888" s="12">
        <v>4.62</v>
      </c>
      <c r="G1888" t="str">
        <f>IFERROR(INDEX(tEditais[Órgão],MATCH(tItens[[#This Row],[Edital]],tEditais[Edital],0)),"")</f>
        <v>MUNICIPIO DE CACHOEIRA DOURADA</v>
      </c>
      <c r="H1888" t="str">
        <f>IFERROR(INDEX(tEditais[UF],MATCH(tItens[[#This Row],[Edital]],tEditais[Edital],0)),"")</f>
        <v>GO</v>
      </c>
      <c r="I1888" s="11">
        <f>IFERROR(INDEX(tEditais[Encerramento],MATCH(tItens[[#This Row],[Edital]],tEditais[Edital],0)),"")</f>
        <v>46310.333333333336</v>
      </c>
      <c r="J1888" t="str">
        <f>IFERROR(INDEX(tProdutos[Classe],MATCH(tItens[[#This Row],[Produto]],tProdutos[Produto],0)),"produto não cadastrado")</f>
        <v>FORA</v>
      </c>
      <c r="K1888" s="12">
        <f>tItens[[#This Row],[Qtd]]*tItens[[#This Row],[Vlr unit]]</f>
        <v>9240</v>
      </c>
      <c r="L1888" s="6">
        <f>IFERROR(IF(INDEX(tProdutos[Desconto homologado],MATCH(tItens[[#This Row],[Produto]],tProdutos[Produto],0))="",DescontoPadrao,INDEX(tProdutos[Desconto homologado],MATCH(tItens[[#This Row],[Produto]],tProdutos[Produto],0))),DescontoPadrao)</f>
        <v>0.412394275616498</v>
      </c>
      <c r="M1888" s="12">
        <f>tItens[[#This Row],[Valor]]*(1-tItens[[#This Row],[Desconto]])</f>
        <v>5429.4768933035584</v>
      </c>
      <c r="N1888" t="str">
        <f>IFERROR(INDEX(tProdutos[Foco],MATCH(tItens[[#This Row],[Produto]],tProdutos[Produto],0)),"Não")</f>
        <v>Não</v>
      </c>
      <c r="O1888" t="str">
        <f>IFERROR(INDEX(tEditais[SRP],MATCH(tItens[[#This Row],[Edital]],tEditais[Edital],0)),"Não")</f>
        <v>Não</v>
      </c>
      <c r="P1888" s="4">
        <f>IF(COUNTIFS(INDEX(tItens[Edital],1):tItens[[#This Row],[Edital]],tItens[[#This Row],[Edital]],INDEX(tItens[Produto],1):tItens[[#This Row],[Produto]],tItens[[#This Row],[Produto]])=1,1,0)</f>
        <v>1</v>
      </c>
    </row>
    <row r="1889" spans="1:16" x14ac:dyDescent="0.25">
      <c r="A1889" t="s">
        <v>1193</v>
      </c>
      <c r="B1889">
        <v>167</v>
      </c>
      <c r="C1889" t="s">
        <v>4934</v>
      </c>
      <c r="D1889" t="s">
        <v>345</v>
      </c>
      <c r="E1889" s="13">
        <v>1000</v>
      </c>
      <c r="F1889" s="12">
        <v>15.87</v>
      </c>
      <c r="G1889" t="str">
        <f>IFERROR(INDEX(tEditais[Órgão],MATCH(tItens[[#This Row],[Edital]],tEditais[Edital],0)),"")</f>
        <v>MUNICIPIO DE CACHOEIRA DOURADA</v>
      </c>
      <c r="H1889" t="str">
        <f>IFERROR(INDEX(tEditais[UF],MATCH(tItens[[#This Row],[Edital]],tEditais[Edital],0)),"")</f>
        <v>GO</v>
      </c>
      <c r="I1889" s="11">
        <f>IFERROR(INDEX(tEditais[Encerramento],MATCH(tItens[[#This Row],[Edital]],tEditais[Edital],0)),"")</f>
        <v>46310.333333333336</v>
      </c>
      <c r="J1889" t="str">
        <f>IFERROR(INDEX(tProdutos[Classe],MATCH(tItens[[#This Row],[Produto]],tProdutos[Produto],0)),"produto não cadastrado")</f>
        <v>FORA</v>
      </c>
      <c r="K1889" s="12">
        <f>tItens[[#This Row],[Qtd]]*tItens[[#This Row],[Vlr unit]]</f>
        <v>15870</v>
      </c>
      <c r="L1889" s="6">
        <f>IFERROR(IF(INDEX(tProdutos[Desconto homologado],MATCH(tItens[[#This Row],[Produto]],tProdutos[Produto],0))="",DescontoPadrao,INDEX(tProdutos[Desconto homologado],MATCH(tItens[[#This Row],[Produto]],tProdutos[Produto],0))),DescontoPadrao)</f>
        <v>0.412394275616498</v>
      </c>
      <c r="M1889" s="12">
        <f>tItens[[#This Row],[Valor]]*(1-tItens[[#This Row],[Desconto]])</f>
        <v>9325.3028459661764</v>
      </c>
      <c r="N1889" t="str">
        <f>IFERROR(INDEX(tProdutos[Foco],MATCH(tItens[[#This Row],[Produto]],tProdutos[Produto],0)),"Não")</f>
        <v>Não</v>
      </c>
      <c r="O1889" t="str">
        <f>IFERROR(INDEX(tEditais[SRP],MATCH(tItens[[#This Row],[Edital]],tEditais[Edital],0)),"Não")</f>
        <v>Não</v>
      </c>
      <c r="P1889" s="4">
        <f>IF(COUNTIFS(INDEX(tItens[Edital],1):tItens[[#This Row],[Edital]],tItens[[#This Row],[Edital]],INDEX(tItens[Produto],1):tItens[[#This Row],[Produto]],tItens[[#This Row],[Produto]])=1,1,0)</f>
        <v>0</v>
      </c>
    </row>
    <row r="1890" spans="1:16" x14ac:dyDescent="0.25">
      <c r="A1890" t="s">
        <v>1193</v>
      </c>
      <c r="B1890">
        <v>168</v>
      </c>
      <c r="C1890" t="s">
        <v>4935</v>
      </c>
      <c r="D1890" t="s">
        <v>345</v>
      </c>
      <c r="E1890" s="13">
        <v>2000</v>
      </c>
      <c r="F1890" s="12">
        <v>8.6300000000000008</v>
      </c>
      <c r="G1890" t="str">
        <f>IFERROR(INDEX(tEditais[Órgão],MATCH(tItens[[#This Row],[Edital]],tEditais[Edital],0)),"")</f>
        <v>MUNICIPIO DE CACHOEIRA DOURADA</v>
      </c>
      <c r="H1890" t="str">
        <f>IFERROR(INDEX(tEditais[UF],MATCH(tItens[[#This Row],[Edital]],tEditais[Edital],0)),"")</f>
        <v>GO</v>
      </c>
      <c r="I1890" s="11">
        <f>IFERROR(INDEX(tEditais[Encerramento],MATCH(tItens[[#This Row],[Edital]],tEditais[Edital],0)),"")</f>
        <v>46310.333333333336</v>
      </c>
      <c r="J1890" t="str">
        <f>IFERROR(INDEX(tProdutos[Classe],MATCH(tItens[[#This Row],[Produto]],tProdutos[Produto],0)),"produto não cadastrado")</f>
        <v>FORA</v>
      </c>
      <c r="K1890" s="12">
        <f>tItens[[#This Row],[Qtd]]*tItens[[#This Row],[Vlr unit]]</f>
        <v>17260</v>
      </c>
      <c r="L1890" s="6">
        <f>IFERROR(IF(INDEX(tProdutos[Desconto homologado],MATCH(tItens[[#This Row],[Produto]],tProdutos[Produto],0))="",DescontoPadrao,INDEX(tProdutos[Desconto homologado],MATCH(tItens[[#This Row],[Produto]],tProdutos[Produto],0))),DescontoPadrao)</f>
        <v>0.412394275616498</v>
      </c>
      <c r="M1890" s="12">
        <f>tItens[[#This Row],[Valor]]*(1-tItens[[#This Row],[Desconto]])</f>
        <v>10142.074802859244</v>
      </c>
      <c r="N1890" t="str">
        <f>IFERROR(INDEX(tProdutos[Foco],MATCH(tItens[[#This Row],[Produto]],tProdutos[Produto],0)),"Não")</f>
        <v>Não</v>
      </c>
      <c r="O1890" t="str">
        <f>IFERROR(INDEX(tEditais[SRP],MATCH(tItens[[#This Row],[Edital]],tEditais[Edital],0)),"Não")</f>
        <v>Não</v>
      </c>
      <c r="P1890" s="4">
        <f>IF(COUNTIFS(INDEX(tItens[Edital],1):tItens[[#This Row],[Edital]],tItens[[#This Row],[Edital]],INDEX(tItens[Produto],1):tItens[[#This Row],[Produto]],tItens[[#This Row],[Produto]])=1,1,0)</f>
        <v>0</v>
      </c>
    </row>
    <row r="1891" spans="1:16" x14ac:dyDescent="0.25">
      <c r="A1891" t="s">
        <v>1193</v>
      </c>
      <c r="B1891">
        <v>169</v>
      </c>
      <c r="C1891" t="s">
        <v>4936</v>
      </c>
      <c r="D1891" t="s">
        <v>345</v>
      </c>
      <c r="E1891" s="13">
        <v>200</v>
      </c>
      <c r="F1891" s="12">
        <v>7.84</v>
      </c>
      <c r="G1891" t="str">
        <f>IFERROR(INDEX(tEditais[Órgão],MATCH(tItens[[#This Row],[Edital]],tEditais[Edital],0)),"")</f>
        <v>MUNICIPIO DE CACHOEIRA DOURADA</v>
      </c>
      <c r="H1891" t="str">
        <f>IFERROR(INDEX(tEditais[UF],MATCH(tItens[[#This Row],[Edital]],tEditais[Edital],0)),"")</f>
        <v>GO</v>
      </c>
      <c r="I1891" s="11">
        <f>IFERROR(INDEX(tEditais[Encerramento],MATCH(tItens[[#This Row],[Edital]],tEditais[Edital],0)),"")</f>
        <v>46310.333333333336</v>
      </c>
      <c r="J1891" t="str">
        <f>IFERROR(INDEX(tProdutos[Classe],MATCH(tItens[[#This Row],[Produto]],tProdutos[Produto],0)),"produto não cadastrado")</f>
        <v>FORA</v>
      </c>
      <c r="K1891" s="12">
        <f>tItens[[#This Row],[Qtd]]*tItens[[#This Row],[Vlr unit]]</f>
        <v>1568</v>
      </c>
      <c r="L1891" s="6">
        <f>IFERROR(IF(INDEX(tProdutos[Desconto homologado],MATCH(tItens[[#This Row],[Produto]],tProdutos[Produto],0))="",DescontoPadrao,INDEX(tProdutos[Desconto homologado],MATCH(tItens[[#This Row],[Produto]],tProdutos[Produto],0))),DescontoPadrao)</f>
        <v>0.412394275616498</v>
      </c>
      <c r="M1891" s="12">
        <f>tItens[[#This Row],[Valor]]*(1-tItens[[#This Row],[Desconto]])</f>
        <v>921.3657758333311</v>
      </c>
      <c r="N1891" t="str">
        <f>IFERROR(INDEX(tProdutos[Foco],MATCH(tItens[[#This Row],[Produto]],tProdutos[Produto],0)),"Não")</f>
        <v>Não</v>
      </c>
      <c r="O1891" t="str">
        <f>IFERROR(INDEX(tEditais[SRP],MATCH(tItens[[#This Row],[Edital]],tEditais[Edital],0)),"Não")</f>
        <v>Não</v>
      </c>
      <c r="P1891" s="4">
        <f>IF(COUNTIFS(INDEX(tItens[Edital],1):tItens[[#This Row],[Edital]],tItens[[#This Row],[Edital]],INDEX(tItens[Produto],1):tItens[[#This Row],[Produto]],tItens[[#This Row],[Produto]])=1,1,0)</f>
        <v>0</v>
      </c>
    </row>
    <row r="1892" spans="1:16" x14ac:dyDescent="0.25">
      <c r="A1892" t="s">
        <v>1193</v>
      </c>
      <c r="B1892">
        <v>170</v>
      </c>
      <c r="C1892" t="s">
        <v>4937</v>
      </c>
      <c r="D1892" t="s">
        <v>339</v>
      </c>
      <c r="E1892" s="13">
        <v>200</v>
      </c>
      <c r="F1892" s="12">
        <v>5.76</v>
      </c>
      <c r="G1892" t="str">
        <f>IFERROR(INDEX(tEditais[Órgão],MATCH(tItens[[#This Row],[Edital]],tEditais[Edital],0)),"")</f>
        <v>MUNICIPIO DE CACHOEIRA DOURADA</v>
      </c>
      <c r="H1892" t="str">
        <f>IFERROR(INDEX(tEditais[UF],MATCH(tItens[[#This Row],[Edital]],tEditais[Edital],0)),"")</f>
        <v>GO</v>
      </c>
      <c r="I1892" s="11">
        <f>IFERROR(INDEX(tEditais[Encerramento],MATCH(tItens[[#This Row],[Edital]],tEditais[Edital],0)),"")</f>
        <v>46310.333333333336</v>
      </c>
      <c r="J1892" t="str">
        <f>IFERROR(INDEX(tProdutos[Classe],MATCH(tItens[[#This Row],[Produto]],tProdutos[Produto],0)),"produto não cadastrado")</f>
        <v>FORA</v>
      </c>
      <c r="K1892" s="12">
        <f>tItens[[#This Row],[Qtd]]*tItens[[#This Row],[Vlr unit]]</f>
        <v>1152</v>
      </c>
      <c r="L1892" s="6">
        <f>IFERROR(IF(INDEX(tProdutos[Desconto homologado],MATCH(tItens[[#This Row],[Produto]],tProdutos[Produto],0))="",DescontoPadrao,INDEX(tProdutos[Desconto homologado],MATCH(tItens[[#This Row],[Produto]],tProdutos[Produto],0))),DescontoPadrao)</f>
        <v>0.35388629091804102</v>
      </c>
      <c r="M1892" s="12">
        <f>tItens[[#This Row],[Valor]]*(1-tItens[[#This Row],[Desconto]])</f>
        <v>744.32299286241675</v>
      </c>
      <c r="N1892" t="str">
        <f>IFERROR(INDEX(tProdutos[Foco],MATCH(tItens[[#This Row],[Produto]],tProdutos[Produto],0)),"Não")</f>
        <v>Não</v>
      </c>
      <c r="O1892" t="str">
        <f>IFERROR(INDEX(tEditais[SRP],MATCH(tItens[[#This Row],[Edital]],tEditais[Edital],0)),"Não")</f>
        <v>Não</v>
      </c>
      <c r="P1892" s="4">
        <f>IF(COUNTIFS(INDEX(tItens[Edital],1):tItens[[#This Row],[Edital]],tItens[[#This Row],[Edital]],INDEX(tItens[Produto],1):tItens[[#This Row],[Produto]],tItens[[#This Row],[Produto]])=1,1,0)</f>
        <v>1</v>
      </c>
    </row>
    <row r="1893" spans="1:16" x14ac:dyDescent="0.25">
      <c r="A1893" t="s">
        <v>1193</v>
      </c>
      <c r="B1893">
        <v>171</v>
      </c>
      <c r="C1893" t="s">
        <v>4938</v>
      </c>
      <c r="D1893" t="s">
        <v>339</v>
      </c>
      <c r="E1893" s="13">
        <v>200</v>
      </c>
      <c r="F1893" s="12">
        <v>6.22</v>
      </c>
      <c r="G1893" t="str">
        <f>IFERROR(INDEX(tEditais[Órgão],MATCH(tItens[[#This Row],[Edital]],tEditais[Edital],0)),"")</f>
        <v>MUNICIPIO DE CACHOEIRA DOURADA</v>
      </c>
      <c r="H1893" t="str">
        <f>IFERROR(INDEX(tEditais[UF],MATCH(tItens[[#This Row],[Edital]],tEditais[Edital],0)),"")</f>
        <v>GO</v>
      </c>
      <c r="I1893" s="11">
        <f>IFERROR(INDEX(tEditais[Encerramento],MATCH(tItens[[#This Row],[Edital]],tEditais[Edital],0)),"")</f>
        <v>46310.333333333336</v>
      </c>
      <c r="J1893" t="str">
        <f>IFERROR(INDEX(tProdutos[Classe],MATCH(tItens[[#This Row],[Produto]],tProdutos[Produto],0)),"produto não cadastrado")</f>
        <v>FORA</v>
      </c>
      <c r="K1893" s="12">
        <f>tItens[[#This Row],[Qtd]]*tItens[[#This Row],[Vlr unit]]</f>
        <v>1244</v>
      </c>
      <c r="L1893" s="6">
        <f>IFERROR(IF(INDEX(tProdutos[Desconto homologado],MATCH(tItens[[#This Row],[Produto]],tProdutos[Produto],0))="",DescontoPadrao,INDEX(tProdutos[Desconto homologado],MATCH(tItens[[#This Row],[Produto]],tProdutos[Produto],0))),DescontoPadrao)</f>
        <v>0.35388629091804102</v>
      </c>
      <c r="M1893" s="12">
        <f>tItens[[#This Row],[Valor]]*(1-tItens[[#This Row],[Desconto]])</f>
        <v>803.76545409795699</v>
      </c>
      <c r="N1893" t="str">
        <f>IFERROR(INDEX(tProdutos[Foco],MATCH(tItens[[#This Row],[Produto]],tProdutos[Produto],0)),"Não")</f>
        <v>Não</v>
      </c>
      <c r="O1893" t="str">
        <f>IFERROR(INDEX(tEditais[SRP],MATCH(tItens[[#This Row],[Edital]],tEditais[Edital],0)),"Não")</f>
        <v>Não</v>
      </c>
      <c r="P1893" s="4">
        <f>IF(COUNTIFS(INDEX(tItens[Edital],1):tItens[[#This Row],[Edital]],tItens[[#This Row],[Edital]],INDEX(tItens[Produto],1):tItens[[#This Row],[Produto]],tItens[[#This Row],[Produto]])=1,1,0)</f>
        <v>0</v>
      </c>
    </row>
    <row r="1894" spans="1:16" x14ac:dyDescent="0.25">
      <c r="A1894" t="s">
        <v>1193</v>
      </c>
      <c r="B1894">
        <v>172</v>
      </c>
      <c r="C1894" t="s">
        <v>4939</v>
      </c>
      <c r="D1894" t="s">
        <v>339</v>
      </c>
      <c r="E1894" s="13">
        <v>200</v>
      </c>
      <c r="F1894" s="12">
        <v>5.33</v>
      </c>
      <c r="G1894" t="str">
        <f>IFERROR(INDEX(tEditais[Órgão],MATCH(tItens[[#This Row],[Edital]],tEditais[Edital],0)),"")</f>
        <v>MUNICIPIO DE CACHOEIRA DOURADA</v>
      </c>
      <c r="H1894" t="str">
        <f>IFERROR(INDEX(tEditais[UF],MATCH(tItens[[#This Row],[Edital]],tEditais[Edital],0)),"")</f>
        <v>GO</v>
      </c>
      <c r="I1894" s="11">
        <f>IFERROR(INDEX(tEditais[Encerramento],MATCH(tItens[[#This Row],[Edital]],tEditais[Edital],0)),"")</f>
        <v>46310.333333333336</v>
      </c>
      <c r="J1894" t="str">
        <f>IFERROR(INDEX(tProdutos[Classe],MATCH(tItens[[#This Row],[Produto]],tProdutos[Produto],0)),"produto não cadastrado")</f>
        <v>FORA</v>
      </c>
      <c r="K1894" s="12">
        <f>tItens[[#This Row],[Qtd]]*tItens[[#This Row],[Vlr unit]]</f>
        <v>1066</v>
      </c>
      <c r="L1894" s="6">
        <f>IFERROR(IF(INDEX(tProdutos[Desconto homologado],MATCH(tItens[[#This Row],[Produto]],tProdutos[Produto],0))="",DescontoPadrao,INDEX(tProdutos[Desconto homologado],MATCH(tItens[[#This Row],[Produto]],tProdutos[Produto],0))),DescontoPadrao)</f>
        <v>0.35388629091804102</v>
      </c>
      <c r="M1894" s="12">
        <f>tItens[[#This Row],[Valor]]*(1-tItens[[#This Row],[Desconto]])</f>
        <v>688.75721388136822</v>
      </c>
      <c r="N1894" t="str">
        <f>IFERROR(INDEX(tProdutos[Foco],MATCH(tItens[[#This Row],[Produto]],tProdutos[Produto],0)),"Não")</f>
        <v>Não</v>
      </c>
      <c r="O1894" t="str">
        <f>IFERROR(INDEX(tEditais[SRP],MATCH(tItens[[#This Row],[Edital]],tEditais[Edital],0)),"Não")</f>
        <v>Não</v>
      </c>
      <c r="P1894" s="4">
        <f>IF(COUNTIFS(INDEX(tItens[Edital],1):tItens[[#This Row],[Edital]],tItens[[#This Row],[Edital]],INDEX(tItens[Produto],1):tItens[[#This Row],[Produto]],tItens[[#This Row],[Produto]])=1,1,0)</f>
        <v>0</v>
      </c>
    </row>
    <row r="1895" spans="1:16" x14ac:dyDescent="0.25">
      <c r="A1895" t="s">
        <v>1193</v>
      </c>
      <c r="B1895">
        <v>173</v>
      </c>
      <c r="C1895" t="s">
        <v>4940</v>
      </c>
      <c r="D1895" t="s">
        <v>339</v>
      </c>
      <c r="E1895" s="13">
        <v>200</v>
      </c>
      <c r="F1895" s="12">
        <v>5.22</v>
      </c>
      <c r="G1895" t="str">
        <f>IFERROR(INDEX(tEditais[Órgão],MATCH(tItens[[#This Row],[Edital]],tEditais[Edital],0)),"")</f>
        <v>MUNICIPIO DE CACHOEIRA DOURADA</v>
      </c>
      <c r="H1895" t="str">
        <f>IFERROR(INDEX(tEditais[UF],MATCH(tItens[[#This Row],[Edital]],tEditais[Edital],0)),"")</f>
        <v>GO</v>
      </c>
      <c r="I1895" s="11">
        <f>IFERROR(INDEX(tEditais[Encerramento],MATCH(tItens[[#This Row],[Edital]],tEditais[Edital],0)),"")</f>
        <v>46310.333333333336</v>
      </c>
      <c r="J1895" t="str">
        <f>IFERROR(INDEX(tProdutos[Classe],MATCH(tItens[[#This Row],[Produto]],tProdutos[Produto],0)),"produto não cadastrado")</f>
        <v>FORA</v>
      </c>
      <c r="K1895" s="12">
        <f>tItens[[#This Row],[Qtd]]*tItens[[#This Row],[Vlr unit]]</f>
        <v>1044</v>
      </c>
      <c r="L1895" s="6">
        <f>IFERROR(IF(INDEX(tProdutos[Desconto homologado],MATCH(tItens[[#This Row],[Produto]],tProdutos[Produto],0))="",DescontoPadrao,INDEX(tProdutos[Desconto homologado],MATCH(tItens[[#This Row],[Produto]],tProdutos[Produto],0))),DescontoPadrao)</f>
        <v>0.35388629091804102</v>
      </c>
      <c r="M1895" s="12">
        <f>tItens[[#This Row],[Valor]]*(1-tItens[[#This Row],[Desconto]])</f>
        <v>674.54271228156517</v>
      </c>
      <c r="N1895" t="str">
        <f>IFERROR(INDEX(tProdutos[Foco],MATCH(tItens[[#This Row],[Produto]],tProdutos[Produto],0)),"Não")</f>
        <v>Não</v>
      </c>
      <c r="O1895" t="str">
        <f>IFERROR(INDEX(tEditais[SRP],MATCH(tItens[[#This Row],[Edital]],tEditais[Edital],0)),"Não")</f>
        <v>Não</v>
      </c>
      <c r="P1895" s="4">
        <f>IF(COUNTIFS(INDEX(tItens[Edital],1):tItens[[#This Row],[Edital]],tItens[[#This Row],[Edital]],INDEX(tItens[Produto],1):tItens[[#This Row],[Produto]],tItens[[#This Row],[Produto]])=1,1,0)</f>
        <v>0</v>
      </c>
    </row>
    <row r="1896" spans="1:16" x14ac:dyDescent="0.25">
      <c r="A1896" t="s">
        <v>1193</v>
      </c>
      <c r="B1896">
        <v>174</v>
      </c>
      <c r="C1896" t="s">
        <v>4941</v>
      </c>
      <c r="D1896" t="s">
        <v>349</v>
      </c>
      <c r="E1896" s="13">
        <v>3000</v>
      </c>
      <c r="F1896" s="12">
        <v>7.09</v>
      </c>
      <c r="G1896" t="str">
        <f>IFERROR(INDEX(tEditais[Órgão],MATCH(tItens[[#This Row],[Edital]],tEditais[Edital],0)),"")</f>
        <v>MUNICIPIO DE CACHOEIRA DOURADA</v>
      </c>
      <c r="H1896" t="str">
        <f>IFERROR(INDEX(tEditais[UF],MATCH(tItens[[#This Row],[Edital]],tEditais[Edital],0)),"")</f>
        <v>GO</v>
      </c>
      <c r="I1896" s="11">
        <f>IFERROR(INDEX(tEditais[Encerramento],MATCH(tItens[[#This Row],[Edital]],tEditais[Edital],0)),"")</f>
        <v>46310.333333333336</v>
      </c>
      <c r="J1896" t="str">
        <f>IFERROR(INDEX(tProdutos[Classe],MATCH(tItens[[#This Row],[Produto]],tProdutos[Produto],0)),"produto não cadastrado")</f>
        <v>FORA</v>
      </c>
      <c r="K1896" s="12">
        <f>tItens[[#This Row],[Qtd]]*tItens[[#This Row],[Vlr unit]]</f>
        <v>21270</v>
      </c>
      <c r="L1896" s="6">
        <f>IFERROR(IF(INDEX(tProdutos[Desconto homologado],MATCH(tItens[[#This Row],[Produto]],tProdutos[Produto],0))="",DescontoPadrao,INDEX(tProdutos[Desconto homologado],MATCH(tItens[[#This Row],[Produto]],tProdutos[Produto],0))),DescontoPadrao)</f>
        <v>0.38826228254635797</v>
      </c>
      <c r="M1896" s="12">
        <f>tItens[[#This Row],[Valor]]*(1-tItens[[#This Row],[Desconto]])</f>
        <v>13011.661250238965</v>
      </c>
      <c r="N1896" t="str">
        <f>IFERROR(INDEX(tProdutos[Foco],MATCH(tItens[[#This Row],[Produto]],tProdutos[Produto],0)),"Não")</f>
        <v>Não</v>
      </c>
      <c r="O1896" t="str">
        <f>IFERROR(INDEX(tEditais[SRP],MATCH(tItens[[#This Row],[Edital]],tEditais[Edital],0)),"Não")</f>
        <v>Não</v>
      </c>
      <c r="P1896" s="4">
        <f>IF(COUNTIFS(INDEX(tItens[Edital],1):tItens[[#This Row],[Edital]],tItens[[#This Row],[Edital]],INDEX(tItens[Produto],1):tItens[[#This Row],[Produto]],tItens[[#This Row],[Produto]])=1,1,0)</f>
        <v>1</v>
      </c>
    </row>
    <row r="1897" spans="1:16" x14ac:dyDescent="0.25">
      <c r="A1897" t="s">
        <v>1193</v>
      </c>
      <c r="B1897">
        <v>177</v>
      </c>
      <c r="C1897" t="s">
        <v>4942</v>
      </c>
      <c r="D1897" t="s">
        <v>512</v>
      </c>
      <c r="E1897" s="13">
        <v>50</v>
      </c>
      <c r="F1897" s="12">
        <v>11.93</v>
      </c>
      <c r="G1897" t="str">
        <f>IFERROR(INDEX(tEditais[Órgão],MATCH(tItens[[#This Row],[Edital]],tEditais[Edital],0)),"")</f>
        <v>MUNICIPIO DE CACHOEIRA DOURADA</v>
      </c>
      <c r="H1897" t="str">
        <f>IFERROR(INDEX(tEditais[UF],MATCH(tItens[[#This Row],[Edital]],tEditais[Edital],0)),"")</f>
        <v>GO</v>
      </c>
      <c r="I1897" s="11">
        <f>IFERROR(INDEX(tEditais[Encerramento],MATCH(tItens[[#This Row],[Edital]],tEditais[Edital],0)),"")</f>
        <v>46310.333333333336</v>
      </c>
      <c r="J1897" t="str">
        <f>IFERROR(INDEX(tProdutos[Classe],MATCH(tItens[[#This Row],[Produto]],tProdutos[Produto],0)),"produto não cadastrado")</f>
        <v>FILA REBASE</v>
      </c>
      <c r="K1897" s="12">
        <f>tItens[[#This Row],[Qtd]]*tItens[[#This Row],[Vlr unit]]</f>
        <v>596.5</v>
      </c>
      <c r="L1897" s="6">
        <f>IFERROR(IF(INDEX(tProdutos[Desconto homologado],MATCH(tItens[[#This Row],[Produto]],tProdutos[Produto],0))="",DescontoPadrao,INDEX(tProdutos[Desconto homologado],MATCH(tItens[[#This Row],[Produto]],tProdutos[Produto],0))),DescontoPadrao)</f>
        <v>0.32579365079365102</v>
      </c>
      <c r="M1897" s="12">
        <f>tItens[[#This Row],[Valor]]*(1-tItens[[#This Row],[Desconto]])</f>
        <v>402.16408730158719</v>
      </c>
      <c r="N1897" t="str">
        <f>IFERROR(INDEX(tProdutos[Foco],MATCH(tItens[[#This Row],[Produto]],tProdutos[Produto],0)),"Não")</f>
        <v>Não</v>
      </c>
      <c r="O1897" t="str">
        <f>IFERROR(INDEX(tEditais[SRP],MATCH(tItens[[#This Row],[Edital]],tEditais[Edital],0)),"Não")</f>
        <v>Não</v>
      </c>
      <c r="P1897" s="4">
        <f>IF(COUNTIFS(INDEX(tItens[Edital],1):tItens[[#This Row],[Edital]],tItens[[#This Row],[Edital]],INDEX(tItens[Produto],1):tItens[[#This Row],[Produto]],tItens[[#This Row],[Produto]])=1,1,0)</f>
        <v>1</v>
      </c>
    </row>
    <row r="1898" spans="1:16" x14ac:dyDescent="0.25">
      <c r="A1898" t="s">
        <v>1193</v>
      </c>
      <c r="B1898">
        <v>181</v>
      </c>
      <c r="C1898" t="s">
        <v>4943</v>
      </c>
      <c r="D1898" t="s">
        <v>205</v>
      </c>
      <c r="E1898" s="13">
        <v>600</v>
      </c>
      <c r="F1898" s="12">
        <v>30.58</v>
      </c>
      <c r="G1898" t="str">
        <f>IFERROR(INDEX(tEditais[Órgão],MATCH(tItens[[#This Row],[Edital]],tEditais[Edital],0)),"")</f>
        <v>MUNICIPIO DE CACHOEIRA DOURADA</v>
      </c>
      <c r="H1898" t="str">
        <f>IFERROR(INDEX(tEditais[UF],MATCH(tItens[[#This Row],[Edital]],tEditais[Edital],0)),"")</f>
        <v>GO</v>
      </c>
      <c r="I1898" s="11">
        <f>IFERROR(INDEX(tEditais[Encerramento],MATCH(tItens[[#This Row],[Edital]],tEditais[Edital],0)),"")</f>
        <v>46310.333333333336</v>
      </c>
      <c r="J1898" t="str">
        <f>IFERROR(INDEX(tProdutos[Classe],MATCH(tItens[[#This Row],[Produto]],tProdutos[Produto],0)),"produto não cadastrado")</f>
        <v>FORA</v>
      </c>
      <c r="K1898" s="12">
        <f>tItens[[#This Row],[Qtd]]*tItens[[#This Row],[Vlr unit]]</f>
        <v>18348</v>
      </c>
      <c r="L1898" s="6">
        <f>IFERROR(IF(INDEX(tProdutos[Desconto homologado],MATCH(tItens[[#This Row],[Produto]],tProdutos[Produto],0))="",DescontoPadrao,INDEX(tProdutos[Desconto homologado],MATCH(tItens[[#This Row],[Produto]],tProdutos[Produto],0))),DescontoPadrao)</f>
        <v>0.468911625815156</v>
      </c>
      <c r="M1898" s="12">
        <f>tItens[[#This Row],[Valor]]*(1-tItens[[#This Row],[Desconto]])</f>
        <v>9744.4094895435173</v>
      </c>
      <c r="N1898" t="str">
        <f>IFERROR(INDEX(tProdutos[Foco],MATCH(tItens[[#This Row],[Produto]],tProdutos[Produto],0)),"Não")</f>
        <v>Não</v>
      </c>
      <c r="O1898" t="str">
        <f>IFERROR(INDEX(tEditais[SRP],MATCH(tItens[[#This Row],[Edital]],tEditais[Edital],0)),"Não")</f>
        <v>Não</v>
      </c>
      <c r="P1898" s="4">
        <f>IF(COUNTIFS(INDEX(tItens[Edital],1):tItens[[#This Row],[Edital]],tItens[[#This Row],[Edital]],INDEX(tItens[Produto],1):tItens[[#This Row],[Produto]],tItens[[#This Row],[Produto]])=1,1,0)</f>
        <v>1</v>
      </c>
    </row>
    <row r="1899" spans="1:16" x14ac:dyDescent="0.25">
      <c r="A1899" t="s">
        <v>1193</v>
      </c>
      <c r="B1899">
        <v>183</v>
      </c>
      <c r="C1899" t="s">
        <v>4944</v>
      </c>
      <c r="D1899" t="s">
        <v>104</v>
      </c>
      <c r="E1899" s="13">
        <v>200</v>
      </c>
      <c r="F1899" s="12">
        <v>90.44</v>
      </c>
      <c r="G1899" t="str">
        <f>IFERROR(INDEX(tEditais[Órgão],MATCH(tItens[[#This Row],[Edital]],tEditais[Edital],0)),"")</f>
        <v>MUNICIPIO DE CACHOEIRA DOURADA</v>
      </c>
      <c r="H1899" t="str">
        <f>IFERROR(INDEX(tEditais[UF],MATCH(tItens[[#This Row],[Edital]],tEditais[Edital],0)),"")</f>
        <v>GO</v>
      </c>
      <c r="I1899" s="11">
        <f>IFERROR(INDEX(tEditais[Encerramento],MATCH(tItens[[#This Row],[Edital]],tEditais[Edital],0)),"")</f>
        <v>46310.333333333336</v>
      </c>
      <c r="J1899" t="str">
        <f>IFERROR(INDEX(tProdutos[Classe],MATCH(tItens[[#This Row],[Produto]],tProdutos[Produto],0)),"produto não cadastrado")</f>
        <v>DISPUTADO</v>
      </c>
      <c r="K1899" s="12">
        <f>tItens[[#This Row],[Qtd]]*tItens[[#This Row],[Vlr unit]]</f>
        <v>18088</v>
      </c>
      <c r="L1899" s="6">
        <f>IFERROR(IF(INDEX(tProdutos[Desconto homologado],MATCH(tItens[[#This Row],[Produto]],tProdutos[Produto],0))="",DescontoPadrao,INDEX(tProdutos[Desconto homologado],MATCH(tItens[[#This Row],[Produto]],tProdutos[Produto],0))),DescontoPadrao)</f>
        <v>0.51</v>
      </c>
      <c r="M1899" s="12">
        <f>tItens[[#This Row],[Valor]]*(1-tItens[[#This Row],[Desconto]])</f>
        <v>8863.119999999999</v>
      </c>
      <c r="N1899" t="str">
        <f>IFERROR(INDEX(tProdutos[Foco],MATCH(tItens[[#This Row],[Produto]],tProdutos[Produto],0)),"Não")</f>
        <v>Sim</v>
      </c>
      <c r="O1899" t="str">
        <f>IFERROR(INDEX(tEditais[SRP],MATCH(tItens[[#This Row],[Edital]],tEditais[Edital],0)),"Não")</f>
        <v>Não</v>
      </c>
      <c r="P1899" s="4">
        <f>IF(COUNTIFS(INDEX(tItens[Edital],1):tItens[[#This Row],[Edital]],tItens[[#This Row],[Edital]],INDEX(tItens[Produto],1):tItens[[#This Row],[Produto]],tItens[[#This Row],[Produto]])=1,1,0)</f>
        <v>1</v>
      </c>
    </row>
    <row r="1900" spans="1:16" x14ac:dyDescent="0.25">
      <c r="A1900" t="s">
        <v>1193</v>
      </c>
      <c r="B1900">
        <v>186</v>
      </c>
      <c r="C1900" t="s">
        <v>4945</v>
      </c>
      <c r="D1900" t="s">
        <v>476</v>
      </c>
      <c r="E1900" s="13">
        <v>5</v>
      </c>
      <c r="F1900" s="12">
        <v>452.93</v>
      </c>
      <c r="G1900" t="str">
        <f>IFERROR(INDEX(tEditais[Órgão],MATCH(tItens[[#This Row],[Edital]],tEditais[Edital],0)),"")</f>
        <v>MUNICIPIO DE CACHOEIRA DOURADA</v>
      </c>
      <c r="H1900" t="str">
        <f>IFERROR(INDEX(tEditais[UF],MATCH(tItens[[#This Row],[Edital]],tEditais[Edital],0)),"")</f>
        <v>GO</v>
      </c>
      <c r="I1900" s="11">
        <f>IFERROR(INDEX(tEditais[Encerramento],MATCH(tItens[[#This Row],[Edital]],tEditais[Edital],0)),"")</f>
        <v>46310.333333333336</v>
      </c>
      <c r="J1900" t="str">
        <f>IFERROR(INDEX(tProdutos[Classe],MATCH(tItens[[#This Row],[Produto]],tProdutos[Produto],0)),"produto não cadastrado")</f>
        <v>FILA REBASE</v>
      </c>
      <c r="K1900" s="12">
        <f>tItens[[#This Row],[Qtd]]*tItens[[#This Row],[Vlr unit]]</f>
        <v>2264.65</v>
      </c>
      <c r="L1900" s="6">
        <f>IFERROR(IF(INDEX(tProdutos[Desconto homologado],MATCH(tItens[[#This Row],[Produto]],tProdutos[Produto],0))="",DescontoPadrao,INDEX(tProdutos[Desconto homologado],MATCH(tItens[[#This Row],[Produto]],tProdutos[Produto],0))),DescontoPadrao)</f>
        <v>0.43265506519011498</v>
      </c>
      <c r="M1900" s="12">
        <f>tItens[[#This Row],[Valor]]*(1-tItens[[#This Row],[Desconto]])</f>
        <v>1284.8377066172061</v>
      </c>
      <c r="N1900" t="str">
        <f>IFERROR(INDEX(tProdutos[Foco],MATCH(tItens[[#This Row],[Produto]],tProdutos[Produto],0)),"Não")</f>
        <v>Não</v>
      </c>
      <c r="O1900" t="str">
        <f>IFERROR(INDEX(tEditais[SRP],MATCH(tItens[[#This Row],[Edital]],tEditais[Edital],0)),"Não")</f>
        <v>Não</v>
      </c>
      <c r="P1900" s="4">
        <f>IF(COUNTIFS(INDEX(tItens[Edital],1):tItens[[#This Row],[Edital]],tItens[[#This Row],[Edital]],INDEX(tItens[Produto],1):tItens[[#This Row],[Produto]],tItens[[#This Row],[Produto]])=1,1,0)</f>
        <v>1</v>
      </c>
    </row>
    <row r="1901" spans="1:16" x14ac:dyDescent="0.25">
      <c r="A1901" t="s">
        <v>1193</v>
      </c>
      <c r="B1901">
        <v>193</v>
      </c>
      <c r="C1901" t="s">
        <v>4946</v>
      </c>
      <c r="D1901" t="s">
        <v>56</v>
      </c>
      <c r="E1901" s="13">
        <v>200</v>
      </c>
      <c r="F1901" s="12">
        <v>28.42</v>
      </c>
      <c r="G1901" t="str">
        <f>IFERROR(INDEX(tEditais[Órgão],MATCH(tItens[[#This Row],[Edital]],tEditais[Edital],0)),"")</f>
        <v>MUNICIPIO DE CACHOEIRA DOURADA</v>
      </c>
      <c r="H1901" t="str">
        <f>IFERROR(INDEX(tEditais[UF],MATCH(tItens[[#This Row],[Edital]],tEditais[Edital],0)),"")</f>
        <v>GO</v>
      </c>
      <c r="I1901" s="11">
        <f>IFERROR(INDEX(tEditais[Encerramento],MATCH(tItens[[#This Row],[Edital]],tEditais[Edital],0)),"")</f>
        <v>46310.333333333336</v>
      </c>
      <c r="J1901" t="str">
        <f>IFERROR(INDEX(tProdutos[Classe],MATCH(tItens[[#This Row],[Produto]],tProdutos[Produto],0)),"produto não cadastrado")</f>
        <v>NÚCLEO</v>
      </c>
      <c r="K1901" s="12">
        <f>tItens[[#This Row],[Qtd]]*tItens[[#This Row],[Vlr unit]]</f>
        <v>5684</v>
      </c>
      <c r="L1901" s="6">
        <f>IFERROR(IF(INDEX(tProdutos[Desconto homologado],MATCH(tItens[[#This Row],[Produto]],tProdutos[Produto],0))="",DescontoPadrao,INDEX(tProdutos[Desconto homologado],MATCH(tItens[[#This Row],[Produto]],tProdutos[Produto],0))),DescontoPadrao)</f>
        <v>0.34</v>
      </c>
      <c r="M1901" s="12">
        <f>tItens[[#This Row],[Valor]]*(1-tItens[[#This Row],[Desconto]])</f>
        <v>3751.4399999999996</v>
      </c>
      <c r="N1901" t="str">
        <f>IFERROR(INDEX(tProdutos[Foco],MATCH(tItens[[#This Row],[Produto]],tProdutos[Produto],0)),"Não")</f>
        <v>Sim</v>
      </c>
      <c r="O1901" t="str">
        <f>IFERROR(INDEX(tEditais[SRP],MATCH(tItens[[#This Row],[Edital]],tEditais[Edital],0)),"Não")</f>
        <v>Não</v>
      </c>
      <c r="P1901" s="4">
        <f>IF(COUNTIFS(INDEX(tItens[Edital],1):tItens[[#This Row],[Edital]],tItens[[#This Row],[Edital]],INDEX(tItens[Produto],1):tItens[[#This Row],[Produto]],tItens[[#This Row],[Produto]])=1,1,0)</f>
        <v>1</v>
      </c>
    </row>
    <row r="1902" spans="1:16" x14ac:dyDescent="0.25">
      <c r="A1902" t="s">
        <v>1193</v>
      </c>
      <c r="B1902">
        <v>194</v>
      </c>
      <c r="C1902" t="s">
        <v>4947</v>
      </c>
      <c r="D1902" t="s">
        <v>56</v>
      </c>
      <c r="E1902" s="13">
        <v>200</v>
      </c>
      <c r="F1902" s="12">
        <v>33.92</v>
      </c>
      <c r="G1902" t="str">
        <f>IFERROR(INDEX(tEditais[Órgão],MATCH(tItens[[#This Row],[Edital]],tEditais[Edital],0)),"")</f>
        <v>MUNICIPIO DE CACHOEIRA DOURADA</v>
      </c>
      <c r="H1902" t="str">
        <f>IFERROR(INDEX(tEditais[UF],MATCH(tItens[[#This Row],[Edital]],tEditais[Edital],0)),"")</f>
        <v>GO</v>
      </c>
      <c r="I1902" s="11">
        <f>IFERROR(INDEX(tEditais[Encerramento],MATCH(tItens[[#This Row],[Edital]],tEditais[Edital],0)),"")</f>
        <v>46310.333333333336</v>
      </c>
      <c r="J1902" t="str">
        <f>IFERROR(INDEX(tProdutos[Classe],MATCH(tItens[[#This Row],[Produto]],tProdutos[Produto],0)),"produto não cadastrado")</f>
        <v>NÚCLEO</v>
      </c>
      <c r="K1902" s="12">
        <f>tItens[[#This Row],[Qtd]]*tItens[[#This Row],[Vlr unit]]</f>
        <v>6784</v>
      </c>
      <c r="L1902" s="6">
        <f>IFERROR(IF(INDEX(tProdutos[Desconto homologado],MATCH(tItens[[#This Row],[Produto]],tProdutos[Produto],0))="",DescontoPadrao,INDEX(tProdutos[Desconto homologado],MATCH(tItens[[#This Row],[Produto]],tProdutos[Produto],0))),DescontoPadrao)</f>
        <v>0.34</v>
      </c>
      <c r="M1902" s="12">
        <f>tItens[[#This Row],[Valor]]*(1-tItens[[#This Row],[Desconto]])</f>
        <v>4477.4399999999996</v>
      </c>
      <c r="N1902" t="str">
        <f>IFERROR(INDEX(tProdutos[Foco],MATCH(tItens[[#This Row],[Produto]],tProdutos[Produto],0)),"Não")</f>
        <v>Sim</v>
      </c>
      <c r="O1902" t="str">
        <f>IFERROR(INDEX(tEditais[SRP],MATCH(tItens[[#This Row],[Edital]],tEditais[Edital],0)),"Não")</f>
        <v>Não</v>
      </c>
      <c r="P1902" s="4">
        <f>IF(COUNTIFS(INDEX(tItens[Edital],1):tItens[[#This Row],[Edital]],tItens[[#This Row],[Edital]],INDEX(tItens[Produto],1):tItens[[#This Row],[Produto]],tItens[[#This Row],[Produto]])=1,1,0)</f>
        <v>0</v>
      </c>
    </row>
    <row r="1903" spans="1:16" x14ac:dyDescent="0.25">
      <c r="A1903" t="s">
        <v>1193</v>
      </c>
      <c r="B1903">
        <v>195</v>
      </c>
      <c r="C1903" t="s">
        <v>4948</v>
      </c>
      <c r="D1903" t="s">
        <v>56</v>
      </c>
      <c r="E1903" s="13">
        <v>200</v>
      </c>
      <c r="F1903" s="12">
        <v>29.51</v>
      </c>
      <c r="G1903" t="str">
        <f>IFERROR(INDEX(tEditais[Órgão],MATCH(tItens[[#This Row],[Edital]],tEditais[Edital],0)),"")</f>
        <v>MUNICIPIO DE CACHOEIRA DOURADA</v>
      </c>
      <c r="H1903" t="str">
        <f>IFERROR(INDEX(tEditais[UF],MATCH(tItens[[#This Row],[Edital]],tEditais[Edital],0)),"")</f>
        <v>GO</v>
      </c>
      <c r="I1903" s="11">
        <f>IFERROR(INDEX(tEditais[Encerramento],MATCH(tItens[[#This Row],[Edital]],tEditais[Edital],0)),"")</f>
        <v>46310.333333333336</v>
      </c>
      <c r="J1903" t="str">
        <f>IFERROR(INDEX(tProdutos[Classe],MATCH(tItens[[#This Row],[Produto]],tProdutos[Produto],0)),"produto não cadastrado")</f>
        <v>NÚCLEO</v>
      </c>
      <c r="K1903" s="12">
        <f>tItens[[#This Row],[Qtd]]*tItens[[#This Row],[Vlr unit]]</f>
        <v>5902</v>
      </c>
      <c r="L1903" s="6">
        <f>IFERROR(IF(INDEX(tProdutos[Desconto homologado],MATCH(tItens[[#This Row],[Produto]],tProdutos[Produto],0))="",DescontoPadrao,INDEX(tProdutos[Desconto homologado],MATCH(tItens[[#This Row],[Produto]],tProdutos[Produto],0))),DescontoPadrao)</f>
        <v>0.34</v>
      </c>
      <c r="M1903" s="12">
        <f>tItens[[#This Row],[Valor]]*(1-tItens[[#This Row],[Desconto]])</f>
        <v>3895.3199999999997</v>
      </c>
      <c r="N1903" t="str">
        <f>IFERROR(INDEX(tProdutos[Foco],MATCH(tItens[[#This Row],[Produto]],tProdutos[Produto],0)),"Não")</f>
        <v>Sim</v>
      </c>
      <c r="O1903" t="str">
        <f>IFERROR(INDEX(tEditais[SRP],MATCH(tItens[[#This Row],[Edital]],tEditais[Edital],0)),"Não")</f>
        <v>Não</v>
      </c>
      <c r="P1903" s="4">
        <f>IF(COUNTIFS(INDEX(tItens[Edital],1):tItens[[#This Row],[Edital]],tItens[[#This Row],[Edital]],INDEX(tItens[Produto],1):tItens[[#This Row],[Produto]],tItens[[#This Row],[Produto]])=1,1,0)</f>
        <v>0</v>
      </c>
    </row>
    <row r="1904" spans="1:16" x14ac:dyDescent="0.25">
      <c r="A1904" t="s">
        <v>1193</v>
      </c>
      <c r="B1904">
        <v>196</v>
      </c>
      <c r="C1904" t="s">
        <v>4949</v>
      </c>
      <c r="D1904" t="s">
        <v>56</v>
      </c>
      <c r="E1904" s="13">
        <v>200</v>
      </c>
      <c r="F1904" s="12">
        <v>33.36</v>
      </c>
      <c r="G1904" t="str">
        <f>IFERROR(INDEX(tEditais[Órgão],MATCH(tItens[[#This Row],[Edital]],tEditais[Edital],0)),"")</f>
        <v>MUNICIPIO DE CACHOEIRA DOURADA</v>
      </c>
      <c r="H1904" t="str">
        <f>IFERROR(INDEX(tEditais[UF],MATCH(tItens[[#This Row],[Edital]],tEditais[Edital],0)),"")</f>
        <v>GO</v>
      </c>
      <c r="I1904" s="11">
        <f>IFERROR(INDEX(tEditais[Encerramento],MATCH(tItens[[#This Row],[Edital]],tEditais[Edital],0)),"")</f>
        <v>46310.333333333336</v>
      </c>
      <c r="J1904" t="str">
        <f>IFERROR(INDEX(tProdutos[Classe],MATCH(tItens[[#This Row],[Produto]],tProdutos[Produto],0)),"produto não cadastrado")</f>
        <v>NÚCLEO</v>
      </c>
      <c r="K1904" s="12">
        <f>tItens[[#This Row],[Qtd]]*tItens[[#This Row],[Vlr unit]]</f>
        <v>6672</v>
      </c>
      <c r="L1904" s="6">
        <f>IFERROR(IF(INDEX(tProdutos[Desconto homologado],MATCH(tItens[[#This Row],[Produto]],tProdutos[Produto],0))="",DescontoPadrao,INDEX(tProdutos[Desconto homologado],MATCH(tItens[[#This Row],[Produto]],tProdutos[Produto],0))),DescontoPadrao)</f>
        <v>0.34</v>
      </c>
      <c r="M1904" s="12">
        <f>tItens[[#This Row],[Valor]]*(1-tItens[[#This Row],[Desconto]])</f>
        <v>4403.5199999999995</v>
      </c>
      <c r="N1904" t="str">
        <f>IFERROR(INDEX(tProdutos[Foco],MATCH(tItens[[#This Row],[Produto]],tProdutos[Produto],0)),"Não")</f>
        <v>Sim</v>
      </c>
      <c r="O1904" t="str">
        <f>IFERROR(INDEX(tEditais[SRP],MATCH(tItens[[#This Row],[Edital]],tEditais[Edital],0)),"Não")</f>
        <v>Não</v>
      </c>
      <c r="P1904" s="4">
        <f>IF(COUNTIFS(INDEX(tItens[Edital],1):tItens[[#This Row],[Edital]],tItens[[#This Row],[Edital]],INDEX(tItens[Produto],1):tItens[[#This Row],[Produto]],tItens[[#This Row],[Produto]])=1,1,0)</f>
        <v>0</v>
      </c>
    </row>
    <row r="1905" spans="1:16" x14ac:dyDescent="0.25">
      <c r="A1905" t="s">
        <v>1193</v>
      </c>
      <c r="B1905">
        <v>197</v>
      </c>
      <c r="C1905" t="s">
        <v>4950</v>
      </c>
      <c r="D1905" t="s">
        <v>56</v>
      </c>
      <c r="E1905" s="13">
        <v>250</v>
      </c>
      <c r="F1905" s="12">
        <v>28.09</v>
      </c>
      <c r="G1905" t="str">
        <f>IFERROR(INDEX(tEditais[Órgão],MATCH(tItens[[#This Row],[Edital]],tEditais[Edital],0)),"")</f>
        <v>MUNICIPIO DE CACHOEIRA DOURADA</v>
      </c>
      <c r="H1905" t="str">
        <f>IFERROR(INDEX(tEditais[UF],MATCH(tItens[[#This Row],[Edital]],tEditais[Edital],0)),"")</f>
        <v>GO</v>
      </c>
      <c r="I1905" s="11">
        <f>IFERROR(INDEX(tEditais[Encerramento],MATCH(tItens[[#This Row],[Edital]],tEditais[Edital],0)),"")</f>
        <v>46310.333333333336</v>
      </c>
      <c r="J1905" t="str">
        <f>IFERROR(INDEX(tProdutos[Classe],MATCH(tItens[[#This Row],[Produto]],tProdutos[Produto],0)),"produto não cadastrado")</f>
        <v>NÚCLEO</v>
      </c>
      <c r="K1905" s="12">
        <f>tItens[[#This Row],[Qtd]]*tItens[[#This Row],[Vlr unit]]</f>
        <v>7022.5</v>
      </c>
      <c r="L1905" s="6">
        <f>IFERROR(IF(INDEX(tProdutos[Desconto homologado],MATCH(tItens[[#This Row],[Produto]],tProdutos[Produto],0))="",DescontoPadrao,INDEX(tProdutos[Desconto homologado],MATCH(tItens[[#This Row],[Produto]],tProdutos[Produto],0))),DescontoPadrao)</f>
        <v>0.34</v>
      </c>
      <c r="M1905" s="12">
        <f>tItens[[#This Row],[Valor]]*(1-tItens[[#This Row],[Desconto]])</f>
        <v>4634.8499999999995</v>
      </c>
      <c r="N1905" t="str">
        <f>IFERROR(INDEX(tProdutos[Foco],MATCH(tItens[[#This Row],[Produto]],tProdutos[Produto],0)),"Não")</f>
        <v>Sim</v>
      </c>
      <c r="O1905" t="str">
        <f>IFERROR(INDEX(tEditais[SRP],MATCH(tItens[[#This Row],[Edital]],tEditais[Edital],0)),"Não")</f>
        <v>Não</v>
      </c>
      <c r="P1905" s="4">
        <f>IF(COUNTIFS(INDEX(tItens[Edital],1):tItens[[#This Row],[Edital]],tItens[[#This Row],[Edital]],INDEX(tItens[Produto],1):tItens[[#This Row],[Produto]],tItens[[#This Row],[Produto]])=1,1,0)</f>
        <v>0</v>
      </c>
    </row>
    <row r="1906" spans="1:16" x14ac:dyDescent="0.25">
      <c r="A1906" t="s">
        <v>1193</v>
      </c>
      <c r="B1906">
        <v>199</v>
      </c>
      <c r="C1906" t="s">
        <v>4951</v>
      </c>
      <c r="D1906" t="s">
        <v>267</v>
      </c>
      <c r="E1906" s="13">
        <v>8000</v>
      </c>
      <c r="F1906" s="12">
        <v>11.74</v>
      </c>
      <c r="G1906" t="str">
        <f>IFERROR(INDEX(tEditais[Órgão],MATCH(tItens[[#This Row],[Edital]],tEditais[Edital],0)),"")</f>
        <v>MUNICIPIO DE CACHOEIRA DOURADA</v>
      </c>
      <c r="H1906" t="str">
        <f>IFERROR(INDEX(tEditais[UF],MATCH(tItens[[#This Row],[Edital]],tEditais[Edital],0)),"")</f>
        <v>GO</v>
      </c>
      <c r="I1906" s="11">
        <f>IFERROR(INDEX(tEditais[Encerramento],MATCH(tItens[[#This Row],[Edital]],tEditais[Edital],0)),"")</f>
        <v>46310.333333333336</v>
      </c>
      <c r="J1906" t="str">
        <f>IFERROR(INDEX(tProdutos[Classe],MATCH(tItens[[#This Row],[Produto]],tProdutos[Produto],0)),"produto não cadastrado")</f>
        <v>FORA</v>
      </c>
      <c r="K1906" s="12">
        <f>tItens[[#This Row],[Qtd]]*tItens[[#This Row],[Vlr unit]]</f>
        <v>93920</v>
      </c>
      <c r="L1906" s="6">
        <f>IFERROR(IF(INDEX(tProdutos[Desconto homologado],MATCH(tItens[[#This Row],[Produto]],tProdutos[Produto],0))="",DescontoPadrao,INDEX(tProdutos[Desconto homologado],MATCH(tItens[[#This Row],[Produto]],tProdutos[Produto],0))),DescontoPadrao)</f>
        <v>0.19963672657401599</v>
      </c>
      <c r="M1906" s="12">
        <f>tItens[[#This Row],[Valor]]*(1-tItens[[#This Row],[Desconto]])</f>
        <v>75170.118640168424</v>
      </c>
      <c r="N1906" t="str">
        <f>IFERROR(INDEX(tProdutos[Foco],MATCH(tItens[[#This Row],[Produto]],tProdutos[Produto],0)),"Não")</f>
        <v>Não</v>
      </c>
      <c r="O1906" t="str">
        <f>IFERROR(INDEX(tEditais[SRP],MATCH(tItens[[#This Row],[Edital]],tEditais[Edital],0)),"Não")</f>
        <v>Não</v>
      </c>
      <c r="P1906" s="4">
        <f>IF(COUNTIFS(INDEX(tItens[Edital],1):tItens[[#This Row],[Edital]],tItens[[#This Row],[Edital]],INDEX(tItens[Produto],1):tItens[[#This Row],[Produto]],tItens[[#This Row],[Produto]])=1,1,0)</f>
        <v>1</v>
      </c>
    </row>
    <row r="1907" spans="1:16" x14ac:dyDescent="0.25">
      <c r="A1907" t="s">
        <v>1193</v>
      </c>
      <c r="B1907">
        <v>200</v>
      </c>
      <c r="C1907" t="s">
        <v>4952</v>
      </c>
      <c r="D1907" t="s">
        <v>343</v>
      </c>
      <c r="E1907" s="13">
        <v>2000</v>
      </c>
      <c r="F1907" s="12">
        <v>3.42</v>
      </c>
      <c r="G1907" t="str">
        <f>IFERROR(INDEX(tEditais[Órgão],MATCH(tItens[[#This Row],[Edital]],tEditais[Edital],0)),"")</f>
        <v>MUNICIPIO DE CACHOEIRA DOURADA</v>
      </c>
      <c r="H1907" t="str">
        <f>IFERROR(INDEX(tEditais[UF],MATCH(tItens[[#This Row],[Edital]],tEditais[Edital],0)),"")</f>
        <v>GO</v>
      </c>
      <c r="I1907" s="11">
        <f>IFERROR(INDEX(tEditais[Encerramento],MATCH(tItens[[#This Row],[Edital]],tEditais[Edital],0)),"")</f>
        <v>46310.333333333336</v>
      </c>
      <c r="J1907" t="str">
        <f>IFERROR(INDEX(tProdutos[Classe],MATCH(tItens[[#This Row],[Produto]],tProdutos[Produto],0)),"produto não cadastrado")</f>
        <v>FORA</v>
      </c>
      <c r="K1907" s="12">
        <f>tItens[[#This Row],[Qtd]]*tItens[[#This Row],[Vlr unit]]</f>
        <v>6840</v>
      </c>
      <c r="L1907" s="6">
        <f>IFERROR(IF(INDEX(tProdutos[Desconto homologado],MATCH(tItens[[#This Row],[Produto]],tProdutos[Produto],0))="",DescontoPadrao,INDEX(tProdutos[Desconto homologado],MATCH(tItens[[#This Row],[Produto]],tProdutos[Produto],0))),DescontoPadrao)</f>
        <v>0.35412234042553198</v>
      </c>
      <c r="M1907" s="12">
        <f>tItens[[#This Row],[Valor]]*(1-tItens[[#This Row],[Desconto]])</f>
        <v>4417.8031914893609</v>
      </c>
      <c r="N1907" t="str">
        <f>IFERROR(INDEX(tProdutos[Foco],MATCH(tItens[[#This Row],[Produto]],tProdutos[Produto],0)),"Não")</f>
        <v>Não</v>
      </c>
      <c r="O1907" t="str">
        <f>IFERROR(INDEX(tEditais[SRP],MATCH(tItens[[#This Row],[Edital]],tEditais[Edital],0)),"Não")</f>
        <v>Não</v>
      </c>
      <c r="P1907" s="4">
        <f>IF(COUNTIFS(INDEX(tItens[Edital],1):tItens[[#This Row],[Edital]],tItens[[#This Row],[Edital]],INDEX(tItens[Produto],1):tItens[[#This Row],[Produto]],tItens[[#This Row],[Produto]])=1,1,0)</f>
        <v>1</v>
      </c>
    </row>
    <row r="1908" spans="1:16" x14ac:dyDescent="0.25">
      <c r="A1908" t="s">
        <v>1193</v>
      </c>
      <c r="B1908">
        <v>201</v>
      </c>
      <c r="C1908" t="s">
        <v>4952</v>
      </c>
      <c r="D1908" t="s">
        <v>343</v>
      </c>
      <c r="E1908" s="13">
        <v>900</v>
      </c>
      <c r="F1908" s="12">
        <v>3.03</v>
      </c>
      <c r="G1908" t="str">
        <f>IFERROR(INDEX(tEditais[Órgão],MATCH(tItens[[#This Row],[Edital]],tEditais[Edital],0)),"")</f>
        <v>MUNICIPIO DE CACHOEIRA DOURADA</v>
      </c>
      <c r="H1908" t="str">
        <f>IFERROR(INDEX(tEditais[UF],MATCH(tItens[[#This Row],[Edital]],tEditais[Edital],0)),"")</f>
        <v>GO</v>
      </c>
      <c r="I1908" s="11">
        <f>IFERROR(INDEX(tEditais[Encerramento],MATCH(tItens[[#This Row],[Edital]],tEditais[Edital],0)),"")</f>
        <v>46310.333333333336</v>
      </c>
      <c r="J1908" t="str">
        <f>IFERROR(INDEX(tProdutos[Classe],MATCH(tItens[[#This Row],[Produto]],tProdutos[Produto],0)),"produto não cadastrado")</f>
        <v>FORA</v>
      </c>
      <c r="K1908" s="12">
        <f>tItens[[#This Row],[Qtd]]*tItens[[#This Row],[Vlr unit]]</f>
        <v>2727</v>
      </c>
      <c r="L1908" s="6">
        <f>IFERROR(IF(INDEX(tProdutos[Desconto homologado],MATCH(tItens[[#This Row],[Produto]],tProdutos[Produto],0))="",DescontoPadrao,INDEX(tProdutos[Desconto homologado],MATCH(tItens[[#This Row],[Produto]],tProdutos[Produto],0))),DescontoPadrao)</f>
        <v>0.35412234042553198</v>
      </c>
      <c r="M1908" s="12">
        <f>tItens[[#This Row],[Valor]]*(1-tItens[[#This Row],[Desconto]])</f>
        <v>1761.308377659574</v>
      </c>
      <c r="N1908" t="str">
        <f>IFERROR(INDEX(tProdutos[Foco],MATCH(tItens[[#This Row],[Produto]],tProdutos[Produto],0)),"Não")</f>
        <v>Não</v>
      </c>
      <c r="O1908" t="str">
        <f>IFERROR(INDEX(tEditais[SRP],MATCH(tItens[[#This Row],[Edital]],tEditais[Edital],0)),"Não")</f>
        <v>Não</v>
      </c>
      <c r="P1908" s="4">
        <f>IF(COUNTIFS(INDEX(tItens[Edital],1):tItens[[#This Row],[Edital]],tItens[[#This Row],[Edital]],INDEX(tItens[Produto],1):tItens[[#This Row],[Produto]],tItens[[#This Row],[Produto]])=1,1,0)</f>
        <v>0</v>
      </c>
    </row>
    <row r="1909" spans="1:16" x14ac:dyDescent="0.25">
      <c r="A1909" t="s">
        <v>1193</v>
      </c>
      <c r="B1909">
        <v>202</v>
      </c>
      <c r="C1909" t="s">
        <v>4952</v>
      </c>
      <c r="D1909" t="s">
        <v>343</v>
      </c>
      <c r="E1909" s="13">
        <v>2500</v>
      </c>
      <c r="F1909" s="12">
        <v>3.03</v>
      </c>
      <c r="G1909" t="str">
        <f>IFERROR(INDEX(tEditais[Órgão],MATCH(tItens[[#This Row],[Edital]],tEditais[Edital],0)),"")</f>
        <v>MUNICIPIO DE CACHOEIRA DOURADA</v>
      </c>
      <c r="H1909" t="str">
        <f>IFERROR(INDEX(tEditais[UF],MATCH(tItens[[#This Row],[Edital]],tEditais[Edital],0)),"")</f>
        <v>GO</v>
      </c>
      <c r="I1909" s="11">
        <f>IFERROR(INDEX(tEditais[Encerramento],MATCH(tItens[[#This Row],[Edital]],tEditais[Edital],0)),"")</f>
        <v>46310.333333333336</v>
      </c>
      <c r="J1909" t="str">
        <f>IFERROR(INDEX(tProdutos[Classe],MATCH(tItens[[#This Row],[Produto]],tProdutos[Produto],0)),"produto não cadastrado")</f>
        <v>FORA</v>
      </c>
      <c r="K1909" s="12">
        <f>tItens[[#This Row],[Qtd]]*tItens[[#This Row],[Vlr unit]]</f>
        <v>7574.9999999999991</v>
      </c>
      <c r="L1909" s="6">
        <f>IFERROR(IF(INDEX(tProdutos[Desconto homologado],MATCH(tItens[[#This Row],[Produto]],tProdutos[Produto],0))="",DescontoPadrao,INDEX(tProdutos[Desconto homologado],MATCH(tItens[[#This Row],[Produto]],tProdutos[Produto],0))),DescontoPadrao)</f>
        <v>0.35412234042553198</v>
      </c>
      <c r="M1909" s="12">
        <f>tItens[[#This Row],[Valor]]*(1-tItens[[#This Row],[Desconto]])</f>
        <v>4892.5232712765946</v>
      </c>
      <c r="N1909" t="str">
        <f>IFERROR(INDEX(tProdutos[Foco],MATCH(tItens[[#This Row],[Produto]],tProdutos[Produto],0)),"Não")</f>
        <v>Não</v>
      </c>
      <c r="O1909" t="str">
        <f>IFERROR(INDEX(tEditais[SRP],MATCH(tItens[[#This Row],[Edital]],tEditais[Edital],0)),"Não")</f>
        <v>Não</v>
      </c>
      <c r="P1909" s="4">
        <f>IF(COUNTIFS(INDEX(tItens[Edital],1):tItens[[#This Row],[Edital]],tItens[[#This Row],[Edital]],INDEX(tItens[Produto],1):tItens[[#This Row],[Produto]],tItens[[#This Row],[Produto]])=1,1,0)</f>
        <v>0</v>
      </c>
    </row>
    <row r="1910" spans="1:16" x14ac:dyDescent="0.25">
      <c r="A1910" t="s">
        <v>1193</v>
      </c>
      <c r="B1910">
        <v>203</v>
      </c>
      <c r="C1910" t="s">
        <v>4952</v>
      </c>
      <c r="D1910" t="s">
        <v>343</v>
      </c>
      <c r="E1910" s="13">
        <v>1500</v>
      </c>
      <c r="F1910" s="12">
        <v>3.15</v>
      </c>
      <c r="G1910" t="str">
        <f>IFERROR(INDEX(tEditais[Órgão],MATCH(tItens[[#This Row],[Edital]],tEditais[Edital],0)),"")</f>
        <v>MUNICIPIO DE CACHOEIRA DOURADA</v>
      </c>
      <c r="H1910" t="str">
        <f>IFERROR(INDEX(tEditais[UF],MATCH(tItens[[#This Row],[Edital]],tEditais[Edital],0)),"")</f>
        <v>GO</v>
      </c>
      <c r="I1910" s="11">
        <f>IFERROR(INDEX(tEditais[Encerramento],MATCH(tItens[[#This Row],[Edital]],tEditais[Edital],0)),"")</f>
        <v>46310.333333333336</v>
      </c>
      <c r="J1910" t="str">
        <f>IFERROR(INDEX(tProdutos[Classe],MATCH(tItens[[#This Row],[Produto]],tProdutos[Produto],0)),"produto não cadastrado")</f>
        <v>FORA</v>
      </c>
      <c r="K1910" s="12">
        <f>tItens[[#This Row],[Qtd]]*tItens[[#This Row],[Vlr unit]]</f>
        <v>4725</v>
      </c>
      <c r="L1910" s="6">
        <f>IFERROR(IF(INDEX(tProdutos[Desconto homologado],MATCH(tItens[[#This Row],[Produto]],tProdutos[Produto],0))="",DescontoPadrao,INDEX(tProdutos[Desconto homologado],MATCH(tItens[[#This Row],[Produto]],tProdutos[Produto],0))),DescontoPadrao)</f>
        <v>0.35412234042553198</v>
      </c>
      <c r="M1910" s="12">
        <f>tItens[[#This Row],[Valor]]*(1-tItens[[#This Row],[Desconto]])</f>
        <v>3051.7719414893613</v>
      </c>
      <c r="N1910" t="str">
        <f>IFERROR(INDEX(tProdutos[Foco],MATCH(tItens[[#This Row],[Produto]],tProdutos[Produto],0)),"Não")</f>
        <v>Não</v>
      </c>
      <c r="O1910" t="str">
        <f>IFERROR(INDEX(tEditais[SRP],MATCH(tItens[[#This Row],[Edital]],tEditais[Edital],0)),"Não")</f>
        <v>Não</v>
      </c>
      <c r="P1910" s="4">
        <f>IF(COUNTIFS(INDEX(tItens[Edital],1):tItens[[#This Row],[Edital]],tItens[[#This Row],[Edital]],INDEX(tItens[Produto],1):tItens[[#This Row],[Produto]],tItens[[#This Row],[Produto]])=1,1,0)</f>
        <v>0</v>
      </c>
    </row>
    <row r="1911" spans="1:16" x14ac:dyDescent="0.25">
      <c r="A1911" t="s">
        <v>1193</v>
      </c>
      <c r="B1911">
        <v>204</v>
      </c>
      <c r="C1911" t="s">
        <v>4952</v>
      </c>
      <c r="D1911" t="s">
        <v>343</v>
      </c>
      <c r="E1911" s="13">
        <v>800</v>
      </c>
      <c r="F1911" s="12">
        <v>3.32</v>
      </c>
      <c r="G1911" t="str">
        <f>IFERROR(INDEX(tEditais[Órgão],MATCH(tItens[[#This Row],[Edital]],tEditais[Edital],0)),"")</f>
        <v>MUNICIPIO DE CACHOEIRA DOURADA</v>
      </c>
      <c r="H1911" t="str">
        <f>IFERROR(INDEX(tEditais[UF],MATCH(tItens[[#This Row],[Edital]],tEditais[Edital],0)),"")</f>
        <v>GO</v>
      </c>
      <c r="I1911" s="11">
        <f>IFERROR(INDEX(tEditais[Encerramento],MATCH(tItens[[#This Row],[Edital]],tEditais[Edital],0)),"")</f>
        <v>46310.333333333336</v>
      </c>
      <c r="J1911" t="str">
        <f>IFERROR(INDEX(tProdutos[Classe],MATCH(tItens[[#This Row],[Produto]],tProdutos[Produto],0)),"produto não cadastrado")</f>
        <v>FORA</v>
      </c>
      <c r="K1911" s="12">
        <f>tItens[[#This Row],[Qtd]]*tItens[[#This Row],[Vlr unit]]</f>
        <v>2656</v>
      </c>
      <c r="L1911" s="6">
        <f>IFERROR(IF(INDEX(tProdutos[Desconto homologado],MATCH(tItens[[#This Row],[Produto]],tProdutos[Produto],0))="",DescontoPadrao,INDEX(tProdutos[Desconto homologado],MATCH(tItens[[#This Row],[Produto]],tProdutos[Produto],0))),DescontoPadrao)</f>
        <v>0.35412234042553198</v>
      </c>
      <c r="M1911" s="12">
        <f>tItens[[#This Row],[Valor]]*(1-tItens[[#This Row],[Desconto]])</f>
        <v>1715.451063829787</v>
      </c>
      <c r="N1911" t="str">
        <f>IFERROR(INDEX(tProdutos[Foco],MATCH(tItens[[#This Row],[Produto]],tProdutos[Produto],0)),"Não")</f>
        <v>Não</v>
      </c>
      <c r="O1911" t="str">
        <f>IFERROR(INDEX(tEditais[SRP],MATCH(tItens[[#This Row],[Edital]],tEditais[Edital],0)),"Não")</f>
        <v>Não</v>
      </c>
      <c r="P1911" s="4">
        <f>IF(COUNTIFS(INDEX(tItens[Edital],1):tItens[[#This Row],[Edital]],tItens[[#This Row],[Edital]],INDEX(tItens[Produto],1):tItens[[#This Row],[Produto]],tItens[[#This Row],[Produto]])=1,1,0)</f>
        <v>0</v>
      </c>
    </row>
    <row r="1912" spans="1:16" x14ac:dyDescent="0.25">
      <c r="A1912" t="s">
        <v>1193</v>
      </c>
      <c r="B1912">
        <v>211</v>
      </c>
      <c r="C1912" t="s">
        <v>4953</v>
      </c>
      <c r="D1912" t="s">
        <v>385</v>
      </c>
      <c r="E1912" s="13">
        <v>5000</v>
      </c>
      <c r="F1912" s="12">
        <v>7.29</v>
      </c>
      <c r="G1912" t="str">
        <f>IFERROR(INDEX(tEditais[Órgão],MATCH(tItens[[#This Row],[Edital]],tEditais[Edital],0)),"")</f>
        <v>MUNICIPIO DE CACHOEIRA DOURADA</v>
      </c>
      <c r="H1912" t="str">
        <f>IFERROR(INDEX(tEditais[UF],MATCH(tItens[[#This Row],[Edital]],tEditais[Edital],0)),"")</f>
        <v>GO</v>
      </c>
      <c r="I1912" s="11">
        <f>IFERROR(INDEX(tEditais[Encerramento],MATCH(tItens[[#This Row],[Edital]],tEditais[Edital],0)),"")</f>
        <v>46310.333333333336</v>
      </c>
      <c r="J1912" t="str">
        <f>IFERROR(INDEX(tProdutos[Classe],MATCH(tItens[[#This Row],[Produto]],tProdutos[Produto],0)),"produto não cadastrado")</f>
        <v>FORA</v>
      </c>
      <c r="K1912" s="12">
        <f>tItens[[#This Row],[Qtd]]*tItens[[#This Row],[Vlr unit]]</f>
        <v>36450</v>
      </c>
      <c r="L1912" s="6">
        <f>IFERROR(IF(INDEX(tProdutos[Desconto homologado],MATCH(tItens[[#This Row],[Produto]],tProdutos[Produto],0))="",DescontoPadrao,INDEX(tProdutos[Desconto homologado],MATCH(tItens[[#This Row],[Produto]],tProdutos[Produto],0))),DescontoPadrao)</f>
        <v>0.46969696969697</v>
      </c>
      <c r="M1912" s="12">
        <f>tItens[[#This Row],[Valor]]*(1-tItens[[#This Row],[Desconto]])</f>
        <v>19329.545454545445</v>
      </c>
      <c r="N1912" t="str">
        <f>IFERROR(INDEX(tProdutos[Foco],MATCH(tItens[[#This Row],[Produto]],tProdutos[Produto],0)),"Não")</f>
        <v>Não</v>
      </c>
      <c r="O1912" t="str">
        <f>IFERROR(INDEX(tEditais[SRP],MATCH(tItens[[#This Row],[Edital]],tEditais[Edital],0)),"Não")</f>
        <v>Não</v>
      </c>
      <c r="P1912" s="4">
        <f>IF(COUNTIFS(INDEX(tItens[Edital],1):tItens[[#This Row],[Edital]],tItens[[#This Row],[Edital]],INDEX(tItens[Produto],1):tItens[[#This Row],[Produto]],tItens[[#This Row],[Produto]])=1,1,0)</f>
        <v>1</v>
      </c>
    </row>
    <row r="1913" spans="1:16" x14ac:dyDescent="0.25">
      <c r="A1913" t="s">
        <v>1193</v>
      </c>
      <c r="B1913">
        <v>212</v>
      </c>
      <c r="C1913" t="s">
        <v>4954</v>
      </c>
      <c r="D1913" t="s">
        <v>257</v>
      </c>
      <c r="E1913" s="13">
        <v>150</v>
      </c>
      <c r="F1913" s="12">
        <v>8.23</v>
      </c>
      <c r="G1913" t="str">
        <f>IFERROR(INDEX(tEditais[Órgão],MATCH(tItens[[#This Row],[Edital]],tEditais[Edital],0)),"")</f>
        <v>MUNICIPIO DE CACHOEIRA DOURADA</v>
      </c>
      <c r="H1913" t="str">
        <f>IFERROR(INDEX(tEditais[UF],MATCH(tItens[[#This Row],[Edital]],tEditais[Edital],0)),"")</f>
        <v>GO</v>
      </c>
      <c r="I1913" s="11">
        <f>IFERROR(INDEX(tEditais[Encerramento],MATCH(tItens[[#This Row],[Edital]],tEditais[Edital],0)),"")</f>
        <v>46310.333333333336</v>
      </c>
      <c r="J1913" t="str">
        <f>IFERROR(INDEX(tProdutos[Classe],MATCH(tItens[[#This Row],[Produto]],tProdutos[Produto],0)),"produto não cadastrado")</f>
        <v>FORA</v>
      </c>
      <c r="K1913" s="12">
        <f>tItens[[#This Row],[Qtd]]*tItens[[#This Row],[Vlr unit]]</f>
        <v>1234.5</v>
      </c>
      <c r="L1913" s="6">
        <f>IFERROR(IF(INDEX(tProdutos[Desconto homologado],MATCH(tItens[[#This Row],[Produto]],tProdutos[Produto],0))="",DescontoPadrao,INDEX(tProdutos[Desconto homologado],MATCH(tItens[[#This Row],[Produto]],tProdutos[Produto],0))),DescontoPadrao)</f>
        <v>0.500812004991805</v>
      </c>
      <c r="M1913" s="12">
        <f>tItens[[#This Row],[Valor]]*(1-tItens[[#This Row],[Desconto]])</f>
        <v>616.24757983761674</v>
      </c>
      <c r="N1913" t="str">
        <f>IFERROR(INDEX(tProdutos[Foco],MATCH(tItens[[#This Row],[Produto]],tProdutos[Produto],0)),"Não")</f>
        <v>Não</v>
      </c>
      <c r="O1913" t="str">
        <f>IFERROR(INDEX(tEditais[SRP],MATCH(tItens[[#This Row],[Edital]],tEditais[Edital],0)),"Não")</f>
        <v>Não</v>
      </c>
      <c r="P1913" s="4">
        <f>IF(COUNTIFS(INDEX(tItens[Edital],1):tItens[[#This Row],[Edital]],tItens[[#This Row],[Edital]],INDEX(tItens[Produto],1):tItens[[#This Row],[Produto]],tItens[[#This Row],[Produto]])=1,1,0)</f>
        <v>1</v>
      </c>
    </row>
    <row r="1914" spans="1:16" x14ac:dyDescent="0.25">
      <c r="A1914" t="s">
        <v>1193</v>
      </c>
      <c r="B1914">
        <v>213</v>
      </c>
      <c r="C1914" t="s">
        <v>4955</v>
      </c>
      <c r="D1914" t="s">
        <v>249</v>
      </c>
      <c r="E1914" s="13">
        <v>100</v>
      </c>
      <c r="F1914" s="12">
        <v>8.6199999999999992</v>
      </c>
      <c r="G1914" t="str">
        <f>IFERROR(INDEX(tEditais[Órgão],MATCH(tItens[[#This Row],[Edital]],tEditais[Edital],0)),"")</f>
        <v>MUNICIPIO DE CACHOEIRA DOURADA</v>
      </c>
      <c r="H1914" t="str">
        <f>IFERROR(INDEX(tEditais[UF],MATCH(tItens[[#This Row],[Edital]],tEditais[Edital],0)),"")</f>
        <v>GO</v>
      </c>
      <c r="I1914" s="11">
        <f>IFERROR(INDEX(tEditais[Encerramento],MATCH(tItens[[#This Row],[Edital]],tEditais[Edital],0)),"")</f>
        <v>46310.333333333336</v>
      </c>
      <c r="J1914" t="str">
        <f>IFERROR(INDEX(tProdutos[Classe],MATCH(tItens[[#This Row],[Produto]],tProdutos[Produto],0)),"produto não cadastrado")</f>
        <v>FORA</v>
      </c>
      <c r="K1914" s="12">
        <f>tItens[[#This Row],[Qtd]]*tItens[[#This Row],[Vlr unit]]</f>
        <v>861.99999999999989</v>
      </c>
      <c r="L1914" s="6">
        <f>IFERROR(IF(INDEX(tProdutos[Desconto homologado],MATCH(tItens[[#This Row],[Produto]],tProdutos[Produto],0))="",DescontoPadrao,INDEX(tProdutos[Desconto homologado],MATCH(tItens[[#This Row],[Produto]],tProdutos[Produto],0))),DescontoPadrao)</f>
        <v>0.45399945399945402</v>
      </c>
      <c r="M1914" s="12">
        <f>tItens[[#This Row],[Valor]]*(1-tItens[[#This Row],[Desconto]])</f>
        <v>470.65247065247053</v>
      </c>
      <c r="N1914" t="str">
        <f>IFERROR(INDEX(tProdutos[Foco],MATCH(tItens[[#This Row],[Produto]],tProdutos[Produto],0)),"Não")</f>
        <v>Não</v>
      </c>
      <c r="O1914" t="str">
        <f>IFERROR(INDEX(tEditais[SRP],MATCH(tItens[[#This Row],[Edital]],tEditais[Edital],0)),"Não")</f>
        <v>Não</v>
      </c>
      <c r="P1914" s="4">
        <f>IF(COUNTIFS(INDEX(tItens[Edital],1):tItens[[#This Row],[Edital]],tItens[[#This Row],[Edital]],INDEX(tItens[Produto],1):tItens[[#This Row],[Produto]],tItens[[#This Row],[Produto]])=1,1,0)</f>
        <v>1</v>
      </c>
    </row>
    <row r="1915" spans="1:16" x14ac:dyDescent="0.25">
      <c r="A1915" t="s">
        <v>1193</v>
      </c>
      <c r="B1915">
        <v>214</v>
      </c>
      <c r="C1915" t="s">
        <v>4956</v>
      </c>
      <c r="D1915" t="s">
        <v>257</v>
      </c>
      <c r="E1915" s="13">
        <v>10</v>
      </c>
      <c r="F1915" s="12">
        <v>8.52</v>
      </c>
      <c r="G1915" t="str">
        <f>IFERROR(INDEX(tEditais[Órgão],MATCH(tItens[[#This Row],[Edital]],tEditais[Edital],0)),"")</f>
        <v>MUNICIPIO DE CACHOEIRA DOURADA</v>
      </c>
      <c r="H1915" t="str">
        <f>IFERROR(INDEX(tEditais[UF],MATCH(tItens[[#This Row],[Edital]],tEditais[Edital],0)),"")</f>
        <v>GO</v>
      </c>
      <c r="I1915" s="11">
        <f>IFERROR(INDEX(tEditais[Encerramento],MATCH(tItens[[#This Row],[Edital]],tEditais[Edital],0)),"")</f>
        <v>46310.333333333336</v>
      </c>
      <c r="J1915" t="str">
        <f>IFERROR(INDEX(tProdutos[Classe],MATCH(tItens[[#This Row],[Produto]],tProdutos[Produto],0)),"produto não cadastrado")</f>
        <v>FORA</v>
      </c>
      <c r="K1915" s="12">
        <f>tItens[[#This Row],[Qtd]]*tItens[[#This Row],[Vlr unit]]</f>
        <v>85.199999999999989</v>
      </c>
      <c r="L1915" s="6">
        <f>IFERROR(IF(INDEX(tProdutos[Desconto homologado],MATCH(tItens[[#This Row],[Produto]],tProdutos[Produto],0))="",DescontoPadrao,INDEX(tProdutos[Desconto homologado],MATCH(tItens[[#This Row],[Produto]],tProdutos[Produto],0))),DescontoPadrao)</f>
        <v>0.500812004991805</v>
      </c>
      <c r="M1915" s="12">
        <f>tItens[[#This Row],[Valor]]*(1-tItens[[#This Row],[Desconto]])</f>
        <v>42.530817174698207</v>
      </c>
      <c r="N1915" t="str">
        <f>IFERROR(INDEX(tProdutos[Foco],MATCH(tItens[[#This Row],[Produto]],tProdutos[Produto],0)),"Não")</f>
        <v>Não</v>
      </c>
      <c r="O1915" t="str">
        <f>IFERROR(INDEX(tEditais[SRP],MATCH(tItens[[#This Row],[Edital]],tEditais[Edital],0)),"Não")</f>
        <v>Não</v>
      </c>
      <c r="P1915" s="4">
        <f>IF(COUNTIFS(INDEX(tItens[Edital],1):tItens[[#This Row],[Edital]],tItens[[#This Row],[Edital]],INDEX(tItens[Produto],1):tItens[[#This Row],[Produto]],tItens[[#This Row],[Produto]])=1,1,0)</f>
        <v>0</v>
      </c>
    </row>
    <row r="1916" spans="1:16" x14ac:dyDescent="0.25">
      <c r="A1916" t="s">
        <v>1193</v>
      </c>
      <c r="B1916">
        <v>215</v>
      </c>
      <c r="C1916" t="s">
        <v>4957</v>
      </c>
      <c r="D1916" t="s">
        <v>170</v>
      </c>
      <c r="E1916" s="13">
        <v>100</v>
      </c>
      <c r="F1916" s="12">
        <v>8.52</v>
      </c>
      <c r="G1916" t="str">
        <f>IFERROR(INDEX(tEditais[Órgão],MATCH(tItens[[#This Row],[Edital]],tEditais[Edital],0)),"")</f>
        <v>MUNICIPIO DE CACHOEIRA DOURADA</v>
      </c>
      <c r="H1916" t="str">
        <f>IFERROR(INDEX(tEditais[UF],MATCH(tItens[[#This Row],[Edital]],tEditais[Edital],0)),"")</f>
        <v>GO</v>
      </c>
      <c r="I1916" s="11">
        <f>IFERROR(INDEX(tEditais[Encerramento],MATCH(tItens[[#This Row],[Edital]],tEditais[Edital],0)),"")</f>
        <v>46310.333333333336</v>
      </c>
      <c r="J1916" t="str">
        <f>IFERROR(INDEX(tProdutos[Classe],MATCH(tItens[[#This Row],[Produto]],tProdutos[Produto],0)),"produto não cadastrado")</f>
        <v>DISPUTADO</v>
      </c>
      <c r="K1916" s="12">
        <f>tItens[[#This Row],[Qtd]]*tItens[[#This Row],[Vlr unit]]</f>
        <v>852</v>
      </c>
      <c r="L1916" s="6">
        <f>IFERROR(IF(INDEX(tProdutos[Desconto homologado],MATCH(tItens[[#This Row],[Produto]],tProdutos[Produto],0))="",DescontoPadrao,INDEX(tProdutos[Desconto homologado],MATCH(tItens[[#This Row],[Produto]],tProdutos[Produto],0))),DescontoPadrao)</f>
        <v>0.36</v>
      </c>
      <c r="M1916" s="12">
        <f>tItens[[#This Row],[Valor]]*(1-tItens[[#This Row],[Desconto]])</f>
        <v>545.28</v>
      </c>
      <c r="N1916" t="str">
        <f>IFERROR(INDEX(tProdutos[Foco],MATCH(tItens[[#This Row],[Produto]],tProdutos[Produto],0)),"Não")</f>
        <v>Sim</v>
      </c>
      <c r="O1916" t="str">
        <f>IFERROR(INDEX(tEditais[SRP],MATCH(tItens[[#This Row],[Edital]],tEditais[Edital],0)),"Não")</f>
        <v>Não</v>
      </c>
      <c r="P1916" s="4">
        <f>IF(COUNTIFS(INDEX(tItens[Edital],1):tItens[[#This Row],[Edital]],tItens[[#This Row],[Edital]],INDEX(tItens[Produto],1):tItens[[#This Row],[Produto]],tItens[[#This Row],[Produto]])=1,1,0)</f>
        <v>1</v>
      </c>
    </row>
    <row r="1917" spans="1:16" x14ac:dyDescent="0.25">
      <c r="A1917" t="s">
        <v>1193</v>
      </c>
      <c r="B1917">
        <v>216</v>
      </c>
      <c r="C1917" t="s">
        <v>4958</v>
      </c>
      <c r="D1917" t="s">
        <v>170</v>
      </c>
      <c r="E1917" s="13">
        <v>100</v>
      </c>
      <c r="F1917" s="12">
        <v>17.3</v>
      </c>
      <c r="G1917" t="str">
        <f>IFERROR(INDEX(tEditais[Órgão],MATCH(tItens[[#This Row],[Edital]],tEditais[Edital],0)),"")</f>
        <v>MUNICIPIO DE CACHOEIRA DOURADA</v>
      </c>
      <c r="H1917" t="str">
        <f>IFERROR(INDEX(tEditais[UF],MATCH(tItens[[#This Row],[Edital]],tEditais[Edital],0)),"")</f>
        <v>GO</v>
      </c>
      <c r="I1917" s="11">
        <f>IFERROR(INDEX(tEditais[Encerramento],MATCH(tItens[[#This Row],[Edital]],tEditais[Edital],0)),"")</f>
        <v>46310.333333333336</v>
      </c>
      <c r="J1917" t="str">
        <f>IFERROR(INDEX(tProdutos[Classe],MATCH(tItens[[#This Row],[Produto]],tProdutos[Produto],0)),"produto não cadastrado")</f>
        <v>DISPUTADO</v>
      </c>
      <c r="K1917" s="12">
        <f>tItens[[#This Row],[Qtd]]*tItens[[#This Row],[Vlr unit]]</f>
        <v>1730</v>
      </c>
      <c r="L1917" s="6">
        <f>IFERROR(IF(INDEX(tProdutos[Desconto homologado],MATCH(tItens[[#This Row],[Produto]],tProdutos[Produto],0))="",DescontoPadrao,INDEX(tProdutos[Desconto homologado],MATCH(tItens[[#This Row],[Produto]],tProdutos[Produto],0))),DescontoPadrao)</f>
        <v>0.36</v>
      </c>
      <c r="M1917" s="12">
        <f>tItens[[#This Row],[Valor]]*(1-tItens[[#This Row],[Desconto]])</f>
        <v>1107.2</v>
      </c>
      <c r="N1917" t="str">
        <f>IFERROR(INDEX(tProdutos[Foco],MATCH(tItens[[#This Row],[Produto]],tProdutos[Produto],0)),"Não")</f>
        <v>Sim</v>
      </c>
      <c r="O1917" t="str">
        <f>IFERROR(INDEX(tEditais[SRP],MATCH(tItens[[#This Row],[Edital]],tEditais[Edital],0)),"Não")</f>
        <v>Não</v>
      </c>
      <c r="P1917" s="4">
        <f>IF(COUNTIFS(INDEX(tItens[Edital],1):tItens[[#This Row],[Edital]],tItens[[#This Row],[Edital]],INDEX(tItens[Produto],1):tItens[[#This Row],[Produto]],tItens[[#This Row],[Produto]])=1,1,0)</f>
        <v>0</v>
      </c>
    </row>
    <row r="1918" spans="1:16" x14ac:dyDescent="0.25">
      <c r="A1918" t="s">
        <v>1193</v>
      </c>
      <c r="B1918">
        <v>217</v>
      </c>
      <c r="C1918" t="s">
        <v>4959</v>
      </c>
      <c r="D1918" t="s">
        <v>170</v>
      </c>
      <c r="E1918" s="13">
        <v>100</v>
      </c>
      <c r="F1918" s="12">
        <v>16.62</v>
      </c>
      <c r="G1918" t="str">
        <f>IFERROR(INDEX(tEditais[Órgão],MATCH(tItens[[#This Row],[Edital]],tEditais[Edital],0)),"")</f>
        <v>MUNICIPIO DE CACHOEIRA DOURADA</v>
      </c>
      <c r="H1918" t="str">
        <f>IFERROR(INDEX(tEditais[UF],MATCH(tItens[[#This Row],[Edital]],tEditais[Edital],0)),"")</f>
        <v>GO</v>
      </c>
      <c r="I1918" s="11">
        <f>IFERROR(INDEX(tEditais[Encerramento],MATCH(tItens[[#This Row],[Edital]],tEditais[Edital],0)),"")</f>
        <v>46310.333333333336</v>
      </c>
      <c r="J1918" t="str">
        <f>IFERROR(INDEX(tProdutos[Classe],MATCH(tItens[[#This Row],[Produto]],tProdutos[Produto],0)),"produto não cadastrado")</f>
        <v>DISPUTADO</v>
      </c>
      <c r="K1918" s="12">
        <f>tItens[[#This Row],[Qtd]]*tItens[[#This Row],[Vlr unit]]</f>
        <v>1662</v>
      </c>
      <c r="L1918" s="6">
        <f>IFERROR(IF(INDEX(tProdutos[Desconto homologado],MATCH(tItens[[#This Row],[Produto]],tProdutos[Produto],0))="",DescontoPadrao,INDEX(tProdutos[Desconto homologado],MATCH(tItens[[#This Row],[Produto]],tProdutos[Produto],0))),DescontoPadrao)</f>
        <v>0.36</v>
      </c>
      <c r="M1918" s="12">
        <f>tItens[[#This Row],[Valor]]*(1-tItens[[#This Row],[Desconto]])</f>
        <v>1063.68</v>
      </c>
      <c r="N1918" t="str">
        <f>IFERROR(INDEX(tProdutos[Foco],MATCH(tItens[[#This Row],[Produto]],tProdutos[Produto],0)),"Não")</f>
        <v>Sim</v>
      </c>
      <c r="O1918" t="str">
        <f>IFERROR(INDEX(tEditais[SRP],MATCH(tItens[[#This Row],[Edital]],tEditais[Edital],0)),"Não")</f>
        <v>Não</v>
      </c>
      <c r="P1918" s="4">
        <f>IF(COUNTIFS(INDEX(tItens[Edital],1):tItens[[#This Row],[Edital]],tItens[[#This Row],[Edital]],INDEX(tItens[Produto],1):tItens[[#This Row],[Produto]],tItens[[#This Row],[Produto]])=1,1,0)</f>
        <v>0</v>
      </c>
    </row>
    <row r="1919" spans="1:16" x14ac:dyDescent="0.25">
      <c r="A1919" t="s">
        <v>1193</v>
      </c>
      <c r="B1919">
        <v>218</v>
      </c>
      <c r="C1919" t="s">
        <v>4960</v>
      </c>
      <c r="D1919" t="s">
        <v>170</v>
      </c>
      <c r="E1919" s="13">
        <v>100</v>
      </c>
      <c r="F1919" s="12">
        <v>17.3</v>
      </c>
      <c r="G1919" t="str">
        <f>IFERROR(INDEX(tEditais[Órgão],MATCH(tItens[[#This Row],[Edital]],tEditais[Edital],0)),"")</f>
        <v>MUNICIPIO DE CACHOEIRA DOURADA</v>
      </c>
      <c r="H1919" t="str">
        <f>IFERROR(INDEX(tEditais[UF],MATCH(tItens[[#This Row],[Edital]],tEditais[Edital],0)),"")</f>
        <v>GO</v>
      </c>
      <c r="I1919" s="11">
        <f>IFERROR(INDEX(tEditais[Encerramento],MATCH(tItens[[#This Row],[Edital]],tEditais[Edital],0)),"")</f>
        <v>46310.333333333336</v>
      </c>
      <c r="J1919" t="str">
        <f>IFERROR(INDEX(tProdutos[Classe],MATCH(tItens[[#This Row],[Produto]],tProdutos[Produto],0)),"produto não cadastrado")</f>
        <v>DISPUTADO</v>
      </c>
      <c r="K1919" s="12">
        <f>tItens[[#This Row],[Qtd]]*tItens[[#This Row],[Vlr unit]]</f>
        <v>1730</v>
      </c>
      <c r="L1919" s="6">
        <f>IFERROR(IF(INDEX(tProdutos[Desconto homologado],MATCH(tItens[[#This Row],[Produto]],tProdutos[Produto],0))="",DescontoPadrao,INDEX(tProdutos[Desconto homologado],MATCH(tItens[[#This Row],[Produto]],tProdutos[Produto],0))),DescontoPadrao)</f>
        <v>0.36</v>
      </c>
      <c r="M1919" s="12">
        <f>tItens[[#This Row],[Valor]]*(1-tItens[[#This Row],[Desconto]])</f>
        <v>1107.2</v>
      </c>
      <c r="N1919" t="str">
        <f>IFERROR(INDEX(tProdutos[Foco],MATCH(tItens[[#This Row],[Produto]],tProdutos[Produto],0)),"Não")</f>
        <v>Sim</v>
      </c>
      <c r="O1919" t="str">
        <f>IFERROR(INDEX(tEditais[SRP],MATCH(tItens[[#This Row],[Edital]],tEditais[Edital],0)),"Não")</f>
        <v>Não</v>
      </c>
      <c r="P1919" s="4">
        <f>IF(COUNTIFS(INDEX(tItens[Edital],1):tItens[[#This Row],[Edital]],tItens[[#This Row],[Edital]],INDEX(tItens[Produto],1):tItens[[#This Row],[Produto]],tItens[[#This Row],[Produto]])=1,1,0)</f>
        <v>0</v>
      </c>
    </row>
    <row r="1920" spans="1:16" x14ac:dyDescent="0.25">
      <c r="A1920" t="s">
        <v>1193</v>
      </c>
      <c r="B1920">
        <v>219</v>
      </c>
      <c r="C1920" t="s">
        <v>4961</v>
      </c>
      <c r="D1920" t="s">
        <v>170</v>
      </c>
      <c r="E1920" s="13">
        <v>100</v>
      </c>
      <c r="F1920" s="12">
        <v>16.62</v>
      </c>
      <c r="G1920" t="str">
        <f>IFERROR(INDEX(tEditais[Órgão],MATCH(tItens[[#This Row],[Edital]],tEditais[Edital],0)),"")</f>
        <v>MUNICIPIO DE CACHOEIRA DOURADA</v>
      </c>
      <c r="H1920" t="str">
        <f>IFERROR(INDEX(tEditais[UF],MATCH(tItens[[#This Row],[Edital]],tEditais[Edital],0)),"")</f>
        <v>GO</v>
      </c>
      <c r="I1920" s="11">
        <f>IFERROR(INDEX(tEditais[Encerramento],MATCH(tItens[[#This Row],[Edital]],tEditais[Edital],0)),"")</f>
        <v>46310.333333333336</v>
      </c>
      <c r="J1920" t="str">
        <f>IFERROR(INDEX(tProdutos[Classe],MATCH(tItens[[#This Row],[Produto]],tProdutos[Produto],0)),"produto não cadastrado")</f>
        <v>DISPUTADO</v>
      </c>
      <c r="K1920" s="12">
        <f>tItens[[#This Row],[Qtd]]*tItens[[#This Row],[Vlr unit]]</f>
        <v>1662</v>
      </c>
      <c r="L1920" s="6">
        <f>IFERROR(IF(INDEX(tProdutos[Desconto homologado],MATCH(tItens[[#This Row],[Produto]],tProdutos[Produto],0))="",DescontoPadrao,INDEX(tProdutos[Desconto homologado],MATCH(tItens[[#This Row],[Produto]],tProdutos[Produto],0))),DescontoPadrao)</f>
        <v>0.36</v>
      </c>
      <c r="M1920" s="12">
        <f>tItens[[#This Row],[Valor]]*(1-tItens[[#This Row],[Desconto]])</f>
        <v>1063.68</v>
      </c>
      <c r="N1920" t="str">
        <f>IFERROR(INDEX(tProdutos[Foco],MATCH(tItens[[#This Row],[Produto]],tProdutos[Produto],0)),"Não")</f>
        <v>Sim</v>
      </c>
      <c r="O1920" t="str">
        <f>IFERROR(INDEX(tEditais[SRP],MATCH(tItens[[#This Row],[Edital]],tEditais[Edital],0)),"Não")</f>
        <v>Não</v>
      </c>
      <c r="P1920" s="4">
        <f>IF(COUNTIFS(INDEX(tItens[Edital],1):tItens[[#This Row],[Edital]],tItens[[#This Row],[Edital]],INDEX(tItens[Produto],1):tItens[[#This Row],[Produto]],tItens[[#This Row],[Produto]])=1,1,0)</f>
        <v>0</v>
      </c>
    </row>
    <row r="1921" spans="1:16" x14ac:dyDescent="0.25">
      <c r="A1921" t="s">
        <v>1193</v>
      </c>
      <c r="B1921">
        <v>220</v>
      </c>
      <c r="C1921" t="s">
        <v>4962</v>
      </c>
      <c r="D1921" t="s">
        <v>170</v>
      </c>
      <c r="E1921" s="13">
        <v>100</v>
      </c>
      <c r="F1921" s="12">
        <v>17.53</v>
      </c>
      <c r="G1921" t="str">
        <f>IFERROR(INDEX(tEditais[Órgão],MATCH(tItens[[#This Row],[Edital]],tEditais[Edital],0)),"")</f>
        <v>MUNICIPIO DE CACHOEIRA DOURADA</v>
      </c>
      <c r="H1921" t="str">
        <f>IFERROR(INDEX(tEditais[UF],MATCH(tItens[[#This Row],[Edital]],tEditais[Edital],0)),"")</f>
        <v>GO</v>
      </c>
      <c r="I1921" s="11">
        <f>IFERROR(INDEX(tEditais[Encerramento],MATCH(tItens[[#This Row],[Edital]],tEditais[Edital],0)),"")</f>
        <v>46310.333333333336</v>
      </c>
      <c r="J1921" t="str">
        <f>IFERROR(INDEX(tProdutos[Classe],MATCH(tItens[[#This Row],[Produto]],tProdutos[Produto],0)),"produto não cadastrado")</f>
        <v>DISPUTADO</v>
      </c>
      <c r="K1921" s="12">
        <f>tItens[[#This Row],[Qtd]]*tItens[[#This Row],[Vlr unit]]</f>
        <v>1753</v>
      </c>
      <c r="L1921" s="6">
        <f>IFERROR(IF(INDEX(tProdutos[Desconto homologado],MATCH(tItens[[#This Row],[Produto]],tProdutos[Produto],0))="",DescontoPadrao,INDEX(tProdutos[Desconto homologado],MATCH(tItens[[#This Row],[Produto]],tProdutos[Produto],0))),DescontoPadrao)</f>
        <v>0.36</v>
      </c>
      <c r="M1921" s="12">
        <f>tItens[[#This Row],[Valor]]*(1-tItens[[#This Row],[Desconto]])</f>
        <v>1121.92</v>
      </c>
      <c r="N1921" t="str">
        <f>IFERROR(INDEX(tProdutos[Foco],MATCH(tItens[[#This Row],[Produto]],tProdutos[Produto],0)),"Não")</f>
        <v>Sim</v>
      </c>
      <c r="O1921" t="str">
        <f>IFERROR(INDEX(tEditais[SRP],MATCH(tItens[[#This Row],[Edital]],tEditais[Edital],0)),"Não")</f>
        <v>Não</v>
      </c>
      <c r="P1921" s="4">
        <f>IF(COUNTIFS(INDEX(tItens[Edital],1):tItens[[#This Row],[Edital]],tItens[[#This Row],[Edital]],INDEX(tItens[Produto],1):tItens[[#This Row],[Produto]],tItens[[#This Row],[Produto]])=1,1,0)</f>
        <v>0</v>
      </c>
    </row>
    <row r="1922" spans="1:16" x14ac:dyDescent="0.25">
      <c r="A1922" t="s">
        <v>1193</v>
      </c>
      <c r="B1922">
        <v>221</v>
      </c>
      <c r="C1922" t="s">
        <v>4963</v>
      </c>
      <c r="D1922" t="s">
        <v>170</v>
      </c>
      <c r="E1922" s="13">
        <v>100</v>
      </c>
      <c r="F1922" s="12">
        <v>17.239999999999998</v>
      </c>
      <c r="G1922" t="str">
        <f>IFERROR(INDEX(tEditais[Órgão],MATCH(tItens[[#This Row],[Edital]],tEditais[Edital],0)),"")</f>
        <v>MUNICIPIO DE CACHOEIRA DOURADA</v>
      </c>
      <c r="H1922" t="str">
        <f>IFERROR(INDEX(tEditais[UF],MATCH(tItens[[#This Row],[Edital]],tEditais[Edital],0)),"")</f>
        <v>GO</v>
      </c>
      <c r="I1922" s="11">
        <f>IFERROR(INDEX(tEditais[Encerramento],MATCH(tItens[[#This Row],[Edital]],tEditais[Edital],0)),"")</f>
        <v>46310.333333333336</v>
      </c>
      <c r="J1922" t="str">
        <f>IFERROR(INDEX(tProdutos[Classe],MATCH(tItens[[#This Row],[Produto]],tProdutos[Produto],0)),"produto não cadastrado")</f>
        <v>DISPUTADO</v>
      </c>
      <c r="K1922" s="12">
        <f>tItens[[#This Row],[Qtd]]*tItens[[#This Row],[Vlr unit]]</f>
        <v>1723.9999999999998</v>
      </c>
      <c r="L1922" s="6">
        <f>IFERROR(IF(INDEX(tProdutos[Desconto homologado],MATCH(tItens[[#This Row],[Produto]],tProdutos[Produto],0))="",DescontoPadrao,INDEX(tProdutos[Desconto homologado],MATCH(tItens[[#This Row],[Produto]],tProdutos[Produto],0))),DescontoPadrao)</f>
        <v>0.36</v>
      </c>
      <c r="M1922" s="12">
        <f>tItens[[#This Row],[Valor]]*(1-tItens[[#This Row],[Desconto]])</f>
        <v>1103.3599999999999</v>
      </c>
      <c r="N1922" t="str">
        <f>IFERROR(INDEX(tProdutos[Foco],MATCH(tItens[[#This Row],[Produto]],tProdutos[Produto],0)),"Não")</f>
        <v>Sim</v>
      </c>
      <c r="O1922" t="str">
        <f>IFERROR(INDEX(tEditais[SRP],MATCH(tItens[[#This Row],[Edital]],tEditais[Edital],0)),"Não")</f>
        <v>Não</v>
      </c>
      <c r="P1922" s="4">
        <f>IF(COUNTIFS(INDEX(tItens[Edital],1):tItens[[#This Row],[Edital]],tItens[[#This Row],[Edital]],INDEX(tItens[Produto],1):tItens[[#This Row],[Produto]],tItens[[#This Row],[Produto]])=1,1,0)</f>
        <v>0</v>
      </c>
    </row>
    <row r="1923" spans="1:16" x14ac:dyDescent="0.25">
      <c r="A1923" t="s">
        <v>1193</v>
      </c>
      <c r="B1923">
        <v>231</v>
      </c>
      <c r="C1923" t="s">
        <v>4964</v>
      </c>
      <c r="D1923" t="s">
        <v>494</v>
      </c>
      <c r="E1923" s="13">
        <v>150</v>
      </c>
      <c r="F1923" s="12">
        <v>30.29</v>
      </c>
      <c r="G1923" t="str">
        <f>IFERROR(INDEX(tEditais[Órgão],MATCH(tItens[[#This Row],[Edital]],tEditais[Edital],0)),"")</f>
        <v>MUNICIPIO DE CACHOEIRA DOURADA</v>
      </c>
      <c r="H1923" t="str">
        <f>IFERROR(INDEX(tEditais[UF],MATCH(tItens[[#This Row],[Edital]],tEditais[Edital],0)),"")</f>
        <v>GO</v>
      </c>
      <c r="I1923" s="11">
        <f>IFERROR(INDEX(tEditais[Encerramento],MATCH(tItens[[#This Row],[Edital]],tEditais[Edital],0)),"")</f>
        <v>46310.333333333336</v>
      </c>
      <c r="J1923" t="str">
        <f>IFERROR(INDEX(tProdutos[Classe],MATCH(tItens[[#This Row],[Produto]],tProdutos[Produto],0)),"produto não cadastrado")</f>
        <v>FILA REBASE</v>
      </c>
      <c r="K1923" s="12">
        <f>tItens[[#This Row],[Qtd]]*tItens[[#This Row],[Vlr unit]]</f>
        <v>4543.5</v>
      </c>
      <c r="L1923" s="6">
        <f>IFERROR(IF(INDEX(tProdutos[Desconto homologado],MATCH(tItens[[#This Row],[Produto]],tProdutos[Produto],0))="",DescontoPadrao,INDEX(tProdutos[Desconto homologado],MATCH(tItens[[#This Row],[Produto]],tProdutos[Produto],0))),DescontoPadrao)</f>
        <v>0.253736324829619</v>
      </c>
      <c r="M1923" s="12">
        <f>tItens[[#This Row],[Valor]]*(1-tItens[[#This Row],[Desconto]])</f>
        <v>3390.6490081366264</v>
      </c>
      <c r="N1923" t="str">
        <f>IFERROR(INDEX(tProdutos[Foco],MATCH(tItens[[#This Row],[Produto]],tProdutos[Produto],0)),"Não")</f>
        <v>Não</v>
      </c>
      <c r="O1923" t="str">
        <f>IFERROR(INDEX(tEditais[SRP],MATCH(tItens[[#This Row],[Edital]],tEditais[Edital],0)),"Não")</f>
        <v>Não</v>
      </c>
      <c r="P1923" s="4">
        <f>IF(COUNTIFS(INDEX(tItens[Edital],1):tItens[[#This Row],[Edital]],tItens[[#This Row],[Edital]],INDEX(tItens[Produto],1):tItens[[#This Row],[Produto]],tItens[[#This Row],[Produto]])=1,1,0)</f>
        <v>1</v>
      </c>
    </row>
    <row r="1924" spans="1:16" x14ac:dyDescent="0.25">
      <c r="A1924" t="s">
        <v>1193</v>
      </c>
      <c r="B1924">
        <v>232</v>
      </c>
      <c r="C1924" t="s">
        <v>4965</v>
      </c>
      <c r="D1924" t="s">
        <v>494</v>
      </c>
      <c r="E1924" s="13">
        <v>150</v>
      </c>
      <c r="F1924" s="12">
        <v>42.35</v>
      </c>
      <c r="G1924" t="str">
        <f>IFERROR(INDEX(tEditais[Órgão],MATCH(tItens[[#This Row],[Edital]],tEditais[Edital],0)),"")</f>
        <v>MUNICIPIO DE CACHOEIRA DOURADA</v>
      </c>
      <c r="H1924" t="str">
        <f>IFERROR(INDEX(tEditais[UF],MATCH(tItens[[#This Row],[Edital]],tEditais[Edital],0)),"")</f>
        <v>GO</v>
      </c>
      <c r="I1924" s="11">
        <f>IFERROR(INDEX(tEditais[Encerramento],MATCH(tItens[[#This Row],[Edital]],tEditais[Edital],0)),"")</f>
        <v>46310.333333333336</v>
      </c>
      <c r="J1924" t="str">
        <f>IFERROR(INDEX(tProdutos[Classe],MATCH(tItens[[#This Row],[Produto]],tProdutos[Produto],0)),"produto não cadastrado")</f>
        <v>FILA REBASE</v>
      </c>
      <c r="K1924" s="12">
        <f>tItens[[#This Row],[Qtd]]*tItens[[#This Row],[Vlr unit]]</f>
        <v>6352.5</v>
      </c>
      <c r="L1924" s="6">
        <f>IFERROR(IF(INDEX(tProdutos[Desconto homologado],MATCH(tItens[[#This Row],[Produto]],tProdutos[Produto],0))="",DescontoPadrao,INDEX(tProdutos[Desconto homologado],MATCH(tItens[[#This Row],[Produto]],tProdutos[Produto],0))),DescontoPadrao)</f>
        <v>0.253736324829619</v>
      </c>
      <c r="M1924" s="12">
        <f>tItens[[#This Row],[Valor]]*(1-tItens[[#This Row],[Desconto]])</f>
        <v>4740.6399965198452</v>
      </c>
      <c r="N1924" t="str">
        <f>IFERROR(INDEX(tProdutos[Foco],MATCH(tItens[[#This Row],[Produto]],tProdutos[Produto],0)),"Não")</f>
        <v>Não</v>
      </c>
      <c r="O1924" t="str">
        <f>IFERROR(INDEX(tEditais[SRP],MATCH(tItens[[#This Row],[Edital]],tEditais[Edital],0)),"Não")</f>
        <v>Não</v>
      </c>
      <c r="P1924" s="4">
        <f>IF(COUNTIFS(INDEX(tItens[Edital],1):tItens[[#This Row],[Edital]],tItens[[#This Row],[Edital]],INDEX(tItens[Produto],1):tItens[[#This Row],[Produto]],tItens[[#This Row],[Produto]])=1,1,0)</f>
        <v>0</v>
      </c>
    </row>
    <row r="1925" spans="1:16" x14ac:dyDescent="0.25">
      <c r="A1925" t="s">
        <v>1193</v>
      </c>
      <c r="B1925">
        <v>233</v>
      </c>
      <c r="C1925" t="s">
        <v>4966</v>
      </c>
      <c r="D1925" t="s">
        <v>494</v>
      </c>
      <c r="E1925" s="13">
        <v>150</v>
      </c>
      <c r="F1925" s="12">
        <v>46.3</v>
      </c>
      <c r="G1925" t="str">
        <f>IFERROR(INDEX(tEditais[Órgão],MATCH(tItens[[#This Row],[Edital]],tEditais[Edital],0)),"")</f>
        <v>MUNICIPIO DE CACHOEIRA DOURADA</v>
      </c>
      <c r="H1925" t="str">
        <f>IFERROR(INDEX(tEditais[UF],MATCH(tItens[[#This Row],[Edital]],tEditais[Edital],0)),"")</f>
        <v>GO</v>
      </c>
      <c r="I1925" s="11">
        <f>IFERROR(INDEX(tEditais[Encerramento],MATCH(tItens[[#This Row],[Edital]],tEditais[Edital],0)),"")</f>
        <v>46310.333333333336</v>
      </c>
      <c r="J1925" t="str">
        <f>IFERROR(INDEX(tProdutos[Classe],MATCH(tItens[[#This Row],[Produto]],tProdutos[Produto],0)),"produto não cadastrado")</f>
        <v>FILA REBASE</v>
      </c>
      <c r="K1925" s="12">
        <f>tItens[[#This Row],[Qtd]]*tItens[[#This Row],[Vlr unit]]</f>
        <v>6945</v>
      </c>
      <c r="L1925" s="6">
        <f>IFERROR(IF(INDEX(tProdutos[Desconto homologado],MATCH(tItens[[#This Row],[Produto]],tProdutos[Produto],0))="",DescontoPadrao,INDEX(tProdutos[Desconto homologado],MATCH(tItens[[#This Row],[Produto]],tProdutos[Produto],0))),DescontoPadrao)</f>
        <v>0.253736324829619</v>
      </c>
      <c r="M1925" s="12">
        <f>tItens[[#This Row],[Valor]]*(1-tItens[[#This Row],[Desconto]])</f>
        <v>5182.8012240582966</v>
      </c>
      <c r="N1925" t="str">
        <f>IFERROR(INDEX(tProdutos[Foco],MATCH(tItens[[#This Row],[Produto]],tProdutos[Produto],0)),"Não")</f>
        <v>Não</v>
      </c>
      <c r="O1925" t="str">
        <f>IFERROR(INDEX(tEditais[SRP],MATCH(tItens[[#This Row],[Edital]],tEditais[Edital],0)),"Não")</f>
        <v>Não</v>
      </c>
      <c r="P1925" s="4">
        <f>IF(COUNTIFS(INDEX(tItens[Edital],1):tItens[[#This Row],[Edital]],tItens[[#This Row],[Edital]],INDEX(tItens[Produto],1):tItens[[#This Row],[Produto]],tItens[[#This Row],[Produto]])=1,1,0)</f>
        <v>0</v>
      </c>
    </row>
    <row r="1926" spans="1:16" x14ac:dyDescent="0.25">
      <c r="A1926" t="s">
        <v>1193</v>
      </c>
      <c r="B1926">
        <v>234</v>
      </c>
      <c r="C1926" t="s">
        <v>4967</v>
      </c>
      <c r="D1926" t="s">
        <v>494</v>
      </c>
      <c r="E1926" s="13">
        <v>150</v>
      </c>
      <c r="F1926" s="12">
        <v>57.11</v>
      </c>
      <c r="G1926" t="str">
        <f>IFERROR(INDEX(tEditais[Órgão],MATCH(tItens[[#This Row],[Edital]],tEditais[Edital],0)),"")</f>
        <v>MUNICIPIO DE CACHOEIRA DOURADA</v>
      </c>
      <c r="H1926" t="str">
        <f>IFERROR(INDEX(tEditais[UF],MATCH(tItens[[#This Row],[Edital]],tEditais[Edital],0)),"")</f>
        <v>GO</v>
      </c>
      <c r="I1926" s="11">
        <f>IFERROR(INDEX(tEditais[Encerramento],MATCH(tItens[[#This Row],[Edital]],tEditais[Edital],0)),"")</f>
        <v>46310.333333333336</v>
      </c>
      <c r="J1926" t="str">
        <f>IFERROR(INDEX(tProdutos[Classe],MATCH(tItens[[#This Row],[Produto]],tProdutos[Produto],0)),"produto não cadastrado")</f>
        <v>FILA REBASE</v>
      </c>
      <c r="K1926" s="12">
        <f>tItens[[#This Row],[Qtd]]*tItens[[#This Row],[Vlr unit]]</f>
        <v>8566.5</v>
      </c>
      <c r="L1926" s="6">
        <f>IFERROR(IF(INDEX(tProdutos[Desconto homologado],MATCH(tItens[[#This Row],[Produto]],tProdutos[Produto],0))="",DescontoPadrao,INDEX(tProdutos[Desconto homologado],MATCH(tItens[[#This Row],[Produto]],tProdutos[Produto],0))),DescontoPadrao)</f>
        <v>0.253736324829619</v>
      </c>
      <c r="M1926" s="12">
        <f>tItens[[#This Row],[Valor]]*(1-tItens[[#This Row],[Desconto]])</f>
        <v>6392.8677733470695</v>
      </c>
      <c r="N1926" t="str">
        <f>IFERROR(INDEX(tProdutos[Foco],MATCH(tItens[[#This Row],[Produto]],tProdutos[Produto],0)),"Não")</f>
        <v>Não</v>
      </c>
      <c r="O1926" t="str">
        <f>IFERROR(INDEX(tEditais[SRP],MATCH(tItens[[#This Row],[Edital]],tEditais[Edital],0)),"Não")</f>
        <v>Não</v>
      </c>
      <c r="P1926" s="4">
        <f>IF(COUNTIFS(INDEX(tItens[Edital],1):tItens[[#This Row],[Edital]],tItens[[#This Row],[Edital]],INDEX(tItens[Produto],1):tItens[[#This Row],[Produto]],tItens[[#This Row],[Produto]])=1,1,0)</f>
        <v>0</v>
      </c>
    </row>
    <row r="1927" spans="1:16" x14ac:dyDescent="0.25">
      <c r="A1927" t="s">
        <v>1193</v>
      </c>
      <c r="B1927">
        <v>235</v>
      </c>
      <c r="C1927" t="s">
        <v>4968</v>
      </c>
      <c r="D1927" t="s">
        <v>494</v>
      </c>
      <c r="E1927" s="13">
        <v>150</v>
      </c>
      <c r="F1927" s="12">
        <v>58.1</v>
      </c>
      <c r="G1927" t="str">
        <f>IFERROR(INDEX(tEditais[Órgão],MATCH(tItens[[#This Row],[Edital]],tEditais[Edital],0)),"")</f>
        <v>MUNICIPIO DE CACHOEIRA DOURADA</v>
      </c>
      <c r="H1927" t="str">
        <f>IFERROR(INDEX(tEditais[UF],MATCH(tItens[[#This Row],[Edital]],tEditais[Edital],0)),"")</f>
        <v>GO</v>
      </c>
      <c r="I1927" s="11">
        <f>IFERROR(INDEX(tEditais[Encerramento],MATCH(tItens[[#This Row],[Edital]],tEditais[Edital],0)),"")</f>
        <v>46310.333333333336</v>
      </c>
      <c r="J1927" t="str">
        <f>IFERROR(INDEX(tProdutos[Classe],MATCH(tItens[[#This Row],[Produto]],tProdutos[Produto],0)),"produto não cadastrado")</f>
        <v>FILA REBASE</v>
      </c>
      <c r="K1927" s="12">
        <f>tItens[[#This Row],[Qtd]]*tItens[[#This Row],[Vlr unit]]</f>
        <v>8715</v>
      </c>
      <c r="L1927" s="6">
        <f>IFERROR(IF(INDEX(tProdutos[Desconto homologado],MATCH(tItens[[#This Row],[Produto]],tProdutos[Produto],0))="",DescontoPadrao,INDEX(tProdutos[Desconto homologado],MATCH(tItens[[#This Row],[Produto]],tProdutos[Produto],0))),DescontoPadrao)</f>
        <v>0.253736324829619</v>
      </c>
      <c r="M1927" s="12">
        <f>tItens[[#This Row],[Valor]]*(1-tItens[[#This Row],[Desconto]])</f>
        <v>6503.6879291098712</v>
      </c>
      <c r="N1927" t="str">
        <f>IFERROR(INDEX(tProdutos[Foco],MATCH(tItens[[#This Row],[Produto]],tProdutos[Produto],0)),"Não")</f>
        <v>Não</v>
      </c>
      <c r="O1927" t="str">
        <f>IFERROR(INDEX(tEditais[SRP],MATCH(tItens[[#This Row],[Edital]],tEditais[Edital],0)),"Não")</f>
        <v>Não</v>
      </c>
      <c r="P1927" s="4">
        <f>IF(COUNTIFS(INDEX(tItens[Edital],1):tItens[[#This Row],[Edital]],tItens[[#This Row],[Edital]],INDEX(tItens[Produto],1):tItens[[#This Row],[Produto]],tItens[[#This Row],[Produto]])=1,1,0)</f>
        <v>0</v>
      </c>
    </row>
    <row r="1928" spans="1:16" x14ac:dyDescent="0.25">
      <c r="A1928" t="s">
        <v>1193</v>
      </c>
      <c r="B1928">
        <v>236</v>
      </c>
      <c r="C1928" t="s">
        <v>4969</v>
      </c>
      <c r="D1928" t="s">
        <v>494</v>
      </c>
      <c r="E1928" s="13">
        <v>50</v>
      </c>
      <c r="F1928" s="12">
        <v>70.58</v>
      </c>
      <c r="G1928" t="str">
        <f>IFERROR(INDEX(tEditais[Órgão],MATCH(tItens[[#This Row],[Edital]],tEditais[Edital],0)),"")</f>
        <v>MUNICIPIO DE CACHOEIRA DOURADA</v>
      </c>
      <c r="H1928" t="str">
        <f>IFERROR(INDEX(tEditais[UF],MATCH(tItens[[#This Row],[Edital]],tEditais[Edital],0)),"")</f>
        <v>GO</v>
      </c>
      <c r="I1928" s="11">
        <f>IFERROR(INDEX(tEditais[Encerramento],MATCH(tItens[[#This Row],[Edital]],tEditais[Edital],0)),"")</f>
        <v>46310.333333333336</v>
      </c>
      <c r="J1928" t="str">
        <f>IFERROR(INDEX(tProdutos[Classe],MATCH(tItens[[#This Row],[Produto]],tProdutos[Produto],0)),"produto não cadastrado")</f>
        <v>FILA REBASE</v>
      </c>
      <c r="K1928" s="12">
        <f>tItens[[#This Row],[Qtd]]*tItens[[#This Row],[Vlr unit]]</f>
        <v>3529</v>
      </c>
      <c r="L1928" s="6">
        <f>IFERROR(IF(INDEX(tProdutos[Desconto homologado],MATCH(tItens[[#This Row],[Produto]],tProdutos[Produto],0))="",DescontoPadrao,INDEX(tProdutos[Desconto homologado],MATCH(tItens[[#This Row],[Produto]],tProdutos[Produto],0))),DescontoPadrao)</f>
        <v>0.253736324829619</v>
      </c>
      <c r="M1928" s="12">
        <f>tItens[[#This Row],[Valor]]*(1-tItens[[#This Row],[Desconto]])</f>
        <v>2633.5645096762746</v>
      </c>
      <c r="N1928" t="str">
        <f>IFERROR(INDEX(tProdutos[Foco],MATCH(tItens[[#This Row],[Produto]],tProdutos[Produto],0)),"Não")</f>
        <v>Não</v>
      </c>
      <c r="O1928" t="str">
        <f>IFERROR(INDEX(tEditais[SRP],MATCH(tItens[[#This Row],[Edital]],tEditais[Edital],0)),"Não")</f>
        <v>Não</v>
      </c>
      <c r="P1928" s="4">
        <f>IF(COUNTIFS(INDEX(tItens[Edital],1):tItens[[#This Row],[Edital]],tItens[[#This Row],[Edital]],INDEX(tItens[Produto],1):tItens[[#This Row],[Produto]],tItens[[#This Row],[Produto]])=1,1,0)</f>
        <v>0</v>
      </c>
    </row>
    <row r="1929" spans="1:16" x14ac:dyDescent="0.25">
      <c r="A1929" t="s">
        <v>1193</v>
      </c>
      <c r="B1929">
        <v>237</v>
      </c>
      <c r="C1929" t="s">
        <v>4970</v>
      </c>
      <c r="D1929" t="s">
        <v>494</v>
      </c>
      <c r="E1929" s="13">
        <v>200</v>
      </c>
      <c r="F1929" s="12">
        <v>92.78</v>
      </c>
      <c r="G1929" t="str">
        <f>IFERROR(INDEX(tEditais[Órgão],MATCH(tItens[[#This Row],[Edital]],tEditais[Edital],0)),"")</f>
        <v>MUNICIPIO DE CACHOEIRA DOURADA</v>
      </c>
      <c r="H1929" t="str">
        <f>IFERROR(INDEX(tEditais[UF],MATCH(tItens[[#This Row],[Edital]],tEditais[Edital],0)),"")</f>
        <v>GO</v>
      </c>
      <c r="I1929" s="11">
        <f>IFERROR(INDEX(tEditais[Encerramento],MATCH(tItens[[#This Row],[Edital]],tEditais[Edital],0)),"")</f>
        <v>46310.333333333336</v>
      </c>
      <c r="J1929" t="str">
        <f>IFERROR(INDEX(tProdutos[Classe],MATCH(tItens[[#This Row],[Produto]],tProdutos[Produto],0)),"produto não cadastrado")</f>
        <v>FILA REBASE</v>
      </c>
      <c r="K1929" s="12">
        <f>tItens[[#This Row],[Qtd]]*tItens[[#This Row],[Vlr unit]]</f>
        <v>18556</v>
      </c>
      <c r="L1929" s="6">
        <f>IFERROR(IF(INDEX(tProdutos[Desconto homologado],MATCH(tItens[[#This Row],[Produto]],tProdutos[Produto],0))="",DescontoPadrao,INDEX(tProdutos[Desconto homologado],MATCH(tItens[[#This Row],[Produto]],tProdutos[Produto],0))),DescontoPadrao)</f>
        <v>0.253736324829619</v>
      </c>
      <c r="M1929" s="12">
        <f>tItens[[#This Row],[Valor]]*(1-tItens[[#This Row],[Desconto]])</f>
        <v>13847.668756461591</v>
      </c>
      <c r="N1929" t="str">
        <f>IFERROR(INDEX(tProdutos[Foco],MATCH(tItens[[#This Row],[Produto]],tProdutos[Produto],0)),"Não")</f>
        <v>Não</v>
      </c>
      <c r="O1929" t="str">
        <f>IFERROR(INDEX(tEditais[SRP],MATCH(tItens[[#This Row],[Edital]],tEditais[Edital],0)),"Não")</f>
        <v>Não</v>
      </c>
      <c r="P1929" s="4">
        <f>IF(COUNTIFS(INDEX(tItens[Edital],1):tItens[[#This Row],[Edital]],tItens[[#This Row],[Edital]],INDEX(tItens[Produto],1):tItens[[#This Row],[Produto]],tItens[[#This Row],[Produto]])=1,1,0)</f>
        <v>0</v>
      </c>
    </row>
    <row r="1930" spans="1:16" x14ac:dyDescent="0.25">
      <c r="A1930" t="s">
        <v>1193</v>
      </c>
      <c r="B1930">
        <v>238</v>
      </c>
      <c r="C1930" t="s">
        <v>4971</v>
      </c>
      <c r="D1930" t="s">
        <v>494</v>
      </c>
      <c r="E1930" s="13">
        <v>20</v>
      </c>
      <c r="F1930" s="12">
        <v>118.49</v>
      </c>
      <c r="G1930" t="str">
        <f>IFERROR(INDEX(tEditais[Órgão],MATCH(tItens[[#This Row],[Edital]],tEditais[Edital],0)),"")</f>
        <v>MUNICIPIO DE CACHOEIRA DOURADA</v>
      </c>
      <c r="H1930" t="str">
        <f>IFERROR(INDEX(tEditais[UF],MATCH(tItens[[#This Row],[Edital]],tEditais[Edital],0)),"")</f>
        <v>GO</v>
      </c>
      <c r="I1930" s="11">
        <f>IFERROR(INDEX(tEditais[Encerramento],MATCH(tItens[[#This Row],[Edital]],tEditais[Edital],0)),"")</f>
        <v>46310.333333333336</v>
      </c>
      <c r="J1930" t="str">
        <f>IFERROR(INDEX(tProdutos[Classe],MATCH(tItens[[#This Row],[Produto]],tProdutos[Produto],0)),"produto não cadastrado")</f>
        <v>FILA REBASE</v>
      </c>
      <c r="K1930" s="12">
        <f>tItens[[#This Row],[Qtd]]*tItens[[#This Row],[Vlr unit]]</f>
        <v>2369.7999999999997</v>
      </c>
      <c r="L1930" s="6">
        <f>IFERROR(IF(INDEX(tProdutos[Desconto homologado],MATCH(tItens[[#This Row],[Produto]],tProdutos[Produto],0))="",DescontoPadrao,INDEX(tProdutos[Desconto homologado],MATCH(tItens[[#This Row],[Produto]],tProdutos[Produto],0))),DescontoPadrao)</f>
        <v>0.253736324829619</v>
      </c>
      <c r="M1930" s="12">
        <f>tItens[[#This Row],[Valor]]*(1-tItens[[#This Row],[Desconto]])</f>
        <v>1768.4956574187688</v>
      </c>
      <c r="N1930" t="str">
        <f>IFERROR(INDEX(tProdutos[Foco],MATCH(tItens[[#This Row],[Produto]],tProdutos[Produto],0)),"Não")</f>
        <v>Não</v>
      </c>
      <c r="O1930" t="str">
        <f>IFERROR(INDEX(tEditais[SRP],MATCH(tItens[[#This Row],[Edital]],tEditais[Edital],0)),"Não")</f>
        <v>Não</v>
      </c>
      <c r="P1930" s="4">
        <f>IF(COUNTIFS(INDEX(tItens[Edital],1):tItens[[#This Row],[Edital]],tItens[[#This Row],[Edital]],INDEX(tItens[Produto],1):tItens[[#This Row],[Produto]],tItens[[#This Row],[Produto]])=1,1,0)</f>
        <v>0</v>
      </c>
    </row>
    <row r="1931" spans="1:16" x14ac:dyDescent="0.25">
      <c r="A1931" t="s">
        <v>1193</v>
      </c>
      <c r="B1931">
        <v>239</v>
      </c>
      <c r="C1931" t="s">
        <v>4972</v>
      </c>
      <c r="D1931" t="s">
        <v>494</v>
      </c>
      <c r="E1931" s="13">
        <v>300</v>
      </c>
      <c r="F1931" s="12">
        <v>174.74</v>
      </c>
      <c r="G1931" t="str">
        <f>IFERROR(INDEX(tEditais[Órgão],MATCH(tItens[[#This Row],[Edital]],tEditais[Edital],0)),"")</f>
        <v>MUNICIPIO DE CACHOEIRA DOURADA</v>
      </c>
      <c r="H1931" t="str">
        <f>IFERROR(INDEX(tEditais[UF],MATCH(tItens[[#This Row],[Edital]],tEditais[Edital],0)),"")</f>
        <v>GO</v>
      </c>
      <c r="I1931" s="11">
        <f>IFERROR(INDEX(tEditais[Encerramento],MATCH(tItens[[#This Row],[Edital]],tEditais[Edital],0)),"")</f>
        <v>46310.333333333336</v>
      </c>
      <c r="J1931" t="str">
        <f>IFERROR(INDEX(tProdutos[Classe],MATCH(tItens[[#This Row],[Produto]],tProdutos[Produto],0)),"produto não cadastrado")</f>
        <v>FILA REBASE</v>
      </c>
      <c r="K1931" s="12">
        <f>tItens[[#This Row],[Qtd]]*tItens[[#This Row],[Vlr unit]]</f>
        <v>52422</v>
      </c>
      <c r="L1931" s="6">
        <f>IFERROR(IF(INDEX(tProdutos[Desconto homologado],MATCH(tItens[[#This Row],[Produto]],tProdutos[Produto],0))="",DescontoPadrao,INDEX(tProdutos[Desconto homologado],MATCH(tItens[[#This Row],[Produto]],tProdutos[Produto],0))),DescontoPadrao)</f>
        <v>0.253736324829619</v>
      </c>
      <c r="M1931" s="12">
        <f>tItens[[#This Row],[Valor]]*(1-tItens[[#This Row],[Desconto]])</f>
        <v>39120.634379781717</v>
      </c>
      <c r="N1931" t="str">
        <f>IFERROR(INDEX(tProdutos[Foco],MATCH(tItens[[#This Row],[Produto]],tProdutos[Produto],0)),"Não")</f>
        <v>Não</v>
      </c>
      <c r="O1931" t="str">
        <f>IFERROR(INDEX(tEditais[SRP],MATCH(tItens[[#This Row],[Edital]],tEditais[Edital],0)),"Não")</f>
        <v>Não</v>
      </c>
      <c r="P1931" s="4">
        <f>IF(COUNTIFS(INDEX(tItens[Edital],1):tItens[[#This Row],[Edital]],tItens[[#This Row],[Edital]],INDEX(tItens[Produto],1):tItens[[#This Row],[Produto]],tItens[[#This Row],[Produto]])=1,1,0)</f>
        <v>0</v>
      </c>
    </row>
    <row r="1932" spans="1:16" x14ac:dyDescent="0.25">
      <c r="A1932" t="s">
        <v>1193</v>
      </c>
      <c r="B1932">
        <v>285</v>
      </c>
      <c r="C1932" t="s">
        <v>4973</v>
      </c>
      <c r="D1932" t="s">
        <v>327</v>
      </c>
      <c r="E1932" s="13">
        <v>50</v>
      </c>
      <c r="F1932" s="12">
        <v>6.8</v>
      </c>
      <c r="G1932" t="str">
        <f>IFERROR(INDEX(tEditais[Órgão],MATCH(tItens[[#This Row],[Edital]],tEditais[Edital],0)),"")</f>
        <v>MUNICIPIO DE CACHOEIRA DOURADA</v>
      </c>
      <c r="H1932" t="str">
        <f>IFERROR(INDEX(tEditais[UF],MATCH(tItens[[#This Row],[Edital]],tEditais[Edital],0)),"")</f>
        <v>GO</v>
      </c>
      <c r="I1932" s="11">
        <f>IFERROR(INDEX(tEditais[Encerramento],MATCH(tItens[[#This Row],[Edital]],tEditais[Edital],0)),"")</f>
        <v>46310.333333333336</v>
      </c>
      <c r="J1932" t="str">
        <f>IFERROR(INDEX(tProdutos[Classe],MATCH(tItens[[#This Row],[Produto]],tProdutos[Produto],0)),"produto não cadastrado")</f>
        <v>FORA</v>
      </c>
      <c r="K1932" s="12">
        <f>tItens[[#This Row],[Qtd]]*tItens[[#This Row],[Vlr unit]]</f>
        <v>340</v>
      </c>
      <c r="L1932" s="6">
        <f>IFERROR(IF(INDEX(tProdutos[Desconto homologado],MATCH(tItens[[#This Row],[Produto]],tProdutos[Produto],0))="",DescontoPadrao,INDEX(tProdutos[Desconto homologado],MATCH(tItens[[#This Row],[Produto]],tProdutos[Produto],0))),DescontoPadrao)</f>
        <v>0.49969483918783197</v>
      </c>
      <c r="M1932" s="12">
        <f>tItens[[#This Row],[Valor]]*(1-tItens[[#This Row],[Desconto]])</f>
        <v>170.10375467613713</v>
      </c>
      <c r="N1932" t="str">
        <f>IFERROR(INDEX(tProdutos[Foco],MATCH(tItens[[#This Row],[Produto]],tProdutos[Produto],0)),"Não")</f>
        <v>Não</v>
      </c>
      <c r="O1932" t="str">
        <f>IFERROR(INDEX(tEditais[SRP],MATCH(tItens[[#This Row],[Edital]],tEditais[Edital],0)),"Não")</f>
        <v>Não</v>
      </c>
      <c r="P1932" s="4">
        <f>IF(COUNTIFS(INDEX(tItens[Edital],1):tItens[[#This Row],[Edital]],tItens[[#This Row],[Edital]],INDEX(tItens[Produto],1):tItens[[#This Row],[Produto]],tItens[[#This Row],[Produto]])=1,1,0)</f>
        <v>1</v>
      </c>
    </row>
    <row r="1933" spans="1:16" x14ac:dyDescent="0.25">
      <c r="A1933" t="s">
        <v>1193</v>
      </c>
      <c r="B1933">
        <v>286</v>
      </c>
      <c r="C1933" t="s">
        <v>4974</v>
      </c>
      <c r="D1933" t="s">
        <v>64</v>
      </c>
      <c r="E1933" s="13">
        <v>20</v>
      </c>
      <c r="F1933" s="12">
        <v>75.06</v>
      </c>
      <c r="G1933" t="str">
        <f>IFERROR(INDEX(tEditais[Órgão],MATCH(tItens[[#This Row],[Edital]],tEditais[Edital],0)),"")</f>
        <v>MUNICIPIO DE CACHOEIRA DOURADA</v>
      </c>
      <c r="H1933" t="str">
        <f>IFERROR(INDEX(tEditais[UF],MATCH(tItens[[#This Row],[Edital]],tEditais[Edital],0)),"")</f>
        <v>GO</v>
      </c>
      <c r="I1933" s="11">
        <f>IFERROR(INDEX(tEditais[Encerramento],MATCH(tItens[[#This Row],[Edital]],tEditais[Edital],0)),"")</f>
        <v>46310.333333333336</v>
      </c>
      <c r="J1933" t="str">
        <f>IFERROR(INDEX(tProdutos[Classe],MATCH(tItens[[#This Row],[Produto]],tProdutos[Produto],0)),"produto não cadastrado")</f>
        <v>NÚCLEO</v>
      </c>
      <c r="K1933" s="12">
        <f>tItens[[#This Row],[Qtd]]*tItens[[#This Row],[Vlr unit]]</f>
        <v>1501.2</v>
      </c>
      <c r="L1933" s="6">
        <f>IFERROR(IF(INDEX(tProdutos[Desconto homologado],MATCH(tItens[[#This Row],[Produto]],tProdutos[Produto],0))="",DescontoPadrao,INDEX(tProdutos[Desconto homologado],MATCH(tItens[[#This Row],[Produto]],tProdutos[Produto],0))),DescontoPadrao)</f>
        <v>0.28197166699010301</v>
      </c>
      <c r="M1933" s="12">
        <f>tItens[[#This Row],[Valor]]*(1-tItens[[#This Row],[Desconto]])</f>
        <v>1077.9041335144575</v>
      </c>
      <c r="N1933" t="str">
        <f>IFERROR(INDEX(tProdutos[Foco],MATCH(tItens[[#This Row],[Produto]],tProdutos[Produto],0)),"Não")</f>
        <v>Não</v>
      </c>
      <c r="O1933" t="str">
        <f>IFERROR(INDEX(tEditais[SRP],MATCH(tItens[[#This Row],[Edital]],tEditais[Edital],0)),"Não")</f>
        <v>Não</v>
      </c>
      <c r="P1933" s="4">
        <f>IF(COUNTIFS(INDEX(tItens[Edital],1):tItens[[#This Row],[Edital]],tItens[[#This Row],[Edital]],INDEX(tItens[Produto],1):tItens[[#This Row],[Produto]],tItens[[#This Row],[Produto]])=1,1,0)</f>
        <v>1</v>
      </c>
    </row>
    <row r="1934" spans="1:16" x14ac:dyDescent="0.25">
      <c r="A1934" t="s">
        <v>1193</v>
      </c>
      <c r="B1934">
        <v>287</v>
      </c>
      <c r="C1934" t="s">
        <v>4975</v>
      </c>
      <c r="D1934" t="s">
        <v>64</v>
      </c>
      <c r="E1934" s="13">
        <v>20</v>
      </c>
      <c r="F1934" s="12">
        <v>47.04</v>
      </c>
      <c r="G1934" t="str">
        <f>IFERROR(INDEX(tEditais[Órgão],MATCH(tItens[[#This Row],[Edital]],tEditais[Edital],0)),"")</f>
        <v>MUNICIPIO DE CACHOEIRA DOURADA</v>
      </c>
      <c r="H1934" t="str">
        <f>IFERROR(INDEX(tEditais[UF],MATCH(tItens[[#This Row],[Edital]],tEditais[Edital],0)),"")</f>
        <v>GO</v>
      </c>
      <c r="I1934" s="11">
        <f>IFERROR(INDEX(tEditais[Encerramento],MATCH(tItens[[#This Row],[Edital]],tEditais[Edital],0)),"")</f>
        <v>46310.333333333336</v>
      </c>
      <c r="J1934" t="str">
        <f>IFERROR(INDEX(tProdutos[Classe],MATCH(tItens[[#This Row],[Produto]],tProdutos[Produto],0)),"produto não cadastrado")</f>
        <v>NÚCLEO</v>
      </c>
      <c r="K1934" s="12">
        <f>tItens[[#This Row],[Qtd]]*tItens[[#This Row],[Vlr unit]]</f>
        <v>940.8</v>
      </c>
      <c r="L1934" s="6">
        <f>IFERROR(IF(INDEX(tProdutos[Desconto homologado],MATCH(tItens[[#This Row],[Produto]],tProdutos[Produto],0))="",DescontoPadrao,INDEX(tProdutos[Desconto homologado],MATCH(tItens[[#This Row],[Produto]],tProdutos[Produto],0))),DescontoPadrao)</f>
        <v>0.28197166699010301</v>
      </c>
      <c r="M1934" s="12">
        <f>tItens[[#This Row],[Valor]]*(1-tItens[[#This Row],[Desconto]])</f>
        <v>675.52105569571108</v>
      </c>
      <c r="N1934" t="str">
        <f>IFERROR(INDEX(tProdutos[Foco],MATCH(tItens[[#This Row],[Produto]],tProdutos[Produto],0)),"Não")</f>
        <v>Não</v>
      </c>
      <c r="O1934" t="str">
        <f>IFERROR(INDEX(tEditais[SRP],MATCH(tItens[[#This Row],[Edital]],tEditais[Edital],0)),"Não")</f>
        <v>Não</v>
      </c>
      <c r="P1934" s="4">
        <f>IF(COUNTIFS(INDEX(tItens[Edital],1):tItens[[#This Row],[Edital]],tItens[[#This Row],[Edital]],INDEX(tItens[Produto],1):tItens[[#This Row],[Produto]],tItens[[#This Row],[Produto]])=1,1,0)</f>
        <v>0</v>
      </c>
    </row>
    <row r="1935" spans="1:16" x14ac:dyDescent="0.25">
      <c r="A1935" t="s">
        <v>1193</v>
      </c>
      <c r="B1935">
        <v>290</v>
      </c>
      <c r="C1935" t="s">
        <v>4976</v>
      </c>
      <c r="D1935" t="s">
        <v>694</v>
      </c>
      <c r="E1935" s="13">
        <v>10</v>
      </c>
      <c r="F1935" s="12">
        <v>132.76</v>
      </c>
      <c r="G1935" t="str">
        <f>IFERROR(INDEX(tEditais[Órgão],MATCH(tItens[[#This Row],[Edital]],tEditais[Edital],0)),"")</f>
        <v>MUNICIPIO DE CACHOEIRA DOURADA</v>
      </c>
      <c r="H1935" t="str">
        <f>IFERROR(INDEX(tEditais[UF],MATCH(tItens[[#This Row],[Edital]],tEditais[Edital],0)),"")</f>
        <v>GO</v>
      </c>
      <c r="I1935" s="11">
        <f>IFERROR(INDEX(tEditais[Encerramento],MATCH(tItens[[#This Row],[Edital]],tEditais[Edital],0)),"")</f>
        <v>46310.333333333336</v>
      </c>
      <c r="J1935" t="str">
        <f>IFERROR(INDEX(tProdutos[Classe],MATCH(tItens[[#This Row],[Produto]],tProdutos[Produto],0)),"produto não cadastrado")</f>
        <v>FILA REBASE</v>
      </c>
      <c r="K1935" s="12">
        <f>tItens[[#This Row],[Qtd]]*tItens[[#This Row],[Vlr unit]]</f>
        <v>1327.6</v>
      </c>
      <c r="L1935" s="6">
        <f>IFERROR(IF(INDEX(tProdutos[Desconto homologado],MATCH(tItens[[#This Row],[Produto]],tProdutos[Produto],0))="",DescontoPadrao,INDEX(tProdutos[Desconto homologado],MATCH(tItens[[#This Row],[Produto]],tProdutos[Produto],0))),DescontoPadrao)</f>
        <v>0.61577111781048699</v>
      </c>
      <c r="M1935" s="12">
        <f>tItens[[#This Row],[Valor]]*(1-tItens[[#This Row],[Desconto]])</f>
        <v>510.10226399479745</v>
      </c>
      <c r="N1935" t="str">
        <f>IFERROR(INDEX(tProdutos[Foco],MATCH(tItens[[#This Row],[Produto]],tProdutos[Produto],0)),"Não")</f>
        <v>Não</v>
      </c>
      <c r="O1935" t="str">
        <f>IFERROR(INDEX(tEditais[SRP],MATCH(tItens[[#This Row],[Edital]],tEditais[Edital],0)),"Não")</f>
        <v>Não</v>
      </c>
      <c r="P1935" s="4">
        <f>IF(COUNTIFS(INDEX(tItens[Edital],1):tItens[[#This Row],[Edital]],tItens[[#This Row],[Edital]],INDEX(tItens[Produto],1):tItens[[#This Row],[Produto]],tItens[[#This Row],[Produto]])=1,1,0)</f>
        <v>1</v>
      </c>
    </row>
    <row r="1936" spans="1:16" x14ac:dyDescent="0.25">
      <c r="A1936" t="s">
        <v>1193</v>
      </c>
      <c r="B1936">
        <v>299</v>
      </c>
      <c r="C1936" t="s">
        <v>4977</v>
      </c>
      <c r="D1936" t="s">
        <v>317</v>
      </c>
      <c r="E1936" s="13">
        <v>25000</v>
      </c>
      <c r="F1936" s="12">
        <v>4.53</v>
      </c>
      <c r="G1936" t="str">
        <f>IFERROR(INDEX(tEditais[Órgão],MATCH(tItens[[#This Row],[Edital]],tEditais[Edital],0)),"")</f>
        <v>MUNICIPIO DE CACHOEIRA DOURADA</v>
      </c>
      <c r="H1936" t="str">
        <f>IFERROR(INDEX(tEditais[UF],MATCH(tItens[[#This Row],[Edital]],tEditais[Edital],0)),"")</f>
        <v>GO</v>
      </c>
      <c r="I1936" s="11">
        <f>IFERROR(INDEX(tEditais[Encerramento],MATCH(tItens[[#This Row],[Edital]],tEditais[Edital],0)),"")</f>
        <v>46310.333333333336</v>
      </c>
      <c r="J1936" t="str">
        <f>IFERROR(INDEX(tProdutos[Classe],MATCH(tItens[[#This Row],[Produto]],tProdutos[Produto],0)),"produto não cadastrado")</f>
        <v>FORA</v>
      </c>
      <c r="K1936" s="12">
        <f>tItens[[#This Row],[Qtd]]*tItens[[#This Row],[Vlr unit]]</f>
        <v>113250</v>
      </c>
      <c r="L1936" s="6">
        <f>IFERROR(IF(INDEX(tProdutos[Desconto homologado],MATCH(tItens[[#This Row],[Produto]],tProdutos[Produto],0))="",DescontoPadrao,INDEX(tProdutos[Desconto homologado],MATCH(tItens[[#This Row],[Produto]],tProdutos[Produto],0))),DescontoPadrao)</f>
        <v>0.5</v>
      </c>
      <c r="M1936" s="12">
        <f>tItens[[#This Row],[Valor]]*(1-tItens[[#This Row],[Desconto]])</f>
        <v>56625</v>
      </c>
      <c r="N1936" t="str">
        <f>IFERROR(INDEX(tProdutos[Foco],MATCH(tItens[[#This Row],[Produto]],tProdutos[Produto],0)),"Não")</f>
        <v>Não</v>
      </c>
      <c r="O1936" t="str">
        <f>IFERROR(INDEX(tEditais[SRP],MATCH(tItens[[#This Row],[Edital]],tEditais[Edital],0)),"Não")</f>
        <v>Não</v>
      </c>
      <c r="P1936" s="4">
        <f>IF(COUNTIFS(INDEX(tItens[Edital],1):tItens[[#This Row],[Edital]],tItens[[#This Row],[Edital]],INDEX(tItens[Produto],1):tItens[[#This Row],[Produto]],tItens[[#This Row],[Produto]])=1,1,0)</f>
        <v>1</v>
      </c>
    </row>
    <row r="1937" spans="1:16" x14ac:dyDescent="0.25">
      <c r="A1937" t="s">
        <v>1193</v>
      </c>
      <c r="B1937">
        <v>300</v>
      </c>
      <c r="C1937" t="s">
        <v>4978</v>
      </c>
      <c r="D1937" t="s">
        <v>281</v>
      </c>
      <c r="E1937" s="13">
        <v>50000</v>
      </c>
      <c r="F1937" s="12">
        <v>1.32</v>
      </c>
      <c r="G1937" t="str">
        <f>IFERROR(INDEX(tEditais[Órgão],MATCH(tItens[[#This Row],[Edital]],tEditais[Edital],0)),"")</f>
        <v>MUNICIPIO DE CACHOEIRA DOURADA</v>
      </c>
      <c r="H1937" t="str">
        <f>IFERROR(INDEX(tEditais[UF],MATCH(tItens[[#This Row],[Edital]],tEditais[Edital],0)),"")</f>
        <v>GO</v>
      </c>
      <c r="I1937" s="11">
        <f>IFERROR(INDEX(tEditais[Encerramento],MATCH(tItens[[#This Row],[Edital]],tEditais[Edital],0)),"")</f>
        <v>46310.333333333336</v>
      </c>
      <c r="J1937" t="str">
        <f>IFERROR(INDEX(tProdutos[Classe],MATCH(tItens[[#This Row],[Produto]],tProdutos[Produto],0)),"produto não cadastrado")</f>
        <v>DISPUTADO</v>
      </c>
      <c r="K1937" s="12">
        <f>tItens[[#This Row],[Qtd]]*tItens[[#This Row],[Vlr unit]]</f>
        <v>66000</v>
      </c>
      <c r="L1937" s="6">
        <f>IFERROR(IF(INDEX(tProdutos[Desconto homologado],MATCH(tItens[[#This Row],[Produto]],tProdutos[Produto],0))="",DescontoPadrao,INDEX(tProdutos[Desconto homologado],MATCH(tItens[[#This Row],[Produto]],tProdutos[Produto],0))),DescontoPadrao)</f>
        <v>0.42461538461538501</v>
      </c>
      <c r="M1937" s="12">
        <f>tItens[[#This Row],[Valor]]*(1-tItens[[#This Row],[Desconto]])</f>
        <v>37975.384615384588</v>
      </c>
      <c r="N1937" t="str">
        <f>IFERROR(INDEX(tProdutos[Foco],MATCH(tItens[[#This Row],[Produto]],tProdutos[Produto],0)),"Não")</f>
        <v>Não</v>
      </c>
      <c r="O1937" t="str">
        <f>IFERROR(INDEX(tEditais[SRP],MATCH(tItens[[#This Row],[Edital]],tEditais[Edital],0)),"Não")</f>
        <v>Não</v>
      </c>
      <c r="P1937" s="4">
        <f>IF(COUNTIFS(INDEX(tItens[Edital],1):tItens[[#This Row],[Edital]],tItens[[#This Row],[Edital]],INDEX(tItens[Produto],1):tItens[[#This Row],[Produto]],tItens[[#This Row],[Produto]])=1,1,0)</f>
        <v>1</v>
      </c>
    </row>
    <row r="1938" spans="1:16" x14ac:dyDescent="0.25">
      <c r="A1938" t="s">
        <v>1193</v>
      </c>
      <c r="B1938">
        <v>301</v>
      </c>
      <c r="C1938" t="s">
        <v>4979</v>
      </c>
      <c r="D1938" t="s">
        <v>289</v>
      </c>
      <c r="E1938" s="13">
        <v>50000</v>
      </c>
      <c r="F1938" s="12">
        <v>1.41</v>
      </c>
      <c r="G1938" t="str">
        <f>IFERROR(INDEX(tEditais[Órgão],MATCH(tItens[[#This Row],[Edital]],tEditais[Edital],0)),"")</f>
        <v>MUNICIPIO DE CACHOEIRA DOURADA</v>
      </c>
      <c r="H1938" t="str">
        <f>IFERROR(INDEX(tEditais[UF],MATCH(tItens[[#This Row],[Edital]],tEditais[Edital],0)),"")</f>
        <v>GO</v>
      </c>
      <c r="I1938" s="11">
        <f>IFERROR(INDEX(tEditais[Encerramento],MATCH(tItens[[#This Row],[Edital]],tEditais[Edital],0)),"")</f>
        <v>46310.333333333336</v>
      </c>
      <c r="J1938" t="str">
        <f>IFERROR(INDEX(tProdutos[Classe],MATCH(tItens[[#This Row],[Produto]],tProdutos[Produto],0)),"produto não cadastrado")</f>
        <v>DISPUTADO</v>
      </c>
      <c r="K1938" s="12">
        <f>tItens[[#This Row],[Qtd]]*tItens[[#This Row],[Vlr unit]]</f>
        <v>70500</v>
      </c>
      <c r="L1938" s="6">
        <f>IFERROR(IF(INDEX(tProdutos[Desconto homologado],MATCH(tItens[[#This Row],[Produto]],tProdutos[Produto],0))="",DescontoPadrao,INDEX(tProdutos[Desconto homologado],MATCH(tItens[[#This Row],[Produto]],tProdutos[Produto],0))),DescontoPadrao)</f>
        <v>0.35849056603773599</v>
      </c>
      <c r="M1938" s="12">
        <f>tItens[[#This Row],[Valor]]*(1-tItens[[#This Row],[Desconto]])</f>
        <v>45226.415094339616</v>
      </c>
      <c r="N1938" t="str">
        <f>IFERROR(INDEX(tProdutos[Foco],MATCH(tItens[[#This Row],[Produto]],tProdutos[Produto],0)),"Não")</f>
        <v>Não</v>
      </c>
      <c r="O1938" t="str">
        <f>IFERROR(INDEX(tEditais[SRP],MATCH(tItens[[#This Row],[Edital]],tEditais[Edital],0)),"Não")</f>
        <v>Não</v>
      </c>
      <c r="P1938" s="4">
        <f>IF(COUNTIFS(INDEX(tItens[Edital],1):tItens[[#This Row],[Edital]],tItens[[#This Row],[Edital]],INDEX(tItens[Produto],1):tItens[[#This Row],[Produto]],tItens[[#This Row],[Produto]])=1,1,0)</f>
        <v>1</v>
      </c>
    </row>
    <row r="1939" spans="1:16" x14ac:dyDescent="0.25">
      <c r="A1939" t="s">
        <v>1193</v>
      </c>
      <c r="B1939">
        <v>305</v>
      </c>
      <c r="C1939" t="s">
        <v>4980</v>
      </c>
      <c r="D1939" t="s">
        <v>281</v>
      </c>
      <c r="E1939" s="13">
        <v>300</v>
      </c>
      <c r="F1939" s="12">
        <v>16.399999999999999</v>
      </c>
      <c r="G1939" t="str">
        <f>IFERROR(INDEX(tEditais[Órgão],MATCH(tItens[[#This Row],[Edital]],tEditais[Edital],0)),"")</f>
        <v>MUNICIPIO DE CACHOEIRA DOURADA</v>
      </c>
      <c r="H1939" t="str">
        <f>IFERROR(INDEX(tEditais[UF],MATCH(tItens[[#This Row],[Edital]],tEditais[Edital],0)),"")</f>
        <v>GO</v>
      </c>
      <c r="I1939" s="11">
        <f>IFERROR(INDEX(tEditais[Encerramento],MATCH(tItens[[#This Row],[Edital]],tEditais[Edital],0)),"")</f>
        <v>46310.333333333336</v>
      </c>
      <c r="J1939" t="str">
        <f>IFERROR(INDEX(tProdutos[Classe],MATCH(tItens[[#This Row],[Produto]],tProdutos[Produto],0)),"produto não cadastrado")</f>
        <v>DISPUTADO</v>
      </c>
      <c r="K1939" s="12">
        <f>tItens[[#This Row],[Qtd]]*tItens[[#This Row],[Vlr unit]]</f>
        <v>4920</v>
      </c>
      <c r="L1939" s="6">
        <f>IFERROR(IF(INDEX(tProdutos[Desconto homologado],MATCH(tItens[[#This Row],[Produto]],tProdutos[Produto],0))="",DescontoPadrao,INDEX(tProdutos[Desconto homologado],MATCH(tItens[[#This Row],[Produto]],tProdutos[Produto],0))),DescontoPadrao)</f>
        <v>0.42461538461538501</v>
      </c>
      <c r="M1939" s="12">
        <f>tItens[[#This Row],[Valor]]*(1-tItens[[#This Row],[Desconto]])</f>
        <v>2830.8923076923056</v>
      </c>
      <c r="N1939" t="str">
        <f>IFERROR(INDEX(tProdutos[Foco],MATCH(tItens[[#This Row],[Produto]],tProdutos[Produto],0)),"Não")</f>
        <v>Não</v>
      </c>
      <c r="O1939" t="str">
        <f>IFERROR(INDEX(tEditais[SRP],MATCH(tItens[[#This Row],[Edital]],tEditais[Edital],0)),"Não")</f>
        <v>Não</v>
      </c>
      <c r="P1939" s="4">
        <f>IF(COUNTIFS(INDEX(tItens[Edital],1):tItens[[#This Row],[Edital]],tItens[[#This Row],[Edital]],INDEX(tItens[Produto],1):tItens[[#This Row],[Produto]],tItens[[#This Row],[Produto]])=1,1,0)</f>
        <v>0</v>
      </c>
    </row>
    <row r="1940" spans="1:16" x14ac:dyDescent="0.25">
      <c r="A1940" t="s">
        <v>1193</v>
      </c>
      <c r="B1940">
        <v>315</v>
      </c>
      <c r="C1940" t="s">
        <v>4981</v>
      </c>
      <c r="D1940" t="s">
        <v>184</v>
      </c>
      <c r="E1940" s="13">
        <v>300</v>
      </c>
      <c r="F1940" s="12">
        <v>4.87</v>
      </c>
      <c r="G1940" t="str">
        <f>IFERROR(INDEX(tEditais[Órgão],MATCH(tItens[[#This Row],[Edital]],tEditais[Edital],0)),"")</f>
        <v>MUNICIPIO DE CACHOEIRA DOURADA</v>
      </c>
      <c r="H1940" t="str">
        <f>IFERROR(INDEX(tEditais[UF],MATCH(tItens[[#This Row],[Edital]],tEditais[Edital],0)),"")</f>
        <v>GO</v>
      </c>
      <c r="I1940" s="11">
        <f>IFERROR(INDEX(tEditais[Encerramento],MATCH(tItens[[#This Row],[Edital]],tEditais[Edital],0)),"")</f>
        <v>46310.333333333336</v>
      </c>
      <c r="J1940" t="str">
        <f>IFERROR(INDEX(tProdutos[Classe],MATCH(tItens[[#This Row],[Produto]],tProdutos[Produto],0)),"produto não cadastrado")</f>
        <v>FORA</v>
      </c>
      <c r="K1940" s="12">
        <f>tItens[[#This Row],[Qtd]]*tItens[[#This Row],[Vlr unit]]</f>
        <v>1461</v>
      </c>
      <c r="L1940" s="6">
        <f>IFERROR(IF(INDEX(tProdutos[Desconto homologado],MATCH(tItens[[#This Row],[Produto]],tProdutos[Produto],0))="",DescontoPadrao,INDEX(tProdutos[Desconto homologado],MATCH(tItens[[#This Row],[Produto]],tProdutos[Produto],0))),DescontoPadrao)</f>
        <v>0.363567906332742</v>
      </c>
      <c r="M1940" s="12">
        <f>tItens[[#This Row],[Valor]]*(1-tItens[[#This Row],[Desconto]])</f>
        <v>929.827288847864</v>
      </c>
      <c r="N1940" t="str">
        <f>IFERROR(INDEX(tProdutos[Foco],MATCH(tItens[[#This Row],[Produto]],tProdutos[Produto],0)),"Não")</f>
        <v>Não</v>
      </c>
      <c r="O1940" t="str">
        <f>IFERROR(INDEX(tEditais[SRP],MATCH(tItens[[#This Row],[Edital]],tEditais[Edital],0)),"Não")</f>
        <v>Não</v>
      </c>
      <c r="P1940" s="4">
        <f>IF(COUNTIFS(INDEX(tItens[Edital],1):tItens[[#This Row],[Edital]],tItens[[#This Row],[Edital]],INDEX(tItens[Produto],1):tItens[[#This Row],[Produto]],tItens[[#This Row],[Produto]])=1,1,0)</f>
        <v>1</v>
      </c>
    </row>
    <row r="1941" spans="1:16" x14ac:dyDescent="0.25">
      <c r="A1941" t="s">
        <v>1193</v>
      </c>
      <c r="B1941">
        <v>316</v>
      </c>
      <c r="C1941" t="s">
        <v>4982</v>
      </c>
      <c r="D1941" t="s">
        <v>184</v>
      </c>
      <c r="E1941" s="13">
        <v>300</v>
      </c>
      <c r="F1941" s="12">
        <v>4.46</v>
      </c>
      <c r="G1941" t="str">
        <f>IFERROR(INDEX(tEditais[Órgão],MATCH(tItens[[#This Row],[Edital]],tEditais[Edital],0)),"")</f>
        <v>MUNICIPIO DE CACHOEIRA DOURADA</v>
      </c>
      <c r="H1941" t="str">
        <f>IFERROR(INDEX(tEditais[UF],MATCH(tItens[[#This Row],[Edital]],tEditais[Edital],0)),"")</f>
        <v>GO</v>
      </c>
      <c r="I1941" s="11">
        <f>IFERROR(INDEX(tEditais[Encerramento],MATCH(tItens[[#This Row],[Edital]],tEditais[Edital],0)),"")</f>
        <v>46310.333333333336</v>
      </c>
      <c r="J1941" t="str">
        <f>IFERROR(INDEX(tProdutos[Classe],MATCH(tItens[[#This Row],[Produto]],tProdutos[Produto],0)),"produto não cadastrado")</f>
        <v>FORA</v>
      </c>
      <c r="K1941" s="12">
        <f>tItens[[#This Row],[Qtd]]*tItens[[#This Row],[Vlr unit]]</f>
        <v>1338</v>
      </c>
      <c r="L1941" s="6">
        <f>IFERROR(IF(INDEX(tProdutos[Desconto homologado],MATCH(tItens[[#This Row],[Produto]],tProdutos[Produto],0))="",DescontoPadrao,INDEX(tProdutos[Desconto homologado],MATCH(tItens[[#This Row],[Produto]],tProdutos[Produto],0))),DescontoPadrao)</f>
        <v>0.363567906332742</v>
      </c>
      <c r="M1941" s="12">
        <f>tItens[[#This Row],[Valor]]*(1-tItens[[#This Row],[Desconto]])</f>
        <v>851.54614132679126</v>
      </c>
      <c r="N1941" t="str">
        <f>IFERROR(INDEX(tProdutos[Foco],MATCH(tItens[[#This Row],[Produto]],tProdutos[Produto],0)),"Não")</f>
        <v>Não</v>
      </c>
      <c r="O1941" t="str">
        <f>IFERROR(INDEX(tEditais[SRP],MATCH(tItens[[#This Row],[Edital]],tEditais[Edital],0)),"Não")</f>
        <v>Não</v>
      </c>
      <c r="P1941" s="4">
        <f>IF(COUNTIFS(INDEX(tItens[Edital],1):tItens[[#This Row],[Edital]],tItens[[#This Row],[Edital]],INDEX(tItens[Produto],1):tItens[[#This Row],[Produto]],tItens[[#This Row],[Produto]])=1,1,0)</f>
        <v>0</v>
      </c>
    </row>
    <row r="1942" spans="1:16" x14ac:dyDescent="0.25">
      <c r="A1942" t="s">
        <v>1193</v>
      </c>
      <c r="B1942">
        <v>317</v>
      </c>
      <c r="C1942" t="s">
        <v>4983</v>
      </c>
      <c r="D1942" t="s">
        <v>184</v>
      </c>
      <c r="E1942" s="13">
        <v>400</v>
      </c>
      <c r="F1942" s="12">
        <v>3.94</v>
      </c>
      <c r="G1942" t="str">
        <f>IFERROR(INDEX(tEditais[Órgão],MATCH(tItens[[#This Row],[Edital]],tEditais[Edital],0)),"")</f>
        <v>MUNICIPIO DE CACHOEIRA DOURADA</v>
      </c>
      <c r="H1942" t="str">
        <f>IFERROR(INDEX(tEditais[UF],MATCH(tItens[[#This Row],[Edital]],tEditais[Edital],0)),"")</f>
        <v>GO</v>
      </c>
      <c r="I1942" s="11">
        <f>IFERROR(INDEX(tEditais[Encerramento],MATCH(tItens[[#This Row],[Edital]],tEditais[Edital],0)),"")</f>
        <v>46310.333333333336</v>
      </c>
      <c r="J1942" t="str">
        <f>IFERROR(INDEX(tProdutos[Classe],MATCH(tItens[[#This Row],[Produto]],tProdutos[Produto],0)),"produto não cadastrado")</f>
        <v>FORA</v>
      </c>
      <c r="K1942" s="12">
        <f>tItens[[#This Row],[Qtd]]*tItens[[#This Row],[Vlr unit]]</f>
        <v>1576</v>
      </c>
      <c r="L1942" s="6">
        <f>IFERROR(IF(INDEX(tProdutos[Desconto homologado],MATCH(tItens[[#This Row],[Produto]],tProdutos[Produto],0))="",DescontoPadrao,INDEX(tProdutos[Desconto homologado],MATCH(tItens[[#This Row],[Produto]],tProdutos[Produto],0))),DescontoPadrao)</f>
        <v>0.363567906332742</v>
      </c>
      <c r="M1942" s="12">
        <f>tItens[[#This Row],[Valor]]*(1-tItens[[#This Row],[Desconto]])</f>
        <v>1003.0169796195987</v>
      </c>
      <c r="N1942" t="str">
        <f>IFERROR(INDEX(tProdutos[Foco],MATCH(tItens[[#This Row],[Produto]],tProdutos[Produto],0)),"Não")</f>
        <v>Não</v>
      </c>
      <c r="O1942" t="str">
        <f>IFERROR(INDEX(tEditais[SRP],MATCH(tItens[[#This Row],[Edital]],tEditais[Edital],0)),"Não")</f>
        <v>Não</v>
      </c>
      <c r="P1942" s="4">
        <f>IF(COUNTIFS(INDEX(tItens[Edital],1):tItens[[#This Row],[Edital]],tItens[[#This Row],[Edital]],INDEX(tItens[Produto],1):tItens[[#This Row],[Produto]],tItens[[#This Row],[Produto]])=1,1,0)</f>
        <v>0</v>
      </c>
    </row>
    <row r="1943" spans="1:16" x14ac:dyDescent="0.25">
      <c r="A1943" t="s">
        <v>1193</v>
      </c>
      <c r="B1943">
        <v>318</v>
      </c>
      <c r="C1943" t="s">
        <v>4984</v>
      </c>
      <c r="D1943" t="s">
        <v>184</v>
      </c>
      <c r="E1943" s="13">
        <v>700</v>
      </c>
      <c r="F1943" s="12">
        <v>4.08</v>
      </c>
      <c r="G1943" t="str">
        <f>IFERROR(INDEX(tEditais[Órgão],MATCH(tItens[[#This Row],[Edital]],tEditais[Edital],0)),"")</f>
        <v>MUNICIPIO DE CACHOEIRA DOURADA</v>
      </c>
      <c r="H1943" t="str">
        <f>IFERROR(INDEX(tEditais[UF],MATCH(tItens[[#This Row],[Edital]],tEditais[Edital],0)),"")</f>
        <v>GO</v>
      </c>
      <c r="I1943" s="11">
        <f>IFERROR(INDEX(tEditais[Encerramento],MATCH(tItens[[#This Row],[Edital]],tEditais[Edital],0)),"")</f>
        <v>46310.333333333336</v>
      </c>
      <c r="J1943" t="str">
        <f>IFERROR(INDEX(tProdutos[Classe],MATCH(tItens[[#This Row],[Produto]],tProdutos[Produto],0)),"produto não cadastrado")</f>
        <v>FORA</v>
      </c>
      <c r="K1943" s="12">
        <f>tItens[[#This Row],[Qtd]]*tItens[[#This Row],[Vlr unit]]</f>
        <v>2856</v>
      </c>
      <c r="L1943" s="6">
        <f>IFERROR(IF(INDEX(tProdutos[Desconto homologado],MATCH(tItens[[#This Row],[Produto]],tProdutos[Produto],0))="",DescontoPadrao,INDEX(tProdutos[Desconto homologado],MATCH(tItens[[#This Row],[Produto]],tProdutos[Produto],0))),DescontoPadrao)</f>
        <v>0.363567906332742</v>
      </c>
      <c r="M1943" s="12">
        <f>tItens[[#This Row],[Valor]]*(1-tItens[[#This Row],[Desconto]])</f>
        <v>1817.650059513689</v>
      </c>
      <c r="N1943" t="str">
        <f>IFERROR(INDEX(tProdutos[Foco],MATCH(tItens[[#This Row],[Produto]],tProdutos[Produto],0)),"Não")</f>
        <v>Não</v>
      </c>
      <c r="O1943" t="str">
        <f>IFERROR(INDEX(tEditais[SRP],MATCH(tItens[[#This Row],[Edital]],tEditais[Edital],0)),"Não")</f>
        <v>Não</v>
      </c>
      <c r="P1943" s="4">
        <f>IF(COUNTIFS(INDEX(tItens[Edital],1):tItens[[#This Row],[Edital]],tItens[[#This Row],[Edital]],INDEX(tItens[Produto],1):tItens[[#This Row],[Produto]],tItens[[#This Row],[Produto]])=1,1,0)</f>
        <v>0</v>
      </c>
    </row>
    <row r="1944" spans="1:16" x14ac:dyDescent="0.25">
      <c r="A1944" t="s">
        <v>1193</v>
      </c>
      <c r="B1944">
        <v>319</v>
      </c>
      <c r="C1944" t="s">
        <v>4985</v>
      </c>
      <c r="D1944" t="s">
        <v>184</v>
      </c>
      <c r="E1944" s="13">
        <v>500</v>
      </c>
      <c r="F1944" s="12">
        <v>4.4800000000000004</v>
      </c>
      <c r="G1944" t="str">
        <f>IFERROR(INDEX(tEditais[Órgão],MATCH(tItens[[#This Row],[Edital]],tEditais[Edital],0)),"")</f>
        <v>MUNICIPIO DE CACHOEIRA DOURADA</v>
      </c>
      <c r="H1944" t="str">
        <f>IFERROR(INDEX(tEditais[UF],MATCH(tItens[[#This Row],[Edital]],tEditais[Edital],0)),"")</f>
        <v>GO</v>
      </c>
      <c r="I1944" s="11">
        <f>IFERROR(INDEX(tEditais[Encerramento],MATCH(tItens[[#This Row],[Edital]],tEditais[Edital],0)),"")</f>
        <v>46310.333333333336</v>
      </c>
      <c r="J1944" t="str">
        <f>IFERROR(INDEX(tProdutos[Classe],MATCH(tItens[[#This Row],[Produto]],tProdutos[Produto],0)),"produto não cadastrado")</f>
        <v>FORA</v>
      </c>
      <c r="K1944" s="12">
        <f>tItens[[#This Row],[Qtd]]*tItens[[#This Row],[Vlr unit]]</f>
        <v>2240</v>
      </c>
      <c r="L1944" s="6">
        <f>IFERROR(IF(INDEX(tProdutos[Desconto homologado],MATCH(tItens[[#This Row],[Produto]],tProdutos[Produto],0))="",DescontoPadrao,INDEX(tProdutos[Desconto homologado],MATCH(tItens[[#This Row],[Produto]],tProdutos[Produto],0))),DescontoPadrao)</f>
        <v>0.363567906332742</v>
      </c>
      <c r="M1944" s="12">
        <f>tItens[[#This Row],[Valor]]*(1-tItens[[#This Row],[Desconto]])</f>
        <v>1425.6078898146579</v>
      </c>
      <c r="N1944" t="str">
        <f>IFERROR(INDEX(tProdutos[Foco],MATCH(tItens[[#This Row],[Produto]],tProdutos[Produto],0)),"Não")</f>
        <v>Não</v>
      </c>
      <c r="O1944" t="str">
        <f>IFERROR(INDEX(tEditais[SRP],MATCH(tItens[[#This Row],[Edital]],tEditais[Edital],0)),"Não")</f>
        <v>Não</v>
      </c>
      <c r="P1944" s="4">
        <f>IF(COUNTIFS(INDEX(tItens[Edital],1):tItens[[#This Row],[Edital]],tItens[[#This Row],[Edital]],INDEX(tItens[Produto],1):tItens[[#This Row],[Produto]],tItens[[#This Row],[Produto]])=1,1,0)</f>
        <v>0</v>
      </c>
    </row>
    <row r="1945" spans="1:16" x14ac:dyDescent="0.25">
      <c r="A1945" t="s">
        <v>1193</v>
      </c>
      <c r="B1945">
        <v>320</v>
      </c>
      <c r="C1945" t="s">
        <v>4986</v>
      </c>
      <c r="D1945" t="s">
        <v>184</v>
      </c>
      <c r="E1945" s="13">
        <v>400</v>
      </c>
      <c r="F1945" s="12">
        <v>3.93</v>
      </c>
      <c r="G1945" t="str">
        <f>IFERROR(INDEX(tEditais[Órgão],MATCH(tItens[[#This Row],[Edital]],tEditais[Edital],0)),"")</f>
        <v>MUNICIPIO DE CACHOEIRA DOURADA</v>
      </c>
      <c r="H1945" t="str">
        <f>IFERROR(INDEX(tEditais[UF],MATCH(tItens[[#This Row],[Edital]],tEditais[Edital],0)),"")</f>
        <v>GO</v>
      </c>
      <c r="I1945" s="11">
        <f>IFERROR(INDEX(tEditais[Encerramento],MATCH(tItens[[#This Row],[Edital]],tEditais[Edital],0)),"")</f>
        <v>46310.333333333336</v>
      </c>
      <c r="J1945" t="str">
        <f>IFERROR(INDEX(tProdutos[Classe],MATCH(tItens[[#This Row],[Produto]],tProdutos[Produto],0)),"produto não cadastrado")</f>
        <v>FORA</v>
      </c>
      <c r="K1945" s="12">
        <f>tItens[[#This Row],[Qtd]]*tItens[[#This Row],[Vlr unit]]</f>
        <v>1572</v>
      </c>
      <c r="L1945" s="6">
        <f>IFERROR(IF(INDEX(tProdutos[Desconto homologado],MATCH(tItens[[#This Row],[Produto]],tProdutos[Produto],0))="",DescontoPadrao,INDEX(tProdutos[Desconto homologado],MATCH(tItens[[#This Row],[Produto]],tProdutos[Produto],0))),DescontoPadrao)</f>
        <v>0.363567906332742</v>
      </c>
      <c r="M1945" s="12">
        <f>tItens[[#This Row],[Valor]]*(1-tItens[[#This Row],[Desconto]])</f>
        <v>1000.4712512449297</v>
      </c>
      <c r="N1945" t="str">
        <f>IFERROR(INDEX(tProdutos[Foco],MATCH(tItens[[#This Row],[Produto]],tProdutos[Produto],0)),"Não")</f>
        <v>Não</v>
      </c>
      <c r="O1945" t="str">
        <f>IFERROR(INDEX(tEditais[SRP],MATCH(tItens[[#This Row],[Edital]],tEditais[Edital],0)),"Não")</f>
        <v>Não</v>
      </c>
      <c r="P1945" s="4">
        <f>IF(COUNTIFS(INDEX(tItens[Edital],1):tItens[[#This Row],[Edital]],tItens[[#This Row],[Edital]],INDEX(tItens[Produto],1):tItens[[#This Row],[Produto]],tItens[[#This Row],[Produto]])=1,1,0)</f>
        <v>0</v>
      </c>
    </row>
    <row r="1946" spans="1:16" x14ac:dyDescent="0.25">
      <c r="A1946" t="s">
        <v>1193</v>
      </c>
      <c r="B1946">
        <v>321</v>
      </c>
      <c r="C1946" t="s">
        <v>4987</v>
      </c>
      <c r="D1946" t="s">
        <v>184</v>
      </c>
      <c r="E1946" s="13">
        <v>200</v>
      </c>
      <c r="F1946" s="12">
        <v>4.4800000000000004</v>
      </c>
      <c r="G1946" t="str">
        <f>IFERROR(INDEX(tEditais[Órgão],MATCH(tItens[[#This Row],[Edital]],tEditais[Edital],0)),"")</f>
        <v>MUNICIPIO DE CACHOEIRA DOURADA</v>
      </c>
      <c r="H1946" t="str">
        <f>IFERROR(INDEX(tEditais[UF],MATCH(tItens[[#This Row],[Edital]],tEditais[Edital],0)),"")</f>
        <v>GO</v>
      </c>
      <c r="I1946" s="11">
        <f>IFERROR(INDEX(tEditais[Encerramento],MATCH(tItens[[#This Row],[Edital]],tEditais[Edital],0)),"")</f>
        <v>46310.333333333336</v>
      </c>
      <c r="J1946" t="str">
        <f>IFERROR(INDEX(tProdutos[Classe],MATCH(tItens[[#This Row],[Produto]],tProdutos[Produto],0)),"produto não cadastrado")</f>
        <v>FORA</v>
      </c>
      <c r="K1946" s="12">
        <f>tItens[[#This Row],[Qtd]]*tItens[[#This Row],[Vlr unit]]</f>
        <v>896.00000000000011</v>
      </c>
      <c r="L1946" s="6">
        <f>IFERROR(IF(INDEX(tProdutos[Desconto homologado],MATCH(tItens[[#This Row],[Produto]],tProdutos[Produto],0))="",DescontoPadrao,INDEX(tProdutos[Desconto homologado],MATCH(tItens[[#This Row],[Produto]],tProdutos[Produto],0))),DescontoPadrao)</f>
        <v>0.363567906332742</v>
      </c>
      <c r="M1946" s="12">
        <f>tItens[[#This Row],[Valor]]*(1-tItens[[#This Row],[Desconto]])</f>
        <v>570.24315592586333</v>
      </c>
      <c r="N1946" t="str">
        <f>IFERROR(INDEX(tProdutos[Foco],MATCH(tItens[[#This Row],[Produto]],tProdutos[Produto],0)),"Não")</f>
        <v>Não</v>
      </c>
      <c r="O1946" t="str">
        <f>IFERROR(INDEX(tEditais[SRP],MATCH(tItens[[#This Row],[Edital]],tEditais[Edital],0)),"Não")</f>
        <v>Não</v>
      </c>
      <c r="P1946" s="4">
        <f>IF(COUNTIFS(INDEX(tItens[Edital],1):tItens[[#This Row],[Edital]],tItens[[#This Row],[Edital]],INDEX(tItens[Produto],1):tItens[[#This Row],[Produto]],tItens[[#This Row],[Produto]])=1,1,0)</f>
        <v>0</v>
      </c>
    </row>
    <row r="1947" spans="1:16" x14ac:dyDescent="0.25">
      <c r="A1947" t="s">
        <v>1193</v>
      </c>
      <c r="B1947">
        <v>322</v>
      </c>
      <c r="C1947" t="s">
        <v>4988</v>
      </c>
      <c r="D1947" t="s">
        <v>184</v>
      </c>
      <c r="E1947" s="13">
        <v>150</v>
      </c>
      <c r="F1947" s="12">
        <v>4.25</v>
      </c>
      <c r="G1947" t="str">
        <f>IFERROR(INDEX(tEditais[Órgão],MATCH(tItens[[#This Row],[Edital]],tEditais[Edital],0)),"")</f>
        <v>MUNICIPIO DE CACHOEIRA DOURADA</v>
      </c>
      <c r="H1947" t="str">
        <f>IFERROR(INDEX(tEditais[UF],MATCH(tItens[[#This Row],[Edital]],tEditais[Edital],0)),"")</f>
        <v>GO</v>
      </c>
      <c r="I1947" s="11">
        <f>IFERROR(INDEX(tEditais[Encerramento],MATCH(tItens[[#This Row],[Edital]],tEditais[Edital],0)),"")</f>
        <v>46310.333333333336</v>
      </c>
      <c r="J1947" t="str">
        <f>IFERROR(INDEX(tProdutos[Classe],MATCH(tItens[[#This Row],[Produto]],tProdutos[Produto],0)),"produto não cadastrado")</f>
        <v>FORA</v>
      </c>
      <c r="K1947" s="12">
        <f>tItens[[#This Row],[Qtd]]*tItens[[#This Row],[Vlr unit]]</f>
        <v>637.5</v>
      </c>
      <c r="L1947" s="6">
        <f>IFERROR(IF(INDEX(tProdutos[Desconto homologado],MATCH(tItens[[#This Row],[Produto]],tProdutos[Produto],0))="",DescontoPadrao,INDEX(tProdutos[Desconto homologado],MATCH(tItens[[#This Row],[Produto]],tProdutos[Produto],0))),DescontoPadrao)</f>
        <v>0.363567906332742</v>
      </c>
      <c r="M1947" s="12">
        <f>tItens[[#This Row],[Valor]]*(1-tItens[[#This Row],[Desconto]])</f>
        <v>405.72545971287701</v>
      </c>
      <c r="N1947" t="str">
        <f>IFERROR(INDEX(tProdutos[Foco],MATCH(tItens[[#This Row],[Produto]],tProdutos[Produto],0)),"Não")</f>
        <v>Não</v>
      </c>
      <c r="O1947" t="str">
        <f>IFERROR(INDEX(tEditais[SRP],MATCH(tItens[[#This Row],[Edital]],tEditais[Edital],0)),"Não")</f>
        <v>Não</v>
      </c>
      <c r="P1947" s="4">
        <f>IF(COUNTIFS(INDEX(tItens[Edital],1):tItens[[#This Row],[Edital]],tItens[[#This Row],[Edital]],INDEX(tItens[Produto],1):tItens[[#This Row],[Produto]],tItens[[#This Row],[Produto]])=1,1,0)</f>
        <v>0</v>
      </c>
    </row>
    <row r="1948" spans="1:16" x14ac:dyDescent="0.25">
      <c r="A1948" t="s">
        <v>1193</v>
      </c>
      <c r="B1948">
        <v>323</v>
      </c>
      <c r="C1948" t="s">
        <v>4989</v>
      </c>
      <c r="D1948" t="s">
        <v>184</v>
      </c>
      <c r="E1948" s="13">
        <v>500</v>
      </c>
      <c r="F1948" s="12">
        <v>4.16</v>
      </c>
      <c r="G1948" t="str">
        <f>IFERROR(INDEX(tEditais[Órgão],MATCH(tItens[[#This Row],[Edital]],tEditais[Edital],0)),"")</f>
        <v>MUNICIPIO DE CACHOEIRA DOURADA</v>
      </c>
      <c r="H1948" t="str">
        <f>IFERROR(INDEX(tEditais[UF],MATCH(tItens[[#This Row],[Edital]],tEditais[Edital],0)),"")</f>
        <v>GO</v>
      </c>
      <c r="I1948" s="11">
        <f>IFERROR(INDEX(tEditais[Encerramento],MATCH(tItens[[#This Row],[Edital]],tEditais[Edital],0)),"")</f>
        <v>46310.333333333336</v>
      </c>
      <c r="J1948" t="str">
        <f>IFERROR(INDEX(tProdutos[Classe],MATCH(tItens[[#This Row],[Produto]],tProdutos[Produto],0)),"produto não cadastrado")</f>
        <v>FORA</v>
      </c>
      <c r="K1948" s="12">
        <f>tItens[[#This Row],[Qtd]]*tItens[[#This Row],[Vlr unit]]</f>
        <v>2080</v>
      </c>
      <c r="L1948" s="6">
        <f>IFERROR(IF(INDEX(tProdutos[Desconto homologado],MATCH(tItens[[#This Row],[Produto]],tProdutos[Produto],0))="",DescontoPadrao,INDEX(tProdutos[Desconto homologado],MATCH(tItens[[#This Row],[Produto]],tProdutos[Produto],0))),DescontoPadrao)</f>
        <v>0.363567906332742</v>
      </c>
      <c r="M1948" s="12">
        <f>tItens[[#This Row],[Valor]]*(1-tItens[[#This Row],[Desconto]])</f>
        <v>1323.7787548278968</v>
      </c>
      <c r="N1948" t="str">
        <f>IFERROR(INDEX(tProdutos[Foco],MATCH(tItens[[#This Row],[Produto]],tProdutos[Produto],0)),"Não")</f>
        <v>Não</v>
      </c>
      <c r="O1948" t="str">
        <f>IFERROR(INDEX(tEditais[SRP],MATCH(tItens[[#This Row],[Edital]],tEditais[Edital],0)),"Não")</f>
        <v>Não</v>
      </c>
      <c r="P1948" s="4">
        <f>IF(COUNTIFS(INDEX(tItens[Edital],1):tItens[[#This Row],[Edital]],tItens[[#This Row],[Edital]],INDEX(tItens[Produto],1):tItens[[#This Row],[Produto]],tItens[[#This Row],[Produto]])=1,1,0)</f>
        <v>0</v>
      </c>
    </row>
    <row r="1949" spans="1:16" x14ac:dyDescent="0.25">
      <c r="A1949" t="s">
        <v>1193</v>
      </c>
      <c r="B1949">
        <v>324</v>
      </c>
      <c r="C1949" t="s">
        <v>4990</v>
      </c>
      <c r="D1949" t="s">
        <v>184</v>
      </c>
      <c r="E1949" s="13">
        <v>300</v>
      </c>
      <c r="F1949" s="12">
        <v>3.94</v>
      </c>
      <c r="G1949" t="str">
        <f>IFERROR(INDEX(tEditais[Órgão],MATCH(tItens[[#This Row],[Edital]],tEditais[Edital],0)),"")</f>
        <v>MUNICIPIO DE CACHOEIRA DOURADA</v>
      </c>
      <c r="H1949" t="str">
        <f>IFERROR(INDEX(tEditais[UF],MATCH(tItens[[#This Row],[Edital]],tEditais[Edital],0)),"")</f>
        <v>GO</v>
      </c>
      <c r="I1949" s="11">
        <f>IFERROR(INDEX(tEditais[Encerramento],MATCH(tItens[[#This Row],[Edital]],tEditais[Edital],0)),"")</f>
        <v>46310.333333333336</v>
      </c>
      <c r="J1949" t="str">
        <f>IFERROR(INDEX(tProdutos[Classe],MATCH(tItens[[#This Row],[Produto]],tProdutos[Produto],0)),"produto não cadastrado")</f>
        <v>FORA</v>
      </c>
      <c r="K1949" s="12">
        <f>tItens[[#This Row],[Qtd]]*tItens[[#This Row],[Vlr unit]]</f>
        <v>1182</v>
      </c>
      <c r="L1949" s="6">
        <f>IFERROR(IF(INDEX(tProdutos[Desconto homologado],MATCH(tItens[[#This Row],[Produto]],tProdutos[Produto],0))="",DescontoPadrao,INDEX(tProdutos[Desconto homologado],MATCH(tItens[[#This Row],[Produto]],tProdutos[Produto],0))),DescontoPadrao)</f>
        <v>0.363567906332742</v>
      </c>
      <c r="M1949" s="12">
        <f>tItens[[#This Row],[Valor]]*(1-tItens[[#This Row],[Desconto]])</f>
        <v>752.26273471469904</v>
      </c>
      <c r="N1949" t="str">
        <f>IFERROR(INDEX(tProdutos[Foco],MATCH(tItens[[#This Row],[Produto]],tProdutos[Produto],0)),"Não")</f>
        <v>Não</v>
      </c>
      <c r="O1949" t="str">
        <f>IFERROR(INDEX(tEditais[SRP],MATCH(tItens[[#This Row],[Edital]],tEditais[Edital],0)),"Não")</f>
        <v>Não</v>
      </c>
      <c r="P1949" s="4">
        <f>IF(COUNTIFS(INDEX(tItens[Edital],1):tItens[[#This Row],[Edital]],tItens[[#This Row],[Edital]],INDEX(tItens[Produto],1):tItens[[#This Row],[Produto]],tItens[[#This Row],[Produto]])=1,1,0)</f>
        <v>0</v>
      </c>
    </row>
    <row r="1950" spans="1:16" x14ac:dyDescent="0.25">
      <c r="A1950" t="s">
        <v>1193</v>
      </c>
      <c r="B1950">
        <v>325</v>
      </c>
      <c r="C1950" t="s">
        <v>4991</v>
      </c>
      <c r="D1950" t="s">
        <v>110</v>
      </c>
      <c r="E1950" s="13">
        <v>500</v>
      </c>
      <c r="F1950" s="12">
        <v>2.2799999999999998</v>
      </c>
      <c r="G1950" t="str">
        <f>IFERROR(INDEX(tEditais[Órgão],MATCH(tItens[[#This Row],[Edital]],tEditais[Edital],0)),"")</f>
        <v>MUNICIPIO DE CACHOEIRA DOURADA</v>
      </c>
      <c r="H1950" t="str">
        <f>IFERROR(INDEX(tEditais[UF],MATCH(tItens[[#This Row],[Edital]],tEditais[Edital],0)),"")</f>
        <v>GO</v>
      </c>
      <c r="I1950" s="11">
        <f>IFERROR(INDEX(tEditais[Encerramento],MATCH(tItens[[#This Row],[Edital]],tEditais[Edital],0)),"")</f>
        <v>46310.333333333336</v>
      </c>
      <c r="J1950" t="str">
        <f>IFERROR(INDEX(tProdutos[Classe],MATCH(tItens[[#This Row],[Produto]],tProdutos[Produto],0)),"produto não cadastrado")</f>
        <v>NÚCLEO</v>
      </c>
      <c r="K1950" s="12">
        <f>tItens[[#This Row],[Qtd]]*tItens[[#This Row],[Vlr unit]]</f>
        <v>1140</v>
      </c>
      <c r="L1950" s="6">
        <f>IFERROR(IF(INDEX(tProdutos[Desconto homologado],MATCH(tItens[[#This Row],[Produto]],tProdutos[Produto],0))="",DescontoPadrao,INDEX(tProdutos[Desconto homologado],MATCH(tItens[[#This Row],[Produto]],tProdutos[Produto],0))),DescontoPadrao)</f>
        <v>0.30410958904109597</v>
      </c>
      <c r="M1950" s="12">
        <f>tItens[[#This Row],[Valor]]*(1-tItens[[#This Row],[Desconto]])</f>
        <v>793.31506849315053</v>
      </c>
      <c r="N1950" t="str">
        <f>IFERROR(INDEX(tProdutos[Foco],MATCH(tItens[[#This Row],[Produto]],tProdutos[Produto],0)),"Não")</f>
        <v>Não</v>
      </c>
      <c r="O1950" t="str">
        <f>IFERROR(INDEX(tEditais[SRP],MATCH(tItens[[#This Row],[Edital]],tEditais[Edital],0)),"Não")</f>
        <v>Não</v>
      </c>
      <c r="P1950" s="4">
        <f>IF(COUNTIFS(INDEX(tItens[Edital],1):tItens[[#This Row],[Edital]],tItens[[#This Row],[Edital]],INDEX(tItens[Produto],1):tItens[[#This Row],[Produto]],tItens[[#This Row],[Produto]])=1,1,0)</f>
        <v>1</v>
      </c>
    </row>
    <row r="1951" spans="1:16" x14ac:dyDescent="0.25">
      <c r="A1951" t="s">
        <v>1193</v>
      </c>
      <c r="B1951">
        <v>326</v>
      </c>
      <c r="C1951" t="s">
        <v>4992</v>
      </c>
      <c r="D1951" t="s">
        <v>110</v>
      </c>
      <c r="E1951" s="13">
        <v>300</v>
      </c>
      <c r="F1951" s="12">
        <v>2.2799999999999998</v>
      </c>
      <c r="G1951" t="str">
        <f>IFERROR(INDEX(tEditais[Órgão],MATCH(tItens[[#This Row],[Edital]],tEditais[Edital],0)),"")</f>
        <v>MUNICIPIO DE CACHOEIRA DOURADA</v>
      </c>
      <c r="H1951" t="str">
        <f>IFERROR(INDEX(tEditais[UF],MATCH(tItens[[#This Row],[Edital]],tEditais[Edital],0)),"")</f>
        <v>GO</v>
      </c>
      <c r="I1951" s="11">
        <f>IFERROR(INDEX(tEditais[Encerramento],MATCH(tItens[[#This Row],[Edital]],tEditais[Edital],0)),"")</f>
        <v>46310.333333333336</v>
      </c>
      <c r="J1951" t="str">
        <f>IFERROR(INDEX(tProdutos[Classe],MATCH(tItens[[#This Row],[Produto]],tProdutos[Produto],0)),"produto não cadastrado")</f>
        <v>NÚCLEO</v>
      </c>
      <c r="K1951" s="12">
        <f>tItens[[#This Row],[Qtd]]*tItens[[#This Row],[Vlr unit]]</f>
        <v>683.99999999999989</v>
      </c>
      <c r="L1951" s="6">
        <f>IFERROR(IF(INDEX(tProdutos[Desconto homologado],MATCH(tItens[[#This Row],[Produto]],tProdutos[Produto],0))="",DescontoPadrao,INDEX(tProdutos[Desconto homologado],MATCH(tItens[[#This Row],[Produto]],tProdutos[Produto],0))),DescontoPadrao)</f>
        <v>0.30410958904109597</v>
      </c>
      <c r="M1951" s="12">
        <f>tItens[[#This Row],[Valor]]*(1-tItens[[#This Row],[Desconto]])</f>
        <v>475.98904109589029</v>
      </c>
      <c r="N1951" t="str">
        <f>IFERROR(INDEX(tProdutos[Foco],MATCH(tItens[[#This Row],[Produto]],tProdutos[Produto],0)),"Não")</f>
        <v>Não</v>
      </c>
      <c r="O1951" t="str">
        <f>IFERROR(INDEX(tEditais[SRP],MATCH(tItens[[#This Row],[Edital]],tEditais[Edital],0)),"Não")</f>
        <v>Não</v>
      </c>
      <c r="P1951" s="4">
        <f>IF(COUNTIFS(INDEX(tItens[Edital],1):tItens[[#This Row],[Edital]],tItens[[#This Row],[Edital]],INDEX(tItens[Produto],1):tItens[[#This Row],[Produto]],tItens[[#This Row],[Produto]])=1,1,0)</f>
        <v>0</v>
      </c>
    </row>
    <row r="1952" spans="1:16" x14ac:dyDescent="0.25">
      <c r="A1952" t="s">
        <v>1193</v>
      </c>
      <c r="B1952">
        <v>327</v>
      </c>
      <c r="C1952" t="s">
        <v>4993</v>
      </c>
      <c r="D1952" t="s">
        <v>110</v>
      </c>
      <c r="E1952" s="13">
        <v>300</v>
      </c>
      <c r="F1952" s="12">
        <v>2.2000000000000002</v>
      </c>
      <c r="G1952" t="str">
        <f>IFERROR(INDEX(tEditais[Órgão],MATCH(tItens[[#This Row],[Edital]],tEditais[Edital],0)),"")</f>
        <v>MUNICIPIO DE CACHOEIRA DOURADA</v>
      </c>
      <c r="H1952" t="str">
        <f>IFERROR(INDEX(tEditais[UF],MATCH(tItens[[#This Row],[Edital]],tEditais[Edital],0)),"")</f>
        <v>GO</v>
      </c>
      <c r="I1952" s="11">
        <f>IFERROR(INDEX(tEditais[Encerramento],MATCH(tItens[[#This Row],[Edital]],tEditais[Edital],0)),"")</f>
        <v>46310.333333333336</v>
      </c>
      <c r="J1952" t="str">
        <f>IFERROR(INDEX(tProdutos[Classe],MATCH(tItens[[#This Row],[Produto]],tProdutos[Produto],0)),"produto não cadastrado")</f>
        <v>NÚCLEO</v>
      </c>
      <c r="K1952" s="12">
        <f>tItens[[#This Row],[Qtd]]*tItens[[#This Row],[Vlr unit]]</f>
        <v>660</v>
      </c>
      <c r="L1952" s="6">
        <f>IFERROR(IF(INDEX(tProdutos[Desconto homologado],MATCH(tItens[[#This Row],[Produto]],tProdutos[Produto],0))="",DescontoPadrao,INDEX(tProdutos[Desconto homologado],MATCH(tItens[[#This Row],[Produto]],tProdutos[Produto],0))),DescontoPadrao)</f>
        <v>0.30410958904109597</v>
      </c>
      <c r="M1952" s="12">
        <f>tItens[[#This Row],[Valor]]*(1-tItens[[#This Row],[Desconto]])</f>
        <v>459.28767123287668</v>
      </c>
      <c r="N1952" t="str">
        <f>IFERROR(INDEX(tProdutos[Foco],MATCH(tItens[[#This Row],[Produto]],tProdutos[Produto],0)),"Não")</f>
        <v>Não</v>
      </c>
      <c r="O1952" t="str">
        <f>IFERROR(INDEX(tEditais[SRP],MATCH(tItens[[#This Row],[Edital]],tEditais[Edital],0)),"Não")</f>
        <v>Não</v>
      </c>
      <c r="P1952" s="4">
        <f>IF(COUNTIFS(INDEX(tItens[Edital],1):tItens[[#This Row],[Edital]],tItens[[#This Row],[Edital]],INDEX(tItens[Produto],1):tItens[[#This Row],[Produto]],tItens[[#This Row],[Produto]])=1,1,0)</f>
        <v>0</v>
      </c>
    </row>
    <row r="1953" spans="1:16" x14ac:dyDescent="0.25">
      <c r="A1953" t="s">
        <v>1193</v>
      </c>
      <c r="B1953">
        <v>328</v>
      </c>
      <c r="C1953" t="s">
        <v>4994</v>
      </c>
      <c r="D1953" t="s">
        <v>110</v>
      </c>
      <c r="E1953" s="13">
        <v>300</v>
      </c>
      <c r="F1953" s="12">
        <v>2.21</v>
      </c>
      <c r="G1953" t="str">
        <f>IFERROR(INDEX(tEditais[Órgão],MATCH(tItens[[#This Row],[Edital]],tEditais[Edital],0)),"")</f>
        <v>MUNICIPIO DE CACHOEIRA DOURADA</v>
      </c>
      <c r="H1953" t="str">
        <f>IFERROR(INDEX(tEditais[UF],MATCH(tItens[[#This Row],[Edital]],tEditais[Edital],0)),"")</f>
        <v>GO</v>
      </c>
      <c r="I1953" s="11">
        <f>IFERROR(INDEX(tEditais[Encerramento],MATCH(tItens[[#This Row],[Edital]],tEditais[Edital],0)),"")</f>
        <v>46310.333333333336</v>
      </c>
      <c r="J1953" t="str">
        <f>IFERROR(INDEX(tProdutos[Classe],MATCH(tItens[[#This Row],[Produto]],tProdutos[Produto],0)),"produto não cadastrado")</f>
        <v>NÚCLEO</v>
      </c>
      <c r="K1953" s="12">
        <f>tItens[[#This Row],[Qtd]]*tItens[[#This Row],[Vlr unit]]</f>
        <v>663</v>
      </c>
      <c r="L1953" s="6">
        <f>IFERROR(IF(INDEX(tProdutos[Desconto homologado],MATCH(tItens[[#This Row],[Produto]],tProdutos[Produto],0))="",DescontoPadrao,INDEX(tProdutos[Desconto homologado],MATCH(tItens[[#This Row],[Produto]],tProdutos[Produto],0))),DescontoPadrao)</f>
        <v>0.30410958904109597</v>
      </c>
      <c r="M1953" s="12">
        <f>tItens[[#This Row],[Valor]]*(1-tItens[[#This Row],[Desconto]])</f>
        <v>461.37534246575336</v>
      </c>
      <c r="N1953" t="str">
        <f>IFERROR(INDEX(tProdutos[Foco],MATCH(tItens[[#This Row],[Produto]],tProdutos[Produto],0)),"Não")</f>
        <v>Não</v>
      </c>
      <c r="O1953" t="str">
        <f>IFERROR(INDEX(tEditais[SRP],MATCH(tItens[[#This Row],[Edital]],tEditais[Edital],0)),"Não")</f>
        <v>Não</v>
      </c>
      <c r="P1953" s="4">
        <f>IF(COUNTIFS(INDEX(tItens[Edital],1):tItens[[#This Row],[Edital]],tItens[[#This Row],[Edital]],INDEX(tItens[Produto],1):tItens[[#This Row],[Produto]],tItens[[#This Row],[Produto]])=1,1,0)</f>
        <v>0</v>
      </c>
    </row>
    <row r="1954" spans="1:16" x14ac:dyDescent="0.25">
      <c r="A1954" t="s">
        <v>1193</v>
      </c>
      <c r="B1954">
        <v>329</v>
      </c>
      <c r="C1954" t="s">
        <v>4995</v>
      </c>
      <c r="D1954" t="s">
        <v>110</v>
      </c>
      <c r="E1954" s="13">
        <v>300</v>
      </c>
      <c r="F1954" s="12">
        <v>2.23</v>
      </c>
      <c r="G1954" t="str">
        <f>IFERROR(INDEX(tEditais[Órgão],MATCH(tItens[[#This Row],[Edital]],tEditais[Edital],0)),"")</f>
        <v>MUNICIPIO DE CACHOEIRA DOURADA</v>
      </c>
      <c r="H1954" t="str">
        <f>IFERROR(INDEX(tEditais[UF],MATCH(tItens[[#This Row],[Edital]],tEditais[Edital],0)),"")</f>
        <v>GO</v>
      </c>
      <c r="I1954" s="11">
        <f>IFERROR(INDEX(tEditais[Encerramento],MATCH(tItens[[#This Row],[Edital]],tEditais[Edital],0)),"")</f>
        <v>46310.333333333336</v>
      </c>
      <c r="J1954" t="str">
        <f>IFERROR(INDEX(tProdutos[Classe],MATCH(tItens[[#This Row],[Produto]],tProdutos[Produto],0)),"produto não cadastrado")</f>
        <v>NÚCLEO</v>
      </c>
      <c r="K1954" s="12">
        <f>tItens[[#This Row],[Qtd]]*tItens[[#This Row],[Vlr unit]]</f>
        <v>669</v>
      </c>
      <c r="L1954" s="6">
        <f>IFERROR(IF(INDEX(tProdutos[Desconto homologado],MATCH(tItens[[#This Row],[Produto]],tProdutos[Produto],0))="",DescontoPadrao,INDEX(tProdutos[Desconto homologado],MATCH(tItens[[#This Row],[Produto]],tProdutos[Produto],0))),DescontoPadrao)</f>
        <v>0.30410958904109597</v>
      </c>
      <c r="M1954" s="12">
        <f>tItens[[#This Row],[Valor]]*(1-tItens[[#This Row],[Desconto]])</f>
        <v>465.55068493150679</v>
      </c>
      <c r="N1954" t="str">
        <f>IFERROR(INDEX(tProdutos[Foco],MATCH(tItens[[#This Row],[Produto]],tProdutos[Produto],0)),"Não")</f>
        <v>Não</v>
      </c>
      <c r="O1954" t="str">
        <f>IFERROR(INDEX(tEditais[SRP],MATCH(tItens[[#This Row],[Edital]],tEditais[Edital],0)),"Não")</f>
        <v>Não</v>
      </c>
      <c r="P1954" s="4">
        <f>IF(COUNTIFS(INDEX(tItens[Edital],1):tItens[[#This Row],[Edital]],tItens[[#This Row],[Edital]],INDEX(tItens[Produto],1):tItens[[#This Row],[Produto]],tItens[[#This Row],[Produto]])=1,1,0)</f>
        <v>0</v>
      </c>
    </row>
    <row r="1955" spans="1:16" x14ac:dyDescent="0.25">
      <c r="A1955" t="s">
        <v>1193</v>
      </c>
      <c r="B1955">
        <v>330</v>
      </c>
      <c r="C1955" t="s">
        <v>4996</v>
      </c>
      <c r="D1955" t="s">
        <v>110</v>
      </c>
      <c r="E1955" s="13">
        <v>300</v>
      </c>
      <c r="F1955" s="12">
        <v>2.35</v>
      </c>
      <c r="G1955" t="str">
        <f>IFERROR(INDEX(tEditais[Órgão],MATCH(tItens[[#This Row],[Edital]],tEditais[Edital],0)),"")</f>
        <v>MUNICIPIO DE CACHOEIRA DOURADA</v>
      </c>
      <c r="H1955" t="str">
        <f>IFERROR(INDEX(tEditais[UF],MATCH(tItens[[#This Row],[Edital]],tEditais[Edital],0)),"")</f>
        <v>GO</v>
      </c>
      <c r="I1955" s="11">
        <f>IFERROR(INDEX(tEditais[Encerramento],MATCH(tItens[[#This Row],[Edital]],tEditais[Edital],0)),"")</f>
        <v>46310.333333333336</v>
      </c>
      <c r="J1955" t="str">
        <f>IFERROR(INDEX(tProdutos[Classe],MATCH(tItens[[#This Row],[Produto]],tProdutos[Produto],0)),"produto não cadastrado")</f>
        <v>NÚCLEO</v>
      </c>
      <c r="K1955" s="12">
        <f>tItens[[#This Row],[Qtd]]*tItens[[#This Row],[Vlr unit]]</f>
        <v>705</v>
      </c>
      <c r="L1955" s="6">
        <f>IFERROR(IF(INDEX(tProdutos[Desconto homologado],MATCH(tItens[[#This Row],[Produto]],tProdutos[Produto],0))="",DescontoPadrao,INDEX(tProdutos[Desconto homologado],MATCH(tItens[[#This Row],[Produto]],tProdutos[Produto],0))),DescontoPadrao)</f>
        <v>0.30410958904109597</v>
      </c>
      <c r="M1955" s="12">
        <f>tItens[[#This Row],[Valor]]*(1-tItens[[#This Row],[Desconto]])</f>
        <v>490.60273972602732</v>
      </c>
      <c r="N1955" t="str">
        <f>IFERROR(INDEX(tProdutos[Foco],MATCH(tItens[[#This Row],[Produto]],tProdutos[Produto],0)),"Não")</f>
        <v>Não</v>
      </c>
      <c r="O1955" t="str">
        <f>IFERROR(INDEX(tEditais[SRP],MATCH(tItens[[#This Row],[Edital]],tEditais[Edital],0)),"Não")</f>
        <v>Não</v>
      </c>
      <c r="P1955" s="4">
        <f>IF(COUNTIFS(INDEX(tItens[Edital],1):tItens[[#This Row],[Edital]],tItens[[#This Row],[Edital]],INDEX(tItens[Produto],1):tItens[[#This Row],[Produto]],tItens[[#This Row],[Produto]])=1,1,0)</f>
        <v>0</v>
      </c>
    </row>
    <row r="1956" spans="1:16" x14ac:dyDescent="0.25">
      <c r="A1956" t="s">
        <v>1193</v>
      </c>
      <c r="B1956">
        <v>331</v>
      </c>
      <c r="C1956" t="s">
        <v>4997</v>
      </c>
      <c r="D1956" t="s">
        <v>110</v>
      </c>
      <c r="E1956" s="13">
        <v>300</v>
      </c>
      <c r="F1956" s="12">
        <v>2.25</v>
      </c>
      <c r="G1956" t="str">
        <f>IFERROR(INDEX(tEditais[Órgão],MATCH(tItens[[#This Row],[Edital]],tEditais[Edital],0)),"")</f>
        <v>MUNICIPIO DE CACHOEIRA DOURADA</v>
      </c>
      <c r="H1956" t="str">
        <f>IFERROR(INDEX(tEditais[UF],MATCH(tItens[[#This Row],[Edital]],tEditais[Edital],0)),"")</f>
        <v>GO</v>
      </c>
      <c r="I1956" s="11">
        <f>IFERROR(INDEX(tEditais[Encerramento],MATCH(tItens[[#This Row],[Edital]],tEditais[Edital],0)),"")</f>
        <v>46310.333333333336</v>
      </c>
      <c r="J1956" t="str">
        <f>IFERROR(INDEX(tProdutos[Classe],MATCH(tItens[[#This Row],[Produto]],tProdutos[Produto],0)),"produto não cadastrado")</f>
        <v>NÚCLEO</v>
      </c>
      <c r="K1956" s="12">
        <f>tItens[[#This Row],[Qtd]]*tItens[[#This Row],[Vlr unit]]</f>
        <v>675</v>
      </c>
      <c r="L1956" s="6">
        <f>IFERROR(IF(INDEX(tProdutos[Desconto homologado],MATCH(tItens[[#This Row],[Produto]],tProdutos[Produto],0))="",DescontoPadrao,INDEX(tProdutos[Desconto homologado],MATCH(tItens[[#This Row],[Produto]],tProdutos[Produto],0))),DescontoPadrao)</f>
        <v>0.30410958904109597</v>
      </c>
      <c r="M1956" s="12">
        <f>tItens[[#This Row],[Valor]]*(1-tItens[[#This Row],[Desconto]])</f>
        <v>469.72602739726022</v>
      </c>
      <c r="N1956" t="str">
        <f>IFERROR(INDEX(tProdutos[Foco],MATCH(tItens[[#This Row],[Produto]],tProdutos[Produto],0)),"Não")</f>
        <v>Não</v>
      </c>
      <c r="O1956" t="str">
        <f>IFERROR(INDEX(tEditais[SRP],MATCH(tItens[[#This Row],[Edital]],tEditais[Edital],0)),"Não")</f>
        <v>Não</v>
      </c>
      <c r="P1956" s="4">
        <f>IF(COUNTIFS(INDEX(tItens[Edital],1):tItens[[#This Row],[Edital]],tItens[[#This Row],[Edital]],INDEX(tItens[Produto],1):tItens[[#This Row],[Produto]],tItens[[#This Row],[Produto]])=1,1,0)</f>
        <v>0</v>
      </c>
    </row>
    <row r="1957" spans="1:16" x14ac:dyDescent="0.25">
      <c r="A1957" t="s">
        <v>1193</v>
      </c>
      <c r="B1957">
        <v>332</v>
      </c>
      <c r="C1957" t="s">
        <v>4998</v>
      </c>
      <c r="D1957" t="s">
        <v>110</v>
      </c>
      <c r="E1957" s="13">
        <v>300</v>
      </c>
      <c r="F1957" s="12">
        <v>2.5099999999999998</v>
      </c>
      <c r="G1957" t="str">
        <f>IFERROR(INDEX(tEditais[Órgão],MATCH(tItens[[#This Row],[Edital]],tEditais[Edital],0)),"")</f>
        <v>MUNICIPIO DE CACHOEIRA DOURADA</v>
      </c>
      <c r="H1957" t="str">
        <f>IFERROR(INDEX(tEditais[UF],MATCH(tItens[[#This Row],[Edital]],tEditais[Edital],0)),"")</f>
        <v>GO</v>
      </c>
      <c r="I1957" s="11">
        <f>IFERROR(INDEX(tEditais[Encerramento],MATCH(tItens[[#This Row],[Edital]],tEditais[Edital],0)),"")</f>
        <v>46310.333333333336</v>
      </c>
      <c r="J1957" t="str">
        <f>IFERROR(INDEX(tProdutos[Classe],MATCH(tItens[[#This Row],[Produto]],tProdutos[Produto],0)),"produto não cadastrado")</f>
        <v>NÚCLEO</v>
      </c>
      <c r="K1957" s="12">
        <f>tItens[[#This Row],[Qtd]]*tItens[[#This Row],[Vlr unit]]</f>
        <v>752.99999999999989</v>
      </c>
      <c r="L1957" s="6">
        <f>IFERROR(IF(INDEX(tProdutos[Desconto homologado],MATCH(tItens[[#This Row],[Produto]],tProdutos[Produto],0))="",DescontoPadrao,INDEX(tProdutos[Desconto homologado],MATCH(tItens[[#This Row],[Produto]],tProdutos[Produto],0))),DescontoPadrao)</f>
        <v>0.30410958904109597</v>
      </c>
      <c r="M1957" s="12">
        <f>tItens[[#This Row],[Valor]]*(1-tItens[[#This Row],[Desconto]])</f>
        <v>524.0054794520546</v>
      </c>
      <c r="N1957" t="str">
        <f>IFERROR(INDEX(tProdutos[Foco],MATCH(tItens[[#This Row],[Produto]],tProdutos[Produto],0)),"Não")</f>
        <v>Não</v>
      </c>
      <c r="O1957" t="str">
        <f>IFERROR(INDEX(tEditais[SRP],MATCH(tItens[[#This Row],[Edital]],tEditais[Edital],0)),"Não")</f>
        <v>Não</v>
      </c>
      <c r="P1957" s="4">
        <f>IF(COUNTIFS(INDEX(tItens[Edital],1):tItens[[#This Row],[Edital]],tItens[[#This Row],[Edital]],INDEX(tItens[Produto],1):tItens[[#This Row],[Produto]],tItens[[#This Row],[Produto]])=1,1,0)</f>
        <v>0</v>
      </c>
    </row>
    <row r="1958" spans="1:16" x14ac:dyDescent="0.25">
      <c r="A1958" t="s">
        <v>1193</v>
      </c>
      <c r="B1958">
        <v>333</v>
      </c>
      <c r="C1958" t="s">
        <v>4999</v>
      </c>
      <c r="D1958" t="s">
        <v>110</v>
      </c>
      <c r="E1958" s="13">
        <v>300</v>
      </c>
      <c r="F1958" s="12">
        <v>2.64</v>
      </c>
      <c r="G1958" t="str">
        <f>IFERROR(INDEX(tEditais[Órgão],MATCH(tItens[[#This Row],[Edital]],tEditais[Edital],0)),"")</f>
        <v>MUNICIPIO DE CACHOEIRA DOURADA</v>
      </c>
      <c r="H1958" t="str">
        <f>IFERROR(INDEX(tEditais[UF],MATCH(tItens[[#This Row],[Edital]],tEditais[Edital],0)),"")</f>
        <v>GO</v>
      </c>
      <c r="I1958" s="11">
        <f>IFERROR(INDEX(tEditais[Encerramento],MATCH(tItens[[#This Row],[Edital]],tEditais[Edital],0)),"")</f>
        <v>46310.333333333336</v>
      </c>
      <c r="J1958" t="str">
        <f>IFERROR(INDEX(tProdutos[Classe],MATCH(tItens[[#This Row],[Produto]],tProdutos[Produto],0)),"produto não cadastrado")</f>
        <v>NÚCLEO</v>
      </c>
      <c r="K1958" s="12">
        <f>tItens[[#This Row],[Qtd]]*tItens[[#This Row],[Vlr unit]]</f>
        <v>792</v>
      </c>
      <c r="L1958" s="6">
        <f>IFERROR(IF(INDEX(tProdutos[Desconto homologado],MATCH(tItens[[#This Row],[Produto]],tProdutos[Produto],0))="",DescontoPadrao,INDEX(tProdutos[Desconto homologado],MATCH(tItens[[#This Row],[Produto]],tProdutos[Produto],0))),DescontoPadrao)</f>
        <v>0.30410958904109597</v>
      </c>
      <c r="M1958" s="12">
        <f>tItens[[#This Row],[Valor]]*(1-tItens[[#This Row],[Desconto]])</f>
        <v>551.14520547945199</v>
      </c>
      <c r="N1958" t="str">
        <f>IFERROR(INDEX(tProdutos[Foco],MATCH(tItens[[#This Row],[Produto]],tProdutos[Produto],0)),"Não")</f>
        <v>Não</v>
      </c>
      <c r="O1958" t="str">
        <f>IFERROR(INDEX(tEditais[SRP],MATCH(tItens[[#This Row],[Edital]],tEditais[Edital],0)),"Não")</f>
        <v>Não</v>
      </c>
      <c r="P1958" s="4">
        <f>IF(COUNTIFS(INDEX(tItens[Edital],1):tItens[[#This Row],[Edital]],tItens[[#This Row],[Edital]],INDEX(tItens[Produto],1):tItens[[#This Row],[Produto]],tItens[[#This Row],[Produto]])=1,1,0)</f>
        <v>0</v>
      </c>
    </row>
    <row r="1959" spans="1:16" x14ac:dyDescent="0.25">
      <c r="A1959" t="s">
        <v>1193</v>
      </c>
      <c r="B1959">
        <v>334</v>
      </c>
      <c r="C1959" t="s">
        <v>5000</v>
      </c>
      <c r="D1959" t="s">
        <v>110</v>
      </c>
      <c r="E1959" s="13">
        <v>300</v>
      </c>
      <c r="F1959" s="12">
        <v>2.77</v>
      </c>
      <c r="G1959" t="str">
        <f>IFERROR(INDEX(tEditais[Órgão],MATCH(tItens[[#This Row],[Edital]],tEditais[Edital],0)),"")</f>
        <v>MUNICIPIO DE CACHOEIRA DOURADA</v>
      </c>
      <c r="H1959" t="str">
        <f>IFERROR(INDEX(tEditais[UF],MATCH(tItens[[#This Row],[Edital]],tEditais[Edital],0)),"")</f>
        <v>GO</v>
      </c>
      <c r="I1959" s="11">
        <f>IFERROR(INDEX(tEditais[Encerramento],MATCH(tItens[[#This Row],[Edital]],tEditais[Edital],0)),"")</f>
        <v>46310.333333333336</v>
      </c>
      <c r="J1959" t="str">
        <f>IFERROR(INDEX(tProdutos[Classe],MATCH(tItens[[#This Row],[Produto]],tProdutos[Produto],0)),"produto não cadastrado")</f>
        <v>NÚCLEO</v>
      </c>
      <c r="K1959" s="12">
        <f>tItens[[#This Row],[Qtd]]*tItens[[#This Row],[Vlr unit]]</f>
        <v>831</v>
      </c>
      <c r="L1959" s="6">
        <f>IFERROR(IF(INDEX(tProdutos[Desconto homologado],MATCH(tItens[[#This Row],[Produto]],tProdutos[Produto],0))="",DescontoPadrao,INDEX(tProdutos[Desconto homologado],MATCH(tItens[[#This Row],[Produto]],tProdutos[Produto],0))),DescontoPadrao)</f>
        <v>0.30410958904109597</v>
      </c>
      <c r="M1959" s="12">
        <f>tItens[[#This Row],[Valor]]*(1-tItens[[#This Row],[Desconto]])</f>
        <v>578.28493150684926</v>
      </c>
      <c r="N1959" t="str">
        <f>IFERROR(INDEX(tProdutos[Foco],MATCH(tItens[[#This Row],[Produto]],tProdutos[Produto],0)),"Não")</f>
        <v>Não</v>
      </c>
      <c r="O1959" t="str">
        <f>IFERROR(INDEX(tEditais[SRP],MATCH(tItens[[#This Row],[Edital]],tEditais[Edital],0)),"Não")</f>
        <v>Não</v>
      </c>
      <c r="P1959" s="4">
        <f>IF(COUNTIFS(INDEX(tItens[Edital],1):tItens[[#This Row],[Edital]],tItens[[#This Row],[Edital]],INDEX(tItens[Produto],1):tItens[[#This Row],[Produto]],tItens[[#This Row],[Produto]])=1,1,0)</f>
        <v>0</v>
      </c>
    </row>
    <row r="1960" spans="1:16" x14ac:dyDescent="0.25">
      <c r="A1960" t="s">
        <v>1193</v>
      </c>
      <c r="B1960">
        <v>335</v>
      </c>
      <c r="C1960" t="s">
        <v>5001</v>
      </c>
      <c r="D1960" t="s">
        <v>110</v>
      </c>
      <c r="E1960" s="13">
        <v>300</v>
      </c>
      <c r="F1960" s="12">
        <v>2.4900000000000002</v>
      </c>
      <c r="G1960" t="str">
        <f>IFERROR(INDEX(tEditais[Órgão],MATCH(tItens[[#This Row],[Edital]],tEditais[Edital],0)),"")</f>
        <v>MUNICIPIO DE CACHOEIRA DOURADA</v>
      </c>
      <c r="H1960" t="str">
        <f>IFERROR(INDEX(tEditais[UF],MATCH(tItens[[#This Row],[Edital]],tEditais[Edital],0)),"")</f>
        <v>GO</v>
      </c>
      <c r="I1960" s="11">
        <f>IFERROR(INDEX(tEditais[Encerramento],MATCH(tItens[[#This Row],[Edital]],tEditais[Edital],0)),"")</f>
        <v>46310.333333333336</v>
      </c>
      <c r="J1960" t="str">
        <f>IFERROR(INDEX(tProdutos[Classe],MATCH(tItens[[#This Row],[Produto]],tProdutos[Produto],0)),"produto não cadastrado")</f>
        <v>NÚCLEO</v>
      </c>
      <c r="K1960" s="12">
        <f>tItens[[#This Row],[Qtd]]*tItens[[#This Row],[Vlr unit]]</f>
        <v>747.00000000000011</v>
      </c>
      <c r="L1960" s="6">
        <f>IFERROR(IF(INDEX(tProdutos[Desconto homologado],MATCH(tItens[[#This Row],[Produto]],tProdutos[Produto],0))="",DescontoPadrao,INDEX(tProdutos[Desconto homologado],MATCH(tItens[[#This Row],[Produto]],tProdutos[Produto],0))),DescontoPadrao)</f>
        <v>0.30410958904109597</v>
      </c>
      <c r="M1960" s="12">
        <f>tItens[[#This Row],[Valor]]*(1-tItens[[#This Row],[Desconto]])</f>
        <v>519.83013698630134</v>
      </c>
      <c r="N1960" t="str">
        <f>IFERROR(INDEX(tProdutos[Foco],MATCH(tItens[[#This Row],[Produto]],tProdutos[Produto],0)),"Não")</f>
        <v>Não</v>
      </c>
      <c r="O1960" t="str">
        <f>IFERROR(INDEX(tEditais[SRP],MATCH(tItens[[#This Row],[Edital]],tEditais[Edital],0)),"Não")</f>
        <v>Não</v>
      </c>
      <c r="P1960" s="4">
        <f>IF(COUNTIFS(INDEX(tItens[Edital],1):tItens[[#This Row],[Edital]],tItens[[#This Row],[Edital]],INDEX(tItens[Produto],1):tItens[[#This Row],[Produto]],tItens[[#This Row],[Produto]])=1,1,0)</f>
        <v>0</v>
      </c>
    </row>
    <row r="1961" spans="1:16" x14ac:dyDescent="0.25">
      <c r="A1961" t="s">
        <v>1193</v>
      </c>
      <c r="B1961">
        <v>336</v>
      </c>
      <c r="C1961" t="s">
        <v>5002</v>
      </c>
      <c r="D1961" t="s">
        <v>110</v>
      </c>
      <c r="E1961" s="13">
        <v>300</v>
      </c>
      <c r="F1961" s="12">
        <v>1.88</v>
      </c>
      <c r="G1961" t="str">
        <f>IFERROR(INDEX(tEditais[Órgão],MATCH(tItens[[#This Row],[Edital]],tEditais[Edital],0)),"")</f>
        <v>MUNICIPIO DE CACHOEIRA DOURADA</v>
      </c>
      <c r="H1961" t="str">
        <f>IFERROR(INDEX(tEditais[UF],MATCH(tItens[[#This Row],[Edital]],tEditais[Edital],0)),"")</f>
        <v>GO</v>
      </c>
      <c r="I1961" s="11">
        <f>IFERROR(INDEX(tEditais[Encerramento],MATCH(tItens[[#This Row],[Edital]],tEditais[Edital],0)),"")</f>
        <v>46310.333333333336</v>
      </c>
      <c r="J1961" t="str">
        <f>IFERROR(INDEX(tProdutos[Classe],MATCH(tItens[[#This Row],[Produto]],tProdutos[Produto],0)),"produto não cadastrado")</f>
        <v>NÚCLEO</v>
      </c>
      <c r="K1961" s="12">
        <f>tItens[[#This Row],[Qtd]]*tItens[[#This Row],[Vlr unit]]</f>
        <v>564</v>
      </c>
      <c r="L1961" s="6">
        <f>IFERROR(IF(INDEX(tProdutos[Desconto homologado],MATCH(tItens[[#This Row],[Produto]],tProdutos[Produto],0))="",DescontoPadrao,INDEX(tProdutos[Desconto homologado],MATCH(tItens[[#This Row],[Produto]],tProdutos[Produto],0))),DescontoPadrao)</f>
        <v>0.30410958904109597</v>
      </c>
      <c r="M1961" s="12">
        <f>tItens[[#This Row],[Valor]]*(1-tItens[[#This Row],[Desconto]])</f>
        <v>392.48219178082189</v>
      </c>
      <c r="N1961" t="str">
        <f>IFERROR(INDEX(tProdutos[Foco],MATCH(tItens[[#This Row],[Produto]],tProdutos[Produto],0)),"Não")</f>
        <v>Não</v>
      </c>
      <c r="O1961" t="str">
        <f>IFERROR(INDEX(tEditais[SRP],MATCH(tItens[[#This Row],[Edital]],tEditais[Edital],0)),"Não")</f>
        <v>Não</v>
      </c>
      <c r="P1961" s="4">
        <f>IF(COUNTIFS(INDEX(tItens[Edital],1):tItens[[#This Row],[Edital]],tItens[[#This Row],[Edital]],INDEX(tItens[Produto],1):tItens[[#This Row],[Produto]],tItens[[#This Row],[Produto]])=1,1,0)</f>
        <v>0</v>
      </c>
    </row>
    <row r="1962" spans="1:16" x14ac:dyDescent="0.25">
      <c r="A1962" t="s">
        <v>1193</v>
      </c>
      <c r="B1962">
        <v>337</v>
      </c>
      <c r="C1962" t="s">
        <v>5003</v>
      </c>
      <c r="D1962" t="s">
        <v>110</v>
      </c>
      <c r="E1962" s="13">
        <v>300</v>
      </c>
      <c r="F1962" s="12">
        <v>1.94</v>
      </c>
      <c r="G1962" t="str">
        <f>IFERROR(INDEX(tEditais[Órgão],MATCH(tItens[[#This Row],[Edital]],tEditais[Edital],0)),"")</f>
        <v>MUNICIPIO DE CACHOEIRA DOURADA</v>
      </c>
      <c r="H1962" t="str">
        <f>IFERROR(INDEX(tEditais[UF],MATCH(tItens[[#This Row],[Edital]],tEditais[Edital],0)),"")</f>
        <v>GO</v>
      </c>
      <c r="I1962" s="11">
        <f>IFERROR(INDEX(tEditais[Encerramento],MATCH(tItens[[#This Row],[Edital]],tEditais[Edital],0)),"")</f>
        <v>46310.333333333336</v>
      </c>
      <c r="J1962" t="str">
        <f>IFERROR(INDEX(tProdutos[Classe],MATCH(tItens[[#This Row],[Produto]],tProdutos[Produto],0)),"produto não cadastrado")</f>
        <v>NÚCLEO</v>
      </c>
      <c r="K1962" s="12">
        <f>tItens[[#This Row],[Qtd]]*tItens[[#This Row],[Vlr unit]]</f>
        <v>582</v>
      </c>
      <c r="L1962" s="6">
        <f>IFERROR(IF(INDEX(tProdutos[Desconto homologado],MATCH(tItens[[#This Row],[Produto]],tProdutos[Produto],0))="",DescontoPadrao,INDEX(tProdutos[Desconto homologado],MATCH(tItens[[#This Row],[Produto]],tProdutos[Produto],0))),DescontoPadrao)</f>
        <v>0.30410958904109597</v>
      </c>
      <c r="M1962" s="12">
        <f>tItens[[#This Row],[Valor]]*(1-tItens[[#This Row],[Desconto]])</f>
        <v>405.00821917808213</v>
      </c>
      <c r="N1962" t="str">
        <f>IFERROR(INDEX(tProdutos[Foco],MATCH(tItens[[#This Row],[Produto]],tProdutos[Produto],0)),"Não")</f>
        <v>Não</v>
      </c>
      <c r="O1962" t="str">
        <f>IFERROR(INDEX(tEditais[SRP],MATCH(tItens[[#This Row],[Edital]],tEditais[Edital],0)),"Não")</f>
        <v>Não</v>
      </c>
      <c r="P1962" s="4">
        <f>IF(COUNTIFS(INDEX(tItens[Edital],1):tItens[[#This Row],[Edital]],tItens[[#This Row],[Edital]],INDEX(tItens[Produto],1):tItens[[#This Row],[Produto]],tItens[[#This Row],[Produto]])=1,1,0)</f>
        <v>0</v>
      </c>
    </row>
    <row r="1963" spans="1:16" x14ac:dyDescent="0.25">
      <c r="A1963" t="s">
        <v>1193</v>
      </c>
      <c r="B1963">
        <v>338</v>
      </c>
      <c r="C1963" t="s">
        <v>5004</v>
      </c>
      <c r="D1963" t="s">
        <v>110</v>
      </c>
      <c r="E1963" s="13">
        <v>300</v>
      </c>
      <c r="F1963" s="12">
        <v>1.81</v>
      </c>
      <c r="G1963" t="str">
        <f>IFERROR(INDEX(tEditais[Órgão],MATCH(tItens[[#This Row],[Edital]],tEditais[Edital],0)),"")</f>
        <v>MUNICIPIO DE CACHOEIRA DOURADA</v>
      </c>
      <c r="H1963" t="str">
        <f>IFERROR(INDEX(tEditais[UF],MATCH(tItens[[#This Row],[Edital]],tEditais[Edital],0)),"")</f>
        <v>GO</v>
      </c>
      <c r="I1963" s="11">
        <f>IFERROR(INDEX(tEditais[Encerramento],MATCH(tItens[[#This Row],[Edital]],tEditais[Edital],0)),"")</f>
        <v>46310.333333333336</v>
      </c>
      <c r="J1963" t="str">
        <f>IFERROR(INDEX(tProdutos[Classe],MATCH(tItens[[#This Row],[Produto]],tProdutos[Produto],0)),"produto não cadastrado")</f>
        <v>NÚCLEO</v>
      </c>
      <c r="K1963" s="12">
        <f>tItens[[#This Row],[Qtd]]*tItens[[#This Row],[Vlr unit]]</f>
        <v>543</v>
      </c>
      <c r="L1963" s="6">
        <f>IFERROR(IF(INDEX(tProdutos[Desconto homologado],MATCH(tItens[[#This Row],[Produto]],tProdutos[Produto],0))="",DescontoPadrao,INDEX(tProdutos[Desconto homologado],MATCH(tItens[[#This Row],[Produto]],tProdutos[Produto],0))),DescontoPadrao)</f>
        <v>0.30410958904109597</v>
      </c>
      <c r="M1963" s="12">
        <f>tItens[[#This Row],[Valor]]*(1-tItens[[#This Row],[Desconto]])</f>
        <v>377.86849315068491</v>
      </c>
      <c r="N1963" t="str">
        <f>IFERROR(INDEX(tProdutos[Foco],MATCH(tItens[[#This Row],[Produto]],tProdutos[Produto],0)),"Não")</f>
        <v>Não</v>
      </c>
      <c r="O1963" t="str">
        <f>IFERROR(INDEX(tEditais[SRP],MATCH(tItens[[#This Row],[Edital]],tEditais[Edital],0)),"Não")</f>
        <v>Não</v>
      </c>
      <c r="P1963" s="4">
        <f>IF(COUNTIFS(INDEX(tItens[Edital],1):tItens[[#This Row],[Edital]],tItens[[#This Row],[Edital]],INDEX(tItens[Produto],1):tItens[[#This Row],[Produto]],tItens[[#This Row],[Produto]])=1,1,0)</f>
        <v>0</v>
      </c>
    </row>
    <row r="1964" spans="1:16" x14ac:dyDescent="0.25">
      <c r="A1964" t="s">
        <v>1193</v>
      </c>
      <c r="B1964">
        <v>339</v>
      </c>
      <c r="C1964" t="s">
        <v>5005</v>
      </c>
      <c r="D1964" t="s">
        <v>110</v>
      </c>
      <c r="E1964" s="13">
        <v>300</v>
      </c>
      <c r="F1964" s="12">
        <v>1.82</v>
      </c>
      <c r="G1964" t="str">
        <f>IFERROR(INDEX(tEditais[Órgão],MATCH(tItens[[#This Row],[Edital]],tEditais[Edital],0)),"")</f>
        <v>MUNICIPIO DE CACHOEIRA DOURADA</v>
      </c>
      <c r="H1964" t="str">
        <f>IFERROR(INDEX(tEditais[UF],MATCH(tItens[[#This Row],[Edital]],tEditais[Edital],0)),"")</f>
        <v>GO</v>
      </c>
      <c r="I1964" s="11">
        <f>IFERROR(INDEX(tEditais[Encerramento],MATCH(tItens[[#This Row],[Edital]],tEditais[Edital],0)),"")</f>
        <v>46310.333333333336</v>
      </c>
      <c r="J1964" t="str">
        <f>IFERROR(INDEX(tProdutos[Classe],MATCH(tItens[[#This Row],[Produto]],tProdutos[Produto],0)),"produto não cadastrado")</f>
        <v>NÚCLEO</v>
      </c>
      <c r="K1964" s="12">
        <f>tItens[[#This Row],[Qtd]]*tItens[[#This Row],[Vlr unit]]</f>
        <v>546</v>
      </c>
      <c r="L1964" s="6">
        <f>IFERROR(IF(INDEX(tProdutos[Desconto homologado],MATCH(tItens[[#This Row],[Produto]],tProdutos[Produto],0))="",DescontoPadrao,INDEX(tProdutos[Desconto homologado],MATCH(tItens[[#This Row],[Produto]],tProdutos[Produto],0))),DescontoPadrao)</f>
        <v>0.30410958904109597</v>
      </c>
      <c r="M1964" s="12">
        <f>tItens[[#This Row],[Valor]]*(1-tItens[[#This Row],[Desconto]])</f>
        <v>379.9561643835616</v>
      </c>
      <c r="N1964" t="str">
        <f>IFERROR(INDEX(tProdutos[Foco],MATCH(tItens[[#This Row],[Produto]],tProdutos[Produto],0)),"Não")</f>
        <v>Não</v>
      </c>
      <c r="O1964" t="str">
        <f>IFERROR(INDEX(tEditais[SRP],MATCH(tItens[[#This Row],[Edital]],tEditais[Edital],0)),"Não")</f>
        <v>Não</v>
      </c>
      <c r="P1964" s="4">
        <f>IF(COUNTIFS(INDEX(tItens[Edital],1):tItens[[#This Row],[Edital]],tItens[[#This Row],[Edital]],INDEX(tItens[Produto],1):tItens[[#This Row],[Produto]],tItens[[#This Row],[Produto]])=1,1,0)</f>
        <v>0</v>
      </c>
    </row>
    <row r="1965" spans="1:16" x14ac:dyDescent="0.25">
      <c r="A1965" t="s">
        <v>1193</v>
      </c>
      <c r="B1965">
        <v>340</v>
      </c>
      <c r="C1965" t="s">
        <v>5006</v>
      </c>
      <c r="D1965" t="s">
        <v>110</v>
      </c>
      <c r="E1965" s="13">
        <v>300</v>
      </c>
      <c r="F1965" s="12">
        <v>2.23</v>
      </c>
      <c r="G1965" t="str">
        <f>IFERROR(INDEX(tEditais[Órgão],MATCH(tItens[[#This Row],[Edital]],tEditais[Edital],0)),"")</f>
        <v>MUNICIPIO DE CACHOEIRA DOURADA</v>
      </c>
      <c r="H1965" t="str">
        <f>IFERROR(INDEX(tEditais[UF],MATCH(tItens[[#This Row],[Edital]],tEditais[Edital],0)),"")</f>
        <v>GO</v>
      </c>
      <c r="I1965" s="11">
        <f>IFERROR(INDEX(tEditais[Encerramento],MATCH(tItens[[#This Row],[Edital]],tEditais[Edital],0)),"")</f>
        <v>46310.333333333336</v>
      </c>
      <c r="J1965" t="str">
        <f>IFERROR(INDEX(tProdutos[Classe],MATCH(tItens[[#This Row],[Produto]],tProdutos[Produto],0)),"produto não cadastrado")</f>
        <v>NÚCLEO</v>
      </c>
      <c r="K1965" s="12">
        <f>tItens[[#This Row],[Qtd]]*tItens[[#This Row],[Vlr unit]]</f>
        <v>669</v>
      </c>
      <c r="L1965" s="6">
        <f>IFERROR(IF(INDEX(tProdutos[Desconto homologado],MATCH(tItens[[#This Row],[Produto]],tProdutos[Produto],0))="",DescontoPadrao,INDEX(tProdutos[Desconto homologado],MATCH(tItens[[#This Row],[Produto]],tProdutos[Produto],0))),DescontoPadrao)</f>
        <v>0.30410958904109597</v>
      </c>
      <c r="M1965" s="12">
        <f>tItens[[#This Row],[Valor]]*(1-tItens[[#This Row],[Desconto]])</f>
        <v>465.55068493150679</v>
      </c>
      <c r="N1965" t="str">
        <f>IFERROR(INDEX(tProdutos[Foco],MATCH(tItens[[#This Row],[Produto]],tProdutos[Produto],0)),"Não")</f>
        <v>Não</v>
      </c>
      <c r="O1965" t="str">
        <f>IFERROR(INDEX(tEditais[SRP],MATCH(tItens[[#This Row],[Edital]],tEditais[Edital],0)),"Não")</f>
        <v>Não</v>
      </c>
      <c r="P1965" s="4">
        <f>IF(COUNTIFS(INDEX(tItens[Edital],1):tItens[[#This Row],[Edital]],tItens[[#This Row],[Edital]],INDEX(tItens[Produto],1):tItens[[#This Row],[Produto]],tItens[[#This Row],[Produto]])=1,1,0)</f>
        <v>0</v>
      </c>
    </row>
    <row r="1966" spans="1:16" x14ac:dyDescent="0.25">
      <c r="A1966" t="s">
        <v>1193</v>
      </c>
      <c r="B1966">
        <v>341</v>
      </c>
      <c r="C1966" t="s">
        <v>5007</v>
      </c>
      <c r="D1966" t="s">
        <v>110</v>
      </c>
      <c r="E1966" s="13">
        <v>300</v>
      </c>
      <c r="F1966" s="12">
        <v>2.34</v>
      </c>
      <c r="G1966" t="str">
        <f>IFERROR(INDEX(tEditais[Órgão],MATCH(tItens[[#This Row],[Edital]],tEditais[Edital],0)),"")</f>
        <v>MUNICIPIO DE CACHOEIRA DOURADA</v>
      </c>
      <c r="H1966" t="str">
        <f>IFERROR(INDEX(tEditais[UF],MATCH(tItens[[#This Row],[Edital]],tEditais[Edital],0)),"")</f>
        <v>GO</v>
      </c>
      <c r="I1966" s="11">
        <f>IFERROR(INDEX(tEditais[Encerramento],MATCH(tItens[[#This Row],[Edital]],tEditais[Edital],0)),"")</f>
        <v>46310.333333333336</v>
      </c>
      <c r="J1966" t="str">
        <f>IFERROR(INDEX(tProdutos[Classe],MATCH(tItens[[#This Row],[Produto]],tProdutos[Produto],0)),"produto não cadastrado")</f>
        <v>NÚCLEO</v>
      </c>
      <c r="K1966" s="12">
        <f>tItens[[#This Row],[Qtd]]*tItens[[#This Row],[Vlr unit]]</f>
        <v>702</v>
      </c>
      <c r="L1966" s="6">
        <f>IFERROR(IF(INDEX(tProdutos[Desconto homologado],MATCH(tItens[[#This Row],[Produto]],tProdutos[Produto],0))="",DescontoPadrao,INDEX(tProdutos[Desconto homologado],MATCH(tItens[[#This Row],[Produto]],tProdutos[Produto],0))),DescontoPadrao)</f>
        <v>0.30410958904109597</v>
      </c>
      <c r="M1966" s="12">
        <f>tItens[[#This Row],[Valor]]*(1-tItens[[#This Row],[Desconto]])</f>
        <v>488.51506849315064</v>
      </c>
      <c r="N1966" t="str">
        <f>IFERROR(INDEX(tProdutos[Foco],MATCH(tItens[[#This Row],[Produto]],tProdutos[Produto],0)),"Não")</f>
        <v>Não</v>
      </c>
      <c r="O1966" t="str">
        <f>IFERROR(INDEX(tEditais[SRP],MATCH(tItens[[#This Row],[Edital]],tEditais[Edital],0)),"Não")</f>
        <v>Não</v>
      </c>
      <c r="P1966" s="4">
        <f>IF(COUNTIFS(INDEX(tItens[Edital],1):tItens[[#This Row],[Edital]],tItens[[#This Row],[Edital]],INDEX(tItens[Produto],1):tItens[[#This Row],[Produto]],tItens[[#This Row],[Produto]])=1,1,0)</f>
        <v>0</v>
      </c>
    </row>
    <row r="1967" spans="1:16" x14ac:dyDescent="0.25">
      <c r="A1967" t="s">
        <v>1193</v>
      </c>
      <c r="B1967">
        <v>342</v>
      </c>
      <c r="C1967" t="s">
        <v>5008</v>
      </c>
      <c r="D1967" t="s">
        <v>110</v>
      </c>
      <c r="E1967" s="13">
        <v>300</v>
      </c>
      <c r="F1967" s="12">
        <v>2.44</v>
      </c>
      <c r="G1967" t="str">
        <f>IFERROR(INDEX(tEditais[Órgão],MATCH(tItens[[#This Row],[Edital]],tEditais[Edital],0)),"")</f>
        <v>MUNICIPIO DE CACHOEIRA DOURADA</v>
      </c>
      <c r="H1967" t="str">
        <f>IFERROR(INDEX(tEditais[UF],MATCH(tItens[[#This Row],[Edital]],tEditais[Edital],0)),"")</f>
        <v>GO</v>
      </c>
      <c r="I1967" s="11">
        <f>IFERROR(INDEX(tEditais[Encerramento],MATCH(tItens[[#This Row],[Edital]],tEditais[Edital],0)),"")</f>
        <v>46310.333333333336</v>
      </c>
      <c r="J1967" t="str">
        <f>IFERROR(INDEX(tProdutos[Classe],MATCH(tItens[[#This Row],[Produto]],tProdutos[Produto],0)),"produto não cadastrado")</f>
        <v>NÚCLEO</v>
      </c>
      <c r="K1967" s="12">
        <f>tItens[[#This Row],[Qtd]]*tItens[[#This Row],[Vlr unit]]</f>
        <v>732</v>
      </c>
      <c r="L1967" s="6">
        <f>IFERROR(IF(INDEX(tProdutos[Desconto homologado],MATCH(tItens[[#This Row],[Produto]],tProdutos[Produto],0))="",DescontoPadrao,INDEX(tProdutos[Desconto homologado],MATCH(tItens[[#This Row],[Produto]],tProdutos[Produto],0))),DescontoPadrao)</f>
        <v>0.30410958904109597</v>
      </c>
      <c r="M1967" s="12">
        <f>tItens[[#This Row],[Valor]]*(1-tItens[[#This Row],[Desconto]])</f>
        <v>509.39178082191773</v>
      </c>
      <c r="N1967" t="str">
        <f>IFERROR(INDEX(tProdutos[Foco],MATCH(tItens[[#This Row],[Produto]],tProdutos[Produto],0)),"Não")</f>
        <v>Não</v>
      </c>
      <c r="O1967" t="str">
        <f>IFERROR(INDEX(tEditais[SRP],MATCH(tItens[[#This Row],[Edital]],tEditais[Edital],0)),"Não")</f>
        <v>Não</v>
      </c>
      <c r="P1967" s="4">
        <f>IF(COUNTIFS(INDEX(tItens[Edital],1):tItens[[#This Row],[Edital]],tItens[[#This Row],[Edital]],INDEX(tItens[Produto],1):tItens[[#This Row],[Produto]],tItens[[#This Row],[Produto]])=1,1,0)</f>
        <v>0</v>
      </c>
    </row>
    <row r="1968" spans="1:16" x14ac:dyDescent="0.25">
      <c r="A1968" t="s">
        <v>1193</v>
      </c>
      <c r="B1968">
        <v>343</v>
      </c>
      <c r="C1968" t="s">
        <v>5009</v>
      </c>
      <c r="D1968" t="s">
        <v>110</v>
      </c>
      <c r="E1968" s="13">
        <v>300</v>
      </c>
      <c r="F1968" s="12">
        <v>2.61</v>
      </c>
      <c r="G1968" t="str">
        <f>IFERROR(INDEX(tEditais[Órgão],MATCH(tItens[[#This Row],[Edital]],tEditais[Edital],0)),"")</f>
        <v>MUNICIPIO DE CACHOEIRA DOURADA</v>
      </c>
      <c r="H1968" t="str">
        <f>IFERROR(INDEX(tEditais[UF],MATCH(tItens[[#This Row],[Edital]],tEditais[Edital],0)),"")</f>
        <v>GO</v>
      </c>
      <c r="I1968" s="11">
        <f>IFERROR(INDEX(tEditais[Encerramento],MATCH(tItens[[#This Row],[Edital]],tEditais[Edital],0)),"")</f>
        <v>46310.333333333336</v>
      </c>
      <c r="J1968" t="str">
        <f>IFERROR(INDEX(tProdutos[Classe],MATCH(tItens[[#This Row],[Produto]],tProdutos[Produto],0)),"produto não cadastrado")</f>
        <v>NÚCLEO</v>
      </c>
      <c r="K1968" s="12">
        <f>tItens[[#This Row],[Qtd]]*tItens[[#This Row],[Vlr unit]]</f>
        <v>783</v>
      </c>
      <c r="L1968" s="6">
        <f>IFERROR(IF(INDEX(tProdutos[Desconto homologado],MATCH(tItens[[#This Row],[Produto]],tProdutos[Produto],0))="",DescontoPadrao,INDEX(tProdutos[Desconto homologado],MATCH(tItens[[#This Row],[Produto]],tProdutos[Produto],0))),DescontoPadrao)</f>
        <v>0.30410958904109597</v>
      </c>
      <c r="M1968" s="12">
        <f>tItens[[#This Row],[Valor]]*(1-tItens[[#This Row],[Desconto]])</f>
        <v>544.88219178082181</v>
      </c>
      <c r="N1968" t="str">
        <f>IFERROR(INDEX(tProdutos[Foco],MATCH(tItens[[#This Row],[Produto]],tProdutos[Produto],0)),"Não")</f>
        <v>Não</v>
      </c>
      <c r="O1968" t="str">
        <f>IFERROR(INDEX(tEditais[SRP],MATCH(tItens[[#This Row],[Edital]],tEditais[Edital],0)),"Não")</f>
        <v>Não</v>
      </c>
      <c r="P1968" s="4">
        <f>IF(COUNTIFS(INDEX(tItens[Edital],1):tItens[[#This Row],[Edital]],tItens[[#This Row],[Edital]],INDEX(tItens[Produto],1):tItens[[#This Row],[Produto]],tItens[[#This Row],[Produto]])=1,1,0)</f>
        <v>0</v>
      </c>
    </row>
    <row r="1969" spans="1:16" x14ac:dyDescent="0.25">
      <c r="A1969" t="s">
        <v>1193</v>
      </c>
      <c r="B1969">
        <v>344</v>
      </c>
      <c r="C1969" t="s">
        <v>5010</v>
      </c>
      <c r="D1969" t="s">
        <v>110</v>
      </c>
      <c r="E1969" s="13">
        <v>300</v>
      </c>
      <c r="F1969" s="12">
        <v>2.5099999999999998</v>
      </c>
      <c r="G1969" t="str">
        <f>IFERROR(INDEX(tEditais[Órgão],MATCH(tItens[[#This Row],[Edital]],tEditais[Edital],0)),"")</f>
        <v>MUNICIPIO DE CACHOEIRA DOURADA</v>
      </c>
      <c r="H1969" t="str">
        <f>IFERROR(INDEX(tEditais[UF],MATCH(tItens[[#This Row],[Edital]],tEditais[Edital],0)),"")</f>
        <v>GO</v>
      </c>
      <c r="I1969" s="11">
        <f>IFERROR(INDEX(tEditais[Encerramento],MATCH(tItens[[#This Row],[Edital]],tEditais[Edital],0)),"")</f>
        <v>46310.333333333336</v>
      </c>
      <c r="J1969" t="str">
        <f>IFERROR(INDEX(tProdutos[Classe],MATCH(tItens[[#This Row],[Produto]],tProdutos[Produto],0)),"produto não cadastrado")</f>
        <v>NÚCLEO</v>
      </c>
      <c r="K1969" s="12">
        <f>tItens[[#This Row],[Qtd]]*tItens[[#This Row],[Vlr unit]]</f>
        <v>752.99999999999989</v>
      </c>
      <c r="L1969" s="6">
        <f>IFERROR(IF(INDEX(tProdutos[Desconto homologado],MATCH(tItens[[#This Row],[Produto]],tProdutos[Produto],0))="",DescontoPadrao,INDEX(tProdutos[Desconto homologado],MATCH(tItens[[#This Row],[Produto]],tProdutos[Produto],0))),DescontoPadrao)</f>
        <v>0.30410958904109597</v>
      </c>
      <c r="M1969" s="12">
        <f>tItens[[#This Row],[Valor]]*(1-tItens[[#This Row],[Desconto]])</f>
        <v>524.0054794520546</v>
      </c>
      <c r="N1969" t="str">
        <f>IFERROR(INDEX(tProdutos[Foco],MATCH(tItens[[#This Row],[Produto]],tProdutos[Produto],0)),"Não")</f>
        <v>Não</v>
      </c>
      <c r="O1969" t="str">
        <f>IFERROR(INDEX(tEditais[SRP],MATCH(tItens[[#This Row],[Edital]],tEditais[Edital],0)),"Não")</f>
        <v>Não</v>
      </c>
      <c r="P1969" s="4">
        <f>IF(COUNTIFS(INDEX(tItens[Edital],1):tItens[[#This Row],[Edital]],tItens[[#This Row],[Edital]],INDEX(tItens[Produto],1):tItens[[#This Row],[Produto]],tItens[[#This Row],[Produto]])=1,1,0)</f>
        <v>0</v>
      </c>
    </row>
    <row r="1970" spans="1:16" x14ac:dyDescent="0.25">
      <c r="A1970" t="s">
        <v>1193</v>
      </c>
      <c r="B1970">
        <v>345</v>
      </c>
      <c r="C1970" t="s">
        <v>5011</v>
      </c>
      <c r="D1970" t="s">
        <v>110</v>
      </c>
      <c r="E1970" s="13">
        <v>300</v>
      </c>
      <c r="F1970" s="12">
        <v>2.77</v>
      </c>
      <c r="G1970" t="str">
        <f>IFERROR(INDEX(tEditais[Órgão],MATCH(tItens[[#This Row],[Edital]],tEditais[Edital],0)),"")</f>
        <v>MUNICIPIO DE CACHOEIRA DOURADA</v>
      </c>
      <c r="H1970" t="str">
        <f>IFERROR(INDEX(tEditais[UF],MATCH(tItens[[#This Row],[Edital]],tEditais[Edital],0)),"")</f>
        <v>GO</v>
      </c>
      <c r="I1970" s="11">
        <f>IFERROR(INDEX(tEditais[Encerramento],MATCH(tItens[[#This Row],[Edital]],tEditais[Edital],0)),"")</f>
        <v>46310.333333333336</v>
      </c>
      <c r="J1970" t="str">
        <f>IFERROR(INDEX(tProdutos[Classe],MATCH(tItens[[#This Row],[Produto]],tProdutos[Produto],0)),"produto não cadastrado")</f>
        <v>NÚCLEO</v>
      </c>
      <c r="K1970" s="12">
        <f>tItens[[#This Row],[Qtd]]*tItens[[#This Row],[Vlr unit]]</f>
        <v>831</v>
      </c>
      <c r="L1970" s="6">
        <f>IFERROR(IF(INDEX(tProdutos[Desconto homologado],MATCH(tItens[[#This Row],[Produto]],tProdutos[Produto],0))="",DescontoPadrao,INDEX(tProdutos[Desconto homologado],MATCH(tItens[[#This Row],[Produto]],tProdutos[Produto],0))),DescontoPadrao)</f>
        <v>0.30410958904109597</v>
      </c>
      <c r="M1970" s="12">
        <f>tItens[[#This Row],[Valor]]*(1-tItens[[#This Row],[Desconto]])</f>
        <v>578.28493150684926</v>
      </c>
      <c r="N1970" t="str">
        <f>IFERROR(INDEX(tProdutos[Foco],MATCH(tItens[[#This Row],[Produto]],tProdutos[Produto],0)),"Não")</f>
        <v>Não</v>
      </c>
      <c r="O1970" t="str">
        <f>IFERROR(INDEX(tEditais[SRP],MATCH(tItens[[#This Row],[Edital]],tEditais[Edital],0)),"Não")</f>
        <v>Não</v>
      </c>
      <c r="P1970" s="4">
        <f>IF(COUNTIFS(INDEX(tItens[Edital],1):tItens[[#This Row],[Edital]],tItens[[#This Row],[Edital]],INDEX(tItens[Produto],1):tItens[[#This Row],[Produto]],tItens[[#This Row],[Produto]])=1,1,0)</f>
        <v>0</v>
      </c>
    </row>
    <row r="1971" spans="1:16" x14ac:dyDescent="0.25">
      <c r="A1971" t="s">
        <v>1193</v>
      </c>
      <c r="B1971">
        <v>346</v>
      </c>
      <c r="C1971" t="s">
        <v>5012</v>
      </c>
      <c r="D1971" t="s">
        <v>110</v>
      </c>
      <c r="E1971" s="13">
        <v>300</v>
      </c>
      <c r="F1971" s="12">
        <v>2.86</v>
      </c>
      <c r="G1971" t="str">
        <f>IFERROR(INDEX(tEditais[Órgão],MATCH(tItens[[#This Row],[Edital]],tEditais[Edital],0)),"")</f>
        <v>MUNICIPIO DE CACHOEIRA DOURADA</v>
      </c>
      <c r="H1971" t="str">
        <f>IFERROR(INDEX(tEditais[UF],MATCH(tItens[[#This Row],[Edital]],tEditais[Edital],0)),"")</f>
        <v>GO</v>
      </c>
      <c r="I1971" s="11">
        <f>IFERROR(INDEX(tEditais[Encerramento],MATCH(tItens[[#This Row],[Edital]],tEditais[Edital],0)),"")</f>
        <v>46310.333333333336</v>
      </c>
      <c r="J1971" t="str">
        <f>IFERROR(INDEX(tProdutos[Classe],MATCH(tItens[[#This Row],[Produto]],tProdutos[Produto],0)),"produto não cadastrado")</f>
        <v>NÚCLEO</v>
      </c>
      <c r="K1971" s="12">
        <f>tItens[[#This Row],[Qtd]]*tItens[[#This Row],[Vlr unit]]</f>
        <v>858</v>
      </c>
      <c r="L1971" s="6">
        <f>IFERROR(IF(INDEX(tProdutos[Desconto homologado],MATCH(tItens[[#This Row],[Produto]],tProdutos[Produto],0))="",DescontoPadrao,INDEX(tProdutos[Desconto homologado],MATCH(tItens[[#This Row],[Produto]],tProdutos[Produto],0))),DescontoPadrao)</f>
        <v>0.30410958904109597</v>
      </c>
      <c r="M1971" s="12">
        <f>tItens[[#This Row],[Valor]]*(1-tItens[[#This Row],[Desconto]])</f>
        <v>597.07397260273967</v>
      </c>
      <c r="N1971" t="str">
        <f>IFERROR(INDEX(tProdutos[Foco],MATCH(tItens[[#This Row],[Produto]],tProdutos[Produto],0)),"Não")</f>
        <v>Não</v>
      </c>
      <c r="O1971" t="str">
        <f>IFERROR(INDEX(tEditais[SRP],MATCH(tItens[[#This Row],[Edital]],tEditais[Edital],0)),"Não")</f>
        <v>Não</v>
      </c>
      <c r="P1971" s="4">
        <f>IF(COUNTIFS(INDEX(tItens[Edital],1):tItens[[#This Row],[Edital]],tItens[[#This Row],[Edital]],INDEX(tItens[Produto],1):tItens[[#This Row],[Produto]],tItens[[#This Row],[Produto]])=1,1,0)</f>
        <v>0</v>
      </c>
    </row>
    <row r="1972" spans="1:16" x14ac:dyDescent="0.25">
      <c r="A1972" t="s">
        <v>1193</v>
      </c>
      <c r="B1972">
        <v>348</v>
      </c>
      <c r="C1972" t="s">
        <v>5013</v>
      </c>
      <c r="D1972" t="s">
        <v>120</v>
      </c>
      <c r="E1972" s="13">
        <v>300</v>
      </c>
      <c r="F1972" s="12">
        <v>1.7</v>
      </c>
      <c r="G1972" t="str">
        <f>IFERROR(INDEX(tEditais[Órgão],MATCH(tItens[[#This Row],[Edital]],tEditais[Edital],0)),"")</f>
        <v>MUNICIPIO DE CACHOEIRA DOURADA</v>
      </c>
      <c r="H1972" t="str">
        <f>IFERROR(INDEX(tEditais[UF],MATCH(tItens[[#This Row],[Edital]],tEditais[Edital],0)),"")</f>
        <v>GO</v>
      </c>
      <c r="I1972" s="11">
        <f>IFERROR(INDEX(tEditais[Encerramento],MATCH(tItens[[#This Row],[Edital]],tEditais[Edital],0)),"")</f>
        <v>46310.333333333336</v>
      </c>
      <c r="J1972" t="str">
        <f>IFERROR(INDEX(tProdutos[Classe],MATCH(tItens[[#This Row],[Produto]],tProdutos[Produto],0)),"produto não cadastrado")</f>
        <v>DISPUTADO</v>
      </c>
      <c r="K1972" s="12">
        <f>tItens[[#This Row],[Qtd]]*tItens[[#This Row],[Vlr unit]]</f>
        <v>510</v>
      </c>
      <c r="L1972" s="6">
        <f>IFERROR(IF(INDEX(tProdutos[Desconto homologado],MATCH(tItens[[#This Row],[Produto]],tProdutos[Produto],0))="",DescontoPadrao,INDEX(tProdutos[Desconto homologado],MATCH(tItens[[#This Row],[Produto]],tProdutos[Produto],0))),DescontoPadrao)</f>
        <v>0.40909090909090901</v>
      </c>
      <c r="M1972" s="12">
        <f>tItens[[#This Row],[Valor]]*(1-tItens[[#This Row],[Desconto]])</f>
        <v>301.36363636363643</v>
      </c>
      <c r="N1972" t="str">
        <f>IFERROR(INDEX(tProdutos[Foco],MATCH(tItens[[#This Row],[Produto]],tProdutos[Produto],0)),"Não")</f>
        <v>Não</v>
      </c>
      <c r="O1972" t="str">
        <f>IFERROR(INDEX(tEditais[SRP],MATCH(tItens[[#This Row],[Edital]],tEditais[Edital],0)),"Não")</f>
        <v>Não</v>
      </c>
      <c r="P1972" s="4">
        <f>IF(COUNTIFS(INDEX(tItens[Edital],1):tItens[[#This Row],[Edital]],tItens[[#This Row],[Edital]],INDEX(tItens[Produto],1):tItens[[#This Row],[Produto]],tItens[[#This Row],[Produto]])=1,1,0)</f>
        <v>1</v>
      </c>
    </row>
    <row r="1973" spans="1:16" x14ac:dyDescent="0.25">
      <c r="A1973" t="s">
        <v>1193</v>
      </c>
      <c r="B1973">
        <v>349</v>
      </c>
      <c r="C1973" t="s">
        <v>5014</v>
      </c>
      <c r="D1973" t="s">
        <v>120</v>
      </c>
      <c r="E1973" s="13">
        <v>300</v>
      </c>
      <c r="F1973" s="12">
        <v>1.72</v>
      </c>
      <c r="G1973" t="str">
        <f>IFERROR(INDEX(tEditais[Órgão],MATCH(tItens[[#This Row],[Edital]],tEditais[Edital],0)),"")</f>
        <v>MUNICIPIO DE CACHOEIRA DOURADA</v>
      </c>
      <c r="H1973" t="str">
        <f>IFERROR(INDEX(tEditais[UF],MATCH(tItens[[#This Row],[Edital]],tEditais[Edital],0)),"")</f>
        <v>GO</v>
      </c>
      <c r="I1973" s="11">
        <f>IFERROR(INDEX(tEditais[Encerramento],MATCH(tItens[[#This Row],[Edital]],tEditais[Edital],0)),"")</f>
        <v>46310.333333333336</v>
      </c>
      <c r="J1973" t="str">
        <f>IFERROR(INDEX(tProdutos[Classe],MATCH(tItens[[#This Row],[Produto]],tProdutos[Produto],0)),"produto não cadastrado")</f>
        <v>DISPUTADO</v>
      </c>
      <c r="K1973" s="12">
        <f>tItens[[#This Row],[Qtd]]*tItens[[#This Row],[Vlr unit]]</f>
        <v>516</v>
      </c>
      <c r="L1973" s="6">
        <f>IFERROR(IF(INDEX(tProdutos[Desconto homologado],MATCH(tItens[[#This Row],[Produto]],tProdutos[Produto],0))="",DescontoPadrao,INDEX(tProdutos[Desconto homologado],MATCH(tItens[[#This Row],[Produto]],tProdutos[Produto],0))),DescontoPadrao)</f>
        <v>0.40909090909090901</v>
      </c>
      <c r="M1973" s="12">
        <f>tItens[[#This Row],[Valor]]*(1-tItens[[#This Row],[Desconto]])</f>
        <v>304.90909090909099</v>
      </c>
      <c r="N1973" t="str">
        <f>IFERROR(INDEX(tProdutos[Foco],MATCH(tItens[[#This Row],[Produto]],tProdutos[Produto],0)),"Não")</f>
        <v>Não</v>
      </c>
      <c r="O1973" t="str">
        <f>IFERROR(INDEX(tEditais[SRP],MATCH(tItens[[#This Row],[Edital]],tEditais[Edital],0)),"Não")</f>
        <v>Não</v>
      </c>
      <c r="P1973" s="4">
        <f>IF(COUNTIFS(INDEX(tItens[Edital],1):tItens[[#This Row],[Edital]],tItens[[#This Row],[Edital]],INDEX(tItens[Produto],1):tItens[[#This Row],[Produto]],tItens[[#This Row],[Produto]])=1,1,0)</f>
        <v>0</v>
      </c>
    </row>
    <row r="1974" spans="1:16" x14ac:dyDescent="0.25">
      <c r="A1974" t="s">
        <v>1193</v>
      </c>
      <c r="B1974">
        <v>350</v>
      </c>
      <c r="C1974" t="s">
        <v>5015</v>
      </c>
      <c r="D1974" t="s">
        <v>120</v>
      </c>
      <c r="E1974" s="13">
        <v>300</v>
      </c>
      <c r="F1974" s="12">
        <v>1.69</v>
      </c>
      <c r="G1974" t="str">
        <f>IFERROR(INDEX(tEditais[Órgão],MATCH(tItens[[#This Row],[Edital]],tEditais[Edital],0)),"")</f>
        <v>MUNICIPIO DE CACHOEIRA DOURADA</v>
      </c>
      <c r="H1974" t="str">
        <f>IFERROR(INDEX(tEditais[UF],MATCH(tItens[[#This Row],[Edital]],tEditais[Edital],0)),"")</f>
        <v>GO</v>
      </c>
      <c r="I1974" s="11">
        <f>IFERROR(INDEX(tEditais[Encerramento],MATCH(tItens[[#This Row],[Edital]],tEditais[Edital],0)),"")</f>
        <v>46310.333333333336</v>
      </c>
      <c r="J1974" t="str">
        <f>IFERROR(INDEX(tProdutos[Classe],MATCH(tItens[[#This Row],[Produto]],tProdutos[Produto],0)),"produto não cadastrado")</f>
        <v>DISPUTADO</v>
      </c>
      <c r="K1974" s="12">
        <f>tItens[[#This Row],[Qtd]]*tItens[[#This Row],[Vlr unit]]</f>
        <v>507</v>
      </c>
      <c r="L1974" s="6">
        <f>IFERROR(IF(INDEX(tProdutos[Desconto homologado],MATCH(tItens[[#This Row],[Produto]],tProdutos[Produto],0))="",DescontoPadrao,INDEX(tProdutos[Desconto homologado],MATCH(tItens[[#This Row],[Produto]],tProdutos[Produto],0))),DescontoPadrao)</f>
        <v>0.40909090909090901</v>
      </c>
      <c r="M1974" s="12">
        <f>tItens[[#This Row],[Valor]]*(1-tItens[[#This Row],[Desconto]])</f>
        <v>299.59090909090918</v>
      </c>
      <c r="N1974" t="str">
        <f>IFERROR(INDEX(tProdutos[Foco],MATCH(tItens[[#This Row],[Produto]],tProdutos[Produto],0)),"Não")</f>
        <v>Não</v>
      </c>
      <c r="O1974" t="str">
        <f>IFERROR(INDEX(tEditais[SRP],MATCH(tItens[[#This Row],[Edital]],tEditais[Edital],0)),"Não")</f>
        <v>Não</v>
      </c>
      <c r="P1974" s="4">
        <f>IF(COUNTIFS(INDEX(tItens[Edital],1):tItens[[#This Row],[Edital]],tItens[[#This Row],[Edital]],INDEX(tItens[Produto],1):tItens[[#This Row],[Produto]],tItens[[#This Row],[Produto]])=1,1,0)</f>
        <v>0</v>
      </c>
    </row>
    <row r="1975" spans="1:16" x14ac:dyDescent="0.25">
      <c r="A1975" t="s">
        <v>1193</v>
      </c>
      <c r="B1975">
        <v>351</v>
      </c>
      <c r="C1975" t="s">
        <v>5016</v>
      </c>
      <c r="D1975" t="s">
        <v>120</v>
      </c>
      <c r="E1975" s="13">
        <v>300</v>
      </c>
      <c r="F1975" s="12">
        <v>1.73</v>
      </c>
      <c r="G1975" t="str">
        <f>IFERROR(INDEX(tEditais[Órgão],MATCH(tItens[[#This Row],[Edital]],tEditais[Edital],0)),"")</f>
        <v>MUNICIPIO DE CACHOEIRA DOURADA</v>
      </c>
      <c r="H1975" t="str">
        <f>IFERROR(INDEX(tEditais[UF],MATCH(tItens[[#This Row],[Edital]],tEditais[Edital],0)),"")</f>
        <v>GO</v>
      </c>
      <c r="I1975" s="11">
        <f>IFERROR(INDEX(tEditais[Encerramento],MATCH(tItens[[#This Row],[Edital]],tEditais[Edital],0)),"")</f>
        <v>46310.333333333336</v>
      </c>
      <c r="J1975" t="str">
        <f>IFERROR(INDEX(tProdutos[Classe],MATCH(tItens[[#This Row],[Produto]],tProdutos[Produto],0)),"produto não cadastrado")</f>
        <v>DISPUTADO</v>
      </c>
      <c r="K1975" s="12">
        <f>tItens[[#This Row],[Qtd]]*tItens[[#This Row],[Vlr unit]]</f>
        <v>519</v>
      </c>
      <c r="L1975" s="6">
        <f>IFERROR(IF(INDEX(tProdutos[Desconto homologado],MATCH(tItens[[#This Row],[Produto]],tProdutos[Produto],0))="",DescontoPadrao,INDEX(tProdutos[Desconto homologado],MATCH(tItens[[#This Row],[Produto]],tProdutos[Produto],0))),DescontoPadrao)</f>
        <v>0.40909090909090901</v>
      </c>
      <c r="M1975" s="12">
        <f>tItens[[#This Row],[Valor]]*(1-tItens[[#This Row],[Desconto]])</f>
        <v>306.68181818181824</v>
      </c>
      <c r="N1975" t="str">
        <f>IFERROR(INDEX(tProdutos[Foco],MATCH(tItens[[#This Row],[Produto]],tProdutos[Produto],0)),"Não")</f>
        <v>Não</v>
      </c>
      <c r="O1975" t="str">
        <f>IFERROR(INDEX(tEditais[SRP],MATCH(tItens[[#This Row],[Edital]],tEditais[Edital],0)),"Não")</f>
        <v>Não</v>
      </c>
      <c r="P1975" s="4">
        <f>IF(COUNTIFS(INDEX(tItens[Edital],1):tItens[[#This Row],[Edital]],tItens[[#This Row],[Edital]],INDEX(tItens[Produto],1):tItens[[#This Row],[Produto]],tItens[[#This Row],[Produto]])=1,1,0)</f>
        <v>0</v>
      </c>
    </row>
    <row r="1976" spans="1:16" x14ac:dyDescent="0.25">
      <c r="A1976" t="s">
        <v>1193</v>
      </c>
      <c r="B1976">
        <v>352</v>
      </c>
      <c r="C1976" t="s">
        <v>5017</v>
      </c>
      <c r="D1976" t="s">
        <v>120</v>
      </c>
      <c r="E1976" s="13">
        <v>10000</v>
      </c>
      <c r="F1976" s="12">
        <v>1.69</v>
      </c>
      <c r="G1976" t="str">
        <f>IFERROR(INDEX(tEditais[Órgão],MATCH(tItens[[#This Row],[Edital]],tEditais[Edital],0)),"")</f>
        <v>MUNICIPIO DE CACHOEIRA DOURADA</v>
      </c>
      <c r="H1976" t="str">
        <f>IFERROR(INDEX(tEditais[UF],MATCH(tItens[[#This Row],[Edital]],tEditais[Edital],0)),"")</f>
        <v>GO</v>
      </c>
      <c r="I1976" s="11">
        <f>IFERROR(INDEX(tEditais[Encerramento],MATCH(tItens[[#This Row],[Edital]],tEditais[Edital],0)),"")</f>
        <v>46310.333333333336</v>
      </c>
      <c r="J1976" t="str">
        <f>IFERROR(INDEX(tProdutos[Classe],MATCH(tItens[[#This Row],[Produto]],tProdutos[Produto],0)),"produto não cadastrado")</f>
        <v>DISPUTADO</v>
      </c>
      <c r="K1976" s="12">
        <f>tItens[[#This Row],[Qtd]]*tItens[[#This Row],[Vlr unit]]</f>
        <v>16900</v>
      </c>
      <c r="L1976" s="6">
        <f>IFERROR(IF(INDEX(tProdutos[Desconto homologado],MATCH(tItens[[#This Row],[Produto]],tProdutos[Produto],0))="",DescontoPadrao,INDEX(tProdutos[Desconto homologado],MATCH(tItens[[#This Row],[Produto]],tProdutos[Produto],0))),DescontoPadrao)</f>
        <v>0.40909090909090901</v>
      </c>
      <c r="M1976" s="12">
        <f>tItens[[#This Row],[Valor]]*(1-tItens[[#This Row],[Desconto]])</f>
        <v>9986.3636363636379</v>
      </c>
      <c r="N1976" t="str">
        <f>IFERROR(INDEX(tProdutos[Foco],MATCH(tItens[[#This Row],[Produto]],tProdutos[Produto],0)),"Não")</f>
        <v>Não</v>
      </c>
      <c r="O1976" t="str">
        <f>IFERROR(INDEX(tEditais[SRP],MATCH(tItens[[#This Row],[Edital]],tEditais[Edital],0)),"Não")</f>
        <v>Não</v>
      </c>
      <c r="P1976" s="4">
        <f>IF(COUNTIFS(INDEX(tItens[Edital],1):tItens[[#This Row],[Edital]],tItens[[#This Row],[Edital]],INDEX(tItens[Produto],1):tItens[[#This Row],[Produto]],tItens[[#This Row],[Produto]])=1,1,0)</f>
        <v>0</v>
      </c>
    </row>
    <row r="1977" spans="1:16" x14ac:dyDescent="0.25">
      <c r="A1977" t="s">
        <v>1193</v>
      </c>
      <c r="B1977">
        <v>353</v>
      </c>
      <c r="C1977" t="s">
        <v>5018</v>
      </c>
      <c r="D1977" t="s">
        <v>120</v>
      </c>
      <c r="E1977" s="13">
        <v>300</v>
      </c>
      <c r="F1977" s="12">
        <v>1.74</v>
      </c>
      <c r="G1977" t="str">
        <f>IFERROR(INDEX(tEditais[Órgão],MATCH(tItens[[#This Row],[Edital]],tEditais[Edital],0)),"")</f>
        <v>MUNICIPIO DE CACHOEIRA DOURADA</v>
      </c>
      <c r="H1977" t="str">
        <f>IFERROR(INDEX(tEditais[UF],MATCH(tItens[[#This Row],[Edital]],tEditais[Edital],0)),"")</f>
        <v>GO</v>
      </c>
      <c r="I1977" s="11">
        <f>IFERROR(INDEX(tEditais[Encerramento],MATCH(tItens[[#This Row],[Edital]],tEditais[Edital],0)),"")</f>
        <v>46310.333333333336</v>
      </c>
      <c r="J1977" t="str">
        <f>IFERROR(INDEX(tProdutos[Classe],MATCH(tItens[[#This Row],[Produto]],tProdutos[Produto],0)),"produto não cadastrado")</f>
        <v>DISPUTADO</v>
      </c>
      <c r="K1977" s="12">
        <f>tItens[[#This Row],[Qtd]]*tItens[[#This Row],[Vlr unit]]</f>
        <v>522</v>
      </c>
      <c r="L1977" s="6">
        <f>IFERROR(IF(INDEX(tProdutos[Desconto homologado],MATCH(tItens[[#This Row],[Produto]],tProdutos[Produto],0))="",DescontoPadrao,INDEX(tProdutos[Desconto homologado],MATCH(tItens[[#This Row],[Produto]],tProdutos[Produto],0))),DescontoPadrao)</f>
        <v>0.40909090909090901</v>
      </c>
      <c r="M1977" s="12">
        <f>tItens[[#This Row],[Valor]]*(1-tItens[[#This Row],[Desconto]])</f>
        <v>308.45454545454555</v>
      </c>
      <c r="N1977" t="str">
        <f>IFERROR(INDEX(tProdutos[Foco],MATCH(tItens[[#This Row],[Produto]],tProdutos[Produto],0)),"Não")</f>
        <v>Não</v>
      </c>
      <c r="O1977" t="str">
        <f>IFERROR(INDEX(tEditais[SRP],MATCH(tItens[[#This Row],[Edital]],tEditais[Edital],0)),"Não")</f>
        <v>Não</v>
      </c>
      <c r="P1977" s="4">
        <f>IF(COUNTIFS(INDEX(tItens[Edital],1):tItens[[#This Row],[Edital]],tItens[[#This Row],[Edital]],INDEX(tItens[Produto],1):tItens[[#This Row],[Produto]],tItens[[#This Row],[Produto]])=1,1,0)</f>
        <v>0</v>
      </c>
    </row>
    <row r="1978" spans="1:16" x14ac:dyDescent="0.25">
      <c r="A1978" t="s">
        <v>1193</v>
      </c>
      <c r="B1978">
        <v>354</v>
      </c>
      <c r="C1978" t="s">
        <v>5019</v>
      </c>
      <c r="D1978" t="s">
        <v>120</v>
      </c>
      <c r="E1978" s="13">
        <v>200</v>
      </c>
      <c r="F1978" s="12">
        <v>1.75</v>
      </c>
      <c r="G1978" t="str">
        <f>IFERROR(INDEX(tEditais[Órgão],MATCH(tItens[[#This Row],[Edital]],tEditais[Edital],0)),"")</f>
        <v>MUNICIPIO DE CACHOEIRA DOURADA</v>
      </c>
      <c r="H1978" t="str">
        <f>IFERROR(INDEX(tEditais[UF],MATCH(tItens[[#This Row],[Edital]],tEditais[Edital],0)),"")</f>
        <v>GO</v>
      </c>
      <c r="I1978" s="11">
        <f>IFERROR(INDEX(tEditais[Encerramento],MATCH(tItens[[#This Row],[Edital]],tEditais[Edital],0)),"")</f>
        <v>46310.333333333336</v>
      </c>
      <c r="J1978" t="str">
        <f>IFERROR(INDEX(tProdutos[Classe],MATCH(tItens[[#This Row],[Produto]],tProdutos[Produto],0)),"produto não cadastrado")</f>
        <v>DISPUTADO</v>
      </c>
      <c r="K1978" s="12">
        <f>tItens[[#This Row],[Qtd]]*tItens[[#This Row],[Vlr unit]]</f>
        <v>350</v>
      </c>
      <c r="L1978" s="6">
        <f>IFERROR(IF(INDEX(tProdutos[Desconto homologado],MATCH(tItens[[#This Row],[Produto]],tProdutos[Produto],0))="",DescontoPadrao,INDEX(tProdutos[Desconto homologado],MATCH(tItens[[#This Row],[Produto]],tProdutos[Produto],0))),DescontoPadrao)</f>
        <v>0.40909090909090901</v>
      </c>
      <c r="M1978" s="12">
        <f>tItens[[#This Row],[Valor]]*(1-tItens[[#This Row],[Desconto]])</f>
        <v>206.81818181818187</v>
      </c>
      <c r="N1978" t="str">
        <f>IFERROR(INDEX(tProdutos[Foco],MATCH(tItens[[#This Row],[Produto]],tProdutos[Produto],0)),"Não")</f>
        <v>Não</v>
      </c>
      <c r="O1978" t="str">
        <f>IFERROR(INDEX(tEditais[SRP],MATCH(tItens[[#This Row],[Edital]],tEditais[Edital],0)),"Não")</f>
        <v>Não</v>
      </c>
      <c r="P1978" s="4">
        <f>IF(COUNTIFS(INDEX(tItens[Edital],1):tItens[[#This Row],[Edital]],tItens[[#This Row],[Edital]],INDEX(tItens[Produto],1):tItens[[#This Row],[Produto]],tItens[[#This Row],[Produto]])=1,1,0)</f>
        <v>0</v>
      </c>
    </row>
    <row r="1979" spans="1:16" x14ac:dyDescent="0.25">
      <c r="A1979" t="s">
        <v>1193</v>
      </c>
      <c r="B1979">
        <v>375</v>
      </c>
      <c r="C1979" t="s">
        <v>5020</v>
      </c>
      <c r="D1979" t="s">
        <v>126</v>
      </c>
      <c r="E1979" s="13">
        <v>3500</v>
      </c>
      <c r="F1979" s="12">
        <v>19.37</v>
      </c>
      <c r="G1979" t="str">
        <f>IFERROR(INDEX(tEditais[Órgão],MATCH(tItens[[#This Row],[Edital]],tEditais[Edital],0)),"")</f>
        <v>MUNICIPIO DE CACHOEIRA DOURADA</v>
      </c>
      <c r="H1979" t="str">
        <f>IFERROR(INDEX(tEditais[UF],MATCH(tItens[[#This Row],[Edital]],tEditais[Edital],0)),"")</f>
        <v>GO</v>
      </c>
      <c r="I1979" s="11">
        <f>IFERROR(INDEX(tEditais[Encerramento],MATCH(tItens[[#This Row],[Edital]],tEditais[Edital],0)),"")</f>
        <v>46310.333333333336</v>
      </c>
      <c r="J1979" t="str">
        <f>IFERROR(INDEX(tProdutos[Classe],MATCH(tItens[[#This Row],[Produto]],tProdutos[Produto],0)),"produto não cadastrado")</f>
        <v>DISPUTADO</v>
      </c>
      <c r="K1979" s="12">
        <f>tItens[[#This Row],[Qtd]]*tItens[[#This Row],[Vlr unit]]</f>
        <v>67795</v>
      </c>
      <c r="L1979" s="6">
        <f>IFERROR(IF(INDEX(tProdutos[Desconto homologado],MATCH(tItens[[#This Row],[Produto]],tProdutos[Produto],0))="",DescontoPadrao,INDEX(tProdutos[Desconto homologado],MATCH(tItens[[#This Row],[Produto]],tProdutos[Produto],0))),DescontoPadrao)</f>
        <v>0.21</v>
      </c>
      <c r="M1979" s="12">
        <f>tItens[[#This Row],[Valor]]*(1-tItens[[#This Row],[Desconto]])</f>
        <v>53558.05</v>
      </c>
      <c r="N1979" t="str">
        <f>IFERROR(INDEX(tProdutos[Foco],MATCH(tItens[[#This Row],[Produto]],tProdutos[Produto],0)),"Não")</f>
        <v>Sim</v>
      </c>
      <c r="O1979" t="str">
        <f>IFERROR(INDEX(tEditais[SRP],MATCH(tItens[[#This Row],[Edital]],tEditais[Edital],0)),"Não")</f>
        <v>Não</v>
      </c>
      <c r="P1979" s="4">
        <f>IF(COUNTIFS(INDEX(tItens[Edital],1):tItens[[#This Row],[Edital]],tItens[[#This Row],[Edital]],INDEX(tItens[Produto],1):tItens[[#This Row],[Produto]],tItens[[#This Row],[Produto]])=1,1,0)</f>
        <v>1</v>
      </c>
    </row>
    <row r="1980" spans="1:16" x14ac:dyDescent="0.25">
      <c r="A1980" t="s">
        <v>1193</v>
      </c>
      <c r="B1980">
        <v>378</v>
      </c>
      <c r="C1980" t="s">
        <v>5021</v>
      </c>
      <c r="D1980" t="s">
        <v>114</v>
      </c>
      <c r="E1980" s="13">
        <v>200</v>
      </c>
      <c r="F1980" s="12">
        <v>7.42</v>
      </c>
      <c r="G1980" t="str">
        <f>IFERROR(INDEX(tEditais[Órgão],MATCH(tItens[[#This Row],[Edital]],tEditais[Edital],0)),"")</f>
        <v>MUNICIPIO DE CACHOEIRA DOURADA</v>
      </c>
      <c r="H1980" t="str">
        <f>IFERROR(INDEX(tEditais[UF],MATCH(tItens[[#This Row],[Edital]],tEditais[Edital],0)),"")</f>
        <v>GO</v>
      </c>
      <c r="I1980" s="11">
        <f>IFERROR(INDEX(tEditais[Encerramento],MATCH(tItens[[#This Row],[Edital]],tEditais[Edital],0)),"")</f>
        <v>46310.333333333336</v>
      </c>
      <c r="J1980" t="str">
        <f>IFERROR(INDEX(tProdutos[Classe],MATCH(tItens[[#This Row],[Produto]],tProdutos[Produto],0)),"produto não cadastrado")</f>
        <v>DISPUTADO</v>
      </c>
      <c r="K1980" s="12">
        <f>tItens[[#This Row],[Qtd]]*tItens[[#This Row],[Vlr unit]]</f>
        <v>1484</v>
      </c>
      <c r="L1980" s="6">
        <f>IFERROR(IF(INDEX(tProdutos[Desconto homologado],MATCH(tItens[[#This Row],[Produto]],tProdutos[Produto],0))="",DescontoPadrao,INDEX(tProdutos[Desconto homologado],MATCH(tItens[[#This Row],[Produto]],tProdutos[Produto],0))),DescontoPadrao)</f>
        <v>0.24332656063896899</v>
      </c>
      <c r="M1980" s="12">
        <f>tItens[[#This Row],[Valor]]*(1-tItens[[#This Row],[Desconto]])</f>
        <v>1122.90338401177</v>
      </c>
      <c r="N1980" t="str">
        <f>IFERROR(INDEX(tProdutos[Foco],MATCH(tItens[[#This Row],[Produto]],tProdutos[Produto],0)),"Não")</f>
        <v>Não</v>
      </c>
      <c r="O1980" t="str">
        <f>IFERROR(INDEX(tEditais[SRP],MATCH(tItens[[#This Row],[Edital]],tEditais[Edital],0)),"Não")</f>
        <v>Não</v>
      </c>
      <c r="P1980" s="4">
        <f>IF(COUNTIFS(INDEX(tItens[Edital],1):tItens[[#This Row],[Edital]],tItens[[#This Row],[Edital]],INDEX(tItens[Produto],1):tItens[[#This Row],[Produto]],tItens[[#This Row],[Produto]])=1,1,0)</f>
        <v>1</v>
      </c>
    </row>
    <row r="1981" spans="1:16" x14ac:dyDescent="0.25">
      <c r="A1981" t="s">
        <v>1197</v>
      </c>
      <c r="B1981">
        <v>11</v>
      </c>
      <c r="C1981" t="s">
        <v>5022</v>
      </c>
      <c r="D1981" t="s">
        <v>62</v>
      </c>
      <c r="E1981" s="13">
        <v>10000</v>
      </c>
      <c r="F1981" s="12">
        <v>3.53</v>
      </c>
      <c r="G1981" t="str">
        <f>IFERROR(INDEX(tEditais[Órgão],MATCH(tItens[[#This Row],[Edital]],tEditais[Edital],0)),"")</f>
        <v>MUNICIPIO DE RIO VERDE</v>
      </c>
      <c r="H1981" t="str">
        <f>IFERROR(INDEX(tEditais[UF],MATCH(tItens[[#This Row],[Edital]],tEditais[Edital],0)),"")</f>
        <v>GO</v>
      </c>
      <c r="I1981" s="11">
        <f>IFERROR(INDEX(tEditais[Encerramento],MATCH(tItens[[#This Row],[Edital]],tEditais[Edital],0)),"")</f>
        <v>46310.374305555553</v>
      </c>
      <c r="J1981" t="str">
        <f>IFERROR(INDEX(tProdutos[Classe],MATCH(tItens[[#This Row],[Produto]],tProdutos[Produto],0)),"produto não cadastrado")</f>
        <v>NÚCLEO</v>
      </c>
      <c r="K1981" s="12">
        <f>tItens[[#This Row],[Qtd]]*tItens[[#This Row],[Vlr unit]]</f>
        <v>35300</v>
      </c>
      <c r="L1981" s="6">
        <f>IFERROR(IF(INDEX(tProdutos[Desconto homologado],MATCH(tItens[[#This Row],[Produto]],tProdutos[Produto],0))="",DescontoPadrao,INDEX(tProdutos[Desconto homologado],MATCH(tItens[[#This Row],[Produto]],tProdutos[Produto],0))),DescontoPadrao)</f>
        <v>0.3</v>
      </c>
      <c r="M1981" s="12">
        <f>tItens[[#This Row],[Valor]]*(1-tItens[[#This Row],[Desconto]])</f>
        <v>24710</v>
      </c>
      <c r="N1981" t="str">
        <f>IFERROR(INDEX(tProdutos[Foco],MATCH(tItens[[#This Row],[Produto]],tProdutos[Produto],0)),"Não")</f>
        <v>Sim</v>
      </c>
      <c r="O1981" t="str">
        <f>IFERROR(INDEX(tEditais[SRP],MATCH(tItens[[#This Row],[Edital]],tEditais[Edital],0)),"Não")</f>
        <v>Sim</v>
      </c>
      <c r="P1981" s="4">
        <f>IF(COUNTIFS(INDEX(tItens[Edital],1):tItens[[#This Row],[Edital]],tItens[[#This Row],[Edital]],INDEX(tItens[Produto],1):tItens[[#This Row],[Produto]],tItens[[#This Row],[Produto]])=1,1,0)</f>
        <v>1</v>
      </c>
    </row>
    <row r="1982" spans="1:16" x14ac:dyDescent="0.25">
      <c r="A1982" t="s">
        <v>1197</v>
      </c>
      <c r="B1982">
        <v>29</v>
      </c>
      <c r="C1982" t="s">
        <v>5023</v>
      </c>
      <c r="D1982" t="s">
        <v>98</v>
      </c>
      <c r="E1982" s="13">
        <v>20</v>
      </c>
      <c r="F1982" s="12">
        <v>2.39</v>
      </c>
      <c r="G1982" t="str">
        <f>IFERROR(INDEX(tEditais[Órgão],MATCH(tItens[[#This Row],[Edital]],tEditais[Edital],0)),"")</f>
        <v>MUNICIPIO DE RIO VERDE</v>
      </c>
      <c r="H1982" t="str">
        <f>IFERROR(INDEX(tEditais[UF],MATCH(tItens[[#This Row],[Edital]],tEditais[Edital],0)),"")</f>
        <v>GO</v>
      </c>
      <c r="I1982" s="11">
        <f>IFERROR(INDEX(tEditais[Encerramento],MATCH(tItens[[#This Row],[Edital]],tEditais[Edital],0)),"")</f>
        <v>46310.374305555553</v>
      </c>
      <c r="J1982" t="str">
        <f>IFERROR(INDEX(tProdutos[Classe],MATCH(tItens[[#This Row],[Produto]],tProdutos[Produto],0)),"produto não cadastrado")</f>
        <v>NÚCLEO</v>
      </c>
      <c r="K1982" s="12">
        <f>tItens[[#This Row],[Qtd]]*tItens[[#This Row],[Vlr unit]]</f>
        <v>47.800000000000004</v>
      </c>
      <c r="L1982" s="6">
        <f>IFERROR(IF(INDEX(tProdutos[Desconto homologado],MATCH(tItens[[#This Row],[Produto]],tProdutos[Produto],0))="",DescontoPadrao,INDEX(tProdutos[Desconto homologado],MATCH(tItens[[#This Row],[Produto]],tProdutos[Produto],0))),DescontoPadrao)</f>
        <v>0.39</v>
      </c>
      <c r="M1982" s="12">
        <f>tItens[[#This Row],[Valor]]*(1-tItens[[#This Row],[Desconto]])</f>
        <v>29.158000000000001</v>
      </c>
      <c r="N1982" t="str">
        <f>IFERROR(INDEX(tProdutos[Foco],MATCH(tItens[[#This Row],[Produto]],tProdutos[Produto],0)),"Não")</f>
        <v>Sim</v>
      </c>
      <c r="O1982" t="str">
        <f>IFERROR(INDEX(tEditais[SRP],MATCH(tItens[[#This Row],[Edital]],tEditais[Edital],0)),"Não")</f>
        <v>Sim</v>
      </c>
      <c r="P1982" s="4">
        <f>IF(COUNTIFS(INDEX(tItens[Edital],1):tItens[[#This Row],[Edital]],tItens[[#This Row],[Edital]],INDEX(tItens[Produto],1):tItens[[#This Row],[Produto]],tItens[[#This Row],[Produto]])=1,1,0)</f>
        <v>1</v>
      </c>
    </row>
    <row r="1983" spans="1:16" x14ac:dyDescent="0.25">
      <c r="A1983" t="s">
        <v>1197</v>
      </c>
      <c r="B1983">
        <v>31</v>
      </c>
      <c r="C1983" t="s">
        <v>5024</v>
      </c>
      <c r="D1983" t="s">
        <v>245</v>
      </c>
      <c r="E1983" s="13">
        <v>30</v>
      </c>
      <c r="F1983" s="12">
        <v>112.43</v>
      </c>
      <c r="G1983" t="str">
        <f>IFERROR(INDEX(tEditais[Órgão],MATCH(tItens[[#This Row],[Edital]],tEditais[Edital],0)),"")</f>
        <v>MUNICIPIO DE RIO VERDE</v>
      </c>
      <c r="H1983" t="str">
        <f>IFERROR(INDEX(tEditais[UF],MATCH(tItens[[#This Row],[Edital]],tEditais[Edital],0)),"")</f>
        <v>GO</v>
      </c>
      <c r="I1983" s="11">
        <f>IFERROR(INDEX(tEditais[Encerramento],MATCH(tItens[[#This Row],[Edital]],tEditais[Edital],0)),"")</f>
        <v>46310.374305555553</v>
      </c>
      <c r="J1983" t="str">
        <f>IFERROR(INDEX(tProdutos[Classe],MATCH(tItens[[#This Row],[Produto]],tProdutos[Produto],0)),"produto não cadastrado")</f>
        <v>FORA</v>
      </c>
      <c r="K1983" s="12">
        <f>tItens[[#This Row],[Qtd]]*tItens[[#This Row],[Vlr unit]]</f>
        <v>3372.9</v>
      </c>
      <c r="L1983" s="6">
        <f>IFERROR(IF(INDEX(tProdutos[Desconto homologado],MATCH(tItens[[#This Row],[Produto]],tProdutos[Produto],0))="",DescontoPadrao,INDEX(tProdutos[Desconto homologado],MATCH(tItens[[#This Row],[Produto]],tProdutos[Produto],0))),DescontoPadrao)</f>
        <v>0.34516963542284401</v>
      </c>
      <c r="M1983" s="12">
        <f>tItens[[#This Row],[Valor]]*(1-tItens[[#This Row],[Desconto]])</f>
        <v>2208.6773366822895</v>
      </c>
      <c r="N1983" t="str">
        <f>IFERROR(INDEX(tProdutos[Foco],MATCH(tItens[[#This Row],[Produto]],tProdutos[Produto],0)),"Não")</f>
        <v>Não</v>
      </c>
      <c r="O1983" t="str">
        <f>IFERROR(INDEX(tEditais[SRP],MATCH(tItens[[#This Row],[Edital]],tEditais[Edital],0)),"Não")</f>
        <v>Sim</v>
      </c>
      <c r="P1983" s="4">
        <f>IF(COUNTIFS(INDEX(tItens[Edital],1):tItens[[#This Row],[Edital]],tItens[[#This Row],[Edital]],INDEX(tItens[Produto],1):tItens[[#This Row],[Produto]],tItens[[#This Row],[Produto]])=1,1,0)</f>
        <v>1</v>
      </c>
    </row>
    <row r="1984" spans="1:16" x14ac:dyDescent="0.25">
      <c r="A1984" t="s">
        <v>1197</v>
      </c>
      <c r="B1984">
        <v>32</v>
      </c>
      <c r="C1984" t="s">
        <v>5025</v>
      </c>
      <c r="D1984" t="s">
        <v>245</v>
      </c>
      <c r="E1984" s="13">
        <v>40</v>
      </c>
      <c r="F1984" s="12">
        <v>45.81</v>
      </c>
      <c r="G1984" t="str">
        <f>IFERROR(INDEX(tEditais[Órgão],MATCH(tItens[[#This Row],[Edital]],tEditais[Edital],0)),"")</f>
        <v>MUNICIPIO DE RIO VERDE</v>
      </c>
      <c r="H1984" t="str">
        <f>IFERROR(INDEX(tEditais[UF],MATCH(tItens[[#This Row],[Edital]],tEditais[Edital],0)),"")</f>
        <v>GO</v>
      </c>
      <c r="I1984" s="11">
        <f>IFERROR(INDEX(tEditais[Encerramento],MATCH(tItens[[#This Row],[Edital]],tEditais[Edital],0)),"")</f>
        <v>46310.374305555553</v>
      </c>
      <c r="J1984" t="str">
        <f>IFERROR(INDEX(tProdutos[Classe],MATCH(tItens[[#This Row],[Produto]],tProdutos[Produto],0)),"produto não cadastrado")</f>
        <v>FORA</v>
      </c>
      <c r="K1984" s="12">
        <f>tItens[[#This Row],[Qtd]]*tItens[[#This Row],[Vlr unit]]</f>
        <v>1832.4</v>
      </c>
      <c r="L1984" s="6">
        <f>IFERROR(IF(INDEX(tProdutos[Desconto homologado],MATCH(tItens[[#This Row],[Produto]],tProdutos[Produto],0))="",DescontoPadrao,INDEX(tProdutos[Desconto homologado],MATCH(tItens[[#This Row],[Produto]],tProdutos[Produto],0))),DescontoPadrao)</f>
        <v>0.34516963542284401</v>
      </c>
      <c r="M1984" s="12">
        <f>tItens[[#This Row],[Valor]]*(1-tItens[[#This Row],[Desconto]])</f>
        <v>1199.9111600511808</v>
      </c>
      <c r="N1984" t="str">
        <f>IFERROR(INDEX(tProdutos[Foco],MATCH(tItens[[#This Row],[Produto]],tProdutos[Produto],0)),"Não")</f>
        <v>Não</v>
      </c>
      <c r="O1984" t="str">
        <f>IFERROR(INDEX(tEditais[SRP],MATCH(tItens[[#This Row],[Edital]],tEditais[Edital],0)),"Não")</f>
        <v>Sim</v>
      </c>
      <c r="P1984" s="4">
        <f>IF(COUNTIFS(INDEX(tItens[Edital],1):tItens[[#This Row],[Edital]],tItens[[#This Row],[Edital]],INDEX(tItens[Produto],1):tItens[[#This Row],[Produto]],tItens[[#This Row],[Produto]])=1,1,0)</f>
        <v>0</v>
      </c>
    </row>
    <row r="1985" spans="1:16" x14ac:dyDescent="0.25">
      <c r="A1985" t="s">
        <v>1197</v>
      </c>
      <c r="B1985">
        <v>33</v>
      </c>
      <c r="C1985" t="s">
        <v>5026</v>
      </c>
      <c r="D1985" t="s">
        <v>245</v>
      </c>
      <c r="E1985" s="13">
        <v>30</v>
      </c>
      <c r="F1985" s="12">
        <v>15.42</v>
      </c>
      <c r="G1985" t="str">
        <f>IFERROR(INDEX(tEditais[Órgão],MATCH(tItens[[#This Row],[Edital]],tEditais[Edital],0)),"")</f>
        <v>MUNICIPIO DE RIO VERDE</v>
      </c>
      <c r="H1985" t="str">
        <f>IFERROR(INDEX(tEditais[UF],MATCH(tItens[[#This Row],[Edital]],tEditais[Edital],0)),"")</f>
        <v>GO</v>
      </c>
      <c r="I1985" s="11">
        <f>IFERROR(INDEX(tEditais[Encerramento],MATCH(tItens[[#This Row],[Edital]],tEditais[Edital],0)),"")</f>
        <v>46310.374305555553</v>
      </c>
      <c r="J1985" t="str">
        <f>IFERROR(INDEX(tProdutos[Classe],MATCH(tItens[[#This Row],[Produto]],tProdutos[Produto],0)),"produto não cadastrado")</f>
        <v>FORA</v>
      </c>
      <c r="K1985" s="12">
        <f>tItens[[#This Row],[Qtd]]*tItens[[#This Row],[Vlr unit]]</f>
        <v>462.6</v>
      </c>
      <c r="L1985" s="6">
        <f>IFERROR(IF(INDEX(tProdutos[Desconto homologado],MATCH(tItens[[#This Row],[Produto]],tProdutos[Produto],0))="",DescontoPadrao,INDEX(tProdutos[Desconto homologado],MATCH(tItens[[#This Row],[Produto]],tProdutos[Produto],0))),DescontoPadrao)</f>
        <v>0.34516963542284401</v>
      </c>
      <c r="M1985" s="12">
        <f>tItens[[#This Row],[Valor]]*(1-tItens[[#This Row],[Desconto]])</f>
        <v>302.92452665339238</v>
      </c>
      <c r="N1985" t="str">
        <f>IFERROR(INDEX(tProdutos[Foco],MATCH(tItens[[#This Row],[Produto]],tProdutos[Produto],0)),"Não")</f>
        <v>Não</v>
      </c>
      <c r="O1985" t="str">
        <f>IFERROR(INDEX(tEditais[SRP],MATCH(tItens[[#This Row],[Edital]],tEditais[Edital],0)),"Não")</f>
        <v>Sim</v>
      </c>
      <c r="P1985" s="4">
        <f>IF(COUNTIFS(INDEX(tItens[Edital],1):tItens[[#This Row],[Edital]],tItens[[#This Row],[Edital]],INDEX(tItens[Produto],1):tItens[[#This Row],[Produto]],tItens[[#This Row],[Produto]])=1,1,0)</f>
        <v>0</v>
      </c>
    </row>
    <row r="1986" spans="1:16" x14ac:dyDescent="0.25">
      <c r="A1986" t="s">
        <v>1197</v>
      </c>
      <c r="B1986">
        <v>34</v>
      </c>
      <c r="C1986" t="s">
        <v>5027</v>
      </c>
      <c r="D1986" t="s">
        <v>245</v>
      </c>
      <c r="E1986" s="13">
        <v>30</v>
      </c>
      <c r="F1986" s="12">
        <v>116.3</v>
      </c>
      <c r="G1986" t="str">
        <f>IFERROR(INDEX(tEditais[Órgão],MATCH(tItens[[#This Row],[Edital]],tEditais[Edital],0)),"")</f>
        <v>MUNICIPIO DE RIO VERDE</v>
      </c>
      <c r="H1986" t="str">
        <f>IFERROR(INDEX(tEditais[UF],MATCH(tItens[[#This Row],[Edital]],tEditais[Edital],0)),"")</f>
        <v>GO</v>
      </c>
      <c r="I1986" s="11">
        <f>IFERROR(INDEX(tEditais[Encerramento],MATCH(tItens[[#This Row],[Edital]],tEditais[Edital],0)),"")</f>
        <v>46310.374305555553</v>
      </c>
      <c r="J1986" t="str">
        <f>IFERROR(INDEX(tProdutos[Classe],MATCH(tItens[[#This Row],[Produto]],tProdutos[Produto],0)),"produto não cadastrado")</f>
        <v>FORA</v>
      </c>
      <c r="K1986" s="12">
        <f>tItens[[#This Row],[Qtd]]*tItens[[#This Row],[Vlr unit]]</f>
        <v>3489</v>
      </c>
      <c r="L1986" s="6">
        <f>IFERROR(IF(INDEX(tProdutos[Desconto homologado],MATCH(tItens[[#This Row],[Produto]],tProdutos[Produto],0))="",DescontoPadrao,INDEX(tProdutos[Desconto homologado],MATCH(tItens[[#This Row],[Produto]],tProdutos[Produto],0))),DescontoPadrao)</f>
        <v>0.34516963542284401</v>
      </c>
      <c r="M1986" s="12">
        <f>tItens[[#This Row],[Valor]]*(1-tItens[[#This Row],[Desconto]])</f>
        <v>2284.7031420096973</v>
      </c>
      <c r="N1986" t="str">
        <f>IFERROR(INDEX(tProdutos[Foco],MATCH(tItens[[#This Row],[Produto]],tProdutos[Produto],0)),"Não")</f>
        <v>Não</v>
      </c>
      <c r="O1986" t="str">
        <f>IFERROR(INDEX(tEditais[SRP],MATCH(tItens[[#This Row],[Edital]],tEditais[Edital],0)),"Não")</f>
        <v>Sim</v>
      </c>
      <c r="P1986" s="4">
        <f>IF(COUNTIFS(INDEX(tItens[Edital],1):tItens[[#This Row],[Edital]],tItens[[#This Row],[Edital]],INDEX(tItens[Produto],1):tItens[[#This Row],[Produto]],tItens[[#This Row],[Produto]])=1,1,0)</f>
        <v>0</v>
      </c>
    </row>
    <row r="1987" spans="1:16" x14ac:dyDescent="0.25">
      <c r="A1987" t="s">
        <v>1197</v>
      </c>
      <c r="B1987">
        <v>35</v>
      </c>
      <c r="C1987" t="s">
        <v>5028</v>
      </c>
      <c r="D1987" t="s">
        <v>245</v>
      </c>
      <c r="E1987" s="13">
        <v>30</v>
      </c>
      <c r="F1987" s="12">
        <v>52.99</v>
      </c>
      <c r="G1987" t="str">
        <f>IFERROR(INDEX(tEditais[Órgão],MATCH(tItens[[#This Row],[Edital]],tEditais[Edital],0)),"")</f>
        <v>MUNICIPIO DE RIO VERDE</v>
      </c>
      <c r="H1987" t="str">
        <f>IFERROR(INDEX(tEditais[UF],MATCH(tItens[[#This Row],[Edital]],tEditais[Edital],0)),"")</f>
        <v>GO</v>
      </c>
      <c r="I1987" s="11">
        <f>IFERROR(INDEX(tEditais[Encerramento],MATCH(tItens[[#This Row],[Edital]],tEditais[Edital],0)),"")</f>
        <v>46310.374305555553</v>
      </c>
      <c r="J1987" t="str">
        <f>IFERROR(INDEX(tProdutos[Classe],MATCH(tItens[[#This Row],[Produto]],tProdutos[Produto],0)),"produto não cadastrado")</f>
        <v>FORA</v>
      </c>
      <c r="K1987" s="12">
        <f>tItens[[#This Row],[Qtd]]*tItens[[#This Row],[Vlr unit]]</f>
        <v>1589.7</v>
      </c>
      <c r="L1987" s="6">
        <f>IFERROR(IF(INDEX(tProdutos[Desconto homologado],MATCH(tItens[[#This Row],[Produto]],tProdutos[Produto],0))="",DescontoPadrao,INDEX(tProdutos[Desconto homologado],MATCH(tItens[[#This Row],[Produto]],tProdutos[Produto],0))),DescontoPadrao)</f>
        <v>0.34516963542284401</v>
      </c>
      <c r="M1987" s="12">
        <f>tItens[[#This Row],[Valor]]*(1-tItens[[#This Row],[Desconto]])</f>
        <v>1040.9838305683049</v>
      </c>
      <c r="N1987" t="str">
        <f>IFERROR(INDEX(tProdutos[Foco],MATCH(tItens[[#This Row],[Produto]],tProdutos[Produto],0)),"Não")</f>
        <v>Não</v>
      </c>
      <c r="O1987" t="str">
        <f>IFERROR(INDEX(tEditais[SRP],MATCH(tItens[[#This Row],[Edital]],tEditais[Edital],0)),"Não")</f>
        <v>Sim</v>
      </c>
      <c r="P1987" s="4">
        <f>IF(COUNTIFS(INDEX(tItens[Edital],1):tItens[[#This Row],[Edital]],tItens[[#This Row],[Edital]],INDEX(tItens[Produto],1):tItens[[#This Row],[Produto]],tItens[[#This Row],[Produto]])=1,1,0)</f>
        <v>0</v>
      </c>
    </row>
    <row r="1988" spans="1:16" x14ac:dyDescent="0.25">
      <c r="A1988" t="s">
        <v>1197</v>
      </c>
      <c r="B1988">
        <v>36</v>
      </c>
      <c r="C1988" t="s">
        <v>5029</v>
      </c>
      <c r="D1988" t="s">
        <v>329</v>
      </c>
      <c r="E1988" s="13">
        <v>5500</v>
      </c>
      <c r="F1988" s="12">
        <v>1.9</v>
      </c>
      <c r="G1988" t="str">
        <f>IFERROR(INDEX(tEditais[Órgão],MATCH(tItens[[#This Row],[Edital]],tEditais[Edital],0)),"")</f>
        <v>MUNICIPIO DE RIO VERDE</v>
      </c>
      <c r="H1988" t="str">
        <f>IFERROR(INDEX(tEditais[UF],MATCH(tItens[[#This Row],[Edital]],tEditais[Edital],0)),"")</f>
        <v>GO</v>
      </c>
      <c r="I1988" s="11">
        <f>IFERROR(INDEX(tEditais[Encerramento],MATCH(tItens[[#This Row],[Edital]],tEditais[Edital],0)),"")</f>
        <v>46310.374305555553</v>
      </c>
      <c r="J1988" t="str">
        <f>IFERROR(INDEX(tProdutos[Classe],MATCH(tItens[[#This Row],[Produto]],tProdutos[Produto],0)),"produto não cadastrado")</f>
        <v>FORA</v>
      </c>
      <c r="K1988" s="12">
        <f>tItens[[#This Row],[Qtd]]*tItens[[#This Row],[Vlr unit]]</f>
        <v>10450</v>
      </c>
      <c r="L1988" s="6">
        <f>IFERROR(IF(INDEX(tProdutos[Desconto homologado],MATCH(tItens[[#This Row],[Produto]],tProdutos[Produto],0))="",DescontoPadrao,INDEX(tProdutos[Desconto homologado],MATCH(tItens[[#This Row],[Produto]],tProdutos[Produto],0))),DescontoPadrao)</f>
        <v>0.46441781031074703</v>
      </c>
      <c r="M1988" s="12">
        <f>tItens[[#This Row],[Valor]]*(1-tItens[[#This Row],[Desconto]])</f>
        <v>5596.8338822526939</v>
      </c>
      <c r="N1988" t="str">
        <f>IFERROR(INDEX(tProdutos[Foco],MATCH(tItens[[#This Row],[Produto]],tProdutos[Produto],0)),"Não")</f>
        <v>Não</v>
      </c>
      <c r="O1988" t="str">
        <f>IFERROR(INDEX(tEditais[SRP],MATCH(tItens[[#This Row],[Edital]],tEditais[Edital],0)),"Não")</f>
        <v>Sim</v>
      </c>
      <c r="P1988" s="4">
        <f>IF(COUNTIFS(INDEX(tItens[Edital],1):tItens[[#This Row],[Edital]],tItens[[#This Row],[Edital]],INDEX(tItens[Produto],1):tItens[[#This Row],[Produto]],tItens[[#This Row],[Produto]])=1,1,0)</f>
        <v>1</v>
      </c>
    </row>
    <row r="1989" spans="1:16" x14ac:dyDescent="0.25">
      <c r="A1989" t="s">
        <v>1197</v>
      </c>
      <c r="B1989">
        <v>37</v>
      </c>
      <c r="C1989" t="s">
        <v>5030</v>
      </c>
      <c r="D1989" t="s">
        <v>247</v>
      </c>
      <c r="E1989" s="13">
        <v>200000</v>
      </c>
      <c r="F1989" s="12">
        <v>1.25</v>
      </c>
      <c r="G1989" t="str">
        <f>IFERROR(INDEX(tEditais[Órgão],MATCH(tItens[[#This Row],[Edital]],tEditais[Edital],0)),"")</f>
        <v>MUNICIPIO DE RIO VERDE</v>
      </c>
      <c r="H1989" t="str">
        <f>IFERROR(INDEX(tEditais[UF],MATCH(tItens[[#This Row],[Edital]],tEditais[Edital],0)),"")</f>
        <v>GO</v>
      </c>
      <c r="I1989" s="11">
        <f>IFERROR(INDEX(tEditais[Encerramento],MATCH(tItens[[#This Row],[Edital]],tEditais[Edital],0)),"")</f>
        <v>46310.374305555553</v>
      </c>
      <c r="J1989" t="str">
        <f>IFERROR(INDEX(tProdutos[Classe],MATCH(tItens[[#This Row],[Produto]],tProdutos[Produto],0)),"produto não cadastrado")</f>
        <v>FORA</v>
      </c>
      <c r="K1989" s="12">
        <f>tItens[[#This Row],[Qtd]]*tItens[[#This Row],[Vlr unit]]</f>
        <v>250000</v>
      </c>
      <c r="L1989" s="6">
        <f>IFERROR(IF(INDEX(tProdutos[Desconto homologado],MATCH(tItens[[#This Row],[Produto]],tProdutos[Produto],0))="",DescontoPadrao,INDEX(tProdutos[Desconto homologado],MATCH(tItens[[#This Row],[Produto]],tProdutos[Produto],0))),DescontoPadrao)</f>
        <v>0.27353256199762999</v>
      </c>
      <c r="M1989" s="12">
        <f>tItens[[#This Row],[Valor]]*(1-tItens[[#This Row],[Desconto]])</f>
        <v>181616.85950059252</v>
      </c>
      <c r="N1989" t="str">
        <f>IFERROR(INDEX(tProdutos[Foco],MATCH(tItens[[#This Row],[Produto]],tProdutos[Produto],0)),"Não")</f>
        <v>Não</v>
      </c>
      <c r="O1989" t="str">
        <f>IFERROR(INDEX(tEditais[SRP],MATCH(tItens[[#This Row],[Edital]],tEditais[Edital],0)),"Não")</f>
        <v>Sim</v>
      </c>
      <c r="P1989" s="4">
        <f>IF(COUNTIFS(INDEX(tItens[Edital],1):tItens[[#This Row],[Edital]],tItens[[#This Row],[Edital]],INDEX(tItens[Produto],1):tItens[[#This Row],[Produto]],tItens[[#This Row],[Produto]])=1,1,0)</f>
        <v>1</v>
      </c>
    </row>
    <row r="1990" spans="1:16" x14ac:dyDescent="0.25">
      <c r="A1990" t="s">
        <v>1197</v>
      </c>
      <c r="B1990">
        <v>38</v>
      </c>
      <c r="C1990" t="s">
        <v>5031</v>
      </c>
      <c r="D1990" t="s">
        <v>245</v>
      </c>
      <c r="E1990" s="13">
        <v>400</v>
      </c>
      <c r="F1990" s="12">
        <v>745.36</v>
      </c>
      <c r="G1990" t="str">
        <f>IFERROR(INDEX(tEditais[Órgão],MATCH(tItens[[#This Row],[Edital]],tEditais[Edital],0)),"")</f>
        <v>MUNICIPIO DE RIO VERDE</v>
      </c>
      <c r="H1990" t="str">
        <f>IFERROR(INDEX(tEditais[UF],MATCH(tItens[[#This Row],[Edital]],tEditais[Edital],0)),"")</f>
        <v>GO</v>
      </c>
      <c r="I1990" s="11">
        <f>IFERROR(INDEX(tEditais[Encerramento],MATCH(tItens[[#This Row],[Edital]],tEditais[Edital],0)),"")</f>
        <v>46310.374305555553</v>
      </c>
      <c r="J1990" t="str">
        <f>IFERROR(INDEX(tProdutos[Classe],MATCH(tItens[[#This Row],[Produto]],tProdutos[Produto],0)),"produto não cadastrado")</f>
        <v>FORA</v>
      </c>
      <c r="K1990" s="12">
        <f>tItens[[#This Row],[Qtd]]*tItens[[#This Row],[Vlr unit]]</f>
        <v>298144</v>
      </c>
      <c r="L1990" s="6">
        <f>IFERROR(IF(INDEX(tProdutos[Desconto homologado],MATCH(tItens[[#This Row],[Produto]],tProdutos[Produto],0))="",DescontoPadrao,INDEX(tProdutos[Desconto homologado],MATCH(tItens[[#This Row],[Produto]],tProdutos[Produto],0))),DescontoPadrao)</f>
        <v>0.34516963542284401</v>
      </c>
      <c r="M1990" s="12">
        <f>tItens[[#This Row],[Valor]]*(1-tItens[[#This Row],[Desconto]])</f>
        <v>195233.74421649161</v>
      </c>
      <c r="N1990" t="str">
        <f>IFERROR(INDEX(tProdutos[Foco],MATCH(tItens[[#This Row],[Produto]],tProdutos[Produto],0)),"Não")</f>
        <v>Não</v>
      </c>
      <c r="O1990" t="str">
        <f>IFERROR(INDEX(tEditais[SRP],MATCH(tItens[[#This Row],[Edital]],tEditais[Edital],0)),"Não")</f>
        <v>Sim</v>
      </c>
      <c r="P1990" s="4">
        <f>IF(COUNTIFS(INDEX(tItens[Edital],1):tItens[[#This Row],[Edital]],tItens[[#This Row],[Edital]],INDEX(tItens[Produto],1):tItens[[#This Row],[Produto]],tItens[[#This Row],[Produto]])=1,1,0)</f>
        <v>0</v>
      </c>
    </row>
    <row r="1991" spans="1:16" x14ac:dyDescent="0.25">
      <c r="A1991" t="s">
        <v>1197</v>
      </c>
      <c r="B1991">
        <v>39</v>
      </c>
      <c r="C1991" t="s">
        <v>5032</v>
      </c>
      <c r="D1991" t="s">
        <v>245</v>
      </c>
      <c r="E1991" s="13">
        <v>100</v>
      </c>
      <c r="F1991" s="12">
        <v>524.4</v>
      </c>
      <c r="G1991" t="str">
        <f>IFERROR(INDEX(tEditais[Órgão],MATCH(tItens[[#This Row],[Edital]],tEditais[Edital],0)),"")</f>
        <v>MUNICIPIO DE RIO VERDE</v>
      </c>
      <c r="H1991" t="str">
        <f>IFERROR(INDEX(tEditais[UF],MATCH(tItens[[#This Row],[Edital]],tEditais[Edital],0)),"")</f>
        <v>GO</v>
      </c>
      <c r="I1991" s="11">
        <f>IFERROR(INDEX(tEditais[Encerramento],MATCH(tItens[[#This Row],[Edital]],tEditais[Edital],0)),"")</f>
        <v>46310.374305555553</v>
      </c>
      <c r="J1991" t="str">
        <f>IFERROR(INDEX(tProdutos[Classe],MATCH(tItens[[#This Row],[Produto]],tProdutos[Produto],0)),"produto não cadastrado")</f>
        <v>FORA</v>
      </c>
      <c r="K1991" s="12">
        <f>tItens[[#This Row],[Qtd]]*tItens[[#This Row],[Vlr unit]]</f>
        <v>52440</v>
      </c>
      <c r="L1991" s="6">
        <f>IFERROR(IF(INDEX(tProdutos[Desconto homologado],MATCH(tItens[[#This Row],[Produto]],tProdutos[Produto],0))="",DescontoPadrao,INDEX(tProdutos[Desconto homologado],MATCH(tItens[[#This Row],[Produto]],tProdutos[Produto],0))),DescontoPadrao)</f>
        <v>0.34516963542284401</v>
      </c>
      <c r="M1991" s="12">
        <f>tItens[[#This Row],[Valor]]*(1-tItens[[#This Row],[Desconto]])</f>
        <v>34339.30431842606</v>
      </c>
      <c r="N1991" t="str">
        <f>IFERROR(INDEX(tProdutos[Foco],MATCH(tItens[[#This Row],[Produto]],tProdutos[Produto],0)),"Não")</f>
        <v>Não</v>
      </c>
      <c r="O1991" t="str">
        <f>IFERROR(INDEX(tEditais[SRP],MATCH(tItens[[#This Row],[Edital]],tEditais[Edital],0)),"Não")</f>
        <v>Sim</v>
      </c>
      <c r="P1991" s="4">
        <f>IF(COUNTIFS(INDEX(tItens[Edital],1):tItens[[#This Row],[Edital]],tItens[[#This Row],[Edital]],INDEX(tItens[Produto],1):tItens[[#This Row],[Produto]],tItens[[#This Row],[Produto]])=1,1,0)</f>
        <v>0</v>
      </c>
    </row>
    <row r="1992" spans="1:16" x14ac:dyDescent="0.25">
      <c r="A1992" t="s">
        <v>1197</v>
      </c>
      <c r="B1992">
        <v>40</v>
      </c>
      <c r="C1992" t="s">
        <v>5033</v>
      </c>
      <c r="D1992" t="s">
        <v>245</v>
      </c>
      <c r="E1992" s="13">
        <v>200</v>
      </c>
      <c r="F1992" s="12">
        <v>390</v>
      </c>
      <c r="G1992" t="str">
        <f>IFERROR(INDEX(tEditais[Órgão],MATCH(tItens[[#This Row],[Edital]],tEditais[Edital],0)),"")</f>
        <v>MUNICIPIO DE RIO VERDE</v>
      </c>
      <c r="H1992" t="str">
        <f>IFERROR(INDEX(tEditais[UF],MATCH(tItens[[#This Row],[Edital]],tEditais[Edital],0)),"")</f>
        <v>GO</v>
      </c>
      <c r="I1992" s="11">
        <f>IFERROR(INDEX(tEditais[Encerramento],MATCH(tItens[[#This Row],[Edital]],tEditais[Edital],0)),"")</f>
        <v>46310.374305555553</v>
      </c>
      <c r="J1992" t="str">
        <f>IFERROR(INDEX(tProdutos[Classe],MATCH(tItens[[#This Row],[Produto]],tProdutos[Produto],0)),"produto não cadastrado")</f>
        <v>FORA</v>
      </c>
      <c r="K1992" s="12">
        <f>tItens[[#This Row],[Qtd]]*tItens[[#This Row],[Vlr unit]]</f>
        <v>78000</v>
      </c>
      <c r="L1992" s="6">
        <f>IFERROR(IF(INDEX(tProdutos[Desconto homologado],MATCH(tItens[[#This Row],[Produto]],tProdutos[Produto],0))="",DescontoPadrao,INDEX(tProdutos[Desconto homologado],MATCH(tItens[[#This Row],[Produto]],tProdutos[Produto],0))),DescontoPadrao)</f>
        <v>0.34516963542284401</v>
      </c>
      <c r="M1992" s="12">
        <f>tItens[[#This Row],[Valor]]*(1-tItens[[#This Row],[Desconto]])</f>
        <v>51076.768437018174</v>
      </c>
      <c r="N1992" t="str">
        <f>IFERROR(INDEX(tProdutos[Foco],MATCH(tItens[[#This Row],[Produto]],tProdutos[Produto],0)),"Não")</f>
        <v>Não</v>
      </c>
      <c r="O1992" t="str">
        <f>IFERROR(INDEX(tEditais[SRP],MATCH(tItens[[#This Row],[Edital]],tEditais[Edital],0)),"Não")</f>
        <v>Sim</v>
      </c>
      <c r="P1992" s="4">
        <f>IF(COUNTIFS(INDEX(tItens[Edital],1):tItens[[#This Row],[Edital]],tItens[[#This Row],[Edital]],INDEX(tItens[Produto],1):tItens[[#This Row],[Produto]],tItens[[#This Row],[Produto]])=1,1,0)</f>
        <v>0</v>
      </c>
    </row>
    <row r="1993" spans="1:16" x14ac:dyDescent="0.25">
      <c r="A1993" t="s">
        <v>1197</v>
      </c>
      <c r="B1993">
        <v>41</v>
      </c>
      <c r="C1993" t="s">
        <v>5034</v>
      </c>
      <c r="D1993" t="s">
        <v>245</v>
      </c>
      <c r="E1993" s="13">
        <v>150</v>
      </c>
      <c r="F1993" s="12">
        <v>378.55</v>
      </c>
      <c r="G1993" t="str">
        <f>IFERROR(INDEX(tEditais[Órgão],MATCH(tItens[[#This Row],[Edital]],tEditais[Edital],0)),"")</f>
        <v>MUNICIPIO DE RIO VERDE</v>
      </c>
      <c r="H1993" t="str">
        <f>IFERROR(INDEX(tEditais[UF],MATCH(tItens[[#This Row],[Edital]],tEditais[Edital],0)),"")</f>
        <v>GO</v>
      </c>
      <c r="I1993" s="11">
        <f>IFERROR(INDEX(tEditais[Encerramento],MATCH(tItens[[#This Row],[Edital]],tEditais[Edital],0)),"")</f>
        <v>46310.374305555553</v>
      </c>
      <c r="J1993" t="str">
        <f>IFERROR(INDEX(tProdutos[Classe],MATCH(tItens[[#This Row],[Produto]],tProdutos[Produto],0)),"produto não cadastrado")</f>
        <v>FORA</v>
      </c>
      <c r="K1993" s="12">
        <f>tItens[[#This Row],[Qtd]]*tItens[[#This Row],[Vlr unit]]</f>
        <v>56782.5</v>
      </c>
      <c r="L1993" s="6">
        <f>IFERROR(IF(INDEX(tProdutos[Desconto homologado],MATCH(tItens[[#This Row],[Produto]],tProdutos[Produto],0))="",DescontoPadrao,INDEX(tProdutos[Desconto homologado],MATCH(tItens[[#This Row],[Produto]],tProdutos[Produto],0))),DescontoPadrao)</f>
        <v>0.34516963542284401</v>
      </c>
      <c r="M1993" s="12">
        <f>tItens[[#This Row],[Valor]]*(1-tItens[[#This Row],[Desconto]])</f>
        <v>37182.905176602362</v>
      </c>
      <c r="N1993" t="str">
        <f>IFERROR(INDEX(tProdutos[Foco],MATCH(tItens[[#This Row],[Produto]],tProdutos[Produto],0)),"Não")</f>
        <v>Não</v>
      </c>
      <c r="O1993" t="str">
        <f>IFERROR(INDEX(tEditais[SRP],MATCH(tItens[[#This Row],[Edital]],tEditais[Edital],0)),"Não")</f>
        <v>Sim</v>
      </c>
      <c r="P1993" s="4">
        <f>IF(COUNTIFS(INDEX(tItens[Edital],1):tItens[[#This Row],[Edital]],tItens[[#This Row],[Edital]],INDEX(tItens[Produto],1):tItens[[#This Row],[Produto]],tItens[[#This Row],[Produto]])=1,1,0)</f>
        <v>0</v>
      </c>
    </row>
    <row r="1994" spans="1:16" x14ac:dyDescent="0.25">
      <c r="A1994" t="s">
        <v>1197</v>
      </c>
      <c r="B1994">
        <v>42</v>
      </c>
      <c r="C1994" t="s">
        <v>5035</v>
      </c>
      <c r="D1994" t="s">
        <v>245</v>
      </c>
      <c r="E1994" s="13">
        <v>100</v>
      </c>
      <c r="F1994" s="12">
        <v>360</v>
      </c>
      <c r="G1994" t="str">
        <f>IFERROR(INDEX(tEditais[Órgão],MATCH(tItens[[#This Row],[Edital]],tEditais[Edital],0)),"")</f>
        <v>MUNICIPIO DE RIO VERDE</v>
      </c>
      <c r="H1994" t="str">
        <f>IFERROR(INDEX(tEditais[UF],MATCH(tItens[[#This Row],[Edital]],tEditais[Edital],0)),"")</f>
        <v>GO</v>
      </c>
      <c r="I1994" s="11">
        <f>IFERROR(INDEX(tEditais[Encerramento],MATCH(tItens[[#This Row],[Edital]],tEditais[Edital],0)),"")</f>
        <v>46310.374305555553</v>
      </c>
      <c r="J1994" t="str">
        <f>IFERROR(INDEX(tProdutos[Classe],MATCH(tItens[[#This Row],[Produto]],tProdutos[Produto],0)),"produto não cadastrado")</f>
        <v>FORA</v>
      </c>
      <c r="K1994" s="12">
        <f>tItens[[#This Row],[Qtd]]*tItens[[#This Row],[Vlr unit]]</f>
        <v>36000</v>
      </c>
      <c r="L1994" s="6">
        <f>IFERROR(IF(INDEX(tProdutos[Desconto homologado],MATCH(tItens[[#This Row],[Produto]],tProdutos[Produto],0))="",DescontoPadrao,INDEX(tProdutos[Desconto homologado],MATCH(tItens[[#This Row],[Produto]],tProdutos[Produto],0))),DescontoPadrao)</f>
        <v>0.34516963542284401</v>
      </c>
      <c r="M1994" s="12">
        <f>tItens[[#This Row],[Valor]]*(1-tItens[[#This Row],[Desconto]])</f>
        <v>23573.893124777616</v>
      </c>
      <c r="N1994" t="str">
        <f>IFERROR(INDEX(tProdutos[Foco],MATCH(tItens[[#This Row],[Produto]],tProdutos[Produto],0)),"Não")</f>
        <v>Não</v>
      </c>
      <c r="O1994" t="str">
        <f>IFERROR(INDEX(tEditais[SRP],MATCH(tItens[[#This Row],[Edital]],tEditais[Edital],0)),"Não")</f>
        <v>Sim</v>
      </c>
      <c r="P1994" s="4">
        <f>IF(COUNTIFS(INDEX(tItens[Edital],1):tItens[[#This Row],[Edital]],tItens[[#This Row],[Edital]],INDEX(tItens[Produto],1):tItens[[#This Row],[Produto]],tItens[[#This Row],[Produto]])=1,1,0)</f>
        <v>0</v>
      </c>
    </row>
    <row r="1995" spans="1:16" x14ac:dyDescent="0.25">
      <c r="A1995" t="s">
        <v>1197</v>
      </c>
      <c r="B1995">
        <v>49</v>
      </c>
      <c r="C1995" t="s">
        <v>5036</v>
      </c>
      <c r="D1995" t="s">
        <v>357</v>
      </c>
      <c r="E1995" s="13">
        <v>35000</v>
      </c>
      <c r="F1995" s="12">
        <v>1.57</v>
      </c>
      <c r="G1995" t="str">
        <f>IFERROR(INDEX(tEditais[Órgão],MATCH(tItens[[#This Row],[Edital]],tEditais[Edital],0)),"")</f>
        <v>MUNICIPIO DE RIO VERDE</v>
      </c>
      <c r="H1995" t="str">
        <f>IFERROR(INDEX(tEditais[UF],MATCH(tItens[[#This Row],[Edital]],tEditais[Edital],0)),"")</f>
        <v>GO</v>
      </c>
      <c r="I1995" s="11">
        <f>IFERROR(INDEX(tEditais[Encerramento],MATCH(tItens[[#This Row],[Edital]],tEditais[Edital],0)),"")</f>
        <v>46310.374305555553</v>
      </c>
      <c r="J1995" t="str">
        <f>IFERROR(INDEX(tProdutos[Classe],MATCH(tItens[[#This Row],[Produto]],tProdutos[Produto],0)),"produto não cadastrado")</f>
        <v>FORA</v>
      </c>
      <c r="K1995" s="12">
        <f>tItens[[#This Row],[Qtd]]*tItens[[#This Row],[Vlr unit]]</f>
        <v>54950</v>
      </c>
      <c r="L1995" s="6">
        <f>IFERROR(IF(INDEX(tProdutos[Desconto homologado],MATCH(tItens[[#This Row],[Produto]],tProdutos[Produto],0))="",DescontoPadrao,INDEX(tProdutos[Desconto homologado],MATCH(tItens[[#This Row],[Produto]],tProdutos[Produto],0))),DescontoPadrao)</f>
        <v>0.38730158730158698</v>
      </c>
      <c r="M1995" s="12">
        <f>tItens[[#This Row],[Valor]]*(1-tItens[[#This Row],[Desconto]])</f>
        <v>33667.777777777796</v>
      </c>
      <c r="N1995" t="str">
        <f>IFERROR(INDEX(tProdutos[Foco],MATCH(tItens[[#This Row],[Produto]],tProdutos[Produto],0)),"Não")</f>
        <v>Não</v>
      </c>
      <c r="O1995" t="str">
        <f>IFERROR(INDEX(tEditais[SRP],MATCH(tItens[[#This Row],[Edital]],tEditais[Edital],0)),"Não")</f>
        <v>Sim</v>
      </c>
      <c r="P1995" s="4">
        <f>IF(COUNTIFS(INDEX(tItens[Edital],1):tItens[[#This Row],[Edital]],tItens[[#This Row],[Edital]],INDEX(tItens[Produto],1):tItens[[#This Row],[Produto]],tItens[[#This Row],[Produto]])=1,1,0)</f>
        <v>1</v>
      </c>
    </row>
    <row r="1996" spans="1:16" x14ac:dyDescent="0.25">
      <c r="A1996" t="s">
        <v>1197</v>
      </c>
      <c r="B1996">
        <v>63</v>
      </c>
      <c r="C1996" t="s">
        <v>5037</v>
      </c>
      <c r="D1996" t="s">
        <v>299</v>
      </c>
      <c r="E1996" s="13">
        <v>22000</v>
      </c>
      <c r="F1996" s="12">
        <v>0.47</v>
      </c>
      <c r="G1996" t="str">
        <f>IFERROR(INDEX(tEditais[Órgão],MATCH(tItens[[#This Row],[Edital]],tEditais[Edital],0)),"")</f>
        <v>MUNICIPIO DE RIO VERDE</v>
      </c>
      <c r="H1996" t="str">
        <f>IFERROR(INDEX(tEditais[UF],MATCH(tItens[[#This Row],[Edital]],tEditais[Edital],0)),"")</f>
        <v>GO</v>
      </c>
      <c r="I1996" s="11">
        <f>IFERROR(INDEX(tEditais[Encerramento],MATCH(tItens[[#This Row],[Edital]],tEditais[Edital],0)),"")</f>
        <v>46310.374305555553</v>
      </c>
      <c r="J1996" t="str">
        <f>IFERROR(INDEX(tProdutos[Classe],MATCH(tItens[[#This Row],[Produto]],tProdutos[Produto],0)),"produto não cadastrado")</f>
        <v>FORA</v>
      </c>
      <c r="K1996" s="12">
        <f>tItens[[#This Row],[Qtd]]*tItens[[#This Row],[Vlr unit]]</f>
        <v>10340</v>
      </c>
      <c r="L1996" s="6">
        <f>IFERROR(IF(INDEX(tProdutos[Desconto homologado],MATCH(tItens[[#This Row],[Produto]],tProdutos[Produto],0))="",DescontoPadrao,INDEX(tProdutos[Desconto homologado],MATCH(tItens[[#This Row],[Produto]],tProdutos[Produto],0))),DescontoPadrao)</f>
        <v>0.42211465163381601</v>
      </c>
      <c r="M1996" s="12">
        <f>tItens[[#This Row],[Valor]]*(1-tItens[[#This Row],[Desconto]])</f>
        <v>5975.3345021063424</v>
      </c>
      <c r="N1996" t="str">
        <f>IFERROR(INDEX(tProdutos[Foco],MATCH(tItens[[#This Row],[Produto]],tProdutos[Produto],0)),"Não")</f>
        <v>Não</v>
      </c>
      <c r="O1996" t="str">
        <f>IFERROR(INDEX(tEditais[SRP],MATCH(tItens[[#This Row],[Edital]],tEditais[Edital],0)),"Não")</f>
        <v>Sim</v>
      </c>
      <c r="P1996" s="4">
        <f>IF(COUNTIFS(INDEX(tItens[Edital],1):tItens[[#This Row],[Edital]],tItens[[#This Row],[Edital]],INDEX(tItens[Produto],1):tItens[[#This Row],[Produto]],tItens[[#This Row],[Produto]])=1,1,0)</f>
        <v>1</v>
      </c>
    </row>
    <row r="1997" spans="1:16" x14ac:dyDescent="0.25">
      <c r="A1997" t="s">
        <v>1197</v>
      </c>
      <c r="B1997">
        <v>64</v>
      </c>
      <c r="C1997" t="s">
        <v>5038</v>
      </c>
      <c r="D1997" t="s">
        <v>299</v>
      </c>
      <c r="E1997" s="13">
        <v>20000</v>
      </c>
      <c r="F1997" s="12">
        <v>0.27</v>
      </c>
      <c r="G1997" t="str">
        <f>IFERROR(INDEX(tEditais[Órgão],MATCH(tItens[[#This Row],[Edital]],tEditais[Edital],0)),"")</f>
        <v>MUNICIPIO DE RIO VERDE</v>
      </c>
      <c r="H1997" t="str">
        <f>IFERROR(INDEX(tEditais[UF],MATCH(tItens[[#This Row],[Edital]],tEditais[Edital],0)),"")</f>
        <v>GO</v>
      </c>
      <c r="I1997" s="11">
        <f>IFERROR(INDEX(tEditais[Encerramento],MATCH(tItens[[#This Row],[Edital]],tEditais[Edital],0)),"")</f>
        <v>46310.374305555553</v>
      </c>
      <c r="J1997" t="str">
        <f>IFERROR(INDEX(tProdutos[Classe],MATCH(tItens[[#This Row],[Produto]],tProdutos[Produto],0)),"produto não cadastrado")</f>
        <v>FORA</v>
      </c>
      <c r="K1997" s="12">
        <f>tItens[[#This Row],[Qtd]]*tItens[[#This Row],[Vlr unit]]</f>
        <v>5400</v>
      </c>
      <c r="L1997" s="6">
        <f>IFERROR(IF(INDEX(tProdutos[Desconto homologado],MATCH(tItens[[#This Row],[Produto]],tProdutos[Produto],0))="",DescontoPadrao,INDEX(tProdutos[Desconto homologado],MATCH(tItens[[#This Row],[Produto]],tProdutos[Produto],0))),DescontoPadrao)</f>
        <v>0.42211465163381601</v>
      </c>
      <c r="M1997" s="12">
        <f>tItens[[#This Row],[Valor]]*(1-tItens[[#This Row],[Desconto]])</f>
        <v>3120.5808811773936</v>
      </c>
      <c r="N1997" t="str">
        <f>IFERROR(INDEX(tProdutos[Foco],MATCH(tItens[[#This Row],[Produto]],tProdutos[Produto],0)),"Não")</f>
        <v>Não</v>
      </c>
      <c r="O1997" t="str">
        <f>IFERROR(INDEX(tEditais[SRP],MATCH(tItens[[#This Row],[Edital]],tEditais[Edital],0)),"Não")</f>
        <v>Sim</v>
      </c>
      <c r="P1997" s="4">
        <f>IF(COUNTIFS(INDEX(tItens[Edital],1):tItens[[#This Row],[Edital]],tItens[[#This Row],[Edital]],INDEX(tItens[Produto],1):tItens[[#This Row],[Produto]],tItens[[#This Row],[Produto]])=1,1,0)</f>
        <v>0</v>
      </c>
    </row>
    <row r="1998" spans="1:16" x14ac:dyDescent="0.25">
      <c r="A1998" t="s">
        <v>1197</v>
      </c>
      <c r="B1998">
        <v>65</v>
      </c>
      <c r="C1998" t="s">
        <v>5039</v>
      </c>
      <c r="D1998" t="s">
        <v>187</v>
      </c>
      <c r="E1998" s="13">
        <v>5000</v>
      </c>
      <c r="F1998" s="12">
        <v>1.1499999999999999</v>
      </c>
      <c r="G1998" t="str">
        <f>IFERROR(INDEX(tEditais[Órgão],MATCH(tItens[[#This Row],[Edital]],tEditais[Edital],0)),"")</f>
        <v>MUNICIPIO DE RIO VERDE</v>
      </c>
      <c r="H1998" t="str">
        <f>IFERROR(INDEX(tEditais[UF],MATCH(tItens[[#This Row],[Edital]],tEditais[Edital],0)),"")</f>
        <v>GO</v>
      </c>
      <c r="I1998" s="11">
        <f>IFERROR(INDEX(tEditais[Encerramento],MATCH(tItens[[#This Row],[Edital]],tEditais[Edital],0)),"")</f>
        <v>46310.374305555553</v>
      </c>
      <c r="J1998" t="str">
        <f>IFERROR(INDEX(tProdutos[Classe],MATCH(tItens[[#This Row],[Produto]],tProdutos[Produto],0)),"produto não cadastrado")</f>
        <v>DISPUTADO</v>
      </c>
      <c r="K1998" s="12">
        <f>tItens[[#This Row],[Qtd]]*tItens[[#This Row],[Vlr unit]]</f>
        <v>5750</v>
      </c>
      <c r="L1998" s="6">
        <f>IFERROR(IF(INDEX(tProdutos[Desconto homologado],MATCH(tItens[[#This Row],[Produto]],tProdutos[Produto],0))="",DescontoPadrao,INDEX(tProdutos[Desconto homologado],MATCH(tItens[[#This Row],[Produto]],tProdutos[Produto],0))),DescontoPadrao)</f>
        <v>0.44298820445609399</v>
      </c>
      <c r="M1998" s="12">
        <f>tItens[[#This Row],[Valor]]*(1-tItens[[#This Row],[Desconto]])</f>
        <v>3202.8178243774596</v>
      </c>
      <c r="N1998" t="str">
        <f>IFERROR(INDEX(tProdutos[Foco],MATCH(tItens[[#This Row],[Produto]],tProdutos[Produto],0)),"Não")</f>
        <v>Não</v>
      </c>
      <c r="O1998" t="str">
        <f>IFERROR(INDEX(tEditais[SRP],MATCH(tItens[[#This Row],[Edital]],tEditais[Edital],0)),"Não")</f>
        <v>Sim</v>
      </c>
      <c r="P1998" s="4">
        <f>IF(COUNTIFS(INDEX(tItens[Edital],1):tItens[[#This Row],[Edital]],tItens[[#This Row],[Edital]],INDEX(tItens[Produto],1):tItens[[#This Row],[Produto]],tItens[[#This Row],[Produto]])=1,1,0)</f>
        <v>1</v>
      </c>
    </row>
    <row r="1999" spans="1:16" x14ac:dyDescent="0.25">
      <c r="A1999" t="s">
        <v>1197</v>
      </c>
      <c r="B1999">
        <v>68</v>
      </c>
      <c r="C1999" t="s">
        <v>5040</v>
      </c>
      <c r="D1999" t="s">
        <v>60</v>
      </c>
      <c r="E1999" s="13">
        <v>20000</v>
      </c>
      <c r="F1999" s="12">
        <v>0.36</v>
      </c>
      <c r="G1999" t="str">
        <f>IFERROR(INDEX(tEditais[Órgão],MATCH(tItens[[#This Row],[Edital]],tEditais[Edital],0)),"")</f>
        <v>MUNICIPIO DE RIO VERDE</v>
      </c>
      <c r="H1999" t="str">
        <f>IFERROR(INDEX(tEditais[UF],MATCH(tItens[[#This Row],[Edital]],tEditais[Edital],0)),"")</f>
        <v>GO</v>
      </c>
      <c r="I1999" s="11">
        <f>IFERROR(INDEX(tEditais[Encerramento],MATCH(tItens[[#This Row],[Edital]],tEditais[Edital],0)),"")</f>
        <v>46310.374305555553</v>
      </c>
      <c r="J1999" t="str">
        <f>IFERROR(INDEX(tProdutos[Classe],MATCH(tItens[[#This Row],[Produto]],tProdutos[Produto],0)),"produto não cadastrado")</f>
        <v>NÚCLEO</v>
      </c>
      <c r="K1999" s="12">
        <f>tItens[[#This Row],[Qtd]]*tItens[[#This Row],[Vlr unit]]</f>
        <v>7200</v>
      </c>
      <c r="L1999" s="6">
        <f>IFERROR(IF(INDEX(tProdutos[Desconto homologado],MATCH(tItens[[#This Row],[Produto]],tProdutos[Produto],0))="",DescontoPadrao,INDEX(tProdutos[Desconto homologado],MATCH(tItens[[#This Row],[Produto]],tProdutos[Produto],0))),DescontoPadrao)</f>
        <v>0.23</v>
      </c>
      <c r="M1999" s="12">
        <f>tItens[[#This Row],[Valor]]*(1-tItens[[#This Row],[Desconto]])</f>
        <v>5544</v>
      </c>
      <c r="N1999" t="str">
        <f>IFERROR(INDEX(tProdutos[Foco],MATCH(tItens[[#This Row],[Produto]],tProdutos[Produto],0)),"Não")</f>
        <v>Sim</v>
      </c>
      <c r="O1999" t="str">
        <f>IFERROR(INDEX(tEditais[SRP],MATCH(tItens[[#This Row],[Edital]],tEditais[Edital],0)),"Não")</f>
        <v>Sim</v>
      </c>
      <c r="P1999" s="4">
        <f>IF(COUNTIFS(INDEX(tItens[Edital],1):tItens[[#This Row],[Edital]],tItens[[#This Row],[Edital]],INDEX(tItens[Produto],1):tItens[[#This Row],[Produto]],tItens[[#This Row],[Produto]])=1,1,0)</f>
        <v>1</v>
      </c>
    </row>
    <row r="2000" spans="1:16" x14ac:dyDescent="0.25">
      <c r="A2000" t="s">
        <v>1197</v>
      </c>
      <c r="B2000">
        <v>71</v>
      </c>
      <c r="C2000" t="s">
        <v>5041</v>
      </c>
      <c r="D2000" t="s">
        <v>259</v>
      </c>
      <c r="E2000" s="13">
        <v>10</v>
      </c>
      <c r="F2000" s="12">
        <v>35</v>
      </c>
      <c r="G2000" t="str">
        <f>IFERROR(INDEX(tEditais[Órgão],MATCH(tItens[[#This Row],[Edital]],tEditais[Edital],0)),"")</f>
        <v>MUNICIPIO DE RIO VERDE</v>
      </c>
      <c r="H2000" t="str">
        <f>IFERROR(INDEX(tEditais[UF],MATCH(tItens[[#This Row],[Edital]],tEditais[Edital],0)),"")</f>
        <v>GO</v>
      </c>
      <c r="I2000" s="11">
        <f>IFERROR(INDEX(tEditais[Encerramento],MATCH(tItens[[#This Row],[Edital]],tEditais[Edital],0)),"")</f>
        <v>46310.374305555553</v>
      </c>
      <c r="J2000" t="str">
        <f>IFERROR(INDEX(tProdutos[Classe],MATCH(tItens[[#This Row],[Produto]],tProdutos[Produto],0)),"produto não cadastrado")</f>
        <v>FORA</v>
      </c>
      <c r="K2000" s="12">
        <f>tItens[[#This Row],[Qtd]]*tItens[[#This Row],[Vlr unit]]</f>
        <v>350</v>
      </c>
      <c r="L2000" s="6">
        <f>IFERROR(IF(INDEX(tProdutos[Desconto homologado],MATCH(tItens[[#This Row],[Produto]],tProdutos[Produto],0))="",DescontoPadrao,INDEX(tProdutos[Desconto homologado],MATCH(tItens[[#This Row],[Produto]],tProdutos[Produto],0))),DescontoPadrao)</f>
        <v>0.374798283789543</v>
      </c>
      <c r="M2000" s="12">
        <f>tItens[[#This Row],[Valor]]*(1-tItens[[#This Row],[Desconto]])</f>
        <v>218.82060067365998</v>
      </c>
      <c r="N2000" t="str">
        <f>IFERROR(INDEX(tProdutos[Foco],MATCH(tItens[[#This Row],[Produto]],tProdutos[Produto],0)),"Não")</f>
        <v>Não</v>
      </c>
      <c r="O2000" t="str">
        <f>IFERROR(INDEX(tEditais[SRP],MATCH(tItens[[#This Row],[Edital]],tEditais[Edital],0)),"Não")</f>
        <v>Sim</v>
      </c>
      <c r="P2000" s="4">
        <f>IF(COUNTIFS(INDEX(tItens[Edital],1):tItens[[#This Row],[Edital]],tItens[[#This Row],[Edital]],INDEX(tItens[Produto],1):tItens[[#This Row],[Produto]],tItens[[#This Row],[Produto]])=1,1,0)</f>
        <v>1</v>
      </c>
    </row>
    <row r="2001" spans="1:16" x14ac:dyDescent="0.25">
      <c r="A2001" t="s">
        <v>1197</v>
      </c>
      <c r="B2001">
        <v>74</v>
      </c>
      <c r="C2001" t="s">
        <v>5042</v>
      </c>
      <c r="D2001" t="s">
        <v>136</v>
      </c>
      <c r="E2001" s="13">
        <v>600</v>
      </c>
      <c r="F2001" s="12">
        <v>7.5</v>
      </c>
      <c r="G2001" t="str">
        <f>IFERROR(INDEX(tEditais[Órgão],MATCH(tItens[[#This Row],[Edital]],tEditais[Edital],0)),"")</f>
        <v>MUNICIPIO DE RIO VERDE</v>
      </c>
      <c r="H2001" t="str">
        <f>IFERROR(INDEX(tEditais[UF],MATCH(tItens[[#This Row],[Edital]],tEditais[Edital],0)),"")</f>
        <v>GO</v>
      </c>
      <c r="I2001" s="11">
        <f>IFERROR(INDEX(tEditais[Encerramento],MATCH(tItens[[#This Row],[Edital]],tEditais[Edital],0)),"")</f>
        <v>46310.374305555553</v>
      </c>
      <c r="J2001" t="str">
        <f>IFERROR(INDEX(tProdutos[Classe],MATCH(tItens[[#This Row],[Produto]],tProdutos[Produto],0)),"produto não cadastrado")</f>
        <v>DISPUTADO</v>
      </c>
      <c r="K2001" s="12">
        <f>tItens[[#This Row],[Qtd]]*tItens[[#This Row],[Vlr unit]]</f>
        <v>4500</v>
      </c>
      <c r="L2001" s="6">
        <f>IFERROR(IF(INDEX(tProdutos[Desconto homologado],MATCH(tItens[[#This Row],[Produto]],tProdutos[Produto],0))="",DescontoPadrao,INDEX(tProdutos[Desconto homologado],MATCH(tItens[[#This Row],[Produto]],tProdutos[Produto],0))),DescontoPadrao)</f>
        <v>0.330646209370899</v>
      </c>
      <c r="M2001" s="12">
        <f>tItens[[#This Row],[Valor]]*(1-tItens[[#This Row],[Desconto]])</f>
        <v>3012.0920578309542</v>
      </c>
      <c r="N2001" t="str">
        <f>IFERROR(INDEX(tProdutos[Foco],MATCH(tItens[[#This Row],[Produto]],tProdutos[Produto],0)),"Não")</f>
        <v>Não</v>
      </c>
      <c r="O2001" t="str">
        <f>IFERROR(INDEX(tEditais[SRP],MATCH(tItens[[#This Row],[Edital]],tEditais[Edital],0)),"Não")</f>
        <v>Sim</v>
      </c>
      <c r="P2001" s="4">
        <f>IF(COUNTIFS(INDEX(tItens[Edital],1):tItens[[#This Row],[Edital]],tItens[[#This Row],[Edital]],INDEX(tItens[Produto],1):tItens[[#This Row],[Produto]],tItens[[#This Row],[Produto]])=1,1,0)</f>
        <v>1</v>
      </c>
    </row>
    <row r="2002" spans="1:16" x14ac:dyDescent="0.25">
      <c r="A2002" t="s">
        <v>1197</v>
      </c>
      <c r="B2002">
        <v>78</v>
      </c>
      <c r="C2002" t="s">
        <v>5043</v>
      </c>
      <c r="D2002" t="s">
        <v>509</v>
      </c>
      <c r="E2002" s="13">
        <v>300</v>
      </c>
      <c r="F2002" s="12">
        <v>5.4</v>
      </c>
      <c r="G2002" t="str">
        <f>IFERROR(INDEX(tEditais[Órgão],MATCH(tItens[[#This Row],[Edital]],tEditais[Edital],0)),"")</f>
        <v>MUNICIPIO DE RIO VERDE</v>
      </c>
      <c r="H2002" t="str">
        <f>IFERROR(INDEX(tEditais[UF],MATCH(tItens[[#This Row],[Edital]],tEditais[Edital],0)),"")</f>
        <v>GO</v>
      </c>
      <c r="I2002" s="11">
        <f>IFERROR(INDEX(tEditais[Encerramento],MATCH(tItens[[#This Row],[Edital]],tEditais[Edital],0)),"")</f>
        <v>46310.374305555553</v>
      </c>
      <c r="J2002" t="str">
        <f>IFERROR(INDEX(tProdutos[Classe],MATCH(tItens[[#This Row],[Produto]],tProdutos[Produto],0)),"produto não cadastrado")</f>
        <v>FILA REBASE</v>
      </c>
      <c r="K2002" s="12">
        <f>tItens[[#This Row],[Qtd]]*tItens[[#This Row],[Vlr unit]]</f>
        <v>1620</v>
      </c>
      <c r="L2002" s="6">
        <f>IFERROR(IF(INDEX(tProdutos[Desconto homologado],MATCH(tItens[[#This Row],[Produto]],tProdutos[Produto],0))="",DescontoPadrao,INDEX(tProdutos[Desconto homologado],MATCH(tItens[[#This Row],[Produto]],tProdutos[Produto],0))),DescontoPadrao)</f>
        <v>0.54086317722681398</v>
      </c>
      <c r="M2002" s="12">
        <f>tItens[[#This Row],[Valor]]*(1-tItens[[#This Row],[Desconto]])</f>
        <v>743.80165289256138</v>
      </c>
      <c r="N2002" t="str">
        <f>IFERROR(INDEX(tProdutos[Foco],MATCH(tItens[[#This Row],[Produto]],tProdutos[Produto],0)),"Não")</f>
        <v>Não</v>
      </c>
      <c r="O2002" t="str">
        <f>IFERROR(INDEX(tEditais[SRP],MATCH(tItens[[#This Row],[Edital]],tEditais[Edital],0)),"Não")</f>
        <v>Sim</v>
      </c>
      <c r="P2002" s="4">
        <f>IF(COUNTIFS(INDEX(tItens[Edital],1):tItens[[#This Row],[Edital]],tItens[[#This Row],[Edital]],INDEX(tItens[Produto],1):tItens[[#This Row],[Produto]],tItens[[#This Row],[Produto]])=1,1,0)</f>
        <v>1</v>
      </c>
    </row>
    <row r="2003" spans="1:16" x14ac:dyDescent="0.25">
      <c r="A2003" t="s">
        <v>1197</v>
      </c>
      <c r="B2003">
        <v>83</v>
      </c>
      <c r="C2003" t="s">
        <v>5044</v>
      </c>
      <c r="D2003" t="s">
        <v>339</v>
      </c>
      <c r="E2003" s="13">
        <v>20000</v>
      </c>
      <c r="F2003" s="12">
        <v>0.91</v>
      </c>
      <c r="G2003" t="str">
        <f>IFERROR(INDEX(tEditais[Órgão],MATCH(tItens[[#This Row],[Edital]],tEditais[Edital],0)),"")</f>
        <v>MUNICIPIO DE RIO VERDE</v>
      </c>
      <c r="H2003" t="str">
        <f>IFERROR(INDEX(tEditais[UF],MATCH(tItens[[#This Row],[Edital]],tEditais[Edital],0)),"")</f>
        <v>GO</v>
      </c>
      <c r="I2003" s="11">
        <f>IFERROR(INDEX(tEditais[Encerramento],MATCH(tItens[[#This Row],[Edital]],tEditais[Edital],0)),"")</f>
        <v>46310.374305555553</v>
      </c>
      <c r="J2003" t="str">
        <f>IFERROR(INDEX(tProdutos[Classe],MATCH(tItens[[#This Row],[Produto]],tProdutos[Produto],0)),"produto não cadastrado")</f>
        <v>FORA</v>
      </c>
      <c r="K2003" s="12">
        <f>tItens[[#This Row],[Qtd]]*tItens[[#This Row],[Vlr unit]]</f>
        <v>18200</v>
      </c>
      <c r="L2003" s="6">
        <f>IFERROR(IF(INDEX(tProdutos[Desconto homologado],MATCH(tItens[[#This Row],[Produto]],tProdutos[Produto],0))="",DescontoPadrao,INDEX(tProdutos[Desconto homologado],MATCH(tItens[[#This Row],[Produto]],tProdutos[Produto],0))),DescontoPadrao)</f>
        <v>0.35388629091804102</v>
      </c>
      <c r="M2003" s="12">
        <f>tItens[[#This Row],[Valor]]*(1-tItens[[#This Row],[Desconto]])</f>
        <v>11759.269505291653</v>
      </c>
      <c r="N2003" t="str">
        <f>IFERROR(INDEX(tProdutos[Foco],MATCH(tItens[[#This Row],[Produto]],tProdutos[Produto],0)),"Não")</f>
        <v>Não</v>
      </c>
      <c r="O2003" t="str">
        <f>IFERROR(INDEX(tEditais[SRP],MATCH(tItens[[#This Row],[Edital]],tEditais[Edital],0)),"Não")</f>
        <v>Sim</v>
      </c>
      <c r="P2003" s="4">
        <f>IF(COUNTIFS(INDEX(tItens[Edital],1):tItens[[#This Row],[Edital]],tItens[[#This Row],[Edital]],INDEX(tItens[Produto],1):tItens[[#This Row],[Produto]],tItens[[#This Row],[Produto]])=1,1,0)</f>
        <v>1</v>
      </c>
    </row>
    <row r="2004" spans="1:16" x14ac:dyDescent="0.25">
      <c r="A2004" t="s">
        <v>1197</v>
      </c>
      <c r="B2004">
        <v>84</v>
      </c>
      <c r="C2004" t="s">
        <v>5045</v>
      </c>
      <c r="D2004" t="s">
        <v>339</v>
      </c>
      <c r="E2004" s="13">
        <v>23000</v>
      </c>
      <c r="F2004" s="12">
        <v>0.69</v>
      </c>
      <c r="G2004" t="str">
        <f>IFERROR(INDEX(tEditais[Órgão],MATCH(tItens[[#This Row],[Edital]],tEditais[Edital],0)),"")</f>
        <v>MUNICIPIO DE RIO VERDE</v>
      </c>
      <c r="H2004" t="str">
        <f>IFERROR(INDEX(tEditais[UF],MATCH(tItens[[#This Row],[Edital]],tEditais[Edital],0)),"")</f>
        <v>GO</v>
      </c>
      <c r="I2004" s="11">
        <f>IFERROR(INDEX(tEditais[Encerramento],MATCH(tItens[[#This Row],[Edital]],tEditais[Edital],0)),"")</f>
        <v>46310.374305555553</v>
      </c>
      <c r="J2004" t="str">
        <f>IFERROR(INDEX(tProdutos[Classe],MATCH(tItens[[#This Row],[Produto]],tProdutos[Produto],0)),"produto não cadastrado")</f>
        <v>FORA</v>
      </c>
      <c r="K2004" s="12">
        <f>tItens[[#This Row],[Qtd]]*tItens[[#This Row],[Vlr unit]]</f>
        <v>15869.999999999998</v>
      </c>
      <c r="L2004" s="6">
        <f>IFERROR(IF(INDEX(tProdutos[Desconto homologado],MATCH(tItens[[#This Row],[Produto]],tProdutos[Produto],0))="",DescontoPadrao,INDEX(tProdutos[Desconto homologado],MATCH(tItens[[#This Row],[Produto]],tProdutos[Produto],0))),DescontoPadrao)</f>
        <v>0.35388629091804102</v>
      </c>
      <c r="M2004" s="12">
        <f>tItens[[#This Row],[Valor]]*(1-tItens[[#This Row],[Desconto]])</f>
        <v>10253.824563130687</v>
      </c>
      <c r="N2004" t="str">
        <f>IFERROR(INDEX(tProdutos[Foco],MATCH(tItens[[#This Row],[Produto]],tProdutos[Produto],0)),"Não")</f>
        <v>Não</v>
      </c>
      <c r="O2004" t="str">
        <f>IFERROR(INDEX(tEditais[SRP],MATCH(tItens[[#This Row],[Edital]],tEditais[Edital],0)),"Não")</f>
        <v>Sim</v>
      </c>
      <c r="P2004" s="4">
        <f>IF(COUNTIFS(INDEX(tItens[Edital],1):tItens[[#This Row],[Edital]],tItens[[#This Row],[Edital]],INDEX(tItens[Produto],1):tItens[[#This Row],[Produto]],tItens[[#This Row],[Produto]])=1,1,0)</f>
        <v>0</v>
      </c>
    </row>
    <row r="2005" spans="1:16" x14ac:dyDescent="0.25">
      <c r="A2005" t="s">
        <v>1197</v>
      </c>
      <c r="B2005">
        <v>85</v>
      </c>
      <c r="C2005" t="s">
        <v>5046</v>
      </c>
      <c r="D2005" t="s">
        <v>339</v>
      </c>
      <c r="E2005" s="13">
        <v>35000</v>
      </c>
      <c r="F2005" s="12">
        <v>0.48</v>
      </c>
      <c r="G2005" t="str">
        <f>IFERROR(INDEX(tEditais[Órgão],MATCH(tItens[[#This Row],[Edital]],tEditais[Edital],0)),"")</f>
        <v>MUNICIPIO DE RIO VERDE</v>
      </c>
      <c r="H2005" t="str">
        <f>IFERROR(INDEX(tEditais[UF],MATCH(tItens[[#This Row],[Edital]],tEditais[Edital],0)),"")</f>
        <v>GO</v>
      </c>
      <c r="I2005" s="11">
        <f>IFERROR(INDEX(tEditais[Encerramento],MATCH(tItens[[#This Row],[Edital]],tEditais[Edital],0)),"")</f>
        <v>46310.374305555553</v>
      </c>
      <c r="J2005" t="str">
        <f>IFERROR(INDEX(tProdutos[Classe],MATCH(tItens[[#This Row],[Produto]],tProdutos[Produto],0)),"produto não cadastrado")</f>
        <v>FORA</v>
      </c>
      <c r="K2005" s="12">
        <f>tItens[[#This Row],[Qtd]]*tItens[[#This Row],[Vlr unit]]</f>
        <v>16800</v>
      </c>
      <c r="L2005" s="6">
        <f>IFERROR(IF(INDEX(tProdutos[Desconto homologado],MATCH(tItens[[#This Row],[Produto]],tProdutos[Produto],0))="",DescontoPadrao,INDEX(tProdutos[Desconto homologado],MATCH(tItens[[#This Row],[Produto]],tProdutos[Produto],0))),DescontoPadrao)</f>
        <v>0.35388629091804102</v>
      </c>
      <c r="M2005" s="12">
        <f>tItens[[#This Row],[Valor]]*(1-tItens[[#This Row],[Desconto]])</f>
        <v>10854.71031257691</v>
      </c>
      <c r="N2005" t="str">
        <f>IFERROR(INDEX(tProdutos[Foco],MATCH(tItens[[#This Row],[Produto]],tProdutos[Produto],0)),"Não")</f>
        <v>Não</v>
      </c>
      <c r="O2005" t="str">
        <f>IFERROR(INDEX(tEditais[SRP],MATCH(tItens[[#This Row],[Edital]],tEditais[Edital],0)),"Não")</f>
        <v>Sim</v>
      </c>
      <c r="P2005" s="4">
        <f>IF(COUNTIFS(INDEX(tItens[Edital],1):tItens[[#This Row],[Edital]],tItens[[#This Row],[Edital]],INDEX(tItens[Produto],1):tItens[[#This Row],[Produto]],tItens[[#This Row],[Produto]])=1,1,0)</f>
        <v>0</v>
      </c>
    </row>
    <row r="2006" spans="1:16" x14ac:dyDescent="0.25">
      <c r="A2006" t="s">
        <v>1197</v>
      </c>
      <c r="B2006">
        <v>91</v>
      </c>
      <c r="C2006" t="s">
        <v>5047</v>
      </c>
      <c r="D2006" t="s">
        <v>596</v>
      </c>
      <c r="E2006" s="13">
        <v>600</v>
      </c>
      <c r="F2006" s="12">
        <v>155</v>
      </c>
      <c r="G2006" t="str">
        <f>IFERROR(INDEX(tEditais[Órgão],MATCH(tItens[[#This Row],[Edital]],tEditais[Edital],0)),"")</f>
        <v>MUNICIPIO DE RIO VERDE</v>
      </c>
      <c r="H2006" t="str">
        <f>IFERROR(INDEX(tEditais[UF],MATCH(tItens[[#This Row],[Edital]],tEditais[Edital],0)),"")</f>
        <v>GO</v>
      </c>
      <c r="I2006" s="11">
        <f>IFERROR(INDEX(tEditais[Encerramento],MATCH(tItens[[#This Row],[Edital]],tEditais[Edital],0)),"")</f>
        <v>46310.374305555553</v>
      </c>
      <c r="J2006" t="str">
        <f>IFERROR(INDEX(tProdutos[Classe],MATCH(tItens[[#This Row],[Produto]],tProdutos[Produto],0)),"produto não cadastrado")</f>
        <v>FILA REBASE</v>
      </c>
      <c r="K2006" s="12">
        <f>tItens[[#This Row],[Qtd]]*tItens[[#This Row],[Vlr unit]]</f>
        <v>93000</v>
      </c>
      <c r="L2006" s="6">
        <f>IFERROR(IF(INDEX(tProdutos[Desconto homologado],MATCH(tItens[[#This Row],[Produto]],tProdutos[Produto],0))="",DescontoPadrao,INDEX(tProdutos[Desconto homologado],MATCH(tItens[[#This Row],[Produto]],tProdutos[Produto],0))),DescontoPadrao)</f>
        <v>0.35501453488372098</v>
      </c>
      <c r="M2006" s="12">
        <f>tItens[[#This Row],[Valor]]*(1-tItens[[#This Row],[Desconto]])</f>
        <v>59983.648255813947</v>
      </c>
      <c r="N2006" t="str">
        <f>IFERROR(INDEX(tProdutos[Foco],MATCH(tItens[[#This Row],[Produto]],tProdutos[Produto],0)),"Não")</f>
        <v>Não</v>
      </c>
      <c r="O2006" t="str">
        <f>IFERROR(INDEX(tEditais[SRP],MATCH(tItens[[#This Row],[Edital]],tEditais[Edital],0)),"Não")</f>
        <v>Sim</v>
      </c>
      <c r="P2006" s="4">
        <f>IF(COUNTIFS(INDEX(tItens[Edital],1):tItens[[#This Row],[Edital]],tItens[[#This Row],[Edital]],INDEX(tItens[Produto],1):tItens[[#This Row],[Produto]],tItens[[#This Row],[Produto]])=1,1,0)</f>
        <v>1</v>
      </c>
    </row>
    <row r="2007" spans="1:16" x14ac:dyDescent="0.25">
      <c r="A2007" t="s">
        <v>1197</v>
      </c>
      <c r="B2007">
        <v>96</v>
      </c>
      <c r="C2007" t="s">
        <v>5048</v>
      </c>
      <c r="D2007" t="s">
        <v>343</v>
      </c>
      <c r="E2007" s="13">
        <v>15000</v>
      </c>
      <c r="F2007" s="12">
        <v>1.64</v>
      </c>
      <c r="G2007" t="str">
        <f>IFERROR(INDEX(tEditais[Órgão],MATCH(tItens[[#This Row],[Edital]],tEditais[Edital],0)),"")</f>
        <v>MUNICIPIO DE RIO VERDE</v>
      </c>
      <c r="H2007" t="str">
        <f>IFERROR(INDEX(tEditais[UF],MATCH(tItens[[#This Row],[Edital]],tEditais[Edital],0)),"")</f>
        <v>GO</v>
      </c>
      <c r="I2007" s="11">
        <f>IFERROR(INDEX(tEditais[Encerramento],MATCH(tItens[[#This Row],[Edital]],tEditais[Edital],0)),"")</f>
        <v>46310.374305555553</v>
      </c>
      <c r="J2007" t="str">
        <f>IFERROR(INDEX(tProdutos[Classe],MATCH(tItens[[#This Row],[Produto]],tProdutos[Produto],0)),"produto não cadastrado")</f>
        <v>FORA</v>
      </c>
      <c r="K2007" s="12">
        <f>tItens[[#This Row],[Qtd]]*tItens[[#This Row],[Vlr unit]]</f>
        <v>24600</v>
      </c>
      <c r="L2007" s="6">
        <f>IFERROR(IF(INDEX(tProdutos[Desconto homologado],MATCH(tItens[[#This Row],[Produto]],tProdutos[Produto],0))="",DescontoPadrao,INDEX(tProdutos[Desconto homologado],MATCH(tItens[[#This Row],[Produto]],tProdutos[Produto],0))),DescontoPadrao)</f>
        <v>0.35412234042553198</v>
      </c>
      <c r="M2007" s="12">
        <f>tItens[[#This Row],[Valor]]*(1-tItens[[#This Row],[Desconto]])</f>
        <v>15888.590425531913</v>
      </c>
      <c r="N2007" t="str">
        <f>IFERROR(INDEX(tProdutos[Foco],MATCH(tItens[[#This Row],[Produto]],tProdutos[Produto],0)),"Não")</f>
        <v>Não</v>
      </c>
      <c r="O2007" t="str">
        <f>IFERROR(INDEX(tEditais[SRP],MATCH(tItens[[#This Row],[Edital]],tEditais[Edital],0)),"Não")</f>
        <v>Sim</v>
      </c>
      <c r="P2007" s="4">
        <f>IF(COUNTIFS(INDEX(tItens[Edital],1):tItens[[#This Row],[Edital]],tItens[[#This Row],[Edital]],INDEX(tItens[Produto],1):tItens[[#This Row],[Produto]],tItens[[#This Row],[Produto]])=1,1,0)</f>
        <v>1</v>
      </c>
    </row>
    <row r="2008" spans="1:16" x14ac:dyDescent="0.25">
      <c r="A2008" t="s">
        <v>1197</v>
      </c>
      <c r="B2008">
        <v>108</v>
      </c>
      <c r="C2008" t="s">
        <v>5049</v>
      </c>
      <c r="D2008" t="s">
        <v>399</v>
      </c>
      <c r="E2008" s="13">
        <v>60</v>
      </c>
      <c r="F2008" s="12">
        <v>11.03</v>
      </c>
      <c r="G2008" t="str">
        <f>IFERROR(INDEX(tEditais[Órgão],MATCH(tItens[[#This Row],[Edital]],tEditais[Edital],0)),"")</f>
        <v>MUNICIPIO DE RIO VERDE</v>
      </c>
      <c r="H2008" t="str">
        <f>IFERROR(INDEX(tEditais[UF],MATCH(tItens[[#This Row],[Edital]],tEditais[Edital],0)),"")</f>
        <v>GO</v>
      </c>
      <c r="I2008" s="11">
        <f>IFERROR(INDEX(tEditais[Encerramento],MATCH(tItens[[#This Row],[Edital]],tEditais[Edital],0)),"")</f>
        <v>46310.374305555553</v>
      </c>
      <c r="J2008" t="str">
        <f>IFERROR(INDEX(tProdutos[Classe],MATCH(tItens[[#This Row],[Produto]],tProdutos[Produto],0)),"produto não cadastrado")</f>
        <v>FORA</v>
      </c>
      <c r="K2008" s="12">
        <f>tItens[[#This Row],[Qtd]]*tItens[[#This Row],[Vlr unit]]</f>
        <v>661.8</v>
      </c>
      <c r="L2008" s="6">
        <f>IFERROR(IF(INDEX(tProdutos[Desconto homologado],MATCH(tItens[[#This Row],[Produto]],tProdutos[Produto],0))="",DescontoPadrao,INDEX(tProdutos[Desconto homologado],MATCH(tItens[[#This Row],[Produto]],tProdutos[Produto],0))),DescontoPadrao)</f>
        <v>0.30009041591320101</v>
      </c>
      <c r="M2008" s="12">
        <f>tItens[[#This Row],[Valor]]*(1-tItens[[#This Row],[Desconto]])</f>
        <v>463.20016274864355</v>
      </c>
      <c r="N2008" t="str">
        <f>IFERROR(INDEX(tProdutos[Foco],MATCH(tItens[[#This Row],[Produto]],tProdutos[Produto],0)),"Não")</f>
        <v>Não</v>
      </c>
      <c r="O2008" t="str">
        <f>IFERROR(INDEX(tEditais[SRP],MATCH(tItens[[#This Row],[Edital]],tEditais[Edital],0)),"Não")</f>
        <v>Sim</v>
      </c>
      <c r="P2008" s="4">
        <f>IF(COUNTIFS(INDEX(tItens[Edital],1):tItens[[#This Row],[Edital]],tItens[[#This Row],[Edital]],INDEX(tItens[Produto],1):tItens[[#This Row],[Produto]],tItens[[#This Row],[Produto]])=1,1,0)</f>
        <v>1</v>
      </c>
    </row>
    <row r="2009" spans="1:16" x14ac:dyDescent="0.25">
      <c r="A2009" t="s">
        <v>1197</v>
      </c>
      <c r="B2009">
        <v>109</v>
      </c>
      <c r="C2009" t="s">
        <v>5050</v>
      </c>
      <c r="D2009" t="s">
        <v>215</v>
      </c>
      <c r="E2009" s="13">
        <v>75</v>
      </c>
      <c r="F2009" s="12">
        <v>22.93</v>
      </c>
      <c r="G2009" t="str">
        <f>IFERROR(INDEX(tEditais[Órgão],MATCH(tItens[[#This Row],[Edital]],tEditais[Edital],0)),"")</f>
        <v>MUNICIPIO DE RIO VERDE</v>
      </c>
      <c r="H2009" t="str">
        <f>IFERROR(INDEX(tEditais[UF],MATCH(tItens[[#This Row],[Edital]],tEditais[Edital],0)),"")</f>
        <v>GO</v>
      </c>
      <c r="I2009" s="11">
        <f>IFERROR(INDEX(tEditais[Encerramento],MATCH(tItens[[#This Row],[Edital]],tEditais[Edital],0)),"")</f>
        <v>46310.374305555553</v>
      </c>
      <c r="J2009" t="str">
        <f>IFERROR(INDEX(tProdutos[Classe],MATCH(tItens[[#This Row],[Produto]],tProdutos[Produto],0)),"produto não cadastrado")</f>
        <v>FORA</v>
      </c>
      <c r="K2009" s="12">
        <f>tItens[[#This Row],[Qtd]]*tItens[[#This Row],[Vlr unit]]</f>
        <v>1719.75</v>
      </c>
      <c r="L2009" s="6">
        <f>IFERROR(IF(INDEX(tProdutos[Desconto homologado],MATCH(tItens[[#This Row],[Produto]],tProdutos[Produto],0))="",DescontoPadrao,INDEX(tProdutos[Desconto homologado],MATCH(tItens[[#This Row],[Produto]],tProdutos[Produto],0))),DescontoPadrao)</f>
        <v>0.27710245735301298</v>
      </c>
      <c r="M2009" s="12">
        <f>tItens[[#This Row],[Valor]]*(1-tItens[[#This Row],[Desconto]])</f>
        <v>1243.2030489671558</v>
      </c>
      <c r="N2009" t="str">
        <f>IFERROR(INDEX(tProdutos[Foco],MATCH(tItens[[#This Row],[Produto]],tProdutos[Produto],0)),"Não")</f>
        <v>Não</v>
      </c>
      <c r="O2009" t="str">
        <f>IFERROR(INDEX(tEditais[SRP],MATCH(tItens[[#This Row],[Edital]],tEditais[Edital],0)),"Não")</f>
        <v>Sim</v>
      </c>
      <c r="P2009" s="4">
        <f>IF(COUNTIFS(INDEX(tItens[Edital],1):tItens[[#This Row],[Edital]],tItens[[#This Row],[Edital]],INDEX(tItens[Produto],1):tItens[[#This Row],[Produto]],tItens[[#This Row],[Produto]])=1,1,0)</f>
        <v>1</v>
      </c>
    </row>
    <row r="2010" spans="1:16" x14ac:dyDescent="0.25">
      <c r="A2010" t="s">
        <v>1197</v>
      </c>
      <c r="B2010">
        <v>113</v>
      </c>
      <c r="C2010" t="s">
        <v>5051</v>
      </c>
      <c r="D2010" t="s">
        <v>267</v>
      </c>
      <c r="E2010" s="13">
        <v>16000</v>
      </c>
      <c r="F2010" s="12">
        <v>9.32</v>
      </c>
      <c r="G2010" t="str">
        <f>IFERROR(INDEX(tEditais[Órgão],MATCH(tItens[[#This Row],[Edital]],tEditais[Edital],0)),"")</f>
        <v>MUNICIPIO DE RIO VERDE</v>
      </c>
      <c r="H2010" t="str">
        <f>IFERROR(INDEX(tEditais[UF],MATCH(tItens[[#This Row],[Edital]],tEditais[Edital],0)),"")</f>
        <v>GO</v>
      </c>
      <c r="I2010" s="11">
        <f>IFERROR(INDEX(tEditais[Encerramento],MATCH(tItens[[#This Row],[Edital]],tEditais[Edital],0)),"")</f>
        <v>46310.374305555553</v>
      </c>
      <c r="J2010" t="str">
        <f>IFERROR(INDEX(tProdutos[Classe],MATCH(tItens[[#This Row],[Produto]],tProdutos[Produto],0)),"produto não cadastrado")</f>
        <v>FORA</v>
      </c>
      <c r="K2010" s="12">
        <f>tItens[[#This Row],[Qtd]]*tItens[[#This Row],[Vlr unit]]</f>
        <v>149120</v>
      </c>
      <c r="L2010" s="6">
        <f>IFERROR(IF(INDEX(tProdutos[Desconto homologado],MATCH(tItens[[#This Row],[Produto]],tProdutos[Produto],0))="",DescontoPadrao,INDEX(tProdutos[Desconto homologado],MATCH(tItens[[#This Row],[Produto]],tProdutos[Produto],0))),DescontoPadrao)</f>
        <v>0.19963672657401599</v>
      </c>
      <c r="M2010" s="12">
        <f>tItens[[#This Row],[Valor]]*(1-tItens[[#This Row],[Desconto]])</f>
        <v>119350.17133328273</v>
      </c>
      <c r="N2010" t="str">
        <f>IFERROR(INDEX(tProdutos[Foco],MATCH(tItens[[#This Row],[Produto]],tProdutos[Produto],0)),"Não")</f>
        <v>Não</v>
      </c>
      <c r="O2010" t="str">
        <f>IFERROR(INDEX(tEditais[SRP],MATCH(tItens[[#This Row],[Edital]],tEditais[Edital],0)),"Não")</f>
        <v>Sim</v>
      </c>
      <c r="P2010" s="4">
        <f>IF(COUNTIFS(INDEX(tItens[Edital],1):tItens[[#This Row],[Edital]],tItens[[#This Row],[Edital]],INDEX(tItens[Produto],1):tItens[[#This Row],[Produto]],tItens[[#This Row],[Produto]])=1,1,0)</f>
        <v>1</v>
      </c>
    </row>
    <row r="2011" spans="1:16" x14ac:dyDescent="0.25">
      <c r="A2011" t="s">
        <v>1197</v>
      </c>
      <c r="B2011">
        <v>124</v>
      </c>
      <c r="C2011" t="s">
        <v>5052</v>
      </c>
      <c r="D2011" t="s">
        <v>184</v>
      </c>
      <c r="E2011" s="13">
        <v>200</v>
      </c>
      <c r="F2011" s="12">
        <v>3.49</v>
      </c>
      <c r="G2011" t="str">
        <f>IFERROR(INDEX(tEditais[Órgão],MATCH(tItens[[#This Row],[Edital]],tEditais[Edital],0)),"")</f>
        <v>MUNICIPIO DE RIO VERDE</v>
      </c>
      <c r="H2011" t="str">
        <f>IFERROR(INDEX(tEditais[UF],MATCH(tItens[[#This Row],[Edital]],tEditais[Edital],0)),"")</f>
        <v>GO</v>
      </c>
      <c r="I2011" s="11">
        <f>IFERROR(INDEX(tEditais[Encerramento],MATCH(tItens[[#This Row],[Edital]],tEditais[Edital],0)),"")</f>
        <v>46310.374305555553</v>
      </c>
      <c r="J2011" t="str">
        <f>IFERROR(INDEX(tProdutos[Classe],MATCH(tItens[[#This Row],[Produto]],tProdutos[Produto],0)),"produto não cadastrado")</f>
        <v>FORA</v>
      </c>
      <c r="K2011" s="12">
        <f>tItens[[#This Row],[Qtd]]*tItens[[#This Row],[Vlr unit]]</f>
        <v>698</v>
      </c>
      <c r="L2011" s="6">
        <f>IFERROR(IF(INDEX(tProdutos[Desconto homologado],MATCH(tItens[[#This Row],[Produto]],tProdutos[Produto],0))="",DescontoPadrao,INDEX(tProdutos[Desconto homologado],MATCH(tItens[[#This Row],[Produto]],tProdutos[Produto],0))),DescontoPadrao)</f>
        <v>0.363567906332742</v>
      </c>
      <c r="M2011" s="12">
        <f>tItens[[#This Row],[Valor]]*(1-tItens[[#This Row],[Desconto]])</f>
        <v>444.2296013797461</v>
      </c>
      <c r="N2011" t="str">
        <f>IFERROR(INDEX(tProdutos[Foco],MATCH(tItens[[#This Row],[Produto]],tProdutos[Produto],0)),"Não")</f>
        <v>Não</v>
      </c>
      <c r="O2011" t="str">
        <f>IFERROR(INDEX(tEditais[SRP],MATCH(tItens[[#This Row],[Edital]],tEditais[Edital],0)),"Não")</f>
        <v>Sim</v>
      </c>
      <c r="P2011" s="4">
        <f>IF(COUNTIFS(INDEX(tItens[Edital],1):tItens[[#This Row],[Edital]],tItens[[#This Row],[Edital]],INDEX(tItens[Produto],1):tItens[[#This Row],[Produto]],tItens[[#This Row],[Produto]])=1,1,0)</f>
        <v>1</v>
      </c>
    </row>
    <row r="2012" spans="1:16" x14ac:dyDescent="0.25">
      <c r="A2012" t="s">
        <v>1197</v>
      </c>
      <c r="B2012">
        <v>125</v>
      </c>
      <c r="C2012" t="s">
        <v>5053</v>
      </c>
      <c r="D2012" t="s">
        <v>184</v>
      </c>
      <c r="E2012" s="13">
        <v>100</v>
      </c>
      <c r="F2012" s="12">
        <v>3.5</v>
      </c>
      <c r="G2012" t="str">
        <f>IFERROR(INDEX(tEditais[Órgão],MATCH(tItens[[#This Row],[Edital]],tEditais[Edital],0)),"")</f>
        <v>MUNICIPIO DE RIO VERDE</v>
      </c>
      <c r="H2012" t="str">
        <f>IFERROR(INDEX(tEditais[UF],MATCH(tItens[[#This Row],[Edital]],tEditais[Edital],0)),"")</f>
        <v>GO</v>
      </c>
      <c r="I2012" s="11">
        <f>IFERROR(INDEX(tEditais[Encerramento],MATCH(tItens[[#This Row],[Edital]],tEditais[Edital],0)),"")</f>
        <v>46310.374305555553</v>
      </c>
      <c r="J2012" t="str">
        <f>IFERROR(INDEX(tProdutos[Classe],MATCH(tItens[[#This Row],[Produto]],tProdutos[Produto],0)),"produto não cadastrado")</f>
        <v>FORA</v>
      </c>
      <c r="K2012" s="12">
        <f>tItens[[#This Row],[Qtd]]*tItens[[#This Row],[Vlr unit]]</f>
        <v>350</v>
      </c>
      <c r="L2012" s="6">
        <f>IFERROR(IF(INDEX(tProdutos[Desconto homologado],MATCH(tItens[[#This Row],[Produto]],tProdutos[Produto],0))="",DescontoPadrao,INDEX(tProdutos[Desconto homologado],MATCH(tItens[[#This Row],[Produto]],tProdutos[Produto],0))),DescontoPadrao)</f>
        <v>0.363567906332742</v>
      </c>
      <c r="M2012" s="12">
        <f>tItens[[#This Row],[Valor]]*(1-tItens[[#This Row],[Desconto]])</f>
        <v>222.75123278354033</v>
      </c>
      <c r="N2012" t="str">
        <f>IFERROR(INDEX(tProdutos[Foco],MATCH(tItens[[#This Row],[Produto]],tProdutos[Produto],0)),"Não")</f>
        <v>Não</v>
      </c>
      <c r="O2012" t="str">
        <f>IFERROR(INDEX(tEditais[SRP],MATCH(tItens[[#This Row],[Edital]],tEditais[Edital],0)),"Não")</f>
        <v>Sim</v>
      </c>
      <c r="P2012" s="4">
        <f>IF(COUNTIFS(INDEX(tItens[Edital],1):tItens[[#This Row],[Edital]],tItens[[#This Row],[Edital]],INDEX(tItens[Produto],1):tItens[[#This Row],[Produto]],tItens[[#This Row],[Produto]])=1,1,0)</f>
        <v>0</v>
      </c>
    </row>
    <row r="2013" spans="1:16" x14ac:dyDescent="0.25">
      <c r="A2013" t="s">
        <v>1197</v>
      </c>
      <c r="B2013">
        <v>126</v>
      </c>
      <c r="C2013" t="s">
        <v>5054</v>
      </c>
      <c r="D2013" t="s">
        <v>184</v>
      </c>
      <c r="E2013" s="13">
        <v>110</v>
      </c>
      <c r="F2013" s="12">
        <v>3.54</v>
      </c>
      <c r="G2013" t="str">
        <f>IFERROR(INDEX(tEditais[Órgão],MATCH(tItens[[#This Row],[Edital]],tEditais[Edital],0)),"")</f>
        <v>MUNICIPIO DE RIO VERDE</v>
      </c>
      <c r="H2013" t="str">
        <f>IFERROR(INDEX(tEditais[UF],MATCH(tItens[[#This Row],[Edital]],tEditais[Edital],0)),"")</f>
        <v>GO</v>
      </c>
      <c r="I2013" s="11">
        <f>IFERROR(INDEX(tEditais[Encerramento],MATCH(tItens[[#This Row],[Edital]],tEditais[Edital],0)),"")</f>
        <v>46310.374305555553</v>
      </c>
      <c r="J2013" t="str">
        <f>IFERROR(INDEX(tProdutos[Classe],MATCH(tItens[[#This Row],[Produto]],tProdutos[Produto],0)),"produto não cadastrado")</f>
        <v>FORA</v>
      </c>
      <c r="K2013" s="12">
        <f>tItens[[#This Row],[Qtd]]*tItens[[#This Row],[Vlr unit]]</f>
        <v>389.4</v>
      </c>
      <c r="L2013" s="6">
        <f>IFERROR(IF(INDEX(tProdutos[Desconto homologado],MATCH(tItens[[#This Row],[Produto]],tProdutos[Produto],0))="",DescontoPadrao,INDEX(tProdutos[Desconto homologado],MATCH(tItens[[#This Row],[Produto]],tProdutos[Produto],0))),DescontoPadrao)</f>
        <v>0.363567906332742</v>
      </c>
      <c r="M2013" s="12">
        <f>tItens[[#This Row],[Valor]]*(1-tItens[[#This Row],[Desconto]])</f>
        <v>247.82665727403028</v>
      </c>
      <c r="N2013" t="str">
        <f>IFERROR(INDEX(tProdutos[Foco],MATCH(tItens[[#This Row],[Produto]],tProdutos[Produto],0)),"Não")</f>
        <v>Não</v>
      </c>
      <c r="O2013" t="str">
        <f>IFERROR(INDEX(tEditais[SRP],MATCH(tItens[[#This Row],[Edital]],tEditais[Edital],0)),"Não")</f>
        <v>Sim</v>
      </c>
      <c r="P2013" s="4">
        <f>IF(COUNTIFS(INDEX(tItens[Edital],1):tItens[[#This Row],[Edital]],tItens[[#This Row],[Edital]],INDEX(tItens[Produto],1):tItens[[#This Row],[Produto]],tItens[[#This Row],[Produto]])=1,1,0)</f>
        <v>0</v>
      </c>
    </row>
    <row r="2014" spans="1:16" x14ac:dyDescent="0.25">
      <c r="A2014" t="s">
        <v>1197</v>
      </c>
      <c r="B2014">
        <v>127</v>
      </c>
      <c r="C2014" t="s">
        <v>5055</v>
      </c>
      <c r="D2014" t="s">
        <v>110</v>
      </c>
      <c r="E2014" s="13">
        <v>11000</v>
      </c>
      <c r="F2014" s="12">
        <v>0.63</v>
      </c>
      <c r="G2014" t="str">
        <f>IFERROR(INDEX(tEditais[Órgão],MATCH(tItens[[#This Row],[Edital]],tEditais[Edital],0)),"")</f>
        <v>MUNICIPIO DE RIO VERDE</v>
      </c>
      <c r="H2014" t="str">
        <f>IFERROR(INDEX(tEditais[UF],MATCH(tItens[[#This Row],[Edital]],tEditais[Edital],0)),"")</f>
        <v>GO</v>
      </c>
      <c r="I2014" s="11">
        <f>IFERROR(INDEX(tEditais[Encerramento],MATCH(tItens[[#This Row],[Edital]],tEditais[Edital],0)),"")</f>
        <v>46310.374305555553</v>
      </c>
      <c r="J2014" t="str">
        <f>IFERROR(INDEX(tProdutos[Classe],MATCH(tItens[[#This Row],[Produto]],tProdutos[Produto],0)),"produto não cadastrado")</f>
        <v>NÚCLEO</v>
      </c>
      <c r="K2014" s="12">
        <f>tItens[[#This Row],[Qtd]]*tItens[[#This Row],[Vlr unit]]</f>
        <v>6930</v>
      </c>
      <c r="L2014" s="6">
        <f>IFERROR(IF(INDEX(tProdutos[Desconto homologado],MATCH(tItens[[#This Row],[Produto]],tProdutos[Produto],0))="",DescontoPadrao,INDEX(tProdutos[Desconto homologado],MATCH(tItens[[#This Row],[Produto]],tProdutos[Produto],0))),DescontoPadrao)</f>
        <v>0.30410958904109597</v>
      </c>
      <c r="M2014" s="12">
        <f>tItens[[#This Row],[Valor]]*(1-tItens[[#This Row],[Desconto]])</f>
        <v>4822.5205479452052</v>
      </c>
      <c r="N2014" t="str">
        <f>IFERROR(INDEX(tProdutos[Foco],MATCH(tItens[[#This Row],[Produto]],tProdutos[Produto],0)),"Não")</f>
        <v>Não</v>
      </c>
      <c r="O2014" t="str">
        <f>IFERROR(INDEX(tEditais[SRP],MATCH(tItens[[#This Row],[Edital]],tEditais[Edital],0)),"Não")</f>
        <v>Sim</v>
      </c>
      <c r="P2014" s="4">
        <f>IF(COUNTIFS(INDEX(tItens[Edital],1):tItens[[#This Row],[Edital]],tItens[[#This Row],[Edital]],INDEX(tItens[Produto],1):tItens[[#This Row],[Produto]],tItens[[#This Row],[Produto]])=1,1,0)</f>
        <v>1</v>
      </c>
    </row>
    <row r="2015" spans="1:16" x14ac:dyDescent="0.25">
      <c r="A2015" t="s">
        <v>1197</v>
      </c>
      <c r="B2015">
        <v>128</v>
      </c>
      <c r="C2015" t="s">
        <v>5056</v>
      </c>
      <c r="D2015" t="s">
        <v>110</v>
      </c>
      <c r="E2015" s="13">
        <v>7000</v>
      </c>
      <c r="F2015" s="12">
        <v>0.62</v>
      </c>
      <c r="G2015" t="str">
        <f>IFERROR(INDEX(tEditais[Órgão],MATCH(tItens[[#This Row],[Edital]],tEditais[Edital],0)),"")</f>
        <v>MUNICIPIO DE RIO VERDE</v>
      </c>
      <c r="H2015" t="str">
        <f>IFERROR(INDEX(tEditais[UF],MATCH(tItens[[#This Row],[Edital]],tEditais[Edital],0)),"")</f>
        <v>GO</v>
      </c>
      <c r="I2015" s="11">
        <f>IFERROR(INDEX(tEditais[Encerramento],MATCH(tItens[[#This Row],[Edital]],tEditais[Edital],0)),"")</f>
        <v>46310.374305555553</v>
      </c>
      <c r="J2015" t="str">
        <f>IFERROR(INDEX(tProdutos[Classe],MATCH(tItens[[#This Row],[Produto]],tProdutos[Produto],0)),"produto não cadastrado")</f>
        <v>NÚCLEO</v>
      </c>
      <c r="K2015" s="12">
        <f>tItens[[#This Row],[Qtd]]*tItens[[#This Row],[Vlr unit]]</f>
        <v>4340</v>
      </c>
      <c r="L2015" s="6">
        <f>IFERROR(IF(INDEX(tProdutos[Desconto homologado],MATCH(tItens[[#This Row],[Produto]],tProdutos[Produto],0))="",DescontoPadrao,INDEX(tProdutos[Desconto homologado],MATCH(tItens[[#This Row],[Produto]],tProdutos[Produto],0))),DescontoPadrao)</f>
        <v>0.30410958904109597</v>
      </c>
      <c r="M2015" s="12">
        <f>tItens[[#This Row],[Valor]]*(1-tItens[[#This Row],[Desconto]])</f>
        <v>3020.1643835616433</v>
      </c>
      <c r="N2015" t="str">
        <f>IFERROR(INDEX(tProdutos[Foco],MATCH(tItens[[#This Row],[Produto]],tProdutos[Produto],0)),"Não")</f>
        <v>Não</v>
      </c>
      <c r="O2015" t="str">
        <f>IFERROR(INDEX(tEditais[SRP],MATCH(tItens[[#This Row],[Edital]],tEditais[Edital],0)),"Não")</f>
        <v>Sim</v>
      </c>
      <c r="P2015" s="4">
        <f>IF(COUNTIFS(INDEX(tItens[Edital],1):tItens[[#This Row],[Edital]],tItens[[#This Row],[Edital]],INDEX(tItens[Produto],1):tItens[[#This Row],[Produto]],tItens[[#This Row],[Produto]])=1,1,0)</f>
        <v>0</v>
      </c>
    </row>
    <row r="2016" spans="1:16" x14ac:dyDescent="0.25">
      <c r="A2016" t="s">
        <v>1197</v>
      </c>
      <c r="B2016">
        <v>129</v>
      </c>
      <c r="C2016" t="s">
        <v>5057</v>
      </c>
      <c r="D2016" t="s">
        <v>110</v>
      </c>
      <c r="E2016" s="13">
        <v>2500</v>
      </c>
      <c r="F2016" s="12">
        <v>0.93</v>
      </c>
      <c r="G2016" t="str">
        <f>IFERROR(INDEX(tEditais[Órgão],MATCH(tItens[[#This Row],[Edital]],tEditais[Edital],0)),"")</f>
        <v>MUNICIPIO DE RIO VERDE</v>
      </c>
      <c r="H2016" t="str">
        <f>IFERROR(INDEX(tEditais[UF],MATCH(tItens[[#This Row],[Edital]],tEditais[Edital],0)),"")</f>
        <v>GO</v>
      </c>
      <c r="I2016" s="11">
        <f>IFERROR(INDEX(tEditais[Encerramento],MATCH(tItens[[#This Row],[Edital]],tEditais[Edital],0)),"")</f>
        <v>46310.374305555553</v>
      </c>
      <c r="J2016" t="str">
        <f>IFERROR(INDEX(tProdutos[Classe],MATCH(tItens[[#This Row],[Produto]],tProdutos[Produto],0)),"produto não cadastrado")</f>
        <v>NÚCLEO</v>
      </c>
      <c r="K2016" s="12">
        <f>tItens[[#This Row],[Qtd]]*tItens[[#This Row],[Vlr unit]]</f>
        <v>2325</v>
      </c>
      <c r="L2016" s="6">
        <f>IFERROR(IF(INDEX(tProdutos[Desconto homologado],MATCH(tItens[[#This Row],[Produto]],tProdutos[Produto],0))="",DescontoPadrao,INDEX(tProdutos[Desconto homologado],MATCH(tItens[[#This Row],[Produto]],tProdutos[Produto],0))),DescontoPadrao)</f>
        <v>0.30410958904109597</v>
      </c>
      <c r="M2016" s="12">
        <f>tItens[[#This Row],[Valor]]*(1-tItens[[#This Row],[Desconto]])</f>
        <v>1617.9452054794519</v>
      </c>
      <c r="N2016" t="str">
        <f>IFERROR(INDEX(tProdutos[Foco],MATCH(tItens[[#This Row],[Produto]],tProdutos[Produto],0)),"Não")</f>
        <v>Não</v>
      </c>
      <c r="O2016" t="str">
        <f>IFERROR(INDEX(tEditais[SRP],MATCH(tItens[[#This Row],[Edital]],tEditais[Edital],0)),"Não")</f>
        <v>Sim</v>
      </c>
      <c r="P2016" s="4">
        <f>IF(COUNTIFS(INDEX(tItens[Edital],1):tItens[[#This Row],[Edital]],tItens[[#This Row],[Edital]],INDEX(tItens[Produto],1):tItens[[#This Row],[Produto]],tItens[[#This Row],[Produto]])=1,1,0)</f>
        <v>0</v>
      </c>
    </row>
    <row r="2017" spans="1:16" x14ac:dyDescent="0.25">
      <c r="A2017" t="s">
        <v>1197</v>
      </c>
      <c r="B2017">
        <v>130</v>
      </c>
      <c r="C2017" t="s">
        <v>5058</v>
      </c>
      <c r="D2017" t="s">
        <v>110</v>
      </c>
      <c r="E2017" s="13">
        <v>2200</v>
      </c>
      <c r="F2017" s="12">
        <v>0.89</v>
      </c>
      <c r="G2017" t="str">
        <f>IFERROR(INDEX(tEditais[Órgão],MATCH(tItens[[#This Row],[Edital]],tEditais[Edital],0)),"")</f>
        <v>MUNICIPIO DE RIO VERDE</v>
      </c>
      <c r="H2017" t="str">
        <f>IFERROR(INDEX(tEditais[UF],MATCH(tItens[[#This Row],[Edital]],tEditais[Edital],0)),"")</f>
        <v>GO</v>
      </c>
      <c r="I2017" s="11">
        <f>IFERROR(INDEX(tEditais[Encerramento],MATCH(tItens[[#This Row],[Edital]],tEditais[Edital],0)),"")</f>
        <v>46310.374305555553</v>
      </c>
      <c r="J2017" t="str">
        <f>IFERROR(INDEX(tProdutos[Classe],MATCH(tItens[[#This Row],[Produto]],tProdutos[Produto],0)),"produto não cadastrado")</f>
        <v>NÚCLEO</v>
      </c>
      <c r="K2017" s="12">
        <f>tItens[[#This Row],[Qtd]]*tItens[[#This Row],[Vlr unit]]</f>
        <v>1958</v>
      </c>
      <c r="L2017" s="6">
        <f>IFERROR(IF(INDEX(tProdutos[Desconto homologado],MATCH(tItens[[#This Row],[Produto]],tProdutos[Produto],0))="",DescontoPadrao,INDEX(tProdutos[Desconto homologado],MATCH(tItens[[#This Row],[Produto]],tProdutos[Produto],0))),DescontoPadrao)</f>
        <v>0.30410958904109597</v>
      </c>
      <c r="M2017" s="12">
        <f>tItens[[#This Row],[Valor]]*(1-tItens[[#This Row],[Desconto]])</f>
        <v>1362.5534246575342</v>
      </c>
      <c r="N2017" t="str">
        <f>IFERROR(INDEX(tProdutos[Foco],MATCH(tItens[[#This Row],[Produto]],tProdutos[Produto],0)),"Não")</f>
        <v>Não</v>
      </c>
      <c r="O2017" t="str">
        <f>IFERROR(INDEX(tEditais[SRP],MATCH(tItens[[#This Row],[Edital]],tEditais[Edital],0)),"Não")</f>
        <v>Sim</v>
      </c>
      <c r="P2017" s="4">
        <f>IF(COUNTIFS(INDEX(tItens[Edital],1):tItens[[#This Row],[Edital]],tItens[[#This Row],[Edital]],INDEX(tItens[Produto],1):tItens[[#This Row],[Produto]],tItens[[#This Row],[Produto]])=1,1,0)</f>
        <v>0</v>
      </c>
    </row>
    <row r="2018" spans="1:16" x14ac:dyDescent="0.25">
      <c r="A2018" t="s">
        <v>1197</v>
      </c>
      <c r="B2018">
        <v>131</v>
      </c>
      <c r="C2018" t="s">
        <v>5059</v>
      </c>
      <c r="D2018" t="s">
        <v>110</v>
      </c>
      <c r="E2018" s="13">
        <v>3000</v>
      </c>
      <c r="F2018" s="12">
        <v>0.49</v>
      </c>
      <c r="G2018" t="str">
        <f>IFERROR(INDEX(tEditais[Órgão],MATCH(tItens[[#This Row],[Edital]],tEditais[Edital],0)),"")</f>
        <v>MUNICIPIO DE RIO VERDE</v>
      </c>
      <c r="H2018" t="str">
        <f>IFERROR(INDEX(tEditais[UF],MATCH(tItens[[#This Row],[Edital]],tEditais[Edital],0)),"")</f>
        <v>GO</v>
      </c>
      <c r="I2018" s="11">
        <f>IFERROR(INDEX(tEditais[Encerramento],MATCH(tItens[[#This Row],[Edital]],tEditais[Edital],0)),"")</f>
        <v>46310.374305555553</v>
      </c>
      <c r="J2018" t="str">
        <f>IFERROR(INDEX(tProdutos[Classe],MATCH(tItens[[#This Row],[Produto]],tProdutos[Produto],0)),"produto não cadastrado")</f>
        <v>NÚCLEO</v>
      </c>
      <c r="K2018" s="12">
        <f>tItens[[#This Row],[Qtd]]*tItens[[#This Row],[Vlr unit]]</f>
        <v>1470</v>
      </c>
      <c r="L2018" s="6">
        <f>IFERROR(IF(INDEX(tProdutos[Desconto homologado],MATCH(tItens[[#This Row],[Produto]],tProdutos[Produto],0))="",DescontoPadrao,INDEX(tProdutos[Desconto homologado],MATCH(tItens[[#This Row],[Produto]],tProdutos[Produto],0))),DescontoPadrao)</f>
        <v>0.30410958904109597</v>
      </c>
      <c r="M2018" s="12">
        <f>tItens[[#This Row],[Valor]]*(1-tItens[[#This Row],[Desconto]])</f>
        <v>1022.958904109589</v>
      </c>
      <c r="N2018" t="str">
        <f>IFERROR(INDEX(tProdutos[Foco],MATCH(tItens[[#This Row],[Produto]],tProdutos[Produto],0)),"Não")</f>
        <v>Não</v>
      </c>
      <c r="O2018" t="str">
        <f>IFERROR(INDEX(tEditais[SRP],MATCH(tItens[[#This Row],[Edital]],tEditais[Edital],0)),"Não")</f>
        <v>Sim</v>
      </c>
      <c r="P2018" s="4">
        <f>IF(COUNTIFS(INDEX(tItens[Edital],1):tItens[[#This Row],[Edital]],tItens[[#This Row],[Edital]],INDEX(tItens[Produto],1):tItens[[#This Row],[Produto]],tItens[[#This Row],[Produto]])=1,1,0)</f>
        <v>0</v>
      </c>
    </row>
    <row r="2019" spans="1:16" x14ac:dyDescent="0.25">
      <c r="A2019" t="s">
        <v>1197</v>
      </c>
      <c r="B2019">
        <v>132</v>
      </c>
      <c r="C2019" t="s">
        <v>5060</v>
      </c>
      <c r="D2019" t="s">
        <v>110</v>
      </c>
      <c r="E2019" s="13">
        <v>2200</v>
      </c>
      <c r="F2019" s="12">
        <v>1.1200000000000001</v>
      </c>
      <c r="G2019" t="str">
        <f>IFERROR(INDEX(tEditais[Órgão],MATCH(tItens[[#This Row],[Edital]],tEditais[Edital],0)),"")</f>
        <v>MUNICIPIO DE RIO VERDE</v>
      </c>
      <c r="H2019" t="str">
        <f>IFERROR(INDEX(tEditais[UF],MATCH(tItens[[#This Row],[Edital]],tEditais[Edital],0)),"")</f>
        <v>GO</v>
      </c>
      <c r="I2019" s="11">
        <f>IFERROR(INDEX(tEditais[Encerramento],MATCH(tItens[[#This Row],[Edital]],tEditais[Edital],0)),"")</f>
        <v>46310.374305555553</v>
      </c>
      <c r="J2019" t="str">
        <f>IFERROR(INDEX(tProdutos[Classe],MATCH(tItens[[#This Row],[Produto]],tProdutos[Produto],0)),"produto não cadastrado")</f>
        <v>NÚCLEO</v>
      </c>
      <c r="K2019" s="12">
        <f>tItens[[#This Row],[Qtd]]*tItens[[#This Row],[Vlr unit]]</f>
        <v>2464.0000000000005</v>
      </c>
      <c r="L2019" s="6">
        <f>IFERROR(IF(INDEX(tProdutos[Desconto homologado],MATCH(tItens[[#This Row],[Produto]],tProdutos[Produto],0))="",DescontoPadrao,INDEX(tProdutos[Desconto homologado],MATCH(tItens[[#This Row],[Produto]],tProdutos[Produto],0))),DescontoPadrao)</f>
        <v>0.30410958904109597</v>
      </c>
      <c r="M2019" s="12">
        <f>tItens[[#This Row],[Valor]]*(1-tItens[[#This Row],[Desconto]])</f>
        <v>1714.6739726027399</v>
      </c>
      <c r="N2019" t="str">
        <f>IFERROR(INDEX(tProdutos[Foco],MATCH(tItens[[#This Row],[Produto]],tProdutos[Produto],0)),"Não")</f>
        <v>Não</v>
      </c>
      <c r="O2019" t="str">
        <f>IFERROR(INDEX(tEditais[SRP],MATCH(tItens[[#This Row],[Edital]],tEditais[Edital],0)),"Não")</f>
        <v>Sim</v>
      </c>
      <c r="P2019" s="4">
        <f>IF(COUNTIFS(INDEX(tItens[Edital],1):tItens[[#This Row],[Edital]],tItens[[#This Row],[Edital]],INDEX(tItens[Produto],1):tItens[[#This Row],[Produto]],tItens[[#This Row],[Produto]])=1,1,0)</f>
        <v>0</v>
      </c>
    </row>
    <row r="2020" spans="1:16" x14ac:dyDescent="0.25">
      <c r="A2020" t="s">
        <v>1197</v>
      </c>
      <c r="B2020">
        <v>135</v>
      </c>
      <c r="C2020" t="s">
        <v>5061</v>
      </c>
      <c r="D2020" t="s">
        <v>120</v>
      </c>
      <c r="E2020" s="13">
        <v>1400</v>
      </c>
      <c r="F2020" s="12">
        <v>0.65</v>
      </c>
      <c r="G2020" t="str">
        <f>IFERROR(INDEX(tEditais[Órgão],MATCH(tItens[[#This Row],[Edital]],tEditais[Edital],0)),"")</f>
        <v>MUNICIPIO DE RIO VERDE</v>
      </c>
      <c r="H2020" t="str">
        <f>IFERROR(INDEX(tEditais[UF],MATCH(tItens[[#This Row],[Edital]],tEditais[Edital],0)),"")</f>
        <v>GO</v>
      </c>
      <c r="I2020" s="11">
        <f>IFERROR(INDEX(tEditais[Encerramento],MATCH(tItens[[#This Row],[Edital]],tEditais[Edital],0)),"")</f>
        <v>46310.374305555553</v>
      </c>
      <c r="J2020" t="str">
        <f>IFERROR(INDEX(tProdutos[Classe],MATCH(tItens[[#This Row],[Produto]],tProdutos[Produto],0)),"produto não cadastrado")</f>
        <v>DISPUTADO</v>
      </c>
      <c r="K2020" s="12">
        <f>tItens[[#This Row],[Qtd]]*tItens[[#This Row],[Vlr unit]]</f>
        <v>910</v>
      </c>
      <c r="L2020" s="6">
        <f>IFERROR(IF(INDEX(tProdutos[Desconto homologado],MATCH(tItens[[#This Row],[Produto]],tProdutos[Produto],0))="",DescontoPadrao,INDEX(tProdutos[Desconto homologado],MATCH(tItens[[#This Row],[Produto]],tProdutos[Produto],0))),DescontoPadrao)</f>
        <v>0.40909090909090901</v>
      </c>
      <c r="M2020" s="12">
        <f>tItens[[#This Row],[Valor]]*(1-tItens[[#This Row],[Desconto]])</f>
        <v>537.72727272727286</v>
      </c>
      <c r="N2020" t="str">
        <f>IFERROR(INDEX(tProdutos[Foco],MATCH(tItens[[#This Row],[Produto]],tProdutos[Produto],0)),"Não")</f>
        <v>Não</v>
      </c>
      <c r="O2020" t="str">
        <f>IFERROR(INDEX(tEditais[SRP],MATCH(tItens[[#This Row],[Edital]],tEditais[Edital],0)),"Não")</f>
        <v>Sim</v>
      </c>
      <c r="P2020" s="4">
        <f>IF(COUNTIFS(INDEX(tItens[Edital],1):tItens[[#This Row],[Edital]],tItens[[#This Row],[Edital]],INDEX(tItens[Produto],1):tItens[[#This Row],[Produto]],tItens[[#This Row],[Produto]])=1,1,0)</f>
        <v>1</v>
      </c>
    </row>
    <row r="2021" spans="1:16" x14ac:dyDescent="0.25">
      <c r="A2021" t="s">
        <v>1197</v>
      </c>
      <c r="B2021">
        <v>136</v>
      </c>
      <c r="C2021" t="s">
        <v>5062</v>
      </c>
      <c r="D2021" t="s">
        <v>120</v>
      </c>
      <c r="E2021" s="13">
        <v>400</v>
      </c>
      <c r="F2021" s="12">
        <v>0.7</v>
      </c>
      <c r="G2021" t="str">
        <f>IFERROR(INDEX(tEditais[Órgão],MATCH(tItens[[#This Row],[Edital]],tEditais[Edital],0)),"")</f>
        <v>MUNICIPIO DE RIO VERDE</v>
      </c>
      <c r="H2021" t="str">
        <f>IFERROR(INDEX(tEditais[UF],MATCH(tItens[[#This Row],[Edital]],tEditais[Edital],0)),"")</f>
        <v>GO</v>
      </c>
      <c r="I2021" s="11">
        <f>IFERROR(INDEX(tEditais[Encerramento],MATCH(tItens[[#This Row],[Edital]],tEditais[Edital],0)),"")</f>
        <v>46310.374305555553</v>
      </c>
      <c r="J2021" t="str">
        <f>IFERROR(INDEX(tProdutos[Classe],MATCH(tItens[[#This Row],[Produto]],tProdutos[Produto],0)),"produto não cadastrado")</f>
        <v>DISPUTADO</v>
      </c>
      <c r="K2021" s="12">
        <f>tItens[[#This Row],[Qtd]]*tItens[[#This Row],[Vlr unit]]</f>
        <v>280</v>
      </c>
      <c r="L2021" s="6">
        <f>IFERROR(IF(INDEX(tProdutos[Desconto homologado],MATCH(tItens[[#This Row],[Produto]],tProdutos[Produto],0))="",DescontoPadrao,INDEX(tProdutos[Desconto homologado],MATCH(tItens[[#This Row],[Produto]],tProdutos[Produto],0))),DescontoPadrao)</f>
        <v>0.40909090909090901</v>
      </c>
      <c r="M2021" s="12">
        <f>tItens[[#This Row],[Valor]]*(1-tItens[[#This Row],[Desconto]])</f>
        <v>165.4545454545455</v>
      </c>
      <c r="N2021" t="str">
        <f>IFERROR(INDEX(tProdutos[Foco],MATCH(tItens[[#This Row],[Produto]],tProdutos[Produto],0)),"Não")</f>
        <v>Não</v>
      </c>
      <c r="O2021" t="str">
        <f>IFERROR(INDEX(tEditais[SRP],MATCH(tItens[[#This Row],[Edital]],tEditais[Edital],0)),"Não")</f>
        <v>Sim</v>
      </c>
      <c r="P2021" s="4">
        <f>IF(COUNTIFS(INDEX(tItens[Edital],1):tItens[[#This Row],[Edital]],tItens[[#This Row],[Edital]],INDEX(tItens[Produto],1):tItens[[#This Row],[Produto]],tItens[[#This Row],[Produto]])=1,1,0)</f>
        <v>0</v>
      </c>
    </row>
    <row r="2022" spans="1:16" x14ac:dyDescent="0.25">
      <c r="A2022" t="s">
        <v>1197</v>
      </c>
      <c r="B2022">
        <v>137</v>
      </c>
      <c r="C2022" t="s">
        <v>5063</v>
      </c>
      <c r="D2022" t="s">
        <v>120</v>
      </c>
      <c r="E2022" s="13">
        <v>60</v>
      </c>
      <c r="F2022" s="12">
        <v>0.71</v>
      </c>
      <c r="G2022" t="str">
        <f>IFERROR(INDEX(tEditais[Órgão],MATCH(tItens[[#This Row],[Edital]],tEditais[Edital],0)),"")</f>
        <v>MUNICIPIO DE RIO VERDE</v>
      </c>
      <c r="H2022" t="str">
        <f>IFERROR(INDEX(tEditais[UF],MATCH(tItens[[#This Row],[Edital]],tEditais[Edital],0)),"")</f>
        <v>GO</v>
      </c>
      <c r="I2022" s="11">
        <f>IFERROR(INDEX(tEditais[Encerramento],MATCH(tItens[[#This Row],[Edital]],tEditais[Edital],0)),"")</f>
        <v>46310.374305555553</v>
      </c>
      <c r="J2022" t="str">
        <f>IFERROR(INDEX(tProdutos[Classe],MATCH(tItens[[#This Row],[Produto]],tProdutos[Produto],0)),"produto não cadastrado")</f>
        <v>DISPUTADO</v>
      </c>
      <c r="K2022" s="12">
        <f>tItens[[#This Row],[Qtd]]*tItens[[#This Row],[Vlr unit]]</f>
        <v>42.599999999999994</v>
      </c>
      <c r="L2022" s="6">
        <f>IFERROR(IF(INDEX(tProdutos[Desconto homologado],MATCH(tItens[[#This Row],[Produto]],tProdutos[Produto],0))="",DescontoPadrao,INDEX(tProdutos[Desconto homologado],MATCH(tItens[[#This Row],[Produto]],tProdutos[Produto],0))),DescontoPadrao)</f>
        <v>0.40909090909090901</v>
      </c>
      <c r="M2022" s="12">
        <f>tItens[[#This Row],[Valor]]*(1-tItens[[#This Row],[Desconto]])</f>
        <v>25.172727272727276</v>
      </c>
      <c r="N2022" t="str">
        <f>IFERROR(INDEX(tProdutos[Foco],MATCH(tItens[[#This Row],[Produto]],tProdutos[Produto],0)),"Não")</f>
        <v>Não</v>
      </c>
      <c r="O2022" t="str">
        <f>IFERROR(INDEX(tEditais[SRP],MATCH(tItens[[#This Row],[Edital]],tEditais[Edital],0)),"Não")</f>
        <v>Sim</v>
      </c>
      <c r="P2022" s="4">
        <f>IF(COUNTIFS(INDEX(tItens[Edital],1):tItens[[#This Row],[Edital]],tItens[[#This Row],[Edital]],INDEX(tItens[Produto],1):tItens[[#This Row],[Produto]],tItens[[#This Row],[Produto]])=1,1,0)</f>
        <v>0</v>
      </c>
    </row>
    <row r="2023" spans="1:16" x14ac:dyDescent="0.25">
      <c r="A2023" t="s">
        <v>1197</v>
      </c>
      <c r="B2023">
        <v>141</v>
      </c>
      <c r="C2023" t="s">
        <v>5064</v>
      </c>
      <c r="D2023" t="s">
        <v>114</v>
      </c>
      <c r="E2023" s="13">
        <v>620000</v>
      </c>
      <c r="F2023" s="12">
        <v>7.0000000000000007E-2</v>
      </c>
      <c r="G2023" t="str">
        <f>IFERROR(INDEX(tEditais[Órgão],MATCH(tItens[[#This Row],[Edital]],tEditais[Edital],0)),"")</f>
        <v>MUNICIPIO DE RIO VERDE</v>
      </c>
      <c r="H2023" t="str">
        <f>IFERROR(INDEX(tEditais[UF],MATCH(tItens[[#This Row],[Edital]],tEditais[Edital],0)),"")</f>
        <v>GO</v>
      </c>
      <c r="I2023" s="11">
        <f>IFERROR(INDEX(tEditais[Encerramento],MATCH(tItens[[#This Row],[Edital]],tEditais[Edital],0)),"")</f>
        <v>46310.374305555553</v>
      </c>
      <c r="J2023" t="str">
        <f>IFERROR(INDEX(tProdutos[Classe],MATCH(tItens[[#This Row],[Produto]],tProdutos[Produto],0)),"produto não cadastrado")</f>
        <v>DISPUTADO</v>
      </c>
      <c r="K2023" s="12">
        <f>tItens[[#This Row],[Qtd]]*tItens[[#This Row],[Vlr unit]]</f>
        <v>43400.000000000007</v>
      </c>
      <c r="L2023" s="6">
        <f>IFERROR(IF(INDEX(tProdutos[Desconto homologado],MATCH(tItens[[#This Row],[Produto]],tProdutos[Produto],0))="",DescontoPadrao,INDEX(tProdutos[Desconto homologado],MATCH(tItens[[#This Row],[Produto]],tProdutos[Produto],0))),DescontoPadrao)</f>
        <v>0.24332656063896899</v>
      </c>
      <c r="M2023" s="12">
        <f>tItens[[#This Row],[Valor]]*(1-tItens[[#This Row],[Desconto]])</f>
        <v>32839.627268268756</v>
      </c>
      <c r="N2023" t="str">
        <f>IFERROR(INDEX(tProdutos[Foco],MATCH(tItens[[#This Row],[Produto]],tProdutos[Produto],0)),"Não")</f>
        <v>Não</v>
      </c>
      <c r="O2023" t="str">
        <f>IFERROR(INDEX(tEditais[SRP],MATCH(tItens[[#This Row],[Edital]],tEditais[Edital],0)),"Não")</f>
        <v>Sim</v>
      </c>
      <c r="P2023" s="4">
        <f>IF(COUNTIFS(INDEX(tItens[Edital],1):tItens[[#This Row],[Edital]],tItens[[#This Row],[Edital]],INDEX(tItens[Produto],1):tItens[[#This Row],[Produto]],tItens[[#This Row],[Produto]])=1,1,0)</f>
        <v>1</v>
      </c>
    </row>
    <row r="2024" spans="1:16" x14ac:dyDescent="0.25">
      <c r="A2024" t="s">
        <v>1197</v>
      </c>
      <c r="B2024">
        <v>148</v>
      </c>
      <c r="C2024" t="s">
        <v>5065</v>
      </c>
      <c r="D2024" t="s">
        <v>405</v>
      </c>
      <c r="E2024" s="13">
        <v>1440</v>
      </c>
      <c r="F2024" s="12">
        <v>16</v>
      </c>
      <c r="G2024" t="str">
        <f>IFERROR(INDEX(tEditais[Órgão],MATCH(tItens[[#This Row],[Edital]],tEditais[Edital],0)),"")</f>
        <v>MUNICIPIO DE RIO VERDE</v>
      </c>
      <c r="H2024" t="str">
        <f>IFERROR(INDEX(tEditais[UF],MATCH(tItens[[#This Row],[Edital]],tEditais[Edital],0)),"")</f>
        <v>GO</v>
      </c>
      <c r="I2024" s="11">
        <f>IFERROR(INDEX(tEditais[Encerramento],MATCH(tItens[[#This Row],[Edital]],tEditais[Edital],0)),"")</f>
        <v>46310.374305555553</v>
      </c>
      <c r="J2024" t="str">
        <f>IFERROR(INDEX(tProdutos[Classe],MATCH(tItens[[#This Row],[Produto]],tProdutos[Produto],0)),"produto não cadastrado")</f>
        <v>FORA</v>
      </c>
      <c r="K2024" s="12">
        <f>tItens[[#This Row],[Qtd]]*tItens[[#This Row],[Vlr unit]]</f>
        <v>23040</v>
      </c>
      <c r="L2024" s="6">
        <f>IFERROR(IF(INDEX(tProdutos[Desconto homologado],MATCH(tItens[[#This Row],[Produto]],tProdutos[Produto],0))="",DescontoPadrao,INDEX(tProdutos[Desconto homologado],MATCH(tItens[[#This Row],[Produto]],tProdutos[Produto],0))),DescontoPadrao)</f>
        <v>0.43839061190276601</v>
      </c>
      <c r="M2024" s="12">
        <f>tItens[[#This Row],[Valor]]*(1-tItens[[#This Row],[Desconto]])</f>
        <v>12939.48030176027</v>
      </c>
      <c r="N2024" t="str">
        <f>IFERROR(INDEX(tProdutos[Foco],MATCH(tItens[[#This Row],[Produto]],tProdutos[Produto],0)),"Não")</f>
        <v>Não</v>
      </c>
      <c r="O2024" t="str">
        <f>IFERROR(INDEX(tEditais[SRP],MATCH(tItens[[#This Row],[Edital]],tEditais[Edital],0)),"Não")</f>
        <v>Sim</v>
      </c>
      <c r="P2024" s="4">
        <f>IF(COUNTIFS(INDEX(tItens[Edital],1):tItens[[#This Row],[Edital]],tItens[[#This Row],[Edital]],INDEX(tItens[Produto],1):tItens[[#This Row],[Produto]],tItens[[#This Row],[Produto]])=1,1,0)</f>
        <v>1</v>
      </c>
    </row>
    <row r="2025" spans="1:16" x14ac:dyDescent="0.25">
      <c r="A2025" t="s">
        <v>1201</v>
      </c>
      <c r="B2025">
        <v>41</v>
      </c>
      <c r="C2025" t="s">
        <v>5066</v>
      </c>
      <c r="D2025" t="s">
        <v>311</v>
      </c>
      <c r="E2025" s="13">
        <v>15</v>
      </c>
      <c r="F2025" s="12">
        <v>21.1</v>
      </c>
      <c r="G2025" t="str">
        <f>IFERROR(INDEX(tEditais[Órgão],MATCH(tItens[[#This Row],[Edital]],tEditais[Edital],0)),"")</f>
        <v>ESTADO DE GOIAS</v>
      </c>
      <c r="H2025" t="str">
        <f>IFERROR(INDEX(tEditais[UF],MATCH(tItens[[#This Row],[Edital]],tEditais[Edital],0)),"")</f>
        <v>GO</v>
      </c>
      <c r="I2025" s="11">
        <f>IFERROR(INDEX(tEditais[Encerramento],MATCH(tItens[[#This Row],[Edital]],tEditais[Edital],0)),"")</f>
        <v>46310.416666666664</v>
      </c>
      <c r="J2025" t="str">
        <f>IFERROR(INDEX(tProdutos[Classe],MATCH(tItens[[#This Row],[Produto]],tProdutos[Produto],0)),"produto não cadastrado")</f>
        <v>FORA</v>
      </c>
      <c r="K2025" s="12">
        <f>tItens[[#This Row],[Qtd]]*tItens[[#This Row],[Vlr unit]]</f>
        <v>316.5</v>
      </c>
      <c r="L2025" s="6">
        <f>IFERROR(IF(INDEX(tProdutos[Desconto homologado],MATCH(tItens[[#This Row],[Produto]],tProdutos[Produto],0))="",DescontoPadrao,INDEX(tProdutos[Desconto homologado],MATCH(tItens[[#This Row],[Produto]],tProdutos[Produto],0))),DescontoPadrao)</f>
        <v>0.29046182846371399</v>
      </c>
      <c r="M2025" s="12">
        <f>tItens[[#This Row],[Valor]]*(1-tItens[[#This Row],[Desconto]])</f>
        <v>224.56883129123455</v>
      </c>
      <c r="N2025" t="str">
        <f>IFERROR(INDEX(tProdutos[Foco],MATCH(tItens[[#This Row],[Produto]],tProdutos[Produto],0)),"Não")</f>
        <v>Não</v>
      </c>
      <c r="O2025" t="str">
        <f>IFERROR(INDEX(tEditais[SRP],MATCH(tItens[[#This Row],[Edital]],tEditais[Edital],0)),"Não")</f>
        <v>Não</v>
      </c>
      <c r="P2025" s="4">
        <f>IF(COUNTIFS(INDEX(tItens[Edital],1):tItens[[#This Row],[Edital]],tItens[[#This Row],[Edital]],INDEX(tItens[Produto],1):tItens[[#This Row],[Produto]],tItens[[#This Row],[Produto]])=1,1,0)</f>
        <v>1</v>
      </c>
    </row>
    <row r="2026" spans="1:16" x14ac:dyDescent="0.25">
      <c r="A2026" t="s">
        <v>1201</v>
      </c>
      <c r="B2026">
        <v>42</v>
      </c>
      <c r="C2026" t="s">
        <v>5067</v>
      </c>
      <c r="D2026" t="s">
        <v>641</v>
      </c>
      <c r="E2026" s="13">
        <v>6</v>
      </c>
      <c r="F2026" s="12">
        <v>52.18</v>
      </c>
      <c r="G2026" t="str">
        <f>IFERROR(INDEX(tEditais[Órgão],MATCH(tItens[[#This Row],[Edital]],tEditais[Edital],0)),"")</f>
        <v>ESTADO DE GOIAS</v>
      </c>
      <c r="H2026" t="str">
        <f>IFERROR(INDEX(tEditais[UF],MATCH(tItens[[#This Row],[Edital]],tEditais[Edital],0)),"")</f>
        <v>GO</v>
      </c>
      <c r="I2026" s="11">
        <f>IFERROR(INDEX(tEditais[Encerramento],MATCH(tItens[[#This Row],[Edital]],tEditais[Edital],0)),"")</f>
        <v>46310.416666666664</v>
      </c>
      <c r="J2026" t="str">
        <f>IFERROR(INDEX(tProdutos[Classe],MATCH(tItens[[#This Row],[Produto]],tProdutos[Produto],0)),"produto não cadastrado")</f>
        <v>FILA REBASE</v>
      </c>
      <c r="K2026" s="12">
        <f>tItens[[#This Row],[Qtd]]*tItens[[#This Row],[Vlr unit]]</f>
        <v>313.08</v>
      </c>
      <c r="L2026" s="6">
        <f>IFERROR(IF(INDEX(tProdutos[Desconto homologado],MATCH(tItens[[#This Row],[Produto]],tProdutos[Produto],0))="",DescontoPadrao,INDEX(tProdutos[Desconto homologado],MATCH(tItens[[#This Row],[Produto]],tProdutos[Produto],0))),DescontoPadrao)</f>
        <v>0.3</v>
      </c>
      <c r="M2026" s="12">
        <f>tItens[[#This Row],[Valor]]*(1-tItens[[#This Row],[Desconto]])</f>
        <v>219.15599999999998</v>
      </c>
      <c r="N2026" t="str">
        <f>IFERROR(INDEX(tProdutos[Foco],MATCH(tItens[[#This Row],[Produto]],tProdutos[Produto],0)),"Não")</f>
        <v>Não</v>
      </c>
      <c r="O2026" t="str">
        <f>IFERROR(INDEX(tEditais[SRP],MATCH(tItens[[#This Row],[Edital]],tEditais[Edital],0)),"Não")</f>
        <v>Não</v>
      </c>
      <c r="P2026" s="4">
        <f>IF(COUNTIFS(INDEX(tItens[Edital],1):tItens[[#This Row],[Edital]],tItens[[#This Row],[Edital]],INDEX(tItens[Produto],1):tItens[[#This Row],[Produto]],tItens[[#This Row],[Produto]])=1,1,0)</f>
        <v>1</v>
      </c>
    </row>
    <row r="2027" spans="1:16" x14ac:dyDescent="0.25">
      <c r="A2027" t="s">
        <v>1201</v>
      </c>
      <c r="B2027">
        <v>43</v>
      </c>
      <c r="C2027" t="s">
        <v>5068</v>
      </c>
      <c r="D2027" t="s">
        <v>279</v>
      </c>
      <c r="E2027" s="13">
        <v>8</v>
      </c>
      <c r="F2027" s="12">
        <v>150.66999999999999</v>
      </c>
      <c r="G2027" t="str">
        <f>IFERROR(INDEX(tEditais[Órgão],MATCH(tItens[[#This Row],[Edital]],tEditais[Edital],0)),"")</f>
        <v>ESTADO DE GOIAS</v>
      </c>
      <c r="H2027" t="str">
        <f>IFERROR(INDEX(tEditais[UF],MATCH(tItens[[#This Row],[Edital]],tEditais[Edital],0)),"")</f>
        <v>GO</v>
      </c>
      <c r="I2027" s="11">
        <f>IFERROR(INDEX(tEditais[Encerramento],MATCH(tItens[[#This Row],[Edital]],tEditais[Edital],0)),"")</f>
        <v>46310.416666666664</v>
      </c>
      <c r="J2027" t="str">
        <f>IFERROR(INDEX(tProdutos[Classe],MATCH(tItens[[#This Row],[Produto]],tProdutos[Produto],0)),"produto não cadastrado")</f>
        <v>FORA</v>
      </c>
      <c r="K2027" s="12">
        <f>tItens[[#This Row],[Qtd]]*tItens[[#This Row],[Vlr unit]]</f>
        <v>1205.3599999999999</v>
      </c>
      <c r="L2027" s="6">
        <f>IFERROR(IF(INDEX(tProdutos[Desconto homologado],MATCH(tItens[[#This Row],[Produto]],tProdutos[Produto],0))="",DescontoPadrao,INDEX(tProdutos[Desconto homologado],MATCH(tItens[[#This Row],[Produto]],tProdutos[Produto],0))),DescontoPadrao)</f>
        <v>0.28909090909090901</v>
      </c>
      <c r="M2027" s="12">
        <f>tItens[[#This Row],[Valor]]*(1-tItens[[#This Row],[Desconto]])</f>
        <v>856.90138181818179</v>
      </c>
      <c r="N2027" t="str">
        <f>IFERROR(INDEX(tProdutos[Foco],MATCH(tItens[[#This Row],[Produto]],tProdutos[Produto],0)),"Não")</f>
        <v>Não</v>
      </c>
      <c r="O2027" t="str">
        <f>IFERROR(INDEX(tEditais[SRP],MATCH(tItens[[#This Row],[Edital]],tEditais[Edital],0)),"Não")</f>
        <v>Não</v>
      </c>
      <c r="P2027" s="4">
        <f>IF(COUNTIFS(INDEX(tItens[Edital],1):tItens[[#This Row],[Edital]],tItens[[#This Row],[Edital]],INDEX(tItens[Produto],1):tItens[[#This Row],[Produto]],tItens[[#This Row],[Produto]])=1,1,0)</f>
        <v>1</v>
      </c>
    </row>
    <row r="2028" spans="1:16" x14ac:dyDescent="0.25">
      <c r="A2028" t="s">
        <v>1201</v>
      </c>
      <c r="B2028">
        <v>44</v>
      </c>
      <c r="C2028" t="s">
        <v>5069</v>
      </c>
      <c r="D2028" t="s">
        <v>279</v>
      </c>
      <c r="E2028" s="13">
        <v>2</v>
      </c>
      <c r="F2028" s="12">
        <v>212.88</v>
      </c>
      <c r="G2028" t="str">
        <f>IFERROR(INDEX(tEditais[Órgão],MATCH(tItens[[#This Row],[Edital]],tEditais[Edital],0)),"")</f>
        <v>ESTADO DE GOIAS</v>
      </c>
      <c r="H2028" t="str">
        <f>IFERROR(INDEX(tEditais[UF],MATCH(tItens[[#This Row],[Edital]],tEditais[Edital],0)),"")</f>
        <v>GO</v>
      </c>
      <c r="I2028" s="11">
        <f>IFERROR(INDEX(tEditais[Encerramento],MATCH(tItens[[#This Row],[Edital]],tEditais[Edital],0)),"")</f>
        <v>46310.416666666664</v>
      </c>
      <c r="J2028" t="str">
        <f>IFERROR(INDEX(tProdutos[Classe],MATCH(tItens[[#This Row],[Produto]],tProdutos[Produto],0)),"produto não cadastrado")</f>
        <v>FORA</v>
      </c>
      <c r="K2028" s="12">
        <f>tItens[[#This Row],[Qtd]]*tItens[[#This Row],[Vlr unit]]</f>
        <v>425.76</v>
      </c>
      <c r="L2028" s="6">
        <f>IFERROR(IF(INDEX(tProdutos[Desconto homologado],MATCH(tItens[[#This Row],[Produto]],tProdutos[Produto],0))="",DescontoPadrao,INDEX(tProdutos[Desconto homologado],MATCH(tItens[[#This Row],[Produto]],tProdutos[Produto],0))),DescontoPadrao)</f>
        <v>0.28909090909090901</v>
      </c>
      <c r="M2028" s="12">
        <f>tItens[[#This Row],[Valor]]*(1-tItens[[#This Row],[Desconto]])</f>
        <v>302.67665454545454</v>
      </c>
      <c r="N2028" t="str">
        <f>IFERROR(INDEX(tProdutos[Foco],MATCH(tItens[[#This Row],[Produto]],tProdutos[Produto],0)),"Não")</f>
        <v>Não</v>
      </c>
      <c r="O2028" t="str">
        <f>IFERROR(INDEX(tEditais[SRP],MATCH(tItens[[#This Row],[Edital]],tEditais[Edital],0)),"Não")</f>
        <v>Não</v>
      </c>
      <c r="P2028" s="4">
        <f>IF(COUNTIFS(INDEX(tItens[Edital],1):tItens[[#This Row],[Edital]],tItens[[#This Row],[Edital]],INDEX(tItens[Produto],1):tItens[[#This Row],[Produto]],tItens[[#This Row],[Produto]])=1,1,0)</f>
        <v>0</v>
      </c>
    </row>
    <row r="2029" spans="1:16" x14ac:dyDescent="0.25">
      <c r="A2029" t="s">
        <v>1201</v>
      </c>
      <c r="B2029">
        <v>56</v>
      </c>
      <c r="C2029" t="s">
        <v>5070</v>
      </c>
      <c r="D2029" t="s">
        <v>569</v>
      </c>
      <c r="E2029" s="13">
        <v>30</v>
      </c>
      <c r="F2029" s="12">
        <v>13.47</v>
      </c>
      <c r="G2029" t="str">
        <f>IFERROR(INDEX(tEditais[Órgão],MATCH(tItens[[#This Row],[Edital]],tEditais[Edital],0)),"")</f>
        <v>ESTADO DE GOIAS</v>
      </c>
      <c r="H2029" t="str">
        <f>IFERROR(INDEX(tEditais[UF],MATCH(tItens[[#This Row],[Edital]],tEditais[Edital],0)),"")</f>
        <v>GO</v>
      </c>
      <c r="I2029" s="11">
        <f>IFERROR(INDEX(tEditais[Encerramento],MATCH(tItens[[#This Row],[Edital]],tEditais[Edital],0)),"")</f>
        <v>46310.416666666664</v>
      </c>
      <c r="J2029" t="str">
        <f>IFERROR(INDEX(tProdutos[Classe],MATCH(tItens[[#This Row],[Produto]],tProdutos[Produto],0)),"produto não cadastrado")</f>
        <v>FILA REBASE</v>
      </c>
      <c r="K2029" s="12">
        <f>tItens[[#This Row],[Qtd]]*tItens[[#This Row],[Vlr unit]]</f>
        <v>404.1</v>
      </c>
      <c r="L2029" s="6">
        <f>IFERROR(IF(INDEX(tProdutos[Desconto homologado],MATCH(tItens[[#This Row],[Produto]],tProdutos[Produto],0))="",DescontoPadrao,INDEX(tProdutos[Desconto homologado],MATCH(tItens[[#This Row],[Produto]],tProdutos[Produto],0))),DescontoPadrao)</f>
        <v>0.3</v>
      </c>
      <c r="M2029" s="12">
        <f>tItens[[#This Row],[Valor]]*(1-tItens[[#This Row],[Desconto]])</f>
        <v>282.87</v>
      </c>
      <c r="N2029" t="str">
        <f>IFERROR(INDEX(tProdutos[Foco],MATCH(tItens[[#This Row],[Produto]],tProdutos[Produto],0)),"Não")</f>
        <v>Não</v>
      </c>
      <c r="O2029" t="str">
        <f>IFERROR(INDEX(tEditais[SRP],MATCH(tItens[[#This Row],[Edital]],tEditais[Edital],0)),"Não")</f>
        <v>Não</v>
      </c>
      <c r="P2029" s="4">
        <f>IF(COUNTIFS(INDEX(tItens[Edital],1):tItens[[#This Row],[Edital]],tItens[[#This Row],[Edital]],INDEX(tItens[Produto],1):tItens[[#This Row],[Produto]],tItens[[#This Row],[Produto]])=1,1,0)</f>
        <v>1</v>
      </c>
    </row>
    <row r="2030" spans="1:16" x14ac:dyDescent="0.25">
      <c r="A2030" t="s">
        <v>1201</v>
      </c>
      <c r="B2030">
        <v>57</v>
      </c>
      <c r="C2030" t="s">
        <v>5071</v>
      </c>
      <c r="D2030" t="s">
        <v>569</v>
      </c>
      <c r="E2030" s="13">
        <v>10</v>
      </c>
      <c r="F2030" s="12">
        <v>14.14</v>
      </c>
      <c r="G2030" t="str">
        <f>IFERROR(INDEX(tEditais[Órgão],MATCH(tItens[[#This Row],[Edital]],tEditais[Edital],0)),"")</f>
        <v>ESTADO DE GOIAS</v>
      </c>
      <c r="H2030" t="str">
        <f>IFERROR(INDEX(tEditais[UF],MATCH(tItens[[#This Row],[Edital]],tEditais[Edital],0)),"")</f>
        <v>GO</v>
      </c>
      <c r="I2030" s="11">
        <f>IFERROR(INDEX(tEditais[Encerramento],MATCH(tItens[[#This Row],[Edital]],tEditais[Edital],0)),"")</f>
        <v>46310.416666666664</v>
      </c>
      <c r="J2030" t="str">
        <f>IFERROR(INDEX(tProdutos[Classe],MATCH(tItens[[#This Row],[Produto]],tProdutos[Produto],0)),"produto não cadastrado")</f>
        <v>FILA REBASE</v>
      </c>
      <c r="K2030" s="12">
        <f>tItens[[#This Row],[Qtd]]*tItens[[#This Row],[Vlr unit]]</f>
        <v>141.4</v>
      </c>
      <c r="L2030" s="6">
        <f>IFERROR(IF(INDEX(tProdutos[Desconto homologado],MATCH(tItens[[#This Row],[Produto]],tProdutos[Produto],0))="",DescontoPadrao,INDEX(tProdutos[Desconto homologado],MATCH(tItens[[#This Row],[Produto]],tProdutos[Produto],0))),DescontoPadrao)</f>
        <v>0.3</v>
      </c>
      <c r="M2030" s="12">
        <f>tItens[[#This Row],[Valor]]*(1-tItens[[#This Row],[Desconto]])</f>
        <v>98.98</v>
      </c>
      <c r="N2030" t="str">
        <f>IFERROR(INDEX(tProdutos[Foco],MATCH(tItens[[#This Row],[Produto]],tProdutos[Produto],0)),"Não")</f>
        <v>Não</v>
      </c>
      <c r="O2030" t="str">
        <f>IFERROR(INDEX(tEditais[SRP],MATCH(tItens[[#This Row],[Edital]],tEditais[Edital],0)),"Não")</f>
        <v>Não</v>
      </c>
      <c r="P2030" s="4">
        <f>IF(COUNTIFS(INDEX(tItens[Edital],1):tItens[[#This Row],[Edital]],tItens[[#This Row],[Edital]],INDEX(tItens[Produto],1):tItens[[#This Row],[Produto]],tItens[[#This Row],[Produto]])=1,1,0)</f>
        <v>0</v>
      </c>
    </row>
    <row r="2031" spans="1:16" x14ac:dyDescent="0.25">
      <c r="A2031" t="s">
        <v>1205</v>
      </c>
      <c r="B2031">
        <v>50</v>
      </c>
      <c r="C2031" t="s">
        <v>5072</v>
      </c>
      <c r="D2031" t="s">
        <v>351</v>
      </c>
      <c r="E2031" s="13">
        <v>400</v>
      </c>
      <c r="F2031" s="12">
        <v>6.19</v>
      </c>
      <c r="G2031" t="str">
        <f>IFERROR(INDEX(tEditais[Órgão],MATCH(tItens[[#This Row],[Edital]],tEditais[Edital],0)),"")</f>
        <v>FUNDO MUNICIPAL DE SAUDE - FMS</v>
      </c>
      <c r="H2031" t="str">
        <f>IFERROR(INDEX(tEditais[UF],MATCH(tItens[[#This Row],[Edital]],tEditais[Edital],0)),"")</f>
        <v>GO</v>
      </c>
      <c r="I2031" s="11">
        <f>IFERROR(INDEX(tEditais[Encerramento],MATCH(tItens[[#This Row],[Edital]],tEditais[Edital],0)),"")</f>
        <v>46311.319444444445</v>
      </c>
      <c r="J2031" t="str">
        <f>IFERROR(INDEX(tProdutos[Classe],MATCH(tItens[[#This Row],[Produto]],tProdutos[Produto],0)),"produto não cadastrado")</f>
        <v>FORA</v>
      </c>
      <c r="K2031" s="12">
        <f>tItens[[#This Row],[Qtd]]*tItens[[#This Row],[Vlr unit]]</f>
        <v>2476</v>
      </c>
      <c r="L2031" s="6">
        <f>IFERROR(IF(INDEX(tProdutos[Desconto homologado],MATCH(tItens[[#This Row],[Produto]],tProdutos[Produto],0))="",DescontoPadrao,INDEX(tProdutos[Desconto homologado],MATCH(tItens[[#This Row],[Produto]],tProdutos[Produto],0))),DescontoPadrao)</f>
        <v>0.33518005540166201</v>
      </c>
      <c r="M2031" s="12">
        <f>tItens[[#This Row],[Valor]]*(1-tItens[[#This Row],[Desconto]])</f>
        <v>1646.0941828254849</v>
      </c>
      <c r="N2031" t="str">
        <f>IFERROR(INDEX(tProdutos[Foco],MATCH(tItens[[#This Row],[Produto]],tProdutos[Produto],0)),"Não")</f>
        <v>Não</v>
      </c>
      <c r="O2031" t="str">
        <f>IFERROR(INDEX(tEditais[SRP],MATCH(tItens[[#This Row],[Edital]],tEditais[Edital],0)),"Não")</f>
        <v>Sim</v>
      </c>
      <c r="P2031" s="4">
        <f>IF(COUNTIFS(INDEX(tItens[Edital],1):tItens[[#This Row],[Edital]],tItens[[#This Row],[Edital]],INDEX(tItens[Produto],1):tItens[[#This Row],[Produto]],tItens[[#This Row],[Produto]])=1,1,0)</f>
        <v>1</v>
      </c>
    </row>
    <row r="2032" spans="1:16" x14ac:dyDescent="0.25">
      <c r="A2032" t="s">
        <v>1205</v>
      </c>
      <c r="B2032">
        <v>51</v>
      </c>
      <c r="C2032" t="s">
        <v>5073</v>
      </c>
      <c r="D2032" t="s">
        <v>351</v>
      </c>
      <c r="E2032" s="13">
        <v>400</v>
      </c>
      <c r="F2032" s="12">
        <v>6.88</v>
      </c>
      <c r="G2032" t="str">
        <f>IFERROR(INDEX(tEditais[Órgão],MATCH(tItens[[#This Row],[Edital]],tEditais[Edital],0)),"")</f>
        <v>FUNDO MUNICIPAL DE SAUDE - FMS</v>
      </c>
      <c r="H2032" t="str">
        <f>IFERROR(INDEX(tEditais[UF],MATCH(tItens[[#This Row],[Edital]],tEditais[Edital],0)),"")</f>
        <v>GO</v>
      </c>
      <c r="I2032" s="11">
        <f>IFERROR(INDEX(tEditais[Encerramento],MATCH(tItens[[#This Row],[Edital]],tEditais[Edital],0)),"")</f>
        <v>46311.319444444445</v>
      </c>
      <c r="J2032" t="str">
        <f>IFERROR(INDEX(tProdutos[Classe],MATCH(tItens[[#This Row],[Produto]],tProdutos[Produto],0)),"produto não cadastrado")</f>
        <v>FORA</v>
      </c>
      <c r="K2032" s="12">
        <f>tItens[[#This Row],[Qtd]]*tItens[[#This Row],[Vlr unit]]</f>
        <v>2752</v>
      </c>
      <c r="L2032" s="6">
        <f>IFERROR(IF(INDEX(tProdutos[Desconto homologado],MATCH(tItens[[#This Row],[Produto]],tProdutos[Produto],0))="",DescontoPadrao,INDEX(tProdutos[Desconto homologado],MATCH(tItens[[#This Row],[Produto]],tProdutos[Produto],0))),DescontoPadrao)</f>
        <v>0.33518005540166201</v>
      </c>
      <c r="M2032" s="12">
        <f>tItens[[#This Row],[Valor]]*(1-tItens[[#This Row],[Desconto]])</f>
        <v>1829.5844875346263</v>
      </c>
      <c r="N2032" t="str">
        <f>IFERROR(INDEX(tProdutos[Foco],MATCH(tItens[[#This Row],[Produto]],tProdutos[Produto],0)),"Não")</f>
        <v>Não</v>
      </c>
      <c r="O2032" t="str">
        <f>IFERROR(INDEX(tEditais[SRP],MATCH(tItens[[#This Row],[Edital]],tEditais[Edital],0)),"Não")</f>
        <v>Sim</v>
      </c>
      <c r="P2032" s="4">
        <f>IF(COUNTIFS(INDEX(tItens[Edital],1):tItens[[#This Row],[Edital]],tItens[[#This Row],[Edital]],INDEX(tItens[Produto],1):tItens[[#This Row],[Produto]],tItens[[#This Row],[Produto]])=1,1,0)</f>
        <v>0</v>
      </c>
    </row>
    <row r="2033" spans="1:16" x14ac:dyDescent="0.25">
      <c r="A2033" t="s">
        <v>1205</v>
      </c>
      <c r="B2033">
        <v>52</v>
      </c>
      <c r="C2033" t="s">
        <v>5074</v>
      </c>
      <c r="D2033" t="s">
        <v>351</v>
      </c>
      <c r="E2033" s="13">
        <v>300</v>
      </c>
      <c r="F2033" s="12">
        <v>12.3</v>
      </c>
      <c r="G2033" t="str">
        <f>IFERROR(INDEX(tEditais[Órgão],MATCH(tItens[[#This Row],[Edital]],tEditais[Edital],0)),"")</f>
        <v>FUNDO MUNICIPAL DE SAUDE - FMS</v>
      </c>
      <c r="H2033" t="str">
        <f>IFERROR(INDEX(tEditais[UF],MATCH(tItens[[#This Row],[Edital]],tEditais[Edital],0)),"")</f>
        <v>GO</v>
      </c>
      <c r="I2033" s="11">
        <f>IFERROR(INDEX(tEditais[Encerramento],MATCH(tItens[[#This Row],[Edital]],tEditais[Edital],0)),"")</f>
        <v>46311.319444444445</v>
      </c>
      <c r="J2033" t="str">
        <f>IFERROR(INDEX(tProdutos[Classe],MATCH(tItens[[#This Row],[Produto]],tProdutos[Produto],0)),"produto não cadastrado")</f>
        <v>FORA</v>
      </c>
      <c r="K2033" s="12">
        <f>tItens[[#This Row],[Qtd]]*tItens[[#This Row],[Vlr unit]]</f>
        <v>3690</v>
      </c>
      <c r="L2033" s="6">
        <f>IFERROR(IF(INDEX(tProdutos[Desconto homologado],MATCH(tItens[[#This Row],[Produto]],tProdutos[Produto],0))="",DescontoPadrao,INDEX(tProdutos[Desconto homologado],MATCH(tItens[[#This Row],[Produto]],tProdutos[Produto],0))),DescontoPadrao)</f>
        <v>0.33518005540166201</v>
      </c>
      <c r="M2033" s="12">
        <f>tItens[[#This Row],[Valor]]*(1-tItens[[#This Row],[Desconto]])</f>
        <v>2453.1855955678675</v>
      </c>
      <c r="N2033" t="str">
        <f>IFERROR(INDEX(tProdutos[Foco],MATCH(tItens[[#This Row],[Produto]],tProdutos[Produto],0)),"Não")</f>
        <v>Não</v>
      </c>
      <c r="O2033" t="str">
        <f>IFERROR(INDEX(tEditais[SRP],MATCH(tItens[[#This Row],[Edital]],tEditais[Edital],0)),"Não")</f>
        <v>Sim</v>
      </c>
      <c r="P2033" s="4">
        <f>IF(COUNTIFS(INDEX(tItens[Edital],1):tItens[[#This Row],[Edital]],tItens[[#This Row],[Edital]],INDEX(tItens[Produto],1):tItens[[#This Row],[Produto]],tItens[[#This Row],[Produto]])=1,1,0)</f>
        <v>0</v>
      </c>
    </row>
    <row r="2034" spans="1:16" x14ac:dyDescent="0.25">
      <c r="A2034" t="s">
        <v>1205</v>
      </c>
      <c r="B2034">
        <v>59</v>
      </c>
      <c r="C2034" t="s">
        <v>5075</v>
      </c>
      <c r="D2034" t="s">
        <v>494</v>
      </c>
      <c r="E2034" s="13">
        <v>20</v>
      </c>
      <c r="F2034" s="12">
        <v>42.19</v>
      </c>
      <c r="G2034" t="str">
        <f>IFERROR(INDEX(tEditais[Órgão],MATCH(tItens[[#This Row],[Edital]],tEditais[Edital],0)),"")</f>
        <v>FUNDO MUNICIPAL DE SAUDE - FMS</v>
      </c>
      <c r="H2034" t="str">
        <f>IFERROR(INDEX(tEditais[UF],MATCH(tItens[[#This Row],[Edital]],tEditais[Edital],0)),"")</f>
        <v>GO</v>
      </c>
      <c r="I2034" s="11">
        <f>IFERROR(INDEX(tEditais[Encerramento],MATCH(tItens[[#This Row],[Edital]],tEditais[Edital],0)),"")</f>
        <v>46311.319444444445</v>
      </c>
      <c r="J2034" t="str">
        <f>IFERROR(INDEX(tProdutos[Classe],MATCH(tItens[[#This Row],[Produto]],tProdutos[Produto],0)),"produto não cadastrado")</f>
        <v>FILA REBASE</v>
      </c>
      <c r="K2034" s="12">
        <f>tItens[[#This Row],[Qtd]]*tItens[[#This Row],[Vlr unit]]</f>
        <v>843.8</v>
      </c>
      <c r="L2034" s="6">
        <f>IFERROR(IF(INDEX(tProdutos[Desconto homologado],MATCH(tItens[[#This Row],[Produto]],tProdutos[Produto],0))="",DescontoPadrao,INDEX(tProdutos[Desconto homologado],MATCH(tItens[[#This Row],[Produto]],tProdutos[Produto],0))),DescontoPadrao)</f>
        <v>0.253736324829619</v>
      </c>
      <c r="M2034" s="12">
        <f>tItens[[#This Row],[Valor]]*(1-tItens[[#This Row],[Desconto]])</f>
        <v>629.69728910876745</v>
      </c>
      <c r="N2034" t="str">
        <f>IFERROR(INDEX(tProdutos[Foco],MATCH(tItens[[#This Row],[Produto]],tProdutos[Produto],0)),"Não")</f>
        <v>Não</v>
      </c>
      <c r="O2034" t="str">
        <f>IFERROR(INDEX(tEditais[SRP],MATCH(tItens[[#This Row],[Edital]],tEditais[Edital],0)),"Não")</f>
        <v>Sim</v>
      </c>
      <c r="P2034" s="4">
        <f>IF(COUNTIFS(INDEX(tItens[Edital],1):tItens[[#This Row],[Edital]],tItens[[#This Row],[Edital]],INDEX(tItens[Produto],1):tItens[[#This Row],[Produto]],tItens[[#This Row],[Produto]])=1,1,0)</f>
        <v>1</v>
      </c>
    </row>
    <row r="2035" spans="1:16" x14ac:dyDescent="0.25">
      <c r="A2035" t="s">
        <v>1205</v>
      </c>
      <c r="B2035">
        <v>60</v>
      </c>
      <c r="C2035" t="s">
        <v>5076</v>
      </c>
      <c r="D2035" t="s">
        <v>494</v>
      </c>
      <c r="E2035" s="13">
        <v>45</v>
      </c>
      <c r="F2035" s="12">
        <v>62.8</v>
      </c>
      <c r="G2035" t="str">
        <f>IFERROR(INDEX(tEditais[Órgão],MATCH(tItens[[#This Row],[Edital]],tEditais[Edital],0)),"")</f>
        <v>FUNDO MUNICIPAL DE SAUDE - FMS</v>
      </c>
      <c r="H2035" t="str">
        <f>IFERROR(INDEX(tEditais[UF],MATCH(tItens[[#This Row],[Edital]],tEditais[Edital],0)),"")</f>
        <v>GO</v>
      </c>
      <c r="I2035" s="11">
        <f>IFERROR(INDEX(tEditais[Encerramento],MATCH(tItens[[#This Row],[Edital]],tEditais[Edital],0)),"")</f>
        <v>46311.319444444445</v>
      </c>
      <c r="J2035" t="str">
        <f>IFERROR(INDEX(tProdutos[Classe],MATCH(tItens[[#This Row],[Produto]],tProdutos[Produto],0)),"produto não cadastrado")</f>
        <v>FILA REBASE</v>
      </c>
      <c r="K2035" s="12">
        <f>tItens[[#This Row],[Qtd]]*tItens[[#This Row],[Vlr unit]]</f>
        <v>2826</v>
      </c>
      <c r="L2035" s="6">
        <f>IFERROR(IF(INDEX(tProdutos[Desconto homologado],MATCH(tItens[[#This Row],[Produto]],tProdutos[Produto],0))="",DescontoPadrao,INDEX(tProdutos[Desconto homologado],MATCH(tItens[[#This Row],[Produto]],tProdutos[Produto],0))),DescontoPadrao)</f>
        <v>0.253736324829619</v>
      </c>
      <c r="M2035" s="12">
        <f>tItens[[#This Row],[Valor]]*(1-tItens[[#This Row],[Desconto]])</f>
        <v>2108.9411460314968</v>
      </c>
      <c r="N2035" t="str">
        <f>IFERROR(INDEX(tProdutos[Foco],MATCH(tItens[[#This Row],[Produto]],tProdutos[Produto],0)),"Não")</f>
        <v>Não</v>
      </c>
      <c r="O2035" t="str">
        <f>IFERROR(INDEX(tEditais[SRP],MATCH(tItens[[#This Row],[Edital]],tEditais[Edital],0)),"Não")</f>
        <v>Sim</v>
      </c>
      <c r="P2035" s="4">
        <f>IF(COUNTIFS(INDEX(tItens[Edital],1):tItens[[#This Row],[Edital]],tItens[[#This Row],[Edital]],INDEX(tItens[Produto],1):tItens[[#This Row],[Produto]],tItens[[#This Row],[Produto]])=1,1,0)</f>
        <v>0</v>
      </c>
    </row>
    <row r="2036" spans="1:16" x14ac:dyDescent="0.25">
      <c r="A2036" t="s">
        <v>1205</v>
      </c>
      <c r="B2036">
        <v>61</v>
      </c>
      <c r="C2036" t="s">
        <v>5077</v>
      </c>
      <c r="D2036" t="s">
        <v>494</v>
      </c>
      <c r="E2036" s="13">
        <v>30</v>
      </c>
      <c r="F2036" s="12">
        <v>121.63</v>
      </c>
      <c r="G2036" t="str">
        <f>IFERROR(INDEX(tEditais[Órgão],MATCH(tItens[[#This Row],[Edital]],tEditais[Edital],0)),"")</f>
        <v>FUNDO MUNICIPAL DE SAUDE - FMS</v>
      </c>
      <c r="H2036" t="str">
        <f>IFERROR(INDEX(tEditais[UF],MATCH(tItens[[#This Row],[Edital]],tEditais[Edital],0)),"")</f>
        <v>GO</v>
      </c>
      <c r="I2036" s="11">
        <f>IFERROR(INDEX(tEditais[Encerramento],MATCH(tItens[[#This Row],[Edital]],tEditais[Edital],0)),"")</f>
        <v>46311.319444444445</v>
      </c>
      <c r="J2036" t="str">
        <f>IFERROR(INDEX(tProdutos[Classe],MATCH(tItens[[#This Row],[Produto]],tProdutos[Produto],0)),"produto não cadastrado")</f>
        <v>FILA REBASE</v>
      </c>
      <c r="K2036" s="12">
        <f>tItens[[#This Row],[Qtd]]*tItens[[#This Row],[Vlr unit]]</f>
        <v>3648.8999999999996</v>
      </c>
      <c r="L2036" s="6">
        <f>IFERROR(IF(INDEX(tProdutos[Desconto homologado],MATCH(tItens[[#This Row],[Produto]],tProdutos[Produto],0))="",DescontoPadrao,INDEX(tProdutos[Desconto homologado],MATCH(tItens[[#This Row],[Produto]],tProdutos[Produto],0))),DescontoPadrao)</f>
        <v>0.253736324829619</v>
      </c>
      <c r="M2036" s="12">
        <f>tItens[[#This Row],[Valor]]*(1-tItens[[#This Row],[Desconto]])</f>
        <v>2723.0415243292032</v>
      </c>
      <c r="N2036" t="str">
        <f>IFERROR(INDEX(tProdutos[Foco],MATCH(tItens[[#This Row],[Produto]],tProdutos[Produto],0)),"Não")</f>
        <v>Não</v>
      </c>
      <c r="O2036" t="str">
        <f>IFERROR(INDEX(tEditais[SRP],MATCH(tItens[[#This Row],[Edital]],tEditais[Edital],0)),"Não")</f>
        <v>Sim</v>
      </c>
      <c r="P2036" s="4">
        <f>IF(COUNTIFS(INDEX(tItens[Edital],1):tItens[[#This Row],[Edital]],tItens[[#This Row],[Edital]],INDEX(tItens[Produto],1):tItens[[#This Row],[Produto]],tItens[[#This Row],[Produto]])=1,1,0)</f>
        <v>0</v>
      </c>
    </row>
    <row r="2037" spans="1:16" x14ac:dyDescent="0.25">
      <c r="A2037" t="s">
        <v>1205</v>
      </c>
      <c r="B2037">
        <v>63</v>
      </c>
      <c r="C2037" t="s">
        <v>5078</v>
      </c>
      <c r="D2037" t="s">
        <v>124</v>
      </c>
      <c r="E2037" s="13">
        <v>400</v>
      </c>
      <c r="F2037" s="12">
        <v>14.72</v>
      </c>
      <c r="G2037" t="str">
        <f>IFERROR(INDEX(tEditais[Órgão],MATCH(tItens[[#This Row],[Edital]],tEditais[Edital],0)),"")</f>
        <v>FUNDO MUNICIPAL DE SAUDE - FMS</v>
      </c>
      <c r="H2037" t="str">
        <f>IFERROR(INDEX(tEditais[UF],MATCH(tItens[[#This Row],[Edital]],tEditais[Edital],0)),"")</f>
        <v>GO</v>
      </c>
      <c r="I2037" s="11">
        <f>IFERROR(INDEX(tEditais[Encerramento],MATCH(tItens[[#This Row],[Edital]],tEditais[Edital],0)),"")</f>
        <v>46311.319444444445</v>
      </c>
      <c r="J2037" t="str">
        <f>IFERROR(INDEX(tProdutos[Classe],MATCH(tItens[[#This Row],[Produto]],tProdutos[Produto],0)),"produto não cadastrado")</f>
        <v>DISPUTADO</v>
      </c>
      <c r="K2037" s="12">
        <f>tItens[[#This Row],[Qtd]]*tItens[[#This Row],[Vlr unit]]</f>
        <v>5888</v>
      </c>
      <c r="L2037" s="6">
        <f>IFERROR(IF(INDEX(tProdutos[Desconto homologado],MATCH(tItens[[#This Row],[Produto]],tProdutos[Produto],0))="",DescontoPadrao,INDEX(tProdutos[Desconto homologado],MATCH(tItens[[#This Row],[Produto]],tProdutos[Produto],0))),DescontoPadrao)</f>
        <v>0.34</v>
      </c>
      <c r="M2037" s="12">
        <f>tItens[[#This Row],[Valor]]*(1-tItens[[#This Row],[Desconto]])</f>
        <v>3886.0799999999995</v>
      </c>
      <c r="N2037" t="str">
        <f>IFERROR(INDEX(tProdutos[Foco],MATCH(tItens[[#This Row],[Produto]],tProdutos[Produto],0)),"Não")</f>
        <v>Sim</v>
      </c>
      <c r="O2037" t="str">
        <f>IFERROR(INDEX(tEditais[SRP],MATCH(tItens[[#This Row],[Edital]],tEditais[Edital],0)),"Não")</f>
        <v>Sim</v>
      </c>
      <c r="P2037" s="4">
        <f>IF(COUNTIFS(INDEX(tItens[Edital],1):tItens[[#This Row],[Edital]],tItens[[#This Row],[Edital]],INDEX(tItens[Produto],1):tItens[[#This Row],[Produto]],tItens[[#This Row],[Produto]])=1,1,0)</f>
        <v>1</v>
      </c>
    </row>
    <row r="2038" spans="1:16" x14ac:dyDescent="0.25">
      <c r="A2038" t="s">
        <v>1205</v>
      </c>
      <c r="B2038">
        <v>64</v>
      </c>
      <c r="C2038" t="s">
        <v>5079</v>
      </c>
      <c r="D2038" t="s">
        <v>73</v>
      </c>
      <c r="E2038" s="13">
        <v>600</v>
      </c>
      <c r="F2038" s="12">
        <v>1.1299999999999999</v>
      </c>
      <c r="G2038" t="str">
        <f>IFERROR(INDEX(tEditais[Órgão],MATCH(tItens[[#This Row],[Edital]],tEditais[Edital],0)),"")</f>
        <v>FUNDO MUNICIPAL DE SAUDE - FMS</v>
      </c>
      <c r="H2038" t="str">
        <f>IFERROR(INDEX(tEditais[UF],MATCH(tItens[[#This Row],[Edital]],tEditais[Edital],0)),"")</f>
        <v>GO</v>
      </c>
      <c r="I2038" s="11">
        <f>IFERROR(INDEX(tEditais[Encerramento],MATCH(tItens[[#This Row],[Edital]],tEditais[Edital],0)),"")</f>
        <v>46311.319444444445</v>
      </c>
      <c r="J2038" t="str">
        <f>IFERROR(INDEX(tProdutos[Classe],MATCH(tItens[[#This Row],[Produto]],tProdutos[Produto],0)),"produto não cadastrado")</f>
        <v>NÚCLEO</v>
      </c>
      <c r="K2038" s="12">
        <f>tItens[[#This Row],[Qtd]]*tItens[[#This Row],[Vlr unit]]</f>
        <v>677.99999999999989</v>
      </c>
      <c r="L2038" s="6">
        <f>IFERROR(IF(INDEX(tProdutos[Desconto homologado],MATCH(tItens[[#This Row],[Produto]],tProdutos[Produto],0))="",DescontoPadrao,INDEX(tProdutos[Desconto homologado],MATCH(tItens[[#This Row],[Produto]],tProdutos[Produto],0))),DescontoPadrao)</f>
        <v>0.37</v>
      </c>
      <c r="M2038" s="12">
        <f>tItens[[#This Row],[Valor]]*(1-tItens[[#This Row],[Desconto]])</f>
        <v>427.13999999999993</v>
      </c>
      <c r="N2038" t="str">
        <f>IFERROR(INDEX(tProdutos[Foco],MATCH(tItens[[#This Row],[Produto]],tProdutos[Produto],0)),"Não")</f>
        <v>Sim</v>
      </c>
      <c r="O2038" t="str">
        <f>IFERROR(INDEX(tEditais[SRP],MATCH(tItens[[#This Row],[Edital]],tEditais[Edital],0)),"Não")</f>
        <v>Sim</v>
      </c>
      <c r="P2038" s="4">
        <f>IF(COUNTIFS(INDEX(tItens[Edital],1):tItens[[#This Row],[Edital]],tItens[[#This Row],[Edital]],INDEX(tItens[Produto],1):tItens[[#This Row],[Produto]],tItens[[#This Row],[Produto]])=1,1,0)</f>
        <v>1</v>
      </c>
    </row>
    <row r="2039" spans="1:16" x14ac:dyDescent="0.25">
      <c r="A2039" t="s">
        <v>1205</v>
      </c>
      <c r="B2039">
        <v>65</v>
      </c>
      <c r="C2039" t="s">
        <v>5080</v>
      </c>
      <c r="D2039" t="s">
        <v>73</v>
      </c>
      <c r="E2039" s="13">
        <v>100</v>
      </c>
      <c r="F2039" s="12">
        <v>1.69</v>
      </c>
      <c r="G2039" t="str">
        <f>IFERROR(INDEX(tEditais[Órgão],MATCH(tItens[[#This Row],[Edital]],tEditais[Edital],0)),"")</f>
        <v>FUNDO MUNICIPAL DE SAUDE - FMS</v>
      </c>
      <c r="H2039" t="str">
        <f>IFERROR(INDEX(tEditais[UF],MATCH(tItens[[#This Row],[Edital]],tEditais[Edital],0)),"")</f>
        <v>GO</v>
      </c>
      <c r="I2039" s="11">
        <f>IFERROR(INDEX(tEditais[Encerramento],MATCH(tItens[[#This Row],[Edital]],tEditais[Edital],0)),"")</f>
        <v>46311.319444444445</v>
      </c>
      <c r="J2039" t="str">
        <f>IFERROR(INDEX(tProdutos[Classe],MATCH(tItens[[#This Row],[Produto]],tProdutos[Produto],0)),"produto não cadastrado")</f>
        <v>NÚCLEO</v>
      </c>
      <c r="K2039" s="12">
        <f>tItens[[#This Row],[Qtd]]*tItens[[#This Row],[Vlr unit]]</f>
        <v>169</v>
      </c>
      <c r="L2039" s="6">
        <f>IFERROR(IF(INDEX(tProdutos[Desconto homologado],MATCH(tItens[[#This Row],[Produto]],tProdutos[Produto],0))="",DescontoPadrao,INDEX(tProdutos[Desconto homologado],MATCH(tItens[[#This Row],[Produto]],tProdutos[Produto],0))),DescontoPadrao)</f>
        <v>0.37</v>
      </c>
      <c r="M2039" s="12">
        <f>tItens[[#This Row],[Valor]]*(1-tItens[[#This Row],[Desconto]])</f>
        <v>106.47</v>
      </c>
      <c r="N2039" t="str">
        <f>IFERROR(INDEX(tProdutos[Foco],MATCH(tItens[[#This Row],[Produto]],tProdutos[Produto],0)),"Não")</f>
        <v>Sim</v>
      </c>
      <c r="O2039" t="str">
        <f>IFERROR(INDEX(tEditais[SRP],MATCH(tItens[[#This Row],[Edital]],tEditais[Edital],0)),"Não")</f>
        <v>Sim</v>
      </c>
      <c r="P2039" s="4">
        <f>IF(COUNTIFS(INDEX(tItens[Edital],1):tItens[[#This Row],[Edital]],tItens[[#This Row],[Edital]],INDEX(tItens[Produto],1):tItens[[#This Row],[Produto]],tItens[[#This Row],[Produto]])=1,1,0)</f>
        <v>0</v>
      </c>
    </row>
    <row r="2040" spans="1:16" x14ac:dyDescent="0.25">
      <c r="A2040" t="s">
        <v>1205</v>
      </c>
      <c r="B2040">
        <v>71</v>
      </c>
      <c r="C2040" t="s">
        <v>5081</v>
      </c>
      <c r="D2040" t="s">
        <v>245</v>
      </c>
      <c r="E2040" s="13">
        <v>15</v>
      </c>
      <c r="F2040" s="12">
        <v>110.55</v>
      </c>
      <c r="G2040" t="str">
        <f>IFERROR(INDEX(tEditais[Órgão],MATCH(tItens[[#This Row],[Edital]],tEditais[Edital],0)),"")</f>
        <v>FUNDO MUNICIPAL DE SAUDE - FMS</v>
      </c>
      <c r="H2040" t="str">
        <f>IFERROR(INDEX(tEditais[UF],MATCH(tItens[[#This Row],[Edital]],tEditais[Edital],0)),"")</f>
        <v>GO</v>
      </c>
      <c r="I2040" s="11">
        <f>IFERROR(INDEX(tEditais[Encerramento],MATCH(tItens[[#This Row],[Edital]],tEditais[Edital],0)),"")</f>
        <v>46311.319444444445</v>
      </c>
      <c r="J2040" t="str">
        <f>IFERROR(INDEX(tProdutos[Classe],MATCH(tItens[[#This Row],[Produto]],tProdutos[Produto],0)),"produto não cadastrado")</f>
        <v>FORA</v>
      </c>
      <c r="K2040" s="12">
        <f>tItens[[#This Row],[Qtd]]*tItens[[#This Row],[Vlr unit]]</f>
        <v>1658.25</v>
      </c>
      <c r="L2040" s="6">
        <f>IFERROR(IF(INDEX(tProdutos[Desconto homologado],MATCH(tItens[[#This Row],[Produto]],tProdutos[Produto],0))="",DescontoPadrao,INDEX(tProdutos[Desconto homologado],MATCH(tItens[[#This Row],[Produto]],tProdutos[Produto],0))),DescontoPadrao)</f>
        <v>0.34516963542284401</v>
      </c>
      <c r="M2040" s="12">
        <f>tItens[[#This Row],[Valor]]*(1-tItens[[#This Row],[Desconto]])</f>
        <v>1085.872452060069</v>
      </c>
      <c r="N2040" t="str">
        <f>IFERROR(INDEX(tProdutos[Foco],MATCH(tItens[[#This Row],[Produto]],tProdutos[Produto],0)),"Não")</f>
        <v>Não</v>
      </c>
      <c r="O2040" t="str">
        <f>IFERROR(INDEX(tEditais[SRP],MATCH(tItens[[#This Row],[Edital]],tEditais[Edital],0)),"Não")</f>
        <v>Sim</v>
      </c>
      <c r="P2040" s="4">
        <f>IF(COUNTIFS(INDEX(tItens[Edital],1):tItens[[#This Row],[Edital]],tItens[[#This Row],[Edital]],INDEX(tItens[Produto],1):tItens[[#This Row],[Produto]],tItens[[#This Row],[Produto]])=1,1,0)</f>
        <v>1</v>
      </c>
    </row>
    <row r="2041" spans="1:16" x14ac:dyDescent="0.25">
      <c r="A2041" t="s">
        <v>1205</v>
      </c>
      <c r="B2041">
        <v>72</v>
      </c>
      <c r="C2041" t="s">
        <v>5082</v>
      </c>
      <c r="D2041" t="s">
        <v>172</v>
      </c>
      <c r="E2041" s="13">
        <v>100</v>
      </c>
      <c r="F2041" s="12">
        <v>0.62</v>
      </c>
      <c r="G2041" t="str">
        <f>IFERROR(INDEX(tEditais[Órgão],MATCH(tItens[[#This Row],[Edital]],tEditais[Edital],0)),"")</f>
        <v>FUNDO MUNICIPAL DE SAUDE - FMS</v>
      </c>
      <c r="H2041" t="str">
        <f>IFERROR(INDEX(tEditais[UF],MATCH(tItens[[#This Row],[Edital]],tEditais[Edital],0)),"")</f>
        <v>GO</v>
      </c>
      <c r="I2041" s="11">
        <f>IFERROR(INDEX(tEditais[Encerramento],MATCH(tItens[[#This Row],[Edital]],tEditais[Edital],0)),"")</f>
        <v>46311.319444444445</v>
      </c>
      <c r="J2041" t="str">
        <f>IFERROR(INDEX(tProdutos[Classe],MATCH(tItens[[#This Row],[Produto]],tProdutos[Produto],0)),"produto não cadastrado")</f>
        <v>DISPUTADO</v>
      </c>
      <c r="K2041" s="12">
        <f>tItens[[#This Row],[Qtd]]*tItens[[#This Row],[Vlr unit]]</f>
        <v>62</v>
      </c>
      <c r="L2041" s="6">
        <f>IFERROR(IF(INDEX(tProdutos[Desconto homologado],MATCH(tItens[[#This Row],[Produto]],tProdutos[Produto],0))="",DescontoPadrao,INDEX(tProdutos[Desconto homologado],MATCH(tItens[[#This Row],[Produto]],tProdutos[Produto],0))),DescontoPadrao)</f>
        <v>0.33578431372549</v>
      </c>
      <c r="M2041" s="12">
        <f>tItens[[#This Row],[Valor]]*(1-tItens[[#This Row],[Desconto]])</f>
        <v>41.181372549019621</v>
      </c>
      <c r="N2041" t="str">
        <f>IFERROR(INDEX(tProdutos[Foco],MATCH(tItens[[#This Row],[Produto]],tProdutos[Produto],0)),"Não")</f>
        <v>Não</v>
      </c>
      <c r="O2041" t="str">
        <f>IFERROR(INDEX(tEditais[SRP],MATCH(tItens[[#This Row],[Edital]],tEditais[Edital],0)),"Não")</f>
        <v>Sim</v>
      </c>
      <c r="P2041" s="4">
        <f>IF(COUNTIFS(INDEX(tItens[Edital],1):tItens[[#This Row],[Edital]],tItens[[#This Row],[Edital]],INDEX(tItens[Produto],1):tItens[[#This Row],[Produto]],tItens[[#This Row],[Produto]])=1,1,0)</f>
        <v>1</v>
      </c>
    </row>
    <row r="2042" spans="1:16" x14ac:dyDescent="0.25">
      <c r="A2042" t="s">
        <v>1205</v>
      </c>
      <c r="B2042">
        <v>74</v>
      </c>
      <c r="C2042" t="s">
        <v>5083</v>
      </c>
      <c r="D2042" t="s">
        <v>279</v>
      </c>
      <c r="E2042" s="13">
        <v>100</v>
      </c>
      <c r="F2042" s="12">
        <v>3.33</v>
      </c>
      <c r="G2042" t="str">
        <f>IFERROR(INDEX(tEditais[Órgão],MATCH(tItens[[#This Row],[Edital]],tEditais[Edital],0)),"")</f>
        <v>FUNDO MUNICIPAL DE SAUDE - FMS</v>
      </c>
      <c r="H2042" t="str">
        <f>IFERROR(INDEX(tEditais[UF],MATCH(tItens[[#This Row],[Edital]],tEditais[Edital],0)),"")</f>
        <v>GO</v>
      </c>
      <c r="I2042" s="11">
        <f>IFERROR(INDEX(tEditais[Encerramento],MATCH(tItens[[#This Row],[Edital]],tEditais[Edital],0)),"")</f>
        <v>46311.319444444445</v>
      </c>
      <c r="J2042" t="str">
        <f>IFERROR(INDEX(tProdutos[Classe],MATCH(tItens[[#This Row],[Produto]],tProdutos[Produto],0)),"produto não cadastrado")</f>
        <v>FORA</v>
      </c>
      <c r="K2042" s="12">
        <f>tItens[[#This Row],[Qtd]]*tItens[[#This Row],[Vlr unit]]</f>
        <v>333</v>
      </c>
      <c r="L2042" s="6">
        <f>IFERROR(IF(INDEX(tProdutos[Desconto homologado],MATCH(tItens[[#This Row],[Produto]],tProdutos[Produto],0))="",DescontoPadrao,INDEX(tProdutos[Desconto homologado],MATCH(tItens[[#This Row],[Produto]],tProdutos[Produto],0))),DescontoPadrao)</f>
        <v>0.28909090909090901</v>
      </c>
      <c r="M2042" s="12">
        <f>tItens[[#This Row],[Valor]]*(1-tItens[[#This Row],[Desconto]])</f>
        <v>236.73272727272729</v>
      </c>
      <c r="N2042" t="str">
        <f>IFERROR(INDEX(tProdutos[Foco],MATCH(tItens[[#This Row],[Produto]],tProdutos[Produto],0)),"Não")</f>
        <v>Não</v>
      </c>
      <c r="O2042" t="str">
        <f>IFERROR(INDEX(tEditais[SRP],MATCH(tItens[[#This Row],[Edital]],tEditais[Edital],0)),"Não")</f>
        <v>Sim</v>
      </c>
      <c r="P2042" s="4">
        <f>IF(COUNTIFS(INDEX(tItens[Edital],1):tItens[[#This Row],[Edital]],tItens[[#This Row],[Edital]],INDEX(tItens[Produto],1):tItens[[#This Row],[Produto]],tItens[[#This Row],[Produto]])=1,1,0)</f>
        <v>1</v>
      </c>
    </row>
    <row r="2043" spans="1:16" x14ac:dyDescent="0.25">
      <c r="A2043" t="s">
        <v>1205</v>
      </c>
      <c r="B2043">
        <v>75</v>
      </c>
      <c r="C2043" t="s">
        <v>5084</v>
      </c>
      <c r="D2043" t="s">
        <v>80</v>
      </c>
      <c r="E2043" s="13">
        <v>100</v>
      </c>
      <c r="F2043" s="12">
        <v>0.52</v>
      </c>
      <c r="G2043" t="str">
        <f>IFERROR(INDEX(tEditais[Órgão],MATCH(tItens[[#This Row],[Edital]],tEditais[Edital],0)),"")</f>
        <v>FUNDO MUNICIPAL DE SAUDE - FMS</v>
      </c>
      <c r="H2043" t="str">
        <f>IFERROR(INDEX(tEditais[UF],MATCH(tItens[[#This Row],[Edital]],tEditais[Edital],0)),"")</f>
        <v>GO</v>
      </c>
      <c r="I2043" s="11">
        <f>IFERROR(INDEX(tEditais[Encerramento],MATCH(tItens[[#This Row],[Edital]],tEditais[Edital],0)),"")</f>
        <v>46311.319444444445</v>
      </c>
      <c r="J2043" t="str">
        <f>IFERROR(INDEX(tProdutos[Classe],MATCH(tItens[[#This Row],[Produto]],tProdutos[Produto],0)),"produto não cadastrado")</f>
        <v>NÚCLEO</v>
      </c>
      <c r="K2043" s="12">
        <f>tItens[[#This Row],[Qtd]]*tItens[[#This Row],[Vlr unit]]</f>
        <v>52</v>
      </c>
      <c r="L2043" s="6">
        <f>IFERROR(IF(INDEX(tProdutos[Desconto homologado],MATCH(tItens[[#This Row],[Produto]],tProdutos[Produto],0))="",DescontoPadrao,INDEX(tProdutos[Desconto homologado],MATCH(tItens[[#This Row],[Produto]],tProdutos[Produto],0))),DescontoPadrao)</f>
        <v>0.33</v>
      </c>
      <c r="M2043" s="12">
        <f>tItens[[#This Row],[Valor]]*(1-tItens[[#This Row],[Desconto]])</f>
        <v>34.839999999999996</v>
      </c>
      <c r="N2043" t="str">
        <f>IFERROR(INDEX(tProdutos[Foco],MATCH(tItens[[#This Row],[Produto]],tProdutos[Produto],0)),"Não")</f>
        <v>Sim</v>
      </c>
      <c r="O2043" t="str">
        <f>IFERROR(INDEX(tEditais[SRP],MATCH(tItens[[#This Row],[Edital]],tEditais[Edital],0)),"Não")</f>
        <v>Sim</v>
      </c>
      <c r="P2043" s="4">
        <f>IF(COUNTIFS(INDEX(tItens[Edital],1):tItens[[#This Row],[Edital]],tItens[[#This Row],[Edital]],INDEX(tItens[Produto],1):tItens[[#This Row],[Produto]],tItens[[#This Row],[Produto]])=1,1,0)</f>
        <v>1</v>
      </c>
    </row>
    <row r="2044" spans="1:16" x14ac:dyDescent="0.25">
      <c r="A2044" t="s">
        <v>1205</v>
      </c>
      <c r="B2044">
        <v>76</v>
      </c>
      <c r="C2044" t="s">
        <v>5085</v>
      </c>
      <c r="D2044" t="s">
        <v>80</v>
      </c>
      <c r="E2044" s="13">
        <v>100</v>
      </c>
      <c r="F2044" s="12">
        <v>0.48</v>
      </c>
      <c r="G2044" t="str">
        <f>IFERROR(INDEX(tEditais[Órgão],MATCH(tItens[[#This Row],[Edital]],tEditais[Edital],0)),"")</f>
        <v>FUNDO MUNICIPAL DE SAUDE - FMS</v>
      </c>
      <c r="H2044" t="str">
        <f>IFERROR(INDEX(tEditais[UF],MATCH(tItens[[#This Row],[Edital]],tEditais[Edital],0)),"")</f>
        <v>GO</v>
      </c>
      <c r="I2044" s="11">
        <f>IFERROR(INDEX(tEditais[Encerramento],MATCH(tItens[[#This Row],[Edital]],tEditais[Edital],0)),"")</f>
        <v>46311.319444444445</v>
      </c>
      <c r="J2044" t="str">
        <f>IFERROR(INDEX(tProdutos[Classe],MATCH(tItens[[#This Row],[Produto]],tProdutos[Produto],0)),"produto não cadastrado")</f>
        <v>NÚCLEO</v>
      </c>
      <c r="K2044" s="12">
        <f>tItens[[#This Row],[Qtd]]*tItens[[#This Row],[Vlr unit]]</f>
        <v>48</v>
      </c>
      <c r="L2044" s="6">
        <f>IFERROR(IF(INDEX(tProdutos[Desconto homologado],MATCH(tItens[[#This Row],[Produto]],tProdutos[Produto],0))="",DescontoPadrao,INDEX(tProdutos[Desconto homologado],MATCH(tItens[[#This Row],[Produto]],tProdutos[Produto],0))),DescontoPadrao)</f>
        <v>0.33</v>
      </c>
      <c r="M2044" s="12">
        <f>tItens[[#This Row],[Valor]]*(1-tItens[[#This Row],[Desconto]])</f>
        <v>32.159999999999997</v>
      </c>
      <c r="N2044" t="str">
        <f>IFERROR(INDEX(tProdutos[Foco],MATCH(tItens[[#This Row],[Produto]],tProdutos[Produto],0)),"Não")</f>
        <v>Sim</v>
      </c>
      <c r="O2044" t="str">
        <f>IFERROR(INDEX(tEditais[SRP],MATCH(tItens[[#This Row],[Edital]],tEditais[Edital],0)),"Não")</f>
        <v>Sim</v>
      </c>
      <c r="P2044" s="4">
        <f>IF(COUNTIFS(INDEX(tItens[Edital],1):tItens[[#This Row],[Edital]],tItens[[#This Row],[Edital]],INDEX(tItens[Produto],1):tItens[[#This Row],[Produto]],tItens[[#This Row],[Produto]])=1,1,0)</f>
        <v>0</v>
      </c>
    </row>
    <row r="2045" spans="1:16" x14ac:dyDescent="0.25">
      <c r="A2045" t="s">
        <v>1205</v>
      </c>
      <c r="B2045">
        <v>77</v>
      </c>
      <c r="C2045" t="s">
        <v>5086</v>
      </c>
      <c r="D2045" t="s">
        <v>279</v>
      </c>
      <c r="E2045" s="13">
        <v>100</v>
      </c>
      <c r="F2045" s="12">
        <v>36.340000000000003</v>
      </c>
      <c r="G2045" t="str">
        <f>IFERROR(INDEX(tEditais[Órgão],MATCH(tItens[[#This Row],[Edital]],tEditais[Edital],0)),"")</f>
        <v>FUNDO MUNICIPAL DE SAUDE - FMS</v>
      </c>
      <c r="H2045" t="str">
        <f>IFERROR(INDEX(tEditais[UF],MATCH(tItens[[#This Row],[Edital]],tEditais[Edital],0)),"")</f>
        <v>GO</v>
      </c>
      <c r="I2045" s="11">
        <f>IFERROR(INDEX(tEditais[Encerramento],MATCH(tItens[[#This Row],[Edital]],tEditais[Edital],0)),"")</f>
        <v>46311.319444444445</v>
      </c>
      <c r="J2045" t="str">
        <f>IFERROR(INDEX(tProdutos[Classe],MATCH(tItens[[#This Row],[Produto]],tProdutos[Produto],0)),"produto não cadastrado")</f>
        <v>FORA</v>
      </c>
      <c r="K2045" s="12">
        <f>tItens[[#This Row],[Qtd]]*tItens[[#This Row],[Vlr unit]]</f>
        <v>3634.0000000000005</v>
      </c>
      <c r="L2045" s="6">
        <f>IFERROR(IF(INDEX(tProdutos[Desconto homologado],MATCH(tItens[[#This Row],[Produto]],tProdutos[Produto],0))="",DescontoPadrao,INDEX(tProdutos[Desconto homologado],MATCH(tItens[[#This Row],[Produto]],tProdutos[Produto],0))),DescontoPadrao)</f>
        <v>0.28909090909090901</v>
      </c>
      <c r="M2045" s="12">
        <f>tItens[[#This Row],[Valor]]*(1-tItens[[#This Row],[Desconto]])</f>
        <v>2583.4436363636369</v>
      </c>
      <c r="N2045" t="str">
        <f>IFERROR(INDEX(tProdutos[Foco],MATCH(tItens[[#This Row],[Produto]],tProdutos[Produto],0)),"Não")</f>
        <v>Não</v>
      </c>
      <c r="O2045" t="str">
        <f>IFERROR(INDEX(tEditais[SRP],MATCH(tItens[[#This Row],[Edital]],tEditais[Edital],0)),"Não")</f>
        <v>Sim</v>
      </c>
      <c r="P2045" s="4">
        <f>IF(COUNTIFS(INDEX(tItens[Edital],1):tItens[[#This Row],[Edital]],tItens[[#This Row],[Edital]],INDEX(tItens[Produto],1):tItens[[#This Row],[Produto]],tItens[[#This Row],[Produto]])=1,1,0)</f>
        <v>0</v>
      </c>
    </row>
    <row r="2046" spans="1:16" x14ac:dyDescent="0.25">
      <c r="A2046" t="s">
        <v>1205</v>
      </c>
      <c r="B2046">
        <v>78</v>
      </c>
      <c r="C2046" t="s">
        <v>5087</v>
      </c>
      <c r="D2046" t="s">
        <v>279</v>
      </c>
      <c r="E2046" s="13">
        <v>300</v>
      </c>
      <c r="F2046" s="12">
        <v>3.7</v>
      </c>
      <c r="G2046" t="str">
        <f>IFERROR(INDEX(tEditais[Órgão],MATCH(tItens[[#This Row],[Edital]],tEditais[Edital],0)),"")</f>
        <v>FUNDO MUNICIPAL DE SAUDE - FMS</v>
      </c>
      <c r="H2046" t="str">
        <f>IFERROR(INDEX(tEditais[UF],MATCH(tItens[[#This Row],[Edital]],tEditais[Edital],0)),"")</f>
        <v>GO</v>
      </c>
      <c r="I2046" s="11">
        <f>IFERROR(INDEX(tEditais[Encerramento],MATCH(tItens[[#This Row],[Edital]],tEditais[Edital],0)),"")</f>
        <v>46311.319444444445</v>
      </c>
      <c r="J2046" t="str">
        <f>IFERROR(INDEX(tProdutos[Classe],MATCH(tItens[[#This Row],[Produto]],tProdutos[Produto],0)),"produto não cadastrado")</f>
        <v>FORA</v>
      </c>
      <c r="K2046" s="12">
        <f>tItens[[#This Row],[Qtd]]*tItens[[#This Row],[Vlr unit]]</f>
        <v>1110</v>
      </c>
      <c r="L2046" s="6">
        <f>IFERROR(IF(INDEX(tProdutos[Desconto homologado],MATCH(tItens[[#This Row],[Produto]],tProdutos[Produto],0))="",DescontoPadrao,INDEX(tProdutos[Desconto homologado],MATCH(tItens[[#This Row],[Produto]],tProdutos[Produto],0))),DescontoPadrao)</f>
        <v>0.28909090909090901</v>
      </c>
      <c r="M2046" s="12">
        <f>tItens[[#This Row],[Valor]]*(1-tItens[[#This Row],[Desconto]])</f>
        <v>789.10909090909092</v>
      </c>
      <c r="N2046" t="str">
        <f>IFERROR(INDEX(tProdutos[Foco],MATCH(tItens[[#This Row],[Produto]],tProdutos[Produto],0)),"Não")</f>
        <v>Não</v>
      </c>
      <c r="O2046" t="str">
        <f>IFERROR(INDEX(tEditais[SRP],MATCH(tItens[[#This Row],[Edital]],tEditais[Edital],0)),"Não")</f>
        <v>Sim</v>
      </c>
      <c r="P2046" s="4">
        <f>IF(COUNTIFS(INDEX(tItens[Edital],1):tItens[[#This Row],[Edital]],tItens[[#This Row],[Edital]],INDEX(tItens[Produto],1):tItens[[#This Row],[Produto]],tItens[[#This Row],[Produto]])=1,1,0)</f>
        <v>0</v>
      </c>
    </row>
    <row r="2047" spans="1:16" x14ac:dyDescent="0.25">
      <c r="A2047" t="s">
        <v>1205</v>
      </c>
      <c r="B2047">
        <v>79</v>
      </c>
      <c r="C2047" t="s">
        <v>5088</v>
      </c>
      <c r="D2047" t="s">
        <v>357</v>
      </c>
      <c r="E2047" s="13">
        <v>200</v>
      </c>
      <c r="F2047" s="12">
        <v>1.86</v>
      </c>
      <c r="G2047" t="str">
        <f>IFERROR(INDEX(tEditais[Órgão],MATCH(tItens[[#This Row],[Edital]],tEditais[Edital],0)),"")</f>
        <v>FUNDO MUNICIPAL DE SAUDE - FMS</v>
      </c>
      <c r="H2047" t="str">
        <f>IFERROR(INDEX(tEditais[UF],MATCH(tItens[[#This Row],[Edital]],tEditais[Edital],0)),"")</f>
        <v>GO</v>
      </c>
      <c r="I2047" s="11">
        <f>IFERROR(INDEX(tEditais[Encerramento],MATCH(tItens[[#This Row],[Edital]],tEditais[Edital],0)),"")</f>
        <v>46311.319444444445</v>
      </c>
      <c r="J2047" t="str">
        <f>IFERROR(INDEX(tProdutos[Classe],MATCH(tItens[[#This Row],[Produto]],tProdutos[Produto],0)),"produto não cadastrado")</f>
        <v>FORA</v>
      </c>
      <c r="K2047" s="12">
        <f>tItens[[#This Row],[Qtd]]*tItens[[#This Row],[Vlr unit]]</f>
        <v>372</v>
      </c>
      <c r="L2047" s="6">
        <f>IFERROR(IF(INDEX(tProdutos[Desconto homologado],MATCH(tItens[[#This Row],[Produto]],tProdutos[Produto],0))="",DescontoPadrao,INDEX(tProdutos[Desconto homologado],MATCH(tItens[[#This Row],[Produto]],tProdutos[Produto],0))),DescontoPadrao)</f>
        <v>0.38730158730158698</v>
      </c>
      <c r="M2047" s="12">
        <f>tItens[[#This Row],[Valor]]*(1-tItens[[#This Row],[Desconto]])</f>
        <v>227.92380952380961</v>
      </c>
      <c r="N2047" t="str">
        <f>IFERROR(INDEX(tProdutos[Foco],MATCH(tItens[[#This Row],[Produto]],tProdutos[Produto],0)),"Não")</f>
        <v>Não</v>
      </c>
      <c r="O2047" t="str">
        <f>IFERROR(INDEX(tEditais[SRP],MATCH(tItens[[#This Row],[Edital]],tEditais[Edital],0)),"Não")</f>
        <v>Sim</v>
      </c>
      <c r="P2047" s="4">
        <f>IF(COUNTIFS(INDEX(tItens[Edital],1):tItens[[#This Row],[Edital]],tItens[[#This Row],[Edital]],INDEX(tItens[Produto],1):tItens[[#This Row],[Produto]],tItens[[#This Row],[Produto]])=1,1,0)</f>
        <v>1</v>
      </c>
    </row>
    <row r="2048" spans="1:16" x14ac:dyDescent="0.25">
      <c r="A2048" t="s">
        <v>1205</v>
      </c>
      <c r="B2048">
        <v>80</v>
      </c>
      <c r="C2048" t="s">
        <v>5089</v>
      </c>
      <c r="D2048" t="s">
        <v>371</v>
      </c>
      <c r="E2048" s="13">
        <v>600</v>
      </c>
      <c r="F2048" s="12">
        <v>0.47</v>
      </c>
      <c r="G2048" t="str">
        <f>IFERROR(INDEX(tEditais[Órgão],MATCH(tItens[[#This Row],[Edital]],tEditais[Edital],0)),"")</f>
        <v>FUNDO MUNICIPAL DE SAUDE - FMS</v>
      </c>
      <c r="H2048" t="str">
        <f>IFERROR(INDEX(tEditais[UF],MATCH(tItens[[#This Row],[Edital]],tEditais[Edital],0)),"")</f>
        <v>GO</v>
      </c>
      <c r="I2048" s="11">
        <f>IFERROR(INDEX(tEditais[Encerramento],MATCH(tItens[[#This Row],[Edital]],tEditais[Edital],0)),"")</f>
        <v>46311.319444444445</v>
      </c>
      <c r="J2048" t="str">
        <f>IFERROR(INDEX(tProdutos[Classe],MATCH(tItens[[#This Row],[Produto]],tProdutos[Produto],0)),"produto não cadastrado")</f>
        <v>FORA</v>
      </c>
      <c r="K2048" s="12">
        <f>tItens[[#This Row],[Qtd]]*tItens[[#This Row],[Vlr unit]]</f>
        <v>282</v>
      </c>
      <c r="L2048" s="6">
        <f>IFERROR(IF(INDEX(tProdutos[Desconto homologado],MATCH(tItens[[#This Row],[Produto]],tProdutos[Produto],0))="",DescontoPadrao,INDEX(tProdutos[Desconto homologado],MATCH(tItens[[#This Row],[Produto]],tProdutos[Produto],0))),DescontoPadrao)</f>
        <v>0.217826086956522</v>
      </c>
      <c r="M2048" s="12">
        <f>tItens[[#This Row],[Valor]]*(1-tItens[[#This Row],[Desconto]])</f>
        <v>220.57304347826079</v>
      </c>
      <c r="N2048" t="str">
        <f>IFERROR(INDEX(tProdutos[Foco],MATCH(tItens[[#This Row],[Produto]],tProdutos[Produto],0)),"Não")</f>
        <v>Não</v>
      </c>
      <c r="O2048" t="str">
        <f>IFERROR(INDEX(tEditais[SRP],MATCH(tItens[[#This Row],[Edital]],tEditais[Edital],0)),"Não")</f>
        <v>Sim</v>
      </c>
      <c r="P2048" s="4">
        <f>IF(COUNTIFS(INDEX(tItens[Edital],1):tItens[[#This Row],[Edital]],tItens[[#This Row],[Edital]],INDEX(tItens[Produto],1):tItens[[#This Row],[Produto]],tItens[[#This Row],[Produto]])=1,1,0)</f>
        <v>1</v>
      </c>
    </row>
    <row r="2049" spans="1:16" x14ac:dyDescent="0.25">
      <c r="A2049" t="s">
        <v>1205</v>
      </c>
      <c r="B2049">
        <v>83</v>
      </c>
      <c r="C2049" t="s">
        <v>5090</v>
      </c>
      <c r="D2049" t="s">
        <v>193</v>
      </c>
      <c r="E2049" s="13">
        <v>100</v>
      </c>
      <c r="F2049" s="12">
        <v>7.22</v>
      </c>
      <c r="G2049" t="str">
        <f>IFERROR(INDEX(tEditais[Órgão],MATCH(tItens[[#This Row],[Edital]],tEditais[Edital],0)),"")</f>
        <v>FUNDO MUNICIPAL DE SAUDE - FMS</v>
      </c>
      <c r="H2049" t="str">
        <f>IFERROR(INDEX(tEditais[UF],MATCH(tItens[[#This Row],[Edital]],tEditais[Edital],0)),"")</f>
        <v>GO</v>
      </c>
      <c r="I2049" s="11">
        <f>IFERROR(INDEX(tEditais[Encerramento],MATCH(tItens[[#This Row],[Edital]],tEditais[Edital],0)),"")</f>
        <v>46311.319444444445</v>
      </c>
      <c r="J2049" t="str">
        <f>IFERROR(INDEX(tProdutos[Classe],MATCH(tItens[[#This Row],[Produto]],tProdutos[Produto],0)),"produto não cadastrado")</f>
        <v>DISPUTADO</v>
      </c>
      <c r="K2049" s="12">
        <f>tItens[[#This Row],[Qtd]]*tItens[[#This Row],[Vlr unit]]</f>
        <v>722</v>
      </c>
      <c r="L2049" s="6">
        <f>IFERROR(IF(INDEX(tProdutos[Desconto homologado],MATCH(tItens[[#This Row],[Produto]],tProdutos[Produto],0))="",DescontoPadrao,INDEX(tProdutos[Desconto homologado],MATCH(tItens[[#This Row],[Produto]],tProdutos[Produto],0))),DescontoPadrao)</f>
        <v>0.293849658314351</v>
      </c>
      <c r="M2049" s="12">
        <f>tItens[[#This Row],[Valor]]*(1-tItens[[#This Row],[Desconto]])</f>
        <v>509.84054669703852</v>
      </c>
      <c r="N2049" t="str">
        <f>IFERROR(INDEX(tProdutos[Foco],MATCH(tItens[[#This Row],[Produto]],tProdutos[Produto],0)),"Não")</f>
        <v>Não</v>
      </c>
      <c r="O2049" t="str">
        <f>IFERROR(INDEX(tEditais[SRP],MATCH(tItens[[#This Row],[Edital]],tEditais[Edital],0)),"Não")</f>
        <v>Sim</v>
      </c>
      <c r="P2049" s="4">
        <f>IF(COUNTIFS(INDEX(tItens[Edital],1):tItens[[#This Row],[Edital]],tItens[[#This Row],[Edital]],INDEX(tItens[Produto],1):tItens[[#This Row],[Produto]],tItens[[#This Row],[Produto]])=1,1,0)</f>
        <v>1</v>
      </c>
    </row>
    <row r="2050" spans="1:16" x14ac:dyDescent="0.25">
      <c r="A2050" t="s">
        <v>1205</v>
      </c>
      <c r="B2050">
        <v>84</v>
      </c>
      <c r="C2050" t="s">
        <v>5091</v>
      </c>
      <c r="D2050" t="s">
        <v>193</v>
      </c>
      <c r="E2050" s="13">
        <v>50</v>
      </c>
      <c r="F2050" s="12">
        <v>7.12</v>
      </c>
      <c r="G2050" t="str">
        <f>IFERROR(INDEX(tEditais[Órgão],MATCH(tItens[[#This Row],[Edital]],tEditais[Edital],0)),"")</f>
        <v>FUNDO MUNICIPAL DE SAUDE - FMS</v>
      </c>
      <c r="H2050" t="str">
        <f>IFERROR(INDEX(tEditais[UF],MATCH(tItens[[#This Row],[Edital]],tEditais[Edital],0)),"")</f>
        <v>GO</v>
      </c>
      <c r="I2050" s="11">
        <f>IFERROR(INDEX(tEditais[Encerramento],MATCH(tItens[[#This Row],[Edital]],tEditais[Edital],0)),"")</f>
        <v>46311.319444444445</v>
      </c>
      <c r="J2050" t="str">
        <f>IFERROR(INDEX(tProdutos[Classe],MATCH(tItens[[#This Row],[Produto]],tProdutos[Produto],0)),"produto não cadastrado")</f>
        <v>DISPUTADO</v>
      </c>
      <c r="K2050" s="12">
        <f>tItens[[#This Row],[Qtd]]*tItens[[#This Row],[Vlr unit]]</f>
        <v>356</v>
      </c>
      <c r="L2050" s="6">
        <f>IFERROR(IF(INDEX(tProdutos[Desconto homologado],MATCH(tItens[[#This Row],[Produto]],tProdutos[Produto],0))="",DescontoPadrao,INDEX(tProdutos[Desconto homologado],MATCH(tItens[[#This Row],[Produto]],tProdutos[Produto],0))),DescontoPadrao)</f>
        <v>0.293849658314351</v>
      </c>
      <c r="M2050" s="12">
        <f>tItens[[#This Row],[Valor]]*(1-tItens[[#This Row],[Desconto]])</f>
        <v>251.38952164009103</v>
      </c>
      <c r="N2050" t="str">
        <f>IFERROR(INDEX(tProdutos[Foco],MATCH(tItens[[#This Row],[Produto]],tProdutos[Produto],0)),"Não")</f>
        <v>Não</v>
      </c>
      <c r="O2050" t="str">
        <f>IFERROR(INDEX(tEditais[SRP],MATCH(tItens[[#This Row],[Edital]],tEditais[Edital],0)),"Não")</f>
        <v>Sim</v>
      </c>
      <c r="P2050" s="4">
        <f>IF(COUNTIFS(INDEX(tItens[Edital],1):tItens[[#This Row],[Edital]],tItens[[#This Row],[Edital]],INDEX(tItens[Produto],1):tItens[[#This Row],[Produto]],tItens[[#This Row],[Produto]])=1,1,0)</f>
        <v>0</v>
      </c>
    </row>
    <row r="2051" spans="1:16" x14ac:dyDescent="0.25">
      <c r="A2051" t="s">
        <v>1205</v>
      </c>
      <c r="B2051">
        <v>91</v>
      </c>
      <c r="C2051" t="s">
        <v>5092</v>
      </c>
      <c r="D2051" t="s">
        <v>90</v>
      </c>
      <c r="E2051" s="13">
        <v>500</v>
      </c>
      <c r="F2051" s="12">
        <v>5.59</v>
      </c>
      <c r="G2051" t="str">
        <f>IFERROR(INDEX(tEditais[Órgão],MATCH(tItens[[#This Row],[Edital]],tEditais[Edital],0)),"")</f>
        <v>FUNDO MUNICIPAL DE SAUDE - FMS</v>
      </c>
      <c r="H2051" t="str">
        <f>IFERROR(INDEX(tEditais[UF],MATCH(tItens[[#This Row],[Edital]],tEditais[Edital],0)),"")</f>
        <v>GO</v>
      </c>
      <c r="I2051" s="11">
        <f>IFERROR(INDEX(tEditais[Encerramento],MATCH(tItens[[#This Row],[Edital]],tEditais[Edital],0)),"")</f>
        <v>46311.319444444445</v>
      </c>
      <c r="J2051" t="str">
        <f>IFERROR(INDEX(tProdutos[Classe],MATCH(tItens[[#This Row],[Produto]],tProdutos[Produto],0)),"produto não cadastrado")</f>
        <v>DISPUTADO</v>
      </c>
      <c r="K2051" s="12">
        <f>tItens[[#This Row],[Qtd]]*tItens[[#This Row],[Vlr unit]]</f>
        <v>2795</v>
      </c>
      <c r="L2051" s="6">
        <f>IFERROR(IF(INDEX(tProdutos[Desconto homologado],MATCH(tItens[[#This Row],[Produto]],tProdutos[Produto],0))="",DescontoPadrao,INDEX(tProdutos[Desconto homologado],MATCH(tItens[[#This Row],[Produto]],tProdutos[Produto],0))),DescontoPadrao)</f>
        <v>0.25393823957010597</v>
      </c>
      <c r="M2051" s="12">
        <f>tItens[[#This Row],[Valor]]*(1-tItens[[#This Row],[Desconto]])</f>
        <v>2085.2426204015537</v>
      </c>
      <c r="N2051" t="str">
        <f>IFERROR(INDEX(tProdutos[Foco],MATCH(tItens[[#This Row],[Produto]],tProdutos[Produto],0)),"Não")</f>
        <v>Não</v>
      </c>
      <c r="O2051" t="str">
        <f>IFERROR(INDEX(tEditais[SRP],MATCH(tItens[[#This Row],[Edital]],tEditais[Edital],0)),"Não")</f>
        <v>Sim</v>
      </c>
      <c r="P2051" s="4">
        <f>IF(COUNTIFS(INDEX(tItens[Edital],1):tItens[[#This Row],[Edital]],tItens[[#This Row],[Edital]],INDEX(tItens[Produto],1):tItens[[#This Row],[Produto]],tItens[[#This Row],[Produto]])=1,1,0)</f>
        <v>1</v>
      </c>
    </row>
    <row r="2052" spans="1:16" x14ac:dyDescent="0.25">
      <c r="A2052" t="s">
        <v>1205</v>
      </c>
      <c r="B2052">
        <v>93</v>
      </c>
      <c r="C2052" t="s">
        <v>5093</v>
      </c>
      <c r="D2052" t="s">
        <v>189</v>
      </c>
      <c r="E2052" s="13">
        <v>30</v>
      </c>
      <c r="F2052" s="12">
        <v>87.96</v>
      </c>
      <c r="G2052" t="str">
        <f>IFERROR(INDEX(tEditais[Órgão],MATCH(tItens[[#This Row],[Edital]],tEditais[Edital],0)),"")</f>
        <v>FUNDO MUNICIPAL DE SAUDE - FMS</v>
      </c>
      <c r="H2052" t="str">
        <f>IFERROR(INDEX(tEditais[UF],MATCH(tItens[[#This Row],[Edital]],tEditais[Edital],0)),"")</f>
        <v>GO</v>
      </c>
      <c r="I2052" s="11">
        <f>IFERROR(INDEX(tEditais[Encerramento],MATCH(tItens[[#This Row],[Edital]],tEditais[Edital],0)),"")</f>
        <v>46311.319444444445</v>
      </c>
      <c r="J2052" t="str">
        <f>IFERROR(INDEX(tProdutos[Classe],MATCH(tItens[[#This Row],[Produto]],tProdutos[Produto],0)),"produto não cadastrado")</f>
        <v>DISPUTADO</v>
      </c>
      <c r="K2052" s="12">
        <f>tItens[[#This Row],[Qtd]]*tItens[[#This Row],[Vlr unit]]</f>
        <v>2638.7999999999997</v>
      </c>
      <c r="L2052" s="6">
        <f>IFERROR(IF(INDEX(tProdutos[Desconto homologado],MATCH(tItens[[#This Row],[Produto]],tProdutos[Produto],0))="",DescontoPadrao,INDEX(tProdutos[Desconto homologado],MATCH(tItens[[#This Row],[Produto]],tProdutos[Produto],0))),DescontoPadrao)</f>
        <v>0.33088052268966101</v>
      </c>
      <c r="M2052" s="12">
        <f>tItens[[#This Row],[Valor]]*(1-tItens[[#This Row],[Desconto]])</f>
        <v>1765.6724767265225</v>
      </c>
      <c r="N2052" t="str">
        <f>IFERROR(INDEX(tProdutos[Foco],MATCH(tItens[[#This Row],[Produto]],tProdutos[Produto],0)),"Não")</f>
        <v>Não</v>
      </c>
      <c r="O2052" t="str">
        <f>IFERROR(INDEX(tEditais[SRP],MATCH(tItens[[#This Row],[Edital]],tEditais[Edital],0)),"Não")</f>
        <v>Sim</v>
      </c>
      <c r="P2052" s="4">
        <f>IF(COUNTIFS(INDEX(tItens[Edital],1):tItens[[#This Row],[Edital]],tItens[[#This Row],[Edital]],INDEX(tItens[Produto],1):tItens[[#This Row],[Produto]],tItens[[#This Row],[Produto]])=1,1,0)</f>
        <v>1</v>
      </c>
    </row>
    <row r="2053" spans="1:16" x14ac:dyDescent="0.25">
      <c r="A2053" t="s">
        <v>1205</v>
      </c>
      <c r="B2053">
        <v>94</v>
      </c>
      <c r="C2053" t="s">
        <v>5094</v>
      </c>
      <c r="D2053" t="s">
        <v>189</v>
      </c>
      <c r="E2053" s="13">
        <v>8</v>
      </c>
      <c r="F2053" s="12">
        <v>87.96</v>
      </c>
      <c r="G2053" t="str">
        <f>IFERROR(INDEX(tEditais[Órgão],MATCH(tItens[[#This Row],[Edital]],tEditais[Edital],0)),"")</f>
        <v>FUNDO MUNICIPAL DE SAUDE - FMS</v>
      </c>
      <c r="H2053" t="str">
        <f>IFERROR(INDEX(tEditais[UF],MATCH(tItens[[#This Row],[Edital]],tEditais[Edital],0)),"")</f>
        <v>GO</v>
      </c>
      <c r="I2053" s="11">
        <f>IFERROR(INDEX(tEditais[Encerramento],MATCH(tItens[[#This Row],[Edital]],tEditais[Edital],0)),"")</f>
        <v>46311.319444444445</v>
      </c>
      <c r="J2053" t="str">
        <f>IFERROR(INDEX(tProdutos[Classe],MATCH(tItens[[#This Row],[Produto]],tProdutos[Produto],0)),"produto não cadastrado")</f>
        <v>DISPUTADO</v>
      </c>
      <c r="K2053" s="12">
        <f>tItens[[#This Row],[Qtd]]*tItens[[#This Row],[Vlr unit]]</f>
        <v>703.68</v>
      </c>
      <c r="L2053" s="6">
        <f>IFERROR(IF(INDEX(tProdutos[Desconto homologado],MATCH(tItens[[#This Row],[Produto]],tProdutos[Produto],0))="",DescontoPadrao,INDEX(tProdutos[Desconto homologado],MATCH(tItens[[#This Row],[Produto]],tProdutos[Produto],0))),DescontoPadrao)</f>
        <v>0.33088052268966101</v>
      </c>
      <c r="M2053" s="12">
        <f>tItens[[#This Row],[Valor]]*(1-tItens[[#This Row],[Desconto]])</f>
        <v>470.84599379373935</v>
      </c>
      <c r="N2053" t="str">
        <f>IFERROR(INDEX(tProdutos[Foco],MATCH(tItens[[#This Row],[Produto]],tProdutos[Produto],0)),"Não")</f>
        <v>Não</v>
      </c>
      <c r="O2053" t="str">
        <f>IFERROR(INDEX(tEditais[SRP],MATCH(tItens[[#This Row],[Edital]],tEditais[Edital],0)),"Não")</f>
        <v>Sim</v>
      </c>
      <c r="P2053" s="4">
        <f>IF(COUNTIFS(INDEX(tItens[Edital],1):tItens[[#This Row],[Edital]],tItens[[#This Row],[Edital]],INDEX(tItens[Produto],1):tItens[[#This Row],[Produto]],tItens[[#This Row],[Produto]])=1,1,0)</f>
        <v>0</v>
      </c>
    </row>
    <row r="2054" spans="1:16" x14ac:dyDescent="0.25">
      <c r="A2054" t="s">
        <v>1205</v>
      </c>
      <c r="B2054">
        <v>95</v>
      </c>
      <c r="C2054" t="s">
        <v>5095</v>
      </c>
      <c r="D2054" t="s">
        <v>189</v>
      </c>
      <c r="E2054" s="13">
        <v>14</v>
      </c>
      <c r="F2054" s="12">
        <v>95.69</v>
      </c>
      <c r="G2054" t="str">
        <f>IFERROR(INDEX(tEditais[Órgão],MATCH(tItens[[#This Row],[Edital]],tEditais[Edital],0)),"")</f>
        <v>FUNDO MUNICIPAL DE SAUDE - FMS</v>
      </c>
      <c r="H2054" t="str">
        <f>IFERROR(INDEX(tEditais[UF],MATCH(tItens[[#This Row],[Edital]],tEditais[Edital],0)),"")</f>
        <v>GO</v>
      </c>
      <c r="I2054" s="11">
        <f>IFERROR(INDEX(tEditais[Encerramento],MATCH(tItens[[#This Row],[Edital]],tEditais[Edital],0)),"")</f>
        <v>46311.319444444445</v>
      </c>
      <c r="J2054" t="str">
        <f>IFERROR(INDEX(tProdutos[Classe],MATCH(tItens[[#This Row],[Produto]],tProdutos[Produto],0)),"produto não cadastrado")</f>
        <v>DISPUTADO</v>
      </c>
      <c r="K2054" s="12">
        <f>tItens[[#This Row],[Qtd]]*tItens[[#This Row],[Vlr unit]]</f>
        <v>1339.6599999999999</v>
      </c>
      <c r="L2054" s="6">
        <f>IFERROR(IF(INDEX(tProdutos[Desconto homologado],MATCH(tItens[[#This Row],[Produto]],tProdutos[Produto],0))="",DescontoPadrao,INDEX(tProdutos[Desconto homologado],MATCH(tItens[[#This Row],[Produto]],tProdutos[Produto],0))),DescontoPadrao)</f>
        <v>0.33088052268966101</v>
      </c>
      <c r="M2054" s="12">
        <f>tItens[[#This Row],[Valor]]*(1-tItens[[#This Row],[Desconto]])</f>
        <v>896.39259897356874</v>
      </c>
      <c r="N2054" t="str">
        <f>IFERROR(INDEX(tProdutos[Foco],MATCH(tItens[[#This Row],[Produto]],tProdutos[Produto],0)),"Não")</f>
        <v>Não</v>
      </c>
      <c r="O2054" t="str">
        <f>IFERROR(INDEX(tEditais[SRP],MATCH(tItens[[#This Row],[Edital]],tEditais[Edital],0)),"Não")</f>
        <v>Sim</v>
      </c>
      <c r="P2054" s="4">
        <f>IF(COUNTIFS(INDEX(tItens[Edital],1):tItens[[#This Row],[Edital]],tItens[[#This Row],[Edital]],INDEX(tItens[Produto],1):tItens[[#This Row],[Produto]],tItens[[#This Row],[Produto]])=1,1,0)</f>
        <v>0</v>
      </c>
    </row>
    <row r="2055" spans="1:16" x14ac:dyDescent="0.25">
      <c r="A2055" t="s">
        <v>1205</v>
      </c>
      <c r="B2055">
        <v>101</v>
      </c>
      <c r="C2055" t="s">
        <v>5096</v>
      </c>
      <c r="D2055" t="s">
        <v>189</v>
      </c>
      <c r="E2055" s="13">
        <v>30</v>
      </c>
      <c r="F2055" s="12">
        <v>268.87</v>
      </c>
      <c r="G2055" t="str">
        <f>IFERROR(INDEX(tEditais[Órgão],MATCH(tItens[[#This Row],[Edital]],tEditais[Edital],0)),"")</f>
        <v>FUNDO MUNICIPAL DE SAUDE - FMS</v>
      </c>
      <c r="H2055" t="str">
        <f>IFERROR(INDEX(tEditais[UF],MATCH(tItens[[#This Row],[Edital]],tEditais[Edital],0)),"")</f>
        <v>GO</v>
      </c>
      <c r="I2055" s="11">
        <f>IFERROR(INDEX(tEditais[Encerramento],MATCH(tItens[[#This Row],[Edital]],tEditais[Edital],0)),"")</f>
        <v>46311.319444444445</v>
      </c>
      <c r="J2055" t="str">
        <f>IFERROR(INDEX(tProdutos[Classe],MATCH(tItens[[#This Row],[Produto]],tProdutos[Produto],0)),"produto não cadastrado")</f>
        <v>DISPUTADO</v>
      </c>
      <c r="K2055" s="12">
        <f>tItens[[#This Row],[Qtd]]*tItens[[#This Row],[Vlr unit]]</f>
        <v>8066.1</v>
      </c>
      <c r="L2055" s="6">
        <f>IFERROR(IF(INDEX(tProdutos[Desconto homologado],MATCH(tItens[[#This Row],[Produto]],tProdutos[Produto],0))="",DescontoPadrao,INDEX(tProdutos[Desconto homologado],MATCH(tItens[[#This Row],[Produto]],tProdutos[Produto],0))),DescontoPadrao)</f>
        <v>0.33088052268966101</v>
      </c>
      <c r="M2055" s="12">
        <f>tItens[[#This Row],[Valor]]*(1-tItens[[#This Row],[Desconto]])</f>
        <v>5397.1846159329261</v>
      </c>
      <c r="N2055" t="str">
        <f>IFERROR(INDEX(tProdutos[Foco],MATCH(tItens[[#This Row],[Produto]],tProdutos[Produto],0)),"Não")</f>
        <v>Não</v>
      </c>
      <c r="O2055" t="str">
        <f>IFERROR(INDEX(tEditais[SRP],MATCH(tItens[[#This Row],[Edital]],tEditais[Edital],0)),"Não")</f>
        <v>Sim</v>
      </c>
      <c r="P2055" s="4">
        <f>IF(COUNTIFS(INDEX(tItens[Edital],1):tItens[[#This Row],[Edital]],tItens[[#This Row],[Edital]],INDEX(tItens[Produto],1):tItens[[#This Row],[Produto]],tItens[[#This Row],[Produto]])=1,1,0)</f>
        <v>0</v>
      </c>
    </row>
    <row r="2056" spans="1:16" x14ac:dyDescent="0.25">
      <c r="A2056" t="s">
        <v>1205</v>
      </c>
      <c r="B2056">
        <v>102</v>
      </c>
      <c r="C2056" t="s">
        <v>5097</v>
      </c>
      <c r="D2056" t="s">
        <v>189</v>
      </c>
      <c r="E2056" s="13">
        <v>20</v>
      </c>
      <c r="F2056" s="12">
        <v>251.89</v>
      </c>
      <c r="G2056" t="str">
        <f>IFERROR(INDEX(tEditais[Órgão],MATCH(tItens[[#This Row],[Edital]],tEditais[Edital],0)),"")</f>
        <v>FUNDO MUNICIPAL DE SAUDE - FMS</v>
      </c>
      <c r="H2056" t="str">
        <f>IFERROR(INDEX(tEditais[UF],MATCH(tItens[[#This Row],[Edital]],tEditais[Edital],0)),"")</f>
        <v>GO</v>
      </c>
      <c r="I2056" s="11">
        <f>IFERROR(INDEX(tEditais[Encerramento],MATCH(tItens[[#This Row],[Edital]],tEditais[Edital],0)),"")</f>
        <v>46311.319444444445</v>
      </c>
      <c r="J2056" t="str">
        <f>IFERROR(INDEX(tProdutos[Classe],MATCH(tItens[[#This Row],[Produto]],tProdutos[Produto],0)),"produto não cadastrado")</f>
        <v>DISPUTADO</v>
      </c>
      <c r="K2056" s="12">
        <f>tItens[[#This Row],[Qtd]]*tItens[[#This Row],[Vlr unit]]</f>
        <v>5037.7999999999993</v>
      </c>
      <c r="L2056" s="6">
        <f>IFERROR(IF(INDEX(tProdutos[Desconto homologado],MATCH(tItens[[#This Row],[Produto]],tProdutos[Produto],0))="",DescontoPadrao,INDEX(tProdutos[Desconto homologado],MATCH(tItens[[#This Row],[Produto]],tProdutos[Produto],0))),DescontoPadrao)</f>
        <v>0.33088052268966101</v>
      </c>
      <c r="M2056" s="12">
        <f>tItens[[#This Row],[Valor]]*(1-tItens[[#This Row],[Desconto]])</f>
        <v>3370.8901027940256</v>
      </c>
      <c r="N2056" t="str">
        <f>IFERROR(INDEX(tProdutos[Foco],MATCH(tItens[[#This Row],[Produto]],tProdutos[Produto],0)),"Não")</f>
        <v>Não</v>
      </c>
      <c r="O2056" t="str">
        <f>IFERROR(INDEX(tEditais[SRP],MATCH(tItens[[#This Row],[Edital]],tEditais[Edital],0)),"Não")</f>
        <v>Sim</v>
      </c>
      <c r="P2056" s="4">
        <f>IF(COUNTIFS(INDEX(tItens[Edital],1):tItens[[#This Row],[Edital]],tItens[[#This Row],[Edital]],INDEX(tItens[Produto],1):tItens[[#This Row],[Produto]],tItens[[#This Row],[Produto]])=1,1,0)</f>
        <v>0</v>
      </c>
    </row>
    <row r="2057" spans="1:16" x14ac:dyDescent="0.25">
      <c r="A2057" t="s">
        <v>1205</v>
      </c>
      <c r="B2057">
        <v>103</v>
      </c>
      <c r="C2057" t="s">
        <v>5098</v>
      </c>
      <c r="D2057" t="s">
        <v>461</v>
      </c>
      <c r="E2057" s="13">
        <v>5</v>
      </c>
      <c r="F2057" s="12">
        <v>53.92</v>
      </c>
      <c r="G2057" t="str">
        <f>IFERROR(INDEX(tEditais[Órgão],MATCH(tItens[[#This Row],[Edital]],tEditais[Edital],0)),"")</f>
        <v>FUNDO MUNICIPAL DE SAUDE - FMS</v>
      </c>
      <c r="H2057" t="str">
        <f>IFERROR(INDEX(tEditais[UF],MATCH(tItens[[#This Row],[Edital]],tEditais[Edital],0)),"")</f>
        <v>GO</v>
      </c>
      <c r="I2057" s="11">
        <f>IFERROR(INDEX(tEditais[Encerramento],MATCH(tItens[[#This Row],[Edital]],tEditais[Edital],0)),"")</f>
        <v>46311.319444444445</v>
      </c>
      <c r="J2057" t="str">
        <f>IFERROR(INDEX(tProdutos[Classe],MATCH(tItens[[#This Row],[Produto]],tProdutos[Produto],0)),"produto não cadastrado")</f>
        <v>FILA REBASE</v>
      </c>
      <c r="K2057" s="12">
        <f>tItens[[#This Row],[Qtd]]*tItens[[#This Row],[Vlr unit]]</f>
        <v>269.60000000000002</v>
      </c>
      <c r="L2057" s="6">
        <f>IFERROR(IF(INDEX(tProdutos[Desconto homologado],MATCH(tItens[[#This Row],[Produto]],tProdutos[Produto],0))="",DescontoPadrao,INDEX(tProdutos[Desconto homologado],MATCH(tItens[[#This Row],[Produto]],tProdutos[Produto],0))),DescontoPadrao)</f>
        <v>0.44096385542168698</v>
      </c>
      <c r="M2057" s="12">
        <f>tItens[[#This Row],[Valor]]*(1-tItens[[#This Row],[Desconto]])</f>
        <v>150.71614457831319</v>
      </c>
      <c r="N2057" t="str">
        <f>IFERROR(INDEX(tProdutos[Foco],MATCH(tItens[[#This Row],[Produto]],tProdutos[Produto],0)),"Não")</f>
        <v>Não</v>
      </c>
      <c r="O2057" t="str">
        <f>IFERROR(INDEX(tEditais[SRP],MATCH(tItens[[#This Row],[Edital]],tEditais[Edital],0)),"Não")</f>
        <v>Sim</v>
      </c>
      <c r="P2057" s="4">
        <f>IF(COUNTIFS(INDEX(tItens[Edital],1):tItens[[#This Row],[Edital]],tItens[[#This Row],[Edital]],INDEX(tItens[Produto],1):tItens[[#This Row],[Produto]],tItens[[#This Row],[Produto]])=1,1,0)</f>
        <v>1</v>
      </c>
    </row>
    <row r="2058" spans="1:16" x14ac:dyDescent="0.25">
      <c r="A2058" t="s">
        <v>1205</v>
      </c>
      <c r="B2058">
        <v>104</v>
      </c>
      <c r="C2058" t="s">
        <v>5099</v>
      </c>
      <c r="D2058" t="s">
        <v>461</v>
      </c>
      <c r="E2058" s="13">
        <v>2</v>
      </c>
      <c r="F2058" s="12">
        <v>44.06</v>
      </c>
      <c r="G2058" t="str">
        <f>IFERROR(INDEX(tEditais[Órgão],MATCH(tItens[[#This Row],[Edital]],tEditais[Edital],0)),"")</f>
        <v>FUNDO MUNICIPAL DE SAUDE - FMS</v>
      </c>
      <c r="H2058" t="str">
        <f>IFERROR(INDEX(tEditais[UF],MATCH(tItens[[#This Row],[Edital]],tEditais[Edital],0)),"")</f>
        <v>GO</v>
      </c>
      <c r="I2058" s="11">
        <f>IFERROR(INDEX(tEditais[Encerramento],MATCH(tItens[[#This Row],[Edital]],tEditais[Edital],0)),"")</f>
        <v>46311.319444444445</v>
      </c>
      <c r="J2058" t="str">
        <f>IFERROR(INDEX(tProdutos[Classe],MATCH(tItens[[#This Row],[Produto]],tProdutos[Produto],0)),"produto não cadastrado")</f>
        <v>FILA REBASE</v>
      </c>
      <c r="K2058" s="12">
        <f>tItens[[#This Row],[Qtd]]*tItens[[#This Row],[Vlr unit]]</f>
        <v>88.12</v>
      </c>
      <c r="L2058" s="6">
        <f>IFERROR(IF(INDEX(tProdutos[Desconto homologado],MATCH(tItens[[#This Row],[Produto]],tProdutos[Produto],0))="",DescontoPadrao,INDEX(tProdutos[Desconto homologado],MATCH(tItens[[#This Row],[Produto]],tProdutos[Produto],0))),DescontoPadrao)</f>
        <v>0.44096385542168698</v>
      </c>
      <c r="M2058" s="12">
        <f>tItens[[#This Row],[Valor]]*(1-tItens[[#This Row],[Desconto]])</f>
        <v>49.262265060240942</v>
      </c>
      <c r="N2058" t="str">
        <f>IFERROR(INDEX(tProdutos[Foco],MATCH(tItens[[#This Row],[Produto]],tProdutos[Produto],0)),"Não")</f>
        <v>Não</v>
      </c>
      <c r="O2058" t="str">
        <f>IFERROR(INDEX(tEditais[SRP],MATCH(tItens[[#This Row],[Edital]],tEditais[Edital],0)),"Não")</f>
        <v>Sim</v>
      </c>
      <c r="P2058" s="4">
        <f>IF(COUNTIFS(INDEX(tItens[Edital],1):tItens[[#This Row],[Edital]],tItens[[#This Row],[Edital]],INDEX(tItens[Produto],1):tItens[[#This Row],[Produto]],tItens[[#This Row],[Produto]])=1,1,0)</f>
        <v>0</v>
      </c>
    </row>
    <row r="2059" spans="1:16" x14ac:dyDescent="0.25">
      <c r="A2059" t="s">
        <v>1205</v>
      </c>
      <c r="B2059">
        <v>105</v>
      </c>
      <c r="C2059" t="s">
        <v>5100</v>
      </c>
      <c r="D2059" t="s">
        <v>461</v>
      </c>
      <c r="E2059" s="13">
        <v>5</v>
      </c>
      <c r="F2059" s="12">
        <v>60.15</v>
      </c>
      <c r="G2059" t="str">
        <f>IFERROR(INDEX(tEditais[Órgão],MATCH(tItens[[#This Row],[Edital]],tEditais[Edital],0)),"")</f>
        <v>FUNDO MUNICIPAL DE SAUDE - FMS</v>
      </c>
      <c r="H2059" t="str">
        <f>IFERROR(INDEX(tEditais[UF],MATCH(tItens[[#This Row],[Edital]],tEditais[Edital],0)),"")</f>
        <v>GO</v>
      </c>
      <c r="I2059" s="11">
        <f>IFERROR(INDEX(tEditais[Encerramento],MATCH(tItens[[#This Row],[Edital]],tEditais[Edital],0)),"")</f>
        <v>46311.319444444445</v>
      </c>
      <c r="J2059" t="str">
        <f>IFERROR(INDEX(tProdutos[Classe],MATCH(tItens[[#This Row],[Produto]],tProdutos[Produto],0)),"produto não cadastrado")</f>
        <v>FILA REBASE</v>
      </c>
      <c r="K2059" s="12">
        <f>tItens[[#This Row],[Qtd]]*tItens[[#This Row],[Vlr unit]]</f>
        <v>300.75</v>
      </c>
      <c r="L2059" s="6">
        <f>IFERROR(IF(INDEX(tProdutos[Desconto homologado],MATCH(tItens[[#This Row],[Produto]],tProdutos[Produto],0))="",DescontoPadrao,INDEX(tProdutos[Desconto homologado],MATCH(tItens[[#This Row],[Produto]],tProdutos[Produto],0))),DescontoPadrao)</f>
        <v>0.44096385542168698</v>
      </c>
      <c r="M2059" s="12">
        <f>tItens[[#This Row],[Valor]]*(1-tItens[[#This Row],[Desconto]])</f>
        <v>168.13012048192763</v>
      </c>
      <c r="N2059" t="str">
        <f>IFERROR(INDEX(tProdutos[Foco],MATCH(tItens[[#This Row],[Produto]],tProdutos[Produto],0)),"Não")</f>
        <v>Não</v>
      </c>
      <c r="O2059" t="str">
        <f>IFERROR(INDEX(tEditais[SRP],MATCH(tItens[[#This Row],[Edital]],tEditais[Edital],0)),"Não")</f>
        <v>Sim</v>
      </c>
      <c r="P2059" s="4">
        <f>IF(COUNTIFS(INDEX(tItens[Edital],1):tItens[[#This Row],[Edital]],tItens[[#This Row],[Edital]],INDEX(tItens[Produto],1):tItens[[#This Row],[Produto]],tItens[[#This Row],[Produto]])=1,1,0)</f>
        <v>0</v>
      </c>
    </row>
    <row r="2060" spans="1:16" x14ac:dyDescent="0.25">
      <c r="A2060" t="s">
        <v>1205</v>
      </c>
      <c r="B2060">
        <v>109</v>
      </c>
      <c r="C2060" t="s">
        <v>5101</v>
      </c>
      <c r="D2060" t="s">
        <v>461</v>
      </c>
      <c r="E2060" s="13">
        <v>5</v>
      </c>
      <c r="F2060" s="12">
        <v>131.32</v>
      </c>
      <c r="G2060" t="str">
        <f>IFERROR(INDEX(tEditais[Órgão],MATCH(tItens[[#This Row],[Edital]],tEditais[Edital],0)),"")</f>
        <v>FUNDO MUNICIPAL DE SAUDE - FMS</v>
      </c>
      <c r="H2060" t="str">
        <f>IFERROR(INDEX(tEditais[UF],MATCH(tItens[[#This Row],[Edital]],tEditais[Edital],0)),"")</f>
        <v>GO</v>
      </c>
      <c r="I2060" s="11">
        <f>IFERROR(INDEX(tEditais[Encerramento],MATCH(tItens[[#This Row],[Edital]],tEditais[Edital],0)),"")</f>
        <v>46311.319444444445</v>
      </c>
      <c r="J2060" t="str">
        <f>IFERROR(INDEX(tProdutos[Classe],MATCH(tItens[[#This Row],[Produto]],tProdutos[Produto],0)),"produto não cadastrado")</f>
        <v>FILA REBASE</v>
      </c>
      <c r="K2060" s="12">
        <f>tItens[[#This Row],[Qtd]]*tItens[[#This Row],[Vlr unit]]</f>
        <v>656.59999999999991</v>
      </c>
      <c r="L2060" s="6">
        <f>IFERROR(IF(INDEX(tProdutos[Desconto homologado],MATCH(tItens[[#This Row],[Produto]],tProdutos[Produto],0))="",DescontoPadrao,INDEX(tProdutos[Desconto homologado],MATCH(tItens[[#This Row],[Produto]],tProdutos[Produto],0))),DescontoPadrao)</f>
        <v>0.44096385542168698</v>
      </c>
      <c r="M2060" s="12">
        <f>tItens[[#This Row],[Valor]]*(1-tItens[[#This Row],[Desconto]])</f>
        <v>367.06313253012024</v>
      </c>
      <c r="N2060" t="str">
        <f>IFERROR(INDEX(tProdutos[Foco],MATCH(tItens[[#This Row],[Produto]],tProdutos[Produto],0)),"Não")</f>
        <v>Não</v>
      </c>
      <c r="O2060" t="str">
        <f>IFERROR(INDEX(tEditais[SRP],MATCH(tItens[[#This Row],[Edital]],tEditais[Edital],0)),"Não")</f>
        <v>Sim</v>
      </c>
      <c r="P2060" s="4">
        <f>IF(COUNTIFS(INDEX(tItens[Edital],1):tItens[[#This Row],[Edital]],tItens[[#This Row],[Edital]],INDEX(tItens[Produto],1):tItens[[#This Row],[Produto]],tItens[[#This Row],[Produto]])=1,1,0)</f>
        <v>0</v>
      </c>
    </row>
    <row r="2061" spans="1:16" x14ac:dyDescent="0.25">
      <c r="A2061" t="s">
        <v>1205</v>
      </c>
      <c r="B2061">
        <v>110</v>
      </c>
      <c r="C2061" t="s">
        <v>5102</v>
      </c>
      <c r="D2061" t="s">
        <v>461</v>
      </c>
      <c r="E2061" s="13">
        <v>15</v>
      </c>
      <c r="F2061" s="12">
        <v>52.38</v>
      </c>
      <c r="G2061" t="str">
        <f>IFERROR(INDEX(tEditais[Órgão],MATCH(tItens[[#This Row],[Edital]],tEditais[Edital],0)),"")</f>
        <v>FUNDO MUNICIPAL DE SAUDE - FMS</v>
      </c>
      <c r="H2061" t="str">
        <f>IFERROR(INDEX(tEditais[UF],MATCH(tItens[[#This Row],[Edital]],tEditais[Edital],0)),"")</f>
        <v>GO</v>
      </c>
      <c r="I2061" s="11">
        <f>IFERROR(INDEX(tEditais[Encerramento],MATCH(tItens[[#This Row],[Edital]],tEditais[Edital],0)),"")</f>
        <v>46311.319444444445</v>
      </c>
      <c r="J2061" t="str">
        <f>IFERROR(INDEX(tProdutos[Classe],MATCH(tItens[[#This Row],[Produto]],tProdutos[Produto],0)),"produto não cadastrado")</f>
        <v>FILA REBASE</v>
      </c>
      <c r="K2061" s="12">
        <f>tItens[[#This Row],[Qtd]]*tItens[[#This Row],[Vlr unit]]</f>
        <v>785.7</v>
      </c>
      <c r="L2061" s="6">
        <f>IFERROR(IF(INDEX(tProdutos[Desconto homologado],MATCH(tItens[[#This Row],[Produto]],tProdutos[Produto],0))="",DescontoPadrao,INDEX(tProdutos[Desconto homologado],MATCH(tItens[[#This Row],[Produto]],tProdutos[Produto],0))),DescontoPadrao)</f>
        <v>0.44096385542168698</v>
      </c>
      <c r="M2061" s="12">
        <f>tItens[[#This Row],[Valor]]*(1-tItens[[#This Row],[Desconto]])</f>
        <v>439.23469879518052</v>
      </c>
      <c r="N2061" t="str">
        <f>IFERROR(INDEX(tProdutos[Foco],MATCH(tItens[[#This Row],[Produto]],tProdutos[Produto],0)),"Não")</f>
        <v>Não</v>
      </c>
      <c r="O2061" t="str">
        <f>IFERROR(INDEX(tEditais[SRP],MATCH(tItens[[#This Row],[Edital]],tEditais[Edital],0)),"Não")</f>
        <v>Sim</v>
      </c>
      <c r="P2061" s="4">
        <f>IF(COUNTIFS(INDEX(tItens[Edital],1):tItens[[#This Row],[Edital]],tItens[[#This Row],[Edital]],INDEX(tItens[Produto],1):tItens[[#This Row],[Produto]],tItens[[#This Row],[Produto]])=1,1,0)</f>
        <v>0</v>
      </c>
    </row>
    <row r="2062" spans="1:16" x14ac:dyDescent="0.25">
      <c r="A2062" t="s">
        <v>1205</v>
      </c>
      <c r="B2062">
        <v>111</v>
      </c>
      <c r="C2062" t="s">
        <v>5103</v>
      </c>
      <c r="D2062" t="s">
        <v>461</v>
      </c>
      <c r="E2062" s="13">
        <v>15</v>
      </c>
      <c r="F2062" s="12">
        <v>54.71</v>
      </c>
      <c r="G2062" t="str">
        <f>IFERROR(INDEX(tEditais[Órgão],MATCH(tItens[[#This Row],[Edital]],tEditais[Edital],0)),"")</f>
        <v>FUNDO MUNICIPAL DE SAUDE - FMS</v>
      </c>
      <c r="H2062" t="str">
        <f>IFERROR(INDEX(tEditais[UF],MATCH(tItens[[#This Row],[Edital]],tEditais[Edital],0)),"")</f>
        <v>GO</v>
      </c>
      <c r="I2062" s="11">
        <f>IFERROR(INDEX(tEditais[Encerramento],MATCH(tItens[[#This Row],[Edital]],tEditais[Edital],0)),"")</f>
        <v>46311.319444444445</v>
      </c>
      <c r="J2062" t="str">
        <f>IFERROR(INDEX(tProdutos[Classe],MATCH(tItens[[#This Row],[Produto]],tProdutos[Produto],0)),"produto não cadastrado")</f>
        <v>FILA REBASE</v>
      </c>
      <c r="K2062" s="12">
        <f>tItens[[#This Row],[Qtd]]*tItens[[#This Row],[Vlr unit]]</f>
        <v>820.65</v>
      </c>
      <c r="L2062" s="6">
        <f>IFERROR(IF(INDEX(tProdutos[Desconto homologado],MATCH(tItens[[#This Row],[Produto]],tProdutos[Produto],0))="",DescontoPadrao,INDEX(tProdutos[Desconto homologado],MATCH(tItens[[#This Row],[Produto]],tProdutos[Produto],0))),DescontoPadrao)</f>
        <v>0.44096385542168698</v>
      </c>
      <c r="M2062" s="12">
        <f>tItens[[#This Row],[Valor]]*(1-tItens[[#This Row],[Desconto]])</f>
        <v>458.77301204819253</v>
      </c>
      <c r="N2062" t="str">
        <f>IFERROR(INDEX(tProdutos[Foco],MATCH(tItens[[#This Row],[Produto]],tProdutos[Produto],0)),"Não")</f>
        <v>Não</v>
      </c>
      <c r="O2062" t="str">
        <f>IFERROR(INDEX(tEditais[SRP],MATCH(tItens[[#This Row],[Edital]],tEditais[Edital],0)),"Não")</f>
        <v>Sim</v>
      </c>
      <c r="P2062" s="4">
        <f>IF(COUNTIFS(INDEX(tItens[Edital],1):tItens[[#This Row],[Edital]],tItens[[#This Row],[Edital]],INDEX(tItens[Produto],1):tItens[[#This Row],[Produto]],tItens[[#This Row],[Produto]])=1,1,0)</f>
        <v>0</v>
      </c>
    </row>
    <row r="2063" spans="1:16" x14ac:dyDescent="0.25">
      <c r="A2063" t="s">
        <v>1205</v>
      </c>
      <c r="B2063">
        <v>113</v>
      </c>
      <c r="C2063" t="s">
        <v>5104</v>
      </c>
      <c r="D2063" t="s">
        <v>345</v>
      </c>
      <c r="E2063" s="13">
        <v>1000</v>
      </c>
      <c r="F2063" s="12">
        <v>1.67</v>
      </c>
      <c r="G2063" t="str">
        <f>IFERROR(INDEX(tEditais[Órgão],MATCH(tItens[[#This Row],[Edital]],tEditais[Edital],0)),"")</f>
        <v>FUNDO MUNICIPAL DE SAUDE - FMS</v>
      </c>
      <c r="H2063" t="str">
        <f>IFERROR(INDEX(tEditais[UF],MATCH(tItens[[#This Row],[Edital]],tEditais[Edital],0)),"")</f>
        <v>GO</v>
      </c>
      <c r="I2063" s="11">
        <f>IFERROR(INDEX(tEditais[Encerramento],MATCH(tItens[[#This Row],[Edital]],tEditais[Edital],0)),"")</f>
        <v>46311.319444444445</v>
      </c>
      <c r="J2063" t="str">
        <f>IFERROR(INDEX(tProdutos[Classe],MATCH(tItens[[#This Row],[Produto]],tProdutos[Produto],0)),"produto não cadastrado")</f>
        <v>FORA</v>
      </c>
      <c r="K2063" s="12">
        <f>tItens[[#This Row],[Qtd]]*tItens[[#This Row],[Vlr unit]]</f>
        <v>1670</v>
      </c>
      <c r="L2063" s="6">
        <f>IFERROR(IF(INDEX(tProdutos[Desconto homologado],MATCH(tItens[[#This Row],[Produto]],tProdutos[Produto],0))="",DescontoPadrao,INDEX(tProdutos[Desconto homologado],MATCH(tItens[[#This Row],[Produto]],tProdutos[Produto],0))),DescontoPadrao)</f>
        <v>0.412394275616498</v>
      </c>
      <c r="M2063" s="12">
        <f>tItens[[#This Row],[Valor]]*(1-tItens[[#This Row],[Desconto]])</f>
        <v>981.30155972044838</v>
      </c>
      <c r="N2063" t="str">
        <f>IFERROR(INDEX(tProdutos[Foco],MATCH(tItens[[#This Row],[Produto]],tProdutos[Produto],0)),"Não")</f>
        <v>Não</v>
      </c>
      <c r="O2063" t="str">
        <f>IFERROR(INDEX(tEditais[SRP],MATCH(tItens[[#This Row],[Edital]],tEditais[Edital],0)),"Não")</f>
        <v>Sim</v>
      </c>
      <c r="P2063" s="4">
        <f>IF(COUNTIFS(INDEX(tItens[Edital],1):tItens[[#This Row],[Edital]],tItens[[#This Row],[Edital]],INDEX(tItens[Produto],1):tItens[[#This Row],[Produto]],tItens[[#This Row],[Produto]])=1,1,0)</f>
        <v>1</v>
      </c>
    </row>
    <row r="2064" spans="1:16" x14ac:dyDescent="0.25">
      <c r="A2064" t="s">
        <v>1205</v>
      </c>
      <c r="B2064">
        <v>114</v>
      </c>
      <c r="C2064" t="s">
        <v>5105</v>
      </c>
      <c r="D2064" t="s">
        <v>345</v>
      </c>
      <c r="E2064" s="13">
        <v>1800</v>
      </c>
      <c r="F2064" s="12">
        <v>1.67</v>
      </c>
      <c r="G2064" t="str">
        <f>IFERROR(INDEX(tEditais[Órgão],MATCH(tItens[[#This Row],[Edital]],tEditais[Edital],0)),"")</f>
        <v>FUNDO MUNICIPAL DE SAUDE - FMS</v>
      </c>
      <c r="H2064" t="str">
        <f>IFERROR(INDEX(tEditais[UF],MATCH(tItens[[#This Row],[Edital]],tEditais[Edital],0)),"")</f>
        <v>GO</v>
      </c>
      <c r="I2064" s="11">
        <f>IFERROR(INDEX(tEditais[Encerramento],MATCH(tItens[[#This Row],[Edital]],tEditais[Edital],0)),"")</f>
        <v>46311.319444444445</v>
      </c>
      <c r="J2064" t="str">
        <f>IFERROR(INDEX(tProdutos[Classe],MATCH(tItens[[#This Row],[Produto]],tProdutos[Produto],0)),"produto não cadastrado")</f>
        <v>FORA</v>
      </c>
      <c r="K2064" s="12">
        <f>tItens[[#This Row],[Qtd]]*tItens[[#This Row],[Vlr unit]]</f>
        <v>3006</v>
      </c>
      <c r="L2064" s="6">
        <f>IFERROR(IF(INDEX(tProdutos[Desconto homologado],MATCH(tItens[[#This Row],[Produto]],tProdutos[Produto],0))="",DescontoPadrao,INDEX(tProdutos[Desconto homologado],MATCH(tItens[[#This Row],[Produto]],tProdutos[Produto],0))),DescontoPadrao)</f>
        <v>0.412394275616498</v>
      </c>
      <c r="M2064" s="12">
        <f>tItens[[#This Row],[Valor]]*(1-tItens[[#This Row],[Desconto]])</f>
        <v>1766.3428074968069</v>
      </c>
      <c r="N2064" t="str">
        <f>IFERROR(INDEX(tProdutos[Foco],MATCH(tItens[[#This Row],[Produto]],tProdutos[Produto],0)),"Não")</f>
        <v>Não</v>
      </c>
      <c r="O2064" t="str">
        <f>IFERROR(INDEX(tEditais[SRP],MATCH(tItens[[#This Row],[Edital]],tEditais[Edital],0)),"Não")</f>
        <v>Sim</v>
      </c>
      <c r="P2064" s="4">
        <f>IF(COUNTIFS(INDEX(tItens[Edital],1):tItens[[#This Row],[Edital]],tItens[[#This Row],[Edital]],INDEX(tItens[Produto],1):tItens[[#This Row],[Produto]],tItens[[#This Row],[Produto]])=1,1,0)</f>
        <v>0</v>
      </c>
    </row>
    <row r="2065" spans="1:16" x14ac:dyDescent="0.25">
      <c r="A2065" t="s">
        <v>1205</v>
      </c>
      <c r="B2065">
        <v>115</v>
      </c>
      <c r="C2065" t="s">
        <v>5106</v>
      </c>
      <c r="D2065" t="s">
        <v>345</v>
      </c>
      <c r="E2065" s="13">
        <v>1000</v>
      </c>
      <c r="F2065" s="12">
        <v>1.74</v>
      </c>
      <c r="G2065" t="str">
        <f>IFERROR(INDEX(tEditais[Órgão],MATCH(tItens[[#This Row],[Edital]],tEditais[Edital],0)),"")</f>
        <v>FUNDO MUNICIPAL DE SAUDE - FMS</v>
      </c>
      <c r="H2065" t="str">
        <f>IFERROR(INDEX(tEditais[UF],MATCH(tItens[[#This Row],[Edital]],tEditais[Edital],0)),"")</f>
        <v>GO</v>
      </c>
      <c r="I2065" s="11">
        <f>IFERROR(INDEX(tEditais[Encerramento],MATCH(tItens[[#This Row],[Edital]],tEditais[Edital],0)),"")</f>
        <v>46311.319444444445</v>
      </c>
      <c r="J2065" t="str">
        <f>IFERROR(INDEX(tProdutos[Classe],MATCH(tItens[[#This Row],[Produto]],tProdutos[Produto],0)),"produto não cadastrado")</f>
        <v>FORA</v>
      </c>
      <c r="K2065" s="12">
        <f>tItens[[#This Row],[Qtd]]*tItens[[#This Row],[Vlr unit]]</f>
        <v>1740</v>
      </c>
      <c r="L2065" s="6">
        <f>IFERROR(IF(INDEX(tProdutos[Desconto homologado],MATCH(tItens[[#This Row],[Produto]],tProdutos[Produto],0))="",DescontoPadrao,INDEX(tProdutos[Desconto homologado],MATCH(tItens[[#This Row],[Produto]],tProdutos[Produto],0))),DescontoPadrao)</f>
        <v>0.412394275616498</v>
      </c>
      <c r="M2065" s="12">
        <f>tItens[[#This Row],[Valor]]*(1-tItens[[#This Row],[Desconto]])</f>
        <v>1022.4339604272935</v>
      </c>
      <c r="N2065" t="str">
        <f>IFERROR(INDEX(tProdutos[Foco],MATCH(tItens[[#This Row],[Produto]],tProdutos[Produto],0)),"Não")</f>
        <v>Não</v>
      </c>
      <c r="O2065" t="str">
        <f>IFERROR(INDEX(tEditais[SRP],MATCH(tItens[[#This Row],[Edital]],tEditais[Edital],0)),"Não")</f>
        <v>Sim</v>
      </c>
      <c r="P2065" s="4">
        <f>IF(COUNTIFS(INDEX(tItens[Edital],1):tItens[[#This Row],[Edital]],tItens[[#This Row],[Edital]],INDEX(tItens[Produto],1):tItens[[#This Row],[Produto]],tItens[[#This Row],[Produto]])=1,1,0)</f>
        <v>0</v>
      </c>
    </row>
    <row r="2066" spans="1:16" x14ac:dyDescent="0.25">
      <c r="A2066" t="s">
        <v>1205</v>
      </c>
      <c r="B2066">
        <v>116</v>
      </c>
      <c r="C2066" t="s">
        <v>5107</v>
      </c>
      <c r="D2066" t="s">
        <v>345</v>
      </c>
      <c r="E2066" s="13">
        <v>1000</v>
      </c>
      <c r="F2066" s="12">
        <v>1.66</v>
      </c>
      <c r="G2066" t="str">
        <f>IFERROR(INDEX(tEditais[Órgão],MATCH(tItens[[#This Row],[Edital]],tEditais[Edital],0)),"")</f>
        <v>FUNDO MUNICIPAL DE SAUDE - FMS</v>
      </c>
      <c r="H2066" t="str">
        <f>IFERROR(INDEX(tEditais[UF],MATCH(tItens[[#This Row],[Edital]],tEditais[Edital],0)),"")</f>
        <v>GO</v>
      </c>
      <c r="I2066" s="11">
        <f>IFERROR(INDEX(tEditais[Encerramento],MATCH(tItens[[#This Row],[Edital]],tEditais[Edital],0)),"")</f>
        <v>46311.319444444445</v>
      </c>
      <c r="J2066" t="str">
        <f>IFERROR(INDEX(tProdutos[Classe],MATCH(tItens[[#This Row],[Produto]],tProdutos[Produto],0)),"produto não cadastrado")</f>
        <v>FORA</v>
      </c>
      <c r="K2066" s="12">
        <f>tItens[[#This Row],[Qtd]]*tItens[[#This Row],[Vlr unit]]</f>
        <v>1660</v>
      </c>
      <c r="L2066" s="6">
        <f>IFERROR(IF(INDEX(tProdutos[Desconto homologado],MATCH(tItens[[#This Row],[Produto]],tProdutos[Produto],0))="",DescontoPadrao,INDEX(tProdutos[Desconto homologado],MATCH(tItens[[#This Row],[Produto]],tProdutos[Produto],0))),DescontoPadrao)</f>
        <v>0.412394275616498</v>
      </c>
      <c r="M2066" s="12">
        <f>tItens[[#This Row],[Valor]]*(1-tItens[[#This Row],[Desconto]])</f>
        <v>975.42550247661336</v>
      </c>
      <c r="N2066" t="str">
        <f>IFERROR(INDEX(tProdutos[Foco],MATCH(tItens[[#This Row],[Produto]],tProdutos[Produto],0)),"Não")</f>
        <v>Não</v>
      </c>
      <c r="O2066" t="str">
        <f>IFERROR(INDEX(tEditais[SRP],MATCH(tItens[[#This Row],[Edital]],tEditais[Edital],0)),"Não")</f>
        <v>Sim</v>
      </c>
      <c r="P2066" s="4">
        <f>IF(COUNTIFS(INDEX(tItens[Edital],1):tItens[[#This Row],[Edital]],tItens[[#This Row],[Edital]],INDEX(tItens[Produto],1):tItens[[#This Row],[Produto]],tItens[[#This Row],[Produto]])=1,1,0)</f>
        <v>0</v>
      </c>
    </row>
    <row r="2067" spans="1:16" x14ac:dyDescent="0.25">
      <c r="A2067" t="s">
        <v>1205</v>
      </c>
      <c r="B2067">
        <v>121</v>
      </c>
      <c r="C2067" t="s">
        <v>5108</v>
      </c>
      <c r="D2067" t="s">
        <v>411</v>
      </c>
      <c r="E2067" s="13">
        <v>100</v>
      </c>
      <c r="F2067" s="12">
        <v>24.21</v>
      </c>
      <c r="G2067" t="str">
        <f>IFERROR(INDEX(tEditais[Órgão],MATCH(tItens[[#This Row],[Edital]],tEditais[Edital],0)),"")</f>
        <v>FUNDO MUNICIPAL DE SAUDE - FMS</v>
      </c>
      <c r="H2067" t="str">
        <f>IFERROR(INDEX(tEditais[UF],MATCH(tItens[[#This Row],[Edital]],tEditais[Edital],0)),"")</f>
        <v>GO</v>
      </c>
      <c r="I2067" s="11">
        <f>IFERROR(INDEX(tEditais[Encerramento],MATCH(tItens[[#This Row],[Edital]],tEditais[Edital],0)),"")</f>
        <v>46311.319444444445</v>
      </c>
      <c r="J2067" t="str">
        <f>IFERROR(INDEX(tProdutos[Classe],MATCH(tItens[[#This Row],[Produto]],tProdutos[Produto],0)),"produto não cadastrado")</f>
        <v>FORA</v>
      </c>
      <c r="K2067" s="12">
        <f>tItens[[#This Row],[Qtd]]*tItens[[#This Row],[Vlr unit]]</f>
        <v>2421</v>
      </c>
      <c r="L2067" s="6">
        <f>IFERROR(IF(INDEX(tProdutos[Desconto homologado],MATCH(tItens[[#This Row],[Produto]],tProdutos[Produto],0))="",DescontoPadrao,INDEX(tProdutos[Desconto homologado],MATCH(tItens[[#This Row],[Produto]],tProdutos[Produto],0))),DescontoPadrao)</f>
        <v>0.50029835957199398</v>
      </c>
      <c r="M2067" s="12">
        <f>tItens[[#This Row],[Valor]]*(1-tItens[[#This Row],[Desconto]])</f>
        <v>1209.7776714762026</v>
      </c>
      <c r="N2067" t="str">
        <f>IFERROR(INDEX(tProdutos[Foco],MATCH(tItens[[#This Row],[Produto]],tProdutos[Produto],0)),"Não")</f>
        <v>Não</v>
      </c>
      <c r="O2067" t="str">
        <f>IFERROR(INDEX(tEditais[SRP],MATCH(tItens[[#This Row],[Edital]],tEditais[Edital],0)),"Não")</f>
        <v>Sim</v>
      </c>
      <c r="P2067" s="4">
        <f>IF(COUNTIFS(INDEX(tItens[Edital],1):tItens[[#This Row],[Edital]],tItens[[#This Row],[Edital]],INDEX(tItens[Produto],1):tItens[[#This Row],[Produto]],tItens[[#This Row],[Produto]])=1,1,0)</f>
        <v>1</v>
      </c>
    </row>
    <row r="2068" spans="1:16" x14ac:dyDescent="0.25">
      <c r="A2068" t="s">
        <v>1205</v>
      </c>
      <c r="B2068">
        <v>123</v>
      </c>
      <c r="C2068" t="s">
        <v>5109</v>
      </c>
      <c r="D2068" t="s">
        <v>130</v>
      </c>
      <c r="E2068" s="13">
        <v>100</v>
      </c>
      <c r="F2068" s="12">
        <v>62.12</v>
      </c>
      <c r="G2068" t="str">
        <f>IFERROR(INDEX(tEditais[Órgão],MATCH(tItens[[#This Row],[Edital]],tEditais[Edital],0)),"")</f>
        <v>FUNDO MUNICIPAL DE SAUDE - FMS</v>
      </c>
      <c r="H2068" t="str">
        <f>IFERROR(INDEX(tEditais[UF],MATCH(tItens[[#This Row],[Edital]],tEditais[Edital],0)),"")</f>
        <v>GO</v>
      </c>
      <c r="I2068" s="11">
        <f>IFERROR(INDEX(tEditais[Encerramento],MATCH(tItens[[#This Row],[Edital]],tEditais[Edital],0)),"")</f>
        <v>46311.319444444445</v>
      </c>
      <c r="J2068" t="str">
        <f>IFERROR(INDEX(tProdutos[Classe],MATCH(tItens[[#This Row],[Produto]],tProdutos[Produto],0)),"produto não cadastrado")</f>
        <v>DISPUTADO</v>
      </c>
      <c r="K2068" s="12">
        <f>tItens[[#This Row],[Qtd]]*tItens[[#This Row],[Vlr unit]]</f>
        <v>6212</v>
      </c>
      <c r="L2068" s="6">
        <f>IFERROR(IF(INDEX(tProdutos[Desconto homologado],MATCH(tItens[[#This Row],[Produto]],tProdutos[Produto],0))="",DescontoPadrao,INDEX(tProdutos[Desconto homologado],MATCH(tItens[[#This Row],[Produto]],tProdutos[Produto],0))),DescontoPadrao)</f>
        <v>0.32</v>
      </c>
      <c r="M2068" s="12">
        <f>tItens[[#This Row],[Valor]]*(1-tItens[[#This Row],[Desconto]])</f>
        <v>4224.16</v>
      </c>
      <c r="N2068" t="str">
        <f>IFERROR(INDEX(tProdutos[Foco],MATCH(tItens[[#This Row],[Produto]],tProdutos[Produto],0)),"Não")</f>
        <v>Sim</v>
      </c>
      <c r="O2068" t="str">
        <f>IFERROR(INDEX(tEditais[SRP],MATCH(tItens[[#This Row],[Edital]],tEditais[Edital],0)),"Não")</f>
        <v>Sim</v>
      </c>
      <c r="P2068" s="4">
        <f>IF(COUNTIFS(INDEX(tItens[Edital],1):tItens[[#This Row],[Edital]],tItens[[#This Row],[Edital]],INDEX(tItens[Produto],1):tItens[[#This Row],[Produto]],tItens[[#This Row],[Produto]])=1,1,0)</f>
        <v>1</v>
      </c>
    </row>
    <row r="2069" spans="1:16" x14ac:dyDescent="0.25">
      <c r="A2069" t="s">
        <v>1205</v>
      </c>
      <c r="B2069">
        <v>126</v>
      </c>
      <c r="C2069" t="s">
        <v>5110</v>
      </c>
      <c r="D2069" t="s">
        <v>343</v>
      </c>
      <c r="E2069" s="13">
        <v>100</v>
      </c>
      <c r="F2069" s="12">
        <v>1.6</v>
      </c>
      <c r="G2069" t="str">
        <f>IFERROR(INDEX(tEditais[Órgão],MATCH(tItens[[#This Row],[Edital]],tEditais[Edital],0)),"")</f>
        <v>FUNDO MUNICIPAL DE SAUDE - FMS</v>
      </c>
      <c r="H2069" t="str">
        <f>IFERROR(INDEX(tEditais[UF],MATCH(tItens[[#This Row],[Edital]],tEditais[Edital],0)),"")</f>
        <v>GO</v>
      </c>
      <c r="I2069" s="11">
        <f>IFERROR(INDEX(tEditais[Encerramento],MATCH(tItens[[#This Row],[Edital]],tEditais[Edital],0)),"")</f>
        <v>46311.319444444445</v>
      </c>
      <c r="J2069" t="str">
        <f>IFERROR(INDEX(tProdutos[Classe],MATCH(tItens[[#This Row],[Produto]],tProdutos[Produto],0)),"produto não cadastrado")</f>
        <v>FORA</v>
      </c>
      <c r="K2069" s="12">
        <f>tItens[[#This Row],[Qtd]]*tItens[[#This Row],[Vlr unit]]</f>
        <v>160</v>
      </c>
      <c r="L2069" s="6">
        <f>IFERROR(IF(INDEX(tProdutos[Desconto homologado],MATCH(tItens[[#This Row],[Produto]],tProdutos[Produto],0))="",DescontoPadrao,INDEX(tProdutos[Desconto homologado],MATCH(tItens[[#This Row],[Produto]],tProdutos[Produto],0))),DescontoPadrao)</f>
        <v>0.35412234042553198</v>
      </c>
      <c r="M2069" s="12">
        <f>tItens[[#This Row],[Valor]]*(1-tItens[[#This Row],[Desconto]])</f>
        <v>103.34042553191487</v>
      </c>
      <c r="N2069" t="str">
        <f>IFERROR(INDEX(tProdutos[Foco],MATCH(tItens[[#This Row],[Produto]],tProdutos[Produto],0)),"Não")</f>
        <v>Não</v>
      </c>
      <c r="O2069" t="str">
        <f>IFERROR(INDEX(tEditais[SRP],MATCH(tItens[[#This Row],[Edital]],tEditais[Edital],0)),"Não")</f>
        <v>Sim</v>
      </c>
      <c r="P2069" s="4">
        <f>IF(COUNTIFS(INDEX(tItens[Edital],1):tItens[[#This Row],[Edital]],tItens[[#This Row],[Edital]],INDEX(tItens[Produto],1):tItens[[#This Row],[Produto]],tItens[[#This Row],[Produto]])=1,1,0)</f>
        <v>1</v>
      </c>
    </row>
    <row r="2070" spans="1:16" x14ac:dyDescent="0.25">
      <c r="A2070" t="s">
        <v>1205</v>
      </c>
      <c r="B2070">
        <v>127</v>
      </c>
      <c r="C2070" t="s">
        <v>5111</v>
      </c>
      <c r="D2070" t="s">
        <v>343</v>
      </c>
      <c r="E2070" s="13">
        <v>350</v>
      </c>
      <c r="F2070" s="12">
        <v>1.45</v>
      </c>
      <c r="G2070" t="str">
        <f>IFERROR(INDEX(tEditais[Órgão],MATCH(tItens[[#This Row],[Edital]],tEditais[Edital],0)),"")</f>
        <v>FUNDO MUNICIPAL DE SAUDE - FMS</v>
      </c>
      <c r="H2070" t="str">
        <f>IFERROR(INDEX(tEditais[UF],MATCH(tItens[[#This Row],[Edital]],tEditais[Edital],0)),"")</f>
        <v>GO</v>
      </c>
      <c r="I2070" s="11">
        <f>IFERROR(INDEX(tEditais[Encerramento],MATCH(tItens[[#This Row],[Edital]],tEditais[Edital],0)),"")</f>
        <v>46311.319444444445</v>
      </c>
      <c r="J2070" t="str">
        <f>IFERROR(INDEX(tProdutos[Classe],MATCH(tItens[[#This Row],[Produto]],tProdutos[Produto],0)),"produto não cadastrado")</f>
        <v>FORA</v>
      </c>
      <c r="K2070" s="12">
        <f>tItens[[#This Row],[Qtd]]*tItens[[#This Row],[Vlr unit]]</f>
        <v>507.5</v>
      </c>
      <c r="L2070" s="6">
        <f>IFERROR(IF(INDEX(tProdutos[Desconto homologado],MATCH(tItens[[#This Row],[Produto]],tProdutos[Produto],0))="",DescontoPadrao,INDEX(tProdutos[Desconto homologado],MATCH(tItens[[#This Row],[Produto]],tProdutos[Produto],0))),DescontoPadrao)</f>
        <v>0.35412234042553198</v>
      </c>
      <c r="M2070" s="12">
        <f>tItens[[#This Row],[Valor]]*(1-tItens[[#This Row],[Desconto]])</f>
        <v>327.7829122340425</v>
      </c>
      <c r="N2070" t="str">
        <f>IFERROR(INDEX(tProdutos[Foco],MATCH(tItens[[#This Row],[Produto]],tProdutos[Produto],0)),"Não")</f>
        <v>Não</v>
      </c>
      <c r="O2070" t="str">
        <f>IFERROR(INDEX(tEditais[SRP],MATCH(tItens[[#This Row],[Edital]],tEditais[Edital],0)),"Não")</f>
        <v>Sim</v>
      </c>
      <c r="P2070" s="4">
        <f>IF(COUNTIFS(INDEX(tItens[Edital],1):tItens[[#This Row],[Edital]],tItens[[#This Row],[Edital]],INDEX(tItens[Produto],1):tItens[[#This Row],[Produto]],tItens[[#This Row],[Produto]])=1,1,0)</f>
        <v>0</v>
      </c>
    </row>
    <row r="2071" spans="1:16" x14ac:dyDescent="0.25">
      <c r="A2071" t="s">
        <v>1205</v>
      </c>
      <c r="B2071">
        <v>128</v>
      </c>
      <c r="C2071" t="s">
        <v>5112</v>
      </c>
      <c r="D2071" t="s">
        <v>343</v>
      </c>
      <c r="E2071" s="13">
        <v>400</v>
      </c>
      <c r="F2071" s="12">
        <v>1.4</v>
      </c>
      <c r="G2071" t="str">
        <f>IFERROR(INDEX(tEditais[Órgão],MATCH(tItens[[#This Row],[Edital]],tEditais[Edital],0)),"")</f>
        <v>FUNDO MUNICIPAL DE SAUDE - FMS</v>
      </c>
      <c r="H2071" t="str">
        <f>IFERROR(INDEX(tEditais[UF],MATCH(tItens[[#This Row],[Edital]],tEditais[Edital],0)),"")</f>
        <v>GO</v>
      </c>
      <c r="I2071" s="11">
        <f>IFERROR(INDEX(tEditais[Encerramento],MATCH(tItens[[#This Row],[Edital]],tEditais[Edital],0)),"")</f>
        <v>46311.319444444445</v>
      </c>
      <c r="J2071" t="str">
        <f>IFERROR(INDEX(tProdutos[Classe],MATCH(tItens[[#This Row],[Produto]],tProdutos[Produto],0)),"produto não cadastrado")</f>
        <v>FORA</v>
      </c>
      <c r="K2071" s="12">
        <f>tItens[[#This Row],[Qtd]]*tItens[[#This Row],[Vlr unit]]</f>
        <v>560</v>
      </c>
      <c r="L2071" s="6">
        <f>IFERROR(IF(INDEX(tProdutos[Desconto homologado],MATCH(tItens[[#This Row],[Produto]],tProdutos[Produto],0))="",DescontoPadrao,INDEX(tProdutos[Desconto homologado],MATCH(tItens[[#This Row],[Produto]],tProdutos[Produto],0))),DescontoPadrao)</f>
        <v>0.35412234042553198</v>
      </c>
      <c r="M2071" s="12">
        <f>tItens[[#This Row],[Valor]]*(1-tItens[[#This Row],[Desconto]])</f>
        <v>361.69148936170205</v>
      </c>
      <c r="N2071" t="str">
        <f>IFERROR(INDEX(tProdutos[Foco],MATCH(tItens[[#This Row],[Produto]],tProdutos[Produto],0)),"Não")</f>
        <v>Não</v>
      </c>
      <c r="O2071" t="str">
        <f>IFERROR(INDEX(tEditais[SRP],MATCH(tItens[[#This Row],[Edital]],tEditais[Edital],0)),"Não")</f>
        <v>Sim</v>
      </c>
      <c r="P2071" s="4">
        <f>IF(COUNTIFS(INDEX(tItens[Edital],1):tItens[[#This Row],[Edital]],tItens[[#This Row],[Edital]],INDEX(tItens[Produto],1):tItens[[#This Row],[Produto]],tItens[[#This Row],[Produto]])=1,1,0)</f>
        <v>0</v>
      </c>
    </row>
    <row r="2072" spans="1:16" x14ac:dyDescent="0.25">
      <c r="A2072" t="s">
        <v>1205</v>
      </c>
      <c r="B2072">
        <v>129</v>
      </c>
      <c r="C2072" t="s">
        <v>5113</v>
      </c>
      <c r="D2072" t="s">
        <v>343</v>
      </c>
      <c r="E2072" s="13">
        <v>120</v>
      </c>
      <c r="F2072" s="12">
        <v>1.39</v>
      </c>
      <c r="G2072" t="str">
        <f>IFERROR(INDEX(tEditais[Órgão],MATCH(tItens[[#This Row],[Edital]],tEditais[Edital],0)),"")</f>
        <v>FUNDO MUNICIPAL DE SAUDE - FMS</v>
      </c>
      <c r="H2072" t="str">
        <f>IFERROR(INDEX(tEditais[UF],MATCH(tItens[[#This Row],[Edital]],tEditais[Edital],0)),"")</f>
        <v>GO</v>
      </c>
      <c r="I2072" s="11">
        <f>IFERROR(INDEX(tEditais[Encerramento],MATCH(tItens[[#This Row],[Edital]],tEditais[Edital],0)),"")</f>
        <v>46311.319444444445</v>
      </c>
      <c r="J2072" t="str">
        <f>IFERROR(INDEX(tProdutos[Classe],MATCH(tItens[[#This Row],[Produto]],tProdutos[Produto],0)),"produto não cadastrado")</f>
        <v>FORA</v>
      </c>
      <c r="K2072" s="12">
        <f>tItens[[#This Row],[Qtd]]*tItens[[#This Row],[Vlr unit]]</f>
        <v>166.79999999999998</v>
      </c>
      <c r="L2072" s="6">
        <f>IFERROR(IF(INDEX(tProdutos[Desconto homologado],MATCH(tItens[[#This Row],[Produto]],tProdutos[Produto],0))="",DescontoPadrao,INDEX(tProdutos[Desconto homologado],MATCH(tItens[[#This Row],[Produto]],tProdutos[Produto],0))),DescontoPadrao)</f>
        <v>0.35412234042553198</v>
      </c>
      <c r="M2072" s="12">
        <f>tItens[[#This Row],[Valor]]*(1-tItens[[#This Row],[Desconto]])</f>
        <v>107.73239361702124</v>
      </c>
      <c r="N2072" t="str">
        <f>IFERROR(INDEX(tProdutos[Foco],MATCH(tItens[[#This Row],[Produto]],tProdutos[Produto],0)),"Não")</f>
        <v>Não</v>
      </c>
      <c r="O2072" t="str">
        <f>IFERROR(INDEX(tEditais[SRP],MATCH(tItens[[#This Row],[Edital]],tEditais[Edital],0)),"Não")</f>
        <v>Sim</v>
      </c>
      <c r="P2072" s="4">
        <f>IF(COUNTIFS(INDEX(tItens[Edital],1):tItens[[#This Row],[Edital]],tItens[[#This Row],[Edital]],INDEX(tItens[Produto],1):tItens[[#This Row],[Produto]],tItens[[#This Row],[Produto]])=1,1,0)</f>
        <v>0</v>
      </c>
    </row>
    <row r="2073" spans="1:16" x14ac:dyDescent="0.25">
      <c r="A2073" t="s">
        <v>1205</v>
      </c>
      <c r="B2073">
        <v>130</v>
      </c>
      <c r="C2073" t="s">
        <v>5114</v>
      </c>
      <c r="D2073" t="s">
        <v>381</v>
      </c>
      <c r="E2073" s="13">
        <v>100</v>
      </c>
      <c r="F2073" s="12">
        <v>14.17</v>
      </c>
      <c r="G2073" t="str">
        <f>IFERROR(INDEX(tEditais[Órgão],MATCH(tItens[[#This Row],[Edital]],tEditais[Edital],0)),"")</f>
        <v>FUNDO MUNICIPAL DE SAUDE - FMS</v>
      </c>
      <c r="H2073" t="str">
        <f>IFERROR(INDEX(tEditais[UF],MATCH(tItens[[#This Row],[Edital]],tEditais[Edital],0)),"")</f>
        <v>GO</v>
      </c>
      <c r="I2073" s="11">
        <f>IFERROR(INDEX(tEditais[Encerramento],MATCH(tItens[[#This Row],[Edital]],tEditais[Edital],0)),"")</f>
        <v>46311.319444444445</v>
      </c>
      <c r="J2073" t="str">
        <f>IFERROR(INDEX(tProdutos[Classe],MATCH(tItens[[#This Row],[Produto]],tProdutos[Produto],0)),"produto não cadastrado")</f>
        <v>FORA</v>
      </c>
      <c r="K2073" s="12">
        <f>tItens[[#This Row],[Qtd]]*tItens[[#This Row],[Vlr unit]]</f>
        <v>1417</v>
      </c>
      <c r="L2073" s="6">
        <f>IFERROR(IF(INDEX(tProdutos[Desconto homologado],MATCH(tItens[[#This Row],[Produto]],tProdutos[Produto],0))="",DescontoPadrao,INDEX(tProdutos[Desconto homologado],MATCH(tItens[[#This Row],[Produto]],tProdutos[Produto],0))),DescontoPadrao)</f>
        <v>0.41112828438949001</v>
      </c>
      <c r="M2073" s="12">
        <f>tItens[[#This Row],[Valor]]*(1-tItens[[#This Row],[Desconto]])</f>
        <v>834.43122102009261</v>
      </c>
      <c r="N2073" t="str">
        <f>IFERROR(INDEX(tProdutos[Foco],MATCH(tItens[[#This Row],[Produto]],tProdutos[Produto],0)),"Não")</f>
        <v>Não</v>
      </c>
      <c r="O2073" t="str">
        <f>IFERROR(INDEX(tEditais[SRP],MATCH(tItens[[#This Row],[Edital]],tEditais[Edital],0)),"Não")</f>
        <v>Sim</v>
      </c>
      <c r="P2073" s="4">
        <f>IF(COUNTIFS(INDEX(tItens[Edital],1):tItens[[#This Row],[Edital]],tItens[[#This Row],[Edital]],INDEX(tItens[Produto],1):tItens[[#This Row],[Produto]],tItens[[#This Row],[Produto]])=1,1,0)</f>
        <v>1</v>
      </c>
    </row>
    <row r="2074" spans="1:16" x14ac:dyDescent="0.25">
      <c r="A2074" t="s">
        <v>1205</v>
      </c>
      <c r="B2074">
        <v>138</v>
      </c>
      <c r="C2074" t="s">
        <v>5115</v>
      </c>
      <c r="D2074" t="s">
        <v>267</v>
      </c>
      <c r="E2074" s="13">
        <v>300</v>
      </c>
      <c r="F2074" s="12">
        <v>8.7200000000000006</v>
      </c>
      <c r="G2074" t="str">
        <f>IFERROR(INDEX(tEditais[Órgão],MATCH(tItens[[#This Row],[Edital]],tEditais[Edital],0)),"")</f>
        <v>FUNDO MUNICIPAL DE SAUDE - FMS</v>
      </c>
      <c r="H2074" t="str">
        <f>IFERROR(INDEX(tEditais[UF],MATCH(tItens[[#This Row],[Edital]],tEditais[Edital],0)),"")</f>
        <v>GO</v>
      </c>
      <c r="I2074" s="11">
        <f>IFERROR(INDEX(tEditais[Encerramento],MATCH(tItens[[#This Row],[Edital]],tEditais[Edital],0)),"")</f>
        <v>46311.319444444445</v>
      </c>
      <c r="J2074" t="str">
        <f>IFERROR(INDEX(tProdutos[Classe],MATCH(tItens[[#This Row],[Produto]],tProdutos[Produto],0)),"produto não cadastrado")</f>
        <v>FORA</v>
      </c>
      <c r="K2074" s="12">
        <f>tItens[[#This Row],[Qtd]]*tItens[[#This Row],[Vlr unit]]</f>
        <v>2616</v>
      </c>
      <c r="L2074" s="6">
        <f>IFERROR(IF(INDEX(tProdutos[Desconto homologado],MATCH(tItens[[#This Row],[Produto]],tProdutos[Produto],0))="",DescontoPadrao,INDEX(tProdutos[Desconto homologado],MATCH(tItens[[#This Row],[Produto]],tProdutos[Produto],0))),DescontoPadrao)</f>
        <v>0.19963672657401599</v>
      </c>
      <c r="M2074" s="12">
        <f>tItens[[#This Row],[Valor]]*(1-tItens[[#This Row],[Desconto]])</f>
        <v>2093.7503232823742</v>
      </c>
      <c r="N2074" t="str">
        <f>IFERROR(INDEX(tProdutos[Foco],MATCH(tItens[[#This Row],[Produto]],tProdutos[Produto],0)),"Não")</f>
        <v>Não</v>
      </c>
      <c r="O2074" t="str">
        <f>IFERROR(INDEX(tEditais[SRP],MATCH(tItens[[#This Row],[Edital]],tEditais[Edital],0)),"Não")</f>
        <v>Sim</v>
      </c>
      <c r="P2074" s="4">
        <f>IF(COUNTIFS(INDEX(tItens[Edital],1):tItens[[#This Row],[Edital]],tItens[[#This Row],[Edital]],INDEX(tItens[Produto],1):tItens[[#This Row],[Produto]],tItens[[#This Row],[Produto]])=1,1,0)</f>
        <v>1</v>
      </c>
    </row>
    <row r="2075" spans="1:16" x14ac:dyDescent="0.25">
      <c r="A2075" t="s">
        <v>1205</v>
      </c>
      <c r="B2075">
        <v>141</v>
      </c>
      <c r="C2075" t="s">
        <v>5116</v>
      </c>
      <c r="D2075" t="s">
        <v>90</v>
      </c>
      <c r="E2075" s="13">
        <v>100</v>
      </c>
      <c r="F2075" s="12">
        <v>28.58</v>
      </c>
      <c r="G2075" t="str">
        <f>IFERROR(INDEX(tEditais[Órgão],MATCH(tItens[[#This Row],[Edital]],tEditais[Edital],0)),"")</f>
        <v>FUNDO MUNICIPAL DE SAUDE - FMS</v>
      </c>
      <c r="H2075" t="str">
        <f>IFERROR(INDEX(tEditais[UF],MATCH(tItens[[#This Row],[Edital]],tEditais[Edital],0)),"")</f>
        <v>GO</v>
      </c>
      <c r="I2075" s="11">
        <f>IFERROR(INDEX(tEditais[Encerramento],MATCH(tItens[[#This Row],[Edital]],tEditais[Edital],0)),"")</f>
        <v>46311.319444444445</v>
      </c>
      <c r="J2075" t="str">
        <f>IFERROR(INDEX(tProdutos[Classe],MATCH(tItens[[#This Row],[Produto]],tProdutos[Produto],0)),"produto não cadastrado")</f>
        <v>DISPUTADO</v>
      </c>
      <c r="K2075" s="12">
        <f>tItens[[#This Row],[Qtd]]*tItens[[#This Row],[Vlr unit]]</f>
        <v>2858</v>
      </c>
      <c r="L2075" s="6">
        <f>IFERROR(IF(INDEX(tProdutos[Desconto homologado],MATCH(tItens[[#This Row],[Produto]],tProdutos[Produto],0))="",DescontoPadrao,INDEX(tProdutos[Desconto homologado],MATCH(tItens[[#This Row],[Produto]],tProdutos[Produto],0))),DescontoPadrao)</f>
        <v>0.25393823957010597</v>
      </c>
      <c r="M2075" s="12">
        <f>tItens[[#This Row],[Valor]]*(1-tItens[[#This Row],[Desconto]])</f>
        <v>2132.2445113086374</v>
      </c>
      <c r="N2075" t="str">
        <f>IFERROR(INDEX(tProdutos[Foco],MATCH(tItens[[#This Row],[Produto]],tProdutos[Produto],0)),"Não")</f>
        <v>Não</v>
      </c>
      <c r="O2075" t="str">
        <f>IFERROR(INDEX(tEditais[SRP],MATCH(tItens[[#This Row],[Edital]],tEditais[Edital],0)),"Não")</f>
        <v>Sim</v>
      </c>
      <c r="P2075" s="4">
        <f>IF(COUNTIFS(INDEX(tItens[Edital],1):tItens[[#This Row],[Edital]],tItens[[#This Row],[Edital]],INDEX(tItens[Produto],1):tItens[[#This Row],[Produto]],tItens[[#This Row],[Produto]])=1,1,0)</f>
        <v>0</v>
      </c>
    </row>
    <row r="2076" spans="1:16" x14ac:dyDescent="0.25">
      <c r="A2076" t="s">
        <v>1205</v>
      </c>
      <c r="B2076">
        <v>146</v>
      </c>
      <c r="C2076" t="s">
        <v>5117</v>
      </c>
      <c r="D2076" t="s">
        <v>275</v>
      </c>
      <c r="E2076" s="13">
        <v>100</v>
      </c>
      <c r="F2076" s="12">
        <v>23.39</v>
      </c>
      <c r="G2076" t="str">
        <f>IFERROR(INDEX(tEditais[Órgão],MATCH(tItens[[#This Row],[Edital]],tEditais[Edital],0)),"")</f>
        <v>FUNDO MUNICIPAL DE SAUDE - FMS</v>
      </c>
      <c r="H2076" t="str">
        <f>IFERROR(INDEX(tEditais[UF],MATCH(tItens[[#This Row],[Edital]],tEditais[Edital],0)),"")</f>
        <v>GO</v>
      </c>
      <c r="I2076" s="11">
        <f>IFERROR(INDEX(tEditais[Encerramento],MATCH(tItens[[#This Row],[Edital]],tEditais[Edital],0)),"")</f>
        <v>46311.319444444445</v>
      </c>
      <c r="J2076" t="str">
        <f>IFERROR(INDEX(tProdutos[Classe],MATCH(tItens[[#This Row],[Produto]],tProdutos[Produto],0)),"produto não cadastrado")</f>
        <v>FORA</v>
      </c>
      <c r="K2076" s="12">
        <f>tItens[[#This Row],[Qtd]]*tItens[[#This Row],[Vlr unit]]</f>
        <v>2339</v>
      </c>
      <c r="L2076" s="6">
        <f>IFERROR(IF(INDEX(tProdutos[Desconto homologado],MATCH(tItens[[#This Row],[Produto]],tProdutos[Produto],0))="",DescontoPadrao,INDEX(tProdutos[Desconto homologado],MATCH(tItens[[#This Row],[Produto]],tProdutos[Produto],0))),DescontoPadrao)</f>
        <v>0.405797101449275</v>
      </c>
      <c r="M2076" s="12">
        <f>tItens[[#This Row],[Valor]]*(1-tItens[[#This Row],[Desconto]])</f>
        <v>1389.8405797101459</v>
      </c>
      <c r="N2076" t="str">
        <f>IFERROR(INDEX(tProdutos[Foco],MATCH(tItens[[#This Row],[Produto]],tProdutos[Produto],0)),"Não")</f>
        <v>Não</v>
      </c>
      <c r="O2076" t="str">
        <f>IFERROR(INDEX(tEditais[SRP],MATCH(tItens[[#This Row],[Edital]],tEditais[Edital],0)),"Não")</f>
        <v>Sim</v>
      </c>
      <c r="P2076" s="4">
        <f>IF(COUNTIFS(INDEX(tItens[Edital],1):tItens[[#This Row],[Edital]],tItens[[#This Row],[Edital]],INDEX(tItens[Produto],1):tItens[[#This Row],[Produto]],tItens[[#This Row],[Produto]])=1,1,0)</f>
        <v>1</v>
      </c>
    </row>
    <row r="2077" spans="1:16" x14ac:dyDescent="0.25">
      <c r="A2077" t="s">
        <v>1205</v>
      </c>
      <c r="B2077">
        <v>150</v>
      </c>
      <c r="C2077" t="s">
        <v>5118</v>
      </c>
      <c r="D2077" t="s">
        <v>120</v>
      </c>
      <c r="E2077" s="13">
        <v>30</v>
      </c>
      <c r="F2077" s="12">
        <v>0.71</v>
      </c>
      <c r="G2077" t="str">
        <f>IFERROR(INDEX(tEditais[Órgão],MATCH(tItens[[#This Row],[Edital]],tEditais[Edital],0)),"")</f>
        <v>FUNDO MUNICIPAL DE SAUDE - FMS</v>
      </c>
      <c r="H2077" t="str">
        <f>IFERROR(INDEX(tEditais[UF],MATCH(tItens[[#This Row],[Edital]],tEditais[Edital],0)),"")</f>
        <v>GO</v>
      </c>
      <c r="I2077" s="11">
        <f>IFERROR(INDEX(tEditais[Encerramento],MATCH(tItens[[#This Row],[Edital]],tEditais[Edital],0)),"")</f>
        <v>46311.319444444445</v>
      </c>
      <c r="J2077" t="str">
        <f>IFERROR(INDEX(tProdutos[Classe],MATCH(tItens[[#This Row],[Produto]],tProdutos[Produto],0)),"produto não cadastrado")</f>
        <v>DISPUTADO</v>
      </c>
      <c r="K2077" s="12">
        <f>tItens[[#This Row],[Qtd]]*tItens[[#This Row],[Vlr unit]]</f>
        <v>21.299999999999997</v>
      </c>
      <c r="L2077" s="6">
        <f>IFERROR(IF(INDEX(tProdutos[Desconto homologado],MATCH(tItens[[#This Row],[Produto]],tProdutos[Produto],0))="",DescontoPadrao,INDEX(tProdutos[Desconto homologado],MATCH(tItens[[#This Row],[Produto]],tProdutos[Produto],0))),DescontoPadrao)</f>
        <v>0.40909090909090901</v>
      </c>
      <c r="M2077" s="12">
        <f>tItens[[#This Row],[Valor]]*(1-tItens[[#This Row],[Desconto]])</f>
        <v>12.586363636363638</v>
      </c>
      <c r="N2077" t="str">
        <f>IFERROR(INDEX(tProdutos[Foco],MATCH(tItens[[#This Row],[Produto]],tProdutos[Produto],0)),"Não")</f>
        <v>Não</v>
      </c>
      <c r="O2077" t="str">
        <f>IFERROR(INDEX(tEditais[SRP],MATCH(tItens[[#This Row],[Edital]],tEditais[Edital],0)),"Não")</f>
        <v>Sim</v>
      </c>
      <c r="P2077" s="4">
        <f>IF(COUNTIFS(INDEX(tItens[Edital],1):tItens[[#This Row],[Edital]],tItens[[#This Row],[Edital]],INDEX(tItens[Produto],1):tItens[[#This Row],[Produto]],tItens[[#This Row],[Produto]])=1,1,0)</f>
        <v>1</v>
      </c>
    </row>
    <row r="2078" spans="1:16" x14ac:dyDescent="0.25">
      <c r="A2078" t="s">
        <v>1205</v>
      </c>
      <c r="B2078">
        <v>151</v>
      </c>
      <c r="C2078" t="s">
        <v>5119</v>
      </c>
      <c r="D2078" t="s">
        <v>120</v>
      </c>
      <c r="E2078" s="13">
        <v>30</v>
      </c>
      <c r="F2078" s="12">
        <v>0.73</v>
      </c>
      <c r="G2078" t="str">
        <f>IFERROR(INDEX(tEditais[Órgão],MATCH(tItens[[#This Row],[Edital]],tEditais[Edital],0)),"")</f>
        <v>FUNDO MUNICIPAL DE SAUDE - FMS</v>
      </c>
      <c r="H2078" t="str">
        <f>IFERROR(INDEX(tEditais[UF],MATCH(tItens[[#This Row],[Edital]],tEditais[Edital],0)),"")</f>
        <v>GO</v>
      </c>
      <c r="I2078" s="11">
        <f>IFERROR(INDEX(tEditais[Encerramento],MATCH(tItens[[#This Row],[Edital]],tEditais[Edital],0)),"")</f>
        <v>46311.319444444445</v>
      </c>
      <c r="J2078" t="str">
        <f>IFERROR(INDEX(tProdutos[Classe],MATCH(tItens[[#This Row],[Produto]],tProdutos[Produto],0)),"produto não cadastrado")</f>
        <v>DISPUTADO</v>
      </c>
      <c r="K2078" s="12">
        <f>tItens[[#This Row],[Qtd]]*tItens[[#This Row],[Vlr unit]]</f>
        <v>21.9</v>
      </c>
      <c r="L2078" s="6">
        <f>IFERROR(IF(INDEX(tProdutos[Desconto homologado],MATCH(tItens[[#This Row],[Produto]],tProdutos[Produto],0))="",DescontoPadrao,INDEX(tProdutos[Desconto homologado],MATCH(tItens[[#This Row],[Produto]],tProdutos[Produto],0))),DescontoPadrao)</f>
        <v>0.40909090909090901</v>
      </c>
      <c r="M2078" s="12">
        <f>tItens[[#This Row],[Valor]]*(1-tItens[[#This Row],[Desconto]])</f>
        <v>12.940909090909093</v>
      </c>
      <c r="N2078" t="str">
        <f>IFERROR(INDEX(tProdutos[Foco],MATCH(tItens[[#This Row],[Produto]],tProdutos[Produto],0)),"Não")</f>
        <v>Não</v>
      </c>
      <c r="O2078" t="str">
        <f>IFERROR(INDEX(tEditais[SRP],MATCH(tItens[[#This Row],[Edital]],tEditais[Edital],0)),"Não")</f>
        <v>Sim</v>
      </c>
      <c r="P2078" s="4">
        <f>IF(COUNTIFS(INDEX(tItens[Edital],1):tItens[[#This Row],[Edital]],tItens[[#This Row],[Edital]],INDEX(tItens[Produto],1):tItens[[#This Row],[Produto]],tItens[[#This Row],[Produto]])=1,1,0)</f>
        <v>0</v>
      </c>
    </row>
    <row r="2079" spans="1:16" x14ac:dyDescent="0.25">
      <c r="A2079" t="s">
        <v>1209</v>
      </c>
      <c r="B2079">
        <v>5</v>
      </c>
      <c r="C2079" t="s">
        <v>5120</v>
      </c>
      <c r="D2079" t="s">
        <v>257</v>
      </c>
      <c r="E2079" s="13">
        <v>1000</v>
      </c>
      <c r="F2079" s="12">
        <v>36.409999999999997</v>
      </c>
      <c r="G2079" t="str">
        <f>IFERROR(INDEX(tEditais[Órgão],MATCH(tItens[[#This Row],[Edital]],tEditais[Edital],0)),"")</f>
        <v>FUNDO MUNICIPAL DE SAUDE</v>
      </c>
      <c r="H2079" t="str">
        <f>IFERROR(INDEX(tEditais[UF],MATCH(tItens[[#This Row],[Edital]],tEditais[Edital],0)),"")</f>
        <v>GO</v>
      </c>
      <c r="I2079" s="11">
        <f>IFERROR(INDEX(tEditais[Encerramento],MATCH(tItens[[#This Row],[Edital]],tEditais[Edital],0)),"")</f>
        <v>46311.333333333336</v>
      </c>
      <c r="J2079" t="str">
        <f>IFERROR(INDEX(tProdutos[Classe],MATCH(tItens[[#This Row],[Produto]],tProdutos[Produto],0)),"produto não cadastrado")</f>
        <v>FORA</v>
      </c>
      <c r="K2079" s="12">
        <f>tItens[[#This Row],[Qtd]]*tItens[[#This Row],[Vlr unit]]</f>
        <v>36410</v>
      </c>
      <c r="L2079" s="6">
        <f>IFERROR(IF(INDEX(tProdutos[Desconto homologado],MATCH(tItens[[#This Row],[Produto]],tProdutos[Produto],0))="",DescontoPadrao,INDEX(tProdutos[Desconto homologado],MATCH(tItens[[#This Row],[Produto]],tProdutos[Produto],0))),DescontoPadrao)</f>
        <v>0.500812004991805</v>
      </c>
      <c r="M2079" s="12">
        <f>tItens[[#This Row],[Valor]]*(1-tItens[[#This Row],[Desconto]])</f>
        <v>18175.434898248379</v>
      </c>
      <c r="N2079" t="str">
        <f>IFERROR(INDEX(tProdutos[Foco],MATCH(tItens[[#This Row],[Produto]],tProdutos[Produto],0)),"Não")</f>
        <v>Não</v>
      </c>
      <c r="O2079" t="str">
        <f>IFERROR(INDEX(tEditais[SRP],MATCH(tItens[[#This Row],[Edital]],tEditais[Edital],0)),"Não")</f>
        <v>Sim</v>
      </c>
      <c r="P2079" s="4">
        <f>IF(COUNTIFS(INDEX(tItens[Edital],1):tItens[[#This Row],[Edital]],tItens[[#This Row],[Edital]],INDEX(tItens[Produto],1):tItens[[#This Row],[Produto]],tItens[[#This Row],[Produto]])=1,1,0)</f>
        <v>1</v>
      </c>
    </row>
    <row r="2080" spans="1:16" x14ac:dyDescent="0.25">
      <c r="A2080" t="s">
        <v>1209</v>
      </c>
      <c r="B2080">
        <v>6</v>
      </c>
      <c r="C2080" t="s">
        <v>5121</v>
      </c>
      <c r="D2080" t="s">
        <v>249</v>
      </c>
      <c r="E2080" s="13">
        <v>1000</v>
      </c>
      <c r="F2080" s="12">
        <v>33.42</v>
      </c>
      <c r="G2080" t="str">
        <f>IFERROR(INDEX(tEditais[Órgão],MATCH(tItens[[#This Row],[Edital]],tEditais[Edital],0)),"")</f>
        <v>FUNDO MUNICIPAL DE SAUDE</v>
      </c>
      <c r="H2080" t="str">
        <f>IFERROR(INDEX(tEditais[UF],MATCH(tItens[[#This Row],[Edital]],tEditais[Edital],0)),"")</f>
        <v>GO</v>
      </c>
      <c r="I2080" s="11">
        <f>IFERROR(INDEX(tEditais[Encerramento],MATCH(tItens[[#This Row],[Edital]],tEditais[Edital],0)),"")</f>
        <v>46311.333333333336</v>
      </c>
      <c r="J2080" t="str">
        <f>IFERROR(INDEX(tProdutos[Classe],MATCH(tItens[[#This Row],[Produto]],tProdutos[Produto],0)),"produto não cadastrado")</f>
        <v>FORA</v>
      </c>
      <c r="K2080" s="12">
        <f>tItens[[#This Row],[Qtd]]*tItens[[#This Row],[Vlr unit]]</f>
        <v>33420</v>
      </c>
      <c r="L2080" s="6">
        <f>IFERROR(IF(INDEX(tProdutos[Desconto homologado],MATCH(tItens[[#This Row],[Produto]],tProdutos[Produto],0))="",DescontoPadrao,INDEX(tProdutos[Desconto homologado],MATCH(tItens[[#This Row],[Produto]],tProdutos[Produto],0))),DescontoPadrao)</f>
        <v>0.45399945399945402</v>
      </c>
      <c r="M2080" s="12">
        <f>tItens[[#This Row],[Valor]]*(1-tItens[[#This Row],[Desconto]])</f>
        <v>18247.338247338244</v>
      </c>
      <c r="N2080" t="str">
        <f>IFERROR(INDEX(tProdutos[Foco],MATCH(tItens[[#This Row],[Produto]],tProdutos[Produto],0)),"Não")</f>
        <v>Não</v>
      </c>
      <c r="O2080" t="str">
        <f>IFERROR(INDEX(tEditais[SRP],MATCH(tItens[[#This Row],[Edital]],tEditais[Edital],0)),"Não")</f>
        <v>Sim</v>
      </c>
      <c r="P2080" s="4">
        <f>IF(COUNTIFS(INDEX(tItens[Edital],1):tItens[[#This Row],[Edital]],tItens[[#This Row],[Edital]],INDEX(tItens[Produto],1):tItens[[#This Row],[Produto]],tItens[[#This Row],[Produto]])=1,1,0)</f>
        <v>1</v>
      </c>
    </row>
    <row r="2081" spans="1:16" x14ac:dyDescent="0.25">
      <c r="A2081" t="s">
        <v>1209</v>
      </c>
      <c r="B2081">
        <v>9</v>
      </c>
      <c r="C2081" t="s">
        <v>5122</v>
      </c>
      <c r="D2081" t="s">
        <v>257</v>
      </c>
      <c r="E2081" s="13">
        <v>100</v>
      </c>
      <c r="F2081" s="12">
        <v>106.67</v>
      </c>
      <c r="G2081" t="str">
        <f>IFERROR(INDEX(tEditais[Órgão],MATCH(tItens[[#This Row],[Edital]],tEditais[Edital],0)),"")</f>
        <v>FUNDO MUNICIPAL DE SAUDE</v>
      </c>
      <c r="H2081" t="str">
        <f>IFERROR(INDEX(tEditais[UF],MATCH(tItens[[#This Row],[Edital]],tEditais[Edital],0)),"")</f>
        <v>GO</v>
      </c>
      <c r="I2081" s="11">
        <f>IFERROR(INDEX(tEditais[Encerramento],MATCH(tItens[[#This Row],[Edital]],tEditais[Edital],0)),"")</f>
        <v>46311.333333333336</v>
      </c>
      <c r="J2081" t="str">
        <f>IFERROR(INDEX(tProdutos[Classe],MATCH(tItens[[#This Row],[Produto]],tProdutos[Produto],0)),"produto não cadastrado")</f>
        <v>FORA</v>
      </c>
      <c r="K2081" s="12">
        <f>tItens[[#This Row],[Qtd]]*tItens[[#This Row],[Vlr unit]]</f>
        <v>10667</v>
      </c>
      <c r="L2081" s="6">
        <f>IFERROR(IF(INDEX(tProdutos[Desconto homologado],MATCH(tItens[[#This Row],[Produto]],tProdutos[Produto],0))="",DescontoPadrao,INDEX(tProdutos[Desconto homologado],MATCH(tItens[[#This Row],[Produto]],tProdutos[Produto],0))),DescontoPadrao)</f>
        <v>0.500812004991805</v>
      </c>
      <c r="M2081" s="12">
        <f>tItens[[#This Row],[Valor]]*(1-tItens[[#This Row],[Desconto]])</f>
        <v>5324.8383427524159</v>
      </c>
      <c r="N2081" t="str">
        <f>IFERROR(INDEX(tProdutos[Foco],MATCH(tItens[[#This Row],[Produto]],tProdutos[Produto],0)),"Não")</f>
        <v>Não</v>
      </c>
      <c r="O2081" t="str">
        <f>IFERROR(INDEX(tEditais[SRP],MATCH(tItens[[#This Row],[Edital]],tEditais[Edital],0)),"Não")</f>
        <v>Sim</v>
      </c>
      <c r="P2081" s="4">
        <f>IF(COUNTIFS(INDEX(tItens[Edital],1):tItens[[#This Row],[Edital]],tItens[[#This Row],[Edital]],INDEX(tItens[Produto],1):tItens[[#This Row],[Produto]],tItens[[#This Row],[Produto]])=1,1,0)</f>
        <v>0</v>
      </c>
    </row>
    <row r="2082" spans="1:16" x14ac:dyDescent="0.25">
      <c r="A2082" t="s">
        <v>1209</v>
      </c>
      <c r="B2082">
        <v>11</v>
      </c>
      <c r="C2082" t="s">
        <v>5123</v>
      </c>
      <c r="D2082" t="s">
        <v>98</v>
      </c>
      <c r="E2082" s="13">
        <v>100</v>
      </c>
      <c r="F2082" s="12">
        <v>24.62</v>
      </c>
      <c r="G2082" t="str">
        <f>IFERROR(INDEX(tEditais[Órgão],MATCH(tItens[[#This Row],[Edital]],tEditais[Edital],0)),"")</f>
        <v>FUNDO MUNICIPAL DE SAUDE</v>
      </c>
      <c r="H2082" t="str">
        <f>IFERROR(INDEX(tEditais[UF],MATCH(tItens[[#This Row],[Edital]],tEditais[Edital],0)),"")</f>
        <v>GO</v>
      </c>
      <c r="I2082" s="11">
        <f>IFERROR(INDEX(tEditais[Encerramento],MATCH(tItens[[#This Row],[Edital]],tEditais[Edital],0)),"")</f>
        <v>46311.333333333336</v>
      </c>
      <c r="J2082" t="str">
        <f>IFERROR(INDEX(tProdutos[Classe],MATCH(tItens[[#This Row],[Produto]],tProdutos[Produto],0)),"produto não cadastrado")</f>
        <v>NÚCLEO</v>
      </c>
      <c r="K2082" s="12">
        <f>tItens[[#This Row],[Qtd]]*tItens[[#This Row],[Vlr unit]]</f>
        <v>2462</v>
      </c>
      <c r="L2082" s="6">
        <f>IFERROR(IF(INDEX(tProdutos[Desconto homologado],MATCH(tItens[[#This Row],[Produto]],tProdutos[Produto],0))="",DescontoPadrao,INDEX(tProdutos[Desconto homologado],MATCH(tItens[[#This Row],[Produto]],tProdutos[Produto],0))),DescontoPadrao)</f>
        <v>0.39</v>
      </c>
      <c r="M2082" s="12">
        <f>tItens[[#This Row],[Valor]]*(1-tItens[[#This Row],[Desconto]])</f>
        <v>1501.82</v>
      </c>
      <c r="N2082" t="str">
        <f>IFERROR(INDEX(tProdutos[Foco],MATCH(tItens[[#This Row],[Produto]],tProdutos[Produto],0)),"Não")</f>
        <v>Sim</v>
      </c>
      <c r="O2082" t="str">
        <f>IFERROR(INDEX(tEditais[SRP],MATCH(tItens[[#This Row],[Edital]],tEditais[Edital],0)),"Não")</f>
        <v>Sim</v>
      </c>
      <c r="P2082" s="4">
        <f>IF(COUNTIFS(INDEX(tItens[Edital],1):tItens[[#This Row],[Edital]],tItens[[#This Row],[Edital]],INDEX(tItens[Produto],1):tItens[[#This Row],[Produto]],tItens[[#This Row],[Produto]])=1,1,0)</f>
        <v>1</v>
      </c>
    </row>
    <row r="2083" spans="1:16" x14ac:dyDescent="0.25">
      <c r="A2083" t="s">
        <v>1209</v>
      </c>
      <c r="B2083">
        <v>12</v>
      </c>
      <c r="C2083" t="s">
        <v>5124</v>
      </c>
      <c r="D2083" t="s">
        <v>98</v>
      </c>
      <c r="E2083" s="13">
        <v>100</v>
      </c>
      <c r="F2083" s="12">
        <v>24.54</v>
      </c>
      <c r="G2083" t="str">
        <f>IFERROR(INDEX(tEditais[Órgão],MATCH(tItens[[#This Row],[Edital]],tEditais[Edital],0)),"")</f>
        <v>FUNDO MUNICIPAL DE SAUDE</v>
      </c>
      <c r="H2083" t="str">
        <f>IFERROR(INDEX(tEditais[UF],MATCH(tItens[[#This Row],[Edital]],tEditais[Edital],0)),"")</f>
        <v>GO</v>
      </c>
      <c r="I2083" s="11">
        <f>IFERROR(INDEX(tEditais[Encerramento],MATCH(tItens[[#This Row],[Edital]],tEditais[Edital],0)),"")</f>
        <v>46311.333333333336</v>
      </c>
      <c r="J2083" t="str">
        <f>IFERROR(INDEX(tProdutos[Classe],MATCH(tItens[[#This Row],[Produto]],tProdutos[Produto],0)),"produto não cadastrado")</f>
        <v>NÚCLEO</v>
      </c>
      <c r="K2083" s="12">
        <f>tItens[[#This Row],[Qtd]]*tItens[[#This Row],[Vlr unit]]</f>
        <v>2454</v>
      </c>
      <c r="L2083" s="6">
        <f>IFERROR(IF(INDEX(tProdutos[Desconto homologado],MATCH(tItens[[#This Row],[Produto]],tProdutos[Produto],0))="",DescontoPadrao,INDEX(tProdutos[Desconto homologado],MATCH(tItens[[#This Row],[Produto]],tProdutos[Produto],0))),DescontoPadrao)</f>
        <v>0.39</v>
      </c>
      <c r="M2083" s="12">
        <f>tItens[[#This Row],[Valor]]*(1-tItens[[#This Row],[Desconto]])</f>
        <v>1496.94</v>
      </c>
      <c r="N2083" t="str">
        <f>IFERROR(INDEX(tProdutos[Foco],MATCH(tItens[[#This Row],[Produto]],tProdutos[Produto],0)),"Não")</f>
        <v>Sim</v>
      </c>
      <c r="O2083" t="str">
        <f>IFERROR(INDEX(tEditais[SRP],MATCH(tItens[[#This Row],[Edital]],tEditais[Edital],0)),"Não")</f>
        <v>Sim</v>
      </c>
      <c r="P2083" s="4">
        <f>IF(COUNTIFS(INDEX(tItens[Edital],1):tItens[[#This Row],[Edital]],tItens[[#This Row],[Edital]],INDEX(tItens[Produto],1):tItens[[#This Row],[Produto]],tItens[[#This Row],[Produto]])=1,1,0)</f>
        <v>0</v>
      </c>
    </row>
    <row r="2084" spans="1:16" x14ac:dyDescent="0.25">
      <c r="A2084" t="s">
        <v>1209</v>
      </c>
      <c r="B2084">
        <v>13</v>
      </c>
      <c r="C2084" t="s">
        <v>5125</v>
      </c>
      <c r="D2084" t="s">
        <v>98</v>
      </c>
      <c r="E2084" s="13">
        <v>100</v>
      </c>
      <c r="F2084" s="12">
        <v>24.54</v>
      </c>
      <c r="G2084" t="str">
        <f>IFERROR(INDEX(tEditais[Órgão],MATCH(tItens[[#This Row],[Edital]],tEditais[Edital],0)),"")</f>
        <v>FUNDO MUNICIPAL DE SAUDE</v>
      </c>
      <c r="H2084" t="str">
        <f>IFERROR(INDEX(tEditais[UF],MATCH(tItens[[#This Row],[Edital]],tEditais[Edital],0)),"")</f>
        <v>GO</v>
      </c>
      <c r="I2084" s="11">
        <f>IFERROR(INDEX(tEditais[Encerramento],MATCH(tItens[[#This Row],[Edital]],tEditais[Edital],0)),"")</f>
        <v>46311.333333333336</v>
      </c>
      <c r="J2084" t="str">
        <f>IFERROR(INDEX(tProdutos[Classe],MATCH(tItens[[#This Row],[Produto]],tProdutos[Produto],0)),"produto não cadastrado")</f>
        <v>NÚCLEO</v>
      </c>
      <c r="K2084" s="12">
        <f>tItens[[#This Row],[Qtd]]*tItens[[#This Row],[Vlr unit]]</f>
        <v>2454</v>
      </c>
      <c r="L2084" s="6">
        <f>IFERROR(IF(INDEX(tProdutos[Desconto homologado],MATCH(tItens[[#This Row],[Produto]],tProdutos[Produto],0))="",DescontoPadrao,INDEX(tProdutos[Desconto homologado],MATCH(tItens[[#This Row],[Produto]],tProdutos[Produto],0))),DescontoPadrao)</f>
        <v>0.39</v>
      </c>
      <c r="M2084" s="12">
        <f>tItens[[#This Row],[Valor]]*(1-tItens[[#This Row],[Desconto]])</f>
        <v>1496.94</v>
      </c>
      <c r="N2084" t="str">
        <f>IFERROR(INDEX(tProdutos[Foco],MATCH(tItens[[#This Row],[Produto]],tProdutos[Produto],0)),"Não")</f>
        <v>Sim</v>
      </c>
      <c r="O2084" t="str">
        <f>IFERROR(INDEX(tEditais[SRP],MATCH(tItens[[#This Row],[Edital]],tEditais[Edital],0)),"Não")</f>
        <v>Sim</v>
      </c>
      <c r="P2084" s="4">
        <f>IF(COUNTIFS(INDEX(tItens[Edital],1):tItens[[#This Row],[Edital]],tItens[[#This Row],[Edital]],INDEX(tItens[Produto],1):tItens[[#This Row],[Produto]],tItens[[#This Row],[Produto]])=1,1,0)</f>
        <v>0</v>
      </c>
    </row>
    <row r="2085" spans="1:16" x14ac:dyDescent="0.25">
      <c r="A2085" t="s">
        <v>1209</v>
      </c>
      <c r="B2085">
        <v>14</v>
      </c>
      <c r="C2085" t="s">
        <v>5126</v>
      </c>
      <c r="D2085" t="s">
        <v>98</v>
      </c>
      <c r="E2085" s="13">
        <v>100</v>
      </c>
      <c r="F2085" s="12">
        <v>24.57</v>
      </c>
      <c r="G2085" t="str">
        <f>IFERROR(INDEX(tEditais[Órgão],MATCH(tItens[[#This Row],[Edital]],tEditais[Edital],0)),"")</f>
        <v>FUNDO MUNICIPAL DE SAUDE</v>
      </c>
      <c r="H2085" t="str">
        <f>IFERROR(INDEX(tEditais[UF],MATCH(tItens[[#This Row],[Edital]],tEditais[Edital],0)),"")</f>
        <v>GO</v>
      </c>
      <c r="I2085" s="11">
        <f>IFERROR(INDEX(tEditais[Encerramento],MATCH(tItens[[#This Row],[Edital]],tEditais[Edital],0)),"")</f>
        <v>46311.333333333336</v>
      </c>
      <c r="J2085" t="str">
        <f>IFERROR(INDEX(tProdutos[Classe],MATCH(tItens[[#This Row],[Produto]],tProdutos[Produto],0)),"produto não cadastrado")</f>
        <v>NÚCLEO</v>
      </c>
      <c r="K2085" s="12">
        <f>tItens[[#This Row],[Qtd]]*tItens[[#This Row],[Vlr unit]]</f>
        <v>2457</v>
      </c>
      <c r="L2085" s="6">
        <f>IFERROR(IF(INDEX(tProdutos[Desconto homologado],MATCH(tItens[[#This Row],[Produto]],tProdutos[Produto],0))="",DescontoPadrao,INDEX(tProdutos[Desconto homologado],MATCH(tItens[[#This Row],[Produto]],tProdutos[Produto],0))),DescontoPadrao)</f>
        <v>0.39</v>
      </c>
      <c r="M2085" s="12">
        <f>tItens[[#This Row],[Valor]]*(1-tItens[[#This Row],[Desconto]])</f>
        <v>1498.77</v>
      </c>
      <c r="N2085" t="str">
        <f>IFERROR(INDEX(tProdutos[Foco],MATCH(tItens[[#This Row],[Produto]],tProdutos[Produto],0)),"Não")</f>
        <v>Sim</v>
      </c>
      <c r="O2085" t="str">
        <f>IFERROR(INDEX(tEditais[SRP],MATCH(tItens[[#This Row],[Edital]],tEditais[Edital],0)),"Não")</f>
        <v>Sim</v>
      </c>
      <c r="P2085" s="4">
        <f>IF(COUNTIFS(INDEX(tItens[Edital],1):tItens[[#This Row],[Edital]],tItens[[#This Row],[Edital]],INDEX(tItens[Produto],1):tItens[[#This Row],[Produto]],tItens[[#This Row],[Produto]])=1,1,0)</f>
        <v>0</v>
      </c>
    </row>
    <row r="2086" spans="1:16" x14ac:dyDescent="0.25">
      <c r="A2086" t="s">
        <v>1209</v>
      </c>
      <c r="B2086">
        <v>15</v>
      </c>
      <c r="C2086" t="s">
        <v>5127</v>
      </c>
      <c r="D2086" t="s">
        <v>98</v>
      </c>
      <c r="E2086" s="13">
        <v>100</v>
      </c>
      <c r="F2086" s="12">
        <v>24.57</v>
      </c>
      <c r="G2086" t="str">
        <f>IFERROR(INDEX(tEditais[Órgão],MATCH(tItens[[#This Row],[Edital]],tEditais[Edital],0)),"")</f>
        <v>FUNDO MUNICIPAL DE SAUDE</v>
      </c>
      <c r="H2086" t="str">
        <f>IFERROR(INDEX(tEditais[UF],MATCH(tItens[[#This Row],[Edital]],tEditais[Edital],0)),"")</f>
        <v>GO</v>
      </c>
      <c r="I2086" s="11">
        <f>IFERROR(INDEX(tEditais[Encerramento],MATCH(tItens[[#This Row],[Edital]],tEditais[Edital],0)),"")</f>
        <v>46311.333333333336</v>
      </c>
      <c r="J2086" t="str">
        <f>IFERROR(INDEX(tProdutos[Classe],MATCH(tItens[[#This Row],[Produto]],tProdutos[Produto],0)),"produto não cadastrado")</f>
        <v>NÚCLEO</v>
      </c>
      <c r="K2086" s="12">
        <f>tItens[[#This Row],[Qtd]]*tItens[[#This Row],[Vlr unit]]</f>
        <v>2457</v>
      </c>
      <c r="L2086" s="6">
        <f>IFERROR(IF(INDEX(tProdutos[Desconto homologado],MATCH(tItens[[#This Row],[Produto]],tProdutos[Produto],0))="",DescontoPadrao,INDEX(tProdutos[Desconto homologado],MATCH(tItens[[#This Row],[Produto]],tProdutos[Produto],0))),DescontoPadrao)</f>
        <v>0.39</v>
      </c>
      <c r="M2086" s="12">
        <f>tItens[[#This Row],[Valor]]*(1-tItens[[#This Row],[Desconto]])</f>
        <v>1498.77</v>
      </c>
      <c r="N2086" t="str">
        <f>IFERROR(INDEX(tProdutos[Foco],MATCH(tItens[[#This Row],[Produto]],tProdutos[Produto],0)),"Não")</f>
        <v>Sim</v>
      </c>
      <c r="O2086" t="str">
        <f>IFERROR(INDEX(tEditais[SRP],MATCH(tItens[[#This Row],[Edital]],tEditais[Edital],0)),"Não")</f>
        <v>Sim</v>
      </c>
      <c r="P2086" s="4">
        <f>IF(COUNTIFS(INDEX(tItens[Edital],1):tItens[[#This Row],[Edital]],tItens[[#This Row],[Edital]],INDEX(tItens[Produto],1):tItens[[#This Row],[Produto]],tItens[[#This Row],[Produto]])=1,1,0)</f>
        <v>0</v>
      </c>
    </row>
    <row r="2087" spans="1:16" x14ac:dyDescent="0.25">
      <c r="A2087" t="s">
        <v>1209</v>
      </c>
      <c r="B2087">
        <v>16</v>
      </c>
      <c r="C2087" t="s">
        <v>5128</v>
      </c>
      <c r="D2087" t="s">
        <v>98</v>
      </c>
      <c r="E2087" s="13">
        <v>100</v>
      </c>
      <c r="F2087" s="12">
        <v>24.57</v>
      </c>
      <c r="G2087" t="str">
        <f>IFERROR(INDEX(tEditais[Órgão],MATCH(tItens[[#This Row],[Edital]],tEditais[Edital],0)),"")</f>
        <v>FUNDO MUNICIPAL DE SAUDE</v>
      </c>
      <c r="H2087" t="str">
        <f>IFERROR(INDEX(tEditais[UF],MATCH(tItens[[#This Row],[Edital]],tEditais[Edital],0)),"")</f>
        <v>GO</v>
      </c>
      <c r="I2087" s="11">
        <f>IFERROR(INDEX(tEditais[Encerramento],MATCH(tItens[[#This Row],[Edital]],tEditais[Edital],0)),"")</f>
        <v>46311.333333333336</v>
      </c>
      <c r="J2087" t="str">
        <f>IFERROR(INDEX(tProdutos[Classe],MATCH(tItens[[#This Row],[Produto]],tProdutos[Produto],0)),"produto não cadastrado")</f>
        <v>NÚCLEO</v>
      </c>
      <c r="K2087" s="12">
        <f>tItens[[#This Row],[Qtd]]*tItens[[#This Row],[Vlr unit]]</f>
        <v>2457</v>
      </c>
      <c r="L2087" s="6">
        <f>IFERROR(IF(INDEX(tProdutos[Desconto homologado],MATCH(tItens[[#This Row],[Produto]],tProdutos[Produto],0))="",DescontoPadrao,INDEX(tProdutos[Desconto homologado],MATCH(tItens[[#This Row],[Produto]],tProdutos[Produto],0))),DescontoPadrao)</f>
        <v>0.39</v>
      </c>
      <c r="M2087" s="12">
        <f>tItens[[#This Row],[Valor]]*(1-tItens[[#This Row],[Desconto]])</f>
        <v>1498.77</v>
      </c>
      <c r="N2087" t="str">
        <f>IFERROR(INDEX(tProdutos[Foco],MATCH(tItens[[#This Row],[Produto]],tProdutos[Produto],0)),"Não")</f>
        <v>Sim</v>
      </c>
      <c r="O2087" t="str">
        <f>IFERROR(INDEX(tEditais[SRP],MATCH(tItens[[#This Row],[Edital]],tEditais[Edital],0)),"Não")</f>
        <v>Sim</v>
      </c>
      <c r="P2087" s="4">
        <f>IF(COUNTIFS(INDEX(tItens[Edital],1):tItens[[#This Row],[Edital]],tItens[[#This Row],[Edital]],INDEX(tItens[Produto],1):tItens[[#This Row],[Produto]],tItens[[#This Row],[Produto]])=1,1,0)</f>
        <v>0</v>
      </c>
    </row>
    <row r="2088" spans="1:16" x14ac:dyDescent="0.25">
      <c r="A2088" t="s">
        <v>1209</v>
      </c>
      <c r="B2088">
        <v>29</v>
      </c>
      <c r="C2088" t="s">
        <v>5129</v>
      </c>
      <c r="D2088" t="s">
        <v>509</v>
      </c>
      <c r="E2088" s="13">
        <v>8000</v>
      </c>
      <c r="F2088" s="12">
        <v>20.8</v>
      </c>
      <c r="G2088" t="str">
        <f>IFERROR(INDEX(tEditais[Órgão],MATCH(tItens[[#This Row],[Edital]],tEditais[Edital],0)),"")</f>
        <v>FUNDO MUNICIPAL DE SAUDE</v>
      </c>
      <c r="H2088" t="str">
        <f>IFERROR(INDEX(tEditais[UF],MATCH(tItens[[#This Row],[Edital]],tEditais[Edital],0)),"")</f>
        <v>GO</v>
      </c>
      <c r="I2088" s="11">
        <f>IFERROR(INDEX(tEditais[Encerramento],MATCH(tItens[[#This Row],[Edital]],tEditais[Edital],0)),"")</f>
        <v>46311.333333333336</v>
      </c>
      <c r="J2088" t="str">
        <f>IFERROR(INDEX(tProdutos[Classe],MATCH(tItens[[#This Row],[Produto]],tProdutos[Produto],0)),"produto não cadastrado")</f>
        <v>FILA REBASE</v>
      </c>
      <c r="K2088" s="12">
        <f>tItens[[#This Row],[Qtd]]*tItens[[#This Row],[Vlr unit]]</f>
        <v>166400</v>
      </c>
      <c r="L2088" s="6">
        <f>IFERROR(IF(INDEX(tProdutos[Desconto homologado],MATCH(tItens[[#This Row],[Produto]],tProdutos[Produto],0))="",DescontoPadrao,INDEX(tProdutos[Desconto homologado],MATCH(tItens[[#This Row],[Produto]],tProdutos[Produto],0))),DescontoPadrao)</f>
        <v>0.54086317722681398</v>
      </c>
      <c r="M2088" s="12">
        <f>tItens[[#This Row],[Valor]]*(1-tItens[[#This Row],[Desconto]])</f>
        <v>76400.367309458146</v>
      </c>
      <c r="N2088" t="str">
        <f>IFERROR(INDEX(tProdutos[Foco],MATCH(tItens[[#This Row],[Produto]],tProdutos[Produto],0)),"Não")</f>
        <v>Não</v>
      </c>
      <c r="O2088" t="str">
        <f>IFERROR(INDEX(tEditais[SRP],MATCH(tItens[[#This Row],[Edital]],tEditais[Edital],0)),"Não")</f>
        <v>Sim</v>
      </c>
      <c r="P2088" s="4">
        <f>IF(COUNTIFS(INDEX(tItens[Edital],1):tItens[[#This Row],[Edital]],tItens[[#This Row],[Edital]],INDEX(tItens[Produto],1):tItens[[#This Row],[Produto]],tItens[[#This Row],[Produto]])=1,1,0)</f>
        <v>1</v>
      </c>
    </row>
    <row r="2089" spans="1:16" x14ac:dyDescent="0.25">
      <c r="A2089" t="s">
        <v>1209</v>
      </c>
      <c r="B2089">
        <v>47</v>
      </c>
      <c r="C2089" t="s">
        <v>5130</v>
      </c>
      <c r="D2089" t="s">
        <v>329</v>
      </c>
      <c r="E2089" s="13">
        <v>100</v>
      </c>
      <c r="F2089" s="12">
        <v>133.94999999999999</v>
      </c>
      <c r="G2089" t="str">
        <f>IFERROR(INDEX(tEditais[Órgão],MATCH(tItens[[#This Row],[Edital]],tEditais[Edital],0)),"")</f>
        <v>FUNDO MUNICIPAL DE SAUDE</v>
      </c>
      <c r="H2089" t="str">
        <f>IFERROR(INDEX(tEditais[UF],MATCH(tItens[[#This Row],[Edital]],tEditais[Edital],0)),"")</f>
        <v>GO</v>
      </c>
      <c r="I2089" s="11">
        <f>IFERROR(INDEX(tEditais[Encerramento],MATCH(tItens[[#This Row],[Edital]],tEditais[Edital],0)),"")</f>
        <v>46311.333333333336</v>
      </c>
      <c r="J2089" t="str">
        <f>IFERROR(INDEX(tProdutos[Classe],MATCH(tItens[[#This Row],[Produto]],tProdutos[Produto],0)),"produto não cadastrado")</f>
        <v>FORA</v>
      </c>
      <c r="K2089" s="12">
        <f>tItens[[#This Row],[Qtd]]*tItens[[#This Row],[Vlr unit]]</f>
        <v>13394.999999999998</v>
      </c>
      <c r="L2089" s="6">
        <f>IFERROR(IF(INDEX(tProdutos[Desconto homologado],MATCH(tItens[[#This Row],[Produto]],tProdutos[Produto],0))="",DescontoPadrao,INDEX(tProdutos[Desconto homologado],MATCH(tItens[[#This Row],[Produto]],tProdutos[Produto],0))),DescontoPadrao)</f>
        <v>0.46441781031074703</v>
      </c>
      <c r="M2089" s="12">
        <f>tItens[[#This Row],[Valor]]*(1-tItens[[#This Row],[Desconto]])</f>
        <v>7174.1234308875428</v>
      </c>
      <c r="N2089" t="str">
        <f>IFERROR(INDEX(tProdutos[Foco],MATCH(tItens[[#This Row],[Produto]],tProdutos[Produto],0)),"Não")</f>
        <v>Não</v>
      </c>
      <c r="O2089" t="str">
        <f>IFERROR(INDEX(tEditais[SRP],MATCH(tItens[[#This Row],[Edital]],tEditais[Edital],0)),"Não")</f>
        <v>Sim</v>
      </c>
      <c r="P2089" s="4">
        <f>IF(COUNTIFS(INDEX(tItens[Edital],1):tItens[[#This Row],[Edital]],tItens[[#This Row],[Edital]],INDEX(tItens[Produto],1):tItens[[#This Row],[Produto]],tItens[[#This Row],[Produto]])=1,1,0)</f>
        <v>1</v>
      </c>
    </row>
    <row r="2090" spans="1:16" x14ac:dyDescent="0.25">
      <c r="A2090" t="s">
        <v>1209</v>
      </c>
      <c r="B2090">
        <v>48</v>
      </c>
      <c r="C2090" t="s">
        <v>5131</v>
      </c>
      <c r="D2090" t="s">
        <v>335</v>
      </c>
      <c r="E2090" s="13">
        <v>100</v>
      </c>
      <c r="F2090" s="12">
        <v>130.28</v>
      </c>
      <c r="G2090" t="str">
        <f>IFERROR(INDEX(tEditais[Órgão],MATCH(tItens[[#This Row],[Edital]],tEditais[Edital],0)),"")</f>
        <v>FUNDO MUNICIPAL DE SAUDE</v>
      </c>
      <c r="H2090" t="str">
        <f>IFERROR(INDEX(tEditais[UF],MATCH(tItens[[#This Row],[Edital]],tEditais[Edital],0)),"")</f>
        <v>GO</v>
      </c>
      <c r="I2090" s="11">
        <f>IFERROR(INDEX(tEditais[Encerramento],MATCH(tItens[[#This Row],[Edital]],tEditais[Edital],0)),"")</f>
        <v>46311.333333333336</v>
      </c>
      <c r="J2090" t="str">
        <f>IFERROR(INDEX(tProdutos[Classe],MATCH(tItens[[#This Row],[Produto]],tProdutos[Produto],0)),"produto não cadastrado")</f>
        <v>FORA</v>
      </c>
      <c r="K2090" s="12">
        <f>tItens[[#This Row],[Qtd]]*tItens[[#This Row],[Vlr unit]]</f>
        <v>13028</v>
      </c>
      <c r="L2090" s="6">
        <f>IFERROR(IF(INDEX(tProdutos[Desconto homologado],MATCH(tItens[[#This Row],[Produto]],tProdutos[Produto],0))="",DescontoPadrao,INDEX(tProdutos[Desconto homologado],MATCH(tItens[[#This Row],[Produto]],tProdutos[Produto],0))),DescontoPadrao)</f>
        <v>0.419047619047619</v>
      </c>
      <c r="M2090" s="12">
        <f>tItens[[#This Row],[Valor]]*(1-tItens[[#This Row],[Desconto]])</f>
        <v>7568.6476190476196</v>
      </c>
      <c r="N2090" t="str">
        <f>IFERROR(INDEX(tProdutos[Foco],MATCH(tItens[[#This Row],[Produto]],tProdutos[Produto],0)),"Não")</f>
        <v>Não</v>
      </c>
      <c r="O2090" t="str">
        <f>IFERROR(INDEX(tEditais[SRP],MATCH(tItens[[#This Row],[Edital]],tEditais[Edital],0)),"Não")</f>
        <v>Sim</v>
      </c>
      <c r="P2090" s="4">
        <f>IF(COUNTIFS(INDEX(tItens[Edital],1):tItens[[#This Row],[Edital]],tItens[[#This Row],[Edital]],INDEX(tItens[Produto],1):tItens[[#This Row],[Produto]],tItens[[#This Row],[Produto]])=1,1,0)</f>
        <v>1</v>
      </c>
    </row>
    <row r="2091" spans="1:16" x14ac:dyDescent="0.25">
      <c r="A2091" t="s">
        <v>1209</v>
      </c>
      <c r="B2091">
        <v>49</v>
      </c>
      <c r="C2091" t="s">
        <v>5132</v>
      </c>
      <c r="D2091" t="s">
        <v>365</v>
      </c>
      <c r="E2091" s="13">
        <v>200</v>
      </c>
      <c r="F2091" s="12">
        <v>130.28</v>
      </c>
      <c r="G2091" t="str">
        <f>IFERROR(INDEX(tEditais[Órgão],MATCH(tItens[[#This Row],[Edital]],tEditais[Edital],0)),"")</f>
        <v>FUNDO MUNICIPAL DE SAUDE</v>
      </c>
      <c r="H2091" t="str">
        <f>IFERROR(INDEX(tEditais[UF],MATCH(tItens[[#This Row],[Edital]],tEditais[Edital],0)),"")</f>
        <v>GO</v>
      </c>
      <c r="I2091" s="11">
        <f>IFERROR(INDEX(tEditais[Encerramento],MATCH(tItens[[#This Row],[Edital]],tEditais[Edital],0)),"")</f>
        <v>46311.333333333336</v>
      </c>
      <c r="J2091" t="str">
        <f>IFERROR(INDEX(tProdutos[Classe],MATCH(tItens[[#This Row],[Produto]],tProdutos[Produto],0)),"produto não cadastrado")</f>
        <v>FORA</v>
      </c>
      <c r="K2091" s="12">
        <f>tItens[[#This Row],[Qtd]]*tItens[[#This Row],[Vlr unit]]</f>
        <v>26056</v>
      </c>
      <c r="L2091" s="6">
        <f>IFERROR(IF(INDEX(tProdutos[Desconto homologado],MATCH(tItens[[#This Row],[Produto]],tProdutos[Produto],0))="",DescontoPadrao,INDEX(tProdutos[Desconto homologado],MATCH(tItens[[#This Row],[Produto]],tProdutos[Produto],0))),DescontoPadrao)</f>
        <v>0.41120529659182697</v>
      </c>
      <c r="M2091" s="12">
        <f>tItens[[#This Row],[Valor]]*(1-tItens[[#This Row],[Desconto]])</f>
        <v>15341.634792003359</v>
      </c>
      <c r="N2091" t="str">
        <f>IFERROR(INDEX(tProdutos[Foco],MATCH(tItens[[#This Row],[Produto]],tProdutos[Produto],0)),"Não")</f>
        <v>Não</v>
      </c>
      <c r="O2091" t="str">
        <f>IFERROR(INDEX(tEditais[SRP],MATCH(tItens[[#This Row],[Edital]],tEditais[Edital],0)),"Não")</f>
        <v>Sim</v>
      </c>
      <c r="P2091" s="4">
        <f>IF(COUNTIFS(INDEX(tItens[Edital],1):tItens[[#This Row],[Edital]],tItens[[#This Row],[Edital]],INDEX(tItens[Produto],1):tItens[[#This Row],[Produto]],tItens[[#This Row],[Produto]])=1,1,0)</f>
        <v>1</v>
      </c>
    </row>
    <row r="2092" spans="1:16" x14ac:dyDescent="0.25">
      <c r="A2092" t="s">
        <v>1209</v>
      </c>
      <c r="B2092">
        <v>50</v>
      </c>
      <c r="C2092" t="s">
        <v>5133</v>
      </c>
      <c r="D2092" t="s">
        <v>379</v>
      </c>
      <c r="E2092" s="13">
        <v>600</v>
      </c>
      <c r="F2092" s="12">
        <v>130.28</v>
      </c>
      <c r="G2092" t="str">
        <f>IFERROR(INDEX(tEditais[Órgão],MATCH(tItens[[#This Row],[Edital]],tEditais[Edital],0)),"")</f>
        <v>FUNDO MUNICIPAL DE SAUDE</v>
      </c>
      <c r="H2092" t="str">
        <f>IFERROR(INDEX(tEditais[UF],MATCH(tItens[[#This Row],[Edital]],tEditais[Edital],0)),"")</f>
        <v>GO</v>
      </c>
      <c r="I2092" s="11">
        <f>IFERROR(INDEX(tEditais[Encerramento],MATCH(tItens[[#This Row],[Edital]],tEditais[Edital],0)),"")</f>
        <v>46311.333333333336</v>
      </c>
      <c r="J2092" t="str">
        <f>IFERROR(INDEX(tProdutos[Classe],MATCH(tItens[[#This Row],[Produto]],tProdutos[Produto],0)),"produto não cadastrado")</f>
        <v>FORA</v>
      </c>
      <c r="K2092" s="12">
        <f>tItens[[#This Row],[Qtd]]*tItens[[#This Row],[Vlr unit]]</f>
        <v>78168</v>
      </c>
      <c r="L2092" s="6">
        <f>IFERROR(IF(INDEX(tProdutos[Desconto homologado],MATCH(tItens[[#This Row],[Produto]],tProdutos[Produto],0))="",DescontoPadrao,INDEX(tProdutos[Desconto homologado],MATCH(tItens[[#This Row],[Produto]],tProdutos[Produto],0))),DescontoPadrao)</f>
        <v>0.49504950495049499</v>
      </c>
      <c r="M2092" s="12">
        <f>tItens[[#This Row],[Valor]]*(1-tItens[[#This Row],[Desconto]])</f>
        <v>39470.9702970297</v>
      </c>
      <c r="N2092" t="str">
        <f>IFERROR(INDEX(tProdutos[Foco],MATCH(tItens[[#This Row],[Produto]],tProdutos[Produto],0)),"Não")</f>
        <v>Não</v>
      </c>
      <c r="O2092" t="str">
        <f>IFERROR(INDEX(tEditais[SRP],MATCH(tItens[[#This Row],[Edital]],tEditais[Edital],0)),"Não")</f>
        <v>Sim</v>
      </c>
      <c r="P2092" s="4">
        <f>IF(COUNTIFS(INDEX(tItens[Edital],1):tItens[[#This Row],[Edital]],tItens[[#This Row],[Edital]],INDEX(tItens[Produto],1):tItens[[#This Row],[Produto]],tItens[[#This Row],[Produto]])=1,1,0)</f>
        <v>1</v>
      </c>
    </row>
    <row r="2093" spans="1:16" x14ac:dyDescent="0.25">
      <c r="A2093" t="s">
        <v>1209</v>
      </c>
      <c r="B2093">
        <v>51</v>
      </c>
      <c r="C2093" t="s">
        <v>5134</v>
      </c>
      <c r="D2093" t="s">
        <v>247</v>
      </c>
      <c r="E2093" s="13">
        <v>600</v>
      </c>
      <c r="F2093" s="12">
        <v>129.96</v>
      </c>
      <c r="G2093" t="str">
        <f>IFERROR(INDEX(tEditais[Órgão],MATCH(tItens[[#This Row],[Edital]],tEditais[Edital],0)),"")</f>
        <v>FUNDO MUNICIPAL DE SAUDE</v>
      </c>
      <c r="H2093" t="str">
        <f>IFERROR(INDEX(tEditais[UF],MATCH(tItens[[#This Row],[Edital]],tEditais[Edital],0)),"")</f>
        <v>GO</v>
      </c>
      <c r="I2093" s="11">
        <f>IFERROR(INDEX(tEditais[Encerramento],MATCH(tItens[[#This Row],[Edital]],tEditais[Edital],0)),"")</f>
        <v>46311.333333333336</v>
      </c>
      <c r="J2093" t="str">
        <f>IFERROR(INDEX(tProdutos[Classe],MATCH(tItens[[#This Row],[Produto]],tProdutos[Produto],0)),"produto não cadastrado")</f>
        <v>FORA</v>
      </c>
      <c r="K2093" s="12">
        <f>tItens[[#This Row],[Qtd]]*tItens[[#This Row],[Vlr unit]]</f>
        <v>77976</v>
      </c>
      <c r="L2093" s="6">
        <f>IFERROR(IF(INDEX(tProdutos[Desconto homologado],MATCH(tItens[[#This Row],[Produto]],tProdutos[Produto],0))="",DescontoPadrao,INDEX(tProdutos[Desconto homologado],MATCH(tItens[[#This Row],[Produto]],tProdutos[Produto],0))),DescontoPadrao)</f>
        <v>0.27353256199762999</v>
      </c>
      <c r="M2093" s="12">
        <f>tItens[[#This Row],[Valor]]*(1-tItens[[#This Row],[Desconto]])</f>
        <v>56647.024945672805</v>
      </c>
      <c r="N2093" t="str">
        <f>IFERROR(INDEX(tProdutos[Foco],MATCH(tItens[[#This Row],[Produto]],tProdutos[Produto],0)),"Não")</f>
        <v>Não</v>
      </c>
      <c r="O2093" t="str">
        <f>IFERROR(INDEX(tEditais[SRP],MATCH(tItens[[#This Row],[Edital]],tEditais[Edital],0)),"Não")</f>
        <v>Sim</v>
      </c>
      <c r="P2093" s="4">
        <f>IF(COUNTIFS(INDEX(tItens[Edital],1):tItens[[#This Row],[Edital]],tItens[[#This Row],[Edital]],INDEX(tItens[Produto],1):tItens[[#This Row],[Produto]],tItens[[#This Row],[Produto]])=1,1,0)</f>
        <v>1</v>
      </c>
    </row>
    <row r="2094" spans="1:16" x14ac:dyDescent="0.25">
      <c r="A2094" t="s">
        <v>1209</v>
      </c>
      <c r="B2094">
        <v>52</v>
      </c>
      <c r="C2094" t="s">
        <v>5135</v>
      </c>
      <c r="D2094" t="s">
        <v>287</v>
      </c>
      <c r="E2094" s="13">
        <v>600</v>
      </c>
      <c r="F2094" s="12">
        <v>133.19</v>
      </c>
      <c r="G2094" t="str">
        <f>IFERROR(INDEX(tEditais[Órgão],MATCH(tItens[[#This Row],[Edital]],tEditais[Edital],0)),"")</f>
        <v>FUNDO MUNICIPAL DE SAUDE</v>
      </c>
      <c r="H2094" t="str">
        <f>IFERROR(INDEX(tEditais[UF],MATCH(tItens[[#This Row],[Edital]],tEditais[Edital],0)),"")</f>
        <v>GO</v>
      </c>
      <c r="I2094" s="11">
        <f>IFERROR(INDEX(tEditais[Encerramento],MATCH(tItens[[#This Row],[Edital]],tEditais[Edital],0)),"")</f>
        <v>46311.333333333336</v>
      </c>
      <c r="J2094" t="str">
        <f>IFERROR(INDEX(tProdutos[Classe],MATCH(tItens[[#This Row],[Produto]],tProdutos[Produto],0)),"produto não cadastrado")</f>
        <v>FORA</v>
      </c>
      <c r="K2094" s="12">
        <f>tItens[[#This Row],[Qtd]]*tItens[[#This Row],[Vlr unit]]</f>
        <v>79914</v>
      </c>
      <c r="L2094" s="6">
        <f>IFERROR(IF(INDEX(tProdutos[Desconto homologado],MATCH(tItens[[#This Row],[Produto]],tProdutos[Produto],0))="",DescontoPadrao,INDEX(tProdutos[Desconto homologado],MATCH(tItens[[#This Row],[Produto]],tProdutos[Produto],0))),DescontoPadrao)</f>
        <v>0.46344491178876002</v>
      </c>
      <c r="M2094" s="12">
        <f>tItens[[#This Row],[Valor]]*(1-tItens[[#This Row],[Desconto]])</f>
        <v>42878.263319313031</v>
      </c>
      <c r="N2094" t="str">
        <f>IFERROR(INDEX(tProdutos[Foco],MATCH(tItens[[#This Row],[Produto]],tProdutos[Produto],0)),"Não")</f>
        <v>Não</v>
      </c>
      <c r="O2094" t="str">
        <f>IFERROR(INDEX(tEditais[SRP],MATCH(tItens[[#This Row],[Edital]],tEditais[Edital],0)),"Não")</f>
        <v>Sim</v>
      </c>
      <c r="P2094" s="4">
        <f>IF(COUNTIFS(INDEX(tItens[Edital],1):tItens[[#This Row],[Edital]],tItens[[#This Row],[Edital]],INDEX(tItens[Produto],1):tItens[[#This Row],[Produto]],tItens[[#This Row],[Produto]])=1,1,0)</f>
        <v>1</v>
      </c>
    </row>
    <row r="2095" spans="1:16" x14ac:dyDescent="0.25">
      <c r="A2095" t="s">
        <v>1209</v>
      </c>
      <c r="B2095">
        <v>55</v>
      </c>
      <c r="C2095" t="s">
        <v>5136</v>
      </c>
      <c r="D2095" t="s">
        <v>355</v>
      </c>
      <c r="E2095" s="13">
        <v>300</v>
      </c>
      <c r="F2095" s="12">
        <v>129.66999999999999</v>
      </c>
      <c r="G2095" t="str">
        <f>IFERROR(INDEX(tEditais[Órgão],MATCH(tItens[[#This Row],[Edital]],tEditais[Edital],0)),"")</f>
        <v>FUNDO MUNICIPAL DE SAUDE</v>
      </c>
      <c r="H2095" t="str">
        <f>IFERROR(INDEX(tEditais[UF],MATCH(tItens[[#This Row],[Edital]],tEditais[Edital],0)),"")</f>
        <v>GO</v>
      </c>
      <c r="I2095" s="11">
        <f>IFERROR(INDEX(tEditais[Encerramento],MATCH(tItens[[#This Row],[Edital]],tEditais[Edital],0)),"")</f>
        <v>46311.333333333336</v>
      </c>
      <c r="J2095" t="str">
        <f>IFERROR(INDEX(tProdutos[Classe],MATCH(tItens[[#This Row],[Produto]],tProdutos[Produto],0)),"produto não cadastrado")</f>
        <v>FORA</v>
      </c>
      <c r="K2095" s="12">
        <f>tItens[[#This Row],[Qtd]]*tItens[[#This Row],[Vlr unit]]</f>
        <v>38900.999999999993</v>
      </c>
      <c r="L2095" s="6">
        <f>IFERROR(IF(INDEX(tProdutos[Desconto homologado],MATCH(tItens[[#This Row],[Produto]],tProdutos[Produto],0))="",DescontoPadrao,INDEX(tProdutos[Desconto homologado],MATCH(tItens[[#This Row],[Produto]],tProdutos[Produto],0))),DescontoPadrao)</f>
        <v>0.434133915574964</v>
      </c>
      <c r="M2095" s="12">
        <f>tItens[[#This Row],[Valor]]*(1-tItens[[#This Row],[Desconto]])</f>
        <v>22012.756550218324</v>
      </c>
      <c r="N2095" t="str">
        <f>IFERROR(INDEX(tProdutos[Foco],MATCH(tItens[[#This Row],[Produto]],tProdutos[Produto],0)),"Não")</f>
        <v>Não</v>
      </c>
      <c r="O2095" t="str">
        <f>IFERROR(INDEX(tEditais[SRP],MATCH(tItens[[#This Row],[Edital]],tEditais[Edital],0)),"Não")</f>
        <v>Sim</v>
      </c>
      <c r="P2095" s="4">
        <f>IF(COUNTIFS(INDEX(tItens[Edital],1):tItens[[#This Row],[Edital]],tItens[[#This Row],[Edital]],INDEX(tItens[Produto],1):tItens[[#This Row],[Produto]],tItens[[#This Row],[Produto]])=1,1,0)</f>
        <v>1</v>
      </c>
    </row>
    <row r="2096" spans="1:16" x14ac:dyDescent="0.25">
      <c r="A2096" t="s">
        <v>1209</v>
      </c>
      <c r="B2096">
        <v>59</v>
      </c>
      <c r="C2096" t="s">
        <v>5137</v>
      </c>
      <c r="D2096" t="s">
        <v>333</v>
      </c>
      <c r="E2096" s="13">
        <v>120000</v>
      </c>
      <c r="F2096" s="12">
        <v>2.02</v>
      </c>
      <c r="G2096" t="str">
        <f>IFERROR(INDEX(tEditais[Órgão],MATCH(tItens[[#This Row],[Edital]],tEditais[Edital],0)),"")</f>
        <v>FUNDO MUNICIPAL DE SAUDE</v>
      </c>
      <c r="H2096" t="str">
        <f>IFERROR(INDEX(tEditais[UF],MATCH(tItens[[#This Row],[Edital]],tEditais[Edital],0)),"")</f>
        <v>GO</v>
      </c>
      <c r="I2096" s="11">
        <f>IFERROR(INDEX(tEditais[Encerramento],MATCH(tItens[[#This Row],[Edital]],tEditais[Edital],0)),"")</f>
        <v>46311.333333333336</v>
      </c>
      <c r="J2096" t="str">
        <f>IFERROR(INDEX(tProdutos[Classe],MATCH(tItens[[#This Row],[Produto]],tProdutos[Produto],0)),"produto não cadastrado")</f>
        <v>FORA</v>
      </c>
      <c r="K2096" s="12">
        <f>tItens[[#This Row],[Qtd]]*tItens[[#This Row],[Vlr unit]]</f>
        <v>242400</v>
      </c>
      <c r="L2096" s="6">
        <f>IFERROR(IF(INDEX(tProdutos[Desconto homologado],MATCH(tItens[[#This Row],[Produto]],tProdutos[Produto],0))="",DescontoPadrao,INDEX(tProdutos[Desconto homologado],MATCH(tItens[[#This Row],[Produto]],tProdutos[Produto],0))),DescontoPadrao)</f>
        <v>0.48951048951048998</v>
      </c>
      <c r="M2096" s="12">
        <f>tItens[[#This Row],[Valor]]*(1-tItens[[#This Row],[Desconto]])</f>
        <v>123742.65734265721</v>
      </c>
      <c r="N2096" t="str">
        <f>IFERROR(INDEX(tProdutos[Foco],MATCH(tItens[[#This Row],[Produto]],tProdutos[Produto],0)),"Não")</f>
        <v>Não</v>
      </c>
      <c r="O2096" t="str">
        <f>IFERROR(INDEX(tEditais[SRP],MATCH(tItens[[#This Row],[Edital]],tEditais[Edital],0)),"Não")</f>
        <v>Sim</v>
      </c>
      <c r="P2096" s="4">
        <f>IF(COUNTIFS(INDEX(tItens[Edital],1):tItens[[#This Row],[Edital]],tItens[[#This Row],[Edital]],INDEX(tItens[Produto],1):tItens[[#This Row],[Produto]],tItens[[#This Row],[Produto]])=1,1,0)</f>
        <v>1</v>
      </c>
    </row>
    <row r="2097" spans="1:16" x14ac:dyDescent="0.25">
      <c r="A2097" t="s">
        <v>1209</v>
      </c>
      <c r="B2097">
        <v>60</v>
      </c>
      <c r="C2097" t="s">
        <v>5138</v>
      </c>
      <c r="D2097" t="s">
        <v>209</v>
      </c>
      <c r="E2097" s="13">
        <v>5000</v>
      </c>
      <c r="F2097" s="12">
        <v>8.06</v>
      </c>
      <c r="G2097" t="str">
        <f>IFERROR(INDEX(tEditais[Órgão],MATCH(tItens[[#This Row],[Edital]],tEditais[Edital],0)),"")</f>
        <v>FUNDO MUNICIPAL DE SAUDE</v>
      </c>
      <c r="H2097" t="str">
        <f>IFERROR(INDEX(tEditais[UF],MATCH(tItens[[#This Row],[Edital]],tEditais[Edital],0)),"")</f>
        <v>GO</v>
      </c>
      <c r="I2097" s="11">
        <f>IFERROR(INDEX(tEditais[Encerramento],MATCH(tItens[[#This Row],[Edital]],tEditais[Edital],0)),"")</f>
        <v>46311.333333333336</v>
      </c>
      <c r="J2097" t="str">
        <f>IFERROR(INDEX(tProdutos[Classe],MATCH(tItens[[#This Row],[Produto]],tProdutos[Produto],0)),"produto não cadastrado")</f>
        <v>FORA</v>
      </c>
      <c r="K2097" s="12">
        <f>tItens[[#This Row],[Qtd]]*tItens[[#This Row],[Vlr unit]]</f>
        <v>40300</v>
      </c>
      <c r="L2097" s="6">
        <f>IFERROR(IF(INDEX(tProdutos[Desconto homologado],MATCH(tItens[[#This Row],[Produto]],tProdutos[Produto],0))="",DescontoPadrao,INDEX(tProdutos[Desconto homologado],MATCH(tItens[[#This Row],[Produto]],tProdutos[Produto],0))),DescontoPadrao)</f>
        <v>0.16442507504040599</v>
      </c>
      <c r="M2097" s="12">
        <f>tItens[[#This Row],[Valor]]*(1-tItens[[#This Row],[Desconto]])</f>
        <v>33673.66947587164</v>
      </c>
      <c r="N2097" t="str">
        <f>IFERROR(INDEX(tProdutos[Foco],MATCH(tItens[[#This Row],[Produto]],tProdutos[Produto],0)),"Não")</f>
        <v>Não</v>
      </c>
      <c r="O2097" t="str">
        <f>IFERROR(INDEX(tEditais[SRP],MATCH(tItens[[#This Row],[Edital]],tEditais[Edital],0)),"Não")</f>
        <v>Sim</v>
      </c>
      <c r="P2097" s="4">
        <f>IF(COUNTIFS(INDEX(tItens[Edital],1):tItens[[#This Row],[Edital]],tItens[[#This Row],[Edital]],INDEX(tItens[Produto],1):tItens[[#This Row],[Produto]],tItens[[#This Row],[Produto]])=1,1,0)</f>
        <v>1</v>
      </c>
    </row>
    <row r="2098" spans="1:16" x14ac:dyDescent="0.25">
      <c r="A2098" t="s">
        <v>1209</v>
      </c>
      <c r="B2098">
        <v>68</v>
      </c>
      <c r="C2098" t="s">
        <v>5139</v>
      </c>
      <c r="D2098" t="s">
        <v>275</v>
      </c>
      <c r="E2098" s="13">
        <v>70000</v>
      </c>
      <c r="F2098" s="12">
        <v>0.33</v>
      </c>
      <c r="G2098" t="str">
        <f>IFERROR(INDEX(tEditais[Órgão],MATCH(tItens[[#This Row],[Edital]],tEditais[Edital],0)),"")</f>
        <v>FUNDO MUNICIPAL DE SAUDE</v>
      </c>
      <c r="H2098" t="str">
        <f>IFERROR(INDEX(tEditais[UF],MATCH(tItens[[#This Row],[Edital]],tEditais[Edital],0)),"")</f>
        <v>GO</v>
      </c>
      <c r="I2098" s="11">
        <f>IFERROR(INDEX(tEditais[Encerramento],MATCH(tItens[[#This Row],[Edital]],tEditais[Edital],0)),"")</f>
        <v>46311.333333333336</v>
      </c>
      <c r="J2098" t="str">
        <f>IFERROR(INDEX(tProdutos[Classe],MATCH(tItens[[#This Row],[Produto]],tProdutos[Produto],0)),"produto não cadastrado")</f>
        <v>FORA</v>
      </c>
      <c r="K2098" s="12">
        <f>tItens[[#This Row],[Qtd]]*tItens[[#This Row],[Vlr unit]]</f>
        <v>23100</v>
      </c>
      <c r="L2098" s="6">
        <f>IFERROR(IF(INDEX(tProdutos[Desconto homologado],MATCH(tItens[[#This Row],[Produto]],tProdutos[Produto],0))="",DescontoPadrao,INDEX(tProdutos[Desconto homologado],MATCH(tItens[[#This Row],[Produto]],tProdutos[Produto],0))),DescontoPadrao)</f>
        <v>0.405797101449275</v>
      </c>
      <c r="M2098" s="12">
        <f>tItens[[#This Row],[Valor]]*(1-tItens[[#This Row],[Desconto]])</f>
        <v>13726.086956521749</v>
      </c>
      <c r="N2098" t="str">
        <f>IFERROR(INDEX(tProdutos[Foco],MATCH(tItens[[#This Row],[Produto]],tProdutos[Produto],0)),"Não")</f>
        <v>Não</v>
      </c>
      <c r="O2098" t="str">
        <f>IFERROR(INDEX(tEditais[SRP],MATCH(tItens[[#This Row],[Edital]],tEditais[Edital],0)),"Não")</f>
        <v>Sim</v>
      </c>
      <c r="P2098" s="4">
        <f>IF(COUNTIFS(INDEX(tItens[Edital],1):tItens[[#This Row],[Edital]],tItens[[#This Row],[Edital]],INDEX(tItens[Produto],1):tItens[[#This Row],[Produto]],tItens[[#This Row],[Produto]])=1,1,0)</f>
        <v>1</v>
      </c>
    </row>
    <row r="2099" spans="1:16" x14ac:dyDescent="0.25">
      <c r="A2099" t="s">
        <v>1209</v>
      </c>
      <c r="B2099">
        <v>69</v>
      </c>
      <c r="C2099" t="s">
        <v>5140</v>
      </c>
      <c r="D2099" t="s">
        <v>275</v>
      </c>
      <c r="E2099" s="13">
        <v>70000</v>
      </c>
      <c r="F2099" s="12">
        <v>0.33</v>
      </c>
      <c r="G2099" t="str">
        <f>IFERROR(INDEX(tEditais[Órgão],MATCH(tItens[[#This Row],[Edital]],tEditais[Edital],0)),"")</f>
        <v>FUNDO MUNICIPAL DE SAUDE</v>
      </c>
      <c r="H2099" t="str">
        <f>IFERROR(INDEX(tEditais[UF],MATCH(tItens[[#This Row],[Edital]],tEditais[Edital],0)),"")</f>
        <v>GO</v>
      </c>
      <c r="I2099" s="11">
        <f>IFERROR(INDEX(tEditais[Encerramento],MATCH(tItens[[#This Row],[Edital]],tEditais[Edital],0)),"")</f>
        <v>46311.333333333336</v>
      </c>
      <c r="J2099" t="str">
        <f>IFERROR(INDEX(tProdutos[Classe],MATCH(tItens[[#This Row],[Produto]],tProdutos[Produto],0)),"produto não cadastrado")</f>
        <v>FORA</v>
      </c>
      <c r="K2099" s="12">
        <f>tItens[[#This Row],[Qtd]]*tItens[[#This Row],[Vlr unit]]</f>
        <v>23100</v>
      </c>
      <c r="L2099" s="6">
        <f>IFERROR(IF(INDEX(tProdutos[Desconto homologado],MATCH(tItens[[#This Row],[Produto]],tProdutos[Produto],0))="",DescontoPadrao,INDEX(tProdutos[Desconto homologado],MATCH(tItens[[#This Row],[Produto]],tProdutos[Produto],0))),DescontoPadrao)</f>
        <v>0.405797101449275</v>
      </c>
      <c r="M2099" s="12">
        <f>tItens[[#This Row],[Valor]]*(1-tItens[[#This Row],[Desconto]])</f>
        <v>13726.086956521749</v>
      </c>
      <c r="N2099" t="str">
        <f>IFERROR(INDEX(tProdutos[Foco],MATCH(tItens[[#This Row],[Produto]],tProdutos[Produto],0)),"Não")</f>
        <v>Não</v>
      </c>
      <c r="O2099" t="str">
        <f>IFERROR(INDEX(tEditais[SRP],MATCH(tItens[[#This Row],[Edital]],tEditais[Edital],0)),"Não")</f>
        <v>Sim</v>
      </c>
      <c r="P2099" s="4">
        <f>IF(COUNTIFS(INDEX(tItens[Edital],1):tItens[[#This Row],[Edital]],tItens[[#This Row],[Edital]],INDEX(tItens[Produto],1):tItens[[#This Row],[Produto]],tItens[[#This Row],[Produto]])=1,1,0)</f>
        <v>0</v>
      </c>
    </row>
    <row r="2100" spans="1:16" x14ac:dyDescent="0.25">
      <c r="A2100" t="s">
        <v>1209</v>
      </c>
      <c r="B2100">
        <v>70</v>
      </c>
      <c r="C2100" t="s">
        <v>5141</v>
      </c>
      <c r="D2100" t="s">
        <v>275</v>
      </c>
      <c r="E2100" s="13">
        <v>120000</v>
      </c>
      <c r="F2100" s="12">
        <v>0.81</v>
      </c>
      <c r="G2100" t="str">
        <f>IFERROR(INDEX(tEditais[Órgão],MATCH(tItens[[#This Row],[Edital]],tEditais[Edital],0)),"")</f>
        <v>FUNDO MUNICIPAL DE SAUDE</v>
      </c>
      <c r="H2100" t="str">
        <f>IFERROR(INDEX(tEditais[UF],MATCH(tItens[[#This Row],[Edital]],tEditais[Edital],0)),"")</f>
        <v>GO</v>
      </c>
      <c r="I2100" s="11">
        <f>IFERROR(INDEX(tEditais[Encerramento],MATCH(tItens[[#This Row],[Edital]],tEditais[Edital],0)),"")</f>
        <v>46311.333333333336</v>
      </c>
      <c r="J2100" t="str">
        <f>IFERROR(INDEX(tProdutos[Classe],MATCH(tItens[[#This Row],[Produto]],tProdutos[Produto],0)),"produto não cadastrado")</f>
        <v>FORA</v>
      </c>
      <c r="K2100" s="12">
        <f>tItens[[#This Row],[Qtd]]*tItens[[#This Row],[Vlr unit]]</f>
        <v>97200</v>
      </c>
      <c r="L2100" s="6">
        <f>IFERROR(IF(INDEX(tProdutos[Desconto homologado],MATCH(tItens[[#This Row],[Produto]],tProdutos[Produto],0))="",DescontoPadrao,INDEX(tProdutos[Desconto homologado],MATCH(tItens[[#This Row],[Produto]],tProdutos[Produto],0))),DescontoPadrao)</f>
        <v>0.405797101449275</v>
      </c>
      <c r="M2100" s="12">
        <f>tItens[[#This Row],[Valor]]*(1-tItens[[#This Row],[Desconto]])</f>
        <v>57756.521739130476</v>
      </c>
      <c r="N2100" t="str">
        <f>IFERROR(INDEX(tProdutos[Foco],MATCH(tItens[[#This Row],[Produto]],tProdutos[Produto],0)),"Não")</f>
        <v>Não</v>
      </c>
      <c r="O2100" t="str">
        <f>IFERROR(INDEX(tEditais[SRP],MATCH(tItens[[#This Row],[Edital]],tEditais[Edital],0)),"Não")</f>
        <v>Sim</v>
      </c>
      <c r="P2100" s="4">
        <f>IF(COUNTIFS(INDEX(tItens[Edital],1):tItens[[#This Row],[Edital]],tItens[[#This Row],[Edital]],INDEX(tItens[Produto],1):tItens[[#This Row],[Produto]],tItens[[#This Row],[Produto]])=1,1,0)</f>
        <v>0</v>
      </c>
    </row>
    <row r="2101" spans="1:16" x14ac:dyDescent="0.25">
      <c r="A2101" t="s">
        <v>1209</v>
      </c>
      <c r="B2101">
        <v>71</v>
      </c>
      <c r="C2101" t="s">
        <v>5142</v>
      </c>
      <c r="D2101" t="s">
        <v>283</v>
      </c>
      <c r="E2101" s="13">
        <v>100000</v>
      </c>
      <c r="F2101" s="12">
        <v>0.32</v>
      </c>
      <c r="G2101" t="str">
        <f>IFERROR(INDEX(tEditais[Órgão],MATCH(tItens[[#This Row],[Edital]],tEditais[Edital],0)),"")</f>
        <v>FUNDO MUNICIPAL DE SAUDE</v>
      </c>
      <c r="H2101" t="str">
        <f>IFERROR(INDEX(tEditais[UF],MATCH(tItens[[#This Row],[Edital]],tEditais[Edital],0)),"")</f>
        <v>GO</v>
      </c>
      <c r="I2101" s="11">
        <f>IFERROR(INDEX(tEditais[Encerramento],MATCH(tItens[[#This Row],[Edital]],tEditais[Edital],0)),"")</f>
        <v>46311.333333333336</v>
      </c>
      <c r="J2101" t="str">
        <f>IFERROR(INDEX(tProdutos[Classe],MATCH(tItens[[#This Row],[Produto]],tProdutos[Produto],0)),"produto não cadastrado")</f>
        <v>FORA</v>
      </c>
      <c r="K2101" s="12">
        <f>tItens[[#This Row],[Qtd]]*tItens[[#This Row],[Vlr unit]]</f>
        <v>32000</v>
      </c>
      <c r="L2101" s="6">
        <f>IFERROR(IF(INDEX(tProdutos[Desconto homologado],MATCH(tItens[[#This Row],[Produto]],tProdutos[Produto],0))="",DescontoPadrao,INDEX(tProdutos[Desconto homologado],MATCH(tItens[[#This Row],[Produto]],tProdutos[Produto],0))),DescontoPadrao)</f>
        <v>0.40540540540540498</v>
      </c>
      <c r="M2101" s="12">
        <f>tItens[[#This Row],[Valor]]*(1-tItens[[#This Row],[Desconto]])</f>
        <v>19027.027027027038</v>
      </c>
      <c r="N2101" t="str">
        <f>IFERROR(INDEX(tProdutos[Foco],MATCH(tItens[[#This Row],[Produto]],tProdutos[Produto],0)),"Não")</f>
        <v>Não</v>
      </c>
      <c r="O2101" t="str">
        <f>IFERROR(INDEX(tEditais[SRP],MATCH(tItens[[#This Row],[Edital]],tEditais[Edital],0)),"Não")</f>
        <v>Sim</v>
      </c>
      <c r="P2101" s="4">
        <f>IF(COUNTIFS(INDEX(tItens[Edital],1):tItens[[#This Row],[Edital]],tItens[[#This Row],[Edital]],INDEX(tItens[Produto],1):tItens[[#This Row],[Produto]],tItens[[#This Row],[Produto]])=1,1,0)</f>
        <v>1</v>
      </c>
    </row>
    <row r="2102" spans="1:16" x14ac:dyDescent="0.25">
      <c r="A2102" t="s">
        <v>1209</v>
      </c>
      <c r="B2102">
        <v>72</v>
      </c>
      <c r="C2102" t="s">
        <v>5143</v>
      </c>
      <c r="D2102" t="s">
        <v>265</v>
      </c>
      <c r="E2102" s="13">
        <v>100000</v>
      </c>
      <c r="F2102" s="12">
        <v>0.41</v>
      </c>
      <c r="G2102" t="str">
        <f>IFERROR(INDEX(tEditais[Órgão],MATCH(tItens[[#This Row],[Edital]],tEditais[Edital],0)),"")</f>
        <v>FUNDO MUNICIPAL DE SAUDE</v>
      </c>
      <c r="H2102" t="str">
        <f>IFERROR(INDEX(tEditais[UF],MATCH(tItens[[#This Row],[Edital]],tEditais[Edital],0)),"")</f>
        <v>GO</v>
      </c>
      <c r="I2102" s="11">
        <f>IFERROR(INDEX(tEditais[Encerramento],MATCH(tItens[[#This Row],[Edital]],tEditais[Edital],0)),"")</f>
        <v>46311.333333333336</v>
      </c>
      <c r="J2102" t="str">
        <f>IFERROR(INDEX(tProdutos[Classe],MATCH(tItens[[#This Row],[Produto]],tProdutos[Produto],0)),"produto não cadastrado")</f>
        <v>DISPUTADO</v>
      </c>
      <c r="K2102" s="12">
        <f>tItens[[#This Row],[Qtd]]*tItens[[#This Row],[Vlr unit]]</f>
        <v>41000</v>
      </c>
      <c r="L2102" s="6">
        <f>IFERROR(IF(INDEX(tProdutos[Desconto homologado],MATCH(tItens[[#This Row],[Produto]],tProdutos[Produto],0))="",DescontoPadrao,INDEX(tProdutos[Desconto homologado],MATCH(tItens[[#This Row],[Produto]],tProdutos[Produto],0))),DescontoPadrao)</f>
        <v>0.377587663709337</v>
      </c>
      <c r="M2102" s="12">
        <f>tItens[[#This Row],[Valor]]*(1-tItens[[#This Row],[Desconto]])</f>
        <v>25518.905787917185</v>
      </c>
      <c r="N2102" t="str">
        <f>IFERROR(INDEX(tProdutos[Foco],MATCH(tItens[[#This Row],[Produto]],tProdutos[Produto],0)),"Não")</f>
        <v>Não</v>
      </c>
      <c r="O2102" t="str">
        <f>IFERROR(INDEX(tEditais[SRP],MATCH(tItens[[#This Row],[Edital]],tEditais[Edital],0)),"Não")</f>
        <v>Sim</v>
      </c>
      <c r="P2102" s="4">
        <f>IF(COUNTIFS(INDEX(tItens[Edital],1):tItens[[#This Row],[Edital]],tItens[[#This Row],[Edital]],INDEX(tItens[Produto],1):tItens[[#This Row],[Produto]],tItens[[#This Row],[Produto]])=1,1,0)</f>
        <v>1</v>
      </c>
    </row>
    <row r="2103" spans="1:16" x14ac:dyDescent="0.25">
      <c r="A2103" t="s">
        <v>1209</v>
      </c>
      <c r="B2103">
        <v>73</v>
      </c>
      <c r="C2103" t="s">
        <v>5144</v>
      </c>
      <c r="D2103" t="s">
        <v>281</v>
      </c>
      <c r="E2103" s="13">
        <v>80000</v>
      </c>
      <c r="F2103" s="12">
        <v>0.62</v>
      </c>
      <c r="G2103" t="str">
        <f>IFERROR(INDEX(tEditais[Órgão],MATCH(tItens[[#This Row],[Edital]],tEditais[Edital],0)),"")</f>
        <v>FUNDO MUNICIPAL DE SAUDE</v>
      </c>
      <c r="H2103" t="str">
        <f>IFERROR(INDEX(tEditais[UF],MATCH(tItens[[#This Row],[Edital]],tEditais[Edital],0)),"")</f>
        <v>GO</v>
      </c>
      <c r="I2103" s="11">
        <f>IFERROR(INDEX(tEditais[Encerramento],MATCH(tItens[[#This Row],[Edital]],tEditais[Edital],0)),"")</f>
        <v>46311.333333333336</v>
      </c>
      <c r="J2103" t="str">
        <f>IFERROR(INDEX(tProdutos[Classe],MATCH(tItens[[#This Row],[Produto]],tProdutos[Produto],0)),"produto não cadastrado")</f>
        <v>DISPUTADO</v>
      </c>
      <c r="K2103" s="12">
        <f>tItens[[#This Row],[Qtd]]*tItens[[#This Row],[Vlr unit]]</f>
        <v>49600</v>
      </c>
      <c r="L2103" s="6">
        <f>IFERROR(IF(INDEX(tProdutos[Desconto homologado],MATCH(tItens[[#This Row],[Produto]],tProdutos[Produto],0))="",DescontoPadrao,INDEX(tProdutos[Desconto homologado],MATCH(tItens[[#This Row],[Produto]],tProdutos[Produto],0))),DescontoPadrao)</f>
        <v>0.42461538461538501</v>
      </c>
      <c r="M2103" s="12">
        <f>tItens[[#This Row],[Valor]]*(1-tItens[[#This Row],[Desconto]])</f>
        <v>28539.0769230769</v>
      </c>
      <c r="N2103" t="str">
        <f>IFERROR(INDEX(tProdutos[Foco],MATCH(tItens[[#This Row],[Produto]],tProdutos[Produto],0)),"Não")</f>
        <v>Não</v>
      </c>
      <c r="O2103" t="str">
        <f>IFERROR(INDEX(tEditais[SRP],MATCH(tItens[[#This Row],[Edital]],tEditais[Edital],0)),"Não")</f>
        <v>Sim</v>
      </c>
      <c r="P2103" s="4">
        <f>IF(COUNTIFS(INDEX(tItens[Edital],1):tItens[[#This Row],[Edital]],tItens[[#This Row],[Edital]],INDEX(tItens[Produto],1):tItens[[#This Row],[Produto]],tItens[[#This Row],[Produto]])=1,1,0)</f>
        <v>1</v>
      </c>
    </row>
    <row r="2104" spans="1:16" x14ac:dyDescent="0.25">
      <c r="A2104" t="s">
        <v>1209</v>
      </c>
      <c r="B2104">
        <v>74</v>
      </c>
      <c r="C2104" t="s">
        <v>5145</v>
      </c>
      <c r="D2104" t="s">
        <v>289</v>
      </c>
      <c r="E2104" s="13">
        <v>100000</v>
      </c>
      <c r="F2104" s="12">
        <v>0.76</v>
      </c>
      <c r="G2104" t="str">
        <f>IFERROR(INDEX(tEditais[Órgão],MATCH(tItens[[#This Row],[Edital]],tEditais[Edital],0)),"")</f>
        <v>FUNDO MUNICIPAL DE SAUDE</v>
      </c>
      <c r="H2104" t="str">
        <f>IFERROR(INDEX(tEditais[UF],MATCH(tItens[[#This Row],[Edital]],tEditais[Edital],0)),"")</f>
        <v>GO</v>
      </c>
      <c r="I2104" s="11">
        <f>IFERROR(INDEX(tEditais[Encerramento],MATCH(tItens[[#This Row],[Edital]],tEditais[Edital],0)),"")</f>
        <v>46311.333333333336</v>
      </c>
      <c r="J2104" t="str">
        <f>IFERROR(INDEX(tProdutos[Classe],MATCH(tItens[[#This Row],[Produto]],tProdutos[Produto],0)),"produto não cadastrado")</f>
        <v>DISPUTADO</v>
      </c>
      <c r="K2104" s="12">
        <f>tItens[[#This Row],[Qtd]]*tItens[[#This Row],[Vlr unit]]</f>
        <v>76000</v>
      </c>
      <c r="L2104" s="6">
        <f>IFERROR(IF(INDEX(tProdutos[Desconto homologado],MATCH(tItens[[#This Row],[Produto]],tProdutos[Produto],0))="",DescontoPadrao,INDEX(tProdutos[Desconto homologado],MATCH(tItens[[#This Row],[Produto]],tProdutos[Produto],0))),DescontoPadrao)</f>
        <v>0.35849056603773599</v>
      </c>
      <c r="M2104" s="12">
        <f>tItens[[#This Row],[Valor]]*(1-tItens[[#This Row],[Desconto]])</f>
        <v>48754.716981132064</v>
      </c>
      <c r="N2104" t="str">
        <f>IFERROR(INDEX(tProdutos[Foco],MATCH(tItens[[#This Row],[Produto]],tProdutos[Produto],0)),"Não")</f>
        <v>Não</v>
      </c>
      <c r="O2104" t="str">
        <f>IFERROR(INDEX(tEditais[SRP],MATCH(tItens[[#This Row],[Edital]],tEditais[Edital],0)),"Não")</f>
        <v>Sim</v>
      </c>
      <c r="P2104" s="4">
        <f>IF(COUNTIFS(INDEX(tItens[Edital],1):tItens[[#This Row],[Edital]],tItens[[#This Row],[Edital]],INDEX(tItens[Produto],1):tItens[[#This Row],[Produto]],tItens[[#This Row],[Produto]])=1,1,0)</f>
        <v>1</v>
      </c>
    </row>
    <row r="2105" spans="1:16" x14ac:dyDescent="0.25">
      <c r="A2105" t="s">
        <v>1209</v>
      </c>
      <c r="B2105">
        <v>82</v>
      </c>
      <c r="C2105" t="s">
        <v>5146</v>
      </c>
      <c r="D2105" t="s">
        <v>184</v>
      </c>
      <c r="E2105" s="13">
        <v>2000</v>
      </c>
      <c r="F2105" s="12">
        <v>4.87</v>
      </c>
      <c r="G2105" t="str">
        <f>IFERROR(INDEX(tEditais[Órgão],MATCH(tItens[[#This Row],[Edital]],tEditais[Edital],0)),"")</f>
        <v>FUNDO MUNICIPAL DE SAUDE</v>
      </c>
      <c r="H2105" t="str">
        <f>IFERROR(INDEX(tEditais[UF],MATCH(tItens[[#This Row],[Edital]],tEditais[Edital],0)),"")</f>
        <v>GO</v>
      </c>
      <c r="I2105" s="11">
        <f>IFERROR(INDEX(tEditais[Encerramento],MATCH(tItens[[#This Row],[Edital]],tEditais[Edital],0)),"")</f>
        <v>46311.333333333336</v>
      </c>
      <c r="J2105" t="str">
        <f>IFERROR(INDEX(tProdutos[Classe],MATCH(tItens[[#This Row],[Produto]],tProdutos[Produto],0)),"produto não cadastrado")</f>
        <v>FORA</v>
      </c>
      <c r="K2105" s="12">
        <f>tItens[[#This Row],[Qtd]]*tItens[[#This Row],[Vlr unit]]</f>
        <v>9740</v>
      </c>
      <c r="L2105" s="6">
        <f>IFERROR(IF(INDEX(tProdutos[Desconto homologado],MATCH(tItens[[#This Row],[Produto]],tProdutos[Produto],0))="",DescontoPadrao,INDEX(tProdutos[Desconto homologado],MATCH(tItens[[#This Row],[Produto]],tProdutos[Produto],0))),DescontoPadrao)</f>
        <v>0.363567906332742</v>
      </c>
      <c r="M2105" s="12">
        <f>tItens[[#This Row],[Valor]]*(1-tItens[[#This Row],[Desconto]])</f>
        <v>6198.8485923190938</v>
      </c>
      <c r="N2105" t="str">
        <f>IFERROR(INDEX(tProdutos[Foco],MATCH(tItens[[#This Row],[Produto]],tProdutos[Produto],0)),"Não")</f>
        <v>Não</v>
      </c>
      <c r="O2105" t="str">
        <f>IFERROR(INDEX(tEditais[SRP],MATCH(tItens[[#This Row],[Edital]],tEditais[Edital],0)),"Não")</f>
        <v>Sim</v>
      </c>
      <c r="P2105" s="4">
        <f>IF(COUNTIFS(INDEX(tItens[Edital],1):tItens[[#This Row],[Edital]],tItens[[#This Row],[Edital]],INDEX(tItens[Produto],1):tItens[[#This Row],[Produto]],tItens[[#This Row],[Produto]])=1,1,0)</f>
        <v>1</v>
      </c>
    </row>
    <row r="2106" spans="1:16" x14ac:dyDescent="0.25">
      <c r="A2106" t="s">
        <v>1209</v>
      </c>
      <c r="B2106">
        <v>83</v>
      </c>
      <c r="C2106" t="s">
        <v>5147</v>
      </c>
      <c r="D2106" t="s">
        <v>184</v>
      </c>
      <c r="E2106" s="13">
        <v>2000</v>
      </c>
      <c r="F2106" s="12">
        <v>4.88</v>
      </c>
      <c r="G2106" t="str">
        <f>IFERROR(INDEX(tEditais[Órgão],MATCH(tItens[[#This Row],[Edital]],tEditais[Edital],0)),"")</f>
        <v>FUNDO MUNICIPAL DE SAUDE</v>
      </c>
      <c r="H2106" t="str">
        <f>IFERROR(INDEX(tEditais[UF],MATCH(tItens[[#This Row],[Edital]],tEditais[Edital],0)),"")</f>
        <v>GO</v>
      </c>
      <c r="I2106" s="11">
        <f>IFERROR(INDEX(tEditais[Encerramento],MATCH(tItens[[#This Row],[Edital]],tEditais[Edital],0)),"")</f>
        <v>46311.333333333336</v>
      </c>
      <c r="J2106" t="str">
        <f>IFERROR(INDEX(tProdutos[Classe],MATCH(tItens[[#This Row],[Produto]],tProdutos[Produto],0)),"produto não cadastrado")</f>
        <v>FORA</v>
      </c>
      <c r="K2106" s="12">
        <f>tItens[[#This Row],[Qtd]]*tItens[[#This Row],[Vlr unit]]</f>
        <v>9760</v>
      </c>
      <c r="L2106" s="6">
        <f>IFERROR(IF(INDEX(tProdutos[Desconto homologado],MATCH(tItens[[#This Row],[Produto]],tProdutos[Produto],0))="",DescontoPadrao,INDEX(tProdutos[Desconto homologado],MATCH(tItens[[#This Row],[Produto]],tProdutos[Produto],0))),DescontoPadrao)</f>
        <v>0.363567906332742</v>
      </c>
      <c r="M2106" s="12">
        <f>tItens[[#This Row],[Valor]]*(1-tItens[[#This Row],[Desconto]])</f>
        <v>6211.5772341924385</v>
      </c>
      <c r="N2106" t="str">
        <f>IFERROR(INDEX(tProdutos[Foco],MATCH(tItens[[#This Row],[Produto]],tProdutos[Produto],0)),"Não")</f>
        <v>Não</v>
      </c>
      <c r="O2106" t="str">
        <f>IFERROR(INDEX(tEditais[SRP],MATCH(tItens[[#This Row],[Edital]],tEditais[Edital],0)),"Não")</f>
        <v>Sim</v>
      </c>
      <c r="P2106" s="4">
        <f>IF(COUNTIFS(INDEX(tItens[Edital],1):tItens[[#This Row],[Edital]],tItens[[#This Row],[Edital]],INDEX(tItens[Produto],1):tItens[[#This Row],[Produto]],tItens[[#This Row],[Produto]])=1,1,0)</f>
        <v>0</v>
      </c>
    </row>
    <row r="2107" spans="1:16" x14ac:dyDescent="0.25">
      <c r="A2107" t="s">
        <v>1209</v>
      </c>
      <c r="B2107">
        <v>84</v>
      </c>
      <c r="C2107" t="s">
        <v>5148</v>
      </c>
      <c r="D2107" t="s">
        <v>184</v>
      </c>
      <c r="E2107" s="13">
        <v>2000</v>
      </c>
      <c r="F2107" s="12">
        <v>5</v>
      </c>
      <c r="G2107" t="str">
        <f>IFERROR(INDEX(tEditais[Órgão],MATCH(tItens[[#This Row],[Edital]],tEditais[Edital],0)),"")</f>
        <v>FUNDO MUNICIPAL DE SAUDE</v>
      </c>
      <c r="H2107" t="str">
        <f>IFERROR(INDEX(tEditais[UF],MATCH(tItens[[#This Row],[Edital]],tEditais[Edital],0)),"")</f>
        <v>GO</v>
      </c>
      <c r="I2107" s="11">
        <f>IFERROR(INDEX(tEditais[Encerramento],MATCH(tItens[[#This Row],[Edital]],tEditais[Edital],0)),"")</f>
        <v>46311.333333333336</v>
      </c>
      <c r="J2107" t="str">
        <f>IFERROR(INDEX(tProdutos[Classe],MATCH(tItens[[#This Row],[Produto]],tProdutos[Produto],0)),"produto não cadastrado")</f>
        <v>FORA</v>
      </c>
      <c r="K2107" s="12">
        <f>tItens[[#This Row],[Qtd]]*tItens[[#This Row],[Vlr unit]]</f>
        <v>10000</v>
      </c>
      <c r="L2107" s="6">
        <f>IFERROR(IF(INDEX(tProdutos[Desconto homologado],MATCH(tItens[[#This Row],[Produto]],tProdutos[Produto],0))="",DescontoPadrao,INDEX(tProdutos[Desconto homologado],MATCH(tItens[[#This Row],[Produto]],tProdutos[Produto],0))),DescontoPadrao)</f>
        <v>0.363567906332742</v>
      </c>
      <c r="M2107" s="12">
        <f>tItens[[#This Row],[Valor]]*(1-tItens[[#This Row],[Desconto]])</f>
        <v>6364.3209366725805</v>
      </c>
      <c r="N2107" t="str">
        <f>IFERROR(INDEX(tProdutos[Foco],MATCH(tItens[[#This Row],[Produto]],tProdutos[Produto],0)),"Não")</f>
        <v>Não</v>
      </c>
      <c r="O2107" t="str">
        <f>IFERROR(INDEX(tEditais[SRP],MATCH(tItens[[#This Row],[Edital]],tEditais[Edital],0)),"Não")</f>
        <v>Sim</v>
      </c>
      <c r="P2107" s="4">
        <f>IF(COUNTIFS(INDEX(tItens[Edital],1):tItens[[#This Row],[Edital]],tItens[[#This Row],[Edital]],INDEX(tItens[Produto],1):tItens[[#This Row],[Produto]],tItens[[#This Row],[Produto]])=1,1,0)</f>
        <v>0</v>
      </c>
    </row>
    <row r="2108" spans="1:16" x14ac:dyDescent="0.25">
      <c r="A2108" t="s">
        <v>1209</v>
      </c>
      <c r="B2108">
        <v>85</v>
      </c>
      <c r="C2108" t="s">
        <v>5149</v>
      </c>
      <c r="D2108" t="s">
        <v>184</v>
      </c>
      <c r="E2108" s="13">
        <v>2000</v>
      </c>
      <c r="F2108" s="12">
        <v>4.9000000000000004</v>
      </c>
      <c r="G2108" t="str">
        <f>IFERROR(INDEX(tEditais[Órgão],MATCH(tItens[[#This Row],[Edital]],tEditais[Edital],0)),"")</f>
        <v>FUNDO MUNICIPAL DE SAUDE</v>
      </c>
      <c r="H2108" t="str">
        <f>IFERROR(INDEX(tEditais[UF],MATCH(tItens[[#This Row],[Edital]],tEditais[Edital],0)),"")</f>
        <v>GO</v>
      </c>
      <c r="I2108" s="11">
        <f>IFERROR(INDEX(tEditais[Encerramento],MATCH(tItens[[#This Row],[Edital]],tEditais[Edital],0)),"")</f>
        <v>46311.333333333336</v>
      </c>
      <c r="J2108" t="str">
        <f>IFERROR(INDEX(tProdutos[Classe],MATCH(tItens[[#This Row],[Produto]],tProdutos[Produto],0)),"produto não cadastrado")</f>
        <v>FORA</v>
      </c>
      <c r="K2108" s="12">
        <f>tItens[[#This Row],[Qtd]]*tItens[[#This Row],[Vlr unit]]</f>
        <v>9800</v>
      </c>
      <c r="L2108" s="6">
        <f>IFERROR(IF(INDEX(tProdutos[Desconto homologado],MATCH(tItens[[#This Row],[Produto]],tProdutos[Produto],0))="",DescontoPadrao,INDEX(tProdutos[Desconto homologado],MATCH(tItens[[#This Row],[Produto]],tProdutos[Produto],0))),DescontoPadrao)</f>
        <v>0.363567906332742</v>
      </c>
      <c r="M2108" s="12">
        <f>tItens[[#This Row],[Valor]]*(1-tItens[[#This Row],[Desconto]])</f>
        <v>6237.0345179391288</v>
      </c>
      <c r="N2108" t="str">
        <f>IFERROR(INDEX(tProdutos[Foco],MATCH(tItens[[#This Row],[Produto]],tProdutos[Produto],0)),"Não")</f>
        <v>Não</v>
      </c>
      <c r="O2108" t="str">
        <f>IFERROR(INDEX(tEditais[SRP],MATCH(tItens[[#This Row],[Edital]],tEditais[Edital],0)),"Não")</f>
        <v>Sim</v>
      </c>
      <c r="P2108" s="4">
        <f>IF(COUNTIFS(INDEX(tItens[Edital],1):tItens[[#This Row],[Edital]],tItens[[#This Row],[Edital]],INDEX(tItens[Produto],1):tItens[[#This Row],[Produto]],tItens[[#This Row],[Produto]])=1,1,0)</f>
        <v>0</v>
      </c>
    </row>
    <row r="2109" spans="1:16" x14ac:dyDescent="0.25">
      <c r="A2109" t="s">
        <v>1209</v>
      </c>
      <c r="B2109">
        <v>86</v>
      </c>
      <c r="C2109" t="s">
        <v>5150</v>
      </c>
      <c r="D2109" t="s">
        <v>184</v>
      </c>
      <c r="E2109" s="13">
        <v>2000</v>
      </c>
      <c r="F2109" s="12">
        <v>4.74</v>
      </c>
      <c r="G2109" t="str">
        <f>IFERROR(INDEX(tEditais[Órgão],MATCH(tItens[[#This Row],[Edital]],tEditais[Edital],0)),"")</f>
        <v>FUNDO MUNICIPAL DE SAUDE</v>
      </c>
      <c r="H2109" t="str">
        <f>IFERROR(INDEX(tEditais[UF],MATCH(tItens[[#This Row],[Edital]],tEditais[Edital],0)),"")</f>
        <v>GO</v>
      </c>
      <c r="I2109" s="11">
        <f>IFERROR(INDEX(tEditais[Encerramento],MATCH(tItens[[#This Row],[Edital]],tEditais[Edital],0)),"")</f>
        <v>46311.333333333336</v>
      </c>
      <c r="J2109" t="str">
        <f>IFERROR(INDEX(tProdutos[Classe],MATCH(tItens[[#This Row],[Produto]],tProdutos[Produto],0)),"produto não cadastrado")</f>
        <v>FORA</v>
      </c>
      <c r="K2109" s="12">
        <f>tItens[[#This Row],[Qtd]]*tItens[[#This Row],[Vlr unit]]</f>
        <v>9480</v>
      </c>
      <c r="L2109" s="6">
        <f>IFERROR(IF(INDEX(tProdutos[Desconto homologado],MATCH(tItens[[#This Row],[Produto]],tProdutos[Produto],0))="",DescontoPadrao,INDEX(tProdutos[Desconto homologado],MATCH(tItens[[#This Row],[Produto]],tProdutos[Produto],0))),DescontoPadrao)</f>
        <v>0.363567906332742</v>
      </c>
      <c r="M2109" s="12">
        <f>tItens[[#This Row],[Valor]]*(1-tItens[[#This Row],[Desconto]])</f>
        <v>6033.3762479656061</v>
      </c>
      <c r="N2109" t="str">
        <f>IFERROR(INDEX(tProdutos[Foco],MATCH(tItens[[#This Row],[Produto]],tProdutos[Produto],0)),"Não")</f>
        <v>Não</v>
      </c>
      <c r="O2109" t="str">
        <f>IFERROR(INDEX(tEditais[SRP],MATCH(tItens[[#This Row],[Edital]],tEditais[Edital],0)),"Não")</f>
        <v>Sim</v>
      </c>
      <c r="P2109" s="4">
        <f>IF(COUNTIFS(INDEX(tItens[Edital],1):tItens[[#This Row],[Edital]],tItens[[#This Row],[Edital]],INDEX(tItens[Produto],1):tItens[[#This Row],[Produto]],tItens[[#This Row],[Produto]])=1,1,0)</f>
        <v>0</v>
      </c>
    </row>
    <row r="2110" spans="1:16" x14ac:dyDescent="0.25">
      <c r="A2110" t="s">
        <v>1209</v>
      </c>
      <c r="B2110">
        <v>87</v>
      </c>
      <c r="C2110" t="s">
        <v>5151</v>
      </c>
      <c r="D2110" t="s">
        <v>184</v>
      </c>
      <c r="E2110" s="13">
        <v>2000</v>
      </c>
      <c r="F2110" s="12">
        <v>4.87</v>
      </c>
      <c r="G2110" t="str">
        <f>IFERROR(INDEX(tEditais[Órgão],MATCH(tItens[[#This Row],[Edital]],tEditais[Edital],0)),"")</f>
        <v>FUNDO MUNICIPAL DE SAUDE</v>
      </c>
      <c r="H2110" t="str">
        <f>IFERROR(INDEX(tEditais[UF],MATCH(tItens[[#This Row],[Edital]],tEditais[Edital],0)),"")</f>
        <v>GO</v>
      </c>
      <c r="I2110" s="11">
        <f>IFERROR(INDEX(tEditais[Encerramento],MATCH(tItens[[#This Row],[Edital]],tEditais[Edital],0)),"")</f>
        <v>46311.333333333336</v>
      </c>
      <c r="J2110" t="str">
        <f>IFERROR(INDEX(tProdutos[Classe],MATCH(tItens[[#This Row],[Produto]],tProdutos[Produto],0)),"produto não cadastrado")</f>
        <v>FORA</v>
      </c>
      <c r="K2110" s="12">
        <f>tItens[[#This Row],[Qtd]]*tItens[[#This Row],[Vlr unit]]</f>
        <v>9740</v>
      </c>
      <c r="L2110" s="6">
        <f>IFERROR(IF(INDEX(tProdutos[Desconto homologado],MATCH(tItens[[#This Row],[Produto]],tProdutos[Produto],0))="",DescontoPadrao,INDEX(tProdutos[Desconto homologado],MATCH(tItens[[#This Row],[Produto]],tProdutos[Produto],0))),DescontoPadrao)</f>
        <v>0.363567906332742</v>
      </c>
      <c r="M2110" s="12">
        <f>tItens[[#This Row],[Valor]]*(1-tItens[[#This Row],[Desconto]])</f>
        <v>6198.8485923190938</v>
      </c>
      <c r="N2110" t="str">
        <f>IFERROR(INDEX(tProdutos[Foco],MATCH(tItens[[#This Row],[Produto]],tProdutos[Produto],0)),"Não")</f>
        <v>Não</v>
      </c>
      <c r="O2110" t="str">
        <f>IFERROR(INDEX(tEditais[SRP],MATCH(tItens[[#This Row],[Edital]],tEditais[Edital],0)),"Não")</f>
        <v>Sim</v>
      </c>
      <c r="P2110" s="4">
        <f>IF(COUNTIFS(INDEX(tItens[Edital],1):tItens[[#This Row],[Edital]],tItens[[#This Row],[Edital]],INDEX(tItens[Produto],1):tItens[[#This Row],[Produto]],tItens[[#This Row],[Produto]])=1,1,0)</f>
        <v>0</v>
      </c>
    </row>
    <row r="2111" spans="1:16" x14ac:dyDescent="0.25">
      <c r="A2111" t="s">
        <v>1209</v>
      </c>
      <c r="B2111">
        <v>88</v>
      </c>
      <c r="C2111" t="s">
        <v>5152</v>
      </c>
      <c r="D2111" t="s">
        <v>164</v>
      </c>
      <c r="E2111" s="13">
        <v>1000</v>
      </c>
      <c r="F2111" s="12">
        <v>17.38</v>
      </c>
      <c r="G2111" t="str">
        <f>IFERROR(INDEX(tEditais[Órgão],MATCH(tItens[[#This Row],[Edital]],tEditais[Edital],0)),"")</f>
        <v>FUNDO MUNICIPAL DE SAUDE</v>
      </c>
      <c r="H2111" t="str">
        <f>IFERROR(INDEX(tEditais[UF],MATCH(tItens[[#This Row],[Edital]],tEditais[Edital],0)),"")</f>
        <v>GO</v>
      </c>
      <c r="I2111" s="11">
        <f>IFERROR(INDEX(tEditais[Encerramento],MATCH(tItens[[#This Row],[Edital]],tEditais[Edital],0)),"")</f>
        <v>46311.333333333336</v>
      </c>
      <c r="J2111" t="str">
        <f>IFERROR(INDEX(tProdutos[Classe],MATCH(tItens[[#This Row],[Produto]],tProdutos[Produto],0)),"produto não cadastrado")</f>
        <v>DISPUTADO</v>
      </c>
      <c r="K2111" s="12">
        <f>tItens[[#This Row],[Qtd]]*tItens[[#This Row],[Vlr unit]]</f>
        <v>17380</v>
      </c>
      <c r="L2111" s="6">
        <f>IFERROR(IF(INDEX(tProdutos[Desconto homologado],MATCH(tItens[[#This Row],[Produto]],tProdutos[Produto],0))="",DescontoPadrao,INDEX(tProdutos[Desconto homologado],MATCH(tItens[[#This Row],[Produto]],tProdutos[Produto],0))),DescontoPadrao)</f>
        <v>0.445300462249615</v>
      </c>
      <c r="M2111" s="12">
        <f>tItens[[#This Row],[Valor]]*(1-tItens[[#This Row],[Desconto]])</f>
        <v>9640.6779661016899</v>
      </c>
      <c r="N2111" t="str">
        <f>IFERROR(INDEX(tProdutos[Foco],MATCH(tItens[[#This Row],[Produto]],tProdutos[Produto],0)),"Não")</f>
        <v>Não</v>
      </c>
      <c r="O2111" t="str">
        <f>IFERROR(INDEX(tEditais[SRP],MATCH(tItens[[#This Row],[Edital]],tEditais[Edital],0)),"Não")</f>
        <v>Sim</v>
      </c>
      <c r="P2111" s="4">
        <f>IF(COUNTIFS(INDEX(tItens[Edital],1):tItens[[#This Row],[Edital]],tItens[[#This Row],[Edital]],INDEX(tItens[Produto],1):tItens[[#This Row],[Produto]],tItens[[#This Row],[Produto]])=1,1,0)</f>
        <v>1</v>
      </c>
    </row>
    <row r="2112" spans="1:16" x14ac:dyDescent="0.25">
      <c r="A2112" t="s">
        <v>1209</v>
      </c>
      <c r="B2112">
        <v>89</v>
      </c>
      <c r="C2112" t="s">
        <v>5153</v>
      </c>
      <c r="D2112" t="s">
        <v>164</v>
      </c>
      <c r="E2112" s="13">
        <v>1000</v>
      </c>
      <c r="F2112" s="12">
        <v>19</v>
      </c>
      <c r="G2112" t="str">
        <f>IFERROR(INDEX(tEditais[Órgão],MATCH(tItens[[#This Row],[Edital]],tEditais[Edital],0)),"")</f>
        <v>FUNDO MUNICIPAL DE SAUDE</v>
      </c>
      <c r="H2112" t="str">
        <f>IFERROR(INDEX(tEditais[UF],MATCH(tItens[[#This Row],[Edital]],tEditais[Edital],0)),"")</f>
        <v>GO</v>
      </c>
      <c r="I2112" s="11">
        <f>IFERROR(INDEX(tEditais[Encerramento],MATCH(tItens[[#This Row],[Edital]],tEditais[Edital],0)),"")</f>
        <v>46311.333333333336</v>
      </c>
      <c r="J2112" t="str">
        <f>IFERROR(INDEX(tProdutos[Classe],MATCH(tItens[[#This Row],[Produto]],tProdutos[Produto],0)),"produto não cadastrado")</f>
        <v>DISPUTADO</v>
      </c>
      <c r="K2112" s="12">
        <f>tItens[[#This Row],[Qtd]]*tItens[[#This Row],[Vlr unit]]</f>
        <v>19000</v>
      </c>
      <c r="L2112" s="6">
        <f>IFERROR(IF(INDEX(tProdutos[Desconto homologado],MATCH(tItens[[#This Row],[Produto]],tProdutos[Produto],0))="",DescontoPadrao,INDEX(tProdutos[Desconto homologado],MATCH(tItens[[#This Row],[Produto]],tProdutos[Produto],0))),DescontoPadrao)</f>
        <v>0.445300462249615</v>
      </c>
      <c r="M2112" s="12">
        <f>tItens[[#This Row],[Valor]]*(1-tItens[[#This Row],[Desconto]])</f>
        <v>10539.291217257314</v>
      </c>
      <c r="N2112" t="str">
        <f>IFERROR(INDEX(tProdutos[Foco],MATCH(tItens[[#This Row],[Produto]],tProdutos[Produto],0)),"Não")</f>
        <v>Não</v>
      </c>
      <c r="O2112" t="str">
        <f>IFERROR(INDEX(tEditais[SRP],MATCH(tItens[[#This Row],[Edital]],tEditais[Edital],0)),"Não")</f>
        <v>Sim</v>
      </c>
      <c r="P2112" s="4">
        <f>IF(COUNTIFS(INDEX(tItens[Edital],1):tItens[[#This Row],[Edital]],tItens[[#This Row],[Edital]],INDEX(tItens[Produto],1):tItens[[#This Row],[Produto]],tItens[[#This Row],[Produto]])=1,1,0)</f>
        <v>0</v>
      </c>
    </row>
    <row r="2113" spans="1:16" x14ac:dyDescent="0.25">
      <c r="A2113" t="s">
        <v>1209</v>
      </c>
      <c r="B2113">
        <v>90</v>
      </c>
      <c r="C2113" t="s">
        <v>5154</v>
      </c>
      <c r="D2113" t="s">
        <v>110</v>
      </c>
      <c r="E2113" s="13">
        <v>2500</v>
      </c>
      <c r="F2113" s="12">
        <v>1.49</v>
      </c>
      <c r="G2113" t="str">
        <f>IFERROR(INDEX(tEditais[Órgão],MATCH(tItens[[#This Row],[Edital]],tEditais[Edital],0)),"")</f>
        <v>FUNDO MUNICIPAL DE SAUDE</v>
      </c>
      <c r="H2113" t="str">
        <f>IFERROR(INDEX(tEditais[UF],MATCH(tItens[[#This Row],[Edital]],tEditais[Edital],0)),"")</f>
        <v>GO</v>
      </c>
      <c r="I2113" s="11">
        <f>IFERROR(INDEX(tEditais[Encerramento],MATCH(tItens[[#This Row],[Edital]],tEditais[Edital],0)),"")</f>
        <v>46311.333333333336</v>
      </c>
      <c r="J2113" t="str">
        <f>IFERROR(INDEX(tProdutos[Classe],MATCH(tItens[[#This Row],[Produto]],tProdutos[Produto],0)),"produto não cadastrado")</f>
        <v>NÚCLEO</v>
      </c>
      <c r="K2113" s="12">
        <f>tItens[[#This Row],[Qtd]]*tItens[[#This Row],[Vlr unit]]</f>
        <v>3725</v>
      </c>
      <c r="L2113" s="6">
        <f>IFERROR(IF(INDEX(tProdutos[Desconto homologado],MATCH(tItens[[#This Row],[Produto]],tProdutos[Produto],0))="",DescontoPadrao,INDEX(tProdutos[Desconto homologado],MATCH(tItens[[#This Row],[Produto]],tProdutos[Produto],0))),DescontoPadrao)</f>
        <v>0.30410958904109597</v>
      </c>
      <c r="M2113" s="12">
        <f>tItens[[#This Row],[Valor]]*(1-tItens[[#This Row],[Desconto]])</f>
        <v>2592.1917808219173</v>
      </c>
      <c r="N2113" t="str">
        <f>IFERROR(INDEX(tProdutos[Foco],MATCH(tItens[[#This Row],[Produto]],tProdutos[Produto],0)),"Não")</f>
        <v>Não</v>
      </c>
      <c r="O2113" t="str">
        <f>IFERROR(INDEX(tEditais[SRP],MATCH(tItens[[#This Row],[Edital]],tEditais[Edital],0)),"Não")</f>
        <v>Sim</v>
      </c>
      <c r="P2113" s="4">
        <f>IF(COUNTIFS(INDEX(tItens[Edital],1):tItens[[#This Row],[Edital]],tItens[[#This Row],[Edital]],INDEX(tItens[Produto],1):tItens[[#This Row],[Produto]],tItens[[#This Row],[Produto]])=1,1,0)</f>
        <v>1</v>
      </c>
    </row>
    <row r="2114" spans="1:16" x14ac:dyDescent="0.25">
      <c r="A2114" t="s">
        <v>1209</v>
      </c>
      <c r="B2114">
        <v>91</v>
      </c>
      <c r="C2114" t="s">
        <v>5155</v>
      </c>
      <c r="D2114" t="s">
        <v>110</v>
      </c>
      <c r="E2114" s="13">
        <v>2500</v>
      </c>
      <c r="F2114" s="12">
        <v>1.49</v>
      </c>
      <c r="G2114" t="str">
        <f>IFERROR(INDEX(tEditais[Órgão],MATCH(tItens[[#This Row],[Edital]],tEditais[Edital],0)),"")</f>
        <v>FUNDO MUNICIPAL DE SAUDE</v>
      </c>
      <c r="H2114" t="str">
        <f>IFERROR(INDEX(tEditais[UF],MATCH(tItens[[#This Row],[Edital]],tEditais[Edital],0)),"")</f>
        <v>GO</v>
      </c>
      <c r="I2114" s="11">
        <f>IFERROR(INDEX(tEditais[Encerramento],MATCH(tItens[[#This Row],[Edital]],tEditais[Edital],0)),"")</f>
        <v>46311.333333333336</v>
      </c>
      <c r="J2114" t="str">
        <f>IFERROR(INDEX(tProdutos[Classe],MATCH(tItens[[#This Row],[Produto]],tProdutos[Produto],0)),"produto não cadastrado")</f>
        <v>NÚCLEO</v>
      </c>
      <c r="K2114" s="12">
        <f>tItens[[#This Row],[Qtd]]*tItens[[#This Row],[Vlr unit]]</f>
        <v>3725</v>
      </c>
      <c r="L2114" s="6">
        <f>IFERROR(IF(INDEX(tProdutos[Desconto homologado],MATCH(tItens[[#This Row],[Produto]],tProdutos[Produto],0))="",DescontoPadrao,INDEX(tProdutos[Desconto homologado],MATCH(tItens[[#This Row],[Produto]],tProdutos[Produto],0))),DescontoPadrao)</f>
        <v>0.30410958904109597</v>
      </c>
      <c r="M2114" s="12">
        <f>tItens[[#This Row],[Valor]]*(1-tItens[[#This Row],[Desconto]])</f>
        <v>2592.1917808219173</v>
      </c>
      <c r="N2114" t="str">
        <f>IFERROR(INDEX(tProdutos[Foco],MATCH(tItens[[#This Row],[Produto]],tProdutos[Produto],0)),"Não")</f>
        <v>Não</v>
      </c>
      <c r="O2114" t="str">
        <f>IFERROR(INDEX(tEditais[SRP],MATCH(tItens[[#This Row],[Edital]],tEditais[Edital],0)),"Não")</f>
        <v>Sim</v>
      </c>
      <c r="P2114" s="4">
        <f>IF(COUNTIFS(INDEX(tItens[Edital],1):tItens[[#This Row],[Edital]],tItens[[#This Row],[Edital]],INDEX(tItens[Produto],1):tItens[[#This Row],[Produto]],tItens[[#This Row],[Produto]])=1,1,0)</f>
        <v>0</v>
      </c>
    </row>
    <row r="2115" spans="1:16" x14ac:dyDescent="0.25">
      <c r="A2115" t="s">
        <v>1209</v>
      </c>
      <c r="B2115">
        <v>92</v>
      </c>
      <c r="C2115" t="s">
        <v>5156</v>
      </c>
      <c r="D2115" t="s">
        <v>110</v>
      </c>
      <c r="E2115" s="13">
        <v>2500</v>
      </c>
      <c r="F2115" s="12">
        <v>1.72</v>
      </c>
      <c r="G2115" t="str">
        <f>IFERROR(INDEX(tEditais[Órgão],MATCH(tItens[[#This Row],[Edital]],tEditais[Edital],0)),"")</f>
        <v>FUNDO MUNICIPAL DE SAUDE</v>
      </c>
      <c r="H2115" t="str">
        <f>IFERROR(INDEX(tEditais[UF],MATCH(tItens[[#This Row],[Edital]],tEditais[Edital],0)),"")</f>
        <v>GO</v>
      </c>
      <c r="I2115" s="11">
        <f>IFERROR(INDEX(tEditais[Encerramento],MATCH(tItens[[#This Row],[Edital]],tEditais[Edital],0)),"")</f>
        <v>46311.333333333336</v>
      </c>
      <c r="J2115" t="str">
        <f>IFERROR(INDEX(tProdutos[Classe],MATCH(tItens[[#This Row],[Produto]],tProdutos[Produto],0)),"produto não cadastrado")</f>
        <v>NÚCLEO</v>
      </c>
      <c r="K2115" s="12">
        <f>tItens[[#This Row],[Qtd]]*tItens[[#This Row],[Vlr unit]]</f>
        <v>4300</v>
      </c>
      <c r="L2115" s="6">
        <f>IFERROR(IF(INDEX(tProdutos[Desconto homologado],MATCH(tItens[[#This Row],[Produto]],tProdutos[Produto],0))="",DescontoPadrao,INDEX(tProdutos[Desconto homologado],MATCH(tItens[[#This Row],[Produto]],tProdutos[Produto],0))),DescontoPadrao)</f>
        <v>0.30410958904109597</v>
      </c>
      <c r="M2115" s="12">
        <f>tItens[[#This Row],[Valor]]*(1-tItens[[#This Row],[Desconto]])</f>
        <v>2992.3287671232874</v>
      </c>
      <c r="N2115" t="str">
        <f>IFERROR(INDEX(tProdutos[Foco],MATCH(tItens[[#This Row],[Produto]],tProdutos[Produto],0)),"Não")</f>
        <v>Não</v>
      </c>
      <c r="O2115" t="str">
        <f>IFERROR(INDEX(tEditais[SRP],MATCH(tItens[[#This Row],[Edital]],tEditais[Edital],0)),"Não")</f>
        <v>Sim</v>
      </c>
      <c r="P2115" s="4">
        <f>IF(COUNTIFS(INDEX(tItens[Edital],1):tItens[[#This Row],[Edital]],tItens[[#This Row],[Edital]],INDEX(tItens[Produto],1):tItens[[#This Row],[Produto]],tItens[[#This Row],[Produto]])=1,1,0)</f>
        <v>0</v>
      </c>
    </row>
    <row r="2116" spans="1:16" x14ac:dyDescent="0.25">
      <c r="A2116" t="s">
        <v>1209</v>
      </c>
      <c r="B2116">
        <v>93</v>
      </c>
      <c r="C2116" t="s">
        <v>5157</v>
      </c>
      <c r="D2116" t="s">
        <v>110</v>
      </c>
      <c r="E2116" s="13">
        <v>2500</v>
      </c>
      <c r="F2116" s="12">
        <v>1.72</v>
      </c>
      <c r="G2116" t="str">
        <f>IFERROR(INDEX(tEditais[Órgão],MATCH(tItens[[#This Row],[Edital]],tEditais[Edital],0)),"")</f>
        <v>FUNDO MUNICIPAL DE SAUDE</v>
      </c>
      <c r="H2116" t="str">
        <f>IFERROR(INDEX(tEditais[UF],MATCH(tItens[[#This Row],[Edital]],tEditais[Edital],0)),"")</f>
        <v>GO</v>
      </c>
      <c r="I2116" s="11">
        <f>IFERROR(INDEX(tEditais[Encerramento],MATCH(tItens[[#This Row],[Edital]],tEditais[Edital],0)),"")</f>
        <v>46311.333333333336</v>
      </c>
      <c r="J2116" t="str">
        <f>IFERROR(INDEX(tProdutos[Classe],MATCH(tItens[[#This Row],[Produto]],tProdutos[Produto],0)),"produto não cadastrado")</f>
        <v>NÚCLEO</v>
      </c>
      <c r="K2116" s="12">
        <f>tItens[[#This Row],[Qtd]]*tItens[[#This Row],[Vlr unit]]</f>
        <v>4300</v>
      </c>
      <c r="L2116" s="6">
        <f>IFERROR(IF(INDEX(tProdutos[Desconto homologado],MATCH(tItens[[#This Row],[Produto]],tProdutos[Produto],0))="",DescontoPadrao,INDEX(tProdutos[Desconto homologado],MATCH(tItens[[#This Row],[Produto]],tProdutos[Produto],0))),DescontoPadrao)</f>
        <v>0.30410958904109597</v>
      </c>
      <c r="M2116" s="12">
        <f>tItens[[#This Row],[Valor]]*(1-tItens[[#This Row],[Desconto]])</f>
        <v>2992.3287671232874</v>
      </c>
      <c r="N2116" t="str">
        <f>IFERROR(INDEX(tProdutos[Foco],MATCH(tItens[[#This Row],[Produto]],tProdutos[Produto],0)),"Não")</f>
        <v>Não</v>
      </c>
      <c r="O2116" t="str">
        <f>IFERROR(INDEX(tEditais[SRP],MATCH(tItens[[#This Row],[Edital]],tEditais[Edital],0)),"Não")</f>
        <v>Sim</v>
      </c>
      <c r="P2116" s="4">
        <f>IF(COUNTIFS(INDEX(tItens[Edital],1):tItens[[#This Row],[Edital]],tItens[[#This Row],[Edital]],INDEX(tItens[Produto],1):tItens[[#This Row],[Produto]],tItens[[#This Row],[Produto]])=1,1,0)</f>
        <v>0</v>
      </c>
    </row>
    <row r="2117" spans="1:16" x14ac:dyDescent="0.25">
      <c r="A2117" t="s">
        <v>1209</v>
      </c>
      <c r="B2117">
        <v>94</v>
      </c>
      <c r="C2117" t="s">
        <v>5158</v>
      </c>
      <c r="D2117" t="s">
        <v>110</v>
      </c>
      <c r="E2117" s="13">
        <v>2500</v>
      </c>
      <c r="F2117" s="12">
        <v>1.6</v>
      </c>
      <c r="G2117" t="str">
        <f>IFERROR(INDEX(tEditais[Órgão],MATCH(tItens[[#This Row],[Edital]],tEditais[Edital],0)),"")</f>
        <v>FUNDO MUNICIPAL DE SAUDE</v>
      </c>
      <c r="H2117" t="str">
        <f>IFERROR(INDEX(tEditais[UF],MATCH(tItens[[#This Row],[Edital]],tEditais[Edital],0)),"")</f>
        <v>GO</v>
      </c>
      <c r="I2117" s="11">
        <f>IFERROR(INDEX(tEditais[Encerramento],MATCH(tItens[[#This Row],[Edital]],tEditais[Edital],0)),"")</f>
        <v>46311.333333333336</v>
      </c>
      <c r="J2117" t="str">
        <f>IFERROR(INDEX(tProdutos[Classe],MATCH(tItens[[#This Row],[Produto]],tProdutos[Produto],0)),"produto não cadastrado")</f>
        <v>NÚCLEO</v>
      </c>
      <c r="K2117" s="12">
        <f>tItens[[#This Row],[Qtd]]*tItens[[#This Row],[Vlr unit]]</f>
        <v>4000</v>
      </c>
      <c r="L2117" s="6">
        <f>IFERROR(IF(INDEX(tProdutos[Desconto homologado],MATCH(tItens[[#This Row],[Produto]],tProdutos[Produto],0))="",DescontoPadrao,INDEX(tProdutos[Desconto homologado],MATCH(tItens[[#This Row],[Produto]],tProdutos[Produto],0))),DescontoPadrao)</f>
        <v>0.30410958904109597</v>
      </c>
      <c r="M2117" s="12">
        <f>tItens[[#This Row],[Valor]]*(1-tItens[[#This Row],[Desconto]])</f>
        <v>2783.561643835616</v>
      </c>
      <c r="N2117" t="str">
        <f>IFERROR(INDEX(tProdutos[Foco],MATCH(tItens[[#This Row],[Produto]],tProdutos[Produto],0)),"Não")</f>
        <v>Não</v>
      </c>
      <c r="O2117" t="str">
        <f>IFERROR(INDEX(tEditais[SRP],MATCH(tItens[[#This Row],[Edital]],tEditais[Edital],0)),"Não")</f>
        <v>Sim</v>
      </c>
      <c r="P2117" s="4">
        <f>IF(COUNTIFS(INDEX(tItens[Edital],1):tItens[[#This Row],[Edital]],tItens[[#This Row],[Edital]],INDEX(tItens[Produto],1):tItens[[#This Row],[Produto]],tItens[[#This Row],[Produto]])=1,1,0)</f>
        <v>0</v>
      </c>
    </row>
    <row r="2118" spans="1:16" x14ac:dyDescent="0.25">
      <c r="A2118" t="s">
        <v>1209</v>
      </c>
      <c r="B2118">
        <v>95</v>
      </c>
      <c r="C2118" t="s">
        <v>5159</v>
      </c>
      <c r="D2118" t="s">
        <v>110</v>
      </c>
      <c r="E2118" s="13">
        <v>2500</v>
      </c>
      <c r="F2118" s="12">
        <v>1.74</v>
      </c>
      <c r="G2118" t="str">
        <f>IFERROR(INDEX(tEditais[Órgão],MATCH(tItens[[#This Row],[Edital]],tEditais[Edital],0)),"")</f>
        <v>FUNDO MUNICIPAL DE SAUDE</v>
      </c>
      <c r="H2118" t="str">
        <f>IFERROR(INDEX(tEditais[UF],MATCH(tItens[[#This Row],[Edital]],tEditais[Edital],0)),"")</f>
        <v>GO</v>
      </c>
      <c r="I2118" s="11">
        <f>IFERROR(INDEX(tEditais[Encerramento],MATCH(tItens[[#This Row],[Edital]],tEditais[Edital],0)),"")</f>
        <v>46311.333333333336</v>
      </c>
      <c r="J2118" t="str">
        <f>IFERROR(INDEX(tProdutos[Classe],MATCH(tItens[[#This Row],[Produto]],tProdutos[Produto],0)),"produto não cadastrado")</f>
        <v>NÚCLEO</v>
      </c>
      <c r="K2118" s="12">
        <f>tItens[[#This Row],[Qtd]]*tItens[[#This Row],[Vlr unit]]</f>
        <v>4350</v>
      </c>
      <c r="L2118" s="6">
        <f>IFERROR(IF(INDEX(tProdutos[Desconto homologado],MATCH(tItens[[#This Row],[Produto]],tProdutos[Produto],0))="",DescontoPadrao,INDEX(tProdutos[Desconto homologado],MATCH(tItens[[#This Row],[Produto]],tProdutos[Produto],0))),DescontoPadrao)</f>
        <v>0.30410958904109597</v>
      </c>
      <c r="M2118" s="12">
        <f>tItens[[#This Row],[Valor]]*(1-tItens[[#This Row],[Desconto]])</f>
        <v>3027.1232876712324</v>
      </c>
      <c r="N2118" t="str">
        <f>IFERROR(INDEX(tProdutos[Foco],MATCH(tItens[[#This Row],[Produto]],tProdutos[Produto],0)),"Não")</f>
        <v>Não</v>
      </c>
      <c r="O2118" t="str">
        <f>IFERROR(INDEX(tEditais[SRP],MATCH(tItens[[#This Row],[Edital]],tEditais[Edital],0)),"Não")</f>
        <v>Sim</v>
      </c>
      <c r="P2118" s="4">
        <f>IF(COUNTIFS(INDEX(tItens[Edital],1):tItens[[#This Row],[Edital]],tItens[[#This Row],[Edital]],INDEX(tItens[Produto],1):tItens[[#This Row],[Produto]],tItens[[#This Row],[Produto]])=1,1,0)</f>
        <v>0</v>
      </c>
    </row>
    <row r="2119" spans="1:16" x14ac:dyDescent="0.25">
      <c r="A2119" t="s">
        <v>1209</v>
      </c>
      <c r="B2119">
        <v>96</v>
      </c>
      <c r="C2119" t="s">
        <v>5160</v>
      </c>
      <c r="D2119" t="s">
        <v>110</v>
      </c>
      <c r="E2119" s="13">
        <v>2500</v>
      </c>
      <c r="F2119" s="12">
        <v>1.59</v>
      </c>
      <c r="G2119" t="str">
        <f>IFERROR(INDEX(tEditais[Órgão],MATCH(tItens[[#This Row],[Edital]],tEditais[Edital],0)),"")</f>
        <v>FUNDO MUNICIPAL DE SAUDE</v>
      </c>
      <c r="H2119" t="str">
        <f>IFERROR(INDEX(tEditais[UF],MATCH(tItens[[#This Row],[Edital]],tEditais[Edital],0)),"")</f>
        <v>GO</v>
      </c>
      <c r="I2119" s="11">
        <f>IFERROR(INDEX(tEditais[Encerramento],MATCH(tItens[[#This Row],[Edital]],tEditais[Edital],0)),"")</f>
        <v>46311.333333333336</v>
      </c>
      <c r="J2119" t="str">
        <f>IFERROR(INDEX(tProdutos[Classe],MATCH(tItens[[#This Row],[Produto]],tProdutos[Produto],0)),"produto não cadastrado")</f>
        <v>NÚCLEO</v>
      </c>
      <c r="K2119" s="12">
        <f>tItens[[#This Row],[Qtd]]*tItens[[#This Row],[Vlr unit]]</f>
        <v>3975</v>
      </c>
      <c r="L2119" s="6">
        <f>IFERROR(IF(INDEX(tProdutos[Desconto homologado],MATCH(tItens[[#This Row],[Produto]],tProdutos[Produto],0))="",DescontoPadrao,INDEX(tProdutos[Desconto homologado],MATCH(tItens[[#This Row],[Produto]],tProdutos[Produto],0))),DescontoPadrao)</f>
        <v>0.30410958904109597</v>
      </c>
      <c r="M2119" s="12">
        <f>tItens[[#This Row],[Valor]]*(1-tItens[[#This Row],[Desconto]])</f>
        <v>2766.1643835616437</v>
      </c>
      <c r="N2119" t="str">
        <f>IFERROR(INDEX(tProdutos[Foco],MATCH(tItens[[#This Row],[Produto]],tProdutos[Produto],0)),"Não")</f>
        <v>Não</v>
      </c>
      <c r="O2119" t="str">
        <f>IFERROR(INDEX(tEditais[SRP],MATCH(tItens[[#This Row],[Edital]],tEditais[Edital],0)),"Não")</f>
        <v>Sim</v>
      </c>
      <c r="P2119" s="4">
        <f>IF(COUNTIFS(INDEX(tItens[Edital],1):tItens[[#This Row],[Edital]],tItens[[#This Row],[Edital]],INDEX(tItens[Produto],1):tItens[[#This Row],[Produto]],tItens[[#This Row],[Produto]])=1,1,0)</f>
        <v>0</v>
      </c>
    </row>
    <row r="2120" spans="1:16" x14ac:dyDescent="0.25">
      <c r="A2120" t="s">
        <v>1209</v>
      </c>
      <c r="B2120">
        <v>97</v>
      </c>
      <c r="C2120" t="s">
        <v>5161</v>
      </c>
      <c r="D2120" t="s">
        <v>110</v>
      </c>
      <c r="E2120" s="13">
        <v>10000</v>
      </c>
      <c r="F2120" s="12">
        <v>1.59</v>
      </c>
      <c r="G2120" t="str">
        <f>IFERROR(INDEX(tEditais[Órgão],MATCH(tItens[[#This Row],[Edital]],tEditais[Edital],0)),"")</f>
        <v>FUNDO MUNICIPAL DE SAUDE</v>
      </c>
      <c r="H2120" t="str">
        <f>IFERROR(INDEX(tEditais[UF],MATCH(tItens[[#This Row],[Edital]],tEditais[Edital],0)),"")</f>
        <v>GO</v>
      </c>
      <c r="I2120" s="11">
        <f>IFERROR(INDEX(tEditais[Encerramento],MATCH(tItens[[#This Row],[Edital]],tEditais[Edital],0)),"")</f>
        <v>46311.333333333336</v>
      </c>
      <c r="J2120" t="str">
        <f>IFERROR(INDEX(tProdutos[Classe],MATCH(tItens[[#This Row],[Produto]],tProdutos[Produto],0)),"produto não cadastrado")</f>
        <v>NÚCLEO</v>
      </c>
      <c r="K2120" s="12">
        <f>tItens[[#This Row],[Qtd]]*tItens[[#This Row],[Vlr unit]]</f>
        <v>15900</v>
      </c>
      <c r="L2120" s="6">
        <f>IFERROR(IF(INDEX(tProdutos[Desconto homologado],MATCH(tItens[[#This Row],[Produto]],tProdutos[Produto],0))="",DescontoPadrao,INDEX(tProdutos[Desconto homologado],MATCH(tItens[[#This Row],[Produto]],tProdutos[Produto],0))),DescontoPadrao)</f>
        <v>0.30410958904109597</v>
      </c>
      <c r="M2120" s="12">
        <f>tItens[[#This Row],[Valor]]*(1-tItens[[#This Row],[Desconto]])</f>
        <v>11064.657534246575</v>
      </c>
      <c r="N2120" t="str">
        <f>IFERROR(INDEX(tProdutos[Foco],MATCH(tItens[[#This Row],[Produto]],tProdutos[Produto],0)),"Não")</f>
        <v>Não</v>
      </c>
      <c r="O2120" t="str">
        <f>IFERROR(INDEX(tEditais[SRP],MATCH(tItens[[#This Row],[Edital]],tEditais[Edital],0)),"Não")</f>
        <v>Sim</v>
      </c>
      <c r="P2120" s="4">
        <f>IF(COUNTIFS(INDEX(tItens[Edital],1):tItens[[#This Row],[Edital]],tItens[[#This Row],[Edital]],INDEX(tItens[Produto],1):tItens[[#This Row],[Produto]],tItens[[#This Row],[Produto]])=1,1,0)</f>
        <v>0</v>
      </c>
    </row>
    <row r="2121" spans="1:16" x14ac:dyDescent="0.25">
      <c r="A2121" t="s">
        <v>1209</v>
      </c>
      <c r="B2121">
        <v>98</v>
      </c>
      <c r="C2121" t="s">
        <v>5162</v>
      </c>
      <c r="D2121" t="s">
        <v>110</v>
      </c>
      <c r="E2121" s="13">
        <v>10000</v>
      </c>
      <c r="F2121" s="12">
        <v>1.55</v>
      </c>
      <c r="G2121" t="str">
        <f>IFERROR(INDEX(tEditais[Órgão],MATCH(tItens[[#This Row],[Edital]],tEditais[Edital],0)),"")</f>
        <v>FUNDO MUNICIPAL DE SAUDE</v>
      </c>
      <c r="H2121" t="str">
        <f>IFERROR(INDEX(tEditais[UF],MATCH(tItens[[#This Row],[Edital]],tEditais[Edital],0)),"")</f>
        <v>GO</v>
      </c>
      <c r="I2121" s="11">
        <f>IFERROR(INDEX(tEditais[Encerramento],MATCH(tItens[[#This Row],[Edital]],tEditais[Edital],0)),"")</f>
        <v>46311.333333333336</v>
      </c>
      <c r="J2121" t="str">
        <f>IFERROR(INDEX(tProdutos[Classe],MATCH(tItens[[#This Row],[Produto]],tProdutos[Produto],0)),"produto não cadastrado")</f>
        <v>NÚCLEO</v>
      </c>
      <c r="K2121" s="12">
        <f>tItens[[#This Row],[Qtd]]*tItens[[#This Row],[Vlr unit]]</f>
        <v>15500</v>
      </c>
      <c r="L2121" s="6">
        <f>IFERROR(IF(INDEX(tProdutos[Desconto homologado],MATCH(tItens[[#This Row],[Produto]],tProdutos[Produto],0))="",DescontoPadrao,INDEX(tProdutos[Desconto homologado],MATCH(tItens[[#This Row],[Produto]],tProdutos[Produto],0))),DescontoPadrao)</f>
        <v>0.30410958904109597</v>
      </c>
      <c r="M2121" s="12">
        <f>tItens[[#This Row],[Valor]]*(1-tItens[[#This Row],[Desconto]])</f>
        <v>10786.301369863013</v>
      </c>
      <c r="N2121" t="str">
        <f>IFERROR(INDEX(tProdutos[Foco],MATCH(tItens[[#This Row],[Produto]],tProdutos[Produto],0)),"Não")</f>
        <v>Não</v>
      </c>
      <c r="O2121" t="str">
        <f>IFERROR(INDEX(tEditais[SRP],MATCH(tItens[[#This Row],[Edital]],tEditais[Edital],0)),"Não")</f>
        <v>Sim</v>
      </c>
      <c r="P2121" s="4">
        <f>IF(COUNTIFS(INDEX(tItens[Edital],1):tItens[[#This Row],[Edital]],tItens[[#This Row],[Edital]],INDEX(tItens[Produto],1):tItens[[#This Row],[Produto]],tItens[[#This Row],[Produto]])=1,1,0)</f>
        <v>0</v>
      </c>
    </row>
    <row r="2122" spans="1:16" x14ac:dyDescent="0.25">
      <c r="A2122" t="s">
        <v>1209</v>
      </c>
      <c r="B2122">
        <v>99</v>
      </c>
      <c r="C2122" t="s">
        <v>5163</v>
      </c>
      <c r="D2122" t="s">
        <v>110</v>
      </c>
      <c r="E2122" s="13">
        <v>2500</v>
      </c>
      <c r="F2122" s="12">
        <v>1.78</v>
      </c>
      <c r="G2122" t="str">
        <f>IFERROR(INDEX(tEditais[Órgão],MATCH(tItens[[#This Row],[Edital]],tEditais[Edital],0)),"")</f>
        <v>FUNDO MUNICIPAL DE SAUDE</v>
      </c>
      <c r="H2122" t="str">
        <f>IFERROR(INDEX(tEditais[UF],MATCH(tItens[[#This Row],[Edital]],tEditais[Edital],0)),"")</f>
        <v>GO</v>
      </c>
      <c r="I2122" s="11">
        <f>IFERROR(INDEX(tEditais[Encerramento],MATCH(tItens[[#This Row],[Edital]],tEditais[Edital],0)),"")</f>
        <v>46311.333333333336</v>
      </c>
      <c r="J2122" t="str">
        <f>IFERROR(INDEX(tProdutos[Classe],MATCH(tItens[[#This Row],[Produto]],tProdutos[Produto],0)),"produto não cadastrado")</f>
        <v>NÚCLEO</v>
      </c>
      <c r="K2122" s="12">
        <f>tItens[[#This Row],[Qtd]]*tItens[[#This Row],[Vlr unit]]</f>
        <v>4450</v>
      </c>
      <c r="L2122" s="6">
        <f>IFERROR(IF(INDEX(tProdutos[Desconto homologado],MATCH(tItens[[#This Row],[Produto]],tProdutos[Produto],0))="",DescontoPadrao,INDEX(tProdutos[Desconto homologado],MATCH(tItens[[#This Row],[Produto]],tProdutos[Produto],0))),DescontoPadrao)</f>
        <v>0.30410958904109597</v>
      </c>
      <c r="M2122" s="12">
        <f>tItens[[#This Row],[Valor]]*(1-tItens[[#This Row],[Desconto]])</f>
        <v>3096.7123287671229</v>
      </c>
      <c r="N2122" t="str">
        <f>IFERROR(INDEX(tProdutos[Foco],MATCH(tItens[[#This Row],[Produto]],tProdutos[Produto],0)),"Não")</f>
        <v>Não</v>
      </c>
      <c r="O2122" t="str">
        <f>IFERROR(INDEX(tEditais[SRP],MATCH(tItens[[#This Row],[Edital]],tEditais[Edital],0)),"Não")</f>
        <v>Sim</v>
      </c>
      <c r="P2122" s="4">
        <f>IF(COUNTIFS(INDEX(tItens[Edital],1):tItens[[#This Row],[Edital]],tItens[[#This Row],[Edital]],INDEX(tItens[Produto],1):tItens[[#This Row],[Produto]],tItens[[#This Row],[Produto]])=1,1,0)</f>
        <v>0</v>
      </c>
    </row>
    <row r="2123" spans="1:16" x14ac:dyDescent="0.25">
      <c r="A2123" t="s">
        <v>1209</v>
      </c>
      <c r="B2123">
        <v>100</v>
      </c>
      <c r="C2123" t="s">
        <v>5164</v>
      </c>
      <c r="D2123" t="s">
        <v>110</v>
      </c>
      <c r="E2123" s="13">
        <v>2500</v>
      </c>
      <c r="F2123" s="12">
        <v>1.8</v>
      </c>
      <c r="G2123" t="str">
        <f>IFERROR(INDEX(tEditais[Órgão],MATCH(tItens[[#This Row],[Edital]],tEditais[Edital],0)),"")</f>
        <v>FUNDO MUNICIPAL DE SAUDE</v>
      </c>
      <c r="H2123" t="str">
        <f>IFERROR(INDEX(tEditais[UF],MATCH(tItens[[#This Row],[Edital]],tEditais[Edital],0)),"")</f>
        <v>GO</v>
      </c>
      <c r="I2123" s="11">
        <f>IFERROR(INDEX(tEditais[Encerramento],MATCH(tItens[[#This Row],[Edital]],tEditais[Edital],0)),"")</f>
        <v>46311.333333333336</v>
      </c>
      <c r="J2123" t="str">
        <f>IFERROR(INDEX(tProdutos[Classe],MATCH(tItens[[#This Row],[Produto]],tProdutos[Produto],0)),"produto não cadastrado")</f>
        <v>NÚCLEO</v>
      </c>
      <c r="K2123" s="12">
        <f>tItens[[#This Row],[Qtd]]*tItens[[#This Row],[Vlr unit]]</f>
        <v>4500</v>
      </c>
      <c r="L2123" s="6">
        <f>IFERROR(IF(INDEX(tProdutos[Desconto homologado],MATCH(tItens[[#This Row],[Produto]],tProdutos[Produto],0))="",DescontoPadrao,INDEX(tProdutos[Desconto homologado],MATCH(tItens[[#This Row],[Produto]],tProdutos[Produto],0))),DescontoPadrao)</f>
        <v>0.30410958904109597</v>
      </c>
      <c r="M2123" s="12">
        <f>tItens[[#This Row],[Valor]]*(1-tItens[[#This Row],[Desconto]])</f>
        <v>3131.5068493150679</v>
      </c>
      <c r="N2123" t="str">
        <f>IFERROR(INDEX(tProdutos[Foco],MATCH(tItens[[#This Row],[Produto]],tProdutos[Produto],0)),"Não")</f>
        <v>Não</v>
      </c>
      <c r="O2123" t="str">
        <f>IFERROR(INDEX(tEditais[SRP],MATCH(tItens[[#This Row],[Edital]],tEditais[Edital],0)),"Não")</f>
        <v>Sim</v>
      </c>
      <c r="P2123" s="4">
        <f>IF(COUNTIFS(INDEX(tItens[Edital],1):tItens[[#This Row],[Edital]],tItens[[#This Row],[Edital]],INDEX(tItens[Produto],1):tItens[[#This Row],[Produto]],tItens[[#This Row],[Produto]])=1,1,0)</f>
        <v>0</v>
      </c>
    </row>
    <row r="2124" spans="1:16" x14ac:dyDescent="0.25">
      <c r="A2124" t="s">
        <v>1209</v>
      </c>
      <c r="B2124">
        <v>101</v>
      </c>
      <c r="C2124" t="s">
        <v>5165</v>
      </c>
      <c r="D2124" t="s">
        <v>110</v>
      </c>
      <c r="E2124" s="13">
        <v>2500</v>
      </c>
      <c r="F2124" s="12">
        <v>1.89</v>
      </c>
      <c r="G2124" t="str">
        <f>IFERROR(INDEX(tEditais[Órgão],MATCH(tItens[[#This Row],[Edital]],tEditais[Edital],0)),"")</f>
        <v>FUNDO MUNICIPAL DE SAUDE</v>
      </c>
      <c r="H2124" t="str">
        <f>IFERROR(INDEX(tEditais[UF],MATCH(tItens[[#This Row],[Edital]],tEditais[Edital],0)),"")</f>
        <v>GO</v>
      </c>
      <c r="I2124" s="11">
        <f>IFERROR(INDEX(tEditais[Encerramento],MATCH(tItens[[#This Row],[Edital]],tEditais[Edital],0)),"")</f>
        <v>46311.333333333336</v>
      </c>
      <c r="J2124" t="str">
        <f>IFERROR(INDEX(tProdutos[Classe],MATCH(tItens[[#This Row],[Produto]],tProdutos[Produto],0)),"produto não cadastrado")</f>
        <v>NÚCLEO</v>
      </c>
      <c r="K2124" s="12">
        <f>tItens[[#This Row],[Qtd]]*tItens[[#This Row],[Vlr unit]]</f>
        <v>4725</v>
      </c>
      <c r="L2124" s="6">
        <f>IFERROR(IF(INDEX(tProdutos[Desconto homologado],MATCH(tItens[[#This Row],[Produto]],tProdutos[Produto],0))="",DescontoPadrao,INDEX(tProdutos[Desconto homologado],MATCH(tItens[[#This Row],[Produto]],tProdutos[Produto],0))),DescontoPadrao)</f>
        <v>0.30410958904109597</v>
      </c>
      <c r="M2124" s="12">
        <f>tItens[[#This Row],[Valor]]*(1-tItens[[#This Row],[Desconto]])</f>
        <v>3288.0821917808216</v>
      </c>
      <c r="N2124" t="str">
        <f>IFERROR(INDEX(tProdutos[Foco],MATCH(tItens[[#This Row],[Produto]],tProdutos[Produto],0)),"Não")</f>
        <v>Não</v>
      </c>
      <c r="O2124" t="str">
        <f>IFERROR(INDEX(tEditais[SRP],MATCH(tItens[[#This Row],[Edital]],tEditais[Edital],0)),"Não")</f>
        <v>Sim</v>
      </c>
      <c r="P2124" s="4">
        <f>IF(COUNTIFS(INDEX(tItens[Edital],1):tItens[[#This Row],[Edital]],tItens[[#This Row],[Edital]],INDEX(tItens[Produto],1):tItens[[#This Row],[Produto]],tItens[[#This Row],[Produto]])=1,1,0)</f>
        <v>0</v>
      </c>
    </row>
    <row r="2125" spans="1:16" x14ac:dyDescent="0.25">
      <c r="A2125" t="s">
        <v>1209</v>
      </c>
      <c r="B2125">
        <v>102</v>
      </c>
      <c r="C2125" t="s">
        <v>5166</v>
      </c>
      <c r="D2125" t="s">
        <v>120</v>
      </c>
      <c r="E2125" s="13">
        <v>20000</v>
      </c>
      <c r="F2125" s="12">
        <v>1.1000000000000001</v>
      </c>
      <c r="G2125" t="str">
        <f>IFERROR(INDEX(tEditais[Órgão],MATCH(tItens[[#This Row],[Edital]],tEditais[Edital],0)),"")</f>
        <v>FUNDO MUNICIPAL DE SAUDE</v>
      </c>
      <c r="H2125" t="str">
        <f>IFERROR(INDEX(tEditais[UF],MATCH(tItens[[#This Row],[Edital]],tEditais[Edital],0)),"")</f>
        <v>GO</v>
      </c>
      <c r="I2125" s="11">
        <f>IFERROR(INDEX(tEditais[Encerramento],MATCH(tItens[[#This Row],[Edital]],tEditais[Edital],0)),"")</f>
        <v>46311.333333333336</v>
      </c>
      <c r="J2125" t="str">
        <f>IFERROR(INDEX(tProdutos[Classe],MATCH(tItens[[#This Row],[Produto]],tProdutos[Produto],0)),"produto não cadastrado")</f>
        <v>DISPUTADO</v>
      </c>
      <c r="K2125" s="12">
        <f>tItens[[#This Row],[Qtd]]*tItens[[#This Row],[Vlr unit]]</f>
        <v>22000</v>
      </c>
      <c r="L2125" s="6">
        <f>IFERROR(IF(INDEX(tProdutos[Desconto homologado],MATCH(tItens[[#This Row],[Produto]],tProdutos[Produto],0))="",DescontoPadrao,INDEX(tProdutos[Desconto homologado],MATCH(tItens[[#This Row],[Produto]],tProdutos[Produto],0))),DescontoPadrao)</f>
        <v>0.40909090909090901</v>
      </c>
      <c r="M2125" s="12">
        <f>tItens[[#This Row],[Valor]]*(1-tItens[[#This Row],[Desconto]])</f>
        <v>13000.000000000004</v>
      </c>
      <c r="N2125" t="str">
        <f>IFERROR(INDEX(tProdutos[Foco],MATCH(tItens[[#This Row],[Produto]],tProdutos[Produto],0)),"Não")</f>
        <v>Não</v>
      </c>
      <c r="O2125" t="str">
        <f>IFERROR(INDEX(tEditais[SRP],MATCH(tItens[[#This Row],[Edital]],tEditais[Edital],0)),"Não")</f>
        <v>Sim</v>
      </c>
      <c r="P2125" s="4">
        <f>IF(COUNTIFS(INDEX(tItens[Edital],1):tItens[[#This Row],[Edital]],tItens[[#This Row],[Edital]],INDEX(tItens[Produto],1):tItens[[#This Row],[Produto]],tItens[[#This Row],[Produto]])=1,1,0)</f>
        <v>1</v>
      </c>
    </row>
    <row r="2126" spans="1:16" x14ac:dyDescent="0.25">
      <c r="A2126" t="s">
        <v>1209</v>
      </c>
      <c r="B2126">
        <v>103</v>
      </c>
      <c r="C2126" t="s">
        <v>5167</v>
      </c>
      <c r="D2126" t="s">
        <v>120</v>
      </c>
      <c r="E2126" s="13">
        <v>20000</v>
      </c>
      <c r="F2126" s="12">
        <v>1.07</v>
      </c>
      <c r="G2126" t="str">
        <f>IFERROR(INDEX(tEditais[Órgão],MATCH(tItens[[#This Row],[Edital]],tEditais[Edital],0)),"")</f>
        <v>FUNDO MUNICIPAL DE SAUDE</v>
      </c>
      <c r="H2126" t="str">
        <f>IFERROR(INDEX(tEditais[UF],MATCH(tItens[[#This Row],[Edital]],tEditais[Edital],0)),"")</f>
        <v>GO</v>
      </c>
      <c r="I2126" s="11">
        <f>IFERROR(INDEX(tEditais[Encerramento],MATCH(tItens[[#This Row],[Edital]],tEditais[Edital],0)),"")</f>
        <v>46311.333333333336</v>
      </c>
      <c r="J2126" t="str">
        <f>IFERROR(INDEX(tProdutos[Classe],MATCH(tItens[[#This Row],[Produto]],tProdutos[Produto],0)),"produto não cadastrado")</f>
        <v>DISPUTADO</v>
      </c>
      <c r="K2126" s="12">
        <f>tItens[[#This Row],[Qtd]]*tItens[[#This Row],[Vlr unit]]</f>
        <v>21400</v>
      </c>
      <c r="L2126" s="6">
        <f>IFERROR(IF(INDEX(tProdutos[Desconto homologado],MATCH(tItens[[#This Row],[Produto]],tProdutos[Produto],0))="",DescontoPadrao,INDEX(tProdutos[Desconto homologado],MATCH(tItens[[#This Row],[Produto]],tProdutos[Produto],0))),DescontoPadrao)</f>
        <v>0.40909090909090901</v>
      </c>
      <c r="M2126" s="12">
        <f>tItens[[#This Row],[Valor]]*(1-tItens[[#This Row],[Desconto]])</f>
        <v>12645.454545454548</v>
      </c>
      <c r="N2126" t="str">
        <f>IFERROR(INDEX(tProdutos[Foco],MATCH(tItens[[#This Row],[Produto]],tProdutos[Produto],0)),"Não")</f>
        <v>Não</v>
      </c>
      <c r="O2126" t="str">
        <f>IFERROR(INDEX(tEditais[SRP],MATCH(tItens[[#This Row],[Edital]],tEditais[Edital],0)),"Não")</f>
        <v>Sim</v>
      </c>
      <c r="P2126" s="4">
        <f>IF(COUNTIFS(INDEX(tItens[Edital],1):tItens[[#This Row],[Edital]],tItens[[#This Row],[Edital]],INDEX(tItens[Produto],1):tItens[[#This Row],[Produto]],tItens[[#This Row],[Produto]])=1,1,0)</f>
        <v>0</v>
      </c>
    </row>
    <row r="2127" spans="1:16" x14ac:dyDescent="0.25">
      <c r="A2127" t="s">
        <v>1209</v>
      </c>
      <c r="B2127">
        <v>104</v>
      </c>
      <c r="C2127" t="s">
        <v>4730</v>
      </c>
      <c r="D2127" t="s">
        <v>120</v>
      </c>
      <c r="E2127" s="13">
        <v>50000</v>
      </c>
      <c r="F2127" s="12">
        <v>1.0900000000000001</v>
      </c>
      <c r="G2127" t="str">
        <f>IFERROR(INDEX(tEditais[Órgão],MATCH(tItens[[#This Row],[Edital]],tEditais[Edital],0)),"")</f>
        <v>FUNDO MUNICIPAL DE SAUDE</v>
      </c>
      <c r="H2127" t="str">
        <f>IFERROR(INDEX(tEditais[UF],MATCH(tItens[[#This Row],[Edital]],tEditais[Edital],0)),"")</f>
        <v>GO</v>
      </c>
      <c r="I2127" s="11">
        <f>IFERROR(INDEX(tEditais[Encerramento],MATCH(tItens[[#This Row],[Edital]],tEditais[Edital],0)),"")</f>
        <v>46311.333333333336</v>
      </c>
      <c r="J2127" t="str">
        <f>IFERROR(INDEX(tProdutos[Classe],MATCH(tItens[[#This Row],[Produto]],tProdutos[Produto],0)),"produto não cadastrado")</f>
        <v>DISPUTADO</v>
      </c>
      <c r="K2127" s="12">
        <f>tItens[[#This Row],[Qtd]]*tItens[[#This Row],[Vlr unit]]</f>
        <v>54500.000000000007</v>
      </c>
      <c r="L2127" s="6">
        <f>IFERROR(IF(INDEX(tProdutos[Desconto homologado],MATCH(tItens[[#This Row],[Produto]],tProdutos[Produto],0))="",DescontoPadrao,INDEX(tProdutos[Desconto homologado],MATCH(tItens[[#This Row],[Produto]],tProdutos[Produto],0))),DescontoPadrao)</f>
        <v>0.40909090909090901</v>
      </c>
      <c r="M2127" s="12">
        <f>tItens[[#This Row],[Valor]]*(1-tItens[[#This Row],[Desconto]])</f>
        <v>32204.545454545467</v>
      </c>
      <c r="N2127" t="str">
        <f>IFERROR(INDEX(tProdutos[Foco],MATCH(tItens[[#This Row],[Produto]],tProdutos[Produto],0)),"Não")</f>
        <v>Não</v>
      </c>
      <c r="O2127" t="str">
        <f>IFERROR(INDEX(tEditais[SRP],MATCH(tItens[[#This Row],[Edital]],tEditais[Edital],0)),"Não")</f>
        <v>Sim</v>
      </c>
      <c r="P2127" s="4">
        <f>IF(COUNTIFS(INDEX(tItens[Edital],1):tItens[[#This Row],[Edital]],tItens[[#This Row],[Edital]],INDEX(tItens[Produto],1):tItens[[#This Row],[Produto]],tItens[[#This Row],[Produto]])=1,1,0)</f>
        <v>0</v>
      </c>
    </row>
    <row r="2128" spans="1:16" x14ac:dyDescent="0.25">
      <c r="A2128" t="s">
        <v>1209</v>
      </c>
      <c r="B2128">
        <v>105</v>
      </c>
      <c r="C2128" t="s">
        <v>5168</v>
      </c>
      <c r="D2128" t="s">
        <v>120</v>
      </c>
      <c r="E2128" s="13">
        <v>50000</v>
      </c>
      <c r="F2128" s="12">
        <v>1.33</v>
      </c>
      <c r="G2128" t="str">
        <f>IFERROR(INDEX(tEditais[Órgão],MATCH(tItens[[#This Row],[Edital]],tEditais[Edital],0)),"")</f>
        <v>FUNDO MUNICIPAL DE SAUDE</v>
      </c>
      <c r="H2128" t="str">
        <f>IFERROR(INDEX(tEditais[UF],MATCH(tItens[[#This Row],[Edital]],tEditais[Edital],0)),"")</f>
        <v>GO</v>
      </c>
      <c r="I2128" s="11">
        <f>IFERROR(INDEX(tEditais[Encerramento],MATCH(tItens[[#This Row],[Edital]],tEditais[Edital],0)),"")</f>
        <v>46311.333333333336</v>
      </c>
      <c r="J2128" t="str">
        <f>IFERROR(INDEX(tProdutos[Classe],MATCH(tItens[[#This Row],[Produto]],tProdutos[Produto],0)),"produto não cadastrado")</f>
        <v>DISPUTADO</v>
      </c>
      <c r="K2128" s="12">
        <f>tItens[[#This Row],[Qtd]]*tItens[[#This Row],[Vlr unit]]</f>
        <v>66500</v>
      </c>
      <c r="L2128" s="6">
        <f>IFERROR(IF(INDEX(tProdutos[Desconto homologado],MATCH(tItens[[#This Row],[Produto]],tProdutos[Produto],0))="",DescontoPadrao,INDEX(tProdutos[Desconto homologado],MATCH(tItens[[#This Row],[Produto]],tProdutos[Produto],0))),DescontoPadrao)</f>
        <v>0.40909090909090901</v>
      </c>
      <c r="M2128" s="12">
        <f>tItens[[#This Row],[Valor]]*(1-tItens[[#This Row],[Desconto]])</f>
        <v>39295.454545454551</v>
      </c>
      <c r="N2128" t="str">
        <f>IFERROR(INDEX(tProdutos[Foco],MATCH(tItens[[#This Row],[Produto]],tProdutos[Produto],0)),"Não")</f>
        <v>Não</v>
      </c>
      <c r="O2128" t="str">
        <f>IFERROR(INDEX(tEditais[SRP],MATCH(tItens[[#This Row],[Edital]],tEditais[Edital],0)),"Não")</f>
        <v>Sim</v>
      </c>
      <c r="P2128" s="4">
        <f>IF(COUNTIFS(INDEX(tItens[Edital],1):tItens[[#This Row],[Edital]],tItens[[#This Row],[Edital]],INDEX(tItens[Produto],1):tItens[[#This Row],[Produto]],tItens[[#This Row],[Produto]])=1,1,0)</f>
        <v>0</v>
      </c>
    </row>
    <row r="2129" spans="1:16" x14ac:dyDescent="0.25">
      <c r="A2129" t="s">
        <v>1209</v>
      </c>
      <c r="B2129">
        <v>106</v>
      </c>
      <c r="C2129" t="s">
        <v>5169</v>
      </c>
      <c r="D2129" t="s">
        <v>120</v>
      </c>
      <c r="E2129" s="13">
        <v>50000</v>
      </c>
      <c r="F2129" s="12">
        <v>1.35</v>
      </c>
      <c r="G2129" t="str">
        <f>IFERROR(INDEX(tEditais[Órgão],MATCH(tItens[[#This Row],[Edital]],tEditais[Edital],0)),"")</f>
        <v>FUNDO MUNICIPAL DE SAUDE</v>
      </c>
      <c r="H2129" t="str">
        <f>IFERROR(INDEX(tEditais[UF],MATCH(tItens[[#This Row],[Edital]],tEditais[Edital],0)),"")</f>
        <v>GO</v>
      </c>
      <c r="I2129" s="11">
        <f>IFERROR(INDEX(tEditais[Encerramento],MATCH(tItens[[#This Row],[Edital]],tEditais[Edital],0)),"")</f>
        <v>46311.333333333336</v>
      </c>
      <c r="J2129" t="str">
        <f>IFERROR(INDEX(tProdutos[Classe],MATCH(tItens[[#This Row],[Produto]],tProdutos[Produto],0)),"produto não cadastrado")</f>
        <v>DISPUTADO</v>
      </c>
      <c r="K2129" s="12">
        <f>tItens[[#This Row],[Qtd]]*tItens[[#This Row],[Vlr unit]]</f>
        <v>67500</v>
      </c>
      <c r="L2129" s="6">
        <f>IFERROR(IF(INDEX(tProdutos[Desconto homologado],MATCH(tItens[[#This Row],[Produto]],tProdutos[Produto],0))="",DescontoPadrao,INDEX(tProdutos[Desconto homologado],MATCH(tItens[[#This Row],[Produto]],tProdutos[Produto],0))),DescontoPadrao)</f>
        <v>0.40909090909090901</v>
      </c>
      <c r="M2129" s="12">
        <f>tItens[[#This Row],[Valor]]*(1-tItens[[#This Row],[Desconto]])</f>
        <v>39886.363636363647</v>
      </c>
      <c r="N2129" t="str">
        <f>IFERROR(INDEX(tProdutos[Foco],MATCH(tItens[[#This Row],[Produto]],tProdutos[Produto],0)),"Não")</f>
        <v>Não</v>
      </c>
      <c r="O2129" t="str">
        <f>IFERROR(INDEX(tEditais[SRP],MATCH(tItens[[#This Row],[Edital]],tEditais[Edital],0)),"Não")</f>
        <v>Sim</v>
      </c>
      <c r="P2129" s="4">
        <f>IF(COUNTIFS(INDEX(tItens[Edital],1):tItens[[#This Row],[Edital]],tItens[[#This Row],[Edital]],INDEX(tItens[Produto],1):tItens[[#This Row],[Produto]],tItens[[#This Row],[Produto]])=1,1,0)</f>
        <v>0</v>
      </c>
    </row>
    <row r="2130" spans="1:16" x14ac:dyDescent="0.25">
      <c r="A2130" t="s">
        <v>1209</v>
      </c>
      <c r="B2130">
        <v>107</v>
      </c>
      <c r="C2130" t="s">
        <v>4733</v>
      </c>
      <c r="D2130" t="s">
        <v>120</v>
      </c>
      <c r="E2130" s="13">
        <v>20000</v>
      </c>
      <c r="F2130" s="12">
        <v>1.24</v>
      </c>
      <c r="G2130" t="str">
        <f>IFERROR(INDEX(tEditais[Órgão],MATCH(tItens[[#This Row],[Edital]],tEditais[Edital],0)),"")</f>
        <v>FUNDO MUNICIPAL DE SAUDE</v>
      </c>
      <c r="H2130" t="str">
        <f>IFERROR(INDEX(tEditais[UF],MATCH(tItens[[#This Row],[Edital]],tEditais[Edital],0)),"")</f>
        <v>GO</v>
      </c>
      <c r="I2130" s="11">
        <f>IFERROR(INDEX(tEditais[Encerramento],MATCH(tItens[[#This Row],[Edital]],tEditais[Edital],0)),"")</f>
        <v>46311.333333333336</v>
      </c>
      <c r="J2130" t="str">
        <f>IFERROR(INDEX(tProdutos[Classe],MATCH(tItens[[#This Row],[Produto]],tProdutos[Produto],0)),"produto não cadastrado")</f>
        <v>DISPUTADO</v>
      </c>
      <c r="K2130" s="12">
        <f>tItens[[#This Row],[Qtd]]*tItens[[#This Row],[Vlr unit]]</f>
        <v>24800</v>
      </c>
      <c r="L2130" s="6">
        <f>IFERROR(IF(INDEX(tProdutos[Desconto homologado],MATCH(tItens[[#This Row],[Produto]],tProdutos[Produto],0))="",DescontoPadrao,INDEX(tProdutos[Desconto homologado],MATCH(tItens[[#This Row],[Produto]],tProdutos[Produto],0))),DescontoPadrao)</f>
        <v>0.40909090909090901</v>
      </c>
      <c r="M2130" s="12">
        <f>tItens[[#This Row],[Valor]]*(1-tItens[[#This Row],[Desconto]])</f>
        <v>14654.545454545458</v>
      </c>
      <c r="N2130" t="str">
        <f>IFERROR(INDEX(tProdutos[Foco],MATCH(tItens[[#This Row],[Produto]],tProdutos[Produto],0)),"Não")</f>
        <v>Não</v>
      </c>
      <c r="O2130" t="str">
        <f>IFERROR(INDEX(tEditais[SRP],MATCH(tItens[[#This Row],[Edital]],tEditais[Edital],0)),"Não")</f>
        <v>Sim</v>
      </c>
      <c r="P2130" s="4">
        <f>IF(COUNTIFS(INDEX(tItens[Edital],1):tItens[[#This Row],[Edital]],tItens[[#This Row],[Edital]],INDEX(tItens[Produto],1):tItens[[#This Row],[Produto]],tItens[[#This Row],[Produto]])=1,1,0)</f>
        <v>0</v>
      </c>
    </row>
    <row r="2131" spans="1:16" x14ac:dyDescent="0.25">
      <c r="A2131" t="s">
        <v>1209</v>
      </c>
      <c r="B2131">
        <v>108</v>
      </c>
      <c r="C2131" t="s">
        <v>4734</v>
      </c>
      <c r="D2131" t="s">
        <v>120</v>
      </c>
      <c r="E2131" s="13">
        <v>20000</v>
      </c>
      <c r="F2131" s="12">
        <v>1.68</v>
      </c>
      <c r="G2131" t="str">
        <f>IFERROR(INDEX(tEditais[Órgão],MATCH(tItens[[#This Row],[Edital]],tEditais[Edital],0)),"")</f>
        <v>FUNDO MUNICIPAL DE SAUDE</v>
      </c>
      <c r="H2131" t="str">
        <f>IFERROR(INDEX(tEditais[UF],MATCH(tItens[[#This Row],[Edital]],tEditais[Edital],0)),"")</f>
        <v>GO</v>
      </c>
      <c r="I2131" s="11">
        <f>IFERROR(INDEX(tEditais[Encerramento],MATCH(tItens[[#This Row],[Edital]],tEditais[Edital],0)),"")</f>
        <v>46311.333333333336</v>
      </c>
      <c r="J2131" t="str">
        <f>IFERROR(INDEX(tProdutos[Classe],MATCH(tItens[[#This Row],[Produto]],tProdutos[Produto],0)),"produto não cadastrado")</f>
        <v>DISPUTADO</v>
      </c>
      <c r="K2131" s="12">
        <f>tItens[[#This Row],[Qtd]]*tItens[[#This Row],[Vlr unit]]</f>
        <v>33600</v>
      </c>
      <c r="L2131" s="6">
        <f>IFERROR(IF(INDEX(tProdutos[Desconto homologado],MATCH(tItens[[#This Row],[Produto]],tProdutos[Produto],0))="",DescontoPadrao,INDEX(tProdutos[Desconto homologado],MATCH(tItens[[#This Row],[Produto]],tProdutos[Produto],0))),DescontoPadrao)</f>
        <v>0.40909090909090901</v>
      </c>
      <c r="M2131" s="12">
        <f>tItens[[#This Row],[Valor]]*(1-tItens[[#This Row],[Desconto]])</f>
        <v>19854.54545454546</v>
      </c>
      <c r="N2131" t="str">
        <f>IFERROR(INDEX(tProdutos[Foco],MATCH(tItens[[#This Row],[Produto]],tProdutos[Produto],0)),"Não")</f>
        <v>Não</v>
      </c>
      <c r="O2131" t="str">
        <f>IFERROR(INDEX(tEditais[SRP],MATCH(tItens[[#This Row],[Edital]],tEditais[Edital],0)),"Não")</f>
        <v>Sim</v>
      </c>
      <c r="P2131" s="4">
        <f>IF(COUNTIFS(INDEX(tItens[Edital],1):tItens[[#This Row],[Edital]],tItens[[#This Row],[Edital]],INDEX(tItens[Produto],1):tItens[[#This Row],[Produto]],tItens[[#This Row],[Produto]])=1,1,0)</f>
        <v>0</v>
      </c>
    </row>
    <row r="2132" spans="1:16" x14ac:dyDescent="0.25">
      <c r="A2132" t="s">
        <v>1209</v>
      </c>
      <c r="B2132">
        <v>113</v>
      </c>
      <c r="C2132" t="s">
        <v>5170</v>
      </c>
      <c r="D2132" t="s">
        <v>162</v>
      </c>
      <c r="E2132" s="13">
        <v>2000</v>
      </c>
      <c r="F2132" s="12">
        <v>2.17</v>
      </c>
      <c r="G2132" t="str">
        <f>IFERROR(INDEX(tEditais[Órgão],MATCH(tItens[[#This Row],[Edital]],tEditais[Edital],0)),"")</f>
        <v>FUNDO MUNICIPAL DE SAUDE</v>
      </c>
      <c r="H2132" t="str">
        <f>IFERROR(INDEX(tEditais[UF],MATCH(tItens[[#This Row],[Edital]],tEditais[Edital],0)),"")</f>
        <v>GO</v>
      </c>
      <c r="I2132" s="11">
        <f>IFERROR(INDEX(tEditais[Encerramento],MATCH(tItens[[#This Row],[Edital]],tEditais[Edital],0)),"")</f>
        <v>46311.333333333336</v>
      </c>
      <c r="J2132" t="str">
        <f>IFERROR(INDEX(tProdutos[Classe],MATCH(tItens[[#This Row],[Produto]],tProdutos[Produto],0)),"produto não cadastrado")</f>
        <v>DISPUTADO</v>
      </c>
      <c r="K2132" s="12">
        <f>tItens[[#This Row],[Qtd]]*tItens[[#This Row],[Vlr unit]]</f>
        <v>4340</v>
      </c>
      <c r="L2132" s="6">
        <f>IFERROR(IF(INDEX(tProdutos[Desconto homologado],MATCH(tItens[[#This Row],[Produto]],tProdutos[Produto],0))="",DescontoPadrao,INDEX(tProdutos[Desconto homologado],MATCH(tItens[[#This Row],[Produto]],tProdutos[Produto],0))),DescontoPadrao)</f>
        <v>0.41269841269841301</v>
      </c>
      <c r="M2132" s="12">
        <f>tItens[[#This Row],[Valor]]*(1-tItens[[#This Row],[Desconto]])</f>
        <v>2548.8888888888873</v>
      </c>
      <c r="N2132" t="str">
        <f>IFERROR(INDEX(tProdutos[Foco],MATCH(tItens[[#This Row],[Produto]],tProdutos[Produto],0)),"Não")</f>
        <v>Não</v>
      </c>
      <c r="O2132" t="str">
        <f>IFERROR(INDEX(tEditais[SRP],MATCH(tItens[[#This Row],[Edital]],tEditais[Edital],0)),"Não")</f>
        <v>Sim</v>
      </c>
      <c r="P2132" s="4">
        <f>IF(COUNTIFS(INDEX(tItens[Edital],1):tItens[[#This Row],[Edital]],tItens[[#This Row],[Edital]],INDEX(tItens[Produto],1):tItens[[#This Row],[Produto]],tItens[[#This Row],[Produto]])=1,1,0)</f>
        <v>1</v>
      </c>
    </row>
    <row r="2133" spans="1:16" x14ac:dyDescent="0.25">
      <c r="A2133" t="s">
        <v>1209</v>
      </c>
      <c r="B2133">
        <v>129</v>
      </c>
      <c r="C2133" t="s">
        <v>5171</v>
      </c>
      <c r="D2133" t="s">
        <v>383</v>
      </c>
      <c r="E2133" s="13">
        <v>12000</v>
      </c>
      <c r="F2133" s="12">
        <v>2.75</v>
      </c>
      <c r="G2133" t="str">
        <f>IFERROR(INDEX(tEditais[Órgão],MATCH(tItens[[#This Row],[Edital]],tEditais[Edital],0)),"")</f>
        <v>FUNDO MUNICIPAL DE SAUDE</v>
      </c>
      <c r="H2133" t="str">
        <f>IFERROR(INDEX(tEditais[UF],MATCH(tItens[[#This Row],[Edital]],tEditais[Edital],0)),"")</f>
        <v>GO</v>
      </c>
      <c r="I2133" s="11">
        <f>IFERROR(INDEX(tEditais[Encerramento],MATCH(tItens[[#This Row],[Edital]],tEditais[Edital],0)),"")</f>
        <v>46311.333333333336</v>
      </c>
      <c r="J2133" t="str">
        <f>IFERROR(INDEX(tProdutos[Classe],MATCH(tItens[[#This Row],[Produto]],tProdutos[Produto],0)),"produto não cadastrado")</f>
        <v>FORA</v>
      </c>
      <c r="K2133" s="12">
        <f>tItens[[#This Row],[Qtd]]*tItens[[#This Row],[Vlr unit]]</f>
        <v>33000</v>
      </c>
      <c r="L2133" s="6">
        <f>IFERROR(IF(INDEX(tProdutos[Desconto homologado],MATCH(tItens[[#This Row],[Produto]],tProdutos[Produto],0))="",DescontoPadrao,INDEX(tProdutos[Desconto homologado],MATCH(tItens[[#This Row],[Produto]],tProdutos[Produto],0))),DescontoPadrao)</f>
        <v>0.48749999999999999</v>
      </c>
      <c r="M2133" s="12">
        <f>tItens[[#This Row],[Valor]]*(1-tItens[[#This Row],[Desconto]])</f>
        <v>16912.5</v>
      </c>
      <c r="N2133" t="str">
        <f>IFERROR(INDEX(tProdutos[Foco],MATCH(tItens[[#This Row],[Produto]],tProdutos[Produto],0)),"Não")</f>
        <v>Não</v>
      </c>
      <c r="O2133" t="str">
        <f>IFERROR(INDEX(tEditais[SRP],MATCH(tItens[[#This Row],[Edital]],tEditais[Edital],0)),"Não")</f>
        <v>Sim</v>
      </c>
      <c r="P2133" s="4">
        <f>IF(COUNTIFS(INDEX(tItens[Edital],1):tItens[[#This Row],[Edital]],tItens[[#This Row],[Edital]],INDEX(tItens[Produto],1):tItens[[#This Row],[Produto]],tItens[[#This Row],[Produto]])=1,1,0)</f>
        <v>1</v>
      </c>
    </row>
    <row r="2134" spans="1:16" x14ac:dyDescent="0.25">
      <c r="A2134" t="s">
        <v>1209</v>
      </c>
      <c r="B2134">
        <v>130</v>
      </c>
      <c r="C2134" t="s">
        <v>5172</v>
      </c>
      <c r="D2134" t="s">
        <v>341</v>
      </c>
      <c r="E2134" s="13">
        <v>20000</v>
      </c>
      <c r="F2134" s="12">
        <v>55.83</v>
      </c>
      <c r="G2134" t="str">
        <f>IFERROR(INDEX(tEditais[Órgão],MATCH(tItens[[#This Row],[Edital]],tEditais[Edital],0)),"")</f>
        <v>FUNDO MUNICIPAL DE SAUDE</v>
      </c>
      <c r="H2134" t="str">
        <f>IFERROR(INDEX(tEditais[UF],MATCH(tItens[[#This Row],[Edital]],tEditais[Edital],0)),"")</f>
        <v>GO</v>
      </c>
      <c r="I2134" s="11">
        <f>IFERROR(INDEX(tEditais[Encerramento],MATCH(tItens[[#This Row],[Edital]],tEditais[Edital],0)),"")</f>
        <v>46311.333333333336</v>
      </c>
      <c r="J2134" t="str">
        <f>IFERROR(INDEX(tProdutos[Classe],MATCH(tItens[[#This Row],[Produto]],tProdutos[Produto],0)),"produto não cadastrado")</f>
        <v>FORA</v>
      </c>
      <c r="K2134" s="12">
        <f>tItens[[#This Row],[Qtd]]*tItens[[#This Row],[Vlr unit]]</f>
        <v>1116600</v>
      </c>
      <c r="L2134" s="6">
        <f>IFERROR(IF(INDEX(tProdutos[Desconto homologado],MATCH(tItens[[#This Row],[Produto]],tProdutos[Produto],0))="",DescontoPadrao,INDEX(tProdutos[Desconto homologado],MATCH(tItens[[#This Row],[Produto]],tProdutos[Produto],0))),DescontoPadrao)</f>
        <v>0.46918578497525898</v>
      </c>
      <c r="M2134" s="12">
        <f>tItens[[#This Row],[Valor]]*(1-tItens[[#This Row],[Desconto]])</f>
        <v>592707.15249662579</v>
      </c>
      <c r="N2134" t="str">
        <f>IFERROR(INDEX(tProdutos[Foco],MATCH(tItens[[#This Row],[Produto]],tProdutos[Produto],0)),"Não")</f>
        <v>Não</v>
      </c>
      <c r="O2134" t="str">
        <f>IFERROR(INDEX(tEditais[SRP],MATCH(tItens[[#This Row],[Edital]],tEditais[Edital],0)),"Não")</f>
        <v>Sim</v>
      </c>
      <c r="P2134" s="4">
        <f>IF(COUNTIFS(INDEX(tItens[Edital],1):tItens[[#This Row],[Edital]],tItens[[#This Row],[Edital]],INDEX(tItens[Produto],1):tItens[[#This Row],[Produto]],tItens[[#This Row],[Produto]])=1,1,0)</f>
        <v>1</v>
      </c>
    </row>
    <row r="2135" spans="1:16" x14ac:dyDescent="0.25">
      <c r="A2135" t="s">
        <v>1209</v>
      </c>
      <c r="B2135">
        <v>135</v>
      </c>
      <c r="C2135" t="s">
        <v>5173</v>
      </c>
      <c r="D2135" t="s">
        <v>154</v>
      </c>
      <c r="E2135" s="13">
        <v>5000</v>
      </c>
      <c r="F2135" s="12">
        <v>21.12</v>
      </c>
      <c r="G2135" t="str">
        <f>IFERROR(INDEX(tEditais[Órgão],MATCH(tItens[[#This Row],[Edital]],tEditais[Edital],0)),"")</f>
        <v>FUNDO MUNICIPAL DE SAUDE</v>
      </c>
      <c r="H2135" t="str">
        <f>IFERROR(INDEX(tEditais[UF],MATCH(tItens[[#This Row],[Edital]],tEditais[Edital],0)),"")</f>
        <v>GO</v>
      </c>
      <c r="I2135" s="11">
        <f>IFERROR(INDEX(tEditais[Encerramento],MATCH(tItens[[#This Row],[Edital]],tEditais[Edital],0)),"")</f>
        <v>46311.333333333336</v>
      </c>
      <c r="J2135" t="str">
        <f>IFERROR(INDEX(tProdutos[Classe],MATCH(tItens[[#This Row],[Produto]],tProdutos[Produto],0)),"produto não cadastrado")</f>
        <v>DISPUTADO</v>
      </c>
      <c r="K2135" s="12">
        <f>tItens[[#This Row],[Qtd]]*tItens[[#This Row],[Vlr unit]]</f>
        <v>105600</v>
      </c>
      <c r="L2135" s="6">
        <f>IFERROR(IF(INDEX(tProdutos[Desconto homologado],MATCH(tItens[[#This Row],[Produto]],tProdutos[Produto],0))="",DescontoPadrao,INDEX(tProdutos[Desconto homologado],MATCH(tItens[[#This Row],[Produto]],tProdutos[Produto],0))),DescontoPadrao)</f>
        <v>0.48690097134476601</v>
      </c>
      <c r="M2135" s="12">
        <f>tItens[[#This Row],[Valor]]*(1-tItens[[#This Row],[Desconto]])</f>
        <v>54183.257425992706</v>
      </c>
      <c r="N2135" t="str">
        <f>IFERROR(INDEX(tProdutos[Foco],MATCH(tItens[[#This Row],[Produto]],tProdutos[Produto],0)),"Não")</f>
        <v>Não</v>
      </c>
      <c r="O2135" t="str">
        <f>IFERROR(INDEX(tEditais[SRP],MATCH(tItens[[#This Row],[Edital]],tEditais[Edital],0)),"Não")</f>
        <v>Sim</v>
      </c>
      <c r="P2135" s="4">
        <f>IF(COUNTIFS(INDEX(tItens[Edital],1):tItens[[#This Row],[Edital]],tItens[[#This Row],[Edital]],INDEX(tItens[Produto],1):tItens[[#This Row],[Produto]],tItens[[#This Row],[Produto]])=1,1,0)</f>
        <v>1</v>
      </c>
    </row>
    <row r="2136" spans="1:16" x14ac:dyDescent="0.25">
      <c r="A2136" t="s">
        <v>1209</v>
      </c>
      <c r="B2136">
        <v>136</v>
      </c>
      <c r="C2136" t="s">
        <v>5174</v>
      </c>
      <c r="D2136" t="s">
        <v>144</v>
      </c>
      <c r="E2136" s="13">
        <v>5000</v>
      </c>
      <c r="F2136" s="12">
        <v>41.02</v>
      </c>
      <c r="G2136" t="str">
        <f>IFERROR(INDEX(tEditais[Órgão],MATCH(tItens[[#This Row],[Edital]],tEditais[Edital],0)),"")</f>
        <v>FUNDO MUNICIPAL DE SAUDE</v>
      </c>
      <c r="H2136" t="str">
        <f>IFERROR(INDEX(tEditais[UF],MATCH(tItens[[#This Row],[Edital]],tEditais[Edital],0)),"")</f>
        <v>GO</v>
      </c>
      <c r="I2136" s="11">
        <f>IFERROR(INDEX(tEditais[Encerramento],MATCH(tItens[[#This Row],[Edital]],tEditais[Edital],0)),"")</f>
        <v>46311.333333333336</v>
      </c>
      <c r="J2136" t="str">
        <f>IFERROR(INDEX(tProdutos[Classe],MATCH(tItens[[#This Row],[Produto]],tProdutos[Produto],0)),"produto não cadastrado")</f>
        <v>DISPUTADO</v>
      </c>
      <c r="K2136" s="12">
        <f>tItens[[#This Row],[Qtd]]*tItens[[#This Row],[Vlr unit]]</f>
        <v>205100.00000000003</v>
      </c>
      <c r="L2136" s="6">
        <f>IFERROR(IF(INDEX(tProdutos[Desconto homologado],MATCH(tItens[[#This Row],[Produto]],tProdutos[Produto],0))="",DescontoPadrao,INDEX(tProdutos[Desconto homologado],MATCH(tItens[[#This Row],[Produto]],tProdutos[Produto],0))),DescontoPadrao)</f>
        <v>0.371428571428571</v>
      </c>
      <c r="M2136" s="12">
        <f>tItens[[#This Row],[Valor]]*(1-tItens[[#This Row],[Desconto]])</f>
        <v>128920.0000000001</v>
      </c>
      <c r="N2136" t="str">
        <f>IFERROR(INDEX(tProdutos[Foco],MATCH(tItens[[#This Row],[Produto]],tProdutos[Produto],0)),"Não")</f>
        <v>Não</v>
      </c>
      <c r="O2136" t="str">
        <f>IFERROR(INDEX(tEditais[SRP],MATCH(tItens[[#This Row],[Edital]],tEditais[Edital],0)),"Não")</f>
        <v>Sim</v>
      </c>
      <c r="P2136" s="4">
        <f>IF(COUNTIFS(INDEX(tItens[Edital],1):tItens[[#This Row],[Edital]],tItens[[#This Row],[Edital]],INDEX(tItens[Produto],1):tItens[[#This Row],[Produto]],tItens[[#This Row],[Produto]])=1,1,0)</f>
        <v>1</v>
      </c>
    </row>
    <row r="2137" spans="1:16" x14ac:dyDescent="0.25">
      <c r="A2137" t="s">
        <v>1209</v>
      </c>
      <c r="B2137">
        <v>137</v>
      </c>
      <c r="C2137" t="s">
        <v>5175</v>
      </c>
      <c r="D2137" t="s">
        <v>140</v>
      </c>
      <c r="E2137" s="13">
        <v>500</v>
      </c>
      <c r="F2137" s="12">
        <v>41.46</v>
      </c>
      <c r="G2137" t="str">
        <f>IFERROR(INDEX(tEditais[Órgão],MATCH(tItens[[#This Row],[Edital]],tEditais[Edital],0)),"")</f>
        <v>FUNDO MUNICIPAL DE SAUDE</v>
      </c>
      <c r="H2137" t="str">
        <f>IFERROR(INDEX(tEditais[UF],MATCH(tItens[[#This Row],[Edital]],tEditais[Edital],0)),"")</f>
        <v>GO</v>
      </c>
      <c r="I2137" s="11">
        <f>IFERROR(INDEX(tEditais[Encerramento],MATCH(tItens[[#This Row],[Edital]],tEditais[Edital],0)),"")</f>
        <v>46311.333333333336</v>
      </c>
      <c r="J2137" t="str">
        <f>IFERROR(INDEX(tProdutos[Classe],MATCH(tItens[[#This Row],[Produto]],tProdutos[Produto],0)),"produto não cadastrado")</f>
        <v>DISPUTADO</v>
      </c>
      <c r="K2137" s="12">
        <f>tItens[[#This Row],[Qtd]]*tItens[[#This Row],[Vlr unit]]</f>
        <v>20730</v>
      </c>
      <c r="L2137" s="6">
        <f>IFERROR(IF(INDEX(tProdutos[Desconto homologado],MATCH(tItens[[#This Row],[Produto]],tProdutos[Produto],0))="",DescontoPadrao,INDEX(tProdutos[Desconto homologado],MATCH(tItens[[#This Row],[Produto]],tProdutos[Produto],0))),DescontoPadrao)</f>
        <v>0.48560177208958899</v>
      </c>
      <c r="M2137" s="12">
        <f>tItens[[#This Row],[Valor]]*(1-tItens[[#This Row],[Desconto]])</f>
        <v>10663.475264582819</v>
      </c>
      <c r="N2137" t="str">
        <f>IFERROR(INDEX(tProdutos[Foco],MATCH(tItens[[#This Row],[Produto]],tProdutos[Produto],0)),"Não")</f>
        <v>Não</v>
      </c>
      <c r="O2137" t="str">
        <f>IFERROR(INDEX(tEditais[SRP],MATCH(tItens[[#This Row],[Edital]],tEditais[Edital],0)),"Não")</f>
        <v>Sim</v>
      </c>
      <c r="P2137" s="4">
        <f>IF(COUNTIFS(INDEX(tItens[Edital],1):tItens[[#This Row],[Edital]],tItens[[#This Row],[Edital]],INDEX(tItens[Produto],1):tItens[[#This Row],[Produto]],tItens[[#This Row],[Produto]])=1,1,0)</f>
        <v>1</v>
      </c>
    </row>
    <row r="2138" spans="1:16" x14ac:dyDescent="0.25">
      <c r="A2138" t="s">
        <v>1209</v>
      </c>
      <c r="B2138">
        <v>157</v>
      </c>
      <c r="C2138" t="s">
        <v>5176</v>
      </c>
      <c r="D2138" t="s">
        <v>279</v>
      </c>
      <c r="E2138" s="13">
        <v>5000</v>
      </c>
      <c r="F2138" s="12">
        <v>1.85</v>
      </c>
      <c r="G2138" t="str">
        <f>IFERROR(INDEX(tEditais[Órgão],MATCH(tItens[[#This Row],[Edital]],tEditais[Edital],0)),"")</f>
        <v>FUNDO MUNICIPAL DE SAUDE</v>
      </c>
      <c r="H2138" t="str">
        <f>IFERROR(INDEX(tEditais[UF],MATCH(tItens[[#This Row],[Edital]],tEditais[Edital],0)),"")</f>
        <v>GO</v>
      </c>
      <c r="I2138" s="11">
        <f>IFERROR(INDEX(tEditais[Encerramento],MATCH(tItens[[#This Row],[Edital]],tEditais[Edital],0)),"")</f>
        <v>46311.333333333336</v>
      </c>
      <c r="J2138" t="str">
        <f>IFERROR(INDEX(tProdutos[Classe],MATCH(tItens[[#This Row],[Produto]],tProdutos[Produto],0)),"produto não cadastrado")</f>
        <v>FORA</v>
      </c>
      <c r="K2138" s="12">
        <f>tItens[[#This Row],[Qtd]]*tItens[[#This Row],[Vlr unit]]</f>
        <v>9250</v>
      </c>
      <c r="L2138" s="6">
        <f>IFERROR(IF(INDEX(tProdutos[Desconto homologado],MATCH(tItens[[#This Row],[Produto]],tProdutos[Produto],0))="",DescontoPadrao,INDEX(tProdutos[Desconto homologado],MATCH(tItens[[#This Row],[Produto]],tProdutos[Produto],0))),DescontoPadrao)</f>
        <v>0.28909090909090901</v>
      </c>
      <c r="M2138" s="12">
        <f>tItens[[#This Row],[Valor]]*(1-tItens[[#This Row],[Desconto]])</f>
        <v>6575.909090909091</v>
      </c>
      <c r="N2138" t="str">
        <f>IFERROR(INDEX(tProdutos[Foco],MATCH(tItens[[#This Row],[Produto]],tProdutos[Produto],0)),"Não")</f>
        <v>Não</v>
      </c>
      <c r="O2138" t="str">
        <f>IFERROR(INDEX(tEditais[SRP],MATCH(tItens[[#This Row],[Edital]],tEditais[Edital],0)),"Não")</f>
        <v>Sim</v>
      </c>
      <c r="P2138" s="4">
        <f>IF(COUNTIFS(INDEX(tItens[Edital],1):tItens[[#This Row],[Edital]],tItens[[#This Row],[Edital]],INDEX(tItens[Produto],1):tItens[[#This Row],[Produto]],tItens[[#This Row],[Produto]])=1,1,0)</f>
        <v>1</v>
      </c>
    </row>
    <row r="2139" spans="1:16" x14ac:dyDescent="0.25">
      <c r="A2139" t="s">
        <v>1209</v>
      </c>
      <c r="B2139">
        <v>162</v>
      </c>
      <c r="C2139" t="s">
        <v>5177</v>
      </c>
      <c r="D2139" t="s">
        <v>279</v>
      </c>
      <c r="E2139" s="13">
        <v>50000</v>
      </c>
      <c r="F2139" s="12">
        <v>1.43</v>
      </c>
      <c r="G2139" t="str">
        <f>IFERROR(INDEX(tEditais[Órgão],MATCH(tItens[[#This Row],[Edital]],tEditais[Edital],0)),"")</f>
        <v>FUNDO MUNICIPAL DE SAUDE</v>
      </c>
      <c r="H2139" t="str">
        <f>IFERROR(INDEX(tEditais[UF],MATCH(tItens[[#This Row],[Edital]],tEditais[Edital],0)),"")</f>
        <v>GO</v>
      </c>
      <c r="I2139" s="11">
        <f>IFERROR(INDEX(tEditais[Encerramento],MATCH(tItens[[#This Row],[Edital]],tEditais[Edital],0)),"")</f>
        <v>46311.333333333336</v>
      </c>
      <c r="J2139" t="str">
        <f>IFERROR(INDEX(tProdutos[Classe],MATCH(tItens[[#This Row],[Produto]],tProdutos[Produto],0)),"produto não cadastrado")</f>
        <v>FORA</v>
      </c>
      <c r="K2139" s="12">
        <f>tItens[[#This Row],[Qtd]]*tItens[[#This Row],[Vlr unit]]</f>
        <v>71500</v>
      </c>
      <c r="L2139" s="6">
        <f>IFERROR(IF(INDEX(tProdutos[Desconto homologado],MATCH(tItens[[#This Row],[Produto]],tProdutos[Produto],0))="",DescontoPadrao,INDEX(tProdutos[Desconto homologado],MATCH(tItens[[#This Row],[Produto]],tProdutos[Produto],0))),DescontoPadrao)</f>
        <v>0.28909090909090901</v>
      </c>
      <c r="M2139" s="12">
        <f>tItens[[#This Row],[Valor]]*(1-tItens[[#This Row],[Desconto]])</f>
        <v>50830</v>
      </c>
      <c r="N2139" t="str">
        <f>IFERROR(INDEX(tProdutos[Foco],MATCH(tItens[[#This Row],[Produto]],tProdutos[Produto],0)),"Não")</f>
        <v>Não</v>
      </c>
      <c r="O2139" t="str">
        <f>IFERROR(INDEX(tEditais[SRP],MATCH(tItens[[#This Row],[Edital]],tEditais[Edital],0)),"Não")</f>
        <v>Sim</v>
      </c>
      <c r="P2139" s="4">
        <f>IF(COUNTIFS(INDEX(tItens[Edital],1):tItens[[#This Row],[Edital]],tItens[[#This Row],[Edital]],INDEX(tItens[Produto],1):tItens[[#This Row],[Produto]],tItens[[#This Row],[Produto]])=1,1,0)</f>
        <v>0</v>
      </c>
    </row>
    <row r="2140" spans="1:16" x14ac:dyDescent="0.25">
      <c r="A2140" t="s">
        <v>1209</v>
      </c>
      <c r="B2140">
        <v>163</v>
      </c>
      <c r="C2140" t="s">
        <v>5178</v>
      </c>
      <c r="D2140" t="s">
        <v>80</v>
      </c>
      <c r="E2140" s="13">
        <v>1000</v>
      </c>
      <c r="F2140" s="12">
        <v>2.78</v>
      </c>
      <c r="G2140" t="str">
        <f>IFERROR(INDEX(tEditais[Órgão],MATCH(tItens[[#This Row],[Edital]],tEditais[Edital],0)),"")</f>
        <v>FUNDO MUNICIPAL DE SAUDE</v>
      </c>
      <c r="H2140" t="str">
        <f>IFERROR(INDEX(tEditais[UF],MATCH(tItens[[#This Row],[Edital]],tEditais[Edital],0)),"")</f>
        <v>GO</v>
      </c>
      <c r="I2140" s="11">
        <f>IFERROR(INDEX(tEditais[Encerramento],MATCH(tItens[[#This Row],[Edital]],tEditais[Edital],0)),"")</f>
        <v>46311.333333333336</v>
      </c>
      <c r="J2140" t="str">
        <f>IFERROR(INDEX(tProdutos[Classe],MATCH(tItens[[#This Row],[Produto]],tProdutos[Produto],0)),"produto não cadastrado")</f>
        <v>NÚCLEO</v>
      </c>
      <c r="K2140" s="12">
        <f>tItens[[#This Row],[Qtd]]*tItens[[#This Row],[Vlr unit]]</f>
        <v>2780</v>
      </c>
      <c r="L2140" s="6">
        <f>IFERROR(IF(INDEX(tProdutos[Desconto homologado],MATCH(tItens[[#This Row],[Produto]],tProdutos[Produto],0))="",DescontoPadrao,INDEX(tProdutos[Desconto homologado],MATCH(tItens[[#This Row],[Produto]],tProdutos[Produto],0))),DescontoPadrao)</f>
        <v>0.33</v>
      </c>
      <c r="M2140" s="12">
        <f>tItens[[#This Row],[Valor]]*(1-tItens[[#This Row],[Desconto]])</f>
        <v>1862.6</v>
      </c>
      <c r="N2140" t="str">
        <f>IFERROR(INDEX(tProdutos[Foco],MATCH(tItens[[#This Row],[Produto]],tProdutos[Produto],0)),"Não")</f>
        <v>Sim</v>
      </c>
      <c r="O2140" t="str">
        <f>IFERROR(INDEX(tEditais[SRP],MATCH(tItens[[#This Row],[Edital]],tEditais[Edital],0)),"Não")</f>
        <v>Sim</v>
      </c>
      <c r="P2140" s="4">
        <f>IF(COUNTIFS(INDEX(tItens[Edital],1):tItens[[#This Row],[Edital]],tItens[[#This Row],[Edital]],INDEX(tItens[Produto],1):tItens[[#This Row],[Produto]],tItens[[#This Row],[Produto]])=1,1,0)</f>
        <v>1</v>
      </c>
    </row>
    <row r="2141" spans="1:16" x14ac:dyDescent="0.25">
      <c r="A2141" t="s">
        <v>1209</v>
      </c>
      <c r="B2141">
        <v>164</v>
      </c>
      <c r="C2141" t="s">
        <v>5179</v>
      </c>
      <c r="D2141" t="s">
        <v>80</v>
      </c>
      <c r="E2141" s="13">
        <v>1000</v>
      </c>
      <c r="F2141" s="12">
        <v>2.78</v>
      </c>
      <c r="G2141" t="str">
        <f>IFERROR(INDEX(tEditais[Órgão],MATCH(tItens[[#This Row],[Edital]],tEditais[Edital],0)),"")</f>
        <v>FUNDO MUNICIPAL DE SAUDE</v>
      </c>
      <c r="H2141" t="str">
        <f>IFERROR(INDEX(tEditais[UF],MATCH(tItens[[#This Row],[Edital]],tEditais[Edital],0)),"")</f>
        <v>GO</v>
      </c>
      <c r="I2141" s="11">
        <f>IFERROR(INDEX(tEditais[Encerramento],MATCH(tItens[[#This Row],[Edital]],tEditais[Edital],0)),"")</f>
        <v>46311.333333333336</v>
      </c>
      <c r="J2141" t="str">
        <f>IFERROR(INDEX(tProdutos[Classe],MATCH(tItens[[#This Row],[Produto]],tProdutos[Produto],0)),"produto não cadastrado")</f>
        <v>NÚCLEO</v>
      </c>
      <c r="K2141" s="12">
        <f>tItens[[#This Row],[Qtd]]*tItens[[#This Row],[Vlr unit]]</f>
        <v>2780</v>
      </c>
      <c r="L2141" s="6">
        <f>IFERROR(IF(INDEX(tProdutos[Desconto homologado],MATCH(tItens[[#This Row],[Produto]],tProdutos[Produto],0))="",DescontoPadrao,INDEX(tProdutos[Desconto homologado],MATCH(tItens[[#This Row],[Produto]],tProdutos[Produto],0))),DescontoPadrao)</f>
        <v>0.33</v>
      </c>
      <c r="M2141" s="12">
        <f>tItens[[#This Row],[Valor]]*(1-tItens[[#This Row],[Desconto]])</f>
        <v>1862.6</v>
      </c>
      <c r="N2141" t="str">
        <f>IFERROR(INDEX(tProdutos[Foco],MATCH(tItens[[#This Row],[Produto]],tProdutos[Produto],0)),"Não")</f>
        <v>Sim</v>
      </c>
      <c r="O2141" t="str">
        <f>IFERROR(INDEX(tEditais[SRP],MATCH(tItens[[#This Row],[Edital]],tEditais[Edital],0)),"Não")</f>
        <v>Sim</v>
      </c>
      <c r="P2141" s="4">
        <f>IF(COUNTIFS(INDEX(tItens[Edital],1):tItens[[#This Row],[Edital]],tItens[[#This Row],[Edital]],INDEX(tItens[Produto],1):tItens[[#This Row],[Produto]],tItens[[#This Row],[Produto]])=1,1,0)</f>
        <v>0</v>
      </c>
    </row>
    <row r="2142" spans="1:16" x14ac:dyDescent="0.25">
      <c r="A2142" t="s">
        <v>1209</v>
      </c>
      <c r="B2142">
        <v>165</v>
      </c>
      <c r="C2142" t="s">
        <v>5180</v>
      </c>
      <c r="D2142" t="s">
        <v>279</v>
      </c>
      <c r="E2142" s="13">
        <v>3000</v>
      </c>
      <c r="F2142" s="12">
        <v>9.93</v>
      </c>
      <c r="G2142" t="str">
        <f>IFERROR(INDEX(tEditais[Órgão],MATCH(tItens[[#This Row],[Edital]],tEditais[Edital],0)),"")</f>
        <v>FUNDO MUNICIPAL DE SAUDE</v>
      </c>
      <c r="H2142" t="str">
        <f>IFERROR(INDEX(tEditais[UF],MATCH(tItens[[#This Row],[Edital]],tEditais[Edital],0)),"")</f>
        <v>GO</v>
      </c>
      <c r="I2142" s="11">
        <f>IFERROR(INDEX(tEditais[Encerramento],MATCH(tItens[[#This Row],[Edital]],tEditais[Edital],0)),"")</f>
        <v>46311.333333333336</v>
      </c>
      <c r="J2142" t="str">
        <f>IFERROR(INDEX(tProdutos[Classe],MATCH(tItens[[#This Row],[Produto]],tProdutos[Produto],0)),"produto não cadastrado")</f>
        <v>FORA</v>
      </c>
      <c r="K2142" s="12">
        <f>tItens[[#This Row],[Qtd]]*tItens[[#This Row],[Vlr unit]]</f>
        <v>29790</v>
      </c>
      <c r="L2142" s="6">
        <f>IFERROR(IF(INDEX(tProdutos[Desconto homologado],MATCH(tItens[[#This Row],[Produto]],tProdutos[Produto],0))="",DescontoPadrao,INDEX(tProdutos[Desconto homologado],MATCH(tItens[[#This Row],[Produto]],tProdutos[Produto],0))),DescontoPadrao)</f>
        <v>0.28909090909090901</v>
      </c>
      <c r="M2142" s="12">
        <f>tItens[[#This Row],[Valor]]*(1-tItens[[#This Row],[Desconto]])</f>
        <v>21177.981818181819</v>
      </c>
      <c r="N2142" t="str">
        <f>IFERROR(INDEX(tProdutos[Foco],MATCH(tItens[[#This Row],[Produto]],tProdutos[Produto],0)),"Não")</f>
        <v>Não</v>
      </c>
      <c r="O2142" t="str">
        <f>IFERROR(INDEX(tEditais[SRP],MATCH(tItens[[#This Row],[Edital]],tEditais[Edital],0)),"Não")</f>
        <v>Sim</v>
      </c>
      <c r="P2142" s="4">
        <f>IF(COUNTIFS(INDEX(tItens[Edital],1):tItens[[#This Row],[Edital]],tItens[[#This Row],[Edital]],INDEX(tItens[Produto],1):tItens[[#This Row],[Produto]],tItens[[#This Row],[Produto]])=1,1,0)</f>
        <v>0</v>
      </c>
    </row>
    <row r="2143" spans="1:16" x14ac:dyDescent="0.25">
      <c r="A2143" t="s">
        <v>1209</v>
      </c>
      <c r="B2143">
        <v>167</v>
      </c>
      <c r="C2143" t="s">
        <v>5181</v>
      </c>
      <c r="D2143" t="s">
        <v>124</v>
      </c>
      <c r="E2143" s="13">
        <v>4000</v>
      </c>
      <c r="F2143" s="12">
        <v>22.29</v>
      </c>
      <c r="G2143" t="str">
        <f>IFERROR(INDEX(tEditais[Órgão],MATCH(tItens[[#This Row],[Edital]],tEditais[Edital],0)),"")</f>
        <v>FUNDO MUNICIPAL DE SAUDE</v>
      </c>
      <c r="H2143" t="str">
        <f>IFERROR(INDEX(tEditais[UF],MATCH(tItens[[#This Row],[Edital]],tEditais[Edital],0)),"")</f>
        <v>GO</v>
      </c>
      <c r="I2143" s="11">
        <f>IFERROR(INDEX(tEditais[Encerramento],MATCH(tItens[[#This Row],[Edital]],tEditais[Edital],0)),"")</f>
        <v>46311.333333333336</v>
      </c>
      <c r="J2143" t="str">
        <f>IFERROR(INDEX(tProdutos[Classe],MATCH(tItens[[#This Row],[Produto]],tProdutos[Produto],0)),"produto não cadastrado")</f>
        <v>DISPUTADO</v>
      </c>
      <c r="K2143" s="12">
        <f>tItens[[#This Row],[Qtd]]*tItens[[#This Row],[Vlr unit]]</f>
        <v>89160</v>
      </c>
      <c r="L2143" s="6">
        <f>IFERROR(IF(INDEX(tProdutos[Desconto homologado],MATCH(tItens[[#This Row],[Produto]],tProdutos[Produto],0))="",DescontoPadrao,INDEX(tProdutos[Desconto homologado],MATCH(tItens[[#This Row],[Produto]],tProdutos[Produto],0))),DescontoPadrao)</f>
        <v>0.34</v>
      </c>
      <c r="M2143" s="12">
        <f>tItens[[#This Row],[Valor]]*(1-tItens[[#This Row],[Desconto]])</f>
        <v>58845.599999999991</v>
      </c>
      <c r="N2143" t="str">
        <f>IFERROR(INDEX(tProdutos[Foco],MATCH(tItens[[#This Row],[Produto]],tProdutos[Produto],0)),"Não")</f>
        <v>Sim</v>
      </c>
      <c r="O2143" t="str">
        <f>IFERROR(INDEX(tEditais[SRP],MATCH(tItens[[#This Row],[Edital]],tEditais[Edital],0)),"Não")</f>
        <v>Sim</v>
      </c>
      <c r="P2143" s="4">
        <f>IF(COUNTIFS(INDEX(tItens[Edital],1):tItens[[#This Row],[Edital]],tItens[[#This Row],[Edital]],INDEX(tItens[Produto],1):tItens[[#This Row],[Produto]],tItens[[#This Row],[Produto]])=1,1,0)</f>
        <v>1</v>
      </c>
    </row>
    <row r="2144" spans="1:16" x14ac:dyDescent="0.25">
      <c r="A2144" t="s">
        <v>1209</v>
      </c>
      <c r="B2144">
        <v>175</v>
      </c>
      <c r="C2144" t="s">
        <v>5182</v>
      </c>
      <c r="D2144" t="s">
        <v>156</v>
      </c>
      <c r="E2144" s="13">
        <v>100</v>
      </c>
      <c r="F2144" s="12">
        <v>37.9</v>
      </c>
      <c r="G2144" t="str">
        <f>IFERROR(INDEX(tEditais[Órgão],MATCH(tItens[[#This Row],[Edital]],tEditais[Edital],0)),"")</f>
        <v>FUNDO MUNICIPAL DE SAUDE</v>
      </c>
      <c r="H2144" t="str">
        <f>IFERROR(INDEX(tEditais[UF],MATCH(tItens[[#This Row],[Edital]],tEditais[Edital],0)),"")</f>
        <v>GO</v>
      </c>
      <c r="I2144" s="11">
        <f>IFERROR(INDEX(tEditais[Encerramento],MATCH(tItens[[#This Row],[Edital]],tEditais[Edital],0)),"")</f>
        <v>46311.333333333336</v>
      </c>
      <c r="J2144" t="str">
        <f>IFERROR(INDEX(tProdutos[Classe],MATCH(tItens[[#This Row],[Produto]],tProdutos[Produto],0)),"produto não cadastrado")</f>
        <v>DISPUTADO</v>
      </c>
      <c r="K2144" s="12">
        <f>tItens[[#This Row],[Qtd]]*tItens[[#This Row],[Vlr unit]]</f>
        <v>3790</v>
      </c>
      <c r="L2144" s="6">
        <f>IFERROR(IF(INDEX(tProdutos[Desconto homologado],MATCH(tItens[[#This Row],[Produto]],tProdutos[Produto],0))="",DescontoPadrao,INDEX(tProdutos[Desconto homologado],MATCH(tItens[[#This Row],[Produto]],tProdutos[Produto],0))),DescontoPadrao)</f>
        <v>0.27131852489802799</v>
      </c>
      <c r="M2144" s="12">
        <f>tItens[[#This Row],[Valor]]*(1-tItens[[#This Row],[Desconto]])</f>
        <v>2761.7027906364738</v>
      </c>
      <c r="N2144" t="str">
        <f>IFERROR(INDEX(tProdutos[Foco],MATCH(tItens[[#This Row],[Produto]],tProdutos[Produto],0)),"Não")</f>
        <v>Não</v>
      </c>
      <c r="O2144" t="str">
        <f>IFERROR(INDEX(tEditais[SRP],MATCH(tItens[[#This Row],[Edital]],tEditais[Edital],0)),"Não")</f>
        <v>Sim</v>
      </c>
      <c r="P2144" s="4">
        <f>IF(COUNTIFS(INDEX(tItens[Edital],1):tItens[[#This Row],[Edital]],tItens[[#This Row],[Edital]],INDEX(tItens[Produto],1):tItens[[#This Row],[Produto]],tItens[[#This Row],[Produto]])=1,1,0)</f>
        <v>1</v>
      </c>
    </row>
    <row r="2145" spans="1:16" x14ac:dyDescent="0.25">
      <c r="A2145" t="s">
        <v>1209</v>
      </c>
      <c r="B2145">
        <v>177</v>
      </c>
      <c r="C2145" t="s">
        <v>5183</v>
      </c>
      <c r="D2145" t="s">
        <v>142</v>
      </c>
      <c r="E2145" s="13">
        <v>800</v>
      </c>
      <c r="F2145" s="12">
        <v>10.06</v>
      </c>
      <c r="G2145" t="str">
        <f>IFERROR(INDEX(tEditais[Órgão],MATCH(tItens[[#This Row],[Edital]],tEditais[Edital],0)),"")</f>
        <v>FUNDO MUNICIPAL DE SAUDE</v>
      </c>
      <c r="H2145" t="str">
        <f>IFERROR(INDEX(tEditais[UF],MATCH(tItens[[#This Row],[Edital]],tEditais[Edital],0)),"")</f>
        <v>GO</v>
      </c>
      <c r="I2145" s="11">
        <f>IFERROR(INDEX(tEditais[Encerramento],MATCH(tItens[[#This Row],[Edital]],tEditais[Edital],0)),"")</f>
        <v>46311.333333333336</v>
      </c>
      <c r="J2145" t="str">
        <f>IFERROR(INDEX(tProdutos[Classe],MATCH(tItens[[#This Row],[Produto]],tProdutos[Produto],0)),"produto não cadastrado")</f>
        <v>DISPUTADO</v>
      </c>
      <c r="K2145" s="12">
        <f>tItens[[#This Row],[Qtd]]*tItens[[#This Row],[Vlr unit]]</f>
        <v>8048</v>
      </c>
      <c r="L2145" s="6">
        <f>IFERROR(IF(INDEX(tProdutos[Desconto homologado],MATCH(tItens[[#This Row],[Produto]],tProdutos[Produto],0))="",DescontoPadrao,INDEX(tProdutos[Desconto homologado],MATCH(tItens[[#This Row],[Produto]],tProdutos[Produto],0))),DescontoPadrao)</f>
        <v>0.37093619495691699</v>
      </c>
      <c r="M2145" s="12">
        <f>tItens[[#This Row],[Valor]]*(1-tItens[[#This Row],[Desconto]])</f>
        <v>5062.7055029867324</v>
      </c>
      <c r="N2145" t="str">
        <f>IFERROR(INDEX(tProdutos[Foco],MATCH(tItens[[#This Row],[Produto]],tProdutos[Produto],0)),"Não")</f>
        <v>Não</v>
      </c>
      <c r="O2145" t="str">
        <f>IFERROR(INDEX(tEditais[SRP],MATCH(tItens[[#This Row],[Edital]],tEditais[Edital],0)),"Não")</f>
        <v>Sim</v>
      </c>
      <c r="P2145" s="4">
        <f>IF(COUNTIFS(INDEX(tItens[Edital],1):tItens[[#This Row],[Edital]],tItens[[#This Row],[Edital]],INDEX(tItens[Produto],1):tItens[[#This Row],[Produto]],tItens[[#This Row],[Produto]])=1,1,0)</f>
        <v>1</v>
      </c>
    </row>
    <row r="2146" spans="1:16" x14ac:dyDescent="0.25">
      <c r="A2146" t="s">
        <v>1209</v>
      </c>
      <c r="B2146">
        <v>178</v>
      </c>
      <c r="C2146" t="s">
        <v>5184</v>
      </c>
      <c r="D2146" t="s">
        <v>512</v>
      </c>
      <c r="E2146" s="13">
        <v>200</v>
      </c>
      <c r="F2146" s="12">
        <v>23.41</v>
      </c>
      <c r="G2146" t="str">
        <f>IFERROR(INDEX(tEditais[Órgão],MATCH(tItens[[#This Row],[Edital]],tEditais[Edital],0)),"")</f>
        <v>FUNDO MUNICIPAL DE SAUDE</v>
      </c>
      <c r="H2146" t="str">
        <f>IFERROR(INDEX(tEditais[UF],MATCH(tItens[[#This Row],[Edital]],tEditais[Edital],0)),"")</f>
        <v>GO</v>
      </c>
      <c r="I2146" s="11">
        <f>IFERROR(INDEX(tEditais[Encerramento],MATCH(tItens[[#This Row],[Edital]],tEditais[Edital],0)),"")</f>
        <v>46311.333333333336</v>
      </c>
      <c r="J2146" t="str">
        <f>IFERROR(INDEX(tProdutos[Classe],MATCH(tItens[[#This Row],[Produto]],tProdutos[Produto],0)),"produto não cadastrado")</f>
        <v>FILA REBASE</v>
      </c>
      <c r="K2146" s="12">
        <f>tItens[[#This Row],[Qtd]]*tItens[[#This Row],[Vlr unit]]</f>
        <v>4682</v>
      </c>
      <c r="L2146" s="6">
        <f>IFERROR(IF(INDEX(tProdutos[Desconto homologado],MATCH(tItens[[#This Row],[Produto]],tProdutos[Produto],0))="",DescontoPadrao,INDEX(tProdutos[Desconto homologado],MATCH(tItens[[#This Row],[Produto]],tProdutos[Produto],0))),DescontoPadrao)</f>
        <v>0.32579365079365102</v>
      </c>
      <c r="M2146" s="12">
        <f>tItens[[#This Row],[Valor]]*(1-tItens[[#This Row],[Desconto]])</f>
        <v>3156.6341269841259</v>
      </c>
      <c r="N2146" t="str">
        <f>IFERROR(INDEX(tProdutos[Foco],MATCH(tItens[[#This Row],[Produto]],tProdutos[Produto],0)),"Não")</f>
        <v>Não</v>
      </c>
      <c r="O2146" t="str">
        <f>IFERROR(INDEX(tEditais[SRP],MATCH(tItens[[#This Row],[Edital]],tEditais[Edital],0)),"Não")</f>
        <v>Sim</v>
      </c>
      <c r="P2146" s="4">
        <f>IF(COUNTIFS(INDEX(tItens[Edital],1):tItens[[#This Row],[Edital]],tItens[[#This Row],[Edital]],INDEX(tItens[Produto],1):tItens[[#This Row],[Produto]],tItens[[#This Row],[Produto]])=1,1,0)</f>
        <v>1</v>
      </c>
    </row>
    <row r="2147" spans="1:16" x14ac:dyDescent="0.25">
      <c r="A2147" t="s">
        <v>1209</v>
      </c>
      <c r="B2147">
        <v>179</v>
      </c>
      <c r="C2147" t="s">
        <v>5185</v>
      </c>
      <c r="D2147" t="s">
        <v>512</v>
      </c>
      <c r="E2147" s="13">
        <v>100</v>
      </c>
      <c r="F2147" s="12">
        <v>23.27</v>
      </c>
      <c r="G2147" t="str">
        <f>IFERROR(INDEX(tEditais[Órgão],MATCH(tItens[[#This Row],[Edital]],tEditais[Edital],0)),"")</f>
        <v>FUNDO MUNICIPAL DE SAUDE</v>
      </c>
      <c r="H2147" t="str">
        <f>IFERROR(INDEX(tEditais[UF],MATCH(tItens[[#This Row],[Edital]],tEditais[Edital],0)),"")</f>
        <v>GO</v>
      </c>
      <c r="I2147" s="11">
        <f>IFERROR(INDEX(tEditais[Encerramento],MATCH(tItens[[#This Row],[Edital]],tEditais[Edital],0)),"")</f>
        <v>46311.333333333336</v>
      </c>
      <c r="J2147" t="str">
        <f>IFERROR(INDEX(tProdutos[Classe],MATCH(tItens[[#This Row],[Produto]],tProdutos[Produto],0)),"produto não cadastrado")</f>
        <v>FILA REBASE</v>
      </c>
      <c r="K2147" s="12">
        <f>tItens[[#This Row],[Qtd]]*tItens[[#This Row],[Vlr unit]]</f>
        <v>2327</v>
      </c>
      <c r="L2147" s="6">
        <f>IFERROR(IF(INDEX(tProdutos[Desconto homologado],MATCH(tItens[[#This Row],[Produto]],tProdutos[Produto],0))="",DescontoPadrao,INDEX(tProdutos[Desconto homologado],MATCH(tItens[[#This Row],[Produto]],tProdutos[Produto],0))),DescontoPadrao)</f>
        <v>0.32579365079365102</v>
      </c>
      <c r="M2147" s="12">
        <f>tItens[[#This Row],[Valor]]*(1-tItens[[#This Row],[Desconto]])</f>
        <v>1568.8781746031741</v>
      </c>
      <c r="N2147" t="str">
        <f>IFERROR(INDEX(tProdutos[Foco],MATCH(tItens[[#This Row],[Produto]],tProdutos[Produto],0)),"Não")</f>
        <v>Não</v>
      </c>
      <c r="O2147" t="str">
        <f>IFERROR(INDEX(tEditais[SRP],MATCH(tItens[[#This Row],[Edital]],tEditais[Edital],0)),"Não")</f>
        <v>Sim</v>
      </c>
      <c r="P2147" s="4">
        <f>IF(COUNTIFS(INDEX(tItens[Edital],1):tItens[[#This Row],[Edital]],tItens[[#This Row],[Edital]],INDEX(tItens[Produto],1):tItens[[#This Row],[Produto]],tItens[[#This Row],[Produto]])=1,1,0)</f>
        <v>0</v>
      </c>
    </row>
    <row r="2148" spans="1:16" x14ac:dyDescent="0.25">
      <c r="A2148" t="s">
        <v>1209</v>
      </c>
      <c r="B2148">
        <v>180</v>
      </c>
      <c r="C2148" t="s">
        <v>5186</v>
      </c>
      <c r="D2148" t="s">
        <v>60</v>
      </c>
      <c r="E2148" s="13">
        <v>1000</v>
      </c>
      <c r="F2148" s="12">
        <v>54.13</v>
      </c>
      <c r="G2148" t="str">
        <f>IFERROR(INDEX(tEditais[Órgão],MATCH(tItens[[#This Row],[Edital]],tEditais[Edital],0)),"")</f>
        <v>FUNDO MUNICIPAL DE SAUDE</v>
      </c>
      <c r="H2148" t="str">
        <f>IFERROR(INDEX(tEditais[UF],MATCH(tItens[[#This Row],[Edital]],tEditais[Edital],0)),"")</f>
        <v>GO</v>
      </c>
      <c r="I2148" s="11">
        <f>IFERROR(INDEX(tEditais[Encerramento],MATCH(tItens[[#This Row],[Edital]],tEditais[Edital],0)),"")</f>
        <v>46311.333333333336</v>
      </c>
      <c r="J2148" t="str">
        <f>IFERROR(INDEX(tProdutos[Classe],MATCH(tItens[[#This Row],[Produto]],tProdutos[Produto],0)),"produto não cadastrado")</f>
        <v>NÚCLEO</v>
      </c>
      <c r="K2148" s="12">
        <f>tItens[[#This Row],[Qtd]]*tItens[[#This Row],[Vlr unit]]</f>
        <v>54130</v>
      </c>
      <c r="L2148" s="6">
        <f>IFERROR(IF(INDEX(tProdutos[Desconto homologado],MATCH(tItens[[#This Row],[Produto]],tProdutos[Produto],0))="",DescontoPadrao,INDEX(tProdutos[Desconto homologado],MATCH(tItens[[#This Row],[Produto]],tProdutos[Produto],0))),DescontoPadrao)</f>
        <v>0.23</v>
      </c>
      <c r="M2148" s="12">
        <f>tItens[[#This Row],[Valor]]*(1-tItens[[#This Row],[Desconto]])</f>
        <v>41680.1</v>
      </c>
      <c r="N2148" t="str">
        <f>IFERROR(INDEX(tProdutos[Foco],MATCH(tItens[[#This Row],[Produto]],tProdutos[Produto],0)),"Não")</f>
        <v>Sim</v>
      </c>
      <c r="O2148" t="str">
        <f>IFERROR(INDEX(tEditais[SRP],MATCH(tItens[[#This Row],[Edital]],tEditais[Edital],0)),"Não")</f>
        <v>Sim</v>
      </c>
      <c r="P2148" s="4">
        <f>IF(COUNTIFS(INDEX(tItens[Edital],1):tItens[[#This Row],[Edital]],tItens[[#This Row],[Edital]],INDEX(tItens[Produto],1):tItens[[#This Row],[Produto]],tItens[[#This Row],[Produto]])=1,1,0)</f>
        <v>1</v>
      </c>
    </row>
    <row r="2149" spans="1:16" x14ac:dyDescent="0.25">
      <c r="A2149" t="s">
        <v>1209</v>
      </c>
      <c r="B2149">
        <v>181</v>
      </c>
      <c r="C2149" t="s">
        <v>5187</v>
      </c>
      <c r="D2149" t="s">
        <v>90</v>
      </c>
      <c r="E2149" s="13">
        <v>20000</v>
      </c>
      <c r="F2149" s="12">
        <v>12.79</v>
      </c>
      <c r="G2149" t="str">
        <f>IFERROR(INDEX(tEditais[Órgão],MATCH(tItens[[#This Row],[Edital]],tEditais[Edital],0)),"")</f>
        <v>FUNDO MUNICIPAL DE SAUDE</v>
      </c>
      <c r="H2149" t="str">
        <f>IFERROR(INDEX(tEditais[UF],MATCH(tItens[[#This Row],[Edital]],tEditais[Edital],0)),"")</f>
        <v>GO</v>
      </c>
      <c r="I2149" s="11">
        <f>IFERROR(INDEX(tEditais[Encerramento],MATCH(tItens[[#This Row],[Edital]],tEditais[Edital],0)),"")</f>
        <v>46311.333333333336</v>
      </c>
      <c r="J2149" t="str">
        <f>IFERROR(INDEX(tProdutos[Classe],MATCH(tItens[[#This Row],[Produto]],tProdutos[Produto],0)),"produto não cadastrado")</f>
        <v>DISPUTADO</v>
      </c>
      <c r="K2149" s="12">
        <f>tItens[[#This Row],[Qtd]]*tItens[[#This Row],[Vlr unit]]</f>
        <v>255799.99999999997</v>
      </c>
      <c r="L2149" s="6">
        <f>IFERROR(IF(INDEX(tProdutos[Desconto homologado],MATCH(tItens[[#This Row],[Produto]],tProdutos[Produto],0))="",DescontoPadrao,INDEX(tProdutos[Desconto homologado],MATCH(tItens[[#This Row],[Produto]],tProdutos[Produto],0))),DescontoPadrao)</f>
        <v>0.25393823957010597</v>
      </c>
      <c r="M2149" s="12">
        <f>tItens[[#This Row],[Valor]]*(1-tItens[[#This Row],[Desconto]])</f>
        <v>190842.59831796688</v>
      </c>
      <c r="N2149" t="str">
        <f>IFERROR(INDEX(tProdutos[Foco],MATCH(tItens[[#This Row],[Produto]],tProdutos[Produto],0)),"Não")</f>
        <v>Não</v>
      </c>
      <c r="O2149" t="str">
        <f>IFERROR(INDEX(tEditais[SRP],MATCH(tItens[[#This Row],[Edital]],tEditais[Edital],0)),"Não")</f>
        <v>Sim</v>
      </c>
      <c r="P2149" s="4">
        <f>IF(COUNTIFS(INDEX(tItens[Edital],1):tItens[[#This Row],[Edital]],tItens[[#This Row],[Edital]],INDEX(tItens[Produto],1):tItens[[#This Row],[Produto]],tItens[[#This Row],[Produto]])=1,1,0)</f>
        <v>1</v>
      </c>
    </row>
    <row r="2150" spans="1:16" x14ac:dyDescent="0.25">
      <c r="A2150" t="s">
        <v>1209</v>
      </c>
      <c r="B2150">
        <v>192</v>
      </c>
      <c r="C2150" t="s">
        <v>5188</v>
      </c>
      <c r="D2150" t="s">
        <v>417</v>
      </c>
      <c r="E2150" s="13">
        <v>10</v>
      </c>
      <c r="F2150" s="12">
        <v>227.8</v>
      </c>
      <c r="G2150" t="str">
        <f>IFERROR(INDEX(tEditais[Órgão],MATCH(tItens[[#This Row],[Edital]],tEditais[Edital],0)),"")</f>
        <v>FUNDO MUNICIPAL DE SAUDE</v>
      </c>
      <c r="H2150" t="str">
        <f>IFERROR(INDEX(tEditais[UF],MATCH(tItens[[#This Row],[Edital]],tEditais[Edital],0)),"")</f>
        <v>GO</v>
      </c>
      <c r="I2150" s="11">
        <f>IFERROR(INDEX(tEditais[Encerramento],MATCH(tItens[[#This Row],[Edital]],tEditais[Edital],0)),"")</f>
        <v>46311.333333333336</v>
      </c>
      <c r="J2150" t="str">
        <f>IFERROR(INDEX(tProdutos[Classe],MATCH(tItens[[#This Row],[Produto]],tProdutos[Produto],0)),"produto não cadastrado")</f>
        <v>FORA</v>
      </c>
      <c r="K2150" s="12">
        <f>tItens[[#This Row],[Qtd]]*tItens[[#This Row],[Vlr unit]]</f>
        <v>2278</v>
      </c>
      <c r="L2150" s="6">
        <f>IFERROR(IF(INDEX(tProdutos[Desconto homologado],MATCH(tItens[[#This Row],[Produto]],tProdutos[Produto],0))="",DescontoPadrao,INDEX(tProdutos[Desconto homologado],MATCH(tItens[[#This Row],[Produto]],tProdutos[Produto],0))),DescontoPadrao)</f>
        <v>0.27842432580405202</v>
      </c>
      <c r="M2150" s="12">
        <f>tItens[[#This Row],[Valor]]*(1-tItens[[#This Row],[Desconto]])</f>
        <v>1643.7493858183695</v>
      </c>
      <c r="N2150" t="str">
        <f>IFERROR(INDEX(tProdutos[Foco],MATCH(tItens[[#This Row],[Produto]],tProdutos[Produto],0)),"Não")</f>
        <v>Não</v>
      </c>
      <c r="O2150" t="str">
        <f>IFERROR(INDEX(tEditais[SRP],MATCH(tItens[[#This Row],[Edital]],tEditais[Edital],0)),"Não")</f>
        <v>Sim</v>
      </c>
      <c r="P2150" s="4">
        <f>IF(COUNTIFS(INDEX(tItens[Edital],1):tItens[[#This Row],[Edital]],tItens[[#This Row],[Edital]],INDEX(tItens[Produto],1):tItens[[#This Row],[Produto]],tItens[[#This Row],[Produto]])=1,1,0)</f>
        <v>1</v>
      </c>
    </row>
    <row r="2151" spans="1:16" x14ac:dyDescent="0.25">
      <c r="A2151" t="s">
        <v>1209</v>
      </c>
      <c r="B2151">
        <v>193</v>
      </c>
      <c r="C2151" t="s">
        <v>5189</v>
      </c>
      <c r="D2151" t="s">
        <v>77</v>
      </c>
      <c r="E2151" s="13">
        <v>6000</v>
      </c>
      <c r="F2151" s="12">
        <v>13.78</v>
      </c>
      <c r="G2151" t="str">
        <f>IFERROR(INDEX(tEditais[Órgão],MATCH(tItens[[#This Row],[Edital]],tEditais[Edital],0)),"")</f>
        <v>FUNDO MUNICIPAL DE SAUDE</v>
      </c>
      <c r="H2151" t="str">
        <f>IFERROR(INDEX(tEditais[UF],MATCH(tItens[[#This Row],[Edital]],tEditais[Edital],0)),"")</f>
        <v>GO</v>
      </c>
      <c r="I2151" s="11">
        <f>IFERROR(INDEX(tEditais[Encerramento],MATCH(tItens[[#This Row],[Edital]],tEditais[Edital],0)),"")</f>
        <v>46311.333333333336</v>
      </c>
      <c r="J2151" t="str">
        <f>IFERROR(INDEX(tProdutos[Classe],MATCH(tItens[[#This Row],[Produto]],tProdutos[Produto],0)),"produto não cadastrado")</f>
        <v>DISPUTADO</v>
      </c>
      <c r="K2151" s="12">
        <f>tItens[[#This Row],[Qtd]]*tItens[[#This Row],[Vlr unit]]</f>
        <v>82680</v>
      </c>
      <c r="L2151" s="6">
        <f>IFERROR(IF(INDEX(tProdutos[Desconto homologado],MATCH(tItens[[#This Row],[Produto]],tProdutos[Produto],0))="",DescontoPadrao,INDEX(tProdutos[Desconto homologado],MATCH(tItens[[#This Row],[Produto]],tProdutos[Produto],0))),DescontoPadrao)</f>
        <v>0.33</v>
      </c>
      <c r="M2151" s="12">
        <f>tItens[[#This Row],[Valor]]*(1-tItens[[#This Row],[Desconto]])</f>
        <v>55395.599999999991</v>
      </c>
      <c r="N2151" t="str">
        <f>IFERROR(INDEX(tProdutos[Foco],MATCH(tItens[[#This Row],[Produto]],tProdutos[Produto],0)),"Não")</f>
        <v>Sim</v>
      </c>
      <c r="O2151" t="str">
        <f>IFERROR(INDEX(tEditais[SRP],MATCH(tItens[[#This Row],[Edital]],tEditais[Edital],0)),"Não")</f>
        <v>Sim</v>
      </c>
      <c r="P2151" s="4">
        <f>IF(COUNTIFS(INDEX(tItens[Edital],1):tItens[[#This Row],[Edital]],tItens[[#This Row],[Edital]],INDEX(tItens[Produto],1):tItens[[#This Row],[Produto]],tItens[[#This Row],[Produto]])=1,1,0)</f>
        <v>1</v>
      </c>
    </row>
    <row r="2152" spans="1:16" x14ac:dyDescent="0.25">
      <c r="A2152" t="s">
        <v>1209</v>
      </c>
      <c r="B2152">
        <v>194</v>
      </c>
      <c r="C2152" t="s">
        <v>5190</v>
      </c>
      <c r="D2152" t="s">
        <v>345</v>
      </c>
      <c r="E2152" s="13">
        <v>180000</v>
      </c>
      <c r="F2152" s="12">
        <v>2.16</v>
      </c>
      <c r="G2152" t="str">
        <f>IFERROR(INDEX(tEditais[Órgão],MATCH(tItens[[#This Row],[Edital]],tEditais[Edital],0)),"")</f>
        <v>FUNDO MUNICIPAL DE SAUDE</v>
      </c>
      <c r="H2152" t="str">
        <f>IFERROR(INDEX(tEditais[UF],MATCH(tItens[[#This Row],[Edital]],tEditais[Edital],0)),"")</f>
        <v>GO</v>
      </c>
      <c r="I2152" s="11">
        <f>IFERROR(INDEX(tEditais[Encerramento],MATCH(tItens[[#This Row],[Edital]],tEditais[Edital],0)),"")</f>
        <v>46311.333333333336</v>
      </c>
      <c r="J2152" t="str">
        <f>IFERROR(INDEX(tProdutos[Classe],MATCH(tItens[[#This Row],[Produto]],tProdutos[Produto],0)),"produto não cadastrado")</f>
        <v>FORA</v>
      </c>
      <c r="K2152" s="12">
        <f>tItens[[#This Row],[Qtd]]*tItens[[#This Row],[Vlr unit]]</f>
        <v>388800</v>
      </c>
      <c r="L2152" s="6">
        <f>IFERROR(IF(INDEX(tProdutos[Desconto homologado],MATCH(tItens[[#This Row],[Produto]],tProdutos[Produto],0))="",DescontoPadrao,INDEX(tProdutos[Desconto homologado],MATCH(tItens[[#This Row],[Produto]],tProdutos[Produto],0))),DescontoPadrao)</f>
        <v>0.412394275616498</v>
      </c>
      <c r="M2152" s="12">
        <f>tItens[[#This Row],[Valor]]*(1-tItens[[#This Row],[Desconto]])</f>
        <v>228461.10564030558</v>
      </c>
      <c r="N2152" t="str">
        <f>IFERROR(INDEX(tProdutos[Foco],MATCH(tItens[[#This Row],[Produto]],tProdutos[Produto],0)),"Não")</f>
        <v>Não</v>
      </c>
      <c r="O2152" t="str">
        <f>IFERROR(INDEX(tEditais[SRP],MATCH(tItens[[#This Row],[Edital]],tEditais[Edital],0)),"Não")</f>
        <v>Sim</v>
      </c>
      <c r="P2152" s="4">
        <f>IF(COUNTIFS(INDEX(tItens[Edital],1):tItens[[#This Row],[Edital]],tItens[[#This Row],[Edital]],INDEX(tItens[Produto],1):tItens[[#This Row],[Produto]],tItens[[#This Row],[Produto]])=1,1,0)</f>
        <v>1</v>
      </c>
    </row>
    <row r="2153" spans="1:16" x14ac:dyDescent="0.25">
      <c r="A2153" t="s">
        <v>1209</v>
      </c>
      <c r="B2153">
        <v>195</v>
      </c>
      <c r="C2153" t="s">
        <v>5191</v>
      </c>
      <c r="D2153" t="s">
        <v>345</v>
      </c>
      <c r="E2153" s="13">
        <v>200000</v>
      </c>
      <c r="F2153" s="12">
        <v>2.17</v>
      </c>
      <c r="G2153" t="str">
        <f>IFERROR(INDEX(tEditais[Órgão],MATCH(tItens[[#This Row],[Edital]],tEditais[Edital],0)),"")</f>
        <v>FUNDO MUNICIPAL DE SAUDE</v>
      </c>
      <c r="H2153" t="str">
        <f>IFERROR(INDEX(tEditais[UF],MATCH(tItens[[#This Row],[Edital]],tEditais[Edital],0)),"")</f>
        <v>GO</v>
      </c>
      <c r="I2153" s="11">
        <f>IFERROR(INDEX(tEditais[Encerramento],MATCH(tItens[[#This Row],[Edital]],tEditais[Edital],0)),"")</f>
        <v>46311.333333333336</v>
      </c>
      <c r="J2153" t="str">
        <f>IFERROR(INDEX(tProdutos[Classe],MATCH(tItens[[#This Row],[Produto]],tProdutos[Produto],0)),"produto não cadastrado")</f>
        <v>FORA</v>
      </c>
      <c r="K2153" s="12">
        <f>tItens[[#This Row],[Qtd]]*tItens[[#This Row],[Vlr unit]]</f>
        <v>434000</v>
      </c>
      <c r="L2153" s="6">
        <f>IFERROR(IF(INDEX(tProdutos[Desconto homologado],MATCH(tItens[[#This Row],[Produto]],tProdutos[Produto],0))="",DescontoPadrao,INDEX(tProdutos[Desconto homologado],MATCH(tItens[[#This Row],[Produto]],tProdutos[Produto],0))),DescontoPadrao)</f>
        <v>0.412394275616498</v>
      </c>
      <c r="M2153" s="12">
        <f>tItens[[#This Row],[Valor]]*(1-tItens[[#This Row],[Desconto]])</f>
        <v>255020.88438243986</v>
      </c>
      <c r="N2153" t="str">
        <f>IFERROR(INDEX(tProdutos[Foco],MATCH(tItens[[#This Row],[Produto]],tProdutos[Produto],0)),"Não")</f>
        <v>Não</v>
      </c>
      <c r="O2153" t="str">
        <f>IFERROR(INDEX(tEditais[SRP],MATCH(tItens[[#This Row],[Edital]],tEditais[Edital],0)),"Não")</f>
        <v>Sim</v>
      </c>
      <c r="P2153" s="4">
        <f>IF(COUNTIFS(INDEX(tItens[Edital],1):tItens[[#This Row],[Edital]],tItens[[#This Row],[Edital]],INDEX(tItens[Produto],1):tItens[[#This Row],[Produto]],tItens[[#This Row],[Produto]])=1,1,0)</f>
        <v>0</v>
      </c>
    </row>
    <row r="2154" spans="1:16" x14ac:dyDescent="0.25">
      <c r="A2154" t="s">
        <v>1209</v>
      </c>
      <c r="B2154">
        <v>196</v>
      </c>
      <c r="C2154" t="s">
        <v>5192</v>
      </c>
      <c r="D2154" t="s">
        <v>345</v>
      </c>
      <c r="E2154" s="13">
        <v>150000</v>
      </c>
      <c r="F2154" s="12">
        <v>2.08</v>
      </c>
      <c r="G2154" t="str">
        <f>IFERROR(INDEX(tEditais[Órgão],MATCH(tItens[[#This Row],[Edital]],tEditais[Edital],0)),"")</f>
        <v>FUNDO MUNICIPAL DE SAUDE</v>
      </c>
      <c r="H2154" t="str">
        <f>IFERROR(INDEX(tEditais[UF],MATCH(tItens[[#This Row],[Edital]],tEditais[Edital],0)),"")</f>
        <v>GO</v>
      </c>
      <c r="I2154" s="11">
        <f>IFERROR(INDEX(tEditais[Encerramento],MATCH(tItens[[#This Row],[Edital]],tEditais[Edital],0)),"")</f>
        <v>46311.333333333336</v>
      </c>
      <c r="J2154" t="str">
        <f>IFERROR(INDEX(tProdutos[Classe],MATCH(tItens[[#This Row],[Produto]],tProdutos[Produto],0)),"produto não cadastrado")</f>
        <v>FORA</v>
      </c>
      <c r="K2154" s="12">
        <f>tItens[[#This Row],[Qtd]]*tItens[[#This Row],[Vlr unit]]</f>
        <v>312000</v>
      </c>
      <c r="L2154" s="6">
        <f>IFERROR(IF(INDEX(tProdutos[Desconto homologado],MATCH(tItens[[#This Row],[Produto]],tProdutos[Produto],0))="",DescontoPadrao,INDEX(tProdutos[Desconto homologado],MATCH(tItens[[#This Row],[Produto]],tProdutos[Produto],0))),DescontoPadrao)</f>
        <v>0.412394275616498</v>
      </c>
      <c r="M2154" s="12">
        <f>tItens[[#This Row],[Valor]]*(1-tItens[[#This Row],[Desconto]])</f>
        <v>183332.98600765262</v>
      </c>
      <c r="N2154" t="str">
        <f>IFERROR(INDEX(tProdutos[Foco],MATCH(tItens[[#This Row],[Produto]],tProdutos[Produto],0)),"Não")</f>
        <v>Não</v>
      </c>
      <c r="O2154" t="str">
        <f>IFERROR(INDEX(tEditais[SRP],MATCH(tItens[[#This Row],[Edital]],tEditais[Edital],0)),"Não")</f>
        <v>Sim</v>
      </c>
      <c r="P2154" s="4">
        <f>IF(COUNTIFS(INDEX(tItens[Edital],1):tItens[[#This Row],[Edital]],tItens[[#This Row],[Edital]],INDEX(tItens[Produto],1):tItens[[#This Row],[Produto]],tItens[[#This Row],[Produto]])=1,1,0)</f>
        <v>0</v>
      </c>
    </row>
    <row r="2155" spans="1:16" x14ac:dyDescent="0.25">
      <c r="A2155" t="s">
        <v>1209</v>
      </c>
      <c r="B2155">
        <v>197</v>
      </c>
      <c r="C2155" t="s">
        <v>5193</v>
      </c>
      <c r="D2155" t="s">
        <v>345</v>
      </c>
      <c r="E2155" s="13">
        <v>180000</v>
      </c>
      <c r="F2155" s="12">
        <v>2.13</v>
      </c>
      <c r="G2155" t="str">
        <f>IFERROR(INDEX(tEditais[Órgão],MATCH(tItens[[#This Row],[Edital]],tEditais[Edital],0)),"")</f>
        <v>FUNDO MUNICIPAL DE SAUDE</v>
      </c>
      <c r="H2155" t="str">
        <f>IFERROR(INDEX(tEditais[UF],MATCH(tItens[[#This Row],[Edital]],tEditais[Edital],0)),"")</f>
        <v>GO</v>
      </c>
      <c r="I2155" s="11">
        <f>IFERROR(INDEX(tEditais[Encerramento],MATCH(tItens[[#This Row],[Edital]],tEditais[Edital],0)),"")</f>
        <v>46311.333333333336</v>
      </c>
      <c r="J2155" t="str">
        <f>IFERROR(INDEX(tProdutos[Classe],MATCH(tItens[[#This Row],[Produto]],tProdutos[Produto],0)),"produto não cadastrado")</f>
        <v>FORA</v>
      </c>
      <c r="K2155" s="12">
        <f>tItens[[#This Row],[Qtd]]*tItens[[#This Row],[Vlr unit]]</f>
        <v>383400</v>
      </c>
      <c r="L2155" s="6">
        <f>IFERROR(IF(INDEX(tProdutos[Desconto homologado],MATCH(tItens[[#This Row],[Produto]],tProdutos[Produto],0))="",DescontoPadrao,INDEX(tProdutos[Desconto homologado],MATCH(tItens[[#This Row],[Produto]],tProdutos[Produto],0))),DescontoPadrao)</f>
        <v>0.412394275616498</v>
      </c>
      <c r="M2155" s="12">
        <f>tItens[[#This Row],[Valor]]*(1-tItens[[#This Row],[Desconto]])</f>
        <v>225288.03472863467</v>
      </c>
      <c r="N2155" t="str">
        <f>IFERROR(INDEX(tProdutos[Foco],MATCH(tItens[[#This Row],[Produto]],tProdutos[Produto],0)),"Não")</f>
        <v>Não</v>
      </c>
      <c r="O2155" t="str">
        <f>IFERROR(INDEX(tEditais[SRP],MATCH(tItens[[#This Row],[Edital]],tEditais[Edital],0)),"Não")</f>
        <v>Sim</v>
      </c>
      <c r="P2155" s="4">
        <f>IF(COUNTIFS(INDEX(tItens[Edital],1):tItens[[#This Row],[Edital]],tItens[[#This Row],[Edital]],INDEX(tItens[Produto],1):tItens[[#This Row],[Produto]],tItens[[#This Row],[Produto]])=1,1,0)</f>
        <v>0</v>
      </c>
    </row>
    <row r="2156" spans="1:16" x14ac:dyDescent="0.25">
      <c r="A2156" t="s">
        <v>1209</v>
      </c>
      <c r="B2156">
        <v>198</v>
      </c>
      <c r="C2156" t="s">
        <v>5194</v>
      </c>
      <c r="D2156" t="s">
        <v>339</v>
      </c>
      <c r="E2156" s="13">
        <v>25000</v>
      </c>
      <c r="F2156" s="12">
        <v>1.59</v>
      </c>
      <c r="G2156" t="str">
        <f>IFERROR(INDEX(tEditais[Órgão],MATCH(tItens[[#This Row],[Edital]],tEditais[Edital],0)),"")</f>
        <v>FUNDO MUNICIPAL DE SAUDE</v>
      </c>
      <c r="H2156" t="str">
        <f>IFERROR(INDEX(tEditais[UF],MATCH(tItens[[#This Row],[Edital]],tEditais[Edital],0)),"")</f>
        <v>GO</v>
      </c>
      <c r="I2156" s="11">
        <f>IFERROR(INDEX(tEditais[Encerramento],MATCH(tItens[[#This Row],[Edital]],tEditais[Edital],0)),"")</f>
        <v>46311.333333333336</v>
      </c>
      <c r="J2156" t="str">
        <f>IFERROR(INDEX(tProdutos[Classe],MATCH(tItens[[#This Row],[Produto]],tProdutos[Produto],0)),"produto não cadastrado")</f>
        <v>FORA</v>
      </c>
      <c r="K2156" s="12">
        <f>tItens[[#This Row],[Qtd]]*tItens[[#This Row],[Vlr unit]]</f>
        <v>39750</v>
      </c>
      <c r="L2156" s="6">
        <f>IFERROR(IF(INDEX(tProdutos[Desconto homologado],MATCH(tItens[[#This Row],[Produto]],tProdutos[Produto],0))="",DescontoPadrao,INDEX(tProdutos[Desconto homologado],MATCH(tItens[[#This Row],[Produto]],tProdutos[Produto],0))),DescontoPadrao)</f>
        <v>0.35388629091804102</v>
      </c>
      <c r="M2156" s="12">
        <f>tItens[[#This Row],[Valor]]*(1-tItens[[#This Row],[Desconto]])</f>
        <v>25683.01993600787</v>
      </c>
      <c r="N2156" t="str">
        <f>IFERROR(INDEX(tProdutos[Foco],MATCH(tItens[[#This Row],[Produto]],tProdutos[Produto],0)),"Não")</f>
        <v>Não</v>
      </c>
      <c r="O2156" t="str">
        <f>IFERROR(INDEX(tEditais[SRP],MATCH(tItens[[#This Row],[Edital]],tEditais[Edital],0)),"Não")</f>
        <v>Sim</v>
      </c>
      <c r="P2156" s="4">
        <f>IF(COUNTIFS(INDEX(tItens[Edital],1):tItens[[#This Row],[Edital]],tItens[[#This Row],[Edital]],INDEX(tItens[Produto],1):tItens[[#This Row],[Produto]],tItens[[#This Row],[Produto]])=1,1,0)</f>
        <v>1</v>
      </c>
    </row>
    <row r="2157" spans="1:16" x14ac:dyDescent="0.25">
      <c r="A2157" t="s">
        <v>1209</v>
      </c>
      <c r="B2157">
        <v>199</v>
      </c>
      <c r="C2157" t="s">
        <v>5195</v>
      </c>
      <c r="D2157" t="s">
        <v>339</v>
      </c>
      <c r="E2157" s="13">
        <v>15000</v>
      </c>
      <c r="F2157" s="12">
        <v>1.71</v>
      </c>
      <c r="G2157" t="str">
        <f>IFERROR(INDEX(tEditais[Órgão],MATCH(tItens[[#This Row],[Edital]],tEditais[Edital],0)),"")</f>
        <v>FUNDO MUNICIPAL DE SAUDE</v>
      </c>
      <c r="H2157" t="str">
        <f>IFERROR(INDEX(tEditais[UF],MATCH(tItens[[#This Row],[Edital]],tEditais[Edital],0)),"")</f>
        <v>GO</v>
      </c>
      <c r="I2157" s="11">
        <f>IFERROR(INDEX(tEditais[Encerramento],MATCH(tItens[[#This Row],[Edital]],tEditais[Edital],0)),"")</f>
        <v>46311.333333333336</v>
      </c>
      <c r="J2157" t="str">
        <f>IFERROR(INDEX(tProdutos[Classe],MATCH(tItens[[#This Row],[Produto]],tProdutos[Produto],0)),"produto não cadastrado")</f>
        <v>FORA</v>
      </c>
      <c r="K2157" s="12">
        <f>tItens[[#This Row],[Qtd]]*tItens[[#This Row],[Vlr unit]]</f>
        <v>25650</v>
      </c>
      <c r="L2157" s="6">
        <f>IFERROR(IF(INDEX(tProdutos[Desconto homologado],MATCH(tItens[[#This Row],[Produto]],tProdutos[Produto],0))="",DescontoPadrao,INDEX(tProdutos[Desconto homologado],MATCH(tItens[[#This Row],[Produto]],tProdutos[Produto],0))),DescontoPadrao)</f>
        <v>0.35388629091804102</v>
      </c>
      <c r="M2157" s="12">
        <f>tItens[[#This Row],[Valor]]*(1-tItens[[#This Row],[Desconto]])</f>
        <v>16572.816637952248</v>
      </c>
      <c r="N2157" t="str">
        <f>IFERROR(INDEX(tProdutos[Foco],MATCH(tItens[[#This Row],[Produto]],tProdutos[Produto],0)),"Não")</f>
        <v>Não</v>
      </c>
      <c r="O2157" t="str">
        <f>IFERROR(INDEX(tEditais[SRP],MATCH(tItens[[#This Row],[Edital]],tEditais[Edital],0)),"Não")</f>
        <v>Sim</v>
      </c>
      <c r="P2157" s="4">
        <f>IF(COUNTIFS(INDEX(tItens[Edital],1):tItens[[#This Row],[Edital]],tItens[[#This Row],[Edital]],INDEX(tItens[Produto],1):tItens[[#This Row],[Produto]],tItens[[#This Row],[Produto]])=1,1,0)</f>
        <v>0</v>
      </c>
    </row>
    <row r="2158" spans="1:16" x14ac:dyDescent="0.25">
      <c r="A2158" t="s">
        <v>1209</v>
      </c>
      <c r="B2158">
        <v>200</v>
      </c>
      <c r="C2158" t="s">
        <v>5196</v>
      </c>
      <c r="D2158" t="s">
        <v>339</v>
      </c>
      <c r="E2158" s="13">
        <v>30000</v>
      </c>
      <c r="F2158" s="12">
        <v>1.94</v>
      </c>
      <c r="G2158" t="str">
        <f>IFERROR(INDEX(tEditais[Órgão],MATCH(tItens[[#This Row],[Edital]],tEditais[Edital],0)),"")</f>
        <v>FUNDO MUNICIPAL DE SAUDE</v>
      </c>
      <c r="H2158" t="str">
        <f>IFERROR(INDEX(tEditais[UF],MATCH(tItens[[#This Row],[Edital]],tEditais[Edital],0)),"")</f>
        <v>GO</v>
      </c>
      <c r="I2158" s="11">
        <f>IFERROR(INDEX(tEditais[Encerramento],MATCH(tItens[[#This Row],[Edital]],tEditais[Edital],0)),"")</f>
        <v>46311.333333333336</v>
      </c>
      <c r="J2158" t="str">
        <f>IFERROR(INDEX(tProdutos[Classe],MATCH(tItens[[#This Row],[Produto]],tProdutos[Produto],0)),"produto não cadastrado")</f>
        <v>FORA</v>
      </c>
      <c r="K2158" s="12">
        <f>tItens[[#This Row],[Qtd]]*tItens[[#This Row],[Vlr unit]]</f>
        <v>58200</v>
      </c>
      <c r="L2158" s="6">
        <f>IFERROR(IF(INDEX(tProdutos[Desconto homologado],MATCH(tItens[[#This Row],[Produto]],tProdutos[Produto],0))="",DescontoPadrao,INDEX(tProdutos[Desconto homologado],MATCH(tItens[[#This Row],[Produto]],tProdutos[Produto],0))),DescontoPadrao)</f>
        <v>0.35388629091804102</v>
      </c>
      <c r="M2158" s="12">
        <f>tItens[[#This Row],[Valor]]*(1-tItens[[#This Row],[Desconto]])</f>
        <v>37603.817868570011</v>
      </c>
      <c r="N2158" t="str">
        <f>IFERROR(INDEX(tProdutos[Foco],MATCH(tItens[[#This Row],[Produto]],tProdutos[Produto],0)),"Não")</f>
        <v>Não</v>
      </c>
      <c r="O2158" t="str">
        <f>IFERROR(INDEX(tEditais[SRP],MATCH(tItens[[#This Row],[Edital]],tEditais[Edital],0)),"Não")</f>
        <v>Sim</v>
      </c>
      <c r="P2158" s="4">
        <f>IF(COUNTIFS(INDEX(tItens[Edital],1):tItens[[#This Row],[Edital]],tItens[[#This Row],[Edital]],INDEX(tItens[Produto],1):tItens[[#This Row],[Produto]],tItens[[#This Row],[Produto]])=1,1,0)</f>
        <v>0</v>
      </c>
    </row>
    <row r="2159" spans="1:16" x14ac:dyDescent="0.25">
      <c r="A2159" t="s">
        <v>1209</v>
      </c>
      <c r="B2159">
        <v>201</v>
      </c>
      <c r="C2159" t="s">
        <v>5197</v>
      </c>
      <c r="D2159" t="s">
        <v>339</v>
      </c>
      <c r="E2159" s="13">
        <v>20000</v>
      </c>
      <c r="F2159" s="12">
        <v>2.25</v>
      </c>
      <c r="G2159" t="str">
        <f>IFERROR(INDEX(tEditais[Órgão],MATCH(tItens[[#This Row],[Edital]],tEditais[Edital],0)),"")</f>
        <v>FUNDO MUNICIPAL DE SAUDE</v>
      </c>
      <c r="H2159" t="str">
        <f>IFERROR(INDEX(tEditais[UF],MATCH(tItens[[#This Row],[Edital]],tEditais[Edital],0)),"")</f>
        <v>GO</v>
      </c>
      <c r="I2159" s="11">
        <f>IFERROR(INDEX(tEditais[Encerramento],MATCH(tItens[[#This Row],[Edital]],tEditais[Edital],0)),"")</f>
        <v>46311.333333333336</v>
      </c>
      <c r="J2159" t="str">
        <f>IFERROR(INDEX(tProdutos[Classe],MATCH(tItens[[#This Row],[Produto]],tProdutos[Produto],0)),"produto não cadastrado")</f>
        <v>FORA</v>
      </c>
      <c r="K2159" s="12">
        <f>tItens[[#This Row],[Qtd]]*tItens[[#This Row],[Vlr unit]]</f>
        <v>45000</v>
      </c>
      <c r="L2159" s="6">
        <f>IFERROR(IF(INDEX(tProdutos[Desconto homologado],MATCH(tItens[[#This Row],[Produto]],tProdutos[Produto],0))="",DescontoPadrao,INDEX(tProdutos[Desconto homologado],MATCH(tItens[[#This Row],[Produto]],tProdutos[Produto],0))),DescontoPadrao)</f>
        <v>0.35388629091804102</v>
      </c>
      <c r="M2159" s="12">
        <f>tItens[[#This Row],[Valor]]*(1-tItens[[#This Row],[Desconto]])</f>
        <v>29075.116908688153</v>
      </c>
      <c r="N2159" t="str">
        <f>IFERROR(INDEX(tProdutos[Foco],MATCH(tItens[[#This Row],[Produto]],tProdutos[Produto],0)),"Não")</f>
        <v>Não</v>
      </c>
      <c r="O2159" t="str">
        <f>IFERROR(INDEX(tEditais[SRP],MATCH(tItens[[#This Row],[Edital]],tEditais[Edital],0)),"Não")</f>
        <v>Sim</v>
      </c>
      <c r="P2159" s="4">
        <f>IF(COUNTIFS(INDEX(tItens[Edital],1):tItens[[#This Row],[Edital]],tItens[[#This Row],[Edital]],INDEX(tItens[Produto],1):tItens[[#This Row],[Produto]],tItens[[#This Row],[Produto]])=1,1,0)</f>
        <v>0</v>
      </c>
    </row>
    <row r="2160" spans="1:16" x14ac:dyDescent="0.25">
      <c r="A2160" t="s">
        <v>1209</v>
      </c>
      <c r="B2160">
        <v>202</v>
      </c>
      <c r="C2160" t="s">
        <v>5198</v>
      </c>
      <c r="D2160" t="s">
        <v>56</v>
      </c>
      <c r="E2160" s="13">
        <v>100</v>
      </c>
      <c r="F2160" s="12">
        <v>45.59</v>
      </c>
      <c r="G2160" t="str">
        <f>IFERROR(INDEX(tEditais[Órgão],MATCH(tItens[[#This Row],[Edital]],tEditais[Edital],0)),"")</f>
        <v>FUNDO MUNICIPAL DE SAUDE</v>
      </c>
      <c r="H2160" t="str">
        <f>IFERROR(INDEX(tEditais[UF],MATCH(tItens[[#This Row],[Edital]],tEditais[Edital],0)),"")</f>
        <v>GO</v>
      </c>
      <c r="I2160" s="11">
        <f>IFERROR(INDEX(tEditais[Encerramento],MATCH(tItens[[#This Row],[Edital]],tEditais[Edital],0)),"")</f>
        <v>46311.333333333336</v>
      </c>
      <c r="J2160" t="str">
        <f>IFERROR(INDEX(tProdutos[Classe],MATCH(tItens[[#This Row],[Produto]],tProdutos[Produto],0)),"produto não cadastrado")</f>
        <v>NÚCLEO</v>
      </c>
      <c r="K2160" s="12">
        <f>tItens[[#This Row],[Qtd]]*tItens[[#This Row],[Vlr unit]]</f>
        <v>4559</v>
      </c>
      <c r="L2160" s="6">
        <f>IFERROR(IF(INDEX(tProdutos[Desconto homologado],MATCH(tItens[[#This Row],[Produto]],tProdutos[Produto],0))="",DescontoPadrao,INDEX(tProdutos[Desconto homologado],MATCH(tItens[[#This Row],[Produto]],tProdutos[Produto],0))),DescontoPadrao)</f>
        <v>0.34</v>
      </c>
      <c r="M2160" s="12">
        <f>tItens[[#This Row],[Valor]]*(1-tItens[[#This Row],[Desconto]])</f>
        <v>3008.9399999999996</v>
      </c>
      <c r="N2160" t="str">
        <f>IFERROR(INDEX(tProdutos[Foco],MATCH(tItens[[#This Row],[Produto]],tProdutos[Produto],0)),"Não")</f>
        <v>Sim</v>
      </c>
      <c r="O2160" t="str">
        <f>IFERROR(INDEX(tEditais[SRP],MATCH(tItens[[#This Row],[Edital]],tEditais[Edital],0)),"Não")</f>
        <v>Sim</v>
      </c>
      <c r="P2160" s="4">
        <f>IF(COUNTIFS(INDEX(tItens[Edital],1):tItens[[#This Row],[Edital]],tItens[[#This Row],[Edital]],INDEX(tItens[Produto],1):tItens[[#This Row],[Produto]],tItens[[#This Row],[Produto]])=1,1,0)</f>
        <v>1</v>
      </c>
    </row>
    <row r="2161" spans="1:16" x14ac:dyDescent="0.25">
      <c r="A2161" t="s">
        <v>1209</v>
      </c>
      <c r="B2161">
        <v>203</v>
      </c>
      <c r="C2161" t="s">
        <v>5199</v>
      </c>
      <c r="D2161" t="s">
        <v>56</v>
      </c>
      <c r="E2161" s="13">
        <v>100</v>
      </c>
      <c r="F2161" s="12">
        <v>45.89</v>
      </c>
      <c r="G2161" t="str">
        <f>IFERROR(INDEX(tEditais[Órgão],MATCH(tItens[[#This Row],[Edital]],tEditais[Edital],0)),"")</f>
        <v>FUNDO MUNICIPAL DE SAUDE</v>
      </c>
      <c r="H2161" t="str">
        <f>IFERROR(INDEX(tEditais[UF],MATCH(tItens[[#This Row],[Edital]],tEditais[Edital],0)),"")</f>
        <v>GO</v>
      </c>
      <c r="I2161" s="11">
        <f>IFERROR(INDEX(tEditais[Encerramento],MATCH(tItens[[#This Row],[Edital]],tEditais[Edital],0)),"")</f>
        <v>46311.333333333336</v>
      </c>
      <c r="J2161" t="str">
        <f>IFERROR(INDEX(tProdutos[Classe],MATCH(tItens[[#This Row],[Produto]],tProdutos[Produto],0)),"produto não cadastrado")</f>
        <v>NÚCLEO</v>
      </c>
      <c r="K2161" s="12">
        <f>tItens[[#This Row],[Qtd]]*tItens[[#This Row],[Vlr unit]]</f>
        <v>4589</v>
      </c>
      <c r="L2161" s="6">
        <f>IFERROR(IF(INDEX(tProdutos[Desconto homologado],MATCH(tItens[[#This Row],[Produto]],tProdutos[Produto],0))="",DescontoPadrao,INDEX(tProdutos[Desconto homologado],MATCH(tItens[[#This Row],[Produto]],tProdutos[Produto],0))),DescontoPadrao)</f>
        <v>0.34</v>
      </c>
      <c r="M2161" s="12">
        <f>tItens[[#This Row],[Valor]]*(1-tItens[[#This Row],[Desconto]])</f>
        <v>3028.74</v>
      </c>
      <c r="N2161" t="str">
        <f>IFERROR(INDEX(tProdutos[Foco],MATCH(tItens[[#This Row],[Produto]],tProdutos[Produto],0)),"Não")</f>
        <v>Sim</v>
      </c>
      <c r="O2161" t="str">
        <f>IFERROR(INDEX(tEditais[SRP],MATCH(tItens[[#This Row],[Edital]],tEditais[Edital],0)),"Não")</f>
        <v>Sim</v>
      </c>
      <c r="P2161" s="4">
        <f>IF(COUNTIFS(INDEX(tItens[Edital],1):tItens[[#This Row],[Edital]],tItens[[#This Row],[Edital]],INDEX(tItens[Produto],1):tItens[[#This Row],[Produto]],tItens[[#This Row],[Produto]])=1,1,0)</f>
        <v>0</v>
      </c>
    </row>
    <row r="2162" spans="1:16" x14ac:dyDescent="0.25">
      <c r="A2162" t="s">
        <v>1209</v>
      </c>
      <c r="B2162">
        <v>204</v>
      </c>
      <c r="C2162" t="s">
        <v>5200</v>
      </c>
      <c r="D2162" t="s">
        <v>56</v>
      </c>
      <c r="E2162" s="13">
        <v>100</v>
      </c>
      <c r="F2162" s="12">
        <v>45.24</v>
      </c>
      <c r="G2162" t="str">
        <f>IFERROR(INDEX(tEditais[Órgão],MATCH(tItens[[#This Row],[Edital]],tEditais[Edital],0)),"")</f>
        <v>FUNDO MUNICIPAL DE SAUDE</v>
      </c>
      <c r="H2162" t="str">
        <f>IFERROR(INDEX(tEditais[UF],MATCH(tItens[[#This Row],[Edital]],tEditais[Edital],0)),"")</f>
        <v>GO</v>
      </c>
      <c r="I2162" s="11">
        <f>IFERROR(INDEX(tEditais[Encerramento],MATCH(tItens[[#This Row],[Edital]],tEditais[Edital],0)),"")</f>
        <v>46311.333333333336</v>
      </c>
      <c r="J2162" t="str">
        <f>IFERROR(INDEX(tProdutos[Classe],MATCH(tItens[[#This Row],[Produto]],tProdutos[Produto],0)),"produto não cadastrado")</f>
        <v>NÚCLEO</v>
      </c>
      <c r="K2162" s="12">
        <f>tItens[[#This Row],[Qtd]]*tItens[[#This Row],[Vlr unit]]</f>
        <v>4524</v>
      </c>
      <c r="L2162" s="6">
        <f>IFERROR(IF(INDEX(tProdutos[Desconto homologado],MATCH(tItens[[#This Row],[Produto]],tProdutos[Produto],0))="",DescontoPadrao,INDEX(tProdutos[Desconto homologado],MATCH(tItens[[#This Row],[Produto]],tProdutos[Produto],0))),DescontoPadrao)</f>
        <v>0.34</v>
      </c>
      <c r="M2162" s="12">
        <f>tItens[[#This Row],[Valor]]*(1-tItens[[#This Row],[Desconto]])</f>
        <v>2985.8399999999997</v>
      </c>
      <c r="N2162" t="str">
        <f>IFERROR(INDEX(tProdutos[Foco],MATCH(tItens[[#This Row],[Produto]],tProdutos[Produto],0)),"Não")</f>
        <v>Sim</v>
      </c>
      <c r="O2162" t="str">
        <f>IFERROR(INDEX(tEditais[SRP],MATCH(tItens[[#This Row],[Edital]],tEditais[Edital],0)),"Não")</f>
        <v>Sim</v>
      </c>
      <c r="P2162" s="4">
        <f>IF(COUNTIFS(INDEX(tItens[Edital],1):tItens[[#This Row],[Edital]],tItens[[#This Row],[Edital]],INDEX(tItens[Produto],1):tItens[[#This Row],[Produto]],tItens[[#This Row],[Produto]])=1,1,0)</f>
        <v>0</v>
      </c>
    </row>
    <row r="2163" spans="1:16" x14ac:dyDescent="0.25">
      <c r="A2163" t="s">
        <v>1209</v>
      </c>
      <c r="B2163">
        <v>205</v>
      </c>
      <c r="C2163" t="s">
        <v>5201</v>
      </c>
      <c r="D2163" t="s">
        <v>56</v>
      </c>
      <c r="E2163" s="13">
        <v>100</v>
      </c>
      <c r="F2163" s="12">
        <v>44.44</v>
      </c>
      <c r="G2163" t="str">
        <f>IFERROR(INDEX(tEditais[Órgão],MATCH(tItens[[#This Row],[Edital]],tEditais[Edital],0)),"")</f>
        <v>FUNDO MUNICIPAL DE SAUDE</v>
      </c>
      <c r="H2163" t="str">
        <f>IFERROR(INDEX(tEditais[UF],MATCH(tItens[[#This Row],[Edital]],tEditais[Edital],0)),"")</f>
        <v>GO</v>
      </c>
      <c r="I2163" s="11">
        <f>IFERROR(INDEX(tEditais[Encerramento],MATCH(tItens[[#This Row],[Edital]],tEditais[Edital],0)),"")</f>
        <v>46311.333333333336</v>
      </c>
      <c r="J2163" t="str">
        <f>IFERROR(INDEX(tProdutos[Classe],MATCH(tItens[[#This Row],[Produto]],tProdutos[Produto],0)),"produto não cadastrado")</f>
        <v>NÚCLEO</v>
      </c>
      <c r="K2163" s="12">
        <f>tItens[[#This Row],[Qtd]]*tItens[[#This Row],[Vlr unit]]</f>
        <v>4444</v>
      </c>
      <c r="L2163" s="6">
        <f>IFERROR(IF(INDEX(tProdutos[Desconto homologado],MATCH(tItens[[#This Row],[Produto]],tProdutos[Produto],0))="",DescontoPadrao,INDEX(tProdutos[Desconto homologado],MATCH(tItens[[#This Row],[Produto]],tProdutos[Produto],0))),DescontoPadrao)</f>
        <v>0.34</v>
      </c>
      <c r="M2163" s="12">
        <f>tItens[[#This Row],[Valor]]*(1-tItens[[#This Row],[Desconto]])</f>
        <v>2933.0399999999995</v>
      </c>
      <c r="N2163" t="str">
        <f>IFERROR(INDEX(tProdutos[Foco],MATCH(tItens[[#This Row],[Produto]],tProdutos[Produto],0)),"Não")</f>
        <v>Sim</v>
      </c>
      <c r="O2163" t="str">
        <f>IFERROR(INDEX(tEditais[SRP],MATCH(tItens[[#This Row],[Edital]],tEditais[Edital],0)),"Não")</f>
        <v>Sim</v>
      </c>
      <c r="P2163" s="4">
        <f>IF(COUNTIFS(INDEX(tItens[Edital],1):tItens[[#This Row],[Edital]],tItens[[#This Row],[Edital]],INDEX(tItens[Produto],1):tItens[[#This Row],[Produto]],tItens[[#This Row],[Produto]])=1,1,0)</f>
        <v>0</v>
      </c>
    </row>
    <row r="2164" spans="1:16" x14ac:dyDescent="0.25">
      <c r="A2164" t="s">
        <v>1209</v>
      </c>
      <c r="B2164">
        <v>206</v>
      </c>
      <c r="C2164" t="s">
        <v>5202</v>
      </c>
      <c r="D2164" t="s">
        <v>56</v>
      </c>
      <c r="E2164" s="13">
        <v>100</v>
      </c>
      <c r="F2164" s="12">
        <v>44.1</v>
      </c>
      <c r="G2164" t="str">
        <f>IFERROR(INDEX(tEditais[Órgão],MATCH(tItens[[#This Row],[Edital]],tEditais[Edital],0)),"")</f>
        <v>FUNDO MUNICIPAL DE SAUDE</v>
      </c>
      <c r="H2164" t="str">
        <f>IFERROR(INDEX(tEditais[UF],MATCH(tItens[[#This Row],[Edital]],tEditais[Edital],0)),"")</f>
        <v>GO</v>
      </c>
      <c r="I2164" s="11">
        <f>IFERROR(INDEX(tEditais[Encerramento],MATCH(tItens[[#This Row],[Edital]],tEditais[Edital],0)),"")</f>
        <v>46311.333333333336</v>
      </c>
      <c r="J2164" t="str">
        <f>IFERROR(INDEX(tProdutos[Classe],MATCH(tItens[[#This Row],[Produto]],tProdutos[Produto],0)),"produto não cadastrado")</f>
        <v>NÚCLEO</v>
      </c>
      <c r="K2164" s="12">
        <f>tItens[[#This Row],[Qtd]]*tItens[[#This Row],[Vlr unit]]</f>
        <v>4410</v>
      </c>
      <c r="L2164" s="6">
        <f>IFERROR(IF(INDEX(tProdutos[Desconto homologado],MATCH(tItens[[#This Row],[Produto]],tProdutos[Produto],0))="",DescontoPadrao,INDEX(tProdutos[Desconto homologado],MATCH(tItens[[#This Row],[Produto]],tProdutos[Produto],0))),DescontoPadrao)</f>
        <v>0.34</v>
      </c>
      <c r="M2164" s="12">
        <f>tItens[[#This Row],[Valor]]*(1-tItens[[#This Row],[Desconto]])</f>
        <v>2910.5999999999995</v>
      </c>
      <c r="N2164" t="str">
        <f>IFERROR(INDEX(tProdutos[Foco],MATCH(tItens[[#This Row],[Produto]],tProdutos[Produto],0)),"Não")</f>
        <v>Sim</v>
      </c>
      <c r="O2164" t="str">
        <f>IFERROR(INDEX(tEditais[SRP],MATCH(tItens[[#This Row],[Edital]],tEditais[Edital],0)),"Não")</f>
        <v>Sim</v>
      </c>
      <c r="P2164" s="4">
        <f>IF(COUNTIFS(INDEX(tItens[Edital],1):tItens[[#This Row],[Edital]],tItens[[#This Row],[Edital]],INDEX(tItens[Produto],1):tItens[[#This Row],[Produto]],tItens[[#This Row],[Produto]])=1,1,0)</f>
        <v>0</v>
      </c>
    </row>
    <row r="2165" spans="1:16" x14ac:dyDescent="0.25">
      <c r="A2165" t="s">
        <v>1209</v>
      </c>
      <c r="B2165">
        <v>207</v>
      </c>
      <c r="C2165" t="s">
        <v>5203</v>
      </c>
      <c r="D2165" t="s">
        <v>56</v>
      </c>
      <c r="E2165" s="13">
        <v>100</v>
      </c>
      <c r="F2165" s="12">
        <v>45.09</v>
      </c>
      <c r="G2165" t="str">
        <f>IFERROR(INDEX(tEditais[Órgão],MATCH(tItens[[#This Row],[Edital]],tEditais[Edital],0)),"")</f>
        <v>FUNDO MUNICIPAL DE SAUDE</v>
      </c>
      <c r="H2165" t="str">
        <f>IFERROR(INDEX(tEditais[UF],MATCH(tItens[[#This Row],[Edital]],tEditais[Edital],0)),"")</f>
        <v>GO</v>
      </c>
      <c r="I2165" s="11">
        <f>IFERROR(INDEX(tEditais[Encerramento],MATCH(tItens[[#This Row],[Edital]],tEditais[Edital],0)),"")</f>
        <v>46311.333333333336</v>
      </c>
      <c r="J2165" t="str">
        <f>IFERROR(INDEX(tProdutos[Classe],MATCH(tItens[[#This Row],[Produto]],tProdutos[Produto],0)),"produto não cadastrado")</f>
        <v>NÚCLEO</v>
      </c>
      <c r="K2165" s="12">
        <f>tItens[[#This Row],[Qtd]]*tItens[[#This Row],[Vlr unit]]</f>
        <v>4509</v>
      </c>
      <c r="L2165" s="6">
        <f>IFERROR(IF(INDEX(tProdutos[Desconto homologado],MATCH(tItens[[#This Row],[Produto]],tProdutos[Produto],0))="",DescontoPadrao,INDEX(tProdutos[Desconto homologado],MATCH(tItens[[#This Row],[Produto]],tProdutos[Produto],0))),DescontoPadrao)</f>
        <v>0.34</v>
      </c>
      <c r="M2165" s="12">
        <f>tItens[[#This Row],[Valor]]*(1-tItens[[#This Row],[Desconto]])</f>
        <v>2975.9399999999996</v>
      </c>
      <c r="N2165" t="str">
        <f>IFERROR(INDEX(tProdutos[Foco],MATCH(tItens[[#This Row],[Produto]],tProdutos[Produto],0)),"Não")</f>
        <v>Sim</v>
      </c>
      <c r="O2165" t="str">
        <f>IFERROR(INDEX(tEditais[SRP],MATCH(tItens[[#This Row],[Edital]],tEditais[Edital],0)),"Não")</f>
        <v>Sim</v>
      </c>
      <c r="P2165" s="4">
        <f>IF(COUNTIFS(INDEX(tItens[Edital],1):tItens[[#This Row],[Edital]],tItens[[#This Row],[Edital]],INDEX(tItens[Produto],1):tItens[[#This Row],[Produto]],tItens[[#This Row],[Produto]])=1,1,0)</f>
        <v>0</v>
      </c>
    </row>
    <row r="2166" spans="1:16" x14ac:dyDescent="0.25">
      <c r="A2166" t="s">
        <v>1209</v>
      </c>
      <c r="B2166">
        <v>208</v>
      </c>
      <c r="C2166" t="s">
        <v>5204</v>
      </c>
      <c r="D2166" t="s">
        <v>277</v>
      </c>
      <c r="E2166" s="13">
        <v>5000</v>
      </c>
      <c r="F2166" s="12">
        <v>27.5</v>
      </c>
      <c r="G2166" t="str">
        <f>IFERROR(INDEX(tEditais[Órgão],MATCH(tItens[[#This Row],[Edital]],tEditais[Edital],0)),"")</f>
        <v>FUNDO MUNICIPAL DE SAUDE</v>
      </c>
      <c r="H2166" t="str">
        <f>IFERROR(INDEX(tEditais[UF],MATCH(tItens[[#This Row],[Edital]],tEditais[Edital],0)),"")</f>
        <v>GO</v>
      </c>
      <c r="I2166" s="11">
        <f>IFERROR(INDEX(tEditais[Encerramento],MATCH(tItens[[#This Row],[Edital]],tEditais[Edital],0)),"")</f>
        <v>46311.333333333336</v>
      </c>
      <c r="J2166" t="str">
        <f>IFERROR(INDEX(tProdutos[Classe],MATCH(tItens[[#This Row],[Produto]],tProdutos[Produto],0)),"produto não cadastrado")</f>
        <v>DISPUTADO</v>
      </c>
      <c r="K2166" s="12">
        <f>tItens[[#This Row],[Qtd]]*tItens[[#This Row],[Vlr unit]]</f>
        <v>137500</v>
      </c>
      <c r="L2166" s="6">
        <f>IFERROR(IF(INDEX(tProdutos[Desconto homologado],MATCH(tItens[[#This Row],[Produto]],tProdutos[Produto],0))="",DescontoPadrao,INDEX(tProdutos[Desconto homologado],MATCH(tItens[[#This Row],[Produto]],tProdutos[Produto],0))),DescontoPadrao)</f>
        <v>0.50460666194188497</v>
      </c>
      <c r="M2166" s="12">
        <f>tItens[[#This Row],[Valor]]*(1-tItens[[#This Row],[Desconto]])</f>
        <v>68116.583982990822</v>
      </c>
      <c r="N2166" t="str">
        <f>IFERROR(INDEX(tProdutos[Foco],MATCH(tItens[[#This Row],[Produto]],tProdutos[Produto],0)),"Não")</f>
        <v>Não</v>
      </c>
      <c r="O2166" t="str">
        <f>IFERROR(INDEX(tEditais[SRP],MATCH(tItens[[#This Row],[Edital]],tEditais[Edital],0)),"Não")</f>
        <v>Sim</v>
      </c>
      <c r="P2166" s="4">
        <f>IF(COUNTIFS(INDEX(tItens[Edital],1):tItens[[#This Row],[Edital]],tItens[[#This Row],[Edital]],INDEX(tItens[Produto],1):tItens[[#This Row],[Produto]],tItens[[#This Row],[Produto]])=1,1,0)</f>
        <v>1</v>
      </c>
    </row>
    <row r="2167" spans="1:16" x14ac:dyDescent="0.25">
      <c r="A2167" t="s">
        <v>1209</v>
      </c>
      <c r="B2167">
        <v>210</v>
      </c>
      <c r="C2167" t="s">
        <v>5205</v>
      </c>
      <c r="D2167" t="s">
        <v>494</v>
      </c>
      <c r="E2167" s="13">
        <v>300</v>
      </c>
      <c r="F2167" s="12">
        <v>137.5</v>
      </c>
      <c r="G2167" t="str">
        <f>IFERROR(INDEX(tEditais[Órgão],MATCH(tItens[[#This Row],[Edital]],tEditais[Edital],0)),"")</f>
        <v>FUNDO MUNICIPAL DE SAUDE</v>
      </c>
      <c r="H2167" t="str">
        <f>IFERROR(INDEX(tEditais[UF],MATCH(tItens[[#This Row],[Edital]],tEditais[Edital],0)),"")</f>
        <v>GO</v>
      </c>
      <c r="I2167" s="11">
        <f>IFERROR(INDEX(tEditais[Encerramento],MATCH(tItens[[#This Row],[Edital]],tEditais[Edital],0)),"")</f>
        <v>46311.333333333336</v>
      </c>
      <c r="J2167" t="str">
        <f>IFERROR(INDEX(tProdutos[Classe],MATCH(tItens[[#This Row],[Produto]],tProdutos[Produto],0)),"produto não cadastrado")</f>
        <v>FILA REBASE</v>
      </c>
      <c r="K2167" s="12">
        <f>tItens[[#This Row],[Qtd]]*tItens[[#This Row],[Vlr unit]]</f>
        <v>41250</v>
      </c>
      <c r="L2167" s="6">
        <f>IFERROR(IF(INDEX(tProdutos[Desconto homologado],MATCH(tItens[[#This Row],[Produto]],tProdutos[Produto],0))="",DescontoPadrao,INDEX(tProdutos[Desconto homologado],MATCH(tItens[[#This Row],[Produto]],tProdutos[Produto],0))),DescontoPadrao)</f>
        <v>0.253736324829619</v>
      </c>
      <c r="M2167" s="12">
        <f>tItens[[#This Row],[Valor]]*(1-tItens[[#This Row],[Desconto]])</f>
        <v>30783.376600778218</v>
      </c>
      <c r="N2167" t="str">
        <f>IFERROR(INDEX(tProdutos[Foco],MATCH(tItens[[#This Row],[Produto]],tProdutos[Produto],0)),"Não")</f>
        <v>Não</v>
      </c>
      <c r="O2167" t="str">
        <f>IFERROR(INDEX(tEditais[SRP],MATCH(tItens[[#This Row],[Edital]],tEditais[Edital],0)),"Não")</f>
        <v>Sim</v>
      </c>
      <c r="P2167" s="4">
        <f>IF(COUNTIFS(INDEX(tItens[Edital],1):tItens[[#This Row],[Edital]],tItens[[#This Row],[Edital]],INDEX(tItens[Produto],1):tItens[[#This Row],[Produto]],tItens[[#This Row],[Produto]])=1,1,0)</f>
        <v>1</v>
      </c>
    </row>
    <row r="2168" spans="1:16" x14ac:dyDescent="0.25">
      <c r="A2168" t="s">
        <v>1209</v>
      </c>
      <c r="B2168">
        <v>211</v>
      </c>
      <c r="C2168" t="s">
        <v>5206</v>
      </c>
      <c r="D2168" t="s">
        <v>494</v>
      </c>
      <c r="E2168" s="13">
        <v>300</v>
      </c>
      <c r="F2168" s="12">
        <v>194.17</v>
      </c>
      <c r="G2168" t="str">
        <f>IFERROR(INDEX(tEditais[Órgão],MATCH(tItens[[#This Row],[Edital]],tEditais[Edital],0)),"")</f>
        <v>FUNDO MUNICIPAL DE SAUDE</v>
      </c>
      <c r="H2168" t="str">
        <f>IFERROR(INDEX(tEditais[UF],MATCH(tItens[[#This Row],[Edital]],tEditais[Edital],0)),"")</f>
        <v>GO</v>
      </c>
      <c r="I2168" s="11">
        <f>IFERROR(INDEX(tEditais[Encerramento],MATCH(tItens[[#This Row],[Edital]],tEditais[Edital],0)),"")</f>
        <v>46311.333333333336</v>
      </c>
      <c r="J2168" t="str">
        <f>IFERROR(INDEX(tProdutos[Classe],MATCH(tItens[[#This Row],[Produto]],tProdutos[Produto],0)),"produto não cadastrado")</f>
        <v>FILA REBASE</v>
      </c>
      <c r="K2168" s="12">
        <f>tItens[[#This Row],[Qtd]]*tItens[[#This Row],[Vlr unit]]</f>
        <v>58250.999999999993</v>
      </c>
      <c r="L2168" s="6">
        <f>IFERROR(IF(INDEX(tProdutos[Desconto homologado],MATCH(tItens[[#This Row],[Produto]],tProdutos[Produto],0))="",DescontoPadrao,INDEX(tProdutos[Desconto homologado],MATCH(tItens[[#This Row],[Produto]],tProdutos[Produto],0))),DescontoPadrao)</f>
        <v>0.253736324829619</v>
      </c>
      <c r="M2168" s="12">
        <f>tItens[[#This Row],[Valor]]*(1-tItens[[#This Row],[Desconto]])</f>
        <v>43470.60534234986</v>
      </c>
      <c r="N2168" t="str">
        <f>IFERROR(INDEX(tProdutos[Foco],MATCH(tItens[[#This Row],[Produto]],tProdutos[Produto],0)),"Não")</f>
        <v>Não</v>
      </c>
      <c r="O2168" t="str">
        <f>IFERROR(INDEX(tEditais[SRP],MATCH(tItens[[#This Row],[Edital]],tEditais[Edital],0)),"Não")</f>
        <v>Sim</v>
      </c>
      <c r="P2168" s="4">
        <f>IF(COUNTIFS(INDEX(tItens[Edital],1):tItens[[#This Row],[Edital]],tItens[[#This Row],[Edital]],INDEX(tItens[Produto],1):tItens[[#This Row],[Produto]],tItens[[#This Row],[Produto]])=1,1,0)</f>
        <v>0</v>
      </c>
    </row>
    <row r="2169" spans="1:16" x14ac:dyDescent="0.25">
      <c r="A2169" t="s">
        <v>1209</v>
      </c>
      <c r="B2169">
        <v>212</v>
      </c>
      <c r="C2169" t="s">
        <v>5207</v>
      </c>
      <c r="D2169" t="s">
        <v>494</v>
      </c>
      <c r="E2169" s="13">
        <v>300</v>
      </c>
      <c r="F2169" s="12">
        <v>154.13</v>
      </c>
      <c r="G2169" t="str">
        <f>IFERROR(INDEX(tEditais[Órgão],MATCH(tItens[[#This Row],[Edital]],tEditais[Edital],0)),"")</f>
        <v>FUNDO MUNICIPAL DE SAUDE</v>
      </c>
      <c r="H2169" t="str">
        <f>IFERROR(INDEX(tEditais[UF],MATCH(tItens[[#This Row],[Edital]],tEditais[Edital],0)),"")</f>
        <v>GO</v>
      </c>
      <c r="I2169" s="11">
        <f>IFERROR(INDEX(tEditais[Encerramento],MATCH(tItens[[#This Row],[Edital]],tEditais[Edital],0)),"")</f>
        <v>46311.333333333336</v>
      </c>
      <c r="J2169" t="str">
        <f>IFERROR(INDEX(tProdutos[Classe],MATCH(tItens[[#This Row],[Produto]],tProdutos[Produto],0)),"produto não cadastrado")</f>
        <v>FILA REBASE</v>
      </c>
      <c r="K2169" s="12">
        <f>tItens[[#This Row],[Qtd]]*tItens[[#This Row],[Vlr unit]]</f>
        <v>46239</v>
      </c>
      <c r="L2169" s="6">
        <f>IFERROR(IF(INDEX(tProdutos[Desconto homologado],MATCH(tItens[[#This Row],[Produto]],tProdutos[Produto],0))="",DescontoPadrao,INDEX(tProdutos[Desconto homologado],MATCH(tItens[[#This Row],[Produto]],tProdutos[Produto],0))),DescontoPadrao)</f>
        <v>0.253736324829619</v>
      </c>
      <c r="M2169" s="12">
        <f>tItens[[#This Row],[Valor]]*(1-tItens[[#This Row],[Desconto]])</f>
        <v>34506.486076203248</v>
      </c>
      <c r="N2169" t="str">
        <f>IFERROR(INDEX(tProdutos[Foco],MATCH(tItens[[#This Row],[Produto]],tProdutos[Produto],0)),"Não")</f>
        <v>Não</v>
      </c>
      <c r="O2169" t="str">
        <f>IFERROR(INDEX(tEditais[SRP],MATCH(tItens[[#This Row],[Edital]],tEditais[Edital],0)),"Não")</f>
        <v>Sim</v>
      </c>
      <c r="P2169" s="4">
        <f>IF(COUNTIFS(INDEX(tItens[Edital],1):tItens[[#This Row],[Edital]],tItens[[#This Row],[Edital]],INDEX(tItens[Produto],1):tItens[[#This Row],[Produto]],tItens[[#This Row],[Produto]])=1,1,0)</f>
        <v>0</v>
      </c>
    </row>
    <row r="2170" spans="1:16" x14ac:dyDescent="0.25">
      <c r="A2170" t="s">
        <v>1209</v>
      </c>
      <c r="B2170">
        <v>213</v>
      </c>
      <c r="C2170" t="s">
        <v>5208</v>
      </c>
      <c r="D2170" t="s">
        <v>267</v>
      </c>
      <c r="E2170" s="13">
        <v>3000</v>
      </c>
      <c r="F2170" s="12">
        <v>13.08</v>
      </c>
      <c r="G2170" t="str">
        <f>IFERROR(INDEX(tEditais[Órgão],MATCH(tItens[[#This Row],[Edital]],tEditais[Edital],0)),"")</f>
        <v>FUNDO MUNICIPAL DE SAUDE</v>
      </c>
      <c r="H2170" t="str">
        <f>IFERROR(INDEX(tEditais[UF],MATCH(tItens[[#This Row],[Edital]],tEditais[Edital],0)),"")</f>
        <v>GO</v>
      </c>
      <c r="I2170" s="11">
        <f>IFERROR(INDEX(tEditais[Encerramento],MATCH(tItens[[#This Row],[Edital]],tEditais[Edital],0)),"")</f>
        <v>46311.333333333336</v>
      </c>
      <c r="J2170" t="str">
        <f>IFERROR(INDEX(tProdutos[Classe],MATCH(tItens[[#This Row],[Produto]],tProdutos[Produto],0)),"produto não cadastrado")</f>
        <v>FORA</v>
      </c>
      <c r="K2170" s="12">
        <f>tItens[[#This Row],[Qtd]]*tItens[[#This Row],[Vlr unit]]</f>
        <v>39240</v>
      </c>
      <c r="L2170" s="6">
        <f>IFERROR(IF(INDEX(tProdutos[Desconto homologado],MATCH(tItens[[#This Row],[Produto]],tProdutos[Produto],0))="",DescontoPadrao,INDEX(tProdutos[Desconto homologado],MATCH(tItens[[#This Row],[Produto]],tProdutos[Produto],0))),DescontoPadrao)</f>
        <v>0.19963672657401599</v>
      </c>
      <c r="M2170" s="12">
        <f>tItens[[#This Row],[Valor]]*(1-tItens[[#This Row],[Desconto]])</f>
        <v>31406.254849235611</v>
      </c>
      <c r="N2170" t="str">
        <f>IFERROR(INDEX(tProdutos[Foco],MATCH(tItens[[#This Row],[Produto]],tProdutos[Produto],0)),"Não")</f>
        <v>Não</v>
      </c>
      <c r="O2170" t="str">
        <f>IFERROR(INDEX(tEditais[SRP],MATCH(tItens[[#This Row],[Edital]],tEditais[Edital],0)),"Não")</f>
        <v>Sim</v>
      </c>
      <c r="P2170" s="4">
        <f>IF(COUNTIFS(INDEX(tItens[Edital],1):tItens[[#This Row],[Edital]],tItens[[#This Row],[Edital]],INDEX(tItens[Produto],1):tItens[[#This Row],[Produto]],tItens[[#This Row],[Produto]])=1,1,0)</f>
        <v>1</v>
      </c>
    </row>
    <row r="2171" spans="1:16" x14ac:dyDescent="0.25">
      <c r="A2171" t="s">
        <v>1209</v>
      </c>
      <c r="B2171">
        <v>215</v>
      </c>
      <c r="C2171" t="s">
        <v>5209</v>
      </c>
      <c r="D2171" t="s">
        <v>694</v>
      </c>
      <c r="E2171" s="13">
        <v>5</v>
      </c>
      <c r="F2171" s="12">
        <v>182.57</v>
      </c>
      <c r="G2171" t="str">
        <f>IFERROR(INDEX(tEditais[Órgão],MATCH(tItens[[#This Row],[Edital]],tEditais[Edital],0)),"")</f>
        <v>FUNDO MUNICIPAL DE SAUDE</v>
      </c>
      <c r="H2171" t="str">
        <f>IFERROR(INDEX(tEditais[UF],MATCH(tItens[[#This Row],[Edital]],tEditais[Edital],0)),"")</f>
        <v>GO</v>
      </c>
      <c r="I2171" s="11">
        <f>IFERROR(INDEX(tEditais[Encerramento],MATCH(tItens[[#This Row],[Edital]],tEditais[Edital],0)),"")</f>
        <v>46311.333333333336</v>
      </c>
      <c r="J2171" t="str">
        <f>IFERROR(INDEX(tProdutos[Classe],MATCH(tItens[[#This Row],[Produto]],tProdutos[Produto],0)),"produto não cadastrado")</f>
        <v>FILA REBASE</v>
      </c>
      <c r="K2171" s="12">
        <f>tItens[[#This Row],[Qtd]]*tItens[[#This Row],[Vlr unit]]</f>
        <v>912.84999999999991</v>
      </c>
      <c r="L2171" s="6">
        <f>IFERROR(IF(INDEX(tProdutos[Desconto homologado],MATCH(tItens[[#This Row],[Produto]],tProdutos[Produto],0))="",DescontoPadrao,INDEX(tProdutos[Desconto homologado],MATCH(tItens[[#This Row],[Produto]],tProdutos[Produto],0))),DescontoPadrao)</f>
        <v>0.61577111781048699</v>
      </c>
      <c r="M2171" s="12">
        <f>tItens[[#This Row],[Valor]]*(1-tItens[[#This Row],[Desconto]])</f>
        <v>350.74333510669692</v>
      </c>
      <c r="N2171" t="str">
        <f>IFERROR(INDEX(tProdutos[Foco],MATCH(tItens[[#This Row],[Produto]],tProdutos[Produto],0)),"Não")</f>
        <v>Não</v>
      </c>
      <c r="O2171" t="str">
        <f>IFERROR(INDEX(tEditais[SRP],MATCH(tItens[[#This Row],[Edital]],tEditais[Edital],0)),"Não")</f>
        <v>Sim</v>
      </c>
      <c r="P2171" s="4">
        <f>IF(COUNTIFS(INDEX(tItens[Edital],1):tItens[[#This Row],[Edital]],tItens[[#This Row],[Edital]],INDEX(tItens[Produto],1):tItens[[#This Row],[Produto]],tItens[[#This Row],[Produto]])=1,1,0)</f>
        <v>1</v>
      </c>
    </row>
    <row r="2172" spans="1:16" x14ac:dyDescent="0.25">
      <c r="A2172" t="s">
        <v>1209</v>
      </c>
      <c r="B2172">
        <v>231</v>
      </c>
      <c r="C2172" t="s">
        <v>5210</v>
      </c>
      <c r="D2172" t="s">
        <v>170</v>
      </c>
      <c r="E2172" s="13">
        <v>300</v>
      </c>
      <c r="F2172" s="12">
        <v>44.01</v>
      </c>
      <c r="G2172" t="str">
        <f>IFERROR(INDEX(tEditais[Órgão],MATCH(tItens[[#This Row],[Edital]],tEditais[Edital],0)),"")</f>
        <v>FUNDO MUNICIPAL DE SAUDE</v>
      </c>
      <c r="H2172" t="str">
        <f>IFERROR(INDEX(tEditais[UF],MATCH(tItens[[#This Row],[Edital]],tEditais[Edital],0)),"")</f>
        <v>GO</v>
      </c>
      <c r="I2172" s="11">
        <f>IFERROR(INDEX(tEditais[Encerramento],MATCH(tItens[[#This Row],[Edital]],tEditais[Edital],0)),"")</f>
        <v>46311.333333333336</v>
      </c>
      <c r="J2172" t="str">
        <f>IFERROR(INDEX(tProdutos[Classe],MATCH(tItens[[#This Row],[Produto]],tProdutos[Produto],0)),"produto não cadastrado")</f>
        <v>DISPUTADO</v>
      </c>
      <c r="K2172" s="12">
        <f>tItens[[#This Row],[Qtd]]*tItens[[#This Row],[Vlr unit]]</f>
        <v>13203</v>
      </c>
      <c r="L2172" s="6">
        <f>IFERROR(IF(INDEX(tProdutos[Desconto homologado],MATCH(tItens[[#This Row],[Produto]],tProdutos[Produto],0))="",DescontoPadrao,INDEX(tProdutos[Desconto homologado],MATCH(tItens[[#This Row],[Produto]],tProdutos[Produto],0))),DescontoPadrao)</f>
        <v>0.36</v>
      </c>
      <c r="M2172" s="12">
        <f>tItens[[#This Row],[Valor]]*(1-tItens[[#This Row],[Desconto]])</f>
        <v>8449.92</v>
      </c>
      <c r="N2172" t="str">
        <f>IFERROR(INDEX(tProdutos[Foco],MATCH(tItens[[#This Row],[Produto]],tProdutos[Produto],0)),"Não")</f>
        <v>Sim</v>
      </c>
      <c r="O2172" t="str">
        <f>IFERROR(INDEX(tEditais[SRP],MATCH(tItens[[#This Row],[Edital]],tEditais[Edital],0)),"Não")</f>
        <v>Sim</v>
      </c>
      <c r="P2172" s="4">
        <f>IF(COUNTIFS(INDEX(tItens[Edital],1):tItens[[#This Row],[Edital]],tItens[[#This Row],[Edital]],INDEX(tItens[Produto],1):tItens[[#This Row],[Produto]],tItens[[#This Row],[Produto]])=1,1,0)</f>
        <v>1</v>
      </c>
    </row>
    <row r="2173" spans="1:16" x14ac:dyDescent="0.25">
      <c r="A2173" t="s">
        <v>1209</v>
      </c>
      <c r="B2173">
        <v>232</v>
      </c>
      <c r="C2173" t="s">
        <v>5211</v>
      </c>
      <c r="D2173" t="s">
        <v>170</v>
      </c>
      <c r="E2173" s="13">
        <v>300</v>
      </c>
      <c r="F2173" s="12">
        <v>43.61</v>
      </c>
      <c r="G2173" t="str">
        <f>IFERROR(INDEX(tEditais[Órgão],MATCH(tItens[[#This Row],[Edital]],tEditais[Edital],0)),"")</f>
        <v>FUNDO MUNICIPAL DE SAUDE</v>
      </c>
      <c r="H2173" t="str">
        <f>IFERROR(INDEX(tEditais[UF],MATCH(tItens[[#This Row],[Edital]],tEditais[Edital],0)),"")</f>
        <v>GO</v>
      </c>
      <c r="I2173" s="11">
        <f>IFERROR(INDEX(tEditais[Encerramento],MATCH(tItens[[#This Row],[Edital]],tEditais[Edital],0)),"")</f>
        <v>46311.333333333336</v>
      </c>
      <c r="J2173" t="str">
        <f>IFERROR(INDEX(tProdutos[Classe],MATCH(tItens[[#This Row],[Produto]],tProdutos[Produto],0)),"produto não cadastrado")</f>
        <v>DISPUTADO</v>
      </c>
      <c r="K2173" s="12">
        <f>tItens[[#This Row],[Qtd]]*tItens[[#This Row],[Vlr unit]]</f>
        <v>13083</v>
      </c>
      <c r="L2173" s="6">
        <f>IFERROR(IF(INDEX(tProdutos[Desconto homologado],MATCH(tItens[[#This Row],[Produto]],tProdutos[Produto],0))="",DescontoPadrao,INDEX(tProdutos[Desconto homologado],MATCH(tItens[[#This Row],[Produto]],tProdutos[Produto],0))),DescontoPadrao)</f>
        <v>0.36</v>
      </c>
      <c r="M2173" s="12">
        <f>tItens[[#This Row],[Valor]]*(1-tItens[[#This Row],[Desconto]])</f>
        <v>8373.1200000000008</v>
      </c>
      <c r="N2173" t="str">
        <f>IFERROR(INDEX(tProdutos[Foco],MATCH(tItens[[#This Row],[Produto]],tProdutos[Produto],0)),"Não")</f>
        <v>Sim</v>
      </c>
      <c r="O2173" t="str">
        <f>IFERROR(INDEX(tEditais[SRP],MATCH(tItens[[#This Row],[Edital]],tEditais[Edital],0)),"Não")</f>
        <v>Sim</v>
      </c>
      <c r="P2173" s="4">
        <f>IF(COUNTIFS(INDEX(tItens[Edital],1):tItens[[#This Row],[Edital]],tItens[[#This Row],[Edital]],INDEX(tItens[Produto],1):tItens[[#This Row],[Produto]],tItens[[#This Row],[Produto]])=1,1,0)</f>
        <v>0</v>
      </c>
    </row>
    <row r="2174" spans="1:16" x14ac:dyDescent="0.25">
      <c r="A2174" t="s">
        <v>1209</v>
      </c>
      <c r="B2174">
        <v>233</v>
      </c>
      <c r="C2174" t="s">
        <v>5212</v>
      </c>
      <c r="D2174" t="s">
        <v>170</v>
      </c>
      <c r="E2174" s="13">
        <v>300</v>
      </c>
      <c r="F2174" s="12">
        <v>38.28</v>
      </c>
      <c r="G2174" t="str">
        <f>IFERROR(INDEX(tEditais[Órgão],MATCH(tItens[[#This Row],[Edital]],tEditais[Edital],0)),"")</f>
        <v>FUNDO MUNICIPAL DE SAUDE</v>
      </c>
      <c r="H2174" t="str">
        <f>IFERROR(INDEX(tEditais[UF],MATCH(tItens[[#This Row],[Edital]],tEditais[Edital],0)),"")</f>
        <v>GO</v>
      </c>
      <c r="I2174" s="11">
        <f>IFERROR(INDEX(tEditais[Encerramento],MATCH(tItens[[#This Row],[Edital]],tEditais[Edital],0)),"")</f>
        <v>46311.333333333336</v>
      </c>
      <c r="J2174" t="str">
        <f>IFERROR(INDEX(tProdutos[Classe],MATCH(tItens[[#This Row],[Produto]],tProdutos[Produto],0)),"produto não cadastrado")</f>
        <v>DISPUTADO</v>
      </c>
      <c r="K2174" s="12">
        <f>tItens[[#This Row],[Qtd]]*tItens[[#This Row],[Vlr unit]]</f>
        <v>11484</v>
      </c>
      <c r="L2174" s="6">
        <f>IFERROR(IF(INDEX(tProdutos[Desconto homologado],MATCH(tItens[[#This Row],[Produto]],tProdutos[Produto],0))="",DescontoPadrao,INDEX(tProdutos[Desconto homologado],MATCH(tItens[[#This Row],[Produto]],tProdutos[Produto],0))),DescontoPadrao)</f>
        <v>0.36</v>
      </c>
      <c r="M2174" s="12">
        <f>tItens[[#This Row],[Valor]]*(1-tItens[[#This Row],[Desconto]])</f>
        <v>7349.76</v>
      </c>
      <c r="N2174" t="str">
        <f>IFERROR(INDEX(tProdutos[Foco],MATCH(tItens[[#This Row],[Produto]],tProdutos[Produto],0)),"Não")</f>
        <v>Sim</v>
      </c>
      <c r="O2174" t="str">
        <f>IFERROR(INDEX(tEditais[SRP],MATCH(tItens[[#This Row],[Edital]],tEditais[Edital],0)),"Não")</f>
        <v>Sim</v>
      </c>
      <c r="P2174" s="4">
        <f>IF(COUNTIFS(INDEX(tItens[Edital],1):tItens[[#This Row],[Edital]],tItens[[#This Row],[Edital]],INDEX(tItens[Produto],1):tItens[[#This Row],[Produto]],tItens[[#This Row],[Produto]])=1,1,0)</f>
        <v>0</v>
      </c>
    </row>
    <row r="2175" spans="1:16" x14ac:dyDescent="0.25">
      <c r="A2175" t="s">
        <v>1209</v>
      </c>
      <c r="B2175">
        <v>234</v>
      </c>
      <c r="C2175" t="s">
        <v>5213</v>
      </c>
      <c r="D2175" t="s">
        <v>399</v>
      </c>
      <c r="E2175" s="13">
        <v>1000</v>
      </c>
      <c r="F2175" s="12">
        <v>53.26</v>
      </c>
      <c r="G2175" t="str">
        <f>IFERROR(INDEX(tEditais[Órgão],MATCH(tItens[[#This Row],[Edital]],tEditais[Edital],0)),"")</f>
        <v>FUNDO MUNICIPAL DE SAUDE</v>
      </c>
      <c r="H2175" t="str">
        <f>IFERROR(INDEX(tEditais[UF],MATCH(tItens[[#This Row],[Edital]],tEditais[Edital],0)),"")</f>
        <v>GO</v>
      </c>
      <c r="I2175" s="11">
        <f>IFERROR(INDEX(tEditais[Encerramento],MATCH(tItens[[#This Row],[Edital]],tEditais[Edital],0)),"")</f>
        <v>46311.333333333336</v>
      </c>
      <c r="J2175" t="str">
        <f>IFERROR(INDEX(tProdutos[Classe],MATCH(tItens[[#This Row],[Produto]],tProdutos[Produto],0)),"produto não cadastrado")</f>
        <v>FORA</v>
      </c>
      <c r="K2175" s="12">
        <f>tItens[[#This Row],[Qtd]]*tItens[[#This Row],[Vlr unit]]</f>
        <v>53260</v>
      </c>
      <c r="L2175" s="6">
        <f>IFERROR(IF(INDEX(tProdutos[Desconto homologado],MATCH(tItens[[#This Row],[Produto]],tProdutos[Produto],0))="",DescontoPadrao,INDEX(tProdutos[Desconto homologado],MATCH(tItens[[#This Row],[Produto]],tProdutos[Produto],0))),DescontoPadrao)</f>
        <v>0.30009041591320101</v>
      </c>
      <c r="M2175" s="12">
        <f>tItens[[#This Row],[Valor]]*(1-tItens[[#This Row],[Desconto]])</f>
        <v>37277.184448462918</v>
      </c>
      <c r="N2175" t="str">
        <f>IFERROR(INDEX(tProdutos[Foco],MATCH(tItens[[#This Row],[Produto]],tProdutos[Produto],0)),"Não")</f>
        <v>Não</v>
      </c>
      <c r="O2175" t="str">
        <f>IFERROR(INDEX(tEditais[SRP],MATCH(tItens[[#This Row],[Edital]],tEditais[Edital],0)),"Não")</f>
        <v>Sim</v>
      </c>
      <c r="P2175" s="4">
        <f>IF(COUNTIFS(INDEX(tItens[Edital],1):tItens[[#This Row],[Edital]],tItens[[#This Row],[Edital]],INDEX(tItens[Produto],1):tItens[[#This Row],[Produto]],tItens[[#This Row],[Produto]])=1,1,0)</f>
        <v>1</v>
      </c>
    </row>
    <row r="2176" spans="1:16" x14ac:dyDescent="0.25">
      <c r="A2176" t="s">
        <v>1209</v>
      </c>
      <c r="B2176">
        <v>235</v>
      </c>
      <c r="C2176" t="s">
        <v>5214</v>
      </c>
      <c r="D2176" t="s">
        <v>293</v>
      </c>
      <c r="E2176" s="13">
        <v>200</v>
      </c>
      <c r="F2176" s="12">
        <v>26.79</v>
      </c>
      <c r="G2176" t="str">
        <f>IFERROR(INDEX(tEditais[Órgão],MATCH(tItens[[#This Row],[Edital]],tEditais[Edital],0)),"")</f>
        <v>FUNDO MUNICIPAL DE SAUDE</v>
      </c>
      <c r="H2176" t="str">
        <f>IFERROR(INDEX(tEditais[UF],MATCH(tItens[[#This Row],[Edital]],tEditais[Edital],0)),"")</f>
        <v>GO</v>
      </c>
      <c r="I2176" s="11">
        <f>IFERROR(INDEX(tEditais[Encerramento],MATCH(tItens[[#This Row],[Edital]],tEditais[Edital],0)),"")</f>
        <v>46311.333333333336</v>
      </c>
      <c r="J2176" t="str">
        <f>IFERROR(INDEX(tProdutos[Classe],MATCH(tItens[[#This Row],[Produto]],tProdutos[Produto],0)),"produto não cadastrado")</f>
        <v>FORA</v>
      </c>
      <c r="K2176" s="12">
        <f>tItens[[#This Row],[Qtd]]*tItens[[#This Row],[Vlr unit]]</f>
        <v>5358</v>
      </c>
      <c r="L2176" s="6">
        <f>IFERROR(IF(INDEX(tProdutos[Desconto homologado],MATCH(tItens[[#This Row],[Produto]],tProdutos[Produto],0))="",DescontoPadrao,INDEX(tProdutos[Desconto homologado],MATCH(tItens[[#This Row],[Produto]],tProdutos[Produto],0))),DescontoPadrao)</f>
        <v>0.45236440369319098</v>
      </c>
      <c r="M2176" s="12">
        <f>tItens[[#This Row],[Valor]]*(1-tItens[[#This Row],[Desconto]])</f>
        <v>2934.2315250118827</v>
      </c>
      <c r="N2176" t="str">
        <f>IFERROR(INDEX(tProdutos[Foco],MATCH(tItens[[#This Row],[Produto]],tProdutos[Produto],0)),"Não")</f>
        <v>Não</v>
      </c>
      <c r="O2176" t="str">
        <f>IFERROR(INDEX(tEditais[SRP],MATCH(tItens[[#This Row],[Edital]],tEditais[Edital],0)),"Não")</f>
        <v>Sim</v>
      </c>
      <c r="P2176" s="4">
        <f>IF(COUNTIFS(INDEX(tItens[Edital],1):tItens[[#This Row],[Edital]],tItens[[#This Row],[Edital]],INDEX(tItens[Produto],1):tItens[[#This Row],[Produto]],tItens[[#This Row],[Produto]])=1,1,0)</f>
        <v>1</v>
      </c>
    </row>
    <row r="2177" spans="1:16" x14ac:dyDescent="0.25">
      <c r="A2177" t="s">
        <v>1209</v>
      </c>
      <c r="B2177">
        <v>236</v>
      </c>
      <c r="C2177" t="s">
        <v>5215</v>
      </c>
      <c r="D2177" t="s">
        <v>223</v>
      </c>
      <c r="E2177" s="13">
        <v>200</v>
      </c>
      <c r="F2177" s="12">
        <v>27.95</v>
      </c>
      <c r="G2177" t="str">
        <f>IFERROR(INDEX(tEditais[Órgão],MATCH(tItens[[#This Row],[Edital]],tEditais[Edital],0)),"")</f>
        <v>FUNDO MUNICIPAL DE SAUDE</v>
      </c>
      <c r="H2177" t="str">
        <f>IFERROR(INDEX(tEditais[UF],MATCH(tItens[[#This Row],[Edital]],tEditais[Edital],0)),"")</f>
        <v>GO</v>
      </c>
      <c r="I2177" s="11">
        <f>IFERROR(INDEX(tEditais[Encerramento],MATCH(tItens[[#This Row],[Edital]],tEditais[Edital],0)),"")</f>
        <v>46311.333333333336</v>
      </c>
      <c r="J2177" t="str">
        <f>IFERROR(INDEX(tProdutos[Classe],MATCH(tItens[[#This Row],[Produto]],tProdutos[Produto],0)),"produto não cadastrado")</f>
        <v>FORA</v>
      </c>
      <c r="K2177" s="12">
        <f>tItens[[#This Row],[Qtd]]*tItens[[#This Row],[Vlr unit]]</f>
        <v>5590</v>
      </c>
      <c r="L2177" s="6">
        <f>IFERROR(IF(INDEX(tProdutos[Desconto homologado],MATCH(tItens[[#This Row],[Produto]],tProdutos[Produto],0))="",DescontoPadrao,INDEX(tProdutos[Desconto homologado],MATCH(tItens[[#This Row],[Produto]],tProdutos[Produto],0))),DescontoPadrao)</f>
        <v>0.36263736263736301</v>
      </c>
      <c r="M2177" s="12">
        <f>tItens[[#This Row],[Valor]]*(1-tItens[[#This Row],[Desconto]])</f>
        <v>3562.8571428571408</v>
      </c>
      <c r="N2177" t="str">
        <f>IFERROR(INDEX(tProdutos[Foco],MATCH(tItens[[#This Row],[Produto]],tProdutos[Produto],0)),"Não")</f>
        <v>Não</v>
      </c>
      <c r="O2177" t="str">
        <f>IFERROR(INDEX(tEditais[SRP],MATCH(tItens[[#This Row],[Edital]],tEditais[Edital],0)),"Não")</f>
        <v>Sim</v>
      </c>
      <c r="P2177" s="4">
        <f>IF(COUNTIFS(INDEX(tItens[Edital],1):tItens[[#This Row],[Edital]],tItens[[#This Row],[Edital]],INDEX(tItens[Produto],1):tItens[[#This Row],[Produto]],tItens[[#This Row],[Produto]])=1,1,0)</f>
        <v>1</v>
      </c>
    </row>
    <row r="2178" spans="1:16" x14ac:dyDescent="0.25">
      <c r="A2178" t="s">
        <v>1209</v>
      </c>
      <c r="B2178">
        <v>237</v>
      </c>
      <c r="C2178" t="s">
        <v>5216</v>
      </c>
      <c r="D2178" t="s">
        <v>399</v>
      </c>
      <c r="E2178" s="13">
        <v>500</v>
      </c>
      <c r="F2178" s="12">
        <v>46.92</v>
      </c>
      <c r="G2178" t="str">
        <f>IFERROR(INDEX(tEditais[Órgão],MATCH(tItens[[#This Row],[Edital]],tEditais[Edital],0)),"")</f>
        <v>FUNDO MUNICIPAL DE SAUDE</v>
      </c>
      <c r="H2178" t="str">
        <f>IFERROR(INDEX(tEditais[UF],MATCH(tItens[[#This Row],[Edital]],tEditais[Edital],0)),"")</f>
        <v>GO</v>
      </c>
      <c r="I2178" s="11">
        <f>IFERROR(INDEX(tEditais[Encerramento],MATCH(tItens[[#This Row],[Edital]],tEditais[Edital],0)),"")</f>
        <v>46311.333333333336</v>
      </c>
      <c r="J2178" t="str">
        <f>IFERROR(INDEX(tProdutos[Classe],MATCH(tItens[[#This Row],[Produto]],tProdutos[Produto],0)),"produto não cadastrado")</f>
        <v>FORA</v>
      </c>
      <c r="K2178" s="12">
        <f>tItens[[#This Row],[Qtd]]*tItens[[#This Row],[Vlr unit]]</f>
        <v>23460</v>
      </c>
      <c r="L2178" s="6">
        <f>IFERROR(IF(INDEX(tProdutos[Desconto homologado],MATCH(tItens[[#This Row],[Produto]],tProdutos[Produto],0))="",DescontoPadrao,INDEX(tProdutos[Desconto homologado],MATCH(tItens[[#This Row],[Produto]],tProdutos[Produto],0))),DescontoPadrao)</f>
        <v>0.30009041591320101</v>
      </c>
      <c r="M2178" s="12">
        <f>tItens[[#This Row],[Valor]]*(1-tItens[[#This Row],[Desconto]])</f>
        <v>16419.878842676306</v>
      </c>
      <c r="N2178" t="str">
        <f>IFERROR(INDEX(tProdutos[Foco],MATCH(tItens[[#This Row],[Produto]],tProdutos[Produto],0)),"Não")</f>
        <v>Não</v>
      </c>
      <c r="O2178" t="str">
        <f>IFERROR(INDEX(tEditais[SRP],MATCH(tItens[[#This Row],[Edital]],tEditais[Edital],0)),"Não")</f>
        <v>Sim</v>
      </c>
      <c r="P2178" s="4">
        <f>IF(COUNTIFS(INDEX(tItens[Edital],1):tItens[[#This Row],[Edital]],tItens[[#This Row],[Edital]],INDEX(tItens[Produto],1):tItens[[#This Row],[Produto]],tItens[[#This Row],[Produto]])=1,1,0)</f>
        <v>0</v>
      </c>
    </row>
    <row r="2179" spans="1:16" x14ac:dyDescent="0.25">
      <c r="A2179" t="s">
        <v>1212</v>
      </c>
      <c r="B2179">
        <v>8</v>
      </c>
      <c r="C2179" t="s">
        <v>5217</v>
      </c>
      <c r="D2179" t="s">
        <v>682</v>
      </c>
      <c r="E2179" s="13">
        <v>2</v>
      </c>
      <c r="F2179" s="12">
        <v>606.83000000000004</v>
      </c>
      <c r="G2179" t="str">
        <f>IFERROR(INDEX(tEditais[Órgão],MATCH(tItens[[#This Row],[Edital]],tEditais[Edital],0)),"")</f>
        <v>FUNDO MUNICIPAL DE SAUDE DE MOSSAMEDES</v>
      </c>
      <c r="H2179" t="str">
        <f>IFERROR(INDEX(tEditais[UF],MATCH(tItens[[#This Row],[Edital]],tEditais[Edital],0)),"")</f>
        <v>GO</v>
      </c>
      <c r="I2179" s="11">
        <f>IFERROR(INDEX(tEditais[Encerramento],MATCH(tItens[[#This Row],[Edital]],tEditais[Edital],0)),"")</f>
        <v>46311.333333333336</v>
      </c>
      <c r="J2179" t="str">
        <f>IFERROR(INDEX(tProdutos[Classe],MATCH(tItens[[#This Row],[Produto]],tProdutos[Produto],0)),"produto não cadastrado")</f>
        <v>FILA REBASE</v>
      </c>
      <c r="K2179" s="12">
        <f>tItens[[#This Row],[Qtd]]*tItens[[#This Row],[Vlr unit]]</f>
        <v>1213.6600000000001</v>
      </c>
      <c r="L2179" s="6">
        <f>IFERROR(IF(INDEX(tProdutos[Desconto homologado],MATCH(tItens[[#This Row],[Produto]],tProdutos[Produto],0))="",DescontoPadrao,INDEX(tProdutos[Desconto homologado],MATCH(tItens[[#This Row],[Produto]],tProdutos[Produto],0))),DescontoPadrao)</f>
        <v>0.3</v>
      </c>
      <c r="M2179" s="12">
        <f>tItens[[#This Row],[Valor]]*(1-tItens[[#This Row],[Desconto]])</f>
        <v>849.56200000000001</v>
      </c>
      <c r="N2179" t="str">
        <f>IFERROR(INDEX(tProdutos[Foco],MATCH(tItens[[#This Row],[Produto]],tProdutos[Produto],0)),"Não")</f>
        <v>Não</v>
      </c>
      <c r="O2179" t="str">
        <f>IFERROR(INDEX(tEditais[SRP],MATCH(tItens[[#This Row],[Edital]],tEditais[Edital],0)),"Não")</f>
        <v>Não</v>
      </c>
      <c r="P2179" s="4">
        <f>IF(COUNTIFS(INDEX(tItens[Edital],1):tItens[[#This Row],[Edital]],tItens[[#This Row],[Edital]],INDEX(tItens[Produto],1):tItens[[#This Row],[Produto]],tItens[[#This Row],[Produto]])=1,1,0)</f>
        <v>1</v>
      </c>
    </row>
    <row r="2180" spans="1:16" x14ac:dyDescent="0.25">
      <c r="A2180" t="s">
        <v>1216</v>
      </c>
      <c r="B2180">
        <v>21</v>
      </c>
      <c r="C2180" t="s">
        <v>5218</v>
      </c>
      <c r="D2180" t="s">
        <v>201</v>
      </c>
      <c r="E2180" s="13">
        <v>1000</v>
      </c>
      <c r="F2180" s="12">
        <v>1.21</v>
      </c>
      <c r="G2180" t="str">
        <f>IFERROR(INDEX(tEditais[Órgão],MATCH(tItens[[#This Row],[Edital]],tEditais[Edital],0)),"")</f>
        <v>FUNDO MUNICIPAL DE SAUDE</v>
      </c>
      <c r="H2180" t="str">
        <f>IFERROR(INDEX(tEditais[UF],MATCH(tItens[[#This Row],[Edital]],tEditais[Edital],0)),"")</f>
        <v>GO</v>
      </c>
      <c r="I2180" s="11">
        <f>IFERROR(INDEX(tEditais[Encerramento],MATCH(tItens[[#This Row],[Edital]],tEditais[Edital],0)),"")</f>
        <v>46311.333333333336</v>
      </c>
      <c r="J2180" t="str">
        <f>IFERROR(INDEX(tProdutos[Classe],MATCH(tItens[[#This Row],[Produto]],tProdutos[Produto],0)),"produto não cadastrado")</f>
        <v>DISPUTADO</v>
      </c>
      <c r="K2180" s="12">
        <f>tItens[[#This Row],[Qtd]]*tItens[[#This Row],[Vlr unit]]</f>
        <v>1210</v>
      </c>
      <c r="L2180" s="6">
        <f>IFERROR(IF(INDEX(tProdutos[Desconto homologado],MATCH(tItens[[#This Row],[Produto]],tProdutos[Produto],0))="",DescontoPadrao,INDEX(tProdutos[Desconto homologado],MATCH(tItens[[#This Row],[Produto]],tProdutos[Produto],0))),DescontoPadrao)</f>
        <v>0.27203065134099602</v>
      </c>
      <c r="M2180" s="12">
        <f>tItens[[#This Row],[Valor]]*(1-tItens[[#This Row],[Desconto]])</f>
        <v>880.84291187739484</v>
      </c>
      <c r="N2180" t="str">
        <f>IFERROR(INDEX(tProdutos[Foco],MATCH(tItens[[#This Row],[Produto]],tProdutos[Produto],0)),"Não")</f>
        <v>Não</v>
      </c>
      <c r="O2180" t="str">
        <f>IFERROR(INDEX(tEditais[SRP],MATCH(tItens[[#This Row],[Edital]],tEditais[Edital],0)),"Não")</f>
        <v>Sim</v>
      </c>
      <c r="P2180" s="4">
        <f>IF(COUNTIFS(INDEX(tItens[Edital],1):tItens[[#This Row],[Edital]],tItens[[#This Row],[Edital]],INDEX(tItens[Produto],1):tItens[[#This Row],[Produto]],tItens[[#This Row],[Produto]])=1,1,0)</f>
        <v>1</v>
      </c>
    </row>
    <row r="2181" spans="1:16" x14ac:dyDescent="0.25">
      <c r="A2181" t="s">
        <v>1216</v>
      </c>
      <c r="B2181">
        <v>43</v>
      </c>
      <c r="C2181" t="s">
        <v>5219</v>
      </c>
      <c r="D2181" t="s">
        <v>82</v>
      </c>
      <c r="E2181" s="13">
        <v>2000</v>
      </c>
      <c r="F2181" s="12">
        <v>0.53</v>
      </c>
      <c r="G2181" t="str">
        <f>IFERROR(INDEX(tEditais[Órgão],MATCH(tItens[[#This Row],[Edital]],tEditais[Edital],0)),"")</f>
        <v>FUNDO MUNICIPAL DE SAUDE</v>
      </c>
      <c r="H2181" t="str">
        <f>IFERROR(INDEX(tEditais[UF],MATCH(tItens[[#This Row],[Edital]],tEditais[Edital],0)),"")</f>
        <v>GO</v>
      </c>
      <c r="I2181" s="11">
        <f>IFERROR(INDEX(tEditais[Encerramento],MATCH(tItens[[#This Row],[Edital]],tEditais[Edital],0)),"")</f>
        <v>46311.333333333336</v>
      </c>
      <c r="J2181" t="str">
        <f>IFERROR(INDEX(tProdutos[Classe],MATCH(tItens[[#This Row],[Produto]],tProdutos[Produto],0)),"produto não cadastrado")</f>
        <v>NÚCLEO</v>
      </c>
      <c r="K2181" s="12">
        <f>tItens[[#This Row],[Qtd]]*tItens[[#This Row],[Vlr unit]]</f>
        <v>1060</v>
      </c>
      <c r="L2181" s="6">
        <f>IFERROR(IF(INDEX(tProdutos[Desconto homologado],MATCH(tItens[[#This Row],[Produto]],tProdutos[Produto],0))="",DescontoPadrao,INDEX(tProdutos[Desconto homologado],MATCH(tItens[[#This Row],[Produto]],tProdutos[Produto],0))),DescontoPadrao)</f>
        <v>0.40487090276506099</v>
      </c>
      <c r="M2181" s="12">
        <f>tItens[[#This Row],[Valor]]*(1-tItens[[#This Row],[Desconto]])</f>
        <v>630.83684306903535</v>
      </c>
      <c r="N2181" t="str">
        <f>IFERROR(INDEX(tProdutos[Foco],MATCH(tItens[[#This Row],[Produto]],tProdutos[Produto],0)),"Não")</f>
        <v>Não</v>
      </c>
      <c r="O2181" t="str">
        <f>IFERROR(INDEX(tEditais[SRP],MATCH(tItens[[#This Row],[Edital]],tEditais[Edital],0)),"Não")</f>
        <v>Sim</v>
      </c>
      <c r="P2181" s="4">
        <f>IF(COUNTIFS(INDEX(tItens[Edital],1):tItens[[#This Row],[Edital]],tItens[[#This Row],[Edital]],INDEX(tItens[Produto],1):tItens[[#This Row],[Produto]],tItens[[#This Row],[Produto]])=1,1,0)</f>
        <v>1</v>
      </c>
    </row>
    <row r="2182" spans="1:16" x14ac:dyDescent="0.25">
      <c r="A2182" t="s">
        <v>1216</v>
      </c>
      <c r="B2182">
        <v>44</v>
      </c>
      <c r="C2182" t="s">
        <v>5220</v>
      </c>
      <c r="D2182" t="s">
        <v>82</v>
      </c>
      <c r="E2182" s="13">
        <v>2000</v>
      </c>
      <c r="F2182" s="12">
        <v>0.53</v>
      </c>
      <c r="G2182" t="str">
        <f>IFERROR(INDEX(tEditais[Órgão],MATCH(tItens[[#This Row],[Edital]],tEditais[Edital],0)),"")</f>
        <v>FUNDO MUNICIPAL DE SAUDE</v>
      </c>
      <c r="H2182" t="str">
        <f>IFERROR(INDEX(tEditais[UF],MATCH(tItens[[#This Row],[Edital]],tEditais[Edital],0)),"")</f>
        <v>GO</v>
      </c>
      <c r="I2182" s="11">
        <f>IFERROR(INDEX(tEditais[Encerramento],MATCH(tItens[[#This Row],[Edital]],tEditais[Edital],0)),"")</f>
        <v>46311.333333333336</v>
      </c>
      <c r="J2182" t="str">
        <f>IFERROR(INDEX(tProdutos[Classe],MATCH(tItens[[#This Row],[Produto]],tProdutos[Produto],0)),"produto não cadastrado")</f>
        <v>NÚCLEO</v>
      </c>
      <c r="K2182" s="12">
        <f>tItens[[#This Row],[Qtd]]*tItens[[#This Row],[Vlr unit]]</f>
        <v>1060</v>
      </c>
      <c r="L2182" s="6">
        <f>IFERROR(IF(INDEX(tProdutos[Desconto homologado],MATCH(tItens[[#This Row],[Produto]],tProdutos[Produto],0))="",DescontoPadrao,INDEX(tProdutos[Desconto homologado],MATCH(tItens[[#This Row],[Produto]],tProdutos[Produto],0))),DescontoPadrao)</f>
        <v>0.40487090276506099</v>
      </c>
      <c r="M2182" s="12">
        <f>tItens[[#This Row],[Valor]]*(1-tItens[[#This Row],[Desconto]])</f>
        <v>630.83684306903535</v>
      </c>
      <c r="N2182" t="str">
        <f>IFERROR(INDEX(tProdutos[Foco],MATCH(tItens[[#This Row],[Produto]],tProdutos[Produto],0)),"Não")</f>
        <v>Não</v>
      </c>
      <c r="O2182" t="str">
        <f>IFERROR(INDEX(tEditais[SRP],MATCH(tItens[[#This Row],[Edital]],tEditais[Edital],0)),"Não")</f>
        <v>Sim</v>
      </c>
      <c r="P2182" s="4">
        <f>IF(COUNTIFS(INDEX(tItens[Edital],1):tItens[[#This Row],[Edital]],tItens[[#This Row],[Edital]],INDEX(tItens[Produto],1):tItens[[#This Row],[Produto]],tItens[[#This Row],[Produto]])=1,1,0)</f>
        <v>0</v>
      </c>
    </row>
    <row r="2183" spans="1:16" x14ac:dyDescent="0.25">
      <c r="A2183" t="s">
        <v>1216</v>
      </c>
      <c r="B2183">
        <v>45</v>
      </c>
      <c r="C2183" t="s">
        <v>5221</v>
      </c>
      <c r="D2183" t="s">
        <v>82</v>
      </c>
      <c r="E2183" s="13">
        <v>2000</v>
      </c>
      <c r="F2183" s="12">
        <v>0.53</v>
      </c>
      <c r="G2183" t="str">
        <f>IFERROR(INDEX(tEditais[Órgão],MATCH(tItens[[#This Row],[Edital]],tEditais[Edital],0)),"")</f>
        <v>FUNDO MUNICIPAL DE SAUDE</v>
      </c>
      <c r="H2183" t="str">
        <f>IFERROR(INDEX(tEditais[UF],MATCH(tItens[[#This Row],[Edital]],tEditais[Edital],0)),"")</f>
        <v>GO</v>
      </c>
      <c r="I2183" s="11">
        <f>IFERROR(INDEX(tEditais[Encerramento],MATCH(tItens[[#This Row],[Edital]],tEditais[Edital],0)),"")</f>
        <v>46311.333333333336</v>
      </c>
      <c r="J2183" t="str">
        <f>IFERROR(INDEX(tProdutos[Classe],MATCH(tItens[[#This Row],[Produto]],tProdutos[Produto],0)),"produto não cadastrado")</f>
        <v>NÚCLEO</v>
      </c>
      <c r="K2183" s="12">
        <f>tItens[[#This Row],[Qtd]]*tItens[[#This Row],[Vlr unit]]</f>
        <v>1060</v>
      </c>
      <c r="L2183" s="6">
        <f>IFERROR(IF(INDEX(tProdutos[Desconto homologado],MATCH(tItens[[#This Row],[Produto]],tProdutos[Produto],0))="",DescontoPadrao,INDEX(tProdutos[Desconto homologado],MATCH(tItens[[#This Row],[Produto]],tProdutos[Produto],0))),DescontoPadrao)</f>
        <v>0.40487090276506099</v>
      </c>
      <c r="M2183" s="12">
        <f>tItens[[#This Row],[Valor]]*(1-tItens[[#This Row],[Desconto]])</f>
        <v>630.83684306903535</v>
      </c>
      <c r="N2183" t="str">
        <f>IFERROR(INDEX(tProdutos[Foco],MATCH(tItens[[#This Row],[Produto]],tProdutos[Produto],0)),"Não")</f>
        <v>Não</v>
      </c>
      <c r="O2183" t="str">
        <f>IFERROR(INDEX(tEditais[SRP],MATCH(tItens[[#This Row],[Edital]],tEditais[Edital],0)),"Não")</f>
        <v>Sim</v>
      </c>
      <c r="P2183" s="4">
        <f>IF(COUNTIFS(INDEX(tItens[Edital],1):tItens[[#This Row],[Edital]],tItens[[#This Row],[Edital]],INDEX(tItens[Produto],1):tItens[[#This Row],[Produto]],tItens[[#This Row],[Produto]])=1,1,0)</f>
        <v>0</v>
      </c>
    </row>
    <row r="2184" spans="1:16" x14ac:dyDescent="0.25">
      <c r="A2184" t="s">
        <v>1216</v>
      </c>
      <c r="B2184">
        <v>46</v>
      </c>
      <c r="C2184" t="s">
        <v>5222</v>
      </c>
      <c r="D2184" t="s">
        <v>363</v>
      </c>
      <c r="E2184" s="13">
        <v>500</v>
      </c>
      <c r="F2184" s="12">
        <v>5.78</v>
      </c>
      <c r="G2184" t="str">
        <f>IFERROR(INDEX(tEditais[Órgão],MATCH(tItens[[#This Row],[Edital]],tEditais[Edital],0)),"")</f>
        <v>FUNDO MUNICIPAL DE SAUDE</v>
      </c>
      <c r="H2184" t="str">
        <f>IFERROR(INDEX(tEditais[UF],MATCH(tItens[[#This Row],[Edital]],tEditais[Edital],0)),"")</f>
        <v>GO</v>
      </c>
      <c r="I2184" s="11">
        <f>IFERROR(INDEX(tEditais[Encerramento],MATCH(tItens[[#This Row],[Edital]],tEditais[Edital],0)),"")</f>
        <v>46311.333333333336</v>
      </c>
      <c r="J2184" t="str">
        <f>IFERROR(INDEX(tProdutos[Classe],MATCH(tItens[[#This Row],[Produto]],tProdutos[Produto],0)),"produto não cadastrado")</f>
        <v>FORA</v>
      </c>
      <c r="K2184" s="12">
        <f>tItens[[#This Row],[Qtd]]*tItens[[#This Row],[Vlr unit]]</f>
        <v>2890</v>
      </c>
      <c r="L2184" s="6">
        <f>IFERROR(IF(INDEX(tProdutos[Desconto homologado],MATCH(tItens[[#This Row],[Produto]],tProdutos[Produto],0))="",DescontoPadrao,INDEX(tProdutos[Desconto homologado],MATCH(tItens[[#This Row],[Produto]],tProdutos[Produto],0))),DescontoPadrao)</f>
        <v>0.36454545454545501</v>
      </c>
      <c r="M2184" s="12">
        <f>tItens[[#This Row],[Valor]]*(1-tItens[[#This Row],[Desconto]])</f>
        <v>1836.4636363636353</v>
      </c>
      <c r="N2184" t="str">
        <f>IFERROR(INDEX(tProdutos[Foco],MATCH(tItens[[#This Row],[Produto]],tProdutos[Produto],0)),"Não")</f>
        <v>Não</v>
      </c>
      <c r="O2184" t="str">
        <f>IFERROR(INDEX(tEditais[SRP],MATCH(tItens[[#This Row],[Edital]],tEditais[Edital],0)),"Não")</f>
        <v>Sim</v>
      </c>
      <c r="P2184" s="4">
        <f>IF(COUNTIFS(INDEX(tItens[Edital],1):tItens[[#This Row],[Edital]],tItens[[#This Row],[Edital]],INDEX(tItens[Produto],1):tItens[[#This Row],[Produto]],tItens[[#This Row],[Produto]])=1,1,0)</f>
        <v>1</v>
      </c>
    </row>
    <row r="2185" spans="1:16" x14ac:dyDescent="0.25">
      <c r="A2185" t="s">
        <v>1216</v>
      </c>
      <c r="B2185">
        <v>130</v>
      </c>
      <c r="C2185" t="s">
        <v>5223</v>
      </c>
      <c r="D2185" t="s">
        <v>387</v>
      </c>
      <c r="E2185" s="13">
        <v>1000</v>
      </c>
      <c r="F2185" s="12">
        <v>12.66</v>
      </c>
      <c r="G2185" t="str">
        <f>IFERROR(INDEX(tEditais[Órgão],MATCH(tItens[[#This Row],[Edital]],tEditais[Edital],0)),"")</f>
        <v>FUNDO MUNICIPAL DE SAUDE</v>
      </c>
      <c r="H2185" t="str">
        <f>IFERROR(INDEX(tEditais[UF],MATCH(tItens[[#This Row],[Edital]],tEditais[Edital],0)),"")</f>
        <v>GO</v>
      </c>
      <c r="I2185" s="11">
        <f>IFERROR(INDEX(tEditais[Encerramento],MATCH(tItens[[#This Row],[Edital]],tEditais[Edital],0)),"")</f>
        <v>46311.333333333336</v>
      </c>
      <c r="J2185" t="str">
        <f>IFERROR(INDEX(tProdutos[Classe],MATCH(tItens[[#This Row],[Produto]],tProdutos[Produto],0)),"produto não cadastrado")</f>
        <v>FORA</v>
      </c>
      <c r="K2185" s="12">
        <f>tItens[[#This Row],[Qtd]]*tItens[[#This Row],[Vlr unit]]</f>
        <v>12660</v>
      </c>
      <c r="L2185" s="6">
        <f>IFERROR(IF(INDEX(tProdutos[Desconto homologado],MATCH(tItens[[#This Row],[Produto]],tProdutos[Produto],0))="",DescontoPadrao,INDEX(tProdutos[Desconto homologado],MATCH(tItens[[#This Row],[Produto]],tProdutos[Produto],0))),DescontoPadrao)</f>
        <v>0.30458221024258803</v>
      </c>
      <c r="M2185" s="12">
        <f>tItens[[#This Row],[Valor]]*(1-tItens[[#This Row],[Desconto]])</f>
        <v>8803.9892183288357</v>
      </c>
      <c r="N2185" t="str">
        <f>IFERROR(INDEX(tProdutos[Foco],MATCH(tItens[[#This Row],[Produto]],tProdutos[Produto],0)),"Não")</f>
        <v>Não</v>
      </c>
      <c r="O2185" t="str">
        <f>IFERROR(INDEX(tEditais[SRP],MATCH(tItens[[#This Row],[Edital]],tEditais[Edital],0)),"Não")</f>
        <v>Sim</v>
      </c>
      <c r="P2185" s="4">
        <f>IF(COUNTIFS(INDEX(tItens[Edital],1):tItens[[#This Row],[Edital]],tItens[[#This Row],[Edital]],INDEX(tItens[Produto],1):tItens[[#This Row],[Produto]],tItens[[#This Row],[Produto]])=1,1,0)</f>
        <v>1</v>
      </c>
    </row>
    <row r="2186" spans="1:16" x14ac:dyDescent="0.25">
      <c r="A2186" t="s">
        <v>1216</v>
      </c>
      <c r="B2186">
        <v>136</v>
      </c>
      <c r="C2186" t="s">
        <v>5224</v>
      </c>
      <c r="D2186" t="s">
        <v>132</v>
      </c>
      <c r="E2186" s="13">
        <v>500</v>
      </c>
      <c r="F2186" s="12">
        <v>12.11</v>
      </c>
      <c r="G2186" t="str">
        <f>IFERROR(INDEX(tEditais[Órgão],MATCH(tItens[[#This Row],[Edital]],tEditais[Edital],0)),"")</f>
        <v>FUNDO MUNICIPAL DE SAUDE</v>
      </c>
      <c r="H2186" t="str">
        <f>IFERROR(INDEX(tEditais[UF],MATCH(tItens[[#This Row],[Edital]],tEditais[Edital],0)),"")</f>
        <v>GO</v>
      </c>
      <c r="I2186" s="11">
        <f>IFERROR(INDEX(tEditais[Encerramento],MATCH(tItens[[#This Row],[Edital]],tEditais[Edital],0)),"")</f>
        <v>46311.333333333336</v>
      </c>
      <c r="J2186" t="str">
        <f>IFERROR(INDEX(tProdutos[Classe],MATCH(tItens[[#This Row],[Produto]],tProdutos[Produto],0)),"produto não cadastrado")</f>
        <v>NÚCLEO</v>
      </c>
      <c r="K2186" s="12">
        <f>tItens[[#This Row],[Qtd]]*tItens[[#This Row],[Vlr unit]]</f>
        <v>6055</v>
      </c>
      <c r="L2186" s="6">
        <f>IFERROR(IF(INDEX(tProdutos[Desconto homologado],MATCH(tItens[[#This Row],[Produto]],tProdutos[Produto],0))="",DescontoPadrao,INDEX(tProdutos[Desconto homologado],MATCH(tItens[[#This Row],[Produto]],tProdutos[Produto],0))),DescontoPadrao)</f>
        <v>0.27</v>
      </c>
      <c r="M2186" s="12">
        <f>tItens[[#This Row],[Valor]]*(1-tItens[[#This Row],[Desconto]])</f>
        <v>4420.1499999999996</v>
      </c>
      <c r="N2186" t="str">
        <f>IFERROR(INDEX(tProdutos[Foco],MATCH(tItens[[#This Row],[Produto]],tProdutos[Produto],0)),"Não")</f>
        <v>Sim</v>
      </c>
      <c r="O2186" t="str">
        <f>IFERROR(INDEX(tEditais[SRP],MATCH(tItens[[#This Row],[Edital]],tEditais[Edital],0)),"Não")</f>
        <v>Sim</v>
      </c>
      <c r="P2186" s="4">
        <f>IF(COUNTIFS(INDEX(tItens[Edital],1):tItens[[#This Row],[Edital]],tItens[[#This Row],[Edital]],INDEX(tItens[Produto],1):tItens[[#This Row],[Produto]],tItens[[#This Row],[Produto]])=1,1,0)</f>
        <v>1</v>
      </c>
    </row>
    <row r="2187" spans="1:16" x14ac:dyDescent="0.25">
      <c r="A2187" t="s">
        <v>1216</v>
      </c>
      <c r="B2187">
        <v>162</v>
      </c>
      <c r="C2187" t="s">
        <v>5225</v>
      </c>
      <c r="D2187" t="s">
        <v>62</v>
      </c>
      <c r="E2187" s="13">
        <v>1500</v>
      </c>
      <c r="F2187" s="12">
        <v>3.03</v>
      </c>
      <c r="G2187" t="str">
        <f>IFERROR(INDEX(tEditais[Órgão],MATCH(tItens[[#This Row],[Edital]],tEditais[Edital],0)),"")</f>
        <v>FUNDO MUNICIPAL DE SAUDE</v>
      </c>
      <c r="H2187" t="str">
        <f>IFERROR(INDEX(tEditais[UF],MATCH(tItens[[#This Row],[Edital]],tEditais[Edital],0)),"")</f>
        <v>GO</v>
      </c>
      <c r="I2187" s="11">
        <f>IFERROR(INDEX(tEditais[Encerramento],MATCH(tItens[[#This Row],[Edital]],tEditais[Edital],0)),"")</f>
        <v>46311.333333333336</v>
      </c>
      <c r="J2187" t="str">
        <f>IFERROR(INDEX(tProdutos[Classe],MATCH(tItens[[#This Row],[Produto]],tProdutos[Produto],0)),"produto não cadastrado")</f>
        <v>NÚCLEO</v>
      </c>
      <c r="K2187" s="12">
        <f>tItens[[#This Row],[Qtd]]*tItens[[#This Row],[Vlr unit]]</f>
        <v>4545</v>
      </c>
      <c r="L2187" s="6">
        <f>IFERROR(IF(INDEX(tProdutos[Desconto homologado],MATCH(tItens[[#This Row],[Produto]],tProdutos[Produto],0))="",DescontoPadrao,INDEX(tProdutos[Desconto homologado],MATCH(tItens[[#This Row],[Produto]],tProdutos[Produto],0))),DescontoPadrao)</f>
        <v>0.3</v>
      </c>
      <c r="M2187" s="12">
        <f>tItens[[#This Row],[Valor]]*(1-tItens[[#This Row],[Desconto]])</f>
        <v>3181.5</v>
      </c>
      <c r="N2187" t="str">
        <f>IFERROR(INDEX(tProdutos[Foco],MATCH(tItens[[#This Row],[Produto]],tProdutos[Produto],0)),"Não")</f>
        <v>Sim</v>
      </c>
      <c r="O2187" t="str">
        <f>IFERROR(INDEX(tEditais[SRP],MATCH(tItens[[#This Row],[Edital]],tEditais[Edital],0)),"Não")</f>
        <v>Sim</v>
      </c>
      <c r="P2187" s="4">
        <f>IF(COUNTIFS(INDEX(tItens[Edital],1):tItens[[#This Row],[Edital]],tItens[[#This Row],[Edital]],INDEX(tItens[Produto],1):tItens[[#This Row],[Produto]],tItens[[#This Row],[Produto]])=1,1,0)</f>
        <v>1</v>
      </c>
    </row>
    <row r="2188" spans="1:16" x14ac:dyDescent="0.25">
      <c r="A2188" t="s">
        <v>1216</v>
      </c>
      <c r="B2188">
        <v>163</v>
      </c>
      <c r="C2188" t="s">
        <v>5226</v>
      </c>
      <c r="D2188" t="s">
        <v>62</v>
      </c>
      <c r="E2188" s="13">
        <v>3000</v>
      </c>
      <c r="F2188" s="12">
        <v>3.03</v>
      </c>
      <c r="G2188" t="str">
        <f>IFERROR(INDEX(tEditais[Órgão],MATCH(tItens[[#This Row],[Edital]],tEditais[Edital],0)),"")</f>
        <v>FUNDO MUNICIPAL DE SAUDE</v>
      </c>
      <c r="H2188" t="str">
        <f>IFERROR(INDEX(tEditais[UF],MATCH(tItens[[#This Row],[Edital]],tEditais[Edital],0)),"")</f>
        <v>GO</v>
      </c>
      <c r="I2188" s="11">
        <f>IFERROR(INDEX(tEditais[Encerramento],MATCH(tItens[[#This Row],[Edital]],tEditais[Edital],0)),"")</f>
        <v>46311.333333333336</v>
      </c>
      <c r="J2188" t="str">
        <f>IFERROR(INDEX(tProdutos[Classe],MATCH(tItens[[#This Row],[Produto]],tProdutos[Produto],0)),"produto não cadastrado")</f>
        <v>NÚCLEO</v>
      </c>
      <c r="K2188" s="12">
        <f>tItens[[#This Row],[Qtd]]*tItens[[#This Row],[Vlr unit]]</f>
        <v>9090</v>
      </c>
      <c r="L2188" s="6">
        <f>IFERROR(IF(INDEX(tProdutos[Desconto homologado],MATCH(tItens[[#This Row],[Produto]],tProdutos[Produto],0))="",DescontoPadrao,INDEX(tProdutos[Desconto homologado],MATCH(tItens[[#This Row],[Produto]],tProdutos[Produto],0))),DescontoPadrao)</f>
        <v>0.3</v>
      </c>
      <c r="M2188" s="12">
        <f>tItens[[#This Row],[Valor]]*(1-tItens[[#This Row],[Desconto]])</f>
        <v>6363</v>
      </c>
      <c r="N2188" t="str">
        <f>IFERROR(INDEX(tProdutos[Foco],MATCH(tItens[[#This Row],[Produto]],tProdutos[Produto],0)),"Não")</f>
        <v>Sim</v>
      </c>
      <c r="O2188" t="str">
        <f>IFERROR(INDEX(tEditais[SRP],MATCH(tItens[[#This Row],[Edital]],tEditais[Edital],0)),"Não")</f>
        <v>Sim</v>
      </c>
      <c r="P2188" s="4">
        <f>IF(COUNTIFS(INDEX(tItens[Edital],1):tItens[[#This Row],[Edital]],tItens[[#This Row],[Edital]],INDEX(tItens[Produto],1):tItens[[#This Row],[Produto]],tItens[[#This Row],[Produto]])=1,1,0)</f>
        <v>0</v>
      </c>
    </row>
    <row r="2189" spans="1:16" x14ac:dyDescent="0.25">
      <c r="A2189" t="s">
        <v>1216</v>
      </c>
      <c r="B2189">
        <v>164</v>
      </c>
      <c r="C2189" t="s">
        <v>5227</v>
      </c>
      <c r="D2189" t="s">
        <v>62</v>
      </c>
      <c r="E2189" s="13">
        <v>3000</v>
      </c>
      <c r="F2189" s="12">
        <v>3.03</v>
      </c>
      <c r="G2189" t="str">
        <f>IFERROR(INDEX(tEditais[Órgão],MATCH(tItens[[#This Row],[Edital]],tEditais[Edital],0)),"")</f>
        <v>FUNDO MUNICIPAL DE SAUDE</v>
      </c>
      <c r="H2189" t="str">
        <f>IFERROR(INDEX(tEditais[UF],MATCH(tItens[[#This Row],[Edital]],tEditais[Edital],0)),"")</f>
        <v>GO</v>
      </c>
      <c r="I2189" s="11">
        <f>IFERROR(INDEX(tEditais[Encerramento],MATCH(tItens[[#This Row],[Edital]],tEditais[Edital],0)),"")</f>
        <v>46311.333333333336</v>
      </c>
      <c r="J2189" t="str">
        <f>IFERROR(INDEX(tProdutos[Classe],MATCH(tItens[[#This Row],[Produto]],tProdutos[Produto],0)),"produto não cadastrado")</f>
        <v>NÚCLEO</v>
      </c>
      <c r="K2189" s="12">
        <f>tItens[[#This Row],[Qtd]]*tItens[[#This Row],[Vlr unit]]</f>
        <v>9090</v>
      </c>
      <c r="L2189" s="6">
        <f>IFERROR(IF(INDEX(tProdutos[Desconto homologado],MATCH(tItens[[#This Row],[Produto]],tProdutos[Produto],0))="",DescontoPadrao,INDEX(tProdutos[Desconto homologado],MATCH(tItens[[#This Row],[Produto]],tProdutos[Produto],0))),DescontoPadrao)</f>
        <v>0.3</v>
      </c>
      <c r="M2189" s="12">
        <f>tItens[[#This Row],[Valor]]*(1-tItens[[#This Row],[Desconto]])</f>
        <v>6363</v>
      </c>
      <c r="N2189" t="str">
        <f>IFERROR(INDEX(tProdutos[Foco],MATCH(tItens[[#This Row],[Produto]],tProdutos[Produto],0)),"Não")</f>
        <v>Sim</v>
      </c>
      <c r="O2189" t="str">
        <f>IFERROR(INDEX(tEditais[SRP],MATCH(tItens[[#This Row],[Edital]],tEditais[Edital],0)),"Não")</f>
        <v>Sim</v>
      </c>
      <c r="P2189" s="4">
        <f>IF(COUNTIFS(INDEX(tItens[Edital],1):tItens[[#This Row],[Edital]],tItens[[#This Row],[Edital]],INDEX(tItens[Produto],1):tItens[[#This Row],[Produto]],tItens[[#This Row],[Produto]])=1,1,0)</f>
        <v>0</v>
      </c>
    </row>
    <row r="2190" spans="1:16" x14ac:dyDescent="0.25">
      <c r="A2190" t="s">
        <v>1216</v>
      </c>
      <c r="B2190">
        <v>166</v>
      </c>
      <c r="C2190" t="s">
        <v>5228</v>
      </c>
      <c r="D2190" t="s">
        <v>124</v>
      </c>
      <c r="E2190" s="13">
        <v>1500</v>
      </c>
      <c r="F2190" s="12">
        <v>32.58</v>
      </c>
      <c r="G2190" t="str">
        <f>IFERROR(INDEX(tEditais[Órgão],MATCH(tItens[[#This Row],[Edital]],tEditais[Edital],0)),"")</f>
        <v>FUNDO MUNICIPAL DE SAUDE</v>
      </c>
      <c r="H2190" t="str">
        <f>IFERROR(INDEX(tEditais[UF],MATCH(tItens[[#This Row],[Edital]],tEditais[Edital],0)),"")</f>
        <v>GO</v>
      </c>
      <c r="I2190" s="11">
        <f>IFERROR(INDEX(tEditais[Encerramento],MATCH(tItens[[#This Row],[Edital]],tEditais[Edital],0)),"")</f>
        <v>46311.333333333336</v>
      </c>
      <c r="J2190" t="str">
        <f>IFERROR(INDEX(tProdutos[Classe],MATCH(tItens[[#This Row],[Produto]],tProdutos[Produto],0)),"produto não cadastrado")</f>
        <v>DISPUTADO</v>
      </c>
      <c r="K2190" s="12">
        <f>tItens[[#This Row],[Qtd]]*tItens[[#This Row],[Vlr unit]]</f>
        <v>48870</v>
      </c>
      <c r="L2190" s="6">
        <f>IFERROR(IF(INDEX(tProdutos[Desconto homologado],MATCH(tItens[[#This Row],[Produto]],tProdutos[Produto],0))="",DescontoPadrao,INDEX(tProdutos[Desconto homologado],MATCH(tItens[[#This Row],[Produto]],tProdutos[Produto],0))),DescontoPadrao)</f>
        <v>0.34</v>
      </c>
      <c r="M2190" s="12">
        <f>tItens[[#This Row],[Valor]]*(1-tItens[[#This Row],[Desconto]])</f>
        <v>32254.199999999997</v>
      </c>
      <c r="N2190" t="str">
        <f>IFERROR(INDEX(tProdutos[Foco],MATCH(tItens[[#This Row],[Produto]],tProdutos[Produto],0)),"Não")</f>
        <v>Sim</v>
      </c>
      <c r="O2190" t="str">
        <f>IFERROR(INDEX(tEditais[SRP],MATCH(tItens[[#This Row],[Edital]],tEditais[Edital],0)),"Não")</f>
        <v>Sim</v>
      </c>
      <c r="P2190" s="4">
        <f>IF(COUNTIFS(INDEX(tItens[Edital],1):tItens[[#This Row],[Edital]],tItens[[#This Row],[Edital]],INDEX(tItens[Produto],1):tItens[[#This Row],[Produto]],tItens[[#This Row],[Produto]])=1,1,0)</f>
        <v>1</v>
      </c>
    </row>
    <row r="2191" spans="1:16" x14ac:dyDescent="0.25">
      <c r="A2191" t="s">
        <v>1216</v>
      </c>
      <c r="B2191">
        <v>167</v>
      </c>
      <c r="C2191" t="s">
        <v>5229</v>
      </c>
      <c r="D2191" t="s">
        <v>124</v>
      </c>
      <c r="E2191" s="13">
        <v>1500</v>
      </c>
      <c r="F2191" s="12">
        <v>32.58</v>
      </c>
      <c r="G2191" t="str">
        <f>IFERROR(INDEX(tEditais[Órgão],MATCH(tItens[[#This Row],[Edital]],tEditais[Edital],0)),"")</f>
        <v>FUNDO MUNICIPAL DE SAUDE</v>
      </c>
      <c r="H2191" t="str">
        <f>IFERROR(INDEX(tEditais[UF],MATCH(tItens[[#This Row],[Edital]],tEditais[Edital],0)),"")</f>
        <v>GO</v>
      </c>
      <c r="I2191" s="11">
        <f>IFERROR(INDEX(tEditais[Encerramento],MATCH(tItens[[#This Row],[Edital]],tEditais[Edital],0)),"")</f>
        <v>46311.333333333336</v>
      </c>
      <c r="J2191" t="str">
        <f>IFERROR(INDEX(tProdutos[Classe],MATCH(tItens[[#This Row],[Produto]],tProdutos[Produto],0)),"produto não cadastrado")</f>
        <v>DISPUTADO</v>
      </c>
      <c r="K2191" s="12">
        <f>tItens[[#This Row],[Qtd]]*tItens[[#This Row],[Vlr unit]]</f>
        <v>48870</v>
      </c>
      <c r="L2191" s="6">
        <f>IFERROR(IF(INDEX(tProdutos[Desconto homologado],MATCH(tItens[[#This Row],[Produto]],tProdutos[Produto],0))="",DescontoPadrao,INDEX(tProdutos[Desconto homologado],MATCH(tItens[[#This Row],[Produto]],tProdutos[Produto],0))),DescontoPadrao)</f>
        <v>0.34</v>
      </c>
      <c r="M2191" s="12">
        <f>tItens[[#This Row],[Valor]]*(1-tItens[[#This Row],[Desconto]])</f>
        <v>32254.199999999997</v>
      </c>
      <c r="N2191" t="str">
        <f>IFERROR(INDEX(tProdutos[Foco],MATCH(tItens[[#This Row],[Produto]],tProdutos[Produto],0)),"Não")</f>
        <v>Sim</v>
      </c>
      <c r="O2191" t="str">
        <f>IFERROR(INDEX(tEditais[SRP],MATCH(tItens[[#This Row],[Edital]],tEditais[Edital],0)),"Não")</f>
        <v>Sim</v>
      </c>
      <c r="P2191" s="4">
        <f>IF(COUNTIFS(INDEX(tItens[Edital],1):tItens[[#This Row],[Edital]],tItens[[#This Row],[Edital]],INDEX(tItens[Produto],1):tItens[[#This Row],[Produto]],tItens[[#This Row],[Produto]])=1,1,0)</f>
        <v>0</v>
      </c>
    </row>
    <row r="2192" spans="1:16" x14ac:dyDescent="0.25">
      <c r="A2192" t="s">
        <v>1216</v>
      </c>
      <c r="B2192">
        <v>168</v>
      </c>
      <c r="C2192" t="s">
        <v>5230</v>
      </c>
      <c r="D2192" t="s">
        <v>124</v>
      </c>
      <c r="E2192" s="13">
        <v>1500</v>
      </c>
      <c r="F2192" s="12">
        <v>32.58</v>
      </c>
      <c r="G2192" t="str">
        <f>IFERROR(INDEX(tEditais[Órgão],MATCH(tItens[[#This Row],[Edital]],tEditais[Edital],0)),"")</f>
        <v>FUNDO MUNICIPAL DE SAUDE</v>
      </c>
      <c r="H2192" t="str">
        <f>IFERROR(INDEX(tEditais[UF],MATCH(tItens[[#This Row],[Edital]],tEditais[Edital],0)),"")</f>
        <v>GO</v>
      </c>
      <c r="I2192" s="11">
        <f>IFERROR(INDEX(tEditais[Encerramento],MATCH(tItens[[#This Row],[Edital]],tEditais[Edital],0)),"")</f>
        <v>46311.333333333336</v>
      </c>
      <c r="J2192" t="str">
        <f>IFERROR(INDEX(tProdutos[Classe],MATCH(tItens[[#This Row],[Produto]],tProdutos[Produto],0)),"produto não cadastrado")</f>
        <v>DISPUTADO</v>
      </c>
      <c r="K2192" s="12">
        <f>tItens[[#This Row],[Qtd]]*tItens[[#This Row],[Vlr unit]]</f>
        <v>48870</v>
      </c>
      <c r="L2192" s="6">
        <f>IFERROR(IF(INDEX(tProdutos[Desconto homologado],MATCH(tItens[[#This Row],[Produto]],tProdutos[Produto],0))="",DescontoPadrao,INDEX(tProdutos[Desconto homologado],MATCH(tItens[[#This Row],[Produto]],tProdutos[Produto],0))),DescontoPadrao)</f>
        <v>0.34</v>
      </c>
      <c r="M2192" s="12">
        <f>tItens[[#This Row],[Valor]]*(1-tItens[[#This Row],[Desconto]])</f>
        <v>32254.199999999997</v>
      </c>
      <c r="N2192" t="str">
        <f>IFERROR(INDEX(tProdutos[Foco],MATCH(tItens[[#This Row],[Produto]],tProdutos[Produto],0)),"Não")</f>
        <v>Sim</v>
      </c>
      <c r="O2192" t="str">
        <f>IFERROR(INDEX(tEditais[SRP],MATCH(tItens[[#This Row],[Edital]],tEditais[Edital],0)),"Não")</f>
        <v>Sim</v>
      </c>
      <c r="P2192" s="4">
        <f>IF(COUNTIFS(INDEX(tItens[Edital],1):tItens[[#This Row],[Edital]],tItens[[#This Row],[Edital]],INDEX(tItens[Produto],1):tItens[[#This Row],[Produto]],tItens[[#This Row],[Produto]])=1,1,0)</f>
        <v>0</v>
      </c>
    </row>
    <row r="2193" spans="1:16" x14ac:dyDescent="0.25">
      <c r="A2193" t="s">
        <v>1216</v>
      </c>
      <c r="B2193">
        <v>169</v>
      </c>
      <c r="C2193" t="s">
        <v>5231</v>
      </c>
      <c r="D2193" t="s">
        <v>124</v>
      </c>
      <c r="E2193" s="13">
        <v>1500</v>
      </c>
      <c r="F2193" s="12">
        <v>15.74</v>
      </c>
      <c r="G2193" t="str">
        <f>IFERROR(INDEX(tEditais[Órgão],MATCH(tItens[[#This Row],[Edital]],tEditais[Edital],0)),"")</f>
        <v>FUNDO MUNICIPAL DE SAUDE</v>
      </c>
      <c r="H2193" t="str">
        <f>IFERROR(INDEX(tEditais[UF],MATCH(tItens[[#This Row],[Edital]],tEditais[Edital],0)),"")</f>
        <v>GO</v>
      </c>
      <c r="I2193" s="11">
        <f>IFERROR(INDEX(tEditais[Encerramento],MATCH(tItens[[#This Row],[Edital]],tEditais[Edital],0)),"")</f>
        <v>46311.333333333336</v>
      </c>
      <c r="J2193" t="str">
        <f>IFERROR(INDEX(tProdutos[Classe],MATCH(tItens[[#This Row],[Produto]],tProdutos[Produto],0)),"produto não cadastrado")</f>
        <v>DISPUTADO</v>
      </c>
      <c r="K2193" s="12">
        <f>tItens[[#This Row],[Qtd]]*tItens[[#This Row],[Vlr unit]]</f>
        <v>23610</v>
      </c>
      <c r="L2193" s="6">
        <f>IFERROR(IF(INDEX(tProdutos[Desconto homologado],MATCH(tItens[[#This Row],[Produto]],tProdutos[Produto],0))="",DescontoPadrao,INDEX(tProdutos[Desconto homologado],MATCH(tItens[[#This Row],[Produto]],tProdutos[Produto],0))),DescontoPadrao)</f>
        <v>0.34</v>
      </c>
      <c r="M2193" s="12">
        <f>tItens[[#This Row],[Valor]]*(1-tItens[[#This Row],[Desconto]])</f>
        <v>15582.599999999999</v>
      </c>
      <c r="N2193" t="str">
        <f>IFERROR(INDEX(tProdutos[Foco],MATCH(tItens[[#This Row],[Produto]],tProdutos[Produto],0)),"Não")</f>
        <v>Sim</v>
      </c>
      <c r="O2193" t="str">
        <f>IFERROR(INDEX(tEditais[SRP],MATCH(tItens[[#This Row],[Edital]],tEditais[Edital],0)),"Não")</f>
        <v>Sim</v>
      </c>
      <c r="P2193" s="4">
        <f>IF(COUNTIFS(INDEX(tItens[Edital],1):tItens[[#This Row],[Edital]],tItens[[#This Row],[Edital]],INDEX(tItens[Produto],1):tItens[[#This Row],[Produto]],tItens[[#This Row],[Produto]])=1,1,0)</f>
        <v>0</v>
      </c>
    </row>
    <row r="2194" spans="1:16" x14ac:dyDescent="0.25">
      <c r="A2194" t="s">
        <v>1216</v>
      </c>
      <c r="B2194">
        <v>173</v>
      </c>
      <c r="C2194" t="s">
        <v>5232</v>
      </c>
      <c r="D2194" t="s">
        <v>205</v>
      </c>
      <c r="E2194" s="13">
        <v>50</v>
      </c>
      <c r="F2194" s="12">
        <v>30.27</v>
      </c>
      <c r="G2194" t="str">
        <f>IFERROR(INDEX(tEditais[Órgão],MATCH(tItens[[#This Row],[Edital]],tEditais[Edital],0)),"")</f>
        <v>FUNDO MUNICIPAL DE SAUDE</v>
      </c>
      <c r="H2194" t="str">
        <f>IFERROR(INDEX(tEditais[UF],MATCH(tItens[[#This Row],[Edital]],tEditais[Edital],0)),"")</f>
        <v>GO</v>
      </c>
      <c r="I2194" s="11">
        <f>IFERROR(INDEX(tEditais[Encerramento],MATCH(tItens[[#This Row],[Edital]],tEditais[Edital],0)),"")</f>
        <v>46311.333333333336</v>
      </c>
      <c r="J2194" t="str">
        <f>IFERROR(INDEX(tProdutos[Classe],MATCH(tItens[[#This Row],[Produto]],tProdutos[Produto],0)),"produto não cadastrado")</f>
        <v>FORA</v>
      </c>
      <c r="K2194" s="12">
        <f>tItens[[#This Row],[Qtd]]*tItens[[#This Row],[Vlr unit]]</f>
        <v>1513.5</v>
      </c>
      <c r="L2194" s="6">
        <f>IFERROR(IF(INDEX(tProdutos[Desconto homologado],MATCH(tItens[[#This Row],[Produto]],tProdutos[Produto],0))="",DescontoPadrao,INDEX(tProdutos[Desconto homologado],MATCH(tItens[[#This Row],[Produto]],tProdutos[Produto],0))),DescontoPadrao)</f>
        <v>0.468911625815156</v>
      </c>
      <c r="M2194" s="12">
        <f>tItens[[#This Row],[Valor]]*(1-tItens[[#This Row],[Desconto]])</f>
        <v>803.80225432876136</v>
      </c>
      <c r="N2194" t="str">
        <f>IFERROR(INDEX(tProdutos[Foco],MATCH(tItens[[#This Row],[Produto]],tProdutos[Produto],0)),"Não")</f>
        <v>Não</v>
      </c>
      <c r="O2194" t="str">
        <f>IFERROR(INDEX(tEditais[SRP],MATCH(tItens[[#This Row],[Edital]],tEditais[Edital],0)),"Não")</f>
        <v>Sim</v>
      </c>
      <c r="P2194" s="4">
        <f>IF(COUNTIFS(INDEX(tItens[Edital],1):tItens[[#This Row],[Edital]],tItens[[#This Row],[Edital]],INDEX(tItens[Produto],1):tItens[[#This Row],[Produto]],tItens[[#This Row],[Produto]])=1,1,0)</f>
        <v>1</v>
      </c>
    </row>
    <row r="2195" spans="1:16" x14ac:dyDescent="0.25">
      <c r="A2195" t="s">
        <v>1216</v>
      </c>
      <c r="B2195">
        <v>174</v>
      </c>
      <c r="C2195" t="s">
        <v>5233</v>
      </c>
      <c r="D2195" t="s">
        <v>205</v>
      </c>
      <c r="E2195" s="13">
        <v>50</v>
      </c>
      <c r="F2195" s="12">
        <v>30.27</v>
      </c>
      <c r="G2195" t="str">
        <f>IFERROR(INDEX(tEditais[Órgão],MATCH(tItens[[#This Row],[Edital]],tEditais[Edital],0)),"")</f>
        <v>FUNDO MUNICIPAL DE SAUDE</v>
      </c>
      <c r="H2195" t="str">
        <f>IFERROR(INDEX(tEditais[UF],MATCH(tItens[[#This Row],[Edital]],tEditais[Edital],0)),"")</f>
        <v>GO</v>
      </c>
      <c r="I2195" s="11">
        <f>IFERROR(INDEX(tEditais[Encerramento],MATCH(tItens[[#This Row],[Edital]],tEditais[Edital],0)),"")</f>
        <v>46311.333333333336</v>
      </c>
      <c r="J2195" t="str">
        <f>IFERROR(INDEX(tProdutos[Classe],MATCH(tItens[[#This Row],[Produto]],tProdutos[Produto],0)),"produto não cadastrado")</f>
        <v>FORA</v>
      </c>
      <c r="K2195" s="12">
        <f>tItens[[#This Row],[Qtd]]*tItens[[#This Row],[Vlr unit]]</f>
        <v>1513.5</v>
      </c>
      <c r="L2195" s="6">
        <f>IFERROR(IF(INDEX(tProdutos[Desconto homologado],MATCH(tItens[[#This Row],[Produto]],tProdutos[Produto],0))="",DescontoPadrao,INDEX(tProdutos[Desconto homologado],MATCH(tItens[[#This Row],[Produto]],tProdutos[Produto],0))),DescontoPadrao)</f>
        <v>0.468911625815156</v>
      </c>
      <c r="M2195" s="12">
        <f>tItens[[#This Row],[Valor]]*(1-tItens[[#This Row],[Desconto]])</f>
        <v>803.80225432876136</v>
      </c>
      <c r="N2195" t="str">
        <f>IFERROR(INDEX(tProdutos[Foco],MATCH(tItens[[#This Row],[Produto]],tProdutos[Produto],0)),"Não")</f>
        <v>Não</v>
      </c>
      <c r="O2195" t="str">
        <f>IFERROR(INDEX(tEditais[SRP],MATCH(tItens[[#This Row],[Edital]],tEditais[Edital],0)),"Não")</f>
        <v>Sim</v>
      </c>
      <c r="P2195" s="4">
        <f>IF(COUNTIFS(INDEX(tItens[Edital],1):tItens[[#This Row],[Edital]],tItens[[#This Row],[Edital]],INDEX(tItens[Produto],1):tItens[[#This Row],[Produto]],tItens[[#This Row],[Produto]])=1,1,0)</f>
        <v>0</v>
      </c>
    </row>
    <row r="2196" spans="1:16" x14ac:dyDescent="0.25">
      <c r="A2196" t="s">
        <v>1216</v>
      </c>
      <c r="B2196">
        <v>175</v>
      </c>
      <c r="C2196" t="s">
        <v>5234</v>
      </c>
      <c r="D2196" t="s">
        <v>205</v>
      </c>
      <c r="E2196" s="13">
        <v>50</v>
      </c>
      <c r="F2196" s="12">
        <v>30.27</v>
      </c>
      <c r="G2196" t="str">
        <f>IFERROR(INDEX(tEditais[Órgão],MATCH(tItens[[#This Row],[Edital]],tEditais[Edital],0)),"")</f>
        <v>FUNDO MUNICIPAL DE SAUDE</v>
      </c>
      <c r="H2196" t="str">
        <f>IFERROR(INDEX(tEditais[UF],MATCH(tItens[[#This Row],[Edital]],tEditais[Edital],0)),"")</f>
        <v>GO</v>
      </c>
      <c r="I2196" s="11">
        <f>IFERROR(INDEX(tEditais[Encerramento],MATCH(tItens[[#This Row],[Edital]],tEditais[Edital],0)),"")</f>
        <v>46311.333333333336</v>
      </c>
      <c r="J2196" t="str">
        <f>IFERROR(INDEX(tProdutos[Classe],MATCH(tItens[[#This Row],[Produto]],tProdutos[Produto],0)),"produto não cadastrado")</f>
        <v>FORA</v>
      </c>
      <c r="K2196" s="12">
        <f>tItens[[#This Row],[Qtd]]*tItens[[#This Row],[Vlr unit]]</f>
        <v>1513.5</v>
      </c>
      <c r="L2196" s="6">
        <f>IFERROR(IF(INDEX(tProdutos[Desconto homologado],MATCH(tItens[[#This Row],[Produto]],tProdutos[Produto],0))="",DescontoPadrao,INDEX(tProdutos[Desconto homologado],MATCH(tItens[[#This Row],[Produto]],tProdutos[Produto],0))),DescontoPadrao)</f>
        <v>0.468911625815156</v>
      </c>
      <c r="M2196" s="12">
        <f>tItens[[#This Row],[Valor]]*(1-tItens[[#This Row],[Desconto]])</f>
        <v>803.80225432876136</v>
      </c>
      <c r="N2196" t="str">
        <f>IFERROR(INDEX(tProdutos[Foco],MATCH(tItens[[#This Row],[Produto]],tProdutos[Produto],0)),"Não")</f>
        <v>Não</v>
      </c>
      <c r="O2196" t="str">
        <f>IFERROR(INDEX(tEditais[SRP],MATCH(tItens[[#This Row],[Edital]],tEditais[Edital],0)),"Não")</f>
        <v>Sim</v>
      </c>
      <c r="P2196" s="4">
        <f>IF(COUNTIFS(INDEX(tItens[Edital],1):tItens[[#This Row],[Edital]],tItens[[#This Row],[Edital]],INDEX(tItens[Produto],1):tItens[[#This Row],[Produto]],tItens[[#This Row],[Produto]])=1,1,0)</f>
        <v>0</v>
      </c>
    </row>
    <row r="2197" spans="1:16" x14ac:dyDescent="0.25">
      <c r="A2197" t="s">
        <v>1216</v>
      </c>
      <c r="B2197">
        <v>247</v>
      </c>
      <c r="C2197" t="s">
        <v>5235</v>
      </c>
      <c r="D2197" t="s">
        <v>423</v>
      </c>
      <c r="E2197" s="13">
        <v>50</v>
      </c>
      <c r="F2197" s="12">
        <v>13.21</v>
      </c>
      <c r="G2197" t="str">
        <f>IFERROR(INDEX(tEditais[Órgão],MATCH(tItens[[#This Row],[Edital]],tEditais[Edital],0)),"")</f>
        <v>FUNDO MUNICIPAL DE SAUDE</v>
      </c>
      <c r="H2197" t="str">
        <f>IFERROR(INDEX(tEditais[UF],MATCH(tItens[[#This Row],[Edital]],tEditais[Edital],0)),"")</f>
        <v>GO</v>
      </c>
      <c r="I2197" s="11">
        <f>IFERROR(INDEX(tEditais[Encerramento],MATCH(tItens[[#This Row],[Edital]],tEditais[Edital],0)),"")</f>
        <v>46311.333333333336</v>
      </c>
      <c r="J2197" t="str">
        <f>IFERROR(INDEX(tProdutos[Classe],MATCH(tItens[[#This Row],[Produto]],tProdutos[Produto],0)),"produto não cadastrado")</f>
        <v>FORA</v>
      </c>
      <c r="K2197" s="12">
        <f>tItens[[#This Row],[Qtd]]*tItens[[#This Row],[Vlr unit]]</f>
        <v>660.5</v>
      </c>
      <c r="L2197" s="6">
        <f>IFERROR(IF(INDEX(tProdutos[Desconto homologado],MATCH(tItens[[#This Row],[Produto]],tProdutos[Produto],0))="",DescontoPadrao,INDEX(tProdutos[Desconto homologado],MATCH(tItens[[#This Row],[Produto]],tProdutos[Produto],0))),DescontoPadrao)</f>
        <v>0.38271604938271597</v>
      </c>
      <c r="M2197" s="12">
        <f>tItens[[#This Row],[Valor]]*(1-tItens[[#This Row],[Desconto]])</f>
        <v>407.71604938271611</v>
      </c>
      <c r="N2197" t="str">
        <f>IFERROR(INDEX(tProdutos[Foco],MATCH(tItens[[#This Row],[Produto]],tProdutos[Produto],0)),"Não")</f>
        <v>Não</v>
      </c>
      <c r="O2197" t="str">
        <f>IFERROR(INDEX(tEditais[SRP],MATCH(tItens[[#This Row],[Edital]],tEditais[Edital],0)),"Não")</f>
        <v>Sim</v>
      </c>
      <c r="P2197" s="4">
        <f>IF(COUNTIFS(INDEX(tItens[Edital],1):tItens[[#This Row],[Edital]],tItens[[#This Row],[Edital]],INDEX(tItens[Produto],1):tItens[[#This Row],[Produto]],tItens[[#This Row],[Produto]])=1,1,0)</f>
        <v>1</v>
      </c>
    </row>
    <row r="2198" spans="1:16" x14ac:dyDescent="0.25">
      <c r="A2198" t="s">
        <v>1216</v>
      </c>
      <c r="B2198">
        <v>248</v>
      </c>
      <c r="C2198" t="s">
        <v>5236</v>
      </c>
      <c r="D2198" t="s">
        <v>421</v>
      </c>
      <c r="E2198" s="13">
        <v>50</v>
      </c>
      <c r="F2198" s="12">
        <v>13.21</v>
      </c>
      <c r="G2198" t="str">
        <f>IFERROR(INDEX(tEditais[Órgão],MATCH(tItens[[#This Row],[Edital]],tEditais[Edital],0)),"")</f>
        <v>FUNDO MUNICIPAL DE SAUDE</v>
      </c>
      <c r="H2198" t="str">
        <f>IFERROR(INDEX(tEditais[UF],MATCH(tItens[[#This Row],[Edital]],tEditais[Edital],0)),"")</f>
        <v>GO</v>
      </c>
      <c r="I2198" s="11">
        <f>IFERROR(INDEX(tEditais[Encerramento],MATCH(tItens[[#This Row],[Edital]],tEditais[Edital],0)),"")</f>
        <v>46311.333333333336</v>
      </c>
      <c r="J2198" t="str">
        <f>IFERROR(INDEX(tProdutos[Classe],MATCH(tItens[[#This Row],[Produto]],tProdutos[Produto],0)),"produto não cadastrado")</f>
        <v>FORA</v>
      </c>
      <c r="K2198" s="12">
        <f>tItens[[#This Row],[Qtd]]*tItens[[#This Row],[Vlr unit]]</f>
        <v>660.5</v>
      </c>
      <c r="L2198" s="6">
        <f>IFERROR(IF(INDEX(tProdutos[Desconto homologado],MATCH(tItens[[#This Row],[Produto]],tProdutos[Produto],0))="",DescontoPadrao,INDEX(tProdutos[Desconto homologado],MATCH(tItens[[#This Row],[Produto]],tProdutos[Produto],0))),DescontoPadrao)</f>
        <v>0.43</v>
      </c>
      <c r="M2198" s="12">
        <f>tItens[[#This Row],[Valor]]*(1-tItens[[#This Row],[Desconto]])</f>
        <v>376.48500000000001</v>
      </c>
      <c r="N2198" t="str">
        <f>IFERROR(INDEX(tProdutos[Foco],MATCH(tItens[[#This Row],[Produto]],tProdutos[Produto],0)),"Não")</f>
        <v>Sim</v>
      </c>
      <c r="O2198" t="str">
        <f>IFERROR(INDEX(tEditais[SRP],MATCH(tItens[[#This Row],[Edital]],tEditais[Edital],0)),"Não")</f>
        <v>Sim</v>
      </c>
      <c r="P2198" s="4">
        <f>IF(COUNTIFS(INDEX(tItens[Edital],1):tItens[[#This Row],[Edital]],tItens[[#This Row],[Edital]],INDEX(tItens[Produto],1):tItens[[#This Row],[Produto]],tItens[[#This Row],[Produto]])=1,1,0)</f>
        <v>1</v>
      </c>
    </row>
    <row r="2199" spans="1:16" x14ac:dyDescent="0.25">
      <c r="A2199" t="s">
        <v>1216</v>
      </c>
      <c r="B2199">
        <v>251</v>
      </c>
      <c r="C2199" t="s">
        <v>5237</v>
      </c>
      <c r="D2199" t="s">
        <v>425</v>
      </c>
      <c r="E2199" s="13">
        <v>50</v>
      </c>
      <c r="F2199" s="12">
        <v>13.21</v>
      </c>
      <c r="G2199" t="str">
        <f>IFERROR(INDEX(tEditais[Órgão],MATCH(tItens[[#This Row],[Edital]],tEditais[Edital],0)),"")</f>
        <v>FUNDO MUNICIPAL DE SAUDE</v>
      </c>
      <c r="H2199" t="str">
        <f>IFERROR(INDEX(tEditais[UF],MATCH(tItens[[#This Row],[Edital]],tEditais[Edital],0)),"")</f>
        <v>GO</v>
      </c>
      <c r="I2199" s="11">
        <f>IFERROR(INDEX(tEditais[Encerramento],MATCH(tItens[[#This Row],[Edital]],tEditais[Edital],0)),"")</f>
        <v>46311.333333333336</v>
      </c>
      <c r="J2199" t="str">
        <f>IFERROR(INDEX(tProdutos[Classe],MATCH(tItens[[#This Row],[Produto]],tProdutos[Produto],0)),"produto não cadastrado")</f>
        <v>FORA</v>
      </c>
      <c r="K2199" s="12">
        <f>tItens[[#This Row],[Qtd]]*tItens[[#This Row],[Vlr unit]]</f>
        <v>660.5</v>
      </c>
      <c r="L2199" s="6">
        <f>IFERROR(IF(INDEX(tProdutos[Desconto homologado],MATCH(tItens[[#This Row],[Produto]],tProdutos[Produto],0))="",DescontoPadrao,INDEX(tProdutos[Desconto homologado],MATCH(tItens[[#This Row],[Produto]],tProdutos[Produto],0))),DescontoPadrao)</f>
        <v>0.27454046510837898</v>
      </c>
      <c r="M2199" s="12">
        <f>tItens[[#This Row],[Valor]]*(1-tItens[[#This Row],[Desconto]])</f>
        <v>479.16602279591569</v>
      </c>
      <c r="N2199" t="str">
        <f>IFERROR(INDEX(tProdutos[Foco],MATCH(tItens[[#This Row],[Produto]],tProdutos[Produto],0)),"Não")</f>
        <v>Não</v>
      </c>
      <c r="O2199" t="str">
        <f>IFERROR(INDEX(tEditais[SRP],MATCH(tItens[[#This Row],[Edital]],tEditais[Edital],0)),"Não")</f>
        <v>Sim</v>
      </c>
      <c r="P2199" s="4">
        <f>IF(COUNTIFS(INDEX(tItens[Edital],1):tItens[[#This Row],[Edital]],tItens[[#This Row],[Edital]],INDEX(tItens[Produto],1):tItens[[#This Row],[Produto]],tItens[[#This Row],[Produto]])=1,1,0)</f>
        <v>1</v>
      </c>
    </row>
    <row r="2200" spans="1:16" x14ac:dyDescent="0.25">
      <c r="A2200" t="s">
        <v>1216</v>
      </c>
      <c r="B2200">
        <v>252</v>
      </c>
      <c r="C2200" t="s">
        <v>5238</v>
      </c>
      <c r="D2200" t="s">
        <v>688</v>
      </c>
      <c r="E2200" s="13">
        <v>50</v>
      </c>
      <c r="F2200" s="12">
        <v>13.21</v>
      </c>
      <c r="G2200" t="str">
        <f>IFERROR(INDEX(tEditais[Órgão],MATCH(tItens[[#This Row],[Edital]],tEditais[Edital],0)),"")</f>
        <v>FUNDO MUNICIPAL DE SAUDE</v>
      </c>
      <c r="H2200" t="str">
        <f>IFERROR(INDEX(tEditais[UF],MATCH(tItens[[#This Row],[Edital]],tEditais[Edital],0)),"")</f>
        <v>GO</v>
      </c>
      <c r="I2200" s="11">
        <f>IFERROR(INDEX(tEditais[Encerramento],MATCH(tItens[[#This Row],[Edital]],tEditais[Edital],0)),"")</f>
        <v>46311.333333333336</v>
      </c>
      <c r="J2200" t="str">
        <f>IFERROR(INDEX(tProdutos[Classe],MATCH(tItens[[#This Row],[Produto]],tProdutos[Produto],0)),"produto não cadastrado")</f>
        <v>FILA REBASE</v>
      </c>
      <c r="K2200" s="12">
        <f>tItens[[#This Row],[Qtd]]*tItens[[#This Row],[Vlr unit]]</f>
        <v>660.5</v>
      </c>
      <c r="L2200" s="6">
        <f>IFERROR(IF(INDEX(tProdutos[Desconto homologado],MATCH(tItens[[#This Row],[Produto]],tProdutos[Produto],0))="",DescontoPadrao,INDEX(tProdutos[Desconto homologado],MATCH(tItens[[#This Row],[Produto]],tProdutos[Produto],0))),DescontoPadrao)</f>
        <v>0.3</v>
      </c>
      <c r="M2200" s="12">
        <f>tItens[[#This Row],[Valor]]*(1-tItens[[#This Row],[Desconto]])</f>
        <v>462.34999999999997</v>
      </c>
      <c r="N2200" t="str">
        <f>IFERROR(INDEX(tProdutos[Foco],MATCH(tItens[[#This Row],[Produto]],tProdutos[Produto],0)),"Não")</f>
        <v>Não</v>
      </c>
      <c r="O2200" t="str">
        <f>IFERROR(INDEX(tEditais[SRP],MATCH(tItens[[#This Row],[Edital]],tEditais[Edital],0)),"Não")</f>
        <v>Sim</v>
      </c>
      <c r="P2200" s="4">
        <f>IF(COUNTIFS(INDEX(tItens[Edital],1):tItens[[#This Row],[Edital]],tItens[[#This Row],[Edital]],INDEX(tItens[Produto],1):tItens[[#This Row],[Produto]],tItens[[#This Row],[Produto]])=1,1,0)</f>
        <v>1</v>
      </c>
    </row>
    <row r="2201" spans="1:16" x14ac:dyDescent="0.25">
      <c r="A2201" t="s">
        <v>1216</v>
      </c>
      <c r="B2201">
        <v>264</v>
      </c>
      <c r="C2201" t="s">
        <v>5239</v>
      </c>
      <c r="D2201" t="s">
        <v>98</v>
      </c>
      <c r="E2201" s="13">
        <v>50</v>
      </c>
      <c r="F2201" s="12">
        <v>3.08</v>
      </c>
      <c r="G2201" t="str">
        <f>IFERROR(INDEX(tEditais[Órgão],MATCH(tItens[[#This Row],[Edital]],tEditais[Edital],0)),"")</f>
        <v>FUNDO MUNICIPAL DE SAUDE</v>
      </c>
      <c r="H2201" t="str">
        <f>IFERROR(INDEX(tEditais[UF],MATCH(tItens[[#This Row],[Edital]],tEditais[Edital],0)),"")</f>
        <v>GO</v>
      </c>
      <c r="I2201" s="11">
        <f>IFERROR(INDEX(tEditais[Encerramento],MATCH(tItens[[#This Row],[Edital]],tEditais[Edital],0)),"")</f>
        <v>46311.333333333336</v>
      </c>
      <c r="J2201" t="str">
        <f>IFERROR(INDEX(tProdutos[Classe],MATCH(tItens[[#This Row],[Produto]],tProdutos[Produto],0)),"produto não cadastrado")</f>
        <v>NÚCLEO</v>
      </c>
      <c r="K2201" s="12">
        <f>tItens[[#This Row],[Qtd]]*tItens[[#This Row],[Vlr unit]]</f>
        <v>154</v>
      </c>
      <c r="L2201" s="6">
        <f>IFERROR(IF(INDEX(tProdutos[Desconto homologado],MATCH(tItens[[#This Row],[Produto]],tProdutos[Produto],0))="",DescontoPadrao,INDEX(tProdutos[Desconto homologado],MATCH(tItens[[#This Row],[Produto]],tProdutos[Produto],0))),DescontoPadrao)</f>
        <v>0.39</v>
      </c>
      <c r="M2201" s="12">
        <f>tItens[[#This Row],[Valor]]*(1-tItens[[#This Row],[Desconto]])</f>
        <v>93.94</v>
      </c>
      <c r="N2201" t="str">
        <f>IFERROR(INDEX(tProdutos[Foco],MATCH(tItens[[#This Row],[Produto]],tProdutos[Produto],0)),"Não")</f>
        <v>Sim</v>
      </c>
      <c r="O2201" t="str">
        <f>IFERROR(INDEX(tEditais[SRP],MATCH(tItens[[#This Row],[Edital]],tEditais[Edital],0)),"Não")</f>
        <v>Sim</v>
      </c>
      <c r="P2201" s="4">
        <f>IF(COUNTIFS(INDEX(tItens[Edital],1):tItens[[#This Row],[Edital]],tItens[[#This Row],[Edital]],INDEX(tItens[Produto],1):tItens[[#This Row],[Produto]],tItens[[#This Row],[Produto]])=1,1,0)</f>
        <v>1</v>
      </c>
    </row>
    <row r="2202" spans="1:16" x14ac:dyDescent="0.25">
      <c r="A2202" t="s">
        <v>1216</v>
      </c>
      <c r="B2202">
        <v>265</v>
      </c>
      <c r="C2202" t="s">
        <v>5240</v>
      </c>
      <c r="D2202" t="s">
        <v>98</v>
      </c>
      <c r="E2202" s="13">
        <v>50</v>
      </c>
      <c r="F2202" s="12">
        <v>3.08</v>
      </c>
      <c r="G2202" t="str">
        <f>IFERROR(INDEX(tEditais[Órgão],MATCH(tItens[[#This Row],[Edital]],tEditais[Edital],0)),"")</f>
        <v>FUNDO MUNICIPAL DE SAUDE</v>
      </c>
      <c r="H2202" t="str">
        <f>IFERROR(INDEX(tEditais[UF],MATCH(tItens[[#This Row],[Edital]],tEditais[Edital],0)),"")</f>
        <v>GO</v>
      </c>
      <c r="I2202" s="11">
        <f>IFERROR(INDEX(tEditais[Encerramento],MATCH(tItens[[#This Row],[Edital]],tEditais[Edital],0)),"")</f>
        <v>46311.333333333336</v>
      </c>
      <c r="J2202" t="str">
        <f>IFERROR(INDEX(tProdutos[Classe],MATCH(tItens[[#This Row],[Produto]],tProdutos[Produto],0)),"produto não cadastrado")</f>
        <v>NÚCLEO</v>
      </c>
      <c r="K2202" s="12">
        <f>tItens[[#This Row],[Qtd]]*tItens[[#This Row],[Vlr unit]]</f>
        <v>154</v>
      </c>
      <c r="L2202" s="6">
        <f>IFERROR(IF(INDEX(tProdutos[Desconto homologado],MATCH(tItens[[#This Row],[Produto]],tProdutos[Produto],0))="",DescontoPadrao,INDEX(tProdutos[Desconto homologado],MATCH(tItens[[#This Row],[Produto]],tProdutos[Produto],0))),DescontoPadrao)</f>
        <v>0.39</v>
      </c>
      <c r="M2202" s="12">
        <f>tItens[[#This Row],[Valor]]*(1-tItens[[#This Row],[Desconto]])</f>
        <v>93.94</v>
      </c>
      <c r="N2202" t="str">
        <f>IFERROR(INDEX(tProdutos[Foco],MATCH(tItens[[#This Row],[Produto]],tProdutos[Produto],0)),"Não")</f>
        <v>Sim</v>
      </c>
      <c r="O2202" t="str">
        <f>IFERROR(INDEX(tEditais[SRP],MATCH(tItens[[#This Row],[Edital]],tEditais[Edital],0)),"Não")</f>
        <v>Sim</v>
      </c>
      <c r="P2202" s="4">
        <f>IF(COUNTIFS(INDEX(tItens[Edital],1):tItens[[#This Row],[Edital]],tItens[[#This Row],[Edital]],INDEX(tItens[Produto],1):tItens[[#This Row],[Produto]],tItens[[#This Row],[Produto]])=1,1,0)</f>
        <v>0</v>
      </c>
    </row>
    <row r="2203" spans="1:16" x14ac:dyDescent="0.25">
      <c r="A2203" t="s">
        <v>1216</v>
      </c>
      <c r="B2203">
        <v>266</v>
      </c>
      <c r="C2203" t="s">
        <v>5241</v>
      </c>
      <c r="D2203" t="s">
        <v>98</v>
      </c>
      <c r="E2203" s="13">
        <v>50</v>
      </c>
      <c r="F2203" s="12">
        <v>3.08</v>
      </c>
      <c r="G2203" t="str">
        <f>IFERROR(INDEX(tEditais[Órgão],MATCH(tItens[[#This Row],[Edital]],tEditais[Edital],0)),"")</f>
        <v>FUNDO MUNICIPAL DE SAUDE</v>
      </c>
      <c r="H2203" t="str">
        <f>IFERROR(INDEX(tEditais[UF],MATCH(tItens[[#This Row],[Edital]],tEditais[Edital],0)),"")</f>
        <v>GO</v>
      </c>
      <c r="I2203" s="11">
        <f>IFERROR(INDEX(tEditais[Encerramento],MATCH(tItens[[#This Row],[Edital]],tEditais[Edital],0)),"")</f>
        <v>46311.333333333336</v>
      </c>
      <c r="J2203" t="str">
        <f>IFERROR(INDEX(tProdutos[Classe],MATCH(tItens[[#This Row],[Produto]],tProdutos[Produto],0)),"produto não cadastrado")</f>
        <v>NÚCLEO</v>
      </c>
      <c r="K2203" s="12">
        <f>tItens[[#This Row],[Qtd]]*tItens[[#This Row],[Vlr unit]]</f>
        <v>154</v>
      </c>
      <c r="L2203" s="6">
        <f>IFERROR(IF(INDEX(tProdutos[Desconto homologado],MATCH(tItens[[#This Row],[Produto]],tProdutos[Produto],0))="",DescontoPadrao,INDEX(tProdutos[Desconto homologado],MATCH(tItens[[#This Row],[Produto]],tProdutos[Produto],0))),DescontoPadrao)</f>
        <v>0.39</v>
      </c>
      <c r="M2203" s="12">
        <f>tItens[[#This Row],[Valor]]*(1-tItens[[#This Row],[Desconto]])</f>
        <v>93.94</v>
      </c>
      <c r="N2203" t="str">
        <f>IFERROR(INDEX(tProdutos[Foco],MATCH(tItens[[#This Row],[Produto]],tProdutos[Produto],0)),"Não")</f>
        <v>Sim</v>
      </c>
      <c r="O2203" t="str">
        <f>IFERROR(INDEX(tEditais[SRP],MATCH(tItens[[#This Row],[Edital]],tEditais[Edital],0)),"Não")</f>
        <v>Sim</v>
      </c>
      <c r="P2203" s="4">
        <f>IF(COUNTIFS(INDEX(tItens[Edital],1):tItens[[#This Row],[Edital]],tItens[[#This Row],[Edital]],INDEX(tItens[Produto],1):tItens[[#This Row],[Produto]],tItens[[#This Row],[Produto]])=1,1,0)</f>
        <v>0</v>
      </c>
    </row>
    <row r="2204" spans="1:16" x14ac:dyDescent="0.25">
      <c r="A2204" t="s">
        <v>1216</v>
      </c>
      <c r="B2204">
        <v>267</v>
      </c>
      <c r="C2204" t="s">
        <v>5242</v>
      </c>
      <c r="D2204" t="s">
        <v>98</v>
      </c>
      <c r="E2204" s="13">
        <v>50</v>
      </c>
      <c r="F2204" s="12">
        <v>3.08</v>
      </c>
      <c r="G2204" t="str">
        <f>IFERROR(INDEX(tEditais[Órgão],MATCH(tItens[[#This Row],[Edital]],tEditais[Edital],0)),"")</f>
        <v>FUNDO MUNICIPAL DE SAUDE</v>
      </c>
      <c r="H2204" t="str">
        <f>IFERROR(INDEX(tEditais[UF],MATCH(tItens[[#This Row],[Edital]],tEditais[Edital],0)),"")</f>
        <v>GO</v>
      </c>
      <c r="I2204" s="11">
        <f>IFERROR(INDEX(tEditais[Encerramento],MATCH(tItens[[#This Row],[Edital]],tEditais[Edital],0)),"")</f>
        <v>46311.333333333336</v>
      </c>
      <c r="J2204" t="str">
        <f>IFERROR(INDEX(tProdutos[Classe],MATCH(tItens[[#This Row],[Produto]],tProdutos[Produto],0)),"produto não cadastrado")</f>
        <v>NÚCLEO</v>
      </c>
      <c r="K2204" s="12">
        <f>tItens[[#This Row],[Qtd]]*tItens[[#This Row],[Vlr unit]]</f>
        <v>154</v>
      </c>
      <c r="L2204" s="6">
        <f>IFERROR(IF(INDEX(tProdutos[Desconto homologado],MATCH(tItens[[#This Row],[Produto]],tProdutos[Produto],0))="",DescontoPadrao,INDEX(tProdutos[Desconto homologado],MATCH(tItens[[#This Row],[Produto]],tProdutos[Produto],0))),DescontoPadrao)</f>
        <v>0.39</v>
      </c>
      <c r="M2204" s="12">
        <f>tItens[[#This Row],[Valor]]*(1-tItens[[#This Row],[Desconto]])</f>
        <v>93.94</v>
      </c>
      <c r="N2204" t="str">
        <f>IFERROR(INDEX(tProdutos[Foco],MATCH(tItens[[#This Row],[Produto]],tProdutos[Produto],0)),"Não")</f>
        <v>Sim</v>
      </c>
      <c r="O2204" t="str">
        <f>IFERROR(INDEX(tEditais[SRP],MATCH(tItens[[#This Row],[Edital]],tEditais[Edital],0)),"Não")</f>
        <v>Sim</v>
      </c>
      <c r="P2204" s="4">
        <f>IF(COUNTIFS(INDEX(tItens[Edital],1):tItens[[#This Row],[Edital]],tItens[[#This Row],[Edital]],INDEX(tItens[Produto],1):tItens[[#This Row],[Produto]],tItens[[#This Row],[Produto]])=1,1,0)</f>
        <v>0</v>
      </c>
    </row>
    <row r="2205" spans="1:16" x14ac:dyDescent="0.25">
      <c r="A2205" t="s">
        <v>1216</v>
      </c>
      <c r="B2205">
        <v>268</v>
      </c>
      <c r="C2205" t="s">
        <v>5243</v>
      </c>
      <c r="D2205" t="s">
        <v>98</v>
      </c>
      <c r="E2205" s="13">
        <v>50</v>
      </c>
      <c r="F2205" s="12">
        <v>3.08</v>
      </c>
      <c r="G2205" t="str">
        <f>IFERROR(INDEX(tEditais[Órgão],MATCH(tItens[[#This Row],[Edital]],tEditais[Edital],0)),"")</f>
        <v>FUNDO MUNICIPAL DE SAUDE</v>
      </c>
      <c r="H2205" t="str">
        <f>IFERROR(INDEX(tEditais[UF],MATCH(tItens[[#This Row],[Edital]],tEditais[Edital],0)),"")</f>
        <v>GO</v>
      </c>
      <c r="I2205" s="11">
        <f>IFERROR(INDEX(tEditais[Encerramento],MATCH(tItens[[#This Row],[Edital]],tEditais[Edital],0)),"")</f>
        <v>46311.333333333336</v>
      </c>
      <c r="J2205" t="str">
        <f>IFERROR(INDEX(tProdutos[Classe],MATCH(tItens[[#This Row],[Produto]],tProdutos[Produto],0)),"produto não cadastrado")</f>
        <v>NÚCLEO</v>
      </c>
      <c r="K2205" s="12">
        <f>tItens[[#This Row],[Qtd]]*tItens[[#This Row],[Vlr unit]]</f>
        <v>154</v>
      </c>
      <c r="L2205" s="6">
        <f>IFERROR(IF(INDEX(tProdutos[Desconto homologado],MATCH(tItens[[#This Row],[Produto]],tProdutos[Produto],0))="",DescontoPadrao,INDEX(tProdutos[Desconto homologado],MATCH(tItens[[#This Row],[Produto]],tProdutos[Produto],0))),DescontoPadrao)</f>
        <v>0.39</v>
      </c>
      <c r="M2205" s="12">
        <f>tItens[[#This Row],[Valor]]*(1-tItens[[#This Row],[Desconto]])</f>
        <v>93.94</v>
      </c>
      <c r="N2205" t="str">
        <f>IFERROR(INDEX(tProdutos[Foco],MATCH(tItens[[#This Row],[Produto]],tProdutos[Produto],0)),"Não")</f>
        <v>Sim</v>
      </c>
      <c r="O2205" t="str">
        <f>IFERROR(INDEX(tEditais[SRP],MATCH(tItens[[#This Row],[Edital]],tEditais[Edital],0)),"Não")</f>
        <v>Sim</v>
      </c>
      <c r="P2205" s="4">
        <f>IF(COUNTIFS(INDEX(tItens[Edital],1):tItens[[#This Row],[Edital]],tItens[[#This Row],[Edital]],INDEX(tItens[Produto],1):tItens[[#This Row],[Produto]],tItens[[#This Row],[Produto]])=1,1,0)</f>
        <v>0</v>
      </c>
    </row>
    <row r="2206" spans="1:16" x14ac:dyDescent="0.25">
      <c r="A2206" t="s">
        <v>1216</v>
      </c>
      <c r="B2206">
        <v>277</v>
      </c>
      <c r="C2206" t="s">
        <v>5244</v>
      </c>
      <c r="D2206" t="s">
        <v>329</v>
      </c>
      <c r="E2206" s="13">
        <v>30000</v>
      </c>
      <c r="F2206" s="12">
        <v>0.78</v>
      </c>
      <c r="G2206" t="str">
        <f>IFERROR(INDEX(tEditais[Órgão],MATCH(tItens[[#This Row],[Edital]],tEditais[Edital],0)),"")</f>
        <v>FUNDO MUNICIPAL DE SAUDE</v>
      </c>
      <c r="H2206" t="str">
        <f>IFERROR(INDEX(tEditais[UF],MATCH(tItens[[#This Row],[Edital]],tEditais[Edital],0)),"")</f>
        <v>GO</v>
      </c>
      <c r="I2206" s="11">
        <f>IFERROR(INDEX(tEditais[Encerramento],MATCH(tItens[[#This Row],[Edital]],tEditais[Edital],0)),"")</f>
        <v>46311.333333333336</v>
      </c>
      <c r="J2206" t="str">
        <f>IFERROR(INDEX(tProdutos[Classe],MATCH(tItens[[#This Row],[Produto]],tProdutos[Produto],0)),"produto não cadastrado")</f>
        <v>FORA</v>
      </c>
      <c r="K2206" s="12">
        <f>tItens[[#This Row],[Qtd]]*tItens[[#This Row],[Vlr unit]]</f>
        <v>23400</v>
      </c>
      <c r="L2206" s="6">
        <f>IFERROR(IF(INDEX(tProdutos[Desconto homologado],MATCH(tItens[[#This Row],[Produto]],tProdutos[Produto],0))="",DescontoPadrao,INDEX(tProdutos[Desconto homologado],MATCH(tItens[[#This Row],[Produto]],tProdutos[Produto],0))),DescontoPadrao)</f>
        <v>0.46441781031074703</v>
      </c>
      <c r="M2206" s="12">
        <f>tItens[[#This Row],[Valor]]*(1-tItens[[#This Row],[Desconto]])</f>
        <v>12532.62323872852</v>
      </c>
      <c r="N2206" t="str">
        <f>IFERROR(INDEX(tProdutos[Foco],MATCH(tItens[[#This Row],[Produto]],tProdutos[Produto],0)),"Não")</f>
        <v>Não</v>
      </c>
      <c r="O2206" t="str">
        <f>IFERROR(INDEX(tEditais[SRP],MATCH(tItens[[#This Row],[Edital]],tEditais[Edital],0)),"Não")</f>
        <v>Sim</v>
      </c>
      <c r="P2206" s="4">
        <f>IF(COUNTIFS(INDEX(tItens[Edital],1):tItens[[#This Row],[Edital]],tItens[[#This Row],[Edital]],INDEX(tItens[Produto],1):tItens[[#This Row],[Produto]],tItens[[#This Row],[Produto]])=1,1,0)</f>
        <v>1</v>
      </c>
    </row>
    <row r="2207" spans="1:16" x14ac:dyDescent="0.25">
      <c r="A2207" t="s">
        <v>1216</v>
      </c>
      <c r="B2207">
        <v>278</v>
      </c>
      <c r="C2207" t="s">
        <v>5245</v>
      </c>
      <c r="D2207" t="s">
        <v>335</v>
      </c>
      <c r="E2207" s="13">
        <v>30000</v>
      </c>
      <c r="F2207" s="12">
        <v>0.78</v>
      </c>
      <c r="G2207" t="str">
        <f>IFERROR(INDEX(tEditais[Órgão],MATCH(tItens[[#This Row],[Edital]],tEditais[Edital],0)),"")</f>
        <v>FUNDO MUNICIPAL DE SAUDE</v>
      </c>
      <c r="H2207" t="str">
        <f>IFERROR(INDEX(tEditais[UF],MATCH(tItens[[#This Row],[Edital]],tEditais[Edital],0)),"")</f>
        <v>GO</v>
      </c>
      <c r="I2207" s="11">
        <f>IFERROR(INDEX(tEditais[Encerramento],MATCH(tItens[[#This Row],[Edital]],tEditais[Edital],0)),"")</f>
        <v>46311.333333333336</v>
      </c>
      <c r="J2207" t="str">
        <f>IFERROR(INDEX(tProdutos[Classe],MATCH(tItens[[#This Row],[Produto]],tProdutos[Produto],0)),"produto não cadastrado")</f>
        <v>FORA</v>
      </c>
      <c r="K2207" s="12">
        <f>tItens[[#This Row],[Qtd]]*tItens[[#This Row],[Vlr unit]]</f>
        <v>23400</v>
      </c>
      <c r="L2207" s="6">
        <f>IFERROR(IF(INDEX(tProdutos[Desconto homologado],MATCH(tItens[[#This Row],[Produto]],tProdutos[Produto],0))="",DescontoPadrao,INDEX(tProdutos[Desconto homologado],MATCH(tItens[[#This Row],[Produto]],tProdutos[Produto],0))),DescontoPadrao)</f>
        <v>0.419047619047619</v>
      </c>
      <c r="M2207" s="12">
        <f>tItens[[#This Row],[Valor]]*(1-tItens[[#This Row],[Desconto]])</f>
        <v>13594.285714285716</v>
      </c>
      <c r="N2207" t="str">
        <f>IFERROR(INDEX(tProdutos[Foco],MATCH(tItens[[#This Row],[Produto]],tProdutos[Produto],0)),"Não")</f>
        <v>Não</v>
      </c>
      <c r="O2207" t="str">
        <f>IFERROR(INDEX(tEditais[SRP],MATCH(tItens[[#This Row],[Edital]],tEditais[Edital],0)),"Não")</f>
        <v>Sim</v>
      </c>
      <c r="P2207" s="4">
        <f>IF(COUNTIFS(INDEX(tItens[Edital],1):tItens[[#This Row],[Edital]],tItens[[#This Row],[Edital]],INDEX(tItens[Produto],1):tItens[[#This Row],[Produto]],tItens[[#This Row],[Produto]])=1,1,0)</f>
        <v>1</v>
      </c>
    </row>
    <row r="2208" spans="1:16" x14ac:dyDescent="0.25">
      <c r="A2208" t="s">
        <v>1216</v>
      </c>
      <c r="B2208">
        <v>279</v>
      </c>
      <c r="C2208" t="s">
        <v>5246</v>
      </c>
      <c r="D2208" t="s">
        <v>365</v>
      </c>
      <c r="E2208" s="13">
        <v>30000</v>
      </c>
      <c r="F2208" s="12">
        <v>0.78</v>
      </c>
      <c r="G2208" t="str">
        <f>IFERROR(INDEX(tEditais[Órgão],MATCH(tItens[[#This Row],[Edital]],tEditais[Edital],0)),"")</f>
        <v>FUNDO MUNICIPAL DE SAUDE</v>
      </c>
      <c r="H2208" t="str">
        <f>IFERROR(INDEX(tEditais[UF],MATCH(tItens[[#This Row],[Edital]],tEditais[Edital],0)),"")</f>
        <v>GO</v>
      </c>
      <c r="I2208" s="11">
        <f>IFERROR(INDEX(tEditais[Encerramento],MATCH(tItens[[#This Row],[Edital]],tEditais[Edital],0)),"")</f>
        <v>46311.333333333336</v>
      </c>
      <c r="J2208" t="str">
        <f>IFERROR(INDEX(tProdutos[Classe],MATCH(tItens[[#This Row],[Produto]],tProdutos[Produto],0)),"produto não cadastrado")</f>
        <v>FORA</v>
      </c>
      <c r="K2208" s="12">
        <f>tItens[[#This Row],[Qtd]]*tItens[[#This Row],[Vlr unit]]</f>
        <v>23400</v>
      </c>
      <c r="L2208" s="6">
        <f>IFERROR(IF(INDEX(tProdutos[Desconto homologado],MATCH(tItens[[#This Row],[Produto]],tProdutos[Produto],0))="",DescontoPadrao,INDEX(tProdutos[Desconto homologado],MATCH(tItens[[#This Row],[Produto]],tProdutos[Produto],0))),DescontoPadrao)</f>
        <v>0.41120529659182697</v>
      </c>
      <c r="M2208" s="12">
        <f>tItens[[#This Row],[Valor]]*(1-tItens[[#This Row],[Desconto]])</f>
        <v>13777.79605975125</v>
      </c>
      <c r="N2208" t="str">
        <f>IFERROR(INDEX(tProdutos[Foco],MATCH(tItens[[#This Row],[Produto]],tProdutos[Produto],0)),"Não")</f>
        <v>Não</v>
      </c>
      <c r="O2208" t="str">
        <f>IFERROR(INDEX(tEditais[SRP],MATCH(tItens[[#This Row],[Edital]],tEditais[Edital],0)),"Não")</f>
        <v>Sim</v>
      </c>
      <c r="P2208" s="4">
        <f>IF(COUNTIFS(INDEX(tItens[Edital],1):tItens[[#This Row],[Edital]],tItens[[#This Row],[Edital]],INDEX(tItens[Produto],1):tItens[[#This Row],[Produto]],tItens[[#This Row],[Produto]])=1,1,0)</f>
        <v>1</v>
      </c>
    </row>
    <row r="2209" spans="1:16" x14ac:dyDescent="0.25">
      <c r="A2209" t="s">
        <v>1216</v>
      </c>
      <c r="B2209">
        <v>280</v>
      </c>
      <c r="C2209" t="s">
        <v>5247</v>
      </c>
      <c r="D2209" t="s">
        <v>379</v>
      </c>
      <c r="E2209" s="13">
        <v>30000</v>
      </c>
      <c r="F2209" s="12">
        <v>0.78</v>
      </c>
      <c r="G2209" t="str">
        <f>IFERROR(INDEX(tEditais[Órgão],MATCH(tItens[[#This Row],[Edital]],tEditais[Edital],0)),"")</f>
        <v>FUNDO MUNICIPAL DE SAUDE</v>
      </c>
      <c r="H2209" t="str">
        <f>IFERROR(INDEX(tEditais[UF],MATCH(tItens[[#This Row],[Edital]],tEditais[Edital],0)),"")</f>
        <v>GO</v>
      </c>
      <c r="I2209" s="11">
        <f>IFERROR(INDEX(tEditais[Encerramento],MATCH(tItens[[#This Row],[Edital]],tEditais[Edital],0)),"")</f>
        <v>46311.333333333336</v>
      </c>
      <c r="J2209" t="str">
        <f>IFERROR(INDEX(tProdutos[Classe],MATCH(tItens[[#This Row],[Produto]],tProdutos[Produto],0)),"produto não cadastrado")</f>
        <v>FORA</v>
      </c>
      <c r="K2209" s="12">
        <f>tItens[[#This Row],[Qtd]]*tItens[[#This Row],[Vlr unit]]</f>
        <v>23400</v>
      </c>
      <c r="L2209" s="6">
        <f>IFERROR(IF(INDEX(tProdutos[Desconto homologado],MATCH(tItens[[#This Row],[Produto]],tProdutos[Produto],0))="",DescontoPadrao,INDEX(tProdutos[Desconto homologado],MATCH(tItens[[#This Row],[Produto]],tProdutos[Produto],0))),DescontoPadrao)</f>
        <v>0.49504950495049499</v>
      </c>
      <c r="M2209" s="12">
        <f>tItens[[#This Row],[Valor]]*(1-tItens[[#This Row],[Desconto]])</f>
        <v>11815.841584158416</v>
      </c>
      <c r="N2209" t="str">
        <f>IFERROR(INDEX(tProdutos[Foco],MATCH(tItens[[#This Row],[Produto]],tProdutos[Produto],0)),"Não")</f>
        <v>Não</v>
      </c>
      <c r="O2209" t="str">
        <f>IFERROR(INDEX(tEditais[SRP],MATCH(tItens[[#This Row],[Edital]],tEditais[Edital],0)),"Não")</f>
        <v>Sim</v>
      </c>
      <c r="P2209" s="4">
        <f>IF(COUNTIFS(INDEX(tItens[Edital],1):tItens[[#This Row],[Edital]],tItens[[#This Row],[Edital]],INDEX(tItens[Produto],1):tItens[[#This Row],[Produto]],tItens[[#This Row],[Produto]])=1,1,0)</f>
        <v>1</v>
      </c>
    </row>
    <row r="2210" spans="1:16" x14ac:dyDescent="0.25">
      <c r="A2210" t="s">
        <v>1216</v>
      </c>
      <c r="B2210">
        <v>281</v>
      </c>
      <c r="C2210" t="s">
        <v>5248</v>
      </c>
      <c r="D2210" t="s">
        <v>247</v>
      </c>
      <c r="E2210" s="13">
        <v>30000</v>
      </c>
      <c r="F2210" s="12">
        <v>0.78</v>
      </c>
      <c r="G2210" t="str">
        <f>IFERROR(INDEX(tEditais[Órgão],MATCH(tItens[[#This Row],[Edital]],tEditais[Edital],0)),"")</f>
        <v>FUNDO MUNICIPAL DE SAUDE</v>
      </c>
      <c r="H2210" t="str">
        <f>IFERROR(INDEX(tEditais[UF],MATCH(tItens[[#This Row],[Edital]],tEditais[Edital],0)),"")</f>
        <v>GO</v>
      </c>
      <c r="I2210" s="11">
        <f>IFERROR(INDEX(tEditais[Encerramento],MATCH(tItens[[#This Row],[Edital]],tEditais[Edital],0)),"")</f>
        <v>46311.333333333336</v>
      </c>
      <c r="J2210" t="str">
        <f>IFERROR(INDEX(tProdutos[Classe],MATCH(tItens[[#This Row],[Produto]],tProdutos[Produto],0)),"produto não cadastrado")</f>
        <v>FORA</v>
      </c>
      <c r="K2210" s="12">
        <f>tItens[[#This Row],[Qtd]]*tItens[[#This Row],[Vlr unit]]</f>
        <v>23400</v>
      </c>
      <c r="L2210" s="6">
        <f>IFERROR(IF(INDEX(tProdutos[Desconto homologado],MATCH(tItens[[#This Row],[Produto]],tProdutos[Produto],0))="",DescontoPadrao,INDEX(tProdutos[Desconto homologado],MATCH(tItens[[#This Row],[Produto]],tProdutos[Produto],0))),DescontoPadrao)</f>
        <v>0.27353256199762999</v>
      </c>
      <c r="M2210" s="12">
        <f>tItens[[#This Row],[Valor]]*(1-tItens[[#This Row],[Desconto]])</f>
        <v>16999.338049255457</v>
      </c>
      <c r="N2210" t="str">
        <f>IFERROR(INDEX(tProdutos[Foco],MATCH(tItens[[#This Row],[Produto]],tProdutos[Produto],0)),"Não")</f>
        <v>Não</v>
      </c>
      <c r="O2210" t="str">
        <f>IFERROR(INDEX(tEditais[SRP],MATCH(tItens[[#This Row],[Edital]],tEditais[Edital],0)),"Não")</f>
        <v>Sim</v>
      </c>
      <c r="P2210" s="4">
        <f>IF(COUNTIFS(INDEX(tItens[Edital],1):tItens[[#This Row],[Edital]],tItens[[#This Row],[Edital]],INDEX(tItens[Produto],1):tItens[[#This Row],[Produto]],tItens[[#This Row],[Produto]])=1,1,0)</f>
        <v>1</v>
      </c>
    </row>
    <row r="2211" spans="1:16" x14ac:dyDescent="0.25">
      <c r="A2211" t="s">
        <v>1216</v>
      </c>
      <c r="B2211">
        <v>282</v>
      </c>
      <c r="C2211" t="s">
        <v>5249</v>
      </c>
      <c r="D2211" t="s">
        <v>287</v>
      </c>
      <c r="E2211" s="13">
        <v>30000</v>
      </c>
      <c r="F2211" s="12">
        <v>0.78</v>
      </c>
      <c r="G2211" t="str">
        <f>IFERROR(INDEX(tEditais[Órgão],MATCH(tItens[[#This Row],[Edital]],tEditais[Edital],0)),"")</f>
        <v>FUNDO MUNICIPAL DE SAUDE</v>
      </c>
      <c r="H2211" t="str">
        <f>IFERROR(INDEX(tEditais[UF],MATCH(tItens[[#This Row],[Edital]],tEditais[Edital],0)),"")</f>
        <v>GO</v>
      </c>
      <c r="I2211" s="11">
        <f>IFERROR(INDEX(tEditais[Encerramento],MATCH(tItens[[#This Row],[Edital]],tEditais[Edital],0)),"")</f>
        <v>46311.333333333336</v>
      </c>
      <c r="J2211" t="str">
        <f>IFERROR(INDEX(tProdutos[Classe],MATCH(tItens[[#This Row],[Produto]],tProdutos[Produto],0)),"produto não cadastrado")</f>
        <v>FORA</v>
      </c>
      <c r="K2211" s="12">
        <f>tItens[[#This Row],[Qtd]]*tItens[[#This Row],[Vlr unit]]</f>
        <v>23400</v>
      </c>
      <c r="L2211" s="6">
        <f>IFERROR(IF(INDEX(tProdutos[Desconto homologado],MATCH(tItens[[#This Row],[Produto]],tProdutos[Produto],0))="",DescontoPadrao,INDEX(tProdutos[Desconto homologado],MATCH(tItens[[#This Row],[Produto]],tProdutos[Produto],0))),DescontoPadrao)</f>
        <v>0.46344491178876002</v>
      </c>
      <c r="M2211" s="12">
        <f>tItens[[#This Row],[Valor]]*(1-tItens[[#This Row],[Desconto]])</f>
        <v>12555.389064143015</v>
      </c>
      <c r="N2211" t="str">
        <f>IFERROR(INDEX(tProdutos[Foco],MATCH(tItens[[#This Row],[Produto]],tProdutos[Produto],0)),"Não")</f>
        <v>Não</v>
      </c>
      <c r="O2211" t="str">
        <f>IFERROR(INDEX(tEditais[SRP],MATCH(tItens[[#This Row],[Edital]],tEditais[Edital],0)),"Não")</f>
        <v>Sim</v>
      </c>
      <c r="P2211" s="4">
        <f>IF(COUNTIFS(INDEX(tItens[Edital],1):tItens[[#This Row],[Edital]],tItens[[#This Row],[Edital]],INDEX(tItens[Produto],1):tItens[[#This Row],[Produto]],tItens[[#This Row],[Produto]])=1,1,0)</f>
        <v>1</v>
      </c>
    </row>
    <row r="2212" spans="1:16" x14ac:dyDescent="0.25">
      <c r="A2212" t="s">
        <v>1216</v>
      </c>
      <c r="B2212">
        <v>283</v>
      </c>
      <c r="C2212" t="s">
        <v>5250</v>
      </c>
      <c r="D2212" t="s">
        <v>221</v>
      </c>
      <c r="E2212" s="13">
        <v>30000</v>
      </c>
      <c r="F2212" s="12">
        <v>0.78</v>
      </c>
      <c r="G2212" t="str">
        <f>IFERROR(INDEX(tEditais[Órgão],MATCH(tItens[[#This Row],[Edital]],tEditais[Edital],0)),"")</f>
        <v>FUNDO MUNICIPAL DE SAUDE</v>
      </c>
      <c r="H2212" t="str">
        <f>IFERROR(INDEX(tEditais[UF],MATCH(tItens[[#This Row],[Edital]],tEditais[Edital],0)),"")</f>
        <v>GO</v>
      </c>
      <c r="I2212" s="11">
        <f>IFERROR(INDEX(tEditais[Encerramento],MATCH(tItens[[#This Row],[Edital]],tEditais[Edital],0)),"")</f>
        <v>46311.333333333336</v>
      </c>
      <c r="J2212" t="str">
        <f>IFERROR(INDEX(tProdutos[Classe],MATCH(tItens[[#This Row],[Produto]],tProdutos[Produto],0)),"produto não cadastrado")</f>
        <v>FORA</v>
      </c>
      <c r="K2212" s="12">
        <f>tItens[[#This Row],[Qtd]]*tItens[[#This Row],[Vlr unit]]</f>
        <v>23400</v>
      </c>
      <c r="L2212" s="6">
        <f>IFERROR(IF(INDEX(tProdutos[Desconto homologado],MATCH(tItens[[#This Row],[Produto]],tProdutos[Produto],0))="",DescontoPadrao,INDEX(tProdutos[Desconto homologado],MATCH(tItens[[#This Row],[Produto]],tProdutos[Produto],0))),DescontoPadrao)</f>
        <v>0.35408560311283999</v>
      </c>
      <c r="M2212" s="12">
        <f>tItens[[#This Row],[Valor]]*(1-tItens[[#This Row],[Desconto]])</f>
        <v>15114.396887159544</v>
      </c>
      <c r="N2212" t="str">
        <f>IFERROR(INDEX(tProdutos[Foco],MATCH(tItens[[#This Row],[Produto]],tProdutos[Produto],0)),"Não")</f>
        <v>Não</v>
      </c>
      <c r="O2212" t="str">
        <f>IFERROR(INDEX(tEditais[SRP],MATCH(tItens[[#This Row],[Edital]],tEditais[Edital],0)),"Não")</f>
        <v>Sim</v>
      </c>
      <c r="P2212" s="4">
        <f>IF(COUNTIFS(INDEX(tItens[Edital],1):tItens[[#This Row],[Edital]],tItens[[#This Row],[Edital]],INDEX(tItens[Produto],1):tItens[[#This Row],[Produto]],tItens[[#This Row],[Produto]])=1,1,0)</f>
        <v>1</v>
      </c>
    </row>
    <row r="2213" spans="1:16" x14ac:dyDescent="0.25">
      <c r="A2213" t="s">
        <v>1216</v>
      </c>
      <c r="B2213">
        <v>284</v>
      </c>
      <c r="C2213" t="s">
        <v>5251</v>
      </c>
      <c r="D2213" t="s">
        <v>73</v>
      </c>
      <c r="E2213" s="13">
        <v>2000</v>
      </c>
      <c r="F2213" s="12">
        <v>1.51</v>
      </c>
      <c r="G2213" t="str">
        <f>IFERROR(INDEX(tEditais[Órgão],MATCH(tItens[[#This Row],[Edital]],tEditais[Edital],0)),"")</f>
        <v>FUNDO MUNICIPAL DE SAUDE</v>
      </c>
      <c r="H2213" t="str">
        <f>IFERROR(INDEX(tEditais[UF],MATCH(tItens[[#This Row],[Edital]],tEditais[Edital],0)),"")</f>
        <v>GO</v>
      </c>
      <c r="I2213" s="11">
        <f>IFERROR(INDEX(tEditais[Encerramento],MATCH(tItens[[#This Row],[Edital]],tEditais[Edital],0)),"")</f>
        <v>46311.333333333336</v>
      </c>
      <c r="J2213" t="str">
        <f>IFERROR(INDEX(tProdutos[Classe],MATCH(tItens[[#This Row],[Produto]],tProdutos[Produto],0)),"produto não cadastrado")</f>
        <v>NÚCLEO</v>
      </c>
      <c r="K2213" s="12">
        <f>tItens[[#This Row],[Qtd]]*tItens[[#This Row],[Vlr unit]]</f>
        <v>3020</v>
      </c>
      <c r="L2213" s="6">
        <f>IFERROR(IF(INDEX(tProdutos[Desconto homologado],MATCH(tItens[[#This Row],[Produto]],tProdutos[Produto],0))="",DescontoPadrao,INDEX(tProdutos[Desconto homologado],MATCH(tItens[[#This Row],[Produto]],tProdutos[Produto],0))),DescontoPadrao)</f>
        <v>0.37</v>
      </c>
      <c r="M2213" s="12">
        <f>tItens[[#This Row],[Valor]]*(1-tItens[[#This Row],[Desconto]])</f>
        <v>1902.6</v>
      </c>
      <c r="N2213" t="str">
        <f>IFERROR(INDEX(tProdutos[Foco],MATCH(tItens[[#This Row],[Produto]],tProdutos[Produto],0)),"Não")</f>
        <v>Sim</v>
      </c>
      <c r="O2213" t="str">
        <f>IFERROR(INDEX(tEditais[SRP],MATCH(tItens[[#This Row],[Edital]],tEditais[Edital],0)),"Não")</f>
        <v>Sim</v>
      </c>
      <c r="P2213" s="4">
        <f>IF(COUNTIFS(INDEX(tItens[Edital],1):tItens[[#This Row],[Edital]],tItens[[#This Row],[Edital]],INDEX(tItens[Produto],1):tItens[[#This Row],[Produto]],tItens[[#This Row],[Produto]])=1,1,0)</f>
        <v>1</v>
      </c>
    </row>
    <row r="2214" spans="1:16" x14ac:dyDescent="0.25">
      <c r="A2214" t="s">
        <v>1216</v>
      </c>
      <c r="B2214">
        <v>285</v>
      </c>
      <c r="C2214" t="s">
        <v>5252</v>
      </c>
      <c r="D2214" t="s">
        <v>73</v>
      </c>
      <c r="E2214" s="13">
        <v>2000</v>
      </c>
      <c r="F2214" s="12">
        <v>1.2</v>
      </c>
      <c r="G2214" t="str">
        <f>IFERROR(INDEX(tEditais[Órgão],MATCH(tItens[[#This Row],[Edital]],tEditais[Edital],0)),"")</f>
        <v>FUNDO MUNICIPAL DE SAUDE</v>
      </c>
      <c r="H2214" t="str">
        <f>IFERROR(INDEX(tEditais[UF],MATCH(tItens[[#This Row],[Edital]],tEditais[Edital],0)),"")</f>
        <v>GO</v>
      </c>
      <c r="I2214" s="11">
        <f>IFERROR(INDEX(tEditais[Encerramento],MATCH(tItens[[#This Row],[Edital]],tEditais[Edital],0)),"")</f>
        <v>46311.333333333336</v>
      </c>
      <c r="J2214" t="str">
        <f>IFERROR(INDEX(tProdutos[Classe],MATCH(tItens[[#This Row],[Produto]],tProdutos[Produto],0)),"produto não cadastrado")</f>
        <v>NÚCLEO</v>
      </c>
      <c r="K2214" s="12">
        <f>tItens[[#This Row],[Qtd]]*tItens[[#This Row],[Vlr unit]]</f>
        <v>2400</v>
      </c>
      <c r="L2214" s="6">
        <f>IFERROR(IF(INDEX(tProdutos[Desconto homologado],MATCH(tItens[[#This Row],[Produto]],tProdutos[Produto],0))="",DescontoPadrao,INDEX(tProdutos[Desconto homologado],MATCH(tItens[[#This Row],[Produto]],tProdutos[Produto],0))),DescontoPadrao)</f>
        <v>0.37</v>
      </c>
      <c r="M2214" s="12">
        <f>tItens[[#This Row],[Valor]]*(1-tItens[[#This Row],[Desconto]])</f>
        <v>1512</v>
      </c>
      <c r="N2214" t="str">
        <f>IFERROR(INDEX(tProdutos[Foco],MATCH(tItens[[#This Row],[Produto]],tProdutos[Produto],0)),"Não")</f>
        <v>Sim</v>
      </c>
      <c r="O2214" t="str">
        <f>IFERROR(INDEX(tEditais[SRP],MATCH(tItens[[#This Row],[Edital]],tEditais[Edital],0)),"Não")</f>
        <v>Sim</v>
      </c>
      <c r="P2214" s="4">
        <f>IF(COUNTIFS(INDEX(tItens[Edital],1):tItens[[#This Row],[Edital]],tItens[[#This Row],[Edital]],INDEX(tItens[Produto],1):tItens[[#This Row],[Produto]],tItens[[#This Row],[Produto]])=1,1,0)</f>
        <v>0</v>
      </c>
    </row>
    <row r="2215" spans="1:16" x14ac:dyDescent="0.25">
      <c r="A2215" t="s">
        <v>1216</v>
      </c>
      <c r="B2215">
        <v>286</v>
      </c>
      <c r="C2215" t="s">
        <v>5253</v>
      </c>
      <c r="D2215" t="s">
        <v>73</v>
      </c>
      <c r="E2215" s="13">
        <v>2000</v>
      </c>
      <c r="F2215" s="12">
        <v>1.2</v>
      </c>
      <c r="G2215" t="str">
        <f>IFERROR(INDEX(tEditais[Órgão],MATCH(tItens[[#This Row],[Edital]],tEditais[Edital],0)),"")</f>
        <v>FUNDO MUNICIPAL DE SAUDE</v>
      </c>
      <c r="H2215" t="str">
        <f>IFERROR(INDEX(tEditais[UF],MATCH(tItens[[#This Row],[Edital]],tEditais[Edital],0)),"")</f>
        <v>GO</v>
      </c>
      <c r="I2215" s="11">
        <f>IFERROR(INDEX(tEditais[Encerramento],MATCH(tItens[[#This Row],[Edital]],tEditais[Edital],0)),"")</f>
        <v>46311.333333333336</v>
      </c>
      <c r="J2215" t="str">
        <f>IFERROR(INDEX(tProdutos[Classe],MATCH(tItens[[#This Row],[Produto]],tProdutos[Produto],0)),"produto não cadastrado")</f>
        <v>NÚCLEO</v>
      </c>
      <c r="K2215" s="12">
        <f>tItens[[#This Row],[Qtd]]*tItens[[#This Row],[Vlr unit]]</f>
        <v>2400</v>
      </c>
      <c r="L2215" s="6">
        <f>IFERROR(IF(INDEX(tProdutos[Desconto homologado],MATCH(tItens[[#This Row],[Produto]],tProdutos[Produto],0))="",DescontoPadrao,INDEX(tProdutos[Desconto homologado],MATCH(tItens[[#This Row],[Produto]],tProdutos[Produto],0))),DescontoPadrao)</f>
        <v>0.37</v>
      </c>
      <c r="M2215" s="12">
        <f>tItens[[#This Row],[Valor]]*(1-tItens[[#This Row],[Desconto]])</f>
        <v>1512</v>
      </c>
      <c r="N2215" t="str">
        <f>IFERROR(INDEX(tProdutos[Foco],MATCH(tItens[[#This Row],[Produto]],tProdutos[Produto],0)),"Não")</f>
        <v>Sim</v>
      </c>
      <c r="O2215" t="str">
        <f>IFERROR(INDEX(tEditais[SRP],MATCH(tItens[[#This Row],[Edital]],tEditais[Edital],0)),"Não")</f>
        <v>Sim</v>
      </c>
      <c r="P2215" s="4">
        <f>IF(COUNTIFS(INDEX(tItens[Edital],1):tItens[[#This Row],[Edital]],tItens[[#This Row],[Edital]],INDEX(tItens[Produto],1):tItens[[#This Row],[Produto]],tItens[[#This Row],[Produto]])=1,1,0)</f>
        <v>0</v>
      </c>
    </row>
    <row r="2216" spans="1:16" x14ac:dyDescent="0.25">
      <c r="A2216" t="s">
        <v>1216</v>
      </c>
      <c r="B2216">
        <v>287</v>
      </c>
      <c r="C2216" t="s">
        <v>5254</v>
      </c>
      <c r="D2216" t="s">
        <v>245</v>
      </c>
      <c r="E2216" s="13">
        <v>50</v>
      </c>
      <c r="F2216" s="12">
        <v>99.07</v>
      </c>
      <c r="G2216" t="str">
        <f>IFERROR(INDEX(tEditais[Órgão],MATCH(tItens[[#This Row],[Edital]],tEditais[Edital],0)),"")</f>
        <v>FUNDO MUNICIPAL DE SAUDE</v>
      </c>
      <c r="H2216" t="str">
        <f>IFERROR(INDEX(tEditais[UF],MATCH(tItens[[#This Row],[Edital]],tEditais[Edital],0)),"")</f>
        <v>GO</v>
      </c>
      <c r="I2216" s="11">
        <f>IFERROR(INDEX(tEditais[Encerramento],MATCH(tItens[[#This Row],[Edital]],tEditais[Edital],0)),"")</f>
        <v>46311.333333333336</v>
      </c>
      <c r="J2216" t="str">
        <f>IFERROR(INDEX(tProdutos[Classe],MATCH(tItens[[#This Row],[Produto]],tProdutos[Produto],0)),"produto não cadastrado")</f>
        <v>FORA</v>
      </c>
      <c r="K2216" s="12">
        <f>tItens[[#This Row],[Qtd]]*tItens[[#This Row],[Vlr unit]]</f>
        <v>4953.5</v>
      </c>
      <c r="L2216" s="6">
        <f>IFERROR(IF(INDEX(tProdutos[Desconto homologado],MATCH(tItens[[#This Row],[Produto]],tProdutos[Produto],0))="",DescontoPadrao,INDEX(tProdutos[Desconto homologado],MATCH(tItens[[#This Row],[Produto]],tProdutos[Produto],0))),DescontoPadrao)</f>
        <v>0.34516963542284401</v>
      </c>
      <c r="M2216" s="12">
        <f>tItens[[#This Row],[Valor]]*(1-tItens[[#This Row],[Desconto]])</f>
        <v>3243.7022109329423</v>
      </c>
      <c r="N2216" t="str">
        <f>IFERROR(INDEX(tProdutos[Foco],MATCH(tItens[[#This Row],[Produto]],tProdutos[Produto],0)),"Não")</f>
        <v>Não</v>
      </c>
      <c r="O2216" t="str">
        <f>IFERROR(INDEX(tEditais[SRP],MATCH(tItens[[#This Row],[Edital]],tEditais[Edital],0)),"Não")</f>
        <v>Sim</v>
      </c>
      <c r="P2216" s="4">
        <f>IF(COUNTIFS(INDEX(tItens[Edital],1):tItens[[#This Row],[Edital]],tItens[[#This Row],[Edital]],INDEX(tItens[Produto],1):tItens[[#This Row],[Produto]],tItens[[#This Row],[Produto]])=1,1,0)</f>
        <v>1</v>
      </c>
    </row>
    <row r="2217" spans="1:16" x14ac:dyDescent="0.25">
      <c r="A2217" t="s">
        <v>1216</v>
      </c>
      <c r="B2217">
        <v>288</v>
      </c>
      <c r="C2217" t="s">
        <v>5255</v>
      </c>
      <c r="D2217" t="s">
        <v>245</v>
      </c>
      <c r="E2217" s="13">
        <v>50</v>
      </c>
      <c r="F2217" s="12">
        <v>99.07</v>
      </c>
      <c r="G2217" t="str">
        <f>IFERROR(INDEX(tEditais[Órgão],MATCH(tItens[[#This Row],[Edital]],tEditais[Edital],0)),"")</f>
        <v>FUNDO MUNICIPAL DE SAUDE</v>
      </c>
      <c r="H2217" t="str">
        <f>IFERROR(INDEX(tEditais[UF],MATCH(tItens[[#This Row],[Edital]],tEditais[Edital],0)),"")</f>
        <v>GO</v>
      </c>
      <c r="I2217" s="11">
        <f>IFERROR(INDEX(tEditais[Encerramento],MATCH(tItens[[#This Row],[Edital]],tEditais[Edital],0)),"")</f>
        <v>46311.333333333336</v>
      </c>
      <c r="J2217" t="str">
        <f>IFERROR(INDEX(tProdutos[Classe],MATCH(tItens[[#This Row],[Produto]],tProdutos[Produto],0)),"produto não cadastrado")</f>
        <v>FORA</v>
      </c>
      <c r="K2217" s="12">
        <f>tItens[[#This Row],[Qtd]]*tItens[[#This Row],[Vlr unit]]</f>
        <v>4953.5</v>
      </c>
      <c r="L2217" s="6">
        <f>IFERROR(IF(INDEX(tProdutos[Desconto homologado],MATCH(tItens[[#This Row],[Produto]],tProdutos[Produto],0))="",DescontoPadrao,INDEX(tProdutos[Desconto homologado],MATCH(tItens[[#This Row],[Produto]],tProdutos[Produto],0))),DescontoPadrao)</f>
        <v>0.34516963542284401</v>
      </c>
      <c r="M2217" s="12">
        <f>tItens[[#This Row],[Valor]]*(1-tItens[[#This Row],[Desconto]])</f>
        <v>3243.7022109329423</v>
      </c>
      <c r="N2217" t="str">
        <f>IFERROR(INDEX(tProdutos[Foco],MATCH(tItens[[#This Row],[Produto]],tProdutos[Produto],0)),"Não")</f>
        <v>Não</v>
      </c>
      <c r="O2217" t="str">
        <f>IFERROR(INDEX(tEditais[SRP],MATCH(tItens[[#This Row],[Edital]],tEditais[Edital],0)),"Não")</f>
        <v>Sim</v>
      </c>
      <c r="P2217" s="4">
        <f>IF(COUNTIFS(INDEX(tItens[Edital],1):tItens[[#This Row],[Edital]],tItens[[#This Row],[Edital]],INDEX(tItens[Produto],1):tItens[[#This Row],[Produto]],tItens[[#This Row],[Produto]])=1,1,0)</f>
        <v>0</v>
      </c>
    </row>
    <row r="2218" spans="1:16" x14ac:dyDescent="0.25">
      <c r="A2218" t="s">
        <v>1216</v>
      </c>
      <c r="B2218">
        <v>289</v>
      </c>
      <c r="C2218" t="s">
        <v>5256</v>
      </c>
      <c r="D2218" t="s">
        <v>245</v>
      </c>
      <c r="E2218" s="13">
        <v>50</v>
      </c>
      <c r="F2218" s="12">
        <v>99.07</v>
      </c>
      <c r="G2218" t="str">
        <f>IFERROR(INDEX(tEditais[Órgão],MATCH(tItens[[#This Row],[Edital]],tEditais[Edital],0)),"")</f>
        <v>FUNDO MUNICIPAL DE SAUDE</v>
      </c>
      <c r="H2218" t="str">
        <f>IFERROR(INDEX(tEditais[UF],MATCH(tItens[[#This Row],[Edital]],tEditais[Edital],0)),"")</f>
        <v>GO</v>
      </c>
      <c r="I2218" s="11">
        <f>IFERROR(INDEX(tEditais[Encerramento],MATCH(tItens[[#This Row],[Edital]],tEditais[Edital],0)),"")</f>
        <v>46311.333333333336</v>
      </c>
      <c r="J2218" t="str">
        <f>IFERROR(INDEX(tProdutos[Classe],MATCH(tItens[[#This Row],[Produto]],tProdutos[Produto],0)),"produto não cadastrado")</f>
        <v>FORA</v>
      </c>
      <c r="K2218" s="12">
        <f>tItens[[#This Row],[Qtd]]*tItens[[#This Row],[Vlr unit]]</f>
        <v>4953.5</v>
      </c>
      <c r="L2218" s="6">
        <f>IFERROR(IF(INDEX(tProdutos[Desconto homologado],MATCH(tItens[[#This Row],[Produto]],tProdutos[Produto],0))="",DescontoPadrao,INDEX(tProdutos[Desconto homologado],MATCH(tItens[[#This Row],[Produto]],tProdutos[Produto],0))),DescontoPadrao)</f>
        <v>0.34516963542284401</v>
      </c>
      <c r="M2218" s="12">
        <f>tItens[[#This Row],[Valor]]*(1-tItens[[#This Row],[Desconto]])</f>
        <v>3243.7022109329423</v>
      </c>
      <c r="N2218" t="str">
        <f>IFERROR(INDEX(tProdutos[Foco],MATCH(tItens[[#This Row],[Produto]],tProdutos[Produto],0)),"Não")</f>
        <v>Não</v>
      </c>
      <c r="O2218" t="str">
        <f>IFERROR(INDEX(tEditais[SRP],MATCH(tItens[[#This Row],[Edital]],tEditais[Edital],0)),"Não")</f>
        <v>Sim</v>
      </c>
      <c r="P2218" s="4">
        <f>IF(COUNTIFS(INDEX(tItens[Edital],1):tItens[[#This Row],[Edital]],tItens[[#This Row],[Edital]],INDEX(tItens[Produto],1):tItens[[#This Row],[Produto]],tItens[[#This Row],[Produto]])=1,1,0)</f>
        <v>0</v>
      </c>
    </row>
    <row r="2219" spans="1:16" x14ac:dyDescent="0.25">
      <c r="A2219" t="s">
        <v>1216</v>
      </c>
      <c r="B2219">
        <v>290</v>
      </c>
      <c r="C2219" t="s">
        <v>5257</v>
      </c>
      <c r="D2219" t="s">
        <v>245</v>
      </c>
      <c r="E2219" s="13">
        <v>50</v>
      </c>
      <c r="F2219" s="12">
        <v>99.07</v>
      </c>
      <c r="G2219" t="str">
        <f>IFERROR(INDEX(tEditais[Órgão],MATCH(tItens[[#This Row],[Edital]],tEditais[Edital],0)),"")</f>
        <v>FUNDO MUNICIPAL DE SAUDE</v>
      </c>
      <c r="H2219" t="str">
        <f>IFERROR(INDEX(tEditais[UF],MATCH(tItens[[#This Row],[Edital]],tEditais[Edital],0)),"")</f>
        <v>GO</v>
      </c>
      <c r="I2219" s="11">
        <f>IFERROR(INDEX(tEditais[Encerramento],MATCH(tItens[[#This Row],[Edital]],tEditais[Edital],0)),"")</f>
        <v>46311.333333333336</v>
      </c>
      <c r="J2219" t="str">
        <f>IFERROR(INDEX(tProdutos[Classe],MATCH(tItens[[#This Row],[Produto]],tProdutos[Produto],0)),"produto não cadastrado")</f>
        <v>FORA</v>
      </c>
      <c r="K2219" s="12">
        <f>tItens[[#This Row],[Qtd]]*tItens[[#This Row],[Vlr unit]]</f>
        <v>4953.5</v>
      </c>
      <c r="L2219" s="6">
        <f>IFERROR(IF(INDEX(tProdutos[Desconto homologado],MATCH(tItens[[#This Row],[Produto]],tProdutos[Produto],0))="",DescontoPadrao,INDEX(tProdutos[Desconto homologado],MATCH(tItens[[#This Row],[Produto]],tProdutos[Produto],0))),DescontoPadrao)</f>
        <v>0.34516963542284401</v>
      </c>
      <c r="M2219" s="12">
        <f>tItens[[#This Row],[Valor]]*(1-tItens[[#This Row],[Desconto]])</f>
        <v>3243.7022109329423</v>
      </c>
      <c r="N2219" t="str">
        <f>IFERROR(INDEX(tProdutos[Foco],MATCH(tItens[[#This Row],[Produto]],tProdutos[Produto],0)),"Não")</f>
        <v>Não</v>
      </c>
      <c r="O2219" t="str">
        <f>IFERROR(INDEX(tEditais[SRP],MATCH(tItens[[#This Row],[Edital]],tEditais[Edital],0)),"Não")</f>
        <v>Sim</v>
      </c>
      <c r="P2219" s="4">
        <f>IF(COUNTIFS(INDEX(tItens[Edital],1):tItens[[#This Row],[Edital]],tItens[[#This Row],[Edital]],INDEX(tItens[Produto],1):tItens[[#This Row],[Produto]],tItens[[#This Row],[Produto]])=1,1,0)</f>
        <v>0</v>
      </c>
    </row>
    <row r="2220" spans="1:16" x14ac:dyDescent="0.25">
      <c r="A2220" t="s">
        <v>1216</v>
      </c>
      <c r="B2220">
        <v>291</v>
      </c>
      <c r="C2220" t="s">
        <v>5258</v>
      </c>
      <c r="D2220" t="s">
        <v>245</v>
      </c>
      <c r="E2220" s="13">
        <v>50</v>
      </c>
      <c r="F2220" s="12">
        <v>99.07</v>
      </c>
      <c r="G2220" t="str">
        <f>IFERROR(INDEX(tEditais[Órgão],MATCH(tItens[[#This Row],[Edital]],tEditais[Edital],0)),"")</f>
        <v>FUNDO MUNICIPAL DE SAUDE</v>
      </c>
      <c r="H2220" t="str">
        <f>IFERROR(INDEX(tEditais[UF],MATCH(tItens[[#This Row],[Edital]],tEditais[Edital],0)),"")</f>
        <v>GO</v>
      </c>
      <c r="I2220" s="11">
        <f>IFERROR(INDEX(tEditais[Encerramento],MATCH(tItens[[#This Row],[Edital]],tEditais[Edital],0)),"")</f>
        <v>46311.333333333336</v>
      </c>
      <c r="J2220" t="str">
        <f>IFERROR(INDEX(tProdutos[Classe],MATCH(tItens[[#This Row],[Produto]],tProdutos[Produto],0)),"produto não cadastrado")</f>
        <v>FORA</v>
      </c>
      <c r="K2220" s="12">
        <f>tItens[[#This Row],[Qtd]]*tItens[[#This Row],[Vlr unit]]</f>
        <v>4953.5</v>
      </c>
      <c r="L2220" s="6">
        <f>IFERROR(IF(INDEX(tProdutos[Desconto homologado],MATCH(tItens[[#This Row],[Produto]],tProdutos[Produto],0))="",DescontoPadrao,INDEX(tProdutos[Desconto homologado],MATCH(tItens[[#This Row],[Produto]],tProdutos[Produto],0))),DescontoPadrao)</f>
        <v>0.34516963542284401</v>
      </c>
      <c r="M2220" s="12">
        <f>tItens[[#This Row],[Valor]]*(1-tItens[[#This Row],[Desconto]])</f>
        <v>3243.7022109329423</v>
      </c>
      <c r="N2220" t="str">
        <f>IFERROR(INDEX(tProdutos[Foco],MATCH(tItens[[#This Row],[Produto]],tProdutos[Produto],0)),"Não")</f>
        <v>Não</v>
      </c>
      <c r="O2220" t="str">
        <f>IFERROR(INDEX(tEditais[SRP],MATCH(tItens[[#This Row],[Edital]],tEditais[Edital],0)),"Não")</f>
        <v>Sim</v>
      </c>
      <c r="P2220" s="4">
        <f>IF(COUNTIFS(INDEX(tItens[Edital],1):tItens[[#This Row],[Edital]],tItens[[#This Row],[Edital]],INDEX(tItens[Produto],1):tItens[[#This Row],[Produto]],tItens[[#This Row],[Produto]])=1,1,0)</f>
        <v>0</v>
      </c>
    </row>
    <row r="2221" spans="1:16" x14ac:dyDescent="0.25">
      <c r="A2221" t="s">
        <v>1216</v>
      </c>
      <c r="B2221">
        <v>384</v>
      </c>
      <c r="C2221" t="s">
        <v>5259</v>
      </c>
      <c r="D2221" t="s">
        <v>311</v>
      </c>
      <c r="E2221" s="13">
        <v>1000</v>
      </c>
      <c r="F2221" s="12">
        <v>4.8600000000000003</v>
      </c>
      <c r="G2221" t="str">
        <f>IFERROR(INDEX(tEditais[Órgão],MATCH(tItens[[#This Row],[Edital]],tEditais[Edital],0)),"")</f>
        <v>FUNDO MUNICIPAL DE SAUDE</v>
      </c>
      <c r="H2221" t="str">
        <f>IFERROR(INDEX(tEditais[UF],MATCH(tItens[[#This Row],[Edital]],tEditais[Edital],0)),"")</f>
        <v>GO</v>
      </c>
      <c r="I2221" s="11">
        <f>IFERROR(INDEX(tEditais[Encerramento],MATCH(tItens[[#This Row],[Edital]],tEditais[Edital],0)),"")</f>
        <v>46311.333333333336</v>
      </c>
      <c r="J2221" t="str">
        <f>IFERROR(INDEX(tProdutos[Classe],MATCH(tItens[[#This Row],[Produto]],tProdutos[Produto],0)),"produto não cadastrado")</f>
        <v>FORA</v>
      </c>
      <c r="K2221" s="12">
        <f>tItens[[#This Row],[Qtd]]*tItens[[#This Row],[Vlr unit]]</f>
        <v>4860</v>
      </c>
      <c r="L2221" s="6">
        <f>IFERROR(IF(INDEX(tProdutos[Desconto homologado],MATCH(tItens[[#This Row],[Produto]],tProdutos[Produto],0))="",DescontoPadrao,INDEX(tProdutos[Desconto homologado],MATCH(tItens[[#This Row],[Produto]],tProdutos[Produto],0))),DescontoPadrao)</f>
        <v>0.29046182846371399</v>
      </c>
      <c r="M2221" s="12">
        <f>tItens[[#This Row],[Valor]]*(1-tItens[[#This Row],[Desconto]])</f>
        <v>3448.3555136663504</v>
      </c>
      <c r="N2221" t="str">
        <f>IFERROR(INDEX(tProdutos[Foco],MATCH(tItens[[#This Row],[Produto]],tProdutos[Produto],0)),"Não")</f>
        <v>Não</v>
      </c>
      <c r="O2221" t="str">
        <f>IFERROR(INDEX(tEditais[SRP],MATCH(tItens[[#This Row],[Edital]],tEditais[Edital],0)),"Não")</f>
        <v>Sim</v>
      </c>
      <c r="P2221" s="4">
        <f>IF(COUNTIFS(INDEX(tItens[Edital],1):tItens[[#This Row],[Edital]],tItens[[#This Row],[Edital]],INDEX(tItens[Produto],1):tItens[[#This Row],[Produto]],tItens[[#This Row],[Produto]])=1,1,0)</f>
        <v>1</v>
      </c>
    </row>
    <row r="2222" spans="1:16" x14ac:dyDescent="0.25">
      <c r="A2222" t="s">
        <v>1216</v>
      </c>
      <c r="B2222">
        <v>385</v>
      </c>
      <c r="C2222" t="s">
        <v>5260</v>
      </c>
      <c r="D2222" t="s">
        <v>311</v>
      </c>
      <c r="E2222" s="13">
        <v>1500</v>
      </c>
      <c r="F2222" s="12">
        <v>9.5299999999999994</v>
      </c>
      <c r="G2222" t="str">
        <f>IFERROR(INDEX(tEditais[Órgão],MATCH(tItens[[#This Row],[Edital]],tEditais[Edital],0)),"")</f>
        <v>FUNDO MUNICIPAL DE SAUDE</v>
      </c>
      <c r="H2222" t="str">
        <f>IFERROR(INDEX(tEditais[UF],MATCH(tItens[[#This Row],[Edital]],tEditais[Edital],0)),"")</f>
        <v>GO</v>
      </c>
      <c r="I2222" s="11">
        <f>IFERROR(INDEX(tEditais[Encerramento],MATCH(tItens[[#This Row],[Edital]],tEditais[Edital],0)),"")</f>
        <v>46311.333333333336</v>
      </c>
      <c r="J2222" t="str">
        <f>IFERROR(INDEX(tProdutos[Classe],MATCH(tItens[[#This Row],[Produto]],tProdutos[Produto],0)),"produto não cadastrado")</f>
        <v>FORA</v>
      </c>
      <c r="K2222" s="12">
        <f>tItens[[#This Row],[Qtd]]*tItens[[#This Row],[Vlr unit]]</f>
        <v>14294.999999999998</v>
      </c>
      <c r="L2222" s="6">
        <f>IFERROR(IF(INDEX(tProdutos[Desconto homologado],MATCH(tItens[[#This Row],[Produto]],tProdutos[Produto],0))="",DescontoPadrao,INDEX(tProdutos[Desconto homologado],MATCH(tItens[[#This Row],[Produto]],tProdutos[Produto],0))),DescontoPadrao)</f>
        <v>0.29046182846371399</v>
      </c>
      <c r="M2222" s="12">
        <f>tItens[[#This Row],[Valor]]*(1-tItens[[#This Row],[Desconto]])</f>
        <v>10142.848162111208</v>
      </c>
      <c r="N2222" t="str">
        <f>IFERROR(INDEX(tProdutos[Foco],MATCH(tItens[[#This Row],[Produto]],tProdutos[Produto],0)),"Não")</f>
        <v>Não</v>
      </c>
      <c r="O2222" t="str">
        <f>IFERROR(INDEX(tEditais[SRP],MATCH(tItens[[#This Row],[Edital]],tEditais[Edital],0)),"Não")</f>
        <v>Sim</v>
      </c>
      <c r="P2222" s="4">
        <f>IF(COUNTIFS(INDEX(tItens[Edital],1):tItens[[#This Row],[Edital]],tItens[[#This Row],[Edital]],INDEX(tItens[Produto],1):tItens[[#This Row],[Produto]],tItens[[#This Row],[Produto]])=1,1,0)</f>
        <v>0</v>
      </c>
    </row>
    <row r="2223" spans="1:16" x14ac:dyDescent="0.25">
      <c r="A2223" t="s">
        <v>1216</v>
      </c>
      <c r="B2223">
        <v>386</v>
      </c>
      <c r="C2223" t="s">
        <v>5261</v>
      </c>
      <c r="D2223" t="s">
        <v>311</v>
      </c>
      <c r="E2223" s="13">
        <v>500</v>
      </c>
      <c r="F2223" s="12">
        <v>3.21</v>
      </c>
      <c r="G2223" t="str">
        <f>IFERROR(INDEX(tEditais[Órgão],MATCH(tItens[[#This Row],[Edital]],tEditais[Edital],0)),"")</f>
        <v>FUNDO MUNICIPAL DE SAUDE</v>
      </c>
      <c r="H2223" t="str">
        <f>IFERROR(INDEX(tEditais[UF],MATCH(tItens[[#This Row],[Edital]],tEditais[Edital],0)),"")</f>
        <v>GO</v>
      </c>
      <c r="I2223" s="11">
        <f>IFERROR(INDEX(tEditais[Encerramento],MATCH(tItens[[#This Row],[Edital]],tEditais[Edital],0)),"")</f>
        <v>46311.333333333336</v>
      </c>
      <c r="J2223" t="str">
        <f>IFERROR(INDEX(tProdutos[Classe],MATCH(tItens[[#This Row],[Produto]],tProdutos[Produto],0)),"produto não cadastrado")</f>
        <v>FORA</v>
      </c>
      <c r="K2223" s="12">
        <f>tItens[[#This Row],[Qtd]]*tItens[[#This Row],[Vlr unit]]</f>
        <v>1605</v>
      </c>
      <c r="L2223" s="6">
        <f>IFERROR(IF(INDEX(tProdutos[Desconto homologado],MATCH(tItens[[#This Row],[Produto]],tProdutos[Produto],0))="",DescontoPadrao,INDEX(tProdutos[Desconto homologado],MATCH(tItens[[#This Row],[Produto]],tProdutos[Produto],0))),DescontoPadrao)</f>
        <v>0.29046182846371399</v>
      </c>
      <c r="M2223" s="12">
        <f>tItens[[#This Row],[Valor]]*(1-tItens[[#This Row],[Desconto]])</f>
        <v>1138.808765315739</v>
      </c>
      <c r="N2223" t="str">
        <f>IFERROR(INDEX(tProdutos[Foco],MATCH(tItens[[#This Row],[Produto]],tProdutos[Produto],0)),"Não")</f>
        <v>Não</v>
      </c>
      <c r="O2223" t="str">
        <f>IFERROR(INDEX(tEditais[SRP],MATCH(tItens[[#This Row],[Edital]],tEditais[Edital],0)),"Não")</f>
        <v>Sim</v>
      </c>
      <c r="P2223" s="4">
        <f>IF(COUNTIFS(INDEX(tItens[Edital],1):tItens[[#This Row],[Edital]],tItens[[#This Row],[Edital]],INDEX(tItens[Produto],1):tItens[[#This Row],[Produto]],tItens[[#This Row],[Produto]])=1,1,0)</f>
        <v>0</v>
      </c>
    </row>
    <row r="2224" spans="1:16" x14ac:dyDescent="0.25">
      <c r="A2224" t="s">
        <v>1216</v>
      </c>
      <c r="B2224">
        <v>387</v>
      </c>
      <c r="C2224" t="s">
        <v>5262</v>
      </c>
      <c r="D2224" t="s">
        <v>371</v>
      </c>
      <c r="E2224" s="13">
        <v>20000</v>
      </c>
      <c r="F2224" s="12">
        <v>0.43</v>
      </c>
      <c r="G2224" t="str">
        <f>IFERROR(INDEX(tEditais[Órgão],MATCH(tItens[[#This Row],[Edital]],tEditais[Edital],0)),"")</f>
        <v>FUNDO MUNICIPAL DE SAUDE</v>
      </c>
      <c r="H2224" t="str">
        <f>IFERROR(INDEX(tEditais[UF],MATCH(tItens[[#This Row],[Edital]],tEditais[Edital],0)),"")</f>
        <v>GO</v>
      </c>
      <c r="I2224" s="11">
        <f>IFERROR(INDEX(tEditais[Encerramento],MATCH(tItens[[#This Row],[Edital]],tEditais[Edital],0)),"")</f>
        <v>46311.333333333336</v>
      </c>
      <c r="J2224" t="str">
        <f>IFERROR(INDEX(tProdutos[Classe],MATCH(tItens[[#This Row],[Produto]],tProdutos[Produto],0)),"produto não cadastrado")</f>
        <v>FORA</v>
      </c>
      <c r="K2224" s="12">
        <f>tItens[[#This Row],[Qtd]]*tItens[[#This Row],[Vlr unit]]</f>
        <v>8600</v>
      </c>
      <c r="L2224" s="6">
        <f>IFERROR(IF(INDEX(tProdutos[Desconto homologado],MATCH(tItens[[#This Row],[Produto]],tProdutos[Produto],0))="",DescontoPadrao,INDEX(tProdutos[Desconto homologado],MATCH(tItens[[#This Row],[Produto]],tProdutos[Produto],0))),DescontoPadrao)</f>
        <v>0.217826086956522</v>
      </c>
      <c r="M2224" s="12">
        <f>tItens[[#This Row],[Valor]]*(1-tItens[[#This Row],[Desconto]])</f>
        <v>6726.6956521739103</v>
      </c>
      <c r="N2224" t="str">
        <f>IFERROR(INDEX(tProdutos[Foco],MATCH(tItens[[#This Row],[Produto]],tProdutos[Produto],0)),"Não")</f>
        <v>Não</v>
      </c>
      <c r="O2224" t="str">
        <f>IFERROR(INDEX(tEditais[SRP],MATCH(tItens[[#This Row],[Edital]],tEditais[Edital],0)),"Não")</f>
        <v>Sim</v>
      </c>
      <c r="P2224" s="4">
        <f>IF(COUNTIFS(INDEX(tItens[Edital],1):tItens[[#This Row],[Edital]],tItens[[#This Row],[Edital]],INDEX(tItens[Produto],1):tItens[[#This Row],[Produto]],tItens[[#This Row],[Produto]])=1,1,0)</f>
        <v>1</v>
      </c>
    </row>
    <row r="2225" spans="1:16" x14ac:dyDescent="0.25">
      <c r="A2225" t="s">
        <v>1216</v>
      </c>
      <c r="B2225">
        <v>391</v>
      </c>
      <c r="C2225" t="s">
        <v>5263</v>
      </c>
      <c r="D2225" t="s">
        <v>160</v>
      </c>
      <c r="E2225" s="13">
        <v>500</v>
      </c>
      <c r="F2225" s="12">
        <v>56.04</v>
      </c>
      <c r="G2225" t="str">
        <f>IFERROR(INDEX(tEditais[Órgão],MATCH(tItens[[#This Row],[Edital]],tEditais[Edital],0)),"")</f>
        <v>FUNDO MUNICIPAL DE SAUDE</v>
      </c>
      <c r="H2225" t="str">
        <f>IFERROR(INDEX(tEditais[UF],MATCH(tItens[[#This Row],[Edital]],tEditais[Edital],0)),"")</f>
        <v>GO</v>
      </c>
      <c r="I2225" s="11">
        <f>IFERROR(INDEX(tEditais[Encerramento],MATCH(tItens[[#This Row],[Edital]],tEditais[Edital],0)),"")</f>
        <v>46311.333333333336</v>
      </c>
      <c r="J2225" t="str">
        <f>IFERROR(INDEX(tProdutos[Classe],MATCH(tItens[[#This Row],[Produto]],tProdutos[Produto],0)),"produto não cadastrado")</f>
        <v>DISPUTADO</v>
      </c>
      <c r="K2225" s="12">
        <f>tItens[[#This Row],[Qtd]]*tItens[[#This Row],[Vlr unit]]</f>
        <v>28020</v>
      </c>
      <c r="L2225" s="6">
        <f>IFERROR(IF(INDEX(tProdutos[Desconto homologado],MATCH(tItens[[#This Row],[Produto]],tProdutos[Produto],0))="",DescontoPadrao,INDEX(tProdutos[Desconto homologado],MATCH(tItens[[#This Row],[Produto]],tProdutos[Produto],0))),DescontoPadrao)</f>
        <v>0.28000000000000003</v>
      </c>
      <c r="M2225" s="12">
        <f>tItens[[#This Row],[Valor]]*(1-tItens[[#This Row],[Desconto]])</f>
        <v>20174.399999999998</v>
      </c>
      <c r="N2225" t="str">
        <f>IFERROR(INDEX(tProdutos[Foco],MATCH(tItens[[#This Row],[Produto]],tProdutos[Produto],0)),"Não")</f>
        <v>Sim</v>
      </c>
      <c r="O2225" t="str">
        <f>IFERROR(INDEX(tEditais[SRP],MATCH(tItens[[#This Row],[Edital]],tEditais[Edital],0)),"Não")</f>
        <v>Sim</v>
      </c>
      <c r="P2225" s="4">
        <f>IF(COUNTIFS(INDEX(tItens[Edital],1):tItens[[#This Row],[Edital]],tItens[[#This Row],[Edital]],INDEX(tItens[Produto],1):tItens[[#This Row],[Produto]],tItens[[#This Row],[Produto]])=1,1,0)</f>
        <v>1</v>
      </c>
    </row>
    <row r="2226" spans="1:16" x14ac:dyDescent="0.25">
      <c r="A2226" t="s">
        <v>1216</v>
      </c>
      <c r="B2226">
        <v>394</v>
      </c>
      <c r="C2226" t="s">
        <v>5264</v>
      </c>
      <c r="D2226" t="s">
        <v>341</v>
      </c>
      <c r="E2226" s="13">
        <v>5000</v>
      </c>
      <c r="F2226" s="12">
        <v>19.91</v>
      </c>
      <c r="G2226" t="str">
        <f>IFERROR(INDEX(tEditais[Órgão],MATCH(tItens[[#This Row],[Edital]],tEditais[Edital],0)),"")</f>
        <v>FUNDO MUNICIPAL DE SAUDE</v>
      </c>
      <c r="H2226" t="str">
        <f>IFERROR(INDEX(tEditais[UF],MATCH(tItens[[#This Row],[Edital]],tEditais[Edital],0)),"")</f>
        <v>GO</v>
      </c>
      <c r="I2226" s="11">
        <f>IFERROR(INDEX(tEditais[Encerramento],MATCH(tItens[[#This Row],[Edital]],tEditais[Edital],0)),"")</f>
        <v>46311.333333333336</v>
      </c>
      <c r="J2226" t="str">
        <f>IFERROR(INDEX(tProdutos[Classe],MATCH(tItens[[#This Row],[Produto]],tProdutos[Produto],0)),"produto não cadastrado")</f>
        <v>FORA</v>
      </c>
      <c r="K2226" s="12">
        <f>tItens[[#This Row],[Qtd]]*tItens[[#This Row],[Vlr unit]]</f>
        <v>99550</v>
      </c>
      <c r="L2226" s="6">
        <f>IFERROR(IF(INDEX(tProdutos[Desconto homologado],MATCH(tItens[[#This Row],[Produto]],tProdutos[Produto],0))="",DescontoPadrao,INDEX(tProdutos[Desconto homologado],MATCH(tItens[[#This Row],[Produto]],tProdutos[Produto],0))),DescontoPadrao)</f>
        <v>0.46918578497525898</v>
      </c>
      <c r="M2226" s="12">
        <f>tItens[[#This Row],[Valor]]*(1-tItens[[#This Row],[Desconto]])</f>
        <v>52842.555105712971</v>
      </c>
      <c r="N2226" t="str">
        <f>IFERROR(INDEX(tProdutos[Foco],MATCH(tItens[[#This Row],[Produto]],tProdutos[Produto],0)),"Não")</f>
        <v>Não</v>
      </c>
      <c r="O2226" t="str">
        <f>IFERROR(INDEX(tEditais[SRP],MATCH(tItens[[#This Row],[Edital]],tEditais[Edital],0)),"Não")</f>
        <v>Sim</v>
      </c>
      <c r="P2226" s="4">
        <f>IF(COUNTIFS(INDEX(tItens[Edital],1):tItens[[#This Row],[Edital]],tItens[[#This Row],[Edital]],INDEX(tItens[Produto],1):tItens[[#This Row],[Produto]],tItens[[#This Row],[Produto]])=1,1,0)</f>
        <v>1</v>
      </c>
    </row>
    <row r="2227" spans="1:16" x14ac:dyDescent="0.25">
      <c r="A2227" t="s">
        <v>1216</v>
      </c>
      <c r="B2227">
        <v>395</v>
      </c>
      <c r="C2227" t="s">
        <v>5265</v>
      </c>
      <c r="D2227" t="s">
        <v>193</v>
      </c>
      <c r="E2227" s="13">
        <v>250</v>
      </c>
      <c r="F2227" s="12">
        <v>9.91</v>
      </c>
      <c r="G2227" t="str">
        <f>IFERROR(INDEX(tEditais[Órgão],MATCH(tItens[[#This Row],[Edital]],tEditais[Edital],0)),"")</f>
        <v>FUNDO MUNICIPAL DE SAUDE</v>
      </c>
      <c r="H2227" t="str">
        <f>IFERROR(INDEX(tEditais[UF],MATCH(tItens[[#This Row],[Edital]],tEditais[Edital],0)),"")</f>
        <v>GO</v>
      </c>
      <c r="I2227" s="11">
        <f>IFERROR(INDEX(tEditais[Encerramento],MATCH(tItens[[#This Row],[Edital]],tEditais[Edital],0)),"")</f>
        <v>46311.333333333336</v>
      </c>
      <c r="J2227" t="str">
        <f>IFERROR(INDEX(tProdutos[Classe],MATCH(tItens[[#This Row],[Produto]],tProdutos[Produto],0)),"produto não cadastrado")</f>
        <v>DISPUTADO</v>
      </c>
      <c r="K2227" s="12">
        <f>tItens[[#This Row],[Qtd]]*tItens[[#This Row],[Vlr unit]]</f>
        <v>2477.5</v>
      </c>
      <c r="L2227" s="6">
        <f>IFERROR(IF(INDEX(tProdutos[Desconto homologado],MATCH(tItens[[#This Row],[Produto]],tProdutos[Produto],0))="",DescontoPadrao,INDEX(tProdutos[Desconto homologado],MATCH(tItens[[#This Row],[Produto]],tProdutos[Produto],0))),DescontoPadrao)</f>
        <v>0.293849658314351</v>
      </c>
      <c r="M2227" s="12">
        <f>tItens[[#This Row],[Valor]]*(1-tItens[[#This Row],[Desconto]])</f>
        <v>1749.4874715261953</v>
      </c>
      <c r="N2227" t="str">
        <f>IFERROR(INDEX(tProdutos[Foco],MATCH(tItens[[#This Row],[Produto]],tProdutos[Produto],0)),"Não")</f>
        <v>Não</v>
      </c>
      <c r="O2227" t="str">
        <f>IFERROR(INDEX(tEditais[SRP],MATCH(tItens[[#This Row],[Edital]],tEditais[Edital],0)),"Não")</f>
        <v>Sim</v>
      </c>
      <c r="P2227" s="4">
        <f>IF(COUNTIFS(INDEX(tItens[Edital],1):tItens[[#This Row],[Edital]],tItens[[#This Row],[Edital]],INDEX(tItens[Produto],1):tItens[[#This Row],[Produto]],tItens[[#This Row],[Produto]])=1,1,0)</f>
        <v>1</v>
      </c>
    </row>
    <row r="2228" spans="1:16" x14ac:dyDescent="0.25">
      <c r="A2228" t="s">
        <v>1216</v>
      </c>
      <c r="B2228">
        <v>396</v>
      </c>
      <c r="C2228" t="s">
        <v>5266</v>
      </c>
      <c r="D2228" t="s">
        <v>193</v>
      </c>
      <c r="E2228" s="13">
        <v>250</v>
      </c>
      <c r="F2228" s="12">
        <v>9.91</v>
      </c>
      <c r="G2228" t="str">
        <f>IFERROR(INDEX(tEditais[Órgão],MATCH(tItens[[#This Row],[Edital]],tEditais[Edital],0)),"")</f>
        <v>FUNDO MUNICIPAL DE SAUDE</v>
      </c>
      <c r="H2228" t="str">
        <f>IFERROR(INDEX(tEditais[UF],MATCH(tItens[[#This Row],[Edital]],tEditais[Edital],0)),"")</f>
        <v>GO</v>
      </c>
      <c r="I2228" s="11">
        <f>IFERROR(INDEX(tEditais[Encerramento],MATCH(tItens[[#This Row],[Edital]],tEditais[Edital],0)),"")</f>
        <v>46311.333333333336</v>
      </c>
      <c r="J2228" t="str">
        <f>IFERROR(INDEX(tProdutos[Classe],MATCH(tItens[[#This Row],[Produto]],tProdutos[Produto],0)),"produto não cadastrado")</f>
        <v>DISPUTADO</v>
      </c>
      <c r="K2228" s="12">
        <f>tItens[[#This Row],[Qtd]]*tItens[[#This Row],[Vlr unit]]</f>
        <v>2477.5</v>
      </c>
      <c r="L2228" s="6">
        <f>IFERROR(IF(INDEX(tProdutos[Desconto homologado],MATCH(tItens[[#This Row],[Produto]],tProdutos[Produto],0))="",DescontoPadrao,INDEX(tProdutos[Desconto homologado],MATCH(tItens[[#This Row],[Produto]],tProdutos[Produto],0))),DescontoPadrao)</f>
        <v>0.293849658314351</v>
      </c>
      <c r="M2228" s="12">
        <f>tItens[[#This Row],[Valor]]*(1-tItens[[#This Row],[Desconto]])</f>
        <v>1749.4874715261953</v>
      </c>
      <c r="N2228" t="str">
        <f>IFERROR(INDEX(tProdutos[Foco],MATCH(tItens[[#This Row],[Produto]],tProdutos[Produto],0)),"Não")</f>
        <v>Não</v>
      </c>
      <c r="O2228" t="str">
        <f>IFERROR(INDEX(tEditais[SRP],MATCH(tItens[[#This Row],[Edital]],tEditais[Edital],0)),"Não")</f>
        <v>Sim</v>
      </c>
      <c r="P2228" s="4">
        <f>IF(COUNTIFS(INDEX(tItens[Edital],1):tItens[[#This Row],[Edital]],tItens[[#This Row],[Edital]],INDEX(tItens[Produto],1):tItens[[#This Row],[Produto]],tItens[[#This Row],[Produto]])=1,1,0)</f>
        <v>0</v>
      </c>
    </row>
    <row r="2229" spans="1:16" x14ac:dyDescent="0.25">
      <c r="A2229" t="s">
        <v>1216</v>
      </c>
      <c r="B2229">
        <v>398</v>
      </c>
      <c r="C2229" t="s">
        <v>5267</v>
      </c>
      <c r="D2229" t="s">
        <v>156</v>
      </c>
      <c r="E2229" s="13">
        <v>500</v>
      </c>
      <c r="F2229" s="12">
        <v>10.06</v>
      </c>
      <c r="G2229" t="str">
        <f>IFERROR(INDEX(tEditais[Órgão],MATCH(tItens[[#This Row],[Edital]],tEditais[Edital],0)),"")</f>
        <v>FUNDO MUNICIPAL DE SAUDE</v>
      </c>
      <c r="H2229" t="str">
        <f>IFERROR(INDEX(tEditais[UF],MATCH(tItens[[#This Row],[Edital]],tEditais[Edital],0)),"")</f>
        <v>GO</v>
      </c>
      <c r="I2229" s="11">
        <f>IFERROR(INDEX(tEditais[Encerramento],MATCH(tItens[[#This Row],[Edital]],tEditais[Edital],0)),"")</f>
        <v>46311.333333333336</v>
      </c>
      <c r="J2229" t="str">
        <f>IFERROR(INDEX(tProdutos[Classe],MATCH(tItens[[#This Row],[Produto]],tProdutos[Produto],0)),"produto não cadastrado")</f>
        <v>DISPUTADO</v>
      </c>
      <c r="K2229" s="12">
        <f>tItens[[#This Row],[Qtd]]*tItens[[#This Row],[Vlr unit]]</f>
        <v>5030</v>
      </c>
      <c r="L2229" s="6">
        <f>IFERROR(IF(INDEX(tProdutos[Desconto homologado],MATCH(tItens[[#This Row],[Produto]],tProdutos[Produto],0))="",DescontoPadrao,INDEX(tProdutos[Desconto homologado],MATCH(tItens[[#This Row],[Produto]],tProdutos[Produto],0))),DescontoPadrao)</f>
        <v>0.27131852489802799</v>
      </c>
      <c r="M2229" s="12">
        <f>tItens[[#This Row],[Valor]]*(1-tItens[[#This Row],[Desconto]])</f>
        <v>3665.2678197629193</v>
      </c>
      <c r="N2229" t="str">
        <f>IFERROR(INDEX(tProdutos[Foco],MATCH(tItens[[#This Row],[Produto]],tProdutos[Produto],0)),"Não")</f>
        <v>Não</v>
      </c>
      <c r="O2229" t="str">
        <f>IFERROR(INDEX(tEditais[SRP],MATCH(tItens[[#This Row],[Edital]],tEditais[Edital],0)),"Não")</f>
        <v>Sim</v>
      </c>
      <c r="P2229" s="4">
        <f>IF(COUNTIFS(INDEX(tItens[Edital],1):tItens[[#This Row],[Edital]],tItens[[#This Row],[Edital]],INDEX(tItens[Produto],1):tItens[[#This Row],[Produto]],tItens[[#This Row],[Produto]])=1,1,0)</f>
        <v>1</v>
      </c>
    </row>
    <row r="2230" spans="1:16" x14ac:dyDescent="0.25">
      <c r="A2230" t="s">
        <v>1216</v>
      </c>
      <c r="B2230">
        <v>496</v>
      </c>
      <c r="C2230" t="s">
        <v>5268</v>
      </c>
      <c r="D2230" t="s">
        <v>325</v>
      </c>
      <c r="E2230" s="13">
        <v>5000</v>
      </c>
      <c r="F2230" s="12">
        <v>0.2</v>
      </c>
      <c r="G2230" t="str">
        <f>IFERROR(INDEX(tEditais[Órgão],MATCH(tItens[[#This Row],[Edital]],tEditais[Edital],0)),"")</f>
        <v>FUNDO MUNICIPAL DE SAUDE</v>
      </c>
      <c r="H2230" t="str">
        <f>IFERROR(INDEX(tEditais[UF],MATCH(tItens[[#This Row],[Edital]],tEditais[Edital],0)),"")</f>
        <v>GO</v>
      </c>
      <c r="I2230" s="11">
        <f>IFERROR(INDEX(tEditais[Encerramento],MATCH(tItens[[#This Row],[Edital]],tEditais[Edital],0)),"")</f>
        <v>46311.333333333336</v>
      </c>
      <c r="J2230" t="str">
        <f>IFERROR(INDEX(tProdutos[Classe],MATCH(tItens[[#This Row],[Produto]],tProdutos[Produto],0)),"produto não cadastrado")</f>
        <v>FORA</v>
      </c>
      <c r="K2230" s="12">
        <f>tItens[[#This Row],[Qtd]]*tItens[[#This Row],[Vlr unit]]</f>
        <v>1000</v>
      </c>
      <c r="L2230" s="6">
        <f>IFERROR(IF(INDEX(tProdutos[Desconto homologado],MATCH(tItens[[#This Row],[Produto]],tProdutos[Produto],0))="",DescontoPadrao,INDEX(tProdutos[Desconto homologado],MATCH(tItens[[#This Row],[Produto]],tProdutos[Produto],0))),DescontoPadrao)</f>
        <v>0.35562332485672099</v>
      </c>
      <c r="M2230" s="12">
        <f>tItens[[#This Row],[Valor]]*(1-tItens[[#This Row],[Desconto]])</f>
        <v>644.37667514327904</v>
      </c>
      <c r="N2230" t="str">
        <f>IFERROR(INDEX(tProdutos[Foco],MATCH(tItens[[#This Row],[Produto]],tProdutos[Produto],0)),"Não")</f>
        <v>Não</v>
      </c>
      <c r="O2230" t="str">
        <f>IFERROR(INDEX(tEditais[SRP],MATCH(tItens[[#This Row],[Edital]],tEditais[Edital],0)),"Não")</f>
        <v>Sim</v>
      </c>
      <c r="P2230" s="4">
        <f>IF(COUNTIFS(INDEX(tItens[Edital],1):tItens[[#This Row],[Edital]],tItens[[#This Row],[Edital]],INDEX(tItens[Produto],1):tItens[[#This Row],[Produto]],tItens[[#This Row],[Produto]])=1,1,0)</f>
        <v>1</v>
      </c>
    </row>
    <row r="2231" spans="1:16" x14ac:dyDescent="0.25">
      <c r="A2231" t="s">
        <v>1216</v>
      </c>
      <c r="B2231">
        <v>497</v>
      </c>
      <c r="C2231" t="s">
        <v>5269</v>
      </c>
      <c r="D2231" t="s">
        <v>325</v>
      </c>
      <c r="E2231" s="13">
        <v>5000</v>
      </c>
      <c r="F2231" s="12">
        <v>0.23</v>
      </c>
      <c r="G2231" t="str">
        <f>IFERROR(INDEX(tEditais[Órgão],MATCH(tItens[[#This Row],[Edital]],tEditais[Edital],0)),"")</f>
        <v>FUNDO MUNICIPAL DE SAUDE</v>
      </c>
      <c r="H2231" t="str">
        <f>IFERROR(INDEX(tEditais[UF],MATCH(tItens[[#This Row],[Edital]],tEditais[Edital],0)),"")</f>
        <v>GO</v>
      </c>
      <c r="I2231" s="11">
        <f>IFERROR(INDEX(tEditais[Encerramento],MATCH(tItens[[#This Row],[Edital]],tEditais[Edital],0)),"")</f>
        <v>46311.333333333336</v>
      </c>
      <c r="J2231" t="str">
        <f>IFERROR(INDEX(tProdutos[Classe],MATCH(tItens[[#This Row],[Produto]],tProdutos[Produto],0)),"produto não cadastrado")</f>
        <v>FORA</v>
      </c>
      <c r="K2231" s="12">
        <f>tItens[[#This Row],[Qtd]]*tItens[[#This Row],[Vlr unit]]</f>
        <v>1150</v>
      </c>
      <c r="L2231" s="6">
        <f>IFERROR(IF(INDEX(tProdutos[Desconto homologado],MATCH(tItens[[#This Row],[Produto]],tProdutos[Produto],0))="",DescontoPadrao,INDEX(tProdutos[Desconto homologado],MATCH(tItens[[#This Row],[Produto]],tProdutos[Produto],0))),DescontoPadrao)</f>
        <v>0.35562332485672099</v>
      </c>
      <c r="M2231" s="12">
        <f>tItens[[#This Row],[Valor]]*(1-tItens[[#This Row],[Desconto]])</f>
        <v>741.03317641477088</v>
      </c>
      <c r="N2231" t="str">
        <f>IFERROR(INDEX(tProdutos[Foco],MATCH(tItens[[#This Row],[Produto]],tProdutos[Produto],0)),"Não")</f>
        <v>Não</v>
      </c>
      <c r="O2231" t="str">
        <f>IFERROR(INDEX(tEditais[SRP],MATCH(tItens[[#This Row],[Edital]],tEditais[Edital],0)),"Não")</f>
        <v>Sim</v>
      </c>
      <c r="P2231" s="4">
        <f>IF(COUNTIFS(INDEX(tItens[Edital],1):tItens[[#This Row],[Edital]],tItens[[#This Row],[Edital]],INDEX(tItens[Produto],1):tItens[[#This Row],[Produto]],tItens[[#This Row],[Produto]])=1,1,0)</f>
        <v>0</v>
      </c>
    </row>
    <row r="2232" spans="1:16" x14ac:dyDescent="0.25">
      <c r="A2232" t="s">
        <v>1216</v>
      </c>
      <c r="B2232">
        <v>498</v>
      </c>
      <c r="C2232" t="s">
        <v>5270</v>
      </c>
      <c r="D2232" t="s">
        <v>325</v>
      </c>
      <c r="E2232" s="13">
        <v>5000</v>
      </c>
      <c r="F2232" s="12">
        <v>0.27</v>
      </c>
      <c r="G2232" t="str">
        <f>IFERROR(INDEX(tEditais[Órgão],MATCH(tItens[[#This Row],[Edital]],tEditais[Edital],0)),"")</f>
        <v>FUNDO MUNICIPAL DE SAUDE</v>
      </c>
      <c r="H2232" t="str">
        <f>IFERROR(INDEX(tEditais[UF],MATCH(tItens[[#This Row],[Edital]],tEditais[Edital],0)),"")</f>
        <v>GO</v>
      </c>
      <c r="I2232" s="11">
        <f>IFERROR(INDEX(tEditais[Encerramento],MATCH(tItens[[#This Row],[Edital]],tEditais[Edital],0)),"")</f>
        <v>46311.333333333336</v>
      </c>
      <c r="J2232" t="str">
        <f>IFERROR(INDEX(tProdutos[Classe],MATCH(tItens[[#This Row],[Produto]],tProdutos[Produto],0)),"produto não cadastrado")</f>
        <v>FORA</v>
      </c>
      <c r="K2232" s="12">
        <f>tItens[[#This Row],[Qtd]]*tItens[[#This Row],[Vlr unit]]</f>
        <v>1350</v>
      </c>
      <c r="L2232" s="6">
        <f>IFERROR(IF(INDEX(tProdutos[Desconto homologado],MATCH(tItens[[#This Row],[Produto]],tProdutos[Produto],0))="",DescontoPadrao,INDEX(tProdutos[Desconto homologado],MATCH(tItens[[#This Row],[Produto]],tProdutos[Produto],0))),DescontoPadrao)</f>
        <v>0.35562332485672099</v>
      </c>
      <c r="M2232" s="12">
        <f>tItens[[#This Row],[Valor]]*(1-tItens[[#This Row],[Desconto]])</f>
        <v>869.90851144342662</v>
      </c>
      <c r="N2232" t="str">
        <f>IFERROR(INDEX(tProdutos[Foco],MATCH(tItens[[#This Row],[Produto]],tProdutos[Produto],0)),"Não")</f>
        <v>Não</v>
      </c>
      <c r="O2232" t="str">
        <f>IFERROR(INDEX(tEditais[SRP],MATCH(tItens[[#This Row],[Edital]],tEditais[Edital],0)),"Não")</f>
        <v>Sim</v>
      </c>
      <c r="P2232" s="4">
        <f>IF(COUNTIFS(INDEX(tItens[Edital],1):tItens[[#This Row],[Edital]],tItens[[#This Row],[Edital]],INDEX(tItens[Produto],1):tItens[[#This Row],[Produto]],tItens[[#This Row],[Produto]])=1,1,0)</f>
        <v>0</v>
      </c>
    </row>
    <row r="2233" spans="1:16" x14ac:dyDescent="0.25">
      <c r="A2233" t="s">
        <v>1216</v>
      </c>
      <c r="B2233">
        <v>499</v>
      </c>
      <c r="C2233" t="s">
        <v>5271</v>
      </c>
      <c r="D2233" t="s">
        <v>325</v>
      </c>
      <c r="E2233" s="13">
        <v>5000</v>
      </c>
      <c r="F2233" s="12">
        <v>0.36</v>
      </c>
      <c r="G2233" t="str">
        <f>IFERROR(INDEX(tEditais[Órgão],MATCH(tItens[[#This Row],[Edital]],tEditais[Edital],0)),"")</f>
        <v>FUNDO MUNICIPAL DE SAUDE</v>
      </c>
      <c r="H2233" t="str">
        <f>IFERROR(INDEX(tEditais[UF],MATCH(tItens[[#This Row],[Edital]],tEditais[Edital],0)),"")</f>
        <v>GO</v>
      </c>
      <c r="I2233" s="11">
        <f>IFERROR(INDEX(tEditais[Encerramento],MATCH(tItens[[#This Row],[Edital]],tEditais[Edital],0)),"")</f>
        <v>46311.333333333336</v>
      </c>
      <c r="J2233" t="str">
        <f>IFERROR(INDEX(tProdutos[Classe],MATCH(tItens[[#This Row],[Produto]],tProdutos[Produto],0)),"produto não cadastrado")</f>
        <v>FORA</v>
      </c>
      <c r="K2233" s="12">
        <f>tItens[[#This Row],[Qtd]]*tItens[[#This Row],[Vlr unit]]</f>
        <v>1800</v>
      </c>
      <c r="L2233" s="6">
        <f>IFERROR(IF(INDEX(tProdutos[Desconto homologado],MATCH(tItens[[#This Row],[Produto]],tProdutos[Produto],0))="",DescontoPadrao,INDEX(tProdutos[Desconto homologado],MATCH(tItens[[#This Row],[Produto]],tProdutos[Produto],0))),DescontoPadrao)</f>
        <v>0.35562332485672099</v>
      </c>
      <c r="M2233" s="12">
        <f>tItens[[#This Row],[Valor]]*(1-tItens[[#This Row],[Desconto]])</f>
        <v>1159.8780152579022</v>
      </c>
      <c r="N2233" t="str">
        <f>IFERROR(INDEX(tProdutos[Foco],MATCH(tItens[[#This Row],[Produto]],tProdutos[Produto],0)),"Não")</f>
        <v>Não</v>
      </c>
      <c r="O2233" t="str">
        <f>IFERROR(INDEX(tEditais[SRP],MATCH(tItens[[#This Row],[Edital]],tEditais[Edital],0)),"Não")</f>
        <v>Sim</v>
      </c>
      <c r="P2233" s="4">
        <f>IF(COUNTIFS(INDEX(tItens[Edital],1):tItens[[#This Row],[Edital]],tItens[[#This Row],[Edital]],INDEX(tItens[Produto],1):tItens[[#This Row],[Produto]],tItens[[#This Row],[Produto]])=1,1,0)</f>
        <v>0</v>
      </c>
    </row>
    <row r="2234" spans="1:16" x14ac:dyDescent="0.25">
      <c r="A2234" t="s">
        <v>1216</v>
      </c>
      <c r="B2234">
        <v>500</v>
      </c>
      <c r="C2234" t="s">
        <v>5272</v>
      </c>
      <c r="D2234" t="s">
        <v>325</v>
      </c>
      <c r="E2234" s="13">
        <v>5000</v>
      </c>
      <c r="F2234" s="12">
        <v>0.41</v>
      </c>
      <c r="G2234" t="str">
        <f>IFERROR(INDEX(tEditais[Órgão],MATCH(tItens[[#This Row],[Edital]],tEditais[Edital],0)),"")</f>
        <v>FUNDO MUNICIPAL DE SAUDE</v>
      </c>
      <c r="H2234" t="str">
        <f>IFERROR(INDEX(tEditais[UF],MATCH(tItens[[#This Row],[Edital]],tEditais[Edital],0)),"")</f>
        <v>GO</v>
      </c>
      <c r="I2234" s="11">
        <f>IFERROR(INDEX(tEditais[Encerramento],MATCH(tItens[[#This Row],[Edital]],tEditais[Edital],0)),"")</f>
        <v>46311.333333333336</v>
      </c>
      <c r="J2234" t="str">
        <f>IFERROR(INDEX(tProdutos[Classe],MATCH(tItens[[#This Row],[Produto]],tProdutos[Produto],0)),"produto não cadastrado")</f>
        <v>FORA</v>
      </c>
      <c r="K2234" s="12">
        <f>tItens[[#This Row],[Qtd]]*tItens[[#This Row],[Vlr unit]]</f>
        <v>2050</v>
      </c>
      <c r="L2234" s="6">
        <f>IFERROR(IF(INDEX(tProdutos[Desconto homologado],MATCH(tItens[[#This Row],[Produto]],tProdutos[Produto],0))="",DescontoPadrao,INDEX(tProdutos[Desconto homologado],MATCH(tItens[[#This Row],[Produto]],tProdutos[Produto],0))),DescontoPadrao)</f>
        <v>0.35562332485672099</v>
      </c>
      <c r="M2234" s="12">
        <f>tItens[[#This Row],[Valor]]*(1-tItens[[#This Row],[Desconto]])</f>
        <v>1320.9721840437219</v>
      </c>
      <c r="N2234" t="str">
        <f>IFERROR(INDEX(tProdutos[Foco],MATCH(tItens[[#This Row],[Produto]],tProdutos[Produto],0)),"Não")</f>
        <v>Não</v>
      </c>
      <c r="O2234" t="str">
        <f>IFERROR(INDEX(tEditais[SRP],MATCH(tItens[[#This Row],[Edital]],tEditais[Edital],0)),"Não")</f>
        <v>Sim</v>
      </c>
      <c r="P2234" s="4">
        <f>IF(COUNTIFS(INDEX(tItens[Edital],1):tItens[[#This Row],[Edital]],tItens[[#This Row],[Edital]],INDEX(tItens[Produto],1):tItens[[#This Row],[Produto]],tItens[[#This Row],[Produto]])=1,1,0)</f>
        <v>0</v>
      </c>
    </row>
    <row r="2235" spans="1:16" x14ac:dyDescent="0.25">
      <c r="A2235" t="s">
        <v>1216</v>
      </c>
      <c r="B2235">
        <v>501</v>
      </c>
      <c r="C2235" t="s">
        <v>5273</v>
      </c>
      <c r="D2235" t="s">
        <v>325</v>
      </c>
      <c r="E2235" s="13">
        <v>5000</v>
      </c>
      <c r="F2235" s="12">
        <v>0.42</v>
      </c>
      <c r="G2235" t="str">
        <f>IFERROR(INDEX(tEditais[Órgão],MATCH(tItens[[#This Row],[Edital]],tEditais[Edital],0)),"")</f>
        <v>FUNDO MUNICIPAL DE SAUDE</v>
      </c>
      <c r="H2235" t="str">
        <f>IFERROR(INDEX(tEditais[UF],MATCH(tItens[[#This Row],[Edital]],tEditais[Edital],0)),"")</f>
        <v>GO</v>
      </c>
      <c r="I2235" s="11">
        <f>IFERROR(INDEX(tEditais[Encerramento],MATCH(tItens[[#This Row],[Edital]],tEditais[Edital],0)),"")</f>
        <v>46311.333333333336</v>
      </c>
      <c r="J2235" t="str">
        <f>IFERROR(INDEX(tProdutos[Classe],MATCH(tItens[[#This Row],[Produto]],tProdutos[Produto],0)),"produto não cadastrado")</f>
        <v>FORA</v>
      </c>
      <c r="K2235" s="12">
        <f>tItens[[#This Row],[Qtd]]*tItens[[#This Row],[Vlr unit]]</f>
        <v>2100</v>
      </c>
      <c r="L2235" s="6">
        <f>IFERROR(IF(INDEX(tProdutos[Desconto homologado],MATCH(tItens[[#This Row],[Produto]],tProdutos[Produto],0))="",DescontoPadrao,INDEX(tProdutos[Desconto homologado],MATCH(tItens[[#This Row],[Produto]],tProdutos[Produto],0))),DescontoPadrao)</f>
        <v>0.35562332485672099</v>
      </c>
      <c r="M2235" s="12">
        <f>tItens[[#This Row],[Valor]]*(1-tItens[[#This Row],[Desconto]])</f>
        <v>1353.1910178008859</v>
      </c>
      <c r="N2235" t="str">
        <f>IFERROR(INDEX(tProdutos[Foco],MATCH(tItens[[#This Row],[Produto]],tProdutos[Produto],0)),"Não")</f>
        <v>Não</v>
      </c>
      <c r="O2235" t="str">
        <f>IFERROR(INDEX(tEditais[SRP],MATCH(tItens[[#This Row],[Edital]],tEditais[Edital],0)),"Não")</f>
        <v>Sim</v>
      </c>
      <c r="P2235" s="4">
        <f>IF(COUNTIFS(INDEX(tItens[Edital],1):tItens[[#This Row],[Edital]],tItens[[#This Row],[Edital]],INDEX(tItens[Produto],1):tItens[[#This Row],[Produto]],tItens[[#This Row],[Produto]])=1,1,0)</f>
        <v>0</v>
      </c>
    </row>
    <row r="2236" spans="1:16" x14ac:dyDescent="0.25">
      <c r="A2236" t="s">
        <v>1216</v>
      </c>
      <c r="B2236">
        <v>502</v>
      </c>
      <c r="C2236" t="s">
        <v>5274</v>
      </c>
      <c r="D2236" t="s">
        <v>325</v>
      </c>
      <c r="E2236" s="13">
        <v>5000</v>
      </c>
      <c r="F2236" s="12">
        <v>0.48</v>
      </c>
      <c r="G2236" t="str">
        <f>IFERROR(INDEX(tEditais[Órgão],MATCH(tItens[[#This Row],[Edital]],tEditais[Edital],0)),"")</f>
        <v>FUNDO MUNICIPAL DE SAUDE</v>
      </c>
      <c r="H2236" t="str">
        <f>IFERROR(INDEX(tEditais[UF],MATCH(tItens[[#This Row],[Edital]],tEditais[Edital],0)),"")</f>
        <v>GO</v>
      </c>
      <c r="I2236" s="11">
        <f>IFERROR(INDEX(tEditais[Encerramento],MATCH(tItens[[#This Row],[Edital]],tEditais[Edital],0)),"")</f>
        <v>46311.333333333336</v>
      </c>
      <c r="J2236" t="str">
        <f>IFERROR(INDEX(tProdutos[Classe],MATCH(tItens[[#This Row],[Produto]],tProdutos[Produto],0)),"produto não cadastrado")</f>
        <v>FORA</v>
      </c>
      <c r="K2236" s="12">
        <f>tItens[[#This Row],[Qtd]]*tItens[[#This Row],[Vlr unit]]</f>
        <v>2400</v>
      </c>
      <c r="L2236" s="6">
        <f>IFERROR(IF(INDEX(tProdutos[Desconto homologado],MATCH(tItens[[#This Row],[Produto]],tProdutos[Produto],0))="",DescontoPadrao,INDEX(tProdutos[Desconto homologado],MATCH(tItens[[#This Row],[Produto]],tProdutos[Produto],0))),DescontoPadrao)</f>
        <v>0.35562332485672099</v>
      </c>
      <c r="M2236" s="12">
        <f>tItens[[#This Row],[Valor]]*(1-tItens[[#This Row],[Desconto]])</f>
        <v>1546.5040203438696</v>
      </c>
      <c r="N2236" t="str">
        <f>IFERROR(INDEX(tProdutos[Foco],MATCH(tItens[[#This Row],[Produto]],tProdutos[Produto],0)),"Não")</f>
        <v>Não</v>
      </c>
      <c r="O2236" t="str">
        <f>IFERROR(INDEX(tEditais[SRP],MATCH(tItens[[#This Row],[Edital]],tEditais[Edital],0)),"Não")</f>
        <v>Sim</v>
      </c>
      <c r="P2236" s="4">
        <f>IF(COUNTIFS(INDEX(tItens[Edital],1):tItens[[#This Row],[Edital]],tItens[[#This Row],[Edital]],INDEX(tItens[Produto],1):tItens[[#This Row],[Produto]],tItens[[#This Row],[Produto]])=1,1,0)</f>
        <v>0</v>
      </c>
    </row>
    <row r="2237" spans="1:16" x14ac:dyDescent="0.25">
      <c r="A2237" t="s">
        <v>1216</v>
      </c>
      <c r="B2237">
        <v>503</v>
      </c>
      <c r="C2237" t="s">
        <v>5275</v>
      </c>
      <c r="D2237" t="s">
        <v>325</v>
      </c>
      <c r="E2237" s="13">
        <v>5000</v>
      </c>
      <c r="F2237" s="12">
        <v>0.49</v>
      </c>
      <c r="G2237" t="str">
        <f>IFERROR(INDEX(tEditais[Órgão],MATCH(tItens[[#This Row],[Edital]],tEditais[Edital],0)),"")</f>
        <v>FUNDO MUNICIPAL DE SAUDE</v>
      </c>
      <c r="H2237" t="str">
        <f>IFERROR(INDEX(tEditais[UF],MATCH(tItens[[#This Row],[Edital]],tEditais[Edital],0)),"")</f>
        <v>GO</v>
      </c>
      <c r="I2237" s="11">
        <f>IFERROR(INDEX(tEditais[Encerramento],MATCH(tItens[[#This Row],[Edital]],tEditais[Edital],0)),"")</f>
        <v>46311.333333333336</v>
      </c>
      <c r="J2237" t="str">
        <f>IFERROR(INDEX(tProdutos[Classe],MATCH(tItens[[#This Row],[Produto]],tProdutos[Produto],0)),"produto não cadastrado")</f>
        <v>FORA</v>
      </c>
      <c r="K2237" s="12">
        <f>tItens[[#This Row],[Qtd]]*tItens[[#This Row],[Vlr unit]]</f>
        <v>2450</v>
      </c>
      <c r="L2237" s="6">
        <f>IFERROR(IF(INDEX(tProdutos[Desconto homologado],MATCH(tItens[[#This Row],[Produto]],tProdutos[Produto],0))="",DescontoPadrao,INDEX(tProdutos[Desconto homologado],MATCH(tItens[[#This Row],[Produto]],tProdutos[Produto],0))),DescontoPadrao)</f>
        <v>0.35562332485672099</v>
      </c>
      <c r="M2237" s="12">
        <f>tItens[[#This Row],[Valor]]*(1-tItens[[#This Row],[Desconto]])</f>
        <v>1578.7228541010336</v>
      </c>
      <c r="N2237" t="str">
        <f>IFERROR(INDEX(tProdutos[Foco],MATCH(tItens[[#This Row],[Produto]],tProdutos[Produto],0)),"Não")</f>
        <v>Não</v>
      </c>
      <c r="O2237" t="str">
        <f>IFERROR(INDEX(tEditais[SRP],MATCH(tItens[[#This Row],[Edital]],tEditais[Edital],0)),"Não")</f>
        <v>Sim</v>
      </c>
      <c r="P2237" s="4">
        <f>IF(COUNTIFS(INDEX(tItens[Edital],1):tItens[[#This Row],[Edital]],tItens[[#This Row],[Edital]],INDEX(tItens[Produto],1):tItens[[#This Row],[Produto]],tItens[[#This Row],[Produto]])=1,1,0)</f>
        <v>0</v>
      </c>
    </row>
    <row r="2238" spans="1:16" x14ac:dyDescent="0.25">
      <c r="A2238" t="s">
        <v>1216</v>
      </c>
      <c r="B2238">
        <v>504</v>
      </c>
      <c r="C2238" t="s">
        <v>5276</v>
      </c>
      <c r="D2238" t="s">
        <v>325</v>
      </c>
      <c r="E2238" s="13">
        <v>5000</v>
      </c>
      <c r="F2238" s="12">
        <v>0.63</v>
      </c>
      <c r="G2238" t="str">
        <f>IFERROR(INDEX(tEditais[Órgão],MATCH(tItens[[#This Row],[Edital]],tEditais[Edital],0)),"")</f>
        <v>FUNDO MUNICIPAL DE SAUDE</v>
      </c>
      <c r="H2238" t="str">
        <f>IFERROR(INDEX(tEditais[UF],MATCH(tItens[[#This Row],[Edital]],tEditais[Edital],0)),"")</f>
        <v>GO</v>
      </c>
      <c r="I2238" s="11">
        <f>IFERROR(INDEX(tEditais[Encerramento],MATCH(tItens[[#This Row],[Edital]],tEditais[Edital],0)),"")</f>
        <v>46311.333333333336</v>
      </c>
      <c r="J2238" t="str">
        <f>IFERROR(INDEX(tProdutos[Classe],MATCH(tItens[[#This Row],[Produto]],tProdutos[Produto],0)),"produto não cadastrado")</f>
        <v>FORA</v>
      </c>
      <c r="K2238" s="12">
        <f>tItens[[#This Row],[Qtd]]*tItens[[#This Row],[Vlr unit]]</f>
        <v>3150</v>
      </c>
      <c r="L2238" s="6">
        <f>IFERROR(IF(INDEX(tProdutos[Desconto homologado],MATCH(tItens[[#This Row],[Produto]],tProdutos[Produto],0))="",DescontoPadrao,INDEX(tProdutos[Desconto homologado],MATCH(tItens[[#This Row],[Produto]],tProdutos[Produto],0))),DescontoPadrao)</f>
        <v>0.35562332485672099</v>
      </c>
      <c r="M2238" s="12">
        <f>tItens[[#This Row],[Valor]]*(1-tItens[[#This Row],[Desconto]])</f>
        <v>2029.786526701329</v>
      </c>
      <c r="N2238" t="str">
        <f>IFERROR(INDEX(tProdutos[Foco],MATCH(tItens[[#This Row],[Produto]],tProdutos[Produto],0)),"Não")</f>
        <v>Não</v>
      </c>
      <c r="O2238" t="str">
        <f>IFERROR(INDEX(tEditais[SRP],MATCH(tItens[[#This Row],[Edital]],tEditais[Edital],0)),"Não")</f>
        <v>Sim</v>
      </c>
      <c r="P2238" s="4">
        <f>IF(COUNTIFS(INDEX(tItens[Edital],1):tItens[[#This Row],[Edital]],tItens[[#This Row],[Edital]],INDEX(tItens[Produto],1):tItens[[#This Row],[Produto]],tItens[[#This Row],[Produto]])=1,1,0)</f>
        <v>0</v>
      </c>
    </row>
    <row r="2239" spans="1:16" x14ac:dyDescent="0.25">
      <c r="A2239" t="s">
        <v>1216</v>
      </c>
      <c r="B2239">
        <v>505</v>
      </c>
      <c r="C2239" t="s">
        <v>5277</v>
      </c>
      <c r="D2239" t="s">
        <v>325</v>
      </c>
      <c r="E2239" s="13">
        <v>5000</v>
      </c>
      <c r="F2239" s="12">
        <v>0.72</v>
      </c>
      <c r="G2239" t="str">
        <f>IFERROR(INDEX(tEditais[Órgão],MATCH(tItens[[#This Row],[Edital]],tEditais[Edital],0)),"")</f>
        <v>FUNDO MUNICIPAL DE SAUDE</v>
      </c>
      <c r="H2239" t="str">
        <f>IFERROR(INDEX(tEditais[UF],MATCH(tItens[[#This Row],[Edital]],tEditais[Edital],0)),"")</f>
        <v>GO</v>
      </c>
      <c r="I2239" s="11">
        <f>IFERROR(INDEX(tEditais[Encerramento],MATCH(tItens[[#This Row],[Edital]],tEditais[Edital],0)),"")</f>
        <v>46311.333333333336</v>
      </c>
      <c r="J2239" t="str">
        <f>IFERROR(INDEX(tProdutos[Classe],MATCH(tItens[[#This Row],[Produto]],tProdutos[Produto],0)),"produto não cadastrado")</f>
        <v>FORA</v>
      </c>
      <c r="K2239" s="12">
        <f>tItens[[#This Row],[Qtd]]*tItens[[#This Row],[Vlr unit]]</f>
        <v>3600</v>
      </c>
      <c r="L2239" s="6">
        <f>IFERROR(IF(INDEX(tProdutos[Desconto homologado],MATCH(tItens[[#This Row],[Produto]],tProdutos[Produto],0))="",DescontoPadrao,INDEX(tProdutos[Desconto homologado],MATCH(tItens[[#This Row],[Produto]],tProdutos[Produto],0))),DescontoPadrao)</f>
        <v>0.35562332485672099</v>
      </c>
      <c r="M2239" s="12">
        <f>tItens[[#This Row],[Valor]]*(1-tItens[[#This Row],[Desconto]])</f>
        <v>2319.7560305158045</v>
      </c>
      <c r="N2239" t="str">
        <f>IFERROR(INDEX(tProdutos[Foco],MATCH(tItens[[#This Row],[Produto]],tProdutos[Produto],0)),"Não")</f>
        <v>Não</v>
      </c>
      <c r="O2239" t="str">
        <f>IFERROR(INDEX(tEditais[SRP],MATCH(tItens[[#This Row],[Edital]],tEditais[Edital],0)),"Não")</f>
        <v>Sim</v>
      </c>
      <c r="P2239" s="4">
        <f>IF(COUNTIFS(INDEX(tItens[Edital],1):tItens[[#This Row],[Edital]],tItens[[#This Row],[Edital]],INDEX(tItens[Produto],1):tItens[[#This Row],[Produto]],tItens[[#This Row],[Produto]])=1,1,0)</f>
        <v>0</v>
      </c>
    </row>
    <row r="2240" spans="1:16" x14ac:dyDescent="0.25">
      <c r="A2240" t="s">
        <v>1216</v>
      </c>
      <c r="B2240">
        <v>506</v>
      </c>
      <c r="C2240" t="s">
        <v>5278</v>
      </c>
      <c r="D2240" t="s">
        <v>325</v>
      </c>
      <c r="E2240" s="13">
        <v>5000</v>
      </c>
      <c r="F2240" s="12">
        <v>0.83</v>
      </c>
      <c r="G2240" t="str">
        <f>IFERROR(INDEX(tEditais[Órgão],MATCH(tItens[[#This Row],[Edital]],tEditais[Edital],0)),"")</f>
        <v>FUNDO MUNICIPAL DE SAUDE</v>
      </c>
      <c r="H2240" t="str">
        <f>IFERROR(INDEX(tEditais[UF],MATCH(tItens[[#This Row],[Edital]],tEditais[Edital],0)),"")</f>
        <v>GO</v>
      </c>
      <c r="I2240" s="11">
        <f>IFERROR(INDEX(tEditais[Encerramento],MATCH(tItens[[#This Row],[Edital]],tEditais[Edital],0)),"")</f>
        <v>46311.333333333336</v>
      </c>
      <c r="J2240" t="str">
        <f>IFERROR(INDEX(tProdutos[Classe],MATCH(tItens[[#This Row],[Produto]],tProdutos[Produto],0)),"produto não cadastrado")</f>
        <v>FORA</v>
      </c>
      <c r="K2240" s="12">
        <f>tItens[[#This Row],[Qtd]]*tItens[[#This Row],[Vlr unit]]</f>
        <v>4150</v>
      </c>
      <c r="L2240" s="6">
        <f>IFERROR(IF(INDEX(tProdutos[Desconto homologado],MATCH(tItens[[#This Row],[Produto]],tProdutos[Produto],0))="",DescontoPadrao,INDEX(tProdutos[Desconto homologado],MATCH(tItens[[#This Row],[Produto]],tProdutos[Produto],0))),DescontoPadrao)</f>
        <v>0.35562332485672099</v>
      </c>
      <c r="M2240" s="12">
        <f>tItens[[#This Row],[Valor]]*(1-tItens[[#This Row],[Desconto]])</f>
        <v>2674.163201844608</v>
      </c>
      <c r="N2240" t="str">
        <f>IFERROR(INDEX(tProdutos[Foco],MATCH(tItens[[#This Row],[Produto]],tProdutos[Produto],0)),"Não")</f>
        <v>Não</v>
      </c>
      <c r="O2240" t="str">
        <f>IFERROR(INDEX(tEditais[SRP],MATCH(tItens[[#This Row],[Edital]],tEditais[Edital],0)),"Não")</f>
        <v>Sim</v>
      </c>
      <c r="P2240" s="4">
        <f>IF(COUNTIFS(INDEX(tItens[Edital],1):tItens[[#This Row],[Edital]],tItens[[#This Row],[Edital]],INDEX(tItens[Produto],1):tItens[[#This Row],[Produto]],tItens[[#This Row],[Produto]])=1,1,0)</f>
        <v>0</v>
      </c>
    </row>
    <row r="2241" spans="1:16" x14ac:dyDescent="0.25">
      <c r="A2241" t="s">
        <v>1216</v>
      </c>
      <c r="B2241">
        <v>507</v>
      </c>
      <c r="C2241" t="s">
        <v>5279</v>
      </c>
      <c r="D2241" t="s">
        <v>325</v>
      </c>
      <c r="E2241" s="13">
        <v>5000</v>
      </c>
      <c r="F2241" s="12">
        <v>0.91</v>
      </c>
      <c r="G2241" t="str">
        <f>IFERROR(INDEX(tEditais[Órgão],MATCH(tItens[[#This Row],[Edital]],tEditais[Edital],0)),"")</f>
        <v>FUNDO MUNICIPAL DE SAUDE</v>
      </c>
      <c r="H2241" t="str">
        <f>IFERROR(INDEX(tEditais[UF],MATCH(tItens[[#This Row],[Edital]],tEditais[Edital],0)),"")</f>
        <v>GO</v>
      </c>
      <c r="I2241" s="11">
        <f>IFERROR(INDEX(tEditais[Encerramento],MATCH(tItens[[#This Row],[Edital]],tEditais[Edital],0)),"")</f>
        <v>46311.333333333336</v>
      </c>
      <c r="J2241" t="str">
        <f>IFERROR(INDEX(tProdutos[Classe],MATCH(tItens[[#This Row],[Produto]],tProdutos[Produto],0)),"produto não cadastrado")</f>
        <v>FORA</v>
      </c>
      <c r="K2241" s="12">
        <f>tItens[[#This Row],[Qtd]]*tItens[[#This Row],[Vlr unit]]</f>
        <v>4550</v>
      </c>
      <c r="L2241" s="6">
        <f>IFERROR(IF(INDEX(tProdutos[Desconto homologado],MATCH(tItens[[#This Row],[Produto]],tProdutos[Produto],0))="",DescontoPadrao,INDEX(tProdutos[Desconto homologado],MATCH(tItens[[#This Row],[Produto]],tProdutos[Produto],0))),DescontoPadrao)</f>
        <v>0.35562332485672099</v>
      </c>
      <c r="M2241" s="12">
        <f>tItens[[#This Row],[Valor]]*(1-tItens[[#This Row],[Desconto]])</f>
        <v>2931.9138719019197</v>
      </c>
      <c r="N2241" t="str">
        <f>IFERROR(INDEX(tProdutos[Foco],MATCH(tItens[[#This Row],[Produto]],tProdutos[Produto],0)),"Não")</f>
        <v>Não</v>
      </c>
      <c r="O2241" t="str">
        <f>IFERROR(INDEX(tEditais[SRP],MATCH(tItens[[#This Row],[Edital]],tEditais[Edital],0)),"Não")</f>
        <v>Sim</v>
      </c>
      <c r="P2241" s="4">
        <f>IF(COUNTIFS(INDEX(tItens[Edital],1):tItens[[#This Row],[Edital]],tItens[[#This Row],[Edital]],INDEX(tItens[Produto],1):tItens[[#This Row],[Produto]],tItens[[#This Row],[Produto]])=1,1,0)</f>
        <v>0</v>
      </c>
    </row>
    <row r="2242" spans="1:16" x14ac:dyDescent="0.25">
      <c r="A2242" t="s">
        <v>1216</v>
      </c>
      <c r="B2242">
        <v>508</v>
      </c>
      <c r="C2242" t="s">
        <v>5280</v>
      </c>
      <c r="D2242" t="s">
        <v>325</v>
      </c>
      <c r="E2242" s="13">
        <v>5000</v>
      </c>
      <c r="F2242" s="12">
        <v>0.99</v>
      </c>
      <c r="G2242" t="str">
        <f>IFERROR(INDEX(tEditais[Órgão],MATCH(tItens[[#This Row],[Edital]],tEditais[Edital],0)),"")</f>
        <v>FUNDO MUNICIPAL DE SAUDE</v>
      </c>
      <c r="H2242" t="str">
        <f>IFERROR(INDEX(tEditais[UF],MATCH(tItens[[#This Row],[Edital]],tEditais[Edital],0)),"")</f>
        <v>GO</v>
      </c>
      <c r="I2242" s="11">
        <f>IFERROR(INDEX(tEditais[Encerramento],MATCH(tItens[[#This Row],[Edital]],tEditais[Edital],0)),"")</f>
        <v>46311.333333333336</v>
      </c>
      <c r="J2242" t="str">
        <f>IFERROR(INDEX(tProdutos[Classe],MATCH(tItens[[#This Row],[Produto]],tProdutos[Produto],0)),"produto não cadastrado")</f>
        <v>FORA</v>
      </c>
      <c r="K2242" s="12">
        <f>tItens[[#This Row],[Qtd]]*tItens[[#This Row],[Vlr unit]]</f>
        <v>4950</v>
      </c>
      <c r="L2242" s="6">
        <f>IFERROR(IF(INDEX(tProdutos[Desconto homologado],MATCH(tItens[[#This Row],[Produto]],tProdutos[Produto],0))="",DescontoPadrao,INDEX(tProdutos[Desconto homologado],MATCH(tItens[[#This Row],[Produto]],tProdutos[Produto],0))),DescontoPadrao)</f>
        <v>0.35562332485672099</v>
      </c>
      <c r="M2242" s="12">
        <f>tItens[[#This Row],[Valor]]*(1-tItens[[#This Row],[Desconto]])</f>
        <v>3189.664541959231</v>
      </c>
      <c r="N2242" t="str">
        <f>IFERROR(INDEX(tProdutos[Foco],MATCH(tItens[[#This Row],[Produto]],tProdutos[Produto],0)),"Não")</f>
        <v>Não</v>
      </c>
      <c r="O2242" t="str">
        <f>IFERROR(INDEX(tEditais[SRP],MATCH(tItens[[#This Row],[Edital]],tEditais[Edital],0)),"Não")</f>
        <v>Sim</v>
      </c>
      <c r="P2242" s="4">
        <f>IF(COUNTIFS(INDEX(tItens[Edital],1):tItens[[#This Row],[Edital]],tItens[[#This Row],[Edital]],INDEX(tItens[Produto],1):tItens[[#This Row],[Produto]],tItens[[#This Row],[Produto]])=1,1,0)</f>
        <v>0</v>
      </c>
    </row>
    <row r="2243" spans="1:16" x14ac:dyDescent="0.25">
      <c r="A2243" t="s">
        <v>1216</v>
      </c>
      <c r="B2243">
        <v>509</v>
      </c>
      <c r="C2243" t="s">
        <v>5281</v>
      </c>
      <c r="D2243" t="s">
        <v>325</v>
      </c>
      <c r="E2243" s="13">
        <v>5000</v>
      </c>
      <c r="F2243" s="12">
        <v>1.1599999999999999</v>
      </c>
      <c r="G2243" t="str">
        <f>IFERROR(INDEX(tEditais[Órgão],MATCH(tItens[[#This Row],[Edital]],tEditais[Edital],0)),"")</f>
        <v>FUNDO MUNICIPAL DE SAUDE</v>
      </c>
      <c r="H2243" t="str">
        <f>IFERROR(INDEX(tEditais[UF],MATCH(tItens[[#This Row],[Edital]],tEditais[Edital],0)),"")</f>
        <v>GO</v>
      </c>
      <c r="I2243" s="11">
        <f>IFERROR(INDEX(tEditais[Encerramento],MATCH(tItens[[#This Row],[Edital]],tEditais[Edital],0)),"")</f>
        <v>46311.333333333336</v>
      </c>
      <c r="J2243" t="str">
        <f>IFERROR(INDEX(tProdutos[Classe],MATCH(tItens[[#This Row],[Produto]],tProdutos[Produto],0)),"produto não cadastrado")</f>
        <v>FORA</v>
      </c>
      <c r="K2243" s="12">
        <f>tItens[[#This Row],[Qtd]]*tItens[[#This Row],[Vlr unit]]</f>
        <v>5800</v>
      </c>
      <c r="L2243" s="6">
        <f>IFERROR(IF(INDEX(tProdutos[Desconto homologado],MATCH(tItens[[#This Row],[Produto]],tProdutos[Produto],0))="",DescontoPadrao,INDEX(tProdutos[Desconto homologado],MATCH(tItens[[#This Row],[Produto]],tProdutos[Produto],0))),DescontoPadrao)</f>
        <v>0.35562332485672099</v>
      </c>
      <c r="M2243" s="12">
        <f>tItens[[#This Row],[Valor]]*(1-tItens[[#This Row],[Desconto]])</f>
        <v>3737.3847158310182</v>
      </c>
      <c r="N2243" t="str">
        <f>IFERROR(INDEX(tProdutos[Foco],MATCH(tItens[[#This Row],[Produto]],tProdutos[Produto],0)),"Não")</f>
        <v>Não</v>
      </c>
      <c r="O2243" t="str">
        <f>IFERROR(INDEX(tEditais[SRP],MATCH(tItens[[#This Row],[Edital]],tEditais[Edital],0)),"Não")</f>
        <v>Sim</v>
      </c>
      <c r="P2243" s="4">
        <f>IF(COUNTIFS(INDEX(tItens[Edital],1):tItens[[#This Row],[Edital]],tItens[[#This Row],[Edital]],INDEX(tItens[Produto],1):tItens[[#This Row],[Produto]],tItens[[#This Row],[Produto]])=1,1,0)</f>
        <v>0</v>
      </c>
    </row>
    <row r="2244" spans="1:16" x14ac:dyDescent="0.25">
      <c r="A2244" t="s">
        <v>1216</v>
      </c>
      <c r="B2244">
        <v>510</v>
      </c>
      <c r="C2244" t="s">
        <v>5282</v>
      </c>
      <c r="D2244" t="s">
        <v>325</v>
      </c>
      <c r="E2244" s="13">
        <v>5000</v>
      </c>
      <c r="F2244" s="12">
        <v>1.27</v>
      </c>
      <c r="G2244" t="str">
        <f>IFERROR(INDEX(tEditais[Órgão],MATCH(tItens[[#This Row],[Edital]],tEditais[Edital],0)),"")</f>
        <v>FUNDO MUNICIPAL DE SAUDE</v>
      </c>
      <c r="H2244" t="str">
        <f>IFERROR(INDEX(tEditais[UF],MATCH(tItens[[#This Row],[Edital]],tEditais[Edital],0)),"")</f>
        <v>GO</v>
      </c>
      <c r="I2244" s="11">
        <f>IFERROR(INDEX(tEditais[Encerramento],MATCH(tItens[[#This Row],[Edital]],tEditais[Edital],0)),"")</f>
        <v>46311.333333333336</v>
      </c>
      <c r="J2244" t="str">
        <f>IFERROR(INDEX(tProdutos[Classe],MATCH(tItens[[#This Row],[Produto]],tProdutos[Produto],0)),"produto não cadastrado")</f>
        <v>FORA</v>
      </c>
      <c r="K2244" s="12">
        <f>tItens[[#This Row],[Qtd]]*tItens[[#This Row],[Vlr unit]]</f>
        <v>6350</v>
      </c>
      <c r="L2244" s="6">
        <f>IFERROR(IF(INDEX(tProdutos[Desconto homologado],MATCH(tItens[[#This Row],[Produto]],tProdutos[Produto],0))="",DescontoPadrao,INDEX(tProdutos[Desconto homologado],MATCH(tItens[[#This Row],[Produto]],tProdutos[Produto],0))),DescontoPadrao)</f>
        <v>0.35562332485672099</v>
      </c>
      <c r="M2244" s="12">
        <f>tItens[[#This Row],[Valor]]*(1-tItens[[#This Row],[Desconto]])</f>
        <v>4091.7918871598217</v>
      </c>
      <c r="N2244" t="str">
        <f>IFERROR(INDEX(tProdutos[Foco],MATCH(tItens[[#This Row],[Produto]],tProdutos[Produto],0)),"Não")</f>
        <v>Não</v>
      </c>
      <c r="O2244" t="str">
        <f>IFERROR(INDEX(tEditais[SRP],MATCH(tItens[[#This Row],[Edital]],tEditais[Edital],0)),"Não")</f>
        <v>Sim</v>
      </c>
      <c r="P2244" s="4">
        <f>IF(COUNTIFS(INDEX(tItens[Edital],1):tItens[[#This Row],[Edital]],tItens[[#This Row],[Edital]],INDEX(tItens[Produto],1):tItens[[#This Row],[Produto]],tItens[[#This Row],[Produto]])=1,1,0)</f>
        <v>0</v>
      </c>
    </row>
    <row r="2245" spans="1:16" x14ac:dyDescent="0.25">
      <c r="A2245" t="s">
        <v>1216</v>
      </c>
      <c r="B2245">
        <v>511</v>
      </c>
      <c r="C2245" t="s">
        <v>5283</v>
      </c>
      <c r="D2245" t="s">
        <v>325</v>
      </c>
      <c r="E2245" s="13">
        <v>5000</v>
      </c>
      <c r="F2245" s="12">
        <v>1.4</v>
      </c>
      <c r="G2245" t="str">
        <f>IFERROR(INDEX(tEditais[Órgão],MATCH(tItens[[#This Row],[Edital]],tEditais[Edital],0)),"")</f>
        <v>FUNDO MUNICIPAL DE SAUDE</v>
      </c>
      <c r="H2245" t="str">
        <f>IFERROR(INDEX(tEditais[UF],MATCH(tItens[[#This Row],[Edital]],tEditais[Edital],0)),"")</f>
        <v>GO</v>
      </c>
      <c r="I2245" s="11">
        <f>IFERROR(INDEX(tEditais[Encerramento],MATCH(tItens[[#This Row],[Edital]],tEditais[Edital],0)),"")</f>
        <v>46311.333333333336</v>
      </c>
      <c r="J2245" t="str">
        <f>IFERROR(INDEX(tProdutos[Classe],MATCH(tItens[[#This Row],[Produto]],tProdutos[Produto],0)),"produto não cadastrado")</f>
        <v>FORA</v>
      </c>
      <c r="K2245" s="12">
        <f>tItens[[#This Row],[Qtd]]*tItens[[#This Row],[Vlr unit]]</f>
        <v>7000</v>
      </c>
      <c r="L2245" s="6">
        <f>IFERROR(IF(INDEX(tProdutos[Desconto homologado],MATCH(tItens[[#This Row],[Produto]],tProdutos[Produto],0))="",DescontoPadrao,INDEX(tProdutos[Desconto homologado],MATCH(tItens[[#This Row],[Produto]],tProdutos[Produto],0))),DescontoPadrao)</f>
        <v>0.35562332485672099</v>
      </c>
      <c r="M2245" s="12">
        <f>tItens[[#This Row],[Valor]]*(1-tItens[[#This Row],[Desconto]])</f>
        <v>4510.6367260029529</v>
      </c>
      <c r="N2245" t="str">
        <f>IFERROR(INDEX(tProdutos[Foco],MATCH(tItens[[#This Row],[Produto]],tProdutos[Produto],0)),"Não")</f>
        <v>Não</v>
      </c>
      <c r="O2245" t="str">
        <f>IFERROR(INDEX(tEditais[SRP],MATCH(tItens[[#This Row],[Edital]],tEditais[Edital],0)),"Não")</f>
        <v>Sim</v>
      </c>
      <c r="P2245" s="4">
        <f>IF(COUNTIFS(INDEX(tItens[Edital],1):tItens[[#This Row],[Edital]],tItens[[#This Row],[Edital]],INDEX(tItens[Produto],1):tItens[[#This Row],[Produto]],tItens[[#This Row],[Produto]])=1,1,0)</f>
        <v>0</v>
      </c>
    </row>
    <row r="2246" spans="1:16" x14ac:dyDescent="0.25">
      <c r="A2246" t="s">
        <v>1216</v>
      </c>
      <c r="B2246">
        <v>512</v>
      </c>
      <c r="C2246" t="s">
        <v>5284</v>
      </c>
      <c r="D2246" t="s">
        <v>325</v>
      </c>
      <c r="E2246" s="13">
        <v>5000</v>
      </c>
      <c r="F2246" s="12">
        <v>1.49</v>
      </c>
      <c r="G2246" t="str">
        <f>IFERROR(INDEX(tEditais[Órgão],MATCH(tItens[[#This Row],[Edital]],tEditais[Edital],0)),"")</f>
        <v>FUNDO MUNICIPAL DE SAUDE</v>
      </c>
      <c r="H2246" t="str">
        <f>IFERROR(INDEX(tEditais[UF],MATCH(tItens[[#This Row],[Edital]],tEditais[Edital],0)),"")</f>
        <v>GO</v>
      </c>
      <c r="I2246" s="11">
        <f>IFERROR(INDEX(tEditais[Encerramento],MATCH(tItens[[#This Row],[Edital]],tEditais[Edital],0)),"")</f>
        <v>46311.333333333336</v>
      </c>
      <c r="J2246" t="str">
        <f>IFERROR(INDEX(tProdutos[Classe],MATCH(tItens[[#This Row],[Produto]],tProdutos[Produto],0)),"produto não cadastrado")</f>
        <v>FORA</v>
      </c>
      <c r="K2246" s="12">
        <f>tItens[[#This Row],[Qtd]]*tItens[[#This Row],[Vlr unit]]</f>
        <v>7450</v>
      </c>
      <c r="L2246" s="6">
        <f>IFERROR(IF(INDEX(tProdutos[Desconto homologado],MATCH(tItens[[#This Row],[Produto]],tProdutos[Produto],0))="",DescontoPadrao,INDEX(tProdutos[Desconto homologado],MATCH(tItens[[#This Row],[Produto]],tProdutos[Produto],0))),DescontoPadrao)</f>
        <v>0.35562332485672099</v>
      </c>
      <c r="M2246" s="12">
        <f>tItens[[#This Row],[Valor]]*(1-tItens[[#This Row],[Desconto]])</f>
        <v>4800.6062298174284</v>
      </c>
      <c r="N2246" t="str">
        <f>IFERROR(INDEX(tProdutos[Foco],MATCH(tItens[[#This Row],[Produto]],tProdutos[Produto],0)),"Não")</f>
        <v>Não</v>
      </c>
      <c r="O2246" t="str">
        <f>IFERROR(INDEX(tEditais[SRP],MATCH(tItens[[#This Row],[Edital]],tEditais[Edital],0)),"Não")</f>
        <v>Sim</v>
      </c>
      <c r="P2246" s="4">
        <f>IF(COUNTIFS(INDEX(tItens[Edital],1):tItens[[#This Row],[Edital]],tItens[[#This Row],[Edital]],INDEX(tItens[Produto],1):tItens[[#This Row],[Produto]],tItens[[#This Row],[Produto]])=1,1,0)</f>
        <v>0</v>
      </c>
    </row>
    <row r="2247" spans="1:16" x14ac:dyDescent="0.25">
      <c r="A2247" t="s">
        <v>1216</v>
      </c>
      <c r="B2247">
        <v>514</v>
      </c>
      <c r="C2247" t="s">
        <v>5285</v>
      </c>
      <c r="D2247" t="s">
        <v>209</v>
      </c>
      <c r="E2247" s="13">
        <v>500</v>
      </c>
      <c r="F2247" s="12">
        <v>0.59</v>
      </c>
      <c r="G2247" t="str">
        <f>IFERROR(INDEX(tEditais[Órgão],MATCH(tItens[[#This Row],[Edital]],tEditais[Edital],0)),"")</f>
        <v>FUNDO MUNICIPAL DE SAUDE</v>
      </c>
      <c r="H2247" t="str">
        <f>IFERROR(INDEX(tEditais[UF],MATCH(tItens[[#This Row],[Edital]],tEditais[Edital],0)),"")</f>
        <v>GO</v>
      </c>
      <c r="I2247" s="11">
        <f>IFERROR(INDEX(tEditais[Encerramento],MATCH(tItens[[#This Row],[Edital]],tEditais[Edital],0)),"")</f>
        <v>46311.333333333336</v>
      </c>
      <c r="J2247" t="str">
        <f>IFERROR(INDEX(tProdutos[Classe],MATCH(tItens[[#This Row],[Produto]],tProdutos[Produto],0)),"produto não cadastrado")</f>
        <v>FORA</v>
      </c>
      <c r="K2247" s="12">
        <f>tItens[[#This Row],[Qtd]]*tItens[[#This Row],[Vlr unit]]</f>
        <v>295</v>
      </c>
      <c r="L2247" s="6">
        <f>IFERROR(IF(INDEX(tProdutos[Desconto homologado],MATCH(tItens[[#This Row],[Produto]],tProdutos[Produto],0))="",DescontoPadrao,INDEX(tProdutos[Desconto homologado],MATCH(tItens[[#This Row],[Produto]],tProdutos[Produto],0))),DescontoPadrao)</f>
        <v>0.16442507504040599</v>
      </c>
      <c r="M2247" s="12">
        <f>tItens[[#This Row],[Valor]]*(1-tItens[[#This Row],[Desconto]])</f>
        <v>246.49460286308025</v>
      </c>
      <c r="N2247" t="str">
        <f>IFERROR(INDEX(tProdutos[Foco],MATCH(tItens[[#This Row],[Produto]],tProdutos[Produto],0)),"Não")</f>
        <v>Não</v>
      </c>
      <c r="O2247" t="str">
        <f>IFERROR(INDEX(tEditais[SRP],MATCH(tItens[[#This Row],[Edital]],tEditais[Edital],0)),"Não")</f>
        <v>Sim</v>
      </c>
      <c r="P2247" s="4">
        <f>IF(COUNTIFS(INDEX(tItens[Edital],1):tItens[[#This Row],[Edital]],tItens[[#This Row],[Edital]],INDEX(tItens[Produto],1):tItens[[#This Row],[Produto]],tItens[[#This Row],[Produto]])=1,1,0)</f>
        <v>1</v>
      </c>
    </row>
    <row r="2248" spans="1:16" x14ac:dyDescent="0.25">
      <c r="A2248" t="s">
        <v>1216</v>
      </c>
      <c r="B2248">
        <v>515</v>
      </c>
      <c r="C2248" t="s">
        <v>4044</v>
      </c>
      <c r="D2248" t="s">
        <v>333</v>
      </c>
      <c r="E2248" s="13">
        <v>80000</v>
      </c>
      <c r="F2248" s="12">
        <v>0.74</v>
      </c>
      <c r="G2248" t="str">
        <f>IFERROR(INDEX(tEditais[Órgão],MATCH(tItens[[#This Row],[Edital]],tEditais[Edital],0)),"")</f>
        <v>FUNDO MUNICIPAL DE SAUDE</v>
      </c>
      <c r="H2248" t="str">
        <f>IFERROR(INDEX(tEditais[UF],MATCH(tItens[[#This Row],[Edital]],tEditais[Edital],0)),"")</f>
        <v>GO</v>
      </c>
      <c r="I2248" s="11">
        <f>IFERROR(INDEX(tEditais[Encerramento],MATCH(tItens[[#This Row],[Edital]],tEditais[Edital],0)),"")</f>
        <v>46311.333333333336</v>
      </c>
      <c r="J2248" t="str">
        <f>IFERROR(INDEX(tProdutos[Classe],MATCH(tItens[[#This Row],[Produto]],tProdutos[Produto],0)),"produto não cadastrado")</f>
        <v>FORA</v>
      </c>
      <c r="K2248" s="12">
        <f>tItens[[#This Row],[Qtd]]*tItens[[#This Row],[Vlr unit]]</f>
        <v>59200</v>
      </c>
      <c r="L2248" s="6">
        <f>IFERROR(IF(INDEX(tProdutos[Desconto homologado],MATCH(tItens[[#This Row],[Produto]],tProdutos[Produto],0))="",DescontoPadrao,INDEX(tProdutos[Desconto homologado],MATCH(tItens[[#This Row],[Produto]],tProdutos[Produto],0))),DescontoPadrao)</f>
        <v>0.48951048951048998</v>
      </c>
      <c r="M2248" s="12">
        <f>tItens[[#This Row],[Valor]]*(1-tItens[[#This Row],[Desconto]])</f>
        <v>30220.97902097899</v>
      </c>
      <c r="N2248" t="str">
        <f>IFERROR(INDEX(tProdutos[Foco],MATCH(tItens[[#This Row],[Produto]],tProdutos[Produto],0)),"Não")</f>
        <v>Não</v>
      </c>
      <c r="O2248" t="str">
        <f>IFERROR(INDEX(tEditais[SRP],MATCH(tItens[[#This Row],[Edital]],tEditais[Edital],0)),"Não")</f>
        <v>Sim</v>
      </c>
      <c r="P2248" s="4">
        <f>IF(COUNTIFS(INDEX(tItens[Edital],1):tItens[[#This Row],[Edital]],tItens[[#This Row],[Edital]],INDEX(tItens[Produto],1):tItens[[#This Row],[Produto]],tItens[[#This Row],[Produto]])=1,1,0)</f>
        <v>1</v>
      </c>
    </row>
    <row r="2249" spans="1:16" x14ac:dyDescent="0.25">
      <c r="A2249" t="s">
        <v>1216</v>
      </c>
      <c r="B2249">
        <v>516</v>
      </c>
      <c r="C2249" t="s">
        <v>5286</v>
      </c>
      <c r="D2249" t="s">
        <v>333</v>
      </c>
      <c r="E2249" s="13">
        <v>10000</v>
      </c>
      <c r="F2249" s="12">
        <v>0.67</v>
      </c>
      <c r="G2249" t="str">
        <f>IFERROR(INDEX(tEditais[Órgão],MATCH(tItens[[#This Row],[Edital]],tEditais[Edital],0)),"")</f>
        <v>FUNDO MUNICIPAL DE SAUDE</v>
      </c>
      <c r="H2249" t="str">
        <f>IFERROR(INDEX(tEditais[UF],MATCH(tItens[[#This Row],[Edital]],tEditais[Edital],0)),"")</f>
        <v>GO</v>
      </c>
      <c r="I2249" s="11">
        <f>IFERROR(INDEX(tEditais[Encerramento],MATCH(tItens[[#This Row],[Edital]],tEditais[Edital],0)),"")</f>
        <v>46311.333333333336</v>
      </c>
      <c r="J2249" t="str">
        <f>IFERROR(INDEX(tProdutos[Classe],MATCH(tItens[[#This Row],[Produto]],tProdutos[Produto],0)),"produto não cadastrado")</f>
        <v>FORA</v>
      </c>
      <c r="K2249" s="12">
        <f>tItens[[#This Row],[Qtd]]*tItens[[#This Row],[Vlr unit]]</f>
        <v>6700</v>
      </c>
      <c r="L2249" s="6">
        <f>IFERROR(IF(INDEX(tProdutos[Desconto homologado],MATCH(tItens[[#This Row],[Produto]],tProdutos[Produto],0))="",DescontoPadrao,INDEX(tProdutos[Desconto homologado],MATCH(tItens[[#This Row],[Produto]],tProdutos[Produto],0))),DescontoPadrao)</f>
        <v>0.48951048951048998</v>
      </c>
      <c r="M2249" s="12">
        <f>tItens[[#This Row],[Valor]]*(1-tItens[[#This Row],[Desconto]])</f>
        <v>3420.2797202797169</v>
      </c>
      <c r="N2249" t="str">
        <f>IFERROR(INDEX(tProdutos[Foco],MATCH(tItens[[#This Row],[Produto]],tProdutos[Produto],0)),"Não")</f>
        <v>Não</v>
      </c>
      <c r="O2249" t="str">
        <f>IFERROR(INDEX(tEditais[SRP],MATCH(tItens[[#This Row],[Edital]],tEditais[Edital],0)),"Não")</f>
        <v>Sim</v>
      </c>
      <c r="P2249" s="4">
        <f>IF(COUNTIFS(INDEX(tItens[Edital],1):tItens[[#This Row],[Edital]],tItens[[#This Row],[Edital]],INDEX(tItens[Produto],1):tItens[[#This Row],[Produto]],tItens[[#This Row],[Produto]])=1,1,0)</f>
        <v>0</v>
      </c>
    </row>
    <row r="2250" spans="1:16" x14ac:dyDescent="0.25">
      <c r="A2250" t="s">
        <v>1216</v>
      </c>
      <c r="B2250">
        <v>517</v>
      </c>
      <c r="C2250" t="s">
        <v>4400</v>
      </c>
      <c r="D2250" t="s">
        <v>187</v>
      </c>
      <c r="E2250" s="13">
        <v>10000</v>
      </c>
      <c r="F2250" s="12">
        <v>6.92</v>
      </c>
      <c r="G2250" t="str">
        <f>IFERROR(INDEX(tEditais[Órgão],MATCH(tItens[[#This Row],[Edital]],tEditais[Edital],0)),"")</f>
        <v>FUNDO MUNICIPAL DE SAUDE</v>
      </c>
      <c r="H2250" t="str">
        <f>IFERROR(INDEX(tEditais[UF],MATCH(tItens[[#This Row],[Edital]],tEditais[Edital],0)),"")</f>
        <v>GO</v>
      </c>
      <c r="I2250" s="11">
        <f>IFERROR(INDEX(tEditais[Encerramento],MATCH(tItens[[#This Row],[Edital]],tEditais[Edital],0)),"")</f>
        <v>46311.333333333336</v>
      </c>
      <c r="J2250" t="str">
        <f>IFERROR(INDEX(tProdutos[Classe],MATCH(tItens[[#This Row],[Produto]],tProdutos[Produto],0)),"produto não cadastrado")</f>
        <v>DISPUTADO</v>
      </c>
      <c r="K2250" s="12">
        <f>tItens[[#This Row],[Qtd]]*tItens[[#This Row],[Vlr unit]]</f>
        <v>69200</v>
      </c>
      <c r="L2250" s="6">
        <f>IFERROR(IF(INDEX(tProdutos[Desconto homologado],MATCH(tItens[[#This Row],[Produto]],tProdutos[Produto],0))="",DescontoPadrao,INDEX(tProdutos[Desconto homologado],MATCH(tItens[[#This Row],[Produto]],tProdutos[Produto],0))),DescontoPadrao)</f>
        <v>0.44298820445609399</v>
      </c>
      <c r="M2250" s="12">
        <f>tItens[[#This Row],[Valor]]*(1-tItens[[#This Row],[Desconto]])</f>
        <v>38545.216251638296</v>
      </c>
      <c r="N2250" t="str">
        <f>IFERROR(INDEX(tProdutos[Foco],MATCH(tItens[[#This Row],[Produto]],tProdutos[Produto],0)),"Não")</f>
        <v>Não</v>
      </c>
      <c r="O2250" t="str">
        <f>IFERROR(INDEX(tEditais[SRP],MATCH(tItens[[#This Row],[Edital]],tEditais[Edital],0)),"Não")</f>
        <v>Sim</v>
      </c>
      <c r="P2250" s="4">
        <f>IF(COUNTIFS(INDEX(tItens[Edital],1):tItens[[#This Row],[Edital]],tItens[[#This Row],[Edital]],INDEX(tItens[Produto],1):tItens[[#This Row],[Produto]],tItens[[#This Row],[Produto]])=1,1,0)</f>
        <v>1</v>
      </c>
    </row>
    <row r="2251" spans="1:16" x14ac:dyDescent="0.25">
      <c r="A2251" t="s">
        <v>1216</v>
      </c>
      <c r="B2251">
        <v>518</v>
      </c>
      <c r="C2251" t="s">
        <v>5287</v>
      </c>
      <c r="D2251" t="s">
        <v>229</v>
      </c>
      <c r="E2251" s="13">
        <v>300</v>
      </c>
      <c r="F2251" s="12">
        <v>22.44</v>
      </c>
      <c r="G2251" t="str">
        <f>IFERROR(INDEX(tEditais[Órgão],MATCH(tItens[[#This Row],[Edital]],tEditais[Edital],0)),"")</f>
        <v>FUNDO MUNICIPAL DE SAUDE</v>
      </c>
      <c r="H2251" t="str">
        <f>IFERROR(INDEX(tEditais[UF],MATCH(tItens[[#This Row],[Edital]],tEditais[Edital],0)),"")</f>
        <v>GO</v>
      </c>
      <c r="I2251" s="11">
        <f>IFERROR(INDEX(tEditais[Encerramento],MATCH(tItens[[#This Row],[Edital]],tEditais[Edital],0)),"")</f>
        <v>46311.333333333336</v>
      </c>
      <c r="J2251" t="str">
        <f>IFERROR(INDEX(tProdutos[Classe],MATCH(tItens[[#This Row],[Produto]],tProdutos[Produto],0)),"produto não cadastrado")</f>
        <v>FORA</v>
      </c>
      <c r="K2251" s="12">
        <f>tItens[[#This Row],[Qtd]]*tItens[[#This Row],[Vlr unit]]</f>
        <v>6732</v>
      </c>
      <c r="L2251" s="6">
        <f>IFERROR(IF(INDEX(tProdutos[Desconto homologado],MATCH(tItens[[#This Row],[Produto]],tProdutos[Produto],0))="",DescontoPadrao,INDEX(tProdutos[Desconto homologado],MATCH(tItens[[#This Row],[Produto]],tProdutos[Produto],0))),DescontoPadrao)</f>
        <v>0.33093491191658198</v>
      </c>
      <c r="M2251" s="12">
        <f>tItens[[#This Row],[Valor]]*(1-tItens[[#This Row],[Desconto]])</f>
        <v>4504.1461729775701</v>
      </c>
      <c r="N2251" t="str">
        <f>IFERROR(INDEX(tProdutos[Foco],MATCH(tItens[[#This Row],[Produto]],tProdutos[Produto],0)),"Não")</f>
        <v>Não</v>
      </c>
      <c r="O2251" t="str">
        <f>IFERROR(INDEX(tEditais[SRP],MATCH(tItens[[#This Row],[Edital]],tEditais[Edital],0)),"Não")</f>
        <v>Sim</v>
      </c>
      <c r="P2251" s="4">
        <f>IF(COUNTIFS(INDEX(tItens[Edital],1):tItens[[#This Row],[Edital]],tItens[[#This Row],[Edital]],INDEX(tItens[Produto],1):tItens[[#This Row],[Produto]],tItens[[#This Row],[Produto]])=1,1,0)</f>
        <v>1</v>
      </c>
    </row>
    <row r="2252" spans="1:16" x14ac:dyDescent="0.25">
      <c r="A2252" t="s">
        <v>1216</v>
      </c>
      <c r="B2252">
        <v>520</v>
      </c>
      <c r="C2252" t="s">
        <v>5288</v>
      </c>
      <c r="D2252" t="s">
        <v>102</v>
      </c>
      <c r="E2252" s="13">
        <v>300</v>
      </c>
      <c r="F2252" s="12">
        <v>1.27</v>
      </c>
      <c r="G2252" t="str">
        <f>IFERROR(INDEX(tEditais[Órgão],MATCH(tItens[[#This Row],[Edital]],tEditais[Edital],0)),"")</f>
        <v>FUNDO MUNICIPAL DE SAUDE</v>
      </c>
      <c r="H2252" t="str">
        <f>IFERROR(INDEX(tEditais[UF],MATCH(tItens[[#This Row],[Edital]],tEditais[Edital],0)),"")</f>
        <v>GO</v>
      </c>
      <c r="I2252" s="11">
        <f>IFERROR(INDEX(tEditais[Encerramento],MATCH(tItens[[#This Row],[Edital]],tEditais[Edital],0)),"")</f>
        <v>46311.333333333336</v>
      </c>
      <c r="J2252" t="str">
        <f>IFERROR(INDEX(tProdutos[Classe],MATCH(tItens[[#This Row],[Produto]],tProdutos[Produto],0)),"produto não cadastrado")</f>
        <v>DISPUTADO</v>
      </c>
      <c r="K2252" s="12">
        <f>tItens[[#This Row],[Qtd]]*tItens[[#This Row],[Vlr unit]]</f>
        <v>381</v>
      </c>
      <c r="L2252" s="6">
        <f>IFERROR(IF(INDEX(tProdutos[Desconto homologado],MATCH(tItens[[#This Row],[Produto]],tProdutos[Produto],0))="",DescontoPadrao,INDEX(tProdutos[Desconto homologado],MATCH(tItens[[#This Row],[Produto]],tProdutos[Produto],0))),DescontoPadrao)</f>
        <v>0.38053097345132803</v>
      </c>
      <c r="M2252" s="12">
        <f>tItens[[#This Row],[Valor]]*(1-tItens[[#This Row],[Desconto]])</f>
        <v>236.01769911504402</v>
      </c>
      <c r="N2252" t="str">
        <f>IFERROR(INDEX(tProdutos[Foco],MATCH(tItens[[#This Row],[Produto]],tProdutos[Produto],0)),"Não")</f>
        <v>Não</v>
      </c>
      <c r="O2252" t="str">
        <f>IFERROR(INDEX(tEditais[SRP],MATCH(tItens[[#This Row],[Edital]],tEditais[Edital],0)),"Não")</f>
        <v>Sim</v>
      </c>
      <c r="P2252" s="4">
        <f>IF(COUNTIFS(INDEX(tItens[Edital],1):tItens[[#This Row],[Edital]],tItens[[#This Row],[Edital]],INDEX(tItens[Produto],1):tItens[[#This Row],[Produto]],tItens[[#This Row],[Produto]])=1,1,0)</f>
        <v>1</v>
      </c>
    </row>
    <row r="2253" spans="1:16" x14ac:dyDescent="0.25">
      <c r="A2253" t="s">
        <v>1216</v>
      </c>
      <c r="B2253">
        <v>521</v>
      </c>
      <c r="C2253" t="s">
        <v>5289</v>
      </c>
      <c r="D2253" t="s">
        <v>90</v>
      </c>
      <c r="E2253" s="13">
        <v>800</v>
      </c>
      <c r="F2253" s="12">
        <v>3.47</v>
      </c>
      <c r="G2253" t="str">
        <f>IFERROR(INDEX(tEditais[Órgão],MATCH(tItens[[#This Row],[Edital]],tEditais[Edital],0)),"")</f>
        <v>FUNDO MUNICIPAL DE SAUDE</v>
      </c>
      <c r="H2253" t="str">
        <f>IFERROR(INDEX(tEditais[UF],MATCH(tItens[[#This Row],[Edital]],tEditais[Edital],0)),"")</f>
        <v>GO</v>
      </c>
      <c r="I2253" s="11">
        <f>IFERROR(INDEX(tEditais[Encerramento],MATCH(tItens[[#This Row],[Edital]],tEditais[Edital],0)),"")</f>
        <v>46311.333333333336</v>
      </c>
      <c r="J2253" t="str">
        <f>IFERROR(INDEX(tProdutos[Classe],MATCH(tItens[[#This Row],[Produto]],tProdutos[Produto],0)),"produto não cadastrado")</f>
        <v>DISPUTADO</v>
      </c>
      <c r="K2253" s="12">
        <f>tItens[[#This Row],[Qtd]]*tItens[[#This Row],[Vlr unit]]</f>
        <v>2776</v>
      </c>
      <c r="L2253" s="6">
        <f>IFERROR(IF(INDEX(tProdutos[Desconto homologado],MATCH(tItens[[#This Row],[Produto]],tProdutos[Produto],0))="",DescontoPadrao,INDEX(tProdutos[Desconto homologado],MATCH(tItens[[#This Row],[Produto]],tProdutos[Produto],0))),DescontoPadrao)</f>
        <v>0.25393823957010597</v>
      </c>
      <c r="M2253" s="12">
        <f>tItens[[#This Row],[Valor]]*(1-tItens[[#This Row],[Desconto]])</f>
        <v>2071.067446953386</v>
      </c>
      <c r="N2253" t="str">
        <f>IFERROR(INDEX(tProdutos[Foco],MATCH(tItens[[#This Row],[Produto]],tProdutos[Produto],0)),"Não")</f>
        <v>Não</v>
      </c>
      <c r="O2253" t="str">
        <f>IFERROR(INDEX(tEditais[SRP],MATCH(tItens[[#This Row],[Edital]],tEditais[Edital],0)),"Não")</f>
        <v>Sim</v>
      </c>
      <c r="P2253" s="4">
        <f>IF(COUNTIFS(INDEX(tItens[Edital],1):tItens[[#This Row],[Edital]],tItens[[#This Row],[Edital]],INDEX(tItens[Produto],1):tItens[[#This Row],[Produto]],tItens[[#This Row],[Produto]])=1,1,0)</f>
        <v>1</v>
      </c>
    </row>
    <row r="2254" spans="1:16" x14ac:dyDescent="0.25">
      <c r="A2254" t="s">
        <v>1216</v>
      </c>
      <c r="B2254">
        <v>522</v>
      </c>
      <c r="C2254" t="s">
        <v>5290</v>
      </c>
      <c r="D2254" t="s">
        <v>90</v>
      </c>
      <c r="E2254" s="13">
        <v>1200</v>
      </c>
      <c r="F2254" s="12">
        <v>7.22</v>
      </c>
      <c r="G2254" t="str">
        <f>IFERROR(INDEX(tEditais[Órgão],MATCH(tItens[[#This Row],[Edital]],tEditais[Edital],0)),"")</f>
        <v>FUNDO MUNICIPAL DE SAUDE</v>
      </c>
      <c r="H2254" t="str">
        <f>IFERROR(INDEX(tEditais[UF],MATCH(tItens[[#This Row],[Edital]],tEditais[Edital],0)),"")</f>
        <v>GO</v>
      </c>
      <c r="I2254" s="11">
        <f>IFERROR(INDEX(tEditais[Encerramento],MATCH(tItens[[#This Row],[Edital]],tEditais[Edital],0)),"")</f>
        <v>46311.333333333336</v>
      </c>
      <c r="J2254" t="str">
        <f>IFERROR(INDEX(tProdutos[Classe],MATCH(tItens[[#This Row],[Produto]],tProdutos[Produto],0)),"produto não cadastrado")</f>
        <v>DISPUTADO</v>
      </c>
      <c r="K2254" s="12">
        <f>tItens[[#This Row],[Qtd]]*tItens[[#This Row],[Vlr unit]]</f>
        <v>8664</v>
      </c>
      <c r="L2254" s="6">
        <f>IFERROR(IF(INDEX(tProdutos[Desconto homologado],MATCH(tItens[[#This Row],[Produto]],tProdutos[Produto],0))="",DescontoPadrao,INDEX(tProdutos[Desconto homologado],MATCH(tItens[[#This Row],[Produto]],tProdutos[Produto],0))),DescontoPadrao)</f>
        <v>0.25393823957010597</v>
      </c>
      <c r="M2254" s="12">
        <f>tItens[[#This Row],[Valor]]*(1-tItens[[#This Row],[Desconto]])</f>
        <v>6463.879092364602</v>
      </c>
      <c r="N2254" t="str">
        <f>IFERROR(INDEX(tProdutos[Foco],MATCH(tItens[[#This Row],[Produto]],tProdutos[Produto],0)),"Não")</f>
        <v>Não</v>
      </c>
      <c r="O2254" t="str">
        <f>IFERROR(INDEX(tEditais[SRP],MATCH(tItens[[#This Row],[Edital]],tEditais[Edital],0)),"Não")</f>
        <v>Sim</v>
      </c>
      <c r="P2254" s="4">
        <f>IF(COUNTIFS(INDEX(tItens[Edital],1):tItens[[#This Row],[Edital]],tItens[[#This Row],[Edital]],INDEX(tItens[Produto],1):tItens[[#This Row],[Produto]],tItens[[#This Row],[Produto]])=1,1,0)</f>
        <v>0</v>
      </c>
    </row>
    <row r="2255" spans="1:16" x14ac:dyDescent="0.25">
      <c r="A2255" t="s">
        <v>1216</v>
      </c>
      <c r="B2255">
        <v>523</v>
      </c>
      <c r="C2255" t="s">
        <v>5291</v>
      </c>
      <c r="D2255" t="s">
        <v>90</v>
      </c>
      <c r="E2255" s="13">
        <v>400</v>
      </c>
      <c r="F2255" s="12">
        <v>12.92</v>
      </c>
      <c r="G2255" t="str">
        <f>IFERROR(INDEX(tEditais[Órgão],MATCH(tItens[[#This Row],[Edital]],tEditais[Edital],0)),"")</f>
        <v>FUNDO MUNICIPAL DE SAUDE</v>
      </c>
      <c r="H2255" t="str">
        <f>IFERROR(INDEX(tEditais[UF],MATCH(tItens[[#This Row],[Edital]],tEditais[Edital],0)),"")</f>
        <v>GO</v>
      </c>
      <c r="I2255" s="11">
        <f>IFERROR(INDEX(tEditais[Encerramento],MATCH(tItens[[#This Row],[Edital]],tEditais[Edital],0)),"")</f>
        <v>46311.333333333336</v>
      </c>
      <c r="J2255" t="str">
        <f>IFERROR(INDEX(tProdutos[Classe],MATCH(tItens[[#This Row],[Produto]],tProdutos[Produto],0)),"produto não cadastrado")</f>
        <v>DISPUTADO</v>
      </c>
      <c r="K2255" s="12">
        <f>tItens[[#This Row],[Qtd]]*tItens[[#This Row],[Vlr unit]]</f>
        <v>5168</v>
      </c>
      <c r="L2255" s="6">
        <f>IFERROR(IF(INDEX(tProdutos[Desconto homologado],MATCH(tItens[[#This Row],[Produto]],tProdutos[Produto],0))="",DescontoPadrao,INDEX(tProdutos[Desconto homologado],MATCH(tItens[[#This Row],[Produto]],tProdutos[Produto],0))),DescontoPadrao)</f>
        <v>0.25393823957010597</v>
      </c>
      <c r="M2255" s="12">
        <f>tItens[[#This Row],[Valor]]*(1-tItens[[#This Row],[Desconto]])</f>
        <v>3855.6471779016924</v>
      </c>
      <c r="N2255" t="str">
        <f>IFERROR(INDEX(tProdutos[Foco],MATCH(tItens[[#This Row],[Produto]],tProdutos[Produto],0)),"Não")</f>
        <v>Não</v>
      </c>
      <c r="O2255" t="str">
        <f>IFERROR(INDEX(tEditais[SRP],MATCH(tItens[[#This Row],[Edital]],tEditais[Edital],0)),"Não")</f>
        <v>Sim</v>
      </c>
      <c r="P2255" s="4">
        <f>IF(COUNTIFS(INDEX(tItens[Edital],1):tItens[[#This Row],[Edital]],tItens[[#This Row],[Edital]],INDEX(tItens[Produto],1):tItens[[#This Row],[Produto]],tItens[[#This Row],[Produto]])=1,1,0)</f>
        <v>0</v>
      </c>
    </row>
    <row r="2256" spans="1:16" x14ac:dyDescent="0.25">
      <c r="A2256" t="s">
        <v>1216</v>
      </c>
      <c r="B2256">
        <v>524</v>
      </c>
      <c r="C2256" t="s">
        <v>5292</v>
      </c>
      <c r="D2256" t="s">
        <v>90</v>
      </c>
      <c r="E2256" s="13">
        <v>400</v>
      </c>
      <c r="F2256" s="12">
        <v>3.25</v>
      </c>
      <c r="G2256" t="str">
        <f>IFERROR(INDEX(tEditais[Órgão],MATCH(tItens[[#This Row],[Edital]],tEditais[Edital],0)),"")</f>
        <v>FUNDO MUNICIPAL DE SAUDE</v>
      </c>
      <c r="H2256" t="str">
        <f>IFERROR(INDEX(tEditais[UF],MATCH(tItens[[#This Row],[Edital]],tEditais[Edital],0)),"")</f>
        <v>GO</v>
      </c>
      <c r="I2256" s="11">
        <f>IFERROR(INDEX(tEditais[Encerramento],MATCH(tItens[[#This Row],[Edital]],tEditais[Edital],0)),"")</f>
        <v>46311.333333333336</v>
      </c>
      <c r="J2256" t="str">
        <f>IFERROR(INDEX(tProdutos[Classe],MATCH(tItens[[#This Row],[Produto]],tProdutos[Produto],0)),"produto não cadastrado")</f>
        <v>DISPUTADO</v>
      </c>
      <c r="K2256" s="12">
        <f>tItens[[#This Row],[Qtd]]*tItens[[#This Row],[Vlr unit]]</f>
        <v>1300</v>
      </c>
      <c r="L2256" s="6">
        <f>IFERROR(IF(INDEX(tProdutos[Desconto homologado],MATCH(tItens[[#This Row],[Produto]],tProdutos[Produto],0))="",DescontoPadrao,INDEX(tProdutos[Desconto homologado],MATCH(tItens[[#This Row],[Produto]],tProdutos[Produto],0))),DescontoPadrao)</f>
        <v>0.25393823957010597</v>
      </c>
      <c r="M2256" s="12">
        <f>tItens[[#This Row],[Valor]]*(1-tItens[[#This Row],[Desconto]])</f>
        <v>969.88028855886228</v>
      </c>
      <c r="N2256" t="str">
        <f>IFERROR(INDEX(tProdutos[Foco],MATCH(tItens[[#This Row],[Produto]],tProdutos[Produto],0)),"Não")</f>
        <v>Não</v>
      </c>
      <c r="O2256" t="str">
        <f>IFERROR(INDEX(tEditais[SRP],MATCH(tItens[[#This Row],[Edital]],tEditais[Edital],0)),"Não")</f>
        <v>Sim</v>
      </c>
      <c r="P2256" s="4">
        <f>IF(COUNTIFS(INDEX(tItens[Edital],1):tItens[[#This Row],[Edital]],tItens[[#This Row],[Edital]],INDEX(tItens[Produto],1):tItens[[#This Row],[Produto]],tItens[[#This Row],[Produto]])=1,1,0)</f>
        <v>0</v>
      </c>
    </row>
    <row r="2257" spans="1:16" x14ac:dyDescent="0.25">
      <c r="A2257" t="s">
        <v>1216</v>
      </c>
      <c r="B2257">
        <v>535</v>
      </c>
      <c r="C2257" t="s">
        <v>5293</v>
      </c>
      <c r="D2257" t="s">
        <v>75</v>
      </c>
      <c r="E2257" s="13">
        <v>2000</v>
      </c>
      <c r="F2257" s="12">
        <v>1.71</v>
      </c>
      <c r="G2257" t="str">
        <f>IFERROR(INDEX(tEditais[Órgão],MATCH(tItens[[#This Row],[Edital]],tEditais[Edital],0)),"")</f>
        <v>FUNDO MUNICIPAL DE SAUDE</v>
      </c>
      <c r="H2257" t="str">
        <f>IFERROR(INDEX(tEditais[UF],MATCH(tItens[[#This Row],[Edital]],tEditais[Edital],0)),"")</f>
        <v>GO</v>
      </c>
      <c r="I2257" s="11">
        <f>IFERROR(INDEX(tEditais[Encerramento],MATCH(tItens[[#This Row],[Edital]],tEditais[Edital],0)),"")</f>
        <v>46311.333333333336</v>
      </c>
      <c r="J2257" t="str">
        <f>IFERROR(INDEX(tProdutos[Classe],MATCH(tItens[[#This Row],[Produto]],tProdutos[Produto],0)),"produto não cadastrado")</f>
        <v>NÚCLEO</v>
      </c>
      <c r="K2257" s="12">
        <f>tItens[[#This Row],[Qtd]]*tItens[[#This Row],[Vlr unit]]</f>
        <v>3420</v>
      </c>
      <c r="L2257" s="6">
        <f>IFERROR(IF(INDEX(tProdutos[Desconto homologado],MATCH(tItens[[#This Row],[Produto]],tProdutos[Produto],0))="",DescontoPadrao,INDEX(tProdutos[Desconto homologado],MATCH(tItens[[#This Row],[Produto]],tProdutos[Produto],0))),DescontoPadrao)</f>
        <v>0.26</v>
      </c>
      <c r="M2257" s="12">
        <f>tItens[[#This Row],[Valor]]*(1-tItens[[#This Row],[Desconto]])</f>
        <v>2530.8000000000002</v>
      </c>
      <c r="N2257" t="str">
        <f>IFERROR(INDEX(tProdutos[Foco],MATCH(tItens[[#This Row],[Produto]],tProdutos[Produto],0)),"Não")</f>
        <v>Sim</v>
      </c>
      <c r="O2257" t="str">
        <f>IFERROR(INDEX(tEditais[SRP],MATCH(tItens[[#This Row],[Edital]],tEditais[Edital],0)),"Não")</f>
        <v>Sim</v>
      </c>
      <c r="P2257" s="4">
        <f>IF(COUNTIFS(INDEX(tItens[Edital],1):tItens[[#This Row],[Edital]],tItens[[#This Row],[Edital]],INDEX(tItens[Produto],1):tItens[[#This Row],[Produto]],tItens[[#This Row],[Produto]])=1,1,0)</f>
        <v>1</v>
      </c>
    </row>
    <row r="2258" spans="1:16" x14ac:dyDescent="0.25">
      <c r="A2258" t="s">
        <v>1216</v>
      </c>
      <c r="B2258">
        <v>536</v>
      </c>
      <c r="C2258" t="s">
        <v>5294</v>
      </c>
      <c r="D2258" t="s">
        <v>75</v>
      </c>
      <c r="E2258" s="13">
        <v>2000</v>
      </c>
      <c r="F2258" s="12">
        <v>1.24</v>
      </c>
      <c r="G2258" t="str">
        <f>IFERROR(INDEX(tEditais[Órgão],MATCH(tItens[[#This Row],[Edital]],tEditais[Edital],0)),"")</f>
        <v>FUNDO MUNICIPAL DE SAUDE</v>
      </c>
      <c r="H2258" t="str">
        <f>IFERROR(INDEX(tEditais[UF],MATCH(tItens[[#This Row],[Edital]],tEditais[Edital],0)),"")</f>
        <v>GO</v>
      </c>
      <c r="I2258" s="11">
        <f>IFERROR(INDEX(tEditais[Encerramento],MATCH(tItens[[#This Row],[Edital]],tEditais[Edital],0)),"")</f>
        <v>46311.333333333336</v>
      </c>
      <c r="J2258" t="str">
        <f>IFERROR(INDEX(tProdutos[Classe],MATCH(tItens[[#This Row],[Produto]],tProdutos[Produto],0)),"produto não cadastrado")</f>
        <v>NÚCLEO</v>
      </c>
      <c r="K2258" s="12">
        <f>tItens[[#This Row],[Qtd]]*tItens[[#This Row],[Vlr unit]]</f>
        <v>2480</v>
      </c>
      <c r="L2258" s="6">
        <f>IFERROR(IF(INDEX(tProdutos[Desconto homologado],MATCH(tItens[[#This Row],[Produto]],tProdutos[Produto],0))="",DescontoPadrao,INDEX(tProdutos[Desconto homologado],MATCH(tItens[[#This Row],[Produto]],tProdutos[Produto],0))),DescontoPadrao)</f>
        <v>0.26</v>
      </c>
      <c r="M2258" s="12">
        <f>tItens[[#This Row],[Valor]]*(1-tItens[[#This Row],[Desconto]])</f>
        <v>1835.2</v>
      </c>
      <c r="N2258" t="str">
        <f>IFERROR(INDEX(tProdutos[Foco],MATCH(tItens[[#This Row],[Produto]],tProdutos[Produto],0)),"Não")</f>
        <v>Sim</v>
      </c>
      <c r="O2258" t="str">
        <f>IFERROR(INDEX(tEditais[SRP],MATCH(tItens[[#This Row],[Edital]],tEditais[Edital],0)),"Não")</f>
        <v>Sim</v>
      </c>
      <c r="P2258" s="4">
        <f>IF(COUNTIFS(INDEX(tItens[Edital],1):tItens[[#This Row],[Edital]],tItens[[#This Row],[Edital]],INDEX(tItens[Produto],1):tItens[[#This Row],[Produto]],tItens[[#This Row],[Produto]])=1,1,0)</f>
        <v>0</v>
      </c>
    </row>
    <row r="2259" spans="1:16" x14ac:dyDescent="0.25">
      <c r="A2259" t="s">
        <v>1216</v>
      </c>
      <c r="B2259">
        <v>537</v>
      </c>
      <c r="C2259" t="s">
        <v>5295</v>
      </c>
      <c r="D2259" t="s">
        <v>75</v>
      </c>
      <c r="E2259" s="13">
        <v>2000</v>
      </c>
      <c r="F2259" s="12">
        <v>1.48</v>
      </c>
      <c r="G2259" t="str">
        <f>IFERROR(INDEX(tEditais[Órgão],MATCH(tItens[[#This Row],[Edital]],tEditais[Edital],0)),"")</f>
        <v>FUNDO MUNICIPAL DE SAUDE</v>
      </c>
      <c r="H2259" t="str">
        <f>IFERROR(INDEX(tEditais[UF],MATCH(tItens[[#This Row],[Edital]],tEditais[Edital],0)),"")</f>
        <v>GO</v>
      </c>
      <c r="I2259" s="11">
        <f>IFERROR(INDEX(tEditais[Encerramento],MATCH(tItens[[#This Row],[Edital]],tEditais[Edital],0)),"")</f>
        <v>46311.333333333336</v>
      </c>
      <c r="J2259" t="str">
        <f>IFERROR(INDEX(tProdutos[Classe],MATCH(tItens[[#This Row],[Produto]],tProdutos[Produto],0)),"produto não cadastrado")</f>
        <v>NÚCLEO</v>
      </c>
      <c r="K2259" s="12">
        <f>tItens[[#This Row],[Qtd]]*tItens[[#This Row],[Vlr unit]]</f>
        <v>2960</v>
      </c>
      <c r="L2259" s="6">
        <f>IFERROR(IF(INDEX(tProdutos[Desconto homologado],MATCH(tItens[[#This Row],[Produto]],tProdutos[Produto],0))="",DescontoPadrao,INDEX(tProdutos[Desconto homologado],MATCH(tItens[[#This Row],[Produto]],tProdutos[Produto],0))),DescontoPadrao)</f>
        <v>0.26</v>
      </c>
      <c r="M2259" s="12">
        <f>tItens[[#This Row],[Valor]]*(1-tItens[[#This Row],[Desconto]])</f>
        <v>2190.4</v>
      </c>
      <c r="N2259" t="str">
        <f>IFERROR(INDEX(tProdutos[Foco],MATCH(tItens[[#This Row],[Produto]],tProdutos[Produto],0)),"Não")</f>
        <v>Sim</v>
      </c>
      <c r="O2259" t="str">
        <f>IFERROR(INDEX(tEditais[SRP],MATCH(tItens[[#This Row],[Edital]],tEditais[Edital],0)),"Não")</f>
        <v>Sim</v>
      </c>
      <c r="P2259" s="4">
        <f>IF(COUNTIFS(INDEX(tItens[Edital],1):tItens[[#This Row],[Edital]],tItens[[#This Row],[Edital]],INDEX(tItens[Produto],1):tItens[[#This Row],[Produto]],tItens[[#This Row],[Produto]])=1,1,0)</f>
        <v>0</v>
      </c>
    </row>
    <row r="2260" spans="1:16" x14ac:dyDescent="0.25">
      <c r="A2260" t="s">
        <v>1216</v>
      </c>
      <c r="B2260">
        <v>538</v>
      </c>
      <c r="C2260" t="s">
        <v>5296</v>
      </c>
      <c r="D2260" t="s">
        <v>75</v>
      </c>
      <c r="E2260" s="13">
        <v>2000</v>
      </c>
      <c r="F2260" s="12">
        <v>1.43</v>
      </c>
      <c r="G2260" t="str">
        <f>IFERROR(INDEX(tEditais[Órgão],MATCH(tItens[[#This Row],[Edital]],tEditais[Edital],0)),"")</f>
        <v>FUNDO MUNICIPAL DE SAUDE</v>
      </c>
      <c r="H2260" t="str">
        <f>IFERROR(INDEX(tEditais[UF],MATCH(tItens[[#This Row],[Edital]],tEditais[Edital],0)),"")</f>
        <v>GO</v>
      </c>
      <c r="I2260" s="11">
        <f>IFERROR(INDEX(tEditais[Encerramento],MATCH(tItens[[#This Row],[Edital]],tEditais[Edital],0)),"")</f>
        <v>46311.333333333336</v>
      </c>
      <c r="J2260" t="str">
        <f>IFERROR(INDEX(tProdutos[Classe],MATCH(tItens[[#This Row],[Produto]],tProdutos[Produto],0)),"produto não cadastrado")</f>
        <v>NÚCLEO</v>
      </c>
      <c r="K2260" s="12">
        <f>tItens[[#This Row],[Qtd]]*tItens[[#This Row],[Vlr unit]]</f>
        <v>2860</v>
      </c>
      <c r="L2260" s="6">
        <f>IFERROR(IF(INDEX(tProdutos[Desconto homologado],MATCH(tItens[[#This Row],[Produto]],tProdutos[Produto],0))="",DescontoPadrao,INDEX(tProdutos[Desconto homologado],MATCH(tItens[[#This Row],[Produto]],tProdutos[Produto],0))),DescontoPadrao)</f>
        <v>0.26</v>
      </c>
      <c r="M2260" s="12">
        <f>tItens[[#This Row],[Valor]]*(1-tItens[[#This Row],[Desconto]])</f>
        <v>2116.4</v>
      </c>
      <c r="N2260" t="str">
        <f>IFERROR(INDEX(tProdutos[Foco],MATCH(tItens[[#This Row],[Produto]],tProdutos[Produto],0)),"Não")</f>
        <v>Sim</v>
      </c>
      <c r="O2260" t="str">
        <f>IFERROR(INDEX(tEditais[SRP],MATCH(tItens[[#This Row],[Edital]],tEditais[Edital],0)),"Não")</f>
        <v>Sim</v>
      </c>
      <c r="P2260" s="4">
        <f>IF(COUNTIFS(INDEX(tItens[Edital],1):tItens[[#This Row],[Edital]],tItens[[#This Row],[Edital]],INDEX(tItens[Produto],1):tItens[[#This Row],[Produto]],tItens[[#This Row],[Produto]])=1,1,0)</f>
        <v>0</v>
      </c>
    </row>
    <row r="2261" spans="1:16" x14ac:dyDescent="0.25">
      <c r="A2261" t="s">
        <v>1216</v>
      </c>
      <c r="B2261">
        <v>550</v>
      </c>
      <c r="C2261" t="s">
        <v>5297</v>
      </c>
      <c r="D2261" t="s">
        <v>180</v>
      </c>
      <c r="E2261" s="13">
        <v>2000</v>
      </c>
      <c r="F2261" s="12">
        <v>0.99</v>
      </c>
      <c r="G2261" t="str">
        <f>IFERROR(INDEX(tEditais[Órgão],MATCH(tItens[[#This Row],[Edital]],tEditais[Edital],0)),"")</f>
        <v>FUNDO MUNICIPAL DE SAUDE</v>
      </c>
      <c r="H2261" t="str">
        <f>IFERROR(INDEX(tEditais[UF],MATCH(tItens[[#This Row],[Edital]],tEditais[Edital],0)),"")</f>
        <v>GO</v>
      </c>
      <c r="I2261" s="11">
        <f>IFERROR(INDEX(tEditais[Encerramento],MATCH(tItens[[#This Row],[Edital]],tEditais[Edital],0)),"")</f>
        <v>46311.333333333336</v>
      </c>
      <c r="J2261" t="str">
        <f>IFERROR(INDEX(tProdutos[Classe],MATCH(tItens[[#This Row],[Produto]],tProdutos[Produto],0)),"produto não cadastrado")</f>
        <v>DISPUTADO</v>
      </c>
      <c r="K2261" s="12">
        <f>tItens[[#This Row],[Qtd]]*tItens[[#This Row],[Vlr unit]]</f>
        <v>1980</v>
      </c>
      <c r="L2261" s="6">
        <f>IFERROR(IF(INDEX(tProdutos[Desconto homologado],MATCH(tItens[[#This Row],[Produto]],tProdutos[Produto],0))="",DescontoPadrao,INDEX(tProdutos[Desconto homologado],MATCH(tItens[[#This Row],[Produto]],tProdutos[Produto],0))),DescontoPadrao)</f>
        <v>0.33333333333333298</v>
      </c>
      <c r="M2261" s="12">
        <f>tItens[[#This Row],[Valor]]*(1-tItens[[#This Row],[Desconto]])</f>
        <v>1320.0000000000007</v>
      </c>
      <c r="N2261" t="str">
        <f>IFERROR(INDEX(tProdutos[Foco],MATCH(tItens[[#This Row],[Produto]],tProdutos[Produto],0)),"Não")</f>
        <v>Não</v>
      </c>
      <c r="O2261" t="str">
        <f>IFERROR(INDEX(tEditais[SRP],MATCH(tItens[[#This Row],[Edital]],tEditais[Edital],0)),"Não")</f>
        <v>Sim</v>
      </c>
      <c r="P2261" s="4">
        <f>IF(COUNTIFS(INDEX(tItens[Edital],1):tItens[[#This Row],[Edital]],tItens[[#This Row],[Edital]],INDEX(tItens[Produto],1):tItens[[#This Row],[Produto]],tItens[[#This Row],[Produto]])=1,1,0)</f>
        <v>1</v>
      </c>
    </row>
    <row r="2262" spans="1:16" x14ac:dyDescent="0.25">
      <c r="A2262" t="s">
        <v>1216</v>
      </c>
      <c r="B2262">
        <v>562</v>
      </c>
      <c r="C2262" t="s">
        <v>5298</v>
      </c>
      <c r="D2262" t="s">
        <v>470</v>
      </c>
      <c r="E2262" s="13">
        <v>400</v>
      </c>
      <c r="F2262" s="12">
        <v>3.36</v>
      </c>
      <c r="G2262" t="str">
        <f>IFERROR(INDEX(tEditais[Órgão],MATCH(tItens[[#This Row],[Edital]],tEditais[Edital],0)),"")</f>
        <v>FUNDO MUNICIPAL DE SAUDE</v>
      </c>
      <c r="H2262" t="str">
        <f>IFERROR(INDEX(tEditais[UF],MATCH(tItens[[#This Row],[Edital]],tEditais[Edital],0)),"")</f>
        <v>GO</v>
      </c>
      <c r="I2262" s="11">
        <f>IFERROR(INDEX(tEditais[Encerramento],MATCH(tItens[[#This Row],[Edital]],tEditais[Edital],0)),"")</f>
        <v>46311.333333333336</v>
      </c>
      <c r="J2262" t="str">
        <f>IFERROR(INDEX(tProdutos[Classe],MATCH(tItens[[#This Row],[Produto]],tProdutos[Produto],0)),"produto não cadastrado")</f>
        <v>FILA REBASE</v>
      </c>
      <c r="K2262" s="12">
        <f>tItens[[#This Row],[Qtd]]*tItens[[#This Row],[Vlr unit]]</f>
        <v>1344</v>
      </c>
      <c r="L2262" s="6">
        <f>IFERROR(IF(INDEX(tProdutos[Desconto homologado],MATCH(tItens[[#This Row],[Produto]],tProdutos[Produto],0))="",DescontoPadrao,INDEX(tProdutos[Desconto homologado],MATCH(tItens[[#This Row],[Produto]],tProdutos[Produto],0))),DescontoPadrao)</f>
        <v>0.47925413282186802</v>
      </c>
      <c r="M2262" s="12">
        <f>tItens[[#This Row],[Valor]]*(1-tItens[[#This Row],[Desconto]])</f>
        <v>699.88244548740943</v>
      </c>
      <c r="N2262" t="str">
        <f>IFERROR(INDEX(tProdutos[Foco],MATCH(tItens[[#This Row],[Produto]],tProdutos[Produto],0)),"Não")</f>
        <v>Não</v>
      </c>
      <c r="O2262" t="str">
        <f>IFERROR(INDEX(tEditais[SRP],MATCH(tItens[[#This Row],[Edital]],tEditais[Edital],0)),"Não")</f>
        <v>Sim</v>
      </c>
      <c r="P2262" s="4">
        <f>IF(COUNTIFS(INDEX(tItens[Edital],1):tItens[[#This Row],[Edital]],tItens[[#This Row],[Edital]],INDEX(tItens[Produto],1):tItens[[#This Row],[Produto]],tItens[[#This Row],[Produto]])=1,1,0)</f>
        <v>1</v>
      </c>
    </row>
    <row r="2263" spans="1:16" x14ac:dyDescent="0.25">
      <c r="A2263" t="s">
        <v>1216</v>
      </c>
      <c r="B2263">
        <v>634</v>
      </c>
      <c r="C2263" t="s">
        <v>5299</v>
      </c>
      <c r="D2263" t="s">
        <v>461</v>
      </c>
      <c r="E2263" s="13">
        <v>80</v>
      </c>
      <c r="F2263" s="12">
        <v>38.53</v>
      </c>
      <c r="G2263" t="str">
        <f>IFERROR(INDEX(tEditais[Órgão],MATCH(tItens[[#This Row],[Edital]],tEditais[Edital],0)),"")</f>
        <v>FUNDO MUNICIPAL DE SAUDE</v>
      </c>
      <c r="H2263" t="str">
        <f>IFERROR(INDEX(tEditais[UF],MATCH(tItens[[#This Row],[Edital]],tEditais[Edital],0)),"")</f>
        <v>GO</v>
      </c>
      <c r="I2263" s="11">
        <f>IFERROR(INDEX(tEditais[Encerramento],MATCH(tItens[[#This Row],[Edital]],tEditais[Edital],0)),"")</f>
        <v>46311.333333333336</v>
      </c>
      <c r="J2263" t="str">
        <f>IFERROR(INDEX(tProdutos[Classe],MATCH(tItens[[#This Row],[Produto]],tProdutos[Produto],0)),"produto não cadastrado")</f>
        <v>FILA REBASE</v>
      </c>
      <c r="K2263" s="12">
        <f>tItens[[#This Row],[Qtd]]*tItens[[#This Row],[Vlr unit]]</f>
        <v>3082.4</v>
      </c>
      <c r="L2263" s="6">
        <f>IFERROR(IF(INDEX(tProdutos[Desconto homologado],MATCH(tItens[[#This Row],[Produto]],tProdutos[Produto],0))="",DescontoPadrao,INDEX(tProdutos[Desconto homologado],MATCH(tItens[[#This Row],[Produto]],tProdutos[Produto],0))),DescontoPadrao)</f>
        <v>0.44096385542168698</v>
      </c>
      <c r="M2263" s="12">
        <f>tItens[[#This Row],[Valor]]*(1-tItens[[#This Row],[Desconto]])</f>
        <v>1723.173012048192</v>
      </c>
      <c r="N2263" t="str">
        <f>IFERROR(INDEX(tProdutos[Foco],MATCH(tItens[[#This Row],[Produto]],tProdutos[Produto],0)),"Não")</f>
        <v>Não</v>
      </c>
      <c r="O2263" t="str">
        <f>IFERROR(INDEX(tEditais[SRP],MATCH(tItens[[#This Row],[Edital]],tEditais[Edital],0)),"Não")</f>
        <v>Sim</v>
      </c>
      <c r="P2263" s="4">
        <f>IF(COUNTIFS(INDEX(tItens[Edital],1):tItens[[#This Row],[Edital]],tItens[[#This Row],[Edital]],INDEX(tItens[Produto],1):tItens[[#This Row],[Produto]],tItens[[#This Row],[Produto]])=1,1,0)</f>
        <v>1</v>
      </c>
    </row>
    <row r="2264" spans="1:16" x14ac:dyDescent="0.25">
      <c r="A2264" t="s">
        <v>1216</v>
      </c>
      <c r="B2264">
        <v>635</v>
      </c>
      <c r="C2264" t="s">
        <v>5300</v>
      </c>
      <c r="D2264" t="s">
        <v>461</v>
      </c>
      <c r="E2264" s="13">
        <v>80</v>
      </c>
      <c r="F2264" s="12">
        <v>38.53</v>
      </c>
      <c r="G2264" t="str">
        <f>IFERROR(INDEX(tEditais[Órgão],MATCH(tItens[[#This Row],[Edital]],tEditais[Edital],0)),"")</f>
        <v>FUNDO MUNICIPAL DE SAUDE</v>
      </c>
      <c r="H2264" t="str">
        <f>IFERROR(INDEX(tEditais[UF],MATCH(tItens[[#This Row],[Edital]],tEditais[Edital],0)),"")</f>
        <v>GO</v>
      </c>
      <c r="I2264" s="11">
        <f>IFERROR(INDEX(tEditais[Encerramento],MATCH(tItens[[#This Row],[Edital]],tEditais[Edital],0)),"")</f>
        <v>46311.333333333336</v>
      </c>
      <c r="J2264" t="str">
        <f>IFERROR(INDEX(tProdutos[Classe],MATCH(tItens[[#This Row],[Produto]],tProdutos[Produto],0)),"produto não cadastrado")</f>
        <v>FILA REBASE</v>
      </c>
      <c r="K2264" s="12">
        <f>tItens[[#This Row],[Qtd]]*tItens[[#This Row],[Vlr unit]]</f>
        <v>3082.4</v>
      </c>
      <c r="L2264" s="6">
        <f>IFERROR(IF(INDEX(tProdutos[Desconto homologado],MATCH(tItens[[#This Row],[Produto]],tProdutos[Produto],0))="",DescontoPadrao,INDEX(tProdutos[Desconto homologado],MATCH(tItens[[#This Row],[Produto]],tProdutos[Produto],0))),DescontoPadrao)</f>
        <v>0.44096385542168698</v>
      </c>
      <c r="M2264" s="12">
        <f>tItens[[#This Row],[Valor]]*(1-tItens[[#This Row],[Desconto]])</f>
        <v>1723.173012048192</v>
      </c>
      <c r="N2264" t="str">
        <f>IFERROR(INDEX(tProdutos[Foco],MATCH(tItens[[#This Row],[Produto]],tProdutos[Produto],0)),"Não")</f>
        <v>Não</v>
      </c>
      <c r="O2264" t="str">
        <f>IFERROR(INDEX(tEditais[SRP],MATCH(tItens[[#This Row],[Edital]],tEditais[Edital],0)),"Não")</f>
        <v>Sim</v>
      </c>
      <c r="P2264" s="4">
        <f>IF(COUNTIFS(INDEX(tItens[Edital],1):tItens[[#This Row],[Edital]],tItens[[#This Row],[Edital]],INDEX(tItens[Produto],1):tItens[[#This Row],[Produto]],tItens[[#This Row],[Produto]])=1,1,0)</f>
        <v>0</v>
      </c>
    </row>
    <row r="2265" spans="1:16" x14ac:dyDescent="0.25">
      <c r="A2265" t="s">
        <v>1216</v>
      </c>
      <c r="B2265">
        <v>636</v>
      </c>
      <c r="C2265" t="s">
        <v>5301</v>
      </c>
      <c r="D2265" t="s">
        <v>461</v>
      </c>
      <c r="E2265" s="13">
        <v>80</v>
      </c>
      <c r="F2265" s="12">
        <v>38.53</v>
      </c>
      <c r="G2265" t="str">
        <f>IFERROR(INDEX(tEditais[Órgão],MATCH(tItens[[#This Row],[Edital]],tEditais[Edital],0)),"")</f>
        <v>FUNDO MUNICIPAL DE SAUDE</v>
      </c>
      <c r="H2265" t="str">
        <f>IFERROR(INDEX(tEditais[UF],MATCH(tItens[[#This Row],[Edital]],tEditais[Edital],0)),"")</f>
        <v>GO</v>
      </c>
      <c r="I2265" s="11">
        <f>IFERROR(INDEX(tEditais[Encerramento],MATCH(tItens[[#This Row],[Edital]],tEditais[Edital],0)),"")</f>
        <v>46311.333333333336</v>
      </c>
      <c r="J2265" t="str">
        <f>IFERROR(INDEX(tProdutos[Classe],MATCH(tItens[[#This Row],[Produto]],tProdutos[Produto],0)),"produto não cadastrado")</f>
        <v>FILA REBASE</v>
      </c>
      <c r="K2265" s="12">
        <f>tItens[[#This Row],[Qtd]]*tItens[[#This Row],[Vlr unit]]</f>
        <v>3082.4</v>
      </c>
      <c r="L2265" s="6">
        <f>IFERROR(IF(INDEX(tProdutos[Desconto homologado],MATCH(tItens[[#This Row],[Produto]],tProdutos[Produto],0))="",DescontoPadrao,INDEX(tProdutos[Desconto homologado],MATCH(tItens[[#This Row],[Produto]],tProdutos[Produto],0))),DescontoPadrao)</f>
        <v>0.44096385542168698</v>
      </c>
      <c r="M2265" s="12">
        <f>tItens[[#This Row],[Valor]]*(1-tItens[[#This Row],[Desconto]])</f>
        <v>1723.173012048192</v>
      </c>
      <c r="N2265" t="str">
        <f>IFERROR(INDEX(tProdutos[Foco],MATCH(tItens[[#This Row],[Produto]],tProdutos[Produto],0)),"Não")</f>
        <v>Não</v>
      </c>
      <c r="O2265" t="str">
        <f>IFERROR(INDEX(tEditais[SRP],MATCH(tItens[[#This Row],[Edital]],tEditais[Edital],0)),"Não")</f>
        <v>Sim</v>
      </c>
      <c r="P2265" s="4">
        <f>IF(COUNTIFS(INDEX(tItens[Edital],1):tItens[[#This Row],[Edital]],tItens[[#This Row],[Edital]],INDEX(tItens[Produto],1):tItens[[#This Row],[Produto]],tItens[[#This Row],[Produto]])=1,1,0)</f>
        <v>0</v>
      </c>
    </row>
    <row r="2266" spans="1:16" x14ac:dyDescent="0.25">
      <c r="A2266" t="s">
        <v>1216</v>
      </c>
      <c r="B2266">
        <v>637</v>
      </c>
      <c r="C2266" t="s">
        <v>5302</v>
      </c>
      <c r="D2266" t="s">
        <v>461</v>
      </c>
      <c r="E2266" s="13">
        <v>80</v>
      </c>
      <c r="F2266" s="12">
        <v>38.53</v>
      </c>
      <c r="G2266" t="str">
        <f>IFERROR(INDEX(tEditais[Órgão],MATCH(tItens[[#This Row],[Edital]],tEditais[Edital],0)),"")</f>
        <v>FUNDO MUNICIPAL DE SAUDE</v>
      </c>
      <c r="H2266" t="str">
        <f>IFERROR(INDEX(tEditais[UF],MATCH(tItens[[#This Row],[Edital]],tEditais[Edital],0)),"")</f>
        <v>GO</v>
      </c>
      <c r="I2266" s="11">
        <f>IFERROR(INDEX(tEditais[Encerramento],MATCH(tItens[[#This Row],[Edital]],tEditais[Edital],0)),"")</f>
        <v>46311.333333333336</v>
      </c>
      <c r="J2266" t="str">
        <f>IFERROR(INDEX(tProdutos[Classe],MATCH(tItens[[#This Row],[Produto]],tProdutos[Produto],0)),"produto não cadastrado")</f>
        <v>FILA REBASE</v>
      </c>
      <c r="K2266" s="12">
        <f>tItens[[#This Row],[Qtd]]*tItens[[#This Row],[Vlr unit]]</f>
        <v>3082.4</v>
      </c>
      <c r="L2266" s="6">
        <f>IFERROR(IF(INDEX(tProdutos[Desconto homologado],MATCH(tItens[[#This Row],[Produto]],tProdutos[Produto],0))="",DescontoPadrao,INDEX(tProdutos[Desconto homologado],MATCH(tItens[[#This Row],[Produto]],tProdutos[Produto],0))),DescontoPadrao)</f>
        <v>0.44096385542168698</v>
      </c>
      <c r="M2266" s="12">
        <f>tItens[[#This Row],[Valor]]*(1-tItens[[#This Row],[Desconto]])</f>
        <v>1723.173012048192</v>
      </c>
      <c r="N2266" t="str">
        <f>IFERROR(INDEX(tProdutos[Foco],MATCH(tItens[[#This Row],[Produto]],tProdutos[Produto],0)),"Não")</f>
        <v>Não</v>
      </c>
      <c r="O2266" t="str">
        <f>IFERROR(INDEX(tEditais[SRP],MATCH(tItens[[#This Row],[Edital]],tEditais[Edital],0)),"Não")</f>
        <v>Sim</v>
      </c>
      <c r="P2266" s="4">
        <f>IF(COUNTIFS(INDEX(tItens[Edital],1):tItens[[#This Row],[Edital]],tItens[[#This Row],[Edital]],INDEX(tItens[Produto],1):tItens[[#This Row],[Produto]],tItens[[#This Row],[Produto]])=1,1,0)</f>
        <v>0</v>
      </c>
    </row>
    <row r="2267" spans="1:16" x14ac:dyDescent="0.25">
      <c r="A2267" t="s">
        <v>1216</v>
      </c>
      <c r="B2267">
        <v>638</v>
      </c>
      <c r="C2267" t="s">
        <v>5303</v>
      </c>
      <c r="D2267" t="s">
        <v>461</v>
      </c>
      <c r="E2267" s="13">
        <v>80</v>
      </c>
      <c r="F2267" s="12">
        <v>38.53</v>
      </c>
      <c r="G2267" t="str">
        <f>IFERROR(INDEX(tEditais[Órgão],MATCH(tItens[[#This Row],[Edital]],tEditais[Edital],0)),"")</f>
        <v>FUNDO MUNICIPAL DE SAUDE</v>
      </c>
      <c r="H2267" t="str">
        <f>IFERROR(INDEX(tEditais[UF],MATCH(tItens[[#This Row],[Edital]],tEditais[Edital],0)),"")</f>
        <v>GO</v>
      </c>
      <c r="I2267" s="11">
        <f>IFERROR(INDEX(tEditais[Encerramento],MATCH(tItens[[#This Row],[Edital]],tEditais[Edital],0)),"")</f>
        <v>46311.333333333336</v>
      </c>
      <c r="J2267" t="str">
        <f>IFERROR(INDEX(tProdutos[Classe],MATCH(tItens[[#This Row],[Produto]],tProdutos[Produto],0)),"produto não cadastrado")</f>
        <v>FILA REBASE</v>
      </c>
      <c r="K2267" s="12">
        <f>tItens[[#This Row],[Qtd]]*tItens[[#This Row],[Vlr unit]]</f>
        <v>3082.4</v>
      </c>
      <c r="L2267" s="6">
        <f>IFERROR(IF(INDEX(tProdutos[Desconto homologado],MATCH(tItens[[#This Row],[Produto]],tProdutos[Produto],0))="",DescontoPadrao,INDEX(tProdutos[Desconto homologado],MATCH(tItens[[#This Row],[Produto]],tProdutos[Produto],0))),DescontoPadrao)</f>
        <v>0.44096385542168698</v>
      </c>
      <c r="M2267" s="12">
        <f>tItens[[#This Row],[Valor]]*(1-tItens[[#This Row],[Desconto]])</f>
        <v>1723.173012048192</v>
      </c>
      <c r="N2267" t="str">
        <f>IFERROR(INDEX(tProdutos[Foco],MATCH(tItens[[#This Row],[Produto]],tProdutos[Produto],0)),"Não")</f>
        <v>Não</v>
      </c>
      <c r="O2267" t="str">
        <f>IFERROR(INDEX(tEditais[SRP],MATCH(tItens[[#This Row],[Edital]],tEditais[Edital],0)),"Não")</f>
        <v>Sim</v>
      </c>
      <c r="P2267" s="4">
        <f>IF(COUNTIFS(INDEX(tItens[Edital],1):tItens[[#This Row],[Edital]],tItens[[#This Row],[Edital]],INDEX(tItens[Produto],1):tItens[[#This Row],[Produto]],tItens[[#This Row],[Produto]])=1,1,0)</f>
        <v>0</v>
      </c>
    </row>
    <row r="2268" spans="1:16" x14ac:dyDescent="0.25">
      <c r="A2268" t="s">
        <v>1216</v>
      </c>
      <c r="B2268">
        <v>639</v>
      </c>
      <c r="C2268" t="s">
        <v>5304</v>
      </c>
      <c r="D2268" t="s">
        <v>461</v>
      </c>
      <c r="E2268" s="13">
        <v>80</v>
      </c>
      <c r="F2268" s="12">
        <v>38.53</v>
      </c>
      <c r="G2268" t="str">
        <f>IFERROR(INDEX(tEditais[Órgão],MATCH(tItens[[#This Row],[Edital]],tEditais[Edital],0)),"")</f>
        <v>FUNDO MUNICIPAL DE SAUDE</v>
      </c>
      <c r="H2268" t="str">
        <f>IFERROR(INDEX(tEditais[UF],MATCH(tItens[[#This Row],[Edital]],tEditais[Edital],0)),"")</f>
        <v>GO</v>
      </c>
      <c r="I2268" s="11">
        <f>IFERROR(INDEX(tEditais[Encerramento],MATCH(tItens[[#This Row],[Edital]],tEditais[Edital],0)),"")</f>
        <v>46311.333333333336</v>
      </c>
      <c r="J2268" t="str">
        <f>IFERROR(INDEX(tProdutos[Classe],MATCH(tItens[[#This Row],[Produto]],tProdutos[Produto],0)),"produto não cadastrado")</f>
        <v>FILA REBASE</v>
      </c>
      <c r="K2268" s="12">
        <f>tItens[[#This Row],[Qtd]]*tItens[[#This Row],[Vlr unit]]</f>
        <v>3082.4</v>
      </c>
      <c r="L2268" s="6">
        <f>IFERROR(IF(INDEX(tProdutos[Desconto homologado],MATCH(tItens[[#This Row],[Produto]],tProdutos[Produto],0))="",DescontoPadrao,INDEX(tProdutos[Desconto homologado],MATCH(tItens[[#This Row],[Produto]],tProdutos[Produto],0))),DescontoPadrao)</f>
        <v>0.44096385542168698</v>
      </c>
      <c r="M2268" s="12">
        <f>tItens[[#This Row],[Valor]]*(1-tItens[[#This Row],[Desconto]])</f>
        <v>1723.173012048192</v>
      </c>
      <c r="N2268" t="str">
        <f>IFERROR(INDEX(tProdutos[Foco],MATCH(tItens[[#This Row],[Produto]],tProdutos[Produto],0)),"Não")</f>
        <v>Não</v>
      </c>
      <c r="O2268" t="str">
        <f>IFERROR(INDEX(tEditais[SRP],MATCH(tItens[[#This Row],[Edital]],tEditais[Edital],0)),"Não")</f>
        <v>Sim</v>
      </c>
      <c r="P2268" s="4">
        <f>IF(COUNTIFS(INDEX(tItens[Edital],1):tItens[[#This Row],[Edital]],tItens[[#This Row],[Edital]],INDEX(tItens[Produto],1):tItens[[#This Row],[Produto]],tItens[[#This Row],[Produto]])=1,1,0)</f>
        <v>0</v>
      </c>
    </row>
    <row r="2269" spans="1:16" x14ac:dyDescent="0.25">
      <c r="A2269" t="s">
        <v>1216</v>
      </c>
      <c r="B2269">
        <v>640</v>
      </c>
      <c r="C2269" t="s">
        <v>5305</v>
      </c>
      <c r="D2269" t="s">
        <v>461</v>
      </c>
      <c r="E2269" s="13">
        <v>80</v>
      </c>
      <c r="F2269" s="12">
        <v>38.53</v>
      </c>
      <c r="G2269" t="str">
        <f>IFERROR(INDEX(tEditais[Órgão],MATCH(tItens[[#This Row],[Edital]],tEditais[Edital],0)),"")</f>
        <v>FUNDO MUNICIPAL DE SAUDE</v>
      </c>
      <c r="H2269" t="str">
        <f>IFERROR(INDEX(tEditais[UF],MATCH(tItens[[#This Row],[Edital]],tEditais[Edital],0)),"")</f>
        <v>GO</v>
      </c>
      <c r="I2269" s="11">
        <f>IFERROR(INDEX(tEditais[Encerramento],MATCH(tItens[[#This Row],[Edital]],tEditais[Edital],0)),"")</f>
        <v>46311.333333333336</v>
      </c>
      <c r="J2269" t="str">
        <f>IFERROR(INDEX(tProdutos[Classe],MATCH(tItens[[#This Row],[Produto]],tProdutos[Produto],0)),"produto não cadastrado")</f>
        <v>FILA REBASE</v>
      </c>
      <c r="K2269" s="12">
        <f>tItens[[#This Row],[Qtd]]*tItens[[#This Row],[Vlr unit]]</f>
        <v>3082.4</v>
      </c>
      <c r="L2269" s="6">
        <f>IFERROR(IF(INDEX(tProdutos[Desconto homologado],MATCH(tItens[[#This Row],[Produto]],tProdutos[Produto],0))="",DescontoPadrao,INDEX(tProdutos[Desconto homologado],MATCH(tItens[[#This Row],[Produto]],tProdutos[Produto],0))),DescontoPadrao)</f>
        <v>0.44096385542168698</v>
      </c>
      <c r="M2269" s="12">
        <f>tItens[[#This Row],[Valor]]*(1-tItens[[#This Row],[Desconto]])</f>
        <v>1723.173012048192</v>
      </c>
      <c r="N2269" t="str">
        <f>IFERROR(INDEX(tProdutos[Foco],MATCH(tItens[[#This Row],[Produto]],tProdutos[Produto],0)),"Não")</f>
        <v>Não</v>
      </c>
      <c r="O2269" t="str">
        <f>IFERROR(INDEX(tEditais[SRP],MATCH(tItens[[#This Row],[Edital]],tEditais[Edital],0)),"Não")</f>
        <v>Sim</v>
      </c>
      <c r="P2269" s="4">
        <f>IF(COUNTIFS(INDEX(tItens[Edital],1):tItens[[#This Row],[Edital]],tItens[[#This Row],[Edital]],INDEX(tItens[Produto],1):tItens[[#This Row],[Produto]],tItens[[#This Row],[Produto]])=1,1,0)</f>
        <v>0</v>
      </c>
    </row>
    <row r="2270" spans="1:16" x14ac:dyDescent="0.25">
      <c r="A2270" t="s">
        <v>1216</v>
      </c>
      <c r="B2270">
        <v>641</v>
      </c>
      <c r="C2270" t="s">
        <v>5306</v>
      </c>
      <c r="D2270" t="s">
        <v>461</v>
      </c>
      <c r="E2270" s="13">
        <v>80</v>
      </c>
      <c r="F2270" s="12">
        <v>38.53</v>
      </c>
      <c r="G2270" t="str">
        <f>IFERROR(INDEX(tEditais[Órgão],MATCH(tItens[[#This Row],[Edital]],tEditais[Edital],0)),"")</f>
        <v>FUNDO MUNICIPAL DE SAUDE</v>
      </c>
      <c r="H2270" t="str">
        <f>IFERROR(INDEX(tEditais[UF],MATCH(tItens[[#This Row],[Edital]],tEditais[Edital],0)),"")</f>
        <v>GO</v>
      </c>
      <c r="I2270" s="11">
        <f>IFERROR(INDEX(tEditais[Encerramento],MATCH(tItens[[#This Row],[Edital]],tEditais[Edital],0)),"")</f>
        <v>46311.333333333336</v>
      </c>
      <c r="J2270" t="str">
        <f>IFERROR(INDEX(tProdutos[Classe],MATCH(tItens[[#This Row],[Produto]],tProdutos[Produto],0)),"produto não cadastrado")</f>
        <v>FILA REBASE</v>
      </c>
      <c r="K2270" s="12">
        <f>tItens[[#This Row],[Qtd]]*tItens[[#This Row],[Vlr unit]]</f>
        <v>3082.4</v>
      </c>
      <c r="L2270" s="6">
        <f>IFERROR(IF(INDEX(tProdutos[Desconto homologado],MATCH(tItens[[#This Row],[Produto]],tProdutos[Produto],0))="",DescontoPadrao,INDEX(tProdutos[Desconto homologado],MATCH(tItens[[#This Row],[Produto]],tProdutos[Produto],0))),DescontoPadrao)</f>
        <v>0.44096385542168698</v>
      </c>
      <c r="M2270" s="12">
        <f>tItens[[#This Row],[Valor]]*(1-tItens[[#This Row],[Desconto]])</f>
        <v>1723.173012048192</v>
      </c>
      <c r="N2270" t="str">
        <f>IFERROR(INDEX(tProdutos[Foco],MATCH(tItens[[#This Row],[Produto]],tProdutos[Produto],0)),"Não")</f>
        <v>Não</v>
      </c>
      <c r="O2270" t="str">
        <f>IFERROR(INDEX(tEditais[SRP],MATCH(tItens[[#This Row],[Edital]],tEditais[Edital],0)),"Não")</f>
        <v>Sim</v>
      </c>
      <c r="P2270" s="4">
        <f>IF(COUNTIFS(INDEX(tItens[Edital],1):tItens[[#This Row],[Edital]],tItens[[#This Row],[Edital]],INDEX(tItens[Produto],1):tItens[[#This Row],[Produto]],tItens[[#This Row],[Produto]])=1,1,0)</f>
        <v>0</v>
      </c>
    </row>
    <row r="2271" spans="1:16" x14ac:dyDescent="0.25">
      <c r="A2271" t="s">
        <v>1216</v>
      </c>
      <c r="B2271">
        <v>642</v>
      </c>
      <c r="C2271" t="s">
        <v>5307</v>
      </c>
      <c r="D2271" t="s">
        <v>461</v>
      </c>
      <c r="E2271" s="13">
        <v>80</v>
      </c>
      <c r="F2271" s="12">
        <v>38.53</v>
      </c>
      <c r="G2271" t="str">
        <f>IFERROR(INDEX(tEditais[Órgão],MATCH(tItens[[#This Row],[Edital]],tEditais[Edital],0)),"")</f>
        <v>FUNDO MUNICIPAL DE SAUDE</v>
      </c>
      <c r="H2271" t="str">
        <f>IFERROR(INDEX(tEditais[UF],MATCH(tItens[[#This Row],[Edital]],tEditais[Edital],0)),"")</f>
        <v>GO</v>
      </c>
      <c r="I2271" s="11">
        <f>IFERROR(INDEX(tEditais[Encerramento],MATCH(tItens[[#This Row],[Edital]],tEditais[Edital],0)),"")</f>
        <v>46311.333333333336</v>
      </c>
      <c r="J2271" t="str">
        <f>IFERROR(INDEX(tProdutos[Classe],MATCH(tItens[[#This Row],[Produto]],tProdutos[Produto],0)),"produto não cadastrado")</f>
        <v>FILA REBASE</v>
      </c>
      <c r="K2271" s="12">
        <f>tItens[[#This Row],[Qtd]]*tItens[[#This Row],[Vlr unit]]</f>
        <v>3082.4</v>
      </c>
      <c r="L2271" s="6">
        <f>IFERROR(IF(INDEX(tProdutos[Desconto homologado],MATCH(tItens[[#This Row],[Produto]],tProdutos[Produto],0))="",DescontoPadrao,INDEX(tProdutos[Desconto homologado],MATCH(tItens[[#This Row],[Produto]],tProdutos[Produto],0))),DescontoPadrao)</f>
        <v>0.44096385542168698</v>
      </c>
      <c r="M2271" s="12">
        <f>tItens[[#This Row],[Valor]]*(1-tItens[[#This Row],[Desconto]])</f>
        <v>1723.173012048192</v>
      </c>
      <c r="N2271" t="str">
        <f>IFERROR(INDEX(tProdutos[Foco],MATCH(tItens[[#This Row],[Produto]],tProdutos[Produto],0)),"Não")</f>
        <v>Não</v>
      </c>
      <c r="O2271" t="str">
        <f>IFERROR(INDEX(tEditais[SRP],MATCH(tItens[[#This Row],[Edital]],tEditais[Edital],0)),"Não")</f>
        <v>Sim</v>
      </c>
      <c r="P2271" s="4">
        <f>IF(COUNTIFS(INDEX(tItens[Edital],1):tItens[[#This Row],[Edital]],tItens[[#This Row],[Edital]],INDEX(tItens[Produto],1):tItens[[#This Row],[Produto]],tItens[[#This Row],[Produto]])=1,1,0)</f>
        <v>0</v>
      </c>
    </row>
    <row r="2272" spans="1:16" x14ac:dyDescent="0.25">
      <c r="A2272" t="s">
        <v>1216</v>
      </c>
      <c r="B2272">
        <v>643</v>
      </c>
      <c r="C2272" t="s">
        <v>5308</v>
      </c>
      <c r="D2272" t="s">
        <v>461</v>
      </c>
      <c r="E2272" s="13">
        <v>80</v>
      </c>
      <c r="F2272" s="12">
        <v>38.53</v>
      </c>
      <c r="G2272" t="str">
        <f>IFERROR(INDEX(tEditais[Órgão],MATCH(tItens[[#This Row],[Edital]],tEditais[Edital],0)),"")</f>
        <v>FUNDO MUNICIPAL DE SAUDE</v>
      </c>
      <c r="H2272" t="str">
        <f>IFERROR(INDEX(tEditais[UF],MATCH(tItens[[#This Row],[Edital]],tEditais[Edital],0)),"")</f>
        <v>GO</v>
      </c>
      <c r="I2272" s="11">
        <f>IFERROR(INDEX(tEditais[Encerramento],MATCH(tItens[[#This Row],[Edital]],tEditais[Edital],0)),"")</f>
        <v>46311.333333333336</v>
      </c>
      <c r="J2272" t="str">
        <f>IFERROR(INDEX(tProdutos[Classe],MATCH(tItens[[#This Row],[Produto]],tProdutos[Produto],0)),"produto não cadastrado")</f>
        <v>FILA REBASE</v>
      </c>
      <c r="K2272" s="12">
        <f>tItens[[#This Row],[Qtd]]*tItens[[#This Row],[Vlr unit]]</f>
        <v>3082.4</v>
      </c>
      <c r="L2272" s="6">
        <f>IFERROR(IF(INDEX(tProdutos[Desconto homologado],MATCH(tItens[[#This Row],[Produto]],tProdutos[Produto],0))="",DescontoPadrao,INDEX(tProdutos[Desconto homologado],MATCH(tItens[[#This Row],[Produto]],tProdutos[Produto],0))),DescontoPadrao)</f>
        <v>0.44096385542168698</v>
      </c>
      <c r="M2272" s="12">
        <f>tItens[[#This Row],[Valor]]*(1-tItens[[#This Row],[Desconto]])</f>
        <v>1723.173012048192</v>
      </c>
      <c r="N2272" t="str">
        <f>IFERROR(INDEX(tProdutos[Foco],MATCH(tItens[[#This Row],[Produto]],tProdutos[Produto],0)),"Não")</f>
        <v>Não</v>
      </c>
      <c r="O2272" t="str">
        <f>IFERROR(INDEX(tEditais[SRP],MATCH(tItens[[#This Row],[Edital]],tEditais[Edital],0)),"Não")</f>
        <v>Sim</v>
      </c>
      <c r="P2272" s="4">
        <f>IF(COUNTIFS(INDEX(tItens[Edital],1):tItens[[#This Row],[Edital]],tItens[[#This Row],[Edital]],INDEX(tItens[Produto],1):tItens[[#This Row],[Produto]],tItens[[#This Row],[Produto]])=1,1,0)</f>
        <v>0</v>
      </c>
    </row>
    <row r="2273" spans="1:16" x14ac:dyDescent="0.25">
      <c r="A2273" t="s">
        <v>1216</v>
      </c>
      <c r="B2273">
        <v>644</v>
      </c>
      <c r="C2273" t="s">
        <v>5309</v>
      </c>
      <c r="D2273" t="s">
        <v>461</v>
      </c>
      <c r="E2273" s="13">
        <v>80</v>
      </c>
      <c r="F2273" s="12">
        <v>38.53</v>
      </c>
      <c r="G2273" t="str">
        <f>IFERROR(INDEX(tEditais[Órgão],MATCH(tItens[[#This Row],[Edital]],tEditais[Edital],0)),"")</f>
        <v>FUNDO MUNICIPAL DE SAUDE</v>
      </c>
      <c r="H2273" t="str">
        <f>IFERROR(INDEX(tEditais[UF],MATCH(tItens[[#This Row],[Edital]],tEditais[Edital],0)),"")</f>
        <v>GO</v>
      </c>
      <c r="I2273" s="11">
        <f>IFERROR(INDEX(tEditais[Encerramento],MATCH(tItens[[#This Row],[Edital]],tEditais[Edital],0)),"")</f>
        <v>46311.333333333336</v>
      </c>
      <c r="J2273" t="str">
        <f>IFERROR(INDEX(tProdutos[Classe],MATCH(tItens[[#This Row],[Produto]],tProdutos[Produto],0)),"produto não cadastrado")</f>
        <v>FILA REBASE</v>
      </c>
      <c r="K2273" s="12">
        <f>tItens[[#This Row],[Qtd]]*tItens[[#This Row],[Vlr unit]]</f>
        <v>3082.4</v>
      </c>
      <c r="L2273" s="6">
        <f>IFERROR(IF(INDEX(tProdutos[Desconto homologado],MATCH(tItens[[#This Row],[Produto]],tProdutos[Produto],0))="",DescontoPadrao,INDEX(tProdutos[Desconto homologado],MATCH(tItens[[#This Row],[Produto]],tProdutos[Produto],0))),DescontoPadrao)</f>
        <v>0.44096385542168698</v>
      </c>
      <c r="M2273" s="12">
        <f>tItens[[#This Row],[Valor]]*(1-tItens[[#This Row],[Desconto]])</f>
        <v>1723.173012048192</v>
      </c>
      <c r="N2273" t="str">
        <f>IFERROR(INDEX(tProdutos[Foco],MATCH(tItens[[#This Row],[Produto]],tProdutos[Produto],0)),"Não")</f>
        <v>Não</v>
      </c>
      <c r="O2273" t="str">
        <f>IFERROR(INDEX(tEditais[SRP],MATCH(tItens[[#This Row],[Edital]],tEditais[Edital],0)),"Não")</f>
        <v>Sim</v>
      </c>
      <c r="P2273" s="4">
        <f>IF(COUNTIFS(INDEX(tItens[Edital],1):tItens[[#This Row],[Edital]],tItens[[#This Row],[Edital]],INDEX(tItens[Produto],1):tItens[[#This Row],[Produto]],tItens[[#This Row],[Produto]])=1,1,0)</f>
        <v>0</v>
      </c>
    </row>
    <row r="2274" spans="1:16" x14ac:dyDescent="0.25">
      <c r="A2274" t="s">
        <v>1216</v>
      </c>
      <c r="B2274">
        <v>645</v>
      </c>
      <c r="C2274" t="s">
        <v>5310</v>
      </c>
      <c r="D2274" t="s">
        <v>461</v>
      </c>
      <c r="E2274" s="13">
        <v>80</v>
      </c>
      <c r="F2274" s="12">
        <v>38.53</v>
      </c>
      <c r="G2274" t="str">
        <f>IFERROR(INDEX(tEditais[Órgão],MATCH(tItens[[#This Row],[Edital]],tEditais[Edital],0)),"")</f>
        <v>FUNDO MUNICIPAL DE SAUDE</v>
      </c>
      <c r="H2274" t="str">
        <f>IFERROR(INDEX(tEditais[UF],MATCH(tItens[[#This Row],[Edital]],tEditais[Edital],0)),"")</f>
        <v>GO</v>
      </c>
      <c r="I2274" s="11">
        <f>IFERROR(INDEX(tEditais[Encerramento],MATCH(tItens[[#This Row],[Edital]],tEditais[Edital],0)),"")</f>
        <v>46311.333333333336</v>
      </c>
      <c r="J2274" t="str">
        <f>IFERROR(INDEX(tProdutos[Classe],MATCH(tItens[[#This Row],[Produto]],tProdutos[Produto],0)),"produto não cadastrado")</f>
        <v>FILA REBASE</v>
      </c>
      <c r="K2274" s="12">
        <f>tItens[[#This Row],[Qtd]]*tItens[[#This Row],[Vlr unit]]</f>
        <v>3082.4</v>
      </c>
      <c r="L2274" s="6">
        <f>IFERROR(IF(INDEX(tProdutos[Desconto homologado],MATCH(tItens[[#This Row],[Produto]],tProdutos[Produto],0))="",DescontoPadrao,INDEX(tProdutos[Desconto homologado],MATCH(tItens[[#This Row],[Produto]],tProdutos[Produto],0))),DescontoPadrao)</f>
        <v>0.44096385542168698</v>
      </c>
      <c r="M2274" s="12">
        <f>tItens[[#This Row],[Valor]]*(1-tItens[[#This Row],[Desconto]])</f>
        <v>1723.173012048192</v>
      </c>
      <c r="N2274" t="str">
        <f>IFERROR(INDEX(tProdutos[Foco],MATCH(tItens[[#This Row],[Produto]],tProdutos[Produto],0)),"Não")</f>
        <v>Não</v>
      </c>
      <c r="O2274" t="str">
        <f>IFERROR(INDEX(tEditais[SRP],MATCH(tItens[[#This Row],[Edital]],tEditais[Edital],0)),"Não")</f>
        <v>Sim</v>
      </c>
      <c r="P2274" s="4">
        <f>IF(COUNTIFS(INDEX(tItens[Edital],1):tItens[[#This Row],[Edital]],tItens[[#This Row],[Edital]],INDEX(tItens[Produto],1):tItens[[#This Row],[Produto]],tItens[[#This Row],[Produto]])=1,1,0)</f>
        <v>0</v>
      </c>
    </row>
    <row r="2275" spans="1:16" x14ac:dyDescent="0.25">
      <c r="A2275" t="s">
        <v>1216</v>
      </c>
      <c r="B2275">
        <v>675</v>
      </c>
      <c r="C2275" t="s">
        <v>5311</v>
      </c>
      <c r="D2275" t="s">
        <v>104</v>
      </c>
      <c r="E2275" s="13">
        <v>500</v>
      </c>
      <c r="F2275" s="12">
        <v>4.9000000000000004</v>
      </c>
      <c r="G2275" t="str">
        <f>IFERROR(INDEX(tEditais[Órgão],MATCH(tItens[[#This Row],[Edital]],tEditais[Edital],0)),"")</f>
        <v>FUNDO MUNICIPAL DE SAUDE</v>
      </c>
      <c r="H2275" t="str">
        <f>IFERROR(INDEX(tEditais[UF],MATCH(tItens[[#This Row],[Edital]],tEditais[Edital],0)),"")</f>
        <v>GO</v>
      </c>
      <c r="I2275" s="11">
        <f>IFERROR(INDEX(tEditais[Encerramento],MATCH(tItens[[#This Row],[Edital]],tEditais[Edital],0)),"")</f>
        <v>46311.333333333336</v>
      </c>
      <c r="J2275" t="str">
        <f>IFERROR(INDEX(tProdutos[Classe],MATCH(tItens[[#This Row],[Produto]],tProdutos[Produto],0)),"produto não cadastrado")</f>
        <v>DISPUTADO</v>
      </c>
      <c r="K2275" s="12">
        <f>tItens[[#This Row],[Qtd]]*tItens[[#This Row],[Vlr unit]]</f>
        <v>2450</v>
      </c>
      <c r="L2275" s="6">
        <f>IFERROR(IF(INDEX(tProdutos[Desconto homologado],MATCH(tItens[[#This Row],[Produto]],tProdutos[Produto],0))="",DescontoPadrao,INDEX(tProdutos[Desconto homologado],MATCH(tItens[[#This Row],[Produto]],tProdutos[Produto],0))),DescontoPadrao)</f>
        <v>0.51</v>
      </c>
      <c r="M2275" s="12">
        <f>tItens[[#This Row],[Valor]]*(1-tItens[[#This Row],[Desconto]])</f>
        <v>1200.5</v>
      </c>
      <c r="N2275" t="str">
        <f>IFERROR(INDEX(tProdutos[Foco],MATCH(tItens[[#This Row],[Produto]],tProdutos[Produto],0)),"Não")</f>
        <v>Sim</v>
      </c>
      <c r="O2275" t="str">
        <f>IFERROR(INDEX(tEditais[SRP],MATCH(tItens[[#This Row],[Edital]],tEditais[Edital],0)),"Não")</f>
        <v>Sim</v>
      </c>
      <c r="P2275" s="4">
        <f>IF(COUNTIFS(INDEX(tItens[Edital],1):tItens[[#This Row],[Edital]],tItens[[#This Row],[Edital]],INDEX(tItens[Produto],1):tItens[[#This Row],[Produto]],tItens[[#This Row],[Produto]])=1,1,0)</f>
        <v>1</v>
      </c>
    </row>
    <row r="2276" spans="1:16" x14ac:dyDescent="0.25">
      <c r="A2276" t="s">
        <v>1216</v>
      </c>
      <c r="B2276">
        <v>676</v>
      </c>
      <c r="C2276" t="s">
        <v>5312</v>
      </c>
      <c r="D2276" t="s">
        <v>104</v>
      </c>
      <c r="E2276" s="13">
        <v>500</v>
      </c>
      <c r="F2276" s="12">
        <v>4.1500000000000004</v>
      </c>
      <c r="G2276" t="str">
        <f>IFERROR(INDEX(tEditais[Órgão],MATCH(tItens[[#This Row],[Edital]],tEditais[Edital],0)),"")</f>
        <v>FUNDO MUNICIPAL DE SAUDE</v>
      </c>
      <c r="H2276" t="str">
        <f>IFERROR(INDEX(tEditais[UF],MATCH(tItens[[#This Row],[Edital]],tEditais[Edital],0)),"")</f>
        <v>GO</v>
      </c>
      <c r="I2276" s="11">
        <f>IFERROR(INDEX(tEditais[Encerramento],MATCH(tItens[[#This Row],[Edital]],tEditais[Edital],0)),"")</f>
        <v>46311.333333333336</v>
      </c>
      <c r="J2276" t="str">
        <f>IFERROR(INDEX(tProdutos[Classe],MATCH(tItens[[#This Row],[Produto]],tProdutos[Produto],0)),"produto não cadastrado")</f>
        <v>DISPUTADO</v>
      </c>
      <c r="K2276" s="12">
        <f>tItens[[#This Row],[Qtd]]*tItens[[#This Row],[Vlr unit]]</f>
        <v>2075</v>
      </c>
      <c r="L2276" s="6">
        <f>IFERROR(IF(INDEX(tProdutos[Desconto homologado],MATCH(tItens[[#This Row],[Produto]],tProdutos[Produto],0))="",DescontoPadrao,INDEX(tProdutos[Desconto homologado],MATCH(tItens[[#This Row],[Produto]],tProdutos[Produto],0))),DescontoPadrao)</f>
        <v>0.51</v>
      </c>
      <c r="M2276" s="12">
        <f>tItens[[#This Row],[Valor]]*(1-tItens[[#This Row],[Desconto]])</f>
        <v>1016.75</v>
      </c>
      <c r="N2276" t="str">
        <f>IFERROR(INDEX(tProdutos[Foco],MATCH(tItens[[#This Row],[Produto]],tProdutos[Produto],0)),"Não")</f>
        <v>Sim</v>
      </c>
      <c r="O2276" t="str">
        <f>IFERROR(INDEX(tEditais[SRP],MATCH(tItens[[#This Row],[Edital]],tEditais[Edital],0)),"Não")</f>
        <v>Sim</v>
      </c>
      <c r="P2276" s="4">
        <f>IF(COUNTIFS(INDEX(tItens[Edital],1):tItens[[#This Row],[Edital]],tItens[[#This Row],[Edital]],INDEX(tItens[Produto],1):tItens[[#This Row],[Produto]],tItens[[#This Row],[Produto]])=1,1,0)</f>
        <v>0</v>
      </c>
    </row>
    <row r="2277" spans="1:16" x14ac:dyDescent="0.25">
      <c r="A2277" t="s">
        <v>1216</v>
      </c>
      <c r="B2277">
        <v>678</v>
      </c>
      <c r="C2277" t="s">
        <v>5313</v>
      </c>
      <c r="D2277" t="s">
        <v>77</v>
      </c>
      <c r="E2277" s="13">
        <v>500</v>
      </c>
      <c r="F2277" s="12">
        <v>7.02</v>
      </c>
      <c r="G2277" t="str">
        <f>IFERROR(INDEX(tEditais[Órgão],MATCH(tItens[[#This Row],[Edital]],tEditais[Edital],0)),"")</f>
        <v>FUNDO MUNICIPAL DE SAUDE</v>
      </c>
      <c r="H2277" t="str">
        <f>IFERROR(INDEX(tEditais[UF],MATCH(tItens[[#This Row],[Edital]],tEditais[Edital],0)),"")</f>
        <v>GO</v>
      </c>
      <c r="I2277" s="11">
        <f>IFERROR(INDEX(tEditais[Encerramento],MATCH(tItens[[#This Row],[Edital]],tEditais[Edital],0)),"")</f>
        <v>46311.333333333336</v>
      </c>
      <c r="J2277" t="str">
        <f>IFERROR(INDEX(tProdutos[Classe],MATCH(tItens[[#This Row],[Produto]],tProdutos[Produto],0)),"produto não cadastrado")</f>
        <v>DISPUTADO</v>
      </c>
      <c r="K2277" s="12">
        <f>tItens[[#This Row],[Qtd]]*tItens[[#This Row],[Vlr unit]]</f>
        <v>3510</v>
      </c>
      <c r="L2277" s="6">
        <f>IFERROR(IF(INDEX(tProdutos[Desconto homologado],MATCH(tItens[[#This Row],[Produto]],tProdutos[Produto],0))="",DescontoPadrao,INDEX(tProdutos[Desconto homologado],MATCH(tItens[[#This Row],[Produto]],tProdutos[Produto],0))),DescontoPadrao)</f>
        <v>0.33</v>
      </c>
      <c r="M2277" s="12">
        <f>tItens[[#This Row],[Valor]]*(1-tItens[[#This Row],[Desconto]])</f>
        <v>2351.6999999999998</v>
      </c>
      <c r="N2277" t="str">
        <f>IFERROR(INDEX(tProdutos[Foco],MATCH(tItens[[#This Row],[Produto]],tProdutos[Produto],0)),"Não")</f>
        <v>Sim</v>
      </c>
      <c r="O2277" t="str">
        <f>IFERROR(INDEX(tEditais[SRP],MATCH(tItens[[#This Row],[Edital]],tEditais[Edital],0)),"Não")</f>
        <v>Sim</v>
      </c>
      <c r="P2277" s="4">
        <f>IF(COUNTIFS(INDEX(tItens[Edital],1):tItens[[#This Row],[Edital]],tItens[[#This Row],[Edital]],INDEX(tItens[Produto],1):tItens[[#This Row],[Produto]],tItens[[#This Row],[Produto]])=1,1,0)</f>
        <v>1</v>
      </c>
    </row>
    <row r="2278" spans="1:16" x14ac:dyDescent="0.25">
      <c r="A2278" t="s">
        <v>1216</v>
      </c>
      <c r="B2278">
        <v>683</v>
      </c>
      <c r="C2278" t="s">
        <v>5314</v>
      </c>
      <c r="D2278" t="s">
        <v>156</v>
      </c>
      <c r="E2278" s="13">
        <v>20</v>
      </c>
      <c r="F2278" s="12">
        <v>225.65</v>
      </c>
      <c r="G2278" t="str">
        <f>IFERROR(INDEX(tEditais[Órgão],MATCH(tItens[[#This Row],[Edital]],tEditais[Edital],0)),"")</f>
        <v>FUNDO MUNICIPAL DE SAUDE</v>
      </c>
      <c r="H2278" t="str">
        <f>IFERROR(INDEX(tEditais[UF],MATCH(tItens[[#This Row],[Edital]],tEditais[Edital],0)),"")</f>
        <v>GO</v>
      </c>
      <c r="I2278" s="11">
        <f>IFERROR(INDEX(tEditais[Encerramento],MATCH(tItens[[#This Row],[Edital]],tEditais[Edital],0)),"")</f>
        <v>46311.333333333336</v>
      </c>
      <c r="J2278" t="str">
        <f>IFERROR(INDEX(tProdutos[Classe],MATCH(tItens[[#This Row],[Produto]],tProdutos[Produto],0)),"produto não cadastrado")</f>
        <v>DISPUTADO</v>
      </c>
      <c r="K2278" s="12">
        <f>tItens[[#This Row],[Qtd]]*tItens[[#This Row],[Vlr unit]]</f>
        <v>4513</v>
      </c>
      <c r="L2278" s="6">
        <f>IFERROR(IF(INDEX(tProdutos[Desconto homologado],MATCH(tItens[[#This Row],[Produto]],tProdutos[Produto],0))="",DescontoPadrao,INDEX(tProdutos[Desconto homologado],MATCH(tItens[[#This Row],[Produto]],tProdutos[Produto],0))),DescontoPadrao)</f>
        <v>0.27131852489802799</v>
      </c>
      <c r="M2278" s="12">
        <f>tItens[[#This Row],[Valor]]*(1-tItens[[#This Row],[Desconto]])</f>
        <v>3288.5394971351998</v>
      </c>
      <c r="N2278" t="str">
        <f>IFERROR(INDEX(tProdutos[Foco],MATCH(tItens[[#This Row],[Produto]],tProdutos[Produto],0)),"Não")</f>
        <v>Não</v>
      </c>
      <c r="O2278" t="str">
        <f>IFERROR(INDEX(tEditais[SRP],MATCH(tItens[[#This Row],[Edital]],tEditais[Edital],0)),"Não")</f>
        <v>Sim</v>
      </c>
      <c r="P2278" s="4">
        <f>IF(COUNTIFS(INDEX(tItens[Edital],1):tItens[[#This Row],[Edital]],tItens[[#This Row],[Edital]],INDEX(tItens[Produto],1):tItens[[#This Row],[Produto]],tItens[[#This Row],[Produto]])=1,1,0)</f>
        <v>0</v>
      </c>
    </row>
    <row r="2279" spans="1:16" x14ac:dyDescent="0.25">
      <c r="A2279" t="s">
        <v>1216</v>
      </c>
      <c r="B2279">
        <v>782</v>
      </c>
      <c r="C2279" t="s">
        <v>5315</v>
      </c>
      <c r="D2279" t="s">
        <v>56</v>
      </c>
      <c r="E2279" s="13">
        <v>5000</v>
      </c>
      <c r="F2279" s="12">
        <v>0.31</v>
      </c>
      <c r="G2279" t="str">
        <f>IFERROR(INDEX(tEditais[Órgão],MATCH(tItens[[#This Row],[Edital]],tEditais[Edital],0)),"")</f>
        <v>FUNDO MUNICIPAL DE SAUDE</v>
      </c>
      <c r="H2279" t="str">
        <f>IFERROR(INDEX(tEditais[UF],MATCH(tItens[[#This Row],[Edital]],tEditais[Edital],0)),"")</f>
        <v>GO</v>
      </c>
      <c r="I2279" s="11">
        <f>IFERROR(INDEX(tEditais[Encerramento],MATCH(tItens[[#This Row],[Edital]],tEditais[Edital],0)),"")</f>
        <v>46311.333333333336</v>
      </c>
      <c r="J2279" t="str">
        <f>IFERROR(INDEX(tProdutos[Classe],MATCH(tItens[[#This Row],[Produto]],tProdutos[Produto],0)),"produto não cadastrado")</f>
        <v>NÚCLEO</v>
      </c>
      <c r="K2279" s="12">
        <f>tItens[[#This Row],[Qtd]]*tItens[[#This Row],[Vlr unit]]</f>
        <v>1550</v>
      </c>
      <c r="L2279" s="6">
        <f>IFERROR(IF(INDEX(tProdutos[Desconto homologado],MATCH(tItens[[#This Row],[Produto]],tProdutos[Produto],0))="",DescontoPadrao,INDEX(tProdutos[Desconto homologado],MATCH(tItens[[#This Row],[Produto]],tProdutos[Produto],0))),DescontoPadrao)</f>
        <v>0.34</v>
      </c>
      <c r="M2279" s="12">
        <f>tItens[[#This Row],[Valor]]*(1-tItens[[#This Row],[Desconto]])</f>
        <v>1022.9999999999999</v>
      </c>
      <c r="N2279" t="str">
        <f>IFERROR(INDEX(tProdutos[Foco],MATCH(tItens[[#This Row],[Produto]],tProdutos[Produto],0)),"Não")</f>
        <v>Sim</v>
      </c>
      <c r="O2279" t="str">
        <f>IFERROR(INDEX(tEditais[SRP],MATCH(tItens[[#This Row],[Edital]],tEditais[Edital],0)),"Não")</f>
        <v>Sim</v>
      </c>
      <c r="P2279" s="4">
        <f>IF(COUNTIFS(INDEX(tItens[Edital],1):tItens[[#This Row],[Edital]],tItens[[#This Row],[Edital]],INDEX(tItens[Produto],1):tItens[[#This Row],[Produto]],tItens[[#This Row],[Produto]])=1,1,0)</f>
        <v>1</v>
      </c>
    </row>
    <row r="2280" spans="1:16" x14ac:dyDescent="0.25">
      <c r="A2280" t="s">
        <v>1216</v>
      </c>
      <c r="B2280">
        <v>783</v>
      </c>
      <c r="C2280" t="s">
        <v>5316</v>
      </c>
      <c r="D2280" t="s">
        <v>56</v>
      </c>
      <c r="E2280" s="13">
        <v>5000</v>
      </c>
      <c r="F2280" s="12">
        <v>0.31</v>
      </c>
      <c r="G2280" t="str">
        <f>IFERROR(INDEX(tEditais[Órgão],MATCH(tItens[[#This Row],[Edital]],tEditais[Edital],0)),"")</f>
        <v>FUNDO MUNICIPAL DE SAUDE</v>
      </c>
      <c r="H2280" t="str">
        <f>IFERROR(INDEX(tEditais[UF],MATCH(tItens[[#This Row],[Edital]],tEditais[Edital],0)),"")</f>
        <v>GO</v>
      </c>
      <c r="I2280" s="11">
        <f>IFERROR(INDEX(tEditais[Encerramento],MATCH(tItens[[#This Row],[Edital]],tEditais[Edital],0)),"")</f>
        <v>46311.333333333336</v>
      </c>
      <c r="J2280" t="str">
        <f>IFERROR(INDEX(tProdutos[Classe],MATCH(tItens[[#This Row],[Produto]],tProdutos[Produto],0)),"produto não cadastrado")</f>
        <v>NÚCLEO</v>
      </c>
      <c r="K2280" s="12">
        <f>tItens[[#This Row],[Qtd]]*tItens[[#This Row],[Vlr unit]]</f>
        <v>1550</v>
      </c>
      <c r="L2280" s="6">
        <f>IFERROR(IF(INDEX(tProdutos[Desconto homologado],MATCH(tItens[[#This Row],[Produto]],tProdutos[Produto],0))="",DescontoPadrao,INDEX(tProdutos[Desconto homologado],MATCH(tItens[[#This Row],[Produto]],tProdutos[Produto],0))),DescontoPadrao)</f>
        <v>0.34</v>
      </c>
      <c r="M2280" s="12">
        <f>tItens[[#This Row],[Valor]]*(1-tItens[[#This Row],[Desconto]])</f>
        <v>1022.9999999999999</v>
      </c>
      <c r="N2280" t="str">
        <f>IFERROR(INDEX(tProdutos[Foco],MATCH(tItens[[#This Row],[Produto]],tProdutos[Produto],0)),"Não")</f>
        <v>Sim</v>
      </c>
      <c r="O2280" t="str">
        <f>IFERROR(INDEX(tEditais[SRP],MATCH(tItens[[#This Row],[Edital]],tEditais[Edital],0)),"Não")</f>
        <v>Sim</v>
      </c>
      <c r="P2280" s="4">
        <f>IF(COUNTIFS(INDEX(tItens[Edital],1):tItens[[#This Row],[Edital]],tItens[[#This Row],[Edital]],INDEX(tItens[Produto],1):tItens[[#This Row],[Produto]],tItens[[#This Row],[Produto]])=1,1,0)</f>
        <v>0</v>
      </c>
    </row>
    <row r="2281" spans="1:16" x14ac:dyDescent="0.25">
      <c r="A2281" t="s">
        <v>1216</v>
      </c>
      <c r="B2281">
        <v>784</v>
      </c>
      <c r="C2281" t="s">
        <v>5317</v>
      </c>
      <c r="D2281" t="s">
        <v>56</v>
      </c>
      <c r="E2281" s="13">
        <v>5000</v>
      </c>
      <c r="F2281" s="12">
        <v>0.31</v>
      </c>
      <c r="G2281" t="str">
        <f>IFERROR(INDEX(tEditais[Órgão],MATCH(tItens[[#This Row],[Edital]],tEditais[Edital],0)),"")</f>
        <v>FUNDO MUNICIPAL DE SAUDE</v>
      </c>
      <c r="H2281" t="str">
        <f>IFERROR(INDEX(tEditais[UF],MATCH(tItens[[#This Row],[Edital]],tEditais[Edital],0)),"")</f>
        <v>GO</v>
      </c>
      <c r="I2281" s="11">
        <f>IFERROR(INDEX(tEditais[Encerramento],MATCH(tItens[[#This Row],[Edital]],tEditais[Edital],0)),"")</f>
        <v>46311.333333333336</v>
      </c>
      <c r="J2281" t="str">
        <f>IFERROR(INDEX(tProdutos[Classe],MATCH(tItens[[#This Row],[Produto]],tProdutos[Produto],0)),"produto não cadastrado")</f>
        <v>NÚCLEO</v>
      </c>
      <c r="K2281" s="12">
        <f>tItens[[#This Row],[Qtd]]*tItens[[#This Row],[Vlr unit]]</f>
        <v>1550</v>
      </c>
      <c r="L2281" s="6">
        <f>IFERROR(IF(INDEX(tProdutos[Desconto homologado],MATCH(tItens[[#This Row],[Produto]],tProdutos[Produto],0))="",DescontoPadrao,INDEX(tProdutos[Desconto homologado],MATCH(tItens[[#This Row],[Produto]],tProdutos[Produto],0))),DescontoPadrao)</f>
        <v>0.34</v>
      </c>
      <c r="M2281" s="12">
        <f>tItens[[#This Row],[Valor]]*(1-tItens[[#This Row],[Desconto]])</f>
        <v>1022.9999999999999</v>
      </c>
      <c r="N2281" t="str">
        <f>IFERROR(INDEX(tProdutos[Foco],MATCH(tItens[[#This Row],[Produto]],tProdutos[Produto],0)),"Não")</f>
        <v>Sim</v>
      </c>
      <c r="O2281" t="str">
        <f>IFERROR(INDEX(tEditais[SRP],MATCH(tItens[[#This Row],[Edital]],tEditais[Edital],0)),"Não")</f>
        <v>Sim</v>
      </c>
      <c r="P2281" s="4">
        <f>IF(COUNTIFS(INDEX(tItens[Edital],1):tItens[[#This Row],[Edital]],tItens[[#This Row],[Edital]],INDEX(tItens[Produto],1):tItens[[#This Row],[Produto]],tItens[[#This Row],[Produto]])=1,1,0)</f>
        <v>0</v>
      </c>
    </row>
    <row r="2282" spans="1:16" x14ac:dyDescent="0.25">
      <c r="A2282" t="s">
        <v>1216</v>
      </c>
      <c r="B2282">
        <v>785</v>
      </c>
      <c r="C2282" t="s">
        <v>5318</v>
      </c>
      <c r="D2282" t="s">
        <v>56</v>
      </c>
      <c r="E2282" s="13">
        <v>5000</v>
      </c>
      <c r="F2282" s="12">
        <v>0.31</v>
      </c>
      <c r="G2282" t="str">
        <f>IFERROR(INDEX(tEditais[Órgão],MATCH(tItens[[#This Row],[Edital]],tEditais[Edital],0)),"")</f>
        <v>FUNDO MUNICIPAL DE SAUDE</v>
      </c>
      <c r="H2282" t="str">
        <f>IFERROR(INDEX(tEditais[UF],MATCH(tItens[[#This Row],[Edital]],tEditais[Edital],0)),"")</f>
        <v>GO</v>
      </c>
      <c r="I2282" s="11">
        <f>IFERROR(INDEX(tEditais[Encerramento],MATCH(tItens[[#This Row],[Edital]],tEditais[Edital],0)),"")</f>
        <v>46311.333333333336</v>
      </c>
      <c r="J2282" t="str">
        <f>IFERROR(INDEX(tProdutos[Classe],MATCH(tItens[[#This Row],[Produto]],tProdutos[Produto],0)),"produto não cadastrado")</f>
        <v>NÚCLEO</v>
      </c>
      <c r="K2282" s="12">
        <f>tItens[[#This Row],[Qtd]]*tItens[[#This Row],[Vlr unit]]</f>
        <v>1550</v>
      </c>
      <c r="L2282" s="6">
        <f>IFERROR(IF(INDEX(tProdutos[Desconto homologado],MATCH(tItens[[#This Row],[Produto]],tProdutos[Produto],0))="",DescontoPadrao,INDEX(tProdutos[Desconto homologado],MATCH(tItens[[#This Row],[Produto]],tProdutos[Produto],0))),DescontoPadrao)</f>
        <v>0.34</v>
      </c>
      <c r="M2282" s="12">
        <f>tItens[[#This Row],[Valor]]*(1-tItens[[#This Row],[Desconto]])</f>
        <v>1022.9999999999999</v>
      </c>
      <c r="N2282" t="str">
        <f>IFERROR(INDEX(tProdutos[Foco],MATCH(tItens[[#This Row],[Produto]],tProdutos[Produto],0)),"Não")</f>
        <v>Sim</v>
      </c>
      <c r="O2282" t="str">
        <f>IFERROR(INDEX(tEditais[SRP],MATCH(tItens[[#This Row],[Edital]],tEditais[Edital],0)),"Não")</f>
        <v>Sim</v>
      </c>
      <c r="P2282" s="4">
        <f>IF(COUNTIFS(INDEX(tItens[Edital],1):tItens[[#This Row],[Edital]],tItens[[#This Row],[Edital]],INDEX(tItens[Produto],1):tItens[[#This Row],[Produto]],tItens[[#This Row],[Produto]])=1,1,0)</f>
        <v>0</v>
      </c>
    </row>
    <row r="2283" spans="1:16" x14ac:dyDescent="0.25">
      <c r="A2283" t="s">
        <v>1216</v>
      </c>
      <c r="B2283">
        <v>786</v>
      </c>
      <c r="C2283" t="s">
        <v>5319</v>
      </c>
      <c r="D2283" t="s">
        <v>56</v>
      </c>
      <c r="E2283" s="13">
        <v>5000</v>
      </c>
      <c r="F2283" s="12">
        <v>0.31</v>
      </c>
      <c r="G2283" t="str">
        <f>IFERROR(INDEX(tEditais[Órgão],MATCH(tItens[[#This Row],[Edital]],tEditais[Edital],0)),"")</f>
        <v>FUNDO MUNICIPAL DE SAUDE</v>
      </c>
      <c r="H2283" t="str">
        <f>IFERROR(INDEX(tEditais[UF],MATCH(tItens[[#This Row],[Edital]],tEditais[Edital],0)),"")</f>
        <v>GO</v>
      </c>
      <c r="I2283" s="11">
        <f>IFERROR(INDEX(tEditais[Encerramento],MATCH(tItens[[#This Row],[Edital]],tEditais[Edital],0)),"")</f>
        <v>46311.333333333336</v>
      </c>
      <c r="J2283" t="str">
        <f>IFERROR(INDEX(tProdutos[Classe],MATCH(tItens[[#This Row],[Produto]],tProdutos[Produto],0)),"produto não cadastrado")</f>
        <v>NÚCLEO</v>
      </c>
      <c r="K2283" s="12">
        <f>tItens[[#This Row],[Qtd]]*tItens[[#This Row],[Vlr unit]]</f>
        <v>1550</v>
      </c>
      <c r="L2283" s="6">
        <f>IFERROR(IF(INDEX(tProdutos[Desconto homologado],MATCH(tItens[[#This Row],[Produto]],tProdutos[Produto],0))="",DescontoPadrao,INDEX(tProdutos[Desconto homologado],MATCH(tItens[[#This Row],[Produto]],tProdutos[Produto],0))),DescontoPadrao)</f>
        <v>0.34</v>
      </c>
      <c r="M2283" s="12">
        <f>tItens[[#This Row],[Valor]]*(1-tItens[[#This Row],[Desconto]])</f>
        <v>1022.9999999999999</v>
      </c>
      <c r="N2283" t="str">
        <f>IFERROR(INDEX(tProdutos[Foco],MATCH(tItens[[#This Row],[Produto]],tProdutos[Produto],0)),"Não")</f>
        <v>Sim</v>
      </c>
      <c r="O2283" t="str">
        <f>IFERROR(INDEX(tEditais[SRP],MATCH(tItens[[#This Row],[Edital]],tEditais[Edital],0)),"Não")</f>
        <v>Sim</v>
      </c>
      <c r="P2283" s="4">
        <f>IF(COUNTIFS(INDEX(tItens[Edital],1):tItens[[#This Row],[Edital]],tItens[[#This Row],[Edital]],INDEX(tItens[Produto],1):tItens[[#This Row],[Produto]],tItens[[#This Row],[Produto]])=1,1,0)</f>
        <v>0</v>
      </c>
    </row>
    <row r="2284" spans="1:16" x14ac:dyDescent="0.25">
      <c r="A2284" t="s">
        <v>1216</v>
      </c>
      <c r="B2284">
        <v>787</v>
      </c>
      <c r="C2284" t="s">
        <v>5320</v>
      </c>
      <c r="D2284" t="s">
        <v>56</v>
      </c>
      <c r="E2284" s="13">
        <v>5000</v>
      </c>
      <c r="F2284" s="12">
        <v>0.31</v>
      </c>
      <c r="G2284" t="str">
        <f>IFERROR(INDEX(tEditais[Órgão],MATCH(tItens[[#This Row],[Edital]],tEditais[Edital],0)),"")</f>
        <v>FUNDO MUNICIPAL DE SAUDE</v>
      </c>
      <c r="H2284" t="str">
        <f>IFERROR(INDEX(tEditais[UF],MATCH(tItens[[#This Row],[Edital]],tEditais[Edital],0)),"")</f>
        <v>GO</v>
      </c>
      <c r="I2284" s="11">
        <f>IFERROR(INDEX(tEditais[Encerramento],MATCH(tItens[[#This Row],[Edital]],tEditais[Edital],0)),"")</f>
        <v>46311.333333333336</v>
      </c>
      <c r="J2284" t="str">
        <f>IFERROR(INDEX(tProdutos[Classe],MATCH(tItens[[#This Row],[Produto]],tProdutos[Produto],0)),"produto não cadastrado")</f>
        <v>NÚCLEO</v>
      </c>
      <c r="K2284" s="12">
        <f>tItens[[#This Row],[Qtd]]*tItens[[#This Row],[Vlr unit]]</f>
        <v>1550</v>
      </c>
      <c r="L2284" s="6">
        <f>IFERROR(IF(INDEX(tProdutos[Desconto homologado],MATCH(tItens[[#This Row],[Produto]],tProdutos[Produto],0))="",DescontoPadrao,INDEX(tProdutos[Desconto homologado],MATCH(tItens[[#This Row],[Produto]],tProdutos[Produto],0))),DescontoPadrao)</f>
        <v>0.34</v>
      </c>
      <c r="M2284" s="12">
        <f>tItens[[#This Row],[Valor]]*(1-tItens[[#This Row],[Desconto]])</f>
        <v>1022.9999999999999</v>
      </c>
      <c r="N2284" t="str">
        <f>IFERROR(INDEX(tProdutos[Foco],MATCH(tItens[[#This Row],[Produto]],tProdutos[Produto],0)),"Não")</f>
        <v>Sim</v>
      </c>
      <c r="O2284" t="str">
        <f>IFERROR(INDEX(tEditais[SRP],MATCH(tItens[[#This Row],[Edital]],tEditais[Edital],0)),"Não")</f>
        <v>Sim</v>
      </c>
      <c r="P2284" s="4">
        <f>IF(COUNTIFS(INDEX(tItens[Edital],1):tItens[[#This Row],[Edital]],tItens[[#This Row],[Edital]],INDEX(tItens[Produto],1):tItens[[#This Row],[Produto]],tItens[[#This Row],[Produto]])=1,1,0)</f>
        <v>0</v>
      </c>
    </row>
    <row r="2285" spans="1:16" x14ac:dyDescent="0.25">
      <c r="A2285" t="s">
        <v>1216</v>
      </c>
      <c r="B2285">
        <v>803</v>
      </c>
      <c r="C2285" t="s">
        <v>5321</v>
      </c>
      <c r="D2285" t="s">
        <v>267</v>
      </c>
      <c r="E2285" s="13">
        <v>500</v>
      </c>
      <c r="F2285" s="12">
        <v>8.43</v>
      </c>
      <c r="G2285" t="str">
        <f>IFERROR(INDEX(tEditais[Órgão],MATCH(tItens[[#This Row],[Edital]],tEditais[Edital],0)),"")</f>
        <v>FUNDO MUNICIPAL DE SAUDE</v>
      </c>
      <c r="H2285" t="str">
        <f>IFERROR(INDEX(tEditais[UF],MATCH(tItens[[#This Row],[Edital]],tEditais[Edital],0)),"")</f>
        <v>GO</v>
      </c>
      <c r="I2285" s="11">
        <f>IFERROR(INDEX(tEditais[Encerramento],MATCH(tItens[[#This Row],[Edital]],tEditais[Edital],0)),"")</f>
        <v>46311.333333333336</v>
      </c>
      <c r="J2285" t="str">
        <f>IFERROR(INDEX(tProdutos[Classe],MATCH(tItens[[#This Row],[Produto]],tProdutos[Produto],0)),"produto não cadastrado")</f>
        <v>FORA</v>
      </c>
      <c r="K2285" s="12">
        <f>tItens[[#This Row],[Qtd]]*tItens[[#This Row],[Vlr unit]]</f>
        <v>4215</v>
      </c>
      <c r="L2285" s="6">
        <f>IFERROR(IF(INDEX(tProdutos[Desconto homologado],MATCH(tItens[[#This Row],[Produto]],tProdutos[Produto],0))="",DescontoPadrao,INDEX(tProdutos[Desconto homologado],MATCH(tItens[[#This Row],[Produto]],tProdutos[Produto],0))),DescontoPadrao)</f>
        <v>0.19963672657401599</v>
      </c>
      <c r="M2285" s="12">
        <f>tItens[[#This Row],[Valor]]*(1-tItens[[#This Row],[Desconto]])</f>
        <v>3373.5311974905226</v>
      </c>
      <c r="N2285" t="str">
        <f>IFERROR(INDEX(tProdutos[Foco],MATCH(tItens[[#This Row],[Produto]],tProdutos[Produto],0)),"Não")</f>
        <v>Não</v>
      </c>
      <c r="O2285" t="str">
        <f>IFERROR(INDEX(tEditais[SRP],MATCH(tItens[[#This Row],[Edital]],tEditais[Edital],0)),"Não")</f>
        <v>Sim</v>
      </c>
      <c r="P2285" s="4">
        <f>IF(COUNTIFS(INDEX(tItens[Edital],1):tItens[[#This Row],[Edital]],tItens[[#This Row],[Edital]],INDEX(tItens[Produto],1):tItens[[#This Row],[Produto]],tItens[[#This Row],[Produto]])=1,1,0)</f>
        <v>1</v>
      </c>
    </row>
    <row r="2286" spans="1:16" x14ac:dyDescent="0.25">
      <c r="A2286" t="s">
        <v>1216</v>
      </c>
      <c r="B2286">
        <v>804</v>
      </c>
      <c r="C2286" t="s">
        <v>5322</v>
      </c>
      <c r="D2286" t="s">
        <v>267</v>
      </c>
      <c r="E2286" s="13">
        <v>500</v>
      </c>
      <c r="F2286" s="12">
        <v>10.41</v>
      </c>
      <c r="G2286" t="str">
        <f>IFERROR(INDEX(tEditais[Órgão],MATCH(tItens[[#This Row],[Edital]],tEditais[Edital],0)),"")</f>
        <v>FUNDO MUNICIPAL DE SAUDE</v>
      </c>
      <c r="H2286" t="str">
        <f>IFERROR(INDEX(tEditais[UF],MATCH(tItens[[#This Row],[Edital]],tEditais[Edital],0)),"")</f>
        <v>GO</v>
      </c>
      <c r="I2286" s="11">
        <f>IFERROR(INDEX(tEditais[Encerramento],MATCH(tItens[[#This Row],[Edital]],tEditais[Edital],0)),"")</f>
        <v>46311.333333333336</v>
      </c>
      <c r="J2286" t="str">
        <f>IFERROR(INDEX(tProdutos[Classe],MATCH(tItens[[#This Row],[Produto]],tProdutos[Produto],0)),"produto não cadastrado")</f>
        <v>FORA</v>
      </c>
      <c r="K2286" s="12">
        <f>tItens[[#This Row],[Qtd]]*tItens[[#This Row],[Vlr unit]]</f>
        <v>5205</v>
      </c>
      <c r="L2286" s="6">
        <f>IFERROR(IF(INDEX(tProdutos[Desconto homologado],MATCH(tItens[[#This Row],[Produto]],tProdutos[Produto],0))="",DescontoPadrao,INDEX(tProdutos[Desconto homologado],MATCH(tItens[[#This Row],[Produto]],tProdutos[Produto],0))),DescontoPadrao)</f>
        <v>0.19963672657401599</v>
      </c>
      <c r="M2286" s="12">
        <f>tItens[[#This Row],[Valor]]*(1-tItens[[#This Row],[Desconto]])</f>
        <v>4165.8908381822466</v>
      </c>
      <c r="N2286" t="str">
        <f>IFERROR(INDEX(tProdutos[Foco],MATCH(tItens[[#This Row],[Produto]],tProdutos[Produto],0)),"Não")</f>
        <v>Não</v>
      </c>
      <c r="O2286" t="str">
        <f>IFERROR(INDEX(tEditais[SRP],MATCH(tItens[[#This Row],[Edital]],tEditais[Edital],0)),"Não")</f>
        <v>Sim</v>
      </c>
      <c r="P2286" s="4">
        <f>IF(COUNTIFS(INDEX(tItens[Edital],1):tItens[[#This Row],[Edital]],tItens[[#This Row],[Edital]],INDEX(tItens[Produto],1):tItens[[#This Row],[Produto]],tItens[[#This Row],[Produto]])=1,1,0)</f>
        <v>0</v>
      </c>
    </row>
    <row r="2287" spans="1:16" x14ac:dyDescent="0.25">
      <c r="A2287" t="s">
        <v>1216</v>
      </c>
      <c r="B2287">
        <v>805</v>
      </c>
      <c r="C2287" t="s">
        <v>5323</v>
      </c>
      <c r="D2287" t="s">
        <v>267</v>
      </c>
      <c r="E2287" s="13">
        <v>1200</v>
      </c>
      <c r="F2287" s="12">
        <v>0.72</v>
      </c>
      <c r="G2287" t="str">
        <f>IFERROR(INDEX(tEditais[Órgão],MATCH(tItens[[#This Row],[Edital]],tEditais[Edital],0)),"")</f>
        <v>FUNDO MUNICIPAL DE SAUDE</v>
      </c>
      <c r="H2287" t="str">
        <f>IFERROR(INDEX(tEditais[UF],MATCH(tItens[[#This Row],[Edital]],tEditais[Edital],0)),"")</f>
        <v>GO</v>
      </c>
      <c r="I2287" s="11">
        <f>IFERROR(INDEX(tEditais[Encerramento],MATCH(tItens[[#This Row],[Edital]],tEditais[Edital],0)),"")</f>
        <v>46311.333333333336</v>
      </c>
      <c r="J2287" t="str">
        <f>IFERROR(INDEX(tProdutos[Classe],MATCH(tItens[[#This Row],[Produto]],tProdutos[Produto],0)),"produto não cadastrado")</f>
        <v>FORA</v>
      </c>
      <c r="K2287" s="12">
        <f>tItens[[#This Row],[Qtd]]*tItens[[#This Row],[Vlr unit]]</f>
        <v>864</v>
      </c>
      <c r="L2287" s="6">
        <f>IFERROR(IF(INDEX(tProdutos[Desconto homologado],MATCH(tItens[[#This Row],[Produto]],tProdutos[Produto],0))="",DescontoPadrao,INDEX(tProdutos[Desconto homologado],MATCH(tItens[[#This Row],[Produto]],tProdutos[Produto],0))),DescontoPadrao)</f>
        <v>0.19963672657401599</v>
      </c>
      <c r="M2287" s="12">
        <f>tItens[[#This Row],[Valor]]*(1-tItens[[#This Row],[Desconto]])</f>
        <v>691.51386824005021</v>
      </c>
      <c r="N2287" t="str">
        <f>IFERROR(INDEX(tProdutos[Foco],MATCH(tItens[[#This Row],[Produto]],tProdutos[Produto],0)),"Não")</f>
        <v>Não</v>
      </c>
      <c r="O2287" t="str">
        <f>IFERROR(INDEX(tEditais[SRP],MATCH(tItens[[#This Row],[Edital]],tEditais[Edital],0)),"Não")</f>
        <v>Sim</v>
      </c>
      <c r="P2287" s="4">
        <f>IF(COUNTIFS(INDEX(tItens[Edital],1):tItens[[#This Row],[Edital]],tItens[[#This Row],[Edital]],INDEX(tItens[Produto],1):tItens[[#This Row],[Produto]],tItens[[#This Row],[Produto]])=1,1,0)</f>
        <v>0</v>
      </c>
    </row>
    <row r="2288" spans="1:16" x14ac:dyDescent="0.25">
      <c r="A2288" t="s">
        <v>1216</v>
      </c>
      <c r="B2288">
        <v>806</v>
      </c>
      <c r="C2288" t="s">
        <v>5324</v>
      </c>
      <c r="D2288" t="s">
        <v>267</v>
      </c>
      <c r="E2288" s="13">
        <v>1200</v>
      </c>
      <c r="F2288" s="12">
        <v>0.72</v>
      </c>
      <c r="G2288" t="str">
        <f>IFERROR(INDEX(tEditais[Órgão],MATCH(tItens[[#This Row],[Edital]],tEditais[Edital],0)),"")</f>
        <v>FUNDO MUNICIPAL DE SAUDE</v>
      </c>
      <c r="H2288" t="str">
        <f>IFERROR(INDEX(tEditais[UF],MATCH(tItens[[#This Row],[Edital]],tEditais[Edital],0)),"")</f>
        <v>GO</v>
      </c>
      <c r="I2288" s="11">
        <f>IFERROR(INDEX(tEditais[Encerramento],MATCH(tItens[[#This Row],[Edital]],tEditais[Edital],0)),"")</f>
        <v>46311.333333333336</v>
      </c>
      <c r="J2288" t="str">
        <f>IFERROR(INDEX(tProdutos[Classe],MATCH(tItens[[#This Row],[Produto]],tProdutos[Produto],0)),"produto não cadastrado")</f>
        <v>FORA</v>
      </c>
      <c r="K2288" s="12">
        <f>tItens[[#This Row],[Qtd]]*tItens[[#This Row],[Vlr unit]]</f>
        <v>864</v>
      </c>
      <c r="L2288" s="6">
        <f>IFERROR(IF(INDEX(tProdutos[Desconto homologado],MATCH(tItens[[#This Row],[Produto]],tProdutos[Produto],0))="",DescontoPadrao,INDEX(tProdutos[Desconto homologado],MATCH(tItens[[#This Row],[Produto]],tProdutos[Produto],0))),DescontoPadrao)</f>
        <v>0.19963672657401599</v>
      </c>
      <c r="M2288" s="12">
        <f>tItens[[#This Row],[Valor]]*(1-tItens[[#This Row],[Desconto]])</f>
        <v>691.51386824005021</v>
      </c>
      <c r="N2288" t="str">
        <f>IFERROR(INDEX(tProdutos[Foco],MATCH(tItens[[#This Row],[Produto]],tProdutos[Produto],0)),"Não")</f>
        <v>Não</v>
      </c>
      <c r="O2288" t="str">
        <f>IFERROR(INDEX(tEditais[SRP],MATCH(tItens[[#This Row],[Edital]],tEditais[Edital],0)),"Não")</f>
        <v>Sim</v>
      </c>
      <c r="P2288" s="4">
        <f>IF(COUNTIFS(INDEX(tItens[Edital],1):tItens[[#This Row],[Edital]],tItens[[#This Row],[Edital]],INDEX(tItens[Produto],1):tItens[[#This Row],[Produto]],tItens[[#This Row],[Produto]])=1,1,0)</f>
        <v>0</v>
      </c>
    </row>
    <row r="2289" spans="1:16" x14ac:dyDescent="0.25">
      <c r="A2289" t="s">
        <v>1216</v>
      </c>
      <c r="B2289">
        <v>807</v>
      </c>
      <c r="C2289" t="s">
        <v>5325</v>
      </c>
      <c r="D2289" t="s">
        <v>267</v>
      </c>
      <c r="E2289" s="13">
        <v>1200</v>
      </c>
      <c r="F2289" s="12">
        <v>0.72</v>
      </c>
      <c r="G2289" t="str">
        <f>IFERROR(INDEX(tEditais[Órgão],MATCH(tItens[[#This Row],[Edital]],tEditais[Edital],0)),"")</f>
        <v>FUNDO MUNICIPAL DE SAUDE</v>
      </c>
      <c r="H2289" t="str">
        <f>IFERROR(INDEX(tEditais[UF],MATCH(tItens[[#This Row],[Edital]],tEditais[Edital],0)),"")</f>
        <v>GO</v>
      </c>
      <c r="I2289" s="11">
        <f>IFERROR(INDEX(tEditais[Encerramento],MATCH(tItens[[#This Row],[Edital]],tEditais[Edital],0)),"")</f>
        <v>46311.333333333336</v>
      </c>
      <c r="J2289" t="str">
        <f>IFERROR(INDEX(tProdutos[Classe],MATCH(tItens[[#This Row],[Produto]],tProdutos[Produto],0)),"produto não cadastrado")</f>
        <v>FORA</v>
      </c>
      <c r="K2289" s="12">
        <f>tItens[[#This Row],[Qtd]]*tItens[[#This Row],[Vlr unit]]</f>
        <v>864</v>
      </c>
      <c r="L2289" s="6">
        <f>IFERROR(IF(INDEX(tProdutos[Desconto homologado],MATCH(tItens[[#This Row],[Produto]],tProdutos[Produto],0))="",DescontoPadrao,INDEX(tProdutos[Desconto homologado],MATCH(tItens[[#This Row],[Produto]],tProdutos[Produto],0))),DescontoPadrao)</f>
        <v>0.19963672657401599</v>
      </c>
      <c r="M2289" s="12">
        <f>tItens[[#This Row],[Valor]]*(1-tItens[[#This Row],[Desconto]])</f>
        <v>691.51386824005021</v>
      </c>
      <c r="N2289" t="str">
        <f>IFERROR(INDEX(tProdutos[Foco],MATCH(tItens[[#This Row],[Produto]],tProdutos[Produto],0)),"Não")</f>
        <v>Não</v>
      </c>
      <c r="O2289" t="str">
        <f>IFERROR(INDEX(tEditais[SRP],MATCH(tItens[[#This Row],[Edital]],tEditais[Edital],0)),"Não")</f>
        <v>Sim</v>
      </c>
      <c r="P2289" s="4">
        <f>IF(COUNTIFS(INDEX(tItens[Edital],1):tItens[[#This Row],[Edital]],tItens[[#This Row],[Edital]],INDEX(tItens[Produto],1):tItens[[#This Row],[Produto]],tItens[[#This Row],[Produto]])=1,1,0)</f>
        <v>0</v>
      </c>
    </row>
    <row r="2290" spans="1:16" x14ac:dyDescent="0.25">
      <c r="A2290" t="s">
        <v>1216</v>
      </c>
      <c r="B2290">
        <v>835</v>
      </c>
      <c r="C2290" t="s">
        <v>5326</v>
      </c>
      <c r="D2290" t="s">
        <v>343</v>
      </c>
      <c r="E2290" s="13">
        <v>300</v>
      </c>
      <c r="F2290" s="12">
        <v>1.1299999999999999</v>
      </c>
      <c r="G2290" t="str">
        <f>IFERROR(INDEX(tEditais[Órgão],MATCH(tItens[[#This Row],[Edital]],tEditais[Edital],0)),"")</f>
        <v>FUNDO MUNICIPAL DE SAUDE</v>
      </c>
      <c r="H2290" t="str">
        <f>IFERROR(INDEX(tEditais[UF],MATCH(tItens[[#This Row],[Edital]],tEditais[Edital],0)),"")</f>
        <v>GO</v>
      </c>
      <c r="I2290" s="11">
        <f>IFERROR(INDEX(tEditais[Encerramento],MATCH(tItens[[#This Row],[Edital]],tEditais[Edital],0)),"")</f>
        <v>46311.333333333336</v>
      </c>
      <c r="J2290" t="str">
        <f>IFERROR(INDEX(tProdutos[Classe],MATCH(tItens[[#This Row],[Produto]],tProdutos[Produto],0)),"produto não cadastrado")</f>
        <v>FORA</v>
      </c>
      <c r="K2290" s="12">
        <f>tItens[[#This Row],[Qtd]]*tItens[[#This Row],[Vlr unit]]</f>
        <v>338.99999999999994</v>
      </c>
      <c r="L2290" s="6">
        <f>IFERROR(IF(INDEX(tProdutos[Desconto homologado],MATCH(tItens[[#This Row],[Produto]],tProdutos[Produto],0))="",DescontoPadrao,INDEX(tProdutos[Desconto homologado],MATCH(tItens[[#This Row],[Produto]],tProdutos[Produto],0))),DescontoPadrao)</f>
        <v>0.35412234042553198</v>
      </c>
      <c r="M2290" s="12">
        <f>tItens[[#This Row],[Valor]]*(1-tItens[[#This Row],[Desconto]])</f>
        <v>218.95252659574462</v>
      </c>
      <c r="N2290" t="str">
        <f>IFERROR(INDEX(tProdutos[Foco],MATCH(tItens[[#This Row],[Produto]],tProdutos[Produto],0)),"Não")</f>
        <v>Não</v>
      </c>
      <c r="O2290" t="str">
        <f>IFERROR(INDEX(tEditais[SRP],MATCH(tItens[[#This Row],[Edital]],tEditais[Edital],0)),"Não")</f>
        <v>Sim</v>
      </c>
      <c r="P2290" s="4">
        <f>IF(COUNTIFS(INDEX(tItens[Edital],1):tItens[[#This Row],[Edital]],tItens[[#This Row],[Edital]],INDEX(tItens[Produto],1):tItens[[#This Row],[Produto]],tItens[[#This Row],[Produto]])=1,1,0)</f>
        <v>1</v>
      </c>
    </row>
    <row r="2291" spans="1:16" x14ac:dyDescent="0.25">
      <c r="A2291" t="s">
        <v>1216</v>
      </c>
      <c r="B2291">
        <v>836</v>
      </c>
      <c r="C2291" t="s">
        <v>5327</v>
      </c>
      <c r="D2291" t="s">
        <v>343</v>
      </c>
      <c r="E2291" s="13">
        <v>300</v>
      </c>
      <c r="F2291" s="12">
        <v>1.1299999999999999</v>
      </c>
      <c r="G2291" t="str">
        <f>IFERROR(INDEX(tEditais[Órgão],MATCH(tItens[[#This Row],[Edital]],tEditais[Edital],0)),"")</f>
        <v>FUNDO MUNICIPAL DE SAUDE</v>
      </c>
      <c r="H2291" t="str">
        <f>IFERROR(INDEX(tEditais[UF],MATCH(tItens[[#This Row],[Edital]],tEditais[Edital],0)),"")</f>
        <v>GO</v>
      </c>
      <c r="I2291" s="11">
        <f>IFERROR(INDEX(tEditais[Encerramento],MATCH(tItens[[#This Row],[Edital]],tEditais[Edital],0)),"")</f>
        <v>46311.333333333336</v>
      </c>
      <c r="J2291" t="str">
        <f>IFERROR(INDEX(tProdutos[Classe],MATCH(tItens[[#This Row],[Produto]],tProdutos[Produto],0)),"produto não cadastrado")</f>
        <v>FORA</v>
      </c>
      <c r="K2291" s="12">
        <f>tItens[[#This Row],[Qtd]]*tItens[[#This Row],[Vlr unit]]</f>
        <v>338.99999999999994</v>
      </c>
      <c r="L2291" s="6">
        <f>IFERROR(IF(INDEX(tProdutos[Desconto homologado],MATCH(tItens[[#This Row],[Produto]],tProdutos[Produto],0))="",DescontoPadrao,INDEX(tProdutos[Desconto homologado],MATCH(tItens[[#This Row],[Produto]],tProdutos[Produto],0))),DescontoPadrao)</f>
        <v>0.35412234042553198</v>
      </c>
      <c r="M2291" s="12">
        <f>tItens[[#This Row],[Valor]]*(1-tItens[[#This Row],[Desconto]])</f>
        <v>218.95252659574462</v>
      </c>
      <c r="N2291" t="str">
        <f>IFERROR(INDEX(tProdutos[Foco],MATCH(tItens[[#This Row],[Produto]],tProdutos[Produto],0)),"Não")</f>
        <v>Não</v>
      </c>
      <c r="O2291" t="str">
        <f>IFERROR(INDEX(tEditais[SRP],MATCH(tItens[[#This Row],[Edital]],tEditais[Edital],0)),"Não")</f>
        <v>Sim</v>
      </c>
      <c r="P2291" s="4">
        <f>IF(COUNTIFS(INDEX(tItens[Edital],1):tItens[[#This Row],[Edital]],tItens[[#This Row],[Edital]],INDEX(tItens[Produto],1):tItens[[#This Row],[Produto]],tItens[[#This Row],[Produto]])=1,1,0)</f>
        <v>0</v>
      </c>
    </row>
    <row r="2292" spans="1:16" x14ac:dyDescent="0.25">
      <c r="A2292" t="s">
        <v>1216</v>
      </c>
      <c r="B2292">
        <v>837</v>
      </c>
      <c r="C2292" t="s">
        <v>5328</v>
      </c>
      <c r="D2292" t="s">
        <v>343</v>
      </c>
      <c r="E2292" s="13">
        <v>300</v>
      </c>
      <c r="F2292" s="12">
        <v>1.1299999999999999</v>
      </c>
      <c r="G2292" t="str">
        <f>IFERROR(INDEX(tEditais[Órgão],MATCH(tItens[[#This Row],[Edital]],tEditais[Edital],0)),"")</f>
        <v>FUNDO MUNICIPAL DE SAUDE</v>
      </c>
      <c r="H2292" t="str">
        <f>IFERROR(INDEX(tEditais[UF],MATCH(tItens[[#This Row],[Edital]],tEditais[Edital],0)),"")</f>
        <v>GO</v>
      </c>
      <c r="I2292" s="11">
        <f>IFERROR(INDEX(tEditais[Encerramento],MATCH(tItens[[#This Row],[Edital]],tEditais[Edital],0)),"")</f>
        <v>46311.333333333336</v>
      </c>
      <c r="J2292" t="str">
        <f>IFERROR(INDEX(tProdutos[Classe],MATCH(tItens[[#This Row],[Produto]],tProdutos[Produto],0)),"produto não cadastrado")</f>
        <v>FORA</v>
      </c>
      <c r="K2292" s="12">
        <f>tItens[[#This Row],[Qtd]]*tItens[[#This Row],[Vlr unit]]</f>
        <v>338.99999999999994</v>
      </c>
      <c r="L2292" s="6">
        <f>IFERROR(IF(INDEX(tProdutos[Desconto homologado],MATCH(tItens[[#This Row],[Produto]],tProdutos[Produto],0))="",DescontoPadrao,INDEX(tProdutos[Desconto homologado],MATCH(tItens[[#This Row],[Produto]],tProdutos[Produto],0))),DescontoPadrao)</f>
        <v>0.35412234042553198</v>
      </c>
      <c r="M2292" s="12">
        <f>tItens[[#This Row],[Valor]]*(1-tItens[[#This Row],[Desconto]])</f>
        <v>218.95252659574462</v>
      </c>
      <c r="N2292" t="str">
        <f>IFERROR(INDEX(tProdutos[Foco],MATCH(tItens[[#This Row],[Produto]],tProdutos[Produto],0)),"Não")</f>
        <v>Não</v>
      </c>
      <c r="O2292" t="str">
        <f>IFERROR(INDEX(tEditais[SRP],MATCH(tItens[[#This Row],[Edital]],tEditais[Edital],0)),"Não")</f>
        <v>Sim</v>
      </c>
      <c r="P2292" s="4">
        <f>IF(COUNTIFS(INDEX(tItens[Edital],1):tItens[[#This Row],[Edital]],tItens[[#This Row],[Edital]],INDEX(tItens[Produto],1):tItens[[#This Row],[Produto]],tItens[[#This Row],[Produto]])=1,1,0)</f>
        <v>0</v>
      </c>
    </row>
    <row r="2293" spans="1:16" x14ac:dyDescent="0.25">
      <c r="A2293" t="s">
        <v>1216</v>
      </c>
      <c r="B2293">
        <v>838</v>
      </c>
      <c r="C2293" t="s">
        <v>5329</v>
      </c>
      <c r="D2293" t="s">
        <v>343</v>
      </c>
      <c r="E2293" s="13">
        <v>300</v>
      </c>
      <c r="F2293" s="12">
        <v>1.1299999999999999</v>
      </c>
      <c r="G2293" t="str">
        <f>IFERROR(INDEX(tEditais[Órgão],MATCH(tItens[[#This Row],[Edital]],tEditais[Edital],0)),"")</f>
        <v>FUNDO MUNICIPAL DE SAUDE</v>
      </c>
      <c r="H2293" t="str">
        <f>IFERROR(INDEX(tEditais[UF],MATCH(tItens[[#This Row],[Edital]],tEditais[Edital],0)),"")</f>
        <v>GO</v>
      </c>
      <c r="I2293" s="11">
        <f>IFERROR(INDEX(tEditais[Encerramento],MATCH(tItens[[#This Row],[Edital]],tEditais[Edital],0)),"")</f>
        <v>46311.333333333336</v>
      </c>
      <c r="J2293" t="str">
        <f>IFERROR(INDEX(tProdutos[Classe],MATCH(tItens[[#This Row],[Produto]],tProdutos[Produto],0)),"produto não cadastrado")</f>
        <v>FORA</v>
      </c>
      <c r="K2293" s="12">
        <f>tItens[[#This Row],[Qtd]]*tItens[[#This Row],[Vlr unit]]</f>
        <v>338.99999999999994</v>
      </c>
      <c r="L2293" s="6">
        <f>IFERROR(IF(INDEX(tProdutos[Desconto homologado],MATCH(tItens[[#This Row],[Produto]],tProdutos[Produto],0))="",DescontoPadrao,INDEX(tProdutos[Desconto homologado],MATCH(tItens[[#This Row],[Produto]],tProdutos[Produto],0))),DescontoPadrao)</f>
        <v>0.35412234042553198</v>
      </c>
      <c r="M2293" s="12">
        <f>tItens[[#This Row],[Valor]]*(1-tItens[[#This Row],[Desconto]])</f>
        <v>218.95252659574462</v>
      </c>
      <c r="N2293" t="str">
        <f>IFERROR(INDEX(tProdutos[Foco],MATCH(tItens[[#This Row],[Produto]],tProdutos[Produto],0)),"Não")</f>
        <v>Não</v>
      </c>
      <c r="O2293" t="str">
        <f>IFERROR(INDEX(tEditais[SRP],MATCH(tItens[[#This Row],[Edital]],tEditais[Edital],0)),"Não")</f>
        <v>Sim</v>
      </c>
      <c r="P2293" s="4">
        <f>IF(COUNTIFS(INDEX(tItens[Edital],1):tItens[[#This Row],[Edital]],tItens[[#This Row],[Edital]],INDEX(tItens[Produto],1):tItens[[#This Row],[Produto]],tItens[[#This Row],[Produto]])=1,1,0)</f>
        <v>0</v>
      </c>
    </row>
    <row r="2294" spans="1:16" x14ac:dyDescent="0.25">
      <c r="A2294" t="s">
        <v>1216</v>
      </c>
      <c r="B2294">
        <v>839</v>
      </c>
      <c r="C2294" t="s">
        <v>5330</v>
      </c>
      <c r="D2294" t="s">
        <v>343</v>
      </c>
      <c r="E2294" s="13">
        <v>300</v>
      </c>
      <c r="F2294" s="12">
        <v>1.1299999999999999</v>
      </c>
      <c r="G2294" t="str">
        <f>IFERROR(INDEX(tEditais[Órgão],MATCH(tItens[[#This Row],[Edital]],tEditais[Edital],0)),"")</f>
        <v>FUNDO MUNICIPAL DE SAUDE</v>
      </c>
      <c r="H2294" t="str">
        <f>IFERROR(INDEX(tEditais[UF],MATCH(tItens[[#This Row],[Edital]],tEditais[Edital],0)),"")</f>
        <v>GO</v>
      </c>
      <c r="I2294" s="11">
        <f>IFERROR(INDEX(tEditais[Encerramento],MATCH(tItens[[#This Row],[Edital]],tEditais[Edital],0)),"")</f>
        <v>46311.333333333336</v>
      </c>
      <c r="J2294" t="str">
        <f>IFERROR(INDEX(tProdutos[Classe],MATCH(tItens[[#This Row],[Produto]],tProdutos[Produto],0)),"produto não cadastrado")</f>
        <v>FORA</v>
      </c>
      <c r="K2294" s="12">
        <f>tItens[[#This Row],[Qtd]]*tItens[[#This Row],[Vlr unit]]</f>
        <v>338.99999999999994</v>
      </c>
      <c r="L2294" s="6">
        <f>IFERROR(IF(INDEX(tProdutos[Desconto homologado],MATCH(tItens[[#This Row],[Produto]],tProdutos[Produto],0))="",DescontoPadrao,INDEX(tProdutos[Desconto homologado],MATCH(tItens[[#This Row],[Produto]],tProdutos[Produto],0))),DescontoPadrao)</f>
        <v>0.35412234042553198</v>
      </c>
      <c r="M2294" s="12">
        <f>tItens[[#This Row],[Valor]]*(1-tItens[[#This Row],[Desconto]])</f>
        <v>218.95252659574462</v>
      </c>
      <c r="N2294" t="str">
        <f>IFERROR(INDEX(tProdutos[Foco],MATCH(tItens[[#This Row],[Produto]],tProdutos[Produto],0)),"Não")</f>
        <v>Não</v>
      </c>
      <c r="O2294" t="str">
        <f>IFERROR(INDEX(tEditais[SRP],MATCH(tItens[[#This Row],[Edital]],tEditais[Edital],0)),"Não")</f>
        <v>Sim</v>
      </c>
      <c r="P2294" s="4">
        <f>IF(COUNTIFS(INDEX(tItens[Edital],1):tItens[[#This Row],[Edital]],tItens[[#This Row],[Edital]],INDEX(tItens[Produto],1):tItens[[#This Row],[Produto]],tItens[[#This Row],[Produto]])=1,1,0)</f>
        <v>0</v>
      </c>
    </row>
    <row r="2295" spans="1:16" x14ac:dyDescent="0.25">
      <c r="A2295" t="s">
        <v>1216</v>
      </c>
      <c r="B2295">
        <v>840</v>
      </c>
      <c r="C2295" t="s">
        <v>5331</v>
      </c>
      <c r="D2295" t="s">
        <v>343</v>
      </c>
      <c r="E2295" s="13">
        <v>300</v>
      </c>
      <c r="F2295" s="12">
        <v>1.1299999999999999</v>
      </c>
      <c r="G2295" t="str">
        <f>IFERROR(INDEX(tEditais[Órgão],MATCH(tItens[[#This Row],[Edital]],tEditais[Edital],0)),"")</f>
        <v>FUNDO MUNICIPAL DE SAUDE</v>
      </c>
      <c r="H2295" t="str">
        <f>IFERROR(INDEX(tEditais[UF],MATCH(tItens[[#This Row],[Edital]],tEditais[Edital],0)),"")</f>
        <v>GO</v>
      </c>
      <c r="I2295" s="11">
        <f>IFERROR(INDEX(tEditais[Encerramento],MATCH(tItens[[#This Row],[Edital]],tEditais[Edital],0)),"")</f>
        <v>46311.333333333336</v>
      </c>
      <c r="J2295" t="str">
        <f>IFERROR(INDEX(tProdutos[Classe],MATCH(tItens[[#This Row],[Produto]],tProdutos[Produto],0)),"produto não cadastrado")</f>
        <v>FORA</v>
      </c>
      <c r="K2295" s="12">
        <f>tItens[[#This Row],[Qtd]]*tItens[[#This Row],[Vlr unit]]</f>
        <v>338.99999999999994</v>
      </c>
      <c r="L2295" s="6">
        <f>IFERROR(IF(INDEX(tProdutos[Desconto homologado],MATCH(tItens[[#This Row],[Produto]],tProdutos[Produto],0))="",DescontoPadrao,INDEX(tProdutos[Desconto homologado],MATCH(tItens[[#This Row],[Produto]],tProdutos[Produto],0))),DescontoPadrao)</f>
        <v>0.35412234042553198</v>
      </c>
      <c r="M2295" s="12">
        <f>tItens[[#This Row],[Valor]]*(1-tItens[[#This Row],[Desconto]])</f>
        <v>218.95252659574462</v>
      </c>
      <c r="N2295" t="str">
        <f>IFERROR(INDEX(tProdutos[Foco],MATCH(tItens[[#This Row],[Produto]],tProdutos[Produto],0)),"Não")</f>
        <v>Não</v>
      </c>
      <c r="O2295" t="str">
        <f>IFERROR(INDEX(tEditais[SRP],MATCH(tItens[[#This Row],[Edital]],tEditais[Edital],0)),"Não")</f>
        <v>Sim</v>
      </c>
      <c r="P2295" s="4">
        <f>IF(COUNTIFS(INDEX(tItens[Edital],1):tItens[[#This Row],[Edital]],tItens[[#This Row],[Edital]],INDEX(tItens[Produto],1):tItens[[#This Row],[Produto]],tItens[[#This Row],[Produto]])=1,1,0)</f>
        <v>0</v>
      </c>
    </row>
    <row r="2296" spans="1:16" x14ac:dyDescent="0.25">
      <c r="A2296" t="s">
        <v>1216</v>
      </c>
      <c r="B2296">
        <v>856</v>
      </c>
      <c r="C2296" t="s">
        <v>5332</v>
      </c>
      <c r="D2296" t="s">
        <v>385</v>
      </c>
      <c r="E2296" s="13">
        <v>3000</v>
      </c>
      <c r="F2296" s="12">
        <v>4.96</v>
      </c>
      <c r="G2296" t="str">
        <f>IFERROR(INDEX(tEditais[Órgão],MATCH(tItens[[#This Row],[Edital]],tEditais[Edital],0)),"")</f>
        <v>FUNDO MUNICIPAL DE SAUDE</v>
      </c>
      <c r="H2296" t="str">
        <f>IFERROR(INDEX(tEditais[UF],MATCH(tItens[[#This Row],[Edital]],tEditais[Edital],0)),"")</f>
        <v>GO</v>
      </c>
      <c r="I2296" s="11">
        <f>IFERROR(INDEX(tEditais[Encerramento],MATCH(tItens[[#This Row],[Edital]],tEditais[Edital],0)),"")</f>
        <v>46311.333333333336</v>
      </c>
      <c r="J2296" t="str">
        <f>IFERROR(INDEX(tProdutos[Classe],MATCH(tItens[[#This Row],[Produto]],tProdutos[Produto],0)),"produto não cadastrado")</f>
        <v>FORA</v>
      </c>
      <c r="K2296" s="12">
        <f>tItens[[#This Row],[Qtd]]*tItens[[#This Row],[Vlr unit]]</f>
        <v>14880</v>
      </c>
      <c r="L2296" s="6">
        <f>IFERROR(IF(INDEX(tProdutos[Desconto homologado],MATCH(tItens[[#This Row],[Produto]],tProdutos[Produto],0))="",DescontoPadrao,INDEX(tProdutos[Desconto homologado],MATCH(tItens[[#This Row],[Produto]],tProdutos[Produto],0))),DescontoPadrao)</f>
        <v>0.46969696969697</v>
      </c>
      <c r="M2296" s="12">
        <f>tItens[[#This Row],[Valor]]*(1-tItens[[#This Row],[Desconto]])</f>
        <v>7890.9090909090874</v>
      </c>
      <c r="N2296" t="str">
        <f>IFERROR(INDEX(tProdutos[Foco],MATCH(tItens[[#This Row],[Produto]],tProdutos[Produto],0)),"Não")</f>
        <v>Não</v>
      </c>
      <c r="O2296" t="str">
        <f>IFERROR(INDEX(tEditais[SRP],MATCH(tItens[[#This Row],[Edital]],tEditais[Edital],0)),"Não")</f>
        <v>Sim</v>
      </c>
      <c r="P2296" s="4">
        <f>IF(COUNTIFS(INDEX(tItens[Edital],1):tItens[[#This Row],[Edital]],tItens[[#This Row],[Edital]],INDEX(tItens[Produto],1):tItens[[#This Row],[Produto]],tItens[[#This Row],[Produto]])=1,1,0)</f>
        <v>1</v>
      </c>
    </row>
    <row r="2297" spans="1:16" x14ac:dyDescent="0.25">
      <c r="A2297" t="s">
        <v>1216</v>
      </c>
      <c r="B2297">
        <v>857</v>
      </c>
      <c r="C2297" t="s">
        <v>5333</v>
      </c>
      <c r="D2297" t="s">
        <v>385</v>
      </c>
      <c r="E2297" s="13">
        <v>1000</v>
      </c>
      <c r="F2297" s="12">
        <v>4.96</v>
      </c>
      <c r="G2297" t="str">
        <f>IFERROR(INDEX(tEditais[Órgão],MATCH(tItens[[#This Row],[Edital]],tEditais[Edital],0)),"")</f>
        <v>FUNDO MUNICIPAL DE SAUDE</v>
      </c>
      <c r="H2297" t="str">
        <f>IFERROR(INDEX(tEditais[UF],MATCH(tItens[[#This Row],[Edital]],tEditais[Edital],0)),"")</f>
        <v>GO</v>
      </c>
      <c r="I2297" s="11">
        <f>IFERROR(INDEX(tEditais[Encerramento],MATCH(tItens[[#This Row],[Edital]],tEditais[Edital],0)),"")</f>
        <v>46311.333333333336</v>
      </c>
      <c r="J2297" t="str">
        <f>IFERROR(INDEX(tProdutos[Classe],MATCH(tItens[[#This Row],[Produto]],tProdutos[Produto],0)),"produto não cadastrado")</f>
        <v>FORA</v>
      </c>
      <c r="K2297" s="12">
        <f>tItens[[#This Row],[Qtd]]*tItens[[#This Row],[Vlr unit]]</f>
        <v>4960</v>
      </c>
      <c r="L2297" s="6">
        <f>IFERROR(IF(INDEX(tProdutos[Desconto homologado],MATCH(tItens[[#This Row],[Produto]],tProdutos[Produto],0))="",DescontoPadrao,INDEX(tProdutos[Desconto homologado],MATCH(tItens[[#This Row],[Produto]],tProdutos[Produto],0))),DescontoPadrao)</f>
        <v>0.46969696969697</v>
      </c>
      <c r="M2297" s="12">
        <f>tItens[[#This Row],[Valor]]*(1-tItens[[#This Row],[Desconto]])</f>
        <v>2630.3030303030291</v>
      </c>
      <c r="N2297" t="str">
        <f>IFERROR(INDEX(tProdutos[Foco],MATCH(tItens[[#This Row],[Produto]],tProdutos[Produto],0)),"Não")</f>
        <v>Não</v>
      </c>
      <c r="O2297" t="str">
        <f>IFERROR(INDEX(tEditais[SRP],MATCH(tItens[[#This Row],[Edital]],tEditais[Edital],0)),"Não")</f>
        <v>Sim</v>
      </c>
      <c r="P2297" s="4">
        <f>IF(COUNTIFS(INDEX(tItens[Edital],1):tItens[[#This Row],[Edital]],tItens[[#This Row],[Edital]],INDEX(tItens[Produto],1):tItens[[#This Row],[Produto]],tItens[[#This Row],[Produto]])=1,1,0)</f>
        <v>0</v>
      </c>
    </row>
    <row r="2298" spans="1:16" x14ac:dyDescent="0.25">
      <c r="A2298" t="s">
        <v>1216</v>
      </c>
      <c r="B2298">
        <v>861</v>
      </c>
      <c r="C2298" t="s">
        <v>5334</v>
      </c>
      <c r="D2298" t="s">
        <v>170</v>
      </c>
      <c r="E2298" s="13">
        <v>100</v>
      </c>
      <c r="F2298" s="12">
        <v>19.260000000000002</v>
      </c>
      <c r="G2298" t="str">
        <f>IFERROR(INDEX(tEditais[Órgão],MATCH(tItens[[#This Row],[Edital]],tEditais[Edital],0)),"")</f>
        <v>FUNDO MUNICIPAL DE SAUDE</v>
      </c>
      <c r="H2298" t="str">
        <f>IFERROR(INDEX(tEditais[UF],MATCH(tItens[[#This Row],[Edital]],tEditais[Edital],0)),"")</f>
        <v>GO</v>
      </c>
      <c r="I2298" s="11">
        <f>IFERROR(INDEX(tEditais[Encerramento],MATCH(tItens[[#This Row],[Edital]],tEditais[Edital],0)),"")</f>
        <v>46311.333333333336</v>
      </c>
      <c r="J2298" t="str">
        <f>IFERROR(INDEX(tProdutos[Classe],MATCH(tItens[[#This Row],[Produto]],tProdutos[Produto],0)),"produto não cadastrado")</f>
        <v>DISPUTADO</v>
      </c>
      <c r="K2298" s="12">
        <f>tItens[[#This Row],[Qtd]]*tItens[[#This Row],[Vlr unit]]</f>
        <v>1926.0000000000002</v>
      </c>
      <c r="L2298" s="6">
        <f>IFERROR(IF(INDEX(tProdutos[Desconto homologado],MATCH(tItens[[#This Row],[Produto]],tProdutos[Produto],0))="",DescontoPadrao,INDEX(tProdutos[Desconto homologado],MATCH(tItens[[#This Row],[Produto]],tProdutos[Produto],0))),DescontoPadrao)</f>
        <v>0.36</v>
      </c>
      <c r="M2298" s="12">
        <f>tItens[[#This Row],[Valor]]*(1-tItens[[#This Row],[Desconto]])</f>
        <v>1232.6400000000001</v>
      </c>
      <c r="N2298" t="str">
        <f>IFERROR(INDEX(tProdutos[Foco],MATCH(tItens[[#This Row],[Produto]],tProdutos[Produto],0)),"Não")</f>
        <v>Sim</v>
      </c>
      <c r="O2298" t="str">
        <f>IFERROR(INDEX(tEditais[SRP],MATCH(tItens[[#This Row],[Edital]],tEditais[Edital],0)),"Não")</f>
        <v>Sim</v>
      </c>
      <c r="P2298" s="4">
        <f>IF(COUNTIFS(INDEX(tItens[Edital],1):tItens[[#This Row],[Edital]],tItens[[#This Row],[Edital]],INDEX(tItens[Produto],1):tItens[[#This Row],[Produto]],tItens[[#This Row],[Produto]])=1,1,0)</f>
        <v>1</v>
      </c>
    </row>
    <row r="2299" spans="1:16" x14ac:dyDescent="0.25">
      <c r="A2299" t="s">
        <v>1216</v>
      </c>
      <c r="B2299">
        <v>862</v>
      </c>
      <c r="C2299" t="s">
        <v>5335</v>
      </c>
      <c r="D2299" t="s">
        <v>170</v>
      </c>
      <c r="E2299" s="13">
        <v>100</v>
      </c>
      <c r="F2299" s="12">
        <v>19.260000000000002</v>
      </c>
      <c r="G2299" t="str">
        <f>IFERROR(INDEX(tEditais[Órgão],MATCH(tItens[[#This Row],[Edital]],tEditais[Edital],0)),"")</f>
        <v>FUNDO MUNICIPAL DE SAUDE</v>
      </c>
      <c r="H2299" t="str">
        <f>IFERROR(INDEX(tEditais[UF],MATCH(tItens[[#This Row],[Edital]],tEditais[Edital],0)),"")</f>
        <v>GO</v>
      </c>
      <c r="I2299" s="11">
        <f>IFERROR(INDEX(tEditais[Encerramento],MATCH(tItens[[#This Row],[Edital]],tEditais[Edital],0)),"")</f>
        <v>46311.333333333336</v>
      </c>
      <c r="J2299" t="str">
        <f>IFERROR(INDEX(tProdutos[Classe],MATCH(tItens[[#This Row],[Produto]],tProdutos[Produto],0)),"produto não cadastrado")</f>
        <v>DISPUTADO</v>
      </c>
      <c r="K2299" s="12">
        <f>tItens[[#This Row],[Qtd]]*tItens[[#This Row],[Vlr unit]]</f>
        <v>1926.0000000000002</v>
      </c>
      <c r="L2299" s="6">
        <f>IFERROR(IF(INDEX(tProdutos[Desconto homologado],MATCH(tItens[[#This Row],[Produto]],tProdutos[Produto],0))="",DescontoPadrao,INDEX(tProdutos[Desconto homologado],MATCH(tItens[[#This Row],[Produto]],tProdutos[Produto],0))),DescontoPadrao)</f>
        <v>0.36</v>
      </c>
      <c r="M2299" s="12">
        <f>tItens[[#This Row],[Valor]]*(1-tItens[[#This Row],[Desconto]])</f>
        <v>1232.6400000000001</v>
      </c>
      <c r="N2299" t="str">
        <f>IFERROR(INDEX(tProdutos[Foco],MATCH(tItens[[#This Row],[Produto]],tProdutos[Produto],0)),"Não")</f>
        <v>Sim</v>
      </c>
      <c r="O2299" t="str">
        <f>IFERROR(INDEX(tEditais[SRP],MATCH(tItens[[#This Row],[Edital]],tEditais[Edital],0)),"Não")</f>
        <v>Sim</v>
      </c>
      <c r="P2299" s="4">
        <f>IF(COUNTIFS(INDEX(tItens[Edital],1):tItens[[#This Row],[Edital]],tItens[[#This Row],[Edital]],INDEX(tItens[Produto],1):tItens[[#This Row],[Produto]],tItens[[#This Row],[Produto]])=1,1,0)</f>
        <v>0</v>
      </c>
    </row>
    <row r="2300" spans="1:16" x14ac:dyDescent="0.25">
      <c r="A2300" t="s">
        <v>1216</v>
      </c>
      <c r="B2300">
        <v>863</v>
      </c>
      <c r="C2300" t="s">
        <v>5336</v>
      </c>
      <c r="D2300" t="s">
        <v>170</v>
      </c>
      <c r="E2300" s="13">
        <v>100</v>
      </c>
      <c r="F2300" s="12">
        <v>19.260000000000002</v>
      </c>
      <c r="G2300" t="str">
        <f>IFERROR(INDEX(tEditais[Órgão],MATCH(tItens[[#This Row],[Edital]],tEditais[Edital],0)),"")</f>
        <v>FUNDO MUNICIPAL DE SAUDE</v>
      </c>
      <c r="H2300" t="str">
        <f>IFERROR(INDEX(tEditais[UF],MATCH(tItens[[#This Row],[Edital]],tEditais[Edital],0)),"")</f>
        <v>GO</v>
      </c>
      <c r="I2300" s="11">
        <f>IFERROR(INDEX(tEditais[Encerramento],MATCH(tItens[[#This Row],[Edital]],tEditais[Edital],0)),"")</f>
        <v>46311.333333333336</v>
      </c>
      <c r="J2300" t="str">
        <f>IFERROR(INDEX(tProdutos[Classe],MATCH(tItens[[#This Row],[Produto]],tProdutos[Produto],0)),"produto não cadastrado")</f>
        <v>DISPUTADO</v>
      </c>
      <c r="K2300" s="12">
        <f>tItens[[#This Row],[Qtd]]*tItens[[#This Row],[Vlr unit]]</f>
        <v>1926.0000000000002</v>
      </c>
      <c r="L2300" s="6">
        <f>IFERROR(IF(INDEX(tProdutos[Desconto homologado],MATCH(tItens[[#This Row],[Produto]],tProdutos[Produto],0))="",DescontoPadrao,INDEX(tProdutos[Desconto homologado],MATCH(tItens[[#This Row],[Produto]],tProdutos[Produto],0))),DescontoPadrao)</f>
        <v>0.36</v>
      </c>
      <c r="M2300" s="12">
        <f>tItens[[#This Row],[Valor]]*(1-tItens[[#This Row],[Desconto]])</f>
        <v>1232.6400000000001</v>
      </c>
      <c r="N2300" t="str">
        <f>IFERROR(INDEX(tProdutos[Foco],MATCH(tItens[[#This Row],[Produto]],tProdutos[Produto],0)),"Não")</f>
        <v>Sim</v>
      </c>
      <c r="O2300" t="str">
        <f>IFERROR(INDEX(tEditais[SRP],MATCH(tItens[[#This Row],[Edital]],tEditais[Edital],0)),"Não")</f>
        <v>Sim</v>
      </c>
      <c r="P2300" s="4">
        <f>IF(COUNTIFS(INDEX(tItens[Edital],1):tItens[[#This Row],[Edital]],tItens[[#This Row],[Edital]],INDEX(tItens[Produto],1):tItens[[#This Row],[Produto]],tItens[[#This Row],[Produto]])=1,1,0)</f>
        <v>0</v>
      </c>
    </row>
    <row r="2301" spans="1:16" x14ac:dyDescent="0.25">
      <c r="A2301" t="s">
        <v>1216</v>
      </c>
      <c r="B2301">
        <v>864</v>
      </c>
      <c r="C2301" t="s">
        <v>5337</v>
      </c>
      <c r="D2301" t="s">
        <v>170</v>
      </c>
      <c r="E2301" s="13">
        <v>100</v>
      </c>
      <c r="F2301" s="12">
        <v>19.260000000000002</v>
      </c>
      <c r="G2301" t="str">
        <f>IFERROR(INDEX(tEditais[Órgão],MATCH(tItens[[#This Row],[Edital]],tEditais[Edital],0)),"")</f>
        <v>FUNDO MUNICIPAL DE SAUDE</v>
      </c>
      <c r="H2301" t="str">
        <f>IFERROR(INDEX(tEditais[UF],MATCH(tItens[[#This Row],[Edital]],tEditais[Edital],0)),"")</f>
        <v>GO</v>
      </c>
      <c r="I2301" s="11">
        <f>IFERROR(INDEX(tEditais[Encerramento],MATCH(tItens[[#This Row],[Edital]],tEditais[Edital],0)),"")</f>
        <v>46311.333333333336</v>
      </c>
      <c r="J2301" t="str">
        <f>IFERROR(INDEX(tProdutos[Classe],MATCH(tItens[[#This Row],[Produto]],tProdutos[Produto],0)),"produto não cadastrado")</f>
        <v>DISPUTADO</v>
      </c>
      <c r="K2301" s="12">
        <f>tItens[[#This Row],[Qtd]]*tItens[[#This Row],[Vlr unit]]</f>
        <v>1926.0000000000002</v>
      </c>
      <c r="L2301" s="6">
        <f>IFERROR(IF(INDEX(tProdutos[Desconto homologado],MATCH(tItens[[#This Row],[Produto]],tProdutos[Produto],0))="",DescontoPadrao,INDEX(tProdutos[Desconto homologado],MATCH(tItens[[#This Row],[Produto]],tProdutos[Produto],0))),DescontoPadrao)</f>
        <v>0.36</v>
      </c>
      <c r="M2301" s="12">
        <f>tItens[[#This Row],[Valor]]*(1-tItens[[#This Row],[Desconto]])</f>
        <v>1232.6400000000001</v>
      </c>
      <c r="N2301" t="str">
        <f>IFERROR(INDEX(tProdutos[Foco],MATCH(tItens[[#This Row],[Produto]],tProdutos[Produto],0)),"Não")</f>
        <v>Sim</v>
      </c>
      <c r="O2301" t="str">
        <f>IFERROR(INDEX(tEditais[SRP],MATCH(tItens[[#This Row],[Edital]],tEditais[Edital],0)),"Não")</f>
        <v>Sim</v>
      </c>
      <c r="P2301" s="4">
        <f>IF(COUNTIFS(INDEX(tItens[Edital],1):tItens[[#This Row],[Edital]],tItens[[#This Row],[Edital]],INDEX(tItens[Produto],1):tItens[[#This Row],[Produto]],tItens[[#This Row],[Produto]])=1,1,0)</f>
        <v>0</v>
      </c>
    </row>
    <row r="2302" spans="1:16" x14ac:dyDescent="0.25">
      <c r="A2302" t="s">
        <v>1216</v>
      </c>
      <c r="B2302">
        <v>865</v>
      </c>
      <c r="C2302" t="s">
        <v>5338</v>
      </c>
      <c r="D2302" t="s">
        <v>170</v>
      </c>
      <c r="E2302" s="13">
        <v>100</v>
      </c>
      <c r="F2302" s="12">
        <v>19.260000000000002</v>
      </c>
      <c r="G2302" t="str">
        <f>IFERROR(INDEX(tEditais[Órgão],MATCH(tItens[[#This Row],[Edital]],tEditais[Edital],0)),"")</f>
        <v>FUNDO MUNICIPAL DE SAUDE</v>
      </c>
      <c r="H2302" t="str">
        <f>IFERROR(INDEX(tEditais[UF],MATCH(tItens[[#This Row],[Edital]],tEditais[Edital],0)),"")</f>
        <v>GO</v>
      </c>
      <c r="I2302" s="11">
        <f>IFERROR(INDEX(tEditais[Encerramento],MATCH(tItens[[#This Row],[Edital]],tEditais[Edital],0)),"")</f>
        <v>46311.333333333336</v>
      </c>
      <c r="J2302" t="str">
        <f>IFERROR(INDEX(tProdutos[Classe],MATCH(tItens[[#This Row],[Produto]],tProdutos[Produto],0)),"produto não cadastrado")</f>
        <v>DISPUTADO</v>
      </c>
      <c r="K2302" s="12">
        <f>tItens[[#This Row],[Qtd]]*tItens[[#This Row],[Vlr unit]]</f>
        <v>1926.0000000000002</v>
      </c>
      <c r="L2302" s="6">
        <f>IFERROR(IF(INDEX(tProdutos[Desconto homologado],MATCH(tItens[[#This Row],[Produto]],tProdutos[Produto],0))="",DescontoPadrao,INDEX(tProdutos[Desconto homologado],MATCH(tItens[[#This Row],[Produto]],tProdutos[Produto],0))),DescontoPadrao)</f>
        <v>0.36</v>
      </c>
      <c r="M2302" s="12">
        <f>tItens[[#This Row],[Valor]]*(1-tItens[[#This Row],[Desconto]])</f>
        <v>1232.6400000000001</v>
      </c>
      <c r="N2302" t="str">
        <f>IFERROR(INDEX(tProdutos[Foco],MATCH(tItens[[#This Row],[Produto]],tProdutos[Produto],0)),"Não")</f>
        <v>Sim</v>
      </c>
      <c r="O2302" t="str">
        <f>IFERROR(INDEX(tEditais[SRP],MATCH(tItens[[#This Row],[Edital]],tEditais[Edital],0)),"Não")</f>
        <v>Sim</v>
      </c>
      <c r="P2302" s="4">
        <f>IF(COUNTIFS(INDEX(tItens[Edital],1):tItens[[#This Row],[Edital]],tItens[[#This Row],[Edital]],INDEX(tItens[Produto],1):tItens[[#This Row],[Produto]],tItens[[#This Row],[Produto]])=1,1,0)</f>
        <v>0</v>
      </c>
    </row>
    <row r="2303" spans="1:16" x14ac:dyDescent="0.25">
      <c r="A2303" t="s">
        <v>1216</v>
      </c>
      <c r="B2303">
        <v>866</v>
      </c>
      <c r="C2303" t="s">
        <v>5339</v>
      </c>
      <c r="D2303" t="s">
        <v>170</v>
      </c>
      <c r="E2303" s="13">
        <v>100</v>
      </c>
      <c r="F2303" s="12">
        <v>19.260000000000002</v>
      </c>
      <c r="G2303" t="str">
        <f>IFERROR(INDEX(tEditais[Órgão],MATCH(tItens[[#This Row],[Edital]],tEditais[Edital],0)),"")</f>
        <v>FUNDO MUNICIPAL DE SAUDE</v>
      </c>
      <c r="H2303" t="str">
        <f>IFERROR(INDEX(tEditais[UF],MATCH(tItens[[#This Row],[Edital]],tEditais[Edital],0)),"")</f>
        <v>GO</v>
      </c>
      <c r="I2303" s="11">
        <f>IFERROR(INDEX(tEditais[Encerramento],MATCH(tItens[[#This Row],[Edital]],tEditais[Edital],0)),"")</f>
        <v>46311.333333333336</v>
      </c>
      <c r="J2303" t="str">
        <f>IFERROR(INDEX(tProdutos[Classe],MATCH(tItens[[#This Row],[Produto]],tProdutos[Produto],0)),"produto não cadastrado")</f>
        <v>DISPUTADO</v>
      </c>
      <c r="K2303" s="12">
        <f>tItens[[#This Row],[Qtd]]*tItens[[#This Row],[Vlr unit]]</f>
        <v>1926.0000000000002</v>
      </c>
      <c r="L2303" s="6">
        <f>IFERROR(IF(INDEX(tProdutos[Desconto homologado],MATCH(tItens[[#This Row],[Produto]],tProdutos[Produto],0))="",DescontoPadrao,INDEX(tProdutos[Desconto homologado],MATCH(tItens[[#This Row],[Produto]],tProdutos[Produto],0))),DescontoPadrao)</f>
        <v>0.36</v>
      </c>
      <c r="M2303" s="12">
        <f>tItens[[#This Row],[Valor]]*(1-tItens[[#This Row],[Desconto]])</f>
        <v>1232.6400000000001</v>
      </c>
      <c r="N2303" t="str">
        <f>IFERROR(INDEX(tProdutos[Foco],MATCH(tItens[[#This Row],[Produto]],tProdutos[Produto],0)),"Não")</f>
        <v>Sim</v>
      </c>
      <c r="O2303" t="str">
        <f>IFERROR(INDEX(tEditais[SRP],MATCH(tItens[[#This Row],[Edital]],tEditais[Edital],0)),"Não")</f>
        <v>Sim</v>
      </c>
      <c r="P2303" s="4">
        <f>IF(COUNTIFS(INDEX(tItens[Edital],1):tItens[[#This Row],[Edital]],tItens[[#This Row],[Edital]],INDEX(tItens[Produto],1):tItens[[#This Row],[Produto]],tItens[[#This Row],[Produto]])=1,1,0)</f>
        <v>0</v>
      </c>
    </row>
    <row r="2304" spans="1:16" x14ac:dyDescent="0.25">
      <c r="A2304" t="s">
        <v>1216</v>
      </c>
      <c r="B2304">
        <v>867</v>
      </c>
      <c r="C2304" t="s">
        <v>5340</v>
      </c>
      <c r="D2304" t="s">
        <v>170</v>
      </c>
      <c r="E2304" s="13">
        <v>100</v>
      </c>
      <c r="F2304" s="12">
        <v>19.260000000000002</v>
      </c>
      <c r="G2304" t="str">
        <f>IFERROR(INDEX(tEditais[Órgão],MATCH(tItens[[#This Row],[Edital]],tEditais[Edital],0)),"")</f>
        <v>FUNDO MUNICIPAL DE SAUDE</v>
      </c>
      <c r="H2304" t="str">
        <f>IFERROR(INDEX(tEditais[UF],MATCH(tItens[[#This Row],[Edital]],tEditais[Edital],0)),"")</f>
        <v>GO</v>
      </c>
      <c r="I2304" s="11">
        <f>IFERROR(INDEX(tEditais[Encerramento],MATCH(tItens[[#This Row],[Edital]],tEditais[Edital],0)),"")</f>
        <v>46311.333333333336</v>
      </c>
      <c r="J2304" t="str">
        <f>IFERROR(INDEX(tProdutos[Classe],MATCH(tItens[[#This Row],[Produto]],tProdutos[Produto],0)),"produto não cadastrado")</f>
        <v>DISPUTADO</v>
      </c>
      <c r="K2304" s="12">
        <f>tItens[[#This Row],[Qtd]]*tItens[[#This Row],[Vlr unit]]</f>
        <v>1926.0000000000002</v>
      </c>
      <c r="L2304" s="6">
        <f>IFERROR(IF(INDEX(tProdutos[Desconto homologado],MATCH(tItens[[#This Row],[Produto]],tProdutos[Produto],0))="",DescontoPadrao,INDEX(tProdutos[Desconto homologado],MATCH(tItens[[#This Row],[Produto]],tProdutos[Produto],0))),DescontoPadrao)</f>
        <v>0.36</v>
      </c>
      <c r="M2304" s="12">
        <f>tItens[[#This Row],[Valor]]*(1-tItens[[#This Row],[Desconto]])</f>
        <v>1232.6400000000001</v>
      </c>
      <c r="N2304" t="str">
        <f>IFERROR(INDEX(tProdutos[Foco],MATCH(tItens[[#This Row],[Produto]],tProdutos[Produto],0)),"Não")</f>
        <v>Sim</v>
      </c>
      <c r="O2304" t="str">
        <f>IFERROR(INDEX(tEditais[SRP],MATCH(tItens[[#This Row],[Edital]],tEditais[Edital],0)),"Não")</f>
        <v>Sim</v>
      </c>
      <c r="P2304" s="4">
        <f>IF(COUNTIFS(INDEX(tItens[Edital],1):tItens[[#This Row],[Edital]],tItens[[#This Row],[Edital]],INDEX(tItens[Produto],1):tItens[[#This Row],[Produto]],tItens[[#This Row],[Produto]])=1,1,0)</f>
        <v>0</v>
      </c>
    </row>
    <row r="2305" spans="1:16" x14ac:dyDescent="0.25">
      <c r="A2305" t="s">
        <v>1216</v>
      </c>
      <c r="B2305">
        <v>868</v>
      </c>
      <c r="C2305" t="s">
        <v>5341</v>
      </c>
      <c r="D2305" t="s">
        <v>170</v>
      </c>
      <c r="E2305" s="13">
        <v>100</v>
      </c>
      <c r="F2305" s="12">
        <v>19.260000000000002</v>
      </c>
      <c r="G2305" t="str">
        <f>IFERROR(INDEX(tEditais[Órgão],MATCH(tItens[[#This Row],[Edital]],tEditais[Edital],0)),"")</f>
        <v>FUNDO MUNICIPAL DE SAUDE</v>
      </c>
      <c r="H2305" t="str">
        <f>IFERROR(INDEX(tEditais[UF],MATCH(tItens[[#This Row],[Edital]],tEditais[Edital],0)),"")</f>
        <v>GO</v>
      </c>
      <c r="I2305" s="11">
        <f>IFERROR(INDEX(tEditais[Encerramento],MATCH(tItens[[#This Row],[Edital]],tEditais[Edital],0)),"")</f>
        <v>46311.333333333336</v>
      </c>
      <c r="J2305" t="str">
        <f>IFERROR(INDEX(tProdutos[Classe],MATCH(tItens[[#This Row],[Produto]],tProdutos[Produto],0)),"produto não cadastrado")</f>
        <v>DISPUTADO</v>
      </c>
      <c r="K2305" s="12">
        <f>tItens[[#This Row],[Qtd]]*tItens[[#This Row],[Vlr unit]]</f>
        <v>1926.0000000000002</v>
      </c>
      <c r="L2305" s="6">
        <f>IFERROR(IF(INDEX(tProdutos[Desconto homologado],MATCH(tItens[[#This Row],[Produto]],tProdutos[Produto],0))="",DescontoPadrao,INDEX(tProdutos[Desconto homologado],MATCH(tItens[[#This Row],[Produto]],tProdutos[Produto],0))),DescontoPadrao)</f>
        <v>0.36</v>
      </c>
      <c r="M2305" s="12">
        <f>tItens[[#This Row],[Valor]]*(1-tItens[[#This Row],[Desconto]])</f>
        <v>1232.6400000000001</v>
      </c>
      <c r="N2305" t="str">
        <f>IFERROR(INDEX(tProdutos[Foco],MATCH(tItens[[#This Row],[Produto]],tProdutos[Produto],0)),"Não")</f>
        <v>Sim</v>
      </c>
      <c r="O2305" t="str">
        <f>IFERROR(INDEX(tEditais[SRP],MATCH(tItens[[#This Row],[Edital]],tEditais[Edital],0)),"Não")</f>
        <v>Sim</v>
      </c>
      <c r="P2305" s="4">
        <f>IF(COUNTIFS(INDEX(tItens[Edital],1):tItens[[#This Row],[Edital]],tItens[[#This Row],[Edital]],INDEX(tItens[Produto],1):tItens[[#This Row],[Produto]],tItens[[#This Row],[Produto]])=1,1,0)</f>
        <v>0</v>
      </c>
    </row>
    <row r="2306" spans="1:16" x14ac:dyDescent="0.25">
      <c r="A2306" t="s">
        <v>1216</v>
      </c>
      <c r="B2306">
        <v>869</v>
      </c>
      <c r="C2306" t="s">
        <v>5342</v>
      </c>
      <c r="D2306" t="s">
        <v>170</v>
      </c>
      <c r="E2306" s="13">
        <v>100</v>
      </c>
      <c r="F2306" s="12">
        <v>19.260000000000002</v>
      </c>
      <c r="G2306" t="str">
        <f>IFERROR(INDEX(tEditais[Órgão],MATCH(tItens[[#This Row],[Edital]],tEditais[Edital],0)),"")</f>
        <v>FUNDO MUNICIPAL DE SAUDE</v>
      </c>
      <c r="H2306" t="str">
        <f>IFERROR(INDEX(tEditais[UF],MATCH(tItens[[#This Row],[Edital]],tEditais[Edital],0)),"")</f>
        <v>GO</v>
      </c>
      <c r="I2306" s="11">
        <f>IFERROR(INDEX(tEditais[Encerramento],MATCH(tItens[[#This Row],[Edital]],tEditais[Edital],0)),"")</f>
        <v>46311.333333333336</v>
      </c>
      <c r="J2306" t="str">
        <f>IFERROR(INDEX(tProdutos[Classe],MATCH(tItens[[#This Row],[Produto]],tProdutos[Produto],0)),"produto não cadastrado")</f>
        <v>DISPUTADO</v>
      </c>
      <c r="K2306" s="12">
        <f>tItens[[#This Row],[Qtd]]*tItens[[#This Row],[Vlr unit]]</f>
        <v>1926.0000000000002</v>
      </c>
      <c r="L2306" s="6">
        <f>IFERROR(IF(INDEX(tProdutos[Desconto homologado],MATCH(tItens[[#This Row],[Produto]],tProdutos[Produto],0))="",DescontoPadrao,INDEX(tProdutos[Desconto homologado],MATCH(tItens[[#This Row],[Produto]],tProdutos[Produto],0))),DescontoPadrao)</f>
        <v>0.36</v>
      </c>
      <c r="M2306" s="12">
        <f>tItens[[#This Row],[Valor]]*(1-tItens[[#This Row],[Desconto]])</f>
        <v>1232.6400000000001</v>
      </c>
      <c r="N2306" t="str">
        <f>IFERROR(INDEX(tProdutos[Foco],MATCH(tItens[[#This Row],[Produto]],tProdutos[Produto],0)),"Não")</f>
        <v>Sim</v>
      </c>
      <c r="O2306" t="str">
        <f>IFERROR(INDEX(tEditais[SRP],MATCH(tItens[[#This Row],[Edital]],tEditais[Edital],0)),"Não")</f>
        <v>Sim</v>
      </c>
      <c r="P2306" s="4">
        <f>IF(COUNTIFS(INDEX(tItens[Edital],1):tItens[[#This Row],[Edital]],tItens[[#This Row],[Edital]],INDEX(tItens[Produto],1):tItens[[#This Row],[Produto]],tItens[[#This Row],[Produto]])=1,1,0)</f>
        <v>0</v>
      </c>
    </row>
    <row r="2307" spans="1:16" x14ac:dyDescent="0.25">
      <c r="A2307" t="s">
        <v>1216</v>
      </c>
      <c r="B2307">
        <v>870</v>
      </c>
      <c r="C2307" t="s">
        <v>5343</v>
      </c>
      <c r="D2307" t="s">
        <v>170</v>
      </c>
      <c r="E2307" s="13">
        <v>100</v>
      </c>
      <c r="F2307" s="12">
        <v>19.260000000000002</v>
      </c>
      <c r="G2307" t="str">
        <f>IFERROR(INDEX(tEditais[Órgão],MATCH(tItens[[#This Row],[Edital]],tEditais[Edital],0)),"")</f>
        <v>FUNDO MUNICIPAL DE SAUDE</v>
      </c>
      <c r="H2307" t="str">
        <f>IFERROR(INDEX(tEditais[UF],MATCH(tItens[[#This Row],[Edital]],tEditais[Edital],0)),"")</f>
        <v>GO</v>
      </c>
      <c r="I2307" s="11">
        <f>IFERROR(INDEX(tEditais[Encerramento],MATCH(tItens[[#This Row],[Edital]],tEditais[Edital],0)),"")</f>
        <v>46311.333333333336</v>
      </c>
      <c r="J2307" t="str">
        <f>IFERROR(INDEX(tProdutos[Classe],MATCH(tItens[[#This Row],[Produto]],tProdutos[Produto],0)),"produto não cadastrado")</f>
        <v>DISPUTADO</v>
      </c>
      <c r="K2307" s="12">
        <f>tItens[[#This Row],[Qtd]]*tItens[[#This Row],[Vlr unit]]</f>
        <v>1926.0000000000002</v>
      </c>
      <c r="L2307" s="6">
        <f>IFERROR(IF(INDEX(tProdutos[Desconto homologado],MATCH(tItens[[#This Row],[Produto]],tProdutos[Produto],0))="",DescontoPadrao,INDEX(tProdutos[Desconto homologado],MATCH(tItens[[#This Row],[Produto]],tProdutos[Produto],0))),DescontoPadrao)</f>
        <v>0.36</v>
      </c>
      <c r="M2307" s="12">
        <f>tItens[[#This Row],[Valor]]*(1-tItens[[#This Row],[Desconto]])</f>
        <v>1232.6400000000001</v>
      </c>
      <c r="N2307" t="str">
        <f>IFERROR(INDEX(tProdutos[Foco],MATCH(tItens[[#This Row],[Produto]],tProdutos[Produto],0)),"Não")</f>
        <v>Sim</v>
      </c>
      <c r="O2307" t="str">
        <f>IFERROR(INDEX(tEditais[SRP],MATCH(tItens[[#This Row],[Edital]],tEditais[Edital],0)),"Não")</f>
        <v>Sim</v>
      </c>
      <c r="P2307" s="4">
        <f>IF(COUNTIFS(INDEX(tItens[Edital],1):tItens[[#This Row],[Edital]],tItens[[#This Row],[Edital]],INDEX(tItens[Produto],1):tItens[[#This Row],[Produto]],tItens[[#This Row],[Produto]])=1,1,0)</f>
        <v>0</v>
      </c>
    </row>
    <row r="2308" spans="1:16" x14ac:dyDescent="0.25">
      <c r="A2308" t="s">
        <v>1216</v>
      </c>
      <c r="B2308">
        <v>871</v>
      </c>
      <c r="C2308" t="s">
        <v>5344</v>
      </c>
      <c r="D2308" t="s">
        <v>170</v>
      </c>
      <c r="E2308" s="13">
        <v>100</v>
      </c>
      <c r="F2308" s="12">
        <v>30.27</v>
      </c>
      <c r="G2308" t="str">
        <f>IFERROR(INDEX(tEditais[Órgão],MATCH(tItens[[#This Row],[Edital]],tEditais[Edital],0)),"")</f>
        <v>FUNDO MUNICIPAL DE SAUDE</v>
      </c>
      <c r="H2308" t="str">
        <f>IFERROR(INDEX(tEditais[UF],MATCH(tItens[[#This Row],[Edital]],tEditais[Edital],0)),"")</f>
        <v>GO</v>
      </c>
      <c r="I2308" s="11">
        <f>IFERROR(INDEX(tEditais[Encerramento],MATCH(tItens[[#This Row],[Edital]],tEditais[Edital],0)),"")</f>
        <v>46311.333333333336</v>
      </c>
      <c r="J2308" t="str">
        <f>IFERROR(INDEX(tProdutos[Classe],MATCH(tItens[[#This Row],[Produto]],tProdutos[Produto],0)),"produto não cadastrado")</f>
        <v>DISPUTADO</v>
      </c>
      <c r="K2308" s="12">
        <f>tItens[[#This Row],[Qtd]]*tItens[[#This Row],[Vlr unit]]</f>
        <v>3027</v>
      </c>
      <c r="L2308" s="6">
        <f>IFERROR(IF(INDEX(tProdutos[Desconto homologado],MATCH(tItens[[#This Row],[Produto]],tProdutos[Produto],0))="",DescontoPadrao,INDEX(tProdutos[Desconto homologado],MATCH(tItens[[#This Row],[Produto]],tProdutos[Produto],0))),DescontoPadrao)</f>
        <v>0.36</v>
      </c>
      <c r="M2308" s="12">
        <f>tItens[[#This Row],[Valor]]*(1-tItens[[#This Row],[Desconto]])</f>
        <v>1937.28</v>
      </c>
      <c r="N2308" t="str">
        <f>IFERROR(INDEX(tProdutos[Foco],MATCH(tItens[[#This Row],[Produto]],tProdutos[Produto],0)),"Não")</f>
        <v>Sim</v>
      </c>
      <c r="O2308" t="str">
        <f>IFERROR(INDEX(tEditais[SRP],MATCH(tItens[[#This Row],[Edital]],tEditais[Edital],0)),"Não")</f>
        <v>Sim</v>
      </c>
      <c r="P2308" s="4">
        <f>IF(COUNTIFS(INDEX(tItens[Edital],1):tItens[[#This Row],[Edital]],tItens[[#This Row],[Edital]],INDEX(tItens[Produto],1):tItens[[#This Row],[Produto]],tItens[[#This Row],[Produto]])=1,1,0)</f>
        <v>0</v>
      </c>
    </row>
    <row r="2309" spans="1:16" x14ac:dyDescent="0.25">
      <c r="A2309" t="s">
        <v>1216</v>
      </c>
      <c r="B2309">
        <v>939</v>
      </c>
      <c r="C2309" t="s">
        <v>5345</v>
      </c>
      <c r="D2309" t="s">
        <v>494</v>
      </c>
      <c r="E2309" s="13">
        <v>200</v>
      </c>
      <c r="F2309" s="12">
        <v>41.72</v>
      </c>
      <c r="G2309" t="str">
        <f>IFERROR(INDEX(tEditais[Órgão],MATCH(tItens[[#This Row],[Edital]],tEditais[Edital],0)),"")</f>
        <v>FUNDO MUNICIPAL DE SAUDE</v>
      </c>
      <c r="H2309" t="str">
        <f>IFERROR(INDEX(tEditais[UF],MATCH(tItens[[#This Row],[Edital]],tEditais[Edital],0)),"")</f>
        <v>GO</v>
      </c>
      <c r="I2309" s="11">
        <f>IFERROR(INDEX(tEditais[Encerramento],MATCH(tItens[[#This Row],[Edital]],tEditais[Edital],0)),"")</f>
        <v>46311.333333333336</v>
      </c>
      <c r="J2309" t="str">
        <f>IFERROR(INDEX(tProdutos[Classe],MATCH(tItens[[#This Row],[Produto]],tProdutos[Produto],0)),"produto não cadastrado")</f>
        <v>FILA REBASE</v>
      </c>
      <c r="K2309" s="12">
        <f>tItens[[#This Row],[Qtd]]*tItens[[#This Row],[Vlr unit]]</f>
        <v>8344</v>
      </c>
      <c r="L2309" s="6">
        <f>IFERROR(IF(INDEX(tProdutos[Desconto homologado],MATCH(tItens[[#This Row],[Produto]],tProdutos[Produto],0))="",DescontoPadrao,INDEX(tProdutos[Desconto homologado],MATCH(tItens[[#This Row],[Produto]],tProdutos[Produto],0))),DescontoPadrao)</f>
        <v>0.253736324829619</v>
      </c>
      <c r="M2309" s="12">
        <f>tItens[[#This Row],[Valor]]*(1-tItens[[#This Row],[Desconto]])</f>
        <v>6226.8241056216593</v>
      </c>
      <c r="N2309" t="str">
        <f>IFERROR(INDEX(tProdutos[Foco],MATCH(tItens[[#This Row],[Produto]],tProdutos[Produto],0)),"Não")</f>
        <v>Não</v>
      </c>
      <c r="O2309" t="str">
        <f>IFERROR(INDEX(tEditais[SRP],MATCH(tItens[[#This Row],[Edital]],tEditais[Edital],0)),"Não")</f>
        <v>Sim</v>
      </c>
      <c r="P2309" s="4">
        <f>IF(COUNTIFS(INDEX(tItens[Edital],1):tItens[[#This Row],[Edital]],tItens[[#This Row],[Edital]],INDEX(tItens[Produto],1):tItens[[#This Row],[Produto]],tItens[[#This Row],[Produto]])=1,1,0)</f>
        <v>1</v>
      </c>
    </row>
    <row r="2310" spans="1:16" x14ac:dyDescent="0.25">
      <c r="A2310" t="s">
        <v>1216</v>
      </c>
      <c r="B2310">
        <v>940</v>
      </c>
      <c r="C2310" t="s">
        <v>5346</v>
      </c>
      <c r="D2310" t="s">
        <v>494</v>
      </c>
      <c r="E2310" s="13">
        <v>5000</v>
      </c>
      <c r="F2310" s="12">
        <v>0.39</v>
      </c>
      <c r="G2310" t="str">
        <f>IFERROR(INDEX(tEditais[Órgão],MATCH(tItens[[#This Row],[Edital]],tEditais[Edital],0)),"")</f>
        <v>FUNDO MUNICIPAL DE SAUDE</v>
      </c>
      <c r="H2310" t="str">
        <f>IFERROR(INDEX(tEditais[UF],MATCH(tItens[[#This Row],[Edital]],tEditais[Edital],0)),"")</f>
        <v>GO</v>
      </c>
      <c r="I2310" s="11">
        <f>IFERROR(INDEX(tEditais[Encerramento],MATCH(tItens[[#This Row],[Edital]],tEditais[Edital],0)),"")</f>
        <v>46311.333333333336</v>
      </c>
      <c r="J2310" t="str">
        <f>IFERROR(INDEX(tProdutos[Classe],MATCH(tItens[[#This Row],[Produto]],tProdutos[Produto],0)),"produto não cadastrado")</f>
        <v>FILA REBASE</v>
      </c>
      <c r="K2310" s="12">
        <f>tItens[[#This Row],[Qtd]]*tItens[[#This Row],[Vlr unit]]</f>
        <v>1950</v>
      </c>
      <c r="L2310" s="6">
        <f>IFERROR(IF(INDEX(tProdutos[Desconto homologado],MATCH(tItens[[#This Row],[Produto]],tProdutos[Produto],0))="",DescontoPadrao,INDEX(tProdutos[Desconto homologado],MATCH(tItens[[#This Row],[Produto]],tProdutos[Produto],0))),DescontoPadrao)</f>
        <v>0.253736324829619</v>
      </c>
      <c r="M2310" s="12">
        <f>tItens[[#This Row],[Valor]]*(1-tItens[[#This Row],[Desconto]])</f>
        <v>1455.214166582243</v>
      </c>
      <c r="N2310" t="str">
        <f>IFERROR(INDEX(tProdutos[Foco],MATCH(tItens[[#This Row],[Produto]],tProdutos[Produto],0)),"Não")</f>
        <v>Não</v>
      </c>
      <c r="O2310" t="str">
        <f>IFERROR(INDEX(tEditais[SRP],MATCH(tItens[[#This Row],[Edital]],tEditais[Edital],0)),"Não")</f>
        <v>Sim</v>
      </c>
      <c r="P2310" s="4">
        <f>IF(COUNTIFS(INDEX(tItens[Edital],1):tItens[[#This Row],[Edital]],tItens[[#This Row],[Edital]],INDEX(tItens[Produto],1):tItens[[#This Row],[Produto]],tItens[[#This Row],[Produto]])=1,1,0)</f>
        <v>0</v>
      </c>
    </row>
    <row r="2311" spans="1:16" x14ac:dyDescent="0.25">
      <c r="A2311" t="s">
        <v>1216</v>
      </c>
      <c r="B2311">
        <v>941</v>
      </c>
      <c r="C2311" t="s">
        <v>5347</v>
      </c>
      <c r="D2311" t="s">
        <v>494</v>
      </c>
      <c r="E2311" s="13">
        <v>200</v>
      </c>
      <c r="F2311" s="12">
        <v>57.79</v>
      </c>
      <c r="G2311" t="str">
        <f>IFERROR(INDEX(tEditais[Órgão],MATCH(tItens[[#This Row],[Edital]],tEditais[Edital],0)),"")</f>
        <v>FUNDO MUNICIPAL DE SAUDE</v>
      </c>
      <c r="H2311" t="str">
        <f>IFERROR(INDEX(tEditais[UF],MATCH(tItens[[#This Row],[Edital]],tEditais[Edital],0)),"")</f>
        <v>GO</v>
      </c>
      <c r="I2311" s="11">
        <f>IFERROR(INDEX(tEditais[Encerramento],MATCH(tItens[[#This Row],[Edital]],tEditais[Edital],0)),"")</f>
        <v>46311.333333333336</v>
      </c>
      <c r="J2311" t="str">
        <f>IFERROR(INDEX(tProdutos[Classe],MATCH(tItens[[#This Row],[Produto]],tProdutos[Produto],0)),"produto não cadastrado")</f>
        <v>FILA REBASE</v>
      </c>
      <c r="K2311" s="12">
        <f>tItens[[#This Row],[Qtd]]*tItens[[#This Row],[Vlr unit]]</f>
        <v>11558</v>
      </c>
      <c r="L2311" s="6">
        <f>IFERROR(IF(INDEX(tProdutos[Desconto homologado],MATCH(tItens[[#This Row],[Produto]],tProdutos[Produto],0))="",DescontoPadrao,INDEX(tProdutos[Desconto homologado],MATCH(tItens[[#This Row],[Produto]],tProdutos[Produto],0))),DescontoPadrao)</f>
        <v>0.253736324829619</v>
      </c>
      <c r="M2311" s="12">
        <f>tItens[[#This Row],[Valor]]*(1-tItens[[#This Row],[Desconto]])</f>
        <v>8625.3155576192639</v>
      </c>
      <c r="N2311" t="str">
        <f>IFERROR(INDEX(tProdutos[Foco],MATCH(tItens[[#This Row],[Produto]],tProdutos[Produto],0)),"Não")</f>
        <v>Não</v>
      </c>
      <c r="O2311" t="str">
        <f>IFERROR(INDEX(tEditais[SRP],MATCH(tItens[[#This Row],[Edital]],tEditais[Edital],0)),"Não")</f>
        <v>Sim</v>
      </c>
      <c r="P2311" s="4">
        <f>IF(COUNTIFS(INDEX(tItens[Edital],1):tItens[[#This Row],[Edital]],tItens[[#This Row],[Edital]],INDEX(tItens[Produto],1):tItens[[#This Row],[Produto]],tItens[[#This Row],[Produto]])=1,1,0)</f>
        <v>0</v>
      </c>
    </row>
    <row r="2312" spans="1:16" x14ac:dyDescent="0.25">
      <c r="A2312" t="s">
        <v>1216</v>
      </c>
      <c r="B2312">
        <v>942</v>
      </c>
      <c r="C2312" t="s">
        <v>5348</v>
      </c>
      <c r="D2312" t="s">
        <v>494</v>
      </c>
      <c r="E2312" s="13">
        <v>5000</v>
      </c>
      <c r="F2312" s="12">
        <v>0.48</v>
      </c>
      <c r="G2312" t="str">
        <f>IFERROR(INDEX(tEditais[Órgão],MATCH(tItens[[#This Row],[Edital]],tEditais[Edital],0)),"")</f>
        <v>FUNDO MUNICIPAL DE SAUDE</v>
      </c>
      <c r="H2312" t="str">
        <f>IFERROR(INDEX(tEditais[UF],MATCH(tItens[[#This Row],[Edital]],tEditais[Edital],0)),"")</f>
        <v>GO</v>
      </c>
      <c r="I2312" s="11">
        <f>IFERROR(INDEX(tEditais[Encerramento],MATCH(tItens[[#This Row],[Edital]],tEditais[Edital],0)),"")</f>
        <v>46311.333333333336</v>
      </c>
      <c r="J2312" t="str">
        <f>IFERROR(INDEX(tProdutos[Classe],MATCH(tItens[[#This Row],[Produto]],tProdutos[Produto],0)),"produto não cadastrado")</f>
        <v>FILA REBASE</v>
      </c>
      <c r="K2312" s="12">
        <f>tItens[[#This Row],[Qtd]]*tItens[[#This Row],[Vlr unit]]</f>
        <v>2400</v>
      </c>
      <c r="L2312" s="6">
        <f>IFERROR(IF(INDEX(tProdutos[Desconto homologado],MATCH(tItens[[#This Row],[Produto]],tProdutos[Produto],0))="",DescontoPadrao,INDEX(tProdutos[Desconto homologado],MATCH(tItens[[#This Row],[Produto]],tProdutos[Produto],0))),DescontoPadrao)</f>
        <v>0.253736324829619</v>
      </c>
      <c r="M2312" s="12">
        <f>tItens[[#This Row],[Valor]]*(1-tItens[[#This Row],[Desconto]])</f>
        <v>1791.0328204089146</v>
      </c>
      <c r="N2312" t="str">
        <f>IFERROR(INDEX(tProdutos[Foco],MATCH(tItens[[#This Row],[Produto]],tProdutos[Produto],0)),"Não")</f>
        <v>Não</v>
      </c>
      <c r="O2312" t="str">
        <f>IFERROR(INDEX(tEditais[SRP],MATCH(tItens[[#This Row],[Edital]],tEditais[Edital],0)),"Não")</f>
        <v>Sim</v>
      </c>
      <c r="P2312" s="4">
        <f>IF(COUNTIFS(INDEX(tItens[Edital],1):tItens[[#This Row],[Edital]],tItens[[#This Row],[Edital]],INDEX(tItens[Produto],1):tItens[[#This Row],[Produto]],tItens[[#This Row],[Produto]])=1,1,0)</f>
        <v>0</v>
      </c>
    </row>
    <row r="2313" spans="1:16" x14ac:dyDescent="0.25">
      <c r="A2313" t="s">
        <v>1216</v>
      </c>
      <c r="B2313">
        <v>943</v>
      </c>
      <c r="C2313" t="s">
        <v>5349</v>
      </c>
      <c r="D2313" t="s">
        <v>494</v>
      </c>
      <c r="E2313" s="13">
        <v>200</v>
      </c>
      <c r="F2313" s="12">
        <v>70.290000000000006</v>
      </c>
      <c r="G2313" t="str">
        <f>IFERROR(INDEX(tEditais[Órgão],MATCH(tItens[[#This Row],[Edital]],tEditais[Edital],0)),"")</f>
        <v>FUNDO MUNICIPAL DE SAUDE</v>
      </c>
      <c r="H2313" t="str">
        <f>IFERROR(INDEX(tEditais[UF],MATCH(tItens[[#This Row],[Edital]],tEditais[Edital],0)),"")</f>
        <v>GO</v>
      </c>
      <c r="I2313" s="11">
        <f>IFERROR(INDEX(tEditais[Encerramento],MATCH(tItens[[#This Row],[Edital]],tEditais[Edital],0)),"")</f>
        <v>46311.333333333336</v>
      </c>
      <c r="J2313" t="str">
        <f>IFERROR(INDEX(tProdutos[Classe],MATCH(tItens[[#This Row],[Produto]],tProdutos[Produto],0)),"produto não cadastrado")</f>
        <v>FILA REBASE</v>
      </c>
      <c r="K2313" s="12">
        <f>tItens[[#This Row],[Qtd]]*tItens[[#This Row],[Vlr unit]]</f>
        <v>14058.000000000002</v>
      </c>
      <c r="L2313" s="6">
        <f>IFERROR(IF(INDEX(tProdutos[Desconto homologado],MATCH(tItens[[#This Row],[Produto]],tProdutos[Produto],0))="",DescontoPadrao,INDEX(tProdutos[Desconto homologado],MATCH(tItens[[#This Row],[Produto]],tProdutos[Produto],0))),DescontoPadrao)</f>
        <v>0.253736324829619</v>
      </c>
      <c r="M2313" s="12">
        <f>tItens[[#This Row],[Valor]]*(1-tItens[[#This Row],[Desconto]])</f>
        <v>10490.974745545218</v>
      </c>
      <c r="N2313" t="str">
        <f>IFERROR(INDEX(tProdutos[Foco],MATCH(tItens[[#This Row],[Produto]],tProdutos[Produto],0)),"Não")</f>
        <v>Não</v>
      </c>
      <c r="O2313" t="str">
        <f>IFERROR(INDEX(tEditais[SRP],MATCH(tItens[[#This Row],[Edital]],tEditais[Edital],0)),"Não")</f>
        <v>Sim</v>
      </c>
      <c r="P2313" s="4">
        <f>IF(COUNTIFS(INDEX(tItens[Edital],1):tItens[[#This Row],[Edital]],tItens[[#This Row],[Edital]],INDEX(tItens[Produto],1):tItens[[#This Row],[Produto]],tItens[[#This Row],[Produto]])=1,1,0)</f>
        <v>0</v>
      </c>
    </row>
    <row r="2314" spans="1:16" x14ac:dyDescent="0.25">
      <c r="A2314" t="s">
        <v>1216</v>
      </c>
      <c r="B2314">
        <v>944</v>
      </c>
      <c r="C2314" t="s">
        <v>5350</v>
      </c>
      <c r="D2314" t="s">
        <v>494</v>
      </c>
      <c r="E2314" s="13">
        <v>5000</v>
      </c>
      <c r="F2314" s="12">
        <v>0.66</v>
      </c>
      <c r="G2314" t="str">
        <f>IFERROR(INDEX(tEditais[Órgão],MATCH(tItens[[#This Row],[Edital]],tEditais[Edital],0)),"")</f>
        <v>FUNDO MUNICIPAL DE SAUDE</v>
      </c>
      <c r="H2314" t="str">
        <f>IFERROR(INDEX(tEditais[UF],MATCH(tItens[[#This Row],[Edital]],tEditais[Edital],0)),"")</f>
        <v>GO</v>
      </c>
      <c r="I2314" s="11">
        <f>IFERROR(INDEX(tEditais[Encerramento],MATCH(tItens[[#This Row],[Edital]],tEditais[Edital],0)),"")</f>
        <v>46311.333333333336</v>
      </c>
      <c r="J2314" t="str">
        <f>IFERROR(INDEX(tProdutos[Classe],MATCH(tItens[[#This Row],[Produto]],tProdutos[Produto],0)),"produto não cadastrado")</f>
        <v>FILA REBASE</v>
      </c>
      <c r="K2314" s="12">
        <f>tItens[[#This Row],[Qtd]]*tItens[[#This Row],[Vlr unit]]</f>
        <v>3300</v>
      </c>
      <c r="L2314" s="6">
        <f>IFERROR(IF(INDEX(tProdutos[Desconto homologado],MATCH(tItens[[#This Row],[Produto]],tProdutos[Produto],0))="",DescontoPadrao,INDEX(tProdutos[Desconto homologado],MATCH(tItens[[#This Row],[Produto]],tProdutos[Produto],0))),DescontoPadrao)</f>
        <v>0.253736324829619</v>
      </c>
      <c r="M2314" s="12">
        <f>tItens[[#This Row],[Valor]]*(1-tItens[[#This Row],[Desconto]])</f>
        <v>2462.6701280622574</v>
      </c>
      <c r="N2314" t="str">
        <f>IFERROR(INDEX(tProdutos[Foco],MATCH(tItens[[#This Row],[Produto]],tProdutos[Produto],0)),"Não")</f>
        <v>Não</v>
      </c>
      <c r="O2314" t="str">
        <f>IFERROR(INDEX(tEditais[SRP],MATCH(tItens[[#This Row],[Edital]],tEditais[Edital],0)),"Não")</f>
        <v>Sim</v>
      </c>
      <c r="P2314" s="4">
        <f>IF(COUNTIFS(INDEX(tItens[Edital],1):tItens[[#This Row],[Edital]],tItens[[#This Row],[Edital]],INDEX(tItens[Produto],1):tItens[[#This Row],[Produto]],tItens[[#This Row],[Produto]])=1,1,0)</f>
        <v>0</v>
      </c>
    </row>
    <row r="2315" spans="1:16" x14ac:dyDescent="0.25">
      <c r="A2315" t="s">
        <v>1216</v>
      </c>
      <c r="B2315">
        <v>945</v>
      </c>
      <c r="C2315" t="s">
        <v>5351</v>
      </c>
      <c r="D2315" t="s">
        <v>494</v>
      </c>
      <c r="E2315" s="13">
        <v>5000</v>
      </c>
      <c r="F2315" s="12">
        <v>0.83</v>
      </c>
      <c r="G2315" t="str">
        <f>IFERROR(INDEX(tEditais[Órgão],MATCH(tItens[[#This Row],[Edital]],tEditais[Edital],0)),"")</f>
        <v>FUNDO MUNICIPAL DE SAUDE</v>
      </c>
      <c r="H2315" t="str">
        <f>IFERROR(INDEX(tEditais[UF],MATCH(tItens[[#This Row],[Edital]],tEditais[Edital],0)),"")</f>
        <v>GO</v>
      </c>
      <c r="I2315" s="11">
        <f>IFERROR(INDEX(tEditais[Encerramento],MATCH(tItens[[#This Row],[Edital]],tEditais[Edital],0)),"")</f>
        <v>46311.333333333336</v>
      </c>
      <c r="J2315" t="str">
        <f>IFERROR(INDEX(tProdutos[Classe],MATCH(tItens[[#This Row],[Produto]],tProdutos[Produto],0)),"produto não cadastrado")</f>
        <v>FILA REBASE</v>
      </c>
      <c r="K2315" s="12">
        <f>tItens[[#This Row],[Qtd]]*tItens[[#This Row],[Vlr unit]]</f>
        <v>4150</v>
      </c>
      <c r="L2315" s="6">
        <f>IFERROR(IF(INDEX(tProdutos[Desconto homologado],MATCH(tItens[[#This Row],[Produto]],tProdutos[Produto],0))="",DescontoPadrao,INDEX(tProdutos[Desconto homologado],MATCH(tItens[[#This Row],[Produto]],tProdutos[Produto],0))),DescontoPadrao)</f>
        <v>0.253736324829619</v>
      </c>
      <c r="M2315" s="12">
        <f>tItens[[#This Row],[Valor]]*(1-tItens[[#This Row],[Desconto]])</f>
        <v>3096.9942519570814</v>
      </c>
      <c r="N2315" t="str">
        <f>IFERROR(INDEX(tProdutos[Foco],MATCH(tItens[[#This Row],[Produto]],tProdutos[Produto],0)),"Não")</f>
        <v>Não</v>
      </c>
      <c r="O2315" t="str">
        <f>IFERROR(INDEX(tEditais[SRP],MATCH(tItens[[#This Row],[Edital]],tEditais[Edital],0)),"Não")</f>
        <v>Sim</v>
      </c>
      <c r="P2315" s="4">
        <f>IF(COUNTIFS(INDEX(tItens[Edital],1):tItens[[#This Row],[Edital]],tItens[[#This Row],[Edital]],INDEX(tItens[Produto],1):tItens[[#This Row],[Produto]],tItens[[#This Row],[Produto]])=1,1,0)</f>
        <v>0</v>
      </c>
    </row>
    <row r="2316" spans="1:16" x14ac:dyDescent="0.25">
      <c r="A2316" t="s">
        <v>1216</v>
      </c>
      <c r="B2316">
        <v>946</v>
      </c>
      <c r="C2316" t="s">
        <v>5352</v>
      </c>
      <c r="D2316" t="s">
        <v>494</v>
      </c>
      <c r="E2316" s="13">
        <v>200</v>
      </c>
      <c r="F2316" s="12">
        <v>77.05</v>
      </c>
      <c r="G2316" t="str">
        <f>IFERROR(INDEX(tEditais[Órgão],MATCH(tItens[[#This Row],[Edital]],tEditais[Edital],0)),"")</f>
        <v>FUNDO MUNICIPAL DE SAUDE</v>
      </c>
      <c r="H2316" t="str">
        <f>IFERROR(INDEX(tEditais[UF],MATCH(tItens[[#This Row],[Edital]],tEditais[Edital],0)),"")</f>
        <v>GO</v>
      </c>
      <c r="I2316" s="11">
        <f>IFERROR(INDEX(tEditais[Encerramento],MATCH(tItens[[#This Row],[Edital]],tEditais[Edital],0)),"")</f>
        <v>46311.333333333336</v>
      </c>
      <c r="J2316" t="str">
        <f>IFERROR(INDEX(tProdutos[Classe],MATCH(tItens[[#This Row],[Produto]],tProdutos[Produto],0)),"produto não cadastrado")</f>
        <v>FILA REBASE</v>
      </c>
      <c r="K2316" s="12">
        <f>tItens[[#This Row],[Qtd]]*tItens[[#This Row],[Vlr unit]]</f>
        <v>15410</v>
      </c>
      <c r="L2316" s="6">
        <f>IFERROR(IF(INDEX(tProdutos[Desconto homologado],MATCH(tItens[[#This Row],[Produto]],tProdutos[Produto],0))="",DescontoPadrao,INDEX(tProdutos[Desconto homologado],MATCH(tItens[[#This Row],[Produto]],tProdutos[Produto],0))),DescontoPadrao)</f>
        <v>0.253736324829619</v>
      </c>
      <c r="M2316" s="12">
        <f>tItens[[#This Row],[Valor]]*(1-tItens[[#This Row],[Desconto]])</f>
        <v>11499.923234375572</v>
      </c>
      <c r="N2316" t="str">
        <f>IFERROR(INDEX(tProdutos[Foco],MATCH(tItens[[#This Row],[Produto]],tProdutos[Produto],0)),"Não")</f>
        <v>Não</v>
      </c>
      <c r="O2316" t="str">
        <f>IFERROR(INDEX(tEditais[SRP],MATCH(tItens[[#This Row],[Edital]],tEditais[Edital],0)),"Não")</f>
        <v>Sim</v>
      </c>
      <c r="P2316" s="4">
        <f>IF(COUNTIFS(INDEX(tItens[Edital],1):tItens[[#This Row],[Edital]],tItens[[#This Row],[Edital]],INDEX(tItens[Produto],1):tItens[[#This Row],[Produto]],tItens[[#This Row],[Produto]])=1,1,0)</f>
        <v>0</v>
      </c>
    </row>
    <row r="2317" spans="1:16" x14ac:dyDescent="0.25">
      <c r="A2317" t="s">
        <v>1216</v>
      </c>
      <c r="B2317">
        <v>947</v>
      </c>
      <c r="C2317" t="s">
        <v>5353</v>
      </c>
      <c r="D2317" t="s">
        <v>494</v>
      </c>
      <c r="E2317" s="13">
        <v>5000</v>
      </c>
      <c r="F2317" s="12">
        <v>1.05</v>
      </c>
      <c r="G2317" t="str">
        <f>IFERROR(INDEX(tEditais[Órgão],MATCH(tItens[[#This Row],[Edital]],tEditais[Edital],0)),"")</f>
        <v>FUNDO MUNICIPAL DE SAUDE</v>
      </c>
      <c r="H2317" t="str">
        <f>IFERROR(INDEX(tEditais[UF],MATCH(tItens[[#This Row],[Edital]],tEditais[Edital],0)),"")</f>
        <v>GO</v>
      </c>
      <c r="I2317" s="11">
        <f>IFERROR(INDEX(tEditais[Encerramento],MATCH(tItens[[#This Row],[Edital]],tEditais[Edital],0)),"")</f>
        <v>46311.333333333336</v>
      </c>
      <c r="J2317" t="str">
        <f>IFERROR(INDEX(tProdutos[Classe],MATCH(tItens[[#This Row],[Produto]],tProdutos[Produto],0)),"produto não cadastrado")</f>
        <v>FILA REBASE</v>
      </c>
      <c r="K2317" s="12">
        <f>tItens[[#This Row],[Qtd]]*tItens[[#This Row],[Vlr unit]]</f>
        <v>5250</v>
      </c>
      <c r="L2317" s="6">
        <f>IFERROR(IF(INDEX(tProdutos[Desconto homologado],MATCH(tItens[[#This Row],[Produto]],tProdutos[Produto],0))="",DescontoPadrao,INDEX(tProdutos[Desconto homologado],MATCH(tItens[[#This Row],[Produto]],tProdutos[Produto],0))),DescontoPadrao)</f>
        <v>0.253736324829619</v>
      </c>
      <c r="M2317" s="12">
        <f>tItens[[#This Row],[Valor]]*(1-tItens[[#This Row],[Desconto]])</f>
        <v>3917.8842946445006</v>
      </c>
      <c r="N2317" t="str">
        <f>IFERROR(INDEX(tProdutos[Foco],MATCH(tItens[[#This Row],[Produto]],tProdutos[Produto],0)),"Não")</f>
        <v>Não</v>
      </c>
      <c r="O2317" t="str">
        <f>IFERROR(INDEX(tEditais[SRP],MATCH(tItens[[#This Row],[Edital]],tEditais[Edital],0)),"Não")</f>
        <v>Sim</v>
      </c>
      <c r="P2317" s="4">
        <f>IF(COUNTIFS(INDEX(tItens[Edital],1):tItens[[#This Row],[Edital]],tItens[[#This Row],[Edital]],INDEX(tItens[Produto],1):tItens[[#This Row],[Produto]],tItens[[#This Row],[Produto]])=1,1,0)</f>
        <v>0</v>
      </c>
    </row>
    <row r="2318" spans="1:16" x14ac:dyDescent="0.25">
      <c r="A2318" t="s">
        <v>1216</v>
      </c>
      <c r="B2318">
        <v>948</v>
      </c>
      <c r="C2318" t="s">
        <v>5354</v>
      </c>
      <c r="D2318" t="s">
        <v>494</v>
      </c>
      <c r="E2318" s="13">
        <v>200</v>
      </c>
      <c r="F2318" s="12">
        <v>99.07</v>
      </c>
      <c r="G2318" t="str">
        <f>IFERROR(INDEX(tEditais[Órgão],MATCH(tItens[[#This Row],[Edital]],tEditais[Edital],0)),"")</f>
        <v>FUNDO MUNICIPAL DE SAUDE</v>
      </c>
      <c r="H2318" t="str">
        <f>IFERROR(INDEX(tEditais[UF],MATCH(tItens[[#This Row],[Edital]],tEditais[Edital],0)),"")</f>
        <v>GO</v>
      </c>
      <c r="I2318" s="11">
        <f>IFERROR(INDEX(tEditais[Encerramento],MATCH(tItens[[#This Row],[Edital]],tEditais[Edital],0)),"")</f>
        <v>46311.333333333336</v>
      </c>
      <c r="J2318" t="str">
        <f>IFERROR(INDEX(tProdutos[Classe],MATCH(tItens[[#This Row],[Produto]],tProdutos[Produto],0)),"produto não cadastrado")</f>
        <v>FILA REBASE</v>
      </c>
      <c r="K2318" s="12">
        <f>tItens[[#This Row],[Qtd]]*tItens[[#This Row],[Vlr unit]]</f>
        <v>19814</v>
      </c>
      <c r="L2318" s="6">
        <f>IFERROR(IF(INDEX(tProdutos[Desconto homologado],MATCH(tItens[[#This Row],[Produto]],tProdutos[Produto],0))="",DescontoPadrao,INDEX(tProdutos[Desconto homologado],MATCH(tItens[[#This Row],[Produto]],tProdutos[Produto],0))),DescontoPadrao)</f>
        <v>0.253736324829619</v>
      </c>
      <c r="M2318" s="12">
        <f>tItens[[#This Row],[Valor]]*(1-tItens[[#This Row],[Desconto]])</f>
        <v>14786.46845982593</v>
      </c>
      <c r="N2318" t="str">
        <f>IFERROR(INDEX(tProdutos[Foco],MATCH(tItens[[#This Row],[Produto]],tProdutos[Produto],0)),"Não")</f>
        <v>Não</v>
      </c>
      <c r="O2318" t="str">
        <f>IFERROR(INDEX(tEditais[SRP],MATCH(tItens[[#This Row],[Edital]],tEditais[Edital],0)),"Não")</f>
        <v>Sim</v>
      </c>
      <c r="P2318" s="4">
        <f>IF(COUNTIFS(INDEX(tItens[Edital],1):tItens[[#This Row],[Edital]],tItens[[#This Row],[Edital]],INDEX(tItens[Produto],1):tItens[[#This Row],[Produto]],tItens[[#This Row],[Produto]])=1,1,0)</f>
        <v>0</v>
      </c>
    </row>
    <row r="2319" spans="1:16" x14ac:dyDescent="0.25">
      <c r="A2319" t="s">
        <v>1216</v>
      </c>
      <c r="B2319">
        <v>949</v>
      </c>
      <c r="C2319" t="s">
        <v>5355</v>
      </c>
      <c r="D2319" t="s">
        <v>494</v>
      </c>
      <c r="E2319" s="13">
        <v>5000</v>
      </c>
      <c r="F2319" s="12">
        <v>1.1599999999999999</v>
      </c>
      <c r="G2319" t="str">
        <f>IFERROR(INDEX(tEditais[Órgão],MATCH(tItens[[#This Row],[Edital]],tEditais[Edital],0)),"")</f>
        <v>FUNDO MUNICIPAL DE SAUDE</v>
      </c>
      <c r="H2319" t="str">
        <f>IFERROR(INDEX(tEditais[UF],MATCH(tItens[[#This Row],[Edital]],tEditais[Edital],0)),"")</f>
        <v>GO</v>
      </c>
      <c r="I2319" s="11">
        <f>IFERROR(INDEX(tEditais[Encerramento],MATCH(tItens[[#This Row],[Edital]],tEditais[Edital],0)),"")</f>
        <v>46311.333333333336</v>
      </c>
      <c r="J2319" t="str">
        <f>IFERROR(INDEX(tProdutos[Classe],MATCH(tItens[[#This Row],[Produto]],tProdutos[Produto],0)),"produto não cadastrado")</f>
        <v>FILA REBASE</v>
      </c>
      <c r="K2319" s="12">
        <f>tItens[[#This Row],[Qtd]]*tItens[[#This Row],[Vlr unit]]</f>
        <v>5800</v>
      </c>
      <c r="L2319" s="6">
        <f>IFERROR(IF(INDEX(tProdutos[Desconto homologado],MATCH(tItens[[#This Row],[Produto]],tProdutos[Produto],0))="",DescontoPadrao,INDEX(tProdutos[Desconto homologado],MATCH(tItens[[#This Row],[Produto]],tProdutos[Produto],0))),DescontoPadrao)</f>
        <v>0.253736324829619</v>
      </c>
      <c r="M2319" s="12">
        <f>tItens[[#This Row],[Valor]]*(1-tItens[[#This Row],[Desconto]])</f>
        <v>4328.3293159882105</v>
      </c>
      <c r="N2319" t="str">
        <f>IFERROR(INDEX(tProdutos[Foco],MATCH(tItens[[#This Row],[Produto]],tProdutos[Produto],0)),"Não")</f>
        <v>Não</v>
      </c>
      <c r="O2319" t="str">
        <f>IFERROR(INDEX(tEditais[SRP],MATCH(tItens[[#This Row],[Edital]],tEditais[Edital],0)),"Não")</f>
        <v>Sim</v>
      </c>
      <c r="P2319" s="4">
        <f>IF(COUNTIFS(INDEX(tItens[Edital],1):tItens[[#This Row],[Edital]],tItens[[#This Row],[Edital]],INDEX(tItens[Produto],1):tItens[[#This Row],[Produto]],tItens[[#This Row],[Produto]])=1,1,0)</f>
        <v>0</v>
      </c>
    </row>
    <row r="2320" spans="1:16" x14ac:dyDescent="0.25">
      <c r="A2320" t="s">
        <v>1216</v>
      </c>
      <c r="B2320">
        <v>950</v>
      </c>
      <c r="C2320" t="s">
        <v>5356</v>
      </c>
      <c r="D2320" t="s">
        <v>494</v>
      </c>
      <c r="E2320" s="13">
        <v>200</v>
      </c>
      <c r="F2320" s="12">
        <v>111.17</v>
      </c>
      <c r="G2320" t="str">
        <f>IFERROR(INDEX(tEditais[Órgão],MATCH(tItens[[#This Row],[Edital]],tEditais[Edital],0)),"")</f>
        <v>FUNDO MUNICIPAL DE SAUDE</v>
      </c>
      <c r="H2320" t="str">
        <f>IFERROR(INDEX(tEditais[UF],MATCH(tItens[[#This Row],[Edital]],tEditais[Edital],0)),"")</f>
        <v>GO</v>
      </c>
      <c r="I2320" s="11">
        <f>IFERROR(INDEX(tEditais[Encerramento],MATCH(tItens[[#This Row],[Edital]],tEditais[Edital],0)),"")</f>
        <v>46311.333333333336</v>
      </c>
      <c r="J2320" t="str">
        <f>IFERROR(INDEX(tProdutos[Classe],MATCH(tItens[[#This Row],[Produto]],tProdutos[Produto],0)),"produto não cadastrado")</f>
        <v>FILA REBASE</v>
      </c>
      <c r="K2320" s="12">
        <f>tItens[[#This Row],[Qtd]]*tItens[[#This Row],[Vlr unit]]</f>
        <v>22234</v>
      </c>
      <c r="L2320" s="6">
        <f>IFERROR(IF(INDEX(tProdutos[Desconto homologado],MATCH(tItens[[#This Row],[Produto]],tProdutos[Produto],0))="",DescontoPadrao,INDEX(tProdutos[Desconto homologado],MATCH(tItens[[#This Row],[Produto]],tProdutos[Produto],0))),DescontoPadrao)</f>
        <v>0.253736324829619</v>
      </c>
      <c r="M2320" s="12">
        <f>tItens[[#This Row],[Valor]]*(1-tItens[[#This Row],[Desconto]])</f>
        <v>16592.426553738253</v>
      </c>
      <c r="N2320" t="str">
        <f>IFERROR(INDEX(tProdutos[Foco],MATCH(tItens[[#This Row],[Produto]],tProdutos[Produto],0)),"Não")</f>
        <v>Não</v>
      </c>
      <c r="O2320" t="str">
        <f>IFERROR(INDEX(tEditais[SRP],MATCH(tItens[[#This Row],[Edital]],tEditais[Edital],0)),"Não")</f>
        <v>Sim</v>
      </c>
      <c r="P2320" s="4">
        <f>IF(COUNTIFS(INDEX(tItens[Edital],1):tItens[[#This Row],[Edital]],tItens[[#This Row],[Edital]],INDEX(tItens[Produto],1):tItens[[#This Row],[Produto]],tItens[[#This Row],[Produto]])=1,1,0)</f>
        <v>0</v>
      </c>
    </row>
    <row r="2321" spans="1:16" x14ac:dyDescent="0.25">
      <c r="A2321" t="s">
        <v>1216</v>
      </c>
      <c r="B2321">
        <v>951</v>
      </c>
      <c r="C2321" t="s">
        <v>5357</v>
      </c>
      <c r="D2321" t="s">
        <v>494</v>
      </c>
      <c r="E2321" s="13">
        <v>5000</v>
      </c>
      <c r="F2321" s="12">
        <v>1.43</v>
      </c>
      <c r="G2321" t="str">
        <f>IFERROR(INDEX(tEditais[Órgão],MATCH(tItens[[#This Row],[Edital]],tEditais[Edital],0)),"")</f>
        <v>FUNDO MUNICIPAL DE SAUDE</v>
      </c>
      <c r="H2321" t="str">
        <f>IFERROR(INDEX(tEditais[UF],MATCH(tItens[[#This Row],[Edital]],tEditais[Edital],0)),"")</f>
        <v>GO</v>
      </c>
      <c r="I2321" s="11">
        <f>IFERROR(INDEX(tEditais[Encerramento],MATCH(tItens[[#This Row],[Edital]],tEditais[Edital],0)),"")</f>
        <v>46311.333333333336</v>
      </c>
      <c r="J2321" t="str">
        <f>IFERROR(INDEX(tProdutos[Classe],MATCH(tItens[[#This Row],[Produto]],tProdutos[Produto],0)),"produto não cadastrado")</f>
        <v>FILA REBASE</v>
      </c>
      <c r="K2321" s="12">
        <f>tItens[[#This Row],[Qtd]]*tItens[[#This Row],[Vlr unit]]</f>
        <v>7150</v>
      </c>
      <c r="L2321" s="6">
        <f>IFERROR(IF(INDEX(tProdutos[Desconto homologado],MATCH(tItens[[#This Row],[Produto]],tProdutos[Produto],0))="",DescontoPadrao,INDEX(tProdutos[Desconto homologado],MATCH(tItens[[#This Row],[Produto]],tProdutos[Produto],0))),DescontoPadrao)</f>
        <v>0.253736324829619</v>
      </c>
      <c r="M2321" s="12">
        <f>tItens[[#This Row],[Valor]]*(1-tItens[[#This Row],[Desconto]])</f>
        <v>5335.7852774682242</v>
      </c>
      <c r="N2321" t="str">
        <f>IFERROR(INDEX(tProdutos[Foco],MATCH(tItens[[#This Row],[Produto]],tProdutos[Produto],0)),"Não")</f>
        <v>Não</v>
      </c>
      <c r="O2321" t="str">
        <f>IFERROR(INDEX(tEditais[SRP],MATCH(tItens[[#This Row],[Edital]],tEditais[Edital],0)),"Não")</f>
        <v>Sim</v>
      </c>
      <c r="P2321" s="4">
        <f>IF(COUNTIFS(INDEX(tItens[Edital],1):tItens[[#This Row],[Edital]],tItens[[#This Row],[Edital]],INDEX(tItens[Produto],1):tItens[[#This Row],[Produto]],tItens[[#This Row],[Produto]])=1,1,0)</f>
        <v>0</v>
      </c>
    </row>
    <row r="2322" spans="1:16" x14ac:dyDescent="0.25">
      <c r="A2322" t="s">
        <v>1216</v>
      </c>
      <c r="B2322">
        <v>999</v>
      </c>
      <c r="C2322" t="s">
        <v>5358</v>
      </c>
      <c r="D2322" t="s">
        <v>694</v>
      </c>
      <c r="E2322" s="13">
        <v>30</v>
      </c>
      <c r="F2322" s="12">
        <v>142.55000000000001</v>
      </c>
      <c r="G2322" t="str">
        <f>IFERROR(INDEX(tEditais[Órgão],MATCH(tItens[[#This Row],[Edital]],tEditais[Edital],0)),"")</f>
        <v>FUNDO MUNICIPAL DE SAUDE</v>
      </c>
      <c r="H2322" t="str">
        <f>IFERROR(INDEX(tEditais[UF],MATCH(tItens[[#This Row],[Edital]],tEditais[Edital],0)),"")</f>
        <v>GO</v>
      </c>
      <c r="I2322" s="11">
        <f>IFERROR(INDEX(tEditais[Encerramento],MATCH(tItens[[#This Row],[Edital]],tEditais[Edital],0)),"")</f>
        <v>46311.333333333336</v>
      </c>
      <c r="J2322" t="str">
        <f>IFERROR(INDEX(tProdutos[Classe],MATCH(tItens[[#This Row],[Produto]],tProdutos[Produto],0)),"produto não cadastrado")</f>
        <v>FILA REBASE</v>
      </c>
      <c r="K2322" s="12">
        <f>tItens[[#This Row],[Qtd]]*tItens[[#This Row],[Vlr unit]]</f>
        <v>4276.5</v>
      </c>
      <c r="L2322" s="6">
        <f>IFERROR(IF(INDEX(tProdutos[Desconto homologado],MATCH(tItens[[#This Row],[Produto]],tProdutos[Produto],0))="",DescontoPadrao,INDEX(tProdutos[Desconto homologado],MATCH(tItens[[#This Row],[Produto]],tProdutos[Produto],0))),DescontoPadrao)</f>
        <v>0.61577111781048699</v>
      </c>
      <c r="M2322" s="12">
        <f>tItens[[#This Row],[Valor]]*(1-tItens[[#This Row],[Desconto]])</f>
        <v>1643.1548146834523</v>
      </c>
      <c r="N2322" t="str">
        <f>IFERROR(INDEX(tProdutos[Foco],MATCH(tItens[[#This Row],[Produto]],tProdutos[Produto],0)),"Não")</f>
        <v>Não</v>
      </c>
      <c r="O2322" t="str">
        <f>IFERROR(INDEX(tEditais[SRP],MATCH(tItens[[#This Row],[Edital]],tEditais[Edital],0)),"Não")</f>
        <v>Sim</v>
      </c>
      <c r="P2322" s="4">
        <f>IF(COUNTIFS(INDEX(tItens[Edital],1):tItens[[#This Row],[Edital]],tItens[[#This Row],[Edital]],INDEX(tItens[Produto],1):tItens[[#This Row],[Produto]],tItens[[#This Row],[Produto]])=1,1,0)</f>
        <v>1</v>
      </c>
    </row>
    <row r="2323" spans="1:16" x14ac:dyDescent="0.25">
      <c r="A2323" t="s">
        <v>1216</v>
      </c>
      <c r="B2323">
        <v>1000</v>
      </c>
      <c r="C2323" t="s">
        <v>5359</v>
      </c>
      <c r="D2323" t="s">
        <v>694</v>
      </c>
      <c r="E2323" s="13">
        <v>30</v>
      </c>
      <c r="F2323" s="12">
        <v>142.55000000000001</v>
      </c>
      <c r="G2323" t="str">
        <f>IFERROR(INDEX(tEditais[Órgão],MATCH(tItens[[#This Row],[Edital]],tEditais[Edital],0)),"")</f>
        <v>FUNDO MUNICIPAL DE SAUDE</v>
      </c>
      <c r="H2323" t="str">
        <f>IFERROR(INDEX(tEditais[UF],MATCH(tItens[[#This Row],[Edital]],tEditais[Edital],0)),"")</f>
        <v>GO</v>
      </c>
      <c r="I2323" s="11">
        <f>IFERROR(INDEX(tEditais[Encerramento],MATCH(tItens[[#This Row],[Edital]],tEditais[Edital],0)),"")</f>
        <v>46311.333333333336</v>
      </c>
      <c r="J2323" t="str">
        <f>IFERROR(INDEX(tProdutos[Classe],MATCH(tItens[[#This Row],[Produto]],tProdutos[Produto],0)),"produto não cadastrado")</f>
        <v>FILA REBASE</v>
      </c>
      <c r="K2323" s="12">
        <f>tItens[[#This Row],[Qtd]]*tItens[[#This Row],[Vlr unit]]</f>
        <v>4276.5</v>
      </c>
      <c r="L2323" s="6">
        <f>IFERROR(IF(INDEX(tProdutos[Desconto homologado],MATCH(tItens[[#This Row],[Produto]],tProdutos[Produto],0))="",DescontoPadrao,INDEX(tProdutos[Desconto homologado],MATCH(tItens[[#This Row],[Produto]],tProdutos[Produto],0))),DescontoPadrao)</f>
        <v>0.61577111781048699</v>
      </c>
      <c r="M2323" s="12">
        <f>tItens[[#This Row],[Valor]]*(1-tItens[[#This Row],[Desconto]])</f>
        <v>1643.1548146834523</v>
      </c>
      <c r="N2323" t="str">
        <f>IFERROR(INDEX(tProdutos[Foco],MATCH(tItens[[#This Row],[Produto]],tProdutos[Produto],0)),"Não")</f>
        <v>Não</v>
      </c>
      <c r="O2323" t="str">
        <f>IFERROR(INDEX(tEditais[SRP],MATCH(tItens[[#This Row],[Edital]],tEditais[Edital],0)),"Não")</f>
        <v>Sim</v>
      </c>
      <c r="P2323" s="4">
        <f>IF(COUNTIFS(INDEX(tItens[Edital],1):tItens[[#This Row],[Edital]],tItens[[#This Row],[Edital]],INDEX(tItens[Produto],1):tItens[[#This Row],[Produto]],tItens[[#This Row],[Produto]])=1,1,0)</f>
        <v>0</v>
      </c>
    </row>
    <row r="2324" spans="1:16" x14ac:dyDescent="0.25">
      <c r="A2324" t="s">
        <v>1216</v>
      </c>
      <c r="B2324">
        <v>1026</v>
      </c>
      <c r="C2324" t="s">
        <v>5360</v>
      </c>
      <c r="D2324" t="s">
        <v>275</v>
      </c>
      <c r="E2324" s="13">
        <v>30000</v>
      </c>
      <c r="F2324" s="12">
        <v>0.17</v>
      </c>
      <c r="G2324" t="str">
        <f>IFERROR(INDEX(tEditais[Órgão],MATCH(tItens[[#This Row],[Edital]],tEditais[Edital],0)),"")</f>
        <v>FUNDO MUNICIPAL DE SAUDE</v>
      </c>
      <c r="H2324" t="str">
        <f>IFERROR(INDEX(tEditais[UF],MATCH(tItens[[#This Row],[Edital]],tEditais[Edital],0)),"")</f>
        <v>GO</v>
      </c>
      <c r="I2324" s="11">
        <f>IFERROR(INDEX(tEditais[Encerramento],MATCH(tItens[[#This Row],[Edital]],tEditais[Edital],0)),"")</f>
        <v>46311.333333333336</v>
      </c>
      <c r="J2324" t="str">
        <f>IFERROR(INDEX(tProdutos[Classe],MATCH(tItens[[#This Row],[Produto]],tProdutos[Produto],0)),"produto não cadastrado")</f>
        <v>FORA</v>
      </c>
      <c r="K2324" s="12">
        <f>tItens[[#This Row],[Qtd]]*tItens[[#This Row],[Vlr unit]]</f>
        <v>5100</v>
      </c>
      <c r="L2324" s="6">
        <f>IFERROR(IF(INDEX(tProdutos[Desconto homologado],MATCH(tItens[[#This Row],[Produto]],tProdutos[Produto],0))="",DescontoPadrao,INDEX(tProdutos[Desconto homologado],MATCH(tItens[[#This Row],[Produto]],tProdutos[Produto],0))),DescontoPadrao)</f>
        <v>0.405797101449275</v>
      </c>
      <c r="M2324" s="12">
        <f>tItens[[#This Row],[Valor]]*(1-tItens[[#This Row],[Desconto]])</f>
        <v>3030.4347826086978</v>
      </c>
      <c r="N2324" t="str">
        <f>IFERROR(INDEX(tProdutos[Foco],MATCH(tItens[[#This Row],[Produto]],tProdutos[Produto],0)),"Não")</f>
        <v>Não</v>
      </c>
      <c r="O2324" t="str">
        <f>IFERROR(INDEX(tEditais[SRP],MATCH(tItens[[#This Row],[Edital]],tEditais[Edital],0)),"Não")</f>
        <v>Sim</v>
      </c>
      <c r="P2324" s="4">
        <f>IF(COUNTIFS(INDEX(tItens[Edital],1):tItens[[#This Row],[Edital]],tItens[[#This Row],[Edital]],INDEX(tItens[Produto],1):tItens[[#This Row],[Produto]],tItens[[#This Row],[Produto]])=1,1,0)</f>
        <v>1</v>
      </c>
    </row>
    <row r="2325" spans="1:16" x14ac:dyDescent="0.25">
      <c r="A2325" t="s">
        <v>1216</v>
      </c>
      <c r="B2325">
        <v>1027</v>
      </c>
      <c r="C2325" t="s">
        <v>5361</v>
      </c>
      <c r="D2325" t="s">
        <v>281</v>
      </c>
      <c r="E2325" s="13">
        <v>30000</v>
      </c>
      <c r="F2325" s="12">
        <v>0.33</v>
      </c>
      <c r="G2325" t="str">
        <f>IFERROR(INDEX(tEditais[Órgão],MATCH(tItens[[#This Row],[Edital]],tEditais[Edital],0)),"")</f>
        <v>FUNDO MUNICIPAL DE SAUDE</v>
      </c>
      <c r="H2325" t="str">
        <f>IFERROR(INDEX(tEditais[UF],MATCH(tItens[[#This Row],[Edital]],tEditais[Edital],0)),"")</f>
        <v>GO</v>
      </c>
      <c r="I2325" s="11">
        <f>IFERROR(INDEX(tEditais[Encerramento],MATCH(tItens[[#This Row],[Edital]],tEditais[Edital],0)),"")</f>
        <v>46311.333333333336</v>
      </c>
      <c r="J2325" t="str">
        <f>IFERROR(INDEX(tProdutos[Classe],MATCH(tItens[[#This Row],[Produto]],tProdutos[Produto],0)),"produto não cadastrado")</f>
        <v>DISPUTADO</v>
      </c>
      <c r="K2325" s="12">
        <f>tItens[[#This Row],[Qtd]]*tItens[[#This Row],[Vlr unit]]</f>
        <v>9900</v>
      </c>
      <c r="L2325" s="6">
        <f>IFERROR(IF(INDEX(tProdutos[Desconto homologado],MATCH(tItens[[#This Row],[Produto]],tProdutos[Produto],0))="",DescontoPadrao,INDEX(tProdutos[Desconto homologado],MATCH(tItens[[#This Row],[Produto]],tProdutos[Produto],0))),DescontoPadrao)</f>
        <v>0.42461538461538501</v>
      </c>
      <c r="M2325" s="12">
        <f>tItens[[#This Row],[Valor]]*(1-tItens[[#This Row],[Desconto]])</f>
        <v>5696.3076923076878</v>
      </c>
      <c r="N2325" t="str">
        <f>IFERROR(INDEX(tProdutos[Foco],MATCH(tItens[[#This Row],[Produto]],tProdutos[Produto],0)),"Não")</f>
        <v>Não</v>
      </c>
      <c r="O2325" t="str">
        <f>IFERROR(INDEX(tEditais[SRP],MATCH(tItens[[#This Row],[Edital]],tEditais[Edital],0)),"Não")</f>
        <v>Sim</v>
      </c>
      <c r="P2325" s="4">
        <f>IF(COUNTIFS(INDEX(tItens[Edital],1):tItens[[#This Row],[Edital]],tItens[[#This Row],[Edital]],INDEX(tItens[Produto],1):tItens[[#This Row],[Produto]],tItens[[#This Row],[Produto]])=1,1,0)</f>
        <v>1</v>
      </c>
    </row>
    <row r="2326" spans="1:16" x14ac:dyDescent="0.25">
      <c r="A2326" t="s">
        <v>1216</v>
      </c>
      <c r="B2326">
        <v>1028</v>
      </c>
      <c r="C2326" t="s">
        <v>5362</v>
      </c>
      <c r="D2326" t="s">
        <v>289</v>
      </c>
      <c r="E2326" s="13">
        <v>30000</v>
      </c>
      <c r="F2326" s="12">
        <v>0.43</v>
      </c>
      <c r="G2326" t="str">
        <f>IFERROR(INDEX(tEditais[Órgão],MATCH(tItens[[#This Row],[Edital]],tEditais[Edital],0)),"")</f>
        <v>FUNDO MUNICIPAL DE SAUDE</v>
      </c>
      <c r="H2326" t="str">
        <f>IFERROR(INDEX(tEditais[UF],MATCH(tItens[[#This Row],[Edital]],tEditais[Edital],0)),"")</f>
        <v>GO</v>
      </c>
      <c r="I2326" s="11">
        <f>IFERROR(INDEX(tEditais[Encerramento],MATCH(tItens[[#This Row],[Edital]],tEditais[Edital],0)),"")</f>
        <v>46311.333333333336</v>
      </c>
      <c r="J2326" t="str">
        <f>IFERROR(INDEX(tProdutos[Classe],MATCH(tItens[[#This Row],[Produto]],tProdutos[Produto],0)),"produto não cadastrado")</f>
        <v>DISPUTADO</v>
      </c>
      <c r="K2326" s="12">
        <f>tItens[[#This Row],[Qtd]]*tItens[[#This Row],[Vlr unit]]</f>
        <v>12900</v>
      </c>
      <c r="L2326" s="6">
        <f>IFERROR(IF(INDEX(tProdutos[Desconto homologado],MATCH(tItens[[#This Row],[Produto]],tProdutos[Produto],0))="",DescontoPadrao,INDEX(tProdutos[Desconto homologado],MATCH(tItens[[#This Row],[Produto]],tProdutos[Produto],0))),DescontoPadrao)</f>
        <v>0.35849056603773599</v>
      </c>
      <c r="M2326" s="12">
        <f>tItens[[#This Row],[Valor]]*(1-tItens[[#This Row],[Desconto]])</f>
        <v>8275.471698113206</v>
      </c>
      <c r="N2326" t="str">
        <f>IFERROR(INDEX(tProdutos[Foco],MATCH(tItens[[#This Row],[Produto]],tProdutos[Produto],0)),"Não")</f>
        <v>Não</v>
      </c>
      <c r="O2326" t="str">
        <f>IFERROR(INDEX(tEditais[SRP],MATCH(tItens[[#This Row],[Edital]],tEditais[Edital],0)),"Não")</f>
        <v>Sim</v>
      </c>
      <c r="P2326" s="4">
        <f>IF(COUNTIFS(INDEX(tItens[Edital],1):tItens[[#This Row],[Edital]],tItens[[#This Row],[Edital]],INDEX(tItens[Produto],1):tItens[[#This Row],[Produto]],tItens[[#This Row],[Produto]])=1,1,0)</f>
        <v>1</v>
      </c>
    </row>
    <row r="2327" spans="1:16" x14ac:dyDescent="0.25">
      <c r="A2327" t="s">
        <v>1216</v>
      </c>
      <c r="B2327">
        <v>1029</v>
      </c>
      <c r="C2327" t="s">
        <v>5363</v>
      </c>
      <c r="D2327" t="s">
        <v>275</v>
      </c>
      <c r="E2327" s="13">
        <v>30000</v>
      </c>
      <c r="F2327" s="12">
        <v>0.18</v>
      </c>
      <c r="G2327" t="str">
        <f>IFERROR(INDEX(tEditais[Órgão],MATCH(tItens[[#This Row],[Edital]],tEditais[Edital],0)),"")</f>
        <v>FUNDO MUNICIPAL DE SAUDE</v>
      </c>
      <c r="H2327" t="str">
        <f>IFERROR(INDEX(tEditais[UF],MATCH(tItens[[#This Row],[Edital]],tEditais[Edital],0)),"")</f>
        <v>GO</v>
      </c>
      <c r="I2327" s="11">
        <f>IFERROR(INDEX(tEditais[Encerramento],MATCH(tItens[[#This Row],[Edital]],tEditais[Edital],0)),"")</f>
        <v>46311.333333333336</v>
      </c>
      <c r="J2327" t="str">
        <f>IFERROR(INDEX(tProdutos[Classe],MATCH(tItens[[#This Row],[Produto]],tProdutos[Produto],0)),"produto não cadastrado")</f>
        <v>FORA</v>
      </c>
      <c r="K2327" s="12">
        <f>tItens[[#This Row],[Qtd]]*tItens[[#This Row],[Vlr unit]]</f>
        <v>5400</v>
      </c>
      <c r="L2327" s="6">
        <f>IFERROR(IF(INDEX(tProdutos[Desconto homologado],MATCH(tItens[[#This Row],[Produto]],tProdutos[Produto],0))="",DescontoPadrao,INDEX(tProdutos[Desconto homologado],MATCH(tItens[[#This Row],[Produto]],tProdutos[Produto],0))),DescontoPadrao)</f>
        <v>0.405797101449275</v>
      </c>
      <c r="M2327" s="12">
        <f>tItens[[#This Row],[Valor]]*(1-tItens[[#This Row],[Desconto]])</f>
        <v>3208.6956521739153</v>
      </c>
      <c r="N2327" t="str">
        <f>IFERROR(INDEX(tProdutos[Foco],MATCH(tItens[[#This Row],[Produto]],tProdutos[Produto],0)),"Não")</f>
        <v>Não</v>
      </c>
      <c r="O2327" t="str">
        <f>IFERROR(INDEX(tEditais[SRP],MATCH(tItens[[#This Row],[Edital]],tEditais[Edital],0)),"Não")</f>
        <v>Sim</v>
      </c>
      <c r="P2327" s="4">
        <f>IF(COUNTIFS(INDEX(tItens[Edital],1):tItens[[#This Row],[Edital]],tItens[[#This Row],[Edital]],INDEX(tItens[Produto],1):tItens[[#This Row],[Produto]],tItens[[#This Row],[Produto]])=1,1,0)</f>
        <v>0</v>
      </c>
    </row>
    <row r="2328" spans="1:16" x14ac:dyDescent="0.25">
      <c r="A2328" t="s">
        <v>1216</v>
      </c>
      <c r="B2328">
        <v>1030</v>
      </c>
      <c r="C2328" t="s">
        <v>5364</v>
      </c>
      <c r="D2328" t="s">
        <v>283</v>
      </c>
      <c r="E2328" s="13">
        <v>30000</v>
      </c>
      <c r="F2328" s="12">
        <v>0.2</v>
      </c>
      <c r="G2328" t="str">
        <f>IFERROR(INDEX(tEditais[Órgão],MATCH(tItens[[#This Row],[Edital]],tEditais[Edital],0)),"")</f>
        <v>FUNDO MUNICIPAL DE SAUDE</v>
      </c>
      <c r="H2328" t="str">
        <f>IFERROR(INDEX(tEditais[UF],MATCH(tItens[[#This Row],[Edital]],tEditais[Edital],0)),"")</f>
        <v>GO</v>
      </c>
      <c r="I2328" s="11">
        <f>IFERROR(INDEX(tEditais[Encerramento],MATCH(tItens[[#This Row],[Edital]],tEditais[Edital],0)),"")</f>
        <v>46311.333333333336</v>
      </c>
      <c r="J2328" t="str">
        <f>IFERROR(INDEX(tProdutos[Classe],MATCH(tItens[[#This Row],[Produto]],tProdutos[Produto],0)),"produto não cadastrado")</f>
        <v>FORA</v>
      </c>
      <c r="K2328" s="12">
        <f>tItens[[#This Row],[Qtd]]*tItens[[#This Row],[Vlr unit]]</f>
        <v>6000</v>
      </c>
      <c r="L2328" s="6">
        <f>IFERROR(IF(INDEX(tProdutos[Desconto homologado],MATCH(tItens[[#This Row],[Produto]],tProdutos[Produto],0))="",DescontoPadrao,INDEX(tProdutos[Desconto homologado],MATCH(tItens[[#This Row],[Produto]],tProdutos[Produto],0))),DescontoPadrao)</f>
        <v>0.40540540540540498</v>
      </c>
      <c r="M2328" s="12">
        <f>tItens[[#This Row],[Valor]]*(1-tItens[[#This Row],[Desconto]])</f>
        <v>3567.5675675675698</v>
      </c>
      <c r="N2328" t="str">
        <f>IFERROR(INDEX(tProdutos[Foco],MATCH(tItens[[#This Row],[Produto]],tProdutos[Produto],0)),"Não")</f>
        <v>Não</v>
      </c>
      <c r="O2328" t="str">
        <f>IFERROR(INDEX(tEditais[SRP],MATCH(tItens[[#This Row],[Edital]],tEditais[Edital],0)),"Não")</f>
        <v>Sim</v>
      </c>
      <c r="P2328" s="4">
        <f>IF(COUNTIFS(INDEX(tItens[Edital],1):tItens[[#This Row],[Edital]],tItens[[#This Row],[Edital]],INDEX(tItens[Produto],1):tItens[[#This Row],[Produto]],tItens[[#This Row],[Produto]])=1,1,0)</f>
        <v>1</v>
      </c>
    </row>
    <row r="2329" spans="1:16" x14ac:dyDescent="0.25">
      <c r="A2329" t="s">
        <v>1216</v>
      </c>
      <c r="B2329">
        <v>1031</v>
      </c>
      <c r="C2329" t="s">
        <v>5365</v>
      </c>
      <c r="D2329" t="s">
        <v>265</v>
      </c>
      <c r="E2329" s="13">
        <v>30000</v>
      </c>
      <c r="F2329" s="12">
        <v>0.27</v>
      </c>
      <c r="G2329" t="str">
        <f>IFERROR(INDEX(tEditais[Órgão],MATCH(tItens[[#This Row],[Edital]],tEditais[Edital],0)),"")</f>
        <v>FUNDO MUNICIPAL DE SAUDE</v>
      </c>
      <c r="H2329" t="str">
        <f>IFERROR(INDEX(tEditais[UF],MATCH(tItens[[#This Row],[Edital]],tEditais[Edital],0)),"")</f>
        <v>GO</v>
      </c>
      <c r="I2329" s="11">
        <f>IFERROR(INDEX(tEditais[Encerramento],MATCH(tItens[[#This Row],[Edital]],tEditais[Edital],0)),"")</f>
        <v>46311.333333333336</v>
      </c>
      <c r="J2329" t="str">
        <f>IFERROR(INDEX(tProdutos[Classe],MATCH(tItens[[#This Row],[Produto]],tProdutos[Produto],0)),"produto não cadastrado")</f>
        <v>DISPUTADO</v>
      </c>
      <c r="K2329" s="12">
        <f>tItens[[#This Row],[Qtd]]*tItens[[#This Row],[Vlr unit]]</f>
        <v>8100.0000000000009</v>
      </c>
      <c r="L2329" s="6">
        <f>IFERROR(IF(INDEX(tProdutos[Desconto homologado],MATCH(tItens[[#This Row],[Produto]],tProdutos[Produto],0))="",DescontoPadrao,INDEX(tProdutos[Desconto homologado],MATCH(tItens[[#This Row],[Produto]],tProdutos[Produto],0))),DescontoPadrao)</f>
        <v>0.377587663709337</v>
      </c>
      <c r="M2329" s="12">
        <f>tItens[[#This Row],[Valor]]*(1-tItens[[#This Row],[Desconto]])</f>
        <v>5041.5399239543713</v>
      </c>
      <c r="N2329" t="str">
        <f>IFERROR(INDEX(tProdutos[Foco],MATCH(tItens[[#This Row],[Produto]],tProdutos[Produto],0)),"Não")</f>
        <v>Não</v>
      </c>
      <c r="O2329" t="str">
        <f>IFERROR(INDEX(tEditais[SRP],MATCH(tItens[[#This Row],[Edital]],tEditais[Edital],0)),"Não")</f>
        <v>Sim</v>
      </c>
      <c r="P2329" s="4">
        <f>IF(COUNTIFS(INDEX(tItens[Edital],1):tItens[[#This Row],[Edital]],tItens[[#This Row],[Edital]],INDEX(tItens[Produto],1):tItens[[#This Row],[Produto]],tItens[[#This Row],[Produto]])=1,1,0)</f>
        <v>1</v>
      </c>
    </row>
    <row r="2330" spans="1:16" x14ac:dyDescent="0.25">
      <c r="A2330" t="s">
        <v>1216</v>
      </c>
      <c r="B2330">
        <v>1032</v>
      </c>
      <c r="C2330" t="s">
        <v>5366</v>
      </c>
      <c r="D2330" t="s">
        <v>281</v>
      </c>
      <c r="E2330" s="13">
        <v>30000</v>
      </c>
      <c r="F2330" s="12">
        <v>0.35</v>
      </c>
      <c r="G2330" t="str">
        <f>IFERROR(INDEX(tEditais[Órgão],MATCH(tItens[[#This Row],[Edital]],tEditais[Edital],0)),"")</f>
        <v>FUNDO MUNICIPAL DE SAUDE</v>
      </c>
      <c r="H2330" t="str">
        <f>IFERROR(INDEX(tEditais[UF],MATCH(tItens[[#This Row],[Edital]],tEditais[Edital],0)),"")</f>
        <v>GO</v>
      </c>
      <c r="I2330" s="11">
        <f>IFERROR(INDEX(tEditais[Encerramento],MATCH(tItens[[#This Row],[Edital]],tEditais[Edital],0)),"")</f>
        <v>46311.333333333336</v>
      </c>
      <c r="J2330" t="str">
        <f>IFERROR(INDEX(tProdutos[Classe],MATCH(tItens[[#This Row],[Produto]],tProdutos[Produto],0)),"produto não cadastrado")</f>
        <v>DISPUTADO</v>
      </c>
      <c r="K2330" s="12">
        <f>tItens[[#This Row],[Qtd]]*tItens[[#This Row],[Vlr unit]]</f>
        <v>10500</v>
      </c>
      <c r="L2330" s="6">
        <f>IFERROR(IF(INDEX(tProdutos[Desconto homologado],MATCH(tItens[[#This Row],[Produto]],tProdutos[Produto],0))="",DescontoPadrao,INDEX(tProdutos[Desconto homologado],MATCH(tItens[[#This Row],[Produto]],tProdutos[Produto],0))),DescontoPadrao)</f>
        <v>0.42461538461538501</v>
      </c>
      <c r="M2330" s="12">
        <f>tItens[[#This Row],[Valor]]*(1-tItens[[#This Row],[Desconto]])</f>
        <v>6041.5384615384564</v>
      </c>
      <c r="N2330" t="str">
        <f>IFERROR(INDEX(tProdutos[Foco],MATCH(tItens[[#This Row],[Produto]],tProdutos[Produto],0)),"Não")</f>
        <v>Não</v>
      </c>
      <c r="O2330" t="str">
        <f>IFERROR(INDEX(tEditais[SRP],MATCH(tItens[[#This Row],[Edital]],tEditais[Edital],0)),"Não")</f>
        <v>Sim</v>
      </c>
      <c r="P2330" s="4">
        <f>IF(COUNTIFS(INDEX(tItens[Edital],1):tItens[[#This Row],[Edital]],tItens[[#This Row],[Edital]],INDEX(tItens[Produto],1):tItens[[#This Row],[Produto]],tItens[[#This Row],[Produto]])=1,1,0)</f>
        <v>0</v>
      </c>
    </row>
    <row r="2331" spans="1:16" x14ac:dyDescent="0.25">
      <c r="A2331" t="s">
        <v>1216</v>
      </c>
      <c r="B2331">
        <v>1033</v>
      </c>
      <c r="C2331" t="s">
        <v>5367</v>
      </c>
      <c r="D2331" t="s">
        <v>289</v>
      </c>
      <c r="E2331" s="13">
        <v>30000</v>
      </c>
      <c r="F2331" s="12">
        <v>0.5</v>
      </c>
      <c r="G2331" t="str">
        <f>IFERROR(INDEX(tEditais[Órgão],MATCH(tItens[[#This Row],[Edital]],tEditais[Edital],0)),"")</f>
        <v>FUNDO MUNICIPAL DE SAUDE</v>
      </c>
      <c r="H2331" t="str">
        <f>IFERROR(INDEX(tEditais[UF],MATCH(tItens[[#This Row],[Edital]],tEditais[Edital],0)),"")</f>
        <v>GO</v>
      </c>
      <c r="I2331" s="11">
        <f>IFERROR(INDEX(tEditais[Encerramento],MATCH(tItens[[#This Row],[Edital]],tEditais[Edital],0)),"")</f>
        <v>46311.333333333336</v>
      </c>
      <c r="J2331" t="str">
        <f>IFERROR(INDEX(tProdutos[Classe],MATCH(tItens[[#This Row],[Produto]],tProdutos[Produto],0)),"produto não cadastrado")</f>
        <v>DISPUTADO</v>
      </c>
      <c r="K2331" s="12">
        <f>tItens[[#This Row],[Qtd]]*tItens[[#This Row],[Vlr unit]]</f>
        <v>15000</v>
      </c>
      <c r="L2331" s="6">
        <f>IFERROR(IF(INDEX(tProdutos[Desconto homologado],MATCH(tItens[[#This Row],[Produto]],tProdutos[Produto],0))="",DescontoPadrao,INDEX(tProdutos[Desconto homologado],MATCH(tItens[[#This Row],[Produto]],tProdutos[Produto],0))),DescontoPadrao)</f>
        <v>0.35849056603773599</v>
      </c>
      <c r="M2331" s="12">
        <f>tItens[[#This Row],[Valor]]*(1-tItens[[#This Row],[Desconto]])</f>
        <v>9622.6415094339609</v>
      </c>
      <c r="N2331" t="str">
        <f>IFERROR(INDEX(tProdutos[Foco],MATCH(tItens[[#This Row],[Produto]],tProdutos[Produto],0)),"Não")</f>
        <v>Não</v>
      </c>
      <c r="O2331" t="str">
        <f>IFERROR(INDEX(tEditais[SRP],MATCH(tItens[[#This Row],[Edital]],tEditais[Edital],0)),"Não")</f>
        <v>Sim</v>
      </c>
      <c r="P2331" s="4">
        <f>IF(COUNTIFS(INDEX(tItens[Edital],1):tItens[[#This Row],[Edital]],tItens[[#This Row],[Edital]],INDEX(tItens[Produto],1):tItens[[#This Row],[Produto]],tItens[[#This Row],[Produto]])=1,1,0)</f>
        <v>0</v>
      </c>
    </row>
    <row r="2332" spans="1:16" x14ac:dyDescent="0.25">
      <c r="A2332" t="s">
        <v>1216</v>
      </c>
      <c r="B2332">
        <v>1051</v>
      </c>
      <c r="C2332" t="s">
        <v>5368</v>
      </c>
      <c r="D2332" t="s">
        <v>184</v>
      </c>
      <c r="E2332" s="13">
        <v>300</v>
      </c>
      <c r="F2332" s="12">
        <v>2.59</v>
      </c>
      <c r="G2332" t="str">
        <f>IFERROR(INDEX(tEditais[Órgão],MATCH(tItens[[#This Row],[Edital]],tEditais[Edital],0)),"")</f>
        <v>FUNDO MUNICIPAL DE SAUDE</v>
      </c>
      <c r="H2332" t="str">
        <f>IFERROR(INDEX(tEditais[UF],MATCH(tItens[[#This Row],[Edital]],tEditais[Edital],0)),"")</f>
        <v>GO</v>
      </c>
      <c r="I2332" s="11">
        <f>IFERROR(INDEX(tEditais[Encerramento],MATCH(tItens[[#This Row],[Edital]],tEditais[Edital],0)),"")</f>
        <v>46311.333333333336</v>
      </c>
      <c r="J2332" t="str">
        <f>IFERROR(INDEX(tProdutos[Classe],MATCH(tItens[[#This Row],[Produto]],tProdutos[Produto],0)),"produto não cadastrado")</f>
        <v>FORA</v>
      </c>
      <c r="K2332" s="12">
        <f>tItens[[#This Row],[Qtd]]*tItens[[#This Row],[Vlr unit]]</f>
        <v>777</v>
      </c>
      <c r="L2332" s="6">
        <f>IFERROR(IF(INDEX(tProdutos[Desconto homologado],MATCH(tItens[[#This Row],[Produto]],tProdutos[Produto],0))="",DescontoPadrao,INDEX(tProdutos[Desconto homologado],MATCH(tItens[[#This Row],[Produto]],tProdutos[Produto],0))),DescontoPadrao)</f>
        <v>0.363567906332742</v>
      </c>
      <c r="M2332" s="12">
        <f>tItens[[#This Row],[Valor]]*(1-tItens[[#This Row],[Desconto]])</f>
        <v>494.50773677945949</v>
      </c>
      <c r="N2332" t="str">
        <f>IFERROR(INDEX(tProdutos[Foco],MATCH(tItens[[#This Row],[Produto]],tProdutos[Produto],0)),"Não")</f>
        <v>Não</v>
      </c>
      <c r="O2332" t="str">
        <f>IFERROR(INDEX(tEditais[SRP],MATCH(tItens[[#This Row],[Edital]],tEditais[Edital],0)),"Não")</f>
        <v>Sim</v>
      </c>
      <c r="P2332" s="4">
        <f>IF(COUNTIFS(INDEX(tItens[Edital],1):tItens[[#This Row],[Edital]],tItens[[#This Row],[Edital]],INDEX(tItens[Produto],1):tItens[[#This Row],[Produto]],tItens[[#This Row],[Produto]])=1,1,0)</f>
        <v>1</v>
      </c>
    </row>
    <row r="2333" spans="1:16" x14ac:dyDescent="0.25">
      <c r="A2333" t="s">
        <v>1216</v>
      </c>
      <c r="B2333">
        <v>1052</v>
      </c>
      <c r="C2333" t="s">
        <v>5369</v>
      </c>
      <c r="D2333" t="s">
        <v>184</v>
      </c>
      <c r="E2333" s="13">
        <v>300</v>
      </c>
      <c r="F2333" s="12">
        <v>2.59</v>
      </c>
      <c r="G2333" t="str">
        <f>IFERROR(INDEX(tEditais[Órgão],MATCH(tItens[[#This Row],[Edital]],tEditais[Edital],0)),"")</f>
        <v>FUNDO MUNICIPAL DE SAUDE</v>
      </c>
      <c r="H2333" t="str">
        <f>IFERROR(INDEX(tEditais[UF],MATCH(tItens[[#This Row],[Edital]],tEditais[Edital],0)),"")</f>
        <v>GO</v>
      </c>
      <c r="I2333" s="11">
        <f>IFERROR(INDEX(tEditais[Encerramento],MATCH(tItens[[#This Row],[Edital]],tEditais[Edital],0)),"")</f>
        <v>46311.333333333336</v>
      </c>
      <c r="J2333" t="str">
        <f>IFERROR(INDEX(tProdutos[Classe],MATCH(tItens[[#This Row],[Produto]],tProdutos[Produto],0)),"produto não cadastrado")</f>
        <v>FORA</v>
      </c>
      <c r="K2333" s="12">
        <f>tItens[[#This Row],[Qtd]]*tItens[[#This Row],[Vlr unit]]</f>
        <v>777</v>
      </c>
      <c r="L2333" s="6">
        <f>IFERROR(IF(INDEX(tProdutos[Desconto homologado],MATCH(tItens[[#This Row],[Produto]],tProdutos[Produto],0))="",DescontoPadrao,INDEX(tProdutos[Desconto homologado],MATCH(tItens[[#This Row],[Produto]],tProdutos[Produto],0))),DescontoPadrao)</f>
        <v>0.363567906332742</v>
      </c>
      <c r="M2333" s="12">
        <f>tItens[[#This Row],[Valor]]*(1-tItens[[#This Row],[Desconto]])</f>
        <v>494.50773677945949</v>
      </c>
      <c r="N2333" t="str">
        <f>IFERROR(INDEX(tProdutos[Foco],MATCH(tItens[[#This Row],[Produto]],tProdutos[Produto],0)),"Não")</f>
        <v>Não</v>
      </c>
      <c r="O2333" t="str">
        <f>IFERROR(INDEX(tEditais[SRP],MATCH(tItens[[#This Row],[Edital]],tEditais[Edital],0)),"Não")</f>
        <v>Sim</v>
      </c>
      <c r="P2333" s="4">
        <f>IF(COUNTIFS(INDEX(tItens[Edital],1):tItens[[#This Row],[Edital]],tItens[[#This Row],[Edital]],INDEX(tItens[Produto],1):tItens[[#This Row],[Produto]],tItens[[#This Row],[Produto]])=1,1,0)</f>
        <v>0</v>
      </c>
    </row>
    <row r="2334" spans="1:16" x14ac:dyDescent="0.25">
      <c r="A2334" t="s">
        <v>1216</v>
      </c>
      <c r="B2334">
        <v>1053</v>
      </c>
      <c r="C2334" t="s">
        <v>5370</v>
      </c>
      <c r="D2334" t="s">
        <v>184</v>
      </c>
      <c r="E2334" s="13">
        <v>300</v>
      </c>
      <c r="F2334" s="12">
        <v>2.59</v>
      </c>
      <c r="G2334" t="str">
        <f>IFERROR(INDEX(tEditais[Órgão],MATCH(tItens[[#This Row],[Edital]],tEditais[Edital],0)),"")</f>
        <v>FUNDO MUNICIPAL DE SAUDE</v>
      </c>
      <c r="H2334" t="str">
        <f>IFERROR(INDEX(tEditais[UF],MATCH(tItens[[#This Row],[Edital]],tEditais[Edital],0)),"")</f>
        <v>GO</v>
      </c>
      <c r="I2334" s="11">
        <f>IFERROR(INDEX(tEditais[Encerramento],MATCH(tItens[[#This Row],[Edital]],tEditais[Edital],0)),"")</f>
        <v>46311.333333333336</v>
      </c>
      <c r="J2334" t="str">
        <f>IFERROR(INDEX(tProdutos[Classe],MATCH(tItens[[#This Row],[Produto]],tProdutos[Produto],0)),"produto não cadastrado")</f>
        <v>FORA</v>
      </c>
      <c r="K2334" s="12">
        <f>tItens[[#This Row],[Qtd]]*tItens[[#This Row],[Vlr unit]]</f>
        <v>777</v>
      </c>
      <c r="L2334" s="6">
        <f>IFERROR(IF(INDEX(tProdutos[Desconto homologado],MATCH(tItens[[#This Row],[Produto]],tProdutos[Produto],0))="",DescontoPadrao,INDEX(tProdutos[Desconto homologado],MATCH(tItens[[#This Row],[Produto]],tProdutos[Produto],0))),DescontoPadrao)</f>
        <v>0.363567906332742</v>
      </c>
      <c r="M2334" s="12">
        <f>tItens[[#This Row],[Valor]]*(1-tItens[[#This Row],[Desconto]])</f>
        <v>494.50773677945949</v>
      </c>
      <c r="N2334" t="str">
        <f>IFERROR(INDEX(tProdutos[Foco],MATCH(tItens[[#This Row],[Produto]],tProdutos[Produto],0)),"Não")</f>
        <v>Não</v>
      </c>
      <c r="O2334" t="str">
        <f>IFERROR(INDEX(tEditais[SRP],MATCH(tItens[[#This Row],[Edital]],tEditais[Edital],0)),"Não")</f>
        <v>Sim</v>
      </c>
      <c r="P2334" s="4">
        <f>IF(COUNTIFS(INDEX(tItens[Edital],1):tItens[[#This Row],[Edital]],tItens[[#This Row],[Edital]],INDEX(tItens[Produto],1):tItens[[#This Row],[Produto]],tItens[[#This Row],[Produto]])=1,1,0)</f>
        <v>0</v>
      </c>
    </row>
    <row r="2335" spans="1:16" x14ac:dyDescent="0.25">
      <c r="A2335" t="s">
        <v>1216</v>
      </c>
      <c r="B2335">
        <v>1054</v>
      </c>
      <c r="C2335" t="s">
        <v>5371</v>
      </c>
      <c r="D2335" t="s">
        <v>184</v>
      </c>
      <c r="E2335" s="13">
        <v>300</v>
      </c>
      <c r="F2335" s="12">
        <v>2.59</v>
      </c>
      <c r="G2335" t="str">
        <f>IFERROR(INDEX(tEditais[Órgão],MATCH(tItens[[#This Row],[Edital]],tEditais[Edital],0)),"")</f>
        <v>FUNDO MUNICIPAL DE SAUDE</v>
      </c>
      <c r="H2335" t="str">
        <f>IFERROR(INDEX(tEditais[UF],MATCH(tItens[[#This Row],[Edital]],tEditais[Edital],0)),"")</f>
        <v>GO</v>
      </c>
      <c r="I2335" s="11">
        <f>IFERROR(INDEX(tEditais[Encerramento],MATCH(tItens[[#This Row],[Edital]],tEditais[Edital],0)),"")</f>
        <v>46311.333333333336</v>
      </c>
      <c r="J2335" t="str">
        <f>IFERROR(INDEX(tProdutos[Classe],MATCH(tItens[[#This Row],[Produto]],tProdutos[Produto],0)),"produto não cadastrado")</f>
        <v>FORA</v>
      </c>
      <c r="K2335" s="12">
        <f>tItens[[#This Row],[Qtd]]*tItens[[#This Row],[Vlr unit]]</f>
        <v>777</v>
      </c>
      <c r="L2335" s="6">
        <f>IFERROR(IF(INDEX(tProdutos[Desconto homologado],MATCH(tItens[[#This Row],[Produto]],tProdutos[Produto],0))="",DescontoPadrao,INDEX(tProdutos[Desconto homologado],MATCH(tItens[[#This Row],[Produto]],tProdutos[Produto],0))),DescontoPadrao)</f>
        <v>0.363567906332742</v>
      </c>
      <c r="M2335" s="12">
        <f>tItens[[#This Row],[Valor]]*(1-tItens[[#This Row],[Desconto]])</f>
        <v>494.50773677945949</v>
      </c>
      <c r="N2335" t="str">
        <f>IFERROR(INDEX(tProdutos[Foco],MATCH(tItens[[#This Row],[Produto]],tProdutos[Produto],0)),"Não")</f>
        <v>Não</v>
      </c>
      <c r="O2335" t="str">
        <f>IFERROR(INDEX(tEditais[SRP],MATCH(tItens[[#This Row],[Edital]],tEditais[Edital],0)),"Não")</f>
        <v>Sim</v>
      </c>
      <c r="P2335" s="4">
        <f>IF(COUNTIFS(INDEX(tItens[Edital],1):tItens[[#This Row],[Edital]],tItens[[#This Row],[Edital]],INDEX(tItens[Produto],1):tItens[[#This Row],[Produto]],tItens[[#This Row],[Produto]])=1,1,0)</f>
        <v>0</v>
      </c>
    </row>
    <row r="2336" spans="1:16" x14ac:dyDescent="0.25">
      <c r="A2336" t="s">
        <v>1216</v>
      </c>
      <c r="B2336">
        <v>1055</v>
      </c>
      <c r="C2336" t="s">
        <v>5372</v>
      </c>
      <c r="D2336" t="s">
        <v>184</v>
      </c>
      <c r="E2336" s="13">
        <v>300</v>
      </c>
      <c r="F2336" s="12">
        <v>2.59</v>
      </c>
      <c r="G2336" t="str">
        <f>IFERROR(INDEX(tEditais[Órgão],MATCH(tItens[[#This Row],[Edital]],tEditais[Edital],0)),"")</f>
        <v>FUNDO MUNICIPAL DE SAUDE</v>
      </c>
      <c r="H2336" t="str">
        <f>IFERROR(INDEX(tEditais[UF],MATCH(tItens[[#This Row],[Edital]],tEditais[Edital],0)),"")</f>
        <v>GO</v>
      </c>
      <c r="I2336" s="11">
        <f>IFERROR(INDEX(tEditais[Encerramento],MATCH(tItens[[#This Row],[Edital]],tEditais[Edital],0)),"")</f>
        <v>46311.333333333336</v>
      </c>
      <c r="J2336" t="str">
        <f>IFERROR(INDEX(tProdutos[Classe],MATCH(tItens[[#This Row],[Produto]],tProdutos[Produto],0)),"produto não cadastrado")</f>
        <v>FORA</v>
      </c>
      <c r="K2336" s="12">
        <f>tItens[[#This Row],[Qtd]]*tItens[[#This Row],[Vlr unit]]</f>
        <v>777</v>
      </c>
      <c r="L2336" s="6">
        <f>IFERROR(IF(INDEX(tProdutos[Desconto homologado],MATCH(tItens[[#This Row],[Produto]],tProdutos[Produto],0))="",DescontoPadrao,INDEX(tProdutos[Desconto homologado],MATCH(tItens[[#This Row],[Produto]],tProdutos[Produto],0))),DescontoPadrao)</f>
        <v>0.363567906332742</v>
      </c>
      <c r="M2336" s="12">
        <f>tItens[[#This Row],[Valor]]*(1-tItens[[#This Row],[Desconto]])</f>
        <v>494.50773677945949</v>
      </c>
      <c r="N2336" t="str">
        <f>IFERROR(INDEX(tProdutos[Foco],MATCH(tItens[[#This Row],[Produto]],tProdutos[Produto],0)),"Não")</f>
        <v>Não</v>
      </c>
      <c r="O2336" t="str">
        <f>IFERROR(INDEX(tEditais[SRP],MATCH(tItens[[#This Row],[Edital]],tEditais[Edital],0)),"Não")</f>
        <v>Sim</v>
      </c>
      <c r="P2336" s="4">
        <f>IF(COUNTIFS(INDEX(tItens[Edital],1):tItens[[#This Row],[Edital]],tItens[[#This Row],[Edital]],INDEX(tItens[Produto],1):tItens[[#This Row],[Produto]],tItens[[#This Row],[Produto]])=1,1,0)</f>
        <v>0</v>
      </c>
    </row>
    <row r="2337" spans="1:16" x14ac:dyDescent="0.25">
      <c r="A2337" t="s">
        <v>1216</v>
      </c>
      <c r="B2337">
        <v>1056</v>
      </c>
      <c r="C2337" t="s">
        <v>5373</v>
      </c>
      <c r="D2337" t="s">
        <v>184</v>
      </c>
      <c r="E2337" s="13">
        <v>300</v>
      </c>
      <c r="F2337" s="12">
        <v>2.59</v>
      </c>
      <c r="G2337" t="str">
        <f>IFERROR(INDEX(tEditais[Órgão],MATCH(tItens[[#This Row],[Edital]],tEditais[Edital],0)),"")</f>
        <v>FUNDO MUNICIPAL DE SAUDE</v>
      </c>
      <c r="H2337" t="str">
        <f>IFERROR(INDEX(tEditais[UF],MATCH(tItens[[#This Row],[Edital]],tEditais[Edital],0)),"")</f>
        <v>GO</v>
      </c>
      <c r="I2337" s="11">
        <f>IFERROR(INDEX(tEditais[Encerramento],MATCH(tItens[[#This Row],[Edital]],tEditais[Edital],0)),"")</f>
        <v>46311.333333333336</v>
      </c>
      <c r="J2337" t="str">
        <f>IFERROR(INDEX(tProdutos[Classe],MATCH(tItens[[#This Row],[Produto]],tProdutos[Produto],0)),"produto não cadastrado")</f>
        <v>FORA</v>
      </c>
      <c r="K2337" s="12">
        <f>tItens[[#This Row],[Qtd]]*tItens[[#This Row],[Vlr unit]]</f>
        <v>777</v>
      </c>
      <c r="L2337" s="6">
        <f>IFERROR(IF(INDEX(tProdutos[Desconto homologado],MATCH(tItens[[#This Row],[Produto]],tProdutos[Produto],0))="",DescontoPadrao,INDEX(tProdutos[Desconto homologado],MATCH(tItens[[#This Row],[Produto]],tProdutos[Produto],0))),DescontoPadrao)</f>
        <v>0.363567906332742</v>
      </c>
      <c r="M2337" s="12">
        <f>tItens[[#This Row],[Valor]]*(1-tItens[[#This Row],[Desconto]])</f>
        <v>494.50773677945949</v>
      </c>
      <c r="N2337" t="str">
        <f>IFERROR(INDEX(tProdutos[Foco],MATCH(tItens[[#This Row],[Produto]],tProdutos[Produto],0)),"Não")</f>
        <v>Não</v>
      </c>
      <c r="O2337" t="str">
        <f>IFERROR(INDEX(tEditais[SRP],MATCH(tItens[[#This Row],[Edital]],tEditais[Edital],0)),"Não")</f>
        <v>Sim</v>
      </c>
      <c r="P2337" s="4">
        <f>IF(COUNTIFS(INDEX(tItens[Edital],1):tItens[[#This Row],[Edital]],tItens[[#This Row],[Edital]],INDEX(tItens[Produto],1):tItens[[#This Row],[Produto]],tItens[[#This Row],[Produto]])=1,1,0)</f>
        <v>0</v>
      </c>
    </row>
    <row r="2338" spans="1:16" x14ac:dyDescent="0.25">
      <c r="A2338" t="s">
        <v>1216</v>
      </c>
      <c r="B2338">
        <v>1057</v>
      </c>
      <c r="C2338" t="s">
        <v>5374</v>
      </c>
      <c r="D2338" t="s">
        <v>184</v>
      </c>
      <c r="E2338" s="13">
        <v>300</v>
      </c>
      <c r="F2338" s="12">
        <v>2.59</v>
      </c>
      <c r="G2338" t="str">
        <f>IFERROR(INDEX(tEditais[Órgão],MATCH(tItens[[#This Row],[Edital]],tEditais[Edital],0)),"")</f>
        <v>FUNDO MUNICIPAL DE SAUDE</v>
      </c>
      <c r="H2338" t="str">
        <f>IFERROR(INDEX(tEditais[UF],MATCH(tItens[[#This Row],[Edital]],tEditais[Edital],0)),"")</f>
        <v>GO</v>
      </c>
      <c r="I2338" s="11">
        <f>IFERROR(INDEX(tEditais[Encerramento],MATCH(tItens[[#This Row],[Edital]],tEditais[Edital],0)),"")</f>
        <v>46311.333333333336</v>
      </c>
      <c r="J2338" t="str">
        <f>IFERROR(INDEX(tProdutos[Classe],MATCH(tItens[[#This Row],[Produto]],tProdutos[Produto],0)),"produto não cadastrado")</f>
        <v>FORA</v>
      </c>
      <c r="K2338" s="12">
        <f>tItens[[#This Row],[Qtd]]*tItens[[#This Row],[Vlr unit]]</f>
        <v>777</v>
      </c>
      <c r="L2338" s="6">
        <f>IFERROR(IF(INDEX(tProdutos[Desconto homologado],MATCH(tItens[[#This Row],[Produto]],tProdutos[Produto],0))="",DescontoPadrao,INDEX(tProdutos[Desconto homologado],MATCH(tItens[[#This Row],[Produto]],tProdutos[Produto],0))),DescontoPadrao)</f>
        <v>0.363567906332742</v>
      </c>
      <c r="M2338" s="12">
        <f>tItens[[#This Row],[Valor]]*(1-tItens[[#This Row],[Desconto]])</f>
        <v>494.50773677945949</v>
      </c>
      <c r="N2338" t="str">
        <f>IFERROR(INDEX(tProdutos[Foco],MATCH(tItens[[#This Row],[Produto]],tProdutos[Produto],0)),"Não")</f>
        <v>Não</v>
      </c>
      <c r="O2338" t="str">
        <f>IFERROR(INDEX(tEditais[SRP],MATCH(tItens[[#This Row],[Edital]],tEditais[Edital],0)),"Não")</f>
        <v>Sim</v>
      </c>
      <c r="P2338" s="4">
        <f>IF(COUNTIFS(INDEX(tItens[Edital],1):tItens[[#This Row],[Edital]],tItens[[#This Row],[Edital]],INDEX(tItens[Produto],1):tItens[[#This Row],[Produto]],tItens[[#This Row],[Produto]])=1,1,0)</f>
        <v>0</v>
      </c>
    </row>
    <row r="2339" spans="1:16" x14ac:dyDescent="0.25">
      <c r="A2339" t="s">
        <v>1216</v>
      </c>
      <c r="B2339">
        <v>1058</v>
      </c>
      <c r="C2339" t="s">
        <v>5375</v>
      </c>
      <c r="D2339" t="s">
        <v>184</v>
      </c>
      <c r="E2339" s="13">
        <v>300</v>
      </c>
      <c r="F2339" s="12">
        <v>2.59</v>
      </c>
      <c r="G2339" t="str">
        <f>IFERROR(INDEX(tEditais[Órgão],MATCH(tItens[[#This Row],[Edital]],tEditais[Edital],0)),"")</f>
        <v>FUNDO MUNICIPAL DE SAUDE</v>
      </c>
      <c r="H2339" t="str">
        <f>IFERROR(INDEX(tEditais[UF],MATCH(tItens[[#This Row],[Edital]],tEditais[Edital],0)),"")</f>
        <v>GO</v>
      </c>
      <c r="I2339" s="11">
        <f>IFERROR(INDEX(tEditais[Encerramento],MATCH(tItens[[#This Row],[Edital]],tEditais[Edital],0)),"")</f>
        <v>46311.333333333336</v>
      </c>
      <c r="J2339" t="str">
        <f>IFERROR(INDEX(tProdutos[Classe],MATCH(tItens[[#This Row],[Produto]],tProdutos[Produto],0)),"produto não cadastrado")</f>
        <v>FORA</v>
      </c>
      <c r="K2339" s="12">
        <f>tItens[[#This Row],[Qtd]]*tItens[[#This Row],[Vlr unit]]</f>
        <v>777</v>
      </c>
      <c r="L2339" s="6">
        <f>IFERROR(IF(INDEX(tProdutos[Desconto homologado],MATCH(tItens[[#This Row],[Produto]],tProdutos[Produto],0))="",DescontoPadrao,INDEX(tProdutos[Desconto homologado],MATCH(tItens[[#This Row],[Produto]],tProdutos[Produto],0))),DescontoPadrao)</f>
        <v>0.363567906332742</v>
      </c>
      <c r="M2339" s="12">
        <f>tItens[[#This Row],[Valor]]*(1-tItens[[#This Row],[Desconto]])</f>
        <v>494.50773677945949</v>
      </c>
      <c r="N2339" t="str">
        <f>IFERROR(INDEX(tProdutos[Foco],MATCH(tItens[[#This Row],[Produto]],tProdutos[Produto],0)),"Não")</f>
        <v>Não</v>
      </c>
      <c r="O2339" t="str">
        <f>IFERROR(INDEX(tEditais[SRP],MATCH(tItens[[#This Row],[Edital]],tEditais[Edital],0)),"Não")</f>
        <v>Sim</v>
      </c>
      <c r="P2339" s="4">
        <f>IF(COUNTIFS(INDEX(tItens[Edital],1):tItens[[#This Row],[Edital]],tItens[[#This Row],[Edital]],INDEX(tItens[Produto],1):tItens[[#This Row],[Produto]],tItens[[#This Row],[Produto]])=1,1,0)</f>
        <v>0</v>
      </c>
    </row>
    <row r="2340" spans="1:16" x14ac:dyDescent="0.25">
      <c r="A2340" t="s">
        <v>1216</v>
      </c>
      <c r="B2340">
        <v>1059</v>
      </c>
      <c r="C2340" t="s">
        <v>5376</v>
      </c>
      <c r="D2340" t="s">
        <v>184</v>
      </c>
      <c r="E2340" s="13">
        <v>300</v>
      </c>
      <c r="F2340" s="12">
        <v>2.59</v>
      </c>
      <c r="G2340" t="str">
        <f>IFERROR(INDEX(tEditais[Órgão],MATCH(tItens[[#This Row],[Edital]],tEditais[Edital],0)),"")</f>
        <v>FUNDO MUNICIPAL DE SAUDE</v>
      </c>
      <c r="H2340" t="str">
        <f>IFERROR(INDEX(tEditais[UF],MATCH(tItens[[#This Row],[Edital]],tEditais[Edital],0)),"")</f>
        <v>GO</v>
      </c>
      <c r="I2340" s="11">
        <f>IFERROR(INDEX(tEditais[Encerramento],MATCH(tItens[[#This Row],[Edital]],tEditais[Edital],0)),"")</f>
        <v>46311.333333333336</v>
      </c>
      <c r="J2340" t="str">
        <f>IFERROR(INDEX(tProdutos[Classe],MATCH(tItens[[#This Row],[Produto]],tProdutos[Produto],0)),"produto não cadastrado")</f>
        <v>FORA</v>
      </c>
      <c r="K2340" s="12">
        <f>tItens[[#This Row],[Qtd]]*tItens[[#This Row],[Vlr unit]]</f>
        <v>777</v>
      </c>
      <c r="L2340" s="6">
        <f>IFERROR(IF(INDEX(tProdutos[Desconto homologado],MATCH(tItens[[#This Row],[Produto]],tProdutos[Produto],0))="",DescontoPadrao,INDEX(tProdutos[Desconto homologado],MATCH(tItens[[#This Row],[Produto]],tProdutos[Produto],0))),DescontoPadrao)</f>
        <v>0.363567906332742</v>
      </c>
      <c r="M2340" s="12">
        <f>tItens[[#This Row],[Valor]]*(1-tItens[[#This Row],[Desconto]])</f>
        <v>494.50773677945949</v>
      </c>
      <c r="N2340" t="str">
        <f>IFERROR(INDEX(tProdutos[Foco],MATCH(tItens[[#This Row],[Produto]],tProdutos[Produto],0)),"Não")</f>
        <v>Não</v>
      </c>
      <c r="O2340" t="str">
        <f>IFERROR(INDEX(tEditais[SRP],MATCH(tItens[[#This Row],[Edital]],tEditais[Edital],0)),"Não")</f>
        <v>Sim</v>
      </c>
      <c r="P2340" s="4">
        <f>IF(COUNTIFS(INDEX(tItens[Edital],1):tItens[[#This Row],[Edital]],tItens[[#This Row],[Edital]],INDEX(tItens[Produto],1):tItens[[#This Row],[Produto]],tItens[[#This Row],[Produto]])=1,1,0)</f>
        <v>0</v>
      </c>
    </row>
    <row r="2341" spans="1:16" x14ac:dyDescent="0.25">
      <c r="A2341" t="s">
        <v>1216</v>
      </c>
      <c r="B2341">
        <v>1060</v>
      </c>
      <c r="C2341" t="s">
        <v>5377</v>
      </c>
      <c r="D2341" t="s">
        <v>253</v>
      </c>
      <c r="E2341" s="13">
        <v>300</v>
      </c>
      <c r="F2341" s="12">
        <v>2.59</v>
      </c>
      <c r="G2341" t="str">
        <f>IFERROR(INDEX(tEditais[Órgão],MATCH(tItens[[#This Row],[Edital]],tEditais[Edital],0)),"")</f>
        <v>FUNDO MUNICIPAL DE SAUDE</v>
      </c>
      <c r="H2341" t="str">
        <f>IFERROR(INDEX(tEditais[UF],MATCH(tItens[[#This Row],[Edital]],tEditais[Edital],0)),"")</f>
        <v>GO</v>
      </c>
      <c r="I2341" s="11">
        <f>IFERROR(INDEX(tEditais[Encerramento],MATCH(tItens[[#This Row],[Edital]],tEditais[Edital],0)),"")</f>
        <v>46311.333333333336</v>
      </c>
      <c r="J2341" t="str">
        <f>IFERROR(INDEX(tProdutos[Classe],MATCH(tItens[[#This Row],[Produto]],tProdutos[Produto],0)),"produto não cadastrado")</f>
        <v>FORA</v>
      </c>
      <c r="K2341" s="12">
        <f>tItens[[#This Row],[Qtd]]*tItens[[#This Row],[Vlr unit]]</f>
        <v>777</v>
      </c>
      <c r="L2341" s="6">
        <f>IFERROR(IF(INDEX(tProdutos[Desconto homologado],MATCH(tItens[[#This Row],[Produto]],tProdutos[Produto],0))="",DescontoPadrao,INDEX(tProdutos[Desconto homologado],MATCH(tItens[[#This Row],[Produto]],tProdutos[Produto],0))),DescontoPadrao)</f>
        <v>0.31735159817351599</v>
      </c>
      <c r="M2341" s="12">
        <f>tItens[[#This Row],[Valor]]*(1-tItens[[#This Row],[Desconto]])</f>
        <v>530.41780821917803</v>
      </c>
      <c r="N2341" t="str">
        <f>IFERROR(INDEX(tProdutos[Foco],MATCH(tItens[[#This Row],[Produto]],tProdutos[Produto],0)),"Não")</f>
        <v>Não</v>
      </c>
      <c r="O2341" t="str">
        <f>IFERROR(INDEX(tEditais[SRP],MATCH(tItens[[#This Row],[Edital]],tEditais[Edital],0)),"Não")</f>
        <v>Sim</v>
      </c>
      <c r="P2341" s="4">
        <f>IF(COUNTIFS(INDEX(tItens[Edital],1):tItens[[#This Row],[Edital]],tItens[[#This Row],[Edital]],INDEX(tItens[Produto],1):tItens[[#This Row],[Produto]],tItens[[#This Row],[Produto]])=1,1,0)</f>
        <v>1</v>
      </c>
    </row>
    <row r="2342" spans="1:16" x14ac:dyDescent="0.25">
      <c r="A2342" t="s">
        <v>1216</v>
      </c>
      <c r="B2342">
        <v>1061</v>
      </c>
      <c r="C2342" t="s">
        <v>5378</v>
      </c>
      <c r="D2342" t="s">
        <v>253</v>
      </c>
      <c r="E2342" s="13">
        <v>300</v>
      </c>
      <c r="F2342" s="12">
        <v>2.59</v>
      </c>
      <c r="G2342" t="str">
        <f>IFERROR(INDEX(tEditais[Órgão],MATCH(tItens[[#This Row],[Edital]],tEditais[Edital],0)),"")</f>
        <v>FUNDO MUNICIPAL DE SAUDE</v>
      </c>
      <c r="H2342" t="str">
        <f>IFERROR(INDEX(tEditais[UF],MATCH(tItens[[#This Row],[Edital]],tEditais[Edital],0)),"")</f>
        <v>GO</v>
      </c>
      <c r="I2342" s="11">
        <f>IFERROR(INDEX(tEditais[Encerramento],MATCH(tItens[[#This Row],[Edital]],tEditais[Edital],0)),"")</f>
        <v>46311.333333333336</v>
      </c>
      <c r="J2342" t="str">
        <f>IFERROR(INDEX(tProdutos[Classe],MATCH(tItens[[#This Row],[Produto]],tProdutos[Produto],0)),"produto não cadastrado")</f>
        <v>FORA</v>
      </c>
      <c r="K2342" s="12">
        <f>tItens[[#This Row],[Qtd]]*tItens[[#This Row],[Vlr unit]]</f>
        <v>777</v>
      </c>
      <c r="L2342" s="6">
        <f>IFERROR(IF(INDEX(tProdutos[Desconto homologado],MATCH(tItens[[#This Row],[Produto]],tProdutos[Produto],0))="",DescontoPadrao,INDEX(tProdutos[Desconto homologado],MATCH(tItens[[#This Row],[Produto]],tProdutos[Produto],0))),DescontoPadrao)</f>
        <v>0.31735159817351599</v>
      </c>
      <c r="M2342" s="12">
        <f>tItens[[#This Row],[Valor]]*(1-tItens[[#This Row],[Desconto]])</f>
        <v>530.41780821917803</v>
      </c>
      <c r="N2342" t="str">
        <f>IFERROR(INDEX(tProdutos[Foco],MATCH(tItens[[#This Row],[Produto]],tProdutos[Produto],0)),"Não")</f>
        <v>Não</v>
      </c>
      <c r="O2342" t="str">
        <f>IFERROR(INDEX(tEditais[SRP],MATCH(tItens[[#This Row],[Edital]],tEditais[Edital],0)),"Não")</f>
        <v>Sim</v>
      </c>
      <c r="P2342" s="4">
        <f>IF(COUNTIFS(INDEX(tItens[Edital],1):tItens[[#This Row],[Edital]],tItens[[#This Row],[Edital]],INDEX(tItens[Produto],1):tItens[[#This Row],[Produto]],tItens[[#This Row],[Produto]])=1,1,0)</f>
        <v>0</v>
      </c>
    </row>
    <row r="2343" spans="1:16" x14ac:dyDescent="0.25">
      <c r="A2343" t="s">
        <v>1216</v>
      </c>
      <c r="B2343">
        <v>1062</v>
      </c>
      <c r="C2343" t="s">
        <v>5379</v>
      </c>
      <c r="D2343" t="s">
        <v>253</v>
      </c>
      <c r="E2343" s="13">
        <v>300</v>
      </c>
      <c r="F2343" s="12">
        <v>2.59</v>
      </c>
      <c r="G2343" t="str">
        <f>IFERROR(INDEX(tEditais[Órgão],MATCH(tItens[[#This Row],[Edital]],tEditais[Edital],0)),"")</f>
        <v>FUNDO MUNICIPAL DE SAUDE</v>
      </c>
      <c r="H2343" t="str">
        <f>IFERROR(INDEX(tEditais[UF],MATCH(tItens[[#This Row],[Edital]],tEditais[Edital],0)),"")</f>
        <v>GO</v>
      </c>
      <c r="I2343" s="11">
        <f>IFERROR(INDEX(tEditais[Encerramento],MATCH(tItens[[#This Row],[Edital]],tEditais[Edital],0)),"")</f>
        <v>46311.333333333336</v>
      </c>
      <c r="J2343" t="str">
        <f>IFERROR(INDEX(tProdutos[Classe],MATCH(tItens[[#This Row],[Produto]],tProdutos[Produto],0)),"produto não cadastrado")</f>
        <v>FORA</v>
      </c>
      <c r="K2343" s="12">
        <f>tItens[[#This Row],[Qtd]]*tItens[[#This Row],[Vlr unit]]</f>
        <v>777</v>
      </c>
      <c r="L2343" s="6">
        <f>IFERROR(IF(INDEX(tProdutos[Desconto homologado],MATCH(tItens[[#This Row],[Produto]],tProdutos[Produto],0))="",DescontoPadrao,INDEX(tProdutos[Desconto homologado],MATCH(tItens[[#This Row],[Produto]],tProdutos[Produto],0))),DescontoPadrao)</f>
        <v>0.31735159817351599</v>
      </c>
      <c r="M2343" s="12">
        <f>tItens[[#This Row],[Valor]]*(1-tItens[[#This Row],[Desconto]])</f>
        <v>530.41780821917803</v>
      </c>
      <c r="N2343" t="str">
        <f>IFERROR(INDEX(tProdutos[Foco],MATCH(tItens[[#This Row],[Produto]],tProdutos[Produto],0)),"Não")</f>
        <v>Não</v>
      </c>
      <c r="O2343" t="str">
        <f>IFERROR(INDEX(tEditais[SRP],MATCH(tItens[[#This Row],[Edital]],tEditais[Edital],0)),"Não")</f>
        <v>Sim</v>
      </c>
      <c r="P2343" s="4">
        <f>IF(COUNTIFS(INDEX(tItens[Edital],1):tItens[[#This Row],[Edital]],tItens[[#This Row],[Edital]],INDEX(tItens[Produto],1):tItens[[#This Row],[Produto]],tItens[[#This Row],[Produto]])=1,1,0)</f>
        <v>0</v>
      </c>
    </row>
    <row r="2344" spans="1:16" x14ac:dyDescent="0.25">
      <c r="A2344" t="s">
        <v>1216</v>
      </c>
      <c r="B2344">
        <v>1063</v>
      </c>
      <c r="C2344" t="s">
        <v>5380</v>
      </c>
      <c r="D2344" t="s">
        <v>253</v>
      </c>
      <c r="E2344" s="13">
        <v>300</v>
      </c>
      <c r="F2344" s="12">
        <v>2.59</v>
      </c>
      <c r="G2344" t="str">
        <f>IFERROR(INDEX(tEditais[Órgão],MATCH(tItens[[#This Row],[Edital]],tEditais[Edital],0)),"")</f>
        <v>FUNDO MUNICIPAL DE SAUDE</v>
      </c>
      <c r="H2344" t="str">
        <f>IFERROR(INDEX(tEditais[UF],MATCH(tItens[[#This Row],[Edital]],tEditais[Edital],0)),"")</f>
        <v>GO</v>
      </c>
      <c r="I2344" s="11">
        <f>IFERROR(INDEX(tEditais[Encerramento],MATCH(tItens[[#This Row],[Edital]],tEditais[Edital],0)),"")</f>
        <v>46311.333333333336</v>
      </c>
      <c r="J2344" t="str">
        <f>IFERROR(INDEX(tProdutos[Classe],MATCH(tItens[[#This Row],[Produto]],tProdutos[Produto],0)),"produto não cadastrado")</f>
        <v>FORA</v>
      </c>
      <c r="K2344" s="12">
        <f>tItens[[#This Row],[Qtd]]*tItens[[#This Row],[Vlr unit]]</f>
        <v>777</v>
      </c>
      <c r="L2344" s="6">
        <f>IFERROR(IF(INDEX(tProdutos[Desconto homologado],MATCH(tItens[[#This Row],[Produto]],tProdutos[Produto],0))="",DescontoPadrao,INDEX(tProdutos[Desconto homologado],MATCH(tItens[[#This Row],[Produto]],tProdutos[Produto],0))),DescontoPadrao)</f>
        <v>0.31735159817351599</v>
      </c>
      <c r="M2344" s="12">
        <f>tItens[[#This Row],[Valor]]*(1-tItens[[#This Row],[Desconto]])</f>
        <v>530.41780821917803</v>
      </c>
      <c r="N2344" t="str">
        <f>IFERROR(INDEX(tProdutos[Foco],MATCH(tItens[[#This Row],[Produto]],tProdutos[Produto],0)),"Não")</f>
        <v>Não</v>
      </c>
      <c r="O2344" t="str">
        <f>IFERROR(INDEX(tEditais[SRP],MATCH(tItens[[#This Row],[Edital]],tEditais[Edital],0)),"Não")</f>
        <v>Sim</v>
      </c>
      <c r="P2344" s="4">
        <f>IF(COUNTIFS(INDEX(tItens[Edital],1):tItens[[#This Row],[Edital]],tItens[[#This Row],[Edital]],INDEX(tItens[Produto],1):tItens[[#This Row],[Produto]],tItens[[#This Row],[Produto]])=1,1,0)</f>
        <v>0</v>
      </c>
    </row>
    <row r="2345" spans="1:16" x14ac:dyDescent="0.25">
      <c r="A2345" t="s">
        <v>1216</v>
      </c>
      <c r="B2345">
        <v>1064</v>
      </c>
      <c r="C2345" t="s">
        <v>5381</v>
      </c>
      <c r="D2345" t="s">
        <v>253</v>
      </c>
      <c r="E2345" s="13">
        <v>300</v>
      </c>
      <c r="F2345" s="12">
        <v>2.59</v>
      </c>
      <c r="G2345" t="str">
        <f>IFERROR(INDEX(tEditais[Órgão],MATCH(tItens[[#This Row],[Edital]],tEditais[Edital],0)),"")</f>
        <v>FUNDO MUNICIPAL DE SAUDE</v>
      </c>
      <c r="H2345" t="str">
        <f>IFERROR(INDEX(tEditais[UF],MATCH(tItens[[#This Row],[Edital]],tEditais[Edital],0)),"")</f>
        <v>GO</v>
      </c>
      <c r="I2345" s="11">
        <f>IFERROR(INDEX(tEditais[Encerramento],MATCH(tItens[[#This Row],[Edital]],tEditais[Edital],0)),"")</f>
        <v>46311.333333333336</v>
      </c>
      <c r="J2345" t="str">
        <f>IFERROR(INDEX(tProdutos[Classe],MATCH(tItens[[#This Row],[Produto]],tProdutos[Produto],0)),"produto não cadastrado")</f>
        <v>FORA</v>
      </c>
      <c r="K2345" s="12">
        <f>tItens[[#This Row],[Qtd]]*tItens[[#This Row],[Vlr unit]]</f>
        <v>777</v>
      </c>
      <c r="L2345" s="6">
        <f>IFERROR(IF(INDEX(tProdutos[Desconto homologado],MATCH(tItens[[#This Row],[Produto]],tProdutos[Produto],0))="",DescontoPadrao,INDEX(tProdutos[Desconto homologado],MATCH(tItens[[#This Row],[Produto]],tProdutos[Produto],0))),DescontoPadrao)</f>
        <v>0.31735159817351599</v>
      </c>
      <c r="M2345" s="12">
        <f>tItens[[#This Row],[Valor]]*(1-tItens[[#This Row],[Desconto]])</f>
        <v>530.41780821917803</v>
      </c>
      <c r="N2345" t="str">
        <f>IFERROR(INDEX(tProdutos[Foco],MATCH(tItens[[#This Row],[Produto]],tProdutos[Produto],0)),"Não")</f>
        <v>Não</v>
      </c>
      <c r="O2345" t="str">
        <f>IFERROR(INDEX(tEditais[SRP],MATCH(tItens[[#This Row],[Edital]],tEditais[Edital],0)),"Não")</f>
        <v>Sim</v>
      </c>
      <c r="P2345" s="4">
        <f>IF(COUNTIFS(INDEX(tItens[Edital],1):tItens[[#This Row],[Edital]],tItens[[#This Row],[Edital]],INDEX(tItens[Produto],1):tItens[[#This Row],[Produto]],tItens[[#This Row],[Produto]])=1,1,0)</f>
        <v>0</v>
      </c>
    </row>
    <row r="2346" spans="1:16" x14ac:dyDescent="0.25">
      <c r="A2346" t="s">
        <v>1216</v>
      </c>
      <c r="B2346">
        <v>1065</v>
      </c>
      <c r="C2346" t="s">
        <v>5382</v>
      </c>
      <c r="D2346" t="s">
        <v>110</v>
      </c>
      <c r="E2346" s="13">
        <v>300</v>
      </c>
      <c r="F2346" s="12">
        <v>1.27</v>
      </c>
      <c r="G2346" t="str">
        <f>IFERROR(INDEX(tEditais[Órgão],MATCH(tItens[[#This Row],[Edital]],tEditais[Edital],0)),"")</f>
        <v>FUNDO MUNICIPAL DE SAUDE</v>
      </c>
      <c r="H2346" t="str">
        <f>IFERROR(INDEX(tEditais[UF],MATCH(tItens[[#This Row],[Edital]],tEditais[Edital],0)),"")</f>
        <v>GO</v>
      </c>
      <c r="I2346" s="11">
        <f>IFERROR(INDEX(tEditais[Encerramento],MATCH(tItens[[#This Row],[Edital]],tEditais[Edital],0)),"")</f>
        <v>46311.333333333336</v>
      </c>
      <c r="J2346" t="str">
        <f>IFERROR(INDEX(tProdutos[Classe],MATCH(tItens[[#This Row],[Produto]],tProdutos[Produto],0)),"produto não cadastrado")</f>
        <v>NÚCLEO</v>
      </c>
      <c r="K2346" s="12">
        <f>tItens[[#This Row],[Qtd]]*tItens[[#This Row],[Vlr unit]]</f>
        <v>381</v>
      </c>
      <c r="L2346" s="6">
        <f>IFERROR(IF(INDEX(tProdutos[Desconto homologado],MATCH(tItens[[#This Row],[Produto]],tProdutos[Produto],0))="",DescontoPadrao,INDEX(tProdutos[Desconto homologado],MATCH(tItens[[#This Row],[Produto]],tProdutos[Produto],0))),DescontoPadrao)</f>
        <v>0.30410958904109597</v>
      </c>
      <c r="M2346" s="12">
        <f>tItens[[#This Row],[Valor]]*(1-tItens[[#This Row],[Desconto]])</f>
        <v>265.13424657534244</v>
      </c>
      <c r="N2346" t="str">
        <f>IFERROR(INDEX(tProdutos[Foco],MATCH(tItens[[#This Row],[Produto]],tProdutos[Produto],0)),"Não")</f>
        <v>Não</v>
      </c>
      <c r="O2346" t="str">
        <f>IFERROR(INDEX(tEditais[SRP],MATCH(tItens[[#This Row],[Edital]],tEditais[Edital],0)),"Não")</f>
        <v>Sim</v>
      </c>
      <c r="P2346" s="4">
        <f>IF(COUNTIFS(INDEX(tItens[Edital],1):tItens[[#This Row],[Edital]],tItens[[#This Row],[Edital]],INDEX(tItens[Produto],1):tItens[[#This Row],[Produto]],tItens[[#This Row],[Produto]])=1,1,0)</f>
        <v>1</v>
      </c>
    </row>
    <row r="2347" spans="1:16" x14ac:dyDescent="0.25">
      <c r="A2347" t="s">
        <v>1216</v>
      </c>
      <c r="B2347">
        <v>1066</v>
      </c>
      <c r="C2347" t="s">
        <v>5383</v>
      </c>
      <c r="D2347" t="s">
        <v>110</v>
      </c>
      <c r="E2347" s="13">
        <v>300</v>
      </c>
      <c r="F2347" s="12">
        <v>1.27</v>
      </c>
      <c r="G2347" t="str">
        <f>IFERROR(INDEX(tEditais[Órgão],MATCH(tItens[[#This Row],[Edital]],tEditais[Edital],0)),"")</f>
        <v>FUNDO MUNICIPAL DE SAUDE</v>
      </c>
      <c r="H2347" t="str">
        <f>IFERROR(INDEX(tEditais[UF],MATCH(tItens[[#This Row],[Edital]],tEditais[Edital],0)),"")</f>
        <v>GO</v>
      </c>
      <c r="I2347" s="11">
        <f>IFERROR(INDEX(tEditais[Encerramento],MATCH(tItens[[#This Row],[Edital]],tEditais[Edital],0)),"")</f>
        <v>46311.333333333336</v>
      </c>
      <c r="J2347" t="str">
        <f>IFERROR(INDEX(tProdutos[Classe],MATCH(tItens[[#This Row],[Produto]],tProdutos[Produto],0)),"produto não cadastrado")</f>
        <v>NÚCLEO</v>
      </c>
      <c r="K2347" s="12">
        <f>tItens[[#This Row],[Qtd]]*tItens[[#This Row],[Vlr unit]]</f>
        <v>381</v>
      </c>
      <c r="L2347" s="6">
        <f>IFERROR(IF(INDEX(tProdutos[Desconto homologado],MATCH(tItens[[#This Row],[Produto]],tProdutos[Produto],0))="",DescontoPadrao,INDEX(tProdutos[Desconto homologado],MATCH(tItens[[#This Row],[Produto]],tProdutos[Produto],0))),DescontoPadrao)</f>
        <v>0.30410958904109597</v>
      </c>
      <c r="M2347" s="12">
        <f>tItens[[#This Row],[Valor]]*(1-tItens[[#This Row],[Desconto]])</f>
        <v>265.13424657534244</v>
      </c>
      <c r="N2347" t="str">
        <f>IFERROR(INDEX(tProdutos[Foco],MATCH(tItens[[#This Row],[Produto]],tProdutos[Produto],0)),"Não")</f>
        <v>Não</v>
      </c>
      <c r="O2347" t="str">
        <f>IFERROR(INDEX(tEditais[SRP],MATCH(tItens[[#This Row],[Edital]],tEditais[Edital],0)),"Não")</f>
        <v>Sim</v>
      </c>
      <c r="P2347" s="4">
        <f>IF(COUNTIFS(INDEX(tItens[Edital],1):tItens[[#This Row],[Edital]],tItens[[#This Row],[Edital]],INDEX(tItens[Produto],1):tItens[[#This Row],[Produto]],tItens[[#This Row],[Produto]])=1,1,0)</f>
        <v>0</v>
      </c>
    </row>
    <row r="2348" spans="1:16" x14ac:dyDescent="0.25">
      <c r="A2348" t="s">
        <v>1216</v>
      </c>
      <c r="B2348">
        <v>1067</v>
      </c>
      <c r="C2348" t="s">
        <v>5384</v>
      </c>
      <c r="D2348" t="s">
        <v>110</v>
      </c>
      <c r="E2348" s="13">
        <v>300</v>
      </c>
      <c r="F2348" s="12">
        <v>1.27</v>
      </c>
      <c r="G2348" t="str">
        <f>IFERROR(INDEX(tEditais[Órgão],MATCH(tItens[[#This Row],[Edital]],tEditais[Edital],0)),"")</f>
        <v>FUNDO MUNICIPAL DE SAUDE</v>
      </c>
      <c r="H2348" t="str">
        <f>IFERROR(INDEX(tEditais[UF],MATCH(tItens[[#This Row],[Edital]],tEditais[Edital],0)),"")</f>
        <v>GO</v>
      </c>
      <c r="I2348" s="11">
        <f>IFERROR(INDEX(tEditais[Encerramento],MATCH(tItens[[#This Row],[Edital]],tEditais[Edital],0)),"")</f>
        <v>46311.333333333336</v>
      </c>
      <c r="J2348" t="str">
        <f>IFERROR(INDEX(tProdutos[Classe],MATCH(tItens[[#This Row],[Produto]],tProdutos[Produto],0)),"produto não cadastrado")</f>
        <v>NÚCLEO</v>
      </c>
      <c r="K2348" s="12">
        <f>tItens[[#This Row],[Qtd]]*tItens[[#This Row],[Vlr unit]]</f>
        <v>381</v>
      </c>
      <c r="L2348" s="6">
        <f>IFERROR(IF(INDEX(tProdutos[Desconto homologado],MATCH(tItens[[#This Row],[Produto]],tProdutos[Produto],0))="",DescontoPadrao,INDEX(tProdutos[Desconto homologado],MATCH(tItens[[#This Row],[Produto]],tProdutos[Produto],0))),DescontoPadrao)</f>
        <v>0.30410958904109597</v>
      </c>
      <c r="M2348" s="12">
        <f>tItens[[#This Row],[Valor]]*(1-tItens[[#This Row],[Desconto]])</f>
        <v>265.13424657534244</v>
      </c>
      <c r="N2348" t="str">
        <f>IFERROR(INDEX(tProdutos[Foco],MATCH(tItens[[#This Row],[Produto]],tProdutos[Produto],0)),"Não")</f>
        <v>Não</v>
      </c>
      <c r="O2348" t="str">
        <f>IFERROR(INDEX(tEditais[SRP],MATCH(tItens[[#This Row],[Edital]],tEditais[Edital],0)),"Não")</f>
        <v>Sim</v>
      </c>
      <c r="P2348" s="4">
        <f>IF(COUNTIFS(INDEX(tItens[Edital],1):tItens[[#This Row],[Edital]],tItens[[#This Row],[Edital]],INDEX(tItens[Produto],1):tItens[[#This Row],[Produto]],tItens[[#This Row],[Produto]])=1,1,0)</f>
        <v>0</v>
      </c>
    </row>
    <row r="2349" spans="1:16" x14ac:dyDescent="0.25">
      <c r="A2349" t="s">
        <v>1216</v>
      </c>
      <c r="B2349">
        <v>1068</v>
      </c>
      <c r="C2349" t="s">
        <v>5385</v>
      </c>
      <c r="D2349" t="s">
        <v>110</v>
      </c>
      <c r="E2349" s="13">
        <v>300</v>
      </c>
      <c r="F2349" s="12">
        <v>1.27</v>
      </c>
      <c r="G2349" t="str">
        <f>IFERROR(INDEX(tEditais[Órgão],MATCH(tItens[[#This Row],[Edital]],tEditais[Edital],0)),"")</f>
        <v>FUNDO MUNICIPAL DE SAUDE</v>
      </c>
      <c r="H2349" t="str">
        <f>IFERROR(INDEX(tEditais[UF],MATCH(tItens[[#This Row],[Edital]],tEditais[Edital],0)),"")</f>
        <v>GO</v>
      </c>
      <c r="I2349" s="11">
        <f>IFERROR(INDEX(tEditais[Encerramento],MATCH(tItens[[#This Row],[Edital]],tEditais[Edital],0)),"")</f>
        <v>46311.333333333336</v>
      </c>
      <c r="J2349" t="str">
        <f>IFERROR(INDEX(tProdutos[Classe],MATCH(tItens[[#This Row],[Produto]],tProdutos[Produto],0)),"produto não cadastrado")</f>
        <v>NÚCLEO</v>
      </c>
      <c r="K2349" s="12">
        <f>tItens[[#This Row],[Qtd]]*tItens[[#This Row],[Vlr unit]]</f>
        <v>381</v>
      </c>
      <c r="L2349" s="6">
        <f>IFERROR(IF(INDEX(tProdutos[Desconto homologado],MATCH(tItens[[#This Row],[Produto]],tProdutos[Produto],0))="",DescontoPadrao,INDEX(tProdutos[Desconto homologado],MATCH(tItens[[#This Row],[Produto]],tProdutos[Produto],0))),DescontoPadrao)</f>
        <v>0.30410958904109597</v>
      </c>
      <c r="M2349" s="12">
        <f>tItens[[#This Row],[Valor]]*(1-tItens[[#This Row],[Desconto]])</f>
        <v>265.13424657534244</v>
      </c>
      <c r="N2349" t="str">
        <f>IFERROR(INDEX(tProdutos[Foco],MATCH(tItens[[#This Row],[Produto]],tProdutos[Produto],0)),"Não")</f>
        <v>Não</v>
      </c>
      <c r="O2349" t="str">
        <f>IFERROR(INDEX(tEditais[SRP],MATCH(tItens[[#This Row],[Edital]],tEditais[Edital],0)),"Não")</f>
        <v>Sim</v>
      </c>
      <c r="P2349" s="4">
        <f>IF(COUNTIFS(INDEX(tItens[Edital],1):tItens[[#This Row],[Edital]],tItens[[#This Row],[Edital]],INDEX(tItens[Produto],1):tItens[[#This Row],[Produto]],tItens[[#This Row],[Produto]])=1,1,0)</f>
        <v>0</v>
      </c>
    </row>
    <row r="2350" spans="1:16" x14ac:dyDescent="0.25">
      <c r="A2350" t="s">
        <v>1216</v>
      </c>
      <c r="B2350">
        <v>1069</v>
      </c>
      <c r="C2350" t="s">
        <v>5386</v>
      </c>
      <c r="D2350" t="s">
        <v>110</v>
      </c>
      <c r="E2350" s="13">
        <v>300</v>
      </c>
      <c r="F2350" s="12">
        <v>1.27</v>
      </c>
      <c r="G2350" t="str">
        <f>IFERROR(INDEX(tEditais[Órgão],MATCH(tItens[[#This Row],[Edital]],tEditais[Edital],0)),"")</f>
        <v>FUNDO MUNICIPAL DE SAUDE</v>
      </c>
      <c r="H2350" t="str">
        <f>IFERROR(INDEX(tEditais[UF],MATCH(tItens[[#This Row],[Edital]],tEditais[Edital],0)),"")</f>
        <v>GO</v>
      </c>
      <c r="I2350" s="11">
        <f>IFERROR(INDEX(tEditais[Encerramento],MATCH(tItens[[#This Row],[Edital]],tEditais[Edital],0)),"")</f>
        <v>46311.333333333336</v>
      </c>
      <c r="J2350" t="str">
        <f>IFERROR(INDEX(tProdutos[Classe],MATCH(tItens[[#This Row],[Produto]],tProdutos[Produto],0)),"produto não cadastrado")</f>
        <v>NÚCLEO</v>
      </c>
      <c r="K2350" s="12">
        <f>tItens[[#This Row],[Qtd]]*tItens[[#This Row],[Vlr unit]]</f>
        <v>381</v>
      </c>
      <c r="L2350" s="6">
        <f>IFERROR(IF(INDEX(tProdutos[Desconto homologado],MATCH(tItens[[#This Row],[Produto]],tProdutos[Produto],0))="",DescontoPadrao,INDEX(tProdutos[Desconto homologado],MATCH(tItens[[#This Row],[Produto]],tProdutos[Produto],0))),DescontoPadrao)</f>
        <v>0.30410958904109597</v>
      </c>
      <c r="M2350" s="12">
        <f>tItens[[#This Row],[Valor]]*(1-tItens[[#This Row],[Desconto]])</f>
        <v>265.13424657534244</v>
      </c>
      <c r="N2350" t="str">
        <f>IFERROR(INDEX(tProdutos[Foco],MATCH(tItens[[#This Row],[Produto]],tProdutos[Produto],0)),"Não")</f>
        <v>Não</v>
      </c>
      <c r="O2350" t="str">
        <f>IFERROR(INDEX(tEditais[SRP],MATCH(tItens[[#This Row],[Edital]],tEditais[Edital],0)),"Não")</f>
        <v>Sim</v>
      </c>
      <c r="P2350" s="4">
        <f>IF(COUNTIFS(INDEX(tItens[Edital],1):tItens[[#This Row],[Edital]],tItens[[#This Row],[Edital]],INDEX(tItens[Produto],1):tItens[[#This Row],[Produto]],tItens[[#This Row],[Produto]])=1,1,0)</f>
        <v>0</v>
      </c>
    </row>
    <row r="2351" spans="1:16" x14ac:dyDescent="0.25">
      <c r="A2351" t="s">
        <v>1216</v>
      </c>
      <c r="B2351">
        <v>1070</v>
      </c>
      <c r="C2351" t="s">
        <v>5387</v>
      </c>
      <c r="D2351" t="s">
        <v>110</v>
      </c>
      <c r="E2351" s="13">
        <v>300</v>
      </c>
      <c r="F2351" s="12">
        <v>1.27</v>
      </c>
      <c r="G2351" t="str">
        <f>IFERROR(INDEX(tEditais[Órgão],MATCH(tItens[[#This Row],[Edital]],tEditais[Edital],0)),"")</f>
        <v>FUNDO MUNICIPAL DE SAUDE</v>
      </c>
      <c r="H2351" t="str">
        <f>IFERROR(INDEX(tEditais[UF],MATCH(tItens[[#This Row],[Edital]],tEditais[Edital],0)),"")</f>
        <v>GO</v>
      </c>
      <c r="I2351" s="11">
        <f>IFERROR(INDEX(tEditais[Encerramento],MATCH(tItens[[#This Row],[Edital]],tEditais[Edital],0)),"")</f>
        <v>46311.333333333336</v>
      </c>
      <c r="J2351" t="str">
        <f>IFERROR(INDEX(tProdutos[Classe],MATCH(tItens[[#This Row],[Produto]],tProdutos[Produto],0)),"produto não cadastrado")</f>
        <v>NÚCLEO</v>
      </c>
      <c r="K2351" s="12">
        <f>tItens[[#This Row],[Qtd]]*tItens[[#This Row],[Vlr unit]]</f>
        <v>381</v>
      </c>
      <c r="L2351" s="6">
        <f>IFERROR(IF(INDEX(tProdutos[Desconto homologado],MATCH(tItens[[#This Row],[Produto]],tProdutos[Produto],0))="",DescontoPadrao,INDEX(tProdutos[Desconto homologado],MATCH(tItens[[#This Row],[Produto]],tProdutos[Produto],0))),DescontoPadrao)</f>
        <v>0.30410958904109597</v>
      </c>
      <c r="M2351" s="12">
        <f>tItens[[#This Row],[Valor]]*(1-tItens[[#This Row],[Desconto]])</f>
        <v>265.13424657534244</v>
      </c>
      <c r="N2351" t="str">
        <f>IFERROR(INDEX(tProdutos[Foco],MATCH(tItens[[#This Row],[Produto]],tProdutos[Produto],0)),"Não")</f>
        <v>Não</v>
      </c>
      <c r="O2351" t="str">
        <f>IFERROR(INDEX(tEditais[SRP],MATCH(tItens[[#This Row],[Edital]],tEditais[Edital],0)),"Não")</f>
        <v>Sim</v>
      </c>
      <c r="P2351" s="4">
        <f>IF(COUNTIFS(INDEX(tItens[Edital],1):tItens[[#This Row],[Edital]],tItens[[#This Row],[Edital]],INDEX(tItens[Produto],1):tItens[[#This Row],[Produto]],tItens[[#This Row],[Produto]])=1,1,0)</f>
        <v>0</v>
      </c>
    </row>
    <row r="2352" spans="1:16" x14ac:dyDescent="0.25">
      <c r="A2352" t="s">
        <v>1216</v>
      </c>
      <c r="B2352">
        <v>1071</v>
      </c>
      <c r="C2352" t="s">
        <v>5388</v>
      </c>
      <c r="D2352" t="s">
        <v>110</v>
      </c>
      <c r="E2352" s="13">
        <v>300</v>
      </c>
      <c r="F2352" s="12">
        <v>1.27</v>
      </c>
      <c r="G2352" t="str">
        <f>IFERROR(INDEX(tEditais[Órgão],MATCH(tItens[[#This Row],[Edital]],tEditais[Edital],0)),"")</f>
        <v>FUNDO MUNICIPAL DE SAUDE</v>
      </c>
      <c r="H2352" t="str">
        <f>IFERROR(INDEX(tEditais[UF],MATCH(tItens[[#This Row],[Edital]],tEditais[Edital],0)),"")</f>
        <v>GO</v>
      </c>
      <c r="I2352" s="11">
        <f>IFERROR(INDEX(tEditais[Encerramento],MATCH(tItens[[#This Row],[Edital]],tEditais[Edital],0)),"")</f>
        <v>46311.333333333336</v>
      </c>
      <c r="J2352" t="str">
        <f>IFERROR(INDEX(tProdutos[Classe],MATCH(tItens[[#This Row],[Produto]],tProdutos[Produto],0)),"produto não cadastrado")</f>
        <v>NÚCLEO</v>
      </c>
      <c r="K2352" s="12">
        <f>tItens[[#This Row],[Qtd]]*tItens[[#This Row],[Vlr unit]]</f>
        <v>381</v>
      </c>
      <c r="L2352" s="6">
        <f>IFERROR(IF(INDEX(tProdutos[Desconto homologado],MATCH(tItens[[#This Row],[Produto]],tProdutos[Produto],0))="",DescontoPadrao,INDEX(tProdutos[Desconto homologado],MATCH(tItens[[#This Row],[Produto]],tProdutos[Produto],0))),DescontoPadrao)</f>
        <v>0.30410958904109597</v>
      </c>
      <c r="M2352" s="12">
        <f>tItens[[#This Row],[Valor]]*(1-tItens[[#This Row],[Desconto]])</f>
        <v>265.13424657534244</v>
      </c>
      <c r="N2352" t="str">
        <f>IFERROR(INDEX(tProdutos[Foco],MATCH(tItens[[#This Row],[Produto]],tProdutos[Produto],0)),"Não")</f>
        <v>Não</v>
      </c>
      <c r="O2352" t="str">
        <f>IFERROR(INDEX(tEditais[SRP],MATCH(tItens[[#This Row],[Edital]],tEditais[Edital],0)),"Não")</f>
        <v>Sim</v>
      </c>
      <c r="P2352" s="4">
        <f>IF(COUNTIFS(INDEX(tItens[Edital],1):tItens[[#This Row],[Edital]],tItens[[#This Row],[Edital]],INDEX(tItens[Produto],1):tItens[[#This Row],[Produto]],tItens[[#This Row],[Produto]])=1,1,0)</f>
        <v>0</v>
      </c>
    </row>
    <row r="2353" spans="1:16" x14ac:dyDescent="0.25">
      <c r="A2353" t="s">
        <v>1216</v>
      </c>
      <c r="B2353">
        <v>1072</v>
      </c>
      <c r="C2353" t="s">
        <v>5389</v>
      </c>
      <c r="D2353" t="s">
        <v>110</v>
      </c>
      <c r="E2353" s="13">
        <v>300</v>
      </c>
      <c r="F2353" s="12">
        <v>1.27</v>
      </c>
      <c r="G2353" t="str">
        <f>IFERROR(INDEX(tEditais[Órgão],MATCH(tItens[[#This Row],[Edital]],tEditais[Edital],0)),"")</f>
        <v>FUNDO MUNICIPAL DE SAUDE</v>
      </c>
      <c r="H2353" t="str">
        <f>IFERROR(INDEX(tEditais[UF],MATCH(tItens[[#This Row],[Edital]],tEditais[Edital],0)),"")</f>
        <v>GO</v>
      </c>
      <c r="I2353" s="11">
        <f>IFERROR(INDEX(tEditais[Encerramento],MATCH(tItens[[#This Row],[Edital]],tEditais[Edital],0)),"")</f>
        <v>46311.333333333336</v>
      </c>
      <c r="J2353" t="str">
        <f>IFERROR(INDEX(tProdutos[Classe],MATCH(tItens[[#This Row],[Produto]],tProdutos[Produto],0)),"produto não cadastrado")</f>
        <v>NÚCLEO</v>
      </c>
      <c r="K2353" s="12">
        <f>tItens[[#This Row],[Qtd]]*tItens[[#This Row],[Vlr unit]]</f>
        <v>381</v>
      </c>
      <c r="L2353" s="6">
        <f>IFERROR(IF(INDEX(tProdutos[Desconto homologado],MATCH(tItens[[#This Row],[Produto]],tProdutos[Produto],0))="",DescontoPadrao,INDEX(tProdutos[Desconto homologado],MATCH(tItens[[#This Row],[Produto]],tProdutos[Produto],0))),DescontoPadrao)</f>
        <v>0.30410958904109597</v>
      </c>
      <c r="M2353" s="12">
        <f>tItens[[#This Row],[Valor]]*(1-tItens[[#This Row],[Desconto]])</f>
        <v>265.13424657534244</v>
      </c>
      <c r="N2353" t="str">
        <f>IFERROR(INDEX(tProdutos[Foco],MATCH(tItens[[#This Row],[Produto]],tProdutos[Produto],0)),"Não")</f>
        <v>Não</v>
      </c>
      <c r="O2353" t="str">
        <f>IFERROR(INDEX(tEditais[SRP],MATCH(tItens[[#This Row],[Edital]],tEditais[Edital],0)),"Não")</f>
        <v>Sim</v>
      </c>
      <c r="P2353" s="4">
        <f>IF(COUNTIFS(INDEX(tItens[Edital],1):tItens[[#This Row],[Edital]],tItens[[#This Row],[Edital]],INDEX(tItens[Produto],1):tItens[[#This Row],[Produto]],tItens[[#This Row],[Produto]])=1,1,0)</f>
        <v>0</v>
      </c>
    </row>
    <row r="2354" spans="1:16" x14ac:dyDescent="0.25">
      <c r="A2354" t="s">
        <v>1216</v>
      </c>
      <c r="B2354">
        <v>1073</v>
      </c>
      <c r="C2354" t="s">
        <v>5390</v>
      </c>
      <c r="D2354" t="s">
        <v>120</v>
      </c>
      <c r="E2354" s="13">
        <v>300</v>
      </c>
      <c r="F2354" s="12">
        <v>0.66</v>
      </c>
      <c r="G2354" t="str">
        <f>IFERROR(INDEX(tEditais[Órgão],MATCH(tItens[[#This Row],[Edital]],tEditais[Edital],0)),"")</f>
        <v>FUNDO MUNICIPAL DE SAUDE</v>
      </c>
      <c r="H2354" t="str">
        <f>IFERROR(INDEX(tEditais[UF],MATCH(tItens[[#This Row],[Edital]],tEditais[Edital],0)),"")</f>
        <v>GO</v>
      </c>
      <c r="I2354" s="11">
        <f>IFERROR(INDEX(tEditais[Encerramento],MATCH(tItens[[#This Row],[Edital]],tEditais[Edital],0)),"")</f>
        <v>46311.333333333336</v>
      </c>
      <c r="J2354" t="str">
        <f>IFERROR(INDEX(tProdutos[Classe],MATCH(tItens[[#This Row],[Produto]],tProdutos[Produto],0)),"produto não cadastrado")</f>
        <v>DISPUTADO</v>
      </c>
      <c r="K2354" s="12">
        <f>tItens[[#This Row],[Qtd]]*tItens[[#This Row],[Vlr unit]]</f>
        <v>198</v>
      </c>
      <c r="L2354" s="6">
        <f>IFERROR(IF(INDEX(tProdutos[Desconto homologado],MATCH(tItens[[#This Row],[Produto]],tProdutos[Produto],0))="",DescontoPadrao,INDEX(tProdutos[Desconto homologado],MATCH(tItens[[#This Row],[Produto]],tProdutos[Produto],0))),DescontoPadrao)</f>
        <v>0.40909090909090901</v>
      </c>
      <c r="M2354" s="12">
        <f>tItens[[#This Row],[Valor]]*(1-tItens[[#This Row],[Desconto]])</f>
        <v>117.00000000000003</v>
      </c>
      <c r="N2354" t="str">
        <f>IFERROR(INDEX(tProdutos[Foco],MATCH(tItens[[#This Row],[Produto]],tProdutos[Produto],0)),"Não")</f>
        <v>Não</v>
      </c>
      <c r="O2354" t="str">
        <f>IFERROR(INDEX(tEditais[SRP],MATCH(tItens[[#This Row],[Edital]],tEditais[Edital],0)),"Não")</f>
        <v>Sim</v>
      </c>
      <c r="P2354" s="4">
        <f>IF(COUNTIFS(INDEX(tItens[Edital],1):tItens[[#This Row],[Edital]],tItens[[#This Row],[Edital]],INDEX(tItens[Produto],1):tItens[[#This Row],[Produto]],tItens[[#This Row],[Produto]])=1,1,0)</f>
        <v>1</v>
      </c>
    </row>
    <row r="2355" spans="1:16" x14ac:dyDescent="0.25">
      <c r="A2355" t="s">
        <v>1216</v>
      </c>
      <c r="B2355">
        <v>1074</v>
      </c>
      <c r="C2355" t="s">
        <v>5391</v>
      </c>
      <c r="D2355" t="s">
        <v>120</v>
      </c>
      <c r="E2355" s="13">
        <v>300</v>
      </c>
      <c r="F2355" s="12">
        <v>0.66</v>
      </c>
      <c r="G2355" t="str">
        <f>IFERROR(INDEX(tEditais[Órgão],MATCH(tItens[[#This Row],[Edital]],tEditais[Edital],0)),"")</f>
        <v>FUNDO MUNICIPAL DE SAUDE</v>
      </c>
      <c r="H2355" t="str">
        <f>IFERROR(INDEX(tEditais[UF],MATCH(tItens[[#This Row],[Edital]],tEditais[Edital],0)),"")</f>
        <v>GO</v>
      </c>
      <c r="I2355" s="11">
        <f>IFERROR(INDEX(tEditais[Encerramento],MATCH(tItens[[#This Row],[Edital]],tEditais[Edital],0)),"")</f>
        <v>46311.333333333336</v>
      </c>
      <c r="J2355" t="str">
        <f>IFERROR(INDEX(tProdutos[Classe],MATCH(tItens[[#This Row],[Produto]],tProdutos[Produto],0)),"produto não cadastrado")</f>
        <v>DISPUTADO</v>
      </c>
      <c r="K2355" s="12">
        <f>tItens[[#This Row],[Qtd]]*tItens[[#This Row],[Vlr unit]]</f>
        <v>198</v>
      </c>
      <c r="L2355" s="6">
        <f>IFERROR(IF(INDEX(tProdutos[Desconto homologado],MATCH(tItens[[#This Row],[Produto]],tProdutos[Produto],0))="",DescontoPadrao,INDEX(tProdutos[Desconto homologado],MATCH(tItens[[#This Row],[Produto]],tProdutos[Produto],0))),DescontoPadrao)</f>
        <v>0.40909090909090901</v>
      </c>
      <c r="M2355" s="12">
        <f>tItens[[#This Row],[Valor]]*(1-tItens[[#This Row],[Desconto]])</f>
        <v>117.00000000000003</v>
      </c>
      <c r="N2355" t="str">
        <f>IFERROR(INDEX(tProdutos[Foco],MATCH(tItens[[#This Row],[Produto]],tProdutos[Produto],0)),"Não")</f>
        <v>Não</v>
      </c>
      <c r="O2355" t="str">
        <f>IFERROR(INDEX(tEditais[SRP],MATCH(tItens[[#This Row],[Edital]],tEditais[Edital],0)),"Não")</f>
        <v>Sim</v>
      </c>
      <c r="P2355" s="4">
        <f>IF(COUNTIFS(INDEX(tItens[Edital],1):tItens[[#This Row],[Edital]],tItens[[#This Row],[Edital]],INDEX(tItens[Produto],1):tItens[[#This Row],[Produto]],tItens[[#This Row],[Produto]])=1,1,0)</f>
        <v>0</v>
      </c>
    </row>
    <row r="2356" spans="1:16" x14ac:dyDescent="0.25">
      <c r="A2356" t="s">
        <v>1216</v>
      </c>
      <c r="B2356">
        <v>1075</v>
      </c>
      <c r="C2356" t="s">
        <v>5392</v>
      </c>
      <c r="D2356" t="s">
        <v>120</v>
      </c>
      <c r="E2356" s="13">
        <v>300</v>
      </c>
      <c r="F2356" s="12">
        <v>0.66</v>
      </c>
      <c r="G2356" t="str">
        <f>IFERROR(INDEX(tEditais[Órgão],MATCH(tItens[[#This Row],[Edital]],tEditais[Edital],0)),"")</f>
        <v>FUNDO MUNICIPAL DE SAUDE</v>
      </c>
      <c r="H2356" t="str">
        <f>IFERROR(INDEX(tEditais[UF],MATCH(tItens[[#This Row],[Edital]],tEditais[Edital],0)),"")</f>
        <v>GO</v>
      </c>
      <c r="I2356" s="11">
        <f>IFERROR(INDEX(tEditais[Encerramento],MATCH(tItens[[#This Row],[Edital]],tEditais[Edital],0)),"")</f>
        <v>46311.333333333336</v>
      </c>
      <c r="J2356" t="str">
        <f>IFERROR(INDEX(tProdutos[Classe],MATCH(tItens[[#This Row],[Produto]],tProdutos[Produto],0)),"produto não cadastrado")</f>
        <v>DISPUTADO</v>
      </c>
      <c r="K2356" s="12">
        <f>tItens[[#This Row],[Qtd]]*tItens[[#This Row],[Vlr unit]]</f>
        <v>198</v>
      </c>
      <c r="L2356" s="6">
        <f>IFERROR(IF(INDEX(tProdutos[Desconto homologado],MATCH(tItens[[#This Row],[Produto]],tProdutos[Produto],0))="",DescontoPadrao,INDEX(tProdutos[Desconto homologado],MATCH(tItens[[#This Row],[Produto]],tProdutos[Produto],0))),DescontoPadrao)</f>
        <v>0.40909090909090901</v>
      </c>
      <c r="M2356" s="12">
        <f>tItens[[#This Row],[Valor]]*(1-tItens[[#This Row],[Desconto]])</f>
        <v>117.00000000000003</v>
      </c>
      <c r="N2356" t="str">
        <f>IFERROR(INDEX(tProdutos[Foco],MATCH(tItens[[#This Row],[Produto]],tProdutos[Produto],0)),"Não")</f>
        <v>Não</v>
      </c>
      <c r="O2356" t="str">
        <f>IFERROR(INDEX(tEditais[SRP],MATCH(tItens[[#This Row],[Edital]],tEditais[Edital],0)),"Não")</f>
        <v>Sim</v>
      </c>
      <c r="P2356" s="4">
        <f>IF(COUNTIFS(INDEX(tItens[Edital],1):tItens[[#This Row],[Edital]],tItens[[#This Row],[Edital]],INDEX(tItens[Produto],1):tItens[[#This Row],[Produto]],tItens[[#This Row],[Produto]])=1,1,0)</f>
        <v>0</v>
      </c>
    </row>
    <row r="2357" spans="1:16" x14ac:dyDescent="0.25">
      <c r="A2357" t="s">
        <v>1216</v>
      </c>
      <c r="B2357">
        <v>1076</v>
      </c>
      <c r="C2357" t="s">
        <v>5393</v>
      </c>
      <c r="D2357" t="s">
        <v>120</v>
      </c>
      <c r="E2357" s="13">
        <v>300</v>
      </c>
      <c r="F2357" s="12">
        <v>0.66</v>
      </c>
      <c r="G2357" t="str">
        <f>IFERROR(INDEX(tEditais[Órgão],MATCH(tItens[[#This Row],[Edital]],tEditais[Edital],0)),"")</f>
        <v>FUNDO MUNICIPAL DE SAUDE</v>
      </c>
      <c r="H2357" t="str">
        <f>IFERROR(INDEX(tEditais[UF],MATCH(tItens[[#This Row],[Edital]],tEditais[Edital],0)),"")</f>
        <v>GO</v>
      </c>
      <c r="I2357" s="11">
        <f>IFERROR(INDEX(tEditais[Encerramento],MATCH(tItens[[#This Row],[Edital]],tEditais[Edital],0)),"")</f>
        <v>46311.333333333336</v>
      </c>
      <c r="J2357" t="str">
        <f>IFERROR(INDEX(tProdutos[Classe],MATCH(tItens[[#This Row],[Produto]],tProdutos[Produto],0)),"produto não cadastrado")</f>
        <v>DISPUTADO</v>
      </c>
      <c r="K2357" s="12">
        <f>tItens[[#This Row],[Qtd]]*tItens[[#This Row],[Vlr unit]]</f>
        <v>198</v>
      </c>
      <c r="L2357" s="6">
        <f>IFERROR(IF(INDEX(tProdutos[Desconto homologado],MATCH(tItens[[#This Row],[Produto]],tProdutos[Produto],0))="",DescontoPadrao,INDEX(tProdutos[Desconto homologado],MATCH(tItens[[#This Row],[Produto]],tProdutos[Produto],0))),DescontoPadrao)</f>
        <v>0.40909090909090901</v>
      </c>
      <c r="M2357" s="12">
        <f>tItens[[#This Row],[Valor]]*(1-tItens[[#This Row],[Desconto]])</f>
        <v>117.00000000000003</v>
      </c>
      <c r="N2357" t="str">
        <f>IFERROR(INDEX(tProdutos[Foco],MATCH(tItens[[#This Row],[Produto]],tProdutos[Produto],0)),"Não")</f>
        <v>Não</v>
      </c>
      <c r="O2357" t="str">
        <f>IFERROR(INDEX(tEditais[SRP],MATCH(tItens[[#This Row],[Edital]],tEditais[Edital],0)),"Não")</f>
        <v>Sim</v>
      </c>
      <c r="P2357" s="4">
        <f>IF(COUNTIFS(INDEX(tItens[Edital],1):tItens[[#This Row],[Edital]],tItens[[#This Row],[Edital]],INDEX(tItens[Produto],1):tItens[[#This Row],[Produto]],tItens[[#This Row],[Produto]])=1,1,0)</f>
        <v>0</v>
      </c>
    </row>
    <row r="2358" spans="1:16" x14ac:dyDescent="0.25">
      <c r="A2358" t="s">
        <v>1216</v>
      </c>
      <c r="B2358">
        <v>1077</v>
      </c>
      <c r="C2358" t="s">
        <v>5394</v>
      </c>
      <c r="D2358" t="s">
        <v>120</v>
      </c>
      <c r="E2358" s="13">
        <v>10000</v>
      </c>
      <c r="F2358" s="12">
        <v>0.66</v>
      </c>
      <c r="G2358" t="str">
        <f>IFERROR(INDEX(tEditais[Órgão],MATCH(tItens[[#This Row],[Edital]],tEditais[Edital],0)),"")</f>
        <v>FUNDO MUNICIPAL DE SAUDE</v>
      </c>
      <c r="H2358" t="str">
        <f>IFERROR(INDEX(tEditais[UF],MATCH(tItens[[#This Row],[Edital]],tEditais[Edital],0)),"")</f>
        <v>GO</v>
      </c>
      <c r="I2358" s="11">
        <f>IFERROR(INDEX(tEditais[Encerramento],MATCH(tItens[[#This Row],[Edital]],tEditais[Edital],0)),"")</f>
        <v>46311.333333333336</v>
      </c>
      <c r="J2358" t="str">
        <f>IFERROR(INDEX(tProdutos[Classe],MATCH(tItens[[#This Row],[Produto]],tProdutos[Produto],0)),"produto não cadastrado")</f>
        <v>DISPUTADO</v>
      </c>
      <c r="K2358" s="12">
        <f>tItens[[#This Row],[Qtd]]*tItens[[#This Row],[Vlr unit]]</f>
        <v>6600</v>
      </c>
      <c r="L2358" s="6">
        <f>IFERROR(IF(INDEX(tProdutos[Desconto homologado],MATCH(tItens[[#This Row],[Produto]],tProdutos[Produto],0))="",DescontoPadrao,INDEX(tProdutos[Desconto homologado],MATCH(tItens[[#This Row],[Produto]],tProdutos[Produto],0))),DescontoPadrao)</f>
        <v>0.40909090909090901</v>
      </c>
      <c r="M2358" s="12">
        <f>tItens[[#This Row],[Valor]]*(1-tItens[[#This Row],[Desconto]])</f>
        <v>3900.0000000000009</v>
      </c>
      <c r="N2358" t="str">
        <f>IFERROR(INDEX(tProdutos[Foco],MATCH(tItens[[#This Row],[Produto]],tProdutos[Produto],0)),"Não")</f>
        <v>Não</v>
      </c>
      <c r="O2358" t="str">
        <f>IFERROR(INDEX(tEditais[SRP],MATCH(tItens[[#This Row],[Edital]],tEditais[Edital],0)),"Não")</f>
        <v>Sim</v>
      </c>
      <c r="P2358" s="4">
        <f>IF(COUNTIFS(INDEX(tItens[Edital],1):tItens[[#This Row],[Edital]],tItens[[#This Row],[Edital]],INDEX(tItens[Produto],1):tItens[[#This Row],[Produto]],tItens[[#This Row],[Produto]])=1,1,0)</f>
        <v>0</v>
      </c>
    </row>
    <row r="2359" spans="1:16" x14ac:dyDescent="0.25">
      <c r="A2359" t="s">
        <v>1216</v>
      </c>
      <c r="B2359">
        <v>1078</v>
      </c>
      <c r="C2359" t="s">
        <v>5395</v>
      </c>
      <c r="D2359" t="s">
        <v>120</v>
      </c>
      <c r="E2359" s="13">
        <v>8000</v>
      </c>
      <c r="F2359" s="12">
        <v>0.66</v>
      </c>
      <c r="G2359" t="str">
        <f>IFERROR(INDEX(tEditais[Órgão],MATCH(tItens[[#This Row],[Edital]],tEditais[Edital],0)),"")</f>
        <v>FUNDO MUNICIPAL DE SAUDE</v>
      </c>
      <c r="H2359" t="str">
        <f>IFERROR(INDEX(tEditais[UF],MATCH(tItens[[#This Row],[Edital]],tEditais[Edital],0)),"")</f>
        <v>GO</v>
      </c>
      <c r="I2359" s="11">
        <f>IFERROR(INDEX(tEditais[Encerramento],MATCH(tItens[[#This Row],[Edital]],tEditais[Edital],0)),"")</f>
        <v>46311.333333333336</v>
      </c>
      <c r="J2359" t="str">
        <f>IFERROR(INDEX(tProdutos[Classe],MATCH(tItens[[#This Row],[Produto]],tProdutos[Produto],0)),"produto não cadastrado")</f>
        <v>DISPUTADO</v>
      </c>
      <c r="K2359" s="12">
        <f>tItens[[#This Row],[Qtd]]*tItens[[#This Row],[Vlr unit]]</f>
        <v>5280</v>
      </c>
      <c r="L2359" s="6">
        <f>IFERROR(IF(INDEX(tProdutos[Desconto homologado],MATCH(tItens[[#This Row],[Produto]],tProdutos[Produto],0))="",DescontoPadrao,INDEX(tProdutos[Desconto homologado],MATCH(tItens[[#This Row],[Produto]],tProdutos[Produto],0))),DescontoPadrao)</f>
        <v>0.40909090909090901</v>
      </c>
      <c r="M2359" s="12">
        <f>tItens[[#This Row],[Valor]]*(1-tItens[[#This Row],[Desconto]])</f>
        <v>3120.0000000000009</v>
      </c>
      <c r="N2359" t="str">
        <f>IFERROR(INDEX(tProdutos[Foco],MATCH(tItens[[#This Row],[Produto]],tProdutos[Produto],0)),"Não")</f>
        <v>Não</v>
      </c>
      <c r="O2359" t="str">
        <f>IFERROR(INDEX(tEditais[SRP],MATCH(tItens[[#This Row],[Edital]],tEditais[Edital],0)),"Não")</f>
        <v>Sim</v>
      </c>
      <c r="P2359" s="4">
        <f>IF(COUNTIFS(INDEX(tItens[Edital],1):tItens[[#This Row],[Edital]],tItens[[#This Row],[Edital]],INDEX(tItens[Produto],1):tItens[[#This Row],[Produto]],tItens[[#This Row],[Produto]])=1,1,0)</f>
        <v>0</v>
      </c>
    </row>
    <row r="2360" spans="1:16" x14ac:dyDescent="0.25">
      <c r="A2360" t="s">
        <v>1216</v>
      </c>
      <c r="B2360">
        <v>1079</v>
      </c>
      <c r="C2360" t="s">
        <v>5396</v>
      </c>
      <c r="D2360" t="s">
        <v>120</v>
      </c>
      <c r="E2360" s="13">
        <v>500</v>
      </c>
      <c r="F2360" s="12">
        <v>0.66</v>
      </c>
      <c r="G2360" t="str">
        <f>IFERROR(INDEX(tEditais[Órgão],MATCH(tItens[[#This Row],[Edital]],tEditais[Edital],0)),"")</f>
        <v>FUNDO MUNICIPAL DE SAUDE</v>
      </c>
      <c r="H2360" t="str">
        <f>IFERROR(INDEX(tEditais[UF],MATCH(tItens[[#This Row],[Edital]],tEditais[Edital],0)),"")</f>
        <v>GO</v>
      </c>
      <c r="I2360" s="11">
        <f>IFERROR(INDEX(tEditais[Encerramento],MATCH(tItens[[#This Row],[Edital]],tEditais[Edital],0)),"")</f>
        <v>46311.333333333336</v>
      </c>
      <c r="J2360" t="str">
        <f>IFERROR(INDEX(tProdutos[Classe],MATCH(tItens[[#This Row],[Produto]],tProdutos[Produto],0)),"produto não cadastrado")</f>
        <v>DISPUTADO</v>
      </c>
      <c r="K2360" s="12">
        <f>tItens[[#This Row],[Qtd]]*tItens[[#This Row],[Vlr unit]]</f>
        <v>330</v>
      </c>
      <c r="L2360" s="6">
        <f>IFERROR(IF(INDEX(tProdutos[Desconto homologado],MATCH(tItens[[#This Row],[Produto]],tProdutos[Produto],0))="",DescontoPadrao,INDEX(tProdutos[Desconto homologado],MATCH(tItens[[#This Row],[Produto]],tProdutos[Produto],0))),DescontoPadrao)</f>
        <v>0.40909090909090901</v>
      </c>
      <c r="M2360" s="12">
        <f>tItens[[#This Row],[Valor]]*(1-tItens[[#This Row],[Desconto]])</f>
        <v>195.00000000000006</v>
      </c>
      <c r="N2360" t="str">
        <f>IFERROR(INDEX(tProdutos[Foco],MATCH(tItens[[#This Row],[Produto]],tProdutos[Produto],0)),"Não")</f>
        <v>Não</v>
      </c>
      <c r="O2360" t="str">
        <f>IFERROR(INDEX(tEditais[SRP],MATCH(tItens[[#This Row],[Edital]],tEditais[Edital],0)),"Não")</f>
        <v>Sim</v>
      </c>
      <c r="P2360" s="4">
        <f>IF(COUNTIFS(INDEX(tItens[Edital],1):tItens[[#This Row],[Edital]],tItens[[#This Row],[Edital]],INDEX(tItens[Produto],1):tItens[[#This Row],[Produto]],tItens[[#This Row],[Produto]])=1,1,0)</f>
        <v>0</v>
      </c>
    </row>
    <row r="2361" spans="1:16" x14ac:dyDescent="0.25">
      <c r="A2361" t="s">
        <v>1216</v>
      </c>
      <c r="B2361">
        <v>1080</v>
      </c>
      <c r="C2361" t="s">
        <v>5397</v>
      </c>
      <c r="D2361" t="s">
        <v>120</v>
      </c>
      <c r="E2361" s="13">
        <v>500</v>
      </c>
      <c r="F2361" s="12">
        <v>0.66</v>
      </c>
      <c r="G2361" t="str">
        <f>IFERROR(INDEX(tEditais[Órgão],MATCH(tItens[[#This Row],[Edital]],tEditais[Edital],0)),"")</f>
        <v>FUNDO MUNICIPAL DE SAUDE</v>
      </c>
      <c r="H2361" t="str">
        <f>IFERROR(INDEX(tEditais[UF],MATCH(tItens[[#This Row],[Edital]],tEditais[Edital],0)),"")</f>
        <v>GO</v>
      </c>
      <c r="I2361" s="11">
        <f>IFERROR(INDEX(tEditais[Encerramento],MATCH(tItens[[#This Row],[Edital]],tEditais[Edital],0)),"")</f>
        <v>46311.333333333336</v>
      </c>
      <c r="J2361" t="str">
        <f>IFERROR(INDEX(tProdutos[Classe],MATCH(tItens[[#This Row],[Produto]],tProdutos[Produto],0)),"produto não cadastrado")</f>
        <v>DISPUTADO</v>
      </c>
      <c r="K2361" s="12">
        <f>tItens[[#This Row],[Qtd]]*tItens[[#This Row],[Vlr unit]]</f>
        <v>330</v>
      </c>
      <c r="L2361" s="6">
        <f>IFERROR(IF(INDEX(tProdutos[Desconto homologado],MATCH(tItens[[#This Row],[Produto]],tProdutos[Produto],0))="",DescontoPadrao,INDEX(tProdutos[Desconto homologado],MATCH(tItens[[#This Row],[Produto]],tProdutos[Produto],0))),DescontoPadrao)</f>
        <v>0.40909090909090901</v>
      </c>
      <c r="M2361" s="12">
        <f>tItens[[#This Row],[Valor]]*(1-tItens[[#This Row],[Desconto]])</f>
        <v>195.00000000000006</v>
      </c>
      <c r="N2361" t="str">
        <f>IFERROR(INDEX(tProdutos[Foco],MATCH(tItens[[#This Row],[Produto]],tProdutos[Produto],0)),"Não")</f>
        <v>Não</v>
      </c>
      <c r="O2361" t="str">
        <f>IFERROR(INDEX(tEditais[SRP],MATCH(tItens[[#This Row],[Edital]],tEditais[Edital],0)),"Não")</f>
        <v>Sim</v>
      </c>
      <c r="P2361" s="4">
        <f>IF(COUNTIFS(INDEX(tItens[Edital],1):tItens[[#This Row],[Edital]],tItens[[#This Row],[Edital]],INDEX(tItens[Produto],1):tItens[[#This Row],[Produto]],tItens[[#This Row],[Produto]])=1,1,0)</f>
        <v>0</v>
      </c>
    </row>
    <row r="2362" spans="1:16" x14ac:dyDescent="0.25">
      <c r="A2362" t="s">
        <v>1216</v>
      </c>
      <c r="B2362">
        <v>1081</v>
      </c>
      <c r="C2362" t="s">
        <v>5398</v>
      </c>
      <c r="D2362" t="s">
        <v>120</v>
      </c>
      <c r="E2362" s="13">
        <v>500</v>
      </c>
      <c r="F2362" s="12">
        <v>0.66</v>
      </c>
      <c r="G2362" t="str">
        <f>IFERROR(INDEX(tEditais[Órgão],MATCH(tItens[[#This Row],[Edital]],tEditais[Edital],0)),"")</f>
        <v>FUNDO MUNICIPAL DE SAUDE</v>
      </c>
      <c r="H2362" t="str">
        <f>IFERROR(INDEX(tEditais[UF],MATCH(tItens[[#This Row],[Edital]],tEditais[Edital],0)),"")</f>
        <v>GO</v>
      </c>
      <c r="I2362" s="11">
        <f>IFERROR(INDEX(tEditais[Encerramento],MATCH(tItens[[#This Row],[Edital]],tEditais[Edital],0)),"")</f>
        <v>46311.333333333336</v>
      </c>
      <c r="J2362" t="str">
        <f>IFERROR(INDEX(tProdutos[Classe],MATCH(tItens[[#This Row],[Produto]],tProdutos[Produto],0)),"produto não cadastrado")</f>
        <v>DISPUTADO</v>
      </c>
      <c r="K2362" s="12">
        <f>tItens[[#This Row],[Qtd]]*tItens[[#This Row],[Vlr unit]]</f>
        <v>330</v>
      </c>
      <c r="L2362" s="6">
        <f>IFERROR(IF(INDEX(tProdutos[Desconto homologado],MATCH(tItens[[#This Row],[Produto]],tProdutos[Produto],0))="",DescontoPadrao,INDEX(tProdutos[Desconto homologado],MATCH(tItens[[#This Row],[Produto]],tProdutos[Produto],0))),DescontoPadrao)</f>
        <v>0.40909090909090901</v>
      </c>
      <c r="M2362" s="12">
        <f>tItens[[#This Row],[Valor]]*(1-tItens[[#This Row],[Desconto]])</f>
        <v>195.00000000000006</v>
      </c>
      <c r="N2362" t="str">
        <f>IFERROR(INDEX(tProdutos[Foco],MATCH(tItens[[#This Row],[Produto]],tProdutos[Produto],0)),"Não")</f>
        <v>Não</v>
      </c>
      <c r="O2362" t="str">
        <f>IFERROR(INDEX(tEditais[SRP],MATCH(tItens[[#This Row],[Edital]],tEditais[Edital],0)),"Não")</f>
        <v>Sim</v>
      </c>
      <c r="P2362" s="4">
        <f>IF(COUNTIFS(INDEX(tItens[Edital],1):tItens[[#This Row],[Edital]],tItens[[#This Row],[Edital]],INDEX(tItens[Produto],1):tItens[[#This Row],[Produto]],tItens[[#This Row],[Produto]])=1,1,0)</f>
        <v>0</v>
      </c>
    </row>
    <row r="2363" spans="1:16" x14ac:dyDescent="0.25">
      <c r="A2363" t="s">
        <v>1216</v>
      </c>
      <c r="B2363">
        <v>1082</v>
      </c>
      <c r="C2363" t="s">
        <v>5399</v>
      </c>
      <c r="D2363" t="s">
        <v>120</v>
      </c>
      <c r="E2363" s="13">
        <v>500</v>
      </c>
      <c r="F2363" s="12">
        <v>0.66</v>
      </c>
      <c r="G2363" t="str">
        <f>IFERROR(INDEX(tEditais[Órgão],MATCH(tItens[[#This Row],[Edital]],tEditais[Edital],0)),"")</f>
        <v>FUNDO MUNICIPAL DE SAUDE</v>
      </c>
      <c r="H2363" t="str">
        <f>IFERROR(INDEX(tEditais[UF],MATCH(tItens[[#This Row],[Edital]],tEditais[Edital],0)),"")</f>
        <v>GO</v>
      </c>
      <c r="I2363" s="11">
        <f>IFERROR(INDEX(tEditais[Encerramento],MATCH(tItens[[#This Row],[Edital]],tEditais[Edital],0)),"")</f>
        <v>46311.333333333336</v>
      </c>
      <c r="J2363" t="str">
        <f>IFERROR(INDEX(tProdutos[Classe],MATCH(tItens[[#This Row],[Produto]],tProdutos[Produto],0)),"produto não cadastrado")</f>
        <v>DISPUTADO</v>
      </c>
      <c r="K2363" s="12">
        <f>tItens[[#This Row],[Qtd]]*tItens[[#This Row],[Vlr unit]]</f>
        <v>330</v>
      </c>
      <c r="L2363" s="6">
        <f>IFERROR(IF(INDEX(tProdutos[Desconto homologado],MATCH(tItens[[#This Row],[Produto]],tProdutos[Produto],0))="",DescontoPadrao,INDEX(tProdutos[Desconto homologado],MATCH(tItens[[#This Row],[Produto]],tProdutos[Produto],0))),DescontoPadrao)</f>
        <v>0.40909090909090901</v>
      </c>
      <c r="M2363" s="12">
        <f>tItens[[#This Row],[Valor]]*(1-tItens[[#This Row],[Desconto]])</f>
        <v>195.00000000000006</v>
      </c>
      <c r="N2363" t="str">
        <f>IFERROR(INDEX(tProdutos[Foco],MATCH(tItens[[#This Row],[Produto]],tProdutos[Produto],0)),"Não")</f>
        <v>Não</v>
      </c>
      <c r="O2363" t="str">
        <f>IFERROR(INDEX(tEditais[SRP],MATCH(tItens[[#This Row],[Edital]],tEditais[Edital],0)),"Não")</f>
        <v>Sim</v>
      </c>
      <c r="P2363" s="4">
        <f>IF(COUNTIFS(INDEX(tItens[Edital],1):tItens[[#This Row],[Edital]],tItens[[#This Row],[Edital]],INDEX(tItens[Produto],1):tItens[[#This Row],[Produto]],tItens[[#This Row],[Produto]])=1,1,0)</f>
        <v>0</v>
      </c>
    </row>
    <row r="2364" spans="1:16" x14ac:dyDescent="0.25">
      <c r="A2364" t="s">
        <v>1216</v>
      </c>
      <c r="B2364">
        <v>1083</v>
      </c>
      <c r="C2364" t="s">
        <v>5400</v>
      </c>
      <c r="D2364" t="s">
        <v>241</v>
      </c>
      <c r="E2364" s="13">
        <v>300</v>
      </c>
      <c r="F2364" s="12">
        <v>12.66</v>
      </c>
      <c r="G2364" t="str">
        <f>IFERROR(INDEX(tEditais[Órgão],MATCH(tItens[[#This Row],[Edital]],tEditais[Edital],0)),"")</f>
        <v>FUNDO MUNICIPAL DE SAUDE</v>
      </c>
      <c r="H2364" t="str">
        <f>IFERROR(INDEX(tEditais[UF],MATCH(tItens[[#This Row],[Edital]],tEditais[Edital],0)),"")</f>
        <v>GO</v>
      </c>
      <c r="I2364" s="11">
        <f>IFERROR(INDEX(tEditais[Encerramento],MATCH(tItens[[#This Row],[Edital]],tEditais[Edital],0)),"")</f>
        <v>46311.333333333336</v>
      </c>
      <c r="J2364" t="str">
        <f>IFERROR(INDEX(tProdutos[Classe],MATCH(tItens[[#This Row],[Produto]],tProdutos[Produto],0)),"produto não cadastrado")</f>
        <v>DISPUTADO</v>
      </c>
      <c r="K2364" s="12">
        <f>tItens[[#This Row],[Qtd]]*tItens[[#This Row],[Vlr unit]]</f>
        <v>3798</v>
      </c>
      <c r="L2364" s="6">
        <f>IFERROR(IF(INDEX(tProdutos[Desconto homologado],MATCH(tItens[[#This Row],[Produto]],tProdutos[Produto],0))="",DescontoPadrao,INDEX(tProdutos[Desconto homologado],MATCH(tItens[[#This Row],[Produto]],tProdutos[Produto],0))),DescontoPadrao)</f>
        <v>0.36881329157903497</v>
      </c>
      <c r="M2364" s="12">
        <f>tItens[[#This Row],[Valor]]*(1-tItens[[#This Row],[Desconto]])</f>
        <v>2397.2471185828254</v>
      </c>
      <c r="N2364" t="str">
        <f>IFERROR(INDEX(tProdutos[Foco],MATCH(tItens[[#This Row],[Produto]],tProdutos[Produto],0)),"Não")</f>
        <v>Não</v>
      </c>
      <c r="O2364" t="str">
        <f>IFERROR(INDEX(tEditais[SRP],MATCH(tItens[[#This Row],[Edital]],tEditais[Edital],0)),"Não")</f>
        <v>Sim</v>
      </c>
      <c r="P2364" s="4">
        <f>IF(COUNTIFS(INDEX(tItens[Edital],1):tItens[[#This Row],[Edital]],tItens[[#This Row],[Edital]],INDEX(tItens[Produto],1):tItens[[#This Row],[Produto]],tItens[[#This Row],[Produto]])=1,1,0)</f>
        <v>1</v>
      </c>
    </row>
    <row r="2365" spans="1:16" x14ac:dyDescent="0.25">
      <c r="A2365" t="s">
        <v>1216</v>
      </c>
      <c r="B2365">
        <v>1180</v>
      </c>
      <c r="C2365" t="s">
        <v>5401</v>
      </c>
      <c r="D2365" t="s">
        <v>197</v>
      </c>
      <c r="E2365" s="13">
        <v>1800</v>
      </c>
      <c r="F2365" s="12">
        <v>0.9</v>
      </c>
      <c r="G2365" t="str">
        <f>IFERROR(INDEX(tEditais[Órgão],MATCH(tItens[[#This Row],[Edital]],tEditais[Edital],0)),"")</f>
        <v>FUNDO MUNICIPAL DE SAUDE</v>
      </c>
      <c r="H2365" t="str">
        <f>IFERROR(INDEX(tEditais[UF],MATCH(tItens[[#This Row],[Edital]],tEditais[Edital],0)),"")</f>
        <v>GO</v>
      </c>
      <c r="I2365" s="11">
        <f>IFERROR(INDEX(tEditais[Encerramento],MATCH(tItens[[#This Row],[Edital]],tEditais[Edital],0)),"")</f>
        <v>46311.333333333336</v>
      </c>
      <c r="J2365" t="str">
        <f>IFERROR(INDEX(tProdutos[Classe],MATCH(tItens[[#This Row],[Produto]],tProdutos[Produto],0)),"produto não cadastrado")</f>
        <v>FORA</v>
      </c>
      <c r="K2365" s="12">
        <f>tItens[[#This Row],[Qtd]]*tItens[[#This Row],[Vlr unit]]</f>
        <v>1620</v>
      </c>
      <c r="L2365" s="6">
        <f>IFERROR(IF(INDEX(tProdutos[Desconto homologado],MATCH(tItens[[#This Row],[Produto]],tProdutos[Produto],0))="",DescontoPadrao,INDEX(tProdutos[Desconto homologado],MATCH(tItens[[#This Row],[Produto]],tProdutos[Produto],0))),DescontoPadrao)</f>
        <v>0.26394818195200997</v>
      </c>
      <c r="M2365" s="12">
        <f>tItens[[#This Row],[Valor]]*(1-tItens[[#This Row],[Desconto]])</f>
        <v>1192.4039452377438</v>
      </c>
      <c r="N2365" t="str">
        <f>IFERROR(INDEX(tProdutos[Foco],MATCH(tItens[[#This Row],[Produto]],tProdutos[Produto],0)),"Não")</f>
        <v>Não</v>
      </c>
      <c r="O2365" t="str">
        <f>IFERROR(INDEX(tEditais[SRP],MATCH(tItens[[#This Row],[Edital]],tEditais[Edital],0)),"Não")</f>
        <v>Sim</v>
      </c>
      <c r="P2365" s="4">
        <f>IF(COUNTIFS(INDEX(tItens[Edital],1):tItens[[#This Row],[Edital]],tItens[[#This Row],[Edital]],INDEX(tItens[Produto],1):tItens[[#This Row],[Produto]],tItens[[#This Row],[Produto]])=1,1,0)</f>
        <v>1</v>
      </c>
    </row>
    <row r="2366" spans="1:16" x14ac:dyDescent="0.25">
      <c r="A2366" t="s">
        <v>1219</v>
      </c>
      <c r="B2366">
        <v>5</v>
      </c>
      <c r="C2366" t="s">
        <v>5402</v>
      </c>
      <c r="D2366" t="s">
        <v>315</v>
      </c>
      <c r="E2366" s="13">
        <v>85</v>
      </c>
      <c r="F2366" s="12">
        <v>14.67</v>
      </c>
      <c r="G2366" t="str">
        <f>IFERROR(INDEX(tEditais[Órgão],MATCH(tItens[[#This Row],[Edital]],tEditais[Edital],0)),"")</f>
        <v>MUNICIPIO DE SENADOR CANEDO</v>
      </c>
      <c r="H2366" t="str">
        <f>IFERROR(INDEX(tEditais[UF],MATCH(tItens[[#This Row],[Edital]],tEditais[Edital],0)),"")</f>
        <v>GO</v>
      </c>
      <c r="I2366" s="11">
        <f>IFERROR(INDEX(tEditais[Encerramento],MATCH(tItens[[#This Row],[Edital]],tEditais[Edital],0)),"")</f>
        <v>46311.354166666664</v>
      </c>
      <c r="J2366" t="str">
        <f>IFERROR(INDEX(tProdutos[Classe],MATCH(tItens[[#This Row],[Produto]],tProdutos[Produto],0)),"produto não cadastrado")</f>
        <v>FORA</v>
      </c>
      <c r="K2366" s="12">
        <f>tItens[[#This Row],[Qtd]]*tItens[[#This Row],[Vlr unit]]</f>
        <v>1246.95</v>
      </c>
      <c r="L2366" s="6">
        <f>IFERROR(IF(INDEX(tProdutos[Desconto homologado],MATCH(tItens[[#This Row],[Produto]],tProdutos[Produto],0))="",DescontoPadrao,INDEX(tProdutos[Desconto homologado],MATCH(tItens[[#This Row],[Produto]],tProdutos[Produto],0))),DescontoPadrao)</f>
        <v>0.38432036097010702</v>
      </c>
      <c r="M2366" s="12">
        <f>tItens[[#This Row],[Valor]]*(1-tItens[[#This Row],[Desconto]])</f>
        <v>767.72172588832507</v>
      </c>
      <c r="N2366" t="str">
        <f>IFERROR(INDEX(tProdutos[Foco],MATCH(tItens[[#This Row],[Produto]],tProdutos[Produto],0)),"Não")</f>
        <v>Não</v>
      </c>
      <c r="O2366" t="str">
        <f>IFERROR(INDEX(tEditais[SRP],MATCH(tItens[[#This Row],[Edital]],tEditais[Edital],0)),"Não")</f>
        <v>Sim</v>
      </c>
      <c r="P2366" s="4">
        <f>IF(COUNTIFS(INDEX(tItens[Edital],1):tItens[[#This Row],[Edital]],tItens[[#This Row],[Edital]],INDEX(tItens[Produto],1):tItens[[#This Row],[Produto]],tItens[[#This Row],[Produto]])=1,1,0)</f>
        <v>1</v>
      </c>
    </row>
    <row r="2367" spans="1:16" x14ac:dyDescent="0.25">
      <c r="A2367" t="s">
        <v>1219</v>
      </c>
      <c r="B2367">
        <v>6</v>
      </c>
      <c r="C2367" t="s">
        <v>5403</v>
      </c>
      <c r="D2367" t="s">
        <v>315</v>
      </c>
      <c r="E2367" s="13">
        <v>105</v>
      </c>
      <c r="F2367" s="12">
        <v>9.41</v>
      </c>
      <c r="G2367" t="str">
        <f>IFERROR(INDEX(tEditais[Órgão],MATCH(tItens[[#This Row],[Edital]],tEditais[Edital],0)),"")</f>
        <v>MUNICIPIO DE SENADOR CANEDO</v>
      </c>
      <c r="H2367" t="str">
        <f>IFERROR(INDEX(tEditais[UF],MATCH(tItens[[#This Row],[Edital]],tEditais[Edital],0)),"")</f>
        <v>GO</v>
      </c>
      <c r="I2367" s="11">
        <f>IFERROR(INDEX(tEditais[Encerramento],MATCH(tItens[[#This Row],[Edital]],tEditais[Edital],0)),"")</f>
        <v>46311.354166666664</v>
      </c>
      <c r="J2367" t="str">
        <f>IFERROR(INDEX(tProdutos[Classe],MATCH(tItens[[#This Row],[Produto]],tProdutos[Produto],0)),"produto não cadastrado")</f>
        <v>FORA</v>
      </c>
      <c r="K2367" s="12">
        <f>tItens[[#This Row],[Qtd]]*tItens[[#This Row],[Vlr unit]]</f>
        <v>988.05000000000007</v>
      </c>
      <c r="L2367" s="6">
        <f>IFERROR(IF(INDEX(tProdutos[Desconto homologado],MATCH(tItens[[#This Row],[Produto]],tProdutos[Produto],0))="",DescontoPadrao,INDEX(tProdutos[Desconto homologado],MATCH(tItens[[#This Row],[Produto]],tProdutos[Produto],0))),DescontoPadrao)</f>
        <v>0.38432036097010702</v>
      </c>
      <c r="M2367" s="12">
        <f>tItens[[#This Row],[Valor]]*(1-tItens[[#This Row],[Desconto]])</f>
        <v>608.32226734348581</v>
      </c>
      <c r="N2367" t="str">
        <f>IFERROR(INDEX(tProdutos[Foco],MATCH(tItens[[#This Row],[Produto]],tProdutos[Produto],0)),"Não")</f>
        <v>Não</v>
      </c>
      <c r="O2367" t="str">
        <f>IFERROR(INDEX(tEditais[SRP],MATCH(tItens[[#This Row],[Edital]],tEditais[Edital],0)),"Não")</f>
        <v>Sim</v>
      </c>
      <c r="P2367" s="4">
        <f>IF(COUNTIFS(INDEX(tItens[Edital],1):tItens[[#This Row],[Edital]],tItens[[#This Row],[Edital]],INDEX(tItens[Produto],1):tItens[[#This Row],[Produto]],tItens[[#This Row],[Produto]])=1,1,0)</f>
        <v>0</v>
      </c>
    </row>
    <row r="2368" spans="1:16" x14ac:dyDescent="0.25">
      <c r="A2368" t="s">
        <v>1219</v>
      </c>
      <c r="B2368">
        <v>7</v>
      </c>
      <c r="C2368" t="s">
        <v>5404</v>
      </c>
      <c r="D2368" t="s">
        <v>315</v>
      </c>
      <c r="E2368" s="13">
        <v>175</v>
      </c>
      <c r="F2368" s="12">
        <v>8.1300000000000008</v>
      </c>
      <c r="G2368" t="str">
        <f>IFERROR(INDEX(tEditais[Órgão],MATCH(tItens[[#This Row],[Edital]],tEditais[Edital],0)),"")</f>
        <v>MUNICIPIO DE SENADOR CANEDO</v>
      </c>
      <c r="H2368" t="str">
        <f>IFERROR(INDEX(tEditais[UF],MATCH(tItens[[#This Row],[Edital]],tEditais[Edital],0)),"")</f>
        <v>GO</v>
      </c>
      <c r="I2368" s="11">
        <f>IFERROR(INDEX(tEditais[Encerramento],MATCH(tItens[[#This Row],[Edital]],tEditais[Edital],0)),"")</f>
        <v>46311.354166666664</v>
      </c>
      <c r="J2368" t="str">
        <f>IFERROR(INDEX(tProdutos[Classe],MATCH(tItens[[#This Row],[Produto]],tProdutos[Produto],0)),"produto não cadastrado")</f>
        <v>FORA</v>
      </c>
      <c r="K2368" s="12">
        <f>tItens[[#This Row],[Qtd]]*tItens[[#This Row],[Vlr unit]]</f>
        <v>1422.7500000000002</v>
      </c>
      <c r="L2368" s="6">
        <f>IFERROR(IF(INDEX(tProdutos[Desconto homologado],MATCH(tItens[[#This Row],[Produto]],tProdutos[Produto],0))="",DescontoPadrao,INDEX(tProdutos[Desconto homologado],MATCH(tItens[[#This Row],[Produto]],tProdutos[Produto],0))),DescontoPadrao)</f>
        <v>0.38432036097010702</v>
      </c>
      <c r="M2368" s="12">
        <f>tItens[[#This Row],[Valor]]*(1-tItens[[#This Row],[Desconto]])</f>
        <v>875.95820642978038</v>
      </c>
      <c r="N2368" t="str">
        <f>IFERROR(INDEX(tProdutos[Foco],MATCH(tItens[[#This Row],[Produto]],tProdutos[Produto],0)),"Não")</f>
        <v>Não</v>
      </c>
      <c r="O2368" t="str">
        <f>IFERROR(INDEX(tEditais[SRP],MATCH(tItens[[#This Row],[Edital]],tEditais[Edital],0)),"Não")</f>
        <v>Sim</v>
      </c>
      <c r="P2368" s="4">
        <f>IF(COUNTIFS(INDEX(tItens[Edital],1):tItens[[#This Row],[Edital]],tItens[[#This Row],[Edital]],INDEX(tItens[Produto],1):tItens[[#This Row],[Produto]],tItens[[#This Row],[Produto]])=1,1,0)</f>
        <v>0</v>
      </c>
    </row>
    <row r="2369" spans="1:16" x14ac:dyDescent="0.25">
      <c r="A2369" t="s">
        <v>1219</v>
      </c>
      <c r="B2369">
        <v>15</v>
      </c>
      <c r="C2369" t="s">
        <v>5405</v>
      </c>
      <c r="D2369" t="s">
        <v>409</v>
      </c>
      <c r="E2369" s="13">
        <v>5500</v>
      </c>
      <c r="F2369" s="12">
        <v>60.52</v>
      </c>
      <c r="G2369" t="str">
        <f>IFERROR(INDEX(tEditais[Órgão],MATCH(tItens[[#This Row],[Edital]],tEditais[Edital],0)),"")</f>
        <v>MUNICIPIO DE SENADOR CANEDO</v>
      </c>
      <c r="H2369" t="str">
        <f>IFERROR(INDEX(tEditais[UF],MATCH(tItens[[#This Row],[Edital]],tEditais[Edital],0)),"")</f>
        <v>GO</v>
      </c>
      <c r="I2369" s="11">
        <f>IFERROR(INDEX(tEditais[Encerramento],MATCH(tItens[[#This Row],[Edital]],tEditais[Edital],0)),"")</f>
        <v>46311.354166666664</v>
      </c>
      <c r="J2369" t="str">
        <f>IFERROR(INDEX(tProdutos[Classe],MATCH(tItens[[#This Row],[Produto]],tProdutos[Produto],0)),"produto não cadastrado")</f>
        <v>FORA</v>
      </c>
      <c r="K2369" s="12">
        <f>tItens[[#This Row],[Qtd]]*tItens[[#This Row],[Vlr unit]]</f>
        <v>332860</v>
      </c>
      <c r="L2369" s="6">
        <f>IFERROR(IF(INDEX(tProdutos[Desconto homologado],MATCH(tItens[[#This Row],[Produto]],tProdutos[Produto],0))="",DescontoPadrao,INDEX(tProdutos[Desconto homologado],MATCH(tItens[[#This Row],[Produto]],tProdutos[Produto],0))),DescontoPadrao)</f>
        <v>0.24924924924924899</v>
      </c>
      <c r="M2369" s="12">
        <f>tItens[[#This Row],[Valor]]*(1-tItens[[#This Row],[Desconto]])</f>
        <v>249894.894894895</v>
      </c>
      <c r="N2369" t="str">
        <f>IFERROR(INDEX(tProdutos[Foco],MATCH(tItens[[#This Row],[Produto]],tProdutos[Produto],0)),"Não")</f>
        <v>Não</v>
      </c>
      <c r="O2369" t="str">
        <f>IFERROR(INDEX(tEditais[SRP],MATCH(tItens[[#This Row],[Edital]],tEditais[Edital],0)),"Não")</f>
        <v>Sim</v>
      </c>
      <c r="P2369" s="4">
        <f>IF(COUNTIFS(INDEX(tItens[Edital],1):tItens[[#This Row],[Edital]],tItens[[#This Row],[Edital]],INDEX(tItens[Produto],1):tItens[[#This Row],[Produto]],tItens[[#This Row],[Produto]])=1,1,0)</f>
        <v>1</v>
      </c>
    </row>
    <row r="2370" spans="1:16" x14ac:dyDescent="0.25">
      <c r="A2370" t="s">
        <v>1219</v>
      </c>
      <c r="B2370">
        <v>16</v>
      </c>
      <c r="C2370" t="s">
        <v>5406</v>
      </c>
      <c r="D2370" t="s">
        <v>287</v>
      </c>
      <c r="E2370" s="13">
        <v>150</v>
      </c>
      <c r="F2370" s="12">
        <v>60.43</v>
      </c>
      <c r="G2370" t="str">
        <f>IFERROR(INDEX(tEditais[Órgão],MATCH(tItens[[#This Row],[Edital]],tEditais[Edital],0)),"")</f>
        <v>MUNICIPIO DE SENADOR CANEDO</v>
      </c>
      <c r="H2370" t="str">
        <f>IFERROR(INDEX(tEditais[UF],MATCH(tItens[[#This Row],[Edital]],tEditais[Edital],0)),"")</f>
        <v>GO</v>
      </c>
      <c r="I2370" s="11">
        <f>IFERROR(INDEX(tEditais[Encerramento],MATCH(tItens[[#This Row],[Edital]],tEditais[Edital],0)),"")</f>
        <v>46311.354166666664</v>
      </c>
      <c r="J2370" t="str">
        <f>IFERROR(INDEX(tProdutos[Classe],MATCH(tItens[[#This Row],[Produto]],tProdutos[Produto],0)),"produto não cadastrado")</f>
        <v>FORA</v>
      </c>
      <c r="K2370" s="12">
        <f>tItens[[#This Row],[Qtd]]*tItens[[#This Row],[Vlr unit]]</f>
        <v>9064.5</v>
      </c>
      <c r="L2370" s="6">
        <f>IFERROR(IF(INDEX(tProdutos[Desconto homologado],MATCH(tItens[[#This Row],[Produto]],tProdutos[Produto],0))="",DescontoPadrao,INDEX(tProdutos[Desconto homologado],MATCH(tItens[[#This Row],[Produto]],tProdutos[Produto],0))),DescontoPadrao)</f>
        <v>0.46344491178876002</v>
      </c>
      <c r="M2370" s="12">
        <f>tItens[[#This Row],[Valor]]*(1-tItens[[#This Row],[Desconto]])</f>
        <v>4863.6035970907851</v>
      </c>
      <c r="N2370" t="str">
        <f>IFERROR(INDEX(tProdutos[Foco],MATCH(tItens[[#This Row],[Produto]],tProdutos[Produto],0)),"Não")</f>
        <v>Não</v>
      </c>
      <c r="O2370" t="str">
        <f>IFERROR(INDEX(tEditais[SRP],MATCH(tItens[[#This Row],[Edital]],tEditais[Edital],0)),"Não")</f>
        <v>Sim</v>
      </c>
      <c r="P2370" s="4">
        <f>IF(COUNTIFS(INDEX(tItens[Edital],1):tItens[[#This Row],[Edital]],tItens[[#This Row],[Edital]],INDEX(tItens[Produto],1):tItens[[#This Row],[Produto]],tItens[[#This Row],[Produto]])=1,1,0)</f>
        <v>1</v>
      </c>
    </row>
    <row r="2371" spans="1:16" x14ac:dyDescent="0.25">
      <c r="A2371" t="s">
        <v>1219</v>
      </c>
      <c r="B2371">
        <v>17</v>
      </c>
      <c r="C2371" t="s">
        <v>5407</v>
      </c>
      <c r="D2371" t="s">
        <v>247</v>
      </c>
      <c r="E2371" s="13">
        <v>150</v>
      </c>
      <c r="F2371" s="12">
        <v>64.790000000000006</v>
      </c>
      <c r="G2371" t="str">
        <f>IFERROR(INDEX(tEditais[Órgão],MATCH(tItens[[#This Row],[Edital]],tEditais[Edital],0)),"")</f>
        <v>MUNICIPIO DE SENADOR CANEDO</v>
      </c>
      <c r="H2371" t="str">
        <f>IFERROR(INDEX(tEditais[UF],MATCH(tItens[[#This Row],[Edital]],tEditais[Edital],0)),"")</f>
        <v>GO</v>
      </c>
      <c r="I2371" s="11">
        <f>IFERROR(INDEX(tEditais[Encerramento],MATCH(tItens[[#This Row],[Edital]],tEditais[Edital],0)),"")</f>
        <v>46311.354166666664</v>
      </c>
      <c r="J2371" t="str">
        <f>IFERROR(INDEX(tProdutos[Classe],MATCH(tItens[[#This Row],[Produto]],tProdutos[Produto],0)),"produto não cadastrado")</f>
        <v>FORA</v>
      </c>
      <c r="K2371" s="12">
        <f>tItens[[#This Row],[Qtd]]*tItens[[#This Row],[Vlr unit]]</f>
        <v>9718.5000000000018</v>
      </c>
      <c r="L2371" s="6">
        <f>IFERROR(IF(INDEX(tProdutos[Desconto homologado],MATCH(tItens[[#This Row],[Produto]],tProdutos[Produto],0))="",DescontoPadrao,INDEX(tProdutos[Desconto homologado],MATCH(tItens[[#This Row],[Produto]],tProdutos[Produto],0))),DescontoPadrao)</f>
        <v>0.27353256199762999</v>
      </c>
      <c r="M2371" s="12">
        <f>tItens[[#This Row],[Valor]]*(1-tItens[[#This Row],[Desconto]])</f>
        <v>7060.173796226034</v>
      </c>
      <c r="N2371" t="str">
        <f>IFERROR(INDEX(tProdutos[Foco],MATCH(tItens[[#This Row],[Produto]],tProdutos[Produto],0)),"Não")</f>
        <v>Não</v>
      </c>
      <c r="O2371" t="str">
        <f>IFERROR(INDEX(tEditais[SRP],MATCH(tItens[[#This Row],[Edital]],tEditais[Edital],0)),"Não")</f>
        <v>Sim</v>
      </c>
      <c r="P2371" s="4">
        <f>IF(COUNTIFS(INDEX(tItens[Edital],1):tItens[[#This Row],[Edital]],tItens[[#This Row],[Edital]],INDEX(tItens[Produto],1):tItens[[#This Row],[Produto]],tItens[[#This Row],[Produto]])=1,1,0)</f>
        <v>1</v>
      </c>
    </row>
    <row r="2372" spans="1:16" x14ac:dyDescent="0.25">
      <c r="A2372" t="s">
        <v>1219</v>
      </c>
      <c r="B2372">
        <v>18</v>
      </c>
      <c r="C2372" t="s">
        <v>5408</v>
      </c>
      <c r="D2372" t="s">
        <v>379</v>
      </c>
      <c r="E2372" s="13">
        <v>105</v>
      </c>
      <c r="F2372" s="12">
        <v>61.74</v>
      </c>
      <c r="G2372" t="str">
        <f>IFERROR(INDEX(tEditais[Órgão],MATCH(tItens[[#This Row],[Edital]],tEditais[Edital],0)),"")</f>
        <v>MUNICIPIO DE SENADOR CANEDO</v>
      </c>
      <c r="H2372" t="str">
        <f>IFERROR(INDEX(tEditais[UF],MATCH(tItens[[#This Row],[Edital]],tEditais[Edital],0)),"")</f>
        <v>GO</v>
      </c>
      <c r="I2372" s="11">
        <f>IFERROR(INDEX(tEditais[Encerramento],MATCH(tItens[[#This Row],[Edital]],tEditais[Edital],0)),"")</f>
        <v>46311.354166666664</v>
      </c>
      <c r="J2372" t="str">
        <f>IFERROR(INDEX(tProdutos[Classe],MATCH(tItens[[#This Row],[Produto]],tProdutos[Produto],0)),"produto não cadastrado")</f>
        <v>FORA</v>
      </c>
      <c r="K2372" s="12">
        <f>tItens[[#This Row],[Qtd]]*tItens[[#This Row],[Vlr unit]]</f>
        <v>6482.7</v>
      </c>
      <c r="L2372" s="6">
        <f>IFERROR(IF(INDEX(tProdutos[Desconto homologado],MATCH(tItens[[#This Row],[Produto]],tProdutos[Produto],0))="",DescontoPadrao,INDEX(tProdutos[Desconto homologado],MATCH(tItens[[#This Row],[Produto]],tProdutos[Produto],0))),DescontoPadrao)</f>
        <v>0.49504950495049499</v>
      </c>
      <c r="M2372" s="12">
        <f>tItens[[#This Row],[Valor]]*(1-tItens[[#This Row],[Desconto]])</f>
        <v>3273.4425742574258</v>
      </c>
      <c r="N2372" t="str">
        <f>IFERROR(INDEX(tProdutos[Foco],MATCH(tItens[[#This Row],[Produto]],tProdutos[Produto],0)),"Não")</f>
        <v>Não</v>
      </c>
      <c r="O2372" t="str">
        <f>IFERROR(INDEX(tEditais[SRP],MATCH(tItens[[#This Row],[Edital]],tEditais[Edital],0)),"Não")</f>
        <v>Sim</v>
      </c>
      <c r="P2372" s="4">
        <f>IF(COUNTIFS(INDEX(tItens[Edital],1):tItens[[#This Row],[Edital]],tItens[[#This Row],[Edital]],INDEX(tItens[Produto],1):tItens[[#This Row],[Produto]],tItens[[#This Row],[Produto]])=1,1,0)</f>
        <v>1</v>
      </c>
    </row>
    <row r="2373" spans="1:16" x14ac:dyDescent="0.25">
      <c r="A2373" t="s">
        <v>1219</v>
      </c>
      <c r="B2373">
        <v>20</v>
      </c>
      <c r="C2373" t="s">
        <v>5409</v>
      </c>
      <c r="D2373" t="s">
        <v>311</v>
      </c>
      <c r="E2373" s="13">
        <v>330</v>
      </c>
      <c r="F2373" s="12">
        <v>7.33</v>
      </c>
      <c r="G2373" t="str">
        <f>IFERROR(INDEX(tEditais[Órgão],MATCH(tItens[[#This Row],[Edital]],tEditais[Edital],0)),"")</f>
        <v>MUNICIPIO DE SENADOR CANEDO</v>
      </c>
      <c r="H2373" t="str">
        <f>IFERROR(INDEX(tEditais[UF],MATCH(tItens[[#This Row],[Edital]],tEditais[Edital],0)),"")</f>
        <v>GO</v>
      </c>
      <c r="I2373" s="11">
        <f>IFERROR(INDEX(tEditais[Encerramento],MATCH(tItens[[#This Row],[Edital]],tEditais[Edital],0)),"")</f>
        <v>46311.354166666664</v>
      </c>
      <c r="J2373" t="str">
        <f>IFERROR(INDEX(tProdutos[Classe],MATCH(tItens[[#This Row],[Produto]],tProdutos[Produto],0)),"produto não cadastrado")</f>
        <v>FORA</v>
      </c>
      <c r="K2373" s="12">
        <f>tItens[[#This Row],[Qtd]]*tItens[[#This Row],[Vlr unit]]</f>
        <v>2418.9</v>
      </c>
      <c r="L2373" s="6">
        <f>IFERROR(IF(INDEX(tProdutos[Desconto homologado],MATCH(tItens[[#This Row],[Produto]],tProdutos[Produto],0))="",DescontoPadrao,INDEX(tProdutos[Desconto homologado],MATCH(tItens[[#This Row],[Produto]],tProdutos[Produto],0))),DescontoPadrao)</f>
        <v>0.29046182846371399</v>
      </c>
      <c r="M2373" s="12">
        <f>tItens[[#This Row],[Valor]]*(1-tItens[[#This Row],[Desconto]])</f>
        <v>1716.3018831291224</v>
      </c>
      <c r="N2373" t="str">
        <f>IFERROR(INDEX(tProdutos[Foco],MATCH(tItens[[#This Row],[Produto]],tProdutos[Produto],0)),"Não")</f>
        <v>Não</v>
      </c>
      <c r="O2373" t="str">
        <f>IFERROR(INDEX(tEditais[SRP],MATCH(tItens[[#This Row],[Edital]],tEditais[Edital],0)),"Não")</f>
        <v>Sim</v>
      </c>
      <c r="P2373" s="4">
        <f>IF(COUNTIFS(INDEX(tItens[Edital],1):tItens[[#This Row],[Edital]],tItens[[#This Row],[Edital]],INDEX(tItens[Produto],1):tItens[[#This Row],[Produto]],tItens[[#This Row],[Produto]])=1,1,0)</f>
        <v>1</v>
      </c>
    </row>
    <row r="2374" spans="1:16" x14ac:dyDescent="0.25">
      <c r="A2374" t="s">
        <v>1219</v>
      </c>
      <c r="B2374">
        <v>21</v>
      </c>
      <c r="C2374" t="s">
        <v>5410</v>
      </c>
      <c r="D2374" t="s">
        <v>269</v>
      </c>
      <c r="E2374" s="13">
        <v>370</v>
      </c>
      <c r="F2374" s="12">
        <v>101.65</v>
      </c>
      <c r="G2374" t="str">
        <f>IFERROR(INDEX(tEditais[Órgão],MATCH(tItens[[#This Row],[Edital]],tEditais[Edital],0)),"")</f>
        <v>MUNICIPIO DE SENADOR CANEDO</v>
      </c>
      <c r="H2374" t="str">
        <f>IFERROR(INDEX(tEditais[UF],MATCH(tItens[[#This Row],[Edital]],tEditais[Edital],0)),"")</f>
        <v>GO</v>
      </c>
      <c r="I2374" s="11">
        <f>IFERROR(INDEX(tEditais[Encerramento],MATCH(tItens[[#This Row],[Edital]],tEditais[Edital],0)),"")</f>
        <v>46311.354166666664</v>
      </c>
      <c r="J2374" t="str">
        <f>IFERROR(INDEX(tProdutos[Classe],MATCH(tItens[[#This Row],[Produto]],tProdutos[Produto],0)),"produto não cadastrado")</f>
        <v>FORA</v>
      </c>
      <c r="K2374" s="12">
        <f>tItens[[#This Row],[Qtd]]*tItens[[#This Row],[Vlr unit]]</f>
        <v>37610.5</v>
      </c>
      <c r="L2374" s="6">
        <f>IFERROR(IF(INDEX(tProdutos[Desconto homologado],MATCH(tItens[[#This Row],[Produto]],tProdutos[Produto],0))="",DescontoPadrao,INDEX(tProdutos[Desconto homologado],MATCH(tItens[[#This Row],[Produto]],tProdutos[Produto],0))),DescontoPadrao)</f>
        <v>0.28935117103332197</v>
      </c>
      <c r="M2374" s="12">
        <f>tItens[[#This Row],[Valor]]*(1-tItens[[#This Row],[Desconto]])</f>
        <v>26727.857781851242</v>
      </c>
      <c r="N2374" t="str">
        <f>IFERROR(INDEX(tProdutos[Foco],MATCH(tItens[[#This Row],[Produto]],tProdutos[Produto],0)),"Não")</f>
        <v>Não</v>
      </c>
      <c r="O2374" t="str">
        <f>IFERROR(INDEX(tEditais[SRP],MATCH(tItens[[#This Row],[Edital]],tEditais[Edital],0)),"Não")</f>
        <v>Sim</v>
      </c>
      <c r="P2374" s="4">
        <f>IF(COUNTIFS(INDEX(tItens[Edital],1):tItens[[#This Row],[Edital]],tItens[[#This Row],[Edital]],INDEX(tItens[Produto],1):tItens[[#This Row],[Produto]],tItens[[#This Row],[Produto]])=1,1,0)</f>
        <v>1</v>
      </c>
    </row>
    <row r="2375" spans="1:16" x14ac:dyDescent="0.25">
      <c r="A2375" t="s">
        <v>1219</v>
      </c>
      <c r="B2375">
        <v>22</v>
      </c>
      <c r="C2375" t="s">
        <v>5411</v>
      </c>
      <c r="D2375" t="s">
        <v>341</v>
      </c>
      <c r="E2375" s="13">
        <v>280</v>
      </c>
      <c r="F2375" s="12">
        <v>41.43</v>
      </c>
      <c r="G2375" t="str">
        <f>IFERROR(INDEX(tEditais[Órgão],MATCH(tItens[[#This Row],[Edital]],tEditais[Edital],0)),"")</f>
        <v>MUNICIPIO DE SENADOR CANEDO</v>
      </c>
      <c r="H2375" t="str">
        <f>IFERROR(INDEX(tEditais[UF],MATCH(tItens[[#This Row],[Edital]],tEditais[Edital],0)),"")</f>
        <v>GO</v>
      </c>
      <c r="I2375" s="11">
        <f>IFERROR(INDEX(tEditais[Encerramento],MATCH(tItens[[#This Row],[Edital]],tEditais[Edital],0)),"")</f>
        <v>46311.354166666664</v>
      </c>
      <c r="J2375" t="str">
        <f>IFERROR(INDEX(tProdutos[Classe],MATCH(tItens[[#This Row],[Produto]],tProdutos[Produto],0)),"produto não cadastrado")</f>
        <v>FORA</v>
      </c>
      <c r="K2375" s="12">
        <f>tItens[[#This Row],[Qtd]]*tItens[[#This Row],[Vlr unit]]</f>
        <v>11600.4</v>
      </c>
      <c r="L2375" s="6">
        <f>IFERROR(IF(INDEX(tProdutos[Desconto homologado],MATCH(tItens[[#This Row],[Produto]],tProdutos[Produto],0))="",DescontoPadrao,INDEX(tProdutos[Desconto homologado],MATCH(tItens[[#This Row],[Produto]],tProdutos[Produto],0))),DescontoPadrao)</f>
        <v>0.46918578497525898</v>
      </c>
      <c r="M2375" s="12">
        <f>tItens[[#This Row],[Valor]]*(1-tItens[[#This Row],[Desconto]])</f>
        <v>6157.6572199730053</v>
      </c>
      <c r="N2375" t="str">
        <f>IFERROR(INDEX(tProdutos[Foco],MATCH(tItens[[#This Row],[Produto]],tProdutos[Produto],0)),"Não")</f>
        <v>Não</v>
      </c>
      <c r="O2375" t="str">
        <f>IFERROR(INDEX(tEditais[SRP],MATCH(tItens[[#This Row],[Edital]],tEditais[Edital],0)),"Não")</f>
        <v>Sim</v>
      </c>
      <c r="P2375" s="4">
        <f>IF(COUNTIFS(INDEX(tItens[Edital],1):tItens[[#This Row],[Edital]],tItens[[#This Row],[Edital]],INDEX(tItens[Produto],1):tItens[[#This Row],[Produto]],tItens[[#This Row],[Produto]])=1,1,0)</f>
        <v>1</v>
      </c>
    </row>
    <row r="2376" spans="1:16" x14ac:dyDescent="0.25">
      <c r="A2376" t="s">
        <v>1219</v>
      </c>
      <c r="B2376">
        <v>25</v>
      </c>
      <c r="C2376" t="s">
        <v>5412</v>
      </c>
      <c r="D2376" t="s">
        <v>333</v>
      </c>
      <c r="E2376" s="13">
        <v>230</v>
      </c>
      <c r="F2376" s="12">
        <v>1.08</v>
      </c>
      <c r="G2376" t="str">
        <f>IFERROR(INDEX(tEditais[Órgão],MATCH(tItens[[#This Row],[Edital]],tEditais[Edital],0)),"")</f>
        <v>MUNICIPIO DE SENADOR CANEDO</v>
      </c>
      <c r="H2376" t="str">
        <f>IFERROR(INDEX(tEditais[UF],MATCH(tItens[[#This Row],[Edital]],tEditais[Edital],0)),"")</f>
        <v>GO</v>
      </c>
      <c r="I2376" s="11">
        <f>IFERROR(INDEX(tEditais[Encerramento],MATCH(tItens[[#This Row],[Edital]],tEditais[Edital],0)),"")</f>
        <v>46311.354166666664</v>
      </c>
      <c r="J2376" t="str">
        <f>IFERROR(INDEX(tProdutos[Classe],MATCH(tItens[[#This Row],[Produto]],tProdutos[Produto],0)),"produto não cadastrado")</f>
        <v>FORA</v>
      </c>
      <c r="K2376" s="12">
        <f>tItens[[#This Row],[Qtd]]*tItens[[#This Row],[Vlr unit]]</f>
        <v>248.4</v>
      </c>
      <c r="L2376" s="6">
        <f>IFERROR(IF(INDEX(tProdutos[Desconto homologado],MATCH(tItens[[#This Row],[Produto]],tProdutos[Produto],0))="",DescontoPadrao,INDEX(tProdutos[Desconto homologado],MATCH(tItens[[#This Row],[Produto]],tProdutos[Produto],0))),DescontoPadrao)</f>
        <v>0.48951048951048998</v>
      </c>
      <c r="M2376" s="12">
        <f>tItens[[#This Row],[Valor]]*(1-tItens[[#This Row],[Desconto]])</f>
        <v>126.80559440559428</v>
      </c>
      <c r="N2376" t="str">
        <f>IFERROR(INDEX(tProdutos[Foco],MATCH(tItens[[#This Row],[Produto]],tProdutos[Produto],0)),"Não")</f>
        <v>Não</v>
      </c>
      <c r="O2376" t="str">
        <f>IFERROR(INDEX(tEditais[SRP],MATCH(tItens[[#This Row],[Edital]],tEditais[Edital],0)),"Não")</f>
        <v>Sim</v>
      </c>
      <c r="P2376" s="4">
        <f>IF(COUNTIFS(INDEX(tItens[Edital],1):tItens[[#This Row],[Edital]],tItens[[#This Row],[Edital]],INDEX(tItens[Produto],1):tItens[[#This Row],[Produto]],tItens[[#This Row],[Produto]])=1,1,0)</f>
        <v>1</v>
      </c>
    </row>
    <row r="2377" spans="1:16" x14ac:dyDescent="0.25">
      <c r="A2377" t="s">
        <v>1219</v>
      </c>
      <c r="B2377">
        <v>26</v>
      </c>
      <c r="C2377" t="s">
        <v>5413</v>
      </c>
      <c r="D2377" t="s">
        <v>90</v>
      </c>
      <c r="E2377" s="13">
        <v>330</v>
      </c>
      <c r="F2377" s="12">
        <v>11</v>
      </c>
      <c r="G2377" t="str">
        <f>IFERROR(INDEX(tEditais[Órgão],MATCH(tItens[[#This Row],[Edital]],tEditais[Edital],0)),"")</f>
        <v>MUNICIPIO DE SENADOR CANEDO</v>
      </c>
      <c r="H2377" t="str">
        <f>IFERROR(INDEX(tEditais[UF],MATCH(tItens[[#This Row],[Edital]],tEditais[Edital],0)),"")</f>
        <v>GO</v>
      </c>
      <c r="I2377" s="11">
        <f>IFERROR(INDEX(tEditais[Encerramento],MATCH(tItens[[#This Row],[Edital]],tEditais[Edital],0)),"")</f>
        <v>46311.354166666664</v>
      </c>
      <c r="J2377" t="str">
        <f>IFERROR(INDEX(tProdutos[Classe],MATCH(tItens[[#This Row],[Produto]],tProdutos[Produto],0)),"produto não cadastrado")</f>
        <v>DISPUTADO</v>
      </c>
      <c r="K2377" s="12">
        <f>tItens[[#This Row],[Qtd]]*tItens[[#This Row],[Vlr unit]]</f>
        <v>3630</v>
      </c>
      <c r="L2377" s="6">
        <f>IFERROR(IF(INDEX(tProdutos[Desconto homologado],MATCH(tItens[[#This Row],[Produto]],tProdutos[Produto],0))="",DescontoPadrao,INDEX(tProdutos[Desconto homologado],MATCH(tItens[[#This Row],[Produto]],tProdutos[Produto],0))),DescontoPadrao)</f>
        <v>0.25393823957010597</v>
      </c>
      <c r="M2377" s="12">
        <f>tItens[[#This Row],[Valor]]*(1-tItens[[#This Row],[Desconto]])</f>
        <v>2708.2041903605154</v>
      </c>
      <c r="N2377" t="str">
        <f>IFERROR(INDEX(tProdutos[Foco],MATCH(tItens[[#This Row],[Produto]],tProdutos[Produto],0)),"Não")</f>
        <v>Não</v>
      </c>
      <c r="O2377" t="str">
        <f>IFERROR(INDEX(tEditais[SRP],MATCH(tItens[[#This Row],[Edital]],tEditais[Edital],0)),"Não")</f>
        <v>Sim</v>
      </c>
      <c r="P2377" s="4">
        <f>IF(COUNTIFS(INDEX(tItens[Edital],1):tItens[[#This Row],[Edital]],tItens[[#This Row],[Edital]],INDEX(tItens[Produto],1):tItens[[#This Row],[Produto]],tItens[[#This Row],[Produto]])=1,1,0)</f>
        <v>1</v>
      </c>
    </row>
    <row r="2378" spans="1:16" x14ac:dyDescent="0.25">
      <c r="A2378" t="s">
        <v>1219</v>
      </c>
      <c r="B2378">
        <v>28</v>
      </c>
      <c r="C2378" t="s">
        <v>5414</v>
      </c>
      <c r="D2378" t="s">
        <v>461</v>
      </c>
      <c r="E2378" s="13">
        <v>220</v>
      </c>
      <c r="F2378" s="12">
        <v>36.380000000000003</v>
      </c>
      <c r="G2378" t="str">
        <f>IFERROR(INDEX(tEditais[Órgão],MATCH(tItens[[#This Row],[Edital]],tEditais[Edital],0)),"")</f>
        <v>MUNICIPIO DE SENADOR CANEDO</v>
      </c>
      <c r="H2378" t="str">
        <f>IFERROR(INDEX(tEditais[UF],MATCH(tItens[[#This Row],[Edital]],tEditais[Edital],0)),"")</f>
        <v>GO</v>
      </c>
      <c r="I2378" s="11">
        <f>IFERROR(INDEX(tEditais[Encerramento],MATCH(tItens[[#This Row],[Edital]],tEditais[Edital],0)),"")</f>
        <v>46311.354166666664</v>
      </c>
      <c r="J2378" t="str">
        <f>IFERROR(INDEX(tProdutos[Classe],MATCH(tItens[[#This Row],[Produto]],tProdutos[Produto],0)),"produto não cadastrado")</f>
        <v>FILA REBASE</v>
      </c>
      <c r="K2378" s="12">
        <f>tItens[[#This Row],[Qtd]]*tItens[[#This Row],[Vlr unit]]</f>
        <v>8003.6</v>
      </c>
      <c r="L2378" s="6">
        <f>IFERROR(IF(INDEX(tProdutos[Desconto homologado],MATCH(tItens[[#This Row],[Produto]],tProdutos[Produto],0))="",DescontoPadrao,INDEX(tProdutos[Desconto homologado],MATCH(tItens[[#This Row],[Produto]],tProdutos[Produto],0))),DescontoPadrao)</f>
        <v>0.44096385542168698</v>
      </c>
      <c r="M2378" s="12">
        <f>tItens[[#This Row],[Valor]]*(1-tItens[[#This Row],[Desconto]])</f>
        <v>4474.301686746986</v>
      </c>
      <c r="N2378" t="str">
        <f>IFERROR(INDEX(tProdutos[Foco],MATCH(tItens[[#This Row],[Produto]],tProdutos[Produto],0)),"Não")</f>
        <v>Não</v>
      </c>
      <c r="O2378" t="str">
        <f>IFERROR(INDEX(tEditais[SRP],MATCH(tItens[[#This Row],[Edital]],tEditais[Edital],0)),"Não")</f>
        <v>Sim</v>
      </c>
      <c r="P2378" s="4">
        <f>IF(COUNTIFS(INDEX(tItens[Edital],1):tItens[[#This Row],[Edital]],tItens[[#This Row],[Edital]],INDEX(tItens[Produto],1):tItens[[#This Row],[Produto]],tItens[[#This Row],[Produto]])=1,1,0)</f>
        <v>1</v>
      </c>
    </row>
    <row r="2379" spans="1:16" x14ac:dyDescent="0.25">
      <c r="A2379" t="s">
        <v>1219</v>
      </c>
      <c r="B2379">
        <v>29</v>
      </c>
      <c r="C2379" t="s">
        <v>5415</v>
      </c>
      <c r="D2379" t="s">
        <v>461</v>
      </c>
      <c r="E2379" s="13">
        <v>220</v>
      </c>
      <c r="F2379" s="12">
        <v>29.54</v>
      </c>
      <c r="G2379" t="str">
        <f>IFERROR(INDEX(tEditais[Órgão],MATCH(tItens[[#This Row],[Edital]],tEditais[Edital],0)),"")</f>
        <v>MUNICIPIO DE SENADOR CANEDO</v>
      </c>
      <c r="H2379" t="str">
        <f>IFERROR(INDEX(tEditais[UF],MATCH(tItens[[#This Row],[Edital]],tEditais[Edital],0)),"")</f>
        <v>GO</v>
      </c>
      <c r="I2379" s="11">
        <f>IFERROR(INDEX(tEditais[Encerramento],MATCH(tItens[[#This Row],[Edital]],tEditais[Edital],0)),"")</f>
        <v>46311.354166666664</v>
      </c>
      <c r="J2379" t="str">
        <f>IFERROR(INDEX(tProdutos[Classe],MATCH(tItens[[#This Row],[Produto]],tProdutos[Produto],0)),"produto não cadastrado")</f>
        <v>FILA REBASE</v>
      </c>
      <c r="K2379" s="12">
        <f>tItens[[#This Row],[Qtd]]*tItens[[#This Row],[Vlr unit]]</f>
        <v>6498.8</v>
      </c>
      <c r="L2379" s="6">
        <f>IFERROR(IF(INDEX(tProdutos[Desconto homologado],MATCH(tItens[[#This Row],[Produto]],tProdutos[Produto],0))="",DescontoPadrao,INDEX(tProdutos[Desconto homologado],MATCH(tItens[[#This Row],[Produto]],tProdutos[Produto],0))),DescontoPadrao)</f>
        <v>0.44096385542168698</v>
      </c>
      <c r="M2379" s="12">
        <f>tItens[[#This Row],[Valor]]*(1-tItens[[#This Row],[Desconto]])</f>
        <v>3633.0640963855403</v>
      </c>
      <c r="N2379" t="str">
        <f>IFERROR(INDEX(tProdutos[Foco],MATCH(tItens[[#This Row],[Produto]],tProdutos[Produto],0)),"Não")</f>
        <v>Não</v>
      </c>
      <c r="O2379" t="str">
        <f>IFERROR(INDEX(tEditais[SRP],MATCH(tItens[[#This Row],[Edital]],tEditais[Edital],0)),"Não")</f>
        <v>Sim</v>
      </c>
      <c r="P2379" s="4">
        <f>IF(COUNTIFS(INDEX(tItens[Edital],1):tItens[[#This Row],[Edital]],tItens[[#This Row],[Edital]],INDEX(tItens[Produto],1):tItens[[#This Row],[Produto]],tItens[[#This Row],[Produto]])=1,1,0)</f>
        <v>0</v>
      </c>
    </row>
    <row r="2380" spans="1:16" x14ac:dyDescent="0.25">
      <c r="A2380" t="s">
        <v>1219</v>
      </c>
      <c r="B2380">
        <v>30</v>
      </c>
      <c r="C2380" t="s">
        <v>5416</v>
      </c>
      <c r="D2380" t="s">
        <v>461</v>
      </c>
      <c r="E2380" s="13">
        <v>220</v>
      </c>
      <c r="F2380" s="12">
        <v>30.85</v>
      </c>
      <c r="G2380" t="str">
        <f>IFERROR(INDEX(tEditais[Órgão],MATCH(tItens[[#This Row],[Edital]],tEditais[Edital],0)),"")</f>
        <v>MUNICIPIO DE SENADOR CANEDO</v>
      </c>
      <c r="H2380" t="str">
        <f>IFERROR(INDEX(tEditais[UF],MATCH(tItens[[#This Row],[Edital]],tEditais[Edital],0)),"")</f>
        <v>GO</v>
      </c>
      <c r="I2380" s="11">
        <f>IFERROR(INDEX(tEditais[Encerramento],MATCH(tItens[[#This Row],[Edital]],tEditais[Edital],0)),"")</f>
        <v>46311.354166666664</v>
      </c>
      <c r="J2380" t="str">
        <f>IFERROR(INDEX(tProdutos[Classe],MATCH(tItens[[#This Row],[Produto]],tProdutos[Produto],0)),"produto não cadastrado")</f>
        <v>FILA REBASE</v>
      </c>
      <c r="K2380" s="12">
        <f>tItens[[#This Row],[Qtd]]*tItens[[#This Row],[Vlr unit]]</f>
        <v>6787</v>
      </c>
      <c r="L2380" s="6">
        <f>IFERROR(IF(INDEX(tProdutos[Desconto homologado],MATCH(tItens[[#This Row],[Produto]],tProdutos[Produto],0))="",DescontoPadrao,INDEX(tProdutos[Desconto homologado],MATCH(tItens[[#This Row],[Produto]],tProdutos[Produto],0))),DescontoPadrao)</f>
        <v>0.44096385542168698</v>
      </c>
      <c r="M2380" s="12">
        <f>tItens[[#This Row],[Valor]]*(1-tItens[[#This Row],[Desconto]])</f>
        <v>3794.1783132530099</v>
      </c>
      <c r="N2380" t="str">
        <f>IFERROR(INDEX(tProdutos[Foco],MATCH(tItens[[#This Row],[Produto]],tProdutos[Produto],0)),"Não")</f>
        <v>Não</v>
      </c>
      <c r="O2380" t="str">
        <f>IFERROR(INDEX(tEditais[SRP],MATCH(tItens[[#This Row],[Edital]],tEditais[Edital],0)),"Não")</f>
        <v>Sim</v>
      </c>
      <c r="P2380" s="4">
        <f>IF(COUNTIFS(INDEX(tItens[Edital],1):tItens[[#This Row],[Edital]],tItens[[#This Row],[Edital]],INDEX(tItens[Produto],1):tItens[[#This Row],[Produto]],tItens[[#This Row],[Produto]])=1,1,0)</f>
        <v>0</v>
      </c>
    </row>
    <row r="2381" spans="1:16" x14ac:dyDescent="0.25">
      <c r="A2381" t="s">
        <v>1219</v>
      </c>
      <c r="B2381">
        <v>31</v>
      </c>
      <c r="C2381" t="s">
        <v>5417</v>
      </c>
      <c r="D2381" t="s">
        <v>77</v>
      </c>
      <c r="E2381" s="13">
        <v>105</v>
      </c>
      <c r="F2381" s="12">
        <v>12.92</v>
      </c>
      <c r="G2381" t="str">
        <f>IFERROR(INDEX(tEditais[Órgão],MATCH(tItens[[#This Row],[Edital]],tEditais[Edital],0)),"")</f>
        <v>MUNICIPIO DE SENADOR CANEDO</v>
      </c>
      <c r="H2381" t="str">
        <f>IFERROR(INDEX(tEditais[UF],MATCH(tItens[[#This Row],[Edital]],tEditais[Edital],0)),"")</f>
        <v>GO</v>
      </c>
      <c r="I2381" s="11">
        <f>IFERROR(INDEX(tEditais[Encerramento],MATCH(tItens[[#This Row],[Edital]],tEditais[Edital],0)),"")</f>
        <v>46311.354166666664</v>
      </c>
      <c r="J2381" t="str">
        <f>IFERROR(INDEX(tProdutos[Classe],MATCH(tItens[[#This Row],[Produto]],tProdutos[Produto],0)),"produto não cadastrado")</f>
        <v>DISPUTADO</v>
      </c>
      <c r="K2381" s="12">
        <f>tItens[[#This Row],[Qtd]]*tItens[[#This Row],[Vlr unit]]</f>
        <v>1356.6</v>
      </c>
      <c r="L2381" s="6">
        <f>IFERROR(IF(INDEX(tProdutos[Desconto homologado],MATCH(tItens[[#This Row],[Produto]],tProdutos[Produto],0))="",DescontoPadrao,INDEX(tProdutos[Desconto homologado],MATCH(tItens[[#This Row],[Produto]],tProdutos[Produto],0))),DescontoPadrao)</f>
        <v>0.33</v>
      </c>
      <c r="M2381" s="12">
        <f>tItens[[#This Row],[Valor]]*(1-tItens[[#This Row],[Desconto]])</f>
        <v>908.9219999999998</v>
      </c>
      <c r="N2381" t="str">
        <f>IFERROR(INDEX(tProdutos[Foco],MATCH(tItens[[#This Row],[Produto]],tProdutos[Produto],0)),"Não")</f>
        <v>Sim</v>
      </c>
      <c r="O2381" t="str">
        <f>IFERROR(INDEX(tEditais[SRP],MATCH(tItens[[#This Row],[Edital]],tEditais[Edital],0)),"Não")</f>
        <v>Sim</v>
      </c>
      <c r="P2381" s="4">
        <f>IF(COUNTIFS(INDEX(tItens[Edital],1):tItens[[#This Row],[Edital]],tItens[[#This Row],[Edital]],INDEX(tItens[Produto],1):tItens[[#This Row],[Produto]],tItens[[#This Row],[Produto]])=1,1,0)</f>
        <v>1</v>
      </c>
    </row>
    <row r="2382" spans="1:16" x14ac:dyDescent="0.25">
      <c r="A2382" t="s">
        <v>1219</v>
      </c>
      <c r="B2382">
        <v>32</v>
      </c>
      <c r="C2382" t="s">
        <v>5418</v>
      </c>
      <c r="D2382" t="s">
        <v>142</v>
      </c>
      <c r="E2382" s="13">
        <v>120</v>
      </c>
      <c r="F2382" s="12">
        <v>5.09</v>
      </c>
      <c r="G2382" t="str">
        <f>IFERROR(INDEX(tEditais[Órgão],MATCH(tItens[[#This Row],[Edital]],tEditais[Edital],0)),"")</f>
        <v>MUNICIPIO DE SENADOR CANEDO</v>
      </c>
      <c r="H2382" t="str">
        <f>IFERROR(INDEX(tEditais[UF],MATCH(tItens[[#This Row],[Edital]],tEditais[Edital],0)),"")</f>
        <v>GO</v>
      </c>
      <c r="I2382" s="11">
        <f>IFERROR(INDEX(tEditais[Encerramento],MATCH(tItens[[#This Row],[Edital]],tEditais[Edital],0)),"")</f>
        <v>46311.354166666664</v>
      </c>
      <c r="J2382" t="str">
        <f>IFERROR(INDEX(tProdutos[Classe],MATCH(tItens[[#This Row],[Produto]],tProdutos[Produto],0)),"produto não cadastrado")</f>
        <v>DISPUTADO</v>
      </c>
      <c r="K2382" s="12">
        <f>tItens[[#This Row],[Qtd]]*tItens[[#This Row],[Vlr unit]]</f>
        <v>610.79999999999995</v>
      </c>
      <c r="L2382" s="6">
        <f>IFERROR(IF(INDEX(tProdutos[Desconto homologado],MATCH(tItens[[#This Row],[Produto]],tProdutos[Produto],0))="",DescontoPadrao,INDEX(tProdutos[Desconto homologado],MATCH(tItens[[#This Row],[Produto]],tProdutos[Produto],0))),DescontoPadrao)</f>
        <v>0.37093619495691699</v>
      </c>
      <c r="M2382" s="12">
        <f>tItens[[#This Row],[Valor]]*(1-tItens[[#This Row],[Desconto]])</f>
        <v>384.23217212031506</v>
      </c>
      <c r="N2382" t="str">
        <f>IFERROR(INDEX(tProdutos[Foco],MATCH(tItens[[#This Row],[Produto]],tProdutos[Produto],0)),"Não")</f>
        <v>Não</v>
      </c>
      <c r="O2382" t="str">
        <f>IFERROR(INDEX(tEditais[SRP],MATCH(tItens[[#This Row],[Edital]],tEditais[Edital],0)),"Não")</f>
        <v>Sim</v>
      </c>
      <c r="P2382" s="4">
        <f>IF(COUNTIFS(INDEX(tItens[Edital],1):tItens[[#This Row],[Edital]],tItens[[#This Row],[Edital]],INDEX(tItens[Produto],1):tItens[[#This Row],[Produto]],tItens[[#This Row],[Produto]])=1,1,0)</f>
        <v>1</v>
      </c>
    </row>
    <row r="2383" spans="1:16" x14ac:dyDescent="0.25">
      <c r="A2383" t="s">
        <v>1219</v>
      </c>
      <c r="B2383">
        <v>33</v>
      </c>
      <c r="C2383" t="s">
        <v>5419</v>
      </c>
      <c r="D2383" t="s">
        <v>512</v>
      </c>
      <c r="E2383" s="13">
        <v>120</v>
      </c>
      <c r="F2383" s="12">
        <v>16.63</v>
      </c>
      <c r="G2383" t="str">
        <f>IFERROR(INDEX(tEditais[Órgão],MATCH(tItens[[#This Row],[Edital]],tEditais[Edital],0)),"")</f>
        <v>MUNICIPIO DE SENADOR CANEDO</v>
      </c>
      <c r="H2383" t="str">
        <f>IFERROR(INDEX(tEditais[UF],MATCH(tItens[[#This Row],[Edital]],tEditais[Edital],0)),"")</f>
        <v>GO</v>
      </c>
      <c r="I2383" s="11">
        <f>IFERROR(INDEX(tEditais[Encerramento],MATCH(tItens[[#This Row],[Edital]],tEditais[Edital],0)),"")</f>
        <v>46311.354166666664</v>
      </c>
      <c r="J2383" t="str">
        <f>IFERROR(INDEX(tProdutos[Classe],MATCH(tItens[[#This Row],[Produto]],tProdutos[Produto],0)),"produto não cadastrado")</f>
        <v>FILA REBASE</v>
      </c>
      <c r="K2383" s="12">
        <f>tItens[[#This Row],[Qtd]]*tItens[[#This Row],[Vlr unit]]</f>
        <v>1995.6</v>
      </c>
      <c r="L2383" s="6">
        <f>IFERROR(IF(INDEX(tProdutos[Desconto homologado],MATCH(tItens[[#This Row],[Produto]],tProdutos[Produto],0))="",DescontoPadrao,INDEX(tProdutos[Desconto homologado],MATCH(tItens[[#This Row],[Produto]],tProdutos[Produto],0))),DescontoPadrao)</f>
        <v>0.32579365079365102</v>
      </c>
      <c r="M2383" s="12">
        <f>tItens[[#This Row],[Valor]]*(1-tItens[[#This Row],[Desconto]])</f>
        <v>1345.4461904761902</v>
      </c>
      <c r="N2383" t="str">
        <f>IFERROR(INDEX(tProdutos[Foco],MATCH(tItens[[#This Row],[Produto]],tProdutos[Produto],0)),"Não")</f>
        <v>Não</v>
      </c>
      <c r="O2383" t="str">
        <f>IFERROR(INDEX(tEditais[SRP],MATCH(tItens[[#This Row],[Edital]],tEditais[Edital],0)),"Não")</f>
        <v>Sim</v>
      </c>
      <c r="P2383" s="4">
        <f>IF(COUNTIFS(INDEX(tItens[Edital],1):tItens[[#This Row],[Edital]],tItens[[#This Row],[Edital]],INDEX(tItens[Produto],1):tItens[[#This Row],[Produto]],tItens[[#This Row],[Produto]])=1,1,0)</f>
        <v>1</v>
      </c>
    </row>
    <row r="2384" spans="1:16" x14ac:dyDescent="0.25">
      <c r="A2384" t="s">
        <v>1219</v>
      </c>
      <c r="B2384">
        <v>34</v>
      </c>
      <c r="C2384" t="s">
        <v>5420</v>
      </c>
      <c r="D2384" t="s">
        <v>369</v>
      </c>
      <c r="E2384" s="13">
        <v>5500</v>
      </c>
      <c r="F2384" s="12">
        <v>2.61</v>
      </c>
      <c r="G2384" t="str">
        <f>IFERROR(INDEX(tEditais[Órgão],MATCH(tItens[[#This Row],[Edital]],tEditais[Edital],0)),"")</f>
        <v>MUNICIPIO DE SENADOR CANEDO</v>
      </c>
      <c r="H2384" t="str">
        <f>IFERROR(INDEX(tEditais[UF],MATCH(tItens[[#This Row],[Edital]],tEditais[Edital],0)),"")</f>
        <v>GO</v>
      </c>
      <c r="I2384" s="11">
        <f>IFERROR(INDEX(tEditais[Encerramento],MATCH(tItens[[#This Row],[Edital]],tEditais[Edital],0)),"")</f>
        <v>46311.354166666664</v>
      </c>
      <c r="J2384" t="str">
        <f>IFERROR(INDEX(tProdutos[Classe],MATCH(tItens[[#This Row],[Produto]],tProdutos[Produto],0)),"produto não cadastrado")</f>
        <v>FORA</v>
      </c>
      <c r="K2384" s="12">
        <f>tItens[[#This Row],[Qtd]]*tItens[[#This Row],[Vlr unit]]</f>
        <v>14355</v>
      </c>
      <c r="L2384" s="6">
        <f>IFERROR(IF(INDEX(tProdutos[Desconto homologado],MATCH(tItens[[#This Row],[Produto]],tProdutos[Produto],0))="",DescontoPadrao,INDEX(tProdutos[Desconto homologado],MATCH(tItens[[#This Row],[Produto]],tProdutos[Produto],0))),DescontoPadrao)</f>
        <v>0.35816618911174802</v>
      </c>
      <c r="M2384" s="12">
        <f>tItens[[#This Row],[Valor]]*(1-tItens[[#This Row],[Desconto]])</f>
        <v>9213.5243553008568</v>
      </c>
      <c r="N2384" t="str">
        <f>IFERROR(INDEX(tProdutos[Foco],MATCH(tItens[[#This Row],[Produto]],tProdutos[Produto],0)),"Não")</f>
        <v>Não</v>
      </c>
      <c r="O2384" t="str">
        <f>IFERROR(INDEX(tEditais[SRP],MATCH(tItens[[#This Row],[Edital]],tEditais[Edital],0)),"Não")</f>
        <v>Sim</v>
      </c>
      <c r="P2384" s="4">
        <f>IF(COUNTIFS(INDEX(tItens[Edital],1):tItens[[#This Row],[Edital]],tItens[[#This Row],[Edital]],INDEX(tItens[Produto],1):tItens[[#This Row],[Produto]],tItens[[#This Row],[Produto]])=1,1,0)</f>
        <v>1</v>
      </c>
    </row>
    <row r="2385" spans="1:16" x14ac:dyDescent="0.25">
      <c r="A2385" t="s">
        <v>1219</v>
      </c>
      <c r="B2385">
        <v>37</v>
      </c>
      <c r="C2385" t="s">
        <v>5421</v>
      </c>
      <c r="D2385" t="s">
        <v>56</v>
      </c>
      <c r="E2385" s="13">
        <v>60</v>
      </c>
      <c r="F2385" s="12">
        <v>36.54</v>
      </c>
      <c r="G2385" t="str">
        <f>IFERROR(INDEX(tEditais[Órgão],MATCH(tItens[[#This Row],[Edital]],tEditais[Edital],0)),"")</f>
        <v>MUNICIPIO DE SENADOR CANEDO</v>
      </c>
      <c r="H2385" t="str">
        <f>IFERROR(INDEX(tEditais[UF],MATCH(tItens[[#This Row],[Edital]],tEditais[Edital],0)),"")</f>
        <v>GO</v>
      </c>
      <c r="I2385" s="11">
        <f>IFERROR(INDEX(tEditais[Encerramento],MATCH(tItens[[#This Row],[Edital]],tEditais[Edital],0)),"")</f>
        <v>46311.354166666664</v>
      </c>
      <c r="J2385" t="str">
        <f>IFERROR(INDEX(tProdutos[Classe],MATCH(tItens[[#This Row],[Produto]],tProdutos[Produto],0)),"produto não cadastrado")</f>
        <v>NÚCLEO</v>
      </c>
      <c r="K2385" s="12">
        <f>tItens[[#This Row],[Qtd]]*tItens[[#This Row],[Vlr unit]]</f>
        <v>2192.4</v>
      </c>
      <c r="L2385" s="6">
        <f>IFERROR(IF(INDEX(tProdutos[Desconto homologado],MATCH(tItens[[#This Row],[Produto]],tProdutos[Produto],0))="",DescontoPadrao,INDEX(tProdutos[Desconto homologado],MATCH(tItens[[#This Row],[Produto]],tProdutos[Produto],0))),DescontoPadrao)</f>
        <v>0.34</v>
      </c>
      <c r="M2385" s="12">
        <f>tItens[[#This Row],[Valor]]*(1-tItens[[#This Row],[Desconto]])</f>
        <v>1446.9839999999999</v>
      </c>
      <c r="N2385" t="str">
        <f>IFERROR(INDEX(tProdutos[Foco],MATCH(tItens[[#This Row],[Produto]],tProdutos[Produto],0)),"Não")</f>
        <v>Sim</v>
      </c>
      <c r="O2385" t="str">
        <f>IFERROR(INDEX(tEditais[SRP],MATCH(tItens[[#This Row],[Edital]],tEditais[Edital],0)),"Não")</f>
        <v>Sim</v>
      </c>
      <c r="P2385" s="4">
        <f>IF(COUNTIFS(INDEX(tItens[Edital],1):tItens[[#This Row],[Edital]],tItens[[#This Row],[Edital]],INDEX(tItens[Produto],1):tItens[[#This Row],[Produto]],tItens[[#This Row],[Produto]])=1,1,0)</f>
        <v>1</v>
      </c>
    </row>
    <row r="2386" spans="1:16" x14ac:dyDescent="0.25">
      <c r="A2386" t="s">
        <v>1219</v>
      </c>
      <c r="B2386">
        <v>38</v>
      </c>
      <c r="C2386" t="s">
        <v>5422</v>
      </c>
      <c r="D2386" t="s">
        <v>56</v>
      </c>
      <c r="E2386" s="13">
        <v>105</v>
      </c>
      <c r="F2386" s="12">
        <v>33.909999999999997</v>
      </c>
      <c r="G2386" t="str">
        <f>IFERROR(INDEX(tEditais[Órgão],MATCH(tItens[[#This Row],[Edital]],tEditais[Edital],0)),"")</f>
        <v>MUNICIPIO DE SENADOR CANEDO</v>
      </c>
      <c r="H2386" t="str">
        <f>IFERROR(INDEX(tEditais[UF],MATCH(tItens[[#This Row],[Edital]],tEditais[Edital],0)),"")</f>
        <v>GO</v>
      </c>
      <c r="I2386" s="11">
        <f>IFERROR(INDEX(tEditais[Encerramento],MATCH(tItens[[#This Row],[Edital]],tEditais[Edital],0)),"")</f>
        <v>46311.354166666664</v>
      </c>
      <c r="J2386" t="str">
        <f>IFERROR(INDEX(tProdutos[Classe],MATCH(tItens[[#This Row],[Produto]],tProdutos[Produto],0)),"produto não cadastrado")</f>
        <v>NÚCLEO</v>
      </c>
      <c r="K2386" s="12">
        <f>tItens[[#This Row],[Qtd]]*tItens[[#This Row],[Vlr unit]]</f>
        <v>3560.5499999999997</v>
      </c>
      <c r="L2386" s="6">
        <f>IFERROR(IF(INDEX(tProdutos[Desconto homologado],MATCH(tItens[[#This Row],[Produto]],tProdutos[Produto],0))="",DescontoPadrao,INDEX(tProdutos[Desconto homologado],MATCH(tItens[[#This Row],[Produto]],tProdutos[Produto],0))),DescontoPadrao)</f>
        <v>0.34</v>
      </c>
      <c r="M2386" s="12">
        <f>tItens[[#This Row],[Valor]]*(1-tItens[[#This Row],[Desconto]])</f>
        <v>2349.9629999999997</v>
      </c>
      <c r="N2386" t="str">
        <f>IFERROR(INDEX(tProdutos[Foco],MATCH(tItens[[#This Row],[Produto]],tProdutos[Produto],0)),"Não")</f>
        <v>Sim</v>
      </c>
      <c r="O2386" t="str">
        <f>IFERROR(INDEX(tEditais[SRP],MATCH(tItens[[#This Row],[Edital]],tEditais[Edital],0)),"Não")</f>
        <v>Sim</v>
      </c>
      <c r="P2386" s="4">
        <f>IF(COUNTIFS(INDEX(tItens[Edital],1):tItens[[#This Row],[Edital]],tItens[[#This Row],[Edital]],INDEX(tItens[Produto],1):tItens[[#This Row],[Produto]],tItens[[#This Row],[Produto]])=1,1,0)</f>
        <v>0</v>
      </c>
    </row>
    <row r="2387" spans="1:16" x14ac:dyDescent="0.25">
      <c r="A2387" t="s">
        <v>1219</v>
      </c>
      <c r="B2387">
        <v>39</v>
      </c>
      <c r="C2387" t="s">
        <v>5423</v>
      </c>
      <c r="D2387" t="s">
        <v>313</v>
      </c>
      <c r="E2387" s="13">
        <v>90</v>
      </c>
      <c r="F2387" s="12">
        <v>31.18</v>
      </c>
      <c r="G2387" t="str">
        <f>IFERROR(INDEX(tEditais[Órgão],MATCH(tItens[[#This Row],[Edital]],tEditais[Edital],0)),"")</f>
        <v>MUNICIPIO DE SENADOR CANEDO</v>
      </c>
      <c r="H2387" t="str">
        <f>IFERROR(INDEX(tEditais[UF],MATCH(tItens[[#This Row],[Edital]],tEditais[Edital],0)),"")</f>
        <v>GO</v>
      </c>
      <c r="I2387" s="11">
        <f>IFERROR(INDEX(tEditais[Encerramento],MATCH(tItens[[#This Row],[Edital]],tEditais[Edital],0)),"")</f>
        <v>46311.354166666664</v>
      </c>
      <c r="J2387" t="str">
        <f>IFERROR(INDEX(tProdutos[Classe],MATCH(tItens[[#This Row],[Produto]],tProdutos[Produto],0)),"produto não cadastrado")</f>
        <v>FORA</v>
      </c>
      <c r="K2387" s="12">
        <f>tItens[[#This Row],[Qtd]]*tItens[[#This Row],[Vlr unit]]</f>
        <v>2806.2</v>
      </c>
      <c r="L2387" s="6">
        <f>IFERROR(IF(INDEX(tProdutos[Desconto homologado],MATCH(tItens[[#This Row],[Produto]],tProdutos[Produto],0))="",DescontoPadrao,INDEX(tProdutos[Desconto homologado],MATCH(tItens[[#This Row],[Produto]],tProdutos[Produto],0))),DescontoPadrao)</f>
        <v>0.35766373163696302</v>
      </c>
      <c r="M2387" s="12">
        <f>tItens[[#This Row],[Valor]]*(1-tItens[[#This Row],[Desconto]])</f>
        <v>1802.524036280354</v>
      </c>
      <c r="N2387" t="str">
        <f>IFERROR(INDEX(tProdutos[Foco],MATCH(tItens[[#This Row],[Produto]],tProdutos[Produto],0)),"Não")</f>
        <v>Não</v>
      </c>
      <c r="O2387" t="str">
        <f>IFERROR(INDEX(tEditais[SRP],MATCH(tItens[[#This Row],[Edital]],tEditais[Edital],0)),"Não")</f>
        <v>Sim</v>
      </c>
      <c r="P2387" s="4">
        <f>IF(COUNTIFS(INDEX(tItens[Edital],1):tItens[[#This Row],[Edital]],tItens[[#This Row],[Edital]],INDEX(tItens[Produto],1):tItens[[#This Row],[Produto]],tItens[[#This Row],[Produto]])=1,1,0)</f>
        <v>1</v>
      </c>
    </row>
    <row r="2388" spans="1:16" x14ac:dyDescent="0.25">
      <c r="A2388" t="s">
        <v>1219</v>
      </c>
      <c r="B2388">
        <v>40</v>
      </c>
      <c r="C2388" t="s">
        <v>5424</v>
      </c>
      <c r="D2388" t="s">
        <v>313</v>
      </c>
      <c r="E2388" s="13">
        <v>105</v>
      </c>
      <c r="F2388" s="12">
        <v>31.2</v>
      </c>
      <c r="G2388" t="str">
        <f>IFERROR(INDEX(tEditais[Órgão],MATCH(tItens[[#This Row],[Edital]],tEditais[Edital],0)),"")</f>
        <v>MUNICIPIO DE SENADOR CANEDO</v>
      </c>
      <c r="H2388" t="str">
        <f>IFERROR(INDEX(tEditais[UF],MATCH(tItens[[#This Row],[Edital]],tEditais[Edital],0)),"")</f>
        <v>GO</v>
      </c>
      <c r="I2388" s="11">
        <f>IFERROR(INDEX(tEditais[Encerramento],MATCH(tItens[[#This Row],[Edital]],tEditais[Edital],0)),"")</f>
        <v>46311.354166666664</v>
      </c>
      <c r="J2388" t="str">
        <f>IFERROR(INDEX(tProdutos[Classe],MATCH(tItens[[#This Row],[Produto]],tProdutos[Produto],0)),"produto não cadastrado")</f>
        <v>FORA</v>
      </c>
      <c r="K2388" s="12">
        <f>tItens[[#This Row],[Qtd]]*tItens[[#This Row],[Vlr unit]]</f>
        <v>3276</v>
      </c>
      <c r="L2388" s="6">
        <f>IFERROR(IF(INDEX(tProdutos[Desconto homologado],MATCH(tItens[[#This Row],[Produto]],tProdutos[Produto],0))="",DescontoPadrao,INDEX(tProdutos[Desconto homologado],MATCH(tItens[[#This Row],[Produto]],tProdutos[Produto],0))),DescontoPadrao)</f>
        <v>0.35766373163696302</v>
      </c>
      <c r="M2388" s="12">
        <f>tItens[[#This Row],[Valor]]*(1-tItens[[#This Row],[Desconto]])</f>
        <v>2104.293615157309</v>
      </c>
      <c r="N2388" t="str">
        <f>IFERROR(INDEX(tProdutos[Foco],MATCH(tItens[[#This Row],[Produto]],tProdutos[Produto],0)),"Não")</f>
        <v>Não</v>
      </c>
      <c r="O2388" t="str">
        <f>IFERROR(INDEX(tEditais[SRP],MATCH(tItens[[#This Row],[Edital]],tEditais[Edital],0)),"Não")</f>
        <v>Sim</v>
      </c>
      <c r="P2388" s="4">
        <f>IF(COUNTIFS(INDEX(tItens[Edital],1):tItens[[#This Row],[Edital]],tItens[[#This Row],[Edital]],INDEX(tItens[Produto],1):tItens[[#This Row],[Produto]],tItens[[#This Row],[Produto]])=1,1,0)</f>
        <v>0</v>
      </c>
    </row>
    <row r="2389" spans="1:16" x14ac:dyDescent="0.25">
      <c r="A2389" t="s">
        <v>1219</v>
      </c>
      <c r="B2389">
        <v>41</v>
      </c>
      <c r="C2389" t="s">
        <v>5425</v>
      </c>
      <c r="D2389" t="s">
        <v>313</v>
      </c>
      <c r="E2389" s="13">
        <v>120</v>
      </c>
      <c r="F2389" s="12">
        <v>32.42</v>
      </c>
      <c r="G2389" t="str">
        <f>IFERROR(INDEX(tEditais[Órgão],MATCH(tItens[[#This Row],[Edital]],tEditais[Edital],0)),"")</f>
        <v>MUNICIPIO DE SENADOR CANEDO</v>
      </c>
      <c r="H2389" t="str">
        <f>IFERROR(INDEX(tEditais[UF],MATCH(tItens[[#This Row],[Edital]],tEditais[Edital],0)),"")</f>
        <v>GO</v>
      </c>
      <c r="I2389" s="11">
        <f>IFERROR(INDEX(tEditais[Encerramento],MATCH(tItens[[#This Row],[Edital]],tEditais[Edital],0)),"")</f>
        <v>46311.354166666664</v>
      </c>
      <c r="J2389" t="str">
        <f>IFERROR(INDEX(tProdutos[Classe],MATCH(tItens[[#This Row],[Produto]],tProdutos[Produto],0)),"produto não cadastrado")</f>
        <v>FORA</v>
      </c>
      <c r="K2389" s="12">
        <f>tItens[[#This Row],[Qtd]]*tItens[[#This Row],[Vlr unit]]</f>
        <v>3890.4</v>
      </c>
      <c r="L2389" s="6">
        <f>IFERROR(IF(INDEX(tProdutos[Desconto homologado],MATCH(tItens[[#This Row],[Produto]],tProdutos[Produto],0))="",DescontoPadrao,INDEX(tProdutos[Desconto homologado],MATCH(tItens[[#This Row],[Produto]],tProdutos[Produto],0))),DescontoPadrao)</f>
        <v>0.35766373163696302</v>
      </c>
      <c r="M2389" s="12">
        <f>tItens[[#This Row],[Valor]]*(1-tItens[[#This Row],[Desconto]])</f>
        <v>2498.9450184395587</v>
      </c>
      <c r="N2389" t="str">
        <f>IFERROR(INDEX(tProdutos[Foco],MATCH(tItens[[#This Row],[Produto]],tProdutos[Produto],0)),"Não")</f>
        <v>Não</v>
      </c>
      <c r="O2389" t="str">
        <f>IFERROR(INDEX(tEditais[SRP],MATCH(tItens[[#This Row],[Edital]],tEditais[Edital],0)),"Não")</f>
        <v>Sim</v>
      </c>
      <c r="P2389" s="4">
        <f>IF(COUNTIFS(INDEX(tItens[Edital],1):tItens[[#This Row],[Edital]],tItens[[#This Row],[Edital]],INDEX(tItens[Produto],1):tItens[[#This Row],[Produto]],tItens[[#This Row],[Produto]])=1,1,0)</f>
        <v>0</v>
      </c>
    </row>
    <row r="2390" spans="1:16" x14ac:dyDescent="0.25">
      <c r="A2390" t="s">
        <v>1219</v>
      </c>
      <c r="B2390">
        <v>42</v>
      </c>
      <c r="C2390" t="s">
        <v>5426</v>
      </c>
      <c r="D2390" t="s">
        <v>343</v>
      </c>
      <c r="E2390" s="13">
        <v>5550</v>
      </c>
      <c r="F2390" s="12">
        <v>64.790000000000006</v>
      </c>
      <c r="G2390" t="str">
        <f>IFERROR(INDEX(tEditais[Órgão],MATCH(tItens[[#This Row],[Edital]],tEditais[Edital],0)),"")</f>
        <v>MUNICIPIO DE SENADOR CANEDO</v>
      </c>
      <c r="H2390" t="str">
        <f>IFERROR(INDEX(tEditais[UF],MATCH(tItens[[#This Row],[Edital]],tEditais[Edital],0)),"")</f>
        <v>GO</v>
      </c>
      <c r="I2390" s="11">
        <f>IFERROR(INDEX(tEditais[Encerramento],MATCH(tItens[[#This Row],[Edital]],tEditais[Edital],0)),"")</f>
        <v>46311.354166666664</v>
      </c>
      <c r="J2390" t="str">
        <f>IFERROR(INDEX(tProdutos[Classe],MATCH(tItens[[#This Row],[Produto]],tProdutos[Produto],0)),"produto não cadastrado")</f>
        <v>FORA</v>
      </c>
      <c r="K2390" s="12">
        <f>tItens[[#This Row],[Qtd]]*tItens[[#This Row],[Vlr unit]]</f>
        <v>359584.50000000006</v>
      </c>
      <c r="L2390" s="6">
        <f>IFERROR(IF(INDEX(tProdutos[Desconto homologado],MATCH(tItens[[#This Row],[Produto]],tProdutos[Produto],0))="",DescontoPadrao,INDEX(tProdutos[Desconto homologado],MATCH(tItens[[#This Row],[Produto]],tProdutos[Produto],0))),DescontoPadrao)</f>
        <v>0.35412234042553198</v>
      </c>
      <c r="M2390" s="12">
        <f>tItens[[#This Row],[Valor]]*(1-tItens[[#This Row],[Desconto]])</f>
        <v>232247.5952792553</v>
      </c>
      <c r="N2390" t="str">
        <f>IFERROR(INDEX(tProdutos[Foco],MATCH(tItens[[#This Row],[Produto]],tProdutos[Produto],0)),"Não")</f>
        <v>Não</v>
      </c>
      <c r="O2390" t="str">
        <f>IFERROR(INDEX(tEditais[SRP],MATCH(tItens[[#This Row],[Edital]],tEditais[Edital],0)),"Não")</f>
        <v>Sim</v>
      </c>
      <c r="P2390" s="4">
        <f>IF(COUNTIFS(INDEX(tItens[Edital],1):tItens[[#This Row],[Edital]],tItens[[#This Row],[Edital]],INDEX(tItens[Produto],1):tItens[[#This Row],[Produto]],tItens[[#This Row],[Produto]])=1,1,0)</f>
        <v>1</v>
      </c>
    </row>
    <row r="2391" spans="1:16" x14ac:dyDescent="0.25">
      <c r="A2391" t="s">
        <v>1219</v>
      </c>
      <c r="B2391">
        <v>43</v>
      </c>
      <c r="C2391" t="s">
        <v>5427</v>
      </c>
      <c r="D2391" t="s">
        <v>343</v>
      </c>
      <c r="E2391" s="13">
        <v>2800</v>
      </c>
      <c r="F2391" s="12">
        <v>57.35</v>
      </c>
      <c r="G2391" t="str">
        <f>IFERROR(INDEX(tEditais[Órgão],MATCH(tItens[[#This Row],[Edital]],tEditais[Edital],0)),"")</f>
        <v>MUNICIPIO DE SENADOR CANEDO</v>
      </c>
      <c r="H2391" t="str">
        <f>IFERROR(INDEX(tEditais[UF],MATCH(tItens[[#This Row],[Edital]],tEditais[Edital],0)),"")</f>
        <v>GO</v>
      </c>
      <c r="I2391" s="11">
        <f>IFERROR(INDEX(tEditais[Encerramento],MATCH(tItens[[#This Row],[Edital]],tEditais[Edital],0)),"")</f>
        <v>46311.354166666664</v>
      </c>
      <c r="J2391" t="str">
        <f>IFERROR(INDEX(tProdutos[Classe],MATCH(tItens[[#This Row],[Produto]],tProdutos[Produto],0)),"produto não cadastrado")</f>
        <v>FORA</v>
      </c>
      <c r="K2391" s="12">
        <f>tItens[[#This Row],[Qtd]]*tItens[[#This Row],[Vlr unit]]</f>
        <v>160580</v>
      </c>
      <c r="L2391" s="6">
        <f>IFERROR(IF(INDEX(tProdutos[Desconto homologado],MATCH(tItens[[#This Row],[Produto]],tProdutos[Produto],0))="",DescontoPadrao,INDEX(tProdutos[Desconto homologado],MATCH(tItens[[#This Row],[Produto]],tProdutos[Produto],0))),DescontoPadrao)</f>
        <v>0.35412234042553198</v>
      </c>
      <c r="M2391" s="12">
        <f>tItens[[#This Row],[Valor]]*(1-tItens[[#This Row],[Desconto]])</f>
        <v>103715.03457446807</v>
      </c>
      <c r="N2391" t="str">
        <f>IFERROR(INDEX(tProdutos[Foco],MATCH(tItens[[#This Row],[Produto]],tProdutos[Produto],0)),"Não")</f>
        <v>Não</v>
      </c>
      <c r="O2391" t="str">
        <f>IFERROR(INDEX(tEditais[SRP],MATCH(tItens[[#This Row],[Edital]],tEditais[Edital],0)),"Não")</f>
        <v>Sim</v>
      </c>
      <c r="P2391" s="4">
        <f>IF(COUNTIFS(INDEX(tItens[Edital],1):tItens[[#This Row],[Edital]],tItens[[#This Row],[Edital]],INDEX(tItens[Produto],1):tItens[[#This Row],[Produto]],tItens[[#This Row],[Produto]])=1,1,0)</f>
        <v>0</v>
      </c>
    </row>
    <row r="2392" spans="1:16" x14ac:dyDescent="0.25">
      <c r="A2392" t="s">
        <v>1219</v>
      </c>
      <c r="B2392">
        <v>44</v>
      </c>
      <c r="C2392" t="s">
        <v>5428</v>
      </c>
      <c r="D2392" t="s">
        <v>494</v>
      </c>
      <c r="E2392" s="13">
        <v>50</v>
      </c>
      <c r="F2392" s="12">
        <v>160.55000000000001</v>
      </c>
      <c r="G2392" t="str">
        <f>IFERROR(INDEX(tEditais[Órgão],MATCH(tItens[[#This Row],[Edital]],tEditais[Edital],0)),"")</f>
        <v>MUNICIPIO DE SENADOR CANEDO</v>
      </c>
      <c r="H2392" t="str">
        <f>IFERROR(INDEX(tEditais[UF],MATCH(tItens[[#This Row],[Edital]],tEditais[Edital],0)),"")</f>
        <v>GO</v>
      </c>
      <c r="I2392" s="11">
        <f>IFERROR(INDEX(tEditais[Encerramento],MATCH(tItens[[#This Row],[Edital]],tEditais[Edital],0)),"")</f>
        <v>46311.354166666664</v>
      </c>
      <c r="J2392" t="str">
        <f>IFERROR(INDEX(tProdutos[Classe],MATCH(tItens[[#This Row],[Produto]],tProdutos[Produto],0)),"produto não cadastrado")</f>
        <v>FILA REBASE</v>
      </c>
      <c r="K2392" s="12">
        <f>tItens[[#This Row],[Qtd]]*tItens[[#This Row],[Vlr unit]]</f>
        <v>8027.5000000000009</v>
      </c>
      <c r="L2392" s="6">
        <f>IFERROR(IF(INDEX(tProdutos[Desconto homologado],MATCH(tItens[[#This Row],[Produto]],tProdutos[Produto],0))="",DescontoPadrao,INDEX(tProdutos[Desconto homologado],MATCH(tItens[[#This Row],[Produto]],tProdutos[Produto],0))),DescontoPadrao)</f>
        <v>0.253736324829619</v>
      </c>
      <c r="M2392" s="12">
        <f>tItens[[#This Row],[Valor]]*(1-tItens[[#This Row],[Desconto]])</f>
        <v>5990.6316524302347</v>
      </c>
      <c r="N2392" t="str">
        <f>IFERROR(INDEX(tProdutos[Foco],MATCH(tItens[[#This Row],[Produto]],tProdutos[Produto],0)),"Não")</f>
        <v>Não</v>
      </c>
      <c r="O2392" t="str">
        <f>IFERROR(INDEX(tEditais[SRP],MATCH(tItens[[#This Row],[Edital]],tEditais[Edital],0)),"Não")</f>
        <v>Sim</v>
      </c>
      <c r="P2392" s="4">
        <f>IF(COUNTIFS(INDEX(tItens[Edital],1):tItens[[#This Row],[Edital]],tItens[[#This Row],[Edital]],INDEX(tItens[Produto],1):tItens[[#This Row],[Produto]],tItens[[#This Row],[Produto]])=1,1,0)</f>
        <v>1</v>
      </c>
    </row>
    <row r="2393" spans="1:16" x14ac:dyDescent="0.25">
      <c r="A2393" t="s">
        <v>1219</v>
      </c>
      <c r="B2393">
        <v>47</v>
      </c>
      <c r="C2393" t="s">
        <v>5429</v>
      </c>
      <c r="D2393" t="s">
        <v>275</v>
      </c>
      <c r="E2393" s="13">
        <v>1900</v>
      </c>
      <c r="F2393" s="12">
        <v>0.13</v>
      </c>
      <c r="G2393" t="str">
        <f>IFERROR(INDEX(tEditais[Órgão],MATCH(tItens[[#This Row],[Edital]],tEditais[Edital],0)),"")</f>
        <v>MUNICIPIO DE SENADOR CANEDO</v>
      </c>
      <c r="H2393" t="str">
        <f>IFERROR(INDEX(tEditais[UF],MATCH(tItens[[#This Row],[Edital]],tEditais[Edital],0)),"")</f>
        <v>GO</v>
      </c>
      <c r="I2393" s="11">
        <f>IFERROR(INDEX(tEditais[Encerramento],MATCH(tItens[[#This Row],[Edital]],tEditais[Edital],0)),"")</f>
        <v>46311.354166666664</v>
      </c>
      <c r="J2393" t="str">
        <f>IFERROR(INDEX(tProdutos[Classe],MATCH(tItens[[#This Row],[Produto]],tProdutos[Produto],0)),"produto não cadastrado")</f>
        <v>FORA</v>
      </c>
      <c r="K2393" s="12">
        <f>tItens[[#This Row],[Qtd]]*tItens[[#This Row],[Vlr unit]]</f>
        <v>247</v>
      </c>
      <c r="L2393" s="6">
        <f>IFERROR(IF(INDEX(tProdutos[Desconto homologado],MATCH(tItens[[#This Row],[Produto]],tProdutos[Produto],0))="",DescontoPadrao,INDEX(tProdutos[Desconto homologado],MATCH(tItens[[#This Row],[Produto]],tProdutos[Produto],0))),DescontoPadrao)</f>
        <v>0.405797101449275</v>
      </c>
      <c r="M2393" s="12">
        <f>tItens[[#This Row],[Valor]]*(1-tItens[[#This Row],[Desconto]])</f>
        <v>146.76811594202908</v>
      </c>
      <c r="N2393" t="str">
        <f>IFERROR(INDEX(tProdutos[Foco],MATCH(tItens[[#This Row],[Produto]],tProdutos[Produto],0)),"Não")</f>
        <v>Não</v>
      </c>
      <c r="O2393" t="str">
        <f>IFERROR(INDEX(tEditais[SRP],MATCH(tItens[[#This Row],[Edital]],tEditais[Edital],0)),"Não")</f>
        <v>Sim</v>
      </c>
      <c r="P2393" s="4">
        <f>IF(COUNTIFS(INDEX(tItens[Edital],1):tItens[[#This Row],[Edital]],tItens[[#This Row],[Edital]],INDEX(tItens[Produto],1):tItens[[#This Row],[Produto]],tItens[[#This Row],[Produto]])=1,1,0)</f>
        <v>1</v>
      </c>
    </row>
    <row r="2394" spans="1:16" x14ac:dyDescent="0.25">
      <c r="A2394" t="s">
        <v>1219</v>
      </c>
      <c r="B2394">
        <v>48</v>
      </c>
      <c r="C2394" t="s">
        <v>5430</v>
      </c>
      <c r="D2394" t="s">
        <v>283</v>
      </c>
      <c r="E2394" s="13">
        <v>5500</v>
      </c>
      <c r="F2394" s="12">
        <v>0.16</v>
      </c>
      <c r="G2394" t="str">
        <f>IFERROR(INDEX(tEditais[Órgão],MATCH(tItens[[#This Row],[Edital]],tEditais[Edital],0)),"")</f>
        <v>MUNICIPIO DE SENADOR CANEDO</v>
      </c>
      <c r="H2394" t="str">
        <f>IFERROR(INDEX(tEditais[UF],MATCH(tItens[[#This Row],[Edital]],tEditais[Edital],0)),"")</f>
        <v>GO</v>
      </c>
      <c r="I2394" s="11">
        <f>IFERROR(INDEX(tEditais[Encerramento],MATCH(tItens[[#This Row],[Edital]],tEditais[Edital],0)),"")</f>
        <v>46311.354166666664</v>
      </c>
      <c r="J2394" t="str">
        <f>IFERROR(INDEX(tProdutos[Classe],MATCH(tItens[[#This Row],[Produto]],tProdutos[Produto],0)),"produto não cadastrado")</f>
        <v>FORA</v>
      </c>
      <c r="K2394" s="12">
        <f>tItens[[#This Row],[Qtd]]*tItens[[#This Row],[Vlr unit]]</f>
        <v>880</v>
      </c>
      <c r="L2394" s="6">
        <f>IFERROR(IF(INDEX(tProdutos[Desconto homologado],MATCH(tItens[[#This Row],[Produto]],tProdutos[Produto],0))="",DescontoPadrao,INDEX(tProdutos[Desconto homologado],MATCH(tItens[[#This Row],[Produto]],tProdutos[Produto],0))),DescontoPadrao)</f>
        <v>0.40540540540540498</v>
      </c>
      <c r="M2394" s="12">
        <f>tItens[[#This Row],[Valor]]*(1-tItens[[#This Row],[Desconto]])</f>
        <v>523.24324324324357</v>
      </c>
      <c r="N2394" t="str">
        <f>IFERROR(INDEX(tProdutos[Foco],MATCH(tItens[[#This Row],[Produto]],tProdutos[Produto],0)),"Não")</f>
        <v>Não</v>
      </c>
      <c r="O2394" t="str">
        <f>IFERROR(INDEX(tEditais[SRP],MATCH(tItens[[#This Row],[Edital]],tEditais[Edital],0)),"Não")</f>
        <v>Sim</v>
      </c>
      <c r="P2394" s="4">
        <f>IF(COUNTIFS(INDEX(tItens[Edital],1):tItens[[#This Row],[Edital]],tItens[[#This Row],[Edital]],INDEX(tItens[Produto],1):tItens[[#This Row],[Produto]],tItens[[#This Row],[Produto]])=1,1,0)</f>
        <v>1</v>
      </c>
    </row>
    <row r="2395" spans="1:16" x14ac:dyDescent="0.25">
      <c r="A2395" t="s">
        <v>1219</v>
      </c>
      <c r="B2395">
        <v>49</v>
      </c>
      <c r="C2395" t="s">
        <v>5431</v>
      </c>
      <c r="D2395" t="s">
        <v>265</v>
      </c>
      <c r="E2395" s="13">
        <v>1000</v>
      </c>
      <c r="F2395" s="12">
        <v>0.2</v>
      </c>
      <c r="G2395" t="str">
        <f>IFERROR(INDEX(tEditais[Órgão],MATCH(tItens[[#This Row],[Edital]],tEditais[Edital],0)),"")</f>
        <v>MUNICIPIO DE SENADOR CANEDO</v>
      </c>
      <c r="H2395" t="str">
        <f>IFERROR(INDEX(tEditais[UF],MATCH(tItens[[#This Row],[Edital]],tEditais[Edital],0)),"")</f>
        <v>GO</v>
      </c>
      <c r="I2395" s="11">
        <f>IFERROR(INDEX(tEditais[Encerramento],MATCH(tItens[[#This Row],[Edital]],tEditais[Edital],0)),"")</f>
        <v>46311.354166666664</v>
      </c>
      <c r="J2395" t="str">
        <f>IFERROR(INDEX(tProdutos[Classe],MATCH(tItens[[#This Row],[Produto]],tProdutos[Produto],0)),"produto não cadastrado")</f>
        <v>DISPUTADO</v>
      </c>
      <c r="K2395" s="12">
        <f>tItens[[#This Row],[Qtd]]*tItens[[#This Row],[Vlr unit]]</f>
        <v>200</v>
      </c>
      <c r="L2395" s="6">
        <f>IFERROR(IF(INDEX(tProdutos[Desconto homologado],MATCH(tItens[[#This Row],[Produto]],tProdutos[Produto],0))="",DescontoPadrao,INDEX(tProdutos[Desconto homologado],MATCH(tItens[[#This Row],[Produto]],tProdutos[Produto],0))),DescontoPadrao)</f>
        <v>0.377587663709337</v>
      </c>
      <c r="M2395" s="12">
        <f>tItens[[#This Row],[Valor]]*(1-tItens[[#This Row],[Desconto]])</f>
        <v>124.48246725813262</v>
      </c>
      <c r="N2395" t="str">
        <f>IFERROR(INDEX(tProdutos[Foco],MATCH(tItens[[#This Row],[Produto]],tProdutos[Produto],0)),"Não")</f>
        <v>Não</v>
      </c>
      <c r="O2395" t="str">
        <f>IFERROR(INDEX(tEditais[SRP],MATCH(tItens[[#This Row],[Edital]],tEditais[Edital],0)),"Não")</f>
        <v>Sim</v>
      </c>
      <c r="P2395" s="4">
        <f>IF(COUNTIFS(INDEX(tItens[Edital],1):tItens[[#This Row],[Edital]],tItens[[#This Row],[Edital]],INDEX(tItens[Produto],1):tItens[[#This Row],[Produto]],tItens[[#This Row],[Produto]])=1,1,0)</f>
        <v>1</v>
      </c>
    </row>
    <row r="2396" spans="1:16" x14ac:dyDescent="0.25">
      <c r="A2396" t="s">
        <v>1219</v>
      </c>
      <c r="B2396">
        <v>50</v>
      </c>
      <c r="C2396" t="s">
        <v>5432</v>
      </c>
      <c r="D2396" t="s">
        <v>281</v>
      </c>
      <c r="E2396" s="13">
        <v>5500</v>
      </c>
      <c r="F2396" s="12">
        <v>0.28999999999999998</v>
      </c>
      <c r="G2396" t="str">
        <f>IFERROR(INDEX(tEditais[Órgão],MATCH(tItens[[#This Row],[Edital]],tEditais[Edital],0)),"")</f>
        <v>MUNICIPIO DE SENADOR CANEDO</v>
      </c>
      <c r="H2396" t="str">
        <f>IFERROR(INDEX(tEditais[UF],MATCH(tItens[[#This Row],[Edital]],tEditais[Edital],0)),"")</f>
        <v>GO</v>
      </c>
      <c r="I2396" s="11">
        <f>IFERROR(INDEX(tEditais[Encerramento],MATCH(tItens[[#This Row],[Edital]],tEditais[Edital],0)),"")</f>
        <v>46311.354166666664</v>
      </c>
      <c r="J2396" t="str">
        <f>IFERROR(INDEX(tProdutos[Classe],MATCH(tItens[[#This Row],[Produto]],tProdutos[Produto],0)),"produto não cadastrado")</f>
        <v>DISPUTADO</v>
      </c>
      <c r="K2396" s="12">
        <f>tItens[[#This Row],[Qtd]]*tItens[[#This Row],[Vlr unit]]</f>
        <v>1595</v>
      </c>
      <c r="L2396" s="6">
        <f>IFERROR(IF(INDEX(tProdutos[Desconto homologado],MATCH(tItens[[#This Row],[Produto]],tProdutos[Produto],0))="",DescontoPadrao,INDEX(tProdutos[Desconto homologado],MATCH(tItens[[#This Row],[Produto]],tProdutos[Produto],0))),DescontoPadrao)</f>
        <v>0.42461538461538501</v>
      </c>
      <c r="M2396" s="12">
        <f>tItens[[#This Row],[Valor]]*(1-tItens[[#This Row],[Desconto]])</f>
        <v>917.7384615384608</v>
      </c>
      <c r="N2396" t="str">
        <f>IFERROR(INDEX(tProdutos[Foco],MATCH(tItens[[#This Row],[Produto]],tProdutos[Produto],0)),"Não")</f>
        <v>Não</v>
      </c>
      <c r="O2396" t="str">
        <f>IFERROR(INDEX(tEditais[SRP],MATCH(tItens[[#This Row],[Edital]],tEditais[Edital],0)),"Não")</f>
        <v>Sim</v>
      </c>
      <c r="P2396" s="4">
        <f>IF(COUNTIFS(INDEX(tItens[Edital],1):tItens[[#This Row],[Edital]],tItens[[#This Row],[Edital]],INDEX(tItens[Produto],1):tItens[[#This Row],[Produto]],tItens[[#This Row],[Produto]])=1,1,0)</f>
        <v>1</v>
      </c>
    </row>
    <row r="2397" spans="1:16" x14ac:dyDescent="0.25">
      <c r="A2397" t="s">
        <v>1219</v>
      </c>
      <c r="B2397">
        <v>51</v>
      </c>
      <c r="C2397" t="s">
        <v>5433</v>
      </c>
      <c r="D2397" t="s">
        <v>289</v>
      </c>
      <c r="E2397" s="13">
        <v>5500</v>
      </c>
      <c r="F2397" s="12">
        <v>0.35</v>
      </c>
      <c r="G2397" t="str">
        <f>IFERROR(INDEX(tEditais[Órgão],MATCH(tItens[[#This Row],[Edital]],tEditais[Edital],0)),"")</f>
        <v>MUNICIPIO DE SENADOR CANEDO</v>
      </c>
      <c r="H2397" t="str">
        <f>IFERROR(INDEX(tEditais[UF],MATCH(tItens[[#This Row],[Edital]],tEditais[Edital],0)),"")</f>
        <v>GO</v>
      </c>
      <c r="I2397" s="11">
        <f>IFERROR(INDEX(tEditais[Encerramento],MATCH(tItens[[#This Row],[Edital]],tEditais[Edital],0)),"")</f>
        <v>46311.354166666664</v>
      </c>
      <c r="J2397" t="str">
        <f>IFERROR(INDEX(tProdutos[Classe],MATCH(tItens[[#This Row],[Produto]],tProdutos[Produto],0)),"produto não cadastrado")</f>
        <v>DISPUTADO</v>
      </c>
      <c r="K2397" s="12">
        <f>tItens[[#This Row],[Qtd]]*tItens[[#This Row],[Vlr unit]]</f>
        <v>1924.9999999999998</v>
      </c>
      <c r="L2397" s="6">
        <f>IFERROR(IF(INDEX(tProdutos[Desconto homologado],MATCH(tItens[[#This Row],[Produto]],tProdutos[Produto],0))="",DescontoPadrao,INDEX(tProdutos[Desconto homologado],MATCH(tItens[[#This Row],[Produto]],tProdutos[Produto],0))),DescontoPadrao)</f>
        <v>0.35849056603773599</v>
      </c>
      <c r="M2397" s="12">
        <f>tItens[[#This Row],[Valor]]*(1-tItens[[#This Row],[Desconto]])</f>
        <v>1234.9056603773581</v>
      </c>
      <c r="N2397" t="str">
        <f>IFERROR(INDEX(tProdutos[Foco],MATCH(tItens[[#This Row],[Produto]],tProdutos[Produto],0)),"Não")</f>
        <v>Não</v>
      </c>
      <c r="O2397" t="str">
        <f>IFERROR(INDEX(tEditais[SRP],MATCH(tItens[[#This Row],[Edital]],tEditais[Edital],0)),"Não")</f>
        <v>Sim</v>
      </c>
      <c r="P2397" s="4">
        <f>IF(COUNTIFS(INDEX(tItens[Edital],1):tItens[[#This Row],[Edital]],tItens[[#This Row],[Edital]],INDEX(tItens[Produto],1):tItens[[#This Row],[Produto]],tItens[[#This Row],[Produto]])=1,1,0)</f>
        <v>1</v>
      </c>
    </row>
    <row r="2398" spans="1:16" x14ac:dyDescent="0.25">
      <c r="A2398" t="s">
        <v>1224</v>
      </c>
      <c r="B2398">
        <v>18</v>
      </c>
      <c r="C2398" t="s">
        <v>5434</v>
      </c>
      <c r="D2398" t="s">
        <v>311</v>
      </c>
      <c r="E2398" s="13">
        <v>104</v>
      </c>
      <c r="F2398" s="12">
        <v>0</v>
      </c>
      <c r="G2398" t="str">
        <f>IFERROR(INDEX(tEditais[Órgão],MATCH(tItens[[#This Row],[Edital]],tEditais[Edital],0)),"")</f>
        <v>FUNDO MUNICIPAL DE SAUDE DE MINEIROS</v>
      </c>
      <c r="H2398" t="str">
        <f>IFERROR(INDEX(tEditais[UF],MATCH(tItens[[#This Row],[Edital]],tEditais[Edital],0)),"")</f>
        <v>GO</v>
      </c>
      <c r="I2398" s="11">
        <f>IFERROR(INDEX(tEditais[Encerramento],MATCH(tItens[[#This Row],[Edital]],tEditais[Edital],0)),"")</f>
        <v>46311.75</v>
      </c>
      <c r="J2398" t="str">
        <f>IFERROR(INDEX(tProdutos[Classe],MATCH(tItens[[#This Row],[Produto]],tProdutos[Produto],0)),"produto não cadastrado")</f>
        <v>FORA</v>
      </c>
      <c r="K2398" s="12">
        <f>tItens[[#This Row],[Qtd]]*tItens[[#This Row],[Vlr unit]]</f>
        <v>0</v>
      </c>
      <c r="L2398" s="6">
        <f>IFERROR(IF(INDEX(tProdutos[Desconto homologado],MATCH(tItens[[#This Row],[Produto]],tProdutos[Produto],0))="",DescontoPadrao,INDEX(tProdutos[Desconto homologado],MATCH(tItens[[#This Row],[Produto]],tProdutos[Produto],0))),DescontoPadrao)</f>
        <v>0.29046182846371399</v>
      </c>
      <c r="M2398" s="12">
        <f>tItens[[#This Row],[Valor]]*(1-tItens[[#This Row],[Desconto]])</f>
        <v>0</v>
      </c>
      <c r="N2398" t="str">
        <f>IFERROR(INDEX(tProdutos[Foco],MATCH(tItens[[#This Row],[Produto]],tProdutos[Produto],0)),"Não")</f>
        <v>Não</v>
      </c>
      <c r="O2398" t="str">
        <f>IFERROR(INDEX(tEditais[SRP],MATCH(tItens[[#This Row],[Edital]],tEditais[Edital],0)),"Não")</f>
        <v>Não</v>
      </c>
      <c r="P2398" s="4">
        <f>IF(COUNTIFS(INDEX(tItens[Edital],1):tItens[[#This Row],[Edital]],tItens[[#This Row],[Edital]],INDEX(tItens[Produto],1):tItens[[#This Row],[Produto]],tItens[[#This Row],[Produto]])=1,1,0)</f>
        <v>1</v>
      </c>
    </row>
    <row r="2399" spans="1:16" x14ac:dyDescent="0.25">
      <c r="A2399" t="s">
        <v>1224</v>
      </c>
      <c r="B2399">
        <v>19</v>
      </c>
      <c r="C2399" t="s">
        <v>5435</v>
      </c>
      <c r="D2399" t="s">
        <v>80</v>
      </c>
      <c r="E2399" s="13">
        <v>14000</v>
      </c>
      <c r="F2399" s="12">
        <v>0</v>
      </c>
      <c r="G2399" t="str">
        <f>IFERROR(INDEX(tEditais[Órgão],MATCH(tItens[[#This Row],[Edital]],tEditais[Edital],0)),"")</f>
        <v>FUNDO MUNICIPAL DE SAUDE DE MINEIROS</v>
      </c>
      <c r="H2399" t="str">
        <f>IFERROR(INDEX(tEditais[UF],MATCH(tItens[[#This Row],[Edital]],tEditais[Edital],0)),"")</f>
        <v>GO</v>
      </c>
      <c r="I2399" s="11">
        <f>IFERROR(INDEX(tEditais[Encerramento],MATCH(tItens[[#This Row],[Edital]],tEditais[Edital],0)),"")</f>
        <v>46311.75</v>
      </c>
      <c r="J2399" t="str">
        <f>IFERROR(INDEX(tProdutos[Classe],MATCH(tItens[[#This Row],[Produto]],tProdutos[Produto],0)),"produto não cadastrado")</f>
        <v>NÚCLEO</v>
      </c>
      <c r="K2399" s="12">
        <f>tItens[[#This Row],[Qtd]]*tItens[[#This Row],[Vlr unit]]</f>
        <v>0</v>
      </c>
      <c r="L2399" s="6">
        <f>IFERROR(IF(INDEX(tProdutos[Desconto homologado],MATCH(tItens[[#This Row],[Produto]],tProdutos[Produto],0))="",DescontoPadrao,INDEX(tProdutos[Desconto homologado],MATCH(tItens[[#This Row],[Produto]],tProdutos[Produto],0))),DescontoPadrao)</f>
        <v>0.33</v>
      </c>
      <c r="M2399" s="12">
        <f>tItens[[#This Row],[Valor]]*(1-tItens[[#This Row],[Desconto]])</f>
        <v>0</v>
      </c>
      <c r="N2399" t="str">
        <f>IFERROR(INDEX(tProdutos[Foco],MATCH(tItens[[#This Row],[Produto]],tProdutos[Produto],0)),"Não")</f>
        <v>Sim</v>
      </c>
      <c r="O2399" t="str">
        <f>IFERROR(INDEX(tEditais[SRP],MATCH(tItens[[#This Row],[Edital]],tEditais[Edital],0)),"Não")</f>
        <v>Não</v>
      </c>
      <c r="P2399" s="4">
        <f>IF(COUNTIFS(INDEX(tItens[Edital],1):tItens[[#This Row],[Edital]],tItens[[#This Row],[Edital]],INDEX(tItens[Produto],1):tItens[[#This Row],[Produto]],tItens[[#This Row],[Produto]])=1,1,0)</f>
        <v>1</v>
      </c>
    </row>
    <row r="2400" spans="1:16" x14ac:dyDescent="0.25">
      <c r="A2400" t="s">
        <v>1224</v>
      </c>
      <c r="B2400">
        <v>43</v>
      </c>
      <c r="C2400" t="s">
        <v>5436</v>
      </c>
      <c r="D2400" t="s">
        <v>277</v>
      </c>
      <c r="E2400" s="13">
        <v>1000</v>
      </c>
      <c r="F2400" s="12">
        <v>0</v>
      </c>
      <c r="G2400" t="str">
        <f>IFERROR(INDEX(tEditais[Órgão],MATCH(tItens[[#This Row],[Edital]],tEditais[Edital],0)),"")</f>
        <v>FUNDO MUNICIPAL DE SAUDE DE MINEIROS</v>
      </c>
      <c r="H2400" t="str">
        <f>IFERROR(INDEX(tEditais[UF],MATCH(tItens[[#This Row],[Edital]],tEditais[Edital],0)),"")</f>
        <v>GO</v>
      </c>
      <c r="I2400" s="11">
        <f>IFERROR(INDEX(tEditais[Encerramento],MATCH(tItens[[#This Row],[Edital]],tEditais[Edital],0)),"")</f>
        <v>46311.75</v>
      </c>
      <c r="J2400" t="str">
        <f>IFERROR(INDEX(tProdutos[Classe],MATCH(tItens[[#This Row],[Produto]],tProdutos[Produto],0)),"produto não cadastrado")</f>
        <v>DISPUTADO</v>
      </c>
      <c r="K2400" s="12">
        <f>tItens[[#This Row],[Qtd]]*tItens[[#This Row],[Vlr unit]]</f>
        <v>0</v>
      </c>
      <c r="L2400" s="6">
        <f>IFERROR(IF(INDEX(tProdutos[Desconto homologado],MATCH(tItens[[#This Row],[Produto]],tProdutos[Produto],0))="",DescontoPadrao,INDEX(tProdutos[Desconto homologado],MATCH(tItens[[#This Row],[Produto]],tProdutos[Produto],0))),DescontoPadrao)</f>
        <v>0.50460666194188497</v>
      </c>
      <c r="M2400" s="12">
        <f>tItens[[#This Row],[Valor]]*(1-tItens[[#This Row],[Desconto]])</f>
        <v>0</v>
      </c>
      <c r="N2400" t="str">
        <f>IFERROR(INDEX(tProdutos[Foco],MATCH(tItens[[#This Row],[Produto]],tProdutos[Produto],0)),"Não")</f>
        <v>Não</v>
      </c>
      <c r="O2400" t="str">
        <f>IFERROR(INDEX(tEditais[SRP],MATCH(tItens[[#This Row],[Edital]],tEditais[Edital],0)),"Não")</f>
        <v>Não</v>
      </c>
      <c r="P2400" s="4">
        <f>IF(COUNTIFS(INDEX(tItens[Edital],1):tItens[[#This Row],[Edital]],tItens[[#This Row],[Edital]],INDEX(tItens[Produto],1):tItens[[#This Row],[Produto]],tItens[[#This Row],[Produto]])=1,1,0)</f>
        <v>1</v>
      </c>
    </row>
    <row r="2401" spans="1:16" x14ac:dyDescent="0.25">
      <c r="A2401" t="s">
        <v>1224</v>
      </c>
      <c r="B2401">
        <v>72</v>
      </c>
      <c r="C2401" t="s">
        <v>5437</v>
      </c>
      <c r="D2401" t="s">
        <v>225</v>
      </c>
      <c r="E2401" s="13">
        <v>1000</v>
      </c>
      <c r="F2401" s="12">
        <v>0</v>
      </c>
      <c r="G2401" t="str">
        <f>IFERROR(INDEX(tEditais[Órgão],MATCH(tItens[[#This Row],[Edital]],tEditais[Edital],0)),"")</f>
        <v>FUNDO MUNICIPAL DE SAUDE DE MINEIROS</v>
      </c>
      <c r="H2401" t="str">
        <f>IFERROR(INDEX(tEditais[UF],MATCH(tItens[[#This Row],[Edital]],tEditais[Edital],0)),"")</f>
        <v>GO</v>
      </c>
      <c r="I2401" s="11">
        <f>IFERROR(INDEX(tEditais[Encerramento],MATCH(tItens[[#This Row],[Edital]],tEditais[Edital],0)),"")</f>
        <v>46311.75</v>
      </c>
      <c r="J2401" t="str">
        <f>IFERROR(INDEX(tProdutos[Classe],MATCH(tItens[[#This Row],[Produto]],tProdutos[Produto],0)),"produto não cadastrado")</f>
        <v>FORA</v>
      </c>
      <c r="K2401" s="12">
        <f>tItens[[#This Row],[Qtd]]*tItens[[#This Row],[Vlr unit]]</f>
        <v>0</v>
      </c>
      <c r="L2401" s="6">
        <f>IFERROR(IF(INDEX(tProdutos[Desconto homologado],MATCH(tItens[[#This Row],[Produto]],tProdutos[Produto],0))="",DescontoPadrao,INDEX(tProdutos[Desconto homologado],MATCH(tItens[[#This Row],[Produto]],tProdutos[Produto],0))),DescontoPadrao)</f>
        <v>0.27745664739884401</v>
      </c>
      <c r="M2401" s="12">
        <f>tItens[[#This Row],[Valor]]*(1-tItens[[#This Row],[Desconto]])</f>
        <v>0</v>
      </c>
      <c r="N2401" t="str">
        <f>IFERROR(INDEX(tProdutos[Foco],MATCH(tItens[[#This Row],[Produto]],tProdutos[Produto],0)),"Não")</f>
        <v>Não</v>
      </c>
      <c r="O2401" t="str">
        <f>IFERROR(INDEX(tEditais[SRP],MATCH(tItens[[#This Row],[Edital]],tEditais[Edital],0)),"Não")</f>
        <v>Não</v>
      </c>
      <c r="P2401" s="4">
        <f>IF(COUNTIFS(INDEX(tItens[Edital],1):tItens[[#This Row],[Edital]],tItens[[#This Row],[Edital]],INDEX(tItens[Produto],1):tItens[[#This Row],[Produto]],tItens[[#This Row],[Produto]])=1,1,0)</f>
        <v>1</v>
      </c>
    </row>
    <row r="2402" spans="1:16" x14ac:dyDescent="0.25">
      <c r="A2402" t="s">
        <v>1224</v>
      </c>
      <c r="B2402">
        <v>81</v>
      </c>
      <c r="C2402" t="s">
        <v>5438</v>
      </c>
      <c r="D2402" t="s">
        <v>197</v>
      </c>
      <c r="E2402" s="13">
        <v>10250</v>
      </c>
      <c r="F2402" s="12">
        <v>0</v>
      </c>
      <c r="G2402" t="str">
        <f>IFERROR(INDEX(tEditais[Órgão],MATCH(tItens[[#This Row],[Edital]],tEditais[Edital],0)),"")</f>
        <v>FUNDO MUNICIPAL DE SAUDE DE MINEIROS</v>
      </c>
      <c r="H2402" t="str">
        <f>IFERROR(INDEX(tEditais[UF],MATCH(tItens[[#This Row],[Edital]],tEditais[Edital],0)),"")</f>
        <v>GO</v>
      </c>
      <c r="I2402" s="11">
        <f>IFERROR(INDEX(tEditais[Encerramento],MATCH(tItens[[#This Row],[Edital]],tEditais[Edital],0)),"")</f>
        <v>46311.75</v>
      </c>
      <c r="J2402" t="str">
        <f>IFERROR(INDEX(tProdutos[Classe],MATCH(tItens[[#This Row],[Produto]],tProdutos[Produto],0)),"produto não cadastrado")</f>
        <v>FORA</v>
      </c>
      <c r="K2402" s="12">
        <f>tItens[[#This Row],[Qtd]]*tItens[[#This Row],[Vlr unit]]</f>
        <v>0</v>
      </c>
      <c r="L2402" s="6">
        <f>IFERROR(IF(INDEX(tProdutos[Desconto homologado],MATCH(tItens[[#This Row],[Produto]],tProdutos[Produto],0))="",DescontoPadrao,INDEX(tProdutos[Desconto homologado],MATCH(tItens[[#This Row],[Produto]],tProdutos[Produto],0))),DescontoPadrao)</f>
        <v>0.26394818195200997</v>
      </c>
      <c r="M2402" s="12">
        <f>tItens[[#This Row],[Valor]]*(1-tItens[[#This Row],[Desconto]])</f>
        <v>0</v>
      </c>
      <c r="N2402" t="str">
        <f>IFERROR(INDEX(tProdutos[Foco],MATCH(tItens[[#This Row],[Produto]],tProdutos[Produto],0)),"Não")</f>
        <v>Não</v>
      </c>
      <c r="O2402" t="str">
        <f>IFERROR(INDEX(tEditais[SRP],MATCH(tItens[[#This Row],[Edital]],tEditais[Edital],0)),"Não")</f>
        <v>Não</v>
      </c>
      <c r="P2402" s="4">
        <f>IF(COUNTIFS(INDEX(tItens[Edital],1):tItens[[#This Row],[Edital]],tItens[[#This Row],[Edital]],INDEX(tItens[Produto],1):tItens[[#This Row],[Produto]],tItens[[#This Row],[Produto]])=1,1,0)</f>
        <v>1</v>
      </c>
    </row>
    <row r="2403" spans="1:16" x14ac:dyDescent="0.25">
      <c r="A2403" t="s">
        <v>1224</v>
      </c>
      <c r="B2403">
        <v>106</v>
      </c>
      <c r="C2403" t="s">
        <v>5439</v>
      </c>
      <c r="D2403" t="s">
        <v>279</v>
      </c>
      <c r="E2403" s="13">
        <v>30</v>
      </c>
      <c r="F2403" s="12">
        <v>0</v>
      </c>
      <c r="G2403" t="str">
        <f>IFERROR(INDEX(tEditais[Órgão],MATCH(tItens[[#This Row],[Edital]],tEditais[Edital],0)),"")</f>
        <v>FUNDO MUNICIPAL DE SAUDE DE MINEIROS</v>
      </c>
      <c r="H2403" t="str">
        <f>IFERROR(INDEX(tEditais[UF],MATCH(tItens[[#This Row],[Edital]],tEditais[Edital],0)),"")</f>
        <v>GO</v>
      </c>
      <c r="I2403" s="11">
        <f>IFERROR(INDEX(tEditais[Encerramento],MATCH(tItens[[#This Row],[Edital]],tEditais[Edital],0)),"")</f>
        <v>46311.75</v>
      </c>
      <c r="J2403" t="str">
        <f>IFERROR(INDEX(tProdutos[Classe],MATCH(tItens[[#This Row],[Produto]],tProdutos[Produto],0)),"produto não cadastrado")</f>
        <v>FORA</v>
      </c>
      <c r="K2403" s="12">
        <f>tItens[[#This Row],[Qtd]]*tItens[[#This Row],[Vlr unit]]</f>
        <v>0</v>
      </c>
      <c r="L2403" s="6">
        <f>IFERROR(IF(INDEX(tProdutos[Desconto homologado],MATCH(tItens[[#This Row],[Produto]],tProdutos[Produto],0))="",DescontoPadrao,INDEX(tProdutos[Desconto homologado],MATCH(tItens[[#This Row],[Produto]],tProdutos[Produto],0))),DescontoPadrao)</f>
        <v>0.28909090909090901</v>
      </c>
      <c r="M2403" s="12">
        <f>tItens[[#This Row],[Valor]]*(1-tItens[[#This Row],[Desconto]])</f>
        <v>0</v>
      </c>
      <c r="N2403" t="str">
        <f>IFERROR(INDEX(tProdutos[Foco],MATCH(tItens[[#This Row],[Produto]],tProdutos[Produto],0)),"Não")</f>
        <v>Não</v>
      </c>
      <c r="O2403" t="str">
        <f>IFERROR(INDEX(tEditais[SRP],MATCH(tItens[[#This Row],[Edital]],tEditais[Edital],0)),"Não")</f>
        <v>Não</v>
      </c>
      <c r="P2403" s="4">
        <f>IF(COUNTIFS(INDEX(tItens[Edital],1):tItens[[#This Row],[Edital]],tItens[[#This Row],[Edital]],INDEX(tItens[Produto],1):tItens[[#This Row],[Produto]],tItens[[#This Row],[Produto]])=1,1,0)</f>
        <v>1</v>
      </c>
    </row>
    <row r="2404" spans="1:16" x14ac:dyDescent="0.25">
      <c r="A2404" t="s">
        <v>1226</v>
      </c>
      <c r="B2404">
        <v>9</v>
      </c>
      <c r="C2404" t="s">
        <v>5440</v>
      </c>
      <c r="D2404" t="s">
        <v>71</v>
      </c>
      <c r="E2404" s="13">
        <v>45</v>
      </c>
      <c r="F2404" s="12">
        <v>28.63</v>
      </c>
      <c r="G2404" t="str">
        <f>IFERROR(INDEX(tEditais[Órgão],MATCH(tItens[[#This Row],[Edital]],tEditais[Edital],0)),"")</f>
        <v>FUNDO MUNICIPAL DE SAUDE</v>
      </c>
      <c r="H2404" t="str">
        <f>IFERROR(INDEX(tEditais[UF],MATCH(tItens[[#This Row],[Edital]],tEditais[Edital],0)),"")</f>
        <v>GO</v>
      </c>
      <c r="I2404" s="11">
        <f>IFERROR(INDEX(tEditais[Encerramento],MATCH(tItens[[#This Row],[Edital]],tEditais[Edital],0)),"")</f>
        <v>46314.3125</v>
      </c>
      <c r="J2404" t="str">
        <f>IFERROR(INDEX(tProdutos[Classe],MATCH(tItens[[#This Row],[Produto]],tProdutos[Produto],0)),"produto não cadastrado")</f>
        <v>NÚCLEO</v>
      </c>
      <c r="K2404" s="12">
        <f>tItens[[#This Row],[Qtd]]*tItens[[#This Row],[Vlr unit]]</f>
        <v>1288.3499999999999</v>
      </c>
      <c r="L2404" s="6">
        <f>IFERROR(IF(INDEX(tProdutos[Desconto homologado],MATCH(tItens[[#This Row],[Produto]],tProdutos[Produto],0))="",DescontoPadrao,INDEX(tProdutos[Desconto homologado],MATCH(tItens[[#This Row],[Produto]],tProdutos[Produto],0))),DescontoPadrao)</f>
        <v>0.44981412639405199</v>
      </c>
      <c r="M2404" s="12">
        <f>tItens[[#This Row],[Valor]]*(1-tItens[[#This Row],[Desconto]])</f>
        <v>708.83197026022299</v>
      </c>
      <c r="N2404" t="str">
        <f>IFERROR(INDEX(tProdutos[Foco],MATCH(tItens[[#This Row],[Produto]],tProdutos[Produto],0)),"Não")</f>
        <v>Não</v>
      </c>
      <c r="O2404" t="str">
        <f>IFERROR(INDEX(tEditais[SRP],MATCH(tItens[[#This Row],[Edital]],tEditais[Edital],0)),"Não")</f>
        <v>Sim</v>
      </c>
      <c r="P2404" s="4">
        <f>IF(COUNTIFS(INDEX(tItens[Edital],1):tItens[[#This Row],[Edital]],tItens[[#This Row],[Edital]],INDEX(tItens[Produto],1):tItens[[#This Row],[Produto]],tItens[[#This Row],[Produto]])=1,1,0)</f>
        <v>1</v>
      </c>
    </row>
    <row r="2405" spans="1:16" x14ac:dyDescent="0.25">
      <c r="A2405" t="s">
        <v>1226</v>
      </c>
      <c r="B2405">
        <v>10</v>
      </c>
      <c r="C2405" t="s">
        <v>5441</v>
      </c>
      <c r="D2405" t="s">
        <v>88</v>
      </c>
      <c r="E2405" s="13">
        <v>10</v>
      </c>
      <c r="F2405" s="12">
        <v>41.85</v>
      </c>
      <c r="G2405" t="str">
        <f>IFERROR(INDEX(tEditais[Órgão],MATCH(tItens[[#This Row],[Edital]],tEditais[Edital],0)),"")</f>
        <v>FUNDO MUNICIPAL DE SAUDE</v>
      </c>
      <c r="H2405" t="str">
        <f>IFERROR(INDEX(tEditais[UF],MATCH(tItens[[#This Row],[Edital]],tEditais[Edital],0)),"")</f>
        <v>GO</v>
      </c>
      <c r="I2405" s="11">
        <f>IFERROR(INDEX(tEditais[Encerramento],MATCH(tItens[[#This Row],[Edital]],tEditais[Edital],0)),"")</f>
        <v>46314.3125</v>
      </c>
      <c r="J2405" t="str">
        <f>IFERROR(INDEX(tProdutos[Classe],MATCH(tItens[[#This Row],[Produto]],tProdutos[Produto],0)),"produto não cadastrado")</f>
        <v>NÚCLEO</v>
      </c>
      <c r="K2405" s="12">
        <f>tItens[[#This Row],[Qtd]]*tItens[[#This Row],[Vlr unit]]</f>
        <v>418.5</v>
      </c>
      <c r="L2405" s="6">
        <f>IFERROR(IF(INDEX(tProdutos[Desconto homologado],MATCH(tItens[[#This Row],[Produto]],tProdutos[Produto],0))="",DescontoPadrao,INDEX(tProdutos[Desconto homologado],MATCH(tItens[[#This Row],[Produto]],tProdutos[Produto],0))),DescontoPadrao)</f>
        <v>0.30251202565473001</v>
      </c>
      <c r="M2405" s="12">
        <f>tItens[[#This Row],[Valor]]*(1-tItens[[#This Row],[Desconto]])</f>
        <v>291.89871726349548</v>
      </c>
      <c r="N2405" t="str">
        <f>IFERROR(INDEX(tProdutos[Foco],MATCH(tItens[[#This Row],[Produto]],tProdutos[Produto],0)),"Não")</f>
        <v>Não</v>
      </c>
      <c r="O2405" t="str">
        <f>IFERROR(INDEX(tEditais[SRP],MATCH(tItens[[#This Row],[Edital]],tEditais[Edital],0)),"Não")</f>
        <v>Sim</v>
      </c>
      <c r="P2405" s="4">
        <f>IF(COUNTIFS(INDEX(tItens[Edital],1):tItens[[#This Row],[Edital]],tItens[[#This Row],[Edital]],INDEX(tItens[Produto],1):tItens[[#This Row],[Produto]],tItens[[#This Row],[Produto]])=1,1,0)</f>
        <v>1</v>
      </c>
    </row>
    <row r="2406" spans="1:16" x14ac:dyDescent="0.25">
      <c r="A2406" t="s">
        <v>1226</v>
      </c>
      <c r="B2406">
        <v>27</v>
      </c>
      <c r="C2406" t="s">
        <v>5442</v>
      </c>
      <c r="D2406" t="s">
        <v>86</v>
      </c>
      <c r="E2406" s="13">
        <v>27</v>
      </c>
      <c r="F2406" s="12">
        <v>23.05</v>
      </c>
      <c r="G2406" t="str">
        <f>IFERROR(INDEX(tEditais[Órgão],MATCH(tItens[[#This Row],[Edital]],tEditais[Edital],0)),"")</f>
        <v>FUNDO MUNICIPAL DE SAUDE</v>
      </c>
      <c r="H2406" t="str">
        <f>IFERROR(INDEX(tEditais[UF],MATCH(tItens[[#This Row],[Edital]],tEditais[Edital],0)),"")</f>
        <v>GO</v>
      </c>
      <c r="I2406" s="11">
        <f>IFERROR(INDEX(tEditais[Encerramento],MATCH(tItens[[#This Row],[Edital]],tEditais[Edital],0)),"")</f>
        <v>46314.3125</v>
      </c>
      <c r="J2406" t="str">
        <f>IFERROR(INDEX(tProdutos[Classe],MATCH(tItens[[#This Row],[Produto]],tProdutos[Produto],0)),"produto não cadastrado")</f>
        <v>NÚCLEO</v>
      </c>
      <c r="K2406" s="12">
        <f>tItens[[#This Row],[Qtd]]*tItens[[#This Row],[Vlr unit]]</f>
        <v>622.35</v>
      </c>
      <c r="L2406" s="6">
        <f>IFERROR(IF(INDEX(tProdutos[Desconto homologado],MATCH(tItens[[#This Row],[Produto]],tProdutos[Produto],0))="",DescontoPadrao,INDEX(tProdutos[Desconto homologado],MATCH(tItens[[#This Row],[Produto]],tProdutos[Produto],0))),DescontoPadrao)</f>
        <v>0.20202020202020199</v>
      </c>
      <c r="M2406" s="12">
        <f>tItens[[#This Row],[Valor]]*(1-tItens[[#This Row],[Desconto]])</f>
        <v>496.62272727272733</v>
      </c>
      <c r="N2406" t="str">
        <f>IFERROR(INDEX(tProdutos[Foco],MATCH(tItens[[#This Row],[Produto]],tProdutos[Produto],0)),"Não")</f>
        <v>Não</v>
      </c>
      <c r="O2406" t="str">
        <f>IFERROR(INDEX(tEditais[SRP],MATCH(tItens[[#This Row],[Edital]],tEditais[Edital],0)),"Não")</f>
        <v>Sim</v>
      </c>
      <c r="P2406" s="4">
        <f>IF(COUNTIFS(INDEX(tItens[Edital],1):tItens[[#This Row],[Edital]],tItens[[#This Row],[Edital]],INDEX(tItens[Produto],1):tItens[[#This Row],[Produto]],tItens[[#This Row],[Produto]])=1,1,0)</f>
        <v>1</v>
      </c>
    </row>
    <row r="2407" spans="1:16" x14ac:dyDescent="0.25">
      <c r="A2407" t="s">
        <v>1226</v>
      </c>
      <c r="B2407">
        <v>28</v>
      </c>
      <c r="C2407" t="s">
        <v>5443</v>
      </c>
      <c r="D2407" t="s">
        <v>569</v>
      </c>
      <c r="E2407" s="13">
        <v>5</v>
      </c>
      <c r="F2407" s="12">
        <v>143.02000000000001</v>
      </c>
      <c r="G2407" t="str">
        <f>IFERROR(INDEX(tEditais[Órgão],MATCH(tItens[[#This Row],[Edital]],tEditais[Edital],0)),"")</f>
        <v>FUNDO MUNICIPAL DE SAUDE</v>
      </c>
      <c r="H2407" t="str">
        <f>IFERROR(INDEX(tEditais[UF],MATCH(tItens[[#This Row],[Edital]],tEditais[Edital],0)),"")</f>
        <v>GO</v>
      </c>
      <c r="I2407" s="11">
        <f>IFERROR(INDEX(tEditais[Encerramento],MATCH(tItens[[#This Row],[Edital]],tEditais[Edital],0)),"")</f>
        <v>46314.3125</v>
      </c>
      <c r="J2407" t="str">
        <f>IFERROR(INDEX(tProdutos[Classe],MATCH(tItens[[#This Row],[Produto]],tProdutos[Produto],0)),"produto não cadastrado")</f>
        <v>FILA REBASE</v>
      </c>
      <c r="K2407" s="12">
        <f>tItens[[#This Row],[Qtd]]*tItens[[#This Row],[Vlr unit]]</f>
        <v>715.1</v>
      </c>
      <c r="L2407" s="6">
        <f>IFERROR(IF(INDEX(tProdutos[Desconto homologado],MATCH(tItens[[#This Row],[Produto]],tProdutos[Produto],0))="",DescontoPadrao,INDEX(tProdutos[Desconto homologado],MATCH(tItens[[#This Row],[Produto]],tProdutos[Produto],0))),DescontoPadrao)</f>
        <v>0.3</v>
      </c>
      <c r="M2407" s="12">
        <f>tItens[[#This Row],[Valor]]*(1-tItens[[#This Row],[Desconto]])</f>
        <v>500.57</v>
      </c>
      <c r="N2407" t="str">
        <f>IFERROR(INDEX(tProdutos[Foco],MATCH(tItens[[#This Row],[Produto]],tProdutos[Produto],0)),"Não")</f>
        <v>Não</v>
      </c>
      <c r="O2407" t="str">
        <f>IFERROR(INDEX(tEditais[SRP],MATCH(tItens[[#This Row],[Edital]],tEditais[Edital],0)),"Não")</f>
        <v>Sim</v>
      </c>
      <c r="P2407" s="4">
        <f>IF(COUNTIFS(INDEX(tItens[Edital],1):tItens[[#This Row],[Edital]],tItens[[#This Row],[Edital]],INDEX(tItens[Produto],1):tItens[[#This Row],[Produto]],tItens[[#This Row],[Produto]])=1,1,0)</f>
        <v>1</v>
      </c>
    </row>
    <row r="2408" spans="1:16" x14ac:dyDescent="0.25">
      <c r="A2408" t="s">
        <v>1226</v>
      </c>
      <c r="B2408">
        <v>29</v>
      </c>
      <c r="C2408" t="s">
        <v>5444</v>
      </c>
      <c r="D2408" t="s">
        <v>569</v>
      </c>
      <c r="E2408" s="13">
        <v>4</v>
      </c>
      <c r="F2408" s="12">
        <v>210.4</v>
      </c>
      <c r="G2408" t="str">
        <f>IFERROR(INDEX(tEditais[Órgão],MATCH(tItens[[#This Row],[Edital]],tEditais[Edital],0)),"")</f>
        <v>FUNDO MUNICIPAL DE SAUDE</v>
      </c>
      <c r="H2408" t="str">
        <f>IFERROR(INDEX(tEditais[UF],MATCH(tItens[[#This Row],[Edital]],tEditais[Edital],0)),"")</f>
        <v>GO</v>
      </c>
      <c r="I2408" s="11">
        <f>IFERROR(INDEX(tEditais[Encerramento],MATCH(tItens[[#This Row],[Edital]],tEditais[Edital],0)),"")</f>
        <v>46314.3125</v>
      </c>
      <c r="J2408" t="str">
        <f>IFERROR(INDEX(tProdutos[Classe],MATCH(tItens[[#This Row],[Produto]],tProdutos[Produto],0)),"produto não cadastrado")</f>
        <v>FILA REBASE</v>
      </c>
      <c r="K2408" s="12">
        <f>tItens[[#This Row],[Qtd]]*tItens[[#This Row],[Vlr unit]]</f>
        <v>841.6</v>
      </c>
      <c r="L2408" s="6">
        <f>IFERROR(IF(INDEX(tProdutos[Desconto homologado],MATCH(tItens[[#This Row],[Produto]],tProdutos[Produto],0))="",DescontoPadrao,INDEX(tProdutos[Desconto homologado],MATCH(tItens[[#This Row],[Produto]],tProdutos[Produto],0))),DescontoPadrao)</f>
        <v>0.3</v>
      </c>
      <c r="M2408" s="12">
        <f>tItens[[#This Row],[Valor]]*(1-tItens[[#This Row],[Desconto]])</f>
        <v>589.12</v>
      </c>
      <c r="N2408" t="str">
        <f>IFERROR(INDEX(tProdutos[Foco],MATCH(tItens[[#This Row],[Produto]],tProdutos[Produto],0)),"Não")</f>
        <v>Não</v>
      </c>
      <c r="O2408" t="str">
        <f>IFERROR(INDEX(tEditais[SRP],MATCH(tItens[[#This Row],[Edital]],tEditais[Edital],0)),"Não")</f>
        <v>Sim</v>
      </c>
      <c r="P2408" s="4">
        <f>IF(COUNTIFS(INDEX(tItens[Edital],1):tItens[[#This Row],[Edital]],tItens[[#This Row],[Edital]],INDEX(tItens[Produto],1):tItens[[#This Row],[Produto]],tItens[[#This Row],[Produto]])=1,1,0)</f>
        <v>0</v>
      </c>
    </row>
    <row r="2409" spans="1:16" x14ac:dyDescent="0.25">
      <c r="A2409" t="s">
        <v>1226</v>
      </c>
      <c r="B2409">
        <v>62</v>
      </c>
      <c r="C2409" t="s">
        <v>5445</v>
      </c>
      <c r="D2409" t="s">
        <v>423</v>
      </c>
      <c r="E2409" s="13">
        <v>8</v>
      </c>
      <c r="F2409" s="12">
        <v>10.69</v>
      </c>
      <c r="G2409" t="str">
        <f>IFERROR(INDEX(tEditais[Órgão],MATCH(tItens[[#This Row],[Edital]],tEditais[Edital],0)),"")</f>
        <v>FUNDO MUNICIPAL DE SAUDE</v>
      </c>
      <c r="H2409" t="str">
        <f>IFERROR(INDEX(tEditais[UF],MATCH(tItens[[#This Row],[Edital]],tEditais[Edital],0)),"")</f>
        <v>GO</v>
      </c>
      <c r="I2409" s="11">
        <f>IFERROR(INDEX(tEditais[Encerramento],MATCH(tItens[[#This Row],[Edital]],tEditais[Edital],0)),"")</f>
        <v>46314.3125</v>
      </c>
      <c r="J2409" t="str">
        <f>IFERROR(INDEX(tProdutos[Classe],MATCH(tItens[[#This Row],[Produto]],tProdutos[Produto],0)),"produto não cadastrado")</f>
        <v>FORA</v>
      </c>
      <c r="K2409" s="12">
        <f>tItens[[#This Row],[Qtd]]*tItens[[#This Row],[Vlr unit]]</f>
        <v>85.52</v>
      </c>
      <c r="L2409" s="6">
        <f>IFERROR(IF(INDEX(tProdutos[Desconto homologado],MATCH(tItens[[#This Row],[Produto]],tProdutos[Produto],0))="",DescontoPadrao,INDEX(tProdutos[Desconto homologado],MATCH(tItens[[#This Row],[Produto]],tProdutos[Produto],0))),DescontoPadrao)</f>
        <v>0.38271604938271597</v>
      </c>
      <c r="M2409" s="12">
        <f>tItens[[#This Row],[Valor]]*(1-tItens[[#This Row],[Desconto]])</f>
        <v>52.790123456790127</v>
      </c>
      <c r="N2409" t="str">
        <f>IFERROR(INDEX(tProdutos[Foco],MATCH(tItens[[#This Row],[Produto]],tProdutos[Produto],0)),"Não")</f>
        <v>Não</v>
      </c>
      <c r="O2409" t="str">
        <f>IFERROR(INDEX(tEditais[SRP],MATCH(tItens[[#This Row],[Edital]],tEditais[Edital],0)),"Não")</f>
        <v>Sim</v>
      </c>
      <c r="P2409" s="4">
        <f>IF(COUNTIFS(INDEX(tItens[Edital],1):tItens[[#This Row],[Edital]],tItens[[#This Row],[Edital]],INDEX(tItens[Produto],1):tItens[[#This Row],[Produto]],tItens[[#This Row],[Produto]])=1,1,0)</f>
        <v>1</v>
      </c>
    </row>
    <row r="2410" spans="1:16" x14ac:dyDescent="0.25">
      <c r="A2410" t="s">
        <v>1226</v>
      </c>
      <c r="B2410">
        <v>67</v>
      </c>
      <c r="C2410" t="s">
        <v>5446</v>
      </c>
      <c r="D2410" t="s">
        <v>383</v>
      </c>
      <c r="E2410" s="13">
        <v>60</v>
      </c>
      <c r="F2410" s="12">
        <v>26.19</v>
      </c>
      <c r="G2410" t="str">
        <f>IFERROR(INDEX(tEditais[Órgão],MATCH(tItens[[#This Row],[Edital]],tEditais[Edital],0)),"")</f>
        <v>FUNDO MUNICIPAL DE SAUDE</v>
      </c>
      <c r="H2410" t="str">
        <f>IFERROR(INDEX(tEditais[UF],MATCH(tItens[[#This Row],[Edital]],tEditais[Edital],0)),"")</f>
        <v>GO</v>
      </c>
      <c r="I2410" s="11">
        <f>IFERROR(INDEX(tEditais[Encerramento],MATCH(tItens[[#This Row],[Edital]],tEditais[Edital],0)),"")</f>
        <v>46314.3125</v>
      </c>
      <c r="J2410" t="str">
        <f>IFERROR(INDEX(tProdutos[Classe],MATCH(tItens[[#This Row],[Produto]],tProdutos[Produto],0)),"produto não cadastrado")</f>
        <v>FORA</v>
      </c>
      <c r="K2410" s="12">
        <f>tItens[[#This Row],[Qtd]]*tItens[[#This Row],[Vlr unit]]</f>
        <v>1571.4</v>
      </c>
      <c r="L2410" s="6">
        <f>IFERROR(IF(INDEX(tProdutos[Desconto homologado],MATCH(tItens[[#This Row],[Produto]],tProdutos[Produto],0))="",DescontoPadrao,INDEX(tProdutos[Desconto homologado],MATCH(tItens[[#This Row],[Produto]],tProdutos[Produto],0))),DescontoPadrao)</f>
        <v>0.48749999999999999</v>
      </c>
      <c r="M2410" s="12">
        <f>tItens[[#This Row],[Valor]]*(1-tItens[[#This Row],[Desconto]])</f>
        <v>805.34249999999997</v>
      </c>
      <c r="N2410" t="str">
        <f>IFERROR(INDEX(tProdutos[Foco],MATCH(tItens[[#This Row],[Produto]],tProdutos[Produto],0)),"Não")</f>
        <v>Não</v>
      </c>
      <c r="O2410" t="str">
        <f>IFERROR(INDEX(tEditais[SRP],MATCH(tItens[[#This Row],[Edital]],tEditais[Edital],0)),"Não")</f>
        <v>Sim</v>
      </c>
      <c r="P2410" s="4">
        <f>IF(COUNTIFS(INDEX(tItens[Edital],1):tItens[[#This Row],[Edital]],tItens[[#This Row],[Edital]],INDEX(tItens[Produto],1):tItens[[#This Row],[Produto]],tItens[[#This Row],[Produto]])=1,1,0)</f>
        <v>1</v>
      </c>
    </row>
    <row r="2411" spans="1:16" x14ac:dyDescent="0.25">
      <c r="A2411" t="s">
        <v>1226</v>
      </c>
      <c r="B2411">
        <v>77</v>
      </c>
      <c r="C2411" t="s">
        <v>5447</v>
      </c>
      <c r="D2411" t="s">
        <v>100</v>
      </c>
      <c r="E2411" s="13">
        <v>30</v>
      </c>
      <c r="F2411" s="12">
        <v>65.55</v>
      </c>
      <c r="G2411" t="str">
        <f>IFERROR(INDEX(tEditais[Órgão],MATCH(tItens[[#This Row],[Edital]],tEditais[Edital],0)),"")</f>
        <v>FUNDO MUNICIPAL DE SAUDE</v>
      </c>
      <c r="H2411" t="str">
        <f>IFERROR(INDEX(tEditais[UF],MATCH(tItens[[#This Row],[Edital]],tEditais[Edital],0)),"")</f>
        <v>GO</v>
      </c>
      <c r="I2411" s="11">
        <f>IFERROR(INDEX(tEditais[Encerramento],MATCH(tItens[[#This Row],[Edital]],tEditais[Edital],0)),"")</f>
        <v>46314.3125</v>
      </c>
      <c r="J2411" t="str">
        <f>IFERROR(INDEX(tProdutos[Classe],MATCH(tItens[[#This Row],[Produto]],tProdutos[Produto],0)),"produto não cadastrado")</f>
        <v>NÚCLEO</v>
      </c>
      <c r="K2411" s="12">
        <f>tItens[[#This Row],[Qtd]]*tItens[[#This Row],[Vlr unit]]</f>
        <v>1966.5</v>
      </c>
      <c r="L2411" s="6">
        <f>IFERROR(IF(INDEX(tProdutos[Desconto homologado],MATCH(tItens[[#This Row],[Produto]],tProdutos[Produto],0))="",DescontoPadrao,INDEX(tProdutos[Desconto homologado],MATCH(tItens[[#This Row],[Produto]],tProdutos[Produto],0))),DescontoPadrao)</f>
        <v>0.24</v>
      </c>
      <c r="M2411" s="12">
        <f>tItens[[#This Row],[Valor]]*(1-tItens[[#This Row],[Desconto]])</f>
        <v>1494.54</v>
      </c>
      <c r="N2411" t="str">
        <f>IFERROR(INDEX(tProdutos[Foco],MATCH(tItens[[#This Row],[Produto]],tProdutos[Produto],0)),"Não")</f>
        <v>Sim</v>
      </c>
      <c r="O2411" t="str">
        <f>IFERROR(INDEX(tEditais[SRP],MATCH(tItens[[#This Row],[Edital]],tEditais[Edital],0)),"Não")</f>
        <v>Sim</v>
      </c>
      <c r="P2411" s="4">
        <f>IF(COUNTIFS(INDEX(tItens[Edital],1):tItens[[#This Row],[Edital]],tItens[[#This Row],[Edital]],INDEX(tItens[Produto],1):tItens[[#This Row],[Produto]],tItens[[#This Row],[Produto]])=1,1,0)</f>
        <v>1</v>
      </c>
    </row>
    <row r="2412" spans="1:16" x14ac:dyDescent="0.25">
      <c r="A2412" t="s">
        <v>1226</v>
      </c>
      <c r="B2412">
        <v>108</v>
      </c>
      <c r="C2412" t="s">
        <v>5448</v>
      </c>
      <c r="D2412" t="s">
        <v>458</v>
      </c>
      <c r="E2412" s="13">
        <v>25</v>
      </c>
      <c r="F2412" s="12">
        <v>11.56</v>
      </c>
      <c r="G2412" t="str">
        <f>IFERROR(INDEX(tEditais[Órgão],MATCH(tItens[[#This Row],[Edital]],tEditais[Edital],0)),"")</f>
        <v>FUNDO MUNICIPAL DE SAUDE</v>
      </c>
      <c r="H2412" t="str">
        <f>IFERROR(INDEX(tEditais[UF],MATCH(tItens[[#This Row],[Edital]],tEditais[Edital],0)),"")</f>
        <v>GO</v>
      </c>
      <c r="I2412" s="11">
        <f>IFERROR(INDEX(tEditais[Encerramento],MATCH(tItens[[#This Row],[Edital]],tEditais[Edital],0)),"")</f>
        <v>46314.3125</v>
      </c>
      <c r="J2412" t="str">
        <f>IFERROR(INDEX(tProdutos[Classe],MATCH(tItens[[#This Row],[Produto]],tProdutos[Produto],0)),"produto não cadastrado")</f>
        <v>FILA REBASE</v>
      </c>
      <c r="K2412" s="12">
        <f>tItens[[#This Row],[Qtd]]*tItens[[#This Row],[Vlr unit]]</f>
        <v>289</v>
      </c>
      <c r="L2412" s="6">
        <f>IFERROR(IF(INDEX(tProdutos[Desconto homologado],MATCH(tItens[[#This Row],[Produto]],tProdutos[Produto],0))="",DescontoPadrao,INDEX(tProdutos[Desconto homologado],MATCH(tItens[[#This Row],[Produto]],tProdutos[Produto],0))),DescontoPadrao)</f>
        <v>0.33411214953271001</v>
      </c>
      <c r="M2412" s="12">
        <f>tItens[[#This Row],[Valor]]*(1-tItens[[#This Row],[Desconto]])</f>
        <v>192.44158878504683</v>
      </c>
      <c r="N2412" t="str">
        <f>IFERROR(INDEX(tProdutos[Foco],MATCH(tItens[[#This Row],[Produto]],tProdutos[Produto],0)),"Não")</f>
        <v>Não</v>
      </c>
      <c r="O2412" t="str">
        <f>IFERROR(INDEX(tEditais[SRP],MATCH(tItens[[#This Row],[Edital]],tEditais[Edital],0)),"Não")</f>
        <v>Sim</v>
      </c>
      <c r="P2412" s="4">
        <f>IF(COUNTIFS(INDEX(tItens[Edital],1):tItens[[#This Row],[Edital]],tItens[[#This Row],[Edital]],INDEX(tItens[Produto],1):tItens[[#This Row],[Produto]],tItens[[#This Row],[Produto]])=1,1,0)</f>
        <v>1</v>
      </c>
    </row>
    <row r="2413" spans="1:16" x14ac:dyDescent="0.25">
      <c r="A2413" t="s">
        <v>1226</v>
      </c>
      <c r="B2413">
        <v>126</v>
      </c>
      <c r="C2413" t="s">
        <v>5449</v>
      </c>
      <c r="D2413" t="s">
        <v>56</v>
      </c>
      <c r="E2413" s="13">
        <v>20</v>
      </c>
      <c r="F2413" s="12">
        <v>0.27</v>
      </c>
      <c r="G2413" t="str">
        <f>IFERROR(INDEX(tEditais[Órgão],MATCH(tItens[[#This Row],[Edital]],tEditais[Edital],0)),"")</f>
        <v>FUNDO MUNICIPAL DE SAUDE</v>
      </c>
      <c r="H2413" t="str">
        <f>IFERROR(INDEX(tEditais[UF],MATCH(tItens[[#This Row],[Edital]],tEditais[Edital],0)),"")</f>
        <v>GO</v>
      </c>
      <c r="I2413" s="11">
        <f>IFERROR(INDEX(tEditais[Encerramento],MATCH(tItens[[#This Row],[Edital]],tEditais[Edital],0)),"")</f>
        <v>46314.3125</v>
      </c>
      <c r="J2413" t="str">
        <f>IFERROR(INDEX(tProdutos[Classe],MATCH(tItens[[#This Row],[Produto]],tProdutos[Produto],0)),"produto não cadastrado")</f>
        <v>NÚCLEO</v>
      </c>
      <c r="K2413" s="12">
        <f>tItens[[#This Row],[Qtd]]*tItens[[#This Row],[Vlr unit]]</f>
        <v>5.4</v>
      </c>
      <c r="L2413" s="6">
        <f>IFERROR(IF(INDEX(tProdutos[Desconto homologado],MATCH(tItens[[#This Row],[Produto]],tProdutos[Produto],0))="",DescontoPadrao,INDEX(tProdutos[Desconto homologado],MATCH(tItens[[#This Row],[Produto]],tProdutos[Produto],0))),DescontoPadrao)</f>
        <v>0.34</v>
      </c>
      <c r="M2413" s="12">
        <f>tItens[[#This Row],[Valor]]*(1-tItens[[#This Row],[Desconto]])</f>
        <v>3.5639999999999996</v>
      </c>
      <c r="N2413" t="str">
        <f>IFERROR(INDEX(tProdutos[Foco],MATCH(tItens[[#This Row],[Produto]],tProdutos[Produto],0)),"Não")</f>
        <v>Sim</v>
      </c>
      <c r="O2413" t="str">
        <f>IFERROR(INDEX(tEditais[SRP],MATCH(tItens[[#This Row],[Edital]],tEditais[Edital],0)),"Não")</f>
        <v>Sim</v>
      </c>
      <c r="P2413" s="4">
        <f>IF(COUNTIFS(INDEX(tItens[Edital],1):tItens[[#This Row],[Edital]],tItens[[#This Row],[Edital]],INDEX(tItens[Produto],1):tItens[[#This Row],[Produto]],tItens[[#This Row],[Produto]])=1,1,0)</f>
        <v>1</v>
      </c>
    </row>
    <row r="2414" spans="1:16" x14ac:dyDescent="0.25">
      <c r="A2414" t="s">
        <v>1226</v>
      </c>
      <c r="B2414">
        <v>128</v>
      </c>
      <c r="C2414" t="s">
        <v>5450</v>
      </c>
      <c r="D2414" t="s">
        <v>343</v>
      </c>
      <c r="E2414" s="13">
        <v>200</v>
      </c>
      <c r="F2414" s="12">
        <v>1.77</v>
      </c>
      <c r="G2414" t="str">
        <f>IFERROR(INDEX(tEditais[Órgão],MATCH(tItens[[#This Row],[Edital]],tEditais[Edital],0)),"")</f>
        <v>FUNDO MUNICIPAL DE SAUDE</v>
      </c>
      <c r="H2414" t="str">
        <f>IFERROR(INDEX(tEditais[UF],MATCH(tItens[[#This Row],[Edital]],tEditais[Edital],0)),"")</f>
        <v>GO</v>
      </c>
      <c r="I2414" s="11">
        <f>IFERROR(INDEX(tEditais[Encerramento],MATCH(tItens[[#This Row],[Edital]],tEditais[Edital],0)),"")</f>
        <v>46314.3125</v>
      </c>
      <c r="J2414" t="str">
        <f>IFERROR(INDEX(tProdutos[Classe],MATCH(tItens[[#This Row],[Produto]],tProdutos[Produto],0)),"produto não cadastrado")</f>
        <v>FORA</v>
      </c>
      <c r="K2414" s="12">
        <f>tItens[[#This Row],[Qtd]]*tItens[[#This Row],[Vlr unit]]</f>
        <v>354</v>
      </c>
      <c r="L2414" s="6">
        <f>IFERROR(IF(INDEX(tProdutos[Desconto homologado],MATCH(tItens[[#This Row],[Produto]],tProdutos[Produto],0))="",DescontoPadrao,INDEX(tProdutos[Desconto homologado],MATCH(tItens[[#This Row],[Produto]],tProdutos[Produto],0))),DescontoPadrao)</f>
        <v>0.35412234042553198</v>
      </c>
      <c r="M2414" s="12">
        <f>tItens[[#This Row],[Valor]]*(1-tItens[[#This Row],[Desconto]])</f>
        <v>228.64069148936167</v>
      </c>
      <c r="N2414" t="str">
        <f>IFERROR(INDEX(tProdutos[Foco],MATCH(tItens[[#This Row],[Produto]],tProdutos[Produto],0)),"Não")</f>
        <v>Não</v>
      </c>
      <c r="O2414" t="str">
        <f>IFERROR(INDEX(tEditais[SRP],MATCH(tItens[[#This Row],[Edital]],tEditais[Edital],0)),"Não")</f>
        <v>Sim</v>
      </c>
      <c r="P2414" s="4">
        <f>IF(COUNTIFS(INDEX(tItens[Edital],1):tItens[[#This Row],[Edital]],tItens[[#This Row],[Edital]],INDEX(tItens[Produto],1):tItens[[#This Row],[Produto]],tItens[[#This Row],[Produto]])=1,1,0)</f>
        <v>1</v>
      </c>
    </row>
    <row r="2415" spans="1:16" x14ac:dyDescent="0.25">
      <c r="A2415" t="s">
        <v>1226</v>
      </c>
      <c r="B2415">
        <v>129</v>
      </c>
      <c r="C2415" t="s">
        <v>5451</v>
      </c>
      <c r="D2415" t="s">
        <v>343</v>
      </c>
      <c r="E2415" s="13">
        <v>200</v>
      </c>
      <c r="F2415" s="12">
        <v>1.47</v>
      </c>
      <c r="G2415" t="str">
        <f>IFERROR(INDEX(tEditais[Órgão],MATCH(tItens[[#This Row],[Edital]],tEditais[Edital],0)),"")</f>
        <v>FUNDO MUNICIPAL DE SAUDE</v>
      </c>
      <c r="H2415" t="str">
        <f>IFERROR(INDEX(tEditais[UF],MATCH(tItens[[#This Row],[Edital]],tEditais[Edital],0)),"")</f>
        <v>GO</v>
      </c>
      <c r="I2415" s="11">
        <f>IFERROR(INDEX(tEditais[Encerramento],MATCH(tItens[[#This Row],[Edital]],tEditais[Edital],0)),"")</f>
        <v>46314.3125</v>
      </c>
      <c r="J2415" t="str">
        <f>IFERROR(INDEX(tProdutos[Classe],MATCH(tItens[[#This Row],[Produto]],tProdutos[Produto],0)),"produto não cadastrado")</f>
        <v>FORA</v>
      </c>
      <c r="K2415" s="12">
        <f>tItens[[#This Row],[Qtd]]*tItens[[#This Row],[Vlr unit]]</f>
        <v>294</v>
      </c>
      <c r="L2415" s="6">
        <f>IFERROR(IF(INDEX(tProdutos[Desconto homologado],MATCH(tItens[[#This Row],[Produto]],tProdutos[Produto],0))="",DescontoPadrao,INDEX(tProdutos[Desconto homologado],MATCH(tItens[[#This Row],[Produto]],tProdutos[Produto],0))),DescontoPadrao)</f>
        <v>0.35412234042553198</v>
      </c>
      <c r="M2415" s="12">
        <f>tItens[[#This Row],[Valor]]*(1-tItens[[#This Row],[Desconto]])</f>
        <v>189.88803191489359</v>
      </c>
      <c r="N2415" t="str">
        <f>IFERROR(INDEX(tProdutos[Foco],MATCH(tItens[[#This Row],[Produto]],tProdutos[Produto],0)),"Não")</f>
        <v>Não</v>
      </c>
      <c r="O2415" t="str">
        <f>IFERROR(INDEX(tEditais[SRP],MATCH(tItens[[#This Row],[Edital]],tEditais[Edital],0)),"Não")</f>
        <v>Sim</v>
      </c>
      <c r="P2415" s="4">
        <f>IF(COUNTIFS(INDEX(tItens[Edital],1):tItens[[#This Row],[Edital]],tItens[[#This Row],[Edital]],INDEX(tItens[Produto],1):tItens[[#This Row],[Produto]],tItens[[#This Row],[Produto]])=1,1,0)</f>
        <v>0</v>
      </c>
    </row>
    <row r="2416" spans="1:16" x14ac:dyDescent="0.25">
      <c r="A2416" t="s">
        <v>1226</v>
      </c>
      <c r="B2416">
        <v>130</v>
      </c>
      <c r="C2416" t="s">
        <v>5452</v>
      </c>
      <c r="D2416" t="s">
        <v>343</v>
      </c>
      <c r="E2416" s="13">
        <v>200</v>
      </c>
      <c r="F2416" s="12">
        <v>1.24</v>
      </c>
      <c r="G2416" t="str">
        <f>IFERROR(INDEX(tEditais[Órgão],MATCH(tItens[[#This Row],[Edital]],tEditais[Edital],0)),"")</f>
        <v>FUNDO MUNICIPAL DE SAUDE</v>
      </c>
      <c r="H2416" t="str">
        <f>IFERROR(INDEX(tEditais[UF],MATCH(tItens[[#This Row],[Edital]],tEditais[Edital],0)),"")</f>
        <v>GO</v>
      </c>
      <c r="I2416" s="11">
        <f>IFERROR(INDEX(tEditais[Encerramento],MATCH(tItens[[#This Row],[Edital]],tEditais[Edital],0)),"")</f>
        <v>46314.3125</v>
      </c>
      <c r="J2416" t="str">
        <f>IFERROR(INDEX(tProdutos[Classe],MATCH(tItens[[#This Row],[Produto]],tProdutos[Produto],0)),"produto não cadastrado")</f>
        <v>FORA</v>
      </c>
      <c r="K2416" s="12">
        <f>tItens[[#This Row],[Qtd]]*tItens[[#This Row],[Vlr unit]]</f>
        <v>248</v>
      </c>
      <c r="L2416" s="6">
        <f>IFERROR(IF(INDEX(tProdutos[Desconto homologado],MATCH(tItens[[#This Row],[Produto]],tProdutos[Produto],0))="",DescontoPadrao,INDEX(tProdutos[Desconto homologado],MATCH(tItens[[#This Row],[Produto]],tProdutos[Produto],0))),DescontoPadrao)</f>
        <v>0.35412234042553198</v>
      </c>
      <c r="M2416" s="12">
        <f>tItens[[#This Row],[Valor]]*(1-tItens[[#This Row],[Desconto]])</f>
        <v>160.17765957446807</v>
      </c>
      <c r="N2416" t="str">
        <f>IFERROR(INDEX(tProdutos[Foco],MATCH(tItens[[#This Row],[Produto]],tProdutos[Produto],0)),"Não")</f>
        <v>Não</v>
      </c>
      <c r="O2416" t="str">
        <f>IFERROR(INDEX(tEditais[SRP],MATCH(tItens[[#This Row],[Edital]],tEditais[Edital],0)),"Não")</f>
        <v>Sim</v>
      </c>
      <c r="P2416" s="4">
        <f>IF(COUNTIFS(INDEX(tItens[Edital],1):tItens[[#This Row],[Edital]],tItens[[#This Row],[Edital]],INDEX(tItens[Produto],1):tItens[[#This Row],[Produto]],tItens[[#This Row],[Produto]])=1,1,0)</f>
        <v>0</v>
      </c>
    </row>
    <row r="2417" spans="1:16" x14ac:dyDescent="0.25">
      <c r="A2417" t="s">
        <v>1226</v>
      </c>
      <c r="B2417">
        <v>183</v>
      </c>
      <c r="C2417" t="s">
        <v>5453</v>
      </c>
      <c r="D2417" t="s">
        <v>114</v>
      </c>
      <c r="E2417" s="13">
        <v>100</v>
      </c>
      <c r="F2417" s="12">
        <v>11.84</v>
      </c>
      <c r="G2417" t="str">
        <f>IFERROR(INDEX(tEditais[Órgão],MATCH(tItens[[#This Row],[Edital]],tEditais[Edital],0)),"")</f>
        <v>FUNDO MUNICIPAL DE SAUDE</v>
      </c>
      <c r="H2417" t="str">
        <f>IFERROR(INDEX(tEditais[UF],MATCH(tItens[[#This Row],[Edital]],tEditais[Edital],0)),"")</f>
        <v>GO</v>
      </c>
      <c r="I2417" s="11">
        <f>IFERROR(INDEX(tEditais[Encerramento],MATCH(tItens[[#This Row],[Edital]],tEditais[Edital],0)),"")</f>
        <v>46314.3125</v>
      </c>
      <c r="J2417" t="str">
        <f>IFERROR(INDEX(tProdutos[Classe],MATCH(tItens[[#This Row],[Produto]],tProdutos[Produto],0)),"produto não cadastrado")</f>
        <v>DISPUTADO</v>
      </c>
      <c r="K2417" s="12">
        <f>tItens[[#This Row],[Qtd]]*tItens[[#This Row],[Vlr unit]]</f>
        <v>1184</v>
      </c>
      <c r="L2417" s="6">
        <f>IFERROR(IF(INDEX(tProdutos[Desconto homologado],MATCH(tItens[[#This Row],[Produto]],tProdutos[Produto],0))="",DescontoPadrao,INDEX(tProdutos[Desconto homologado],MATCH(tItens[[#This Row],[Produto]],tProdutos[Produto],0))),DescontoPadrao)</f>
        <v>0.24332656063896899</v>
      </c>
      <c r="M2417" s="12">
        <f>tItens[[#This Row],[Valor]]*(1-tItens[[#This Row],[Desconto]])</f>
        <v>895.90135220346076</v>
      </c>
      <c r="N2417" t="str">
        <f>IFERROR(INDEX(tProdutos[Foco],MATCH(tItens[[#This Row],[Produto]],tProdutos[Produto],0)),"Não")</f>
        <v>Não</v>
      </c>
      <c r="O2417" t="str">
        <f>IFERROR(INDEX(tEditais[SRP],MATCH(tItens[[#This Row],[Edital]],tEditais[Edital],0)),"Não")</f>
        <v>Sim</v>
      </c>
      <c r="P2417" s="4">
        <f>IF(COUNTIFS(INDEX(tItens[Edital],1):tItens[[#This Row],[Edital]],tItens[[#This Row],[Edital]],INDEX(tItens[Produto],1):tItens[[#This Row],[Produto]],tItens[[#This Row],[Produto]])=1,1,0)</f>
        <v>1</v>
      </c>
    </row>
    <row r="2418" spans="1:16" x14ac:dyDescent="0.25">
      <c r="A2418" t="s">
        <v>1229</v>
      </c>
      <c r="B2418">
        <v>9</v>
      </c>
      <c r="C2418" t="s">
        <v>5440</v>
      </c>
      <c r="D2418" t="s">
        <v>71</v>
      </c>
      <c r="E2418" s="13">
        <v>45</v>
      </c>
      <c r="F2418" s="12">
        <v>28.63</v>
      </c>
      <c r="G2418" t="str">
        <f>IFERROR(INDEX(tEditais[Órgão],MATCH(tItens[[#This Row],[Edital]],tEditais[Edital],0)),"")</f>
        <v>MUNICIPIO DE SAO JOAO D'ALIANCA</v>
      </c>
      <c r="H2418" t="str">
        <f>IFERROR(INDEX(tEditais[UF],MATCH(tItens[[#This Row],[Edital]],tEditais[Edital],0)),"")</f>
        <v>GO</v>
      </c>
      <c r="I2418" s="11">
        <f>IFERROR(INDEX(tEditais[Encerramento],MATCH(tItens[[#This Row],[Edital]],tEditais[Edital],0)),"")</f>
        <v>46314.3125</v>
      </c>
      <c r="J2418" t="str">
        <f>IFERROR(INDEX(tProdutos[Classe],MATCH(tItens[[#This Row],[Produto]],tProdutos[Produto],0)),"produto não cadastrado")</f>
        <v>NÚCLEO</v>
      </c>
      <c r="K2418" s="12">
        <f>tItens[[#This Row],[Qtd]]*tItens[[#This Row],[Vlr unit]]</f>
        <v>1288.3499999999999</v>
      </c>
      <c r="L2418" s="6">
        <f>IFERROR(IF(INDEX(tProdutos[Desconto homologado],MATCH(tItens[[#This Row],[Produto]],tProdutos[Produto],0))="",DescontoPadrao,INDEX(tProdutos[Desconto homologado],MATCH(tItens[[#This Row],[Produto]],tProdutos[Produto],0))),DescontoPadrao)</f>
        <v>0.44981412639405199</v>
      </c>
      <c r="M2418" s="12">
        <f>tItens[[#This Row],[Valor]]*(1-tItens[[#This Row],[Desconto]])</f>
        <v>708.83197026022299</v>
      </c>
      <c r="N2418" t="str">
        <f>IFERROR(INDEX(tProdutos[Foco],MATCH(tItens[[#This Row],[Produto]],tProdutos[Produto],0)),"Não")</f>
        <v>Não</v>
      </c>
      <c r="O2418" t="str">
        <f>IFERROR(INDEX(tEditais[SRP],MATCH(tItens[[#This Row],[Edital]],tEditais[Edital],0)),"Não")</f>
        <v>Sim</v>
      </c>
      <c r="P2418" s="4">
        <f>IF(COUNTIFS(INDEX(tItens[Edital],1):tItens[[#This Row],[Edital]],tItens[[#This Row],[Edital]],INDEX(tItens[Produto],1):tItens[[#This Row],[Produto]],tItens[[#This Row],[Produto]])=1,1,0)</f>
        <v>1</v>
      </c>
    </row>
    <row r="2419" spans="1:16" x14ac:dyDescent="0.25">
      <c r="A2419" t="s">
        <v>1229</v>
      </c>
      <c r="B2419">
        <v>10</v>
      </c>
      <c r="C2419" t="s">
        <v>5441</v>
      </c>
      <c r="D2419" t="s">
        <v>88</v>
      </c>
      <c r="E2419" s="13">
        <v>10</v>
      </c>
      <c r="F2419" s="12">
        <v>41.85</v>
      </c>
      <c r="G2419" t="str">
        <f>IFERROR(INDEX(tEditais[Órgão],MATCH(tItens[[#This Row],[Edital]],tEditais[Edital],0)),"")</f>
        <v>MUNICIPIO DE SAO JOAO D'ALIANCA</v>
      </c>
      <c r="H2419" t="str">
        <f>IFERROR(INDEX(tEditais[UF],MATCH(tItens[[#This Row],[Edital]],tEditais[Edital],0)),"")</f>
        <v>GO</v>
      </c>
      <c r="I2419" s="11">
        <f>IFERROR(INDEX(tEditais[Encerramento],MATCH(tItens[[#This Row],[Edital]],tEditais[Edital],0)),"")</f>
        <v>46314.3125</v>
      </c>
      <c r="J2419" t="str">
        <f>IFERROR(INDEX(tProdutos[Classe],MATCH(tItens[[#This Row],[Produto]],tProdutos[Produto],0)),"produto não cadastrado")</f>
        <v>NÚCLEO</v>
      </c>
      <c r="K2419" s="12">
        <f>tItens[[#This Row],[Qtd]]*tItens[[#This Row],[Vlr unit]]</f>
        <v>418.5</v>
      </c>
      <c r="L2419" s="6">
        <f>IFERROR(IF(INDEX(tProdutos[Desconto homologado],MATCH(tItens[[#This Row],[Produto]],tProdutos[Produto],0))="",DescontoPadrao,INDEX(tProdutos[Desconto homologado],MATCH(tItens[[#This Row],[Produto]],tProdutos[Produto],0))),DescontoPadrao)</f>
        <v>0.30251202565473001</v>
      </c>
      <c r="M2419" s="12">
        <f>tItens[[#This Row],[Valor]]*(1-tItens[[#This Row],[Desconto]])</f>
        <v>291.89871726349548</v>
      </c>
      <c r="N2419" t="str">
        <f>IFERROR(INDEX(tProdutos[Foco],MATCH(tItens[[#This Row],[Produto]],tProdutos[Produto],0)),"Não")</f>
        <v>Não</v>
      </c>
      <c r="O2419" t="str">
        <f>IFERROR(INDEX(tEditais[SRP],MATCH(tItens[[#This Row],[Edital]],tEditais[Edital],0)),"Não")</f>
        <v>Sim</v>
      </c>
      <c r="P2419" s="4">
        <f>IF(COUNTIFS(INDEX(tItens[Edital],1):tItens[[#This Row],[Edital]],tItens[[#This Row],[Edital]],INDEX(tItens[Produto],1):tItens[[#This Row],[Produto]],tItens[[#This Row],[Produto]])=1,1,0)</f>
        <v>1</v>
      </c>
    </row>
    <row r="2420" spans="1:16" x14ac:dyDescent="0.25">
      <c r="A2420" t="s">
        <v>1229</v>
      </c>
      <c r="B2420">
        <v>27</v>
      </c>
      <c r="C2420" t="s">
        <v>5442</v>
      </c>
      <c r="D2420" t="s">
        <v>86</v>
      </c>
      <c r="E2420" s="13">
        <v>27</v>
      </c>
      <c r="F2420" s="12">
        <v>23.05</v>
      </c>
      <c r="G2420" t="str">
        <f>IFERROR(INDEX(tEditais[Órgão],MATCH(tItens[[#This Row],[Edital]],tEditais[Edital],0)),"")</f>
        <v>MUNICIPIO DE SAO JOAO D'ALIANCA</v>
      </c>
      <c r="H2420" t="str">
        <f>IFERROR(INDEX(tEditais[UF],MATCH(tItens[[#This Row],[Edital]],tEditais[Edital],0)),"")</f>
        <v>GO</v>
      </c>
      <c r="I2420" s="11">
        <f>IFERROR(INDEX(tEditais[Encerramento],MATCH(tItens[[#This Row],[Edital]],tEditais[Edital],0)),"")</f>
        <v>46314.3125</v>
      </c>
      <c r="J2420" t="str">
        <f>IFERROR(INDEX(tProdutos[Classe],MATCH(tItens[[#This Row],[Produto]],tProdutos[Produto],0)),"produto não cadastrado")</f>
        <v>NÚCLEO</v>
      </c>
      <c r="K2420" s="12">
        <f>tItens[[#This Row],[Qtd]]*tItens[[#This Row],[Vlr unit]]</f>
        <v>622.35</v>
      </c>
      <c r="L2420" s="6">
        <f>IFERROR(IF(INDEX(tProdutos[Desconto homologado],MATCH(tItens[[#This Row],[Produto]],tProdutos[Produto],0))="",DescontoPadrao,INDEX(tProdutos[Desconto homologado],MATCH(tItens[[#This Row],[Produto]],tProdutos[Produto],0))),DescontoPadrao)</f>
        <v>0.20202020202020199</v>
      </c>
      <c r="M2420" s="12">
        <f>tItens[[#This Row],[Valor]]*(1-tItens[[#This Row],[Desconto]])</f>
        <v>496.62272727272733</v>
      </c>
      <c r="N2420" t="str">
        <f>IFERROR(INDEX(tProdutos[Foco],MATCH(tItens[[#This Row],[Produto]],tProdutos[Produto],0)),"Não")</f>
        <v>Não</v>
      </c>
      <c r="O2420" t="str">
        <f>IFERROR(INDEX(tEditais[SRP],MATCH(tItens[[#This Row],[Edital]],tEditais[Edital],0)),"Não")</f>
        <v>Sim</v>
      </c>
      <c r="P2420" s="4">
        <f>IF(COUNTIFS(INDEX(tItens[Edital],1):tItens[[#This Row],[Edital]],tItens[[#This Row],[Edital]],INDEX(tItens[Produto],1):tItens[[#This Row],[Produto]],tItens[[#This Row],[Produto]])=1,1,0)</f>
        <v>1</v>
      </c>
    </row>
    <row r="2421" spans="1:16" x14ac:dyDescent="0.25">
      <c r="A2421" t="s">
        <v>1229</v>
      </c>
      <c r="B2421">
        <v>28</v>
      </c>
      <c r="C2421" t="s">
        <v>5443</v>
      </c>
      <c r="D2421" t="s">
        <v>569</v>
      </c>
      <c r="E2421" s="13">
        <v>5</v>
      </c>
      <c r="F2421" s="12">
        <v>143.02000000000001</v>
      </c>
      <c r="G2421" t="str">
        <f>IFERROR(INDEX(tEditais[Órgão],MATCH(tItens[[#This Row],[Edital]],tEditais[Edital],0)),"")</f>
        <v>MUNICIPIO DE SAO JOAO D'ALIANCA</v>
      </c>
      <c r="H2421" t="str">
        <f>IFERROR(INDEX(tEditais[UF],MATCH(tItens[[#This Row],[Edital]],tEditais[Edital],0)),"")</f>
        <v>GO</v>
      </c>
      <c r="I2421" s="11">
        <f>IFERROR(INDEX(tEditais[Encerramento],MATCH(tItens[[#This Row],[Edital]],tEditais[Edital],0)),"")</f>
        <v>46314.3125</v>
      </c>
      <c r="J2421" t="str">
        <f>IFERROR(INDEX(tProdutos[Classe],MATCH(tItens[[#This Row],[Produto]],tProdutos[Produto],0)),"produto não cadastrado")</f>
        <v>FILA REBASE</v>
      </c>
      <c r="K2421" s="12">
        <f>tItens[[#This Row],[Qtd]]*tItens[[#This Row],[Vlr unit]]</f>
        <v>715.1</v>
      </c>
      <c r="L2421" s="6">
        <f>IFERROR(IF(INDEX(tProdutos[Desconto homologado],MATCH(tItens[[#This Row],[Produto]],tProdutos[Produto],0))="",DescontoPadrao,INDEX(tProdutos[Desconto homologado],MATCH(tItens[[#This Row],[Produto]],tProdutos[Produto],0))),DescontoPadrao)</f>
        <v>0.3</v>
      </c>
      <c r="M2421" s="12">
        <f>tItens[[#This Row],[Valor]]*(1-tItens[[#This Row],[Desconto]])</f>
        <v>500.57</v>
      </c>
      <c r="N2421" t="str">
        <f>IFERROR(INDEX(tProdutos[Foco],MATCH(tItens[[#This Row],[Produto]],tProdutos[Produto],0)),"Não")</f>
        <v>Não</v>
      </c>
      <c r="O2421" t="str">
        <f>IFERROR(INDEX(tEditais[SRP],MATCH(tItens[[#This Row],[Edital]],tEditais[Edital],0)),"Não")</f>
        <v>Sim</v>
      </c>
      <c r="P2421" s="4">
        <f>IF(COUNTIFS(INDEX(tItens[Edital],1):tItens[[#This Row],[Edital]],tItens[[#This Row],[Edital]],INDEX(tItens[Produto],1):tItens[[#This Row],[Produto]],tItens[[#This Row],[Produto]])=1,1,0)</f>
        <v>1</v>
      </c>
    </row>
    <row r="2422" spans="1:16" x14ac:dyDescent="0.25">
      <c r="A2422" t="s">
        <v>1229</v>
      </c>
      <c r="B2422">
        <v>29</v>
      </c>
      <c r="C2422" t="s">
        <v>5444</v>
      </c>
      <c r="D2422" t="s">
        <v>569</v>
      </c>
      <c r="E2422" s="13">
        <v>4</v>
      </c>
      <c r="F2422" s="12">
        <v>210.4</v>
      </c>
      <c r="G2422" t="str">
        <f>IFERROR(INDEX(tEditais[Órgão],MATCH(tItens[[#This Row],[Edital]],tEditais[Edital],0)),"")</f>
        <v>MUNICIPIO DE SAO JOAO D'ALIANCA</v>
      </c>
      <c r="H2422" t="str">
        <f>IFERROR(INDEX(tEditais[UF],MATCH(tItens[[#This Row],[Edital]],tEditais[Edital],0)),"")</f>
        <v>GO</v>
      </c>
      <c r="I2422" s="11">
        <f>IFERROR(INDEX(tEditais[Encerramento],MATCH(tItens[[#This Row],[Edital]],tEditais[Edital],0)),"")</f>
        <v>46314.3125</v>
      </c>
      <c r="J2422" t="str">
        <f>IFERROR(INDEX(tProdutos[Classe],MATCH(tItens[[#This Row],[Produto]],tProdutos[Produto],0)),"produto não cadastrado")</f>
        <v>FILA REBASE</v>
      </c>
      <c r="K2422" s="12">
        <f>tItens[[#This Row],[Qtd]]*tItens[[#This Row],[Vlr unit]]</f>
        <v>841.6</v>
      </c>
      <c r="L2422" s="6">
        <f>IFERROR(IF(INDEX(tProdutos[Desconto homologado],MATCH(tItens[[#This Row],[Produto]],tProdutos[Produto],0))="",DescontoPadrao,INDEX(tProdutos[Desconto homologado],MATCH(tItens[[#This Row],[Produto]],tProdutos[Produto],0))),DescontoPadrao)</f>
        <v>0.3</v>
      </c>
      <c r="M2422" s="12">
        <f>tItens[[#This Row],[Valor]]*(1-tItens[[#This Row],[Desconto]])</f>
        <v>589.12</v>
      </c>
      <c r="N2422" t="str">
        <f>IFERROR(INDEX(tProdutos[Foco],MATCH(tItens[[#This Row],[Produto]],tProdutos[Produto],0)),"Não")</f>
        <v>Não</v>
      </c>
      <c r="O2422" t="str">
        <f>IFERROR(INDEX(tEditais[SRP],MATCH(tItens[[#This Row],[Edital]],tEditais[Edital],0)),"Não")</f>
        <v>Sim</v>
      </c>
      <c r="P2422" s="4">
        <f>IF(COUNTIFS(INDEX(tItens[Edital],1):tItens[[#This Row],[Edital]],tItens[[#This Row],[Edital]],INDEX(tItens[Produto],1):tItens[[#This Row],[Produto]],tItens[[#This Row],[Produto]])=1,1,0)</f>
        <v>0</v>
      </c>
    </row>
    <row r="2423" spans="1:16" x14ac:dyDescent="0.25">
      <c r="A2423" t="s">
        <v>1229</v>
      </c>
      <c r="B2423">
        <v>62</v>
      </c>
      <c r="C2423" t="s">
        <v>5445</v>
      </c>
      <c r="D2423" t="s">
        <v>423</v>
      </c>
      <c r="E2423" s="13">
        <v>8</v>
      </c>
      <c r="F2423" s="12">
        <v>10.69</v>
      </c>
      <c r="G2423" t="str">
        <f>IFERROR(INDEX(tEditais[Órgão],MATCH(tItens[[#This Row],[Edital]],tEditais[Edital],0)),"")</f>
        <v>MUNICIPIO DE SAO JOAO D'ALIANCA</v>
      </c>
      <c r="H2423" t="str">
        <f>IFERROR(INDEX(tEditais[UF],MATCH(tItens[[#This Row],[Edital]],tEditais[Edital],0)),"")</f>
        <v>GO</v>
      </c>
      <c r="I2423" s="11">
        <f>IFERROR(INDEX(tEditais[Encerramento],MATCH(tItens[[#This Row],[Edital]],tEditais[Edital],0)),"")</f>
        <v>46314.3125</v>
      </c>
      <c r="J2423" t="str">
        <f>IFERROR(INDEX(tProdutos[Classe],MATCH(tItens[[#This Row],[Produto]],tProdutos[Produto],0)),"produto não cadastrado")</f>
        <v>FORA</v>
      </c>
      <c r="K2423" s="12">
        <f>tItens[[#This Row],[Qtd]]*tItens[[#This Row],[Vlr unit]]</f>
        <v>85.52</v>
      </c>
      <c r="L2423" s="6">
        <f>IFERROR(IF(INDEX(tProdutos[Desconto homologado],MATCH(tItens[[#This Row],[Produto]],tProdutos[Produto],0))="",DescontoPadrao,INDEX(tProdutos[Desconto homologado],MATCH(tItens[[#This Row],[Produto]],tProdutos[Produto],0))),DescontoPadrao)</f>
        <v>0.38271604938271597</v>
      </c>
      <c r="M2423" s="12">
        <f>tItens[[#This Row],[Valor]]*(1-tItens[[#This Row],[Desconto]])</f>
        <v>52.790123456790127</v>
      </c>
      <c r="N2423" t="str">
        <f>IFERROR(INDEX(tProdutos[Foco],MATCH(tItens[[#This Row],[Produto]],tProdutos[Produto],0)),"Não")</f>
        <v>Não</v>
      </c>
      <c r="O2423" t="str">
        <f>IFERROR(INDEX(tEditais[SRP],MATCH(tItens[[#This Row],[Edital]],tEditais[Edital],0)),"Não")</f>
        <v>Sim</v>
      </c>
      <c r="P2423" s="4">
        <f>IF(COUNTIFS(INDEX(tItens[Edital],1):tItens[[#This Row],[Edital]],tItens[[#This Row],[Edital]],INDEX(tItens[Produto],1):tItens[[#This Row],[Produto]],tItens[[#This Row],[Produto]])=1,1,0)</f>
        <v>1</v>
      </c>
    </row>
    <row r="2424" spans="1:16" x14ac:dyDescent="0.25">
      <c r="A2424" t="s">
        <v>1229</v>
      </c>
      <c r="B2424">
        <v>67</v>
      </c>
      <c r="C2424" t="s">
        <v>5446</v>
      </c>
      <c r="D2424" t="s">
        <v>383</v>
      </c>
      <c r="E2424" s="13">
        <v>60</v>
      </c>
      <c r="F2424" s="12">
        <v>26.19</v>
      </c>
      <c r="G2424" t="str">
        <f>IFERROR(INDEX(tEditais[Órgão],MATCH(tItens[[#This Row],[Edital]],tEditais[Edital],0)),"")</f>
        <v>MUNICIPIO DE SAO JOAO D'ALIANCA</v>
      </c>
      <c r="H2424" t="str">
        <f>IFERROR(INDEX(tEditais[UF],MATCH(tItens[[#This Row],[Edital]],tEditais[Edital],0)),"")</f>
        <v>GO</v>
      </c>
      <c r="I2424" s="11">
        <f>IFERROR(INDEX(tEditais[Encerramento],MATCH(tItens[[#This Row],[Edital]],tEditais[Edital],0)),"")</f>
        <v>46314.3125</v>
      </c>
      <c r="J2424" t="str">
        <f>IFERROR(INDEX(tProdutos[Classe],MATCH(tItens[[#This Row],[Produto]],tProdutos[Produto],0)),"produto não cadastrado")</f>
        <v>FORA</v>
      </c>
      <c r="K2424" s="12">
        <f>tItens[[#This Row],[Qtd]]*tItens[[#This Row],[Vlr unit]]</f>
        <v>1571.4</v>
      </c>
      <c r="L2424" s="6">
        <f>IFERROR(IF(INDEX(tProdutos[Desconto homologado],MATCH(tItens[[#This Row],[Produto]],tProdutos[Produto],0))="",DescontoPadrao,INDEX(tProdutos[Desconto homologado],MATCH(tItens[[#This Row],[Produto]],tProdutos[Produto],0))),DescontoPadrao)</f>
        <v>0.48749999999999999</v>
      </c>
      <c r="M2424" s="12">
        <f>tItens[[#This Row],[Valor]]*(1-tItens[[#This Row],[Desconto]])</f>
        <v>805.34249999999997</v>
      </c>
      <c r="N2424" t="str">
        <f>IFERROR(INDEX(tProdutos[Foco],MATCH(tItens[[#This Row],[Produto]],tProdutos[Produto],0)),"Não")</f>
        <v>Não</v>
      </c>
      <c r="O2424" t="str">
        <f>IFERROR(INDEX(tEditais[SRP],MATCH(tItens[[#This Row],[Edital]],tEditais[Edital],0)),"Não")</f>
        <v>Sim</v>
      </c>
      <c r="P2424" s="4">
        <f>IF(COUNTIFS(INDEX(tItens[Edital],1):tItens[[#This Row],[Edital]],tItens[[#This Row],[Edital]],INDEX(tItens[Produto],1):tItens[[#This Row],[Produto]],tItens[[#This Row],[Produto]])=1,1,0)</f>
        <v>1</v>
      </c>
    </row>
    <row r="2425" spans="1:16" x14ac:dyDescent="0.25">
      <c r="A2425" t="s">
        <v>1229</v>
      </c>
      <c r="B2425">
        <v>77</v>
      </c>
      <c r="C2425" t="s">
        <v>5447</v>
      </c>
      <c r="D2425" t="s">
        <v>100</v>
      </c>
      <c r="E2425" s="13">
        <v>30</v>
      </c>
      <c r="F2425" s="12">
        <v>65.55</v>
      </c>
      <c r="G2425" t="str">
        <f>IFERROR(INDEX(tEditais[Órgão],MATCH(tItens[[#This Row],[Edital]],tEditais[Edital],0)),"")</f>
        <v>MUNICIPIO DE SAO JOAO D'ALIANCA</v>
      </c>
      <c r="H2425" t="str">
        <f>IFERROR(INDEX(tEditais[UF],MATCH(tItens[[#This Row],[Edital]],tEditais[Edital],0)),"")</f>
        <v>GO</v>
      </c>
      <c r="I2425" s="11">
        <f>IFERROR(INDEX(tEditais[Encerramento],MATCH(tItens[[#This Row],[Edital]],tEditais[Edital],0)),"")</f>
        <v>46314.3125</v>
      </c>
      <c r="J2425" t="str">
        <f>IFERROR(INDEX(tProdutos[Classe],MATCH(tItens[[#This Row],[Produto]],tProdutos[Produto],0)),"produto não cadastrado")</f>
        <v>NÚCLEO</v>
      </c>
      <c r="K2425" s="12">
        <f>tItens[[#This Row],[Qtd]]*tItens[[#This Row],[Vlr unit]]</f>
        <v>1966.5</v>
      </c>
      <c r="L2425" s="6">
        <f>IFERROR(IF(INDEX(tProdutos[Desconto homologado],MATCH(tItens[[#This Row],[Produto]],tProdutos[Produto],0))="",DescontoPadrao,INDEX(tProdutos[Desconto homologado],MATCH(tItens[[#This Row],[Produto]],tProdutos[Produto],0))),DescontoPadrao)</f>
        <v>0.24</v>
      </c>
      <c r="M2425" s="12">
        <f>tItens[[#This Row],[Valor]]*(1-tItens[[#This Row],[Desconto]])</f>
        <v>1494.54</v>
      </c>
      <c r="N2425" t="str">
        <f>IFERROR(INDEX(tProdutos[Foco],MATCH(tItens[[#This Row],[Produto]],tProdutos[Produto],0)),"Não")</f>
        <v>Sim</v>
      </c>
      <c r="O2425" t="str">
        <f>IFERROR(INDEX(tEditais[SRP],MATCH(tItens[[#This Row],[Edital]],tEditais[Edital],0)),"Não")</f>
        <v>Sim</v>
      </c>
      <c r="P2425" s="4">
        <f>IF(COUNTIFS(INDEX(tItens[Edital],1):tItens[[#This Row],[Edital]],tItens[[#This Row],[Edital]],INDEX(tItens[Produto],1):tItens[[#This Row],[Produto]],tItens[[#This Row],[Produto]])=1,1,0)</f>
        <v>1</v>
      </c>
    </row>
    <row r="2426" spans="1:16" x14ac:dyDescent="0.25">
      <c r="A2426" t="s">
        <v>1229</v>
      </c>
      <c r="B2426">
        <v>108</v>
      </c>
      <c r="C2426" t="s">
        <v>5448</v>
      </c>
      <c r="D2426" t="s">
        <v>458</v>
      </c>
      <c r="E2426" s="13">
        <v>25</v>
      </c>
      <c r="F2426" s="12">
        <v>11.56</v>
      </c>
      <c r="G2426" t="str">
        <f>IFERROR(INDEX(tEditais[Órgão],MATCH(tItens[[#This Row],[Edital]],tEditais[Edital],0)),"")</f>
        <v>MUNICIPIO DE SAO JOAO D'ALIANCA</v>
      </c>
      <c r="H2426" t="str">
        <f>IFERROR(INDEX(tEditais[UF],MATCH(tItens[[#This Row],[Edital]],tEditais[Edital],0)),"")</f>
        <v>GO</v>
      </c>
      <c r="I2426" s="11">
        <f>IFERROR(INDEX(tEditais[Encerramento],MATCH(tItens[[#This Row],[Edital]],tEditais[Edital],0)),"")</f>
        <v>46314.3125</v>
      </c>
      <c r="J2426" t="str">
        <f>IFERROR(INDEX(tProdutos[Classe],MATCH(tItens[[#This Row],[Produto]],tProdutos[Produto],0)),"produto não cadastrado")</f>
        <v>FILA REBASE</v>
      </c>
      <c r="K2426" s="12">
        <f>tItens[[#This Row],[Qtd]]*tItens[[#This Row],[Vlr unit]]</f>
        <v>289</v>
      </c>
      <c r="L2426" s="6">
        <f>IFERROR(IF(INDEX(tProdutos[Desconto homologado],MATCH(tItens[[#This Row],[Produto]],tProdutos[Produto],0))="",DescontoPadrao,INDEX(tProdutos[Desconto homologado],MATCH(tItens[[#This Row],[Produto]],tProdutos[Produto],0))),DescontoPadrao)</f>
        <v>0.33411214953271001</v>
      </c>
      <c r="M2426" s="12">
        <f>tItens[[#This Row],[Valor]]*(1-tItens[[#This Row],[Desconto]])</f>
        <v>192.44158878504683</v>
      </c>
      <c r="N2426" t="str">
        <f>IFERROR(INDEX(tProdutos[Foco],MATCH(tItens[[#This Row],[Produto]],tProdutos[Produto],0)),"Não")</f>
        <v>Não</v>
      </c>
      <c r="O2426" t="str">
        <f>IFERROR(INDEX(tEditais[SRP],MATCH(tItens[[#This Row],[Edital]],tEditais[Edital],0)),"Não")</f>
        <v>Sim</v>
      </c>
      <c r="P2426" s="4">
        <f>IF(COUNTIFS(INDEX(tItens[Edital],1):tItens[[#This Row],[Edital]],tItens[[#This Row],[Edital]],INDEX(tItens[Produto],1):tItens[[#This Row],[Produto]],tItens[[#This Row],[Produto]])=1,1,0)</f>
        <v>1</v>
      </c>
    </row>
    <row r="2427" spans="1:16" x14ac:dyDescent="0.25">
      <c r="A2427" t="s">
        <v>1229</v>
      </c>
      <c r="B2427">
        <v>126</v>
      </c>
      <c r="C2427" t="s">
        <v>5449</v>
      </c>
      <c r="D2427" t="s">
        <v>56</v>
      </c>
      <c r="E2427" s="13">
        <v>20</v>
      </c>
      <c r="F2427" s="12">
        <v>0.27</v>
      </c>
      <c r="G2427" t="str">
        <f>IFERROR(INDEX(tEditais[Órgão],MATCH(tItens[[#This Row],[Edital]],tEditais[Edital],0)),"")</f>
        <v>MUNICIPIO DE SAO JOAO D'ALIANCA</v>
      </c>
      <c r="H2427" t="str">
        <f>IFERROR(INDEX(tEditais[UF],MATCH(tItens[[#This Row],[Edital]],tEditais[Edital],0)),"")</f>
        <v>GO</v>
      </c>
      <c r="I2427" s="11">
        <f>IFERROR(INDEX(tEditais[Encerramento],MATCH(tItens[[#This Row],[Edital]],tEditais[Edital],0)),"")</f>
        <v>46314.3125</v>
      </c>
      <c r="J2427" t="str">
        <f>IFERROR(INDEX(tProdutos[Classe],MATCH(tItens[[#This Row],[Produto]],tProdutos[Produto],0)),"produto não cadastrado")</f>
        <v>NÚCLEO</v>
      </c>
      <c r="K2427" s="12">
        <f>tItens[[#This Row],[Qtd]]*tItens[[#This Row],[Vlr unit]]</f>
        <v>5.4</v>
      </c>
      <c r="L2427" s="6">
        <f>IFERROR(IF(INDEX(tProdutos[Desconto homologado],MATCH(tItens[[#This Row],[Produto]],tProdutos[Produto],0))="",DescontoPadrao,INDEX(tProdutos[Desconto homologado],MATCH(tItens[[#This Row],[Produto]],tProdutos[Produto],0))),DescontoPadrao)</f>
        <v>0.34</v>
      </c>
      <c r="M2427" s="12">
        <f>tItens[[#This Row],[Valor]]*(1-tItens[[#This Row],[Desconto]])</f>
        <v>3.5639999999999996</v>
      </c>
      <c r="N2427" t="str">
        <f>IFERROR(INDEX(tProdutos[Foco],MATCH(tItens[[#This Row],[Produto]],tProdutos[Produto],0)),"Não")</f>
        <v>Sim</v>
      </c>
      <c r="O2427" t="str">
        <f>IFERROR(INDEX(tEditais[SRP],MATCH(tItens[[#This Row],[Edital]],tEditais[Edital],0)),"Não")</f>
        <v>Sim</v>
      </c>
      <c r="P2427" s="4">
        <f>IF(COUNTIFS(INDEX(tItens[Edital],1):tItens[[#This Row],[Edital]],tItens[[#This Row],[Edital]],INDEX(tItens[Produto],1):tItens[[#This Row],[Produto]],tItens[[#This Row],[Produto]])=1,1,0)</f>
        <v>1</v>
      </c>
    </row>
    <row r="2428" spans="1:16" x14ac:dyDescent="0.25">
      <c r="A2428" t="s">
        <v>1229</v>
      </c>
      <c r="B2428">
        <v>128</v>
      </c>
      <c r="C2428" t="s">
        <v>5450</v>
      </c>
      <c r="D2428" t="s">
        <v>343</v>
      </c>
      <c r="E2428" s="13">
        <v>200</v>
      </c>
      <c r="F2428" s="12">
        <v>1.77</v>
      </c>
      <c r="G2428" t="str">
        <f>IFERROR(INDEX(tEditais[Órgão],MATCH(tItens[[#This Row],[Edital]],tEditais[Edital],0)),"")</f>
        <v>MUNICIPIO DE SAO JOAO D'ALIANCA</v>
      </c>
      <c r="H2428" t="str">
        <f>IFERROR(INDEX(tEditais[UF],MATCH(tItens[[#This Row],[Edital]],tEditais[Edital],0)),"")</f>
        <v>GO</v>
      </c>
      <c r="I2428" s="11">
        <f>IFERROR(INDEX(tEditais[Encerramento],MATCH(tItens[[#This Row],[Edital]],tEditais[Edital],0)),"")</f>
        <v>46314.3125</v>
      </c>
      <c r="J2428" t="str">
        <f>IFERROR(INDEX(tProdutos[Classe],MATCH(tItens[[#This Row],[Produto]],tProdutos[Produto],0)),"produto não cadastrado")</f>
        <v>FORA</v>
      </c>
      <c r="K2428" s="12">
        <f>tItens[[#This Row],[Qtd]]*tItens[[#This Row],[Vlr unit]]</f>
        <v>354</v>
      </c>
      <c r="L2428" s="6">
        <f>IFERROR(IF(INDEX(tProdutos[Desconto homologado],MATCH(tItens[[#This Row],[Produto]],tProdutos[Produto],0))="",DescontoPadrao,INDEX(tProdutos[Desconto homologado],MATCH(tItens[[#This Row],[Produto]],tProdutos[Produto],0))),DescontoPadrao)</f>
        <v>0.35412234042553198</v>
      </c>
      <c r="M2428" s="12">
        <f>tItens[[#This Row],[Valor]]*(1-tItens[[#This Row],[Desconto]])</f>
        <v>228.64069148936167</v>
      </c>
      <c r="N2428" t="str">
        <f>IFERROR(INDEX(tProdutos[Foco],MATCH(tItens[[#This Row],[Produto]],tProdutos[Produto],0)),"Não")</f>
        <v>Não</v>
      </c>
      <c r="O2428" t="str">
        <f>IFERROR(INDEX(tEditais[SRP],MATCH(tItens[[#This Row],[Edital]],tEditais[Edital],0)),"Não")</f>
        <v>Sim</v>
      </c>
      <c r="P2428" s="4">
        <f>IF(COUNTIFS(INDEX(tItens[Edital],1):tItens[[#This Row],[Edital]],tItens[[#This Row],[Edital]],INDEX(tItens[Produto],1):tItens[[#This Row],[Produto]],tItens[[#This Row],[Produto]])=1,1,0)</f>
        <v>1</v>
      </c>
    </row>
    <row r="2429" spans="1:16" x14ac:dyDescent="0.25">
      <c r="A2429" t="s">
        <v>1229</v>
      </c>
      <c r="B2429">
        <v>129</v>
      </c>
      <c r="C2429" t="s">
        <v>5451</v>
      </c>
      <c r="D2429" t="s">
        <v>343</v>
      </c>
      <c r="E2429" s="13">
        <v>200</v>
      </c>
      <c r="F2429" s="12">
        <v>1.47</v>
      </c>
      <c r="G2429" t="str">
        <f>IFERROR(INDEX(tEditais[Órgão],MATCH(tItens[[#This Row],[Edital]],tEditais[Edital],0)),"")</f>
        <v>MUNICIPIO DE SAO JOAO D'ALIANCA</v>
      </c>
      <c r="H2429" t="str">
        <f>IFERROR(INDEX(tEditais[UF],MATCH(tItens[[#This Row],[Edital]],tEditais[Edital],0)),"")</f>
        <v>GO</v>
      </c>
      <c r="I2429" s="11">
        <f>IFERROR(INDEX(tEditais[Encerramento],MATCH(tItens[[#This Row],[Edital]],tEditais[Edital],0)),"")</f>
        <v>46314.3125</v>
      </c>
      <c r="J2429" t="str">
        <f>IFERROR(INDEX(tProdutos[Classe],MATCH(tItens[[#This Row],[Produto]],tProdutos[Produto],0)),"produto não cadastrado")</f>
        <v>FORA</v>
      </c>
      <c r="K2429" s="12">
        <f>tItens[[#This Row],[Qtd]]*tItens[[#This Row],[Vlr unit]]</f>
        <v>294</v>
      </c>
      <c r="L2429" s="6">
        <f>IFERROR(IF(INDEX(tProdutos[Desconto homologado],MATCH(tItens[[#This Row],[Produto]],tProdutos[Produto],0))="",DescontoPadrao,INDEX(tProdutos[Desconto homologado],MATCH(tItens[[#This Row],[Produto]],tProdutos[Produto],0))),DescontoPadrao)</f>
        <v>0.35412234042553198</v>
      </c>
      <c r="M2429" s="12">
        <f>tItens[[#This Row],[Valor]]*(1-tItens[[#This Row],[Desconto]])</f>
        <v>189.88803191489359</v>
      </c>
      <c r="N2429" t="str">
        <f>IFERROR(INDEX(tProdutos[Foco],MATCH(tItens[[#This Row],[Produto]],tProdutos[Produto],0)),"Não")</f>
        <v>Não</v>
      </c>
      <c r="O2429" t="str">
        <f>IFERROR(INDEX(tEditais[SRP],MATCH(tItens[[#This Row],[Edital]],tEditais[Edital],0)),"Não")</f>
        <v>Sim</v>
      </c>
      <c r="P2429" s="4">
        <f>IF(COUNTIFS(INDEX(tItens[Edital],1):tItens[[#This Row],[Edital]],tItens[[#This Row],[Edital]],INDEX(tItens[Produto],1):tItens[[#This Row],[Produto]],tItens[[#This Row],[Produto]])=1,1,0)</f>
        <v>0</v>
      </c>
    </row>
    <row r="2430" spans="1:16" x14ac:dyDescent="0.25">
      <c r="A2430" t="s">
        <v>1229</v>
      </c>
      <c r="B2430">
        <v>130</v>
      </c>
      <c r="C2430" t="s">
        <v>5452</v>
      </c>
      <c r="D2430" t="s">
        <v>343</v>
      </c>
      <c r="E2430" s="13">
        <v>200</v>
      </c>
      <c r="F2430" s="12">
        <v>1.24</v>
      </c>
      <c r="G2430" t="str">
        <f>IFERROR(INDEX(tEditais[Órgão],MATCH(tItens[[#This Row],[Edital]],tEditais[Edital],0)),"")</f>
        <v>MUNICIPIO DE SAO JOAO D'ALIANCA</v>
      </c>
      <c r="H2430" t="str">
        <f>IFERROR(INDEX(tEditais[UF],MATCH(tItens[[#This Row],[Edital]],tEditais[Edital],0)),"")</f>
        <v>GO</v>
      </c>
      <c r="I2430" s="11">
        <f>IFERROR(INDEX(tEditais[Encerramento],MATCH(tItens[[#This Row],[Edital]],tEditais[Edital],0)),"")</f>
        <v>46314.3125</v>
      </c>
      <c r="J2430" t="str">
        <f>IFERROR(INDEX(tProdutos[Classe],MATCH(tItens[[#This Row],[Produto]],tProdutos[Produto],0)),"produto não cadastrado")</f>
        <v>FORA</v>
      </c>
      <c r="K2430" s="12">
        <f>tItens[[#This Row],[Qtd]]*tItens[[#This Row],[Vlr unit]]</f>
        <v>248</v>
      </c>
      <c r="L2430" s="6">
        <f>IFERROR(IF(INDEX(tProdutos[Desconto homologado],MATCH(tItens[[#This Row],[Produto]],tProdutos[Produto],0))="",DescontoPadrao,INDEX(tProdutos[Desconto homologado],MATCH(tItens[[#This Row],[Produto]],tProdutos[Produto],0))),DescontoPadrao)</f>
        <v>0.35412234042553198</v>
      </c>
      <c r="M2430" s="12">
        <f>tItens[[#This Row],[Valor]]*(1-tItens[[#This Row],[Desconto]])</f>
        <v>160.17765957446807</v>
      </c>
      <c r="N2430" t="str">
        <f>IFERROR(INDEX(tProdutos[Foco],MATCH(tItens[[#This Row],[Produto]],tProdutos[Produto],0)),"Não")</f>
        <v>Não</v>
      </c>
      <c r="O2430" t="str">
        <f>IFERROR(INDEX(tEditais[SRP],MATCH(tItens[[#This Row],[Edital]],tEditais[Edital],0)),"Não")</f>
        <v>Sim</v>
      </c>
      <c r="P2430" s="4">
        <f>IF(COUNTIFS(INDEX(tItens[Edital],1):tItens[[#This Row],[Edital]],tItens[[#This Row],[Edital]],INDEX(tItens[Produto],1):tItens[[#This Row],[Produto]],tItens[[#This Row],[Produto]])=1,1,0)</f>
        <v>0</v>
      </c>
    </row>
    <row r="2431" spans="1:16" x14ac:dyDescent="0.25">
      <c r="A2431" t="s">
        <v>1229</v>
      </c>
      <c r="B2431">
        <v>183</v>
      </c>
      <c r="C2431" t="s">
        <v>5453</v>
      </c>
      <c r="D2431" t="s">
        <v>114</v>
      </c>
      <c r="E2431" s="13">
        <v>100</v>
      </c>
      <c r="F2431" s="12">
        <v>11.84</v>
      </c>
      <c r="G2431" t="str">
        <f>IFERROR(INDEX(tEditais[Órgão],MATCH(tItens[[#This Row],[Edital]],tEditais[Edital],0)),"")</f>
        <v>MUNICIPIO DE SAO JOAO D'ALIANCA</v>
      </c>
      <c r="H2431" t="str">
        <f>IFERROR(INDEX(tEditais[UF],MATCH(tItens[[#This Row],[Edital]],tEditais[Edital],0)),"")</f>
        <v>GO</v>
      </c>
      <c r="I2431" s="11">
        <f>IFERROR(INDEX(tEditais[Encerramento],MATCH(tItens[[#This Row],[Edital]],tEditais[Edital],0)),"")</f>
        <v>46314.3125</v>
      </c>
      <c r="J2431" t="str">
        <f>IFERROR(INDEX(tProdutos[Classe],MATCH(tItens[[#This Row],[Produto]],tProdutos[Produto],0)),"produto não cadastrado")</f>
        <v>DISPUTADO</v>
      </c>
      <c r="K2431" s="12">
        <f>tItens[[#This Row],[Qtd]]*tItens[[#This Row],[Vlr unit]]</f>
        <v>1184</v>
      </c>
      <c r="L2431" s="6">
        <f>IFERROR(IF(INDEX(tProdutos[Desconto homologado],MATCH(tItens[[#This Row],[Produto]],tProdutos[Produto],0))="",DescontoPadrao,INDEX(tProdutos[Desconto homologado],MATCH(tItens[[#This Row],[Produto]],tProdutos[Produto],0))),DescontoPadrao)</f>
        <v>0.24332656063896899</v>
      </c>
      <c r="M2431" s="12">
        <f>tItens[[#This Row],[Valor]]*(1-tItens[[#This Row],[Desconto]])</f>
        <v>895.90135220346076</v>
      </c>
      <c r="N2431" t="str">
        <f>IFERROR(INDEX(tProdutos[Foco],MATCH(tItens[[#This Row],[Produto]],tProdutos[Produto],0)),"Não")</f>
        <v>Não</v>
      </c>
      <c r="O2431" t="str">
        <f>IFERROR(INDEX(tEditais[SRP],MATCH(tItens[[#This Row],[Edital]],tEditais[Edital],0)),"Não")</f>
        <v>Sim</v>
      </c>
      <c r="P2431" s="4">
        <f>IF(COUNTIFS(INDEX(tItens[Edital],1):tItens[[#This Row],[Edital]],tItens[[#This Row],[Edital]],INDEX(tItens[Produto],1):tItens[[#This Row],[Produto]],tItens[[#This Row],[Produto]])=1,1,0)</f>
        <v>1</v>
      </c>
    </row>
    <row r="2432" spans="1:16" x14ac:dyDescent="0.25">
      <c r="A2432" t="s">
        <v>1232</v>
      </c>
      <c r="B2432">
        <v>1</v>
      </c>
      <c r="C2432" t="s">
        <v>5454</v>
      </c>
      <c r="D2432" t="s">
        <v>319</v>
      </c>
      <c r="E2432" s="13">
        <v>100</v>
      </c>
      <c r="F2432" s="12">
        <v>0</v>
      </c>
      <c r="G2432" t="str">
        <f>IFERROR(INDEX(tEditais[Órgão],MATCH(tItens[[#This Row],[Edital]],tEditais[Edital],0)),"")</f>
        <v>EMPRESA BRASILEIRA DE SERVICOS HOSPITALARES - EBSERH</v>
      </c>
      <c r="H2432" t="str">
        <f>IFERROR(INDEX(tEditais[UF],MATCH(tItens[[#This Row],[Edital]],tEditais[Edital],0)),"")</f>
        <v>MA</v>
      </c>
      <c r="I2432" s="11">
        <f>IFERROR(INDEX(tEditais[Encerramento],MATCH(tItens[[#This Row],[Edital]],tEditais[Edital],0)),"")</f>
        <v>46304.395833333336</v>
      </c>
      <c r="J2432" t="str">
        <f>IFERROR(INDEX(tProdutos[Classe],MATCH(tItens[[#This Row],[Produto]],tProdutos[Produto],0)),"produto não cadastrado")</f>
        <v>FORA</v>
      </c>
      <c r="K2432" s="12">
        <f>tItens[[#This Row],[Qtd]]*tItens[[#This Row],[Vlr unit]]</f>
        <v>0</v>
      </c>
      <c r="L2432" s="6">
        <f>IFERROR(IF(INDEX(tProdutos[Desconto homologado],MATCH(tItens[[#This Row],[Produto]],tProdutos[Produto],0))="",DescontoPadrao,INDEX(tProdutos[Desconto homologado],MATCH(tItens[[#This Row],[Produto]],tProdutos[Produto],0))),DescontoPadrao)</f>
        <v>0.210006500066517</v>
      </c>
      <c r="M2432" s="12">
        <f>tItens[[#This Row],[Valor]]*(1-tItens[[#This Row],[Desconto]])</f>
        <v>0</v>
      </c>
      <c r="N2432" t="str">
        <f>IFERROR(INDEX(tProdutos[Foco],MATCH(tItens[[#This Row],[Produto]],tProdutos[Produto],0)),"Não")</f>
        <v>Não</v>
      </c>
      <c r="O2432" t="str">
        <f>IFERROR(INDEX(tEditais[SRP],MATCH(tItens[[#This Row],[Edital]],tEditais[Edital],0)),"Não")</f>
        <v>Não</v>
      </c>
      <c r="P2432" s="4">
        <f>IF(COUNTIFS(INDEX(tItens[Edital],1):tItens[[#This Row],[Edital]],tItens[[#This Row],[Edital]],INDEX(tItens[Produto],1):tItens[[#This Row],[Produto]],tItens[[#This Row],[Produto]])=1,1,0)</f>
        <v>1</v>
      </c>
    </row>
    <row r="2433" spans="1:16" x14ac:dyDescent="0.25">
      <c r="A2433" t="s">
        <v>1232</v>
      </c>
      <c r="B2433">
        <v>74</v>
      </c>
      <c r="C2433" t="s">
        <v>5455</v>
      </c>
      <c r="D2433" t="s">
        <v>195</v>
      </c>
      <c r="E2433" s="13">
        <v>2000</v>
      </c>
      <c r="F2433" s="12">
        <v>0</v>
      </c>
      <c r="G2433" t="str">
        <f>IFERROR(INDEX(tEditais[Órgão],MATCH(tItens[[#This Row],[Edital]],tEditais[Edital],0)),"")</f>
        <v>EMPRESA BRASILEIRA DE SERVICOS HOSPITALARES - EBSERH</v>
      </c>
      <c r="H2433" t="str">
        <f>IFERROR(INDEX(tEditais[UF],MATCH(tItens[[#This Row],[Edital]],tEditais[Edital],0)),"")</f>
        <v>MA</v>
      </c>
      <c r="I2433" s="11">
        <f>IFERROR(INDEX(tEditais[Encerramento],MATCH(tItens[[#This Row],[Edital]],tEditais[Edital],0)),"")</f>
        <v>46304.395833333336</v>
      </c>
      <c r="J2433" t="str">
        <f>IFERROR(INDEX(tProdutos[Classe],MATCH(tItens[[#This Row],[Produto]],tProdutos[Produto],0)),"produto não cadastrado")</f>
        <v>FORA</v>
      </c>
      <c r="K2433" s="12">
        <f>tItens[[#This Row],[Qtd]]*tItens[[#This Row],[Vlr unit]]</f>
        <v>0</v>
      </c>
      <c r="L2433" s="6">
        <f>IFERROR(IF(INDEX(tProdutos[Desconto homologado],MATCH(tItens[[#This Row],[Produto]],tProdutos[Produto],0))="",DescontoPadrao,INDEX(tProdutos[Desconto homologado],MATCH(tItens[[#This Row],[Produto]],tProdutos[Produto],0))),DescontoPadrao)</f>
        <v>0.27813657840171302</v>
      </c>
      <c r="M2433" s="12">
        <f>tItens[[#This Row],[Valor]]*(1-tItens[[#This Row],[Desconto]])</f>
        <v>0</v>
      </c>
      <c r="N2433" t="str">
        <f>IFERROR(INDEX(tProdutos[Foco],MATCH(tItens[[#This Row],[Produto]],tProdutos[Produto],0)),"Não")</f>
        <v>Não</v>
      </c>
      <c r="O2433" t="str">
        <f>IFERROR(INDEX(tEditais[SRP],MATCH(tItens[[#This Row],[Edital]],tEditais[Edital],0)),"Não")</f>
        <v>Não</v>
      </c>
      <c r="P2433" s="4">
        <f>IF(COUNTIFS(INDEX(tItens[Edital],1):tItens[[#This Row],[Edital]],tItens[[#This Row],[Edital]],INDEX(tItens[Produto],1):tItens[[#This Row],[Produto]],tItens[[#This Row],[Produto]])=1,1,0)</f>
        <v>1</v>
      </c>
    </row>
    <row r="2434" spans="1:16" x14ac:dyDescent="0.25">
      <c r="A2434" t="s">
        <v>1237</v>
      </c>
      <c r="B2434">
        <v>39</v>
      </c>
      <c r="C2434" t="s">
        <v>5456</v>
      </c>
      <c r="D2434" t="s">
        <v>409</v>
      </c>
      <c r="E2434" s="13">
        <v>500</v>
      </c>
      <c r="F2434" s="12">
        <v>33.549999999999997</v>
      </c>
      <c r="G2434" t="str">
        <f>IFERROR(INDEX(tEditais[Órgão],MATCH(tItens[[#This Row],[Edital]],tEditais[Edital],0)),"")</f>
        <v>MUNICIPIO DE ZE DOCA</v>
      </c>
      <c r="H2434" t="str">
        <f>IFERROR(INDEX(tEditais[UF],MATCH(tItens[[#This Row],[Edital]],tEditais[Edital],0)),"")</f>
        <v>MA</v>
      </c>
      <c r="I2434" s="11">
        <f>IFERROR(INDEX(tEditais[Encerramento],MATCH(tItens[[#This Row],[Edital]],tEditais[Edital],0)),"")</f>
        <v>46308.354166666664</v>
      </c>
      <c r="J2434" t="str">
        <f>IFERROR(INDEX(tProdutos[Classe],MATCH(tItens[[#This Row],[Produto]],tProdutos[Produto],0)),"produto não cadastrado")</f>
        <v>FORA</v>
      </c>
      <c r="K2434" s="12">
        <f>tItens[[#This Row],[Qtd]]*tItens[[#This Row],[Vlr unit]]</f>
        <v>16775</v>
      </c>
      <c r="L2434" s="6">
        <f>IFERROR(IF(INDEX(tProdutos[Desconto homologado],MATCH(tItens[[#This Row],[Produto]],tProdutos[Produto],0))="",DescontoPadrao,INDEX(tProdutos[Desconto homologado],MATCH(tItens[[#This Row],[Produto]],tProdutos[Produto],0))),DescontoPadrao)</f>
        <v>0.24924924924924899</v>
      </c>
      <c r="M2434" s="12">
        <f>tItens[[#This Row],[Valor]]*(1-tItens[[#This Row],[Desconto]])</f>
        <v>12593.843843843848</v>
      </c>
      <c r="N2434" t="str">
        <f>IFERROR(INDEX(tProdutos[Foco],MATCH(tItens[[#This Row],[Produto]],tProdutos[Produto],0)),"Não")</f>
        <v>Não</v>
      </c>
      <c r="O2434" t="str">
        <f>IFERROR(INDEX(tEditais[SRP],MATCH(tItens[[#This Row],[Edital]],tEditais[Edital],0)),"Não")</f>
        <v>Não</v>
      </c>
      <c r="P2434" s="4">
        <f>IF(COUNTIFS(INDEX(tItens[Edital],1):tItens[[#This Row],[Edital]],tItens[[#This Row],[Edital]],INDEX(tItens[Produto],1):tItens[[#This Row],[Produto]],tItens[[#This Row],[Produto]])=1,1,0)</f>
        <v>1</v>
      </c>
    </row>
    <row r="2435" spans="1:16" x14ac:dyDescent="0.25">
      <c r="A2435" t="s">
        <v>1237</v>
      </c>
      <c r="B2435">
        <v>40</v>
      </c>
      <c r="C2435" t="s">
        <v>5457</v>
      </c>
      <c r="D2435" t="s">
        <v>409</v>
      </c>
      <c r="E2435" s="13">
        <v>500</v>
      </c>
      <c r="F2435" s="12">
        <v>33.549999999999997</v>
      </c>
      <c r="G2435" t="str">
        <f>IFERROR(INDEX(tEditais[Órgão],MATCH(tItens[[#This Row],[Edital]],tEditais[Edital],0)),"")</f>
        <v>MUNICIPIO DE ZE DOCA</v>
      </c>
      <c r="H2435" t="str">
        <f>IFERROR(INDEX(tEditais[UF],MATCH(tItens[[#This Row],[Edital]],tEditais[Edital],0)),"")</f>
        <v>MA</v>
      </c>
      <c r="I2435" s="11">
        <f>IFERROR(INDEX(tEditais[Encerramento],MATCH(tItens[[#This Row],[Edital]],tEditais[Edital],0)),"")</f>
        <v>46308.354166666664</v>
      </c>
      <c r="J2435" t="str">
        <f>IFERROR(INDEX(tProdutos[Classe],MATCH(tItens[[#This Row],[Produto]],tProdutos[Produto],0)),"produto não cadastrado")</f>
        <v>FORA</v>
      </c>
      <c r="K2435" s="12">
        <f>tItens[[#This Row],[Qtd]]*tItens[[#This Row],[Vlr unit]]</f>
        <v>16775</v>
      </c>
      <c r="L2435" s="6">
        <f>IFERROR(IF(INDEX(tProdutos[Desconto homologado],MATCH(tItens[[#This Row],[Produto]],tProdutos[Produto],0))="",DescontoPadrao,INDEX(tProdutos[Desconto homologado],MATCH(tItens[[#This Row],[Produto]],tProdutos[Produto],0))),DescontoPadrao)</f>
        <v>0.24924924924924899</v>
      </c>
      <c r="M2435" s="12">
        <f>tItens[[#This Row],[Valor]]*(1-tItens[[#This Row],[Desconto]])</f>
        <v>12593.843843843848</v>
      </c>
      <c r="N2435" t="str">
        <f>IFERROR(INDEX(tProdutos[Foco],MATCH(tItens[[#This Row],[Produto]],tProdutos[Produto],0)),"Não")</f>
        <v>Não</v>
      </c>
      <c r="O2435" t="str">
        <f>IFERROR(INDEX(tEditais[SRP],MATCH(tItens[[#This Row],[Edital]],tEditais[Edital],0)),"Não")</f>
        <v>Não</v>
      </c>
      <c r="P2435" s="4">
        <f>IF(COUNTIFS(INDEX(tItens[Edital],1):tItens[[#This Row],[Edital]],tItens[[#This Row],[Edital]],INDEX(tItens[Produto],1):tItens[[#This Row],[Produto]],tItens[[#This Row],[Produto]])=1,1,0)</f>
        <v>0</v>
      </c>
    </row>
    <row r="2436" spans="1:16" x14ac:dyDescent="0.25">
      <c r="A2436" t="s">
        <v>1237</v>
      </c>
      <c r="B2436">
        <v>41</v>
      </c>
      <c r="C2436" t="s">
        <v>5458</v>
      </c>
      <c r="D2436" t="s">
        <v>160</v>
      </c>
      <c r="E2436" s="13">
        <v>500</v>
      </c>
      <c r="F2436" s="12">
        <v>37.770000000000003</v>
      </c>
      <c r="G2436" t="str">
        <f>IFERROR(INDEX(tEditais[Órgão],MATCH(tItens[[#This Row],[Edital]],tEditais[Edital],0)),"")</f>
        <v>MUNICIPIO DE ZE DOCA</v>
      </c>
      <c r="H2436" t="str">
        <f>IFERROR(INDEX(tEditais[UF],MATCH(tItens[[#This Row],[Edital]],tEditais[Edital],0)),"")</f>
        <v>MA</v>
      </c>
      <c r="I2436" s="11">
        <f>IFERROR(INDEX(tEditais[Encerramento],MATCH(tItens[[#This Row],[Edital]],tEditais[Edital],0)),"")</f>
        <v>46308.354166666664</v>
      </c>
      <c r="J2436" t="str">
        <f>IFERROR(INDEX(tProdutos[Classe],MATCH(tItens[[#This Row],[Produto]],tProdutos[Produto],0)),"produto não cadastrado")</f>
        <v>DISPUTADO</v>
      </c>
      <c r="K2436" s="12">
        <f>tItens[[#This Row],[Qtd]]*tItens[[#This Row],[Vlr unit]]</f>
        <v>18885</v>
      </c>
      <c r="L2436" s="6">
        <f>IFERROR(IF(INDEX(tProdutos[Desconto homologado],MATCH(tItens[[#This Row],[Produto]],tProdutos[Produto],0))="",DescontoPadrao,INDEX(tProdutos[Desconto homologado],MATCH(tItens[[#This Row],[Produto]],tProdutos[Produto],0))),DescontoPadrao)</f>
        <v>0.28000000000000003</v>
      </c>
      <c r="M2436" s="12">
        <f>tItens[[#This Row],[Valor]]*(1-tItens[[#This Row],[Desconto]])</f>
        <v>13597.199999999999</v>
      </c>
      <c r="N2436" t="str">
        <f>IFERROR(INDEX(tProdutos[Foco],MATCH(tItens[[#This Row],[Produto]],tProdutos[Produto],0)),"Não")</f>
        <v>Sim</v>
      </c>
      <c r="O2436" t="str">
        <f>IFERROR(INDEX(tEditais[SRP],MATCH(tItens[[#This Row],[Edital]],tEditais[Edital],0)),"Não")</f>
        <v>Não</v>
      </c>
      <c r="P2436" s="4">
        <f>IF(COUNTIFS(INDEX(tItens[Edital],1):tItens[[#This Row],[Edital]],tItens[[#This Row],[Edital]],INDEX(tItens[Produto],1):tItens[[#This Row],[Produto]],tItens[[#This Row],[Produto]])=1,1,0)</f>
        <v>1</v>
      </c>
    </row>
    <row r="2437" spans="1:16" x14ac:dyDescent="0.25">
      <c r="A2437" t="s">
        <v>1237</v>
      </c>
      <c r="B2437">
        <v>42</v>
      </c>
      <c r="C2437" t="s">
        <v>5459</v>
      </c>
      <c r="D2437" t="s">
        <v>160</v>
      </c>
      <c r="E2437" s="13">
        <v>500</v>
      </c>
      <c r="F2437" s="12">
        <v>74.400000000000006</v>
      </c>
      <c r="G2437" t="str">
        <f>IFERROR(INDEX(tEditais[Órgão],MATCH(tItens[[#This Row],[Edital]],tEditais[Edital],0)),"")</f>
        <v>MUNICIPIO DE ZE DOCA</v>
      </c>
      <c r="H2437" t="str">
        <f>IFERROR(INDEX(tEditais[UF],MATCH(tItens[[#This Row],[Edital]],tEditais[Edital],0)),"")</f>
        <v>MA</v>
      </c>
      <c r="I2437" s="11">
        <f>IFERROR(INDEX(tEditais[Encerramento],MATCH(tItens[[#This Row],[Edital]],tEditais[Edital],0)),"")</f>
        <v>46308.354166666664</v>
      </c>
      <c r="J2437" t="str">
        <f>IFERROR(INDEX(tProdutos[Classe],MATCH(tItens[[#This Row],[Produto]],tProdutos[Produto],0)),"produto não cadastrado")</f>
        <v>DISPUTADO</v>
      </c>
      <c r="K2437" s="12">
        <f>tItens[[#This Row],[Qtd]]*tItens[[#This Row],[Vlr unit]]</f>
        <v>37200</v>
      </c>
      <c r="L2437" s="6">
        <f>IFERROR(IF(INDEX(tProdutos[Desconto homologado],MATCH(tItens[[#This Row],[Produto]],tProdutos[Produto],0))="",DescontoPadrao,INDEX(tProdutos[Desconto homologado],MATCH(tItens[[#This Row],[Produto]],tProdutos[Produto],0))),DescontoPadrao)</f>
        <v>0.28000000000000003</v>
      </c>
      <c r="M2437" s="12">
        <f>tItens[[#This Row],[Valor]]*(1-tItens[[#This Row],[Desconto]])</f>
        <v>26784</v>
      </c>
      <c r="N2437" t="str">
        <f>IFERROR(INDEX(tProdutos[Foco],MATCH(tItens[[#This Row],[Produto]],tProdutos[Produto],0)),"Não")</f>
        <v>Sim</v>
      </c>
      <c r="O2437" t="str">
        <f>IFERROR(INDEX(tEditais[SRP],MATCH(tItens[[#This Row],[Edital]],tEditais[Edital],0)),"Não")</f>
        <v>Não</v>
      </c>
      <c r="P2437" s="4">
        <f>IF(COUNTIFS(INDEX(tItens[Edital],1):tItens[[#This Row],[Edital]],tItens[[#This Row],[Edital]],INDEX(tItens[Produto],1):tItens[[#This Row],[Produto]],tItens[[#This Row],[Produto]])=1,1,0)</f>
        <v>0</v>
      </c>
    </row>
    <row r="2438" spans="1:16" x14ac:dyDescent="0.25">
      <c r="A2438" t="s">
        <v>1237</v>
      </c>
      <c r="B2438">
        <v>43</v>
      </c>
      <c r="C2438" t="s">
        <v>5460</v>
      </c>
      <c r="D2438" t="s">
        <v>160</v>
      </c>
      <c r="E2438" s="13">
        <v>500</v>
      </c>
      <c r="F2438" s="12">
        <v>129.91</v>
      </c>
      <c r="G2438" t="str">
        <f>IFERROR(INDEX(tEditais[Órgão],MATCH(tItens[[#This Row],[Edital]],tEditais[Edital],0)),"")</f>
        <v>MUNICIPIO DE ZE DOCA</v>
      </c>
      <c r="H2438" t="str">
        <f>IFERROR(INDEX(tEditais[UF],MATCH(tItens[[#This Row],[Edital]],tEditais[Edital],0)),"")</f>
        <v>MA</v>
      </c>
      <c r="I2438" s="11">
        <f>IFERROR(INDEX(tEditais[Encerramento],MATCH(tItens[[#This Row],[Edital]],tEditais[Edital],0)),"")</f>
        <v>46308.354166666664</v>
      </c>
      <c r="J2438" t="str">
        <f>IFERROR(INDEX(tProdutos[Classe],MATCH(tItens[[#This Row],[Produto]],tProdutos[Produto],0)),"produto não cadastrado")</f>
        <v>DISPUTADO</v>
      </c>
      <c r="K2438" s="12">
        <f>tItens[[#This Row],[Qtd]]*tItens[[#This Row],[Vlr unit]]</f>
        <v>64955</v>
      </c>
      <c r="L2438" s="6">
        <f>IFERROR(IF(INDEX(tProdutos[Desconto homologado],MATCH(tItens[[#This Row],[Produto]],tProdutos[Produto],0))="",DescontoPadrao,INDEX(tProdutos[Desconto homologado],MATCH(tItens[[#This Row],[Produto]],tProdutos[Produto],0))),DescontoPadrao)</f>
        <v>0.28000000000000003</v>
      </c>
      <c r="M2438" s="12">
        <f>tItens[[#This Row],[Valor]]*(1-tItens[[#This Row],[Desconto]])</f>
        <v>46767.6</v>
      </c>
      <c r="N2438" t="str">
        <f>IFERROR(INDEX(tProdutos[Foco],MATCH(tItens[[#This Row],[Produto]],tProdutos[Produto],0)),"Não")</f>
        <v>Sim</v>
      </c>
      <c r="O2438" t="str">
        <f>IFERROR(INDEX(tEditais[SRP],MATCH(tItens[[#This Row],[Edital]],tEditais[Edital],0)),"Não")</f>
        <v>Não</v>
      </c>
      <c r="P2438" s="4">
        <f>IF(COUNTIFS(INDEX(tItens[Edital],1):tItens[[#This Row],[Edital]],tItens[[#This Row],[Edital]],INDEX(tItens[Produto],1):tItens[[#This Row],[Produto]],tItens[[#This Row],[Produto]])=1,1,0)</f>
        <v>0</v>
      </c>
    </row>
    <row r="2439" spans="1:16" x14ac:dyDescent="0.25">
      <c r="A2439" t="s">
        <v>1237</v>
      </c>
      <c r="B2439">
        <v>56</v>
      </c>
      <c r="C2439" t="s">
        <v>5461</v>
      </c>
      <c r="D2439" t="s">
        <v>267</v>
      </c>
      <c r="E2439" s="13">
        <v>500</v>
      </c>
      <c r="F2439" s="12">
        <v>63.05</v>
      </c>
      <c r="G2439" t="str">
        <f>IFERROR(INDEX(tEditais[Órgão],MATCH(tItens[[#This Row],[Edital]],tEditais[Edital],0)),"")</f>
        <v>MUNICIPIO DE ZE DOCA</v>
      </c>
      <c r="H2439" t="str">
        <f>IFERROR(INDEX(tEditais[UF],MATCH(tItens[[#This Row],[Edital]],tEditais[Edital],0)),"")</f>
        <v>MA</v>
      </c>
      <c r="I2439" s="11">
        <f>IFERROR(INDEX(tEditais[Encerramento],MATCH(tItens[[#This Row],[Edital]],tEditais[Edital],0)),"")</f>
        <v>46308.354166666664</v>
      </c>
      <c r="J2439" t="str">
        <f>IFERROR(INDEX(tProdutos[Classe],MATCH(tItens[[#This Row],[Produto]],tProdutos[Produto],0)),"produto não cadastrado")</f>
        <v>FORA</v>
      </c>
      <c r="K2439" s="12">
        <f>tItens[[#This Row],[Qtd]]*tItens[[#This Row],[Vlr unit]]</f>
        <v>31525</v>
      </c>
      <c r="L2439" s="6">
        <f>IFERROR(IF(INDEX(tProdutos[Desconto homologado],MATCH(tItens[[#This Row],[Produto]],tProdutos[Produto],0))="",DescontoPadrao,INDEX(tProdutos[Desconto homologado],MATCH(tItens[[#This Row],[Produto]],tProdutos[Produto],0))),DescontoPadrao)</f>
        <v>0.19963672657401599</v>
      </c>
      <c r="M2439" s="12">
        <f>tItens[[#This Row],[Valor]]*(1-tItens[[#This Row],[Desconto]])</f>
        <v>25231.452194754147</v>
      </c>
      <c r="N2439" t="str">
        <f>IFERROR(INDEX(tProdutos[Foco],MATCH(tItens[[#This Row],[Produto]],tProdutos[Produto],0)),"Não")</f>
        <v>Não</v>
      </c>
      <c r="O2439" t="str">
        <f>IFERROR(INDEX(tEditais[SRP],MATCH(tItens[[#This Row],[Edital]],tEditais[Edital],0)),"Não")</f>
        <v>Não</v>
      </c>
      <c r="P2439" s="4">
        <f>IF(COUNTIFS(INDEX(tItens[Edital],1):tItens[[#This Row],[Edital]],tItens[[#This Row],[Edital]],INDEX(tItens[Produto],1):tItens[[#This Row],[Produto]],tItens[[#This Row],[Produto]])=1,1,0)</f>
        <v>1</v>
      </c>
    </row>
    <row r="2440" spans="1:16" x14ac:dyDescent="0.25">
      <c r="A2440" t="s">
        <v>1237</v>
      </c>
      <c r="B2440">
        <v>57</v>
      </c>
      <c r="C2440" t="s">
        <v>5462</v>
      </c>
      <c r="D2440" t="s">
        <v>267</v>
      </c>
      <c r="E2440" s="13">
        <v>500</v>
      </c>
      <c r="F2440" s="12">
        <v>63.05</v>
      </c>
      <c r="G2440" t="str">
        <f>IFERROR(INDEX(tEditais[Órgão],MATCH(tItens[[#This Row],[Edital]],tEditais[Edital],0)),"")</f>
        <v>MUNICIPIO DE ZE DOCA</v>
      </c>
      <c r="H2440" t="str">
        <f>IFERROR(INDEX(tEditais[UF],MATCH(tItens[[#This Row],[Edital]],tEditais[Edital],0)),"")</f>
        <v>MA</v>
      </c>
      <c r="I2440" s="11">
        <f>IFERROR(INDEX(tEditais[Encerramento],MATCH(tItens[[#This Row],[Edital]],tEditais[Edital],0)),"")</f>
        <v>46308.354166666664</v>
      </c>
      <c r="J2440" t="str">
        <f>IFERROR(INDEX(tProdutos[Classe],MATCH(tItens[[#This Row],[Produto]],tProdutos[Produto],0)),"produto não cadastrado")</f>
        <v>FORA</v>
      </c>
      <c r="K2440" s="12">
        <f>tItens[[#This Row],[Qtd]]*tItens[[#This Row],[Vlr unit]]</f>
        <v>31525</v>
      </c>
      <c r="L2440" s="6">
        <f>IFERROR(IF(INDEX(tProdutos[Desconto homologado],MATCH(tItens[[#This Row],[Produto]],tProdutos[Produto],0))="",DescontoPadrao,INDEX(tProdutos[Desconto homologado],MATCH(tItens[[#This Row],[Produto]],tProdutos[Produto],0))),DescontoPadrao)</f>
        <v>0.19963672657401599</v>
      </c>
      <c r="M2440" s="12">
        <f>tItens[[#This Row],[Valor]]*(1-tItens[[#This Row],[Desconto]])</f>
        <v>25231.452194754147</v>
      </c>
      <c r="N2440" t="str">
        <f>IFERROR(INDEX(tProdutos[Foco],MATCH(tItens[[#This Row],[Produto]],tProdutos[Produto],0)),"Não")</f>
        <v>Não</v>
      </c>
      <c r="O2440" t="str">
        <f>IFERROR(INDEX(tEditais[SRP],MATCH(tItens[[#This Row],[Edital]],tEditais[Edital],0)),"Não")</f>
        <v>Não</v>
      </c>
      <c r="P2440" s="4">
        <f>IF(COUNTIFS(INDEX(tItens[Edital],1):tItens[[#This Row],[Edital]],tItens[[#This Row],[Edital]],INDEX(tItens[Produto],1):tItens[[#This Row],[Produto]],tItens[[#This Row],[Produto]])=1,1,0)</f>
        <v>0</v>
      </c>
    </row>
    <row r="2441" spans="1:16" x14ac:dyDescent="0.25">
      <c r="A2441" t="s">
        <v>1237</v>
      </c>
      <c r="B2441">
        <v>58</v>
      </c>
      <c r="C2441" t="s">
        <v>5463</v>
      </c>
      <c r="D2441" t="s">
        <v>267</v>
      </c>
      <c r="E2441" s="13">
        <v>500</v>
      </c>
      <c r="F2441" s="12">
        <v>55.3</v>
      </c>
      <c r="G2441" t="str">
        <f>IFERROR(INDEX(tEditais[Órgão],MATCH(tItens[[#This Row],[Edital]],tEditais[Edital],0)),"")</f>
        <v>MUNICIPIO DE ZE DOCA</v>
      </c>
      <c r="H2441" t="str">
        <f>IFERROR(INDEX(tEditais[UF],MATCH(tItens[[#This Row],[Edital]],tEditais[Edital],0)),"")</f>
        <v>MA</v>
      </c>
      <c r="I2441" s="11">
        <f>IFERROR(INDEX(tEditais[Encerramento],MATCH(tItens[[#This Row],[Edital]],tEditais[Edital],0)),"")</f>
        <v>46308.354166666664</v>
      </c>
      <c r="J2441" t="str">
        <f>IFERROR(INDEX(tProdutos[Classe],MATCH(tItens[[#This Row],[Produto]],tProdutos[Produto],0)),"produto não cadastrado")</f>
        <v>FORA</v>
      </c>
      <c r="K2441" s="12">
        <f>tItens[[#This Row],[Qtd]]*tItens[[#This Row],[Vlr unit]]</f>
        <v>27650</v>
      </c>
      <c r="L2441" s="6">
        <f>IFERROR(IF(INDEX(tProdutos[Desconto homologado],MATCH(tItens[[#This Row],[Produto]],tProdutos[Produto],0))="",DescontoPadrao,INDEX(tProdutos[Desconto homologado],MATCH(tItens[[#This Row],[Produto]],tProdutos[Produto],0))),DescontoPadrao)</f>
        <v>0.19963672657401599</v>
      </c>
      <c r="M2441" s="12">
        <f>tItens[[#This Row],[Valor]]*(1-tItens[[#This Row],[Desconto]])</f>
        <v>22130.044510228458</v>
      </c>
      <c r="N2441" t="str">
        <f>IFERROR(INDEX(tProdutos[Foco],MATCH(tItens[[#This Row],[Produto]],tProdutos[Produto],0)),"Não")</f>
        <v>Não</v>
      </c>
      <c r="O2441" t="str">
        <f>IFERROR(INDEX(tEditais[SRP],MATCH(tItens[[#This Row],[Edital]],tEditais[Edital],0)),"Não")</f>
        <v>Não</v>
      </c>
      <c r="P2441" s="4">
        <f>IF(COUNTIFS(INDEX(tItens[Edital],1):tItens[[#This Row],[Edital]],tItens[[#This Row],[Edital]],INDEX(tItens[Produto],1):tItens[[#This Row],[Produto]],tItens[[#This Row],[Produto]])=1,1,0)</f>
        <v>0</v>
      </c>
    </row>
    <row r="2442" spans="1:16" x14ac:dyDescent="0.25">
      <c r="A2442" t="s">
        <v>1237</v>
      </c>
      <c r="B2442">
        <v>59</v>
      </c>
      <c r="C2442" t="s">
        <v>5464</v>
      </c>
      <c r="D2442" t="s">
        <v>267</v>
      </c>
      <c r="E2442" s="13">
        <v>500</v>
      </c>
      <c r="F2442" s="12">
        <v>59.35</v>
      </c>
      <c r="G2442" t="str">
        <f>IFERROR(INDEX(tEditais[Órgão],MATCH(tItens[[#This Row],[Edital]],tEditais[Edital],0)),"")</f>
        <v>MUNICIPIO DE ZE DOCA</v>
      </c>
      <c r="H2442" t="str">
        <f>IFERROR(INDEX(tEditais[UF],MATCH(tItens[[#This Row],[Edital]],tEditais[Edital],0)),"")</f>
        <v>MA</v>
      </c>
      <c r="I2442" s="11">
        <f>IFERROR(INDEX(tEditais[Encerramento],MATCH(tItens[[#This Row],[Edital]],tEditais[Edital],0)),"")</f>
        <v>46308.354166666664</v>
      </c>
      <c r="J2442" t="str">
        <f>IFERROR(INDEX(tProdutos[Classe],MATCH(tItens[[#This Row],[Produto]],tProdutos[Produto],0)),"produto não cadastrado")</f>
        <v>FORA</v>
      </c>
      <c r="K2442" s="12">
        <f>tItens[[#This Row],[Qtd]]*tItens[[#This Row],[Vlr unit]]</f>
        <v>29675</v>
      </c>
      <c r="L2442" s="6">
        <f>IFERROR(IF(INDEX(tProdutos[Desconto homologado],MATCH(tItens[[#This Row],[Produto]],tProdutos[Produto],0))="",DescontoPadrao,INDEX(tProdutos[Desconto homologado],MATCH(tItens[[#This Row],[Produto]],tProdutos[Produto],0))),DescontoPadrao)</f>
        <v>0.19963672657401599</v>
      </c>
      <c r="M2442" s="12">
        <f>tItens[[#This Row],[Valor]]*(1-tItens[[#This Row],[Desconto]])</f>
        <v>23750.780138916074</v>
      </c>
      <c r="N2442" t="str">
        <f>IFERROR(INDEX(tProdutos[Foco],MATCH(tItens[[#This Row],[Produto]],tProdutos[Produto],0)),"Não")</f>
        <v>Não</v>
      </c>
      <c r="O2442" t="str">
        <f>IFERROR(INDEX(tEditais[SRP],MATCH(tItens[[#This Row],[Edital]],tEditais[Edital],0)),"Não")</f>
        <v>Não</v>
      </c>
      <c r="P2442" s="4">
        <f>IF(COUNTIFS(INDEX(tItens[Edital],1):tItens[[#This Row],[Edital]],tItens[[#This Row],[Edital]],INDEX(tItens[Produto],1):tItens[[#This Row],[Produto]],tItens[[#This Row],[Produto]])=1,1,0)</f>
        <v>0</v>
      </c>
    </row>
    <row r="2443" spans="1:16" x14ac:dyDescent="0.25">
      <c r="A2443" t="s">
        <v>1242</v>
      </c>
      <c r="B2443">
        <v>136</v>
      </c>
      <c r="C2443" t="s">
        <v>5465</v>
      </c>
      <c r="D2443" t="s">
        <v>500</v>
      </c>
      <c r="E2443" s="13">
        <v>10</v>
      </c>
      <c r="F2443" s="12">
        <v>54.59</v>
      </c>
      <c r="G2443" t="str">
        <f>IFERROR(INDEX(tEditais[Órgão],MATCH(tItens[[#This Row],[Edital]],tEditais[Edital],0)),"")</f>
        <v>MUNICIPIO DE NOVA IORQUE</v>
      </c>
      <c r="H2443" t="str">
        <f>IFERROR(INDEX(tEditais[UF],MATCH(tItens[[#This Row],[Edital]],tEditais[Edital],0)),"")</f>
        <v>MA</v>
      </c>
      <c r="I2443" s="11">
        <f>IFERROR(INDEX(tEditais[Encerramento],MATCH(tItens[[#This Row],[Edital]],tEditais[Edital],0)),"")</f>
        <v>46309.333333333336</v>
      </c>
      <c r="J2443" t="str">
        <f>IFERROR(INDEX(tProdutos[Classe],MATCH(tItens[[#This Row],[Produto]],tProdutos[Produto],0)),"produto não cadastrado")</f>
        <v>FILA REBASE</v>
      </c>
      <c r="K2443" s="12">
        <f>tItens[[#This Row],[Qtd]]*tItens[[#This Row],[Vlr unit]]</f>
        <v>545.90000000000009</v>
      </c>
      <c r="L2443" s="6">
        <f>IFERROR(IF(INDEX(tProdutos[Desconto homologado],MATCH(tItens[[#This Row],[Produto]],tProdutos[Produto],0))="",DescontoPadrao,INDEX(tProdutos[Desconto homologado],MATCH(tItens[[#This Row],[Produto]],tProdutos[Produto],0))),DescontoPadrao)</f>
        <v>0.267022226451467</v>
      </c>
      <c r="M2443" s="12">
        <f>tItens[[#This Row],[Valor]]*(1-tItens[[#This Row],[Desconto]])</f>
        <v>400.13256658014421</v>
      </c>
      <c r="N2443" t="str">
        <f>IFERROR(INDEX(tProdutos[Foco],MATCH(tItens[[#This Row],[Produto]],tProdutos[Produto],0)),"Não")</f>
        <v>Não</v>
      </c>
      <c r="O2443" t="str">
        <f>IFERROR(INDEX(tEditais[SRP],MATCH(tItens[[#This Row],[Edital]],tEditais[Edital],0)),"Não")</f>
        <v>Não</v>
      </c>
      <c r="P2443" s="4">
        <f>IF(COUNTIFS(INDEX(tItens[Edital],1):tItens[[#This Row],[Edital]],tItens[[#This Row],[Edital]],INDEX(tItens[Produto],1):tItens[[#This Row],[Produto]],tItens[[#This Row],[Produto]])=1,1,0)</f>
        <v>1</v>
      </c>
    </row>
    <row r="2444" spans="1:16" x14ac:dyDescent="0.25">
      <c r="A2444" t="s">
        <v>1247</v>
      </c>
      <c r="B2444">
        <v>30</v>
      </c>
      <c r="C2444" t="s">
        <v>5466</v>
      </c>
      <c r="D2444" t="s">
        <v>578</v>
      </c>
      <c r="E2444" s="13">
        <v>6</v>
      </c>
      <c r="F2444" s="12">
        <v>0</v>
      </c>
      <c r="G2444" t="str">
        <f>IFERROR(INDEX(tEditais[Órgão],MATCH(tItens[[#This Row],[Edital]],tEditais[Edital],0)),"")</f>
        <v>MUNICIPIO DE CODO</v>
      </c>
      <c r="H2444" t="str">
        <f>IFERROR(INDEX(tEditais[UF],MATCH(tItens[[#This Row],[Edital]],tEditais[Edital],0)),"")</f>
        <v>MA</v>
      </c>
      <c r="I2444" s="11">
        <f>IFERROR(INDEX(tEditais[Encerramento],MATCH(tItens[[#This Row],[Edital]],tEditais[Edital],0)),"")</f>
        <v>46309.374305555553</v>
      </c>
      <c r="J2444" t="str">
        <f>IFERROR(INDEX(tProdutos[Classe],MATCH(tItens[[#This Row],[Produto]],tProdutos[Produto],0)),"produto não cadastrado")</f>
        <v>FILA REBASE</v>
      </c>
      <c r="K2444" s="12">
        <f>tItens[[#This Row],[Qtd]]*tItens[[#This Row],[Vlr unit]]</f>
        <v>0</v>
      </c>
      <c r="L2444" s="6">
        <f>IFERROR(IF(INDEX(tProdutos[Desconto homologado],MATCH(tItens[[#This Row],[Produto]],tProdutos[Produto],0))="",DescontoPadrao,INDEX(tProdutos[Desconto homologado],MATCH(tItens[[#This Row],[Produto]],tProdutos[Produto],0))),DescontoPadrao)</f>
        <v>0.36014625228519198</v>
      </c>
      <c r="M2444" s="12">
        <f>tItens[[#This Row],[Valor]]*(1-tItens[[#This Row],[Desconto]])</f>
        <v>0</v>
      </c>
      <c r="N2444" t="str">
        <f>IFERROR(INDEX(tProdutos[Foco],MATCH(tItens[[#This Row],[Produto]],tProdutos[Produto],0)),"Não")</f>
        <v>Não</v>
      </c>
      <c r="O2444" t="str">
        <f>IFERROR(INDEX(tEditais[SRP],MATCH(tItens[[#This Row],[Edital]],tEditais[Edital],0)),"Não")</f>
        <v>Sim</v>
      </c>
      <c r="P2444" s="4">
        <f>IF(COUNTIFS(INDEX(tItens[Edital],1):tItens[[#This Row],[Edital]],tItens[[#This Row],[Edital]],INDEX(tItens[Produto],1):tItens[[#This Row],[Produto]],tItens[[#This Row],[Produto]])=1,1,0)</f>
        <v>1</v>
      </c>
    </row>
    <row r="2445" spans="1:16" x14ac:dyDescent="0.25">
      <c r="A2445" t="s">
        <v>1247</v>
      </c>
      <c r="B2445">
        <v>31</v>
      </c>
      <c r="C2445" t="s">
        <v>5467</v>
      </c>
      <c r="D2445" t="s">
        <v>578</v>
      </c>
      <c r="E2445" s="13">
        <v>1</v>
      </c>
      <c r="F2445" s="12">
        <v>0</v>
      </c>
      <c r="G2445" t="str">
        <f>IFERROR(INDEX(tEditais[Órgão],MATCH(tItens[[#This Row],[Edital]],tEditais[Edital],0)),"")</f>
        <v>MUNICIPIO DE CODO</v>
      </c>
      <c r="H2445" t="str">
        <f>IFERROR(INDEX(tEditais[UF],MATCH(tItens[[#This Row],[Edital]],tEditais[Edital],0)),"")</f>
        <v>MA</v>
      </c>
      <c r="I2445" s="11">
        <f>IFERROR(INDEX(tEditais[Encerramento],MATCH(tItens[[#This Row],[Edital]],tEditais[Edital],0)),"")</f>
        <v>46309.374305555553</v>
      </c>
      <c r="J2445" t="str">
        <f>IFERROR(INDEX(tProdutos[Classe],MATCH(tItens[[#This Row],[Produto]],tProdutos[Produto],0)),"produto não cadastrado")</f>
        <v>FILA REBASE</v>
      </c>
      <c r="K2445" s="12">
        <f>tItens[[#This Row],[Qtd]]*tItens[[#This Row],[Vlr unit]]</f>
        <v>0</v>
      </c>
      <c r="L2445" s="6">
        <f>IFERROR(IF(INDEX(tProdutos[Desconto homologado],MATCH(tItens[[#This Row],[Produto]],tProdutos[Produto],0))="",DescontoPadrao,INDEX(tProdutos[Desconto homologado],MATCH(tItens[[#This Row],[Produto]],tProdutos[Produto],0))),DescontoPadrao)</f>
        <v>0.36014625228519198</v>
      </c>
      <c r="M2445" s="12">
        <f>tItens[[#This Row],[Valor]]*(1-tItens[[#This Row],[Desconto]])</f>
        <v>0</v>
      </c>
      <c r="N2445" t="str">
        <f>IFERROR(INDEX(tProdutos[Foco],MATCH(tItens[[#This Row],[Produto]],tProdutos[Produto],0)),"Não")</f>
        <v>Não</v>
      </c>
      <c r="O2445" t="str">
        <f>IFERROR(INDEX(tEditais[SRP],MATCH(tItens[[#This Row],[Edital]],tEditais[Edital],0)),"Não")</f>
        <v>Sim</v>
      </c>
      <c r="P2445" s="4">
        <f>IF(COUNTIFS(INDEX(tItens[Edital],1):tItens[[#This Row],[Edital]],tItens[[#This Row],[Edital]],INDEX(tItens[Produto],1):tItens[[#This Row],[Produto]],tItens[[#This Row],[Produto]])=1,1,0)</f>
        <v>0</v>
      </c>
    </row>
    <row r="2446" spans="1:16" x14ac:dyDescent="0.25">
      <c r="A2446" t="s">
        <v>1251</v>
      </c>
      <c r="B2446">
        <v>37</v>
      </c>
      <c r="C2446" t="s">
        <v>5468</v>
      </c>
      <c r="D2446" t="s">
        <v>114</v>
      </c>
      <c r="E2446" s="13">
        <v>450</v>
      </c>
      <c r="F2446" s="12">
        <v>0</v>
      </c>
      <c r="G2446" t="str">
        <f>IFERROR(INDEX(tEditais[Órgão],MATCH(tItens[[#This Row],[Edital]],tEditais[Edital],0)),"")</f>
        <v>MUNICIPIO DE BURITI</v>
      </c>
      <c r="H2446" t="str">
        <f>IFERROR(INDEX(tEditais[UF],MATCH(tItens[[#This Row],[Edital]],tEditais[Edital],0)),"")</f>
        <v>MA</v>
      </c>
      <c r="I2446" s="11">
        <f>IFERROR(INDEX(tEditais[Encerramento],MATCH(tItens[[#This Row],[Edital]],tEditais[Edital],0)),"")</f>
        <v>46309.375</v>
      </c>
      <c r="J2446" t="str">
        <f>IFERROR(INDEX(tProdutos[Classe],MATCH(tItens[[#This Row],[Produto]],tProdutos[Produto],0)),"produto não cadastrado")</f>
        <v>DISPUTADO</v>
      </c>
      <c r="K2446" s="12">
        <f>tItens[[#This Row],[Qtd]]*tItens[[#This Row],[Vlr unit]]</f>
        <v>0</v>
      </c>
      <c r="L2446" s="6">
        <f>IFERROR(IF(INDEX(tProdutos[Desconto homologado],MATCH(tItens[[#This Row],[Produto]],tProdutos[Produto],0))="",DescontoPadrao,INDEX(tProdutos[Desconto homologado],MATCH(tItens[[#This Row],[Produto]],tProdutos[Produto],0))),DescontoPadrao)</f>
        <v>0.24332656063896899</v>
      </c>
      <c r="M2446" s="12">
        <f>tItens[[#This Row],[Valor]]*(1-tItens[[#This Row],[Desconto]])</f>
        <v>0</v>
      </c>
      <c r="N2446" t="str">
        <f>IFERROR(INDEX(tProdutos[Foco],MATCH(tItens[[#This Row],[Produto]],tProdutos[Produto],0)),"Não")</f>
        <v>Não</v>
      </c>
      <c r="O2446" t="str">
        <f>IFERROR(INDEX(tEditais[SRP],MATCH(tItens[[#This Row],[Edital]],tEditais[Edital],0)),"Não")</f>
        <v>Sim</v>
      </c>
      <c r="P2446" s="4">
        <f>IF(COUNTIFS(INDEX(tItens[Edital],1):tItens[[#This Row],[Edital]],tItens[[#This Row],[Edital]],INDEX(tItens[Produto],1):tItens[[#This Row],[Produto]],tItens[[#This Row],[Produto]])=1,1,0)</f>
        <v>1</v>
      </c>
    </row>
    <row r="2447" spans="1:16" x14ac:dyDescent="0.25">
      <c r="A2447" t="s">
        <v>1251</v>
      </c>
      <c r="B2447">
        <v>91</v>
      </c>
      <c r="C2447" t="s">
        <v>5469</v>
      </c>
      <c r="D2447" t="s">
        <v>160</v>
      </c>
      <c r="E2447" s="13">
        <v>135</v>
      </c>
      <c r="F2447" s="12">
        <v>0</v>
      </c>
      <c r="G2447" t="str">
        <f>IFERROR(INDEX(tEditais[Órgão],MATCH(tItens[[#This Row],[Edital]],tEditais[Edital],0)),"")</f>
        <v>MUNICIPIO DE BURITI</v>
      </c>
      <c r="H2447" t="str">
        <f>IFERROR(INDEX(tEditais[UF],MATCH(tItens[[#This Row],[Edital]],tEditais[Edital],0)),"")</f>
        <v>MA</v>
      </c>
      <c r="I2447" s="11">
        <f>IFERROR(INDEX(tEditais[Encerramento],MATCH(tItens[[#This Row],[Edital]],tEditais[Edital],0)),"")</f>
        <v>46309.375</v>
      </c>
      <c r="J2447" t="str">
        <f>IFERROR(INDEX(tProdutos[Classe],MATCH(tItens[[#This Row],[Produto]],tProdutos[Produto],0)),"produto não cadastrado")</f>
        <v>DISPUTADO</v>
      </c>
      <c r="K2447" s="12">
        <f>tItens[[#This Row],[Qtd]]*tItens[[#This Row],[Vlr unit]]</f>
        <v>0</v>
      </c>
      <c r="L2447" s="6">
        <f>IFERROR(IF(INDEX(tProdutos[Desconto homologado],MATCH(tItens[[#This Row],[Produto]],tProdutos[Produto],0))="",DescontoPadrao,INDEX(tProdutos[Desconto homologado],MATCH(tItens[[#This Row],[Produto]],tProdutos[Produto],0))),DescontoPadrao)</f>
        <v>0.28000000000000003</v>
      </c>
      <c r="M2447" s="12">
        <f>tItens[[#This Row],[Valor]]*(1-tItens[[#This Row],[Desconto]])</f>
        <v>0</v>
      </c>
      <c r="N2447" t="str">
        <f>IFERROR(INDEX(tProdutos[Foco],MATCH(tItens[[#This Row],[Produto]],tProdutos[Produto],0)),"Não")</f>
        <v>Sim</v>
      </c>
      <c r="O2447" t="str">
        <f>IFERROR(INDEX(tEditais[SRP],MATCH(tItens[[#This Row],[Edital]],tEditais[Edital],0)),"Não")</f>
        <v>Sim</v>
      </c>
      <c r="P2447" s="4">
        <f>IF(COUNTIFS(INDEX(tItens[Edital],1):tItens[[#This Row],[Edital]],tItens[[#This Row],[Edital]],INDEX(tItens[Produto],1):tItens[[#This Row],[Produto]],tItens[[#This Row],[Produto]])=1,1,0)</f>
        <v>1</v>
      </c>
    </row>
    <row r="2448" spans="1:16" x14ac:dyDescent="0.25">
      <c r="A2448" t="s">
        <v>1251</v>
      </c>
      <c r="B2448">
        <v>95</v>
      </c>
      <c r="C2448" t="s">
        <v>5470</v>
      </c>
      <c r="D2448" t="s">
        <v>267</v>
      </c>
      <c r="E2448" s="13">
        <v>90</v>
      </c>
      <c r="F2448" s="12">
        <v>0</v>
      </c>
      <c r="G2448" t="str">
        <f>IFERROR(INDEX(tEditais[Órgão],MATCH(tItens[[#This Row],[Edital]],tEditais[Edital],0)),"")</f>
        <v>MUNICIPIO DE BURITI</v>
      </c>
      <c r="H2448" t="str">
        <f>IFERROR(INDEX(tEditais[UF],MATCH(tItens[[#This Row],[Edital]],tEditais[Edital],0)),"")</f>
        <v>MA</v>
      </c>
      <c r="I2448" s="11">
        <f>IFERROR(INDEX(tEditais[Encerramento],MATCH(tItens[[#This Row],[Edital]],tEditais[Edital],0)),"")</f>
        <v>46309.375</v>
      </c>
      <c r="J2448" t="str">
        <f>IFERROR(INDEX(tProdutos[Classe],MATCH(tItens[[#This Row],[Produto]],tProdutos[Produto],0)),"produto não cadastrado")</f>
        <v>FORA</v>
      </c>
      <c r="K2448" s="12">
        <f>tItens[[#This Row],[Qtd]]*tItens[[#This Row],[Vlr unit]]</f>
        <v>0</v>
      </c>
      <c r="L2448" s="6">
        <f>IFERROR(IF(INDEX(tProdutos[Desconto homologado],MATCH(tItens[[#This Row],[Produto]],tProdutos[Produto],0))="",DescontoPadrao,INDEX(tProdutos[Desconto homologado],MATCH(tItens[[#This Row],[Produto]],tProdutos[Produto],0))),DescontoPadrao)</f>
        <v>0.19963672657401599</v>
      </c>
      <c r="M2448" s="12">
        <f>tItens[[#This Row],[Valor]]*(1-tItens[[#This Row],[Desconto]])</f>
        <v>0</v>
      </c>
      <c r="N2448" t="str">
        <f>IFERROR(INDEX(tProdutos[Foco],MATCH(tItens[[#This Row],[Produto]],tProdutos[Produto],0)),"Não")</f>
        <v>Não</v>
      </c>
      <c r="O2448" t="str">
        <f>IFERROR(INDEX(tEditais[SRP],MATCH(tItens[[#This Row],[Edital]],tEditais[Edital],0)),"Não")</f>
        <v>Sim</v>
      </c>
      <c r="P2448" s="4">
        <f>IF(COUNTIFS(INDEX(tItens[Edital],1):tItens[[#This Row],[Edital]],tItens[[#This Row],[Edital]],INDEX(tItens[Produto],1):tItens[[#This Row],[Produto]],tItens[[#This Row],[Produto]])=1,1,0)</f>
        <v>1</v>
      </c>
    </row>
    <row r="2449" spans="1:16" x14ac:dyDescent="0.25">
      <c r="A2449" t="s">
        <v>1251</v>
      </c>
      <c r="B2449">
        <v>97</v>
      </c>
      <c r="C2449" t="s">
        <v>5471</v>
      </c>
      <c r="D2449" t="s">
        <v>267</v>
      </c>
      <c r="E2449" s="13">
        <v>135</v>
      </c>
      <c r="F2449" s="12">
        <v>0</v>
      </c>
      <c r="G2449" t="str">
        <f>IFERROR(INDEX(tEditais[Órgão],MATCH(tItens[[#This Row],[Edital]],tEditais[Edital],0)),"")</f>
        <v>MUNICIPIO DE BURITI</v>
      </c>
      <c r="H2449" t="str">
        <f>IFERROR(INDEX(tEditais[UF],MATCH(tItens[[#This Row],[Edital]],tEditais[Edital],0)),"")</f>
        <v>MA</v>
      </c>
      <c r="I2449" s="11">
        <f>IFERROR(INDEX(tEditais[Encerramento],MATCH(tItens[[#This Row],[Edital]],tEditais[Edital],0)),"")</f>
        <v>46309.375</v>
      </c>
      <c r="J2449" t="str">
        <f>IFERROR(INDEX(tProdutos[Classe],MATCH(tItens[[#This Row],[Produto]],tProdutos[Produto],0)),"produto não cadastrado")</f>
        <v>FORA</v>
      </c>
      <c r="K2449" s="12">
        <f>tItens[[#This Row],[Qtd]]*tItens[[#This Row],[Vlr unit]]</f>
        <v>0</v>
      </c>
      <c r="L2449" s="6">
        <f>IFERROR(IF(INDEX(tProdutos[Desconto homologado],MATCH(tItens[[#This Row],[Produto]],tProdutos[Produto],0))="",DescontoPadrao,INDEX(tProdutos[Desconto homologado],MATCH(tItens[[#This Row],[Produto]],tProdutos[Produto],0))),DescontoPadrao)</f>
        <v>0.19963672657401599</v>
      </c>
      <c r="M2449" s="12">
        <f>tItens[[#This Row],[Valor]]*(1-tItens[[#This Row],[Desconto]])</f>
        <v>0</v>
      </c>
      <c r="N2449" t="str">
        <f>IFERROR(INDEX(tProdutos[Foco],MATCH(tItens[[#This Row],[Produto]],tProdutos[Produto],0)),"Não")</f>
        <v>Não</v>
      </c>
      <c r="O2449" t="str">
        <f>IFERROR(INDEX(tEditais[SRP],MATCH(tItens[[#This Row],[Edital]],tEditais[Edital],0)),"Não")</f>
        <v>Sim</v>
      </c>
      <c r="P2449" s="4">
        <f>IF(COUNTIFS(INDEX(tItens[Edital],1):tItens[[#This Row],[Edital]],tItens[[#This Row],[Edital]],INDEX(tItens[Produto],1):tItens[[#This Row],[Produto]],tItens[[#This Row],[Produto]])=1,1,0)</f>
        <v>0</v>
      </c>
    </row>
    <row r="2450" spans="1:16" x14ac:dyDescent="0.25">
      <c r="A2450" t="s">
        <v>1251</v>
      </c>
      <c r="B2450">
        <v>99</v>
      </c>
      <c r="C2450" t="s">
        <v>5472</v>
      </c>
      <c r="D2450" t="s">
        <v>267</v>
      </c>
      <c r="E2450" s="13">
        <v>135</v>
      </c>
      <c r="F2450" s="12">
        <v>0</v>
      </c>
      <c r="G2450" t="str">
        <f>IFERROR(INDEX(tEditais[Órgão],MATCH(tItens[[#This Row],[Edital]],tEditais[Edital],0)),"")</f>
        <v>MUNICIPIO DE BURITI</v>
      </c>
      <c r="H2450" t="str">
        <f>IFERROR(INDEX(tEditais[UF],MATCH(tItens[[#This Row],[Edital]],tEditais[Edital],0)),"")</f>
        <v>MA</v>
      </c>
      <c r="I2450" s="11">
        <f>IFERROR(INDEX(tEditais[Encerramento],MATCH(tItens[[#This Row],[Edital]],tEditais[Edital],0)),"")</f>
        <v>46309.375</v>
      </c>
      <c r="J2450" t="str">
        <f>IFERROR(INDEX(tProdutos[Classe],MATCH(tItens[[#This Row],[Produto]],tProdutos[Produto],0)),"produto não cadastrado")</f>
        <v>FORA</v>
      </c>
      <c r="K2450" s="12">
        <f>tItens[[#This Row],[Qtd]]*tItens[[#This Row],[Vlr unit]]</f>
        <v>0</v>
      </c>
      <c r="L2450" s="6">
        <f>IFERROR(IF(INDEX(tProdutos[Desconto homologado],MATCH(tItens[[#This Row],[Produto]],tProdutos[Produto],0))="",DescontoPadrao,INDEX(tProdutos[Desconto homologado],MATCH(tItens[[#This Row],[Produto]],tProdutos[Produto],0))),DescontoPadrao)</f>
        <v>0.19963672657401599</v>
      </c>
      <c r="M2450" s="12">
        <f>tItens[[#This Row],[Valor]]*(1-tItens[[#This Row],[Desconto]])</f>
        <v>0</v>
      </c>
      <c r="N2450" t="str">
        <f>IFERROR(INDEX(tProdutos[Foco],MATCH(tItens[[#This Row],[Produto]],tProdutos[Produto],0)),"Não")</f>
        <v>Não</v>
      </c>
      <c r="O2450" t="str">
        <f>IFERROR(INDEX(tEditais[SRP],MATCH(tItens[[#This Row],[Edital]],tEditais[Edital],0)),"Não")</f>
        <v>Sim</v>
      </c>
      <c r="P2450" s="4">
        <f>IF(COUNTIFS(INDEX(tItens[Edital],1):tItens[[#This Row],[Edital]],tItens[[#This Row],[Edital]],INDEX(tItens[Produto],1):tItens[[#This Row],[Produto]],tItens[[#This Row],[Produto]])=1,1,0)</f>
        <v>0</v>
      </c>
    </row>
    <row r="2451" spans="1:16" x14ac:dyDescent="0.25">
      <c r="A2451" t="s">
        <v>1251</v>
      </c>
      <c r="B2451">
        <v>103</v>
      </c>
      <c r="C2451" t="s">
        <v>5473</v>
      </c>
      <c r="D2451" t="s">
        <v>160</v>
      </c>
      <c r="E2451" s="13">
        <v>90</v>
      </c>
      <c r="F2451" s="12">
        <v>0</v>
      </c>
      <c r="G2451" t="str">
        <f>IFERROR(INDEX(tEditais[Órgão],MATCH(tItens[[#This Row],[Edital]],tEditais[Edital],0)),"")</f>
        <v>MUNICIPIO DE BURITI</v>
      </c>
      <c r="H2451" t="str">
        <f>IFERROR(INDEX(tEditais[UF],MATCH(tItens[[#This Row],[Edital]],tEditais[Edital],0)),"")</f>
        <v>MA</v>
      </c>
      <c r="I2451" s="11">
        <f>IFERROR(INDEX(tEditais[Encerramento],MATCH(tItens[[#This Row],[Edital]],tEditais[Edital],0)),"")</f>
        <v>46309.375</v>
      </c>
      <c r="J2451" t="str">
        <f>IFERROR(INDEX(tProdutos[Classe],MATCH(tItens[[#This Row],[Produto]],tProdutos[Produto],0)),"produto não cadastrado")</f>
        <v>DISPUTADO</v>
      </c>
      <c r="K2451" s="12">
        <f>tItens[[#This Row],[Qtd]]*tItens[[#This Row],[Vlr unit]]</f>
        <v>0</v>
      </c>
      <c r="L2451" s="6">
        <f>IFERROR(IF(INDEX(tProdutos[Desconto homologado],MATCH(tItens[[#This Row],[Produto]],tProdutos[Produto],0))="",DescontoPadrao,INDEX(tProdutos[Desconto homologado],MATCH(tItens[[#This Row],[Produto]],tProdutos[Produto],0))),DescontoPadrao)</f>
        <v>0.28000000000000003</v>
      </c>
      <c r="M2451" s="12">
        <f>tItens[[#This Row],[Valor]]*(1-tItens[[#This Row],[Desconto]])</f>
        <v>0</v>
      </c>
      <c r="N2451" t="str">
        <f>IFERROR(INDEX(tProdutos[Foco],MATCH(tItens[[#This Row],[Produto]],tProdutos[Produto],0)),"Não")</f>
        <v>Sim</v>
      </c>
      <c r="O2451" t="str">
        <f>IFERROR(INDEX(tEditais[SRP],MATCH(tItens[[#This Row],[Edital]],tEditais[Edital],0)),"Não")</f>
        <v>Sim</v>
      </c>
      <c r="P2451" s="4">
        <f>IF(COUNTIFS(INDEX(tItens[Edital],1):tItens[[#This Row],[Edital]],tItens[[#This Row],[Edital]],INDEX(tItens[Produto],1):tItens[[#This Row],[Produto]],tItens[[#This Row],[Produto]])=1,1,0)</f>
        <v>0</v>
      </c>
    </row>
    <row r="2452" spans="1:16" x14ac:dyDescent="0.25">
      <c r="A2452" t="s">
        <v>1251</v>
      </c>
      <c r="B2452">
        <v>105</v>
      </c>
      <c r="C2452" t="s">
        <v>5474</v>
      </c>
      <c r="D2452" t="s">
        <v>160</v>
      </c>
      <c r="E2452" s="13">
        <v>135</v>
      </c>
      <c r="F2452" s="12">
        <v>0</v>
      </c>
      <c r="G2452" t="str">
        <f>IFERROR(INDEX(tEditais[Órgão],MATCH(tItens[[#This Row],[Edital]],tEditais[Edital],0)),"")</f>
        <v>MUNICIPIO DE BURITI</v>
      </c>
      <c r="H2452" t="str">
        <f>IFERROR(INDEX(tEditais[UF],MATCH(tItens[[#This Row],[Edital]],tEditais[Edital],0)),"")</f>
        <v>MA</v>
      </c>
      <c r="I2452" s="11">
        <f>IFERROR(INDEX(tEditais[Encerramento],MATCH(tItens[[#This Row],[Edital]],tEditais[Edital],0)),"")</f>
        <v>46309.375</v>
      </c>
      <c r="J2452" t="str">
        <f>IFERROR(INDEX(tProdutos[Classe],MATCH(tItens[[#This Row],[Produto]],tProdutos[Produto],0)),"produto não cadastrado")</f>
        <v>DISPUTADO</v>
      </c>
      <c r="K2452" s="12">
        <f>tItens[[#This Row],[Qtd]]*tItens[[#This Row],[Vlr unit]]</f>
        <v>0</v>
      </c>
      <c r="L2452" s="6">
        <f>IFERROR(IF(INDEX(tProdutos[Desconto homologado],MATCH(tItens[[#This Row],[Produto]],tProdutos[Produto],0))="",DescontoPadrao,INDEX(tProdutos[Desconto homologado],MATCH(tItens[[#This Row],[Produto]],tProdutos[Produto],0))),DescontoPadrao)</f>
        <v>0.28000000000000003</v>
      </c>
      <c r="M2452" s="12">
        <f>tItens[[#This Row],[Valor]]*(1-tItens[[#This Row],[Desconto]])</f>
        <v>0</v>
      </c>
      <c r="N2452" t="str">
        <f>IFERROR(INDEX(tProdutos[Foco],MATCH(tItens[[#This Row],[Produto]],tProdutos[Produto],0)),"Não")</f>
        <v>Sim</v>
      </c>
      <c r="O2452" t="str">
        <f>IFERROR(INDEX(tEditais[SRP],MATCH(tItens[[#This Row],[Edital]],tEditais[Edital],0)),"Não")</f>
        <v>Sim</v>
      </c>
      <c r="P2452" s="4">
        <f>IF(COUNTIFS(INDEX(tItens[Edital],1):tItens[[#This Row],[Edital]],tItens[[#This Row],[Edital]],INDEX(tItens[Produto],1):tItens[[#This Row],[Produto]],tItens[[#This Row],[Produto]])=1,1,0)</f>
        <v>0</v>
      </c>
    </row>
    <row r="2453" spans="1:16" x14ac:dyDescent="0.25">
      <c r="A2453" t="s">
        <v>1251</v>
      </c>
      <c r="B2453">
        <v>107</v>
      </c>
      <c r="C2453" t="s">
        <v>5475</v>
      </c>
      <c r="D2453" t="s">
        <v>160</v>
      </c>
      <c r="E2453" s="13">
        <v>135</v>
      </c>
      <c r="F2453" s="12">
        <v>0</v>
      </c>
      <c r="G2453" t="str">
        <f>IFERROR(INDEX(tEditais[Órgão],MATCH(tItens[[#This Row],[Edital]],tEditais[Edital],0)),"")</f>
        <v>MUNICIPIO DE BURITI</v>
      </c>
      <c r="H2453" t="str">
        <f>IFERROR(INDEX(tEditais[UF],MATCH(tItens[[#This Row],[Edital]],tEditais[Edital],0)),"")</f>
        <v>MA</v>
      </c>
      <c r="I2453" s="11">
        <f>IFERROR(INDEX(tEditais[Encerramento],MATCH(tItens[[#This Row],[Edital]],tEditais[Edital],0)),"")</f>
        <v>46309.375</v>
      </c>
      <c r="J2453" t="str">
        <f>IFERROR(INDEX(tProdutos[Classe],MATCH(tItens[[#This Row],[Produto]],tProdutos[Produto],0)),"produto não cadastrado")</f>
        <v>DISPUTADO</v>
      </c>
      <c r="K2453" s="12">
        <f>tItens[[#This Row],[Qtd]]*tItens[[#This Row],[Vlr unit]]</f>
        <v>0</v>
      </c>
      <c r="L2453" s="6">
        <f>IFERROR(IF(INDEX(tProdutos[Desconto homologado],MATCH(tItens[[#This Row],[Produto]],tProdutos[Produto],0))="",DescontoPadrao,INDEX(tProdutos[Desconto homologado],MATCH(tItens[[#This Row],[Produto]],tProdutos[Produto],0))),DescontoPadrao)</f>
        <v>0.28000000000000003</v>
      </c>
      <c r="M2453" s="12">
        <f>tItens[[#This Row],[Valor]]*(1-tItens[[#This Row],[Desconto]])</f>
        <v>0</v>
      </c>
      <c r="N2453" t="str">
        <f>IFERROR(INDEX(tProdutos[Foco],MATCH(tItens[[#This Row],[Produto]],tProdutos[Produto],0)),"Não")</f>
        <v>Sim</v>
      </c>
      <c r="O2453" t="str">
        <f>IFERROR(INDEX(tEditais[SRP],MATCH(tItens[[#This Row],[Edital]],tEditais[Edital],0)),"Não")</f>
        <v>Sim</v>
      </c>
      <c r="P2453" s="4">
        <f>IF(COUNTIFS(INDEX(tItens[Edital],1):tItens[[#This Row],[Edital]],tItens[[#This Row],[Edital]],INDEX(tItens[Produto],1):tItens[[#This Row],[Produto]],tItens[[#This Row],[Produto]])=1,1,0)</f>
        <v>0</v>
      </c>
    </row>
    <row r="2454" spans="1:16" x14ac:dyDescent="0.25">
      <c r="A2454" t="s">
        <v>1251</v>
      </c>
      <c r="B2454">
        <v>111</v>
      </c>
      <c r="C2454" t="s">
        <v>5476</v>
      </c>
      <c r="D2454" t="s">
        <v>267</v>
      </c>
      <c r="E2454" s="13">
        <v>90</v>
      </c>
      <c r="F2454" s="12">
        <v>0</v>
      </c>
      <c r="G2454" t="str">
        <f>IFERROR(INDEX(tEditais[Órgão],MATCH(tItens[[#This Row],[Edital]],tEditais[Edital],0)),"")</f>
        <v>MUNICIPIO DE BURITI</v>
      </c>
      <c r="H2454" t="str">
        <f>IFERROR(INDEX(tEditais[UF],MATCH(tItens[[#This Row],[Edital]],tEditais[Edital],0)),"")</f>
        <v>MA</v>
      </c>
      <c r="I2454" s="11">
        <f>IFERROR(INDEX(tEditais[Encerramento],MATCH(tItens[[#This Row],[Edital]],tEditais[Edital],0)),"")</f>
        <v>46309.375</v>
      </c>
      <c r="J2454" t="str">
        <f>IFERROR(INDEX(tProdutos[Classe],MATCH(tItens[[#This Row],[Produto]],tProdutos[Produto],0)),"produto não cadastrado")</f>
        <v>FORA</v>
      </c>
      <c r="K2454" s="12">
        <f>tItens[[#This Row],[Qtd]]*tItens[[#This Row],[Vlr unit]]</f>
        <v>0</v>
      </c>
      <c r="L2454" s="6">
        <f>IFERROR(IF(INDEX(tProdutos[Desconto homologado],MATCH(tItens[[#This Row],[Produto]],tProdutos[Produto],0))="",DescontoPadrao,INDEX(tProdutos[Desconto homologado],MATCH(tItens[[#This Row],[Produto]],tProdutos[Produto],0))),DescontoPadrao)</f>
        <v>0.19963672657401599</v>
      </c>
      <c r="M2454" s="12">
        <f>tItens[[#This Row],[Valor]]*(1-tItens[[#This Row],[Desconto]])</f>
        <v>0</v>
      </c>
      <c r="N2454" t="str">
        <f>IFERROR(INDEX(tProdutos[Foco],MATCH(tItens[[#This Row],[Produto]],tProdutos[Produto],0)),"Não")</f>
        <v>Não</v>
      </c>
      <c r="O2454" t="str">
        <f>IFERROR(INDEX(tEditais[SRP],MATCH(tItens[[#This Row],[Edital]],tEditais[Edital],0)),"Não")</f>
        <v>Sim</v>
      </c>
      <c r="P2454" s="4">
        <f>IF(COUNTIFS(INDEX(tItens[Edital],1):tItens[[#This Row],[Edital]],tItens[[#This Row],[Edital]],INDEX(tItens[Produto],1):tItens[[#This Row],[Produto]],tItens[[#This Row],[Produto]])=1,1,0)</f>
        <v>0</v>
      </c>
    </row>
    <row r="2455" spans="1:16" x14ac:dyDescent="0.25">
      <c r="A2455" t="s">
        <v>1251</v>
      </c>
      <c r="B2455">
        <v>113</v>
      </c>
      <c r="C2455" t="s">
        <v>5477</v>
      </c>
      <c r="D2455" t="s">
        <v>267</v>
      </c>
      <c r="E2455" s="13">
        <v>90</v>
      </c>
      <c r="F2455" s="12">
        <v>0</v>
      </c>
      <c r="G2455" t="str">
        <f>IFERROR(INDEX(tEditais[Órgão],MATCH(tItens[[#This Row],[Edital]],tEditais[Edital],0)),"")</f>
        <v>MUNICIPIO DE BURITI</v>
      </c>
      <c r="H2455" t="str">
        <f>IFERROR(INDEX(tEditais[UF],MATCH(tItens[[#This Row],[Edital]],tEditais[Edital],0)),"")</f>
        <v>MA</v>
      </c>
      <c r="I2455" s="11">
        <f>IFERROR(INDEX(tEditais[Encerramento],MATCH(tItens[[#This Row],[Edital]],tEditais[Edital],0)),"")</f>
        <v>46309.375</v>
      </c>
      <c r="J2455" t="str">
        <f>IFERROR(INDEX(tProdutos[Classe],MATCH(tItens[[#This Row],[Produto]],tProdutos[Produto],0)),"produto não cadastrado")</f>
        <v>FORA</v>
      </c>
      <c r="K2455" s="12">
        <f>tItens[[#This Row],[Qtd]]*tItens[[#This Row],[Vlr unit]]</f>
        <v>0</v>
      </c>
      <c r="L2455" s="6">
        <f>IFERROR(IF(INDEX(tProdutos[Desconto homologado],MATCH(tItens[[#This Row],[Produto]],tProdutos[Produto],0))="",DescontoPadrao,INDEX(tProdutos[Desconto homologado],MATCH(tItens[[#This Row],[Produto]],tProdutos[Produto],0))),DescontoPadrao)</f>
        <v>0.19963672657401599</v>
      </c>
      <c r="M2455" s="12">
        <f>tItens[[#This Row],[Valor]]*(1-tItens[[#This Row],[Desconto]])</f>
        <v>0</v>
      </c>
      <c r="N2455" t="str">
        <f>IFERROR(INDEX(tProdutos[Foco],MATCH(tItens[[#This Row],[Produto]],tProdutos[Produto],0)),"Não")</f>
        <v>Não</v>
      </c>
      <c r="O2455" t="str">
        <f>IFERROR(INDEX(tEditais[SRP],MATCH(tItens[[#This Row],[Edital]],tEditais[Edital],0)),"Não")</f>
        <v>Sim</v>
      </c>
      <c r="P2455" s="4">
        <f>IF(COUNTIFS(INDEX(tItens[Edital],1):tItens[[#This Row],[Edital]],tItens[[#This Row],[Edital]],INDEX(tItens[Produto],1):tItens[[#This Row],[Produto]],tItens[[#This Row],[Produto]])=1,1,0)</f>
        <v>0</v>
      </c>
    </row>
    <row r="2456" spans="1:16" x14ac:dyDescent="0.25">
      <c r="A2456" t="s">
        <v>1256</v>
      </c>
      <c r="B2456">
        <v>16</v>
      </c>
      <c r="C2456" t="s">
        <v>5478</v>
      </c>
      <c r="D2456" t="s">
        <v>682</v>
      </c>
      <c r="E2456" s="13">
        <v>50</v>
      </c>
      <c r="F2456" s="12">
        <v>0</v>
      </c>
      <c r="G2456" t="str">
        <f>IFERROR(INDEX(tEditais[Órgão],MATCH(tItens[[#This Row],[Edital]],tEditais[Edital],0)),"")</f>
        <v>EMPRESA BRASILEIRA DE SERVICOS HOSPITALARES - EBSERH</v>
      </c>
      <c r="H2456" t="str">
        <f>IFERROR(INDEX(tEditais[UF],MATCH(tItens[[#This Row],[Edital]],tEditais[Edital],0)),"")</f>
        <v>MA</v>
      </c>
      <c r="I2456" s="11">
        <f>IFERROR(INDEX(tEditais[Encerramento],MATCH(tItens[[#This Row],[Edital]],tEditais[Edital],0)),"")</f>
        <v>46309.395833333336</v>
      </c>
      <c r="J2456" t="str">
        <f>IFERROR(INDEX(tProdutos[Classe],MATCH(tItens[[#This Row],[Produto]],tProdutos[Produto],0)),"produto não cadastrado")</f>
        <v>FILA REBASE</v>
      </c>
      <c r="K2456" s="12">
        <f>tItens[[#This Row],[Qtd]]*tItens[[#This Row],[Vlr unit]]</f>
        <v>0</v>
      </c>
      <c r="L2456" s="6">
        <f>IFERROR(IF(INDEX(tProdutos[Desconto homologado],MATCH(tItens[[#This Row],[Produto]],tProdutos[Produto],0))="",DescontoPadrao,INDEX(tProdutos[Desconto homologado],MATCH(tItens[[#This Row],[Produto]],tProdutos[Produto],0))),DescontoPadrao)</f>
        <v>0.3</v>
      </c>
      <c r="M2456" s="12">
        <f>tItens[[#This Row],[Valor]]*(1-tItens[[#This Row],[Desconto]])</f>
        <v>0</v>
      </c>
      <c r="N2456" t="str">
        <f>IFERROR(INDEX(tProdutos[Foco],MATCH(tItens[[#This Row],[Produto]],tProdutos[Produto],0)),"Não")</f>
        <v>Não</v>
      </c>
      <c r="O2456" t="str">
        <f>IFERROR(INDEX(tEditais[SRP],MATCH(tItens[[#This Row],[Edital]],tEditais[Edital],0)),"Não")</f>
        <v>Não</v>
      </c>
      <c r="P2456" s="4">
        <f>IF(COUNTIFS(INDEX(tItens[Edital],1):tItens[[#This Row],[Edital]],tItens[[#This Row],[Edital]],INDEX(tItens[Produto],1):tItens[[#This Row],[Produto]],tItens[[#This Row],[Produto]])=1,1,0)</f>
        <v>1</v>
      </c>
    </row>
    <row r="2457" spans="1:16" x14ac:dyDescent="0.25">
      <c r="A2457" t="s">
        <v>1256</v>
      </c>
      <c r="B2457">
        <v>17</v>
      </c>
      <c r="C2457" t="s">
        <v>5479</v>
      </c>
      <c r="D2457" t="s">
        <v>682</v>
      </c>
      <c r="E2457" s="13">
        <v>50</v>
      </c>
      <c r="F2457" s="12">
        <v>0</v>
      </c>
      <c r="G2457" t="str">
        <f>IFERROR(INDEX(tEditais[Órgão],MATCH(tItens[[#This Row],[Edital]],tEditais[Edital],0)),"")</f>
        <v>EMPRESA BRASILEIRA DE SERVICOS HOSPITALARES - EBSERH</v>
      </c>
      <c r="H2457" t="str">
        <f>IFERROR(INDEX(tEditais[UF],MATCH(tItens[[#This Row],[Edital]],tEditais[Edital],0)),"")</f>
        <v>MA</v>
      </c>
      <c r="I2457" s="11">
        <f>IFERROR(INDEX(tEditais[Encerramento],MATCH(tItens[[#This Row],[Edital]],tEditais[Edital],0)),"")</f>
        <v>46309.395833333336</v>
      </c>
      <c r="J2457" t="str">
        <f>IFERROR(INDEX(tProdutos[Classe],MATCH(tItens[[#This Row],[Produto]],tProdutos[Produto],0)),"produto não cadastrado")</f>
        <v>FILA REBASE</v>
      </c>
      <c r="K2457" s="12">
        <f>tItens[[#This Row],[Qtd]]*tItens[[#This Row],[Vlr unit]]</f>
        <v>0</v>
      </c>
      <c r="L2457" s="6">
        <f>IFERROR(IF(INDEX(tProdutos[Desconto homologado],MATCH(tItens[[#This Row],[Produto]],tProdutos[Produto],0))="",DescontoPadrao,INDEX(tProdutos[Desconto homologado],MATCH(tItens[[#This Row],[Produto]],tProdutos[Produto],0))),DescontoPadrao)</f>
        <v>0.3</v>
      </c>
      <c r="M2457" s="12">
        <f>tItens[[#This Row],[Valor]]*(1-tItens[[#This Row],[Desconto]])</f>
        <v>0</v>
      </c>
      <c r="N2457" t="str">
        <f>IFERROR(INDEX(tProdutos[Foco],MATCH(tItens[[#This Row],[Produto]],tProdutos[Produto],0)),"Não")</f>
        <v>Não</v>
      </c>
      <c r="O2457" t="str">
        <f>IFERROR(INDEX(tEditais[SRP],MATCH(tItens[[#This Row],[Edital]],tEditais[Edital],0)),"Não")</f>
        <v>Não</v>
      </c>
      <c r="P2457" s="4">
        <f>IF(COUNTIFS(INDEX(tItens[Edital],1):tItens[[#This Row],[Edital]],tItens[[#This Row],[Edital]],INDEX(tItens[Produto],1):tItens[[#This Row],[Produto]],tItens[[#This Row],[Produto]])=1,1,0)</f>
        <v>0</v>
      </c>
    </row>
    <row r="2458" spans="1:16" x14ac:dyDescent="0.25">
      <c r="A2458" t="s">
        <v>1256</v>
      </c>
      <c r="B2458">
        <v>18</v>
      </c>
      <c r="C2458" t="s">
        <v>5480</v>
      </c>
      <c r="D2458" t="s">
        <v>682</v>
      </c>
      <c r="E2458" s="13">
        <v>50</v>
      </c>
      <c r="F2458" s="12">
        <v>0</v>
      </c>
      <c r="G2458" t="str">
        <f>IFERROR(INDEX(tEditais[Órgão],MATCH(tItens[[#This Row],[Edital]],tEditais[Edital],0)),"")</f>
        <v>EMPRESA BRASILEIRA DE SERVICOS HOSPITALARES - EBSERH</v>
      </c>
      <c r="H2458" t="str">
        <f>IFERROR(INDEX(tEditais[UF],MATCH(tItens[[#This Row],[Edital]],tEditais[Edital],0)),"")</f>
        <v>MA</v>
      </c>
      <c r="I2458" s="11">
        <f>IFERROR(INDEX(tEditais[Encerramento],MATCH(tItens[[#This Row],[Edital]],tEditais[Edital],0)),"")</f>
        <v>46309.395833333336</v>
      </c>
      <c r="J2458" t="str">
        <f>IFERROR(INDEX(tProdutos[Classe],MATCH(tItens[[#This Row],[Produto]],tProdutos[Produto],0)),"produto não cadastrado")</f>
        <v>FILA REBASE</v>
      </c>
      <c r="K2458" s="12">
        <f>tItens[[#This Row],[Qtd]]*tItens[[#This Row],[Vlr unit]]</f>
        <v>0</v>
      </c>
      <c r="L2458" s="6">
        <f>IFERROR(IF(INDEX(tProdutos[Desconto homologado],MATCH(tItens[[#This Row],[Produto]],tProdutos[Produto],0))="",DescontoPadrao,INDEX(tProdutos[Desconto homologado],MATCH(tItens[[#This Row],[Produto]],tProdutos[Produto],0))),DescontoPadrao)</f>
        <v>0.3</v>
      </c>
      <c r="M2458" s="12">
        <f>tItens[[#This Row],[Valor]]*(1-tItens[[#This Row],[Desconto]])</f>
        <v>0</v>
      </c>
      <c r="N2458" t="str">
        <f>IFERROR(INDEX(tProdutos[Foco],MATCH(tItens[[#This Row],[Produto]],tProdutos[Produto],0)),"Não")</f>
        <v>Não</v>
      </c>
      <c r="O2458" t="str">
        <f>IFERROR(INDEX(tEditais[SRP],MATCH(tItens[[#This Row],[Edital]],tEditais[Edital],0)),"Não")</f>
        <v>Não</v>
      </c>
      <c r="P2458" s="4">
        <f>IF(COUNTIFS(INDEX(tItens[Edital],1):tItens[[#This Row],[Edital]],tItens[[#This Row],[Edital]],INDEX(tItens[Produto],1):tItens[[#This Row],[Produto]],tItens[[#This Row],[Produto]])=1,1,0)</f>
        <v>0</v>
      </c>
    </row>
    <row r="2459" spans="1:16" x14ac:dyDescent="0.25">
      <c r="A2459" t="s">
        <v>1259</v>
      </c>
      <c r="B2459">
        <v>11</v>
      </c>
      <c r="C2459" t="s">
        <v>5481</v>
      </c>
      <c r="D2459" t="s">
        <v>611</v>
      </c>
      <c r="E2459" s="13">
        <v>6</v>
      </c>
      <c r="F2459" s="12">
        <v>0</v>
      </c>
      <c r="G2459" t="str">
        <f>IFERROR(INDEX(tEditais[Órgão],MATCH(tItens[[#This Row],[Edital]],tEditais[Edital],0)),"")</f>
        <v>MUNICIPIO DE SANTA LUZIA</v>
      </c>
      <c r="H2459" t="str">
        <f>IFERROR(INDEX(tEditais[UF],MATCH(tItens[[#This Row],[Edital]],tEditais[Edital],0)),"")</f>
        <v>MA</v>
      </c>
      <c r="I2459" s="11">
        <f>IFERROR(INDEX(tEditais[Encerramento],MATCH(tItens[[#This Row],[Edital]],tEditais[Edital],0)),"")</f>
        <v>46310.375</v>
      </c>
      <c r="J2459" t="str">
        <f>IFERROR(INDEX(tProdutos[Classe],MATCH(tItens[[#This Row],[Produto]],tProdutos[Produto],0)),"produto não cadastrado")</f>
        <v>FILA REBASE</v>
      </c>
      <c r="K2459" s="12">
        <f>tItens[[#This Row],[Qtd]]*tItens[[#This Row],[Vlr unit]]</f>
        <v>0</v>
      </c>
      <c r="L2459" s="6">
        <f>IFERROR(IF(INDEX(tProdutos[Desconto homologado],MATCH(tItens[[#This Row],[Produto]],tProdutos[Produto],0))="",DescontoPadrao,INDEX(tProdutos[Desconto homologado],MATCH(tItens[[#This Row],[Produto]],tProdutos[Produto],0))),DescontoPadrao)</f>
        <v>0.3</v>
      </c>
      <c r="M2459" s="12">
        <f>tItens[[#This Row],[Valor]]*(1-tItens[[#This Row],[Desconto]])</f>
        <v>0</v>
      </c>
      <c r="N2459" t="str">
        <f>IFERROR(INDEX(tProdutos[Foco],MATCH(tItens[[#This Row],[Produto]],tProdutos[Produto],0)),"Não")</f>
        <v>Não</v>
      </c>
      <c r="O2459" t="str">
        <f>IFERROR(INDEX(tEditais[SRP],MATCH(tItens[[#This Row],[Edital]],tEditais[Edital],0)),"Não")</f>
        <v>Sim</v>
      </c>
      <c r="P2459" s="4">
        <f>IF(COUNTIFS(INDEX(tItens[Edital],1):tItens[[#This Row],[Edital]],tItens[[#This Row],[Edital]],INDEX(tItens[Produto],1):tItens[[#This Row],[Produto]],tItens[[#This Row],[Produto]])=1,1,0)</f>
        <v>1</v>
      </c>
    </row>
    <row r="2460" spans="1:16" x14ac:dyDescent="0.25">
      <c r="A2460" t="s">
        <v>1259</v>
      </c>
      <c r="B2460">
        <v>35</v>
      </c>
      <c r="C2460" t="s">
        <v>5482</v>
      </c>
      <c r="D2460" t="s">
        <v>670</v>
      </c>
      <c r="E2460" s="13">
        <v>6</v>
      </c>
      <c r="F2460" s="12">
        <v>0</v>
      </c>
      <c r="G2460" t="str">
        <f>IFERROR(INDEX(tEditais[Órgão],MATCH(tItens[[#This Row],[Edital]],tEditais[Edital],0)),"")</f>
        <v>MUNICIPIO DE SANTA LUZIA</v>
      </c>
      <c r="H2460" t="str">
        <f>IFERROR(INDEX(tEditais[UF],MATCH(tItens[[#This Row],[Edital]],tEditais[Edital],0)),"")</f>
        <v>MA</v>
      </c>
      <c r="I2460" s="11">
        <f>IFERROR(INDEX(tEditais[Encerramento],MATCH(tItens[[#This Row],[Edital]],tEditais[Edital],0)),"")</f>
        <v>46310.375</v>
      </c>
      <c r="J2460" t="str">
        <f>IFERROR(INDEX(tProdutos[Classe],MATCH(tItens[[#This Row],[Produto]],tProdutos[Produto],0)),"produto não cadastrado")</f>
        <v>FILA REBASE</v>
      </c>
      <c r="K2460" s="12">
        <f>tItens[[#This Row],[Qtd]]*tItens[[#This Row],[Vlr unit]]</f>
        <v>0</v>
      </c>
      <c r="L2460" s="6">
        <f>IFERROR(IF(INDEX(tProdutos[Desconto homologado],MATCH(tItens[[#This Row],[Produto]],tProdutos[Produto],0))="",DescontoPadrao,INDEX(tProdutos[Desconto homologado],MATCH(tItens[[#This Row],[Produto]],tProdutos[Produto],0))),DescontoPadrao)</f>
        <v>0.53825503355704696</v>
      </c>
      <c r="M2460" s="12">
        <f>tItens[[#This Row],[Valor]]*(1-tItens[[#This Row],[Desconto]])</f>
        <v>0</v>
      </c>
      <c r="N2460" t="str">
        <f>IFERROR(INDEX(tProdutos[Foco],MATCH(tItens[[#This Row],[Produto]],tProdutos[Produto],0)),"Não")</f>
        <v>Não</v>
      </c>
      <c r="O2460" t="str">
        <f>IFERROR(INDEX(tEditais[SRP],MATCH(tItens[[#This Row],[Edital]],tEditais[Edital],0)),"Não")</f>
        <v>Sim</v>
      </c>
      <c r="P2460" s="4">
        <f>IF(COUNTIFS(INDEX(tItens[Edital],1):tItens[[#This Row],[Edital]],tItens[[#This Row],[Edital]],INDEX(tItens[Produto],1):tItens[[#This Row],[Produto]],tItens[[#This Row],[Produto]])=1,1,0)</f>
        <v>1</v>
      </c>
    </row>
    <row r="2461" spans="1:16" x14ac:dyDescent="0.25">
      <c r="A2461" t="s">
        <v>1259</v>
      </c>
      <c r="B2461">
        <v>139</v>
      </c>
      <c r="C2461" t="s">
        <v>5483</v>
      </c>
      <c r="D2461" t="s">
        <v>156</v>
      </c>
      <c r="E2461" s="13">
        <v>1</v>
      </c>
      <c r="F2461" s="12">
        <v>0</v>
      </c>
      <c r="G2461" t="str">
        <f>IFERROR(INDEX(tEditais[Órgão],MATCH(tItens[[#This Row],[Edital]],tEditais[Edital],0)),"")</f>
        <v>MUNICIPIO DE SANTA LUZIA</v>
      </c>
      <c r="H2461" t="str">
        <f>IFERROR(INDEX(tEditais[UF],MATCH(tItens[[#This Row],[Edital]],tEditais[Edital],0)),"")</f>
        <v>MA</v>
      </c>
      <c r="I2461" s="11">
        <f>IFERROR(INDEX(tEditais[Encerramento],MATCH(tItens[[#This Row],[Edital]],tEditais[Edital],0)),"")</f>
        <v>46310.375</v>
      </c>
      <c r="J2461" t="str">
        <f>IFERROR(INDEX(tProdutos[Classe],MATCH(tItens[[#This Row],[Produto]],tProdutos[Produto],0)),"produto não cadastrado")</f>
        <v>DISPUTADO</v>
      </c>
      <c r="K2461" s="12">
        <f>tItens[[#This Row],[Qtd]]*tItens[[#This Row],[Vlr unit]]</f>
        <v>0</v>
      </c>
      <c r="L2461" s="6">
        <f>IFERROR(IF(INDEX(tProdutos[Desconto homologado],MATCH(tItens[[#This Row],[Produto]],tProdutos[Produto],0))="",DescontoPadrao,INDEX(tProdutos[Desconto homologado],MATCH(tItens[[#This Row],[Produto]],tProdutos[Produto],0))),DescontoPadrao)</f>
        <v>0.27131852489802799</v>
      </c>
      <c r="M2461" s="12">
        <f>tItens[[#This Row],[Valor]]*(1-tItens[[#This Row],[Desconto]])</f>
        <v>0</v>
      </c>
      <c r="N2461" t="str">
        <f>IFERROR(INDEX(tProdutos[Foco],MATCH(tItens[[#This Row],[Produto]],tProdutos[Produto],0)),"Não")</f>
        <v>Não</v>
      </c>
      <c r="O2461" t="str">
        <f>IFERROR(INDEX(tEditais[SRP],MATCH(tItens[[#This Row],[Edital]],tEditais[Edital],0)),"Não")</f>
        <v>Sim</v>
      </c>
      <c r="P2461" s="4">
        <f>IF(COUNTIFS(INDEX(tItens[Edital],1):tItens[[#This Row],[Edital]],tItens[[#This Row],[Edital]],INDEX(tItens[Produto],1):tItens[[#This Row],[Produto]],tItens[[#This Row],[Produto]])=1,1,0)</f>
        <v>1</v>
      </c>
    </row>
    <row r="2462" spans="1:16" x14ac:dyDescent="0.25">
      <c r="A2462" t="s">
        <v>1259</v>
      </c>
      <c r="B2462">
        <v>148</v>
      </c>
      <c r="C2462" t="s">
        <v>5484</v>
      </c>
      <c r="D2462" t="s">
        <v>578</v>
      </c>
      <c r="E2462" s="13">
        <v>2</v>
      </c>
      <c r="F2462" s="12">
        <v>0</v>
      </c>
      <c r="G2462" t="str">
        <f>IFERROR(INDEX(tEditais[Órgão],MATCH(tItens[[#This Row],[Edital]],tEditais[Edital],0)),"")</f>
        <v>MUNICIPIO DE SANTA LUZIA</v>
      </c>
      <c r="H2462" t="str">
        <f>IFERROR(INDEX(tEditais[UF],MATCH(tItens[[#This Row],[Edital]],tEditais[Edital],0)),"")</f>
        <v>MA</v>
      </c>
      <c r="I2462" s="11">
        <f>IFERROR(INDEX(tEditais[Encerramento],MATCH(tItens[[#This Row],[Edital]],tEditais[Edital],0)),"")</f>
        <v>46310.375</v>
      </c>
      <c r="J2462" t="str">
        <f>IFERROR(INDEX(tProdutos[Classe],MATCH(tItens[[#This Row],[Produto]],tProdutos[Produto],0)),"produto não cadastrado")</f>
        <v>FILA REBASE</v>
      </c>
      <c r="K2462" s="12">
        <f>tItens[[#This Row],[Qtd]]*tItens[[#This Row],[Vlr unit]]</f>
        <v>0</v>
      </c>
      <c r="L2462" s="6">
        <f>IFERROR(IF(INDEX(tProdutos[Desconto homologado],MATCH(tItens[[#This Row],[Produto]],tProdutos[Produto],0))="",DescontoPadrao,INDEX(tProdutos[Desconto homologado],MATCH(tItens[[#This Row],[Produto]],tProdutos[Produto],0))),DescontoPadrao)</f>
        <v>0.36014625228519198</v>
      </c>
      <c r="M2462" s="12">
        <f>tItens[[#This Row],[Valor]]*(1-tItens[[#This Row],[Desconto]])</f>
        <v>0</v>
      </c>
      <c r="N2462" t="str">
        <f>IFERROR(INDEX(tProdutos[Foco],MATCH(tItens[[#This Row],[Produto]],tProdutos[Produto],0)),"Não")</f>
        <v>Não</v>
      </c>
      <c r="O2462" t="str">
        <f>IFERROR(INDEX(tEditais[SRP],MATCH(tItens[[#This Row],[Edital]],tEditais[Edital],0)),"Não")</f>
        <v>Sim</v>
      </c>
      <c r="P2462" s="4">
        <f>IF(COUNTIFS(INDEX(tItens[Edital],1):tItens[[#This Row],[Edital]],tItens[[#This Row],[Edital]],INDEX(tItens[Produto],1):tItens[[#This Row],[Produto]],tItens[[#This Row],[Produto]])=1,1,0)</f>
        <v>1</v>
      </c>
    </row>
    <row r="2463" spans="1:16" x14ac:dyDescent="0.25">
      <c r="A2463" t="s">
        <v>1259</v>
      </c>
      <c r="B2463">
        <v>149</v>
      </c>
      <c r="C2463" t="s">
        <v>5485</v>
      </c>
      <c r="D2463" t="s">
        <v>512</v>
      </c>
      <c r="E2463" s="13">
        <v>2</v>
      </c>
      <c r="F2463" s="12">
        <v>0</v>
      </c>
      <c r="G2463" t="str">
        <f>IFERROR(INDEX(tEditais[Órgão],MATCH(tItens[[#This Row],[Edital]],tEditais[Edital],0)),"")</f>
        <v>MUNICIPIO DE SANTA LUZIA</v>
      </c>
      <c r="H2463" t="str">
        <f>IFERROR(INDEX(tEditais[UF],MATCH(tItens[[#This Row],[Edital]],tEditais[Edital],0)),"")</f>
        <v>MA</v>
      </c>
      <c r="I2463" s="11">
        <f>IFERROR(INDEX(tEditais[Encerramento],MATCH(tItens[[#This Row],[Edital]],tEditais[Edital],0)),"")</f>
        <v>46310.375</v>
      </c>
      <c r="J2463" t="str">
        <f>IFERROR(INDEX(tProdutos[Classe],MATCH(tItens[[#This Row],[Produto]],tProdutos[Produto],0)),"produto não cadastrado")</f>
        <v>FILA REBASE</v>
      </c>
      <c r="K2463" s="12">
        <f>tItens[[#This Row],[Qtd]]*tItens[[#This Row],[Vlr unit]]</f>
        <v>0</v>
      </c>
      <c r="L2463" s="6">
        <f>IFERROR(IF(INDEX(tProdutos[Desconto homologado],MATCH(tItens[[#This Row],[Produto]],tProdutos[Produto],0))="",DescontoPadrao,INDEX(tProdutos[Desconto homologado],MATCH(tItens[[#This Row],[Produto]],tProdutos[Produto],0))),DescontoPadrao)</f>
        <v>0.32579365079365102</v>
      </c>
      <c r="M2463" s="12">
        <f>tItens[[#This Row],[Valor]]*(1-tItens[[#This Row],[Desconto]])</f>
        <v>0</v>
      </c>
      <c r="N2463" t="str">
        <f>IFERROR(INDEX(tProdutos[Foco],MATCH(tItens[[#This Row],[Produto]],tProdutos[Produto],0)),"Não")</f>
        <v>Não</v>
      </c>
      <c r="O2463" t="str">
        <f>IFERROR(INDEX(tEditais[SRP],MATCH(tItens[[#This Row],[Edital]],tEditais[Edital],0)),"Não")</f>
        <v>Sim</v>
      </c>
      <c r="P2463" s="4">
        <f>IF(COUNTIFS(INDEX(tItens[Edital],1):tItens[[#This Row],[Edital]],tItens[[#This Row],[Edital]],INDEX(tItens[Produto],1):tItens[[#This Row],[Produto]],tItens[[#This Row],[Produto]])=1,1,0)</f>
        <v>1</v>
      </c>
    </row>
    <row r="2464" spans="1:16" x14ac:dyDescent="0.25">
      <c r="A2464" t="s">
        <v>1259</v>
      </c>
      <c r="B2464">
        <v>185</v>
      </c>
      <c r="C2464" t="s">
        <v>5486</v>
      </c>
      <c r="D2464" t="s">
        <v>118</v>
      </c>
      <c r="E2464" s="13">
        <v>2</v>
      </c>
      <c r="F2464" s="12">
        <v>0</v>
      </c>
      <c r="G2464" t="str">
        <f>IFERROR(INDEX(tEditais[Órgão],MATCH(tItens[[#This Row],[Edital]],tEditais[Edital],0)),"")</f>
        <v>MUNICIPIO DE SANTA LUZIA</v>
      </c>
      <c r="H2464" t="str">
        <f>IFERROR(INDEX(tEditais[UF],MATCH(tItens[[#This Row],[Edital]],tEditais[Edital],0)),"")</f>
        <v>MA</v>
      </c>
      <c r="I2464" s="11">
        <f>IFERROR(INDEX(tEditais[Encerramento],MATCH(tItens[[#This Row],[Edital]],tEditais[Edital],0)),"")</f>
        <v>46310.375</v>
      </c>
      <c r="J2464" t="str">
        <f>IFERROR(INDEX(tProdutos[Classe],MATCH(tItens[[#This Row],[Produto]],tProdutos[Produto],0)),"produto não cadastrado")</f>
        <v>DISPUTADO</v>
      </c>
      <c r="K2464" s="12">
        <f>tItens[[#This Row],[Qtd]]*tItens[[#This Row],[Vlr unit]]</f>
        <v>0</v>
      </c>
      <c r="L2464" s="6">
        <f>IFERROR(IF(INDEX(tProdutos[Desconto homologado],MATCH(tItens[[#This Row],[Produto]],tProdutos[Produto],0))="",DescontoPadrao,INDEX(tProdutos[Desconto homologado],MATCH(tItens[[#This Row],[Produto]],tProdutos[Produto],0))),DescontoPadrao)</f>
        <v>0.45970952208503602</v>
      </c>
      <c r="M2464" s="12">
        <f>tItens[[#This Row],[Valor]]*(1-tItens[[#This Row],[Desconto]])</f>
        <v>0</v>
      </c>
      <c r="N2464" t="str">
        <f>IFERROR(INDEX(tProdutos[Foco],MATCH(tItens[[#This Row],[Produto]],tProdutos[Produto],0)),"Não")</f>
        <v>Não</v>
      </c>
      <c r="O2464" t="str">
        <f>IFERROR(INDEX(tEditais[SRP],MATCH(tItens[[#This Row],[Edital]],tEditais[Edital],0)),"Não")</f>
        <v>Sim</v>
      </c>
      <c r="P2464" s="4">
        <f>IF(COUNTIFS(INDEX(tItens[Edital],1):tItens[[#This Row],[Edital]],tItens[[#This Row],[Edital]],INDEX(tItens[Produto],1):tItens[[#This Row],[Produto]],tItens[[#This Row],[Produto]])=1,1,0)</f>
        <v>1</v>
      </c>
    </row>
    <row r="2465" spans="1:16" x14ac:dyDescent="0.25">
      <c r="A2465" t="s">
        <v>1259</v>
      </c>
      <c r="B2465">
        <v>186</v>
      </c>
      <c r="C2465" t="s">
        <v>5487</v>
      </c>
      <c r="D2465" t="s">
        <v>118</v>
      </c>
      <c r="E2465" s="13">
        <v>2</v>
      </c>
      <c r="F2465" s="12">
        <v>0</v>
      </c>
      <c r="G2465" t="str">
        <f>IFERROR(INDEX(tEditais[Órgão],MATCH(tItens[[#This Row],[Edital]],tEditais[Edital],0)),"")</f>
        <v>MUNICIPIO DE SANTA LUZIA</v>
      </c>
      <c r="H2465" t="str">
        <f>IFERROR(INDEX(tEditais[UF],MATCH(tItens[[#This Row],[Edital]],tEditais[Edital],0)),"")</f>
        <v>MA</v>
      </c>
      <c r="I2465" s="11">
        <f>IFERROR(INDEX(tEditais[Encerramento],MATCH(tItens[[#This Row],[Edital]],tEditais[Edital],0)),"")</f>
        <v>46310.375</v>
      </c>
      <c r="J2465" t="str">
        <f>IFERROR(INDEX(tProdutos[Classe],MATCH(tItens[[#This Row],[Produto]],tProdutos[Produto],0)),"produto não cadastrado")</f>
        <v>DISPUTADO</v>
      </c>
      <c r="K2465" s="12">
        <f>tItens[[#This Row],[Qtd]]*tItens[[#This Row],[Vlr unit]]</f>
        <v>0</v>
      </c>
      <c r="L2465" s="6">
        <f>IFERROR(IF(INDEX(tProdutos[Desconto homologado],MATCH(tItens[[#This Row],[Produto]],tProdutos[Produto],0))="",DescontoPadrao,INDEX(tProdutos[Desconto homologado],MATCH(tItens[[#This Row],[Produto]],tProdutos[Produto],0))),DescontoPadrao)</f>
        <v>0.45970952208503602</v>
      </c>
      <c r="M2465" s="12">
        <f>tItens[[#This Row],[Valor]]*(1-tItens[[#This Row],[Desconto]])</f>
        <v>0</v>
      </c>
      <c r="N2465" t="str">
        <f>IFERROR(INDEX(tProdutos[Foco],MATCH(tItens[[#This Row],[Produto]],tProdutos[Produto],0)),"Não")</f>
        <v>Não</v>
      </c>
      <c r="O2465" t="str">
        <f>IFERROR(INDEX(tEditais[SRP],MATCH(tItens[[#This Row],[Edital]],tEditais[Edital],0)),"Não")</f>
        <v>Sim</v>
      </c>
      <c r="P2465" s="4">
        <f>IF(COUNTIFS(INDEX(tItens[Edital],1):tItens[[#This Row],[Edital]],tItens[[#This Row],[Edital]],INDEX(tItens[Produto],1):tItens[[#This Row],[Produto]],tItens[[#This Row],[Produto]])=1,1,0)</f>
        <v>0</v>
      </c>
    </row>
    <row r="2466" spans="1:16" x14ac:dyDescent="0.25">
      <c r="A2466" t="s">
        <v>1264</v>
      </c>
      <c r="B2466">
        <v>8</v>
      </c>
      <c r="C2466" t="s">
        <v>5488</v>
      </c>
      <c r="D2466" t="s">
        <v>566</v>
      </c>
      <c r="E2466" s="13">
        <v>25</v>
      </c>
      <c r="F2466" s="12">
        <v>0</v>
      </c>
      <c r="G2466" t="str">
        <f>IFERROR(INDEX(tEditais[Órgão],MATCH(tItens[[#This Row],[Edital]],tEditais[Edital],0)),"")</f>
        <v>EMPRESA BRASILEIRA DE SERVICOS HOSPITALARES - EBSERH</v>
      </c>
      <c r="H2466" t="str">
        <f>IFERROR(INDEX(tEditais[UF],MATCH(tItens[[#This Row],[Edital]],tEditais[Edital],0)),"")</f>
        <v>MA</v>
      </c>
      <c r="I2466" s="11">
        <f>IFERROR(INDEX(tEditais[Encerramento],MATCH(tItens[[#This Row],[Edital]],tEditais[Edital],0)),"")</f>
        <v>46310.395833333336</v>
      </c>
      <c r="J2466" t="str">
        <f>IFERROR(INDEX(tProdutos[Classe],MATCH(tItens[[#This Row],[Produto]],tProdutos[Produto],0)),"produto não cadastrado")</f>
        <v>FILA REBASE</v>
      </c>
      <c r="K2466" s="12">
        <f>tItens[[#This Row],[Qtd]]*tItens[[#This Row],[Vlr unit]]</f>
        <v>0</v>
      </c>
      <c r="L2466" s="6">
        <f>IFERROR(IF(INDEX(tProdutos[Desconto homologado],MATCH(tItens[[#This Row],[Produto]],tProdutos[Produto],0))="",DescontoPadrao,INDEX(tProdutos[Desconto homologado],MATCH(tItens[[#This Row],[Produto]],tProdutos[Produto],0))),DescontoPadrao)</f>
        <v>0.1816062551698</v>
      </c>
      <c r="M2466" s="12">
        <f>tItens[[#This Row],[Valor]]*(1-tItens[[#This Row],[Desconto]])</f>
        <v>0</v>
      </c>
      <c r="N2466" t="str">
        <f>IFERROR(INDEX(tProdutos[Foco],MATCH(tItens[[#This Row],[Produto]],tProdutos[Produto],0)),"Não")</f>
        <v>Não</v>
      </c>
      <c r="O2466" t="str">
        <f>IFERROR(INDEX(tEditais[SRP],MATCH(tItens[[#This Row],[Edital]],tEditais[Edital],0)),"Não")</f>
        <v>Não</v>
      </c>
      <c r="P2466" s="4">
        <f>IF(COUNTIFS(INDEX(tItens[Edital],1):tItens[[#This Row],[Edital]],tItens[[#This Row],[Edital]],INDEX(tItens[Produto],1):tItens[[#This Row],[Produto]],tItens[[#This Row],[Produto]])=1,1,0)</f>
        <v>1</v>
      </c>
    </row>
    <row r="2467" spans="1:16" x14ac:dyDescent="0.25">
      <c r="A2467" t="s">
        <v>1264</v>
      </c>
      <c r="B2467">
        <v>9</v>
      </c>
      <c r="C2467" t="s">
        <v>5489</v>
      </c>
      <c r="D2467" t="s">
        <v>566</v>
      </c>
      <c r="E2467" s="13">
        <v>90</v>
      </c>
      <c r="F2467" s="12">
        <v>0</v>
      </c>
      <c r="G2467" t="str">
        <f>IFERROR(INDEX(tEditais[Órgão],MATCH(tItens[[#This Row],[Edital]],tEditais[Edital],0)),"")</f>
        <v>EMPRESA BRASILEIRA DE SERVICOS HOSPITALARES - EBSERH</v>
      </c>
      <c r="H2467" t="str">
        <f>IFERROR(INDEX(tEditais[UF],MATCH(tItens[[#This Row],[Edital]],tEditais[Edital],0)),"")</f>
        <v>MA</v>
      </c>
      <c r="I2467" s="11">
        <f>IFERROR(INDEX(tEditais[Encerramento],MATCH(tItens[[#This Row],[Edital]],tEditais[Edital],0)),"")</f>
        <v>46310.395833333336</v>
      </c>
      <c r="J2467" t="str">
        <f>IFERROR(INDEX(tProdutos[Classe],MATCH(tItens[[#This Row],[Produto]],tProdutos[Produto],0)),"produto não cadastrado")</f>
        <v>FILA REBASE</v>
      </c>
      <c r="K2467" s="12">
        <f>tItens[[#This Row],[Qtd]]*tItens[[#This Row],[Vlr unit]]</f>
        <v>0</v>
      </c>
      <c r="L2467" s="6">
        <f>IFERROR(IF(INDEX(tProdutos[Desconto homologado],MATCH(tItens[[#This Row],[Produto]],tProdutos[Produto],0))="",DescontoPadrao,INDEX(tProdutos[Desconto homologado],MATCH(tItens[[#This Row],[Produto]],tProdutos[Produto],0))),DescontoPadrao)</f>
        <v>0.1816062551698</v>
      </c>
      <c r="M2467" s="12">
        <f>tItens[[#This Row],[Valor]]*(1-tItens[[#This Row],[Desconto]])</f>
        <v>0</v>
      </c>
      <c r="N2467" t="str">
        <f>IFERROR(INDEX(tProdutos[Foco],MATCH(tItens[[#This Row],[Produto]],tProdutos[Produto],0)),"Não")</f>
        <v>Não</v>
      </c>
      <c r="O2467" t="str">
        <f>IFERROR(INDEX(tEditais[SRP],MATCH(tItens[[#This Row],[Edital]],tEditais[Edital],0)),"Não")</f>
        <v>Não</v>
      </c>
      <c r="P2467" s="4">
        <f>IF(COUNTIFS(INDEX(tItens[Edital],1):tItens[[#This Row],[Edital]],tItens[[#This Row],[Edital]],INDEX(tItens[Produto],1):tItens[[#This Row],[Produto]],tItens[[#This Row],[Produto]])=1,1,0)</f>
        <v>0</v>
      </c>
    </row>
    <row r="2468" spans="1:16" x14ac:dyDescent="0.25">
      <c r="A2468" t="s">
        <v>1264</v>
      </c>
      <c r="B2468">
        <v>10</v>
      </c>
      <c r="C2468" t="s">
        <v>5488</v>
      </c>
      <c r="D2468" t="s">
        <v>566</v>
      </c>
      <c r="E2468" s="13">
        <v>120</v>
      </c>
      <c r="F2468" s="12">
        <v>0</v>
      </c>
      <c r="G2468" t="str">
        <f>IFERROR(INDEX(tEditais[Órgão],MATCH(tItens[[#This Row],[Edital]],tEditais[Edital],0)),"")</f>
        <v>EMPRESA BRASILEIRA DE SERVICOS HOSPITALARES - EBSERH</v>
      </c>
      <c r="H2468" t="str">
        <f>IFERROR(INDEX(tEditais[UF],MATCH(tItens[[#This Row],[Edital]],tEditais[Edital],0)),"")</f>
        <v>MA</v>
      </c>
      <c r="I2468" s="11">
        <f>IFERROR(INDEX(tEditais[Encerramento],MATCH(tItens[[#This Row],[Edital]],tEditais[Edital],0)),"")</f>
        <v>46310.395833333336</v>
      </c>
      <c r="J2468" t="str">
        <f>IFERROR(INDEX(tProdutos[Classe],MATCH(tItens[[#This Row],[Produto]],tProdutos[Produto],0)),"produto não cadastrado")</f>
        <v>FILA REBASE</v>
      </c>
      <c r="K2468" s="12">
        <f>tItens[[#This Row],[Qtd]]*tItens[[#This Row],[Vlr unit]]</f>
        <v>0</v>
      </c>
      <c r="L2468" s="6">
        <f>IFERROR(IF(INDEX(tProdutos[Desconto homologado],MATCH(tItens[[#This Row],[Produto]],tProdutos[Produto],0))="",DescontoPadrao,INDEX(tProdutos[Desconto homologado],MATCH(tItens[[#This Row],[Produto]],tProdutos[Produto],0))),DescontoPadrao)</f>
        <v>0.1816062551698</v>
      </c>
      <c r="M2468" s="12">
        <f>tItens[[#This Row],[Valor]]*(1-tItens[[#This Row],[Desconto]])</f>
        <v>0</v>
      </c>
      <c r="N2468" t="str">
        <f>IFERROR(INDEX(tProdutos[Foco],MATCH(tItens[[#This Row],[Produto]],tProdutos[Produto],0)),"Não")</f>
        <v>Não</v>
      </c>
      <c r="O2468" t="str">
        <f>IFERROR(INDEX(tEditais[SRP],MATCH(tItens[[#This Row],[Edital]],tEditais[Edital],0)),"Não")</f>
        <v>Não</v>
      </c>
      <c r="P2468" s="4">
        <f>IF(COUNTIFS(INDEX(tItens[Edital],1):tItens[[#This Row],[Edital]],tItens[[#This Row],[Edital]],INDEX(tItens[Produto],1):tItens[[#This Row],[Produto]],tItens[[#This Row],[Produto]])=1,1,0)</f>
        <v>0</v>
      </c>
    </row>
    <row r="2469" spans="1:16" x14ac:dyDescent="0.25">
      <c r="A2469" t="s">
        <v>1267</v>
      </c>
      <c r="B2469">
        <v>7</v>
      </c>
      <c r="C2469" t="s">
        <v>5490</v>
      </c>
      <c r="D2469" t="s">
        <v>315</v>
      </c>
      <c r="E2469" s="13">
        <v>2000</v>
      </c>
      <c r="F2469" s="12">
        <v>12.88</v>
      </c>
      <c r="G2469" t="str">
        <f>IFERROR(INDEX(tEditais[Órgão],MATCH(tItens[[#This Row],[Edital]],tEditais[Edital],0)),"")</f>
        <v>MUNICIPIO DE LAGOA GRANDE DO MARANHAO</v>
      </c>
      <c r="H2469" t="str">
        <f>IFERROR(INDEX(tEditais[UF],MATCH(tItens[[#This Row],[Edital]],tEditais[Edital],0)),"")</f>
        <v>MA</v>
      </c>
      <c r="I2469" s="11">
        <f>IFERROR(INDEX(tEditais[Encerramento],MATCH(tItens[[#This Row],[Edital]],tEditais[Edital],0)),"")</f>
        <v>46310.416666666664</v>
      </c>
      <c r="J2469" t="str">
        <f>IFERROR(INDEX(tProdutos[Classe],MATCH(tItens[[#This Row],[Produto]],tProdutos[Produto],0)),"produto não cadastrado")</f>
        <v>FORA</v>
      </c>
      <c r="K2469" s="12">
        <f>tItens[[#This Row],[Qtd]]*tItens[[#This Row],[Vlr unit]]</f>
        <v>25760</v>
      </c>
      <c r="L2469" s="6">
        <f>IFERROR(IF(INDEX(tProdutos[Desconto homologado],MATCH(tItens[[#This Row],[Produto]],tProdutos[Produto],0))="",DescontoPadrao,INDEX(tProdutos[Desconto homologado],MATCH(tItens[[#This Row],[Produto]],tProdutos[Produto],0))),DescontoPadrao)</f>
        <v>0.38432036097010702</v>
      </c>
      <c r="M2469" s="12">
        <f>tItens[[#This Row],[Valor]]*(1-tItens[[#This Row],[Desconto]])</f>
        <v>15859.907501410044</v>
      </c>
      <c r="N2469" t="str">
        <f>IFERROR(INDEX(tProdutos[Foco],MATCH(tItens[[#This Row],[Produto]],tProdutos[Produto],0)),"Não")</f>
        <v>Não</v>
      </c>
      <c r="O2469" t="str">
        <f>IFERROR(INDEX(tEditais[SRP],MATCH(tItens[[#This Row],[Edital]],tEditais[Edital],0)),"Não")</f>
        <v>Sim</v>
      </c>
      <c r="P2469" s="4">
        <f>IF(COUNTIFS(INDEX(tItens[Edital],1):tItens[[#This Row],[Edital]],tItens[[#This Row],[Edital]],INDEX(tItens[Produto],1):tItens[[#This Row],[Produto]],tItens[[#This Row],[Produto]])=1,1,0)</f>
        <v>1</v>
      </c>
    </row>
    <row r="2470" spans="1:16" x14ac:dyDescent="0.25">
      <c r="A2470" t="s">
        <v>1267</v>
      </c>
      <c r="B2470">
        <v>8</v>
      </c>
      <c r="C2470" t="s">
        <v>5491</v>
      </c>
      <c r="D2470" t="s">
        <v>315</v>
      </c>
      <c r="E2470" s="13">
        <v>3000</v>
      </c>
      <c r="F2470" s="12">
        <v>13.2</v>
      </c>
      <c r="G2470" t="str">
        <f>IFERROR(INDEX(tEditais[Órgão],MATCH(tItens[[#This Row],[Edital]],tEditais[Edital],0)),"")</f>
        <v>MUNICIPIO DE LAGOA GRANDE DO MARANHAO</v>
      </c>
      <c r="H2470" t="str">
        <f>IFERROR(INDEX(tEditais[UF],MATCH(tItens[[#This Row],[Edital]],tEditais[Edital],0)),"")</f>
        <v>MA</v>
      </c>
      <c r="I2470" s="11">
        <f>IFERROR(INDEX(tEditais[Encerramento],MATCH(tItens[[#This Row],[Edital]],tEditais[Edital],0)),"")</f>
        <v>46310.416666666664</v>
      </c>
      <c r="J2470" t="str">
        <f>IFERROR(INDEX(tProdutos[Classe],MATCH(tItens[[#This Row],[Produto]],tProdutos[Produto],0)),"produto não cadastrado")</f>
        <v>FORA</v>
      </c>
      <c r="K2470" s="12">
        <f>tItens[[#This Row],[Qtd]]*tItens[[#This Row],[Vlr unit]]</f>
        <v>39600</v>
      </c>
      <c r="L2470" s="6">
        <f>IFERROR(IF(INDEX(tProdutos[Desconto homologado],MATCH(tItens[[#This Row],[Produto]],tProdutos[Produto],0))="",DescontoPadrao,INDEX(tProdutos[Desconto homologado],MATCH(tItens[[#This Row],[Produto]],tProdutos[Produto],0))),DescontoPadrao)</f>
        <v>0.38432036097010702</v>
      </c>
      <c r="M2470" s="12">
        <f>tItens[[#This Row],[Valor]]*(1-tItens[[#This Row],[Desconto]])</f>
        <v>24380.913705583764</v>
      </c>
      <c r="N2470" t="str">
        <f>IFERROR(INDEX(tProdutos[Foco],MATCH(tItens[[#This Row],[Produto]],tProdutos[Produto],0)),"Não")</f>
        <v>Não</v>
      </c>
      <c r="O2470" t="str">
        <f>IFERROR(INDEX(tEditais[SRP],MATCH(tItens[[#This Row],[Edital]],tEditais[Edital],0)),"Não")</f>
        <v>Sim</v>
      </c>
      <c r="P2470" s="4">
        <f>IF(COUNTIFS(INDEX(tItens[Edital],1):tItens[[#This Row],[Edital]],tItens[[#This Row],[Edital]],INDEX(tItens[Produto],1):tItens[[#This Row],[Produto]],tItens[[#This Row],[Produto]])=1,1,0)</f>
        <v>0</v>
      </c>
    </row>
    <row r="2471" spans="1:16" x14ac:dyDescent="0.25">
      <c r="A2471" t="s">
        <v>1267</v>
      </c>
      <c r="B2471">
        <v>9</v>
      </c>
      <c r="C2471" t="s">
        <v>5492</v>
      </c>
      <c r="D2471" t="s">
        <v>315</v>
      </c>
      <c r="E2471" s="13">
        <v>3000</v>
      </c>
      <c r="F2471" s="12">
        <v>17.059999999999999</v>
      </c>
      <c r="G2471" t="str">
        <f>IFERROR(INDEX(tEditais[Órgão],MATCH(tItens[[#This Row],[Edital]],tEditais[Edital],0)),"")</f>
        <v>MUNICIPIO DE LAGOA GRANDE DO MARANHAO</v>
      </c>
      <c r="H2471" t="str">
        <f>IFERROR(INDEX(tEditais[UF],MATCH(tItens[[#This Row],[Edital]],tEditais[Edital],0)),"")</f>
        <v>MA</v>
      </c>
      <c r="I2471" s="11">
        <f>IFERROR(INDEX(tEditais[Encerramento],MATCH(tItens[[#This Row],[Edital]],tEditais[Edital],0)),"")</f>
        <v>46310.416666666664</v>
      </c>
      <c r="J2471" t="str">
        <f>IFERROR(INDEX(tProdutos[Classe],MATCH(tItens[[#This Row],[Produto]],tProdutos[Produto],0)),"produto não cadastrado")</f>
        <v>FORA</v>
      </c>
      <c r="K2471" s="12">
        <f>tItens[[#This Row],[Qtd]]*tItens[[#This Row],[Vlr unit]]</f>
        <v>51179.999999999993</v>
      </c>
      <c r="L2471" s="6">
        <f>IFERROR(IF(INDEX(tProdutos[Desconto homologado],MATCH(tItens[[#This Row],[Produto]],tProdutos[Produto],0))="",DescontoPadrao,INDEX(tProdutos[Desconto homologado],MATCH(tItens[[#This Row],[Produto]],tProdutos[Produto],0))),DescontoPadrao)</f>
        <v>0.38432036097010702</v>
      </c>
      <c r="M2471" s="12">
        <f>tItens[[#This Row],[Valor]]*(1-tItens[[#This Row],[Desconto]])</f>
        <v>31510.483925549917</v>
      </c>
      <c r="N2471" t="str">
        <f>IFERROR(INDEX(tProdutos[Foco],MATCH(tItens[[#This Row],[Produto]],tProdutos[Produto],0)),"Não")</f>
        <v>Não</v>
      </c>
      <c r="O2471" t="str">
        <f>IFERROR(INDEX(tEditais[SRP],MATCH(tItens[[#This Row],[Edital]],tEditais[Edital],0)),"Não")</f>
        <v>Sim</v>
      </c>
      <c r="P2471" s="4">
        <f>IF(COUNTIFS(INDEX(tItens[Edital],1):tItens[[#This Row],[Edital]],tItens[[#This Row],[Edital]],INDEX(tItens[Produto],1):tItens[[#This Row],[Produto]],tItens[[#This Row],[Produto]])=1,1,0)</f>
        <v>0</v>
      </c>
    </row>
    <row r="2472" spans="1:16" x14ac:dyDescent="0.25">
      <c r="A2472" t="s">
        <v>1267</v>
      </c>
      <c r="B2472">
        <v>10</v>
      </c>
      <c r="C2472" t="s">
        <v>5493</v>
      </c>
      <c r="D2472" t="s">
        <v>315</v>
      </c>
      <c r="E2472" s="13">
        <v>3000</v>
      </c>
      <c r="F2472" s="12">
        <v>20.83</v>
      </c>
      <c r="G2472" t="str">
        <f>IFERROR(INDEX(tEditais[Órgão],MATCH(tItens[[#This Row],[Edital]],tEditais[Edital],0)),"")</f>
        <v>MUNICIPIO DE LAGOA GRANDE DO MARANHAO</v>
      </c>
      <c r="H2472" t="str">
        <f>IFERROR(INDEX(tEditais[UF],MATCH(tItens[[#This Row],[Edital]],tEditais[Edital],0)),"")</f>
        <v>MA</v>
      </c>
      <c r="I2472" s="11">
        <f>IFERROR(INDEX(tEditais[Encerramento],MATCH(tItens[[#This Row],[Edital]],tEditais[Edital],0)),"")</f>
        <v>46310.416666666664</v>
      </c>
      <c r="J2472" t="str">
        <f>IFERROR(INDEX(tProdutos[Classe],MATCH(tItens[[#This Row],[Produto]],tProdutos[Produto],0)),"produto não cadastrado")</f>
        <v>FORA</v>
      </c>
      <c r="K2472" s="12">
        <f>tItens[[#This Row],[Qtd]]*tItens[[#This Row],[Vlr unit]]</f>
        <v>62489.999999999993</v>
      </c>
      <c r="L2472" s="6">
        <f>IFERROR(IF(INDEX(tProdutos[Desconto homologado],MATCH(tItens[[#This Row],[Produto]],tProdutos[Produto],0))="",DescontoPadrao,INDEX(tProdutos[Desconto homologado],MATCH(tItens[[#This Row],[Produto]],tProdutos[Produto],0))),DescontoPadrao)</f>
        <v>0.38432036097010702</v>
      </c>
      <c r="M2472" s="12">
        <f>tItens[[#This Row],[Valor]]*(1-tItens[[#This Row],[Desconto]])</f>
        <v>38473.820642978011</v>
      </c>
      <c r="N2472" t="str">
        <f>IFERROR(INDEX(tProdutos[Foco],MATCH(tItens[[#This Row],[Produto]],tProdutos[Produto],0)),"Não")</f>
        <v>Não</v>
      </c>
      <c r="O2472" t="str">
        <f>IFERROR(INDEX(tEditais[SRP],MATCH(tItens[[#This Row],[Edital]],tEditais[Edital],0)),"Não")</f>
        <v>Sim</v>
      </c>
      <c r="P2472" s="4">
        <f>IF(COUNTIFS(INDEX(tItens[Edital],1):tItens[[#This Row],[Edital]],tItens[[#This Row],[Edital]],INDEX(tItens[Produto],1):tItens[[#This Row],[Produto]],tItens[[#This Row],[Produto]])=1,1,0)</f>
        <v>0</v>
      </c>
    </row>
    <row r="2473" spans="1:16" x14ac:dyDescent="0.25">
      <c r="A2473" t="s">
        <v>1267</v>
      </c>
      <c r="B2473">
        <v>11</v>
      </c>
      <c r="C2473" t="s">
        <v>5494</v>
      </c>
      <c r="D2473" t="s">
        <v>315</v>
      </c>
      <c r="E2473" s="13">
        <v>1000</v>
      </c>
      <c r="F2473" s="12">
        <v>20.83</v>
      </c>
      <c r="G2473" t="str">
        <f>IFERROR(INDEX(tEditais[Órgão],MATCH(tItens[[#This Row],[Edital]],tEditais[Edital],0)),"")</f>
        <v>MUNICIPIO DE LAGOA GRANDE DO MARANHAO</v>
      </c>
      <c r="H2473" t="str">
        <f>IFERROR(INDEX(tEditais[UF],MATCH(tItens[[#This Row],[Edital]],tEditais[Edital],0)),"")</f>
        <v>MA</v>
      </c>
      <c r="I2473" s="11">
        <f>IFERROR(INDEX(tEditais[Encerramento],MATCH(tItens[[#This Row],[Edital]],tEditais[Edital],0)),"")</f>
        <v>46310.416666666664</v>
      </c>
      <c r="J2473" t="str">
        <f>IFERROR(INDEX(tProdutos[Classe],MATCH(tItens[[#This Row],[Produto]],tProdutos[Produto],0)),"produto não cadastrado")</f>
        <v>FORA</v>
      </c>
      <c r="K2473" s="12">
        <f>tItens[[#This Row],[Qtd]]*tItens[[#This Row],[Vlr unit]]</f>
        <v>20830</v>
      </c>
      <c r="L2473" s="6">
        <f>IFERROR(IF(INDEX(tProdutos[Desconto homologado],MATCH(tItens[[#This Row],[Produto]],tProdutos[Produto],0))="",DescontoPadrao,INDEX(tProdutos[Desconto homologado],MATCH(tItens[[#This Row],[Produto]],tProdutos[Produto],0))),DescontoPadrao)</f>
        <v>0.38432036097010702</v>
      </c>
      <c r="M2473" s="12">
        <f>tItens[[#This Row],[Valor]]*(1-tItens[[#This Row],[Desconto]])</f>
        <v>12824.606880992671</v>
      </c>
      <c r="N2473" t="str">
        <f>IFERROR(INDEX(tProdutos[Foco],MATCH(tItens[[#This Row],[Produto]],tProdutos[Produto],0)),"Não")</f>
        <v>Não</v>
      </c>
      <c r="O2473" t="str">
        <f>IFERROR(INDEX(tEditais[SRP],MATCH(tItens[[#This Row],[Edital]],tEditais[Edital],0)),"Não")</f>
        <v>Sim</v>
      </c>
      <c r="P2473" s="4">
        <f>IF(COUNTIFS(INDEX(tItens[Edital],1):tItens[[#This Row],[Edital]],tItens[[#This Row],[Edital]],INDEX(tItens[Produto],1):tItens[[#This Row],[Produto]],tItens[[#This Row],[Produto]])=1,1,0)</f>
        <v>0</v>
      </c>
    </row>
    <row r="2474" spans="1:16" x14ac:dyDescent="0.25">
      <c r="A2474" t="s">
        <v>1267</v>
      </c>
      <c r="B2474">
        <v>12</v>
      </c>
      <c r="C2474" t="s">
        <v>5495</v>
      </c>
      <c r="D2474" t="s">
        <v>315</v>
      </c>
      <c r="E2474" s="13">
        <v>3000</v>
      </c>
      <c r="F2474" s="12">
        <v>19.27</v>
      </c>
      <c r="G2474" t="str">
        <f>IFERROR(INDEX(tEditais[Órgão],MATCH(tItens[[#This Row],[Edital]],tEditais[Edital],0)),"")</f>
        <v>MUNICIPIO DE LAGOA GRANDE DO MARANHAO</v>
      </c>
      <c r="H2474" t="str">
        <f>IFERROR(INDEX(tEditais[UF],MATCH(tItens[[#This Row],[Edital]],tEditais[Edital],0)),"")</f>
        <v>MA</v>
      </c>
      <c r="I2474" s="11">
        <f>IFERROR(INDEX(tEditais[Encerramento],MATCH(tItens[[#This Row],[Edital]],tEditais[Edital],0)),"")</f>
        <v>46310.416666666664</v>
      </c>
      <c r="J2474" t="str">
        <f>IFERROR(INDEX(tProdutos[Classe],MATCH(tItens[[#This Row],[Produto]],tProdutos[Produto],0)),"produto não cadastrado")</f>
        <v>FORA</v>
      </c>
      <c r="K2474" s="12">
        <f>tItens[[#This Row],[Qtd]]*tItens[[#This Row],[Vlr unit]]</f>
        <v>57810</v>
      </c>
      <c r="L2474" s="6">
        <f>IFERROR(IF(INDEX(tProdutos[Desconto homologado],MATCH(tItens[[#This Row],[Produto]],tProdutos[Produto],0))="",DescontoPadrao,INDEX(tProdutos[Desconto homologado],MATCH(tItens[[#This Row],[Produto]],tProdutos[Produto],0))),DescontoPadrao)</f>
        <v>0.38432036097010702</v>
      </c>
      <c r="M2474" s="12">
        <f>tItens[[#This Row],[Valor]]*(1-tItens[[#This Row],[Desconto]])</f>
        <v>35592.439932318113</v>
      </c>
      <c r="N2474" t="str">
        <f>IFERROR(INDEX(tProdutos[Foco],MATCH(tItens[[#This Row],[Produto]],tProdutos[Produto],0)),"Não")</f>
        <v>Não</v>
      </c>
      <c r="O2474" t="str">
        <f>IFERROR(INDEX(tEditais[SRP],MATCH(tItens[[#This Row],[Edital]],tEditais[Edital],0)),"Não")</f>
        <v>Sim</v>
      </c>
      <c r="P2474" s="4">
        <f>IF(COUNTIFS(INDEX(tItens[Edital],1):tItens[[#This Row],[Edital]],tItens[[#This Row],[Edital]],INDEX(tItens[Produto],1):tItens[[#This Row],[Produto]],tItens[[#This Row],[Produto]])=1,1,0)</f>
        <v>0</v>
      </c>
    </row>
    <row r="2475" spans="1:16" x14ac:dyDescent="0.25">
      <c r="A2475" t="s">
        <v>1267</v>
      </c>
      <c r="B2475">
        <v>13</v>
      </c>
      <c r="C2475" t="s">
        <v>5496</v>
      </c>
      <c r="D2475" t="s">
        <v>363</v>
      </c>
      <c r="E2475" s="13">
        <v>375</v>
      </c>
      <c r="F2475" s="12">
        <v>190.85</v>
      </c>
      <c r="G2475" t="str">
        <f>IFERROR(INDEX(tEditais[Órgão],MATCH(tItens[[#This Row],[Edital]],tEditais[Edital],0)),"")</f>
        <v>MUNICIPIO DE LAGOA GRANDE DO MARANHAO</v>
      </c>
      <c r="H2475" t="str">
        <f>IFERROR(INDEX(tEditais[UF],MATCH(tItens[[#This Row],[Edital]],tEditais[Edital],0)),"")</f>
        <v>MA</v>
      </c>
      <c r="I2475" s="11">
        <f>IFERROR(INDEX(tEditais[Encerramento],MATCH(tItens[[#This Row],[Edital]],tEditais[Edital],0)),"")</f>
        <v>46310.416666666664</v>
      </c>
      <c r="J2475" t="str">
        <f>IFERROR(INDEX(tProdutos[Classe],MATCH(tItens[[#This Row],[Produto]],tProdutos[Produto],0)),"produto não cadastrado")</f>
        <v>FORA</v>
      </c>
      <c r="K2475" s="12">
        <f>tItens[[#This Row],[Qtd]]*tItens[[#This Row],[Vlr unit]]</f>
        <v>71568.75</v>
      </c>
      <c r="L2475" s="6">
        <f>IFERROR(IF(INDEX(tProdutos[Desconto homologado],MATCH(tItens[[#This Row],[Produto]],tProdutos[Produto],0))="",DescontoPadrao,INDEX(tProdutos[Desconto homologado],MATCH(tItens[[#This Row],[Produto]],tProdutos[Produto],0))),DescontoPadrao)</f>
        <v>0.36454545454545501</v>
      </c>
      <c r="M2475" s="12">
        <f>tItens[[#This Row],[Valor]]*(1-tItens[[#This Row],[Desconto]])</f>
        <v>45478.687499999971</v>
      </c>
      <c r="N2475" t="str">
        <f>IFERROR(INDEX(tProdutos[Foco],MATCH(tItens[[#This Row],[Produto]],tProdutos[Produto],0)),"Não")</f>
        <v>Não</v>
      </c>
      <c r="O2475" t="str">
        <f>IFERROR(INDEX(tEditais[SRP],MATCH(tItens[[#This Row],[Edital]],tEditais[Edital],0)),"Não")</f>
        <v>Sim</v>
      </c>
      <c r="P2475" s="4">
        <f>IF(COUNTIFS(INDEX(tItens[Edital],1):tItens[[#This Row],[Edital]],tItens[[#This Row],[Edital]],INDEX(tItens[Produto],1):tItens[[#This Row],[Produto]],tItens[[#This Row],[Produto]])=1,1,0)</f>
        <v>1</v>
      </c>
    </row>
    <row r="2476" spans="1:16" x14ac:dyDescent="0.25">
      <c r="A2476" t="s">
        <v>1267</v>
      </c>
      <c r="B2476">
        <v>14</v>
      </c>
      <c r="C2476" t="s">
        <v>5497</v>
      </c>
      <c r="D2476" t="s">
        <v>363</v>
      </c>
      <c r="E2476" s="13">
        <v>125</v>
      </c>
      <c r="F2476" s="12">
        <v>190.85</v>
      </c>
      <c r="G2476" t="str">
        <f>IFERROR(INDEX(tEditais[Órgão],MATCH(tItens[[#This Row],[Edital]],tEditais[Edital],0)),"")</f>
        <v>MUNICIPIO DE LAGOA GRANDE DO MARANHAO</v>
      </c>
      <c r="H2476" t="str">
        <f>IFERROR(INDEX(tEditais[UF],MATCH(tItens[[#This Row],[Edital]],tEditais[Edital],0)),"")</f>
        <v>MA</v>
      </c>
      <c r="I2476" s="11">
        <f>IFERROR(INDEX(tEditais[Encerramento],MATCH(tItens[[#This Row],[Edital]],tEditais[Edital],0)),"")</f>
        <v>46310.416666666664</v>
      </c>
      <c r="J2476" t="str">
        <f>IFERROR(INDEX(tProdutos[Classe],MATCH(tItens[[#This Row],[Produto]],tProdutos[Produto],0)),"produto não cadastrado")</f>
        <v>FORA</v>
      </c>
      <c r="K2476" s="12">
        <f>tItens[[#This Row],[Qtd]]*tItens[[#This Row],[Vlr unit]]</f>
        <v>23856.25</v>
      </c>
      <c r="L2476" s="6">
        <f>IFERROR(IF(INDEX(tProdutos[Desconto homologado],MATCH(tItens[[#This Row],[Produto]],tProdutos[Produto],0))="",DescontoPadrao,INDEX(tProdutos[Desconto homologado],MATCH(tItens[[#This Row],[Produto]],tProdutos[Produto],0))),DescontoPadrao)</f>
        <v>0.36454545454545501</v>
      </c>
      <c r="M2476" s="12">
        <f>tItens[[#This Row],[Valor]]*(1-tItens[[#This Row],[Desconto]])</f>
        <v>15159.562499999991</v>
      </c>
      <c r="N2476" t="str">
        <f>IFERROR(INDEX(tProdutos[Foco],MATCH(tItens[[#This Row],[Produto]],tProdutos[Produto],0)),"Não")</f>
        <v>Não</v>
      </c>
      <c r="O2476" t="str">
        <f>IFERROR(INDEX(tEditais[SRP],MATCH(tItens[[#This Row],[Edital]],tEditais[Edital],0)),"Não")</f>
        <v>Sim</v>
      </c>
      <c r="P2476" s="4">
        <f>IF(COUNTIFS(INDEX(tItens[Edital],1):tItens[[#This Row],[Edital]],tItens[[#This Row],[Edital]],INDEX(tItens[Produto],1):tItens[[#This Row],[Produto]],tItens[[#This Row],[Produto]])=1,1,0)</f>
        <v>0</v>
      </c>
    </row>
    <row r="2477" spans="1:16" x14ac:dyDescent="0.25">
      <c r="A2477" t="s">
        <v>1267</v>
      </c>
      <c r="B2477">
        <v>26</v>
      </c>
      <c r="C2477" t="s">
        <v>5498</v>
      </c>
      <c r="D2477" t="s">
        <v>351</v>
      </c>
      <c r="E2477" s="13">
        <v>3000</v>
      </c>
      <c r="F2477" s="12">
        <v>16.63</v>
      </c>
      <c r="G2477" t="str">
        <f>IFERROR(INDEX(tEditais[Órgão],MATCH(tItens[[#This Row],[Edital]],tEditais[Edital],0)),"")</f>
        <v>MUNICIPIO DE LAGOA GRANDE DO MARANHAO</v>
      </c>
      <c r="H2477" t="str">
        <f>IFERROR(INDEX(tEditais[UF],MATCH(tItens[[#This Row],[Edital]],tEditais[Edital],0)),"")</f>
        <v>MA</v>
      </c>
      <c r="I2477" s="11">
        <f>IFERROR(INDEX(tEditais[Encerramento],MATCH(tItens[[#This Row],[Edital]],tEditais[Edital],0)),"")</f>
        <v>46310.416666666664</v>
      </c>
      <c r="J2477" t="str">
        <f>IFERROR(INDEX(tProdutos[Classe],MATCH(tItens[[#This Row],[Produto]],tProdutos[Produto],0)),"produto não cadastrado")</f>
        <v>FORA</v>
      </c>
      <c r="K2477" s="12">
        <f>tItens[[#This Row],[Qtd]]*tItens[[#This Row],[Vlr unit]]</f>
        <v>49890</v>
      </c>
      <c r="L2477" s="6">
        <f>IFERROR(IF(INDEX(tProdutos[Desconto homologado],MATCH(tItens[[#This Row],[Produto]],tProdutos[Produto],0))="",DescontoPadrao,INDEX(tProdutos[Desconto homologado],MATCH(tItens[[#This Row],[Produto]],tProdutos[Produto],0))),DescontoPadrao)</f>
        <v>0.33518005540166201</v>
      </c>
      <c r="M2477" s="12">
        <f>tItens[[#This Row],[Valor]]*(1-tItens[[#This Row],[Desconto]])</f>
        <v>33167.867036011085</v>
      </c>
      <c r="N2477" t="str">
        <f>IFERROR(INDEX(tProdutos[Foco],MATCH(tItens[[#This Row],[Produto]],tProdutos[Produto],0)),"Não")</f>
        <v>Não</v>
      </c>
      <c r="O2477" t="str">
        <f>IFERROR(INDEX(tEditais[SRP],MATCH(tItens[[#This Row],[Edital]],tEditais[Edital],0)),"Não")</f>
        <v>Sim</v>
      </c>
      <c r="P2477" s="4">
        <f>IF(COUNTIFS(INDEX(tItens[Edital],1):tItens[[#This Row],[Edital]],tItens[[#This Row],[Edital]],INDEX(tItens[Produto],1):tItens[[#This Row],[Produto]],tItens[[#This Row],[Produto]])=1,1,0)</f>
        <v>1</v>
      </c>
    </row>
    <row r="2478" spans="1:16" x14ac:dyDescent="0.25">
      <c r="A2478" t="s">
        <v>1267</v>
      </c>
      <c r="B2478">
        <v>27</v>
      </c>
      <c r="C2478" t="s">
        <v>5499</v>
      </c>
      <c r="D2478" t="s">
        <v>351</v>
      </c>
      <c r="E2478" s="13">
        <v>2000</v>
      </c>
      <c r="F2478" s="12">
        <v>26.52</v>
      </c>
      <c r="G2478" t="str">
        <f>IFERROR(INDEX(tEditais[Órgão],MATCH(tItens[[#This Row],[Edital]],tEditais[Edital],0)),"")</f>
        <v>MUNICIPIO DE LAGOA GRANDE DO MARANHAO</v>
      </c>
      <c r="H2478" t="str">
        <f>IFERROR(INDEX(tEditais[UF],MATCH(tItens[[#This Row],[Edital]],tEditais[Edital],0)),"")</f>
        <v>MA</v>
      </c>
      <c r="I2478" s="11">
        <f>IFERROR(INDEX(tEditais[Encerramento],MATCH(tItens[[#This Row],[Edital]],tEditais[Edital],0)),"")</f>
        <v>46310.416666666664</v>
      </c>
      <c r="J2478" t="str">
        <f>IFERROR(INDEX(tProdutos[Classe],MATCH(tItens[[#This Row],[Produto]],tProdutos[Produto],0)),"produto não cadastrado")</f>
        <v>FORA</v>
      </c>
      <c r="K2478" s="12">
        <f>tItens[[#This Row],[Qtd]]*tItens[[#This Row],[Vlr unit]]</f>
        <v>53040</v>
      </c>
      <c r="L2478" s="6">
        <f>IFERROR(IF(INDEX(tProdutos[Desconto homologado],MATCH(tItens[[#This Row],[Produto]],tProdutos[Produto],0))="",DescontoPadrao,INDEX(tProdutos[Desconto homologado],MATCH(tItens[[#This Row],[Produto]],tProdutos[Produto],0))),DescontoPadrao)</f>
        <v>0.33518005540166201</v>
      </c>
      <c r="M2478" s="12">
        <f>tItens[[#This Row],[Valor]]*(1-tItens[[#This Row],[Desconto]])</f>
        <v>35262.049861495849</v>
      </c>
      <c r="N2478" t="str">
        <f>IFERROR(INDEX(tProdutos[Foco],MATCH(tItens[[#This Row],[Produto]],tProdutos[Produto],0)),"Não")</f>
        <v>Não</v>
      </c>
      <c r="O2478" t="str">
        <f>IFERROR(INDEX(tEditais[SRP],MATCH(tItens[[#This Row],[Edital]],tEditais[Edital],0)),"Não")</f>
        <v>Sim</v>
      </c>
      <c r="P2478" s="4">
        <f>IF(COUNTIFS(INDEX(tItens[Edital],1):tItens[[#This Row],[Edital]],tItens[[#This Row],[Edital]],INDEX(tItens[Produto],1):tItens[[#This Row],[Produto]],tItens[[#This Row],[Produto]])=1,1,0)</f>
        <v>0</v>
      </c>
    </row>
    <row r="2479" spans="1:16" x14ac:dyDescent="0.25">
      <c r="A2479" t="s">
        <v>1267</v>
      </c>
      <c r="B2479">
        <v>29</v>
      </c>
      <c r="C2479" t="s">
        <v>5500</v>
      </c>
      <c r="D2479" t="s">
        <v>389</v>
      </c>
      <c r="E2479" s="13">
        <v>100</v>
      </c>
      <c r="F2479" s="12">
        <v>31.2</v>
      </c>
      <c r="G2479" t="str">
        <f>IFERROR(INDEX(tEditais[Órgão],MATCH(tItens[[#This Row],[Edital]],tEditais[Edital],0)),"")</f>
        <v>MUNICIPIO DE LAGOA GRANDE DO MARANHAO</v>
      </c>
      <c r="H2479" t="str">
        <f>IFERROR(INDEX(tEditais[UF],MATCH(tItens[[#This Row],[Edital]],tEditais[Edital],0)),"")</f>
        <v>MA</v>
      </c>
      <c r="I2479" s="11">
        <f>IFERROR(INDEX(tEditais[Encerramento],MATCH(tItens[[#This Row],[Edital]],tEditais[Edital],0)),"")</f>
        <v>46310.416666666664</v>
      </c>
      <c r="J2479" t="str">
        <f>IFERROR(INDEX(tProdutos[Classe],MATCH(tItens[[#This Row],[Produto]],tProdutos[Produto],0)),"produto não cadastrado")</f>
        <v>FORA</v>
      </c>
      <c r="K2479" s="12">
        <f>tItens[[#This Row],[Qtd]]*tItens[[#This Row],[Vlr unit]]</f>
        <v>3120</v>
      </c>
      <c r="L2479" s="6">
        <f>IFERROR(IF(INDEX(tProdutos[Desconto homologado],MATCH(tItens[[#This Row],[Produto]],tProdutos[Produto],0))="",DescontoPadrao,INDEX(tProdutos[Desconto homologado],MATCH(tItens[[#This Row],[Produto]],tProdutos[Produto],0))),DescontoPadrao)</f>
        <v>0.39163140573577798</v>
      </c>
      <c r="M2479" s="12">
        <f>tItens[[#This Row],[Valor]]*(1-tItens[[#This Row],[Desconto]])</f>
        <v>1898.1100141043728</v>
      </c>
      <c r="N2479" t="str">
        <f>IFERROR(INDEX(tProdutos[Foco],MATCH(tItens[[#This Row],[Produto]],tProdutos[Produto],0)),"Não")</f>
        <v>Não</v>
      </c>
      <c r="O2479" t="str">
        <f>IFERROR(INDEX(tEditais[SRP],MATCH(tItens[[#This Row],[Edital]],tEditais[Edital],0)),"Não")</f>
        <v>Sim</v>
      </c>
      <c r="P2479" s="4">
        <f>IF(COUNTIFS(INDEX(tItens[Edital],1):tItens[[#This Row],[Edital]],tItens[[#This Row],[Edital]],INDEX(tItens[Produto],1):tItens[[#This Row],[Produto]],tItens[[#This Row],[Produto]])=1,1,0)</f>
        <v>1</v>
      </c>
    </row>
    <row r="2480" spans="1:16" x14ac:dyDescent="0.25">
      <c r="A2480" t="s">
        <v>1267</v>
      </c>
      <c r="B2480">
        <v>46</v>
      </c>
      <c r="C2480" t="s">
        <v>5501</v>
      </c>
      <c r="D2480" t="s">
        <v>355</v>
      </c>
      <c r="E2480" s="13">
        <v>50</v>
      </c>
      <c r="F2480" s="12">
        <v>52.43</v>
      </c>
      <c r="G2480" t="str">
        <f>IFERROR(INDEX(tEditais[Órgão],MATCH(tItens[[#This Row],[Edital]],tEditais[Edital],0)),"")</f>
        <v>MUNICIPIO DE LAGOA GRANDE DO MARANHAO</v>
      </c>
      <c r="H2480" t="str">
        <f>IFERROR(INDEX(tEditais[UF],MATCH(tItens[[#This Row],[Edital]],tEditais[Edital],0)),"")</f>
        <v>MA</v>
      </c>
      <c r="I2480" s="11">
        <f>IFERROR(INDEX(tEditais[Encerramento],MATCH(tItens[[#This Row],[Edital]],tEditais[Edital],0)),"")</f>
        <v>46310.416666666664</v>
      </c>
      <c r="J2480" t="str">
        <f>IFERROR(INDEX(tProdutos[Classe],MATCH(tItens[[#This Row],[Produto]],tProdutos[Produto],0)),"produto não cadastrado")</f>
        <v>FORA</v>
      </c>
      <c r="K2480" s="12">
        <f>tItens[[#This Row],[Qtd]]*tItens[[#This Row],[Vlr unit]]</f>
        <v>2621.5</v>
      </c>
      <c r="L2480" s="6">
        <f>IFERROR(IF(INDEX(tProdutos[Desconto homologado],MATCH(tItens[[#This Row],[Produto]],tProdutos[Produto],0))="",DescontoPadrao,INDEX(tProdutos[Desconto homologado],MATCH(tItens[[#This Row],[Produto]],tProdutos[Produto],0))),DescontoPadrao)</f>
        <v>0.434133915574964</v>
      </c>
      <c r="M2480" s="12">
        <f>tItens[[#This Row],[Valor]]*(1-tItens[[#This Row],[Desconto]])</f>
        <v>1483.417940320232</v>
      </c>
      <c r="N2480" t="str">
        <f>IFERROR(INDEX(tProdutos[Foco],MATCH(tItens[[#This Row],[Produto]],tProdutos[Produto],0)),"Não")</f>
        <v>Não</v>
      </c>
      <c r="O2480" t="str">
        <f>IFERROR(INDEX(tEditais[SRP],MATCH(tItens[[#This Row],[Edital]],tEditais[Edital],0)),"Não")</f>
        <v>Sim</v>
      </c>
      <c r="P2480" s="4">
        <f>IF(COUNTIFS(INDEX(tItens[Edital],1):tItens[[#This Row],[Edital]],tItens[[#This Row],[Edital]],INDEX(tItens[Produto],1):tItens[[#This Row],[Produto]],tItens[[#This Row],[Produto]])=1,1,0)</f>
        <v>1</v>
      </c>
    </row>
    <row r="2481" spans="1:16" x14ac:dyDescent="0.25">
      <c r="A2481" t="s">
        <v>1267</v>
      </c>
      <c r="B2481">
        <v>47</v>
      </c>
      <c r="C2481" t="s">
        <v>5502</v>
      </c>
      <c r="D2481" t="s">
        <v>172</v>
      </c>
      <c r="E2481" s="13">
        <v>500</v>
      </c>
      <c r="F2481" s="12">
        <v>1.94</v>
      </c>
      <c r="G2481" t="str">
        <f>IFERROR(INDEX(tEditais[Órgão],MATCH(tItens[[#This Row],[Edital]],tEditais[Edital],0)),"")</f>
        <v>MUNICIPIO DE LAGOA GRANDE DO MARANHAO</v>
      </c>
      <c r="H2481" t="str">
        <f>IFERROR(INDEX(tEditais[UF],MATCH(tItens[[#This Row],[Edital]],tEditais[Edital],0)),"")</f>
        <v>MA</v>
      </c>
      <c r="I2481" s="11">
        <f>IFERROR(INDEX(tEditais[Encerramento],MATCH(tItens[[#This Row],[Edital]],tEditais[Edital],0)),"")</f>
        <v>46310.416666666664</v>
      </c>
      <c r="J2481" t="str">
        <f>IFERROR(INDEX(tProdutos[Classe],MATCH(tItens[[#This Row],[Produto]],tProdutos[Produto],0)),"produto não cadastrado")</f>
        <v>DISPUTADO</v>
      </c>
      <c r="K2481" s="12">
        <f>tItens[[#This Row],[Qtd]]*tItens[[#This Row],[Vlr unit]]</f>
        <v>970</v>
      </c>
      <c r="L2481" s="6">
        <f>IFERROR(IF(INDEX(tProdutos[Desconto homologado],MATCH(tItens[[#This Row],[Produto]],tProdutos[Produto],0))="",DescontoPadrao,INDEX(tProdutos[Desconto homologado],MATCH(tItens[[#This Row],[Produto]],tProdutos[Produto],0))),DescontoPadrao)</f>
        <v>0.33578431372549</v>
      </c>
      <c r="M2481" s="12">
        <f>tItens[[#This Row],[Valor]]*(1-tItens[[#This Row],[Desconto]])</f>
        <v>644.2892156862747</v>
      </c>
      <c r="N2481" t="str">
        <f>IFERROR(INDEX(tProdutos[Foco],MATCH(tItens[[#This Row],[Produto]],tProdutos[Produto],0)),"Não")</f>
        <v>Não</v>
      </c>
      <c r="O2481" t="str">
        <f>IFERROR(INDEX(tEditais[SRP],MATCH(tItens[[#This Row],[Edital]],tEditais[Edital],0)),"Não")</f>
        <v>Sim</v>
      </c>
      <c r="P2481" s="4">
        <f>IF(COUNTIFS(INDEX(tItens[Edital],1):tItens[[#This Row],[Edital]],tItens[[#This Row],[Edital]],INDEX(tItens[Produto],1):tItens[[#This Row],[Produto]],tItens[[#This Row],[Produto]])=1,1,0)</f>
        <v>1</v>
      </c>
    </row>
    <row r="2482" spans="1:16" x14ac:dyDescent="0.25">
      <c r="A2482" t="s">
        <v>1267</v>
      </c>
      <c r="B2482">
        <v>48</v>
      </c>
      <c r="C2482" t="s">
        <v>5503</v>
      </c>
      <c r="D2482" t="s">
        <v>279</v>
      </c>
      <c r="E2482" s="13">
        <v>1300</v>
      </c>
      <c r="F2482" s="12">
        <v>1.22</v>
      </c>
      <c r="G2482" t="str">
        <f>IFERROR(INDEX(tEditais[Órgão],MATCH(tItens[[#This Row],[Edital]],tEditais[Edital],0)),"")</f>
        <v>MUNICIPIO DE LAGOA GRANDE DO MARANHAO</v>
      </c>
      <c r="H2482" t="str">
        <f>IFERROR(INDEX(tEditais[UF],MATCH(tItens[[#This Row],[Edital]],tEditais[Edital],0)),"")</f>
        <v>MA</v>
      </c>
      <c r="I2482" s="11">
        <f>IFERROR(INDEX(tEditais[Encerramento],MATCH(tItens[[#This Row],[Edital]],tEditais[Edital],0)),"")</f>
        <v>46310.416666666664</v>
      </c>
      <c r="J2482" t="str">
        <f>IFERROR(INDEX(tProdutos[Classe],MATCH(tItens[[#This Row],[Produto]],tProdutos[Produto],0)),"produto não cadastrado")</f>
        <v>FORA</v>
      </c>
      <c r="K2482" s="12">
        <f>tItens[[#This Row],[Qtd]]*tItens[[#This Row],[Vlr unit]]</f>
        <v>1586</v>
      </c>
      <c r="L2482" s="6">
        <f>IFERROR(IF(INDEX(tProdutos[Desconto homologado],MATCH(tItens[[#This Row],[Produto]],tProdutos[Produto],0))="",DescontoPadrao,INDEX(tProdutos[Desconto homologado],MATCH(tItens[[#This Row],[Produto]],tProdutos[Produto],0))),DescontoPadrao)</f>
        <v>0.28909090909090901</v>
      </c>
      <c r="M2482" s="12">
        <f>tItens[[#This Row],[Valor]]*(1-tItens[[#This Row],[Desconto]])</f>
        <v>1127.5018181818182</v>
      </c>
      <c r="N2482" t="str">
        <f>IFERROR(INDEX(tProdutos[Foco],MATCH(tItens[[#This Row],[Produto]],tProdutos[Produto],0)),"Não")</f>
        <v>Não</v>
      </c>
      <c r="O2482" t="str">
        <f>IFERROR(INDEX(tEditais[SRP],MATCH(tItens[[#This Row],[Edital]],tEditais[Edital],0)),"Não")</f>
        <v>Sim</v>
      </c>
      <c r="P2482" s="4">
        <f>IF(COUNTIFS(INDEX(tItens[Edital],1):tItens[[#This Row],[Edital]],tItens[[#This Row],[Edital]],INDEX(tItens[Produto],1):tItens[[#This Row],[Produto]],tItens[[#This Row],[Produto]])=1,1,0)</f>
        <v>1</v>
      </c>
    </row>
    <row r="2483" spans="1:16" x14ac:dyDescent="0.25">
      <c r="A2483" t="s">
        <v>1267</v>
      </c>
      <c r="B2483">
        <v>53</v>
      </c>
      <c r="C2483" t="s">
        <v>5504</v>
      </c>
      <c r="D2483" t="s">
        <v>209</v>
      </c>
      <c r="E2483" s="13">
        <v>5000</v>
      </c>
      <c r="F2483" s="12">
        <v>7.04</v>
      </c>
      <c r="G2483" t="str">
        <f>IFERROR(INDEX(tEditais[Órgão],MATCH(tItens[[#This Row],[Edital]],tEditais[Edital],0)),"")</f>
        <v>MUNICIPIO DE LAGOA GRANDE DO MARANHAO</v>
      </c>
      <c r="H2483" t="str">
        <f>IFERROR(INDEX(tEditais[UF],MATCH(tItens[[#This Row],[Edital]],tEditais[Edital],0)),"")</f>
        <v>MA</v>
      </c>
      <c r="I2483" s="11">
        <f>IFERROR(INDEX(tEditais[Encerramento],MATCH(tItens[[#This Row],[Edital]],tEditais[Edital],0)),"")</f>
        <v>46310.416666666664</v>
      </c>
      <c r="J2483" t="str">
        <f>IFERROR(INDEX(tProdutos[Classe],MATCH(tItens[[#This Row],[Produto]],tProdutos[Produto],0)),"produto não cadastrado")</f>
        <v>FORA</v>
      </c>
      <c r="K2483" s="12">
        <f>tItens[[#This Row],[Qtd]]*tItens[[#This Row],[Vlr unit]]</f>
        <v>35200</v>
      </c>
      <c r="L2483" s="6">
        <f>IFERROR(IF(INDEX(tProdutos[Desconto homologado],MATCH(tItens[[#This Row],[Produto]],tProdutos[Produto],0))="",DescontoPadrao,INDEX(tProdutos[Desconto homologado],MATCH(tItens[[#This Row],[Produto]],tProdutos[Produto],0))),DescontoPadrao)</f>
        <v>0.16442507504040599</v>
      </c>
      <c r="M2483" s="12">
        <f>tItens[[#This Row],[Valor]]*(1-tItens[[#This Row],[Desconto]])</f>
        <v>29412.23735857771</v>
      </c>
      <c r="N2483" t="str">
        <f>IFERROR(INDEX(tProdutos[Foco],MATCH(tItens[[#This Row],[Produto]],tProdutos[Produto],0)),"Não")</f>
        <v>Não</v>
      </c>
      <c r="O2483" t="str">
        <f>IFERROR(INDEX(tEditais[SRP],MATCH(tItens[[#This Row],[Edital]],tEditais[Edital],0)),"Não")</f>
        <v>Sim</v>
      </c>
      <c r="P2483" s="4">
        <f>IF(COUNTIFS(INDEX(tItens[Edital],1):tItens[[#This Row],[Edital]],tItens[[#This Row],[Edital]],INDEX(tItens[Produto],1):tItens[[#This Row],[Produto]],tItens[[#This Row],[Produto]])=1,1,0)</f>
        <v>1</v>
      </c>
    </row>
    <row r="2484" spans="1:16" x14ac:dyDescent="0.25">
      <c r="A2484" t="s">
        <v>1267</v>
      </c>
      <c r="B2484">
        <v>54</v>
      </c>
      <c r="C2484" t="s">
        <v>5505</v>
      </c>
      <c r="D2484" t="s">
        <v>187</v>
      </c>
      <c r="E2484" s="13">
        <v>50</v>
      </c>
      <c r="F2484" s="12">
        <v>7.52</v>
      </c>
      <c r="G2484" t="str">
        <f>IFERROR(INDEX(tEditais[Órgão],MATCH(tItens[[#This Row],[Edital]],tEditais[Edital],0)),"")</f>
        <v>MUNICIPIO DE LAGOA GRANDE DO MARANHAO</v>
      </c>
      <c r="H2484" t="str">
        <f>IFERROR(INDEX(tEditais[UF],MATCH(tItens[[#This Row],[Edital]],tEditais[Edital],0)),"")</f>
        <v>MA</v>
      </c>
      <c r="I2484" s="11">
        <f>IFERROR(INDEX(tEditais[Encerramento],MATCH(tItens[[#This Row],[Edital]],tEditais[Edital],0)),"")</f>
        <v>46310.416666666664</v>
      </c>
      <c r="J2484" t="str">
        <f>IFERROR(INDEX(tProdutos[Classe],MATCH(tItens[[#This Row],[Produto]],tProdutos[Produto],0)),"produto não cadastrado")</f>
        <v>DISPUTADO</v>
      </c>
      <c r="K2484" s="12">
        <f>tItens[[#This Row],[Qtd]]*tItens[[#This Row],[Vlr unit]]</f>
        <v>376</v>
      </c>
      <c r="L2484" s="6">
        <f>IFERROR(IF(INDEX(tProdutos[Desconto homologado],MATCH(tItens[[#This Row],[Produto]],tProdutos[Produto],0))="",DescontoPadrao,INDEX(tProdutos[Desconto homologado],MATCH(tItens[[#This Row],[Produto]],tProdutos[Produto],0))),DescontoPadrao)</f>
        <v>0.44298820445609399</v>
      </c>
      <c r="M2484" s="12">
        <f>tItens[[#This Row],[Valor]]*(1-tItens[[#This Row],[Desconto]])</f>
        <v>209.43643512450865</v>
      </c>
      <c r="N2484" t="str">
        <f>IFERROR(INDEX(tProdutos[Foco],MATCH(tItens[[#This Row],[Produto]],tProdutos[Produto],0)),"Não")</f>
        <v>Não</v>
      </c>
      <c r="O2484" t="str">
        <f>IFERROR(INDEX(tEditais[SRP],MATCH(tItens[[#This Row],[Edital]],tEditais[Edital],0)),"Não")</f>
        <v>Sim</v>
      </c>
      <c r="P2484" s="4">
        <f>IF(COUNTIFS(INDEX(tItens[Edital],1):tItens[[#This Row],[Edital]],tItens[[#This Row],[Edital]],INDEX(tItens[Produto],1):tItens[[#This Row],[Produto]],tItens[[#This Row],[Produto]])=1,1,0)</f>
        <v>1</v>
      </c>
    </row>
    <row r="2485" spans="1:16" x14ac:dyDescent="0.25">
      <c r="A2485" t="s">
        <v>1267</v>
      </c>
      <c r="B2485">
        <v>56</v>
      </c>
      <c r="C2485" t="s">
        <v>5506</v>
      </c>
      <c r="D2485" t="s">
        <v>102</v>
      </c>
      <c r="E2485" s="13">
        <v>400</v>
      </c>
      <c r="F2485" s="12">
        <v>6.48</v>
      </c>
      <c r="G2485" t="str">
        <f>IFERROR(INDEX(tEditais[Órgão],MATCH(tItens[[#This Row],[Edital]],tEditais[Edital],0)),"")</f>
        <v>MUNICIPIO DE LAGOA GRANDE DO MARANHAO</v>
      </c>
      <c r="H2485" t="str">
        <f>IFERROR(INDEX(tEditais[UF],MATCH(tItens[[#This Row],[Edital]],tEditais[Edital],0)),"")</f>
        <v>MA</v>
      </c>
      <c r="I2485" s="11">
        <f>IFERROR(INDEX(tEditais[Encerramento],MATCH(tItens[[#This Row],[Edital]],tEditais[Edital],0)),"")</f>
        <v>46310.416666666664</v>
      </c>
      <c r="J2485" t="str">
        <f>IFERROR(INDEX(tProdutos[Classe],MATCH(tItens[[#This Row],[Produto]],tProdutos[Produto],0)),"produto não cadastrado")</f>
        <v>DISPUTADO</v>
      </c>
      <c r="K2485" s="12">
        <f>tItens[[#This Row],[Qtd]]*tItens[[#This Row],[Vlr unit]]</f>
        <v>2592</v>
      </c>
      <c r="L2485" s="6">
        <f>IFERROR(IF(INDEX(tProdutos[Desconto homologado],MATCH(tItens[[#This Row],[Produto]],tProdutos[Produto],0))="",DescontoPadrao,INDEX(tProdutos[Desconto homologado],MATCH(tItens[[#This Row],[Produto]],tProdutos[Produto],0))),DescontoPadrao)</f>
        <v>0.38053097345132803</v>
      </c>
      <c r="M2485" s="12">
        <f>tItens[[#This Row],[Valor]]*(1-tItens[[#This Row],[Desconto]])</f>
        <v>1605.6637168141579</v>
      </c>
      <c r="N2485" t="str">
        <f>IFERROR(INDEX(tProdutos[Foco],MATCH(tItens[[#This Row],[Produto]],tProdutos[Produto],0)),"Não")</f>
        <v>Não</v>
      </c>
      <c r="O2485" t="str">
        <f>IFERROR(INDEX(tEditais[SRP],MATCH(tItens[[#This Row],[Edital]],tEditais[Edital],0)),"Não")</f>
        <v>Sim</v>
      </c>
      <c r="P2485" s="4">
        <f>IF(COUNTIFS(INDEX(tItens[Edital],1):tItens[[#This Row],[Edital]],tItens[[#This Row],[Edital]],INDEX(tItens[Produto],1):tItens[[#This Row],[Produto]],tItens[[#This Row],[Produto]])=1,1,0)</f>
        <v>1</v>
      </c>
    </row>
    <row r="2486" spans="1:16" x14ac:dyDescent="0.25">
      <c r="A2486" t="s">
        <v>1267</v>
      </c>
      <c r="B2486">
        <v>57</v>
      </c>
      <c r="C2486" t="s">
        <v>5507</v>
      </c>
      <c r="D2486" t="s">
        <v>60</v>
      </c>
      <c r="E2486" s="13">
        <v>1000</v>
      </c>
      <c r="F2486" s="12">
        <v>5.54</v>
      </c>
      <c r="G2486" t="str">
        <f>IFERROR(INDEX(tEditais[Órgão],MATCH(tItens[[#This Row],[Edital]],tEditais[Edital],0)),"")</f>
        <v>MUNICIPIO DE LAGOA GRANDE DO MARANHAO</v>
      </c>
      <c r="H2486" t="str">
        <f>IFERROR(INDEX(tEditais[UF],MATCH(tItens[[#This Row],[Edital]],tEditais[Edital],0)),"")</f>
        <v>MA</v>
      </c>
      <c r="I2486" s="11">
        <f>IFERROR(INDEX(tEditais[Encerramento],MATCH(tItens[[#This Row],[Edital]],tEditais[Edital],0)),"")</f>
        <v>46310.416666666664</v>
      </c>
      <c r="J2486" t="str">
        <f>IFERROR(INDEX(tProdutos[Classe],MATCH(tItens[[#This Row],[Produto]],tProdutos[Produto],0)),"produto não cadastrado")</f>
        <v>NÚCLEO</v>
      </c>
      <c r="K2486" s="12">
        <f>tItens[[#This Row],[Qtd]]*tItens[[#This Row],[Vlr unit]]</f>
        <v>5540</v>
      </c>
      <c r="L2486" s="6">
        <f>IFERROR(IF(INDEX(tProdutos[Desconto homologado],MATCH(tItens[[#This Row],[Produto]],tProdutos[Produto],0))="",DescontoPadrao,INDEX(tProdutos[Desconto homologado],MATCH(tItens[[#This Row],[Produto]],tProdutos[Produto],0))),DescontoPadrao)</f>
        <v>0.23</v>
      </c>
      <c r="M2486" s="12">
        <f>tItens[[#This Row],[Valor]]*(1-tItens[[#This Row],[Desconto]])</f>
        <v>4265.8</v>
      </c>
      <c r="N2486" t="str">
        <f>IFERROR(INDEX(tProdutos[Foco],MATCH(tItens[[#This Row],[Produto]],tProdutos[Produto],0)),"Não")</f>
        <v>Sim</v>
      </c>
      <c r="O2486" t="str">
        <f>IFERROR(INDEX(tEditais[SRP],MATCH(tItens[[#This Row],[Edital]],tEditais[Edital],0)),"Não")</f>
        <v>Sim</v>
      </c>
      <c r="P2486" s="4">
        <f>IF(COUNTIFS(INDEX(tItens[Edital],1):tItens[[#This Row],[Edital]],tItens[[#This Row],[Edital]],INDEX(tItens[Produto],1):tItens[[#This Row],[Produto]],tItens[[#This Row],[Produto]])=1,1,0)</f>
        <v>1</v>
      </c>
    </row>
    <row r="2487" spans="1:16" x14ac:dyDescent="0.25">
      <c r="A2487" t="s">
        <v>1267</v>
      </c>
      <c r="B2487">
        <v>59</v>
      </c>
      <c r="C2487" t="s">
        <v>5508</v>
      </c>
      <c r="D2487" t="s">
        <v>90</v>
      </c>
      <c r="E2487" s="13">
        <v>300</v>
      </c>
      <c r="F2487" s="12">
        <v>15.71</v>
      </c>
      <c r="G2487" t="str">
        <f>IFERROR(INDEX(tEditais[Órgão],MATCH(tItens[[#This Row],[Edital]],tEditais[Edital],0)),"")</f>
        <v>MUNICIPIO DE LAGOA GRANDE DO MARANHAO</v>
      </c>
      <c r="H2487" t="str">
        <f>IFERROR(INDEX(tEditais[UF],MATCH(tItens[[#This Row],[Edital]],tEditais[Edital],0)),"")</f>
        <v>MA</v>
      </c>
      <c r="I2487" s="11">
        <f>IFERROR(INDEX(tEditais[Encerramento],MATCH(tItens[[#This Row],[Edital]],tEditais[Edital],0)),"")</f>
        <v>46310.416666666664</v>
      </c>
      <c r="J2487" t="str">
        <f>IFERROR(INDEX(tProdutos[Classe],MATCH(tItens[[#This Row],[Produto]],tProdutos[Produto],0)),"produto não cadastrado")</f>
        <v>DISPUTADO</v>
      </c>
      <c r="K2487" s="12">
        <f>tItens[[#This Row],[Qtd]]*tItens[[#This Row],[Vlr unit]]</f>
        <v>4713</v>
      </c>
      <c r="L2487" s="6">
        <f>IFERROR(IF(INDEX(tProdutos[Desconto homologado],MATCH(tItens[[#This Row],[Produto]],tProdutos[Produto],0))="",DescontoPadrao,INDEX(tProdutos[Desconto homologado],MATCH(tItens[[#This Row],[Produto]],tProdutos[Produto],0))),DescontoPadrao)</f>
        <v>0.25393823957010597</v>
      </c>
      <c r="M2487" s="12">
        <f>tItens[[#This Row],[Valor]]*(1-tItens[[#This Row],[Desconto]])</f>
        <v>3516.1890769060906</v>
      </c>
      <c r="N2487" t="str">
        <f>IFERROR(INDEX(tProdutos[Foco],MATCH(tItens[[#This Row],[Produto]],tProdutos[Produto],0)),"Não")</f>
        <v>Não</v>
      </c>
      <c r="O2487" t="str">
        <f>IFERROR(INDEX(tEditais[SRP],MATCH(tItens[[#This Row],[Edital]],tEditais[Edital],0)),"Não")</f>
        <v>Sim</v>
      </c>
      <c r="P2487" s="4">
        <f>IF(COUNTIFS(INDEX(tItens[Edital],1):tItens[[#This Row],[Edital]],tItens[[#This Row],[Edital]],INDEX(tItens[Produto],1):tItens[[#This Row],[Produto]],tItens[[#This Row],[Produto]])=1,1,0)</f>
        <v>1</v>
      </c>
    </row>
    <row r="2488" spans="1:16" x14ac:dyDescent="0.25">
      <c r="A2488" t="s">
        <v>1267</v>
      </c>
      <c r="B2488">
        <v>60</v>
      </c>
      <c r="C2488" t="s">
        <v>5509</v>
      </c>
      <c r="D2488" t="s">
        <v>90</v>
      </c>
      <c r="E2488" s="13">
        <v>500</v>
      </c>
      <c r="F2488" s="12">
        <v>7.57</v>
      </c>
      <c r="G2488" t="str">
        <f>IFERROR(INDEX(tEditais[Órgão],MATCH(tItens[[#This Row],[Edital]],tEditais[Edital],0)),"")</f>
        <v>MUNICIPIO DE LAGOA GRANDE DO MARANHAO</v>
      </c>
      <c r="H2488" t="str">
        <f>IFERROR(INDEX(tEditais[UF],MATCH(tItens[[#This Row],[Edital]],tEditais[Edital],0)),"")</f>
        <v>MA</v>
      </c>
      <c r="I2488" s="11">
        <f>IFERROR(INDEX(tEditais[Encerramento],MATCH(tItens[[#This Row],[Edital]],tEditais[Edital],0)),"")</f>
        <v>46310.416666666664</v>
      </c>
      <c r="J2488" t="str">
        <f>IFERROR(INDEX(tProdutos[Classe],MATCH(tItens[[#This Row],[Produto]],tProdutos[Produto],0)),"produto não cadastrado")</f>
        <v>DISPUTADO</v>
      </c>
      <c r="K2488" s="12">
        <f>tItens[[#This Row],[Qtd]]*tItens[[#This Row],[Vlr unit]]</f>
        <v>3785</v>
      </c>
      <c r="L2488" s="6">
        <f>IFERROR(IF(INDEX(tProdutos[Desconto homologado],MATCH(tItens[[#This Row],[Produto]],tProdutos[Produto],0))="",DescontoPadrao,INDEX(tProdutos[Desconto homologado],MATCH(tItens[[#This Row],[Produto]],tProdutos[Produto],0))),DescontoPadrao)</f>
        <v>0.25393823957010597</v>
      </c>
      <c r="M2488" s="12">
        <f>tItens[[#This Row],[Valor]]*(1-tItens[[#This Row],[Desconto]])</f>
        <v>2823.8437632271489</v>
      </c>
      <c r="N2488" t="str">
        <f>IFERROR(INDEX(tProdutos[Foco],MATCH(tItens[[#This Row],[Produto]],tProdutos[Produto],0)),"Não")</f>
        <v>Não</v>
      </c>
      <c r="O2488" t="str">
        <f>IFERROR(INDEX(tEditais[SRP],MATCH(tItens[[#This Row],[Edital]],tEditais[Edital],0)),"Não")</f>
        <v>Sim</v>
      </c>
      <c r="P2488" s="4">
        <f>IF(COUNTIFS(INDEX(tItens[Edital],1):tItens[[#This Row],[Edital]],tItens[[#This Row],[Edital]],INDEX(tItens[Produto],1):tItens[[#This Row],[Produto]],tItens[[#This Row],[Produto]])=1,1,0)</f>
        <v>0</v>
      </c>
    </row>
    <row r="2489" spans="1:16" x14ac:dyDescent="0.25">
      <c r="A2489" t="s">
        <v>1267</v>
      </c>
      <c r="B2489">
        <v>61</v>
      </c>
      <c r="C2489" t="s">
        <v>5510</v>
      </c>
      <c r="D2489" t="s">
        <v>233</v>
      </c>
      <c r="E2489" s="13">
        <v>1000</v>
      </c>
      <c r="F2489" s="12">
        <v>27.34</v>
      </c>
      <c r="G2489" t="str">
        <f>IFERROR(INDEX(tEditais[Órgão],MATCH(tItens[[#This Row],[Edital]],tEditais[Edital],0)),"")</f>
        <v>MUNICIPIO DE LAGOA GRANDE DO MARANHAO</v>
      </c>
      <c r="H2489" t="str">
        <f>IFERROR(INDEX(tEditais[UF],MATCH(tItens[[#This Row],[Edital]],tEditais[Edital],0)),"")</f>
        <v>MA</v>
      </c>
      <c r="I2489" s="11">
        <f>IFERROR(INDEX(tEditais[Encerramento],MATCH(tItens[[#This Row],[Edital]],tEditais[Edital],0)),"")</f>
        <v>46310.416666666664</v>
      </c>
      <c r="J2489" t="str">
        <f>IFERROR(INDEX(tProdutos[Classe],MATCH(tItens[[#This Row],[Produto]],tProdutos[Produto],0)),"produto não cadastrado")</f>
        <v>FORA</v>
      </c>
      <c r="K2489" s="12">
        <f>tItens[[#This Row],[Qtd]]*tItens[[#This Row],[Vlr unit]]</f>
        <v>27340</v>
      </c>
      <c r="L2489" s="6">
        <f>IFERROR(IF(INDEX(tProdutos[Desconto homologado],MATCH(tItens[[#This Row],[Produto]],tProdutos[Produto],0))="",DescontoPadrao,INDEX(tProdutos[Desconto homologado],MATCH(tItens[[#This Row],[Produto]],tProdutos[Produto],0))),DescontoPadrao)</f>
        <v>0.246270084162204</v>
      </c>
      <c r="M2489" s="12">
        <f>tItens[[#This Row],[Valor]]*(1-tItens[[#This Row],[Desconto]])</f>
        <v>20606.975899005345</v>
      </c>
      <c r="N2489" t="str">
        <f>IFERROR(INDEX(tProdutos[Foco],MATCH(tItens[[#This Row],[Produto]],tProdutos[Produto],0)),"Não")</f>
        <v>Não</v>
      </c>
      <c r="O2489" t="str">
        <f>IFERROR(INDEX(tEditais[SRP],MATCH(tItens[[#This Row],[Edital]],tEditais[Edital],0)),"Não")</f>
        <v>Sim</v>
      </c>
      <c r="P2489" s="4">
        <f>IF(COUNTIFS(INDEX(tItens[Edital],1):tItens[[#This Row],[Edital]],tItens[[#This Row],[Edital]],INDEX(tItens[Produto],1):tItens[[#This Row],[Produto]],tItens[[#This Row],[Produto]])=1,1,0)</f>
        <v>1</v>
      </c>
    </row>
    <row r="2490" spans="1:16" x14ac:dyDescent="0.25">
      <c r="A2490" t="s">
        <v>1267</v>
      </c>
      <c r="B2490">
        <v>62</v>
      </c>
      <c r="C2490" t="s">
        <v>5511</v>
      </c>
      <c r="D2490" t="s">
        <v>75</v>
      </c>
      <c r="E2490" s="13">
        <v>500</v>
      </c>
      <c r="F2490" s="12">
        <v>3.54</v>
      </c>
      <c r="G2490" t="str">
        <f>IFERROR(INDEX(tEditais[Órgão],MATCH(tItens[[#This Row],[Edital]],tEditais[Edital],0)),"")</f>
        <v>MUNICIPIO DE LAGOA GRANDE DO MARANHAO</v>
      </c>
      <c r="H2490" t="str">
        <f>IFERROR(INDEX(tEditais[UF],MATCH(tItens[[#This Row],[Edital]],tEditais[Edital],0)),"")</f>
        <v>MA</v>
      </c>
      <c r="I2490" s="11">
        <f>IFERROR(INDEX(tEditais[Encerramento],MATCH(tItens[[#This Row],[Edital]],tEditais[Edital],0)),"")</f>
        <v>46310.416666666664</v>
      </c>
      <c r="J2490" t="str">
        <f>IFERROR(INDEX(tProdutos[Classe],MATCH(tItens[[#This Row],[Produto]],tProdutos[Produto],0)),"produto não cadastrado")</f>
        <v>NÚCLEO</v>
      </c>
      <c r="K2490" s="12">
        <f>tItens[[#This Row],[Qtd]]*tItens[[#This Row],[Vlr unit]]</f>
        <v>1770</v>
      </c>
      <c r="L2490" s="6">
        <f>IFERROR(IF(INDEX(tProdutos[Desconto homologado],MATCH(tItens[[#This Row],[Produto]],tProdutos[Produto],0))="",DescontoPadrao,INDEX(tProdutos[Desconto homologado],MATCH(tItens[[#This Row],[Produto]],tProdutos[Produto],0))),DescontoPadrao)</f>
        <v>0.26</v>
      </c>
      <c r="M2490" s="12">
        <f>tItens[[#This Row],[Valor]]*(1-tItens[[#This Row],[Desconto]])</f>
        <v>1309.8</v>
      </c>
      <c r="N2490" t="str">
        <f>IFERROR(INDEX(tProdutos[Foco],MATCH(tItens[[#This Row],[Produto]],tProdutos[Produto],0)),"Não")</f>
        <v>Sim</v>
      </c>
      <c r="O2490" t="str">
        <f>IFERROR(INDEX(tEditais[SRP],MATCH(tItens[[#This Row],[Edital]],tEditais[Edital],0)),"Não")</f>
        <v>Sim</v>
      </c>
      <c r="P2490" s="4">
        <f>IF(COUNTIFS(INDEX(tItens[Edital],1):tItens[[#This Row],[Edital]],tItens[[#This Row],[Edital]],INDEX(tItens[Produto],1):tItens[[#This Row],[Produto]],tItens[[#This Row],[Produto]])=1,1,0)</f>
        <v>1</v>
      </c>
    </row>
    <row r="2491" spans="1:16" x14ac:dyDescent="0.25">
      <c r="A2491" t="s">
        <v>1267</v>
      </c>
      <c r="B2491">
        <v>63</v>
      </c>
      <c r="C2491" t="s">
        <v>5512</v>
      </c>
      <c r="D2491" t="s">
        <v>75</v>
      </c>
      <c r="E2491" s="13">
        <v>1000</v>
      </c>
      <c r="F2491" s="12">
        <v>3.3</v>
      </c>
      <c r="G2491" t="str">
        <f>IFERROR(INDEX(tEditais[Órgão],MATCH(tItens[[#This Row],[Edital]],tEditais[Edital],0)),"")</f>
        <v>MUNICIPIO DE LAGOA GRANDE DO MARANHAO</v>
      </c>
      <c r="H2491" t="str">
        <f>IFERROR(INDEX(tEditais[UF],MATCH(tItens[[#This Row],[Edital]],tEditais[Edital],0)),"")</f>
        <v>MA</v>
      </c>
      <c r="I2491" s="11">
        <f>IFERROR(INDEX(tEditais[Encerramento],MATCH(tItens[[#This Row],[Edital]],tEditais[Edital],0)),"")</f>
        <v>46310.416666666664</v>
      </c>
      <c r="J2491" t="str">
        <f>IFERROR(INDEX(tProdutos[Classe],MATCH(tItens[[#This Row],[Produto]],tProdutos[Produto],0)),"produto não cadastrado")</f>
        <v>NÚCLEO</v>
      </c>
      <c r="K2491" s="12">
        <f>tItens[[#This Row],[Qtd]]*tItens[[#This Row],[Vlr unit]]</f>
        <v>3300</v>
      </c>
      <c r="L2491" s="6">
        <f>IFERROR(IF(INDEX(tProdutos[Desconto homologado],MATCH(tItens[[#This Row],[Produto]],tProdutos[Produto],0))="",DescontoPadrao,INDEX(tProdutos[Desconto homologado],MATCH(tItens[[#This Row],[Produto]],tProdutos[Produto],0))),DescontoPadrao)</f>
        <v>0.26</v>
      </c>
      <c r="M2491" s="12">
        <f>tItens[[#This Row],[Valor]]*(1-tItens[[#This Row],[Desconto]])</f>
        <v>2442</v>
      </c>
      <c r="N2491" t="str">
        <f>IFERROR(INDEX(tProdutos[Foco],MATCH(tItens[[#This Row],[Produto]],tProdutos[Produto],0)),"Não")</f>
        <v>Sim</v>
      </c>
      <c r="O2491" t="str">
        <f>IFERROR(INDEX(tEditais[SRP],MATCH(tItens[[#This Row],[Edital]],tEditais[Edital],0)),"Não")</f>
        <v>Sim</v>
      </c>
      <c r="P2491" s="4">
        <f>IF(COUNTIFS(INDEX(tItens[Edital],1):tItens[[#This Row],[Edital]],tItens[[#This Row],[Edital]],INDEX(tItens[Produto],1):tItens[[#This Row],[Produto]],tItens[[#This Row],[Produto]])=1,1,0)</f>
        <v>0</v>
      </c>
    </row>
    <row r="2492" spans="1:16" x14ac:dyDescent="0.25">
      <c r="A2492" t="s">
        <v>1267</v>
      </c>
      <c r="B2492">
        <v>64</v>
      </c>
      <c r="C2492" t="s">
        <v>5513</v>
      </c>
      <c r="D2492" t="s">
        <v>75</v>
      </c>
      <c r="E2492" s="13">
        <v>1000</v>
      </c>
      <c r="F2492" s="12">
        <v>3.36</v>
      </c>
      <c r="G2492" t="str">
        <f>IFERROR(INDEX(tEditais[Órgão],MATCH(tItens[[#This Row],[Edital]],tEditais[Edital],0)),"")</f>
        <v>MUNICIPIO DE LAGOA GRANDE DO MARANHAO</v>
      </c>
      <c r="H2492" t="str">
        <f>IFERROR(INDEX(tEditais[UF],MATCH(tItens[[#This Row],[Edital]],tEditais[Edital],0)),"")</f>
        <v>MA</v>
      </c>
      <c r="I2492" s="11">
        <f>IFERROR(INDEX(tEditais[Encerramento],MATCH(tItens[[#This Row],[Edital]],tEditais[Edital],0)),"")</f>
        <v>46310.416666666664</v>
      </c>
      <c r="J2492" t="str">
        <f>IFERROR(INDEX(tProdutos[Classe],MATCH(tItens[[#This Row],[Produto]],tProdutos[Produto],0)),"produto não cadastrado")</f>
        <v>NÚCLEO</v>
      </c>
      <c r="K2492" s="12">
        <f>tItens[[#This Row],[Qtd]]*tItens[[#This Row],[Vlr unit]]</f>
        <v>3360</v>
      </c>
      <c r="L2492" s="6">
        <f>IFERROR(IF(INDEX(tProdutos[Desconto homologado],MATCH(tItens[[#This Row],[Produto]],tProdutos[Produto],0))="",DescontoPadrao,INDEX(tProdutos[Desconto homologado],MATCH(tItens[[#This Row],[Produto]],tProdutos[Produto],0))),DescontoPadrao)</f>
        <v>0.26</v>
      </c>
      <c r="M2492" s="12">
        <f>tItens[[#This Row],[Valor]]*(1-tItens[[#This Row],[Desconto]])</f>
        <v>2486.4</v>
      </c>
      <c r="N2492" t="str">
        <f>IFERROR(INDEX(tProdutos[Foco],MATCH(tItens[[#This Row],[Produto]],tProdutos[Produto],0)),"Não")</f>
        <v>Sim</v>
      </c>
      <c r="O2492" t="str">
        <f>IFERROR(INDEX(tEditais[SRP],MATCH(tItens[[#This Row],[Edital]],tEditais[Edital],0)),"Não")</f>
        <v>Sim</v>
      </c>
      <c r="P2492" s="4">
        <f>IF(COUNTIFS(INDEX(tItens[Edital],1):tItens[[#This Row],[Edital]],tItens[[#This Row],[Edital]],INDEX(tItens[Produto],1):tItens[[#This Row],[Produto]],tItens[[#This Row],[Produto]])=1,1,0)</f>
        <v>0</v>
      </c>
    </row>
    <row r="2493" spans="1:16" x14ac:dyDescent="0.25">
      <c r="A2493" t="s">
        <v>1267</v>
      </c>
      <c r="B2493">
        <v>66</v>
      </c>
      <c r="C2493" t="s">
        <v>5514</v>
      </c>
      <c r="D2493" t="s">
        <v>259</v>
      </c>
      <c r="E2493" s="13">
        <v>250</v>
      </c>
      <c r="F2493" s="12">
        <v>37.5</v>
      </c>
      <c r="G2493" t="str">
        <f>IFERROR(INDEX(tEditais[Órgão],MATCH(tItens[[#This Row],[Edital]],tEditais[Edital],0)),"")</f>
        <v>MUNICIPIO DE LAGOA GRANDE DO MARANHAO</v>
      </c>
      <c r="H2493" t="str">
        <f>IFERROR(INDEX(tEditais[UF],MATCH(tItens[[#This Row],[Edital]],tEditais[Edital],0)),"")</f>
        <v>MA</v>
      </c>
      <c r="I2493" s="11">
        <f>IFERROR(INDEX(tEditais[Encerramento],MATCH(tItens[[#This Row],[Edital]],tEditais[Edital],0)),"")</f>
        <v>46310.416666666664</v>
      </c>
      <c r="J2493" t="str">
        <f>IFERROR(INDEX(tProdutos[Classe],MATCH(tItens[[#This Row],[Produto]],tProdutos[Produto],0)),"produto não cadastrado")</f>
        <v>FORA</v>
      </c>
      <c r="K2493" s="12">
        <f>tItens[[#This Row],[Qtd]]*tItens[[#This Row],[Vlr unit]]</f>
        <v>9375</v>
      </c>
      <c r="L2493" s="6">
        <f>IFERROR(IF(INDEX(tProdutos[Desconto homologado],MATCH(tItens[[#This Row],[Produto]],tProdutos[Produto],0))="",DescontoPadrao,INDEX(tProdutos[Desconto homologado],MATCH(tItens[[#This Row],[Produto]],tProdutos[Produto],0))),DescontoPadrao)</f>
        <v>0.374798283789543</v>
      </c>
      <c r="M2493" s="12">
        <f>tItens[[#This Row],[Valor]]*(1-tItens[[#This Row],[Desconto]])</f>
        <v>5861.2660894730352</v>
      </c>
      <c r="N2493" t="str">
        <f>IFERROR(INDEX(tProdutos[Foco],MATCH(tItens[[#This Row],[Produto]],tProdutos[Produto],0)),"Não")</f>
        <v>Não</v>
      </c>
      <c r="O2493" t="str">
        <f>IFERROR(INDEX(tEditais[SRP],MATCH(tItens[[#This Row],[Edital]],tEditais[Edital],0)),"Não")</f>
        <v>Sim</v>
      </c>
      <c r="P2493" s="4">
        <f>IF(COUNTIFS(INDEX(tItens[Edital],1):tItens[[#This Row],[Edital]],tItens[[#This Row],[Edital]],INDEX(tItens[Produto],1):tItens[[#This Row],[Produto]],tItens[[#This Row],[Produto]])=1,1,0)</f>
        <v>1</v>
      </c>
    </row>
    <row r="2494" spans="1:16" x14ac:dyDescent="0.25">
      <c r="A2494" t="s">
        <v>1267</v>
      </c>
      <c r="B2494">
        <v>67</v>
      </c>
      <c r="C2494" t="s">
        <v>5515</v>
      </c>
      <c r="D2494" t="s">
        <v>321</v>
      </c>
      <c r="E2494" s="13">
        <v>100</v>
      </c>
      <c r="F2494" s="12">
        <v>47.07</v>
      </c>
      <c r="G2494" t="str">
        <f>IFERROR(INDEX(tEditais[Órgão],MATCH(tItens[[#This Row],[Edital]],tEditais[Edital],0)),"")</f>
        <v>MUNICIPIO DE LAGOA GRANDE DO MARANHAO</v>
      </c>
      <c r="H2494" t="str">
        <f>IFERROR(INDEX(tEditais[UF],MATCH(tItens[[#This Row],[Edital]],tEditais[Edital],0)),"")</f>
        <v>MA</v>
      </c>
      <c r="I2494" s="11">
        <f>IFERROR(INDEX(tEditais[Encerramento],MATCH(tItens[[#This Row],[Edital]],tEditais[Edital],0)),"")</f>
        <v>46310.416666666664</v>
      </c>
      <c r="J2494" t="str">
        <f>IFERROR(INDEX(tProdutos[Classe],MATCH(tItens[[#This Row],[Produto]],tProdutos[Produto],0)),"produto não cadastrado")</f>
        <v>FORA</v>
      </c>
      <c r="K2494" s="12">
        <f>tItens[[#This Row],[Qtd]]*tItens[[#This Row],[Vlr unit]]</f>
        <v>4707</v>
      </c>
      <c r="L2494" s="6">
        <f>IFERROR(IF(INDEX(tProdutos[Desconto homologado],MATCH(tItens[[#This Row],[Produto]],tProdutos[Produto],0))="",DescontoPadrao,INDEX(tProdutos[Desconto homologado],MATCH(tItens[[#This Row],[Produto]],tProdutos[Produto],0))),DescontoPadrao)</f>
        <v>0.380257510729614</v>
      </c>
      <c r="M2494" s="12">
        <f>tItens[[#This Row],[Valor]]*(1-tItens[[#This Row],[Desconto]])</f>
        <v>2917.127896995707</v>
      </c>
      <c r="N2494" t="str">
        <f>IFERROR(INDEX(tProdutos[Foco],MATCH(tItens[[#This Row],[Produto]],tProdutos[Produto],0)),"Não")</f>
        <v>Não</v>
      </c>
      <c r="O2494" t="str">
        <f>IFERROR(INDEX(tEditais[SRP],MATCH(tItens[[#This Row],[Edital]],tEditais[Edital],0)),"Não")</f>
        <v>Sim</v>
      </c>
      <c r="P2494" s="4">
        <f>IF(COUNTIFS(INDEX(tItens[Edital],1):tItens[[#This Row],[Edital]],tItens[[#This Row],[Edital]],INDEX(tItens[Produto],1):tItens[[#This Row],[Produto]],tItens[[#This Row],[Produto]])=1,1,0)</f>
        <v>1</v>
      </c>
    </row>
    <row r="2495" spans="1:16" x14ac:dyDescent="0.25">
      <c r="A2495" t="s">
        <v>1267</v>
      </c>
      <c r="B2495">
        <v>68</v>
      </c>
      <c r="C2495" t="s">
        <v>5516</v>
      </c>
      <c r="D2495" t="s">
        <v>321</v>
      </c>
      <c r="E2495" s="13">
        <v>100</v>
      </c>
      <c r="F2495" s="12">
        <v>59.42</v>
      </c>
      <c r="G2495" t="str">
        <f>IFERROR(INDEX(tEditais[Órgão],MATCH(tItens[[#This Row],[Edital]],tEditais[Edital],0)),"")</f>
        <v>MUNICIPIO DE LAGOA GRANDE DO MARANHAO</v>
      </c>
      <c r="H2495" t="str">
        <f>IFERROR(INDEX(tEditais[UF],MATCH(tItens[[#This Row],[Edital]],tEditais[Edital],0)),"")</f>
        <v>MA</v>
      </c>
      <c r="I2495" s="11">
        <f>IFERROR(INDEX(tEditais[Encerramento],MATCH(tItens[[#This Row],[Edital]],tEditais[Edital],0)),"")</f>
        <v>46310.416666666664</v>
      </c>
      <c r="J2495" t="str">
        <f>IFERROR(INDEX(tProdutos[Classe],MATCH(tItens[[#This Row],[Produto]],tProdutos[Produto],0)),"produto não cadastrado")</f>
        <v>FORA</v>
      </c>
      <c r="K2495" s="12">
        <f>tItens[[#This Row],[Qtd]]*tItens[[#This Row],[Vlr unit]]</f>
        <v>5942</v>
      </c>
      <c r="L2495" s="6">
        <f>IFERROR(IF(INDEX(tProdutos[Desconto homologado],MATCH(tItens[[#This Row],[Produto]],tProdutos[Produto],0))="",DescontoPadrao,INDEX(tProdutos[Desconto homologado],MATCH(tItens[[#This Row],[Produto]],tProdutos[Produto],0))),DescontoPadrao)</f>
        <v>0.380257510729614</v>
      </c>
      <c r="M2495" s="12">
        <f>tItens[[#This Row],[Valor]]*(1-tItens[[#This Row],[Desconto]])</f>
        <v>3682.5098712446338</v>
      </c>
      <c r="N2495" t="str">
        <f>IFERROR(INDEX(tProdutos[Foco],MATCH(tItens[[#This Row],[Produto]],tProdutos[Produto],0)),"Não")</f>
        <v>Não</v>
      </c>
      <c r="O2495" t="str">
        <f>IFERROR(INDEX(tEditais[SRP],MATCH(tItens[[#This Row],[Edital]],tEditais[Edital],0)),"Não")</f>
        <v>Sim</v>
      </c>
      <c r="P2495" s="4">
        <f>IF(COUNTIFS(INDEX(tItens[Edital],1):tItens[[#This Row],[Edital]],tItens[[#This Row],[Edital]],INDEX(tItens[Produto],1):tItens[[#This Row],[Produto]],tItens[[#This Row],[Produto]])=1,1,0)</f>
        <v>0</v>
      </c>
    </row>
    <row r="2496" spans="1:16" x14ac:dyDescent="0.25">
      <c r="A2496" t="s">
        <v>1267</v>
      </c>
      <c r="B2496">
        <v>69</v>
      </c>
      <c r="C2496" t="s">
        <v>5517</v>
      </c>
      <c r="D2496" t="s">
        <v>321</v>
      </c>
      <c r="E2496" s="13">
        <v>100</v>
      </c>
      <c r="F2496" s="12">
        <v>75.53</v>
      </c>
      <c r="G2496" t="str">
        <f>IFERROR(INDEX(tEditais[Órgão],MATCH(tItens[[#This Row],[Edital]],tEditais[Edital],0)),"")</f>
        <v>MUNICIPIO DE LAGOA GRANDE DO MARANHAO</v>
      </c>
      <c r="H2496" t="str">
        <f>IFERROR(INDEX(tEditais[UF],MATCH(tItens[[#This Row],[Edital]],tEditais[Edital],0)),"")</f>
        <v>MA</v>
      </c>
      <c r="I2496" s="11">
        <f>IFERROR(INDEX(tEditais[Encerramento],MATCH(tItens[[#This Row],[Edital]],tEditais[Edital],0)),"")</f>
        <v>46310.416666666664</v>
      </c>
      <c r="J2496" t="str">
        <f>IFERROR(INDEX(tProdutos[Classe],MATCH(tItens[[#This Row],[Produto]],tProdutos[Produto],0)),"produto não cadastrado")</f>
        <v>FORA</v>
      </c>
      <c r="K2496" s="12">
        <f>tItens[[#This Row],[Qtd]]*tItens[[#This Row],[Vlr unit]]</f>
        <v>7553</v>
      </c>
      <c r="L2496" s="6">
        <f>IFERROR(IF(INDEX(tProdutos[Desconto homologado],MATCH(tItens[[#This Row],[Produto]],tProdutos[Produto],0))="",DescontoPadrao,INDEX(tProdutos[Desconto homologado],MATCH(tItens[[#This Row],[Produto]],tProdutos[Produto],0))),DescontoPadrao)</f>
        <v>0.380257510729614</v>
      </c>
      <c r="M2496" s="12">
        <f>tItens[[#This Row],[Valor]]*(1-tItens[[#This Row],[Desconto]])</f>
        <v>4680.9150214592255</v>
      </c>
      <c r="N2496" t="str">
        <f>IFERROR(INDEX(tProdutos[Foco],MATCH(tItens[[#This Row],[Produto]],tProdutos[Produto],0)),"Não")</f>
        <v>Não</v>
      </c>
      <c r="O2496" t="str">
        <f>IFERROR(INDEX(tEditais[SRP],MATCH(tItens[[#This Row],[Edital]],tEditais[Edital],0)),"Não")</f>
        <v>Sim</v>
      </c>
      <c r="P2496" s="4">
        <f>IF(COUNTIFS(INDEX(tItens[Edital],1):tItens[[#This Row],[Edital]],tItens[[#This Row],[Edital]],INDEX(tItens[Produto],1):tItens[[#This Row],[Produto]],tItens[[#This Row],[Produto]])=1,1,0)</f>
        <v>0</v>
      </c>
    </row>
    <row r="2497" spans="1:16" x14ac:dyDescent="0.25">
      <c r="A2497" t="s">
        <v>1267</v>
      </c>
      <c r="B2497">
        <v>91</v>
      </c>
      <c r="C2497" t="s">
        <v>5518</v>
      </c>
      <c r="D2497" t="s">
        <v>142</v>
      </c>
      <c r="E2497" s="13">
        <v>1500</v>
      </c>
      <c r="F2497" s="12">
        <v>77.3</v>
      </c>
      <c r="G2497" t="str">
        <f>IFERROR(INDEX(tEditais[Órgão],MATCH(tItens[[#This Row],[Edital]],tEditais[Edital],0)),"")</f>
        <v>MUNICIPIO DE LAGOA GRANDE DO MARANHAO</v>
      </c>
      <c r="H2497" t="str">
        <f>IFERROR(INDEX(tEditais[UF],MATCH(tItens[[#This Row],[Edital]],tEditais[Edital],0)),"")</f>
        <v>MA</v>
      </c>
      <c r="I2497" s="11">
        <f>IFERROR(INDEX(tEditais[Encerramento],MATCH(tItens[[#This Row],[Edital]],tEditais[Edital],0)),"")</f>
        <v>46310.416666666664</v>
      </c>
      <c r="J2497" t="str">
        <f>IFERROR(INDEX(tProdutos[Classe],MATCH(tItens[[#This Row],[Produto]],tProdutos[Produto],0)),"produto não cadastrado")</f>
        <v>DISPUTADO</v>
      </c>
      <c r="K2497" s="12">
        <f>tItens[[#This Row],[Qtd]]*tItens[[#This Row],[Vlr unit]]</f>
        <v>115950</v>
      </c>
      <c r="L2497" s="6">
        <f>IFERROR(IF(INDEX(tProdutos[Desconto homologado],MATCH(tItens[[#This Row],[Produto]],tProdutos[Produto],0))="",DescontoPadrao,INDEX(tProdutos[Desconto homologado],MATCH(tItens[[#This Row],[Produto]],tProdutos[Produto],0))),DescontoPadrao)</f>
        <v>0.37093619495691699</v>
      </c>
      <c r="M2497" s="12">
        <f>tItens[[#This Row],[Valor]]*(1-tItens[[#This Row],[Desconto]])</f>
        <v>72939.948194745477</v>
      </c>
      <c r="N2497" t="str">
        <f>IFERROR(INDEX(tProdutos[Foco],MATCH(tItens[[#This Row],[Produto]],tProdutos[Produto],0)),"Não")</f>
        <v>Não</v>
      </c>
      <c r="O2497" t="str">
        <f>IFERROR(INDEX(tEditais[SRP],MATCH(tItens[[#This Row],[Edital]],tEditais[Edital],0)),"Não")</f>
        <v>Sim</v>
      </c>
      <c r="P2497" s="4">
        <f>IF(COUNTIFS(INDEX(tItens[Edital],1):tItens[[#This Row],[Edital]],tItens[[#This Row],[Edital]],INDEX(tItens[Produto],1):tItens[[#This Row],[Produto]],tItens[[#This Row],[Produto]])=1,1,0)</f>
        <v>1</v>
      </c>
    </row>
    <row r="2498" spans="1:16" x14ac:dyDescent="0.25">
      <c r="A2498" t="s">
        <v>1267</v>
      </c>
      <c r="B2498">
        <v>92</v>
      </c>
      <c r="C2498" t="s">
        <v>5519</v>
      </c>
      <c r="D2498" t="s">
        <v>142</v>
      </c>
      <c r="E2498" s="13">
        <v>500</v>
      </c>
      <c r="F2498" s="12">
        <v>77.3</v>
      </c>
      <c r="G2498" t="str">
        <f>IFERROR(INDEX(tEditais[Órgão],MATCH(tItens[[#This Row],[Edital]],tEditais[Edital],0)),"")</f>
        <v>MUNICIPIO DE LAGOA GRANDE DO MARANHAO</v>
      </c>
      <c r="H2498" t="str">
        <f>IFERROR(INDEX(tEditais[UF],MATCH(tItens[[#This Row],[Edital]],tEditais[Edital],0)),"")</f>
        <v>MA</v>
      </c>
      <c r="I2498" s="11">
        <f>IFERROR(INDEX(tEditais[Encerramento],MATCH(tItens[[#This Row],[Edital]],tEditais[Edital],0)),"")</f>
        <v>46310.416666666664</v>
      </c>
      <c r="J2498" t="str">
        <f>IFERROR(INDEX(tProdutos[Classe],MATCH(tItens[[#This Row],[Produto]],tProdutos[Produto],0)),"produto não cadastrado")</f>
        <v>DISPUTADO</v>
      </c>
      <c r="K2498" s="12">
        <f>tItens[[#This Row],[Qtd]]*tItens[[#This Row],[Vlr unit]]</f>
        <v>38650</v>
      </c>
      <c r="L2498" s="6">
        <f>IFERROR(IF(INDEX(tProdutos[Desconto homologado],MATCH(tItens[[#This Row],[Produto]],tProdutos[Produto],0))="",DescontoPadrao,INDEX(tProdutos[Desconto homologado],MATCH(tItens[[#This Row],[Produto]],tProdutos[Produto],0))),DescontoPadrao)</f>
        <v>0.37093619495691699</v>
      </c>
      <c r="M2498" s="12">
        <f>tItens[[#This Row],[Valor]]*(1-tItens[[#This Row],[Desconto]])</f>
        <v>24313.316064915158</v>
      </c>
      <c r="N2498" t="str">
        <f>IFERROR(INDEX(tProdutos[Foco],MATCH(tItens[[#This Row],[Produto]],tProdutos[Produto],0)),"Não")</f>
        <v>Não</v>
      </c>
      <c r="O2498" t="str">
        <f>IFERROR(INDEX(tEditais[SRP],MATCH(tItens[[#This Row],[Edital]],tEditais[Edital],0)),"Não")</f>
        <v>Sim</v>
      </c>
      <c r="P2498" s="4">
        <f>IF(COUNTIFS(INDEX(tItens[Edital],1):tItens[[#This Row],[Edital]],tItens[[#This Row],[Edital]],INDEX(tItens[Produto],1):tItens[[#This Row],[Produto]],tItens[[#This Row],[Produto]])=1,1,0)</f>
        <v>0</v>
      </c>
    </row>
    <row r="2499" spans="1:16" x14ac:dyDescent="0.25">
      <c r="A2499" t="s">
        <v>1267</v>
      </c>
      <c r="B2499">
        <v>95</v>
      </c>
      <c r="C2499" t="s">
        <v>5520</v>
      </c>
      <c r="D2499" t="s">
        <v>345</v>
      </c>
      <c r="E2499" s="13">
        <v>300</v>
      </c>
      <c r="F2499" s="12">
        <v>52.1</v>
      </c>
      <c r="G2499" t="str">
        <f>IFERROR(INDEX(tEditais[Órgão],MATCH(tItens[[#This Row],[Edital]],tEditais[Edital],0)),"")</f>
        <v>MUNICIPIO DE LAGOA GRANDE DO MARANHAO</v>
      </c>
      <c r="H2499" t="str">
        <f>IFERROR(INDEX(tEditais[UF],MATCH(tItens[[#This Row],[Edital]],tEditais[Edital],0)),"")</f>
        <v>MA</v>
      </c>
      <c r="I2499" s="11">
        <f>IFERROR(INDEX(tEditais[Encerramento],MATCH(tItens[[#This Row],[Edital]],tEditais[Edital],0)),"")</f>
        <v>46310.416666666664</v>
      </c>
      <c r="J2499" t="str">
        <f>IFERROR(INDEX(tProdutos[Classe],MATCH(tItens[[#This Row],[Produto]],tProdutos[Produto],0)),"produto não cadastrado")</f>
        <v>FORA</v>
      </c>
      <c r="K2499" s="12">
        <f>tItens[[#This Row],[Qtd]]*tItens[[#This Row],[Vlr unit]]</f>
        <v>15630</v>
      </c>
      <c r="L2499" s="6">
        <f>IFERROR(IF(INDEX(tProdutos[Desconto homologado],MATCH(tItens[[#This Row],[Produto]],tProdutos[Produto],0))="",DescontoPadrao,INDEX(tProdutos[Desconto homologado],MATCH(tItens[[#This Row],[Produto]],tProdutos[Produto],0))),DescontoPadrao)</f>
        <v>0.412394275616498</v>
      </c>
      <c r="M2499" s="12">
        <f>tItens[[#This Row],[Valor]]*(1-tItens[[#This Row],[Desconto]])</f>
        <v>9184.2774721141359</v>
      </c>
      <c r="N2499" t="str">
        <f>IFERROR(INDEX(tProdutos[Foco],MATCH(tItens[[#This Row],[Produto]],tProdutos[Produto],0)),"Não")</f>
        <v>Não</v>
      </c>
      <c r="O2499" t="str">
        <f>IFERROR(INDEX(tEditais[SRP],MATCH(tItens[[#This Row],[Edital]],tEditais[Edital],0)),"Não")</f>
        <v>Sim</v>
      </c>
      <c r="P2499" s="4">
        <f>IF(COUNTIFS(INDEX(tItens[Edital],1):tItens[[#This Row],[Edital]],tItens[[#This Row],[Edital]],INDEX(tItens[Produto],1):tItens[[#This Row],[Produto]],tItens[[#This Row],[Produto]])=1,1,0)</f>
        <v>1</v>
      </c>
    </row>
    <row r="2500" spans="1:16" x14ac:dyDescent="0.25">
      <c r="A2500" t="s">
        <v>1267</v>
      </c>
      <c r="B2500">
        <v>96</v>
      </c>
      <c r="C2500" t="s">
        <v>5521</v>
      </c>
      <c r="D2500" t="s">
        <v>345</v>
      </c>
      <c r="E2500" s="13">
        <v>300</v>
      </c>
      <c r="F2500" s="12">
        <v>49.07</v>
      </c>
      <c r="G2500" t="str">
        <f>IFERROR(INDEX(tEditais[Órgão],MATCH(tItens[[#This Row],[Edital]],tEditais[Edital],0)),"")</f>
        <v>MUNICIPIO DE LAGOA GRANDE DO MARANHAO</v>
      </c>
      <c r="H2500" t="str">
        <f>IFERROR(INDEX(tEditais[UF],MATCH(tItens[[#This Row],[Edital]],tEditais[Edital],0)),"")</f>
        <v>MA</v>
      </c>
      <c r="I2500" s="11">
        <f>IFERROR(INDEX(tEditais[Encerramento],MATCH(tItens[[#This Row],[Edital]],tEditais[Edital],0)),"")</f>
        <v>46310.416666666664</v>
      </c>
      <c r="J2500" t="str">
        <f>IFERROR(INDEX(tProdutos[Classe],MATCH(tItens[[#This Row],[Produto]],tProdutos[Produto],0)),"produto não cadastrado")</f>
        <v>FORA</v>
      </c>
      <c r="K2500" s="12">
        <f>tItens[[#This Row],[Qtd]]*tItens[[#This Row],[Vlr unit]]</f>
        <v>14721</v>
      </c>
      <c r="L2500" s="6">
        <f>IFERROR(IF(INDEX(tProdutos[Desconto homologado],MATCH(tItens[[#This Row],[Produto]],tProdutos[Produto],0))="",DescontoPadrao,INDEX(tProdutos[Desconto homologado],MATCH(tItens[[#This Row],[Produto]],tProdutos[Produto],0))),DescontoPadrao)</f>
        <v>0.412394275616498</v>
      </c>
      <c r="M2500" s="12">
        <f>tItens[[#This Row],[Valor]]*(1-tItens[[#This Row],[Desconto]])</f>
        <v>8650.143868649533</v>
      </c>
      <c r="N2500" t="str">
        <f>IFERROR(INDEX(tProdutos[Foco],MATCH(tItens[[#This Row],[Produto]],tProdutos[Produto],0)),"Não")</f>
        <v>Não</v>
      </c>
      <c r="O2500" t="str">
        <f>IFERROR(INDEX(tEditais[SRP],MATCH(tItens[[#This Row],[Edital]],tEditais[Edital],0)),"Não")</f>
        <v>Sim</v>
      </c>
      <c r="P2500" s="4">
        <f>IF(COUNTIFS(INDEX(tItens[Edital],1):tItens[[#This Row],[Edital]],tItens[[#This Row],[Edital]],INDEX(tItens[Produto],1):tItens[[#This Row],[Produto]],tItens[[#This Row],[Produto]])=1,1,0)</f>
        <v>0</v>
      </c>
    </row>
    <row r="2501" spans="1:16" x14ac:dyDescent="0.25">
      <c r="A2501" t="s">
        <v>1267</v>
      </c>
      <c r="B2501">
        <v>97</v>
      </c>
      <c r="C2501" t="s">
        <v>5522</v>
      </c>
      <c r="D2501" t="s">
        <v>345</v>
      </c>
      <c r="E2501" s="13">
        <v>300</v>
      </c>
      <c r="F2501" s="12">
        <v>45.28</v>
      </c>
      <c r="G2501" t="str">
        <f>IFERROR(INDEX(tEditais[Órgão],MATCH(tItens[[#This Row],[Edital]],tEditais[Edital],0)),"")</f>
        <v>MUNICIPIO DE LAGOA GRANDE DO MARANHAO</v>
      </c>
      <c r="H2501" t="str">
        <f>IFERROR(INDEX(tEditais[UF],MATCH(tItens[[#This Row],[Edital]],tEditais[Edital],0)),"")</f>
        <v>MA</v>
      </c>
      <c r="I2501" s="11">
        <f>IFERROR(INDEX(tEditais[Encerramento],MATCH(tItens[[#This Row],[Edital]],tEditais[Edital],0)),"")</f>
        <v>46310.416666666664</v>
      </c>
      <c r="J2501" t="str">
        <f>IFERROR(INDEX(tProdutos[Classe],MATCH(tItens[[#This Row],[Produto]],tProdutos[Produto],0)),"produto não cadastrado")</f>
        <v>FORA</v>
      </c>
      <c r="K2501" s="12">
        <f>tItens[[#This Row],[Qtd]]*tItens[[#This Row],[Vlr unit]]</f>
        <v>13584</v>
      </c>
      <c r="L2501" s="6">
        <f>IFERROR(IF(INDEX(tProdutos[Desconto homologado],MATCH(tItens[[#This Row],[Produto]],tProdutos[Produto],0))="",DescontoPadrao,INDEX(tProdutos[Desconto homologado],MATCH(tItens[[#This Row],[Produto]],tProdutos[Produto],0))),DescontoPadrao)</f>
        <v>0.412394275616498</v>
      </c>
      <c r="M2501" s="12">
        <f>tItens[[#This Row],[Valor]]*(1-tItens[[#This Row],[Desconto]])</f>
        <v>7982.036160025491</v>
      </c>
      <c r="N2501" t="str">
        <f>IFERROR(INDEX(tProdutos[Foco],MATCH(tItens[[#This Row],[Produto]],tProdutos[Produto],0)),"Não")</f>
        <v>Não</v>
      </c>
      <c r="O2501" t="str">
        <f>IFERROR(INDEX(tEditais[SRP],MATCH(tItens[[#This Row],[Edital]],tEditais[Edital],0)),"Não")</f>
        <v>Sim</v>
      </c>
      <c r="P2501" s="4">
        <f>IF(COUNTIFS(INDEX(tItens[Edital],1):tItens[[#This Row],[Edital]],tItens[[#This Row],[Edital]],INDEX(tItens[Produto],1):tItens[[#This Row],[Produto]],tItens[[#This Row],[Produto]])=1,1,0)</f>
        <v>0</v>
      </c>
    </row>
    <row r="2502" spans="1:16" x14ac:dyDescent="0.25">
      <c r="A2502" t="s">
        <v>1267</v>
      </c>
      <c r="B2502">
        <v>98</v>
      </c>
      <c r="C2502" t="s">
        <v>5523</v>
      </c>
      <c r="D2502" t="s">
        <v>339</v>
      </c>
      <c r="E2502" s="13">
        <v>1000</v>
      </c>
      <c r="F2502" s="12">
        <v>53.5</v>
      </c>
      <c r="G2502" t="str">
        <f>IFERROR(INDEX(tEditais[Órgão],MATCH(tItens[[#This Row],[Edital]],tEditais[Edital],0)),"")</f>
        <v>MUNICIPIO DE LAGOA GRANDE DO MARANHAO</v>
      </c>
      <c r="H2502" t="str">
        <f>IFERROR(INDEX(tEditais[UF],MATCH(tItens[[#This Row],[Edital]],tEditais[Edital],0)),"")</f>
        <v>MA</v>
      </c>
      <c r="I2502" s="11">
        <f>IFERROR(INDEX(tEditais[Encerramento],MATCH(tItens[[#This Row],[Edital]],tEditais[Edital],0)),"")</f>
        <v>46310.416666666664</v>
      </c>
      <c r="J2502" t="str">
        <f>IFERROR(INDEX(tProdutos[Classe],MATCH(tItens[[#This Row],[Produto]],tProdutos[Produto],0)),"produto não cadastrado")</f>
        <v>FORA</v>
      </c>
      <c r="K2502" s="12">
        <f>tItens[[#This Row],[Qtd]]*tItens[[#This Row],[Vlr unit]]</f>
        <v>53500</v>
      </c>
      <c r="L2502" s="6">
        <f>IFERROR(IF(INDEX(tProdutos[Desconto homologado],MATCH(tItens[[#This Row],[Produto]],tProdutos[Produto],0))="",DescontoPadrao,INDEX(tProdutos[Desconto homologado],MATCH(tItens[[#This Row],[Produto]],tProdutos[Produto],0))),DescontoPadrao)</f>
        <v>0.35388629091804102</v>
      </c>
      <c r="M2502" s="12">
        <f>tItens[[#This Row],[Valor]]*(1-tItens[[#This Row],[Desconto]])</f>
        <v>34567.083435884808</v>
      </c>
      <c r="N2502" t="str">
        <f>IFERROR(INDEX(tProdutos[Foco],MATCH(tItens[[#This Row],[Produto]],tProdutos[Produto],0)),"Não")</f>
        <v>Não</v>
      </c>
      <c r="O2502" t="str">
        <f>IFERROR(INDEX(tEditais[SRP],MATCH(tItens[[#This Row],[Edital]],tEditais[Edital],0)),"Não")</f>
        <v>Sim</v>
      </c>
      <c r="P2502" s="4">
        <f>IF(COUNTIFS(INDEX(tItens[Edital],1):tItens[[#This Row],[Edital]],tItens[[#This Row],[Edital]],INDEX(tItens[Produto],1):tItens[[#This Row],[Produto]],tItens[[#This Row],[Produto]])=1,1,0)</f>
        <v>1</v>
      </c>
    </row>
    <row r="2503" spans="1:16" x14ac:dyDescent="0.25">
      <c r="A2503" t="s">
        <v>1267</v>
      </c>
      <c r="B2503">
        <v>100</v>
      </c>
      <c r="C2503" t="s">
        <v>5524</v>
      </c>
      <c r="D2503" t="s">
        <v>343</v>
      </c>
      <c r="E2503" s="13">
        <v>750</v>
      </c>
      <c r="F2503" s="12">
        <v>184.33</v>
      </c>
      <c r="G2503" t="str">
        <f>IFERROR(INDEX(tEditais[Órgão],MATCH(tItens[[#This Row],[Edital]],tEditais[Edital],0)),"")</f>
        <v>MUNICIPIO DE LAGOA GRANDE DO MARANHAO</v>
      </c>
      <c r="H2503" t="str">
        <f>IFERROR(INDEX(tEditais[UF],MATCH(tItens[[#This Row],[Edital]],tEditais[Edital],0)),"")</f>
        <v>MA</v>
      </c>
      <c r="I2503" s="11">
        <f>IFERROR(INDEX(tEditais[Encerramento],MATCH(tItens[[#This Row],[Edital]],tEditais[Edital],0)),"")</f>
        <v>46310.416666666664</v>
      </c>
      <c r="J2503" t="str">
        <f>IFERROR(INDEX(tProdutos[Classe],MATCH(tItens[[#This Row],[Produto]],tProdutos[Produto],0)),"produto não cadastrado")</f>
        <v>FORA</v>
      </c>
      <c r="K2503" s="12">
        <f>tItens[[#This Row],[Qtd]]*tItens[[#This Row],[Vlr unit]]</f>
        <v>138247.5</v>
      </c>
      <c r="L2503" s="6">
        <f>IFERROR(IF(INDEX(tProdutos[Desconto homologado],MATCH(tItens[[#This Row],[Produto]],tProdutos[Produto],0))="",DescontoPadrao,INDEX(tProdutos[Desconto homologado],MATCH(tItens[[#This Row],[Produto]],tProdutos[Produto],0))),DescontoPadrao)</f>
        <v>0.35412234042553198</v>
      </c>
      <c r="M2503" s="12">
        <f>tItens[[#This Row],[Valor]]*(1-tItens[[#This Row],[Desconto]])</f>
        <v>89290.971742021255</v>
      </c>
      <c r="N2503" t="str">
        <f>IFERROR(INDEX(tProdutos[Foco],MATCH(tItens[[#This Row],[Produto]],tProdutos[Produto],0)),"Não")</f>
        <v>Não</v>
      </c>
      <c r="O2503" t="str">
        <f>IFERROR(INDEX(tEditais[SRP],MATCH(tItens[[#This Row],[Edital]],tEditais[Edital],0)),"Não")</f>
        <v>Sim</v>
      </c>
      <c r="P2503" s="4">
        <f>IF(COUNTIFS(INDEX(tItens[Edital],1):tItens[[#This Row],[Edital]],tItens[[#This Row],[Edital]],INDEX(tItens[Produto],1):tItens[[#This Row],[Produto]],tItens[[#This Row],[Produto]])=1,1,0)</f>
        <v>1</v>
      </c>
    </row>
    <row r="2504" spans="1:16" x14ac:dyDescent="0.25">
      <c r="A2504" t="s">
        <v>1267</v>
      </c>
      <c r="B2504">
        <v>101</v>
      </c>
      <c r="C2504" t="s">
        <v>5525</v>
      </c>
      <c r="D2504" t="s">
        <v>343</v>
      </c>
      <c r="E2504" s="13">
        <v>250</v>
      </c>
      <c r="F2504" s="12">
        <v>184.33</v>
      </c>
      <c r="G2504" t="str">
        <f>IFERROR(INDEX(tEditais[Órgão],MATCH(tItens[[#This Row],[Edital]],tEditais[Edital],0)),"")</f>
        <v>MUNICIPIO DE LAGOA GRANDE DO MARANHAO</v>
      </c>
      <c r="H2504" t="str">
        <f>IFERROR(INDEX(tEditais[UF],MATCH(tItens[[#This Row],[Edital]],tEditais[Edital],0)),"")</f>
        <v>MA</v>
      </c>
      <c r="I2504" s="11">
        <f>IFERROR(INDEX(tEditais[Encerramento],MATCH(tItens[[#This Row],[Edital]],tEditais[Edital],0)),"")</f>
        <v>46310.416666666664</v>
      </c>
      <c r="J2504" t="str">
        <f>IFERROR(INDEX(tProdutos[Classe],MATCH(tItens[[#This Row],[Produto]],tProdutos[Produto],0)),"produto não cadastrado")</f>
        <v>FORA</v>
      </c>
      <c r="K2504" s="12">
        <f>tItens[[#This Row],[Qtd]]*tItens[[#This Row],[Vlr unit]]</f>
        <v>46082.5</v>
      </c>
      <c r="L2504" s="6">
        <f>IFERROR(IF(INDEX(tProdutos[Desconto homologado],MATCH(tItens[[#This Row],[Produto]],tProdutos[Produto],0))="",DescontoPadrao,INDEX(tProdutos[Desconto homologado],MATCH(tItens[[#This Row],[Produto]],tProdutos[Produto],0))),DescontoPadrao)</f>
        <v>0.35412234042553198</v>
      </c>
      <c r="M2504" s="12">
        <f>tItens[[#This Row],[Valor]]*(1-tItens[[#This Row],[Desconto]])</f>
        <v>29763.657247340419</v>
      </c>
      <c r="N2504" t="str">
        <f>IFERROR(INDEX(tProdutos[Foco],MATCH(tItens[[#This Row],[Produto]],tProdutos[Produto],0)),"Não")</f>
        <v>Não</v>
      </c>
      <c r="O2504" t="str">
        <f>IFERROR(INDEX(tEditais[SRP],MATCH(tItens[[#This Row],[Edital]],tEditais[Edital],0)),"Não")</f>
        <v>Sim</v>
      </c>
      <c r="P2504" s="4">
        <f>IF(COUNTIFS(INDEX(tItens[Edital],1):tItens[[#This Row],[Edital]],tItens[[#This Row],[Edital]],INDEX(tItens[Produto],1):tItens[[#This Row],[Produto]],tItens[[#This Row],[Produto]])=1,1,0)</f>
        <v>0</v>
      </c>
    </row>
    <row r="2505" spans="1:16" x14ac:dyDescent="0.25">
      <c r="A2505" t="s">
        <v>1267</v>
      </c>
      <c r="B2505">
        <v>113</v>
      </c>
      <c r="C2505" t="s">
        <v>5526</v>
      </c>
      <c r="D2505" t="s">
        <v>56</v>
      </c>
      <c r="E2505" s="13">
        <v>100</v>
      </c>
      <c r="F2505" s="12">
        <v>93.11</v>
      </c>
      <c r="G2505" t="str">
        <f>IFERROR(INDEX(tEditais[Órgão],MATCH(tItens[[#This Row],[Edital]],tEditais[Edital],0)),"")</f>
        <v>MUNICIPIO DE LAGOA GRANDE DO MARANHAO</v>
      </c>
      <c r="H2505" t="str">
        <f>IFERROR(INDEX(tEditais[UF],MATCH(tItens[[#This Row],[Edital]],tEditais[Edital],0)),"")</f>
        <v>MA</v>
      </c>
      <c r="I2505" s="11">
        <f>IFERROR(INDEX(tEditais[Encerramento],MATCH(tItens[[#This Row],[Edital]],tEditais[Edital],0)),"")</f>
        <v>46310.416666666664</v>
      </c>
      <c r="J2505" t="str">
        <f>IFERROR(INDEX(tProdutos[Classe],MATCH(tItens[[#This Row],[Produto]],tProdutos[Produto],0)),"produto não cadastrado")</f>
        <v>NÚCLEO</v>
      </c>
      <c r="K2505" s="12">
        <f>tItens[[#This Row],[Qtd]]*tItens[[#This Row],[Vlr unit]]</f>
        <v>9311</v>
      </c>
      <c r="L2505" s="6">
        <f>IFERROR(IF(INDEX(tProdutos[Desconto homologado],MATCH(tItens[[#This Row],[Produto]],tProdutos[Produto],0))="",DescontoPadrao,INDEX(tProdutos[Desconto homologado],MATCH(tItens[[#This Row],[Produto]],tProdutos[Produto],0))),DescontoPadrao)</f>
        <v>0.34</v>
      </c>
      <c r="M2505" s="12">
        <f>tItens[[#This Row],[Valor]]*(1-tItens[[#This Row],[Desconto]])</f>
        <v>6145.2599999999993</v>
      </c>
      <c r="N2505" t="str">
        <f>IFERROR(INDEX(tProdutos[Foco],MATCH(tItens[[#This Row],[Produto]],tProdutos[Produto],0)),"Não")</f>
        <v>Sim</v>
      </c>
      <c r="O2505" t="str">
        <f>IFERROR(INDEX(tEditais[SRP],MATCH(tItens[[#This Row],[Edital]],tEditais[Edital],0)),"Não")</f>
        <v>Sim</v>
      </c>
      <c r="P2505" s="4">
        <f>IF(COUNTIFS(INDEX(tItens[Edital],1):tItens[[#This Row],[Edital]],tItens[[#This Row],[Edital]],INDEX(tItens[Produto],1):tItens[[#This Row],[Produto]],tItens[[#This Row],[Produto]])=1,1,0)</f>
        <v>1</v>
      </c>
    </row>
    <row r="2506" spans="1:16" x14ac:dyDescent="0.25">
      <c r="A2506" t="s">
        <v>1267</v>
      </c>
      <c r="B2506">
        <v>114</v>
      </c>
      <c r="C2506" t="s">
        <v>5527</v>
      </c>
      <c r="D2506" t="s">
        <v>56</v>
      </c>
      <c r="E2506" s="13">
        <v>100</v>
      </c>
      <c r="F2506" s="12">
        <v>86.92</v>
      </c>
      <c r="G2506" t="str">
        <f>IFERROR(INDEX(tEditais[Órgão],MATCH(tItens[[#This Row],[Edital]],tEditais[Edital],0)),"")</f>
        <v>MUNICIPIO DE LAGOA GRANDE DO MARANHAO</v>
      </c>
      <c r="H2506" t="str">
        <f>IFERROR(INDEX(tEditais[UF],MATCH(tItens[[#This Row],[Edital]],tEditais[Edital],0)),"")</f>
        <v>MA</v>
      </c>
      <c r="I2506" s="11">
        <f>IFERROR(INDEX(tEditais[Encerramento],MATCH(tItens[[#This Row],[Edital]],tEditais[Edital],0)),"")</f>
        <v>46310.416666666664</v>
      </c>
      <c r="J2506" t="str">
        <f>IFERROR(INDEX(tProdutos[Classe],MATCH(tItens[[#This Row],[Produto]],tProdutos[Produto],0)),"produto não cadastrado")</f>
        <v>NÚCLEO</v>
      </c>
      <c r="K2506" s="12">
        <f>tItens[[#This Row],[Qtd]]*tItens[[#This Row],[Vlr unit]]</f>
        <v>8692</v>
      </c>
      <c r="L2506" s="6">
        <f>IFERROR(IF(INDEX(tProdutos[Desconto homologado],MATCH(tItens[[#This Row],[Produto]],tProdutos[Produto],0))="",DescontoPadrao,INDEX(tProdutos[Desconto homologado],MATCH(tItens[[#This Row],[Produto]],tProdutos[Produto],0))),DescontoPadrao)</f>
        <v>0.34</v>
      </c>
      <c r="M2506" s="12">
        <f>tItens[[#This Row],[Valor]]*(1-tItens[[#This Row],[Desconto]])</f>
        <v>5736.7199999999993</v>
      </c>
      <c r="N2506" t="str">
        <f>IFERROR(INDEX(tProdutos[Foco],MATCH(tItens[[#This Row],[Produto]],tProdutos[Produto],0)),"Não")</f>
        <v>Sim</v>
      </c>
      <c r="O2506" t="str">
        <f>IFERROR(INDEX(tEditais[SRP],MATCH(tItens[[#This Row],[Edital]],tEditais[Edital],0)),"Não")</f>
        <v>Sim</v>
      </c>
      <c r="P2506" s="4">
        <f>IF(COUNTIFS(INDEX(tItens[Edital],1):tItens[[#This Row],[Edital]],tItens[[#This Row],[Edital]],INDEX(tItens[Produto],1):tItens[[#This Row],[Produto]],tItens[[#This Row],[Produto]])=1,1,0)</f>
        <v>0</v>
      </c>
    </row>
    <row r="2507" spans="1:16" x14ac:dyDescent="0.25">
      <c r="A2507" t="s">
        <v>1267</v>
      </c>
      <c r="B2507">
        <v>115</v>
      </c>
      <c r="C2507" t="s">
        <v>5528</v>
      </c>
      <c r="D2507" t="s">
        <v>56</v>
      </c>
      <c r="E2507" s="13">
        <v>100</v>
      </c>
      <c r="F2507" s="12">
        <v>85.68</v>
      </c>
      <c r="G2507" t="str">
        <f>IFERROR(INDEX(tEditais[Órgão],MATCH(tItens[[#This Row],[Edital]],tEditais[Edital],0)),"")</f>
        <v>MUNICIPIO DE LAGOA GRANDE DO MARANHAO</v>
      </c>
      <c r="H2507" t="str">
        <f>IFERROR(INDEX(tEditais[UF],MATCH(tItens[[#This Row],[Edital]],tEditais[Edital],0)),"")</f>
        <v>MA</v>
      </c>
      <c r="I2507" s="11">
        <f>IFERROR(INDEX(tEditais[Encerramento],MATCH(tItens[[#This Row],[Edital]],tEditais[Edital],0)),"")</f>
        <v>46310.416666666664</v>
      </c>
      <c r="J2507" t="str">
        <f>IFERROR(INDEX(tProdutos[Classe],MATCH(tItens[[#This Row],[Produto]],tProdutos[Produto],0)),"produto não cadastrado")</f>
        <v>NÚCLEO</v>
      </c>
      <c r="K2507" s="12">
        <f>tItens[[#This Row],[Qtd]]*tItens[[#This Row],[Vlr unit]]</f>
        <v>8568</v>
      </c>
      <c r="L2507" s="6">
        <f>IFERROR(IF(INDEX(tProdutos[Desconto homologado],MATCH(tItens[[#This Row],[Produto]],tProdutos[Produto],0))="",DescontoPadrao,INDEX(tProdutos[Desconto homologado],MATCH(tItens[[#This Row],[Produto]],tProdutos[Produto],0))),DescontoPadrao)</f>
        <v>0.34</v>
      </c>
      <c r="M2507" s="12">
        <f>tItens[[#This Row],[Valor]]*(1-tItens[[#This Row],[Desconto]])</f>
        <v>5654.8799999999992</v>
      </c>
      <c r="N2507" t="str">
        <f>IFERROR(INDEX(tProdutos[Foco],MATCH(tItens[[#This Row],[Produto]],tProdutos[Produto],0)),"Não")</f>
        <v>Sim</v>
      </c>
      <c r="O2507" t="str">
        <f>IFERROR(INDEX(tEditais[SRP],MATCH(tItens[[#This Row],[Edital]],tEditais[Edital],0)),"Não")</f>
        <v>Sim</v>
      </c>
      <c r="P2507" s="4">
        <f>IF(COUNTIFS(INDEX(tItens[Edital],1):tItens[[#This Row],[Edital]],tItens[[#This Row],[Edital]],INDEX(tItens[Produto],1):tItens[[#This Row],[Produto]],tItens[[#This Row],[Produto]])=1,1,0)</f>
        <v>0</v>
      </c>
    </row>
    <row r="2508" spans="1:16" x14ac:dyDescent="0.25">
      <c r="A2508" t="s">
        <v>1267</v>
      </c>
      <c r="B2508">
        <v>116</v>
      </c>
      <c r="C2508" t="s">
        <v>5529</v>
      </c>
      <c r="D2508" t="s">
        <v>56</v>
      </c>
      <c r="E2508" s="13">
        <v>500</v>
      </c>
      <c r="F2508" s="12">
        <v>94.78</v>
      </c>
      <c r="G2508" t="str">
        <f>IFERROR(INDEX(tEditais[Órgão],MATCH(tItens[[#This Row],[Edital]],tEditais[Edital],0)),"")</f>
        <v>MUNICIPIO DE LAGOA GRANDE DO MARANHAO</v>
      </c>
      <c r="H2508" t="str">
        <f>IFERROR(INDEX(tEditais[UF],MATCH(tItens[[#This Row],[Edital]],tEditais[Edital],0)),"")</f>
        <v>MA</v>
      </c>
      <c r="I2508" s="11">
        <f>IFERROR(INDEX(tEditais[Encerramento],MATCH(tItens[[#This Row],[Edital]],tEditais[Edital],0)),"")</f>
        <v>46310.416666666664</v>
      </c>
      <c r="J2508" t="str">
        <f>IFERROR(INDEX(tProdutos[Classe],MATCH(tItens[[#This Row],[Produto]],tProdutos[Produto],0)),"produto não cadastrado")</f>
        <v>NÚCLEO</v>
      </c>
      <c r="K2508" s="12">
        <f>tItens[[#This Row],[Qtd]]*tItens[[#This Row],[Vlr unit]]</f>
        <v>47390</v>
      </c>
      <c r="L2508" s="6">
        <f>IFERROR(IF(INDEX(tProdutos[Desconto homologado],MATCH(tItens[[#This Row],[Produto]],tProdutos[Produto],0))="",DescontoPadrao,INDEX(tProdutos[Desconto homologado],MATCH(tItens[[#This Row],[Produto]],tProdutos[Produto],0))),DescontoPadrao)</f>
        <v>0.34</v>
      </c>
      <c r="M2508" s="12">
        <f>tItens[[#This Row],[Valor]]*(1-tItens[[#This Row],[Desconto]])</f>
        <v>31277.399999999998</v>
      </c>
      <c r="N2508" t="str">
        <f>IFERROR(INDEX(tProdutos[Foco],MATCH(tItens[[#This Row],[Produto]],tProdutos[Produto],0)),"Não")</f>
        <v>Sim</v>
      </c>
      <c r="O2508" t="str">
        <f>IFERROR(INDEX(tEditais[SRP],MATCH(tItens[[#This Row],[Edital]],tEditais[Edital],0)),"Não")</f>
        <v>Sim</v>
      </c>
      <c r="P2508" s="4">
        <f>IF(COUNTIFS(INDEX(tItens[Edital],1):tItens[[#This Row],[Edital]],tItens[[#This Row],[Edital]],INDEX(tItens[Produto],1):tItens[[#This Row],[Produto]],tItens[[#This Row],[Produto]])=1,1,0)</f>
        <v>0</v>
      </c>
    </row>
    <row r="2509" spans="1:16" x14ac:dyDescent="0.25">
      <c r="A2509" t="s">
        <v>1267</v>
      </c>
      <c r="B2509">
        <v>118</v>
      </c>
      <c r="C2509" t="s">
        <v>5530</v>
      </c>
      <c r="D2509" t="s">
        <v>277</v>
      </c>
      <c r="E2509" s="13">
        <v>500</v>
      </c>
      <c r="F2509" s="12">
        <v>18.41</v>
      </c>
      <c r="G2509" t="str">
        <f>IFERROR(INDEX(tEditais[Órgão],MATCH(tItens[[#This Row],[Edital]],tEditais[Edital],0)),"")</f>
        <v>MUNICIPIO DE LAGOA GRANDE DO MARANHAO</v>
      </c>
      <c r="H2509" t="str">
        <f>IFERROR(INDEX(tEditais[UF],MATCH(tItens[[#This Row],[Edital]],tEditais[Edital],0)),"")</f>
        <v>MA</v>
      </c>
      <c r="I2509" s="11">
        <f>IFERROR(INDEX(tEditais[Encerramento],MATCH(tItens[[#This Row],[Edital]],tEditais[Edital],0)),"")</f>
        <v>46310.416666666664</v>
      </c>
      <c r="J2509" t="str">
        <f>IFERROR(INDEX(tProdutos[Classe],MATCH(tItens[[#This Row],[Produto]],tProdutos[Produto],0)),"produto não cadastrado")</f>
        <v>DISPUTADO</v>
      </c>
      <c r="K2509" s="12">
        <f>tItens[[#This Row],[Qtd]]*tItens[[#This Row],[Vlr unit]]</f>
        <v>9205</v>
      </c>
      <c r="L2509" s="6">
        <f>IFERROR(IF(INDEX(tProdutos[Desconto homologado],MATCH(tItens[[#This Row],[Produto]],tProdutos[Produto],0))="",DescontoPadrao,INDEX(tProdutos[Desconto homologado],MATCH(tItens[[#This Row],[Produto]],tProdutos[Produto],0))),DescontoPadrao)</f>
        <v>0.50460666194188497</v>
      </c>
      <c r="M2509" s="12">
        <f>tItens[[#This Row],[Valor]]*(1-tItens[[#This Row],[Desconto]])</f>
        <v>4560.0956768249489</v>
      </c>
      <c r="N2509" t="str">
        <f>IFERROR(INDEX(tProdutos[Foco],MATCH(tItens[[#This Row],[Produto]],tProdutos[Produto],0)),"Não")</f>
        <v>Não</v>
      </c>
      <c r="O2509" t="str">
        <f>IFERROR(INDEX(tEditais[SRP],MATCH(tItens[[#This Row],[Edital]],tEditais[Edital],0)),"Não")</f>
        <v>Sim</v>
      </c>
      <c r="P2509" s="4">
        <f>IF(COUNTIFS(INDEX(tItens[Edital],1):tItens[[#This Row],[Edital]],tItens[[#This Row],[Edital]],INDEX(tItens[Produto],1):tItens[[#This Row],[Produto]],tItens[[#This Row],[Produto]])=1,1,0)</f>
        <v>1</v>
      </c>
    </row>
    <row r="2510" spans="1:16" x14ac:dyDescent="0.25">
      <c r="A2510" t="s">
        <v>1267</v>
      </c>
      <c r="B2510">
        <v>119</v>
      </c>
      <c r="C2510" t="s">
        <v>5531</v>
      </c>
      <c r="D2510" t="s">
        <v>267</v>
      </c>
      <c r="E2510" s="13">
        <v>200</v>
      </c>
      <c r="F2510" s="12">
        <v>90.97</v>
      </c>
      <c r="G2510" t="str">
        <f>IFERROR(INDEX(tEditais[Órgão],MATCH(tItens[[#This Row],[Edital]],tEditais[Edital],0)),"")</f>
        <v>MUNICIPIO DE LAGOA GRANDE DO MARANHAO</v>
      </c>
      <c r="H2510" t="str">
        <f>IFERROR(INDEX(tEditais[UF],MATCH(tItens[[#This Row],[Edital]],tEditais[Edital],0)),"")</f>
        <v>MA</v>
      </c>
      <c r="I2510" s="11">
        <f>IFERROR(INDEX(tEditais[Encerramento],MATCH(tItens[[#This Row],[Edital]],tEditais[Edital],0)),"")</f>
        <v>46310.416666666664</v>
      </c>
      <c r="J2510" t="str">
        <f>IFERROR(INDEX(tProdutos[Classe],MATCH(tItens[[#This Row],[Produto]],tProdutos[Produto],0)),"produto não cadastrado")</f>
        <v>FORA</v>
      </c>
      <c r="K2510" s="12">
        <f>tItens[[#This Row],[Qtd]]*tItens[[#This Row],[Vlr unit]]</f>
        <v>18194</v>
      </c>
      <c r="L2510" s="6">
        <f>IFERROR(IF(INDEX(tProdutos[Desconto homologado],MATCH(tItens[[#This Row],[Produto]],tProdutos[Produto],0))="",DescontoPadrao,INDEX(tProdutos[Desconto homologado],MATCH(tItens[[#This Row],[Produto]],tProdutos[Produto],0))),DescontoPadrao)</f>
        <v>0.19963672657401599</v>
      </c>
      <c r="M2510" s="12">
        <f>tItens[[#This Row],[Valor]]*(1-tItens[[#This Row],[Desconto]])</f>
        <v>14561.809396712353</v>
      </c>
      <c r="N2510" t="str">
        <f>IFERROR(INDEX(tProdutos[Foco],MATCH(tItens[[#This Row],[Produto]],tProdutos[Produto],0)),"Não")</f>
        <v>Não</v>
      </c>
      <c r="O2510" t="str">
        <f>IFERROR(INDEX(tEditais[SRP],MATCH(tItens[[#This Row],[Edital]],tEditais[Edital],0)),"Não")</f>
        <v>Sim</v>
      </c>
      <c r="P2510" s="4">
        <f>IF(COUNTIFS(INDEX(tItens[Edital],1):tItens[[#This Row],[Edital]],tItens[[#This Row],[Edital]],INDEX(tItens[Produto],1):tItens[[#This Row],[Produto]],tItens[[#This Row],[Produto]])=1,1,0)</f>
        <v>1</v>
      </c>
    </row>
    <row r="2511" spans="1:16" x14ac:dyDescent="0.25">
      <c r="A2511" t="s">
        <v>1267</v>
      </c>
      <c r="B2511">
        <v>120</v>
      </c>
      <c r="C2511" t="s">
        <v>5532</v>
      </c>
      <c r="D2511" t="s">
        <v>343</v>
      </c>
      <c r="E2511" s="13">
        <v>500</v>
      </c>
      <c r="F2511" s="12">
        <v>147.97999999999999</v>
      </c>
      <c r="G2511" t="str">
        <f>IFERROR(INDEX(tEditais[Órgão],MATCH(tItens[[#This Row],[Edital]],tEditais[Edital],0)),"")</f>
        <v>MUNICIPIO DE LAGOA GRANDE DO MARANHAO</v>
      </c>
      <c r="H2511" t="str">
        <f>IFERROR(INDEX(tEditais[UF],MATCH(tItens[[#This Row],[Edital]],tEditais[Edital],0)),"")</f>
        <v>MA</v>
      </c>
      <c r="I2511" s="11">
        <f>IFERROR(INDEX(tEditais[Encerramento],MATCH(tItens[[#This Row],[Edital]],tEditais[Edital],0)),"")</f>
        <v>46310.416666666664</v>
      </c>
      <c r="J2511" t="str">
        <f>IFERROR(INDEX(tProdutos[Classe],MATCH(tItens[[#This Row],[Produto]],tProdutos[Produto],0)),"produto não cadastrado")</f>
        <v>FORA</v>
      </c>
      <c r="K2511" s="12">
        <f>tItens[[#This Row],[Qtd]]*tItens[[#This Row],[Vlr unit]]</f>
        <v>73990</v>
      </c>
      <c r="L2511" s="6">
        <f>IFERROR(IF(INDEX(tProdutos[Desconto homologado],MATCH(tItens[[#This Row],[Produto]],tProdutos[Produto],0))="",DescontoPadrao,INDEX(tProdutos[Desconto homologado],MATCH(tItens[[#This Row],[Produto]],tProdutos[Produto],0))),DescontoPadrao)</f>
        <v>0.35412234042553198</v>
      </c>
      <c r="M2511" s="12">
        <f>tItens[[#This Row],[Valor]]*(1-tItens[[#This Row],[Desconto]])</f>
        <v>47788.488031914887</v>
      </c>
      <c r="N2511" t="str">
        <f>IFERROR(INDEX(tProdutos[Foco],MATCH(tItens[[#This Row],[Produto]],tProdutos[Produto],0)),"Não")</f>
        <v>Não</v>
      </c>
      <c r="O2511" t="str">
        <f>IFERROR(INDEX(tEditais[SRP],MATCH(tItens[[#This Row],[Edital]],tEditais[Edital],0)),"Não")</f>
        <v>Sim</v>
      </c>
      <c r="P2511" s="4">
        <f>IF(COUNTIFS(INDEX(tItens[Edital],1):tItens[[#This Row],[Edital]],tItens[[#This Row],[Edital]],INDEX(tItens[Produto],1):tItens[[#This Row],[Produto]],tItens[[#This Row],[Produto]])=1,1,0)</f>
        <v>0</v>
      </c>
    </row>
    <row r="2512" spans="1:16" x14ac:dyDescent="0.25">
      <c r="A2512" t="s">
        <v>1267</v>
      </c>
      <c r="B2512">
        <v>121</v>
      </c>
      <c r="C2512" t="s">
        <v>5533</v>
      </c>
      <c r="D2512" t="s">
        <v>343</v>
      </c>
      <c r="E2512" s="13">
        <v>1500</v>
      </c>
      <c r="F2512" s="12">
        <v>52.8</v>
      </c>
      <c r="G2512" t="str">
        <f>IFERROR(INDEX(tEditais[Órgão],MATCH(tItens[[#This Row],[Edital]],tEditais[Edital],0)),"")</f>
        <v>MUNICIPIO DE LAGOA GRANDE DO MARANHAO</v>
      </c>
      <c r="H2512" t="str">
        <f>IFERROR(INDEX(tEditais[UF],MATCH(tItens[[#This Row],[Edital]],tEditais[Edital],0)),"")</f>
        <v>MA</v>
      </c>
      <c r="I2512" s="11">
        <f>IFERROR(INDEX(tEditais[Encerramento],MATCH(tItens[[#This Row],[Edital]],tEditais[Edital],0)),"")</f>
        <v>46310.416666666664</v>
      </c>
      <c r="J2512" t="str">
        <f>IFERROR(INDEX(tProdutos[Classe],MATCH(tItens[[#This Row],[Produto]],tProdutos[Produto],0)),"produto não cadastrado")</f>
        <v>FORA</v>
      </c>
      <c r="K2512" s="12">
        <f>tItens[[#This Row],[Qtd]]*tItens[[#This Row],[Vlr unit]]</f>
        <v>79200</v>
      </c>
      <c r="L2512" s="6">
        <f>IFERROR(IF(INDEX(tProdutos[Desconto homologado],MATCH(tItens[[#This Row],[Produto]],tProdutos[Produto],0))="",DescontoPadrao,INDEX(tProdutos[Desconto homologado],MATCH(tItens[[#This Row],[Produto]],tProdutos[Produto],0))),DescontoPadrao)</f>
        <v>0.35412234042553198</v>
      </c>
      <c r="M2512" s="12">
        <f>tItens[[#This Row],[Valor]]*(1-tItens[[#This Row],[Desconto]])</f>
        <v>51153.510638297863</v>
      </c>
      <c r="N2512" t="str">
        <f>IFERROR(INDEX(tProdutos[Foco],MATCH(tItens[[#This Row],[Produto]],tProdutos[Produto],0)),"Não")</f>
        <v>Não</v>
      </c>
      <c r="O2512" t="str">
        <f>IFERROR(INDEX(tEditais[SRP],MATCH(tItens[[#This Row],[Edital]],tEditais[Edital],0)),"Não")</f>
        <v>Sim</v>
      </c>
      <c r="P2512" s="4">
        <f>IF(COUNTIFS(INDEX(tItens[Edital],1):tItens[[#This Row],[Edital]],tItens[[#This Row],[Edital]],INDEX(tItens[Produto],1):tItens[[#This Row],[Produto]],tItens[[#This Row],[Produto]])=1,1,0)</f>
        <v>0</v>
      </c>
    </row>
    <row r="2513" spans="1:16" x14ac:dyDescent="0.25">
      <c r="A2513" t="s">
        <v>1267</v>
      </c>
      <c r="B2513">
        <v>122</v>
      </c>
      <c r="C2513" t="s">
        <v>5534</v>
      </c>
      <c r="D2513" t="s">
        <v>343</v>
      </c>
      <c r="E2513" s="13">
        <v>500</v>
      </c>
      <c r="F2513" s="12">
        <v>52.8</v>
      </c>
      <c r="G2513" t="str">
        <f>IFERROR(INDEX(tEditais[Órgão],MATCH(tItens[[#This Row],[Edital]],tEditais[Edital],0)),"")</f>
        <v>MUNICIPIO DE LAGOA GRANDE DO MARANHAO</v>
      </c>
      <c r="H2513" t="str">
        <f>IFERROR(INDEX(tEditais[UF],MATCH(tItens[[#This Row],[Edital]],tEditais[Edital],0)),"")</f>
        <v>MA</v>
      </c>
      <c r="I2513" s="11">
        <f>IFERROR(INDEX(tEditais[Encerramento],MATCH(tItens[[#This Row],[Edital]],tEditais[Edital],0)),"")</f>
        <v>46310.416666666664</v>
      </c>
      <c r="J2513" t="str">
        <f>IFERROR(INDEX(tProdutos[Classe],MATCH(tItens[[#This Row],[Produto]],tProdutos[Produto],0)),"produto não cadastrado")</f>
        <v>FORA</v>
      </c>
      <c r="K2513" s="12">
        <f>tItens[[#This Row],[Qtd]]*tItens[[#This Row],[Vlr unit]]</f>
        <v>26400</v>
      </c>
      <c r="L2513" s="6">
        <f>IFERROR(IF(INDEX(tProdutos[Desconto homologado],MATCH(tItens[[#This Row],[Produto]],tProdutos[Produto],0))="",DescontoPadrao,INDEX(tProdutos[Desconto homologado],MATCH(tItens[[#This Row],[Produto]],tProdutos[Produto],0))),DescontoPadrao)</f>
        <v>0.35412234042553198</v>
      </c>
      <c r="M2513" s="12">
        <f>tItens[[#This Row],[Valor]]*(1-tItens[[#This Row],[Desconto]])</f>
        <v>17051.170212765956</v>
      </c>
      <c r="N2513" t="str">
        <f>IFERROR(INDEX(tProdutos[Foco],MATCH(tItens[[#This Row],[Produto]],tProdutos[Produto],0)),"Não")</f>
        <v>Não</v>
      </c>
      <c r="O2513" t="str">
        <f>IFERROR(INDEX(tEditais[SRP],MATCH(tItens[[#This Row],[Edital]],tEditais[Edital],0)),"Não")</f>
        <v>Sim</v>
      </c>
      <c r="P2513" s="4">
        <f>IF(COUNTIFS(INDEX(tItens[Edital],1):tItens[[#This Row],[Edital]],tItens[[#This Row],[Edital]],INDEX(tItens[Produto],1):tItens[[#This Row],[Produto]],tItens[[#This Row],[Produto]])=1,1,0)</f>
        <v>0</v>
      </c>
    </row>
    <row r="2514" spans="1:16" x14ac:dyDescent="0.25">
      <c r="A2514" t="s">
        <v>1267</v>
      </c>
      <c r="B2514">
        <v>123</v>
      </c>
      <c r="C2514" t="s">
        <v>5535</v>
      </c>
      <c r="D2514" t="s">
        <v>343</v>
      </c>
      <c r="E2514" s="13">
        <v>900</v>
      </c>
      <c r="F2514" s="12">
        <v>56.47</v>
      </c>
      <c r="G2514" t="str">
        <f>IFERROR(INDEX(tEditais[Órgão],MATCH(tItens[[#This Row],[Edital]],tEditais[Edital],0)),"")</f>
        <v>MUNICIPIO DE LAGOA GRANDE DO MARANHAO</v>
      </c>
      <c r="H2514" t="str">
        <f>IFERROR(INDEX(tEditais[UF],MATCH(tItens[[#This Row],[Edital]],tEditais[Edital],0)),"")</f>
        <v>MA</v>
      </c>
      <c r="I2514" s="11">
        <f>IFERROR(INDEX(tEditais[Encerramento],MATCH(tItens[[#This Row],[Edital]],tEditais[Edital],0)),"")</f>
        <v>46310.416666666664</v>
      </c>
      <c r="J2514" t="str">
        <f>IFERROR(INDEX(tProdutos[Classe],MATCH(tItens[[#This Row],[Produto]],tProdutos[Produto],0)),"produto não cadastrado")</f>
        <v>FORA</v>
      </c>
      <c r="K2514" s="12">
        <f>tItens[[#This Row],[Qtd]]*tItens[[#This Row],[Vlr unit]]</f>
        <v>50823</v>
      </c>
      <c r="L2514" s="6">
        <f>IFERROR(IF(INDEX(tProdutos[Desconto homologado],MATCH(tItens[[#This Row],[Produto]],tProdutos[Produto],0))="",DescontoPadrao,INDEX(tProdutos[Desconto homologado],MATCH(tItens[[#This Row],[Produto]],tProdutos[Produto],0))),DescontoPadrao)</f>
        <v>0.35412234042553198</v>
      </c>
      <c r="M2514" s="12">
        <f>tItens[[#This Row],[Valor]]*(1-tItens[[#This Row],[Desconto]])</f>
        <v>32825.440292553183</v>
      </c>
      <c r="N2514" t="str">
        <f>IFERROR(INDEX(tProdutos[Foco],MATCH(tItens[[#This Row],[Produto]],tProdutos[Produto],0)),"Não")</f>
        <v>Não</v>
      </c>
      <c r="O2514" t="str">
        <f>IFERROR(INDEX(tEditais[SRP],MATCH(tItens[[#This Row],[Edital]],tEditais[Edital],0)),"Não")</f>
        <v>Sim</v>
      </c>
      <c r="P2514" s="4">
        <f>IF(COUNTIFS(INDEX(tItens[Edital],1):tItens[[#This Row],[Edital]],tItens[[#This Row],[Edital]],INDEX(tItens[Produto],1):tItens[[#This Row],[Produto]],tItens[[#This Row],[Produto]])=1,1,0)</f>
        <v>0</v>
      </c>
    </row>
    <row r="2515" spans="1:16" x14ac:dyDescent="0.25">
      <c r="A2515" t="s">
        <v>1267</v>
      </c>
      <c r="B2515">
        <v>124</v>
      </c>
      <c r="C2515" t="s">
        <v>5536</v>
      </c>
      <c r="D2515" t="s">
        <v>313</v>
      </c>
      <c r="E2515" s="13">
        <v>2000</v>
      </c>
      <c r="F2515" s="12">
        <v>32.26</v>
      </c>
      <c r="G2515" t="str">
        <f>IFERROR(INDEX(tEditais[Órgão],MATCH(tItens[[#This Row],[Edital]],tEditais[Edital],0)),"")</f>
        <v>MUNICIPIO DE LAGOA GRANDE DO MARANHAO</v>
      </c>
      <c r="H2515" t="str">
        <f>IFERROR(INDEX(tEditais[UF],MATCH(tItens[[#This Row],[Edital]],tEditais[Edital],0)),"")</f>
        <v>MA</v>
      </c>
      <c r="I2515" s="11">
        <f>IFERROR(INDEX(tEditais[Encerramento],MATCH(tItens[[#This Row],[Edital]],tEditais[Edital],0)),"")</f>
        <v>46310.416666666664</v>
      </c>
      <c r="J2515" t="str">
        <f>IFERROR(INDEX(tProdutos[Classe],MATCH(tItens[[#This Row],[Produto]],tProdutos[Produto],0)),"produto não cadastrado")</f>
        <v>FORA</v>
      </c>
      <c r="K2515" s="12">
        <f>tItens[[#This Row],[Qtd]]*tItens[[#This Row],[Vlr unit]]</f>
        <v>64519.999999999993</v>
      </c>
      <c r="L2515" s="6">
        <f>IFERROR(IF(INDEX(tProdutos[Desconto homologado],MATCH(tItens[[#This Row],[Produto]],tProdutos[Produto],0))="",DescontoPadrao,INDEX(tProdutos[Desconto homologado],MATCH(tItens[[#This Row],[Produto]],tProdutos[Produto],0))),DescontoPadrao)</f>
        <v>0.35766373163696302</v>
      </c>
      <c r="M2515" s="12">
        <f>tItens[[#This Row],[Valor]]*(1-tItens[[#This Row],[Desconto]])</f>
        <v>41443.536034783137</v>
      </c>
      <c r="N2515" t="str">
        <f>IFERROR(INDEX(tProdutos[Foco],MATCH(tItens[[#This Row],[Produto]],tProdutos[Produto],0)),"Não")</f>
        <v>Não</v>
      </c>
      <c r="O2515" t="str">
        <f>IFERROR(INDEX(tEditais[SRP],MATCH(tItens[[#This Row],[Edital]],tEditais[Edital],0)),"Não")</f>
        <v>Sim</v>
      </c>
      <c r="P2515" s="4">
        <f>IF(COUNTIFS(INDEX(tItens[Edital],1):tItens[[#This Row],[Edital]],tItens[[#This Row],[Edital]],INDEX(tItens[Produto],1):tItens[[#This Row],[Produto]],tItens[[#This Row],[Produto]])=1,1,0)</f>
        <v>1</v>
      </c>
    </row>
    <row r="2516" spans="1:16" x14ac:dyDescent="0.25">
      <c r="A2516" t="s">
        <v>1267</v>
      </c>
      <c r="B2516">
        <v>125</v>
      </c>
      <c r="C2516" t="s">
        <v>5537</v>
      </c>
      <c r="D2516" t="s">
        <v>313</v>
      </c>
      <c r="E2516" s="13">
        <v>2250</v>
      </c>
      <c r="F2516" s="12">
        <v>30</v>
      </c>
      <c r="G2516" t="str">
        <f>IFERROR(INDEX(tEditais[Órgão],MATCH(tItens[[#This Row],[Edital]],tEditais[Edital],0)),"")</f>
        <v>MUNICIPIO DE LAGOA GRANDE DO MARANHAO</v>
      </c>
      <c r="H2516" t="str">
        <f>IFERROR(INDEX(tEditais[UF],MATCH(tItens[[#This Row],[Edital]],tEditais[Edital],0)),"")</f>
        <v>MA</v>
      </c>
      <c r="I2516" s="11">
        <f>IFERROR(INDEX(tEditais[Encerramento],MATCH(tItens[[#This Row],[Edital]],tEditais[Edital],0)),"")</f>
        <v>46310.416666666664</v>
      </c>
      <c r="J2516" t="str">
        <f>IFERROR(INDEX(tProdutos[Classe],MATCH(tItens[[#This Row],[Produto]],tProdutos[Produto],0)),"produto não cadastrado")</f>
        <v>FORA</v>
      </c>
      <c r="K2516" s="12">
        <f>tItens[[#This Row],[Qtd]]*tItens[[#This Row],[Vlr unit]]</f>
        <v>67500</v>
      </c>
      <c r="L2516" s="6">
        <f>IFERROR(IF(INDEX(tProdutos[Desconto homologado],MATCH(tItens[[#This Row],[Produto]],tProdutos[Produto],0))="",DescontoPadrao,INDEX(tProdutos[Desconto homologado],MATCH(tItens[[#This Row],[Produto]],tProdutos[Produto],0))),DescontoPadrao)</f>
        <v>0.35766373163696302</v>
      </c>
      <c r="M2516" s="12">
        <f>tItens[[#This Row],[Valor]]*(1-tItens[[#This Row],[Desconto]])</f>
        <v>43357.698114504994</v>
      </c>
      <c r="N2516" t="str">
        <f>IFERROR(INDEX(tProdutos[Foco],MATCH(tItens[[#This Row],[Produto]],tProdutos[Produto],0)),"Não")</f>
        <v>Não</v>
      </c>
      <c r="O2516" t="str">
        <f>IFERROR(INDEX(tEditais[SRP],MATCH(tItens[[#This Row],[Edital]],tEditais[Edital],0)),"Não")</f>
        <v>Sim</v>
      </c>
      <c r="P2516" s="4">
        <f>IF(COUNTIFS(INDEX(tItens[Edital],1):tItens[[#This Row],[Edital]],tItens[[#This Row],[Edital]],INDEX(tItens[Produto],1):tItens[[#This Row],[Produto]],tItens[[#This Row],[Produto]])=1,1,0)</f>
        <v>0</v>
      </c>
    </row>
    <row r="2517" spans="1:16" x14ac:dyDescent="0.25">
      <c r="A2517" t="s">
        <v>1267</v>
      </c>
      <c r="B2517">
        <v>126</v>
      </c>
      <c r="C2517" t="s">
        <v>5538</v>
      </c>
      <c r="D2517" t="s">
        <v>313</v>
      </c>
      <c r="E2517" s="13">
        <v>750</v>
      </c>
      <c r="F2517" s="12">
        <v>30</v>
      </c>
      <c r="G2517" t="str">
        <f>IFERROR(INDEX(tEditais[Órgão],MATCH(tItens[[#This Row],[Edital]],tEditais[Edital],0)),"")</f>
        <v>MUNICIPIO DE LAGOA GRANDE DO MARANHAO</v>
      </c>
      <c r="H2517" t="str">
        <f>IFERROR(INDEX(tEditais[UF],MATCH(tItens[[#This Row],[Edital]],tEditais[Edital],0)),"")</f>
        <v>MA</v>
      </c>
      <c r="I2517" s="11">
        <f>IFERROR(INDEX(tEditais[Encerramento],MATCH(tItens[[#This Row],[Edital]],tEditais[Edital],0)),"")</f>
        <v>46310.416666666664</v>
      </c>
      <c r="J2517" t="str">
        <f>IFERROR(INDEX(tProdutos[Classe],MATCH(tItens[[#This Row],[Produto]],tProdutos[Produto],0)),"produto não cadastrado")</f>
        <v>FORA</v>
      </c>
      <c r="K2517" s="12">
        <f>tItens[[#This Row],[Qtd]]*tItens[[#This Row],[Vlr unit]]</f>
        <v>22500</v>
      </c>
      <c r="L2517" s="6">
        <f>IFERROR(IF(INDEX(tProdutos[Desconto homologado],MATCH(tItens[[#This Row],[Produto]],tProdutos[Produto],0))="",DescontoPadrao,INDEX(tProdutos[Desconto homologado],MATCH(tItens[[#This Row],[Produto]],tProdutos[Produto],0))),DescontoPadrao)</f>
        <v>0.35766373163696302</v>
      </c>
      <c r="M2517" s="12">
        <f>tItens[[#This Row],[Valor]]*(1-tItens[[#This Row],[Desconto]])</f>
        <v>14452.56603816833</v>
      </c>
      <c r="N2517" t="str">
        <f>IFERROR(INDEX(tProdutos[Foco],MATCH(tItens[[#This Row],[Produto]],tProdutos[Produto],0)),"Não")</f>
        <v>Não</v>
      </c>
      <c r="O2517" t="str">
        <f>IFERROR(INDEX(tEditais[SRP],MATCH(tItens[[#This Row],[Edital]],tEditais[Edital],0)),"Não")</f>
        <v>Sim</v>
      </c>
      <c r="P2517" s="4">
        <f>IF(COUNTIFS(INDEX(tItens[Edital],1):tItens[[#This Row],[Edital]],tItens[[#This Row],[Edital]],INDEX(tItens[Produto],1):tItens[[#This Row],[Produto]],tItens[[#This Row],[Produto]])=1,1,0)</f>
        <v>0</v>
      </c>
    </row>
    <row r="2518" spans="1:16" x14ac:dyDescent="0.25">
      <c r="A2518" t="s">
        <v>1267</v>
      </c>
      <c r="B2518">
        <v>127</v>
      </c>
      <c r="C2518" t="s">
        <v>5539</v>
      </c>
      <c r="D2518" t="s">
        <v>313</v>
      </c>
      <c r="E2518" s="13">
        <v>2250</v>
      </c>
      <c r="F2518" s="12">
        <v>29.82</v>
      </c>
      <c r="G2518" t="str">
        <f>IFERROR(INDEX(tEditais[Órgão],MATCH(tItens[[#This Row],[Edital]],tEditais[Edital],0)),"")</f>
        <v>MUNICIPIO DE LAGOA GRANDE DO MARANHAO</v>
      </c>
      <c r="H2518" t="str">
        <f>IFERROR(INDEX(tEditais[UF],MATCH(tItens[[#This Row],[Edital]],tEditais[Edital],0)),"")</f>
        <v>MA</v>
      </c>
      <c r="I2518" s="11">
        <f>IFERROR(INDEX(tEditais[Encerramento],MATCH(tItens[[#This Row],[Edital]],tEditais[Edital],0)),"")</f>
        <v>46310.416666666664</v>
      </c>
      <c r="J2518" t="str">
        <f>IFERROR(INDEX(tProdutos[Classe],MATCH(tItens[[#This Row],[Produto]],tProdutos[Produto],0)),"produto não cadastrado")</f>
        <v>FORA</v>
      </c>
      <c r="K2518" s="12">
        <f>tItens[[#This Row],[Qtd]]*tItens[[#This Row],[Vlr unit]]</f>
        <v>67095</v>
      </c>
      <c r="L2518" s="6">
        <f>IFERROR(IF(INDEX(tProdutos[Desconto homologado],MATCH(tItens[[#This Row],[Produto]],tProdutos[Produto],0))="",DescontoPadrao,INDEX(tProdutos[Desconto homologado],MATCH(tItens[[#This Row],[Produto]],tProdutos[Produto],0))),DescontoPadrao)</f>
        <v>0.35766373163696302</v>
      </c>
      <c r="M2518" s="12">
        <f>tItens[[#This Row],[Valor]]*(1-tItens[[#This Row],[Desconto]])</f>
        <v>43097.551925817963</v>
      </c>
      <c r="N2518" t="str">
        <f>IFERROR(INDEX(tProdutos[Foco],MATCH(tItens[[#This Row],[Produto]],tProdutos[Produto],0)),"Não")</f>
        <v>Não</v>
      </c>
      <c r="O2518" t="str">
        <f>IFERROR(INDEX(tEditais[SRP],MATCH(tItens[[#This Row],[Edital]],tEditais[Edital],0)),"Não")</f>
        <v>Sim</v>
      </c>
      <c r="P2518" s="4">
        <f>IF(COUNTIFS(INDEX(tItens[Edital],1):tItens[[#This Row],[Edital]],tItens[[#This Row],[Edital]],INDEX(tItens[Produto],1):tItens[[#This Row],[Produto]],tItens[[#This Row],[Produto]])=1,1,0)</f>
        <v>0</v>
      </c>
    </row>
    <row r="2519" spans="1:16" x14ac:dyDescent="0.25">
      <c r="A2519" t="s">
        <v>1267</v>
      </c>
      <c r="B2519">
        <v>128</v>
      </c>
      <c r="C2519" t="s">
        <v>5540</v>
      </c>
      <c r="D2519" t="s">
        <v>313</v>
      </c>
      <c r="E2519" s="13">
        <v>750</v>
      </c>
      <c r="F2519" s="12">
        <v>29.82</v>
      </c>
      <c r="G2519" t="str">
        <f>IFERROR(INDEX(tEditais[Órgão],MATCH(tItens[[#This Row],[Edital]],tEditais[Edital],0)),"")</f>
        <v>MUNICIPIO DE LAGOA GRANDE DO MARANHAO</v>
      </c>
      <c r="H2519" t="str">
        <f>IFERROR(INDEX(tEditais[UF],MATCH(tItens[[#This Row],[Edital]],tEditais[Edital],0)),"")</f>
        <v>MA</v>
      </c>
      <c r="I2519" s="11">
        <f>IFERROR(INDEX(tEditais[Encerramento],MATCH(tItens[[#This Row],[Edital]],tEditais[Edital],0)),"")</f>
        <v>46310.416666666664</v>
      </c>
      <c r="J2519" t="str">
        <f>IFERROR(INDEX(tProdutos[Classe],MATCH(tItens[[#This Row],[Produto]],tProdutos[Produto],0)),"produto não cadastrado")</f>
        <v>FORA</v>
      </c>
      <c r="K2519" s="12">
        <f>tItens[[#This Row],[Qtd]]*tItens[[#This Row],[Vlr unit]]</f>
        <v>22365</v>
      </c>
      <c r="L2519" s="6">
        <f>IFERROR(IF(INDEX(tProdutos[Desconto homologado],MATCH(tItens[[#This Row],[Produto]],tProdutos[Produto],0))="",DescontoPadrao,INDEX(tProdutos[Desconto homologado],MATCH(tItens[[#This Row],[Produto]],tProdutos[Produto],0))),DescontoPadrao)</f>
        <v>0.35766373163696302</v>
      </c>
      <c r="M2519" s="12">
        <f>tItens[[#This Row],[Valor]]*(1-tItens[[#This Row],[Desconto]])</f>
        <v>14365.850641939322</v>
      </c>
      <c r="N2519" t="str">
        <f>IFERROR(INDEX(tProdutos[Foco],MATCH(tItens[[#This Row],[Produto]],tProdutos[Produto],0)),"Não")</f>
        <v>Não</v>
      </c>
      <c r="O2519" t="str">
        <f>IFERROR(INDEX(tEditais[SRP],MATCH(tItens[[#This Row],[Edital]],tEditais[Edital],0)),"Não")</f>
        <v>Sim</v>
      </c>
      <c r="P2519" s="4">
        <f>IF(COUNTIFS(INDEX(tItens[Edital],1):tItens[[#This Row],[Edital]],tItens[[#This Row],[Edital]],INDEX(tItens[Produto],1):tItens[[#This Row],[Produto]],tItens[[#This Row],[Produto]])=1,1,0)</f>
        <v>0</v>
      </c>
    </row>
    <row r="2520" spans="1:16" x14ac:dyDescent="0.25">
      <c r="A2520" t="s">
        <v>1267</v>
      </c>
      <c r="B2520">
        <v>130</v>
      </c>
      <c r="C2520" t="s">
        <v>5541</v>
      </c>
      <c r="D2520" t="s">
        <v>257</v>
      </c>
      <c r="E2520" s="13">
        <v>20</v>
      </c>
      <c r="F2520" s="12">
        <v>14.18</v>
      </c>
      <c r="G2520" t="str">
        <f>IFERROR(INDEX(tEditais[Órgão],MATCH(tItens[[#This Row],[Edital]],tEditais[Edital],0)),"")</f>
        <v>MUNICIPIO DE LAGOA GRANDE DO MARANHAO</v>
      </c>
      <c r="H2520" t="str">
        <f>IFERROR(INDEX(tEditais[UF],MATCH(tItens[[#This Row],[Edital]],tEditais[Edital],0)),"")</f>
        <v>MA</v>
      </c>
      <c r="I2520" s="11">
        <f>IFERROR(INDEX(tEditais[Encerramento],MATCH(tItens[[#This Row],[Edital]],tEditais[Edital],0)),"")</f>
        <v>46310.416666666664</v>
      </c>
      <c r="J2520" t="str">
        <f>IFERROR(INDEX(tProdutos[Classe],MATCH(tItens[[#This Row],[Produto]],tProdutos[Produto],0)),"produto não cadastrado")</f>
        <v>FORA</v>
      </c>
      <c r="K2520" s="12">
        <f>tItens[[#This Row],[Qtd]]*tItens[[#This Row],[Vlr unit]]</f>
        <v>283.60000000000002</v>
      </c>
      <c r="L2520" s="6">
        <f>IFERROR(IF(INDEX(tProdutos[Desconto homologado],MATCH(tItens[[#This Row],[Produto]],tProdutos[Produto],0))="",DescontoPadrao,INDEX(tProdutos[Desconto homologado],MATCH(tItens[[#This Row],[Produto]],tProdutos[Produto],0))),DescontoPadrao)</f>
        <v>0.500812004991805</v>
      </c>
      <c r="M2520" s="12">
        <f>tItens[[#This Row],[Valor]]*(1-tItens[[#This Row],[Desconto]])</f>
        <v>141.5697153843241</v>
      </c>
      <c r="N2520" t="str">
        <f>IFERROR(INDEX(tProdutos[Foco],MATCH(tItens[[#This Row],[Produto]],tProdutos[Produto],0)),"Não")</f>
        <v>Não</v>
      </c>
      <c r="O2520" t="str">
        <f>IFERROR(INDEX(tEditais[SRP],MATCH(tItens[[#This Row],[Edital]],tEditais[Edital],0)),"Não")</f>
        <v>Sim</v>
      </c>
      <c r="P2520" s="4">
        <f>IF(COUNTIFS(INDEX(tItens[Edital],1):tItens[[#This Row],[Edital]],tItens[[#This Row],[Edital]],INDEX(tItens[Produto],1):tItens[[#This Row],[Produto]],tItens[[#This Row],[Produto]])=1,1,0)</f>
        <v>1</v>
      </c>
    </row>
    <row r="2521" spans="1:16" x14ac:dyDescent="0.25">
      <c r="A2521" t="s">
        <v>1267</v>
      </c>
      <c r="B2521">
        <v>131</v>
      </c>
      <c r="C2521" t="s">
        <v>5542</v>
      </c>
      <c r="D2521" t="s">
        <v>249</v>
      </c>
      <c r="E2521" s="13">
        <v>20</v>
      </c>
      <c r="F2521" s="12">
        <v>14.66</v>
      </c>
      <c r="G2521" t="str">
        <f>IFERROR(INDEX(tEditais[Órgão],MATCH(tItens[[#This Row],[Edital]],tEditais[Edital],0)),"")</f>
        <v>MUNICIPIO DE LAGOA GRANDE DO MARANHAO</v>
      </c>
      <c r="H2521" t="str">
        <f>IFERROR(INDEX(tEditais[UF],MATCH(tItens[[#This Row],[Edital]],tEditais[Edital],0)),"")</f>
        <v>MA</v>
      </c>
      <c r="I2521" s="11">
        <f>IFERROR(INDEX(tEditais[Encerramento],MATCH(tItens[[#This Row],[Edital]],tEditais[Edital],0)),"")</f>
        <v>46310.416666666664</v>
      </c>
      <c r="J2521" t="str">
        <f>IFERROR(INDEX(tProdutos[Classe],MATCH(tItens[[#This Row],[Produto]],tProdutos[Produto],0)),"produto não cadastrado")</f>
        <v>FORA</v>
      </c>
      <c r="K2521" s="12">
        <f>tItens[[#This Row],[Qtd]]*tItens[[#This Row],[Vlr unit]]</f>
        <v>293.2</v>
      </c>
      <c r="L2521" s="6">
        <f>IFERROR(IF(INDEX(tProdutos[Desconto homologado],MATCH(tItens[[#This Row],[Produto]],tProdutos[Produto],0))="",DescontoPadrao,INDEX(tProdutos[Desconto homologado],MATCH(tItens[[#This Row],[Produto]],tProdutos[Produto],0))),DescontoPadrao)</f>
        <v>0.45399945399945402</v>
      </c>
      <c r="M2521" s="12">
        <f>tItens[[#This Row],[Valor]]*(1-tItens[[#This Row],[Desconto]])</f>
        <v>160.08736008736005</v>
      </c>
      <c r="N2521" t="str">
        <f>IFERROR(INDEX(tProdutos[Foco],MATCH(tItens[[#This Row],[Produto]],tProdutos[Produto],0)),"Não")</f>
        <v>Não</v>
      </c>
      <c r="O2521" t="str">
        <f>IFERROR(INDEX(tEditais[SRP],MATCH(tItens[[#This Row],[Edital]],tEditais[Edital],0)),"Não")</f>
        <v>Sim</v>
      </c>
      <c r="P2521" s="4">
        <f>IF(COUNTIFS(INDEX(tItens[Edital],1):tItens[[#This Row],[Edital]],tItens[[#This Row],[Edital]],INDEX(tItens[Produto],1):tItens[[#This Row],[Produto]],tItens[[#This Row],[Produto]])=1,1,0)</f>
        <v>1</v>
      </c>
    </row>
    <row r="2522" spans="1:16" x14ac:dyDescent="0.25">
      <c r="A2522" t="s">
        <v>1267</v>
      </c>
      <c r="B2522">
        <v>133</v>
      </c>
      <c r="C2522" t="s">
        <v>5543</v>
      </c>
      <c r="D2522" t="s">
        <v>293</v>
      </c>
      <c r="E2522" s="13">
        <v>50</v>
      </c>
      <c r="F2522" s="12">
        <v>23.56</v>
      </c>
      <c r="G2522" t="str">
        <f>IFERROR(INDEX(tEditais[Órgão],MATCH(tItens[[#This Row],[Edital]],tEditais[Edital],0)),"")</f>
        <v>MUNICIPIO DE LAGOA GRANDE DO MARANHAO</v>
      </c>
      <c r="H2522" t="str">
        <f>IFERROR(INDEX(tEditais[UF],MATCH(tItens[[#This Row],[Edital]],tEditais[Edital],0)),"")</f>
        <v>MA</v>
      </c>
      <c r="I2522" s="11">
        <f>IFERROR(INDEX(tEditais[Encerramento],MATCH(tItens[[#This Row],[Edital]],tEditais[Edital],0)),"")</f>
        <v>46310.416666666664</v>
      </c>
      <c r="J2522" t="str">
        <f>IFERROR(INDEX(tProdutos[Classe],MATCH(tItens[[#This Row],[Produto]],tProdutos[Produto],0)),"produto não cadastrado")</f>
        <v>FORA</v>
      </c>
      <c r="K2522" s="12">
        <f>tItens[[#This Row],[Qtd]]*tItens[[#This Row],[Vlr unit]]</f>
        <v>1178</v>
      </c>
      <c r="L2522" s="6">
        <f>IFERROR(IF(INDEX(tProdutos[Desconto homologado],MATCH(tItens[[#This Row],[Produto]],tProdutos[Produto],0))="",DescontoPadrao,INDEX(tProdutos[Desconto homologado],MATCH(tItens[[#This Row],[Produto]],tProdutos[Produto],0))),DescontoPadrao)</f>
        <v>0.45236440369319098</v>
      </c>
      <c r="M2522" s="12">
        <f>tItens[[#This Row],[Valor]]*(1-tItens[[#This Row],[Desconto]])</f>
        <v>645.11473244942101</v>
      </c>
      <c r="N2522" t="str">
        <f>IFERROR(INDEX(tProdutos[Foco],MATCH(tItens[[#This Row],[Produto]],tProdutos[Produto],0)),"Não")</f>
        <v>Não</v>
      </c>
      <c r="O2522" t="str">
        <f>IFERROR(INDEX(tEditais[SRP],MATCH(tItens[[#This Row],[Edital]],tEditais[Edital],0)),"Não")</f>
        <v>Sim</v>
      </c>
      <c r="P2522" s="4">
        <f>IF(COUNTIFS(INDEX(tItens[Edital],1):tItens[[#This Row],[Edital]],tItens[[#This Row],[Edital]],INDEX(tItens[Produto],1):tItens[[#This Row],[Produto]],tItens[[#This Row],[Produto]])=1,1,0)</f>
        <v>1</v>
      </c>
    </row>
    <row r="2523" spans="1:16" x14ac:dyDescent="0.25">
      <c r="A2523" t="s">
        <v>1267</v>
      </c>
      <c r="B2523">
        <v>134</v>
      </c>
      <c r="C2523" t="s">
        <v>5544</v>
      </c>
      <c r="D2523" t="s">
        <v>257</v>
      </c>
      <c r="E2523" s="13">
        <v>175</v>
      </c>
      <c r="F2523" s="12">
        <v>23.47</v>
      </c>
      <c r="G2523" t="str">
        <f>IFERROR(INDEX(tEditais[Órgão],MATCH(tItens[[#This Row],[Edital]],tEditais[Edital],0)),"")</f>
        <v>MUNICIPIO DE LAGOA GRANDE DO MARANHAO</v>
      </c>
      <c r="H2523" t="str">
        <f>IFERROR(INDEX(tEditais[UF],MATCH(tItens[[#This Row],[Edital]],tEditais[Edital],0)),"")</f>
        <v>MA</v>
      </c>
      <c r="I2523" s="11">
        <f>IFERROR(INDEX(tEditais[Encerramento],MATCH(tItens[[#This Row],[Edital]],tEditais[Edital],0)),"")</f>
        <v>46310.416666666664</v>
      </c>
      <c r="J2523" t="str">
        <f>IFERROR(INDEX(tProdutos[Classe],MATCH(tItens[[#This Row],[Produto]],tProdutos[Produto],0)),"produto não cadastrado")</f>
        <v>FORA</v>
      </c>
      <c r="K2523" s="12">
        <f>tItens[[#This Row],[Qtd]]*tItens[[#This Row],[Vlr unit]]</f>
        <v>4107.25</v>
      </c>
      <c r="L2523" s="6">
        <f>IFERROR(IF(INDEX(tProdutos[Desconto homologado],MATCH(tItens[[#This Row],[Produto]],tProdutos[Produto],0))="",DescontoPadrao,INDEX(tProdutos[Desconto homologado],MATCH(tItens[[#This Row],[Produto]],tProdutos[Produto],0))),DescontoPadrao)</f>
        <v>0.500812004991805</v>
      </c>
      <c r="M2523" s="12">
        <f>tItens[[#This Row],[Valor]]*(1-tItens[[#This Row],[Desconto]])</f>
        <v>2050.2898924974088</v>
      </c>
      <c r="N2523" t="str">
        <f>IFERROR(INDEX(tProdutos[Foco],MATCH(tItens[[#This Row],[Produto]],tProdutos[Produto],0)),"Não")</f>
        <v>Não</v>
      </c>
      <c r="O2523" t="str">
        <f>IFERROR(INDEX(tEditais[SRP],MATCH(tItens[[#This Row],[Edital]],tEditais[Edital],0)),"Não")</f>
        <v>Sim</v>
      </c>
      <c r="P2523" s="4">
        <f>IF(COUNTIFS(INDEX(tItens[Edital],1):tItens[[#This Row],[Edital]],tItens[[#This Row],[Edital]],INDEX(tItens[Produto],1):tItens[[#This Row],[Produto]],tItens[[#This Row],[Produto]])=1,1,0)</f>
        <v>0</v>
      </c>
    </row>
    <row r="2524" spans="1:16" x14ac:dyDescent="0.25">
      <c r="A2524" t="s">
        <v>1267</v>
      </c>
      <c r="B2524">
        <v>135</v>
      </c>
      <c r="C2524" t="s">
        <v>5545</v>
      </c>
      <c r="D2524" t="s">
        <v>249</v>
      </c>
      <c r="E2524" s="13">
        <v>150</v>
      </c>
      <c r="F2524" s="12">
        <v>21.48</v>
      </c>
      <c r="G2524" t="str">
        <f>IFERROR(INDEX(tEditais[Órgão],MATCH(tItens[[#This Row],[Edital]],tEditais[Edital],0)),"")</f>
        <v>MUNICIPIO DE LAGOA GRANDE DO MARANHAO</v>
      </c>
      <c r="H2524" t="str">
        <f>IFERROR(INDEX(tEditais[UF],MATCH(tItens[[#This Row],[Edital]],tEditais[Edital],0)),"")</f>
        <v>MA</v>
      </c>
      <c r="I2524" s="11">
        <f>IFERROR(INDEX(tEditais[Encerramento],MATCH(tItens[[#This Row],[Edital]],tEditais[Edital],0)),"")</f>
        <v>46310.416666666664</v>
      </c>
      <c r="J2524" t="str">
        <f>IFERROR(INDEX(tProdutos[Classe],MATCH(tItens[[#This Row],[Produto]],tProdutos[Produto],0)),"produto não cadastrado")</f>
        <v>FORA</v>
      </c>
      <c r="K2524" s="12">
        <f>tItens[[#This Row],[Qtd]]*tItens[[#This Row],[Vlr unit]]</f>
        <v>3222</v>
      </c>
      <c r="L2524" s="6">
        <f>IFERROR(IF(INDEX(tProdutos[Desconto homologado],MATCH(tItens[[#This Row],[Produto]],tProdutos[Produto],0))="",DescontoPadrao,INDEX(tProdutos[Desconto homologado],MATCH(tItens[[#This Row],[Produto]],tProdutos[Produto],0))),DescontoPadrao)</f>
        <v>0.45399945399945402</v>
      </c>
      <c r="M2524" s="12">
        <f>tItens[[#This Row],[Valor]]*(1-tItens[[#This Row],[Desconto]])</f>
        <v>1759.213759213759</v>
      </c>
      <c r="N2524" t="str">
        <f>IFERROR(INDEX(tProdutos[Foco],MATCH(tItens[[#This Row],[Produto]],tProdutos[Produto],0)),"Não")</f>
        <v>Não</v>
      </c>
      <c r="O2524" t="str">
        <f>IFERROR(INDEX(tEditais[SRP],MATCH(tItens[[#This Row],[Edital]],tEditais[Edital],0)),"Não")</f>
        <v>Sim</v>
      </c>
      <c r="P2524" s="4">
        <f>IF(COUNTIFS(INDEX(tItens[Edital],1):tItens[[#This Row],[Edital]],tItens[[#This Row],[Edital]],INDEX(tItens[Produto],1):tItens[[#This Row],[Produto]],tItens[[#This Row],[Produto]])=1,1,0)</f>
        <v>0</v>
      </c>
    </row>
    <row r="2525" spans="1:16" x14ac:dyDescent="0.25">
      <c r="A2525" t="s">
        <v>1267</v>
      </c>
      <c r="B2525">
        <v>139</v>
      </c>
      <c r="C2525" t="s">
        <v>5546</v>
      </c>
      <c r="D2525" t="s">
        <v>327</v>
      </c>
      <c r="E2525" s="13">
        <v>300</v>
      </c>
      <c r="F2525" s="12">
        <v>30.9</v>
      </c>
      <c r="G2525" t="str">
        <f>IFERROR(INDEX(tEditais[Órgão],MATCH(tItens[[#This Row],[Edital]],tEditais[Edital],0)),"")</f>
        <v>MUNICIPIO DE LAGOA GRANDE DO MARANHAO</v>
      </c>
      <c r="H2525" t="str">
        <f>IFERROR(INDEX(tEditais[UF],MATCH(tItens[[#This Row],[Edital]],tEditais[Edital],0)),"")</f>
        <v>MA</v>
      </c>
      <c r="I2525" s="11">
        <f>IFERROR(INDEX(tEditais[Encerramento],MATCH(tItens[[#This Row],[Edital]],tEditais[Edital],0)),"")</f>
        <v>46310.416666666664</v>
      </c>
      <c r="J2525" t="str">
        <f>IFERROR(INDEX(tProdutos[Classe],MATCH(tItens[[#This Row],[Produto]],tProdutos[Produto],0)),"produto não cadastrado")</f>
        <v>FORA</v>
      </c>
      <c r="K2525" s="12">
        <f>tItens[[#This Row],[Qtd]]*tItens[[#This Row],[Vlr unit]]</f>
        <v>9270</v>
      </c>
      <c r="L2525" s="6">
        <f>IFERROR(IF(INDEX(tProdutos[Desconto homologado],MATCH(tItens[[#This Row],[Produto]],tProdutos[Produto],0))="",DescontoPadrao,INDEX(tProdutos[Desconto homologado],MATCH(tItens[[#This Row],[Produto]],tProdutos[Produto],0))),DescontoPadrao)</f>
        <v>0.49969483918783197</v>
      </c>
      <c r="M2525" s="12">
        <f>tItens[[#This Row],[Valor]]*(1-tItens[[#This Row],[Desconto]])</f>
        <v>4637.8288407287973</v>
      </c>
      <c r="N2525" t="str">
        <f>IFERROR(INDEX(tProdutos[Foco],MATCH(tItens[[#This Row],[Produto]],tProdutos[Produto],0)),"Não")</f>
        <v>Não</v>
      </c>
      <c r="O2525" t="str">
        <f>IFERROR(INDEX(tEditais[SRP],MATCH(tItens[[#This Row],[Edital]],tEditais[Edital],0)),"Não")</f>
        <v>Sim</v>
      </c>
      <c r="P2525" s="4">
        <f>IF(COUNTIFS(INDEX(tItens[Edital],1):tItens[[#This Row],[Edital]],tItens[[#This Row],[Edital]],INDEX(tItens[Produto],1):tItens[[#This Row],[Produto]],tItens[[#This Row],[Produto]])=1,1,0)</f>
        <v>1</v>
      </c>
    </row>
    <row r="2526" spans="1:16" x14ac:dyDescent="0.25">
      <c r="A2526" t="s">
        <v>1267</v>
      </c>
      <c r="B2526">
        <v>146</v>
      </c>
      <c r="C2526" t="s">
        <v>5547</v>
      </c>
      <c r="D2526" t="s">
        <v>275</v>
      </c>
      <c r="E2526" s="13">
        <v>2250</v>
      </c>
      <c r="F2526" s="12">
        <v>84.05</v>
      </c>
      <c r="G2526" t="str">
        <f>IFERROR(INDEX(tEditais[Órgão],MATCH(tItens[[#This Row],[Edital]],tEditais[Edital],0)),"")</f>
        <v>MUNICIPIO DE LAGOA GRANDE DO MARANHAO</v>
      </c>
      <c r="H2526" t="str">
        <f>IFERROR(INDEX(tEditais[UF],MATCH(tItens[[#This Row],[Edital]],tEditais[Edital],0)),"")</f>
        <v>MA</v>
      </c>
      <c r="I2526" s="11">
        <f>IFERROR(INDEX(tEditais[Encerramento],MATCH(tItens[[#This Row],[Edital]],tEditais[Edital],0)),"")</f>
        <v>46310.416666666664</v>
      </c>
      <c r="J2526" t="str">
        <f>IFERROR(INDEX(tProdutos[Classe],MATCH(tItens[[#This Row],[Produto]],tProdutos[Produto],0)),"produto não cadastrado")</f>
        <v>FORA</v>
      </c>
      <c r="K2526" s="12">
        <f>tItens[[#This Row],[Qtd]]*tItens[[#This Row],[Vlr unit]]</f>
        <v>189112.5</v>
      </c>
      <c r="L2526" s="6">
        <f>IFERROR(IF(INDEX(tProdutos[Desconto homologado],MATCH(tItens[[#This Row],[Produto]],tProdutos[Produto],0))="",DescontoPadrao,INDEX(tProdutos[Desconto homologado],MATCH(tItens[[#This Row],[Produto]],tProdutos[Produto],0))),DescontoPadrao)</f>
        <v>0.405797101449275</v>
      </c>
      <c r="M2526" s="12">
        <f>tItens[[#This Row],[Valor]]*(1-tItens[[#This Row],[Desconto]])</f>
        <v>112371.19565217399</v>
      </c>
      <c r="N2526" t="str">
        <f>IFERROR(INDEX(tProdutos[Foco],MATCH(tItens[[#This Row],[Produto]],tProdutos[Produto],0)),"Não")</f>
        <v>Não</v>
      </c>
      <c r="O2526" t="str">
        <f>IFERROR(INDEX(tEditais[SRP],MATCH(tItens[[#This Row],[Edital]],tEditais[Edital],0)),"Não")</f>
        <v>Sim</v>
      </c>
      <c r="P2526" s="4">
        <f>IF(COUNTIFS(INDEX(tItens[Edital],1):tItens[[#This Row],[Edital]],tItens[[#This Row],[Edital]],INDEX(tItens[Produto],1):tItens[[#This Row],[Produto]],tItens[[#This Row],[Produto]])=1,1,0)</f>
        <v>1</v>
      </c>
    </row>
    <row r="2527" spans="1:16" x14ac:dyDescent="0.25">
      <c r="A2527" t="s">
        <v>1267</v>
      </c>
      <c r="B2527">
        <v>147</v>
      </c>
      <c r="C2527" t="s">
        <v>5548</v>
      </c>
      <c r="D2527" t="s">
        <v>275</v>
      </c>
      <c r="E2527" s="13">
        <v>750</v>
      </c>
      <c r="F2527" s="12">
        <v>84.05</v>
      </c>
      <c r="G2527" t="str">
        <f>IFERROR(INDEX(tEditais[Órgão],MATCH(tItens[[#This Row],[Edital]],tEditais[Edital],0)),"")</f>
        <v>MUNICIPIO DE LAGOA GRANDE DO MARANHAO</v>
      </c>
      <c r="H2527" t="str">
        <f>IFERROR(INDEX(tEditais[UF],MATCH(tItens[[#This Row],[Edital]],tEditais[Edital],0)),"")</f>
        <v>MA</v>
      </c>
      <c r="I2527" s="11">
        <f>IFERROR(INDEX(tEditais[Encerramento],MATCH(tItens[[#This Row],[Edital]],tEditais[Edital],0)),"")</f>
        <v>46310.416666666664</v>
      </c>
      <c r="J2527" t="str">
        <f>IFERROR(INDEX(tProdutos[Classe],MATCH(tItens[[#This Row],[Produto]],tProdutos[Produto],0)),"produto não cadastrado")</f>
        <v>FORA</v>
      </c>
      <c r="K2527" s="12">
        <f>tItens[[#This Row],[Qtd]]*tItens[[#This Row],[Vlr unit]]</f>
        <v>63037.5</v>
      </c>
      <c r="L2527" s="6">
        <f>IFERROR(IF(INDEX(tProdutos[Desconto homologado],MATCH(tItens[[#This Row],[Produto]],tProdutos[Produto],0))="",DescontoPadrao,INDEX(tProdutos[Desconto homologado],MATCH(tItens[[#This Row],[Produto]],tProdutos[Produto],0))),DescontoPadrao)</f>
        <v>0.405797101449275</v>
      </c>
      <c r="M2527" s="12">
        <f>tItens[[#This Row],[Valor]]*(1-tItens[[#This Row],[Desconto]])</f>
        <v>37457.065217391333</v>
      </c>
      <c r="N2527" t="str">
        <f>IFERROR(INDEX(tProdutos[Foco],MATCH(tItens[[#This Row],[Produto]],tProdutos[Produto],0)),"Não")</f>
        <v>Não</v>
      </c>
      <c r="O2527" t="str">
        <f>IFERROR(INDEX(tEditais[SRP],MATCH(tItens[[#This Row],[Edital]],tEditais[Edital],0)),"Não")</f>
        <v>Sim</v>
      </c>
      <c r="P2527" s="4">
        <f>IF(COUNTIFS(INDEX(tItens[Edital],1):tItens[[#This Row],[Edital]],tItens[[#This Row],[Edital]],INDEX(tItens[Produto],1):tItens[[#This Row],[Produto]],tItens[[#This Row],[Produto]])=1,1,0)</f>
        <v>0</v>
      </c>
    </row>
    <row r="2528" spans="1:16" x14ac:dyDescent="0.25">
      <c r="A2528" t="s">
        <v>1267</v>
      </c>
      <c r="B2528">
        <v>148</v>
      </c>
      <c r="C2528" t="s">
        <v>5549</v>
      </c>
      <c r="D2528" t="s">
        <v>281</v>
      </c>
      <c r="E2528" s="13">
        <v>7935</v>
      </c>
      <c r="F2528" s="12">
        <v>38.74</v>
      </c>
      <c r="G2528" t="str">
        <f>IFERROR(INDEX(tEditais[Órgão],MATCH(tItens[[#This Row],[Edital]],tEditais[Edital],0)),"")</f>
        <v>MUNICIPIO DE LAGOA GRANDE DO MARANHAO</v>
      </c>
      <c r="H2528" t="str">
        <f>IFERROR(INDEX(tEditais[UF],MATCH(tItens[[#This Row],[Edital]],tEditais[Edital],0)),"")</f>
        <v>MA</v>
      </c>
      <c r="I2528" s="11">
        <f>IFERROR(INDEX(tEditais[Encerramento],MATCH(tItens[[#This Row],[Edital]],tEditais[Edital],0)),"")</f>
        <v>46310.416666666664</v>
      </c>
      <c r="J2528" t="str">
        <f>IFERROR(INDEX(tProdutos[Classe],MATCH(tItens[[#This Row],[Produto]],tProdutos[Produto],0)),"produto não cadastrado")</f>
        <v>DISPUTADO</v>
      </c>
      <c r="K2528" s="12">
        <f>tItens[[#This Row],[Qtd]]*tItens[[#This Row],[Vlr unit]]</f>
        <v>307401.90000000002</v>
      </c>
      <c r="L2528" s="6">
        <f>IFERROR(IF(INDEX(tProdutos[Desconto homologado],MATCH(tItens[[#This Row],[Produto]],tProdutos[Produto],0))="",DescontoPadrao,INDEX(tProdutos[Desconto homologado],MATCH(tItens[[#This Row],[Produto]],tProdutos[Produto],0))),DescontoPadrao)</f>
        <v>0.42461538461538501</v>
      </c>
      <c r="M2528" s="12">
        <f>tItens[[#This Row],[Valor]]*(1-tItens[[#This Row],[Desconto]])</f>
        <v>176874.32399999988</v>
      </c>
      <c r="N2528" t="str">
        <f>IFERROR(INDEX(tProdutos[Foco],MATCH(tItens[[#This Row],[Produto]],tProdutos[Produto],0)),"Não")</f>
        <v>Não</v>
      </c>
      <c r="O2528" t="str">
        <f>IFERROR(INDEX(tEditais[SRP],MATCH(tItens[[#This Row],[Edital]],tEditais[Edital],0)),"Não")</f>
        <v>Sim</v>
      </c>
      <c r="P2528" s="4">
        <f>IF(COUNTIFS(INDEX(tItens[Edital],1):tItens[[#This Row],[Edital]],tItens[[#This Row],[Edital]],INDEX(tItens[Produto],1):tItens[[#This Row],[Produto]],tItens[[#This Row],[Produto]])=1,1,0)</f>
        <v>1</v>
      </c>
    </row>
    <row r="2529" spans="1:16" x14ac:dyDescent="0.25">
      <c r="A2529" t="s">
        <v>1267</v>
      </c>
      <c r="B2529">
        <v>149</v>
      </c>
      <c r="C2529" t="s">
        <v>5550</v>
      </c>
      <c r="D2529" t="s">
        <v>281</v>
      </c>
      <c r="E2529" s="13">
        <v>2065</v>
      </c>
      <c r="F2529" s="12">
        <v>38.74</v>
      </c>
      <c r="G2529" t="str">
        <f>IFERROR(INDEX(tEditais[Órgão],MATCH(tItens[[#This Row],[Edital]],tEditais[Edital],0)),"")</f>
        <v>MUNICIPIO DE LAGOA GRANDE DO MARANHAO</v>
      </c>
      <c r="H2529" t="str">
        <f>IFERROR(INDEX(tEditais[UF],MATCH(tItens[[#This Row],[Edital]],tEditais[Edital],0)),"")</f>
        <v>MA</v>
      </c>
      <c r="I2529" s="11">
        <f>IFERROR(INDEX(tEditais[Encerramento],MATCH(tItens[[#This Row],[Edital]],tEditais[Edital],0)),"")</f>
        <v>46310.416666666664</v>
      </c>
      <c r="J2529" t="str">
        <f>IFERROR(INDEX(tProdutos[Classe],MATCH(tItens[[#This Row],[Produto]],tProdutos[Produto],0)),"produto não cadastrado")</f>
        <v>DISPUTADO</v>
      </c>
      <c r="K2529" s="12">
        <f>tItens[[#This Row],[Qtd]]*tItens[[#This Row],[Vlr unit]]</f>
        <v>79998.100000000006</v>
      </c>
      <c r="L2529" s="6">
        <f>IFERROR(IF(INDEX(tProdutos[Desconto homologado],MATCH(tItens[[#This Row],[Produto]],tProdutos[Produto],0))="",DescontoPadrao,INDEX(tProdutos[Desconto homologado],MATCH(tItens[[#This Row],[Produto]],tProdutos[Produto],0))),DescontoPadrao)</f>
        <v>0.42461538461538501</v>
      </c>
      <c r="M2529" s="12">
        <f>tItens[[#This Row],[Valor]]*(1-tItens[[#This Row],[Desconto]])</f>
        <v>46029.67599999997</v>
      </c>
      <c r="N2529" t="str">
        <f>IFERROR(INDEX(tProdutos[Foco],MATCH(tItens[[#This Row],[Produto]],tProdutos[Produto],0)),"Não")</f>
        <v>Não</v>
      </c>
      <c r="O2529" t="str">
        <f>IFERROR(INDEX(tEditais[SRP],MATCH(tItens[[#This Row],[Edital]],tEditais[Edital],0)),"Não")</f>
        <v>Sim</v>
      </c>
      <c r="P2529" s="4">
        <f>IF(COUNTIFS(INDEX(tItens[Edital],1):tItens[[#This Row],[Edital]],tItens[[#This Row],[Edital]],INDEX(tItens[Produto],1):tItens[[#This Row],[Produto]],tItens[[#This Row],[Produto]])=1,1,0)</f>
        <v>0</v>
      </c>
    </row>
    <row r="2530" spans="1:16" x14ac:dyDescent="0.25">
      <c r="A2530" t="s">
        <v>1267</v>
      </c>
      <c r="B2530">
        <v>150</v>
      </c>
      <c r="C2530" t="s">
        <v>5551</v>
      </c>
      <c r="D2530" t="s">
        <v>289</v>
      </c>
      <c r="E2530" s="13">
        <v>8090</v>
      </c>
      <c r="F2530" s="12">
        <v>41.87</v>
      </c>
      <c r="G2530" t="str">
        <f>IFERROR(INDEX(tEditais[Órgão],MATCH(tItens[[#This Row],[Edital]],tEditais[Edital],0)),"")</f>
        <v>MUNICIPIO DE LAGOA GRANDE DO MARANHAO</v>
      </c>
      <c r="H2530" t="str">
        <f>IFERROR(INDEX(tEditais[UF],MATCH(tItens[[#This Row],[Edital]],tEditais[Edital],0)),"")</f>
        <v>MA</v>
      </c>
      <c r="I2530" s="11">
        <f>IFERROR(INDEX(tEditais[Encerramento],MATCH(tItens[[#This Row],[Edital]],tEditais[Edital],0)),"")</f>
        <v>46310.416666666664</v>
      </c>
      <c r="J2530" t="str">
        <f>IFERROR(INDEX(tProdutos[Classe],MATCH(tItens[[#This Row],[Produto]],tProdutos[Produto],0)),"produto não cadastrado")</f>
        <v>DISPUTADO</v>
      </c>
      <c r="K2530" s="12">
        <f>tItens[[#This Row],[Qtd]]*tItens[[#This Row],[Vlr unit]]</f>
        <v>338728.3</v>
      </c>
      <c r="L2530" s="6">
        <f>IFERROR(IF(INDEX(tProdutos[Desconto homologado],MATCH(tItens[[#This Row],[Produto]],tProdutos[Produto],0))="",DescontoPadrao,INDEX(tProdutos[Desconto homologado],MATCH(tItens[[#This Row],[Produto]],tProdutos[Produto],0))),DescontoPadrao)</f>
        <v>0.35849056603773599</v>
      </c>
      <c r="M2530" s="12">
        <f>tItens[[#This Row],[Valor]]*(1-tItens[[#This Row],[Desconto]])</f>
        <v>217297.39999999994</v>
      </c>
      <c r="N2530" t="str">
        <f>IFERROR(INDEX(tProdutos[Foco],MATCH(tItens[[#This Row],[Produto]],tProdutos[Produto],0)),"Não")</f>
        <v>Não</v>
      </c>
      <c r="O2530" t="str">
        <f>IFERROR(INDEX(tEditais[SRP],MATCH(tItens[[#This Row],[Edital]],tEditais[Edital],0)),"Não")</f>
        <v>Sim</v>
      </c>
      <c r="P2530" s="4">
        <f>IF(COUNTIFS(INDEX(tItens[Edital],1):tItens[[#This Row],[Edital]],tItens[[#This Row],[Edital]],INDEX(tItens[Produto],1):tItens[[#This Row],[Produto]],tItens[[#This Row],[Produto]])=1,1,0)</f>
        <v>1</v>
      </c>
    </row>
    <row r="2531" spans="1:16" x14ac:dyDescent="0.25">
      <c r="A2531" t="s">
        <v>1267</v>
      </c>
      <c r="B2531">
        <v>151</v>
      </c>
      <c r="C2531" t="s">
        <v>5552</v>
      </c>
      <c r="D2531" t="s">
        <v>289</v>
      </c>
      <c r="E2531" s="13">
        <v>1910</v>
      </c>
      <c r="F2531" s="12">
        <v>41.87</v>
      </c>
      <c r="G2531" t="str">
        <f>IFERROR(INDEX(tEditais[Órgão],MATCH(tItens[[#This Row],[Edital]],tEditais[Edital],0)),"")</f>
        <v>MUNICIPIO DE LAGOA GRANDE DO MARANHAO</v>
      </c>
      <c r="H2531" t="str">
        <f>IFERROR(INDEX(tEditais[UF],MATCH(tItens[[#This Row],[Edital]],tEditais[Edital],0)),"")</f>
        <v>MA</v>
      </c>
      <c r="I2531" s="11">
        <f>IFERROR(INDEX(tEditais[Encerramento],MATCH(tItens[[#This Row],[Edital]],tEditais[Edital],0)),"")</f>
        <v>46310.416666666664</v>
      </c>
      <c r="J2531" t="str">
        <f>IFERROR(INDEX(tProdutos[Classe],MATCH(tItens[[#This Row],[Produto]],tProdutos[Produto],0)),"produto não cadastrado")</f>
        <v>DISPUTADO</v>
      </c>
      <c r="K2531" s="12">
        <f>tItens[[#This Row],[Qtd]]*tItens[[#This Row],[Vlr unit]]</f>
        <v>79971.7</v>
      </c>
      <c r="L2531" s="6">
        <f>IFERROR(IF(INDEX(tProdutos[Desconto homologado],MATCH(tItens[[#This Row],[Produto]],tProdutos[Produto],0))="",DescontoPadrao,INDEX(tProdutos[Desconto homologado],MATCH(tItens[[#This Row],[Produto]],tProdutos[Produto],0))),DescontoPadrao)</f>
        <v>0.35849056603773599</v>
      </c>
      <c r="M2531" s="12">
        <f>tItens[[#This Row],[Valor]]*(1-tItens[[#This Row],[Desconto]])</f>
        <v>51302.599999999984</v>
      </c>
      <c r="N2531" t="str">
        <f>IFERROR(INDEX(tProdutos[Foco],MATCH(tItens[[#This Row],[Produto]],tProdutos[Produto],0)),"Não")</f>
        <v>Não</v>
      </c>
      <c r="O2531" t="str">
        <f>IFERROR(INDEX(tEditais[SRP],MATCH(tItens[[#This Row],[Edital]],tEditais[Edital],0)),"Não")</f>
        <v>Sim</v>
      </c>
      <c r="P2531" s="4">
        <f>IF(COUNTIFS(INDEX(tItens[Edital],1):tItens[[#This Row],[Edital]],tItens[[#This Row],[Edital]],INDEX(tItens[Produto],1):tItens[[#This Row],[Produto]],tItens[[#This Row],[Produto]])=1,1,0)</f>
        <v>0</v>
      </c>
    </row>
    <row r="2532" spans="1:16" x14ac:dyDescent="0.25">
      <c r="A2532" t="s">
        <v>1267</v>
      </c>
      <c r="B2532">
        <v>152</v>
      </c>
      <c r="C2532" t="s">
        <v>5553</v>
      </c>
      <c r="D2532" t="s">
        <v>283</v>
      </c>
      <c r="E2532" s="13">
        <v>6000</v>
      </c>
      <c r="F2532" s="12">
        <v>33.72</v>
      </c>
      <c r="G2532" t="str">
        <f>IFERROR(INDEX(tEditais[Órgão],MATCH(tItens[[#This Row],[Edital]],tEditais[Edital],0)),"")</f>
        <v>MUNICIPIO DE LAGOA GRANDE DO MARANHAO</v>
      </c>
      <c r="H2532" t="str">
        <f>IFERROR(INDEX(tEditais[UF],MATCH(tItens[[#This Row],[Edital]],tEditais[Edital],0)),"")</f>
        <v>MA</v>
      </c>
      <c r="I2532" s="11">
        <f>IFERROR(INDEX(tEditais[Encerramento],MATCH(tItens[[#This Row],[Edital]],tEditais[Edital],0)),"")</f>
        <v>46310.416666666664</v>
      </c>
      <c r="J2532" t="str">
        <f>IFERROR(INDEX(tProdutos[Classe],MATCH(tItens[[#This Row],[Produto]],tProdutos[Produto],0)),"produto não cadastrado")</f>
        <v>FORA</v>
      </c>
      <c r="K2532" s="12">
        <f>tItens[[#This Row],[Qtd]]*tItens[[#This Row],[Vlr unit]]</f>
        <v>202320</v>
      </c>
      <c r="L2532" s="6">
        <f>IFERROR(IF(INDEX(tProdutos[Desconto homologado],MATCH(tItens[[#This Row],[Produto]],tProdutos[Produto],0))="",DescontoPadrao,INDEX(tProdutos[Desconto homologado],MATCH(tItens[[#This Row],[Produto]],tProdutos[Produto],0))),DescontoPadrao)</f>
        <v>0.40540540540540498</v>
      </c>
      <c r="M2532" s="12">
        <f>tItens[[#This Row],[Valor]]*(1-tItens[[#This Row],[Desconto]])</f>
        <v>120298.37837837845</v>
      </c>
      <c r="N2532" t="str">
        <f>IFERROR(INDEX(tProdutos[Foco],MATCH(tItens[[#This Row],[Produto]],tProdutos[Produto],0)),"Não")</f>
        <v>Não</v>
      </c>
      <c r="O2532" t="str">
        <f>IFERROR(INDEX(tEditais[SRP],MATCH(tItens[[#This Row],[Edital]],tEditais[Edital],0)),"Não")</f>
        <v>Sim</v>
      </c>
      <c r="P2532" s="4">
        <f>IF(COUNTIFS(INDEX(tItens[Edital],1):tItens[[#This Row],[Edital]],tItens[[#This Row],[Edital]],INDEX(tItens[Produto],1):tItens[[#This Row],[Produto]],tItens[[#This Row],[Produto]])=1,1,0)</f>
        <v>1</v>
      </c>
    </row>
    <row r="2533" spans="1:16" x14ac:dyDescent="0.25">
      <c r="A2533" t="s">
        <v>1267</v>
      </c>
      <c r="B2533">
        <v>153</v>
      </c>
      <c r="C2533" t="s">
        <v>5554</v>
      </c>
      <c r="D2533" t="s">
        <v>283</v>
      </c>
      <c r="E2533" s="13">
        <v>2000</v>
      </c>
      <c r="F2533" s="12">
        <v>33.72</v>
      </c>
      <c r="G2533" t="str">
        <f>IFERROR(INDEX(tEditais[Órgão],MATCH(tItens[[#This Row],[Edital]],tEditais[Edital],0)),"")</f>
        <v>MUNICIPIO DE LAGOA GRANDE DO MARANHAO</v>
      </c>
      <c r="H2533" t="str">
        <f>IFERROR(INDEX(tEditais[UF],MATCH(tItens[[#This Row],[Edital]],tEditais[Edital],0)),"")</f>
        <v>MA</v>
      </c>
      <c r="I2533" s="11">
        <f>IFERROR(INDEX(tEditais[Encerramento],MATCH(tItens[[#This Row],[Edital]],tEditais[Edital],0)),"")</f>
        <v>46310.416666666664</v>
      </c>
      <c r="J2533" t="str">
        <f>IFERROR(INDEX(tProdutos[Classe],MATCH(tItens[[#This Row],[Produto]],tProdutos[Produto],0)),"produto não cadastrado")</f>
        <v>FORA</v>
      </c>
      <c r="K2533" s="12">
        <f>tItens[[#This Row],[Qtd]]*tItens[[#This Row],[Vlr unit]]</f>
        <v>67440</v>
      </c>
      <c r="L2533" s="6">
        <f>IFERROR(IF(INDEX(tProdutos[Desconto homologado],MATCH(tItens[[#This Row],[Produto]],tProdutos[Produto],0))="",DescontoPadrao,INDEX(tProdutos[Desconto homologado],MATCH(tItens[[#This Row],[Produto]],tProdutos[Produto],0))),DescontoPadrao)</f>
        <v>0.40540540540540498</v>
      </c>
      <c r="M2533" s="12">
        <f>tItens[[#This Row],[Valor]]*(1-tItens[[#This Row],[Desconto]])</f>
        <v>40099.459459459482</v>
      </c>
      <c r="N2533" t="str">
        <f>IFERROR(INDEX(tProdutos[Foco],MATCH(tItens[[#This Row],[Produto]],tProdutos[Produto],0)),"Não")</f>
        <v>Não</v>
      </c>
      <c r="O2533" t="str">
        <f>IFERROR(INDEX(tEditais[SRP],MATCH(tItens[[#This Row],[Edital]],tEditais[Edital],0)),"Não")</f>
        <v>Sim</v>
      </c>
      <c r="P2533" s="4">
        <f>IF(COUNTIFS(INDEX(tItens[Edital],1):tItens[[#This Row],[Edital]],tItens[[#This Row],[Edital]],INDEX(tItens[Produto],1):tItens[[#This Row],[Produto]],tItens[[#This Row],[Produto]])=1,1,0)</f>
        <v>0</v>
      </c>
    </row>
    <row r="2534" spans="1:16" x14ac:dyDescent="0.25">
      <c r="A2534" t="s">
        <v>1267</v>
      </c>
      <c r="B2534">
        <v>156</v>
      </c>
      <c r="C2534" t="s">
        <v>5555</v>
      </c>
      <c r="D2534" t="s">
        <v>265</v>
      </c>
      <c r="E2534" s="13">
        <v>7736</v>
      </c>
      <c r="F2534" s="12">
        <v>35.33</v>
      </c>
      <c r="G2534" t="str">
        <f>IFERROR(INDEX(tEditais[Órgão],MATCH(tItens[[#This Row],[Edital]],tEditais[Edital],0)),"")</f>
        <v>MUNICIPIO DE LAGOA GRANDE DO MARANHAO</v>
      </c>
      <c r="H2534" t="str">
        <f>IFERROR(INDEX(tEditais[UF],MATCH(tItens[[#This Row],[Edital]],tEditais[Edital],0)),"")</f>
        <v>MA</v>
      </c>
      <c r="I2534" s="11">
        <f>IFERROR(INDEX(tEditais[Encerramento],MATCH(tItens[[#This Row],[Edital]],tEditais[Edital],0)),"")</f>
        <v>46310.416666666664</v>
      </c>
      <c r="J2534" t="str">
        <f>IFERROR(INDEX(tProdutos[Classe],MATCH(tItens[[#This Row],[Produto]],tProdutos[Produto],0)),"produto não cadastrado")</f>
        <v>DISPUTADO</v>
      </c>
      <c r="K2534" s="12">
        <f>tItens[[#This Row],[Qtd]]*tItens[[#This Row],[Vlr unit]]</f>
        <v>273312.88</v>
      </c>
      <c r="L2534" s="6">
        <f>IFERROR(IF(INDEX(tProdutos[Desconto homologado],MATCH(tItens[[#This Row],[Produto]],tProdutos[Produto],0))="",DescontoPadrao,INDEX(tProdutos[Desconto homologado],MATCH(tItens[[#This Row],[Produto]],tProdutos[Produto],0))),DescontoPadrao)</f>
        <v>0.377587663709337</v>
      </c>
      <c r="M2534" s="12">
        <f>tItens[[#This Row],[Valor]]*(1-tItens[[#This Row],[Desconto]])</f>
        <v>170113.30817912964</v>
      </c>
      <c r="N2534" t="str">
        <f>IFERROR(INDEX(tProdutos[Foco],MATCH(tItens[[#This Row],[Produto]],tProdutos[Produto],0)),"Não")</f>
        <v>Não</v>
      </c>
      <c r="O2534" t="str">
        <f>IFERROR(INDEX(tEditais[SRP],MATCH(tItens[[#This Row],[Edital]],tEditais[Edital],0)),"Não")</f>
        <v>Sim</v>
      </c>
      <c r="P2534" s="4">
        <f>IF(COUNTIFS(INDEX(tItens[Edital],1):tItens[[#This Row],[Edital]],tItens[[#This Row],[Edital]],INDEX(tItens[Produto],1):tItens[[#This Row],[Produto]],tItens[[#This Row],[Produto]])=1,1,0)</f>
        <v>1</v>
      </c>
    </row>
    <row r="2535" spans="1:16" x14ac:dyDescent="0.25">
      <c r="A2535" t="s">
        <v>1267</v>
      </c>
      <c r="B2535">
        <v>157</v>
      </c>
      <c r="C2535" t="s">
        <v>5556</v>
      </c>
      <c r="D2535" t="s">
        <v>265</v>
      </c>
      <c r="E2535" s="13">
        <v>2264</v>
      </c>
      <c r="F2535" s="12">
        <v>35.33</v>
      </c>
      <c r="G2535" t="str">
        <f>IFERROR(INDEX(tEditais[Órgão],MATCH(tItens[[#This Row],[Edital]],tEditais[Edital],0)),"")</f>
        <v>MUNICIPIO DE LAGOA GRANDE DO MARANHAO</v>
      </c>
      <c r="H2535" t="str">
        <f>IFERROR(INDEX(tEditais[UF],MATCH(tItens[[#This Row],[Edital]],tEditais[Edital],0)),"")</f>
        <v>MA</v>
      </c>
      <c r="I2535" s="11">
        <f>IFERROR(INDEX(tEditais[Encerramento],MATCH(tItens[[#This Row],[Edital]],tEditais[Edital],0)),"")</f>
        <v>46310.416666666664</v>
      </c>
      <c r="J2535" t="str">
        <f>IFERROR(INDEX(tProdutos[Classe],MATCH(tItens[[#This Row],[Produto]],tProdutos[Produto],0)),"produto não cadastrado")</f>
        <v>DISPUTADO</v>
      </c>
      <c r="K2535" s="12">
        <f>tItens[[#This Row],[Qtd]]*tItens[[#This Row],[Vlr unit]]</f>
        <v>79987.12</v>
      </c>
      <c r="L2535" s="6">
        <f>IFERROR(IF(INDEX(tProdutos[Desconto homologado],MATCH(tItens[[#This Row],[Produto]],tProdutos[Produto],0))="",DescontoPadrao,INDEX(tProdutos[Desconto homologado],MATCH(tItens[[#This Row],[Produto]],tProdutos[Produto],0))),DescontoPadrao)</f>
        <v>0.377587663709337</v>
      </c>
      <c r="M2535" s="12">
        <f>tItens[[#This Row],[Valor]]*(1-tItens[[#This Row],[Desconto]])</f>
        <v>49784.970232361615</v>
      </c>
      <c r="N2535" t="str">
        <f>IFERROR(INDEX(tProdutos[Foco],MATCH(tItens[[#This Row],[Produto]],tProdutos[Produto],0)),"Não")</f>
        <v>Não</v>
      </c>
      <c r="O2535" t="str">
        <f>IFERROR(INDEX(tEditais[SRP],MATCH(tItens[[#This Row],[Edital]],tEditais[Edital],0)),"Não")</f>
        <v>Sim</v>
      </c>
      <c r="P2535" s="4">
        <f>IF(COUNTIFS(INDEX(tItens[Edital],1):tItens[[#This Row],[Edital]],tItens[[#This Row],[Edital]],INDEX(tItens[Produto],1):tItens[[#This Row],[Produto]],tItens[[#This Row],[Produto]])=1,1,0)</f>
        <v>0</v>
      </c>
    </row>
    <row r="2536" spans="1:16" x14ac:dyDescent="0.25">
      <c r="A2536" t="s">
        <v>1267</v>
      </c>
      <c r="B2536">
        <v>170</v>
      </c>
      <c r="C2536" t="s">
        <v>5557</v>
      </c>
      <c r="D2536" t="s">
        <v>110</v>
      </c>
      <c r="E2536" s="13">
        <v>1400</v>
      </c>
      <c r="F2536" s="12">
        <v>2.0299999999999998</v>
      </c>
      <c r="G2536" t="str">
        <f>IFERROR(INDEX(tEditais[Órgão],MATCH(tItens[[#This Row],[Edital]],tEditais[Edital],0)),"")</f>
        <v>MUNICIPIO DE LAGOA GRANDE DO MARANHAO</v>
      </c>
      <c r="H2536" t="str">
        <f>IFERROR(INDEX(tEditais[UF],MATCH(tItens[[#This Row],[Edital]],tEditais[Edital],0)),"")</f>
        <v>MA</v>
      </c>
      <c r="I2536" s="11">
        <f>IFERROR(INDEX(tEditais[Encerramento],MATCH(tItens[[#This Row],[Edital]],tEditais[Edital],0)),"")</f>
        <v>46310.416666666664</v>
      </c>
      <c r="J2536" t="str">
        <f>IFERROR(INDEX(tProdutos[Classe],MATCH(tItens[[#This Row],[Produto]],tProdutos[Produto],0)),"produto não cadastrado")</f>
        <v>NÚCLEO</v>
      </c>
      <c r="K2536" s="12">
        <f>tItens[[#This Row],[Qtd]]*tItens[[#This Row],[Vlr unit]]</f>
        <v>2841.9999999999995</v>
      </c>
      <c r="L2536" s="6">
        <f>IFERROR(IF(INDEX(tProdutos[Desconto homologado],MATCH(tItens[[#This Row],[Produto]],tProdutos[Produto],0))="",DescontoPadrao,INDEX(tProdutos[Desconto homologado],MATCH(tItens[[#This Row],[Produto]],tProdutos[Produto],0))),DescontoPadrao)</f>
        <v>0.30410958904109597</v>
      </c>
      <c r="M2536" s="12">
        <f>tItens[[#This Row],[Valor]]*(1-tItens[[#This Row],[Desconto]])</f>
        <v>1977.720547945205</v>
      </c>
      <c r="N2536" t="str">
        <f>IFERROR(INDEX(tProdutos[Foco],MATCH(tItens[[#This Row],[Produto]],tProdutos[Produto],0)),"Não")</f>
        <v>Não</v>
      </c>
      <c r="O2536" t="str">
        <f>IFERROR(INDEX(tEditais[SRP],MATCH(tItens[[#This Row],[Edital]],tEditais[Edital],0)),"Não")</f>
        <v>Sim</v>
      </c>
      <c r="P2536" s="4">
        <f>IF(COUNTIFS(INDEX(tItens[Edital],1):tItens[[#This Row],[Edital]],tItens[[#This Row],[Edital]],INDEX(tItens[Produto],1):tItens[[#This Row],[Produto]],tItens[[#This Row],[Produto]])=1,1,0)</f>
        <v>1</v>
      </c>
    </row>
    <row r="2537" spans="1:16" x14ac:dyDescent="0.25">
      <c r="A2537" t="s">
        <v>1267</v>
      </c>
      <c r="B2537">
        <v>171</v>
      </c>
      <c r="C2537" t="s">
        <v>5558</v>
      </c>
      <c r="D2537" t="s">
        <v>110</v>
      </c>
      <c r="E2537" s="13">
        <v>1200</v>
      </c>
      <c r="F2537" s="12">
        <v>2.11</v>
      </c>
      <c r="G2537" t="str">
        <f>IFERROR(INDEX(tEditais[Órgão],MATCH(tItens[[#This Row],[Edital]],tEditais[Edital],0)),"")</f>
        <v>MUNICIPIO DE LAGOA GRANDE DO MARANHAO</v>
      </c>
      <c r="H2537" t="str">
        <f>IFERROR(INDEX(tEditais[UF],MATCH(tItens[[#This Row],[Edital]],tEditais[Edital],0)),"")</f>
        <v>MA</v>
      </c>
      <c r="I2537" s="11">
        <f>IFERROR(INDEX(tEditais[Encerramento],MATCH(tItens[[#This Row],[Edital]],tEditais[Edital],0)),"")</f>
        <v>46310.416666666664</v>
      </c>
      <c r="J2537" t="str">
        <f>IFERROR(INDEX(tProdutos[Classe],MATCH(tItens[[#This Row],[Produto]],tProdutos[Produto],0)),"produto não cadastrado")</f>
        <v>NÚCLEO</v>
      </c>
      <c r="K2537" s="12">
        <f>tItens[[#This Row],[Qtd]]*tItens[[#This Row],[Vlr unit]]</f>
        <v>2532</v>
      </c>
      <c r="L2537" s="6">
        <f>IFERROR(IF(INDEX(tProdutos[Desconto homologado],MATCH(tItens[[#This Row],[Produto]],tProdutos[Produto],0))="",DescontoPadrao,INDEX(tProdutos[Desconto homologado],MATCH(tItens[[#This Row],[Produto]],tProdutos[Produto],0))),DescontoPadrao)</f>
        <v>0.30410958904109597</v>
      </c>
      <c r="M2537" s="12">
        <f>tItens[[#This Row],[Valor]]*(1-tItens[[#This Row],[Desconto]])</f>
        <v>1761.9945205479451</v>
      </c>
      <c r="N2537" t="str">
        <f>IFERROR(INDEX(tProdutos[Foco],MATCH(tItens[[#This Row],[Produto]],tProdutos[Produto],0)),"Não")</f>
        <v>Não</v>
      </c>
      <c r="O2537" t="str">
        <f>IFERROR(INDEX(tEditais[SRP],MATCH(tItens[[#This Row],[Edital]],tEditais[Edital],0)),"Não")</f>
        <v>Sim</v>
      </c>
      <c r="P2537" s="4">
        <f>IF(COUNTIFS(INDEX(tItens[Edital],1):tItens[[#This Row],[Edital]],tItens[[#This Row],[Edital]],INDEX(tItens[Produto],1):tItens[[#This Row],[Produto]],tItens[[#This Row],[Produto]])=1,1,0)</f>
        <v>0</v>
      </c>
    </row>
    <row r="2538" spans="1:16" x14ac:dyDescent="0.25">
      <c r="A2538" t="s">
        <v>1267</v>
      </c>
      <c r="B2538">
        <v>172</v>
      </c>
      <c r="C2538" t="s">
        <v>5559</v>
      </c>
      <c r="D2538" t="s">
        <v>110</v>
      </c>
      <c r="E2538" s="13">
        <v>280</v>
      </c>
      <c r="F2538" s="12">
        <v>2.17</v>
      </c>
      <c r="G2538" t="str">
        <f>IFERROR(INDEX(tEditais[Órgão],MATCH(tItens[[#This Row],[Edital]],tEditais[Edital],0)),"")</f>
        <v>MUNICIPIO DE LAGOA GRANDE DO MARANHAO</v>
      </c>
      <c r="H2538" t="str">
        <f>IFERROR(INDEX(tEditais[UF],MATCH(tItens[[#This Row],[Edital]],tEditais[Edital],0)),"")</f>
        <v>MA</v>
      </c>
      <c r="I2538" s="11">
        <f>IFERROR(INDEX(tEditais[Encerramento],MATCH(tItens[[#This Row],[Edital]],tEditais[Edital],0)),"")</f>
        <v>46310.416666666664</v>
      </c>
      <c r="J2538" t="str">
        <f>IFERROR(INDEX(tProdutos[Classe],MATCH(tItens[[#This Row],[Produto]],tProdutos[Produto],0)),"produto não cadastrado")</f>
        <v>NÚCLEO</v>
      </c>
      <c r="K2538" s="12">
        <f>tItens[[#This Row],[Qtd]]*tItens[[#This Row],[Vlr unit]]</f>
        <v>607.6</v>
      </c>
      <c r="L2538" s="6">
        <f>IFERROR(IF(INDEX(tProdutos[Desconto homologado],MATCH(tItens[[#This Row],[Produto]],tProdutos[Produto],0))="",DescontoPadrao,INDEX(tProdutos[Desconto homologado],MATCH(tItens[[#This Row],[Produto]],tProdutos[Produto],0))),DescontoPadrao)</f>
        <v>0.30410958904109597</v>
      </c>
      <c r="M2538" s="12">
        <f>tItens[[#This Row],[Valor]]*(1-tItens[[#This Row],[Desconto]])</f>
        <v>422.82301369863012</v>
      </c>
      <c r="N2538" t="str">
        <f>IFERROR(INDEX(tProdutos[Foco],MATCH(tItens[[#This Row],[Produto]],tProdutos[Produto],0)),"Não")</f>
        <v>Não</v>
      </c>
      <c r="O2538" t="str">
        <f>IFERROR(INDEX(tEditais[SRP],MATCH(tItens[[#This Row],[Edital]],tEditais[Edital],0)),"Não")</f>
        <v>Sim</v>
      </c>
      <c r="P2538" s="4">
        <f>IF(COUNTIFS(INDEX(tItens[Edital],1):tItens[[#This Row],[Edital]],tItens[[#This Row],[Edital]],INDEX(tItens[Produto],1):tItens[[#This Row],[Produto]],tItens[[#This Row],[Produto]])=1,1,0)</f>
        <v>0</v>
      </c>
    </row>
    <row r="2539" spans="1:16" x14ac:dyDescent="0.25">
      <c r="A2539" t="s">
        <v>1267</v>
      </c>
      <c r="B2539">
        <v>173</v>
      </c>
      <c r="C2539" t="s">
        <v>5560</v>
      </c>
      <c r="D2539" t="s">
        <v>110</v>
      </c>
      <c r="E2539" s="13">
        <v>140</v>
      </c>
      <c r="F2539" s="12">
        <v>2.09</v>
      </c>
      <c r="G2539" t="str">
        <f>IFERROR(INDEX(tEditais[Órgão],MATCH(tItens[[#This Row],[Edital]],tEditais[Edital],0)),"")</f>
        <v>MUNICIPIO DE LAGOA GRANDE DO MARANHAO</v>
      </c>
      <c r="H2539" t="str">
        <f>IFERROR(INDEX(tEditais[UF],MATCH(tItens[[#This Row],[Edital]],tEditais[Edital],0)),"")</f>
        <v>MA</v>
      </c>
      <c r="I2539" s="11">
        <f>IFERROR(INDEX(tEditais[Encerramento],MATCH(tItens[[#This Row],[Edital]],tEditais[Edital],0)),"")</f>
        <v>46310.416666666664</v>
      </c>
      <c r="J2539" t="str">
        <f>IFERROR(INDEX(tProdutos[Classe],MATCH(tItens[[#This Row],[Produto]],tProdutos[Produto],0)),"produto não cadastrado")</f>
        <v>NÚCLEO</v>
      </c>
      <c r="K2539" s="12">
        <f>tItens[[#This Row],[Qtd]]*tItens[[#This Row],[Vlr unit]]</f>
        <v>292.59999999999997</v>
      </c>
      <c r="L2539" s="6">
        <f>IFERROR(IF(INDEX(tProdutos[Desconto homologado],MATCH(tItens[[#This Row],[Produto]],tProdutos[Produto],0))="",DescontoPadrao,INDEX(tProdutos[Desconto homologado],MATCH(tItens[[#This Row],[Produto]],tProdutos[Produto],0))),DescontoPadrao)</f>
        <v>0.30410958904109597</v>
      </c>
      <c r="M2539" s="12">
        <f>tItens[[#This Row],[Valor]]*(1-tItens[[#This Row],[Desconto]])</f>
        <v>203.6175342465753</v>
      </c>
      <c r="N2539" t="str">
        <f>IFERROR(INDEX(tProdutos[Foco],MATCH(tItens[[#This Row],[Produto]],tProdutos[Produto],0)),"Não")</f>
        <v>Não</v>
      </c>
      <c r="O2539" t="str">
        <f>IFERROR(INDEX(tEditais[SRP],MATCH(tItens[[#This Row],[Edital]],tEditais[Edital],0)),"Não")</f>
        <v>Sim</v>
      </c>
      <c r="P2539" s="4">
        <f>IF(COUNTIFS(INDEX(tItens[Edital],1):tItens[[#This Row],[Edital]],tItens[[#This Row],[Edital]],INDEX(tItens[Produto],1):tItens[[#This Row],[Produto]],tItens[[#This Row],[Produto]])=1,1,0)</f>
        <v>0</v>
      </c>
    </row>
    <row r="2540" spans="1:16" x14ac:dyDescent="0.25">
      <c r="A2540" t="s">
        <v>1267</v>
      </c>
      <c r="B2540">
        <v>174</v>
      </c>
      <c r="C2540" t="s">
        <v>5561</v>
      </c>
      <c r="D2540" t="s">
        <v>110</v>
      </c>
      <c r="E2540" s="13">
        <v>1400</v>
      </c>
      <c r="F2540" s="12">
        <v>3.61</v>
      </c>
      <c r="G2540" t="str">
        <f>IFERROR(INDEX(tEditais[Órgão],MATCH(tItens[[#This Row],[Edital]],tEditais[Edital],0)),"")</f>
        <v>MUNICIPIO DE LAGOA GRANDE DO MARANHAO</v>
      </c>
      <c r="H2540" t="str">
        <f>IFERROR(INDEX(tEditais[UF],MATCH(tItens[[#This Row],[Edital]],tEditais[Edital],0)),"")</f>
        <v>MA</v>
      </c>
      <c r="I2540" s="11">
        <f>IFERROR(INDEX(tEditais[Encerramento],MATCH(tItens[[#This Row],[Edital]],tEditais[Edital],0)),"")</f>
        <v>46310.416666666664</v>
      </c>
      <c r="J2540" t="str">
        <f>IFERROR(INDEX(tProdutos[Classe],MATCH(tItens[[#This Row],[Produto]],tProdutos[Produto],0)),"produto não cadastrado")</f>
        <v>NÚCLEO</v>
      </c>
      <c r="K2540" s="12">
        <f>tItens[[#This Row],[Qtd]]*tItens[[#This Row],[Vlr unit]]</f>
        <v>5054</v>
      </c>
      <c r="L2540" s="6">
        <f>IFERROR(IF(INDEX(tProdutos[Desconto homologado],MATCH(tItens[[#This Row],[Produto]],tProdutos[Produto],0))="",DescontoPadrao,INDEX(tProdutos[Desconto homologado],MATCH(tItens[[#This Row],[Produto]],tProdutos[Produto],0))),DescontoPadrao)</f>
        <v>0.30410958904109597</v>
      </c>
      <c r="M2540" s="12">
        <f>tItens[[#This Row],[Valor]]*(1-tItens[[#This Row],[Desconto]])</f>
        <v>3517.0301369863009</v>
      </c>
      <c r="N2540" t="str">
        <f>IFERROR(INDEX(tProdutos[Foco],MATCH(tItens[[#This Row],[Produto]],tProdutos[Produto],0)),"Não")</f>
        <v>Não</v>
      </c>
      <c r="O2540" t="str">
        <f>IFERROR(INDEX(tEditais[SRP],MATCH(tItens[[#This Row],[Edital]],tEditais[Edital],0)),"Não")</f>
        <v>Sim</v>
      </c>
      <c r="P2540" s="4">
        <f>IF(COUNTIFS(INDEX(tItens[Edital],1):tItens[[#This Row],[Edital]],tItens[[#This Row],[Edital]],INDEX(tItens[Produto],1):tItens[[#This Row],[Produto]],tItens[[#This Row],[Produto]])=1,1,0)</f>
        <v>0</v>
      </c>
    </row>
    <row r="2541" spans="1:16" x14ac:dyDescent="0.25">
      <c r="A2541" t="s">
        <v>1267</v>
      </c>
      <c r="B2541">
        <v>175</v>
      </c>
      <c r="C2541" t="s">
        <v>5562</v>
      </c>
      <c r="D2541" t="s">
        <v>110</v>
      </c>
      <c r="E2541" s="13">
        <v>60</v>
      </c>
      <c r="F2541" s="12">
        <v>3.71</v>
      </c>
      <c r="G2541" t="str">
        <f>IFERROR(INDEX(tEditais[Órgão],MATCH(tItens[[#This Row],[Edital]],tEditais[Edital],0)),"")</f>
        <v>MUNICIPIO DE LAGOA GRANDE DO MARANHAO</v>
      </c>
      <c r="H2541" t="str">
        <f>IFERROR(INDEX(tEditais[UF],MATCH(tItens[[#This Row],[Edital]],tEditais[Edital],0)),"")</f>
        <v>MA</v>
      </c>
      <c r="I2541" s="11">
        <f>IFERROR(INDEX(tEditais[Encerramento],MATCH(tItens[[#This Row],[Edital]],tEditais[Edital],0)),"")</f>
        <v>46310.416666666664</v>
      </c>
      <c r="J2541" t="str">
        <f>IFERROR(INDEX(tProdutos[Classe],MATCH(tItens[[#This Row],[Produto]],tProdutos[Produto],0)),"produto não cadastrado")</f>
        <v>NÚCLEO</v>
      </c>
      <c r="K2541" s="12">
        <f>tItens[[#This Row],[Qtd]]*tItens[[#This Row],[Vlr unit]]</f>
        <v>222.6</v>
      </c>
      <c r="L2541" s="6">
        <f>IFERROR(IF(INDEX(tProdutos[Desconto homologado],MATCH(tItens[[#This Row],[Produto]],tProdutos[Produto],0))="",DescontoPadrao,INDEX(tProdutos[Desconto homologado],MATCH(tItens[[#This Row],[Produto]],tProdutos[Produto],0))),DescontoPadrao)</f>
        <v>0.30410958904109597</v>
      </c>
      <c r="M2541" s="12">
        <f>tItens[[#This Row],[Valor]]*(1-tItens[[#This Row],[Desconto]])</f>
        <v>154.90520547945204</v>
      </c>
      <c r="N2541" t="str">
        <f>IFERROR(INDEX(tProdutos[Foco],MATCH(tItens[[#This Row],[Produto]],tProdutos[Produto],0)),"Não")</f>
        <v>Não</v>
      </c>
      <c r="O2541" t="str">
        <f>IFERROR(INDEX(tEditais[SRP],MATCH(tItens[[#This Row],[Edital]],tEditais[Edital],0)),"Não")</f>
        <v>Sim</v>
      </c>
      <c r="P2541" s="4">
        <f>IF(COUNTIFS(INDEX(tItens[Edital],1):tItens[[#This Row],[Edital]],tItens[[#This Row],[Edital]],INDEX(tItens[Produto],1):tItens[[#This Row],[Produto]],tItens[[#This Row],[Produto]])=1,1,0)</f>
        <v>0</v>
      </c>
    </row>
    <row r="2542" spans="1:16" x14ac:dyDescent="0.25">
      <c r="A2542" t="s">
        <v>1267</v>
      </c>
      <c r="B2542">
        <v>176</v>
      </c>
      <c r="C2542" t="s">
        <v>5563</v>
      </c>
      <c r="D2542" t="s">
        <v>110</v>
      </c>
      <c r="E2542" s="13">
        <v>140</v>
      </c>
      <c r="F2542" s="12">
        <v>4.58</v>
      </c>
      <c r="G2542" t="str">
        <f>IFERROR(INDEX(tEditais[Órgão],MATCH(tItens[[#This Row],[Edital]],tEditais[Edital],0)),"")</f>
        <v>MUNICIPIO DE LAGOA GRANDE DO MARANHAO</v>
      </c>
      <c r="H2542" t="str">
        <f>IFERROR(INDEX(tEditais[UF],MATCH(tItens[[#This Row],[Edital]],tEditais[Edital],0)),"")</f>
        <v>MA</v>
      </c>
      <c r="I2542" s="11">
        <f>IFERROR(INDEX(tEditais[Encerramento],MATCH(tItens[[#This Row],[Edital]],tEditais[Edital],0)),"")</f>
        <v>46310.416666666664</v>
      </c>
      <c r="J2542" t="str">
        <f>IFERROR(INDEX(tProdutos[Classe],MATCH(tItens[[#This Row],[Produto]],tProdutos[Produto],0)),"produto não cadastrado")</f>
        <v>NÚCLEO</v>
      </c>
      <c r="K2542" s="12">
        <f>tItens[[#This Row],[Qtd]]*tItens[[#This Row],[Vlr unit]]</f>
        <v>641.20000000000005</v>
      </c>
      <c r="L2542" s="6">
        <f>IFERROR(IF(INDEX(tProdutos[Desconto homologado],MATCH(tItens[[#This Row],[Produto]],tProdutos[Produto],0))="",DescontoPadrao,INDEX(tProdutos[Desconto homologado],MATCH(tItens[[#This Row],[Produto]],tProdutos[Produto],0))),DescontoPadrao)</f>
        <v>0.30410958904109597</v>
      </c>
      <c r="M2542" s="12">
        <f>tItens[[#This Row],[Valor]]*(1-tItens[[#This Row],[Desconto]])</f>
        <v>446.20493150684928</v>
      </c>
      <c r="N2542" t="str">
        <f>IFERROR(INDEX(tProdutos[Foco],MATCH(tItens[[#This Row],[Produto]],tProdutos[Produto],0)),"Não")</f>
        <v>Não</v>
      </c>
      <c r="O2542" t="str">
        <f>IFERROR(INDEX(tEditais[SRP],MATCH(tItens[[#This Row],[Edital]],tEditais[Edital],0)),"Não")</f>
        <v>Sim</v>
      </c>
      <c r="P2542" s="4">
        <f>IF(COUNTIFS(INDEX(tItens[Edital],1):tItens[[#This Row],[Edital]],tItens[[#This Row],[Edital]],INDEX(tItens[Produto],1):tItens[[#This Row],[Produto]],tItens[[#This Row],[Produto]])=1,1,0)</f>
        <v>0</v>
      </c>
    </row>
    <row r="2543" spans="1:16" x14ac:dyDescent="0.25">
      <c r="A2543" t="s">
        <v>1267</v>
      </c>
      <c r="B2543">
        <v>177</v>
      </c>
      <c r="C2543" t="s">
        <v>5564</v>
      </c>
      <c r="D2543" t="s">
        <v>110</v>
      </c>
      <c r="E2543" s="13">
        <v>1400</v>
      </c>
      <c r="F2543" s="12">
        <v>4</v>
      </c>
      <c r="G2543" t="str">
        <f>IFERROR(INDEX(tEditais[Órgão],MATCH(tItens[[#This Row],[Edital]],tEditais[Edital],0)),"")</f>
        <v>MUNICIPIO DE LAGOA GRANDE DO MARANHAO</v>
      </c>
      <c r="H2543" t="str">
        <f>IFERROR(INDEX(tEditais[UF],MATCH(tItens[[#This Row],[Edital]],tEditais[Edital],0)),"")</f>
        <v>MA</v>
      </c>
      <c r="I2543" s="11">
        <f>IFERROR(INDEX(tEditais[Encerramento],MATCH(tItens[[#This Row],[Edital]],tEditais[Edital],0)),"")</f>
        <v>46310.416666666664</v>
      </c>
      <c r="J2543" t="str">
        <f>IFERROR(INDEX(tProdutos[Classe],MATCH(tItens[[#This Row],[Produto]],tProdutos[Produto],0)),"produto não cadastrado")</f>
        <v>NÚCLEO</v>
      </c>
      <c r="K2543" s="12">
        <f>tItens[[#This Row],[Qtd]]*tItens[[#This Row],[Vlr unit]]</f>
        <v>5600</v>
      </c>
      <c r="L2543" s="6">
        <f>IFERROR(IF(INDEX(tProdutos[Desconto homologado],MATCH(tItens[[#This Row],[Produto]],tProdutos[Produto],0))="",DescontoPadrao,INDEX(tProdutos[Desconto homologado],MATCH(tItens[[#This Row],[Produto]],tProdutos[Produto],0))),DescontoPadrao)</f>
        <v>0.30410958904109597</v>
      </c>
      <c r="M2543" s="12">
        <f>tItens[[#This Row],[Valor]]*(1-tItens[[#This Row],[Desconto]])</f>
        <v>3896.9863013698628</v>
      </c>
      <c r="N2543" t="str">
        <f>IFERROR(INDEX(tProdutos[Foco],MATCH(tItens[[#This Row],[Produto]],tProdutos[Produto],0)),"Não")</f>
        <v>Não</v>
      </c>
      <c r="O2543" t="str">
        <f>IFERROR(INDEX(tEditais[SRP],MATCH(tItens[[#This Row],[Edital]],tEditais[Edital],0)),"Não")</f>
        <v>Sim</v>
      </c>
      <c r="P2543" s="4">
        <f>IF(COUNTIFS(INDEX(tItens[Edital],1):tItens[[#This Row],[Edital]],tItens[[#This Row],[Edital]],INDEX(tItens[Produto],1):tItens[[#This Row],[Produto]],tItens[[#This Row],[Produto]])=1,1,0)</f>
        <v>0</v>
      </c>
    </row>
    <row r="2544" spans="1:16" x14ac:dyDescent="0.25">
      <c r="A2544" t="s">
        <v>1267</v>
      </c>
      <c r="B2544">
        <v>179</v>
      </c>
      <c r="C2544" t="s">
        <v>5565</v>
      </c>
      <c r="D2544" t="s">
        <v>120</v>
      </c>
      <c r="E2544" s="13">
        <v>100</v>
      </c>
      <c r="F2544" s="12">
        <v>1.28</v>
      </c>
      <c r="G2544" t="str">
        <f>IFERROR(INDEX(tEditais[Órgão],MATCH(tItens[[#This Row],[Edital]],tEditais[Edital],0)),"")</f>
        <v>MUNICIPIO DE LAGOA GRANDE DO MARANHAO</v>
      </c>
      <c r="H2544" t="str">
        <f>IFERROR(INDEX(tEditais[UF],MATCH(tItens[[#This Row],[Edital]],tEditais[Edital],0)),"")</f>
        <v>MA</v>
      </c>
      <c r="I2544" s="11">
        <f>IFERROR(INDEX(tEditais[Encerramento],MATCH(tItens[[#This Row],[Edital]],tEditais[Edital],0)),"")</f>
        <v>46310.416666666664</v>
      </c>
      <c r="J2544" t="str">
        <f>IFERROR(INDEX(tProdutos[Classe],MATCH(tItens[[#This Row],[Produto]],tProdutos[Produto],0)),"produto não cadastrado")</f>
        <v>DISPUTADO</v>
      </c>
      <c r="K2544" s="12">
        <f>tItens[[#This Row],[Qtd]]*tItens[[#This Row],[Vlr unit]]</f>
        <v>128</v>
      </c>
      <c r="L2544" s="6">
        <f>IFERROR(IF(INDEX(tProdutos[Desconto homologado],MATCH(tItens[[#This Row],[Produto]],tProdutos[Produto],0))="",DescontoPadrao,INDEX(tProdutos[Desconto homologado],MATCH(tItens[[#This Row],[Produto]],tProdutos[Produto],0))),DescontoPadrao)</f>
        <v>0.40909090909090901</v>
      </c>
      <c r="M2544" s="12">
        <f>tItens[[#This Row],[Valor]]*(1-tItens[[#This Row],[Desconto]])</f>
        <v>75.636363636363654</v>
      </c>
      <c r="N2544" t="str">
        <f>IFERROR(INDEX(tProdutos[Foco],MATCH(tItens[[#This Row],[Produto]],tProdutos[Produto],0)),"Não")</f>
        <v>Não</v>
      </c>
      <c r="O2544" t="str">
        <f>IFERROR(INDEX(tEditais[SRP],MATCH(tItens[[#This Row],[Edital]],tEditais[Edital],0)),"Não")</f>
        <v>Sim</v>
      </c>
      <c r="P2544" s="4">
        <f>IF(COUNTIFS(INDEX(tItens[Edital],1):tItens[[#This Row],[Edital]],tItens[[#This Row],[Edital]],INDEX(tItens[Produto],1):tItens[[#This Row],[Produto]],tItens[[#This Row],[Produto]])=1,1,0)</f>
        <v>1</v>
      </c>
    </row>
    <row r="2545" spans="1:16" x14ac:dyDescent="0.25">
      <c r="A2545" t="s">
        <v>1267</v>
      </c>
      <c r="B2545">
        <v>180</v>
      </c>
      <c r="C2545" t="s">
        <v>5566</v>
      </c>
      <c r="D2545" t="s">
        <v>120</v>
      </c>
      <c r="E2545" s="13">
        <v>100</v>
      </c>
      <c r="F2545" s="12">
        <v>1.37</v>
      </c>
      <c r="G2545" t="str">
        <f>IFERROR(INDEX(tEditais[Órgão],MATCH(tItens[[#This Row],[Edital]],tEditais[Edital],0)),"")</f>
        <v>MUNICIPIO DE LAGOA GRANDE DO MARANHAO</v>
      </c>
      <c r="H2545" t="str">
        <f>IFERROR(INDEX(tEditais[UF],MATCH(tItens[[#This Row],[Edital]],tEditais[Edital],0)),"")</f>
        <v>MA</v>
      </c>
      <c r="I2545" s="11">
        <f>IFERROR(INDEX(tEditais[Encerramento],MATCH(tItens[[#This Row],[Edital]],tEditais[Edital],0)),"")</f>
        <v>46310.416666666664</v>
      </c>
      <c r="J2545" t="str">
        <f>IFERROR(INDEX(tProdutos[Classe],MATCH(tItens[[#This Row],[Produto]],tProdutos[Produto],0)),"produto não cadastrado")</f>
        <v>DISPUTADO</v>
      </c>
      <c r="K2545" s="12">
        <f>tItens[[#This Row],[Qtd]]*tItens[[#This Row],[Vlr unit]]</f>
        <v>137</v>
      </c>
      <c r="L2545" s="6">
        <f>IFERROR(IF(INDEX(tProdutos[Desconto homologado],MATCH(tItens[[#This Row],[Produto]],tProdutos[Produto],0))="",DescontoPadrao,INDEX(tProdutos[Desconto homologado],MATCH(tItens[[#This Row],[Produto]],tProdutos[Produto],0))),DescontoPadrao)</f>
        <v>0.40909090909090901</v>
      </c>
      <c r="M2545" s="12">
        <f>tItens[[#This Row],[Valor]]*(1-tItens[[#This Row],[Desconto]])</f>
        <v>80.954545454545467</v>
      </c>
      <c r="N2545" t="str">
        <f>IFERROR(INDEX(tProdutos[Foco],MATCH(tItens[[#This Row],[Produto]],tProdutos[Produto],0)),"Não")</f>
        <v>Não</v>
      </c>
      <c r="O2545" t="str">
        <f>IFERROR(INDEX(tEditais[SRP],MATCH(tItens[[#This Row],[Edital]],tEditais[Edital],0)),"Não")</f>
        <v>Sim</v>
      </c>
      <c r="P2545" s="4">
        <f>IF(COUNTIFS(INDEX(tItens[Edital],1):tItens[[#This Row],[Edital]],tItens[[#This Row],[Edital]],INDEX(tItens[Produto],1):tItens[[#This Row],[Produto]],tItens[[#This Row],[Produto]])=1,1,0)</f>
        <v>0</v>
      </c>
    </row>
    <row r="2546" spans="1:16" x14ac:dyDescent="0.25">
      <c r="A2546" t="s">
        <v>1267</v>
      </c>
      <c r="B2546">
        <v>181</v>
      </c>
      <c r="C2546" t="s">
        <v>5567</v>
      </c>
      <c r="D2546" t="s">
        <v>120</v>
      </c>
      <c r="E2546" s="13">
        <v>100</v>
      </c>
      <c r="F2546" s="12">
        <v>1.65</v>
      </c>
      <c r="G2546" t="str">
        <f>IFERROR(INDEX(tEditais[Órgão],MATCH(tItens[[#This Row],[Edital]],tEditais[Edital],0)),"")</f>
        <v>MUNICIPIO DE LAGOA GRANDE DO MARANHAO</v>
      </c>
      <c r="H2546" t="str">
        <f>IFERROR(INDEX(tEditais[UF],MATCH(tItens[[#This Row],[Edital]],tEditais[Edital],0)),"")</f>
        <v>MA</v>
      </c>
      <c r="I2546" s="11">
        <f>IFERROR(INDEX(tEditais[Encerramento],MATCH(tItens[[#This Row],[Edital]],tEditais[Edital],0)),"")</f>
        <v>46310.416666666664</v>
      </c>
      <c r="J2546" t="str">
        <f>IFERROR(INDEX(tProdutos[Classe],MATCH(tItens[[#This Row],[Produto]],tProdutos[Produto],0)),"produto não cadastrado")</f>
        <v>DISPUTADO</v>
      </c>
      <c r="K2546" s="12">
        <f>tItens[[#This Row],[Qtd]]*tItens[[#This Row],[Vlr unit]]</f>
        <v>165</v>
      </c>
      <c r="L2546" s="6">
        <f>IFERROR(IF(INDEX(tProdutos[Desconto homologado],MATCH(tItens[[#This Row],[Produto]],tProdutos[Produto],0))="",DescontoPadrao,INDEX(tProdutos[Desconto homologado],MATCH(tItens[[#This Row],[Produto]],tProdutos[Produto],0))),DescontoPadrao)</f>
        <v>0.40909090909090901</v>
      </c>
      <c r="M2546" s="12">
        <f>tItens[[#This Row],[Valor]]*(1-tItens[[#This Row],[Desconto]])</f>
        <v>97.500000000000028</v>
      </c>
      <c r="N2546" t="str">
        <f>IFERROR(INDEX(tProdutos[Foco],MATCH(tItens[[#This Row],[Produto]],tProdutos[Produto],0)),"Não")</f>
        <v>Não</v>
      </c>
      <c r="O2546" t="str">
        <f>IFERROR(INDEX(tEditais[SRP],MATCH(tItens[[#This Row],[Edital]],tEditais[Edital],0)),"Não")</f>
        <v>Sim</v>
      </c>
      <c r="P2546" s="4">
        <f>IF(COUNTIFS(INDEX(tItens[Edital],1):tItens[[#This Row],[Edital]],tItens[[#This Row],[Edital]],INDEX(tItens[Produto],1):tItens[[#This Row],[Produto]],tItens[[#This Row],[Produto]])=1,1,0)</f>
        <v>0</v>
      </c>
    </row>
    <row r="2547" spans="1:16" x14ac:dyDescent="0.25">
      <c r="A2547" t="s">
        <v>1267</v>
      </c>
      <c r="B2547">
        <v>182</v>
      </c>
      <c r="C2547" t="s">
        <v>5568</v>
      </c>
      <c r="D2547" t="s">
        <v>120</v>
      </c>
      <c r="E2547" s="13">
        <v>20</v>
      </c>
      <c r="F2547" s="12">
        <v>1.4</v>
      </c>
      <c r="G2547" t="str">
        <f>IFERROR(INDEX(tEditais[Órgão],MATCH(tItens[[#This Row],[Edital]],tEditais[Edital],0)),"")</f>
        <v>MUNICIPIO DE LAGOA GRANDE DO MARANHAO</v>
      </c>
      <c r="H2547" t="str">
        <f>IFERROR(INDEX(tEditais[UF],MATCH(tItens[[#This Row],[Edital]],tEditais[Edital],0)),"")</f>
        <v>MA</v>
      </c>
      <c r="I2547" s="11">
        <f>IFERROR(INDEX(tEditais[Encerramento],MATCH(tItens[[#This Row],[Edital]],tEditais[Edital],0)),"")</f>
        <v>46310.416666666664</v>
      </c>
      <c r="J2547" t="str">
        <f>IFERROR(INDEX(tProdutos[Classe],MATCH(tItens[[#This Row],[Produto]],tProdutos[Produto],0)),"produto não cadastrado")</f>
        <v>DISPUTADO</v>
      </c>
      <c r="K2547" s="12">
        <f>tItens[[#This Row],[Qtd]]*tItens[[#This Row],[Vlr unit]]</f>
        <v>28</v>
      </c>
      <c r="L2547" s="6">
        <f>IFERROR(IF(INDEX(tProdutos[Desconto homologado],MATCH(tItens[[#This Row],[Produto]],tProdutos[Produto],0))="",DescontoPadrao,INDEX(tProdutos[Desconto homologado],MATCH(tItens[[#This Row],[Produto]],tProdutos[Produto],0))),DescontoPadrao)</f>
        <v>0.40909090909090901</v>
      </c>
      <c r="M2547" s="12">
        <f>tItens[[#This Row],[Valor]]*(1-tItens[[#This Row],[Desconto]])</f>
        <v>16.54545454545455</v>
      </c>
      <c r="N2547" t="str">
        <f>IFERROR(INDEX(tProdutos[Foco],MATCH(tItens[[#This Row],[Produto]],tProdutos[Produto],0)),"Não")</f>
        <v>Não</v>
      </c>
      <c r="O2547" t="str">
        <f>IFERROR(INDEX(tEditais[SRP],MATCH(tItens[[#This Row],[Edital]],tEditais[Edital],0)),"Não")</f>
        <v>Sim</v>
      </c>
      <c r="P2547" s="4">
        <f>IF(COUNTIFS(INDEX(tItens[Edital],1):tItens[[#This Row],[Edital]],tItens[[#This Row],[Edital]],INDEX(tItens[Produto],1):tItens[[#This Row],[Produto]],tItens[[#This Row],[Produto]])=1,1,0)</f>
        <v>0</v>
      </c>
    </row>
    <row r="2548" spans="1:16" x14ac:dyDescent="0.25">
      <c r="A2548" t="s">
        <v>1267</v>
      </c>
      <c r="B2548">
        <v>183</v>
      </c>
      <c r="C2548" t="s">
        <v>5061</v>
      </c>
      <c r="D2548" t="s">
        <v>120</v>
      </c>
      <c r="E2548" s="13">
        <v>20</v>
      </c>
      <c r="F2548" s="12">
        <v>1.4</v>
      </c>
      <c r="G2548" t="str">
        <f>IFERROR(INDEX(tEditais[Órgão],MATCH(tItens[[#This Row],[Edital]],tEditais[Edital],0)),"")</f>
        <v>MUNICIPIO DE LAGOA GRANDE DO MARANHAO</v>
      </c>
      <c r="H2548" t="str">
        <f>IFERROR(INDEX(tEditais[UF],MATCH(tItens[[#This Row],[Edital]],tEditais[Edital],0)),"")</f>
        <v>MA</v>
      </c>
      <c r="I2548" s="11">
        <f>IFERROR(INDEX(tEditais[Encerramento],MATCH(tItens[[#This Row],[Edital]],tEditais[Edital],0)),"")</f>
        <v>46310.416666666664</v>
      </c>
      <c r="J2548" t="str">
        <f>IFERROR(INDEX(tProdutos[Classe],MATCH(tItens[[#This Row],[Produto]],tProdutos[Produto],0)),"produto não cadastrado")</f>
        <v>DISPUTADO</v>
      </c>
      <c r="K2548" s="12">
        <f>tItens[[#This Row],[Qtd]]*tItens[[#This Row],[Vlr unit]]</f>
        <v>28</v>
      </c>
      <c r="L2548" s="6">
        <f>IFERROR(IF(INDEX(tProdutos[Desconto homologado],MATCH(tItens[[#This Row],[Produto]],tProdutos[Produto],0))="",DescontoPadrao,INDEX(tProdutos[Desconto homologado],MATCH(tItens[[#This Row],[Produto]],tProdutos[Produto],0))),DescontoPadrao)</f>
        <v>0.40909090909090901</v>
      </c>
      <c r="M2548" s="12">
        <f>tItens[[#This Row],[Valor]]*(1-tItens[[#This Row],[Desconto]])</f>
        <v>16.54545454545455</v>
      </c>
      <c r="N2548" t="str">
        <f>IFERROR(INDEX(tProdutos[Foco],MATCH(tItens[[#This Row],[Produto]],tProdutos[Produto],0)),"Não")</f>
        <v>Não</v>
      </c>
      <c r="O2548" t="str">
        <f>IFERROR(INDEX(tEditais[SRP],MATCH(tItens[[#This Row],[Edital]],tEditais[Edital],0)),"Não")</f>
        <v>Sim</v>
      </c>
      <c r="P2548" s="4">
        <f>IF(COUNTIFS(INDEX(tItens[Edital],1):tItens[[#This Row],[Edital]],tItens[[#This Row],[Edital]],INDEX(tItens[Produto],1):tItens[[#This Row],[Produto]],tItens[[#This Row],[Produto]])=1,1,0)</f>
        <v>0</v>
      </c>
    </row>
    <row r="2549" spans="1:16" x14ac:dyDescent="0.25">
      <c r="A2549" t="s">
        <v>1267</v>
      </c>
      <c r="B2549">
        <v>198</v>
      </c>
      <c r="C2549" t="s">
        <v>5569</v>
      </c>
      <c r="D2549" t="s">
        <v>114</v>
      </c>
      <c r="E2549" s="13">
        <v>150</v>
      </c>
      <c r="F2549" s="12">
        <v>17.43</v>
      </c>
      <c r="G2549" t="str">
        <f>IFERROR(INDEX(tEditais[Órgão],MATCH(tItens[[#This Row],[Edital]],tEditais[Edital],0)),"")</f>
        <v>MUNICIPIO DE LAGOA GRANDE DO MARANHAO</v>
      </c>
      <c r="H2549" t="str">
        <f>IFERROR(INDEX(tEditais[UF],MATCH(tItens[[#This Row],[Edital]],tEditais[Edital],0)),"")</f>
        <v>MA</v>
      </c>
      <c r="I2549" s="11">
        <f>IFERROR(INDEX(tEditais[Encerramento],MATCH(tItens[[#This Row],[Edital]],tEditais[Edital],0)),"")</f>
        <v>46310.416666666664</v>
      </c>
      <c r="J2549" t="str">
        <f>IFERROR(INDEX(tProdutos[Classe],MATCH(tItens[[#This Row],[Produto]],tProdutos[Produto],0)),"produto não cadastrado")</f>
        <v>DISPUTADO</v>
      </c>
      <c r="K2549" s="12">
        <f>tItens[[#This Row],[Qtd]]*tItens[[#This Row],[Vlr unit]]</f>
        <v>2614.5</v>
      </c>
      <c r="L2549" s="6">
        <f>IFERROR(IF(INDEX(tProdutos[Desconto homologado],MATCH(tItens[[#This Row],[Produto]],tProdutos[Produto],0))="",DescontoPadrao,INDEX(tProdutos[Desconto homologado],MATCH(tItens[[#This Row],[Produto]],tProdutos[Produto],0))),DescontoPadrao)</f>
        <v>0.24332656063896899</v>
      </c>
      <c r="M2549" s="12">
        <f>tItens[[#This Row],[Valor]]*(1-tItens[[#This Row],[Desconto]])</f>
        <v>1978.3227072094157</v>
      </c>
      <c r="N2549" t="str">
        <f>IFERROR(INDEX(tProdutos[Foco],MATCH(tItens[[#This Row],[Produto]],tProdutos[Produto],0)),"Não")</f>
        <v>Não</v>
      </c>
      <c r="O2549" t="str">
        <f>IFERROR(INDEX(tEditais[SRP],MATCH(tItens[[#This Row],[Edital]],tEditais[Edital],0)),"Não")</f>
        <v>Sim</v>
      </c>
      <c r="P2549" s="4">
        <f>IF(COUNTIFS(INDEX(tItens[Edital],1):tItens[[#This Row],[Edital]],tItens[[#This Row],[Edital]],INDEX(tItens[Produto],1):tItens[[#This Row],[Produto]],tItens[[#This Row],[Produto]])=1,1,0)</f>
        <v>1</v>
      </c>
    </row>
    <row r="2550" spans="1:16" x14ac:dyDescent="0.25">
      <c r="A2550" t="s">
        <v>1267</v>
      </c>
      <c r="B2550">
        <v>199</v>
      </c>
      <c r="C2550" t="s">
        <v>5570</v>
      </c>
      <c r="D2550" t="s">
        <v>512</v>
      </c>
      <c r="E2550" s="13">
        <v>30</v>
      </c>
      <c r="F2550" s="12">
        <v>54.3</v>
      </c>
      <c r="G2550" t="str">
        <f>IFERROR(INDEX(tEditais[Órgão],MATCH(tItens[[#This Row],[Edital]],tEditais[Edital],0)),"")</f>
        <v>MUNICIPIO DE LAGOA GRANDE DO MARANHAO</v>
      </c>
      <c r="H2550" t="str">
        <f>IFERROR(INDEX(tEditais[UF],MATCH(tItens[[#This Row],[Edital]],tEditais[Edital],0)),"")</f>
        <v>MA</v>
      </c>
      <c r="I2550" s="11">
        <f>IFERROR(INDEX(tEditais[Encerramento],MATCH(tItens[[#This Row],[Edital]],tEditais[Edital],0)),"")</f>
        <v>46310.416666666664</v>
      </c>
      <c r="J2550" t="str">
        <f>IFERROR(INDEX(tProdutos[Classe],MATCH(tItens[[#This Row],[Produto]],tProdutos[Produto],0)),"produto não cadastrado")</f>
        <v>FILA REBASE</v>
      </c>
      <c r="K2550" s="12">
        <f>tItens[[#This Row],[Qtd]]*tItens[[#This Row],[Vlr unit]]</f>
        <v>1629</v>
      </c>
      <c r="L2550" s="6">
        <f>IFERROR(IF(INDEX(tProdutos[Desconto homologado],MATCH(tItens[[#This Row],[Produto]],tProdutos[Produto],0))="",DescontoPadrao,INDEX(tProdutos[Desconto homologado],MATCH(tItens[[#This Row],[Produto]],tProdutos[Produto],0))),DescontoPadrao)</f>
        <v>0.32579365079365102</v>
      </c>
      <c r="M2550" s="12">
        <f>tItens[[#This Row],[Valor]]*(1-tItens[[#This Row],[Desconto]])</f>
        <v>1098.2821428571426</v>
      </c>
      <c r="N2550" t="str">
        <f>IFERROR(INDEX(tProdutos[Foco],MATCH(tItens[[#This Row],[Produto]],tProdutos[Produto],0)),"Não")</f>
        <v>Não</v>
      </c>
      <c r="O2550" t="str">
        <f>IFERROR(INDEX(tEditais[SRP],MATCH(tItens[[#This Row],[Edital]],tEditais[Edital],0)),"Não")</f>
        <v>Sim</v>
      </c>
      <c r="P2550" s="4">
        <f>IF(COUNTIFS(INDEX(tItens[Edital],1):tItens[[#This Row],[Edital]],tItens[[#This Row],[Edital]],INDEX(tItens[Produto],1):tItens[[#This Row],[Produto]],tItens[[#This Row],[Produto]])=1,1,0)</f>
        <v>1</v>
      </c>
    </row>
    <row r="2551" spans="1:16" x14ac:dyDescent="0.25">
      <c r="A2551" t="s">
        <v>1267</v>
      </c>
      <c r="B2551">
        <v>207</v>
      </c>
      <c r="C2551" t="s">
        <v>5571</v>
      </c>
      <c r="D2551" t="s">
        <v>197</v>
      </c>
      <c r="E2551" s="13">
        <v>6</v>
      </c>
      <c r="F2551" s="12">
        <v>56.48</v>
      </c>
      <c r="G2551" t="str">
        <f>IFERROR(INDEX(tEditais[Órgão],MATCH(tItens[[#This Row],[Edital]],tEditais[Edital],0)),"")</f>
        <v>MUNICIPIO DE LAGOA GRANDE DO MARANHAO</v>
      </c>
      <c r="H2551" t="str">
        <f>IFERROR(INDEX(tEditais[UF],MATCH(tItens[[#This Row],[Edital]],tEditais[Edital],0)),"")</f>
        <v>MA</v>
      </c>
      <c r="I2551" s="11">
        <f>IFERROR(INDEX(tEditais[Encerramento],MATCH(tItens[[#This Row],[Edital]],tEditais[Edital],0)),"")</f>
        <v>46310.416666666664</v>
      </c>
      <c r="J2551" t="str">
        <f>IFERROR(INDEX(tProdutos[Classe],MATCH(tItens[[#This Row],[Produto]],tProdutos[Produto],0)),"produto não cadastrado")</f>
        <v>FORA</v>
      </c>
      <c r="K2551" s="12">
        <f>tItens[[#This Row],[Qtd]]*tItens[[#This Row],[Vlr unit]]</f>
        <v>338.88</v>
      </c>
      <c r="L2551" s="6">
        <f>IFERROR(IF(INDEX(tProdutos[Desconto homologado],MATCH(tItens[[#This Row],[Produto]],tProdutos[Produto],0))="",DescontoPadrao,INDEX(tProdutos[Desconto homologado],MATCH(tItens[[#This Row],[Produto]],tProdutos[Produto],0))),DescontoPadrao)</f>
        <v>0.26394818195200997</v>
      </c>
      <c r="M2551" s="12">
        <f>tItens[[#This Row],[Valor]]*(1-tItens[[#This Row],[Desconto]])</f>
        <v>249.43324010010286</v>
      </c>
      <c r="N2551" t="str">
        <f>IFERROR(INDEX(tProdutos[Foco],MATCH(tItens[[#This Row],[Produto]],tProdutos[Produto],0)),"Não")</f>
        <v>Não</v>
      </c>
      <c r="O2551" t="str">
        <f>IFERROR(INDEX(tEditais[SRP],MATCH(tItens[[#This Row],[Edital]],tEditais[Edital],0)),"Não")</f>
        <v>Sim</v>
      </c>
      <c r="P2551" s="4">
        <f>IF(COUNTIFS(INDEX(tItens[Edital],1):tItens[[#This Row],[Edital]],tItens[[#This Row],[Edital]],INDEX(tItens[Produto],1):tItens[[#This Row],[Produto]],tItens[[#This Row],[Produto]])=1,1,0)</f>
        <v>1</v>
      </c>
    </row>
    <row r="2552" spans="1:16" x14ac:dyDescent="0.25">
      <c r="A2552" t="s">
        <v>1272</v>
      </c>
      <c r="B2552">
        <v>93</v>
      </c>
      <c r="C2552" t="s">
        <v>5572</v>
      </c>
      <c r="D2552" t="s">
        <v>351</v>
      </c>
      <c r="E2552" s="13">
        <v>500</v>
      </c>
      <c r="F2552" s="12">
        <v>0</v>
      </c>
      <c r="G2552" t="str">
        <f>IFERROR(INDEX(tEditais[Órgão],MATCH(tItens[[#This Row],[Edital]],tEditais[Edital],0)),"")</f>
        <v>MUNICIPIO DE IGARAPE DO MEIO</v>
      </c>
      <c r="H2552" t="str">
        <f>IFERROR(INDEX(tEditais[UF],MATCH(tItens[[#This Row],[Edital]],tEditais[Edital],0)),"")</f>
        <v>MA</v>
      </c>
      <c r="I2552" s="11">
        <f>IFERROR(INDEX(tEditais[Encerramento],MATCH(tItens[[#This Row],[Edital]],tEditais[Edital],0)),"")</f>
        <v>46311.375</v>
      </c>
      <c r="J2552" t="str">
        <f>IFERROR(INDEX(tProdutos[Classe],MATCH(tItens[[#This Row],[Produto]],tProdutos[Produto],0)),"produto não cadastrado")</f>
        <v>FORA</v>
      </c>
      <c r="K2552" s="12">
        <f>tItens[[#This Row],[Qtd]]*tItens[[#This Row],[Vlr unit]]</f>
        <v>0</v>
      </c>
      <c r="L2552" s="6">
        <f>IFERROR(IF(INDEX(tProdutos[Desconto homologado],MATCH(tItens[[#This Row],[Produto]],tProdutos[Produto],0))="",DescontoPadrao,INDEX(tProdutos[Desconto homologado],MATCH(tItens[[#This Row],[Produto]],tProdutos[Produto],0))),DescontoPadrao)</f>
        <v>0.33518005540166201</v>
      </c>
      <c r="M2552" s="12">
        <f>tItens[[#This Row],[Valor]]*(1-tItens[[#This Row],[Desconto]])</f>
        <v>0</v>
      </c>
      <c r="N2552" t="str">
        <f>IFERROR(INDEX(tProdutos[Foco],MATCH(tItens[[#This Row],[Produto]],tProdutos[Produto],0)),"Não")</f>
        <v>Não</v>
      </c>
      <c r="O2552" t="str">
        <f>IFERROR(INDEX(tEditais[SRP],MATCH(tItens[[#This Row],[Edital]],tEditais[Edital],0)),"Não")</f>
        <v>Sim</v>
      </c>
      <c r="P2552" s="4">
        <f>IF(COUNTIFS(INDEX(tItens[Edital],1):tItens[[#This Row],[Edital]],tItens[[#This Row],[Edital]],INDEX(tItens[Produto],1):tItens[[#This Row],[Produto]],tItens[[#This Row],[Produto]])=1,1,0)</f>
        <v>1</v>
      </c>
    </row>
    <row r="2553" spans="1:16" x14ac:dyDescent="0.25">
      <c r="A2553" t="s">
        <v>1272</v>
      </c>
      <c r="B2553">
        <v>94</v>
      </c>
      <c r="C2553" t="s">
        <v>5573</v>
      </c>
      <c r="D2553" t="s">
        <v>351</v>
      </c>
      <c r="E2553" s="13">
        <v>1000</v>
      </c>
      <c r="F2553" s="12">
        <v>0</v>
      </c>
      <c r="G2553" t="str">
        <f>IFERROR(INDEX(tEditais[Órgão],MATCH(tItens[[#This Row],[Edital]],tEditais[Edital],0)),"")</f>
        <v>MUNICIPIO DE IGARAPE DO MEIO</v>
      </c>
      <c r="H2553" t="str">
        <f>IFERROR(INDEX(tEditais[UF],MATCH(tItens[[#This Row],[Edital]],tEditais[Edital],0)),"")</f>
        <v>MA</v>
      </c>
      <c r="I2553" s="11">
        <f>IFERROR(INDEX(tEditais[Encerramento],MATCH(tItens[[#This Row],[Edital]],tEditais[Edital],0)),"")</f>
        <v>46311.375</v>
      </c>
      <c r="J2553" t="str">
        <f>IFERROR(INDEX(tProdutos[Classe],MATCH(tItens[[#This Row],[Produto]],tProdutos[Produto],0)),"produto não cadastrado")</f>
        <v>FORA</v>
      </c>
      <c r="K2553" s="12">
        <f>tItens[[#This Row],[Qtd]]*tItens[[#This Row],[Vlr unit]]</f>
        <v>0</v>
      </c>
      <c r="L2553" s="6">
        <f>IFERROR(IF(INDEX(tProdutos[Desconto homologado],MATCH(tItens[[#This Row],[Produto]],tProdutos[Produto],0))="",DescontoPadrao,INDEX(tProdutos[Desconto homologado],MATCH(tItens[[#This Row],[Produto]],tProdutos[Produto],0))),DescontoPadrao)</f>
        <v>0.33518005540166201</v>
      </c>
      <c r="M2553" s="12">
        <f>tItens[[#This Row],[Valor]]*(1-tItens[[#This Row],[Desconto]])</f>
        <v>0</v>
      </c>
      <c r="N2553" t="str">
        <f>IFERROR(INDEX(tProdutos[Foco],MATCH(tItens[[#This Row],[Produto]],tProdutos[Produto],0)),"Não")</f>
        <v>Não</v>
      </c>
      <c r="O2553" t="str">
        <f>IFERROR(INDEX(tEditais[SRP],MATCH(tItens[[#This Row],[Edital]],tEditais[Edital],0)),"Não")</f>
        <v>Sim</v>
      </c>
      <c r="P2553" s="4">
        <f>IF(COUNTIFS(INDEX(tItens[Edital],1):tItens[[#This Row],[Edital]],tItens[[#This Row],[Edital]],INDEX(tItens[Produto],1):tItens[[#This Row],[Produto]],tItens[[#This Row],[Produto]])=1,1,0)</f>
        <v>0</v>
      </c>
    </row>
    <row r="2554" spans="1:16" x14ac:dyDescent="0.25">
      <c r="A2554" t="s">
        <v>1272</v>
      </c>
      <c r="B2554">
        <v>95</v>
      </c>
      <c r="C2554" t="s">
        <v>5574</v>
      </c>
      <c r="D2554" t="s">
        <v>351</v>
      </c>
      <c r="E2554" s="13">
        <v>1000</v>
      </c>
      <c r="F2554" s="12">
        <v>0</v>
      </c>
      <c r="G2554" t="str">
        <f>IFERROR(INDEX(tEditais[Órgão],MATCH(tItens[[#This Row],[Edital]],tEditais[Edital],0)),"")</f>
        <v>MUNICIPIO DE IGARAPE DO MEIO</v>
      </c>
      <c r="H2554" t="str">
        <f>IFERROR(INDEX(tEditais[UF],MATCH(tItens[[#This Row],[Edital]],tEditais[Edital],0)),"")</f>
        <v>MA</v>
      </c>
      <c r="I2554" s="11">
        <f>IFERROR(INDEX(tEditais[Encerramento],MATCH(tItens[[#This Row],[Edital]],tEditais[Edital],0)),"")</f>
        <v>46311.375</v>
      </c>
      <c r="J2554" t="str">
        <f>IFERROR(INDEX(tProdutos[Classe],MATCH(tItens[[#This Row],[Produto]],tProdutos[Produto],0)),"produto não cadastrado")</f>
        <v>FORA</v>
      </c>
      <c r="K2554" s="12">
        <f>tItens[[#This Row],[Qtd]]*tItens[[#This Row],[Vlr unit]]</f>
        <v>0</v>
      </c>
      <c r="L2554" s="6">
        <f>IFERROR(IF(INDEX(tProdutos[Desconto homologado],MATCH(tItens[[#This Row],[Produto]],tProdutos[Produto],0))="",DescontoPadrao,INDEX(tProdutos[Desconto homologado],MATCH(tItens[[#This Row],[Produto]],tProdutos[Produto],0))),DescontoPadrao)</f>
        <v>0.33518005540166201</v>
      </c>
      <c r="M2554" s="12">
        <f>tItens[[#This Row],[Valor]]*(1-tItens[[#This Row],[Desconto]])</f>
        <v>0</v>
      </c>
      <c r="N2554" t="str">
        <f>IFERROR(INDEX(tProdutos[Foco],MATCH(tItens[[#This Row],[Produto]],tProdutos[Produto],0)),"Não")</f>
        <v>Não</v>
      </c>
      <c r="O2554" t="str">
        <f>IFERROR(INDEX(tEditais[SRP],MATCH(tItens[[#This Row],[Edital]],tEditais[Edital],0)),"Não")</f>
        <v>Sim</v>
      </c>
      <c r="P2554" s="4">
        <f>IF(COUNTIFS(INDEX(tItens[Edital],1):tItens[[#This Row],[Edital]],tItens[[#This Row],[Edital]],INDEX(tItens[Produto],1):tItens[[#This Row],[Produto]],tItens[[#This Row],[Produto]])=1,1,0)</f>
        <v>0</v>
      </c>
    </row>
    <row r="2555" spans="1:16" x14ac:dyDescent="0.25">
      <c r="A2555" t="s">
        <v>1272</v>
      </c>
      <c r="B2555">
        <v>108</v>
      </c>
      <c r="C2555" t="s">
        <v>5575</v>
      </c>
      <c r="D2555" t="s">
        <v>371</v>
      </c>
      <c r="E2555" s="13">
        <v>3000</v>
      </c>
      <c r="F2555" s="12">
        <v>0</v>
      </c>
      <c r="G2555" t="str">
        <f>IFERROR(INDEX(tEditais[Órgão],MATCH(tItens[[#This Row],[Edital]],tEditais[Edital],0)),"")</f>
        <v>MUNICIPIO DE IGARAPE DO MEIO</v>
      </c>
      <c r="H2555" t="str">
        <f>IFERROR(INDEX(tEditais[UF],MATCH(tItens[[#This Row],[Edital]],tEditais[Edital],0)),"")</f>
        <v>MA</v>
      </c>
      <c r="I2555" s="11">
        <f>IFERROR(INDEX(tEditais[Encerramento],MATCH(tItens[[#This Row],[Edital]],tEditais[Edital],0)),"")</f>
        <v>46311.375</v>
      </c>
      <c r="J2555" t="str">
        <f>IFERROR(INDEX(tProdutos[Classe],MATCH(tItens[[#This Row],[Produto]],tProdutos[Produto],0)),"produto não cadastrado")</f>
        <v>FORA</v>
      </c>
      <c r="K2555" s="12">
        <f>tItens[[#This Row],[Qtd]]*tItens[[#This Row],[Vlr unit]]</f>
        <v>0</v>
      </c>
      <c r="L2555" s="6">
        <f>IFERROR(IF(INDEX(tProdutos[Desconto homologado],MATCH(tItens[[#This Row],[Produto]],tProdutos[Produto],0))="",DescontoPadrao,INDEX(tProdutos[Desconto homologado],MATCH(tItens[[#This Row],[Produto]],tProdutos[Produto],0))),DescontoPadrao)</f>
        <v>0.217826086956522</v>
      </c>
      <c r="M2555" s="12">
        <f>tItens[[#This Row],[Valor]]*(1-tItens[[#This Row],[Desconto]])</f>
        <v>0</v>
      </c>
      <c r="N2555" t="str">
        <f>IFERROR(INDEX(tProdutos[Foco],MATCH(tItens[[#This Row],[Produto]],tProdutos[Produto],0)),"Não")</f>
        <v>Não</v>
      </c>
      <c r="O2555" t="str">
        <f>IFERROR(INDEX(tEditais[SRP],MATCH(tItens[[#This Row],[Edital]],tEditais[Edital],0)),"Não")</f>
        <v>Sim</v>
      </c>
      <c r="P2555" s="4">
        <f>IF(COUNTIFS(INDEX(tItens[Edital],1):tItens[[#This Row],[Edital]],tItens[[#This Row],[Edital]],INDEX(tItens[Produto],1):tItens[[#This Row],[Produto]],tItens[[#This Row],[Produto]])=1,1,0)</f>
        <v>1</v>
      </c>
    </row>
    <row r="2556" spans="1:16" x14ac:dyDescent="0.25">
      <c r="A2556" t="s">
        <v>1272</v>
      </c>
      <c r="B2556">
        <v>116</v>
      </c>
      <c r="C2556" t="s">
        <v>5576</v>
      </c>
      <c r="D2556" t="s">
        <v>90</v>
      </c>
      <c r="E2556" s="13">
        <v>1800</v>
      </c>
      <c r="F2556" s="12">
        <v>0</v>
      </c>
      <c r="G2556" t="str">
        <f>IFERROR(INDEX(tEditais[Órgão],MATCH(tItens[[#This Row],[Edital]],tEditais[Edital],0)),"")</f>
        <v>MUNICIPIO DE IGARAPE DO MEIO</v>
      </c>
      <c r="H2556" t="str">
        <f>IFERROR(INDEX(tEditais[UF],MATCH(tItens[[#This Row],[Edital]],tEditais[Edital],0)),"")</f>
        <v>MA</v>
      </c>
      <c r="I2556" s="11">
        <f>IFERROR(INDEX(tEditais[Encerramento],MATCH(tItens[[#This Row],[Edital]],tEditais[Edital],0)),"")</f>
        <v>46311.375</v>
      </c>
      <c r="J2556" t="str">
        <f>IFERROR(INDEX(tProdutos[Classe],MATCH(tItens[[#This Row],[Produto]],tProdutos[Produto],0)),"produto não cadastrado")</f>
        <v>DISPUTADO</v>
      </c>
      <c r="K2556" s="12">
        <f>tItens[[#This Row],[Qtd]]*tItens[[#This Row],[Vlr unit]]</f>
        <v>0</v>
      </c>
      <c r="L2556" s="6">
        <f>IFERROR(IF(INDEX(tProdutos[Desconto homologado],MATCH(tItens[[#This Row],[Produto]],tProdutos[Produto],0))="",DescontoPadrao,INDEX(tProdutos[Desconto homologado],MATCH(tItens[[#This Row],[Produto]],tProdutos[Produto],0))),DescontoPadrao)</f>
        <v>0.25393823957010597</v>
      </c>
      <c r="M2556" s="12">
        <f>tItens[[#This Row],[Valor]]*(1-tItens[[#This Row],[Desconto]])</f>
        <v>0</v>
      </c>
      <c r="N2556" t="str">
        <f>IFERROR(INDEX(tProdutos[Foco],MATCH(tItens[[#This Row],[Produto]],tProdutos[Produto],0)),"Não")</f>
        <v>Não</v>
      </c>
      <c r="O2556" t="str">
        <f>IFERROR(INDEX(tEditais[SRP],MATCH(tItens[[#This Row],[Edital]],tEditais[Edital],0)),"Não")</f>
        <v>Sim</v>
      </c>
      <c r="P2556" s="4">
        <f>IF(COUNTIFS(INDEX(tItens[Edital],1):tItens[[#This Row],[Edital]],tItens[[#This Row],[Edital]],INDEX(tItens[Produto],1):tItens[[#This Row],[Produto]],tItens[[#This Row],[Produto]])=1,1,0)</f>
        <v>1</v>
      </c>
    </row>
    <row r="2557" spans="1:16" x14ac:dyDescent="0.25">
      <c r="A2557" t="s">
        <v>1272</v>
      </c>
      <c r="B2557">
        <v>117</v>
      </c>
      <c r="C2557" t="s">
        <v>5577</v>
      </c>
      <c r="D2557" t="s">
        <v>142</v>
      </c>
      <c r="E2557" s="13">
        <v>1000</v>
      </c>
      <c r="F2557" s="12">
        <v>0</v>
      </c>
      <c r="G2557" t="str">
        <f>IFERROR(INDEX(tEditais[Órgão],MATCH(tItens[[#This Row],[Edital]],tEditais[Edital],0)),"")</f>
        <v>MUNICIPIO DE IGARAPE DO MEIO</v>
      </c>
      <c r="H2557" t="str">
        <f>IFERROR(INDEX(tEditais[UF],MATCH(tItens[[#This Row],[Edital]],tEditais[Edital],0)),"")</f>
        <v>MA</v>
      </c>
      <c r="I2557" s="11">
        <f>IFERROR(INDEX(tEditais[Encerramento],MATCH(tItens[[#This Row],[Edital]],tEditais[Edital],0)),"")</f>
        <v>46311.375</v>
      </c>
      <c r="J2557" t="str">
        <f>IFERROR(INDEX(tProdutos[Classe],MATCH(tItens[[#This Row],[Produto]],tProdutos[Produto],0)),"produto não cadastrado")</f>
        <v>DISPUTADO</v>
      </c>
      <c r="K2557" s="12">
        <f>tItens[[#This Row],[Qtd]]*tItens[[#This Row],[Vlr unit]]</f>
        <v>0</v>
      </c>
      <c r="L2557" s="6">
        <f>IFERROR(IF(INDEX(tProdutos[Desconto homologado],MATCH(tItens[[#This Row],[Produto]],tProdutos[Produto],0))="",DescontoPadrao,INDEX(tProdutos[Desconto homologado],MATCH(tItens[[#This Row],[Produto]],tProdutos[Produto],0))),DescontoPadrao)</f>
        <v>0.37093619495691699</v>
      </c>
      <c r="M2557" s="12">
        <f>tItens[[#This Row],[Valor]]*(1-tItens[[#This Row],[Desconto]])</f>
        <v>0</v>
      </c>
      <c r="N2557" t="str">
        <f>IFERROR(INDEX(tProdutos[Foco],MATCH(tItens[[#This Row],[Produto]],tProdutos[Produto],0)),"Não")</f>
        <v>Não</v>
      </c>
      <c r="O2557" t="str">
        <f>IFERROR(INDEX(tEditais[SRP],MATCH(tItens[[#This Row],[Edital]],tEditais[Edital],0)),"Não")</f>
        <v>Sim</v>
      </c>
      <c r="P2557" s="4">
        <f>IF(COUNTIFS(INDEX(tItens[Edital],1):tItens[[#This Row],[Edital]],tItens[[#This Row],[Edital]],INDEX(tItens[Produto],1):tItens[[#This Row],[Produto]],tItens[[#This Row],[Produto]])=1,1,0)</f>
        <v>1</v>
      </c>
    </row>
    <row r="2558" spans="1:16" x14ac:dyDescent="0.25">
      <c r="A2558" t="s">
        <v>1272</v>
      </c>
      <c r="B2558">
        <v>121</v>
      </c>
      <c r="C2558" t="s">
        <v>5578</v>
      </c>
      <c r="D2558" t="s">
        <v>467</v>
      </c>
      <c r="E2558" s="13">
        <v>50</v>
      </c>
      <c r="F2558" s="12">
        <v>0</v>
      </c>
      <c r="G2558" t="str">
        <f>IFERROR(INDEX(tEditais[Órgão],MATCH(tItens[[#This Row],[Edital]],tEditais[Edital],0)),"")</f>
        <v>MUNICIPIO DE IGARAPE DO MEIO</v>
      </c>
      <c r="H2558" t="str">
        <f>IFERROR(INDEX(tEditais[UF],MATCH(tItens[[#This Row],[Edital]],tEditais[Edital],0)),"")</f>
        <v>MA</v>
      </c>
      <c r="I2558" s="11">
        <f>IFERROR(INDEX(tEditais[Encerramento],MATCH(tItens[[#This Row],[Edital]],tEditais[Edital],0)),"")</f>
        <v>46311.375</v>
      </c>
      <c r="J2558" t="str">
        <f>IFERROR(INDEX(tProdutos[Classe],MATCH(tItens[[#This Row],[Produto]],tProdutos[Produto],0)),"produto não cadastrado")</f>
        <v>FILA REBASE</v>
      </c>
      <c r="K2558" s="12">
        <f>tItens[[#This Row],[Qtd]]*tItens[[#This Row],[Vlr unit]]</f>
        <v>0</v>
      </c>
      <c r="L2558" s="6">
        <f>IFERROR(IF(INDEX(tProdutos[Desconto homologado],MATCH(tItens[[#This Row],[Produto]],tProdutos[Produto],0))="",DescontoPadrao,INDEX(tProdutos[Desconto homologado],MATCH(tItens[[#This Row],[Produto]],tProdutos[Produto],0))),DescontoPadrao)</f>
        <v>0.25007144898542499</v>
      </c>
      <c r="M2558" s="12">
        <f>tItens[[#This Row],[Valor]]*(1-tItens[[#This Row],[Desconto]])</f>
        <v>0</v>
      </c>
      <c r="N2558" t="str">
        <f>IFERROR(INDEX(tProdutos[Foco],MATCH(tItens[[#This Row],[Produto]],tProdutos[Produto],0)),"Não")</f>
        <v>Não</v>
      </c>
      <c r="O2558" t="str">
        <f>IFERROR(INDEX(tEditais[SRP],MATCH(tItens[[#This Row],[Edital]],tEditais[Edital],0)),"Não")</f>
        <v>Sim</v>
      </c>
      <c r="P2558" s="4">
        <f>IF(COUNTIFS(INDEX(tItens[Edital],1):tItens[[#This Row],[Edital]],tItens[[#This Row],[Edital]],INDEX(tItens[Produto],1):tItens[[#This Row],[Produto]],tItens[[#This Row],[Produto]])=1,1,0)</f>
        <v>1</v>
      </c>
    </row>
    <row r="2559" spans="1:16" x14ac:dyDescent="0.25">
      <c r="A2559" t="s">
        <v>1272</v>
      </c>
      <c r="B2559">
        <v>131</v>
      </c>
      <c r="C2559" t="s">
        <v>5579</v>
      </c>
      <c r="D2559" t="s">
        <v>56</v>
      </c>
      <c r="E2559" s="13">
        <v>80</v>
      </c>
      <c r="F2559" s="12">
        <v>0</v>
      </c>
      <c r="G2559" t="str">
        <f>IFERROR(INDEX(tEditais[Órgão],MATCH(tItens[[#This Row],[Edital]],tEditais[Edital],0)),"")</f>
        <v>MUNICIPIO DE IGARAPE DO MEIO</v>
      </c>
      <c r="H2559" t="str">
        <f>IFERROR(INDEX(tEditais[UF],MATCH(tItens[[#This Row],[Edital]],tEditais[Edital],0)),"")</f>
        <v>MA</v>
      </c>
      <c r="I2559" s="11">
        <f>IFERROR(INDEX(tEditais[Encerramento],MATCH(tItens[[#This Row],[Edital]],tEditais[Edital],0)),"")</f>
        <v>46311.375</v>
      </c>
      <c r="J2559" t="str">
        <f>IFERROR(INDEX(tProdutos[Classe],MATCH(tItens[[#This Row],[Produto]],tProdutos[Produto],0)),"produto não cadastrado")</f>
        <v>NÚCLEO</v>
      </c>
      <c r="K2559" s="12">
        <f>tItens[[#This Row],[Qtd]]*tItens[[#This Row],[Vlr unit]]</f>
        <v>0</v>
      </c>
      <c r="L2559" s="6">
        <f>IFERROR(IF(INDEX(tProdutos[Desconto homologado],MATCH(tItens[[#This Row],[Produto]],tProdutos[Produto],0))="",DescontoPadrao,INDEX(tProdutos[Desconto homologado],MATCH(tItens[[#This Row],[Produto]],tProdutos[Produto],0))),DescontoPadrao)</f>
        <v>0.34</v>
      </c>
      <c r="M2559" s="12">
        <f>tItens[[#This Row],[Valor]]*(1-tItens[[#This Row],[Desconto]])</f>
        <v>0</v>
      </c>
      <c r="N2559" t="str">
        <f>IFERROR(INDEX(tProdutos[Foco],MATCH(tItens[[#This Row],[Produto]],tProdutos[Produto],0)),"Não")</f>
        <v>Sim</v>
      </c>
      <c r="O2559" t="str">
        <f>IFERROR(INDEX(tEditais[SRP],MATCH(tItens[[#This Row],[Edital]],tEditais[Edital],0)),"Não")</f>
        <v>Sim</v>
      </c>
      <c r="P2559" s="4">
        <f>IF(COUNTIFS(INDEX(tItens[Edital],1):tItens[[#This Row],[Edital]],tItens[[#This Row],[Edital]],INDEX(tItens[Produto],1):tItens[[#This Row],[Produto]],tItens[[#This Row],[Produto]])=1,1,0)</f>
        <v>1</v>
      </c>
    </row>
    <row r="2560" spans="1:16" x14ac:dyDescent="0.25">
      <c r="A2560" t="s">
        <v>1272</v>
      </c>
      <c r="B2560">
        <v>132</v>
      </c>
      <c r="C2560" t="s">
        <v>5580</v>
      </c>
      <c r="D2560" t="s">
        <v>56</v>
      </c>
      <c r="E2560" s="13">
        <v>100</v>
      </c>
      <c r="F2560" s="12">
        <v>0</v>
      </c>
      <c r="G2560" t="str">
        <f>IFERROR(INDEX(tEditais[Órgão],MATCH(tItens[[#This Row],[Edital]],tEditais[Edital],0)),"")</f>
        <v>MUNICIPIO DE IGARAPE DO MEIO</v>
      </c>
      <c r="H2560" t="str">
        <f>IFERROR(INDEX(tEditais[UF],MATCH(tItens[[#This Row],[Edital]],tEditais[Edital],0)),"")</f>
        <v>MA</v>
      </c>
      <c r="I2560" s="11">
        <f>IFERROR(INDEX(tEditais[Encerramento],MATCH(tItens[[#This Row],[Edital]],tEditais[Edital],0)),"")</f>
        <v>46311.375</v>
      </c>
      <c r="J2560" t="str">
        <f>IFERROR(INDEX(tProdutos[Classe],MATCH(tItens[[#This Row],[Produto]],tProdutos[Produto],0)),"produto não cadastrado")</f>
        <v>NÚCLEO</v>
      </c>
      <c r="K2560" s="12">
        <f>tItens[[#This Row],[Qtd]]*tItens[[#This Row],[Vlr unit]]</f>
        <v>0</v>
      </c>
      <c r="L2560" s="6">
        <f>IFERROR(IF(INDEX(tProdutos[Desconto homologado],MATCH(tItens[[#This Row],[Produto]],tProdutos[Produto],0))="",DescontoPadrao,INDEX(tProdutos[Desconto homologado],MATCH(tItens[[#This Row],[Produto]],tProdutos[Produto],0))),DescontoPadrao)</f>
        <v>0.34</v>
      </c>
      <c r="M2560" s="12">
        <f>tItens[[#This Row],[Valor]]*(1-tItens[[#This Row],[Desconto]])</f>
        <v>0</v>
      </c>
      <c r="N2560" t="str">
        <f>IFERROR(INDEX(tProdutos[Foco],MATCH(tItens[[#This Row],[Produto]],tProdutos[Produto],0)),"Não")</f>
        <v>Sim</v>
      </c>
      <c r="O2560" t="str">
        <f>IFERROR(INDEX(tEditais[SRP],MATCH(tItens[[#This Row],[Edital]],tEditais[Edital],0)),"Não")</f>
        <v>Sim</v>
      </c>
      <c r="P2560" s="4">
        <f>IF(COUNTIFS(INDEX(tItens[Edital],1):tItens[[#This Row],[Edital]],tItens[[#This Row],[Edital]],INDEX(tItens[Produto],1):tItens[[#This Row],[Produto]],tItens[[#This Row],[Produto]])=1,1,0)</f>
        <v>0</v>
      </c>
    </row>
    <row r="2561" spans="1:16" x14ac:dyDescent="0.25">
      <c r="A2561" t="s">
        <v>1272</v>
      </c>
      <c r="B2561">
        <v>133</v>
      </c>
      <c r="C2561" t="s">
        <v>5581</v>
      </c>
      <c r="D2561" t="s">
        <v>56</v>
      </c>
      <c r="E2561" s="13">
        <v>150</v>
      </c>
      <c r="F2561" s="12">
        <v>0</v>
      </c>
      <c r="G2561" t="str">
        <f>IFERROR(INDEX(tEditais[Órgão],MATCH(tItens[[#This Row],[Edital]],tEditais[Edital],0)),"")</f>
        <v>MUNICIPIO DE IGARAPE DO MEIO</v>
      </c>
      <c r="H2561" t="str">
        <f>IFERROR(INDEX(tEditais[UF],MATCH(tItens[[#This Row],[Edital]],tEditais[Edital],0)),"")</f>
        <v>MA</v>
      </c>
      <c r="I2561" s="11">
        <f>IFERROR(INDEX(tEditais[Encerramento],MATCH(tItens[[#This Row],[Edital]],tEditais[Edital],0)),"")</f>
        <v>46311.375</v>
      </c>
      <c r="J2561" t="str">
        <f>IFERROR(INDEX(tProdutos[Classe],MATCH(tItens[[#This Row],[Produto]],tProdutos[Produto],0)),"produto não cadastrado")</f>
        <v>NÚCLEO</v>
      </c>
      <c r="K2561" s="12">
        <f>tItens[[#This Row],[Qtd]]*tItens[[#This Row],[Vlr unit]]</f>
        <v>0</v>
      </c>
      <c r="L2561" s="6">
        <f>IFERROR(IF(INDEX(tProdutos[Desconto homologado],MATCH(tItens[[#This Row],[Produto]],tProdutos[Produto],0))="",DescontoPadrao,INDEX(tProdutos[Desconto homologado],MATCH(tItens[[#This Row],[Produto]],tProdutos[Produto],0))),DescontoPadrao)</f>
        <v>0.34</v>
      </c>
      <c r="M2561" s="12">
        <f>tItens[[#This Row],[Valor]]*(1-tItens[[#This Row],[Desconto]])</f>
        <v>0</v>
      </c>
      <c r="N2561" t="str">
        <f>IFERROR(INDEX(tProdutos[Foco],MATCH(tItens[[#This Row],[Produto]],tProdutos[Produto],0)),"Não")</f>
        <v>Sim</v>
      </c>
      <c r="O2561" t="str">
        <f>IFERROR(INDEX(tEditais[SRP],MATCH(tItens[[#This Row],[Edital]],tEditais[Edital],0)),"Não")</f>
        <v>Sim</v>
      </c>
      <c r="P2561" s="4">
        <f>IF(COUNTIFS(INDEX(tItens[Edital],1):tItens[[#This Row],[Edital]],tItens[[#This Row],[Edital]],INDEX(tItens[Produto],1):tItens[[#This Row],[Produto]],tItens[[#This Row],[Produto]])=1,1,0)</f>
        <v>0</v>
      </c>
    </row>
    <row r="2562" spans="1:16" x14ac:dyDescent="0.25">
      <c r="A2562" t="s">
        <v>1272</v>
      </c>
      <c r="B2562">
        <v>142</v>
      </c>
      <c r="C2562" t="s">
        <v>5582</v>
      </c>
      <c r="D2562" t="s">
        <v>293</v>
      </c>
      <c r="E2562" s="13">
        <v>80</v>
      </c>
      <c r="F2562" s="12">
        <v>0</v>
      </c>
      <c r="G2562" t="str">
        <f>IFERROR(INDEX(tEditais[Órgão],MATCH(tItens[[#This Row],[Edital]],tEditais[Edital],0)),"")</f>
        <v>MUNICIPIO DE IGARAPE DO MEIO</v>
      </c>
      <c r="H2562" t="str">
        <f>IFERROR(INDEX(tEditais[UF],MATCH(tItens[[#This Row],[Edital]],tEditais[Edital],0)),"")</f>
        <v>MA</v>
      </c>
      <c r="I2562" s="11">
        <f>IFERROR(INDEX(tEditais[Encerramento],MATCH(tItens[[#This Row],[Edital]],tEditais[Edital],0)),"")</f>
        <v>46311.375</v>
      </c>
      <c r="J2562" t="str">
        <f>IFERROR(INDEX(tProdutos[Classe],MATCH(tItens[[#This Row],[Produto]],tProdutos[Produto],0)),"produto não cadastrado")</f>
        <v>FORA</v>
      </c>
      <c r="K2562" s="12">
        <f>tItens[[#This Row],[Qtd]]*tItens[[#This Row],[Vlr unit]]</f>
        <v>0</v>
      </c>
      <c r="L2562" s="6">
        <f>IFERROR(IF(INDEX(tProdutos[Desconto homologado],MATCH(tItens[[#This Row],[Produto]],tProdutos[Produto],0))="",DescontoPadrao,INDEX(tProdutos[Desconto homologado],MATCH(tItens[[#This Row],[Produto]],tProdutos[Produto],0))),DescontoPadrao)</f>
        <v>0.45236440369319098</v>
      </c>
      <c r="M2562" s="12">
        <f>tItens[[#This Row],[Valor]]*(1-tItens[[#This Row],[Desconto]])</f>
        <v>0</v>
      </c>
      <c r="N2562" t="str">
        <f>IFERROR(INDEX(tProdutos[Foco],MATCH(tItens[[#This Row],[Produto]],tProdutos[Produto],0)),"Não")</f>
        <v>Não</v>
      </c>
      <c r="O2562" t="str">
        <f>IFERROR(INDEX(tEditais[SRP],MATCH(tItens[[#This Row],[Edital]],tEditais[Edital],0)),"Não")</f>
        <v>Sim</v>
      </c>
      <c r="P2562" s="4">
        <f>IF(COUNTIFS(INDEX(tItens[Edital],1):tItens[[#This Row],[Edital]],tItens[[#This Row],[Edital]],INDEX(tItens[Produto],1):tItens[[#This Row],[Produto]],tItens[[#This Row],[Produto]])=1,1,0)</f>
        <v>1</v>
      </c>
    </row>
    <row r="2563" spans="1:16" x14ac:dyDescent="0.25">
      <c r="A2563" t="s">
        <v>1272</v>
      </c>
      <c r="B2563">
        <v>143</v>
      </c>
      <c r="C2563" t="s">
        <v>5583</v>
      </c>
      <c r="D2563" t="s">
        <v>223</v>
      </c>
      <c r="E2563" s="13">
        <v>80</v>
      </c>
      <c r="F2563" s="12">
        <v>0</v>
      </c>
      <c r="G2563" t="str">
        <f>IFERROR(INDEX(tEditais[Órgão],MATCH(tItens[[#This Row],[Edital]],tEditais[Edital],0)),"")</f>
        <v>MUNICIPIO DE IGARAPE DO MEIO</v>
      </c>
      <c r="H2563" t="str">
        <f>IFERROR(INDEX(tEditais[UF],MATCH(tItens[[#This Row],[Edital]],tEditais[Edital],0)),"")</f>
        <v>MA</v>
      </c>
      <c r="I2563" s="11">
        <f>IFERROR(INDEX(tEditais[Encerramento],MATCH(tItens[[#This Row],[Edital]],tEditais[Edital],0)),"")</f>
        <v>46311.375</v>
      </c>
      <c r="J2563" t="str">
        <f>IFERROR(INDEX(tProdutos[Classe],MATCH(tItens[[#This Row],[Produto]],tProdutos[Produto],0)),"produto não cadastrado")</f>
        <v>FORA</v>
      </c>
      <c r="K2563" s="12">
        <f>tItens[[#This Row],[Qtd]]*tItens[[#This Row],[Vlr unit]]</f>
        <v>0</v>
      </c>
      <c r="L2563" s="6">
        <f>IFERROR(IF(INDEX(tProdutos[Desconto homologado],MATCH(tItens[[#This Row],[Produto]],tProdutos[Produto],0))="",DescontoPadrao,INDEX(tProdutos[Desconto homologado],MATCH(tItens[[#This Row],[Produto]],tProdutos[Produto],0))),DescontoPadrao)</f>
        <v>0.36263736263736301</v>
      </c>
      <c r="M2563" s="12">
        <f>tItens[[#This Row],[Valor]]*(1-tItens[[#This Row],[Desconto]])</f>
        <v>0</v>
      </c>
      <c r="N2563" t="str">
        <f>IFERROR(INDEX(tProdutos[Foco],MATCH(tItens[[#This Row],[Produto]],tProdutos[Produto],0)),"Não")</f>
        <v>Não</v>
      </c>
      <c r="O2563" t="str">
        <f>IFERROR(INDEX(tEditais[SRP],MATCH(tItens[[#This Row],[Edital]],tEditais[Edital],0)),"Não")</f>
        <v>Sim</v>
      </c>
      <c r="P2563" s="4">
        <f>IF(COUNTIFS(INDEX(tItens[Edital],1):tItens[[#This Row],[Edital]],tItens[[#This Row],[Edital]],INDEX(tItens[Produto],1):tItens[[#This Row],[Produto]],tItens[[#This Row],[Produto]])=1,1,0)</f>
        <v>1</v>
      </c>
    </row>
    <row r="2564" spans="1:16" x14ac:dyDescent="0.25">
      <c r="A2564" t="s">
        <v>1272</v>
      </c>
      <c r="B2564">
        <v>146</v>
      </c>
      <c r="C2564" t="s">
        <v>5584</v>
      </c>
      <c r="D2564" t="s">
        <v>267</v>
      </c>
      <c r="E2564" s="13">
        <v>500</v>
      </c>
      <c r="F2564" s="12">
        <v>0</v>
      </c>
      <c r="G2564" t="str">
        <f>IFERROR(INDEX(tEditais[Órgão],MATCH(tItens[[#This Row],[Edital]],tEditais[Edital],0)),"")</f>
        <v>MUNICIPIO DE IGARAPE DO MEIO</v>
      </c>
      <c r="H2564" t="str">
        <f>IFERROR(INDEX(tEditais[UF],MATCH(tItens[[#This Row],[Edital]],tEditais[Edital],0)),"")</f>
        <v>MA</v>
      </c>
      <c r="I2564" s="11">
        <f>IFERROR(INDEX(tEditais[Encerramento],MATCH(tItens[[#This Row],[Edital]],tEditais[Edital],0)),"")</f>
        <v>46311.375</v>
      </c>
      <c r="J2564" t="str">
        <f>IFERROR(INDEX(tProdutos[Classe],MATCH(tItens[[#This Row],[Produto]],tProdutos[Produto],0)),"produto não cadastrado")</f>
        <v>FORA</v>
      </c>
      <c r="K2564" s="12">
        <f>tItens[[#This Row],[Qtd]]*tItens[[#This Row],[Vlr unit]]</f>
        <v>0</v>
      </c>
      <c r="L2564" s="6">
        <f>IFERROR(IF(INDEX(tProdutos[Desconto homologado],MATCH(tItens[[#This Row],[Produto]],tProdutos[Produto],0))="",DescontoPadrao,INDEX(tProdutos[Desconto homologado],MATCH(tItens[[#This Row],[Produto]],tProdutos[Produto],0))),DescontoPadrao)</f>
        <v>0.19963672657401599</v>
      </c>
      <c r="M2564" s="12">
        <f>tItens[[#This Row],[Valor]]*(1-tItens[[#This Row],[Desconto]])</f>
        <v>0</v>
      </c>
      <c r="N2564" t="str">
        <f>IFERROR(INDEX(tProdutos[Foco],MATCH(tItens[[#This Row],[Produto]],tProdutos[Produto],0)),"Não")</f>
        <v>Não</v>
      </c>
      <c r="O2564" t="str">
        <f>IFERROR(INDEX(tEditais[SRP],MATCH(tItens[[#This Row],[Edital]],tEditais[Edital],0)),"Não")</f>
        <v>Sim</v>
      </c>
      <c r="P2564" s="4">
        <f>IF(COUNTIFS(INDEX(tItens[Edital],1):tItens[[#This Row],[Edital]],tItens[[#This Row],[Edital]],INDEX(tItens[Produto],1):tItens[[#This Row],[Produto]],tItens[[#This Row],[Produto]])=1,1,0)</f>
        <v>1</v>
      </c>
    </row>
    <row r="2565" spans="1:16" x14ac:dyDescent="0.25">
      <c r="A2565" t="s">
        <v>1272</v>
      </c>
      <c r="B2565">
        <v>149</v>
      </c>
      <c r="C2565" t="s">
        <v>5585</v>
      </c>
      <c r="D2565" t="s">
        <v>281</v>
      </c>
      <c r="E2565" s="13">
        <v>500</v>
      </c>
      <c r="F2565" s="12">
        <v>0</v>
      </c>
      <c r="G2565" t="str">
        <f>IFERROR(INDEX(tEditais[Órgão],MATCH(tItens[[#This Row],[Edital]],tEditais[Edital],0)),"")</f>
        <v>MUNICIPIO DE IGARAPE DO MEIO</v>
      </c>
      <c r="H2565" t="str">
        <f>IFERROR(INDEX(tEditais[UF],MATCH(tItens[[#This Row],[Edital]],tEditais[Edital],0)),"")</f>
        <v>MA</v>
      </c>
      <c r="I2565" s="11">
        <f>IFERROR(INDEX(tEditais[Encerramento],MATCH(tItens[[#This Row],[Edital]],tEditais[Edital],0)),"")</f>
        <v>46311.375</v>
      </c>
      <c r="J2565" t="str">
        <f>IFERROR(INDEX(tProdutos[Classe],MATCH(tItens[[#This Row],[Produto]],tProdutos[Produto],0)),"produto não cadastrado")</f>
        <v>DISPUTADO</v>
      </c>
      <c r="K2565" s="12">
        <f>tItens[[#This Row],[Qtd]]*tItens[[#This Row],[Vlr unit]]</f>
        <v>0</v>
      </c>
      <c r="L2565" s="6">
        <f>IFERROR(IF(INDEX(tProdutos[Desconto homologado],MATCH(tItens[[#This Row],[Produto]],tProdutos[Produto],0))="",DescontoPadrao,INDEX(tProdutos[Desconto homologado],MATCH(tItens[[#This Row],[Produto]],tProdutos[Produto],0))),DescontoPadrao)</f>
        <v>0.42461538461538501</v>
      </c>
      <c r="M2565" s="12">
        <f>tItens[[#This Row],[Valor]]*(1-tItens[[#This Row],[Desconto]])</f>
        <v>0</v>
      </c>
      <c r="N2565" t="str">
        <f>IFERROR(INDEX(tProdutos[Foco],MATCH(tItens[[#This Row],[Produto]],tProdutos[Produto],0)),"Não")</f>
        <v>Não</v>
      </c>
      <c r="O2565" t="str">
        <f>IFERROR(INDEX(tEditais[SRP],MATCH(tItens[[#This Row],[Edital]],tEditais[Edital],0)),"Não")</f>
        <v>Sim</v>
      </c>
      <c r="P2565" s="4">
        <f>IF(COUNTIFS(INDEX(tItens[Edital],1):tItens[[#This Row],[Edital]],tItens[[#This Row],[Edital]],INDEX(tItens[Produto],1):tItens[[#This Row],[Produto]],tItens[[#This Row],[Produto]])=1,1,0)</f>
        <v>1</v>
      </c>
    </row>
    <row r="2566" spans="1:16" x14ac:dyDescent="0.25">
      <c r="A2566" t="s">
        <v>1272</v>
      </c>
      <c r="B2566">
        <v>150</v>
      </c>
      <c r="C2566" t="s">
        <v>5586</v>
      </c>
      <c r="D2566" t="s">
        <v>275</v>
      </c>
      <c r="E2566" s="13">
        <v>300</v>
      </c>
      <c r="F2566" s="12">
        <v>0</v>
      </c>
      <c r="G2566" t="str">
        <f>IFERROR(INDEX(tEditais[Órgão],MATCH(tItens[[#This Row],[Edital]],tEditais[Edital],0)),"")</f>
        <v>MUNICIPIO DE IGARAPE DO MEIO</v>
      </c>
      <c r="H2566" t="str">
        <f>IFERROR(INDEX(tEditais[UF],MATCH(tItens[[#This Row],[Edital]],tEditais[Edital],0)),"")</f>
        <v>MA</v>
      </c>
      <c r="I2566" s="11">
        <f>IFERROR(INDEX(tEditais[Encerramento],MATCH(tItens[[#This Row],[Edital]],tEditais[Edital],0)),"")</f>
        <v>46311.375</v>
      </c>
      <c r="J2566" t="str">
        <f>IFERROR(INDEX(tProdutos[Classe],MATCH(tItens[[#This Row],[Produto]],tProdutos[Produto],0)),"produto não cadastrado")</f>
        <v>FORA</v>
      </c>
      <c r="K2566" s="12">
        <f>tItens[[#This Row],[Qtd]]*tItens[[#This Row],[Vlr unit]]</f>
        <v>0</v>
      </c>
      <c r="L2566" s="6">
        <f>IFERROR(IF(INDEX(tProdutos[Desconto homologado],MATCH(tItens[[#This Row],[Produto]],tProdutos[Produto],0))="",DescontoPadrao,INDEX(tProdutos[Desconto homologado],MATCH(tItens[[#This Row],[Produto]],tProdutos[Produto],0))),DescontoPadrao)</f>
        <v>0.405797101449275</v>
      </c>
      <c r="M2566" s="12">
        <f>tItens[[#This Row],[Valor]]*(1-tItens[[#This Row],[Desconto]])</f>
        <v>0</v>
      </c>
      <c r="N2566" t="str">
        <f>IFERROR(INDEX(tProdutos[Foco],MATCH(tItens[[#This Row],[Produto]],tProdutos[Produto],0)),"Não")</f>
        <v>Não</v>
      </c>
      <c r="O2566" t="str">
        <f>IFERROR(INDEX(tEditais[SRP],MATCH(tItens[[#This Row],[Edital]],tEditais[Edital],0)),"Não")</f>
        <v>Sim</v>
      </c>
      <c r="P2566" s="4">
        <f>IF(COUNTIFS(INDEX(tItens[Edital],1):tItens[[#This Row],[Edital]],tItens[[#This Row],[Edital]],INDEX(tItens[Produto],1):tItens[[#This Row],[Produto]],tItens[[#This Row],[Produto]])=1,1,0)</f>
        <v>1</v>
      </c>
    </row>
    <row r="2567" spans="1:16" x14ac:dyDescent="0.25">
      <c r="A2567" t="s">
        <v>1272</v>
      </c>
      <c r="B2567">
        <v>151</v>
      </c>
      <c r="C2567" t="s">
        <v>5587</v>
      </c>
      <c r="D2567" t="s">
        <v>289</v>
      </c>
      <c r="E2567" s="13">
        <v>500</v>
      </c>
      <c r="F2567" s="12">
        <v>0</v>
      </c>
      <c r="G2567" t="str">
        <f>IFERROR(INDEX(tEditais[Órgão],MATCH(tItens[[#This Row],[Edital]],tEditais[Edital],0)),"")</f>
        <v>MUNICIPIO DE IGARAPE DO MEIO</v>
      </c>
      <c r="H2567" t="str">
        <f>IFERROR(INDEX(tEditais[UF],MATCH(tItens[[#This Row],[Edital]],tEditais[Edital],0)),"")</f>
        <v>MA</v>
      </c>
      <c r="I2567" s="11">
        <f>IFERROR(INDEX(tEditais[Encerramento],MATCH(tItens[[#This Row],[Edital]],tEditais[Edital],0)),"")</f>
        <v>46311.375</v>
      </c>
      <c r="J2567" t="str">
        <f>IFERROR(INDEX(tProdutos[Classe],MATCH(tItens[[#This Row],[Produto]],tProdutos[Produto],0)),"produto não cadastrado")</f>
        <v>DISPUTADO</v>
      </c>
      <c r="K2567" s="12">
        <f>tItens[[#This Row],[Qtd]]*tItens[[#This Row],[Vlr unit]]</f>
        <v>0</v>
      </c>
      <c r="L2567" s="6">
        <f>IFERROR(IF(INDEX(tProdutos[Desconto homologado],MATCH(tItens[[#This Row],[Produto]],tProdutos[Produto],0))="",DescontoPadrao,INDEX(tProdutos[Desconto homologado],MATCH(tItens[[#This Row],[Produto]],tProdutos[Produto],0))),DescontoPadrao)</f>
        <v>0.35849056603773599</v>
      </c>
      <c r="M2567" s="12">
        <f>tItens[[#This Row],[Valor]]*(1-tItens[[#This Row],[Desconto]])</f>
        <v>0</v>
      </c>
      <c r="N2567" t="str">
        <f>IFERROR(INDEX(tProdutos[Foco],MATCH(tItens[[#This Row],[Produto]],tProdutos[Produto],0)),"Não")</f>
        <v>Não</v>
      </c>
      <c r="O2567" t="str">
        <f>IFERROR(INDEX(tEditais[SRP],MATCH(tItens[[#This Row],[Edital]],tEditais[Edital],0)),"Não")</f>
        <v>Sim</v>
      </c>
      <c r="P2567" s="4">
        <f>IF(COUNTIFS(INDEX(tItens[Edital],1):tItens[[#This Row],[Edital]],tItens[[#This Row],[Edital]],INDEX(tItens[Produto],1):tItens[[#This Row],[Produto]],tItens[[#This Row],[Produto]])=1,1,0)</f>
        <v>1</v>
      </c>
    </row>
    <row r="2568" spans="1:16" x14ac:dyDescent="0.25">
      <c r="A2568" t="s">
        <v>1272</v>
      </c>
      <c r="B2568">
        <v>152</v>
      </c>
      <c r="C2568" t="s">
        <v>5588</v>
      </c>
      <c r="D2568" t="s">
        <v>283</v>
      </c>
      <c r="E2568" s="13">
        <v>200</v>
      </c>
      <c r="F2568" s="12">
        <v>0</v>
      </c>
      <c r="G2568" t="str">
        <f>IFERROR(INDEX(tEditais[Órgão],MATCH(tItens[[#This Row],[Edital]],tEditais[Edital],0)),"")</f>
        <v>MUNICIPIO DE IGARAPE DO MEIO</v>
      </c>
      <c r="H2568" t="str">
        <f>IFERROR(INDEX(tEditais[UF],MATCH(tItens[[#This Row],[Edital]],tEditais[Edital],0)),"")</f>
        <v>MA</v>
      </c>
      <c r="I2568" s="11">
        <f>IFERROR(INDEX(tEditais[Encerramento],MATCH(tItens[[#This Row],[Edital]],tEditais[Edital],0)),"")</f>
        <v>46311.375</v>
      </c>
      <c r="J2568" t="str">
        <f>IFERROR(INDEX(tProdutos[Classe],MATCH(tItens[[#This Row],[Produto]],tProdutos[Produto],0)),"produto não cadastrado")</f>
        <v>FORA</v>
      </c>
      <c r="K2568" s="12">
        <f>tItens[[#This Row],[Qtd]]*tItens[[#This Row],[Vlr unit]]</f>
        <v>0</v>
      </c>
      <c r="L2568" s="6">
        <f>IFERROR(IF(INDEX(tProdutos[Desconto homologado],MATCH(tItens[[#This Row],[Produto]],tProdutos[Produto],0))="",DescontoPadrao,INDEX(tProdutos[Desconto homologado],MATCH(tItens[[#This Row],[Produto]],tProdutos[Produto],0))),DescontoPadrao)</f>
        <v>0.40540540540540498</v>
      </c>
      <c r="M2568" s="12">
        <f>tItens[[#This Row],[Valor]]*(1-tItens[[#This Row],[Desconto]])</f>
        <v>0</v>
      </c>
      <c r="N2568" t="str">
        <f>IFERROR(INDEX(tProdutos[Foco],MATCH(tItens[[#This Row],[Produto]],tProdutos[Produto],0)),"Não")</f>
        <v>Não</v>
      </c>
      <c r="O2568" t="str">
        <f>IFERROR(INDEX(tEditais[SRP],MATCH(tItens[[#This Row],[Edital]],tEditais[Edital],0)),"Não")</f>
        <v>Sim</v>
      </c>
      <c r="P2568" s="4">
        <f>IF(COUNTIFS(INDEX(tItens[Edital],1):tItens[[#This Row],[Edital]],tItens[[#This Row],[Edital]],INDEX(tItens[Produto],1):tItens[[#This Row],[Produto]],tItens[[#This Row],[Produto]])=1,1,0)</f>
        <v>1</v>
      </c>
    </row>
    <row r="2569" spans="1:16" x14ac:dyDescent="0.25">
      <c r="A2569" t="s">
        <v>1272</v>
      </c>
      <c r="B2569">
        <v>153</v>
      </c>
      <c r="C2569" t="s">
        <v>5589</v>
      </c>
      <c r="D2569" t="s">
        <v>265</v>
      </c>
      <c r="E2569" s="13">
        <v>500</v>
      </c>
      <c r="F2569" s="12">
        <v>0</v>
      </c>
      <c r="G2569" t="str">
        <f>IFERROR(INDEX(tEditais[Órgão],MATCH(tItens[[#This Row],[Edital]],tEditais[Edital],0)),"")</f>
        <v>MUNICIPIO DE IGARAPE DO MEIO</v>
      </c>
      <c r="H2569" t="str">
        <f>IFERROR(INDEX(tEditais[UF],MATCH(tItens[[#This Row],[Edital]],tEditais[Edital],0)),"")</f>
        <v>MA</v>
      </c>
      <c r="I2569" s="11">
        <f>IFERROR(INDEX(tEditais[Encerramento],MATCH(tItens[[#This Row],[Edital]],tEditais[Edital],0)),"")</f>
        <v>46311.375</v>
      </c>
      <c r="J2569" t="str">
        <f>IFERROR(INDEX(tProdutos[Classe],MATCH(tItens[[#This Row],[Produto]],tProdutos[Produto],0)),"produto não cadastrado")</f>
        <v>DISPUTADO</v>
      </c>
      <c r="K2569" s="12">
        <f>tItens[[#This Row],[Qtd]]*tItens[[#This Row],[Vlr unit]]</f>
        <v>0</v>
      </c>
      <c r="L2569" s="6">
        <f>IFERROR(IF(INDEX(tProdutos[Desconto homologado],MATCH(tItens[[#This Row],[Produto]],tProdutos[Produto],0))="",DescontoPadrao,INDEX(tProdutos[Desconto homologado],MATCH(tItens[[#This Row],[Produto]],tProdutos[Produto],0))),DescontoPadrao)</f>
        <v>0.377587663709337</v>
      </c>
      <c r="M2569" s="12">
        <f>tItens[[#This Row],[Valor]]*(1-tItens[[#This Row],[Desconto]])</f>
        <v>0</v>
      </c>
      <c r="N2569" t="str">
        <f>IFERROR(INDEX(tProdutos[Foco],MATCH(tItens[[#This Row],[Produto]],tProdutos[Produto],0)),"Não")</f>
        <v>Não</v>
      </c>
      <c r="O2569" t="str">
        <f>IFERROR(INDEX(tEditais[SRP],MATCH(tItens[[#This Row],[Edital]],tEditais[Edital],0)),"Não")</f>
        <v>Sim</v>
      </c>
      <c r="P2569" s="4">
        <f>IF(COUNTIFS(INDEX(tItens[Edital],1):tItens[[#This Row],[Edital]],tItens[[#This Row],[Edital]],INDEX(tItens[Produto],1):tItens[[#This Row],[Produto]],tItens[[#This Row],[Produto]])=1,1,0)</f>
        <v>1</v>
      </c>
    </row>
    <row r="2570" spans="1:16" x14ac:dyDescent="0.25">
      <c r="A2570" t="s">
        <v>1272</v>
      </c>
      <c r="B2570">
        <v>156</v>
      </c>
      <c r="C2570" t="s">
        <v>5590</v>
      </c>
      <c r="D2570" t="s">
        <v>114</v>
      </c>
      <c r="E2570" s="13">
        <v>150</v>
      </c>
      <c r="F2570" s="12">
        <v>0</v>
      </c>
      <c r="G2570" t="str">
        <f>IFERROR(INDEX(tEditais[Órgão],MATCH(tItens[[#This Row],[Edital]],tEditais[Edital],0)),"")</f>
        <v>MUNICIPIO DE IGARAPE DO MEIO</v>
      </c>
      <c r="H2570" t="str">
        <f>IFERROR(INDEX(tEditais[UF],MATCH(tItens[[#This Row],[Edital]],tEditais[Edital],0)),"")</f>
        <v>MA</v>
      </c>
      <c r="I2570" s="11">
        <f>IFERROR(INDEX(tEditais[Encerramento],MATCH(tItens[[#This Row],[Edital]],tEditais[Edital],0)),"")</f>
        <v>46311.375</v>
      </c>
      <c r="J2570" t="str">
        <f>IFERROR(INDEX(tProdutos[Classe],MATCH(tItens[[#This Row],[Produto]],tProdutos[Produto],0)),"produto não cadastrado")</f>
        <v>DISPUTADO</v>
      </c>
      <c r="K2570" s="12">
        <f>tItens[[#This Row],[Qtd]]*tItens[[#This Row],[Vlr unit]]</f>
        <v>0</v>
      </c>
      <c r="L2570" s="6">
        <f>IFERROR(IF(INDEX(tProdutos[Desconto homologado],MATCH(tItens[[#This Row],[Produto]],tProdutos[Produto],0))="",DescontoPadrao,INDEX(tProdutos[Desconto homologado],MATCH(tItens[[#This Row],[Produto]],tProdutos[Produto],0))),DescontoPadrao)</f>
        <v>0.24332656063896899</v>
      </c>
      <c r="M2570" s="12">
        <f>tItens[[#This Row],[Valor]]*(1-tItens[[#This Row],[Desconto]])</f>
        <v>0</v>
      </c>
      <c r="N2570" t="str">
        <f>IFERROR(INDEX(tProdutos[Foco],MATCH(tItens[[#This Row],[Produto]],tProdutos[Produto],0)),"Não")</f>
        <v>Não</v>
      </c>
      <c r="O2570" t="str">
        <f>IFERROR(INDEX(tEditais[SRP],MATCH(tItens[[#This Row],[Edital]],tEditais[Edital],0)),"Não")</f>
        <v>Sim</v>
      </c>
      <c r="P2570" s="4">
        <f>IF(COUNTIFS(INDEX(tItens[Edital],1):tItens[[#This Row],[Edital]],tItens[[#This Row],[Edital]],INDEX(tItens[Produto],1):tItens[[#This Row],[Produto]],tItens[[#This Row],[Produto]])=1,1,0)</f>
        <v>1</v>
      </c>
    </row>
    <row r="2571" spans="1:16" x14ac:dyDescent="0.25">
      <c r="A2571" t="s">
        <v>1272</v>
      </c>
      <c r="B2571">
        <v>181</v>
      </c>
      <c r="C2571" t="s">
        <v>5572</v>
      </c>
      <c r="D2571" t="s">
        <v>351</v>
      </c>
      <c r="E2571" s="13">
        <v>200</v>
      </c>
      <c r="F2571" s="12">
        <v>0</v>
      </c>
      <c r="G2571" t="str">
        <f>IFERROR(INDEX(tEditais[Órgão],MATCH(tItens[[#This Row],[Edital]],tEditais[Edital],0)),"")</f>
        <v>MUNICIPIO DE IGARAPE DO MEIO</v>
      </c>
      <c r="H2571" t="str">
        <f>IFERROR(INDEX(tEditais[UF],MATCH(tItens[[#This Row],[Edital]],tEditais[Edital],0)),"")</f>
        <v>MA</v>
      </c>
      <c r="I2571" s="11">
        <f>IFERROR(INDEX(tEditais[Encerramento],MATCH(tItens[[#This Row],[Edital]],tEditais[Edital],0)),"")</f>
        <v>46311.375</v>
      </c>
      <c r="J2571" t="str">
        <f>IFERROR(INDEX(tProdutos[Classe],MATCH(tItens[[#This Row],[Produto]],tProdutos[Produto],0)),"produto não cadastrado")</f>
        <v>FORA</v>
      </c>
      <c r="K2571" s="12">
        <f>tItens[[#This Row],[Qtd]]*tItens[[#This Row],[Vlr unit]]</f>
        <v>0</v>
      </c>
      <c r="L2571" s="6">
        <f>IFERROR(IF(INDEX(tProdutos[Desconto homologado],MATCH(tItens[[#This Row],[Produto]],tProdutos[Produto],0))="",DescontoPadrao,INDEX(tProdutos[Desconto homologado],MATCH(tItens[[#This Row],[Produto]],tProdutos[Produto],0))),DescontoPadrao)</f>
        <v>0.33518005540166201</v>
      </c>
      <c r="M2571" s="12">
        <f>tItens[[#This Row],[Valor]]*(1-tItens[[#This Row],[Desconto]])</f>
        <v>0</v>
      </c>
      <c r="N2571" t="str">
        <f>IFERROR(INDEX(tProdutos[Foco],MATCH(tItens[[#This Row],[Produto]],tProdutos[Produto],0)),"Não")</f>
        <v>Não</v>
      </c>
      <c r="O2571" t="str">
        <f>IFERROR(INDEX(tEditais[SRP],MATCH(tItens[[#This Row],[Edital]],tEditais[Edital],0)),"Não")</f>
        <v>Sim</v>
      </c>
      <c r="P2571" s="4">
        <f>IF(COUNTIFS(INDEX(tItens[Edital],1):tItens[[#This Row],[Edital]],tItens[[#This Row],[Edital]],INDEX(tItens[Produto],1):tItens[[#This Row],[Produto]],tItens[[#This Row],[Produto]])=1,1,0)</f>
        <v>0</v>
      </c>
    </row>
    <row r="2572" spans="1:16" x14ac:dyDescent="0.25">
      <c r="A2572" t="s">
        <v>1272</v>
      </c>
      <c r="B2572">
        <v>182</v>
      </c>
      <c r="C2572" t="s">
        <v>5573</v>
      </c>
      <c r="D2572" t="s">
        <v>351</v>
      </c>
      <c r="E2572" s="13">
        <v>300</v>
      </c>
      <c r="F2572" s="12">
        <v>0</v>
      </c>
      <c r="G2572" t="str">
        <f>IFERROR(INDEX(tEditais[Órgão],MATCH(tItens[[#This Row],[Edital]],tEditais[Edital],0)),"")</f>
        <v>MUNICIPIO DE IGARAPE DO MEIO</v>
      </c>
      <c r="H2572" t="str">
        <f>IFERROR(INDEX(tEditais[UF],MATCH(tItens[[#This Row],[Edital]],tEditais[Edital],0)),"")</f>
        <v>MA</v>
      </c>
      <c r="I2572" s="11">
        <f>IFERROR(INDEX(tEditais[Encerramento],MATCH(tItens[[#This Row],[Edital]],tEditais[Edital],0)),"")</f>
        <v>46311.375</v>
      </c>
      <c r="J2572" t="str">
        <f>IFERROR(INDEX(tProdutos[Classe],MATCH(tItens[[#This Row],[Produto]],tProdutos[Produto],0)),"produto não cadastrado")</f>
        <v>FORA</v>
      </c>
      <c r="K2572" s="12">
        <f>tItens[[#This Row],[Qtd]]*tItens[[#This Row],[Vlr unit]]</f>
        <v>0</v>
      </c>
      <c r="L2572" s="6">
        <f>IFERROR(IF(INDEX(tProdutos[Desconto homologado],MATCH(tItens[[#This Row],[Produto]],tProdutos[Produto],0))="",DescontoPadrao,INDEX(tProdutos[Desconto homologado],MATCH(tItens[[#This Row],[Produto]],tProdutos[Produto],0))),DescontoPadrao)</f>
        <v>0.33518005540166201</v>
      </c>
      <c r="M2572" s="12">
        <f>tItens[[#This Row],[Valor]]*(1-tItens[[#This Row],[Desconto]])</f>
        <v>0</v>
      </c>
      <c r="N2572" t="str">
        <f>IFERROR(INDEX(tProdutos[Foco],MATCH(tItens[[#This Row],[Produto]],tProdutos[Produto],0)),"Não")</f>
        <v>Não</v>
      </c>
      <c r="O2572" t="str">
        <f>IFERROR(INDEX(tEditais[SRP],MATCH(tItens[[#This Row],[Edital]],tEditais[Edital],0)),"Não")</f>
        <v>Sim</v>
      </c>
      <c r="P2572" s="4">
        <f>IF(COUNTIFS(INDEX(tItens[Edital],1):tItens[[#This Row],[Edital]],tItens[[#This Row],[Edital]],INDEX(tItens[Produto],1):tItens[[#This Row],[Produto]],tItens[[#This Row],[Produto]])=1,1,0)</f>
        <v>0</v>
      </c>
    </row>
    <row r="2573" spans="1:16" x14ac:dyDescent="0.25">
      <c r="A2573" t="s">
        <v>1272</v>
      </c>
      <c r="B2573">
        <v>183</v>
      </c>
      <c r="C2573" t="s">
        <v>5574</v>
      </c>
      <c r="D2573" t="s">
        <v>351</v>
      </c>
      <c r="E2573" s="13">
        <v>300</v>
      </c>
      <c r="F2573" s="12">
        <v>0</v>
      </c>
      <c r="G2573" t="str">
        <f>IFERROR(INDEX(tEditais[Órgão],MATCH(tItens[[#This Row],[Edital]],tEditais[Edital],0)),"")</f>
        <v>MUNICIPIO DE IGARAPE DO MEIO</v>
      </c>
      <c r="H2573" t="str">
        <f>IFERROR(INDEX(tEditais[UF],MATCH(tItens[[#This Row],[Edital]],tEditais[Edital],0)),"")</f>
        <v>MA</v>
      </c>
      <c r="I2573" s="11">
        <f>IFERROR(INDEX(tEditais[Encerramento],MATCH(tItens[[#This Row],[Edital]],tEditais[Edital],0)),"")</f>
        <v>46311.375</v>
      </c>
      <c r="J2573" t="str">
        <f>IFERROR(INDEX(tProdutos[Classe],MATCH(tItens[[#This Row],[Produto]],tProdutos[Produto],0)),"produto não cadastrado")</f>
        <v>FORA</v>
      </c>
      <c r="K2573" s="12">
        <f>tItens[[#This Row],[Qtd]]*tItens[[#This Row],[Vlr unit]]</f>
        <v>0</v>
      </c>
      <c r="L2573" s="6">
        <f>IFERROR(IF(INDEX(tProdutos[Desconto homologado],MATCH(tItens[[#This Row],[Produto]],tProdutos[Produto],0))="",DescontoPadrao,INDEX(tProdutos[Desconto homologado],MATCH(tItens[[#This Row],[Produto]],tProdutos[Produto],0))),DescontoPadrao)</f>
        <v>0.33518005540166201</v>
      </c>
      <c r="M2573" s="12">
        <f>tItens[[#This Row],[Valor]]*(1-tItens[[#This Row],[Desconto]])</f>
        <v>0</v>
      </c>
      <c r="N2573" t="str">
        <f>IFERROR(INDEX(tProdutos[Foco],MATCH(tItens[[#This Row],[Produto]],tProdutos[Produto],0)),"Não")</f>
        <v>Não</v>
      </c>
      <c r="O2573" t="str">
        <f>IFERROR(INDEX(tEditais[SRP],MATCH(tItens[[#This Row],[Edital]],tEditais[Edital],0)),"Não")</f>
        <v>Sim</v>
      </c>
      <c r="P2573" s="4">
        <f>IF(COUNTIFS(INDEX(tItens[Edital],1):tItens[[#This Row],[Edital]],tItens[[#This Row],[Edital]],INDEX(tItens[Produto],1):tItens[[#This Row],[Produto]],tItens[[#This Row],[Produto]])=1,1,0)</f>
        <v>0</v>
      </c>
    </row>
    <row r="2574" spans="1:16" x14ac:dyDescent="0.25">
      <c r="A2574" t="s">
        <v>1272</v>
      </c>
      <c r="B2574">
        <v>199</v>
      </c>
      <c r="C2574" t="s">
        <v>3516</v>
      </c>
      <c r="D2574" t="s">
        <v>172</v>
      </c>
      <c r="E2574" s="13">
        <v>500</v>
      </c>
      <c r="F2574" s="12">
        <v>0</v>
      </c>
      <c r="G2574" t="str">
        <f>IFERROR(INDEX(tEditais[Órgão],MATCH(tItens[[#This Row],[Edital]],tEditais[Edital],0)),"")</f>
        <v>MUNICIPIO DE IGARAPE DO MEIO</v>
      </c>
      <c r="H2574" t="str">
        <f>IFERROR(INDEX(tEditais[UF],MATCH(tItens[[#This Row],[Edital]],tEditais[Edital],0)),"")</f>
        <v>MA</v>
      </c>
      <c r="I2574" s="11">
        <f>IFERROR(INDEX(tEditais[Encerramento],MATCH(tItens[[#This Row],[Edital]],tEditais[Edital],0)),"")</f>
        <v>46311.375</v>
      </c>
      <c r="J2574" t="str">
        <f>IFERROR(INDEX(tProdutos[Classe],MATCH(tItens[[#This Row],[Produto]],tProdutos[Produto],0)),"produto não cadastrado")</f>
        <v>DISPUTADO</v>
      </c>
      <c r="K2574" s="12">
        <f>tItens[[#This Row],[Qtd]]*tItens[[#This Row],[Vlr unit]]</f>
        <v>0</v>
      </c>
      <c r="L2574" s="6">
        <f>IFERROR(IF(INDEX(tProdutos[Desconto homologado],MATCH(tItens[[#This Row],[Produto]],tProdutos[Produto],0))="",DescontoPadrao,INDEX(tProdutos[Desconto homologado],MATCH(tItens[[#This Row],[Produto]],tProdutos[Produto],0))),DescontoPadrao)</f>
        <v>0.33578431372549</v>
      </c>
      <c r="M2574" s="12">
        <f>tItens[[#This Row],[Valor]]*(1-tItens[[#This Row],[Desconto]])</f>
        <v>0</v>
      </c>
      <c r="N2574" t="str">
        <f>IFERROR(INDEX(tProdutos[Foco],MATCH(tItens[[#This Row],[Produto]],tProdutos[Produto],0)),"Não")</f>
        <v>Não</v>
      </c>
      <c r="O2574" t="str">
        <f>IFERROR(INDEX(tEditais[SRP],MATCH(tItens[[#This Row],[Edital]],tEditais[Edital],0)),"Não")</f>
        <v>Sim</v>
      </c>
      <c r="P2574" s="4">
        <f>IF(COUNTIFS(INDEX(tItens[Edital],1):tItens[[#This Row],[Edital]],tItens[[#This Row],[Edital]],INDEX(tItens[Produto],1):tItens[[#This Row],[Produto]],tItens[[#This Row],[Produto]])=1,1,0)</f>
        <v>1</v>
      </c>
    </row>
    <row r="2575" spans="1:16" x14ac:dyDescent="0.25">
      <c r="A2575" t="s">
        <v>1272</v>
      </c>
      <c r="B2575">
        <v>200</v>
      </c>
      <c r="C2575" t="s">
        <v>5591</v>
      </c>
      <c r="D2575" t="s">
        <v>279</v>
      </c>
      <c r="E2575" s="13">
        <v>1000</v>
      </c>
      <c r="F2575" s="12">
        <v>0</v>
      </c>
      <c r="G2575" t="str">
        <f>IFERROR(INDEX(tEditais[Órgão],MATCH(tItens[[#This Row],[Edital]],tEditais[Edital],0)),"")</f>
        <v>MUNICIPIO DE IGARAPE DO MEIO</v>
      </c>
      <c r="H2575" t="str">
        <f>IFERROR(INDEX(tEditais[UF],MATCH(tItens[[#This Row],[Edital]],tEditais[Edital],0)),"")</f>
        <v>MA</v>
      </c>
      <c r="I2575" s="11">
        <f>IFERROR(INDEX(tEditais[Encerramento],MATCH(tItens[[#This Row],[Edital]],tEditais[Edital],0)),"")</f>
        <v>46311.375</v>
      </c>
      <c r="J2575" t="str">
        <f>IFERROR(INDEX(tProdutos[Classe],MATCH(tItens[[#This Row],[Produto]],tProdutos[Produto],0)),"produto não cadastrado")</f>
        <v>FORA</v>
      </c>
      <c r="K2575" s="12">
        <f>tItens[[#This Row],[Qtd]]*tItens[[#This Row],[Vlr unit]]</f>
        <v>0</v>
      </c>
      <c r="L2575" s="6">
        <f>IFERROR(IF(INDEX(tProdutos[Desconto homologado],MATCH(tItens[[#This Row],[Produto]],tProdutos[Produto],0))="",DescontoPadrao,INDEX(tProdutos[Desconto homologado],MATCH(tItens[[#This Row],[Produto]],tProdutos[Produto],0))),DescontoPadrao)</f>
        <v>0.28909090909090901</v>
      </c>
      <c r="M2575" s="12">
        <f>tItens[[#This Row],[Valor]]*(1-tItens[[#This Row],[Desconto]])</f>
        <v>0</v>
      </c>
      <c r="N2575" t="str">
        <f>IFERROR(INDEX(tProdutos[Foco],MATCH(tItens[[#This Row],[Produto]],tProdutos[Produto],0)),"Não")</f>
        <v>Não</v>
      </c>
      <c r="O2575" t="str">
        <f>IFERROR(INDEX(tEditais[SRP],MATCH(tItens[[#This Row],[Edital]],tEditais[Edital],0)),"Não")</f>
        <v>Sim</v>
      </c>
      <c r="P2575" s="4">
        <f>IF(COUNTIFS(INDEX(tItens[Edital],1):tItens[[#This Row],[Edital]],tItens[[#This Row],[Edital]],INDEX(tItens[Produto],1):tItens[[#This Row],[Produto]],tItens[[#This Row],[Produto]])=1,1,0)</f>
        <v>1</v>
      </c>
    </row>
    <row r="2576" spans="1:16" x14ac:dyDescent="0.25">
      <c r="A2576" t="s">
        <v>1272</v>
      </c>
      <c r="B2576">
        <v>201</v>
      </c>
      <c r="C2576" t="s">
        <v>5592</v>
      </c>
      <c r="D2576" t="s">
        <v>279</v>
      </c>
      <c r="E2576" s="13">
        <v>1000</v>
      </c>
      <c r="F2576" s="12">
        <v>0</v>
      </c>
      <c r="G2576" t="str">
        <f>IFERROR(INDEX(tEditais[Órgão],MATCH(tItens[[#This Row],[Edital]],tEditais[Edital],0)),"")</f>
        <v>MUNICIPIO DE IGARAPE DO MEIO</v>
      </c>
      <c r="H2576" t="str">
        <f>IFERROR(INDEX(tEditais[UF],MATCH(tItens[[#This Row],[Edital]],tEditais[Edital],0)),"")</f>
        <v>MA</v>
      </c>
      <c r="I2576" s="11">
        <f>IFERROR(INDEX(tEditais[Encerramento],MATCH(tItens[[#This Row],[Edital]],tEditais[Edital],0)),"")</f>
        <v>46311.375</v>
      </c>
      <c r="J2576" t="str">
        <f>IFERROR(INDEX(tProdutos[Classe],MATCH(tItens[[#This Row],[Produto]],tProdutos[Produto],0)),"produto não cadastrado")</f>
        <v>FORA</v>
      </c>
      <c r="K2576" s="12">
        <f>tItens[[#This Row],[Qtd]]*tItens[[#This Row],[Vlr unit]]</f>
        <v>0</v>
      </c>
      <c r="L2576" s="6">
        <f>IFERROR(IF(INDEX(tProdutos[Desconto homologado],MATCH(tItens[[#This Row],[Produto]],tProdutos[Produto],0))="",DescontoPadrao,INDEX(tProdutos[Desconto homologado],MATCH(tItens[[#This Row],[Produto]],tProdutos[Produto],0))),DescontoPadrao)</f>
        <v>0.28909090909090901</v>
      </c>
      <c r="M2576" s="12">
        <f>tItens[[#This Row],[Valor]]*(1-tItens[[#This Row],[Desconto]])</f>
        <v>0</v>
      </c>
      <c r="N2576" t="str">
        <f>IFERROR(INDEX(tProdutos[Foco],MATCH(tItens[[#This Row],[Produto]],tProdutos[Produto],0)),"Não")</f>
        <v>Não</v>
      </c>
      <c r="O2576" t="str">
        <f>IFERROR(INDEX(tEditais[SRP],MATCH(tItens[[#This Row],[Edital]],tEditais[Edital],0)),"Não")</f>
        <v>Sim</v>
      </c>
      <c r="P2576" s="4">
        <f>IF(COUNTIFS(INDEX(tItens[Edital],1):tItens[[#This Row],[Edital]],tItens[[#This Row],[Edital]],INDEX(tItens[Produto],1):tItens[[#This Row],[Produto]],tItens[[#This Row],[Produto]])=1,1,0)</f>
        <v>0</v>
      </c>
    </row>
    <row r="2577" spans="1:16" x14ac:dyDescent="0.25">
      <c r="A2577" t="s">
        <v>1272</v>
      </c>
      <c r="B2577">
        <v>204</v>
      </c>
      <c r="C2577" t="s">
        <v>5593</v>
      </c>
      <c r="D2577" t="s">
        <v>371</v>
      </c>
      <c r="E2577" s="13">
        <v>1000</v>
      </c>
      <c r="F2577" s="12">
        <v>0</v>
      </c>
      <c r="G2577" t="str">
        <f>IFERROR(INDEX(tEditais[Órgão],MATCH(tItens[[#This Row],[Edital]],tEditais[Edital],0)),"")</f>
        <v>MUNICIPIO DE IGARAPE DO MEIO</v>
      </c>
      <c r="H2577" t="str">
        <f>IFERROR(INDEX(tEditais[UF],MATCH(tItens[[#This Row],[Edital]],tEditais[Edital],0)),"")</f>
        <v>MA</v>
      </c>
      <c r="I2577" s="11">
        <f>IFERROR(INDEX(tEditais[Encerramento],MATCH(tItens[[#This Row],[Edital]],tEditais[Edital],0)),"")</f>
        <v>46311.375</v>
      </c>
      <c r="J2577" t="str">
        <f>IFERROR(INDEX(tProdutos[Classe],MATCH(tItens[[#This Row],[Produto]],tProdutos[Produto],0)),"produto não cadastrado")</f>
        <v>FORA</v>
      </c>
      <c r="K2577" s="12">
        <f>tItens[[#This Row],[Qtd]]*tItens[[#This Row],[Vlr unit]]</f>
        <v>0</v>
      </c>
      <c r="L2577" s="6">
        <f>IFERROR(IF(INDEX(tProdutos[Desconto homologado],MATCH(tItens[[#This Row],[Produto]],tProdutos[Produto],0))="",DescontoPadrao,INDEX(tProdutos[Desconto homologado],MATCH(tItens[[#This Row],[Produto]],tProdutos[Produto],0))),DescontoPadrao)</f>
        <v>0.217826086956522</v>
      </c>
      <c r="M2577" s="12">
        <f>tItens[[#This Row],[Valor]]*(1-tItens[[#This Row],[Desconto]])</f>
        <v>0</v>
      </c>
      <c r="N2577" t="str">
        <f>IFERROR(INDEX(tProdutos[Foco],MATCH(tItens[[#This Row],[Produto]],tProdutos[Produto],0)),"Não")</f>
        <v>Não</v>
      </c>
      <c r="O2577" t="str">
        <f>IFERROR(INDEX(tEditais[SRP],MATCH(tItens[[#This Row],[Edital]],tEditais[Edital],0)),"Não")</f>
        <v>Sim</v>
      </c>
      <c r="P2577" s="4">
        <f>IF(COUNTIFS(INDEX(tItens[Edital],1):tItens[[#This Row],[Edital]],tItens[[#This Row],[Edital]],INDEX(tItens[Produto],1):tItens[[#This Row],[Produto]],tItens[[#This Row],[Produto]])=1,1,0)</f>
        <v>0</v>
      </c>
    </row>
    <row r="2578" spans="1:16" x14ac:dyDescent="0.25">
      <c r="A2578" t="s">
        <v>1272</v>
      </c>
      <c r="B2578">
        <v>205</v>
      </c>
      <c r="C2578" t="s">
        <v>5594</v>
      </c>
      <c r="D2578" t="s">
        <v>269</v>
      </c>
      <c r="E2578" s="13">
        <v>300</v>
      </c>
      <c r="F2578" s="12">
        <v>0</v>
      </c>
      <c r="G2578" t="str">
        <f>IFERROR(INDEX(tEditais[Órgão],MATCH(tItens[[#This Row],[Edital]],tEditais[Edital],0)),"")</f>
        <v>MUNICIPIO DE IGARAPE DO MEIO</v>
      </c>
      <c r="H2578" t="str">
        <f>IFERROR(INDEX(tEditais[UF],MATCH(tItens[[#This Row],[Edital]],tEditais[Edital],0)),"")</f>
        <v>MA</v>
      </c>
      <c r="I2578" s="11">
        <f>IFERROR(INDEX(tEditais[Encerramento],MATCH(tItens[[#This Row],[Edital]],tEditais[Edital],0)),"")</f>
        <v>46311.375</v>
      </c>
      <c r="J2578" t="str">
        <f>IFERROR(INDEX(tProdutos[Classe],MATCH(tItens[[#This Row],[Produto]],tProdutos[Produto],0)),"produto não cadastrado")</f>
        <v>FORA</v>
      </c>
      <c r="K2578" s="12">
        <f>tItens[[#This Row],[Qtd]]*tItens[[#This Row],[Vlr unit]]</f>
        <v>0</v>
      </c>
      <c r="L2578" s="6">
        <f>IFERROR(IF(INDEX(tProdutos[Desconto homologado],MATCH(tItens[[#This Row],[Produto]],tProdutos[Produto],0))="",DescontoPadrao,INDEX(tProdutos[Desconto homologado],MATCH(tItens[[#This Row],[Produto]],tProdutos[Produto],0))),DescontoPadrao)</f>
        <v>0.28935117103332197</v>
      </c>
      <c r="M2578" s="12">
        <f>tItens[[#This Row],[Valor]]*(1-tItens[[#This Row],[Desconto]])</f>
        <v>0</v>
      </c>
      <c r="N2578" t="str">
        <f>IFERROR(INDEX(tProdutos[Foco],MATCH(tItens[[#This Row],[Produto]],tProdutos[Produto],0)),"Não")</f>
        <v>Não</v>
      </c>
      <c r="O2578" t="str">
        <f>IFERROR(INDEX(tEditais[SRP],MATCH(tItens[[#This Row],[Edital]],tEditais[Edital],0)),"Não")</f>
        <v>Sim</v>
      </c>
      <c r="P2578" s="4">
        <f>IF(COUNTIFS(INDEX(tItens[Edital],1):tItens[[#This Row],[Edital]],tItens[[#This Row],[Edital]],INDEX(tItens[Produto],1):tItens[[#This Row],[Produto]],tItens[[#This Row],[Produto]])=1,1,0)</f>
        <v>1</v>
      </c>
    </row>
    <row r="2579" spans="1:16" x14ac:dyDescent="0.25">
      <c r="A2579" t="s">
        <v>1272</v>
      </c>
      <c r="B2579">
        <v>217</v>
      </c>
      <c r="C2579" t="s">
        <v>5576</v>
      </c>
      <c r="D2579" t="s">
        <v>90</v>
      </c>
      <c r="E2579" s="13">
        <v>1000</v>
      </c>
      <c r="F2579" s="12">
        <v>0</v>
      </c>
      <c r="G2579" t="str">
        <f>IFERROR(INDEX(tEditais[Órgão],MATCH(tItens[[#This Row],[Edital]],tEditais[Edital],0)),"")</f>
        <v>MUNICIPIO DE IGARAPE DO MEIO</v>
      </c>
      <c r="H2579" t="str">
        <f>IFERROR(INDEX(tEditais[UF],MATCH(tItens[[#This Row],[Edital]],tEditais[Edital],0)),"")</f>
        <v>MA</v>
      </c>
      <c r="I2579" s="11">
        <f>IFERROR(INDEX(tEditais[Encerramento],MATCH(tItens[[#This Row],[Edital]],tEditais[Edital],0)),"")</f>
        <v>46311.375</v>
      </c>
      <c r="J2579" t="str">
        <f>IFERROR(INDEX(tProdutos[Classe],MATCH(tItens[[#This Row],[Produto]],tProdutos[Produto],0)),"produto não cadastrado")</f>
        <v>DISPUTADO</v>
      </c>
      <c r="K2579" s="12">
        <f>tItens[[#This Row],[Qtd]]*tItens[[#This Row],[Vlr unit]]</f>
        <v>0</v>
      </c>
      <c r="L2579" s="6">
        <f>IFERROR(IF(INDEX(tProdutos[Desconto homologado],MATCH(tItens[[#This Row],[Produto]],tProdutos[Produto],0))="",DescontoPadrao,INDEX(tProdutos[Desconto homologado],MATCH(tItens[[#This Row],[Produto]],tProdutos[Produto],0))),DescontoPadrao)</f>
        <v>0.25393823957010597</v>
      </c>
      <c r="M2579" s="12">
        <f>tItens[[#This Row],[Valor]]*(1-tItens[[#This Row],[Desconto]])</f>
        <v>0</v>
      </c>
      <c r="N2579" t="str">
        <f>IFERROR(INDEX(tProdutos[Foco],MATCH(tItens[[#This Row],[Produto]],tProdutos[Produto],0)),"Não")</f>
        <v>Não</v>
      </c>
      <c r="O2579" t="str">
        <f>IFERROR(INDEX(tEditais[SRP],MATCH(tItens[[#This Row],[Edital]],tEditais[Edital],0)),"Não")</f>
        <v>Sim</v>
      </c>
      <c r="P2579" s="4">
        <f>IF(COUNTIFS(INDEX(tItens[Edital],1):tItens[[#This Row],[Edital]],tItens[[#This Row],[Edital]],INDEX(tItens[Produto],1):tItens[[#This Row],[Produto]],tItens[[#This Row],[Produto]])=1,1,0)</f>
        <v>0</v>
      </c>
    </row>
    <row r="2580" spans="1:16" x14ac:dyDescent="0.25">
      <c r="A2580" t="s">
        <v>1272</v>
      </c>
      <c r="B2580">
        <v>221</v>
      </c>
      <c r="C2580" t="s">
        <v>5578</v>
      </c>
      <c r="D2580" t="s">
        <v>467</v>
      </c>
      <c r="E2580" s="13">
        <v>20</v>
      </c>
      <c r="F2580" s="12">
        <v>0</v>
      </c>
      <c r="G2580" t="str">
        <f>IFERROR(INDEX(tEditais[Órgão],MATCH(tItens[[#This Row],[Edital]],tEditais[Edital],0)),"")</f>
        <v>MUNICIPIO DE IGARAPE DO MEIO</v>
      </c>
      <c r="H2580" t="str">
        <f>IFERROR(INDEX(tEditais[UF],MATCH(tItens[[#This Row],[Edital]],tEditais[Edital],0)),"")</f>
        <v>MA</v>
      </c>
      <c r="I2580" s="11">
        <f>IFERROR(INDEX(tEditais[Encerramento],MATCH(tItens[[#This Row],[Edital]],tEditais[Edital],0)),"")</f>
        <v>46311.375</v>
      </c>
      <c r="J2580" t="str">
        <f>IFERROR(INDEX(tProdutos[Classe],MATCH(tItens[[#This Row],[Produto]],tProdutos[Produto],0)),"produto não cadastrado")</f>
        <v>FILA REBASE</v>
      </c>
      <c r="K2580" s="12">
        <f>tItens[[#This Row],[Qtd]]*tItens[[#This Row],[Vlr unit]]</f>
        <v>0</v>
      </c>
      <c r="L2580" s="6">
        <f>IFERROR(IF(INDEX(tProdutos[Desconto homologado],MATCH(tItens[[#This Row],[Produto]],tProdutos[Produto],0))="",DescontoPadrao,INDEX(tProdutos[Desconto homologado],MATCH(tItens[[#This Row],[Produto]],tProdutos[Produto],0))),DescontoPadrao)</f>
        <v>0.25007144898542499</v>
      </c>
      <c r="M2580" s="12">
        <f>tItens[[#This Row],[Valor]]*(1-tItens[[#This Row],[Desconto]])</f>
        <v>0</v>
      </c>
      <c r="N2580" t="str">
        <f>IFERROR(INDEX(tProdutos[Foco],MATCH(tItens[[#This Row],[Produto]],tProdutos[Produto],0)),"Não")</f>
        <v>Não</v>
      </c>
      <c r="O2580" t="str">
        <f>IFERROR(INDEX(tEditais[SRP],MATCH(tItens[[#This Row],[Edital]],tEditais[Edital],0)),"Não")</f>
        <v>Sim</v>
      </c>
      <c r="P2580" s="4">
        <f>IF(COUNTIFS(INDEX(tItens[Edital],1):tItens[[#This Row],[Edital]],tItens[[#This Row],[Edital]],INDEX(tItens[Produto],1):tItens[[#This Row],[Produto]],tItens[[#This Row],[Produto]])=1,1,0)</f>
        <v>0</v>
      </c>
    </row>
    <row r="2581" spans="1:16" x14ac:dyDescent="0.25">
      <c r="A2581" t="s">
        <v>1272</v>
      </c>
      <c r="B2581">
        <v>230</v>
      </c>
      <c r="C2581" t="s">
        <v>5595</v>
      </c>
      <c r="D2581" t="s">
        <v>56</v>
      </c>
      <c r="E2581" s="13">
        <v>100</v>
      </c>
      <c r="F2581" s="12">
        <v>0</v>
      </c>
      <c r="G2581" t="str">
        <f>IFERROR(INDEX(tEditais[Órgão],MATCH(tItens[[#This Row],[Edital]],tEditais[Edital],0)),"")</f>
        <v>MUNICIPIO DE IGARAPE DO MEIO</v>
      </c>
      <c r="H2581" t="str">
        <f>IFERROR(INDEX(tEditais[UF],MATCH(tItens[[#This Row],[Edital]],tEditais[Edital],0)),"")</f>
        <v>MA</v>
      </c>
      <c r="I2581" s="11">
        <f>IFERROR(INDEX(tEditais[Encerramento],MATCH(tItens[[#This Row],[Edital]],tEditais[Edital],0)),"")</f>
        <v>46311.375</v>
      </c>
      <c r="J2581" t="str">
        <f>IFERROR(INDEX(tProdutos[Classe],MATCH(tItens[[#This Row],[Produto]],tProdutos[Produto],0)),"produto não cadastrado")</f>
        <v>NÚCLEO</v>
      </c>
      <c r="K2581" s="12">
        <f>tItens[[#This Row],[Qtd]]*tItens[[#This Row],[Vlr unit]]</f>
        <v>0</v>
      </c>
      <c r="L2581" s="6">
        <f>IFERROR(IF(INDEX(tProdutos[Desconto homologado],MATCH(tItens[[#This Row],[Produto]],tProdutos[Produto],0))="",DescontoPadrao,INDEX(tProdutos[Desconto homologado],MATCH(tItens[[#This Row],[Produto]],tProdutos[Produto],0))),DescontoPadrao)</f>
        <v>0.34</v>
      </c>
      <c r="M2581" s="12">
        <f>tItens[[#This Row],[Valor]]*(1-tItens[[#This Row],[Desconto]])</f>
        <v>0</v>
      </c>
      <c r="N2581" t="str">
        <f>IFERROR(INDEX(tProdutos[Foco],MATCH(tItens[[#This Row],[Produto]],tProdutos[Produto],0)),"Não")</f>
        <v>Sim</v>
      </c>
      <c r="O2581" t="str">
        <f>IFERROR(INDEX(tEditais[SRP],MATCH(tItens[[#This Row],[Edital]],tEditais[Edital],0)),"Não")</f>
        <v>Sim</v>
      </c>
      <c r="P2581" s="4">
        <f>IF(COUNTIFS(INDEX(tItens[Edital],1):tItens[[#This Row],[Edital]],tItens[[#This Row],[Edital]],INDEX(tItens[Produto],1):tItens[[#This Row],[Produto]],tItens[[#This Row],[Produto]])=1,1,0)</f>
        <v>0</v>
      </c>
    </row>
    <row r="2582" spans="1:16" x14ac:dyDescent="0.25">
      <c r="A2582" t="s">
        <v>1272</v>
      </c>
      <c r="B2582">
        <v>239</v>
      </c>
      <c r="C2582" t="s">
        <v>5582</v>
      </c>
      <c r="D2582" t="s">
        <v>293</v>
      </c>
      <c r="E2582" s="13">
        <v>50</v>
      </c>
      <c r="F2582" s="12">
        <v>0</v>
      </c>
      <c r="G2582" t="str">
        <f>IFERROR(INDEX(tEditais[Órgão],MATCH(tItens[[#This Row],[Edital]],tEditais[Edital],0)),"")</f>
        <v>MUNICIPIO DE IGARAPE DO MEIO</v>
      </c>
      <c r="H2582" t="str">
        <f>IFERROR(INDEX(tEditais[UF],MATCH(tItens[[#This Row],[Edital]],tEditais[Edital],0)),"")</f>
        <v>MA</v>
      </c>
      <c r="I2582" s="11">
        <f>IFERROR(INDEX(tEditais[Encerramento],MATCH(tItens[[#This Row],[Edital]],tEditais[Edital],0)),"")</f>
        <v>46311.375</v>
      </c>
      <c r="J2582" t="str">
        <f>IFERROR(INDEX(tProdutos[Classe],MATCH(tItens[[#This Row],[Produto]],tProdutos[Produto],0)),"produto não cadastrado")</f>
        <v>FORA</v>
      </c>
      <c r="K2582" s="12">
        <f>tItens[[#This Row],[Qtd]]*tItens[[#This Row],[Vlr unit]]</f>
        <v>0</v>
      </c>
      <c r="L2582" s="6">
        <f>IFERROR(IF(INDEX(tProdutos[Desconto homologado],MATCH(tItens[[#This Row],[Produto]],tProdutos[Produto],0))="",DescontoPadrao,INDEX(tProdutos[Desconto homologado],MATCH(tItens[[#This Row],[Produto]],tProdutos[Produto],0))),DescontoPadrao)</f>
        <v>0.45236440369319098</v>
      </c>
      <c r="M2582" s="12">
        <f>tItens[[#This Row],[Valor]]*(1-tItens[[#This Row],[Desconto]])</f>
        <v>0</v>
      </c>
      <c r="N2582" t="str">
        <f>IFERROR(INDEX(tProdutos[Foco],MATCH(tItens[[#This Row],[Produto]],tProdutos[Produto],0)),"Não")</f>
        <v>Não</v>
      </c>
      <c r="O2582" t="str">
        <f>IFERROR(INDEX(tEditais[SRP],MATCH(tItens[[#This Row],[Edital]],tEditais[Edital],0)),"Não")</f>
        <v>Sim</v>
      </c>
      <c r="P2582" s="4">
        <f>IF(COUNTIFS(INDEX(tItens[Edital],1):tItens[[#This Row],[Edital]],tItens[[#This Row],[Edital]],INDEX(tItens[Produto],1):tItens[[#This Row],[Produto]],tItens[[#This Row],[Produto]])=1,1,0)</f>
        <v>0</v>
      </c>
    </row>
    <row r="2583" spans="1:16" x14ac:dyDescent="0.25">
      <c r="A2583" t="s">
        <v>1272</v>
      </c>
      <c r="B2583">
        <v>240</v>
      </c>
      <c r="C2583" t="s">
        <v>5583</v>
      </c>
      <c r="D2583" t="s">
        <v>223</v>
      </c>
      <c r="E2583" s="13">
        <v>50</v>
      </c>
      <c r="F2583" s="12">
        <v>0</v>
      </c>
      <c r="G2583" t="str">
        <f>IFERROR(INDEX(tEditais[Órgão],MATCH(tItens[[#This Row],[Edital]],tEditais[Edital],0)),"")</f>
        <v>MUNICIPIO DE IGARAPE DO MEIO</v>
      </c>
      <c r="H2583" t="str">
        <f>IFERROR(INDEX(tEditais[UF],MATCH(tItens[[#This Row],[Edital]],tEditais[Edital],0)),"")</f>
        <v>MA</v>
      </c>
      <c r="I2583" s="11">
        <f>IFERROR(INDEX(tEditais[Encerramento],MATCH(tItens[[#This Row],[Edital]],tEditais[Edital],0)),"")</f>
        <v>46311.375</v>
      </c>
      <c r="J2583" t="str">
        <f>IFERROR(INDEX(tProdutos[Classe],MATCH(tItens[[#This Row],[Produto]],tProdutos[Produto],0)),"produto não cadastrado")</f>
        <v>FORA</v>
      </c>
      <c r="K2583" s="12">
        <f>tItens[[#This Row],[Qtd]]*tItens[[#This Row],[Vlr unit]]</f>
        <v>0</v>
      </c>
      <c r="L2583" s="6">
        <f>IFERROR(IF(INDEX(tProdutos[Desconto homologado],MATCH(tItens[[#This Row],[Produto]],tProdutos[Produto],0))="",DescontoPadrao,INDEX(tProdutos[Desconto homologado],MATCH(tItens[[#This Row],[Produto]],tProdutos[Produto],0))),DescontoPadrao)</f>
        <v>0.36263736263736301</v>
      </c>
      <c r="M2583" s="12">
        <f>tItens[[#This Row],[Valor]]*(1-tItens[[#This Row],[Desconto]])</f>
        <v>0</v>
      </c>
      <c r="N2583" t="str">
        <f>IFERROR(INDEX(tProdutos[Foco],MATCH(tItens[[#This Row],[Produto]],tProdutos[Produto],0)),"Não")</f>
        <v>Não</v>
      </c>
      <c r="O2583" t="str">
        <f>IFERROR(INDEX(tEditais[SRP],MATCH(tItens[[#This Row],[Edital]],tEditais[Edital],0)),"Não")</f>
        <v>Sim</v>
      </c>
      <c r="P2583" s="4">
        <f>IF(COUNTIFS(INDEX(tItens[Edital],1):tItens[[#This Row],[Edital]],tItens[[#This Row],[Edital]],INDEX(tItens[Produto],1):tItens[[#This Row],[Produto]],tItens[[#This Row],[Produto]])=1,1,0)</f>
        <v>0</v>
      </c>
    </row>
    <row r="2584" spans="1:16" x14ac:dyDescent="0.25">
      <c r="A2584" t="s">
        <v>1272</v>
      </c>
      <c r="B2584">
        <v>246</v>
      </c>
      <c r="C2584" t="s">
        <v>5584</v>
      </c>
      <c r="D2584" t="s">
        <v>267</v>
      </c>
      <c r="E2584" s="13">
        <v>200</v>
      </c>
      <c r="F2584" s="12">
        <v>0</v>
      </c>
      <c r="G2584" t="str">
        <f>IFERROR(INDEX(tEditais[Órgão],MATCH(tItens[[#This Row],[Edital]],tEditais[Edital],0)),"")</f>
        <v>MUNICIPIO DE IGARAPE DO MEIO</v>
      </c>
      <c r="H2584" t="str">
        <f>IFERROR(INDEX(tEditais[UF],MATCH(tItens[[#This Row],[Edital]],tEditais[Edital],0)),"")</f>
        <v>MA</v>
      </c>
      <c r="I2584" s="11">
        <f>IFERROR(INDEX(tEditais[Encerramento],MATCH(tItens[[#This Row],[Edital]],tEditais[Edital],0)),"")</f>
        <v>46311.375</v>
      </c>
      <c r="J2584" t="str">
        <f>IFERROR(INDEX(tProdutos[Classe],MATCH(tItens[[#This Row],[Produto]],tProdutos[Produto],0)),"produto não cadastrado")</f>
        <v>FORA</v>
      </c>
      <c r="K2584" s="12">
        <f>tItens[[#This Row],[Qtd]]*tItens[[#This Row],[Vlr unit]]</f>
        <v>0</v>
      </c>
      <c r="L2584" s="6">
        <f>IFERROR(IF(INDEX(tProdutos[Desconto homologado],MATCH(tItens[[#This Row],[Produto]],tProdutos[Produto],0))="",DescontoPadrao,INDEX(tProdutos[Desconto homologado],MATCH(tItens[[#This Row],[Produto]],tProdutos[Produto],0))),DescontoPadrao)</f>
        <v>0.19963672657401599</v>
      </c>
      <c r="M2584" s="12">
        <f>tItens[[#This Row],[Valor]]*(1-tItens[[#This Row],[Desconto]])</f>
        <v>0</v>
      </c>
      <c r="N2584" t="str">
        <f>IFERROR(INDEX(tProdutos[Foco],MATCH(tItens[[#This Row],[Produto]],tProdutos[Produto],0)),"Não")</f>
        <v>Não</v>
      </c>
      <c r="O2584" t="str">
        <f>IFERROR(INDEX(tEditais[SRP],MATCH(tItens[[#This Row],[Edital]],tEditais[Edital],0)),"Não")</f>
        <v>Sim</v>
      </c>
      <c r="P2584" s="4">
        <f>IF(COUNTIFS(INDEX(tItens[Edital],1):tItens[[#This Row],[Edital]],tItens[[#This Row],[Edital]],INDEX(tItens[Produto],1):tItens[[#This Row],[Produto]],tItens[[#This Row],[Produto]])=1,1,0)</f>
        <v>0</v>
      </c>
    </row>
    <row r="2585" spans="1:16" x14ac:dyDescent="0.25">
      <c r="A2585" t="s">
        <v>1272</v>
      </c>
      <c r="B2585">
        <v>249</v>
      </c>
      <c r="C2585" t="s">
        <v>5596</v>
      </c>
      <c r="D2585" t="s">
        <v>327</v>
      </c>
      <c r="E2585" s="13">
        <v>300</v>
      </c>
      <c r="F2585" s="12">
        <v>0</v>
      </c>
      <c r="G2585" t="str">
        <f>IFERROR(INDEX(tEditais[Órgão],MATCH(tItens[[#This Row],[Edital]],tEditais[Edital],0)),"")</f>
        <v>MUNICIPIO DE IGARAPE DO MEIO</v>
      </c>
      <c r="H2585" t="str">
        <f>IFERROR(INDEX(tEditais[UF],MATCH(tItens[[#This Row],[Edital]],tEditais[Edital],0)),"")</f>
        <v>MA</v>
      </c>
      <c r="I2585" s="11">
        <f>IFERROR(INDEX(tEditais[Encerramento],MATCH(tItens[[#This Row],[Edital]],tEditais[Edital],0)),"")</f>
        <v>46311.375</v>
      </c>
      <c r="J2585" t="str">
        <f>IFERROR(INDEX(tProdutos[Classe],MATCH(tItens[[#This Row],[Produto]],tProdutos[Produto],0)),"produto não cadastrado")</f>
        <v>FORA</v>
      </c>
      <c r="K2585" s="12">
        <f>tItens[[#This Row],[Qtd]]*tItens[[#This Row],[Vlr unit]]</f>
        <v>0</v>
      </c>
      <c r="L2585" s="6">
        <f>IFERROR(IF(INDEX(tProdutos[Desconto homologado],MATCH(tItens[[#This Row],[Produto]],tProdutos[Produto],0))="",DescontoPadrao,INDEX(tProdutos[Desconto homologado],MATCH(tItens[[#This Row],[Produto]],tProdutos[Produto],0))),DescontoPadrao)</f>
        <v>0.49969483918783197</v>
      </c>
      <c r="M2585" s="12">
        <f>tItens[[#This Row],[Valor]]*(1-tItens[[#This Row],[Desconto]])</f>
        <v>0</v>
      </c>
      <c r="N2585" t="str">
        <f>IFERROR(INDEX(tProdutos[Foco],MATCH(tItens[[#This Row],[Produto]],tProdutos[Produto],0)),"Não")</f>
        <v>Não</v>
      </c>
      <c r="O2585" t="str">
        <f>IFERROR(INDEX(tEditais[SRP],MATCH(tItens[[#This Row],[Edital]],tEditais[Edital],0)),"Não")</f>
        <v>Sim</v>
      </c>
      <c r="P2585" s="4">
        <f>IF(COUNTIFS(INDEX(tItens[Edital],1):tItens[[#This Row],[Edital]],tItens[[#This Row],[Edital]],INDEX(tItens[Produto],1):tItens[[#This Row],[Produto]],tItens[[#This Row],[Produto]])=1,1,0)</f>
        <v>1</v>
      </c>
    </row>
    <row r="2586" spans="1:16" x14ac:dyDescent="0.25">
      <c r="A2586" t="s">
        <v>1272</v>
      </c>
      <c r="B2586">
        <v>250</v>
      </c>
      <c r="C2586" t="s">
        <v>5585</v>
      </c>
      <c r="D2586" t="s">
        <v>281</v>
      </c>
      <c r="E2586" s="13">
        <v>200</v>
      </c>
      <c r="F2586" s="12">
        <v>0</v>
      </c>
      <c r="G2586" t="str">
        <f>IFERROR(INDEX(tEditais[Órgão],MATCH(tItens[[#This Row],[Edital]],tEditais[Edital],0)),"")</f>
        <v>MUNICIPIO DE IGARAPE DO MEIO</v>
      </c>
      <c r="H2586" t="str">
        <f>IFERROR(INDEX(tEditais[UF],MATCH(tItens[[#This Row],[Edital]],tEditais[Edital],0)),"")</f>
        <v>MA</v>
      </c>
      <c r="I2586" s="11">
        <f>IFERROR(INDEX(tEditais[Encerramento],MATCH(tItens[[#This Row],[Edital]],tEditais[Edital],0)),"")</f>
        <v>46311.375</v>
      </c>
      <c r="J2586" t="str">
        <f>IFERROR(INDEX(tProdutos[Classe],MATCH(tItens[[#This Row],[Produto]],tProdutos[Produto],0)),"produto não cadastrado")</f>
        <v>DISPUTADO</v>
      </c>
      <c r="K2586" s="12">
        <f>tItens[[#This Row],[Qtd]]*tItens[[#This Row],[Vlr unit]]</f>
        <v>0</v>
      </c>
      <c r="L2586" s="6">
        <f>IFERROR(IF(INDEX(tProdutos[Desconto homologado],MATCH(tItens[[#This Row],[Produto]],tProdutos[Produto],0))="",DescontoPadrao,INDEX(tProdutos[Desconto homologado],MATCH(tItens[[#This Row],[Produto]],tProdutos[Produto],0))),DescontoPadrao)</f>
        <v>0.42461538461538501</v>
      </c>
      <c r="M2586" s="12">
        <f>tItens[[#This Row],[Valor]]*(1-tItens[[#This Row],[Desconto]])</f>
        <v>0</v>
      </c>
      <c r="N2586" t="str">
        <f>IFERROR(INDEX(tProdutos[Foco],MATCH(tItens[[#This Row],[Produto]],tProdutos[Produto],0)),"Não")</f>
        <v>Não</v>
      </c>
      <c r="O2586" t="str">
        <f>IFERROR(INDEX(tEditais[SRP],MATCH(tItens[[#This Row],[Edital]],tEditais[Edital],0)),"Não")</f>
        <v>Sim</v>
      </c>
      <c r="P2586" s="4">
        <f>IF(COUNTIFS(INDEX(tItens[Edital],1):tItens[[#This Row],[Edital]],tItens[[#This Row],[Edital]],INDEX(tItens[Produto],1):tItens[[#This Row],[Produto]],tItens[[#This Row],[Produto]])=1,1,0)</f>
        <v>0</v>
      </c>
    </row>
    <row r="2587" spans="1:16" x14ac:dyDescent="0.25">
      <c r="A2587" t="s">
        <v>1272</v>
      </c>
      <c r="B2587">
        <v>251</v>
      </c>
      <c r="C2587" t="s">
        <v>5586</v>
      </c>
      <c r="D2587" t="s">
        <v>275</v>
      </c>
      <c r="E2587" s="13">
        <v>100</v>
      </c>
      <c r="F2587" s="12">
        <v>0</v>
      </c>
      <c r="G2587" t="str">
        <f>IFERROR(INDEX(tEditais[Órgão],MATCH(tItens[[#This Row],[Edital]],tEditais[Edital],0)),"")</f>
        <v>MUNICIPIO DE IGARAPE DO MEIO</v>
      </c>
      <c r="H2587" t="str">
        <f>IFERROR(INDEX(tEditais[UF],MATCH(tItens[[#This Row],[Edital]],tEditais[Edital],0)),"")</f>
        <v>MA</v>
      </c>
      <c r="I2587" s="11">
        <f>IFERROR(INDEX(tEditais[Encerramento],MATCH(tItens[[#This Row],[Edital]],tEditais[Edital],0)),"")</f>
        <v>46311.375</v>
      </c>
      <c r="J2587" t="str">
        <f>IFERROR(INDEX(tProdutos[Classe],MATCH(tItens[[#This Row],[Produto]],tProdutos[Produto],0)),"produto não cadastrado")</f>
        <v>FORA</v>
      </c>
      <c r="K2587" s="12">
        <f>tItens[[#This Row],[Qtd]]*tItens[[#This Row],[Vlr unit]]</f>
        <v>0</v>
      </c>
      <c r="L2587" s="6">
        <f>IFERROR(IF(INDEX(tProdutos[Desconto homologado],MATCH(tItens[[#This Row],[Produto]],tProdutos[Produto],0))="",DescontoPadrao,INDEX(tProdutos[Desconto homologado],MATCH(tItens[[#This Row],[Produto]],tProdutos[Produto],0))),DescontoPadrao)</f>
        <v>0.405797101449275</v>
      </c>
      <c r="M2587" s="12">
        <f>tItens[[#This Row],[Valor]]*(1-tItens[[#This Row],[Desconto]])</f>
        <v>0</v>
      </c>
      <c r="N2587" t="str">
        <f>IFERROR(INDEX(tProdutos[Foco],MATCH(tItens[[#This Row],[Produto]],tProdutos[Produto],0)),"Não")</f>
        <v>Não</v>
      </c>
      <c r="O2587" t="str">
        <f>IFERROR(INDEX(tEditais[SRP],MATCH(tItens[[#This Row],[Edital]],tEditais[Edital],0)),"Não")</f>
        <v>Sim</v>
      </c>
      <c r="P2587" s="4">
        <f>IF(COUNTIFS(INDEX(tItens[Edital],1):tItens[[#This Row],[Edital]],tItens[[#This Row],[Edital]],INDEX(tItens[Produto],1):tItens[[#This Row],[Produto]],tItens[[#This Row],[Produto]])=1,1,0)</f>
        <v>0</v>
      </c>
    </row>
    <row r="2588" spans="1:16" x14ac:dyDescent="0.25">
      <c r="A2588" t="s">
        <v>1272</v>
      </c>
      <c r="B2588">
        <v>252</v>
      </c>
      <c r="C2588" t="s">
        <v>5587</v>
      </c>
      <c r="D2588" t="s">
        <v>289</v>
      </c>
      <c r="E2588" s="13">
        <v>200</v>
      </c>
      <c r="F2588" s="12">
        <v>0</v>
      </c>
      <c r="G2588" t="str">
        <f>IFERROR(INDEX(tEditais[Órgão],MATCH(tItens[[#This Row],[Edital]],tEditais[Edital],0)),"")</f>
        <v>MUNICIPIO DE IGARAPE DO MEIO</v>
      </c>
      <c r="H2588" t="str">
        <f>IFERROR(INDEX(tEditais[UF],MATCH(tItens[[#This Row],[Edital]],tEditais[Edital],0)),"")</f>
        <v>MA</v>
      </c>
      <c r="I2588" s="11">
        <f>IFERROR(INDEX(tEditais[Encerramento],MATCH(tItens[[#This Row],[Edital]],tEditais[Edital],0)),"")</f>
        <v>46311.375</v>
      </c>
      <c r="J2588" t="str">
        <f>IFERROR(INDEX(tProdutos[Classe],MATCH(tItens[[#This Row],[Produto]],tProdutos[Produto],0)),"produto não cadastrado")</f>
        <v>DISPUTADO</v>
      </c>
      <c r="K2588" s="12">
        <f>tItens[[#This Row],[Qtd]]*tItens[[#This Row],[Vlr unit]]</f>
        <v>0</v>
      </c>
      <c r="L2588" s="6">
        <f>IFERROR(IF(INDEX(tProdutos[Desconto homologado],MATCH(tItens[[#This Row],[Produto]],tProdutos[Produto],0))="",DescontoPadrao,INDEX(tProdutos[Desconto homologado],MATCH(tItens[[#This Row],[Produto]],tProdutos[Produto],0))),DescontoPadrao)</f>
        <v>0.35849056603773599</v>
      </c>
      <c r="M2588" s="12">
        <f>tItens[[#This Row],[Valor]]*(1-tItens[[#This Row],[Desconto]])</f>
        <v>0</v>
      </c>
      <c r="N2588" t="str">
        <f>IFERROR(INDEX(tProdutos[Foco],MATCH(tItens[[#This Row],[Produto]],tProdutos[Produto],0)),"Não")</f>
        <v>Não</v>
      </c>
      <c r="O2588" t="str">
        <f>IFERROR(INDEX(tEditais[SRP],MATCH(tItens[[#This Row],[Edital]],tEditais[Edital],0)),"Não")</f>
        <v>Sim</v>
      </c>
      <c r="P2588" s="4">
        <f>IF(COUNTIFS(INDEX(tItens[Edital],1):tItens[[#This Row],[Edital]],tItens[[#This Row],[Edital]],INDEX(tItens[Produto],1):tItens[[#This Row],[Produto]],tItens[[#This Row],[Produto]])=1,1,0)</f>
        <v>0</v>
      </c>
    </row>
    <row r="2589" spans="1:16" x14ac:dyDescent="0.25">
      <c r="A2589" t="s">
        <v>1272</v>
      </c>
      <c r="B2589">
        <v>253</v>
      </c>
      <c r="C2589" t="s">
        <v>5588</v>
      </c>
      <c r="D2589" t="s">
        <v>283</v>
      </c>
      <c r="E2589" s="13">
        <v>150</v>
      </c>
      <c r="F2589" s="12">
        <v>0</v>
      </c>
      <c r="G2589" t="str">
        <f>IFERROR(INDEX(tEditais[Órgão],MATCH(tItens[[#This Row],[Edital]],tEditais[Edital],0)),"")</f>
        <v>MUNICIPIO DE IGARAPE DO MEIO</v>
      </c>
      <c r="H2589" t="str">
        <f>IFERROR(INDEX(tEditais[UF],MATCH(tItens[[#This Row],[Edital]],tEditais[Edital],0)),"")</f>
        <v>MA</v>
      </c>
      <c r="I2589" s="11">
        <f>IFERROR(INDEX(tEditais[Encerramento],MATCH(tItens[[#This Row],[Edital]],tEditais[Edital],0)),"")</f>
        <v>46311.375</v>
      </c>
      <c r="J2589" t="str">
        <f>IFERROR(INDEX(tProdutos[Classe],MATCH(tItens[[#This Row],[Produto]],tProdutos[Produto],0)),"produto não cadastrado")</f>
        <v>FORA</v>
      </c>
      <c r="K2589" s="12">
        <f>tItens[[#This Row],[Qtd]]*tItens[[#This Row],[Vlr unit]]</f>
        <v>0</v>
      </c>
      <c r="L2589" s="6">
        <f>IFERROR(IF(INDEX(tProdutos[Desconto homologado],MATCH(tItens[[#This Row],[Produto]],tProdutos[Produto],0))="",DescontoPadrao,INDEX(tProdutos[Desconto homologado],MATCH(tItens[[#This Row],[Produto]],tProdutos[Produto],0))),DescontoPadrao)</f>
        <v>0.40540540540540498</v>
      </c>
      <c r="M2589" s="12">
        <f>tItens[[#This Row],[Valor]]*(1-tItens[[#This Row],[Desconto]])</f>
        <v>0</v>
      </c>
      <c r="N2589" t="str">
        <f>IFERROR(INDEX(tProdutos[Foco],MATCH(tItens[[#This Row],[Produto]],tProdutos[Produto],0)),"Não")</f>
        <v>Não</v>
      </c>
      <c r="O2589" t="str">
        <f>IFERROR(INDEX(tEditais[SRP],MATCH(tItens[[#This Row],[Edital]],tEditais[Edital],0)),"Não")</f>
        <v>Sim</v>
      </c>
      <c r="P2589" s="4">
        <f>IF(COUNTIFS(INDEX(tItens[Edital],1):tItens[[#This Row],[Edital]],tItens[[#This Row],[Edital]],INDEX(tItens[Produto],1):tItens[[#This Row],[Produto]],tItens[[#This Row],[Produto]])=1,1,0)</f>
        <v>0</v>
      </c>
    </row>
    <row r="2590" spans="1:16" x14ac:dyDescent="0.25">
      <c r="A2590" t="s">
        <v>1272</v>
      </c>
      <c r="B2590">
        <v>254</v>
      </c>
      <c r="C2590" t="s">
        <v>5589</v>
      </c>
      <c r="D2590" t="s">
        <v>265</v>
      </c>
      <c r="E2590" s="13">
        <v>300</v>
      </c>
      <c r="F2590" s="12">
        <v>0</v>
      </c>
      <c r="G2590" t="str">
        <f>IFERROR(INDEX(tEditais[Órgão],MATCH(tItens[[#This Row],[Edital]],tEditais[Edital],0)),"")</f>
        <v>MUNICIPIO DE IGARAPE DO MEIO</v>
      </c>
      <c r="H2590" t="str">
        <f>IFERROR(INDEX(tEditais[UF],MATCH(tItens[[#This Row],[Edital]],tEditais[Edital],0)),"")</f>
        <v>MA</v>
      </c>
      <c r="I2590" s="11">
        <f>IFERROR(INDEX(tEditais[Encerramento],MATCH(tItens[[#This Row],[Edital]],tEditais[Edital],0)),"")</f>
        <v>46311.375</v>
      </c>
      <c r="J2590" t="str">
        <f>IFERROR(INDEX(tProdutos[Classe],MATCH(tItens[[#This Row],[Produto]],tProdutos[Produto],0)),"produto não cadastrado")</f>
        <v>DISPUTADO</v>
      </c>
      <c r="K2590" s="12">
        <f>tItens[[#This Row],[Qtd]]*tItens[[#This Row],[Vlr unit]]</f>
        <v>0</v>
      </c>
      <c r="L2590" s="6">
        <f>IFERROR(IF(INDEX(tProdutos[Desconto homologado],MATCH(tItens[[#This Row],[Produto]],tProdutos[Produto],0))="",DescontoPadrao,INDEX(tProdutos[Desconto homologado],MATCH(tItens[[#This Row],[Produto]],tProdutos[Produto],0))),DescontoPadrao)</f>
        <v>0.377587663709337</v>
      </c>
      <c r="M2590" s="12">
        <f>tItens[[#This Row],[Valor]]*(1-tItens[[#This Row],[Desconto]])</f>
        <v>0</v>
      </c>
      <c r="N2590" t="str">
        <f>IFERROR(INDEX(tProdutos[Foco],MATCH(tItens[[#This Row],[Produto]],tProdutos[Produto],0)),"Não")</f>
        <v>Não</v>
      </c>
      <c r="O2590" t="str">
        <f>IFERROR(INDEX(tEditais[SRP],MATCH(tItens[[#This Row],[Edital]],tEditais[Edital],0)),"Não")</f>
        <v>Sim</v>
      </c>
      <c r="P2590" s="4">
        <f>IF(COUNTIFS(INDEX(tItens[Edital],1):tItens[[#This Row],[Edital]],tItens[[#This Row],[Edital]],INDEX(tItens[Produto],1):tItens[[#This Row],[Produto]],tItens[[#This Row],[Produto]])=1,1,0)</f>
        <v>0</v>
      </c>
    </row>
    <row r="2591" spans="1:16" x14ac:dyDescent="0.25">
      <c r="A2591" t="s">
        <v>1272</v>
      </c>
      <c r="B2591">
        <v>260</v>
      </c>
      <c r="C2591" t="s">
        <v>5597</v>
      </c>
      <c r="D2591" t="s">
        <v>110</v>
      </c>
      <c r="E2591" s="13">
        <v>40</v>
      </c>
      <c r="F2591" s="12">
        <v>0</v>
      </c>
      <c r="G2591" t="str">
        <f>IFERROR(INDEX(tEditais[Órgão],MATCH(tItens[[#This Row],[Edital]],tEditais[Edital],0)),"")</f>
        <v>MUNICIPIO DE IGARAPE DO MEIO</v>
      </c>
      <c r="H2591" t="str">
        <f>IFERROR(INDEX(tEditais[UF],MATCH(tItens[[#This Row],[Edital]],tEditais[Edital],0)),"")</f>
        <v>MA</v>
      </c>
      <c r="I2591" s="11">
        <f>IFERROR(INDEX(tEditais[Encerramento],MATCH(tItens[[#This Row],[Edital]],tEditais[Edital],0)),"")</f>
        <v>46311.375</v>
      </c>
      <c r="J2591" t="str">
        <f>IFERROR(INDEX(tProdutos[Classe],MATCH(tItens[[#This Row],[Produto]],tProdutos[Produto],0)),"produto não cadastrado")</f>
        <v>NÚCLEO</v>
      </c>
      <c r="K2591" s="12">
        <f>tItens[[#This Row],[Qtd]]*tItens[[#This Row],[Vlr unit]]</f>
        <v>0</v>
      </c>
      <c r="L2591" s="6">
        <f>IFERROR(IF(INDEX(tProdutos[Desconto homologado],MATCH(tItens[[#This Row],[Produto]],tProdutos[Produto],0))="",DescontoPadrao,INDEX(tProdutos[Desconto homologado],MATCH(tItens[[#This Row],[Produto]],tProdutos[Produto],0))),DescontoPadrao)</f>
        <v>0.30410958904109597</v>
      </c>
      <c r="M2591" s="12">
        <f>tItens[[#This Row],[Valor]]*(1-tItens[[#This Row],[Desconto]])</f>
        <v>0</v>
      </c>
      <c r="N2591" t="str">
        <f>IFERROR(INDEX(tProdutos[Foco],MATCH(tItens[[#This Row],[Produto]],tProdutos[Produto],0)),"Não")</f>
        <v>Não</v>
      </c>
      <c r="O2591" t="str">
        <f>IFERROR(INDEX(tEditais[SRP],MATCH(tItens[[#This Row],[Edital]],tEditais[Edital],0)),"Não")</f>
        <v>Sim</v>
      </c>
      <c r="P2591" s="4">
        <f>IF(COUNTIFS(INDEX(tItens[Edital],1):tItens[[#This Row],[Edital]],tItens[[#This Row],[Edital]],INDEX(tItens[Produto],1):tItens[[#This Row],[Produto]],tItens[[#This Row],[Produto]])=1,1,0)</f>
        <v>1</v>
      </c>
    </row>
    <row r="2592" spans="1:16" x14ac:dyDescent="0.25">
      <c r="A2592" t="s">
        <v>1272</v>
      </c>
      <c r="B2592">
        <v>261</v>
      </c>
      <c r="C2592" t="s">
        <v>5598</v>
      </c>
      <c r="D2592" t="s">
        <v>110</v>
      </c>
      <c r="E2592" s="13">
        <v>40</v>
      </c>
      <c r="F2592" s="12">
        <v>0</v>
      </c>
      <c r="G2592" t="str">
        <f>IFERROR(INDEX(tEditais[Órgão],MATCH(tItens[[#This Row],[Edital]],tEditais[Edital],0)),"")</f>
        <v>MUNICIPIO DE IGARAPE DO MEIO</v>
      </c>
      <c r="H2592" t="str">
        <f>IFERROR(INDEX(tEditais[UF],MATCH(tItens[[#This Row],[Edital]],tEditais[Edital],0)),"")</f>
        <v>MA</v>
      </c>
      <c r="I2592" s="11">
        <f>IFERROR(INDEX(tEditais[Encerramento],MATCH(tItens[[#This Row],[Edital]],tEditais[Edital],0)),"")</f>
        <v>46311.375</v>
      </c>
      <c r="J2592" t="str">
        <f>IFERROR(INDEX(tProdutos[Classe],MATCH(tItens[[#This Row],[Produto]],tProdutos[Produto],0)),"produto não cadastrado")</f>
        <v>NÚCLEO</v>
      </c>
      <c r="K2592" s="12">
        <f>tItens[[#This Row],[Qtd]]*tItens[[#This Row],[Vlr unit]]</f>
        <v>0</v>
      </c>
      <c r="L2592" s="6">
        <f>IFERROR(IF(INDEX(tProdutos[Desconto homologado],MATCH(tItens[[#This Row],[Produto]],tProdutos[Produto],0))="",DescontoPadrao,INDEX(tProdutos[Desconto homologado],MATCH(tItens[[#This Row],[Produto]],tProdutos[Produto],0))),DescontoPadrao)</f>
        <v>0.30410958904109597</v>
      </c>
      <c r="M2592" s="12">
        <f>tItens[[#This Row],[Valor]]*(1-tItens[[#This Row],[Desconto]])</f>
        <v>0</v>
      </c>
      <c r="N2592" t="str">
        <f>IFERROR(INDEX(tProdutos[Foco],MATCH(tItens[[#This Row],[Produto]],tProdutos[Produto],0)),"Não")</f>
        <v>Não</v>
      </c>
      <c r="O2592" t="str">
        <f>IFERROR(INDEX(tEditais[SRP],MATCH(tItens[[#This Row],[Edital]],tEditais[Edital],0)),"Não")</f>
        <v>Sim</v>
      </c>
      <c r="P2592" s="4">
        <f>IF(COUNTIFS(INDEX(tItens[Edital],1):tItens[[#This Row],[Edital]],tItens[[#This Row],[Edital]],INDEX(tItens[Produto],1):tItens[[#This Row],[Produto]],tItens[[#This Row],[Produto]])=1,1,0)</f>
        <v>0</v>
      </c>
    </row>
    <row r="2593" spans="1:16" x14ac:dyDescent="0.25">
      <c r="A2593" t="s">
        <v>1272</v>
      </c>
      <c r="B2593">
        <v>262</v>
      </c>
      <c r="C2593" t="s">
        <v>5599</v>
      </c>
      <c r="D2593" t="s">
        <v>110</v>
      </c>
      <c r="E2593" s="13">
        <v>50</v>
      </c>
      <c r="F2593" s="12">
        <v>0</v>
      </c>
      <c r="G2593" t="str">
        <f>IFERROR(INDEX(tEditais[Órgão],MATCH(tItens[[#This Row],[Edital]],tEditais[Edital],0)),"")</f>
        <v>MUNICIPIO DE IGARAPE DO MEIO</v>
      </c>
      <c r="H2593" t="str">
        <f>IFERROR(INDEX(tEditais[UF],MATCH(tItens[[#This Row],[Edital]],tEditais[Edital],0)),"")</f>
        <v>MA</v>
      </c>
      <c r="I2593" s="11">
        <f>IFERROR(INDEX(tEditais[Encerramento],MATCH(tItens[[#This Row],[Edital]],tEditais[Edital],0)),"")</f>
        <v>46311.375</v>
      </c>
      <c r="J2593" t="str">
        <f>IFERROR(INDEX(tProdutos[Classe],MATCH(tItens[[#This Row],[Produto]],tProdutos[Produto],0)),"produto não cadastrado")</f>
        <v>NÚCLEO</v>
      </c>
      <c r="K2593" s="12">
        <f>tItens[[#This Row],[Qtd]]*tItens[[#This Row],[Vlr unit]]</f>
        <v>0</v>
      </c>
      <c r="L2593" s="6">
        <f>IFERROR(IF(INDEX(tProdutos[Desconto homologado],MATCH(tItens[[#This Row],[Produto]],tProdutos[Produto],0))="",DescontoPadrao,INDEX(tProdutos[Desconto homologado],MATCH(tItens[[#This Row],[Produto]],tProdutos[Produto],0))),DescontoPadrao)</f>
        <v>0.30410958904109597</v>
      </c>
      <c r="M2593" s="12">
        <f>tItens[[#This Row],[Valor]]*(1-tItens[[#This Row],[Desconto]])</f>
        <v>0</v>
      </c>
      <c r="N2593" t="str">
        <f>IFERROR(INDEX(tProdutos[Foco],MATCH(tItens[[#This Row],[Produto]],tProdutos[Produto],0)),"Não")</f>
        <v>Não</v>
      </c>
      <c r="O2593" t="str">
        <f>IFERROR(INDEX(tEditais[SRP],MATCH(tItens[[#This Row],[Edital]],tEditais[Edital],0)),"Não")</f>
        <v>Sim</v>
      </c>
      <c r="P2593" s="4">
        <f>IF(COUNTIFS(INDEX(tItens[Edital],1):tItens[[#This Row],[Edital]],tItens[[#This Row],[Edital]],INDEX(tItens[Produto],1):tItens[[#This Row],[Produto]],tItens[[#This Row],[Produto]])=1,1,0)</f>
        <v>0</v>
      </c>
    </row>
    <row r="2594" spans="1:16" x14ac:dyDescent="0.25">
      <c r="A2594" t="s">
        <v>1272</v>
      </c>
      <c r="B2594">
        <v>263</v>
      </c>
      <c r="C2594" t="s">
        <v>5600</v>
      </c>
      <c r="D2594" t="s">
        <v>110</v>
      </c>
      <c r="E2594" s="13">
        <v>50</v>
      </c>
      <c r="F2594" s="12">
        <v>0</v>
      </c>
      <c r="G2594" t="str">
        <f>IFERROR(INDEX(tEditais[Órgão],MATCH(tItens[[#This Row],[Edital]],tEditais[Edital],0)),"")</f>
        <v>MUNICIPIO DE IGARAPE DO MEIO</v>
      </c>
      <c r="H2594" t="str">
        <f>IFERROR(INDEX(tEditais[UF],MATCH(tItens[[#This Row],[Edital]],tEditais[Edital],0)),"")</f>
        <v>MA</v>
      </c>
      <c r="I2594" s="11">
        <f>IFERROR(INDEX(tEditais[Encerramento],MATCH(tItens[[#This Row],[Edital]],tEditais[Edital],0)),"")</f>
        <v>46311.375</v>
      </c>
      <c r="J2594" t="str">
        <f>IFERROR(INDEX(tProdutos[Classe],MATCH(tItens[[#This Row],[Produto]],tProdutos[Produto],0)),"produto não cadastrado")</f>
        <v>NÚCLEO</v>
      </c>
      <c r="K2594" s="12">
        <f>tItens[[#This Row],[Qtd]]*tItens[[#This Row],[Vlr unit]]</f>
        <v>0</v>
      </c>
      <c r="L2594" s="6">
        <f>IFERROR(IF(INDEX(tProdutos[Desconto homologado],MATCH(tItens[[#This Row],[Produto]],tProdutos[Produto],0))="",DescontoPadrao,INDEX(tProdutos[Desconto homologado],MATCH(tItens[[#This Row],[Produto]],tProdutos[Produto],0))),DescontoPadrao)</f>
        <v>0.30410958904109597</v>
      </c>
      <c r="M2594" s="12">
        <f>tItens[[#This Row],[Valor]]*(1-tItens[[#This Row],[Desconto]])</f>
        <v>0</v>
      </c>
      <c r="N2594" t="str">
        <f>IFERROR(INDEX(tProdutos[Foco],MATCH(tItens[[#This Row],[Produto]],tProdutos[Produto],0)),"Não")</f>
        <v>Não</v>
      </c>
      <c r="O2594" t="str">
        <f>IFERROR(INDEX(tEditais[SRP],MATCH(tItens[[#This Row],[Edital]],tEditais[Edital],0)),"Não")</f>
        <v>Sim</v>
      </c>
      <c r="P2594" s="4">
        <f>IF(COUNTIFS(INDEX(tItens[Edital],1):tItens[[#This Row],[Edital]],tItens[[#This Row],[Edital]],INDEX(tItens[Produto],1):tItens[[#This Row],[Produto]],tItens[[#This Row],[Produto]])=1,1,0)</f>
        <v>0</v>
      </c>
    </row>
    <row r="2595" spans="1:16" x14ac:dyDescent="0.25">
      <c r="A2595" t="s">
        <v>1272</v>
      </c>
      <c r="B2595">
        <v>264</v>
      </c>
      <c r="C2595" t="s">
        <v>5601</v>
      </c>
      <c r="D2595" t="s">
        <v>120</v>
      </c>
      <c r="E2595" s="13">
        <v>20</v>
      </c>
      <c r="F2595" s="12">
        <v>0</v>
      </c>
      <c r="G2595" t="str">
        <f>IFERROR(INDEX(tEditais[Órgão],MATCH(tItens[[#This Row],[Edital]],tEditais[Edital],0)),"")</f>
        <v>MUNICIPIO DE IGARAPE DO MEIO</v>
      </c>
      <c r="H2595" t="str">
        <f>IFERROR(INDEX(tEditais[UF],MATCH(tItens[[#This Row],[Edital]],tEditais[Edital],0)),"")</f>
        <v>MA</v>
      </c>
      <c r="I2595" s="11">
        <f>IFERROR(INDEX(tEditais[Encerramento],MATCH(tItens[[#This Row],[Edital]],tEditais[Edital],0)),"")</f>
        <v>46311.375</v>
      </c>
      <c r="J2595" t="str">
        <f>IFERROR(INDEX(tProdutos[Classe],MATCH(tItens[[#This Row],[Produto]],tProdutos[Produto],0)),"produto não cadastrado")</f>
        <v>DISPUTADO</v>
      </c>
      <c r="K2595" s="12">
        <f>tItens[[#This Row],[Qtd]]*tItens[[#This Row],[Vlr unit]]</f>
        <v>0</v>
      </c>
      <c r="L2595" s="6">
        <f>IFERROR(IF(INDEX(tProdutos[Desconto homologado],MATCH(tItens[[#This Row],[Produto]],tProdutos[Produto],0))="",DescontoPadrao,INDEX(tProdutos[Desconto homologado],MATCH(tItens[[#This Row],[Produto]],tProdutos[Produto],0))),DescontoPadrao)</f>
        <v>0.40909090909090901</v>
      </c>
      <c r="M2595" s="12">
        <f>tItens[[#This Row],[Valor]]*(1-tItens[[#This Row],[Desconto]])</f>
        <v>0</v>
      </c>
      <c r="N2595" t="str">
        <f>IFERROR(INDEX(tProdutos[Foco],MATCH(tItens[[#This Row],[Produto]],tProdutos[Produto],0)),"Não")</f>
        <v>Não</v>
      </c>
      <c r="O2595" t="str">
        <f>IFERROR(INDEX(tEditais[SRP],MATCH(tItens[[#This Row],[Edital]],tEditais[Edital],0)),"Não")</f>
        <v>Sim</v>
      </c>
      <c r="P2595" s="4">
        <f>IF(COUNTIFS(INDEX(tItens[Edital],1):tItens[[#This Row],[Edital]],tItens[[#This Row],[Edital]],INDEX(tItens[Produto],1):tItens[[#This Row],[Produto]],tItens[[#This Row],[Produto]])=1,1,0)</f>
        <v>1</v>
      </c>
    </row>
    <row r="2596" spans="1:16" x14ac:dyDescent="0.25">
      <c r="A2596" t="s">
        <v>1272</v>
      </c>
      <c r="B2596">
        <v>265</v>
      </c>
      <c r="C2596" t="s">
        <v>5602</v>
      </c>
      <c r="D2596" t="s">
        <v>120</v>
      </c>
      <c r="E2596" s="13">
        <v>20</v>
      </c>
      <c r="F2596" s="12">
        <v>0</v>
      </c>
      <c r="G2596" t="str">
        <f>IFERROR(INDEX(tEditais[Órgão],MATCH(tItens[[#This Row],[Edital]],tEditais[Edital],0)),"")</f>
        <v>MUNICIPIO DE IGARAPE DO MEIO</v>
      </c>
      <c r="H2596" t="str">
        <f>IFERROR(INDEX(tEditais[UF],MATCH(tItens[[#This Row],[Edital]],tEditais[Edital],0)),"")</f>
        <v>MA</v>
      </c>
      <c r="I2596" s="11">
        <f>IFERROR(INDEX(tEditais[Encerramento],MATCH(tItens[[#This Row],[Edital]],tEditais[Edital],0)),"")</f>
        <v>46311.375</v>
      </c>
      <c r="J2596" t="str">
        <f>IFERROR(INDEX(tProdutos[Classe],MATCH(tItens[[#This Row],[Produto]],tProdutos[Produto],0)),"produto não cadastrado")</f>
        <v>DISPUTADO</v>
      </c>
      <c r="K2596" s="12">
        <f>tItens[[#This Row],[Qtd]]*tItens[[#This Row],[Vlr unit]]</f>
        <v>0</v>
      </c>
      <c r="L2596" s="6">
        <f>IFERROR(IF(INDEX(tProdutos[Desconto homologado],MATCH(tItens[[#This Row],[Produto]],tProdutos[Produto],0))="",DescontoPadrao,INDEX(tProdutos[Desconto homologado],MATCH(tItens[[#This Row],[Produto]],tProdutos[Produto],0))),DescontoPadrao)</f>
        <v>0.40909090909090901</v>
      </c>
      <c r="M2596" s="12">
        <f>tItens[[#This Row],[Valor]]*(1-tItens[[#This Row],[Desconto]])</f>
        <v>0</v>
      </c>
      <c r="N2596" t="str">
        <f>IFERROR(INDEX(tProdutos[Foco],MATCH(tItens[[#This Row],[Produto]],tProdutos[Produto],0)),"Não")</f>
        <v>Não</v>
      </c>
      <c r="O2596" t="str">
        <f>IFERROR(INDEX(tEditais[SRP],MATCH(tItens[[#This Row],[Edital]],tEditais[Edital],0)),"Não")</f>
        <v>Sim</v>
      </c>
      <c r="P2596" s="4">
        <f>IF(COUNTIFS(INDEX(tItens[Edital],1):tItens[[#This Row],[Edital]],tItens[[#This Row],[Edital]],INDEX(tItens[Produto],1):tItens[[#This Row],[Produto]],tItens[[#This Row],[Produto]])=1,1,0)</f>
        <v>0</v>
      </c>
    </row>
    <row r="2597" spans="1:16" x14ac:dyDescent="0.25">
      <c r="A2597" t="s">
        <v>1272</v>
      </c>
      <c r="B2597">
        <v>266</v>
      </c>
      <c r="C2597" t="s">
        <v>5603</v>
      </c>
      <c r="D2597" t="s">
        <v>120</v>
      </c>
      <c r="E2597" s="13">
        <v>20</v>
      </c>
      <c r="F2597" s="12">
        <v>0</v>
      </c>
      <c r="G2597" t="str">
        <f>IFERROR(INDEX(tEditais[Órgão],MATCH(tItens[[#This Row],[Edital]],tEditais[Edital],0)),"")</f>
        <v>MUNICIPIO DE IGARAPE DO MEIO</v>
      </c>
      <c r="H2597" t="str">
        <f>IFERROR(INDEX(tEditais[UF],MATCH(tItens[[#This Row],[Edital]],tEditais[Edital],0)),"")</f>
        <v>MA</v>
      </c>
      <c r="I2597" s="11">
        <f>IFERROR(INDEX(tEditais[Encerramento],MATCH(tItens[[#This Row],[Edital]],tEditais[Edital],0)),"")</f>
        <v>46311.375</v>
      </c>
      <c r="J2597" t="str">
        <f>IFERROR(INDEX(tProdutos[Classe],MATCH(tItens[[#This Row],[Produto]],tProdutos[Produto],0)),"produto não cadastrado")</f>
        <v>DISPUTADO</v>
      </c>
      <c r="K2597" s="12">
        <f>tItens[[#This Row],[Qtd]]*tItens[[#This Row],[Vlr unit]]</f>
        <v>0</v>
      </c>
      <c r="L2597" s="6">
        <f>IFERROR(IF(INDEX(tProdutos[Desconto homologado],MATCH(tItens[[#This Row],[Produto]],tProdutos[Produto],0))="",DescontoPadrao,INDEX(tProdutos[Desconto homologado],MATCH(tItens[[#This Row],[Produto]],tProdutos[Produto],0))),DescontoPadrao)</f>
        <v>0.40909090909090901</v>
      </c>
      <c r="M2597" s="12">
        <f>tItens[[#This Row],[Valor]]*(1-tItens[[#This Row],[Desconto]])</f>
        <v>0</v>
      </c>
      <c r="N2597" t="str">
        <f>IFERROR(INDEX(tProdutos[Foco],MATCH(tItens[[#This Row],[Produto]],tProdutos[Produto],0)),"Não")</f>
        <v>Não</v>
      </c>
      <c r="O2597" t="str">
        <f>IFERROR(INDEX(tEditais[SRP],MATCH(tItens[[#This Row],[Edital]],tEditais[Edital],0)),"Não")</f>
        <v>Sim</v>
      </c>
      <c r="P2597" s="4">
        <f>IF(COUNTIFS(INDEX(tItens[Edital],1):tItens[[#This Row],[Edital]],tItens[[#This Row],[Edital]],INDEX(tItens[Produto],1):tItens[[#This Row],[Produto]],tItens[[#This Row],[Produto]])=1,1,0)</f>
        <v>0</v>
      </c>
    </row>
    <row r="2598" spans="1:16" x14ac:dyDescent="0.25">
      <c r="A2598" t="s">
        <v>1272</v>
      </c>
      <c r="B2598">
        <v>267</v>
      </c>
      <c r="C2598" t="s">
        <v>5604</v>
      </c>
      <c r="D2598" t="s">
        <v>120</v>
      </c>
      <c r="E2598" s="13">
        <v>20</v>
      </c>
      <c r="F2598" s="12">
        <v>0</v>
      </c>
      <c r="G2598" t="str">
        <f>IFERROR(INDEX(tEditais[Órgão],MATCH(tItens[[#This Row],[Edital]],tEditais[Edital],0)),"")</f>
        <v>MUNICIPIO DE IGARAPE DO MEIO</v>
      </c>
      <c r="H2598" t="str">
        <f>IFERROR(INDEX(tEditais[UF],MATCH(tItens[[#This Row],[Edital]],tEditais[Edital],0)),"")</f>
        <v>MA</v>
      </c>
      <c r="I2598" s="11">
        <f>IFERROR(INDEX(tEditais[Encerramento],MATCH(tItens[[#This Row],[Edital]],tEditais[Edital],0)),"")</f>
        <v>46311.375</v>
      </c>
      <c r="J2598" t="str">
        <f>IFERROR(INDEX(tProdutos[Classe],MATCH(tItens[[#This Row],[Produto]],tProdutos[Produto],0)),"produto não cadastrado")</f>
        <v>DISPUTADO</v>
      </c>
      <c r="K2598" s="12">
        <f>tItens[[#This Row],[Qtd]]*tItens[[#This Row],[Vlr unit]]</f>
        <v>0</v>
      </c>
      <c r="L2598" s="6">
        <f>IFERROR(IF(INDEX(tProdutos[Desconto homologado],MATCH(tItens[[#This Row],[Produto]],tProdutos[Produto],0))="",DescontoPadrao,INDEX(tProdutos[Desconto homologado],MATCH(tItens[[#This Row],[Produto]],tProdutos[Produto],0))),DescontoPadrao)</f>
        <v>0.40909090909090901</v>
      </c>
      <c r="M2598" s="12">
        <f>tItens[[#This Row],[Valor]]*(1-tItens[[#This Row],[Desconto]])</f>
        <v>0</v>
      </c>
      <c r="N2598" t="str">
        <f>IFERROR(INDEX(tProdutos[Foco],MATCH(tItens[[#This Row],[Produto]],tProdutos[Produto],0)),"Não")</f>
        <v>Não</v>
      </c>
      <c r="O2598" t="str">
        <f>IFERROR(INDEX(tEditais[SRP],MATCH(tItens[[#This Row],[Edital]],tEditais[Edital],0)),"Não")</f>
        <v>Sim</v>
      </c>
      <c r="P2598" s="4">
        <f>IF(COUNTIFS(INDEX(tItens[Edital],1):tItens[[#This Row],[Edital]],tItens[[#This Row],[Edital]],INDEX(tItens[Produto],1):tItens[[#This Row],[Produto]],tItens[[#This Row],[Produto]])=1,1,0)</f>
        <v>0</v>
      </c>
    </row>
    <row r="2599" spans="1:16" x14ac:dyDescent="0.25">
      <c r="A2599" t="s">
        <v>1272</v>
      </c>
      <c r="B2599">
        <v>268</v>
      </c>
      <c r="C2599" t="s">
        <v>5605</v>
      </c>
      <c r="D2599" t="s">
        <v>120</v>
      </c>
      <c r="E2599" s="13">
        <v>20</v>
      </c>
      <c r="F2599" s="12">
        <v>0</v>
      </c>
      <c r="G2599" t="str">
        <f>IFERROR(INDEX(tEditais[Órgão],MATCH(tItens[[#This Row],[Edital]],tEditais[Edital],0)),"")</f>
        <v>MUNICIPIO DE IGARAPE DO MEIO</v>
      </c>
      <c r="H2599" t="str">
        <f>IFERROR(INDEX(tEditais[UF],MATCH(tItens[[#This Row],[Edital]],tEditais[Edital],0)),"")</f>
        <v>MA</v>
      </c>
      <c r="I2599" s="11">
        <f>IFERROR(INDEX(tEditais[Encerramento],MATCH(tItens[[#This Row],[Edital]],tEditais[Edital],0)),"")</f>
        <v>46311.375</v>
      </c>
      <c r="J2599" t="str">
        <f>IFERROR(INDEX(tProdutos[Classe],MATCH(tItens[[#This Row],[Produto]],tProdutos[Produto],0)),"produto não cadastrado")</f>
        <v>DISPUTADO</v>
      </c>
      <c r="K2599" s="12">
        <f>tItens[[#This Row],[Qtd]]*tItens[[#This Row],[Vlr unit]]</f>
        <v>0</v>
      </c>
      <c r="L2599" s="6">
        <f>IFERROR(IF(INDEX(tProdutos[Desconto homologado],MATCH(tItens[[#This Row],[Produto]],tProdutos[Produto],0))="",DescontoPadrao,INDEX(tProdutos[Desconto homologado],MATCH(tItens[[#This Row],[Produto]],tProdutos[Produto],0))),DescontoPadrao)</f>
        <v>0.40909090909090901</v>
      </c>
      <c r="M2599" s="12">
        <f>tItens[[#This Row],[Valor]]*(1-tItens[[#This Row],[Desconto]])</f>
        <v>0</v>
      </c>
      <c r="N2599" t="str">
        <f>IFERROR(INDEX(tProdutos[Foco],MATCH(tItens[[#This Row],[Produto]],tProdutos[Produto],0)),"Não")</f>
        <v>Não</v>
      </c>
      <c r="O2599" t="str">
        <f>IFERROR(INDEX(tEditais[SRP],MATCH(tItens[[#This Row],[Edital]],tEditais[Edital],0)),"Não")</f>
        <v>Sim</v>
      </c>
      <c r="P2599" s="4">
        <f>IF(COUNTIFS(INDEX(tItens[Edital],1):tItens[[#This Row],[Edital]],tItens[[#This Row],[Edital]],INDEX(tItens[Produto],1):tItens[[#This Row],[Produto]],tItens[[#This Row],[Produto]])=1,1,0)</f>
        <v>0</v>
      </c>
    </row>
    <row r="2600" spans="1:16" x14ac:dyDescent="0.25">
      <c r="A2600" t="s">
        <v>1272</v>
      </c>
      <c r="B2600">
        <v>271</v>
      </c>
      <c r="C2600" t="s">
        <v>5590</v>
      </c>
      <c r="D2600" t="s">
        <v>114</v>
      </c>
      <c r="E2600" s="13">
        <v>200</v>
      </c>
      <c r="F2600" s="12">
        <v>0</v>
      </c>
      <c r="G2600" t="str">
        <f>IFERROR(INDEX(tEditais[Órgão],MATCH(tItens[[#This Row],[Edital]],tEditais[Edital],0)),"")</f>
        <v>MUNICIPIO DE IGARAPE DO MEIO</v>
      </c>
      <c r="H2600" t="str">
        <f>IFERROR(INDEX(tEditais[UF],MATCH(tItens[[#This Row],[Edital]],tEditais[Edital],0)),"")</f>
        <v>MA</v>
      </c>
      <c r="I2600" s="11">
        <f>IFERROR(INDEX(tEditais[Encerramento],MATCH(tItens[[#This Row],[Edital]],tEditais[Edital],0)),"")</f>
        <v>46311.375</v>
      </c>
      <c r="J2600" t="str">
        <f>IFERROR(INDEX(tProdutos[Classe],MATCH(tItens[[#This Row],[Produto]],tProdutos[Produto],0)),"produto não cadastrado")</f>
        <v>DISPUTADO</v>
      </c>
      <c r="K2600" s="12">
        <f>tItens[[#This Row],[Qtd]]*tItens[[#This Row],[Vlr unit]]</f>
        <v>0</v>
      </c>
      <c r="L2600" s="6">
        <f>IFERROR(IF(INDEX(tProdutos[Desconto homologado],MATCH(tItens[[#This Row],[Produto]],tProdutos[Produto],0))="",DescontoPadrao,INDEX(tProdutos[Desconto homologado],MATCH(tItens[[#This Row],[Produto]],tProdutos[Produto],0))),DescontoPadrao)</f>
        <v>0.24332656063896899</v>
      </c>
      <c r="M2600" s="12">
        <f>tItens[[#This Row],[Valor]]*(1-tItens[[#This Row],[Desconto]])</f>
        <v>0</v>
      </c>
      <c r="N2600" t="str">
        <f>IFERROR(INDEX(tProdutos[Foco],MATCH(tItens[[#This Row],[Produto]],tProdutos[Produto],0)),"Não")</f>
        <v>Não</v>
      </c>
      <c r="O2600" t="str">
        <f>IFERROR(INDEX(tEditais[SRP],MATCH(tItens[[#This Row],[Edital]],tEditais[Edital],0)),"Não")</f>
        <v>Sim</v>
      </c>
      <c r="P2600" s="4">
        <f>IF(COUNTIFS(INDEX(tItens[Edital],1):tItens[[#This Row],[Edital]],tItens[[#This Row],[Edital]],INDEX(tItens[Produto],1):tItens[[#This Row],[Produto]],tItens[[#This Row],[Produto]])=1,1,0)</f>
        <v>0</v>
      </c>
    </row>
    <row r="2601" spans="1:16" x14ac:dyDescent="0.25">
      <c r="A2601" t="s">
        <v>1277</v>
      </c>
      <c r="B2601">
        <v>8076869</v>
      </c>
      <c r="C2601" t="s">
        <v>5606</v>
      </c>
      <c r="D2601" t="s">
        <v>295</v>
      </c>
      <c r="E2601" s="13">
        <v>240</v>
      </c>
      <c r="F2601" s="12">
        <v>0</v>
      </c>
      <c r="G2601" t="str">
        <f>IFERROR(INDEX(tEditais[Órgão],MATCH(tItens[[#This Row],[Edital]],tEditais[Edital],0)),"")</f>
        <v>MUNICIPIO DE BURITICUPU</v>
      </c>
      <c r="H2601" t="str">
        <f>IFERROR(INDEX(tEditais[UF],MATCH(tItens[[#This Row],[Edital]],tEditais[Edital],0)),"")</f>
        <v>MA</v>
      </c>
      <c r="I2601" s="11">
        <f>IFERROR(INDEX(tEditais[Encerramento],MATCH(tItens[[#This Row],[Edital]],tEditais[Edital],0)),"")</f>
        <v>46314.354166666664</v>
      </c>
      <c r="J2601" t="str">
        <f>IFERROR(INDEX(tProdutos[Classe],MATCH(tItens[[#This Row],[Produto]],tProdutos[Produto],0)),"produto não cadastrado")</f>
        <v>FORA</v>
      </c>
      <c r="K2601" s="12">
        <f>tItens[[#This Row],[Qtd]]*tItens[[#This Row],[Vlr unit]]</f>
        <v>0</v>
      </c>
      <c r="L2601" s="6">
        <f>IFERROR(IF(INDEX(tProdutos[Desconto homologado],MATCH(tItens[[#This Row],[Produto]],tProdutos[Produto],0))="",DescontoPadrao,INDEX(tProdutos[Desconto homologado],MATCH(tItens[[#This Row],[Produto]],tProdutos[Produto],0))),DescontoPadrao)</f>
        <v>0.219311377245509</v>
      </c>
      <c r="M2601" s="12">
        <f>tItens[[#This Row],[Valor]]*(1-tItens[[#This Row],[Desconto]])</f>
        <v>0</v>
      </c>
      <c r="N2601" t="str">
        <f>IFERROR(INDEX(tProdutos[Foco],MATCH(tItens[[#This Row],[Produto]],tProdutos[Produto],0)),"Não")</f>
        <v>Não</v>
      </c>
      <c r="O2601" t="str">
        <f>IFERROR(INDEX(tEditais[SRP],MATCH(tItens[[#This Row],[Edital]],tEditais[Edital],0)),"Não")</f>
        <v>Sim</v>
      </c>
      <c r="P2601" s="4">
        <f>IF(COUNTIFS(INDEX(tItens[Edital],1):tItens[[#This Row],[Edital]],tItens[[#This Row],[Edital]],INDEX(tItens[Produto],1):tItens[[#This Row],[Produto]],tItens[[#This Row],[Produto]])=1,1,0)</f>
        <v>1</v>
      </c>
    </row>
    <row r="2602" spans="1:16" x14ac:dyDescent="0.25">
      <c r="A2602" t="s">
        <v>1277</v>
      </c>
      <c r="B2602">
        <v>8076874</v>
      </c>
      <c r="C2602" t="s">
        <v>5607</v>
      </c>
      <c r="D2602" t="s">
        <v>351</v>
      </c>
      <c r="E2602" s="13">
        <v>1000</v>
      </c>
      <c r="F2602" s="12">
        <v>0</v>
      </c>
      <c r="G2602" t="str">
        <f>IFERROR(INDEX(tEditais[Órgão],MATCH(tItens[[#This Row],[Edital]],tEditais[Edital],0)),"")</f>
        <v>MUNICIPIO DE BURITICUPU</v>
      </c>
      <c r="H2602" t="str">
        <f>IFERROR(INDEX(tEditais[UF],MATCH(tItens[[#This Row],[Edital]],tEditais[Edital],0)),"")</f>
        <v>MA</v>
      </c>
      <c r="I2602" s="11">
        <f>IFERROR(INDEX(tEditais[Encerramento],MATCH(tItens[[#This Row],[Edital]],tEditais[Edital],0)),"")</f>
        <v>46314.354166666664</v>
      </c>
      <c r="J2602" t="str">
        <f>IFERROR(INDEX(tProdutos[Classe],MATCH(tItens[[#This Row],[Produto]],tProdutos[Produto],0)),"produto não cadastrado")</f>
        <v>FORA</v>
      </c>
      <c r="K2602" s="12">
        <f>tItens[[#This Row],[Qtd]]*tItens[[#This Row],[Vlr unit]]</f>
        <v>0</v>
      </c>
      <c r="L2602" s="6">
        <f>IFERROR(IF(INDEX(tProdutos[Desconto homologado],MATCH(tItens[[#This Row],[Produto]],tProdutos[Produto],0))="",DescontoPadrao,INDEX(tProdutos[Desconto homologado],MATCH(tItens[[#This Row],[Produto]],tProdutos[Produto],0))),DescontoPadrao)</f>
        <v>0.33518005540166201</v>
      </c>
      <c r="M2602" s="12">
        <f>tItens[[#This Row],[Valor]]*(1-tItens[[#This Row],[Desconto]])</f>
        <v>0</v>
      </c>
      <c r="N2602" t="str">
        <f>IFERROR(INDEX(tProdutos[Foco],MATCH(tItens[[#This Row],[Produto]],tProdutos[Produto],0)),"Não")</f>
        <v>Não</v>
      </c>
      <c r="O2602" t="str">
        <f>IFERROR(INDEX(tEditais[SRP],MATCH(tItens[[#This Row],[Edital]],tEditais[Edital],0)),"Não")</f>
        <v>Sim</v>
      </c>
      <c r="P2602" s="4">
        <f>IF(COUNTIFS(INDEX(tItens[Edital],1):tItens[[#This Row],[Edital]],tItens[[#This Row],[Edital]],INDEX(tItens[Produto],1):tItens[[#This Row],[Produto]],tItens[[#This Row],[Produto]])=1,1,0)</f>
        <v>1</v>
      </c>
    </row>
    <row r="2603" spans="1:16" x14ac:dyDescent="0.25">
      <c r="A2603" t="s">
        <v>1277</v>
      </c>
      <c r="B2603">
        <v>8076875</v>
      </c>
      <c r="C2603" t="s">
        <v>5608</v>
      </c>
      <c r="D2603" t="s">
        <v>351</v>
      </c>
      <c r="E2603" s="13">
        <v>1000</v>
      </c>
      <c r="F2603" s="12">
        <v>0</v>
      </c>
      <c r="G2603" t="str">
        <f>IFERROR(INDEX(tEditais[Órgão],MATCH(tItens[[#This Row],[Edital]],tEditais[Edital],0)),"")</f>
        <v>MUNICIPIO DE BURITICUPU</v>
      </c>
      <c r="H2603" t="str">
        <f>IFERROR(INDEX(tEditais[UF],MATCH(tItens[[#This Row],[Edital]],tEditais[Edital],0)),"")</f>
        <v>MA</v>
      </c>
      <c r="I2603" s="11">
        <f>IFERROR(INDEX(tEditais[Encerramento],MATCH(tItens[[#This Row],[Edital]],tEditais[Edital],0)),"")</f>
        <v>46314.354166666664</v>
      </c>
      <c r="J2603" t="str">
        <f>IFERROR(INDEX(tProdutos[Classe],MATCH(tItens[[#This Row],[Produto]],tProdutos[Produto],0)),"produto não cadastrado")</f>
        <v>FORA</v>
      </c>
      <c r="K2603" s="12">
        <f>tItens[[#This Row],[Qtd]]*tItens[[#This Row],[Vlr unit]]</f>
        <v>0</v>
      </c>
      <c r="L2603" s="6">
        <f>IFERROR(IF(INDEX(tProdutos[Desconto homologado],MATCH(tItens[[#This Row],[Produto]],tProdutos[Produto],0))="",DescontoPadrao,INDEX(tProdutos[Desconto homologado],MATCH(tItens[[#This Row],[Produto]],tProdutos[Produto],0))),DescontoPadrao)</f>
        <v>0.33518005540166201</v>
      </c>
      <c r="M2603" s="12">
        <f>tItens[[#This Row],[Valor]]*(1-tItens[[#This Row],[Desconto]])</f>
        <v>0</v>
      </c>
      <c r="N2603" t="str">
        <f>IFERROR(INDEX(tProdutos[Foco],MATCH(tItens[[#This Row],[Produto]],tProdutos[Produto],0)),"Não")</f>
        <v>Não</v>
      </c>
      <c r="O2603" t="str">
        <f>IFERROR(INDEX(tEditais[SRP],MATCH(tItens[[#This Row],[Edital]],tEditais[Edital],0)),"Não")</f>
        <v>Sim</v>
      </c>
      <c r="P2603" s="4">
        <f>IF(COUNTIFS(INDEX(tItens[Edital],1):tItens[[#This Row],[Edital]],tItens[[#This Row],[Edital]],INDEX(tItens[Produto],1):tItens[[#This Row],[Produto]],tItens[[#This Row],[Produto]])=1,1,0)</f>
        <v>0</v>
      </c>
    </row>
    <row r="2604" spans="1:16" x14ac:dyDescent="0.25">
      <c r="A2604" t="s">
        <v>1277</v>
      </c>
      <c r="B2604">
        <v>8076876</v>
      </c>
      <c r="C2604" t="s">
        <v>5609</v>
      </c>
      <c r="D2604" t="s">
        <v>351</v>
      </c>
      <c r="E2604" s="13">
        <v>1000</v>
      </c>
      <c r="F2604" s="12">
        <v>0</v>
      </c>
      <c r="G2604" t="str">
        <f>IFERROR(INDEX(tEditais[Órgão],MATCH(tItens[[#This Row],[Edital]],tEditais[Edital],0)),"")</f>
        <v>MUNICIPIO DE BURITICUPU</v>
      </c>
      <c r="H2604" t="str">
        <f>IFERROR(INDEX(tEditais[UF],MATCH(tItens[[#This Row],[Edital]],tEditais[Edital],0)),"")</f>
        <v>MA</v>
      </c>
      <c r="I2604" s="11">
        <f>IFERROR(INDEX(tEditais[Encerramento],MATCH(tItens[[#This Row],[Edital]],tEditais[Edital],0)),"")</f>
        <v>46314.354166666664</v>
      </c>
      <c r="J2604" t="str">
        <f>IFERROR(INDEX(tProdutos[Classe],MATCH(tItens[[#This Row],[Produto]],tProdutos[Produto],0)),"produto não cadastrado")</f>
        <v>FORA</v>
      </c>
      <c r="K2604" s="12">
        <f>tItens[[#This Row],[Qtd]]*tItens[[#This Row],[Vlr unit]]</f>
        <v>0</v>
      </c>
      <c r="L2604" s="6">
        <f>IFERROR(IF(INDEX(tProdutos[Desconto homologado],MATCH(tItens[[#This Row],[Produto]],tProdutos[Produto],0))="",DescontoPadrao,INDEX(tProdutos[Desconto homologado],MATCH(tItens[[#This Row],[Produto]],tProdutos[Produto],0))),DescontoPadrao)</f>
        <v>0.33518005540166201</v>
      </c>
      <c r="M2604" s="12">
        <f>tItens[[#This Row],[Valor]]*(1-tItens[[#This Row],[Desconto]])</f>
        <v>0</v>
      </c>
      <c r="N2604" t="str">
        <f>IFERROR(INDEX(tProdutos[Foco],MATCH(tItens[[#This Row],[Produto]],tProdutos[Produto],0)),"Não")</f>
        <v>Não</v>
      </c>
      <c r="O2604" t="str">
        <f>IFERROR(INDEX(tEditais[SRP],MATCH(tItens[[#This Row],[Edital]],tEditais[Edital],0)),"Não")</f>
        <v>Sim</v>
      </c>
      <c r="P2604" s="4">
        <f>IF(COUNTIFS(INDEX(tItens[Edital],1):tItens[[#This Row],[Edital]],tItens[[#This Row],[Edital]],INDEX(tItens[Produto],1):tItens[[#This Row],[Produto]],tItens[[#This Row],[Produto]])=1,1,0)</f>
        <v>0</v>
      </c>
    </row>
    <row r="2605" spans="1:16" x14ac:dyDescent="0.25">
      <c r="A2605" t="s">
        <v>1277</v>
      </c>
      <c r="B2605">
        <v>8076877</v>
      </c>
      <c r="C2605" t="s">
        <v>5610</v>
      </c>
      <c r="D2605" t="s">
        <v>351</v>
      </c>
      <c r="E2605" s="13">
        <v>1000</v>
      </c>
      <c r="F2605" s="12">
        <v>0</v>
      </c>
      <c r="G2605" t="str">
        <f>IFERROR(INDEX(tEditais[Órgão],MATCH(tItens[[#This Row],[Edital]],tEditais[Edital],0)),"")</f>
        <v>MUNICIPIO DE BURITICUPU</v>
      </c>
      <c r="H2605" t="str">
        <f>IFERROR(INDEX(tEditais[UF],MATCH(tItens[[#This Row],[Edital]],tEditais[Edital],0)),"")</f>
        <v>MA</v>
      </c>
      <c r="I2605" s="11">
        <f>IFERROR(INDEX(tEditais[Encerramento],MATCH(tItens[[#This Row],[Edital]],tEditais[Edital],0)),"")</f>
        <v>46314.354166666664</v>
      </c>
      <c r="J2605" t="str">
        <f>IFERROR(INDEX(tProdutos[Classe],MATCH(tItens[[#This Row],[Produto]],tProdutos[Produto],0)),"produto não cadastrado")</f>
        <v>FORA</v>
      </c>
      <c r="K2605" s="12">
        <f>tItens[[#This Row],[Qtd]]*tItens[[#This Row],[Vlr unit]]</f>
        <v>0</v>
      </c>
      <c r="L2605" s="6">
        <f>IFERROR(IF(INDEX(tProdutos[Desconto homologado],MATCH(tItens[[#This Row],[Produto]],tProdutos[Produto],0))="",DescontoPadrao,INDEX(tProdutos[Desconto homologado],MATCH(tItens[[#This Row],[Produto]],tProdutos[Produto],0))),DescontoPadrao)</f>
        <v>0.33518005540166201</v>
      </c>
      <c r="M2605" s="12">
        <f>tItens[[#This Row],[Valor]]*(1-tItens[[#This Row],[Desconto]])</f>
        <v>0</v>
      </c>
      <c r="N2605" t="str">
        <f>IFERROR(INDEX(tProdutos[Foco],MATCH(tItens[[#This Row],[Produto]],tProdutos[Produto],0)),"Não")</f>
        <v>Não</v>
      </c>
      <c r="O2605" t="str">
        <f>IFERROR(INDEX(tEditais[SRP],MATCH(tItens[[#This Row],[Edital]],tEditais[Edital],0)),"Não")</f>
        <v>Sim</v>
      </c>
      <c r="P2605" s="4">
        <f>IF(COUNTIFS(INDEX(tItens[Edital],1):tItens[[#This Row],[Edital]],tItens[[#This Row],[Edital]],INDEX(tItens[Produto],1):tItens[[#This Row],[Produto]],tItens[[#This Row],[Produto]])=1,1,0)</f>
        <v>0</v>
      </c>
    </row>
    <row r="2606" spans="1:16" x14ac:dyDescent="0.25">
      <c r="A2606" t="s">
        <v>1277</v>
      </c>
      <c r="B2606">
        <v>8076889</v>
      </c>
      <c r="C2606" t="s">
        <v>5611</v>
      </c>
      <c r="D2606" t="s">
        <v>279</v>
      </c>
      <c r="E2606" s="13">
        <v>1200</v>
      </c>
      <c r="F2606" s="12">
        <v>0</v>
      </c>
      <c r="G2606" t="str">
        <f>IFERROR(INDEX(tEditais[Órgão],MATCH(tItens[[#This Row],[Edital]],tEditais[Edital],0)),"")</f>
        <v>MUNICIPIO DE BURITICUPU</v>
      </c>
      <c r="H2606" t="str">
        <f>IFERROR(INDEX(tEditais[UF],MATCH(tItens[[#This Row],[Edital]],tEditais[Edital],0)),"")</f>
        <v>MA</v>
      </c>
      <c r="I2606" s="11">
        <f>IFERROR(INDEX(tEditais[Encerramento],MATCH(tItens[[#This Row],[Edital]],tEditais[Edital],0)),"")</f>
        <v>46314.354166666664</v>
      </c>
      <c r="J2606" t="str">
        <f>IFERROR(INDEX(tProdutos[Classe],MATCH(tItens[[#This Row],[Produto]],tProdutos[Produto],0)),"produto não cadastrado")</f>
        <v>FORA</v>
      </c>
      <c r="K2606" s="12">
        <f>tItens[[#This Row],[Qtd]]*tItens[[#This Row],[Vlr unit]]</f>
        <v>0</v>
      </c>
      <c r="L2606" s="6">
        <f>IFERROR(IF(INDEX(tProdutos[Desconto homologado],MATCH(tItens[[#This Row],[Produto]],tProdutos[Produto],0))="",DescontoPadrao,INDEX(tProdutos[Desconto homologado],MATCH(tItens[[#This Row],[Produto]],tProdutos[Produto],0))),DescontoPadrao)</f>
        <v>0.28909090909090901</v>
      </c>
      <c r="M2606" s="12">
        <f>tItens[[#This Row],[Valor]]*(1-tItens[[#This Row],[Desconto]])</f>
        <v>0</v>
      </c>
      <c r="N2606" t="str">
        <f>IFERROR(INDEX(tProdutos[Foco],MATCH(tItens[[#This Row],[Produto]],tProdutos[Produto],0)),"Não")</f>
        <v>Não</v>
      </c>
      <c r="O2606" t="str">
        <f>IFERROR(INDEX(tEditais[SRP],MATCH(tItens[[#This Row],[Edital]],tEditais[Edital],0)),"Não")</f>
        <v>Sim</v>
      </c>
      <c r="P2606" s="4">
        <f>IF(COUNTIFS(INDEX(tItens[Edital],1):tItens[[#This Row],[Edital]],tItens[[#This Row],[Edital]],INDEX(tItens[Produto],1):tItens[[#This Row],[Produto]],tItens[[#This Row],[Produto]])=1,1,0)</f>
        <v>1</v>
      </c>
    </row>
    <row r="2607" spans="1:16" x14ac:dyDescent="0.25">
      <c r="A2607" t="s">
        <v>1277</v>
      </c>
      <c r="B2607">
        <v>8076890</v>
      </c>
      <c r="C2607" t="s">
        <v>5612</v>
      </c>
      <c r="D2607" t="s">
        <v>311</v>
      </c>
      <c r="E2607" s="13">
        <v>120</v>
      </c>
      <c r="F2607" s="12">
        <v>0</v>
      </c>
      <c r="G2607" t="str">
        <f>IFERROR(INDEX(tEditais[Órgão],MATCH(tItens[[#This Row],[Edital]],tEditais[Edital],0)),"")</f>
        <v>MUNICIPIO DE BURITICUPU</v>
      </c>
      <c r="H2607" t="str">
        <f>IFERROR(INDEX(tEditais[UF],MATCH(tItens[[#This Row],[Edital]],tEditais[Edital],0)),"")</f>
        <v>MA</v>
      </c>
      <c r="I2607" s="11">
        <f>IFERROR(INDEX(tEditais[Encerramento],MATCH(tItens[[#This Row],[Edital]],tEditais[Edital],0)),"")</f>
        <v>46314.354166666664</v>
      </c>
      <c r="J2607" t="str">
        <f>IFERROR(INDEX(tProdutos[Classe],MATCH(tItens[[#This Row],[Produto]],tProdutos[Produto],0)),"produto não cadastrado")</f>
        <v>FORA</v>
      </c>
      <c r="K2607" s="12">
        <f>tItens[[#This Row],[Qtd]]*tItens[[#This Row],[Vlr unit]]</f>
        <v>0</v>
      </c>
      <c r="L2607" s="6">
        <f>IFERROR(IF(INDEX(tProdutos[Desconto homologado],MATCH(tItens[[#This Row],[Produto]],tProdutos[Produto],0))="",DescontoPadrao,INDEX(tProdutos[Desconto homologado],MATCH(tItens[[#This Row],[Produto]],tProdutos[Produto],0))),DescontoPadrao)</f>
        <v>0.29046182846371399</v>
      </c>
      <c r="M2607" s="12">
        <f>tItens[[#This Row],[Valor]]*(1-tItens[[#This Row],[Desconto]])</f>
        <v>0</v>
      </c>
      <c r="N2607" t="str">
        <f>IFERROR(INDEX(tProdutos[Foco],MATCH(tItens[[#This Row],[Produto]],tProdutos[Produto],0)),"Não")</f>
        <v>Não</v>
      </c>
      <c r="O2607" t="str">
        <f>IFERROR(INDEX(tEditais[SRP],MATCH(tItens[[#This Row],[Edital]],tEditais[Edital],0)),"Não")</f>
        <v>Sim</v>
      </c>
      <c r="P2607" s="4">
        <f>IF(COUNTIFS(INDEX(tItens[Edital],1):tItens[[#This Row],[Edital]],tItens[[#This Row],[Edital]],INDEX(tItens[Produto],1):tItens[[#This Row],[Produto]],tItens[[#This Row],[Produto]])=1,1,0)</f>
        <v>1</v>
      </c>
    </row>
    <row r="2608" spans="1:16" x14ac:dyDescent="0.25">
      <c r="A2608" t="s">
        <v>1277</v>
      </c>
      <c r="B2608">
        <v>8076893</v>
      </c>
      <c r="C2608" t="s">
        <v>5613</v>
      </c>
      <c r="D2608" t="s">
        <v>333</v>
      </c>
      <c r="E2608" s="13">
        <v>360</v>
      </c>
      <c r="F2608" s="12">
        <v>0</v>
      </c>
      <c r="G2608" t="str">
        <f>IFERROR(INDEX(tEditais[Órgão],MATCH(tItens[[#This Row],[Edital]],tEditais[Edital],0)),"")</f>
        <v>MUNICIPIO DE BURITICUPU</v>
      </c>
      <c r="H2608" t="str">
        <f>IFERROR(INDEX(tEditais[UF],MATCH(tItens[[#This Row],[Edital]],tEditais[Edital],0)),"")</f>
        <v>MA</v>
      </c>
      <c r="I2608" s="11">
        <f>IFERROR(INDEX(tEditais[Encerramento],MATCH(tItens[[#This Row],[Edital]],tEditais[Edital],0)),"")</f>
        <v>46314.354166666664</v>
      </c>
      <c r="J2608" t="str">
        <f>IFERROR(INDEX(tProdutos[Classe],MATCH(tItens[[#This Row],[Produto]],tProdutos[Produto],0)),"produto não cadastrado")</f>
        <v>FORA</v>
      </c>
      <c r="K2608" s="12">
        <f>tItens[[#This Row],[Qtd]]*tItens[[#This Row],[Vlr unit]]</f>
        <v>0</v>
      </c>
      <c r="L2608" s="6">
        <f>IFERROR(IF(INDEX(tProdutos[Desconto homologado],MATCH(tItens[[#This Row],[Produto]],tProdutos[Produto],0))="",DescontoPadrao,INDEX(tProdutos[Desconto homologado],MATCH(tItens[[#This Row],[Produto]],tProdutos[Produto],0))),DescontoPadrao)</f>
        <v>0.48951048951048998</v>
      </c>
      <c r="M2608" s="12">
        <f>tItens[[#This Row],[Valor]]*(1-tItens[[#This Row],[Desconto]])</f>
        <v>0</v>
      </c>
      <c r="N2608" t="str">
        <f>IFERROR(INDEX(tProdutos[Foco],MATCH(tItens[[#This Row],[Produto]],tProdutos[Produto],0)),"Não")</f>
        <v>Não</v>
      </c>
      <c r="O2608" t="str">
        <f>IFERROR(INDEX(tEditais[SRP],MATCH(tItens[[#This Row],[Edital]],tEditais[Edital],0)),"Não")</f>
        <v>Sim</v>
      </c>
      <c r="P2608" s="4">
        <f>IF(COUNTIFS(INDEX(tItens[Edital],1):tItens[[#This Row],[Edital]],tItens[[#This Row],[Edital]],INDEX(tItens[Produto],1):tItens[[#This Row],[Produto]],tItens[[#This Row],[Produto]])=1,1,0)</f>
        <v>1</v>
      </c>
    </row>
    <row r="2609" spans="1:16" x14ac:dyDescent="0.25">
      <c r="A2609" t="s">
        <v>1277</v>
      </c>
      <c r="B2609">
        <v>8076894</v>
      </c>
      <c r="C2609" t="s">
        <v>5614</v>
      </c>
      <c r="D2609" t="s">
        <v>187</v>
      </c>
      <c r="E2609" s="13">
        <v>360</v>
      </c>
      <c r="F2609" s="12">
        <v>0</v>
      </c>
      <c r="G2609" t="str">
        <f>IFERROR(INDEX(tEditais[Órgão],MATCH(tItens[[#This Row],[Edital]],tEditais[Edital],0)),"")</f>
        <v>MUNICIPIO DE BURITICUPU</v>
      </c>
      <c r="H2609" t="str">
        <f>IFERROR(INDEX(tEditais[UF],MATCH(tItens[[#This Row],[Edital]],tEditais[Edital],0)),"")</f>
        <v>MA</v>
      </c>
      <c r="I2609" s="11">
        <f>IFERROR(INDEX(tEditais[Encerramento],MATCH(tItens[[#This Row],[Edital]],tEditais[Edital],0)),"")</f>
        <v>46314.354166666664</v>
      </c>
      <c r="J2609" t="str">
        <f>IFERROR(INDEX(tProdutos[Classe],MATCH(tItens[[#This Row],[Produto]],tProdutos[Produto],0)),"produto não cadastrado")</f>
        <v>DISPUTADO</v>
      </c>
      <c r="K2609" s="12">
        <f>tItens[[#This Row],[Qtd]]*tItens[[#This Row],[Vlr unit]]</f>
        <v>0</v>
      </c>
      <c r="L2609" s="6">
        <f>IFERROR(IF(INDEX(tProdutos[Desconto homologado],MATCH(tItens[[#This Row],[Produto]],tProdutos[Produto],0))="",DescontoPadrao,INDEX(tProdutos[Desconto homologado],MATCH(tItens[[#This Row],[Produto]],tProdutos[Produto],0))),DescontoPadrao)</f>
        <v>0.44298820445609399</v>
      </c>
      <c r="M2609" s="12">
        <f>tItens[[#This Row],[Valor]]*(1-tItens[[#This Row],[Desconto]])</f>
        <v>0</v>
      </c>
      <c r="N2609" t="str">
        <f>IFERROR(INDEX(tProdutos[Foco],MATCH(tItens[[#This Row],[Produto]],tProdutos[Produto],0)),"Não")</f>
        <v>Não</v>
      </c>
      <c r="O2609" t="str">
        <f>IFERROR(INDEX(tEditais[SRP],MATCH(tItens[[#This Row],[Edital]],tEditais[Edital],0)),"Não")</f>
        <v>Sim</v>
      </c>
      <c r="P2609" s="4">
        <f>IF(COUNTIFS(INDEX(tItens[Edital],1):tItens[[#This Row],[Edital]],tItens[[#This Row],[Edital]],INDEX(tItens[Produto],1):tItens[[#This Row],[Produto]],tItens[[#This Row],[Produto]])=1,1,0)</f>
        <v>1</v>
      </c>
    </row>
    <row r="2610" spans="1:16" x14ac:dyDescent="0.25">
      <c r="A2610" t="s">
        <v>1277</v>
      </c>
      <c r="B2610">
        <v>8076896</v>
      </c>
      <c r="C2610" t="s">
        <v>5615</v>
      </c>
      <c r="D2610" t="s">
        <v>229</v>
      </c>
      <c r="E2610" s="13">
        <v>72</v>
      </c>
      <c r="F2610" s="12">
        <v>0</v>
      </c>
      <c r="G2610" t="str">
        <f>IFERROR(INDEX(tEditais[Órgão],MATCH(tItens[[#This Row],[Edital]],tEditais[Edital],0)),"")</f>
        <v>MUNICIPIO DE BURITICUPU</v>
      </c>
      <c r="H2610" t="str">
        <f>IFERROR(INDEX(tEditais[UF],MATCH(tItens[[#This Row],[Edital]],tEditais[Edital],0)),"")</f>
        <v>MA</v>
      </c>
      <c r="I2610" s="11">
        <f>IFERROR(INDEX(tEditais[Encerramento],MATCH(tItens[[#This Row],[Edital]],tEditais[Edital],0)),"")</f>
        <v>46314.354166666664</v>
      </c>
      <c r="J2610" t="str">
        <f>IFERROR(INDEX(tProdutos[Classe],MATCH(tItens[[#This Row],[Produto]],tProdutos[Produto],0)),"produto não cadastrado")</f>
        <v>FORA</v>
      </c>
      <c r="K2610" s="12">
        <f>tItens[[#This Row],[Qtd]]*tItens[[#This Row],[Vlr unit]]</f>
        <v>0</v>
      </c>
      <c r="L2610" s="6">
        <f>IFERROR(IF(INDEX(tProdutos[Desconto homologado],MATCH(tItens[[#This Row],[Produto]],tProdutos[Produto],0))="",DescontoPadrao,INDEX(tProdutos[Desconto homologado],MATCH(tItens[[#This Row],[Produto]],tProdutos[Produto],0))),DescontoPadrao)</f>
        <v>0.33093491191658198</v>
      </c>
      <c r="M2610" s="12">
        <f>tItens[[#This Row],[Valor]]*(1-tItens[[#This Row],[Desconto]])</f>
        <v>0</v>
      </c>
      <c r="N2610" t="str">
        <f>IFERROR(INDEX(tProdutos[Foco],MATCH(tItens[[#This Row],[Produto]],tProdutos[Produto],0)),"Não")</f>
        <v>Não</v>
      </c>
      <c r="O2610" t="str">
        <f>IFERROR(INDEX(tEditais[SRP],MATCH(tItens[[#This Row],[Edital]],tEditais[Edital],0)),"Não")</f>
        <v>Sim</v>
      </c>
      <c r="P2610" s="4">
        <f>IF(COUNTIFS(INDEX(tItens[Edital],1):tItens[[#This Row],[Edital]],tItens[[#This Row],[Edital]],INDEX(tItens[Produto],1):tItens[[#This Row],[Produto]],tItens[[#This Row],[Produto]])=1,1,0)</f>
        <v>1</v>
      </c>
    </row>
    <row r="2611" spans="1:16" x14ac:dyDescent="0.25">
      <c r="A2611" t="s">
        <v>1277</v>
      </c>
      <c r="B2611">
        <v>8076898</v>
      </c>
      <c r="C2611" t="s">
        <v>5616</v>
      </c>
      <c r="D2611" t="s">
        <v>60</v>
      </c>
      <c r="E2611" s="13">
        <v>800</v>
      </c>
      <c r="F2611" s="12">
        <v>0</v>
      </c>
      <c r="G2611" t="str">
        <f>IFERROR(INDEX(tEditais[Órgão],MATCH(tItens[[#This Row],[Edital]],tEditais[Edital],0)),"")</f>
        <v>MUNICIPIO DE BURITICUPU</v>
      </c>
      <c r="H2611" t="str">
        <f>IFERROR(INDEX(tEditais[UF],MATCH(tItens[[#This Row],[Edital]],tEditais[Edital],0)),"")</f>
        <v>MA</v>
      </c>
      <c r="I2611" s="11">
        <f>IFERROR(INDEX(tEditais[Encerramento],MATCH(tItens[[#This Row],[Edital]],tEditais[Edital],0)),"")</f>
        <v>46314.354166666664</v>
      </c>
      <c r="J2611" t="str">
        <f>IFERROR(INDEX(tProdutos[Classe],MATCH(tItens[[#This Row],[Produto]],tProdutos[Produto],0)),"produto não cadastrado")</f>
        <v>NÚCLEO</v>
      </c>
      <c r="K2611" s="12">
        <f>tItens[[#This Row],[Qtd]]*tItens[[#This Row],[Vlr unit]]</f>
        <v>0</v>
      </c>
      <c r="L2611" s="6">
        <f>IFERROR(IF(INDEX(tProdutos[Desconto homologado],MATCH(tItens[[#This Row],[Produto]],tProdutos[Produto],0))="",DescontoPadrao,INDEX(tProdutos[Desconto homologado],MATCH(tItens[[#This Row],[Produto]],tProdutos[Produto],0))),DescontoPadrao)</f>
        <v>0.23</v>
      </c>
      <c r="M2611" s="12">
        <f>tItens[[#This Row],[Valor]]*(1-tItens[[#This Row],[Desconto]])</f>
        <v>0</v>
      </c>
      <c r="N2611" t="str">
        <f>IFERROR(INDEX(tProdutos[Foco],MATCH(tItens[[#This Row],[Produto]],tProdutos[Produto],0)),"Não")</f>
        <v>Sim</v>
      </c>
      <c r="O2611" t="str">
        <f>IFERROR(INDEX(tEditais[SRP],MATCH(tItens[[#This Row],[Edital]],tEditais[Edital],0)),"Não")</f>
        <v>Sim</v>
      </c>
      <c r="P2611" s="4">
        <f>IF(COUNTIFS(INDEX(tItens[Edital],1):tItens[[#This Row],[Edital]],tItens[[#This Row],[Edital]],INDEX(tItens[Produto],1):tItens[[#This Row],[Produto]],tItens[[#This Row],[Produto]])=1,1,0)</f>
        <v>1</v>
      </c>
    </row>
    <row r="2612" spans="1:16" x14ac:dyDescent="0.25">
      <c r="A2612" t="s">
        <v>1277</v>
      </c>
      <c r="B2612">
        <v>8076899</v>
      </c>
      <c r="C2612" t="s">
        <v>5617</v>
      </c>
      <c r="D2612" t="s">
        <v>90</v>
      </c>
      <c r="E2612" s="13">
        <v>800</v>
      </c>
      <c r="F2612" s="12">
        <v>0</v>
      </c>
      <c r="G2612" t="str">
        <f>IFERROR(INDEX(tEditais[Órgão],MATCH(tItens[[#This Row],[Edital]],tEditais[Edital],0)),"")</f>
        <v>MUNICIPIO DE BURITICUPU</v>
      </c>
      <c r="H2612" t="str">
        <f>IFERROR(INDEX(tEditais[UF],MATCH(tItens[[#This Row],[Edital]],tEditais[Edital],0)),"")</f>
        <v>MA</v>
      </c>
      <c r="I2612" s="11">
        <f>IFERROR(INDEX(tEditais[Encerramento],MATCH(tItens[[#This Row],[Edital]],tEditais[Edital],0)),"")</f>
        <v>46314.354166666664</v>
      </c>
      <c r="J2612" t="str">
        <f>IFERROR(INDEX(tProdutos[Classe],MATCH(tItens[[#This Row],[Produto]],tProdutos[Produto],0)),"produto não cadastrado")</f>
        <v>DISPUTADO</v>
      </c>
      <c r="K2612" s="12">
        <f>tItens[[#This Row],[Qtd]]*tItens[[#This Row],[Vlr unit]]</f>
        <v>0</v>
      </c>
      <c r="L2612" s="6">
        <f>IFERROR(IF(INDEX(tProdutos[Desconto homologado],MATCH(tItens[[#This Row],[Produto]],tProdutos[Produto],0))="",DescontoPadrao,INDEX(tProdutos[Desconto homologado],MATCH(tItens[[#This Row],[Produto]],tProdutos[Produto],0))),DescontoPadrao)</f>
        <v>0.25393823957010597</v>
      </c>
      <c r="M2612" s="12">
        <f>tItens[[#This Row],[Valor]]*(1-tItens[[#This Row],[Desconto]])</f>
        <v>0</v>
      </c>
      <c r="N2612" t="str">
        <f>IFERROR(INDEX(tProdutos[Foco],MATCH(tItens[[#This Row],[Produto]],tProdutos[Produto],0)),"Não")</f>
        <v>Não</v>
      </c>
      <c r="O2612" t="str">
        <f>IFERROR(INDEX(tEditais[SRP],MATCH(tItens[[#This Row],[Edital]],tEditais[Edital],0)),"Não")</f>
        <v>Sim</v>
      </c>
      <c r="P2612" s="4">
        <f>IF(COUNTIFS(INDEX(tItens[Edital],1):tItens[[#This Row],[Edital]],tItens[[#This Row],[Edital]],INDEX(tItens[Produto],1):tItens[[#This Row],[Produto]],tItens[[#This Row],[Produto]])=1,1,0)</f>
        <v>1</v>
      </c>
    </row>
    <row r="2613" spans="1:16" x14ac:dyDescent="0.25">
      <c r="A2613" t="s">
        <v>1277</v>
      </c>
      <c r="B2613">
        <v>8076900</v>
      </c>
      <c r="C2613" t="s">
        <v>5618</v>
      </c>
      <c r="D2613" t="s">
        <v>90</v>
      </c>
      <c r="E2613" s="13">
        <v>400</v>
      </c>
      <c r="F2613" s="12">
        <v>0</v>
      </c>
      <c r="G2613" t="str">
        <f>IFERROR(INDEX(tEditais[Órgão],MATCH(tItens[[#This Row],[Edital]],tEditais[Edital],0)),"")</f>
        <v>MUNICIPIO DE BURITICUPU</v>
      </c>
      <c r="H2613" t="str">
        <f>IFERROR(INDEX(tEditais[UF],MATCH(tItens[[#This Row],[Edital]],tEditais[Edital],0)),"")</f>
        <v>MA</v>
      </c>
      <c r="I2613" s="11">
        <f>IFERROR(INDEX(tEditais[Encerramento],MATCH(tItens[[#This Row],[Edital]],tEditais[Edital],0)),"")</f>
        <v>46314.354166666664</v>
      </c>
      <c r="J2613" t="str">
        <f>IFERROR(INDEX(tProdutos[Classe],MATCH(tItens[[#This Row],[Produto]],tProdutos[Produto],0)),"produto não cadastrado")</f>
        <v>DISPUTADO</v>
      </c>
      <c r="K2613" s="12">
        <f>tItens[[#This Row],[Qtd]]*tItens[[#This Row],[Vlr unit]]</f>
        <v>0</v>
      </c>
      <c r="L2613" s="6">
        <f>IFERROR(IF(INDEX(tProdutos[Desconto homologado],MATCH(tItens[[#This Row],[Produto]],tProdutos[Produto],0))="",DescontoPadrao,INDEX(tProdutos[Desconto homologado],MATCH(tItens[[#This Row],[Produto]],tProdutos[Produto],0))),DescontoPadrao)</f>
        <v>0.25393823957010597</v>
      </c>
      <c r="M2613" s="12">
        <f>tItens[[#This Row],[Valor]]*(1-tItens[[#This Row],[Desconto]])</f>
        <v>0</v>
      </c>
      <c r="N2613" t="str">
        <f>IFERROR(INDEX(tProdutos[Foco],MATCH(tItens[[#This Row],[Produto]],tProdutos[Produto],0)),"Não")</f>
        <v>Não</v>
      </c>
      <c r="O2613" t="str">
        <f>IFERROR(INDEX(tEditais[SRP],MATCH(tItens[[#This Row],[Edital]],tEditais[Edital],0)),"Não")</f>
        <v>Sim</v>
      </c>
      <c r="P2613" s="4">
        <f>IF(COUNTIFS(INDEX(tItens[Edital],1):tItens[[#This Row],[Edital]],tItens[[#This Row],[Edital]],INDEX(tItens[Produto],1):tItens[[#This Row],[Produto]],tItens[[#This Row],[Produto]])=1,1,0)</f>
        <v>0</v>
      </c>
    </row>
    <row r="2614" spans="1:16" x14ac:dyDescent="0.25">
      <c r="A2614" t="s">
        <v>1277</v>
      </c>
      <c r="B2614">
        <v>8076901</v>
      </c>
      <c r="C2614" t="s">
        <v>5619</v>
      </c>
      <c r="D2614" t="s">
        <v>233</v>
      </c>
      <c r="E2614" s="13">
        <v>600</v>
      </c>
      <c r="F2614" s="12">
        <v>0</v>
      </c>
      <c r="G2614" t="str">
        <f>IFERROR(INDEX(tEditais[Órgão],MATCH(tItens[[#This Row],[Edital]],tEditais[Edital],0)),"")</f>
        <v>MUNICIPIO DE BURITICUPU</v>
      </c>
      <c r="H2614" t="str">
        <f>IFERROR(INDEX(tEditais[UF],MATCH(tItens[[#This Row],[Edital]],tEditais[Edital],0)),"")</f>
        <v>MA</v>
      </c>
      <c r="I2614" s="11">
        <f>IFERROR(INDEX(tEditais[Encerramento],MATCH(tItens[[#This Row],[Edital]],tEditais[Edital],0)),"")</f>
        <v>46314.354166666664</v>
      </c>
      <c r="J2614" t="str">
        <f>IFERROR(INDEX(tProdutos[Classe],MATCH(tItens[[#This Row],[Produto]],tProdutos[Produto],0)),"produto não cadastrado")</f>
        <v>FORA</v>
      </c>
      <c r="K2614" s="12">
        <f>tItens[[#This Row],[Qtd]]*tItens[[#This Row],[Vlr unit]]</f>
        <v>0</v>
      </c>
      <c r="L2614" s="6">
        <f>IFERROR(IF(INDEX(tProdutos[Desconto homologado],MATCH(tItens[[#This Row],[Produto]],tProdutos[Produto],0))="",DescontoPadrao,INDEX(tProdutos[Desconto homologado],MATCH(tItens[[#This Row],[Produto]],tProdutos[Produto],0))),DescontoPadrao)</f>
        <v>0.246270084162204</v>
      </c>
      <c r="M2614" s="12">
        <f>tItens[[#This Row],[Valor]]*(1-tItens[[#This Row],[Desconto]])</f>
        <v>0</v>
      </c>
      <c r="N2614" t="str">
        <f>IFERROR(INDEX(tProdutos[Foco],MATCH(tItens[[#This Row],[Produto]],tProdutos[Produto],0)),"Não")</f>
        <v>Não</v>
      </c>
      <c r="O2614" t="str">
        <f>IFERROR(INDEX(tEditais[SRP],MATCH(tItens[[#This Row],[Edital]],tEditais[Edital],0)),"Não")</f>
        <v>Sim</v>
      </c>
      <c r="P2614" s="4">
        <f>IF(COUNTIFS(INDEX(tItens[Edital],1):tItens[[#This Row],[Edital]],tItens[[#This Row],[Edital]],INDEX(tItens[Produto],1):tItens[[#This Row],[Produto]],tItens[[#This Row],[Produto]])=1,1,0)</f>
        <v>1</v>
      </c>
    </row>
    <row r="2615" spans="1:16" x14ac:dyDescent="0.25">
      <c r="A2615" t="s">
        <v>1277</v>
      </c>
      <c r="B2615">
        <v>8076905</v>
      </c>
      <c r="C2615" t="s">
        <v>5620</v>
      </c>
      <c r="D2615" t="s">
        <v>142</v>
      </c>
      <c r="E2615" s="13">
        <v>2400</v>
      </c>
      <c r="F2615" s="12">
        <v>0</v>
      </c>
      <c r="G2615" t="str">
        <f>IFERROR(INDEX(tEditais[Órgão],MATCH(tItens[[#This Row],[Edital]],tEditais[Edital],0)),"")</f>
        <v>MUNICIPIO DE BURITICUPU</v>
      </c>
      <c r="H2615" t="str">
        <f>IFERROR(INDEX(tEditais[UF],MATCH(tItens[[#This Row],[Edital]],tEditais[Edital],0)),"")</f>
        <v>MA</v>
      </c>
      <c r="I2615" s="11">
        <f>IFERROR(INDEX(tEditais[Encerramento],MATCH(tItens[[#This Row],[Edital]],tEditais[Edital],0)),"")</f>
        <v>46314.354166666664</v>
      </c>
      <c r="J2615" t="str">
        <f>IFERROR(INDEX(tProdutos[Classe],MATCH(tItens[[#This Row],[Produto]],tProdutos[Produto],0)),"produto não cadastrado")</f>
        <v>DISPUTADO</v>
      </c>
      <c r="K2615" s="12">
        <f>tItens[[#This Row],[Qtd]]*tItens[[#This Row],[Vlr unit]]</f>
        <v>0</v>
      </c>
      <c r="L2615" s="6">
        <f>IFERROR(IF(INDEX(tProdutos[Desconto homologado],MATCH(tItens[[#This Row],[Produto]],tProdutos[Produto],0))="",DescontoPadrao,INDEX(tProdutos[Desconto homologado],MATCH(tItens[[#This Row],[Produto]],tProdutos[Produto],0))),DescontoPadrao)</f>
        <v>0.37093619495691699</v>
      </c>
      <c r="M2615" s="12">
        <f>tItens[[#This Row],[Valor]]*(1-tItens[[#This Row],[Desconto]])</f>
        <v>0</v>
      </c>
      <c r="N2615" t="str">
        <f>IFERROR(INDEX(tProdutos[Foco],MATCH(tItens[[#This Row],[Produto]],tProdutos[Produto],0)),"Não")</f>
        <v>Não</v>
      </c>
      <c r="O2615" t="str">
        <f>IFERROR(INDEX(tEditais[SRP],MATCH(tItens[[#This Row],[Edital]],tEditais[Edital],0)),"Não")</f>
        <v>Sim</v>
      </c>
      <c r="P2615" s="4">
        <f>IF(COUNTIFS(INDEX(tItens[Edital],1):tItens[[#This Row],[Edital]],tItens[[#This Row],[Edital]],INDEX(tItens[Produto],1):tItens[[#This Row],[Produto]],tItens[[#This Row],[Produto]])=1,1,0)</f>
        <v>1</v>
      </c>
    </row>
    <row r="2616" spans="1:16" x14ac:dyDescent="0.25">
      <c r="A2616" t="s">
        <v>1277</v>
      </c>
      <c r="B2616">
        <v>8076910</v>
      </c>
      <c r="C2616" t="s">
        <v>5621</v>
      </c>
      <c r="D2616" t="s">
        <v>279</v>
      </c>
      <c r="E2616" s="13">
        <v>1000</v>
      </c>
      <c r="F2616" s="12">
        <v>0</v>
      </c>
      <c r="G2616" t="str">
        <f>IFERROR(INDEX(tEditais[Órgão],MATCH(tItens[[#This Row],[Edital]],tEditais[Edital],0)),"")</f>
        <v>MUNICIPIO DE BURITICUPU</v>
      </c>
      <c r="H2616" t="str">
        <f>IFERROR(INDEX(tEditais[UF],MATCH(tItens[[#This Row],[Edital]],tEditais[Edital],0)),"")</f>
        <v>MA</v>
      </c>
      <c r="I2616" s="11">
        <f>IFERROR(INDEX(tEditais[Encerramento],MATCH(tItens[[#This Row],[Edital]],tEditais[Edital],0)),"")</f>
        <v>46314.354166666664</v>
      </c>
      <c r="J2616" t="str">
        <f>IFERROR(INDEX(tProdutos[Classe],MATCH(tItens[[#This Row],[Produto]],tProdutos[Produto],0)),"produto não cadastrado")</f>
        <v>FORA</v>
      </c>
      <c r="K2616" s="12">
        <f>tItens[[#This Row],[Qtd]]*tItens[[#This Row],[Vlr unit]]</f>
        <v>0</v>
      </c>
      <c r="L2616" s="6">
        <f>IFERROR(IF(INDEX(tProdutos[Desconto homologado],MATCH(tItens[[#This Row],[Produto]],tProdutos[Produto],0))="",DescontoPadrao,INDEX(tProdutos[Desconto homologado],MATCH(tItens[[#This Row],[Produto]],tProdutos[Produto],0))),DescontoPadrao)</f>
        <v>0.28909090909090901</v>
      </c>
      <c r="M2616" s="12">
        <f>tItens[[#This Row],[Valor]]*(1-tItens[[#This Row],[Desconto]])</f>
        <v>0</v>
      </c>
      <c r="N2616" t="str">
        <f>IFERROR(INDEX(tProdutos[Foco],MATCH(tItens[[#This Row],[Produto]],tProdutos[Produto],0)),"Não")</f>
        <v>Não</v>
      </c>
      <c r="O2616" t="str">
        <f>IFERROR(INDEX(tEditais[SRP],MATCH(tItens[[#This Row],[Edital]],tEditais[Edital],0)),"Não")</f>
        <v>Sim</v>
      </c>
      <c r="P2616" s="4">
        <f>IF(COUNTIFS(INDEX(tItens[Edital],1):tItens[[#This Row],[Edital]],tItens[[#This Row],[Edital]],INDEX(tItens[Produto],1):tItens[[#This Row],[Produto]],tItens[[#This Row],[Produto]])=1,1,0)</f>
        <v>0</v>
      </c>
    </row>
    <row r="2617" spans="1:16" x14ac:dyDescent="0.25">
      <c r="A2617" t="s">
        <v>1277</v>
      </c>
      <c r="B2617">
        <v>8076916</v>
      </c>
      <c r="C2617" t="s">
        <v>5622</v>
      </c>
      <c r="D2617" t="s">
        <v>56</v>
      </c>
      <c r="E2617" s="13">
        <v>200</v>
      </c>
      <c r="F2617" s="12">
        <v>0</v>
      </c>
      <c r="G2617" t="str">
        <f>IFERROR(INDEX(tEditais[Órgão],MATCH(tItens[[#This Row],[Edital]],tEditais[Edital],0)),"")</f>
        <v>MUNICIPIO DE BURITICUPU</v>
      </c>
      <c r="H2617" t="str">
        <f>IFERROR(INDEX(tEditais[UF],MATCH(tItens[[#This Row],[Edital]],tEditais[Edital],0)),"")</f>
        <v>MA</v>
      </c>
      <c r="I2617" s="11">
        <f>IFERROR(INDEX(tEditais[Encerramento],MATCH(tItens[[#This Row],[Edital]],tEditais[Edital],0)),"")</f>
        <v>46314.354166666664</v>
      </c>
      <c r="J2617" t="str">
        <f>IFERROR(INDEX(tProdutos[Classe],MATCH(tItens[[#This Row],[Produto]],tProdutos[Produto],0)),"produto não cadastrado")</f>
        <v>NÚCLEO</v>
      </c>
      <c r="K2617" s="12">
        <f>tItens[[#This Row],[Qtd]]*tItens[[#This Row],[Vlr unit]]</f>
        <v>0</v>
      </c>
      <c r="L2617" s="6">
        <f>IFERROR(IF(INDEX(tProdutos[Desconto homologado],MATCH(tItens[[#This Row],[Produto]],tProdutos[Produto],0))="",DescontoPadrao,INDEX(tProdutos[Desconto homologado],MATCH(tItens[[#This Row],[Produto]],tProdutos[Produto],0))),DescontoPadrao)</f>
        <v>0.34</v>
      </c>
      <c r="M2617" s="12">
        <f>tItens[[#This Row],[Valor]]*(1-tItens[[#This Row],[Desconto]])</f>
        <v>0</v>
      </c>
      <c r="N2617" t="str">
        <f>IFERROR(INDEX(tProdutos[Foco],MATCH(tItens[[#This Row],[Produto]],tProdutos[Produto],0)),"Não")</f>
        <v>Sim</v>
      </c>
      <c r="O2617" t="str">
        <f>IFERROR(INDEX(tEditais[SRP],MATCH(tItens[[#This Row],[Edital]],tEditais[Edital],0)),"Não")</f>
        <v>Sim</v>
      </c>
      <c r="P2617" s="4">
        <f>IF(COUNTIFS(INDEX(tItens[Edital],1):tItens[[#This Row],[Edital]],tItens[[#This Row],[Edital]],INDEX(tItens[Produto],1):tItens[[#This Row],[Produto]],tItens[[#This Row],[Produto]])=1,1,0)</f>
        <v>1</v>
      </c>
    </row>
    <row r="2618" spans="1:16" x14ac:dyDescent="0.25">
      <c r="A2618" t="s">
        <v>1277</v>
      </c>
      <c r="B2618">
        <v>8076917</v>
      </c>
      <c r="C2618" t="s">
        <v>5623</v>
      </c>
      <c r="D2618" t="s">
        <v>56</v>
      </c>
      <c r="E2618" s="13">
        <v>200</v>
      </c>
      <c r="F2618" s="12">
        <v>0</v>
      </c>
      <c r="G2618" t="str">
        <f>IFERROR(INDEX(tEditais[Órgão],MATCH(tItens[[#This Row],[Edital]],tEditais[Edital],0)),"")</f>
        <v>MUNICIPIO DE BURITICUPU</v>
      </c>
      <c r="H2618" t="str">
        <f>IFERROR(INDEX(tEditais[UF],MATCH(tItens[[#This Row],[Edital]],tEditais[Edital],0)),"")</f>
        <v>MA</v>
      </c>
      <c r="I2618" s="11">
        <f>IFERROR(INDEX(tEditais[Encerramento],MATCH(tItens[[#This Row],[Edital]],tEditais[Edital],0)),"")</f>
        <v>46314.354166666664</v>
      </c>
      <c r="J2618" t="str">
        <f>IFERROR(INDEX(tProdutos[Classe],MATCH(tItens[[#This Row],[Produto]],tProdutos[Produto],0)),"produto não cadastrado")</f>
        <v>NÚCLEO</v>
      </c>
      <c r="K2618" s="12">
        <f>tItens[[#This Row],[Qtd]]*tItens[[#This Row],[Vlr unit]]</f>
        <v>0</v>
      </c>
      <c r="L2618" s="6">
        <f>IFERROR(IF(INDEX(tProdutos[Desconto homologado],MATCH(tItens[[#This Row],[Produto]],tProdutos[Produto],0))="",DescontoPadrao,INDEX(tProdutos[Desconto homologado],MATCH(tItens[[#This Row],[Produto]],tProdutos[Produto],0))),DescontoPadrao)</f>
        <v>0.34</v>
      </c>
      <c r="M2618" s="12">
        <f>tItens[[#This Row],[Valor]]*(1-tItens[[#This Row],[Desconto]])</f>
        <v>0</v>
      </c>
      <c r="N2618" t="str">
        <f>IFERROR(INDEX(tProdutos[Foco],MATCH(tItens[[#This Row],[Produto]],tProdutos[Produto],0)),"Não")</f>
        <v>Sim</v>
      </c>
      <c r="O2618" t="str">
        <f>IFERROR(INDEX(tEditais[SRP],MATCH(tItens[[#This Row],[Edital]],tEditais[Edital],0)),"Não")</f>
        <v>Sim</v>
      </c>
      <c r="P2618" s="4">
        <f>IF(COUNTIFS(INDEX(tItens[Edital],1):tItens[[#This Row],[Edital]],tItens[[#This Row],[Edital]],INDEX(tItens[Produto],1):tItens[[#This Row],[Produto]],tItens[[#This Row],[Produto]])=1,1,0)</f>
        <v>0</v>
      </c>
    </row>
    <row r="2619" spans="1:16" x14ac:dyDescent="0.25">
      <c r="A2619" t="s">
        <v>1277</v>
      </c>
      <c r="B2619">
        <v>8076918</v>
      </c>
      <c r="C2619" t="s">
        <v>5624</v>
      </c>
      <c r="D2619" t="s">
        <v>267</v>
      </c>
      <c r="E2619" s="13">
        <v>680</v>
      </c>
      <c r="F2619" s="12">
        <v>0</v>
      </c>
      <c r="G2619" t="str">
        <f>IFERROR(INDEX(tEditais[Órgão],MATCH(tItens[[#This Row],[Edital]],tEditais[Edital],0)),"")</f>
        <v>MUNICIPIO DE BURITICUPU</v>
      </c>
      <c r="H2619" t="str">
        <f>IFERROR(INDEX(tEditais[UF],MATCH(tItens[[#This Row],[Edital]],tEditais[Edital],0)),"")</f>
        <v>MA</v>
      </c>
      <c r="I2619" s="11">
        <f>IFERROR(INDEX(tEditais[Encerramento],MATCH(tItens[[#This Row],[Edital]],tEditais[Edital],0)),"")</f>
        <v>46314.354166666664</v>
      </c>
      <c r="J2619" t="str">
        <f>IFERROR(INDEX(tProdutos[Classe],MATCH(tItens[[#This Row],[Produto]],tProdutos[Produto],0)),"produto não cadastrado")</f>
        <v>FORA</v>
      </c>
      <c r="K2619" s="12">
        <f>tItens[[#This Row],[Qtd]]*tItens[[#This Row],[Vlr unit]]</f>
        <v>0</v>
      </c>
      <c r="L2619" s="6">
        <f>IFERROR(IF(INDEX(tProdutos[Desconto homologado],MATCH(tItens[[#This Row],[Produto]],tProdutos[Produto],0))="",DescontoPadrao,INDEX(tProdutos[Desconto homologado],MATCH(tItens[[#This Row],[Produto]],tProdutos[Produto],0))),DescontoPadrao)</f>
        <v>0.19963672657401599</v>
      </c>
      <c r="M2619" s="12">
        <f>tItens[[#This Row],[Valor]]*(1-tItens[[#This Row],[Desconto]])</f>
        <v>0</v>
      </c>
      <c r="N2619" t="str">
        <f>IFERROR(INDEX(tProdutos[Foco],MATCH(tItens[[#This Row],[Produto]],tProdutos[Produto],0)),"Não")</f>
        <v>Não</v>
      </c>
      <c r="O2619" t="str">
        <f>IFERROR(INDEX(tEditais[SRP],MATCH(tItens[[#This Row],[Edital]],tEditais[Edital],0)),"Não")</f>
        <v>Sim</v>
      </c>
      <c r="P2619" s="4">
        <f>IF(COUNTIFS(INDEX(tItens[Edital],1):tItens[[#This Row],[Edital]],tItens[[#This Row],[Edital]],INDEX(tItens[Produto],1):tItens[[#This Row],[Produto]],tItens[[#This Row],[Produto]])=1,1,0)</f>
        <v>1</v>
      </c>
    </row>
    <row r="2620" spans="1:16" x14ac:dyDescent="0.25">
      <c r="A2620" t="s">
        <v>1277</v>
      </c>
      <c r="B2620">
        <v>8076922</v>
      </c>
      <c r="C2620" t="s">
        <v>5625</v>
      </c>
      <c r="D2620" t="s">
        <v>403</v>
      </c>
      <c r="E2620" s="13">
        <v>40</v>
      </c>
      <c r="F2620" s="12">
        <v>0</v>
      </c>
      <c r="G2620" t="str">
        <f>IFERROR(INDEX(tEditais[Órgão],MATCH(tItens[[#This Row],[Edital]],tEditais[Edital],0)),"")</f>
        <v>MUNICIPIO DE BURITICUPU</v>
      </c>
      <c r="H2620" t="str">
        <f>IFERROR(INDEX(tEditais[UF],MATCH(tItens[[#This Row],[Edital]],tEditais[Edital],0)),"")</f>
        <v>MA</v>
      </c>
      <c r="I2620" s="11">
        <f>IFERROR(INDEX(tEditais[Encerramento],MATCH(tItens[[#This Row],[Edital]],tEditais[Edital],0)),"")</f>
        <v>46314.354166666664</v>
      </c>
      <c r="J2620" t="str">
        <f>IFERROR(INDEX(tProdutos[Classe],MATCH(tItens[[#This Row],[Produto]],tProdutos[Produto],0)),"produto não cadastrado")</f>
        <v>FORA</v>
      </c>
      <c r="K2620" s="12">
        <f>tItens[[#This Row],[Qtd]]*tItens[[#This Row],[Vlr unit]]</f>
        <v>0</v>
      </c>
      <c r="L2620" s="6">
        <f>IFERROR(IF(INDEX(tProdutos[Desconto homologado],MATCH(tItens[[#This Row],[Produto]],tProdutos[Produto],0))="",DescontoPadrao,INDEX(tProdutos[Desconto homologado],MATCH(tItens[[#This Row],[Produto]],tProdutos[Produto],0))),DescontoPadrao)</f>
        <v>0.35326086956521702</v>
      </c>
      <c r="M2620" s="12">
        <f>tItens[[#This Row],[Valor]]*(1-tItens[[#This Row],[Desconto]])</f>
        <v>0</v>
      </c>
      <c r="N2620" t="str">
        <f>IFERROR(INDEX(tProdutos[Foco],MATCH(tItens[[#This Row],[Produto]],tProdutos[Produto],0)),"Não")</f>
        <v>Não</v>
      </c>
      <c r="O2620" t="str">
        <f>IFERROR(INDEX(tEditais[SRP],MATCH(tItens[[#This Row],[Edital]],tEditais[Edital],0)),"Não")</f>
        <v>Sim</v>
      </c>
      <c r="P2620" s="4">
        <f>IF(COUNTIFS(INDEX(tItens[Edital],1):tItens[[#This Row],[Edital]],tItens[[#This Row],[Edital]],INDEX(tItens[Produto],1):tItens[[#This Row],[Produto]],tItens[[#This Row],[Produto]])=1,1,0)</f>
        <v>1</v>
      </c>
    </row>
    <row r="2621" spans="1:16" x14ac:dyDescent="0.25">
      <c r="A2621" t="s">
        <v>1277</v>
      </c>
      <c r="B2621">
        <v>8076923</v>
      </c>
      <c r="C2621" t="s">
        <v>5626</v>
      </c>
      <c r="D2621" t="s">
        <v>170</v>
      </c>
      <c r="E2621" s="13">
        <v>200</v>
      </c>
      <c r="F2621" s="12">
        <v>0</v>
      </c>
      <c r="G2621" t="str">
        <f>IFERROR(INDEX(tEditais[Órgão],MATCH(tItens[[#This Row],[Edital]],tEditais[Edital],0)),"")</f>
        <v>MUNICIPIO DE BURITICUPU</v>
      </c>
      <c r="H2621" t="str">
        <f>IFERROR(INDEX(tEditais[UF],MATCH(tItens[[#This Row],[Edital]],tEditais[Edital],0)),"")</f>
        <v>MA</v>
      </c>
      <c r="I2621" s="11">
        <f>IFERROR(INDEX(tEditais[Encerramento],MATCH(tItens[[#This Row],[Edital]],tEditais[Edital],0)),"")</f>
        <v>46314.354166666664</v>
      </c>
      <c r="J2621" t="str">
        <f>IFERROR(INDEX(tProdutos[Classe],MATCH(tItens[[#This Row],[Produto]],tProdutos[Produto],0)),"produto não cadastrado")</f>
        <v>DISPUTADO</v>
      </c>
      <c r="K2621" s="12">
        <f>tItens[[#This Row],[Qtd]]*tItens[[#This Row],[Vlr unit]]</f>
        <v>0</v>
      </c>
      <c r="L2621" s="6">
        <f>IFERROR(IF(INDEX(tProdutos[Desconto homologado],MATCH(tItens[[#This Row],[Produto]],tProdutos[Produto],0))="",DescontoPadrao,INDEX(tProdutos[Desconto homologado],MATCH(tItens[[#This Row],[Produto]],tProdutos[Produto],0))),DescontoPadrao)</f>
        <v>0.36</v>
      </c>
      <c r="M2621" s="12">
        <f>tItens[[#This Row],[Valor]]*(1-tItens[[#This Row],[Desconto]])</f>
        <v>0</v>
      </c>
      <c r="N2621" t="str">
        <f>IFERROR(INDEX(tProdutos[Foco],MATCH(tItens[[#This Row],[Produto]],tProdutos[Produto],0)),"Não")</f>
        <v>Sim</v>
      </c>
      <c r="O2621" t="str">
        <f>IFERROR(INDEX(tEditais[SRP],MATCH(tItens[[#This Row],[Edital]],tEditais[Edital],0)),"Não")</f>
        <v>Sim</v>
      </c>
      <c r="P2621" s="4">
        <f>IF(COUNTIFS(INDEX(tItens[Edital],1):tItens[[#This Row],[Edital]],tItens[[#This Row],[Edital]],INDEX(tItens[Produto],1):tItens[[#This Row],[Produto]],tItens[[#This Row],[Produto]])=1,1,0)</f>
        <v>1</v>
      </c>
    </row>
    <row r="2622" spans="1:16" x14ac:dyDescent="0.25">
      <c r="A2622" t="s">
        <v>1277</v>
      </c>
      <c r="B2622">
        <v>8076924</v>
      </c>
      <c r="C2622" t="s">
        <v>5627</v>
      </c>
      <c r="D2622" t="s">
        <v>170</v>
      </c>
      <c r="E2622" s="13">
        <v>200</v>
      </c>
      <c r="F2622" s="12">
        <v>0</v>
      </c>
      <c r="G2622" t="str">
        <f>IFERROR(INDEX(tEditais[Órgão],MATCH(tItens[[#This Row],[Edital]],tEditais[Edital],0)),"")</f>
        <v>MUNICIPIO DE BURITICUPU</v>
      </c>
      <c r="H2622" t="str">
        <f>IFERROR(INDEX(tEditais[UF],MATCH(tItens[[#This Row],[Edital]],tEditais[Edital],0)),"")</f>
        <v>MA</v>
      </c>
      <c r="I2622" s="11">
        <f>IFERROR(INDEX(tEditais[Encerramento],MATCH(tItens[[#This Row],[Edital]],tEditais[Edital],0)),"")</f>
        <v>46314.354166666664</v>
      </c>
      <c r="J2622" t="str">
        <f>IFERROR(INDEX(tProdutos[Classe],MATCH(tItens[[#This Row],[Produto]],tProdutos[Produto],0)),"produto não cadastrado")</f>
        <v>DISPUTADO</v>
      </c>
      <c r="K2622" s="12">
        <f>tItens[[#This Row],[Qtd]]*tItens[[#This Row],[Vlr unit]]</f>
        <v>0</v>
      </c>
      <c r="L2622" s="6">
        <f>IFERROR(IF(INDEX(tProdutos[Desconto homologado],MATCH(tItens[[#This Row],[Produto]],tProdutos[Produto],0))="",DescontoPadrao,INDEX(tProdutos[Desconto homologado],MATCH(tItens[[#This Row],[Produto]],tProdutos[Produto],0))),DescontoPadrao)</f>
        <v>0.36</v>
      </c>
      <c r="M2622" s="12">
        <f>tItens[[#This Row],[Valor]]*(1-tItens[[#This Row],[Desconto]])</f>
        <v>0</v>
      </c>
      <c r="N2622" t="str">
        <f>IFERROR(INDEX(tProdutos[Foco],MATCH(tItens[[#This Row],[Produto]],tProdutos[Produto],0)),"Não")</f>
        <v>Sim</v>
      </c>
      <c r="O2622" t="str">
        <f>IFERROR(INDEX(tEditais[SRP],MATCH(tItens[[#This Row],[Edital]],tEditais[Edital],0)),"Não")</f>
        <v>Sim</v>
      </c>
      <c r="P2622" s="4">
        <f>IF(COUNTIFS(INDEX(tItens[Edital],1):tItens[[#This Row],[Edital]],tItens[[#This Row],[Edital]],INDEX(tItens[Produto],1):tItens[[#This Row],[Produto]],tItens[[#This Row],[Produto]])=1,1,0)</f>
        <v>0</v>
      </c>
    </row>
    <row r="2623" spans="1:16" x14ac:dyDescent="0.25">
      <c r="A2623" t="s">
        <v>1277</v>
      </c>
      <c r="B2623">
        <v>8076926</v>
      </c>
      <c r="C2623" t="s">
        <v>5628</v>
      </c>
      <c r="D2623" t="s">
        <v>293</v>
      </c>
      <c r="E2623" s="13">
        <v>100</v>
      </c>
      <c r="F2623" s="12">
        <v>0</v>
      </c>
      <c r="G2623" t="str">
        <f>IFERROR(INDEX(tEditais[Órgão],MATCH(tItens[[#This Row],[Edital]],tEditais[Edital],0)),"")</f>
        <v>MUNICIPIO DE BURITICUPU</v>
      </c>
      <c r="H2623" t="str">
        <f>IFERROR(INDEX(tEditais[UF],MATCH(tItens[[#This Row],[Edital]],tEditais[Edital],0)),"")</f>
        <v>MA</v>
      </c>
      <c r="I2623" s="11">
        <f>IFERROR(INDEX(tEditais[Encerramento],MATCH(tItens[[#This Row],[Edital]],tEditais[Edital],0)),"")</f>
        <v>46314.354166666664</v>
      </c>
      <c r="J2623" t="str">
        <f>IFERROR(INDEX(tProdutos[Classe],MATCH(tItens[[#This Row],[Produto]],tProdutos[Produto],0)),"produto não cadastrado")</f>
        <v>FORA</v>
      </c>
      <c r="K2623" s="12">
        <f>tItens[[#This Row],[Qtd]]*tItens[[#This Row],[Vlr unit]]</f>
        <v>0</v>
      </c>
      <c r="L2623" s="6">
        <f>IFERROR(IF(INDEX(tProdutos[Desconto homologado],MATCH(tItens[[#This Row],[Produto]],tProdutos[Produto],0))="",DescontoPadrao,INDEX(tProdutos[Desconto homologado],MATCH(tItens[[#This Row],[Produto]],tProdutos[Produto],0))),DescontoPadrao)</f>
        <v>0.45236440369319098</v>
      </c>
      <c r="M2623" s="12">
        <f>tItens[[#This Row],[Valor]]*(1-tItens[[#This Row],[Desconto]])</f>
        <v>0</v>
      </c>
      <c r="N2623" t="str">
        <f>IFERROR(INDEX(tProdutos[Foco],MATCH(tItens[[#This Row],[Produto]],tProdutos[Produto],0)),"Não")</f>
        <v>Não</v>
      </c>
      <c r="O2623" t="str">
        <f>IFERROR(INDEX(tEditais[SRP],MATCH(tItens[[#This Row],[Edital]],tEditais[Edital],0)),"Não")</f>
        <v>Sim</v>
      </c>
      <c r="P2623" s="4">
        <f>IF(COUNTIFS(INDEX(tItens[Edital],1):tItens[[#This Row],[Edital]],tItens[[#This Row],[Edital]],INDEX(tItens[Produto],1):tItens[[#This Row],[Produto]],tItens[[#This Row],[Produto]])=1,1,0)</f>
        <v>1</v>
      </c>
    </row>
    <row r="2624" spans="1:16" x14ac:dyDescent="0.25">
      <c r="A2624" t="s">
        <v>1277</v>
      </c>
      <c r="B2624">
        <v>8076927</v>
      </c>
      <c r="C2624" t="s">
        <v>5583</v>
      </c>
      <c r="D2624" t="s">
        <v>223</v>
      </c>
      <c r="E2624" s="13">
        <v>80</v>
      </c>
      <c r="F2624" s="12">
        <v>0</v>
      </c>
      <c r="G2624" t="str">
        <f>IFERROR(INDEX(tEditais[Órgão],MATCH(tItens[[#This Row],[Edital]],tEditais[Edital],0)),"")</f>
        <v>MUNICIPIO DE BURITICUPU</v>
      </c>
      <c r="H2624" t="str">
        <f>IFERROR(INDEX(tEditais[UF],MATCH(tItens[[#This Row],[Edital]],tEditais[Edital],0)),"")</f>
        <v>MA</v>
      </c>
      <c r="I2624" s="11">
        <f>IFERROR(INDEX(tEditais[Encerramento],MATCH(tItens[[#This Row],[Edital]],tEditais[Edital],0)),"")</f>
        <v>46314.354166666664</v>
      </c>
      <c r="J2624" t="str">
        <f>IFERROR(INDEX(tProdutos[Classe],MATCH(tItens[[#This Row],[Produto]],tProdutos[Produto],0)),"produto não cadastrado")</f>
        <v>FORA</v>
      </c>
      <c r="K2624" s="12">
        <f>tItens[[#This Row],[Qtd]]*tItens[[#This Row],[Vlr unit]]</f>
        <v>0</v>
      </c>
      <c r="L2624" s="6">
        <f>IFERROR(IF(INDEX(tProdutos[Desconto homologado],MATCH(tItens[[#This Row],[Produto]],tProdutos[Produto],0))="",DescontoPadrao,INDEX(tProdutos[Desconto homologado],MATCH(tItens[[#This Row],[Produto]],tProdutos[Produto],0))),DescontoPadrao)</f>
        <v>0.36263736263736301</v>
      </c>
      <c r="M2624" s="12">
        <f>tItens[[#This Row],[Valor]]*(1-tItens[[#This Row],[Desconto]])</f>
        <v>0</v>
      </c>
      <c r="N2624" t="str">
        <f>IFERROR(INDEX(tProdutos[Foco],MATCH(tItens[[#This Row],[Produto]],tProdutos[Produto],0)),"Não")</f>
        <v>Não</v>
      </c>
      <c r="O2624" t="str">
        <f>IFERROR(INDEX(tEditais[SRP],MATCH(tItens[[#This Row],[Edital]],tEditais[Edital],0)),"Não")</f>
        <v>Sim</v>
      </c>
      <c r="P2624" s="4">
        <f>IF(COUNTIFS(INDEX(tItens[Edital],1):tItens[[#This Row],[Edital]],tItens[[#This Row],[Edital]],INDEX(tItens[Produto],1):tItens[[#This Row],[Produto]],tItens[[#This Row],[Produto]])=1,1,0)</f>
        <v>1</v>
      </c>
    </row>
    <row r="2625" spans="1:16" x14ac:dyDescent="0.25">
      <c r="A2625" t="s">
        <v>1277</v>
      </c>
      <c r="B2625">
        <v>8076929</v>
      </c>
      <c r="C2625" t="s">
        <v>5629</v>
      </c>
      <c r="D2625" t="s">
        <v>494</v>
      </c>
      <c r="E2625" s="13">
        <v>40</v>
      </c>
      <c r="F2625" s="12">
        <v>0</v>
      </c>
      <c r="G2625" t="str">
        <f>IFERROR(INDEX(tEditais[Órgão],MATCH(tItens[[#This Row],[Edital]],tEditais[Edital],0)),"")</f>
        <v>MUNICIPIO DE BURITICUPU</v>
      </c>
      <c r="H2625" t="str">
        <f>IFERROR(INDEX(tEditais[UF],MATCH(tItens[[#This Row],[Edital]],tEditais[Edital],0)),"")</f>
        <v>MA</v>
      </c>
      <c r="I2625" s="11">
        <f>IFERROR(INDEX(tEditais[Encerramento],MATCH(tItens[[#This Row],[Edital]],tEditais[Edital],0)),"")</f>
        <v>46314.354166666664</v>
      </c>
      <c r="J2625" t="str">
        <f>IFERROR(INDEX(tProdutos[Classe],MATCH(tItens[[#This Row],[Produto]],tProdutos[Produto],0)),"produto não cadastrado")</f>
        <v>FILA REBASE</v>
      </c>
      <c r="K2625" s="12">
        <f>tItens[[#This Row],[Qtd]]*tItens[[#This Row],[Vlr unit]]</f>
        <v>0</v>
      </c>
      <c r="L2625" s="6">
        <f>IFERROR(IF(INDEX(tProdutos[Desconto homologado],MATCH(tItens[[#This Row],[Produto]],tProdutos[Produto],0))="",DescontoPadrao,INDEX(tProdutos[Desconto homologado],MATCH(tItens[[#This Row],[Produto]],tProdutos[Produto],0))),DescontoPadrao)</f>
        <v>0.253736324829619</v>
      </c>
      <c r="M2625" s="12">
        <f>tItens[[#This Row],[Valor]]*(1-tItens[[#This Row],[Desconto]])</f>
        <v>0</v>
      </c>
      <c r="N2625" t="str">
        <f>IFERROR(INDEX(tProdutos[Foco],MATCH(tItens[[#This Row],[Produto]],tProdutos[Produto],0)),"Não")</f>
        <v>Não</v>
      </c>
      <c r="O2625" t="str">
        <f>IFERROR(INDEX(tEditais[SRP],MATCH(tItens[[#This Row],[Edital]],tEditais[Edital],0)),"Não")</f>
        <v>Sim</v>
      </c>
      <c r="P2625" s="4">
        <f>IF(COUNTIFS(INDEX(tItens[Edital],1):tItens[[#This Row],[Edital]],tItens[[#This Row],[Edital]],INDEX(tItens[Produto],1):tItens[[#This Row],[Produto]],tItens[[#This Row],[Produto]])=1,1,0)</f>
        <v>1</v>
      </c>
    </row>
    <row r="2626" spans="1:16" x14ac:dyDescent="0.25">
      <c r="A2626" t="s">
        <v>1277</v>
      </c>
      <c r="B2626">
        <v>8076930</v>
      </c>
      <c r="C2626" t="s">
        <v>5630</v>
      </c>
      <c r="D2626" t="s">
        <v>494</v>
      </c>
      <c r="E2626" s="13">
        <v>40</v>
      </c>
      <c r="F2626" s="12">
        <v>0</v>
      </c>
      <c r="G2626" t="str">
        <f>IFERROR(INDEX(tEditais[Órgão],MATCH(tItens[[#This Row],[Edital]],tEditais[Edital],0)),"")</f>
        <v>MUNICIPIO DE BURITICUPU</v>
      </c>
      <c r="H2626" t="str">
        <f>IFERROR(INDEX(tEditais[UF],MATCH(tItens[[#This Row],[Edital]],tEditais[Edital],0)),"")</f>
        <v>MA</v>
      </c>
      <c r="I2626" s="11">
        <f>IFERROR(INDEX(tEditais[Encerramento],MATCH(tItens[[#This Row],[Edital]],tEditais[Edital],0)),"")</f>
        <v>46314.354166666664</v>
      </c>
      <c r="J2626" t="str">
        <f>IFERROR(INDEX(tProdutos[Classe],MATCH(tItens[[#This Row],[Produto]],tProdutos[Produto],0)),"produto não cadastrado")</f>
        <v>FILA REBASE</v>
      </c>
      <c r="K2626" s="12">
        <f>tItens[[#This Row],[Qtd]]*tItens[[#This Row],[Vlr unit]]</f>
        <v>0</v>
      </c>
      <c r="L2626" s="6">
        <f>IFERROR(IF(INDEX(tProdutos[Desconto homologado],MATCH(tItens[[#This Row],[Produto]],tProdutos[Produto],0))="",DescontoPadrao,INDEX(tProdutos[Desconto homologado],MATCH(tItens[[#This Row],[Produto]],tProdutos[Produto],0))),DescontoPadrao)</f>
        <v>0.253736324829619</v>
      </c>
      <c r="M2626" s="12">
        <f>tItens[[#This Row],[Valor]]*(1-tItens[[#This Row],[Desconto]])</f>
        <v>0</v>
      </c>
      <c r="N2626" t="str">
        <f>IFERROR(INDEX(tProdutos[Foco],MATCH(tItens[[#This Row],[Produto]],tProdutos[Produto],0)),"Não")</f>
        <v>Não</v>
      </c>
      <c r="O2626" t="str">
        <f>IFERROR(INDEX(tEditais[SRP],MATCH(tItens[[#This Row],[Edital]],tEditais[Edital],0)),"Não")</f>
        <v>Sim</v>
      </c>
      <c r="P2626" s="4">
        <f>IF(COUNTIFS(INDEX(tItens[Edital],1):tItens[[#This Row],[Edital]],tItens[[#This Row],[Edital]],INDEX(tItens[Produto],1):tItens[[#This Row],[Produto]],tItens[[#This Row],[Produto]])=1,1,0)</f>
        <v>0</v>
      </c>
    </row>
    <row r="2627" spans="1:16" x14ac:dyDescent="0.25">
      <c r="A2627" t="s">
        <v>1277</v>
      </c>
      <c r="B2627">
        <v>8076931</v>
      </c>
      <c r="C2627" t="s">
        <v>5631</v>
      </c>
      <c r="D2627" t="s">
        <v>494</v>
      </c>
      <c r="E2627" s="13">
        <v>40</v>
      </c>
      <c r="F2627" s="12">
        <v>0</v>
      </c>
      <c r="G2627" t="str">
        <f>IFERROR(INDEX(tEditais[Órgão],MATCH(tItens[[#This Row],[Edital]],tEditais[Edital],0)),"")</f>
        <v>MUNICIPIO DE BURITICUPU</v>
      </c>
      <c r="H2627" t="str">
        <f>IFERROR(INDEX(tEditais[UF],MATCH(tItens[[#This Row],[Edital]],tEditais[Edital],0)),"")</f>
        <v>MA</v>
      </c>
      <c r="I2627" s="11">
        <f>IFERROR(INDEX(tEditais[Encerramento],MATCH(tItens[[#This Row],[Edital]],tEditais[Edital],0)),"")</f>
        <v>46314.354166666664</v>
      </c>
      <c r="J2627" t="str">
        <f>IFERROR(INDEX(tProdutos[Classe],MATCH(tItens[[#This Row],[Produto]],tProdutos[Produto],0)),"produto não cadastrado")</f>
        <v>FILA REBASE</v>
      </c>
      <c r="K2627" s="12">
        <f>tItens[[#This Row],[Qtd]]*tItens[[#This Row],[Vlr unit]]</f>
        <v>0</v>
      </c>
      <c r="L2627" s="6">
        <f>IFERROR(IF(INDEX(tProdutos[Desconto homologado],MATCH(tItens[[#This Row],[Produto]],tProdutos[Produto],0))="",DescontoPadrao,INDEX(tProdutos[Desconto homologado],MATCH(tItens[[#This Row],[Produto]],tProdutos[Produto],0))),DescontoPadrao)</f>
        <v>0.253736324829619</v>
      </c>
      <c r="M2627" s="12">
        <f>tItens[[#This Row],[Valor]]*(1-tItens[[#This Row],[Desconto]])</f>
        <v>0</v>
      </c>
      <c r="N2627" t="str">
        <f>IFERROR(INDEX(tProdutos[Foco],MATCH(tItens[[#This Row],[Produto]],tProdutos[Produto],0)),"Não")</f>
        <v>Não</v>
      </c>
      <c r="O2627" t="str">
        <f>IFERROR(INDEX(tEditais[SRP],MATCH(tItens[[#This Row],[Edital]],tEditais[Edital],0)),"Não")</f>
        <v>Sim</v>
      </c>
      <c r="P2627" s="4">
        <f>IF(COUNTIFS(INDEX(tItens[Edital],1):tItens[[#This Row],[Edital]],tItens[[#This Row],[Edital]],INDEX(tItens[Produto],1):tItens[[#This Row],[Produto]],tItens[[#This Row],[Produto]])=1,1,0)</f>
        <v>0</v>
      </c>
    </row>
    <row r="2628" spans="1:16" x14ac:dyDescent="0.25">
      <c r="A2628" t="s">
        <v>1277</v>
      </c>
      <c r="B2628">
        <v>8076942</v>
      </c>
      <c r="C2628" t="s">
        <v>5632</v>
      </c>
      <c r="D2628" t="s">
        <v>275</v>
      </c>
      <c r="E2628" s="13">
        <v>24000</v>
      </c>
      <c r="F2628" s="12">
        <v>0</v>
      </c>
      <c r="G2628" t="str">
        <f>IFERROR(INDEX(tEditais[Órgão],MATCH(tItens[[#This Row],[Edital]],tEditais[Edital],0)),"")</f>
        <v>MUNICIPIO DE BURITICUPU</v>
      </c>
      <c r="H2628" t="str">
        <f>IFERROR(INDEX(tEditais[UF],MATCH(tItens[[#This Row],[Edital]],tEditais[Edital],0)),"")</f>
        <v>MA</v>
      </c>
      <c r="I2628" s="11">
        <f>IFERROR(INDEX(tEditais[Encerramento],MATCH(tItens[[#This Row],[Edital]],tEditais[Edital],0)),"")</f>
        <v>46314.354166666664</v>
      </c>
      <c r="J2628" t="str">
        <f>IFERROR(INDEX(tProdutos[Classe],MATCH(tItens[[#This Row],[Produto]],tProdutos[Produto],0)),"produto não cadastrado")</f>
        <v>FORA</v>
      </c>
      <c r="K2628" s="12">
        <f>tItens[[#This Row],[Qtd]]*tItens[[#This Row],[Vlr unit]]</f>
        <v>0</v>
      </c>
      <c r="L2628" s="6">
        <f>IFERROR(IF(INDEX(tProdutos[Desconto homologado],MATCH(tItens[[#This Row],[Produto]],tProdutos[Produto],0))="",DescontoPadrao,INDEX(tProdutos[Desconto homologado],MATCH(tItens[[#This Row],[Produto]],tProdutos[Produto],0))),DescontoPadrao)</f>
        <v>0.405797101449275</v>
      </c>
      <c r="M2628" s="12">
        <f>tItens[[#This Row],[Valor]]*(1-tItens[[#This Row],[Desconto]])</f>
        <v>0</v>
      </c>
      <c r="N2628" t="str">
        <f>IFERROR(INDEX(tProdutos[Foco],MATCH(tItens[[#This Row],[Produto]],tProdutos[Produto],0)),"Não")</f>
        <v>Não</v>
      </c>
      <c r="O2628" t="str">
        <f>IFERROR(INDEX(tEditais[SRP],MATCH(tItens[[#This Row],[Edital]],tEditais[Edital],0)),"Não")</f>
        <v>Sim</v>
      </c>
      <c r="P2628" s="4">
        <f>IF(COUNTIFS(INDEX(tItens[Edital],1):tItens[[#This Row],[Edital]],tItens[[#This Row],[Edital]],INDEX(tItens[Produto],1):tItens[[#This Row],[Produto]],tItens[[#This Row],[Produto]])=1,1,0)</f>
        <v>1</v>
      </c>
    </row>
    <row r="2629" spans="1:16" x14ac:dyDescent="0.25">
      <c r="A2629" t="s">
        <v>1277</v>
      </c>
      <c r="B2629">
        <v>8076943</v>
      </c>
      <c r="C2629" t="s">
        <v>5633</v>
      </c>
      <c r="D2629" t="s">
        <v>281</v>
      </c>
      <c r="E2629" s="13">
        <v>120</v>
      </c>
      <c r="F2629" s="12">
        <v>0</v>
      </c>
      <c r="G2629" t="str">
        <f>IFERROR(INDEX(tEditais[Órgão],MATCH(tItens[[#This Row],[Edital]],tEditais[Edital],0)),"")</f>
        <v>MUNICIPIO DE BURITICUPU</v>
      </c>
      <c r="H2629" t="str">
        <f>IFERROR(INDEX(tEditais[UF],MATCH(tItens[[#This Row],[Edital]],tEditais[Edital],0)),"")</f>
        <v>MA</v>
      </c>
      <c r="I2629" s="11">
        <f>IFERROR(INDEX(tEditais[Encerramento],MATCH(tItens[[#This Row],[Edital]],tEditais[Edital],0)),"")</f>
        <v>46314.354166666664</v>
      </c>
      <c r="J2629" t="str">
        <f>IFERROR(INDEX(tProdutos[Classe],MATCH(tItens[[#This Row],[Produto]],tProdutos[Produto],0)),"produto não cadastrado")</f>
        <v>DISPUTADO</v>
      </c>
      <c r="K2629" s="12">
        <f>tItens[[#This Row],[Qtd]]*tItens[[#This Row],[Vlr unit]]</f>
        <v>0</v>
      </c>
      <c r="L2629" s="6">
        <f>IFERROR(IF(INDEX(tProdutos[Desconto homologado],MATCH(tItens[[#This Row],[Produto]],tProdutos[Produto],0))="",DescontoPadrao,INDEX(tProdutos[Desconto homologado],MATCH(tItens[[#This Row],[Produto]],tProdutos[Produto],0))),DescontoPadrao)</f>
        <v>0.42461538461538501</v>
      </c>
      <c r="M2629" s="12">
        <f>tItens[[#This Row],[Valor]]*(1-tItens[[#This Row],[Desconto]])</f>
        <v>0</v>
      </c>
      <c r="N2629" t="str">
        <f>IFERROR(INDEX(tProdutos[Foco],MATCH(tItens[[#This Row],[Produto]],tProdutos[Produto],0)),"Não")</f>
        <v>Não</v>
      </c>
      <c r="O2629" t="str">
        <f>IFERROR(INDEX(tEditais[SRP],MATCH(tItens[[#This Row],[Edital]],tEditais[Edital],0)),"Não")</f>
        <v>Sim</v>
      </c>
      <c r="P2629" s="4">
        <f>IF(COUNTIFS(INDEX(tItens[Edital],1):tItens[[#This Row],[Edital]],tItens[[#This Row],[Edital]],INDEX(tItens[Produto],1):tItens[[#This Row],[Produto]],tItens[[#This Row],[Produto]])=1,1,0)</f>
        <v>1</v>
      </c>
    </row>
    <row r="2630" spans="1:16" x14ac:dyDescent="0.25">
      <c r="A2630" t="s">
        <v>1277</v>
      </c>
      <c r="B2630">
        <v>8076944</v>
      </c>
      <c r="C2630" t="s">
        <v>5634</v>
      </c>
      <c r="D2630" t="s">
        <v>289</v>
      </c>
      <c r="E2630" s="13">
        <v>120</v>
      </c>
      <c r="F2630" s="12">
        <v>0</v>
      </c>
      <c r="G2630" t="str">
        <f>IFERROR(INDEX(tEditais[Órgão],MATCH(tItens[[#This Row],[Edital]],tEditais[Edital],0)),"")</f>
        <v>MUNICIPIO DE BURITICUPU</v>
      </c>
      <c r="H2630" t="str">
        <f>IFERROR(INDEX(tEditais[UF],MATCH(tItens[[#This Row],[Edital]],tEditais[Edital],0)),"")</f>
        <v>MA</v>
      </c>
      <c r="I2630" s="11">
        <f>IFERROR(INDEX(tEditais[Encerramento],MATCH(tItens[[#This Row],[Edital]],tEditais[Edital],0)),"")</f>
        <v>46314.354166666664</v>
      </c>
      <c r="J2630" t="str">
        <f>IFERROR(INDEX(tProdutos[Classe],MATCH(tItens[[#This Row],[Produto]],tProdutos[Produto],0)),"produto não cadastrado")</f>
        <v>DISPUTADO</v>
      </c>
      <c r="K2630" s="12">
        <f>tItens[[#This Row],[Qtd]]*tItens[[#This Row],[Vlr unit]]</f>
        <v>0</v>
      </c>
      <c r="L2630" s="6">
        <f>IFERROR(IF(INDEX(tProdutos[Desconto homologado],MATCH(tItens[[#This Row],[Produto]],tProdutos[Produto],0))="",DescontoPadrao,INDEX(tProdutos[Desconto homologado],MATCH(tItens[[#This Row],[Produto]],tProdutos[Produto],0))),DescontoPadrao)</f>
        <v>0.35849056603773599</v>
      </c>
      <c r="M2630" s="12">
        <f>tItens[[#This Row],[Valor]]*(1-tItens[[#This Row],[Desconto]])</f>
        <v>0</v>
      </c>
      <c r="N2630" t="str">
        <f>IFERROR(INDEX(tProdutos[Foco],MATCH(tItens[[#This Row],[Produto]],tProdutos[Produto],0)),"Não")</f>
        <v>Não</v>
      </c>
      <c r="O2630" t="str">
        <f>IFERROR(INDEX(tEditais[SRP],MATCH(tItens[[#This Row],[Edital]],tEditais[Edital],0)),"Não")</f>
        <v>Sim</v>
      </c>
      <c r="P2630" s="4">
        <f>IF(COUNTIFS(INDEX(tItens[Edital],1):tItens[[#This Row],[Edital]],tItens[[#This Row],[Edital]],INDEX(tItens[Produto],1):tItens[[#This Row],[Produto]],tItens[[#This Row],[Produto]])=1,1,0)</f>
        <v>1</v>
      </c>
    </row>
    <row r="2631" spans="1:16" x14ac:dyDescent="0.25">
      <c r="A2631" t="s">
        <v>1277</v>
      </c>
      <c r="B2631">
        <v>8076945</v>
      </c>
      <c r="C2631" t="s">
        <v>5635</v>
      </c>
      <c r="D2631" t="s">
        <v>265</v>
      </c>
      <c r="E2631" s="13">
        <v>120</v>
      </c>
      <c r="F2631" s="12">
        <v>0</v>
      </c>
      <c r="G2631" t="str">
        <f>IFERROR(INDEX(tEditais[Órgão],MATCH(tItens[[#This Row],[Edital]],tEditais[Edital],0)),"")</f>
        <v>MUNICIPIO DE BURITICUPU</v>
      </c>
      <c r="H2631" t="str">
        <f>IFERROR(INDEX(tEditais[UF],MATCH(tItens[[#This Row],[Edital]],tEditais[Edital],0)),"")</f>
        <v>MA</v>
      </c>
      <c r="I2631" s="11">
        <f>IFERROR(INDEX(tEditais[Encerramento],MATCH(tItens[[#This Row],[Edital]],tEditais[Edital],0)),"")</f>
        <v>46314.354166666664</v>
      </c>
      <c r="J2631" t="str">
        <f>IFERROR(INDEX(tProdutos[Classe],MATCH(tItens[[#This Row],[Produto]],tProdutos[Produto],0)),"produto não cadastrado")</f>
        <v>DISPUTADO</v>
      </c>
      <c r="K2631" s="12">
        <f>tItens[[#This Row],[Qtd]]*tItens[[#This Row],[Vlr unit]]</f>
        <v>0</v>
      </c>
      <c r="L2631" s="6">
        <f>IFERROR(IF(INDEX(tProdutos[Desconto homologado],MATCH(tItens[[#This Row],[Produto]],tProdutos[Produto],0))="",DescontoPadrao,INDEX(tProdutos[Desconto homologado],MATCH(tItens[[#This Row],[Produto]],tProdutos[Produto],0))),DescontoPadrao)</f>
        <v>0.377587663709337</v>
      </c>
      <c r="M2631" s="12">
        <f>tItens[[#This Row],[Valor]]*(1-tItens[[#This Row],[Desconto]])</f>
        <v>0</v>
      </c>
      <c r="N2631" t="str">
        <f>IFERROR(INDEX(tProdutos[Foco],MATCH(tItens[[#This Row],[Produto]],tProdutos[Produto],0)),"Não")</f>
        <v>Não</v>
      </c>
      <c r="O2631" t="str">
        <f>IFERROR(INDEX(tEditais[SRP],MATCH(tItens[[#This Row],[Edital]],tEditais[Edital],0)),"Não")</f>
        <v>Sim</v>
      </c>
      <c r="P2631" s="4">
        <f>IF(COUNTIFS(INDEX(tItens[Edital],1):tItens[[#This Row],[Edital]],tItens[[#This Row],[Edital]],INDEX(tItens[Produto],1):tItens[[#This Row],[Produto]],tItens[[#This Row],[Produto]])=1,1,0)</f>
        <v>1</v>
      </c>
    </row>
    <row r="2632" spans="1:16" x14ac:dyDescent="0.25">
      <c r="A2632" t="s">
        <v>1277</v>
      </c>
      <c r="B2632">
        <v>8076946</v>
      </c>
      <c r="C2632" t="s">
        <v>5636</v>
      </c>
      <c r="D2632" t="s">
        <v>283</v>
      </c>
      <c r="E2632" s="13">
        <v>120</v>
      </c>
      <c r="F2632" s="12">
        <v>0</v>
      </c>
      <c r="G2632" t="str">
        <f>IFERROR(INDEX(tEditais[Órgão],MATCH(tItens[[#This Row],[Edital]],tEditais[Edital],0)),"")</f>
        <v>MUNICIPIO DE BURITICUPU</v>
      </c>
      <c r="H2632" t="str">
        <f>IFERROR(INDEX(tEditais[UF],MATCH(tItens[[#This Row],[Edital]],tEditais[Edital],0)),"")</f>
        <v>MA</v>
      </c>
      <c r="I2632" s="11">
        <f>IFERROR(INDEX(tEditais[Encerramento],MATCH(tItens[[#This Row],[Edital]],tEditais[Edital],0)),"")</f>
        <v>46314.354166666664</v>
      </c>
      <c r="J2632" t="str">
        <f>IFERROR(INDEX(tProdutos[Classe],MATCH(tItens[[#This Row],[Produto]],tProdutos[Produto],0)),"produto não cadastrado")</f>
        <v>FORA</v>
      </c>
      <c r="K2632" s="12">
        <f>tItens[[#This Row],[Qtd]]*tItens[[#This Row],[Vlr unit]]</f>
        <v>0</v>
      </c>
      <c r="L2632" s="6">
        <f>IFERROR(IF(INDEX(tProdutos[Desconto homologado],MATCH(tItens[[#This Row],[Produto]],tProdutos[Produto],0))="",DescontoPadrao,INDEX(tProdutos[Desconto homologado],MATCH(tItens[[#This Row],[Produto]],tProdutos[Produto],0))),DescontoPadrao)</f>
        <v>0.40540540540540498</v>
      </c>
      <c r="M2632" s="12">
        <f>tItens[[#This Row],[Valor]]*(1-tItens[[#This Row],[Desconto]])</f>
        <v>0</v>
      </c>
      <c r="N2632" t="str">
        <f>IFERROR(INDEX(tProdutos[Foco],MATCH(tItens[[#This Row],[Produto]],tProdutos[Produto],0)),"Não")</f>
        <v>Não</v>
      </c>
      <c r="O2632" t="str">
        <f>IFERROR(INDEX(tEditais[SRP],MATCH(tItens[[#This Row],[Edital]],tEditais[Edital],0)),"Não")</f>
        <v>Sim</v>
      </c>
      <c r="P2632" s="4">
        <f>IF(COUNTIFS(INDEX(tItens[Edital],1):tItens[[#This Row],[Edital]],tItens[[#This Row],[Edital]],INDEX(tItens[Produto],1):tItens[[#This Row],[Produto]],tItens[[#This Row],[Produto]])=1,1,0)</f>
        <v>1</v>
      </c>
    </row>
    <row r="2633" spans="1:16" x14ac:dyDescent="0.25">
      <c r="A2633" t="s">
        <v>1277</v>
      </c>
      <c r="B2633">
        <v>8076948</v>
      </c>
      <c r="C2633" t="s">
        <v>5637</v>
      </c>
      <c r="D2633" t="s">
        <v>114</v>
      </c>
      <c r="E2633" s="13">
        <v>320</v>
      </c>
      <c r="F2633" s="12">
        <v>0</v>
      </c>
      <c r="G2633" t="str">
        <f>IFERROR(INDEX(tEditais[Órgão],MATCH(tItens[[#This Row],[Edital]],tEditais[Edital],0)),"")</f>
        <v>MUNICIPIO DE BURITICUPU</v>
      </c>
      <c r="H2633" t="str">
        <f>IFERROR(INDEX(tEditais[UF],MATCH(tItens[[#This Row],[Edital]],tEditais[Edital],0)),"")</f>
        <v>MA</v>
      </c>
      <c r="I2633" s="11">
        <f>IFERROR(INDEX(tEditais[Encerramento],MATCH(tItens[[#This Row],[Edital]],tEditais[Edital],0)),"")</f>
        <v>46314.354166666664</v>
      </c>
      <c r="J2633" t="str">
        <f>IFERROR(INDEX(tProdutos[Classe],MATCH(tItens[[#This Row],[Produto]],tProdutos[Produto],0)),"produto não cadastrado")</f>
        <v>DISPUTADO</v>
      </c>
      <c r="K2633" s="12">
        <f>tItens[[#This Row],[Qtd]]*tItens[[#This Row],[Vlr unit]]</f>
        <v>0</v>
      </c>
      <c r="L2633" s="6">
        <f>IFERROR(IF(INDEX(tProdutos[Desconto homologado],MATCH(tItens[[#This Row],[Produto]],tProdutos[Produto],0))="",DescontoPadrao,INDEX(tProdutos[Desconto homologado],MATCH(tItens[[#This Row],[Produto]],tProdutos[Produto],0))),DescontoPadrao)</f>
        <v>0.24332656063896899</v>
      </c>
      <c r="M2633" s="12">
        <f>tItens[[#This Row],[Valor]]*(1-tItens[[#This Row],[Desconto]])</f>
        <v>0</v>
      </c>
      <c r="N2633" t="str">
        <f>IFERROR(INDEX(tProdutos[Foco],MATCH(tItens[[#This Row],[Produto]],tProdutos[Produto],0)),"Não")</f>
        <v>Não</v>
      </c>
      <c r="O2633" t="str">
        <f>IFERROR(INDEX(tEditais[SRP],MATCH(tItens[[#This Row],[Edital]],tEditais[Edital],0)),"Não")</f>
        <v>Sim</v>
      </c>
      <c r="P2633" s="4">
        <f>IF(COUNTIFS(INDEX(tItens[Edital],1):tItens[[#This Row],[Edital]],tItens[[#This Row],[Edital]],INDEX(tItens[Produto],1):tItens[[#This Row],[Produto]],tItens[[#This Row],[Produto]])=1,1,0)</f>
        <v>1</v>
      </c>
    </row>
    <row r="2634" spans="1:16" x14ac:dyDescent="0.25">
      <c r="A2634" t="s">
        <v>1277</v>
      </c>
      <c r="B2634">
        <v>8076961</v>
      </c>
      <c r="C2634" t="s">
        <v>5638</v>
      </c>
      <c r="D2634" t="s">
        <v>62</v>
      </c>
      <c r="E2634" s="13">
        <v>4</v>
      </c>
      <c r="F2634" s="12">
        <v>0</v>
      </c>
      <c r="G2634" t="str">
        <f>IFERROR(INDEX(tEditais[Órgão],MATCH(tItens[[#This Row],[Edital]],tEditais[Edital],0)),"")</f>
        <v>MUNICIPIO DE BURITICUPU</v>
      </c>
      <c r="H2634" t="str">
        <f>IFERROR(INDEX(tEditais[UF],MATCH(tItens[[#This Row],[Edital]],tEditais[Edital],0)),"")</f>
        <v>MA</v>
      </c>
      <c r="I2634" s="11">
        <f>IFERROR(INDEX(tEditais[Encerramento],MATCH(tItens[[#This Row],[Edital]],tEditais[Edital],0)),"")</f>
        <v>46314.354166666664</v>
      </c>
      <c r="J2634" t="str">
        <f>IFERROR(INDEX(tProdutos[Classe],MATCH(tItens[[#This Row],[Produto]],tProdutos[Produto],0)),"produto não cadastrado")</f>
        <v>NÚCLEO</v>
      </c>
      <c r="K2634" s="12">
        <f>tItens[[#This Row],[Qtd]]*tItens[[#This Row],[Vlr unit]]</f>
        <v>0</v>
      </c>
      <c r="L2634" s="6">
        <f>IFERROR(IF(INDEX(tProdutos[Desconto homologado],MATCH(tItens[[#This Row],[Produto]],tProdutos[Produto],0))="",DescontoPadrao,INDEX(tProdutos[Desconto homologado],MATCH(tItens[[#This Row],[Produto]],tProdutos[Produto],0))),DescontoPadrao)</f>
        <v>0.3</v>
      </c>
      <c r="M2634" s="12">
        <f>tItens[[#This Row],[Valor]]*(1-tItens[[#This Row],[Desconto]])</f>
        <v>0</v>
      </c>
      <c r="N2634" t="str">
        <f>IFERROR(INDEX(tProdutos[Foco],MATCH(tItens[[#This Row],[Produto]],tProdutos[Produto],0)),"Não")</f>
        <v>Sim</v>
      </c>
      <c r="O2634" t="str">
        <f>IFERROR(INDEX(tEditais[SRP],MATCH(tItens[[#This Row],[Edital]],tEditais[Edital],0)),"Não")</f>
        <v>Sim</v>
      </c>
      <c r="P2634" s="4">
        <f>IF(COUNTIFS(INDEX(tItens[Edital],1):tItens[[#This Row],[Edital]],tItens[[#This Row],[Edital]],INDEX(tItens[Produto],1):tItens[[#This Row],[Produto]],tItens[[#This Row],[Produto]])=1,1,0)</f>
        <v>1</v>
      </c>
    </row>
    <row r="2635" spans="1:16" x14ac:dyDescent="0.25">
      <c r="A2635" t="s">
        <v>1277</v>
      </c>
      <c r="B2635">
        <v>8076972</v>
      </c>
      <c r="C2635" t="s">
        <v>5639</v>
      </c>
      <c r="D2635" t="s">
        <v>172</v>
      </c>
      <c r="E2635" s="13">
        <v>400</v>
      </c>
      <c r="F2635" s="12">
        <v>0</v>
      </c>
      <c r="G2635" t="str">
        <f>IFERROR(INDEX(tEditais[Órgão],MATCH(tItens[[#This Row],[Edital]],tEditais[Edital],0)),"")</f>
        <v>MUNICIPIO DE BURITICUPU</v>
      </c>
      <c r="H2635" t="str">
        <f>IFERROR(INDEX(tEditais[UF],MATCH(tItens[[#This Row],[Edital]],tEditais[Edital],0)),"")</f>
        <v>MA</v>
      </c>
      <c r="I2635" s="11">
        <f>IFERROR(INDEX(tEditais[Encerramento],MATCH(tItens[[#This Row],[Edital]],tEditais[Edital],0)),"")</f>
        <v>46314.354166666664</v>
      </c>
      <c r="J2635" t="str">
        <f>IFERROR(INDEX(tProdutos[Classe],MATCH(tItens[[#This Row],[Produto]],tProdutos[Produto],0)),"produto não cadastrado")</f>
        <v>DISPUTADO</v>
      </c>
      <c r="K2635" s="12">
        <f>tItens[[#This Row],[Qtd]]*tItens[[#This Row],[Vlr unit]]</f>
        <v>0</v>
      </c>
      <c r="L2635" s="6">
        <f>IFERROR(IF(INDEX(tProdutos[Desconto homologado],MATCH(tItens[[#This Row],[Produto]],tProdutos[Produto],0))="",DescontoPadrao,INDEX(tProdutos[Desconto homologado],MATCH(tItens[[#This Row],[Produto]],tProdutos[Produto],0))),DescontoPadrao)</f>
        <v>0.33578431372549</v>
      </c>
      <c r="M2635" s="12">
        <f>tItens[[#This Row],[Valor]]*(1-tItens[[#This Row],[Desconto]])</f>
        <v>0</v>
      </c>
      <c r="N2635" t="str">
        <f>IFERROR(INDEX(tProdutos[Foco],MATCH(tItens[[#This Row],[Produto]],tProdutos[Produto],0)),"Não")</f>
        <v>Não</v>
      </c>
      <c r="O2635" t="str">
        <f>IFERROR(INDEX(tEditais[SRP],MATCH(tItens[[#This Row],[Edital]],tEditais[Edital],0)),"Não")</f>
        <v>Sim</v>
      </c>
      <c r="P2635" s="4">
        <f>IF(COUNTIFS(INDEX(tItens[Edital],1):tItens[[#This Row],[Edital]],tItens[[#This Row],[Edital]],INDEX(tItens[Produto],1):tItens[[#This Row],[Produto]],tItens[[#This Row],[Produto]])=1,1,0)</f>
        <v>1</v>
      </c>
    </row>
    <row r="2636" spans="1:16" x14ac:dyDescent="0.25">
      <c r="A2636" t="s">
        <v>1277</v>
      </c>
      <c r="B2636">
        <v>8076973</v>
      </c>
      <c r="C2636" t="s">
        <v>5640</v>
      </c>
      <c r="D2636" t="s">
        <v>80</v>
      </c>
      <c r="E2636" s="13">
        <v>120</v>
      </c>
      <c r="F2636" s="12">
        <v>0</v>
      </c>
      <c r="G2636" t="str">
        <f>IFERROR(INDEX(tEditais[Órgão],MATCH(tItens[[#This Row],[Edital]],tEditais[Edital],0)),"")</f>
        <v>MUNICIPIO DE BURITICUPU</v>
      </c>
      <c r="H2636" t="str">
        <f>IFERROR(INDEX(tEditais[UF],MATCH(tItens[[#This Row],[Edital]],tEditais[Edital],0)),"")</f>
        <v>MA</v>
      </c>
      <c r="I2636" s="11">
        <f>IFERROR(INDEX(tEditais[Encerramento],MATCH(tItens[[#This Row],[Edital]],tEditais[Edital],0)),"")</f>
        <v>46314.354166666664</v>
      </c>
      <c r="J2636" t="str">
        <f>IFERROR(INDEX(tProdutos[Classe],MATCH(tItens[[#This Row],[Produto]],tProdutos[Produto],0)),"produto não cadastrado")</f>
        <v>NÚCLEO</v>
      </c>
      <c r="K2636" s="12">
        <f>tItens[[#This Row],[Qtd]]*tItens[[#This Row],[Vlr unit]]</f>
        <v>0</v>
      </c>
      <c r="L2636" s="6">
        <f>IFERROR(IF(INDEX(tProdutos[Desconto homologado],MATCH(tItens[[#This Row],[Produto]],tProdutos[Produto],0))="",DescontoPadrao,INDEX(tProdutos[Desconto homologado],MATCH(tItens[[#This Row],[Produto]],tProdutos[Produto],0))),DescontoPadrao)</f>
        <v>0.33</v>
      </c>
      <c r="M2636" s="12">
        <f>tItens[[#This Row],[Valor]]*(1-tItens[[#This Row],[Desconto]])</f>
        <v>0</v>
      </c>
      <c r="N2636" t="str">
        <f>IFERROR(INDEX(tProdutos[Foco],MATCH(tItens[[#This Row],[Produto]],tProdutos[Produto],0)),"Não")</f>
        <v>Sim</v>
      </c>
      <c r="O2636" t="str">
        <f>IFERROR(INDEX(tEditais[SRP],MATCH(tItens[[#This Row],[Edital]],tEditais[Edital],0)),"Não")</f>
        <v>Sim</v>
      </c>
      <c r="P2636" s="4">
        <f>IF(COUNTIFS(INDEX(tItens[Edital],1):tItens[[#This Row],[Edital]],tItens[[#This Row],[Edital]],INDEX(tItens[Produto],1):tItens[[#This Row],[Produto]],tItens[[#This Row],[Produto]])=1,1,0)</f>
        <v>1</v>
      </c>
    </row>
    <row r="2637" spans="1:16" x14ac:dyDescent="0.25">
      <c r="A2637" t="s">
        <v>1277</v>
      </c>
      <c r="B2637">
        <v>8076974</v>
      </c>
      <c r="C2637" t="s">
        <v>5641</v>
      </c>
      <c r="D2637" t="s">
        <v>80</v>
      </c>
      <c r="E2637" s="13">
        <v>120</v>
      </c>
      <c r="F2637" s="12">
        <v>0</v>
      </c>
      <c r="G2637" t="str">
        <f>IFERROR(INDEX(tEditais[Órgão],MATCH(tItens[[#This Row],[Edital]],tEditais[Edital],0)),"")</f>
        <v>MUNICIPIO DE BURITICUPU</v>
      </c>
      <c r="H2637" t="str">
        <f>IFERROR(INDEX(tEditais[UF],MATCH(tItens[[#This Row],[Edital]],tEditais[Edital],0)),"")</f>
        <v>MA</v>
      </c>
      <c r="I2637" s="11">
        <f>IFERROR(INDEX(tEditais[Encerramento],MATCH(tItens[[#This Row],[Edital]],tEditais[Edital],0)),"")</f>
        <v>46314.354166666664</v>
      </c>
      <c r="J2637" t="str">
        <f>IFERROR(INDEX(tProdutos[Classe],MATCH(tItens[[#This Row],[Produto]],tProdutos[Produto],0)),"produto não cadastrado")</f>
        <v>NÚCLEO</v>
      </c>
      <c r="K2637" s="12">
        <f>tItens[[#This Row],[Qtd]]*tItens[[#This Row],[Vlr unit]]</f>
        <v>0</v>
      </c>
      <c r="L2637" s="6">
        <f>IFERROR(IF(INDEX(tProdutos[Desconto homologado],MATCH(tItens[[#This Row],[Produto]],tProdutos[Produto],0))="",DescontoPadrao,INDEX(tProdutos[Desconto homologado],MATCH(tItens[[#This Row],[Produto]],tProdutos[Produto],0))),DescontoPadrao)</f>
        <v>0.33</v>
      </c>
      <c r="M2637" s="12">
        <f>tItens[[#This Row],[Valor]]*(1-tItens[[#This Row],[Desconto]])</f>
        <v>0</v>
      </c>
      <c r="N2637" t="str">
        <f>IFERROR(INDEX(tProdutos[Foco],MATCH(tItens[[#This Row],[Produto]],tProdutos[Produto],0)),"Não")</f>
        <v>Sim</v>
      </c>
      <c r="O2637" t="str">
        <f>IFERROR(INDEX(tEditais[SRP],MATCH(tItens[[#This Row],[Edital]],tEditais[Edital],0)),"Não")</f>
        <v>Sim</v>
      </c>
      <c r="P2637" s="4">
        <f>IF(COUNTIFS(INDEX(tItens[Edital],1):tItens[[#This Row],[Edital]],tItens[[#This Row],[Edital]],INDEX(tItens[Produto],1):tItens[[#This Row],[Produto]],tItens[[#This Row],[Produto]])=1,1,0)</f>
        <v>0</v>
      </c>
    </row>
    <row r="2638" spans="1:16" x14ac:dyDescent="0.25">
      <c r="A2638" t="s">
        <v>1277</v>
      </c>
      <c r="B2638">
        <v>8076975</v>
      </c>
      <c r="C2638" t="s">
        <v>5642</v>
      </c>
      <c r="D2638" t="s">
        <v>269</v>
      </c>
      <c r="E2638" s="13">
        <v>600</v>
      </c>
      <c r="F2638" s="12">
        <v>0</v>
      </c>
      <c r="G2638" t="str">
        <f>IFERROR(INDEX(tEditais[Órgão],MATCH(tItens[[#This Row],[Edital]],tEditais[Edital],0)),"")</f>
        <v>MUNICIPIO DE BURITICUPU</v>
      </c>
      <c r="H2638" t="str">
        <f>IFERROR(INDEX(tEditais[UF],MATCH(tItens[[#This Row],[Edital]],tEditais[Edital],0)),"")</f>
        <v>MA</v>
      </c>
      <c r="I2638" s="11">
        <f>IFERROR(INDEX(tEditais[Encerramento],MATCH(tItens[[#This Row],[Edital]],tEditais[Edital],0)),"")</f>
        <v>46314.354166666664</v>
      </c>
      <c r="J2638" t="str">
        <f>IFERROR(INDEX(tProdutos[Classe],MATCH(tItens[[#This Row],[Produto]],tProdutos[Produto],0)),"produto não cadastrado")</f>
        <v>FORA</v>
      </c>
      <c r="K2638" s="12">
        <f>tItens[[#This Row],[Qtd]]*tItens[[#This Row],[Vlr unit]]</f>
        <v>0</v>
      </c>
      <c r="L2638" s="6">
        <f>IFERROR(IF(INDEX(tProdutos[Desconto homologado],MATCH(tItens[[#This Row],[Produto]],tProdutos[Produto],0))="",DescontoPadrao,INDEX(tProdutos[Desconto homologado],MATCH(tItens[[#This Row],[Produto]],tProdutos[Produto],0))),DescontoPadrao)</f>
        <v>0.28935117103332197</v>
      </c>
      <c r="M2638" s="12">
        <f>tItens[[#This Row],[Valor]]*(1-tItens[[#This Row],[Desconto]])</f>
        <v>0</v>
      </c>
      <c r="N2638" t="str">
        <f>IFERROR(INDEX(tProdutos[Foco],MATCH(tItens[[#This Row],[Produto]],tProdutos[Produto],0)),"Não")</f>
        <v>Não</v>
      </c>
      <c r="O2638" t="str">
        <f>IFERROR(INDEX(tEditais[SRP],MATCH(tItens[[#This Row],[Edital]],tEditais[Edital],0)),"Não")</f>
        <v>Sim</v>
      </c>
      <c r="P2638" s="4">
        <f>IF(COUNTIFS(INDEX(tItens[Edital],1):tItens[[#This Row],[Edital]],tItens[[#This Row],[Edital]],INDEX(tItens[Produto],1):tItens[[#This Row],[Produto]],tItens[[#This Row],[Produto]])=1,1,0)</f>
        <v>1</v>
      </c>
    </row>
    <row r="2639" spans="1:16" x14ac:dyDescent="0.25">
      <c r="A2639" t="s">
        <v>1277</v>
      </c>
      <c r="B2639">
        <v>8076988</v>
      </c>
      <c r="C2639" t="s">
        <v>5643</v>
      </c>
      <c r="D2639" t="s">
        <v>136</v>
      </c>
      <c r="E2639" s="13">
        <v>80</v>
      </c>
      <c r="F2639" s="12">
        <v>0</v>
      </c>
      <c r="G2639" t="str">
        <f>IFERROR(INDEX(tEditais[Órgão],MATCH(tItens[[#This Row],[Edital]],tEditais[Edital],0)),"")</f>
        <v>MUNICIPIO DE BURITICUPU</v>
      </c>
      <c r="H2639" t="str">
        <f>IFERROR(INDEX(tEditais[UF],MATCH(tItens[[#This Row],[Edital]],tEditais[Edital],0)),"")</f>
        <v>MA</v>
      </c>
      <c r="I2639" s="11">
        <f>IFERROR(INDEX(tEditais[Encerramento],MATCH(tItens[[#This Row],[Edital]],tEditais[Edital],0)),"")</f>
        <v>46314.354166666664</v>
      </c>
      <c r="J2639" t="str">
        <f>IFERROR(INDEX(tProdutos[Classe],MATCH(tItens[[#This Row],[Produto]],tProdutos[Produto],0)),"produto não cadastrado")</f>
        <v>DISPUTADO</v>
      </c>
      <c r="K2639" s="12">
        <f>tItens[[#This Row],[Qtd]]*tItens[[#This Row],[Vlr unit]]</f>
        <v>0</v>
      </c>
      <c r="L2639" s="6">
        <f>IFERROR(IF(INDEX(tProdutos[Desconto homologado],MATCH(tItens[[#This Row],[Produto]],tProdutos[Produto],0))="",DescontoPadrao,INDEX(tProdutos[Desconto homologado],MATCH(tItens[[#This Row],[Produto]],tProdutos[Produto],0))),DescontoPadrao)</f>
        <v>0.330646209370899</v>
      </c>
      <c r="M2639" s="12">
        <f>tItens[[#This Row],[Valor]]*(1-tItens[[#This Row],[Desconto]])</f>
        <v>0</v>
      </c>
      <c r="N2639" t="str">
        <f>IFERROR(INDEX(tProdutos[Foco],MATCH(tItens[[#This Row],[Produto]],tProdutos[Produto],0)),"Não")</f>
        <v>Não</v>
      </c>
      <c r="O2639" t="str">
        <f>IFERROR(INDEX(tEditais[SRP],MATCH(tItens[[#This Row],[Edital]],tEditais[Edital],0)),"Não")</f>
        <v>Sim</v>
      </c>
      <c r="P2639" s="4">
        <f>IF(COUNTIFS(INDEX(tItens[Edital],1):tItens[[#This Row],[Edital]],tItens[[#This Row],[Edital]],INDEX(tItens[Produto],1):tItens[[#This Row],[Produto]],tItens[[#This Row],[Produto]])=1,1,0)</f>
        <v>1</v>
      </c>
    </row>
    <row r="2640" spans="1:16" x14ac:dyDescent="0.25">
      <c r="A2640" t="s">
        <v>1277</v>
      </c>
      <c r="B2640">
        <v>8077000</v>
      </c>
      <c r="C2640" t="s">
        <v>5644</v>
      </c>
      <c r="D2640" t="s">
        <v>245</v>
      </c>
      <c r="E2640" s="13">
        <v>160</v>
      </c>
      <c r="F2640" s="12">
        <v>0</v>
      </c>
      <c r="G2640" t="str">
        <f>IFERROR(INDEX(tEditais[Órgão],MATCH(tItens[[#This Row],[Edital]],tEditais[Edital],0)),"")</f>
        <v>MUNICIPIO DE BURITICUPU</v>
      </c>
      <c r="H2640" t="str">
        <f>IFERROR(INDEX(tEditais[UF],MATCH(tItens[[#This Row],[Edital]],tEditais[Edital],0)),"")</f>
        <v>MA</v>
      </c>
      <c r="I2640" s="11">
        <f>IFERROR(INDEX(tEditais[Encerramento],MATCH(tItens[[#This Row],[Edital]],tEditais[Edital],0)),"")</f>
        <v>46314.354166666664</v>
      </c>
      <c r="J2640" t="str">
        <f>IFERROR(INDEX(tProdutos[Classe],MATCH(tItens[[#This Row],[Produto]],tProdutos[Produto],0)),"produto não cadastrado")</f>
        <v>FORA</v>
      </c>
      <c r="K2640" s="12">
        <f>tItens[[#This Row],[Qtd]]*tItens[[#This Row],[Vlr unit]]</f>
        <v>0</v>
      </c>
      <c r="L2640" s="6">
        <f>IFERROR(IF(INDEX(tProdutos[Desconto homologado],MATCH(tItens[[#This Row],[Produto]],tProdutos[Produto],0))="",DescontoPadrao,INDEX(tProdutos[Desconto homologado],MATCH(tItens[[#This Row],[Produto]],tProdutos[Produto],0))),DescontoPadrao)</f>
        <v>0.34516963542284401</v>
      </c>
      <c r="M2640" s="12">
        <f>tItens[[#This Row],[Valor]]*(1-tItens[[#This Row],[Desconto]])</f>
        <v>0</v>
      </c>
      <c r="N2640" t="str">
        <f>IFERROR(INDEX(tProdutos[Foco],MATCH(tItens[[#This Row],[Produto]],tProdutos[Produto],0)),"Não")</f>
        <v>Não</v>
      </c>
      <c r="O2640" t="str">
        <f>IFERROR(INDEX(tEditais[SRP],MATCH(tItens[[#This Row],[Edital]],tEditais[Edital],0)),"Não")</f>
        <v>Sim</v>
      </c>
      <c r="P2640" s="4">
        <f>IF(COUNTIFS(INDEX(tItens[Edital],1):tItens[[#This Row],[Edital]],tItens[[#This Row],[Edital]],INDEX(tItens[Produto],1):tItens[[#This Row],[Produto]],tItens[[#This Row],[Produto]])=1,1,0)</f>
        <v>1</v>
      </c>
    </row>
    <row r="2641" spans="1:16" x14ac:dyDescent="0.25">
      <c r="A2641" t="s">
        <v>1277</v>
      </c>
      <c r="B2641">
        <v>8077004</v>
      </c>
      <c r="C2641" t="s">
        <v>5645</v>
      </c>
      <c r="D2641" t="s">
        <v>327</v>
      </c>
      <c r="E2641" s="13">
        <v>400</v>
      </c>
      <c r="F2641" s="12">
        <v>0</v>
      </c>
      <c r="G2641" t="str">
        <f>IFERROR(INDEX(tEditais[Órgão],MATCH(tItens[[#This Row],[Edital]],tEditais[Edital],0)),"")</f>
        <v>MUNICIPIO DE BURITICUPU</v>
      </c>
      <c r="H2641" t="str">
        <f>IFERROR(INDEX(tEditais[UF],MATCH(tItens[[#This Row],[Edital]],tEditais[Edital],0)),"")</f>
        <v>MA</v>
      </c>
      <c r="I2641" s="11">
        <f>IFERROR(INDEX(tEditais[Encerramento],MATCH(tItens[[#This Row],[Edital]],tEditais[Edital],0)),"")</f>
        <v>46314.354166666664</v>
      </c>
      <c r="J2641" t="str">
        <f>IFERROR(INDEX(tProdutos[Classe],MATCH(tItens[[#This Row],[Produto]],tProdutos[Produto],0)),"produto não cadastrado")</f>
        <v>FORA</v>
      </c>
      <c r="K2641" s="12">
        <f>tItens[[#This Row],[Qtd]]*tItens[[#This Row],[Vlr unit]]</f>
        <v>0</v>
      </c>
      <c r="L2641" s="6">
        <f>IFERROR(IF(INDEX(tProdutos[Desconto homologado],MATCH(tItens[[#This Row],[Produto]],tProdutos[Produto],0))="",DescontoPadrao,INDEX(tProdutos[Desconto homologado],MATCH(tItens[[#This Row],[Produto]],tProdutos[Produto],0))),DescontoPadrao)</f>
        <v>0.49969483918783197</v>
      </c>
      <c r="M2641" s="12">
        <f>tItens[[#This Row],[Valor]]*(1-tItens[[#This Row],[Desconto]])</f>
        <v>0</v>
      </c>
      <c r="N2641" t="str">
        <f>IFERROR(INDEX(tProdutos[Foco],MATCH(tItens[[#This Row],[Produto]],tProdutos[Produto],0)),"Não")</f>
        <v>Não</v>
      </c>
      <c r="O2641" t="str">
        <f>IFERROR(INDEX(tEditais[SRP],MATCH(tItens[[#This Row],[Edital]],tEditais[Edital],0)),"Não")</f>
        <v>Sim</v>
      </c>
      <c r="P2641" s="4">
        <f>IF(COUNTIFS(INDEX(tItens[Edital],1):tItens[[#This Row],[Edital]],tItens[[#This Row],[Edital]],INDEX(tItens[Produto],1):tItens[[#This Row],[Produto]],tItens[[#This Row],[Produto]])=1,1,0)</f>
        <v>1</v>
      </c>
    </row>
    <row r="2642" spans="1:16" x14ac:dyDescent="0.25">
      <c r="A2642" t="s">
        <v>1277</v>
      </c>
      <c r="B2642">
        <v>8077012</v>
      </c>
      <c r="C2642" t="s">
        <v>5646</v>
      </c>
      <c r="D2642" t="s">
        <v>110</v>
      </c>
      <c r="E2642" s="13">
        <v>100</v>
      </c>
      <c r="F2642" s="12">
        <v>0</v>
      </c>
      <c r="G2642" t="str">
        <f>IFERROR(INDEX(tEditais[Órgão],MATCH(tItens[[#This Row],[Edital]],tEditais[Edital],0)),"")</f>
        <v>MUNICIPIO DE BURITICUPU</v>
      </c>
      <c r="H2642" t="str">
        <f>IFERROR(INDEX(tEditais[UF],MATCH(tItens[[#This Row],[Edital]],tEditais[Edital],0)),"")</f>
        <v>MA</v>
      </c>
      <c r="I2642" s="11">
        <f>IFERROR(INDEX(tEditais[Encerramento],MATCH(tItens[[#This Row],[Edital]],tEditais[Edital],0)),"")</f>
        <v>46314.354166666664</v>
      </c>
      <c r="J2642" t="str">
        <f>IFERROR(INDEX(tProdutos[Classe],MATCH(tItens[[#This Row],[Produto]],tProdutos[Produto],0)),"produto não cadastrado")</f>
        <v>NÚCLEO</v>
      </c>
      <c r="K2642" s="12">
        <f>tItens[[#This Row],[Qtd]]*tItens[[#This Row],[Vlr unit]]</f>
        <v>0</v>
      </c>
      <c r="L2642" s="6">
        <f>IFERROR(IF(INDEX(tProdutos[Desconto homologado],MATCH(tItens[[#This Row],[Produto]],tProdutos[Produto],0))="",DescontoPadrao,INDEX(tProdutos[Desconto homologado],MATCH(tItens[[#This Row],[Produto]],tProdutos[Produto],0))),DescontoPadrao)</f>
        <v>0.30410958904109597</v>
      </c>
      <c r="M2642" s="12">
        <f>tItens[[#This Row],[Valor]]*(1-tItens[[#This Row],[Desconto]])</f>
        <v>0</v>
      </c>
      <c r="N2642" t="str">
        <f>IFERROR(INDEX(tProdutos[Foco],MATCH(tItens[[#This Row],[Produto]],tProdutos[Produto],0)),"Não")</f>
        <v>Não</v>
      </c>
      <c r="O2642" t="str">
        <f>IFERROR(INDEX(tEditais[SRP],MATCH(tItens[[#This Row],[Edital]],tEditais[Edital],0)),"Não")</f>
        <v>Sim</v>
      </c>
      <c r="P2642" s="4">
        <f>IF(COUNTIFS(INDEX(tItens[Edital],1):tItens[[#This Row],[Edital]],tItens[[#This Row],[Edital]],INDEX(tItens[Produto],1):tItens[[#This Row],[Produto]],tItens[[#This Row],[Produto]])=1,1,0)</f>
        <v>1</v>
      </c>
    </row>
    <row r="2643" spans="1:16" x14ac:dyDescent="0.25">
      <c r="A2643" t="s">
        <v>1277</v>
      </c>
      <c r="B2643">
        <v>8077013</v>
      </c>
      <c r="C2643" t="s">
        <v>5647</v>
      </c>
      <c r="D2643" t="s">
        <v>110</v>
      </c>
      <c r="E2643" s="13">
        <v>100</v>
      </c>
      <c r="F2643" s="12">
        <v>0</v>
      </c>
      <c r="G2643" t="str">
        <f>IFERROR(INDEX(tEditais[Órgão],MATCH(tItens[[#This Row],[Edital]],tEditais[Edital],0)),"")</f>
        <v>MUNICIPIO DE BURITICUPU</v>
      </c>
      <c r="H2643" t="str">
        <f>IFERROR(INDEX(tEditais[UF],MATCH(tItens[[#This Row],[Edital]],tEditais[Edital],0)),"")</f>
        <v>MA</v>
      </c>
      <c r="I2643" s="11">
        <f>IFERROR(INDEX(tEditais[Encerramento],MATCH(tItens[[#This Row],[Edital]],tEditais[Edital],0)),"")</f>
        <v>46314.354166666664</v>
      </c>
      <c r="J2643" t="str">
        <f>IFERROR(INDEX(tProdutos[Classe],MATCH(tItens[[#This Row],[Produto]],tProdutos[Produto],0)),"produto não cadastrado")</f>
        <v>NÚCLEO</v>
      </c>
      <c r="K2643" s="12">
        <f>tItens[[#This Row],[Qtd]]*tItens[[#This Row],[Vlr unit]]</f>
        <v>0</v>
      </c>
      <c r="L2643" s="6">
        <f>IFERROR(IF(INDEX(tProdutos[Desconto homologado],MATCH(tItens[[#This Row],[Produto]],tProdutos[Produto],0))="",DescontoPadrao,INDEX(tProdutos[Desconto homologado],MATCH(tItens[[#This Row],[Produto]],tProdutos[Produto],0))),DescontoPadrao)</f>
        <v>0.30410958904109597</v>
      </c>
      <c r="M2643" s="12">
        <f>tItens[[#This Row],[Valor]]*(1-tItens[[#This Row],[Desconto]])</f>
        <v>0</v>
      </c>
      <c r="N2643" t="str">
        <f>IFERROR(INDEX(tProdutos[Foco],MATCH(tItens[[#This Row],[Produto]],tProdutos[Produto],0)),"Não")</f>
        <v>Não</v>
      </c>
      <c r="O2643" t="str">
        <f>IFERROR(INDEX(tEditais[SRP],MATCH(tItens[[#This Row],[Edital]],tEditais[Edital],0)),"Não")</f>
        <v>Sim</v>
      </c>
      <c r="P2643" s="4">
        <f>IF(COUNTIFS(INDEX(tItens[Edital],1):tItens[[#This Row],[Edital]],tItens[[#This Row],[Edital]],INDEX(tItens[Produto],1):tItens[[#This Row],[Produto]],tItens[[#This Row],[Produto]])=1,1,0)</f>
        <v>0</v>
      </c>
    </row>
    <row r="2644" spans="1:16" x14ac:dyDescent="0.25">
      <c r="A2644" t="s">
        <v>1277</v>
      </c>
      <c r="B2644">
        <v>8077014</v>
      </c>
      <c r="C2644" t="s">
        <v>5648</v>
      </c>
      <c r="D2644" t="s">
        <v>110</v>
      </c>
      <c r="E2644" s="13">
        <v>100</v>
      </c>
      <c r="F2644" s="12">
        <v>0</v>
      </c>
      <c r="G2644" t="str">
        <f>IFERROR(INDEX(tEditais[Órgão],MATCH(tItens[[#This Row],[Edital]],tEditais[Edital],0)),"")</f>
        <v>MUNICIPIO DE BURITICUPU</v>
      </c>
      <c r="H2644" t="str">
        <f>IFERROR(INDEX(tEditais[UF],MATCH(tItens[[#This Row],[Edital]],tEditais[Edital],0)),"")</f>
        <v>MA</v>
      </c>
      <c r="I2644" s="11">
        <f>IFERROR(INDEX(tEditais[Encerramento],MATCH(tItens[[#This Row],[Edital]],tEditais[Edital],0)),"")</f>
        <v>46314.354166666664</v>
      </c>
      <c r="J2644" t="str">
        <f>IFERROR(INDEX(tProdutos[Classe],MATCH(tItens[[#This Row],[Produto]],tProdutos[Produto],0)),"produto não cadastrado")</f>
        <v>NÚCLEO</v>
      </c>
      <c r="K2644" s="12">
        <f>tItens[[#This Row],[Qtd]]*tItens[[#This Row],[Vlr unit]]</f>
        <v>0</v>
      </c>
      <c r="L2644" s="6">
        <f>IFERROR(IF(INDEX(tProdutos[Desconto homologado],MATCH(tItens[[#This Row],[Produto]],tProdutos[Produto],0))="",DescontoPadrao,INDEX(tProdutos[Desconto homologado],MATCH(tItens[[#This Row],[Produto]],tProdutos[Produto],0))),DescontoPadrao)</f>
        <v>0.30410958904109597</v>
      </c>
      <c r="M2644" s="12">
        <f>tItens[[#This Row],[Valor]]*(1-tItens[[#This Row],[Desconto]])</f>
        <v>0</v>
      </c>
      <c r="N2644" t="str">
        <f>IFERROR(INDEX(tProdutos[Foco],MATCH(tItens[[#This Row],[Produto]],tProdutos[Produto],0)),"Não")</f>
        <v>Não</v>
      </c>
      <c r="O2644" t="str">
        <f>IFERROR(INDEX(tEditais[SRP],MATCH(tItens[[#This Row],[Edital]],tEditais[Edital],0)),"Não")</f>
        <v>Sim</v>
      </c>
      <c r="P2644" s="4">
        <f>IF(COUNTIFS(INDEX(tItens[Edital],1):tItens[[#This Row],[Edital]],tItens[[#This Row],[Edital]],INDEX(tItens[Produto],1):tItens[[#This Row],[Produto]],tItens[[#This Row],[Produto]])=1,1,0)</f>
        <v>0</v>
      </c>
    </row>
    <row r="2645" spans="1:16" x14ac:dyDescent="0.25">
      <c r="A2645" t="s">
        <v>1277</v>
      </c>
      <c r="B2645">
        <v>8077015</v>
      </c>
      <c r="C2645" t="s">
        <v>5649</v>
      </c>
      <c r="D2645" t="s">
        <v>110</v>
      </c>
      <c r="E2645" s="13">
        <v>100</v>
      </c>
      <c r="F2645" s="12">
        <v>0</v>
      </c>
      <c r="G2645" t="str">
        <f>IFERROR(INDEX(tEditais[Órgão],MATCH(tItens[[#This Row],[Edital]],tEditais[Edital],0)),"")</f>
        <v>MUNICIPIO DE BURITICUPU</v>
      </c>
      <c r="H2645" t="str">
        <f>IFERROR(INDEX(tEditais[UF],MATCH(tItens[[#This Row],[Edital]],tEditais[Edital],0)),"")</f>
        <v>MA</v>
      </c>
      <c r="I2645" s="11">
        <f>IFERROR(INDEX(tEditais[Encerramento],MATCH(tItens[[#This Row],[Edital]],tEditais[Edital],0)),"")</f>
        <v>46314.354166666664</v>
      </c>
      <c r="J2645" t="str">
        <f>IFERROR(INDEX(tProdutos[Classe],MATCH(tItens[[#This Row],[Produto]],tProdutos[Produto],0)),"produto não cadastrado")</f>
        <v>NÚCLEO</v>
      </c>
      <c r="K2645" s="12">
        <f>tItens[[#This Row],[Qtd]]*tItens[[#This Row],[Vlr unit]]</f>
        <v>0</v>
      </c>
      <c r="L2645" s="6">
        <f>IFERROR(IF(INDEX(tProdutos[Desconto homologado],MATCH(tItens[[#This Row],[Produto]],tProdutos[Produto],0))="",DescontoPadrao,INDEX(tProdutos[Desconto homologado],MATCH(tItens[[#This Row],[Produto]],tProdutos[Produto],0))),DescontoPadrao)</f>
        <v>0.30410958904109597</v>
      </c>
      <c r="M2645" s="12">
        <f>tItens[[#This Row],[Valor]]*(1-tItens[[#This Row],[Desconto]])</f>
        <v>0</v>
      </c>
      <c r="N2645" t="str">
        <f>IFERROR(INDEX(tProdutos[Foco],MATCH(tItens[[#This Row],[Produto]],tProdutos[Produto],0)),"Não")</f>
        <v>Não</v>
      </c>
      <c r="O2645" t="str">
        <f>IFERROR(INDEX(tEditais[SRP],MATCH(tItens[[#This Row],[Edital]],tEditais[Edital],0)),"Não")</f>
        <v>Sim</v>
      </c>
      <c r="P2645" s="4">
        <f>IF(COUNTIFS(INDEX(tItens[Edital],1):tItens[[#This Row],[Edital]],tItens[[#This Row],[Edital]],INDEX(tItens[Produto],1):tItens[[#This Row],[Produto]],tItens[[#This Row],[Produto]])=1,1,0)</f>
        <v>0</v>
      </c>
    </row>
    <row r="2646" spans="1:16" x14ac:dyDescent="0.25">
      <c r="A2646" t="s">
        <v>1277</v>
      </c>
      <c r="B2646">
        <v>8077016</v>
      </c>
      <c r="C2646" t="s">
        <v>5650</v>
      </c>
      <c r="D2646" t="s">
        <v>110</v>
      </c>
      <c r="E2646" s="13">
        <v>100</v>
      </c>
      <c r="F2646" s="12">
        <v>0</v>
      </c>
      <c r="G2646" t="str">
        <f>IFERROR(INDEX(tEditais[Órgão],MATCH(tItens[[#This Row],[Edital]],tEditais[Edital],0)),"")</f>
        <v>MUNICIPIO DE BURITICUPU</v>
      </c>
      <c r="H2646" t="str">
        <f>IFERROR(INDEX(tEditais[UF],MATCH(tItens[[#This Row],[Edital]],tEditais[Edital],0)),"")</f>
        <v>MA</v>
      </c>
      <c r="I2646" s="11">
        <f>IFERROR(INDEX(tEditais[Encerramento],MATCH(tItens[[#This Row],[Edital]],tEditais[Edital],0)),"")</f>
        <v>46314.354166666664</v>
      </c>
      <c r="J2646" t="str">
        <f>IFERROR(INDEX(tProdutos[Classe],MATCH(tItens[[#This Row],[Produto]],tProdutos[Produto],0)),"produto não cadastrado")</f>
        <v>NÚCLEO</v>
      </c>
      <c r="K2646" s="12">
        <f>tItens[[#This Row],[Qtd]]*tItens[[#This Row],[Vlr unit]]</f>
        <v>0</v>
      </c>
      <c r="L2646" s="6">
        <f>IFERROR(IF(INDEX(tProdutos[Desconto homologado],MATCH(tItens[[#This Row],[Produto]],tProdutos[Produto],0))="",DescontoPadrao,INDEX(tProdutos[Desconto homologado],MATCH(tItens[[#This Row],[Produto]],tProdutos[Produto],0))),DescontoPadrao)</f>
        <v>0.30410958904109597</v>
      </c>
      <c r="M2646" s="12">
        <f>tItens[[#This Row],[Valor]]*(1-tItens[[#This Row],[Desconto]])</f>
        <v>0</v>
      </c>
      <c r="N2646" t="str">
        <f>IFERROR(INDEX(tProdutos[Foco],MATCH(tItens[[#This Row],[Produto]],tProdutos[Produto],0)),"Não")</f>
        <v>Não</v>
      </c>
      <c r="O2646" t="str">
        <f>IFERROR(INDEX(tEditais[SRP],MATCH(tItens[[#This Row],[Edital]],tEditais[Edital],0)),"Não")</f>
        <v>Sim</v>
      </c>
      <c r="P2646" s="4">
        <f>IF(COUNTIFS(INDEX(tItens[Edital],1):tItens[[#This Row],[Edital]],tItens[[#This Row],[Edital]],INDEX(tItens[Produto],1):tItens[[#This Row],[Produto]],tItens[[#This Row],[Produto]])=1,1,0)</f>
        <v>0</v>
      </c>
    </row>
    <row r="2647" spans="1:16" x14ac:dyDescent="0.25">
      <c r="A2647" t="s">
        <v>1277</v>
      </c>
      <c r="B2647">
        <v>8077017</v>
      </c>
      <c r="C2647" t="s">
        <v>5651</v>
      </c>
      <c r="D2647" t="s">
        <v>110</v>
      </c>
      <c r="E2647" s="13">
        <v>100</v>
      </c>
      <c r="F2647" s="12">
        <v>0</v>
      </c>
      <c r="G2647" t="str">
        <f>IFERROR(INDEX(tEditais[Órgão],MATCH(tItens[[#This Row],[Edital]],tEditais[Edital],0)),"")</f>
        <v>MUNICIPIO DE BURITICUPU</v>
      </c>
      <c r="H2647" t="str">
        <f>IFERROR(INDEX(tEditais[UF],MATCH(tItens[[#This Row],[Edital]],tEditais[Edital],0)),"")</f>
        <v>MA</v>
      </c>
      <c r="I2647" s="11">
        <f>IFERROR(INDEX(tEditais[Encerramento],MATCH(tItens[[#This Row],[Edital]],tEditais[Edital],0)),"")</f>
        <v>46314.354166666664</v>
      </c>
      <c r="J2647" t="str">
        <f>IFERROR(INDEX(tProdutos[Classe],MATCH(tItens[[#This Row],[Produto]],tProdutos[Produto],0)),"produto não cadastrado")</f>
        <v>NÚCLEO</v>
      </c>
      <c r="K2647" s="12">
        <f>tItens[[#This Row],[Qtd]]*tItens[[#This Row],[Vlr unit]]</f>
        <v>0</v>
      </c>
      <c r="L2647" s="6">
        <f>IFERROR(IF(INDEX(tProdutos[Desconto homologado],MATCH(tItens[[#This Row],[Produto]],tProdutos[Produto],0))="",DescontoPadrao,INDEX(tProdutos[Desconto homologado],MATCH(tItens[[#This Row],[Produto]],tProdutos[Produto],0))),DescontoPadrao)</f>
        <v>0.30410958904109597</v>
      </c>
      <c r="M2647" s="12">
        <f>tItens[[#This Row],[Valor]]*(1-tItens[[#This Row],[Desconto]])</f>
        <v>0</v>
      </c>
      <c r="N2647" t="str">
        <f>IFERROR(INDEX(tProdutos[Foco],MATCH(tItens[[#This Row],[Produto]],tProdutos[Produto],0)),"Não")</f>
        <v>Não</v>
      </c>
      <c r="O2647" t="str">
        <f>IFERROR(INDEX(tEditais[SRP],MATCH(tItens[[#This Row],[Edital]],tEditais[Edital],0)),"Não")</f>
        <v>Sim</v>
      </c>
      <c r="P2647" s="4">
        <f>IF(COUNTIFS(INDEX(tItens[Edital],1):tItens[[#This Row],[Edital]],tItens[[#This Row],[Edital]],INDEX(tItens[Produto],1):tItens[[#This Row],[Produto]],tItens[[#This Row],[Produto]])=1,1,0)</f>
        <v>0</v>
      </c>
    </row>
    <row r="2648" spans="1:16" x14ac:dyDescent="0.25">
      <c r="A2648" t="s">
        <v>1277</v>
      </c>
      <c r="B2648">
        <v>8077018</v>
      </c>
      <c r="C2648" t="s">
        <v>5652</v>
      </c>
      <c r="D2648" t="s">
        <v>110</v>
      </c>
      <c r="E2648" s="13">
        <v>100</v>
      </c>
      <c r="F2648" s="12">
        <v>0</v>
      </c>
      <c r="G2648" t="str">
        <f>IFERROR(INDEX(tEditais[Órgão],MATCH(tItens[[#This Row],[Edital]],tEditais[Edital],0)),"")</f>
        <v>MUNICIPIO DE BURITICUPU</v>
      </c>
      <c r="H2648" t="str">
        <f>IFERROR(INDEX(tEditais[UF],MATCH(tItens[[#This Row],[Edital]],tEditais[Edital],0)),"")</f>
        <v>MA</v>
      </c>
      <c r="I2648" s="11">
        <f>IFERROR(INDEX(tEditais[Encerramento],MATCH(tItens[[#This Row],[Edital]],tEditais[Edital],0)),"")</f>
        <v>46314.354166666664</v>
      </c>
      <c r="J2648" t="str">
        <f>IFERROR(INDEX(tProdutos[Classe],MATCH(tItens[[#This Row],[Produto]],tProdutos[Produto],0)),"produto não cadastrado")</f>
        <v>NÚCLEO</v>
      </c>
      <c r="K2648" s="12">
        <f>tItens[[#This Row],[Qtd]]*tItens[[#This Row],[Vlr unit]]</f>
        <v>0</v>
      </c>
      <c r="L2648" s="6">
        <f>IFERROR(IF(INDEX(tProdutos[Desconto homologado],MATCH(tItens[[#This Row],[Produto]],tProdutos[Produto],0))="",DescontoPadrao,INDEX(tProdutos[Desconto homologado],MATCH(tItens[[#This Row],[Produto]],tProdutos[Produto],0))),DescontoPadrao)</f>
        <v>0.30410958904109597</v>
      </c>
      <c r="M2648" s="12">
        <f>tItens[[#This Row],[Valor]]*(1-tItens[[#This Row],[Desconto]])</f>
        <v>0</v>
      </c>
      <c r="N2648" t="str">
        <f>IFERROR(INDEX(tProdutos[Foco],MATCH(tItens[[#This Row],[Produto]],tProdutos[Produto],0)),"Não")</f>
        <v>Não</v>
      </c>
      <c r="O2648" t="str">
        <f>IFERROR(INDEX(tEditais[SRP],MATCH(tItens[[#This Row],[Edital]],tEditais[Edital],0)),"Não")</f>
        <v>Sim</v>
      </c>
      <c r="P2648" s="4">
        <f>IF(COUNTIFS(INDEX(tItens[Edital],1):tItens[[#This Row],[Edital]],tItens[[#This Row],[Edital]],INDEX(tItens[Produto],1):tItens[[#This Row],[Produto]],tItens[[#This Row],[Produto]])=1,1,0)</f>
        <v>0</v>
      </c>
    </row>
    <row r="2649" spans="1:16" x14ac:dyDescent="0.25">
      <c r="A2649" t="s">
        <v>1277</v>
      </c>
      <c r="B2649">
        <v>8077021</v>
      </c>
      <c r="C2649" t="s">
        <v>5653</v>
      </c>
      <c r="D2649" t="s">
        <v>120</v>
      </c>
      <c r="E2649" s="13">
        <v>160</v>
      </c>
      <c r="F2649" s="12">
        <v>0</v>
      </c>
      <c r="G2649" t="str">
        <f>IFERROR(INDEX(tEditais[Órgão],MATCH(tItens[[#This Row],[Edital]],tEditais[Edital],0)),"")</f>
        <v>MUNICIPIO DE BURITICUPU</v>
      </c>
      <c r="H2649" t="str">
        <f>IFERROR(INDEX(tEditais[UF],MATCH(tItens[[#This Row],[Edital]],tEditais[Edital],0)),"")</f>
        <v>MA</v>
      </c>
      <c r="I2649" s="11">
        <f>IFERROR(INDEX(tEditais[Encerramento],MATCH(tItens[[#This Row],[Edital]],tEditais[Edital],0)),"")</f>
        <v>46314.354166666664</v>
      </c>
      <c r="J2649" t="str">
        <f>IFERROR(INDEX(tProdutos[Classe],MATCH(tItens[[#This Row],[Produto]],tProdutos[Produto],0)),"produto não cadastrado")</f>
        <v>DISPUTADO</v>
      </c>
      <c r="K2649" s="12">
        <f>tItens[[#This Row],[Qtd]]*tItens[[#This Row],[Vlr unit]]</f>
        <v>0</v>
      </c>
      <c r="L2649" s="6">
        <f>IFERROR(IF(INDEX(tProdutos[Desconto homologado],MATCH(tItens[[#This Row],[Produto]],tProdutos[Produto],0))="",DescontoPadrao,INDEX(tProdutos[Desconto homologado],MATCH(tItens[[#This Row],[Produto]],tProdutos[Produto],0))),DescontoPadrao)</f>
        <v>0.40909090909090901</v>
      </c>
      <c r="M2649" s="12">
        <f>tItens[[#This Row],[Valor]]*(1-tItens[[#This Row],[Desconto]])</f>
        <v>0</v>
      </c>
      <c r="N2649" t="str">
        <f>IFERROR(INDEX(tProdutos[Foco],MATCH(tItens[[#This Row],[Produto]],tProdutos[Produto],0)),"Não")</f>
        <v>Não</v>
      </c>
      <c r="O2649" t="str">
        <f>IFERROR(INDEX(tEditais[SRP],MATCH(tItens[[#This Row],[Edital]],tEditais[Edital],0)),"Não")</f>
        <v>Sim</v>
      </c>
      <c r="P2649" s="4">
        <f>IF(COUNTIFS(INDEX(tItens[Edital],1):tItens[[#This Row],[Edital]],tItens[[#This Row],[Edital]],INDEX(tItens[Produto],1):tItens[[#This Row],[Produto]],tItens[[#This Row],[Produto]])=1,1,0)</f>
        <v>1</v>
      </c>
    </row>
    <row r="2650" spans="1:16" x14ac:dyDescent="0.25">
      <c r="A2650" t="s">
        <v>1277</v>
      </c>
      <c r="B2650">
        <v>8077022</v>
      </c>
      <c r="C2650" t="s">
        <v>5654</v>
      </c>
      <c r="D2650" t="s">
        <v>120</v>
      </c>
      <c r="E2650" s="13">
        <v>160</v>
      </c>
      <c r="F2650" s="12">
        <v>0</v>
      </c>
      <c r="G2650" t="str">
        <f>IFERROR(INDEX(tEditais[Órgão],MATCH(tItens[[#This Row],[Edital]],tEditais[Edital],0)),"")</f>
        <v>MUNICIPIO DE BURITICUPU</v>
      </c>
      <c r="H2650" t="str">
        <f>IFERROR(INDEX(tEditais[UF],MATCH(tItens[[#This Row],[Edital]],tEditais[Edital],0)),"")</f>
        <v>MA</v>
      </c>
      <c r="I2650" s="11">
        <f>IFERROR(INDEX(tEditais[Encerramento],MATCH(tItens[[#This Row],[Edital]],tEditais[Edital],0)),"")</f>
        <v>46314.354166666664</v>
      </c>
      <c r="J2650" t="str">
        <f>IFERROR(INDEX(tProdutos[Classe],MATCH(tItens[[#This Row],[Produto]],tProdutos[Produto],0)),"produto não cadastrado")</f>
        <v>DISPUTADO</v>
      </c>
      <c r="K2650" s="12">
        <f>tItens[[#This Row],[Qtd]]*tItens[[#This Row],[Vlr unit]]</f>
        <v>0</v>
      </c>
      <c r="L2650" s="6">
        <f>IFERROR(IF(INDEX(tProdutos[Desconto homologado],MATCH(tItens[[#This Row],[Produto]],tProdutos[Produto],0))="",DescontoPadrao,INDEX(tProdutos[Desconto homologado],MATCH(tItens[[#This Row],[Produto]],tProdutos[Produto],0))),DescontoPadrao)</f>
        <v>0.40909090909090901</v>
      </c>
      <c r="M2650" s="12">
        <f>tItens[[#This Row],[Valor]]*(1-tItens[[#This Row],[Desconto]])</f>
        <v>0</v>
      </c>
      <c r="N2650" t="str">
        <f>IFERROR(INDEX(tProdutos[Foco],MATCH(tItens[[#This Row],[Produto]],tProdutos[Produto],0)),"Não")</f>
        <v>Não</v>
      </c>
      <c r="O2650" t="str">
        <f>IFERROR(INDEX(tEditais[SRP],MATCH(tItens[[#This Row],[Edital]],tEditais[Edital],0)),"Não")</f>
        <v>Sim</v>
      </c>
      <c r="P2650" s="4">
        <f>IF(COUNTIFS(INDEX(tItens[Edital],1):tItens[[#This Row],[Edital]],tItens[[#This Row],[Edital]],INDEX(tItens[Produto],1):tItens[[#This Row],[Produto]],tItens[[#This Row],[Produto]])=1,1,0)</f>
        <v>0</v>
      </c>
    </row>
    <row r="2651" spans="1:16" x14ac:dyDescent="0.25">
      <c r="A2651" t="s">
        <v>1277</v>
      </c>
      <c r="B2651">
        <v>8077023</v>
      </c>
      <c r="C2651" t="s">
        <v>5655</v>
      </c>
      <c r="D2651" t="s">
        <v>120</v>
      </c>
      <c r="E2651" s="13">
        <v>160</v>
      </c>
      <c r="F2651" s="12">
        <v>0</v>
      </c>
      <c r="G2651" t="str">
        <f>IFERROR(INDEX(tEditais[Órgão],MATCH(tItens[[#This Row],[Edital]],tEditais[Edital],0)),"")</f>
        <v>MUNICIPIO DE BURITICUPU</v>
      </c>
      <c r="H2651" t="str">
        <f>IFERROR(INDEX(tEditais[UF],MATCH(tItens[[#This Row],[Edital]],tEditais[Edital],0)),"")</f>
        <v>MA</v>
      </c>
      <c r="I2651" s="11">
        <f>IFERROR(INDEX(tEditais[Encerramento],MATCH(tItens[[#This Row],[Edital]],tEditais[Edital],0)),"")</f>
        <v>46314.354166666664</v>
      </c>
      <c r="J2651" t="str">
        <f>IFERROR(INDEX(tProdutos[Classe],MATCH(tItens[[#This Row],[Produto]],tProdutos[Produto],0)),"produto não cadastrado")</f>
        <v>DISPUTADO</v>
      </c>
      <c r="K2651" s="12">
        <f>tItens[[#This Row],[Qtd]]*tItens[[#This Row],[Vlr unit]]</f>
        <v>0</v>
      </c>
      <c r="L2651" s="6">
        <f>IFERROR(IF(INDEX(tProdutos[Desconto homologado],MATCH(tItens[[#This Row],[Produto]],tProdutos[Produto],0))="",DescontoPadrao,INDEX(tProdutos[Desconto homologado],MATCH(tItens[[#This Row],[Produto]],tProdutos[Produto],0))),DescontoPadrao)</f>
        <v>0.40909090909090901</v>
      </c>
      <c r="M2651" s="12">
        <f>tItens[[#This Row],[Valor]]*(1-tItens[[#This Row],[Desconto]])</f>
        <v>0</v>
      </c>
      <c r="N2651" t="str">
        <f>IFERROR(INDEX(tProdutos[Foco],MATCH(tItens[[#This Row],[Produto]],tProdutos[Produto],0)),"Não")</f>
        <v>Não</v>
      </c>
      <c r="O2651" t="str">
        <f>IFERROR(INDEX(tEditais[SRP],MATCH(tItens[[#This Row],[Edital]],tEditais[Edital],0)),"Não")</f>
        <v>Sim</v>
      </c>
      <c r="P2651" s="4">
        <f>IF(COUNTIFS(INDEX(tItens[Edital],1):tItens[[#This Row],[Edital]],tItens[[#This Row],[Edital]],INDEX(tItens[Produto],1):tItens[[#This Row],[Produto]],tItens[[#This Row],[Produto]])=1,1,0)</f>
        <v>0</v>
      </c>
    </row>
    <row r="2652" spans="1:16" x14ac:dyDescent="0.25">
      <c r="A2652" t="s">
        <v>1277</v>
      </c>
      <c r="B2652">
        <v>8077024</v>
      </c>
      <c r="C2652" t="s">
        <v>5656</v>
      </c>
      <c r="D2652" t="s">
        <v>120</v>
      </c>
      <c r="E2652" s="13">
        <v>100</v>
      </c>
      <c r="F2652" s="12">
        <v>0</v>
      </c>
      <c r="G2652" t="str">
        <f>IFERROR(INDEX(tEditais[Órgão],MATCH(tItens[[#This Row],[Edital]],tEditais[Edital],0)),"")</f>
        <v>MUNICIPIO DE BURITICUPU</v>
      </c>
      <c r="H2652" t="str">
        <f>IFERROR(INDEX(tEditais[UF],MATCH(tItens[[#This Row],[Edital]],tEditais[Edital],0)),"")</f>
        <v>MA</v>
      </c>
      <c r="I2652" s="11">
        <f>IFERROR(INDEX(tEditais[Encerramento],MATCH(tItens[[#This Row],[Edital]],tEditais[Edital],0)),"")</f>
        <v>46314.354166666664</v>
      </c>
      <c r="J2652" t="str">
        <f>IFERROR(INDEX(tProdutos[Classe],MATCH(tItens[[#This Row],[Produto]],tProdutos[Produto],0)),"produto não cadastrado")</f>
        <v>DISPUTADO</v>
      </c>
      <c r="K2652" s="12">
        <f>tItens[[#This Row],[Qtd]]*tItens[[#This Row],[Vlr unit]]</f>
        <v>0</v>
      </c>
      <c r="L2652" s="6">
        <f>IFERROR(IF(INDEX(tProdutos[Desconto homologado],MATCH(tItens[[#This Row],[Produto]],tProdutos[Produto],0))="",DescontoPadrao,INDEX(tProdutos[Desconto homologado],MATCH(tItens[[#This Row],[Produto]],tProdutos[Produto],0))),DescontoPadrao)</f>
        <v>0.40909090909090901</v>
      </c>
      <c r="M2652" s="12">
        <f>tItens[[#This Row],[Valor]]*(1-tItens[[#This Row],[Desconto]])</f>
        <v>0</v>
      </c>
      <c r="N2652" t="str">
        <f>IFERROR(INDEX(tProdutos[Foco],MATCH(tItens[[#This Row],[Produto]],tProdutos[Produto],0)),"Não")</f>
        <v>Não</v>
      </c>
      <c r="O2652" t="str">
        <f>IFERROR(INDEX(tEditais[SRP],MATCH(tItens[[#This Row],[Edital]],tEditais[Edital],0)),"Não")</f>
        <v>Sim</v>
      </c>
      <c r="P2652" s="4">
        <f>IF(COUNTIFS(INDEX(tItens[Edital],1):tItens[[#This Row],[Edital]],tItens[[#This Row],[Edital]],INDEX(tItens[Produto],1):tItens[[#This Row],[Produto]],tItens[[#This Row],[Produto]])=1,1,0)</f>
        <v>0</v>
      </c>
    </row>
    <row r="2653" spans="1:16" x14ac:dyDescent="0.25">
      <c r="A2653" t="s">
        <v>1277</v>
      </c>
      <c r="B2653">
        <v>8077422</v>
      </c>
      <c r="C2653" t="s">
        <v>5606</v>
      </c>
      <c r="D2653" t="s">
        <v>295</v>
      </c>
      <c r="E2653" s="13">
        <v>960</v>
      </c>
      <c r="F2653" s="12">
        <v>0</v>
      </c>
      <c r="G2653" t="str">
        <f>IFERROR(INDEX(tEditais[Órgão],MATCH(tItens[[#This Row],[Edital]],tEditais[Edital],0)),"")</f>
        <v>MUNICIPIO DE BURITICUPU</v>
      </c>
      <c r="H2653" t="str">
        <f>IFERROR(INDEX(tEditais[UF],MATCH(tItens[[#This Row],[Edital]],tEditais[Edital],0)),"")</f>
        <v>MA</v>
      </c>
      <c r="I2653" s="11">
        <f>IFERROR(INDEX(tEditais[Encerramento],MATCH(tItens[[#This Row],[Edital]],tEditais[Edital],0)),"")</f>
        <v>46314.354166666664</v>
      </c>
      <c r="J2653" t="str">
        <f>IFERROR(INDEX(tProdutos[Classe],MATCH(tItens[[#This Row],[Produto]],tProdutos[Produto],0)),"produto não cadastrado")</f>
        <v>FORA</v>
      </c>
      <c r="K2653" s="12">
        <f>tItens[[#This Row],[Qtd]]*tItens[[#This Row],[Vlr unit]]</f>
        <v>0</v>
      </c>
      <c r="L2653" s="6">
        <f>IFERROR(IF(INDEX(tProdutos[Desconto homologado],MATCH(tItens[[#This Row],[Produto]],tProdutos[Produto],0))="",DescontoPadrao,INDEX(tProdutos[Desconto homologado],MATCH(tItens[[#This Row],[Produto]],tProdutos[Produto],0))),DescontoPadrao)</f>
        <v>0.219311377245509</v>
      </c>
      <c r="M2653" s="12">
        <f>tItens[[#This Row],[Valor]]*(1-tItens[[#This Row],[Desconto]])</f>
        <v>0</v>
      </c>
      <c r="N2653" t="str">
        <f>IFERROR(INDEX(tProdutos[Foco],MATCH(tItens[[#This Row],[Produto]],tProdutos[Produto],0)),"Não")</f>
        <v>Não</v>
      </c>
      <c r="O2653" t="str">
        <f>IFERROR(INDEX(tEditais[SRP],MATCH(tItens[[#This Row],[Edital]],tEditais[Edital],0)),"Não")</f>
        <v>Sim</v>
      </c>
      <c r="P2653" s="4">
        <f>IF(COUNTIFS(INDEX(tItens[Edital],1):tItens[[#This Row],[Edital]],tItens[[#This Row],[Edital]],INDEX(tItens[Produto],1):tItens[[#This Row],[Produto]],tItens[[#This Row],[Produto]])=1,1,0)</f>
        <v>0</v>
      </c>
    </row>
    <row r="2654" spans="1:16" x14ac:dyDescent="0.25">
      <c r="A2654" t="s">
        <v>1277</v>
      </c>
      <c r="B2654">
        <v>8077427</v>
      </c>
      <c r="C2654" t="s">
        <v>5607</v>
      </c>
      <c r="D2654" t="s">
        <v>351</v>
      </c>
      <c r="E2654" s="13">
        <v>4000</v>
      </c>
      <c r="F2654" s="12">
        <v>0</v>
      </c>
      <c r="G2654" t="str">
        <f>IFERROR(INDEX(tEditais[Órgão],MATCH(tItens[[#This Row],[Edital]],tEditais[Edital],0)),"")</f>
        <v>MUNICIPIO DE BURITICUPU</v>
      </c>
      <c r="H2654" t="str">
        <f>IFERROR(INDEX(tEditais[UF],MATCH(tItens[[#This Row],[Edital]],tEditais[Edital],0)),"")</f>
        <v>MA</v>
      </c>
      <c r="I2654" s="11">
        <f>IFERROR(INDEX(tEditais[Encerramento],MATCH(tItens[[#This Row],[Edital]],tEditais[Edital],0)),"")</f>
        <v>46314.354166666664</v>
      </c>
      <c r="J2654" t="str">
        <f>IFERROR(INDEX(tProdutos[Classe],MATCH(tItens[[#This Row],[Produto]],tProdutos[Produto],0)),"produto não cadastrado")</f>
        <v>FORA</v>
      </c>
      <c r="K2654" s="12">
        <f>tItens[[#This Row],[Qtd]]*tItens[[#This Row],[Vlr unit]]</f>
        <v>0</v>
      </c>
      <c r="L2654" s="6">
        <f>IFERROR(IF(INDEX(tProdutos[Desconto homologado],MATCH(tItens[[#This Row],[Produto]],tProdutos[Produto],0))="",DescontoPadrao,INDEX(tProdutos[Desconto homologado],MATCH(tItens[[#This Row],[Produto]],tProdutos[Produto],0))),DescontoPadrao)</f>
        <v>0.33518005540166201</v>
      </c>
      <c r="M2654" s="12">
        <f>tItens[[#This Row],[Valor]]*(1-tItens[[#This Row],[Desconto]])</f>
        <v>0</v>
      </c>
      <c r="N2654" t="str">
        <f>IFERROR(INDEX(tProdutos[Foco],MATCH(tItens[[#This Row],[Produto]],tProdutos[Produto],0)),"Não")</f>
        <v>Não</v>
      </c>
      <c r="O2654" t="str">
        <f>IFERROR(INDEX(tEditais[SRP],MATCH(tItens[[#This Row],[Edital]],tEditais[Edital],0)),"Não")</f>
        <v>Sim</v>
      </c>
      <c r="P2654" s="4">
        <f>IF(COUNTIFS(INDEX(tItens[Edital],1):tItens[[#This Row],[Edital]],tItens[[#This Row],[Edital]],INDEX(tItens[Produto],1):tItens[[#This Row],[Produto]],tItens[[#This Row],[Produto]])=1,1,0)</f>
        <v>0</v>
      </c>
    </row>
    <row r="2655" spans="1:16" x14ac:dyDescent="0.25">
      <c r="A2655" t="s">
        <v>1277</v>
      </c>
      <c r="B2655">
        <v>8077428</v>
      </c>
      <c r="C2655" t="s">
        <v>5608</v>
      </c>
      <c r="D2655" t="s">
        <v>351</v>
      </c>
      <c r="E2655" s="13">
        <v>4000</v>
      </c>
      <c r="F2655" s="12">
        <v>0</v>
      </c>
      <c r="G2655" t="str">
        <f>IFERROR(INDEX(tEditais[Órgão],MATCH(tItens[[#This Row],[Edital]],tEditais[Edital],0)),"")</f>
        <v>MUNICIPIO DE BURITICUPU</v>
      </c>
      <c r="H2655" t="str">
        <f>IFERROR(INDEX(tEditais[UF],MATCH(tItens[[#This Row],[Edital]],tEditais[Edital],0)),"")</f>
        <v>MA</v>
      </c>
      <c r="I2655" s="11">
        <f>IFERROR(INDEX(tEditais[Encerramento],MATCH(tItens[[#This Row],[Edital]],tEditais[Edital],0)),"")</f>
        <v>46314.354166666664</v>
      </c>
      <c r="J2655" t="str">
        <f>IFERROR(INDEX(tProdutos[Classe],MATCH(tItens[[#This Row],[Produto]],tProdutos[Produto],0)),"produto não cadastrado")</f>
        <v>FORA</v>
      </c>
      <c r="K2655" s="12">
        <f>tItens[[#This Row],[Qtd]]*tItens[[#This Row],[Vlr unit]]</f>
        <v>0</v>
      </c>
      <c r="L2655" s="6">
        <f>IFERROR(IF(INDEX(tProdutos[Desconto homologado],MATCH(tItens[[#This Row],[Produto]],tProdutos[Produto],0))="",DescontoPadrao,INDEX(tProdutos[Desconto homologado],MATCH(tItens[[#This Row],[Produto]],tProdutos[Produto],0))),DescontoPadrao)</f>
        <v>0.33518005540166201</v>
      </c>
      <c r="M2655" s="12">
        <f>tItens[[#This Row],[Valor]]*(1-tItens[[#This Row],[Desconto]])</f>
        <v>0</v>
      </c>
      <c r="N2655" t="str">
        <f>IFERROR(INDEX(tProdutos[Foco],MATCH(tItens[[#This Row],[Produto]],tProdutos[Produto],0)),"Não")</f>
        <v>Não</v>
      </c>
      <c r="O2655" t="str">
        <f>IFERROR(INDEX(tEditais[SRP],MATCH(tItens[[#This Row],[Edital]],tEditais[Edital],0)),"Não")</f>
        <v>Sim</v>
      </c>
      <c r="P2655" s="4">
        <f>IF(COUNTIFS(INDEX(tItens[Edital],1):tItens[[#This Row],[Edital]],tItens[[#This Row],[Edital]],INDEX(tItens[Produto],1):tItens[[#This Row],[Produto]],tItens[[#This Row],[Produto]])=1,1,0)</f>
        <v>0</v>
      </c>
    </row>
    <row r="2656" spans="1:16" x14ac:dyDescent="0.25">
      <c r="A2656" t="s">
        <v>1277</v>
      </c>
      <c r="B2656">
        <v>8077429</v>
      </c>
      <c r="C2656" t="s">
        <v>5609</v>
      </c>
      <c r="D2656" t="s">
        <v>351</v>
      </c>
      <c r="E2656" s="13">
        <v>4000</v>
      </c>
      <c r="F2656" s="12">
        <v>0</v>
      </c>
      <c r="G2656" t="str">
        <f>IFERROR(INDEX(tEditais[Órgão],MATCH(tItens[[#This Row],[Edital]],tEditais[Edital],0)),"")</f>
        <v>MUNICIPIO DE BURITICUPU</v>
      </c>
      <c r="H2656" t="str">
        <f>IFERROR(INDEX(tEditais[UF],MATCH(tItens[[#This Row],[Edital]],tEditais[Edital],0)),"")</f>
        <v>MA</v>
      </c>
      <c r="I2656" s="11">
        <f>IFERROR(INDEX(tEditais[Encerramento],MATCH(tItens[[#This Row],[Edital]],tEditais[Edital],0)),"")</f>
        <v>46314.354166666664</v>
      </c>
      <c r="J2656" t="str">
        <f>IFERROR(INDEX(tProdutos[Classe],MATCH(tItens[[#This Row],[Produto]],tProdutos[Produto],0)),"produto não cadastrado")</f>
        <v>FORA</v>
      </c>
      <c r="K2656" s="12">
        <f>tItens[[#This Row],[Qtd]]*tItens[[#This Row],[Vlr unit]]</f>
        <v>0</v>
      </c>
      <c r="L2656" s="6">
        <f>IFERROR(IF(INDEX(tProdutos[Desconto homologado],MATCH(tItens[[#This Row],[Produto]],tProdutos[Produto],0))="",DescontoPadrao,INDEX(tProdutos[Desconto homologado],MATCH(tItens[[#This Row],[Produto]],tProdutos[Produto],0))),DescontoPadrao)</f>
        <v>0.33518005540166201</v>
      </c>
      <c r="M2656" s="12">
        <f>tItens[[#This Row],[Valor]]*(1-tItens[[#This Row],[Desconto]])</f>
        <v>0</v>
      </c>
      <c r="N2656" t="str">
        <f>IFERROR(INDEX(tProdutos[Foco],MATCH(tItens[[#This Row],[Produto]],tProdutos[Produto],0)),"Não")</f>
        <v>Não</v>
      </c>
      <c r="O2656" t="str">
        <f>IFERROR(INDEX(tEditais[SRP],MATCH(tItens[[#This Row],[Edital]],tEditais[Edital],0)),"Não")</f>
        <v>Sim</v>
      </c>
      <c r="P2656" s="4">
        <f>IF(COUNTIFS(INDEX(tItens[Edital],1):tItens[[#This Row],[Edital]],tItens[[#This Row],[Edital]],INDEX(tItens[Produto],1):tItens[[#This Row],[Produto]],tItens[[#This Row],[Produto]])=1,1,0)</f>
        <v>0</v>
      </c>
    </row>
    <row r="2657" spans="1:16" x14ac:dyDescent="0.25">
      <c r="A2657" t="s">
        <v>1277</v>
      </c>
      <c r="B2657">
        <v>8077430</v>
      </c>
      <c r="C2657" t="s">
        <v>5610</v>
      </c>
      <c r="D2657" t="s">
        <v>351</v>
      </c>
      <c r="E2657" s="13">
        <v>4000</v>
      </c>
      <c r="F2657" s="12">
        <v>0</v>
      </c>
      <c r="G2657" t="str">
        <f>IFERROR(INDEX(tEditais[Órgão],MATCH(tItens[[#This Row],[Edital]],tEditais[Edital],0)),"")</f>
        <v>MUNICIPIO DE BURITICUPU</v>
      </c>
      <c r="H2657" t="str">
        <f>IFERROR(INDEX(tEditais[UF],MATCH(tItens[[#This Row],[Edital]],tEditais[Edital],0)),"")</f>
        <v>MA</v>
      </c>
      <c r="I2657" s="11">
        <f>IFERROR(INDEX(tEditais[Encerramento],MATCH(tItens[[#This Row],[Edital]],tEditais[Edital],0)),"")</f>
        <v>46314.354166666664</v>
      </c>
      <c r="J2657" t="str">
        <f>IFERROR(INDEX(tProdutos[Classe],MATCH(tItens[[#This Row],[Produto]],tProdutos[Produto],0)),"produto não cadastrado")</f>
        <v>FORA</v>
      </c>
      <c r="K2657" s="12">
        <f>tItens[[#This Row],[Qtd]]*tItens[[#This Row],[Vlr unit]]</f>
        <v>0</v>
      </c>
      <c r="L2657" s="6">
        <f>IFERROR(IF(INDEX(tProdutos[Desconto homologado],MATCH(tItens[[#This Row],[Produto]],tProdutos[Produto],0))="",DescontoPadrao,INDEX(tProdutos[Desconto homologado],MATCH(tItens[[#This Row],[Produto]],tProdutos[Produto],0))),DescontoPadrao)</f>
        <v>0.33518005540166201</v>
      </c>
      <c r="M2657" s="12">
        <f>tItens[[#This Row],[Valor]]*(1-tItens[[#This Row],[Desconto]])</f>
        <v>0</v>
      </c>
      <c r="N2657" t="str">
        <f>IFERROR(INDEX(tProdutos[Foco],MATCH(tItens[[#This Row],[Produto]],tProdutos[Produto],0)),"Não")</f>
        <v>Não</v>
      </c>
      <c r="O2657" t="str">
        <f>IFERROR(INDEX(tEditais[SRP],MATCH(tItens[[#This Row],[Edital]],tEditais[Edital],0)),"Não")</f>
        <v>Sim</v>
      </c>
      <c r="P2657" s="4">
        <f>IF(COUNTIFS(INDEX(tItens[Edital],1):tItens[[#This Row],[Edital]],tItens[[#This Row],[Edital]],INDEX(tItens[Produto],1):tItens[[#This Row],[Produto]],tItens[[#This Row],[Produto]])=1,1,0)</f>
        <v>0</v>
      </c>
    </row>
    <row r="2658" spans="1:16" x14ac:dyDescent="0.25">
      <c r="A2658" t="s">
        <v>1277</v>
      </c>
      <c r="B2658">
        <v>8077442</v>
      </c>
      <c r="C2658" t="s">
        <v>5611</v>
      </c>
      <c r="D2658" t="s">
        <v>279</v>
      </c>
      <c r="E2658" s="13">
        <v>4800</v>
      </c>
      <c r="F2658" s="12">
        <v>0</v>
      </c>
      <c r="G2658" t="str">
        <f>IFERROR(INDEX(tEditais[Órgão],MATCH(tItens[[#This Row],[Edital]],tEditais[Edital],0)),"")</f>
        <v>MUNICIPIO DE BURITICUPU</v>
      </c>
      <c r="H2658" t="str">
        <f>IFERROR(INDEX(tEditais[UF],MATCH(tItens[[#This Row],[Edital]],tEditais[Edital],0)),"")</f>
        <v>MA</v>
      </c>
      <c r="I2658" s="11">
        <f>IFERROR(INDEX(tEditais[Encerramento],MATCH(tItens[[#This Row],[Edital]],tEditais[Edital],0)),"")</f>
        <v>46314.354166666664</v>
      </c>
      <c r="J2658" t="str">
        <f>IFERROR(INDEX(tProdutos[Classe],MATCH(tItens[[#This Row],[Produto]],tProdutos[Produto],0)),"produto não cadastrado")</f>
        <v>FORA</v>
      </c>
      <c r="K2658" s="12">
        <f>tItens[[#This Row],[Qtd]]*tItens[[#This Row],[Vlr unit]]</f>
        <v>0</v>
      </c>
      <c r="L2658" s="6">
        <f>IFERROR(IF(INDEX(tProdutos[Desconto homologado],MATCH(tItens[[#This Row],[Produto]],tProdutos[Produto],0))="",DescontoPadrao,INDEX(tProdutos[Desconto homologado],MATCH(tItens[[#This Row],[Produto]],tProdutos[Produto],0))),DescontoPadrao)</f>
        <v>0.28909090909090901</v>
      </c>
      <c r="M2658" s="12">
        <f>tItens[[#This Row],[Valor]]*(1-tItens[[#This Row],[Desconto]])</f>
        <v>0</v>
      </c>
      <c r="N2658" t="str">
        <f>IFERROR(INDEX(tProdutos[Foco],MATCH(tItens[[#This Row],[Produto]],tProdutos[Produto],0)),"Não")</f>
        <v>Não</v>
      </c>
      <c r="O2658" t="str">
        <f>IFERROR(INDEX(tEditais[SRP],MATCH(tItens[[#This Row],[Edital]],tEditais[Edital],0)),"Não")</f>
        <v>Sim</v>
      </c>
      <c r="P2658" s="4">
        <f>IF(COUNTIFS(INDEX(tItens[Edital],1):tItens[[#This Row],[Edital]],tItens[[#This Row],[Edital]],INDEX(tItens[Produto],1):tItens[[#This Row],[Produto]],tItens[[#This Row],[Produto]])=1,1,0)</f>
        <v>0</v>
      </c>
    </row>
    <row r="2659" spans="1:16" x14ac:dyDescent="0.25">
      <c r="A2659" t="s">
        <v>1277</v>
      </c>
      <c r="B2659">
        <v>8077443</v>
      </c>
      <c r="C2659" t="s">
        <v>5612</v>
      </c>
      <c r="D2659" t="s">
        <v>311</v>
      </c>
      <c r="E2659" s="13">
        <v>480</v>
      </c>
      <c r="F2659" s="12">
        <v>0</v>
      </c>
      <c r="G2659" t="str">
        <f>IFERROR(INDEX(tEditais[Órgão],MATCH(tItens[[#This Row],[Edital]],tEditais[Edital],0)),"")</f>
        <v>MUNICIPIO DE BURITICUPU</v>
      </c>
      <c r="H2659" t="str">
        <f>IFERROR(INDEX(tEditais[UF],MATCH(tItens[[#This Row],[Edital]],tEditais[Edital],0)),"")</f>
        <v>MA</v>
      </c>
      <c r="I2659" s="11">
        <f>IFERROR(INDEX(tEditais[Encerramento],MATCH(tItens[[#This Row],[Edital]],tEditais[Edital],0)),"")</f>
        <v>46314.354166666664</v>
      </c>
      <c r="J2659" t="str">
        <f>IFERROR(INDEX(tProdutos[Classe],MATCH(tItens[[#This Row],[Produto]],tProdutos[Produto],0)),"produto não cadastrado")</f>
        <v>FORA</v>
      </c>
      <c r="K2659" s="12">
        <f>tItens[[#This Row],[Qtd]]*tItens[[#This Row],[Vlr unit]]</f>
        <v>0</v>
      </c>
      <c r="L2659" s="6">
        <f>IFERROR(IF(INDEX(tProdutos[Desconto homologado],MATCH(tItens[[#This Row],[Produto]],tProdutos[Produto],0))="",DescontoPadrao,INDEX(tProdutos[Desconto homologado],MATCH(tItens[[#This Row],[Produto]],tProdutos[Produto],0))),DescontoPadrao)</f>
        <v>0.29046182846371399</v>
      </c>
      <c r="M2659" s="12">
        <f>tItens[[#This Row],[Valor]]*(1-tItens[[#This Row],[Desconto]])</f>
        <v>0</v>
      </c>
      <c r="N2659" t="str">
        <f>IFERROR(INDEX(tProdutos[Foco],MATCH(tItens[[#This Row],[Produto]],tProdutos[Produto],0)),"Não")</f>
        <v>Não</v>
      </c>
      <c r="O2659" t="str">
        <f>IFERROR(INDEX(tEditais[SRP],MATCH(tItens[[#This Row],[Edital]],tEditais[Edital],0)),"Não")</f>
        <v>Sim</v>
      </c>
      <c r="P2659" s="4">
        <f>IF(COUNTIFS(INDEX(tItens[Edital],1):tItens[[#This Row],[Edital]],tItens[[#This Row],[Edital]],INDEX(tItens[Produto],1):tItens[[#This Row],[Produto]],tItens[[#This Row],[Produto]])=1,1,0)</f>
        <v>0</v>
      </c>
    </row>
    <row r="2660" spans="1:16" x14ac:dyDescent="0.25">
      <c r="A2660" t="s">
        <v>1277</v>
      </c>
      <c r="B2660">
        <v>8077446</v>
      </c>
      <c r="C2660" t="s">
        <v>5613</v>
      </c>
      <c r="D2660" t="s">
        <v>333</v>
      </c>
      <c r="E2660" s="13">
        <v>1440</v>
      </c>
      <c r="F2660" s="12">
        <v>0</v>
      </c>
      <c r="G2660" t="str">
        <f>IFERROR(INDEX(tEditais[Órgão],MATCH(tItens[[#This Row],[Edital]],tEditais[Edital],0)),"")</f>
        <v>MUNICIPIO DE BURITICUPU</v>
      </c>
      <c r="H2660" t="str">
        <f>IFERROR(INDEX(tEditais[UF],MATCH(tItens[[#This Row],[Edital]],tEditais[Edital],0)),"")</f>
        <v>MA</v>
      </c>
      <c r="I2660" s="11">
        <f>IFERROR(INDEX(tEditais[Encerramento],MATCH(tItens[[#This Row],[Edital]],tEditais[Edital],0)),"")</f>
        <v>46314.354166666664</v>
      </c>
      <c r="J2660" t="str">
        <f>IFERROR(INDEX(tProdutos[Classe],MATCH(tItens[[#This Row],[Produto]],tProdutos[Produto],0)),"produto não cadastrado")</f>
        <v>FORA</v>
      </c>
      <c r="K2660" s="12">
        <f>tItens[[#This Row],[Qtd]]*tItens[[#This Row],[Vlr unit]]</f>
        <v>0</v>
      </c>
      <c r="L2660" s="6">
        <f>IFERROR(IF(INDEX(tProdutos[Desconto homologado],MATCH(tItens[[#This Row],[Produto]],tProdutos[Produto],0))="",DescontoPadrao,INDEX(tProdutos[Desconto homologado],MATCH(tItens[[#This Row],[Produto]],tProdutos[Produto],0))),DescontoPadrao)</f>
        <v>0.48951048951048998</v>
      </c>
      <c r="M2660" s="12">
        <f>tItens[[#This Row],[Valor]]*(1-tItens[[#This Row],[Desconto]])</f>
        <v>0</v>
      </c>
      <c r="N2660" t="str">
        <f>IFERROR(INDEX(tProdutos[Foco],MATCH(tItens[[#This Row],[Produto]],tProdutos[Produto],0)),"Não")</f>
        <v>Não</v>
      </c>
      <c r="O2660" t="str">
        <f>IFERROR(INDEX(tEditais[SRP],MATCH(tItens[[#This Row],[Edital]],tEditais[Edital],0)),"Não")</f>
        <v>Sim</v>
      </c>
      <c r="P2660" s="4">
        <f>IF(COUNTIFS(INDEX(tItens[Edital],1):tItens[[#This Row],[Edital]],tItens[[#This Row],[Edital]],INDEX(tItens[Produto],1):tItens[[#This Row],[Produto]],tItens[[#This Row],[Produto]])=1,1,0)</f>
        <v>0</v>
      </c>
    </row>
    <row r="2661" spans="1:16" x14ac:dyDescent="0.25">
      <c r="A2661" t="s">
        <v>1277</v>
      </c>
      <c r="B2661">
        <v>8077447</v>
      </c>
      <c r="C2661" t="s">
        <v>5614</v>
      </c>
      <c r="D2661" t="s">
        <v>187</v>
      </c>
      <c r="E2661" s="13">
        <v>1440</v>
      </c>
      <c r="F2661" s="12">
        <v>0</v>
      </c>
      <c r="G2661" t="str">
        <f>IFERROR(INDEX(tEditais[Órgão],MATCH(tItens[[#This Row],[Edital]],tEditais[Edital],0)),"")</f>
        <v>MUNICIPIO DE BURITICUPU</v>
      </c>
      <c r="H2661" t="str">
        <f>IFERROR(INDEX(tEditais[UF],MATCH(tItens[[#This Row],[Edital]],tEditais[Edital],0)),"")</f>
        <v>MA</v>
      </c>
      <c r="I2661" s="11">
        <f>IFERROR(INDEX(tEditais[Encerramento],MATCH(tItens[[#This Row],[Edital]],tEditais[Edital],0)),"")</f>
        <v>46314.354166666664</v>
      </c>
      <c r="J2661" t="str">
        <f>IFERROR(INDEX(tProdutos[Classe],MATCH(tItens[[#This Row],[Produto]],tProdutos[Produto],0)),"produto não cadastrado")</f>
        <v>DISPUTADO</v>
      </c>
      <c r="K2661" s="12">
        <f>tItens[[#This Row],[Qtd]]*tItens[[#This Row],[Vlr unit]]</f>
        <v>0</v>
      </c>
      <c r="L2661" s="6">
        <f>IFERROR(IF(INDEX(tProdutos[Desconto homologado],MATCH(tItens[[#This Row],[Produto]],tProdutos[Produto],0))="",DescontoPadrao,INDEX(tProdutos[Desconto homologado],MATCH(tItens[[#This Row],[Produto]],tProdutos[Produto],0))),DescontoPadrao)</f>
        <v>0.44298820445609399</v>
      </c>
      <c r="M2661" s="12">
        <f>tItens[[#This Row],[Valor]]*(1-tItens[[#This Row],[Desconto]])</f>
        <v>0</v>
      </c>
      <c r="N2661" t="str">
        <f>IFERROR(INDEX(tProdutos[Foco],MATCH(tItens[[#This Row],[Produto]],tProdutos[Produto],0)),"Não")</f>
        <v>Não</v>
      </c>
      <c r="O2661" t="str">
        <f>IFERROR(INDEX(tEditais[SRP],MATCH(tItens[[#This Row],[Edital]],tEditais[Edital],0)),"Não")</f>
        <v>Sim</v>
      </c>
      <c r="P2661" s="4">
        <f>IF(COUNTIFS(INDEX(tItens[Edital],1):tItens[[#This Row],[Edital]],tItens[[#This Row],[Edital]],INDEX(tItens[Produto],1):tItens[[#This Row],[Produto]],tItens[[#This Row],[Produto]])=1,1,0)</f>
        <v>0</v>
      </c>
    </row>
    <row r="2662" spans="1:16" x14ac:dyDescent="0.25">
      <c r="A2662" t="s">
        <v>1277</v>
      </c>
      <c r="B2662">
        <v>8077449</v>
      </c>
      <c r="C2662" t="s">
        <v>5615</v>
      </c>
      <c r="D2662" t="s">
        <v>229</v>
      </c>
      <c r="E2662" s="13">
        <v>288</v>
      </c>
      <c r="F2662" s="12">
        <v>0</v>
      </c>
      <c r="G2662" t="str">
        <f>IFERROR(INDEX(tEditais[Órgão],MATCH(tItens[[#This Row],[Edital]],tEditais[Edital],0)),"")</f>
        <v>MUNICIPIO DE BURITICUPU</v>
      </c>
      <c r="H2662" t="str">
        <f>IFERROR(INDEX(tEditais[UF],MATCH(tItens[[#This Row],[Edital]],tEditais[Edital],0)),"")</f>
        <v>MA</v>
      </c>
      <c r="I2662" s="11">
        <f>IFERROR(INDEX(tEditais[Encerramento],MATCH(tItens[[#This Row],[Edital]],tEditais[Edital],0)),"")</f>
        <v>46314.354166666664</v>
      </c>
      <c r="J2662" t="str">
        <f>IFERROR(INDEX(tProdutos[Classe],MATCH(tItens[[#This Row],[Produto]],tProdutos[Produto],0)),"produto não cadastrado")</f>
        <v>FORA</v>
      </c>
      <c r="K2662" s="12">
        <f>tItens[[#This Row],[Qtd]]*tItens[[#This Row],[Vlr unit]]</f>
        <v>0</v>
      </c>
      <c r="L2662" s="6">
        <f>IFERROR(IF(INDEX(tProdutos[Desconto homologado],MATCH(tItens[[#This Row],[Produto]],tProdutos[Produto],0))="",DescontoPadrao,INDEX(tProdutos[Desconto homologado],MATCH(tItens[[#This Row],[Produto]],tProdutos[Produto],0))),DescontoPadrao)</f>
        <v>0.33093491191658198</v>
      </c>
      <c r="M2662" s="12">
        <f>tItens[[#This Row],[Valor]]*(1-tItens[[#This Row],[Desconto]])</f>
        <v>0</v>
      </c>
      <c r="N2662" t="str">
        <f>IFERROR(INDEX(tProdutos[Foco],MATCH(tItens[[#This Row],[Produto]],tProdutos[Produto],0)),"Não")</f>
        <v>Não</v>
      </c>
      <c r="O2662" t="str">
        <f>IFERROR(INDEX(tEditais[SRP],MATCH(tItens[[#This Row],[Edital]],tEditais[Edital],0)),"Não")</f>
        <v>Sim</v>
      </c>
      <c r="P2662" s="4">
        <f>IF(COUNTIFS(INDEX(tItens[Edital],1):tItens[[#This Row],[Edital]],tItens[[#This Row],[Edital]],INDEX(tItens[Produto],1):tItens[[#This Row],[Produto]],tItens[[#This Row],[Produto]])=1,1,0)</f>
        <v>0</v>
      </c>
    </row>
    <row r="2663" spans="1:16" x14ac:dyDescent="0.25">
      <c r="A2663" t="s">
        <v>1277</v>
      </c>
      <c r="B2663">
        <v>8077451</v>
      </c>
      <c r="C2663" t="s">
        <v>5616</v>
      </c>
      <c r="D2663" t="s">
        <v>60</v>
      </c>
      <c r="E2663" s="13">
        <v>3200</v>
      </c>
      <c r="F2663" s="12">
        <v>0</v>
      </c>
      <c r="G2663" t="str">
        <f>IFERROR(INDEX(tEditais[Órgão],MATCH(tItens[[#This Row],[Edital]],tEditais[Edital],0)),"")</f>
        <v>MUNICIPIO DE BURITICUPU</v>
      </c>
      <c r="H2663" t="str">
        <f>IFERROR(INDEX(tEditais[UF],MATCH(tItens[[#This Row],[Edital]],tEditais[Edital],0)),"")</f>
        <v>MA</v>
      </c>
      <c r="I2663" s="11">
        <f>IFERROR(INDEX(tEditais[Encerramento],MATCH(tItens[[#This Row],[Edital]],tEditais[Edital],0)),"")</f>
        <v>46314.354166666664</v>
      </c>
      <c r="J2663" t="str">
        <f>IFERROR(INDEX(tProdutos[Classe],MATCH(tItens[[#This Row],[Produto]],tProdutos[Produto],0)),"produto não cadastrado")</f>
        <v>NÚCLEO</v>
      </c>
      <c r="K2663" s="12">
        <f>tItens[[#This Row],[Qtd]]*tItens[[#This Row],[Vlr unit]]</f>
        <v>0</v>
      </c>
      <c r="L2663" s="6">
        <f>IFERROR(IF(INDEX(tProdutos[Desconto homologado],MATCH(tItens[[#This Row],[Produto]],tProdutos[Produto],0))="",DescontoPadrao,INDEX(tProdutos[Desconto homologado],MATCH(tItens[[#This Row],[Produto]],tProdutos[Produto],0))),DescontoPadrao)</f>
        <v>0.23</v>
      </c>
      <c r="M2663" s="12">
        <f>tItens[[#This Row],[Valor]]*(1-tItens[[#This Row],[Desconto]])</f>
        <v>0</v>
      </c>
      <c r="N2663" t="str">
        <f>IFERROR(INDEX(tProdutos[Foco],MATCH(tItens[[#This Row],[Produto]],tProdutos[Produto],0)),"Não")</f>
        <v>Sim</v>
      </c>
      <c r="O2663" t="str">
        <f>IFERROR(INDEX(tEditais[SRP],MATCH(tItens[[#This Row],[Edital]],tEditais[Edital],0)),"Não")</f>
        <v>Sim</v>
      </c>
      <c r="P2663" s="4">
        <f>IF(COUNTIFS(INDEX(tItens[Edital],1):tItens[[#This Row],[Edital]],tItens[[#This Row],[Edital]],INDEX(tItens[Produto],1):tItens[[#This Row],[Produto]],tItens[[#This Row],[Produto]])=1,1,0)</f>
        <v>0</v>
      </c>
    </row>
    <row r="2664" spans="1:16" x14ac:dyDescent="0.25">
      <c r="A2664" t="s">
        <v>1277</v>
      </c>
      <c r="B2664">
        <v>8077452</v>
      </c>
      <c r="C2664" t="s">
        <v>5617</v>
      </c>
      <c r="D2664" t="s">
        <v>90</v>
      </c>
      <c r="E2664" s="13">
        <v>3200</v>
      </c>
      <c r="F2664" s="12">
        <v>0</v>
      </c>
      <c r="G2664" t="str">
        <f>IFERROR(INDEX(tEditais[Órgão],MATCH(tItens[[#This Row],[Edital]],tEditais[Edital],0)),"")</f>
        <v>MUNICIPIO DE BURITICUPU</v>
      </c>
      <c r="H2664" t="str">
        <f>IFERROR(INDEX(tEditais[UF],MATCH(tItens[[#This Row],[Edital]],tEditais[Edital],0)),"")</f>
        <v>MA</v>
      </c>
      <c r="I2664" s="11">
        <f>IFERROR(INDEX(tEditais[Encerramento],MATCH(tItens[[#This Row],[Edital]],tEditais[Edital],0)),"")</f>
        <v>46314.354166666664</v>
      </c>
      <c r="J2664" t="str">
        <f>IFERROR(INDEX(tProdutos[Classe],MATCH(tItens[[#This Row],[Produto]],tProdutos[Produto],0)),"produto não cadastrado")</f>
        <v>DISPUTADO</v>
      </c>
      <c r="K2664" s="12">
        <f>tItens[[#This Row],[Qtd]]*tItens[[#This Row],[Vlr unit]]</f>
        <v>0</v>
      </c>
      <c r="L2664" s="6">
        <f>IFERROR(IF(INDEX(tProdutos[Desconto homologado],MATCH(tItens[[#This Row],[Produto]],tProdutos[Produto],0))="",DescontoPadrao,INDEX(tProdutos[Desconto homologado],MATCH(tItens[[#This Row],[Produto]],tProdutos[Produto],0))),DescontoPadrao)</f>
        <v>0.25393823957010597</v>
      </c>
      <c r="M2664" s="12">
        <f>tItens[[#This Row],[Valor]]*(1-tItens[[#This Row],[Desconto]])</f>
        <v>0</v>
      </c>
      <c r="N2664" t="str">
        <f>IFERROR(INDEX(tProdutos[Foco],MATCH(tItens[[#This Row],[Produto]],tProdutos[Produto],0)),"Não")</f>
        <v>Não</v>
      </c>
      <c r="O2664" t="str">
        <f>IFERROR(INDEX(tEditais[SRP],MATCH(tItens[[#This Row],[Edital]],tEditais[Edital],0)),"Não")</f>
        <v>Sim</v>
      </c>
      <c r="P2664" s="4">
        <f>IF(COUNTIFS(INDEX(tItens[Edital],1):tItens[[#This Row],[Edital]],tItens[[#This Row],[Edital]],INDEX(tItens[Produto],1):tItens[[#This Row],[Produto]],tItens[[#This Row],[Produto]])=1,1,0)</f>
        <v>0</v>
      </c>
    </row>
    <row r="2665" spans="1:16" x14ac:dyDescent="0.25">
      <c r="A2665" t="s">
        <v>1277</v>
      </c>
      <c r="B2665">
        <v>8077453</v>
      </c>
      <c r="C2665" t="s">
        <v>5618</v>
      </c>
      <c r="D2665" t="s">
        <v>90</v>
      </c>
      <c r="E2665" s="13">
        <v>1600</v>
      </c>
      <c r="F2665" s="12">
        <v>0</v>
      </c>
      <c r="G2665" t="str">
        <f>IFERROR(INDEX(tEditais[Órgão],MATCH(tItens[[#This Row],[Edital]],tEditais[Edital],0)),"")</f>
        <v>MUNICIPIO DE BURITICUPU</v>
      </c>
      <c r="H2665" t="str">
        <f>IFERROR(INDEX(tEditais[UF],MATCH(tItens[[#This Row],[Edital]],tEditais[Edital],0)),"")</f>
        <v>MA</v>
      </c>
      <c r="I2665" s="11">
        <f>IFERROR(INDEX(tEditais[Encerramento],MATCH(tItens[[#This Row],[Edital]],tEditais[Edital],0)),"")</f>
        <v>46314.354166666664</v>
      </c>
      <c r="J2665" t="str">
        <f>IFERROR(INDEX(tProdutos[Classe],MATCH(tItens[[#This Row],[Produto]],tProdutos[Produto],0)),"produto não cadastrado")</f>
        <v>DISPUTADO</v>
      </c>
      <c r="K2665" s="12">
        <f>tItens[[#This Row],[Qtd]]*tItens[[#This Row],[Vlr unit]]</f>
        <v>0</v>
      </c>
      <c r="L2665" s="6">
        <f>IFERROR(IF(INDEX(tProdutos[Desconto homologado],MATCH(tItens[[#This Row],[Produto]],tProdutos[Produto],0))="",DescontoPadrao,INDEX(tProdutos[Desconto homologado],MATCH(tItens[[#This Row],[Produto]],tProdutos[Produto],0))),DescontoPadrao)</f>
        <v>0.25393823957010597</v>
      </c>
      <c r="M2665" s="12">
        <f>tItens[[#This Row],[Valor]]*(1-tItens[[#This Row],[Desconto]])</f>
        <v>0</v>
      </c>
      <c r="N2665" t="str">
        <f>IFERROR(INDEX(tProdutos[Foco],MATCH(tItens[[#This Row],[Produto]],tProdutos[Produto],0)),"Não")</f>
        <v>Não</v>
      </c>
      <c r="O2665" t="str">
        <f>IFERROR(INDEX(tEditais[SRP],MATCH(tItens[[#This Row],[Edital]],tEditais[Edital],0)),"Não")</f>
        <v>Sim</v>
      </c>
      <c r="P2665" s="4">
        <f>IF(COUNTIFS(INDEX(tItens[Edital],1):tItens[[#This Row],[Edital]],tItens[[#This Row],[Edital]],INDEX(tItens[Produto],1):tItens[[#This Row],[Produto]],tItens[[#This Row],[Produto]])=1,1,0)</f>
        <v>0</v>
      </c>
    </row>
    <row r="2666" spans="1:16" x14ac:dyDescent="0.25">
      <c r="A2666" t="s">
        <v>1277</v>
      </c>
      <c r="B2666">
        <v>8077454</v>
      </c>
      <c r="C2666" t="s">
        <v>5619</v>
      </c>
      <c r="D2666" t="s">
        <v>233</v>
      </c>
      <c r="E2666" s="13">
        <v>2400</v>
      </c>
      <c r="F2666" s="12">
        <v>0</v>
      </c>
      <c r="G2666" t="str">
        <f>IFERROR(INDEX(tEditais[Órgão],MATCH(tItens[[#This Row],[Edital]],tEditais[Edital],0)),"")</f>
        <v>MUNICIPIO DE BURITICUPU</v>
      </c>
      <c r="H2666" t="str">
        <f>IFERROR(INDEX(tEditais[UF],MATCH(tItens[[#This Row],[Edital]],tEditais[Edital],0)),"")</f>
        <v>MA</v>
      </c>
      <c r="I2666" s="11">
        <f>IFERROR(INDEX(tEditais[Encerramento],MATCH(tItens[[#This Row],[Edital]],tEditais[Edital],0)),"")</f>
        <v>46314.354166666664</v>
      </c>
      <c r="J2666" t="str">
        <f>IFERROR(INDEX(tProdutos[Classe],MATCH(tItens[[#This Row],[Produto]],tProdutos[Produto],0)),"produto não cadastrado")</f>
        <v>FORA</v>
      </c>
      <c r="K2666" s="12">
        <f>tItens[[#This Row],[Qtd]]*tItens[[#This Row],[Vlr unit]]</f>
        <v>0</v>
      </c>
      <c r="L2666" s="6">
        <f>IFERROR(IF(INDEX(tProdutos[Desconto homologado],MATCH(tItens[[#This Row],[Produto]],tProdutos[Produto],0))="",DescontoPadrao,INDEX(tProdutos[Desconto homologado],MATCH(tItens[[#This Row],[Produto]],tProdutos[Produto],0))),DescontoPadrao)</f>
        <v>0.246270084162204</v>
      </c>
      <c r="M2666" s="12">
        <f>tItens[[#This Row],[Valor]]*(1-tItens[[#This Row],[Desconto]])</f>
        <v>0</v>
      </c>
      <c r="N2666" t="str">
        <f>IFERROR(INDEX(tProdutos[Foco],MATCH(tItens[[#This Row],[Produto]],tProdutos[Produto],0)),"Não")</f>
        <v>Não</v>
      </c>
      <c r="O2666" t="str">
        <f>IFERROR(INDEX(tEditais[SRP],MATCH(tItens[[#This Row],[Edital]],tEditais[Edital],0)),"Não")</f>
        <v>Sim</v>
      </c>
      <c r="P2666" s="4">
        <f>IF(COUNTIFS(INDEX(tItens[Edital],1):tItens[[#This Row],[Edital]],tItens[[#This Row],[Edital]],INDEX(tItens[Produto],1):tItens[[#This Row],[Produto]],tItens[[#This Row],[Produto]])=1,1,0)</f>
        <v>0</v>
      </c>
    </row>
    <row r="2667" spans="1:16" x14ac:dyDescent="0.25">
      <c r="A2667" t="s">
        <v>1277</v>
      </c>
      <c r="B2667">
        <v>8077458</v>
      </c>
      <c r="C2667" t="s">
        <v>5620</v>
      </c>
      <c r="D2667" t="s">
        <v>142</v>
      </c>
      <c r="E2667" s="13">
        <v>9600</v>
      </c>
      <c r="F2667" s="12">
        <v>0</v>
      </c>
      <c r="G2667" t="str">
        <f>IFERROR(INDEX(tEditais[Órgão],MATCH(tItens[[#This Row],[Edital]],tEditais[Edital],0)),"")</f>
        <v>MUNICIPIO DE BURITICUPU</v>
      </c>
      <c r="H2667" t="str">
        <f>IFERROR(INDEX(tEditais[UF],MATCH(tItens[[#This Row],[Edital]],tEditais[Edital],0)),"")</f>
        <v>MA</v>
      </c>
      <c r="I2667" s="11">
        <f>IFERROR(INDEX(tEditais[Encerramento],MATCH(tItens[[#This Row],[Edital]],tEditais[Edital],0)),"")</f>
        <v>46314.354166666664</v>
      </c>
      <c r="J2667" t="str">
        <f>IFERROR(INDEX(tProdutos[Classe],MATCH(tItens[[#This Row],[Produto]],tProdutos[Produto],0)),"produto não cadastrado")</f>
        <v>DISPUTADO</v>
      </c>
      <c r="K2667" s="12">
        <f>tItens[[#This Row],[Qtd]]*tItens[[#This Row],[Vlr unit]]</f>
        <v>0</v>
      </c>
      <c r="L2667" s="6">
        <f>IFERROR(IF(INDEX(tProdutos[Desconto homologado],MATCH(tItens[[#This Row],[Produto]],tProdutos[Produto],0))="",DescontoPadrao,INDEX(tProdutos[Desconto homologado],MATCH(tItens[[#This Row],[Produto]],tProdutos[Produto],0))),DescontoPadrao)</f>
        <v>0.37093619495691699</v>
      </c>
      <c r="M2667" s="12">
        <f>tItens[[#This Row],[Valor]]*(1-tItens[[#This Row],[Desconto]])</f>
        <v>0</v>
      </c>
      <c r="N2667" t="str">
        <f>IFERROR(INDEX(tProdutos[Foco],MATCH(tItens[[#This Row],[Produto]],tProdutos[Produto],0)),"Não")</f>
        <v>Não</v>
      </c>
      <c r="O2667" t="str">
        <f>IFERROR(INDEX(tEditais[SRP],MATCH(tItens[[#This Row],[Edital]],tEditais[Edital],0)),"Não")</f>
        <v>Sim</v>
      </c>
      <c r="P2667" s="4">
        <f>IF(COUNTIFS(INDEX(tItens[Edital],1):tItens[[#This Row],[Edital]],tItens[[#This Row],[Edital]],INDEX(tItens[Produto],1):tItens[[#This Row],[Produto]],tItens[[#This Row],[Produto]])=1,1,0)</f>
        <v>0</v>
      </c>
    </row>
    <row r="2668" spans="1:16" x14ac:dyDescent="0.25">
      <c r="A2668" t="s">
        <v>1277</v>
      </c>
      <c r="B2668">
        <v>8077463</v>
      </c>
      <c r="C2668" t="s">
        <v>5621</v>
      </c>
      <c r="D2668" t="s">
        <v>279</v>
      </c>
      <c r="E2668" s="13">
        <v>4000</v>
      </c>
      <c r="F2668" s="12">
        <v>0</v>
      </c>
      <c r="G2668" t="str">
        <f>IFERROR(INDEX(tEditais[Órgão],MATCH(tItens[[#This Row],[Edital]],tEditais[Edital],0)),"")</f>
        <v>MUNICIPIO DE BURITICUPU</v>
      </c>
      <c r="H2668" t="str">
        <f>IFERROR(INDEX(tEditais[UF],MATCH(tItens[[#This Row],[Edital]],tEditais[Edital],0)),"")</f>
        <v>MA</v>
      </c>
      <c r="I2668" s="11">
        <f>IFERROR(INDEX(tEditais[Encerramento],MATCH(tItens[[#This Row],[Edital]],tEditais[Edital],0)),"")</f>
        <v>46314.354166666664</v>
      </c>
      <c r="J2668" t="str">
        <f>IFERROR(INDEX(tProdutos[Classe],MATCH(tItens[[#This Row],[Produto]],tProdutos[Produto],0)),"produto não cadastrado")</f>
        <v>FORA</v>
      </c>
      <c r="K2668" s="12">
        <f>tItens[[#This Row],[Qtd]]*tItens[[#This Row],[Vlr unit]]</f>
        <v>0</v>
      </c>
      <c r="L2668" s="6">
        <f>IFERROR(IF(INDEX(tProdutos[Desconto homologado],MATCH(tItens[[#This Row],[Produto]],tProdutos[Produto],0))="",DescontoPadrao,INDEX(tProdutos[Desconto homologado],MATCH(tItens[[#This Row],[Produto]],tProdutos[Produto],0))),DescontoPadrao)</f>
        <v>0.28909090909090901</v>
      </c>
      <c r="M2668" s="12">
        <f>tItens[[#This Row],[Valor]]*(1-tItens[[#This Row],[Desconto]])</f>
        <v>0</v>
      </c>
      <c r="N2668" t="str">
        <f>IFERROR(INDEX(tProdutos[Foco],MATCH(tItens[[#This Row],[Produto]],tProdutos[Produto],0)),"Não")</f>
        <v>Não</v>
      </c>
      <c r="O2668" t="str">
        <f>IFERROR(INDEX(tEditais[SRP],MATCH(tItens[[#This Row],[Edital]],tEditais[Edital],0)),"Não")</f>
        <v>Sim</v>
      </c>
      <c r="P2668" s="4">
        <f>IF(COUNTIFS(INDEX(tItens[Edital],1):tItens[[#This Row],[Edital]],tItens[[#This Row],[Edital]],INDEX(tItens[Produto],1):tItens[[#This Row],[Produto]],tItens[[#This Row],[Produto]])=1,1,0)</f>
        <v>0</v>
      </c>
    </row>
    <row r="2669" spans="1:16" x14ac:dyDescent="0.25">
      <c r="A2669" t="s">
        <v>1277</v>
      </c>
      <c r="B2669">
        <v>8077469</v>
      </c>
      <c r="C2669" t="s">
        <v>5622</v>
      </c>
      <c r="D2669" t="s">
        <v>56</v>
      </c>
      <c r="E2669" s="13">
        <v>800</v>
      </c>
      <c r="F2669" s="12">
        <v>0</v>
      </c>
      <c r="G2669" t="str">
        <f>IFERROR(INDEX(tEditais[Órgão],MATCH(tItens[[#This Row],[Edital]],tEditais[Edital],0)),"")</f>
        <v>MUNICIPIO DE BURITICUPU</v>
      </c>
      <c r="H2669" t="str">
        <f>IFERROR(INDEX(tEditais[UF],MATCH(tItens[[#This Row],[Edital]],tEditais[Edital],0)),"")</f>
        <v>MA</v>
      </c>
      <c r="I2669" s="11">
        <f>IFERROR(INDEX(tEditais[Encerramento],MATCH(tItens[[#This Row],[Edital]],tEditais[Edital],0)),"")</f>
        <v>46314.354166666664</v>
      </c>
      <c r="J2669" t="str">
        <f>IFERROR(INDEX(tProdutos[Classe],MATCH(tItens[[#This Row],[Produto]],tProdutos[Produto],0)),"produto não cadastrado")</f>
        <v>NÚCLEO</v>
      </c>
      <c r="K2669" s="12">
        <f>tItens[[#This Row],[Qtd]]*tItens[[#This Row],[Vlr unit]]</f>
        <v>0</v>
      </c>
      <c r="L2669" s="6">
        <f>IFERROR(IF(INDEX(tProdutos[Desconto homologado],MATCH(tItens[[#This Row],[Produto]],tProdutos[Produto],0))="",DescontoPadrao,INDEX(tProdutos[Desconto homologado],MATCH(tItens[[#This Row],[Produto]],tProdutos[Produto],0))),DescontoPadrao)</f>
        <v>0.34</v>
      </c>
      <c r="M2669" s="12">
        <f>tItens[[#This Row],[Valor]]*(1-tItens[[#This Row],[Desconto]])</f>
        <v>0</v>
      </c>
      <c r="N2669" t="str">
        <f>IFERROR(INDEX(tProdutos[Foco],MATCH(tItens[[#This Row],[Produto]],tProdutos[Produto],0)),"Não")</f>
        <v>Sim</v>
      </c>
      <c r="O2669" t="str">
        <f>IFERROR(INDEX(tEditais[SRP],MATCH(tItens[[#This Row],[Edital]],tEditais[Edital],0)),"Não")</f>
        <v>Sim</v>
      </c>
      <c r="P2669" s="4">
        <f>IF(COUNTIFS(INDEX(tItens[Edital],1):tItens[[#This Row],[Edital]],tItens[[#This Row],[Edital]],INDEX(tItens[Produto],1):tItens[[#This Row],[Produto]],tItens[[#This Row],[Produto]])=1,1,0)</f>
        <v>0</v>
      </c>
    </row>
    <row r="2670" spans="1:16" x14ac:dyDescent="0.25">
      <c r="A2670" t="s">
        <v>1277</v>
      </c>
      <c r="B2670">
        <v>8077470</v>
      </c>
      <c r="C2670" t="s">
        <v>5623</v>
      </c>
      <c r="D2670" t="s">
        <v>56</v>
      </c>
      <c r="E2670" s="13">
        <v>800</v>
      </c>
      <c r="F2670" s="12">
        <v>0</v>
      </c>
      <c r="G2670" t="str">
        <f>IFERROR(INDEX(tEditais[Órgão],MATCH(tItens[[#This Row],[Edital]],tEditais[Edital],0)),"")</f>
        <v>MUNICIPIO DE BURITICUPU</v>
      </c>
      <c r="H2670" t="str">
        <f>IFERROR(INDEX(tEditais[UF],MATCH(tItens[[#This Row],[Edital]],tEditais[Edital],0)),"")</f>
        <v>MA</v>
      </c>
      <c r="I2670" s="11">
        <f>IFERROR(INDEX(tEditais[Encerramento],MATCH(tItens[[#This Row],[Edital]],tEditais[Edital],0)),"")</f>
        <v>46314.354166666664</v>
      </c>
      <c r="J2670" t="str">
        <f>IFERROR(INDEX(tProdutos[Classe],MATCH(tItens[[#This Row],[Produto]],tProdutos[Produto],0)),"produto não cadastrado")</f>
        <v>NÚCLEO</v>
      </c>
      <c r="K2670" s="12">
        <f>tItens[[#This Row],[Qtd]]*tItens[[#This Row],[Vlr unit]]</f>
        <v>0</v>
      </c>
      <c r="L2670" s="6">
        <f>IFERROR(IF(INDEX(tProdutos[Desconto homologado],MATCH(tItens[[#This Row],[Produto]],tProdutos[Produto],0))="",DescontoPadrao,INDEX(tProdutos[Desconto homologado],MATCH(tItens[[#This Row],[Produto]],tProdutos[Produto],0))),DescontoPadrao)</f>
        <v>0.34</v>
      </c>
      <c r="M2670" s="12">
        <f>tItens[[#This Row],[Valor]]*(1-tItens[[#This Row],[Desconto]])</f>
        <v>0</v>
      </c>
      <c r="N2670" t="str">
        <f>IFERROR(INDEX(tProdutos[Foco],MATCH(tItens[[#This Row],[Produto]],tProdutos[Produto],0)),"Não")</f>
        <v>Sim</v>
      </c>
      <c r="O2670" t="str">
        <f>IFERROR(INDEX(tEditais[SRP],MATCH(tItens[[#This Row],[Edital]],tEditais[Edital],0)),"Não")</f>
        <v>Sim</v>
      </c>
      <c r="P2670" s="4">
        <f>IF(COUNTIFS(INDEX(tItens[Edital],1):tItens[[#This Row],[Edital]],tItens[[#This Row],[Edital]],INDEX(tItens[Produto],1):tItens[[#This Row],[Produto]],tItens[[#This Row],[Produto]])=1,1,0)</f>
        <v>0</v>
      </c>
    </row>
    <row r="2671" spans="1:16" x14ac:dyDescent="0.25">
      <c r="A2671" t="s">
        <v>1277</v>
      </c>
      <c r="B2671">
        <v>8077471</v>
      </c>
      <c r="C2671" t="s">
        <v>5624</v>
      </c>
      <c r="D2671" t="s">
        <v>267</v>
      </c>
      <c r="E2671" s="13">
        <v>2720</v>
      </c>
      <c r="F2671" s="12">
        <v>0</v>
      </c>
      <c r="G2671" t="str">
        <f>IFERROR(INDEX(tEditais[Órgão],MATCH(tItens[[#This Row],[Edital]],tEditais[Edital],0)),"")</f>
        <v>MUNICIPIO DE BURITICUPU</v>
      </c>
      <c r="H2671" t="str">
        <f>IFERROR(INDEX(tEditais[UF],MATCH(tItens[[#This Row],[Edital]],tEditais[Edital],0)),"")</f>
        <v>MA</v>
      </c>
      <c r="I2671" s="11">
        <f>IFERROR(INDEX(tEditais[Encerramento],MATCH(tItens[[#This Row],[Edital]],tEditais[Edital],0)),"")</f>
        <v>46314.354166666664</v>
      </c>
      <c r="J2671" t="str">
        <f>IFERROR(INDEX(tProdutos[Classe],MATCH(tItens[[#This Row],[Produto]],tProdutos[Produto],0)),"produto não cadastrado")</f>
        <v>FORA</v>
      </c>
      <c r="K2671" s="12">
        <f>tItens[[#This Row],[Qtd]]*tItens[[#This Row],[Vlr unit]]</f>
        <v>0</v>
      </c>
      <c r="L2671" s="6">
        <f>IFERROR(IF(INDEX(tProdutos[Desconto homologado],MATCH(tItens[[#This Row],[Produto]],tProdutos[Produto],0))="",DescontoPadrao,INDEX(tProdutos[Desconto homologado],MATCH(tItens[[#This Row],[Produto]],tProdutos[Produto],0))),DescontoPadrao)</f>
        <v>0.19963672657401599</v>
      </c>
      <c r="M2671" s="12">
        <f>tItens[[#This Row],[Valor]]*(1-tItens[[#This Row],[Desconto]])</f>
        <v>0</v>
      </c>
      <c r="N2671" t="str">
        <f>IFERROR(INDEX(tProdutos[Foco],MATCH(tItens[[#This Row],[Produto]],tProdutos[Produto],0)),"Não")</f>
        <v>Não</v>
      </c>
      <c r="O2671" t="str">
        <f>IFERROR(INDEX(tEditais[SRP],MATCH(tItens[[#This Row],[Edital]],tEditais[Edital],0)),"Não")</f>
        <v>Sim</v>
      </c>
      <c r="P2671" s="4">
        <f>IF(COUNTIFS(INDEX(tItens[Edital],1):tItens[[#This Row],[Edital]],tItens[[#This Row],[Edital]],INDEX(tItens[Produto],1):tItens[[#This Row],[Produto]],tItens[[#This Row],[Produto]])=1,1,0)</f>
        <v>0</v>
      </c>
    </row>
    <row r="2672" spans="1:16" x14ac:dyDescent="0.25">
      <c r="A2672" t="s">
        <v>1277</v>
      </c>
      <c r="B2672">
        <v>8077475</v>
      </c>
      <c r="C2672" t="s">
        <v>5625</v>
      </c>
      <c r="D2672" t="s">
        <v>403</v>
      </c>
      <c r="E2672" s="13">
        <v>160</v>
      </c>
      <c r="F2672" s="12">
        <v>0</v>
      </c>
      <c r="G2672" t="str">
        <f>IFERROR(INDEX(tEditais[Órgão],MATCH(tItens[[#This Row],[Edital]],tEditais[Edital],0)),"")</f>
        <v>MUNICIPIO DE BURITICUPU</v>
      </c>
      <c r="H2672" t="str">
        <f>IFERROR(INDEX(tEditais[UF],MATCH(tItens[[#This Row],[Edital]],tEditais[Edital],0)),"")</f>
        <v>MA</v>
      </c>
      <c r="I2672" s="11">
        <f>IFERROR(INDEX(tEditais[Encerramento],MATCH(tItens[[#This Row],[Edital]],tEditais[Edital],0)),"")</f>
        <v>46314.354166666664</v>
      </c>
      <c r="J2672" t="str">
        <f>IFERROR(INDEX(tProdutos[Classe],MATCH(tItens[[#This Row],[Produto]],tProdutos[Produto],0)),"produto não cadastrado")</f>
        <v>FORA</v>
      </c>
      <c r="K2672" s="12">
        <f>tItens[[#This Row],[Qtd]]*tItens[[#This Row],[Vlr unit]]</f>
        <v>0</v>
      </c>
      <c r="L2672" s="6">
        <f>IFERROR(IF(INDEX(tProdutos[Desconto homologado],MATCH(tItens[[#This Row],[Produto]],tProdutos[Produto],0))="",DescontoPadrao,INDEX(tProdutos[Desconto homologado],MATCH(tItens[[#This Row],[Produto]],tProdutos[Produto],0))),DescontoPadrao)</f>
        <v>0.35326086956521702</v>
      </c>
      <c r="M2672" s="12">
        <f>tItens[[#This Row],[Valor]]*(1-tItens[[#This Row],[Desconto]])</f>
        <v>0</v>
      </c>
      <c r="N2672" t="str">
        <f>IFERROR(INDEX(tProdutos[Foco],MATCH(tItens[[#This Row],[Produto]],tProdutos[Produto],0)),"Não")</f>
        <v>Não</v>
      </c>
      <c r="O2672" t="str">
        <f>IFERROR(INDEX(tEditais[SRP],MATCH(tItens[[#This Row],[Edital]],tEditais[Edital],0)),"Não")</f>
        <v>Sim</v>
      </c>
      <c r="P2672" s="4">
        <f>IF(COUNTIFS(INDEX(tItens[Edital],1):tItens[[#This Row],[Edital]],tItens[[#This Row],[Edital]],INDEX(tItens[Produto],1):tItens[[#This Row],[Produto]],tItens[[#This Row],[Produto]])=1,1,0)</f>
        <v>0</v>
      </c>
    </row>
    <row r="2673" spans="1:16" x14ac:dyDescent="0.25">
      <c r="A2673" t="s">
        <v>1277</v>
      </c>
      <c r="B2673">
        <v>8077476</v>
      </c>
      <c r="C2673" t="s">
        <v>5626</v>
      </c>
      <c r="D2673" t="s">
        <v>170</v>
      </c>
      <c r="E2673" s="13">
        <v>800</v>
      </c>
      <c r="F2673" s="12">
        <v>0</v>
      </c>
      <c r="G2673" t="str">
        <f>IFERROR(INDEX(tEditais[Órgão],MATCH(tItens[[#This Row],[Edital]],tEditais[Edital],0)),"")</f>
        <v>MUNICIPIO DE BURITICUPU</v>
      </c>
      <c r="H2673" t="str">
        <f>IFERROR(INDEX(tEditais[UF],MATCH(tItens[[#This Row],[Edital]],tEditais[Edital],0)),"")</f>
        <v>MA</v>
      </c>
      <c r="I2673" s="11">
        <f>IFERROR(INDEX(tEditais[Encerramento],MATCH(tItens[[#This Row],[Edital]],tEditais[Edital],0)),"")</f>
        <v>46314.354166666664</v>
      </c>
      <c r="J2673" t="str">
        <f>IFERROR(INDEX(tProdutos[Classe],MATCH(tItens[[#This Row],[Produto]],tProdutos[Produto],0)),"produto não cadastrado")</f>
        <v>DISPUTADO</v>
      </c>
      <c r="K2673" s="12">
        <f>tItens[[#This Row],[Qtd]]*tItens[[#This Row],[Vlr unit]]</f>
        <v>0</v>
      </c>
      <c r="L2673" s="6">
        <f>IFERROR(IF(INDEX(tProdutos[Desconto homologado],MATCH(tItens[[#This Row],[Produto]],tProdutos[Produto],0))="",DescontoPadrao,INDEX(tProdutos[Desconto homologado],MATCH(tItens[[#This Row],[Produto]],tProdutos[Produto],0))),DescontoPadrao)</f>
        <v>0.36</v>
      </c>
      <c r="M2673" s="12">
        <f>tItens[[#This Row],[Valor]]*(1-tItens[[#This Row],[Desconto]])</f>
        <v>0</v>
      </c>
      <c r="N2673" t="str">
        <f>IFERROR(INDEX(tProdutos[Foco],MATCH(tItens[[#This Row],[Produto]],tProdutos[Produto],0)),"Não")</f>
        <v>Sim</v>
      </c>
      <c r="O2673" t="str">
        <f>IFERROR(INDEX(tEditais[SRP],MATCH(tItens[[#This Row],[Edital]],tEditais[Edital],0)),"Não")</f>
        <v>Sim</v>
      </c>
      <c r="P2673" s="4">
        <f>IF(COUNTIFS(INDEX(tItens[Edital],1):tItens[[#This Row],[Edital]],tItens[[#This Row],[Edital]],INDEX(tItens[Produto],1):tItens[[#This Row],[Produto]],tItens[[#This Row],[Produto]])=1,1,0)</f>
        <v>0</v>
      </c>
    </row>
    <row r="2674" spans="1:16" x14ac:dyDescent="0.25">
      <c r="A2674" t="s">
        <v>1277</v>
      </c>
      <c r="B2674">
        <v>8077477</v>
      </c>
      <c r="C2674" t="s">
        <v>5627</v>
      </c>
      <c r="D2674" t="s">
        <v>170</v>
      </c>
      <c r="E2674" s="13">
        <v>800</v>
      </c>
      <c r="F2674" s="12">
        <v>0</v>
      </c>
      <c r="G2674" t="str">
        <f>IFERROR(INDEX(tEditais[Órgão],MATCH(tItens[[#This Row],[Edital]],tEditais[Edital],0)),"")</f>
        <v>MUNICIPIO DE BURITICUPU</v>
      </c>
      <c r="H2674" t="str">
        <f>IFERROR(INDEX(tEditais[UF],MATCH(tItens[[#This Row],[Edital]],tEditais[Edital],0)),"")</f>
        <v>MA</v>
      </c>
      <c r="I2674" s="11">
        <f>IFERROR(INDEX(tEditais[Encerramento],MATCH(tItens[[#This Row],[Edital]],tEditais[Edital],0)),"")</f>
        <v>46314.354166666664</v>
      </c>
      <c r="J2674" t="str">
        <f>IFERROR(INDEX(tProdutos[Classe],MATCH(tItens[[#This Row],[Produto]],tProdutos[Produto],0)),"produto não cadastrado")</f>
        <v>DISPUTADO</v>
      </c>
      <c r="K2674" s="12">
        <f>tItens[[#This Row],[Qtd]]*tItens[[#This Row],[Vlr unit]]</f>
        <v>0</v>
      </c>
      <c r="L2674" s="6">
        <f>IFERROR(IF(INDEX(tProdutos[Desconto homologado],MATCH(tItens[[#This Row],[Produto]],tProdutos[Produto],0))="",DescontoPadrao,INDEX(tProdutos[Desconto homologado],MATCH(tItens[[#This Row],[Produto]],tProdutos[Produto],0))),DescontoPadrao)</f>
        <v>0.36</v>
      </c>
      <c r="M2674" s="12">
        <f>tItens[[#This Row],[Valor]]*(1-tItens[[#This Row],[Desconto]])</f>
        <v>0</v>
      </c>
      <c r="N2674" t="str">
        <f>IFERROR(INDEX(tProdutos[Foco],MATCH(tItens[[#This Row],[Produto]],tProdutos[Produto],0)),"Não")</f>
        <v>Sim</v>
      </c>
      <c r="O2674" t="str">
        <f>IFERROR(INDEX(tEditais[SRP],MATCH(tItens[[#This Row],[Edital]],tEditais[Edital],0)),"Não")</f>
        <v>Sim</v>
      </c>
      <c r="P2674" s="4">
        <f>IF(COUNTIFS(INDEX(tItens[Edital],1):tItens[[#This Row],[Edital]],tItens[[#This Row],[Edital]],INDEX(tItens[Produto],1):tItens[[#This Row],[Produto]],tItens[[#This Row],[Produto]])=1,1,0)</f>
        <v>0</v>
      </c>
    </row>
    <row r="2675" spans="1:16" x14ac:dyDescent="0.25">
      <c r="A2675" t="s">
        <v>1277</v>
      </c>
      <c r="B2675">
        <v>8077479</v>
      </c>
      <c r="C2675" t="s">
        <v>5628</v>
      </c>
      <c r="D2675" t="s">
        <v>293</v>
      </c>
      <c r="E2675" s="13">
        <v>400</v>
      </c>
      <c r="F2675" s="12">
        <v>0</v>
      </c>
      <c r="G2675" t="str">
        <f>IFERROR(INDEX(tEditais[Órgão],MATCH(tItens[[#This Row],[Edital]],tEditais[Edital],0)),"")</f>
        <v>MUNICIPIO DE BURITICUPU</v>
      </c>
      <c r="H2675" t="str">
        <f>IFERROR(INDEX(tEditais[UF],MATCH(tItens[[#This Row],[Edital]],tEditais[Edital],0)),"")</f>
        <v>MA</v>
      </c>
      <c r="I2675" s="11">
        <f>IFERROR(INDEX(tEditais[Encerramento],MATCH(tItens[[#This Row],[Edital]],tEditais[Edital],0)),"")</f>
        <v>46314.354166666664</v>
      </c>
      <c r="J2675" t="str">
        <f>IFERROR(INDEX(tProdutos[Classe],MATCH(tItens[[#This Row],[Produto]],tProdutos[Produto],0)),"produto não cadastrado")</f>
        <v>FORA</v>
      </c>
      <c r="K2675" s="12">
        <f>tItens[[#This Row],[Qtd]]*tItens[[#This Row],[Vlr unit]]</f>
        <v>0</v>
      </c>
      <c r="L2675" s="6">
        <f>IFERROR(IF(INDEX(tProdutos[Desconto homologado],MATCH(tItens[[#This Row],[Produto]],tProdutos[Produto],0))="",DescontoPadrao,INDEX(tProdutos[Desconto homologado],MATCH(tItens[[#This Row],[Produto]],tProdutos[Produto],0))),DescontoPadrao)</f>
        <v>0.45236440369319098</v>
      </c>
      <c r="M2675" s="12">
        <f>tItens[[#This Row],[Valor]]*(1-tItens[[#This Row],[Desconto]])</f>
        <v>0</v>
      </c>
      <c r="N2675" t="str">
        <f>IFERROR(INDEX(tProdutos[Foco],MATCH(tItens[[#This Row],[Produto]],tProdutos[Produto],0)),"Não")</f>
        <v>Não</v>
      </c>
      <c r="O2675" t="str">
        <f>IFERROR(INDEX(tEditais[SRP],MATCH(tItens[[#This Row],[Edital]],tEditais[Edital],0)),"Não")</f>
        <v>Sim</v>
      </c>
      <c r="P2675" s="4">
        <f>IF(COUNTIFS(INDEX(tItens[Edital],1):tItens[[#This Row],[Edital]],tItens[[#This Row],[Edital]],INDEX(tItens[Produto],1):tItens[[#This Row],[Produto]],tItens[[#This Row],[Produto]])=1,1,0)</f>
        <v>0</v>
      </c>
    </row>
    <row r="2676" spans="1:16" x14ac:dyDescent="0.25">
      <c r="A2676" t="s">
        <v>1277</v>
      </c>
      <c r="B2676">
        <v>8077480</v>
      </c>
      <c r="C2676" t="s">
        <v>5583</v>
      </c>
      <c r="D2676" t="s">
        <v>223</v>
      </c>
      <c r="E2676" s="13">
        <v>320</v>
      </c>
      <c r="F2676" s="12">
        <v>0</v>
      </c>
      <c r="G2676" t="str">
        <f>IFERROR(INDEX(tEditais[Órgão],MATCH(tItens[[#This Row],[Edital]],tEditais[Edital],0)),"")</f>
        <v>MUNICIPIO DE BURITICUPU</v>
      </c>
      <c r="H2676" t="str">
        <f>IFERROR(INDEX(tEditais[UF],MATCH(tItens[[#This Row],[Edital]],tEditais[Edital],0)),"")</f>
        <v>MA</v>
      </c>
      <c r="I2676" s="11">
        <f>IFERROR(INDEX(tEditais[Encerramento],MATCH(tItens[[#This Row],[Edital]],tEditais[Edital],0)),"")</f>
        <v>46314.354166666664</v>
      </c>
      <c r="J2676" t="str">
        <f>IFERROR(INDEX(tProdutos[Classe],MATCH(tItens[[#This Row],[Produto]],tProdutos[Produto],0)),"produto não cadastrado")</f>
        <v>FORA</v>
      </c>
      <c r="K2676" s="12">
        <f>tItens[[#This Row],[Qtd]]*tItens[[#This Row],[Vlr unit]]</f>
        <v>0</v>
      </c>
      <c r="L2676" s="6">
        <f>IFERROR(IF(INDEX(tProdutos[Desconto homologado],MATCH(tItens[[#This Row],[Produto]],tProdutos[Produto],0))="",DescontoPadrao,INDEX(tProdutos[Desconto homologado],MATCH(tItens[[#This Row],[Produto]],tProdutos[Produto],0))),DescontoPadrao)</f>
        <v>0.36263736263736301</v>
      </c>
      <c r="M2676" s="12">
        <f>tItens[[#This Row],[Valor]]*(1-tItens[[#This Row],[Desconto]])</f>
        <v>0</v>
      </c>
      <c r="N2676" t="str">
        <f>IFERROR(INDEX(tProdutos[Foco],MATCH(tItens[[#This Row],[Produto]],tProdutos[Produto],0)),"Não")</f>
        <v>Não</v>
      </c>
      <c r="O2676" t="str">
        <f>IFERROR(INDEX(tEditais[SRP],MATCH(tItens[[#This Row],[Edital]],tEditais[Edital],0)),"Não")</f>
        <v>Sim</v>
      </c>
      <c r="P2676" s="4">
        <f>IF(COUNTIFS(INDEX(tItens[Edital],1):tItens[[#This Row],[Edital]],tItens[[#This Row],[Edital]],INDEX(tItens[Produto],1):tItens[[#This Row],[Produto]],tItens[[#This Row],[Produto]])=1,1,0)</f>
        <v>0</v>
      </c>
    </row>
    <row r="2677" spans="1:16" x14ac:dyDescent="0.25">
      <c r="A2677" t="s">
        <v>1277</v>
      </c>
      <c r="B2677">
        <v>8077482</v>
      </c>
      <c r="C2677" t="s">
        <v>5629</v>
      </c>
      <c r="D2677" t="s">
        <v>494</v>
      </c>
      <c r="E2677" s="13">
        <v>160</v>
      </c>
      <c r="F2677" s="12">
        <v>0</v>
      </c>
      <c r="G2677" t="str">
        <f>IFERROR(INDEX(tEditais[Órgão],MATCH(tItens[[#This Row],[Edital]],tEditais[Edital],0)),"")</f>
        <v>MUNICIPIO DE BURITICUPU</v>
      </c>
      <c r="H2677" t="str">
        <f>IFERROR(INDEX(tEditais[UF],MATCH(tItens[[#This Row],[Edital]],tEditais[Edital],0)),"")</f>
        <v>MA</v>
      </c>
      <c r="I2677" s="11">
        <f>IFERROR(INDEX(tEditais[Encerramento],MATCH(tItens[[#This Row],[Edital]],tEditais[Edital],0)),"")</f>
        <v>46314.354166666664</v>
      </c>
      <c r="J2677" t="str">
        <f>IFERROR(INDEX(tProdutos[Classe],MATCH(tItens[[#This Row],[Produto]],tProdutos[Produto],0)),"produto não cadastrado")</f>
        <v>FILA REBASE</v>
      </c>
      <c r="K2677" s="12">
        <f>tItens[[#This Row],[Qtd]]*tItens[[#This Row],[Vlr unit]]</f>
        <v>0</v>
      </c>
      <c r="L2677" s="6">
        <f>IFERROR(IF(INDEX(tProdutos[Desconto homologado],MATCH(tItens[[#This Row],[Produto]],tProdutos[Produto],0))="",DescontoPadrao,INDEX(tProdutos[Desconto homologado],MATCH(tItens[[#This Row],[Produto]],tProdutos[Produto],0))),DescontoPadrao)</f>
        <v>0.253736324829619</v>
      </c>
      <c r="M2677" s="12">
        <f>tItens[[#This Row],[Valor]]*(1-tItens[[#This Row],[Desconto]])</f>
        <v>0</v>
      </c>
      <c r="N2677" t="str">
        <f>IFERROR(INDEX(tProdutos[Foco],MATCH(tItens[[#This Row],[Produto]],tProdutos[Produto],0)),"Não")</f>
        <v>Não</v>
      </c>
      <c r="O2677" t="str">
        <f>IFERROR(INDEX(tEditais[SRP],MATCH(tItens[[#This Row],[Edital]],tEditais[Edital],0)),"Não")</f>
        <v>Sim</v>
      </c>
      <c r="P2677" s="4">
        <f>IF(COUNTIFS(INDEX(tItens[Edital],1):tItens[[#This Row],[Edital]],tItens[[#This Row],[Edital]],INDEX(tItens[Produto],1):tItens[[#This Row],[Produto]],tItens[[#This Row],[Produto]])=1,1,0)</f>
        <v>0</v>
      </c>
    </row>
    <row r="2678" spans="1:16" x14ac:dyDescent="0.25">
      <c r="A2678" t="s">
        <v>1277</v>
      </c>
      <c r="B2678">
        <v>8077483</v>
      </c>
      <c r="C2678" t="s">
        <v>5630</v>
      </c>
      <c r="D2678" t="s">
        <v>494</v>
      </c>
      <c r="E2678" s="13">
        <v>160</v>
      </c>
      <c r="F2678" s="12">
        <v>0</v>
      </c>
      <c r="G2678" t="str">
        <f>IFERROR(INDEX(tEditais[Órgão],MATCH(tItens[[#This Row],[Edital]],tEditais[Edital],0)),"")</f>
        <v>MUNICIPIO DE BURITICUPU</v>
      </c>
      <c r="H2678" t="str">
        <f>IFERROR(INDEX(tEditais[UF],MATCH(tItens[[#This Row],[Edital]],tEditais[Edital],0)),"")</f>
        <v>MA</v>
      </c>
      <c r="I2678" s="11">
        <f>IFERROR(INDEX(tEditais[Encerramento],MATCH(tItens[[#This Row],[Edital]],tEditais[Edital],0)),"")</f>
        <v>46314.354166666664</v>
      </c>
      <c r="J2678" t="str">
        <f>IFERROR(INDEX(tProdutos[Classe],MATCH(tItens[[#This Row],[Produto]],tProdutos[Produto],0)),"produto não cadastrado")</f>
        <v>FILA REBASE</v>
      </c>
      <c r="K2678" s="12">
        <f>tItens[[#This Row],[Qtd]]*tItens[[#This Row],[Vlr unit]]</f>
        <v>0</v>
      </c>
      <c r="L2678" s="6">
        <f>IFERROR(IF(INDEX(tProdutos[Desconto homologado],MATCH(tItens[[#This Row],[Produto]],tProdutos[Produto],0))="",DescontoPadrao,INDEX(tProdutos[Desconto homologado],MATCH(tItens[[#This Row],[Produto]],tProdutos[Produto],0))),DescontoPadrao)</f>
        <v>0.253736324829619</v>
      </c>
      <c r="M2678" s="12">
        <f>tItens[[#This Row],[Valor]]*(1-tItens[[#This Row],[Desconto]])</f>
        <v>0</v>
      </c>
      <c r="N2678" t="str">
        <f>IFERROR(INDEX(tProdutos[Foco],MATCH(tItens[[#This Row],[Produto]],tProdutos[Produto],0)),"Não")</f>
        <v>Não</v>
      </c>
      <c r="O2678" t="str">
        <f>IFERROR(INDEX(tEditais[SRP],MATCH(tItens[[#This Row],[Edital]],tEditais[Edital],0)),"Não")</f>
        <v>Sim</v>
      </c>
      <c r="P2678" s="4">
        <f>IF(COUNTIFS(INDEX(tItens[Edital],1):tItens[[#This Row],[Edital]],tItens[[#This Row],[Edital]],INDEX(tItens[Produto],1):tItens[[#This Row],[Produto]],tItens[[#This Row],[Produto]])=1,1,0)</f>
        <v>0</v>
      </c>
    </row>
    <row r="2679" spans="1:16" x14ac:dyDescent="0.25">
      <c r="A2679" t="s">
        <v>1277</v>
      </c>
      <c r="B2679">
        <v>8077484</v>
      </c>
      <c r="C2679" t="s">
        <v>5631</v>
      </c>
      <c r="D2679" t="s">
        <v>494</v>
      </c>
      <c r="E2679" s="13">
        <v>160</v>
      </c>
      <c r="F2679" s="12">
        <v>0</v>
      </c>
      <c r="G2679" t="str">
        <f>IFERROR(INDEX(tEditais[Órgão],MATCH(tItens[[#This Row],[Edital]],tEditais[Edital],0)),"")</f>
        <v>MUNICIPIO DE BURITICUPU</v>
      </c>
      <c r="H2679" t="str">
        <f>IFERROR(INDEX(tEditais[UF],MATCH(tItens[[#This Row],[Edital]],tEditais[Edital],0)),"")</f>
        <v>MA</v>
      </c>
      <c r="I2679" s="11">
        <f>IFERROR(INDEX(tEditais[Encerramento],MATCH(tItens[[#This Row],[Edital]],tEditais[Edital],0)),"")</f>
        <v>46314.354166666664</v>
      </c>
      <c r="J2679" t="str">
        <f>IFERROR(INDEX(tProdutos[Classe],MATCH(tItens[[#This Row],[Produto]],tProdutos[Produto],0)),"produto não cadastrado")</f>
        <v>FILA REBASE</v>
      </c>
      <c r="K2679" s="12">
        <f>tItens[[#This Row],[Qtd]]*tItens[[#This Row],[Vlr unit]]</f>
        <v>0</v>
      </c>
      <c r="L2679" s="6">
        <f>IFERROR(IF(INDEX(tProdutos[Desconto homologado],MATCH(tItens[[#This Row],[Produto]],tProdutos[Produto],0))="",DescontoPadrao,INDEX(tProdutos[Desconto homologado],MATCH(tItens[[#This Row],[Produto]],tProdutos[Produto],0))),DescontoPadrao)</f>
        <v>0.253736324829619</v>
      </c>
      <c r="M2679" s="12">
        <f>tItens[[#This Row],[Valor]]*(1-tItens[[#This Row],[Desconto]])</f>
        <v>0</v>
      </c>
      <c r="N2679" t="str">
        <f>IFERROR(INDEX(tProdutos[Foco],MATCH(tItens[[#This Row],[Produto]],tProdutos[Produto],0)),"Não")</f>
        <v>Não</v>
      </c>
      <c r="O2679" t="str">
        <f>IFERROR(INDEX(tEditais[SRP],MATCH(tItens[[#This Row],[Edital]],tEditais[Edital],0)),"Não")</f>
        <v>Sim</v>
      </c>
      <c r="P2679" s="4">
        <f>IF(COUNTIFS(INDEX(tItens[Edital],1):tItens[[#This Row],[Edital]],tItens[[#This Row],[Edital]],INDEX(tItens[Produto],1):tItens[[#This Row],[Produto]],tItens[[#This Row],[Produto]])=1,1,0)</f>
        <v>0</v>
      </c>
    </row>
    <row r="2680" spans="1:16" x14ac:dyDescent="0.25">
      <c r="A2680" t="s">
        <v>1277</v>
      </c>
      <c r="B2680">
        <v>8077495</v>
      </c>
      <c r="C2680" t="s">
        <v>5632</v>
      </c>
      <c r="D2680" t="s">
        <v>275</v>
      </c>
      <c r="E2680" s="13">
        <v>96000</v>
      </c>
      <c r="F2680" s="12">
        <v>0</v>
      </c>
      <c r="G2680" t="str">
        <f>IFERROR(INDEX(tEditais[Órgão],MATCH(tItens[[#This Row],[Edital]],tEditais[Edital],0)),"")</f>
        <v>MUNICIPIO DE BURITICUPU</v>
      </c>
      <c r="H2680" t="str">
        <f>IFERROR(INDEX(tEditais[UF],MATCH(tItens[[#This Row],[Edital]],tEditais[Edital],0)),"")</f>
        <v>MA</v>
      </c>
      <c r="I2680" s="11">
        <f>IFERROR(INDEX(tEditais[Encerramento],MATCH(tItens[[#This Row],[Edital]],tEditais[Edital],0)),"")</f>
        <v>46314.354166666664</v>
      </c>
      <c r="J2680" t="str">
        <f>IFERROR(INDEX(tProdutos[Classe],MATCH(tItens[[#This Row],[Produto]],tProdutos[Produto],0)),"produto não cadastrado")</f>
        <v>FORA</v>
      </c>
      <c r="K2680" s="12">
        <f>tItens[[#This Row],[Qtd]]*tItens[[#This Row],[Vlr unit]]</f>
        <v>0</v>
      </c>
      <c r="L2680" s="6">
        <f>IFERROR(IF(INDEX(tProdutos[Desconto homologado],MATCH(tItens[[#This Row],[Produto]],tProdutos[Produto],0))="",DescontoPadrao,INDEX(tProdutos[Desconto homologado],MATCH(tItens[[#This Row],[Produto]],tProdutos[Produto],0))),DescontoPadrao)</f>
        <v>0.405797101449275</v>
      </c>
      <c r="M2680" s="12">
        <f>tItens[[#This Row],[Valor]]*(1-tItens[[#This Row],[Desconto]])</f>
        <v>0</v>
      </c>
      <c r="N2680" t="str">
        <f>IFERROR(INDEX(tProdutos[Foco],MATCH(tItens[[#This Row],[Produto]],tProdutos[Produto],0)),"Não")</f>
        <v>Não</v>
      </c>
      <c r="O2680" t="str">
        <f>IFERROR(INDEX(tEditais[SRP],MATCH(tItens[[#This Row],[Edital]],tEditais[Edital],0)),"Não")</f>
        <v>Sim</v>
      </c>
      <c r="P2680" s="4">
        <f>IF(COUNTIFS(INDEX(tItens[Edital],1):tItens[[#This Row],[Edital]],tItens[[#This Row],[Edital]],INDEX(tItens[Produto],1):tItens[[#This Row],[Produto]],tItens[[#This Row],[Produto]])=1,1,0)</f>
        <v>0</v>
      </c>
    </row>
    <row r="2681" spans="1:16" x14ac:dyDescent="0.25">
      <c r="A2681" t="s">
        <v>1277</v>
      </c>
      <c r="B2681">
        <v>8077496</v>
      </c>
      <c r="C2681" t="s">
        <v>5633</v>
      </c>
      <c r="D2681" t="s">
        <v>281</v>
      </c>
      <c r="E2681" s="13">
        <v>480</v>
      </c>
      <c r="F2681" s="12">
        <v>0</v>
      </c>
      <c r="G2681" t="str">
        <f>IFERROR(INDEX(tEditais[Órgão],MATCH(tItens[[#This Row],[Edital]],tEditais[Edital],0)),"")</f>
        <v>MUNICIPIO DE BURITICUPU</v>
      </c>
      <c r="H2681" t="str">
        <f>IFERROR(INDEX(tEditais[UF],MATCH(tItens[[#This Row],[Edital]],tEditais[Edital],0)),"")</f>
        <v>MA</v>
      </c>
      <c r="I2681" s="11">
        <f>IFERROR(INDEX(tEditais[Encerramento],MATCH(tItens[[#This Row],[Edital]],tEditais[Edital],0)),"")</f>
        <v>46314.354166666664</v>
      </c>
      <c r="J2681" t="str">
        <f>IFERROR(INDEX(tProdutos[Classe],MATCH(tItens[[#This Row],[Produto]],tProdutos[Produto],0)),"produto não cadastrado")</f>
        <v>DISPUTADO</v>
      </c>
      <c r="K2681" s="12">
        <f>tItens[[#This Row],[Qtd]]*tItens[[#This Row],[Vlr unit]]</f>
        <v>0</v>
      </c>
      <c r="L2681" s="6">
        <f>IFERROR(IF(INDEX(tProdutos[Desconto homologado],MATCH(tItens[[#This Row],[Produto]],tProdutos[Produto],0))="",DescontoPadrao,INDEX(tProdutos[Desconto homologado],MATCH(tItens[[#This Row],[Produto]],tProdutos[Produto],0))),DescontoPadrao)</f>
        <v>0.42461538461538501</v>
      </c>
      <c r="M2681" s="12">
        <f>tItens[[#This Row],[Valor]]*(1-tItens[[#This Row],[Desconto]])</f>
        <v>0</v>
      </c>
      <c r="N2681" t="str">
        <f>IFERROR(INDEX(tProdutos[Foco],MATCH(tItens[[#This Row],[Produto]],tProdutos[Produto],0)),"Não")</f>
        <v>Não</v>
      </c>
      <c r="O2681" t="str">
        <f>IFERROR(INDEX(tEditais[SRP],MATCH(tItens[[#This Row],[Edital]],tEditais[Edital],0)),"Não")</f>
        <v>Sim</v>
      </c>
      <c r="P2681" s="4">
        <f>IF(COUNTIFS(INDEX(tItens[Edital],1):tItens[[#This Row],[Edital]],tItens[[#This Row],[Edital]],INDEX(tItens[Produto],1):tItens[[#This Row],[Produto]],tItens[[#This Row],[Produto]])=1,1,0)</f>
        <v>0</v>
      </c>
    </row>
    <row r="2682" spans="1:16" x14ac:dyDescent="0.25">
      <c r="A2682" t="s">
        <v>1277</v>
      </c>
      <c r="B2682">
        <v>8077497</v>
      </c>
      <c r="C2682" t="s">
        <v>5634</v>
      </c>
      <c r="D2682" t="s">
        <v>289</v>
      </c>
      <c r="E2682" s="13">
        <v>480</v>
      </c>
      <c r="F2682" s="12">
        <v>0</v>
      </c>
      <c r="G2682" t="str">
        <f>IFERROR(INDEX(tEditais[Órgão],MATCH(tItens[[#This Row],[Edital]],tEditais[Edital],0)),"")</f>
        <v>MUNICIPIO DE BURITICUPU</v>
      </c>
      <c r="H2682" t="str">
        <f>IFERROR(INDEX(tEditais[UF],MATCH(tItens[[#This Row],[Edital]],tEditais[Edital],0)),"")</f>
        <v>MA</v>
      </c>
      <c r="I2682" s="11">
        <f>IFERROR(INDEX(tEditais[Encerramento],MATCH(tItens[[#This Row],[Edital]],tEditais[Edital],0)),"")</f>
        <v>46314.354166666664</v>
      </c>
      <c r="J2682" t="str">
        <f>IFERROR(INDEX(tProdutos[Classe],MATCH(tItens[[#This Row],[Produto]],tProdutos[Produto],0)),"produto não cadastrado")</f>
        <v>DISPUTADO</v>
      </c>
      <c r="K2682" s="12">
        <f>tItens[[#This Row],[Qtd]]*tItens[[#This Row],[Vlr unit]]</f>
        <v>0</v>
      </c>
      <c r="L2682" s="6">
        <f>IFERROR(IF(INDEX(tProdutos[Desconto homologado],MATCH(tItens[[#This Row],[Produto]],tProdutos[Produto],0))="",DescontoPadrao,INDEX(tProdutos[Desconto homologado],MATCH(tItens[[#This Row],[Produto]],tProdutos[Produto],0))),DescontoPadrao)</f>
        <v>0.35849056603773599</v>
      </c>
      <c r="M2682" s="12">
        <f>tItens[[#This Row],[Valor]]*(1-tItens[[#This Row],[Desconto]])</f>
        <v>0</v>
      </c>
      <c r="N2682" t="str">
        <f>IFERROR(INDEX(tProdutos[Foco],MATCH(tItens[[#This Row],[Produto]],tProdutos[Produto],0)),"Não")</f>
        <v>Não</v>
      </c>
      <c r="O2682" t="str">
        <f>IFERROR(INDEX(tEditais[SRP],MATCH(tItens[[#This Row],[Edital]],tEditais[Edital],0)),"Não")</f>
        <v>Sim</v>
      </c>
      <c r="P2682" s="4">
        <f>IF(COUNTIFS(INDEX(tItens[Edital],1):tItens[[#This Row],[Edital]],tItens[[#This Row],[Edital]],INDEX(tItens[Produto],1):tItens[[#This Row],[Produto]],tItens[[#This Row],[Produto]])=1,1,0)</f>
        <v>0</v>
      </c>
    </row>
    <row r="2683" spans="1:16" x14ac:dyDescent="0.25">
      <c r="A2683" t="s">
        <v>1277</v>
      </c>
      <c r="B2683">
        <v>8077498</v>
      </c>
      <c r="C2683" t="s">
        <v>5635</v>
      </c>
      <c r="D2683" t="s">
        <v>265</v>
      </c>
      <c r="E2683" s="13">
        <v>480</v>
      </c>
      <c r="F2683" s="12">
        <v>0</v>
      </c>
      <c r="G2683" t="str">
        <f>IFERROR(INDEX(tEditais[Órgão],MATCH(tItens[[#This Row],[Edital]],tEditais[Edital],0)),"")</f>
        <v>MUNICIPIO DE BURITICUPU</v>
      </c>
      <c r="H2683" t="str">
        <f>IFERROR(INDEX(tEditais[UF],MATCH(tItens[[#This Row],[Edital]],tEditais[Edital],0)),"")</f>
        <v>MA</v>
      </c>
      <c r="I2683" s="11">
        <f>IFERROR(INDEX(tEditais[Encerramento],MATCH(tItens[[#This Row],[Edital]],tEditais[Edital],0)),"")</f>
        <v>46314.354166666664</v>
      </c>
      <c r="J2683" t="str">
        <f>IFERROR(INDEX(tProdutos[Classe],MATCH(tItens[[#This Row],[Produto]],tProdutos[Produto],0)),"produto não cadastrado")</f>
        <v>DISPUTADO</v>
      </c>
      <c r="K2683" s="12">
        <f>tItens[[#This Row],[Qtd]]*tItens[[#This Row],[Vlr unit]]</f>
        <v>0</v>
      </c>
      <c r="L2683" s="6">
        <f>IFERROR(IF(INDEX(tProdutos[Desconto homologado],MATCH(tItens[[#This Row],[Produto]],tProdutos[Produto],0))="",DescontoPadrao,INDEX(tProdutos[Desconto homologado],MATCH(tItens[[#This Row],[Produto]],tProdutos[Produto],0))),DescontoPadrao)</f>
        <v>0.377587663709337</v>
      </c>
      <c r="M2683" s="12">
        <f>tItens[[#This Row],[Valor]]*(1-tItens[[#This Row],[Desconto]])</f>
        <v>0</v>
      </c>
      <c r="N2683" t="str">
        <f>IFERROR(INDEX(tProdutos[Foco],MATCH(tItens[[#This Row],[Produto]],tProdutos[Produto],0)),"Não")</f>
        <v>Não</v>
      </c>
      <c r="O2683" t="str">
        <f>IFERROR(INDEX(tEditais[SRP],MATCH(tItens[[#This Row],[Edital]],tEditais[Edital],0)),"Não")</f>
        <v>Sim</v>
      </c>
      <c r="P2683" s="4">
        <f>IF(COUNTIFS(INDEX(tItens[Edital],1):tItens[[#This Row],[Edital]],tItens[[#This Row],[Edital]],INDEX(tItens[Produto],1):tItens[[#This Row],[Produto]],tItens[[#This Row],[Produto]])=1,1,0)</f>
        <v>0</v>
      </c>
    </row>
    <row r="2684" spans="1:16" x14ac:dyDescent="0.25">
      <c r="A2684" t="s">
        <v>1277</v>
      </c>
      <c r="B2684">
        <v>8077499</v>
      </c>
      <c r="C2684" t="s">
        <v>5636</v>
      </c>
      <c r="D2684" t="s">
        <v>283</v>
      </c>
      <c r="E2684" s="13">
        <v>480</v>
      </c>
      <c r="F2684" s="12">
        <v>0</v>
      </c>
      <c r="G2684" t="str">
        <f>IFERROR(INDEX(tEditais[Órgão],MATCH(tItens[[#This Row],[Edital]],tEditais[Edital],0)),"")</f>
        <v>MUNICIPIO DE BURITICUPU</v>
      </c>
      <c r="H2684" t="str">
        <f>IFERROR(INDEX(tEditais[UF],MATCH(tItens[[#This Row],[Edital]],tEditais[Edital],0)),"")</f>
        <v>MA</v>
      </c>
      <c r="I2684" s="11">
        <f>IFERROR(INDEX(tEditais[Encerramento],MATCH(tItens[[#This Row],[Edital]],tEditais[Edital],0)),"")</f>
        <v>46314.354166666664</v>
      </c>
      <c r="J2684" t="str">
        <f>IFERROR(INDEX(tProdutos[Classe],MATCH(tItens[[#This Row],[Produto]],tProdutos[Produto],0)),"produto não cadastrado")</f>
        <v>FORA</v>
      </c>
      <c r="K2684" s="12">
        <f>tItens[[#This Row],[Qtd]]*tItens[[#This Row],[Vlr unit]]</f>
        <v>0</v>
      </c>
      <c r="L2684" s="6">
        <f>IFERROR(IF(INDEX(tProdutos[Desconto homologado],MATCH(tItens[[#This Row],[Produto]],tProdutos[Produto],0))="",DescontoPadrao,INDEX(tProdutos[Desconto homologado],MATCH(tItens[[#This Row],[Produto]],tProdutos[Produto],0))),DescontoPadrao)</f>
        <v>0.40540540540540498</v>
      </c>
      <c r="M2684" s="12">
        <f>tItens[[#This Row],[Valor]]*(1-tItens[[#This Row],[Desconto]])</f>
        <v>0</v>
      </c>
      <c r="N2684" t="str">
        <f>IFERROR(INDEX(tProdutos[Foco],MATCH(tItens[[#This Row],[Produto]],tProdutos[Produto],0)),"Não")</f>
        <v>Não</v>
      </c>
      <c r="O2684" t="str">
        <f>IFERROR(INDEX(tEditais[SRP],MATCH(tItens[[#This Row],[Edital]],tEditais[Edital],0)),"Não")</f>
        <v>Sim</v>
      </c>
      <c r="P2684" s="4">
        <f>IF(COUNTIFS(INDEX(tItens[Edital],1):tItens[[#This Row],[Edital]],tItens[[#This Row],[Edital]],INDEX(tItens[Produto],1):tItens[[#This Row],[Produto]],tItens[[#This Row],[Produto]])=1,1,0)</f>
        <v>0</v>
      </c>
    </row>
    <row r="2685" spans="1:16" x14ac:dyDescent="0.25">
      <c r="A2685" t="s">
        <v>1277</v>
      </c>
      <c r="B2685">
        <v>8077501</v>
      </c>
      <c r="C2685" t="s">
        <v>5637</v>
      </c>
      <c r="D2685" t="s">
        <v>114</v>
      </c>
      <c r="E2685" s="13">
        <v>1280</v>
      </c>
      <c r="F2685" s="12">
        <v>0</v>
      </c>
      <c r="G2685" t="str">
        <f>IFERROR(INDEX(tEditais[Órgão],MATCH(tItens[[#This Row],[Edital]],tEditais[Edital],0)),"")</f>
        <v>MUNICIPIO DE BURITICUPU</v>
      </c>
      <c r="H2685" t="str">
        <f>IFERROR(INDEX(tEditais[UF],MATCH(tItens[[#This Row],[Edital]],tEditais[Edital],0)),"")</f>
        <v>MA</v>
      </c>
      <c r="I2685" s="11">
        <f>IFERROR(INDEX(tEditais[Encerramento],MATCH(tItens[[#This Row],[Edital]],tEditais[Edital],0)),"")</f>
        <v>46314.354166666664</v>
      </c>
      <c r="J2685" t="str">
        <f>IFERROR(INDEX(tProdutos[Classe],MATCH(tItens[[#This Row],[Produto]],tProdutos[Produto],0)),"produto não cadastrado")</f>
        <v>DISPUTADO</v>
      </c>
      <c r="K2685" s="12">
        <f>tItens[[#This Row],[Qtd]]*tItens[[#This Row],[Vlr unit]]</f>
        <v>0</v>
      </c>
      <c r="L2685" s="6">
        <f>IFERROR(IF(INDEX(tProdutos[Desconto homologado],MATCH(tItens[[#This Row],[Produto]],tProdutos[Produto],0))="",DescontoPadrao,INDEX(tProdutos[Desconto homologado],MATCH(tItens[[#This Row],[Produto]],tProdutos[Produto],0))),DescontoPadrao)</f>
        <v>0.24332656063896899</v>
      </c>
      <c r="M2685" s="12">
        <f>tItens[[#This Row],[Valor]]*(1-tItens[[#This Row],[Desconto]])</f>
        <v>0</v>
      </c>
      <c r="N2685" t="str">
        <f>IFERROR(INDEX(tProdutos[Foco],MATCH(tItens[[#This Row],[Produto]],tProdutos[Produto],0)),"Não")</f>
        <v>Não</v>
      </c>
      <c r="O2685" t="str">
        <f>IFERROR(INDEX(tEditais[SRP],MATCH(tItens[[#This Row],[Edital]],tEditais[Edital],0)),"Não")</f>
        <v>Sim</v>
      </c>
      <c r="P2685" s="4">
        <f>IF(COUNTIFS(INDEX(tItens[Edital],1):tItens[[#This Row],[Edital]],tItens[[#This Row],[Edital]],INDEX(tItens[Produto],1):tItens[[#This Row],[Produto]],tItens[[#This Row],[Produto]])=1,1,0)</f>
        <v>0</v>
      </c>
    </row>
    <row r="2686" spans="1:16" x14ac:dyDescent="0.25">
      <c r="A2686" t="s">
        <v>1277</v>
      </c>
      <c r="B2686">
        <v>8077514</v>
      </c>
      <c r="C2686" t="s">
        <v>5638</v>
      </c>
      <c r="D2686" t="s">
        <v>62</v>
      </c>
      <c r="E2686" s="13">
        <v>16</v>
      </c>
      <c r="F2686" s="12">
        <v>0</v>
      </c>
      <c r="G2686" t="str">
        <f>IFERROR(INDEX(tEditais[Órgão],MATCH(tItens[[#This Row],[Edital]],tEditais[Edital],0)),"")</f>
        <v>MUNICIPIO DE BURITICUPU</v>
      </c>
      <c r="H2686" t="str">
        <f>IFERROR(INDEX(tEditais[UF],MATCH(tItens[[#This Row],[Edital]],tEditais[Edital],0)),"")</f>
        <v>MA</v>
      </c>
      <c r="I2686" s="11">
        <f>IFERROR(INDEX(tEditais[Encerramento],MATCH(tItens[[#This Row],[Edital]],tEditais[Edital],0)),"")</f>
        <v>46314.354166666664</v>
      </c>
      <c r="J2686" t="str">
        <f>IFERROR(INDEX(tProdutos[Classe],MATCH(tItens[[#This Row],[Produto]],tProdutos[Produto],0)),"produto não cadastrado")</f>
        <v>NÚCLEO</v>
      </c>
      <c r="K2686" s="12">
        <f>tItens[[#This Row],[Qtd]]*tItens[[#This Row],[Vlr unit]]</f>
        <v>0</v>
      </c>
      <c r="L2686" s="6">
        <f>IFERROR(IF(INDEX(tProdutos[Desconto homologado],MATCH(tItens[[#This Row],[Produto]],tProdutos[Produto],0))="",DescontoPadrao,INDEX(tProdutos[Desconto homologado],MATCH(tItens[[#This Row],[Produto]],tProdutos[Produto],0))),DescontoPadrao)</f>
        <v>0.3</v>
      </c>
      <c r="M2686" s="12">
        <f>tItens[[#This Row],[Valor]]*(1-tItens[[#This Row],[Desconto]])</f>
        <v>0</v>
      </c>
      <c r="N2686" t="str">
        <f>IFERROR(INDEX(tProdutos[Foco],MATCH(tItens[[#This Row],[Produto]],tProdutos[Produto],0)),"Não")</f>
        <v>Sim</v>
      </c>
      <c r="O2686" t="str">
        <f>IFERROR(INDEX(tEditais[SRP],MATCH(tItens[[#This Row],[Edital]],tEditais[Edital],0)),"Não")</f>
        <v>Sim</v>
      </c>
      <c r="P2686" s="4">
        <f>IF(COUNTIFS(INDEX(tItens[Edital],1):tItens[[#This Row],[Edital]],tItens[[#This Row],[Edital]],INDEX(tItens[Produto],1):tItens[[#This Row],[Produto]],tItens[[#This Row],[Produto]])=1,1,0)</f>
        <v>0</v>
      </c>
    </row>
    <row r="2687" spans="1:16" x14ac:dyDescent="0.25">
      <c r="A2687" t="s">
        <v>1277</v>
      </c>
      <c r="B2687">
        <v>8077525</v>
      </c>
      <c r="C2687" t="s">
        <v>5639</v>
      </c>
      <c r="D2687" t="s">
        <v>172</v>
      </c>
      <c r="E2687" s="13">
        <v>1600</v>
      </c>
      <c r="F2687" s="12">
        <v>0</v>
      </c>
      <c r="G2687" t="str">
        <f>IFERROR(INDEX(tEditais[Órgão],MATCH(tItens[[#This Row],[Edital]],tEditais[Edital],0)),"")</f>
        <v>MUNICIPIO DE BURITICUPU</v>
      </c>
      <c r="H2687" t="str">
        <f>IFERROR(INDEX(tEditais[UF],MATCH(tItens[[#This Row],[Edital]],tEditais[Edital],0)),"")</f>
        <v>MA</v>
      </c>
      <c r="I2687" s="11">
        <f>IFERROR(INDEX(tEditais[Encerramento],MATCH(tItens[[#This Row],[Edital]],tEditais[Edital],0)),"")</f>
        <v>46314.354166666664</v>
      </c>
      <c r="J2687" t="str">
        <f>IFERROR(INDEX(tProdutos[Classe],MATCH(tItens[[#This Row],[Produto]],tProdutos[Produto],0)),"produto não cadastrado")</f>
        <v>DISPUTADO</v>
      </c>
      <c r="K2687" s="12">
        <f>tItens[[#This Row],[Qtd]]*tItens[[#This Row],[Vlr unit]]</f>
        <v>0</v>
      </c>
      <c r="L2687" s="6">
        <f>IFERROR(IF(INDEX(tProdutos[Desconto homologado],MATCH(tItens[[#This Row],[Produto]],tProdutos[Produto],0))="",DescontoPadrao,INDEX(tProdutos[Desconto homologado],MATCH(tItens[[#This Row],[Produto]],tProdutos[Produto],0))),DescontoPadrao)</f>
        <v>0.33578431372549</v>
      </c>
      <c r="M2687" s="12">
        <f>tItens[[#This Row],[Valor]]*(1-tItens[[#This Row],[Desconto]])</f>
        <v>0</v>
      </c>
      <c r="N2687" t="str">
        <f>IFERROR(INDEX(tProdutos[Foco],MATCH(tItens[[#This Row],[Produto]],tProdutos[Produto],0)),"Não")</f>
        <v>Não</v>
      </c>
      <c r="O2687" t="str">
        <f>IFERROR(INDEX(tEditais[SRP],MATCH(tItens[[#This Row],[Edital]],tEditais[Edital],0)),"Não")</f>
        <v>Sim</v>
      </c>
      <c r="P2687" s="4">
        <f>IF(COUNTIFS(INDEX(tItens[Edital],1):tItens[[#This Row],[Edital]],tItens[[#This Row],[Edital]],INDEX(tItens[Produto],1):tItens[[#This Row],[Produto]],tItens[[#This Row],[Produto]])=1,1,0)</f>
        <v>0</v>
      </c>
    </row>
    <row r="2688" spans="1:16" x14ac:dyDescent="0.25">
      <c r="A2688" t="s">
        <v>1277</v>
      </c>
      <c r="B2688">
        <v>8077526</v>
      </c>
      <c r="C2688" t="s">
        <v>5640</v>
      </c>
      <c r="D2688" t="s">
        <v>80</v>
      </c>
      <c r="E2688" s="13">
        <v>480</v>
      </c>
      <c r="F2688" s="12">
        <v>0</v>
      </c>
      <c r="G2688" t="str">
        <f>IFERROR(INDEX(tEditais[Órgão],MATCH(tItens[[#This Row],[Edital]],tEditais[Edital],0)),"")</f>
        <v>MUNICIPIO DE BURITICUPU</v>
      </c>
      <c r="H2688" t="str">
        <f>IFERROR(INDEX(tEditais[UF],MATCH(tItens[[#This Row],[Edital]],tEditais[Edital],0)),"")</f>
        <v>MA</v>
      </c>
      <c r="I2688" s="11">
        <f>IFERROR(INDEX(tEditais[Encerramento],MATCH(tItens[[#This Row],[Edital]],tEditais[Edital],0)),"")</f>
        <v>46314.354166666664</v>
      </c>
      <c r="J2688" t="str">
        <f>IFERROR(INDEX(tProdutos[Classe],MATCH(tItens[[#This Row],[Produto]],tProdutos[Produto],0)),"produto não cadastrado")</f>
        <v>NÚCLEO</v>
      </c>
      <c r="K2688" s="12">
        <f>tItens[[#This Row],[Qtd]]*tItens[[#This Row],[Vlr unit]]</f>
        <v>0</v>
      </c>
      <c r="L2688" s="6">
        <f>IFERROR(IF(INDEX(tProdutos[Desconto homologado],MATCH(tItens[[#This Row],[Produto]],tProdutos[Produto],0))="",DescontoPadrao,INDEX(tProdutos[Desconto homologado],MATCH(tItens[[#This Row],[Produto]],tProdutos[Produto],0))),DescontoPadrao)</f>
        <v>0.33</v>
      </c>
      <c r="M2688" s="12">
        <f>tItens[[#This Row],[Valor]]*(1-tItens[[#This Row],[Desconto]])</f>
        <v>0</v>
      </c>
      <c r="N2688" t="str">
        <f>IFERROR(INDEX(tProdutos[Foco],MATCH(tItens[[#This Row],[Produto]],tProdutos[Produto],0)),"Não")</f>
        <v>Sim</v>
      </c>
      <c r="O2688" t="str">
        <f>IFERROR(INDEX(tEditais[SRP],MATCH(tItens[[#This Row],[Edital]],tEditais[Edital],0)),"Não")</f>
        <v>Sim</v>
      </c>
      <c r="P2688" s="4">
        <f>IF(COUNTIFS(INDEX(tItens[Edital],1):tItens[[#This Row],[Edital]],tItens[[#This Row],[Edital]],INDEX(tItens[Produto],1):tItens[[#This Row],[Produto]],tItens[[#This Row],[Produto]])=1,1,0)</f>
        <v>0</v>
      </c>
    </row>
    <row r="2689" spans="1:16" x14ac:dyDescent="0.25">
      <c r="A2689" t="s">
        <v>1277</v>
      </c>
      <c r="B2689">
        <v>8077527</v>
      </c>
      <c r="C2689" t="s">
        <v>5641</v>
      </c>
      <c r="D2689" t="s">
        <v>80</v>
      </c>
      <c r="E2689" s="13">
        <v>480</v>
      </c>
      <c r="F2689" s="12">
        <v>0</v>
      </c>
      <c r="G2689" t="str">
        <f>IFERROR(INDEX(tEditais[Órgão],MATCH(tItens[[#This Row],[Edital]],tEditais[Edital],0)),"")</f>
        <v>MUNICIPIO DE BURITICUPU</v>
      </c>
      <c r="H2689" t="str">
        <f>IFERROR(INDEX(tEditais[UF],MATCH(tItens[[#This Row],[Edital]],tEditais[Edital],0)),"")</f>
        <v>MA</v>
      </c>
      <c r="I2689" s="11">
        <f>IFERROR(INDEX(tEditais[Encerramento],MATCH(tItens[[#This Row],[Edital]],tEditais[Edital],0)),"")</f>
        <v>46314.354166666664</v>
      </c>
      <c r="J2689" t="str">
        <f>IFERROR(INDEX(tProdutos[Classe],MATCH(tItens[[#This Row],[Produto]],tProdutos[Produto],0)),"produto não cadastrado")</f>
        <v>NÚCLEO</v>
      </c>
      <c r="K2689" s="12">
        <f>tItens[[#This Row],[Qtd]]*tItens[[#This Row],[Vlr unit]]</f>
        <v>0</v>
      </c>
      <c r="L2689" s="6">
        <f>IFERROR(IF(INDEX(tProdutos[Desconto homologado],MATCH(tItens[[#This Row],[Produto]],tProdutos[Produto],0))="",DescontoPadrao,INDEX(tProdutos[Desconto homologado],MATCH(tItens[[#This Row],[Produto]],tProdutos[Produto],0))),DescontoPadrao)</f>
        <v>0.33</v>
      </c>
      <c r="M2689" s="12">
        <f>tItens[[#This Row],[Valor]]*(1-tItens[[#This Row],[Desconto]])</f>
        <v>0</v>
      </c>
      <c r="N2689" t="str">
        <f>IFERROR(INDEX(tProdutos[Foco],MATCH(tItens[[#This Row],[Produto]],tProdutos[Produto],0)),"Não")</f>
        <v>Sim</v>
      </c>
      <c r="O2689" t="str">
        <f>IFERROR(INDEX(tEditais[SRP],MATCH(tItens[[#This Row],[Edital]],tEditais[Edital],0)),"Não")</f>
        <v>Sim</v>
      </c>
      <c r="P2689" s="4">
        <f>IF(COUNTIFS(INDEX(tItens[Edital],1):tItens[[#This Row],[Edital]],tItens[[#This Row],[Edital]],INDEX(tItens[Produto],1):tItens[[#This Row],[Produto]],tItens[[#This Row],[Produto]])=1,1,0)</f>
        <v>0</v>
      </c>
    </row>
    <row r="2690" spans="1:16" x14ac:dyDescent="0.25">
      <c r="A2690" t="s">
        <v>1277</v>
      </c>
      <c r="B2690">
        <v>8077528</v>
      </c>
      <c r="C2690" t="s">
        <v>5642</v>
      </c>
      <c r="D2690" t="s">
        <v>269</v>
      </c>
      <c r="E2690" s="13">
        <v>2400</v>
      </c>
      <c r="F2690" s="12">
        <v>0</v>
      </c>
      <c r="G2690" t="str">
        <f>IFERROR(INDEX(tEditais[Órgão],MATCH(tItens[[#This Row],[Edital]],tEditais[Edital],0)),"")</f>
        <v>MUNICIPIO DE BURITICUPU</v>
      </c>
      <c r="H2690" t="str">
        <f>IFERROR(INDEX(tEditais[UF],MATCH(tItens[[#This Row],[Edital]],tEditais[Edital],0)),"")</f>
        <v>MA</v>
      </c>
      <c r="I2690" s="11">
        <f>IFERROR(INDEX(tEditais[Encerramento],MATCH(tItens[[#This Row],[Edital]],tEditais[Edital],0)),"")</f>
        <v>46314.354166666664</v>
      </c>
      <c r="J2690" t="str">
        <f>IFERROR(INDEX(tProdutos[Classe],MATCH(tItens[[#This Row],[Produto]],tProdutos[Produto],0)),"produto não cadastrado")</f>
        <v>FORA</v>
      </c>
      <c r="K2690" s="12">
        <f>tItens[[#This Row],[Qtd]]*tItens[[#This Row],[Vlr unit]]</f>
        <v>0</v>
      </c>
      <c r="L2690" s="6">
        <f>IFERROR(IF(INDEX(tProdutos[Desconto homologado],MATCH(tItens[[#This Row],[Produto]],tProdutos[Produto],0))="",DescontoPadrao,INDEX(tProdutos[Desconto homologado],MATCH(tItens[[#This Row],[Produto]],tProdutos[Produto],0))),DescontoPadrao)</f>
        <v>0.28935117103332197</v>
      </c>
      <c r="M2690" s="12">
        <f>tItens[[#This Row],[Valor]]*(1-tItens[[#This Row],[Desconto]])</f>
        <v>0</v>
      </c>
      <c r="N2690" t="str">
        <f>IFERROR(INDEX(tProdutos[Foco],MATCH(tItens[[#This Row],[Produto]],tProdutos[Produto],0)),"Não")</f>
        <v>Não</v>
      </c>
      <c r="O2690" t="str">
        <f>IFERROR(INDEX(tEditais[SRP],MATCH(tItens[[#This Row],[Edital]],tEditais[Edital],0)),"Não")</f>
        <v>Sim</v>
      </c>
      <c r="P2690" s="4">
        <f>IF(COUNTIFS(INDEX(tItens[Edital],1):tItens[[#This Row],[Edital]],tItens[[#This Row],[Edital]],INDEX(tItens[Produto],1):tItens[[#This Row],[Produto]],tItens[[#This Row],[Produto]])=1,1,0)</f>
        <v>0</v>
      </c>
    </row>
    <row r="2691" spans="1:16" x14ac:dyDescent="0.25">
      <c r="A2691" t="s">
        <v>1277</v>
      </c>
      <c r="B2691">
        <v>8077541</v>
      </c>
      <c r="C2691" t="s">
        <v>5643</v>
      </c>
      <c r="D2691" t="s">
        <v>136</v>
      </c>
      <c r="E2691" s="13">
        <v>320</v>
      </c>
      <c r="F2691" s="12">
        <v>0</v>
      </c>
      <c r="G2691" t="str">
        <f>IFERROR(INDEX(tEditais[Órgão],MATCH(tItens[[#This Row],[Edital]],tEditais[Edital],0)),"")</f>
        <v>MUNICIPIO DE BURITICUPU</v>
      </c>
      <c r="H2691" t="str">
        <f>IFERROR(INDEX(tEditais[UF],MATCH(tItens[[#This Row],[Edital]],tEditais[Edital],0)),"")</f>
        <v>MA</v>
      </c>
      <c r="I2691" s="11">
        <f>IFERROR(INDEX(tEditais[Encerramento],MATCH(tItens[[#This Row],[Edital]],tEditais[Edital],0)),"")</f>
        <v>46314.354166666664</v>
      </c>
      <c r="J2691" t="str">
        <f>IFERROR(INDEX(tProdutos[Classe],MATCH(tItens[[#This Row],[Produto]],tProdutos[Produto],0)),"produto não cadastrado")</f>
        <v>DISPUTADO</v>
      </c>
      <c r="K2691" s="12">
        <f>tItens[[#This Row],[Qtd]]*tItens[[#This Row],[Vlr unit]]</f>
        <v>0</v>
      </c>
      <c r="L2691" s="6">
        <f>IFERROR(IF(INDEX(tProdutos[Desconto homologado],MATCH(tItens[[#This Row],[Produto]],tProdutos[Produto],0))="",DescontoPadrao,INDEX(tProdutos[Desconto homologado],MATCH(tItens[[#This Row],[Produto]],tProdutos[Produto],0))),DescontoPadrao)</f>
        <v>0.330646209370899</v>
      </c>
      <c r="M2691" s="12">
        <f>tItens[[#This Row],[Valor]]*(1-tItens[[#This Row],[Desconto]])</f>
        <v>0</v>
      </c>
      <c r="N2691" t="str">
        <f>IFERROR(INDEX(tProdutos[Foco],MATCH(tItens[[#This Row],[Produto]],tProdutos[Produto],0)),"Não")</f>
        <v>Não</v>
      </c>
      <c r="O2691" t="str">
        <f>IFERROR(INDEX(tEditais[SRP],MATCH(tItens[[#This Row],[Edital]],tEditais[Edital],0)),"Não")</f>
        <v>Sim</v>
      </c>
      <c r="P2691" s="4">
        <f>IF(COUNTIFS(INDEX(tItens[Edital],1):tItens[[#This Row],[Edital]],tItens[[#This Row],[Edital]],INDEX(tItens[Produto],1):tItens[[#This Row],[Produto]],tItens[[#This Row],[Produto]])=1,1,0)</f>
        <v>0</v>
      </c>
    </row>
    <row r="2692" spans="1:16" x14ac:dyDescent="0.25">
      <c r="A2692" t="s">
        <v>1277</v>
      </c>
      <c r="B2692">
        <v>8077553</v>
      </c>
      <c r="C2692" t="s">
        <v>5644</v>
      </c>
      <c r="D2692" t="s">
        <v>245</v>
      </c>
      <c r="E2692" s="13">
        <v>640</v>
      </c>
      <c r="F2692" s="12">
        <v>0</v>
      </c>
      <c r="G2692" t="str">
        <f>IFERROR(INDEX(tEditais[Órgão],MATCH(tItens[[#This Row],[Edital]],tEditais[Edital],0)),"")</f>
        <v>MUNICIPIO DE BURITICUPU</v>
      </c>
      <c r="H2692" t="str">
        <f>IFERROR(INDEX(tEditais[UF],MATCH(tItens[[#This Row],[Edital]],tEditais[Edital],0)),"")</f>
        <v>MA</v>
      </c>
      <c r="I2692" s="11">
        <f>IFERROR(INDEX(tEditais[Encerramento],MATCH(tItens[[#This Row],[Edital]],tEditais[Edital],0)),"")</f>
        <v>46314.354166666664</v>
      </c>
      <c r="J2692" t="str">
        <f>IFERROR(INDEX(tProdutos[Classe],MATCH(tItens[[#This Row],[Produto]],tProdutos[Produto],0)),"produto não cadastrado")</f>
        <v>FORA</v>
      </c>
      <c r="K2692" s="12">
        <f>tItens[[#This Row],[Qtd]]*tItens[[#This Row],[Vlr unit]]</f>
        <v>0</v>
      </c>
      <c r="L2692" s="6">
        <f>IFERROR(IF(INDEX(tProdutos[Desconto homologado],MATCH(tItens[[#This Row],[Produto]],tProdutos[Produto],0))="",DescontoPadrao,INDEX(tProdutos[Desconto homologado],MATCH(tItens[[#This Row],[Produto]],tProdutos[Produto],0))),DescontoPadrao)</f>
        <v>0.34516963542284401</v>
      </c>
      <c r="M2692" s="12">
        <f>tItens[[#This Row],[Valor]]*(1-tItens[[#This Row],[Desconto]])</f>
        <v>0</v>
      </c>
      <c r="N2692" t="str">
        <f>IFERROR(INDEX(tProdutos[Foco],MATCH(tItens[[#This Row],[Produto]],tProdutos[Produto],0)),"Não")</f>
        <v>Não</v>
      </c>
      <c r="O2692" t="str">
        <f>IFERROR(INDEX(tEditais[SRP],MATCH(tItens[[#This Row],[Edital]],tEditais[Edital],0)),"Não")</f>
        <v>Sim</v>
      </c>
      <c r="P2692" s="4">
        <f>IF(COUNTIFS(INDEX(tItens[Edital],1):tItens[[#This Row],[Edital]],tItens[[#This Row],[Edital]],INDEX(tItens[Produto],1):tItens[[#This Row],[Produto]],tItens[[#This Row],[Produto]])=1,1,0)</f>
        <v>0</v>
      </c>
    </row>
    <row r="2693" spans="1:16" x14ac:dyDescent="0.25">
      <c r="A2693" t="s">
        <v>1277</v>
      </c>
      <c r="B2693">
        <v>8077557</v>
      </c>
      <c r="C2693" t="s">
        <v>5645</v>
      </c>
      <c r="D2693" t="s">
        <v>327</v>
      </c>
      <c r="E2693" s="13">
        <v>1600</v>
      </c>
      <c r="F2693" s="12">
        <v>0</v>
      </c>
      <c r="G2693" t="str">
        <f>IFERROR(INDEX(tEditais[Órgão],MATCH(tItens[[#This Row],[Edital]],tEditais[Edital],0)),"")</f>
        <v>MUNICIPIO DE BURITICUPU</v>
      </c>
      <c r="H2693" t="str">
        <f>IFERROR(INDEX(tEditais[UF],MATCH(tItens[[#This Row],[Edital]],tEditais[Edital],0)),"")</f>
        <v>MA</v>
      </c>
      <c r="I2693" s="11">
        <f>IFERROR(INDEX(tEditais[Encerramento],MATCH(tItens[[#This Row],[Edital]],tEditais[Edital],0)),"")</f>
        <v>46314.354166666664</v>
      </c>
      <c r="J2693" t="str">
        <f>IFERROR(INDEX(tProdutos[Classe],MATCH(tItens[[#This Row],[Produto]],tProdutos[Produto],0)),"produto não cadastrado")</f>
        <v>FORA</v>
      </c>
      <c r="K2693" s="12">
        <f>tItens[[#This Row],[Qtd]]*tItens[[#This Row],[Vlr unit]]</f>
        <v>0</v>
      </c>
      <c r="L2693" s="6">
        <f>IFERROR(IF(INDEX(tProdutos[Desconto homologado],MATCH(tItens[[#This Row],[Produto]],tProdutos[Produto],0))="",DescontoPadrao,INDEX(tProdutos[Desconto homologado],MATCH(tItens[[#This Row],[Produto]],tProdutos[Produto],0))),DescontoPadrao)</f>
        <v>0.49969483918783197</v>
      </c>
      <c r="M2693" s="12">
        <f>tItens[[#This Row],[Valor]]*(1-tItens[[#This Row],[Desconto]])</f>
        <v>0</v>
      </c>
      <c r="N2693" t="str">
        <f>IFERROR(INDEX(tProdutos[Foco],MATCH(tItens[[#This Row],[Produto]],tProdutos[Produto],0)),"Não")</f>
        <v>Não</v>
      </c>
      <c r="O2693" t="str">
        <f>IFERROR(INDEX(tEditais[SRP],MATCH(tItens[[#This Row],[Edital]],tEditais[Edital],0)),"Não")</f>
        <v>Sim</v>
      </c>
      <c r="P2693" s="4">
        <f>IF(COUNTIFS(INDEX(tItens[Edital],1):tItens[[#This Row],[Edital]],tItens[[#This Row],[Edital]],INDEX(tItens[Produto],1):tItens[[#This Row],[Produto]],tItens[[#This Row],[Produto]])=1,1,0)</f>
        <v>0</v>
      </c>
    </row>
    <row r="2694" spans="1:16" x14ac:dyDescent="0.25">
      <c r="A2694" t="s">
        <v>1277</v>
      </c>
      <c r="B2694">
        <v>8077565</v>
      </c>
      <c r="C2694" t="s">
        <v>5646</v>
      </c>
      <c r="D2694" t="s">
        <v>110</v>
      </c>
      <c r="E2694" s="13">
        <v>400</v>
      </c>
      <c r="F2694" s="12">
        <v>0</v>
      </c>
      <c r="G2694" t="str">
        <f>IFERROR(INDEX(tEditais[Órgão],MATCH(tItens[[#This Row],[Edital]],tEditais[Edital],0)),"")</f>
        <v>MUNICIPIO DE BURITICUPU</v>
      </c>
      <c r="H2694" t="str">
        <f>IFERROR(INDEX(tEditais[UF],MATCH(tItens[[#This Row],[Edital]],tEditais[Edital],0)),"")</f>
        <v>MA</v>
      </c>
      <c r="I2694" s="11">
        <f>IFERROR(INDEX(tEditais[Encerramento],MATCH(tItens[[#This Row],[Edital]],tEditais[Edital],0)),"")</f>
        <v>46314.354166666664</v>
      </c>
      <c r="J2694" t="str">
        <f>IFERROR(INDEX(tProdutos[Classe],MATCH(tItens[[#This Row],[Produto]],tProdutos[Produto],0)),"produto não cadastrado")</f>
        <v>NÚCLEO</v>
      </c>
      <c r="K2694" s="12">
        <f>tItens[[#This Row],[Qtd]]*tItens[[#This Row],[Vlr unit]]</f>
        <v>0</v>
      </c>
      <c r="L2694" s="6">
        <f>IFERROR(IF(INDEX(tProdutos[Desconto homologado],MATCH(tItens[[#This Row],[Produto]],tProdutos[Produto],0))="",DescontoPadrao,INDEX(tProdutos[Desconto homologado],MATCH(tItens[[#This Row],[Produto]],tProdutos[Produto],0))),DescontoPadrao)</f>
        <v>0.30410958904109597</v>
      </c>
      <c r="M2694" s="12">
        <f>tItens[[#This Row],[Valor]]*(1-tItens[[#This Row],[Desconto]])</f>
        <v>0</v>
      </c>
      <c r="N2694" t="str">
        <f>IFERROR(INDEX(tProdutos[Foco],MATCH(tItens[[#This Row],[Produto]],tProdutos[Produto],0)),"Não")</f>
        <v>Não</v>
      </c>
      <c r="O2694" t="str">
        <f>IFERROR(INDEX(tEditais[SRP],MATCH(tItens[[#This Row],[Edital]],tEditais[Edital],0)),"Não")</f>
        <v>Sim</v>
      </c>
      <c r="P2694" s="4">
        <f>IF(COUNTIFS(INDEX(tItens[Edital],1):tItens[[#This Row],[Edital]],tItens[[#This Row],[Edital]],INDEX(tItens[Produto],1):tItens[[#This Row],[Produto]],tItens[[#This Row],[Produto]])=1,1,0)</f>
        <v>0</v>
      </c>
    </row>
    <row r="2695" spans="1:16" x14ac:dyDescent="0.25">
      <c r="A2695" t="s">
        <v>1277</v>
      </c>
      <c r="B2695">
        <v>8077566</v>
      </c>
      <c r="C2695" t="s">
        <v>5647</v>
      </c>
      <c r="D2695" t="s">
        <v>110</v>
      </c>
      <c r="E2695" s="13">
        <v>400</v>
      </c>
      <c r="F2695" s="12">
        <v>0</v>
      </c>
      <c r="G2695" t="str">
        <f>IFERROR(INDEX(tEditais[Órgão],MATCH(tItens[[#This Row],[Edital]],tEditais[Edital],0)),"")</f>
        <v>MUNICIPIO DE BURITICUPU</v>
      </c>
      <c r="H2695" t="str">
        <f>IFERROR(INDEX(tEditais[UF],MATCH(tItens[[#This Row],[Edital]],tEditais[Edital],0)),"")</f>
        <v>MA</v>
      </c>
      <c r="I2695" s="11">
        <f>IFERROR(INDEX(tEditais[Encerramento],MATCH(tItens[[#This Row],[Edital]],tEditais[Edital],0)),"")</f>
        <v>46314.354166666664</v>
      </c>
      <c r="J2695" t="str">
        <f>IFERROR(INDEX(tProdutos[Classe],MATCH(tItens[[#This Row],[Produto]],tProdutos[Produto],0)),"produto não cadastrado")</f>
        <v>NÚCLEO</v>
      </c>
      <c r="K2695" s="12">
        <f>tItens[[#This Row],[Qtd]]*tItens[[#This Row],[Vlr unit]]</f>
        <v>0</v>
      </c>
      <c r="L2695" s="6">
        <f>IFERROR(IF(INDEX(tProdutos[Desconto homologado],MATCH(tItens[[#This Row],[Produto]],tProdutos[Produto],0))="",DescontoPadrao,INDEX(tProdutos[Desconto homologado],MATCH(tItens[[#This Row],[Produto]],tProdutos[Produto],0))),DescontoPadrao)</f>
        <v>0.30410958904109597</v>
      </c>
      <c r="M2695" s="12">
        <f>tItens[[#This Row],[Valor]]*(1-tItens[[#This Row],[Desconto]])</f>
        <v>0</v>
      </c>
      <c r="N2695" t="str">
        <f>IFERROR(INDEX(tProdutos[Foco],MATCH(tItens[[#This Row],[Produto]],tProdutos[Produto],0)),"Não")</f>
        <v>Não</v>
      </c>
      <c r="O2695" t="str">
        <f>IFERROR(INDEX(tEditais[SRP],MATCH(tItens[[#This Row],[Edital]],tEditais[Edital],0)),"Não")</f>
        <v>Sim</v>
      </c>
      <c r="P2695" s="4">
        <f>IF(COUNTIFS(INDEX(tItens[Edital],1):tItens[[#This Row],[Edital]],tItens[[#This Row],[Edital]],INDEX(tItens[Produto],1):tItens[[#This Row],[Produto]],tItens[[#This Row],[Produto]])=1,1,0)</f>
        <v>0</v>
      </c>
    </row>
    <row r="2696" spans="1:16" x14ac:dyDescent="0.25">
      <c r="A2696" t="s">
        <v>1277</v>
      </c>
      <c r="B2696">
        <v>8077567</v>
      </c>
      <c r="C2696" t="s">
        <v>5648</v>
      </c>
      <c r="D2696" t="s">
        <v>110</v>
      </c>
      <c r="E2696" s="13">
        <v>400</v>
      </c>
      <c r="F2696" s="12">
        <v>0</v>
      </c>
      <c r="G2696" t="str">
        <f>IFERROR(INDEX(tEditais[Órgão],MATCH(tItens[[#This Row],[Edital]],tEditais[Edital],0)),"")</f>
        <v>MUNICIPIO DE BURITICUPU</v>
      </c>
      <c r="H2696" t="str">
        <f>IFERROR(INDEX(tEditais[UF],MATCH(tItens[[#This Row],[Edital]],tEditais[Edital],0)),"")</f>
        <v>MA</v>
      </c>
      <c r="I2696" s="11">
        <f>IFERROR(INDEX(tEditais[Encerramento],MATCH(tItens[[#This Row],[Edital]],tEditais[Edital],0)),"")</f>
        <v>46314.354166666664</v>
      </c>
      <c r="J2696" t="str">
        <f>IFERROR(INDEX(tProdutos[Classe],MATCH(tItens[[#This Row],[Produto]],tProdutos[Produto],0)),"produto não cadastrado")</f>
        <v>NÚCLEO</v>
      </c>
      <c r="K2696" s="12">
        <f>tItens[[#This Row],[Qtd]]*tItens[[#This Row],[Vlr unit]]</f>
        <v>0</v>
      </c>
      <c r="L2696" s="6">
        <f>IFERROR(IF(INDEX(tProdutos[Desconto homologado],MATCH(tItens[[#This Row],[Produto]],tProdutos[Produto],0))="",DescontoPadrao,INDEX(tProdutos[Desconto homologado],MATCH(tItens[[#This Row],[Produto]],tProdutos[Produto],0))),DescontoPadrao)</f>
        <v>0.30410958904109597</v>
      </c>
      <c r="M2696" s="12">
        <f>tItens[[#This Row],[Valor]]*(1-tItens[[#This Row],[Desconto]])</f>
        <v>0</v>
      </c>
      <c r="N2696" t="str">
        <f>IFERROR(INDEX(tProdutos[Foco],MATCH(tItens[[#This Row],[Produto]],tProdutos[Produto],0)),"Não")</f>
        <v>Não</v>
      </c>
      <c r="O2696" t="str">
        <f>IFERROR(INDEX(tEditais[SRP],MATCH(tItens[[#This Row],[Edital]],tEditais[Edital],0)),"Não")</f>
        <v>Sim</v>
      </c>
      <c r="P2696" s="4">
        <f>IF(COUNTIFS(INDEX(tItens[Edital],1):tItens[[#This Row],[Edital]],tItens[[#This Row],[Edital]],INDEX(tItens[Produto],1):tItens[[#This Row],[Produto]],tItens[[#This Row],[Produto]])=1,1,0)</f>
        <v>0</v>
      </c>
    </row>
    <row r="2697" spans="1:16" x14ac:dyDescent="0.25">
      <c r="A2697" t="s">
        <v>1277</v>
      </c>
      <c r="B2697">
        <v>8077568</v>
      </c>
      <c r="C2697" t="s">
        <v>5649</v>
      </c>
      <c r="D2697" t="s">
        <v>110</v>
      </c>
      <c r="E2697" s="13">
        <v>400</v>
      </c>
      <c r="F2697" s="12">
        <v>0</v>
      </c>
      <c r="G2697" t="str">
        <f>IFERROR(INDEX(tEditais[Órgão],MATCH(tItens[[#This Row],[Edital]],tEditais[Edital],0)),"")</f>
        <v>MUNICIPIO DE BURITICUPU</v>
      </c>
      <c r="H2697" t="str">
        <f>IFERROR(INDEX(tEditais[UF],MATCH(tItens[[#This Row],[Edital]],tEditais[Edital],0)),"")</f>
        <v>MA</v>
      </c>
      <c r="I2697" s="11">
        <f>IFERROR(INDEX(tEditais[Encerramento],MATCH(tItens[[#This Row],[Edital]],tEditais[Edital],0)),"")</f>
        <v>46314.354166666664</v>
      </c>
      <c r="J2697" t="str">
        <f>IFERROR(INDEX(tProdutos[Classe],MATCH(tItens[[#This Row],[Produto]],tProdutos[Produto],0)),"produto não cadastrado")</f>
        <v>NÚCLEO</v>
      </c>
      <c r="K2697" s="12">
        <f>tItens[[#This Row],[Qtd]]*tItens[[#This Row],[Vlr unit]]</f>
        <v>0</v>
      </c>
      <c r="L2697" s="6">
        <f>IFERROR(IF(INDEX(tProdutos[Desconto homologado],MATCH(tItens[[#This Row],[Produto]],tProdutos[Produto],0))="",DescontoPadrao,INDEX(tProdutos[Desconto homologado],MATCH(tItens[[#This Row],[Produto]],tProdutos[Produto],0))),DescontoPadrao)</f>
        <v>0.30410958904109597</v>
      </c>
      <c r="M2697" s="12">
        <f>tItens[[#This Row],[Valor]]*(1-tItens[[#This Row],[Desconto]])</f>
        <v>0</v>
      </c>
      <c r="N2697" t="str">
        <f>IFERROR(INDEX(tProdutos[Foco],MATCH(tItens[[#This Row],[Produto]],tProdutos[Produto],0)),"Não")</f>
        <v>Não</v>
      </c>
      <c r="O2697" t="str">
        <f>IFERROR(INDEX(tEditais[SRP],MATCH(tItens[[#This Row],[Edital]],tEditais[Edital],0)),"Não")</f>
        <v>Sim</v>
      </c>
      <c r="P2697" s="4">
        <f>IF(COUNTIFS(INDEX(tItens[Edital],1):tItens[[#This Row],[Edital]],tItens[[#This Row],[Edital]],INDEX(tItens[Produto],1):tItens[[#This Row],[Produto]],tItens[[#This Row],[Produto]])=1,1,0)</f>
        <v>0</v>
      </c>
    </row>
    <row r="2698" spans="1:16" x14ac:dyDescent="0.25">
      <c r="A2698" t="s">
        <v>1277</v>
      </c>
      <c r="B2698">
        <v>8077569</v>
      </c>
      <c r="C2698" t="s">
        <v>5650</v>
      </c>
      <c r="D2698" t="s">
        <v>110</v>
      </c>
      <c r="E2698" s="13">
        <v>400</v>
      </c>
      <c r="F2698" s="12">
        <v>0</v>
      </c>
      <c r="G2698" t="str">
        <f>IFERROR(INDEX(tEditais[Órgão],MATCH(tItens[[#This Row],[Edital]],tEditais[Edital],0)),"")</f>
        <v>MUNICIPIO DE BURITICUPU</v>
      </c>
      <c r="H2698" t="str">
        <f>IFERROR(INDEX(tEditais[UF],MATCH(tItens[[#This Row],[Edital]],tEditais[Edital],0)),"")</f>
        <v>MA</v>
      </c>
      <c r="I2698" s="11">
        <f>IFERROR(INDEX(tEditais[Encerramento],MATCH(tItens[[#This Row],[Edital]],tEditais[Edital],0)),"")</f>
        <v>46314.354166666664</v>
      </c>
      <c r="J2698" t="str">
        <f>IFERROR(INDEX(tProdutos[Classe],MATCH(tItens[[#This Row],[Produto]],tProdutos[Produto],0)),"produto não cadastrado")</f>
        <v>NÚCLEO</v>
      </c>
      <c r="K2698" s="12">
        <f>tItens[[#This Row],[Qtd]]*tItens[[#This Row],[Vlr unit]]</f>
        <v>0</v>
      </c>
      <c r="L2698" s="6">
        <f>IFERROR(IF(INDEX(tProdutos[Desconto homologado],MATCH(tItens[[#This Row],[Produto]],tProdutos[Produto],0))="",DescontoPadrao,INDEX(tProdutos[Desconto homologado],MATCH(tItens[[#This Row],[Produto]],tProdutos[Produto],0))),DescontoPadrao)</f>
        <v>0.30410958904109597</v>
      </c>
      <c r="M2698" s="12">
        <f>tItens[[#This Row],[Valor]]*(1-tItens[[#This Row],[Desconto]])</f>
        <v>0</v>
      </c>
      <c r="N2698" t="str">
        <f>IFERROR(INDEX(tProdutos[Foco],MATCH(tItens[[#This Row],[Produto]],tProdutos[Produto],0)),"Não")</f>
        <v>Não</v>
      </c>
      <c r="O2698" t="str">
        <f>IFERROR(INDEX(tEditais[SRP],MATCH(tItens[[#This Row],[Edital]],tEditais[Edital],0)),"Não")</f>
        <v>Sim</v>
      </c>
      <c r="P2698" s="4">
        <f>IF(COUNTIFS(INDEX(tItens[Edital],1):tItens[[#This Row],[Edital]],tItens[[#This Row],[Edital]],INDEX(tItens[Produto],1):tItens[[#This Row],[Produto]],tItens[[#This Row],[Produto]])=1,1,0)</f>
        <v>0</v>
      </c>
    </row>
    <row r="2699" spans="1:16" x14ac:dyDescent="0.25">
      <c r="A2699" t="s">
        <v>1277</v>
      </c>
      <c r="B2699">
        <v>8077570</v>
      </c>
      <c r="C2699" t="s">
        <v>5651</v>
      </c>
      <c r="D2699" t="s">
        <v>110</v>
      </c>
      <c r="E2699" s="13">
        <v>400</v>
      </c>
      <c r="F2699" s="12">
        <v>0</v>
      </c>
      <c r="G2699" t="str">
        <f>IFERROR(INDEX(tEditais[Órgão],MATCH(tItens[[#This Row],[Edital]],tEditais[Edital],0)),"")</f>
        <v>MUNICIPIO DE BURITICUPU</v>
      </c>
      <c r="H2699" t="str">
        <f>IFERROR(INDEX(tEditais[UF],MATCH(tItens[[#This Row],[Edital]],tEditais[Edital],0)),"")</f>
        <v>MA</v>
      </c>
      <c r="I2699" s="11">
        <f>IFERROR(INDEX(tEditais[Encerramento],MATCH(tItens[[#This Row],[Edital]],tEditais[Edital],0)),"")</f>
        <v>46314.354166666664</v>
      </c>
      <c r="J2699" t="str">
        <f>IFERROR(INDEX(tProdutos[Classe],MATCH(tItens[[#This Row],[Produto]],tProdutos[Produto],0)),"produto não cadastrado")</f>
        <v>NÚCLEO</v>
      </c>
      <c r="K2699" s="12">
        <f>tItens[[#This Row],[Qtd]]*tItens[[#This Row],[Vlr unit]]</f>
        <v>0</v>
      </c>
      <c r="L2699" s="6">
        <f>IFERROR(IF(INDEX(tProdutos[Desconto homologado],MATCH(tItens[[#This Row],[Produto]],tProdutos[Produto],0))="",DescontoPadrao,INDEX(tProdutos[Desconto homologado],MATCH(tItens[[#This Row],[Produto]],tProdutos[Produto],0))),DescontoPadrao)</f>
        <v>0.30410958904109597</v>
      </c>
      <c r="M2699" s="12">
        <f>tItens[[#This Row],[Valor]]*(1-tItens[[#This Row],[Desconto]])</f>
        <v>0</v>
      </c>
      <c r="N2699" t="str">
        <f>IFERROR(INDEX(tProdutos[Foco],MATCH(tItens[[#This Row],[Produto]],tProdutos[Produto],0)),"Não")</f>
        <v>Não</v>
      </c>
      <c r="O2699" t="str">
        <f>IFERROR(INDEX(tEditais[SRP],MATCH(tItens[[#This Row],[Edital]],tEditais[Edital],0)),"Não")</f>
        <v>Sim</v>
      </c>
      <c r="P2699" s="4">
        <f>IF(COUNTIFS(INDEX(tItens[Edital],1):tItens[[#This Row],[Edital]],tItens[[#This Row],[Edital]],INDEX(tItens[Produto],1):tItens[[#This Row],[Produto]],tItens[[#This Row],[Produto]])=1,1,0)</f>
        <v>0</v>
      </c>
    </row>
    <row r="2700" spans="1:16" x14ac:dyDescent="0.25">
      <c r="A2700" t="s">
        <v>1277</v>
      </c>
      <c r="B2700">
        <v>8077571</v>
      </c>
      <c r="C2700" t="s">
        <v>5652</v>
      </c>
      <c r="D2700" t="s">
        <v>110</v>
      </c>
      <c r="E2700" s="13">
        <v>400</v>
      </c>
      <c r="F2700" s="12">
        <v>0</v>
      </c>
      <c r="G2700" t="str">
        <f>IFERROR(INDEX(tEditais[Órgão],MATCH(tItens[[#This Row],[Edital]],tEditais[Edital],0)),"")</f>
        <v>MUNICIPIO DE BURITICUPU</v>
      </c>
      <c r="H2700" t="str">
        <f>IFERROR(INDEX(tEditais[UF],MATCH(tItens[[#This Row],[Edital]],tEditais[Edital],0)),"")</f>
        <v>MA</v>
      </c>
      <c r="I2700" s="11">
        <f>IFERROR(INDEX(tEditais[Encerramento],MATCH(tItens[[#This Row],[Edital]],tEditais[Edital],0)),"")</f>
        <v>46314.354166666664</v>
      </c>
      <c r="J2700" t="str">
        <f>IFERROR(INDEX(tProdutos[Classe],MATCH(tItens[[#This Row],[Produto]],tProdutos[Produto],0)),"produto não cadastrado")</f>
        <v>NÚCLEO</v>
      </c>
      <c r="K2700" s="12">
        <f>tItens[[#This Row],[Qtd]]*tItens[[#This Row],[Vlr unit]]</f>
        <v>0</v>
      </c>
      <c r="L2700" s="6">
        <f>IFERROR(IF(INDEX(tProdutos[Desconto homologado],MATCH(tItens[[#This Row],[Produto]],tProdutos[Produto],0))="",DescontoPadrao,INDEX(tProdutos[Desconto homologado],MATCH(tItens[[#This Row],[Produto]],tProdutos[Produto],0))),DescontoPadrao)</f>
        <v>0.30410958904109597</v>
      </c>
      <c r="M2700" s="12">
        <f>tItens[[#This Row],[Valor]]*(1-tItens[[#This Row],[Desconto]])</f>
        <v>0</v>
      </c>
      <c r="N2700" t="str">
        <f>IFERROR(INDEX(tProdutos[Foco],MATCH(tItens[[#This Row],[Produto]],tProdutos[Produto],0)),"Não")</f>
        <v>Não</v>
      </c>
      <c r="O2700" t="str">
        <f>IFERROR(INDEX(tEditais[SRP],MATCH(tItens[[#This Row],[Edital]],tEditais[Edital],0)),"Não")</f>
        <v>Sim</v>
      </c>
      <c r="P2700" s="4">
        <f>IF(COUNTIFS(INDEX(tItens[Edital],1):tItens[[#This Row],[Edital]],tItens[[#This Row],[Edital]],INDEX(tItens[Produto],1):tItens[[#This Row],[Produto]],tItens[[#This Row],[Produto]])=1,1,0)</f>
        <v>0</v>
      </c>
    </row>
    <row r="2701" spans="1:16" x14ac:dyDescent="0.25">
      <c r="A2701" t="s">
        <v>1277</v>
      </c>
      <c r="B2701">
        <v>8077574</v>
      </c>
      <c r="C2701" t="s">
        <v>5653</v>
      </c>
      <c r="D2701" t="s">
        <v>120</v>
      </c>
      <c r="E2701" s="13">
        <v>640</v>
      </c>
      <c r="F2701" s="12">
        <v>0</v>
      </c>
      <c r="G2701" t="str">
        <f>IFERROR(INDEX(tEditais[Órgão],MATCH(tItens[[#This Row],[Edital]],tEditais[Edital],0)),"")</f>
        <v>MUNICIPIO DE BURITICUPU</v>
      </c>
      <c r="H2701" t="str">
        <f>IFERROR(INDEX(tEditais[UF],MATCH(tItens[[#This Row],[Edital]],tEditais[Edital],0)),"")</f>
        <v>MA</v>
      </c>
      <c r="I2701" s="11">
        <f>IFERROR(INDEX(tEditais[Encerramento],MATCH(tItens[[#This Row],[Edital]],tEditais[Edital],0)),"")</f>
        <v>46314.354166666664</v>
      </c>
      <c r="J2701" t="str">
        <f>IFERROR(INDEX(tProdutos[Classe],MATCH(tItens[[#This Row],[Produto]],tProdutos[Produto],0)),"produto não cadastrado")</f>
        <v>DISPUTADO</v>
      </c>
      <c r="K2701" s="12">
        <f>tItens[[#This Row],[Qtd]]*tItens[[#This Row],[Vlr unit]]</f>
        <v>0</v>
      </c>
      <c r="L2701" s="6">
        <f>IFERROR(IF(INDEX(tProdutos[Desconto homologado],MATCH(tItens[[#This Row],[Produto]],tProdutos[Produto],0))="",DescontoPadrao,INDEX(tProdutos[Desconto homologado],MATCH(tItens[[#This Row],[Produto]],tProdutos[Produto],0))),DescontoPadrao)</f>
        <v>0.40909090909090901</v>
      </c>
      <c r="M2701" s="12">
        <f>tItens[[#This Row],[Valor]]*(1-tItens[[#This Row],[Desconto]])</f>
        <v>0</v>
      </c>
      <c r="N2701" t="str">
        <f>IFERROR(INDEX(tProdutos[Foco],MATCH(tItens[[#This Row],[Produto]],tProdutos[Produto],0)),"Não")</f>
        <v>Não</v>
      </c>
      <c r="O2701" t="str">
        <f>IFERROR(INDEX(tEditais[SRP],MATCH(tItens[[#This Row],[Edital]],tEditais[Edital],0)),"Não")</f>
        <v>Sim</v>
      </c>
      <c r="P2701" s="4">
        <f>IF(COUNTIFS(INDEX(tItens[Edital],1):tItens[[#This Row],[Edital]],tItens[[#This Row],[Edital]],INDEX(tItens[Produto],1):tItens[[#This Row],[Produto]],tItens[[#This Row],[Produto]])=1,1,0)</f>
        <v>0</v>
      </c>
    </row>
    <row r="2702" spans="1:16" x14ac:dyDescent="0.25">
      <c r="A2702" t="s">
        <v>1277</v>
      </c>
      <c r="B2702">
        <v>8077575</v>
      </c>
      <c r="C2702" t="s">
        <v>5654</v>
      </c>
      <c r="D2702" t="s">
        <v>120</v>
      </c>
      <c r="E2702" s="13">
        <v>640</v>
      </c>
      <c r="F2702" s="12">
        <v>0</v>
      </c>
      <c r="G2702" t="str">
        <f>IFERROR(INDEX(tEditais[Órgão],MATCH(tItens[[#This Row],[Edital]],tEditais[Edital],0)),"")</f>
        <v>MUNICIPIO DE BURITICUPU</v>
      </c>
      <c r="H2702" t="str">
        <f>IFERROR(INDEX(tEditais[UF],MATCH(tItens[[#This Row],[Edital]],tEditais[Edital],0)),"")</f>
        <v>MA</v>
      </c>
      <c r="I2702" s="11">
        <f>IFERROR(INDEX(tEditais[Encerramento],MATCH(tItens[[#This Row],[Edital]],tEditais[Edital],0)),"")</f>
        <v>46314.354166666664</v>
      </c>
      <c r="J2702" t="str">
        <f>IFERROR(INDEX(tProdutos[Classe],MATCH(tItens[[#This Row],[Produto]],tProdutos[Produto],0)),"produto não cadastrado")</f>
        <v>DISPUTADO</v>
      </c>
      <c r="K2702" s="12">
        <f>tItens[[#This Row],[Qtd]]*tItens[[#This Row],[Vlr unit]]</f>
        <v>0</v>
      </c>
      <c r="L2702" s="6">
        <f>IFERROR(IF(INDEX(tProdutos[Desconto homologado],MATCH(tItens[[#This Row],[Produto]],tProdutos[Produto],0))="",DescontoPadrao,INDEX(tProdutos[Desconto homologado],MATCH(tItens[[#This Row],[Produto]],tProdutos[Produto],0))),DescontoPadrao)</f>
        <v>0.40909090909090901</v>
      </c>
      <c r="M2702" s="12">
        <f>tItens[[#This Row],[Valor]]*(1-tItens[[#This Row],[Desconto]])</f>
        <v>0</v>
      </c>
      <c r="N2702" t="str">
        <f>IFERROR(INDEX(tProdutos[Foco],MATCH(tItens[[#This Row],[Produto]],tProdutos[Produto],0)),"Não")</f>
        <v>Não</v>
      </c>
      <c r="O2702" t="str">
        <f>IFERROR(INDEX(tEditais[SRP],MATCH(tItens[[#This Row],[Edital]],tEditais[Edital],0)),"Não")</f>
        <v>Sim</v>
      </c>
      <c r="P2702" s="4">
        <f>IF(COUNTIFS(INDEX(tItens[Edital],1):tItens[[#This Row],[Edital]],tItens[[#This Row],[Edital]],INDEX(tItens[Produto],1):tItens[[#This Row],[Produto]],tItens[[#This Row],[Produto]])=1,1,0)</f>
        <v>0</v>
      </c>
    </row>
    <row r="2703" spans="1:16" x14ac:dyDescent="0.25">
      <c r="A2703" t="s">
        <v>1277</v>
      </c>
      <c r="B2703">
        <v>8077576</v>
      </c>
      <c r="C2703" t="s">
        <v>5655</v>
      </c>
      <c r="D2703" t="s">
        <v>120</v>
      </c>
      <c r="E2703" s="13">
        <v>640</v>
      </c>
      <c r="F2703" s="12">
        <v>0</v>
      </c>
      <c r="G2703" t="str">
        <f>IFERROR(INDEX(tEditais[Órgão],MATCH(tItens[[#This Row],[Edital]],tEditais[Edital],0)),"")</f>
        <v>MUNICIPIO DE BURITICUPU</v>
      </c>
      <c r="H2703" t="str">
        <f>IFERROR(INDEX(tEditais[UF],MATCH(tItens[[#This Row],[Edital]],tEditais[Edital],0)),"")</f>
        <v>MA</v>
      </c>
      <c r="I2703" s="11">
        <f>IFERROR(INDEX(tEditais[Encerramento],MATCH(tItens[[#This Row],[Edital]],tEditais[Edital],0)),"")</f>
        <v>46314.354166666664</v>
      </c>
      <c r="J2703" t="str">
        <f>IFERROR(INDEX(tProdutos[Classe],MATCH(tItens[[#This Row],[Produto]],tProdutos[Produto],0)),"produto não cadastrado")</f>
        <v>DISPUTADO</v>
      </c>
      <c r="K2703" s="12">
        <f>tItens[[#This Row],[Qtd]]*tItens[[#This Row],[Vlr unit]]</f>
        <v>0</v>
      </c>
      <c r="L2703" s="6">
        <f>IFERROR(IF(INDEX(tProdutos[Desconto homologado],MATCH(tItens[[#This Row],[Produto]],tProdutos[Produto],0))="",DescontoPadrao,INDEX(tProdutos[Desconto homologado],MATCH(tItens[[#This Row],[Produto]],tProdutos[Produto],0))),DescontoPadrao)</f>
        <v>0.40909090909090901</v>
      </c>
      <c r="M2703" s="12">
        <f>tItens[[#This Row],[Valor]]*(1-tItens[[#This Row],[Desconto]])</f>
        <v>0</v>
      </c>
      <c r="N2703" t="str">
        <f>IFERROR(INDEX(tProdutos[Foco],MATCH(tItens[[#This Row],[Produto]],tProdutos[Produto],0)),"Não")</f>
        <v>Não</v>
      </c>
      <c r="O2703" t="str">
        <f>IFERROR(INDEX(tEditais[SRP],MATCH(tItens[[#This Row],[Edital]],tEditais[Edital],0)),"Não")</f>
        <v>Sim</v>
      </c>
      <c r="P2703" s="4">
        <f>IF(COUNTIFS(INDEX(tItens[Edital],1):tItens[[#This Row],[Edital]],tItens[[#This Row],[Edital]],INDEX(tItens[Produto],1):tItens[[#This Row],[Produto]],tItens[[#This Row],[Produto]])=1,1,0)</f>
        <v>0</v>
      </c>
    </row>
    <row r="2704" spans="1:16" x14ac:dyDescent="0.25">
      <c r="A2704" t="s">
        <v>1277</v>
      </c>
      <c r="B2704">
        <v>8077577</v>
      </c>
      <c r="C2704" t="s">
        <v>5656</v>
      </c>
      <c r="D2704" t="s">
        <v>120</v>
      </c>
      <c r="E2704" s="13">
        <v>400</v>
      </c>
      <c r="F2704" s="12">
        <v>0</v>
      </c>
      <c r="G2704" t="str">
        <f>IFERROR(INDEX(tEditais[Órgão],MATCH(tItens[[#This Row],[Edital]],tEditais[Edital],0)),"")</f>
        <v>MUNICIPIO DE BURITICUPU</v>
      </c>
      <c r="H2704" t="str">
        <f>IFERROR(INDEX(tEditais[UF],MATCH(tItens[[#This Row],[Edital]],tEditais[Edital],0)),"")</f>
        <v>MA</v>
      </c>
      <c r="I2704" s="11">
        <f>IFERROR(INDEX(tEditais[Encerramento],MATCH(tItens[[#This Row],[Edital]],tEditais[Edital],0)),"")</f>
        <v>46314.354166666664</v>
      </c>
      <c r="J2704" t="str">
        <f>IFERROR(INDEX(tProdutos[Classe],MATCH(tItens[[#This Row],[Produto]],tProdutos[Produto],0)),"produto não cadastrado")</f>
        <v>DISPUTADO</v>
      </c>
      <c r="K2704" s="12">
        <f>tItens[[#This Row],[Qtd]]*tItens[[#This Row],[Vlr unit]]</f>
        <v>0</v>
      </c>
      <c r="L2704" s="6">
        <f>IFERROR(IF(INDEX(tProdutos[Desconto homologado],MATCH(tItens[[#This Row],[Produto]],tProdutos[Produto],0))="",DescontoPadrao,INDEX(tProdutos[Desconto homologado],MATCH(tItens[[#This Row],[Produto]],tProdutos[Produto],0))),DescontoPadrao)</f>
        <v>0.40909090909090901</v>
      </c>
      <c r="M2704" s="12">
        <f>tItens[[#This Row],[Valor]]*(1-tItens[[#This Row],[Desconto]])</f>
        <v>0</v>
      </c>
      <c r="N2704" t="str">
        <f>IFERROR(INDEX(tProdutos[Foco],MATCH(tItens[[#This Row],[Produto]],tProdutos[Produto],0)),"Não")</f>
        <v>Não</v>
      </c>
      <c r="O2704" t="str">
        <f>IFERROR(INDEX(tEditais[SRP],MATCH(tItens[[#This Row],[Edital]],tEditais[Edital],0)),"Não")</f>
        <v>Sim</v>
      </c>
      <c r="P2704" s="4">
        <f>IF(COUNTIFS(INDEX(tItens[Edital],1):tItens[[#This Row],[Edital]],tItens[[#This Row],[Edital]],INDEX(tItens[Produto],1):tItens[[#This Row],[Produto]],tItens[[#This Row],[Produto]])=1,1,0)</f>
        <v>0</v>
      </c>
    </row>
    <row r="2705" spans="1:16" x14ac:dyDescent="0.25">
      <c r="A2705" t="s">
        <v>1282</v>
      </c>
      <c r="B2705">
        <v>30</v>
      </c>
      <c r="C2705" t="s">
        <v>5657</v>
      </c>
      <c r="D2705" t="s">
        <v>62</v>
      </c>
      <c r="E2705" s="13">
        <v>1000</v>
      </c>
      <c r="F2705" s="12">
        <v>4.96</v>
      </c>
      <c r="G2705" t="str">
        <f>IFERROR(INDEX(tEditais[Órgão],MATCH(tItens[[#This Row],[Edital]],tEditais[Edital],0)),"")</f>
        <v>MUNICIPIO DE RIO NOVO</v>
      </c>
      <c r="H2705" t="str">
        <f>IFERROR(INDEX(tEditais[UF],MATCH(tItens[[#This Row],[Edital]],tEditais[Edital],0)),"")</f>
        <v>MG</v>
      </c>
      <c r="I2705" s="11">
        <f>IFERROR(INDEX(tEditais[Encerramento],MATCH(tItens[[#This Row],[Edital]],tEditais[Edital],0)),"")</f>
        <v>46304.333333333336</v>
      </c>
      <c r="J2705" t="str">
        <f>IFERROR(INDEX(tProdutos[Classe],MATCH(tItens[[#This Row],[Produto]],tProdutos[Produto],0)),"produto não cadastrado")</f>
        <v>NÚCLEO</v>
      </c>
      <c r="K2705" s="12">
        <f>tItens[[#This Row],[Qtd]]*tItens[[#This Row],[Vlr unit]]</f>
        <v>4960</v>
      </c>
      <c r="L2705" s="6">
        <f>IFERROR(IF(INDEX(tProdutos[Desconto homologado],MATCH(tItens[[#This Row],[Produto]],tProdutos[Produto],0))="",DescontoPadrao,INDEX(tProdutos[Desconto homologado],MATCH(tItens[[#This Row],[Produto]],tProdutos[Produto],0))),DescontoPadrao)</f>
        <v>0.3</v>
      </c>
      <c r="M2705" s="12">
        <f>tItens[[#This Row],[Valor]]*(1-tItens[[#This Row],[Desconto]])</f>
        <v>3472</v>
      </c>
      <c r="N2705" t="str">
        <f>IFERROR(INDEX(tProdutos[Foco],MATCH(tItens[[#This Row],[Produto]],tProdutos[Produto],0)),"Não")</f>
        <v>Sim</v>
      </c>
      <c r="O2705" t="str">
        <f>IFERROR(INDEX(tEditais[SRP],MATCH(tItens[[#This Row],[Edital]],tEditais[Edital],0)),"Não")</f>
        <v>Sim</v>
      </c>
      <c r="P2705" s="4">
        <f>IF(COUNTIFS(INDEX(tItens[Edital],1):tItens[[#This Row],[Edital]],tItens[[#This Row],[Edital]],INDEX(tItens[Produto],1):tItens[[#This Row],[Produto]],tItens[[#This Row],[Produto]])=1,1,0)</f>
        <v>1</v>
      </c>
    </row>
    <row r="2706" spans="1:16" x14ac:dyDescent="0.25">
      <c r="A2706" t="s">
        <v>1282</v>
      </c>
      <c r="B2706">
        <v>31</v>
      </c>
      <c r="C2706" t="s">
        <v>5658</v>
      </c>
      <c r="D2706" t="s">
        <v>62</v>
      </c>
      <c r="E2706" s="13">
        <v>1000</v>
      </c>
      <c r="F2706" s="12">
        <v>6.78</v>
      </c>
      <c r="G2706" t="str">
        <f>IFERROR(INDEX(tEditais[Órgão],MATCH(tItens[[#This Row],[Edital]],tEditais[Edital],0)),"")</f>
        <v>MUNICIPIO DE RIO NOVO</v>
      </c>
      <c r="H2706" t="str">
        <f>IFERROR(INDEX(tEditais[UF],MATCH(tItens[[#This Row],[Edital]],tEditais[Edital],0)),"")</f>
        <v>MG</v>
      </c>
      <c r="I2706" s="11">
        <f>IFERROR(INDEX(tEditais[Encerramento],MATCH(tItens[[#This Row],[Edital]],tEditais[Edital],0)),"")</f>
        <v>46304.333333333336</v>
      </c>
      <c r="J2706" t="str">
        <f>IFERROR(INDEX(tProdutos[Classe],MATCH(tItens[[#This Row],[Produto]],tProdutos[Produto],0)),"produto não cadastrado")</f>
        <v>NÚCLEO</v>
      </c>
      <c r="K2706" s="12">
        <f>tItens[[#This Row],[Qtd]]*tItens[[#This Row],[Vlr unit]]</f>
        <v>6780</v>
      </c>
      <c r="L2706" s="6">
        <f>IFERROR(IF(INDEX(tProdutos[Desconto homologado],MATCH(tItens[[#This Row],[Produto]],tProdutos[Produto],0))="",DescontoPadrao,INDEX(tProdutos[Desconto homologado],MATCH(tItens[[#This Row],[Produto]],tProdutos[Produto],0))),DescontoPadrao)</f>
        <v>0.3</v>
      </c>
      <c r="M2706" s="12">
        <f>tItens[[#This Row],[Valor]]*(1-tItens[[#This Row],[Desconto]])</f>
        <v>4746</v>
      </c>
      <c r="N2706" t="str">
        <f>IFERROR(INDEX(tProdutos[Foco],MATCH(tItens[[#This Row],[Produto]],tProdutos[Produto],0)),"Não")</f>
        <v>Sim</v>
      </c>
      <c r="O2706" t="str">
        <f>IFERROR(INDEX(tEditais[SRP],MATCH(tItens[[#This Row],[Edital]],tEditais[Edital],0)),"Não")</f>
        <v>Sim</v>
      </c>
      <c r="P2706" s="4">
        <f>IF(COUNTIFS(INDEX(tItens[Edital],1):tItens[[#This Row],[Edital]],tItens[[#This Row],[Edital]],INDEX(tItens[Produto],1):tItens[[#This Row],[Produto]],tItens[[#This Row],[Produto]])=1,1,0)</f>
        <v>0</v>
      </c>
    </row>
    <row r="2707" spans="1:16" x14ac:dyDescent="0.25">
      <c r="A2707" t="s">
        <v>1282</v>
      </c>
      <c r="B2707">
        <v>44</v>
      </c>
      <c r="C2707" t="s">
        <v>5659</v>
      </c>
      <c r="D2707" t="s">
        <v>73</v>
      </c>
      <c r="E2707" s="13">
        <v>2000</v>
      </c>
      <c r="F2707" s="12">
        <v>1.69</v>
      </c>
      <c r="G2707" t="str">
        <f>IFERROR(INDEX(tEditais[Órgão],MATCH(tItens[[#This Row],[Edital]],tEditais[Edital],0)),"")</f>
        <v>MUNICIPIO DE RIO NOVO</v>
      </c>
      <c r="H2707" t="str">
        <f>IFERROR(INDEX(tEditais[UF],MATCH(tItens[[#This Row],[Edital]],tEditais[Edital],0)),"")</f>
        <v>MG</v>
      </c>
      <c r="I2707" s="11">
        <f>IFERROR(INDEX(tEditais[Encerramento],MATCH(tItens[[#This Row],[Edital]],tEditais[Edital],0)),"")</f>
        <v>46304.333333333336</v>
      </c>
      <c r="J2707" t="str">
        <f>IFERROR(INDEX(tProdutos[Classe],MATCH(tItens[[#This Row],[Produto]],tProdutos[Produto],0)),"produto não cadastrado")</f>
        <v>NÚCLEO</v>
      </c>
      <c r="K2707" s="12">
        <f>tItens[[#This Row],[Qtd]]*tItens[[#This Row],[Vlr unit]]</f>
        <v>3380</v>
      </c>
      <c r="L2707" s="6">
        <f>IFERROR(IF(INDEX(tProdutos[Desconto homologado],MATCH(tItens[[#This Row],[Produto]],tProdutos[Produto],0))="",DescontoPadrao,INDEX(tProdutos[Desconto homologado],MATCH(tItens[[#This Row],[Produto]],tProdutos[Produto],0))),DescontoPadrao)</f>
        <v>0.37</v>
      </c>
      <c r="M2707" s="12">
        <f>tItens[[#This Row],[Valor]]*(1-tItens[[#This Row],[Desconto]])</f>
        <v>2129.4</v>
      </c>
      <c r="N2707" t="str">
        <f>IFERROR(INDEX(tProdutos[Foco],MATCH(tItens[[#This Row],[Produto]],tProdutos[Produto],0)),"Não")</f>
        <v>Sim</v>
      </c>
      <c r="O2707" t="str">
        <f>IFERROR(INDEX(tEditais[SRP],MATCH(tItens[[#This Row],[Edital]],tEditais[Edital],0)),"Não")</f>
        <v>Sim</v>
      </c>
      <c r="P2707" s="4">
        <f>IF(COUNTIFS(INDEX(tItens[Edital],1):tItens[[#This Row],[Edital]],tItens[[#This Row],[Edital]],INDEX(tItens[Produto],1):tItens[[#This Row],[Produto]],tItens[[#This Row],[Produto]])=1,1,0)</f>
        <v>1</v>
      </c>
    </row>
    <row r="2708" spans="1:16" x14ac:dyDescent="0.25">
      <c r="A2708" t="s">
        <v>1282</v>
      </c>
      <c r="B2708">
        <v>49</v>
      </c>
      <c r="C2708" t="s">
        <v>5660</v>
      </c>
      <c r="D2708" t="s">
        <v>311</v>
      </c>
      <c r="E2708" s="13">
        <v>600</v>
      </c>
      <c r="F2708" s="12">
        <v>6.14</v>
      </c>
      <c r="G2708" t="str">
        <f>IFERROR(INDEX(tEditais[Órgão],MATCH(tItens[[#This Row],[Edital]],tEditais[Edital],0)),"")</f>
        <v>MUNICIPIO DE RIO NOVO</v>
      </c>
      <c r="H2708" t="str">
        <f>IFERROR(INDEX(tEditais[UF],MATCH(tItens[[#This Row],[Edital]],tEditais[Edital],0)),"")</f>
        <v>MG</v>
      </c>
      <c r="I2708" s="11">
        <f>IFERROR(INDEX(tEditais[Encerramento],MATCH(tItens[[#This Row],[Edital]],tEditais[Edital],0)),"")</f>
        <v>46304.333333333336</v>
      </c>
      <c r="J2708" t="str">
        <f>IFERROR(INDEX(tProdutos[Classe],MATCH(tItens[[#This Row],[Produto]],tProdutos[Produto],0)),"produto não cadastrado")</f>
        <v>FORA</v>
      </c>
      <c r="K2708" s="12">
        <f>tItens[[#This Row],[Qtd]]*tItens[[#This Row],[Vlr unit]]</f>
        <v>3684</v>
      </c>
      <c r="L2708" s="6">
        <f>IFERROR(IF(INDEX(tProdutos[Desconto homologado],MATCH(tItens[[#This Row],[Produto]],tProdutos[Produto],0))="",DescontoPadrao,INDEX(tProdutos[Desconto homologado],MATCH(tItens[[#This Row],[Produto]],tProdutos[Produto],0))),DescontoPadrao)</f>
        <v>0.29046182846371399</v>
      </c>
      <c r="M2708" s="12">
        <f>tItens[[#This Row],[Valor]]*(1-tItens[[#This Row],[Desconto]])</f>
        <v>2613.9386239396777</v>
      </c>
      <c r="N2708" t="str">
        <f>IFERROR(INDEX(tProdutos[Foco],MATCH(tItens[[#This Row],[Produto]],tProdutos[Produto],0)),"Não")</f>
        <v>Não</v>
      </c>
      <c r="O2708" t="str">
        <f>IFERROR(INDEX(tEditais[SRP],MATCH(tItens[[#This Row],[Edital]],tEditais[Edital],0)),"Não")</f>
        <v>Sim</v>
      </c>
      <c r="P2708" s="4">
        <f>IF(COUNTIFS(INDEX(tItens[Edital],1):tItens[[#This Row],[Edital]],tItens[[#This Row],[Edital]],INDEX(tItens[Produto],1):tItens[[#This Row],[Produto]],tItens[[#This Row],[Produto]])=1,1,0)</f>
        <v>1</v>
      </c>
    </row>
    <row r="2709" spans="1:16" x14ac:dyDescent="0.25">
      <c r="A2709" t="s">
        <v>1282</v>
      </c>
      <c r="B2709">
        <v>54</v>
      </c>
      <c r="C2709" t="s">
        <v>5661</v>
      </c>
      <c r="D2709" t="s">
        <v>187</v>
      </c>
      <c r="E2709" s="13">
        <v>1000</v>
      </c>
      <c r="F2709" s="12">
        <v>2.77</v>
      </c>
      <c r="G2709" t="str">
        <f>IFERROR(INDEX(tEditais[Órgão],MATCH(tItens[[#This Row],[Edital]],tEditais[Edital],0)),"")</f>
        <v>MUNICIPIO DE RIO NOVO</v>
      </c>
      <c r="H2709" t="str">
        <f>IFERROR(INDEX(tEditais[UF],MATCH(tItens[[#This Row],[Edital]],tEditais[Edital],0)),"")</f>
        <v>MG</v>
      </c>
      <c r="I2709" s="11">
        <f>IFERROR(INDEX(tEditais[Encerramento],MATCH(tItens[[#This Row],[Edital]],tEditais[Edital],0)),"")</f>
        <v>46304.333333333336</v>
      </c>
      <c r="J2709" t="str">
        <f>IFERROR(INDEX(tProdutos[Classe],MATCH(tItens[[#This Row],[Produto]],tProdutos[Produto],0)),"produto não cadastrado")</f>
        <v>DISPUTADO</v>
      </c>
      <c r="K2709" s="12">
        <f>tItens[[#This Row],[Qtd]]*tItens[[#This Row],[Vlr unit]]</f>
        <v>2770</v>
      </c>
      <c r="L2709" s="6">
        <f>IFERROR(IF(INDEX(tProdutos[Desconto homologado],MATCH(tItens[[#This Row],[Produto]],tProdutos[Produto],0))="",DescontoPadrao,INDEX(tProdutos[Desconto homologado],MATCH(tItens[[#This Row],[Produto]],tProdutos[Produto],0))),DescontoPadrao)</f>
        <v>0.44298820445609399</v>
      </c>
      <c r="M2709" s="12">
        <f>tItens[[#This Row],[Valor]]*(1-tItens[[#This Row],[Desconto]])</f>
        <v>1542.9226736566197</v>
      </c>
      <c r="N2709" t="str">
        <f>IFERROR(INDEX(tProdutos[Foco],MATCH(tItens[[#This Row],[Produto]],tProdutos[Produto],0)),"Não")</f>
        <v>Não</v>
      </c>
      <c r="O2709" t="str">
        <f>IFERROR(INDEX(tEditais[SRP],MATCH(tItens[[#This Row],[Edital]],tEditais[Edital],0)),"Não")</f>
        <v>Sim</v>
      </c>
      <c r="P2709" s="4">
        <f>IF(COUNTIFS(INDEX(tItens[Edital],1):tItens[[#This Row],[Edital]],tItens[[#This Row],[Edital]],INDEX(tItens[Produto],1):tItens[[#This Row],[Produto]],tItens[[#This Row],[Produto]])=1,1,0)</f>
        <v>1</v>
      </c>
    </row>
    <row r="2710" spans="1:16" x14ac:dyDescent="0.25">
      <c r="A2710" t="s">
        <v>1282</v>
      </c>
      <c r="B2710">
        <v>60</v>
      </c>
      <c r="C2710" t="s">
        <v>5662</v>
      </c>
      <c r="D2710" t="s">
        <v>60</v>
      </c>
      <c r="E2710" s="13">
        <v>600</v>
      </c>
      <c r="F2710" s="12">
        <v>37.07</v>
      </c>
      <c r="G2710" t="str">
        <f>IFERROR(INDEX(tEditais[Órgão],MATCH(tItens[[#This Row],[Edital]],tEditais[Edital],0)),"")</f>
        <v>MUNICIPIO DE RIO NOVO</v>
      </c>
      <c r="H2710" t="str">
        <f>IFERROR(INDEX(tEditais[UF],MATCH(tItens[[#This Row],[Edital]],tEditais[Edital],0)),"")</f>
        <v>MG</v>
      </c>
      <c r="I2710" s="11">
        <f>IFERROR(INDEX(tEditais[Encerramento],MATCH(tItens[[#This Row],[Edital]],tEditais[Edital],0)),"")</f>
        <v>46304.333333333336</v>
      </c>
      <c r="J2710" t="str">
        <f>IFERROR(INDEX(tProdutos[Classe],MATCH(tItens[[#This Row],[Produto]],tProdutos[Produto],0)),"produto não cadastrado")</f>
        <v>NÚCLEO</v>
      </c>
      <c r="K2710" s="12">
        <f>tItens[[#This Row],[Qtd]]*tItens[[#This Row],[Vlr unit]]</f>
        <v>22242</v>
      </c>
      <c r="L2710" s="6">
        <f>IFERROR(IF(INDEX(tProdutos[Desconto homologado],MATCH(tItens[[#This Row],[Produto]],tProdutos[Produto],0))="",DescontoPadrao,INDEX(tProdutos[Desconto homologado],MATCH(tItens[[#This Row],[Produto]],tProdutos[Produto],0))),DescontoPadrao)</f>
        <v>0.23</v>
      </c>
      <c r="M2710" s="12">
        <f>tItens[[#This Row],[Valor]]*(1-tItens[[#This Row],[Desconto]])</f>
        <v>17126.34</v>
      </c>
      <c r="N2710" t="str">
        <f>IFERROR(INDEX(tProdutos[Foco],MATCH(tItens[[#This Row],[Produto]],tProdutos[Produto],0)),"Não")</f>
        <v>Sim</v>
      </c>
      <c r="O2710" t="str">
        <f>IFERROR(INDEX(tEditais[SRP],MATCH(tItens[[#This Row],[Edital]],tEditais[Edital],0)),"Não")</f>
        <v>Sim</v>
      </c>
      <c r="P2710" s="4">
        <f>IF(COUNTIFS(INDEX(tItens[Edital],1):tItens[[#This Row],[Edital]],tItens[[#This Row],[Edital]],INDEX(tItens[Produto],1):tItens[[#This Row],[Produto]],tItens[[#This Row],[Produto]])=1,1,0)</f>
        <v>1</v>
      </c>
    </row>
    <row r="2711" spans="1:16" x14ac:dyDescent="0.25">
      <c r="A2711" t="s">
        <v>1282</v>
      </c>
      <c r="B2711">
        <v>62</v>
      </c>
      <c r="C2711" t="s">
        <v>4045</v>
      </c>
      <c r="D2711" t="s">
        <v>90</v>
      </c>
      <c r="E2711" s="13">
        <v>1200</v>
      </c>
      <c r="F2711" s="12">
        <v>4.9400000000000004</v>
      </c>
      <c r="G2711" t="str">
        <f>IFERROR(INDEX(tEditais[Órgão],MATCH(tItens[[#This Row],[Edital]],tEditais[Edital],0)),"")</f>
        <v>MUNICIPIO DE RIO NOVO</v>
      </c>
      <c r="H2711" t="str">
        <f>IFERROR(INDEX(tEditais[UF],MATCH(tItens[[#This Row],[Edital]],tEditais[Edital],0)),"")</f>
        <v>MG</v>
      </c>
      <c r="I2711" s="11">
        <f>IFERROR(INDEX(tEditais[Encerramento],MATCH(tItens[[#This Row],[Edital]],tEditais[Edital],0)),"")</f>
        <v>46304.333333333336</v>
      </c>
      <c r="J2711" t="str">
        <f>IFERROR(INDEX(tProdutos[Classe],MATCH(tItens[[#This Row],[Produto]],tProdutos[Produto],0)),"produto não cadastrado")</f>
        <v>DISPUTADO</v>
      </c>
      <c r="K2711" s="12">
        <f>tItens[[#This Row],[Qtd]]*tItens[[#This Row],[Vlr unit]]</f>
        <v>5928.0000000000009</v>
      </c>
      <c r="L2711" s="6">
        <f>IFERROR(IF(INDEX(tProdutos[Desconto homologado],MATCH(tItens[[#This Row],[Produto]],tProdutos[Produto],0))="",DescontoPadrao,INDEX(tProdutos[Desconto homologado],MATCH(tItens[[#This Row],[Produto]],tProdutos[Produto],0))),DescontoPadrao)</f>
        <v>0.25393823957010597</v>
      </c>
      <c r="M2711" s="12">
        <f>tItens[[#This Row],[Valor]]*(1-tItens[[#This Row],[Desconto]])</f>
        <v>4422.6541158284126</v>
      </c>
      <c r="N2711" t="str">
        <f>IFERROR(INDEX(tProdutos[Foco],MATCH(tItens[[#This Row],[Produto]],tProdutos[Produto],0)),"Não")</f>
        <v>Não</v>
      </c>
      <c r="O2711" t="str">
        <f>IFERROR(INDEX(tEditais[SRP],MATCH(tItens[[#This Row],[Edital]],tEditais[Edital],0)),"Não")</f>
        <v>Sim</v>
      </c>
      <c r="P2711" s="4">
        <f>IF(COUNTIFS(INDEX(tItens[Edital],1):tItens[[#This Row],[Edital]],tItens[[#This Row],[Edital]],INDEX(tItens[Produto],1):tItens[[#This Row],[Produto]],tItens[[#This Row],[Produto]])=1,1,0)</f>
        <v>1</v>
      </c>
    </row>
    <row r="2712" spans="1:16" x14ac:dyDescent="0.25">
      <c r="A2712" t="s">
        <v>1282</v>
      </c>
      <c r="B2712">
        <v>63</v>
      </c>
      <c r="C2712" t="s">
        <v>5663</v>
      </c>
      <c r="D2712" t="s">
        <v>90</v>
      </c>
      <c r="E2712" s="13">
        <v>600</v>
      </c>
      <c r="F2712" s="12">
        <v>6.19</v>
      </c>
      <c r="G2712" t="str">
        <f>IFERROR(INDEX(tEditais[Órgão],MATCH(tItens[[#This Row],[Edital]],tEditais[Edital],0)),"")</f>
        <v>MUNICIPIO DE RIO NOVO</v>
      </c>
      <c r="H2712" t="str">
        <f>IFERROR(INDEX(tEditais[UF],MATCH(tItens[[#This Row],[Edital]],tEditais[Edital],0)),"")</f>
        <v>MG</v>
      </c>
      <c r="I2712" s="11">
        <f>IFERROR(INDEX(tEditais[Encerramento],MATCH(tItens[[#This Row],[Edital]],tEditais[Edital],0)),"")</f>
        <v>46304.333333333336</v>
      </c>
      <c r="J2712" t="str">
        <f>IFERROR(INDEX(tProdutos[Classe],MATCH(tItens[[#This Row],[Produto]],tProdutos[Produto],0)),"produto não cadastrado")</f>
        <v>DISPUTADO</v>
      </c>
      <c r="K2712" s="12">
        <f>tItens[[#This Row],[Qtd]]*tItens[[#This Row],[Vlr unit]]</f>
        <v>3714.0000000000005</v>
      </c>
      <c r="L2712" s="6">
        <f>IFERROR(IF(INDEX(tProdutos[Desconto homologado],MATCH(tItens[[#This Row],[Produto]],tProdutos[Produto],0))="",DescontoPadrao,INDEX(tProdutos[Desconto homologado],MATCH(tItens[[#This Row],[Produto]],tProdutos[Produto],0))),DescontoPadrao)</f>
        <v>0.25393823957010597</v>
      </c>
      <c r="M2712" s="12">
        <f>tItens[[#This Row],[Valor]]*(1-tItens[[#This Row],[Desconto]])</f>
        <v>2770.8733782366266</v>
      </c>
      <c r="N2712" t="str">
        <f>IFERROR(INDEX(tProdutos[Foco],MATCH(tItens[[#This Row],[Produto]],tProdutos[Produto],0)),"Não")</f>
        <v>Não</v>
      </c>
      <c r="O2712" t="str">
        <f>IFERROR(INDEX(tEditais[SRP],MATCH(tItens[[#This Row],[Edital]],tEditais[Edital],0)),"Não")</f>
        <v>Sim</v>
      </c>
      <c r="P2712" s="4">
        <f>IF(COUNTIFS(INDEX(tItens[Edital],1):tItens[[#This Row],[Edital]],tItens[[#This Row],[Edital]],INDEX(tItens[Produto],1):tItens[[#This Row],[Produto]],tItens[[#This Row],[Produto]])=1,1,0)</f>
        <v>0</v>
      </c>
    </row>
    <row r="2713" spans="1:16" x14ac:dyDescent="0.25">
      <c r="A2713" t="s">
        <v>1282</v>
      </c>
      <c r="B2713">
        <v>64</v>
      </c>
      <c r="C2713" t="s">
        <v>5664</v>
      </c>
      <c r="D2713" t="s">
        <v>233</v>
      </c>
      <c r="E2713" s="13">
        <v>1000</v>
      </c>
      <c r="F2713" s="12">
        <v>11.23</v>
      </c>
      <c r="G2713" t="str">
        <f>IFERROR(INDEX(tEditais[Órgão],MATCH(tItens[[#This Row],[Edital]],tEditais[Edital],0)),"")</f>
        <v>MUNICIPIO DE RIO NOVO</v>
      </c>
      <c r="H2713" t="str">
        <f>IFERROR(INDEX(tEditais[UF],MATCH(tItens[[#This Row],[Edital]],tEditais[Edital],0)),"")</f>
        <v>MG</v>
      </c>
      <c r="I2713" s="11">
        <f>IFERROR(INDEX(tEditais[Encerramento],MATCH(tItens[[#This Row],[Edital]],tEditais[Edital],0)),"")</f>
        <v>46304.333333333336</v>
      </c>
      <c r="J2713" t="str">
        <f>IFERROR(INDEX(tProdutos[Classe],MATCH(tItens[[#This Row],[Produto]],tProdutos[Produto],0)),"produto não cadastrado")</f>
        <v>FORA</v>
      </c>
      <c r="K2713" s="12">
        <f>tItens[[#This Row],[Qtd]]*tItens[[#This Row],[Vlr unit]]</f>
        <v>11230</v>
      </c>
      <c r="L2713" s="6">
        <f>IFERROR(IF(INDEX(tProdutos[Desconto homologado],MATCH(tItens[[#This Row],[Produto]],tProdutos[Produto],0))="",DescontoPadrao,INDEX(tProdutos[Desconto homologado],MATCH(tItens[[#This Row],[Produto]],tProdutos[Produto],0))),DescontoPadrao)</f>
        <v>0.246270084162204</v>
      </c>
      <c r="M2713" s="12">
        <f>tItens[[#This Row],[Valor]]*(1-tItens[[#This Row],[Desconto]])</f>
        <v>8464.3869548584498</v>
      </c>
      <c r="N2713" t="str">
        <f>IFERROR(INDEX(tProdutos[Foco],MATCH(tItens[[#This Row],[Produto]],tProdutos[Produto],0)),"Não")</f>
        <v>Não</v>
      </c>
      <c r="O2713" t="str">
        <f>IFERROR(INDEX(tEditais[SRP],MATCH(tItens[[#This Row],[Edital]],tEditais[Edital],0)),"Não")</f>
        <v>Sim</v>
      </c>
      <c r="P2713" s="4">
        <f>IF(COUNTIFS(INDEX(tItens[Edital],1):tItens[[#This Row],[Edital]],tItens[[#This Row],[Edital]],INDEX(tItens[Produto],1):tItens[[#This Row],[Produto]],tItens[[#This Row],[Produto]])=1,1,0)</f>
        <v>1</v>
      </c>
    </row>
    <row r="2714" spans="1:16" x14ac:dyDescent="0.25">
      <c r="A2714" t="s">
        <v>1282</v>
      </c>
      <c r="B2714">
        <v>65</v>
      </c>
      <c r="C2714" t="s">
        <v>5665</v>
      </c>
      <c r="D2714" t="s">
        <v>75</v>
      </c>
      <c r="E2714" s="13">
        <v>300</v>
      </c>
      <c r="F2714" s="12">
        <v>1.74</v>
      </c>
      <c r="G2714" t="str">
        <f>IFERROR(INDEX(tEditais[Órgão],MATCH(tItens[[#This Row],[Edital]],tEditais[Edital],0)),"")</f>
        <v>MUNICIPIO DE RIO NOVO</v>
      </c>
      <c r="H2714" t="str">
        <f>IFERROR(INDEX(tEditais[UF],MATCH(tItens[[#This Row],[Edital]],tEditais[Edital],0)),"")</f>
        <v>MG</v>
      </c>
      <c r="I2714" s="11">
        <f>IFERROR(INDEX(tEditais[Encerramento],MATCH(tItens[[#This Row],[Edital]],tEditais[Edital],0)),"")</f>
        <v>46304.333333333336</v>
      </c>
      <c r="J2714" t="str">
        <f>IFERROR(INDEX(tProdutos[Classe],MATCH(tItens[[#This Row],[Produto]],tProdutos[Produto],0)),"produto não cadastrado")</f>
        <v>NÚCLEO</v>
      </c>
      <c r="K2714" s="12">
        <f>tItens[[#This Row],[Qtd]]*tItens[[#This Row],[Vlr unit]]</f>
        <v>522</v>
      </c>
      <c r="L2714" s="6">
        <f>IFERROR(IF(INDEX(tProdutos[Desconto homologado],MATCH(tItens[[#This Row],[Produto]],tProdutos[Produto],0))="",DescontoPadrao,INDEX(tProdutos[Desconto homologado],MATCH(tItens[[#This Row],[Produto]],tProdutos[Produto],0))),DescontoPadrao)</f>
        <v>0.26</v>
      </c>
      <c r="M2714" s="12">
        <f>tItens[[#This Row],[Valor]]*(1-tItens[[#This Row],[Desconto]])</f>
        <v>386.28</v>
      </c>
      <c r="N2714" t="str">
        <f>IFERROR(INDEX(tProdutos[Foco],MATCH(tItens[[#This Row],[Produto]],tProdutos[Produto],0)),"Não")</f>
        <v>Sim</v>
      </c>
      <c r="O2714" t="str">
        <f>IFERROR(INDEX(tEditais[SRP],MATCH(tItens[[#This Row],[Edital]],tEditais[Edital],0)),"Não")</f>
        <v>Sim</v>
      </c>
      <c r="P2714" s="4">
        <f>IF(COUNTIFS(INDEX(tItens[Edital],1):tItens[[#This Row],[Edital]],tItens[[#This Row],[Edital]],INDEX(tItens[Produto],1):tItens[[#This Row],[Produto]],tItens[[#This Row],[Produto]])=1,1,0)</f>
        <v>1</v>
      </c>
    </row>
    <row r="2715" spans="1:16" x14ac:dyDescent="0.25">
      <c r="A2715" t="s">
        <v>1282</v>
      </c>
      <c r="B2715">
        <v>66</v>
      </c>
      <c r="C2715" t="s">
        <v>5666</v>
      </c>
      <c r="D2715" t="s">
        <v>75</v>
      </c>
      <c r="E2715" s="13">
        <v>500</v>
      </c>
      <c r="F2715" s="12">
        <v>1.57</v>
      </c>
      <c r="G2715" t="str">
        <f>IFERROR(INDEX(tEditais[Órgão],MATCH(tItens[[#This Row],[Edital]],tEditais[Edital],0)),"")</f>
        <v>MUNICIPIO DE RIO NOVO</v>
      </c>
      <c r="H2715" t="str">
        <f>IFERROR(INDEX(tEditais[UF],MATCH(tItens[[#This Row],[Edital]],tEditais[Edital],0)),"")</f>
        <v>MG</v>
      </c>
      <c r="I2715" s="11">
        <f>IFERROR(INDEX(tEditais[Encerramento],MATCH(tItens[[#This Row],[Edital]],tEditais[Edital],0)),"")</f>
        <v>46304.333333333336</v>
      </c>
      <c r="J2715" t="str">
        <f>IFERROR(INDEX(tProdutos[Classe],MATCH(tItens[[#This Row],[Produto]],tProdutos[Produto],0)),"produto não cadastrado")</f>
        <v>NÚCLEO</v>
      </c>
      <c r="K2715" s="12">
        <f>tItens[[#This Row],[Qtd]]*tItens[[#This Row],[Vlr unit]]</f>
        <v>785</v>
      </c>
      <c r="L2715" s="6">
        <f>IFERROR(IF(INDEX(tProdutos[Desconto homologado],MATCH(tItens[[#This Row],[Produto]],tProdutos[Produto],0))="",DescontoPadrao,INDEX(tProdutos[Desconto homologado],MATCH(tItens[[#This Row],[Produto]],tProdutos[Produto],0))),DescontoPadrao)</f>
        <v>0.26</v>
      </c>
      <c r="M2715" s="12">
        <f>tItens[[#This Row],[Valor]]*(1-tItens[[#This Row],[Desconto]])</f>
        <v>580.9</v>
      </c>
      <c r="N2715" t="str">
        <f>IFERROR(INDEX(tProdutos[Foco],MATCH(tItens[[#This Row],[Produto]],tProdutos[Produto],0)),"Não")</f>
        <v>Sim</v>
      </c>
      <c r="O2715" t="str">
        <f>IFERROR(INDEX(tEditais[SRP],MATCH(tItens[[#This Row],[Edital]],tEditais[Edital],0)),"Não")</f>
        <v>Sim</v>
      </c>
      <c r="P2715" s="4">
        <f>IF(COUNTIFS(INDEX(tItens[Edital],1):tItens[[#This Row],[Edital]],tItens[[#This Row],[Edital]],INDEX(tItens[Produto],1):tItens[[#This Row],[Produto]],tItens[[#This Row],[Produto]])=1,1,0)</f>
        <v>0</v>
      </c>
    </row>
    <row r="2716" spans="1:16" x14ac:dyDescent="0.25">
      <c r="A2716" t="s">
        <v>1282</v>
      </c>
      <c r="B2716">
        <v>67</v>
      </c>
      <c r="C2716" t="s">
        <v>5667</v>
      </c>
      <c r="D2716" t="s">
        <v>75</v>
      </c>
      <c r="E2716" s="13">
        <v>600</v>
      </c>
      <c r="F2716" s="12">
        <v>1.27</v>
      </c>
      <c r="G2716" t="str">
        <f>IFERROR(INDEX(tEditais[Órgão],MATCH(tItens[[#This Row],[Edital]],tEditais[Edital],0)),"")</f>
        <v>MUNICIPIO DE RIO NOVO</v>
      </c>
      <c r="H2716" t="str">
        <f>IFERROR(INDEX(tEditais[UF],MATCH(tItens[[#This Row],[Edital]],tEditais[Edital],0)),"")</f>
        <v>MG</v>
      </c>
      <c r="I2716" s="11">
        <f>IFERROR(INDEX(tEditais[Encerramento],MATCH(tItens[[#This Row],[Edital]],tEditais[Edital],0)),"")</f>
        <v>46304.333333333336</v>
      </c>
      <c r="J2716" t="str">
        <f>IFERROR(INDEX(tProdutos[Classe],MATCH(tItens[[#This Row],[Produto]],tProdutos[Produto],0)),"produto não cadastrado")</f>
        <v>NÚCLEO</v>
      </c>
      <c r="K2716" s="12">
        <f>tItens[[#This Row],[Qtd]]*tItens[[#This Row],[Vlr unit]]</f>
        <v>762</v>
      </c>
      <c r="L2716" s="6">
        <f>IFERROR(IF(INDEX(tProdutos[Desconto homologado],MATCH(tItens[[#This Row],[Produto]],tProdutos[Produto],0))="",DescontoPadrao,INDEX(tProdutos[Desconto homologado],MATCH(tItens[[#This Row],[Produto]],tProdutos[Produto],0))),DescontoPadrao)</f>
        <v>0.26</v>
      </c>
      <c r="M2716" s="12">
        <f>tItens[[#This Row],[Valor]]*(1-tItens[[#This Row],[Desconto]])</f>
        <v>563.88</v>
      </c>
      <c r="N2716" t="str">
        <f>IFERROR(INDEX(tProdutos[Foco],MATCH(tItens[[#This Row],[Produto]],tProdutos[Produto],0)),"Não")</f>
        <v>Sim</v>
      </c>
      <c r="O2716" t="str">
        <f>IFERROR(INDEX(tEditais[SRP],MATCH(tItens[[#This Row],[Edital]],tEditais[Edital],0)),"Não")</f>
        <v>Sim</v>
      </c>
      <c r="P2716" s="4">
        <f>IF(COUNTIFS(INDEX(tItens[Edital],1):tItens[[#This Row],[Edital]],tItens[[#This Row],[Edital]],INDEX(tItens[Produto],1):tItens[[#This Row],[Produto]],tItens[[#This Row],[Produto]])=1,1,0)</f>
        <v>0</v>
      </c>
    </row>
    <row r="2717" spans="1:16" x14ac:dyDescent="0.25">
      <c r="A2717" t="s">
        <v>1282</v>
      </c>
      <c r="B2717">
        <v>74</v>
      </c>
      <c r="C2717" t="s">
        <v>5668</v>
      </c>
      <c r="D2717" t="s">
        <v>271</v>
      </c>
      <c r="E2717" s="13">
        <v>500</v>
      </c>
      <c r="F2717" s="12">
        <v>10.029999999999999</v>
      </c>
      <c r="G2717" t="str">
        <f>IFERROR(INDEX(tEditais[Órgão],MATCH(tItens[[#This Row],[Edital]],tEditais[Edital],0)),"")</f>
        <v>MUNICIPIO DE RIO NOVO</v>
      </c>
      <c r="H2717" t="str">
        <f>IFERROR(INDEX(tEditais[UF],MATCH(tItens[[#This Row],[Edital]],tEditais[Edital],0)),"")</f>
        <v>MG</v>
      </c>
      <c r="I2717" s="11">
        <f>IFERROR(INDEX(tEditais[Encerramento],MATCH(tItens[[#This Row],[Edital]],tEditais[Edital],0)),"")</f>
        <v>46304.333333333336</v>
      </c>
      <c r="J2717" t="str">
        <f>IFERROR(INDEX(tProdutos[Classe],MATCH(tItens[[#This Row],[Produto]],tProdutos[Produto],0)),"produto não cadastrado")</f>
        <v>FORA</v>
      </c>
      <c r="K2717" s="12">
        <f>tItens[[#This Row],[Qtd]]*tItens[[#This Row],[Vlr unit]]</f>
        <v>5015</v>
      </c>
      <c r="L2717" s="6">
        <f>IFERROR(IF(INDEX(tProdutos[Desconto homologado],MATCH(tItens[[#This Row],[Produto]],tProdutos[Produto],0))="",DescontoPadrao,INDEX(tProdutos[Desconto homologado],MATCH(tItens[[#This Row],[Produto]],tProdutos[Produto],0))),DescontoPadrao)</f>
        <v>0.35422602089268801</v>
      </c>
      <c r="M2717" s="12">
        <f>tItens[[#This Row],[Valor]]*(1-tItens[[#This Row],[Desconto]])</f>
        <v>3238.55650522317</v>
      </c>
      <c r="N2717" t="str">
        <f>IFERROR(INDEX(tProdutos[Foco],MATCH(tItens[[#This Row],[Produto]],tProdutos[Produto],0)),"Não")</f>
        <v>Não</v>
      </c>
      <c r="O2717" t="str">
        <f>IFERROR(INDEX(tEditais[SRP],MATCH(tItens[[#This Row],[Edital]],tEditais[Edital],0)),"Não")</f>
        <v>Sim</v>
      </c>
      <c r="P2717" s="4">
        <f>IF(COUNTIFS(INDEX(tItens[Edital],1):tItens[[#This Row],[Edital]],tItens[[#This Row],[Edital]],INDEX(tItens[Produto],1):tItens[[#This Row],[Produto]],tItens[[#This Row],[Produto]])=1,1,0)</f>
        <v>1</v>
      </c>
    </row>
    <row r="2718" spans="1:16" x14ac:dyDescent="0.25">
      <c r="A2718" t="s">
        <v>1282</v>
      </c>
      <c r="B2718">
        <v>75</v>
      </c>
      <c r="C2718" t="s">
        <v>5669</v>
      </c>
      <c r="D2718" t="s">
        <v>271</v>
      </c>
      <c r="E2718" s="13">
        <v>500</v>
      </c>
      <c r="F2718" s="12">
        <v>9.2200000000000006</v>
      </c>
      <c r="G2718" t="str">
        <f>IFERROR(INDEX(tEditais[Órgão],MATCH(tItens[[#This Row],[Edital]],tEditais[Edital],0)),"")</f>
        <v>MUNICIPIO DE RIO NOVO</v>
      </c>
      <c r="H2718" t="str">
        <f>IFERROR(INDEX(tEditais[UF],MATCH(tItens[[#This Row],[Edital]],tEditais[Edital],0)),"")</f>
        <v>MG</v>
      </c>
      <c r="I2718" s="11">
        <f>IFERROR(INDEX(tEditais[Encerramento],MATCH(tItens[[#This Row],[Edital]],tEditais[Edital],0)),"")</f>
        <v>46304.333333333336</v>
      </c>
      <c r="J2718" t="str">
        <f>IFERROR(INDEX(tProdutos[Classe],MATCH(tItens[[#This Row],[Produto]],tProdutos[Produto],0)),"produto não cadastrado")</f>
        <v>FORA</v>
      </c>
      <c r="K2718" s="12">
        <f>tItens[[#This Row],[Qtd]]*tItens[[#This Row],[Vlr unit]]</f>
        <v>4610</v>
      </c>
      <c r="L2718" s="6">
        <f>IFERROR(IF(INDEX(tProdutos[Desconto homologado],MATCH(tItens[[#This Row],[Produto]],tProdutos[Produto],0))="",DescontoPadrao,INDEX(tProdutos[Desconto homologado],MATCH(tItens[[#This Row],[Produto]],tProdutos[Produto],0))),DescontoPadrao)</f>
        <v>0.35422602089268801</v>
      </c>
      <c r="M2718" s="12">
        <f>tItens[[#This Row],[Valor]]*(1-tItens[[#This Row],[Desconto]])</f>
        <v>2977.0180436847086</v>
      </c>
      <c r="N2718" t="str">
        <f>IFERROR(INDEX(tProdutos[Foco],MATCH(tItens[[#This Row],[Produto]],tProdutos[Produto],0)),"Não")</f>
        <v>Não</v>
      </c>
      <c r="O2718" t="str">
        <f>IFERROR(INDEX(tEditais[SRP],MATCH(tItens[[#This Row],[Edital]],tEditais[Edital],0)),"Não")</f>
        <v>Sim</v>
      </c>
      <c r="P2718" s="4">
        <f>IF(COUNTIFS(INDEX(tItens[Edital],1):tItens[[#This Row],[Edital]],tItens[[#This Row],[Edital]],INDEX(tItens[Produto],1):tItens[[#This Row],[Produto]],tItens[[#This Row],[Produto]])=1,1,0)</f>
        <v>0</v>
      </c>
    </row>
    <row r="2719" spans="1:16" x14ac:dyDescent="0.25">
      <c r="A2719" t="s">
        <v>1282</v>
      </c>
      <c r="B2719">
        <v>87</v>
      </c>
      <c r="C2719" t="s">
        <v>5670</v>
      </c>
      <c r="D2719" t="s">
        <v>142</v>
      </c>
      <c r="E2719" s="13">
        <v>800</v>
      </c>
      <c r="F2719" s="12">
        <v>10.75</v>
      </c>
      <c r="G2719" t="str">
        <f>IFERROR(INDEX(tEditais[Órgão],MATCH(tItens[[#This Row],[Edital]],tEditais[Edital],0)),"")</f>
        <v>MUNICIPIO DE RIO NOVO</v>
      </c>
      <c r="H2719" t="str">
        <f>IFERROR(INDEX(tEditais[UF],MATCH(tItens[[#This Row],[Edital]],tEditais[Edital],0)),"")</f>
        <v>MG</v>
      </c>
      <c r="I2719" s="11">
        <f>IFERROR(INDEX(tEditais[Encerramento],MATCH(tItens[[#This Row],[Edital]],tEditais[Edital],0)),"")</f>
        <v>46304.333333333336</v>
      </c>
      <c r="J2719" t="str">
        <f>IFERROR(INDEX(tProdutos[Classe],MATCH(tItens[[#This Row],[Produto]],tProdutos[Produto],0)),"produto não cadastrado")</f>
        <v>DISPUTADO</v>
      </c>
      <c r="K2719" s="12">
        <f>tItens[[#This Row],[Qtd]]*tItens[[#This Row],[Vlr unit]]</f>
        <v>8600</v>
      </c>
      <c r="L2719" s="6">
        <f>IFERROR(IF(INDEX(tProdutos[Desconto homologado],MATCH(tItens[[#This Row],[Produto]],tProdutos[Produto],0))="",DescontoPadrao,INDEX(tProdutos[Desconto homologado],MATCH(tItens[[#This Row],[Produto]],tProdutos[Produto],0))),DescontoPadrao)</f>
        <v>0.37093619495691699</v>
      </c>
      <c r="M2719" s="12">
        <f>tItens[[#This Row],[Valor]]*(1-tItens[[#This Row],[Desconto]])</f>
        <v>5409.948723370514</v>
      </c>
      <c r="N2719" t="str">
        <f>IFERROR(INDEX(tProdutos[Foco],MATCH(tItens[[#This Row],[Produto]],tProdutos[Produto],0)),"Não")</f>
        <v>Não</v>
      </c>
      <c r="O2719" t="str">
        <f>IFERROR(INDEX(tEditais[SRP],MATCH(tItens[[#This Row],[Edital]],tEditais[Edital],0)),"Não")</f>
        <v>Sim</v>
      </c>
      <c r="P2719" s="4">
        <f>IF(COUNTIFS(INDEX(tItens[Edital],1):tItens[[#This Row],[Edital]],tItens[[#This Row],[Edital]],INDEX(tItens[Produto],1):tItens[[#This Row],[Produto]],tItens[[#This Row],[Produto]])=1,1,0)</f>
        <v>1</v>
      </c>
    </row>
    <row r="2720" spans="1:16" x14ac:dyDescent="0.25">
      <c r="A2720" t="s">
        <v>1282</v>
      </c>
      <c r="B2720">
        <v>91</v>
      </c>
      <c r="C2720" t="s">
        <v>5671</v>
      </c>
      <c r="D2720" t="s">
        <v>339</v>
      </c>
      <c r="E2720" s="13">
        <v>4000</v>
      </c>
      <c r="F2720" s="12">
        <v>2.72</v>
      </c>
      <c r="G2720" t="str">
        <f>IFERROR(INDEX(tEditais[Órgão],MATCH(tItens[[#This Row],[Edital]],tEditais[Edital],0)),"")</f>
        <v>MUNICIPIO DE RIO NOVO</v>
      </c>
      <c r="H2720" t="str">
        <f>IFERROR(INDEX(tEditais[UF],MATCH(tItens[[#This Row],[Edital]],tEditais[Edital],0)),"")</f>
        <v>MG</v>
      </c>
      <c r="I2720" s="11">
        <f>IFERROR(INDEX(tEditais[Encerramento],MATCH(tItens[[#This Row],[Edital]],tEditais[Edital],0)),"")</f>
        <v>46304.333333333336</v>
      </c>
      <c r="J2720" t="str">
        <f>IFERROR(INDEX(tProdutos[Classe],MATCH(tItens[[#This Row],[Produto]],tProdutos[Produto],0)),"produto não cadastrado")</f>
        <v>FORA</v>
      </c>
      <c r="K2720" s="12">
        <f>tItens[[#This Row],[Qtd]]*tItens[[#This Row],[Vlr unit]]</f>
        <v>10880</v>
      </c>
      <c r="L2720" s="6">
        <f>IFERROR(IF(INDEX(tProdutos[Desconto homologado],MATCH(tItens[[#This Row],[Produto]],tProdutos[Produto],0))="",DescontoPadrao,INDEX(tProdutos[Desconto homologado],MATCH(tItens[[#This Row],[Produto]],tProdutos[Produto],0))),DescontoPadrao)</f>
        <v>0.35388629091804102</v>
      </c>
      <c r="M2720" s="12">
        <f>tItens[[#This Row],[Valor]]*(1-tItens[[#This Row],[Desconto]])</f>
        <v>7029.717154811714</v>
      </c>
      <c r="N2720" t="str">
        <f>IFERROR(INDEX(tProdutos[Foco],MATCH(tItens[[#This Row],[Produto]],tProdutos[Produto],0)),"Não")</f>
        <v>Não</v>
      </c>
      <c r="O2720" t="str">
        <f>IFERROR(INDEX(tEditais[SRP],MATCH(tItens[[#This Row],[Edital]],tEditais[Edital],0)),"Não")</f>
        <v>Sim</v>
      </c>
      <c r="P2720" s="4">
        <f>IF(COUNTIFS(INDEX(tItens[Edital],1):tItens[[#This Row],[Edital]],tItens[[#This Row],[Edital]],INDEX(tItens[Produto],1):tItens[[#This Row],[Produto]],tItens[[#This Row],[Produto]])=1,1,0)</f>
        <v>1</v>
      </c>
    </row>
    <row r="2721" spans="1:16" x14ac:dyDescent="0.25">
      <c r="A2721" t="s">
        <v>1282</v>
      </c>
      <c r="B2721">
        <v>92</v>
      </c>
      <c r="C2721" t="s">
        <v>5672</v>
      </c>
      <c r="D2721" t="s">
        <v>339</v>
      </c>
      <c r="E2721" s="13">
        <v>4000</v>
      </c>
      <c r="F2721" s="12">
        <v>2.92</v>
      </c>
      <c r="G2721" t="str">
        <f>IFERROR(INDEX(tEditais[Órgão],MATCH(tItens[[#This Row],[Edital]],tEditais[Edital],0)),"")</f>
        <v>MUNICIPIO DE RIO NOVO</v>
      </c>
      <c r="H2721" t="str">
        <f>IFERROR(INDEX(tEditais[UF],MATCH(tItens[[#This Row],[Edital]],tEditais[Edital],0)),"")</f>
        <v>MG</v>
      </c>
      <c r="I2721" s="11">
        <f>IFERROR(INDEX(tEditais[Encerramento],MATCH(tItens[[#This Row],[Edital]],tEditais[Edital],0)),"")</f>
        <v>46304.333333333336</v>
      </c>
      <c r="J2721" t="str">
        <f>IFERROR(INDEX(tProdutos[Classe],MATCH(tItens[[#This Row],[Produto]],tProdutos[Produto],0)),"produto não cadastrado")</f>
        <v>FORA</v>
      </c>
      <c r="K2721" s="12">
        <f>tItens[[#This Row],[Qtd]]*tItens[[#This Row],[Vlr unit]]</f>
        <v>11680</v>
      </c>
      <c r="L2721" s="6">
        <f>IFERROR(IF(INDEX(tProdutos[Desconto homologado],MATCH(tItens[[#This Row],[Produto]],tProdutos[Produto],0))="",DescontoPadrao,INDEX(tProdutos[Desconto homologado],MATCH(tItens[[#This Row],[Produto]],tProdutos[Produto],0))),DescontoPadrao)</f>
        <v>0.35388629091804102</v>
      </c>
      <c r="M2721" s="12">
        <f>tItens[[#This Row],[Valor]]*(1-tItens[[#This Row],[Desconto]])</f>
        <v>7546.6081220772812</v>
      </c>
      <c r="N2721" t="str">
        <f>IFERROR(INDEX(tProdutos[Foco],MATCH(tItens[[#This Row],[Produto]],tProdutos[Produto],0)),"Não")</f>
        <v>Não</v>
      </c>
      <c r="O2721" t="str">
        <f>IFERROR(INDEX(tEditais[SRP],MATCH(tItens[[#This Row],[Edital]],tEditais[Edital],0)),"Não")</f>
        <v>Sim</v>
      </c>
      <c r="P2721" s="4">
        <f>IF(COUNTIFS(INDEX(tItens[Edital],1):tItens[[#This Row],[Edital]],tItens[[#This Row],[Edital]],INDEX(tItens[Produto],1):tItens[[#This Row],[Produto]],tItens[[#This Row],[Produto]])=1,1,0)</f>
        <v>0</v>
      </c>
    </row>
    <row r="2722" spans="1:16" x14ac:dyDescent="0.25">
      <c r="A2722" t="s">
        <v>1282</v>
      </c>
      <c r="B2722">
        <v>93</v>
      </c>
      <c r="C2722" t="s">
        <v>5673</v>
      </c>
      <c r="D2722" t="s">
        <v>339</v>
      </c>
      <c r="E2722" s="13">
        <v>4000</v>
      </c>
      <c r="F2722" s="12">
        <v>2.74</v>
      </c>
      <c r="G2722" t="str">
        <f>IFERROR(INDEX(tEditais[Órgão],MATCH(tItens[[#This Row],[Edital]],tEditais[Edital],0)),"")</f>
        <v>MUNICIPIO DE RIO NOVO</v>
      </c>
      <c r="H2722" t="str">
        <f>IFERROR(INDEX(tEditais[UF],MATCH(tItens[[#This Row],[Edital]],tEditais[Edital],0)),"")</f>
        <v>MG</v>
      </c>
      <c r="I2722" s="11">
        <f>IFERROR(INDEX(tEditais[Encerramento],MATCH(tItens[[#This Row],[Edital]],tEditais[Edital],0)),"")</f>
        <v>46304.333333333336</v>
      </c>
      <c r="J2722" t="str">
        <f>IFERROR(INDEX(tProdutos[Classe],MATCH(tItens[[#This Row],[Produto]],tProdutos[Produto],0)),"produto não cadastrado")</f>
        <v>FORA</v>
      </c>
      <c r="K2722" s="12">
        <f>tItens[[#This Row],[Qtd]]*tItens[[#This Row],[Vlr unit]]</f>
        <v>10960</v>
      </c>
      <c r="L2722" s="6">
        <f>IFERROR(IF(INDEX(tProdutos[Desconto homologado],MATCH(tItens[[#This Row],[Produto]],tProdutos[Produto],0))="",DescontoPadrao,INDEX(tProdutos[Desconto homologado],MATCH(tItens[[#This Row],[Produto]],tProdutos[Produto],0))),DescontoPadrao)</f>
        <v>0.35388629091804102</v>
      </c>
      <c r="M2722" s="12">
        <f>tItens[[#This Row],[Valor]]*(1-tItens[[#This Row],[Desconto]])</f>
        <v>7081.4062515382702</v>
      </c>
      <c r="N2722" t="str">
        <f>IFERROR(INDEX(tProdutos[Foco],MATCH(tItens[[#This Row],[Produto]],tProdutos[Produto],0)),"Não")</f>
        <v>Não</v>
      </c>
      <c r="O2722" t="str">
        <f>IFERROR(INDEX(tEditais[SRP],MATCH(tItens[[#This Row],[Edital]],tEditais[Edital],0)),"Não")</f>
        <v>Sim</v>
      </c>
      <c r="P2722" s="4">
        <f>IF(COUNTIFS(INDEX(tItens[Edital],1):tItens[[#This Row],[Edital]],tItens[[#This Row],[Edital]],INDEX(tItens[Produto],1):tItens[[#This Row],[Produto]],tItens[[#This Row],[Produto]])=1,1,0)</f>
        <v>0</v>
      </c>
    </row>
    <row r="2723" spans="1:16" x14ac:dyDescent="0.25">
      <c r="A2723" t="s">
        <v>1282</v>
      </c>
      <c r="B2723">
        <v>94</v>
      </c>
      <c r="C2723" t="s">
        <v>5674</v>
      </c>
      <c r="D2723" t="s">
        <v>339</v>
      </c>
      <c r="E2723" s="13">
        <v>4000</v>
      </c>
      <c r="F2723" s="12">
        <v>3.25</v>
      </c>
      <c r="G2723" t="str">
        <f>IFERROR(INDEX(tEditais[Órgão],MATCH(tItens[[#This Row],[Edital]],tEditais[Edital],0)),"")</f>
        <v>MUNICIPIO DE RIO NOVO</v>
      </c>
      <c r="H2723" t="str">
        <f>IFERROR(INDEX(tEditais[UF],MATCH(tItens[[#This Row],[Edital]],tEditais[Edital],0)),"")</f>
        <v>MG</v>
      </c>
      <c r="I2723" s="11">
        <f>IFERROR(INDEX(tEditais[Encerramento],MATCH(tItens[[#This Row],[Edital]],tEditais[Edital],0)),"")</f>
        <v>46304.333333333336</v>
      </c>
      <c r="J2723" t="str">
        <f>IFERROR(INDEX(tProdutos[Classe],MATCH(tItens[[#This Row],[Produto]],tProdutos[Produto],0)),"produto não cadastrado")</f>
        <v>FORA</v>
      </c>
      <c r="K2723" s="12">
        <f>tItens[[#This Row],[Qtd]]*tItens[[#This Row],[Vlr unit]]</f>
        <v>13000</v>
      </c>
      <c r="L2723" s="6">
        <f>IFERROR(IF(INDEX(tProdutos[Desconto homologado],MATCH(tItens[[#This Row],[Produto]],tProdutos[Produto],0))="",DescontoPadrao,INDEX(tProdutos[Desconto homologado],MATCH(tItens[[#This Row],[Produto]],tProdutos[Produto],0))),DescontoPadrao)</f>
        <v>0.35388629091804102</v>
      </c>
      <c r="M2723" s="12">
        <f>tItens[[#This Row],[Valor]]*(1-tItens[[#This Row],[Desconto]])</f>
        <v>8399.4782180654674</v>
      </c>
      <c r="N2723" t="str">
        <f>IFERROR(INDEX(tProdutos[Foco],MATCH(tItens[[#This Row],[Produto]],tProdutos[Produto],0)),"Não")</f>
        <v>Não</v>
      </c>
      <c r="O2723" t="str">
        <f>IFERROR(INDEX(tEditais[SRP],MATCH(tItens[[#This Row],[Edital]],tEditais[Edital],0)),"Não")</f>
        <v>Sim</v>
      </c>
      <c r="P2723" s="4">
        <f>IF(COUNTIFS(INDEX(tItens[Edital],1):tItens[[#This Row],[Edital]],tItens[[#This Row],[Edital]],INDEX(tItens[Produto],1):tItens[[#This Row],[Produto]],tItens[[#This Row],[Produto]])=1,1,0)</f>
        <v>0</v>
      </c>
    </row>
    <row r="2724" spans="1:16" x14ac:dyDescent="0.25">
      <c r="A2724" t="s">
        <v>1282</v>
      </c>
      <c r="B2724">
        <v>95</v>
      </c>
      <c r="C2724" t="s">
        <v>5675</v>
      </c>
      <c r="D2724" t="s">
        <v>345</v>
      </c>
      <c r="E2724" s="13">
        <v>3000</v>
      </c>
      <c r="F2724" s="12">
        <v>19.43</v>
      </c>
      <c r="G2724" t="str">
        <f>IFERROR(INDEX(tEditais[Órgão],MATCH(tItens[[#This Row],[Edital]],tEditais[Edital],0)),"")</f>
        <v>MUNICIPIO DE RIO NOVO</v>
      </c>
      <c r="H2724" t="str">
        <f>IFERROR(INDEX(tEditais[UF],MATCH(tItens[[#This Row],[Edital]],tEditais[Edital],0)),"")</f>
        <v>MG</v>
      </c>
      <c r="I2724" s="11">
        <f>IFERROR(INDEX(tEditais[Encerramento],MATCH(tItens[[#This Row],[Edital]],tEditais[Edital],0)),"")</f>
        <v>46304.333333333336</v>
      </c>
      <c r="J2724" t="str">
        <f>IFERROR(INDEX(tProdutos[Classe],MATCH(tItens[[#This Row],[Produto]],tProdutos[Produto],0)),"produto não cadastrado")</f>
        <v>FORA</v>
      </c>
      <c r="K2724" s="12">
        <f>tItens[[#This Row],[Qtd]]*tItens[[#This Row],[Vlr unit]]</f>
        <v>58290</v>
      </c>
      <c r="L2724" s="6">
        <f>IFERROR(IF(INDEX(tProdutos[Desconto homologado],MATCH(tItens[[#This Row],[Produto]],tProdutos[Produto],0))="",DescontoPadrao,INDEX(tProdutos[Desconto homologado],MATCH(tItens[[#This Row],[Produto]],tProdutos[Produto],0))),DescontoPadrao)</f>
        <v>0.412394275616498</v>
      </c>
      <c r="M2724" s="12">
        <f>tItens[[#This Row],[Valor]]*(1-tItens[[#This Row],[Desconto]])</f>
        <v>34251.537674314335</v>
      </c>
      <c r="N2724" t="str">
        <f>IFERROR(INDEX(tProdutos[Foco],MATCH(tItens[[#This Row],[Produto]],tProdutos[Produto],0)),"Não")</f>
        <v>Não</v>
      </c>
      <c r="O2724" t="str">
        <f>IFERROR(INDEX(tEditais[SRP],MATCH(tItens[[#This Row],[Edital]],tEditais[Edital],0)),"Não")</f>
        <v>Sim</v>
      </c>
      <c r="P2724" s="4">
        <f>IF(COUNTIFS(INDEX(tItens[Edital],1):tItens[[#This Row],[Edital]],tItens[[#This Row],[Edital]],INDEX(tItens[Produto],1):tItens[[#This Row],[Produto]],tItens[[#This Row],[Produto]])=1,1,0)</f>
        <v>1</v>
      </c>
    </row>
    <row r="2725" spans="1:16" x14ac:dyDescent="0.25">
      <c r="A2725" t="s">
        <v>1282</v>
      </c>
      <c r="B2725">
        <v>96</v>
      </c>
      <c r="C2725" t="s">
        <v>5676</v>
      </c>
      <c r="D2725" t="s">
        <v>345</v>
      </c>
      <c r="E2725" s="13">
        <v>3000</v>
      </c>
      <c r="F2725" s="12">
        <v>18.47</v>
      </c>
      <c r="G2725" t="str">
        <f>IFERROR(INDEX(tEditais[Órgão],MATCH(tItens[[#This Row],[Edital]],tEditais[Edital],0)),"")</f>
        <v>MUNICIPIO DE RIO NOVO</v>
      </c>
      <c r="H2725" t="str">
        <f>IFERROR(INDEX(tEditais[UF],MATCH(tItens[[#This Row],[Edital]],tEditais[Edital],0)),"")</f>
        <v>MG</v>
      </c>
      <c r="I2725" s="11">
        <f>IFERROR(INDEX(tEditais[Encerramento],MATCH(tItens[[#This Row],[Edital]],tEditais[Edital],0)),"")</f>
        <v>46304.333333333336</v>
      </c>
      <c r="J2725" t="str">
        <f>IFERROR(INDEX(tProdutos[Classe],MATCH(tItens[[#This Row],[Produto]],tProdutos[Produto],0)),"produto não cadastrado")</f>
        <v>FORA</v>
      </c>
      <c r="K2725" s="12">
        <f>tItens[[#This Row],[Qtd]]*tItens[[#This Row],[Vlr unit]]</f>
        <v>55410</v>
      </c>
      <c r="L2725" s="6">
        <f>IFERROR(IF(INDEX(tProdutos[Desconto homologado],MATCH(tItens[[#This Row],[Produto]],tProdutos[Produto],0))="",DescontoPadrao,INDEX(tProdutos[Desconto homologado],MATCH(tItens[[#This Row],[Produto]],tProdutos[Produto],0))),DescontoPadrao)</f>
        <v>0.412394275616498</v>
      </c>
      <c r="M2725" s="12">
        <f>tItens[[#This Row],[Valor]]*(1-tItens[[#This Row],[Desconto]])</f>
        <v>32559.233188089845</v>
      </c>
      <c r="N2725" t="str">
        <f>IFERROR(INDEX(tProdutos[Foco],MATCH(tItens[[#This Row],[Produto]],tProdutos[Produto],0)),"Não")</f>
        <v>Não</v>
      </c>
      <c r="O2725" t="str">
        <f>IFERROR(INDEX(tEditais[SRP],MATCH(tItens[[#This Row],[Edital]],tEditais[Edital],0)),"Não")</f>
        <v>Sim</v>
      </c>
      <c r="P2725" s="4">
        <f>IF(COUNTIFS(INDEX(tItens[Edital],1):tItens[[#This Row],[Edital]],tItens[[#This Row],[Edital]],INDEX(tItens[Produto],1):tItens[[#This Row],[Produto]],tItens[[#This Row],[Produto]])=1,1,0)</f>
        <v>0</v>
      </c>
    </row>
    <row r="2726" spans="1:16" x14ac:dyDescent="0.25">
      <c r="A2726" t="s">
        <v>1282</v>
      </c>
      <c r="B2726">
        <v>97</v>
      </c>
      <c r="C2726" t="s">
        <v>5677</v>
      </c>
      <c r="D2726" t="s">
        <v>345</v>
      </c>
      <c r="E2726" s="13">
        <v>2000</v>
      </c>
      <c r="F2726" s="12">
        <v>22.34</v>
      </c>
      <c r="G2726" t="str">
        <f>IFERROR(INDEX(tEditais[Órgão],MATCH(tItens[[#This Row],[Edital]],tEditais[Edital],0)),"")</f>
        <v>MUNICIPIO DE RIO NOVO</v>
      </c>
      <c r="H2726" t="str">
        <f>IFERROR(INDEX(tEditais[UF],MATCH(tItens[[#This Row],[Edital]],tEditais[Edital],0)),"")</f>
        <v>MG</v>
      </c>
      <c r="I2726" s="11">
        <f>IFERROR(INDEX(tEditais[Encerramento],MATCH(tItens[[#This Row],[Edital]],tEditais[Edital],0)),"")</f>
        <v>46304.333333333336</v>
      </c>
      <c r="J2726" t="str">
        <f>IFERROR(INDEX(tProdutos[Classe],MATCH(tItens[[#This Row],[Produto]],tProdutos[Produto],0)),"produto não cadastrado")</f>
        <v>FORA</v>
      </c>
      <c r="K2726" s="12">
        <f>tItens[[#This Row],[Qtd]]*tItens[[#This Row],[Vlr unit]]</f>
        <v>44680</v>
      </c>
      <c r="L2726" s="6">
        <f>IFERROR(IF(INDEX(tProdutos[Desconto homologado],MATCH(tItens[[#This Row],[Produto]],tProdutos[Produto],0))="",DescontoPadrao,INDEX(tProdutos[Desconto homologado],MATCH(tItens[[#This Row],[Produto]],tProdutos[Produto],0))),DescontoPadrao)</f>
        <v>0.412394275616498</v>
      </c>
      <c r="M2726" s="12">
        <f>tItens[[#This Row],[Valor]]*(1-tItens[[#This Row],[Desconto]])</f>
        <v>26254.22376545487</v>
      </c>
      <c r="N2726" t="str">
        <f>IFERROR(INDEX(tProdutos[Foco],MATCH(tItens[[#This Row],[Produto]],tProdutos[Produto],0)),"Não")</f>
        <v>Não</v>
      </c>
      <c r="O2726" t="str">
        <f>IFERROR(INDEX(tEditais[SRP],MATCH(tItens[[#This Row],[Edital]],tEditais[Edital],0)),"Não")</f>
        <v>Sim</v>
      </c>
      <c r="P2726" s="4">
        <f>IF(COUNTIFS(INDEX(tItens[Edital],1):tItens[[#This Row],[Edital]],tItens[[#This Row],[Edital]],INDEX(tItens[Produto],1):tItens[[#This Row],[Produto]],tItens[[#This Row],[Produto]])=1,1,0)</f>
        <v>0</v>
      </c>
    </row>
    <row r="2727" spans="1:16" x14ac:dyDescent="0.25">
      <c r="A2727" t="s">
        <v>1282</v>
      </c>
      <c r="B2727">
        <v>98</v>
      </c>
      <c r="C2727" t="s">
        <v>5678</v>
      </c>
      <c r="D2727" t="s">
        <v>345</v>
      </c>
      <c r="E2727" s="13">
        <v>2000</v>
      </c>
      <c r="F2727" s="12">
        <v>17.63</v>
      </c>
      <c r="G2727" t="str">
        <f>IFERROR(INDEX(tEditais[Órgão],MATCH(tItens[[#This Row],[Edital]],tEditais[Edital],0)),"")</f>
        <v>MUNICIPIO DE RIO NOVO</v>
      </c>
      <c r="H2727" t="str">
        <f>IFERROR(INDEX(tEditais[UF],MATCH(tItens[[#This Row],[Edital]],tEditais[Edital],0)),"")</f>
        <v>MG</v>
      </c>
      <c r="I2727" s="11">
        <f>IFERROR(INDEX(tEditais[Encerramento],MATCH(tItens[[#This Row],[Edital]],tEditais[Edital],0)),"")</f>
        <v>46304.333333333336</v>
      </c>
      <c r="J2727" t="str">
        <f>IFERROR(INDEX(tProdutos[Classe],MATCH(tItens[[#This Row],[Produto]],tProdutos[Produto],0)),"produto não cadastrado")</f>
        <v>FORA</v>
      </c>
      <c r="K2727" s="12">
        <f>tItens[[#This Row],[Qtd]]*tItens[[#This Row],[Vlr unit]]</f>
        <v>35260</v>
      </c>
      <c r="L2727" s="6">
        <f>IFERROR(IF(INDEX(tProdutos[Desconto homologado],MATCH(tItens[[#This Row],[Produto]],tProdutos[Produto],0))="",DescontoPadrao,INDEX(tProdutos[Desconto homologado],MATCH(tItens[[#This Row],[Produto]],tProdutos[Produto],0))),DescontoPadrao)</f>
        <v>0.412394275616498</v>
      </c>
      <c r="M2727" s="12">
        <f>tItens[[#This Row],[Valor]]*(1-tItens[[#This Row],[Desconto]])</f>
        <v>20718.97784176228</v>
      </c>
      <c r="N2727" t="str">
        <f>IFERROR(INDEX(tProdutos[Foco],MATCH(tItens[[#This Row],[Produto]],tProdutos[Produto],0)),"Não")</f>
        <v>Não</v>
      </c>
      <c r="O2727" t="str">
        <f>IFERROR(INDEX(tEditais[SRP],MATCH(tItens[[#This Row],[Edital]],tEditais[Edital],0)),"Não")</f>
        <v>Sim</v>
      </c>
      <c r="P2727" s="4">
        <f>IF(COUNTIFS(INDEX(tItens[Edital],1):tItens[[#This Row],[Edital]],tItens[[#This Row],[Edital]],INDEX(tItens[Produto],1):tItens[[#This Row],[Produto]],tItens[[#This Row],[Produto]])=1,1,0)</f>
        <v>0</v>
      </c>
    </row>
    <row r="2728" spans="1:16" x14ac:dyDescent="0.25">
      <c r="A2728" t="s">
        <v>1282</v>
      </c>
      <c r="B2728">
        <v>99</v>
      </c>
      <c r="C2728" t="s">
        <v>5679</v>
      </c>
      <c r="D2728" t="s">
        <v>393</v>
      </c>
      <c r="E2728" s="13">
        <v>30</v>
      </c>
      <c r="F2728" s="12">
        <v>14.83</v>
      </c>
      <c r="G2728" t="str">
        <f>IFERROR(INDEX(tEditais[Órgão],MATCH(tItens[[#This Row],[Edital]],tEditais[Edital],0)),"")</f>
        <v>MUNICIPIO DE RIO NOVO</v>
      </c>
      <c r="H2728" t="str">
        <f>IFERROR(INDEX(tEditais[UF],MATCH(tItens[[#This Row],[Edital]],tEditais[Edital],0)),"")</f>
        <v>MG</v>
      </c>
      <c r="I2728" s="11">
        <f>IFERROR(INDEX(tEditais[Encerramento],MATCH(tItens[[#This Row],[Edital]],tEditais[Edital],0)),"")</f>
        <v>46304.333333333336</v>
      </c>
      <c r="J2728" t="str">
        <f>IFERROR(INDEX(tProdutos[Classe],MATCH(tItens[[#This Row],[Produto]],tProdutos[Produto],0)),"produto não cadastrado")</f>
        <v>FORA</v>
      </c>
      <c r="K2728" s="12">
        <f>tItens[[#This Row],[Qtd]]*tItens[[#This Row],[Vlr unit]]</f>
        <v>444.9</v>
      </c>
      <c r="L2728" s="6">
        <f>IFERROR(IF(INDEX(tProdutos[Desconto homologado],MATCH(tItens[[#This Row],[Produto]],tProdutos[Produto],0))="",DescontoPadrao,INDEX(tProdutos[Desconto homologado],MATCH(tItens[[#This Row],[Produto]],tProdutos[Produto],0))),DescontoPadrao)</f>
        <v>0.286445012787724</v>
      </c>
      <c r="M2728" s="12">
        <f>tItens[[#This Row],[Valor]]*(1-tItens[[#This Row],[Desconto]])</f>
        <v>317.46061381074156</v>
      </c>
      <c r="N2728" t="str">
        <f>IFERROR(INDEX(tProdutos[Foco],MATCH(tItens[[#This Row],[Produto]],tProdutos[Produto],0)),"Não")</f>
        <v>Não</v>
      </c>
      <c r="O2728" t="str">
        <f>IFERROR(INDEX(tEditais[SRP],MATCH(tItens[[#This Row],[Edital]],tEditais[Edital],0)),"Não")</f>
        <v>Sim</v>
      </c>
      <c r="P2728" s="4">
        <f>IF(COUNTIFS(INDEX(tItens[Edital],1):tItens[[#This Row],[Edital]],tItens[[#This Row],[Edital]],INDEX(tItens[Produto],1):tItens[[#This Row],[Produto]],tItens[[#This Row],[Produto]])=1,1,0)</f>
        <v>1</v>
      </c>
    </row>
    <row r="2729" spans="1:16" x14ac:dyDescent="0.25">
      <c r="A2729" t="s">
        <v>1282</v>
      </c>
      <c r="B2729">
        <v>100</v>
      </c>
      <c r="C2729" t="s">
        <v>5680</v>
      </c>
      <c r="D2729" t="s">
        <v>512</v>
      </c>
      <c r="E2729" s="13">
        <v>10</v>
      </c>
      <c r="F2729" s="12">
        <v>102.09</v>
      </c>
      <c r="G2729" t="str">
        <f>IFERROR(INDEX(tEditais[Órgão],MATCH(tItens[[#This Row],[Edital]],tEditais[Edital],0)),"")</f>
        <v>MUNICIPIO DE RIO NOVO</v>
      </c>
      <c r="H2729" t="str">
        <f>IFERROR(INDEX(tEditais[UF],MATCH(tItens[[#This Row],[Edital]],tEditais[Edital],0)),"")</f>
        <v>MG</v>
      </c>
      <c r="I2729" s="11">
        <f>IFERROR(INDEX(tEditais[Encerramento],MATCH(tItens[[#This Row],[Edital]],tEditais[Edital],0)),"")</f>
        <v>46304.333333333336</v>
      </c>
      <c r="J2729" t="str">
        <f>IFERROR(INDEX(tProdutos[Classe],MATCH(tItens[[#This Row],[Produto]],tProdutos[Produto],0)),"produto não cadastrado")</f>
        <v>FILA REBASE</v>
      </c>
      <c r="K2729" s="12">
        <f>tItens[[#This Row],[Qtd]]*tItens[[#This Row],[Vlr unit]]</f>
        <v>1020.9000000000001</v>
      </c>
      <c r="L2729" s="6">
        <f>IFERROR(IF(INDEX(tProdutos[Desconto homologado],MATCH(tItens[[#This Row],[Produto]],tProdutos[Produto],0))="",DescontoPadrao,INDEX(tProdutos[Desconto homologado],MATCH(tItens[[#This Row],[Produto]],tProdutos[Produto],0))),DescontoPadrao)</f>
        <v>0.32579365079365102</v>
      </c>
      <c r="M2729" s="12">
        <f>tItens[[#This Row],[Valor]]*(1-tItens[[#This Row],[Desconto]])</f>
        <v>688.29726190476174</v>
      </c>
      <c r="N2729" t="str">
        <f>IFERROR(INDEX(tProdutos[Foco],MATCH(tItens[[#This Row],[Produto]],tProdutos[Produto],0)),"Não")</f>
        <v>Não</v>
      </c>
      <c r="O2729" t="str">
        <f>IFERROR(INDEX(tEditais[SRP],MATCH(tItens[[#This Row],[Edital]],tEditais[Edital],0)),"Não")</f>
        <v>Sim</v>
      </c>
      <c r="P2729" s="4">
        <f>IF(COUNTIFS(INDEX(tItens[Edital],1):tItens[[#This Row],[Edital]],tItens[[#This Row],[Edital]],INDEX(tItens[Produto],1):tItens[[#This Row],[Produto]],tItens[[#This Row],[Produto]])=1,1,0)</f>
        <v>1</v>
      </c>
    </row>
    <row r="2730" spans="1:16" x14ac:dyDescent="0.25">
      <c r="A2730" t="s">
        <v>1282</v>
      </c>
      <c r="B2730">
        <v>101</v>
      </c>
      <c r="C2730" t="s">
        <v>5681</v>
      </c>
      <c r="D2730" t="s">
        <v>512</v>
      </c>
      <c r="E2730" s="13">
        <v>200</v>
      </c>
      <c r="F2730" s="12">
        <v>17.27</v>
      </c>
      <c r="G2730" t="str">
        <f>IFERROR(INDEX(tEditais[Órgão],MATCH(tItens[[#This Row],[Edital]],tEditais[Edital],0)),"")</f>
        <v>MUNICIPIO DE RIO NOVO</v>
      </c>
      <c r="H2730" t="str">
        <f>IFERROR(INDEX(tEditais[UF],MATCH(tItens[[#This Row],[Edital]],tEditais[Edital],0)),"")</f>
        <v>MG</v>
      </c>
      <c r="I2730" s="11">
        <f>IFERROR(INDEX(tEditais[Encerramento],MATCH(tItens[[#This Row],[Edital]],tEditais[Edital],0)),"")</f>
        <v>46304.333333333336</v>
      </c>
      <c r="J2730" t="str">
        <f>IFERROR(INDEX(tProdutos[Classe],MATCH(tItens[[#This Row],[Produto]],tProdutos[Produto],0)),"produto não cadastrado")</f>
        <v>FILA REBASE</v>
      </c>
      <c r="K2730" s="12">
        <f>tItens[[#This Row],[Qtd]]*tItens[[#This Row],[Vlr unit]]</f>
        <v>3454</v>
      </c>
      <c r="L2730" s="6">
        <f>IFERROR(IF(INDEX(tProdutos[Desconto homologado],MATCH(tItens[[#This Row],[Produto]],tProdutos[Produto],0))="",DescontoPadrao,INDEX(tProdutos[Desconto homologado],MATCH(tItens[[#This Row],[Produto]],tProdutos[Produto],0))),DescontoPadrao)</f>
        <v>0.32579365079365102</v>
      </c>
      <c r="M2730" s="12">
        <f>tItens[[#This Row],[Valor]]*(1-tItens[[#This Row],[Desconto]])</f>
        <v>2328.7087301587294</v>
      </c>
      <c r="N2730" t="str">
        <f>IFERROR(INDEX(tProdutos[Foco],MATCH(tItens[[#This Row],[Produto]],tProdutos[Produto],0)),"Não")</f>
        <v>Não</v>
      </c>
      <c r="O2730" t="str">
        <f>IFERROR(INDEX(tEditais[SRP],MATCH(tItens[[#This Row],[Edital]],tEditais[Edital],0)),"Não")</f>
        <v>Sim</v>
      </c>
      <c r="P2730" s="4">
        <f>IF(COUNTIFS(INDEX(tItens[Edital],1):tItens[[#This Row],[Edital]],tItens[[#This Row],[Edital]],INDEX(tItens[Produto],1):tItens[[#This Row],[Produto]],tItens[[#This Row],[Produto]])=1,1,0)</f>
        <v>0</v>
      </c>
    </row>
    <row r="2731" spans="1:16" x14ac:dyDescent="0.25">
      <c r="A2731" t="s">
        <v>1282</v>
      </c>
      <c r="B2731">
        <v>102</v>
      </c>
      <c r="C2731" t="s">
        <v>5682</v>
      </c>
      <c r="D2731" t="s">
        <v>512</v>
      </c>
      <c r="E2731" s="13">
        <v>200</v>
      </c>
      <c r="F2731" s="12">
        <v>16.760000000000002</v>
      </c>
      <c r="G2731" t="str">
        <f>IFERROR(INDEX(tEditais[Órgão],MATCH(tItens[[#This Row],[Edital]],tEditais[Edital],0)),"")</f>
        <v>MUNICIPIO DE RIO NOVO</v>
      </c>
      <c r="H2731" t="str">
        <f>IFERROR(INDEX(tEditais[UF],MATCH(tItens[[#This Row],[Edital]],tEditais[Edital],0)),"")</f>
        <v>MG</v>
      </c>
      <c r="I2731" s="11">
        <f>IFERROR(INDEX(tEditais[Encerramento],MATCH(tItens[[#This Row],[Edital]],tEditais[Edital],0)),"")</f>
        <v>46304.333333333336</v>
      </c>
      <c r="J2731" t="str">
        <f>IFERROR(INDEX(tProdutos[Classe],MATCH(tItens[[#This Row],[Produto]],tProdutos[Produto],0)),"produto não cadastrado")</f>
        <v>FILA REBASE</v>
      </c>
      <c r="K2731" s="12">
        <f>tItens[[#This Row],[Qtd]]*tItens[[#This Row],[Vlr unit]]</f>
        <v>3352.0000000000005</v>
      </c>
      <c r="L2731" s="6">
        <f>IFERROR(IF(INDEX(tProdutos[Desconto homologado],MATCH(tItens[[#This Row],[Produto]],tProdutos[Produto],0))="",DescontoPadrao,INDEX(tProdutos[Desconto homologado],MATCH(tItens[[#This Row],[Produto]],tProdutos[Produto],0))),DescontoPadrao)</f>
        <v>0.32579365079365102</v>
      </c>
      <c r="M2731" s="12">
        <f>tItens[[#This Row],[Valor]]*(1-tItens[[#This Row],[Desconto]])</f>
        <v>2259.9396825396821</v>
      </c>
      <c r="N2731" t="str">
        <f>IFERROR(INDEX(tProdutos[Foco],MATCH(tItens[[#This Row],[Produto]],tProdutos[Produto],0)),"Não")</f>
        <v>Não</v>
      </c>
      <c r="O2731" t="str">
        <f>IFERROR(INDEX(tEditais[SRP],MATCH(tItens[[#This Row],[Edital]],tEditais[Edital],0)),"Não")</f>
        <v>Sim</v>
      </c>
      <c r="P2731" s="4">
        <f>IF(COUNTIFS(INDEX(tItens[Edital],1):tItens[[#This Row],[Edital]],tItens[[#This Row],[Edital]],INDEX(tItens[Produto],1):tItens[[#This Row],[Produto]],tItens[[#This Row],[Produto]])=1,1,0)</f>
        <v>0</v>
      </c>
    </row>
    <row r="2732" spans="1:16" x14ac:dyDescent="0.25">
      <c r="A2732" t="s">
        <v>1282</v>
      </c>
      <c r="B2732">
        <v>115</v>
      </c>
      <c r="C2732" t="s">
        <v>5683</v>
      </c>
      <c r="D2732" t="s">
        <v>130</v>
      </c>
      <c r="E2732" s="13">
        <v>100</v>
      </c>
      <c r="F2732" s="12">
        <v>35.29</v>
      </c>
      <c r="G2732" t="str">
        <f>IFERROR(INDEX(tEditais[Órgão],MATCH(tItens[[#This Row],[Edital]],tEditais[Edital],0)),"")</f>
        <v>MUNICIPIO DE RIO NOVO</v>
      </c>
      <c r="H2732" t="str">
        <f>IFERROR(INDEX(tEditais[UF],MATCH(tItens[[#This Row],[Edital]],tEditais[Edital],0)),"")</f>
        <v>MG</v>
      </c>
      <c r="I2732" s="11">
        <f>IFERROR(INDEX(tEditais[Encerramento],MATCH(tItens[[#This Row],[Edital]],tEditais[Edital],0)),"")</f>
        <v>46304.333333333336</v>
      </c>
      <c r="J2732" t="str">
        <f>IFERROR(INDEX(tProdutos[Classe],MATCH(tItens[[#This Row],[Produto]],tProdutos[Produto],0)),"produto não cadastrado")</f>
        <v>DISPUTADO</v>
      </c>
      <c r="K2732" s="12">
        <f>tItens[[#This Row],[Qtd]]*tItens[[#This Row],[Vlr unit]]</f>
        <v>3529</v>
      </c>
      <c r="L2732" s="6">
        <f>IFERROR(IF(INDEX(tProdutos[Desconto homologado],MATCH(tItens[[#This Row],[Produto]],tProdutos[Produto],0))="",DescontoPadrao,INDEX(tProdutos[Desconto homologado],MATCH(tItens[[#This Row],[Produto]],tProdutos[Produto],0))),DescontoPadrao)</f>
        <v>0.32</v>
      </c>
      <c r="M2732" s="12">
        <f>tItens[[#This Row],[Valor]]*(1-tItens[[#This Row],[Desconto]])</f>
        <v>2399.7199999999998</v>
      </c>
      <c r="N2732" t="str">
        <f>IFERROR(INDEX(tProdutos[Foco],MATCH(tItens[[#This Row],[Produto]],tProdutos[Produto],0)),"Não")</f>
        <v>Sim</v>
      </c>
      <c r="O2732" t="str">
        <f>IFERROR(INDEX(tEditais[SRP],MATCH(tItens[[#This Row],[Edital]],tEditais[Edital],0)),"Não")</f>
        <v>Sim</v>
      </c>
      <c r="P2732" s="4">
        <f>IF(COUNTIFS(INDEX(tItens[Edital],1):tItens[[#This Row],[Edital]],tItens[[#This Row],[Edital]],INDEX(tItens[Produto],1):tItens[[#This Row],[Produto]],tItens[[#This Row],[Produto]])=1,1,0)</f>
        <v>1</v>
      </c>
    </row>
    <row r="2733" spans="1:16" x14ac:dyDescent="0.25">
      <c r="A2733" t="s">
        <v>1282</v>
      </c>
      <c r="B2733">
        <v>128</v>
      </c>
      <c r="C2733" t="s">
        <v>5684</v>
      </c>
      <c r="D2733" t="s">
        <v>56</v>
      </c>
      <c r="E2733" s="13">
        <v>24</v>
      </c>
      <c r="F2733" s="12">
        <v>27.01</v>
      </c>
      <c r="G2733" t="str">
        <f>IFERROR(INDEX(tEditais[Órgão],MATCH(tItens[[#This Row],[Edital]],tEditais[Edital],0)),"")</f>
        <v>MUNICIPIO DE RIO NOVO</v>
      </c>
      <c r="H2733" t="str">
        <f>IFERROR(INDEX(tEditais[UF],MATCH(tItens[[#This Row],[Edital]],tEditais[Edital],0)),"")</f>
        <v>MG</v>
      </c>
      <c r="I2733" s="11">
        <f>IFERROR(INDEX(tEditais[Encerramento],MATCH(tItens[[#This Row],[Edital]],tEditais[Edital],0)),"")</f>
        <v>46304.333333333336</v>
      </c>
      <c r="J2733" t="str">
        <f>IFERROR(INDEX(tProdutos[Classe],MATCH(tItens[[#This Row],[Produto]],tProdutos[Produto],0)),"produto não cadastrado")</f>
        <v>NÚCLEO</v>
      </c>
      <c r="K2733" s="12">
        <f>tItens[[#This Row],[Qtd]]*tItens[[#This Row],[Vlr unit]]</f>
        <v>648.24</v>
      </c>
      <c r="L2733" s="6">
        <f>IFERROR(IF(INDEX(tProdutos[Desconto homologado],MATCH(tItens[[#This Row],[Produto]],tProdutos[Produto],0))="",DescontoPadrao,INDEX(tProdutos[Desconto homologado],MATCH(tItens[[#This Row],[Produto]],tProdutos[Produto],0))),DescontoPadrao)</f>
        <v>0.34</v>
      </c>
      <c r="M2733" s="12">
        <f>tItens[[#This Row],[Valor]]*(1-tItens[[#This Row],[Desconto]])</f>
        <v>427.83839999999998</v>
      </c>
      <c r="N2733" t="str">
        <f>IFERROR(INDEX(tProdutos[Foco],MATCH(tItens[[#This Row],[Produto]],tProdutos[Produto],0)),"Não")</f>
        <v>Sim</v>
      </c>
      <c r="O2733" t="str">
        <f>IFERROR(INDEX(tEditais[SRP],MATCH(tItens[[#This Row],[Edital]],tEditais[Edital],0)),"Não")</f>
        <v>Sim</v>
      </c>
      <c r="P2733" s="4">
        <f>IF(COUNTIFS(INDEX(tItens[Edital],1):tItens[[#This Row],[Edital]],tItens[[#This Row],[Edital]],INDEX(tItens[Produto],1):tItens[[#This Row],[Produto]],tItens[[#This Row],[Produto]])=1,1,0)</f>
        <v>1</v>
      </c>
    </row>
    <row r="2734" spans="1:16" x14ac:dyDescent="0.25">
      <c r="A2734" t="s">
        <v>1282</v>
      </c>
      <c r="B2734">
        <v>129</v>
      </c>
      <c r="C2734" t="s">
        <v>5685</v>
      </c>
      <c r="D2734" t="s">
        <v>56</v>
      </c>
      <c r="E2734" s="13">
        <v>30</v>
      </c>
      <c r="F2734" s="12">
        <v>33.35</v>
      </c>
      <c r="G2734" t="str">
        <f>IFERROR(INDEX(tEditais[Órgão],MATCH(tItens[[#This Row],[Edital]],tEditais[Edital],0)),"")</f>
        <v>MUNICIPIO DE RIO NOVO</v>
      </c>
      <c r="H2734" t="str">
        <f>IFERROR(INDEX(tEditais[UF],MATCH(tItens[[#This Row],[Edital]],tEditais[Edital],0)),"")</f>
        <v>MG</v>
      </c>
      <c r="I2734" s="11">
        <f>IFERROR(INDEX(tEditais[Encerramento],MATCH(tItens[[#This Row],[Edital]],tEditais[Edital],0)),"")</f>
        <v>46304.333333333336</v>
      </c>
      <c r="J2734" t="str">
        <f>IFERROR(INDEX(tProdutos[Classe],MATCH(tItens[[#This Row],[Produto]],tProdutos[Produto],0)),"produto não cadastrado")</f>
        <v>NÚCLEO</v>
      </c>
      <c r="K2734" s="12">
        <f>tItens[[#This Row],[Qtd]]*tItens[[#This Row],[Vlr unit]]</f>
        <v>1000.5</v>
      </c>
      <c r="L2734" s="6">
        <f>IFERROR(IF(INDEX(tProdutos[Desconto homologado],MATCH(tItens[[#This Row],[Produto]],tProdutos[Produto],0))="",DescontoPadrao,INDEX(tProdutos[Desconto homologado],MATCH(tItens[[#This Row],[Produto]],tProdutos[Produto],0))),DescontoPadrao)</f>
        <v>0.34</v>
      </c>
      <c r="M2734" s="12">
        <f>tItens[[#This Row],[Valor]]*(1-tItens[[#This Row],[Desconto]])</f>
        <v>660.32999999999993</v>
      </c>
      <c r="N2734" t="str">
        <f>IFERROR(INDEX(tProdutos[Foco],MATCH(tItens[[#This Row],[Produto]],tProdutos[Produto],0)),"Não")</f>
        <v>Sim</v>
      </c>
      <c r="O2734" t="str">
        <f>IFERROR(INDEX(tEditais[SRP],MATCH(tItens[[#This Row],[Edital]],tEditais[Edital],0)),"Não")</f>
        <v>Sim</v>
      </c>
      <c r="P2734" s="4">
        <f>IF(COUNTIFS(INDEX(tItens[Edital],1):tItens[[#This Row],[Edital]],tItens[[#This Row],[Edital]],INDEX(tItens[Produto],1):tItens[[#This Row],[Produto]],tItens[[#This Row],[Produto]])=1,1,0)</f>
        <v>0</v>
      </c>
    </row>
    <row r="2735" spans="1:16" x14ac:dyDescent="0.25">
      <c r="A2735" t="s">
        <v>1282</v>
      </c>
      <c r="B2735">
        <v>130</v>
      </c>
      <c r="C2735" t="s">
        <v>5686</v>
      </c>
      <c r="D2735" t="s">
        <v>56</v>
      </c>
      <c r="E2735" s="13">
        <v>24</v>
      </c>
      <c r="F2735" s="12">
        <v>26.77</v>
      </c>
      <c r="G2735" t="str">
        <f>IFERROR(INDEX(tEditais[Órgão],MATCH(tItens[[#This Row],[Edital]],tEditais[Edital],0)),"")</f>
        <v>MUNICIPIO DE RIO NOVO</v>
      </c>
      <c r="H2735" t="str">
        <f>IFERROR(INDEX(tEditais[UF],MATCH(tItens[[#This Row],[Edital]],tEditais[Edital],0)),"")</f>
        <v>MG</v>
      </c>
      <c r="I2735" s="11">
        <f>IFERROR(INDEX(tEditais[Encerramento],MATCH(tItens[[#This Row],[Edital]],tEditais[Edital],0)),"")</f>
        <v>46304.333333333336</v>
      </c>
      <c r="J2735" t="str">
        <f>IFERROR(INDEX(tProdutos[Classe],MATCH(tItens[[#This Row],[Produto]],tProdutos[Produto],0)),"produto não cadastrado")</f>
        <v>NÚCLEO</v>
      </c>
      <c r="K2735" s="12">
        <f>tItens[[#This Row],[Qtd]]*tItens[[#This Row],[Vlr unit]]</f>
        <v>642.48</v>
      </c>
      <c r="L2735" s="6">
        <f>IFERROR(IF(INDEX(tProdutos[Desconto homologado],MATCH(tItens[[#This Row],[Produto]],tProdutos[Produto],0))="",DescontoPadrao,INDEX(tProdutos[Desconto homologado],MATCH(tItens[[#This Row],[Produto]],tProdutos[Produto],0))),DescontoPadrao)</f>
        <v>0.34</v>
      </c>
      <c r="M2735" s="12">
        <f>tItens[[#This Row],[Valor]]*(1-tItens[[#This Row],[Desconto]])</f>
        <v>424.03679999999997</v>
      </c>
      <c r="N2735" t="str">
        <f>IFERROR(INDEX(tProdutos[Foco],MATCH(tItens[[#This Row],[Produto]],tProdutos[Produto],0)),"Não")</f>
        <v>Sim</v>
      </c>
      <c r="O2735" t="str">
        <f>IFERROR(INDEX(tEditais[SRP],MATCH(tItens[[#This Row],[Edital]],tEditais[Edital],0)),"Não")</f>
        <v>Sim</v>
      </c>
      <c r="P2735" s="4">
        <f>IF(COUNTIFS(INDEX(tItens[Edital],1):tItens[[#This Row],[Edital]],tItens[[#This Row],[Edital]],INDEX(tItens[Produto],1):tItens[[#This Row],[Produto]],tItens[[#This Row],[Produto]])=1,1,0)</f>
        <v>0</v>
      </c>
    </row>
    <row r="2736" spans="1:16" x14ac:dyDescent="0.25">
      <c r="A2736" t="s">
        <v>1282</v>
      </c>
      <c r="B2736">
        <v>131</v>
      </c>
      <c r="C2736" t="s">
        <v>5687</v>
      </c>
      <c r="D2736" t="s">
        <v>277</v>
      </c>
      <c r="E2736" s="13">
        <v>1500</v>
      </c>
      <c r="F2736" s="12">
        <v>10.47</v>
      </c>
      <c r="G2736" t="str">
        <f>IFERROR(INDEX(tEditais[Órgão],MATCH(tItens[[#This Row],[Edital]],tEditais[Edital],0)),"")</f>
        <v>MUNICIPIO DE RIO NOVO</v>
      </c>
      <c r="H2736" t="str">
        <f>IFERROR(INDEX(tEditais[UF],MATCH(tItens[[#This Row],[Edital]],tEditais[Edital],0)),"")</f>
        <v>MG</v>
      </c>
      <c r="I2736" s="11">
        <f>IFERROR(INDEX(tEditais[Encerramento],MATCH(tItens[[#This Row],[Edital]],tEditais[Edital],0)),"")</f>
        <v>46304.333333333336</v>
      </c>
      <c r="J2736" t="str">
        <f>IFERROR(INDEX(tProdutos[Classe],MATCH(tItens[[#This Row],[Produto]],tProdutos[Produto],0)),"produto não cadastrado")</f>
        <v>DISPUTADO</v>
      </c>
      <c r="K2736" s="12">
        <f>tItens[[#This Row],[Qtd]]*tItens[[#This Row],[Vlr unit]]</f>
        <v>15705.000000000002</v>
      </c>
      <c r="L2736" s="6">
        <f>IFERROR(IF(INDEX(tProdutos[Desconto homologado],MATCH(tItens[[#This Row],[Produto]],tProdutos[Produto],0))="",DescontoPadrao,INDEX(tProdutos[Desconto homologado],MATCH(tItens[[#This Row],[Produto]],tProdutos[Produto],0))),DescontoPadrao)</f>
        <v>0.50460666194188497</v>
      </c>
      <c r="M2736" s="12">
        <f>tItens[[#This Row],[Valor]]*(1-tItens[[#This Row],[Desconto]])</f>
        <v>7780.1523742026975</v>
      </c>
      <c r="N2736" t="str">
        <f>IFERROR(INDEX(tProdutos[Foco],MATCH(tItens[[#This Row],[Produto]],tProdutos[Produto],0)),"Não")</f>
        <v>Não</v>
      </c>
      <c r="O2736" t="str">
        <f>IFERROR(INDEX(tEditais[SRP],MATCH(tItens[[#This Row],[Edital]],tEditais[Edital],0)),"Não")</f>
        <v>Sim</v>
      </c>
      <c r="P2736" s="4">
        <f>IF(COUNTIFS(INDEX(tItens[Edital],1):tItens[[#This Row],[Edital]],tItens[[#This Row],[Edital]],INDEX(tItens[Produto],1):tItens[[#This Row],[Produto]],tItens[[#This Row],[Produto]])=1,1,0)</f>
        <v>1</v>
      </c>
    </row>
    <row r="2737" spans="1:16" x14ac:dyDescent="0.25">
      <c r="A2737" t="s">
        <v>1282</v>
      </c>
      <c r="B2737">
        <v>134</v>
      </c>
      <c r="C2737" t="s">
        <v>5688</v>
      </c>
      <c r="D2737" t="s">
        <v>267</v>
      </c>
      <c r="E2737" s="13">
        <v>30</v>
      </c>
      <c r="F2737" s="12">
        <v>19.329999999999998</v>
      </c>
      <c r="G2737" t="str">
        <f>IFERROR(INDEX(tEditais[Órgão],MATCH(tItens[[#This Row],[Edital]],tEditais[Edital],0)),"")</f>
        <v>MUNICIPIO DE RIO NOVO</v>
      </c>
      <c r="H2737" t="str">
        <f>IFERROR(INDEX(tEditais[UF],MATCH(tItens[[#This Row],[Edital]],tEditais[Edital],0)),"")</f>
        <v>MG</v>
      </c>
      <c r="I2737" s="11">
        <f>IFERROR(INDEX(tEditais[Encerramento],MATCH(tItens[[#This Row],[Edital]],tEditais[Edital],0)),"")</f>
        <v>46304.333333333336</v>
      </c>
      <c r="J2737" t="str">
        <f>IFERROR(INDEX(tProdutos[Classe],MATCH(tItens[[#This Row],[Produto]],tProdutos[Produto],0)),"produto não cadastrado")</f>
        <v>FORA</v>
      </c>
      <c r="K2737" s="12">
        <f>tItens[[#This Row],[Qtd]]*tItens[[#This Row],[Vlr unit]]</f>
        <v>579.9</v>
      </c>
      <c r="L2737" s="6">
        <f>IFERROR(IF(INDEX(tProdutos[Desconto homologado],MATCH(tItens[[#This Row],[Produto]],tProdutos[Produto],0))="",DescontoPadrao,INDEX(tProdutos[Desconto homologado],MATCH(tItens[[#This Row],[Produto]],tProdutos[Produto],0))),DescontoPadrao)</f>
        <v>0.19963672657401599</v>
      </c>
      <c r="M2737" s="12">
        <f>tItens[[#This Row],[Valor]]*(1-tItens[[#This Row],[Desconto]])</f>
        <v>464.13066225972813</v>
      </c>
      <c r="N2737" t="str">
        <f>IFERROR(INDEX(tProdutos[Foco],MATCH(tItens[[#This Row],[Produto]],tProdutos[Produto],0)),"Não")</f>
        <v>Não</v>
      </c>
      <c r="O2737" t="str">
        <f>IFERROR(INDEX(tEditais[SRP],MATCH(tItens[[#This Row],[Edital]],tEditais[Edital],0)),"Não")</f>
        <v>Sim</v>
      </c>
      <c r="P2737" s="4">
        <f>IF(COUNTIFS(INDEX(tItens[Edital],1):tItens[[#This Row],[Edital]],tItens[[#This Row],[Edital]],INDEX(tItens[Produto],1):tItens[[#This Row],[Produto]],tItens[[#This Row],[Produto]])=1,1,0)</f>
        <v>1</v>
      </c>
    </row>
    <row r="2738" spans="1:16" x14ac:dyDescent="0.25">
      <c r="A2738" t="s">
        <v>1282</v>
      </c>
      <c r="B2738">
        <v>138</v>
      </c>
      <c r="C2738" t="s">
        <v>5689</v>
      </c>
      <c r="D2738" t="s">
        <v>343</v>
      </c>
      <c r="E2738" s="13">
        <v>300</v>
      </c>
      <c r="F2738" s="12">
        <v>3.03</v>
      </c>
      <c r="G2738" t="str">
        <f>IFERROR(INDEX(tEditais[Órgão],MATCH(tItens[[#This Row],[Edital]],tEditais[Edital],0)),"")</f>
        <v>MUNICIPIO DE RIO NOVO</v>
      </c>
      <c r="H2738" t="str">
        <f>IFERROR(INDEX(tEditais[UF],MATCH(tItens[[#This Row],[Edital]],tEditais[Edital],0)),"")</f>
        <v>MG</v>
      </c>
      <c r="I2738" s="11">
        <f>IFERROR(INDEX(tEditais[Encerramento],MATCH(tItens[[#This Row],[Edital]],tEditais[Edital],0)),"")</f>
        <v>46304.333333333336</v>
      </c>
      <c r="J2738" t="str">
        <f>IFERROR(INDEX(tProdutos[Classe],MATCH(tItens[[#This Row],[Produto]],tProdutos[Produto],0)),"produto não cadastrado")</f>
        <v>FORA</v>
      </c>
      <c r="K2738" s="12">
        <f>tItens[[#This Row],[Qtd]]*tItens[[#This Row],[Vlr unit]]</f>
        <v>908.99999999999989</v>
      </c>
      <c r="L2738" s="6">
        <f>IFERROR(IF(INDEX(tProdutos[Desconto homologado],MATCH(tItens[[#This Row],[Produto]],tProdutos[Produto],0))="",DescontoPadrao,INDEX(tProdutos[Desconto homologado],MATCH(tItens[[#This Row],[Produto]],tProdutos[Produto],0))),DescontoPadrao)</f>
        <v>0.35412234042553198</v>
      </c>
      <c r="M2738" s="12">
        <f>tItens[[#This Row],[Valor]]*(1-tItens[[#This Row],[Desconto]])</f>
        <v>587.10279255319131</v>
      </c>
      <c r="N2738" t="str">
        <f>IFERROR(INDEX(tProdutos[Foco],MATCH(tItens[[#This Row],[Produto]],tProdutos[Produto],0)),"Não")</f>
        <v>Não</v>
      </c>
      <c r="O2738" t="str">
        <f>IFERROR(INDEX(tEditais[SRP],MATCH(tItens[[#This Row],[Edital]],tEditais[Edital],0)),"Não")</f>
        <v>Sim</v>
      </c>
      <c r="P2738" s="4">
        <f>IF(COUNTIFS(INDEX(tItens[Edital],1):tItens[[#This Row],[Edital]],tItens[[#This Row],[Edital]],INDEX(tItens[Produto],1):tItens[[#This Row],[Produto]],tItens[[#This Row],[Produto]])=1,1,0)</f>
        <v>1</v>
      </c>
    </row>
    <row r="2739" spans="1:16" x14ac:dyDescent="0.25">
      <c r="A2739" t="s">
        <v>1282</v>
      </c>
      <c r="B2739">
        <v>143</v>
      </c>
      <c r="C2739" t="s">
        <v>5690</v>
      </c>
      <c r="D2739" t="s">
        <v>313</v>
      </c>
      <c r="E2739" s="13">
        <v>400</v>
      </c>
      <c r="F2739" s="12">
        <v>29.34</v>
      </c>
      <c r="G2739" t="str">
        <f>IFERROR(INDEX(tEditais[Órgão],MATCH(tItens[[#This Row],[Edital]],tEditais[Edital],0)),"")</f>
        <v>MUNICIPIO DE RIO NOVO</v>
      </c>
      <c r="H2739" t="str">
        <f>IFERROR(INDEX(tEditais[UF],MATCH(tItens[[#This Row],[Edital]],tEditais[Edital],0)),"")</f>
        <v>MG</v>
      </c>
      <c r="I2739" s="11">
        <f>IFERROR(INDEX(tEditais[Encerramento],MATCH(tItens[[#This Row],[Edital]],tEditais[Edital],0)),"")</f>
        <v>46304.333333333336</v>
      </c>
      <c r="J2739" t="str">
        <f>IFERROR(INDEX(tProdutos[Classe],MATCH(tItens[[#This Row],[Produto]],tProdutos[Produto],0)),"produto não cadastrado")</f>
        <v>FORA</v>
      </c>
      <c r="K2739" s="12">
        <f>tItens[[#This Row],[Qtd]]*tItens[[#This Row],[Vlr unit]]</f>
        <v>11736</v>
      </c>
      <c r="L2739" s="6">
        <f>IFERROR(IF(INDEX(tProdutos[Desconto homologado],MATCH(tItens[[#This Row],[Produto]],tProdutos[Produto],0))="",DescontoPadrao,INDEX(tProdutos[Desconto homologado],MATCH(tItens[[#This Row],[Produto]],tProdutos[Produto],0))),DescontoPadrao)</f>
        <v>0.35766373163696302</v>
      </c>
      <c r="M2739" s="12">
        <f>tItens[[#This Row],[Valor]]*(1-tItens[[#This Row],[Desconto]])</f>
        <v>7538.4584455086015</v>
      </c>
      <c r="N2739" t="str">
        <f>IFERROR(INDEX(tProdutos[Foco],MATCH(tItens[[#This Row],[Produto]],tProdutos[Produto],0)),"Não")</f>
        <v>Não</v>
      </c>
      <c r="O2739" t="str">
        <f>IFERROR(INDEX(tEditais[SRP],MATCH(tItens[[#This Row],[Edital]],tEditais[Edital],0)),"Não")</f>
        <v>Sim</v>
      </c>
      <c r="P2739" s="4">
        <f>IF(COUNTIFS(INDEX(tItens[Edital],1):tItens[[#This Row],[Edital]],tItens[[#This Row],[Edital]],INDEX(tItens[Produto],1):tItens[[#This Row],[Produto]],tItens[[#This Row],[Produto]])=1,1,0)</f>
        <v>1</v>
      </c>
    </row>
    <row r="2740" spans="1:16" x14ac:dyDescent="0.25">
      <c r="A2740" t="s">
        <v>1282</v>
      </c>
      <c r="B2740">
        <v>144</v>
      </c>
      <c r="C2740" t="s">
        <v>5691</v>
      </c>
      <c r="D2740" t="s">
        <v>313</v>
      </c>
      <c r="E2740" s="13">
        <v>400</v>
      </c>
      <c r="F2740" s="12">
        <v>29.67</v>
      </c>
      <c r="G2740" t="str">
        <f>IFERROR(INDEX(tEditais[Órgão],MATCH(tItens[[#This Row],[Edital]],tEditais[Edital],0)),"")</f>
        <v>MUNICIPIO DE RIO NOVO</v>
      </c>
      <c r="H2740" t="str">
        <f>IFERROR(INDEX(tEditais[UF],MATCH(tItens[[#This Row],[Edital]],tEditais[Edital],0)),"")</f>
        <v>MG</v>
      </c>
      <c r="I2740" s="11">
        <f>IFERROR(INDEX(tEditais[Encerramento],MATCH(tItens[[#This Row],[Edital]],tEditais[Edital],0)),"")</f>
        <v>46304.333333333336</v>
      </c>
      <c r="J2740" t="str">
        <f>IFERROR(INDEX(tProdutos[Classe],MATCH(tItens[[#This Row],[Produto]],tProdutos[Produto],0)),"produto não cadastrado")</f>
        <v>FORA</v>
      </c>
      <c r="K2740" s="12">
        <f>tItens[[#This Row],[Qtd]]*tItens[[#This Row],[Vlr unit]]</f>
        <v>11868</v>
      </c>
      <c r="L2740" s="6">
        <f>IFERROR(IF(INDEX(tProdutos[Desconto homologado],MATCH(tItens[[#This Row],[Produto]],tProdutos[Produto],0))="",DescontoPadrao,INDEX(tProdutos[Desconto homologado],MATCH(tItens[[#This Row],[Produto]],tProdutos[Produto],0))),DescontoPadrao)</f>
        <v>0.35766373163696302</v>
      </c>
      <c r="M2740" s="12">
        <f>tItens[[#This Row],[Valor]]*(1-tItens[[#This Row],[Desconto]])</f>
        <v>7623.246832932522</v>
      </c>
      <c r="N2740" t="str">
        <f>IFERROR(INDEX(tProdutos[Foco],MATCH(tItens[[#This Row],[Produto]],tProdutos[Produto],0)),"Não")</f>
        <v>Não</v>
      </c>
      <c r="O2740" t="str">
        <f>IFERROR(INDEX(tEditais[SRP],MATCH(tItens[[#This Row],[Edital]],tEditais[Edital],0)),"Não")</f>
        <v>Sim</v>
      </c>
      <c r="P2740" s="4">
        <f>IF(COUNTIFS(INDEX(tItens[Edital],1):tItens[[#This Row],[Edital]],tItens[[#This Row],[Edital]],INDEX(tItens[Produto],1):tItens[[#This Row],[Produto]],tItens[[#This Row],[Produto]])=1,1,0)</f>
        <v>0</v>
      </c>
    </row>
    <row r="2741" spans="1:16" x14ac:dyDescent="0.25">
      <c r="A2741" t="s">
        <v>1282</v>
      </c>
      <c r="B2741">
        <v>145</v>
      </c>
      <c r="C2741" t="s">
        <v>5692</v>
      </c>
      <c r="D2741" t="s">
        <v>313</v>
      </c>
      <c r="E2741" s="13">
        <v>400</v>
      </c>
      <c r="F2741" s="12">
        <v>29.9</v>
      </c>
      <c r="G2741" t="str">
        <f>IFERROR(INDEX(tEditais[Órgão],MATCH(tItens[[#This Row],[Edital]],tEditais[Edital],0)),"")</f>
        <v>MUNICIPIO DE RIO NOVO</v>
      </c>
      <c r="H2741" t="str">
        <f>IFERROR(INDEX(tEditais[UF],MATCH(tItens[[#This Row],[Edital]],tEditais[Edital],0)),"")</f>
        <v>MG</v>
      </c>
      <c r="I2741" s="11">
        <f>IFERROR(INDEX(tEditais[Encerramento],MATCH(tItens[[#This Row],[Edital]],tEditais[Edital],0)),"")</f>
        <v>46304.333333333336</v>
      </c>
      <c r="J2741" t="str">
        <f>IFERROR(INDEX(tProdutos[Classe],MATCH(tItens[[#This Row],[Produto]],tProdutos[Produto],0)),"produto não cadastrado")</f>
        <v>FORA</v>
      </c>
      <c r="K2741" s="12">
        <f>tItens[[#This Row],[Qtd]]*tItens[[#This Row],[Vlr unit]]</f>
        <v>11960</v>
      </c>
      <c r="L2741" s="6">
        <f>IFERROR(IF(INDEX(tProdutos[Desconto homologado],MATCH(tItens[[#This Row],[Produto]],tProdutos[Produto],0))="",DescontoPadrao,INDEX(tProdutos[Desconto homologado],MATCH(tItens[[#This Row],[Produto]],tProdutos[Produto],0))),DescontoPadrao)</f>
        <v>0.35766373163696302</v>
      </c>
      <c r="M2741" s="12">
        <f>tItens[[#This Row],[Valor]]*(1-tItens[[#This Row],[Desconto]])</f>
        <v>7682.3417696219212</v>
      </c>
      <c r="N2741" t="str">
        <f>IFERROR(INDEX(tProdutos[Foco],MATCH(tItens[[#This Row],[Produto]],tProdutos[Produto],0)),"Não")</f>
        <v>Não</v>
      </c>
      <c r="O2741" t="str">
        <f>IFERROR(INDEX(tEditais[SRP],MATCH(tItens[[#This Row],[Edital]],tEditais[Edital],0)),"Não")</f>
        <v>Sim</v>
      </c>
      <c r="P2741" s="4">
        <f>IF(COUNTIFS(INDEX(tItens[Edital],1):tItens[[#This Row],[Edital]],tItens[[#This Row],[Edital]],INDEX(tItens[Produto],1):tItens[[#This Row],[Produto]],tItens[[#This Row],[Produto]])=1,1,0)</f>
        <v>0</v>
      </c>
    </row>
    <row r="2742" spans="1:16" x14ac:dyDescent="0.25">
      <c r="A2742" t="s">
        <v>1282</v>
      </c>
      <c r="B2742">
        <v>146</v>
      </c>
      <c r="C2742" t="s">
        <v>5693</v>
      </c>
      <c r="D2742" t="s">
        <v>313</v>
      </c>
      <c r="E2742" s="13">
        <v>200</v>
      </c>
      <c r="F2742" s="12">
        <v>25.76</v>
      </c>
      <c r="G2742" t="str">
        <f>IFERROR(INDEX(tEditais[Órgão],MATCH(tItens[[#This Row],[Edital]],tEditais[Edital],0)),"")</f>
        <v>MUNICIPIO DE RIO NOVO</v>
      </c>
      <c r="H2742" t="str">
        <f>IFERROR(INDEX(tEditais[UF],MATCH(tItens[[#This Row],[Edital]],tEditais[Edital],0)),"")</f>
        <v>MG</v>
      </c>
      <c r="I2742" s="11">
        <f>IFERROR(INDEX(tEditais[Encerramento],MATCH(tItens[[#This Row],[Edital]],tEditais[Edital],0)),"")</f>
        <v>46304.333333333336</v>
      </c>
      <c r="J2742" t="str">
        <f>IFERROR(INDEX(tProdutos[Classe],MATCH(tItens[[#This Row],[Produto]],tProdutos[Produto],0)),"produto não cadastrado")</f>
        <v>FORA</v>
      </c>
      <c r="K2742" s="12">
        <f>tItens[[#This Row],[Qtd]]*tItens[[#This Row],[Vlr unit]]</f>
        <v>5152</v>
      </c>
      <c r="L2742" s="6">
        <f>IFERROR(IF(INDEX(tProdutos[Desconto homologado],MATCH(tItens[[#This Row],[Produto]],tProdutos[Produto],0))="",DescontoPadrao,INDEX(tProdutos[Desconto homologado],MATCH(tItens[[#This Row],[Produto]],tProdutos[Produto],0))),DescontoPadrao)</f>
        <v>0.35766373163696302</v>
      </c>
      <c r="M2742" s="12">
        <f>tItens[[#This Row],[Valor]]*(1-tItens[[#This Row],[Desconto]])</f>
        <v>3309.3164546063663</v>
      </c>
      <c r="N2742" t="str">
        <f>IFERROR(INDEX(tProdutos[Foco],MATCH(tItens[[#This Row],[Produto]],tProdutos[Produto],0)),"Não")</f>
        <v>Não</v>
      </c>
      <c r="O2742" t="str">
        <f>IFERROR(INDEX(tEditais[SRP],MATCH(tItens[[#This Row],[Edital]],tEditais[Edital],0)),"Não")</f>
        <v>Sim</v>
      </c>
      <c r="P2742" s="4">
        <f>IF(COUNTIFS(INDEX(tItens[Edital],1):tItens[[#This Row],[Edital]],tItens[[#This Row],[Edital]],INDEX(tItens[Produto],1):tItens[[#This Row],[Produto]],tItens[[#This Row],[Produto]])=1,1,0)</f>
        <v>0</v>
      </c>
    </row>
    <row r="2743" spans="1:16" x14ac:dyDescent="0.25">
      <c r="A2743" t="s">
        <v>1282</v>
      </c>
      <c r="B2743">
        <v>147</v>
      </c>
      <c r="C2743" t="s">
        <v>5694</v>
      </c>
      <c r="D2743" t="s">
        <v>377</v>
      </c>
      <c r="E2743" s="13">
        <v>180</v>
      </c>
      <c r="F2743" s="12">
        <v>25.61</v>
      </c>
      <c r="G2743" t="str">
        <f>IFERROR(INDEX(tEditais[Órgão],MATCH(tItens[[#This Row],[Edital]],tEditais[Edital],0)),"")</f>
        <v>MUNICIPIO DE RIO NOVO</v>
      </c>
      <c r="H2743" t="str">
        <f>IFERROR(INDEX(tEditais[UF],MATCH(tItens[[#This Row],[Edital]],tEditais[Edital],0)),"")</f>
        <v>MG</v>
      </c>
      <c r="I2743" s="11">
        <f>IFERROR(INDEX(tEditais[Encerramento],MATCH(tItens[[#This Row],[Edital]],tEditais[Edital],0)),"")</f>
        <v>46304.333333333336</v>
      </c>
      <c r="J2743" t="str">
        <f>IFERROR(INDEX(tProdutos[Classe],MATCH(tItens[[#This Row],[Produto]],tProdutos[Produto],0)),"produto não cadastrado")</f>
        <v>FORA</v>
      </c>
      <c r="K2743" s="12">
        <f>tItens[[#This Row],[Qtd]]*tItens[[#This Row],[Vlr unit]]</f>
        <v>4609.8</v>
      </c>
      <c r="L2743" s="6">
        <f>IFERROR(IF(INDEX(tProdutos[Desconto homologado],MATCH(tItens[[#This Row],[Produto]],tProdutos[Produto],0))="",DescontoPadrao,INDEX(tProdutos[Desconto homologado],MATCH(tItens[[#This Row],[Produto]],tProdutos[Produto],0))),DescontoPadrao)</f>
        <v>0.29186603777106501</v>
      </c>
      <c r="M2743" s="12">
        <f>tItens[[#This Row],[Valor]]*(1-tItens[[#This Row],[Desconto]])</f>
        <v>3264.3559390829446</v>
      </c>
      <c r="N2743" t="str">
        <f>IFERROR(INDEX(tProdutos[Foco],MATCH(tItens[[#This Row],[Produto]],tProdutos[Produto],0)),"Não")</f>
        <v>Não</v>
      </c>
      <c r="O2743" t="str">
        <f>IFERROR(INDEX(tEditais[SRP],MATCH(tItens[[#This Row],[Edital]],tEditais[Edital],0)),"Não")</f>
        <v>Sim</v>
      </c>
      <c r="P2743" s="4">
        <f>IF(COUNTIFS(INDEX(tItens[Edital],1):tItens[[#This Row],[Edital]],tItens[[#This Row],[Edital]],INDEX(tItens[Produto],1):tItens[[#This Row],[Produto]],tItens[[#This Row],[Produto]])=1,1,0)</f>
        <v>1</v>
      </c>
    </row>
    <row r="2744" spans="1:16" x14ac:dyDescent="0.25">
      <c r="A2744" t="s">
        <v>1282</v>
      </c>
      <c r="B2744">
        <v>148</v>
      </c>
      <c r="C2744" t="s">
        <v>5695</v>
      </c>
      <c r="D2744" t="s">
        <v>377</v>
      </c>
      <c r="E2744" s="13">
        <v>200</v>
      </c>
      <c r="F2744" s="12">
        <v>26.26</v>
      </c>
      <c r="G2744" t="str">
        <f>IFERROR(INDEX(tEditais[Órgão],MATCH(tItens[[#This Row],[Edital]],tEditais[Edital],0)),"")</f>
        <v>MUNICIPIO DE RIO NOVO</v>
      </c>
      <c r="H2744" t="str">
        <f>IFERROR(INDEX(tEditais[UF],MATCH(tItens[[#This Row],[Edital]],tEditais[Edital],0)),"")</f>
        <v>MG</v>
      </c>
      <c r="I2744" s="11">
        <f>IFERROR(INDEX(tEditais[Encerramento],MATCH(tItens[[#This Row],[Edital]],tEditais[Edital],0)),"")</f>
        <v>46304.333333333336</v>
      </c>
      <c r="J2744" t="str">
        <f>IFERROR(INDEX(tProdutos[Classe],MATCH(tItens[[#This Row],[Produto]],tProdutos[Produto],0)),"produto não cadastrado")</f>
        <v>FORA</v>
      </c>
      <c r="K2744" s="12">
        <f>tItens[[#This Row],[Qtd]]*tItens[[#This Row],[Vlr unit]]</f>
        <v>5252</v>
      </c>
      <c r="L2744" s="6">
        <f>IFERROR(IF(INDEX(tProdutos[Desconto homologado],MATCH(tItens[[#This Row],[Produto]],tProdutos[Produto],0))="",DescontoPadrao,INDEX(tProdutos[Desconto homologado],MATCH(tItens[[#This Row],[Produto]],tProdutos[Produto],0))),DescontoPadrao)</f>
        <v>0.29186603777106501</v>
      </c>
      <c r="M2744" s="12">
        <f>tItens[[#This Row],[Valor]]*(1-tItens[[#This Row],[Desconto]])</f>
        <v>3719.1195696263667</v>
      </c>
      <c r="N2744" t="str">
        <f>IFERROR(INDEX(tProdutos[Foco],MATCH(tItens[[#This Row],[Produto]],tProdutos[Produto],0)),"Não")</f>
        <v>Não</v>
      </c>
      <c r="O2744" t="str">
        <f>IFERROR(INDEX(tEditais[SRP],MATCH(tItens[[#This Row],[Edital]],tEditais[Edital],0)),"Não")</f>
        <v>Sim</v>
      </c>
      <c r="P2744" s="4">
        <f>IF(COUNTIFS(INDEX(tItens[Edital],1):tItens[[#This Row],[Edital]],tItens[[#This Row],[Edital]],INDEX(tItens[Produto],1):tItens[[#This Row],[Produto]],tItens[[#This Row],[Produto]])=1,1,0)</f>
        <v>0</v>
      </c>
    </row>
    <row r="2745" spans="1:16" x14ac:dyDescent="0.25">
      <c r="A2745" t="s">
        <v>1282</v>
      </c>
      <c r="B2745">
        <v>150</v>
      </c>
      <c r="C2745" t="s">
        <v>5696</v>
      </c>
      <c r="D2745" t="s">
        <v>381</v>
      </c>
      <c r="E2745" s="13">
        <v>150</v>
      </c>
      <c r="F2745" s="12">
        <v>22.45</v>
      </c>
      <c r="G2745" t="str">
        <f>IFERROR(INDEX(tEditais[Órgão],MATCH(tItens[[#This Row],[Edital]],tEditais[Edital],0)),"")</f>
        <v>MUNICIPIO DE RIO NOVO</v>
      </c>
      <c r="H2745" t="str">
        <f>IFERROR(INDEX(tEditais[UF],MATCH(tItens[[#This Row],[Edital]],tEditais[Edital],0)),"")</f>
        <v>MG</v>
      </c>
      <c r="I2745" s="11">
        <f>IFERROR(INDEX(tEditais[Encerramento],MATCH(tItens[[#This Row],[Edital]],tEditais[Edital],0)),"")</f>
        <v>46304.333333333336</v>
      </c>
      <c r="J2745" t="str">
        <f>IFERROR(INDEX(tProdutos[Classe],MATCH(tItens[[#This Row],[Produto]],tProdutos[Produto],0)),"produto não cadastrado")</f>
        <v>FORA</v>
      </c>
      <c r="K2745" s="12">
        <f>tItens[[#This Row],[Qtd]]*tItens[[#This Row],[Vlr unit]]</f>
        <v>3367.5</v>
      </c>
      <c r="L2745" s="6">
        <f>IFERROR(IF(INDEX(tProdutos[Desconto homologado],MATCH(tItens[[#This Row],[Produto]],tProdutos[Produto],0))="",DescontoPadrao,INDEX(tProdutos[Desconto homologado],MATCH(tItens[[#This Row],[Produto]],tProdutos[Produto],0))),DescontoPadrao)</f>
        <v>0.41112828438949001</v>
      </c>
      <c r="M2745" s="12">
        <f>tItens[[#This Row],[Valor]]*(1-tItens[[#This Row],[Desconto]])</f>
        <v>1983.0255023183925</v>
      </c>
      <c r="N2745" t="str">
        <f>IFERROR(INDEX(tProdutos[Foco],MATCH(tItens[[#This Row],[Produto]],tProdutos[Produto],0)),"Não")</f>
        <v>Não</v>
      </c>
      <c r="O2745" t="str">
        <f>IFERROR(INDEX(tEditais[SRP],MATCH(tItens[[#This Row],[Edital]],tEditais[Edital],0)),"Não")</f>
        <v>Sim</v>
      </c>
      <c r="P2745" s="4">
        <f>IF(COUNTIFS(INDEX(tItens[Edital],1):tItens[[#This Row],[Edital]],tItens[[#This Row],[Edital]],INDEX(tItens[Produto],1):tItens[[#This Row],[Produto]],tItens[[#This Row],[Produto]])=1,1,0)</f>
        <v>1</v>
      </c>
    </row>
    <row r="2746" spans="1:16" x14ac:dyDescent="0.25">
      <c r="A2746" t="s">
        <v>1282</v>
      </c>
      <c r="B2746">
        <v>151</v>
      </c>
      <c r="C2746" t="s">
        <v>5697</v>
      </c>
      <c r="D2746" t="s">
        <v>381</v>
      </c>
      <c r="E2746" s="13">
        <v>160</v>
      </c>
      <c r="F2746" s="12">
        <v>27.61</v>
      </c>
      <c r="G2746" t="str">
        <f>IFERROR(INDEX(tEditais[Órgão],MATCH(tItens[[#This Row],[Edital]],tEditais[Edital],0)),"")</f>
        <v>MUNICIPIO DE RIO NOVO</v>
      </c>
      <c r="H2746" t="str">
        <f>IFERROR(INDEX(tEditais[UF],MATCH(tItens[[#This Row],[Edital]],tEditais[Edital],0)),"")</f>
        <v>MG</v>
      </c>
      <c r="I2746" s="11">
        <f>IFERROR(INDEX(tEditais[Encerramento],MATCH(tItens[[#This Row],[Edital]],tEditais[Edital],0)),"")</f>
        <v>46304.333333333336</v>
      </c>
      <c r="J2746" t="str">
        <f>IFERROR(INDEX(tProdutos[Classe],MATCH(tItens[[#This Row],[Produto]],tProdutos[Produto],0)),"produto não cadastrado")</f>
        <v>FORA</v>
      </c>
      <c r="K2746" s="12">
        <f>tItens[[#This Row],[Qtd]]*tItens[[#This Row],[Vlr unit]]</f>
        <v>4417.6000000000004</v>
      </c>
      <c r="L2746" s="6">
        <f>IFERROR(IF(INDEX(tProdutos[Desconto homologado],MATCH(tItens[[#This Row],[Produto]],tProdutos[Produto],0))="",DescontoPadrao,INDEX(tProdutos[Desconto homologado],MATCH(tItens[[#This Row],[Produto]],tProdutos[Produto],0))),DescontoPadrao)</f>
        <v>0.41112828438949001</v>
      </c>
      <c r="M2746" s="12">
        <f>tItens[[#This Row],[Valor]]*(1-tItens[[#This Row],[Desconto]])</f>
        <v>2601.3996908809891</v>
      </c>
      <c r="N2746" t="str">
        <f>IFERROR(INDEX(tProdutos[Foco],MATCH(tItens[[#This Row],[Produto]],tProdutos[Produto],0)),"Não")</f>
        <v>Não</v>
      </c>
      <c r="O2746" t="str">
        <f>IFERROR(INDEX(tEditais[SRP],MATCH(tItens[[#This Row],[Edital]],tEditais[Edital],0)),"Não")</f>
        <v>Sim</v>
      </c>
      <c r="P2746" s="4">
        <f>IF(COUNTIFS(INDEX(tItens[Edital],1):tItens[[#This Row],[Edital]],tItens[[#This Row],[Edital]],INDEX(tItens[Produto],1):tItens[[#This Row],[Produto]],tItens[[#This Row],[Produto]])=1,1,0)</f>
        <v>0</v>
      </c>
    </row>
    <row r="2747" spans="1:16" x14ac:dyDescent="0.25">
      <c r="A2747" t="s">
        <v>1282</v>
      </c>
      <c r="B2747">
        <v>152</v>
      </c>
      <c r="C2747" t="s">
        <v>5698</v>
      </c>
      <c r="D2747" t="s">
        <v>381</v>
      </c>
      <c r="E2747" s="13">
        <v>150</v>
      </c>
      <c r="F2747" s="12">
        <v>26.58</v>
      </c>
      <c r="G2747" t="str">
        <f>IFERROR(INDEX(tEditais[Órgão],MATCH(tItens[[#This Row],[Edital]],tEditais[Edital],0)),"")</f>
        <v>MUNICIPIO DE RIO NOVO</v>
      </c>
      <c r="H2747" t="str">
        <f>IFERROR(INDEX(tEditais[UF],MATCH(tItens[[#This Row],[Edital]],tEditais[Edital],0)),"")</f>
        <v>MG</v>
      </c>
      <c r="I2747" s="11">
        <f>IFERROR(INDEX(tEditais[Encerramento],MATCH(tItens[[#This Row],[Edital]],tEditais[Edital],0)),"")</f>
        <v>46304.333333333336</v>
      </c>
      <c r="J2747" t="str">
        <f>IFERROR(INDEX(tProdutos[Classe],MATCH(tItens[[#This Row],[Produto]],tProdutos[Produto],0)),"produto não cadastrado")</f>
        <v>FORA</v>
      </c>
      <c r="K2747" s="12">
        <f>tItens[[#This Row],[Qtd]]*tItens[[#This Row],[Vlr unit]]</f>
        <v>3986.9999999999995</v>
      </c>
      <c r="L2747" s="6">
        <f>IFERROR(IF(INDEX(tProdutos[Desconto homologado],MATCH(tItens[[#This Row],[Produto]],tProdutos[Produto],0))="",DescontoPadrao,INDEX(tProdutos[Desconto homologado],MATCH(tItens[[#This Row],[Produto]],tProdutos[Produto],0))),DescontoPadrao)</f>
        <v>0.41112828438949001</v>
      </c>
      <c r="M2747" s="12">
        <f>tItens[[#This Row],[Valor]]*(1-tItens[[#This Row],[Desconto]])</f>
        <v>2347.8315301391031</v>
      </c>
      <c r="N2747" t="str">
        <f>IFERROR(INDEX(tProdutos[Foco],MATCH(tItens[[#This Row],[Produto]],tProdutos[Produto],0)),"Não")</f>
        <v>Não</v>
      </c>
      <c r="O2747" t="str">
        <f>IFERROR(INDEX(tEditais[SRP],MATCH(tItens[[#This Row],[Edital]],tEditais[Edital],0)),"Não")</f>
        <v>Sim</v>
      </c>
      <c r="P2747" s="4">
        <f>IF(COUNTIFS(INDEX(tItens[Edital],1):tItens[[#This Row],[Edital]],tItens[[#This Row],[Edital]],INDEX(tItens[Produto],1):tItens[[#This Row],[Produto]],tItens[[#This Row],[Produto]])=1,1,0)</f>
        <v>0</v>
      </c>
    </row>
    <row r="2748" spans="1:16" x14ac:dyDescent="0.25">
      <c r="A2748" t="s">
        <v>1282</v>
      </c>
      <c r="B2748">
        <v>156</v>
      </c>
      <c r="C2748" t="s">
        <v>5699</v>
      </c>
      <c r="D2748" t="s">
        <v>385</v>
      </c>
      <c r="E2748" s="13">
        <v>6000</v>
      </c>
      <c r="F2748" s="12">
        <v>6.28</v>
      </c>
      <c r="G2748" t="str">
        <f>IFERROR(INDEX(tEditais[Órgão],MATCH(tItens[[#This Row],[Edital]],tEditais[Edital],0)),"")</f>
        <v>MUNICIPIO DE RIO NOVO</v>
      </c>
      <c r="H2748" t="str">
        <f>IFERROR(INDEX(tEditais[UF],MATCH(tItens[[#This Row],[Edital]],tEditais[Edital],0)),"")</f>
        <v>MG</v>
      </c>
      <c r="I2748" s="11">
        <f>IFERROR(INDEX(tEditais[Encerramento],MATCH(tItens[[#This Row],[Edital]],tEditais[Edital],0)),"")</f>
        <v>46304.333333333336</v>
      </c>
      <c r="J2748" t="str">
        <f>IFERROR(INDEX(tProdutos[Classe],MATCH(tItens[[#This Row],[Produto]],tProdutos[Produto],0)),"produto não cadastrado")</f>
        <v>FORA</v>
      </c>
      <c r="K2748" s="12">
        <f>tItens[[#This Row],[Qtd]]*tItens[[#This Row],[Vlr unit]]</f>
        <v>37680</v>
      </c>
      <c r="L2748" s="6">
        <f>IFERROR(IF(INDEX(tProdutos[Desconto homologado],MATCH(tItens[[#This Row],[Produto]],tProdutos[Produto],0))="",DescontoPadrao,INDEX(tProdutos[Desconto homologado],MATCH(tItens[[#This Row],[Produto]],tProdutos[Produto],0))),DescontoPadrao)</f>
        <v>0.46969696969697</v>
      </c>
      <c r="M2748" s="12">
        <f>tItens[[#This Row],[Valor]]*(1-tItens[[#This Row],[Desconto]])</f>
        <v>19981.818181818173</v>
      </c>
      <c r="N2748" t="str">
        <f>IFERROR(INDEX(tProdutos[Foco],MATCH(tItens[[#This Row],[Produto]],tProdutos[Produto],0)),"Não")</f>
        <v>Não</v>
      </c>
      <c r="O2748" t="str">
        <f>IFERROR(INDEX(tEditais[SRP],MATCH(tItens[[#This Row],[Edital]],tEditais[Edital],0)),"Não")</f>
        <v>Sim</v>
      </c>
      <c r="P2748" s="4">
        <f>IF(COUNTIFS(INDEX(tItens[Edital],1):tItens[[#This Row],[Edital]],tItens[[#This Row],[Edital]],INDEX(tItens[Produto],1):tItens[[#This Row],[Produto]],tItens[[#This Row],[Produto]])=1,1,0)</f>
        <v>1</v>
      </c>
    </row>
    <row r="2749" spans="1:16" x14ac:dyDescent="0.25">
      <c r="A2749" t="s">
        <v>1282</v>
      </c>
      <c r="B2749">
        <v>158</v>
      </c>
      <c r="C2749" t="s">
        <v>5700</v>
      </c>
      <c r="D2749" t="s">
        <v>170</v>
      </c>
      <c r="E2749" s="13">
        <v>500</v>
      </c>
      <c r="F2749" s="12">
        <v>18.940000000000001</v>
      </c>
      <c r="G2749" t="str">
        <f>IFERROR(INDEX(tEditais[Órgão],MATCH(tItens[[#This Row],[Edital]],tEditais[Edital],0)),"")</f>
        <v>MUNICIPIO DE RIO NOVO</v>
      </c>
      <c r="H2749" t="str">
        <f>IFERROR(INDEX(tEditais[UF],MATCH(tItens[[#This Row],[Edital]],tEditais[Edital],0)),"")</f>
        <v>MG</v>
      </c>
      <c r="I2749" s="11">
        <f>IFERROR(INDEX(tEditais[Encerramento],MATCH(tItens[[#This Row],[Edital]],tEditais[Edital],0)),"")</f>
        <v>46304.333333333336</v>
      </c>
      <c r="J2749" t="str">
        <f>IFERROR(INDEX(tProdutos[Classe],MATCH(tItens[[#This Row],[Produto]],tProdutos[Produto],0)),"produto não cadastrado")</f>
        <v>DISPUTADO</v>
      </c>
      <c r="K2749" s="12">
        <f>tItens[[#This Row],[Qtd]]*tItens[[#This Row],[Vlr unit]]</f>
        <v>9470</v>
      </c>
      <c r="L2749" s="6">
        <f>IFERROR(IF(INDEX(tProdutos[Desconto homologado],MATCH(tItens[[#This Row],[Produto]],tProdutos[Produto],0))="",DescontoPadrao,INDEX(tProdutos[Desconto homologado],MATCH(tItens[[#This Row],[Produto]],tProdutos[Produto],0))),DescontoPadrao)</f>
        <v>0.36</v>
      </c>
      <c r="M2749" s="12">
        <f>tItens[[#This Row],[Valor]]*(1-tItens[[#This Row],[Desconto]])</f>
        <v>6060.8</v>
      </c>
      <c r="N2749" t="str">
        <f>IFERROR(INDEX(tProdutos[Foco],MATCH(tItens[[#This Row],[Produto]],tProdutos[Produto],0)),"Não")</f>
        <v>Sim</v>
      </c>
      <c r="O2749" t="str">
        <f>IFERROR(INDEX(tEditais[SRP],MATCH(tItens[[#This Row],[Edital]],tEditais[Edital],0)),"Não")</f>
        <v>Sim</v>
      </c>
      <c r="P2749" s="4">
        <f>IF(COUNTIFS(INDEX(tItens[Edital],1):tItens[[#This Row],[Edital]],tItens[[#This Row],[Edital]],INDEX(tItens[Produto],1):tItens[[#This Row],[Produto]],tItens[[#This Row],[Produto]])=1,1,0)</f>
        <v>1</v>
      </c>
    </row>
    <row r="2750" spans="1:16" x14ac:dyDescent="0.25">
      <c r="A2750" t="s">
        <v>1282</v>
      </c>
      <c r="B2750">
        <v>159</v>
      </c>
      <c r="C2750" t="s">
        <v>5701</v>
      </c>
      <c r="D2750" t="s">
        <v>170</v>
      </c>
      <c r="E2750" s="13">
        <v>500</v>
      </c>
      <c r="F2750" s="12">
        <v>17.45</v>
      </c>
      <c r="G2750" t="str">
        <f>IFERROR(INDEX(tEditais[Órgão],MATCH(tItens[[#This Row],[Edital]],tEditais[Edital],0)),"")</f>
        <v>MUNICIPIO DE RIO NOVO</v>
      </c>
      <c r="H2750" t="str">
        <f>IFERROR(INDEX(tEditais[UF],MATCH(tItens[[#This Row],[Edital]],tEditais[Edital],0)),"")</f>
        <v>MG</v>
      </c>
      <c r="I2750" s="11">
        <f>IFERROR(INDEX(tEditais[Encerramento],MATCH(tItens[[#This Row],[Edital]],tEditais[Edital],0)),"")</f>
        <v>46304.333333333336</v>
      </c>
      <c r="J2750" t="str">
        <f>IFERROR(INDEX(tProdutos[Classe],MATCH(tItens[[#This Row],[Produto]],tProdutos[Produto],0)),"produto não cadastrado")</f>
        <v>DISPUTADO</v>
      </c>
      <c r="K2750" s="12">
        <f>tItens[[#This Row],[Qtd]]*tItens[[#This Row],[Vlr unit]]</f>
        <v>8725</v>
      </c>
      <c r="L2750" s="6">
        <f>IFERROR(IF(INDEX(tProdutos[Desconto homologado],MATCH(tItens[[#This Row],[Produto]],tProdutos[Produto],0))="",DescontoPadrao,INDEX(tProdutos[Desconto homologado],MATCH(tItens[[#This Row],[Produto]],tProdutos[Produto],0))),DescontoPadrao)</f>
        <v>0.36</v>
      </c>
      <c r="M2750" s="12">
        <f>tItens[[#This Row],[Valor]]*(1-tItens[[#This Row],[Desconto]])</f>
        <v>5584</v>
      </c>
      <c r="N2750" t="str">
        <f>IFERROR(INDEX(tProdutos[Foco],MATCH(tItens[[#This Row],[Produto]],tProdutos[Produto],0)),"Não")</f>
        <v>Sim</v>
      </c>
      <c r="O2750" t="str">
        <f>IFERROR(INDEX(tEditais[SRP],MATCH(tItens[[#This Row],[Edital]],tEditais[Edital],0)),"Não")</f>
        <v>Sim</v>
      </c>
      <c r="P2750" s="4">
        <f>IF(COUNTIFS(INDEX(tItens[Edital],1):tItens[[#This Row],[Edital]],tItens[[#This Row],[Edital]],INDEX(tItens[Produto],1):tItens[[#This Row],[Produto]],tItens[[#This Row],[Produto]])=1,1,0)</f>
        <v>0</v>
      </c>
    </row>
    <row r="2751" spans="1:16" x14ac:dyDescent="0.25">
      <c r="A2751" t="s">
        <v>1282</v>
      </c>
      <c r="B2751">
        <v>160</v>
      </c>
      <c r="C2751" t="s">
        <v>5702</v>
      </c>
      <c r="D2751" t="s">
        <v>170</v>
      </c>
      <c r="E2751" s="13">
        <v>500</v>
      </c>
      <c r="F2751" s="12">
        <v>16.489999999999998</v>
      </c>
      <c r="G2751" t="str">
        <f>IFERROR(INDEX(tEditais[Órgão],MATCH(tItens[[#This Row],[Edital]],tEditais[Edital],0)),"")</f>
        <v>MUNICIPIO DE RIO NOVO</v>
      </c>
      <c r="H2751" t="str">
        <f>IFERROR(INDEX(tEditais[UF],MATCH(tItens[[#This Row],[Edital]],tEditais[Edital],0)),"")</f>
        <v>MG</v>
      </c>
      <c r="I2751" s="11">
        <f>IFERROR(INDEX(tEditais[Encerramento],MATCH(tItens[[#This Row],[Edital]],tEditais[Edital],0)),"")</f>
        <v>46304.333333333336</v>
      </c>
      <c r="J2751" t="str">
        <f>IFERROR(INDEX(tProdutos[Classe],MATCH(tItens[[#This Row],[Produto]],tProdutos[Produto],0)),"produto não cadastrado")</f>
        <v>DISPUTADO</v>
      </c>
      <c r="K2751" s="12">
        <f>tItens[[#This Row],[Qtd]]*tItens[[#This Row],[Vlr unit]]</f>
        <v>8245</v>
      </c>
      <c r="L2751" s="6">
        <f>IFERROR(IF(INDEX(tProdutos[Desconto homologado],MATCH(tItens[[#This Row],[Produto]],tProdutos[Produto],0))="",DescontoPadrao,INDEX(tProdutos[Desconto homologado],MATCH(tItens[[#This Row],[Produto]],tProdutos[Produto],0))),DescontoPadrao)</f>
        <v>0.36</v>
      </c>
      <c r="M2751" s="12">
        <f>tItens[[#This Row],[Valor]]*(1-tItens[[#This Row],[Desconto]])</f>
        <v>5276.8</v>
      </c>
      <c r="N2751" t="str">
        <f>IFERROR(INDEX(tProdutos[Foco],MATCH(tItens[[#This Row],[Produto]],tProdutos[Produto],0)),"Não")</f>
        <v>Sim</v>
      </c>
      <c r="O2751" t="str">
        <f>IFERROR(INDEX(tEditais[SRP],MATCH(tItens[[#This Row],[Edital]],tEditais[Edital],0)),"Não")</f>
        <v>Sim</v>
      </c>
      <c r="P2751" s="4">
        <f>IF(COUNTIFS(INDEX(tItens[Edital],1):tItens[[#This Row],[Edital]],tItens[[#This Row],[Edital]],INDEX(tItens[Produto],1):tItens[[#This Row],[Produto]],tItens[[#This Row],[Produto]])=1,1,0)</f>
        <v>0</v>
      </c>
    </row>
    <row r="2752" spans="1:16" x14ac:dyDescent="0.25">
      <c r="A2752" t="s">
        <v>1282</v>
      </c>
      <c r="B2752">
        <v>161</v>
      </c>
      <c r="C2752" t="s">
        <v>5703</v>
      </c>
      <c r="D2752" t="s">
        <v>170</v>
      </c>
      <c r="E2752" s="13">
        <v>500</v>
      </c>
      <c r="F2752" s="12">
        <v>16.72</v>
      </c>
      <c r="G2752" t="str">
        <f>IFERROR(INDEX(tEditais[Órgão],MATCH(tItens[[#This Row],[Edital]],tEditais[Edital],0)),"")</f>
        <v>MUNICIPIO DE RIO NOVO</v>
      </c>
      <c r="H2752" t="str">
        <f>IFERROR(INDEX(tEditais[UF],MATCH(tItens[[#This Row],[Edital]],tEditais[Edital],0)),"")</f>
        <v>MG</v>
      </c>
      <c r="I2752" s="11">
        <f>IFERROR(INDEX(tEditais[Encerramento],MATCH(tItens[[#This Row],[Edital]],tEditais[Edital],0)),"")</f>
        <v>46304.333333333336</v>
      </c>
      <c r="J2752" t="str">
        <f>IFERROR(INDEX(tProdutos[Classe],MATCH(tItens[[#This Row],[Produto]],tProdutos[Produto],0)),"produto não cadastrado")</f>
        <v>DISPUTADO</v>
      </c>
      <c r="K2752" s="12">
        <f>tItens[[#This Row],[Qtd]]*tItens[[#This Row],[Vlr unit]]</f>
        <v>8360</v>
      </c>
      <c r="L2752" s="6">
        <f>IFERROR(IF(INDEX(tProdutos[Desconto homologado],MATCH(tItens[[#This Row],[Produto]],tProdutos[Produto],0))="",DescontoPadrao,INDEX(tProdutos[Desconto homologado],MATCH(tItens[[#This Row],[Produto]],tProdutos[Produto],0))),DescontoPadrao)</f>
        <v>0.36</v>
      </c>
      <c r="M2752" s="12">
        <f>tItens[[#This Row],[Valor]]*(1-tItens[[#This Row],[Desconto]])</f>
        <v>5350.4000000000005</v>
      </c>
      <c r="N2752" t="str">
        <f>IFERROR(INDEX(tProdutos[Foco],MATCH(tItens[[#This Row],[Produto]],tProdutos[Produto],0)),"Não")</f>
        <v>Sim</v>
      </c>
      <c r="O2752" t="str">
        <f>IFERROR(INDEX(tEditais[SRP],MATCH(tItens[[#This Row],[Edital]],tEditais[Edital],0)),"Não")</f>
        <v>Sim</v>
      </c>
      <c r="P2752" s="4">
        <f>IF(COUNTIFS(INDEX(tItens[Edital],1):tItens[[#This Row],[Edital]],tItens[[#This Row],[Edital]],INDEX(tItens[Produto],1):tItens[[#This Row],[Produto]],tItens[[#This Row],[Produto]])=1,1,0)</f>
        <v>0</v>
      </c>
    </row>
    <row r="2753" spans="1:16" x14ac:dyDescent="0.25">
      <c r="A2753" t="s">
        <v>1282</v>
      </c>
      <c r="B2753">
        <v>162</v>
      </c>
      <c r="C2753" t="s">
        <v>5704</v>
      </c>
      <c r="D2753" t="s">
        <v>170</v>
      </c>
      <c r="E2753" s="13">
        <v>500</v>
      </c>
      <c r="F2753" s="12">
        <v>19.05</v>
      </c>
      <c r="G2753" t="str">
        <f>IFERROR(INDEX(tEditais[Órgão],MATCH(tItens[[#This Row],[Edital]],tEditais[Edital],0)),"")</f>
        <v>MUNICIPIO DE RIO NOVO</v>
      </c>
      <c r="H2753" t="str">
        <f>IFERROR(INDEX(tEditais[UF],MATCH(tItens[[#This Row],[Edital]],tEditais[Edital],0)),"")</f>
        <v>MG</v>
      </c>
      <c r="I2753" s="11">
        <f>IFERROR(INDEX(tEditais[Encerramento],MATCH(tItens[[#This Row],[Edital]],tEditais[Edital],0)),"")</f>
        <v>46304.333333333336</v>
      </c>
      <c r="J2753" t="str">
        <f>IFERROR(INDEX(tProdutos[Classe],MATCH(tItens[[#This Row],[Produto]],tProdutos[Produto],0)),"produto não cadastrado")</f>
        <v>DISPUTADO</v>
      </c>
      <c r="K2753" s="12">
        <f>tItens[[#This Row],[Qtd]]*tItens[[#This Row],[Vlr unit]]</f>
        <v>9525</v>
      </c>
      <c r="L2753" s="6">
        <f>IFERROR(IF(INDEX(tProdutos[Desconto homologado],MATCH(tItens[[#This Row],[Produto]],tProdutos[Produto],0))="",DescontoPadrao,INDEX(tProdutos[Desconto homologado],MATCH(tItens[[#This Row],[Produto]],tProdutos[Produto],0))),DescontoPadrao)</f>
        <v>0.36</v>
      </c>
      <c r="M2753" s="12">
        <f>tItens[[#This Row],[Valor]]*(1-tItens[[#This Row],[Desconto]])</f>
        <v>6096</v>
      </c>
      <c r="N2753" t="str">
        <f>IFERROR(INDEX(tProdutos[Foco],MATCH(tItens[[#This Row],[Produto]],tProdutos[Produto],0)),"Não")</f>
        <v>Sim</v>
      </c>
      <c r="O2753" t="str">
        <f>IFERROR(INDEX(tEditais[SRP],MATCH(tItens[[#This Row],[Edital]],tEditais[Edital],0)),"Não")</f>
        <v>Sim</v>
      </c>
      <c r="P2753" s="4">
        <f>IF(COUNTIFS(INDEX(tItens[Edital],1):tItens[[#This Row],[Edital]],tItens[[#This Row],[Edital]],INDEX(tItens[Produto],1):tItens[[#This Row],[Produto]],tItens[[#This Row],[Produto]])=1,1,0)</f>
        <v>0</v>
      </c>
    </row>
    <row r="2754" spans="1:16" x14ac:dyDescent="0.25">
      <c r="A2754" t="s">
        <v>1282</v>
      </c>
      <c r="B2754">
        <v>163</v>
      </c>
      <c r="C2754" t="s">
        <v>5705</v>
      </c>
      <c r="D2754" t="s">
        <v>170</v>
      </c>
      <c r="E2754" s="13">
        <v>500</v>
      </c>
      <c r="F2754" s="12">
        <v>18.920000000000002</v>
      </c>
      <c r="G2754" t="str">
        <f>IFERROR(INDEX(tEditais[Órgão],MATCH(tItens[[#This Row],[Edital]],tEditais[Edital],0)),"")</f>
        <v>MUNICIPIO DE RIO NOVO</v>
      </c>
      <c r="H2754" t="str">
        <f>IFERROR(INDEX(tEditais[UF],MATCH(tItens[[#This Row],[Edital]],tEditais[Edital],0)),"")</f>
        <v>MG</v>
      </c>
      <c r="I2754" s="11">
        <f>IFERROR(INDEX(tEditais[Encerramento],MATCH(tItens[[#This Row],[Edital]],tEditais[Edital],0)),"")</f>
        <v>46304.333333333336</v>
      </c>
      <c r="J2754" t="str">
        <f>IFERROR(INDEX(tProdutos[Classe],MATCH(tItens[[#This Row],[Produto]],tProdutos[Produto],0)),"produto não cadastrado")</f>
        <v>DISPUTADO</v>
      </c>
      <c r="K2754" s="12">
        <f>tItens[[#This Row],[Qtd]]*tItens[[#This Row],[Vlr unit]]</f>
        <v>9460</v>
      </c>
      <c r="L2754" s="6">
        <f>IFERROR(IF(INDEX(tProdutos[Desconto homologado],MATCH(tItens[[#This Row],[Produto]],tProdutos[Produto],0))="",DescontoPadrao,INDEX(tProdutos[Desconto homologado],MATCH(tItens[[#This Row],[Produto]],tProdutos[Produto],0))),DescontoPadrao)</f>
        <v>0.36</v>
      </c>
      <c r="M2754" s="12">
        <f>tItens[[#This Row],[Valor]]*(1-tItens[[#This Row],[Desconto]])</f>
        <v>6054.4000000000005</v>
      </c>
      <c r="N2754" t="str">
        <f>IFERROR(INDEX(tProdutos[Foco],MATCH(tItens[[#This Row],[Produto]],tProdutos[Produto],0)),"Não")</f>
        <v>Sim</v>
      </c>
      <c r="O2754" t="str">
        <f>IFERROR(INDEX(tEditais[SRP],MATCH(tItens[[#This Row],[Edital]],tEditais[Edital],0)),"Não")</f>
        <v>Sim</v>
      </c>
      <c r="P2754" s="4">
        <f>IF(COUNTIFS(INDEX(tItens[Edital],1):tItens[[#This Row],[Edital]],tItens[[#This Row],[Edital]],INDEX(tItens[Produto],1):tItens[[#This Row],[Produto]],tItens[[#This Row],[Produto]])=1,1,0)</f>
        <v>0</v>
      </c>
    </row>
    <row r="2755" spans="1:16" x14ac:dyDescent="0.25">
      <c r="A2755" t="s">
        <v>1282</v>
      </c>
      <c r="B2755">
        <v>164</v>
      </c>
      <c r="C2755" t="s">
        <v>5706</v>
      </c>
      <c r="D2755" t="s">
        <v>170</v>
      </c>
      <c r="E2755" s="13">
        <v>500</v>
      </c>
      <c r="F2755" s="12">
        <v>19.89</v>
      </c>
      <c r="G2755" t="str">
        <f>IFERROR(INDEX(tEditais[Órgão],MATCH(tItens[[#This Row],[Edital]],tEditais[Edital],0)),"")</f>
        <v>MUNICIPIO DE RIO NOVO</v>
      </c>
      <c r="H2755" t="str">
        <f>IFERROR(INDEX(tEditais[UF],MATCH(tItens[[#This Row],[Edital]],tEditais[Edital],0)),"")</f>
        <v>MG</v>
      </c>
      <c r="I2755" s="11">
        <f>IFERROR(INDEX(tEditais[Encerramento],MATCH(tItens[[#This Row],[Edital]],tEditais[Edital],0)),"")</f>
        <v>46304.333333333336</v>
      </c>
      <c r="J2755" t="str">
        <f>IFERROR(INDEX(tProdutos[Classe],MATCH(tItens[[#This Row],[Produto]],tProdutos[Produto],0)),"produto não cadastrado")</f>
        <v>DISPUTADO</v>
      </c>
      <c r="K2755" s="12">
        <f>tItens[[#This Row],[Qtd]]*tItens[[#This Row],[Vlr unit]]</f>
        <v>9945</v>
      </c>
      <c r="L2755" s="6">
        <f>IFERROR(IF(INDEX(tProdutos[Desconto homologado],MATCH(tItens[[#This Row],[Produto]],tProdutos[Produto],0))="",DescontoPadrao,INDEX(tProdutos[Desconto homologado],MATCH(tItens[[#This Row],[Produto]],tProdutos[Produto],0))),DescontoPadrao)</f>
        <v>0.36</v>
      </c>
      <c r="M2755" s="12">
        <f>tItens[[#This Row],[Valor]]*(1-tItens[[#This Row],[Desconto]])</f>
        <v>6364.8</v>
      </c>
      <c r="N2755" t="str">
        <f>IFERROR(INDEX(tProdutos[Foco],MATCH(tItens[[#This Row],[Produto]],tProdutos[Produto],0)),"Não")</f>
        <v>Sim</v>
      </c>
      <c r="O2755" t="str">
        <f>IFERROR(INDEX(tEditais[SRP],MATCH(tItens[[#This Row],[Edital]],tEditais[Edital],0)),"Não")</f>
        <v>Sim</v>
      </c>
      <c r="P2755" s="4">
        <f>IF(COUNTIFS(INDEX(tItens[Edital],1):tItens[[#This Row],[Edital]],tItens[[#This Row],[Edital]],INDEX(tItens[Produto],1):tItens[[#This Row],[Produto]],tItens[[#This Row],[Produto]])=1,1,0)</f>
        <v>0</v>
      </c>
    </row>
    <row r="2756" spans="1:16" x14ac:dyDescent="0.25">
      <c r="A2756" t="s">
        <v>1282</v>
      </c>
      <c r="B2756">
        <v>166</v>
      </c>
      <c r="C2756" t="s">
        <v>5707</v>
      </c>
      <c r="D2756" t="s">
        <v>293</v>
      </c>
      <c r="E2756" s="13">
        <v>50</v>
      </c>
      <c r="F2756" s="12">
        <v>8.58</v>
      </c>
      <c r="G2756" t="str">
        <f>IFERROR(INDEX(tEditais[Órgão],MATCH(tItens[[#This Row],[Edital]],tEditais[Edital],0)),"")</f>
        <v>MUNICIPIO DE RIO NOVO</v>
      </c>
      <c r="H2756" t="str">
        <f>IFERROR(INDEX(tEditais[UF],MATCH(tItens[[#This Row],[Edital]],tEditais[Edital],0)),"")</f>
        <v>MG</v>
      </c>
      <c r="I2756" s="11">
        <f>IFERROR(INDEX(tEditais[Encerramento],MATCH(tItens[[#This Row],[Edital]],tEditais[Edital],0)),"")</f>
        <v>46304.333333333336</v>
      </c>
      <c r="J2756" t="str">
        <f>IFERROR(INDEX(tProdutos[Classe],MATCH(tItens[[#This Row],[Produto]],tProdutos[Produto],0)),"produto não cadastrado")</f>
        <v>FORA</v>
      </c>
      <c r="K2756" s="12">
        <f>tItens[[#This Row],[Qtd]]*tItens[[#This Row],[Vlr unit]]</f>
        <v>429</v>
      </c>
      <c r="L2756" s="6">
        <f>IFERROR(IF(INDEX(tProdutos[Desconto homologado],MATCH(tItens[[#This Row],[Produto]],tProdutos[Produto],0))="",DescontoPadrao,INDEX(tProdutos[Desconto homologado],MATCH(tItens[[#This Row],[Produto]],tProdutos[Produto],0))),DescontoPadrao)</f>
        <v>0.45236440369319098</v>
      </c>
      <c r="M2756" s="12">
        <f>tItens[[#This Row],[Valor]]*(1-tItens[[#This Row],[Desconto]])</f>
        <v>234.93567081562108</v>
      </c>
      <c r="N2756" t="str">
        <f>IFERROR(INDEX(tProdutos[Foco],MATCH(tItens[[#This Row],[Produto]],tProdutos[Produto],0)),"Não")</f>
        <v>Não</v>
      </c>
      <c r="O2756" t="str">
        <f>IFERROR(INDEX(tEditais[SRP],MATCH(tItens[[#This Row],[Edital]],tEditais[Edital],0)),"Não")</f>
        <v>Sim</v>
      </c>
      <c r="P2756" s="4">
        <f>IF(COUNTIFS(INDEX(tItens[Edital],1):tItens[[#This Row],[Edital]],tItens[[#This Row],[Edital]],INDEX(tItens[Produto],1):tItens[[#This Row],[Produto]],tItens[[#This Row],[Produto]])=1,1,0)</f>
        <v>1</v>
      </c>
    </row>
    <row r="2757" spans="1:16" x14ac:dyDescent="0.25">
      <c r="A2757" t="s">
        <v>1282</v>
      </c>
      <c r="B2757">
        <v>167</v>
      </c>
      <c r="C2757" t="s">
        <v>5708</v>
      </c>
      <c r="D2757" t="s">
        <v>223</v>
      </c>
      <c r="E2757" s="13">
        <v>50</v>
      </c>
      <c r="F2757" s="12">
        <v>9.07</v>
      </c>
      <c r="G2757" t="str">
        <f>IFERROR(INDEX(tEditais[Órgão],MATCH(tItens[[#This Row],[Edital]],tEditais[Edital],0)),"")</f>
        <v>MUNICIPIO DE RIO NOVO</v>
      </c>
      <c r="H2757" t="str">
        <f>IFERROR(INDEX(tEditais[UF],MATCH(tItens[[#This Row],[Edital]],tEditais[Edital],0)),"")</f>
        <v>MG</v>
      </c>
      <c r="I2757" s="11">
        <f>IFERROR(INDEX(tEditais[Encerramento],MATCH(tItens[[#This Row],[Edital]],tEditais[Edital],0)),"")</f>
        <v>46304.333333333336</v>
      </c>
      <c r="J2757" t="str">
        <f>IFERROR(INDEX(tProdutos[Classe],MATCH(tItens[[#This Row],[Produto]],tProdutos[Produto],0)),"produto não cadastrado")</f>
        <v>FORA</v>
      </c>
      <c r="K2757" s="12">
        <f>tItens[[#This Row],[Qtd]]*tItens[[#This Row],[Vlr unit]]</f>
        <v>453.5</v>
      </c>
      <c r="L2757" s="6">
        <f>IFERROR(IF(INDEX(tProdutos[Desconto homologado],MATCH(tItens[[#This Row],[Produto]],tProdutos[Produto],0))="",DescontoPadrao,INDEX(tProdutos[Desconto homologado],MATCH(tItens[[#This Row],[Produto]],tProdutos[Produto],0))),DescontoPadrao)</f>
        <v>0.36263736263736301</v>
      </c>
      <c r="M2757" s="12">
        <f>tItens[[#This Row],[Valor]]*(1-tItens[[#This Row],[Desconto]])</f>
        <v>289.04395604395586</v>
      </c>
      <c r="N2757" t="str">
        <f>IFERROR(INDEX(tProdutos[Foco],MATCH(tItens[[#This Row],[Produto]],tProdutos[Produto],0)),"Não")</f>
        <v>Não</v>
      </c>
      <c r="O2757" t="str">
        <f>IFERROR(INDEX(tEditais[SRP],MATCH(tItens[[#This Row],[Edital]],tEditais[Edital],0)),"Não")</f>
        <v>Sim</v>
      </c>
      <c r="P2757" s="4">
        <f>IF(COUNTIFS(INDEX(tItens[Edital],1):tItens[[#This Row],[Edital]],tItens[[#This Row],[Edital]],INDEX(tItens[Produto],1):tItens[[#This Row],[Produto]],tItens[[#This Row],[Produto]])=1,1,0)</f>
        <v>1</v>
      </c>
    </row>
    <row r="2758" spans="1:16" x14ac:dyDescent="0.25">
      <c r="A2758" t="s">
        <v>1282</v>
      </c>
      <c r="B2758">
        <v>181</v>
      </c>
      <c r="C2758" t="s">
        <v>5709</v>
      </c>
      <c r="D2758" t="s">
        <v>267</v>
      </c>
      <c r="E2758" s="13">
        <v>400</v>
      </c>
      <c r="F2758" s="12">
        <v>10.130000000000001</v>
      </c>
      <c r="G2758" t="str">
        <f>IFERROR(INDEX(tEditais[Órgão],MATCH(tItens[[#This Row],[Edital]],tEditais[Edital],0)),"")</f>
        <v>MUNICIPIO DE RIO NOVO</v>
      </c>
      <c r="H2758" t="str">
        <f>IFERROR(INDEX(tEditais[UF],MATCH(tItens[[#This Row],[Edital]],tEditais[Edital],0)),"")</f>
        <v>MG</v>
      </c>
      <c r="I2758" s="11">
        <f>IFERROR(INDEX(tEditais[Encerramento],MATCH(tItens[[#This Row],[Edital]],tEditais[Edital],0)),"")</f>
        <v>46304.333333333336</v>
      </c>
      <c r="J2758" t="str">
        <f>IFERROR(INDEX(tProdutos[Classe],MATCH(tItens[[#This Row],[Produto]],tProdutos[Produto],0)),"produto não cadastrado")</f>
        <v>FORA</v>
      </c>
      <c r="K2758" s="12">
        <f>tItens[[#This Row],[Qtd]]*tItens[[#This Row],[Vlr unit]]</f>
        <v>4052.0000000000005</v>
      </c>
      <c r="L2758" s="6">
        <f>IFERROR(IF(INDEX(tProdutos[Desconto homologado],MATCH(tItens[[#This Row],[Produto]],tProdutos[Produto],0))="",DescontoPadrao,INDEX(tProdutos[Desconto homologado],MATCH(tItens[[#This Row],[Produto]],tProdutos[Produto],0))),DescontoPadrao)</f>
        <v>0.19963672657401599</v>
      </c>
      <c r="M2758" s="12">
        <f>tItens[[#This Row],[Valor]]*(1-tItens[[#This Row],[Desconto]])</f>
        <v>3243.0719839220874</v>
      </c>
      <c r="N2758" t="str">
        <f>IFERROR(INDEX(tProdutos[Foco],MATCH(tItens[[#This Row],[Produto]],tProdutos[Produto],0)),"Não")</f>
        <v>Não</v>
      </c>
      <c r="O2758" t="str">
        <f>IFERROR(INDEX(tEditais[SRP],MATCH(tItens[[#This Row],[Edital]],tEditais[Edital],0)),"Não")</f>
        <v>Sim</v>
      </c>
      <c r="P2758" s="4">
        <f>IF(COUNTIFS(INDEX(tItens[Edital],1):tItens[[#This Row],[Edital]],tItens[[#This Row],[Edital]],INDEX(tItens[Produto],1):tItens[[#This Row],[Produto]],tItens[[#This Row],[Produto]])=1,1,0)</f>
        <v>0</v>
      </c>
    </row>
    <row r="2759" spans="1:16" x14ac:dyDescent="0.25">
      <c r="A2759" t="s">
        <v>1282</v>
      </c>
      <c r="B2759">
        <v>182</v>
      </c>
      <c r="C2759" t="s">
        <v>5710</v>
      </c>
      <c r="D2759" t="s">
        <v>267</v>
      </c>
      <c r="E2759" s="13">
        <v>400</v>
      </c>
      <c r="F2759" s="12">
        <v>13.87</v>
      </c>
      <c r="G2759" t="str">
        <f>IFERROR(INDEX(tEditais[Órgão],MATCH(tItens[[#This Row],[Edital]],tEditais[Edital],0)),"")</f>
        <v>MUNICIPIO DE RIO NOVO</v>
      </c>
      <c r="H2759" t="str">
        <f>IFERROR(INDEX(tEditais[UF],MATCH(tItens[[#This Row],[Edital]],tEditais[Edital],0)),"")</f>
        <v>MG</v>
      </c>
      <c r="I2759" s="11">
        <f>IFERROR(INDEX(tEditais[Encerramento],MATCH(tItens[[#This Row],[Edital]],tEditais[Edital],0)),"")</f>
        <v>46304.333333333336</v>
      </c>
      <c r="J2759" t="str">
        <f>IFERROR(INDEX(tProdutos[Classe],MATCH(tItens[[#This Row],[Produto]],tProdutos[Produto],0)),"produto não cadastrado")</f>
        <v>FORA</v>
      </c>
      <c r="K2759" s="12">
        <f>tItens[[#This Row],[Qtd]]*tItens[[#This Row],[Vlr unit]]</f>
        <v>5548</v>
      </c>
      <c r="L2759" s="6">
        <f>IFERROR(IF(INDEX(tProdutos[Desconto homologado],MATCH(tItens[[#This Row],[Produto]],tProdutos[Produto],0))="",DescontoPadrao,INDEX(tProdutos[Desconto homologado],MATCH(tItens[[#This Row],[Produto]],tProdutos[Produto],0))),DescontoPadrao)</f>
        <v>0.19963672657401599</v>
      </c>
      <c r="M2759" s="12">
        <f>tItens[[#This Row],[Valor]]*(1-tItens[[#This Row],[Desconto]])</f>
        <v>4440.4154409673592</v>
      </c>
      <c r="N2759" t="str">
        <f>IFERROR(INDEX(tProdutos[Foco],MATCH(tItens[[#This Row],[Produto]],tProdutos[Produto],0)),"Não")</f>
        <v>Não</v>
      </c>
      <c r="O2759" t="str">
        <f>IFERROR(INDEX(tEditais[SRP],MATCH(tItens[[#This Row],[Edital]],tEditais[Edital],0)),"Não")</f>
        <v>Sim</v>
      </c>
      <c r="P2759" s="4">
        <f>IF(COUNTIFS(INDEX(tItens[Edital],1):tItens[[#This Row],[Edital]],tItens[[#This Row],[Edital]],INDEX(tItens[Produto],1):tItens[[#This Row],[Produto]],tItens[[#This Row],[Produto]])=1,1,0)</f>
        <v>0</v>
      </c>
    </row>
    <row r="2760" spans="1:16" x14ac:dyDescent="0.25">
      <c r="A2760" t="s">
        <v>1282</v>
      </c>
      <c r="B2760">
        <v>202</v>
      </c>
      <c r="C2760" t="s">
        <v>5711</v>
      </c>
      <c r="D2760" t="s">
        <v>275</v>
      </c>
      <c r="E2760" s="13">
        <v>1000</v>
      </c>
      <c r="F2760" s="12">
        <v>0.49</v>
      </c>
      <c r="G2760" t="str">
        <f>IFERROR(INDEX(tEditais[Órgão],MATCH(tItens[[#This Row],[Edital]],tEditais[Edital],0)),"")</f>
        <v>MUNICIPIO DE RIO NOVO</v>
      </c>
      <c r="H2760" t="str">
        <f>IFERROR(INDEX(tEditais[UF],MATCH(tItens[[#This Row],[Edital]],tEditais[Edital],0)),"")</f>
        <v>MG</v>
      </c>
      <c r="I2760" s="11">
        <f>IFERROR(INDEX(tEditais[Encerramento],MATCH(tItens[[#This Row],[Edital]],tEditais[Edital],0)),"")</f>
        <v>46304.333333333336</v>
      </c>
      <c r="J2760" t="str">
        <f>IFERROR(INDEX(tProdutos[Classe],MATCH(tItens[[#This Row],[Produto]],tProdutos[Produto],0)),"produto não cadastrado")</f>
        <v>FORA</v>
      </c>
      <c r="K2760" s="12">
        <f>tItens[[#This Row],[Qtd]]*tItens[[#This Row],[Vlr unit]]</f>
        <v>490</v>
      </c>
      <c r="L2760" s="6">
        <f>IFERROR(IF(INDEX(tProdutos[Desconto homologado],MATCH(tItens[[#This Row],[Produto]],tProdutos[Produto],0))="",DescontoPadrao,INDEX(tProdutos[Desconto homologado],MATCH(tItens[[#This Row],[Produto]],tProdutos[Produto],0))),DescontoPadrao)</f>
        <v>0.405797101449275</v>
      </c>
      <c r="M2760" s="12">
        <f>tItens[[#This Row],[Valor]]*(1-tItens[[#This Row],[Desconto]])</f>
        <v>291.15942028985529</v>
      </c>
      <c r="N2760" t="str">
        <f>IFERROR(INDEX(tProdutos[Foco],MATCH(tItens[[#This Row],[Produto]],tProdutos[Produto],0)),"Não")</f>
        <v>Não</v>
      </c>
      <c r="O2760" t="str">
        <f>IFERROR(INDEX(tEditais[SRP],MATCH(tItens[[#This Row],[Edital]],tEditais[Edital],0)),"Não")</f>
        <v>Sim</v>
      </c>
      <c r="P2760" s="4">
        <f>IF(COUNTIFS(INDEX(tItens[Edital],1):tItens[[#This Row],[Edital]],tItens[[#This Row],[Edital]],INDEX(tItens[Produto],1):tItens[[#This Row],[Produto]],tItens[[#This Row],[Produto]])=1,1,0)</f>
        <v>1</v>
      </c>
    </row>
    <row r="2761" spans="1:16" x14ac:dyDescent="0.25">
      <c r="A2761" t="s">
        <v>1282</v>
      </c>
      <c r="B2761">
        <v>203</v>
      </c>
      <c r="C2761" t="s">
        <v>5712</v>
      </c>
      <c r="D2761" t="s">
        <v>275</v>
      </c>
      <c r="E2761" s="13">
        <v>4000</v>
      </c>
      <c r="F2761" s="12">
        <v>0.47</v>
      </c>
      <c r="G2761" t="str">
        <f>IFERROR(INDEX(tEditais[Órgão],MATCH(tItens[[#This Row],[Edital]],tEditais[Edital],0)),"")</f>
        <v>MUNICIPIO DE RIO NOVO</v>
      </c>
      <c r="H2761" t="str">
        <f>IFERROR(INDEX(tEditais[UF],MATCH(tItens[[#This Row],[Edital]],tEditais[Edital],0)),"")</f>
        <v>MG</v>
      </c>
      <c r="I2761" s="11">
        <f>IFERROR(INDEX(tEditais[Encerramento],MATCH(tItens[[#This Row],[Edital]],tEditais[Edital],0)),"")</f>
        <v>46304.333333333336</v>
      </c>
      <c r="J2761" t="str">
        <f>IFERROR(INDEX(tProdutos[Classe],MATCH(tItens[[#This Row],[Produto]],tProdutos[Produto],0)),"produto não cadastrado")</f>
        <v>FORA</v>
      </c>
      <c r="K2761" s="12">
        <f>tItens[[#This Row],[Qtd]]*tItens[[#This Row],[Vlr unit]]</f>
        <v>1880</v>
      </c>
      <c r="L2761" s="6">
        <f>IFERROR(IF(INDEX(tProdutos[Desconto homologado],MATCH(tItens[[#This Row],[Produto]],tProdutos[Produto],0))="",DescontoPadrao,INDEX(tProdutos[Desconto homologado],MATCH(tItens[[#This Row],[Produto]],tProdutos[Produto],0))),DescontoPadrao)</f>
        <v>0.405797101449275</v>
      </c>
      <c r="M2761" s="12">
        <f>tItens[[#This Row],[Valor]]*(1-tItens[[#This Row],[Desconto]])</f>
        <v>1117.1014492753632</v>
      </c>
      <c r="N2761" t="str">
        <f>IFERROR(INDEX(tProdutos[Foco],MATCH(tItens[[#This Row],[Produto]],tProdutos[Produto],0)),"Não")</f>
        <v>Não</v>
      </c>
      <c r="O2761" t="str">
        <f>IFERROR(INDEX(tEditais[SRP],MATCH(tItens[[#This Row],[Edital]],tEditais[Edital],0)),"Não")</f>
        <v>Sim</v>
      </c>
      <c r="P2761" s="4">
        <f>IF(COUNTIFS(INDEX(tItens[Edital],1):tItens[[#This Row],[Edital]],tItens[[#This Row],[Edital]],INDEX(tItens[Produto],1):tItens[[#This Row],[Produto]],tItens[[#This Row],[Produto]])=1,1,0)</f>
        <v>0</v>
      </c>
    </row>
    <row r="2762" spans="1:16" x14ac:dyDescent="0.25">
      <c r="A2762" t="s">
        <v>1282</v>
      </c>
      <c r="B2762">
        <v>204</v>
      </c>
      <c r="C2762" t="s">
        <v>5713</v>
      </c>
      <c r="D2762" t="s">
        <v>281</v>
      </c>
      <c r="E2762" s="13">
        <v>12000</v>
      </c>
      <c r="F2762" s="12">
        <v>0.45</v>
      </c>
      <c r="G2762" t="str">
        <f>IFERROR(INDEX(tEditais[Órgão],MATCH(tItens[[#This Row],[Edital]],tEditais[Edital],0)),"")</f>
        <v>MUNICIPIO DE RIO NOVO</v>
      </c>
      <c r="H2762" t="str">
        <f>IFERROR(INDEX(tEditais[UF],MATCH(tItens[[#This Row],[Edital]],tEditais[Edital],0)),"")</f>
        <v>MG</v>
      </c>
      <c r="I2762" s="11">
        <f>IFERROR(INDEX(tEditais[Encerramento],MATCH(tItens[[#This Row],[Edital]],tEditais[Edital],0)),"")</f>
        <v>46304.333333333336</v>
      </c>
      <c r="J2762" t="str">
        <f>IFERROR(INDEX(tProdutos[Classe],MATCH(tItens[[#This Row],[Produto]],tProdutos[Produto],0)),"produto não cadastrado")</f>
        <v>DISPUTADO</v>
      </c>
      <c r="K2762" s="12">
        <f>tItens[[#This Row],[Qtd]]*tItens[[#This Row],[Vlr unit]]</f>
        <v>5400</v>
      </c>
      <c r="L2762" s="6">
        <f>IFERROR(IF(INDEX(tProdutos[Desconto homologado],MATCH(tItens[[#This Row],[Produto]],tProdutos[Produto],0))="",DescontoPadrao,INDEX(tProdutos[Desconto homologado],MATCH(tItens[[#This Row],[Produto]],tProdutos[Produto],0))),DescontoPadrao)</f>
        <v>0.42461538461538501</v>
      </c>
      <c r="M2762" s="12">
        <f>tItens[[#This Row],[Valor]]*(1-tItens[[#This Row],[Desconto]])</f>
        <v>3107.0769230769206</v>
      </c>
      <c r="N2762" t="str">
        <f>IFERROR(INDEX(tProdutos[Foco],MATCH(tItens[[#This Row],[Produto]],tProdutos[Produto],0)),"Não")</f>
        <v>Não</v>
      </c>
      <c r="O2762" t="str">
        <f>IFERROR(INDEX(tEditais[SRP],MATCH(tItens[[#This Row],[Edital]],tEditais[Edital],0)),"Não")</f>
        <v>Sim</v>
      </c>
      <c r="P2762" s="4">
        <f>IF(COUNTIFS(INDEX(tItens[Edital],1):tItens[[#This Row],[Edital]],tItens[[#This Row],[Edital]],INDEX(tItens[Produto],1):tItens[[#This Row],[Produto]],tItens[[#This Row],[Produto]])=1,1,0)</f>
        <v>1</v>
      </c>
    </row>
    <row r="2763" spans="1:16" x14ac:dyDescent="0.25">
      <c r="A2763" t="s">
        <v>1282</v>
      </c>
      <c r="B2763">
        <v>205</v>
      </c>
      <c r="C2763" t="s">
        <v>5714</v>
      </c>
      <c r="D2763" t="s">
        <v>289</v>
      </c>
      <c r="E2763" s="13">
        <v>12000</v>
      </c>
      <c r="F2763" s="12">
        <v>0.53</v>
      </c>
      <c r="G2763" t="str">
        <f>IFERROR(INDEX(tEditais[Órgão],MATCH(tItens[[#This Row],[Edital]],tEditais[Edital],0)),"")</f>
        <v>MUNICIPIO DE RIO NOVO</v>
      </c>
      <c r="H2763" t="str">
        <f>IFERROR(INDEX(tEditais[UF],MATCH(tItens[[#This Row],[Edital]],tEditais[Edital],0)),"")</f>
        <v>MG</v>
      </c>
      <c r="I2763" s="11">
        <f>IFERROR(INDEX(tEditais[Encerramento],MATCH(tItens[[#This Row],[Edital]],tEditais[Edital],0)),"")</f>
        <v>46304.333333333336</v>
      </c>
      <c r="J2763" t="str">
        <f>IFERROR(INDEX(tProdutos[Classe],MATCH(tItens[[#This Row],[Produto]],tProdutos[Produto],0)),"produto não cadastrado")</f>
        <v>DISPUTADO</v>
      </c>
      <c r="K2763" s="12">
        <f>tItens[[#This Row],[Qtd]]*tItens[[#This Row],[Vlr unit]]</f>
        <v>6360</v>
      </c>
      <c r="L2763" s="6">
        <f>IFERROR(IF(INDEX(tProdutos[Desconto homologado],MATCH(tItens[[#This Row],[Produto]],tProdutos[Produto],0))="",DescontoPadrao,INDEX(tProdutos[Desconto homologado],MATCH(tItens[[#This Row],[Produto]],tProdutos[Produto],0))),DescontoPadrao)</f>
        <v>0.35849056603773599</v>
      </c>
      <c r="M2763" s="12">
        <f>tItens[[#This Row],[Valor]]*(1-tItens[[#This Row],[Desconto]])</f>
        <v>4079.9999999999991</v>
      </c>
      <c r="N2763" t="str">
        <f>IFERROR(INDEX(tProdutos[Foco],MATCH(tItens[[#This Row],[Produto]],tProdutos[Produto],0)),"Não")</f>
        <v>Não</v>
      </c>
      <c r="O2763" t="str">
        <f>IFERROR(INDEX(tEditais[SRP],MATCH(tItens[[#This Row],[Edital]],tEditais[Edital],0)),"Não")</f>
        <v>Sim</v>
      </c>
      <c r="P2763" s="4">
        <f>IF(COUNTIFS(INDEX(tItens[Edital],1):tItens[[#This Row],[Edital]],tItens[[#This Row],[Edital]],INDEX(tItens[Produto],1):tItens[[#This Row],[Produto]],tItens[[#This Row],[Produto]])=1,1,0)</f>
        <v>1</v>
      </c>
    </row>
    <row r="2764" spans="1:16" x14ac:dyDescent="0.25">
      <c r="A2764" t="s">
        <v>1282</v>
      </c>
      <c r="B2764">
        <v>206</v>
      </c>
      <c r="C2764" t="s">
        <v>5715</v>
      </c>
      <c r="D2764" t="s">
        <v>283</v>
      </c>
      <c r="E2764" s="13">
        <v>5000</v>
      </c>
      <c r="F2764" s="12">
        <v>0.46</v>
      </c>
      <c r="G2764" t="str">
        <f>IFERROR(INDEX(tEditais[Órgão],MATCH(tItens[[#This Row],[Edital]],tEditais[Edital],0)),"")</f>
        <v>MUNICIPIO DE RIO NOVO</v>
      </c>
      <c r="H2764" t="str">
        <f>IFERROR(INDEX(tEditais[UF],MATCH(tItens[[#This Row],[Edital]],tEditais[Edital],0)),"")</f>
        <v>MG</v>
      </c>
      <c r="I2764" s="11">
        <f>IFERROR(INDEX(tEditais[Encerramento],MATCH(tItens[[#This Row],[Edital]],tEditais[Edital],0)),"")</f>
        <v>46304.333333333336</v>
      </c>
      <c r="J2764" t="str">
        <f>IFERROR(INDEX(tProdutos[Classe],MATCH(tItens[[#This Row],[Produto]],tProdutos[Produto],0)),"produto não cadastrado")</f>
        <v>FORA</v>
      </c>
      <c r="K2764" s="12">
        <f>tItens[[#This Row],[Qtd]]*tItens[[#This Row],[Vlr unit]]</f>
        <v>2300</v>
      </c>
      <c r="L2764" s="6">
        <f>IFERROR(IF(INDEX(tProdutos[Desconto homologado],MATCH(tItens[[#This Row],[Produto]],tProdutos[Produto],0))="",DescontoPadrao,INDEX(tProdutos[Desconto homologado],MATCH(tItens[[#This Row],[Produto]],tProdutos[Produto],0))),DescontoPadrao)</f>
        <v>0.40540540540540498</v>
      </c>
      <c r="M2764" s="12">
        <f>tItens[[#This Row],[Valor]]*(1-tItens[[#This Row],[Desconto]])</f>
        <v>1367.5675675675684</v>
      </c>
      <c r="N2764" t="str">
        <f>IFERROR(INDEX(tProdutos[Foco],MATCH(tItens[[#This Row],[Produto]],tProdutos[Produto],0)),"Não")</f>
        <v>Não</v>
      </c>
      <c r="O2764" t="str">
        <f>IFERROR(INDEX(tEditais[SRP],MATCH(tItens[[#This Row],[Edital]],tEditais[Edital],0)),"Não")</f>
        <v>Sim</v>
      </c>
      <c r="P2764" s="4">
        <f>IF(COUNTIFS(INDEX(tItens[Edital],1):tItens[[#This Row],[Edital]],tItens[[#This Row],[Edital]],INDEX(tItens[Produto],1):tItens[[#This Row],[Produto]],tItens[[#This Row],[Produto]])=1,1,0)</f>
        <v>1</v>
      </c>
    </row>
    <row r="2765" spans="1:16" x14ac:dyDescent="0.25">
      <c r="A2765" t="s">
        <v>1282</v>
      </c>
      <c r="B2765">
        <v>207</v>
      </c>
      <c r="C2765" t="s">
        <v>5716</v>
      </c>
      <c r="D2765" t="s">
        <v>265</v>
      </c>
      <c r="E2765" s="13">
        <v>12000</v>
      </c>
      <c r="F2765" s="12">
        <v>0.26</v>
      </c>
      <c r="G2765" t="str">
        <f>IFERROR(INDEX(tEditais[Órgão],MATCH(tItens[[#This Row],[Edital]],tEditais[Edital],0)),"")</f>
        <v>MUNICIPIO DE RIO NOVO</v>
      </c>
      <c r="H2765" t="str">
        <f>IFERROR(INDEX(tEditais[UF],MATCH(tItens[[#This Row],[Edital]],tEditais[Edital],0)),"")</f>
        <v>MG</v>
      </c>
      <c r="I2765" s="11">
        <f>IFERROR(INDEX(tEditais[Encerramento],MATCH(tItens[[#This Row],[Edital]],tEditais[Edital],0)),"")</f>
        <v>46304.333333333336</v>
      </c>
      <c r="J2765" t="str">
        <f>IFERROR(INDEX(tProdutos[Classe],MATCH(tItens[[#This Row],[Produto]],tProdutos[Produto],0)),"produto não cadastrado")</f>
        <v>DISPUTADO</v>
      </c>
      <c r="K2765" s="12">
        <f>tItens[[#This Row],[Qtd]]*tItens[[#This Row],[Vlr unit]]</f>
        <v>3120</v>
      </c>
      <c r="L2765" s="6">
        <f>IFERROR(IF(INDEX(tProdutos[Desconto homologado],MATCH(tItens[[#This Row],[Produto]],tProdutos[Produto],0))="",DescontoPadrao,INDEX(tProdutos[Desconto homologado],MATCH(tItens[[#This Row],[Produto]],tProdutos[Produto],0))),DescontoPadrao)</f>
        <v>0.377587663709337</v>
      </c>
      <c r="M2765" s="12">
        <f>tItens[[#This Row],[Valor]]*(1-tItens[[#This Row],[Desconto]])</f>
        <v>1941.9264892268689</v>
      </c>
      <c r="N2765" t="str">
        <f>IFERROR(INDEX(tProdutos[Foco],MATCH(tItens[[#This Row],[Produto]],tProdutos[Produto],0)),"Não")</f>
        <v>Não</v>
      </c>
      <c r="O2765" t="str">
        <f>IFERROR(INDEX(tEditais[SRP],MATCH(tItens[[#This Row],[Edital]],tEditais[Edital],0)),"Não")</f>
        <v>Sim</v>
      </c>
      <c r="P2765" s="4">
        <f>IF(COUNTIFS(INDEX(tItens[Edital],1):tItens[[#This Row],[Edital]],tItens[[#This Row],[Edital]],INDEX(tItens[Produto],1):tItens[[#This Row],[Produto]],tItens[[#This Row],[Produto]])=1,1,0)</f>
        <v>1</v>
      </c>
    </row>
    <row r="2766" spans="1:16" x14ac:dyDescent="0.25">
      <c r="A2766" t="s">
        <v>1282</v>
      </c>
      <c r="B2766">
        <v>219</v>
      </c>
      <c r="C2766" t="s">
        <v>5717</v>
      </c>
      <c r="D2766" t="s">
        <v>184</v>
      </c>
      <c r="E2766" s="13">
        <v>500</v>
      </c>
      <c r="F2766" s="12">
        <v>3.45</v>
      </c>
      <c r="G2766" t="str">
        <f>IFERROR(INDEX(tEditais[Órgão],MATCH(tItens[[#This Row],[Edital]],tEditais[Edital],0)),"")</f>
        <v>MUNICIPIO DE RIO NOVO</v>
      </c>
      <c r="H2766" t="str">
        <f>IFERROR(INDEX(tEditais[UF],MATCH(tItens[[#This Row],[Edital]],tEditais[Edital],0)),"")</f>
        <v>MG</v>
      </c>
      <c r="I2766" s="11">
        <f>IFERROR(INDEX(tEditais[Encerramento],MATCH(tItens[[#This Row],[Edital]],tEditais[Edital],0)),"")</f>
        <v>46304.333333333336</v>
      </c>
      <c r="J2766" t="str">
        <f>IFERROR(INDEX(tProdutos[Classe],MATCH(tItens[[#This Row],[Produto]],tProdutos[Produto],0)),"produto não cadastrado")</f>
        <v>FORA</v>
      </c>
      <c r="K2766" s="12">
        <f>tItens[[#This Row],[Qtd]]*tItens[[#This Row],[Vlr unit]]</f>
        <v>1725</v>
      </c>
      <c r="L2766" s="6">
        <f>IFERROR(IF(INDEX(tProdutos[Desconto homologado],MATCH(tItens[[#This Row],[Produto]],tProdutos[Produto],0))="",DescontoPadrao,INDEX(tProdutos[Desconto homologado],MATCH(tItens[[#This Row],[Produto]],tProdutos[Produto],0))),DescontoPadrao)</f>
        <v>0.363567906332742</v>
      </c>
      <c r="M2766" s="12">
        <f>tItens[[#This Row],[Valor]]*(1-tItens[[#This Row],[Desconto]])</f>
        <v>1097.8453615760202</v>
      </c>
      <c r="N2766" t="str">
        <f>IFERROR(INDEX(tProdutos[Foco],MATCH(tItens[[#This Row],[Produto]],tProdutos[Produto],0)),"Não")</f>
        <v>Não</v>
      </c>
      <c r="O2766" t="str">
        <f>IFERROR(INDEX(tEditais[SRP],MATCH(tItens[[#This Row],[Edital]],tEditais[Edital],0)),"Não")</f>
        <v>Sim</v>
      </c>
      <c r="P2766" s="4">
        <f>IF(COUNTIFS(INDEX(tItens[Edital],1):tItens[[#This Row],[Edital]],tItens[[#This Row],[Edital]],INDEX(tItens[Produto],1):tItens[[#This Row],[Produto]],tItens[[#This Row],[Produto]])=1,1,0)</f>
        <v>1</v>
      </c>
    </row>
    <row r="2767" spans="1:16" x14ac:dyDescent="0.25">
      <c r="A2767" t="s">
        <v>1282</v>
      </c>
      <c r="B2767">
        <v>220</v>
      </c>
      <c r="C2767" t="s">
        <v>5718</v>
      </c>
      <c r="D2767" t="s">
        <v>110</v>
      </c>
      <c r="E2767" s="13">
        <v>500</v>
      </c>
      <c r="F2767" s="12">
        <v>0.81</v>
      </c>
      <c r="G2767" t="str">
        <f>IFERROR(INDEX(tEditais[Órgão],MATCH(tItens[[#This Row],[Edital]],tEditais[Edital],0)),"")</f>
        <v>MUNICIPIO DE RIO NOVO</v>
      </c>
      <c r="H2767" t="str">
        <f>IFERROR(INDEX(tEditais[UF],MATCH(tItens[[#This Row],[Edital]],tEditais[Edital],0)),"")</f>
        <v>MG</v>
      </c>
      <c r="I2767" s="11">
        <f>IFERROR(INDEX(tEditais[Encerramento],MATCH(tItens[[#This Row],[Edital]],tEditais[Edital],0)),"")</f>
        <v>46304.333333333336</v>
      </c>
      <c r="J2767" t="str">
        <f>IFERROR(INDEX(tProdutos[Classe],MATCH(tItens[[#This Row],[Produto]],tProdutos[Produto],0)),"produto não cadastrado")</f>
        <v>NÚCLEO</v>
      </c>
      <c r="K2767" s="12">
        <f>tItens[[#This Row],[Qtd]]*tItens[[#This Row],[Vlr unit]]</f>
        <v>405</v>
      </c>
      <c r="L2767" s="6">
        <f>IFERROR(IF(INDEX(tProdutos[Desconto homologado],MATCH(tItens[[#This Row],[Produto]],tProdutos[Produto],0))="",DescontoPadrao,INDEX(tProdutos[Desconto homologado],MATCH(tItens[[#This Row],[Produto]],tProdutos[Produto],0))),DescontoPadrao)</f>
        <v>0.30410958904109597</v>
      </c>
      <c r="M2767" s="12">
        <f>tItens[[#This Row],[Valor]]*(1-tItens[[#This Row],[Desconto]])</f>
        <v>281.83561643835611</v>
      </c>
      <c r="N2767" t="str">
        <f>IFERROR(INDEX(tProdutos[Foco],MATCH(tItens[[#This Row],[Produto]],tProdutos[Produto],0)),"Não")</f>
        <v>Não</v>
      </c>
      <c r="O2767" t="str">
        <f>IFERROR(INDEX(tEditais[SRP],MATCH(tItens[[#This Row],[Edital]],tEditais[Edital],0)),"Não")</f>
        <v>Sim</v>
      </c>
      <c r="P2767" s="4">
        <f>IF(COUNTIFS(INDEX(tItens[Edital],1):tItens[[#This Row],[Edital]],tItens[[#This Row],[Edital]],INDEX(tItens[Produto],1):tItens[[#This Row],[Produto]],tItens[[#This Row],[Produto]])=1,1,0)</f>
        <v>1</v>
      </c>
    </row>
    <row r="2768" spans="1:16" x14ac:dyDescent="0.25">
      <c r="A2768" t="s">
        <v>1282</v>
      </c>
      <c r="B2768">
        <v>221</v>
      </c>
      <c r="C2768" t="s">
        <v>5719</v>
      </c>
      <c r="D2768" t="s">
        <v>110</v>
      </c>
      <c r="E2768" s="13">
        <v>500</v>
      </c>
      <c r="F2768" s="12">
        <v>0.92</v>
      </c>
      <c r="G2768" t="str">
        <f>IFERROR(INDEX(tEditais[Órgão],MATCH(tItens[[#This Row],[Edital]],tEditais[Edital],0)),"")</f>
        <v>MUNICIPIO DE RIO NOVO</v>
      </c>
      <c r="H2768" t="str">
        <f>IFERROR(INDEX(tEditais[UF],MATCH(tItens[[#This Row],[Edital]],tEditais[Edital],0)),"")</f>
        <v>MG</v>
      </c>
      <c r="I2768" s="11">
        <f>IFERROR(INDEX(tEditais[Encerramento],MATCH(tItens[[#This Row],[Edital]],tEditais[Edital],0)),"")</f>
        <v>46304.333333333336</v>
      </c>
      <c r="J2768" t="str">
        <f>IFERROR(INDEX(tProdutos[Classe],MATCH(tItens[[#This Row],[Produto]],tProdutos[Produto],0)),"produto não cadastrado")</f>
        <v>NÚCLEO</v>
      </c>
      <c r="K2768" s="12">
        <f>tItens[[#This Row],[Qtd]]*tItens[[#This Row],[Vlr unit]]</f>
        <v>460</v>
      </c>
      <c r="L2768" s="6">
        <f>IFERROR(IF(INDEX(tProdutos[Desconto homologado],MATCH(tItens[[#This Row],[Produto]],tProdutos[Produto],0))="",DescontoPadrao,INDEX(tProdutos[Desconto homologado],MATCH(tItens[[#This Row],[Produto]],tProdutos[Produto],0))),DescontoPadrao)</f>
        <v>0.30410958904109597</v>
      </c>
      <c r="M2768" s="12">
        <f>tItens[[#This Row],[Valor]]*(1-tItens[[#This Row],[Desconto]])</f>
        <v>320.10958904109583</v>
      </c>
      <c r="N2768" t="str">
        <f>IFERROR(INDEX(tProdutos[Foco],MATCH(tItens[[#This Row],[Produto]],tProdutos[Produto],0)),"Não")</f>
        <v>Não</v>
      </c>
      <c r="O2768" t="str">
        <f>IFERROR(INDEX(tEditais[SRP],MATCH(tItens[[#This Row],[Edital]],tEditais[Edital],0)),"Não")</f>
        <v>Sim</v>
      </c>
      <c r="P2768" s="4">
        <f>IF(COUNTIFS(INDEX(tItens[Edital],1):tItens[[#This Row],[Edital]],tItens[[#This Row],[Edital]],INDEX(tItens[Produto],1):tItens[[#This Row],[Produto]],tItens[[#This Row],[Produto]])=1,1,0)</f>
        <v>0</v>
      </c>
    </row>
    <row r="2769" spans="1:16" x14ac:dyDescent="0.25">
      <c r="A2769" t="s">
        <v>1282</v>
      </c>
      <c r="B2769">
        <v>222</v>
      </c>
      <c r="C2769" t="s">
        <v>5720</v>
      </c>
      <c r="D2769" t="s">
        <v>110</v>
      </c>
      <c r="E2769" s="13">
        <v>500</v>
      </c>
      <c r="F2769" s="12">
        <v>0.98</v>
      </c>
      <c r="G2769" t="str">
        <f>IFERROR(INDEX(tEditais[Órgão],MATCH(tItens[[#This Row],[Edital]],tEditais[Edital],0)),"")</f>
        <v>MUNICIPIO DE RIO NOVO</v>
      </c>
      <c r="H2769" t="str">
        <f>IFERROR(INDEX(tEditais[UF],MATCH(tItens[[#This Row],[Edital]],tEditais[Edital],0)),"")</f>
        <v>MG</v>
      </c>
      <c r="I2769" s="11">
        <f>IFERROR(INDEX(tEditais[Encerramento],MATCH(tItens[[#This Row],[Edital]],tEditais[Edital],0)),"")</f>
        <v>46304.333333333336</v>
      </c>
      <c r="J2769" t="str">
        <f>IFERROR(INDEX(tProdutos[Classe],MATCH(tItens[[#This Row],[Produto]],tProdutos[Produto],0)),"produto não cadastrado")</f>
        <v>NÚCLEO</v>
      </c>
      <c r="K2769" s="12">
        <f>tItens[[#This Row],[Qtd]]*tItens[[#This Row],[Vlr unit]]</f>
        <v>490</v>
      </c>
      <c r="L2769" s="6">
        <f>IFERROR(IF(INDEX(tProdutos[Desconto homologado],MATCH(tItens[[#This Row],[Produto]],tProdutos[Produto],0))="",DescontoPadrao,INDEX(tProdutos[Desconto homologado],MATCH(tItens[[#This Row],[Produto]],tProdutos[Produto],0))),DescontoPadrao)</f>
        <v>0.30410958904109597</v>
      </c>
      <c r="M2769" s="12">
        <f>tItens[[#This Row],[Valor]]*(1-tItens[[#This Row],[Desconto]])</f>
        <v>340.98630136986299</v>
      </c>
      <c r="N2769" t="str">
        <f>IFERROR(INDEX(tProdutos[Foco],MATCH(tItens[[#This Row],[Produto]],tProdutos[Produto],0)),"Não")</f>
        <v>Não</v>
      </c>
      <c r="O2769" t="str">
        <f>IFERROR(INDEX(tEditais[SRP],MATCH(tItens[[#This Row],[Edital]],tEditais[Edital],0)),"Não")</f>
        <v>Sim</v>
      </c>
      <c r="P2769" s="4">
        <f>IF(COUNTIFS(INDEX(tItens[Edital],1):tItens[[#This Row],[Edital]],tItens[[#This Row],[Edital]],INDEX(tItens[Produto],1):tItens[[#This Row],[Produto]],tItens[[#This Row],[Produto]])=1,1,0)</f>
        <v>0</v>
      </c>
    </row>
    <row r="2770" spans="1:16" x14ac:dyDescent="0.25">
      <c r="A2770" t="s">
        <v>1282</v>
      </c>
      <c r="B2770">
        <v>223</v>
      </c>
      <c r="C2770" t="s">
        <v>5721</v>
      </c>
      <c r="D2770" t="s">
        <v>110</v>
      </c>
      <c r="E2770" s="13">
        <v>500</v>
      </c>
      <c r="F2770" s="12">
        <v>1.17</v>
      </c>
      <c r="G2770" t="str">
        <f>IFERROR(INDEX(tEditais[Órgão],MATCH(tItens[[#This Row],[Edital]],tEditais[Edital],0)),"")</f>
        <v>MUNICIPIO DE RIO NOVO</v>
      </c>
      <c r="H2770" t="str">
        <f>IFERROR(INDEX(tEditais[UF],MATCH(tItens[[#This Row],[Edital]],tEditais[Edital],0)),"")</f>
        <v>MG</v>
      </c>
      <c r="I2770" s="11">
        <f>IFERROR(INDEX(tEditais[Encerramento],MATCH(tItens[[#This Row],[Edital]],tEditais[Edital],0)),"")</f>
        <v>46304.333333333336</v>
      </c>
      <c r="J2770" t="str">
        <f>IFERROR(INDEX(tProdutos[Classe],MATCH(tItens[[#This Row],[Produto]],tProdutos[Produto],0)),"produto não cadastrado")</f>
        <v>NÚCLEO</v>
      </c>
      <c r="K2770" s="12">
        <f>tItens[[#This Row],[Qtd]]*tItens[[#This Row],[Vlr unit]]</f>
        <v>585</v>
      </c>
      <c r="L2770" s="6">
        <f>IFERROR(IF(INDEX(tProdutos[Desconto homologado],MATCH(tItens[[#This Row],[Produto]],tProdutos[Produto],0))="",DescontoPadrao,INDEX(tProdutos[Desconto homologado],MATCH(tItens[[#This Row],[Produto]],tProdutos[Produto],0))),DescontoPadrao)</f>
        <v>0.30410958904109597</v>
      </c>
      <c r="M2770" s="12">
        <f>tItens[[#This Row],[Valor]]*(1-tItens[[#This Row],[Desconto]])</f>
        <v>407.09589041095887</v>
      </c>
      <c r="N2770" t="str">
        <f>IFERROR(INDEX(tProdutos[Foco],MATCH(tItens[[#This Row],[Produto]],tProdutos[Produto],0)),"Não")</f>
        <v>Não</v>
      </c>
      <c r="O2770" t="str">
        <f>IFERROR(INDEX(tEditais[SRP],MATCH(tItens[[#This Row],[Edital]],tEditais[Edital],0)),"Não")</f>
        <v>Sim</v>
      </c>
      <c r="P2770" s="4">
        <f>IF(COUNTIFS(INDEX(tItens[Edital],1):tItens[[#This Row],[Edital]],tItens[[#This Row],[Edital]],INDEX(tItens[Produto],1):tItens[[#This Row],[Produto]],tItens[[#This Row],[Produto]])=1,1,0)</f>
        <v>0</v>
      </c>
    </row>
    <row r="2771" spans="1:16" x14ac:dyDescent="0.25">
      <c r="A2771" t="s">
        <v>1282</v>
      </c>
      <c r="B2771">
        <v>224</v>
      </c>
      <c r="C2771" t="s">
        <v>5722</v>
      </c>
      <c r="D2771" t="s">
        <v>110</v>
      </c>
      <c r="E2771" s="13">
        <v>500</v>
      </c>
      <c r="F2771" s="12">
        <v>1.08</v>
      </c>
      <c r="G2771" t="str">
        <f>IFERROR(INDEX(tEditais[Órgão],MATCH(tItens[[#This Row],[Edital]],tEditais[Edital],0)),"")</f>
        <v>MUNICIPIO DE RIO NOVO</v>
      </c>
      <c r="H2771" t="str">
        <f>IFERROR(INDEX(tEditais[UF],MATCH(tItens[[#This Row],[Edital]],tEditais[Edital],0)),"")</f>
        <v>MG</v>
      </c>
      <c r="I2771" s="11">
        <f>IFERROR(INDEX(tEditais[Encerramento],MATCH(tItens[[#This Row],[Edital]],tEditais[Edital],0)),"")</f>
        <v>46304.333333333336</v>
      </c>
      <c r="J2771" t="str">
        <f>IFERROR(INDEX(tProdutos[Classe],MATCH(tItens[[#This Row],[Produto]],tProdutos[Produto],0)),"produto não cadastrado")</f>
        <v>NÚCLEO</v>
      </c>
      <c r="K2771" s="12">
        <f>tItens[[#This Row],[Qtd]]*tItens[[#This Row],[Vlr unit]]</f>
        <v>540</v>
      </c>
      <c r="L2771" s="6">
        <f>IFERROR(IF(INDEX(tProdutos[Desconto homologado],MATCH(tItens[[#This Row],[Produto]],tProdutos[Produto],0))="",DescontoPadrao,INDEX(tProdutos[Desconto homologado],MATCH(tItens[[#This Row],[Produto]],tProdutos[Produto],0))),DescontoPadrao)</f>
        <v>0.30410958904109597</v>
      </c>
      <c r="M2771" s="12">
        <f>tItens[[#This Row],[Valor]]*(1-tItens[[#This Row],[Desconto]])</f>
        <v>375.78082191780817</v>
      </c>
      <c r="N2771" t="str">
        <f>IFERROR(INDEX(tProdutos[Foco],MATCH(tItens[[#This Row],[Produto]],tProdutos[Produto],0)),"Não")</f>
        <v>Não</v>
      </c>
      <c r="O2771" t="str">
        <f>IFERROR(INDEX(tEditais[SRP],MATCH(tItens[[#This Row],[Edital]],tEditais[Edital],0)),"Não")</f>
        <v>Sim</v>
      </c>
      <c r="P2771" s="4">
        <f>IF(COUNTIFS(INDEX(tItens[Edital],1):tItens[[#This Row],[Edital]],tItens[[#This Row],[Edital]],INDEX(tItens[Produto],1):tItens[[#This Row],[Produto]],tItens[[#This Row],[Produto]])=1,1,0)</f>
        <v>0</v>
      </c>
    </row>
    <row r="2772" spans="1:16" x14ac:dyDescent="0.25">
      <c r="A2772" t="s">
        <v>1282</v>
      </c>
      <c r="B2772">
        <v>225</v>
      </c>
      <c r="C2772" t="s">
        <v>5723</v>
      </c>
      <c r="D2772" t="s">
        <v>110</v>
      </c>
      <c r="E2772" s="13">
        <v>500</v>
      </c>
      <c r="F2772" s="12">
        <v>1.1200000000000001</v>
      </c>
      <c r="G2772" t="str">
        <f>IFERROR(INDEX(tEditais[Órgão],MATCH(tItens[[#This Row],[Edital]],tEditais[Edital],0)),"")</f>
        <v>MUNICIPIO DE RIO NOVO</v>
      </c>
      <c r="H2772" t="str">
        <f>IFERROR(INDEX(tEditais[UF],MATCH(tItens[[#This Row],[Edital]],tEditais[Edital],0)),"")</f>
        <v>MG</v>
      </c>
      <c r="I2772" s="11">
        <f>IFERROR(INDEX(tEditais[Encerramento],MATCH(tItens[[#This Row],[Edital]],tEditais[Edital],0)),"")</f>
        <v>46304.333333333336</v>
      </c>
      <c r="J2772" t="str">
        <f>IFERROR(INDEX(tProdutos[Classe],MATCH(tItens[[#This Row],[Produto]],tProdutos[Produto],0)),"produto não cadastrado")</f>
        <v>NÚCLEO</v>
      </c>
      <c r="K2772" s="12">
        <f>tItens[[#This Row],[Qtd]]*tItens[[#This Row],[Vlr unit]]</f>
        <v>560</v>
      </c>
      <c r="L2772" s="6">
        <f>IFERROR(IF(INDEX(tProdutos[Desconto homologado],MATCH(tItens[[#This Row],[Produto]],tProdutos[Produto],0))="",DescontoPadrao,INDEX(tProdutos[Desconto homologado],MATCH(tItens[[#This Row],[Produto]],tProdutos[Produto],0))),DescontoPadrao)</f>
        <v>0.30410958904109597</v>
      </c>
      <c r="M2772" s="12">
        <f>tItens[[#This Row],[Valor]]*(1-tItens[[#This Row],[Desconto]])</f>
        <v>389.69863013698625</v>
      </c>
      <c r="N2772" t="str">
        <f>IFERROR(INDEX(tProdutos[Foco],MATCH(tItens[[#This Row],[Produto]],tProdutos[Produto],0)),"Não")</f>
        <v>Não</v>
      </c>
      <c r="O2772" t="str">
        <f>IFERROR(INDEX(tEditais[SRP],MATCH(tItens[[#This Row],[Edital]],tEditais[Edital],0)),"Não")</f>
        <v>Sim</v>
      </c>
      <c r="P2772" s="4">
        <f>IF(COUNTIFS(INDEX(tItens[Edital],1):tItens[[#This Row],[Edital]],tItens[[#This Row],[Edital]],INDEX(tItens[Produto],1):tItens[[#This Row],[Produto]],tItens[[#This Row],[Produto]])=1,1,0)</f>
        <v>0</v>
      </c>
    </row>
    <row r="2773" spans="1:16" x14ac:dyDescent="0.25">
      <c r="A2773" t="s">
        <v>1282</v>
      </c>
      <c r="B2773">
        <v>226</v>
      </c>
      <c r="C2773" t="s">
        <v>5724</v>
      </c>
      <c r="D2773" t="s">
        <v>110</v>
      </c>
      <c r="E2773" s="13">
        <v>500</v>
      </c>
      <c r="F2773" s="12">
        <v>1.32</v>
      </c>
      <c r="G2773" t="str">
        <f>IFERROR(INDEX(tEditais[Órgão],MATCH(tItens[[#This Row],[Edital]],tEditais[Edital],0)),"")</f>
        <v>MUNICIPIO DE RIO NOVO</v>
      </c>
      <c r="H2773" t="str">
        <f>IFERROR(INDEX(tEditais[UF],MATCH(tItens[[#This Row],[Edital]],tEditais[Edital],0)),"")</f>
        <v>MG</v>
      </c>
      <c r="I2773" s="11">
        <f>IFERROR(INDEX(tEditais[Encerramento],MATCH(tItens[[#This Row],[Edital]],tEditais[Edital],0)),"")</f>
        <v>46304.333333333336</v>
      </c>
      <c r="J2773" t="str">
        <f>IFERROR(INDEX(tProdutos[Classe],MATCH(tItens[[#This Row],[Produto]],tProdutos[Produto],0)),"produto não cadastrado")</f>
        <v>NÚCLEO</v>
      </c>
      <c r="K2773" s="12">
        <f>tItens[[#This Row],[Qtd]]*tItens[[#This Row],[Vlr unit]]</f>
        <v>660</v>
      </c>
      <c r="L2773" s="6">
        <f>IFERROR(IF(INDEX(tProdutos[Desconto homologado],MATCH(tItens[[#This Row],[Produto]],tProdutos[Produto],0))="",DescontoPadrao,INDEX(tProdutos[Desconto homologado],MATCH(tItens[[#This Row],[Produto]],tProdutos[Produto],0))),DescontoPadrao)</f>
        <v>0.30410958904109597</v>
      </c>
      <c r="M2773" s="12">
        <f>tItens[[#This Row],[Valor]]*(1-tItens[[#This Row],[Desconto]])</f>
        <v>459.28767123287668</v>
      </c>
      <c r="N2773" t="str">
        <f>IFERROR(INDEX(tProdutos[Foco],MATCH(tItens[[#This Row],[Produto]],tProdutos[Produto],0)),"Não")</f>
        <v>Não</v>
      </c>
      <c r="O2773" t="str">
        <f>IFERROR(INDEX(tEditais[SRP],MATCH(tItens[[#This Row],[Edital]],tEditais[Edital],0)),"Não")</f>
        <v>Sim</v>
      </c>
      <c r="P2773" s="4">
        <f>IF(COUNTIFS(INDEX(tItens[Edital],1):tItens[[#This Row],[Edital]],tItens[[#This Row],[Edital]],INDEX(tItens[Produto],1):tItens[[#This Row],[Produto]],tItens[[#This Row],[Produto]])=1,1,0)</f>
        <v>0</v>
      </c>
    </row>
    <row r="2774" spans="1:16" x14ac:dyDescent="0.25">
      <c r="A2774" t="s">
        <v>1282</v>
      </c>
      <c r="B2774">
        <v>227</v>
      </c>
      <c r="C2774" t="s">
        <v>5725</v>
      </c>
      <c r="D2774" t="s">
        <v>110</v>
      </c>
      <c r="E2774" s="13">
        <v>500</v>
      </c>
      <c r="F2774" s="12">
        <v>1.29</v>
      </c>
      <c r="G2774" t="str">
        <f>IFERROR(INDEX(tEditais[Órgão],MATCH(tItens[[#This Row],[Edital]],tEditais[Edital],0)),"")</f>
        <v>MUNICIPIO DE RIO NOVO</v>
      </c>
      <c r="H2774" t="str">
        <f>IFERROR(INDEX(tEditais[UF],MATCH(tItens[[#This Row],[Edital]],tEditais[Edital],0)),"")</f>
        <v>MG</v>
      </c>
      <c r="I2774" s="11">
        <f>IFERROR(INDEX(tEditais[Encerramento],MATCH(tItens[[#This Row],[Edital]],tEditais[Edital],0)),"")</f>
        <v>46304.333333333336</v>
      </c>
      <c r="J2774" t="str">
        <f>IFERROR(INDEX(tProdutos[Classe],MATCH(tItens[[#This Row],[Produto]],tProdutos[Produto],0)),"produto não cadastrado")</f>
        <v>NÚCLEO</v>
      </c>
      <c r="K2774" s="12">
        <f>tItens[[#This Row],[Qtd]]*tItens[[#This Row],[Vlr unit]]</f>
        <v>645</v>
      </c>
      <c r="L2774" s="6">
        <f>IFERROR(IF(INDEX(tProdutos[Desconto homologado],MATCH(tItens[[#This Row],[Produto]],tProdutos[Produto],0))="",DescontoPadrao,INDEX(tProdutos[Desconto homologado],MATCH(tItens[[#This Row],[Produto]],tProdutos[Produto],0))),DescontoPadrao)</f>
        <v>0.30410958904109597</v>
      </c>
      <c r="M2774" s="12">
        <f>tItens[[#This Row],[Valor]]*(1-tItens[[#This Row],[Desconto]])</f>
        <v>448.84931506849307</v>
      </c>
      <c r="N2774" t="str">
        <f>IFERROR(INDEX(tProdutos[Foco],MATCH(tItens[[#This Row],[Produto]],tProdutos[Produto],0)),"Não")</f>
        <v>Não</v>
      </c>
      <c r="O2774" t="str">
        <f>IFERROR(INDEX(tEditais[SRP],MATCH(tItens[[#This Row],[Edital]],tEditais[Edital],0)),"Não")</f>
        <v>Sim</v>
      </c>
      <c r="P2774" s="4">
        <f>IF(COUNTIFS(INDEX(tItens[Edital],1):tItens[[#This Row],[Edital]],tItens[[#This Row],[Edital]],INDEX(tItens[Produto],1):tItens[[#This Row],[Produto]],tItens[[#This Row],[Produto]])=1,1,0)</f>
        <v>0</v>
      </c>
    </row>
    <row r="2775" spans="1:16" x14ac:dyDescent="0.25">
      <c r="A2775" t="s">
        <v>1282</v>
      </c>
      <c r="B2775">
        <v>228</v>
      </c>
      <c r="C2775" t="s">
        <v>5726</v>
      </c>
      <c r="D2775" t="s">
        <v>110</v>
      </c>
      <c r="E2775" s="13">
        <v>500</v>
      </c>
      <c r="F2775" s="12">
        <v>1.43</v>
      </c>
      <c r="G2775" t="str">
        <f>IFERROR(INDEX(tEditais[Órgão],MATCH(tItens[[#This Row],[Edital]],tEditais[Edital],0)),"")</f>
        <v>MUNICIPIO DE RIO NOVO</v>
      </c>
      <c r="H2775" t="str">
        <f>IFERROR(INDEX(tEditais[UF],MATCH(tItens[[#This Row],[Edital]],tEditais[Edital],0)),"")</f>
        <v>MG</v>
      </c>
      <c r="I2775" s="11">
        <f>IFERROR(INDEX(tEditais[Encerramento],MATCH(tItens[[#This Row],[Edital]],tEditais[Edital],0)),"")</f>
        <v>46304.333333333336</v>
      </c>
      <c r="J2775" t="str">
        <f>IFERROR(INDEX(tProdutos[Classe],MATCH(tItens[[#This Row],[Produto]],tProdutos[Produto],0)),"produto não cadastrado")</f>
        <v>NÚCLEO</v>
      </c>
      <c r="K2775" s="12">
        <f>tItens[[#This Row],[Qtd]]*tItens[[#This Row],[Vlr unit]]</f>
        <v>715</v>
      </c>
      <c r="L2775" s="6">
        <f>IFERROR(IF(INDEX(tProdutos[Desconto homologado],MATCH(tItens[[#This Row],[Produto]],tProdutos[Produto],0))="",DescontoPadrao,INDEX(tProdutos[Desconto homologado],MATCH(tItens[[#This Row],[Produto]],tProdutos[Produto],0))),DescontoPadrao)</f>
        <v>0.30410958904109597</v>
      </c>
      <c r="M2775" s="12">
        <f>tItens[[#This Row],[Valor]]*(1-tItens[[#This Row],[Desconto]])</f>
        <v>497.56164383561639</v>
      </c>
      <c r="N2775" t="str">
        <f>IFERROR(INDEX(tProdutos[Foco],MATCH(tItens[[#This Row],[Produto]],tProdutos[Produto],0)),"Não")</f>
        <v>Não</v>
      </c>
      <c r="O2775" t="str">
        <f>IFERROR(INDEX(tEditais[SRP],MATCH(tItens[[#This Row],[Edital]],tEditais[Edital],0)),"Não")</f>
        <v>Sim</v>
      </c>
      <c r="P2775" s="4">
        <f>IF(COUNTIFS(INDEX(tItens[Edital],1):tItens[[#This Row],[Edital]],tItens[[#This Row],[Edital]],INDEX(tItens[Produto],1):tItens[[#This Row],[Produto]],tItens[[#This Row],[Produto]])=1,1,0)</f>
        <v>0</v>
      </c>
    </row>
    <row r="2776" spans="1:16" x14ac:dyDescent="0.25">
      <c r="A2776" t="s">
        <v>1282</v>
      </c>
      <c r="B2776">
        <v>229</v>
      </c>
      <c r="C2776" t="s">
        <v>5727</v>
      </c>
      <c r="D2776" t="s">
        <v>110</v>
      </c>
      <c r="E2776" s="13">
        <v>500</v>
      </c>
      <c r="F2776" s="12">
        <v>1.49</v>
      </c>
      <c r="G2776" t="str">
        <f>IFERROR(INDEX(tEditais[Órgão],MATCH(tItens[[#This Row],[Edital]],tEditais[Edital],0)),"")</f>
        <v>MUNICIPIO DE RIO NOVO</v>
      </c>
      <c r="H2776" t="str">
        <f>IFERROR(INDEX(tEditais[UF],MATCH(tItens[[#This Row],[Edital]],tEditais[Edital],0)),"")</f>
        <v>MG</v>
      </c>
      <c r="I2776" s="11">
        <f>IFERROR(INDEX(tEditais[Encerramento],MATCH(tItens[[#This Row],[Edital]],tEditais[Edital],0)),"")</f>
        <v>46304.333333333336</v>
      </c>
      <c r="J2776" t="str">
        <f>IFERROR(INDEX(tProdutos[Classe],MATCH(tItens[[#This Row],[Produto]],tProdutos[Produto],0)),"produto não cadastrado")</f>
        <v>NÚCLEO</v>
      </c>
      <c r="K2776" s="12">
        <f>tItens[[#This Row],[Qtd]]*tItens[[#This Row],[Vlr unit]]</f>
        <v>745</v>
      </c>
      <c r="L2776" s="6">
        <f>IFERROR(IF(INDEX(tProdutos[Desconto homologado],MATCH(tItens[[#This Row],[Produto]],tProdutos[Produto],0))="",DescontoPadrao,INDEX(tProdutos[Desconto homologado],MATCH(tItens[[#This Row],[Produto]],tProdutos[Produto],0))),DescontoPadrao)</f>
        <v>0.30410958904109597</v>
      </c>
      <c r="M2776" s="12">
        <f>tItens[[#This Row],[Valor]]*(1-tItens[[#This Row],[Desconto]])</f>
        <v>518.43835616438355</v>
      </c>
      <c r="N2776" t="str">
        <f>IFERROR(INDEX(tProdutos[Foco],MATCH(tItens[[#This Row],[Produto]],tProdutos[Produto],0)),"Não")</f>
        <v>Não</v>
      </c>
      <c r="O2776" t="str">
        <f>IFERROR(INDEX(tEditais[SRP],MATCH(tItens[[#This Row],[Edital]],tEditais[Edital],0)),"Não")</f>
        <v>Sim</v>
      </c>
      <c r="P2776" s="4">
        <f>IF(COUNTIFS(INDEX(tItens[Edital],1):tItens[[#This Row],[Edital]],tItens[[#This Row],[Edital]],INDEX(tItens[Produto],1):tItens[[#This Row],[Produto]],tItens[[#This Row],[Produto]])=1,1,0)</f>
        <v>0</v>
      </c>
    </row>
    <row r="2777" spans="1:16" x14ac:dyDescent="0.25">
      <c r="A2777" t="s">
        <v>1282</v>
      </c>
      <c r="B2777">
        <v>230</v>
      </c>
      <c r="C2777" t="s">
        <v>5728</v>
      </c>
      <c r="D2777" t="s">
        <v>110</v>
      </c>
      <c r="E2777" s="13">
        <v>500</v>
      </c>
      <c r="F2777" s="12">
        <v>1.76</v>
      </c>
      <c r="G2777" t="str">
        <f>IFERROR(INDEX(tEditais[Órgão],MATCH(tItens[[#This Row],[Edital]],tEditais[Edital],0)),"")</f>
        <v>MUNICIPIO DE RIO NOVO</v>
      </c>
      <c r="H2777" t="str">
        <f>IFERROR(INDEX(tEditais[UF],MATCH(tItens[[#This Row],[Edital]],tEditais[Edital],0)),"")</f>
        <v>MG</v>
      </c>
      <c r="I2777" s="11">
        <f>IFERROR(INDEX(tEditais[Encerramento],MATCH(tItens[[#This Row],[Edital]],tEditais[Edital],0)),"")</f>
        <v>46304.333333333336</v>
      </c>
      <c r="J2777" t="str">
        <f>IFERROR(INDEX(tProdutos[Classe],MATCH(tItens[[#This Row],[Produto]],tProdutos[Produto],0)),"produto não cadastrado")</f>
        <v>NÚCLEO</v>
      </c>
      <c r="K2777" s="12">
        <f>tItens[[#This Row],[Qtd]]*tItens[[#This Row],[Vlr unit]]</f>
        <v>880</v>
      </c>
      <c r="L2777" s="6">
        <f>IFERROR(IF(INDEX(tProdutos[Desconto homologado],MATCH(tItens[[#This Row],[Produto]],tProdutos[Produto],0))="",DescontoPadrao,INDEX(tProdutos[Desconto homologado],MATCH(tItens[[#This Row],[Produto]],tProdutos[Produto],0))),DescontoPadrao)</f>
        <v>0.30410958904109597</v>
      </c>
      <c r="M2777" s="12">
        <f>tItens[[#This Row],[Valor]]*(1-tItens[[#This Row],[Desconto]])</f>
        <v>612.38356164383549</v>
      </c>
      <c r="N2777" t="str">
        <f>IFERROR(INDEX(tProdutos[Foco],MATCH(tItens[[#This Row],[Produto]],tProdutos[Produto],0)),"Não")</f>
        <v>Não</v>
      </c>
      <c r="O2777" t="str">
        <f>IFERROR(INDEX(tEditais[SRP],MATCH(tItens[[#This Row],[Edital]],tEditais[Edital],0)),"Não")</f>
        <v>Sim</v>
      </c>
      <c r="P2777" s="4">
        <f>IF(COUNTIFS(INDEX(tItens[Edital],1):tItens[[#This Row],[Edital]],tItens[[#This Row],[Edital]],INDEX(tItens[Produto],1):tItens[[#This Row],[Produto]],tItens[[#This Row],[Produto]])=1,1,0)</f>
        <v>0</v>
      </c>
    </row>
    <row r="2778" spans="1:16" x14ac:dyDescent="0.25">
      <c r="A2778" t="s">
        <v>1282</v>
      </c>
      <c r="B2778">
        <v>231</v>
      </c>
      <c r="C2778" t="s">
        <v>5729</v>
      </c>
      <c r="D2778" t="s">
        <v>110</v>
      </c>
      <c r="E2778" s="13">
        <v>500</v>
      </c>
      <c r="F2778" s="12">
        <v>1.77</v>
      </c>
      <c r="G2778" t="str">
        <f>IFERROR(INDEX(tEditais[Órgão],MATCH(tItens[[#This Row],[Edital]],tEditais[Edital],0)),"")</f>
        <v>MUNICIPIO DE RIO NOVO</v>
      </c>
      <c r="H2778" t="str">
        <f>IFERROR(INDEX(tEditais[UF],MATCH(tItens[[#This Row],[Edital]],tEditais[Edital],0)),"")</f>
        <v>MG</v>
      </c>
      <c r="I2778" s="11">
        <f>IFERROR(INDEX(tEditais[Encerramento],MATCH(tItens[[#This Row],[Edital]],tEditais[Edital],0)),"")</f>
        <v>46304.333333333336</v>
      </c>
      <c r="J2778" t="str">
        <f>IFERROR(INDEX(tProdutos[Classe],MATCH(tItens[[#This Row],[Produto]],tProdutos[Produto],0)),"produto não cadastrado")</f>
        <v>NÚCLEO</v>
      </c>
      <c r="K2778" s="12">
        <f>tItens[[#This Row],[Qtd]]*tItens[[#This Row],[Vlr unit]]</f>
        <v>885</v>
      </c>
      <c r="L2778" s="6">
        <f>IFERROR(IF(INDEX(tProdutos[Desconto homologado],MATCH(tItens[[#This Row],[Produto]],tProdutos[Produto],0))="",DescontoPadrao,INDEX(tProdutos[Desconto homologado],MATCH(tItens[[#This Row],[Produto]],tProdutos[Produto],0))),DescontoPadrao)</f>
        <v>0.30410958904109597</v>
      </c>
      <c r="M2778" s="12">
        <f>tItens[[#This Row],[Valor]]*(1-tItens[[#This Row],[Desconto]])</f>
        <v>615.86301369863008</v>
      </c>
      <c r="N2778" t="str">
        <f>IFERROR(INDEX(tProdutos[Foco],MATCH(tItens[[#This Row],[Produto]],tProdutos[Produto],0)),"Não")</f>
        <v>Não</v>
      </c>
      <c r="O2778" t="str">
        <f>IFERROR(INDEX(tEditais[SRP],MATCH(tItens[[#This Row],[Edital]],tEditais[Edital],0)),"Não")</f>
        <v>Sim</v>
      </c>
      <c r="P2778" s="4">
        <f>IF(COUNTIFS(INDEX(tItens[Edital],1):tItens[[#This Row],[Edital]],tItens[[#This Row],[Edital]],INDEX(tItens[Produto],1):tItens[[#This Row],[Produto]],tItens[[#This Row],[Produto]])=1,1,0)</f>
        <v>0</v>
      </c>
    </row>
    <row r="2779" spans="1:16" x14ac:dyDescent="0.25">
      <c r="A2779" t="s">
        <v>1282</v>
      </c>
      <c r="B2779">
        <v>232</v>
      </c>
      <c r="C2779" t="s">
        <v>5730</v>
      </c>
      <c r="D2779" t="s">
        <v>110</v>
      </c>
      <c r="E2779" s="13">
        <v>500</v>
      </c>
      <c r="F2779" s="12">
        <v>0.88</v>
      </c>
      <c r="G2779" t="str">
        <f>IFERROR(INDEX(tEditais[Órgão],MATCH(tItens[[#This Row],[Edital]],tEditais[Edital],0)),"")</f>
        <v>MUNICIPIO DE RIO NOVO</v>
      </c>
      <c r="H2779" t="str">
        <f>IFERROR(INDEX(tEditais[UF],MATCH(tItens[[#This Row],[Edital]],tEditais[Edital],0)),"")</f>
        <v>MG</v>
      </c>
      <c r="I2779" s="11">
        <f>IFERROR(INDEX(tEditais[Encerramento],MATCH(tItens[[#This Row],[Edital]],tEditais[Edital],0)),"")</f>
        <v>46304.333333333336</v>
      </c>
      <c r="J2779" t="str">
        <f>IFERROR(INDEX(tProdutos[Classe],MATCH(tItens[[#This Row],[Produto]],tProdutos[Produto],0)),"produto não cadastrado")</f>
        <v>NÚCLEO</v>
      </c>
      <c r="K2779" s="12">
        <f>tItens[[#This Row],[Qtd]]*tItens[[#This Row],[Vlr unit]]</f>
        <v>440</v>
      </c>
      <c r="L2779" s="6">
        <f>IFERROR(IF(INDEX(tProdutos[Desconto homologado],MATCH(tItens[[#This Row],[Produto]],tProdutos[Produto],0))="",DescontoPadrao,INDEX(tProdutos[Desconto homologado],MATCH(tItens[[#This Row],[Produto]],tProdutos[Produto],0))),DescontoPadrao)</f>
        <v>0.30410958904109597</v>
      </c>
      <c r="M2779" s="12">
        <f>tItens[[#This Row],[Valor]]*(1-tItens[[#This Row],[Desconto]])</f>
        <v>306.19178082191775</v>
      </c>
      <c r="N2779" t="str">
        <f>IFERROR(INDEX(tProdutos[Foco],MATCH(tItens[[#This Row],[Produto]],tProdutos[Produto],0)),"Não")</f>
        <v>Não</v>
      </c>
      <c r="O2779" t="str">
        <f>IFERROR(INDEX(tEditais[SRP],MATCH(tItens[[#This Row],[Edital]],tEditais[Edital],0)),"Não")</f>
        <v>Sim</v>
      </c>
      <c r="P2779" s="4">
        <f>IF(COUNTIFS(INDEX(tItens[Edital],1):tItens[[#This Row],[Edital]],tItens[[#This Row],[Edital]],INDEX(tItens[Produto],1):tItens[[#This Row],[Produto]],tItens[[#This Row],[Produto]])=1,1,0)</f>
        <v>0</v>
      </c>
    </row>
    <row r="2780" spans="1:16" x14ac:dyDescent="0.25">
      <c r="A2780" t="s">
        <v>1282</v>
      </c>
      <c r="B2780">
        <v>233</v>
      </c>
      <c r="C2780" t="s">
        <v>5731</v>
      </c>
      <c r="D2780" t="s">
        <v>110</v>
      </c>
      <c r="E2780" s="13">
        <v>500</v>
      </c>
      <c r="F2780" s="12">
        <v>1.36</v>
      </c>
      <c r="G2780" t="str">
        <f>IFERROR(INDEX(tEditais[Órgão],MATCH(tItens[[#This Row],[Edital]],tEditais[Edital],0)),"")</f>
        <v>MUNICIPIO DE RIO NOVO</v>
      </c>
      <c r="H2780" t="str">
        <f>IFERROR(INDEX(tEditais[UF],MATCH(tItens[[#This Row],[Edital]],tEditais[Edital],0)),"")</f>
        <v>MG</v>
      </c>
      <c r="I2780" s="11">
        <f>IFERROR(INDEX(tEditais[Encerramento],MATCH(tItens[[#This Row],[Edital]],tEditais[Edital],0)),"")</f>
        <v>46304.333333333336</v>
      </c>
      <c r="J2780" t="str">
        <f>IFERROR(INDEX(tProdutos[Classe],MATCH(tItens[[#This Row],[Produto]],tProdutos[Produto],0)),"produto não cadastrado")</f>
        <v>NÚCLEO</v>
      </c>
      <c r="K2780" s="12">
        <f>tItens[[#This Row],[Qtd]]*tItens[[#This Row],[Vlr unit]]</f>
        <v>680</v>
      </c>
      <c r="L2780" s="6">
        <f>IFERROR(IF(INDEX(tProdutos[Desconto homologado],MATCH(tItens[[#This Row],[Produto]],tProdutos[Produto],0))="",DescontoPadrao,INDEX(tProdutos[Desconto homologado],MATCH(tItens[[#This Row],[Produto]],tProdutos[Produto],0))),DescontoPadrao)</f>
        <v>0.30410958904109597</v>
      </c>
      <c r="M2780" s="12">
        <f>tItens[[#This Row],[Valor]]*(1-tItens[[#This Row],[Desconto]])</f>
        <v>473.20547945205476</v>
      </c>
      <c r="N2780" t="str">
        <f>IFERROR(INDEX(tProdutos[Foco],MATCH(tItens[[#This Row],[Produto]],tProdutos[Produto],0)),"Não")</f>
        <v>Não</v>
      </c>
      <c r="O2780" t="str">
        <f>IFERROR(INDEX(tEditais[SRP],MATCH(tItens[[#This Row],[Edital]],tEditais[Edital],0)),"Não")</f>
        <v>Sim</v>
      </c>
      <c r="P2780" s="4">
        <f>IF(COUNTIFS(INDEX(tItens[Edital],1):tItens[[#This Row],[Edital]],tItens[[#This Row],[Edital]],INDEX(tItens[Produto],1):tItens[[#This Row],[Produto]],tItens[[#This Row],[Produto]])=1,1,0)</f>
        <v>0</v>
      </c>
    </row>
    <row r="2781" spans="1:16" x14ac:dyDescent="0.25">
      <c r="A2781" t="s">
        <v>1282</v>
      </c>
      <c r="B2781">
        <v>234</v>
      </c>
      <c r="C2781" t="s">
        <v>5732</v>
      </c>
      <c r="D2781" t="s">
        <v>120</v>
      </c>
      <c r="E2781" s="13">
        <v>5000</v>
      </c>
      <c r="F2781" s="12">
        <v>1.29</v>
      </c>
      <c r="G2781" t="str">
        <f>IFERROR(INDEX(tEditais[Órgão],MATCH(tItens[[#This Row],[Edital]],tEditais[Edital],0)),"")</f>
        <v>MUNICIPIO DE RIO NOVO</v>
      </c>
      <c r="H2781" t="str">
        <f>IFERROR(INDEX(tEditais[UF],MATCH(tItens[[#This Row],[Edital]],tEditais[Edital],0)),"")</f>
        <v>MG</v>
      </c>
      <c r="I2781" s="11">
        <f>IFERROR(INDEX(tEditais[Encerramento],MATCH(tItens[[#This Row],[Edital]],tEditais[Edital],0)),"")</f>
        <v>46304.333333333336</v>
      </c>
      <c r="J2781" t="str">
        <f>IFERROR(INDEX(tProdutos[Classe],MATCH(tItens[[#This Row],[Produto]],tProdutos[Produto],0)),"produto não cadastrado")</f>
        <v>DISPUTADO</v>
      </c>
      <c r="K2781" s="12">
        <f>tItens[[#This Row],[Qtd]]*tItens[[#This Row],[Vlr unit]]</f>
        <v>6450</v>
      </c>
      <c r="L2781" s="6">
        <f>IFERROR(IF(INDEX(tProdutos[Desconto homologado],MATCH(tItens[[#This Row],[Produto]],tProdutos[Produto],0))="",DescontoPadrao,INDEX(tProdutos[Desconto homologado],MATCH(tItens[[#This Row],[Produto]],tProdutos[Produto],0))),DescontoPadrao)</f>
        <v>0.40909090909090901</v>
      </c>
      <c r="M2781" s="12">
        <f>tItens[[#This Row],[Valor]]*(1-tItens[[#This Row],[Desconto]])</f>
        <v>3811.3636363636374</v>
      </c>
      <c r="N2781" t="str">
        <f>IFERROR(INDEX(tProdutos[Foco],MATCH(tItens[[#This Row],[Produto]],tProdutos[Produto],0)),"Não")</f>
        <v>Não</v>
      </c>
      <c r="O2781" t="str">
        <f>IFERROR(INDEX(tEditais[SRP],MATCH(tItens[[#This Row],[Edital]],tEditais[Edital],0)),"Não")</f>
        <v>Sim</v>
      </c>
      <c r="P2781" s="4">
        <f>IF(COUNTIFS(INDEX(tItens[Edital],1):tItens[[#This Row],[Edital]],tItens[[#This Row],[Edital]],INDEX(tItens[Produto],1):tItens[[#This Row],[Produto]],tItens[[#This Row],[Produto]])=1,1,0)</f>
        <v>1</v>
      </c>
    </row>
    <row r="2782" spans="1:16" x14ac:dyDescent="0.25">
      <c r="A2782" t="s">
        <v>1282</v>
      </c>
      <c r="B2782">
        <v>235</v>
      </c>
      <c r="C2782" t="s">
        <v>5733</v>
      </c>
      <c r="D2782" t="s">
        <v>120</v>
      </c>
      <c r="E2782" s="13">
        <v>5000</v>
      </c>
      <c r="F2782" s="12">
        <v>1.25</v>
      </c>
      <c r="G2782" t="str">
        <f>IFERROR(INDEX(tEditais[Órgão],MATCH(tItens[[#This Row],[Edital]],tEditais[Edital],0)),"")</f>
        <v>MUNICIPIO DE RIO NOVO</v>
      </c>
      <c r="H2782" t="str">
        <f>IFERROR(INDEX(tEditais[UF],MATCH(tItens[[#This Row],[Edital]],tEditais[Edital],0)),"")</f>
        <v>MG</v>
      </c>
      <c r="I2782" s="11">
        <f>IFERROR(INDEX(tEditais[Encerramento],MATCH(tItens[[#This Row],[Edital]],tEditais[Edital],0)),"")</f>
        <v>46304.333333333336</v>
      </c>
      <c r="J2782" t="str">
        <f>IFERROR(INDEX(tProdutos[Classe],MATCH(tItens[[#This Row],[Produto]],tProdutos[Produto],0)),"produto não cadastrado")</f>
        <v>DISPUTADO</v>
      </c>
      <c r="K2782" s="12">
        <f>tItens[[#This Row],[Qtd]]*tItens[[#This Row],[Vlr unit]]</f>
        <v>6250</v>
      </c>
      <c r="L2782" s="6">
        <f>IFERROR(IF(INDEX(tProdutos[Desconto homologado],MATCH(tItens[[#This Row],[Produto]],tProdutos[Produto],0))="",DescontoPadrao,INDEX(tProdutos[Desconto homologado],MATCH(tItens[[#This Row],[Produto]],tProdutos[Produto],0))),DescontoPadrao)</f>
        <v>0.40909090909090901</v>
      </c>
      <c r="M2782" s="12">
        <f>tItens[[#This Row],[Valor]]*(1-tItens[[#This Row],[Desconto]])</f>
        <v>3693.1818181818189</v>
      </c>
      <c r="N2782" t="str">
        <f>IFERROR(INDEX(tProdutos[Foco],MATCH(tItens[[#This Row],[Produto]],tProdutos[Produto],0)),"Não")</f>
        <v>Não</v>
      </c>
      <c r="O2782" t="str">
        <f>IFERROR(INDEX(tEditais[SRP],MATCH(tItens[[#This Row],[Edital]],tEditais[Edital],0)),"Não")</f>
        <v>Sim</v>
      </c>
      <c r="P2782" s="4">
        <f>IF(COUNTIFS(INDEX(tItens[Edital],1):tItens[[#This Row],[Edital]],tItens[[#This Row],[Edital]],INDEX(tItens[Produto],1):tItens[[#This Row],[Produto]],tItens[[#This Row],[Produto]])=1,1,0)</f>
        <v>0</v>
      </c>
    </row>
    <row r="2783" spans="1:16" x14ac:dyDescent="0.25">
      <c r="A2783" t="s">
        <v>1282</v>
      </c>
      <c r="B2783">
        <v>236</v>
      </c>
      <c r="C2783" t="s">
        <v>5734</v>
      </c>
      <c r="D2783" t="s">
        <v>120</v>
      </c>
      <c r="E2783" s="13">
        <v>5000</v>
      </c>
      <c r="F2783" s="12">
        <v>1.33</v>
      </c>
      <c r="G2783" t="str">
        <f>IFERROR(INDEX(tEditais[Órgão],MATCH(tItens[[#This Row],[Edital]],tEditais[Edital],0)),"")</f>
        <v>MUNICIPIO DE RIO NOVO</v>
      </c>
      <c r="H2783" t="str">
        <f>IFERROR(INDEX(tEditais[UF],MATCH(tItens[[#This Row],[Edital]],tEditais[Edital],0)),"")</f>
        <v>MG</v>
      </c>
      <c r="I2783" s="11">
        <f>IFERROR(INDEX(tEditais[Encerramento],MATCH(tItens[[#This Row],[Edital]],tEditais[Edital],0)),"")</f>
        <v>46304.333333333336</v>
      </c>
      <c r="J2783" t="str">
        <f>IFERROR(INDEX(tProdutos[Classe],MATCH(tItens[[#This Row],[Produto]],tProdutos[Produto],0)),"produto não cadastrado")</f>
        <v>DISPUTADO</v>
      </c>
      <c r="K2783" s="12">
        <f>tItens[[#This Row],[Qtd]]*tItens[[#This Row],[Vlr unit]]</f>
        <v>6650</v>
      </c>
      <c r="L2783" s="6">
        <f>IFERROR(IF(INDEX(tProdutos[Desconto homologado],MATCH(tItens[[#This Row],[Produto]],tProdutos[Produto],0))="",DescontoPadrao,INDEX(tProdutos[Desconto homologado],MATCH(tItens[[#This Row],[Produto]],tProdutos[Produto],0))),DescontoPadrao)</f>
        <v>0.40909090909090901</v>
      </c>
      <c r="M2783" s="12">
        <f>tItens[[#This Row],[Valor]]*(1-tItens[[#This Row],[Desconto]])</f>
        <v>3929.5454545454554</v>
      </c>
      <c r="N2783" t="str">
        <f>IFERROR(INDEX(tProdutos[Foco],MATCH(tItens[[#This Row],[Produto]],tProdutos[Produto],0)),"Não")</f>
        <v>Não</v>
      </c>
      <c r="O2783" t="str">
        <f>IFERROR(INDEX(tEditais[SRP],MATCH(tItens[[#This Row],[Edital]],tEditais[Edital],0)),"Não")</f>
        <v>Sim</v>
      </c>
      <c r="P2783" s="4">
        <f>IF(COUNTIFS(INDEX(tItens[Edital],1):tItens[[#This Row],[Edital]],tItens[[#This Row],[Edital]],INDEX(tItens[Produto],1):tItens[[#This Row],[Produto]],tItens[[#This Row],[Produto]])=1,1,0)</f>
        <v>0</v>
      </c>
    </row>
    <row r="2784" spans="1:16" x14ac:dyDescent="0.25">
      <c r="A2784" t="s">
        <v>1282</v>
      </c>
      <c r="B2784">
        <v>237</v>
      </c>
      <c r="C2784" t="s">
        <v>5735</v>
      </c>
      <c r="D2784" t="s">
        <v>120</v>
      </c>
      <c r="E2784" s="13">
        <v>5000</v>
      </c>
      <c r="F2784" s="12">
        <v>1.1599999999999999</v>
      </c>
      <c r="G2784" t="str">
        <f>IFERROR(INDEX(tEditais[Órgão],MATCH(tItens[[#This Row],[Edital]],tEditais[Edital],0)),"")</f>
        <v>MUNICIPIO DE RIO NOVO</v>
      </c>
      <c r="H2784" t="str">
        <f>IFERROR(INDEX(tEditais[UF],MATCH(tItens[[#This Row],[Edital]],tEditais[Edital],0)),"")</f>
        <v>MG</v>
      </c>
      <c r="I2784" s="11">
        <f>IFERROR(INDEX(tEditais[Encerramento],MATCH(tItens[[#This Row],[Edital]],tEditais[Edital],0)),"")</f>
        <v>46304.333333333336</v>
      </c>
      <c r="J2784" t="str">
        <f>IFERROR(INDEX(tProdutos[Classe],MATCH(tItens[[#This Row],[Produto]],tProdutos[Produto],0)),"produto não cadastrado")</f>
        <v>DISPUTADO</v>
      </c>
      <c r="K2784" s="12">
        <f>tItens[[#This Row],[Qtd]]*tItens[[#This Row],[Vlr unit]]</f>
        <v>5800</v>
      </c>
      <c r="L2784" s="6">
        <f>IFERROR(IF(INDEX(tProdutos[Desconto homologado],MATCH(tItens[[#This Row],[Produto]],tProdutos[Produto],0))="",DescontoPadrao,INDEX(tProdutos[Desconto homologado],MATCH(tItens[[#This Row],[Produto]],tProdutos[Produto],0))),DescontoPadrao)</f>
        <v>0.40909090909090901</v>
      </c>
      <c r="M2784" s="12">
        <f>tItens[[#This Row],[Valor]]*(1-tItens[[#This Row],[Desconto]])</f>
        <v>3427.2727272727279</v>
      </c>
      <c r="N2784" t="str">
        <f>IFERROR(INDEX(tProdutos[Foco],MATCH(tItens[[#This Row],[Produto]],tProdutos[Produto],0)),"Não")</f>
        <v>Não</v>
      </c>
      <c r="O2784" t="str">
        <f>IFERROR(INDEX(tEditais[SRP],MATCH(tItens[[#This Row],[Edital]],tEditais[Edital],0)),"Não")</f>
        <v>Sim</v>
      </c>
      <c r="P2784" s="4">
        <f>IF(COUNTIFS(INDEX(tItens[Edital],1):tItens[[#This Row],[Edital]],tItens[[#This Row],[Edital]],INDEX(tItens[Produto],1):tItens[[#This Row],[Produto]],tItens[[#This Row],[Produto]])=1,1,0)</f>
        <v>0</v>
      </c>
    </row>
    <row r="2785" spans="1:16" x14ac:dyDescent="0.25">
      <c r="A2785" t="s">
        <v>1282</v>
      </c>
      <c r="B2785">
        <v>238</v>
      </c>
      <c r="C2785" t="s">
        <v>5736</v>
      </c>
      <c r="D2785" t="s">
        <v>120</v>
      </c>
      <c r="E2785" s="13">
        <v>5000</v>
      </c>
      <c r="F2785" s="12">
        <v>1.47</v>
      </c>
      <c r="G2785" t="str">
        <f>IFERROR(INDEX(tEditais[Órgão],MATCH(tItens[[#This Row],[Edital]],tEditais[Edital],0)),"")</f>
        <v>MUNICIPIO DE RIO NOVO</v>
      </c>
      <c r="H2785" t="str">
        <f>IFERROR(INDEX(tEditais[UF],MATCH(tItens[[#This Row],[Edital]],tEditais[Edital],0)),"")</f>
        <v>MG</v>
      </c>
      <c r="I2785" s="11">
        <f>IFERROR(INDEX(tEditais[Encerramento],MATCH(tItens[[#This Row],[Edital]],tEditais[Edital],0)),"")</f>
        <v>46304.333333333336</v>
      </c>
      <c r="J2785" t="str">
        <f>IFERROR(INDEX(tProdutos[Classe],MATCH(tItens[[#This Row],[Produto]],tProdutos[Produto],0)),"produto não cadastrado")</f>
        <v>DISPUTADO</v>
      </c>
      <c r="K2785" s="12">
        <f>tItens[[#This Row],[Qtd]]*tItens[[#This Row],[Vlr unit]]</f>
        <v>7350</v>
      </c>
      <c r="L2785" s="6">
        <f>IFERROR(IF(INDEX(tProdutos[Desconto homologado],MATCH(tItens[[#This Row],[Produto]],tProdutos[Produto],0))="",DescontoPadrao,INDEX(tProdutos[Desconto homologado],MATCH(tItens[[#This Row],[Produto]],tProdutos[Produto],0))),DescontoPadrao)</f>
        <v>0.40909090909090901</v>
      </c>
      <c r="M2785" s="12">
        <f>tItens[[#This Row],[Valor]]*(1-tItens[[#This Row],[Desconto]])</f>
        <v>4343.1818181818189</v>
      </c>
      <c r="N2785" t="str">
        <f>IFERROR(INDEX(tProdutos[Foco],MATCH(tItens[[#This Row],[Produto]],tProdutos[Produto],0)),"Não")</f>
        <v>Não</v>
      </c>
      <c r="O2785" t="str">
        <f>IFERROR(INDEX(tEditais[SRP],MATCH(tItens[[#This Row],[Edital]],tEditais[Edital],0)),"Não")</f>
        <v>Sim</v>
      </c>
      <c r="P2785" s="4">
        <f>IF(COUNTIFS(INDEX(tItens[Edital],1):tItens[[#This Row],[Edital]],tItens[[#This Row],[Edital]],INDEX(tItens[Produto],1):tItens[[#This Row],[Produto]],tItens[[#This Row],[Produto]])=1,1,0)</f>
        <v>0</v>
      </c>
    </row>
    <row r="2786" spans="1:16" x14ac:dyDescent="0.25">
      <c r="A2786" t="s">
        <v>1282</v>
      </c>
      <c r="B2786">
        <v>239</v>
      </c>
      <c r="C2786" t="s">
        <v>5737</v>
      </c>
      <c r="D2786" t="s">
        <v>120</v>
      </c>
      <c r="E2786" s="13">
        <v>5000</v>
      </c>
      <c r="F2786" s="12">
        <v>1.39</v>
      </c>
      <c r="G2786" t="str">
        <f>IFERROR(INDEX(tEditais[Órgão],MATCH(tItens[[#This Row],[Edital]],tEditais[Edital],0)),"")</f>
        <v>MUNICIPIO DE RIO NOVO</v>
      </c>
      <c r="H2786" t="str">
        <f>IFERROR(INDEX(tEditais[UF],MATCH(tItens[[#This Row],[Edital]],tEditais[Edital],0)),"")</f>
        <v>MG</v>
      </c>
      <c r="I2786" s="11">
        <f>IFERROR(INDEX(tEditais[Encerramento],MATCH(tItens[[#This Row],[Edital]],tEditais[Edital],0)),"")</f>
        <v>46304.333333333336</v>
      </c>
      <c r="J2786" t="str">
        <f>IFERROR(INDEX(tProdutos[Classe],MATCH(tItens[[#This Row],[Produto]],tProdutos[Produto],0)),"produto não cadastrado")</f>
        <v>DISPUTADO</v>
      </c>
      <c r="K2786" s="12">
        <f>tItens[[#This Row],[Qtd]]*tItens[[#This Row],[Vlr unit]]</f>
        <v>6949.9999999999991</v>
      </c>
      <c r="L2786" s="6">
        <f>IFERROR(IF(INDEX(tProdutos[Desconto homologado],MATCH(tItens[[#This Row],[Produto]],tProdutos[Produto],0))="",DescontoPadrao,INDEX(tProdutos[Desconto homologado],MATCH(tItens[[#This Row],[Produto]],tProdutos[Produto],0))),DescontoPadrao)</f>
        <v>0.40909090909090901</v>
      </c>
      <c r="M2786" s="12">
        <f>tItens[[#This Row],[Valor]]*(1-tItens[[#This Row],[Desconto]])</f>
        <v>4106.818181818182</v>
      </c>
      <c r="N2786" t="str">
        <f>IFERROR(INDEX(tProdutos[Foco],MATCH(tItens[[#This Row],[Produto]],tProdutos[Produto],0)),"Não")</f>
        <v>Não</v>
      </c>
      <c r="O2786" t="str">
        <f>IFERROR(INDEX(tEditais[SRP],MATCH(tItens[[#This Row],[Edital]],tEditais[Edital],0)),"Não")</f>
        <v>Sim</v>
      </c>
      <c r="P2786" s="4">
        <f>IF(COUNTIFS(INDEX(tItens[Edital],1):tItens[[#This Row],[Edital]],tItens[[#This Row],[Edital]],INDEX(tItens[Produto],1):tItens[[#This Row],[Produto]],tItens[[#This Row],[Produto]])=1,1,0)</f>
        <v>0</v>
      </c>
    </row>
    <row r="2787" spans="1:16" x14ac:dyDescent="0.25">
      <c r="A2787" t="s">
        <v>1282</v>
      </c>
      <c r="B2787">
        <v>240</v>
      </c>
      <c r="C2787" t="s">
        <v>5738</v>
      </c>
      <c r="D2787" t="s">
        <v>120</v>
      </c>
      <c r="E2787" s="13">
        <v>5000</v>
      </c>
      <c r="F2787" s="12">
        <v>1.42</v>
      </c>
      <c r="G2787" t="str">
        <f>IFERROR(INDEX(tEditais[Órgão],MATCH(tItens[[#This Row],[Edital]],tEditais[Edital],0)),"")</f>
        <v>MUNICIPIO DE RIO NOVO</v>
      </c>
      <c r="H2787" t="str">
        <f>IFERROR(INDEX(tEditais[UF],MATCH(tItens[[#This Row],[Edital]],tEditais[Edital],0)),"")</f>
        <v>MG</v>
      </c>
      <c r="I2787" s="11">
        <f>IFERROR(INDEX(tEditais[Encerramento],MATCH(tItens[[#This Row],[Edital]],tEditais[Edital],0)),"")</f>
        <v>46304.333333333336</v>
      </c>
      <c r="J2787" t="str">
        <f>IFERROR(INDEX(tProdutos[Classe],MATCH(tItens[[#This Row],[Produto]],tProdutos[Produto],0)),"produto não cadastrado")</f>
        <v>DISPUTADO</v>
      </c>
      <c r="K2787" s="12">
        <f>tItens[[#This Row],[Qtd]]*tItens[[#This Row],[Vlr unit]]</f>
        <v>7100</v>
      </c>
      <c r="L2787" s="6">
        <f>IFERROR(IF(INDEX(tProdutos[Desconto homologado],MATCH(tItens[[#This Row],[Produto]],tProdutos[Produto],0))="",DescontoPadrao,INDEX(tProdutos[Desconto homologado],MATCH(tItens[[#This Row],[Produto]],tProdutos[Produto],0))),DescontoPadrao)</f>
        <v>0.40909090909090901</v>
      </c>
      <c r="M2787" s="12">
        <f>tItens[[#This Row],[Valor]]*(1-tItens[[#This Row],[Desconto]])</f>
        <v>4195.4545454545469</v>
      </c>
      <c r="N2787" t="str">
        <f>IFERROR(INDEX(tProdutos[Foco],MATCH(tItens[[#This Row],[Produto]],tProdutos[Produto],0)),"Não")</f>
        <v>Não</v>
      </c>
      <c r="O2787" t="str">
        <f>IFERROR(INDEX(tEditais[SRP],MATCH(tItens[[#This Row],[Edital]],tEditais[Edital],0)),"Não")</f>
        <v>Sim</v>
      </c>
      <c r="P2787" s="4">
        <f>IF(COUNTIFS(INDEX(tItens[Edital],1):tItens[[#This Row],[Edital]],tItens[[#This Row],[Edital]],INDEX(tItens[Produto],1):tItens[[#This Row],[Produto]],tItens[[#This Row],[Produto]])=1,1,0)</f>
        <v>0</v>
      </c>
    </row>
    <row r="2788" spans="1:16" x14ac:dyDescent="0.25">
      <c r="A2788" t="s">
        <v>1282</v>
      </c>
      <c r="B2788">
        <v>241</v>
      </c>
      <c r="C2788" t="s">
        <v>5739</v>
      </c>
      <c r="D2788" t="s">
        <v>120</v>
      </c>
      <c r="E2788" s="13">
        <v>5000</v>
      </c>
      <c r="F2788" s="12">
        <v>1.06</v>
      </c>
      <c r="G2788" t="str">
        <f>IFERROR(INDEX(tEditais[Órgão],MATCH(tItens[[#This Row],[Edital]],tEditais[Edital],0)),"")</f>
        <v>MUNICIPIO DE RIO NOVO</v>
      </c>
      <c r="H2788" t="str">
        <f>IFERROR(INDEX(tEditais[UF],MATCH(tItens[[#This Row],[Edital]],tEditais[Edital],0)),"")</f>
        <v>MG</v>
      </c>
      <c r="I2788" s="11">
        <f>IFERROR(INDEX(tEditais[Encerramento],MATCH(tItens[[#This Row],[Edital]],tEditais[Edital],0)),"")</f>
        <v>46304.333333333336</v>
      </c>
      <c r="J2788" t="str">
        <f>IFERROR(INDEX(tProdutos[Classe],MATCH(tItens[[#This Row],[Produto]],tProdutos[Produto],0)),"produto não cadastrado")</f>
        <v>DISPUTADO</v>
      </c>
      <c r="K2788" s="12">
        <f>tItens[[#This Row],[Qtd]]*tItens[[#This Row],[Vlr unit]]</f>
        <v>5300</v>
      </c>
      <c r="L2788" s="6">
        <f>IFERROR(IF(INDEX(tProdutos[Desconto homologado],MATCH(tItens[[#This Row],[Produto]],tProdutos[Produto],0))="",DescontoPadrao,INDEX(tProdutos[Desconto homologado],MATCH(tItens[[#This Row],[Produto]],tProdutos[Produto],0))),DescontoPadrao)</f>
        <v>0.40909090909090901</v>
      </c>
      <c r="M2788" s="12">
        <f>tItens[[#This Row],[Valor]]*(1-tItens[[#This Row],[Desconto]])</f>
        <v>3131.8181818181824</v>
      </c>
      <c r="N2788" t="str">
        <f>IFERROR(INDEX(tProdutos[Foco],MATCH(tItens[[#This Row],[Produto]],tProdutos[Produto],0)),"Não")</f>
        <v>Não</v>
      </c>
      <c r="O2788" t="str">
        <f>IFERROR(INDEX(tEditais[SRP],MATCH(tItens[[#This Row],[Edital]],tEditais[Edital],0)),"Não")</f>
        <v>Sim</v>
      </c>
      <c r="P2788" s="4">
        <f>IF(COUNTIFS(INDEX(tItens[Edital],1):tItens[[#This Row],[Edital]],tItens[[#This Row],[Edital]],INDEX(tItens[Produto],1):tItens[[#This Row],[Produto]],tItens[[#This Row],[Produto]])=1,1,0)</f>
        <v>0</v>
      </c>
    </row>
    <row r="2789" spans="1:16" x14ac:dyDescent="0.25">
      <c r="A2789" t="s">
        <v>1282</v>
      </c>
      <c r="B2789">
        <v>257</v>
      </c>
      <c r="C2789" t="s">
        <v>5740</v>
      </c>
      <c r="D2789" t="s">
        <v>411</v>
      </c>
      <c r="E2789" s="13">
        <v>100</v>
      </c>
      <c r="F2789" s="12">
        <v>26.43</v>
      </c>
      <c r="G2789" t="str">
        <f>IFERROR(INDEX(tEditais[Órgão],MATCH(tItens[[#This Row],[Edital]],tEditais[Edital],0)),"")</f>
        <v>MUNICIPIO DE RIO NOVO</v>
      </c>
      <c r="H2789" t="str">
        <f>IFERROR(INDEX(tEditais[UF],MATCH(tItens[[#This Row],[Edital]],tEditais[Edital],0)),"")</f>
        <v>MG</v>
      </c>
      <c r="I2789" s="11">
        <f>IFERROR(INDEX(tEditais[Encerramento],MATCH(tItens[[#This Row],[Edital]],tEditais[Edital],0)),"")</f>
        <v>46304.333333333336</v>
      </c>
      <c r="J2789" t="str">
        <f>IFERROR(INDEX(tProdutos[Classe],MATCH(tItens[[#This Row],[Produto]],tProdutos[Produto],0)),"produto não cadastrado")</f>
        <v>FORA</v>
      </c>
      <c r="K2789" s="12">
        <f>tItens[[#This Row],[Qtd]]*tItens[[#This Row],[Vlr unit]]</f>
        <v>2643</v>
      </c>
      <c r="L2789" s="6">
        <f>IFERROR(IF(INDEX(tProdutos[Desconto homologado],MATCH(tItens[[#This Row],[Produto]],tProdutos[Produto],0))="",DescontoPadrao,INDEX(tProdutos[Desconto homologado],MATCH(tItens[[#This Row],[Produto]],tProdutos[Produto],0))),DescontoPadrao)</f>
        <v>0.50029835957199398</v>
      </c>
      <c r="M2789" s="12">
        <f>tItens[[#This Row],[Valor]]*(1-tItens[[#This Row],[Desconto]])</f>
        <v>1320.71143565122</v>
      </c>
      <c r="N2789" t="str">
        <f>IFERROR(INDEX(tProdutos[Foco],MATCH(tItens[[#This Row],[Produto]],tProdutos[Produto],0)),"Não")</f>
        <v>Não</v>
      </c>
      <c r="O2789" t="str">
        <f>IFERROR(INDEX(tEditais[SRP],MATCH(tItens[[#This Row],[Edital]],tEditais[Edital],0)),"Não")</f>
        <v>Sim</v>
      </c>
      <c r="P2789" s="4">
        <f>IF(COUNTIFS(INDEX(tItens[Edital],1):tItens[[#This Row],[Edital]],tItens[[#This Row],[Edital]],INDEX(tItens[Produto],1):tItens[[#This Row],[Produto]],tItens[[#This Row],[Produto]])=1,1,0)</f>
        <v>1</v>
      </c>
    </row>
    <row r="2790" spans="1:16" x14ac:dyDescent="0.25">
      <c r="A2790" t="s">
        <v>1282</v>
      </c>
      <c r="B2790">
        <v>263</v>
      </c>
      <c r="C2790" t="s">
        <v>5741</v>
      </c>
      <c r="D2790" t="s">
        <v>156</v>
      </c>
      <c r="E2790" s="13">
        <v>200</v>
      </c>
      <c r="F2790" s="12">
        <v>13.59</v>
      </c>
      <c r="G2790" t="str">
        <f>IFERROR(INDEX(tEditais[Órgão],MATCH(tItens[[#This Row],[Edital]],tEditais[Edital],0)),"")</f>
        <v>MUNICIPIO DE RIO NOVO</v>
      </c>
      <c r="H2790" t="str">
        <f>IFERROR(INDEX(tEditais[UF],MATCH(tItens[[#This Row],[Edital]],tEditais[Edital],0)),"")</f>
        <v>MG</v>
      </c>
      <c r="I2790" s="11">
        <f>IFERROR(INDEX(tEditais[Encerramento],MATCH(tItens[[#This Row],[Edital]],tEditais[Edital],0)),"")</f>
        <v>46304.333333333336</v>
      </c>
      <c r="J2790" t="str">
        <f>IFERROR(INDEX(tProdutos[Classe],MATCH(tItens[[#This Row],[Produto]],tProdutos[Produto],0)),"produto não cadastrado")</f>
        <v>DISPUTADO</v>
      </c>
      <c r="K2790" s="12">
        <f>tItens[[#This Row],[Qtd]]*tItens[[#This Row],[Vlr unit]]</f>
        <v>2718</v>
      </c>
      <c r="L2790" s="6">
        <f>IFERROR(IF(INDEX(tProdutos[Desconto homologado],MATCH(tItens[[#This Row],[Produto]],tProdutos[Produto],0))="",DescontoPadrao,INDEX(tProdutos[Desconto homologado],MATCH(tItens[[#This Row],[Produto]],tProdutos[Produto],0))),DescontoPadrao)</f>
        <v>0.27131852489802799</v>
      </c>
      <c r="M2790" s="12">
        <f>tItens[[#This Row],[Valor]]*(1-tItens[[#This Row],[Desconto]])</f>
        <v>1980.55624932716</v>
      </c>
      <c r="N2790" t="str">
        <f>IFERROR(INDEX(tProdutos[Foco],MATCH(tItens[[#This Row],[Produto]],tProdutos[Produto],0)),"Não")</f>
        <v>Não</v>
      </c>
      <c r="O2790" t="str">
        <f>IFERROR(INDEX(tEditais[SRP],MATCH(tItens[[#This Row],[Edital]],tEditais[Edital],0)),"Não")</f>
        <v>Sim</v>
      </c>
      <c r="P2790" s="4">
        <f>IF(COUNTIFS(INDEX(tItens[Edital],1):tItens[[#This Row],[Edital]],tItens[[#This Row],[Edital]],INDEX(tItens[Produto],1):tItens[[#This Row],[Produto]],tItens[[#This Row],[Produto]])=1,1,0)</f>
        <v>1</v>
      </c>
    </row>
    <row r="2791" spans="1:16" x14ac:dyDescent="0.25">
      <c r="A2791" t="s">
        <v>1288</v>
      </c>
      <c r="B2791">
        <v>2296435</v>
      </c>
      <c r="C2791" t="s">
        <v>5742</v>
      </c>
      <c r="D2791" t="s">
        <v>530</v>
      </c>
      <c r="E2791" s="13">
        <v>60</v>
      </c>
      <c r="F2791" s="12">
        <v>0</v>
      </c>
      <c r="G2791" t="str">
        <f>IFERROR(INDEX(tEditais[Órgão],MATCH(tItens[[#This Row],[Edital]],tEditais[Edital],0)),"")</f>
        <v>MUNICIPIO DE SERRO</v>
      </c>
      <c r="H2791" t="str">
        <f>IFERROR(INDEX(tEditais[UF],MATCH(tItens[[#This Row],[Edital]],tEditais[Edital],0)),"")</f>
        <v>MG</v>
      </c>
      <c r="I2791" s="11">
        <f>IFERROR(INDEX(tEditais[Encerramento],MATCH(tItens[[#This Row],[Edital]],tEditais[Edital],0)),"")</f>
        <v>46304.333333333336</v>
      </c>
      <c r="J2791" t="str">
        <f>IFERROR(INDEX(tProdutos[Classe],MATCH(tItens[[#This Row],[Produto]],tProdutos[Produto],0)),"produto não cadastrado")</f>
        <v>FILA REBASE</v>
      </c>
      <c r="K2791" s="12">
        <f>tItens[[#This Row],[Qtd]]*tItens[[#This Row],[Vlr unit]]</f>
        <v>0</v>
      </c>
      <c r="L2791" s="6">
        <f>IFERROR(IF(INDEX(tProdutos[Desconto homologado],MATCH(tItens[[#This Row],[Produto]],tProdutos[Produto],0))="",DescontoPadrao,INDEX(tProdutos[Desconto homologado],MATCH(tItens[[#This Row],[Produto]],tProdutos[Produto],0))),DescontoPadrao)</f>
        <v>0.457328385899815</v>
      </c>
      <c r="M2791" s="12">
        <f>tItens[[#This Row],[Valor]]*(1-tItens[[#This Row],[Desconto]])</f>
        <v>0</v>
      </c>
      <c r="N2791" t="str">
        <f>IFERROR(INDEX(tProdutos[Foco],MATCH(tItens[[#This Row],[Produto]],tProdutos[Produto],0)),"Não")</f>
        <v>Não</v>
      </c>
      <c r="O2791" t="str">
        <f>IFERROR(INDEX(tEditais[SRP],MATCH(tItens[[#This Row],[Edital]],tEditais[Edital],0)),"Não")</f>
        <v>Não</v>
      </c>
      <c r="P2791" s="4">
        <f>IF(COUNTIFS(INDEX(tItens[Edital],1):tItens[[#This Row],[Edital]],tItens[[#This Row],[Edital]],INDEX(tItens[Produto],1):tItens[[#This Row],[Produto]],tItens[[#This Row],[Produto]])=1,1,0)</f>
        <v>1</v>
      </c>
    </row>
    <row r="2792" spans="1:16" x14ac:dyDescent="0.25">
      <c r="A2792" t="s">
        <v>1288</v>
      </c>
      <c r="B2792">
        <v>2296439</v>
      </c>
      <c r="C2792" t="s">
        <v>5743</v>
      </c>
      <c r="D2792" t="s">
        <v>313</v>
      </c>
      <c r="E2792" s="13">
        <v>35</v>
      </c>
      <c r="F2792" s="12">
        <v>0</v>
      </c>
      <c r="G2792" t="str">
        <f>IFERROR(INDEX(tEditais[Órgão],MATCH(tItens[[#This Row],[Edital]],tEditais[Edital],0)),"")</f>
        <v>MUNICIPIO DE SERRO</v>
      </c>
      <c r="H2792" t="str">
        <f>IFERROR(INDEX(tEditais[UF],MATCH(tItens[[#This Row],[Edital]],tEditais[Edital],0)),"")</f>
        <v>MG</v>
      </c>
      <c r="I2792" s="11">
        <f>IFERROR(INDEX(tEditais[Encerramento],MATCH(tItens[[#This Row],[Edital]],tEditais[Edital],0)),"")</f>
        <v>46304.333333333336</v>
      </c>
      <c r="J2792" t="str">
        <f>IFERROR(INDEX(tProdutos[Classe],MATCH(tItens[[#This Row],[Produto]],tProdutos[Produto],0)),"produto não cadastrado")</f>
        <v>FORA</v>
      </c>
      <c r="K2792" s="12">
        <f>tItens[[#This Row],[Qtd]]*tItens[[#This Row],[Vlr unit]]</f>
        <v>0</v>
      </c>
      <c r="L2792" s="6">
        <f>IFERROR(IF(INDEX(tProdutos[Desconto homologado],MATCH(tItens[[#This Row],[Produto]],tProdutos[Produto],0))="",DescontoPadrao,INDEX(tProdutos[Desconto homologado],MATCH(tItens[[#This Row],[Produto]],tProdutos[Produto],0))),DescontoPadrao)</f>
        <v>0.35766373163696302</v>
      </c>
      <c r="M2792" s="12">
        <f>tItens[[#This Row],[Valor]]*(1-tItens[[#This Row],[Desconto]])</f>
        <v>0</v>
      </c>
      <c r="N2792" t="str">
        <f>IFERROR(INDEX(tProdutos[Foco],MATCH(tItens[[#This Row],[Produto]],tProdutos[Produto],0)),"Não")</f>
        <v>Não</v>
      </c>
      <c r="O2792" t="str">
        <f>IFERROR(INDEX(tEditais[SRP],MATCH(tItens[[#This Row],[Edital]],tEditais[Edital],0)),"Não")</f>
        <v>Não</v>
      </c>
      <c r="P2792" s="4">
        <f>IF(COUNTIFS(INDEX(tItens[Edital],1):tItens[[#This Row],[Edital]],tItens[[#This Row],[Edital]],INDEX(tItens[Produto],1):tItens[[#This Row],[Produto]],tItens[[#This Row],[Produto]])=1,1,0)</f>
        <v>1</v>
      </c>
    </row>
    <row r="2793" spans="1:16" x14ac:dyDescent="0.25">
      <c r="A2793" t="s">
        <v>1288</v>
      </c>
      <c r="B2793">
        <v>2296460</v>
      </c>
      <c r="C2793" t="s">
        <v>5744</v>
      </c>
      <c r="D2793" t="s">
        <v>114</v>
      </c>
      <c r="E2793" s="13">
        <v>250</v>
      </c>
      <c r="F2793" s="12">
        <v>0</v>
      </c>
      <c r="G2793" t="str">
        <f>IFERROR(INDEX(tEditais[Órgão],MATCH(tItens[[#This Row],[Edital]],tEditais[Edital],0)),"")</f>
        <v>MUNICIPIO DE SERRO</v>
      </c>
      <c r="H2793" t="str">
        <f>IFERROR(INDEX(tEditais[UF],MATCH(tItens[[#This Row],[Edital]],tEditais[Edital],0)),"")</f>
        <v>MG</v>
      </c>
      <c r="I2793" s="11">
        <f>IFERROR(INDEX(tEditais[Encerramento],MATCH(tItens[[#This Row],[Edital]],tEditais[Edital],0)),"")</f>
        <v>46304.333333333336</v>
      </c>
      <c r="J2793" t="str">
        <f>IFERROR(INDEX(tProdutos[Classe],MATCH(tItens[[#This Row],[Produto]],tProdutos[Produto],0)),"produto não cadastrado")</f>
        <v>DISPUTADO</v>
      </c>
      <c r="K2793" s="12">
        <f>tItens[[#This Row],[Qtd]]*tItens[[#This Row],[Vlr unit]]</f>
        <v>0</v>
      </c>
      <c r="L2793" s="6">
        <f>IFERROR(IF(INDEX(tProdutos[Desconto homologado],MATCH(tItens[[#This Row],[Produto]],tProdutos[Produto],0))="",DescontoPadrao,INDEX(tProdutos[Desconto homologado],MATCH(tItens[[#This Row],[Produto]],tProdutos[Produto],0))),DescontoPadrao)</f>
        <v>0.24332656063896899</v>
      </c>
      <c r="M2793" s="12">
        <f>tItens[[#This Row],[Valor]]*(1-tItens[[#This Row],[Desconto]])</f>
        <v>0</v>
      </c>
      <c r="N2793" t="str">
        <f>IFERROR(INDEX(tProdutos[Foco],MATCH(tItens[[#This Row],[Produto]],tProdutos[Produto],0)),"Não")</f>
        <v>Não</v>
      </c>
      <c r="O2793" t="str">
        <f>IFERROR(INDEX(tEditais[SRP],MATCH(tItens[[#This Row],[Edital]],tEditais[Edital],0)),"Não")</f>
        <v>Não</v>
      </c>
      <c r="P2793" s="4">
        <f>IF(COUNTIFS(INDEX(tItens[Edital],1):tItens[[#This Row],[Edital]],tItens[[#This Row],[Edital]],INDEX(tItens[Produto],1):tItens[[#This Row],[Produto]],tItens[[#This Row],[Produto]])=1,1,0)</f>
        <v>1</v>
      </c>
    </row>
    <row r="2794" spans="1:16" x14ac:dyDescent="0.25">
      <c r="A2794" t="s">
        <v>1293</v>
      </c>
      <c r="B2794">
        <v>6</v>
      </c>
      <c r="C2794" t="s">
        <v>5745</v>
      </c>
      <c r="D2794" t="s">
        <v>411</v>
      </c>
      <c r="E2794" s="13">
        <v>1000</v>
      </c>
      <c r="F2794" s="12">
        <v>0</v>
      </c>
      <c r="G2794" t="str">
        <f>IFERROR(INDEX(tEditais[Órgão],MATCH(tItens[[#This Row],[Edital]],tEditais[Edital],0)),"")</f>
        <v>EMPRESA BRASILEIRA DE SERVICOS HOSPITALARES - EBSERH</v>
      </c>
      <c r="H2794" t="str">
        <f>IFERROR(INDEX(tEditais[UF],MATCH(tItens[[#This Row],[Edital]],tEditais[Edital],0)),"")</f>
        <v>MG</v>
      </c>
      <c r="I2794" s="11">
        <f>IFERROR(INDEX(tEditais[Encerramento],MATCH(tItens[[#This Row],[Edital]],tEditais[Edital],0)),"")</f>
        <v>46304.333333333336</v>
      </c>
      <c r="J2794" t="str">
        <f>IFERROR(INDEX(tProdutos[Classe],MATCH(tItens[[#This Row],[Produto]],tProdutos[Produto],0)),"produto não cadastrado")</f>
        <v>FORA</v>
      </c>
      <c r="K2794" s="12">
        <f>tItens[[#This Row],[Qtd]]*tItens[[#This Row],[Vlr unit]]</f>
        <v>0</v>
      </c>
      <c r="L2794" s="6">
        <f>IFERROR(IF(INDEX(tProdutos[Desconto homologado],MATCH(tItens[[#This Row],[Produto]],tProdutos[Produto],0))="",DescontoPadrao,INDEX(tProdutos[Desconto homologado],MATCH(tItens[[#This Row],[Produto]],tProdutos[Produto],0))),DescontoPadrao)</f>
        <v>0.50029835957199398</v>
      </c>
      <c r="M2794" s="12">
        <f>tItens[[#This Row],[Valor]]*(1-tItens[[#This Row],[Desconto]])</f>
        <v>0</v>
      </c>
      <c r="N2794" t="str">
        <f>IFERROR(INDEX(tProdutos[Foco],MATCH(tItens[[#This Row],[Produto]],tProdutos[Produto],0)),"Não")</f>
        <v>Não</v>
      </c>
      <c r="O2794" t="str">
        <f>IFERROR(INDEX(tEditais[SRP],MATCH(tItens[[#This Row],[Edital]],tEditais[Edital],0)),"Não")</f>
        <v>Não</v>
      </c>
      <c r="P2794" s="4">
        <f>IF(COUNTIFS(INDEX(tItens[Edital],1):tItens[[#This Row],[Edital]],tItens[[#This Row],[Edital]],INDEX(tItens[Produto],1):tItens[[#This Row],[Produto]],tItens[[#This Row],[Produto]])=1,1,0)</f>
        <v>1</v>
      </c>
    </row>
    <row r="2795" spans="1:16" x14ac:dyDescent="0.25">
      <c r="A2795" t="s">
        <v>1297</v>
      </c>
      <c r="B2795">
        <v>8047838</v>
      </c>
      <c r="C2795" t="s">
        <v>5746</v>
      </c>
      <c r="D2795" t="s">
        <v>313</v>
      </c>
      <c r="E2795" s="13">
        <v>29</v>
      </c>
      <c r="F2795" s="12">
        <v>62.6</v>
      </c>
      <c r="G2795" t="str">
        <f>IFERROR(INDEX(tEditais[Órgão],MATCH(tItens[[#This Row],[Edital]],tEditais[Edital],0)),"")</f>
        <v>MUNICIPIO DE FRUTAL</v>
      </c>
      <c r="H2795" t="str">
        <f>IFERROR(INDEX(tEditais[UF],MATCH(tItens[[#This Row],[Edital]],tEditais[Edital],0)),"")</f>
        <v>MG</v>
      </c>
      <c r="I2795" s="11">
        <f>IFERROR(INDEX(tEditais[Encerramento],MATCH(tItens[[#This Row],[Edital]],tEditais[Edital],0)),"")</f>
        <v>46304.354166666664</v>
      </c>
      <c r="J2795" t="str">
        <f>IFERROR(INDEX(tProdutos[Classe],MATCH(tItens[[#This Row],[Produto]],tProdutos[Produto],0)),"produto não cadastrado")</f>
        <v>FORA</v>
      </c>
      <c r="K2795" s="12">
        <f>tItens[[#This Row],[Qtd]]*tItens[[#This Row],[Vlr unit]]</f>
        <v>1815.4</v>
      </c>
      <c r="L2795" s="6">
        <f>IFERROR(IF(INDEX(tProdutos[Desconto homologado],MATCH(tItens[[#This Row],[Produto]],tProdutos[Produto],0))="",DescontoPadrao,INDEX(tProdutos[Desconto homologado],MATCH(tItens[[#This Row],[Produto]],tProdutos[Produto],0))),DescontoPadrao)</f>
        <v>0.35766373163696302</v>
      </c>
      <c r="M2795" s="12">
        <f>tItens[[#This Row],[Valor]]*(1-tItens[[#This Row],[Desconto]])</f>
        <v>1166.0972615862572</v>
      </c>
      <c r="N2795" t="str">
        <f>IFERROR(INDEX(tProdutos[Foco],MATCH(tItens[[#This Row],[Produto]],tProdutos[Produto],0)),"Não")</f>
        <v>Não</v>
      </c>
      <c r="O2795" t="str">
        <f>IFERROR(INDEX(tEditais[SRP],MATCH(tItens[[#This Row],[Edital]],tEditais[Edital],0)),"Não")</f>
        <v>Sim</v>
      </c>
      <c r="P2795" s="4">
        <f>IF(COUNTIFS(INDEX(tItens[Edital],1):tItens[[#This Row],[Edital]],tItens[[#This Row],[Edital]],INDEX(tItens[Produto],1):tItens[[#This Row],[Produto]],tItens[[#This Row],[Produto]])=1,1,0)</f>
        <v>1</v>
      </c>
    </row>
    <row r="2796" spans="1:16" x14ac:dyDescent="0.25">
      <c r="A2796" t="s">
        <v>1297</v>
      </c>
      <c r="B2796">
        <v>8047840</v>
      </c>
      <c r="C2796" t="s">
        <v>5747</v>
      </c>
      <c r="D2796" t="s">
        <v>421</v>
      </c>
      <c r="E2796" s="13">
        <v>16</v>
      </c>
      <c r="F2796" s="12">
        <v>21.82</v>
      </c>
      <c r="G2796" t="str">
        <f>IFERROR(INDEX(tEditais[Órgão],MATCH(tItens[[#This Row],[Edital]],tEditais[Edital],0)),"")</f>
        <v>MUNICIPIO DE FRUTAL</v>
      </c>
      <c r="H2796" t="str">
        <f>IFERROR(INDEX(tEditais[UF],MATCH(tItens[[#This Row],[Edital]],tEditais[Edital],0)),"")</f>
        <v>MG</v>
      </c>
      <c r="I2796" s="11">
        <f>IFERROR(INDEX(tEditais[Encerramento],MATCH(tItens[[#This Row],[Edital]],tEditais[Edital],0)),"")</f>
        <v>46304.354166666664</v>
      </c>
      <c r="J2796" t="str">
        <f>IFERROR(INDEX(tProdutos[Classe],MATCH(tItens[[#This Row],[Produto]],tProdutos[Produto],0)),"produto não cadastrado")</f>
        <v>FORA</v>
      </c>
      <c r="K2796" s="12">
        <f>tItens[[#This Row],[Qtd]]*tItens[[#This Row],[Vlr unit]]</f>
        <v>349.12</v>
      </c>
      <c r="L2796" s="6">
        <f>IFERROR(IF(INDEX(tProdutos[Desconto homologado],MATCH(tItens[[#This Row],[Produto]],tProdutos[Produto],0))="",DescontoPadrao,INDEX(tProdutos[Desconto homologado],MATCH(tItens[[#This Row],[Produto]],tProdutos[Produto],0))),DescontoPadrao)</f>
        <v>0.43</v>
      </c>
      <c r="M2796" s="12">
        <f>tItens[[#This Row],[Valor]]*(1-tItens[[#This Row],[Desconto]])</f>
        <v>198.99840000000003</v>
      </c>
      <c r="N2796" t="str">
        <f>IFERROR(INDEX(tProdutos[Foco],MATCH(tItens[[#This Row],[Produto]],tProdutos[Produto],0)),"Não")</f>
        <v>Sim</v>
      </c>
      <c r="O2796" t="str">
        <f>IFERROR(INDEX(tEditais[SRP],MATCH(tItens[[#This Row],[Edital]],tEditais[Edital],0)),"Não")</f>
        <v>Sim</v>
      </c>
      <c r="P2796" s="4">
        <f>IF(COUNTIFS(INDEX(tItens[Edital],1):tItens[[#This Row],[Edital]],tItens[[#This Row],[Edital]],INDEX(tItens[Produto],1):tItens[[#This Row],[Produto]],tItens[[#This Row],[Produto]])=1,1,0)</f>
        <v>1</v>
      </c>
    </row>
    <row r="2797" spans="1:16" x14ac:dyDescent="0.25">
      <c r="A2797" t="s">
        <v>1297</v>
      </c>
      <c r="B2797">
        <v>8047857</v>
      </c>
      <c r="C2797" t="s">
        <v>5748</v>
      </c>
      <c r="D2797" t="s">
        <v>273</v>
      </c>
      <c r="E2797" s="13">
        <v>1</v>
      </c>
      <c r="F2797" s="12">
        <v>19471.400000000001</v>
      </c>
      <c r="G2797" t="str">
        <f>IFERROR(INDEX(tEditais[Órgão],MATCH(tItens[[#This Row],[Edital]],tEditais[Edital],0)),"")</f>
        <v>MUNICIPIO DE FRUTAL</v>
      </c>
      <c r="H2797" t="str">
        <f>IFERROR(INDEX(tEditais[UF],MATCH(tItens[[#This Row],[Edital]],tEditais[Edital],0)),"")</f>
        <v>MG</v>
      </c>
      <c r="I2797" s="11">
        <f>IFERROR(INDEX(tEditais[Encerramento],MATCH(tItens[[#This Row],[Edital]],tEditais[Edital],0)),"")</f>
        <v>46304.354166666664</v>
      </c>
      <c r="J2797" t="str">
        <f>IFERROR(INDEX(tProdutos[Classe],MATCH(tItens[[#This Row],[Produto]],tProdutos[Produto],0)),"produto não cadastrado")</f>
        <v>FORA</v>
      </c>
      <c r="K2797" s="12">
        <f>tItens[[#This Row],[Qtd]]*tItens[[#This Row],[Vlr unit]]</f>
        <v>19471.400000000001</v>
      </c>
      <c r="L2797" s="6">
        <f>IFERROR(IF(INDEX(tProdutos[Desconto homologado],MATCH(tItens[[#This Row],[Produto]],tProdutos[Produto],0))="",DescontoPadrao,INDEX(tProdutos[Desconto homologado],MATCH(tItens[[#This Row],[Produto]],tProdutos[Produto],0))),DescontoPadrao)</f>
        <v>0.33168166649812902</v>
      </c>
      <c r="M2797" s="12">
        <f>tItens[[#This Row],[Valor]]*(1-tItens[[#This Row],[Desconto]])</f>
        <v>13013.093598948331</v>
      </c>
      <c r="N2797" t="str">
        <f>IFERROR(INDEX(tProdutos[Foco],MATCH(tItens[[#This Row],[Produto]],tProdutos[Produto],0)),"Não")</f>
        <v>Não</v>
      </c>
      <c r="O2797" t="str">
        <f>IFERROR(INDEX(tEditais[SRP],MATCH(tItens[[#This Row],[Edital]],tEditais[Edital],0)),"Não")</f>
        <v>Sim</v>
      </c>
      <c r="P2797" s="4">
        <f>IF(COUNTIFS(INDEX(tItens[Edital],1):tItens[[#This Row],[Edital]],tItens[[#This Row],[Edital]],INDEX(tItens[Produto],1):tItens[[#This Row],[Produto]],tItens[[#This Row],[Produto]])=1,1,0)</f>
        <v>1</v>
      </c>
    </row>
    <row r="2798" spans="1:16" x14ac:dyDescent="0.25">
      <c r="A2798" t="s">
        <v>1302</v>
      </c>
      <c r="B2798">
        <v>1</v>
      </c>
      <c r="C2798" t="s">
        <v>5749</v>
      </c>
      <c r="D2798" t="s">
        <v>345</v>
      </c>
      <c r="E2798" s="13">
        <v>216</v>
      </c>
      <c r="F2798" s="12">
        <v>0</v>
      </c>
      <c r="G2798" t="str">
        <f>IFERROR(INDEX(tEditais[Órgão],MATCH(tItens[[#This Row],[Edital]],tEditais[Edital],0)),"")</f>
        <v>MUNICIPIO DE SAO JOAO DEL REI</v>
      </c>
      <c r="H2798" t="str">
        <f>IFERROR(INDEX(tEditais[UF],MATCH(tItens[[#This Row],[Edital]],tEditais[Edital],0)),"")</f>
        <v>MG</v>
      </c>
      <c r="I2798" s="11">
        <f>IFERROR(INDEX(tEditais[Encerramento],MATCH(tItens[[#This Row],[Edital]],tEditais[Edital],0)),"")</f>
        <v>46304.354166666664</v>
      </c>
      <c r="J2798" t="str">
        <f>IFERROR(INDEX(tProdutos[Classe],MATCH(tItens[[#This Row],[Produto]],tProdutos[Produto],0)),"produto não cadastrado")</f>
        <v>FORA</v>
      </c>
      <c r="K2798" s="12">
        <f>tItens[[#This Row],[Qtd]]*tItens[[#This Row],[Vlr unit]]</f>
        <v>0</v>
      </c>
      <c r="L2798" s="6">
        <f>IFERROR(IF(INDEX(tProdutos[Desconto homologado],MATCH(tItens[[#This Row],[Produto]],tProdutos[Produto],0))="",DescontoPadrao,INDEX(tProdutos[Desconto homologado],MATCH(tItens[[#This Row],[Produto]],tProdutos[Produto],0))),DescontoPadrao)</f>
        <v>0.412394275616498</v>
      </c>
      <c r="M2798" s="12">
        <f>tItens[[#This Row],[Valor]]*(1-tItens[[#This Row],[Desconto]])</f>
        <v>0</v>
      </c>
      <c r="N2798" t="str">
        <f>IFERROR(INDEX(tProdutos[Foco],MATCH(tItens[[#This Row],[Produto]],tProdutos[Produto],0)),"Não")</f>
        <v>Não</v>
      </c>
      <c r="O2798" t="str">
        <f>IFERROR(INDEX(tEditais[SRP],MATCH(tItens[[#This Row],[Edital]],tEditais[Edital],0)),"Não")</f>
        <v>Não</v>
      </c>
      <c r="P2798" s="4">
        <f>IF(COUNTIFS(INDEX(tItens[Edital],1):tItens[[#This Row],[Edital]],tItens[[#This Row],[Edital]],INDEX(tItens[Produto],1):tItens[[#This Row],[Produto]],tItens[[#This Row],[Produto]])=1,1,0)</f>
        <v>1</v>
      </c>
    </row>
    <row r="2799" spans="1:16" x14ac:dyDescent="0.25">
      <c r="A2799" t="s">
        <v>1302</v>
      </c>
      <c r="B2799">
        <v>2</v>
      </c>
      <c r="C2799" t="s">
        <v>5750</v>
      </c>
      <c r="D2799" t="s">
        <v>345</v>
      </c>
      <c r="E2799" s="13">
        <v>480</v>
      </c>
      <c r="F2799" s="12">
        <v>0</v>
      </c>
      <c r="G2799" t="str">
        <f>IFERROR(INDEX(tEditais[Órgão],MATCH(tItens[[#This Row],[Edital]],tEditais[Edital],0)),"")</f>
        <v>MUNICIPIO DE SAO JOAO DEL REI</v>
      </c>
      <c r="H2799" t="str">
        <f>IFERROR(INDEX(tEditais[UF],MATCH(tItens[[#This Row],[Edital]],tEditais[Edital],0)),"")</f>
        <v>MG</v>
      </c>
      <c r="I2799" s="11">
        <f>IFERROR(INDEX(tEditais[Encerramento],MATCH(tItens[[#This Row],[Edital]],tEditais[Edital],0)),"")</f>
        <v>46304.354166666664</v>
      </c>
      <c r="J2799" t="str">
        <f>IFERROR(INDEX(tProdutos[Classe],MATCH(tItens[[#This Row],[Produto]],tProdutos[Produto],0)),"produto não cadastrado")</f>
        <v>FORA</v>
      </c>
      <c r="K2799" s="12">
        <f>tItens[[#This Row],[Qtd]]*tItens[[#This Row],[Vlr unit]]</f>
        <v>0</v>
      </c>
      <c r="L2799" s="6">
        <f>IFERROR(IF(INDEX(tProdutos[Desconto homologado],MATCH(tItens[[#This Row],[Produto]],tProdutos[Produto],0))="",DescontoPadrao,INDEX(tProdutos[Desconto homologado],MATCH(tItens[[#This Row],[Produto]],tProdutos[Produto],0))),DescontoPadrao)</f>
        <v>0.412394275616498</v>
      </c>
      <c r="M2799" s="12">
        <f>tItens[[#This Row],[Valor]]*(1-tItens[[#This Row],[Desconto]])</f>
        <v>0</v>
      </c>
      <c r="N2799" t="str">
        <f>IFERROR(INDEX(tProdutos[Foco],MATCH(tItens[[#This Row],[Produto]],tProdutos[Produto],0)),"Não")</f>
        <v>Não</v>
      </c>
      <c r="O2799" t="str">
        <f>IFERROR(INDEX(tEditais[SRP],MATCH(tItens[[#This Row],[Edital]],tEditais[Edital],0)),"Não")</f>
        <v>Não</v>
      </c>
      <c r="P2799" s="4">
        <f>IF(COUNTIFS(INDEX(tItens[Edital],1):tItens[[#This Row],[Edital]],tItens[[#This Row],[Edital]],INDEX(tItens[Produto],1):tItens[[#This Row],[Produto]],tItens[[#This Row],[Produto]])=1,1,0)</f>
        <v>0</v>
      </c>
    </row>
    <row r="2800" spans="1:16" x14ac:dyDescent="0.25">
      <c r="A2800" t="s">
        <v>1307</v>
      </c>
      <c r="B2800">
        <v>2293233</v>
      </c>
      <c r="C2800" t="s">
        <v>4738</v>
      </c>
      <c r="D2800" t="s">
        <v>423</v>
      </c>
      <c r="E2800" s="13">
        <v>80</v>
      </c>
      <c r="F2800" s="12">
        <v>10.24</v>
      </c>
      <c r="G2800" t="str">
        <f>IFERROR(INDEX(tEditais[Órgão],MATCH(tItens[[#This Row],[Edital]],tEditais[Edital],0)),"")</f>
        <v>MUNICIPIO DE CAMANDUCAIA</v>
      </c>
      <c r="H2800" t="str">
        <f>IFERROR(INDEX(tEditais[UF],MATCH(tItens[[#This Row],[Edital]],tEditais[Edital],0)),"")</f>
        <v>MG</v>
      </c>
      <c r="I2800" s="11">
        <f>IFERROR(INDEX(tEditais[Encerramento],MATCH(tItens[[#This Row],[Edital]],tEditais[Edital],0)),"")</f>
        <v>46304.374305555553</v>
      </c>
      <c r="J2800" t="str">
        <f>IFERROR(INDEX(tProdutos[Classe],MATCH(tItens[[#This Row],[Produto]],tProdutos[Produto],0)),"produto não cadastrado")</f>
        <v>FORA</v>
      </c>
      <c r="K2800" s="12">
        <f>tItens[[#This Row],[Qtd]]*tItens[[#This Row],[Vlr unit]]</f>
        <v>819.2</v>
      </c>
      <c r="L2800" s="6">
        <f>IFERROR(IF(INDEX(tProdutos[Desconto homologado],MATCH(tItens[[#This Row],[Produto]],tProdutos[Produto],0))="",DescontoPadrao,INDEX(tProdutos[Desconto homologado],MATCH(tItens[[#This Row],[Produto]],tProdutos[Produto],0))),DescontoPadrao)</f>
        <v>0.38271604938271597</v>
      </c>
      <c r="M2800" s="12">
        <f>tItens[[#This Row],[Valor]]*(1-tItens[[#This Row],[Desconto]])</f>
        <v>505.6790123456791</v>
      </c>
      <c r="N2800" t="str">
        <f>IFERROR(INDEX(tProdutos[Foco],MATCH(tItens[[#This Row],[Produto]],tProdutos[Produto],0)),"Não")</f>
        <v>Não</v>
      </c>
      <c r="O2800" t="str">
        <f>IFERROR(INDEX(tEditais[SRP],MATCH(tItens[[#This Row],[Edital]],tEditais[Edital],0)),"Não")</f>
        <v>Não</v>
      </c>
      <c r="P2800" s="4">
        <f>IF(COUNTIFS(INDEX(tItens[Edital],1):tItens[[#This Row],[Edital]],tItens[[#This Row],[Edital]],INDEX(tItens[Produto],1):tItens[[#This Row],[Produto]],tItens[[#This Row],[Produto]])=1,1,0)</f>
        <v>1</v>
      </c>
    </row>
    <row r="2801" spans="1:16" x14ac:dyDescent="0.25">
      <c r="A2801" t="s">
        <v>1307</v>
      </c>
      <c r="B2801">
        <v>2293280</v>
      </c>
      <c r="C2801" t="s">
        <v>5751</v>
      </c>
      <c r="D2801" t="s">
        <v>142</v>
      </c>
      <c r="E2801" s="13">
        <v>60</v>
      </c>
      <c r="F2801" s="12">
        <v>7.2</v>
      </c>
      <c r="G2801" t="str">
        <f>IFERROR(INDEX(tEditais[Órgão],MATCH(tItens[[#This Row],[Edital]],tEditais[Edital],0)),"")</f>
        <v>MUNICIPIO DE CAMANDUCAIA</v>
      </c>
      <c r="H2801" t="str">
        <f>IFERROR(INDEX(tEditais[UF],MATCH(tItens[[#This Row],[Edital]],tEditais[Edital],0)),"")</f>
        <v>MG</v>
      </c>
      <c r="I2801" s="11">
        <f>IFERROR(INDEX(tEditais[Encerramento],MATCH(tItens[[#This Row],[Edital]],tEditais[Edital],0)),"")</f>
        <v>46304.374305555553</v>
      </c>
      <c r="J2801" t="str">
        <f>IFERROR(INDEX(tProdutos[Classe],MATCH(tItens[[#This Row],[Produto]],tProdutos[Produto],0)),"produto não cadastrado")</f>
        <v>DISPUTADO</v>
      </c>
      <c r="K2801" s="12">
        <f>tItens[[#This Row],[Qtd]]*tItens[[#This Row],[Vlr unit]]</f>
        <v>432</v>
      </c>
      <c r="L2801" s="6">
        <f>IFERROR(IF(INDEX(tProdutos[Desconto homologado],MATCH(tItens[[#This Row],[Produto]],tProdutos[Produto],0))="",DescontoPadrao,INDEX(tProdutos[Desconto homologado],MATCH(tItens[[#This Row],[Produto]],tProdutos[Produto],0))),DescontoPadrao)</f>
        <v>0.37093619495691699</v>
      </c>
      <c r="M2801" s="12">
        <f>tItens[[#This Row],[Valor]]*(1-tItens[[#This Row],[Desconto]])</f>
        <v>271.75556377861187</v>
      </c>
      <c r="N2801" t="str">
        <f>IFERROR(INDEX(tProdutos[Foco],MATCH(tItens[[#This Row],[Produto]],tProdutos[Produto],0)),"Não")</f>
        <v>Não</v>
      </c>
      <c r="O2801" t="str">
        <f>IFERROR(INDEX(tEditais[SRP],MATCH(tItens[[#This Row],[Edital]],tEditais[Edital],0)),"Não")</f>
        <v>Não</v>
      </c>
      <c r="P2801" s="4">
        <f>IF(COUNTIFS(INDEX(tItens[Edital],1):tItens[[#This Row],[Edital]],tItens[[#This Row],[Edital]],INDEX(tItens[Produto],1):tItens[[#This Row],[Produto]],tItens[[#This Row],[Produto]])=1,1,0)</f>
        <v>1</v>
      </c>
    </row>
    <row r="2802" spans="1:16" x14ac:dyDescent="0.25">
      <c r="A2802" t="s">
        <v>1307</v>
      </c>
      <c r="B2802">
        <v>2293343</v>
      </c>
      <c r="C2802" t="s">
        <v>5752</v>
      </c>
      <c r="D2802" t="s">
        <v>494</v>
      </c>
      <c r="E2802" s="13">
        <v>50</v>
      </c>
      <c r="F2802" s="12">
        <v>44.26</v>
      </c>
      <c r="G2802" t="str">
        <f>IFERROR(INDEX(tEditais[Órgão],MATCH(tItens[[#This Row],[Edital]],tEditais[Edital],0)),"")</f>
        <v>MUNICIPIO DE CAMANDUCAIA</v>
      </c>
      <c r="H2802" t="str">
        <f>IFERROR(INDEX(tEditais[UF],MATCH(tItens[[#This Row],[Edital]],tEditais[Edital],0)),"")</f>
        <v>MG</v>
      </c>
      <c r="I2802" s="11">
        <f>IFERROR(INDEX(tEditais[Encerramento],MATCH(tItens[[#This Row],[Edital]],tEditais[Edital],0)),"")</f>
        <v>46304.374305555553</v>
      </c>
      <c r="J2802" t="str">
        <f>IFERROR(INDEX(tProdutos[Classe],MATCH(tItens[[#This Row],[Produto]],tProdutos[Produto],0)),"produto não cadastrado")</f>
        <v>FILA REBASE</v>
      </c>
      <c r="K2802" s="12">
        <f>tItens[[#This Row],[Qtd]]*tItens[[#This Row],[Vlr unit]]</f>
        <v>2213</v>
      </c>
      <c r="L2802" s="6">
        <f>IFERROR(IF(INDEX(tProdutos[Desconto homologado],MATCH(tItens[[#This Row],[Produto]],tProdutos[Produto],0))="",DescontoPadrao,INDEX(tProdutos[Desconto homologado],MATCH(tItens[[#This Row],[Produto]],tProdutos[Produto],0))),DescontoPadrao)</f>
        <v>0.253736324829619</v>
      </c>
      <c r="M2802" s="12">
        <f>tItens[[#This Row],[Valor]]*(1-tItens[[#This Row],[Desconto]])</f>
        <v>1651.4815131520534</v>
      </c>
      <c r="N2802" t="str">
        <f>IFERROR(INDEX(tProdutos[Foco],MATCH(tItens[[#This Row],[Produto]],tProdutos[Produto],0)),"Não")</f>
        <v>Não</v>
      </c>
      <c r="O2802" t="str">
        <f>IFERROR(INDEX(tEditais[SRP],MATCH(tItens[[#This Row],[Edital]],tEditais[Edital],0)),"Não")</f>
        <v>Não</v>
      </c>
      <c r="P2802" s="4">
        <f>IF(COUNTIFS(INDEX(tItens[Edital],1):tItens[[#This Row],[Edital]],tItens[[#This Row],[Edital]],INDEX(tItens[Produto],1):tItens[[#This Row],[Produto]],tItens[[#This Row],[Produto]])=1,1,0)</f>
        <v>1</v>
      </c>
    </row>
    <row r="2803" spans="1:16" x14ac:dyDescent="0.25">
      <c r="A2803" t="s">
        <v>1312</v>
      </c>
      <c r="B2803">
        <v>7874637</v>
      </c>
      <c r="C2803" t="s">
        <v>5753</v>
      </c>
      <c r="D2803" t="s">
        <v>86</v>
      </c>
      <c r="E2803" s="13">
        <v>10</v>
      </c>
      <c r="F2803" s="12">
        <v>0</v>
      </c>
      <c r="G2803" t="str">
        <f>IFERROR(INDEX(tEditais[Órgão],MATCH(tItens[[#This Row],[Edital]],tEditais[Edital],0)),"")</f>
        <v>MUNICIPIO DE AGUA COMPRIDA</v>
      </c>
      <c r="H2803" t="str">
        <f>IFERROR(INDEX(tEditais[UF],MATCH(tItens[[#This Row],[Edital]],tEditais[Edital],0)),"")</f>
        <v>MG</v>
      </c>
      <c r="I2803" s="11">
        <f>IFERROR(INDEX(tEditais[Encerramento],MATCH(tItens[[#This Row],[Edital]],tEditais[Edital],0)),"")</f>
        <v>46304.375</v>
      </c>
      <c r="J2803" t="str">
        <f>IFERROR(INDEX(tProdutos[Classe],MATCH(tItens[[#This Row],[Produto]],tProdutos[Produto],0)),"produto não cadastrado")</f>
        <v>NÚCLEO</v>
      </c>
      <c r="K2803" s="12">
        <f>tItens[[#This Row],[Qtd]]*tItens[[#This Row],[Vlr unit]]</f>
        <v>0</v>
      </c>
      <c r="L2803" s="6">
        <f>IFERROR(IF(INDEX(tProdutos[Desconto homologado],MATCH(tItens[[#This Row],[Produto]],tProdutos[Produto],0))="",DescontoPadrao,INDEX(tProdutos[Desconto homologado],MATCH(tItens[[#This Row],[Produto]],tProdutos[Produto],0))),DescontoPadrao)</f>
        <v>0.20202020202020199</v>
      </c>
      <c r="M2803" s="12">
        <f>tItens[[#This Row],[Valor]]*(1-tItens[[#This Row],[Desconto]])</f>
        <v>0</v>
      </c>
      <c r="N2803" t="str">
        <f>IFERROR(INDEX(tProdutos[Foco],MATCH(tItens[[#This Row],[Produto]],tProdutos[Produto],0)),"Não")</f>
        <v>Não</v>
      </c>
      <c r="O2803" t="str">
        <f>IFERROR(INDEX(tEditais[SRP],MATCH(tItens[[#This Row],[Edital]],tEditais[Edital],0)),"Não")</f>
        <v>Sim</v>
      </c>
      <c r="P2803" s="4">
        <f>IF(COUNTIFS(INDEX(tItens[Edital],1):tItens[[#This Row],[Edital]],tItens[[#This Row],[Edital]],INDEX(tItens[Produto],1):tItens[[#This Row],[Produto]],tItens[[#This Row],[Produto]])=1,1,0)</f>
        <v>1</v>
      </c>
    </row>
    <row r="2804" spans="1:16" x14ac:dyDescent="0.25">
      <c r="A2804" t="s">
        <v>1312</v>
      </c>
      <c r="B2804">
        <v>7874639</v>
      </c>
      <c r="C2804" t="s">
        <v>5754</v>
      </c>
      <c r="D2804" t="s">
        <v>377</v>
      </c>
      <c r="E2804" s="13">
        <v>20</v>
      </c>
      <c r="F2804" s="12">
        <v>0</v>
      </c>
      <c r="G2804" t="str">
        <f>IFERROR(INDEX(tEditais[Órgão],MATCH(tItens[[#This Row],[Edital]],tEditais[Edital],0)),"")</f>
        <v>MUNICIPIO DE AGUA COMPRIDA</v>
      </c>
      <c r="H2804" t="str">
        <f>IFERROR(INDEX(tEditais[UF],MATCH(tItens[[#This Row],[Edital]],tEditais[Edital],0)),"")</f>
        <v>MG</v>
      </c>
      <c r="I2804" s="11">
        <f>IFERROR(INDEX(tEditais[Encerramento],MATCH(tItens[[#This Row],[Edital]],tEditais[Edital],0)),"")</f>
        <v>46304.375</v>
      </c>
      <c r="J2804" t="str">
        <f>IFERROR(INDEX(tProdutos[Classe],MATCH(tItens[[#This Row],[Produto]],tProdutos[Produto],0)),"produto não cadastrado")</f>
        <v>FORA</v>
      </c>
      <c r="K2804" s="12">
        <f>tItens[[#This Row],[Qtd]]*tItens[[#This Row],[Vlr unit]]</f>
        <v>0</v>
      </c>
      <c r="L2804" s="6">
        <f>IFERROR(IF(INDEX(tProdutos[Desconto homologado],MATCH(tItens[[#This Row],[Produto]],tProdutos[Produto],0))="",DescontoPadrao,INDEX(tProdutos[Desconto homologado],MATCH(tItens[[#This Row],[Produto]],tProdutos[Produto],0))),DescontoPadrao)</f>
        <v>0.29186603777106501</v>
      </c>
      <c r="M2804" s="12">
        <f>tItens[[#This Row],[Valor]]*(1-tItens[[#This Row],[Desconto]])</f>
        <v>0</v>
      </c>
      <c r="N2804" t="str">
        <f>IFERROR(INDEX(tProdutos[Foco],MATCH(tItens[[#This Row],[Produto]],tProdutos[Produto],0)),"Não")</f>
        <v>Não</v>
      </c>
      <c r="O2804" t="str">
        <f>IFERROR(INDEX(tEditais[SRP],MATCH(tItens[[#This Row],[Edital]],tEditais[Edital],0)),"Não")</f>
        <v>Sim</v>
      </c>
      <c r="P2804" s="4">
        <f>IF(COUNTIFS(INDEX(tItens[Edital],1):tItens[[#This Row],[Edital]],tItens[[#This Row],[Edital]],INDEX(tItens[Produto],1):tItens[[#This Row],[Produto]],tItens[[#This Row],[Produto]])=1,1,0)</f>
        <v>1</v>
      </c>
    </row>
    <row r="2805" spans="1:16" x14ac:dyDescent="0.25">
      <c r="A2805" t="s">
        <v>1312</v>
      </c>
      <c r="B2805">
        <v>7874640</v>
      </c>
      <c r="C2805" t="s">
        <v>5755</v>
      </c>
      <c r="D2805" t="s">
        <v>377</v>
      </c>
      <c r="E2805" s="13">
        <v>10</v>
      </c>
      <c r="F2805" s="12">
        <v>0</v>
      </c>
      <c r="G2805" t="str">
        <f>IFERROR(INDEX(tEditais[Órgão],MATCH(tItens[[#This Row],[Edital]],tEditais[Edital],0)),"")</f>
        <v>MUNICIPIO DE AGUA COMPRIDA</v>
      </c>
      <c r="H2805" t="str">
        <f>IFERROR(INDEX(tEditais[UF],MATCH(tItens[[#This Row],[Edital]],tEditais[Edital],0)),"")</f>
        <v>MG</v>
      </c>
      <c r="I2805" s="11">
        <f>IFERROR(INDEX(tEditais[Encerramento],MATCH(tItens[[#This Row],[Edital]],tEditais[Edital],0)),"")</f>
        <v>46304.375</v>
      </c>
      <c r="J2805" t="str">
        <f>IFERROR(INDEX(tProdutos[Classe],MATCH(tItens[[#This Row],[Produto]],tProdutos[Produto],0)),"produto não cadastrado")</f>
        <v>FORA</v>
      </c>
      <c r="K2805" s="12">
        <f>tItens[[#This Row],[Qtd]]*tItens[[#This Row],[Vlr unit]]</f>
        <v>0</v>
      </c>
      <c r="L2805" s="6">
        <f>IFERROR(IF(INDEX(tProdutos[Desconto homologado],MATCH(tItens[[#This Row],[Produto]],tProdutos[Produto],0))="",DescontoPadrao,INDEX(tProdutos[Desconto homologado],MATCH(tItens[[#This Row],[Produto]],tProdutos[Produto],0))),DescontoPadrao)</f>
        <v>0.29186603777106501</v>
      </c>
      <c r="M2805" s="12">
        <f>tItens[[#This Row],[Valor]]*(1-tItens[[#This Row],[Desconto]])</f>
        <v>0</v>
      </c>
      <c r="N2805" t="str">
        <f>IFERROR(INDEX(tProdutos[Foco],MATCH(tItens[[#This Row],[Produto]],tProdutos[Produto],0)),"Não")</f>
        <v>Não</v>
      </c>
      <c r="O2805" t="str">
        <f>IFERROR(INDEX(tEditais[SRP],MATCH(tItens[[#This Row],[Edital]],tEditais[Edital],0)),"Não")</f>
        <v>Sim</v>
      </c>
      <c r="P2805" s="4">
        <f>IF(COUNTIFS(INDEX(tItens[Edital],1):tItens[[#This Row],[Edital]],tItens[[#This Row],[Edital]],INDEX(tItens[Produto],1):tItens[[#This Row],[Produto]],tItens[[#This Row],[Produto]])=1,1,0)</f>
        <v>0</v>
      </c>
    </row>
    <row r="2806" spans="1:16" x14ac:dyDescent="0.25">
      <c r="A2806" t="s">
        <v>1312</v>
      </c>
      <c r="B2806">
        <v>7874641</v>
      </c>
      <c r="C2806" t="s">
        <v>5756</v>
      </c>
      <c r="D2806" t="s">
        <v>377</v>
      </c>
      <c r="E2806" s="13">
        <v>10</v>
      </c>
      <c r="F2806" s="12">
        <v>0</v>
      </c>
      <c r="G2806" t="str">
        <f>IFERROR(INDEX(tEditais[Órgão],MATCH(tItens[[#This Row],[Edital]],tEditais[Edital],0)),"")</f>
        <v>MUNICIPIO DE AGUA COMPRIDA</v>
      </c>
      <c r="H2806" t="str">
        <f>IFERROR(INDEX(tEditais[UF],MATCH(tItens[[#This Row],[Edital]],tEditais[Edital],0)),"")</f>
        <v>MG</v>
      </c>
      <c r="I2806" s="11">
        <f>IFERROR(INDEX(tEditais[Encerramento],MATCH(tItens[[#This Row],[Edital]],tEditais[Edital],0)),"")</f>
        <v>46304.375</v>
      </c>
      <c r="J2806" t="str">
        <f>IFERROR(INDEX(tProdutos[Classe],MATCH(tItens[[#This Row],[Produto]],tProdutos[Produto],0)),"produto não cadastrado")</f>
        <v>FORA</v>
      </c>
      <c r="K2806" s="12">
        <f>tItens[[#This Row],[Qtd]]*tItens[[#This Row],[Vlr unit]]</f>
        <v>0</v>
      </c>
      <c r="L2806" s="6">
        <f>IFERROR(IF(INDEX(tProdutos[Desconto homologado],MATCH(tItens[[#This Row],[Produto]],tProdutos[Produto],0))="",DescontoPadrao,INDEX(tProdutos[Desconto homologado],MATCH(tItens[[#This Row],[Produto]],tProdutos[Produto],0))),DescontoPadrao)</f>
        <v>0.29186603777106501</v>
      </c>
      <c r="M2806" s="12">
        <f>tItens[[#This Row],[Valor]]*(1-tItens[[#This Row],[Desconto]])</f>
        <v>0</v>
      </c>
      <c r="N2806" t="str">
        <f>IFERROR(INDEX(tProdutos[Foco],MATCH(tItens[[#This Row],[Produto]],tProdutos[Produto],0)),"Não")</f>
        <v>Não</v>
      </c>
      <c r="O2806" t="str">
        <f>IFERROR(INDEX(tEditais[SRP],MATCH(tItens[[#This Row],[Edital]],tEditais[Edital],0)),"Não")</f>
        <v>Sim</v>
      </c>
      <c r="P2806" s="4">
        <f>IF(COUNTIFS(INDEX(tItens[Edital],1):tItens[[#This Row],[Edital]],tItens[[#This Row],[Edital]],INDEX(tItens[Produto],1):tItens[[#This Row],[Produto]],tItens[[#This Row],[Produto]])=1,1,0)</f>
        <v>0</v>
      </c>
    </row>
    <row r="2807" spans="1:16" x14ac:dyDescent="0.25">
      <c r="A2807" t="s">
        <v>1312</v>
      </c>
      <c r="B2807">
        <v>7874642</v>
      </c>
      <c r="C2807" t="s">
        <v>5757</v>
      </c>
      <c r="D2807" t="s">
        <v>377</v>
      </c>
      <c r="E2807" s="13">
        <v>10</v>
      </c>
      <c r="F2807" s="12">
        <v>0</v>
      </c>
      <c r="G2807" t="str">
        <f>IFERROR(INDEX(tEditais[Órgão],MATCH(tItens[[#This Row],[Edital]],tEditais[Edital],0)),"")</f>
        <v>MUNICIPIO DE AGUA COMPRIDA</v>
      </c>
      <c r="H2807" t="str">
        <f>IFERROR(INDEX(tEditais[UF],MATCH(tItens[[#This Row],[Edital]],tEditais[Edital],0)),"")</f>
        <v>MG</v>
      </c>
      <c r="I2807" s="11">
        <f>IFERROR(INDEX(tEditais[Encerramento],MATCH(tItens[[#This Row],[Edital]],tEditais[Edital],0)),"")</f>
        <v>46304.375</v>
      </c>
      <c r="J2807" t="str">
        <f>IFERROR(INDEX(tProdutos[Classe],MATCH(tItens[[#This Row],[Produto]],tProdutos[Produto],0)),"produto não cadastrado")</f>
        <v>FORA</v>
      </c>
      <c r="K2807" s="12">
        <f>tItens[[#This Row],[Qtd]]*tItens[[#This Row],[Vlr unit]]</f>
        <v>0</v>
      </c>
      <c r="L2807" s="6">
        <f>IFERROR(IF(INDEX(tProdutos[Desconto homologado],MATCH(tItens[[#This Row],[Produto]],tProdutos[Produto],0))="",DescontoPadrao,INDEX(tProdutos[Desconto homologado],MATCH(tItens[[#This Row],[Produto]],tProdutos[Produto],0))),DescontoPadrao)</f>
        <v>0.29186603777106501</v>
      </c>
      <c r="M2807" s="12">
        <f>tItens[[#This Row],[Valor]]*(1-tItens[[#This Row],[Desconto]])</f>
        <v>0</v>
      </c>
      <c r="N2807" t="str">
        <f>IFERROR(INDEX(tProdutos[Foco],MATCH(tItens[[#This Row],[Produto]],tProdutos[Produto],0)),"Não")</f>
        <v>Não</v>
      </c>
      <c r="O2807" t="str">
        <f>IFERROR(INDEX(tEditais[SRP],MATCH(tItens[[#This Row],[Edital]],tEditais[Edital],0)),"Não")</f>
        <v>Sim</v>
      </c>
      <c r="P2807" s="4">
        <f>IF(COUNTIFS(INDEX(tItens[Edital],1):tItens[[#This Row],[Edital]],tItens[[#This Row],[Edital]],INDEX(tItens[Produto],1):tItens[[#This Row],[Produto]],tItens[[#This Row],[Produto]])=1,1,0)</f>
        <v>0</v>
      </c>
    </row>
    <row r="2808" spans="1:16" x14ac:dyDescent="0.25">
      <c r="A2808" t="s">
        <v>1312</v>
      </c>
      <c r="B2808">
        <v>7874643</v>
      </c>
      <c r="C2808" t="s">
        <v>5758</v>
      </c>
      <c r="D2808" t="s">
        <v>313</v>
      </c>
      <c r="E2808" s="13">
        <v>60</v>
      </c>
      <c r="F2808" s="12">
        <v>0</v>
      </c>
      <c r="G2808" t="str">
        <f>IFERROR(INDEX(tEditais[Órgão],MATCH(tItens[[#This Row],[Edital]],tEditais[Edital],0)),"")</f>
        <v>MUNICIPIO DE AGUA COMPRIDA</v>
      </c>
      <c r="H2808" t="str">
        <f>IFERROR(INDEX(tEditais[UF],MATCH(tItens[[#This Row],[Edital]],tEditais[Edital],0)),"")</f>
        <v>MG</v>
      </c>
      <c r="I2808" s="11">
        <f>IFERROR(INDEX(tEditais[Encerramento],MATCH(tItens[[#This Row],[Edital]],tEditais[Edital],0)),"")</f>
        <v>46304.375</v>
      </c>
      <c r="J2808" t="str">
        <f>IFERROR(INDEX(tProdutos[Classe],MATCH(tItens[[#This Row],[Produto]],tProdutos[Produto],0)),"produto não cadastrado")</f>
        <v>FORA</v>
      </c>
      <c r="K2808" s="12">
        <f>tItens[[#This Row],[Qtd]]*tItens[[#This Row],[Vlr unit]]</f>
        <v>0</v>
      </c>
      <c r="L2808" s="6">
        <f>IFERROR(IF(INDEX(tProdutos[Desconto homologado],MATCH(tItens[[#This Row],[Produto]],tProdutos[Produto],0))="",DescontoPadrao,INDEX(tProdutos[Desconto homologado],MATCH(tItens[[#This Row],[Produto]],tProdutos[Produto],0))),DescontoPadrao)</f>
        <v>0.35766373163696302</v>
      </c>
      <c r="M2808" s="12">
        <f>tItens[[#This Row],[Valor]]*(1-tItens[[#This Row],[Desconto]])</f>
        <v>0</v>
      </c>
      <c r="N2808" t="str">
        <f>IFERROR(INDEX(tProdutos[Foco],MATCH(tItens[[#This Row],[Produto]],tProdutos[Produto],0)),"Não")</f>
        <v>Não</v>
      </c>
      <c r="O2808" t="str">
        <f>IFERROR(INDEX(tEditais[SRP],MATCH(tItens[[#This Row],[Edital]],tEditais[Edital],0)),"Não")</f>
        <v>Sim</v>
      </c>
      <c r="P2808" s="4">
        <f>IF(COUNTIFS(INDEX(tItens[Edital],1):tItens[[#This Row],[Edital]],tItens[[#This Row],[Edital]],INDEX(tItens[Produto],1):tItens[[#This Row],[Produto]],tItens[[#This Row],[Produto]])=1,1,0)</f>
        <v>1</v>
      </c>
    </row>
    <row r="2809" spans="1:16" x14ac:dyDescent="0.25">
      <c r="A2809" t="s">
        <v>1312</v>
      </c>
      <c r="B2809">
        <v>7874644</v>
      </c>
      <c r="C2809" t="s">
        <v>5759</v>
      </c>
      <c r="D2809" t="s">
        <v>313</v>
      </c>
      <c r="E2809" s="13">
        <v>15</v>
      </c>
      <c r="F2809" s="12">
        <v>0</v>
      </c>
      <c r="G2809" t="str">
        <f>IFERROR(INDEX(tEditais[Órgão],MATCH(tItens[[#This Row],[Edital]],tEditais[Edital],0)),"")</f>
        <v>MUNICIPIO DE AGUA COMPRIDA</v>
      </c>
      <c r="H2809" t="str">
        <f>IFERROR(INDEX(tEditais[UF],MATCH(tItens[[#This Row],[Edital]],tEditais[Edital],0)),"")</f>
        <v>MG</v>
      </c>
      <c r="I2809" s="11">
        <f>IFERROR(INDEX(tEditais[Encerramento],MATCH(tItens[[#This Row],[Edital]],tEditais[Edital],0)),"")</f>
        <v>46304.375</v>
      </c>
      <c r="J2809" t="str">
        <f>IFERROR(INDEX(tProdutos[Classe],MATCH(tItens[[#This Row],[Produto]],tProdutos[Produto],0)),"produto não cadastrado")</f>
        <v>FORA</v>
      </c>
      <c r="K2809" s="12">
        <f>tItens[[#This Row],[Qtd]]*tItens[[#This Row],[Vlr unit]]</f>
        <v>0</v>
      </c>
      <c r="L2809" s="6">
        <f>IFERROR(IF(INDEX(tProdutos[Desconto homologado],MATCH(tItens[[#This Row],[Produto]],tProdutos[Produto],0))="",DescontoPadrao,INDEX(tProdutos[Desconto homologado],MATCH(tItens[[#This Row],[Produto]],tProdutos[Produto],0))),DescontoPadrao)</f>
        <v>0.35766373163696302</v>
      </c>
      <c r="M2809" s="12">
        <f>tItens[[#This Row],[Valor]]*(1-tItens[[#This Row],[Desconto]])</f>
        <v>0</v>
      </c>
      <c r="N2809" t="str">
        <f>IFERROR(INDEX(tProdutos[Foco],MATCH(tItens[[#This Row],[Produto]],tProdutos[Produto],0)),"Não")</f>
        <v>Não</v>
      </c>
      <c r="O2809" t="str">
        <f>IFERROR(INDEX(tEditais[SRP],MATCH(tItens[[#This Row],[Edital]],tEditais[Edital],0)),"Não")</f>
        <v>Sim</v>
      </c>
      <c r="P2809" s="4">
        <f>IF(COUNTIFS(INDEX(tItens[Edital],1):tItens[[#This Row],[Edital]],tItens[[#This Row],[Edital]],INDEX(tItens[Produto],1):tItens[[#This Row],[Produto]],tItens[[#This Row],[Produto]])=1,1,0)</f>
        <v>0</v>
      </c>
    </row>
    <row r="2810" spans="1:16" x14ac:dyDescent="0.25">
      <c r="A2810" t="s">
        <v>1312</v>
      </c>
      <c r="B2810">
        <v>7874645</v>
      </c>
      <c r="C2810" t="s">
        <v>5760</v>
      </c>
      <c r="D2810" t="s">
        <v>313</v>
      </c>
      <c r="E2810" s="13">
        <v>10</v>
      </c>
      <c r="F2810" s="12">
        <v>0</v>
      </c>
      <c r="G2810" t="str">
        <f>IFERROR(INDEX(tEditais[Órgão],MATCH(tItens[[#This Row],[Edital]],tEditais[Edital],0)),"")</f>
        <v>MUNICIPIO DE AGUA COMPRIDA</v>
      </c>
      <c r="H2810" t="str">
        <f>IFERROR(INDEX(tEditais[UF],MATCH(tItens[[#This Row],[Edital]],tEditais[Edital],0)),"")</f>
        <v>MG</v>
      </c>
      <c r="I2810" s="11">
        <f>IFERROR(INDEX(tEditais[Encerramento],MATCH(tItens[[#This Row],[Edital]],tEditais[Edital],0)),"")</f>
        <v>46304.375</v>
      </c>
      <c r="J2810" t="str">
        <f>IFERROR(INDEX(tProdutos[Classe],MATCH(tItens[[#This Row],[Produto]],tProdutos[Produto],0)),"produto não cadastrado")</f>
        <v>FORA</v>
      </c>
      <c r="K2810" s="12">
        <f>tItens[[#This Row],[Qtd]]*tItens[[#This Row],[Vlr unit]]</f>
        <v>0</v>
      </c>
      <c r="L2810" s="6">
        <f>IFERROR(IF(INDEX(tProdutos[Desconto homologado],MATCH(tItens[[#This Row],[Produto]],tProdutos[Produto],0))="",DescontoPadrao,INDEX(tProdutos[Desconto homologado],MATCH(tItens[[#This Row],[Produto]],tProdutos[Produto],0))),DescontoPadrao)</f>
        <v>0.35766373163696302</v>
      </c>
      <c r="M2810" s="12">
        <f>tItens[[#This Row],[Valor]]*(1-tItens[[#This Row],[Desconto]])</f>
        <v>0</v>
      </c>
      <c r="N2810" t="str">
        <f>IFERROR(INDEX(tProdutos[Foco],MATCH(tItens[[#This Row],[Produto]],tProdutos[Produto],0)),"Não")</f>
        <v>Não</v>
      </c>
      <c r="O2810" t="str">
        <f>IFERROR(INDEX(tEditais[SRP],MATCH(tItens[[#This Row],[Edital]],tEditais[Edital],0)),"Não")</f>
        <v>Sim</v>
      </c>
      <c r="P2810" s="4">
        <f>IF(COUNTIFS(INDEX(tItens[Edital],1):tItens[[#This Row],[Edital]],tItens[[#This Row],[Edital]],INDEX(tItens[Produto],1):tItens[[#This Row],[Produto]],tItens[[#This Row],[Produto]])=1,1,0)</f>
        <v>0</v>
      </c>
    </row>
    <row r="2811" spans="1:16" x14ac:dyDescent="0.25">
      <c r="A2811" t="s">
        <v>1312</v>
      </c>
      <c r="B2811">
        <v>7874648</v>
      </c>
      <c r="C2811" t="s">
        <v>5761</v>
      </c>
      <c r="D2811" t="s">
        <v>241</v>
      </c>
      <c r="E2811" s="13">
        <v>70</v>
      </c>
      <c r="F2811" s="12">
        <v>0</v>
      </c>
      <c r="G2811" t="str">
        <f>IFERROR(INDEX(tEditais[Órgão],MATCH(tItens[[#This Row],[Edital]],tEditais[Edital],0)),"")</f>
        <v>MUNICIPIO DE AGUA COMPRIDA</v>
      </c>
      <c r="H2811" t="str">
        <f>IFERROR(INDEX(tEditais[UF],MATCH(tItens[[#This Row],[Edital]],tEditais[Edital],0)),"")</f>
        <v>MG</v>
      </c>
      <c r="I2811" s="11">
        <f>IFERROR(INDEX(tEditais[Encerramento],MATCH(tItens[[#This Row],[Edital]],tEditais[Edital],0)),"")</f>
        <v>46304.375</v>
      </c>
      <c r="J2811" t="str">
        <f>IFERROR(INDEX(tProdutos[Classe],MATCH(tItens[[#This Row],[Produto]],tProdutos[Produto],0)),"produto não cadastrado")</f>
        <v>DISPUTADO</v>
      </c>
      <c r="K2811" s="12">
        <f>tItens[[#This Row],[Qtd]]*tItens[[#This Row],[Vlr unit]]</f>
        <v>0</v>
      </c>
      <c r="L2811" s="6">
        <f>IFERROR(IF(INDEX(tProdutos[Desconto homologado],MATCH(tItens[[#This Row],[Produto]],tProdutos[Produto],0))="",DescontoPadrao,INDEX(tProdutos[Desconto homologado],MATCH(tItens[[#This Row],[Produto]],tProdutos[Produto],0))),DescontoPadrao)</f>
        <v>0.36881329157903497</v>
      </c>
      <c r="M2811" s="12">
        <f>tItens[[#This Row],[Valor]]*(1-tItens[[#This Row],[Desconto]])</f>
        <v>0</v>
      </c>
      <c r="N2811" t="str">
        <f>IFERROR(INDEX(tProdutos[Foco],MATCH(tItens[[#This Row],[Produto]],tProdutos[Produto],0)),"Não")</f>
        <v>Não</v>
      </c>
      <c r="O2811" t="str">
        <f>IFERROR(INDEX(tEditais[SRP],MATCH(tItens[[#This Row],[Edital]],tEditais[Edital],0)),"Não")</f>
        <v>Sim</v>
      </c>
      <c r="P2811" s="4">
        <f>IF(COUNTIFS(INDEX(tItens[Edital],1):tItens[[#This Row],[Edital]],tItens[[#This Row],[Edital]],INDEX(tItens[Produto],1):tItens[[#This Row],[Produto]],tItens[[#This Row],[Produto]])=1,1,0)</f>
        <v>1</v>
      </c>
    </row>
    <row r="2812" spans="1:16" x14ac:dyDescent="0.25">
      <c r="A2812" t="s">
        <v>1312</v>
      </c>
      <c r="B2812">
        <v>7874649</v>
      </c>
      <c r="C2812" t="s">
        <v>5762</v>
      </c>
      <c r="D2812" t="s">
        <v>114</v>
      </c>
      <c r="E2812" s="13">
        <v>10</v>
      </c>
      <c r="F2812" s="12">
        <v>0</v>
      </c>
      <c r="G2812" t="str">
        <f>IFERROR(INDEX(tEditais[Órgão],MATCH(tItens[[#This Row],[Edital]],tEditais[Edital],0)),"")</f>
        <v>MUNICIPIO DE AGUA COMPRIDA</v>
      </c>
      <c r="H2812" t="str">
        <f>IFERROR(INDEX(tEditais[UF],MATCH(tItens[[#This Row],[Edital]],tEditais[Edital],0)),"")</f>
        <v>MG</v>
      </c>
      <c r="I2812" s="11">
        <f>IFERROR(INDEX(tEditais[Encerramento],MATCH(tItens[[#This Row],[Edital]],tEditais[Edital],0)),"")</f>
        <v>46304.375</v>
      </c>
      <c r="J2812" t="str">
        <f>IFERROR(INDEX(tProdutos[Classe],MATCH(tItens[[#This Row],[Produto]],tProdutos[Produto],0)),"produto não cadastrado")</f>
        <v>DISPUTADO</v>
      </c>
      <c r="K2812" s="12">
        <f>tItens[[#This Row],[Qtd]]*tItens[[#This Row],[Vlr unit]]</f>
        <v>0</v>
      </c>
      <c r="L2812" s="6">
        <f>IFERROR(IF(INDEX(tProdutos[Desconto homologado],MATCH(tItens[[#This Row],[Produto]],tProdutos[Produto],0))="",DescontoPadrao,INDEX(tProdutos[Desconto homologado],MATCH(tItens[[#This Row],[Produto]],tProdutos[Produto],0))),DescontoPadrao)</f>
        <v>0.24332656063896899</v>
      </c>
      <c r="M2812" s="12">
        <f>tItens[[#This Row],[Valor]]*(1-tItens[[#This Row],[Desconto]])</f>
        <v>0</v>
      </c>
      <c r="N2812" t="str">
        <f>IFERROR(INDEX(tProdutos[Foco],MATCH(tItens[[#This Row],[Produto]],tProdutos[Produto],0)),"Não")</f>
        <v>Não</v>
      </c>
      <c r="O2812" t="str">
        <f>IFERROR(INDEX(tEditais[SRP],MATCH(tItens[[#This Row],[Edital]],tEditais[Edital],0)),"Não")</f>
        <v>Sim</v>
      </c>
      <c r="P2812" s="4">
        <f>IF(COUNTIFS(INDEX(tItens[Edital],1):tItens[[#This Row],[Edital]],tItens[[#This Row],[Edital]],INDEX(tItens[Produto],1):tItens[[#This Row],[Produto]],tItens[[#This Row],[Produto]])=1,1,0)</f>
        <v>1</v>
      </c>
    </row>
    <row r="2813" spans="1:16" x14ac:dyDescent="0.25">
      <c r="A2813" t="s">
        <v>1312</v>
      </c>
      <c r="B2813">
        <v>7874651</v>
      </c>
      <c r="C2813" t="s">
        <v>5763</v>
      </c>
      <c r="D2813" t="s">
        <v>71</v>
      </c>
      <c r="E2813" s="13">
        <v>15</v>
      </c>
      <c r="F2813" s="12">
        <v>0</v>
      </c>
      <c r="G2813" t="str">
        <f>IFERROR(INDEX(tEditais[Órgão],MATCH(tItens[[#This Row],[Edital]],tEditais[Edital],0)),"")</f>
        <v>MUNICIPIO DE AGUA COMPRIDA</v>
      </c>
      <c r="H2813" t="str">
        <f>IFERROR(INDEX(tEditais[UF],MATCH(tItens[[#This Row],[Edital]],tEditais[Edital],0)),"")</f>
        <v>MG</v>
      </c>
      <c r="I2813" s="11">
        <f>IFERROR(INDEX(tEditais[Encerramento],MATCH(tItens[[#This Row],[Edital]],tEditais[Edital],0)),"")</f>
        <v>46304.375</v>
      </c>
      <c r="J2813" t="str">
        <f>IFERROR(INDEX(tProdutos[Classe],MATCH(tItens[[#This Row],[Produto]],tProdutos[Produto],0)),"produto não cadastrado")</f>
        <v>NÚCLEO</v>
      </c>
      <c r="K2813" s="12">
        <f>tItens[[#This Row],[Qtd]]*tItens[[#This Row],[Vlr unit]]</f>
        <v>0</v>
      </c>
      <c r="L2813" s="6">
        <f>IFERROR(IF(INDEX(tProdutos[Desconto homologado],MATCH(tItens[[#This Row],[Produto]],tProdutos[Produto],0))="",DescontoPadrao,INDEX(tProdutos[Desconto homologado],MATCH(tItens[[#This Row],[Produto]],tProdutos[Produto],0))),DescontoPadrao)</f>
        <v>0.44981412639405199</v>
      </c>
      <c r="M2813" s="12">
        <f>tItens[[#This Row],[Valor]]*(1-tItens[[#This Row],[Desconto]])</f>
        <v>0</v>
      </c>
      <c r="N2813" t="str">
        <f>IFERROR(INDEX(tProdutos[Foco],MATCH(tItens[[#This Row],[Produto]],tProdutos[Produto],0)),"Não")</f>
        <v>Não</v>
      </c>
      <c r="O2813" t="str">
        <f>IFERROR(INDEX(tEditais[SRP],MATCH(tItens[[#This Row],[Edital]],tEditais[Edital],0)),"Não")</f>
        <v>Sim</v>
      </c>
      <c r="P2813" s="4">
        <f>IF(COUNTIFS(INDEX(tItens[Edital],1):tItens[[#This Row],[Edital]],tItens[[#This Row],[Edital]],INDEX(tItens[Produto],1):tItens[[#This Row],[Produto]],tItens[[#This Row],[Produto]])=1,1,0)</f>
        <v>1</v>
      </c>
    </row>
    <row r="2814" spans="1:16" x14ac:dyDescent="0.25">
      <c r="A2814" t="s">
        <v>1312</v>
      </c>
      <c r="B2814">
        <v>7874662</v>
      </c>
      <c r="C2814" t="s">
        <v>5764</v>
      </c>
      <c r="D2814" t="s">
        <v>56</v>
      </c>
      <c r="E2814" s="13">
        <v>2</v>
      </c>
      <c r="F2814" s="12">
        <v>0</v>
      </c>
      <c r="G2814" t="str">
        <f>IFERROR(INDEX(tEditais[Órgão],MATCH(tItens[[#This Row],[Edital]],tEditais[Edital],0)),"")</f>
        <v>MUNICIPIO DE AGUA COMPRIDA</v>
      </c>
      <c r="H2814" t="str">
        <f>IFERROR(INDEX(tEditais[UF],MATCH(tItens[[#This Row],[Edital]],tEditais[Edital],0)),"")</f>
        <v>MG</v>
      </c>
      <c r="I2814" s="11">
        <f>IFERROR(INDEX(tEditais[Encerramento],MATCH(tItens[[#This Row],[Edital]],tEditais[Edital],0)),"")</f>
        <v>46304.375</v>
      </c>
      <c r="J2814" t="str">
        <f>IFERROR(INDEX(tProdutos[Classe],MATCH(tItens[[#This Row],[Produto]],tProdutos[Produto],0)),"produto não cadastrado")</f>
        <v>NÚCLEO</v>
      </c>
      <c r="K2814" s="12">
        <f>tItens[[#This Row],[Qtd]]*tItens[[#This Row],[Vlr unit]]</f>
        <v>0</v>
      </c>
      <c r="L2814" s="6">
        <f>IFERROR(IF(INDEX(tProdutos[Desconto homologado],MATCH(tItens[[#This Row],[Produto]],tProdutos[Produto],0))="",DescontoPadrao,INDEX(tProdutos[Desconto homologado],MATCH(tItens[[#This Row],[Produto]],tProdutos[Produto],0))),DescontoPadrao)</f>
        <v>0.34</v>
      </c>
      <c r="M2814" s="12">
        <f>tItens[[#This Row],[Valor]]*(1-tItens[[#This Row],[Desconto]])</f>
        <v>0</v>
      </c>
      <c r="N2814" t="str">
        <f>IFERROR(INDEX(tProdutos[Foco],MATCH(tItens[[#This Row],[Produto]],tProdutos[Produto],0)),"Não")</f>
        <v>Sim</v>
      </c>
      <c r="O2814" t="str">
        <f>IFERROR(INDEX(tEditais[SRP],MATCH(tItens[[#This Row],[Edital]],tEditais[Edital],0)),"Não")</f>
        <v>Sim</v>
      </c>
      <c r="P2814" s="4">
        <f>IF(COUNTIFS(INDEX(tItens[Edital],1):tItens[[#This Row],[Edital]],tItens[[#This Row],[Edital]],INDEX(tItens[Produto],1):tItens[[#This Row],[Produto]],tItens[[#This Row],[Produto]])=1,1,0)</f>
        <v>1</v>
      </c>
    </row>
    <row r="2815" spans="1:16" x14ac:dyDescent="0.25">
      <c r="A2815" t="s">
        <v>1312</v>
      </c>
      <c r="B2815">
        <v>7874663</v>
      </c>
      <c r="C2815" t="s">
        <v>5765</v>
      </c>
      <c r="D2815" t="s">
        <v>56</v>
      </c>
      <c r="E2815" s="13">
        <v>2</v>
      </c>
      <c r="F2815" s="12">
        <v>0</v>
      </c>
      <c r="G2815" t="str">
        <f>IFERROR(INDEX(tEditais[Órgão],MATCH(tItens[[#This Row],[Edital]],tEditais[Edital],0)),"")</f>
        <v>MUNICIPIO DE AGUA COMPRIDA</v>
      </c>
      <c r="H2815" t="str">
        <f>IFERROR(INDEX(tEditais[UF],MATCH(tItens[[#This Row],[Edital]],tEditais[Edital],0)),"")</f>
        <v>MG</v>
      </c>
      <c r="I2815" s="11">
        <f>IFERROR(INDEX(tEditais[Encerramento],MATCH(tItens[[#This Row],[Edital]],tEditais[Edital],0)),"")</f>
        <v>46304.375</v>
      </c>
      <c r="J2815" t="str">
        <f>IFERROR(INDEX(tProdutos[Classe],MATCH(tItens[[#This Row],[Produto]],tProdutos[Produto],0)),"produto não cadastrado")</f>
        <v>NÚCLEO</v>
      </c>
      <c r="K2815" s="12">
        <f>tItens[[#This Row],[Qtd]]*tItens[[#This Row],[Vlr unit]]</f>
        <v>0</v>
      </c>
      <c r="L2815" s="6">
        <f>IFERROR(IF(INDEX(tProdutos[Desconto homologado],MATCH(tItens[[#This Row],[Produto]],tProdutos[Produto],0))="",DescontoPadrao,INDEX(tProdutos[Desconto homologado],MATCH(tItens[[#This Row],[Produto]],tProdutos[Produto],0))),DescontoPadrao)</f>
        <v>0.34</v>
      </c>
      <c r="M2815" s="12">
        <f>tItens[[#This Row],[Valor]]*(1-tItens[[#This Row],[Desconto]])</f>
        <v>0</v>
      </c>
      <c r="N2815" t="str">
        <f>IFERROR(INDEX(tProdutos[Foco],MATCH(tItens[[#This Row],[Produto]],tProdutos[Produto],0)),"Não")</f>
        <v>Sim</v>
      </c>
      <c r="O2815" t="str">
        <f>IFERROR(INDEX(tEditais[SRP],MATCH(tItens[[#This Row],[Edital]],tEditais[Edital],0)),"Não")</f>
        <v>Sim</v>
      </c>
      <c r="P2815" s="4">
        <f>IF(COUNTIFS(INDEX(tItens[Edital],1):tItens[[#This Row],[Edital]],tItens[[#This Row],[Edital]],INDEX(tItens[Produto],1):tItens[[#This Row],[Produto]],tItens[[#This Row],[Produto]])=1,1,0)</f>
        <v>0</v>
      </c>
    </row>
    <row r="2816" spans="1:16" x14ac:dyDescent="0.25">
      <c r="A2816" t="s">
        <v>1312</v>
      </c>
      <c r="B2816">
        <v>7874664</v>
      </c>
      <c r="C2816" t="s">
        <v>5766</v>
      </c>
      <c r="D2816" t="s">
        <v>281</v>
      </c>
      <c r="E2816" s="13">
        <v>200</v>
      </c>
      <c r="F2816" s="12">
        <v>0</v>
      </c>
      <c r="G2816" t="str">
        <f>IFERROR(INDEX(tEditais[Órgão],MATCH(tItens[[#This Row],[Edital]],tEditais[Edital],0)),"")</f>
        <v>MUNICIPIO DE AGUA COMPRIDA</v>
      </c>
      <c r="H2816" t="str">
        <f>IFERROR(INDEX(tEditais[UF],MATCH(tItens[[#This Row],[Edital]],tEditais[Edital],0)),"")</f>
        <v>MG</v>
      </c>
      <c r="I2816" s="11">
        <f>IFERROR(INDEX(tEditais[Encerramento],MATCH(tItens[[#This Row],[Edital]],tEditais[Edital],0)),"")</f>
        <v>46304.375</v>
      </c>
      <c r="J2816" t="str">
        <f>IFERROR(INDEX(tProdutos[Classe],MATCH(tItens[[#This Row],[Produto]],tProdutos[Produto],0)),"produto não cadastrado")</f>
        <v>DISPUTADO</v>
      </c>
      <c r="K2816" s="12">
        <f>tItens[[#This Row],[Qtd]]*tItens[[#This Row],[Vlr unit]]</f>
        <v>0</v>
      </c>
      <c r="L2816" s="6">
        <f>IFERROR(IF(INDEX(tProdutos[Desconto homologado],MATCH(tItens[[#This Row],[Produto]],tProdutos[Produto],0))="",DescontoPadrao,INDEX(tProdutos[Desconto homologado],MATCH(tItens[[#This Row],[Produto]],tProdutos[Produto],0))),DescontoPadrao)</f>
        <v>0.42461538461538501</v>
      </c>
      <c r="M2816" s="12">
        <f>tItens[[#This Row],[Valor]]*(1-tItens[[#This Row],[Desconto]])</f>
        <v>0</v>
      </c>
      <c r="N2816" t="str">
        <f>IFERROR(INDEX(tProdutos[Foco],MATCH(tItens[[#This Row],[Produto]],tProdutos[Produto],0)),"Não")</f>
        <v>Não</v>
      </c>
      <c r="O2816" t="str">
        <f>IFERROR(INDEX(tEditais[SRP],MATCH(tItens[[#This Row],[Edital]],tEditais[Edital],0)),"Não")</f>
        <v>Sim</v>
      </c>
      <c r="P2816" s="4">
        <f>IF(COUNTIFS(INDEX(tItens[Edital],1):tItens[[#This Row],[Edital]],tItens[[#This Row],[Edital]],INDEX(tItens[Produto],1):tItens[[#This Row],[Produto]],tItens[[#This Row],[Produto]])=1,1,0)</f>
        <v>1</v>
      </c>
    </row>
    <row r="2817" spans="1:16" x14ac:dyDescent="0.25">
      <c r="A2817" t="s">
        <v>1312</v>
      </c>
      <c r="B2817">
        <v>7874734</v>
      </c>
      <c r="C2817" t="s">
        <v>5767</v>
      </c>
      <c r="D2817" t="s">
        <v>100</v>
      </c>
      <c r="E2817" s="13">
        <v>100</v>
      </c>
      <c r="F2817" s="12">
        <v>0</v>
      </c>
      <c r="G2817" t="str">
        <f>IFERROR(INDEX(tEditais[Órgão],MATCH(tItens[[#This Row],[Edital]],tEditais[Edital],0)),"")</f>
        <v>MUNICIPIO DE AGUA COMPRIDA</v>
      </c>
      <c r="H2817" t="str">
        <f>IFERROR(INDEX(tEditais[UF],MATCH(tItens[[#This Row],[Edital]],tEditais[Edital],0)),"")</f>
        <v>MG</v>
      </c>
      <c r="I2817" s="11">
        <f>IFERROR(INDEX(tEditais[Encerramento],MATCH(tItens[[#This Row],[Edital]],tEditais[Edital],0)),"")</f>
        <v>46304.375</v>
      </c>
      <c r="J2817" t="str">
        <f>IFERROR(INDEX(tProdutos[Classe],MATCH(tItens[[#This Row],[Produto]],tProdutos[Produto],0)),"produto não cadastrado")</f>
        <v>NÚCLEO</v>
      </c>
      <c r="K2817" s="12">
        <f>tItens[[#This Row],[Qtd]]*tItens[[#This Row],[Vlr unit]]</f>
        <v>0</v>
      </c>
      <c r="L2817" s="6">
        <f>IFERROR(IF(INDEX(tProdutos[Desconto homologado],MATCH(tItens[[#This Row],[Produto]],tProdutos[Produto],0))="",DescontoPadrao,INDEX(tProdutos[Desconto homologado],MATCH(tItens[[#This Row],[Produto]],tProdutos[Produto],0))),DescontoPadrao)</f>
        <v>0.24</v>
      </c>
      <c r="M2817" s="12">
        <f>tItens[[#This Row],[Valor]]*(1-tItens[[#This Row],[Desconto]])</f>
        <v>0</v>
      </c>
      <c r="N2817" t="str">
        <f>IFERROR(INDEX(tProdutos[Foco],MATCH(tItens[[#This Row],[Produto]],tProdutos[Produto],0)),"Não")</f>
        <v>Sim</v>
      </c>
      <c r="O2817" t="str">
        <f>IFERROR(INDEX(tEditais[SRP],MATCH(tItens[[#This Row],[Edital]],tEditais[Edital],0)),"Não")</f>
        <v>Sim</v>
      </c>
      <c r="P2817" s="4">
        <f>IF(COUNTIFS(INDEX(tItens[Edital],1):tItens[[#This Row],[Edital]],tItens[[#This Row],[Edital]],INDEX(tItens[Produto],1):tItens[[#This Row],[Produto]],tItens[[#This Row],[Produto]])=1,1,0)</f>
        <v>1</v>
      </c>
    </row>
    <row r="2818" spans="1:16" x14ac:dyDescent="0.25">
      <c r="A2818" t="s">
        <v>1312</v>
      </c>
      <c r="B2818">
        <v>7874735</v>
      </c>
      <c r="C2818" t="s">
        <v>5768</v>
      </c>
      <c r="D2818" t="s">
        <v>100</v>
      </c>
      <c r="E2818" s="13">
        <v>100</v>
      </c>
      <c r="F2818" s="12">
        <v>0</v>
      </c>
      <c r="G2818" t="str">
        <f>IFERROR(INDEX(tEditais[Órgão],MATCH(tItens[[#This Row],[Edital]],tEditais[Edital],0)),"")</f>
        <v>MUNICIPIO DE AGUA COMPRIDA</v>
      </c>
      <c r="H2818" t="str">
        <f>IFERROR(INDEX(tEditais[UF],MATCH(tItens[[#This Row],[Edital]],tEditais[Edital],0)),"")</f>
        <v>MG</v>
      </c>
      <c r="I2818" s="11">
        <f>IFERROR(INDEX(tEditais[Encerramento],MATCH(tItens[[#This Row],[Edital]],tEditais[Edital],0)),"")</f>
        <v>46304.375</v>
      </c>
      <c r="J2818" t="str">
        <f>IFERROR(INDEX(tProdutos[Classe],MATCH(tItens[[#This Row],[Produto]],tProdutos[Produto],0)),"produto não cadastrado")</f>
        <v>NÚCLEO</v>
      </c>
      <c r="K2818" s="12">
        <f>tItens[[#This Row],[Qtd]]*tItens[[#This Row],[Vlr unit]]</f>
        <v>0</v>
      </c>
      <c r="L2818" s="6">
        <f>IFERROR(IF(INDEX(tProdutos[Desconto homologado],MATCH(tItens[[#This Row],[Produto]],tProdutos[Produto],0))="",DescontoPadrao,INDEX(tProdutos[Desconto homologado],MATCH(tItens[[#This Row],[Produto]],tProdutos[Produto],0))),DescontoPadrao)</f>
        <v>0.24</v>
      </c>
      <c r="M2818" s="12">
        <f>tItens[[#This Row],[Valor]]*(1-tItens[[#This Row],[Desconto]])</f>
        <v>0</v>
      </c>
      <c r="N2818" t="str">
        <f>IFERROR(INDEX(tProdutos[Foco],MATCH(tItens[[#This Row],[Produto]],tProdutos[Produto],0)),"Não")</f>
        <v>Sim</v>
      </c>
      <c r="O2818" t="str">
        <f>IFERROR(INDEX(tEditais[SRP],MATCH(tItens[[#This Row],[Edital]],tEditais[Edital],0)),"Não")</f>
        <v>Sim</v>
      </c>
      <c r="P2818" s="4">
        <f>IF(COUNTIFS(INDEX(tItens[Edital],1):tItens[[#This Row],[Edital]],tItens[[#This Row],[Edital]],INDEX(tItens[Produto],1):tItens[[#This Row],[Produto]],tItens[[#This Row],[Produto]])=1,1,0)</f>
        <v>0</v>
      </c>
    </row>
    <row r="2819" spans="1:16" x14ac:dyDescent="0.25">
      <c r="A2819" t="s">
        <v>1312</v>
      </c>
      <c r="B2819">
        <v>7874737</v>
      </c>
      <c r="C2819" t="s">
        <v>5769</v>
      </c>
      <c r="D2819" t="s">
        <v>411</v>
      </c>
      <c r="E2819" s="13">
        <v>60</v>
      </c>
      <c r="F2819" s="12">
        <v>0</v>
      </c>
      <c r="G2819" t="str">
        <f>IFERROR(INDEX(tEditais[Órgão],MATCH(tItens[[#This Row],[Edital]],tEditais[Edital],0)),"")</f>
        <v>MUNICIPIO DE AGUA COMPRIDA</v>
      </c>
      <c r="H2819" t="str">
        <f>IFERROR(INDEX(tEditais[UF],MATCH(tItens[[#This Row],[Edital]],tEditais[Edital],0)),"")</f>
        <v>MG</v>
      </c>
      <c r="I2819" s="11">
        <f>IFERROR(INDEX(tEditais[Encerramento],MATCH(tItens[[#This Row],[Edital]],tEditais[Edital],0)),"")</f>
        <v>46304.375</v>
      </c>
      <c r="J2819" t="str">
        <f>IFERROR(INDEX(tProdutos[Classe],MATCH(tItens[[#This Row],[Produto]],tProdutos[Produto],0)),"produto não cadastrado")</f>
        <v>FORA</v>
      </c>
      <c r="K2819" s="12">
        <f>tItens[[#This Row],[Qtd]]*tItens[[#This Row],[Vlr unit]]</f>
        <v>0</v>
      </c>
      <c r="L2819" s="6">
        <f>IFERROR(IF(INDEX(tProdutos[Desconto homologado],MATCH(tItens[[#This Row],[Produto]],tProdutos[Produto],0))="",DescontoPadrao,INDEX(tProdutos[Desconto homologado],MATCH(tItens[[#This Row],[Produto]],tProdutos[Produto],0))),DescontoPadrao)</f>
        <v>0.50029835957199398</v>
      </c>
      <c r="M2819" s="12">
        <f>tItens[[#This Row],[Valor]]*(1-tItens[[#This Row],[Desconto]])</f>
        <v>0</v>
      </c>
      <c r="N2819" t="str">
        <f>IFERROR(INDEX(tProdutos[Foco],MATCH(tItens[[#This Row],[Produto]],tProdutos[Produto],0)),"Não")</f>
        <v>Não</v>
      </c>
      <c r="O2819" t="str">
        <f>IFERROR(INDEX(tEditais[SRP],MATCH(tItens[[#This Row],[Edital]],tEditais[Edital],0)),"Não")</f>
        <v>Sim</v>
      </c>
      <c r="P2819" s="4">
        <f>IF(COUNTIFS(INDEX(tItens[Edital],1):tItens[[#This Row],[Edital]],tItens[[#This Row],[Edital]],INDEX(tItens[Produto],1):tItens[[#This Row],[Produto]],tItens[[#This Row],[Produto]])=1,1,0)</f>
        <v>1</v>
      </c>
    </row>
    <row r="2820" spans="1:16" x14ac:dyDescent="0.25">
      <c r="A2820" t="s">
        <v>1312</v>
      </c>
      <c r="B2820">
        <v>7874738</v>
      </c>
      <c r="C2820" t="s">
        <v>5770</v>
      </c>
      <c r="D2820" t="s">
        <v>104</v>
      </c>
      <c r="E2820" s="13">
        <v>10</v>
      </c>
      <c r="F2820" s="12">
        <v>0</v>
      </c>
      <c r="G2820" t="str">
        <f>IFERROR(INDEX(tEditais[Órgão],MATCH(tItens[[#This Row],[Edital]],tEditais[Edital],0)),"")</f>
        <v>MUNICIPIO DE AGUA COMPRIDA</v>
      </c>
      <c r="H2820" t="str">
        <f>IFERROR(INDEX(tEditais[UF],MATCH(tItens[[#This Row],[Edital]],tEditais[Edital],0)),"")</f>
        <v>MG</v>
      </c>
      <c r="I2820" s="11">
        <f>IFERROR(INDEX(tEditais[Encerramento],MATCH(tItens[[#This Row],[Edital]],tEditais[Edital],0)),"")</f>
        <v>46304.375</v>
      </c>
      <c r="J2820" t="str">
        <f>IFERROR(INDEX(tProdutos[Classe],MATCH(tItens[[#This Row],[Produto]],tProdutos[Produto],0)),"produto não cadastrado")</f>
        <v>DISPUTADO</v>
      </c>
      <c r="K2820" s="12">
        <f>tItens[[#This Row],[Qtd]]*tItens[[#This Row],[Vlr unit]]</f>
        <v>0</v>
      </c>
      <c r="L2820" s="6">
        <f>IFERROR(IF(INDEX(tProdutos[Desconto homologado],MATCH(tItens[[#This Row],[Produto]],tProdutos[Produto],0))="",DescontoPadrao,INDEX(tProdutos[Desconto homologado],MATCH(tItens[[#This Row],[Produto]],tProdutos[Produto],0))),DescontoPadrao)</f>
        <v>0.51</v>
      </c>
      <c r="M2820" s="12">
        <f>tItens[[#This Row],[Valor]]*(1-tItens[[#This Row],[Desconto]])</f>
        <v>0</v>
      </c>
      <c r="N2820" t="str">
        <f>IFERROR(INDEX(tProdutos[Foco],MATCH(tItens[[#This Row],[Produto]],tProdutos[Produto],0)),"Não")</f>
        <v>Sim</v>
      </c>
      <c r="O2820" t="str">
        <f>IFERROR(INDEX(tEditais[SRP],MATCH(tItens[[#This Row],[Edital]],tEditais[Edital],0)),"Não")</f>
        <v>Sim</v>
      </c>
      <c r="P2820" s="4">
        <f>IF(COUNTIFS(INDEX(tItens[Edital],1):tItens[[#This Row],[Edital]],tItens[[#This Row],[Edital]],INDEX(tItens[Produto],1):tItens[[#This Row],[Produto]],tItens[[#This Row],[Produto]])=1,1,0)</f>
        <v>1</v>
      </c>
    </row>
    <row r="2821" spans="1:16" x14ac:dyDescent="0.25">
      <c r="A2821" t="s">
        <v>1312</v>
      </c>
      <c r="B2821">
        <v>7874740</v>
      </c>
      <c r="C2821" t="s">
        <v>5771</v>
      </c>
      <c r="D2821" t="s">
        <v>383</v>
      </c>
      <c r="E2821" s="13">
        <v>100</v>
      </c>
      <c r="F2821" s="12">
        <v>0</v>
      </c>
      <c r="G2821" t="str">
        <f>IFERROR(INDEX(tEditais[Órgão],MATCH(tItens[[#This Row],[Edital]],tEditais[Edital],0)),"")</f>
        <v>MUNICIPIO DE AGUA COMPRIDA</v>
      </c>
      <c r="H2821" t="str">
        <f>IFERROR(INDEX(tEditais[UF],MATCH(tItens[[#This Row],[Edital]],tEditais[Edital],0)),"")</f>
        <v>MG</v>
      </c>
      <c r="I2821" s="11">
        <f>IFERROR(INDEX(tEditais[Encerramento],MATCH(tItens[[#This Row],[Edital]],tEditais[Edital],0)),"")</f>
        <v>46304.375</v>
      </c>
      <c r="J2821" t="str">
        <f>IFERROR(INDEX(tProdutos[Classe],MATCH(tItens[[#This Row],[Produto]],tProdutos[Produto],0)),"produto não cadastrado")</f>
        <v>FORA</v>
      </c>
      <c r="K2821" s="12">
        <f>tItens[[#This Row],[Qtd]]*tItens[[#This Row],[Vlr unit]]</f>
        <v>0</v>
      </c>
      <c r="L2821" s="6">
        <f>IFERROR(IF(INDEX(tProdutos[Desconto homologado],MATCH(tItens[[#This Row],[Produto]],tProdutos[Produto],0))="",DescontoPadrao,INDEX(tProdutos[Desconto homologado],MATCH(tItens[[#This Row],[Produto]],tProdutos[Produto],0))),DescontoPadrao)</f>
        <v>0.48749999999999999</v>
      </c>
      <c r="M2821" s="12">
        <f>tItens[[#This Row],[Valor]]*(1-tItens[[#This Row],[Desconto]])</f>
        <v>0</v>
      </c>
      <c r="N2821" t="str">
        <f>IFERROR(INDEX(tProdutos[Foco],MATCH(tItens[[#This Row],[Produto]],tProdutos[Produto],0)),"Não")</f>
        <v>Não</v>
      </c>
      <c r="O2821" t="str">
        <f>IFERROR(INDEX(tEditais[SRP],MATCH(tItens[[#This Row],[Edital]],tEditais[Edital],0)),"Não")</f>
        <v>Sim</v>
      </c>
      <c r="P2821" s="4">
        <f>IF(COUNTIFS(INDEX(tItens[Edital],1):tItens[[#This Row],[Edital]],tItens[[#This Row],[Edital]],INDEX(tItens[Produto],1):tItens[[#This Row],[Produto]],tItens[[#This Row],[Produto]])=1,1,0)</f>
        <v>1</v>
      </c>
    </row>
    <row r="2822" spans="1:16" x14ac:dyDescent="0.25">
      <c r="A2822" t="s">
        <v>1312</v>
      </c>
      <c r="B2822">
        <v>8036796</v>
      </c>
      <c r="C2822" t="s">
        <v>5753</v>
      </c>
      <c r="D2822" t="s">
        <v>86</v>
      </c>
      <c r="E2822" s="13">
        <v>10</v>
      </c>
      <c r="F2822" s="12">
        <v>21.36</v>
      </c>
      <c r="G2822" t="str">
        <f>IFERROR(INDEX(tEditais[Órgão],MATCH(tItens[[#This Row],[Edital]],tEditais[Edital],0)),"")</f>
        <v>MUNICIPIO DE AGUA COMPRIDA</v>
      </c>
      <c r="H2822" t="str">
        <f>IFERROR(INDEX(tEditais[UF],MATCH(tItens[[#This Row],[Edital]],tEditais[Edital],0)),"")</f>
        <v>MG</v>
      </c>
      <c r="I2822" s="11">
        <f>IFERROR(INDEX(tEditais[Encerramento],MATCH(tItens[[#This Row],[Edital]],tEditais[Edital],0)),"")</f>
        <v>46304.375</v>
      </c>
      <c r="J2822" t="str">
        <f>IFERROR(INDEX(tProdutos[Classe],MATCH(tItens[[#This Row],[Produto]],tProdutos[Produto],0)),"produto não cadastrado")</f>
        <v>NÚCLEO</v>
      </c>
      <c r="K2822" s="12">
        <f>tItens[[#This Row],[Qtd]]*tItens[[#This Row],[Vlr unit]]</f>
        <v>213.6</v>
      </c>
      <c r="L2822" s="6">
        <f>IFERROR(IF(INDEX(tProdutos[Desconto homologado],MATCH(tItens[[#This Row],[Produto]],tProdutos[Produto],0))="",DescontoPadrao,INDEX(tProdutos[Desconto homologado],MATCH(tItens[[#This Row],[Produto]],tProdutos[Produto],0))),DescontoPadrao)</f>
        <v>0.20202020202020199</v>
      </c>
      <c r="M2822" s="12">
        <f>tItens[[#This Row],[Valor]]*(1-tItens[[#This Row],[Desconto]])</f>
        <v>170.44848484848484</v>
      </c>
      <c r="N2822" t="str">
        <f>IFERROR(INDEX(tProdutos[Foco],MATCH(tItens[[#This Row],[Produto]],tProdutos[Produto],0)),"Não")</f>
        <v>Não</v>
      </c>
      <c r="O2822" t="str">
        <f>IFERROR(INDEX(tEditais[SRP],MATCH(tItens[[#This Row],[Edital]],tEditais[Edital],0)),"Não")</f>
        <v>Sim</v>
      </c>
      <c r="P2822" s="4">
        <f>IF(COUNTIFS(INDEX(tItens[Edital],1):tItens[[#This Row],[Edital]],tItens[[#This Row],[Edital]],INDEX(tItens[Produto],1):tItens[[#This Row],[Produto]],tItens[[#This Row],[Produto]])=1,1,0)</f>
        <v>0</v>
      </c>
    </row>
    <row r="2823" spans="1:16" x14ac:dyDescent="0.25">
      <c r="A2823" t="s">
        <v>1312</v>
      </c>
      <c r="B2823">
        <v>8036798</v>
      </c>
      <c r="C2823" t="s">
        <v>5754</v>
      </c>
      <c r="D2823" t="s">
        <v>377</v>
      </c>
      <c r="E2823" s="13">
        <v>20</v>
      </c>
      <c r="F2823" s="12">
        <v>28.81</v>
      </c>
      <c r="G2823" t="str">
        <f>IFERROR(INDEX(tEditais[Órgão],MATCH(tItens[[#This Row],[Edital]],tEditais[Edital],0)),"")</f>
        <v>MUNICIPIO DE AGUA COMPRIDA</v>
      </c>
      <c r="H2823" t="str">
        <f>IFERROR(INDEX(tEditais[UF],MATCH(tItens[[#This Row],[Edital]],tEditais[Edital],0)),"")</f>
        <v>MG</v>
      </c>
      <c r="I2823" s="11">
        <f>IFERROR(INDEX(tEditais[Encerramento],MATCH(tItens[[#This Row],[Edital]],tEditais[Edital],0)),"")</f>
        <v>46304.375</v>
      </c>
      <c r="J2823" t="str">
        <f>IFERROR(INDEX(tProdutos[Classe],MATCH(tItens[[#This Row],[Produto]],tProdutos[Produto],0)),"produto não cadastrado")</f>
        <v>FORA</v>
      </c>
      <c r="K2823" s="12">
        <f>tItens[[#This Row],[Qtd]]*tItens[[#This Row],[Vlr unit]]</f>
        <v>576.19999999999993</v>
      </c>
      <c r="L2823" s="6">
        <f>IFERROR(IF(INDEX(tProdutos[Desconto homologado],MATCH(tItens[[#This Row],[Produto]],tProdutos[Produto],0))="",DescontoPadrao,INDEX(tProdutos[Desconto homologado],MATCH(tItens[[#This Row],[Produto]],tProdutos[Produto],0))),DescontoPadrao)</f>
        <v>0.29186603777106501</v>
      </c>
      <c r="M2823" s="12">
        <f>tItens[[#This Row],[Valor]]*(1-tItens[[#This Row],[Desconto]])</f>
        <v>408.02678903631227</v>
      </c>
      <c r="N2823" t="str">
        <f>IFERROR(INDEX(tProdutos[Foco],MATCH(tItens[[#This Row],[Produto]],tProdutos[Produto],0)),"Não")</f>
        <v>Não</v>
      </c>
      <c r="O2823" t="str">
        <f>IFERROR(INDEX(tEditais[SRP],MATCH(tItens[[#This Row],[Edital]],tEditais[Edital],0)),"Não")</f>
        <v>Sim</v>
      </c>
      <c r="P2823" s="4">
        <f>IF(COUNTIFS(INDEX(tItens[Edital],1):tItens[[#This Row],[Edital]],tItens[[#This Row],[Edital]],INDEX(tItens[Produto],1):tItens[[#This Row],[Produto]],tItens[[#This Row],[Produto]])=1,1,0)</f>
        <v>0</v>
      </c>
    </row>
    <row r="2824" spans="1:16" x14ac:dyDescent="0.25">
      <c r="A2824" t="s">
        <v>1312</v>
      </c>
      <c r="B2824">
        <v>8036799</v>
      </c>
      <c r="C2824" t="s">
        <v>5755</v>
      </c>
      <c r="D2824" t="s">
        <v>377</v>
      </c>
      <c r="E2824" s="13">
        <v>10</v>
      </c>
      <c r="F2824" s="12">
        <v>29.24</v>
      </c>
      <c r="G2824" t="str">
        <f>IFERROR(INDEX(tEditais[Órgão],MATCH(tItens[[#This Row],[Edital]],tEditais[Edital],0)),"")</f>
        <v>MUNICIPIO DE AGUA COMPRIDA</v>
      </c>
      <c r="H2824" t="str">
        <f>IFERROR(INDEX(tEditais[UF],MATCH(tItens[[#This Row],[Edital]],tEditais[Edital],0)),"")</f>
        <v>MG</v>
      </c>
      <c r="I2824" s="11">
        <f>IFERROR(INDEX(tEditais[Encerramento],MATCH(tItens[[#This Row],[Edital]],tEditais[Edital],0)),"")</f>
        <v>46304.375</v>
      </c>
      <c r="J2824" t="str">
        <f>IFERROR(INDEX(tProdutos[Classe],MATCH(tItens[[#This Row],[Produto]],tProdutos[Produto],0)),"produto não cadastrado")</f>
        <v>FORA</v>
      </c>
      <c r="K2824" s="12">
        <f>tItens[[#This Row],[Qtd]]*tItens[[#This Row],[Vlr unit]]</f>
        <v>292.39999999999998</v>
      </c>
      <c r="L2824" s="6">
        <f>IFERROR(IF(INDEX(tProdutos[Desconto homologado],MATCH(tItens[[#This Row],[Produto]],tProdutos[Produto],0))="",DescontoPadrao,INDEX(tProdutos[Desconto homologado],MATCH(tItens[[#This Row],[Produto]],tProdutos[Produto],0))),DescontoPadrao)</f>
        <v>0.29186603777106501</v>
      </c>
      <c r="M2824" s="12">
        <f>tItens[[#This Row],[Valor]]*(1-tItens[[#This Row],[Desconto]])</f>
        <v>207.05837055574057</v>
      </c>
      <c r="N2824" t="str">
        <f>IFERROR(INDEX(tProdutos[Foco],MATCH(tItens[[#This Row],[Produto]],tProdutos[Produto],0)),"Não")</f>
        <v>Não</v>
      </c>
      <c r="O2824" t="str">
        <f>IFERROR(INDEX(tEditais[SRP],MATCH(tItens[[#This Row],[Edital]],tEditais[Edital],0)),"Não")</f>
        <v>Sim</v>
      </c>
      <c r="P2824" s="4">
        <f>IF(COUNTIFS(INDEX(tItens[Edital],1):tItens[[#This Row],[Edital]],tItens[[#This Row],[Edital]],INDEX(tItens[Produto],1):tItens[[#This Row],[Produto]],tItens[[#This Row],[Produto]])=1,1,0)</f>
        <v>0</v>
      </c>
    </row>
    <row r="2825" spans="1:16" x14ac:dyDescent="0.25">
      <c r="A2825" t="s">
        <v>1312</v>
      </c>
      <c r="B2825">
        <v>8036800</v>
      </c>
      <c r="C2825" t="s">
        <v>5756</v>
      </c>
      <c r="D2825" t="s">
        <v>377</v>
      </c>
      <c r="E2825" s="13">
        <v>10</v>
      </c>
      <c r="F2825" s="12">
        <v>31.41</v>
      </c>
      <c r="G2825" t="str">
        <f>IFERROR(INDEX(tEditais[Órgão],MATCH(tItens[[#This Row],[Edital]],tEditais[Edital],0)),"")</f>
        <v>MUNICIPIO DE AGUA COMPRIDA</v>
      </c>
      <c r="H2825" t="str">
        <f>IFERROR(INDEX(tEditais[UF],MATCH(tItens[[#This Row],[Edital]],tEditais[Edital],0)),"")</f>
        <v>MG</v>
      </c>
      <c r="I2825" s="11">
        <f>IFERROR(INDEX(tEditais[Encerramento],MATCH(tItens[[#This Row],[Edital]],tEditais[Edital],0)),"")</f>
        <v>46304.375</v>
      </c>
      <c r="J2825" t="str">
        <f>IFERROR(INDEX(tProdutos[Classe],MATCH(tItens[[#This Row],[Produto]],tProdutos[Produto],0)),"produto não cadastrado")</f>
        <v>FORA</v>
      </c>
      <c r="K2825" s="12">
        <f>tItens[[#This Row],[Qtd]]*tItens[[#This Row],[Vlr unit]]</f>
        <v>314.10000000000002</v>
      </c>
      <c r="L2825" s="6">
        <f>IFERROR(IF(INDEX(tProdutos[Desconto homologado],MATCH(tItens[[#This Row],[Produto]],tProdutos[Produto],0))="",DescontoPadrao,INDEX(tProdutos[Desconto homologado],MATCH(tItens[[#This Row],[Produto]],tProdutos[Produto],0))),DescontoPadrao)</f>
        <v>0.29186603777106501</v>
      </c>
      <c r="M2825" s="12">
        <f>tItens[[#This Row],[Valor]]*(1-tItens[[#This Row],[Desconto]])</f>
        <v>222.42487753610848</v>
      </c>
      <c r="N2825" t="str">
        <f>IFERROR(INDEX(tProdutos[Foco],MATCH(tItens[[#This Row],[Produto]],tProdutos[Produto],0)),"Não")</f>
        <v>Não</v>
      </c>
      <c r="O2825" t="str">
        <f>IFERROR(INDEX(tEditais[SRP],MATCH(tItens[[#This Row],[Edital]],tEditais[Edital],0)),"Não")</f>
        <v>Sim</v>
      </c>
      <c r="P2825" s="4">
        <f>IF(COUNTIFS(INDEX(tItens[Edital],1):tItens[[#This Row],[Edital]],tItens[[#This Row],[Edital]],INDEX(tItens[Produto],1):tItens[[#This Row],[Produto]],tItens[[#This Row],[Produto]])=1,1,0)</f>
        <v>0</v>
      </c>
    </row>
    <row r="2826" spans="1:16" x14ac:dyDescent="0.25">
      <c r="A2826" t="s">
        <v>1312</v>
      </c>
      <c r="B2826">
        <v>8036801</v>
      </c>
      <c r="C2826" t="s">
        <v>5757</v>
      </c>
      <c r="D2826" t="s">
        <v>377</v>
      </c>
      <c r="E2826" s="13">
        <v>10</v>
      </c>
      <c r="F2826" s="12">
        <v>30.31</v>
      </c>
      <c r="G2826" t="str">
        <f>IFERROR(INDEX(tEditais[Órgão],MATCH(tItens[[#This Row],[Edital]],tEditais[Edital],0)),"")</f>
        <v>MUNICIPIO DE AGUA COMPRIDA</v>
      </c>
      <c r="H2826" t="str">
        <f>IFERROR(INDEX(tEditais[UF],MATCH(tItens[[#This Row],[Edital]],tEditais[Edital],0)),"")</f>
        <v>MG</v>
      </c>
      <c r="I2826" s="11">
        <f>IFERROR(INDEX(tEditais[Encerramento],MATCH(tItens[[#This Row],[Edital]],tEditais[Edital],0)),"")</f>
        <v>46304.375</v>
      </c>
      <c r="J2826" t="str">
        <f>IFERROR(INDEX(tProdutos[Classe],MATCH(tItens[[#This Row],[Produto]],tProdutos[Produto],0)),"produto não cadastrado")</f>
        <v>FORA</v>
      </c>
      <c r="K2826" s="12">
        <f>tItens[[#This Row],[Qtd]]*tItens[[#This Row],[Vlr unit]]</f>
        <v>303.09999999999997</v>
      </c>
      <c r="L2826" s="6">
        <f>IFERROR(IF(INDEX(tProdutos[Desconto homologado],MATCH(tItens[[#This Row],[Produto]],tProdutos[Produto],0))="",DescontoPadrao,INDEX(tProdutos[Desconto homologado],MATCH(tItens[[#This Row],[Produto]],tProdutos[Produto],0))),DescontoPadrao)</f>
        <v>0.29186603777106501</v>
      </c>
      <c r="M2826" s="12">
        <f>tItens[[#This Row],[Valor]]*(1-tItens[[#This Row],[Desconto]])</f>
        <v>214.63540395159018</v>
      </c>
      <c r="N2826" t="str">
        <f>IFERROR(INDEX(tProdutos[Foco],MATCH(tItens[[#This Row],[Produto]],tProdutos[Produto],0)),"Não")</f>
        <v>Não</v>
      </c>
      <c r="O2826" t="str">
        <f>IFERROR(INDEX(tEditais[SRP],MATCH(tItens[[#This Row],[Edital]],tEditais[Edital],0)),"Não")</f>
        <v>Sim</v>
      </c>
      <c r="P2826" s="4">
        <f>IF(COUNTIFS(INDEX(tItens[Edital],1):tItens[[#This Row],[Edital]],tItens[[#This Row],[Edital]],INDEX(tItens[Produto],1):tItens[[#This Row],[Produto]],tItens[[#This Row],[Produto]])=1,1,0)</f>
        <v>0</v>
      </c>
    </row>
    <row r="2827" spans="1:16" x14ac:dyDescent="0.25">
      <c r="A2827" t="s">
        <v>1312</v>
      </c>
      <c r="B2827">
        <v>8036802</v>
      </c>
      <c r="C2827" t="s">
        <v>5758</v>
      </c>
      <c r="D2827" t="s">
        <v>313</v>
      </c>
      <c r="E2827" s="13">
        <v>60</v>
      </c>
      <c r="F2827" s="12">
        <v>30.39</v>
      </c>
      <c r="G2827" t="str">
        <f>IFERROR(INDEX(tEditais[Órgão],MATCH(tItens[[#This Row],[Edital]],tEditais[Edital],0)),"")</f>
        <v>MUNICIPIO DE AGUA COMPRIDA</v>
      </c>
      <c r="H2827" t="str">
        <f>IFERROR(INDEX(tEditais[UF],MATCH(tItens[[#This Row],[Edital]],tEditais[Edital],0)),"")</f>
        <v>MG</v>
      </c>
      <c r="I2827" s="11">
        <f>IFERROR(INDEX(tEditais[Encerramento],MATCH(tItens[[#This Row],[Edital]],tEditais[Edital],0)),"")</f>
        <v>46304.375</v>
      </c>
      <c r="J2827" t="str">
        <f>IFERROR(INDEX(tProdutos[Classe],MATCH(tItens[[#This Row],[Produto]],tProdutos[Produto],0)),"produto não cadastrado")</f>
        <v>FORA</v>
      </c>
      <c r="K2827" s="12">
        <f>tItens[[#This Row],[Qtd]]*tItens[[#This Row],[Vlr unit]]</f>
        <v>1823.4</v>
      </c>
      <c r="L2827" s="6">
        <f>IFERROR(IF(INDEX(tProdutos[Desconto homologado],MATCH(tItens[[#This Row],[Produto]],tProdutos[Produto],0))="",DescontoPadrao,INDEX(tProdutos[Desconto homologado],MATCH(tItens[[#This Row],[Produto]],tProdutos[Produto],0))),DescontoPadrao)</f>
        <v>0.35766373163696302</v>
      </c>
      <c r="M2827" s="12">
        <f>tItens[[#This Row],[Valor]]*(1-tItens[[#This Row],[Desconto]])</f>
        <v>1171.2359517331615</v>
      </c>
      <c r="N2827" t="str">
        <f>IFERROR(INDEX(tProdutos[Foco],MATCH(tItens[[#This Row],[Produto]],tProdutos[Produto],0)),"Não")</f>
        <v>Não</v>
      </c>
      <c r="O2827" t="str">
        <f>IFERROR(INDEX(tEditais[SRP],MATCH(tItens[[#This Row],[Edital]],tEditais[Edital],0)),"Não")</f>
        <v>Sim</v>
      </c>
      <c r="P2827" s="4">
        <f>IF(COUNTIFS(INDEX(tItens[Edital],1):tItens[[#This Row],[Edital]],tItens[[#This Row],[Edital]],INDEX(tItens[Produto],1):tItens[[#This Row],[Produto]],tItens[[#This Row],[Produto]])=1,1,0)</f>
        <v>0</v>
      </c>
    </row>
    <row r="2828" spans="1:16" x14ac:dyDescent="0.25">
      <c r="A2828" t="s">
        <v>1312</v>
      </c>
      <c r="B2828">
        <v>8036803</v>
      </c>
      <c r="C2828" t="s">
        <v>5759</v>
      </c>
      <c r="D2828" t="s">
        <v>313</v>
      </c>
      <c r="E2828" s="13">
        <v>15</v>
      </c>
      <c r="F2828" s="12">
        <v>29.59</v>
      </c>
      <c r="G2828" t="str">
        <f>IFERROR(INDEX(tEditais[Órgão],MATCH(tItens[[#This Row],[Edital]],tEditais[Edital],0)),"")</f>
        <v>MUNICIPIO DE AGUA COMPRIDA</v>
      </c>
      <c r="H2828" t="str">
        <f>IFERROR(INDEX(tEditais[UF],MATCH(tItens[[#This Row],[Edital]],tEditais[Edital],0)),"")</f>
        <v>MG</v>
      </c>
      <c r="I2828" s="11">
        <f>IFERROR(INDEX(tEditais[Encerramento],MATCH(tItens[[#This Row],[Edital]],tEditais[Edital],0)),"")</f>
        <v>46304.375</v>
      </c>
      <c r="J2828" t="str">
        <f>IFERROR(INDEX(tProdutos[Classe],MATCH(tItens[[#This Row],[Produto]],tProdutos[Produto],0)),"produto não cadastrado")</f>
        <v>FORA</v>
      </c>
      <c r="K2828" s="12">
        <f>tItens[[#This Row],[Qtd]]*tItens[[#This Row],[Vlr unit]]</f>
        <v>443.85</v>
      </c>
      <c r="L2828" s="6">
        <f>IFERROR(IF(INDEX(tProdutos[Desconto homologado],MATCH(tItens[[#This Row],[Produto]],tProdutos[Produto],0))="",DescontoPadrao,INDEX(tProdutos[Desconto homologado],MATCH(tItens[[#This Row],[Produto]],tProdutos[Produto],0))),DescontoPadrao)</f>
        <v>0.35766373163696302</v>
      </c>
      <c r="M2828" s="12">
        <f>tItens[[#This Row],[Valor]]*(1-tItens[[#This Row],[Desconto]])</f>
        <v>285.10095271293397</v>
      </c>
      <c r="N2828" t="str">
        <f>IFERROR(INDEX(tProdutos[Foco],MATCH(tItens[[#This Row],[Produto]],tProdutos[Produto],0)),"Não")</f>
        <v>Não</v>
      </c>
      <c r="O2828" t="str">
        <f>IFERROR(INDEX(tEditais[SRP],MATCH(tItens[[#This Row],[Edital]],tEditais[Edital],0)),"Não")</f>
        <v>Sim</v>
      </c>
      <c r="P2828" s="4">
        <f>IF(COUNTIFS(INDEX(tItens[Edital],1):tItens[[#This Row],[Edital]],tItens[[#This Row],[Edital]],INDEX(tItens[Produto],1):tItens[[#This Row],[Produto]],tItens[[#This Row],[Produto]])=1,1,0)</f>
        <v>0</v>
      </c>
    </row>
    <row r="2829" spans="1:16" x14ac:dyDescent="0.25">
      <c r="A2829" t="s">
        <v>1312</v>
      </c>
      <c r="B2829">
        <v>8036804</v>
      </c>
      <c r="C2829" t="s">
        <v>5760</v>
      </c>
      <c r="D2829" t="s">
        <v>313</v>
      </c>
      <c r="E2829" s="13">
        <v>10</v>
      </c>
      <c r="F2829" s="12">
        <v>30.44</v>
      </c>
      <c r="G2829" t="str">
        <f>IFERROR(INDEX(tEditais[Órgão],MATCH(tItens[[#This Row],[Edital]],tEditais[Edital],0)),"")</f>
        <v>MUNICIPIO DE AGUA COMPRIDA</v>
      </c>
      <c r="H2829" t="str">
        <f>IFERROR(INDEX(tEditais[UF],MATCH(tItens[[#This Row],[Edital]],tEditais[Edital],0)),"")</f>
        <v>MG</v>
      </c>
      <c r="I2829" s="11">
        <f>IFERROR(INDEX(tEditais[Encerramento],MATCH(tItens[[#This Row],[Edital]],tEditais[Edital],0)),"")</f>
        <v>46304.375</v>
      </c>
      <c r="J2829" t="str">
        <f>IFERROR(INDEX(tProdutos[Classe],MATCH(tItens[[#This Row],[Produto]],tProdutos[Produto],0)),"produto não cadastrado")</f>
        <v>FORA</v>
      </c>
      <c r="K2829" s="12">
        <f>tItens[[#This Row],[Qtd]]*tItens[[#This Row],[Vlr unit]]</f>
        <v>304.40000000000003</v>
      </c>
      <c r="L2829" s="6">
        <f>IFERROR(IF(INDEX(tProdutos[Desconto homologado],MATCH(tItens[[#This Row],[Produto]],tProdutos[Produto],0))="",DescontoPadrao,INDEX(tProdutos[Desconto homologado],MATCH(tItens[[#This Row],[Produto]],tProdutos[Produto],0))),DescontoPadrao)</f>
        <v>0.35766373163696302</v>
      </c>
      <c r="M2829" s="12">
        <f>tItens[[#This Row],[Valor]]*(1-tItens[[#This Row],[Desconto]])</f>
        <v>195.52716008970847</v>
      </c>
      <c r="N2829" t="str">
        <f>IFERROR(INDEX(tProdutos[Foco],MATCH(tItens[[#This Row],[Produto]],tProdutos[Produto],0)),"Não")</f>
        <v>Não</v>
      </c>
      <c r="O2829" t="str">
        <f>IFERROR(INDEX(tEditais[SRP],MATCH(tItens[[#This Row],[Edital]],tEditais[Edital],0)),"Não")</f>
        <v>Sim</v>
      </c>
      <c r="P2829" s="4">
        <f>IF(COUNTIFS(INDEX(tItens[Edital],1):tItens[[#This Row],[Edital]],tItens[[#This Row],[Edital]],INDEX(tItens[Produto],1):tItens[[#This Row],[Produto]],tItens[[#This Row],[Produto]])=1,1,0)</f>
        <v>0</v>
      </c>
    </row>
    <row r="2830" spans="1:16" x14ac:dyDescent="0.25">
      <c r="A2830" t="s">
        <v>1312</v>
      </c>
      <c r="B2830">
        <v>8036807</v>
      </c>
      <c r="C2830" t="s">
        <v>5761</v>
      </c>
      <c r="D2830" t="s">
        <v>241</v>
      </c>
      <c r="E2830" s="13">
        <v>70</v>
      </c>
      <c r="F2830" s="12">
        <v>14</v>
      </c>
      <c r="G2830" t="str">
        <f>IFERROR(INDEX(tEditais[Órgão],MATCH(tItens[[#This Row],[Edital]],tEditais[Edital],0)),"")</f>
        <v>MUNICIPIO DE AGUA COMPRIDA</v>
      </c>
      <c r="H2830" t="str">
        <f>IFERROR(INDEX(tEditais[UF],MATCH(tItens[[#This Row],[Edital]],tEditais[Edital],0)),"")</f>
        <v>MG</v>
      </c>
      <c r="I2830" s="11">
        <f>IFERROR(INDEX(tEditais[Encerramento],MATCH(tItens[[#This Row],[Edital]],tEditais[Edital],0)),"")</f>
        <v>46304.375</v>
      </c>
      <c r="J2830" t="str">
        <f>IFERROR(INDEX(tProdutos[Classe],MATCH(tItens[[#This Row],[Produto]],tProdutos[Produto],0)),"produto não cadastrado")</f>
        <v>DISPUTADO</v>
      </c>
      <c r="K2830" s="12">
        <f>tItens[[#This Row],[Qtd]]*tItens[[#This Row],[Vlr unit]]</f>
        <v>980</v>
      </c>
      <c r="L2830" s="6">
        <f>IFERROR(IF(INDEX(tProdutos[Desconto homologado],MATCH(tItens[[#This Row],[Produto]],tProdutos[Produto],0))="",DescontoPadrao,INDEX(tProdutos[Desconto homologado],MATCH(tItens[[#This Row],[Produto]],tProdutos[Produto],0))),DescontoPadrao)</f>
        <v>0.36881329157903497</v>
      </c>
      <c r="M2830" s="12">
        <f>tItens[[#This Row],[Valor]]*(1-tItens[[#This Row],[Desconto]])</f>
        <v>618.5629742525457</v>
      </c>
      <c r="N2830" t="str">
        <f>IFERROR(INDEX(tProdutos[Foco],MATCH(tItens[[#This Row],[Produto]],tProdutos[Produto],0)),"Não")</f>
        <v>Não</v>
      </c>
      <c r="O2830" t="str">
        <f>IFERROR(INDEX(tEditais[SRP],MATCH(tItens[[#This Row],[Edital]],tEditais[Edital],0)),"Não")</f>
        <v>Sim</v>
      </c>
      <c r="P2830" s="4">
        <f>IF(COUNTIFS(INDEX(tItens[Edital],1):tItens[[#This Row],[Edital]],tItens[[#This Row],[Edital]],INDEX(tItens[Produto],1):tItens[[#This Row],[Produto]],tItens[[#This Row],[Produto]])=1,1,0)</f>
        <v>0</v>
      </c>
    </row>
    <row r="2831" spans="1:16" x14ac:dyDescent="0.25">
      <c r="A2831" t="s">
        <v>1312</v>
      </c>
      <c r="B2831">
        <v>8036808</v>
      </c>
      <c r="C2831" t="s">
        <v>5762</v>
      </c>
      <c r="D2831" t="s">
        <v>114</v>
      </c>
      <c r="E2831" s="13">
        <v>10</v>
      </c>
      <c r="F2831" s="12">
        <v>14.12</v>
      </c>
      <c r="G2831" t="str">
        <f>IFERROR(INDEX(tEditais[Órgão],MATCH(tItens[[#This Row],[Edital]],tEditais[Edital],0)),"")</f>
        <v>MUNICIPIO DE AGUA COMPRIDA</v>
      </c>
      <c r="H2831" t="str">
        <f>IFERROR(INDEX(tEditais[UF],MATCH(tItens[[#This Row],[Edital]],tEditais[Edital],0)),"")</f>
        <v>MG</v>
      </c>
      <c r="I2831" s="11">
        <f>IFERROR(INDEX(tEditais[Encerramento],MATCH(tItens[[#This Row],[Edital]],tEditais[Edital],0)),"")</f>
        <v>46304.375</v>
      </c>
      <c r="J2831" t="str">
        <f>IFERROR(INDEX(tProdutos[Classe],MATCH(tItens[[#This Row],[Produto]],tProdutos[Produto],0)),"produto não cadastrado")</f>
        <v>DISPUTADO</v>
      </c>
      <c r="K2831" s="12">
        <f>tItens[[#This Row],[Qtd]]*tItens[[#This Row],[Vlr unit]]</f>
        <v>141.19999999999999</v>
      </c>
      <c r="L2831" s="6">
        <f>IFERROR(IF(INDEX(tProdutos[Desconto homologado],MATCH(tItens[[#This Row],[Produto]],tProdutos[Produto],0))="",DescontoPadrao,INDEX(tProdutos[Desconto homologado],MATCH(tItens[[#This Row],[Produto]],tProdutos[Produto],0))),DescontoPadrao)</f>
        <v>0.24332656063896899</v>
      </c>
      <c r="M2831" s="12">
        <f>tItens[[#This Row],[Valor]]*(1-tItens[[#This Row],[Desconto]])</f>
        <v>106.84228963777757</v>
      </c>
      <c r="N2831" t="str">
        <f>IFERROR(INDEX(tProdutos[Foco],MATCH(tItens[[#This Row],[Produto]],tProdutos[Produto],0)),"Não")</f>
        <v>Não</v>
      </c>
      <c r="O2831" t="str">
        <f>IFERROR(INDEX(tEditais[SRP],MATCH(tItens[[#This Row],[Edital]],tEditais[Edital],0)),"Não")</f>
        <v>Sim</v>
      </c>
      <c r="P2831" s="4">
        <f>IF(COUNTIFS(INDEX(tItens[Edital],1):tItens[[#This Row],[Edital]],tItens[[#This Row],[Edital]],INDEX(tItens[Produto],1):tItens[[#This Row],[Produto]],tItens[[#This Row],[Produto]])=1,1,0)</f>
        <v>0</v>
      </c>
    </row>
    <row r="2832" spans="1:16" x14ac:dyDescent="0.25">
      <c r="A2832" t="s">
        <v>1312</v>
      </c>
      <c r="B2832">
        <v>8036810</v>
      </c>
      <c r="C2832" t="s">
        <v>5763</v>
      </c>
      <c r="D2832" t="s">
        <v>71</v>
      </c>
      <c r="E2832" s="13">
        <v>15</v>
      </c>
      <c r="F2832" s="12">
        <v>51.9</v>
      </c>
      <c r="G2832" t="str">
        <f>IFERROR(INDEX(tEditais[Órgão],MATCH(tItens[[#This Row],[Edital]],tEditais[Edital],0)),"")</f>
        <v>MUNICIPIO DE AGUA COMPRIDA</v>
      </c>
      <c r="H2832" t="str">
        <f>IFERROR(INDEX(tEditais[UF],MATCH(tItens[[#This Row],[Edital]],tEditais[Edital],0)),"")</f>
        <v>MG</v>
      </c>
      <c r="I2832" s="11">
        <f>IFERROR(INDEX(tEditais[Encerramento],MATCH(tItens[[#This Row],[Edital]],tEditais[Edital],0)),"")</f>
        <v>46304.375</v>
      </c>
      <c r="J2832" t="str">
        <f>IFERROR(INDEX(tProdutos[Classe],MATCH(tItens[[#This Row],[Produto]],tProdutos[Produto],0)),"produto não cadastrado")</f>
        <v>NÚCLEO</v>
      </c>
      <c r="K2832" s="12">
        <f>tItens[[#This Row],[Qtd]]*tItens[[#This Row],[Vlr unit]]</f>
        <v>778.5</v>
      </c>
      <c r="L2832" s="6">
        <f>IFERROR(IF(INDEX(tProdutos[Desconto homologado],MATCH(tItens[[#This Row],[Produto]],tProdutos[Produto],0))="",DescontoPadrao,INDEX(tProdutos[Desconto homologado],MATCH(tItens[[#This Row],[Produto]],tProdutos[Produto],0))),DescontoPadrao)</f>
        <v>0.44981412639405199</v>
      </c>
      <c r="M2832" s="12">
        <f>tItens[[#This Row],[Valor]]*(1-tItens[[#This Row],[Desconto]])</f>
        <v>428.31970260223051</v>
      </c>
      <c r="N2832" t="str">
        <f>IFERROR(INDEX(tProdutos[Foco],MATCH(tItens[[#This Row],[Produto]],tProdutos[Produto],0)),"Não")</f>
        <v>Não</v>
      </c>
      <c r="O2832" t="str">
        <f>IFERROR(INDEX(tEditais[SRP],MATCH(tItens[[#This Row],[Edital]],tEditais[Edital],0)),"Não")</f>
        <v>Sim</v>
      </c>
      <c r="P2832" s="4">
        <f>IF(COUNTIFS(INDEX(tItens[Edital],1):tItens[[#This Row],[Edital]],tItens[[#This Row],[Edital]],INDEX(tItens[Produto],1):tItens[[#This Row],[Produto]],tItens[[#This Row],[Produto]])=1,1,0)</f>
        <v>0</v>
      </c>
    </row>
    <row r="2833" spans="1:16" x14ac:dyDescent="0.25">
      <c r="A2833" t="s">
        <v>1312</v>
      </c>
      <c r="B2833">
        <v>8036821</v>
      </c>
      <c r="C2833" t="s">
        <v>5764</v>
      </c>
      <c r="D2833" t="s">
        <v>56</v>
      </c>
      <c r="E2833" s="13">
        <v>2</v>
      </c>
      <c r="F2833" s="12">
        <v>40.58</v>
      </c>
      <c r="G2833" t="str">
        <f>IFERROR(INDEX(tEditais[Órgão],MATCH(tItens[[#This Row],[Edital]],tEditais[Edital],0)),"")</f>
        <v>MUNICIPIO DE AGUA COMPRIDA</v>
      </c>
      <c r="H2833" t="str">
        <f>IFERROR(INDEX(tEditais[UF],MATCH(tItens[[#This Row],[Edital]],tEditais[Edital],0)),"")</f>
        <v>MG</v>
      </c>
      <c r="I2833" s="11">
        <f>IFERROR(INDEX(tEditais[Encerramento],MATCH(tItens[[#This Row],[Edital]],tEditais[Edital],0)),"")</f>
        <v>46304.375</v>
      </c>
      <c r="J2833" t="str">
        <f>IFERROR(INDEX(tProdutos[Classe],MATCH(tItens[[#This Row],[Produto]],tProdutos[Produto],0)),"produto não cadastrado")</f>
        <v>NÚCLEO</v>
      </c>
      <c r="K2833" s="12">
        <f>tItens[[#This Row],[Qtd]]*tItens[[#This Row],[Vlr unit]]</f>
        <v>81.16</v>
      </c>
      <c r="L2833" s="6">
        <f>IFERROR(IF(INDEX(tProdutos[Desconto homologado],MATCH(tItens[[#This Row],[Produto]],tProdutos[Produto],0))="",DescontoPadrao,INDEX(tProdutos[Desconto homologado],MATCH(tItens[[#This Row],[Produto]],tProdutos[Produto],0))),DescontoPadrao)</f>
        <v>0.34</v>
      </c>
      <c r="M2833" s="12">
        <f>tItens[[#This Row],[Valor]]*(1-tItens[[#This Row],[Desconto]])</f>
        <v>53.565599999999989</v>
      </c>
      <c r="N2833" t="str">
        <f>IFERROR(INDEX(tProdutos[Foco],MATCH(tItens[[#This Row],[Produto]],tProdutos[Produto],0)),"Não")</f>
        <v>Sim</v>
      </c>
      <c r="O2833" t="str">
        <f>IFERROR(INDEX(tEditais[SRP],MATCH(tItens[[#This Row],[Edital]],tEditais[Edital],0)),"Não")</f>
        <v>Sim</v>
      </c>
      <c r="P2833" s="4">
        <f>IF(COUNTIFS(INDEX(tItens[Edital],1):tItens[[#This Row],[Edital]],tItens[[#This Row],[Edital]],INDEX(tItens[Produto],1):tItens[[#This Row],[Produto]],tItens[[#This Row],[Produto]])=1,1,0)</f>
        <v>0</v>
      </c>
    </row>
    <row r="2834" spans="1:16" x14ac:dyDescent="0.25">
      <c r="A2834" t="s">
        <v>1312</v>
      </c>
      <c r="B2834">
        <v>8036822</v>
      </c>
      <c r="C2834" t="s">
        <v>5765</v>
      </c>
      <c r="D2834" t="s">
        <v>56</v>
      </c>
      <c r="E2834" s="13">
        <v>2</v>
      </c>
      <c r="F2834" s="12">
        <v>44.92</v>
      </c>
      <c r="G2834" t="str">
        <f>IFERROR(INDEX(tEditais[Órgão],MATCH(tItens[[#This Row],[Edital]],tEditais[Edital],0)),"")</f>
        <v>MUNICIPIO DE AGUA COMPRIDA</v>
      </c>
      <c r="H2834" t="str">
        <f>IFERROR(INDEX(tEditais[UF],MATCH(tItens[[#This Row],[Edital]],tEditais[Edital],0)),"")</f>
        <v>MG</v>
      </c>
      <c r="I2834" s="11">
        <f>IFERROR(INDEX(tEditais[Encerramento],MATCH(tItens[[#This Row],[Edital]],tEditais[Edital],0)),"")</f>
        <v>46304.375</v>
      </c>
      <c r="J2834" t="str">
        <f>IFERROR(INDEX(tProdutos[Classe],MATCH(tItens[[#This Row],[Produto]],tProdutos[Produto],0)),"produto não cadastrado")</f>
        <v>NÚCLEO</v>
      </c>
      <c r="K2834" s="12">
        <f>tItens[[#This Row],[Qtd]]*tItens[[#This Row],[Vlr unit]]</f>
        <v>89.84</v>
      </c>
      <c r="L2834" s="6">
        <f>IFERROR(IF(INDEX(tProdutos[Desconto homologado],MATCH(tItens[[#This Row],[Produto]],tProdutos[Produto],0))="",DescontoPadrao,INDEX(tProdutos[Desconto homologado],MATCH(tItens[[#This Row],[Produto]],tProdutos[Produto],0))),DescontoPadrao)</f>
        <v>0.34</v>
      </c>
      <c r="M2834" s="12">
        <f>tItens[[#This Row],[Valor]]*(1-tItens[[#This Row],[Desconto]])</f>
        <v>59.294399999999996</v>
      </c>
      <c r="N2834" t="str">
        <f>IFERROR(INDEX(tProdutos[Foco],MATCH(tItens[[#This Row],[Produto]],tProdutos[Produto],0)),"Não")</f>
        <v>Sim</v>
      </c>
      <c r="O2834" t="str">
        <f>IFERROR(INDEX(tEditais[SRP],MATCH(tItens[[#This Row],[Edital]],tEditais[Edital],0)),"Não")</f>
        <v>Sim</v>
      </c>
      <c r="P2834" s="4">
        <f>IF(COUNTIFS(INDEX(tItens[Edital],1):tItens[[#This Row],[Edital]],tItens[[#This Row],[Edital]],INDEX(tItens[Produto],1):tItens[[#This Row],[Produto]],tItens[[#This Row],[Produto]])=1,1,0)</f>
        <v>0</v>
      </c>
    </row>
    <row r="2835" spans="1:16" x14ac:dyDescent="0.25">
      <c r="A2835" t="s">
        <v>1312</v>
      </c>
      <c r="B2835">
        <v>8036823</v>
      </c>
      <c r="C2835" t="s">
        <v>5766</v>
      </c>
      <c r="D2835" t="s">
        <v>281</v>
      </c>
      <c r="E2835" s="13">
        <v>200</v>
      </c>
      <c r="F2835" s="12">
        <v>0.54</v>
      </c>
      <c r="G2835" t="str">
        <f>IFERROR(INDEX(tEditais[Órgão],MATCH(tItens[[#This Row],[Edital]],tEditais[Edital],0)),"")</f>
        <v>MUNICIPIO DE AGUA COMPRIDA</v>
      </c>
      <c r="H2835" t="str">
        <f>IFERROR(INDEX(tEditais[UF],MATCH(tItens[[#This Row],[Edital]],tEditais[Edital],0)),"")</f>
        <v>MG</v>
      </c>
      <c r="I2835" s="11">
        <f>IFERROR(INDEX(tEditais[Encerramento],MATCH(tItens[[#This Row],[Edital]],tEditais[Edital],0)),"")</f>
        <v>46304.375</v>
      </c>
      <c r="J2835" t="str">
        <f>IFERROR(INDEX(tProdutos[Classe],MATCH(tItens[[#This Row],[Produto]],tProdutos[Produto],0)),"produto não cadastrado")</f>
        <v>DISPUTADO</v>
      </c>
      <c r="K2835" s="12">
        <f>tItens[[#This Row],[Qtd]]*tItens[[#This Row],[Vlr unit]]</f>
        <v>108</v>
      </c>
      <c r="L2835" s="6">
        <f>IFERROR(IF(INDEX(tProdutos[Desconto homologado],MATCH(tItens[[#This Row],[Produto]],tProdutos[Produto],0))="",DescontoPadrao,INDEX(tProdutos[Desconto homologado],MATCH(tItens[[#This Row],[Produto]],tProdutos[Produto],0))),DescontoPadrao)</f>
        <v>0.42461538461538501</v>
      </c>
      <c r="M2835" s="12">
        <f>tItens[[#This Row],[Valor]]*(1-tItens[[#This Row],[Desconto]])</f>
        <v>62.141538461538417</v>
      </c>
      <c r="N2835" t="str">
        <f>IFERROR(INDEX(tProdutos[Foco],MATCH(tItens[[#This Row],[Produto]],tProdutos[Produto],0)),"Não")</f>
        <v>Não</v>
      </c>
      <c r="O2835" t="str">
        <f>IFERROR(INDEX(tEditais[SRP],MATCH(tItens[[#This Row],[Edital]],tEditais[Edital],0)),"Não")</f>
        <v>Sim</v>
      </c>
      <c r="P2835" s="4">
        <f>IF(COUNTIFS(INDEX(tItens[Edital],1):tItens[[#This Row],[Edital]],tItens[[#This Row],[Edital]],INDEX(tItens[Produto],1):tItens[[#This Row],[Produto]],tItens[[#This Row],[Produto]])=1,1,0)</f>
        <v>0</v>
      </c>
    </row>
    <row r="2836" spans="1:16" x14ac:dyDescent="0.25">
      <c r="A2836" t="s">
        <v>1312</v>
      </c>
      <c r="B2836">
        <v>8036893</v>
      </c>
      <c r="C2836" t="s">
        <v>5767</v>
      </c>
      <c r="D2836" t="s">
        <v>100</v>
      </c>
      <c r="E2836" s="13">
        <v>100</v>
      </c>
      <c r="F2836" s="12">
        <v>60.53</v>
      </c>
      <c r="G2836" t="str">
        <f>IFERROR(INDEX(tEditais[Órgão],MATCH(tItens[[#This Row],[Edital]],tEditais[Edital],0)),"")</f>
        <v>MUNICIPIO DE AGUA COMPRIDA</v>
      </c>
      <c r="H2836" t="str">
        <f>IFERROR(INDEX(tEditais[UF],MATCH(tItens[[#This Row],[Edital]],tEditais[Edital],0)),"")</f>
        <v>MG</v>
      </c>
      <c r="I2836" s="11">
        <f>IFERROR(INDEX(tEditais[Encerramento],MATCH(tItens[[#This Row],[Edital]],tEditais[Edital],0)),"")</f>
        <v>46304.375</v>
      </c>
      <c r="J2836" t="str">
        <f>IFERROR(INDEX(tProdutos[Classe],MATCH(tItens[[#This Row],[Produto]],tProdutos[Produto],0)),"produto não cadastrado")</f>
        <v>NÚCLEO</v>
      </c>
      <c r="K2836" s="12">
        <f>tItens[[#This Row],[Qtd]]*tItens[[#This Row],[Vlr unit]]</f>
        <v>6053</v>
      </c>
      <c r="L2836" s="6">
        <f>IFERROR(IF(INDEX(tProdutos[Desconto homologado],MATCH(tItens[[#This Row],[Produto]],tProdutos[Produto],0))="",DescontoPadrao,INDEX(tProdutos[Desconto homologado],MATCH(tItens[[#This Row],[Produto]],tProdutos[Produto],0))),DescontoPadrao)</f>
        <v>0.24</v>
      </c>
      <c r="M2836" s="12">
        <f>tItens[[#This Row],[Valor]]*(1-tItens[[#This Row],[Desconto]])</f>
        <v>4600.28</v>
      </c>
      <c r="N2836" t="str">
        <f>IFERROR(INDEX(tProdutos[Foco],MATCH(tItens[[#This Row],[Produto]],tProdutos[Produto],0)),"Não")</f>
        <v>Sim</v>
      </c>
      <c r="O2836" t="str">
        <f>IFERROR(INDEX(tEditais[SRP],MATCH(tItens[[#This Row],[Edital]],tEditais[Edital],0)),"Não")</f>
        <v>Sim</v>
      </c>
      <c r="P2836" s="4">
        <f>IF(COUNTIFS(INDEX(tItens[Edital],1):tItens[[#This Row],[Edital]],tItens[[#This Row],[Edital]],INDEX(tItens[Produto],1):tItens[[#This Row],[Produto]],tItens[[#This Row],[Produto]])=1,1,0)</f>
        <v>0</v>
      </c>
    </row>
    <row r="2837" spans="1:16" x14ac:dyDescent="0.25">
      <c r="A2837" t="s">
        <v>1312</v>
      </c>
      <c r="B2837">
        <v>8036894</v>
      </c>
      <c r="C2837" t="s">
        <v>5768</v>
      </c>
      <c r="D2837" t="s">
        <v>100</v>
      </c>
      <c r="E2837" s="13">
        <v>100</v>
      </c>
      <c r="F2837" s="12">
        <v>34.979999999999997</v>
      </c>
      <c r="G2837" t="str">
        <f>IFERROR(INDEX(tEditais[Órgão],MATCH(tItens[[#This Row],[Edital]],tEditais[Edital],0)),"")</f>
        <v>MUNICIPIO DE AGUA COMPRIDA</v>
      </c>
      <c r="H2837" t="str">
        <f>IFERROR(INDEX(tEditais[UF],MATCH(tItens[[#This Row],[Edital]],tEditais[Edital],0)),"")</f>
        <v>MG</v>
      </c>
      <c r="I2837" s="11">
        <f>IFERROR(INDEX(tEditais[Encerramento],MATCH(tItens[[#This Row],[Edital]],tEditais[Edital],0)),"")</f>
        <v>46304.375</v>
      </c>
      <c r="J2837" t="str">
        <f>IFERROR(INDEX(tProdutos[Classe],MATCH(tItens[[#This Row],[Produto]],tProdutos[Produto],0)),"produto não cadastrado")</f>
        <v>NÚCLEO</v>
      </c>
      <c r="K2837" s="12">
        <f>tItens[[#This Row],[Qtd]]*tItens[[#This Row],[Vlr unit]]</f>
        <v>3497.9999999999995</v>
      </c>
      <c r="L2837" s="6">
        <f>IFERROR(IF(INDEX(tProdutos[Desconto homologado],MATCH(tItens[[#This Row],[Produto]],tProdutos[Produto],0))="",DescontoPadrao,INDEX(tProdutos[Desconto homologado],MATCH(tItens[[#This Row],[Produto]],tProdutos[Produto],0))),DescontoPadrao)</f>
        <v>0.24</v>
      </c>
      <c r="M2837" s="12">
        <f>tItens[[#This Row],[Valor]]*(1-tItens[[#This Row],[Desconto]])</f>
        <v>2658.4799999999996</v>
      </c>
      <c r="N2837" t="str">
        <f>IFERROR(INDEX(tProdutos[Foco],MATCH(tItens[[#This Row],[Produto]],tProdutos[Produto],0)),"Não")</f>
        <v>Sim</v>
      </c>
      <c r="O2837" t="str">
        <f>IFERROR(INDEX(tEditais[SRP],MATCH(tItens[[#This Row],[Edital]],tEditais[Edital],0)),"Não")</f>
        <v>Sim</v>
      </c>
      <c r="P2837" s="4">
        <f>IF(COUNTIFS(INDEX(tItens[Edital],1):tItens[[#This Row],[Edital]],tItens[[#This Row],[Edital]],INDEX(tItens[Produto],1):tItens[[#This Row],[Produto]],tItens[[#This Row],[Produto]])=1,1,0)</f>
        <v>0</v>
      </c>
    </row>
    <row r="2838" spans="1:16" x14ac:dyDescent="0.25">
      <c r="A2838" t="s">
        <v>1312</v>
      </c>
      <c r="B2838">
        <v>8036896</v>
      </c>
      <c r="C2838" t="s">
        <v>5769</v>
      </c>
      <c r="D2838" t="s">
        <v>411</v>
      </c>
      <c r="E2838" s="13">
        <v>60</v>
      </c>
      <c r="F2838" s="12">
        <v>39.74</v>
      </c>
      <c r="G2838" t="str">
        <f>IFERROR(INDEX(tEditais[Órgão],MATCH(tItens[[#This Row],[Edital]],tEditais[Edital],0)),"")</f>
        <v>MUNICIPIO DE AGUA COMPRIDA</v>
      </c>
      <c r="H2838" t="str">
        <f>IFERROR(INDEX(tEditais[UF],MATCH(tItens[[#This Row],[Edital]],tEditais[Edital],0)),"")</f>
        <v>MG</v>
      </c>
      <c r="I2838" s="11">
        <f>IFERROR(INDEX(tEditais[Encerramento],MATCH(tItens[[#This Row],[Edital]],tEditais[Edital],0)),"")</f>
        <v>46304.375</v>
      </c>
      <c r="J2838" t="str">
        <f>IFERROR(INDEX(tProdutos[Classe],MATCH(tItens[[#This Row],[Produto]],tProdutos[Produto],0)),"produto não cadastrado")</f>
        <v>FORA</v>
      </c>
      <c r="K2838" s="12">
        <f>tItens[[#This Row],[Qtd]]*tItens[[#This Row],[Vlr unit]]</f>
        <v>2384.4</v>
      </c>
      <c r="L2838" s="6">
        <f>IFERROR(IF(INDEX(tProdutos[Desconto homologado],MATCH(tItens[[#This Row],[Produto]],tProdutos[Produto],0))="",DescontoPadrao,INDEX(tProdutos[Desconto homologado],MATCH(tItens[[#This Row],[Produto]],tProdutos[Produto],0))),DescontoPadrao)</f>
        <v>0.50029835957199398</v>
      </c>
      <c r="M2838" s="12">
        <f>tItens[[#This Row],[Valor]]*(1-tItens[[#This Row],[Desconto]])</f>
        <v>1191.4885914365377</v>
      </c>
      <c r="N2838" t="str">
        <f>IFERROR(INDEX(tProdutos[Foco],MATCH(tItens[[#This Row],[Produto]],tProdutos[Produto],0)),"Não")</f>
        <v>Não</v>
      </c>
      <c r="O2838" t="str">
        <f>IFERROR(INDEX(tEditais[SRP],MATCH(tItens[[#This Row],[Edital]],tEditais[Edital],0)),"Não")</f>
        <v>Sim</v>
      </c>
      <c r="P2838" s="4">
        <f>IF(COUNTIFS(INDEX(tItens[Edital],1):tItens[[#This Row],[Edital]],tItens[[#This Row],[Edital]],INDEX(tItens[Produto],1):tItens[[#This Row],[Produto]],tItens[[#This Row],[Produto]])=1,1,0)</f>
        <v>0</v>
      </c>
    </row>
    <row r="2839" spans="1:16" x14ac:dyDescent="0.25">
      <c r="A2839" t="s">
        <v>1312</v>
      </c>
      <c r="B2839">
        <v>8036897</v>
      </c>
      <c r="C2839" t="s">
        <v>5770</v>
      </c>
      <c r="D2839" t="s">
        <v>104</v>
      </c>
      <c r="E2839" s="13">
        <v>10</v>
      </c>
      <c r="F2839" s="12">
        <v>87.11</v>
      </c>
      <c r="G2839" t="str">
        <f>IFERROR(INDEX(tEditais[Órgão],MATCH(tItens[[#This Row],[Edital]],tEditais[Edital],0)),"")</f>
        <v>MUNICIPIO DE AGUA COMPRIDA</v>
      </c>
      <c r="H2839" t="str">
        <f>IFERROR(INDEX(tEditais[UF],MATCH(tItens[[#This Row],[Edital]],tEditais[Edital],0)),"")</f>
        <v>MG</v>
      </c>
      <c r="I2839" s="11">
        <f>IFERROR(INDEX(tEditais[Encerramento],MATCH(tItens[[#This Row],[Edital]],tEditais[Edital],0)),"")</f>
        <v>46304.375</v>
      </c>
      <c r="J2839" t="str">
        <f>IFERROR(INDEX(tProdutos[Classe],MATCH(tItens[[#This Row],[Produto]],tProdutos[Produto],0)),"produto não cadastrado")</f>
        <v>DISPUTADO</v>
      </c>
      <c r="K2839" s="12">
        <f>tItens[[#This Row],[Qtd]]*tItens[[#This Row],[Vlr unit]]</f>
        <v>871.1</v>
      </c>
      <c r="L2839" s="6">
        <f>IFERROR(IF(INDEX(tProdutos[Desconto homologado],MATCH(tItens[[#This Row],[Produto]],tProdutos[Produto],0))="",DescontoPadrao,INDEX(tProdutos[Desconto homologado],MATCH(tItens[[#This Row],[Produto]],tProdutos[Produto],0))),DescontoPadrao)</f>
        <v>0.51</v>
      </c>
      <c r="M2839" s="12">
        <f>tItens[[#This Row],[Valor]]*(1-tItens[[#This Row],[Desconto]])</f>
        <v>426.839</v>
      </c>
      <c r="N2839" t="str">
        <f>IFERROR(INDEX(tProdutos[Foco],MATCH(tItens[[#This Row],[Produto]],tProdutos[Produto],0)),"Não")</f>
        <v>Sim</v>
      </c>
      <c r="O2839" t="str">
        <f>IFERROR(INDEX(tEditais[SRP],MATCH(tItens[[#This Row],[Edital]],tEditais[Edital],0)),"Não")</f>
        <v>Sim</v>
      </c>
      <c r="P2839" s="4">
        <f>IF(COUNTIFS(INDEX(tItens[Edital],1):tItens[[#This Row],[Edital]],tItens[[#This Row],[Edital]],INDEX(tItens[Produto],1):tItens[[#This Row],[Produto]],tItens[[#This Row],[Produto]])=1,1,0)</f>
        <v>0</v>
      </c>
    </row>
    <row r="2840" spans="1:16" x14ac:dyDescent="0.25">
      <c r="A2840" t="s">
        <v>1312</v>
      </c>
      <c r="B2840">
        <v>8036899</v>
      </c>
      <c r="C2840" t="s">
        <v>5771</v>
      </c>
      <c r="D2840" t="s">
        <v>383</v>
      </c>
      <c r="E2840" s="13">
        <v>100</v>
      </c>
      <c r="F2840" s="12">
        <v>0.93</v>
      </c>
      <c r="G2840" t="str">
        <f>IFERROR(INDEX(tEditais[Órgão],MATCH(tItens[[#This Row],[Edital]],tEditais[Edital],0)),"")</f>
        <v>MUNICIPIO DE AGUA COMPRIDA</v>
      </c>
      <c r="H2840" t="str">
        <f>IFERROR(INDEX(tEditais[UF],MATCH(tItens[[#This Row],[Edital]],tEditais[Edital],0)),"")</f>
        <v>MG</v>
      </c>
      <c r="I2840" s="11">
        <f>IFERROR(INDEX(tEditais[Encerramento],MATCH(tItens[[#This Row],[Edital]],tEditais[Edital],0)),"")</f>
        <v>46304.375</v>
      </c>
      <c r="J2840" t="str">
        <f>IFERROR(INDEX(tProdutos[Classe],MATCH(tItens[[#This Row],[Produto]],tProdutos[Produto],0)),"produto não cadastrado")</f>
        <v>FORA</v>
      </c>
      <c r="K2840" s="12">
        <f>tItens[[#This Row],[Qtd]]*tItens[[#This Row],[Vlr unit]]</f>
        <v>93</v>
      </c>
      <c r="L2840" s="6">
        <f>IFERROR(IF(INDEX(tProdutos[Desconto homologado],MATCH(tItens[[#This Row],[Produto]],tProdutos[Produto],0))="",DescontoPadrao,INDEX(tProdutos[Desconto homologado],MATCH(tItens[[#This Row],[Produto]],tProdutos[Produto],0))),DescontoPadrao)</f>
        <v>0.48749999999999999</v>
      </c>
      <c r="M2840" s="12">
        <f>tItens[[#This Row],[Valor]]*(1-tItens[[#This Row],[Desconto]])</f>
        <v>47.662499999999994</v>
      </c>
      <c r="N2840" t="str">
        <f>IFERROR(INDEX(tProdutos[Foco],MATCH(tItens[[#This Row],[Produto]],tProdutos[Produto],0)),"Não")</f>
        <v>Não</v>
      </c>
      <c r="O2840" t="str">
        <f>IFERROR(INDEX(tEditais[SRP],MATCH(tItens[[#This Row],[Edital]],tEditais[Edital],0)),"Não")</f>
        <v>Sim</v>
      </c>
      <c r="P2840" s="4">
        <f>IF(COUNTIFS(INDEX(tItens[Edital],1):tItens[[#This Row],[Edital]],tItens[[#This Row],[Edital]],INDEX(tItens[Produto],1):tItens[[#This Row],[Produto]],tItens[[#This Row],[Produto]])=1,1,0)</f>
        <v>0</v>
      </c>
    </row>
    <row r="2841" spans="1:16" x14ac:dyDescent="0.25">
      <c r="A2841" t="s">
        <v>1317</v>
      </c>
      <c r="B2841">
        <v>1</v>
      </c>
      <c r="C2841" t="s">
        <v>5772</v>
      </c>
      <c r="D2841" t="s">
        <v>554</v>
      </c>
      <c r="E2841" s="13">
        <v>60</v>
      </c>
      <c r="F2841" s="12">
        <v>0</v>
      </c>
      <c r="G2841" t="str">
        <f>IFERROR(INDEX(tEditais[Órgão],MATCH(tItens[[#This Row],[Edital]],tEditais[Edital],0)),"")</f>
        <v>INSTITUTO DE PREVIDENCIA DOS SERVIDORES DO ESTADO MG</v>
      </c>
      <c r="H2841" t="str">
        <f>IFERROR(INDEX(tEditais[UF],MATCH(tItens[[#This Row],[Edital]],tEditais[Edital],0)),"")</f>
        <v>MG</v>
      </c>
      <c r="I2841" s="11">
        <f>IFERROR(INDEX(tEditais[Encerramento],MATCH(tItens[[#This Row],[Edital]],tEditais[Edital],0)),"")</f>
        <v>46304.375</v>
      </c>
      <c r="J2841" t="str">
        <f>IFERROR(INDEX(tProdutos[Classe],MATCH(tItens[[#This Row],[Produto]],tProdutos[Produto],0)),"produto não cadastrado")</f>
        <v>FILA REBASE</v>
      </c>
      <c r="K2841" s="12">
        <f>tItens[[#This Row],[Qtd]]*tItens[[#This Row],[Vlr unit]]</f>
        <v>0</v>
      </c>
      <c r="L2841" s="6">
        <f>IFERROR(IF(INDEX(tProdutos[Desconto homologado],MATCH(tItens[[#This Row],[Produto]],tProdutos[Produto],0))="",DescontoPadrao,INDEX(tProdutos[Desconto homologado],MATCH(tItens[[#This Row],[Produto]],tProdutos[Produto],0))),DescontoPadrao)</f>
        <v>0.3</v>
      </c>
      <c r="M2841" s="12">
        <f>tItens[[#This Row],[Valor]]*(1-tItens[[#This Row],[Desconto]])</f>
        <v>0</v>
      </c>
      <c r="N2841" t="str">
        <f>IFERROR(INDEX(tProdutos[Foco],MATCH(tItens[[#This Row],[Produto]],tProdutos[Produto],0)),"Não")</f>
        <v>Não</v>
      </c>
      <c r="O2841" t="str">
        <f>IFERROR(INDEX(tEditais[SRP],MATCH(tItens[[#This Row],[Edital]],tEditais[Edital],0)),"Não")</f>
        <v>Não</v>
      </c>
      <c r="P2841" s="4">
        <f>IF(COUNTIFS(INDEX(tItens[Edital],1):tItens[[#This Row],[Edital]],tItens[[#This Row],[Edital]],INDEX(tItens[Produto],1):tItens[[#This Row],[Produto]],tItens[[#This Row],[Produto]])=1,1,0)</f>
        <v>1</v>
      </c>
    </row>
    <row r="2842" spans="1:16" x14ac:dyDescent="0.25">
      <c r="A2842" t="s">
        <v>1317</v>
      </c>
      <c r="B2842">
        <v>5</v>
      </c>
      <c r="C2842" t="s">
        <v>5773</v>
      </c>
      <c r="D2842" t="s">
        <v>554</v>
      </c>
      <c r="E2842" s="13">
        <v>60</v>
      </c>
      <c r="F2842" s="12">
        <v>0</v>
      </c>
      <c r="G2842" t="str">
        <f>IFERROR(INDEX(tEditais[Órgão],MATCH(tItens[[#This Row],[Edital]],tEditais[Edital],0)),"")</f>
        <v>INSTITUTO DE PREVIDENCIA DOS SERVIDORES DO ESTADO MG</v>
      </c>
      <c r="H2842" t="str">
        <f>IFERROR(INDEX(tEditais[UF],MATCH(tItens[[#This Row],[Edital]],tEditais[Edital],0)),"")</f>
        <v>MG</v>
      </c>
      <c r="I2842" s="11">
        <f>IFERROR(INDEX(tEditais[Encerramento],MATCH(tItens[[#This Row],[Edital]],tEditais[Edital],0)),"")</f>
        <v>46304.375</v>
      </c>
      <c r="J2842" t="str">
        <f>IFERROR(INDEX(tProdutos[Classe],MATCH(tItens[[#This Row],[Produto]],tProdutos[Produto],0)),"produto não cadastrado")</f>
        <v>FILA REBASE</v>
      </c>
      <c r="K2842" s="12">
        <f>tItens[[#This Row],[Qtd]]*tItens[[#This Row],[Vlr unit]]</f>
        <v>0</v>
      </c>
      <c r="L2842" s="6">
        <f>IFERROR(IF(INDEX(tProdutos[Desconto homologado],MATCH(tItens[[#This Row],[Produto]],tProdutos[Produto],0))="",DescontoPadrao,INDEX(tProdutos[Desconto homologado],MATCH(tItens[[#This Row],[Produto]],tProdutos[Produto],0))),DescontoPadrao)</f>
        <v>0.3</v>
      </c>
      <c r="M2842" s="12">
        <f>tItens[[#This Row],[Valor]]*(1-tItens[[#This Row],[Desconto]])</f>
        <v>0</v>
      </c>
      <c r="N2842" t="str">
        <f>IFERROR(INDEX(tProdutos[Foco],MATCH(tItens[[#This Row],[Produto]],tProdutos[Produto],0)),"Não")</f>
        <v>Não</v>
      </c>
      <c r="O2842" t="str">
        <f>IFERROR(INDEX(tEditais[SRP],MATCH(tItens[[#This Row],[Edital]],tEditais[Edital],0)),"Não")</f>
        <v>Não</v>
      </c>
      <c r="P2842" s="4">
        <f>IF(COUNTIFS(INDEX(tItens[Edital],1):tItens[[#This Row],[Edital]],tItens[[#This Row],[Edital]],INDEX(tItens[Produto],1):tItens[[#This Row],[Produto]],tItens[[#This Row],[Produto]])=1,1,0)</f>
        <v>0</v>
      </c>
    </row>
    <row r="2843" spans="1:16" x14ac:dyDescent="0.25">
      <c r="A2843" t="s">
        <v>1317</v>
      </c>
      <c r="B2843">
        <v>7</v>
      </c>
      <c r="C2843" t="s">
        <v>5774</v>
      </c>
      <c r="D2843" t="s">
        <v>554</v>
      </c>
      <c r="E2843" s="13">
        <v>60</v>
      </c>
      <c r="F2843" s="12">
        <v>0</v>
      </c>
      <c r="G2843" t="str">
        <f>IFERROR(INDEX(tEditais[Órgão],MATCH(tItens[[#This Row],[Edital]],tEditais[Edital],0)),"")</f>
        <v>INSTITUTO DE PREVIDENCIA DOS SERVIDORES DO ESTADO MG</v>
      </c>
      <c r="H2843" t="str">
        <f>IFERROR(INDEX(tEditais[UF],MATCH(tItens[[#This Row],[Edital]],tEditais[Edital],0)),"")</f>
        <v>MG</v>
      </c>
      <c r="I2843" s="11">
        <f>IFERROR(INDEX(tEditais[Encerramento],MATCH(tItens[[#This Row],[Edital]],tEditais[Edital],0)),"")</f>
        <v>46304.375</v>
      </c>
      <c r="J2843" t="str">
        <f>IFERROR(INDEX(tProdutos[Classe],MATCH(tItens[[#This Row],[Produto]],tProdutos[Produto],0)),"produto não cadastrado")</f>
        <v>FILA REBASE</v>
      </c>
      <c r="K2843" s="12">
        <f>tItens[[#This Row],[Qtd]]*tItens[[#This Row],[Vlr unit]]</f>
        <v>0</v>
      </c>
      <c r="L2843" s="6">
        <f>IFERROR(IF(INDEX(tProdutos[Desconto homologado],MATCH(tItens[[#This Row],[Produto]],tProdutos[Produto],0))="",DescontoPadrao,INDEX(tProdutos[Desconto homologado],MATCH(tItens[[#This Row],[Produto]],tProdutos[Produto],0))),DescontoPadrao)</f>
        <v>0.3</v>
      </c>
      <c r="M2843" s="12">
        <f>tItens[[#This Row],[Valor]]*(1-tItens[[#This Row],[Desconto]])</f>
        <v>0</v>
      </c>
      <c r="N2843" t="str">
        <f>IFERROR(INDEX(tProdutos[Foco],MATCH(tItens[[#This Row],[Produto]],tProdutos[Produto],0)),"Não")</f>
        <v>Não</v>
      </c>
      <c r="O2843" t="str">
        <f>IFERROR(INDEX(tEditais[SRP],MATCH(tItens[[#This Row],[Edital]],tEditais[Edital],0)),"Não")</f>
        <v>Não</v>
      </c>
      <c r="P2843" s="4">
        <f>IF(COUNTIFS(INDEX(tItens[Edital],1):tItens[[#This Row],[Edital]],tItens[[#This Row],[Edital]],INDEX(tItens[Produto],1):tItens[[#This Row],[Produto]],tItens[[#This Row],[Produto]])=1,1,0)</f>
        <v>0</v>
      </c>
    </row>
    <row r="2844" spans="1:16" x14ac:dyDescent="0.25">
      <c r="A2844" t="s">
        <v>1322</v>
      </c>
      <c r="B2844">
        <v>9</v>
      </c>
      <c r="C2844" t="s">
        <v>5775</v>
      </c>
      <c r="D2844" t="s">
        <v>349</v>
      </c>
      <c r="E2844" s="13">
        <v>5000</v>
      </c>
      <c r="F2844" s="12">
        <v>0</v>
      </c>
      <c r="G2844" t="str">
        <f>IFERROR(INDEX(tEditais[Órgão],MATCH(tItens[[#This Row],[Edital]],tEditais[Edital],0)),"")</f>
        <v>MUNICIPIO DE RECREIO</v>
      </c>
      <c r="H2844" t="str">
        <f>IFERROR(INDEX(tEditais[UF],MATCH(tItens[[#This Row],[Edital]],tEditais[Edital],0)),"")</f>
        <v>MG</v>
      </c>
      <c r="I2844" s="11">
        <f>IFERROR(INDEX(tEditais[Encerramento],MATCH(tItens[[#This Row],[Edital]],tEditais[Edital],0)),"")</f>
        <v>46304.375</v>
      </c>
      <c r="J2844" t="str">
        <f>IFERROR(INDEX(tProdutos[Classe],MATCH(tItens[[#This Row],[Produto]],tProdutos[Produto],0)),"produto não cadastrado")</f>
        <v>FORA</v>
      </c>
      <c r="K2844" s="12">
        <f>tItens[[#This Row],[Qtd]]*tItens[[#This Row],[Vlr unit]]</f>
        <v>0</v>
      </c>
      <c r="L2844" s="6">
        <f>IFERROR(IF(INDEX(tProdutos[Desconto homologado],MATCH(tItens[[#This Row],[Produto]],tProdutos[Produto],0))="",DescontoPadrao,INDEX(tProdutos[Desconto homologado],MATCH(tItens[[#This Row],[Produto]],tProdutos[Produto],0))),DescontoPadrao)</f>
        <v>0.38826228254635797</v>
      </c>
      <c r="M2844" s="12">
        <f>tItens[[#This Row],[Valor]]*(1-tItens[[#This Row],[Desconto]])</f>
        <v>0</v>
      </c>
      <c r="N2844" t="str">
        <f>IFERROR(INDEX(tProdutos[Foco],MATCH(tItens[[#This Row],[Produto]],tProdutos[Produto],0)),"Não")</f>
        <v>Não</v>
      </c>
      <c r="O2844" t="str">
        <f>IFERROR(INDEX(tEditais[SRP],MATCH(tItens[[#This Row],[Edital]],tEditais[Edital],0)),"Não")</f>
        <v>Sim</v>
      </c>
      <c r="P2844" s="4">
        <f>IF(COUNTIFS(INDEX(tItens[Edital],1):tItens[[#This Row],[Edital]],tItens[[#This Row],[Edital]],INDEX(tItens[Produto],1):tItens[[#This Row],[Produto]],tItens[[#This Row],[Produto]])=1,1,0)</f>
        <v>1</v>
      </c>
    </row>
    <row r="2845" spans="1:16" x14ac:dyDescent="0.25">
      <c r="A2845" t="s">
        <v>1322</v>
      </c>
      <c r="B2845">
        <v>10</v>
      </c>
      <c r="C2845" t="s">
        <v>5776</v>
      </c>
      <c r="D2845" t="s">
        <v>154</v>
      </c>
      <c r="E2845" s="13">
        <v>500</v>
      </c>
      <c r="F2845" s="12">
        <v>0</v>
      </c>
      <c r="G2845" t="str">
        <f>IFERROR(INDEX(tEditais[Órgão],MATCH(tItens[[#This Row],[Edital]],tEditais[Edital],0)),"")</f>
        <v>MUNICIPIO DE RECREIO</v>
      </c>
      <c r="H2845" t="str">
        <f>IFERROR(INDEX(tEditais[UF],MATCH(tItens[[#This Row],[Edital]],tEditais[Edital],0)),"")</f>
        <v>MG</v>
      </c>
      <c r="I2845" s="11">
        <f>IFERROR(INDEX(tEditais[Encerramento],MATCH(tItens[[#This Row],[Edital]],tEditais[Edital],0)),"")</f>
        <v>46304.375</v>
      </c>
      <c r="J2845" t="str">
        <f>IFERROR(INDEX(tProdutos[Classe],MATCH(tItens[[#This Row],[Produto]],tProdutos[Produto],0)),"produto não cadastrado")</f>
        <v>DISPUTADO</v>
      </c>
      <c r="K2845" s="12">
        <f>tItens[[#This Row],[Qtd]]*tItens[[#This Row],[Vlr unit]]</f>
        <v>0</v>
      </c>
      <c r="L2845" s="6">
        <f>IFERROR(IF(INDEX(tProdutos[Desconto homologado],MATCH(tItens[[#This Row],[Produto]],tProdutos[Produto],0))="",DescontoPadrao,INDEX(tProdutos[Desconto homologado],MATCH(tItens[[#This Row],[Produto]],tProdutos[Produto],0))),DescontoPadrao)</f>
        <v>0.48690097134476601</v>
      </c>
      <c r="M2845" s="12">
        <f>tItens[[#This Row],[Valor]]*(1-tItens[[#This Row],[Desconto]])</f>
        <v>0</v>
      </c>
      <c r="N2845" t="str">
        <f>IFERROR(INDEX(tProdutos[Foco],MATCH(tItens[[#This Row],[Produto]],tProdutos[Produto],0)),"Não")</f>
        <v>Não</v>
      </c>
      <c r="O2845" t="str">
        <f>IFERROR(INDEX(tEditais[SRP],MATCH(tItens[[#This Row],[Edital]],tEditais[Edital],0)),"Não")</f>
        <v>Sim</v>
      </c>
      <c r="P2845" s="4">
        <f>IF(COUNTIFS(INDEX(tItens[Edital],1):tItens[[#This Row],[Edital]],tItens[[#This Row],[Edital]],INDEX(tItens[Produto],1):tItens[[#This Row],[Produto]],tItens[[#This Row],[Produto]])=1,1,0)</f>
        <v>1</v>
      </c>
    </row>
    <row r="2846" spans="1:16" x14ac:dyDescent="0.25">
      <c r="A2846" t="s">
        <v>1322</v>
      </c>
      <c r="B2846">
        <v>24</v>
      </c>
      <c r="C2846" t="s">
        <v>5777</v>
      </c>
      <c r="D2846" t="s">
        <v>67</v>
      </c>
      <c r="E2846" s="13">
        <v>10</v>
      </c>
      <c r="F2846" s="12">
        <v>0</v>
      </c>
      <c r="G2846" t="str">
        <f>IFERROR(INDEX(tEditais[Órgão],MATCH(tItens[[#This Row],[Edital]],tEditais[Edital],0)),"")</f>
        <v>MUNICIPIO DE RECREIO</v>
      </c>
      <c r="H2846" t="str">
        <f>IFERROR(INDEX(tEditais[UF],MATCH(tItens[[#This Row],[Edital]],tEditais[Edital],0)),"")</f>
        <v>MG</v>
      </c>
      <c r="I2846" s="11">
        <f>IFERROR(INDEX(tEditais[Encerramento],MATCH(tItens[[#This Row],[Edital]],tEditais[Edital],0)),"")</f>
        <v>46304.375</v>
      </c>
      <c r="J2846" t="str">
        <f>IFERROR(INDEX(tProdutos[Classe],MATCH(tItens[[#This Row],[Produto]],tProdutos[Produto],0)),"produto não cadastrado")</f>
        <v>NÚCLEO</v>
      </c>
      <c r="K2846" s="12">
        <f>tItens[[#This Row],[Qtd]]*tItens[[#This Row],[Vlr unit]]</f>
        <v>0</v>
      </c>
      <c r="L2846" s="6">
        <f>IFERROR(IF(INDEX(tProdutos[Desconto homologado],MATCH(tItens[[#This Row],[Produto]],tProdutos[Produto],0))="",DescontoPadrao,INDEX(tProdutos[Desconto homologado],MATCH(tItens[[#This Row],[Produto]],tProdutos[Produto],0))),DescontoPadrao)</f>
        <v>0.35766423357664201</v>
      </c>
      <c r="M2846" s="12">
        <f>tItens[[#This Row],[Valor]]*(1-tItens[[#This Row],[Desconto]])</f>
        <v>0</v>
      </c>
      <c r="N2846" t="str">
        <f>IFERROR(INDEX(tProdutos[Foco],MATCH(tItens[[#This Row],[Produto]],tProdutos[Produto],0)),"Não")</f>
        <v>Não</v>
      </c>
      <c r="O2846" t="str">
        <f>IFERROR(INDEX(tEditais[SRP],MATCH(tItens[[#This Row],[Edital]],tEditais[Edital],0)),"Não")</f>
        <v>Sim</v>
      </c>
      <c r="P2846" s="4">
        <f>IF(COUNTIFS(INDEX(tItens[Edital],1):tItens[[#This Row],[Edital]],tItens[[#This Row],[Edital]],INDEX(tItens[Produto],1):tItens[[#This Row],[Produto]],tItens[[#This Row],[Produto]])=1,1,0)</f>
        <v>1</v>
      </c>
    </row>
    <row r="2847" spans="1:16" x14ac:dyDescent="0.25">
      <c r="A2847" t="s">
        <v>1322</v>
      </c>
      <c r="B2847">
        <v>27</v>
      </c>
      <c r="C2847" t="s">
        <v>5778</v>
      </c>
      <c r="D2847" t="s">
        <v>104</v>
      </c>
      <c r="E2847" s="13">
        <v>200</v>
      </c>
      <c r="F2847" s="12">
        <v>0</v>
      </c>
      <c r="G2847" t="str">
        <f>IFERROR(INDEX(tEditais[Órgão],MATCH(tItens[[#This Row],[Edital]],tEditais[Edital],0)),"")</f>
        <v>MUNICIPIO DE RECREIO</v>
      </c>
      <c r="H2847" t="str">
        <f>IFERROR(INDEX(tEditais[UF],MATCH(tItens[[#This Row],[Edital]],tEditais[Edital],0)),"")</f>
        <v>MG</v>
      </c>
      <c r="I2847" s="11">
        <f>IFERROR(INDEX(tEditais[Encerramento],MATCH(tItens[[#This Row],[Edital]],tEditais[Edital],0)),"")</f>
        <v>46304.375</v>
      </c>
      <c r="J2847" t="str">
        <f>IFERROR(INDEX(tProdutos[Classe],MATCH(tItens[[#This Row],[Produto]],tProdutos[Produto],0)),"produto não cadastrado")</f>
        <v>DISPUTADO</v>
      </c>
      <c r="K2847" s="12">
        <f>tItens[[#This Row],[Qtd]]*tItens[[#This Row],[Vlr unit]]</f>
        <v>0</v>
      </c>
      <c r="L2847" s="6">
        <f>IFERROR(IF(INDEX(tProdutos[Desconto homologado],MATCH(tItens[[#This Row],[Produto]],tProdutos[Produto],0))="",DescontoPadrao,INDEX(tProdutos[Desconto homologado],MATCH(tItens[[#This Row],[Produto]],tProdutos[Produto],0))),DescontoPadrao)</f>
        <v>0.51</v>
      </c>
      <c r="M2847" s="12">
        <f>tItens[[#This Row],[Valor]]*(1-tItens[[#This Row],[Desconto]])</f>
        <v>0</v>
      </c>
      <c r="N2847" t="str">
        <f>IFERROR(INDEX(tProdutos[Foco],MATCH(tItens[[#This Row],[Produto]],tProdutos[Produto],0)),"Não")</f>
        <v>Sim</v>
      </c>
      <c r="O2847" t="str">
        <f>IFERROR(INDEX(tEditais[SRP],MATCH(tItens[[#This Row],[Edital]],tEditais[Edital],0)),"Não")</f>
        <v>Sim</v>
      </c>
      <c r="P2847" s="4">
        <f>IF(COUNTIFS(INDEX(tItens[Edital],1):tItens[[#This Row],[Edital]],tItens[[#This Row],[Edital]],INDEX(tItens[Produto],1):tItens[[#This Row],[Produto]],tItens[[#This Row],[Produto]])=1,1,0)</f>
        <v>1</v>
      </c>
    </row>
    <row r="2848" spans="1:16" x14ac:dyDescent="0.25">
      <c r="A2848" t="s">
        <v>1322</v>
      </c>
      <c r="B2848">
        <v>28</v>
      </c>
      <c r="C2848" t="s">
        <v>5779</v>
      </c>
      <c r="D2848" t="s">
        <v>411</v>
      </c>
      <c r="E2848" s="13">
        <v>100</v>
      </c>
      <c r="F2848" s="12">
        <v>0</v>
      </c>
      <c r="G2848" t="str">
        <f>IFERROR(INDEX(tEditais[Órgão],MATCH(tItens[[#This Row],[Edital]],tEditais[Edital],0)),"")</f>
        <v>MUNICIPIO DE RECREIO</v>
      </c>
      <c r="H2848" t="str">
        <f>IFERROR(INDEX(tEditais[UF],MATCH(tItens[[#This Row],[Edital]],tEditais[Edital],0)),"")</f>
        <v>MG</v>
      </c>
      <c r="I2848" s="11">
        <f>IFERROR(INDEX(tEditais[Encerramento],MATCH(tItens[[#This Row],[Edital]],tEditais[Edital],0)),"")</f>
        <v>46304.375</v>
      </c>
      <c r="J2848" t="str">
        <f>IFERROR(INDEX(tProdutos[Classe],MATCH(tItens[[#This Row],[Produto]],tProdutos[Produto],0)),"produto não cadastrado")</f>
        <v>FORA</v>
      </c>
      <c r="K2848" s="12">
        <f>tItens[[#This Row],[Qtd]]*tItens[[#This Row],[Vlr unit]]</f>
        <v>0</v>
      </c>
      <c r="L2848" s="6">
        <f>IFERROR(IF(INDEX(tProdutos[Desconto homologado],MATCH(tItens[[#This Row],[Produto]],tProdutos[Produto],0))="",DescontoPadrao,INDEX(tProdutos[Desconto homologado],MATCH(tItens[[#This Row],[Produto]],tProdutos[Produto],0))),DescontoPadrao)</f>
        <v>0.50029835957199398</v>
      </c>
      <c r="M2848" s="12">
        <f>tItens[[#This Row],[Valor]]*(1-tItens[[#This Row],[Desconto]])</f>
        <v>0</v>
      </c>
      <c r="N2848" t="str">
        <f>IFERROR(INDEX(tProdutos[Foco],MATCH(tItens[[#This Row],[Produto]],tProdutos[Produto],0)),"Não")</f>
        <v>Não</v>
      </c>
      <c r="O2848" t="str">
        <f>IFERROR(INDEX(tEditais[SRP],MATCH(tItens[[#This Row],[Edital]],tEditais[Edital],0)),"Não")</f>
        <v>Sim</v>
      </c>
      <c r="P2848" s="4">
        <f>IF(COUNTIFS(INDEX(tItens[Edital],1):tItens[[#This Row],[Edital]],tItens[[#This Row],[Edital]],INDEX(tItens[Produto],1):tItens[[#This Row],[Produto]],tItens[[#This Row],[Produto]])=1,1,0)</f>
        <v>1</v>
      </c>
    </row>
    <row r="2849" spans="1:16" x14ac:dyDescent="0.25">
      <c r="A2849" t="s">
        <v>1322</v>
      </c>
      <c r="B2849">
        <v>29</v>
      </c>
      <c r="C2849" t="s">
        <v>5780</v>
      </c>
      <c r="D2849" t="s">
        <v>156</v>
      </c>
      <c r="E2849" s="13">
        <v>100</v>
      </c>
      <c r="F2849" s="12">
        <v>0</v>
      </c>
      <c r="G2849" t="str">
        <f>IFERROR(INDEX(tEditais[Órgão],MATCH(tItens[[#This Row],[Edital]],tEditais[Edital],0)),"")</f>
        <v>MUNICIPIO DE RECREIO</v>
      </c>
      <c r="H2849" t="str">
        <f>IFERROR(INDEX(tEditais[UF],MATCH(tItens[[#This Row],[Edital]],tEditais[Edital],0)),"")</f>
        <v>MG</v>
      </c>
      <c r="I2849" s="11">
        <f>IFERROR(INDEX(tEditais[Encerramento],MATCH(tItens[[#This Row],[Edital]],tEditais[Edital],0)),"")</f>
        <v>46304.375</v>
      </c>
      <c r="J2849" t="str">
        <f>IFERROR(INDEX(tProdutos[Classe],MATCH(tItens[[#This Row],[Produto]],tProdutos[Produto],0)),"produto não cadastrado")</f>
        <v>DISPUTADO</v>
      </c>
      <c r="K2849" s="12">
        <f>tItens[[#This Row],[Qtd]]*tItens[[#This Row],[Vlr unit]]</f>
        <v>0</v>
      </c>
      <c r="L2849" s="6">
        <f>IFERROR(IF(INDEX(tProdutos[Desconto homologado],MATCH(tItens[[#This Row],[Produto]],tProdutos[Produto],0))="",DescontoPadrao,INDEX(tProdutos[Desconto homologado],MATCH(tItens[[#This Row],[Produto]],tProdutos[Produto],0))),DescontoPadrao)</f>
        <v>0.27131852489802799</v>
      </c>
      <c r="M2849" s="12">
        <f>tItens[[#This Row],[Valor]]*(1-tItens[[#This Row],[Desconto]])</f>
        <v>0</v>
      </c>
      <c r="N2849" t="str">
        <f>IFERROR(INDEX(tProdutos[Foco],MATCH(tItens[[#This Row],[Produto]],tProdutos[Produto],0)),"Não")</f>
        <v>Não</v>
      </c>
      <c r="O2849" t="str">
        <f>IFERROR(INDEX(tEditais[SRP],MATCH(tItens[[#This Row],[Edital]],tEditais[Edital],0)),"Não")</f>
        <v>Sim</v>
      </c>
      <c r="P2849" s="4">
        <f>IF(COUNTIFS(INDEX(tItens[Edital],1):tItens[[#This Row],[Edital]],tItens[[#This Row],[Edital]],INDEX(tItens[Produto],1):tItens[[#This Row],[Produto]],tItens[[#This Row],[Produto]])=1,1,0)</f>
        <v>1</v>
      </c>
    </row>
    <row r="2850" spans="1:16" x14ac:dyDescent="0.25">
      <c r="A2850" t="s">
        <v>1322</v>
      </c>
      <c r="B2850">
        <v>30</v>
      </c>
      <c r="C2850" t="s">
        <v>5781</v>
      </c>
      <c r="D2850" t="s">
        <v>343</v>
      </c>
      <c r="E2850" s="13">
        <v>200</v>
      </c>
      <c r="F2850" s="12">
        <v>0</v>
      </c>
      <c r="G2850" t="str">
        <f>IFERROR(INDEX(tEditais[Órgão],MATCH(tItens[[#This Row],[Edital]],tEditais[Edital],0)),"")</f>
        <v>MUNICIPIO DE RECREIO</v>
      </c>
      <c r="H2850" t="str">
        <f>IFERROR(INDEX(tEditais[UF],MATCH(tItens[[#This Row],[Edital]],tEditais[Edital],0)),"")</f>
        <v>MG</v>
      </c>
      <c r="I2850" s="11">
        <f>IFERROR(INDEX(tEditais[Encerramento],MATCH(tItens[[#This Row],[Edital]],tEditais[Edital],0)),"")</f>
        <v>46304.375</v>
      </c>
      <c r="J2850" t="str">
        <f>IFERROR(INDEX(tProdutos[Classe],MATCH(tItens[[#This Row],[Produto]],tProdutos[Produto],0)),"produto não cadastrado")</f>
        <v>FORA</v>
      </c>
      <c r="K2850" s="12">
        <f>tItens[[#This Row],[Qtd]]*tItens[[#This Row],[Vlr unit]]</f>
        <v>0</v>
      </c>
      <c r="L2850" s="6">
        <f>IFERROR(IF(INDEX(tProdutos[Desconto homologado],MATCH(tItens[[#This Row],[Produto]],tProdutos[Produto],0))="",DescontoPadrao,INDEX(tProdutos[Desconto homologado],MATCH(tItens[[#This Row],[Produto]],tProdutos[Produto],0))),DescontoPadrao)</f>
        <v>0.35412234042553198</v>
      </c>
      <c r="M2850" s="12">
        <f>tItens[[#This Row],[Valor]]*(1-tItens[[#This Row],[Desconto]])</f>
        <v>0</v>
      </c>
      <c r="N2850" t="str">
        <f>IFERROR(INDEX(tProdutos[Foco],MATCH(tItens[[#This Row],[Produto]],tProdutos[Produto],0)),"Não")</f>
        <v>Não</v>
      </c>
      <c r="O2850" t="str">
        <f>IFERROR(INDEX(tEditais[SRP],MATCH(tItens[[#This Row],[Edital]],tEditais[Edital],0)),"Não")</f>
        <v>Sim</v>
      </c>
      <c r="P2850" s="4">
        <f>IF(COUNTIFS(INDEX(tItens[Edital],1):tItens[[#This Row],[Edital]],tItens[[#This Row],[Edital]],INDEX(tItens[Produto],1):tItens[[#This Row],[Produto]],tItens[[#This Row],[Produto]])=1,1,0)</f>
        <v>1</v>
      </c>
    </row>
    <row r="2851" spans="1:16" x14ac:dyDescent="0.25">
      <c r="A2851" t="s">
        <v>1322</v>
      </c>
      <c r="B2851">
        <v>31</v>
      </c>
      <c r="C2851" t="s">
        <v>5782</v>
      </c>
      <c r="D2851" t="s">
        <v>343</v>
      </c>
      <c r="E2851" s="13">
        <v>200</v>
      </c>
      <c r="F2851" s="12">
        <v>0</v>
      </c>
      <c r="G2851" t="str">
        <f>IFERROR(INDEX(tEditais[Órgão],MATCH(tItens[[#This Row],[Edital]],tEditais[Edital],0)),"")</f>
        <v>MUNICIPIO DE RECREIO</v>
      </c>
      <c r="H2851" t="str">
        <f>IFERROR(INDEX(tEditais[UF],MATCH(tItens[[#This Row],[Edital]],tEditais[Edital],0)),"")</f>
        <v>MG</v>
      </c>
      <c r="I2851" s="11">
        <f>IFERROR(INDEX(tEditais[Encerramento],MATCH(tItens[[#This Row],[Edital]],tEditais[Edital],0)),"")</f>
        <v>46304.375</v>
      </c>
      <c r="J2851" t="str">
        <f>IFERROR(INDEX(tProdutos[Classe],MATCH(tItens[[#This Row],[Produto]],tProdutos[Produto],0)),"produto não cadastrado")</f>
        <v>FORA</v>
      </c>
      <c r="K2851" s="12">
        <f>tItens[[#This Row],[Qtd]]*tItens[[#This Row],[Vlr unit]]</f>
        <v>0</v>
      </c>
      <c r="L2851" s="6">
        <f>IFERROR(IF(INDEX(tProdutos[Desconto homologado],MATCH(tItens[[#This Row],[Produto]],tProdutos[Produto],0))="",DescontoPadrao,INDEX(tProdutos[Desconto homologado],MATCH(tItens[[#This Row],[Produto]],tProdutos[Produto],0))),DescontoPadrao)</f>
        <v>0.35412234042553198</v>
      </c>
      <c r="M2851" s="12">
        <f>tItens[[#This Row],[Valor]]*(1-tItens[[#This Row],[Desconto]])</f>
        <v>0</v>
      </c>
      <c r="N2851" t="str">
        <f>IFERROR(INDEX(tProdutos[Foco],MATCH(tItens[[#This Row],[Produto]],tProdutos[Produto],0)),"Não")</f>
        <v>Não</v>
      </c>
      <c r="O2851" t="str">
        <f>IFERROR(INDEX(tEditais[SRP],MATCH(tItens[[#This Row],[Edital]],tEditais[Edital],0)),"Não")</f>
        <v>Sim</v>
      </c>
      <c r="P2851" s="4">
        <f>IF(COUNTIFS(INDEX(tItens[Edital],1):tItens[[#This Row],[Edital]],tItens[[#This Row],[Edital]],INDEX(tItens[Produto],1):tItens[[#This Row],[Produto]],tItens[[#This Row],[Produto]])=1,1,0)</f>
        <v>0</v>
      </c>
    </row>
    <row r="2852" spans="1:16" x14ac:dyDescent="0.25">
      <c r="A2852" t="s">
        <v>1322</v>
      </c>
      <c r="B2852">
        <v>32</v>
      </c>
      <c r="C2852" t="s">
        <v>5783</v>
      </c>
      <c r="D2852" t="s">
        <v>343</v>
      </c>
      <c r="E2852" s="13">
        <v>200</v>
      </c>
      <c r="F2852" s="12">
        <v>0</v>
      </c>
      <c r="G2852" t="str">
        <f>IFERROR(INDEX(tEditais[Órgão],MATCH(tItens[[#This Row],[Edital]],tEditais[Edital],0)),"")</f>
        <v>MUNICIPIO DE RECREIO</v>
      </c>
      <c r="H2852" t="str">
        <f>IFERROR(INDEX(tEditais[UF],MATCH(tItens[[#This Row],[Edital]],tEditais[Edital],0)),"")</f>
        <v>MG</v>
      </c>
      <c r="I2852" s="11">
        <f>IFERROR(INDEX(tEditais[Encerramento],MATCH(tItens[[#This Row],[Edital]],tEditais[Edital],0)),"")</f>
        <v>46304.375</v>
      </c>
      <c r="J2852" t="str">
        <f>IFERROR(INDEX(tProdutos[Classe],MATCH(tItens[[#This Row],[Produto]],tProdutos[Produto],0)),"produto não cadastrado")</f>
        <v>FORA</v>
      </c>
      <c r="K2852" s="12">
        <f>tItens[[#This Row],[Qtd]]*tItens[[#This Row],[Vlr unit]]</f>
        <v>0</v>
      </c>
      <c r="L2852" s="6">
        <f>IFERROR(IF(INDEX(tProdutos[Desconto homologado],MATCH(tItens[[#This Row],[Produto]],tProdutos[Produto],0))="",DescontoPadrao,INDEX(tProdutos[Desconto homologado],MATCH(tItens[[#This Row],[Produto]],tProdutos[Produto],0))),DescontoPadrao)</f>
        <v>0.35412234042553198</v>
      </c>
      <c r="M2852" s="12">
        <f>tItens[[#This Row],[Valor]]*(1-tItens[[#This Row],[Desconto]])</f>
        <v>0</v>
      </c>
      <c r="N2852" t="str">
        <f>IFERROR(INDEX(tProdutos[Foco],MATCH(tItens[[#This Row],[Produto]],tProdutos[Produto],0)),"Não")</f>
        <v>Não</v>
      </c>
      <c r="O2852" t="str">
        <f>IFERROR(INDEX(tEditais[SRP],MATCH(tItens[[#This Row],[Edital]],tEditais[Edital],0)),"Não")</f>
        <v>Sim</v>
      </c>
      <c r="P2852" s="4">
        <f>IF(COUNTIFS(INDEX(tItens[Edital],1):tItens[[#This Row],[Edital]],tItens[[#This Row],[Edital]],INDEX(tItens[Produto],1):tItens[[#This Row],[Produto]],tItens[[#This Row],[Produto]])=1,1,0)</f>
        <v>0</v>
      </c>
    </row>
    <row r="2853" spans="1:16" x14ac:dyDescent="0.25">
      <c r="A2853" t="s">
        <v>1322</v>
      </c>
      <c r="B2853">
        <v>33</v>
      </c>
      <c r="C2853" t="s">
        <v>5784</v>
      </c>
      <c r="D2853" t="s">
        <v>343</v>
      </c>
      <c r="E2853" s="13">
        <v>200</v>
      </c>
      <c r="F2853" s="12">
        <v>0</v>
      </c>
      <c r="G2853" t="str">
        <f>IFERROR(INDEX(tEditais[Órgão],MATCH(tItens[[#This Row],[Edital]],tEditais[Edital],0)),"")</f>
        <v>MUNICIPIO DE RECREIO</v>
      </c>
      <c r="H2853" t="str">
        <f>IFERROR(INDEX(tEditais[UF],MATCH(tItens[[#This Row],[Edital]],tEditais[Edital],0)),"")</f>
        <v>MG</v>
      </c>
      <c r="I2853" s="11">
        <f>IFERROR(INDEX(tEditais[Encerramento],MATCH(tItens[[#This Row],[Edital]],tEditais[Edital],0)),"")</f>
        <v>46304.375</v>
      </c>
      <c r="J2853" t="str">
        <f>IFERROR(INDEX(tProdutos[Classe],MATCH(tItens[[#This Row],[Produto]],tProdutos[Produto],0)),"produto não cadastrado")</f>
        <v>FORA</v>
      </c>
      <c r="K2853" s="12">
        <f>tItens[[#This Row],[Qtd]]*tItens[[#This Row],[Vlr unit]]</f>
        <v>0</v>
      </c>
      <c r="L2853" s="6">
        <f>IFERROR(IF(INDEX(tProdutos[Desconto homologado],MATCH(tItens[[#This Row],[Produto]],tProdutos[Produto],0))="",DescontoPadrao,INDEX(tProdutos[Desconto homologado],MATCH(tItens[[#This Row],[Produto]],tProdutos[Produto],0))),DescontoPadrao)</f>
        <v>0.35412234042553198</v>
      </c>
      <c r="M2853" s="12">
        <f>tItens[[#This Row],[Valor]]*(1-tItens[[#This Row],[Desconto]])</f>
        <v>0</v>
      </c>
      <c r="N2853" t="str">
        <f>IFERROR(INDEX(tProdutos[Foco],MATCH(tItens[[#This Row],[Produto]],tProdutos[Produto],0)),"Não")</f>
        <v>Não</v>
      </c>
      <c r="O2853" t="str">
        <f>IFERROR(INDEX(tEditais[SRP],MATCH(tItens[[#This Row],[Edital]],tEditais[Edital],0)),"Não")</f>
        <v>Sim</v>
      </c>
      <c r="P2853" s="4">
        <f>IF(COUNTIFS(INDEX(tItens[Edital],1):tItens[[#This Row],[Edital]],tItens[[#This Row],[Edital]],INDEX(tItens[Produto],1):tItens[[#This Row],[Produto]],tItens[[#This Row],[Produto]])=1,1,0)</f>
        <v>0</v>
      </c>
    </row>
    <row r="2854" spans="1:16" x14ac:dyDescent="0.25">
      <c r="A2854" t="s">
        <v>1322</v>
      </c>
      <c r="B2854">
        <v>35</v>
      </c>
      <c r="C2854" t="s">
        <v>5785</v>
      </c>
      <c r="D2854" t="s">
        <v>170</v>
      </c>
      <c r="E2854" s="13">
        <v>10</v>
      </c>
      <c r="F2854" s="12">
        <v>0</v>
      </c>
      <c r="G2854" t="str">
        <f>IFERROR(INDEX(tEditais[Órgão],MATCH(tItens[[#This Row],[Edital]],tEditais[Edital],0)),"")</f>
        <v>MUNICIPIO DE RECREIO</v>
      </c>
      <c r="H2854" t="str">
        <f>IFERROR(INDEX(tEditais[UF],MATCH(tItens[[#This Row],[Edital]],tEditais[Edital],0)),"")</f>
        <v>MG</v>
      </c>
      <c r="I2854" s="11">
        <f>IFERROR(INDEX(tEditais[Encerramento],MATCH(tItens[[#This Row],[Edital]],tEditais[Edital],0)),"")</f>
        <v>46304.375</v>
      </c>
      <c r="J2854" t="str">
        <f>IFERROR(INDEX(tProdutos[Classe],MATCH(tItens[[#This Row],[Produto]],tProdutos[Produto],0)),"produto não cadastrado")</f>
        <v>DISPUTADO</v>
      </c>
      <c r="K2854" s="12">
        <f>tItens[[#This Row],[Qtd]]*tItens[[#This Row],[Vlr unit]]</f>
        <v>0</v>
      </c>
      <c r="L2854" s="6">
        <f>IFERROR(IF(INDEX(tProdutos[Desconto homologado],MATCH(tItens[[#This Row],[Produto]],tProdutos[Produto],0))="",DescontoPadrao,INDEX(tProdutos[Desconto homologado],MATCH(tItens[[#This Row],[Produto]],tProdutos[Produto],0))),DescontoPadrao)</f>
        <v>0.36</v>
      </c>
      <c r="M2854" s="12">
        <f>tItens[[#This Row],[Valor]]*(1-tItens[[#This Row],[Desconto]])</f>
        <v>0</v>
      </c>
      <c r="N2854" t="str">
        <f>IFERROR(INDEX(tProdutos[Foco],MATCH(tItens[[#This Row],[Produto]],tProdutos[Produto],0)),"Não")</f>
        <v>Sim</v>
      </c>
      <c r="O2854" t="str">
        <f>IFERROR(INDEX(tEditais[SRP],MATCH(tItens[[#This Row],[Edital]],tEditais[Edital],0)),"Não")</f>
        <v>Sim</v>
      </c>
      <c r="P2854" s="4">
        <f>IF(COUNTIFS(INDEX(tItens[Edital],1):tItens[[#This Row],[Edital]],tItens[[#This Row],[Edital]],INDEX(tItens[Produto],1):tItens[[#This Row],[Produto]],tItens[[#This Row],[Produto]])=1,1,0)</f>
        <v>1</v>
      </c>
    </row>
    <row r="2855" spans="1:16" x14ac:dyDescent="0.25">
      <c r="A2855" t="s">
        <v>1322</v>
      </c>
      <c r="B2855">
        <v>36</v>
      </c>
      <c r="C2855" t="s">
        <v>5786</v>
      </c>
      <c r="D2855" t="s">
        <v>170</v>
      </c>
      <c r="E2855" s="13">
        <v>10</v>
      </c>
      <c r="F2855" s="12">
        <v>0</v>
      </c>
      <c r="G2855" t="str">
        <f>IFERROR(INDEX(tEditais[Órgão],MATCH(tItens[[#This Row],[Edital]],tEditais[Edital],0)),"")</f>
        <v>MUNICIPIO DE RECREIO</v>
      </c>
      <c r="H2855" t="str">
        <f>IFERROR(INDEX(tEditais[UF],MATCH(tItens[[#This Row],[Edital]],tEditais[Edital],0)),"")</f>
        <v>MG</v>
      </c>
      <c r="I2855" s="11">
        <f>IFERROR(INDEX(tEditais[Encerramento],MATCH(tItens[[#This Row],[Edital]],tEditais[Edital],0)),"")</f>
        <v>46304.375</v>
      </c>
      <c r="J2855" t="str">
        <f>IFERROR(INDEX(tProdutos[Classe],MATCH(tItens[[#This Row],[Produto]],tProdutos[Produto],0)),"produto não cadastrado")</f>
        <v>DISPUTADO</v>
      </c>
      <c r="K2855" s="12">
        <f>tItens[[#This Row],[Qtd]]*tItens[[#This Row],[Vlr unit]]</f>
        <v>0</v>
      </c>
      <c r="L2855" s="6">
        <f>IFERROR(IF(INDEX(tProdutos[Desconto homologado],MATCH(tItens[[#This Row],[Produto]],tProdutos[Produto],0))="",DescontoPadrao,INDEX(tProdutos[Desconto homologado],MATCH(tItens[[#This Row],[Produto]],tProdutos[Produto],0))),DescontoPadrao)</f>
        <v>0.36</v>
      </c>
      <c r="M2855" s="12">
        <f>tItens[[#This Row],[Valor]]*(1-tItens[[#This Row],[Desconto]])</f>
        <v>0</v>
      </c>
      <c r="N2855" t="str">
        <f>IFERROR(INDEX(tProdutos[Foco],MATCH(tItens[[#This Row],[Produto]],tProdutos[Produto],0)),"Não")</f>
        <v>Sim</v>
      </c>
      <c r="O2855" t="str">
        <f>IFERROR(INDEX(tEditais[SRP],MATCH(tItens[[#This Row],[Edital]],tEditais[Edital],0)),"Não")</f>
        <v>Sim</v>
      </c>
      <c r="P2855" s="4">
        <f>IF(COUNTIFS(INDEX(tItens[Edital],1):tItens[[#This Row],[Edital]],tItens[[#This Row],[Edital]],INDEX(tItens[Produto],1):tItens[[#This Row],[Produto]],tItens[[#This Row],[Produto]])=1,1,0)</f>
        <v>0</v>
      </c>
    </row>
    <row r="2856" spans="1:16" x14ac:dyDescent="0.25">
      <c r="A2856" t="s">
        <v>1322</v>
      </c>
      <c r="B2856">
        <v>37</v>
      </c>
      <c r="C2856" t="s">
        <v>5787</v>
      </c>
      <c r="D2856" t="s">
        <v>170</v>
      </c>
      <c r="E2856" s="13">
        <v>10</v>
      </c>
      <c r="F2856" s="12">
        <v>0</v>
      </c>
      <c r="G2856" t="str">
        <f>IFERROR(INDEX(tEditais[Órgão],MATCH(tItens[[#This Row],[Edital]],tEditais[Edital],0)),"")</f>
        <v>MUNICIPIO DE RECREIO</v>
      </c>
      <c r="H2856" t="str">
        <f>IFERROR(INDEX(tEditais[UF],MATCH(tItens[[#This Row],[Edital]],tEditais[Edital],0)),"")</f>
        <v>MG</v>
      </c>
      <c r="I2856" s="11">
        <f>IFERROR(INDEX(tEditais[Encerramento],MATCH(tItens[[#This Row],[Edital]],tEditais[Edital],0)),"")</f>
        <v>46304.375</v>
      </c>
      <c r="J2856" t="str">
        <f>IFERROR(INDEX(tProdutos[Classe],MATCH(tItens[[#This Row],[Produto]],tProdutos[Produto],0)),"produto não cadastrado")</f>
        <v>DISPUTADO</v>
      </c>
      <c r="K2856" s="12">
        <f>tItens[[#This Row],[Qtd]]*tItens[[#This Row],[Vlr unit]]</f>
        <v>0</v>
      </c>
      <c r="L2856" s="6">
        <f>IFERROR(IF(INDEX(tProdutos[Desconto homologado],MATCH(tItens[[#This Row],[Produto]],tProdutos[Produto],0))="",DescontoPadrao,INDEX(tProdutos[Desconto homologado],MATCH(tItens[[#This Row],[Produto]],tProdutos[Produto],0))),DescontoPadrao)</f>
        <v>0.36</v>
      </c>
      <c r="M2856" s="12">
        <f>tItens[[#This Row],[Valor]]*(1-tItens[[#This Row],[Desconto]])</f>
        <v>0</v>
      </c>
      <c r="N2856" t="str">
        <f>IFERROR(INDEX(tProdutos[Foco],MATCH(tItens[[#This Row],[Produto]],tProdutos[Produto],0)),"Não")</f>
        <v>Sim</v>
      </c>
      <c r="O2856" t="str">
        <f>IFERROR(INDEX(tEditais[SRP],MATCH(tItens[[#This Row],[Edital]],tEditais[Edital],0)),"Não")</f>
        <v>Sim</v>
      </c>
      <c r="P2856" s="4">
        <f>IF(COUNTIFS(INDEX(tItens[Edital],1):tItens[[#This Row],[Edital]],tItens[[#This Row],[Edital]],INDEX(tItens[Produto],1):tItens[[#This Row],[Produto]],tItens[[#This Row],[Produto]])=1,1,0)</f>
        <v>0</v>
      </c>
    </row>
    <row r="2857" spans="1:16" x14ac:dyDescent="0.25">
      <c r="A2857" t="s">
        <v>1322</v>
      </c>
      <c r="B2857">
        <v>38</v>
      </c>
      <c r="C2857" t="s">
        <v>5788</v>
      </c>
      <c r="D2857" t="s">
        <v>170</v>
      </c>
      <c r="E2857" s="13">
        <v>10</v>
      </c>
      <c r="F2857" s="12">
        <v>0</v>
      </c>
      <c r="G2857" t="str">
        <f>IFERROR(INDEX(tEditais[Órgão],MATCH(tItens[[#This Row],[Edital]],tEditais[Edital],0)),"")</f>
        <v>MUNICIPIO DE RECREIO</v>
      </c>
      <c r="H2857" t="str">
        <f>IFERROR(INDEX(tEditais[UF],MATCH(tItens[[#This Row],[Edital]],tEditais[Edital],0)),"")</f>
        <v>MG</v>
      </c>
      <c r="I2857" s="11">
        <f>IFERROR(INDEX(tEditais[Encerramento],MATCH(tItens[[#This Row],[Edital]],tEditais[Edital],0)),"")</f>
        <v>46304.375</v>
      </c>
      <c r="J2857" t="str">
        <f>IFERROR(INDEX(tProdutos[Classe],MATCH(tItens[[#This Row],[Produto]],tProdutos[Produto],0)),"produto não cadastrado")</f>
        <v>DISPUTADO</v>
      </c>
      <c r="K2857" s="12">
        <f>tItens[[#This Row],[Qtd]]*tItens[[#This Row],[Vlr unit]]</f>
        <v>0</v>
      </c>
      <c r="L2857" s="6">
        <f>IFERROR(IF(INDEX(tProdutos[Desconto homologado],MATCH(tItens[[#This Row],[Produto]],tProdutos[Produto],0))="",DescontoPadrao,INDEX(tProdutos[Desconto homologado],MATCH(tItens[[#This Row],[Produto]],tProdutos[Produto],0))),DescontoPadrao)</f>
        <v>0.36</v>
      </c>
      <c r="M2857" s="12">
        <f>tItens[[#This Row],[Valor]]*(1-tItens[[#This Row],[Desconto]])</f>
        <v>0</v>
      </c>
      <c r="N2857" t="str">
        <f>IFERROR(INDEX(tProdutos[Foco],MATCH(tItens[[#This Row],[Produto]],tProdutos[Produto],0)),"Não")</f>
        <v>Sim</v>
      </c>
      <c r="O2857" t="str">
        <f>IFERROR(INDEX(tEditais[SRP],MATCH(tItens[[#This Row],[Edital]],tEditais[Edital],0)),"Não")</f>
        <v>Sim</v>
      </c>
      <c r="P2857" s="4">
        <f>IF(COUNTIFS(INDEX(tItens[Edital],1):tItens[[#This Row],[Edital]],tItens[[#This Row],[Edital]],INDEX(tItens[Produto],1):tItens[[#This Row],[Produto]],tItens[[#This Row],[Produto]])=1,1,0)</f>
        <v>0</v>
      </c>
    </row>
    <row r="2858" spans="1:16" x14ac:dyDescent="0.25">
      <c r="A2858" t="s">
        <v>1322</v>
      </c>
      <c r="B2858">
        <v>39</v>
      </c>
      <c r="C2858" t="s">
        <v>5789</v>
      </c>
      <c r="D2858" t="s">
        <v>170</v>
      </c>
      <c r="E2858" s="13">
        <v>10</v>
      </c>
      <c r="F2858" s="12">
        <v>0</v>
      </c>
      <c r="G2858" t="str">
        <f>IFERROR(INDEX(tEditais[Órgão],MATCH(tItens[[#This Row],[Edital]],tEditais[Edital],0)),"")</f>
        <v>MUNICIPIO DE RECREIO</v>
      </c>
      <c r="H2858" t="str">
        <f>IFERROR(INDEX(tEditais[UF],MATCH(tItens[[#This Row],[Edital]],tEditais[Edital],0)),"")</f>
        <v>MG</v>
      </c>
      <c r="I2858" s="11">
        <f>IFERROR(INDEX(tEditais[Encerramento],MATCH(tItens[[#This Row],[Edital]],tEditais[Edital],0)),"")</f>
        <v>46304.375</v>
      </c>
      <c r="J2858" t="str">
        <f>IFERROR(INDEX(tProdutos[Classe],MATCH(tItens[[#This Row],[Produto]],tProdutos[Produto],0)),"produto não cadastrado")</f>
        <v>DISPUTADO</v>
      </c>
      <c r="K2858" s="12">
        <f>tItens[[#This Row],[Qtd]]*tItens[[#This Row],[Vlr unit]]</f>
        <v>0</v>
      </c>
      <c r="L2858" s="6">
        <f>IFERROR(IF(INDEX(tProdutos[Desconto homologado],MATCH(tItens[[#This Row],[Produto]],tProdutos[Produto],0))="",DescontoPadrao,INDEX(tProdutos[Desconto homologado],MATCH(tItens[[#This Row],[Produto]],tProdutos[Produto],0))),DescontoPadrao)</f>
        <v>0.36</v>
      </c>
      <c r="M2858" s="12">
        <f>tItens[[#This Row],[Valor]]*(1-tItens[[#This Row],[Desconto]])</f>
        <v>0</v>
      </c>
      <c r="N2858" t="str">
        <f>IFERROR(INDEX(tProdutos[Foco],MATCH(tItens[[#This Row],[Produto]],tProdutos[Produto],0)),"Não")</f>
        <v>Sim</v>
      </c>
      <c r="O2858" t="str">
        <f>IFERROR(INDEX(tEditais[SRP],MATCH(tItens[[#This Row],[Edital]],tEditais[Edital],0)),"Não")</f>
        <v>Sim</v>
      </c>
      <c r="P2858" s="4">
        <f>IF(COUNTIFS(INDEX(tItens[Edital],1):tItens[[#This Row],[Edital]],tItens[[#This Row],[Edital]],INDEX(tItens[Produto],1):tItens[[#This Row],[Produto]],tItens[[#This Row],[Produto]])=1,1,0)</f>
        <v>0</v>
      </c>
    </row>
    <row r="2859" spans="1:16" x14ac:dyDescent="0.25">
      <c r="A2859" t="s">
        <v>1322</v>
      </c>
      <c r="B2859">
        <v>40</v>
      </c>
      <c r="C2859" t="s">
        <v>5790</v>
      </c>
      <c r="D2859" t="s">
        <v>170</v>
      </c>
      <c r="E2859" s="13">
        <v>10</v>
      </c>
      <c r="F2859" s="12">
        <v>0</v>
      </c>
      <c r="G2859" t="str">
        <f>IFERROR(INDEX(tEditais[Órgão],MATCH(tItens[[#This Row],[Edital]],tEditais[Edital],0)),"")</f>
        <v>MUNICIPIO DE RECREIO</v>
      </c>
      <c r="H2859" t="str">
        <f>IFERROR(INDEX(tEditais[UF],MATCH(tItens[[#This Row],[Edital]],tEditais[Edital],0)),"")</f>
        <v>MG</v>
      </c>
      <c r="I2859" s="11">
        <f>IFERROR(INDEX(tEditais[Encerramento],MATCH(tItens[[#This Row],[Edital]],tEditais[Edital],0)),"")</f>
        <v>46304.375</v>
      </c>
      <c r="J2859" t="str">
        <f>IFERROR(INDEX(tProdutos[Classe],MATCH(tItens[[#This Row],[Produto]],tProdutos[Produto],0)),"produto não cadastrado")</f>
        <v>DISPUTADO</v>
      </c>
      <c r="K2859" s="12">
        <f>tItens[[#This Row],[Qtd]]*tItens[[#This Row],[Vlr unit]]</f>
        <v>0</v>
      </c>
      <c r="L2859" s="6">
        <f>IFERROR(IF(INDEX(tProdutos[Desconto homologado],MATCH(tItens[[#This Row],[Produto]],tProdutos[Produto],0))="",DescontoPadrao,INDEX(tProdutos[Desconto homologado],MATCH(tItens[[#This Row],[Produto]],tProdutos[Produto],0))),DescontoPadrao)</f>
        <v>0.36</v>
      </c>
      <c r="M2859" s="12">
        <f>tItens[[#This Row],[Valor]]*(1-tItens[[#This Row],[Desconto]])</f>
        <v>0</v>
      </c>
      <c r="N2859" t="str">
        <f>IFERROR(INDEX(tProdutos[Foco],MATCH(tItens[[#This Row],[Produto]],tProdutos[Produto],0)),"Não")</f>
        <v>Sim</v>
      </c>
      <c r="O2859" t="str">
        <f>IFERROR(INDEX(tEditais[SRP],MATCH(tItens[[#This Row],[Edital]],tEditais[Edital],0)),"Não")</f>
        <v>Sim</v>
      </c>
      <c r="P2859" s="4">
        <f>IF(COUNTIFS(INDEX(tItens[Edital],1):tItens[[#This Row],[Edital]],tItens[[#This Row],[Edital]],INDEX(tItens[Produto],1):tItens[[#This Row],[Produto]],tItens[[#This Row],[Produto]])=1,1,0)</f>
        <v>0</v>
      </c>
    </row>
    <row r="2860" spans="1:16" x14ac:dyDescent="0.25">
      <c r="A2860" t="s">
        <v>1322</v>
      </c>
      <c r="B2860">
        <v>41</v>
      </c>
      <c r="C2860" t="s">
        <v>5791</v>
      </c>
      <c r="D2860" t="s">
        <v>170</v>
      </c>
      <c r="E2860" s="13">
        <v>10</v>
      </c>
      <c r="F2860" s="12">
        <v>0</v>
      </c>
      <c r="G2860" t="str">
        <f>IFERROR(INDEX(tEditais[Órgão],MATCH(tItens[[#This Row],[Edital]],tEditais[Edital],0)),"")</f>
        <v>MUNICIPIO DE RECREIO</v>
      </c>
      <c r="H2860" t="str">
        <f>IFERROR(INDEX(tEditais[UF],MATCH(tItens[[#This Row],[Edital]],tEditais[Edital],0)),"")</f>
        <v>MG</v>
      </c>
      <c r="I2860" s="11">
        <f>IFERROR(INDEX(tEditais[Encerramento],MATCH(tItens[[#This Row],[Edital]],tEditais[Edital],0)),"")</f>
        <v>46304.375</v>
      </c>
      <c r="J2860" t="str">
        <f>IFERROR(INDEX(tProdutos[Classe],MATCH(tItens[[#This Row],[Produto]],tProdutos[Produto],0)),"produto não cadastrado")</f>
        <v>DISPUTADO</v>
      </c>
      <c r="K2860" s="12">
        <f>tItens[[#This Row],[Qtd]]*tItens[[#This Row],[Vlr unit]]</f>
        <v>0</v>
      </c>
      <c r="L2860" s="6">
        <f>IFERROR(IF(INDEX(tProdutos[Desconto homologado],MATCH(tItens[[#This Row],[Produto]],tProdutos[Produto],0))="",DescontoPadrao,INDEX(tProdutos[Desconto homologado],MATCH(tItens[[#This Row],[Produto]],tProdutos[Produto],0))),DescontoPadrao)</f>
        <v>0.36</v>
      </c>
      <c r="M2860" s="12">
        <f>tItens[[#This Row],[Valor]]*(1-tItens[[#This Row],[Desconto]])</f>
        <v>0</v>
      </c>
      <c r="N2860" t="str">
        <f>IFERROR(INDEX(tProdutos[Foco],MATCH(tItens[[#This Row],[Produto]],tProdutos[Produto],0)),"Não")</f>
        <v>Sim</v>
      </c>
      <c r="O2860" t="str">
        <f>IFERROR(INDEX(tEditais[SRP],MATCH(tItens[[#This Row],[Edital]],tEditais[Edital],0)),"Não")</f>
        <v>Sim</v>
      </c>
      <c r="P2860" s="4">
        <f>IF(COUNTIFS(INDEX(tItens[Edital],1):tItens[[#This Row],[Edital]],tItens[[#This Row],[Edital]],INDEX(tItens[Produto],1):tItens[[#This Row],[Produto]],tItens[[#This Row],[Produto]])=1,1,0)</f>
        <v>0</v>
      </c>
    </row>
    <row r="2861" spans="1:16" x14ac:dyDescent="0.25">
      <c r="A2861" t="s">
        <v>1322</v>
      </c>
      <c r="B2861">
        <v>43</v>
      </c>
      <c r="C2861" t="s">
        <v>5792</v>
      </c>
      <c r="D2861" t="s">
        <v>494</v>
      </c>
      <c r="E2861" s="13">
        <v>50</v>
      </c>
      <c r="F2861" s="12">
        <v>0</v>
      </c>
      <c r="G2861" t="str">
        <f>IFERROR(INDEX(tEditais[Órgão],MATCH(tItens[[#This Row],[Edital]],tEditais[Edital],0)),"")</f>
        <v>MUNICIPIO DE RECREIO</v>
      </c>
      <c r="H2861" t="str">
        <f>IFERROR(INDEX(tEditais[UF],MATCH(tItens[[#This Row],[Edital]],tEditais[Edital],0)),"")</f>
        <v>MG</v>
      </c>
      <c r="I2861" s="11">
        <f>IFERROR(INDEX(tEditais[Encerramento],MATCH(tItens[[#This Row],[Edital]],tEditais[Edital],0)),"")</f>
        <v>46304.375</v>
      </c>
      <c r="J2861" t="str">
        <f>IFERROR(INDEX(tProdutos[Classe],MATCH(tItens[[#This Row],[Produto]],tProdutos[Produto],0)),"produto não cadastrado")</f>
        <v>FILA REBASE</v>
      </c>
      <c r="K2861" s="12">
        <f>tItens[[#This Row],[Qtd]]*tItens[[#This Row],[Vlr unit]]</f>
        <v>0</v>
      </c>
      <c r="L2861" s="6">
        <f>IFERROR(IF(INDEX(tProdutos[Desconto homologado],MATCH(tItens[[#This Row],[Produto]],tProdutos[Produto],0))="",DescontoPadrao,INDEX(tProdutos[Desconto homologado],MATCH(tItens[[#This Row],[Produto]],tProdutos[Produto],0))),DescontoPadrao)</f>
        <v>0.253736324829619</v>
      </c>
      <c r="M2861" s="12">
        <f>tItens[[#This Row],[Valor]]*(1-tItens[[#This Row],[Desconto]])</f>
        <v>0</v>
      </c>
      <c r="N2861" t="str">
        <f>IFERROR(INDEX(tProdutos[Foco],MATCH(tItens[[#This Row],[Produto]],tProdutos[Produto],0)),"Não")</f>
        <v>Não</v>
      </c>
      <c r="O2861" t="str">
        <f>IFERROR(INDEX(tEditais[SRP],MATCH(tItens[[#This Row],[Edital]],tEditais[Edital],0)),"Não")</f>
        <v>Sim</v>
      </c>
      <c r="P2861" s="4">
        <f>IF(COUNTIFS(INDEX(tItens[Edital],1):tItens[[#This Row],[Edital]],tItens[[#This Row],[Edital]],INDEX(tItens[Produto],1):tItens[[#This Row],[Produto]],tItens[[#This Row],[Produto]])=1,1,0)</f>
        <v>1</v>
      </c>
    </row>
    <row r="2862" spans="1:16" x14ac:dyDescent="0.25">
      <c r="A2862" t="s">
        <v>1322</v>
      </c>
      <c r="B2862">
        <v>44</v>
      </c>
      <c r="C2862" t="s">
        <v>5793</v>
      </c>
      <c r="D2862" t="s">
        <v>494</v>
      </c>
      <c r="E2862" s="13">
        <v>50</v>
      </c>
      <c r="F2862" s="12">
        <v>0</v>
      </c>
      <c r="G2862" t="str">
        <f>IFERROR(INDEX(tEditais[Órgão],MATCH(tItens[[#This Row],[Edital]],tEditais[Edital],0)),"")</f>
        <v>MUNICIPIO DE RECREIO</v>
      </c>
      <c r="H2862" t="str">
        <f>IFERROR(INDEX(tEditais[UF],MATCH(tItens[[#This Row],[Edital]],tEditais[Edital],0)),"")</f>
        <v>MG</v>
      </c>
      <c r="I2862" s="11">
        <f>IFERROR(INDEX(tEditais[Encerramento],MATCH(tItens[[#This Row],[Edital]],tEditais[Edital],0)),"")</f>
        <v>46304.375</v>
      </c>
      <c r="J2862" t="str">
        <f>IFERROR(INDEX(tProdutos[Classe],MATCH(tItens[[#This Row],[Produto]],tProdutos[Produto],0)),"produto não cadastrado")</f>
        <v>FILA REBASE</v>
      </c>
      <c r="K2862" s="12">
        <f>tItens[[#This Row],[Qtd]]*tItens[[#This Row],[Vlr unit]]</f>
        <v>0</v>
      </c>
      <c r="L2862" s="6">
        <f>IFERROR(IF(INDEX(tProdutos[Desconto homologado],MATCH(tItens[[#This Row],[Produto]],tProdutos[Produto],0))="",DescontoPadrao,INDEX(tProdutos[Desconto homologado],MATCH(tItens[[#This Row],[Produto]],tProdutos[Produto],0))),DescontoPadrao)</f>
        <v>0.253736324829619</v>
      </c>
      <c r="M2862" s="12">
        <f>tItens[[#This Row],[Valor]]*(1-tItens[[#This Row],[Desconto]])</f>
        <v>0</v>
      </c>
      <c r="N2862" t="str">
        <f>IFERROR(INDEX(tProdutos[Foco],MATCH(tItens[[#This Row],[Produto]],tProdutos[Produto],0)),"Não")</f>
        <v>Não</v>
      </c>
      <c r="O2862" t="str">
        <f>IFERROR(INDEX(tEditais[SRP],MATCH(tItens[[#This Row],[Edital]],tEditais[Edital],0)),"Não")</f>
        <v>Sim</v>
      </c>
      <c r="P2862" s="4">
        <f>IF(COUNTIFS(INDEX(tItens[Edital],1):tItens[[#This Row],[Edital]],tItens[[#This Row],[Edital]],INDEX(tItens[Produto],1):tItens[[#This Row],[Produto]],tItens[[#This Row],[Produto]])=1,1,0)</f>
        <v>0</v>
      </c>
    </row>
    <row r="2863" spans="1:16" x14ac:dyDescent="0.25">
      <c r="A2863" t="s">
        <v>1322</v>
      </c>
      <c r="B2863">
        <v>51</v>
      </c>
      <c r="C2863" t="s">
        <v>5794</v>
      </c>
      <c r="D2863" t="s">
        <v>178</v>
      </c>
      <c r="E2863" s="13">
        <v>500</v>
      </c>
      <c r="F2863" s="12">
        <v>0</v>
      </c>
      <c r="G2863" t="str">
        <f>IFERROR(INDEX(tEditais[Órgão],MATCH(tItens[[#This Row],[Edital]],tEditais[Edital],0)),"")</f>
        <v>MUNICIPIO DE RECREIO</v>
      </c>
      <c r="H2863" t="str">
        <f>IFERROR(INDEX(tEditais[UF],MATCH(tItens[[#This Row],[Edital]],tEditais[Edital],0)),"")</f>
        <v>MG</v>
      </c>
      <c r="I2863" s="11">
        <f>IFERROR(INDEX(tEditais[Encerramento],MATCH(tItens[[#This Row],[Edital]],tEditais[Edital],0)),"")</f>
        <v>46304.375</v>
      </c>
      <c r="J2863" t="str">
        <f>IFERROR(INDEX(tProdutos[Classe],MATCH(tItens[[#This Row],[Produto]],tProdutos[Produto],0)),"produto não cadastrado")</f>
        <v>DISPUTADO</v>
      </c>
      <c r="K2863" s="12">
        <f>tItens[[#This Row],[Qtd]]*tItens[[#This Row],[Vlr unit]]</f>
        <v>0</v>
      </c>
      <c r="L2863" s="6">
        <f>IFERROR(IF(INDEX(tProdutos[Desconto homologado],MATCH(tItens[[#This Row],[Produto]],tProdutos[Produto],0))="",DescontoPadrao,INDEX(tProdutos[Desconto homologado],MATCH(tItens[[#This Row],[Produto]],tProdutos[Produto],0))),DescontoPadrao)</f>
        <v>0.49882919126848801</v>
      </c>
      <c r="M2863" s="12">
        <f>tItens[[#This Row],[Valor]]*(1-tItens[[#This Row],[Desconto]])</f>
        <v>0</v>
      </c>
      <c r="N2863" t="str">
        <f>IFERROR(INDEX(tProdutos[Foco],MATCH(tItens[[#This Row],[Produto]],tProdutos[Produto],0)),"Não")</f>
        <v>Não</v>
      </c>
      <c r="O2863" t="str">
        <f>IFERROR(INDEX(tEditais[SRP],MATCH(tItens[[#This Row],[Edital]],tEditais[Edital],0)),"Não")</f>
        <v>Sim</v>
      </c>
      <c r="P2863" s="4">
        <f>IF(COUNTIFS(INDEX(tItens[Edital],1):tItens[[#This Row],[Edital]],tItens[[#This Row],[Edital]],INDEX(tItens[Produto],1):tItens[[#This Row],[Produto]],tItens[[#This Row],[Produto]])=1,1,0)</f>
        <v>1</v>
      </c>
    </row>
    <row r="2864" spans="1:16" x14ac:dyDescent="0.25">
      <c r="A2864" t="s">
        <v>1322</v>
      </c>
      <c r="B2864">
        <v>79</v>
      </c>
      <c r="C2864" t="s">
        <v>5795</v>
      </c>
      <c r="D2864" t="s">
        <v>421</v>
      </c>
      <c r="E2864" s="13">
        <v>50</v>
      </c>
      <c r="F2864" s="12">
        <v>0</v>
      </c>
      <c r="G2864" t="str">
        <f>IFERROR(INDEX(tEditais[Órgão],MATCH(tItens[[#This Row],[Edital]],tEditais[Edital],0)),"")</f>
        <v>MUNICIPIO DE RECREIO</v>
      </c>
      <c r="H2864" t="str">
        <f>IFERROR(INDEX(tEditais[UF],MATCH(tItens[[#This Row],[Edital]],tEditais[Edital],0)),"")</f>
        <v>MG</v>
      </c>
      <c r="I2864" s="11">
        <f>IFERROR(INDEX(tEditais[Encerramento],MATCH(tItens[[#This Row],[Edital]],tEditais[Edital],0)),"")</f>
        <v>46304.375</v>
      </c>
      <c r="J2864" t="str">
        <f>IFERROR(INDEX(tProdutos[Classe],MATCH(tItens[[#This Row],[Produto]],tProdutos[Produto],0)),"produto não cadastrado")</f>
        <v>FORA</v>
      </c>
      <c r="K2864" s="12">
        <f>tItens[[#This Row],[Qtd]]*tItens[[#This Row],[Vlr unit]]</f>
        <v>0</v>
      </c>
      <c r="L2864" s="6">
        <f>IFERROR(IF(INDEX(tProdutos[Desconto homologado],MATCH(tItens[[#This Row],[Produto]],tProdutos[Produto],0))="",DescontoPadrao,INDEX(tProdutos[Desconto homologado],MATCH(tItens[[#This Row],[Produto]],tProdutos[Produto],0))),DescontoPadrao)</f>
        <v>0.43</v>
      </c>
      <c r="M2864" s="12">
        <f>tItens[[#This Row],[Valor]]*(1-tItens[[#This Row],[Desconto]])</f>
        <v>0</v>
      </c>
      <c r="N2864" t="str">
        <f>IFERROR(INDEX(tProdutos[Foco],MATCH(tItens[[#This Row],[Produto]],tProdutos[Produto],0)),"Não")</f>
        <v>Sim</v>
      </c>
      <c r="O2864" t="str">
        <f>IFERROR(INDEX(tEditais[SRP],MATCH(tItens[[#This Row],[Edital]],tEditais[Edital],0)),"Não")</f>
        <v>Sim</v>
      </c>
      <c r="P2864" s="4">
        <f>IF(COUNTIFS(INDEX(tItens[Edital],1):tItens[[#This Row],[Edital]],tItens[[#This Row],[Edital]],INDEX(tItens[Produto],1):tItens[[#This Row],[Produto]],tItens[[#This Row],[Produto]])=1,1,0)</f>
        <v>1</v>
      </c>
    </row>
    <row r="2865" spans="1:16" x14ac:dyDescent="0.25">
      <c r="A2865" t="s">
        <v>1322</v>
      </c>
      <c r="B2865">
        <v>92</v>
      </c>
      <c r="C2865" t="s">
        <v>5796</v>
      </c>
      <c r="D2865" t="s">
        <v>160</v>
      </c>
      <c r="E2865" s="13">
        <v>1000</v>
      </c>
      <c r="F2865" s="12">
        <v>0</v>
      </c>
      <c r="G2865" t="str">
        <f>IFERROR(INDEX(tEditais[Órgão],MATCH(tItens[[#This Row],[Edital]],tEditais[Edital],0)),"")</f>
        <v>MUNICIPIO DE RECREIO</v>
      </c>
      <c r="H2865" t="str">
        <f>IFERROR(INDEX(tEditais[UF],MATCH(tItens[[#This Row],[Edital]],tEditais[Edital],0)),"")</f>
        <v>MG</v>
      </c>
      <c r="I2865" s="11">
        <f>IFERROR(INDEX(tEditais[Encerramento],MATCH(tItens[[#This Row],[Edital]],tEditais[Edital],0)),"")</f>
        <v>46304.375</v>
      </c>
      <c r="J2865" t="str">
        <f>IFERROR(INDEX(tProdutos[Classe],MATCH(tItens[[#This Row],[Produto]],tProdutos[Produto],0)),"produto não cadastrado")</f>
        <v>DISPUTADO</v>
      </c>
      <c r="K2865" s="12">
        <f>tItens[[#This Row],[Qtd]]*tItens[[#This Row],[Vlr unit]]</f>
        <v>0</v>
      </c>
      <c r="L2865" s="6">
        <f>IFERROR(IF(INDEX(tProdutos[Desconto homologado],MATCH(tItens[[#This Row],[Produto]],tProdutos[Produto],0))="",DescontoPadrao,INDEX(tProdutos[Desconto homologado],MATCH(tItens[[#This Row],[Produto]],tProdutos[Produto],0))),DescontoPadrao)</f>
        <v>0.28000000000000003</v>
      </c>
      <c r="M2865" s="12">
        <f>tItens[[#This Row],[Valor]]*(1-tItens[[#This Row],[Desconto]])</f>
        <v>0</v>
      </c>
      <c r="N2865" t="str">
        <f>IFERROR(INDEX(tProdutos[Foco],MATCH(tItens[[#This Row],[Produto]],tProdutos[Produto],0)),"Não")</f>
        <v>Sim</v>
      </c>
      <c r="O2865" t="str">
        <f>IFERROR(INDEX(tEditais[SRP],MATCH(tItens[[#This Row],[Edital]],tEditais[Edital],0)),"Não")</f>
        <v>Sim</v>
      </c>
      <c r="P2865" s="4">
        <f>IF(COUNTIFS(INDEX(tItens[Edital],1):tItens[[#This Row],[Edital]],tItens[[#This Row],[Edital]],INDEX(tItens[Produto],1):tItens[[#This Row],[Produto]],tItens[[#This Row],[Produto]])=1,1,0)</f>
        <v>1</v>
      </c>
    </row>
    <row r="2866" spans="1:16" x14ac:dyDescent="0.25">
      <c r="A2866" t="s">
        <v>1322</v>
      </c>
      <c r="B2866">
        <v>93</v>
      </c>
      <c r="C2866" t="s">
        <v>5797</v>
      </c>
      <c r="D2866" t="s">
        <v>184</v>
      </c>
      <c r="E2866" s="13">
        <v>200</v>
      </c>
      <c r="F2866" s="12">
        <v>0</v>
      </c>
      <c r="G2866" t="str">
        <f>IFERROR(INDEX(tEditais[Órgão],MATCH(tItens[[#This Row],[Edital]],tEditais[Edital],0)),"")</f>
        <v>MUNICIPIO DE RECREIO</v>
      </c>
      <c r="H2866" t="str">
        <f>IFERROR(INDEX(tEditais[UF],MATCH(tItens[[#This Row],[Edital]],tEditais[Edital],0)),"")</f>
        <v>MG</v>
      </c>
      <c r="I2866" s="11">
        <f>IFERROR(INDEX(tEditais[Encerramento],MATCH(tItens[[#This Row],[Edital]],tEditais[Edital],0)),"")</f>
        <v>46304.375</v>
      </c>
      <c r="J2866" t="str">
        <f>IFERROR(INDEX(tProdutos[Classe],MATCH(tItens[[#This Row],[Produto]],tProdutos[Produto],0)),"produto não cadastrado")</f>
        <v>FORA</v>
      </c>
      <c r="K2866" s="12">
        <f>tItens[[#This Row],[Qtd]]*tItens[[#This Row],[Vlr unit]]</f>
        <v>0</v>
      </c>
      <c r="L2866" s="6">
        <f>IFERROR(IF(INDEX(tProdutos[Desconto homologado],MATCH(tItens[[#This Row],[Produto]],tProdutos[Produto],0))="",DescontoPadrao,INDEX(tProdutos[Desconto homologado],MATCH(tItens[[#This Row],[Produto]],tProdutos[Produto],0))),DescontoPadrao)</f>
        <v>0.363567906332742</v>
      </c>
      <c r="M2866" s="12">
        <f>tItens[[#This Row],[Valor]]*(1-tItens[[#This Row],[Desconto]])</f>
        <v>0</v>
      </c>
      <c r="N2866" t="str">
        <f>IFERROR(INDEX(tProdutos[Foco],MATCH(tItens[[#This Row],[Produto]],tProdutos[Produto],0)),"Não")</f>
        <v>Não</v>
      </c>
      <c r="O2866" t="str">
        <f>IFERROR(INDEX(tEditais[SRP],MATCH(tItens[[#This Row],[Edital]],tEditais[Edital],0)),"Não")</f>
        <v>Sim</v>
      </c>
      <c r="P2866" s="4">
        <f>IF(COUNTIFS(INDEX(tItens[Edital],1):tItens[[#This Row],[Edital]],tItens[[#This Row],[Edital]],INDEX(tItens[Produto],1):tItens[[#This Row],[Produto]],tItens[[#This Row],[Produto]])=1,1,0)</f>
        <v>1</v>
      </c>
    </row>
    <row r="2867" spans="1:16" x14ac:dyDescent="0.25">
      <c r="A2867" t="s">
        <v>1322</v>
      </c>
      <c r="B2867">
        <v>94</v>
      </c>
      <c r="C2867" t="s">
        <v>5798</v>
      </c>
      <c r="D2867" t="s">
        <v>184</v>
      </c>
      <c r="E2867" s="13">
        <v>200</v>
      </c>
      <c r="F2867" s="12">
        <v>0</v>
      </c>
      <c r="G2867" t="str">
        <f>IFERROR(INDEX(tEditais[Órgão],MATCH(tItens[[#This Row],[Edital]],tEditais[Edital],0)),"")</f>
        <v>MUNICIPIO DE RECREIO</v>
      </c>
      <c r="H2867" t="str">
        <f>IFERROR(INDEX(tEditais[UF],MATCH(tItens[[#This Row],[Edital]],tEditais[Edital],0)),"")</f>
        <v>MG</v>
      </c>
      <c r="I2867" s="11">
        <f>IFERROR(INDEX(tEditais[Encerramento],MATCH(tItens[[#This Row],[Edital]],tEditais[Edital],0)),"")</f>
        <v>46304.375</v>
      </c>
      <c r="J2867" t="str">
        <f>IFERROR(INDEX(tProdutos[Classe],MATCH(tItens[[#This Row],[Produto]],tProdutos[Produto],0)),"produto não cadastrado")</f>
        <v>FORA</v>
      </c>
      <c r="K2867" s="12">
        <f>tItens[[#This Row],[Qtd]]*tItens[[#This Row],[Vlr unit]]</f>
        <v>0</v>
      </c>
      <c r="L2867" s="6">
        <f>IFERROR(IF(INDEX(tProdutos[Desconto homologado],MATCH(tItens[[#This Row],[Produto]],tProdutos[Produto],0))="",DescontoPadrao,INDEX(tProdutos[Desconto homologado],MATCH(tItens[[#This Row],[Produto]],tProdutos[Produto],0))),DescontoPadrao)</f>
        <v>0.363567906332742</v>
      </c>
      <c r="M2867" s="12">
        <f>tItens[[#This Row],[Valor]]*(1-tItens[[#This Row],[Desconto]])</f>
        <v>0</v>
      </c>
      <c r="N2867" t="str">
        <f>IFERROR(INDEX(tProdutos[Foco],MATCH(tItens[[#This Row],[Produto]],tProdutos[Produto],0)),"Não")</f>
        <v>Não</v>
      </c>
      <c r="O2867" t="str">
        <f>IFERROR(INDEX(tEditais[SRP],MATCH(tItens[[#This Row],[Edital]],tEditais[Edital],0)),"Não")</f>
        <v>Sim</v>
      </c>
      <c r="P2867" s="4">
        <f>IF(COUNTIFS(INDEX(tItens[Edital],1):tItens[[#This Row],[Edital]],tItens[[#This Row],[Edital]],INDEX(tItens[Produto],1):tItens[[#This Row],[Produto]],tItens[[#This Row],[Produto]])=1,1,0)</f>
        <v>0</v>
      </c>
    </row>
    <row r="2868" spans="1:16" x14ac:dyDescent="0.25">
      <c r="A2868" t="s">
        <v>1322</v>
      </c>
      <c r="B2868">
        <v>95</v>
      </c>
      <c r="C2868" t="s">
        <v>5799</v>
      </c>
      <c r="D2868" t="s">
        <v>184</v>
      </c>
      <c r="E2868" s="13">
        <v>200</v>
      </c>
      <c r="F2868" s="12">
        <v>0</v>
      </c>
      <c r="G2868" t="str">
        <f>IFERROR(INDEX(tEditais[Órgão],MATCH(tItens[[#This Row],[Edital]],tEditais[Edital],0)),"")</f>
        <v>MUNICIPIO DE RECREIO</v>
      </c>
      <c r="H2868" t="str">
        <f>IFERROR(INDEX(tEditais[UF],MATCH(tItens[[#This Row],[Edital]],tEditais[Edital],0)),"")</f>
        <v>MG</v>
      </c>
      <c r="I2868" s="11">
        <f>IFERROR(INDEX(tEditais[Encerramento],MATCH(tItens[[#This Row],[Edital]],tEditais[Edital],0)),"")</f>
        <v>46304.375</v>
      </c>
      <c r="J2868" t="str">
        <f>IFERROR(INDEX(tProdutos[Classe],MATCH(tItens[[#This Row],[Produto]],tProdutos[Produto],0)),"produto não cadastrado")</f>
        <v>FORA</v>
      </c>
      <c r="K2868" s="12">
        <f>tItens[[#This Row],[Qtd]]*tItens[[#This Row],[Vlr unit]]</f>
        <v>0</v>
      </c>
      <c r="L2868" s="6">
        <f>IFERROR(IF(INDEX(tProdutos[Desconto homologado],MATCH(tItens[[#This Row],[Produto]],tProdutos[Produto],0))="",DescontoPadrao,INDEX(tProdutos[Desconto homologado],MATCH(tItens[[#This Row],[Produto]],tProdutos[Produto],0))),DescontoPadrao)</f>
        <v>0.363567906332742</v>
      </c>
      <c r="M2868" s="12">
        <f>tItens[[#This Row],[Valor]]*(1-tItens[[#This Row],[Desconto]])</f>
        <v>0</v>
      </c>
      <c r="N2868" t="str">
        <f>IFERROR(INDEX(tProdutos[Foco],MATCH(tItens[[#This Row],[Produto]],tProdutos[Produto],0)),"Não")</f>
        <v>Não</v>
      </c>
      <c r="O2868" t="str">
        <f>IFERROR(INDEX(tEditais[SRP],MATCH(tItens[[#This Row],[Edital]],tEditais[Edital],0)),"Não")</f>
        <v>Sim</v>
      </c>
      <c r="P2868" s="4">
        <f>IF(COUNTIFS(INDEX(tItens[Edital],1):tItens[[#This Row],[Edital]],tItens[[#This Row],[Edital]],INDEX(tItens[Produto],1):tItens[[#This Row],[Produto]],tItens[[#This Row],[Produto]])=1,1,0)</f>
        <v>0</v>
      </c>
    </row>
    <row r="2869" spans="1:16" x14ac:dyDescent="0.25">
      <c r="A2869" t="s">
        <v>1322</v>
      </c>
      <c r="B2869">
        <v>96</v>
      </c>
      <c r="C2869" t="s">
        <v>5800</v>
      </c>
      <c r="D2869" t="s">
        <v>184</v>
      </c>
      <c r="E2869" s="13">
        <v>200</v>
      </c>
      <c r="F2869" s="12">
        <v>0</v>
      </c>
      <c r="G2869" t="str">
        <f>IFERROR(INDEX(tEditais[Órgão],MATCH(tItens[[#This Row],[Edital]],tEditais[Edital],0)),"")</f>
        <v>MUNICIPIO DE RECREIO</v>
      </c>
      <c r="H2869" t="str">
        <f>IFERROR(INDEX(tEditais[UF],MATCH(tItens[[#This Row],[Edital]],tEditais[Edital],0)),"")</f>
        <v>MG</v>
      </c>
      <c r="I2869" s="11">
        <f>IFERROR(INDEX(tEditais[Encerramento],MATCH(tItens[[#This Row],[Edital]],tEditais[Edital],0)),"")</f>
        <v>46304.375</v>
      </c>
      <c r="J2869" t="str">
        <f>IFERROR(INDEX(tProdutos[Classe],MATCH(tItens[[#This Row],[Produto]],tProdutos[Produto],0)),"produto não cadastrado")</f>
        <v>FORA</v>
      </c>
      <c r="K2869" s="12">
        <f>tItens[[#This Row],[Qtd]]*tItens[[#This Row],[Vlr unit]]</f>
        <v>0</v>
      </c>
      <c r="L2869" s="6">
        <f>IFERROR(IF(INDEX(tProdutos[Desconto homologado],MATCH(tItens[[#This Row],[Produto]],tProdutos[Produto],0))="",DescontoPadrao,INDEX(tProdutos[Desconto homologado],MATCH(tItens[[#This Row],[Produto]],tProdutos[Produto],0))),DescontoPadrao)</f>
        <v>0.363567906332742</v>
      </c>
      <c r="M2869" s="12">
        <f>tItens[[#This Row],[Valor]]*(1-tItens[[#This Row],[Desconto]])</f>
        <v>0</v>
      </c>
      <c r="N2869" t="str">
        <f>IFERROR(INDEX(tProdutos[Foco],MATCH(tItens[[#This Row],[Produto]],tProdutos[Produto],0)),"Não")</f>
        <v>Não</v>
      </c>
      <c r="O2869" t="str">
        <f>IFERROR(INDEX(tEditais[SRP],MATCH(tItens[[#This Row],[Edital]],tEditais[Edital],0)),"Não")</f>
        <v>Sim</v>
      </c>
      <c r="P2869" s="4">
        <f>IF(COUNTIFS(INDEX(tItens[Edital],1):tItens[[#This Row],[Edital]],tItens[[#This Row],[Edital]],INDEX(tItens[Produto],1):tItens[[#This Row],[Produto]],tItens[[#This Row],[Produto]])=1,1,0)</f>
        <v>0</v>
      </c>
    </row>
    <row r="2870" spans="1:16" x14ac:dyDescent="0.25">
      <c r="A2870" t="s">
        <v>1322</v>
      </c>
      <c r="B2870">
        <v>97</v>
      </c>
      <c r="C2870" t="s">
        <v>5801</v>
      </c>
      <c r="D2870" t="s">
        <v>184</v>
      </c>
      <c r="E2870" s="13">
        <v>200</v>
      </c>
      <c r="F2870" s="12">
        <v>0</v>
      </c>
      <c r="G2870" t="str">
        <f>IFERROR(INDEX(tEditais[Órgão],MATCH(tItens[[#This Row],[Edital]],tEditais[Edital],0)),"")</f>
        <v>MUNICIPIO DE RECREIO</v>
      </c>
      <c r="H2870" t="str">
        <f>IFERROR(INDEX(tEditais[UF],MATCH(tItens[[#This Row],[Edital]],tEditais[Edital],0)),"")</f>
        <v>MG</v>
      </c>
      <c r="I2870" s="11">
        <f>IFERROR(INDEX(tEditais[Encerramento],MATCH(tItens[[#This Row],[Edital]],tEditais[Edital],0)),"")</f>
        <v>46304.375</v>
      </c>
      <c r="J2870" t="str">
        <f>IFERROR(INDEX(tProdutos[Classe],MATCH(tItens[[#This Row],[Produto]],tProdutos[Produto],0)),"produto não cadastrado")</f>
        <v>FORA</v>
      </c>
      <c r="K2870" s="12">
        <f>tItens[[#This Row],[Qtd]]*tItens[[#This Row],[Vlr unit]]</f>
        <v>0</v>
      </c>
      <c r="L2870" s="6">
        <f>IFERROR(IF(INDEX(tProdutos[Desconto homologado],MATCH(tItens[[#This Row],[Produto]],tProdutos[Produto],0))="",DescontoPadrao,INDEX(tProdutos[Desconto homologado],MATCH(tItens[[#This Row],[Produto]],tProdutos[Produto],0))),DescontoPadrao)</f>
        <v>0.363567906332742</v>
      </c>
      <c r="M2870" s="12">
        <f>tItens[[#This Row],[Valor]]*(1-tItens[[#This Row],[Desconto]])</f>
        <v>0</v>
      </c>
      <c r="N2870" t="str">
        <f>IFERROR(INDEX(tProdutos[Foco],MATCH(tItens[[#This Row],[Produto]],tProdutos[Produto],0)),"Não")</f>
        <v>Não</v>
      </c>
      <c r="O2870" t="str">
        <f>IFERROR(INDEX(tEditais[SRP],MATCH(tItens[[#This Row],[Edital]],tEditais[Edital],0)),"Não")</f>
        <v>Sim</v>
      </c>
      <c r="P2870" s="4">
        <f>IF(COUNTIFS(INDEX(tItens[Edital],1):tItens[[#This Row],[Edital]],tItens[[#This Row],[Edital]],INDEX(tItens[Produto],1):tItens[[#This Row],[Produto]],tItens[[#This Row],[Produto]])=1,1,0)</f>
        <v>0</v>
      </c>
    </row>
    <row r="2871" spans="1:16" x14ac:dyDescent="0.25">
      <c r="A2871" t="s">
        <v>1322</v>
      </c>
      <c r="B2871">
        <v>98</v>
      </c>
      <c r="C2871" t="s">
        <v>5802</v>
      </c>
      <c r="D2871" t="s">
        <v>184</v>
      </c>
      <c r="E2871" s="13">
        <v>200</v>
      </c>
      <c r="F2871" s="12">
        <v>0</v>
      </c>
      <c r="G2871" t="str">
        <f>IFERROR(INDEX(tEditais[Órgão],MATCH(tItens[[#This Row],[Edital]],tEditais[Edital],0)),"")</f>
        <v>MUNICIPIO DE RECREIO</v>
      </c>
      <c r="H2871" t="str">
        <f>IFERROR(INDEX(tEditais[UF],MATCH(tItens[[#This Row],[Edital]],tEditais[Edital],0)),"")</f>
        <v>MG</v>
      </c>
      <c r="I2871" s="11">
        <f>IFERROR(INDEX(tEditais[Encerramento],MATCH(tItens[[#This Row],[Edital]],tEditais[Edital],0)),"")</f>
        <v>46304.375</v>
      </c>
      <c r="J2871" t="str">
        <f>IFERROR(INDEX(tProdutos[Classe],MATCH(tItens[[#This Row],[Produto]],tProdutos[Produto],0)),"produto não cadastrado")</f>
        <v>FORA</v>
      </c>
      <c r="K2871" s="12">
        <f>tItens[[#This Row],[Qtd]]*tItens[[#This Row],[Vlr unit]]</f>
        <v>0</v>
      </c>
      <c r="L2871" s="6">
        <f>IFERROR(IF(INDEX(tProdutos[Desconto homologado],MATCH(tItens[[#This Row],[Produto]],tProdutos[Produto],0))="",DescontoPadrao,INDEX(tProdutos[Desconto homologado],MATCH(tItens[[#This Row],[Produto]],tProdutos[Produto],0))),DescontoPadrao)</f>
        <v>0.363567906332742</v>
      </c>
      <c r="M2871" s="12">
        <f>tItens[[#This Row],[Valor]]*(1-tItens[[#This Row],[Desconto]])</f>
        <v>0</v>
      </c>
      <c r="N2871" t="str">
        <f>IFERROR(INDEX(tProdutos[Foco],MATCH(tItens[[#This Row],[Produto]],tProdutos[Produto],0)),"Não")</f>
        <v>Não</v>
      </c>
      <c r="O2871" t="str">
        <f>IFERROR(INDEX(tEditais[SRP],MATCH(tItens[[#This Row],[Edital]],tEditais[Edital],0)),"Não")</f>
        <v>Sim</v>
      </c>
      <c r="P2871" s="4">
        <f>IF(COUNTIFS(INDEX(tItens[Edital],1):tItens[[#This Row],[Edital]],tItens[[#This Row],[Edital]],INDEX(tItens[Produto],1):tItens[[#This Row],[Produto]],tItens[[#This Row],[Produto]])=1,1,0)</f>
        <v>0</v>
      </c>
    </row>
    <row r="2872" spans="1:16" x14ac:dyDescent="0.25">
      <c r="A2872" t="s">
        <v>1322</v>
      </c>
      <c r="B2872">
        <v>99</v>
      </c>
      <c r="C2872" t="s">
        <v>5803</v>
      </c>
      <c r="D2872" t="s">
        <v>184</v>
      </c>
      <c r="E2872" s="13">
        <v>200</v>
      </c>
      <c r="F2872" s="12">
        <v>0</v>
      </c>
      <c r="G2872" t="str">
        <f>IFERROR(INDEX(tEditais[Órgão],MATCH(tItens[[#This Row],[Edital]],tEditais[Edital],0)),"")</f>
        <v>MUNICIPIO DE RECREIO</v>
      </c>
      <c r="H2872" t="str">
        <f>IFERROR(INDEX(tEditais[UF],MATCH(tItens[[#This Row],[Edital]],tEditais[Edital],0)),"")</f>
        <v>MG</v>
      </c>
      <c r="I2872" s="11">
        <f>IFERROR(INDEX(tEditais[Encerramento],MATCH(tItens[[#This Row],[Edital]],tEditais[Edital],0)),"")</f>
        <v>46304.375</v>
      </c>
      <c r="J2872" t="str">
        <f>IFERROR(INDEX(tProdutos[Classe],MATCH(tItens[[#This Row],[Produto]],tProdutos[Produto],0)),"produto não cadastrado")</f>
        <v>FORA</v>
      </c>
      <c r="K2872" s="12">
        <f>tItens[[#This Row],[Qtd]]*tItens[[#This Row],[Vlr unit]]</f>
        <v>0</v>
      </c>
      <c r="L2872" s="6">
        <f>IFERROR(IF(INDEX(tProdutos[Desconto homologado],MATCH(tItens[[#This Row],[Produto]],tProdutos[Produto],0))="",DescontoPadrao,INDEX(tProdutos[Desconto homologado],MATCH(tItens[[#This Row],[Produto]],tProdutos[Produto],0))),DescontoPadrao)</f>
        <v>0.363567906332742</v>
      </c>
      <c r="M2872" s="12">
        <f>tItens[[#This Row],[Valor]]*(1-tItens[[#This Row],[Desconto]])</f>
        <v>0</v>
      </c>
      <c r="N2872" t="str">
        <f>IFERROR(INDEX(tProdutos[Foco],MATCH(tItens[[#This Row],[Produto]],tProdutos[Produto],0)),"Não")</f>
        <v>Não</v>
      </c>
      <c r="O2872" t="str">
        <f>IFERROR(INDEX(tEditais[SRP],MATCH(tItens[[#This Row],[Edital]],tEditais[Edital],0)),"Não")</f>
        <v>Sim</v>
      </c>
      <c r="P2872" s="4">
        <f>IF(COUNTIFS(INDEX(tItens[Edital],1):tItens[[#This Row],[Edital]],tItens[[#This Row],[Edital]],INDEX(tItens[Produto],1):tItens[[#This Row],[Produto]],tItens[[#This Row],[Produto]])=1,1,0)</f>
        <v>0</v>
      </c>
    </row>
    <row r="2873" spans="1:16" x14ac:dyDescent="0.25">
      <c r="A2873" t="s">
        <v>1322</v>
      </c>
      <c r="B2873">
        <v>100</v>
      </c>
      <c r="C2873" t="s">
        <v>5804</v>
      </c>
      <c r="D2873" t="s">
        <v>184</v>
      </c>
      <c r="E2873" s="13">
        <v>200</v>
      </c>
      <c r="F2873" s="12">
        <v>0</v>
      </c>
      <c r="G2873" t="str">
        <f>IFERROR(INDEX(tEditais[Órgão],MATCH(tItens[[#This Row],[Edital]],tEditais[Edital],0)),"")</f>
        <v>MUNICIPIO DE RECREIO</v>
      </c>
      <c r="H2873" t="str">
        <f>IFERROR(INDEX(tEditais[UF],MATCH(tItens[[#This Row],[Edital]],tEditais[Edital],0)),"")</f>
        <v>MG</v>
      </c>
      <c r="I2873" s="11">
        <f>IFERROR(INDEX(tEditais[Encerramento],MATCH(tItens[[#This Row],[Edital]],tEditais[Edital],0)),"")</f>
        <v>46304.375</v>
      </c>
      <c r="J2873" t="str">
        <f>IFERROR(INDEX(tProdutos[Classe],MATCH(tItens[[#This Row],[Produto]],tProdutos[Produto],0)),"produto não cadastrado")</f>
        <v>FORA</v>
      </c>
      <c r="K2873" s="12">
        <f>tItens[[#This Row],[Qtd]]*tItens[[#This Row],[Vlr unit]]</f>
        <v>0</v>
      </c>
      <c r="L2873" s="6">
        <f>IFERROR(IF(INDEX(tProdutos[Desconto homologado],MATCH(tItens[[#This Row],[Produto]],tProdutos[Produto],0))="",DescontoPadrao,INDEX(tProdutos[Desconto homologado],MATCH(tItens[[#This Row],[Produto]],tProdutos[Produto],0))),DescontoPadrao)</f>
        <v>0.363567906332742</v>
      </c>
      <c r="M2873" s="12">
        <f>tItens[[#This Row],[Valor]]*(1-tItens[[#This Row],[Desconto]])</f>
        <v>0</v>
      </c>
      <c r="N2873" t="str">
        <f>IFERROR(INDEX(tProdutos[Foco],MATCH(tItens[[#This Row],[Produto]],tProdutos[Produto],0)),"Não")</f>
        <v>Não</v>
      </c>
      <c r="O2873" t="str">
        <f>IFERROR(INDEX(tEditais[SRP],MATCH(tItens[[#This Row],[Edital]],tEditais[Edital],0)),"Não")</f>
        <v>Sim</v>
      </c>
      <c r="P2873" s="4">
        <f>IF(COUNTIFS(INDEX(tItens[Edital],1):tItens[[#This Row],[Edital]],tItens[[#This Row],[Edital]],INDEX(tItens[Produto],1):tItens[[#This Row],[Produto]],tItens[[#This Row],[Produto]])=1,1,0)</f>
        <v>0</v>
      </c>
    </row>
    <row r="2874" spans="1:16" x14ac:dyDescent="0.25">
      <c r="A2874" t="s">
        <v>1322</v>
      </c>
      <c r="B2874">
        <v>101</v>
      </c>
      <c r="C2874" t="s">
        <v>5805</v>
      </c>
      <c r="D2874" t="s">
        <v>184</v>
      </c>
      <c r="E2874" s="13">
        <v>200</v>
      </c>
      <c r="F2874" s="12">
        <v>0</v>
      </c>
      <c r="G2874" t="str">
        <f>IFERROR(INDEX(tEditais[Órgão],MATCH(tItens[[#This Row],[Edital]],tEditais[Edital],0)),"")</f>
        <v>MUNICIPIO DE RECREIO</v>
      </c>
      <c r="H2874" t="str">
        <f>IFERROR(INDEX(tEditais[UF],MATCH(tItens[[#This Row],[Edital]],tEditais[Edital],0)),"")</f>
        <v>MG</v>
      </c>
      <c r="I2874" s="11">
        <f>IFERROR(INDEX(tEditais[Encerramento],MATCH(tItens[[#This Row],[Edital]],tEditais[Edital],0)),"")</f>
        <v>46304.375</v>
      </c>
      <c r="J2874" t="str">
        <f>IFERROR(INDEX(tProdutos[Classe],MATCH(tItens[[#This Row],[Produto]],tProdutos[Produto],0)),"produto não cadastrado")</f>
        <v>FORA</v>
      </c>
      <c r="K2874" s="12">
        <f>tItens[[#This Row],[Qtd]]*tItens[[#This Row],[Vlr unit]]</f>
        <v>0</v>
      </c>
      <c r="L2874" s="6">
        <f>IFERROR(IF(INDEX(tProdutos[Desconto homologado],MATCH(tItens[[#This Row],[Produto]],tProdutos[Produto],0))="",DescontoPadrao,INDEX(tProdutos[Desconto homologado],MATCH(tItens[[#This Row],[Produto]],tProdutos[Produto],0))),DescontoPadrao)</f>
        <v>0.363567906332742</v>
      </c>
      <c r="M2874" s="12">
        <f>tItens[[#This Row],[Valor]]*(1-tItens[[#This Row],[Desconto]])</f>
        <v>0</v>
      </c>
      <c r="N2874" t="str">
        <f>IFERROR(INDEX(tProdutos[Foco],MATCH(tItens[[#This Row],[Produto]],tProdutos[Produto],0)),"Não")</f>
        <v>Não</v>
      </c>
      <c r="O2874" t="str">
        <f>IFERROR(INDEX(tEditais[SRP],MATCH(tItens[[#This Row],[Edital]],tEditais[Edital],0)),"Não")</f>
        <v>Sim</v>
      </c>
      <c r="P2874" s="4">
        <f>IF(COUNTIFS(INDEX(tItens[Edital],1):tItens[[#This Row],[Edital]],tItens[[#This Row],[Edital]],INDEX(tItens[Produto],1):tItens[[#This Row],[Produto]],tItens[[#This Row],[Produto]])=1,1,0)</f>
        <v>0</v>
      </c>
    </row>
    <row r="2875" spans="1:16" x14ac:dyDescent="0.25">
      <c r="A2875" t="s">
        <v>1322</v>
      </c>
      <c r="B2875">
        <v>102</v>
      </c>
      <c r="C2875" t="s">
        <v>5806</v>
      </c>
      <c r="D2875" t="s">
        <v>184</v>
      </c>
      <c r="E2875" s="13">
        <v>200</v>
      </c>
      <c r="F2875" s="12">
        <v>0</v>
      </c>
      <c r="G2875" t="str">
        <f>IFERROR(INDEX(tEditais[Órgão],MATCH(tItens[[#This Row],[Edital]],tEditais[Edital],0)),"")</f>
        <v>MUNICIPIO DE RECREIO</v>
      </c>
      <c r="H2875" t="str">
        <f>IFERROR(INDEX(tEditais[UF],MATCH(tItens[[#This Row],[Edital]],tEditais[Edital],0)),"")</f>
        <v>MG</v>
      </c>
      <c r="I2875" s="11">
        <f>IFERROR(INDEX(tEditais[Encerramento],MATCH(tItens[[#This Row],[Edital]],tEditais[Edital],0)),"")</f>
        <v>46304.375</v>
      </c>
      <c r="J2875" t="str">
        <f>IFERROR(INDEX(tProdutos[Classe],MATCH(tItens[[#This Row],[Produto]],tProdutos[Produto],0)),"produto não cadastrado")</f>
        <v>FORA</v>
      </c>
      <c r="K2875" s="12">
        <f>tItens[[#This Row],[Qtd]]*tItens[[#This Row],[Vlr unit]]</f>
        <v>0</v>
      </c>
      <c r="L2875" s="6">
        <f>IFERROR(IF(INDEX(tProdutos[Desconto homologado],MATCH(tItens[[#This Row],[Produto]],tProdutos[Produto],0))="",DescontoPadrao,INDEX(tProdutos[Desconto homologado],MATCH(tItens[[#This Row],[Produto]],tProdutos[Produto],0))),DescontoPadrao)</f>
        <v>0.363567906332742</v>
      </c>
      <c r="M2875" s="12">
        <f>tItens[[#This Row],[Valor]]*(1-tItens[[#This Row],[Desconto]])</f>
        <v>0</v>
      </c>
      <c r="N2875" t="str">
        <f>IFERROR(INDEX(tProdutos[Foco],MATCH(tItens[[#This Row],[Produto]],tProdutos[Produto],0)),"Não")</f>
        <v>Não</v>
      </c>
      <c r="O2875" t="str">
        <f>IFERROR(INDEX(tEditais[SRP],MATCH(tItens[[#This Row],[Edital]],tEditais[Edital],0)),"Não")</f>
        <v>Sim</v>
      </c>
      <c r="P2875" s="4">
        <f>IF(COUNTIFS(INDEX(tItens[Edital],1):tItens[[#This Row],[Edital]],tItens[[#This Row],[Edital]],INDEX(tItens[Produto],1):tItens[[#This Row],[Produto]],tItens[[#This Row],[Produto]])=1,1,0)</f>
        <v>0</v>
      </c>
    </row>
    <row r="2876" spans="1:16" x14ac:dyDescent="0.25">
      <c r="A2876" t="s">
        <v>1327</v>
      </c>
      <c r="B2876">
        <v>8043891</v>
      </c>
      <c r="C2876" t="s">
        <v>5807</v>
      </c>
      <c r="D2876" t="s">
        <v>345</v>
      </c>
      <c r="E2876" s="13">
        <v>12240</v>
      </c>
      <c r="F2876" s="12">
        <v>2.38</v>
      </c>
      <c r="G2876" t="str">
        <f>IFERROR(INDEX(tEditais[Órgão],MATCH(tItens[[#This Row],[Edital]],tEditais[Edital],0)),"")</f>
        <v>MUNICIPIO DE AGUA COMPRIDA</v>
      </c>
      <c r="H2876" t="str">
        <f>IFERROR(INDEX(tEditais[UF],MATCH(tItens[[#This Row],[Edital]],tEditais[Edital],0)),"")</f>
        <v>MG</v>
      </c>
      <c r="I2876" s="11">
        <f>IFERROR(INDEX(tEditais[Encerramento],MATCH(tItens[[#This Row],[Edital]],tEditais[Edital],0)),"")</f>
        <v>46304.375</v>
      </c>
      <c r="J2876" t="str">
        <f>IFERROR(INDEX(tProdutos[Classe],MATCH(tItens[[#This Row],[Produto]],tProdutos[Produto],0)),"produto não cadastrado")</f>
        <v>FORA</v>
      </c>
      <c r="K2876" s="12">
        <f>tItens[[#This Row],[Qtd]]*tItens[[#This Row],[Vlr unit]]</f>
        <v>29131.199999999997</v>
      </c>
      <c r="L2876" s="6">
        <f>IFERROR(IF(INDEX(tProdutos[Desconto homologado],MATCH(tItens[[#This Row],[Produto]],tProdutos[Produto],0))="",DescontoPadrao,INDEX(tProdutos[Desconto homologado],MATCH(tItens[[#This Row],[Produto]],tProdutos[Produto],0))),DescontoPadrao)</f>
        <v>0.412394275616498</v>
      </c>
      <c r="M2876" s="12">
        <f>tItens[[#This Row],[Valor]]*(1-tItens[[#This Row],[Desconto]])</f>
        <v>17117.659878160674</v>
      </c>
      <c r="N2876" t="str">
        <f>IFERROR(INDEX(tProdutos[Foco],MATCH(tItens[[#This Row],[Produto]],tProdutos[Produto],0)),"Não")</f>
        <v>Não</v>
      </c>
      <c r="O2876" t="str">
        <f>IFERROR(INDEX(tEditais[SRP],MATCH(tItens[[#This Row],[Edital]],tEditais[Edital],0)),"Não")</f>
        <v>Sim</v>
      </c>
      <c r="P2876" s="4">
        <f>IF(COUNTIFS(INDEX(tItens[Edital],1):tItens[[#This Row],[Edital]],tItens[[#This Row],[Edital]],INDEX(tItens[Produto],1):tItens[[#This Row],[Produto]],tItens[[#This Row],[Produto]])=1,1,0)</f>
        <v>1</v>
      </c>
    </row>
    <row r="2877" spans="1:16" x14ac:dyDescent="0.25">
      <c r="A2877" t="s">
        <v>1327</v>
      </c>
      <c r="B2877">
        <v>8043892</v>
      </c>
      <c r="C2877" t="s">
        <v>5808</v>
      </c>
      <c r="D2877" t="s">
        <v>345</v>
      </c>
      <c r="E2877" s="13">
        <v>51816</v>
      </c>
      <c r="F2877" s="12">
        <v>2.17</v>
      </c>
      <c r="G2877" t="str">
        <f>IFERROR(INDEX(tEditais[Órgão],MATCH(tItens[[#This Row],[Edital]],tEditais[Edital],0)),"")</f>
        <v>MUNICIPIO DE AGUA COMPRIDA</v>
      </c>
      <c r="H2877" t="str">
        <f>IFERROR(INDEX(tEditais[UF],MATCH(tItens[[#This Row],[Edital]],tEditais[Edital],0)),"")</f>
        <v>MG</v>
      </c>
      <c r="I2877" s="11">
        <f>IFERROR(INDEX(tEditais[Encerramento],MATCH(tItens[[#This Row],[Edital]],tEditais[Edital],0)),"")</f>
        <v>46304.375</v>
      </c>
      <c r="J2877" t="str">
        <f>IFERROR(INDEX(tProdutos[Classe],MATCH(tItens[[#This Row],[Produto]],tProdutos[Produto],0)),"produto não cadastrado")</f>
        <v>FORA</v>
      </c>
      <c r="K2877" s="12">
        <f>tItens[[#This Row],[Qtd]]*tItens[[#This Row],[Vlr unit]]</f>
        <v>112440.72</v>
      </c>
      <c r="L2877" s="6">
        <f>IFERROR(IF(INDEX(tProdutos[Desconto homologado],MATCH(tItens[[#This Row],[Produto]],tProdutos[Produto],0))="",DescontoPadrao,INDEX(tProdutos[Desconto homologado],MATCH(tItens[[#This Row],[Produto]],tProdutos[Produto],0))),DescontoPadrao)</f>
        <v>0.412394275616498</v>
      </c>
      <c r="M2877" s="12">
        <f>tItens[[#This Row],[Valor]]*(1-tItens[[#This Row],[Desconto]])</f>
        <v>66070.810725802527</v>
      </c>
      <c r="N2877" t="str">
        <f>IFERROR(INDEX(tProdutos[Foco],MATCH(tItens[[#This Row],[Produto]],tProdutos[Produto],0)),"Não")</f>
        <v>Não</v>
      </c>
      <c r="O2877" t="str">
        <f>IFERROR(INDEX(tEditais[SRP],MATCH(tItens[[#This Row],[Edital]],tEditais[Edital],0)),"Não")</f>
        <v>Sim</v>
      </c>
      <c r="P2877" s="4">
        <f>IF(COUNTIFS(INDEX(tItens[Edital],1):tItens[[#This Row],[Edital]],tItens[[#This Row],[Edital]],INDEX(tItens[Produto],1):tItens[[#This Row],[Produto]],tItens[[#This Row],[Produto]])=1,1,0)</f>
        <v>0</v>
      </c>
    </row>
    <row r="2878" spans="1:16" x14ac:dyDescent="0.25">
      <c r="A2878" t="s">
        <v>1327</v>
      </c>
      <c r="B2878">
        <v>8043893</v>
      </c>
      <c r="C2878" t="s">
        <v>5809</v>
      </c>
      <c r="D2878" t="s">
        <v>345</v>
      </c>
      <c r="E2878" s="13">
        <v>12240</v>
      </c>
      <c r="F2878" s="12">
        <v>2.2000000000000002</v>
      </c>
      <c r="G2878" t="str">
        <f>IFERROR(INDEX(tEditais[Órgão],MATCH(tItens[[#This Row],[Edital]],tEditais[Edital],0)),"")</f>
        <v>MUNICIPIO DE AGUA COMPRIDA</v>
      </c>
      <c r="H2878" t="str">
        <f>IFERROR(INDEX(tEditais[UF],MATCH(tItens[[#This Row],[Edital]],tEditais[Edital],0)),"")</f>
        <v>MG</v>
      </c>
      <c r="I2878" s="11">
        <f>IFERROR(INDEX(tEditais[Encerramento],MATCH(tItens[[#This Row],[Edital]],tEditais[Edital],0)),"")</f>
        <v>46304.375</v>
      </c>
      <c r="J2878" t="str">
        <f>IFERROR(INDEX(tProdutos[Classe],MATCH(tItens[[#This Row],[Produto]],tProdutos[Produto],0)),"produto não cadastrado")</f>
        <v>FORA</v>
      </c>
      <c r="K2878" s="12">
        <f>tItens[[#This Row],[Qtd]]*tItens[[#This Row],[Vlr unit]]</f>
        <v>26928.000000000004</v>
      </c>
      <c r="L2878" s="6">
        <f>IFERROR(IF(INDEX(tProdutos[Desconto homologado],MATCH(tItens[[#This Row],[Produto]],tProdutos[Produto],0))="",DescontoPadrao,INDEX(tProdutos[Desconto homologado],MATCH(tItens[[#This Row],[Produto]],tProdutos[Produto],0))),DescontoPadrao)</f>
        <v>0.412394275616498</v>
      </c>
      <c r="M2878" s="12">
        <f>tItens[[#This Row],[Valor]]*(1-tItens[[#This Row],[Desconto]])</f>
        <v>15823.046946198943</v>
      </c>
      <c r="N2878" t="str">
        <f>IFERROR(INDEX(tProdutos[Foco],MATCH(tItens[[#This Row],[Produto]],tProdutos[Produto],0)),"Não")</f>
        <v>Não</v>
      </c>
      <c r="O2878" t="str">
        <f>IFERROR(INDEX(tEditais[SRP],MATCH(tItens[[#This Row],[Edital]],tEditais[Edital],0)),"Não")</f>
        <v>Sim</v>
      </c>
      <c r="P2878" s="4">
        <f>IF(COUNTIFS(INDEX(tItens[Edital],1):tItens[[#This Row],[Edital]],tItens[[#This Row],[Edital]],INDEX(tItens[Produto],1):tItens[[#This Row],[Produto]],tItens[[#This Row],[Produto]])=1,1,0)</f>
        <v>0</v>
      </c>
    </row>
    <row r="2879" spans="1:16" x14ac:dyDescent="0.25">
      <c r="A2879" t="s">
        <v>1327</v>
      </c>
      <c r="B2879">
        <v>8043894</v>
      </c>
      <c r="C2879" t="s">
        <v>5810</v>
      </c>
      <c r="D2879" t="s">
        <v>345</v>
      </c>
      <c r="E2879" s="13">
        <v>12240</v>
      </c>
      <c r="F2879" s="12">
        <v>2.2000000000000002</v>
      </c>
      <c r="G2879" t="str">
        <f>IFERROR(INDEX(tEditais[Órgão],MATCH(tItens[[#This Row],[Edital]],tEditais[Edital],0)),"")</f>
        <v>MUNICIPIO DE AGUA COMPRIDA</v>
      </c>
      <c r="H2879" t="str">
        <f>IFERROR(INDEX(tEditais[UF],MATCH(tItens[[#This Row],[Edital]],tEditais[Edital],0)),"")</f>
        <v>MG</v>
      </c>
      <c r="I2879" s="11">
        <f>IFERROR(INDEX(tEditais[Encerramento],MATCH(tItens[[#This Row],[Edital]],tEditais[Edital],0)),"")</f>
        <v>46304.375</v>
      </c>
      <c r="J2879" t="str">
        <f>IFERROR(INDEX(tProdutos[Classe],MATCH(tItens[[#This Row],[Produto]],tProdutos[Produto],0)),"produto não cadastrado")</f>
        <v>FORA</v>
      </c>
      <c r="K2879" s="12">
        <f>tItens[[#This Row],[Qtd]]*tItens[[#This Row],[Vlr unit]]</f>
        <v>26928.000000000004</v>
      </c>
      <c r="L2879" s="6">
        <f>IFERROR(IF(INDEX(tProdutos[Desconto homologado],MATCH(tItens[[#This Row],[Produto]],tProdutos[Produto],0))="",DescontoPadrao,INDEX(tProdutos[Desconto homologado],MATCH(tItens[[#This Row],[Produto]],tProdutos[Produto],0))),DescontoPadrao)</f>
        <v>0.412394275616498</v>
      </c>
      <c r="M2879" s="12">
        <f>tItens[[#This Row],[Valor]]*(1-tItens[[#This Row],[Desconto]])</f>
        <v>15823.046946198943</v>
      </c>
      <c r="N2879" t="str">
        <f>IFERROR(INDEX(tProdutos[Foco],MATCH(tItens[[#This Row],[Produto]],tProdutos[Produto],0)),"Não")</f>
        <v>Não</v>
      </c>
      <c r="O2879" t="str">
        <f>IFERROR(INDEX(tEditais[SRP],MATCH(tItens[[#This Row],[Edital]],tEditais[Edital],0)),"Não")</f>
        <v>Sim</v>
      </c>
      <c r="P2879" s="4">
        <f>IF(COUNTIFS(INDEX(tItens[Edital],1):tItens[[#This Row],[Edital]],tItens[[#This Row],[Edital]],INDEX(tItens[Produto],1):tItens[[#This Row],[Produto]],tItens[[#This Row],[Produto]])=1,1,0)</f>
        <v>0</v>
      </c>
    </row>
    <row r="2880" spans="1:16" x14ac:dyDescent="0.25">
      <c r="A2880" t="s">
        <v>1330</v>
      </c>
      <c r="B2880">
        <v>1</v>
      </c>
      <c r="C2880" t="s">
        <v>5811</v>
      </c>
      <c r="D2880" t="s">
        <v>339</v>
      </c>
      <c r="E2880" s="13">
        <v>500</v>
      </c>
      <c r="F2880" s="12">
        <v>0</v>
      </c>
      <c r="G2880" t="str">
        <f>IFERROR(INDEX(tEditais[Órgão],MATCH(tItens[[#This Row],[Edital]],tEditais[Edital],0)),"")</f>
        <v>MUNICIPIO DE SAO SEBASTIAO DA BELA VISTA</v>
      </c>
      <c r="H2880" t="str">
        <f>IFERROR(INDEX(tEditais[UF],MATCH(tItens[[#This Row],[Edital]],tEditais[Edital],0)),"")</f>
        <v>MG</v>
      </c>
      <c r="I2880" s="11">
        <f>IFERROR(INDEX(tEditais[Encerramento],MATCH(tItens[[#This Row],[Edital]],tEditais[Edital],0)),"")</f>
        <v>46304.375</v>
      </c>
      <c r="J2880" t="str">
        <f>IFERROR(INDEX(tProdutos[Classe],MATCH(tItens[[#This Row],[Produto]],tProdutos[Produto],0)),"produto não cadastrado")</f>
        <v>FORA</v>
      </c>
      <c r="K2880" s="12">
        <f>tItens[[#This Row],[Qtd]]*tItens[[#This Row],[Vlr unit]]</f>
        <v>0</v>
      </c>
      <c r="L2880" s="6">
        <f>IFERROR(IF(INDEX(tProdutos[Desconto homologado],MATCH(tItens[[#This Row],[Produto]],tProdutos[Produto],0))="",DescontoPadrao,INDEX(tProdutos[Desconto homologado],MATCH(tItens[[#This Row],[Produto]],tProdutos[Produto],0))),DescontoPadrao)</f>
        <v>0.35388629091804102</v>
      </c>
      <c r="M2880" s="12">
        <f>tItens[[#This Row],[Valor]]*(1-tItens[[#This Row],[Desconto]])</f>
        <v>0</v>
      </c>
      <c r="N2880" t="str">
        <f>IFERROR(INDEX(tProdutos[Foco],MATCH(tItens[[#This Row],[Produto]],tProdutos[Produto],0)),"Não")</f>
        <v>Não</v>
      </c>
      <c r="O2880" t="str">
        <f>IFERROR(INDEX(tEditais[SRP],MATCH(tItens[[#This Row],[Edital]],tEditais[Edital],0)),"Não")</f>
        <v>Sim</v>
      </c>
      <c r="P2880" s="4">
        <f>IF(COUNTIFS(INDEX(tItens[Edital],1):tItens[[#This Row],[Edital]],tItens[[#This Row],[Edital]],INDEX(tItens[Produto],1):tItens[[#This Row],[Produto]],tItens[[#This Row],[Produto]])=1,1,0)</f>
        <v>1</v>
      </c>
    </row>
    <row r="2881" spans="1:16" x14ac:dyDescent="0.25">
      <c r="A2881" t="s">
        <v>1330</v>
      </c>
      <c r="B2881">
        <v>2</v>
      </c>
      <c r="C2881" t="s">
        <v>5812</v>
      </c>
      <c r="D2881" t="s">
        <v>339</v>
      </c>
      <c r="E2881" s="13">
        <v>500</v>
      </c>
      <c r="F2881" s="12">
        <v>0</v>
      </c>
      <c r="G2881" t="str">
        <f>IFERROR(INDEX(tEditais[Órgão],MATCH(tItens[[#This Row],[Edital]],tEditais[Edital],0)),"")</f>
        <v>MUNICIPIO DE SAO SEBASTIAO DA BELA VISTA</v>
      </c>
      <c r="H2881" t="str">
        <f>IFERROR(INDEX(tEditais[UF],MATCH(tItens[[#This Row],[Edital]],tEditais[Edital],0)),"")</f>
        <v>MG</v>
      </c>
      <c r="I2881" s="11">
        <f>IFERROR(INDEX(tEditais[Encerramento],MATCH(tItens[[#This Row],[Edital]],tEditais[Edital],0)),"")</f>
        <v>46304.375</v>
      </c>
      <c r="J2881" t="str">
        <f>IFERROR(INDEX(tProdutos[Classe],MATCH(tItens[[#This Row],[Produto]],tProdutos[Produto],0)),"produto não cadastrado")</f>
        <v>FORA</v>
      </c>
      <c r="K2881" s="12">
        <f>tItens[[#This Row],[Qtd]]*tItens[[#This Row],[Vlr unit]]</f>
        <v>0</v>
      </c>
      <c r="L2881" s="6">
        <f>IFERROR(IF(INDEX(tProdutos[Desconto homologado],MATCH(tItens[[#This Row],[Produto]],tProdutos[Produto],0))="",DescontoPadrao,INDEX(tProdutos[Desconto homologado],MATCH(tItens[[#This Row],[Produto]],tProdutos[Produto],0))),DescontoPadrao)</f>
        <v>0.35388629091804102</v>
      </c>
      <c r="M2881" s="12">
        <f>tItens[[#This Row],[Valor]]*(1-tItens[[#This Row],[Desconto]])</f>
        <v>0</v>
      </c>
      <c r="N2881" t="str">
        <f>IFERROR(INDEX(tProdutos[Foco],MATCH(tItens[[#This Row],[Produto]],tProdutos[Produto],0)),"Não")</f>
        <v>Não</v>
      </c>
      <c r="O2881" t="str">
        <f>IFERROR(INDEX(tEditais[SRP],MATCH(tItens[[#This Row],[Edital]],tEditais[Edital],0)),"Não")</f>
        <v>Sim</v>
      </c>
      <c r="P2881" s="4">
        <f>IF(COUNTIFS(INDEX(tItens[Edital],1):tItens[[#This Row],[Edital]],tItens[[#This Row],[Edital]],INDEX(tItens[Produto],1):tItens[[#This Row],[Produto]],tItens[[#This Row],[Produto]])=1,1,0)</f>
        <v>0</v>
      </c>
    </row>
    <row r="2882" spans="1:16" x14ac:dyDescent="0.25">
      <c r="A2882" t="s">
        <v>1330</v>
      </c>
      <c r="B2882">
        <v>3</v>
      </c>
      <c r="C2882" t="s">
        <v>5813</v>
      </c>
      <c r="D2882" t="s">
        <v>339</v>
      </c>
      <c r="E2882" s="13">
        <v>500</v>
      </c>
      <c r="F2882" s="12">
        <v>0</v>
      </c>
      <c r="G2882" t="str">
        <f>IFERROR(INDEX(tEditais[Órgão],MATCH(tItens[[#This Row],[Edital]],tEditais[Edital],0)),"")</f>
        <v>MUNICIPIO DE SAO SEBASTIAO DA BELA VISTA</v>
      </c>
      <c r="H2882" t="str">
        <f>IFERROR(INDEX(tEditais[UF],MATCH(tItens[[#This Row],[Edital]],tEditais[Edital],0)),"")</f>
        <v>MG</v>
      </c>
      <c r="I2882" s="11">
        <f>IFERROR(INDEX(tEditais[Encerramento],MATCH(tItens[[#This Row],[Edital]],tEditais[Edital],0)),"")</f>
        <v>46304.375</v>
      </c>
      <c r="J2882" t="str">
        <f>IFERROR(INDEX(tProdutos[Classe],MATCH(tItens[[#This Row],[Produto]],tProdutos[Produto],0)),"produto não cadastrado")</f>
        <v>FORA</v>
      </c>
      <c r="K2882" s="12">
        <f>tItens[[#This Row],[Qtd]]*tItens[[#This Row],[Vlr unit]]</f>
        <v>0</v>
      </c>
      <c r="L2882" s="6">
        <f>IFERROR(IF(INDEX(tProdutos[Desconto homologado],MATCH(tItens[[#This Row],[Produto]],tProdutos[Produto],0))="",DescontoPadrao,INDEX(tProdutos[Desconto homologado],MATCH(tItens[[#This Row],[Produto]],tProdutos[Produto],0))),DescontoPadrao)</f>
        <v>0.35388629091804102</v>
      </c>
      <c r="M2882" s="12">
        <f>tItens[[#This Row],[Valor]]*(1-tItens[[#This Row],[Desconto]])</f>
        <v>0</v>
      </c>
      <c r="N2882" t="str">
        <f>IFERROR(INDEX(tProdutos[Foco],MATCH(tItens[[#This Row],[Produto]],tProdutos[Produto],0)),"Não")</f>
        <v>Não</v>
      </c>
      <c r="O2882" t="str">
        <f>IFERROR(INDEX(tEditais[SRP],MATCH(tItens[[#This Row],[Edital]],tEditais[Edital],0)),"Não")</f>
        <v>Sim</v>
      </c>
      <c r="P2882" s="4">
        <f>IF(COUNTIFS(INDEX(tItens[Edital],1):tItens[[#This Row],[Edital]],tItens[[#This Row],[Edital]],INDEX(tItens[Produto],1):tItens[[#This Row],[Produto]],tItens[[#This Row],[Produto]])=1,1,0)</f>
        <v>0</v>
      </c>
    </row>
    <row r="2883" spans="1:16" x14ac:dyDescent="0.25">
      <c r="A2883" t="s">
        <v>1330</v>
      </c>
      <c r="B2883">
        <v>4</v>
      </c>
      <c r="C2883" t="s">
        <v>5814</v>
      </c>
      <c r="D2883" t="s">
        <v>339</v>
      </c>
      <c r="E2883" s="13">
        <v>500</v>
      </c>
      <c r="F2883" s="12">
        <v>0</v>
      </c>
      <c r="G2883" t="str">
        <f>IFERROR(INDEX(tEditais[Órgão],MATCH(tItens[[#This Row],[Edital]],tEditais[Edital],0)),"")</f>
        <v>MUNICIPIO DE SAO SEBASTIAO DA BELA VISTA</v>
      </c>
      <c r="H2883" t="str">
        <f>IFERROR(INDEX(tEditais[UF],MATCH(tItens[[#This Row],[Edital]],tEditais[Edital],0)),"")</f>
        <v>MG</v>
      </c>
      <c r="I2883" s="11">
        <f>IFERROR(INDEX(tEditais[Encerramento],MATCH(tItens[[#This Row],[Edital]],tEditais[Edital],0)),"")</f>
        <v>46304.375</v>
      </c>
      <c r="J2883" t="str">
        <f>IFERROR(INDEX(tProdutos[Classe],MATCH(tItens[[#This Row],[Produto]],tProdutos[Produto],0)),"produto não cadastrado")</f>
        <v>FORA</v>
      </c>
      <c r="K2883" s="12">
        <f>tItens[[#This Row],[Qtd]]*tItens[[#This Row],[Vlr unit]]</f>
        <v>0</v>
      </c>
      <c r="L2883" s="6">
        <f>IFERROR(IF(INDEX(tProdutos[Desconto homologado],MATCH(tItens[[#This Row],[Produto]],tProdutos[Produto],0))="",DescontoPadrao,INDEX(tProdutos[Desconto homologado],MATCH(tItens[[#This Row],[Produto]],tProdutos[Produto],0))),DescontoPadrao)</f>
        <v>0.35388629091804102</v>
      </c>
      <c r="M2883" s="12">
        <f>tItens[[#This Row],[Valor]]*(1-tItens[[#This Row],[Desconto]])</f>
        <v>0</v>
      </c>
      <c r="N2883" t="str">
        <f>IFERROR(INDEX(tProdutos[Foco],MATCH(tItens[[#This Row],[Produto]],tProdutos[Produto],0)),"Não")</f>
        <v>Não</v>
      </c>
      <c r="O2883" t="str">
        <f>IFERROR(INDEX(tEditais[SRP],MATCH(tItens[[#This Row],[Edital]],tEditais[Edital],0)),"Não")</f>
        <v>Sim</v>
      </c>
      <c r="P2883" s="4">
        <f>IF(COUNTIFS(INDEX(tItens[Edital],1):tItens[[#This Row],[Edital]],tItens[[#This Row],[Edital]],INDEX(tItens[Produto],1):tItens[[#This Row],[Produto]],tItens[[#This Row],[Produto]])=1,1,0)</f>
        <v>0</v>
      </c>
    </row>
    <row r="2884" spans="1:16" x14ac:dyDescent="0.25">
      <c r="A2884" t="s">
        <v>1330</v>
      </c>
      <c r="B2884">
        <v>5</v>
      </c>
      <c r="C2884" t="s">
        <v>5815</v>
      </c>
      <c r="D2884" t="s">
        <v>339</v>
      </c>
      <c r="E2884" s="13">
        <v>500</v>
      </c>
      <c r="F2884" s="12">
        <v>0</v>
      </c>
      <c r="G2884" t="str">
        <f>IFERROR(INDEX(tEditais[Órgão],MATCH(tItens[[#This Row],[Edital]],tEditais[Edital],0)),"")</f>
        <v>MUNICIPIO DE SAO SEBASTIAO DA BELA VISTA</v>
      </c>
      <c r="H2884" t="str">
        <f>IFERROR(INDEX(tEditais[UF],MATCH(tItens[[#This Row],[Edital]],tEditais[Edital],0)),"")</f>
        <v>MG</v>
      </c>
      <c r="I2884" s="11">
        <f>IFERROR(INDEX(tEditais[Encerramento],MATCH(tItens[[#This Row],[Edital]],tEditais[Edital],0)),"")</f>
        <v>46304.375</v>
      </c>
      <c r="J2884" t="str">
        <f>IFERROR(INDEX(tProdutos[Classe],MATCH(tItens[[#This Row],[Produto]],tProdutos[Produto],0)),"produto não cadastrado")</f>
        <v>FORA</v>
      </c>
      <c r="K2884" s="12">
        <f>tItens[[#This Row],[Qtd]]*tItens[[#This Row],[Vlr unit]]</f>
        <v>0</v>
      </c>
      <c r="L2884" s="6">
        <f>IFERROR(IF(INDEX(tProdutos[Desconto homologado],MATCH(tItens[[#This Row],[Produto]],tProdutos[Produto],0))="",DescontoPadrao,INDEX(tProdutos[Desconto homologado],MATCH(tItens[[#This Row],[Produto]],tProdutos[Produto],0))),DescontoPadrao)</f>
        <v>0.35388629091804102</v>
      </c>
      <c r="M2884" s="12">
        <f>tItens[[#This Row],[Valor]]*(1-tItens[[#This Row],[Desconto]])</f>
        <v>0</v>
      </c>
      <c r="N2884" t="str">
        <f>IFERROR(INDEX(tProdutos[Foco],MATCH(tItens[[#This Row],[Produto]],tProdutos[Produto],0)),"Não")</f>
        <v>Não</v>
      </c>
      <c r="O2884" t="str">
        <f>IFERROR(INDEX(tEditais[SRP],MATCH(tItens[[#This Row],[Edital]],tEditais[Edital],0)),"Não")</f>
        <v>Sim</v>
      </c>
      <c r="P2884" s="4">
        <f>IF(COUNTIFS(INDEX(tItens[Edital],1):tItens[[#This Row],[Edital]],tItens[[#This Row],[Edital]],INDEX(tItens[Produto],1):tItens[[#This Row],[Produto]],tItens[[#This Row],[Produto]])=1,1,0)</f>
        <v>0</v>
      </c>
    </row>
    <row r="2885" spans="1:16" x14ac:dyDescent="0.25">
      <c r="A2885" t="s">
        <v>1330</v>
      </c>
      <c r="B2885">
        <v>6</v>
      </c>
      <c r="C2885" t="s">
        <v>5816</v>
      </c>
      <c r="D2885" t="s">
        <v>345</v>
      </c>
      <c r="E2885" s="13">
        <v>500</v>
      </c>
      <c r="F2885" s="12">
        <v>0</v>
      </c>
      <c r="G2885" t="str">
        <f>IFERROR(INDEX(tEditais[Órgão],MATCH(tItens[[#This Row],[Edital]],tEditais[Edital],0)),"")</f>
        <v>MUNICIPIO DE SAO SEBASTIAO DA BELA VISTA</v>
      </c>
      <c r="H2885" t="str">
        <f>IFERROR(INDEX(tEditais[UF],MATCH(tItens[[#This Row],[Edital]],tEditais[Edital],0)),"")</f>
        <v>MG</v>
      </c>
      <c r="I2885" s="11">
        <f>IFERROR(INDEX(tEditais[Encerramento],MATCH(tItens[[#This Row],[Edital]],tEditais[Edital],0)),"")</f>
        <v>46304.375</v>
      </c>
      <c r="J2885" t="str">
        <f>IFERROR(INDEX(tProdutos[Classe],MATCH(tItens[[#This Row],[Produto]],tProdutos[Produto],0)),"produto não cadastrado")</f>
        <v>FORA</v>
      </c>
      <c r="K2885" s="12">
        <f>tItens[[#This Row],[Qtd]]*tItens[[#This Row],[Vlr unit]]</f>
        <v>0</v>
      </c>
      <c r="L2885" s="6">
        <f>IFERROR(IF(INDEX(tProdutos[Desconto homologado],MATCH(tItens[[#This Row],[Produto]],tProdutos[Produto],0))="",DescontoPadrao,INDEX(tProdutos[Desconto homologado],MATCH(tItens[[#This Row],[Produto]],tProdutos[Produto],0))),DescontoPadrao)</f>
        <v>0.412394275616498</v>
      </c>
      <c r="M2885" s="12">
        <f>tItens[[#This Row],[Valor]]*(1-tItens[[#This Row],[Desconto]])</f>
        <v>0</v>
      </c>
      <c r="N2885" t="str">
        <f>IFERROR(INDEX(tProdutos[Foco],MATCH(tItens[[#This Row],[Produto]],tProdutos[Produto],0)),"Não")</f>
        <v>Não</v>
      </c>
      <c r="O2885" t="str">
        <f>IFERROR(INDEX(tEditais[SRP],MATCH(tItens[[#This Row],[Edital]],tEditais[Edital],0)),"Não")</f>
        <v>Sim</v>
      </c>
      <c r="P2885" s="4">
        <f>IF(COUNTIFS(INDEX(tItens[Edital],1):tItens[[#This Row],[Edital]],tItens[[#This Row],[Edital]],INDEX(tItens[Produto],1):tItens[[#This Row],[Produto]],tItens[[#This Row],[Produto]])=1,1,0)</f>
        <v>1</v>
      </c>
    </row>
    <row r="2886" spans="1:16" x14ac:dyDescent="0.25">
      <c r="A2886" t="s">
        <v>1330</v>
      </c>
      <c r="B2886">
        <v>7</v>
      </c>
      <c r="C2886" t="s">
        <v>5817</v>
      </c>
      <c r="D2886" t="s">
        <v>345</v>
      </c>
      <c r="E2886" s="13">
        <v>1000</v>
      </c>
      <c r="F2886" s="12">
        <v>0</v>
      </c>
      <c r="G2886" t="str">
        <f>IFERROR(INDEX(tEditais[Órgão],MATCH(tItens[[#This Row],[Edital]],tEditais[Edital],0)),"")</f>
        <v>MUNICIPIO DE SAO SEBASTIAO DA BELA VISTA</v>
      </c>
      <c r="H2886" t="str">
        <f>IFERROR(INDEX(tEditais[UF],MATCH(tItens[[#This Row],[Edital]],tEditais[Edital],0)),"")</f>
        <v>MG</v>
      </c>
      <c r="I2886" s="11">
        <f>IFERROR(INDEX(tEditais[Encerramento],MATCH(tItens[[#This Row],[Edital]],tEditais[Edital],0)),"")</f>
        <v>46304.375</v>
      </c>
      <c r="J2886" t="str">
        <f>IFERROR(INDEX(tProdutos[Classe],MATCH(tItens[[#This Row],[Produto]],tProdutos[Produto],0)),"produto não cadastrado")</f>
        <v>FORA</v>
      </c>
      <c r="K2886" s="12">
        <f>tItens[[#This Row],[Qtd]]*tItens[[#This Row],[Vlr unit]]</f>
        <v>0</v>
      </c>
      <c r="L2886" s="6">
        <f>IFERROR(IF(INDEX(tProdutos[Desconto homologado],MATCH(tItens[[#This Row],[Produto]],tProdutos[Produto],0))="",DescontoPadrao,INDEX(tProdutos[Desconto homologado],MATCH(tItens[[#This Row],[Produto]],tProdutos[Produto],0))),DescontoPadrao)</f>
        <v>0.412394275616498</v>
      </c>
      <c r="M2886" s="12">
        <f>tItens[[#This Row],[Valor]]*(1-tItens[[#This Row],[Desconto]])</f>
        <v>0</v>
      </c>
      <c r="N2886" t="str">
        <f>IFERROR(INDEX(tProdutos[Foco],MATCH(tItens[[#This Row],[Produto]],tProdutos[Produto],0)),"Não")</f>
        <v>Não</v>
      </c>
      <c r="O2886" t="str">
        <f>IFERROR(INDEX(tEditais[SRP],MATCH(tItens[[#This Row],[Edital]],tEditais[Edital],0)),"Não")</f>
        <v>Sim</v>
      </c>
      <c r="P2886" s="4">
        <f>IF(COUNTIFS(INDEX(tItens[Edital],1):tItens[[#This Row],[Edital]],tItens[[#This Row],[Edital]],INDEX(tItens[Produto],1):tItens[[#This Row],[Produto]],tItens[[#This Row],[Produto]])=1,1,0)</f>
        <v>0</v>
      </c>
    </row>
    <row r="2887" spans="1:16" x14ac:dyDescent="0.25">
      <c r="A2887" t="s">
        <v>1330</v>
      </c>
      <c r="B2887">
        <v>8</v>
      </c>
      <c r="C2887" t="s">
        <v>5818</v>
      </c>
      <c r="D2887" t="s">
        <v>345</v>
      </c>
      <c r="E2887" s="13">
        <v>2000</v>
      </c>
      <c r="F2887" s="12">
        <v>0</v>
      </c>
      <c r="G2887" t="str">
        <f>IFERROR(INDEX(tEditais[Órgão],MATCH(tItens[[#This Row],[Edital]],tEditais[Edital],0)),"")</f>
        <v>MUNICIPIO DE SAO SEBASTIAO DA BELA VISTA</v>
      </c>
      <c r="H2887" t="str">
        <f>IFERROR(INDEX(tEditais[UF],MATCH(tItens[[#This Row],[Edital]],tEditais[Edital],0)),"")</f>
        <v>MG</v>
      </c>
      <c r="I2887" s="11">
        <f>IFERROR(INDEX(tEditais[Encerramento],MATCH(tItens[[#This Row],[Edital]],tEditais[Edital],0)),"")</f>
        <v>46304.375</v>
      </c>
      <c r="J2887" t="str">
        <f>IFERROR(INDEX(tProdutos[Classe],MATCH(tItens[[#This Row],[Produto]],tProdutos[Produto],0)),"produto não cadastrado")</f>
        <v>FORA</v>
      </c>
      <c r="K2887" s="12">
        <f>tItens[[#This Row],[Qtd]]*tItens[[#This Row],[Vlr unit]]</f>
        <v>0</v>
      </c>
      <c r="L2887" s="6">
        <f>IFERROR(IF(INDEX(tProdutos[Desconto homologado],MATCH(tItens[[#This Row],[Produto]],tProdutos[Produto],0))="",DescontoPadrao,INDEX(tProdutos[Desconto homologado],MATCH(tItens[[#This Row],[Produto]],tProdutos[Produto],0))),DescontoPadrao)</f>
        <v>0.412394275616498</v>
      </c>
      <c r="M2887" s="12">
        <f>tItens[[#This Row],[Valor]]*(1-tItens[[#This Row],[Desconto]])</f>
        <v>0</v>
      </c>
      <c r="N2887" t="str">
        <f>IFERROR(INDEX(tProdutos[Foco],MATCH(tItens[[#This Row],[Produto]],tProdutos[Produto],0)),"Não")</f>
        <v>Não</v>
      </c>
      <c r="O2887" t="str">
        <f>IFERROR(INDEX(tEditais[SRP],MATCH(tItens[[#This Row],[Edital]],tEditais[Edital],0)),"Não")</f>
        <v>Sim</v>
      </c>
      <c r="P2887" s="4">
        <f>IF(COUNTIFS(INDEX(tItens[Edital],1):tItens[[#This Row],[Edital]],tItens[[#This Row],[Edital]],INDEX(tItens[Produto],1):tItens[[#This Row],[Produto]],tItens[[#This Row],[Produto]])=1,1,0)</f>
        <v>0</v>
      </c>
    </row>
    <row r="2888" spans="1:16" x14ac:dyDescent="0.25">
      <c r="A2888" t="s">
        <v>1330</v>
      </c>
      <c r="B2888">
        <v>9</v>
      </c>
      <c r="C2888" t="s">
        <v>5819</v>
      </c>
      <c r="D2888" t="s">
        <v>345</v>
      </c>
      <c r="E2888" s="13">
        <v>3000</v>
      </c>
      <c r="F2888" s="12">
        <v>0</v>
      </c>
      <c r="G2888" t="str">
        <f>IFERROR(INDEX(tEditais[Órgão],MATCH(tItens[[#This Row],[Edital]],tEditais[Edital],0)),"")</f>
        <v>MUNICIPIO DE SAO SEBASTIAO DA BELA VISTA</v>
      </c>
      <c r="H2888" t="str">
        <f>IFERROR(INDEX(tEditais[UF],MATCH(tItens[[#This Row],[Edital]],tEditais[Edital],0)),"")</f>
        <v>MG</v>
      </c>
      <c r="I2888" s="11">
        <f>IFERROR(INDEX(tEditais[Encerramento],MATCH(tItens[[#This Row],[Edital]],tEditais[Edital],0)),"")</f>
        <v>46304.375</v>
      </c>
      <c r="J2888" t="str">
        <f>IFERROR(INDEX(tProdutos[Classe],MATCH(tItens[[#This Row],[Produto]],tProdutos[Produto],0)),"produto não cadastrado")</f>
        <v>FORA</v>
      </c>
      <c r="K2888" s="12">
        <f>tItens[[#This Row],[Qtd]]*tItens[[#This Row],[Vlr unit]]</f>
        <v>0</v>
      </c>
      <c r="L2888" s="6">
        <f>IFERROR(IF(INDEX(tProdutos[Desconto homologado],MATCH(tItens[[#This Row],[Produto]],tProdutos[Produto],0))="",DescontoPadrao,INDEX(tProdutos[Desconto homologado],MATCH(tItens[[#This Row],[Produto]],tProdutos[Produto],0))),DescontoPadrao)</f>
        <v>0.412394275616498</v>
      </c>
      <c r="M2888" s="12">
        <f>tItens[[#This Row],[Valor]]*(1-tItens[[#This Row],[Desconto]])</f>
        <v>0</v>
      </c>
      <c r="N2888" t="str">
        <f>IFERROR(INDEX(tProdutos[Foco],MATCH(tItens[[#This Row],[Produto]],tProdutos[Produto],0)),"Não")</f>
        <v>Não</v>
      </c>
      <c r="O2888" t="str">
        <f>IFERROR(INDEX(tEditais[SRP],MATCH(tItens[[#This Row],[Edital]],tEditais[Edital],0)),"Não")</f>
        <v>Sim</v>
      </c>
      <c r="P2888" s="4">
        <f>IF(COUNTIFS(INDEX(tItens[Edital],1):tItens[[#This Row],[Edital]],tItens[[#This Row],[Edital]],INDEX(tItens[Produto],1):tItens[[#This Row],[Produto]],tItens[[#This Row],[Produto]])=1,1,0)</f>
        <v>0</v>
      </c>
    </row>
    <row r="2889" spans="1:16" x14ac:dyDescent="0.25">
      <c r="A2889" t="s">
        <v>1335</v>
      </c>
      <c r="B2889">
        <v>36</v>
      </c>
      <c r="C2889" t="s">
        <v>5820</v>
      </c>
      <c r="D2889" t="s">
        <v>494</v>
      </c>
      <c r="E2889" s="13">
        <v>3</v>
      </c>
      <c r="F2889" s="12">
        <v>443.48</v>
      </c>
      <c r="G2889" t="str">
        <f>IFERROR(INDEX(tEditais[Órgão],MATCH(tItens[[#This Row],[Edital]],tEditais[Edital],0)),"")</f>
        <v>MUNICIPIO DE MACHADO</v>
      </c>
      <c r="H2889" t="str">
        <f>IFERROR(INDEX(tEditais[UF],MATCH(tItens[[#This Row],[Edital]],tEditais[Edital],0)),"")</f>
        <v>MG</v>
      </c>
      <c r="I2889" s="11">
        <f>IFERROR(INDEX(tEditais[Encerramento],MATCH(tItens[[#This Row],[Edital]],tEditais[Edital],0)),"")</f>
        <v>46304.375</v>
      </c>
      <c r="J2889" t="str">
        <f>IFERROR(INDEX(tProdutos[Classe],MATCH(tItens[[#This Row],[Produto]],tProdutos[Produto],0)),"produto não cadastrado")</f>
        <v>FILA REBASE</v>
      </c>
      <c r="K2889" s="12">
        <f>tItens[[#This Row],[Qtd]]*tItens[[#This Row],[Vlr unit]]</f>
        <v>1330.44</v>
      </c>
      <c r="L2889" s="6">
        <f>IFERROR(IF(INDEX(tProdutos[Desconto homologado],MATCH(tItens[[#This Row],[Produto]],tProdutos[Produto],0))="",DescontoPadrao,INDEX(tProdutos[Desconto homologado],MATCH(tItens[[#This Row],[Produto]],tProdutos[Produto],0))),DescontoPadrao)</f>
        <v>0.253736324829619</v>
      </c>
      <c r="M2889" s="12">
        <f>tItens[[#This Row],[Valor]]*(1-tItens[[#This Row],[Desconto]])</f>
        <v>992.85904399368178</v>
      </c>
      <c r="N2889" t="str">
        <f>IFERROR(INDEX(tProdutos[Foco],MATCH(tItens[[#This Row],[Produto]],tProdutos[Produto],0)),"Não")</f>
        <v>Não</v>
      </c>
      <c r="O2889" t="str">
        <f>IFERROR(INDEX(tEditais[SRP],MATCH(tItens[[#This Row],[Edital]],tEditais[Edital],0)),"Não")</f>
        <v>Não</v>
      </c>
      <c r="P2889" s="4">
        <f>IF(COUNTIFS(INDEX(tItens[Edital],1):tItens[[#This Row],[Edital]],tItens[[#This Row],[Edital]],INDEX(tItens[Produto],1):tItens[[#This Row],[Produto]],tItens[[#This Row],[Produto]])=1,1,0)</f>
        <v>1</v>
      </c>
    </row>
    <row r="2890" spans="1:16" x14ac:dyDescent="0.25">
      <c r="A2890" t="s">
        <v>1339</v>
      </c>
      <c r="B2890">
        <v>7</v>
      </c>
      <c r="C2890" t="s">
        <v>5821</v>
      </c>
      <c r="D2890" t="s">
        <v>315</v>
      </c>
      <c r="E2890" s="13">
        <v>12</v>
      </c>
      <c r="F2890" s="12">
        <v>16.920000000000002</v>
      </c>
      <c r="G2890" t="str">
        <f>IFERROR(INDEX(tEditais[Órgão],MATCH(tItens[[#This Row],[Edital]],tEditais[Edital],0)),"")</f>
        <v>MUNICIPIO DE FLORESTAL</v>
      </c>
      <c r="H2890" t="str">
        <f>IFERROR(INDEX(tEditais[UF],MATCH(tItens[[#This Row],[Edital]],tEditais[Edital],0)),"")</f>
        <v>MG</v>
      </c>
      <c r="I2890" s="11">
        <f>IFERROR(INDEX(tEditais[Encerramento],MATCH(tItens[[#This Row],[Edital]],tEditais[Edital],0)),"")</f>
        <v>46304.375</v>
      </c>
      <c r="J2890" t="str">
        <f>IFERROR(INDEX(tProdutos[Classe],MATCH(tItens[[#This Row],[Produto]],tProdutos[Produto],0)),"produto não cadastrado")</f>
        <v>FORA</v>
      </c>
      <c r="K2890" s="12">
        <f>tItens[[#This Row],[Qtd]]*tItens[[#This Row],[Vlr unit]]</f>
        <v>203.04000000000002</v>
      </c>
      <c r="L2890" s="6">
        <f>IFERROR(IF(INDEX(tProdutos[Desconto homologado],MATCH(tItens[[#This Row],[Produto]],tProdutos[Produto],0))="",DescontoPadrao,INDEX(tProdutos[Desconto homologado],MATCH(tItens[[#This Row],[Produto]],tProdutos[Produto],0))),DescontoPadrao)</f>
        <v>0.38432036097010702</v>
      </c>
      <c r="M2890" s="12">
        <f>tItens[[#This Row],[Valor]]*(1-tItens[[#This Row],[Desconto]])</f>
        <v>125.00759390862949</v>
      </c>
      <c r="N2890" t="str">
        <f>IFERROR(INDEX(tProdutos[Foco],MATCH(tItens[[#This Row],[Produto]],tProdutos[Produto],0)),"Não")</f>
        <v>Não</v>
      </c>
      <c r="O2890" t="str">
        <f>IFERROR(INDEX(tEditais[SRP],MATCH(tItens[[#This Row],[Edital]],tEditais[Edital],0)),"Não")</f>
        <v>Não</v>
      </c>
      <c r="P2890" s="4">
        <f>IF(COUNTIFS(INDEX(tItens[Edital],1):tItens[[#This Row],[Edital]],tItens[[#This Row],[Edital]],INDEX(tItens[Produto],1):tItens[[#This Row],[Produto]],tItens[[#This Row],[Produto]])=1,1,0)</f>
        <v>1</v>
      </c>
    </row>
    <row r="2891" spans="1:16" x14ac:dyDescent="0.25">
      <c r="A2891" t="s">
        <v>1339</v>
      </c>
      <c r="B2891">
        <v>8</v>
      </c>
      <c r="C2891" t="s">
        <v>5822</v>
      </c>
      <c r="D2891" t="s">
        <v>88</v>
      </c>
      <c r="E2891" s="13">
        <v>14</v>
      </c>
      <c r="F2891" s="12">
        <v>40.909999999999997</v>
      </c>
      <c r="G2891" t="str">
        <f>IFERROR(INDEX(tEditais[Órgão],MATCH(tItens[[#This Row],[Edital]],tEditais[Edital],0)),"")</f>
        <v>MUNICIPIO DE FLORESTAL</v>
      </c>
      <c r="H2891" t="str">
        <f>IFERROR(INDEX(tEditais[UF],MATCH(tItens[[#This Row],[Edital]],tEditais[Edital],0)),"")</f>
        <v>MG</v>
      </c>
      <c r="I2891" s="11">
        <f>IFERROR(INDEX(tEditais[Encerramento],MATCH(tItens[[#This Row],[Edital]],tEditais[Edital],0)),"")</f>
        <v>46304.375</v>
      </c>
      <c r="J2891" t="str">
        <f>IFERROR(INDEX(tProdutos[Classe],MATCH(tItens[[#This Row],[Produto]],tProdutos[Produto],0)),"produto não cadastrado")</f>
        <v>NÚCLEO</v>
      </c>
      <c r="K2891" s="12">
        <f>tItens[[#This Row],[Qtd]]*tItens[[#This Row],[Vlr unit]]</f>
        <v>572.74</v>
      </c>
      <c r="L2891" s="6">
        <f>IFERROR(IF(INDEX(tProdutos[Desconto homologado],MATCH(tItens[[#This Row],[Produto]],tProdutos[Produto],0))="",DescontoPadrao,INDEX(tProdutos[Desconto homologado],MATCH(tItens[[#This Row],[Produto]],tProdutos[Produto],0))),DescontoPadrao)</f>
        <v>0.30251202565473001</v>
      </c>
      <c r="M2891" s="12">
        <f>tItens[[#This Row],[Valor]]*(1-tItens[[#This Row],[Desconto]])</f>
        <v>399.47926242650993</v>
      </c>
      <c r="N2891" t="str">
        <f>IFERROR(INDEX(tProdutos[Foco],MATCH(tItens[[#This Row],[Produto]],tProdutos[Produto],0)),"Não")</f>
        <v>Não</v>
      </c>
      <c r="O2891" t="str">
        <f>IFERROR(INDEX(tEditais[SRP],MATCH(tItens[[#This Row],[Edital]],tEditais[Edital],0)),"Não")</f>
        <v>Não</v>
      </c>
      <c r="P2891" s="4">
        <f>IF(COUNTIFS(INDEX(tItens[Edital],1):tItens[[#This Row],[Edital]],tItens[[#This Row],[Edital]],INDEX(tItens[Produto],1):tItens[[#This Row],[Produto]],tItens[[#This Row],[Produto]])=1,1,0)</f>
        <v>1</v>
      </c>
    </row>
    <row r="2892" spans="1:16" x14ac:dyDescent="0.25">
      <c r="A2892" t="s">
        <v>1339</v>
      </c>
      <c r="B2892">
        <v>9</v>
      </c>
      <c r="C2892" t="s">
        <v>3246</v>
      </c>
      <c r="D2892" t="s">
        <v>71</v>
      </c>
      <c r="E2892" s="13">
        <v>14</v>
      </c>
      <c r="F2892" s="12">
        <v>42.79</v>
      </c>
      <c r="G2892" t="str">
        <f>IFERROR(INDEX(tEditais[Órgão],MATCH(tItens[[#This Row],[Edital]],tEditais[Edital],0)),"")</f>
        <v>MUNICIPIO DE FLORESTAL</v>
      </c>
      <c r="H2892" t="str">
        <f>IFERROR(INDEX(tEditais[UF],MATCH(tItens[[#This Row],[Edital]],tEditais[Edital],0)),"")</f>
        <v>MG</v>
      </c>
      <c r="I2892" s="11">
        <f>IFERROR(INDEX(tEditais[Encerramento],MATCH(tItens[[#This Row],[Edital]],tEditais[Edital],0)),"")</f>
        <v>46304.375</v>
      </c>
      <c r="J2892" t="str">
        <f>IFERROR(INDEX(tProdutos[Classe],MATCH(tItens[[#This Row],[Produto]],tProdutos[Produto],0)),"produto não cadastrado")</f>
        <v>NÚCLEO</v>
      </c>
      <c r="K2892" s="12">
        <f>tItens[[#This Row],[Qtd]]*tItens[[#This Row],[Vlr unit]]</f>
        <v>599.05999999999995</v>
      </c>
      <c r="L2892" s="6">
        <f>IFERROR(IF(INDEX(tProdutos[Desconto homologado],MATCH(tItens[[#This Row],[Produto]],tProdutos[Produto],0))="",DescontoPadrao,INDEX(tProdutos[Desconto homologado],MATCH(tItens[[#This Row],[Produto]],tProdutos[Produto],0))),DescontoPadrao)</f>
        <v>0.44981412639405199</v>
      </c>
      <c r="M2892" s="12">
        <f>tItens[[#This Row],[Valor]]*(1-tItens[[#This Row],[Desconto]])</f>
        <v>329.59434944237915</v>
      </c>
      <c r="N2892" t="str">
        <f>IFERROR(INDEX(tProdutos[Foco],MATCH(tItens[[#This Row],[Produto]],tProdutos[Produto],0)),"Não")</f>
        <v>Não</v>
      </c>
      <c r="O2892" t="str">
        <f>IFERROR(INDEX(tEditais[SRP],MATCH(tItens[[#This Row],[Edital]],tEditais[Edital],0)),"Não")</f>
        <v>Não</v>
      </c>
      <c r="P2892" s="4">
        <f>IF(COUNTIFS(INDEX(tItens[Edital],1):tItens[[#This Row],[Edital]],tItens[[#This Row],[Edital]],INDEX(tItens[Produto],1):tItens[[#This Row],[Produto]],tItens[[#This Row],[Produto]])=1,1,0)</f>
        <v>1</v>
      </c>
    </row>
    <row r="2893" spans="1:16" x14ac:dyDescent="0.25">
      <c r="A2893" t="s">
        <v>1339</v>
      </c>
      <c r="B2893">
        <v>10</v>
      </c>
      <c r="C2893" t="s">
        <v>5823</v>
      </c>
      <c r="D2893" t="s">
        <v>112</v>
      </c>
      <c r="E2893" s="13">
        <v>8</v>
      </c>
      <c r="F2893" s="12">
        <v>51.55</v>
      </c>
      <c r="G2893" t="str">
        <f>IFERROR(INDEX(tEditais[Órgão],MATCH(tItens[[#This Row],[Edital]],tEditais[Edital],0)),"")</f>
        <v>MUNICIPIO DE FLORESTAL</v>
      </c>
      <c r="H2893" t="str">
        <f>IFERROR(INDEX(tEditais[UF],MATCH(tItens[[#This Row],[Edital]],tEditais[Edital],0)),"")</f>
        <v>MG</v>
      </c>
      <c r="I2893" s="11">
        <f>IFERROR(INDEX(tEditais[Encerramento],MATCH(tItens[[#This Row],[Edital]],tEditais[Edital],0)),"")</f>
        <v>46304.375</v>
      </c>
      <c r="J2893" t="str">
        <f>IFERROR(INDEX(tProdutos[Classe],MATCH(tItens[[#This Row],[Produto]],tProdutos[Produto],0)),"produto não cadastrado")</f>
        <v>DISPUTADO</v>
      </c>
      <c r="K2893" s="12">
        <f>tItens[[#This Row],[Qtd]]*tItens[[#This Row],[Vlr unit]]</f>
        <v>412.4</v>
      </c>
      <c r="L2893" s="6">
        <f>IFERROR(IF(INDEX(tProdutos[Desconto homologado],MATCH(tItens[[#This Row],[Produto]],tProdutos[Produto],0))="",DescontoPadrao,INDEX(tProdutos[Desconto homologado],MATCH(tItens[[#This Row],[Produto]],tProdutos[Produto],0))),DescontoPadrao)</f>
        <v>0.35273348841447499</v>
      </c>
      <c r="M2893" s="12">
        <f>tItens[[#This Row],[Valor]]*(1-tItens[[#This Row],[Desconto]])</f>
        <v>266.93270937787048</v>
      </c>
      <c r="N2893" t="str">
        <f>IFERROR(INDEX(tProdutos[Foco],MATCH(tItens[[#This Row],[Produto]],tProdutos[Produto],0)),"Não")</f>
        <v>Não</v>
      </c>
      <c r="O2893" t="str">
        <f>IFERROR(INDEX(tEditais[SRP],MATCH(tItens[[#This Row],[Edital]],tEditais[Edital],0)),"Não")</f>
        <v>Não</v>
      </c>
      <c r="P2893" s="4">
        <f>IF(COUNTIFS(INDEX(tItens[Edital],1):tItens[[#This Row],[Edital]],tItens[[#This Row],[Edital]],INDEX(tItens[Produto],1):tItens[[#This Row],[Produto]],tItens[[#This Row],[Produto]])=1,1,0)</f>
        <v>1</v>
      </c>
    </row>
    <row r="2894" spans="1:16" x14ac:dyDescent="0.25">
      <c r="A2894" t="s">
        <v>1339</v>
      </c>
      <c r="B2894">
        <v>11</v>
      </c>
      <c r="C2894" t="s">
        <v>5824</v>
      </c>
      <c r="D2894" t="s">
        <v>82</v>
      </c>
      <c r="E2894" s="13">
        <v>10</v>
      </c>
      <c r="F2894" s="12">
        <v>17.11</v>
      </c>
      <c r="G2894" t="str">
        <f>IFERROR(INDEX(tEditais[Órgão],MATCH(tItens[[#This Row],[Edital]],tEditais[Edital],0)),"")</f>
        <v>MUNICIPIO DE FLORESTAL</v>
      </c>
      <c r="H2894" t="str">
        <f>IFERROR(INDEX(tEditais[UF],MATCH(tItens[[#This Row],[Edital]],tEditais[Edital],0)),"")</f>
        <v>MG</v>
      </c>
      <c r="I2894" s="11">
        <f>IFERROR(INDEX(tEditais[Encerramento],MATCH(tItens[[#This Row],[Edital]],tEditais[Edital],0)),"")</f>
        <v>46304.375</v>
      </c>
      <c r="J2894" t="str">
        <f>IFERROR(INDEX(tProdutos[Classe],MATCH(tItens[[#This Row],[Produto]],tProdutos[Produto],0)),"produto não cadastrado")</f>
        <v>NÚCLEO</v>
      </c>
      <c r="K2894" s="12">
        <f>tItens[[#This Row],[Qtd]]*tItens[[#This Row],[Vlr unit]]</f>
        <v>171.1</v>
      </c>
      <c r="L2894" s="6">
        <f>IFERROR(IF(INDEX(tProdutos[Desconto homologado],MATCH(tItens[[#This Row],[Produto]],tProdutos[Produto],0))="",DescontoPadrao,INDEX(tProdutos[Desconto homologado],MATCH(tItens[[#This Row],[Produto]],tProdutos[Produto],0))),DescontoPadrao)</f>
        <v>0.40487090276506099</v>
      </c>
      <c r="M2894" s="12">
        <f>tItens[[#This Row],[Valor]]*(1-tItens[[#This Row],[Desconto]])</f>
        <v>101.82658853689806</v>
      </c>
      <c r="N2894" t="str">
        <f>IFERROR(INDEX(tProdutos[Foco],MATCH(tItens[[#This Row],[Produto]],tProdutos[Produto],0)),"Não")</f>
        <v>Não</v>
      </c>
      <c r="O2894" t="str">
        <f>IFERROR(INDEX(tEditais[SRP],MATCH(tItens[[#This Row],[Edital]],tEditais[Edital],0)),"Não")</f>
        <v>Não</v>
      </c>
      <c r="P2894" s="4">
        <f>IF(COUNTIFS(INDEX(tItens[Edital],1):tItens[[#This Row],[Edital]],tItens[[#This Row],[Edital]],INDEX(tItens[Produto],1):tItens[[#This Row],[Produto]],tItens[[#This Row],[Produto]])=1,1,0)</f>
        <v>1</v>
      </c>
    </row>
    <row r="2895" spans="1:16" x14ac:dyDescent="0.25">
      <c r="A2895" t="s">
        <v>1339</v>
      </c>
      <c r="B2895">
        <v>76</v>
      </c>
      <c r="C2895" t="s">
        <v>5825</v>
      </c>
      <c r="D2895" t="s">
        <v>142</v>
      </c>
      <c r="E2895" s="13">
        <v>38</v>
      </c>
      <c r="F2895" s="12">
        <v>5.3</v>
      </c>
      <c r="G2895" t="str">
        <f>IFERROR(INDEX(tEditais[Órgão],MATCH(tItens[[#This Row],[Edital]],tEditais[Edital],0)),"")</f>
        <v>MUNICIPIO DE FLORESTAL</v>
      </c>
      <c r="H2895" t="str">
        <f>IFERROR(INDEX(tEditais[UF],MATCH(tItens[[#This Row],[Edital]],tEditais[Edital],0)),"")</f>
        <v>MG</v>
      </c>
      <c r="I2895" s="11">
        <f>IFERROR(INDEX(tEditais[Encerramento],MATCH(tItens[[#This Row],[Edital]],tEditais[Edital],0)),"")</f>
        <v>46304.375</v>
      </c>
      <c r="J2895" t="str">
        <f>IFERROR(INDEX(tProdutos[Classe],MATCH(tItens[[#This Row],[Produto]],tProdutos[Produto],0)),"produto não cadastrado")</f>
        <v>DISPUTADO</v>
      </c>
      <c r="K2895" s="12">
        <f>tItens[[#This Row],[Qtd]]*tItens[[#This Row],[Vlr unit]]</f>
        <v>201.4</v>
      </c>
      <c r="L2895" s="6">
        <f>IFERROR(IF(INDEX(tProdutos[Desconto homologado],MATCH(tItens[[#This Row],[Produto]],tProdutos[Produto],0))="",DescontoPadrao,INDEX(tProdutos[Desconto homologado],MATCH(tItens[[#This Row],[Produto]],tProdutos[Produto],0))),DescontoPadrao)</f>
        <v>0.37093619495691699</v>
      </c>
      <c r="M2895" s="12">
        <f>tItens[[#This Row],[Valor]]*(1-tItens[[#This Row],[Desconto]])</f>
        <v>126.69345033567693</v>
      </c>
      <c r="N2895" t="str">
        <f>IFERROR(INDEX(tProdutos[Foco],MATCH(tItens[[#This Row],[Produto]],tProdutos[Produto],0)),"Não")</f>
        <v>Não</v>
      </c>
      <c r="O2895" t="str">
        <f>IFERROR(INDEX(tEditais[SRP],MATCH(tItens[[#This Row],[Edital]],tEditais[Edital],0)),"Não")</f>
        <v>Não</v>
      </c>
      <c r="P2895" s="4">
        <f>IF(COUNTIFS(INDEX(tItens[Edital],1):tItens[[#This Row],[Edital]],tItens[[#This Row],[Edital]],INDEX(tItens[Produto],1):tItens[[#This Row],[Produto]],tItens[[#This Row],[Produto]])=1,1,0)</f>
        <v>1</v>
      </c>
    </row>
    <row r="2896" spans="1:16" x14ac:dyDescent="0.25">
      <c r="A2896" t="s">
        <v>1339</v>
      </c>
      <c r="B2896">
        <v>92</v>
      </c>
      <c r="C2896" t="s">
        <v>5826</v>
      </c>
      <c r="D2896" t="s">
        <v>56</v>
      </c>
      <c r="E2896" s="13">
        <v>4</v>
      </c>
      <c r="F2896" s="12">
        <v>43.63</v>
      </c>
      <c r="G2896" t="str">
        <f>IFERROR(INDEX(tEditais[Órgão],MATCH(tItens[[#This Row],[Edital]],tEditais[Edital],0)),"")</f>
        <v>MUNICIPIO DE FLORESTAL</v>
      </c>
      <c r="H2896" t="str">
        <f>IFERROR(INDEX(tEditais[UF],MATCH(tItens[[#This Row],[Edital]],tEditais[Edital],0)),"")</f>
        <v>MG</v>
      </c>
      <c r="I2896" s="11">
        <f>IFERROR(INDEX(tEditais[Encerramento],MATCH(tItens[[#This Row],[Edital]],tEditais[Edital],0)),"")</f>
        <v>46304.375</v>
      </c>
      <c r="J2896" t="str">
        <f>IFERROR(INDEX(tProdutos[Classe],MATCH(tItens[[#This Row],[Produto]],tProdutos[Produto],0)),"produto não cadastrado")</f>
        <v>NÚCLEO</v>
      </c>
      <c r="K2896" s="12">
        <f>tItens[[#This Row],[Qtd]]*tItens[[#This Row],[Vlr unit]]</f>
        <v>174.52</v>
      </c>
      <c r="L2896" s="6">
        <f>IFERROR(IF(INDEX(tProdutos[Desconto homologado],MATCH(tItens[[#This Row],[Produto]],tProdutos[Produto],0))="",DescontoPadrao,INDEX(tProdutos[Desconto homologado],MATCH(tItens[[#This Row],[Produto]],tProdutos[Produto],0))),DescontoPadrao)</f>
        <v>0.34</v>
      </c>
      <c r="M2896" s="12">
        <f>tItens[[#This Row],[Valor]]*(1-tItens[[#This Row],[Desconto]])</f>
        <v>115.1832</v>
      </c>
      <c r="N2896" t="str">
        <f>IFERROR(INDEX(tProdutos[Foco],MATCH(tItens[[#This Row],[Produto]],tProdutos[Produto],0)),"Não")</f>
        <v>Sim</v>
      </c>
      <c r="O2896" t="str">
        <f>IFERROR(INDEX(tEditais[SRP],MATCH(tItens[[#This Row],[Edital]],tEditais[Edital],0)),"Não")</f>
        <v>Não</v>
      </c>
      <c r="P2896" s="4">
        <f>IF(COUNTIFS(INDEX(tItens[Edital],1):tItens[[#This Row],[Edital]],tItens[[#This Row],[Edital]],INDEX(tItens[Produto],1):tItens[[#This Row],[Produto]],tItens[[#This Row],[Produto]])=1,1,0)</f>
        <v>1</v>
      </c>
    </row>
    <row r="2897" spans="1:16" x14ac:dyDescent="0.25">
      <c r="A2897" t="s">
        <v>1339</v>
      </c>
      <c r="B2897">
        <v>93</v>
      </c>
      <c r="C2897" t="s">
        <v>5827</v>
      </c>
      <c r="D2897" t="s">
        <v>56</v>
      </c>
      <c r="E2897" s="13">
        <v>10</v>
      </c>
      <c r="F2897" s="12">
        <v>38.700000000000003</v>
      </c>
      <c r="G2897" t="str">
        <f>IFERROR(INDEX(tEditais[Órgão],MATCH(tItens[[#This Row],[Edital]],tEditais[Edital],0)),"")</f>
        <v>MUNICIPIO DE FLORESTAL</v>
      </c>
      <c r="H2897" t="str">
        <f>IFERROR(INDEX(tEditais[UF],MATCH(tItens[[#This Row],[Edital]],tEditais[Edital],0)),"")</f>
        <v>MG</v>
      </c>
      <c r="I2897" s="11">
        <f>IFERROR(INDEX(tEditais[Encerramento],MATCH(tItens[[#This Row],[Edital]],tEditais[Edital],0)),"")</f>
        <v>46304.375</v>
      </c>
      <c r="J2897" t="str">
        <f>IFERROR(INDEX(tProdutos[Classe],MATCH(tItens[[#This Row],[Produto]],tProdutos[Produto],0)),"produto não cadastrado")</f>
        <v>NÚCLEO</v>
      </c>
      <c r="K2897" s="12">
        <f>tItens[[#This Row],[Qtd]]*tItens[[#This Row],[Vlr unit]]</f>
        <v>387</v>
      </c>
      <c r="L2897" s="6">
        <f>IFERROR(IF(INDEX(tProdutos[Desconto homologado],MATCH(tItens[[#This Row],[Produto]],tProdutos[Produto],0))="",DescontoPadrao,INDEX(tProdutos[Desconto homologado],MATCH(tItens[[#This Row],[Produto]],tProdutos[Produto],0))),DescontoPadrao)</f>
        <v>0.34</v>
      </c>
      <c r="M2897" s="12">
        <f>tItens[[#This Row],[Valor]]*(1-tItens[[#This Row],[Desconto]])</f>
        <v>255.41999999999996</v>
      </c>
      <c r="N2897" t="str">
        <f>IFERROR(INDEX(tProdutos[Foco],MATCH(tItens[[#This Row],[Produto]],tProdutos[Produto],0)),"Não")</f>
        <v>Sim</v>
      </c>
      <c r="O2897" t="str">
        <f>IFERROR(INDEX(tEditais[SRP],MATCH(tItens[[#This Row],[Edital]],tEditais[Edital],0)),"Não")</f>
        <v>Não</v>
      </c>
      <c r="P2897" s="4">
        <f>IF(COUNTIFS(INDEX(tItens[Edital],1):tItens[[#This Row],[Edital]],tItens[[#This Row],[Edital]],INDEX(tItens[Produto],1):tItens[[#This Row],[Produto]],tItens[[#This Row],[Produto]])=1,1,0)</f>
        <v>0</v>
      </c>
    </row>
    <row r="2898" spans="1:16" x14ac:dyDescent="0.25">
      <c r="A2898" t="s">
        <v>1339</v>
      </c>
      <c r="B2898">
        <v>94</v>
      </c>
      <c r="C2898" t="s">
        <v>5828</v>
      </c>
      <c r="D2898" t="s">
        <v>56</v>
      </c>
      <c r="E2898" s="13">
        <v>4</v>
      </c>
      <c r="F2898" s="12">
        <v>38.880000000000003</v>
      </c>
      <c r="G2898" t="str">
        <f>IFERROR(INDEX(tEditais[Órgão],MATCH(tItens[[#This Row],[Edital]],tEditais[Edital],0)),"")</f>
        <v>MUNICIPIO DE FLORESTAL</v>
      </c>
      <c r="H2898" t="str">
        <f>IFERROR(INDEX(tEditais[UF],MATCH(tItens[[#This Row],[Edital]],tEditais[Edital],0)),"")</f>
        <v>MG</v>
      </c>
      <c r="I2898" s="11">
        <f>IFERROR(INDEX(tEditais[Encerramento],MATCH(tItens[[#This Row],[Edital]],tEditais[Edital],0)),"")</f>
        <v>46304.375</v>
      </c>
      <c r="J2898" t="str">
        <f>IFERROR(INDEX(tProdutos[Classe],MATCH(tItens[[#This Row],[Produto]],tProdutos[Produto],0)),"produto não cadastrado")</f>
        <v>NÚCLEO</v>
      </c>
      <c r="K2898" s="12">
        <f>tItens[[#This Row],[Qtd]]*tItens[[#This Row],[Vlr unit]]</f>
        <v>155.52000000000001</v>
      </c>
      <c r="L2898" s="6">
        <f>IFERROR(IF(INDEX(tProdutos[Desconto homologado],MATCH(tItens[[#This Row],[Produto]],tProdutos[Produto],0))="",DescontoPadrao,INDEX(tProdutos[Desconto homologado],MATCH(tItens[[#This Row],[Produto]],tProdutos[Produto],0))),DescontoPadrao)</f>
        <v>0.34</v>
      </c>
      <c r="M2898" s="12">
        <f>tItens[[#This Row],[Valor]]*(1-tItens[[#This Row],[Desconto]])</f>
        <v>102.64319999999999</v>
      </c>
      <c r="N2898" t="str">
        <f>IFERROR(INDEX(tProdutos[Foco],MATCH(tItens[[#This Row],[Produto]],tProdutos[Produto],0)),"Não")</f>
        <v>Sim</v>
      </c>
      <c r="O2898" t="str">
        <f>IFERROR(INDEX(tEditais[SRP],MATCH(tItens[[#This Row],[Edital]],tEditais[Edital],0)),"Não")</f>
        <v>Não</v>
      </c>
      <c r="P2898" s="4">
        <f>IF(COUNTIFS(INDEX(tItens[Edital],1):tItens[[#This Row],[Edital]],tItens[[#This Row],[Edital]],INDEX(tItens[Produto],1):tItens[[#This Row],[Produto]],tItens[[#This Row],[Produto]])=1,1,0)</f>
        <v>0</v>
      </c>
    </row>
    <row r="2899" spans="1:16" x14ac:dyDescent="0.25">
      <c r="A2899" t="s">
        <v>1339</v>
      </c>
      <c r="B2899">
        <v>95</v>
      </c>
      <c r="C2899" t="s">
        <v>5829</v>
      </c>
      <c r="D2899" t="s">
        <v>56</v>
      </c>
      <c r="E2899" s="13">
        <v>4</v>
      </c>
      <c r="F2899" s="12">
        <v>37.33</v>
      </c>
      <c r="G2899" t="str">
        <f>IFERROR(INDEX(tEditais[Órgão],MATCH(tItens[[#This Row],[Edital]],tEditais[Edital],0)),"")</f>
        <v>MUNICIPIO DE FLORESTAL</v>
      </c>
      <c r="H2899" t="str">
        <f>IFERROR(INDEX(tEditais[UF],MATCH(tItens[[#This Row],[Edital]],tEditais[Edital],0)),"")</f>
        <v>MG</v>
      </c>
      <c r="I2899" s="11">
        <f>IFERROR(INDEX(tEditais[Encerramento],MATCH(tItens[[#This Row],[Edital]],tEditais[Edital],0)),"")</f>
        <v>46304.375</v>
      </c>
      <c r="J2899" t="str">
        <f>IFERROR(INDEX(tProdutos[Classe],MATCH(tItens[[#This Row],[Produto]],tProdutos[Produto],0)),"produto não cadastrado")</f>
        <v>NÚCLEO</v>
      </c>
      <c r="K2899" s="12">
        <f>tItens[[#This Row],[Qtd]]*tItens[[#This Row],[Vlr unit]]</f>
        <v>149.32</v>
      </c>
      <c r="L2899" s="6">
        <f>IFERROR(IF(INDEX(tProdutos[Desconto homologado],MATCH(tItens[[#This Row],[Produto]],tProdutos[Produto],0))="",DescontoPadrao,INDEX(tProdutos[Desconto homologado],MATCH(tItens[[#This Row],[Produto]],tProdutos[Produto],0))),DescontoPadrao)</f>
        <v>0.34</v>
      </c>
      <c r="M2899" s="12">
        <f>tItens[[#This Row],[Valor]]*(1-tItens[[#This Row],[Desconto]])</f>
        <v>98.55119999999998</v>
      </c>
      <c r="N2899" t="str">
        <f>IFERROR(INDEX(tProdutos[Foco],MATCH(tItens[[#This Row],[Produto]],tProdutos[Produto],0)),"Não")</f>
        <v>Sim</v>
      </c>
      <c r="O2899" t="str">
        <f>IFERROR(INDEX(tEditais[SRP],MATCH(tItens[[#This Row],[Edital]],tEditais[Edital],0)),"Não")</f>
        <v>Não</v>
      </c>
      <c r="P2899" s="4">
        <f>IF(COUNTIFS(INDEX(tItens[Edital],1):tItens[[#This Row],[Edital]],tItens[[#This Row],[Edital]],INDEX(tItens[Produto],1):tItens[[#This Row],[Produto]],tItens[[#This Row],[Produto]])=1,1,0)</f>
        <v>0</v>
      </c>
    </row>
    <row r="2900" spans="1:16" x14ac:dyDescent="0.25">
      <c r="A2900" t="s">
        <v>1339</v>
      </c>
      <c r="B2900">
        <v>96</v>
      </c>
      <c r="C2900" t="s">
        <v>5830</v>
      </c>
      <c r="D2900" t="s">
        <v>267</v>
      </c>
      <c r="E2900" s="13">
        <v>16</v>
      </c>
      <c r="F2900" s="12">
        <v>29.98</v>
      </c>
      <c r="G2900" t="str">
        <f>IFERROR(INDEX(tEditais[Órgão],MATCH(tItens[[#This Row],[Edital]],tEditais[Edital],0)),"")</f>
        <v>MUNICIPIO DE FLORESTAL</v>
      </c>
      <c r="H2900" t="str">
        <f>IFERROR(INDEX(tEditais[UF],MATCH(tItens[[#This Row],[Edital]],tEditais[Edital],0)),"")</f>
        <v>MG</v>
      </c>
      <c r="I2900" s="11">
        <f>IFERROR(INDEX(tEditais[Encerramento],MATCH(tItens[[#This Row],[Edital]],tEditais[Edital],0)),"")</f>
        <v>46304.375</v>
      </c>
      <c r="J2900" t="str">
        <f>IFERROR(INDEX(tProdutos[Classe],MATCH(tItens[[#This Row],[Produto]],tProdutos[Produto],0)),"produto não cadastrado")</f>
        <v>FORA</v>
      </c>
      <c r="K2900" s="12">
        <f>tItens[[#This Row],[Qtd]]*tItens[[#This Row],[Vlr unit]]</f>
        <v>479.68</v>
      </c>
      <c r="L2900" s="6">
        <f>IFERROR(IF(INDEX(tProdutos[Desconto homologado],MATCH(tItens[[#This Row],[Produto]],tProdutos[Produto],0))="",DescontoPadrao,INDEX(tProdutos[Desconto homologado],MATCH(tItens[[#This Row],[Produto]],tProdutos[Produto],0))),DescontoPadrao)</f>
        <v>0.19963672657401599</v>
      </c>
      <c r="M2900" s="12">
        <f>tItens[[#This Row],[Valor]]*(1-tItens[[#This Row],[Desconto]])</f>
        <v>383.91825499697603</v>
      </c>
      <c r="N2900" t="str">
        <f>IFERROR(INDEX(tProdutos[Foco],MATCH(tItens[[#This Row],[Produto]],tProdutos[Produto],0)),"Não")</f>
        <v>Não</v>
      </c>
      <c r="O2900" t="str">
        <f>IFERROR(INDEX(tEditais[SRP],MATCH(tItens[[#This Row],[Edital]],tEditais[Edital],0)),"Não")</f>
        <v>Não</v>
      </c>
      <c r="P2900" s="4">
        <f>IF(COUNTIFS(INDEX(tItens[Edital],1):tItens[[#This Row],[Edital]],tItens[[#This Row],[Edital]],INDEX(tItens[Produto],1):tItens[[#This Row],[Produto]],tItens[[#This Row],[Produto]])=1,1,0)</f>
        <v>1</v>
      </c>
    </row>
    <row r="2901" spans="1:16" x14ac:dyDescent="0.25">
      <c r="A2901" t="s">
        <v>1339</v>
      </c>
      <c r="B2901">
        <v>104</v>
      </c>
      <c r="C2901" t="s">
        <v>5831</v>
      </c>
      <c r="D2901" t="s">
        <v>343</v>
      </c>
      <c r="E2901" s="13">
        <v>1000</v>
      </c>
      <c r="F2901" s="12">
        <v>2.72</v>
      </c>
      <c r="G2901" t="str">
        <f>IFERROR(INDEX(tEditais[Órgão],MATCH(tItens[[#This Row],[Edital]],tEditais[Edital],0)),"")</f>
        <v>MUNICIPIO DE FLORESTAL</v>
      </c>
      <c r="H2901" t="str">
        <f>IFERROR(INDEX(tEditais[UF],MATCH(tItens[[#This Row],[Edital]],tEditais[Edital],0)),"")</f>
        <v>MG</v>
      </c>
      <c r="I2901" s="11">
        <f>IFERROR(INDEX(tEditais[Encerramento],MATCH(tItens[[#This Row],[Edital]],tEditais[Edital],0)),"")</f>
        <v>46304.375</v>
      </c>
      <c r="J2901" t="str">
        <f>IFERROR(INDEX(tProdutos[Classe],MATCH(tItens[[#This Row],[Produto]],tProdutos[Produto],0)),"produto não cadastrado")</f>
        <v>FORA</v>
      </c>
      <c r="K2901" s="12">
        <f>tItens[[#This Row],[Qtd]]*tItens[[#This Row],[Vlr unit]]</f>
        <v>2720</v>
      </c>
      <c r="L2901" s="6">
        <f>IFERROR(IF(INDEX(tProdutos[Desconto homologado],MATCH(tItens[[#This Row],[Produto]],tProdutos[Produto],0))="",DescontoPadrao,INDEX(tProdutos[Desconto homologado],MATCH(tItens[[#This Row],[Produto]],tProdutos[Produto],0))),DescontoPadrao)</f>
        <v>0.35412234042553198</v>
      </c>
      <c r="M2901" s="12">
        <f>tItens[[#This Row],[Valor]]*(1-tItens[[#This Row],[Desconto]])</f>
        <v>1756.7872340425529</v>
      </c>
      <c r="N2901" t="str">
        <f>IFERROR(INDEX(tProdutos[Foco],MATCH(tItens[[#This Row],[Produto]],tProdutos[Produto],0)),"Não")</f>
        <v>Não</v>
      </c>
      <c r="O2901" t="str">
        <f>IFERROR(INDEX(tEditais[SRP],MATCH(tItens[[#This Row],[Edital]],tEditais[Edital],0)),"Não")</f>
        <v>Não</v>
      </c>
      <c r="P2901" s="4">
        <f>IF(COUNTIFS(INDEX(tItens[Edital],1):tItens[[#This Row],[Edital]],tItens[[#This Row],[Edital]],INDEX(tItens[Produto],1):tItens[[#This Row],[Produto]],tItens[[#This Row],[Produto]])=1,1,0)</f>
        <v>1</v>
      </c>
    </row>
    <row r="2902" spans="1:16" x14ac:dyDescent="0.25">
      <c r="A2902" t="s">
        <v>1339</v>
      </c>
      <c r="B2902">
        <v>105</v>
      </c>
      <c r="C2902" t="s">
        <v>5832</v>
      </c>
      <c r="D2902" t="s">
        <v>343</v>
      </c>
      <c r="E2902" s="13">
        <v>600</v>
      </c>
      <c r="F2902" s="12">
        <v>2.72</v>
      </c>
      <c r="G2902" t="str">
        <f>IFERROR(INDEX(tEditais[Órgão],MATCH(tItens[[#This Row],[Edital]],tEditais[Edital],0)),"")</f>
        <v>MUNICIPIO DE FLORESTAL</v>
      </c>
      <c r="H2902" t="str">
        <f>IFERROR(INDEX(tEditais[UF],MATCH(tItens[[#This Row],[Edital]],tEditais[Edital],0)),"")</f>
        <v>MG</v>
      </c>
      <c r="I2902" s="11">
        <f>IFERROR(INDEX(tEditais[Encerramento],MATCH(tItens[[#This Row],[Edital]],tEditais[Edital],0)),"")</f>
        <v>46304.375</v>
      </c>
      <c r="J2902" t="str">
        <f>IFERROR(INDEX(tProdutos[Classe],MATCH(tItens[[#This Row],[Produto]],tProdutos[Produto],0)),"produto não cadastrado")</f>
        <v>FORA</v>
      </c>
      <c r="K2902" s="12">
        <f>tItens[[#This Row],[Qtd]]*tItens[[#This Row],[Vlr unit]]</f>
        <v>1632.0000000000002</v>
      </c>
      <c r="L2902" s="6">
        <f>IFERROR(IF(INDEX(tProdutos[Desconto homologado],MATCH(tItens[[#This Row],[Produto]],tProdutos[Produto],0))="",DescontoPadrao,INDEX(tProdutos[Desconto homologado],MATCH(tItens[[#This Row],[Produto]],tProdutos[Produto],0))),DescontoPadrao)</f>
        <v>0.35412234042553198</v>
      </c>
      <c r="M2902" s="12">
        <f>tItens[[#This Row],[Valor]]*(1-tItens[[#This Row],[Desconto]])</f>
        <v>1054.0723404255318</v>
      </c>
      <c r="N2902" t="str">
        <f>IFERROR(INDEX(tProdutos[Foco],MATCH(tItens[[#This Row],[Produto]],tProdutos[Produto],0)),"Não")</f>
        <v>Não</v>
      </c>
      <c r="O2902" t="str">
        <f>IFERROR(INDEX(tEditais[SRP],MATCH(tItens[[#This Row],[Edital]],tEditais[Edital],0)),"Não")</f>
        <v>Não</v>
      </c>
      <c r="P2902" s="4">
        <f>IF(COUNTIFS(INDEX(tItens[Edital],1):tItens[[#This Row],[Edital]],tItens[[#This Row],[Edital]],INDEX(tItens[Produto],1):tItens[[#This Row],[Produto]],tItens[[#This Row],[Produto]])=1,1,0)</f>
        <v>0</v>
      </c>
    </row>
    <row r="2903" spans="1:16" x14ac:dyDescent="0.25">
      <c r="A2903" t="s">
        <v>1339</v>
      </c>
      <c r="B2903">
        <v>167</v>
      </c>
      <c r="C2903" t="s">
        <v>5833</v>
      </c>
      <c r="D2903" t="s">
        <v>411</v>
      </c>
      <c r="E2903" s="13">
        <v>40</v>
      </c>
      <c r="F2903" s="12">
        <v>62.15</v>
      </c>
      <c r="G2903" t="str">
        <f>IFERROR(INDEX(tEditais[Órgão],MATCH(tItens[[#This Row],[Edital]],tEditais[Edital],0)),"")</f>
        <v>MUNICIPIO DE FLORESTAL</v>
      </c>
      <c r="H2903" t="str">
        <f>IFERROR(INDEX(tEditais[UF],MATCH(tItens[[#This Row],[Edital]],tEditais[Edital],0)),"")</f>
        <v>MG</v>
      </c>
      <c r="I2903" s="11">
        <f>IFERROR(INDEX(tEditais[Encerramento],MATCH(tItens[[#This Row],[Edital]],tEditais[Edital],0)),"")</f>
        <v>46304.375</v>
      </c>
      <c r="J2903" t="str">
        <f>IFERROR(INDEX(tProdutos[Classe],MATCH(tItens[[#This Row],[Produto]],tProdutos[Produto],0)),"produto não cadastrado")</f>
        <v>FORA</v>
      </c>
      <c r="K2903" s="12">
        <f>tItens[[#This Row],[Qtd]]*tItens[[#This Row],[Vlr unit]]</f>
        <v>2486</v>
      </c>
      <c r="L2903" s="6">
        <f>IFERROR(IF(INDEX(tProdutos[Desconto homologado],MATCH(tItens[[#This Row],[Produto]],tProdutos[Produto],0))="",DescontoPadrao,INDEX(tProdutos[Desconto homologado],MATCH(tItens[[#This Row],[Produto]],tProdutos[Produto],0))),DescontoPadrao)</f>
        <v>0.50029835957199398</v>
      </c>
      <c r="M2903" s="12">
        <f>tItens[[#This Row],[Valor]]*(1-tItens[[#This Row],[Desconto]])</f>
        <v>1242.258278104023</v>
      </c>
      <c r="N2903" t="str">
        <f>IFERROR(INDEX(tProdutos[Foco],MATCH(tItens[[#This Row],[Produto]],tProdutos[Produto],0)),"Não")</f>
        <v>Não</v>
      </c>
      <c r="O2903" t="str">
        <f>IFERROR(INDEX(tEditais[SRP],MATCH(tItens[[#This Row],[Edital]],tEditais[Edital],0)),"Não")</f>
        <v>Não</v>
      </c>
      <c r="P2903" s="4">
        <f>IF(COUNTIFS(INDEX(tItens[Edital],1):tItens[[#This Row],[Edital]],tItens[[#This Row],[Edital]],INDEX(tItens[Produto],1):tItens[[#This Row],[Produto]],tItens[[#This Row],[Produto]])=1,1,0)</f>
        <v>1</v>
      </c>
    </row>
    <row r="2904" spans="1:16" x14ac:dyDescent="0.25">
      <c r="A2904" t="s">
        <v>1339</v>
      </c>
      <c r="B2904">
        <v>168</v>
      </c>
      <c r="C2904" t="s">
        <v>5834</v>
      </c>
      <c r="D2904" t="s">
        <v>411</v>
      </c>
      <c r="E2904" s="13">
        <v>16</v>
      </c>
      <c r="F2904" s="12">
        <v>26.13</v>
      </c>
      <c r="G2904" t="str">
        <f>IFERROR(INDEX(tEditais[Órgão],MATCH(tItens[[#This Row],[Edital]],tEditais[Edital],0)),"")</f>
        <v>MUNICIPIO DE FLORESTAL</v>
      </c>
      <c r="H2904" t="str">
        <f>IFERROR(INDEX(tEditais[UF],MATCH(tItens[[#This Row],[Edital]],tEditais[Edital],0)),"")</f>
        <v>MG</v>
      </c>
      <c r="I2904" s="11">
        <f>IFERROR(INDEX(tEditais[Encerramento],MATCH(tItens[[#This Row],[Edital]],tEditais[Edital],0)),"")</f>
        <v>46304.375</v>
      </c>
      <c r="J2904" t="str">
        <f>IFERROR(INDEX(tProdutos[Classe],MATCH(tItens[[#This Row],[Produto]],tProdutos[Produto],0)),"produto não cadastrado")</f>
        <v>FORA</v>
      </c>
      <c r="K2904" s="12">
        <f>tItens[[#This Row],[Qtd]]*tItens[[#This Row],[Vlr unit]]</f>
        <v>418.08</v>
      </c>
      <c r="L2904" s="6">
        <f>IFERROR(IF(INDEX(tProdutos[Desconto homologado],MATCH(tItens[[#This Row],[Produto]],tProdutos[Produto],0))="",DescontoPadrao,INDEX(tProdutos[Desconto homologado],MATCH(tItens[[#This Row],[Produto]],tProdutos[Produto],0))),DescontoPadrao)</f>
        <v>0.50029835957199398</v>
      </c>
      <c r="M2904" s="12">
        <f>tItens[[#This Row],[Valor]]*(1-tItens[[#This Row],[Desconto]])</f>
        <v>208.91526183014074</v>
      </c>
      <c r="N2904" t="str">
        <f>IFERROR(INDEX(tProdutos[Foco],MATCH(tItens[[#This Row],[Produto]],tProdutos[Produto],0)),"Não")</f>
        <v>Não</v>
      </c>
      <c r="O2904" t="str">
        <f>IFERROR(INDEX(tEditais[SRP],MATCH(tItens[[#This Row],[Edital]],tEditais[Edital],0)),"Não")</f>
        <v>Não</v>
      </c>
      <c r="P2904" s="4">
        <f>IF(COUNTIFS(INDEX(tItens[Edital],1):tItens[[#This Row],[Edital]],tItens[[#This Row],[Edital]],INDEX(tItens[Produto],1):tItens[[#This Row],[Produto]],tItens[[#This Row],[Produto]])=1,1,0)</f>
        <v>0</v>
      </c>
    </row>
    <row r="2905" spans="1:16" x14ac:dyDescent="0.25">
      <c r="A2905" t="s">
        <v>1344</v>
      </c>
      <c r="B2905">
        <v>1</v>
      </c>
      <c r="C2905" t="s">
        <v>5835</v>
      </c>
      <c r="D2905" t="s">
        <v>530</v>
      </c>
      <c r="E2905" s="13">
        <v>500</v>
      </c>
      <c r="F2905" s="12">
        <v>2.16</v>
      </c>
      <c r="G2905" t="str">
        <f>IFERROR(INDEX(tEditais[Órgão],MATCH(tItens[[#This Row],[Edital]],tEditais[Edital],0)),"")</f>
        <v>MUNICIPIO DE RAUL SOARES</v>
      </c>
      <c r="H2905" t="str">
        <f>IFERROR(INDEX(tEditais[UF],MATCH(tItens[[#This Row],[Edital]],tEditais[Edital],0)),"")</f>
        <v>MG</v>
      </c>
      <c r="I2905" s="11">
        <f>IFERROR(INDEX(tEditais[Encerramento],MATCH(tItens[[#This Row],[Edital]],tEditais[Edital],0)),"")</f>
        <v>46308.326388888891</v>
      </c>
      <c r="J2905" t="str">
        <f>IFERROR(INDEX(tProdutos[Classe],MATCH(tItens[[#This Row],[Produto]],tProdutos[Produto],0)),"produto não cadastrado")</f>
        <v>FILA REBASE</v>
      </c>
      <c r="K2905" s="12">
        <f>tItens[[#This Row],[Qtd]]*tItens[[#This Row],[Vlr unit]]</f>
        <v>1080</v>
      </c>
      <c r="L2905" s="6">
        <f>IFERROR(IF(INDEX(tProdutos[Desconto homologado],MATCH(tItens[[#This Row],[Produto]],tProdutos[Produto],0))="",DescontoPadrao,INDEX(tProdutos[Desconto homologado],MATCH(tItens[[#This Row],[Produto]],tProdutos[Produto],0))),DescontoPadrao)</f>
        <v>0.457328385899815</v>
      </c>
      <c r="M2905" s="12">
        <f>tItens[[#This Row],[Valor]]*(1-tItens[[#This Row],[Desconto]])</f>
        <v>586.0853432281998</v>
      </c>
      <c r="N2905" t="str">
        <f>IFERROR(INDEX(tProdutos[Foco],MATCH(tItens[[#This Row],[Produto]],tProdutos[Produto],0)),"Não")</f>
        <v>Não</v>
      </c>
      <c r="O2905" t="str">
        <f>IFERROR(INDEX(tEditais[SRP],MATCH(tItens[[#This Row],[Edital]],tEditais[Edital],0)),"Não")</f>
        <v>Sim</v>
      </c>
      <c r="P2905" s="4">
        <f>IF(COUNTIFS(INDEX(tItens[Edital],1):tItens[[#This Row],[Edital]],tItens[[#This Row],[Edital]],INDEX(tItens[Produto],1):tItens[[#This Row],[Produto]],tItens[[#This Row],[Produto]])=1,1,0)</f>
        <v>1</v>
      </c>
    </row>
    <row r="2906" spans="1:16" x14ac:dyDescent="0.25">
      <c r="A2906" t="s">
        <v>1344</v>
      </c>
      <c r="B2906">
        <v>17</v>
      </c>
      <c r="C2906" t="s">
        <v>5836</v>
      </c>
      <c r="D2906" t="s">
        <v>403</v>
      </c>
      <c r="E2906" s="13">
        <v>5000</v>
      </c>
      <c r="F2906" s="12">
        <v>1.63</v>
      </c>
      <c r="G2906" t="str">
        <f>IFERROR(INDEX(tEditais[Órgão],MATCH(tItens[[#This Row],[Edital]],tEditais[Edital],0)),"")</f>
        <v>MUNICIPIO DE RAUL SOARES</v>
      </c>
      <c r="H2906" t="str">
        <f>IFERROR(INDEX(tEditais[UF],MATCH(tItens[[#This Row],[Edital]],tEditais[Edital],0)),"")</f>
        <v>MG</v>
      </c>
      <c r="I2906" s="11">
        <f>IFERROR(INDEX(tEditais[Encerramento],MATCH(tItens[[#This Row],[Edital]],tEditais[Edital],0)),"")</f>
        <v>46308.326388888891</v>
      </c>
      <c r="J2906" t="str">
        <f>IFERROR(INDEX(tProdutos[Classe],MATCH(tItens[[#This Row],[Produto]],tProdutos[Produto],0)),"produto não cadastrado")</f>
        <v>FORA</v>
      </c>
      <c r="K2906" s="12">
        <f>tItens[[#This Row],[Qtd]]*tItens[[#This Row],[Vlr unit]]</f>
        <v>8149.9999999999991</v>
      </c>
      <c r="L2906" s="6">
        <f>IFERROR(IF(INDEX(tProdutos[Desconto homologado],MATCH(tItens[[#This Row],[Produto]],tProdutos[Produto],0))="",DescontoPadrao,INDEX(tProdutos[Desconto homologado],MATCH(tItens[[#This Row],[Produto]],tProdutos[Produto],0))),DescontoPadrao)</f>
        <v>0.35326086956521702</v>
      </c>
      <c r="M2906" s="12">
        <f>tItens[[#This Row],[Valor]]*(1-tItens[[#This Row],[Desconto]])</f>
        <v>5270.9239130434798</v>
      </c>
      <c r="N2906" t="str">
        <f>IFERROR(INDEX(tProdutos[Foco],MATCH(tItens[[#This Row],[Produto]],tProdutos[Produto],0)),"Não")</f>
        <v>Não</v>
      </c>
      <c r="O2906" t="str">
        <f>IFERROR(INDEX(tEditais[SRP],MATCH(tItens[[#This Row],[Edital]],tEditais[Edital],0)),"Não")</f>
        <v>Sim</v>
      </c>
      <c r="P2906" s="4">
        <f>IF(COUNTIFS(INDEX(tItens[Edital],1):tItens[[#This Row],[Edital]],tItens[[#This Row],[Edital]],INDEX(tItens[Produto],1):tItens[[#This Row],[Produto]],tItens[[#This Row],[Produto]])=1,1,0)</f>
        <v>1</v>
      </c>
    </row>
    <row r="2907" spans="1:16" x14ac:dyDescent="0.25">
      <c r="A2907" t="s">
        <v>1344</v>
      </c>
      <c r="B2907">
        <v>26</v>
      </c>
      <c r="C2907" t="s">
        <v>5837</v>
      </c>
      <c r="D2907" t="s">
        <v>530</v>
      </c>
      <c r="E2907" s="13">
        <v>800</v>
      </c>
      <c r="F2907" s="12">
        <v>15.74</v>
      </c>
      <c r="G2907" t="str">
        <f>IFERROR(INDEX(tEditais[Órgão],MATCH(tItens[[#This Row],[Edital]],tEditais[Edital],0)),"")</f>
        <v>MUNICIPIO DE RAUL SOARES</v>
      </c>
      <c r="H2907" t="str">
        <f>IFERROR(INDEX(tEditais[UF],MATCH(tItens[[#This Row],[Edital]],tEditais[Edital],0)),"")</f>
        <v>MG</v>
      </c>
      <c r="I2907" s="11">
        <f>IFERROR(INDEX(tEditais[Encerramento],MATCH(tItens[[#This Row],[Edital]],tEditais[Edital],0)),"")</f>
        <v>46308.326388888891</v>
      </c>
      <c r="J2907" t="str">
        <f>IFERROR(INDEX(tProdutos[Classe],MATCH(tItens[[#This Row],[Produto]],tProdutos[Produto],0)),"produto não cadastrado")</f>
        <v>FILA REBASE</v>
      </c>
      <c r="K2907" s="12">
        <f>tItens[[#This Row],[Qtd]]*tItens[[#This Row],[Vlr unit]]</f>
        <v>12592</v>
      </c>
      <c r="L2907" s="6">
        <f>IFERROR(IF(INDEX(tProdutos[Desconto homologado],MATCH(tItens[[#This Row],[Produto]],tProdutos[Produto],0))="",DescontoPadrao,INDEX(tProdutos[Desconto homologado],MATCH(tItens[[#This Row],[Produto]],tProdutos[Produto],0))),DescontoPadrao)</f>
        <v>0.457328385899815</v>
      </c>
      <c r="M2907" s="12">
        <f>tItens[[#This Row],[Valor]]*(1-tItens[[#This Row],[Desconto]])</f>
        <v>6833.3209647495305</v>
      </c>
      <c r="N2907" t="str">
        <f>IFERROR(INDEX(tProdutos[Foco],MATCH(tItens[[#This Row],[Produto]],tProdutos[Produto],0)),"Não")</f>
        <v>Não</v>
      </c>
      <c r="O2907" t="str">
        <f>IFERROR(INDEX(tEditais[SRP],MATCH(tItens[[#This Row],[Edital]],tEditais[Edital],0)),"Não")</f>
        <v>Sim</v>
      </c>
      <c r="P2907" s="4">
        <f>IF(COUNTIFS(INDEX(tItens[Edital],1):tItens[[#This Row],[Edital]],tItens[[#This Row],[Edital]],INDEX(tItens[Produto],1):tItens[[#This Row],[Produto]],tItens[[#This Row],[Produto]])=1,1,0)</f>
        <v>0</v>
      </c>
    </row>
    <row r="2908" spans="1:16" x14ac:dyDescent="0.25">
      <c r="A2908" t="s">
        <v>1348</v>
      </c>
      <c r="B2908">
        <v>17</v>
      </c>
      <c r="C2908" t="s">
        <v>5838</v>
      </c>
      <c r="D2908" t="s">
        <v>539</v>
      </c>
      <c r="E2908" s="13">
        <v>10</v>
      </c>
      <c r="F2908" s="12">
        <v>0</v>
      </c>
      <c r="G2908" t="str">
        <f>IFERROR(INDEX(tEditais[Órgão],MATCH(tItens[[#This Row],[Edital]],tEditais[Edital],0)),"")</f>
        <v>MUNICIPIO DE IPATINGA</v>
      </c>
      <c r="H2908" t="str">
        <f>IFERROR(INDEX(tEditais[UF],MATCH(tItens[[#This Row],[Edital]],tEditais[Edital],0)),"")</f>
        <v>MG</v>
      </c>
      <c r="I2908" s="11">
        <f>IFERROR(INDEX(tEditais[Encerramento],MATCH(tItens[[#This Row],[Edital]],tEditais[Edital],0)),"")</f>
        <v>46308.333333333336</v>
      </c>
      <c r="J2908" t="str">
        <f>IFERROR(INDEX(tProdutos[Classe],MATCH(tItens[[#This Row],[Produto]],tProdutos[Produto],0)),"produto não cadastrado")</f>
        <v>FILA REBASE</v>
      </c>
      <c r="K2908" s="12">
        <f>tItens[[#This Row],[Qtd]]*tItens[[#This Row],[Vlr unit]]</f>
        <v>0</v>
      </c>
      <c r="L2908" s="6">
        <f>IFERROR(IF(INDEX(tProdutos[Desconto homologado],MATCH(tItens[[#This Row],[Produto]],tProdutos[Produto],0))="",DescontoPadrao,INDEX(tProdutos[Desconto homologado],MATCH(tItens[[#This Row],[Produto]],tProdutos[Produto],0))),DescontoPadrao)</f>
        <v>0.19082632767309299</v>
      </c>
      <c r="M2908" s="12">
        <f>tItens[[#This Row],[Valor]]*(1-tItens[[#This Row],[Desconto]])</f>
        <v>0</v>
      </c>
      <c r="N2908" t="str">
        <f>IFERROR(INDEX(tProdutos[Foco],MATCH(tItens[[#This Row],[Produto]],tProdutos[Produto],0)),"Não")</f>
        <v>Não</v>
      </c>
      <c r="O2908" t="str">
        <f>IFERROR(INDEX(tEditais[SRP],MATCH(tItens[[#This Row],[Edital]],tEditais[Edital],0)),"Não")</f>
        <v>Não</v>
      </c>
      <c r="P2908" s="4">
        <f>IF(COUNTIFS(INDEX(tItens[Edital],1):tItens[[#This Row],[Edital]],tItens[[#This Row],[Edital]],INDEX(tItens[Produto],1):tItens[[#This Row],[Produto]],tItens[[#This Row],[Produto]])=1,1,0)</f>
        <v>1</v>
      </c>
    </row>
    <row r="2909" spans="1:16" x14ac:dyDescent="0.25">
      <c r="A2909" t="s">
        <v>1348</v>
      </c>
      <c r="B2909">
        <v>19</v>
      </c>
      <c r="C2909" t="s">
        <v>5839</v>
      </c>
      <c r="D2909" t="s">
        <v>423</v>
      </c>
      <c r="E2909" s="13">
        <v>30</v>
      </c>
      <c r="F2909" s="12">
        <v>0</v>
      </c>
      <c r="G2909" t="str">
        <f>IFERROR(INDEX(tEditais[Órgão],MATCH(tItens[[#This Row],[Edital]],tEditais[Edital],0)),"")</f>
        <v>MUNICIPIO DE IPATINGA</v>
      </c>
      <c r="H2909" t="str">
        <f>IFERROR(INDEX(tEditais[UF],MATCH(tItens[[#This Row],[Edital]],tEditais[Edital],0)),"")</f>
        <v>MG</v>
      </c>
      <c r="I2909" s="11">
        <f>IFERROR(INDEX(tEditais[Encerramento],MATCH(tItens[[#This Row],[Edital]],tEditais[Edital],0)),"")</f>
        <v>46308.333333333336</v>
      </c>
      <c r="J2909" t="str">
        <f>IFERROR(INDEX(tProdutos[Classe],MATCH(tItens[[#This Row],[Produto]],tProdutos[Produto],0)),"produto não cadastrado")</f>
        <v>FORA</v>
      </c>
      <c r="K2909" s="12">
        <f>tItens[[#This Row],[Qtd]]*tItens[[#This Row],[Vlr unit]]</f>
        <v>0</v>
      </c>
      <c r="L2909" s="6">
        <f>IFERROR(IF(INDEX(tProdutos[Desconto homologado],MATCH(tItens[[#This Row],[Produto]],tProdutos[Produto],0))="",DescontoPadrao,INDEX(tProdutos[Desconto homologado],MATCH(tItens[[#This Row],[Produto]],tProdutos[Produto],0))),DescontoPadrao)</f>
        <v>0.38271604938271597</v>
      </c>
      <c r="M2909" s="12">
        <f>tItens[[#This Row],[Valor]]*(1-tItens[[#This Row],[Desconto]])</f>
        <v>0</v>
      </c>
      <c r="N2909" t="str">
        <f>IFERROR(INDEX(tProdutos[Foco],MATCH(tItens[[#This Row],[Produto]],tProdutos[Produto],0)),"Não")</f>
        <v>Não</v>
      </c>
      <c r="O2909" t="str">
        <f>IFERROR(INDEX(tEditais[SRP],MATCH(tItens[[#This Row],[Edital]],tEditais[Edital],0)),"Não")</f>
        <v>Não</v>
      </c>
      <c r="P2909" s="4">
        <f>IF(COUNTIFS(INDEX(tItens[Edital],1):tItens[[#This Row],[Edital]],tItens[[#This Row],[Edital]],INDEX(tItens[Produto],1):tItens[[#This Row],[Produto]],tItens[[#This Row],[Produto]])=1,1,0)</f>
        <v>1</v>
      </c>
    </row>
    <row r="2910" spans="1:16" x14ac:dyDescent="0.25">
      <c r="A2910" t="s">
        <v>1348</v>
      </c>
      <c r="B2910">
        <v>20</v>
      </c>
      <c r="C2910" t="s">
        <v>5840</v>
      </c>
      <c r="D2910" t="s">
        <v>421</v>
      </c>
      <c r="E2910" s="13">
        <v>20</v>
      </c>
      <c r="F2910" s="12">
        <v>0</v>
      </c>
      <c r="G2910" t="str">
        <f>IFERROR(INDEX(tEditais[Órgão],MATCH(tItens[[#This Row],[Edital]],tEditais[Edital],0)),"")</f>
        <v>MUNICIPIO DE IPATINGA</v>
      </c>
      <c r="H2910" t="str">
        <f>IFERROR(INDEX(tEditais[UF],MATCH(tItens[[#This Row],[Edital]],tEditais[Edital],0)),"")</f>
        <v>MG</v>
      </c>
      <c r="I2910" s="11">
        <f>IFERROR(INDEX(tEditais[Encerramento],MATCH(tItens[[#This Row],[Edital]],tEditais[Edital],0)),"")</f>
        <v>46308.333333333336</v>
      </c>
      <c r="J2910" t="str">
        <f>IFERROR(INDEX(tProdutos[Classe],MATCH(tItens[[#This Row],[Produto]],tProdutos[Produto],0)),"produto não cadastrado")</f>
        <v>FORA</v>
      </c>
      <c r="K2910" s="12">
        <f>tItens[[#This Row],[Qtd]]*tItens[[#This Row],[Vlr unit]]</f>
        <v>0</v>
      </c>
      <c r="L2910" s="6">
        <f>IFERROR(IF(INDEX(tProdutos[Desconto homologado],MATCH(tItens[[#This Row],[Produto]],tProdutos[Produto],0))="",DescontoPadrao,INDEX(tProdutos[Desconto homologado],MATCH(tItens[[#This Row],[Produto]],tProdutos[Produto],0))),DescontoPadrao)</f>
        <v>0.43</v>
      </c>
      <c r="M2910" s="12">
        <f>tItens[[#This Row],[Valor]]*(1-tItens[[#This Row],[Desconto]])</f>
        <v>0</v>
      </c>
      <c r="N2910" t="str">
        <f>IFERROR(INDEX(tProdutos[Foco],MATCH(tItens[[#This Row],[Produto]],tProdutos[Produto],0)),"Não")</f>
        <v>Sim</v>
      </c>
      <c r="O2910" t="str">
        <f>IFERROR(INDEX(tEditais[SRP],MATCH(tItens[[#This Row],[Edital]],tEditais[Edital],0)),"Não")</f>
        <v>Não</v>
      </c>
      <c r="P2910" s="4">
        <f>IF(COUNTIFS(INDEX(tItens[Edital],1):tItens[[#This Row],[Edital]],tItens[[#This Row],[Edital]],INDEX(tItens[Produto],1):tItens[[#This Row],[Produto]],tItens[[#This Row],[Produto]])=1,1,0)</f>
        <v>1</v>
      </c>
    </row>
    <row r="2911" spans="1:16" x14ac:dyDescent="0.25">
      <c r="A2911" t="s">
        <v>1348</v>
      </c>
      <c r="B2911">
        <v>33</v>
      </c>
      <c r="C2911" t="s">
        <v>5841</v>
      </c>
      <c r="D2911" t="s">
        <v>641</v>
      </c>
      <c r="E2911" s="13">
        <v>104</v>
      </c>
      <c r="F2911" s="12">
        <v>0</v>
      </c>
      <c r="G2911" t="str">
        <f>IFERROR(INDEX(tEditais[Órgão],MATCH(tItens[[#This Row],[Edital]],tEditais[Edital],0)),"")</f>
        <v>MUNICIPIO DE IPATINGA</v>
      </c>
      <c r="H2911" t="str">
        <f>IFERROR(INDEX(tEditais[UF],MATCH(tItens[[#This Row],[Edital]],tEditais[Edital],0)),"")</f>
        <v>MG</v>
      </c>
      <c r="I2911" s="11">
        <f>IFERROR(INDEX(tEditais[Encerramento],MATCH(tItens[[#This Row],[Edital]],tEditais[Edital],0)),"")</f>
        <v>46308.333333333336</v>
      </c>
      <c r="J2911" t="str">
        <f>IFERROR(INDEX(tProdutos[Classe],MATCH(tItens[[#This Row],[Produto]],tProdutos[Produto],0)),"produto não cadastrado")</f>
        <v>FILA REBASE</v>
      </c>
      <c r="K2911" s="12">
        <f>tItens[[#This Row],[Qtd]]*tItens[[#This Row],[Vlr unit]]</f>
        <v>0</v>
      </c>
      <c r="L2911" s="6">
        <f>IFERROR(IF(INDEX(tProdutos[Desconto homologado],MATCH(tItens[[#This Row],[Produto]],tProdutos[Produto],0))="",DescontoPadrao,INDEX(tProdutos[Desconto homologado],MATCH(tItens[[#This Row],[Produto]],tProdutos[Produto],0))),DescontoPadrao)</f>
        <v>0.3</v>
      </c>
      <c r="M2911" s="12">
        <f>tItens[[#This Row],[Valor]]*(1-tItens[[#This Row],[Desconto]])</f>
        <v>0</v>
      </c>
      <c r="N2911" t="str">
        <f>IFERROR(INDEX(tProdutos[Foco],MATCH(tItens[[#This Row],[Produto]],tProdutos[Produto],0)),"Não")</f>
        <v>Não</v>
      </c>
      <c r="O2911" t="str">
        <f>IFERROR(INDEX(tEditais[SRP],MATCH(tItens[[#This Row],[Edital]],tEditais[Edital],0)),"Não")</f>
        <v>Não</v>
      </c>
      <c r="P2911" s="4">
        <f>IF(COUNTIFS(INDEX(tItens[Edital],1):tItens[[#This Row],[Edital]],tItens[[#This Row],[Edital]],INDEX(tItens[Produto],1):tItens[[#This Row],[Produto]],tItens[[#This Row],[Produto]])=1,1,0)</f>
        <v>1</v>
      </c>
    </row>
    <row r="2912" spans="1:16" x14ac:dyDescent="0.25">
      <c r="A2912" t="s">
        <v>1348</v>
      </c>
      <c r="B2912">
        <v>120</v>
      </c>
      <c r="C2912" t="s">
        <v>5842</v>
      </c>
      <c r="D2912" t="s">
        <v>417</v>
      </c>
      <c r="E2912" s="13">
        <v>5</v>
      </c>
      <c r="F2912" s="12">
        <v>0</v>
      </c>
      <c r="G2912" t="str">
        <f>IFERROR(INDEX(tEditais[Órgão],MATCH(tItens[[#This Row],[Edital]],tEditais[Edital],0)),"")</f>
        <v>MUNICIPIO DE IPATINGA</v>
      </c>
      <c r="H2912" t="str">
        <f>IFERROR(INDEX(tEditais[UF],MATCH(tItens[[#This Row],[Edital]],tEditais[Edital],0)),"")</f>
        <v>MG</v>
      </c>
      <c r="I2912" s="11">
        <f>IFERROR(INDEX(tEditais[Encerramento],MATCH(tItens[[#This Row],[Edital]],tEditais[Edital],0)),"")</f>
        <v>46308.333333333336</v>
      </c>
      <c r="J2912" t="str">
        <f>IFERROR(INDEX(tProdutos[Classe],MATCH(tItens[[#This Row],[Produto]],tProdutos[Produto],0)),"produto não cadastrado")</f>
        <v>FORA</v>
      </c>
      <c r="K2912" s="12">
        <f>tItens[[#This Row],[Qtd]]*tItens[[#This Row],[Vlr unit]]</f>
        <v>0</v>
      </c>
      <c r="L2912" s="6">
        <f>IFERROR(IF(INDEX(tProdutos[Desconto homologado],MATCH(tItens[[#This Row],[Produto]],tProdutos[Produto],0))="",DescontoPadrao,INDEX(tProdutos[Desconto homologado],MATCH(tItens[[#This Row],[Produto]],tProdutos[Produto],0))),DescontoPadrao)</f>
        <v>0.27842432580405202</v>
      </c>
      <c r="M2912" s="12">
        <f>tItens[[#This Row],[Valor]]*(1-tItens[[#This Row],[Desconto]])</f>
        <v>0</v>
      </c>
      <c r="N2912" t="str">
        <f>IFERROR(INDEX(tProdutos[Foco],MATCH(tItens[[#This Row],[Produto]],tProdutos[Produto],0)),"Não")</f>
        <v>Não</v>
      </c>
      <c r="O2912" t="str">
        <f>IFERROR(INDEX(tEditais[SRP],MATCH(tItens[[#This Row],[Edital]],tEditais[Edital],0)),"Não")</f>
        <v>Não</v>
      </c>
      <c r="P2912" s="4">
        <f>IF(COUNTIFS(INDEX(tItens[Edital],1):tItens[[#This Row],[Edital]],tItens[[#This Row],[Edital]],INDEX(tItens[Produto],1):tItens[[#This Row],[Produto]],tItens[[#This Row],[Produto]])=1,1,0)</f>
        <v>1</v>
      </c>
    </row>
    <row r="2913" spans="1:16" x14ac:dyDescent="0.25">
      <c r="A2913" t="s">
        <v>1353</v>
      </c>
      <c r="B2913">
        <v>8</v>
      </c>
      <c r="C2913" t="s">
        <v>5843</v>
      </c>
      <c r="D2913" t="s">
        <v>140</v>
      </c>
      <c r="E2913" s="13">
        <v>5000</v>
      </c>
      <c r="F2913" s="12">
        <v>0</v>
      </c>
      <c r="G2913" t="str">
        <f>IFERROR(INDEX(tEditais[Órgão],MATCH(tItens[[#This Row],[Edital]],tEditais[Edital],0)),"")</f>
        <v>EMPRESA BRASILEIRA DE SERVICOS HOSPITALARES - EBSERH</v>
      </c>
      <c r="H2913" t="str">
        <f>IFERROR(INDEX(tEditais[UF],MATCH(tItens[[#This Row],[Edital]],tEditais[Edital],0)),"")</f>
        <v>MG</v>
      </c>
      <c r="I2913" s="11">
        <f>IFERROR(INDEX(tEditais[Encerramento],MATCH(tItens[[#This Row],[Edital]],tEditais[Edital],0)),"")</f>
        <v>46308.333333333336</v>
      </c>
      <c r="J2913" t="str">
        <f>IFERROR(INDEX(tProdutos[Classe],MATCH(tItens[[#This Row],[Produto]],tProdutos[Produto],0)),"produto não cadastrado")</f>
        <v>DISPUTADO</v>
      </c>
      <c r="K2913" s="12">
        <f>tItens[[#This Row],[Qtd]]*tItens[[#This Row],[Vlr unit]]</f>
        <v>0</v>
      </c>
      <c r="L2913" s="6">
        <f>IFERROR(IF(INDEX(tProdutos[Desconto homologado],MATCH(tItens[[#This Row],[Produto]],tProdutos[Produto],0))="",DescontoPadrao,INDEX(tProdutos[Desconto homologado],MATCH(tItens[[#This Row],[Produto]],tProdutos[Produto],0))),DescontoPadrao)</f>
        <v>0.48560177208958899</v>
      </c>
      <c r="M2913" s="12">
        <f>tItens[[#This Row],[Valor]]*(1-tItens[[#This Row],[Desconto]])</f>
        <v>0</v>
      </c>
      <c r="N2913" t="str">
        <f>IFERROR(INDEX(tProdutos[Foco],MATCH(tItens[[#This Row],[Produto]],tProdutos[Produto],0)),"Não")</f>
        <v>Não</v>
      </c>
      <c r="O2913" t="str">
        <f>IFERROR(INDEX(tEditais[SRP],MATCH(tItens[[#This Row],[Edital]],tEditais[Edital],0)),"Não")</f>
        <v>Não</v>
      </c>
      <c r="P2913" s="4">
        <f>IF(COUNTIFS(INDEX(tItens[Edital],1):tItens[[#This Row],[Edital]],tItens[[#This Row],[Edital]],INDEX(tItens[Produto],1):tItens[[#This Row],[Produto]],tItens[[#This Row],[Produto]])=1,1,0)</f>
        <v>1</v>
      </c>
    </row>
    <row r="2914" spans="1:16" x14ac:dyDescent="0.25">
      <c r="A2914" t="s">
        <v>1356</v>
      </c>
      <c r="B2914">
        <v>6</v>
      </c>
      <c r="C2914" t="s">
        <v>5844</v>
      </c>
      <c r="D2914" t="s">
        <v>71</v>
      </c>
      <c r="E2914" s="13">
        <v>100</v>
      </c>
      <c r="F2914" s="12">
        <v>36.020000000000003</v>
      </c>
      <c r="G2914" t="str">
        <f>IFERROR(INDEX(tEditais[Órgão],MATCH(tItens[[#This Row],[Edital]],tEditais[Edital],0)),"")</f>
        <v>MUNICIPIO DE SAO DOMINGOS DO PRATA</v>
      </c>
      <c r="H2914" t="str">
        <f>IFERROR(INDEX(tEditais[UF],MATCH(tItens[[#This Row],[Edital]],tEditais[Edital],0)),"")</f>
        <v>MG</v>
      </c>
      <c r="I2914" s="11">
        <f>IFERROR(INDEX(tEditais[Encerramento],MATCH(tItens[[#This Row],[Edital]],tEditais[Edital],0)),"")</f>
        <v>46308.333333333336</v>
      </c>
      <c r="J2914" t="str">
        <f>IFERROR(INDEX(tProdutos[Classe],MATCH(tItens[[#This Row],[Produto]],tProdutos[Produto],0)),"produto não cadastrado")</f>
        <v>NÚCLEO</v>
      </c>
      <c r="K2914" s="12">
        <f>tItens[[#This Row],[Qtd]]*tItens[[#This Row],[Vlr unit]]</f>
        <v>3602.0000000000005</v>
      </c>
      <c r="L2914" s="6">
        <f>IFERROR(IF(INDEX(tProdutos[Desconto homologado],MATCH(tItens[[#This Row],[Produto]],tProdutos[Produto],0))="",DescontoPadrao,INDEX(tProdutos[Desconto homologado],MATCH(tItens[[#This Row],[Produto]],tProdutos[Produto],0))),DescontoPadrao)</f>
        <v>0.44981412639405199</v>
      </c>
      <c r="M2914" s="12">
        <f>tItens[[#This Row],[Valor]]*(1-tItens[[#This Row],[Desconto]])</f>
        <v>1981.7695167286247</v>
      </c>
      <c r="N2914" t="str">
        <f>IFERROR(INDEX(tProdutos[Foco],MATCH(tItens[[#This Row],[Produto]],tProdutos[Produto],0)),"Não")</f>
        <v>Não</v>
      </c>
      <c r="O2914" t="str">
        <f>IFERROR(INDEX(tEditais[SRP],MATCH(tItens[[#This Row],[Edital]],tEditais[Edital],0)),"Não")</f>
        <v>Sim</v>
      </c>
      <c r="P2914" s="4">
        <f>IF(COUNTIFS(INDEX(tItens[Edital],1):tItens[[#This Row],[Edital]],tItens[[#This Row],[Edital]],INDEX(tItens[Produto],1):tItens[[#This Row],[Produto]],tItens[[#This Row],[Produto]])=1,1,0)</f>
        <v>1</v>
      </c>
    </row>
    <row r="2915" spans="1:16" x14ac:dyDescent="0.25">
      <c r="A2915" t="s">
        <v>1356</v>
      </c>
      <c r="B2915">
        <v>7</v>
      </c>
      <c r="C2915" t="s">
        <v>5845</v>
      </c>
      <c r="D2915" t="s">
        <v>88</v>
      </c>
      <c r="E2915" s="13">
        <v>30</v>
      </c>
      <c r="F2915" s="12">
        <v>36.94</v>
      </c>
      <c r="G2915" t="str">
        <f>IFERROR(INDEX(tEditais[Órgão],MATCH(tItens[[#This Row],[Edital]],tEditais[Edital],0)),"")</f>
        <v>MUNICIPIO DE SAO DOMINGOS DO PRATA</v>
      </c>
      <c r="H2915" t="str">
        <f>IFERROR(INDEX(tEditais[UF],MATCH(tItens[[#This Row],[Edital]],tEditais[Edital],0)),"")</f>
        <v>MG</v>
      </c>
      <c r="I2915" s="11">
        <f>IFERROR(INDEX(tEditais[Encerramento],MATCH(tItens[[#This Row],[Edital]],tEditais[Edital],0)),"")</f>
        <v>46308.333333333336</v>
      </c>
      <c r="J2915" t="str">
        <f>IFERROR(INDEX(tProdutos[Classe],MATCH(tItens[[#This Row],[Produto]],tProdutos[Produto],0)),"produto não cadastrado")</f>
        <v>NÚCLEO</v>
      </c>
      <c r="K2915" s="12">
        <f>tItens[[#This Row],[Qtd]]*tItens[[#This Row],[Vlr unit]]</f>
        <v>1108.1999999999998</v>
      </c>
      <c r="L2915" s="6">
        <f>IFERROR(IF(INDEX(tProdutos[Desconto homologado],MATCH(tItens[[#This Row],[Produto]],tProdutos[Produto],0))="",DescontoPadrao,INDEX(tProdutos[Desconto homologado],MATCH(tItens[[#This Row],[Produto]],tProdutos[Produto],0))),DescontoPadrao)</f>
        <v>0.30251202565473001</v>
      </c>
      <c r="M2915" s="12">
        <f>tItens[[#This Row],[Valor]]*(1-tItens[[#This Row],[Desconto]])</f>
        <v>772.9561731694281</v>
      </c>
      <c r="N2915" t="str">
        <f>IFERROR(INDEX(tProdutos[Foco],MATCH(tItens[[#This Row],[Produto]],tProdutos[Produto],0)),"Não")</f>
        <v>Não</v>
      </c>
      <c r="O2915" t="str">
        <f>IFERROR(INDEX(tEditais[SRP],MATCH(tItens[[#This Row],[Edital]],tEditais[Edital],0)),"Não")</f>
        <v>Sim</v>
      </c>
      <c r="P2915" s="4">
        <f>IF(COUNTIFS(INDEX(tItens[Edital],1):tItens[[#This Row],[Edital]],tItens[[#This Row],[Edital]],INDEX(tItens[Produto],1):tItens[[#This Row],[Produto]],tItens[[#This Row],[Produto]])=1,1,0)</f>
        <v>1</v>
      </c>
    </row>
    <row r="2916" spans="1:16" x14ac:dyDescent="0.25">
      <c r="A2916" t="s">
        <v>1356</v>
      </c>
      <c r="B2916">
        <v>19</v>
      </c>
      <c r="C2916" t="s">
        <v>5846</v>
      </c>
      <c r="D2916" t="s">
        <v>86</v>
      </c>
      <c r="E2916" s="13">
        <v>100</v>
      </c>
      <c r="F2916" s="12">
        <v>22.44</v>
      </c>
      <c r="G2916" t="str">
        <f>IFERROR(INDEX(tEditais[Órgão],MATCH(tItens[[#This Row],[Edital]],tEditais[Edital],0)),"")</f>
        <v>MUNICIPIO DE SAO DOMINGOS DO PRATA</v>
      </c>
      <c r="H2916" t="str">
        <f>IFERROR(INDEX(tEditais[UF],MATCH(tItens[[#This Row],[Edital]],tEditais[Edital],0)),"")</f>
        <v>MG</v>
      </c>
      <c r="I2916" s="11">
        <f>IFERROR(INDEX(tEditais[Encerramento],MATCH(tItens[[#This Row],[Edital]],tEditais[Edital],0)),"")</f>
        <v>46308.333333333336</v>
      </c>
      <c r="J2916" t="str">
        <f>IFERROR(INDEX(tProdutos[Classe],MATCH(tItens[[#This Row],[Produto]],tProdutos[Produto],0)),"produto não cadastrado")</f>
        <v>NÚCLEO</v>
      </c>
      <c r="K2916" s="12">
        <f>tItens[[#This Row],[Qtd]]*tItens[[#This Row],[Vlr unit]]</f>
        <v>2244</v>
      </c>
      <c r="L2916" s="6">
        <f>IFERROR(IF(INDEX(tProdutos[Desconto homologado],MATCH(tItens[[#This Row],[Produto]],tProdutos[Produto],0))="",DescontoPadrao,INDEX(tProdutos[Desconto homologado],MATCH(tItens[[#This Row],[Produto]],tProdutos[Produto],0))),DescontoPadrao)</f>
        <v>0.20202020202020199</v>
      </c>
      <c r="M2916" s="12">
        <f>tItens[[#This Row],[Valor]]*(1-tItens[[#This Row],[Desconto]])</f>
        <v>1790.6666666666667</v>
      </c>
      <c r="N2916" t="str">
        <f>IFERROR(INDEX(tProdutos[Foco],MATCH(tItens[[#This Row],[Produto]],tProdutos[Produto],0)),"Não")</f>
        <v>Não</v>
      </c>
      <c r="O2916" t="str">
        <f>IFERROR(INDEX(tEditais[SRP],MATCH(tItens[[#This Row],[Edital]],tEditais[Edital],0)),"Não")</f>
        <v>Sim</v>
      </c>
      <c r="P2916" s="4">
        <f>IF(COUNTIFS(INDEX(tItens[Edital],1):tItens[[#This Row],[Edital]],tItens[[#This Row],[Edital]],INDEX(tItens[Produto],1):tItens[[#This Row],[Produto]],tItens[[#This Row],[Produto]])=1,1,0)</f>
        <v>1</v>
      </c>
    </row>
    <row r="2917" spans="1:16" x14ac:dyDescent="0.25">
      <c r="A2917" t="s">
        <v>1356</v>
      </c>
      <c r="B2917">
        <v>66</v>
      </c>
      <c r="C2917" t="s">
        <v>5847</v>
      </c>
      <c r="D2917" t="s">
        <v>641</v>
      </c>
      <c r="E2917" s="13">
        <v>30</v>
      </c>
      <c r="F2917" s="12">
        <v>51.27</v>
      </c>
      <c r="G2917" t="str">
        <f>IFERROR(INDEX(tEditais[Órgão],MATCH(tItens[[#This Row],[Edital]],tEditais[Edital],0)),"")</f>
        <v>MUNICIPIO DE SAO DOMINGOS DO PRATA</v>
      </c>
      <c r="H2917" t="str">
        <f>IFERROR(INDEX(tEditais[UF],MATCH(tItens[[#This Row],[Edital]],tEditais[Edital],0)),"")</f>
        <v>MG</v>
      </c>
      <c r="I2917" s="11">
        <f>IFERROR(INDEX(tEditais[Encerramento],MATCH(tItens[[#This Row],[Edital]],tEditais[Edital],0)),"")</f>
        <v>46308.333333333336</v>
      </c>
      <c r="J2917" t="str">
        <f>IFERROR(INDEX(tProdutos[Classe],MATCH(tItens[[#This Row],[Produto]],tProdutos[Produto],0)),"produto não cadastrado")</f>
        <v>FILA REBASE</v>
      </c>
      <c r="K2917" s="12">
        <f>tItens[[#This Row],[Qtd]]*tItens[[#This Row],[Vlr unit]]</f>
        <v>1538.1000000000001</v>
      </c>
      <c r="L2917" s="6">
        <f>IFERROR(IF(INDEX(tProdutos[Desconto homologado],MATCH(tItens[[#This Row],[Produto]],tProdutos[Produto],0))="",DescontoPadrao,INDEX(tProdutos[Desconto homologado],MATCH(tItens[[#This Row],[Produto]],tProdutos[Produto],0))),DescontoPadrao)</f>
        <v>0.3</v>
      </c>
      <c r="M2917" s="12">
        <f>tItens[[#This Row],[Valor]]*(1-tItens[[#This Row],[Desconto]])</f>
        <v>1076.67</v>
      </c>
      <c r="N2917" t="str">
        <f>IFERROR(INDEX(tProdutos[Foco],MATCH(tItens[[#This Row],[Produto]],tProdutos[Produto],0)),"Não")</f>
        <v>Não</v>
      </c>
      <c r="O2917" t="str">
        <f>IFERROR(INDEX(tEditais[SRP],MATCH(tItens[[#This Row],[Edital]],tEditais[Edital],0)),"Não")</f>
        <v>Sim</v>
      </c>
      <c r="P2917" s="4">
        <f>IF(COUNTIFS(INDEX(tItens[Edital],1):tItens[[#This Row],[Edital]],tItens[[#This Row],[Edital]],INDEX(tItens[Produto],1):tItens[[#This Row],[Produto]],tItens[[#This Row],[Produto]])=1,1,0)</f>
        <v>1</v>
      </c>
    </row>
    <row r="2918" spans="1:16" x14ac:dyDescent="0.25">
      <c r="A2918" t="s">
        <v>1356</v>
      </c>
      <c r="B2918">
        <v>104</v>
      </c>
      <c r="C2918" t="s">
        <v>5848</v>
      </c>
      <c r="D2918" t="s">
        <v>461</v>
      </c>
      <c r="E2918" s="13">
        <v>120</v>
      </c>
      <c r="F2918" s="12">
        <v>42.58</v>
      </c>
      <c r="G2918" t="str">
        <f>IFERROR(INDEX(tEditais[Órgão],MATCH(tItens[[#This Row],[Edital]],tEditais[Edital],0)),"")</f>
        <v>MUNICIPIO DE SAO DOMINGOS DO PRATA</v>
      </c>
      <c r="H2918" t="str">
        <f>IFERROR(INDEX(tEditais[UF],MATCH(tItens[[#This Row],[Edital]],tEditais[Edital],0)),"")</f>
        <v>MG</v>
      </c>
      <c r="I2918" s="11">
        <f>IFERROR(INDEX(tEditais[Encerramento],MATCH(tItens[[#This Row],[Edital]],tEditais[Edital],0)),"")</f>
        <v>46308.333333333336</v>
      </c>
      <c r="J2918" t="str">
        <f>IFERROR(INDEX(tProdutos[Classe],MATCH(tItens[[#This Row],[Produto]],tProdutos[Produto],0)),"produto não cadastrado")</f>
        <v>FILA REBASE</v>
      </c>
      <c r="K2918" s="12">
        <f>tItens[[#This Row],[Qtd]]*tItens[[#This Row],[Vlr unit]]</f>
        <v>5109.5999999999995</v>
      </c>
      <c r="L2918" s="6">
        <f>IFERROR(IF(INDEX(tProdutos[Desconto homologado],MATCH(tItens[[#This Row],[Produto]],tProdutos[Produto],0))="",DescontoPadrao,INDEX(tProdutos[Desconto homologado],MATCH(tItens[[#This Row],[Produto]],tProdutos[Produto],0))),DescontoPadrao)</f>
        <v>0.44096385542168698</v>
      </c>
      <c r="M2918" s="12">
        <f>tItens[[#This Row],[Valor]]*(1-tItens[[#This Row],[Desconto]])</f>
        <v>2856.4510843373478</v>
      </c>
      <c r="N2918" t="str">
        <f>IFERROR(INDEX(tProdutos[Foco],MATCH(tItens[[#This Row],[Produto]],tProdutos[Produto],0)),"Não")</f>
        <v>Não</v>
      </c>
      <c r="O2918" t="str">
        <f>IFERROR(INDEX(tEditais[SRP],MATCH(tItens[[#This Row],[Edital]],tEditais[Edital],0)),"Não")</f>
        <v>Sim</v>
      </c>
      <c r="P2918" s="4">
        <f>IF(COUNTIFS(INDEX(tItens[Edital],1):tItens[[#This Row],[Edital]],tItens[[#This Row],[Edital]],INDEX(tItens[Produto],1):tItens[[#This Row],[Produto]],tItens[[#This Row],[Produto]])=1,1,0)</f>
        <v>1</v>
      </c>
    </row>
    <row r="2919" spans="1:16" x14ac:dyDescent="0.25">
      <c r="A2919" t="s">
        <v>1356</v>
      </c>
      <c r="B2919">
        <v>126</v>
      </c>
      <c r="C2919" t="s">
        <v>5849</v>
      </c>
      <c r="D2919" t="s">
        <v>56</v>
      </c>
      <c r="E2919" s="13">
        <v>10</v>
      </c>
      <c r="F2919" s="12">
        <v>26.54</v>
      </c>
      <c r="G2919" t="str">
        <f>IFERROR(INDEX(tEditais[Órgão],MATCH(tItens[[#This Row],[Edital]],tEditais[Edital],0)),"")</f>
        <v>MUNICIPIO DE SAO DOMINGOS DO PRATA</v>
      </c>
      <c r="H2919" t="str">
        <f>IFERROR(INDEX(tEditais[UF],MATCH(tItens[[#This Row],[Edital]],tEditais[Edital],0)),"")</f>
        <v>MG</v>
      </c>
      <c r="I2919" s="11">
        <f>IFERROR(INDEX(tEditais[Encerramento],MATCH(tItens[[#This Row],[Edital]],tEditais[Edital],0)),"")</f>
        <v>46308.333333333336</v>
      </c>
      <c r="J2919" t="str">
        <f>IFERROR(INDEX(tProdutos[Classe],MATCH(tItens[[#This Row],[Produto]],tProdutos[Produto],0)),"produto não cadastrado")</f>
        <v>NÚCLEO</v>
      </c>
      <c r="K2919" s="12">
        <f>tItens[[#This Row],[Qtd]]*tItens[[#This Row],[Vlr unit]]</f>
        <v>265.39999999999998</v>
      </c>
      <c r="L2919" s="6">
        <f>IFERROR(IF(INDEX(tProdutos[Desconto homologado],MATCH(tItens[[#This Row],[Produto]],tProdutos[Produto],0))="",DescontoPadrao,INDEX(tProdutos[Desconto homologado],MATCH(tItens[[#This Row],[Produto]],tProdutos[Produto],0))),DescontoPadrao)</f>
        <v>0.34</v>
      </c>
      <c r="M2919" s="12">
        <f>tItens[[#This Row],[Valor]]*(1-tItens[[#This Row],[Desconto]])</f>
        <v>175.16399999999996</v>
      </c>
      <c r="N2919" t="str">
        <f>IFERROR(INDEX(tProdutos[Foco],MATCH(tItens[[#This Row],[Produto]],tProdutos[Produto],0)),"Não")</f>
        <v>Sim</v>
      </c>
      <c r="O2919" t="str">
        <f>IFERROR(INDEX(tEditais[SRP],MATCH(tItens[[#This Row],[Edital]],tEditais[Edital],0)),"Não")</f>
        <v>Sim</v>
      </c>
      <c r="P2919" s="4">
        <f>IF(COUNTIFS(INDEX(tItens[Edital],1):tItens[[#This Row],[Edital]],tItens[[#This Row],[Edital]],INDEX(tItens[Produto],1):tItens[[#This Row],[Produto]],tItens[[#This Row],[Produto]])=1,1,0)</f>
        <v>1</v>
      </c>
    </row>
    <row r="2920" spans="1:16" x14ac:dyDescent="0.25">
      <c r="A2920" t="s">
        <v>1356</v>
      </c>
      <c r="B2920">
        <v>127</v>
      </c>
      <c r="C2920" t="s">
        <v>5850</v>
      </c>
      <c r="D2920" t="s">
        <v>56</v>
      </c>
      <c r="E2920" s="13">
        <v>10</v>
      </c>
      <c r="F2920" s="12">
        <v>35.020000000000003</v>
      </c>
      <c r="G2920" t="str">
        <f>IFERROR(INDEX(tEditais[Órgão],MATCH(tItens[[#This Row],[Edital]],tEditais[Edital],0)),"")</f>
        <v>MUNICIPIO DE SAO DOMINGOS DO PRATA</v>
      </c>
      <c r="H2920" t="str">
        <f>IFERROR(INDEX(tEditais[UF],MATCH(tItens[[#This Row],[Edital]],tEditais[Edital],0)),"")</f>
        <v>MG</v>
      </c>
      <c r="I2920" s="11">
        <f>IFERROR(INDEX(tEditais[Encerramento],MATCH(tItens[[#This Row],[Edital]],tEditais[Edital],0)),"")</f>
        <v>46308.333333333336</v>
      </c>
      <c r="J2920" t="str">
        <f>IFERROR(INDEX(tProdutos[Classe],MATCH(tItens[[#This Row],[Produto]],tProdutos[Produto],0)),"produto não cadastrado")</f>
        <v>NÚCLEO</v>
      </c>
      <c r="K2920" s="12">
        <f>tItens[[#This Row],[Qtd]]*tItens[[#This Row],[Vlr unit]]</f>
        <v>350.20000000000005</v>
      </c>
      <c r="L2920" s="6">
        <f>IFERROR(IF(INDEX(tProdutos[Desconto homologado],MATCH(tItens[[#This Row],[Produto]],tProdutos[Produto],0))="",DescontoPadrao,INDEX(tProdutos[Desconto homologado],MATCH(tItens[[#This Row],[Produto]],tProdutos[Produto],0))),DescontoPadrao)</f>
        <v>0.34</v>
      </c>
      <c r="M2920" s="12">
        <f>tItens[[#This Row],[Valor]]*(1-tItens[[#This Row],[Desconto]])</f>
        <v>231.13200000000001</v>
      </c>
      <c r="N2920" t="str">
        <f>IFERROR(INDEX(tProdutos[Foco],MATCH(tItens[[#This Row],[Produto]],tProdutos[Produto],0)),"Não")</f>
        <v>Sim</v>
      </c>
      <c r="O2920" t="str">
        <f>IFERROR(INDEX(tEditais[SRP],MATCH(tItens[[#This Row],[Edital]],tEditais[Edital],0)),"Não")</f>
        <v>Sim</v>
      </c>
      <c r="P2920" s="4">
        <f>IF(COUNTIFS(INDEX(tItens[Edital],1):tItens[[#This Row],[Edital]],tItens[[#This Row],[Edital]],INDEX(tItens[Produto],1):tItens[[#This Row],[Produto]],tItens[[#This Row],[Produto]])=1,1,0)</f>
        <v>0</v>
      </c>
    </row>
    <row r="2921" spans="1:16" x14ac:dyDescent="0.25">
      <c r="A2921" t="s">
        <v>1356</v>
      </c>
      <c r="B2921">
        <v>140</v>
      </c>
      <c r="C2921" t="s">
        <v>5851</v>
      </c>
      <c r="D2921" t="s">
        <v>455</v>
      </c>
      <c r="E2921" s="13">
        <v>30</v>
      </c>
      <c r="F2921" s="12">
        <v>52.55</v>
      </c>
      <c r="G2921" t="str">
        <f>IFERROR(INDEX(tEditais[Órgão],MATCH(tItens[[#This Row],[Edital]],tEditais[Edital],0)),"")</f>
        <v>MUNICIPIO DE SAO DOMINGOS DO PRATA</v>
      </c>
      <c r="H2921" t="str">
        <f>IFERROR(INDEX(tEditais[UF],MATCH(tItens[[#This Row],[Edital]],tEditais[Edital],0)),"")</f>
        <v>MG</v>
      </c>
      <c r="I2921" s="11">
        <f>IFERROR(INDEX(tEditais[Encerramento],MATCH(tItens[[#This Row],[Edital]],tEditais[Edital],0)),"")</f>
        <v>46308.333333333336</v>
      </c>
      <c r="J2921" t="str">
        <f>IFERROR(INDEX(tProdutos[Classe],MATCH(tItens[[#This Row],[Produto]],tProdutos[Produto],0)),"produto não cadastrado")</f>
        <v>FILA REBASE</v>
      </c>
      <c r="K2921" s="12">
        <f>tItens[[#This Row],[Qtd]]*tItens[[#This Row],[Vlr unit]]</f>
        <v>1576.5</v>
      </c>
      <c r="L2921" s="6">
        <f>IFERROR(IF(INDEX(tProdutos[Desconto homologado],MATCH(tItens[[#This Row],[Produto]],tProdutos[Produto],0))="",DescontoPadrao,INDEX(tProdutos[Desconto homologado],MATCH(tItens[[#This Row],[Produto]],tProdutos[Produto],0))),DescontoPadrao)</f>
        <v>0.29595946765523801</v>
      </c>
      <c r="M2921" s="12">
        <f>tItens[[#This Row],[Valor]]*(1-tItens[[#This Row],[Desconto]])</f>
        <v>1109.9198992415174</v>
      </c>
      <c r="N2921" t="str">
        <f>IFERROR(INDEX(tProdutos[Foco],MATCH(tItens[[#This Row],[Produto]],tProdutos[Produto],0)),"Não")</f>
        <v>Não</v>
      </c>
      <c r="O2921" t="str">
        <f>IFERROR(INDEX(tEditais[SRP],MATCH(tItens[[#This Row],[Edital]],tEditais[Edital],0)),"Não")</f>
        <v>Sim</v>
      </c>
      <c r="P2921" s="4">
        <f>IF(COUNTIFS(INDEX(tItens[Edital],1):tItens[[#This Row],[Edital]],tItens[[#This Row],[Edital]],INDEX(tItens[Produto],1):tItens[[#This Row],[Produto]],tItens[[#This Row],[Produto]])=1,1,0)</f>
        <v>1</v>
      </c>
    </row>
    <row r="2922" spans="1:16" x14ac:dyDescent="0.25">
      <c r="A2922" t="s">
        <v>1356</v>
      </c>
      <c r="B2922">
        <v>141</v>
      </c>
      <c r="C2922" t="s">
        <v>5852</v>
      </c>
      <c r="D2922" t="s">
        <v>455</v>
      </c>
      <c r="E2922" s="13">
        <v>30</v>
      </c>
      <c r="F2922" s="12">
        <v>117.52</v>
      </c>
      <c r="G2922" t="str">
        <f>IFERROR(INDEX(tEditais[Órgão],MATCH(tItens[[#This Row],[Edital]],tEditais[Edital],0)),"")</f>
        <v>MUNICIPIO DE SAO DOMINGOS DO PRATA</v>
      </c>
      <c r="H2922" t="str">
        <f>IFERROR(INDEX(tEditais[UF],MATCH(tItens[[#This Row],[Edital]],tEditais[Edital],0)),"")</f>
        <v>MG</v>
      </c>
      <c r="I2922" s="11">
        <f>IFERROR(INDEX(tEditais[Encerramento],MATCH(tItens[[#This Row],[Edital]],tEditais[Edital],0)),"")</f>
        <v>46308.333333333336</v>
      </c>
      <c r="J2922" t="str">
        <f>IFERROR(INDEX(tProdutos[Classe],MATCH(tItens[[#This Row],[Produto]],tProdutos[Produto],0)),"produto não cadastrado")</f>
        <v>FILA REBASE</v>
      </c>
      <c r="K2922" s="12">
        <f>tItens[[#This Row],[Qtd]]*tItens[[#This Row],[Vlr unit]]</f>
        <v>3525.6</v>
      </c>
      <c r="L2922" s="6">
        <f>IFERROR(IF(INDEX(tProdutos[Desconto homologado],MATCH(tItens[[#This Row],[Produto]],tProdutos[Produto],0))="",DescontoPadrao,INDEX(tProdutos[Desconto homologado],MATCH(tItens[[#This Row],[Produto]],tProdutos[Produto],0))),DescontoPadrao)</f>
        <v>0.29595946765523801</v>
      </c>
      <c r="M2922" s="12">
        <f>tItens[[#This Row],[Valor]]*(1-tItens[[#This Row],[Desconto]])</f>
        <v>2482.165300834693</v>
      </c>
      <c r="N2922" t="str">
        <f>IFERROR(INDEX(tProdutos[Foco],MATCH(tItens[[#This Row],[Produto]],tProdutos[Produto],0)),"Não")</f>
        <v>Não</v>
      </c>
      <c r="O2922" t="str">
        <f>IFERROR(INDEX(tEditais[SRP],MATCH(tItens[[#This Row],[Edital]],tEditais[Edital],0)),"Não")</f>
        <v>Sim</v>
      </c>
      <c r="P2922" s="4">
        <f>IF(COUNTIFS(INDEX(tItens[Edital],1):tItens[[#This Row],[Edital]],tItens[[#This Row],[Edital]],INDEX(tItens[Produto],1):tItens[[#This Row],[Produto]],tItens[[#This Row],[Produto]])=1,1,0)</f>
        <v>0</v>
      </c>
    </row>
    <row r="2923" spans="1:16" x14ac:dyDescent="0.25">
      <c r="A2923" t="s">
        <v>1356</v>
      </c>
      <c r="B2923">
        <v>142</v>
      </c>
      <c r="C2923" t="s">
        <v>5853</v>
      </c>
      <c r="D2923" t="s">
        <v>455</v>
      </c>
      <c r="E2923" s="13">
        <v>30</v>
      </c>
      <c r="F2923" s="12">
        <v>56.49</v>
      </c>
      <c r="G2923" t="str">
        <f>IFERROR(INDEX(tEditais[Órgão],MATCH(tItens[[#This Row],[Edital]],tEditais[Edital],0)),"")</f>
        <v>MUNICIPIO DE SAO DOMINGOS DO PRATA</v>
      </c>
      <c r="H2923" t="str">
        <f>IFERROR(INDEX(tEditais[UF],MATCH(tItens[[#This Row],[Edital]],tEditais[Edital],0)),"")</f>
        <v>MG</v>
      </c>
      <c r="I2923" s="11">
        <f>IFERROR(INDEX(tEditais[Encerramento],MATCH(tItens[[#This Row],[Edital]],tEditais[Edital],0)),"")</f>
        <v>46308.333333333336</v>
      </c>
      <c r="J2923" t="str">
        <f>IFERROR(INDEX(tProdutos[Classe],MATCH(tItens[[#This Row],[Produto]],tProdutos[Produto],0)),"produto não cadastrado")</f>
        <v>FILA REBASE</v>
      </c>
      <c r="K2923" s="12">
        <f>tItens[[#This Row],[Qtd]]*tItens[[#This Row],[Vlr unit]]</f>
        <v>1694.7</v>
      </c>
      <c r="L2923" s="6">
        <f>IFERROR(IF(INDEX(tProdutos[Desconto homologado],MATCH(tItens[[#This Row],[Produto]],tProdutos[Produto],0))="",DescontoPadrao,INDEX(tProdutos[Desconto homologado],MATCH(tItens[[#This Row],[Produto]],tProdutos[Produto],0))),DescontoPadrao)</f>
        <v>0.29595946765523801</v>
      </c>
      <c r="M2923" s="12">
        <f>tItens[[#This Row],[Valor]]*(1-tItens[[#This Row],[Desconto]])</f>
        <v>1193.1374901646682</v>
      </c>
      <c r="N2923" t="str">
        <f>IFERROR(INDEX(tProdutos[Foco],MATCH(tItens[[#This Row],[Produto]],tProdutos[Produto],0)),"Não")</f>
        <v>Não</v>
      </c>
      <c r="O2923" t="str">
        <f>IFERROR(INDEX(tEditais[SRP],MATCH(tItens[[#This Row],[Edital]],tEditais[Edital],0)),"Não")</f>
        <v>Sim</v>
      </c>
      <c r="P2923" s="4">
        <f>IF(COUNTIFS(INDEX(tItens[Edital],1):tItens[[#This Row],[Edital]],tItens[[#This Row],[Edital]],INDEX(tItens[Produto],1):tItens[[#This Row],[Produto]],tItens[[#This Row],[Produto]])=1,1,0)</f>
        <v>0</v>
      </c>
    </row>
    <row r="2924" spans="1:16" x14ac:dyDescent="0.25">
      <c r="A2924" t="s">
        <v>1356</v>
      </c>
      <c r="B2924">
        <v>144</v>
      </c>
      <c r="C2924" t="s">
        <v>5854</v>
      </c>
      <c r="D2924" t="s">
        <v>494</v>
      </c>
      <c r="E2924" s="13">
        <v>50</v>
      </c>
      <c r="F2924" s="12">
        <v>43.17</v>
      </c>
      <c r="G2924" t="str">
        <f>IFERROR(INDEX(tEditais[Órgão],MATCH(tItens[[#This Row],[Edital]],tEditais[Edital],0)),"")</f>
        <v>MUNICIPIO DE SAO DOMINGOS DO PRATA</v>
      </c>
      <c r="H2924" t="str">
        <f>IFERROR(INDEX(tEditais[UF],MATCH(tItens[[#This Row],[Edital]],tEditais[Edital],0)),"")</f>
        <v>MG</v>
      </c>
      <c r="I2924" s="11">
        <f>IFERROR(INDEX(tEditais[Encerramento],MATCH(tItens[[#This Row],[Edital]],tEditais[Edital],0)),"")</f>
        <v>46308.333333333336</v>
      </c>
      <c r="J2924" t="str">
        <f>IFERROR(INDEX(tProdutos[Classe],MATCH(tItens[[#This Row],[Produto]],tProdutos[Produto],0)),"produto não cadastrado")</f>
        <v>FILA REBASE</v>
      </c>
      <c r="K2924" s="12">
        <f>tItens[[#This Row],[Qtd]]*tItens[[#This Row],[Vlr unit]]</f>
        <v>2158.5</v>
      </c>
      <c r="L2924" s="6">
        <f>IFERROR(IF(INDEX(tProdutos[Desconto homologado],MATCH(tItens[[#This Row],[Produto]],tProdutos[Produto],0))="",DescontoPadrao,INDEX(tProdutos[Desconto homologado],MATCH(tItens[[#This Row],[Produto]],tProdutos[Produto],0))),DescontoPadrao)</f>
        <v>0.253736324829619</v>
      </c>
      <c r="M2924" s="12">
        <f>tItens[[#This Row],[Valor]]*(1-tItens[[#This Row],[Desconto]])</f>
        <v>1610.8101428552675</v>
      </c>
      <c r="N2924" t="str">
        <f>IFERROR(INDEX(tProdutos[Foco],MATCH(tItens[[#This Row],[Produto]],tProdutos[Produto],0)),"Não")</f>
        <v>Não</v>
      </c>
      <c r="O2924" t="str">
        <f>IFERROR(INDEX(tEditais[SRP],MATCH(tItens[[#This Row],[Edital]],tEditais[Edital],0)),"Não")</f>
        <v>Sim</v>
      </c>
      <c r="P2924" s="4">
        <f>IF(COUNTIFS(INDEX(tItens[Edital],1):tItens[[#This Row],[Edital]],tItens[[#This Row],[Edital]],INDEX(tItens[Produto],1):tItens[[#This Row],[Produto]],tItens[[#This Row],[Produto]])=1,1,0)</f>
        <v>1</v>
      </c>
    </row>
    <row r="2925" spans="1:16" x14ac:dyDescent="0.25">
      <c r="A2925" t="s">
        <v>1356</v>
      </c>
      <c r="B2925">
        <v>145</v>
      </c>
      <c r="C2925" t="s">
        <v>5855</v>
      </c>
      <c r="D2925" t="s">
        <v>494</v>
      </c>
      <c r="E2925" s="13">
        <v>100</v>
      </c>
      <c r="F2925" s="12">
        <v>73.5</v>
      </c>
      <c r="G2925" t="str">
        <f>IFERROR(INDEX(tEditais[Órgão],MATCH(tItens[[#This Row],[Edital]],tEditais[Edital],0)),"")</f>
        <v>MUNICIPIO DE SAO DOMINGOS DO PRATA</v>
      </c>
      <c r="H2925" t="str">
        <f>IFERROR(INDEX(tEditais[UF],MATCH(tItens[[#This Row],[Edital]],tEditais[Edital],0)),"")</f>
        <v>MG</v>
      </c>
      <c r="I2925" s="11">
        <f>IFERROR(INDEX(tEditais[Encerramento],MATCH(tItens[[#This Row],[Edital]],tEditais[Edital],0)),"")</f>
        <v>46308.333333333336</v>
      </c>
      <c r="J2925" t="str">
        <f>IFERROR(INDEX(tProdutos[Classe],MATCH(tItens[[#This Row],[Produto]],tProdutos[Produto],0)),"produto não cadastrado")</f>
        <v>FILA REBASE</v>
      </c>
      <c r="K2925" s="12">
        <f>tItens[[#This Row],[Qtd]]*tItens[[#This Row],[Vlr unit]]</f>
        <v>7350</v>
      </c>
      <c r="L2925" s="6">
        <f>IFERROR(IF(INDEX(tProdutos[Desconto homologado],MATCH(tItens[[#This Row],[Produto]],tProdutos[Produto],0))="",DescontoPadrao,INDEX(tProdutos[Desconto homologado],MATCH(tItens[[#This Row],[Produto]],tProdutos[Produto],0))),DescontoPadrao)</f>
        <v>0.253736324829619</v>
      </c>
      <c r="M2925" s="12">
        <f>tItens[[#This Row],[Valor]]*(1-tItens[[#This Row],[Desconto]])</f>
        <v>5485.0380125023012</v>
      </c>
      <c r="N2925" t="str">
        <f>IFERROR(INDEX(tProdutos[Foco],MATCH(tItens[[#This Row],[Produto]],tProdutos[Produto],0)),"Não")</f>
        <v>Não</v>
      </c>
      <c r="O2925" t="str">
        <f>IFERROR(INDEX(tEditais[SRP],MATCH(tItens[[#This Row],[Edital]],tEditais[Edital],0)),"Não")</f>
        <v>Sim</v>
      </c>
      <c r="P2925" s="4">
        <f>IF(COUNTIFS(INDEX(tItens[Edital],1):tItens[[#This Row],[Edital]],tItens[[#This Row],[Edital]],INDEX(tItens[Produto],1):tItens[[#This Row],[Produto]],tItens[[#This Row],[Produto]])=1,1,0)</f>
        <v>0</v>
      </c>
    </row>
    <row r="2926" spans="1:16" x14ac:dyDescent="0.25">
      <c r="A2926" t="s">
        <v>1356</v>
      </c>
      <c r="B2926">
        <v>165</v>
      </c>
      <c r="C2926" t="s">
        <v>5856</v>
      </c>
      <c r="D2926" t="s">
        <v>620</v>
      </c>
      <c r="E2926" s="13">
        <v>30</v>
      </c>
      <c r="F2926" s="12">
        <v>68.58</v>
      </c>
      <c r="G2926" t="str">
        <f>IFERROR(INDEX(tEditais[Órgão],MATCH(tItens[[#This Row],[Edital]],tEditais[Edital],0)),"")</f>
        <v>MUNICIPIO DE SAO DOMINGOS DO PRATA</v>
      </c>
      <c r="H2926" t="str">
        <f>IFERROR(INDEX(tEditais[UF],MATCH(tItens[[#This Row],[Edital]],tEditais[Edital],0)),"")</f>
        <v>MG</v>
      </c>
      <c r="I2926" s="11">
        <f>IFERROR(INDEX(tEditais[Encerramento],MATCH(tItens[[#This Row],[Edital]],tEditais[Edital],0)),"")</f>
        <v>46308.333333333336</v>
      </c>
      <c r="J2926" t="str">
        <f>IFERROR(INDEX(tProdutos[Classe],MATCH(tItens[[#This Row],[Produto]],tProdutos[Produto],0)),"produto não cadastrado")</f>
        <v>FILA REBASE</v>
      </c>
      <c r="K2926" s="12">
        <f>tItens[[#This Row],[Qtd]]*tItens[[#This Row],[Vlr unit]]</f>
        <v>2057.4</v>
      </c>
      <c r="L2926" s="6">
        <f>IFERROR(IF(INDEX(tProdutos[Desconto homologado],MATCH(tItens[[#This Row],[Produto]],tProdutos[Produto],0))="",DescontoPadrao,INDEX(tProdutos[Desconto homologado],MATCH(tItens[[#This Row],[Produto]],tProdutos[Produto],0))),DescontoPadrao)</f>
        <v>0.3</v>
      </c>
      <c r="M2926" s="12">
        <f>tItens[[#This Row],[Valor]]*(1-tItens[[#This Row],[Desconto]])</f>
        <v>1440.18</v>
      </c>
      <c r="N2926" t="str">
        <f>IFERROR(INDEX(tProdutos[Foco],MATCH(tItens[[#This Row],[Produto]],tProdutos[Produto],0)),"Não")</f>
        <v>Não</v>
      </c>
      <c r="O2926" t="str">
        <f>IFERROR(INDEX(tEditais[SRP],MATCH(tItens[[#This Row],[Edital]],tEditais[Edital],0)),"Não")</f>
        <v>Sim</v>
      </c>
      <c r="P2926" s="4">
        <f>IF(COUNTIFS(INDEX(tItens[Edital],1):tItens[[#This Row],[Edital]],tItens[[#This Row],[Edital]],INDEX(tItens[Produto],1):tItens[[#This Row],[Produto]],tItens[[#This Row],[Produto]])=1,1,0)</f>
        <v>1</v>
      </c>
    </row>
    <row r="2927" spans="1:16" x14ac:dyDescent="0.25">
      <c r="A2927" t="s">
        <v>1361</v>
      </c>
      <c r="B2927">
        <v>1</v>
      </c>
      <c r="C2927" t="s">
        <v>5857</v>
      </c>
      <c r="D2927" t="s">
        <v>455</v>
      </c>
      <c r="E2927" s="13">
        <v>36</v>
      </c>
      <c r="F2927" s="12">
        <v>0</v>
      </c>
      <c r="G2927" t="str">
        <f>IFERROR(INDEX(tEditais[Órgão],MATCH(tItens[[#This Row],[Edital]],tEditais[Edital],0)),"")</f>
        <v>INSTITUTO DE PREVIDENCIA DOS SERVIDORES DO ESTADO MG</v>
      </c>
      <c r="H2927" t="str">
        <f>IFERROR(INDEX(tEditais[UF],MATCH(tItens[[#This Row],[Edital]],tEditais[Edital],0)),"")</f>
        <v>MG</v>
      </c>
      <c r="I2927" s="11">
        <f>IFERROR(INDEX(tEditais[Encerramento],MATCH(tItens[[#This Row],[Edital]],tEditais[Edital],0)),"")</f>
        <v>46308.333333333336</v>
      </c>
      <c r="J2927" t="str">
        <f>IFERROR(INDEX(tProdutos[Classe],MATCH(tItens[[#This Row],[Produto]],tProdutos[Produto],0)),"produto não cadastrado")</f>
        <v>FILA REBASE</v>
      </c>
      <c r="K2927" s="12">
        <f>tItens[[#This Row],[Qtd]]*tItens[[#This Row],[Vlr unit]]</f>
        <v>0</v>
      </c>
      <c r="L2927" s="6">
        <f>IFERROR(IF(INDEX(tProdutos[Desconto homologado],MATCH(tItens[[#This Row],[Produto]],tProdutos[Produto],0))="",DescontoPadrao,INDEX(tProdutos[Desconto homologado],MATCH(tItens[[#This Row],[Produto]],tProdutos[Produto],0))),DescontoPadrao)</f>
        <v>0.29595946765523801</v>
      </c>
      <c r="M2927" s="12">
        <f>tItens[[#This Row],[Valor]]*(1-tItens[[#This Row],[Desconto]])</f>
        <v>0</v>
      </c>
      <c r="N2927" t="str">
        <f>IFERROR(INDEX(tProdutos[Foco],MATCH(tItens[[#This Row],[Produto]],tProdutos[Produto],0)),"Não")</f>
        <v>Não</v>
      </c>
      <c r="O2927" t="str">
        <f>IFERROR(INDEX(tEditais[SRP],MATCH(tItens[[#This Row],[Edital]],tEditais[Edital],0)),"Não")</f>
        <v>Não</v>
      </c>
      <c r="P2927" s="4">
        <f>IF(COUNTIFS(INDEX(tItens[Edital],1):tItens[[#This Row],[Edital]],tItens[[#This Row],[Edital]],INDEX(tItens[Produto],1):tItens[[#This Row],[Produto]],tItens[[#This Row],[Produto]])=1,1,0)</f>
        <v>1</v>
      </c>
    </row>
    <row r="2928" spans="1:16" x14ac:dyDescent="0.25">
      <c r="A2928" t="s">
        <v>1364</v>
      </c>
      <c r="B2928">
        <v>1</v>
      </c>
      <c r="C2928" t="s">
        <v>5858</v>
      </c>
      <c r="D2928" t="s">
        <v>317</v>
      </c>
      <c r="E2928" s="13">
        <v>25000</v>
      </c>
      <c r="F2928" s="12">
        <v>2.46</v>
      </c>
      <c r="G2928" t="str">
        <f>IFERROR(INDEX(tEditais[Órgão],MATCH(tItens[[#This Row],[Edital]],tEditais[Edital],0)),"")</f>
        <v>MUNICIPIO DE SAO VICENTE DE MINAS</v>
      </c>
      <c r="H2928" t="str">
        <f>IFERROR(INDEX(tEditais[UF],MATCH(tItens[[#This Row],[Edital]],tEditais[Edital],0)),"")</f>
        <v>MG</v>
      </c>
      <c r="I2928" s="11">
        <f>IFERROR(INDEX(tEditais[Encerramento],MATCH(tItens[[#This Row],[Edital]],tEditais[Edital],0)),"")</f>
        <v>46308.353472222225</v>
      </c>
      <c r="J2928" t="str">
        <f>IFERROR(INDEX(tProdutos[Classe],MATCH(tItens[[#This Row],[Produto]],tProdutos[Produto],0)),"produto não cadastrado")</f>
        <v>FORA</v>
      </c>
      <c r="K2928" s="12">
        <f>tItens[[#This Row],[Qtd]]*tItens[[#This Row],[Vlr unit]]</f>
        <v>61500</v>
      </c>
      <c r="L2928" s="6">
        <f>IFERROR(IF(INDEX(tProdutos[Desconto homologado],MATCH(tItens[[#This Row],[Produto]],tProdutos[Produto],0))="",DescontoPadrao,INDEX(tProdutos[Desconto homologado],MATCH(tItens[[#This Row],[Produto]],tProdutos[Produto],0))),DescontoPadrao)</f>
        <v>0.5</v>
      </c>
      <c r="M2928" s="12">
        <f>tItens[[#This Row],[Valor]]*(1-tItens[[#This Row],[Desconto]])</f>
        <v>30750</v>
      </c>
      <c r="N2928" t="str">
        <f>IFERROR(INDEX(tProdutos[Foco],MATCH(tItens[[#This Row],[Produto]],tProdutos[Produto],0)),"Não")</f>
        <v>Não</v>
      </c>
      <c r="O2928" t="str">
        <f>IFERROR(INDEX(tEditais[SRP],MATCH(tItens[[#This Row],[Edital]],tEditais[Edital],0)),"Não")</f>
        <v>Sim</v>
      </c>
      <c r="P2928" s="4">
        <f>IF(COUNTIFS(INDEX(tItens[Edital],1):tItens[[#This Row],[Edital]],tItens[[#This Row],[Edital]],INDEX(tItens[Produto],1):tItens[[#This Row],[Produto]],tItens[[#This Row],[Produto]])=1,1,0)</f>
        <v>1</v>
      </c>
    </row>
    <row r="2929" spans="1:16" x14ac:dyDescent="0.25">
      <c r="A2929" t="s">
        <v>1364</v>
      </c>
      <c r="B2929">
        <v>2</v>
      </c>
      <c r="C2929" t="s">
        <v>5859</v>
      </c>
      <c r="D2929" t="s">
        <v>277</v>
      </c>
      <c r="E2929" s="13">
        <v>50000</v>
      </c>
      <c r="F2929" s="12">
        <v>0.3</v>
      </c>
      <c r="G2929" t="str">
        <f>IFERROR(INDEX(tEditais[Órgão],MATCH(tItens[[#This Row],[Edital]],tEditais[Edital],0)),"")</f>
        <v>MUNICIPIO DE SAO VICENTE DE MINAS</v>
      </c>
      <c r="H2929" t="str">
        <f>IFERROR(INDEX(tEditais[UF],MATCH(tItens[[#This Row],[Edital]],tEditais[Edital],0)),"")</f>
        <v>MG</v>
      </c>
      <c r="I2929" s="11">
        <f>IFERROR(INDEX(tEditais[Encerramento],MATCH(tItens[[#This Row],[Edital]],tEditais[Edital],0)),"")</f>
        <v>46308.353472222225</v>
      </c>
      <c r="J2929" t="str">
        <f>IFERROR(INDEX(tProdutos[Classe],MATCH(tItens[[#This Row],[Produto]],tProdutos[Produto],0)),"produto não cadastrado")</f>
        <v>DISPUTADO</v>
      </c>
      <c r="K2929" s="12">
        <f>tItens[[#This Row],[Qtd]]*tItens[[#This Row],[Vlr unit]]</f>
        <v>15000</v>
      </c>
      <c r="L2929" s="6">
        <f>IFERROR(IF(INDEX(tProdutos[Desconto homologado],MATCH(tItens[[#This Row],[Produto]],tProdutos[Produto],0))="",DescontoPadrao,INDEX(tProdutos[Desconto homologado],MATCH(tItens[[#This Row],[Produto]],tProdutos[Produto],0))),DescontoPadrao)</f>
        <v>0.50460666194188497</v>
      </c>
      <c r="M2929" s="12">
        <f>tItens[[#This Row],[Valor]]*(1-tItens[[#This Row],[Desconto]])</f>
        <v>7430.9000708717258</v>
      </c>
      <c r="N2929" t="str">
        <f>IFERROR(INDEX(tProdutos[Foco],MATCH(tItens[[#This Row],[Produto]],tProdutos[Produto],0)),"Não")</f>
        <v>Não</v>
      </c>
      <c r="O2929" t="str">
        <f>IFERROR(INDEX(tEditais[SRP],MATCH(tItens[[#This Row],[Edital]],tEditais[Edital],0)),"Não")</f>
        <v>Sim</v>
      </c>
      <c r="P2929" s="4">
        <f>IF(COUNTIFS(INDEX(tItens[Edital],1):tItens[[#This Row],[Edital]],tItens[[#This Row],[Edital]],INDEX(tItens[Produto],1):tItens[[#This Row],[Produto]],tItens[[#This Row],[Produto]])=1,1,0)</f>
        <v>1</v>
      </c>
    </row>
    <row r="2930" spans="1:16" x14ac:dyDescent="0.25">
      <c r="A2930" t="s">
        <v>1368</v>
      </c>
      <c r="B2930">
        <v>2</v>
      </c>
      <c r="C2930" t="s">
        <v>5860</v>
      </c>
      <c r="D2930" t="s">
        <v>132</v>
      </c>
      <c r="E2930" s="13">
        <v>120</v>
      </c>
      <c r="F2930" s="12">
        <v>0</v>
      </c>
      <c r="G2930" t="str">
        <f>IFERROR(INDEX(tEditais[Órgão],MATCH(tItens[[#This Row],[Edital]],tEditais[Edital],0)),"")</f>
        <v>MUNICIPIO DE ITANHANDU</v>
      </c>
      <c r="H2930" t="str">
        <f>IFERROR(INDEX(tEditais[UF],MATCH(tItens[[#This Row],[Edital]],tEditais[Edital],0)),"")</f>
        <v>MG</v>
      </c>
      <c r="I2930" s="11">
        <f>IFERROR(INDEX(tEditais[Encerramento],MATCH(tItens[[#This Row],[Edital]],tEditais[Edital],0)),"")</f>
        <v>46308.354166666664</v>
      </c>
      <c r="J2930" t="str">
        <f>IFERROR(INDEX(tProdutos[Classe],MATCH(tItens[[#This Row],[Produto]],tProdutos[Produto],0)),"produto não cadastrado")</f>
        <v>NÚCLEO</v>
      </c>
      <c r="K2930" s="12">
        <f>tItens[[#This Row],[Qtd]]*tItens[[#This Row],[Vlr unit]]</f>
        <v>0</v>
      </c>
      <c r="L2930" s="6">
        <f>IFERROR(IF(INDEX(tProdutos[Desconto homologado],MATCH(tItens[[#This Row],[Produto]],tProdutos[Produto],0))="",DescontoPadrao,INDEX(tProdutos[Desconto homologado],MATCH(tItens[[#This Row],[Produto]],tProdutos[Produto],0))),DescontoPadrao)</f>
        <v>0.27</v>
      </c>
      <c r="M2930" s="12">
        <f>tItens[[#This Row],[Valor]]*(1-tItens[[#This Row],[Desconto]])</f>
        <v>0</v>
      </c>
      <c r="N2930" t="str">
        <f>IFERROR(INDEX(tProdutos[Foco],MATCH(tItens[[#This Row],[Produto]],tProdutos[Produto],0)),"Não")</f>
        <v>Sim</v>
      </c>
      <c r="O2930" t="str">
        <f>IFERROR(INDEX(tEditais[SRP],MATCH(tItens[[#This Row],[Edital]],tEditais[Edital],0)),"Não")</f>
        <v>Sim</v>
      </c>
      <c r="P2930" s="4">
        <f>IF(COUNTIFS(INDEX(tItens[Edital],1):tItens[[#This Row],[Edital]],tItens[[#This Row],[Edital]],INDEX(tItens[Produto],1):tItens[[#This Row],[Produto]],tItens[[#This Row],[Produto]])=1,1,0)</f>
        <v>1</v>
      </c>
    </row>
    <row r="2931" spans="1:16" x14ac:dyDescent="0.25">
      <c r="A2931" t="s">
        <v>1368</v>
      </c>
      <c r="B2931">
        <v>25</v>
      </c>
      <c r="C2931" t="s">
        <v>5861</v>
      </c>
      <c r="D2931" t="s">
        <v>530</v>
      </c>
      <c r="E2931" s="13">
        <v>250</v>
      </c>
      <c r="F2931" s="12">
        <v>0</v>
      </c>
      <c r="G2931" t="str">
        <f>IFERROR(INDEX(tEditais[Órgão],MATCH(tItens[[#This Row],[Edital]],tEditais[Edital],0)),"")</f>
        <v>MUNICIPIO DE ITANHANDU</v>
      </c>
      <c r="H2931" t="str">
        <f>IFERROR(INDEX(tEditais[UF],MATCH(tItens[[#This Row],[Edital]],tEditais[Edital],0)),"")</f>
        <v>MG</v>
      </c>
      <c r="I2931" s="11">
        <f>IFERROR(INDEX(tEditais[Encerramento],MATCH(tItens[[#This Row],[Edital]],tEditais[Edital],0)),"")</f>
        <v>46308.354166666664</v>
      </c>
      <c r="J2931" t="str">
        <f>IFERROR(INDEX(tProdutos[Classe],MATCH(tItens[[#This Row],[Produto]],tProdutos[Produto],0)),"produto não cadastrado")</f>
        <v>FILA REBASE</v>
      </c>
      <c r="K2931" s="12">
        <f>tItens[[#This Row],[Qtd]]*tItens[[#This Row],[Vlr unit]]</f>
        <v>0</v>
      </c>
      <c r="L2931" s="6">
        <f>IFERROR(IF(INDEX(tProdutos[Desconto homologado],MATCH(tItens[[#This Row],[Produto]],tProdutos[Produto],0))="",DescontoPadrao,INDEX(tProdutos[Desconto homologado],MATCH(tItens[[#This Row],[Produto]],tProdutos[Produto],0))),DescontoPadrao)</f>
        <v>0.457328385899815</v>
      </c>
      <c r="M2931" s="12">
        <f>tItens[[#This Row],[Valor]]*(1-tItens[[#This Row],[Desconto]])</f>
        <v>0</v>
      </c>
      <c r="N2931" t="str">
        <f>IFERROR(INDEX(tProdutos[Foco],MATCH(tItens[[#This Row],[Produto]],tProdutos[Produto],0)),"Não")</f>
        <v>Não</v>
      </c>
      <c r="O2931" t="str">
        <f>IFERROR(INDEX(tEditais[SRP],MATCH(tItens[[#This Row],[Edital]],tEditais[Edital],0)),"Não")</f>
        <v>Sim</v>
      </c>
      <c r="P2931" s="4">
        <f>IF(COUNTIFS(INDEX(tItens[Edital],1):tItens[[#This Row],[Edital]],tItens[[#This Row],[Edital]],INDEX(tItens[Produto],1):tItens[[#This Row],[Produto]],tItens[[#This Row],[Produto]])=1,1,0)</f>
        <v>1</v>
      </c>
    </row>
    <row r="2932" spans="1:16" x14ac:dyDescent="0.25">
      <c r="A2932" t="s">
        <v>1368</v>
      </c>
      <c r="B2932">
        <v>30</v>
      </c>
      <c r="C2932" t="s">
        <v>5862</v>
      </c>
      <c r="D2932" t="s">
        <v>381</v>
      </c>
      <c r="E2932" s="13">
        <v>350</v>
      </c>
      <c r="F2932" s="12">
        <v>0</v>
      </c>
      <c r="G2932" t="str">
        <f>IFERROR(INDEX(tEditais[Órgão],MATCH(tItens[[#This Row],[Edital]],tEditais[Edital],0)),"")</f>
        <v>MUNICIPIO DE ITANHANDU</v>
      </c>
      <c r="H2932" t="str">
        <f>IFERROR(INDEX(tEditais[UF],MATCH(tItens[[#This Row],[Edital]],tEditais[Edital],0)),"")</f>
        <v>MG</v>
      </c>
      <c r="I2932" s="11">
        <f>IFERROR(INDEX(tEditais[Encerramento],MATCH(tItens[[#This Row],[Edital]],tEditais[Edital],0)),"")</f>
        <v>46308.354166666664</v>
      </c>
      <c r="J2932" t="str">
        <f>IFERROR(INDEX(tProdutos[Classe],MATCH(tItens[[#This Row],[Produto]],tProdutos[Produto],0)),"produto não cadastrado")</f>
        <v>FORA</v>
      </c>
      <c r="K2932" s="12">
        <f>tItens[[#This Row],[Qtd]]*tItens[[#This Row],[Vlr unit]]</f>
        <v>0</v>
      </c>
      <c r="L2932" s="6">
        <f>IFERROR(IF(INDEX(tProdutos[Desconto homologado],MATCH(tItens[[#This Row],[Produto]],tProdutos[Produto],0))="",DescontoPadrao,INDEX(tProdutos[Desconto homologado],MATCH(tItens[[#This Row],[Produto]],tProdutos[Produto],0))),DescontoPadrao)</f>
        <v>0.41112828438949001</v>
      </c>
      <c r="M2932" s="12">
        <f>tItens[[#This Row],[Valor]]*(1-tItens[[#This Row],[Desconto]])</f>
        <v>0</v>
      </c>
      <c r="N2932" t="str">
        <f>IFERROR(INDEX(tProdutos[Foco],MATCH(tItens[[#This Row],[Produto]],tProdutos[Produto],0)),"Não")</f>
        <v>Não</v>
      </c>
      <c r="O2932" t="str">
        <f>IFERROR(INDEX(tEditais[SRP],MATCH(tItens[[#This Row],[Edital]],tEditais[Edital],0)),"Não")</f>
        <v>Sim</v>
      </c>
      <c r="P2932" s="4">
        <f>IF(COUNTIFS(INDEX(tItens[Edital],1):tItens[[#This Row],[Edital]],tItens[[#This Row],[Edital]],INDEX(tItens[Produto],1):tItens[[#This Row],[Produto]],tItens[[#This Row],[Produto]])=1,1,0)</f>
        <v>1</v>
      </c>
    </row>
    <row r="2933" spans="1:16" x14ac:dyDescent="0.25">
      <c r="A2933" t="s">
        <v>1373</v>
      </c>
      <c r="B2933">
        <v>5</v>
      </c>
      <c r="C2933" t="s">
        <v>5863</v>
      </c>
      <c r="D2933" t="s">
        <v>88</v>
      </c>
      <c r="E2933" s="13">
        <v>10</v>
      </c>
      <c r="F2933" s="12">
        <v>26.23</v>
      </c>
      <c r="G2933" t="str">
        <f>IFERROR(INDEX(tEditais[Órgão],MATCH(tItens[[#This Row],[Edital]],tEditais[Edital],0)),"")</f>
        <v>MUNICIPIO DE SAO TOMAS DE AQUINO</v>
      </c>
      <c r="H2933" t="str">
        <f>IFERROR(INDEX(tEditais[UF],MATCH(tItens[[#This Row],[Edital]],tEditais[Edital],0)),"")</f>
        <v>MG</v>
      </c>
      <c r="I2933" s="11">
        <f>IFERROR(INDEX(tEditais[Encerramento],MATCH(tItens[[#This Row],[Edital]],tEditais[Edital],0)),"")</f>
        <v>46308.354166666664</v>
      </c>
      <c r="J2933" t="str">
        <f>IFERROR(INDEX(tProdutos[Classe],MATCH(tItens[[#This Row],[Produto]],tProdutos[Produto],0)),"produto não cadastrado")</f>
        <v>NÚCLEO</v>
      </c>
      <c r="K2933" s="12">
        <f>tItens[[#This Row],[Qtd]]*tItens[[#This Row],[Vlr unit]]</f>
        <v>262.3</v>
      </c>
      <c r="L2933" s="6">
        <f>IFERROR(IF(INDEX(tProdutos[Desconto homologado],MATCH(tItens[[#This Row],[Produto]],tProdutos[Produto],0))="",DescontoPadrao,INDEX(tProdutos[Desconto homologado],MATCH(tItens[[#This Row],[Produto]],tProdutos[Produto],0))),DescontoPadrao)</f>
        <v>0.30251202565473001</v>
      </c>
      <c r="M2933" s="12">
        <f>tItens[[#This Row],[Valor]]*(1-tItens[[#This Row],[Desconto]])</f>
        <v>182.95109567076432</v>
      </c>
      <c r="N2933" t="str">
        <f>IFERROR(INDEX(tProdutos[Foco],MATCH(tItens[[#This Row],[Produto]],tProdutos[Produto],0)),"Não")</f>
        <v>Não</v>
      </c>
      <c r="O2933" t="str">
        <f>IFERROR(INDEX(tEditais[SRP],MATCH(tItens[[#This Row],[Edital]],tEditais[Edital],0)),"Não")</f>
        <v>Sim</v>
      </c>
      <c r="P2933" s="4">
        <f>IF(COUNTIFS(INDEX(tItens[Edital],1):tItens[[#This Row],[Edital]],tItens[[#This Row],[Edital]],INDEX(tItens[Produto],1):tItens[[#This Row],[Produto]],tItens[[#This Row],[Produto]])=1,1,0)</f>
        <v>1</v>
      </c>
    </row>
    <row r="2934" spans="1:16" x14ac:dyDescent="0.25">
      <c r="A2934" t="s">
        <v>1373</v>
      </c>
      <c r="B2934">
        <v>6</v>
      </c>
      <c r="C2934" t="s">
        <v>5864</v>
      </c>
      <c r="D2934" t="s">
        <v>71</v>
      </c>
      <c r="E2934" s="13">
        <v>40</v>
      </c>
      <c r="F2934" s="12">
        <v>37.950000000000003</v>
      </c>
      <c r="G2934" t="str">
        <f>IFERROR(INDEX(tEditais[Órgão],MATCH(tItens[[#This Row],[Edital]],tEditais[Edital],0)),"")</f>
        <v>MUNICIPIO DE SAO TOMAS DE AQUINO</v>
      </c>
      <c r="H2934" t="str">
        <f>IFERROR(INDEX(tEditais[UF],MATCH(tItens[[#This Row],[Edital]],tEditais[Edital],0)),"")</f>
        <v>MG</v>
      </c>
      <c r="I2934" s="11">
        <f>IFERROR(INDEX(tEditais[Encerramento],MATCH(tItens[[#This Row],[Edital]],tEditais[Edital],0)),"")</f>
        <v>46308.354166666664</v>
      </c>
      <c r="J2934" t="str">
        <f>IFERROR(INDEX(tProdutos[Classe],MATCH(tItens[[#This Row],[Produto]],tProdutos[Produto],0)),"produto não cadastrado")</f>
        <v>NÚCLEO</v>
      </c>
      <c r="K2934" s="12">
        <f>tItens[[#This Row],[Qtd]]*tItens[[#This Row],[Vlr unit]]</f>
        <v>1518</v>
      </c>
      <c r="L2934" s="6">
        <f>IFERROR(IF(INDEX(tProdutos[Desconto homologado],MATCH(tItens[[#This Row],[Produto]],tProdutos[Produto],0))="",DescontoPadrao,INDEX(tProdutos[Desconto homologado],MATCH(tItens[[#This Row],[Produto]],tProdutos[Produto],0))),DescontoPadrao)</f>
        <v>0.44981412639405199</v>
      </c>
      <c r="M2934" s="12">
        <f>tItens[[#This Row],[Valor]]*(1-tItens[[#This Row],[Desconto]])</f>
        <v>835.18215613382904</v>
      </c>
      <c r="N2934" t="str">
        <f>IFERROR(INDEX(tProdutos[Foco],MATCH(tItens[[#This Row],[Produto]],tProdutos[Produto],0)),"Não")</f>
        <v>Não</v>
      </c>
      <c r="O2934" t="str">
        <f>IFERROR(INDEX(tEditais[SRP],MATCH(tItens[[#This Row],[Edital]],tEditais[Edital],0)),"Não")</f>
        <v>Sim</v>
      </c>
      <c r="P2934" s="4">
        <f>IF(COUNTIFS(INDEX(tItens[Edital],1):tItens[[#This Row],[Edital]],tItens[[#This Row],[Edital]],INDEX(tItens[Produto],1):tItens[[#This Row],[Produto]],tItens[[#This Row],[Produto]])=1,1,0)</f>
        <v>1</v>
      </c>
    </row>
    <row r="2935" spans="1:16" x14ac:dyDescent="0.25">
      <c r="A2935" t="s">
        <v>1373</v>
      </c>
      <c r="B2935">
        <v>115</v>
      </c>
      <c r="C2935" t="s">
        <v>5865</v>
      </c>
      <c r="D2935" t="s">
        <v>313</v>
      </c>
      <c r="E2935" s="13">
        <v>100</v>
      </c>
      <c r="F2935" s="12">
        <v>26.09</v>
      </c>
      <c r="G2935" t="str">
        <f>IFERROR(INDEX(tEditais[Órgão],MATCH(tItens[[#This Row],[Edital]],tEditais[Edital],0)),"")</f>
        <v>MUNICIPIO DE SAO TOMAS DE AQUINO</v>
      </c>
      <c r="H2935" t="str">
        <f>IFERROR(INDEX(tEditais[UF],MATCH(tItens[[#This Row],[Edital]],tEditais[Edital],0)),"")</f>
        <v>MG</v>
      </c>
      <c r="I2935" s="11">
        <f>IFERROR(INDEX(tEditais[Encerramento],MATCH(tItens[[#This Row],[Edital]],tEditais[Edital],0)),"")</f>
        <v>46308.354166666664</v>
      </c>
      <c r="J2935" t="str">
        <f>IFERROR(INDEX(tProdutos[Classe],MATCH(tItens[[#This Row],[Produto]],tProdutos[Produto],0)),"produto não cadastrado")</f>
        <v>FORA</v>
      </c>
      <c r="K2935" s="12">
        <f>tItens[[#This Row],[Qtd]]*tItens[[#This Row],[Vlr unit]]</f>
        <v>2609</v>
      </c>
      <c r="L2935" s="6">
        <f>IFERROR(IF(INDEX(tProdutos[Desconto homologado],MATCH(tItens[[#This Row],[Produto]],tProdutos[Produto],0))="",DescontoPadrao,INDEX(tProdutos[Desconto homologado],MATCH(tItens[[#This Row],[Produto]],tProdutos[Produto],0))),DescontoPadrao)</f>
        <v>0.35766373163696302</v>
      </c>
      <c r="M2935" s="12">
        <f>tItens[[#This Row],[Valor]]*(1-tItens[[#This Row],[Desconto]])</f>
        <v>1675.8553241591633</v>
      </c>
      <c r="N2935" t="str">
        <f>IFERROR(INDEX(tProdutos[Foco],MATCH(tItens[[#This Row],[Produto]],tProdutos[Produto],0)),"Não")</f>
        <v>Não</v>
      </c>
      <c r="O2935" t="str">
        <f>IFERROR(INDEX(tEditais[SRP],MATCH(tItens[[#This Row],[Edital]],tEditais[Edital],0)),"Não")</f>
        <v>Sim</v>
      </c>
      <c r="P2935" s="4">
        <f>IF(COUNTIFS(INDEX(tItens[Edital],1):tItens[[#This Row],[Edital]],tItens[[#This Row],[Edital]],INDEX(tItens[Produto],1):tItens[[#This Row],[Produto]],tItens[[#This Row],[Produto]])=1,1,0)</f>
        <v>1</v>
      </c>
    </row>
    <row r="2936" spans="1:16" x14ac:dyDescent="0.25">
      <c r="A2936" t="s">
        <v>1373</v>
      </c>
      <c r="B2936">
        <v>125</v>
      </c>
      <c r="C2936" t="s">
        <v>5866</v>
      </c>
      <c r="D2936" t="s">
        <v>455</v>
      </c>
      <c r="E2936" s="13">
        <v>400</v>
      </c>
      <c r="F2936" s="12">
        <v>69.58</v>
      </c>
      <c r="G2936" t="str">
        <f>IFERROR(INDEX(tEditais[Órgão],MATCH(tItens[[#This Row],[Edital]],tEditais[Edital],0)),"")</f>
        <v>MUNICIPIO DE SAO TOMAS DE AQUINO</v>
      </c>
      <c r="H2936" t="str">
        <f>IFERROR(INDEX(tEditais[UF],MATCH(tItens[[#This Row],[Edital]],tEditais[Edital],0)),"")</f>
        <v>MG</v>
      </c>
      <c r="I2936" s="11">
        <f>IFERROR(INDEX(tEditais[Encerramento],MATCH(tItens[[#This Row],[Edital]],tEditais[Edital],0)),"")</f>
        <v>46308.354166666664</v>
      </c>
      <c r="J2936" t="str">
        <f>IFERROR(INDEX(tProdutos[Classe],MATCH(tItens[[#This Row],[Produto]],tProdutos[Produto],0)),"produto não cadastrado")</f>
        <v>FILA REBASE</v>
      </c>
      <c r="K2936" s="12">
        <f>tItens[[#This Row],[Qtd]]*tItens[[#This Row],[Vlr unit]]</f>
        <v>27832</v>
      </c>
      <c r="L2936" s="6">
        <f>IFERROR(IF(INDEX(tProdutos[Desconto homologado],MATCH(tItens[[#This Row],[Produto]],tProdutos[Produto],0))="",DescontoPadrao,INDEX(tProdutos[Desconto homologado],MATCH(tItens[[#This Row],[Produto]],tProdutos[Produto],0))),DescontoPadrao)</f>
        <v>0.29595946765523801</v>
      </c>
      <c r="M2936" s="12">
        <f>tItens[[#This Row],[Valor]]*(1-tItens[[#This Row],[Desconto]])</f>
        <v>19594.856096219417</v>
      </c>
      <c r="N2936" t="str">
        <f>IFERROR(INDEX(tProdutos[Foco],MATCH(tItens[[#This Row],[Produto]],tProdutos[Produto],0)),"Não")</f>
        <v>Não</v>
      </c>
      <c r="O2936" t="str">
        <f>IFERROR(INDEX(tEditais[SRP],MATCH(tItens[[#This Row],[Edital]],tEditais[Edital],0)),"Não")</f>
        <v>Sim</v>
      </c>
      <c r="P2936" s="4">
        <f>IF(COUNTIFS(INDEX(tItens[Edital],1):tItens[[#This Row],[Edital]],tItens[[#This Row],[Edital]],INDEX(tItens[Produto],1):tItens[[#This Row],[Produto]],tItens[[#This Row],[Produto]])=1,1,0)</f>
        <v>1</v>
      </c>
    </row>
    <row r="2937" spans="1:16" x14ac:dyDescent="0.25">
      <c r="A2937" t="s">
        <v>1373</v>
      </c>
      <c r="B2937">
        <v>126</v>
      </c>
      <c r="C2937" t="s">
        <v>5867</v>
      </c>
      <c r="D2937" t="s">
        <v>455</v>
      </c>
      <c r="E2937" s="13">
        <v>5</v>
      </c>
      <c r="F2937" s="12">
        <v>39.479999999999997</v>
      </c>
      <c r="G2937" t="str">
        <f>IFERROR(INDEX(tEditais[Órgão],MATCH(tItens[[#This Row],[Edital]],tEditais[Edital],0)),"")</f>
        <v>MUNICIPIO DE SAO TOMAS DE AQUINO</v>
      </c>
      <c r="H2937" t="str">
        <f>IFERROR(INDEX(tEditais[UF],MATCH(tItens[[#This Row],[Edital]],tEditais[Edital],0)),"")</f>
        <v>MG</v>
      </c>
      <c r="I2937" s="11">
        <f>IFERROR(INDEX(tEditais[Encerramento],MATCH(tItens[[#This Row],[Edital]],tEditais[Edital],0)),"")</f>
        <v>46308.354166666664</v>
      </c>
      <c r="J2937" t="str">
        <f>IFERROR(INDEX(tProdutos[Classe],MATCH(tItens[[#This Row],[Produto]],tProdutos[Produto],0)),"produto não cadastrado")</f>
        <v>FILA REBASE</v>
      </c>
      <c r="K2937" s="12">
        <f>tItens[[#This Row],[Qtd]]*tItens[[#This Row],[Vlr unit]]</f>
        <v>197.39999999999998</v>
      </c>
      <c r="L2937" s="6">
        <f>IFERROR(IF(INDEX(tProdutos[Desconto homologado],MATCH(tItens[[#This Row],[Produto]],tProdutos[Produto],0))="",DescontoPadrao,INDEX(tProdutos[Desconto homologado],MATCH(tItens[[#This Row],[Produto]],tProdutos[Produto],0))),DescontoPadrao)</f>
        <v>0.29595946765523801</v>
      </c>
      <c r="M2937" s="12">
        <f>tItens[[#This Row],[Valor]]*(1-tItens[[#This Row],[Desconto]])</f>
        <v>138.97760108485602</v>
      </c>
      <c r="N2937" t="str">
        <f>IFERROR(INDEX(tProdutos[Foco],MATCH(tItens[[#This Row],[Produto]],tProdutos[Produto],0)),"Não")</f>
        <v>Não</v>
      </c>
      <c r="O2937" t="str">
        <f>IFERROR(INDEX(tEditais[SRP],MATCH(tItens[[#This Row],[Edital]],tEditais[Edital],0)),"Não")</f>
        <v>Sim</v>
      </c>
      <c r="P2937" s="4">
        <f>IF(COUNTIFS(INDEX(tItens[Edital],1):tItens[[#This Row],[Edital]],tItens[[#This Row],[Edital]],INDEX(tItens[Produto],1):tItens[[#This Row],[Produto]],tItens[[#This Row],[Produto]])=1,1,0)</f>
        <v>0</v>
      </c>
    </row>
    <row r="2938" spans="1:16" x14ac:dyDescent="0.25">
      <c r="A2938" t="s">
        <v>1373</v>
      </c>
      <c r="B2938">
        <v>127</v>
      </c>
      <c r="C2938" t="s">
        <v>5868</v>
      </c>
      <c r="D2938" t="s">
        <v>455</v>
      </c>
      <c r="E2938" s="13">
        <v>5</v>
      </c>
      <c r="F2938" s="12">
        <v>39.479999999999997</v>
      </c>
      <c r="G2938" t="str">
        <f>IFERROR(INDEX(tEditais[Órgão],MATCH(tItens[[#This Row],[Edital]],tEditais[Edital],0)),"")</f>
        <v>MUNICIPIO DE SAO TOMAS DE AQUINO</v>
      </c>
      <c r="H2938" t="str">
        <f>IFERROR(INDEX(tEditais[UF],MATCH(tItens[[#This Row],[Edital]],tEditais[Edital],0)),"")</f>
        <v>MG</v>
      </c>
      <c r="I2938" s="11">
        <f>IFERROR(INDEX(tEditais[Encerramento],MATCH(tItens[[#This Row],[Edital]],tEditais[Edital],0)),"")</f>
        <v>46308.354166666664</v>
      </c>
      <c r="J2938" t="str">
        <f>IFERROR(INDEX(tProdutos[Classe],MATCH(tItens[[#This Row],[Produto]],tProdutos[Produto],0)),"produto não cadastrado")</f>
        <v>FILA REBASE</v>
      </c>
      <c r="K2938" s="12">
        <f>tItens[[#This Row],[Qtd]]*tItens[[#This Row],[Vlr unit]]</f>
        <v>197.39999999999998</v>
      </c>
      <c r="L2938" s="6">
        <f>IFERROR(IF(INDEX(tProdutos[Desconto homologado],MATCH(tItens[[#This Row],[Produto]],tProdutos[Produto],0))="",DescontoPadrao,INDEX(tProdutos[Desconto homologado],MATCH(tItens[[#This Row],[Produto]],tProdutos[Produto],0))),DescontoPadrao)</f>
        <v>0.29595946765523801</v>
      </c>
      <c r="M2938" s="12">
        <f>tItens[[#This Row],[Valor]]*(1-tItens[[#This Row],[Desconto]])</f>
        <v>138.97760108485602</v>
      </c>
      <c r="N2938" t="str">
        <f>IFERROR(INDEX(tProdutos[Foco],MATCH(tItens[[#This Row],[Produto]],tProdutos[Produto],0)),"Não")</f>
        <v>Não</v>
      </c>
      <c r="O2938" t="str">
        <f>IFERROR(INDEX(tEditais[SRP],MATCH(tItens[[#This Row],[Edital]],tEditais[Edital],0)),"Não")</f>
        <v>Sim</v>
      </c>
      <c r="P2938" s="4">
        <f>IF(COUNTIFS(INDEX(tItens[Edital],1):tItens[[#This Row],[Edital]],tItens[[#This Row],[Edital]],INDEX(tItens[Produto],1):tItens[[#This Row],[Produto]],tItens[[#This Row],[Produto]])=1,1,0)</f>
        <v>0</v>
      </c>
    </row>
    <row r="2939" spans="1:16" x14ac:dyDescent="0.25">
      <c r="A2939" t="s">
        <v>1373</v>
      </c>
      <c r="B2939">
        <v>128</v>
      </c>
      <c r="C2939" t="s">
        <v>5869</v>
      </c>
      <c r="D2939" t="s">
        <v>455</v>
      </c>
      <c r="E2939" s="13">
        <v>5</v>
      </c>
      <c r="F2939" s="12">
        <v>41.5</v>
      </c>
      <c r="G2939" t="str">
        <f>IFERROR(INDEX(tEditais[Órgão],MATCH(tItens[[#This Row],[Edital]],tEditais[Edital],0)),"")</f>
        <v>MUNICIPIO DE SAO TOMAS DE AQUINO</v>
      </c>
      <c r="H2939" t="str">
        <f>IFERROR(INDEX(tEditais[UF],MATCH(tItens[[#This Row],[Edital]],tEditais[Edital],0)),"")</f>
        <v>MG</v>
      </c>
      <c r="I2939" s="11">
        <f>IFERROR(INDEX(tEditais[Encerramento],MATCH(tItens[[#This Row],[Edital]],tEditais[Edital],0)),"")</f>
        <v>46308.354166666664</v>
      </c>
      <c r="J2939" t="str">
        <f>IFERROR(INDEX(tProdutos[Classe],MATCH(tItens[[#This Row],[Produto]],tProdutos[Produto],0)),"produto não cadastrado")</f>
        <v>FILA REBASE</v>
      </c>
      <c r="K2939" s="12">
        <f>tItens[[#This Row],[Qtd]]*tItens[[#This Row],[Vlr unit]]</f>
        <v>207.5</v>
      </c>
      <c r="L2939" s="6">
        <f>IFERROR(IF(INDEX(tProdutos[Desconto homologado],MATCH(tItens[[#This Row],[Produto]],tProdutos[Produto],0))="",DescontoPadrao,INDEX(tProdutos[Desconto homologado],MATCH(tItens[[#This Row],[Produto]],tProdutos[Produto],0))),DescontoPadrao)</f>
        <v>0.29595946765523801</v>
      </c>
      <c r="M2939" s="12">
        <f>tItens[[#This Row],[Valor]]*(1-tItens[[#This Row],[Desconto]])</f>
        <v>146.08841046153813</v>
      </c>
      <c r="N2939" t="str">
        <f>IFERROR(INDEX(tProdutos[Foco],MATCH(tItens[[#This Row],[Produto]],tProdutos[Produto],0)),"Não")</f>
        <v>Não</v>
      </c>
      <c r="O2939" t="str">
        <f>IFERROR(INDEX(tEditais[SRP],MATCH(tItens[[#This Row],[Edital]],tEditais[Edital],0)),"Não")</f>
        <v>Sim</v>
      </c>
      <c r="P2939" s="4">
        <f>IF(COUNTIFS(INDEX(tItens[Edital],1):tItens[[#This Row],[Edital]],tItens[[#This Row],[Edital]],INDEX(tItens[Produto],1):tItens[[#This Row],[Produto]],tItens[[#This Row],[Produto]])=1,1,0)</f>
        <v>0</v>
      </c>
    </row>
    <row r="2940" spans="1:16" x14ac:dyDescent="0.25">
      <c r="A2940" t="s">
        <v>1373</v>
      </c>
      <c r="B2940">
        <v>129</v>
      </c>
      <c r="C2940" t="s">
        <v>5870</v>
      </c>
      <c r="D2940" t="s">
        <v>455</v>
      </c>
      <c r="E2940" s="13">
        <v>4</v>
      </c>
      <c r="F2940" s="12">
        <v>42.48</v>
      </c>
      <c r="G2940" t="str">
        <f>IFERROR(INDEX(tEditais[Órgão],MATCH(tItens[[#This Row],[Edital]],tEditais[Edital],0)),"")</f>
        <v>MUNICIPIO DE SAO TOMAS DE AQUINO</v>
      </c>
      <c r="H2940" t="str">
        <f>IFERROR(INDEX(tEditais[UF],MATCH(tItens[[#This Row],[Edital]],tEditais[Edital],0)),"")</f>
        <v>MG</v>
      </c>
      <c r="I2940" s="11">
        <f>IFERROR(INDEX(tEditais[Encerramento],MATCH(tItens[[#This Row],[Edital]],tEditais[Edital],0)),"")</f>
        <v>46308.354166666664</v>
      </c>
      <c r="J2940" t="str">
        <f>IFERROR(INDEX(tProdutos[Classe],MATCH(tItens[[#This Row],[Produto]],tProdutos[Produto],0)),"produto não cadastrado")</f>
        <v>FILA REBASE</v>
      </c>
      <c r="K2940" s="12">
        <f>tItens[[#This Row],[Qtd]]*tItens[[#This Row],[Vlr unit]]</f>
        <v>169.92</v>
      </c>
      <c r="L2940" s="6">
        <f>IFERROR(IF(INDEX(tProdutos[Desconto homologado],MATCH(tItens[[#This Row],[Produto]],tProdutos[Produto],0))="",DescontoPadrao,INDEX(tProdutos[Desconto homologado],MATCH(tItens[[#This Row],[Produto]],tProdutos[Produto],0))),DescontoPadrao)</f>
        <v>0.29595946765523801</v>
      </c>
      <c r="M2940" s="12">
        <f>tItens[[#This Row],[Valor]]*(1-tItens[[#This Row],[Desconto]])</f>
        <v>119.63056725602196</v>
      </c>
      <c r="N2940" t="str">
        <f>IFERROR(INDEX(tProdutos[Foco],MATCH(tItens[[#This Row],[Produto]],tProdutos[Produto],0)),"Não")</f>
        <v>Não</v>
      </c>
      <c r="O2940" t="str">
        <f>IFERROR(INDEX(tEditais[SRP],MATCH(tItens[[#This Row],[Edital]],tEditais[Edital],0)),"Não")</f>
        <v>Sim</v>
      </c>
      <c r="P2940" s="4">
        <f>IF(COUNTIFS(INDEX(tItens[Edital],1):tItens[[#This Row],[Edital]],tItens[[#This Row],[Edital]],INDEX(tItens[Produto],1):tItens[[#This Row],[Produto]],tItens[[#This Row],[Produto]])=1,1,0)</f>
        <v>0</v>
      </c>
    </row>
    <row r="2941" spans="1:16" x14ac:dyDescent="0.25">
      <c r="A2941" t="s">
        <v>1373</v>
      </c>
      <c r="B2941">
        <v>211</v>
      </c>
      <c r="C2941" t="s">
        <v>5871</v>
      </c>
      <c r="D2941" t="s">
        <v>455</v>
      </c>
      <c r="E2941" s="13">
        <v>3</v>
      </c>
      <c r="F2941" s="12">
        <v>240.04</v>
      </c>
      <c r="G2941" t="str">
        <f>IFERROR(INDEX(tEditais[Órgão],MATCH(tItens[[#This Row],[Edital]],tEditais[Edital],0)),"")</f>
        <v>MUNICIPIO DE SAO TOMAS DE AQUINO</v>
      </c>
      <c r="H2941" t="str">
        <f>IFERROR(INDEX(tEditais[UF],MATCH(tItens[[#This Row],[Edital]],tEditais[Edital],0)),"")</f>
        <v>MG</v>
      </c>
      <c r="I2941" s="11">
        <f>IFERROR(INDEX(tEditais[Encerramento],MATCH(tItens[[#This Row],[Edital]],tEditais[Edital],0)),"")</f>
        <v>46308.354166666664</v>
      </c>
      <c r="J2941" t="str">
        <f>IFERROR(INDEX(tProdutos[Classe],MATCH(tItens[[#This Row],[Produto]],tProdutos[Produto],0)),"produto não cadastrado")</f>
        <v>FILA REBASE</v>
      </c>
      <c r="K2941" s="12">
        <f>tItens[[#This Row],[Qtd]]*tItens[[#This Row],[Vlr unit]]</f>
        <v>720.12</v>
      </c>
      <c r="L2941" s="6">
        <f>IFERROR(IF(INDEX(tProdutos[Desconto homologado],MATCH(tItens[[#This Row],[Produto]],tProdutos[Produto],0))="",DescontoPadrao,INDEX(tProdutos[Desconto homologado],MATCH(tItens[[#This Row],[Produto]],tProdutos[Produto],0))),DescontoPadrao)</f>
        <v>0.29595946765523801</v>
      </c>
      <c r="M2941" s="12">
        <f>tItens[[#This Row],[Valor]]*(1-tItens[[#This Row],[Desconto]])</f>
        <v>506.99366815211005</v>
      </c>
      <c r="N2941" t="str">
        <f>IFERROR(INDEX(tProdutos[Foco],MATCH(tItens[[#This Row],[Produto]],tProdutos[Produto],0)),"Não")</f>
        <v>Não</v>
      </c>
      <c r="O2941" t="str">
        <f>IFERROR(INDEX(tEditais[SRP],MATCH(tItens[[#This Row],[Edital]],tEditais[Edital],0)),"Não")</f>
        <v>Sim</v>
      </c>
      <c r="P2941" s="4">
        <f>IF(COUNTIFS(INDEX(tItens[Edital],1):tItens[[#This Row],[Edital]],tItens[[#This Row],[Edital]],INDEX(tItens[Produto],1):tItens[[#This Row],[Produto]],tItens[[#This Row],[Produto]])=1,1,0)</f>
        <v>0</v>
      </c>
    </row>
    <row r="2942" spans="1:16" x14ac:dyDescent="0.25">
      <c r="A2942" t="s">
        <v>1373</v>
      </c>
      <c r="B2942">
        <v>212</v>
      </c>
      <c r="C2942" t="s">
        <v>5872</v>
      </c>
      <c r="D2942" t="s">
        <v>455</v>
      </c>
      <c r="E2942" s="13">
        <v>5</v>
      </c>
      <c r="F2942" s="12">
        <v>36.6</v>
      </c>
      <c r="G2942" t="str">
        <f>IFERROR(INDEX(tEditais[Órgão],MATCH(tItens[[#This Row],[Edital]],tEditais[Edital],0)),"")</f>
        <v>MUNICIPIO DE SAO TOMAS DE AQUINO</v>
      </c>
      <c r="H2942" t="str">
        <f>IFERROR(INDEX(tEditais[UF],MATCH(tItens[[#This Row],[Edital]],tEditais[Edital],0)),"")</f>
        <v>MG</v>
      </c>
      <c r="I2942" s="11">
        <f>IFERROR(INDEX(tEditais[Encerramento],MATCH(tItens[[#This Row],[Edital]],tEditais[Edital],0)),"")</f>
        <v>46308.354166666664</v>
      </c>
      <c r="J2942" t="str">
        <f>IFERROR(INDEX(tProdutos[Classe],MATCH(tItens[[#This Row],[Produto]],tProdutos[Produto],0)),"produto não cadastrado")</f>
        <v>FILA REBASE</v>
      </c>
      <c r="K2942" s="12">
        <f>tItens[[#This Row],[Qtd]]*tItens[[#This Row],[Vlr unit]]</f>
        <v>183</v>
      </c>
      <c r="L2942" s="6">
        <f>IFERROR(IF(INDEX(tProdutos[Desconto homologado],MATCH(tItens[[#This Row],[Produto]],tProdutos[Produto],0))="",DescontoPadrao,INDEX(tProdutos[Desconto homologado],MATCH(tItens[[#This Row],[Produto]],tProdutos[Produto],0))),DescontoPadrao)</f>
        <v>0.29595946765523801</v>
      </c>
      <c r="M2942" s="12">
        <f>tItens[[#This Row],[Valor]]*(1-tItens[[#This Row],[Desconto]])</f>
        <v>128.83941741909146</v>
      </c>
      <c r="N2942" t="str">
        <f>IFERROR(INDEX(tProdutos[Foco],MATCH(tItens[[#This Row],[Produto]],tProdutos[Produto],0)),"Não")</f>
        <v>Não</v>
      </c>
      <c r="O2942" t="str">
        <f>IFERROR(INDEX(tEditais[SRP],MATCH(tItens[[#This Row],[Edital]],tEditais[Edital],0)),"Não")</f>
        <v>Sim</v>
      </c>
      <c r="P2942" s="4">
        <f>IF(COUNTIFS(INDEX(tItens[Edital],1):tItens[[#This Row],[Edital]],tItens[[#This Row],[Edital]],INDEX(tItens[Produto],1):tItens[[#This Row],[Produto]],tItens[[#This Row],[Produto]])=1,1,0)</f>
        <v>0</v>
      </c>
    </row>
    <row r="2943" spans="1:16" x14ac:dyDescent="0.25">
      <c r="A2943" t="s">
        <v>1373</v>
      </c>
      <c r="B2943">
        <v>213</v>
      </c>
      <c r="C2943" t="s">
        <v>5873</v>
      </c>
      <c r="D2943" t="s">
        <v>455</v>
      </c>
      <c r="E2943" s="13">
        <v>3</v>
      </c>
      <c r="F2943" s="12">
        <v>39.6</v>
      </c>
      <c r="G2943" t="str">
        <f>IFERROR(INDEX(tEditais[Órgão],MATCH(tItens[[#This Row],[Edital]],tEditais[Edital],0)),"")</f>
        <v>MUNICIPIO DE SAO TOMAS DE AQUINO</v>
      </c>
      <c r="H2943" t="str">
        <f>IFERROR(INDEX(tEditais[UF],MATCH(tItens[[#This Row],[Edital]],tEditais[Edital],0)),"")</f>
        <v>MG</v>
      </c>
      <c r="I2943" s="11">
        <f>IFERROR(INDEX(tEditais[Encerramento],MATCH(tItens[[#This Row],[Edital]],tEditais[Edital],0)),"")</f>
        <v>46308.354166666664</v>
      </c>
      <c r="J2943" t="str">
        <f>IFERROR(INDEX(tProdutos[Classe],MATCH(tItens[[#This Row],[Produto]],tProdutos[Produto],0)),"produto não cadastrado")</f>
        <v>FILA REBASE</v>
      </c>
      <c r="K2943" s="12">
        <f>tItens[[#This Row],[Qtd]]*tItens[[#This Row],[Vlr unit]]</f>
        <v>118.80000000000001</v>
      </c>
      <c r="L2943" s="6">
        <f>IFERROR(IF(INDEX(tProdutos[Desconto homologado],MATCH(tItens[[#This Row],[Produto]],tProdutos[Produto],0))="",DescontoPadrao,INDEX(tProdutos[Desconto homologado],MATCH(tItens[[#This Row],[Produto]],tProdutos[Produto],0))),DescontoPadrao)</f>
        <v>0.29595946765523801</v>
      </c>
      <c r="M2943" s="12">
        <f>tItens[[#This Row],[Valor]]*(1-tItens[[#This Row],[Desconto]])</f>
        <v>83.640015242557737</v>
      </c>
      <c r="N2943" t="str">
        <f>IFERROR(INDEX(tProdutos[Foco],MATCH(tItens[[#This Row],[Produto]],tProdutos[Produto],0)),"Não")</f>
        <v>Não</v>
      </c>
      <c r="O2943" t="str">
        <f>IFERROR(INDEX(tEditais[SRP],MATCH(tItens[[#This Row],[Edital]],tEditais[Edital],0)),"Não")</f>
        <v>Sim</v>
      </c>
      <c r="P2943" s="4">
        <f>IF(COUNTIFS(INDEX(tItens[Edital],1):tItens[[#This Row],[Edital]],tItens[[#This Row],[Edital]],INDEX(tItens[Produto],1):tItens[[#This Row],[Produto]],tItens[[#This Row],[Produto]])=1,1,0)</f>
        <v>0</v>
      </c>
    </row>
    <row r="2944" spans="1:16" x14ac:dyDescent="0.25">
      <c r="A2944" t="s">
        <v>1373</v>
      </c>
      <c r="B2944">
        <v>214</v>
      </c>
      <c r="C2944" t="s">
        <v>5874</v>
      </c>
      <c r="D2944" t="s">
        <v>455</v>
      </c>
      <c r="E2944" s="13">
        <v>5</v>
      </c>
      <c r="F2944" s="12">
        <v>40.17</v>
      </c>
      <c r="G2944" t="str">
        <f>IFERROR(INDEX(tEditais[Órgão],MATCH(tItens[[#This Row],[Edital]],tEditais[Edital],0)),"")</f>
        <v>MUNICIPIO DE SAO TOMAS DE AQUINO</v>
      </c>
      <c r="H2944" t="str">
        <f>IFERROR(INDEX(tEditais[UF],MATCH(tItens[[#This Row],[Edital]],tEditais[Edital],0)),"")</f>
        <v>MG</v>
      </c>
      <c r="I2944" s="11">
        <f>IFERROR(INDEX(tEditais[Encerramento],MATCH(tItens[[#This Row],[Edital]],tEditais[Edital],0)),"")</f>
        <v>46308.354166666664</v>
      </c>
      <c r="J2944" t="str">
        <f>IFERROR(INDEX(tProdutos[Classe],MATCH(tItens[[#This Row],[Produto]],tProdutos[Produto],0)),"produto não cadastrado")</f>
        <v>FILA REBASE</v>
      </c>
      <c r="K2944" s="12">
        <f>tItens[[#This Row],[Qtd]]*tItens[[#This Row],[Vlr unit]]</f>
        <v>200.85000000000002</v>
      </c>
      <c r="L2944" s="6">
        <f>IFERROR(IF(INDEX(tProdutos[Desconto homologado],MATCH(tItens[[#This Row],[Produto]],tProdutos[Produto],0))="",DescontoPadrao,INDEX(tProdutos[Desconto homologado],MATCH(tItens[[#This Row],[Produto]],tProdutos[Produto],0))),DescontoPadrao)</f>
        <v>0.29595946765523801</v>
      </c>
      <c r="M2944" s="12">
        <f>tItens[[#This Row],[Valor]]*(1-tItens[[#This Row],[Desconto]])</f>
        <v>141.40654092144547</v>
      </c>
      <c r="N2944" t="str">
        <f>IFERROR(INDEX(tProdutos[Foco],MATCH(tItens[[#This Row],[Produto]],tProdutos[Produto],0)),"Não")</f>
        <v>Não</v>
      </c>
      <c r="O2944" t="str">
        <f>IFERROR(INDEX(tEditais[SRP],MATCH(tItens[[#This Row],[Edital]],tEditais[Edital],0)),"Não")</f>
        <v>Sim</v>
      </c>
      <c r="P2944" s="4">
        <f>IF(COUNTIFS(INDEX(tItens[Edital],1):tItens[[#This Row],[Edital]],tItens[[#This Row],[Edital]],INDEX(tItens[Produto],1):tItens[[#This Row],[Produto]],tItens[[#This Row],[Produto]])=1,1,0)</f>
        <v>0</v>
      </c>
    </row>
    <row r="2945" spans="1:16" x14ac:dyDescent="0.25">
      <c r="A2945" t="s">
        <v>1373</v>
      </c>
      <c r="B2945">
        <v>215</v>
      </c>
      <c r="C2945" t="s">
        <v>5875</v>
      </c>
      <c r="D2945" t="s">
        <v>455</v>
      </c>
      <c r="E2945" s="13">
        <v>5</v>
      </c>
      <c r="F2945" s="12">
        <v>47.5</v>
      </c>
      <c r="G2945" t="str">
        <f>IFERROR(INDEX(tEditais[Órgão],MATCH(tItens[[#This Row],[Edital]],tEditais[Edital],0)),"")</f>
        <v>MUNICIPIO DE SAO TOMAS DE AQUINO</v>
      </c>
      <c r="H2945" t="str">
        <f>IFERROR(INDEX(tEditais[UF],MATCH(tItens[[#This Row],[Edital]],tEditais[Edital],0)),"")</f>
        <v>MG</v>
      </c>
      <c r="I2945" s="11">
        <f>IFERROR(INDEX(tEditais[Encerramento],MATCH(tItens[[#This Row],[Edital]],tEditais[Edital],0)),"")</f>
        <v>46308.354166666664</v>
      </c>
      <c r="J2945" t="str">
        <f>IFERROR(INDEX(tProdutos[Classe],MATCH(tItens[[#This Row],[Produto]],tProdutos[Produto],0)),"produto não cadastrado")</f>
        <v>FILA REBASE</v>
      </c>
      <c r="K2945" s="12">
        <f>tItens[[#This Row],[Qtd]]*tItens[[#This Row],[Vlr unit]]</f>
        <v>237.5</v>
      </c>
      <c r="L2945" s="6">
        <f>IFERROR(IF(INDEX(tProdutos[Desconto homologado],MATCH(tItens[[#This Row],[Produto]],tProdutos[Produto],0))="",DescontoPadrao,INDEX(tProdutos[Desconto homologado],MATCH(tItens[[#This Row],[Produto]],tProdutos[Produto],0))),DescontoPadrao)</f>
        <v>0.29595946765523801</v>
      </c>
      <c r="M2945" s="12">
        <f>tItens[[#This Row],[Valor]]*(1-tItens[[#This Row],[Desconto]])</f>
        <v>167.20962643188099</v>
      </c>
      <c r="N2945" t="str">
        <f>IFERROR(INDEX(tProdutos[Foco],MATCH(tItens[[#This Row],[Produto]],tProdutos[Produto],0)),"Não")</f>
        <v>Não</v>
      </c>
      <c r="O2945" t="str">
        <f>IFERROR(INDEX(tEditais[SRP],MATCH(tItens[[#This Row],[Edital]],tEditais[Edital],0)),"Não")</f>
        <v>Sim</v>
      </c>
      <c r="P2945" s="4">
        <f>IF(COUNTIFS(INDEX(tItens[Edital],1):tItens[[#This Row],[Edital]],tItens[[#This Row],[Edital]],INDEX(tItens[Produto],1):tItens[[#This Row],[Produto]],tItens[[#This Row],[Produto]])=1,1,0)</f>
        <v>0</v>
      </c>
    </row>
    <row r="2946" spans="1:16" x14ac:dyDescent="0.25">
      <c r="A2946" t="s">
        <v>1377</v>
      </c>
      <c r="B2946">
        <v>46</v>
      </c>
      <c r="C2946" t="s">
        <v>4116</v>
      </c>
      <c r="D2946" t="s">
        <v>347</v>
      </c>
      <c r="E2946" s="13">
        <v>340</v>
      </c>
      <c r="F2946" s="12">
        <v>0</v>
      </c>
      <c r="G2946" t="str">
        <f>IFERROR(INDEX(tEditais[Órgão],MATCH(tItens[[#This Row],[Edital]],tEditais[Edital],0)),"")</f>
        <v>EMPRESA BRASILEIRA DE SERVICOS HOSPITALARES - EBSERH</v>
      </c>
      <c r="H2946" t="str">
        <f>IFERROR(INDEX(tEditais[UF],MATCH(tItens[[#This Row],[Edital]],tEditais[Edital],0)),"")</f>
        <v>MG</v>
      </c>
      <c r="I2946" s="11">
        <f>IFERROR(INDEX(tEditais[Encerramento],MATCH(tItens[[#This Row],[Edital]],tEditais[Edital],0)),"")</f>
        <v>46308.375</v>
      </c>
      <c r="J2946" t="str">
        <f>IFERROR(INDEX(tProdutos[Classe],MATCH(tItens[[#This Row],[Produto]],tProdutos[Produto],0)),"produto não cadastrado")</f>
        <v>FORA</v>
      </c>
      <c r="K2946" s="12">
        <f>tItens[[#This Row],[Qtd]]*tItens[[#This Row],[Vlr unit]]</f>
        <v>0</v>
      </c>
      <c r="L2946" s="6">
        <f>IFERROR(IF(INDEX(tProdutos[Desconto homologado],MATCH(tItens[[#This Row],[Produto]],tProdutos[Produto],0))="",DescontoPadrao,INDEX(tProdutos[Desconto homologado],MATCH(tItens[[#This Row],[Produto]],tProdutos[Produto],0))),DescontoPadrao)</f>
        <v>0.26356465005931201</v>
      </c>
      <c r="M2946" s="12">
        <f>tItens[[#This Row],[Valor]]*(1-tItens[[#This Row],[Desconto]])</f>
        <v>0</v>
      </c>
      <c r="N2946" t="str">
        <f>IFERROR(INDEX(tProdutos[Foco],MATCH(tItens[[#This Row],[Produto]],tProdutos[Produto],0)),"Não")</f>
        <v>Não</v>
      </c>
      <c r="O2946" t="str">
        <f>IFERROR(INDEX(tEditais[SRP],MATCH(tItens[[#This Row],[Edital]],tEditais[Edital],0)),"Não")</f>
        <v>Não</v>
      </c>
      <c r="P2946" s="4">
        <f>IF(COUNTIFS(INDEX(tItens[Edital],1):tItens[[#This Row],[Edital]],tItens[[#This Row],[Edital]],INDEX(tItens[Produto],1):tItens[[#This Row],[Produto]],tItens[[#This Row],[Produto]])=1,1,0)</f>
        <v>1</v>
      </c>
    </row>
    <row r="2947" spans="1:16" x14ac:dyDescent="0.25">
      <c r="A2947" t="s">
        <v>1377</v>
      </c>
      <c r="B2947">
        <v>47</v>
      </c>
      <c r="C2947" t="s">
        <v>5876</v>
      </c>
      <c r="D2947" t="s">
        <v>347</v>
      </c>
      <c r="E2947" s="13">
        <v>250</v>
      </c>
      <c r="F2947" s="12">
        <v>0</v>
      </c>
      <c r="G2947" t="str">
        <f>IFERROR(INDEX(tEditais[Órgão],MATCH(tItens[[#This Row],[Edital]],tEditais[Edital],0)),"")</f>
        <v>EMPRESA BRASILEIRA DE SERVICOS HOSPITALARES - EBSERH</v>
      </c>
      <c r="H2947" t="str">
        <f>IFERROR(INDEX(tEditais[UF],MATCH(tItens[[#This Row],[Edital]],tEditais[Edital],0)),"")</f>
        <v>MG</v>
      </c>
      <c r="I2947" s="11">
        <f>IFERROR(INDEX(tEditais[Encerramento],MATCH(tItens[[#This Row],[Edital]],tEditais[Edital],0)),"")</f>
        <v>46308.375</v>
      </c>
      <c r="J2947" t="str">
        <f>IFERROR(INDEX(tProdutos[Classe],MATCH(tItens[[#This Row],[Produto]],tProdutos[Produto],0)),"produto não cadastrado")</f>
        <v>FORA</v>
      </c>
      <c r="K2947" s="12">
        <f>tItens[[#This Row],[Qtd]]*tItens[[#This Row],[Vlr unit]]</f>
        <v>0</v>
      </c>
      <c r="L2947" s="6">
        <f>IFERROR(IF(INDEX(tProdutos[Desconto homologado],MATCH(tItens[[#This Row],[Produto]],tProdutos[Produto],0))="",DescontoPadrao,INDEX(tProdutos[Desconto homologado],MATCH(tItens[[#This Row],[Produto]],tProdutos[Produto],0))),DescontoPadrao)</f>
        <v>0.26356465005931201</v>
      </c>
      <c r="M2947" s="12">
        <f>tItens[[#This Row],[Valor]]*(1-tItens[[#This Row],[Desconto]])</f>
        <v>0</v>
      </c>
      <c r="N2947" t="str">
        <f>IFERROR(INDEX(tProdutos[Foco],MATCH(tItens[[#This Row],[Produto]],tProdutos[Produto],0)),"Não")</f>
        <v>Não</v>
      </c>
      <c r="O2947" t="str">
        <f>IFERROR(INDEX(tEditais[SRP],MATCH(tItens[[#This Row],[Edital]],tEditais[Edital],0)),"Não")</f>
        <v>Não</v>
      </c>
      <c r="P2947" s="4">
        <f>IF(COUNTIFS(INDEX(tItens[Edital],1):tItens[[#This Row],[Edital]],tItens[[#This Row],[Edital]],INDEX(tItens[Produto],1):tItens[[#This Row],[Produto]],tItens[[#This Row],[Produto]])=1,1,0)</f>
        <v>0</v>
      </c>
    </row>
    <row r="2948" spans="1:16" x14ac:dyDescent="0.25">
      <c r="A2948" t="s">
        <v>1377</v>
      </c>
      <c r="B2948">
        <v>48</v>
      </c>
      <c r="C2948" t="s">
        <v>5877</v>
      </c>
      <c r="D2948" t="s">
        <v>347</v>
      </c>
      <c r="E2948" s="13">
        <v>10</v>
      </c>
      <c r="F2948" s="12">
        <v>0</v>
      </c>
      <c r="G2948" t="str">
        <f>IFERROR(INDEX(tEditais[Órgão],MATCH(tItens[[#This Row],[Edital]],tEditais[Edital],0)),"")</f>
        <v>EMPRESA BRASILEIRA DE SERVICOS HOSPITALARES - EBSERH</v>
      </c>
      <c r="H2948" t="str">
        <f>IFERROR(INDEX(tEditais[UF],MATCH(tItens[[#This Row],[Edital]],tEditais[Edital],0)),"")</f>
        <v>MG</v>
      </c>
      <c r="I2948" s="11">
        <f>IFERROR(INDEX(tEditais[Encerramento],MATCH(tItens[[#This Row],[Edital]],tEditais[Edital],0)),"")</f>
        <v>46308.375</v>
      </c>
      <c r="J2948" t="str">
        <f>IFERROR(INDEX(tProdutos[Classe],MATCH(tItens[[#This Row],[Produto]],tProdutos[Produto],0)),"produto não cadastrado")</f>
        <v>FORA</v>
      </c>
      <c r="K2948" s="12">
        <f>tItens[[#This Row],[Qtd]]*tItens[[#This Row],[Vlr unit]]</f>
        <v>0</v>
      </c>
      <c r="L2948" s="6">
        <f>IFERROR(IF(INDEX(tProdutos[Desconto homologado],MATCH(tItens[[#This Row],[Produto]],tProdutos[Produto],0))="",DescontoPadrao,INDEX(tProdutos[Desconto homologado],MATCH(tItens[[#This Row],[Produto]],tProdutos[Produto],0))),DescontoPadrao)</f>
        <v>0.26356465005931201</v>
      </c>
      <c r="M2948" s="12">
        <f>tItens[[#This Row],[Valor]]*(1-tItens[[#This Row],[Desconto]])</f>
        <v>0</v>
      </c>
      <c r="N2948" t="str">
        <f>IFERROR(INDEX(tProdutos[Foco],MATCH(tItens[[#This Row],[Produto]],tProdutos[Produto],0)),"Não")</f>
        <v>Não</v>
      </c>
      <c r="O2948" t="str">
        <f>IFERROR(INDEX(tEditais[SRP],MATCH(tItens[[#This Row],[Edital]],tEditais[Edital],0)),"Não")</f>
        <v>Não</v>
      </c>
      <c r="P2948" s="4">
        <f>IF(COUNTIFS(INDEX(tItens[Edital],1):tItens[[#This Row],[Edital]],tItens[[#This Row],[Edital]],INDEX(tItens[Produto],1):tItens[[#This Row],[Produto]],tItens[[#This Row],[Produto]])=1,1,0)</f>
        <v>0</v>
      </c>
    </row>
    <row r="2949" spans="1:16" x14ac:dyDescent="0.25">
      <c r="A2949" t="s">
        <v>1377</v>
      </c>
      <c r="B2949">
        <v>49</v>
      </c>
      <c r="C2949" t="s">
        <v>5878</v>
      </c>
      <c r="D2949" t="s">
        <v>347</v>
      </c>
      <c r="E2949" s="13">
        <v>10</v>
      </c>
      <c r="F2949" s="12">
        <v>0</v>
      </c>
      <c r="G2949" t="str">
        <f>IFERROR(INDEX(tEditais[Órgão],MATCH(tItens[[#This Row],[Edital]],tEditais[Edital],0)),"")</f>
        <v>EMPRESA BRASILEIRA DE SERVICOS HOSPITALARES - EBSERH</v>
      </c>
      <c r="H2949" t="str">
        <f>IFERROR(INDEX(tEditais[UF],MATCH(tItens[[#This Row],[Edital]],tEditais[Edital],0)),"")</f>
        <v>MG</v>
      </c>
      <c r="I2949" s="11">
        <f>IFERROR(INDEX(tEditais[Encerramento],MATCH(tItens[[#This Row],[Edital]],tEditais[Edital],0)),"")</f>
        <v>46308.375</v>
      </c>
      <c r="J2949" t="str">
        <f>IFERROR(INDEX(tProdutos[Classe],MATCH(tItens[[#This Row],[Produto]],tProdutos[Produto],0)),"produto não cadastrado")</f>
        <v>FORA</v>
      </c>
      <c r="K2949" s="12">
        <f>tItens[[#This Row],[Qtd]]*tItens[[#This Row],[Vlr unit]]</f>
        <v>0</v>
      </c>
      <c r="L2949" s="6">
        <f>IFERROR(IF(INDEX(tProdutos[Desconto homologado],MATCH(tItens[[#This Row],[Produto]],tProdutos[Produto],0))="",DescontoPadrao,INDEX(tProdutos[Desconto homologado],MATCH(tItens[[#This Row],[Produto]],tProdutos[Produto],0))),DescontoPadrao)</f>
        <v>0.26356465005931201</v>
      </c>
      <c r="M2949" s="12">
        <f>tItens[[#This Row],[Valor]]*(1-tItens[[#This Row],[Desconto]])</f>
        <v>0</v>
      </c>
      <c r="N2949" t="str">
        <f>IFERROR(INDEX(tProdutos[Foco],MATCH(tItens[[#This Row],[Produto]],tProdutos[Produto],0)),"Não")</f>
        <v>Não</v>
      </c>
      <c r="O2949" t="str">
        <f>IFERROR(INDEX(tEditais[SRP],MATCH(tItens[[#This Row],[Edital]],tEditais[Edital],0)),"Não")</f>
        <v>Não</v>
      </c>
      <c r="P2949" s="4">
        <f>IF(COUNTIFS(INDEX(tItens[Edital],1):tItens[[#This Row],[Edital]],tItens[[#This Row],[Edital]],INDEX(tItens[Produto],1):tItens[[#This Row],[Produto]],tItens[[#This Row],[Produto]])=1,1,0)</f>
        <v>0</v>
      </c>
    </row>
    <row r="2950" spans="1:16" x14ac:dyDescent="0.25">
      <c r="A2950" t="s">
        <v>1377</v>
      </c>
      <c r="B2950">
        <v>50</v>
      </c>
      <c r="C2950" t="s">
        <v>5879</v>
      </c>
      <c r="D2950" t="s">
        <v>347</v>
      </c>
      <c r="E2950" s="13">
        <v>20</v>
      </c>
      <c r="F2950" s="12">
        <v>0</v>
      </c>
      <c r="G2950" t="str">
        <f>IFERROR(INDEX(tEditais[Órgão],MATCH(tItens[[#This Row],[Edital]],tEditais[Edital],0)),"")</f>
        <v>EMPRESA BRASILEIRA DE SERVICOS HOSPITALARES - EBSERH</v>
      </c>
      <c r="H2950" t="str">
        <f>IFERROR(INDEX(tEditais[UF],MATCH(tItens[[#This Row],[Edital]],tEditais[Edital],0)),"")</f>
        <v>MG</v>
      </c>
      <c r="I2950" s="11">
        <f>IFERROR(INDEX(tEditais[Encerramento],MATCH(tItens[[#This Row],[Edital]],tEditais[Edital],0)),"")</f>
        <v>46308.375</v>
      </c>
      <c r="J2950" t="str">
        <f>IFERROR(INDEX(tProdutos[Classe],MATCH(tItens[[#This Row],[Produto]],tProdutos[Produto],0)),"produto não cadastrado")</f>
        <v>FORA</v>
      </c>
      <c r="K2950" s="12">
        <f>tItens[[#This Row],[Qtd]]*tItens[[#This Row],[Vlr unit]]</f>
        <v>0</v>
      </c>
      <c r="L2950" s="6">
        <f>IFERROR(IF(INDEX(tProdutos[Desconto homologado],MATCH(tItens[[#This Row],[Produto]],tProdutos[Produto],0))="",DescontoPadrao,INDEX(tProdutos[Desconto homologado],MATCH(tItens[[#This Row],[Produto]],tProdutos[Produto],0))),DescontoPadrao)</f>
        <v>0.26356465005931201</v>
      </c>
      <c r="M2950" s="12">
        <f>tItens[[#This Row],[Valor]]*(1-tItens[[#This Row],[Desconto]])</f>
        <v>0</v>
      </c>
      <c r="N2950" t="str">
        <f>IFERROR(INDEX(tProdutos[Foco],MATCH(tItens[[#This Row],[Produto]],tProdutos[Produto],0)),"Não")</f>
        <v>Não</v>
      </c>
      <c r="O2950" t="str">
        <f>IFERROR(INDEX(tEditais[SRP],MATCH(tItens[[#This Row],[Edital]],tEditais[Edital],0)),"Não")</f>
        <v>Não</v>
      </c>
      <c r="P2950" s="4">
        <f>IF(COUNTIFS(INDEX(tItens[Edital],1):tItens[[#This Row],[Edital]],tItens[[#This Row],[Edital]],INDEX(tItens[Produto],1):tItens[[#This Row],[Produto]],tItens[[#This Row],[Produto]])=1,1,0)</f>
        <v>0</v>
      </c>
    </row>
    <row r="2951" spans="1:16" x14ac:dyDescent="0.25">
      <c r="A2951" t="s">
        <v>1377</v>
      </c>
      <c r="B2951">
        <v>51</v>
      </c>
      <c r="C2951" t="s">
        <v>5880</v>
      </c>
      <c r="D2951" t="s">
        <v>347</v>
      </c>
      <c r="E2951" s="13">
        <v>10</v>
      </c>
      <c r="F2951" s="12">
        <v>0</v>
      </c>
      <c r="G2951" t="str">
        <f>IFERROR(INDEX(tEditais[Órgão],MATCH(tItens[[#This Row],[Edital]],tEditais[Edital],0)),"")</f>
        <v>EMPRESA BRASILEIRA DE SERVICOS HOSPITALARES - EBSERH</v>
      </c>
      <c r="H2951" t="str">
        <f>IFERROR(INDEX(tEditais[UF],MATCH(tItens[[#This Row],[Edital]],tEditais[Edital],0)),"")</f>
        <v>MG</v>
      </c>
      <c r="I2951" s="11">
        <f>IFERROR(INDEX(tEditais[Encerramento],MATCH(tItens[[#This Row],[Edital]],tEditais[Edital],0)),"")</f>
        <v>46308.375</v>
      </c>
      <c r="J2951" t="str">
        <f>IFERROR(INDEX(tProdutos[Classe],MATCH(tItens[[#This Row],[Produto]],tProdutos[Produto],0)),"produto não cadastrado")</f>
        <v>FORA</v>
      </c>
      <c r="K2951" s="12">
        <f>tItens[[#This Row],[Qtd]]*tItens[[#This Row],[Vlr unit]]</f>
        <v>0</v>
      </c>
      <c r="L2951" s="6">
        <f>IFERROR(IF(INDEX(tProdutos[Desconto homologado],MATCH(tItens[[#This Row],[Produto]],tProdutos[Produto],0))="",DescontoPadrao,INDEX(tProdutos[Desconto homologado],MATCH(tItens[[#This Row],[Produto]],tProdutos[Produto],0))),DescontoPadrao)</f>
        <v>0.26356465005931201</v>
      </c>
      <c r="M2951" s="12">
        <f>tItens[[#This Row],[Valor]]*(1-tItens[[#This Row],[Desconto]])</f>
        <v>0</v>
      </c>
      <c r="N2951" t="str">
        <f>IFERROR(INDEX(tProdutos[Foco],MATCH(tItens[[#This Row],[Produto]],tProdutos[Produto],0)),"Não")</f>
        <v>Não</v>
      </c>
      <c r="O2951" t="str">
        <f>IFERROR(INDEX(tEditais[SRP],MATCH(tItens[[#This Row],[Edital]],tEditais[Edital],0)),"Não")</f>
        <v>Não</v>
      </c>
      <c r="P2951" s="4">
        <f>IF(COUNTIFS(INDEX(tItens[Edital],1):tItens[[#This Row],[Edital]],tItens[[#This Row],[Edital]],INDEX(tItens[Produto],1):tItens[[#This Row],[Produto]],tItens[[#This Row],[Produto]])=1,1,0)</f>
        <v>0</v>
      </c>
    </row>
    <row r="2952" spans="1:16" x14ac:dyDescent="0.25">
      <c r="A2952" t="s">
        <v>1377</v>
      </c>
      <c r="B2952">
        <v>52</v>
      </c>
      <c r="C2952" t="s">
        <v>5881</v>
      </c>
      <c r="D2952" t="s">
        <v>347</v>
      </c>
      <c r="E2952" s="13">
        <v>10</v>
      </c>
      <c r="F2952" s="12">
        <v>0</v>
      </c>
      <c r="G2952" t="str">
        <f>IFERROR(INDEX(tEditais[Órgão],MATCH(tItens[[#This Row],[Edital]],tEditais[Edital],0)),"")</f>
        <v>EMPRESA BRASILEIRA DE SERVICOS HOSPITALARES - EBSERH</v>
      </c>
      <c r="H2952" t="str">
        <f>IFERROR(INDEX(tEditais[UF],MATCH(tItens[[#This Row],[Edital]],tEditais[Edital],0)),"")</f>
        <v>MG</v>
      </c>
      <c r="I2952" s="11">
        <f>IFERROR(INDEX(tEditais[Encerramento],MATCH(tItens[[#This Row],[Edital]],tEditais[Edital],0)),"")</f>
        <v>46308.375</v>
      </c>
      <c r="J2952" t="str">
        <f>IFERROR(INDEX(tProdutos[Classe],MATCH(tItens[[#This Row],[Produto]],tProdutos[Produto],0)),"produto não cadastrado")</f>
        <v>FORA</v>
      </c>
      <c r="K2952" s="12">
        <f>tItens[[#This Row],[Qtd]]*tItens[[#This Row],[Vlr unit]]</f>
        <v>0</v>
      </c>
      <c r="L2952" s="6">
        <f>IFERROR(IF(INDEX(tProdutos[Desconto homologado],MATCH(tItens[[#This Row],[Produto]],tProdutos[Produto],0))="",DescontoPadrao,INDEX(tProdutos[Desconto homologado],MATCH(tItens[[#This Row],[Produto]],tProdutos[Produto],0))),DescontoPadrao)</f>
        <v>0.26356465005931201</v>
      </c>
      <c r="M2952" s="12">
        <f>tItens[[#This Row],[Valor]]*(1-tItens[[#This Row],[Desconto]])</f>
        <v>0</v>
      </c>
      <c r="N2952" t="str">
        <f>IFERROR(INDEX(tProdutos[Foco],MATCH(tItens[[#This Row],[Produto]],tProdutos[Produto],0)),"Não")</f>
        <v>Não</v>
      </c>
      <c r="O2952" t="str">
        <f>IFERROR(INDEX(tEditais[SRP],MATCH(tItens[[#This Row],[Edital]],tEditais[Edital],0)),"Não")</f>
        <v>Não</v>
      </c>
      <c r="P2952" s="4">
        <f>IF(COUNTIFS(INDEX(tItens[Edital],1):tItens[[#This Row],[Edital]],tItens[[#This Row],[Edital]],INDEX(tItens[Produto],1):tItens[[#This Row],[Produto]],tItens[[#This Row],[Produto]])=1,1,0)</f>
        <v>0</v>
      </c>
    </row>
    <row r="2953" spans="1:16" x14ac:dyDescent="0.25">
      <c r="A2953" t="s">
        <v>1377</v>
      </c>
      <c r="B2953">
        <v>53</v>
      </c>
      <c r="C2953" t="s">
        <v>5882</v>
      </c>
      <c r="D2953" t="s">
        <v>347</v>
      </c>
      <c r="E2953" s="13">
        <v>10</v>
      </c>
      <c r="F2953" s="12">
        <v>0</v>
      </c>
      <c r="G2953" t="str">
        <f>IFERROR(INDEX(tEditais[Órgão],MATCH(tItens[[#This Row],[Edital]],tEditais[Edital],0)),"")</f>
        <v>EMPRESA BRASILEIRA DE SERVICOS HOSPITALARES - EBSERH</v>
      </c>
      <c r="H2953" t="str">
        <f>IFERROR(INDEX(tEditais[UF],MATCH(tItens[[#This Row],[Edital]],tEditais[Edital],0)),"")</f>
        <v>MG</v>
      </c>
      <c r="I2953" s="11">
        <f>IFERROR(INDEX(tEditais[Encerramento],MATCH(tItens[[#This Row],[Edital]],tEditais[Edital],0)),"")</f>
        <v>46308.375</v>
      </c>
      <c r="J2953" t="str">
        <f>IFERROR(INDEX(tProdutos[Classe],MATCH(tItens[[#This Row],[Produto]],tProdutos[Produto],0)),"produto não cadastrado")</f>
        <v>FORA</v>
      </c>
      <c r="K2953" s="12">
        <f>tItens[[#This Row],[Qtd]]*tItens[[#This Row],[Vlr unit]]</f>
        <v>0</v>
      </c>
      <c r="L2953" s="6">
        <f>IFERROR(IF(INDEX(tProdutos[Desconto homologado],MATCH(tItens[[#This Row],[Produto]],tProdutos[Produto],0))="",DescontoPadrao,INDEX(tProdutos[Desconto homologado],MATCH(tItens[[#This Row],[Produto]],tProdutos[Produto],0))),DescontoPadrao)</f>
        <v>0.26356465005931201</v>
      </c>
      <c r="M2953" s="12">
        <f>tItens[[#This Row],[Valor]]*(1-tItens[[#This Row],[Desconto]])</f>
        <v>0</v>
      </c>
      <c r="N2953" t="str">
        <f>IFERROR(INDEX(tProdutos[Foco],MATCH(tItens[[#This Row],[Produto]],tProdutos[Produto],0)),"Não")</f>
        <v>Não</v>
      </c>
      <c r="O2953" t="str">
        <f>IFERROR(INDEX(tEditais[SRP],MATCH(tItens[[#This Row],[Edital]],tEditais[Edital],0)),"Não")</f>
        <v>Não</v>
      </c>
      <c r="P2953" s="4">
        <f>IF(COUNTIFS(INDEX(tItens[Edital],1):tItens[[#This Row],[Edital]],tItens[[#This Row],[Edital]],INDEX(tItens[Produto],1):tItens[[#This Row],[Produto]],tItens[[#This Row],[Produto]])=1,1,0)</f>
        <v>0</v>
      </c>
    </row>
    <row r="2954" spans="1:16" x14ac:dyDescent="0.25">
      <c r="A2954" t="s">
        <v>1377</v>
      </c>
      <c r="B2954">
        <v>54</v>
      </c>
      <c r="C2954" t="s">
        <v>5883</v>
      </c>
      <c r="D2954" t="s">
        <v>347</v>
      </c>
      <c r="E2954" s="13">
        <v>10</v>
      </c>
      <c r="F2954" s="12">
        <v>0</v>
      </c>
      <c r="G2954" t="str">
        <f>IFERROR(INDEX(tEditais[Órgão],MATCH(tItens[[#This Row],[Edital]],tEditais[Edital],0)),"")</f>
        <v>EMPRESA BRASILEIRA DE SERVICOS HOSPITALARES - EBSERH</v>
      </c>
      <c r="H2954" t="str">
        <f>IFERROR(INDEX(tEditais[UF],MATCH(tItens[[#This Row],[Edital]],tEditais[Edital],0)),"")</f>
        <v>MG</v>
      </c>
      <c r="I2954" s="11">
        <f>IFERROR(INDEX(tEditais[Encerramento],MATCH(tItens[[#This Row],[Edital]],tEditais[Edital],0)),"")</f>
        <v>46308.375</v>
      </c>
      <c r="J2954" t="str">
        <f>IFERROR(INDEX(tProdutos[Classe],MATCH(tItens[[#This Row],[Produto]],tProdutos[Produto],0)),"produto não cadastrado")</f>
        <v>FORA</v>
      </c>
      <c r="K2954" s="12">
        <f>tItens[[#This Row],[Qtd]]*tItens[[#This Row],[Vlr unit]]</f>
        <v>0</v>
      </c>
      <c r="L2954" s="6">
        <f>IFERROR(IF(INDEX(tProdutos[Desconto homologado],MATCH(tItens[[#This Row],[Produto]],tProdutos[Produto],0))="",DescontoPadrao,INDEX(tProdutos[Desconto homologado],MATCH(tItens[[#This Row],[Produto]],tProdutos[Produto],0))),DescontoPadrao)</f>
        <v>0.26356465005931201</v>
      </c>
      <c r="M2954" s="12">
        <f>tItens[[#This Row],[Valor]]*(1-tItens[[#This Row],[Desconto]])</f>
        <v>0</v>
      </c>
      <c r="N2954" t="str">
        <f>IFERROR(INDEX(tProdutos[Foco],MATCH(tItens[[#This Row],[Produto]],tProdutos[Produto],0)),"Não")</f>
        <v>Não</v>
      </c>
      <c r="O2954" t="str">
        <f>IFERROR(INDEX(tEditais[SRP],MATCH(tItens[[#This Row],[Edital]],tEditais[Edital],0)),"Não")</f>
        <v>Não</v>
      </c>
      <c r="P2954" s="4">
        <f>IF(COUNTIFS(INDEX(tItens[Edital],1):tItens[[#This Row],[Edital]],tItens[[#This Row],[Edital]],INDEX(tItens[Produto],1):tItens[[#This Row],[Produto]],tItens[[#This Row],[Produto]])=1,1,0)</f>
        <v>0</v>
      </c>
    </row>
    <row r="2955" spans="1:16" x14ac:dyDescent="0.25">
      <c r="A2955" t="s">
        <v>1377</v>
      </c>
      <c r="B2955">
        <v>55</v>
      </c>
      <c r="C2955" t="s">
        <v>5884</v>
      </c>
      <c r="D2955" t="s">
        <v>347</v>
      </c>
      <c r="E2955" s="13">
        <v>10</v>
      </c>
      <c r="F2955" s="12">
        <v>0</v>
      </c>
      <c r="G2955" t="str">
        <f>IFERROR(INDEX(tEditais[Órgão],MATCH(tItens[[#This Row],[Edital]],tEditais[Edital],0)),"")</f>
        <v>EMPRESA BRASILEIRA DE SERVICOS HOSPITALARES - EBSERH</v>
      </c>
      <c r="H2955" t="str">
        <f>IFERROR(INDEX(tEditais[UF],MATCH(tItens[[#This Row],[Edital]],tEditais[Edital],0)),"")</f>
        <v>MG</v>
      </c>
      <c r="I2955" s="11">
        <f>IFERROR(INDEX(tEditais[Encerramento],MATCH(tItens[[#This Row],[Edital]],tEditais[Edital],0)),"")</f>
        <v>46308.375</v>
      </c>
      <c r="J2955" t="str">
        <f>IFERROR(INDEX(tProdutos[Classe],MATCH(tItens[[#This Row],[Produto]],tProdutos[Produto],0)),"produto não cadastrado")</f>
        <v>FORA</v>
      </c>
      <c r="K2955" s="12">
        <f>tItens[[#This Row],[Qtd]]*tItens[[#This Row],[Vlr unit]]</f>
        <v>0</v>
      </c>
      <c r="L2955" s="6">
        <f>IFERROR(IF(INDEX(tProdutos[Desconto homologado],MATCH(tItens[[#This Row],[Produto]],tProdutos[Produto],0))="",DescontoPadrao,INDEX(tProdutos[Desconto homologado],MATCH(tItens[[#This Row],[Produto]],tProdutos[Produto],0))),DescontoPadrao)</f>
        <v>0.26356465005931201</v>
      </c>
      <c r="M2955" s="12">
        <f>tItens[[#This Row],[Valor]]*(1-tItens[[#This Row],[Desconto]])</f>
        <v>0</v>
      </c>
      <c r="N2955" t="str">
        <f>IFERROR(INDEX(tProdutos[Foco],MATCH(tItens[[#This Row],[Produto]],tProdutos[Produto],0)),"Não")</f>
        <v>Não</v>
      </c>
      <c r="O2955" t="str">
        <f>IFERROR(INDEX(tEditais[SRP],MATCH(tItens[[#This Row],[Edital]],tEditais[Edital],0)),"Não")</f>
        <v>Não</v>
      </c>
      <c r="P2955" s="4">
        <f>IF(COUNTIFS(INDEX(tItens[Edital],1):tItens[[#This Row],[Edital]],tItens[[#This Row],[Edital]],INDEX(tItens[Produto],1):tItens[[#This Row],[Produto]],tItens[[#This Row],[Produto]])=1,1,0)</f>
        <v>0</v>
      </c>
    </row>
    <row r="2956" spans="1:16" x14ac:dyDescent="0.25">
      <c r="A2956" t="s">
        <v>1377</v>
      </c>
      <c r="B2956">
        <v>56</v>
      </c>
      <c r="C2956" t="s">
        <v>5885</v>
      </c>
      <c r="D2956" t="s">
        <v>347</v>
      </c>
      <c r="E2956" s="13">
        <v>440</v>
      </c>
      <c r="F2956" s="12">
        <v>0</v>
      </c>
      <c r="G2956" t="str">
        <f>IFERROR(INDEX(tEditais[Órgão],MATCH(tItens[[#This Row],[Edital]],tEditais[Edital],0)),"")</f>
        <v>EMPRESA BRASILEIRA DE SERVICOS HOSPITALARES - EBSERH</v>
      </c>
      <c r="H2956" t="str">
        <f>IFERROR(INDEX(tEditais[UF],MATCH(tItens[[#This Row],[Edital]],tEditais[Edital],0)),"")</f>
        <v>MG</v>
      </c>
      <c r="I2956" s="11">
        <f>IFERROR(INDEX(tEditais[Encerramento],MATCH(tItens[[#This Row],[Edital]],tEditais[Edital],0)),"")</f>
        <v>46308.375</v>
      </c>
      <c r="J2956" t="str">
        <f>IFERROR(INDEX(tProdutos[Classe],MATCH(tItens[[#This Row],[Produto]],tProdutos[Produto],0)),"produto não cadastrado")</f>
        <v>FORA</v>
      </c>
      <c r="K2956" s="12">
        <f>tItens[[#This Row],[Qtd]]*tItens[[#This Row],[Vlr unit]]</f>
        <v>0</v>
      </c>
      <c r="L2956" s="6">
        <f>IFERROR(IF(INDEX(tProdutos[Desconto homologado],MATCH(tItens[[#This Row],[Produto]],tProdutos[Produto],0))="",DescontoPadrao,INDEX(tProdutos[Desconto homologado],MATCH(tItens[[#This Row],[Produto]],tProdutos[Produto],0))),DescontoPadrao)</f>
        <v>0.26356465005931201</v>
      </c>
      <c r="M2956" s="12">
        <f>tItens[[#This Row],[Valor]]*(1-tItens[[#This Row],[Desconto]])</f>
        <v>0</v>
      </c>
      <c r="N2956" t="str">
        <f>IFERROR(INDEX(tProdutos[Foco],MATCH(tItens[[#This Row],[Produto]],tProdutos[Produto],0)),"Não")</f>
        <v>Não</v>
      </c>
      <c r="O2956" t="str">
        <f>IFERROR(INDEX(tEditais[SRP],MATCH(tItens[[#This Row],[Edital]],tEditais[Edital],0)),"Não")</f>
        <v>Não</v>
      </c>
      <c r="P2956" s="4">
        <f>IF(COUNTIFS(INDEX(tItens[Edital],1):tItens[[#This Row],[Edital]],tItens[[#This Row],[Edital]],INDEX(tItens[Produto],1):tItens[[#This Row],[Produto]],tItens[[#This Row],[Produto]])=1,1,0)</f>
        <v>0</v>
      </c>
    </row>
    <row r="2957" spans="1:16" x14ac:dyDescent="0.25">
      <c r="A2957" t="s">
        <v>1377</v>
      </c>
      <c r="B2957">
        <v>57</v>
      </c>
      <c r="C2957" t="s">
        <v>5886</v>
      </c>
      <c r="D2957" t="s">
        <v>347</v>
      </c>
      <c r="E2957" s="13">
        <v>100</v>
      </c>
      <c r="F2957" s="12">
        <v>0</v>
      </c>
      <c r="G2957" t="str">
        <f>IFERROR(INDEX(tEditais[Órgão],MATCH(tItens[[#This Row],[Edital]],tEditais[Edital],0)),"")</f>
        <v>EMPRESA BRASILEIRA DE SERVICOS HOSPITALARES - EBSERH</v>
      </c>
      <c r="H2957" t="str">
        <f>IFERROR(INDEX(tEditais[UF],MATCH(tItens[[#This Row],[Edital]],tEditais[Edital],0)),"")</f>
        <v>MG</v>
      </c>
      <c r="I2957" s="11">
        <f>IFERROR(INDEX(tEditais[Encerramento],MATCH(tItens[[#This Row],[Edital]],tEditais[Edital],0)),"")</f>
        <v>46308.375</v>
      </c>
      <c r="J2957" t="str">
        <f>IFERROR(INDEX(tProdutos[Classe],MATCH(tItens[[#This Row],[Produto]],tProdutos[Produto],0)),"produto não cadastrado")</f>
        <v>FORA</v>
      </c>
      <c r="K2957" s="12">
        <f>tItens[[#This Row],[Qtd]]*tItens[[#This Row],[Vlr unit]]</f>
        <v>0</v>
      </c>
      <c r="L2957" s="6">
        <f>IFERROR(IF(INDEX(tProdutos[Desconto homologado],MATCH(tItens[[#This Row],[Produto]],tProdutos[Produto],0))="",DescontoPadrao,INDEX(tProdutos[Desconto homologado],MATCH(tItens[[#This Row],[Produto]],tProdutos[Produto],0))),DescontoPadrao)</f>
        <v>0.26356465005931201</v>
      </c>
      <c r="M2957" s="12">
        <f>tItens[[#This Row],[Valor]]*(1-tItens[[#This Row],[Desconto]])</f>
        <v>0</v>
      </c>
      <c r="N2957" t="str">
        <f>IFERROR(INDEX(tProdutos[Foco],MATCH(tItens[[#This Row],[Produto]],tProdutos[Produto],0)),"Não")</f>
        <v>Não</v>
      </c>
      <c r="O2957" t="str">
        <f>IFERROR(INDEX(tEditais[SRP],MATCH(tItens[[#This Row],[Edital]],tEditais[Edital],0)),"Não")</f>
        <v>Não</v>
      </c>
      <c r="P2957" s="4">
        <f>IF(COUNTIFS(INDEX(tItens[Edital],1):tItens[[#This Row],[Edital]],tItens[[#This Row],[Edital]],INDEX(tItens[Produto],1):tItens[[#This Row],[Produto]],tItens[[#This Row],[Produto]])=1,1,0)</f>
        <v>0</v>
      </c>
    </row>
    <row r="2958" spans="1:16" x14ac:dyDescent="0.25">
      <c r="A2958" t="s">
        <v>1377</v>
      </c>
      <c r="B2958">
        <v>58</v>
      </c>
      <c r="C2958" t="s">
        <v>5887</v>
      </c>
      <c r="D2958" t="s">
        <v>347</v>
      </c>
      <c r="E2958" s="13">
        <v>150</v>
      </c>
      <c r="F2958" s="12">
        <v>0</v>
      </c>
      <c r="G2958" t="str">
        <f>IFERROR(INDEX(tEditais[Órgão],MATCH(tItens[[#This Row],[Edital]],tEditais[Edital],0)),"")</f>
        <v>EMPRESA BRASILEIRA DE SERVICOS HOSPITALARES - EBSERH</v>
      </c>
      <c r="H2958" t="str">
        <f>IFERROR(INDEX(tEditais[UF],MATCH(tItens[[#This Row],[Edital]],tEditais[Edital],0)),"")</f>
        <v>MG</v>
      </c>
      <c r="I2958" s="11">
        <f>IFERROR(INDEX(tEditais[Encerramento],MATCH(tItens[[#This Row],[Edital]],tEditais[Edital],0)),"")</f>
        <v>46308.375</v>
      </c>
      <c r="J2958" t="str">
        <f>IFERROR(INDEX(tProdutos[Classe],MATCH(tItens[[#This Row],[Produto]],tProdutos[Produto],0)),"produto não cadastrado")</f>
        <v>FORA</v>
      </c>
      <c r="K2958" s="12">
        <f>tItens[[#This Row],[Qtd]]*tItens[[#This Row],[Vlr unit]]</f>
        <v>0</v>
      </c>
      <c r="L2958" s="6">
        <f>IFERROR(IF(INDEX(tProdutos[Desconto homologado],MATCH(tItens[[#This Row],[Produto]],tProdutos[Produto],0))="",DescontoPadrao,INDEX(tProdutos[Desconto homologado],MATCH(tItens[[#This Row],[Produto]],tProdutos[Produto],0))),DescontoPadrao)</f>
        <v>0.26356465005931201</v>
      </c>
      <c r="M2958" s="12">
        <f>tItens[[#This Row],[Valor]]*(1-tItens[[#This Row],[Desconto]])</f>
        <v>0</v>
      </c>
      <c r="N2958" t="str">
        <f>IFERROR(INDEX(tProdutos[Foco],MATCH(tItens[[#This Row],[Produto]],tProdutos[Produto],0)),"Não")</f>
        <v>Não</v>
      </c>
      <c r="O2958" t="str">
        <f>IFERROR(INDEX(tEditais[SRP],MATCH(tItens[[#This Row],[Edital]],tEditais[Edital],0)),"Não")</f>
        <v>Não</v>
      </c>
      <c r="P2958" s="4">
        <f>IF(COUNTIFS(INDEX(tItens[Edital],1):tItens[[#This Row],[Edital]],tItens[[#This Row],[Edital]],INDEX(tItens[Produto],1):tItens[[#This Row],[Produto]],tItens[[#This Row],[Produto]])=1,1,0)</f>
        <v>0</v>
      </c>
    </row>
    <row r="2959" spans="1:16" x14ac:dyDescent="0.25">
      <c r="A2959" t="s">
        <v>1377</v>
      </c>
      <c r="B2959">
        <v>59</v>
      </c>
      <c r="C2959" t="s">
        <v>4114</v>
      </c>
      <c r="D2959" t="s">
        <v>347</v>
      </c>
      <c r="E2959" s="13">
        <v>290</v>
      </c>
      <c r="F2959" s="12">
        <v>0</v>
      </c>
      <c r="G2959" t="str">
        <f>IFERROR(INDEX(tEditais[Órgão],MATCH(tItens[[#This Row],[Edital]],tEditais[Edital],0)),"")</f>
        <v>EMPRESA BRASILEIRA DE SERVICOS HOSPITALARES - EBSERH</v>
      </c>
      <c r="H2959" t="str">
        <f>IFERROR(INDEX(tEditais[UF],MATCH(tItens[[#This Row],[Edital]],tEditais[Edital],0)),"")</f>
        <v>MG</v>
      </c>
      <c r="I2959" s="11">
        <f>IFERROR(INDEX(tEditais[Encerramento],MATCH(tItens[[#This Row],[Edital]],tEditais[Edital],0)),"")</f>
        <v>46308.375</v>
      </c>
      <c r="J2959" t="str">
        <f>IFERROR(INDEX(tProdutos[Classe],MATCH(tItens[[#This Row],[Produto]],tProdutos[Produto],0)),"produto não cadastrado")</f>
        <v>FORA</v>
      </c>
      <c r="K2959" s="12">
        <f>tItens[[#This Row],[Qtd]]*tItens[[#This Row],[Vlr unit]]</f>
        <v>0</v>
      </c>
      <c r="L2959" s="6">
        <f>IFERROR(IF(INDEX(tProdutos[Desconto homologado],MATCH(tItens[[#This Row],[Produto]],tProdutos[Produto],0))="",DescontoPadrao,INDEX(tProdutos[Desconto homologado],MATCH(tItens[[#This Row],[Produto]],tProdutos[Produto],0))),DescontoPadrao)</f>
        <v>0.26356465005931201</v>
      </c>
      <c r="M2959" s="12">
        <f>tItens[[#This Row],[Valor]]*(1-tItens[[#This Row],[Desconto]])</f>
        <v>0</v>
      </c>
      <c r="N2959" t="str">
        <f>IFERROR(INDEX(tProdutos[Foco],MATCH(tItens[[#This Row],[Produto]],tProdutos[Produto],0)),"Não")</f>
        <v>Não</v>
      </c>
      <c r="O2959" t="str">
        <f>IFERROR(INDEX(tEditais[SRP],MATCH(tItens[[#This Row],[Edital]],tEditais[Edital],0)),"Não")</f>
        <v>Não</v>
      </c>
      <c r="P2959" s="4">
        <f>IF(COUNTIFS(INDEX(tItens[Edital],1):tItens[[#This Row],[Edital]],tItens[[#This Row],[Edital]],INDEX(tItens[Produto],1):tItens[[#This Row],[Produto]],tItens[[#This Row],[Produto]])=1,1,0)</f>
        <v>0</v>
      </c>
    </row>
    <row r="2960" spans="1:16" x14ac:dyDescent="0.25">
      <c r="A2960" t="s">
        <v>1380</v>
      </c>
      <c r="B2960">
        <v>22</v>
      </c>
      <c r="C2960" t="s">
        <v>5888</v>
      </c>
      <c r="D2960" t="s">
        <v>267</v>
      </c>
      <c r="E2960" s="13">
        <v>100</v>
      </c>
      <c r="F2960" s="12">
        <v>19.329999999999998</v>
      </c>
      <c r="G2960" t="str">
        <f>IFERROR(INDEX(tEditais[Órgão],MATCH(tItens[[#This Row],[Edital]],tEditais[Edital],0)),"")</f>
        <v>MUNICIPIO DE LUISBURGO</v>
      </c>
      <c r="H2960" t="str">
        <f>IFERROR(INDEX(tEditais[UF],MATCH(tItens[[#This Row],[Edital]],tEditais[Edital],0)),"")</f>
        <v>MG</v>
      </c>
      <c r="I2960" s="11">
        <f>IFERROR(INDEX(tEditais[Encerramento],MATCH(tItens[[#This Row],[Edital]],tEditais[Edital],0)),"")</f>
        <v>46308.375</v>
      </c>
      <c r="J2960" t="str">
        <f>IFERROR(INDEX(tProdutos[Classe],MATCH(tItens[[#This Row],[Produto]],tProdutos[Produto],0)),"produto não cadastrado")</f>
        <v>FORA</v>
      </c>
      <c r="K2960" s="12">
        <f>tItens[[#This Row],[Qtd]]*tItens[[#This Row],[Vlr unit]]</f>
        <v>1932.9999999999998</v>
      </c>
      <c r="L2960" s="6">
        <f>IFERROR(IF(INDEX(tProdutos[Desconto homologado],MATCH(tItens[[#This Row],[Produto]],tProdutos[Produto],0))="",DescontoPadrao,INDEX(tProdutos[Desconto homologado],MATCH(tItens[[#This Row],[Produto]],tProdutos[Produto],0))),DescontoPadrao)</f>
        <v>0.19963672657401599</v>
      </c>
      <c r="M2960" s="12">
        <f>tItens[[#This Row],[Valor]]*(1-tItens[[#This Row],[Desconto]])</f>
        <v>1547.102207532427</v>
      </c>
      <c r="N2960" t="str">
        <f>IFERROR(INDEX(tProdutos[Foco],MATCH(tItens[[#This Row],[Produto]],tProdutos[Produto],0)),"Não")</f>
        <v>Não</v>
      </c>
      <c r="O2960" t="str">
        <f>IFERROR(INDEX(tEditais[SRP],MATCH(tItens[[#This Row],[Edital]],tEditais[Edital],0)),"Não")</f>
        <v>Sim</v>
      </c>
      <c r="P2960" s="4">
        <f>IF(COUNTIFS(INDEX(tItens[Edital],1):tItens[[#This Row],[Edital]],tItens[[#This Row],[Edital]],INDEX(tItens[Produto],1):tItens[[#This Row],[Produto]],tItens[[#This Row],[Produto]])=1,1,0)</f>
        <v>1</v>
      </c>
    </row>
    <row r="2961" spans="1:16" x14ac:dyDescent="0.25">
      <c r="A2961" t="s">
        <v>1385</v>
      </c>
      <c r="B2961">
        <v>8006761</v>
      </c>
      <c r="C2961" t="s">
        <v>5889</v>
      </c>
      <c r="D2961" t="s">
        <v>315</v>
      </c>
      <c r="E2961" s="13">
        <v>3000</v>
      </c>
      <c r="F2961" s="12">
        <v>15.82</v>
      </c>
      <c r="G2961" t="str">
        <f>IFERROR(INDEX(tEditais[Órgão],MATCH(tItens[[#This Row],[Edital]],tEditais[Edital],0)),"")</f>
        <v>FUNDACAO HOSPITALAR MUNICIPAL JOAO HENRIQUE</v>
      </c>
      <c r="H2961" t="str">
        <f>IFERROR(INDEX(tEditais[UF],MATCH(tItens[[#This Row],[Edital]],tEditais[Edital],0)),"")</f>
        <v>MG</v>
      </c>
      <c r="I2961" s="11">
        <f>IFERROR(INDEX(tEditais[Encerramento],MATCH(tItens[[#This Row],[Edital]],tEditais[Edital],0)),"")</f>
        <v>46308.375</v>
      </c>
      <c r="J2961" t="str">
        <f>IFERROR(INDEX(tProdutos[Classe],MATCH(tItens[[#This Row],[Produto]],tProdutos[Produto],0)),"produto não cadastrado")</f>
        <v>FORA</v>
      </c>
      <c r="K2961" s="12">
        <f>tItens[[#This Row],[Qtd]]*tItens[[#This Row],[Vlr unit]]</f>
        <v>47460</v>
      </c>
      <c r="L2961" s="6">
        <f>IFERROR(IF(INDEX(tProdutos[Desconto homologado],MATCH(tItens[[#This Row],[Produto]],tProdutos[Produto],0))="",DescontoPadrao,INDEX(tProdutos[Desconto homologado],MATCH(tItens[[#This Row],[Produto]],tProdutos[Produto],0))),DescontoPadrao)</f>
        <v>0.38432036097010702</v>
      </c>
      <c r="M2961" s="12">
        <f>tItens[[#This Row],[Valor]]*(1-tItens[[#This Row],[Desconto]])</f>
        <v>29220.155668358722</v>
      </c>
      <c r="N2961" t="str">
        <f>IFERROR(INDEX(tProdutos[Foco],MATCH(tItens[[#This Row],[Produto]],tProdutos[Produto],0)),"Não")</f>
        <v>Não</v>
      </c>
      <c r="O2961" t="str">
        <f>IFERROR(INDEX(tEditais[SRP],MATCH(tItens[[#This Row],[Edital]],tEditais[Edital],0)),"Não")</f>
        <v>Não</v>
      </c>
      <c r="P2961" s="4">
        <f>IF(COUNTIFS(INDEX(tItens[Edital],1):tItens[[#This Row],[Edital]],tItens[[#This Row],[Edital]],INDEX(tItens[Produto],1):tItens[[#This Row],[Produto]],tItens[[#This Row],[Produto]])=1,1,0)</f>
        <v>1</v>
      </c>
    </row>
    <row r="2962" spans="1:16" x14ac:dyDescent="0.25">
      <c r="A2962" t="s">
        <v>1385</v>
      </c>
      <c r="B2962">
        <v>8006762</v>
      </c>
      <c r="C2962" t="s">
        <v>5890</v>
      </c>
      <c r="D2962" t="s">
        <v>315</v>
      </c>
      <c r="E2962" s="13">
        <v>2000</v>
      </c>
      <c r="F2962" s="12">
        <v>17.12</v>
      </c>
      <c r="G2962" t="str">
        <f>IFERROR(INDEX(tEditais[Órgão],MATCH(tItens[[#This Row],[Edital]],tEditais[Edital],0)),"")</f>
        <v>FUNDACAO HOSPITALAR MUNICIPAL JOAO HENRIQUE</v>
      </c>
      <c r="H2962" t="str">
        <f>IFERROR(INDEX(tEditais[UF],MATCH(tItens[[#This Row],[Edital]],tEditais[Edital],0)),"")</f>
        <v>MG</v>
      </c>
      <c r="I2962" s="11">
        <f>IFERROR(INDEX(tEditais[Encerramento],MATCH(tItens[[#This Row],[Edital]],tEditais[Edital],0)),"")</f>
        <v>46308.375</v>
      </c>
      <c r="J2962" t="str">
        <f>IFERROR(INDEX(tProdutos[Classe],MATCH(tItens[[#This Row],[Produto]],tProdutos[Produto],0)),"produto não cadastrado")</f>
        <v>FORA</v>
      </c>
      <c r="K2962" s="12">
        <f>tItens[[#This Row],[Qtd]]*tItens[[#This Row],[Vlr unit]]</f>
        <v>34240</v>
      </c>
      <c r="L2962" s="6">
        <f>IFERROR(IF(INDEX(tProdutos[Desconto homologado],MATCH(tItens[[#This Row],[Produto]],tProdutos[Produto],0))="",DescontoPadrao,INDEX(tProdutos[Desconto homologado],MATCH(tItens[[#This Row],[Produto]],tProdutos[Produto],0))),DescontoPadrao)</f>
        <v>0.38432036097010702</v>
      </c>
      <c r="M2962" s="12">
        <f>tItens[[#This Row],[Valor]]*(1-tItens[[#This Row],[Desconto]])</f>
        <v>21080.870840383537</v>
      </c>
      <c r="N2962" t="str">
        <f>IFERROR(INDEX(tProdutos[Foco],MATCH(tItens[[#This Row],[Produto]],tProdutos[Produto],0)),"Não")</f>
        <v>Não</v>
      </c>
      <c r="O2962" t="str">
        <f>IFERROR(INDEX(tEditais[SRP],MATCH(tItens[[#This Row],[Edital]],tEditais[Edital],0)),"Não")</f>
        <v>Não</v>
      </c>
      <c r="P2962" s="4">
        <f>IF(COUNTIFS(INDEX(tItens[Edital],1):tItens[[#This Row],[Edital]],tItens[[#This Row],[Edital]],INDEX(tItens[Produto],1):tItens[[#This Row],[Produto]],tItens[[#This Row],[Produto]])=1,1,0)</f>
        <v>0</v>
      </c>
    </row>
    <row r="2963" spans="1:16" x14ac:dyDescent="0.25">
      <c r="A2963" t="s">
        <v>1385</v>
      </c>
      <c r="B2963">
        <v>8006763</v>
      </c>
      <c r="C2963" t="s">
        <v>5891</v>
      </c>
      <c r="D2963" t="s">
        <v>315</v>
      </c>
      <c r="E2963" s="13">
        <v>4000</v>
      </c>
      <c r="F2963" s="12">
        <v>16.14</v>
      </c>
      <c r="G2963" t="str">
        <f>IFERROR(INDEX(tEditais[Órgão],MATCH(tItens[[#This Row],[Edital]],tEditais[Edital],0)),"")</f>
        <v>FUNDACAO HOSPITALAR MUNICIPAL JOAO HENRIQUE</v>
      </c>
      <c r="H2963" t="str">
        <f>IFERROR(INDEX(tEditais[UF],MATCH(tItens[[#This Row],[Edital]],tEditais[Edital],0)),"")</f>
        <v>MG</v>
      </c>
      <c r="I2963" s="11">
        <f>IFERROR(INDEX(tEditais[Encerramento],MATCH(tItens[[#This Row],[Edital]],tEditais[Edital],0)),"")</f>
        <v>46308.375</v>
      </c>
      <c r="J2963" t="str">
        <f>IFERROR(INDEX(tProdutos[Classe],MATCH(tItens[[#This Row],[Produto]],tProdutos[Produto],0)),"produto não cadastrado")</f>
        <v>FORA</v>
      </c>
      <c r="K2963" s="12">
        <f>tItens[[#This Row],[Qtd]]*tItens[[#This Row],[Vlr unit]]</f>
        <v>64560</v>
      </c>
      <c r="L2963" s="6">
        <f>IFERROR(IF(INDEX(tProdutos[Desconto homologado],MATCH(tItens[[#This Row],[Produto]],tProdutos[Produto],0))="",DescontoPadrao,INDEX(tProdutos[Desconto homologado],MATCH(tItens[[#This Row],[Produto]],tProdutos[Produto],0))),DescontoPadrao)</f>
        <v>0.38432036097010702</v>
      </c>
      <c r="M2963" s="12">
        <f>tItens[[#This Row],[Valor]]*(1-tItens[[#This Row],[Desconto]])</f>
        <v>39748.277495769893</v>
      </c>
      <c r="N2963" t="str">
        <f>IFERROR(INDEX(tProdutos[Foco],MATCH(tItens[[#This Row],[Produto]],tProdutos[Produto],0)),"Não")</f>
        <v>Não</v>
      </c>
      <c r="O2963" t="str">
        <f>IFERROR(INDEX(tEditais[SRP],MATCH(tItens[[#This Row],[Edital]],tEditais[Edital],0)),"Não")</f>
        <v>Não</v>
      </c>
      <c r="P2963" s="4">
        <f>IF(COUNTIFS(INDEX(tItens[Edital],1):tItens[[#This Row],[Edital]],tItens[[#This Row],[Edital]],INDEX(tItens[Produto],1):tItens[[#This Row],[Produto]],tItens[[#This Row],[Produto]])=1,1,0)</f>
        <v>0</v>
      </c>
    </row>
    <row r="2964" spans="1:16" x14ac:dyDescent="0.25">
      <c r="A2964" t="s">
        <v>1385</v>
      </c>
      <c r="B2964">
        <v>8006764</v>
      </c>
      <c r="C2964" t="s">
        <v>5892</v>
      </c>
      <c r="D2964" t="s">
        <v>315</v>
      </c>
      <c r="E2964" s="13">
        <v>6000</v>
      </c>
      <c r="F2964" s="12">
        <v>16.14</v>
      </c>
      <c r="G2964" t="str">
        <f>IFERROR(INDEX(tEditais[Órgão],MATCH(tItens[[#This Row],[Edital]],tEditais[Edital],0)),"")</f>
        <v>FUNDACAO HOSPITALAR MUNICIPAL JOAO HENRIQUE</v>
      </c>
      <c r="H2964" t="str">
        <f>IFERROR(INDEX(tEditais[UF],MATCH(tItens[[#This Row],[Edital]],tEditais[Edital],0)),"")</f>
        <v>MG</v>
      </c>
      <c r="I2964" s="11">
        <f>IFERROR(INDEX(tEditais[Encerramento],MATCH(tItens[[#This Row],[Edital]],tEditais[Edital],0)),"")</f>
        <v>46308.375</v>
      </c>
      <c r="J2964" t="str">
        <f>IFERROR(INDEX(tProdutos[Classe],MATCH(tItens[[#This Row],[Produto]],tProdutos[Produto],0)),"produto não cadastrado")</f>
        <v>FORA</v>
      </c>
      <c r="K2964" s="12">
        <f>tItens[[#This Row],[Qtd]]*tItens[[#This Row],[Vlr unit]]</f>
        <v>96840</v>
      </c>
      <c r="L2964" s="6">
        <f>IFERROR(IF(INDEX(tProdutos[Desconto homologado],MATCH(tItens[[#This Row],[Produto]],tProdutos[Produto],0))="",DescontoPadrao,INDEX(tProdutos[Desconto homologado],MATCH(tItens[[#This Row],[Produto]],tProdutos[Produto],0))),DescontoPadrao)</f>
        <v>0.38432036097010702</v>
      </c>
      <c r="M2964" s="12">
        <f>tItens[[#This Row],[Valor]]*(1-tItens[[#This Row],[Desconto]])</f>
        <v>59622.416243654836</v>
      </c>
      <c r="N2964" t="str">
        <f>IFERROR(INDEX(tProdutos[Foco],MATCH(tItens[[#This Row],[Produto]],tProdutos[Produto],0)),"Não")</f>
        <v>Não</v>
      </c>
      <c r="O2964" t="str">
        <f>IFERROR(INDEX(tEditais[SRP],MATCH(tItens[[#This Row],[Edital]],tEditais[Edital],0)),"Não")</f>
        <v>Não</v>
      </c>
      <c r="P2964" s="4">
        <f>IF(COUNTIFS(INDEX(tItens[Edital],1):tItens[[#This Row],[Edital]],tItens[[#This Row],[Edital]],INDEX(tItens[Produto],1):tItens[[#This Row],[Produto]],tItens[[#This Row],[Produto]])=1,1,0)</f>
        <v>0</v>
      </c>
    </row>
    <row r="2965" spans="1:16" x14ac:dyDescent="0.25">
      <c r="A2965" t="s">
        <v>1385</v>
      </c>
      <c r="B2965">
        <v>8006765</v>
      </c>
      <c r="C2965" t="s">
        <v>5893</v>
      </c>
      <c r="D2965" t="s">
        <v>315</v>
      </c>
      <c r="E2965" s="13">
        <v>200</v>
      </c>
      <c r="F2965" s="12">
        <v>16.02</v>
      </c>
      <c r="G2965" t="str">
        <f>IFERROR(INDEX(tEditais[Órgão],MATCH(tItens[[#This Row],[Edital]],tEditais[Edital],0)),"")</f>
        <v>FUNDACAO HOSPITALAR MUNICIPAL JOAO HENRIQUE</v>
      </c>
      <c r="H2965" t="str">
        <f>IFERROR(INDEX(tEditais[UF],MATCH(tItens[[#This Row],[Edital]],tEditais[Edital],0)),"")</f>
        <v>MG</v>
      </c>
      <c r="I2965" s="11">
        <f>IFERROR(INDEX(tEditais[Encerramento],MATCH(tItens[[#This Row],[Edital]],tEditais[Edital],0)),"")</f>
        <v>46308.375</v>
      </c>
      <c r="J2965" t="str">
        <f>IFERROR(INDEX(tProdutos[Classe],MATCH(tItens[[#This Row],[Produto]],tProdutos[Produto],0)),"produto não cadastrado")</f>
        <v>FORA</v>
      </c>
      <c r="K2965" s="12">
        <f>tItens[[#This Row],[Qtd]]*tItens[[#This Row],[Vlr unit]]</f>
        <v>3204</v>
      </c>
      <c r="L2965" s="6">
        <f>IFERROR(IF(INDEX(tProdutos[Desconto homologado],MATCH(tItens[[#This Row],[Produto]],tProdutos[Produto],0))="",DescontoPadrao,INDEX(tProdutos[Desconto homologado],MATCH(tItens[[#This Row],[Produto]],tProdutos[Produto],0))),DescontoPadrao)</f>
        <v>0.38432036097010702</v>
      </c>
      <c r="M2965" s="12">
        <f>tItens[[#This Row],[Valor]]*(1-tItens[[#This Row],[Desconto]])</f>
        <v>1972.6375634517772</v>
      </c>
      <c r="N2965" t="str">
        <f>IFERROR(INDEX(tProdutos[Foco],MATCH(tItens[[#This Row],[Produto]],tProdutos[Produto],0)),"Não")</f>
        <v>Não</v>
      </c>
      <c r="O2965" t="str">
        <f>IFERROR(INDEX(tEditais[SRP],MATCH(tItens[[#This Row],[Edital]],tEditais[Edital],0)),"Não")</f>
        <v>Não</v>
      </c>
      <c r="P2965" s="4">
        <f>IF(COUNTIFS(INDEX(tItens[Edital],1):tItens[[#This Row],[Edital]],tItens[[#This Row],[Edital]],INDEX(tItens[Produto],1):tItens[[#This Row],[Produto]],tItens[[#This Row],[Produto]])=1,1,0)</f>
        <v>0</v>
      </c>
    </row>
    <row r="2966" spans="1:16" x14ac:dyDescent="0.25">
      <c r="A2966" t="s">
        <v>1385</v>
      </c>
      <c r="B2966">
        <v>8006766</v>
      </c>
      <c r="C2966" t="s">
        <v>5894</v>
      </c>
      <c r="D2966" t="s">
        <v>315</v>
      </c>
      <c r="E2966" s="13">
        <v>6000</v>
      </c>
      <c r="F2966" s="12">
        <v>16.079999999999998</v>
      </c>
      <c r="G2966" t="str">
        <f>IFERROR(INDEX(tEditais[Órgão],MATCH(tItens[[#This Row],[Edital]],tEditais[Edital],0)),"")</f>
        <v>FUNDACAO HOSPITALAR MUNICIPAL JOAO HENRIQUE</v>
      </c>
      <c r="H2966" t="str">
        <f>IFERROR(INDEX(tEditais[UF],MATCH(tItens[[#This Row],[Edital]],tEditais[Edital],0)),"")</f>
        <v>MG</v>
      </c>
      <c r="I2966" s="11">
        <f>IFERROR(INDEX(tEditais[Encerramento],MATCH(tItens[[#This Row],[Edital]],tEditais[Edital],0)),"")</f>
        <v>46308.375</v>
      </c>
      <c r="J2966" t="str">
        <f>IFERROR(INDEX(tProdutos[Classe],MATCH(tItens[[#This Row],[Produto]],tProdutos[Produto],0)),"produto não cadastrado")</f>
        <v>FORA</v>
      </c>
      <c r="K2966" s="12">
        <f>tItens[[#This Row],[Qtd]]*tItens[[#This Row],[Vlr unit]]</f>
        <v>96479.999999999985</v>
      </c>
      <c r="L2966" s="6">
        <f>IFERROR(IF(INDEX(tProdutos[Desconto homologado],MATCH(tItens[[#This Row],[Produto]],tProdutos[Produto],0))="",DescontoPadrao,INDEX(tProdutos[Desconto homologado],MATCH(tItens[[#This Row],[Produto]],tProdutos[Produto],0))),DescontoPadrao)</f>
        <v>0.38432036097010702</v>
      </c>
      <c r="M2966" s="12">
        <f>tItens[[#This Row],[Valor]]*(1-tItens[[#This Row],[Desconto]])</f>
        <v>59400.771573604063</v>
      </c>
      <c r="N2966" t="str">
        <f>IFERROR(INDEX(tProdutos[Foco],MATCH(tItens[[#This Row],[Produto]],tProdutos[Produto],0)),"Não")</f>
        <v>Não</v>
      </c>
      <c r="O2966" t="str">
        <f>IFERROR(INDEX(tEditais[SRP],MATCH(tItens[[#This Row],[Edital]],tEditais[Edital],0)),"Não")</f>
        <v>Não</v>
      </c>
      <c r="P2966" s="4">
        <f>IF(COUNTIFS(INDEX(tItens[Edital],1):tItens[[#This Row],[Edital]],tItens[[#This Row],[Edital]],INDEX(tItens[Produto],1):tItens[[#This Row],[Produto]],tItens[[#This Row],[Produto]])=1,1,0)</f>
        <v>0</v>
      </c>
    </row>
    <row r="2967" spans="1:16" x14ac:dyDescent="0.25">
      <c r="A2967" t="s">
        <v>1385</v>
      </c>
      <c r="B2967">
        <v>8006767</v>
      </c>
      <c r="C2967" t="s">
        <v>5895</v>
      </c>
      <c r="D2967" t="s">
        <v>152</v>
      </c>
      <c r="E2967" s="13">
        <v>200</v>
      </c>
      <c r="F2967" s="12">
        <v>126.92</v>
      </c>
      <c r="G2967" t="str">
        <f>IFERROR(INDEX(tEditais[Órgão],MATCH(tItens[[#This Row],[Edital]],tEditais[Edital],0)),"")</f>
        <v>FUNDACAO HOSPITALAR MUNICIPAL JOAO HENRIQUE</v>
      </c>
      <c r="H2967" t="str">
        <f>IFERROR(INDEX(tEditais[UF],MATCH(tItens[[#This Row],[Edital]],tEditais[Edital],0)),"")</f>
        <v>MG</v>
      </c>
      <c r="I2967" s="11">
        <f>IFERROR(INDEX(tEditais[Encerramento],MATCH(tItens[[#This Row],[Edital]],tEditais[Edital],0)),"")</f>
        <v>46308.375</v>
      </c>
      <c r="J2967" t="str">
        <f>IFERROR(INDEX(tProdutos[Classe],MATCH(tItens[[#This Row],[Produto]],tProdutos[Produto],0)),"produto não cadastrado")</f>
        <v>DISPUTADO</v>
      </c>
      <c r="K2967" s="12">
        <f>tItens[[#This Row],[Qtd]]*tItens[[#This Row],[Vlr unit]]</f>
        <v>25384</v>
      </c>
      <c r="L2967" s="6">
        <f>IFERROR(IF(INDEX(tProdutos[Desconto homologado],MATCH(tItens[[#This Row],[Produto]],tProdutos[Produto],0))="",DescontoPadrao,INDEX(tProdutos[Desconto homologado],MATCH(tItens[[#This Row],[Produto]],tProdutos[Produto],0))),DescontoPadrao)</f>
        <v>0.33154310923563801</v>
      </c>
      <c r="M2967" s="12">
        <f>tItens[[#This Row],[Valor]]*(1-tItens[[#This Row],[Desconto]])</f>
        <v>16968.109715162565</v>
      </c>
      <c r="N2967" t="str">
        <f>IFERROR(INDEX(tProdutos[Foco],MATCH(tItens[[#This Row],[Produto]],tProdutos[Produto],0)),"Não")</f>
        <v>Não</v>
      </c>
      <c r="O2967" t="str">
        <f>IFERROR(INDEX(tEditais[SRP],MATCH(tItens[[#This Row],[Edital]],tEditais[Edital],0)),"Não")</f>
        <v>Não</v>
      </c>
      <c r="P2967" s="4">
        <f>IF(COUNTIFS(INDEX(tItens[Edital],1):tItens[[#This Row],[Edital]],tItens[[#This Row],[Edital]],INDEX(tItens[Produto],1):tItens[[#This Row],[Produto]],tItens[[#This Row],[Produto]])=1,1,0)</f>
        <v>1</v>
      </c>
    </row>
    <row r="2968" spans="1:16" x14ac:dyDescent="0.25">
      <c r="A2968" t="s">
        <v>1385</v>
      </c>
      <c r="B2968">
        <v>8006768</v>
      </c>
      <c r="C2968" t="s">
        <v>5896</v>
      </c>
      <c r="D2968" t="s">
        <v>152</v>
      </c>
      <c r="E2968" s="13">
        <v>200</v>
      </c>
      <c r="F2968" s="12">
        <v>107.4</v>
      </c>
      <c r="G2968" t="str">
        <f>IFERROR(INDEX(tEditais[Órgão],MATCH(tItens[[#This Row],[Edital]],tEditais[Edital],0)),"")</f>
        <v>FUNDACAO HOSPITALAR MUNICIPAL JOAO HENRIQUE</v>
      </c>
      <c r="H2968" t="str">
        <f>IFERROR(INDEX(tEditais[UF],MATCH(tItens[[#This Row],[Edital]],tEditais[Edital],0)),"")</f>
        <v>MG</v>
      </c>
      <c r="I2968" s="11">
        <f>IFERROR(INDEX(tEditais[Encerramento],MATCH(tItens[[#This Row],[Edital]],tEditais[Edital],0)),"")</f>
        <v>46308.375</v>
      </c>
      <c r="J2968" t="str">
        <f>IFERROR(INDEX(tProdutos[Classe],MATCH(tItens[[#This Row],[Produto]],tProdutos[Produto],0)),"produto não cadastrado")</f>
        <v>DISPUTADO</v>
      </c>
      <c r="K2968" s="12">
        <f>tItens[[#This Row],[Qtd]]*tItens[[#This Row],[Vlr unit]]</f>
        <v>21480</v>
      </c>
      <c r="L2968" s="6">
        <f>IFERROR(IF(INDEX(tProdutos[Desconto homologado],MATCH(tItens[[#This Row],[Produto]],tProdutos[Produto],0))="",DescontoPadrao,INDEX(tProdutos[Desconto homologado],MATCH(tItens[[#This Row],[Produto]],tProdutos[Produto],0))),DescontoPadrao)</f>
        <v>0.33154310923563801</v>
      </c>
      <c r="M2968" s="12">
        <f>tItens[[#This Row],[Valor]]*(1-tItens[[#This Row],[Desconto]])</f>
        <v>14358.454013618495</v>
      </c>
      <c r="N2968" t="str">
        <f>IFERROR(INDEX(tProdutos[Foco],MATCH(tItens[[#This Row],[Produto]],tProdutos[Produto],0)),"Não")</f>
        <v>Não</v>
      </c>
      <c r="O2968" t="str">
        <f>IFERROR(INDEX(tEditais[SRP],MATCH(tItens[[#This Row],[Edital]],tEditais[Edital],0)),"Não")</f>
        <v>Não</v>
      </c>
      <c r="P2968" s="4">
        <f>IF(COUNTIFS(INDEX(tItens[Edital],1):tItens[[#This Row],[Edital]],tItens[[#This Row],[Edital]],INDEX(tItens[Produto],1):tItens[[#This Row],[Produto]],tItens[[#This Row],[Produto]])=1,1,0)</f>
        <v>0</v>
      </c>
    </row>
    <row r="2969" spans="1:16" x14ac:dyDescent="0.25">
      <c r="A2969" t="s">
        <v>1385</v>
      </c>
      <c r="B2969">
        <v>8006788</v>
      </c>
      <c r="C2969" t="s">
        <v>5897</v>
      </c>
      <c r="D2969" t="s">
        <v>351</v>
      </c>
      <c r="E2969" s="13">
        <v>1500</v>
      </c>
      <c r="F2969" s="12">
        <v>12.11</v>
      </c>
      <c r="G2969" t="str">
        <f>IFERROR(INDEX(tEditais[Órgão],MATCH(tItens[[#This Row],[Edital]],tEditais[Edital],0)),"")</f>
        <v>FUNDACAO HOSPITALAR MUNICIPAL JOAO HENRIQUE</v>
      </c>
      <c r="H2969" t="str">
        <f>IFERROR(INDEX(tEditais[UF],MATCH(tItens[[#This Row],[Edital]],tEditais[Edital],0)),"")</f>
        <v>MG</v>
      </c>
      <c r="I2969" s="11">
        <f>IFERROR(INDEX(tEditais[Encerramento],MATCH(tItens[[#This Row],[Edital]],tEditais[Edital],0)),"")</f>
        <v>46308.375</v>
      </c>
      <c r="J2969" t="str">
        <f>IFERROR(INDEX(tProdutos[Classe],MATCH(tItens[[#This Row],[Produto]],tProdutos[Produto],0)),"produto não cadastrado")</f>
        <v>FORA</v>
      </c>
      <c r="K2969" s="12">
        <f>tItens[[#This Row],[Qtd]]*tItens[[#This Row],[Vlr unit]]</f>
        <v>18165</v>
      </c>
      <c r="L2969" s="6">
        <f>IFERROR(IF(INDEX(tProdutos[Desconto homologado],MATCH(tItens[[#This Row],[Produto]],tProdutos[Produto],0))="",DescontoPadrao,INDEX(tProdutos[Desconto homologado],MATCH(tItens[[#This Row],[Produto]],tProdutos[Produto],0))),DescontoPadrao)</f>
        <v>0.33518005540166201</v>
      </c>
      <c r="M2969" s="12">
        <f>tItens[[#This Row],[Valor]]*(1-tItens[[#This Row],[Desconto]])</f>
        <v>12076.454293628811</v>
      </c>
      <c r="N2969" t="str">
        <f>IFERROR(INDEX(tProdutos[Foco],MATCH(tItens[[#This Row],[Produto]],tProdutos[Produto],0)),"Não")</f>
        <v>Não</v>
      </c>
      <c r="O2969" t="str">
        <f>IFERROR(INDEX(tEditais[SRP],MATCH(tItens[[#This Row],[Edital]],tEditais[Edital],0)),"Não")</f>
        <v>Não</v>
      </c>
      <c r="P2969" s="4">
        <f>IF(COUNTIFS(INDEX(tItens[Edital],1):tItens[[#This Row],[Edital]],tItens[[#This Row],[Edital]],INDEX(tItens[Produto],1):tItens[[#This Row],[Produto]],tItens[[#This Row],[Produto]])=1,1,0)</f>
        <v>1</v>
      </c>
    </row>
    <row r="2970" spans="1:16" x14ac:dyDescent="0.25">
      <c r="A2970" t="s">
        <v>1385</v>
      </c>
      <c r="B2970">
        <v>8006789</v>
      </c>
      <c r="C2970" t="s">
        <v>5898</v>
      </c>
      <c r="D2970" t="s">
        <v>351</v>
      </c>
      <c r="E2970" s="13">
        <v>1500</v>
      </c>
      <c r="F2970" s="12">
        <v>11.83</v>
      </c>
      <c r="G2970" t="str">
        <f>IFERROR(INDEX(tEditais[Órgão],MATCH(tItens[[#This Row],[Edital]],tEditais[Edital],0)),"")</f>
        <v>FUNDACAO HOSPITALAR MUNICIPAL JOAO HENRIQUE</v>
      </c>
      <c r="H2970" t="str">
        <f>IFERROR(INDEX(tEditais[UF],MATCH(tItens[[#This Row],[Edital]],tEditais[Edital],0)),"")</f>
        <v>MG</v>
      </c>
      <c r="I2970" s="11">
        <f>IFERROR(INDEX(tEditais[Encerramento],MATCH(tItens[[#This Row],[Edital]],tEditais[Edital],0)),"")</f>
        <v>46308.375</v>
      </c>
      <c r="J2970" t="str">
        <f>IFERROR(INDEX(tProdutos[Classe],MATCH(tItens[[#This Row],[Produto]],tProdutos[Produto],0)),"produto não cadastrado")</f>
        <v>FORA</v>
      </c>
      <c r="K2970" s="12">
        <f>tItens[[#This Row],[Qtd]]*tItens[[#This Row],[Vlr unit]]</f>
        <v>17745</v>
      </c>
      <c r="L2970" s="6">
        <f>IFERROR(IF(INDEX(tProdutos[Desconto homologado],MATCH(tItens[[#This Row],[Produto]],tProdutos[Produto],0))="",DescontoPadrao,INDEX(tProdutos[Desconto homologado],MATCH(tItens[[#This Row],[Produto]],tProdutos[Produto],0))),DescontoPadrao)</f>
        <v>0.33518005540166201</v>
      </c>
      <c r="M2970" s="12">
        <f>tItens[[#This Row],[Valor]]*(1-tItens[[#This Row],[Desconto]])</f>
        <v>11797.229916897508</v>
      </c>
      <c r="N2970" t="str">
        <f>IFERROR(INDEX(tProdutos[Foco],MATCH(tItens[[#This Row],[Produto]],tProdutos[Produto],0)),"Não")</f>
        <v>Não</v>
      </c>
      <c r="O2970" t="str">
        <f>IFERROR(INDEX(tEditais[SRP],MATCH(tItens[[#This Row],[Edital]],tEditais[Edital],0)),"Não")</f>
        <v>Não</v>
      </c>
      <c r="P2970" s="4">
        <f>IF(COUNTIFS(INDEX(tItens[Edital],1):tItens[[#This Row],[Edital]],tItens[[#This Row],[Edital]],INDEX(tItens[Produto],1):tItens[[#This Row],[Produto]],tItens[[#This Row],[Produto]])=1,1,0)</f>
        <v>0</v>
      </c>
    </row>
    <row r="2971" spans="1:16" x14ac:dyDescent="0.25">
      <c r="A2971" t="s">
        <v>1385</v>
      </c>
      <c r="B2971">
        <v>8006790</v>
      </c>
      <c r="C2971" t="s">
        <v>5899</v>
      </c>
      <c r="D2971" t="s">
        <v>351</v>
      </c>
      <c r="E2971" s="13">
        <v>1500</v>
      </c>
      <c r="F2971" s="12">
        <v>13.13</v>
      </c>
      <c r="G2971" t="str">
        <f>IFERROR(INDEX(tEditais[Órgão],MATCH(tItens[[#This Row],[Edital]],tEditais[Edital],0)),"")</f>
        <v>FUNDACAO HOSPITALAR MUNICIPAL JOAO HENRIQUE</v>
      </c>
      <c r="H2971" t="str">
        <f>IFERROR(INDEX(tEditais[UF],MATCH(tItens[[#This Row],[Edital]],tEditais[Edital],0)),"")</f>
        <v>MG</v>
      </c>
      <c r="I2971" s="11">
        <f>IFERROR(INDEX(tEditais[Encerramento],MATCH(tItens[[#This Row],[Edital]],tEditais[Edital],0)),"")</f>
        <v>46308.375</v>
      </c>
      <c r="J2971" t="str">
        <f>IFERROR(INDEX(tProdutos[Classe],MATCH(tItens[[#This Row],[Produto]],tProdutos[Produto],0)),"produto não cadastrado")</f>
        <v>FORA</v>
      </c>
      <c r="K2971" s="12">
        <f>tItens[[#This Row],[Qtd]]*tItens[[#This Row],[Vlr unit]]</f>
        <v>19695</v>
      </c>
      <c r="L2971" s="6">
        <f>IFERROR(IF(INDEX(tProdutos[Desconto homologado],MATCH(tItens[[#This Row],[Produto]],tProdutos[Produto],0))="",DescontoPadrao,INDEX(tProdutos[Desconto homologado],MATCH(tItens[[#This Row],[Produto]],tProdutos[Produto],0))),DescontoPadrao)</f>
        <v>0.33518005540166201</v>
      </c>
      <c r="M2971" s="12">
        <f>tItens[[#This Row],[Valor]]*(1-tItens[[#This Row],[Desconto]])</f>
        <v>13093.628808864267</v>
      </c>
      <c r="N2971" t="str">
        <f>IFERROR(INDEX(tProdutos[Foco],MATCH(tItens[[#This Row],[Produto]],tProdutos[Produto],0)),"Não")</f>
        <v>Não</v>
      </c>
      <c r="O2971" t="str">
        <f>IFERROR(INDEX(tEditais[SRP],MATCH(tItens[[#This Row],[Edital]],tEditais[Edital],0)),"Não")</f>
        <v>Não</v>
      </c>
      <c r="P2971" s="4">
        <f>IF(COUNTIFS(INDEX(tItens[Edital],1):tItens[[#This Row],[Edital]],tItens[[#This Row],[Edital]],INDEX(tItens[Produto],1):tItens[[#This Row],[Produto]],tItens[[#This Row],[Produto]])=1,1,0)</f>
        <v>0</v>
      </c>
    </row>
    <row r="2972" spans="1:16" x14ac:dyDescent="0.25">
      <c r="A2972" t="s">
        <v>1385</v>
      </c>
      <c r="B2972">
        <v>8006791</v>
      </c>
      <c r="C2972" t="s">
        <v>5900</v>
      </c>
      <c r="D2972" t="s">
        <v>309</v>
      </c>
      <c r="E2972" s="13">
        <v>150</v>
      </c>
      <c r="F2972" s="12">
        <v>34.869999999999997</v>
      </c>
      <c r="G2972" t="str">
        <f>IFERROR(INDEX(tEditais[Órgão],MATCH(tItens[[#This Row],[Edital]],tEditais[Edital],0)),"")</f>
        <v>FUNDACAO HOSPITALAR MUNICIPAL JOAO HENRIQUE</v>
      </c>
      <c r="H2972" t="str">
        <f>IFERROR(INDEX(tEditais[UF],MATCH(tItens[[#This Row],[Edital]],tEditais[Edital],0)),"")</f>
        <v>MG</v>
      </c>
      <c r="I2972" s="11">
        <f>IFERROR(INDEX(tEditais[Encerramento],MATCH(tItens[[#This Row],[Edital]],tEditais[Edital],0)),"")</f>
        <v>46308.375</v>
      </c>
      <c r="J2972" t="str">
        <f>IFERROR(INDEX(tProdutos[Classe],MATCH(tItens[[#This Row],[Produto]],tProdutos[Produto],0)),"produto não cadastrado")</f>
        <v>DISPUTADO</v>
      </c>
      <c r="K2972" s="12">
        <f>tItens[[#This Row],[Qtd]]*tItens[[#This Row],[Vlr unit]]</f>
        <v>5230.5</v>
      </c>
      <c r="L2972" s="6">
        <f>IFERROR(IF(INDEX(tProdutos[Desconto homologado],MATCH(tItens[[#This Row],[Produto]],tProdutos[Produto],0))="",DescontoPadrao,INDEX(tProdutos[Desconto homologado],MATCH(tItens[[#This Row],[Produto]],tProdutos[Produto],0))),DescontoPadrao)</f>
        <v>0.329229323455968</v>
      </c>
      <c r="M2972" s="12">
        <f>tItens[[#This Row],[Valor]]*(1-tItens[[#This Row],[Desconto]])</f>
        <v>3508.4660236635596</v>
      </c>
      <c r="N2972" t="str">
        <f>IFERROR(INDEX(tProdutos[Foco],MATCH(tItens[[#This Row],[Produto]],tProdutos[Produto],0)),"Não")</f>
        <v>Não</v>
      </c>
      <c r="O2972" t="str">
        <f>IFERROR(INDEX(tEditais[SRP],MATCH(tItens[[#This Row],[Edital]],tEditais[Edital],0)),"Não")</f>
        <v>Não</v>
      </c>
      <c r="P2972" s="4">
        <f>IF(COUNTIFS(INDEX(tItens[Edital],1):tItens[[#This Row],[Edital]],tItens[[#This Row],[Edital]],INDEX(tItens[Produto],1):tItens[[#This Row],[Produto]],tItens[[#This Row],[Produto]])=1,1,0)</f>
        <v>1</v>
      </c>
    </row>
    <row r="2973" spans="1:16" x14ac:dyDescent="0.25">
      <c r="A2973" t="s">
        <v>1385</v>
      </c>
      <c r="B2973">
        <v>8006792</v>
      </c>
      <c r="C2973" t="s">
        <v>5900</v>
      </c>
      <c r="D2973" t="s">
        <v>309</v>
      </c>
      <c r="E2973" s="13">
        <v>150</v>
      </c>
      <c r="F2973" s="12">
        <v>68</v>
      </c>
      <c r="G2973" t="str">
        <f>IFERROR(INDEX(tEditais[Órgão],MATCH(tItens[[#This Row],[Edital]],tEditais[Edital],0)),"")</f>
        <v>FUNDACAO HOSPITALAR MUNICIPAL JOAO HENRIQUE</v>
      </c>
      <c r="H2973" t="str">
        <f>IFERROR(INDEX(tEditais[UF],MATCH(tItens[[#This Row],[Edital]],tEditais[Edital],0)),"")</f>
        <v>MG</v>
      </c>
      <c r="I2973" s="11">
        <f>IFERROR(INDEX(tEditais[Encerramento],MATCH(tItens[[#This Row],[Edital]],tEditais[Edital],0)),"")</f>
        <v>46308.375</v>
      </c>
      <c r="J2973" t="str">
        <f>IFERROR(INDEX(tProdutos[Classe],MATCH(tItens[[#This Row],[Produto]],tProdutos[Produto],0)),"produto não cadastrado")</f>
        <v>DISPUTADO</v>
      </c>
      <c r="K2973" s="12">
        <f>tItens[[#This Row],[Qtd]]*tItens[[#This Row],[Vlr unit]]</f>
        <v>10200</v>
      </c>
      <c r="L2973" s="6">
        <f>IFERROR(IF(INDEX(tProdutos[Desconto homologado],MATCH(tItens[[#This Row],[Produto]],tProdutos[Produto],0))="",DescontoPadrao,INDEX(tProdutos[Desconto homologado],MATCH(tItens[[#This Row],[Produto]],tProdutos[Produto],0))),DescontoPadrao)</f>
        <v>0.329229323455968</v>
      </c>
      <c r="M2973" s="12">
        <f>tItens[[#This Row],[Valor]]*(1-tItens[[#This Row],[Desconto]])</f>
        <v>6841.8609007491268</v>
      </c>
      <c r="N2973" t="str">
        <f>IFERROR(INDEX(tProdutos[Foco],MATCH(tItens[[#This Row],[Produto]],tProdutos[Produto],0)),"Não")</f>
        <v>Não</v>
      </c>
      <c r="O2973" t="str">
        <f>IFERROR(INDEX(tEditais[SRP],MATCH(tItens[[#This Row],[Edital]],tEditais[Edital],0)),"Não")</f>
        <v>Não</v>
      </c>
      <c r="P2973" s="4">
        <f>IF(COUNTIFS(INDEX(tItens[Edital],1):tItens[[#This Row],[Edital]],tItens[[#This Row],[Edital]],INDEX(tItens[Produto],1):tItens[[#This Row],[Produto]],tItens[[#This Row],[Produto]])=1,1,0)</f>
        <v>0</v>
      </c>
    </row>
    <row r="2974" spans="1:16" x14ac:dyDescent="0.25">
      <c r="A2974" t="s">
        <v>1385</v>
      </c>
      <c r="B2974">
        <v>8006793</v>
      </c>
      <c r="C2974" t="s">
        <v>5900</v>
      </c>
      <c r="D2974" t="s">
        <v>309</v>
      </c>
      <c r="E2974" s="13">
        <v>150</v>
      </c>
      <c r="F2974" s="12">
        <v>32.700000000000003</v>
      </c>
      <c r="G2974" t="str">
        <f>IFERROR(INDEX(tEditais[Órgão],MATCH(tItens[[#This Row],[Edital]],tEditais[Edital],0)),"")</f>
        <v>FUNDACAO HOSPITALAR MUNICIPAL JOAO HENRIQUE</v>
      </c>
      <c r="H2974" t="str">
        <f>IFERROR(INDEX(tEditais[UF],MATCH(tItens[[#This Row],[Edital]],tEditais[Edital],0)),"")</f>
        <v>MG</v>
      </c>
      <c r="I2974" s="11">
        <f>IFERROR(INDEX(tEditais[Encerramento],MATCH(tItens[[#This Row],[Edital]],tEditais[Edital],0)),"")</f>
        <v>46308.375</v>
      </c>
      <c r="J2974" t="str">
        <f>IFERROR(INDEX(tProdutos[Classe],MATCH(tItens[[#This Row],[Produto]],tProdutos[Produto],0)),"produto não cadastrado")</f>
        <v>DISPUTADO</v>
      </c>
      <c r="K2974" s="12">
        <f>tItens[[#This Row],[Qtd]]*tItens[[#This Row],[Vlr unit]]</f>
        <v>4905</v>
      </c>
      <c r="L2974" s="6">
        <f>IFERROR(IF(INDEX(tProdutos[Desconto homologado],MATCH(tItens[[#This Row],[Produto]],tProdutos[Produto],0))="",DescontoPadrao,INDEX(tProdutos[Desconto homologado],MATCH(tItens[[#This Row],[Produto]],tProdutos[Produto],0))),DescontoPadrao)</f>
        <v>0.329229323455968</v>
      </c>
      <c r="M2974" s="12">
        <f>tItens[[#This Row],[Valor]]*(1-tItens[[#This Row],[Desconto]])</f>
        <v>3290.130168448477</v>
      </c>
      <c r="N2974" t="str">
        <f>IFERROR(INDEX(tProdutos[Foco],MATCH(tItens[[#This Row],[Produto]],tProdutos[Produto],0)),"Não")</f>
        <v>Não</v>
      </c>
      <c r="O2974" t="str">
        <f>IFERROR(INDEX(tEditais[SRP],MATCH(tItens[[#This Row],[Edital]],tEditais[Edital],0)),"Não")</f>
        <v>Não</v>
      </c>
      <c r="P2974" s="4">
        <f>IF(COUNTIFS(INDEX(tItens[Edital],1):tItens[[#This Row],[Edital]],tItens[[#This Row],[Edital]],INDEX(tItens[Produto],1):tItens[[#This Row],[Produto]],tItens[[#This Row],[Produto]])=1,1,0)</f>
        <v>0</v>
      </c>
    </row>
    <row r="2975" spans="1:16" x14ac:dyDescent="0.25">
      <c r="A2975" t="s">
        <v>1385</v>
      </c>
      <c r="B2975">
        <v>8006800</v>
      </c>
      <c r="C2975" t="s">
        <v>5901</v>
      </c>
      <c r="D2975" t="s">
        <v>132</v>
      </c>
      <c r="E2975" s="13">
        <v>2500</v>
      </c>
      <c r="F2975" s="12">
        <v>15.76</v>
      </c>
      <c r="G2975" t="str">
        <f>IFERROR(INDEX(tEditais[Órgão],MATCH(tItens[[#This Row],[Edital]],tEditais[Edital],0)),"")</f>
        <v>FUNDACAO HOSPITALAR MUNICIPAL JOAO HENRIQUE</v>
      </c>
      <c r="H2975" t="str">
        <f>IFERROR(INDEX(tEditais[UF],MATCH(tItens[[#This Row],[Edital]],tEditais[Edital],0)),"")</f>
        <v>MG</v>
      </c>
      <c r="I2975" s="11">
        <f>IFERROR(INDEX(tEditais[Encerramento],MATCH(tItens[[#This Row],[Edital]],tEditais[Edital],0)),"")</f>
        <v>46308.375</v>
      </c>
      <c r="J2975" t="str">
        <f>IFERROR(INDEX(tProdutos[Classe],MATCH(tItens[[#This Row],[Produto]],tProdutos[Produto],0)),"produto não cadastrado")</f>
        <v>NÚCLEO</v>
      </c>
      <c r="K2975" s="12">
        <f>tItens[[#This Row],[Qtd]]*tItens[[#This Row],[Vlr unit]]</f>
        <v>39400</v>
      </c>
      <c r="L2975" s="6">
        <f>IFERROR(IF(INDEX(tProdutos[Desconto homologado],MATCH(tItens[[#This Row],[Produto]],tProdutos[Produto],0))="",DescontoPadrao,INDEX(tProdutos[Desconto homologado],MATCH(tItens[[#This Row],[Produto]],tProdutos[Produto],0))),DescontoPadrao)</f>
        <v>0.27</v>
      </c>
      <c r="M2975" s="12">
        <f>tItens[[#This Row],[Valor]]*(1-tItens[[#This Row],[Desconto]])</f>
        <v>28762</v>
      </c>
      <c r="N2975" t="str">
        <f>IFERROR(INDEX(tProdutos[Foco],MATCH(tItens[[#This Row],[Produto]],tProdutos[Produto],0)),"Não")</f>
        <v>Sim</v>
      </c>
      <c r="O2975" t="str">
        <f>IFERROR(INDEX(tEditais[SRP],MATCH(tItens[[#This Row],[Edital]],tEditais[Edital],0)),"Não")</f>
        <v>Não</v>
      </c>
      <c r="P2975" s="4">
        <f>IF(COUNTIFS(INDEX(tItens[Edital],1):tItens[[#This Row],[Edital]],tItens[[#This Row],[Edital]],INDEX(tItens[Produto],1):tItens[[#This Row],[Produto]],tItens[[#This Row],[Produto]])=1,1,0)</f>
        <v>1</v>
      </c>
    </row>
    <row r="2976" spans="1:16" x14ac:dyDescent="0.25">
      <c r="A2976" t="s">
        <v>1385</v>
      </c>
      <c r="B2976">
        <v>8006801</v>
      </c>
      <c r="C2976" t="s">
        <v>5902</v>
      </c>
      <c r="D2976" t="s">
        <v>389</v>
      </c>
      <c r="E2976" s="13">
        <v>5000</v>
      </c>
      <c r="F2976" s="12">
        <v>8.8000000000000007</v>
      </c>
      <c r="G2976" t="str">
        <f>IFERROR(INDEX(tEditais[Órgão],MATCH(tItens[[#This Row],[Edital]],tEditais[Edital],0)),"")</f>
        <v>FUNDACAO HOSPITALAR MUNICIPAL JOAO HENRIQUE</v>
      </c>
      <c r="H2976" t="str">
        <f>IFERROR(INDEX(tEditais[UF],MATCH(tItens[[#This Row],[Edital]],tEditais[Edital],0)),"")</f>
        <v>MG</v>
      </c>
      <c r="I2976" s="11">
        <f>IFERROR(INDEX(tEditais[Encerramento],MATCH(tItens[[#This Row],[Edital]],tEditais[Edital],0)),"")</f>
        <v>46308.375</v>
      </c>
      <c r="J2976" t="str">
        <f>IFERROR(INDEX(tProdutos[Classe],MATCH(tItens[[#This Row],[Produto]],tProdutos[Produto],0)),"produto não cadastrado")</f>
        <v>FORA</v>
      </c>
      <c r="K2976" s="12">
        <f>tItens[[#This Row],[Qtd]]*tItens[[#This Row],[Vlr unit]]</f>
        <v>44000</v>
      </c>
      <c r="L2976" s="6">
        <f>IFERROR(IF(INDEX(tProdutos[Desconto homologado],MATCH(tItens[[#This Row],[Produto]],tProdutos[Produto],0))="",DescontoPadrao,INDEX(tProdutos[Desconto homologado],MATCH(tItens[[#This Row],[Produto]],tProdutos[Produto],0))),DescontoPadrao)</f>
        <v>0.39163140573577798</v>
      </c>
      <c r="M2976" s="12">
        <f>tItens[[#This Row],[Valor]]*(1-tItens[[#This Row],[Desconto]])</f>
        <v>26768.218147625772</v>
      </c>
      <c r="N2976" t="str">
        <f>IFERROR(INDEX(tProdutos[Foco],MATCH(tItens[[#This Row],[Produto]],tProdutos[Produto],0)),"Não")</f>
        <v>Não</v>
      </c>
      <c r="O2976" t="str">
        <f>IFERROR(INDEX(tEditais[SRP],MATCH(tItens[[#This Row],[Edital]],tEditais[Edital],0)),"Não")</f>
        <v>Não</v>
      </c>
      <c r="P2976" s="4">
        <f>IF(COUNTIFS(INDEX(tItens[Edital],1):tItens[[#This Row],[Edital]],tItens[[#This Row],[Edital]],INDEX(tItens[Produto],1):tItens[[#This Row],[Produto]],tItens[[#This Row],[Produto]])=1,1,0)</f>
        <v>1</v>
      </c>
    </row>
    <row r="2977" spans="1:16" x14ac:dyDescent="0.25">
      <c r="A2977" t="s">
        <v>1385</v>
      </c>
      <c r="B2977">
        <v>8006803</v>
      </c>
      <c r="C2977" t="s">
        <v>5903</v>
      </c>
      <c r="D2977" t="s">
        <v>205</v>
      </c>
      <c r="E2977" s="13">
        <v>100</v>
      </c>
      <c r="F2977" s="12">
        <v>39.799999999999997</v>
      </c>
      <c r="G2977" t="str">
        <f>IFERROR(INDEX(tEditais[Órgão],MATCH(tItens[[#This Row],[Edital]],tEditais[Edital],0)),"")</f>
        <v>FUNDACAO HOSPITALAR MUNICIPAL JOAO HENRIQUE</v>
      </c>
      <c r="H2977" t="str">
        <f>IFERROR(INDEX(tEditais[UF],MATCH(tItens[[#This Row],[Edital]],tEditais[Edital],0)),"")</f>
        <v>MG</v>
      </c>
      <c r="I2977" s="11">
        <f>IFERROR(INDEX(tEditais[Encerramento],MATCH(tItens[[#This Row],[Edital]],tEditais[Edital],0)),"")</f>
        <v>46308.375</v>
      </c>
      <c r="J2977" t="str">
        <f>IFERROR(INDEX(tProdutos[Classe],MATCH(tItens[[#This Row],[Produto]],tProdutos[Produto],0)),"produto não cadastrado")</f>
        <v>FORA</v>
      </c>
      <c r="K2977" s="12">
        <f>tItens[[#This Row],[Qtd]]*tItens[[#This Row],[Vlr unit]]</f>
        <v>3979.9999999999995</v>
      </c>
      <c r="L2977" s="6">
        <f>IFERROR(IF(INDEX(tProdutos[Desconto homologado],MATCH(tItens[[#This Row],[Produto]],tProdutos[Produto],0))="",DescontoPadrao,INDEX(tProdutos[Desconto homologado],MATCH(tItens[[#This Row],[Produto]],tProdutos[Produto],0))),DescontoPadrao)</f>
        <v>0.468911625815156</v>
      </c>
      <c r="M2977" s="12">
        <f>tItens[[#This Row],[Valor]]*(1-tItens[[#This Row],[Desconto]])</f>
        <v>2113.7317292556791</v>
      </c>
      <c r="N2977" t="str">
        <f>IFERROR(INDEX(tProdutos[Foco],MATCH(tItens[[#This Row],[Produto]],tProdutos[Produto],0)),"Não")</f>
        <v>Não</v>
      </c>
      <c r="O2977" t="str">
        <f>IFERROR(INDEX(tEditais[SRP],MATCH(tItens[[#This Row],[Edital]],tEditais[Edital],0)),"Não")</f>
        <v>Não</v>
      </c>
      <c r="P2977" s="4">
        <f>IF(COUNTIFS(INDEX(tItens[Edital],1):tItens[[#This Row],[Edital]],tItens[[#This Row],[Edital]],INDEX(tItens[Produto],1):tItens[[#This Row],[Produto]],tItens[[#This Row],[Produto]])=1,1,0)</f>
        <v>1</v>
      </c>
    </row>
    <row r="2978" spans="1:16" x14ac:dyDescent="0.25">
      <c r="A2978" t="s">
        <v>1385</v>
      </c>
      <c r="B2978">
        <v>8006804</v>
      </c>
      <c r="C2978" t="s">
        <v>5904</v>
      </c>
      <c r="D2978" t="s">
        <v>205</v>
      </c>
      <c r="E2978" s="13">
        <v>50</v>
      </c>
      <c r="F2978" s="12">
        <v>36.54</v>
      </c>
      <c r="G2978" t="str">
        <f>IFERROR(INDEX(tEditais[Órgão],MATCH(tItens[[#This Row],[Edital]],tEditais[Edital],0)),"")</f>
        <v>FUNDACAO HOSPITALAR MUNICIPAL JOAO HENRIQUE</v>
      </c>
      <c r="H2978" t="str">
        <f>IFERROR(INDEX(tEditais[UF],MATCH(tItens[[#This Row],[Edital]],tEditais[Edital],0)),"")</f>
        <v>MG</v>
      </c>
      <c r="I2978" s="11">
        <f>IFERROR(INDEX(tEditais[Encerramento],MATCH(tItens[[#This Row],[Edital]],tEditais[Edital],0)),"")</f>
        <v>46308.375</v>
      </c>
      <c r="J2978" t="str">
        <f>IFERROR(INDEX(tProdutos[Classe],MATCH(tItens[[#This Row],[Produto]],tProdutos[Produto],0)),"produto não cadastrado")</f>
        <v>FORA</v>
      </c>
      <c r="K2978" s="12">
        <f>tItens[[#This Row],[Qtd]]*tItens[[#This Row],[Vlr unit]]</f>
        <v>1827</v>
      </c>
      <c r="L2978" s="6">
        <f>IFERROR(IF(INDEX(tProdutos[Desconto homologado],MATCH(tItens[[#This Row],[Produto]],tProdutos[Produto],0))="",DescontoPadrao,INDEX(tProdutos[Desconto homologado],MATCH(tItens[[#This Row],[Produto]],tProdutos[Produto],0))),DescontoPadrao)</f>
        <v>0.468911625815156</v>
      </c>
      <c r="M2978" s="12">
        <f>tItens[[#This Row],[Valor]]*(1-tItens[[#This Row],[Desconto]])</f>
        <v>970.29845963570995</v>
      </c>
      <c r="N2978" t="str">
        <f>IFERROR(INDEX(tProdutos[Foco],MATCH(tItens[[#This Row],[Produto]],tProdutos[Produto],0)),"Não")</f>
        <v>Não</v>
      </c>
      <c r="O2978" t="str">
        <f>IFERROR(INDEX(tEditais[SRP],MATCH(tItens[[#This Row],[Edital]],tEditais[Edital],0)),"Não")</f>
        <v>Não</v>
      </c>
      <c r="P2978" s="4">
        <f>IF(COUNTIFS(INDEX(tItens[Edital],1):tItens[[#This Row],[Edital]],tItens[[#This Row],[Edital]],INDEX(tItens[Produto],1):tItens[[#This Row],[Produto]],tItens[[#This Row],[Produto]])=1,1,0)</f>
        <v>0</v>
      </c>
    </row>
    <row r="2979" spans="1:16" x14ac:dyDescent="0.25">
      <c r="A2979" t="s">
        <v>1385</v>
      </c>
      <c r="B2979">
        <v>8006806</v>
      </c>
      <c r="C2979" t="s">
        <v>5905</v>
      </c>
      <c r="D2979" t="s">
        <v>160</v>
      </c>
      <c r="E2979" s="13">
        <v>1000</v>
      </c>
      <c r="F2979" s="12">
        <v>11.11</v>
      </c>
      <c r="G2979" t="str">
        <f>IFERROR(INDEX(tEditais[Órgão],MATCH(tItens[[#This Row],[Edital]],tEditais[Edital],0)),"")</f>
        <v>FUNDACAO HOSPITALAR MUNICIPAL JOAO HENRIQUE</v>
      </c>
      <c r="H2979" t="str">
        <f>IFERROR(INDEX(tEditais[UF],MATCH(tItens[[#This Row],[Edital]],tEditais[Edital],0)),"")</f>
        <v>MG</v>
      </c>
      <c r="I2979" s="11">
        <f>IFERROR(INDEX(tEditais[Encerramento],MATCH(tItens[[#This Row],[Edital]],tEditais[Edital],0)),"")</f>
        <v>46308.375</v>
      </c>
      <c r="J2979" t="str">
        <f>IFERROR(INDEX(tProdutos[Classe],MATCH(tItens[[#This Row],[Produto]],tProdutos[Produto],0)),"produto não cadastrado")</f>
        <v>DISPUTADO</v>
      </c>
      <c r="K2979" s="12">
        <f>tItens[[#This Row],[Qtd]]*tItens[[#This Row],[Vlr unit]]</f>
        <v>11110</v>
      </c>
      <c r="L2979" s="6">
        <f>IFERROR(IF(INDEX(tProdutos[Desconto homologado],MATCH(tItens[[#This Row],[Produto]],tProdutos[Produto],0))="",DescontoPadrao,INDEX(tProdutos[Desconto homologado],MATCH(tItens[[#This Row],[Produto]],tProdutos[Produto],0))),DescontoPadrao)</f>
        <v>0.28000000000000003</v>
      </c>
      <c r="M2979" s="12">
        <f>tItens[[#This Row],[Valor]]*(1-tItens[[#This Row],[Desconto]])</f>
        <v>7999.2</v>
      </c>
      <c r="N2979" t="str">
        <f>IFERROR(INDEX(tProdutos[Foco],MATCH(tItens[[#This Row],[Produto]],tProdutos[Produto],0)),"Não")</f>
        <v>Sim</v>
      </c>
      <c r="O2979" t="str">
        <f>IFERROR(INDEX(tEditais[SRP],MATCH(tItens[[#This Row],[Edital]],tEditais[Edital],0)),"Não")</f>
        <v>Não</v>
      </c>
      <c r="P2979" s="4">
        <f>IF(COUNTIFS(INDEX(tItens[Edital],1):tItens[[#This Row],[Edital]],tItens[[#This Row],[Edital]],INDEX(tItens[Produto],1):tItens[[#This Row],[Produto]],tItens[[#This Row],[Produto]])=1,1,0)</f>
        <v>1</v>
      </c>
    </row>
    <row r="2980" spans="1:16" x14ac:dyDescent="0.25">
      <c r="A2980" t="s">
        <v>1385</v>
      </c>
      <c r="B2980">
        <v>8006807</v>
      </c>
      <c r="C2980" t="s">
        <v>5906</v>
      </c>
      <c r="D2980" t="s">
        <v>160</v>
      </c>
      <c r="E2980" s="13">
        <v>1000</v>
      </c>
      <c r="F2980" s="12">
        <v>8.36</v>
      </c>
      <c r="G2980" t="str">
        <f>IFERROR(INDEX(tEditais[Órgão],MATCH(tItens[[#This Row],[Edital]],tEditais[Edital],0)),"")</f>
        <v>FUNDACAO HOSPITALAR MUNICIPAL JOAO HENRIQUE</v>
      </c>
      <c r="H2980" t="str">
        <f>IFERROR(INDEX(tEditais[UF],MATCH(tItens[[#This Row],[Edital]],tEditais[Edital],0)),"")</f>
        <v>MG</v>
      </c>
      <c r="I2980" s="11">
        <f>IFERROR(INDEX(tEditais[Encerramento],MATCH(tItens[[#This Row],[Edital]],tEditais[Edital],0)),"")</f>
        <v>46308.375</v>
      </c>
      <c r="J2980" t="str">
        <f>IFERROR(INDEX(tProdutos[Classe],MATCH(tItens[[#This Row],[Produto]],tProdutos[Produto],0)),"produto não cadastrado")</f>
        <v>DISPUTADO</v>
      </c>
      <c r="K2980" s="12">
        <f>tItens[[#This Row],[Qtd]]*tItens[[#This Row],[Vlr unit]]</f>
        <v>8360</v>
      </c>
      <c r="L2980" s="6">
        <f>IFERROR(IF(INDEX(tProdutos[Desconto homologado],MATCH(tItens[[#This Row],[Produto]],tProdutos[Produto],0))="",DescontoPadrao,INDEX(tProdutos[Desconto homologado],MATCH(tItens[[#This Row],[Produto]],tProdutos[Produto],0))),DescontoPadrao)</f>
        <v>0.28000000000000003</v>
      </c>
      <c r="M2980" s="12">
        <f>tItens[[#This Row],[Valor]]*(1-tItens[[#This Row],[Desconto]])</f>
        <v>6019.2</v>
      </c>
      <c r="N2980" t="str">
        <f>IFERROR(INDEX(tProdutos[Foco],MATCH(tItens[[#This Row],[Produto]],tProdutos[Produto],0)),"Não")</f>
        <v>Sim</v>
      </c>
      <c r="O2980" t="str">
        <f>IFERROR(INDEX(tEditais[SRP],MATCH(tItens[[#This Row],[Edital]],tEditais[Edital],0)),"Não")</f>
        <v>Não</v>
      </c>
      <c r="P2980" s="4">
        <f>IF(COUNTIFS(INDEX(tItens[Edital],1):tItens[[#This Row],[Edital]],tItens[[#This Row],[Edital]],INDEX(tItens[Produto],1):tItens[[#This Row],[Produto]],tItens[[#This Row],[Produto]])=1,1,0)</f>
        <v>0</v>
      </c>
    </row>
    <row r="2981" spans="1:16" x14ac:dyDescent="0.25">
      <c r="A2981" t="s">
        <v>1385</v>
      </c>
      <c r="B2981">
        <v>8006819</v>
      </c>
      <c r="C2981" t="s">
        <v>5907</v>
      </c>
      <c r="D2981" t="s">
        <v>69</v>
      </c>
      <c r="E2981" s="13">
        <v>100</v>
      </c>
      <c r="F2981" s="12">
        <v>99.49</v>
      </c>
      <c r="G2981" t="str">
        <f>IFERROR(INDEX(tEditais[Órgão],MATCH(tItens[[#This Row],[Edital]],tEditais[Edital],0)),"")</f>
        <v>FUNDACAO HOSPITALAR MUNICIPAL JOAO HENRIQUE</v>
      </c>
      <c r="H2981" t="str">
        <f>IFERROR(INDEX(tEditais[UF],MATCH(tItens[[#This Row],[Edital]],tEditais[Edital],0)),"")</f>
        <v>MG</v>
      </c>
      <c r="I2981" s="11">
        <f>IFERROR(INDEX(tEditais[Encerramento],MATCH(tItens[[#This Row],[Edital]],tEditais[Edital],0)),"")</f>
        <v>46308.375</v>
      </c>
      <c r="J2981" t="str">
        <f>IFERROR(INDEX(tProdutos[Classe],MATCH(tItens[[#This Row],[Produto]],tProdutos[Produto],0)),"produto não cadastrado")</f>
        <v>NÚCLEO</v>
      </c>
      <c r="K2981" s="12">
        <f>tItens[[#This Row],[Qtd]]*tItens[[#This Row],[Vlr unit]]</f>
        <v>9949</v>
      </c>
      <c r="L2981" s="6">
        <f>IFERROR(IF(INDEX(tProdutos[Desconto homologado],MATCH(tItens[[#This Row],[Produto]],tProdutos[Produto],0))="",DescontoPadrao,INDEX(tProdutos[Desconto homologado],MATCH(tItens[[#This Row],[Produto]],tProdutos[Produto],0))),DescontoPadrao)</f>
        <v>0.38829259638568803</v>
      </c>
      <c r="M2981" s="12">
        <f>tItens[[#This Row],[Valor]]*(1-tItens[[#This Row],[Desconto]])</f>
        <v>6085.8769585587897</v>
      </c>
      <c r="N2981" t="str">
        <f>IFERROR(INDEX(tProdutos[Foco],MATCH(tItens[[#This Row],[Produto]],tProdutos[Produto],0)),"Não")</f>
        <v>Não</v>
      </c>
      <c r="O2981" t="str">
        <f>IFERROR(INDEX(tEditais[SRP],MATCH(tItens[[#This Row],[Edital]],tEditais[Edital],0)),"Não")</f>
        <v>Não</v>
      </c>
      <c r="P2981" s="4">
        <f>IF(COUNTIFS(INDEX(tItens[Edital],1):tItens[[#This Row],[Edital]],tItens[[#This Row],[Edital]],INDEX(tItens[Produto],1):tItens[[#This Row],[Produto]],tItens[[#This Row],[Produto]])=1,1,0)</f>
        <v>1</v>
      </c>
    </row>
    <row r="2982" spans="1:16" x14ac:dyDescent="0.25">
      <c r="A2982" t="s">
        <v>1385</v>
      </c>
      <c r="B2982">
        <v>8006830</v>
      </c>
      <c r="C2982" t="s">
        <v>5908</v>
      </c>
      <c r="D2982" t="s">
        <v>73</v>
      </c>
      <c r="E2982" s="13">
        <v>2000</v>
      </c>
      <c r="F2982" s="12">
        <v>2.87</v>
      </c>
      <c r="G2982" t="str">
        <f>IFERROR(INDEX(tEditais[Órgão],MATCH(tItens[[#This Row],[Edital]],tEditais[Edital],0)),"")</f>
        <v>FUNDACAO HOSPITALAR MUNICIPAL JOAO HENRIQUE</v>
      </c>
      <c r="H2982" t="str">
        <f>IFERROR(INDEX(tEditais[UF],MATCH(tItens[[#This Row],[Edital]],tEditais[Edital],0)),"")</f>
        <v>MG</v>
      </c>
      <c r="I2982" s="11">
        <f>IFERROR(INDEX(tEditais[Encerramento],MATCH(tItens[[#This Row],[Edital]],tEditais[Edital],0)),"")</f>
        <v>46308.375</v>
      </c>
      <c r="J2982" t="str">
        <f>IFERROR(INDEX(tProdutos[Classe],MATCH(tItens[[#This Row],[Produto]],tProdutos[Produto],0)),"produto não cadastrado")</f>
        <v>NÚCLEO</v>
      </c>
      <c r="K2982" s="12">
        <f>tItens[[#This Row],[Qtd]]*tItens[[#This Row],[Vlr unit]]</f>
        <v>5740</v>
      </c>
      <c r="L2982" s="6">
        <f>IFERROR(IF(INDEX(tProdutos[Desconto homologado],MATCH(tItens[[#This Row],[Produto]],tProdutos[Produto],0))="",DescontoPadrao,INDEX(tProdutos[Desconto homologado],MATCH(tItens[[#This Row],[Produto]],tProdutos[Produto],0))),DescontoPadrao)</f>
        <v>0.37</v>
      </c>
      <c r="M2982" s="12">
        <f>tItens[[#This Row],[Valor]]*(1-tItens[[#This Row],[Desconto]])</f>
        <v>3616.2</v>
      </c>
      <c r="N2982" t="str">
        <f>IFERROR(INDEX(tProdutos[Foco],MATCH(tItens[[#This Row],[Produto]],tProdutos[Produto],0)),"Não")</f>
        <v>Sim</v>
      </c>
      <c r="O2982" t="str">
        <f>IFERROR(INDEX(tEditais[SRP],MATCH(tItens[[#This Row],[Edital]],tEditais[Edital],0)),"Não")</f>
        <v>Não</v>
      </c>
      <c r="P2982" s="4">
        <f>IF(COUNTIFS(INDEX(tItens[Edital],1):tItens[[#This Row],[Edital]],tItens[[#This Row],[Edital]],INDEX(tItens[Produto],1):tItens[[#This Row],[Produto]],tItens[[#This Row],[Produto]])=1,1,0)</f>
        <v>1</v>
      </c>
    </row>
    <row r="2983" spans="1:16" x14ac:dyDescent="0.25">
      <c r="A2983" t="s">
        <v>1385</v>
      </c>
      <c r="B2983">
        <v>8006831</v>
      </c>
      <c r="C2983" t="s">
        <v>5909</v>
      </c>
      <c r="D2983" t="s">
        <v>73</v>
      </c>
      <c r="E2983" s="13">
        <v>1000</v>
      </c>
      <c r="F2983" s="12">
        <v>3.27</v>
      </c>
      <c r="G2983" t="str">
        <f>IFERROR(INDEX(tEditais[Órgão],MATCH(tItens[[#This Row],[Edital]],tEditais[Edital],0)),"")</f>
        <v>FUNDACAO HOSPITALAR MUNICIPAL JOAO HENRIQUE</v>
      </c>
      <c r="H2983" t="str">
        <f>IFERROR(INDEX(tEditais[UF],MATCH(tItens[[#This Row],[Edital]],tEditais[Edital],0)),"")</f>
        <v>MG</v>
      </c>
      <c r="I2983" s="11">
        <f>IFERROR(INDEX(tEditais[Encerramento],MATCH(tItens[[#This Row],[Edital]],tEditais[Edital],0)),"")</f>
        <v>46308.375</v>
      </c>
      <c r="J2983" t="str">
        <f>IFERROR(INDEX(tProdutos[Classe],MATCH(tItens[[#This Row],[Produto]],tProdutos[Produto],0)),"produto não cadastrado")</f>
        <v>NÚCLEO</v>
      </c>
      <c r="K2983" s="12">
        <f>tItens[[#This Row],[Qtd]]*tItens[[#This Row],[Vlr unit]]</f>
        <v>3270</v>
      </c>
      <c r="L2983" s="6">
        <f>IFERROR(IF(INDEX(tProdutos[Desconto homologado],MATCH(tItens[[#This Row],[Produto]],tProdutos[Produto],0))="",DescontoPadrao,INDEX(tProdutos[Desconto homologado],MATCH(tItens[[#This Row],[Produto]],tProdutos[Produto],0))),DescontoPadrao)</f>
        <v>0.37</v>
      </c>
      <c r="M2983" s="12">
        <f>tItens[[#This Row],[Valor]]*(1-tItens[[#This Row],[Desconto]])</f>
        <v>2060.1</v>
      </c>
      <c r="N2983" t="str">
        <f>IFERROR(INDEX(tProdutos[Foco],MATCH(tItens[[#This Row],[Produto]],tProdutos[Produto],0)),"Não")</f>
        <v>Sim</v>
      </c>
      <c r="O2983" t="str">
        <f>IFERROR(INDEX(tEditais[SRP],MATCH(tItens[[#This Row],[Edital]],tEditais[Edital],0)),"Não")</f>
        <v>Não</v>
      </c>
      <c r="P2983" s="4">
        <f>IF(COUNTIFS(INDEX(tItens[Edital],1):tItens[[#This Row],[Edital]],tItens[[#This Row],[Edital]],INDEX(tItens[Produto],1):tItens[[#This Row],[Produto]],tItens[[#This Row],[Produto]])=1,1,0)</f>
        <v>0</v>
      </c>
    </row>
    <row r="2984" spans="1:16" x14ac:dyDescent="0.25">
      <c r="A2984" t="s">
        <v>1385</v>
      </c>
      <c r="B2984">
        <v>8006832</v>
      </c>
      <c r="C2984" t="s">
        <v>5910</v>
      </c>
      <c r="D2984" t="s">
        <v>353</v>
      </c>
      <c r="E2984" s="13">
        <v>20</v>
      </c>
      <c r="F2984" s="12">
        <v>39.619999999999997</v>
      </c>
      <c r="G2984" t="str">
        <f>IFERROR(INDEX(tEditais[Órgão],MATCH(tItens[[#This Row],[Edital]],tEditais[Edital],0)),"")</f>
        <v>FUNDACAO HOSPITALAR MUNICIPAL JOAO HENRIQUE</v>
      </c>
      <c r="H2984" t="str">
        <f>IFERROR(INDEX(tEditais[UF],MATCH(tItens[[#This Row],[Edital]],tEditais[Edital],0)),"")</f>
        <v>MG</v>
      </c>
      <c r="I2984" s="11">
        <f>IFERROR(INDEX(tEditais[Encerramento],MATCH(tItens[[#This Row],[Edital]],tEditais[Edital],0)),"")</f>
        <v>46308.375</v>
      </c>
      <c r="J2984" t="str">
        <f>IFERROR(INDEX(tProdutos[Classe],MATCH(tItens[[#This Row],[Produto]],tProdutos[Produto],0)),"produto não cadastrado")</f>
        <v>FORA</v>
      </c>
      <c r="K2984" s="12">
        <f>tItens[[#This Row],[Qtd]]*tItens[[#This Row],[Vlr unit]]</f>
        <v>792.4</v>
      </c>
      <c r="L2984" s="6">
        <f>IFERROR(IF(INDEX(tProdutos[Desconto homologado],MATCH(tItens[[#This Row],[Produto]],tProdutos[Produto],0))="",DescontoPadrao,INDEX(tProdutos[Desconto homologado],MATCH(tItens[[#This Row],[Produto]],tProdutos[Produto],0))),DescontoPadrao)</f>
        <v>0.44729172947442503</v>
      </c>
      <c r="M2984" s="12">
        <f>tItens[[#This Row],[Valor]]*(1-tItens[[#This Row],[Desconto]])</f>
        <v>437.96603356446565</v>
      </c>
      <c r="N2984" t="str">
        <f>IFERROR(INDEX(tProdutos[Foco],MATCH(tItens[[#This Row],[Produto]],tProdutos[Produto],0)),"Não")</f>
        <v>Não</v>
      </c>
      <c r="O2984" t="str">
        <f>IFERROR(INDEX(tEditais[SRP],MATCH(tItens[[#This Row],[Edital]],tEditais[Edital],0)),"Não")</f>
        <v>Não</v>
      </c>
      <c r="P2984" s="4">
        <f>IF(COUNTIFS(INDEX(tItens[Edital],1):tItens[[#This Row],[Edital]],tItens[[#This Row],[Edital]],INDEX(tItens[Produto],1):tItens[[#This Row],[Produto]],tItens[[#This Row],[Produto]])=1,1,0)</f>
        <v>1</v>
      </c>
    </row>
    <row r="2985" spans="1:16" x14ac:dyDescent="0.25">
      <c r="A2985" t="s">
        <v>1385</v>
      </c>
      <c r="B2985">
        <v>8006837</v>
      </c>
      <c r="C2985" t="s">
        <v>5911</v>
      </c>
      <c r="D2985" t="s">
        <v>245</v>
      </c>
      <c r="E2985" s="13">
        <v>1000</v>
      </c>
      <c r="F2985" s="12">
        <v>66.459999999999994</v>
      </c>
      <c r="G2985" t="str">
        <f>IFERROR(INDEX(tEditais[Órgão],MATCH(tItens[[#This Row],[Edital]],tEditais[Edital],0)),"")</f>
        <v>FUNDACAO HOSPITALAR MUNICIPAL JOAO HENRIQUE</v>
      </c>
      <c r="H2985" t="str">
        <f>IFERROR(INDEX(tEditais[UF],MATCH(tItens[[#This Row],[Edital]],tEditais[Edital],0)),"")</f>
        <v>MG</v>
      </c>
      <c r="I2985" s="11">
        <f>IFERROR(INDEX(tEditais[Encerramento],MATCH(tItens[[#This Row],[Edital]],tEditais[Edital],0)),"")</f>
        <v>46308.375</v>
      </c>
      <c r="J2985" t="str">
        <f>IFERROR(INDEX(tProdutos[Classe],MATCH(tItens[[#This Row],[Produto]],tProdutos[Produto],0)),"produto não cadastrado")</f>
        <v>FORA</v>
      </c>
      <c r="K2985" s="12">
        <f>tItens[[#This Row],[Qtd]]*tItens[[#This Row],[Vlr unit]]</f>
        <v>66460</v>
      </c>
      <c r="L2985" s="6">
        <f>IFERROR(IF(INDEX(tProdutos[Desconto homologado],MATCH(tItens[[#This Row],[Produto]],tProdutos[Produto],0))="",DescontoPadrao,INDEX(tProdutos[Desconto homologado],MATCH(tItens[[#This Row],[Produto]],tProdutos[Produto],0))),DescontoPadrao)</f>
        <v>0.34516963542284401</v>
      </c>
      <c r="M2985" s="12">
        <f>tItens[[#This Row],[Valor]]*(1-tItens[[#This Row],[Desconto]])</f>
        <v>43520.026029797787</v>
      </c>
      <c r="N2985" t="str">
        <f>IFERROR(INDEX(tProdutos[Foco],MATCH(tItens[[#This Row],[Produto]],tProdutos[Produto],0)),"Não")</f>
        <v>Não</v>
      </c>
      <c r="O2985" t="str">
        <f>IFERROR(INDEX(tEditais[SRP],MATCH(tItens[[#This Row],[Edital]],tEditais[Edital],0)),"Não")</f>
        <v>Não</v>
      </c>
      <c r="P2985" s="4">
        <f>IF(COUNTIFS(INDEX(tItens[Edital],1):tItens[[#This Row],[Edital]],tItens[[#This Row],[Edital]],INDEX(tItens[Produto],1):tItens[[#This Row],[Produto]],tItens[[#This Row],[Produto]])=1,1,0)</f>
        <v>1</v>
      </c>
    </row>
    <row r="2986" spans="1:16" x14ac:dyDescent="0.25">
      <c r="A2986" t="s">
        <v>1385</v>
      </c>
      <c r="B2986">
        <v>8006850</v>
      </c>
      <c r="C2986" t="s">
        <v>5912</v>
      </c>
      <c r="D2986" t="s">
        <v>311</v>
      </c>
      <c r="E2986" s="13">
        <v>3000</v>
      </c>
      <c r="F2986" s="12">
        <v>6.92</v>
      </c>
      <c r="G2986" t="str">
        <f>IFERROR(INDEX(tEditais[Órgão],MATCH(tItens[[#This Row],[Edital]],tEditais[Edital],0)),"")</f>
        <v>FUNDACAO HOSPITALAR MUNICIPAL JOAO HENRIQUE</v>
      </c>
      <c r="H2986" t="str">
        <f>IFERROR(INDEX(tEditais[UF],MATCH(tItens[[#This Row],[Edital]],tEditais[Edital],0)),"")</f>
        <v>MG</v>
      </c>
      <c r="I2986" s="11">
        <f>IFERROR(INDEX(tEditais[Encerramento],MATCH(tItens[[#This Row],[Edital]],tEditais[Edital],0)),"")</f>
        <v>46308.375</v>
      </c>
      <c r="J2986" t="str">
        <f>IFERROR(INDEX(tProdutos[Classe],MATCH(tItens[[#This Row],[Produto]],tProdutos[Produto],0)),"produto não cadastrado")</f>
        <v>FORA</v>
      </c>
      <c r="K2986" s="12">
        <f>tItens[[#This Row],[Qtd]]*tItens[[#This Row],[Vlr unit]]</f>
        <v>20760</v>
      </c>
      <c r="L2986" s="6">
        <f>IFERROR(IF(INDEX(tProdutos[Desconto homologado],MATCH(tItens[[#This Row],[Produto]],tProdutos[Produto],0))="",DescontoPadrao,INDEX(tProdutos[Desconto homologado],MATCH(tItens[[#This Row],[Produto]],tProdutos[Produto],0))),DescontoPadrao)</f>
        <v>0.29046182846371399</v>
      </c>
      <c r="M2986" s="12">
        <f>tItens[[#This Row],[Valor]]*(1-tItens[[#This Row],[Desconto]])</f>
        <v>14730.012441093299</v>
      </c>
      <c r="N2986" t="str">
        <f>IFERROR(INDEX(tProdutos[Foco],MATCH(tItens[[#This Row],[Produto]],tProdutos[Produto],0)),"Não")</f>
        <v>Não</v>
      </c>
      <c r="O2986" t="str">
        <f>IFERROR(INDEX(tEditais[SRP],MATCH(tItens[[#This Row],[Edital]],tEditais[Edital],0)),"Não")</f>
        <v>Não</v>
      </c>
      <c r="P2986" s="4">
        <f>IF(COUNTIFS(INDEX(tItens[Edital],1):tItens[[#This Row],[Edital]],tItens[[#This Row],[Edital]],INDEX(tItens[Produto],1):tItens[[#This Row],[Produto]],tItens[[#This Row],[Produto]])=1,1,0)</f>
        <v>1</v>
      </c>
    </row>
    <row r="2987" spans="1:16" x14ac:dyDescent="0.25">
      <c r="A2987" t="s">
        <v>1385</v>
      </c>
      <c r="B2987">
        <v>8006851</v>
      </c>
      <c r="C2987" t="s">
        <v>5913</v>
      </c>
      <c r="D2987" t="s">
        <v>279</v>
      </c>
      <c r="E2987" s="13">
        <v>5000</v>
      </c>
      <c r="F2987" s="12">
        <v>0.89</v>
      </c>
      <c r="G2987" t="str">
        <f>IFERROR(INDEX(tEditais[Órgão],MATCH(tItens[[#This Row],[Edital]],tEditais[Edital],0)),"")</f>
        <v>FUNDACAO HOSPITALAR MUNICIPAL JOAO HENRIQUE</v>
      </c>
      <c r="H2987" t="str">
        <f>IFERROR(INDEX(tEditais[UF],MATCH(tItens[[#This Row],[Edital]],tEditais[Edital],0)),"")</f>
        <v>MG</v>
      </c>
      <c r="I2987" s="11">
        <f>IFERROR(INDEX(tEditais[Encerramento],MATCH(tItens[[#This Row],[Edital]],tEditais[Edital],0)),"")</f>
        <v>46308.375</v>
      </c>
      <c r="J2987" t="str">
        <f>IFERROR(INDEX(tProdutos[Classe],MATCH(tItens[[#This Row],[Produto]],tProdutos[Produto],0)),"produto não cadastrado")</f>
        <v>FORA</v>
      </c>
      <c r="K2987" s="12">
        <f>tItens[[#This Row],[Qtd]]*tItens[[#This Row],[Vlr unit]]</f>
        <v>4450</v>
      </c>
      <c r="L2987" s="6">
        <f>IFERROR(IF(INDEX(tProdutos[Desconto homologado],MATCH(tItens[[#This Row],[Produto]],tProdutos[Produto],0))="",DescontoPadrao,INDEX(tProdutos[Desconto homologado],MATCH(tItens[[#This Row],[Produto]],tProdutos[Produto],0))),DescontoPadrao)</f>
        <v>0.28909090909090901</v>
      </c>
      <c r="M2987" s="12">
        <f>tItens[[#This Row],[Valor]]*(1-tItens[[#This Row],[Desconto]])</f>
        <v>3163.5454545454545</v>
      </c>
      <c r="N2987" t="str">
        <f>IFERROR(INDEX(tProdutos[Foco],MATCH(tItens[[#This Row],[Produto]],tProdutos[Produto],0)),"Não")</f>
        <v>Não</v>
      </c>
      <c r="O2987" t="str">
        <f>IFERROR(INDEX(tEditais[SRP],MATCH(tItens[[#This Row],[Edital]],tEditais[Edital],0)),"Não")</f>
        <v>Não</v>
      </c>
      <c r="P2987" s="4">
        <f>IF(COUNTIFS(INDEX(tItens[Edital],1):tItens[[#This Row],[Edital]],tItens[[#This Row],[Edital]],INDEX(tItens[Produto],1):tItens[[#This Row],[Produto]],tItens[[#This Row],[Produto]])=1,1,0)</f>
        <v>1</v>
      </c>
    </row>
    <row r="2988" spans="1:16" x14ac:dyDescent="0.25">
      <c r="A2988" t="s">
        <v>1385</v>
      </c>
      <c r="B2988">
        <v>8006852</v>
      </c>
      <c r="C2988" t="s">
        <v>5914</v>
      </c>
      <c r="D2988" t="s">
        <v>279</v>
      </c>
      <c r="E2988" s="13">
        <v>800</v>
      </c>
      <c r="F2988" s="12">
        <v>10</v>
      </c>
      <c r="G2988" t="str">
        <f>IFERROR(INDEX(tEditais[Órgão],MATCH(tItens[[#This Row],[Edital]],tEditais[Edital],0)),"")</f>
        <v>FUNDACAO HOSPITALAR MUNICIPAL JOAO HENRIQUE</v>
      </c>
      <c r="H2988" t="str">
        <f>IFERROR(INDEX(tEditais[UF],MATCH(tItens[[#This Row],[Edital]],tEditais[Edital],0)),"")</f>
        <v>MG</v>
      </c>
      <c r="I2988" s="11">
        <f>IFERROR(INDEX(tEditais[Encerramento],MATCH(tItens[[#This Row],[Edital]],tEditais[Edital],0)),"")</f>
        <v>46308.375</v>
      </c>
      <c r="J2988" t="str">
        <f>IFERROR(INDEX(tProdutos[Classe],MATCH(tItens[[#This Row],[Produto]],tProdutos[Produto],0)),"produto não cadastrado")</f>
        <v>FORA</v>
      </c>
      <c r="K2988" s="12">
        <f>tItens[[#This Row],[Qtd]]*tItens[[#This Row],[Vlr unit]]</f>
        <v>8000</v>
      </c>
      <c r="L2988" s="6">
        <f>IFERROR(IF(INDEX(tProdutos[Desconto homologado],MATCH(tItens[[#This Row],[Produto]],tProdutos[Produto],0))="",DescontoPadrao,INDEX(tProdutos[Desconto homologado],MATCH(tItens[[#This Row],[Produto]],tProdutos[Produto],0))),DescontoPadrao)</f>
        <v>0.28909090909090901</v>
      </c>
      <c r="M2988" s="12">
        <f>tItens[[#This Row],[Valor]]*(1-tItens[[#This Row],[Desconto]])</f>
        <v>5687.2727272727279</v>
      </c>
      <c r="N2988" t="str">
        <f>IFERROR(INDEX(tProdutos[Foco],MATCH(tItens[[#This Row],[Produto]],tProdutos[Produto],0)),"Não")</f>
        <v>Não</v>
      </c>
      <c r="O2988" t="str">
        <f>IFERROR(INDEX(tEditais[SRP],MATCH(tItens[[#This Row],[Edital]],tEditais[Edital],0)),"Não")</f>
        <v>Não</v>
      </c>
      <c r="P2988" s="4">
        <f>IF(COUNTIFS(INDEX(tItens[Edital],1):tItens[[#This Row],[Edital]],tItens[[#This Row],[Edital]],INDEX(tItens[Produto],1):tItens[[#This Row],[Produto]],tItens[[#This Row],[Produto]])=1,1,0)</f>
        <v>0</v>
      </c>
    </row>
    <row r="2989" spans="1:16" x14ac:dyDescent="0.25">
      <c r="A2989" t="s">
        <v>1385</v>
      </c>
      <c r="B2989">
        <v>8006853</v>
      </c>
      <c r="C2989" t="s">
        <v>5915</v>
      </c>
      <c r="D2989" t="s">
        <v>357</v>
      </c>
      <c r="E2989" s="13">
        <v>500</v>
      </c>
      <c r="F2989" s="12">
        <v>4.79</v>
      </c>
      <c r="G2989" t="str">
        <f>IFERROR(INDEX(tEditais[Órgão],MATCH(tItens[[#This Row],[Edital]],tEditais[Edital],0)),"")</f>
        <v>FUNDACAO HOSPITALAR MUNICIPAL JOAO HENRIQUE</v>
      </c>
      <c r="H2989" t="str">
        <f>IFERROR(INDEX(tEditais[UF],MATCH(tItens[[#This Row],[Edital]],tEditais[Edital],0)),"")</f>
        <v>MG</v>
      </c>
      <c r="I2989" s="11">
        <f>IFERROR(INDEX(tEditais[Encerramento],MATCH(tItens[[#This Row],[Edital]],tEditais[Edital],0)),"")</f>
        <v>46308.375</v>
      </c>
      <c r="J2989" t="str">
        <f>IFERROR(INDEX(tProdutos[Classe],MATCH(tItens[[#This Row],[Produto]],tProdutos[Produto],0)),"produto não cadastrado")</f>
        <v>FORA</v>
      </c>
      <c r="K2989" s="12">
        <f>tItens[[#This Row],[Qtd]]*tItens[[#This Row],[Vlr unit]]</f>
        <v>2395</v>
      </c>
      <c r="L2989" s="6">
        <f>IFERROR(IF(INDEX(tProdutos[Desconto homologado],MATCH(tItens[[#This Row],[Produto]],tProdutos[Produto],0))="",DescontoPadrao,INDEX(tProdutos[Desconto homologado],MATCH(tItens[[#This Row],[Produto]],tProdutos[Produto],0))),DescontoPadrao)</f>
        <v>0.38730158730158698</v>
      </c>
      <c r="M2989" s="12">
        <f>tItens[[#This Row],[Valor]]*(1-tItens[[#This Row],[Desconto]])</f>
        <v>1467.412698412699</v>
      </c>
      <c r="N2989" t="str">
        <f>IFERROR(INDEX(tProdutos[Foco],MATCH(tItens[[#This Row],[Produto]],tProdutos[Produto],0)),"Não")</f>
        <v>Não</v>
      </c>
      <c r="O2989" t="str">
        <f>IFERROR(INDEX(tEditais[SRP],MATCH(tItens[[#This Row],[Edital]],tEditais[Edital],0)),"Não")</f>
        <v>Não</v>
      </c>
      <c r="P2989" s="4">
        <f>IF(COUNTIFS(INDEX(tItens[Edital],1):tItens[[#This Row],[Edital]],tItens[[#This Row],[Edital]],INDEX(tItens[Produto],1):tItens[[#This Row],[Produto]],tItens[[#This Row],[Produto]])=1,1,0)</f>
        <v>1</v>
      </c>
    </row>
    <row r="2990" spans="1:16" x14ac:dyDescent="0.25">
      <c r="A2990" t="s">
        <v>1385</v>
      </c>
      <c r="B2990">
        <v>8006854</v>
      </c>
      <c r="C2990" t="s">
        <v>5916</v>
      </c>
      <c r="D2990" t="s">
        <v>357</v>
      </c>
      <c r="E2990" s="13">
        <v>500</v>
      </c>
      <c r="F2990" s="12">
        <v>4.79</v>
      </c>
      <c r="G2990" t="str">
        <f>IFERROR(INDEX(tEditais[Órgão],MATCH(tItens[[#This Row],[Edital]],tEditais[Edital],0)),"")</f>
        <v>FUNDACAO HOSPITALAR MUNICIPAL JOAO HENRIQUE</v>
      </c>
      <c r="H2990" t="str">
        <f>IFERROR(INDEX(tEditais[UF],MATCH(tItens[[#This Row],[Edital]],tEditais[Edital],0)),"")</f>
        <v>MG</v>
      </c>
      <c r="I2990" s="11">
        <f>IFERROR(INDEX(tEditais[Encerramento],MATCH(tItens[[#This Row],[Edital]],tEditais[Edital],0)),"")</f>
        <v>46308.375</v>
      </c>
      <c r="J2990" t="str">
        <f>IFERROR(INDEX(tProdutos[Classe],MATCH(tItens[[#This Row],[Produto]],tProdutos[Produto],0)),"produto não cadastrado")</f>
        <v>FORA</v>
      </c>
      <c r="K2990" s="12">
        <f>tItens[[#This Row],[Qtd]]*tItens[[#This Row],[Vlr unit]]</f>
        <v>2395</v>
      </c>
      <c r="L2990" s="6">
        <f>IFERROR(IF(INDEX(tProdutos[Desconto homologado],MATCH(tItens[[#This Row],[Produto]],tProdutos[Produto],0))="",DescontoPadrao,INDEX(tProdutos[Desconto homologado],MATCH(tItens[[#This Row],[Produto]],tProdutos[Produto],0))),DescontoPadrao)</f>
        <v>0.38730158730158698</v>
      </c>
      <c r="M2990" s="12">
        <f>tItens[[#This Row],[Valor]]*(1-tItens[[#This Row],[Desconto]])</f>
        <v>1467.412698412699</v>
      </c>
      <c r="N2990" t="str">
        <f>IFERROR(INDEX(tProdutos[Foco],MATCH(tItens[[#This Row],[Produto]],tProdutos[Produto],0)),"Não")</f>
        <v>Não</v>
      </c>
      <c r="O2990" t="str">
        <f>IFERROR(INDEX(tEditais[SRP],MATCH(tItens[[#This Row],[Edital]],tEditais[Edital],0)),"Não")</f>
        <v>Não</v>
      </c>
      <c r="P2990" s="4">
        <f>IF(COUNTIFS(INDEX(tItens[Edital],1):tItens[[#This Row],[Edital]],tItens[[#This Row],[Edital]],INDEX(tItens[Produto],1):tItens[[#This Row],[Produto]],tItens[[#This Row],[Produto]])=1,1,0)</f>
        <v>0</v>
      </c>
    </row>
    <row r="2991" spans="1:16" x14ac:dyDescent="0.25">
      <c r="A2991" t="s">
        <v>1385</v>
      </c>
      <c r="B2991">
        <v>8006855</v>
      </c>
      <c r="C2991" t="s">
        <v>5917</v>
      </c>
      <c r="D2991" t="s">
        <v>611</v>
      </c>
      <c r="E2991" s="13">
        <v>50</v>
      </c>
      <c r="F2991" s="12">
        <v>33.75</v>
      </c>
      <c r="G2991" t="str">
        <f>IFERROR(INDEX(tEditais[Órgão],MATCH(tItens[[#This Row],[Edital]],tEditais[Edital],0)),"")</f>
        <v>FUNDACAO HOSPITALAR MUNICIPAL JOAO HENRIQUE</v>
      </c>
      <c r="H2991" t="str">
        <f>IFERROR(INDEX(tEditais[UF],MATCH(tItens[[#This Row],[Edital]],tEditais[Edital],0)),"")</f>
        <v>MG</v>
      </c>
      <c r="I2991" s="11">
        <f>IFERROR(INDEX(tEditais[Encerramento],MATCH(tItens[[#This Row],[Edital]],tEditais[Edital],0)),"")</f>
        <v>46308.375</v>
      </c>
      <c r="J2991" t="str">
        <f>IFERROR(INDEX(tProdutos[Classe],MATCH(tItens[[#This Row],[Produto]],tProdutos[Produto],0)),"produto não cadastrado")</f>
        <v>FILA REBASE</v>
      </c>
      <c r="K2991" s="12">
        <f>tItens[[#This Row],[Qtd]]*tItens[[#This Row],[Vlr unit]]</f>
        <v>1687.5</v>
      </c>
      <c r="L2991" s="6">
        <f>IFERROR(IF(INDEX(tProdutos[Desconto homologado],MATCH(tItens[[#This Row],[Produto]],tProdutos[Produto],0))="",DescontoPadrao,INDEX(tProdutos[Desconto homologado],MATCH(tItens[[#This Row],[Produto]],tProdutos[Produto],0))),DescontoPadrao)</f>
        <v>0.3</v>
      </c>
      <c r="M2991" s="12">
        <f>tItens[[#This Row],[Valor]]*(1-tItens[[#This Row],[Desconto]])</f>
        <v>1181.25</v>
      </c>
      <c r="N2991" t="str">
        <f>IFERROR(INDEX(tProdutos[Foco],MATCH(tItens[[#This Row],[Produto]],tProdutos[Produto],0)),"Não")</f>
        <v>Não</v>
      </c>
      <c r="O2991" t="str">
        <f>IFERROR(INDEX(tEditais[SRP],MATCH(tItens[[#This Row],[Edital]],tEditais[Edital],0)),"Não")</f>
        <v>Não</v>
      </c>
      <c r="P2991" s="4">
        <f>IF(COUNTIFS(INDEX(tItens[Edital],1):tItens[[#This Row],[Edital]],tItens[[#This Row],[Edital]],INDEX(tItens[Produto],1):tItens[[#This Row],[Produto]],tItens[[#This Row],[Produto]])=1,1,0)</f>
        <v>1</v>
      </c>
    </row>
    <row r="2992" spans="1:16" x14ac:dyDescent="0.25">
      <c r="A2992" t="s">
        <v>1385</v>
      </c>
      <c r="B2992">
        <v>8006856</v>
      </c>
      <c r="C2992" t="s">
        <v>5918</v>
      </c>
      <c r="D2992" t="s">
        <v>611</v>
      </c>
      <c r="E2992" s="13">
        <v>20</v>
      </c>
      <c r="F2992" s="12">
        <v>255.53</v>
      </c>
      <c r="G2992" t="str">
        <f>IFERROR(INDEX(tEditais[Órgão],MATCH(tItens[[#This Row],[Edital]],tEditais[Edital],0)),"")</f>
        <v>FUNDACAO HOSPITALAR MUNICIPAL JOAO HENRIQUE</v>
      </c>
      <c r="H2992" t="str">
        <f>IFERROR(INDEX(tEditais[UF],MATCH(tItens[[#This Row],[Edital]],tEditais[Edital],0)),"")</f>
        <v>MG</v>
      </c>
      <c r="I2992" s="11">
        <f>IFERROR(INDEX(tEditais[Encerramento],MATCH(tItens[[#This Row],[Edital]],tEditais[Edital],0)),"")</f>
        <v>46308.375</v>
      </c>
      <c r="J2992" t="str">
        <f>IFERROR(INDEX(tProdutos[Classe],MATCH(tItens[[#This Row],[Produto]],tProdutos[Produto],0)),"produto não cadastrado")</f>
        <v>FILA REBASE</v>
      </c>
      <c r="K2992" s="12">
        <f>tItens[[#This Row],[Qtd]]*tItens[[#This Row],[Vlr unit]]</f>
        <v>5110.6000000000004</v>
      </c>
      <c r="L2992" s="6">
        <f>IFERROR(IF(INDEX(tProdutos[Desconto homologado],MATCH(tItens[[#This Row],[Produto]],tProdutos[Produto],0))="",DescontoPadrao,INDEX(tProdutos[Desconto homologado],MATCH(tItens[[#This Row],[Produto]],tProdutos[Produto],0))),DescontoPadrao)</f>
        <v>0.3</v>
      </c>
      <c r="M2992" s="12">
        <f>tItens[[#This Row],[Valor]]*(1-tItens[[#This Row],[Desconto]])</f>
        <v>3577.42</v>
      </c>
      <c r="N2992" t="str">
        <f>IFERROR(INDEX(tProdutos[Foco],MATCH(tItens[[#This Row],[Produto]],tProdutos[Produto],0)),"Não")</f>
        <v>Não</v>
      </c>
      <c r="O2992" t="str">
        <f>IFERROR(INDEX(tEditais[SRP],MATCH(tItens[[#This Row],[Edital]],tEditais[Edital],0)),"Não")</f>
        <v>Não</v>
      </c>
      <c r="P2992" s="4">
        <f>IF(COUNTIFS(INDEX(tItens[Edital],1):tItens[[#This Row],[Edital]],tItens[[#This Row],[Edital]],INDEX(tItens[Produto],1):tItens[[#This Row],[Produto]],tItens[[#This Row],[Produto]])=1,1,0)</f>
        <v>0</v>
      </c>
    </row>
    <row r="2993" spans="1:16" x14ac:dyDescent="0.25">
      <c r="A2993" t="s">
        <v>1385</v>
      </c>
      <c r="B2993">
        <v>8006857</v>
      </c>
      <c r="C2993" t="s">
        <v>5919</v>
      </c>
      <c r="D2993" t="s">
        <v>269</v>
      </c>
      <c r="E2993" s="13">
        <v>7000</v>
      </c>
      <c r="F2993" s="12">
        <v>7.34</v>
      </c>
      <c r="G2993" t="str">
        <f>IFERROR(INDEX(tEditais[Órgão],MATCH(tItens[[#This Row],[Edital]],tEditais[Edital],0)),"")</f>
        <v>FUNDACAO HOSPITALAR MUNICIPAL JOAO HENRIQUE</v>
      </c>
      <c r="H2993" t="str">
        <f>IFERROR(INDEX(tEditais[UF],MATCH(tItens[[#This Row],[Edital]],tEditais[Edital],0)),"")</f>
        <v>MG</v>
      </c>
      <c r="I2993" s="11">
        <f>IFERROR(INDEX(tEditais[Encerramento],MATCH(tItens[[#This Row],[Edital]],tEditais[Edital],0)),"")</f>
        <v>46308.375</v>
      </c>
      <c r="J2993" t="str">
        <f>IFERROR(INDEX(tProdutos[Classe],MATCH(tItens[[#This Row],[Produto]],tProdutos[Produto],0)),"produto não cadastrado")</f>
        <v>FORA</v>
      </c>
      <c r="K2993" s="12">
        <f>tItens[[#This Row],[Qtd]]*tItens[[#This Row],[Vlr unit]]</f>
        <v>51380</v>
      </c>
      <c r="L2993" s="6">
        <f>IFERROR(IF(INDEX(tProdutos[Desconto homologado],MATCH(tItens[[#This Row],[Produto]],tProdutos[Produto],0))="",DescontoPadrao,INDEX(tProdutos[Desconto homologado],MATCH(tItens[[#This Row],[Produto]],tProdutos[Produto],0))),DescontoPadrao)</f>
        <v>0.28935117103332197</v>
      </c>
      <c r="M2993" s="12">
        <f>tItens[[#This Row],[Valor]]*(1-tItens[[#This Row],[Desconto]])</f>
        <v>36513.136832307915</v>
      </c>
      <c r="N2993" t="str">
        <f>IFERROR(INDEX(tProdutos[Foco],MATCH(tItens[[#This Row],[Produto]],tProdutos[Produto],0)),"Não")</f>
        <v>Não</v>
      </c>
      <c r="O2993" t="str">
        <f>IFERROR(INDEX(tEditais[SRP],MATCH(tItens[[#This Row],[Edital]],tEditais[Edital],0)),"Não")</f>
        <v>Não</v>
      </c>
      <c r="P2993" s="4">
        <f>IF(COUNTIFS(INDEX(tItens[Edital],1):tItens[[#This Row],[Edital]],tItens[[#This Row],[Edital]],INDEX(tItens[Produto],1):tItens[[#This Row],[Produto]],tItens[[#This Row],[Produto]])=1,1,0)</f>
        <v>1</v>
      </c>
    </row>
    <row r="2994" spans="1:16" x14ac:dyDescent="0.25">
      <c r="A2994" t="s">
        <v>1385</v>
      </c>
      <c r="B2994">
        <v>8006858</v>
      </c>
      <c r="C2994" t="s">
        <v>5920</v>
      </c>
      <c r="D2994" t="s">
        <v>269</v>
      </c>
      <c r="E2994" s="13">
        <v>4000</v>
      </c>
      <c r="F2994" s="12">
        <v>9.5299999999999994</v>
      </c>
      <c r="G2994" t="str">
        <f>IFERROR(INDEX(tEditais[Órgão],MATCH(tItens[[#This Row],[Edital]],tEditais[Edital],0)),"")</f>
        <v>FUNDACAO HOSPITALAR MUNICIPAL JOAO HENRIQUE</v>
      </c>
      <c r="H2994" t="str">
        <f>IFERROR(INDEX(tEditais[UF],MATCH(tItens[[#This Row],[Edital]],tEditais[Edital],0)),"")</f>
        <v>MG</v>
      </c>
      <c r="I2994" s="11">
        <f>IFERROR(INDEX(tEditais[Encerramento],MATCH(tItens[[#This Row],[Edital]],tEditais[Edital],0)),"")</f>
        <v>46308.375</v>
      </c>
      <c r="J2994" t="str">
        <f>IFERROR(INDEX(tProdutos[Classe],MATCH(tItens[[#This Row],[Produto]],tProdutos[Produto],0)),"produto não cadastrado")</f>
        <v>FORA</v>
      </c>
      <c r="K2994" s="12">
        <f>tItens[[#This Row],[Qtd]]*tItens[[#This Row],[Vlr unit]]</f>
        <v>38120</v>
      </c>
      <c r="L2994" s="6">
        <f>IFERROR(IF(INDEX(tProdutos[Desconto homologado],MATCH(tItens[[#This Row],[Produto]],tProdutos[Produto],0))="",DescontoPadrao,INDEX(tProdutos[Desconto homologado],MATCH(tItens[[#This Row],[Produto]],tProdutos[Produto],0))),DescontoPadrao)</f>
        <v>0.28935117103332197</v>
      </c>
      <c r="M2994" s="12">
        <f>tItens[[#This Row],[Valor]]*(1-tItens[[#This Row],[Desconto]])</f>
        <v>27089.933360209765</v>
      </c>
      <c r="N2994" t="str">
        <f>IFERROR(INDEX(tProdutos[Foco],MATCH(tItens[[#This Row],[Produto]],tProdutos[Produto],0)),"Não")</f>
        <v>Não</v>
      </c>
      <c r="O2994" t="str">
        <f>IFERROR(INDEX(tEditais[SRP],MATCH(tItens[[#This Row],[Edital]],tEditais[Edital],0)),"Não")</f>
        <v>Não</v>
      </c>
      <c r="P2994" s="4">
        <f>IF(COUNTIFS(INDEX(tItens[Edital],1):tItens[[#This Row],[Edital]],tItens[[#This Row],[Edital]],INDEX(tItens[Produto],1):tItens[[#This Row],[Produto]],tItens[[#This Row],[Produto]])=1,1,0)</f>
        <v>0</v>
      </c>
    </row>
    <row r="2995" spans="1:16" x14ac:dyDescent="0.25">
      <c r="A2995" t="s">
        <v>1385</v>
      </c>
      <c r="B2995">
        <v>8006859</v>
      </c>
      <c r="C2995" t="s">
        <v>5921</v>
      </c>
      <c r="D2995" t="s">
        <v>269</v>
      </c>
      <c r="E2995" s="13">
        <v>10000</v>
      </c>
      <c r="F2995" s="12">
        <v>2.93</v>
      </c>
      <c r="G2995" t="str">
        <f>IFERROR(INDEX(tEditais[Órgão],MATCH(tItens[[#This Row],[Edital]],tEditais[Edital],0)),"")</f>
        <v>FUNDACAO HOSPITALAR MUNICIPAL JOAO HENRIQUE</v>
      </c>
      <c r="H2995" t="str">
        <f>IFERROR(INDEX(tEditais[UF],MATCH(tItens[[#This Row],[Edital]],tEditais[Edital],0)),"")</f>
        <v>MG</v>
      </c>
      <c r="I2995" s="11">
        <f>IFERROR(INDEX(tEditais[Encerramento],MATCH(tItens[[#This Row],[Edital]],tEditais[Edital],0)),"")</f>
        <v>46308.375</v>
      </c>
      <c r="J2995" t="str">
        <f>IFERROR(INDEX(tProdutos[Classe],MATCH(tItens[[#This Row],[Produto]],tProdutos[Produto],0)),"produto não cadastrado")</f>
        <v>FORA</v>
      </c>
      <c r="K2995" s="12">
        <f>tItens[[#This Row],[Qtd]]*tItens[[#This Row],[Vlr unit]]</f>
        <v>29300</v>
      </c>
      <c r="L2995" s="6">
        <f>IFERROR(IF(INDEX(tProdutos[Desconto homologado],MATCH(tItens[[#This Row],[Produto]],tProdutos[Produto],0))="",DescontoPadrao,INDEX(tProdutos[Desconto homologado],MATCH(tItens[[#This Row],[Produto]],tProdutos[Produto],0))),DescontoPadrao)</f>
        <v>0.28935117103332197</v>
      </c>
      <c r="M2995" s="12">
        <f>tItens[[#This Row],[Valor]]*(1-tItens[[#This Row],[Desconto]])</f>
        <v>20822.010688723665</v>
      </c>
      <c r="N2995" t="str">
        <f>IFERROR(INDEX(tProdutos[Foco],MATCH(tItens[[#This Row],[Produto]],tProdutos[Produto],0)),"Não")</f>
        <v>Não</v>
      </c>
      <c r="O2995" t="str">
        <f>IFERROR(INDEX(tEditais[SRP],MATCH(tItens[[#This Row],[Edital]],tEditais[Edital],0)),"Não")</f>
        <v>Não</v>
      </c>
      <c r="P2995" s="4">
        <f>IF(COUNTIFS(INDEX(tItens[Edital],1):tItens[[#This Row],[Edital]],tItens[[#This Row],[Edital]],INDEX(tItens[Produto],1):tItens[[#This Row],[Produto]],tItens[[#This Row],[Produto]])=1,1,0)</f>
        <v>0</v>
      </c>
    </row>
    <row r="2996" spans="1:16" x14ac:dyDescent="0.25">
      <c r="A2996" t="s">
        <v>1385</v>
      </c>
      <c r="B2996">
        <v>8006886</v>
      </c>
      <c r="C2996" t="s">
        <v>5922</v>
      </c>
      <c r="D2996" t="s">
        <v>331</v>
      </c>
      <c r="E2996" s="13">
        <v>3000</v>
      </c>
      <c r="F2996" s="12">
        <v>10.199999999999999</v>
      </c>
      <c r="G2996" t="str">
        <f>IFERROR(INDEX(tEditais[Órgão],MATCH(tItens[[#This Row],[Edital]],tEditais[Edital],0)),"")</f>
        <v>FUNDACAO HOSPITALAR MUNICIPAL JOAO HENRIQUE</v>
      </c>
      <c r="H2996" t="str">
        <f>IFERROR(INDEX(tEditais[UF],MATCH(tItens[[#This Row],[Edital]],tEditais[Edital],0)),"")</f>
        <v>MG</v>
      </c>
      <c r="I2996" s="11">
        <f>IFERROR(INDEX(tEditais[Encerramento],MATCH(tItens[[#This Row],[Edital]],tEditais[Edital],0)),"")</f>
        <v>46308.375</v>
      </c>
      <c r="J2996" t="str">
        <f>IFERROR(INDEX(tProdutos[Classe],MATCH(tItens[[#This Row],[Produto]],tProdutos[Produto],0)),"produto não cadastrado")</f>
        <v>FORA</v>
      </c>
      <c r="K2996" s="12">
        <f>tItens[[#This Row],[Qtd]]*tItens[[#This Row],[Vlr unit]]</f>
        <v>30599.999999999996</v>
      </c>
      <c r="L2996" s="6">
        <f>IFERROR(IF(INDEX(tProdutos[Desconto homologado],MATCH(tItens[[#This Row],[Produto]],tProdutos[Produto],0))="",DescontoPadrao,INDEX(tProdutos[Desconto homologado],MATCH(tItens[[#This Row],[Produto]],tProdutos[Produto],0))),DescontoPadrao)</f>
        <v>0.45927812223206399</v>
      </c>
      <c r="M2996" s="12">
        <f>tItens[[#This Row],[Valor]]*(1-tItens[[#This Row],[Desconto]])</f>
        <v>16546.08945969884</v>
      </c>
      <c r="N2996" t="str">
        <f>IFERROR(INDEX(tProdutos[Foco],MATCH(tItens[[#This Row],[Produto]],tProdutos[Produto],0)),"Não")</f>
        <v>Não</v>
      </c>
      <c r="O2996" t="str">
        <f>IFERROR(INDEX(tEditais[SRP],MATCH(tItens[[#This Row],[Edital]],tEditais[Edital],0)),"Não")</f>
        <v>Não</v>
      </c>
      <c r="P2996" s="4">
        <f>IF(COUNTIFS(INDEX(tItens[Edital],1):tItens[[#This Row],[Edital]],tItens[[#This Row],[Edital]],INDEX(tItens[Produto],1):tItens[[#This Row],[Produto]],tItens[[#This Row],[Produto]])=1,1,0)</f>
        <v>1</v>
      </c>
    </row>
    <row r="2997" spans="1:16" x14ac:dyDescent="0.25">
      <c r="A2997" t="s">
        <v>1385</v>
      </c>
      <c r="B2997">
        <v>8006887</v>
      </c>
      <c r="C2997" t="s">
        <v>5923</v>
      </c>
      <c r="D2997" t="s">
        <v>229</v>
      </c>
      <c r="E2997" s="13">
        <v>1000</v>
      </c>
      <c r="F2997" s="12">
        <v>10.64</v>
      </c>
      <c r="G2997" t="str">
        <f>IFERROR(INDEX(tEditais[Órgão],MATCH(tItens[[#This Row],[Edital]],tEditais[Edital],0)),"")</f>
        <v>FUNDACAO HOSPITALAR MUNICIPAL JOAO HENRIQUE</v>
      </c>
      <c r="H2997" t="str">
        <f>IFERROR(INDEX(tEditais[UF],MATCH(tItens[[#This Row],[Edital]],tEditais[Edital],0)),"")</f>
        <v>MG</v>
      </c>
      <c r="I2997" s="11">
        <f>IFERROR(INDEX(tEditais[Encerramento],MATCH(tItens[[#This Row],[Edital]],tEditais[Edital],0)),"")</f>
        <v>46308.375</v>
      </c>
      <c r="J2997" t="str">
        <f>IFERROR(INDEX(tProdutos[Classe],MATCH(tItens[[#This Row],[Produto]],tProdutos[Produto],0)),"produto não cadastrado")</f>
        <v>FORA</v>
      </c>
      <c r="K2997" s="12">
        <f>tItens[[#This Row],[Qtd]]*tItens[[#This Row],[Vlr unit]]</f>
        <v>10640</v>
      </c>
      <c r="L2997" s="6">
        <f>IFERROR(IF(INDEX(tProdutos[Desconto homologado],MATCH(tItens[[#This Row],[Produto]],tProdutos[Produto],0))="",DescontoPadrao,INDEX(tProdutos[Desconto homologado],MATCH(tItens[[#This Row],[Produto]],tProdutos[Produto],0))),DescontoPadrao)</f>
        <v>0.33093491191658198</v>
      </c>
      <c r="M2997" s="12">
        <f>tItens[[#This Row],[Valor]]*(1-tItens[[#This Row],[Desconto]])</f>
        <v>7118.8525372075674</v>
      </c>
      <c r="N2997" t="str">
        <f>IFERROR(INDEX(tProdutos[Foco],MATCH(tItens[[#This Row],[Produto]],tProdutos[Produto],0)),"Não")</f>
        <v>Não</v>
      </c>
      <c r="O2997" t="str">
        <f>IFERROR(INDEX(tEditais[SRP],MATCH(tItens[[#This Row],[Edital]],tEditais[Edital],0)),"Não")</f>
        <v>Não</v>
      </c>
      <c r="P2997" s="4">
        <f>IF(COUNTIFS(INDEX(tItens[Edital],1):tItens[[#This Row],[Edital]],tItens[[#This Row],[Edital]],INDEX(tItens[Produto],1):tItens[[#This Row],[Produto]],tItens[[#This Row],[Produto]])=1,1,0)</f>
        <v>1</v>
      </c>
    </row>
    <row r="2998" spans="1:16" x14ac:dyDescent="0.25">
      <c r="A2998" t="s">
        <v>1385</v>
      </c>
      <c r="B2998">
        <v>8006888</v>
      </c>
      <c r="C2998" t="s">
        <v>5924</v>
      </c>
      <c r="D2998" t="s">
        <v>333</v>
      </c>
      <c r="E2998" s="13">
        <v>50000</v>
      </c>
      <c r="F2998" s="12">
        <v>3.42</v>
      </c>
      <c r="G2998" t="str">
        <f>IFERROR(INDEX(tEditais[Órgão],MATCH(tItens[[#This Row],[Edital]],tEditais[Edital],0)),"")</f>
        <v>FUNDACAO HOSPITALAR MUNICIPAL JOAO HENRIQUE</v>
      </c>
      <c r="H2998" t="str">
        <f>IFERROR(INDEX(tEditais[UF],MATCH(tItens[[#This Row],[Edital]],tEditais[Edital],0)),"")</f>
        <v>MG</v>
      </c>
      <c r="I2998" s="11">
        <f>IFERROR(INDEX(tEditais[Encerramento],MATCH(tItens[[#This Row],[Edital]],tEditais[Edital],0)),"")</f>
        <v>46308.375</v>
      </c>
      <c r="J2998" t="str">
        <f>IFERROR(INDEX(tProdutos[Classe],MATCH(tItens[[#This Row],[Produto]],tProdutos[Produto],0)),"produto não cadastrado")</f>
        <v>FORA</v>
      </c>
      <c r="K2998" s="12">
        <f>tItens[[#This Row],[Qtd]]*tItens[[#This Row],[Vlr unit]]</f>
        <v>171000</v>
      </c>
      <c r="L2998" s="6">
        <f>IFERROR(IF(INDEX(tProdutos[Desconto homologado],MATCH(tItens[[#This Row],[Produto]],tProdutos[Produto],0))="",DescontoPadrao,INDEX(tProdutos[Desconto homologado],MATCH(tItens[[#This Row],[Produto]],tProdutos[Produto],0))),DescontoPadrao)</f>
        <v>0.48951048951048998</v>
      </c>
      <c r="M2998" s="12">
        <f>tItens[[#This Row],[Valor]]*(1-tItens[[#This Row],[Desconto]])</f>
        <v>87293.7062937062</v>
      </c>
      <c r="N2998" t="str">
        <f>IFERROR(INDEX(tProdutos[Foco],MATCH(tItens[[#This Row],[Produto]],tProdutos[Produto],0)),"Não")</f>
        <v>Não</v>
      </c>
      <c r="O2998" t="str">
        <f>IFERROR(INDEX(tEditais[SRP],MATCH(tItens[[#This Row],[Edital]],tEditais[Edital],0)),"Não")</f>
        <v>Não</v>
      </c>
      <c r="P2998" s="4">
        <f>IF(COUNTIFS(INDEX(tItens[Edital],1):tItens[[#This Row],[Edital]],tItens[[#This Row],[Edital]],INDEX(tItens[Produto],1):tItens[[#This Row],[Produto]],tItens[[#This Row],[Produto]])=1,1,0)</f>
        <v>1</v>
      </c>
    </row>
    <row r="2999" spans="1:16" x14ac:dyDescent="0.25">
      <c r="A2999" t="s">
        <v>1385</v>
      </c>
      <c r="B2999">
        <v>8006889</v>
      </c>
      <c r="C2999" t="s">
        <v>5925</v>
      </c>
      <c r="D2999" t="s">
        <v>187</v>
      </c>
      <c r="E2999" s="13">
        <v>2000</v>
      </c>
      <c r="F2999" s="12">
        <v>2.75</v>
      </c>
      <c r="G2999" t="str">
        <f>IFERROR(INDEX(tEditais[Órgão],MATCH(tItens[[#This Row],[Edital]],tEditais[Edital],0)),"")</f>
        <v>FUNDACAO HOSPITALAR MUNICIPAL JOAO HENRIQUE</v>
      </c>
      <c r="H2999" t="str">
        <f>IFERROR(INDEX(tEditais[UF],MATCH(tItens[[#This Row],[Edital]],tEditais[Edital],0)),"")</f>
        <v>MG</v>
      </c>
      <c r="I2999" s="11">
        <f>IFERROR(INDEX(tEditais[Encerramento],MATCH(tItens[[#This Row],[Edital]],tEditais[Edital],0)),"")</f>
        <v>46308.375</v>
      </c>
      <c r="J2999" t="str">
        <f>IFERROR(INDEX(tProdutos[Classe],MATCH(tItens[[#This Row],[Produto]],tProdutos[Produto],0)),"produto não cadastrado")</f>
        <v>DISPUTADO</v>
      </c>
      <c r="K2999" s="12">
        <f>tItens[[#This Row],[Qtd]]*tItens[[#This Row],[Vlr unit]]</f>
        <v>5500</v>
      </c>
      <c r="L2999" s="6">
        <f>IFERROR(IF(INDEX(tProdutos[Desconto homologado],MATCH(tItens[[#This Row],[Produto]],tProdutos[Produto],0))="",DescontoPadrao,INDEX(tProdutos[Desconto homologado],MATCH(tItens[[#This Row],[Produto]],tProdutos[Produto],0))),DescontoPadrao)</f>
        <v>0.44298820445609399</v>
      </c>
      <c r="M2999" s="12">
        <f>tItens[[#This Row],[Valor]]*(1-tItens[[#This Row],[Desconto]])</f>
        <v>3063.5648754914832</v>
      </c>
      <c r="N2999" t="str">
        <f>IFERROR(INDEX(tProdutos[Foco],MATCH(tItens[[#This Row],[Produto]],tProdutos[Produto],0)),"Não")</f>
        <v>Não</v>
      </c>
      <c r="O2999" t="str">
        <f>IFERROR(INDEX(tEditais[SRP],MATCH(tItens[[#This Row],[Edital]],tEditais[Edital],0)),"Não")</f>
        <v>Não</v>
      </c>
      <c r="P2999" s="4">
        <f>IF(COUNTIFS(INDEX(tItens[Edital],1):tItens[[#This Row],[Edital]],tItens[[#This Row],[Edital]],INDEX(tItens[Produto],1):tItens[[#This Row],[Produto]],tItens[[#This Row],[Produto]])=1,1,0)</f>
        <v>1</v>
      </c>
    </row>
    <row r="3000" spans="1:16" x14ac:dyDescent="0.25">
      <c r="A3000" t="s">
        <v>1385</v>
      </c>
      <c r="B3000">
        <v>8006890</v>
      </c>
      <c r="C3000" t="s">
        <v>5926</v>
      </c>
      <c r="D3000" t="s">
        <v>331</v>
      </c>
      <c r="E3000" s="13">
        <v>3000</v>
      </c>
      <c r="F3000" s="12">
        <v>3.25</v>
      </c>
      <c r="G3000" t="str">
        <f>IFERROR(INDEX(tEditais[Órgão],MATCH(tItens[[#This Row],[Edital]],tEditais[Edital],0)),"")</f>
        <v>FUNDACAO HOSPITALAR MUNICIPAL JOAO HENRIQUE</v>
      </c>
      <c r="H3000" t="str">
        <f>IFERROR(INDEX(tEditais[UF],MATCH(tItens[[#This Row],[Edital]],tEditais[Edital],0)),"")</f>
        <v>MG</v>
      </c>
      <c r="I3000" s="11">
        <f>IFERROR(INDEX(tEditais[Encerramento],MATCH(tItens[[#This Row],[Edital]],tEditais[Edital],0)),"")</f>
        <v>46308.375</v>
      </c>
      <c r="J3000" t="str">
        <f>IFERROR(INDEX(tProdutos[Classe],MATCH(tItens[[#This Row],[Produto]],tProdutos[Produto],0)),"produto não cadastrado")</f>
        <v>FORA</v>
      </c>
      <c r="K3000" s="12">
        <f>tItens[[#This Row],[Qtd]]*tItens[[#This Row],[Vlr unit]]</f>
        <v>9750</v>
      </c>
      <c r="L3000" s="6">
        <f>IFERROR(IF(INDEX(tProdutos[Desconto homologado],MATCH(tItens[[#This Row],[Produto]],tProdutos[Produto],0))="",DescontoPadrao,INDEX(tProdutos[Desconto homologado],MATCH(tItens[[#This Row],[Produto]],tProdutos[Produto],0))),DescontoPadrao)</f>
        <v>0.45927812223206399</v>
      </c>
      <c r="M3000" s="12">
        <f>tItens[[#This Row],[Valor]]*(1-tItens[[#This Row],[Desconto]])</f>
        <v>5272.0383082373764</v>
      </c>
      <c r="N3000" t="str">
        <f>IFERROR(INDEX(tProdutos[Foco],MATCH(tItens[[#This Row],[Produto]],tProdutos[Produto],0)),"Não")</f>
        <v>Não</v>
      </c>
      <c r="O3000" t="str">
        <f>IFERROR(INDEX(tEditais[SRP],MATCH(tItens[[#This Row],[Edital]],tEditais[Edital],0)),"Não")</f>
        <v>Não</v>
      </c>
      <c r="P3000" s="4">
        <f>IF(COUNTIFS(INDEX(tItens[Edital],1):tItens[[#This Row],[Edital]],tItens[[#This Row],[Edital]],INDEX(tItens[Produto],1):tItens[[#This Row],[Produto]],tItens[[#This Row],[Produto]])=1,1,0)</f>
        <v>0</v>
      </c>
    </row>
    <row r="3001" spans="1:16" x14ac:dyDescent="0.25">
      <c r="A3001" t="s">
        <v>1385</v>
      </c>
      <c r="B3001">
        <v>8006891</v>
      </c>
      <c r="C3001" t="s">
        <v>5927</v>
      </c>
      <c r="D3001" t="s">
        <v>229</v>
      </c>
      <c r="E3001" s="13">
        <v>3000</v>
      </c>
      <c r="F3001" s="12">
        <v>7.17</v>
      </c>
      <c r="G3001" t="str">
        <f>IFERROR(INDEX(tEditais[Órgão],MATCH(tItens[[#This Row],[Edital]],tEditais[Edital],0)),"")</f>
        <v>FUNDACAO HOSPITALAR MUNICIPAL JOAO HENRIQUE</v>
      </c>
      <c r="H3001" t="str">
        <f>IFERROR(INDEX(tEditais[UF],MATCH(tItens[[#This Row],[Edital]],tEditais[Edital],0)),"")</f>
        <v>MG</v>
      </c>
      <c r="I3001" s="11">
        <f>IFERROR(INDEX(tEditais[Encerramento],MATCH(tItens[[#This Row],[Edital]],tEditais[Edital],0)),"")</f>
        <v>46308.375</v>
      </c>
      <c r="J3001" t="str">
        <f>IFERROR(INDEX(tProdutos[Classe],MATCH(tItens[[#This Row],[Produto]],tProdutos[Produto],0)),"produto não cadastrado")</f>
        <v>FORA</v>
      </c>
      <c r="K3001" s="12">
        <f>tItens[[#This Row],[Qtd]]*tItens[[#This Row],[Vlr unit]]</f>
        <v>21510</v>
      </c>
      <c r="L3001" s="6">
        <f>IFERROR(IF(INDEX(tProdutos[Desconto homologado],MATCH(tItens[[#This Row],[Produto]],tProdutos[Produto],0))="",DescontoPadrao,INDEX(tProdutos[Desconto homologado],MATCH(tItens[[#This Row],[Produto]],tProdutos[Produto],0))),DescontoPadrao)</f>
        <v>0.33093491191658198</v>
      </c>
      <c r="M3001" s="12">
        <f>tItens[[#This Row],[Valor]]*(1-tItens[[#This Row],[Desconto]])</f>
        <v>14391.590044674322</v>
      </c>
      <c r="N3001" t="str">
        <f>IFERROR(INDEX(tProdutos[Foco],MATCH(tItens[[#This Row],[Produto]],tProdutos[Produto],0)),"Não")</f>
        <v>Não</v>
      </c>
      <c r="O3001" t="str">
        <f>IFERROR(INDEX(tEditais[SRP],MATCH(tItens[[#This Row],[Edital]],tEditais[Edital],0)),"Não")</f>
        <v>Não</v>
      </c>
      <c r="P3001" s="4">
        <f>IF(COUNTIFS(INDEX(tItens[Edital],1):tItens[[#This Row],[Edital]],tItens[[#This Row],[Edital]],INDEX(tItens[Produto],1):tItens[[#This Row],[Produto]],tItens[[#This Row],[Produto]])=1,1,0)</f>
        <v>0</v>
      </c>
    </row>
    <row r="3002" spans="1:16" x14ac:dyDescent="0.25">
      <c r="A3002" t="s">
        <v>1385</v>
      </c>
      <c r="B3002">
        <v>8006892</v>
      </c>
      <c r="C3002" t="s">
        <v>5928</v>
      </c>
      <c r="D3002" t="s">
        <v>102</v>
      </c>
      <c r="E3002" s="13">
        <v>1000</v>
      </c>
      <c r="F3002" s="12">
        <v>6.02</v>
      </c>
      <c r="G3002" t="str">
        <f>IFERROR(INDEX(tEditais[Órgão],MATCH(tItens[[#This Row],[Edital]],tEditais[Edital],0)),"")</f>
        <v>FUNDACAO HOSPITALAR MUNICIPAL JOAO HENRIQUE</v>
      </c>
      <c r="H3002" t="str">
        <f>IFERROR(INDEX(tEditais[UF],MATCH(tItens[[#This Row],[Edital]],tEditais[Edital],0)),"")</f>
        <v>MG</v>
      </c>
      <c r="I3002" s="11">
        <f>IFERROR(INDEX(tEditais[Encerramento],MATCH(tItens[[#This Row],[Edital]],tEditais[Edital],0)),"")</f>
        <v>46308.375</v>
      </c>
      <c r="J3002" t="str">
        <f>IFERROR(INDEX(tProdutos[Classe],MATCH(tItens[[#This Row],[Produto]],tProdutos[Produto],0)),"produto não cadastrado")</f>
        <v>DISPUTADO</v>
      </c>
      <c r="K3002" s="12">
        <f>tItens[[#This Row],[Qtd]]*tItens[[#This Row],[Vlr unit]]</f>
        <v>6020</v>
      </c>
      <c r="L3002" s="6">
        <f>IFERROR(IF(INDEX(tProdutos[Desconto homologado],MATCH(tItens[[#This Row],[Produto]],tProdutos[Produto],0))="",DescontoPadrao,INDEX(tProdutos[Desconto homologado],MATCH(tItens[[#This Row],[Produto]],tProdutos[Produto],0))),DescontoPadrao)</f>
        <v>0.38053097345132803</v>
      </c>
      <c r="M3002" s="12">
        <f>tItens[[#This Row],[Valor]]*(1-tItens[[#This Row],[Desconto]])</f>
        <v>3729.2035398230055</v>
      </c>
      <c r="N3002" t="str">
        <f>IFERROR(INDEX(tProdutos[Foco],MATCH(tItens[[#This Row],[Produto]],tProdutos[Produto],0)),"Não")</f>
        <v>Não</v>
      </c>
      <c r="O3002" t="str">
        <f>IFERROR(INDEX(tEditais[SRP],MATCH(tItens[[#This Row],[Edital]],tEditais[Edital],0)),"Não")</f>
        <v>Não</v>
      </c>
      <c r="P3002" s="4">
        <f>IF(COUNTIFS(INDEX(tItens[Edital],1):tItens[[#This Row],[Edital]],tItens[[#This Row],[Edital]],INDEX(tItens[Produto],1):tItens[[#This Row],[Produto]],tItens[[#This Row],[Produto]])=1,1,0)</f>
        <v>1</v>
      </c>
    </row>
    <row r="3003" spans="1:16" x14ac:dyDescent="0.25">
      <c r="A3003" t="s">
        <v>1385</v>
      </c>
      <c r="B3003">
        <v>8006920</v>
      </c>
      <c r="C3003" t="s">
        <v>5929</v>
      </c>
      <c r="D3003" t="s">
        <v>90</v>
      </c>
      <c r="E3003" s="13">
        <v>8000</v>
      </c>
      <c r="F3003" s="12">
        <v>10.37</v>
      </c>
      <c r="G3003" t="str">
        <f>IFERROR(INDEX(tEditais[Órgão],MATCH(tItens[[#This Row],[Edital]],tEditais[Edital],0)),"")</f>
        <v>FUNDACAO HOSPITALAR MUNICIPAL JOAO HENRIQUE</v>
      </c>
      <c r="H3003" t="str">
        <f>IFERROR(INDEX(tEditais[UF],MATCH(tItens[[#This Row],[Edital]],tEditais[Edital],0)),"")</f>
        <v>MG</v>
      </c>
      <c r="I3003" s="11">
        <f>IFERROR(INDEX(tEditais[Encerramento],MATCH(tItens[[#This Row],[Edital]],tEditais[Edital],0)),"")</f>
        <v>46308.375</v>
      </c>
      <c r="J3003" t="str">
        <f>IFERROR(INDEX(tProdutos[Classe],MATCH(tItens[[#This Row],[Produto]],tProdutos[Produto],0)),"produto não cadastrado")</f>
        <v>DISPUTADO</v>
      </c>
      <c r="K3003" s="12">
        <f>tItens[[#This Row],[Qtd]]*tItens[[#This Row],[Vlr unit]]</f>
        <v>82960</v>
      </c>
      <c r="L3003" s="6">
        <f>IFERROR(IF(INDEX(tProdutos[Desconto homologado],MATCH(tItens[[#This Row],[Produto]],tProdutos[Produto],0))="",DescontoPadrao,INDEX(tProdutos[Desconto homologado],MATCH(tItens[[#This Row],[Produto]],tProdutos[Produto],0))),DescontoPadrao)</f>
        <v>0.25393823957010597</v>
      </c>
      <c r="M3003" s="12">
        <f>tItens[[#This Row],[Valor]]*(1-tItens[[#This Row],[Desconto]])</f>
        <v>61893.283645264011</v>
      </c>
      <c r="N3003" t="str">
        <f>IFERROR(INDEX(tProdutos[Foco],MATCH(tItens[[#This Row],[Produto]],tProdutos[Produto],0)),"Não")</f>
        <v>Não</v>
      </c>
      <c r="O3003" t="str">
        <f>IFERROR(INDEX(tEditais[SRP],MATCH(tItens[[#This Row],[Edital]],tEditais[Edital],0)),"Não")</f>
        <v>Não</v>
      </c>
      <c r="P3003" s="4">
        <f>IF(COUNTIFS(INDEX(tItens[Edital],1):tItens[[#This Row],[Edital]],tItens[[#This Row],[Edital]],INDEX(tItens[Produto],1):tItens[[#This Row],[Produto]],tItens[[#This Row],[Produto]])=1,1,0)</f>
        <v>1</v>
      </c>
    </row>
    <row r="3004" spans="1:16" x14ac:dyDescent="0.25">
      <c r="A3004" t="s">
        <v>1385</v>
      </c>
      <c r="B3004">
        <v>8006921</v>
      </c>
      <c r="C3004" t="s">
        <v>5930</v>
      </c>
      <c r="D3004" t="s">
        <v>90</v>
      </c>
      <c r="E3004" s="13">
        <v>500</v>
      </c>
      <c r="F3004" s="12">
        <v>11.63</v>
      </c>
      <c r="G3004" t="str">
        <f>IFERROR(INDEX(tEditais[Órgão],MATCH(tItens[[#This Row],[Edital]],tEditais[Edital],0)),"")</f>
        <v>FUNDACAO HOSPITALAR MUNICIPAL JOAO HENRIQUE</v>
      </c>
      <c r="H3004" t="str">
        <f>IFERROR(INDEX(tEditais[UF],MATCH(tItens[[#This Row],[Edital]],tEditais[Edital],0)),"")</f>
        <v>MG</v>
      </c>
      <c r="I3004" s="11">
        <f>IFERROR(INDEX(tEditais[Encerramento],MATCH(tItens[[#This Row],[Edital]],tEditais[Edital],0)),"")</f>
        <v>46308.375</v>
      </c>
      <c r="J3004" t="str">
        <f>IFERROR(INDEX(tProdutos[Classe],MATCH(tItens[[#This Row],[Produto]],tProdutos[Produto],0)),"produto não cadastrado")</f>
        <v>DISPUTADO</v>
      </c>
      <c r="K3004" s="12">
        <f>tItens[[#This Row],[Qtd]]*tItens[[#This Row],[Vlr unit]]</f>
        <v>5815</v>
      </c>
      <c r="L3004" s="6">
        <f>IFERROR(IF(INDEX(tProdutos[Desconto homologado],MATCH(tItens[[#This Row],[Produto]],tProdutos[Produto],0))="",DescontoPadrao,INDEX(tProdutos[Desconto homologado],MATCH(tItens[[#This Row],[Produto]],tProdutos[Produto],0))),DescontoPadrao)</f>
        <v>0.25393823957010597</v>
      </c>
      <c r="M3004" s="12">
        <f>tItens[[#This Row],[Valor]]*(1-tItens[[#This Row],[Desconto]])</f>
        <v>4338.3491368998339</v>
      </c>
      <c r="N3004" t="str">
        <f>IFERROR(INDEX(tProdutos[Foco],MATCH(tItens[[#This Row],[Produto]],tProdutos[Produto],0)),"Não")</f>
        <v>Não</v>
      </c>
      <c r="O3004" t="str">
        <f>IFERROR(INDEX(tEditais[SRP],MATCH(tItens[[#This Row],[Edital]],tEditais[Edital],0)),"Não")</f>
        <v>Não</v>
      </c>
      <c r="P3004" s="4">
        <f>IF(COUNTIFS(INDEX(tItens[Edital],1):tItens[[#This Row],[Edital]],tItens[[#This Row],[Edital]],INDEX(tItens[Produto],1):tItens[[#This Row],[Produto]],tItens[[#This Row],[Produto]])=1,1,0)</f>
        <v>0</v>
      </c>
    </row>
    <row r="3005" spans="1:16" x14ac:dyDescent="0.25">
      <c r="A3005" t="s">
        <v>1385</v>
      </c>
      <c r="B3005">
        <v>8006923</v>
      </c>
      <c r="C3005" t="s">
        <v>5931</v>
      </c>
      <c r="D3005" t="s">
        <v>75</v>
      </c>
      <c r="E3005" s="13">
        <v>50</v>
      </c>
      <c r="F3005" s="12">
        <v>4.37</v>
      </c>
      <c r="G3005" t="str">
        <f>IFERROR(INDEX(tEditais[Órgão],MATCH(tItens[[#This Row],[Edital]],tEditais[Edital],0)),"")</f>
        <v>FUNDACAO HOSPITALAR MUNICIPAL JOAO HENRIQUE</v>
      </c>
      <c r="H3005" t="str">
        <f>IFERROR(INDEX(tEditais[UF],MATCH(tItens[[#This Row],[Edital]],tEditais[Edital],0)),"")</f>
        <v>MG</v>
      </c>
      <c r="I3005" s="11">
        <f>IFERROR(INDEX(tEditais[Encerramento],MATCH(tItens[[#This Row],[Edital]],tEditais[Edital],0)),"")</f>
        <v>46308.375</v>
      </c>
      <c r="J3005" t="str">
        <f>IFERROR(INDEX(tProdutos[Classe],MATCH(tItens[[#This Row],[Produto]],tProdutos[Produto],0)),"produto não cadastrado")</f>
        <v>NÚCLEO</v>
      </c>
      <c r="K3005" s="12">
        <f>tItens[[#This Row],[Qtd]]*tItens[[#This Row],[Vlr unit]]</f>
        <v>218.5</v>
      </c>
      <c r="L3005" s="6">
        <f>IFERROR(IF(INDEX(tProdutos[Desconto homologado],MATCH(tItens[[#This Row],[Produto]],tProdutos[Produto],0))="",DescontoPadrao,INDEX(tProdutos[Desconto homologado],MATCH(tItens[[#This Row],[Produto]],tProdutos[Produto],0))),DescontoPadrao)</f>
        <v>0.26</v>
      </c>
      <c r="M3005" s="12">
        <f>tItens[[#This Row],[Valor]]*(1-tItens[[#This Row],[Desconto]])</f>
        <v>161.69</v>
      </c>
      <c r="N3005" t="str">
        <f>IFERROR(INDEX(tProdutos[Foco],MATCH(tItens[[#This Row],[Produto]],tProdutos[Produto],0)),"Não")</f>
        <v>Sim</v>
      </c>
      <c r="O3005" t="str">
        <f>IFERROR(INDEX(tEditais[SRP],MATCH(tItens[[#This Row],[Edital]],tEditais[Edital],0)),"Não")</f>
        <v>Não</v>
      </c>
      <c r="P3005" s="4">
        <f>IF(COUNTIFS(INDEX(tItens[Edital],1):tItens[[#This Row],[Edital]],tItens[[#This Row],[Edital]],INDEX(tItens[Produto],1):tItens[[#This Row],[Produto]],tItens[[#This Row],[Produto]])=1,1,0)</f>
        <v>1</v>
      </c>
    </row>
    <row r="3006" spans="1:16" x14ac:dyDescent="0.25">
      <c r="A3006" t="s">
        <v>1385</v>
      </c>
      <c r="B3006">
        <v>8006924</v>
      </c>
      <c r="C3006" t="s">
        <v>5932</v>
      </c>
      <c r="D3006" t="s">
        <v>75</v>
      </c>
      <c r="E3006" s="13">
        <v>50</v>
      </c>
      <c r="F3006" s="12">
        <v>4.37</v>
      </c>
      <c r="G3006" t="str">
        <f>IFERROR(INDEX(tEditais[Órgão],MATCH(tItens[[#This Row],[Edital]],tEditais[Edital],0)),"")</f>
        <v>FUNDACAO HOSPITALAR MUNICIPAL JOAO HENRIQUE</v>
      </c>
      <c r="H3006" t="str">
        <f>IFERROR(INDEX(tEditais[UF],MATCH(tItens[[#This Row],[Edital]],tEditais[Edital],0)),"")</f>
        <v>MG</v>
      </c>
      <c r="I3006" s="11">
        <f>IFERROR(INDEX(tEditais[Encerramento],MATCH(tItens[[#This Row],[Edital]],tEditais[Edital],0)),"")</f>
        <v>46308.375</v>
      </c>
      <c r="J3006" t="str">
        <f>IFERROR(INDEX(tProdutos[Classe],MATCH(tItens[[#This Row],[Produto]],tProdutos[Produto],0)),"produto não cadastrado")</f>
        <v>NÚCLEO</v>
      </c>
      <c r="K3006" s="12">
        <f>tItens[[#This Row],[Qtd]]*tItens[[#This Row],[Vlr unit]]</f>
        <v>218.5</v>
      </c>
      <c r="L3006" s="6">
        <f>IFERROR(IF(INDEX(tProdutos[Desconto homologado],MATCH(tItens[[#This Row],[Produto]],tProdutos[Produto],0))="",DescontoPadrao,INDEX(tProdutos[Desconto homologado],MATCH(tItens[[#This Row],[Produto]],tProdutos[Produto],0))),DescontoPadrao)</f>
        <v>0.26</v>
      </c>
      <c r="M3006" s="12">
        <f>tItens[[#This Row],[Valor]]*(1-tItens[[#This Row],[Desconto]])</f>
        <v>161.69</v>
      </c>
      <c r="N3006" t="str">
        <f>IFERROR(INDEX(tProdutos[Foco],MATCH(tItens[[#This Row],[Produto]],tProdutos[Produto],0)),"Não")</f>
        <v>Sim</v>
      </c>
      <c r="O3006" t="str">
        <f>IFERROR(INDEX(tEditais[SRP],MATCH(tItens[[#This Row],[Edital]],tEditais[Edital],0)),"Não")</f>
        <v>Não</v>
      </c>
      <c r="P3006" s="4">
        <f>IF(COUNTIFS(INDEX(tItens[Edital],1):tItens[[#This Row],[Edital]],tItens[[#This Row],[Edital]],INDEX(tItens[Produto],1):tItens[[#This Row],[Produto]],tItens[[#This Row],[Produto]])=1,1,0)</f>
        <v>0</v>
      </c>
    </row>
    <row r="3007" spans="1:16" x14ac:dyDescent="0.25">
      <c r="A3007" t="s">
        <v>1385</v>
      </c>
      <c r="B3007">
        <v>8006925</v>
      </c>
      <c r="C3007" t="s">
        <v>5933</v>
      </c>
      <c r="D3007" t="s">
        <v>75</v>
      </c>
      <c r="E3007" s="13">
        <v>50</v>
      </c>
      <c r="F3007" s="12">
        <v>4.37</v>
      </c>
      <c r="G3007" t="str">
        <f>IFERROR(INDEX(tEditais[Órgão],MATCH(tItens[[#This Row],[Edital]],tEditais[Edital],0)),"")</f>
        <v>FUNDACAO HOSPITALAR MUNICIPAL JOAO HENRIQUE</v>
      </c>
      <c r="H3007" t="str">
        <f>IFERROR(INDEX(tEditais[UF],MATCH(tItens[[#This Row],[Edital]],tEditais[Edital],0)),"")</f>
        <v>MG</v>
      </c>
      <c r="I3007" s="11">
        <f>IFERROR(INDEX(tEditais[Encerramento],MATCH(tItens[[#This Row],[Edital]],tEditais[Edital],0)),"")</f>
        <v>46308.375</v>
      </c>
      <c r="J3007" t="str">
        <f>IFERROR(INDEX(tProdutos[Classe],MATCH(tItens[[#This Row],[Produto]],tProdutos[Produto],0)),"produto não cadastrado")</f>
        <v>NÚCLEO</v>
      </c>
      <c r="K3007" s="12">
        <f>tItens[[#This Row],[Qtd]]*tItens[[#This Row],[Vlr unit]]</f>
        <v>218.5</v>
      </c>
      <c r="L3007" s="6">
        <f>IFERROR(IF(INDEX(tProdutos[Desconto homologado],MATCH(tItens[[#This Row],[Produto]],tProdutos[Produto],0))="",DescontoPadrao,INDEX(tProdutos[Desconto homologado],MATCH(tItens[[#This Row],[Produto]],tProdutos[Produto],0))),DescontoPadrao)</f>
        <v>0.26</v>
      </c>
      <c r="M3007" s="12">
        <f>tItens[[#This Row],[Valor]]*(1-tItens[[#This Row],[Desconto]])</f>
        <v>161.69</v>
      </c>
      <c r="N3007" t="str">
        <f>IFERROR(INDEX(tProdutos[Foco],MATCH(tItens[[#This Row],[Produto]],tProdutos[Produto],0)),"Não")</f>
        <v>Sim</v>
      </c>
      <c r="O3007" t="str">
        <f>IFERROR(INDEX(tEditais[SRP],MATCH(tItens[[#This Row],[Edital]],tEditais[Edital],0)),"Não")</f>
        <v>Não</v>
      </c>
      <c r="P3007" s="4">
        <f>IF(COUNTIFS(INDEX(tItens[Edital],1):tItens[[#This Row],[Edital]],tItens[[#This Row],[Edital]],INDEX(tItens[Produto],1):tItens[[#This Row],[Produto]],tItens[[#This Row],[Produto]])=1,1,0)</f>
        <v>0</v>
      </c>
    </row>
    <row r="3008" spans="1:16" x14ac:dyDescent="0.25">
      <c r="A3008" t="s">
        <v>1385</v>
      </c>
      <c r="B3008">
        <v>8006931</v>
      </c>
      <c r="C3008" t="s">
        <v>5934</v>
      </c>
      <c r="D3008" t="s">
        <v>401</v>
      </c>
      <c r="E3008" s="13">
        <v>1000</v>
      </c>
      <c r="F3008" s="12">
        <v>6.14</v>
      </c>
      <c r="G3008" t="str">
        <f>IFERROR(INDEX(tEditais[Órgão],MATCH(tItens[[#This Row],[Edital]],tEditais[Edital],0)),"")</f>
        <v>FUNDACAO HOSPITALAR MUNICIPAL JOAO HENRIQUE</v>
      </c>
      <c r="H3008" t="str">
        <f>IFERROR(INDEX(tEditais[UF],MATCH(tItens[[#This Row],[Edital]],tEditais[Edital],0)),"")</f>
        <v>MG</v>
      </c>
      <c r="I3008" s="11">
        <f>IFERROR(INDEX(tEditais[Encerramento],MATCH(tItens[[#This Row],[Edital]],tEditais[Edital],0)),"")</f>
        <v>46308.375</v>
      </c>
      <c r="J3008" t="str">
        <f>IFERROR(INDEX(tProdutos[Classe],MATCH(tItens[[#This Row],[Produto]],tProdutos[Produto],0)),"produto não cadastrado")</f>
        <v>FORA</v>
      </c>
      <c r="K3008" s="12">
        <f>tItens[[#This Row],[Qtd]]*tItens[[#This Row],[Vlr unit]]</f>
        <v>6140</v>
      </c>
      <c r="L3008" s="6">
        <f>IFERROR(IF(INDEX(tProdutos[Desconto homologado],MATCH(tItens[[#This Row],[Produto]],tProdutos[Produto],0))="",DescontoPadrao,INDEX(tProdutos[Desconto homologado],MATCH(tItens[[#This Row],[Produto]],tProdutos[Produto],0))),DescontoPadrao)</f>
        <v>0.38211382113821102</v>
      </c>
      <c r="M3008" s="12">
        <f>tItens[[#This Row],[Valor]]*(1-tItens[[#This Row],[Desconto]])</f>
        <v>3793.8211382113846</v>
      </c>
      <c r="N3008" t="str">
        <f>IFERROR(INDEX(tProdutos[Foco],MATCH(tItens[[#This Row],[Produto]],tProdutos[Produto],0)),"Não")</f>
        <v>Não</v>
      </c>
      <c r="O3008" t="str">
        <f>IFERROR(INDEX(tEditais[SRP],MATCH(tItens[[#This Row],[Edital]],tEditais[Edital],0)),"Não")</f>
        <v>Não</v>
      </c>
      <c r="P3008" s="4">
        <f>IF(COUNTIFS(INDEX(tItens[Edital],1):tItens[[#This Row],[Edital]],tItens[[#This Row],[Edital]],INDEX(tItens[Produto],1):tItens[[#This Row],[Produto]],tItens[[#This Row],[Produto]])=1,1,0)</f>
        <v>1</v>
      </c>
    </row>
    <row r="3009" spans="1:16" x14ac:dyDescent="0.25">
      <c r="A3009" t="s">
        <v>1385</v>
      </c>
      <c r="B3009">
        <v>8006937</v>
      </c>
      <c r="C3009" t="s">
        <v>5935</v>
      </c>
      <c r="D3009" t="s">
        <v>271</v>
      </c>
      <c r="E3009" s="13">
        <v>5000</v>
      </c>
      <c r="F3009" s="12">
        <v>8.7799999999999994</v>
      </c>
      <c r="G3009" t="str">
        <f>IFERROR(INDEX(tEditais[Órgão],MATCH(tItens[[#This Row],[Edital]],tEditais[Edital],0)),"")</f>
        <v>FUNDACAO HOSPITALAR MUNICIPAL JOAO HENRIQUE</v>
      </c>
      <c r="H3009" t="str">
        <f>IFERROR(INDEX(tEditais[UF],MATCH(tItens[[#This Row],[Edital]],tEditais[Edital],0)),"")</f>
        <v>MG</v>
      </c>
      <c r="I3009" s="11">
        <f>IFERROR(INDEX(tEditais[Encerramento],MATCH(tItens[[#This Row],[Edital]],tEditais[Edital],0)),"")</f>
        <v>46308.375</v>
      </c>
      <c r="J3009" t="str">
        <f>IFERROR(INDEX(tProdutos[Classe],MATCH(tItens[[#This Row],[Produto]],tProdutos[Produto],0)),"produto não cadastrado")</f>
        <v>FORA</v>
      </c>
      <c r="K3009" s="12">
        <f>tItens[[#This Row],[Qtd]]*tItens[[#This Row],[Vlr unit]]</f>
        <v>43900</v>
      </c>
      <c r="L3009" s="6">
        <f>IFERROR(IF(INDEX(tProdutos[Desconto homologado],MATCH(tItens[[#This Row],[Produto]],tProdutos[Produto],0))="",DescontoPadrao,INDEX(tProdutos[Desconto homologado],MATCH(tItens[[#This Row],[Produto]],tProdutos[Produto],0))),DescontoPadrao)</f>
        <v>0.35422602089268801</v>
      </c>
      <c r="M3009" s="12">
        <f>tItens[[#This Row],[Valor]]*(1-tItens[[#This Row],[Desconto]])</f>
        <v>28349.477682810997</v>
      </c>
      <c r="N3009" t="str">
        <f>IFERROR(INDEX(tProdutos[Foco],MATCH(tItens[[#This Row],[Produto]],tProdutos[Produto],0)),"Não")</f>
        <v>Não</v>
      </c>
      <c r="O3009" t="str">
        <f>IFERROR(INDEX(tEditais[SRP],MATCH(tItens[[#This Row],[Edital]],tEditais[Edital],0)),"Não")</f>
        <v>Não</v>
      </c>
      <c r="P3009" s="4">
        <f>IF(COUNTIFS(INDEX(tItens[Edital],1):tItens[[#This Row],[Edital]],tItens[[#This Row],[Edital]],INDEX(tItens[Produto],1):tItens[[#This Row],[Produto]],tItens[[#This Row],[Produto]])=1,1,0)</f>
        <v>1</v>
      </c>
    </row>
    <row r="3010" spans="1:16" x14ac:dyDescent="0.25">
      <c r="A3010" t="s">
        <v>1385</v>
      </c>
      <c r="B3010">
        <v>8006938</v>
      </c>
      <c r="C3010" t="s">
        <v>5936</v>
      </c>
      <c r="D3010" t="s">
        <v>271</v>
      </c>
      <c r="E3010" s="13">
        <v>500</v>
      </c>
      <c r="F3010" s="12">
        <v>8.9499999999999993</v>
      </c>
      <c r="G3010" t="str">
        <f>IFERROR(INDEX(tEditais[Órgão],MATCH(tItens[[#This Row],[Edital]],tEditais[Edital],0)),"")</f>
        <v>FUNDACAO HOSPITALAR MUNICIPAL JOAO HENRIQUE</v>
      </c>
      <c r="H3010" t="str">
        <f>IFERROR(INDEX(tEditais[UF],MATCH(tItens[[#This Row],[Edital]],tEditais[Edital],0)),"")</f>
        <v>MG</v>
      </c>
      <c r="I3010" s="11">
        <f>IFERROR(INDEX(tEditais[Encerramento],MATCH(tItens[[#This Row],[Edital]],tEditais[Edital],0)),"")</f>
        <v>46308.375</v>
      </c>
      <c r="J3010" t="str">
        <f>IFERROR(INDEX(tProdutos[Classe],MATCH(tItens[[#This Row],[Produto]],tProdutos[Produto],0)),"produto não cadastrado")</f>
        <v>FORA</v>
      </c>
      <c r="K3010" s="12">
        <f>tItens[[#This Row],[Qtd]]*tItens[[#This Row],[Vlr unit]]</f>
        <v>4475</v>
      </c>
      <c r="L3010" s="6">
        <f>IFERROR(IF(INDEX(tProdutos[Desconto homologado],MATCH(tItens[[#This Row],[Produto]],tProdutos[Produto],0))="",DescontoPadrao,INDEX(tProdutos[Desconto homologado],MATCH(tItens[[#This Row],[Produto]],tProdutos[Produto],0))),DescontoPadrao)</f>
        <v>0.35422602089268801</v>
      </c>
      <c r="M3010" s="12">
        <f>tItens[[#This Row],[Valor]]*(1-tItens[[#This Row],[Desconto]])</f>
        <v>2889.8385565052213</v>
      </c>
      <c r="N3010" t="str">
        <f>IFERROR(INDEX(tProdutos[Foco],MATCH(tItens[[#This Row],[Produto]],tProdutos[Produto],0)),"Não")</f>
        <v>Não</v>
      </c>
      <c r="O3010" t="str">
        <f>IFERROR(INDEX(tEditais[SRP],MATCH(tItens[[#This Row],[Edital]],tEditais[Edital],0)),"Não")</f>
        <v>Não</v>
      </c>
      <c r="P3010" s="4">
        <f>IF(COUNTIFS(INDEX(tItens[Edital],1):tItens[[#This Row],[Edital]],tItens[[#This Row],[Edital]],INDEX(tItens[Produto],1):tItens[[#This Row],[Produto]],tItens[[#This Row],[Produto]])=1,1,0)</f>
        <v>0</v>
      </c>
    </row>
    <row r="3011" spans="1:16" x14ac:dyDescent="0.25">
      <c r="A3011" t="s">
        <v>1385</v>
      </c>
      <c r="B3011">
        <v>8006943</v>
      </c>
      <c r="C3011" t="s">
        <v>5937</v>
      </c>
      <c r="D3011" t="s">
        <v>142</v>
      </c>
      <c r="E3011" s="13">
        <v>1000</v>
      </c>
      <c r="F3011" s="12">
        <v>5.49</v>
      </c>
      <c r="G3011" t="str">
        <f>IFERROR(INDEX(tEditais[Órgão],MATCH(tItens[[#This Row],[Edital]],tEditais[Edital],0)),"")</f>
        <v>FUNDACAO HOSPITALAR MUNICIPAL JOAO HENRIQUE</v>
      </c>
      <c r="H3011" t="str">
        <f>IFERROR(INDEX(tEditais[UF],MATCH(tItens[[#This Row],[Edital]],tEditais[Edital],0)),"")</f>
        <v>MG</v>
      </c>
      <c r="I3011" s="11">
        <f>IFERROR(INDEX(tEditais[Encerramento],MATCH(tItens[[#This Row],[Edital]],tEditais[Edital],0)),"")</f>
        <v>46308.375</v>
      </c>
      <c r="J3011" t="str">
        <f>IFERROR(INDEX(tProdutos[Classe],MATCH(tItens[[#This Row],[Produto]],tProdutos[Produto],0)),"produto não cadastrado")</f>
        <v>DISPUTADO</v>
      </c>
      <c r="K3011" s="12">
        <f>tItens[[#This Row],[Qtd]]*tItens[[#This Row],[Vlr unit]]</f>
        <v>5490</v>
      </c>
      <c r="L3011" s="6">
        <f>IFERROR(IF(INDEX(tProdutos[Desconto homologado],MATCH(tItens[[#This Row],[Produto]],tProdutos[Produto],0))="",DescontoPadrao,INDEX(tProdutos[Desconto homologado],MATCH(tItens[[#This Row],[Produto]],tProdutos[Produto],0))),DescontoPadrao)</f>
        <v>0.37093619495691699</v>
      </c>
      <c r="M3011" s="12">
        <f>tItens[[#This Row],[Valor]]*(1-tItens[[#This Row],[Desconto]])</f>
        <v>3453.5602896865257</v>
      </c>
      <c r="N3011" t="str">
        <f>IFERROR(INDEX(tProdutos[Foco],MATCH(tItens[[#This Row],[Produto]],tProdutos[Produto],0)),"Não")</f>
        <v>Não</v>
      </c>
      <c r="O3011" t="str">
        <f>IFERROR(INDEX(tEditais[SRP],MATCH(tItens[[#This Row],[Edital]],tEditais[Edital],0)),"Não")</f>
        <v>Não</v>
      </c>
      <c r="P3011" s="4">
        <f>IF(COUNTIFS(INDEX(tItens[Edital],1):tItens[[#This Row],[Edital]],tItens[[#This Row],[Edital]],INDEX(tItens[Produto],1):tItens[[#This Row],[Produto]],tItens[[#This Row],[Produto]])=1,1,0)</f>
        <v>1</v>
      </c>
    </row>
    <row r="3012" spans="1:16" x14ac:dyDescent="0.25">
      <c r="A3012" t="s">
        <v>1385</v>
      </c>
      <c r="B3012">
        <v>8006944</v>
      </c>
      <c r="C3012" t="s">
        <v>5938</v>
      </c>
      <c r="D3012" t="s">
        <v>77</v>
      </c>
      <c r="E3012" s="13">
        <v>5000</v>
      </c>
      <c r="F3012" s="12">
        <v>9.11</v>
      </c>
      <c r="G3012" t="str">
        <f>IFERROR(INDEX(tEditais[Órgão],MATCH(tItens[[#This Row],[Edital]],tEditais[Edital],0)),"")</f>
        <v>FUNDACAO HOSPITALAR MUNICIPAL JOAO HENRIQUE</v>
      </c>
      <c r="H3012" t="str">
        <f>IFERROR(INDEX(tEditais[UF],MATCH(tItens[[#This Row],[Edital]],tEditais[Edital],0)),"")</f>
        <v>MG</v>
      </c>
      <c r="I3012" s="11">
        <f>IFERROR(INDEX(tEditais[Encerramento],MATCH(tItens[[#This Row],[Edital]],tEditais[Edital],0)),"")</f>
        <v>46308.375</v>
      </c>
      <c r="J3012" t="str">
        <f>IFERROR(INDEX(tProdutos[Classe],MATCH(tItens[[#This Row],[Produto]],tProdutos[Produto],0)),"produto não cadastrado")</f>
        <v>DISPUTADO</v>
      </c>
      <c r="K3012" s="12">
        <f>tItens[[#This Row],[Qtd]]*tItens[[#This Row],[Vlr unit]]</f>
        <v>45550</v>
      </c>
      <c r="L3012" s="6">
        <f>IFERROR(IF(INDEX(tProdutos[Desconto homologado],MATCH(tItens[[#This Row],[Produto]],tProdutos[Produto],0))="",DescontoPadrao,INDEX(tProdutos[Desconto homologado],MATCH(tItens[[#This Row],[Produto]],tProdutos[Produto],0))),DescontoPadrao)</f>
        <v>0.33</v>
      </c>
      <c r="M3012" s="12">
        <f>tItens[[#This Row],[Valor]]*(1-tItens[[#This Row],[Desconto]])</f>
        <v>30518.499999999996</v>
      </c>
      <c r="N3012" t="str">
        <f>IFERROR(INDEX(tProdutos[Foco],MATCH(tItens[[#This Row],[Produto]],tProdutos[Produto],0)),"Não")</f>
        <v>Sim</v>
      </c>
      <c r="O3012" t="str">
        <f>IFERROR(INDEX(tEditais[SRP],MATCH(tItens[[#This Row],[Edital]],tEditais[Edital],0)),"Não")</f>
        <v>Não</v>
      </c>
      <c r="P3012" s="4">
        <f>IF(COUNTIFS(INDEX(tItens[Edital],1):tItens[[#This Row],[Edital]],tItens[[#This Row],[Edital]],INDEX(tItens[Produto],1):tItens[[#This Row],[Produto]],tItens[[#This Row],[Produto]])=1,1,0)</f>
        <v>1</v>
      </c>
    </row>
    <row r="3013" spans="1:16" x14ac:dyDescent="0.25">
      <c r="A3013" t="s">
        <v>1385</v>
      </c>
      <c r="B3013">
        <v>8006947</v>
      </c>
      <c r="C3013" t="s">
        <v>5939</v>
      </c>
      <c r="D3013" t="s">
        <v>110</v>
      </c>
      <c r="E3013" s="13">
        <v>500</v>
      </c>
      <c r="F3013" s="12">
        <v>5.67</v>
      </c>
      <c r="G3013" t="str">
        <f>IFERROR(INDEX(tEditais[Órgão],MATCH(tItens[[#This Row],[Edital]],tEditais[Edital],0)),"")</f>
        <v>FUNDACAO HOSPITALAR MUNICIPAL JOAO HENRIQUE</v>
      </c>
      <c r="H3013" t="str">
        <f>IFERROR(INDEX(tEditais[UF],MATCH(tItens[[#This Row],[Edital]],tEditais[Edital],0)),"")</f>
        <v>MG</v>
      </c>
      <c r="I3013" s="11">
        <f>IFERROR(INDEX(tEditais[Encerramento],MATCH(tItens[[#This Row],[Edital]],tEditais[Edital],0)),"")</f>
        <v>46308.375</v>
      </c>
      <c r="J3013" t="str">
        <f>IFERROR(INDEX(tProdutos[Classe],MATCH(tItens[[#This Row],[Produto]],tProdutos[Produto],0)),"produto não cadastrado")</f>
        <v>NÚCLEO</v>
      </c>
      <c r="K3013" s="12">
        <f>tItens[[#This Row],[Qtd]]*tItens[[#This Row],[Vlr unit]]</f>
        <v>2835</v>
      </c>
      <c r="L3013" s="6">
        <f>IFERROR(IF(INDEX(tProdutos[Desconto homologado],MATCH(tItens[[#This Row],[Produto]],tProdutos[Produto],0))="",DescontoPadrao,INDEX(tProdutos[Desconto homologado],MATCH(tItens[[#This Row],[Produto]],tProdutos[Produto],0))),DescontoPadrao)</f>
        <v>0.30410958904109597</v>
      </c>
      <c r="M3013" s="12">
        <f>tItens[[#This Row],[Valor]]*(1-tItens[[#This Row],[Desconto]])</f>
        <v>1972.8493150684928</v>
      </c>
      <c r="N3013" t="str">
        <f>IFERROR(INDEX(tProdutos[Foco],MATCH(tItens[[#This Row],[Produto]],tProdutos[Produto],0)),"Não")</f>
        <v>Não</v>
      </c>
      <c r="O3013" t="str">
        <f>IFERROR(INDEX(tEditais[SRP],MATCH(tItens[[#This Row],[Edital]],tEditais[Edital],0)),"Não")</f>
        <v>Não</v>
      </c>
      <c r="P3013" s="4">
        <f>IF(COUNTIFS(INDEX(tItens[Edital],1):tItens[[#This Row],[Edital]],tItens[[#This Row],[Edital]],INDEX(tItens[Produto],1):tItens[[#This Row],[Produto]],tItens[[#This Row],[Produto]])=1,1,0)</f>
        <v>1</v>
      </c>
    </row>
    <row r="3014" spans="1:16" x14ac:dyDescent="0.25">
      <c r="A3014" t="s">
        <v>1385</v>
      </c>
      <c r="B3014">
        <v>8006950</v>
      </c>
      <c r="C3014" t="s">
        <v>5940</v>
      </c>
      <c r="D3014" t="s">
        <v>339</v>
      </c>
      <c r="E3014" s="13">
        <v>600</v>
      </c>
      <c r="F3014" s="12">
        <v>12.23</v>
      </c>
      <c r="G3014" t="str">
        <f>IFERROR(INDEX(tEditais[Órgão],MATCH(tItens[[#This Row],[Edital]],tEditais[Edital],0)),"")</f>
        <v>FUNDACAO HOSPITALAR MUNICIPAL JOAO HENRIQUE</v>
      </c>
      <c r="H3014" t="str">
        <f>IFERROR(INDEX(tEditais[UF],MATCH(tItens[[#This Row],[Edital]],tEditais[Edital],0)),"")</f>
        <v>MG</v>
      </c>
      <c r="I3014" s="11">
        <f>IFERROR(INDEX(tEditais[Encerramento],MATCH(tItens[[#This Row],[Edital]],tEditais[Edital],0)),"")</f>
        <v>46308.375</v>
      </c>
      <c r="J3014" t="str">
        <f>IFERROR(INDEX(tProdutos[Classe],MATCH(tItens[[#This Row],[Produto]],tProdutos[Produto],0)),"produto não cadastrado")</f>
        <v>FORA</v>
      </c>
      <c r="K3014" s="12">
        <f>tItens[[#This Row],[Qtd]]*tItens[[#This Row],[Vlr unit]]</f>
        <v>7338</v>
      </c>
      <c r="L3014" s="6">
        <f>IFERROR(IF(INDEX(tProdutos[Desconto homologado],MATCH(tItens[[#This Row],[Produto]],tProdutos[Produto],0))="",DescontoPadrao,INDEX(tProdutos[Desconto homologado],MATCH(tItens[[#This Row],[Produto]],tProdutos[Produto],0))),DescontoPadrao)</f>
        <v>0.35388629091804102</v>
      </c>
      <c r="M3014" s="12">
        <f>tItens[[#This Row],[Valor]]*(1-tItens[[#This Row],[Desconto]])</f>
        <v>4741.1823972434149</v>
      </c>
      <c r="N3014" t="str">
        <f>IFERROR(INDEX(tProdutos[Foco],MATCH(tItens[[#This Row],[Produto]],tProdutos[Produto],0)),"Não")</f>
        <v>Não</v>
      </c>
      <c r="O3014" t="str">
        <f>IFERROR(INDEX(tEditais[SRP],MATCH(tItens[[#This Row],[Edital]],tEditais[Edital],0)),"Não")</f>
        <v>Não</v>
      </c>
      <c r="P3014" s="4">
        <f>IF(COUNTIFS(INDEX(tItens[Edital],1):tItens[[#This Row],[Edital]],tItens[[#This Row],[Edital]],INDEX(tItens[Produto],1):tItens[[#This Row],[Produto]],tItens[[#This Row],[Produto]])=1,1,0)</f>
        <v>1</v>
      </c>
    </row>
    <row r="3015" spans="1:16" x14ac:dyDescent="0.25">
      <c r="A3015" t="s">
        <v>1385</v>
      </c>
      <c r="B3015">
        <v>8006951</v>
      </c>
      <c r="C3015" t="s">
        <v>5941</v>
      </c>
      <c r="D3015" t="s">
        <v>339</v>
      </c>
      <c r="E3015" s="13">
        <v>600</v>
      </c>
      <c r="F3015" s="12">
        <v>12.23</v>
      </c>
      <c r="G3015" t="str">
        <f>IFERROR(INDEX(tEditais[Órgão],MATCH(tItens[[#This Row],[Edital]],tEditais[Edital],0)),"")</f>
        <v>FUNDACAO HOSPITALAR MUNICIPAL JOAO HENRIQUE</v>
      </c>
      <c r="H3015" t="str">
        <f>IFERROR(INDEX(tEditais[UF],MATCH(tItens[[#This Row],[Edital]],tEditais[Edital],0)),"")</f>
        <v>MG</v>
      </c>
      <c r="I3015" s="11">
        <f>IFERROR(INDEX(tEditais[Encerramento],MATCH(tItens[[#This Row],[Edital]],tEditais[Edital],0)),"")</f>
        <v>46308.375</v>
      </c>
      <c r="J3015" t="str">
        <f>IFERROR(INDEX(tProdutos[Classe],MATCH(tItens[[#This Row],[Produto]],tProdutos[Produto],0)),"produto não cadastrado")</f>
        <v>FORA</v>
      </c>
      <c r="K3015" s="12">
        <f>tItens[[#This Row],[Qtd]]*tItens[[#This Row],[Vlr unit]]</f>
        <v>7338</v>
      </c>
      <c r="L3015" s="6">
        <f>IFERROR(IF(INDEX(tProdutos[Desconto homologado],MATCH(tItens[[#This Row],[Produto]],tProdutos[Produto],0))="",DescontoPadrao,INDEX(tProdutos[Desconto homologado],MATCH(tItens[[#This Row],[Produto]],tProdutos[Produto],0))),DescontoPadrao)</f>
        <v>0.35388629091804102</v>
      </c>
      <c r="M3015" s="12">
        <f>tItens[[#This Row],[Valor]]*(1-tItens[[#This Row],[Desconto]])</f>
        <v>4741.1823972434149</v>
      </c>
      <c r="N3015" t="str">
        <f>IFERROR(INDEX(tProdutos[Foco],MATCH(tItens[[#This Row],[Produto]],tProdutos[Produto],0)),"Não")</f>
        <v>Não</v>
      </c>
      <c r="O3015" t="str">
        <f>IFERROR(INDEX(tEditais[SRP],MATCH(tItens[[#This Row],[Edital]],tEditais[Edital],0)),"Não")</f>
        <v>Não</v>
      </c>
      <c r="P3015" s="4">
        <f>IF(COUNTIFS(INDEX(tItens[Edital],1):tItens[[#This Row],[Edital]],tItens[[#This Row],[Edital]],INDEX(tItens[Produto],1):tItens[[#This Row],[Produto]],tItens[[#This Row],[Produto]])=1,1,0)</f>
        <v>0</v>
      </c>
    </row>
    <row r="3016" spans="1:16" x14ac:dyDescent="0.25">
      <c r="A3016" t="s">
        <v>1385</v>
      </c>
      <c r="B3016">
        <v>8006952</v>
      </c>
      <c r="C3016" t="s">
        <v>5942</v>
      </c>
      <c r="D3016" t="s">
        <v>339</v>
      </c>
      <c r="E3016" s="13">
        <v>600</v>
      </c>
      <c r="F3016" s="12">
        <v>12.23</v>
      </c>
      <c r="G3016" t="str">
        <f>IFERROR(INDEX(tEditais[Órgão],MATCH(tItens[[#This Row],[Edital]],tEditais[Edital],0)),"")</f>
        <v>FUNDACAO HOSPITALAR MUNICIPAL JOAO HENRIQUE</v>
      </c>
      <c r="H3016" t="str">
        <f>IFERROR(INDEX(tEditais[UF],MATCH(tItens[[#This Row],[Edital]],tEditais[Edital],0)),"")</f>
        <v>MG</v>
      </c>
      <c r="I3016" s="11">
        <f>IFERROR(INDEX(tEditais[Encerramento],MATCH(tItens[[#This Row],[Edital]],tEditais[Edital],0)),"")</f>
        <v>46308.375</v>
      </c>
      <c r="J3016" t="str">
        <f>IFERROR(INDEX(tProdutos[Classe],MATCH(tItens[[#This Row],[Produto]],tProdutos[Produto],0)),"produto não cadastrado")</f>
        <v>FORA</v>
      </c>
      <c r="K3016" s="12">
        <f>tItens[[#This Row],[Qtd]]*tItens[[#This Row],[Vlr unit]]</f>
        <v>7338</v>
      </c>
      <c r="L3016" s="6">
        <f>IFERROR(IF(INDEX(tProdutos[Desconto homologado],MATCH(tItens[[#This Row],[Produto]],tProdutos[Produto],0))="",DescontoPadrao,INDEX(tProdutos[Desconto homologado],MATCH(tItens[[#This Row],[Produto]],tProdutos[Produto],0))),DescontoPadrao)</f>
        <v>0.35388629091804102</v>
      </c>
      <c r="M3016" s="12">
        <f>tItens[[#This Row],[Valor]]*(1-tItens[[#This Row],[Desconto]])</f>
        <v>4741.1823972434149</v>
      </c>
      <c r="N3016" t="str">
        <f>IFERROR(INDEX(tProdutos[Foco],MATCH(tItens[[#This Row],[Produto]],tProdutos[Produto],0)),"Não")</f>
        <v>Não</v>
      </c>
      <c r="O3016" t="str">
        <f>IFERROR(INDEX(tEditais[SRP],MATCH(tItens[[#This Row],[Edital]],tEditais[Edital],0)),"Não")</f>
        <v>Não</v>
      </c>
      <c r="P3016" s="4">
        <f>IF(COUNTIFS(INDEX(tItens[Edital],1):tItens[[#This Row],[Edital]],tItens[[#This Row],[Edital]],INDEX(tItens[Produto],1):tItens[[#This Row],[Produto]],tItens[[#This Row],[Produto]])=1,1,0)</f>
        <v>0</v>
      </c>
    </row>
    <row r="3017" spans="1:16" x14ac:dyDescent="0.25">
      <c r="A3017" t="s">
        <v>1385</v>
      </c>
      <c r="B3017">
        <v>8006953</v>
      </c>
      <c r="C3017" t="s">
        <v>5943</v>
      </c>
      <c r="D3017" t="s">
        <v>339</v>
      </c>
      <c r="E3017" s="13">
        <v>600</v>
      </c>
      <c r="F3017" s="12">
        <v>12.23</v>
      </c>
      <c r="G3017" t="str">
        <f>IFERROR(INDEX(tEditais[Órgão],MATCH(tItens[[#This Row],[Edital]],tEditais[Edital],0)),"")</f>
        <v>FUNDACAO HOSPITALAR MUNICIPAL JOAO HENRIQUE</v>
      </c>
      <c r="H3017" t="str">
        <f>IFERROR(INDEX(tEditais[UF],MATCH(tItens[[#This Row],[Edital]],tEditais[Edital],0)),"")</f>
        <v>MG</v>
      </c>
      <c r="I3017" s="11">
        <f>IFERROR(INDEX(tEditais[Encerramento],MATCH(tItens[[#This Row],[Edital]],tEditais[Edital],0)),"")</f>
        <v>46308.375</v>
      </c>
      <c r="J3017" t="str">
        <f>IFERROR(INDEX(tProdutos[Classe],MATCH(tItens[[#This Row],[Produto]],tProdutos[Produto],0)),"produto não cadastrado")</f>
        <v>FORA</v>
      </c>
      <c r="K3017" s="12">
        <f>tItens[[#This Row],[Qtd]]*tItens[[#This Row],[Vlr unit]]</f>
        <v>7338</v>
      </c>
      <c r="L3017" s="6">
        <f>IFERROR(IF(INDEX(tProdutos[Desconto homologado],MATCH(tItens[[#This Row],[Produto]],tProdutos[Produto],0))="",DescontoPadrao,INDEX(tProdutos[Desconto homologado],MATCH(tItens[[#This Row],[Produto]],tProdutos[Produto],0))),DescontoPadrao)</f>
        <v>0.35388629091804102</v>
      </c>
      <c r="M3017" s="12">
        <f>tItens[[#This Row],[Valor]]*(1-tItens[[#This Row],[Desconto]])</f>
        <v>4741.1823972434149</v>
      </c>
      <c r="N3017" t="str">
        <f>IFERROR(INDEX(tProdutos[Foco],MATCH(tItens[[#This Row],[Produto]],tProdutos[Produto],0)),"Não")</f>
        <v>Não</v>
      </c>
      <c r="O3017" t="str">
        <f>IFERROR(INDEX(tEditais[SRP],MATCH(tItens[[#This Row],[Edital]],tEditais[Edital],0)),"Não")</f>
        <v>Não</v>
      </c>
      <c r="P3017" s="4">
        <f>IF(COUNTIFS(INDEX(tItens[Edital],1):tItens[[#This Row],[Edital]],tItens[[#This Row],[Edital]],INDEX(tItens[Produto],1):tItens[[#This Row],[Produto]],tItens[[#This Row],[Produto]])=1,1,0)</f>
        <v>0</v>
      </c>
    </row>
    <row r="3018" spans="1:16" x14ac:dyDescent="0.25">
      <c r="A3018" t="s">
        <v>1385</v>
      </c>
      <c r="B3018">
        <v>8006954</v>
      </c>
      <c r="C3018" t="s">
        <v>5944</v>
      </c>
      <c r="D3018" t="s">
        <v>345</v>
      </c>
      <c r="E3018" s="13">
        <v>3000</v>
      </c>
      <c r="F3018" s="12">
        <v>24.73</v>
      </c>
      <c r="G3018" t="str">
        <f>IFERROR(INDEX(tEditais[Órgão],MATCH(tItens[[#This Row],[Edital]],tEditais[Edital],0)),"")</f>
        <v>FUNDACAO HOSPITALAR MUNICIPAL JOAO HENRIQUE</v>
      </c>
      <c r="H3018" t="str">
        <f>IFERROR(INDEX(tEditais[UF],MATCH(tItens[[#This Row],[Edital]],tEditais[Edital],0)),"")</f>
        <v>MG</v>
      </c>
      <c r="I3018" s="11">
        <f>IFERROR(INDEX(tEditais[Encerramento],MATCH(tItens[[#This Row],[Edital]],tEditais[Edital],0)),"")</f>
        <v>46308.375</v>
      </c>
      <c r="J3018" t="str">
        <f>IFERROR(INDEX(tProdutos[Classe],MATCH(tItens[[#This Row],[Produto]],tProdutos[Produto],0)),"produto não cadastrado")</f>
        <v>FORA</v>
      </c>
      <c r="K3018" s="12">
        <f>tItens[[#This Row],[Qtd]]*tItens[[#This Row],[Vlr unit]]</f>
        <v>74190</v>
      </c>
      <c r="L3018" s="6">
        <f>IFERROR(IF(INDEX(tProdutos[Desconto homologado],MATCH(tItens[[#This Row],[Produto]],tProdutos[Produto],0))="",DescontoPadrao,INDEX(tProdutos[Desconto homologado],MATCH(tItens[[#This Row],[Produto]],tProdutos[Produto],0))),DescontoPadrao)</f>
        <v>0.412394275616498</v>
      </c>
      <c r="M3018" s="12">
        <f>tItens[[#This Row],[Valor]]*(1-tItens[[#This Row],[Desconto]])</f>
        <v>43594.468692012015</v>
      </c>
      <c r="N3018" t="str">
        <f>IFERROR(INDEX(tProdutos[Foco],MATCH(tItens[[#This Row],[Produto]],tProdutos[Produto],0)),"Não")</f>
        <v>Não</v>
      </c>
      <c r="O3018" t="str">
        <f>IFERROR(INDEX(tEditais[SRP],MATCH(tItens[[#This Row],[Edital]],tEditais[Edital],0)),"Não")</f>
        <v>Não</v>
      </c>
      <c r="P3018" s="4">
        <f>IF(COUNTIFS(INDEX(tItens[Edital],1):tItens[[#This Row],[Edital]],tItens[[#This Row],[Edital]],INDEX(tItens[Produto],1):tItens[[#This Row],[Produto]],tItens[[#This Row],[Produto]])=1,1,0)</f>
        <v>1</v>
      </c>
    </row>
    <row r="3019" spans="1:16" x14ac:dyDescent="0.25">
      <c r="A3019" t="s">
        <v>1385</v>
      </c>
      <c r="B3019">
        <v>8006955</v>
      </c>
      <c r="C3019" t="s">
        <v>5945</v>
      </c>
      <c r="D3019" t="s">
        <v>345</v>
      </c>
      <c r="E3019" s="13">
        <v>1000</v>
      </c>
      <c r="F3019" s="12">
        <v>23.94</v>
      </c>
      <c r="G3019" t="str">
        <f>IFERROR(INDEX(tEditais[Órgão],MATCH(tItens[[#This Row],[Edital]],tEditais[Edital],0)),"")</f>
        <v>FUNDACAO HOSPITALAR MUNICIPAL JOAO HENRIQUE</v>
      </c>
      <c r="H3019" t="str">
        <f>IFERROR(INDEX(tEditais[UF],MATCH(tItens[[#This Row],[Edital]],tEditais[Edital],0)),"")</f>
        <v>MG</v>
      </c>
      <c r="I3019" s="11">
        <f>IFERROR(INDEX(tEditais[Encerramento],MATCH(tItens[[#This Row],[Edital]],tEditais[Edital],0)),"")</f>
        <v>46308.375</v>
      </c>
      <c r="J3019" t="str">
        <f>IFERROR(INDEX(tProdutos[Classe],MATCH(tItens[[#This Row],[Produto]],tProdutos[Produto],0)),"produto não cadastrado")</f>
        <v>FORA</v>
      </c>
      <c r="K3019" s="12">
        <f>tItens[[#This Row],[Qtd]]*tItens[[#This Row],[Vlr unit]]</f>
        <v>23940</v>
      </c>
      <c r="L3019" s="6">
        <f>IFERROR(IF(INDEX(tProdutos[Desconto homologado],MATCH(tItens[[#This Row],[Produto]],tProdutos[Produto],0))="",DescontoPadrao,INDEX(tProdutos[Desconto homologado],MATCH(tItens[[#This Row],[Produto]],tProdutos[Produto],0))),DescontoPadrao)</f>
        <v>0.412394275616498</v>
      </c>
      <c r="M3019" s="12">
        <f>tItens[[#This Row],[Valor]]*(1-tItens[[#This Row],[Desconto]])</f>
        <v>14067.281041741038</v>
      </c>
      <c r="N3019" t="str">
        <f>IFERROR(INDEX(tProdutos[Foco],MATCH(tItens[[#This Row],[Produto]],tProdutos[Produto],0)),"Não")</f>
        <v>Não</v>
      </c>
      <c r="O3019" t="str">
        <f>IFERROR(INDEX(tEditais[SRP],MATCH(tItens[[#This Row],[Edital]],tEditais[Edital],0)),"Não")</f>
        <v>Não</v>
      </c>
      <c r="P3019" s="4">
        <f>IF(COUNTIFS(INDEX(tItens[Edital],1):tItens[[#This Row],[Edital]],tItens[[#This Row],[Edital]],INDEX(tItens[Produto],1):tItens[[#This Row],[Produto]],tItens[[#This Row],[Produto]])=1,1,0)</f>
        <v>0</v>
      </c>
    </row>
    <row r="3020" spans="1:16" x14ac:dyDescent="0.25">
      <c r="A3020" t="s">
        <v>1385</v>
      </c>
      <c r="B3020">
        <v>8006956</v>
      </c>
      <c r="C3020" t="s">
        <v>5946</v>
      </c>
      <c r="D3020" t="s">
        <v>345</v>
      </c>
      <c r="E3020" s="13">
        <v>500</v>
      </c>
      <c r="F3020" s="12">
        <v>23.32</v>
      </c>
      <c r="G3020" t="str">
        <f>IFERROR(INDEX(tEditais[Órgão],MATCH(tItens[[#This Row],[Edital]],tEditais[Edital],0)),"")</f>
        <v>FUNDACAO HOSPITALAR MUNICIPAL JOAO HENRIQUE</v>
      </c>
      <c r="H3020" t="str">
        <f>IFERROR(INDEX(tEditais[UF],MATCH(tItens[[#This Row],[Edital]],tEditais[Edital],0)),"")</f>
        <v>MG</v>
      </c>
      <c r="I3020" s="11">
        <f>IFERROR(INDEX(tEditais[Encerramento],MATCH(tItens[[#This Row],[Edital]],tEditais[Edital],0)),"")</f>
        <v>46308.375</v>
      </c>
      <c r="J3020" t="str">
        <f>IFERROR(INDEX(tProdutos[Classe],MATCH(tItens[[#This Row],[Produto]],tProdutos[Produto],0)),"produto não cadastrado")</f>
        <v>FORA</v>
      </c>
      <c r="K3020" s="12">
        <f>tItens[[#This Row],[Qtd]]*tItens[[#This Row],[Vlr unit]]</f>
        <v>11660</v>
      </c>
      <c r="L3020" s="6">
        <f>IFERROR(IF(INDEX(tProdutos[Desconto homologado],MATCH(tItens[[#This Row],[Produto]],tProdutos[Produto],0))="",DescontoPadrao,INDEX(tProdutos[Desconto homologado],MATCH(tItens[[#This Row],[Produto]],tProdutos[Produto],0))),DescontoPadrao)</f>
        <v>0.412394275616498</v>
      </c>
      <c r="M3020" s="12">
        <f>tItens[[#This Row],[Valor]]*(1-tItens[[#This Row],[Desconto]])</f>
        <v>6851.4827463116335</v>
      </c>
      <c r="N3020" t="str">
        <f>IFERROR(INDEX(tProdutos[Foco],MATCH(tItens[[#This Row],[Produto]],tProdutos[Produto],0)),"Não")</f>
        <v>Não</v>
      </c>
      <c r="O3020" t="str">
        <f>IFERROR(INDEX(tEditais[SRP],MATCH(tItens[[#This Row],[Edital]],tEditais[Edital],0)),"Não")</f>
        <v>Não</v>
      </c>
      <c r="P3020" s="4">
        <f>IF(COUNTIFS(INDEX(tItens[Edital],1):tItens[[#This Row],[Edital]],tItens[[#This Row],[Edital]],INDEX(tItens[Produto],1):tItens[[#This Row],[Produto]],tItens[[#This Row],[Produto]])=1,1,0)</f>
        <v>0</v>
      </c>
    </row>
    <row r="3021" spans="1:16" x14ac:dyDescent="0.25">
      <c r="A3021" t="s">
        <v>1385</v>
      </c>
      <c r="B3021">
        <v>8006957</v>
      </c>
      <c r="C3021" t="s">
        <v>5947</v>
      </c>
      <c r="D3021" t="s">
        <v>345</v>
      </c>
      <c r="E3021" s="13">
        <v>500</v>
      </c>
      <c r="F3021" s="12">
        <v>23.32</v>
      </c>
      <c r="G3021" t="str">
        <f>IFERROR(INDEX(tEditais[Órgão],MATCH(tItens[[#This Row],[Edital]],tEditais[Edital],0)),"")</f>
        <v>FUNDACAO HOSPITALAR MUNICIPAL JOAO HENRIQUE</v>
      </c>
      <c r="H3021" t="str">
        <f>IFERROR(INDEX(tEditais[UF],MATCH(tItens[[#This Row],[Edital]],tEditais[Edital],0)),"")</f>
        <v>MG</v>
      </c>
      <c r="I3021" s="11">
        <f>IFERROR(INDEX(tEditais[Encerramento],MATCH(tItens[[#This Row],[Edital]],tEditais[Edital],0)),"")</f>
        <v>46308.375</v>
      </c>
      <c r="J3021" t="str">
        <f>IFERROR(INDEX(tProdutos[Classe],MATCH(tItens[[#This Row],[Produto]],tProdutos[Produto],0)),"produto não cadastrado")</f>
        <v>FORA</v>
      </c>
      <c r="K3021" s="12">
        <f>tItens[[#This Row],[Qtd]]*tItens[[#This Row],[Vlr unit]]</f>
        <v>11660</v>
      </c>
      <c r="L3021" s="6">
        <f>IFERROR(IF(INDEX(tProdutos[Desconto homologado],MATCH(tItens[[#This Row],[Produto]],tProdutos[Produto],0))="",DescontoPadrao,INDEX(tProdutos[Desconto homologado],MATCH(tItens[[#This Row],[Produto]],tProdutos[Produto],0))),DescontoPadrao)</f>
        <v>0.412394275616498</v>
      </c>
      <c r="M3021" s="12">
        <f>tItens[[#This Row],[Valor]]*(1-tItens[[#This Row],[Desconto]])</f>
        <v>6851.4827463116335</v>
      </c>
      <c r="N3021" t="str">
        <f>IFERROR(INDEX(tProdutos[Foco],MATCH(tItens[[#This Row],[Produto]],tProdutos[Produto],0)),"Não")</f>
        <v>Não</v>
      </c>
      <c r="O3021" t="str">
        <f>IFERROR(INDEX(tEditais[SRP],MATCH(tItens[[#This Row],[Edital]],tEditais[Edital],0)),"Não")</f>
        <v>Não</v>
      </c>
      <c r="P3021" s="4">
        <f>IF(COUNTIFS(INDEX(tItens[Edital],1):tItens[[#This Row],[Edital]],tItens[[#This Row],[Edital]],INDEX(tItens[Produto],1):tItens[[#This Row],[Produto]],tItens[[#This Row],[Produto]])=1,1,0)</f>
        <v>0</v>
      </c>
    </row>
    <row r="3022" spans="1:16" x14ac:dyDescent="0.25">
      <c r="A3022" t="s">
        <v>1385</v>
      </c>
      <c r="B3022">
        <v>8006970</v>
      </c>
      <c r="C3022" t="s">
        <v>5948</v>
      </c>
      <c r="D3022" t="s">
        <v>411</v>
      </c>
      <c r="E3022" s="13">
        <v>9000</v>
      </c>
      <c r="F3022" s="12">
        <v>4.0199999999999996</v>
      </c>
      <c r="G3022" t="str">
        <f>IFERROR(INDEX(tEditais[Órgão],MATCH(tItens[[#This Row],[Edital]],tEditais[Edital],0)),"")</f>
        <v>FUNDACAO HOSPITALAR MUNICIPAL JOAO HENRIQUE</v>
      </c>
      <c r="H3022" t="str">
        <f>IFERROR(INDEX(tEditais[UF],MATCH(tItens[[#This Row],[Edital]],tEditais[Edital],0)),"")</f>
        <v>MG</v>
      </c>
      <c r="I3022" s="11">
        <f>IFERROR(INDEX(tEditais[Encerramento],MATCH(tItens[[#This Row],[Edital]],tEditais[Edital],0)),"")</f>
        <v>46308.375</v>
      </c>
      <c r="J3022" t="str">
        <f>IFERROR(INDEX(tProdutos[Classe],MATCH(tItens[[#This Row],[Produto]],tProdutos[Produto],0)),"produto não cadastrado")</f>
        <v>FORA</v>
      </c>
      <c r="K3022" s="12">
        <f>tItens[[#This Row],[Qtd]]*tItens[[#This Row],[Vlr unit]]</f>
        <v>36179.999999999993</v>
      </c>
      <c r="L3022" s="6">
        <f>IFERROR(IF(INDEX(tProdutos[Desconto homologado],MATCH(tItens[[#This Row],[Produto]],tProdutos[Produto],0))="",DescontoPadrao,INDEX(tProdutos[Desconto homologado],MATCH(tItens[[#This Row],[Produto]],tProdutos[Produto],0))),DescontoPadrao)</f>
        <v>0.50029835957199398</v>
      </c>
      <c r="M3022" s="12">
        <f>tItens[[#This Row],[Valor]]*(1-tItens[[#This Row],[Desconto]])</f>
        <v>18079.205350685254</v>
      </c>
      <c r="N3022" t="str">
        <f>IFERROR(INDEX(tProdutos[Foco],MATCH(tItens[[#This Row],[Produto]],tProdutos[Produto],0)),"Não")</f>
        <v>Não</v>
      </c>
      <c r="O3022" t="str">
        <f>IFERROR(INDEX(tEditais[SRP],MATCH(tItens[[#This Row],[Edital]],tEditais[Edital],0)),"Não")</f>
        <v>Não</v>
      </c>
      <c r="P3022" s="4">
        <f>IF(COUNTIFS(INDEX(tItens[Edital],1):tItens[[#This Row],[Edital]],tItens[[#This Row],[Edital]],INDEX(tItens[Produto],1):tItens[[#This Row],[Produto]],tItens[[#This Row],[Produto]])=1,1,0)</f>
        <v>1</v>
      </c>
    </row>
    <row r="3023" spans="1:16" x14ac:dyDescent="0.25">
      <c r="A3023" t="s">
        <v>1385</v>
      </c>
      <c r="B3023">
        <v>8006972</v>
      </c>
      <c r="C3023" t="s">
        <v>5949</v>
      </c>
      <c r="D3023" t="s">
        <v>130</v>
      </c>
      <c r="E3023" s="13">
        <v>6000</v>
      </c>
      <c r="F3023" s="12">
        <v>1.41</v>
      </c>
      <c r="G3023" t="str">
        <f>IFERROR(INDEX(tEditais[Órgão],MATCH(tItens[[#This Row],[Edital]],tEditais[Edital],0)),"")</f>
        <v>FUNDACAO HOSPITALAR MUNICIPAL JOAO HENRIQUE</v>
      </c>
      <c r="H3023" t="str">
        <f>IFERROR(INDEX(tEditais[UF],MATCH(tItens[[#This Row],[Edital]],tEditais[Edital],0)),"")</f>
        <v>MG</v>
      </c>
      <c r="I3023" s="11">
        <f>IFERROR(INDEX(tEditais[Encerramento],MATCH(tItens[[#This Row],[Edital]],tEditais[Edital],0)),"")</f>
        <v>46308.375</v>
      </c>
      <c r="J3023" t="str">
        <f>IFERROR(INDEX(tProdutos[Classe],MATCH(tItens[[#This Row],[Produto]],tProdutos[Produto],0)),"produto não cadastrado")</f>
        <v>DISPUTADO</v>
      </c>
      <c r="K3023" s="12">
        <f>tItens[[#This Row],[Qtd]]*tItens[[#This Row],[Vlr unit]]</f>
        <v>8460</v>
      </c>
      <c r="L3023" s="6">
        <f>IFERROR(IF(INDEX(tProdutos[Desconto homologado],MATCH(tItens[[#This Row],[Produto]],tProdutos[Produto],0))="",DescontoPadrao,INDEX(tProdutos[Desconto homologado],MATCH(tItens[[#This Row],[Produto]],tProdutos[Produto],0))),DescontoPadrao)</f>
        <v>0.32</v>
      </c>
      <c r="M3023" s="12">
        <f>tItens[[#This Row],[Valor]]*(1-tItens[[#This Row],[Desconto]])</f>
        <v>5752.7999999999993</v>
      </c>
      <c r="N3023" t="str">
        <f>IFERROR(INDEX(tProdutos[Foco],MATCH(tItens[[#This Row],[Produto]],tProdutos[Produto],0)),"Não")</f>
        <v>Sim</v>
      </c>
      <c r="O3023" t="str">
        <f>IFERROR(INDEX(tEditais[SRP],MATCH(tItens[[#This Row],[Edital]],tEditais[Edital],0)),"Não")</f>
        <v>Não</v>
      </c>
      <c r="P3023" s="4">
        <f>IF(COUNTIFS(INDEX(tItens[Edital],1):tItens[[#This Row],[Edital]],tItens[[#This Row],[Edital]],INDEX(tItens[Produto],1):tItens[[#This Row],[Produto]],tItens[[#This Row],[Produto]])=1,1,0)</f>
        <v>1</v>
      </c>
    </row>
    <row r="3024" spans="1:16" x14ac:dyDescent="0.25">
      <c r="A3024" t="s">
        <v>1385</v>
      </c>
      <c r="B3024">
        <v>8006975</v>
      </c>
      <c r="C3024" t="s">
        <v>5950</v>
      </c>
      <c r="D3024" t="s">
        <v>518</v>
      </c>
      <c r="E3024" s="13">
        <v>2</v>
      </c>
      <c r="F3024" s="12">
        <v>853.19</v>
      </c>
      <c r="G3024" t="str">
        <f>IFERROR(INDEX(tEditais[Órgão],MATCH(tItens[[#This Row],[Edital]],tEditais[Edital],0)),"")</f>
        <v>FUNDACAO HOSPITALAR MUNICIPAL JOAO HENRIQUE</v>
      </c>
      <c r="H3024" t="str">
        <f>IFERROR(INDEX(tEditais[UF],MATCH(tItens[[#This Row],[Edital]],tEditais[Edital],0)),"")</f>
        <v>MG</v>
      </c>
      <c r="I3024" s="11">
        <f>IFERROR(INDEX(tEditais[Encerramento],MATCH(tItens[[#This Row],[Edital]],tEditais[Edital],0)),"")</f>
        <v>46308.375</v>
      </c>
      <c r="J3024" t="str">
        <f>IFERROR(INDEX(tProdutos[Classe],MATCH(tItens[[#This Row],[Produto]],tProdutos[Produto],0)),"produto não cadastrado")</f>
        <v>FILA REBASE</v>
      </c>
      <c r="K3024" s="12">
        <f>tItens[[#This Row],[Qtd]]*tItens[[#This Row],[Vlr unit]]</f>
        <v>1706.38</v>
      </c>
      <c r="L3024" s="6">
        <f>IFERROR(IF(INDEX(tProdutos[Desconto homologado],MATCH(tItens[[#This Row],[Produto]],tProdutos[Produto],0))="",DescontoPadrao,INDEX(tProdutos[Desconto homologado],MATCH(tItens[[#This Row],[Produto]],tProdutos[Produto],0))),DescontoPadrao)</f>
        <v>0.37028924906606597</v>
      </c>
      <c r="M3024" s="12">
        <f>tItens[[#This Row],[Valor]]*(1-tItens[[#This Row],[Desconto]])</f>
        <v>1074.5258311786465</v>
      </c>
      <c r="N3024" t="str">
        <f>IFERROR(INDEX(tProdutos[Foco],MATCH(tItens[[#This Row],[Produto]],tProdutos[Produto],0)),"Não")</f>
        <v>Não</v>
      </c>
      <c r="O3024" t="str">
        <f>IFERROR(INDEX(tEditais[SRP],MATCH(tItens[[#This Row],[Edital]],tEditais[Edital],0)),"Não")</f>
        <v>Não</v>
      </c>
      <c r="P3024" s="4">
        <f>IF(COUNTIFS(INDEX(tItens[Edital],1):tItens[[#This Row],[Edital]],tItens[[#This Row],[Edital]],INDEX(tItens[Produto],1):tItens[[#This Row],[Produto]],tItens[[#This Row],[Produto]])=1,1,0)</f>
        <v>1</v>
      </c>
    </row>
    <row r="3025" spans="1:16" x14ac:dyDescent="0.25">
      <c r="A3025" t="s">
        <v>1385</v>
      </c>
      <c r="B3025">
        <v>8006981</v>
      </c>
      <c r="C3025" t="s">
        <v>5951</v>
      </c>
      <c r="D3025" t="s">
        <v>56</v>
      </c>
      <c r="E3025" s="13">
        <v>120</v>
      </c>
      <c r="F3025" s="12">
        <v>43.65</v>
      </c>
      <c r="G3025" t="str">
        <f>IFERROR(INDEX(tEditais[Órgão],MATCH(tItens[[#This Row],[Edital]],tEditais[Edital],0)),"")</f>
        <v>FUNDACAO HOSPITALAR MUNICIPAL JOAO HENRIQUE</v>
      </c>
      <c r="H3025" t="str">
        <f>IFERROR(INDEX(tEditais[UF],MATCH(tItens[[#This Row],[Edital]],tEditais[Edital],0)),"")</f>
        <v>MG</v>
      </c>
      <c r="I3025" s="11">
        <f>IFERROR(INDEX(tEditais[Encerramento],MATCH(tItens[[#This Row],[Edital]],tEditais[Edital],0)),"")</f>
        <v>46308.375</v>
      </c>
      <c r="J3025" t="str">
        <f>IFERROR(INDEX(tProdutos[Classe],MATCH(tItens[[#This Row],[Produto]],tProdutos[Produto],0)),"produto não cadastrado")</f>
        <v>NÚCLEO</v>
      </c>
      <c r="K3025" s="12">
        <f>tItens[[#This Row],[Qtd]]*tItens[[#This Row],[Vlr unit]]</f>
        <v>5238</v>
      </c>
      <c r="L3025" s="6">
        <f>IFERROR(IF(INDEX(tProdutos[Desconto homologado],MATCH(tItens[[#This Row],[Produto]],tProdutos[Produto],0))="",DescontoPadrao,INDEX(tProdutos[Desconto homologado],MATCH(tItens[[#This Row],[Produto]],tProdutos[Produto],0))),DescontoPadrao)</f>
        <v>0.34</v>
      </c>
      <c r="M3025" s="12">
        <f>tItens[[#This Row],[Valor]]*(1-tItens[[#This Row],[Desconto]])</f>
        <v>3457.0799999999995</v>
      </c>
      <c r="N3025" t="str">
        <f>IFERROR(INDEX(tProdutos[Foco],MATCH(tItens[[#This Row],[Produto]],tProdutos[Produto],0)),"Não")</f>
        <v>Sim</v>
      </c>
      <c r="O3025" t="str">
        <f>IFERROR(INDEX(tEditais[SRP],MATCH(tItens[[#This Row],[Edital]],tEditais[Edital],0)),"Não")</f>
        <v>Não</v>
      </c>
      <c r="P3025" s="4">
        <f>IF(COUNTIFS(INDEX(tItens[Edital],1):tItens[[#This Row],[Edital]],tItens[[#This Row],[Edital]],INDEX(tItens[Produto],1):tItens[[#This Row],[Produto]],tItens[[#This Row],[Produto]])=1,1,0)</f>
        <v>1</v>
      </c>
    </row>
    <row r="3026" spans="1:16" x14ac:dyDescent="0.25">
      <c r="A3026" t="s">
        <v>1385</v>
      </c>
      <c r="B3026">
        <v>8006982</v>
      </c>
      <c r="C3026" t="s">
        <v>5951</v>
      </c>
      <c r="D3026" t="s">
        <v>56</v>
      </c>
      <c r="E3026" s="13">
        <v>120</v>
      </c>
      <c r="F3026" s="12">
        <v>42.98</v>
      </c>
      <c r="G3026" t="str">
        <f>IFERROR(INDEX(tEditais[Órgão],MATCH(tItens[[#This Row],[Edital]],tEditais[Edital],0)),"")</f>
        <v>FUNDACAO HOSPITALAR MUNICIPAL JOAO HENRIQUE</v>
      </c>
      <c r="H3026" t="str">
        <f>IFERROR(INDEX(tEditais[UF],MATCH(tItens[[#This Row],[Edital]],tEditais[Edital],0)),"")</f>
        <v>MG</v>
      </c>
      <c r="I3026" s="11">
        <f>IFERROR(INDEX(tEditais[Encerramento],MATCH(tItens[[#This Row],[Edital]],tEditais[Edital],0)),"")</f>
        <v>46308.375</v>
      </c>
      <c r="J3026" t="str">
        <f>IFERROR(INDEX(tProdutos[Classe],MATCH(tItens[[#This Row],[Produto]],tProdutos[Produto],0)),"produto não cadastrado")</f>
        <v>NÚCLEO</v>
      </c>
      <c r="K3026" s="12">
        <f>tItens[[#This Row],[Qtd]]*tItens[[#This Row],[Vlr unit]]</f>
        <v>5157.5999999999995</v>
      </c>
      <c r="L3026" s="6">
        <f>IFERROR(IF(INDEX(tProdutos[Desconto homologado],MATCH(tItens[[#This Row],[Produto]],tProdutos[Produto],0))="",DescontoPadrao,INDEX(tProdutos[Desconto homologado],MATCH(tItens[[#This Row],[Produto]],tProdutos[Produto],0))),DescontoPadrao)</f>
        <v>0.34</v>
      </c>
      <c r="M3026" s="12">
        <f>tItens[[#This Row],[Valor]]*(1-tItens[[#This Row],[Desconto]])</f>
        <v>3404.0159999999992</v>
      </c>
      <c r="N3026" t="str">
        <f>IFERROR(INDEX(tProdutos[Foco],MATCH(tItens[[#This Row],[Produto]],tProdutos[Produto],0)),"Não")</f>
        <v>Sim</v>
      </c>
      <c r="O3026" t="str">
        <f>IFERROR(INDEX(tEditais[SRP],MATCH(tItens[[#This Row],[Edital]],tEditais[Edital],0)),"Não")</f>
        <v>Não</v>
      </c>
      <c r="P3026" s="4">
        <f>IF(COUNTIFS(INDEX(tItens[Edital],1):tItens[[#This Row],[Edital]],tItens[[#This Row],[Edital]],INDEX(tItens[Produto],1):tItens[[#This Row],[Produto]],tItens[[#This Row],[Produto]])=1,1,0)</f>
        <v>0</v>
      </c>
    </row>
    <row r="3027" spans="1:16" x14ac:dyDescent="0.25">
      <c r="A3027" t="s">
        <v>1385</v>
      </c>
      <c r="B3027">
        <v>8006983</v>
      </c>
      <c r="C3027" t="s">
        <v>5951</v>
      </c>
      <c r="D3027" t="s">
        <v>56</v>
      </c>
      <c r="E3027" s="13">
        <v>120</v>
      </c>
      <c r="F3027" s="12">
        <v>40.6</v>
      </c>
      <c r="G3027" t="str">
        <f>IFERROR(INDEX(tEditais[Órgão],MATCH(tItens[[#This Row],[Edital]],tEditais[Edital],0)),"")</f>
        <v>FUNDACAO HOSPITALAR MUNICIPAL JOAO HENRIQUE</v>
      </c>
      <c r="H3027" t="str">
        <f>IFERROR(INDEX(tEditais[UF],MATCH(tItens[[#This Row],[Edital]],tEditais[Edital],0)),"")</f>
        <v>MG</v>
      </c>
      <c r="I3027" s="11">
        <f>IFERROR(INDEX(tEditais[Encerramento],MATCH(tItens[[#This Row],[Edital]],tEditais[Edital],0)),"")</f>
        <v>46308.375</v>
      </c>
      <c r="J3027" t="str">
        <f>IFERROR(INDEX(tProdutos[Classe],MATCH(tItens[[#This Row],[Produto]],tProdutos[Produto],0)),"produto não cadastrado")</f>
        <v>NÚCLEO</v>
      </c>
      <c r="K3027" s="12">
        <f>tItens[[#This Row],[Qtd]]*tItens[[#This Row],[Vlr unit]]</f>
        <v>4872</v>
      </c>
      <c r="L3027" s="6">
        <f>IFERROR(IF(INDEX(tProdutos[Desconto homologado],MATCH(tItens[[#This Row],[Produto]],tProdutos[Produto],0))="",DescontoPadrao,INDEX(tProdutos[Desconto homologado],MATCH(tItens[[#This Row],[Produto]],tProdutos[Produto],0))),DescontoPadrao)</f>
        <v>0.34</v>
      </c>
      <c r="M3027" s="12">
        <f>tItens[[#This Row],[Valor]]*(1-tItens[[#This Row],[Desconto]])</f>
        <v>3215.5199999999995</v>
      </c>
      <c r="N3027" t="str">
        <f>IFERROR(INDEX(tProdutos[Foco],MATCH(tItens[[#This Row],[Produto]],tProdutos[Produto],0)),"Não")</f>
        <v>Sim</v>
      </c>
      <c r="O3027" t="str">
        <f>IFERROR(INDEX(tEditais[SRP],MATCH(tItens[[#This Row],[Edital]],tEditais[Edital],0)),"Não")</f>
        <v>Não</v>
      </c>
      <c r="P3027" s="4">
        <f>IF(COUNTIFS(INDEX(tItens[Edital],1):tItens[[#This Row],[Edital]],tItens[[#This Row],[Edital]],INDEX(tItens[Produto],1):tItens[[#This Row],[Produto]],tItens[[#This Row],[Produto]])=1,1,0)</f>
        <v>0</v>
      </c>
    </row>
    <row r="3028" spans="1:16" x14ac:dyDescent="0.25">
      <c r="A3028" t="s">
        <v>1385</v>
      </c>
      <c r="B3028">
        <v>8006984</v>
      </c>
      <c r="C3028" t="s">
        <v>5951</v>
      </c>
      <c r="D3028" t="s">
        <v>56</v>
      </c>
      <c r="E3028" s="13">
        <v>120</v>
      </c>
      <c r="F3028" s="12">
        <v>42.51</v>
      </c>
      <c r="G3028" t="str">
        <f>IFERROR(INDEX(tEditais[Órgão],MATCH(tItens[[#This Row],[Edital]],tEditais[Edital],0)),"")</f>
        <v>FUNDACAO HOSPITALAR MUNICIPAL JOAO HENRIQUE</v>
      </c>
      <c r="H3028" t="str">
        <f>IFERROR(INDEX(tEditais[UF],MATCH(tItens[[#This Row],[Edital]],tEditais[Edital],0)),"")</f>
        <v>MG</v>
      </c>
      <c r="I3028" s="11">
        <f>IFERROR(INDEX(tEditais[Encerramento],MATCH(tItens[[#This Row],[Edital]],tEditais[Edital],0)),"")</f>
        <v>46308.375</v>
      </c>
      <c r="J3028" t="str">
        <f>IFERROR(INDEX(tProdutos[Classe],MATCH(tItens[[#This Row],[Produto]],tProdutos[Produto],0)),"produto não cadastrado")</f>
        <v>NÚCLEO</v>
      </c>
      <c r="K3028" s="12">
        <f>tItens[[#This Row],[Qtd]]*tItens[[#This Row],[Vlr unit]]</f>
        <v>5101.2</v>
      </c>
      <c r="L3028" s="6">
        <f>IFERROR(IF(INDEX(tProdutos[Desconto homologado],MATCH(tItens[[#This Row],[Produto]],tProdutos[Produto],0))="",DescontoPadrao,INDEX(tProdutos[Desconto homologado],MATCH(tItens[[#This Row],[Produto]],tProdutos[Produto],0))),DescontoPadrao)</f>
        <v>0.34</v>
      </c>
      <c r="M3028" s="12">
        <f>tItens[[#This Row],[Valor]]*(1-tItens[[#This Row],[Desconto]])</f>
        <v>3366.7919999999995</v>
      </c>
      <c r="N3028" t="str">
        <f>IFERROR(INDEX(tProdutos[Foco],MATCH(tItens[[#This Row],[Produto]],tProdutos[Produto],0)),"Não")</f>
        <v>Sim</v>
      </c>
      <c r="O3028" t="str">
        <f>IFERROR(INDEX(tEditais[SRP],MATCH(tItens[[#This Row],[Edital]],tEditais[Edital],0)),"Não")</f>
        <v>Não</v>
      </c>
      <c r="P3028" s="4">
        <f>IF(COUNTIFS(INDEX(tItens[Edital],1):tItens[[#This Row],[Edital]],tItens[[#This Row],[Edital]],INDEX(tItens[Produto],1):tItens[[#This Row],[Produto]],tItens[[#This Row],[Produto]])=1,1,0)</f>
        <v>0</v>
      </c>
    </row>
    <row r="3029" spans="1:16" x14ac:dyDescent="0.25">
      <c r="A3029" t="s">
        <v>1385</v>
      </c>
      <c r="B3029">
        <v>8006985</v>
      </c>
      <c r="C3029" t="s">
        <v>5951</v>
      </c>
      <c r="D3029" t="s">
        <v>56</v>
      </c>
      <c r="E3029" s="13">
        <v>120</v>
      </c>
      <c r="F3029" s="12">
        <v>42.67</v>
      </c>
      <c r="G3029" t="str">
        <f>IFERROR(INDEX(tEditais[Órgão],MATCH(tItens[[#This Row],[Edital]],tEditais[Edital],0)),"")</f>
        <v>FUNDACAO HOSPITALAR MUNICIPAL JOAO HENRIQUE</v>
      </c>
      <c r="H3029" t="str">
        <f>IFERROR(INDEX(tEditais[UF],MATCH(tItens[[#This Row],[Edital]],tEditais[Edital],0)),"")</f>
        <v>MG</v>
      </c>
      <c r="I3029" s="11">
        <f>IFERROR(INDEX(tEditais[Encerramento],MATCH(tItens[[#This Row],[Edital]],tEditais[Edital],0)),"")</f>
        <v>46308.375</v>
      </c>
      <c r="J3029" t="str">
        <f>IFERROR(INDEX(tProdutos[Classe],MATCH(tItens[[#This Row],[Produto]],tProdutos[Produto],0)),"produto não cadastrado")</f>
        <v>NÚCLEO</v>
      </c>
      <c r="K3029" s="12">
        <f>tItens[[#This Row],[Qtd]]*tItens[[#This Row],[Vlr unit]]</f>
        <v>5120.4000000000005</v>
      </c>
      <c r="L3029" s="6">
        <f>IFERROR(IF(INDEX(tProdutos[Desconto homologado],MATCH(tItens[[#This Row],[Produto]],tProdutos[Produto],0))="",DescontoPadrao,INDEX(tProdutos[Desconto homologado],MATCH(tItens[[#This Row],[Produto]],tProdutos[Produto],0))),DescontoPadrao)</f>
        <v>0.34</v>
      </c>
      <c r="M3029" s="12">
        <f>tItens[[#This Row],[Valor]]*(1-tItens[[#This Row],[Desconto]])</f>
        <v>3379.4639999999999</v>
      </c>
      <c r="N3029" t="str">
        <f>IFERROR(INDEX(tProdutos[Foco],MATCH(tItens[[#This Row],[Produto]],tProdutos[Produto],0)),"Não")</f>
        <v>Sim</v>
      </c>
      <c r="O3029" t="str">
        <f>IFERROR(INDEX(tEditais[SRP],MATCH(tItens[[#This Row],[Edital]],tEditais[Edital],0)),"Não")</f>
        <v>Não</v>
      </c>
      <c r="P3029" s="4">
        <f>IF(COUNTIFS(INDEX(tItens[Edital],1):tItens[[#This Row],[Edital]],tItens[[#This Row],[Edital]],INDEX(tItens[Produto],1):tItens[[#This Row],[Produto]],tItens[[#This Row],[Produto]])=1,1,0)</f>
        <v>0</v>
      </c>
    </row>
    <row r="3030" spans="1:16" x14ac:dyDescent="0.25">
      <c r="A3030" t="s">
        <v>1385</v>
      </c>
      <c r="B3030">
        <v>8006986</v>
      </c>
      <c r="C3030" t="s">
        <v>5952</v>
      </c>
      <c r="D3030" t="s">
        <v>277</v>
      </c>
      <c r="E3030" s="13">
        <v>1200</v>
      </c>
      <c r="F3030" s="12">
        <v>23.87</v>
      </c>
      <c r="G3030" t="str">
        <f>IFERROR(INDEX(tEditais[Órgão],MATCH(tItens[[#This Row],[Edital]],tEditais[Edital],0)),"")</f>
        <v>FUNDACAO HOSPITALAR MUNICIPAL JOAO HENRIQUE</v>
      </c>
      <c r="H3030" t="str">
        <f>IFERROR(INDEX(tEditais[UF],MATCH(tItens[[#This Row],[Edital]],tEditais[Edital],0)),"")</f>
        <v>MG</v>
      </c>
      <c r="I3030" s="11">
        <f>IFERROR(INDEX(tEditais[Encerramento],MATCH(tItens[[#This Row],[Edital]],tEditais[Edital],0)),"")</f>
        <v>46308.375</v>
      </c>
      <c r="J3030" t="str">
        <f>IFERROR(INDEX(tProdutos[Classe],MATCH(tItens[[#This Row],[Produto]],tProdutos[Produto],0)),"produto não cadastrado")</f>
        <v>DISPUTADO</v>
      </c>
      <c r="K3030" s="12">
        <f>tItens[[#This Row],[Qtd]]*tItens[[#This Row],[Vlr unit]]</f>
        <v>28644</v>
      </c>
      <c r="L3030" s="6">
        <f>IFERROR(IF(INDEX(tProdutos[Desconto homologado],MATCH(tItens[[#This Row],[Produto]],tProdutos[Produto],0))="",DescontoPadrao,INDEX(tProdutos[Desconto homologado],MATCH(tItens[[#This Row],[Produto]],tProdutos[Produto],0))),DescontoPadrao)</f>
        <v>0.50460666194188497</v>
      </c>
      <c r="M3030" s="12">
        <f>tItens[[#This Row],[Valor]]*(1-tItens[[#This Row],[Desconto]])</f>
        <v>14190.046775336647</v>
      </c>
      <c r="N3030" t="str">
        <f>IFERROR(INDEX(tProdutos[Foco],MATCH(tItens[[#This Row],[Produto]],tProdutos[Produto],0)),"Não")</f>
        <v>Não</v>
      </c>
      <c r="O3030" t="str">
        <f>IFERROR(INDEX(tEditais[SRP],MATCH(tItens[[#This Row],[Edital]],tEditais[Edital],0)),"Não")</f>
        <v>Não</v>
      </c>
      <c r="P3030" s="4">
        <f>IF(COUNTIFS(INDEX(tItens[Edital],1):tItens[[#This Row],[Edital]],tItens[[#This Row],[Edital]],INDEX(tItens[Produto],1):tItens[[#This Row],[Produto]],tItens[[#This Row],[Produto]])=1,1,0)</f>
        <v>1</v>
      </c>
    </row>
    <row r="3031" spans="1:16" x14ac:dyDescent="0.25">
      <c r="A3031" t="s">
        <v>1385</v>
      </c>
      <c r="B3031">
        <v>8006988</v>
      </c>
      <c r="C3031" t="s">
        <v>5953</v>
      </c>
      <c r="D3031" t="s">
        <v>343</v>
      </c>
      <c r="E3031" s="13">
        <v>3500</v>
      </c>
      <c r="F3031" s="12">
        <v>3.53</v>
      </c>
      <c r="G3031" t="str">
        <f>IFERROR(INDEX(tEditais[Órgão],MATCH(tItens[[#This Row],[Edital]],tEditais[Edital],0)),"")</f>
        <v>FUNDACAO HOSPITALAR MUNICIPAL JOAO HENRIQUE</v>
      </c>
      <c r="H3031" t="str">
        <f>IFERROR(INDEX(tEditais[UF],MATCH(tItens[[#This Row],[Edital]],tEditais[Edital],0)),"")</f>
        <v>MG</v>
      </c>
      <c r="I3031" s="11">
        <f>IFERROR(INDEX(tEditais[Encerramento],MATCH(tItens[[#This Row],[Edital]],tEditais[Edital],0)),"")</f>
        <v>46308.375</v>
      </c>
      <c r="J3031" t="str">
        <f>IFERROR(INDEX(tProdutos[Classe],MATCH(tItens[[#This Row],[Produto]],tProdutos[Produto],0)),"produto não cadastrado")</f>
        <v>FORA</v>
      </c>
      <c r="K3031" s="12">
        <f>tItens[[#This Row],[Qtd]]*tItens[[#This Row],[Vlr unit]]</f>
        <v>12355</v>
      </c>
      <c r="L3031" s="6">
        <f>IFERROR(IF(INDEX(tProdutos[Desconto homologado],MATCH(tItens[[#This Row],[Produto]],tProdutos[Produto],0))="",DescontoPadrao,INDEX(tProdutos[Desconto homologado],MATCH(tItens[[#This Row],[Produto]],tProdutos[Produto],0))),DescontoPadrao)</f>
        <v>0.35412234042553198</v>
      </c>
      <c r="M3031" s="12">
        <f>tItens[[#This Row],[Valor]]*(1-tItens[[#This Row],[Desconto]])</f>
        <v>7979.818484042552</v>
      </c>
      <c r="N3031" t="str">
        <f>IFERROR(INDEX(tProdutos[Foco],MATCH(tItens[[#This Row],[Produto]],tProdutos[Produto],0)),"Não")</f>
        <v>Não</v>
      </c>
      <c r="O3031" t="str">
        <f>IFERROR(INDEX(tEditais[SRP],MATCH(tItens[[#This Row],[Edital]],tEditais[Edital],0)),"Não")</f>
        <v>Não</v>
      </c>
      <c r="P3031" s="4">
        <f>IF(COUNTIFS(INDEX(tItens[Edital],1):tItens[[#This Row],[Edital]],tItens[[#This Row],[Edital]],INDEX(tItens[Produto],1):tItens[[#This Row],[Produto]],tItens[[#This Row],[Produto]])=1,1,0)</f>
        <v>1</v>
      </c>
    </row>
    <row r="3032" spans="1:16" x14ac:dyDescent="0.25">
      <c r="A3032" t="s">
        <v>1385</v>
      </c>
      <c r="B3032">
        <v>8006990</v>
      </c>
      <c r="C3032" t="s">
        <v>5953</v>
      </c>
      <c r="D3032" t="s">
        <v>343</v>
      </c>
      <c r="E3032" s="13">
        <v>3000</v>
      </c>
      <c r="F3032" s="12">
        <v>3.6</v>
      </c>
      <c r="G3032" t="str">
        <f>IFERROR(INDEX(tEditais[Órgão],MATCH(tItens[[#This Row],[Edital]],tEditais[Edital],0)),"")</f>
        <v>FUNDACAO HOSPITALAR MUNICIPAL JOAO HENRIQUE</v>
      </c>
      <c r="H3032" t="str">
        <f>IFERROR(INDEX(tEditais[UF],MATCH(tItens[[#This Row],[Edital]],tEditais[Edital],0)),"")</f>
        <v>MG</v>
      </c>
      <c r="I3032" s="11">
        <f>IFERROR(INDEX(tEditais[Encerramento],MATCH(tItens[[#This Row],[Edital]],tEditais[Edital],0)),"")</f>
        <v>46308.375</v>
      </c>
      <c r="J3032" t="str">
        <f>IFERROR(INDEX(tProdutos[Classe],MATCH(tItens[[#This Row],[Produto]],tProdutos[Produto],0)),"produto não cadastrado")</f>
        <v>FORA</v>
      </c>
      <c r="K3032" s="12">
        <f>tItens[[#This Row],[Qtd]]*tItens[[#This Row],[Vlr unit]]</f>
        <v>10800</v>
      </c>
      <c r="L3032" s="6">
        <f>IFERROR(IF(INDEX(tProdutos[Desconto homologado],MATCH(tItens[[#This Row],[Produto]],tProdutos[Produto],0))="",DescontoPadrao,INDEX(tProdutos[Desconto homologado],MATCH(tItens[[#This Row],[Produto]],tProdutos[Produto],0))),DescontoPadrao)</f>
        <v>0.35412234042553198</v>
      </c>
      <c r="M3032" s="12">
        <f>tItens[[#This Row],[Valor]]*(1-tItens[[#This Row],[Desconto]])</f>
        <v>6975.4787234042542</v>
      </c>
      <c r="N3032" t="str">
        <f>IFERROR(INDEX(tProdutos[Foco],MATCH(tItens[[#This Row],[Produto]],tProdutos[Produto],0)),"Não")</f>
        <v>Não</v>
      </c>
      <c r="O3032" t="str">
        <f>IFERROR(INDEX(tEditais[SRP],MATCH(tItens[[#This Row],[Edital]],tEditais[Edital],0)),"Não")</f>
        <v>Não</v>
      </c>
      <c r="P3032" s="4">
        <f>IF(COUNTIFS(INDEX(tItens[Edital],1):tItens[[#This Row],[Edital]],tItens[[#This Row],[Edital]],INDEX(tItens[Produto],1):tItens[[#This Row],[Produto]],tItens[[#This Row],[Produto]])=1,1,0)</f>
        <v>0</v>
      </c>
    </row>
    <row r="3033" spans="1:16" x14ac:dyDescent="0.25">
      <c r="A3033" t="s">
        <v>1385</v>
      </c>
      <c r="B3033">
        <v>8006991</v>
      </c>
      <c r="C3033" t="s">
        <v>5953</v>
      </c>
      <c r="D3033" t="s">
        <v>343</v>
      </c>
      <c r="E3033" s="13">
        <v>1500</v>
      </c>
      <c r="F3033" s="12">
        <v>3.53</v>
      </c>
      <c r="G3033" t="str">
        <f>IFERROR(INDEX(tEditais[Órgão],MATCH(tItens[[#This Row],[Edital]],tEditais[Edital],0)),"")</f>
        <v>FUNDACAO HOSPITALAR MUNICIPAL JOAO HENRIQUE</v>
      </c>
      <c r="H3033" t="str">
        <f>IFERROR(INDEX(tEditais[UF],MATCH(tItens[[#This Row],[Edital]],tEditais[Edital],0)),"")</f>
        <v>MG</v>
      </c>
      <c r="I3033" s="11">
        <f>IFERROR(INDEX(tEditais[Encerramento],MATCH(tItens[[#This Row],[Edital]],tEditais[Edital],0)),"")</f>
        <v>46308.375</v>
      </c>
      <c r="J3033" t="str">
        <f>IFERROR(INDEX(tProdutos[Classe],MATCH(tItens[[#This Row],[Produto]],tProdutos[Produto],0)),"produto não cadastrado")</f>
        <v>FORA</v>
      </c>
      <c r="K3033" s="12">
        <f>tItens[[#This Row],[Qtd]]*tItens[[#This Row],[Vlr unit]]</f>
        <v>5295</v>
      </c>
      <c r="L3033" s="6">
        <f>IFERROR(IF(INDEX(tProdutos[Desconto homologado],MATCH(tItens[[#This Row],[Produto]],tProdutos[Produto],0))="",DescontoPadrao,INDEX(tProdutos[Desconto homologado],MATCH(tItens[[#This Row],[Produto]],tProdutos[Produto],0))),DescontoPadrao)</f>
        <v>0.35412234042553198</v>
      </c>
      <c r="M3033" s="12">
        <f>tItens[[#This Row],[Valor]]*(1-tItens[[#This Row],[Desconto]])</f>
        <v>3419.922207446808</v>
      </c>
      <c r="N3033" t="str">
        <f>IFERROR(INDEX(tProdutos[Foco],MATCH(tItens[[#This Row],[Produto]],tProdutos[Produto],0)),"Não")</f>
        <v>Não</v>
      </c>
      <c r="O3033" t="str">
        <f>IFERROR(INDEX(tEditais[SRP],MATCH(tItens[[#This Row],[Edital]],tEditais[Edital],0)),"Não")</f>
        <v>Não</v>
      </c>
      <c r="P3033" s="4">
        <f>IF(COUNTIFS(INDEX(tItens[Edital],1):tItens[[#This Row],[Edital]],tItens[[#This Row],[Edital]],INDEX(tItens[Produto],1):tItens[[#This Row],[Produto]],tItens[[#This Row],[Produto]])=1,1,0)</f>
        <v>0</v>
      </c>
    </row>
    <row r="3034" spans="1:16" x14ac:dyDescent="0.25">
      <c r="A3034" t="s">
        <v>1385</v>
      </c>
      <c r="B3034">
        <v>8006993</v>
      </c>
      <c r="C3034" t="s">
        <v>5954</v>
      </c>
      <c r="D3034" t="s">
        <v>343</v>
      </c>
      <c r="E3034" s="13">
        <v>2000</v>
      </c>
      <c r="F3034" s="12">
        <v>5.08</v>
      </c>
      <c r="G3034" t="str">
        <f>IFERROR(INDEX(tEditais[Órgão],MATCH(tItens[[#This Row],[Edital]],tEditais[Edital],0)),"")</f>
        <v>FUNDACAO HOSPITALAR MUNICIPAL JOAO HENRIQUE</v>
      </c>
      <c r="H3034" t="str">
        <f>IFERROR(INDEX(tEditais[UF],MATCH(tItens[[#This Row],[Edital]],tEditais[Edital],0)),"")</f>
        <v>MG</v>
      </c>
      <c r="I3034" s="11">
        <f>IFERROR(INDEX(tEditais[Encerramento],MATCH(tItens[[#This Row],[Edital]],tEditais[Edital],0)),"")</f>
        <v>46308.375</v>
      </c>
      <c r="J3034" t="str">
        <f>IFERROR(INDEX(tProdutos[Classe],MATCH(tItens[[#This Row],[Produto]],tProdutos[Produto],0)),"produto não cadastrado")</f>
        <v>FORA</v>
      </c>
      <c r="K3034" s="12">
        <f>tItens[[#This Row],[Qtd]]*tItens[[#This Row],[Vlr unit]]</f>
        <v>10160</v>
      </c>
      <c r="L3034" s="6">
        <f>IFERROR(IF(INDEX(tProdutos[Desconto homologado],MATCH(tItens[[#This Row],[Produto]],tProdutos[Produto],0))="",DescontoPadrao,INDEX(tProdutos[Desconto homologado],MATCH(tItens[[#This Row],[Produto]],tProdutos[Produto],0))),DescontoPadrao)</f>
        <v>0.35412234042553198</v>
      </c>
      <c r="M3034" s="12">
        <f>tItens[[#This Row],[Valor]]*(1-tItens[[#This Row],[Desconto]])</f>
        <v>6562.1170212765946</v>
      </c>
      <c r="N3034" t="str">
        <f>IFERROR(INDEX(tProdutos[Foco],MATCH(tItens[[#This Row],[Produto]],tProdutos[Produto],0)),"Não")</f>
        <v>Não</v>
      </c>
      <c r="O3034" t="str">
        <f>IFERROR(INDEX(tEditais[SRP],MATCH(tItens[[#This Row],[Edital]],tEditais[Edital],0)),"Não")</f>
        <v>Não</v>
      </c>
      <c r="P3034" s="4">
        <f>IF(COUNTIFS(INDEX(tItens[Edital],1):tItens[[#This Row],[Edital]],tItens[[#This Row],[Edital]],INDEX(tItens[Produto],1):tItens[[#This Row],[Produto]],tItens[[#This Row],[Produto]])=1,1,0)</f>
        <v>0</v>
      </c>
    </row>
    <row r="3035" spans="1:16" x14ac:dyDescent="0.25">
      <c r="A3035" t="s">
        <v>1385</v>
      </c>
      <c r="B3035">
        <v>8006995</v>
      </c>
      <c r="C3035" t="s">
        <v>5954</v>
      </c>
      <c r="D3035" t="s">
        <v>343</v>
      </c>
      <c r="E3035" s="13">
        <v>1000</v>
      </c>
      <c r="F3035" s="12">
        <v>5.08</v>
      </c>
      <c r="G3035" t="str">
        <f>IFERROR(INDEX(tEditais[Órgão],MATCH(tItens[[#This Row],[Edital]],tEditais[Edital],0)),"")</f>
        <v>FUNDACAO HOSPITALAR MUNICIPAL JOAO HENRIQUE</v>
      </c>
      <c r="H3035" t="str">
        <f>IFERROR(INDEX(tEditais[UF],MATCH(tItens[[#This Row],[Edital]],tEditais[Edital],0)),"")</f>
        <v>MG</v>
      </c>
      <c r="I3035" s="11">
        <f>IFERROR(INDEX(tEditais[Encerramento],MATCH(tItens[[#This Row],[Edital]],tEditais[Edital],0)),"")</f>
        <v>46308.375</v>
      </c>
      <c r="J3035" t="str">
        <f>IFERROR(INDEX(tProdutos[Classe],MATCH(tItens[[#This Row],[Produto]],tProdutos[Produto],0)),"produto não cadastrado")</f>
        <v>FORA</v>
      </c>
      <c r="K3035" s="12">
        <f>tItens[[#This Row],[Qtd]]*tItens[[#This Row],[Vlr unit]]</f>
        <v>5080</v>
      </c>
      <c r="L3035" s="6">
        <f>IFERROR(IF(INDEX(tProdutos[Desconto homologado],MATCH(tItens[[#This Row],[Produto]],tProdutos[Produto],0))="",DescontoPadrao,INDEX(tProdutos[Desconto homologado],MATCH(tItens[[#This Row],[Produto]],tProdutos[Produto],0))),DescontoPadrao)</f>
        <v>0.35412234042553198</v>
      </c>
      <c r="M3035" s="12">
        <f>tItens[[#This Row],[Valor]]*(1-tItens[[#This Row],[Desconto]])</f>
        <v>3281.0585106382973</v>
      </c>
      <c r="N3035" t="str">
        <f>IFERROR(INDEX(tProdutos[Foco],MATCH(tItens[[#This Row],[Produto]],tProdutos[Produto],0)),"Não")</f>
        <v>Não</v>
      </c>
      <c r="O3035" t="str">
        <f>IFERROR(INDEX(tEditais[SRP],MATCH(tItens[[#This Row],[Edital]],tEditais[Edital],0)),"Não")</f>
        <v>Não</v>
      </c>
      <c r="P3035" s="4">
        <f>IF(COUNTIFS(INDEX(tItens[Edital],1):tItens[[#This Row],[Edital]],tItens[[#This Row],[Edital]],INDEX(tItens[Produto],1):tItens[[#This Row],[Produto]],tItens[[#This Row],[Produto]])=1,1,0)</f>
        <v>0</v>
      </c>
    </row>
    <row r="3036" spans="1:16" x14ac:dyDescent="0.25">
      <c r="A3036" t="s">
        <v>1385</v>
      </c>
      <c r="B3036">
        <v>8006996</v>
      </c>
      <c r="C3036" t="s">
        <v>5955</v>
      </c>
      <c r="D3036" t="s">
        <v>343</v>
      </c>
      <c r="E3036" s="13">
        <v>500</v>
      </c>
      <c r="F3036" s="12">
        <v>5.08</v>
      </c>
      <c r="G3036" t="str">
        <f>IFERROR(INDEX(tEditais[Órgão],MATCH(tItens[[#This Row],[Edital]],tEditais[Edital],0)),"")</f>
        <v>FUNDACAO HOSPITALAR MUNICIPAL JOAO HENRIQUE</v>
      </c>
      <c r="H3036" t="str">
        <f>IFERROR(INDEX(tEditais[UF],MATCH(tItens[[#This Row],[Edital]],tEditais[Edital],0)),"")</f>
        <v>MG</v>
      </c>
      <c r="I3036" s="11">
        <f>IFERROR(INDEX(tEditais[Encerramento],MATCH(tItens[[#This Row],[Edital]],tEditais[Edital],0)),"")</f>
        <v>46308.375</v>
      </c>
      <c r="J3036" t="str">
        <f>IFERROR(INDEX(tProdutos[Classe],MATCH(tItens[[#This Row],[Produto]],tProdutos[Produto],0)),"produto não cadastrado")</f>
        <v>FORA</v>
      </c>
      <c r="K3036" s="12">
        <f>tItens[[#This Row],[Qtd]]*tItens[[#This Row],[Vlr unit]]</f>
        <v>2540</v>
      </c>
      <c r="L3036" s="6">
        <f>IFERROR(IF(INDEX(tProdutos[Desconto homologado],MATCH(tItens[[#This Row],[Produto]],tProdutos[Produto],0))="",DescontoPadrao,INDEX(tProdutos[Desconto homologado],MATCH(tItens[[#This Row],[Produto]],tProdutos[Produto],0))),DescontoPadrao)</f>
        <v>0.35412234042553198</v>
      </c>
      <c r="M3036" s="12">
        <f>tItens[[#This Row],[Valor]]*(1-tItens[[#This Row],[Desconto]])</f>
        <v>1640.5292553191487</v>
      </c>
      <c r="N3036" t="str">
        <f>IFERROR(INDEX(tProdutos[Foco],MATCH(tItens[[#This Row],[Produto]],tProdutos[Produto],0)),"Não")</f>
        <v>Não</v>
      </c>
      <c r="O3036" t="str">
        <f>IFERROR(INDEX(tEditais[SRP],MATCH(tItens[[#This Row],[Edital]],tEditais[Edital],0)),"Não")</f>
        <v>Não</v>
      </c>
      <c r="P3036" s="4">
        <f>IF(COUNTIFS(INDEX(tItens[Edital],1):tItens[[#This Row],[Edital]],tItens[[#This Row],[Edital]],INDEX(tItens[Produto],1):tItens[[#This Row],[Produto]],tItens[[#This Row],[Produto]])=1,1,0)</f>
        <v>0</v>
      </c>
    </row>
    <row r="3037" spans="1:16" x14ac:dyDescent="0.25">
      <c r="A3037" t="s">
        <v>1385</v>
      </c>
      <c r="B3037">
        <v>8006998</v>
      </c>
      <c r="C3037" t="s">
        <v>5955</v>
      </c>
      <c r="D3037" t="s">
        <v>343</v>
      </c>
      <c r="E3037" s="13">
        <v>2000</v>
      </c>
      <c r="F3037" s="12">
        <v>5.08</v>
      </c>
      <c r="G3037" t="str">
        <f>IFERROR(INDEX(tEditais[Órgão],MATCH(tItens[[#This Row],[Edital]],tEditais[Edital],0)),"")</f>
        <v>FUNDACAO HOSPITALAR MUNICIPAL JOAO HENRIQUE</v>
      </c>
      <c r="H3037" t="str">
        <f>IFERROR(INDEX(tEditais[UF],MATCH(tItens[[#This Row],[Edital]],tEditais[Edital],0)),"")</f>
        <v>MG</v>
      </c>
      <c r="I3037" s="11">
        <f>IFERROR(INDEX(tEditais[Encerramento],MATCH(tItens[[#This Row],[Edital]],tEditais[Edital],0)),"")</f>
        <v>46308.375</v>
      </c>
      <c r="J3037" t="str">
        <f>IFERROR(INDEX(tProdutos[Classe],MATCH(tItens[[#This Row],[Produto]],tProdutos[Produto],0)),"produto não cadastrado")</f>
        <v>FORA</v>
      </c>
      <c r="K3037" s="12">
        <f>tItens[[#This Row],[Qtd]]*tItens[[#This Row],[Vlr unit]]</f>
        <v>10160</v>
      </c>
      <c r="L3037" s="6">
        <f>IFERROR(IF(INDEX(tProdutos[Desconto homologado],MATCH(tItens[[#This Row],[Produto]],tProdutos[Produto],0))="",DescontoPadrao,INDEX(tProdutos[Desconto homologado],MATCH(tItens[[#This Row],[Produto]],tProdutos[Produto],0))),DescontoPadrao)</f>
        <v>0.35412234042553198</v>
      </c>
      <c r="M3037" s="12">
        <f>tItens[[#This Row],[Valor]]*(1-tItens[[#This Row],[Desconto]])</f>
        <v>6562.1170212765946</v>
      </c>
      <c r="N3037" t="str">
        <f>IFERROR(INDEX(tProdutos[Foco],MATCH(tItens[[#This Row],[Produto]],tProdutos[Produto],0)),"Não")</f>
        <v>Não</v>
      </c>
      <c r="O3037" t="str">
        <f>IFERROR(INDEX(tEditais[SRP],MATCH(tItens[[#This Row],[Edital]],tEditais[Edital],0)),"Não")</f>
        <v>Não</v>
      </c>
      <c r="P3037" s="4">
        <f>IF(COUNTIFS(INDEX(tItens[Edital],1):tItens[[#This Row],[Edital]],tItens[[#This Row],[Edital]],INDEX(tItens[Produto],1):tItens[[#This Row],[Produto]],tItens[[#This Row],[Produto]])=1,1,0)</f>
        <v>0</v>
      </c>
    </row>
    <row r="3038" spans="1:16" x14ac:dyDescent="0.25">
      <c r="A3038" t="s">
        <v>1385</v>
      </c>
      <c r="B3038">
        <v>8006999</v>
      </c>
      <c r="C3038" t="s">
        <v>5956</v>
      </c>
      <c r="D3038" t="s">
        <v>313</v>
      </c>
      <c r="E3038" s="13">
        <v>2000</v>
      </c>
      <c r="F3038" s="12">
        <v>33.659999999999997</v>
      </c>
      <c r="G3038" t="str">
        <f>IFERROR(INDEX(tEditais[Órgão],MATCH(tItens[[#This Row],[Edital]],tEditais[Edital],0)),"")</f>
        <v>FUNDACAO HOSPITALAR MUNICIPAL JOAO HENRIQUE</v>
      </c>
      <c r="H3038" t="str">
        <f>IFERROR(INDEX(tEditais[UF],MATCH(tItens[[#This Row],[Edital]],tEditais[Edital],0)),"")</f>
        <v>MG</v>
      </c>
      <c r="I3038" s="11">
        <f>IFERROR(INDEX(tEditais[Encerramento],MATCH(tItens[[#This Row],[Edital]],tEditais[Edital],0)),"")</f>
        <v>46308.375</v>
      </c>
      <c r="J3038" t="str">
        <f>IFERROR(INDEX(tProdutos[Classe],MATCH(tItens[[#This Row],[Produto]],tProdutos[Produto],0)),"produto não cadastrado")</f>
        <v>FORA</v>
      </c>
      <c r="K3038" s="12">
        <f>tItens[[#This Row],[Qtd]]*tItens[[#This Row],[Vlr unit]]</f>
        <v>67320</v>
      </c>
      <c r="L3038" s="6">
        <f>IFERROR(IF(INDEX(tProdutos[Desconto homologado],MATCH(tItens[[#This Row],[Produto]],tProdutos[Produto],0))="",DescontoPadrao,INDEX(tProdutos[Desconto homologado],MATCH(tItens[[#This Row],[Produto]],tProdutos[Produto],0))),DescontoPadrao)</f>
        <v>0.35766373163696302</v>
      </c>
      <c r="M3038" s="12">
        <f>tItens[[#This Row],[Valor]]*(1-tItens[[#This Row],[Desconto]])</f>
        <v>43242.077586199644</v>
      </c>
      <c r="N3038" t="str">
        <f>IFERROR(INDEX(tProdutos[Foco],MATCH(tItens[[#This Row],[Produto]],tProdutos[Produto],0)),"Não")</f>
        <v>Não</v>
      </c>
      <c r="O3038" t="str">
        <f>IFERROR(INDEX(tEditais[SRP],MATCH(tItens[[#This Row],[Edital]],tEditais[Edital],0)),"Não")</f>
        <v>Não</v>
      </c>
      <c r="P3038" s="4">
        <f>IF(COUNTIFS(INDEX(tItens[Edital],1):tItens[[#This Row],[Edital]],tItens[[#This Row],[Edital]],INDEX(tItens[Produto],1):tItens[[#This Row],[Produto]],tItens[[#This Row],[Produto]])=1,1,0)</f>
        <v>1</v>
      </c>
    </row>
    <row r="3039" spans="1:16" x14ac:dyDescent="0.25">
      <c r="A3039" t="s">
        <v>1385</v>
      </c>
      <c r="B3039">
        <v>8007000</v>
      </c>
      <c r="C3039" t="s">
        <v>5956</v>
      </c>
      <c r="D3039" t="s">
        <v>313</v>
      </c>
      <c r="E3039" s="13">
        <v>8000</v>
      </c>
      <c r="F3039" s="12">
        <v>33.659999999999997</v>
      </c>
      <c r="G3039" t="str">
        <f>IFERROR(INDEX(tEditais[Órgão],MATCH(tItens[[#This Row],[Edital]],tEditais[Edital],0)),"")</f>
        <v>FUNDACAO HOSPITALAR MUNICIPAL JOAO HENRIQUE</v>
      </c>
      <c r="H3039" t="str">
        <f>IFERROR(INDEX(tEditais[UF],MATCH(tItens[[#This Row],[Edital]],tEditais[Edital],0)),"")</f>
        <v>MG</v>
      </c>
      <c r="I3039" s="11">
        <f>IFERROR(INDEX(tEditais[Encerramento],MATCH(tItens[[#This Row],[Edital]],tEditais[Edital],0)),"")</f>
        <v>46308.375</v>
      </c>
      <c r="J3039" t="str">
        <f>IFERROR(INDEX(tProdutos[Classe],MATCH(tItens[[#This Row],[Produto]],tProdutos[Produto],0)),"produto não cadastrado")</f>
        <v>FORA</v>
      </c>
      <c r="K3039" s="12">
        <f>tItens[[#This Row],[Qtd]]*tItens[[#This Row],[Vlr unit]]</f>
        <v>269280</v>
      </c>
      <c r="L3039" s="6">
        <f>IFERROR(IF(INDEX(tProdutos[Desconto homologado],MATCH(tItens[[#This Row],[Produto]],tProdutos[Produto],0))="",DescontoPadrao,INDEX(tProdutos[Desconto homologado],MATCH(tItens[[#This Row],[Produto]],tProdutos[Produto],0))),DescontoPadrao)</f>
        <v>0.35766373163696302</v>
      </c>
      <c r="M3039" s="12">
        <f>tItens[[#This Row],[Valor]]*(1-tItens[[#This Row],[Desconto]])</f>
        <v>172968.31034479858</v>
      </c>
      <c r="N3039" t="str">
        <f>IFERROR(INDEX(tProdutos[Foco],MATCH(tItens[[#This Row],[Produto]],tProdutos[Produto],0)),"Não")</f>
        <v>Não</v>
      </c>
      <c r="O3039" t="str">
        <f>IFERROR(INDEX(tEditais[SRP],MATCH(tItens[[#This Row],[Edital]],tEditais[Edital],0)),"Não")</f>
        <v>Não</v>
      </c>
      <c r="P3039" s="4">
        <f>IF(COUNTIFS(INDEX(tItens[Edital],1):tItens[[#This Row],[Edital]],tItens[[#This Row],[Edital]],INDEX(tItens[Produto],1):tItens[[#This Row],[Produto]],tItens[[#This Row],[Produto]])=1,1,0)</f>
        <v>0</v>
      </c>
    </row>
    <row r="3040" spans="1:16" x14ac:dyDescent="0.25">
      <c r="A3040" t="s">
        <v>1385</v>
      </c>
      <c r="B3040">
        <v>8007002</v>
      </c>
      <c r="C3040" t="s">
        <v>5957</v>
      </c>
      <c r="D3040" t="s">
        <v>381</v>
      </c>
      <c r="E3040" s="13">
        <v>600</v>
      </c>
      <c r="F3040" s="12">
        <v>47.25</v>
      </c>
      <c r="G3040" t="str">
        <f>IFERROR(INDEX(tEditais[Órgão],MATCH(tItens[[#This Row],[Edital]],tEditais[Edital],0)),"")</f>
        <v>FUNDACAO HOSPITALAR MUNICIPAL JOAO HENRIQUE</v>
      </c>
      <c r="H3040" t="str">
        <f>IFERROR(INDEX(tEditais[UF],MATCH(tItens[[#This Row],[Edital]],tEditais[Edital],0)),"")</f>
        <v>MG</v>
      </c>
      <c r="I3040" s="11">
        <f>IFERROR(INDEX(tEditais[Encerramento],MATCH(tItens[[#This Row],[Edital]],tEditais[Edital],0)),"")</f>
        <v>46308.375</v>
      </c>
      <c r="J3040" t="str">
        <f>IFERROR(INDEX(tProdutos[Classe],MATCH(tItens[[#This Row],[Produto]],tProdutos[Produto],0)),"produto não cadastrado")</f>
        <v>FORA</v>
      </c>
      <c r="K3040" s="12">
        <f>tItens[[#This Row],[Qtd]]*tItens[[#This Row],[Vlr unit]]</f>
        <v>28350</v>
      </c>
      <c r="L3040" s="6">
        <f>IFERROR(IF(INDEX(tProdutos[Desconto homologado],MATCH(tItens[[#This Row],[Produto]],tProdutos[Produto],0))="",DescontoPadrao,INDEX(tProdutos[Desconto homologado],MATCH(tItens[[#This Row],[Produto]],tProdutos[Produto],0))),DescontoPadrao)</f>
        <v>0.41112828438949001</v>
      </c>
      <c r="M3040" s="12">
        <f>tItens[[#This Row],[Valor]]*(1-tItens[[#This Row],[Desconto]])</f>
        <v>16694.513137557959</v>
      </c>
      <c r="N3040" t="str">
        <f>IFERROR(INDEX(tProdutos[Foco],MATCH(tItens[[#This Row],[Produto]],tProdutos[Produto],0)),"Não")</f>
        <v>Não</v>
      </c>
      <c r="O3040" t="str">
        <f>IFERROR(INDEX(tEditais[SRP],MATCH(tItens[[#This Row],[Edital]],tEditais[Edital],0)),"Não")</f>
        <v>Não</v>
      </c>
      <c r="P3040" s="4">
        <f>IF(COUNTIFS(INDEX(tItens[Edital],1):tItens[[#This Row],[Edital]],tItens[[#This Row],[Edital]],INDEX(tItens[Produto],1):tItens[[#This Row],[Produto]],tItens[[#This Row],[Produto]])=1,1,0)</f>
        <v>1</v>
      </c>
    </row>
    <row r="3041" spans="1:16" x14ac:dyDescent="0.25">
      <c r="A3041" t="s">
        <v>1385</v>
      </c>
      <c r="B3041">
        <v>8007004</v>
      </c>
      <c r="C3041" t="s">
        <v>5957</v>
      </c>
      <c r="D3041" t="s">
        <v>381</v>
      </c>
      <c r="E3041" s="13">
        <v>500</v>
      </c>
      <c r="F3041" s="12">
        <v>47.25</v>
      </c>
      <c r="G3041" t="str">
        <f>IFERROR(INDEX(tEditais[Órgão],MATCH(tItens[[#This Row],[Edital]],tEditais[Edital],0)),"")</f>
        <v>FUNDACAO HOSPITALAR MUNICIPAL JOAO HENRIQUE</v>
      </c>
      <c r="H3041" t="str">
        <f>IFERROR(INDEX(tEditais[UF],MATCH(tItens[[#This Row],[Edital]],tEditais[Edital],0)),"")</f>
        <v>MG</v>
      </c>
      <c r="I3041" s="11">
        <f>IFERROR(INDEX(tEditais[Encerramento],MATCH(tItens[[#This Row],[Edital]],tEditais[Edital],0)),"")</f>
        <v>46308.375</v>
      </c>
      <c r="J3041" t="str">
        <f>IFERROR(INDEX(tProdutos[Classe],MATCH(tItens[[#This Row],[Produto]],tProdutos[Produto],0)),"produto não cadastrado")</f>
        <v>FORA</v>
      </c>
      <c r="K3041" s="12">
        <f>tItens[[#This Row],[Qtd]]*tItens[[#This Row],[Vlr unit]]</f>
        <v>23625</v>
      </c>
      <c r="L3041" s="6">
        <f>IFERROR(IF(INDEX(tProdutos[Desconto homologado],MATCH(tItens[[#This Row],[Produto]],tProdutos[Produto],0))="",DescontoPadrao,INDEX(tProdutos[Desconto homologado],MATCH(tItens[[#This Row],[Produto]],tProdutos[Produto],0))),DescontoPadrao)</f>
        <v>0.41112828438949001</v>
      </c>
      <c r="M3041" s="12">
        <f>tItens[[#This Row],[Valor]]*(1-tItens[[#This Row],[Desconto]])</f>
        <v>13912.094281298299</v>
      </c>
      <c r="N3041" t="str">
        <f>IFERROR(INDEX(tProdutos[Foco],MATCH(tItens[[#This Row],[Produto]],tProdutos[Produto],0)),"Não")</f>
        <v>Não</v>
      </c>
      <c r="O3041" t="str">
        <f>IFERROR(INDEX(tEditais[SRP],MATCH(tItens[[#This Row],[Edital]],tEditais[Edital],0)),"Não")</f>
        <v>Não</v>
      </c>
      <c r="P3041" s="4">
        <f>IF(COUNTIFS(INDEX(tItens[Edital],1):tItens[[#This Row],[Edital]],tItens[[#This Row],[Edital]],INDEX(tItens[Produto],1):tItens[[#This Row],[Produto]],tItens[[#This Row],[Produto]])=1,1,0)</f>
        <v>0</v>
      </c>
    </row>
    <row r="3042" spans="1:16" x14ac:dyDescent="0.25">
      <c r="A3042" t="s">
        <v>1385</v>
      </c>
      <c r="B3042">
        <v>8007020</v>
      </c>
      <c r="C3042" t="s">
        <v>5958</v>
      </c>
      <c r="D3042" t="s">
        <v>385</v>
      </c>
      <c r="E3042" s="13">
        <v>3000</v>
      </c>
      <c r="F3042" s="12">
        <v>23.3</v>
      </c>
      <c r="G3042" t="str">
        <f>IFERROR(INDEX(tEditais[Órgão],MATCH(tItens[[#This Row],[Edital]],tEditais[Edital],0)),"")</f>
        <v>FUNDACAO HOSPITALAR MUNICIPAL JOAO HENRIQUE</v>
      </c>
      <c r="H3042" t="str">
        <f>IFERROR(INDEX(tEditais[UF],MATCH(tItens[[#This Row],[Edital]],tEditais[Edital],0)),"")</f>
        <v>MG</v>
      </c>
      <c r="I3042" s="11">
        <f>IFERROR(INDEX(tEditais[Encerramento],MATCH(tItens[[#This Row],[Edital]],tEditais[Edital],0)),"")</f>
        <v>46308.375</v>
      </c>
      <c r="J3042" t="str">
        <f>IFERROR(INDEX(tProdutos[Classe],MATCH(tItens[[#This Row],[Produto]],tProdutos[Produto],0)),"produto não cadastrado")</f>
        <v>FORA</v>
      </c>
      <c r="K3042" s="12">
        <f>tItens[[#This Row],[Qtd]]*tItens[[#This Row],[Vlr unit]]</f>
        <v>69900</v>
      </c>
      <c r="L3042" s="6">
        <f>IFERROR(IF(INDEX(tProdutos[Desconto homologado],MATCH(tItens[[#This Row],[Produto]],tProdutos[Produto],0))="",DescontoPadrao,INDEX(tProdutos[Desconto homologado],MATCH(tItens[[#This Row],[Produto]],tProdutos[Produto],0))),DescontoPadrao)</f>
        <v>0.46969696969697</v>
      </c>
      <c r="M3042" s="12">
        <f>tItens[[#This Row],[Valor]]*(1-tItens[[#This Row],[Desconto]])</f>
        <v>37068.181818181802</v>
      </c>
      <c r="N3042" t="str">
        <f>IFERROR(INDEX(tProdutos[Foco],MATCH(tItens[[#This Row],[Produto]],tProdutos[Produto],0)),"Não")</f>
        <v>Não</v>
      </c>
      <c r="O3042" t="str">
        <f>IFERROR(INDEX(tEditais[SRP],MATCH(tItens[[#This Row],[Edital]],tEditais[Edital],0)),"Não")</f>
        <v>Não</v>
      </c>
      <c r="P3042" s="4">
        <f>IF(COUNTIFS(INDEX(tItens[Edital],1):tItens[[#This Row],[Edital]],tItens[[#This Row],[Edital]],INDEX(tItens[Produto],1):tItens[[#This Row],[Produto]],tItens[[#This Row],[Produto]])=1,1,0)</f>
        <v>1</v>
      </c>
    </row>
    <row r="3043" spans="1:16" x14ac:dyDescent="0.25">
      <c r="A3043" t="s">
        <v>1385</v>
      </c>
      <c r="B3043">
        <v>8007021</v>
      </c>
      <c r="C3043" t="s">
        <v>5959</v>
      </c>
      <c r="D3043" t="s">
        <v>249</v>
      </c>
      <c r="E3043" s="13">
        <v>250</v>
      </c>
      <c r="F3043" s="12">
        <v>11.21</v>
      </c>
      <c r="G3043" t="str">
        <f>IFERROR(INDEX(tEditais[Órgão],MATCH(tItens[[#This Row],[Edital]],tEditais[Edital],0)),"")</f>
        <v>FUNDACAO HOSPITALAR MUNICIPAL JOAO HENRIQUE</v>
      </c>
      <c r="H3043" t="str">
        <f>IFERROR(INDEX(tEditais[UF],MATCH(tItens[[#This Row],[Edital]],tEditais[Edital],0)),"")</f>
        <v>MG</v>
      </c>
      <c r="I3043" s="11">
        <f>IFERROR(INDEX(tEditais[Encerramento],MATCH(tItens[[#This Row],[Edital]],tEditais[Edital],0)),"")</f>
        <v>46308.375</v>
      </c>
      <c r="J3043" t="str">
        <f>IFERROR(INDEX(tProdutos[Classe],MATCH(tItens[[#This Row],[Produto]],tProdutos[Produto],0)),"produto não cadastrado")</f>
        <v>FORA</v>
      </c>
      <c r="K3043" s="12">
        <f>tItens[[#This Row],[Qtd]]*tItens[[#This Row],[Vlr unit]]</f>
        <v>2802.5</v>
      </c>
      <c r="L3043" s="6">
        <f>IFERROR(IF(INDEX(tProdutos[Desconto homologado],MATCH(tItens[[#This Row],[Produto]],tProdutos[Produto],0))="",DescontoPadrao,INDEX(tProdutos[Desconto homologado],MATCH(tItens[[#This Row],[Produto]],tProdutos[Produto],0))),DescontoPadrao)</f>
        <v>0.45399945399945402</v>
      </c>
      <c r="M3043" s="12">
        <f>tItens[[#This Row],[Valor]]*(1-tItens[[#This Row],[Desconto]])</f>
        <v>1530.16653016653</v>
      </c>
      <c r="N3043" t="str">
        <f>IFERROR(INDEX(tProdutos[Foco],MATCH(tItens[[#This Row],[Produto]],tProdutos[Produto],0)),"Não")</f>
        <v>Não</v>
      </c>
      <c r="O3043" t="str">
        <f>IFERROR(INDEX(tEditais[SRP],MATCH(tItens[[#This Row],[Edital]],tEditais[Edital],0)),"Não")</f>
        <v>Não</v>
      </c>
      <c r="P3043" s="4">
        <f>IF(COUNTIFS(INDEX(tItens[Edital],1):tItens[[#This Row],[Edital]],tItens[[#This Row],[Edital]],INDEX(tItens[Produto],1):tItens[[#This Row],[Produto]],tItens[[#This Row],[Produto]])=1,1,0)</f>
        <v>1</v>
      </c>
    </row>
    <row r="3044" spans="1:16" x14ac:dyDescent="0.25">
      <c r="A3044" t="s">
        <v>1385</v>
      </c>
      <c r="B3044">
        <v>8007024</v>
      </c>
      <c r="C3044" t="s">
        <v>5960</v>
      </c>
      <c r="D3044" t="s">
        <v>257</v>
      </c>
      <c r="E3044" s="13">
        <v>1000</v>
      </c>
      <c r="F3044" s="12">
        <v>11.27</v>
      </c>
      <c r="G3044" t="str">
        <f>IFERROR(INDEX(tEditais[Órgão],MATCH(tItens[[#This Row],[Edital]],tEditais[Edital],0)),"")</f>
        <v>FUNDACAO HOSPITALAR MUNICIPAL JOAO HENRIQUE</v>
      </c>
      <c r="H3044" t="str">
        <f>IFERROR(INDEX(tEditais[UF],MATCH(tItens[[#This Row],[Edital]],tEditais[Edital],0)),"")</f>
        <v>MG</v>
      </c>
      <c r="I3044" s="11">
        <f>IFERROR(INDEX(tEditais[Encerramento],MATCH(tItens[[#This Row],[Edital]],tEditais[Edital],0)),"")</f>
        <v>46308.375</v>
      </c>
      <c r="J3044" t="str">
        <f>IFERROR(INDEX(tProdutos[Classe],MATCH(tItens[[#This Row],[Produto]],tProdutos[Produto],0)),"produto não cadastrado")</f>
        <v>FORA</v>
      </c>
      <c r="K3044" s="12">
        <f>tItens[[#This Row],[Qtd]]*tItens[[#This Row],[Vlr unit]]</f>
        <v>11270</v>
      </c>
      <c r="L3044" s="6">
        <f>IFERROR(IF(INDEX(tProdutos[Desconto homologado],MATCH(tItens[[#This Row],[Produto]],tProdutos[Produto],0))="",DescontoPadrao,INDEX(tProdutos[Desconto homologado],MATCH(tItens[[#This Row],[Produto]],tProdutos[Produto],0))),DescontoPadrao)</f>
        <v>0.500812004991805</v>
      </c>
      <c r="M3044" s="12">
        <f>tItens[[#This Row],[Valor]]*(1-tItens[[#This Row],[Desconto]])</f>
        <v>5625.8487037423574</v>
      </c>
      <c r="N3044" t="str">
        <f>IFERROR(INDEX(tProdutos[Foco],MATCH(tItens[[#This Row],[Produto]],tProdutos[Produto],0)),"Não")</f>
        <v>Não</v>
      </c>
      <c r="O3044" t="str">
        <f>IFERROR(INDEX(tEditais[SRP],MATCH(tItens[[#This Row],[Edital]],tEditais[Edital],0)),"Não")</f>
        <v>Não</v>
      </c>
      <c r="P3044" s="4">
        <f>IF(COUNTIFS(INDEX(tItens[Edital],1):tItens[[#This Row],[Edital]],tItens[[#This Row],[Edital]],INDEX(tItens[Produto],1):tItens[[#This Row],[Produto]],tItens[[#This Row],[Produto]])=1,1,0)</f>
        <v>1</v>
      </c>
    </row>
    <row r="3045" spans="1:16" x14ac:dyDescent="0.25">
      <c r="A3045" t="s">
        <v>1385</v>
      </c>
      <c r="B3045">
        <v>8007032</v>
      </c>
      <c r="C3045" t="s">
        <v>5961</v>
      </c>
      <c r="D3045" t="s">
        <v>170</v>
      </c>
      <c r="E3045" s="13">
        <v>30</v>
      </c>
      <c r="F3045" s="12">
        <v>154.71</v>
      </c>
      <c r="G3045" t="str">
        <f>IFERROR(INDEX(tEditais[Órgão],MATCH(tItens[[#This Row],[Edital]],tEditais[Edital],0)),"")</f>
        <v>FUNDACAO HOSPITALAR MUNICIPAL JOAO HENRIQUE</v>
      </c>
      <c r="H3045" t="str">
        <f>IFERROR(INDEX(tEditais[UF],MATCH(tItens[[#This Row],[Edital]],tEditais[Edital],0)),"")</f>
        <v>MG</v>
      </c>
      <c r="I3045" s="11">
        <f>IFERROR(INDEX(tEditais[Encerramento],MATCH(tItens[[#This Row],[Edital]],tEditais[Edital],0)),"")</f>
        <v>46308.375</v>
      </c>
      <c r="J3045" t="str">
        <f>IFERROR(INDEX(tProdutos[Classe],MATCH(tItens[[#This Row],[Produto]],tProdutos[Produto],0)),"produto não cadastrado")</f>
        <v>DISPUTADO</v>
      </c>
      <c r="K3045" s="12">
        <f>tItens[[#This Row],[Qtd]]*tItens[[#This Row],[Vlr unit]]</f>
        <v>4641.3</v>
      </c>
      <c r="L3045" s="6">
        <f>IFERROR(IF(INDEX(tProdutos[Desconto homologado],MATCH(tItens[[#This Row],[Produto]],tProdutos[Produto],0))="",DescontoPadrao,INDEX(tProdutos[Desconto homologado],MATCH(tItens[[#This Row],[Produto]],tProdutos[Produto],0))),DescontoPadrao)</f>
        <v>0.36</v>
      </c>
      <c r="M3045" s="12">
        <f>tItens[[#This Row],[Valor]]*(1-tItens[[#This Row],[Desconto]])</f>
        <v>2970.4320000000002</v>
      </c>
      <c r="N3045" t="str">
        <f>IFERROR(INDEX(tProdutos[Foco],MATCH(tItens[[#This Row],[Produto]],tProdutos[Produto],0)),"Não")</f>
        <v>Sim</v>
      </c>
      <c r="O3045" t="str">
        <f>IFERROR(INDEX(tEditais[SRP],MATCH(tItens[[#This Row],[Edital]],tEditais[Edital],0)),"Não")</f>
        <v>Não</v>
      </c>
      <c r="P3045" s="4">
        <f>IF(COUNTIFS(INDEX(tItens[Edital],1):tItens[[#This Row],[Edital]],tItens[[#This Row],[Edital]],INDEX(tItens[Produto],1):tItens[[#This Row],[Produto]],tItens[[#This Row],[Produto]])=1,1,0)</f>
        <v>1</v>
      </c>
    </row>
    <row r="3046" spans="1:16" x14ac:dyDescent="0.25">
      <c r="A3046" t="s">
        <v>1385</v>
      </c>
      <c r="B3046">
        <v>8007033</v>
      </c>
      <c r="C3046" t="s">
        <v>5962</v>
      </c>
      <c r="D3046" t="s">
        <v>170</v>
      </c>
      <c r="E3046" s="13">
        <v>30</v>
      </c>
      <c r="F3046" s="12">
        <v>154.71</v>
      </c>
      <c r="G3046" t="str">
        <f>IFERROR(INDEX(tEditais[Órgão],MATCH(tItens[[#This Row],[Edital]],tEditais[Edital],0)),"")</f>
        <v>FUNDACAO HOSPITALAR MUNICIPAL JOAO HENRIQUE</v>
      </c>
      <c r="H3046" t="str">
        <f>IFERROR(INDEX(tEditais[UF],MATCH(tItens[[#This Row],[Edital]],tEditais[Edital],0)),"")</f>
        <v>MG</v>
      </c>
      <c r="I3046" s="11">
        <f>IFERROR(INDEX(tEditais[Encerramento],MATCH(tItens[[#This Row],[Edital]],tEditais[Edital],0)),"")</f>
        <v>46308.375</v>
      </c>
      <c r="J3046" t="str">
        <f>IFERROR(INDEX(tProdutos[Classe],MATCH(tItens[[#This Row],[Produto]],tProdutos[Produto],0)),"produto não cadastrado")</f>
        <v>DISPUTADO</v>
      </c>
      <c r="K3046" s="12">
        <f>tItens[[#This Row],[Qtd]]*tItens[[#This Row],[Vlr unit]]</f>
        <v>4641.3</v>
      </c>
      <c r="L3046" s="6">
        <f>IFERROR(IF(INDEX(tProdutos[Desconto homologado],MATCH(tItens[[#This Row],[Produto]],tProdutos[Produto],0))="",DescontoPadrao,INDEX(tProdutos[Desconto homologado],MATCH(tItens[[#This Row],[Produto]],tProdutos[Produto],0))),DescontoPadrao)</f>
        <v>0.36</v>
      </c>
      <c r="M3046" s="12">
        <f>tItens[[#This Row],[Valor]]*(1-tItens[[#This Row],[Desconto]])</f>
        <v>2970.4320000000002</v>
      </c>
      <c r="N3046" t="str">
        <f>IFERROR(INDEX(tProdutos[Foco],MATCH(tItens[[#This Row],[Produto]],tProdutos[Produto],0)),"Não")</f>
        <v>Sim</v>
      </c>
      <c r="O3046" t="str">
        <f>IFERROR(INDEX(tEditais[SRP],MATCH(tItens[[#This Row],[Edital]],tEditais[Edital],0)),"Não")</f>
        <v>Não</v>
      </c>
      <c r="P3046" s="4">
        <f>IF(COUNTIFS(INDEX(tItens[Edital],1):tItens[[#This Row],[Edital]],tItens[[#This Row],[Edital]],INDEX(tItens[Produto],1):tItens[[#This Row],[Produto]],tItens[[#This Row],[Produto]])=1,1,0)</f>
        <v>0</v>
      </c>
    </row>
    <row r="3047" spans="1:16" x14ac:dyDescent="0.25">
      <c r="A3047" t="s">
        <v>1385</v>
      </c>
      <c r="B3047">
        <v>8007039</v>
      </c>
      <c r="C3047" t="s">
        <v>5963</v>
      </c>
      <c r="D3047" t="s">
        <v>403</v>
      </c>
      <c r="E3047" s="13">
        <v>6000</v>
      </c>
      <c r="F3047" s="12">
        <v>3.22</v>
      </c>
      <c r="G3047" t="str">
        <f>IFERROR(INDEX(tEditais[Órgão],MATCH(tItens[[#This Row],[Edital]],tEditais[Edital],0)),"")</f>
        <v>FUNDACAO HOSPITALAR MUNICIPAL JOAO HENRIQUE</v>
      </c>
      <c r="H3047" t="str">
        <f>IFERROR(INDEX(tEditais[UF],MATCH(tItens[[#This Row],[Edital]],tEditais[Edital],0)),"")</f>
        <v>MG</v>
      </c>
      <c r="I3047" s="11">
        <f>IFERROR(INDEX(tEditais[Encerramento],MATCH(tItens[[#This Row],[Edital]],tEditais[Edital],0)),"")</f>
        <v>46308.375</v>
      </c>
      <c r="J3047" t="str">
        <f>IFERROR(INDEX(tProdutos[Classe],MATCH(tItens[[#This Row],[Produto]],tProdutos[Produto],0)),"produto não cadastrado")</f>
        <v>FORA</v>
      </c>
      <c r="K3047" s="12">
        <f>tItens[[#This Row],[Qtd]]*tItens[[#This Row],[Vlr unit]]</f>
        <v>19320</v>
      </c>
      <c r="L3047" s="6">
        <f>IFERROR(IF(INDEX(tProdutos[Desconto homologado],MATCH(tItens[[#This Row],[Produto]],tProdutos[Produto],0))="",DescontoPadrao,INDEX(tProdutos[Desconto homologado],MATCH(tItens[[#This Row],[Produto]],tProdutos[Produto],0))),DescontoPadrao)</f>
        <v>0.35326086956521702</v>
      </c>
      <c r="M3047" s="12">
        <f>tItens[[#This Row],[Valor]]*(1-tItens[[#This Row],[Desconto]])</f>
        <v>12495.000000000005</v>
      </c>
      <c r="N3047" t="str">
        <f>IFERROR(INDEX(tProdutos[Foco],MATCH(tItens[[#This Row],[Produto]],tProdutos[Produto],0)),"Não")</f>
        <v>Não</v>
      </c>
      <c r="O3047" t="str">
        <f>IFERROR(INDEX(tEditais[SRP],MATCH(tItens[[#This Row],[Edital]],tEditais[Edital],0)),"Não")</f>
        <v>Não</v>
      </c>
      <c r="P3047" s="4">
        <f>IF(COUNTIFS(INDEX(tItens[Edital],1):tItens[[#This Row],[Edital]],tItens[[#This Row],[Edital]],INDEX(tItens[Produto],1):tItens[[#This Row],[Produto]],tItens[[#This Row],[Produto]])=1,1,0)</f>
        <v>1</v>
      </c>
    </row>
    <row r="3048" spans="1:16" x14ac:dyDescent="0.25">
      <c r="A3048" t="s">
        <v>1385</v>
      </c>
      <c r="B3048">
        <v>8007043</v>
      </c>
      <c r="C3048" t="s">
        <v>5964</v>
      </c>
      <c r="D3048" t="s">
        <v>670</v>
      </c>
      <c r="E3048" s="13">
        <v>20</v>
      </c>
      <c r="F3048" s="12">
        <v>167.51</v>
      </c>
      <c r="G3048" t="str">
        <f>IFERROR(INDEX(tEditais[Órgão],MATCH(tItens[[#This Row],[Edital]],tEditais[Edital],0)),"")</f>
        <v>FUNDACAO HOSPITALAR MUNICIPAL JOAO HENRIQUE</v>
      </c>
      <c r="H3048" t="str">
        <f>IFERROR(INDEX(tEditais[UF],MATCH(tItens[[#This Row],[Edital]],tEditais[Edital],0)),"")</f>
        <v>MG</v>
      </c>
      <c r="I3048" s="11">
        <f>IFERROR(INDEX(tEditais[Encerramento],MATCH(tItens[[#This Row],[Edital]],tEditais[Edital],0)),"")</f>
        <v>46308.375</v>
      </c>
      <c r="J3048" t="str">
        <f>IFERROR(INDEX(tProdutos[Classe],MATCH(tItens[[#This Row],[Produto]],tProdutos[Produto],0)),"produto não cadastrado")</f>
        <v>FILA REBASE</v>
      </c>
      <c r="K3048" s="12">
        <f>tItens[[#This Row],[Qtd]]*tItens[[#This Row],[Vlr unit]]</f>
        <v>3350.2</v>
      </c>
      <c r="L3048" s="6">
        <f>IFERROR(IF(INDEX(tProdutos[Desconto homologado],MATCH(tItens[[#This Row],[Produto]],tProdutos[Produto],0))="",DescontoPadrao,INDEX(tProdutos[Desconto homologado],MATCH(tItens[[#This Row],[Produto]],tProdutos[Produto],0))),DescontoPadrao)</f>
        <v>0.53825503355704696</v>
      </c>
      <c r="M3048" s="12">
        <f>tItens[[#This Row],[Valor]]*(1-tItens[[#This Row],[Desconto]])</f>
        <v>1546.9379865771812</v>
      </c>
      <c r="N3048" t="str">
        <f>IFERROR(INDEX(tProdutos[Foco],MATCH(tItens[[#This Row],[Produto]],tProdutos[Produto],0)),"Não")</f>
        <v>Não</v>
      </c>
      <c r="O3048" t="str">
        <f>IFERROR(INDEX(tEditais[SRP],MATCH(tItens[[#This Row],[Edital]],tEditais[Edital],0)),"Não")</f>
        <v>Não</v>
      </c>
      <c r="P3048" s="4">
        <f>IF(COUNTIFS(INDEX(tItens[Edital],1):tItens[[#This Row],[Edital]],tItens[[#This Row],[Edital]],INDEX(tItens[Produto],1):tItens[[#This Row],[Produto]],tItens[[#This Row],[Produto]])=1,1,0)</f>
        <v>1</v>
      </c>
    </row>
    <row r="3049" spans="1:16" x14ac:dyDescent="0.25">
      <c r="A3049" t="s">
        <v>1385</v>
      </c>
      <c r="B3049">
        <v>8007044</v>
      </c>
      <c r="C3049" t="s">
        <v>5965</v>
      </c>
      <c r="D3049" t="s">
        <v>670</v>
      </c>
      <c r="E3049" s="13">
        <v>50</v>
      </c>
      <c r="F3049" s="12">
        <v>21.04</v>
      </c>
      <c r="G3049" t="str">
        <f>IFERROR(INDEX(tEditais[Órgão],MATCH(tItens[[#This Row],[Edital]],tEditais[Edital],0)),"")</f>
        <v>FUNDACAO HOSPITALAR MUNICIPAL JOAO HENRIQUE</v>
      </c>
      <c r="H3049" t="str">
        <f>IFERROR(INDEX(tEditais[UF],MATCH(tItens[[#This Row],[Edital]],tEditais[Edital],0)),"")</f>
        <v>MG</v>
      </c>
      <c r="I3049" s="11">
        <f>IFERROR(INDEX(tEditais[Encerramento],MATCH(tItens[[#This Row],[Edital]],tEditais[Edital],0)),"")</f>
        <v>46308.375</v>
      </c>
      <c r="J3049" t="str">
        <f>IFERROR(INDEX(tProdutos[Classe],MATCH(tItens[[#This Row],[Produto]],tProdutos[Produto],0)),"produto não cadastrado")</f>
        <v>FILA REBASE</v>
      </c>
      <c r="K3049" s="12">
        <f>tItens[[#This Row],[Qtd]]*tItens[[#This Row],[Vlr unit]]</f>
        <v>1052</v>
      </c>
      <c r="L3049" s="6">
        <f>IFERROR(IF(INDEX(tProdutos[Desconto homologado],MATCH(tItens[[#This Row],[Produto]],tProdutos[Produto],0))="",DescontoPadrao,INDEX(tProdutos[Desconto homologado],MATCH(tItens[[#This Row],[Produto]],tProdutos[Produto],0))),DescontoPadrao)</f>
        <v>0.53825503355704696</v>
      </c>
      <c r="M3049" s="12">
        <f>tItens[[#This Row],[Valor]]*(1-tItens[[#This Row],[Desconto]])</f>
        <v>485.75570469798657</v>
      </c>
      <c r="N3049" t="str">
        <f>IFERROR(INDEX(tProdutos[Foco],MATCH(tItens[[#This Row],[Produto]],tProdutos[Produto],0)),"Não")</f>
        <v>Não</v>
      </c>
      <c r="O3049" t="str">
        <f>IFERROR(INDEX(tEditais[SRP],MATCH(tItens[[#This Row],[Edital]],tEditais[Edital],0)),"Não")</f>
        <v>Não</v>
      </c>
      <c r="P3049" s="4">
        <f>IF(COUNTIFS(INDEX(tItens[Edital],1):tItens[[#This Row],[Edital]],tItens[[#This Row],[Edital]],INDEX(tItens[Produto],1):tItens[[#This Row],[Produto]],tItens[[#This Row],[Produto]])=1,1,0)</f>
        <v>0</v>
      </c>
    </row>
    <row r="3050" spans="1:16" x14ac:dyDescent="0.25">
      <c r="A3050" t="s">
        <v>1385</v>
      </c>
      <c r="B3050">
        <v>8007047</v>
      </c>
      <c r="C3050" t="s">
        <v>5966</v>
      </c>
      <c r="D3050" t="s">
        <v>494</v>
      </c>
      <c r="E3050" s="13">
        <v>200</v>
      </c>
      <c r="F3050" s="12">
        <v>240.59</v>
      </c>
      <c r="G3050" t="str">
        <f>IFERROR(INDEX(tEditais[Órgão],MATCH(tItens[[#This Row],[Edital]],tEditais[Edital],0)),"")</f>
        <v>FUNDACAO HOSPITALAR MUNICIPAL JOAO HENRIQUE</v>
      </c>
      <c r="H3050" t="str">
        <f>IFERROR(INDEX(tEditais[UF],MATCH(tItens[[#This Row],[Edital]],tEditais[Edital],0)),"")</f>
        <v>MG</v>
      </c>
      <c r="I3050" s="11">
        <f>IFERROR(INDEX(tEditais[Encerramento],MATCH(tItens[[#This Row],[Edital]],tEditais[Edital],0)),"")</f>
        <v>46308.375</v>
      </c>
      <c r="J3050" t="str">
        <f>IFERROR(INDEX(tProdutos[Classe],MATCH(tItens[[#This Row],[Produto]],tProdutos[Produto],0)),"produto não cadastrado")</f>
        <v>FILA REBASE</v>
      </c>
      <c r="K3050" s="12">
        <f>tItens[[#This Row],[Qtd]]*tItens[[#This Row],[Vlr unit]]</f>
        <v>48118</v>
      </c>
      <c r="L3050" s="6">
        <f>IFERROR(IF(INDEX(tProdutos[Desconto homologado],MATCH(tItens[[#This Row],[Produto]],tProdutos[Produto],0))="",DescontoPadrao,INDEX(tProdutos[Desconto homologado],MATCH(tItens[[#This Row],[Produto]],tProdutos[Produto],0))),DescontoPadrao)</f>
        <v>0.253736324829619</v>
      </c>
      <c r="M3050" s="12">
        <f>tItens[[#This Row],[Valor]]*(1-tItens[[#This Row],[Desconto]])</f>
        <v>35908.715521848397</v>
      </c>
      <c r="N3050" t="str">
        <f>IFERROR(INDEX(tProdutos[Foco],MATCH(tItens[[#This Row],[Produto]],tProdutos[Produto],0)),"Não")</f>
        <v>Não</v>
      </c>
      <c r="O3050" t="str">
        <f>IFERROR(INDEX(tEditais[SRP],MATCH(tItens[[#This Row],[Edital]],tEditais[Edital],0)),"Não")</f>
        <v>Não</v>
      </c>
      <c r="P3050" s="4">
        <f>IF(COUNTIFS(INDEX(tItens[Edital],1):tItens[[#This Row],[Edital]],tItens[[#This Row],[Edital]],INDEX(tItens[Produto],1):tItens[[#This Row],[Produto]],tItens[[#This Row],[Produto]])=1,1,0)</f>
        <v>1</v>
      </c>
    </row>
    <row r="3051" spans="1:16" x14ac:dyDescent="0.25">
      <c r="A3051" t="s">
        <v>1385</v>
      </c>
      <c r="B3051">
        <v>8007048</v>
      </c>
      <c r="C3051" t="s">
        <v>5966</v>
      </c>
      <c r="D3051" t="s">
        <v>494</v>
      </c>
      <c r="E3051" s="13">
        <v>300</v>
      </c>
      <c r="F3051" s="12">
        <v>142.19999999999999</v>
      </c>
      <c r="G3051" t="str">
        <f>IFERROR(INDEX(tEditais[Órgão],MATCH(tItens[[#This Row],[Edital]],tEditais[Edital],0)),"")</f>
        <v>FUNDACAO HOSPITALAR MUNICIPAL JOAO HENRIQUE</v>
      </c>
      <c r="H3051" t="str">
        <f>IFERROR(INDEX(tEditais[UF],MATCH(tItens[[#This Row],[Edital]],tEditais[Edital],0)),"")</f>
        <v>MG</v>
      </c>
      <c r="I3051" s="11">
        <f>IFERROR(INDEX(tEditais[Encerramento],MATCH(tItens[[#This Row],[Edital]],tEditais[Edital],0)),"")</f>
        <v>46308.375</v>
      </c>
      <c r="J3051" t="str">
        <f>IFERROR(INDEX(tProdutos[Classe],MATCH(tItens[[#This Row],[Produto]],tProdutos[Produto],0)),"produto não cadastrado")</f>
        <v>FILA REBASE</v>
      </c>
      <c r="K3051" s="12">
        <f>tItens[[#This Row],[Qtd]]*tItens[[#This Row],[Vlr unit]]</f>
        <v>42660</v>
      </c>
      <c r="L3051" s="6">
        <f>IFERROR(IF(INDEX(tProdutos[Desconto homologado],MATCH(tItens[[#This Row],[Produto]],tProdutos[Produto],0))="",DescontoPadrao,INDEX(tProdutos[Desconto homologado],MATCH(tItens[[#This Row],[Produto]],tProdutos[Produto],0))),DescontoPadrao)</f>
        <v>0.253736324829619</v>
      </c>
      <c r="M3051" s="12">
        <f>tItens[[#This Row],[Valor]]*(1-tItens[[#This Row],[Desconto]])</f>
        <v>31835.608382768456</v>
      </c>
      <c r="N3051" t="str">
        <f>IFERROR(INDEX(tProdutos[Foco],MATCH(tItens[[#This Row],[Produto]],tProdutos[Produto],0)),"Não")</f>
        <v>Não</v>
      </c>
      <c r="O3051" t="str">
        <f>IFERROR(INDEX(tEditais[SRP],MATCH(tItens[[#This Row],[Edital]],tEditais[Edital],0)),"Não")</f>
        <v>Não</v>
      </c>
      <c r="P3051" s="4">
        <f>IF(COUNTIFS(INDEX(tItens[Edital],1):tItens[[#This Row],[Edital]],tItens[[#This Row],[Edital]],INDEX(tItens[Produto],1):tItens[[#This Row],[Produto]],tItens[[#This Row],[Produto]])=1,1,0)</f>
        <v>0</v>
      </c>
    </row>
    <row r="3052" spans="1:16" x14ac:dyDescent="0.25">
      <c r="A3052" t="s">
        <v>1385</v>
      </c>
      <c r="B3052">
        <v>8007049</v>
      </c>
      <c r="C3052" t="s">
        <v>5967</v>
      </c>
      <c r="D3052" t="s">
        <v>494</v>
      </c>
      <c r="E3052" s="13">
        <v>300</v>
      </c>
      <c r="F3052" s="12">
        <v>106.13</v>
      </c>
      <c r="G3052" t="str">
        <f>IFERROR(INDEX(tEditais[Órgão],MATCH(tItens[[#This Row],[Edital]],tEditais[Edital],0)),"")</f>
        <v>FUNDACAO HOSPITALAR MUNICIPAL JOAO HENRIQUE</v>
      </c>
      <c r="H3052" t="str">
        <f>IFERROR(INDEX(tEditais[UF],MATCH(tItens[[#This Row],[Edital]],tEditais[Edital],0)),"")</f>
        <v>MG</v>
      </c>
      <c r="I3052" s="11">
        <f>IFERROR(INDEX(tEditais[Encerramento],MATCH(tItens[[#This Row],[Edital]],tEditais[Edital],0)),"")</f>
        <v>46308.375</v>
      </c>
      <c r="J3052" t="str">
        <f>IFERROR(INDEX(tProdutos[Classe],MATCH(tItens[[#This Row],[Produto]],tProdutos[Produto],0)),"produto não cadastrado")</f>
        <v>FILA REBASE</v>
      </c>
      <c r="K3052" s="12">
        <f>tItens[[#This Row],[Qtd]]*tItens[[#This Row],[Vlr unit]]</f>
        <v>31839</v>
      </c>
      <c r="L3052" s="6">
        <f>IFERROR(IF(INDEX(tProdutos[Desconto homologado],MATCH(tItens[[#This Row],[Produto]],tProdutos[Produto],0))="",DescontoPadrao,INDEX(tProdutos[Desconto homologado],MATCH(tItens[[#This Row],[Produto]],tProdutos[Produto],0))),DescontoPadrao)</f>
        <v>0.253736324829619</v>
      </c>
      <c r="M3052" s="12">
        <f>tItens[[#This Row],[Valor]]*(1-tItens[[#This Row],[Desconto]])</f>
        <v>23760.289153749763</v>
      </c>
      <c r="N3052" t="str">
        <f>IFERROR(INDEX(tProdutos[Foco],MATCH(tItens[[#This Row],[Produto]],tProdutos[Produto],0)),"Não")</f>
        <v>Não</v>
      </c>
      <c r="O3052" t="str">
        <f>IFERROR(INDEX(tEditais[SRP],MATCH(tItens[[#This Row],[Edital]],tEditais[Edital],0)),"Não")</f>
        <v>Não</v>
      </c>
      <c r="P3052" s="4">
        <f>IF(COUNTIFS(INDEX(tItens[Edital],1):tItens[[#This Row],[Edital]],tItens[[#This Row],[Edital]],INDEX(tItens[Produto],1):tItens[[#This Row],[Produto]],tItens[[#This Row],[Produto]])=1,1,0)</f>
        <v>0</v>
      </c>
    </row>
    <row r="3053" spans="1:16" x14ac:dyDescent="0.25">
      <c r="A3053" t="s">
        <v>1385</v>
      </c>
      <c r="B3053">
        <v>8007056</v>
      </c>
      <c r="C3053" t="s">
        <v>5968</v>
      </c>
      <c r="D3053" t="s">
        <v>479</v>
      </c>
      <c r="E3053" s="13">
        <v>20</v>
      </c>
      <c r="F3053" s="12">
        <v>43.55</v>
      </c>
      <c r="G3053" t="str">
        <f>IFERROR(INDEX(tEditais[Órgão],MATCH(tItens[[#This Row],[Edital]],tEditais[Edital],0)),"")</f>
        <v>FUNDACAO HOSPITALAR MUNICIPAL JOAO HENRIQUE</v>
      </c>
      <c r="H3053" t="str">
        <f>IFERROR(INDEX(tEditais[UF],MATCH(tItens[[#This Row],[Edital]],tEditais[Edital],0)),"")</f>
        <v>MG</v>
      </c>
      <c r="I3053" s="11">
        <f>IFERROR(INDEX(tEditais[Encerramento],MATCH(tItens[[#This Row],[Edital]],tEditais[Edital],0)),"")</f>
        <v>46308.375</v>
      </c>
      <c r="J3053" t="str">
        <f>IFERROR(INDEX(tProdutos[Classe],MATCH(tItens[[#This Row],[Produto]],tProdutos[Produto],0)),"produto não cadastrado")</f>
        <v>FILA REBASE</v>
      </c>
      <c r="K3053" s="12">
        <f>tItens[[#This Row],[Qtd]]*tItens[[#This Row],[Vlr unit]]</f>
        <v>871</v>
      </c>
      <c r="L3053" s="6">
        <f>IFERROR(IF(INDEX(tProdutos[Desconto homologado],MATCH(tItens[[#This Row],[Produto]],tProdutos[Produto],0))="",DescontoPadrao,INDEX(tProdutos[Desconto homologado],MATCH(tItens[[#This Row],[Produto]],tProdutos[Produto],0))),DescontoPadrao)</f>
        <v>0.41266209000762799</v>
      </c>
      <c r="M3053" s="12">
        <f>tItens[[#This Row],[Valor]]*(1-tItens[[#This Row],[Desconto]])</f>
        <v>511.57131960335602</v>
      </c>
      <c r="N3053" t="str">
        <f>IFERROR(INDEX(tProdutos[Foco],MATCH(tItens[[#This Row],[Produto]],tProdutos[Produto],0)),"Não")</f>
        <v>Não</v>
      </c>
      <c r="O3053" t="str">
        <f>IFERROR(INDEX(tEditais[SRP],MATCH(tItens[[#This Row],[Edital]],tEditais[Edital],0)),"Não")</f>
        <v>Não</v>
      </c>
      <c r="P3053" s="4">
        <f>IF(COUNTIFS(INDEX(tItens[Edital],1):tItens[[#This Row],[Edital]],tItens[[#This Row],[Edital]],INDEX(tItens[Produto],1):tItens[[#This Row],[Produto]],tItens[[#This Row],[Produto]])=1,1,0)</f>
        <v>1</v>
      </c>
    </row>
    <row r="3054" spans="1:16" x14ac:dyDescent="0.25">
      <c r="A3054" t="s">
        <v>1385</v>
      </c>
      <c r="B3054">
        <v>8007064</v>
      </c>
      <c r="C3054" t="s">
        <v>5969</v>
      </c>
      <c r="D3054" t="s">
        <v>694</v>
      </c>
      <c r="E3054" s="13">
        <v>20</v>
      </c>
      <c r="F3054" s="12">
        <v>238.16</v>
      </c>
      <c r="G3054" t="str">
        <f>IFERROR(INDEX(tEditais[Órgão],MATCH(tItens[[#This Row],[Edital]],tEditais[Edital],0)),"")</f>
        <v>FUNDACAO HOSPITALAR MUNICIPAL JOAO HENRIQUE</v>
      </c>
      <c r="H3054" t="str">
        <f>IFERROR(INDEX(tEditais[UF],MATCH(tItens[[#This Row],[Edital]],tEditais[Edital],0)),"")</f>
        <v>MG</v>
      </c>
      <c r="I3054" s="11">
        <f>IFERROR(INDEX(tEditais[Encerramento],MATCH(tItens[[#This Row],[Edital]],tEditais[Edital],0)),"")</f>
        <v>46308.375</v>
      </c>
      <c r="J3054" t="str">
        <f>IFERROR(INDEX(tProdutos[Classe],MATCH(tItens[[#This Row],[Produto]],tProdutos[Produto],0)),"produto não cadastrado")</f>
        <v>FILA REBASE</v>
      </c>
      <c r="K3054" s="12">
        <f>tItens[[#This Row],[Qtd]]*tItens[[#This Row],[Vlr unit]]</f>
        <v>4763.2</v>
      </c>
      <c r="L3054" s="6">
        <f>IFERROR(IF(INDEX(tProdutos[Desconto homologado],MATCH(tItens[[#This Row],[Produto]],tProdutos[Produto],0))="",DescontoPadrao,INDEX(tProdutos[Desconto homologado],MATCH(tItens[[#This Row],[Produto]],tProdutos[Produto],0))),DescontoPadrao)</f>
        <v>0.61577111781048699</v>
      </c>
      <c r="M3054" s="12">
        <f>tItens[[#This Row],[Valor]]*(1-tItens[[#This Row],[Desconto]])</f>
        <v>1830.1590116450884</v>
      </c>
      <c r="N3054" t="str">
        <f>IFERROR(INDEX(tProdutos[Foco],MATCH(tItens[[#This Row],[Produto]],tProdutos[Produto],0)),"Não")</f>
        <v>Não</v>
      </c>
      <c r="O3054" t="str">
        <f>IFERROR(INDEX(tEditais[SRP],MATCH(tItens[[#This Row],[Edital]],tEditais[Edital],0)),"Não")</f>
        <v>Não</v>
      </c>
      <c r="P3054" s="4">
        <f>IF(COUNTIFS(INDEX(tItens[Edital],1):tItens[[#This Row],[Edital]],tItens[[#This Row],[Edital]],INDEX(tItens[Produto],1):tItens[[#This Row],[Produto]],tItens[[#This Row],[Produto]])=1,1,0)</f>
        <v>1</v>
      </c>
    </row>
    <row r="3055" spans="1:16" x14ac:dyDescent="0.25">
      <c r="A3055" t="s">
        <v>1385</v>
      </c>
      <c r="B3055">
        <v>8007066</v>
      </c>
      <c r="C3055" t="s">
        <v>5970</v>
      </c>
      <c r="D3055" t="s">
        <v>281</v>
      </c>
      <c r="E3055" s="13">
        <v>80000</v>
      </c>
      <c r="F3055" s="12">
        <v>2.0499999999999998</v>
      </c>
      <c r="G3055" t="str">
        <f>IFERROR(INDEX(tEditais[Órgão],MATCH(tItens[[#This Row],[Edital]],tEditais[Edital],0)),"")</f>
        <v>FUNDACAO HOSPITALAR MUNICIPAL JOAO HENRIQUE</v>
      </c>
      <c r="H3055" t="str">
        <f>IFERROR(INDEX(tEditais[UF],MATCH(tItens[[#This Row],[Edital]],tEditais[Edital],0)),"")</f>
        <v>MG</v>
      </c>
      <c r="I3055" s="11">
        <f>IFERROR(INDEX(tEditais[Encerramento],MATCH(tItens[[#This Row],[Edital]],tEditais[Edital],0)),"")</f>
        <v>46308.375</v>
      </c>
      <c r="J3055" t="str">
        <f>IFERROR(INDEX(tProdutos[Classe],MATCH(tItens[[#This Row],[Produto]],tProdutos[Produto],0)),"produto não cadastrado")</f>
        <v>DISPUTADO</v>
      </c>
      <c r="K3055" s="12">
        <f>tItens[[#This Row],[Qtd]]*tItens[[#This Row],[Vlr unit]]</f>
        <v>164000</v>
      </c>
      <c r="L3055" s="6">
        <f>IFERROR(IF(INDEX(tProdutos[Desconto homologado],MATCH(tItens[[#This Row],[Produto]],tProdutos[Produto],0))="",DescontoPadrao,INDEX(tProdutos[Desconto homologado],MATCH(tItens[[#This Row],[Produto]],tProdutos[Produto],0))),DescontoPadrao)</f>
        <v>0.42461538461538501</v>
      </c>
      <c r="M3055" s="12">
        <f>tItens[[#This Row],[Valor]]*(1-tItens[[#This Row],[Desconto]])</f>
        <v>94363.076923076849</v>
      </c>
      <c r="N3055" t="str">
        <f>IFERROR(INDEX(tProdutos[Foco],MATCH(tItens[[#This Row],[Produto]],tProdutos[Produto],0)),"Não")</f>
        <v>Não</v>
      </c>
      <c r="O3055" t="str">
        <f>IFERROR(INDEX(tEditais[SRP],MATCH(tItens[[#This Row],[Edital]],tEditais[Edital],0)),"Não")</f>
        <v>Não</v>
      </c>
      <c r="P3055" s="4">
        <f>IF(COUNTIFS(INDEX(tItens[Edital],1):tItens[[#This Row],[Edital]],tItens[[#This Row],[Edital]],INDEX(tItens[Produto],1):tItens[[#This Row],[Produto]],tItens[[#This Row],[Produto]])=1,1,0)</f>
        <v>1</v>
      </c>
    </row>
    <row r="3056" spans="1:16" x14ac:dyDescent="0.25">
      <c r="A3056" t="s">
        <v>1385</v>
      </c>
      <c r="B3056">
        <v>8007067</v>
      </c>
      <c r="C3056" t="s">
        <v>5971</v>
      </c>
      <c r="D3056" t="s">
        <v>281</v>
      </c>
      <c r="E3056" s="13">
        <v>2000</v>
      </c>
      <c r="F3056" s="12">
        <v>1.94</v>
      </c>
      <c r="G3056" t="str">
        <f>IFERROR(INDEX(tEditais[Órgão],MATCH(tItens[[#This Row],[Edital]],tEditais[Edital],0)),"")</f>
        <v>FUNDACAO HOSPITALAR MUNICIPAL JOAO HENRIQUE</v>
      </c>
      <c r="H3056" t="str">
        <f>IFERROR(INDEX(tEditais[UF],MATCH(tItens[[#This Row],[Edital]],tEditais[Edital],0)),"")</f>
        <v>MG</v>
      </c>
      <c r="I3056" s="11">
        <f>IFERROR(INDEX(tEditais[Encerramento],MATCH(tItens[[#This Row],[Edital]],tEditais[Edital],0)),"")</f>
        <v>46308.375</v>
      </c>
      <c r="J3056" t="str">
        <f>IFERROR(INDEX(tProdutos[Classe],MATCH(tItens[[#This Row],[Produto]],tProdutos[Produto],0)),"produto não cadastrado")</f>
        <v>DISPUTADO</v>
      </c>
      <c r="K3056" s="12">
        <f>tItens[[#This Row],[Qtd]]*tItens[[#This Row],[Vlr unit]]</f>
        <v>3880</v>
      </c>
      <c r="L3056" s="6">
        <f>IFERROR(IF(INDEX(tProdutos[Desconto homologado],MATCH(tItens[[#This Row],[Produto]],tProdutos[Produto],0))="",DescontoPadrao,INDEX(tProdutos[Desconto homologado],MATCH(tItens[[#This Row],[Produto]],tProdutos[Produto],0))),DescontoPadrao)</f>
        <v>0.42461538461538501</v>
      </c>
      <c r="M3056" s="12">
        <f>tItens[[#This Row],[Valor]]*(1-tItens[[#This Row],[Desconto]])</f>
        <v>2232.492307692306</v>
      </c>
      <c r="N3056" t="str">
        <f>IFERROR(INDEX(tProdutos[Foco],MATCH(tItens[[#This Row],[Produto]],tProdutos[Produto],0)),"Não")</f>
        <v>Não</v>
      </c>
      <c r="O3056" t="str">
        <f>IFERROR(INDEX(tEditais[SRP],MATCH(tItens[[#This Row],[Edital]],tEditais[Edital],0)),"Não")</f>
        <v>Não</v>
      </c>
      <c r="P3056" s="4">
        <f>IF(COUNTIFS(INDEX(tItens[Edital],1):tItens[[#This Row],[Edital]],tItens[[#This Row],[Edital]],INDEX(tItens[Produto],1):tItens[[#This Row],[Produto]],tItens[[#This Row],[Produto]])=1,1,0)</f>
        <v>0</v>
      </c>
    </row>
    <row r="3057" spans="1:16" x14ac:dyDescent="0.25">
      <c r="A3057" t="s">
        <v>1385</v>
      </c>
      <c r="B3057">
        <v>8007068</v>
      </c>
      <c r="C3057" t="s">
        <v>5972</v>
      </c>
      <c r="D3057" t="s">
        <v>303</v>
      </c>
      <c r="E3057" s="13">
        <v>2000</v>
      </c>
      <c r="F3057" s="12">
        <v>2.1</v>
      </c>
      <c r="G3057" t="str">
        <f>IFERROR(INDEX(tEditais[Órgão],MATCH(tItens[[#This Row],[Edital]],tEditais[Edital],0)),"")</f>
        <v>FUNDACAO HOSPITALAR MUNICIPAL JOAO HENRIQUE</v>
      </c>
      <c r="H3057" t="str">
        <f>IFERROR(INDEX(tEditais[UF],MATCH(tItens[[#This Row],[Edital]],tEditais[Edital],0)),"")</f>
        <v>MG</v>
      </c>
      <c r="I3057" s="11">
        <f>IFERROR(INDEX(tEditais[Encerramento],MATCH(tItens[[#This Row],[Edital]],tEditais[Edital],0)),"")</f>
        <v>46308.375</v>
      </c>
      <c r="J3057" t="str">
        <f>IFERROR(INDEX(tProdutos[Classe],MATCH(tItens[[#This Row],[Produto]],tProdutos[Produto],0)),"produto não cadastrado")</f>
        <v>FORA</v>
      </c>
      <c r="K3057" s="12">
        <f>tItens[[#This Row],[Qtd]]*tItens[[#This Row],[Vlr unit]]</f>
        <v>4200</v>
      </c>
      <c r="L3057" s="6">
        <f>IFERROR(IF(INDEX(tProdutos[Desconto homologado],MATCH(tItens[[#This Row],[Produto]],tProdutos[Produto],0))="",DescontoPadrao,INDEX(tProdutos[Desconto homologado],MATCH(tItens[[#This Row],[Produto]],tProdutos[Produto],0))),DescontoPadrao)</f>
        <v>0.35748048048048098</v>
      </c>
      <c r="M3057" s="12">
        <f>tItens[[#This Row],[Valor]]*(1-tItens[[#This Row],[Desconto]])</f>
        <v>2698.5819819819799</v>
      </c>
      <c r="N3057" t="str">
        <f>IFERROR(INDEX(tProdutos[Foco],MATCH(tItens[[#This Row],[Produto]],tProdutos[Produto],0)),"Não")</f>
        <v>Não</v>
      </c>
      <c r="O3057" t="str">
        <f>IFERROR(INDEX(tEditais[SRP],MATCH(tItens[[#This Row],[Edital]],tEditais[Edital],0)),"Não")</f>
        <v>Não</v>
      </c>
      <c r="P3057" s="4">
        <f>IF(COUNTIFS(INDEX(tItens[Edital],1):tItens[[#This Row],[Edital]],tItens[[#This Row],[Edital]],INDEX(tItens[Produto],1):tItens[[#This Row],[Produto]],tItens[[#This Row],[Produto]])=1,1,0)</f>
        <v>1</v>
      </c>
    </row>
    <row r="3058" spans="1:16" x14ac:dyDescent="0.25">
      <c r="A3058" t="s">
        <v>1385</v>
      </c>
      <c r="B3058">
        <v>8007069</v>
      </c>
      <c r="C3058" t="s">
        <v>5973</v>
      </c>
      <c r="D3058" t="s">
        <v>289</v>
      </c>
      <c r="E3058" s="13">
        <v>80000</v>
      </c>
      <c r="F3058" s="12">
        <v>2.52</v>
      </c>
      <c r="G3058" t="str">
        <f>IFERROR(INDEX(tEditais[Órgão],MATCH(tItens[[#This Row],[Edital]],tEditais[Edital],0)),"")</f>
        <v>FUNDACAO HOSPITALAR MUNICIPAL JOAO HENRIQUE</v>
      </c>
      <c r="H3058" t="str">
        <f>IFERROR(INDEX(tEditais[UF],MATCH(tItens[[#This Row],[Edital]],tEditais[Edital],0)),"")</f>
        <v>MG</v>
      </c>
      <c r="I3058" s="11">
        <f>IFERROR(INDEX(tEditais[Encerramento],MATCH(tItens[[#This Row],[Edital]],tEditais[Edital],0)),"")</f>
        <v>46308.375</v>
      </c>
      <c r="J3058" t="str">
        <f>IFERROR(INDEX(tProdutos[Classe],MATCH(tItens[[#This Row],[Produto]],tProdutos[Produto],0)),"produto não cadastrado")</f>
        <v>DISPUTADO</v>
      </c>
      <c r="K3058" s="12">
        <f>tItens[[#This Row],[Qtd]]*tItens[[#This Row],[Vlr unit]]</f>
        <v>201600</v>
      </c>
      <c r="L3058" s="6">
        <f>IFERROR(IF(INDEX(tProdutos[Desconto homologado],MATCH(tItens[[#This Row],[Produto]],tProdutos[Produto],0))="",DescontoPadrao,INDEX(tProdutos[Desconto homologado],MATCH(tItens[[#This Row],[Produto]],tProdutos[Produto],0))),DescontoPadrao)</f>
        <v>0.35849056603773599</v>
      </c>
      <c r="M3058" s="12">
        <f>tItens[[#This Row],[Valor]]*(1-tItens[[#This Row],[Desconto]])</f>
        <v>129328.30188679243</v>
      </c>
      <c r="N3058" t="str">
        <f>IFERROR(INDEX(tProdutos[Foco],MATCH(tItens[[#This Row],[Produto]],tProdutos[Produto],0)),"Não")</f>
        <v>Não</v>
      </c>
      <c r="O3058" t="str">
        <f>IFERROR(INDEX(tEditais[SRP],MATCH(tItens[[#This Row],[Edital]],tEditais[Edital],0)),"Não")</f>
        <v>Não</v>
      </c>
      <c r="P3058" s="4">
        <f>IF(COUNTIFS(INDEX(tItens[Edital],1):tItens[[#This Row],[Edital]],tItens[[#This Row],[Edital]],INDEX(tItens[Produto],1):tItens[[#This Row],[Produto]],tItens[[#This Row],[Produto]])=1,1,0)</f>
        <v>1</v>
      </c>
    </row>
    <row r="3059" spans="1:16" x14ac:dyDescent="0.25">
      <c r="A3059" t="s">
        <v>1385</v>
      </c>
      <c r="B3059">
        <v>8007070</v>
      </c>
      <c r="C3059" t="s">
        <v>5974</v>
      </c>
      <c r="D3059" t="s">
        <v>283</v>
      </c>
      <c r="E3059" s="13">
        <v>2000</v>
      </c>
      <c r="F3059" s="12">
        <v>2.12</v>
      </c>
      <c r="G3059" t="str">
        <f>IFERROR(INDEX(tEditais[Órgão],MATCH(tItens[[#This Row],[Edital]],tEditais[Edital],0)),"")</f>
        <v>FUNDACAO HOSPITALAR MUNICIPAL JOAO HENRIQUE</v>
      </c>
      <c r="H3059" t="str">
        <f>IFERROR(INDEX(tEditais[UF],MATCH(tItens[[#This Row],[Edital]],tEditais[Edital],0)),"")</f>
        <v>MG</v>
      </c>
      <c r="I3059" s="11">
        <f>IFERROR(INDEX(tEditais[Encerramento],MATCH(tItens[[#This Row],[Edital]],tEditais[Edital],0)),"")</f>
        <v>46308.375</v>
      </c>
      <c r="J3059" t="str">
        <f>IFERROR(INDEX(tProdutos[Classe],MATCH(tItens[[#This Row],[Produto]],tProdutos[Produto],0)),"produto não cadastrado")</f>
        <v>FORA</v>
      </c>
      <c r="K3059" s="12">
        <f>tItens[[#This Row],[Qtd]]*tItens[[#This Row],[Vlr unit]]</f>
        <v>4240</v>
      </c>
      <c r="L3059" s="6">
        <f>IFERROR(IF(INDEX(tProdutos[Desconto homologado],MATCH(tItens[[#This Row],[Produto]],tProdutos[Produto],0))="",DescontoPadrao,INDEX(tProdutos[Desconto homologado],MATCH(tItens[[#This Row],[Produto]],tProdutos[Produto],0))),DescontoPadrao)</f>
        <v>0.40540540540540498</v>
      </c>
      <c r="M3059" s="12">
        <f>tItens[[#This Row],[Valor]]*(1-tItens[[#This Row],[Desconto]])</f>
        <v>2521.0810810810826</v>
      </c>
      <c r="N3059" t="str">
        <f>IFERROR(INDEX(tProdutos[Foco],MATCH(tItens[[#This Row],[Produto]],tProdutos[Produto],0)),"Não")</f>
        <v>Não</v>
      </c>
      <c r="O3059" t="str">
        <f>IFERROR(INDEX(tEditais[SRP],MATCH(tItens[[#This Row],[Edital]],tEditais[Edital],0)),"Não")</f>
        <v>Não</v>
      </c>
      <c r="P3059" s="4">
        <f>IF(COUNTIFS(INDEX(tItens[Edital],1):tItens[[#This Row],[Edital]],tItens[[#This Row],[Edital]],INDEX(tItens[Produto],1):tItens[[#This Row],[Produto]],tItens[[#This Row],[Produto]])=1,1,0)</f>
        <v>1</v>
      </c>
    </row>
    <row r="3060" spans="1:16" x14ac:dyDescent="0.25">
      <c r="A3060" t="s">
        <v>1385</v>
      </c>
      <c r="B3060">
        <v>8007071</v>
      </c>
      <c r="C3060" t="s">
        <v>5975</v>
      </c>
      <c r="D3060" t="s">
        <v>283</v>
      </c>
      <c r="E3060" s="13">
        <v>80000</v>
      </c>
      <c r="F3060" s="12">
        <v>1.94</v>
      </c>
      <c r="G3060" t="str">
        <f>IFERROR(INDEX(tEditais[Órgão],MATCH(tItens[[#This Row],[Edital]],tEditais[Edital],0)),"")</f>
        <v>FUNDACAO HOSPITALAR MUNICIPAL JOAO HENRIQUE</v>
      </c>
      <c r="H3060" t="str">
        <f>IFERROR(INDEX(tEditais[UF],MATCH(tItens[[#This Row],[Edital]],tEditais[Edital],0)),"")</f>
        <v>MG</v>
      </c>
      <c r="I3060" s="11">
        <f>IFERROR(INDEX(tEditais[Encerramento],MATCH(tItens[[#This Row],[Edital]],tEditais[Edital],0)),"")</f>
        <v>46308.375</v>
      </c>
      <c r="J3060" t="str">
        <f>IFERROR(INDEX(tProdutos[Classe],MATCH(tItens[[#This Row],[Produto]],tProdutos[Produto],0)),"produto não cadastrado")</f>
        <v>FORA</v>
      </c>
      <c r="K3060" s="12">
        <f>tItens[[#This Row],[Qtd]]*tItens[[#This Row],[Vlr unit]]</f>
        <v>155200</v>
      </c>
      <c r="L3060" s="6">
        <f>IFERROR(IF(INDEX(tProdutos[Desconto homologado],MATCH(tItens[[#This Row],[Produto]],tProdutos[Produto],0))="",DescontoPadrao,INDEX(tProdutos[Desconto homologado],MATCH(tItens[[#This Row],[Produto]],tProdutos[Produto],0))),DescontoPadrao)</f>
        <v>0.40540540540540498</v>
      </c>
      <c r="M3060" s="12">
        <f>tItens[[#This Row],[Valor]]*(1-tItens[[#This Row],[Desconto]])</f>
        <v>92281.081081081138</v>
      </c>
      <c r="N3060" t="str">
        <f>IFERROR(INDEX(tProdutos[Foco],MATCH(tItens[[#This Row],[Produto]],tProdutos[Produto],0)),"Não")</f>
        <v>Não</v>
      </c>
      <c r="O3060" t="str">
        <f>IFERROR(INDEX(tEditais[SRP],MATCH(tItens[[#This Row],[Edital]],tEditais[Edital],0)),"Não")</f>
        <v>Não</v>
      </c>
      <c r="P3060" s="4">
        <f>IF(COUNTIFS(INDEX(tItens[Edital],1):tItens[[#This Row],[Edital]],tItens[[#This Row],[Edital]],INDEX(tItens[Produto],1):tItens[[#This Row],[Produto]],tItens[[#This Row],[Produto]])=1,1,0)</f>
        <v>0</v>
      </c>
    </row>
    <row r="3061" spans="1:16" x14ac:dyDescent="0.25">
      <c r="A3061" t="s">
        <v>1385</v>
      </c>
      <c r="B3061">
        <v>8007072</v>
      </c>
      <c r="C3061" t="s">
        <v>5976</v>
      </c>
      <c r="D3061" t="s">
        <v>265</v>
      </c>
      <c r="E3061" s="13">
        <v>2000</v>
      </c>
      <c r="F3061" s="12">
        <v>1.98</v>
      </c>
      <c r="G3061" t="str">
        <f>IFERROR(INDEX(tEditais[Órgão],MATCH(tItens[[#This Row],[Edital]],tEditais[Edital],0)),"")</f>
        <v>FUNDACAO HOSPITALAR MUNICIPAL JOAO HENRIQUE</v>
      </c>
      <c r="H3061" t="str">
        <f>IFERROR(INDEX(tEditais[UF],MATCH(tItens[[#This Row],[Edital]],tEditais[Edital],0)),"")</f>
        <v>MG</v>
      </c>
      <c r="I3061" s="11">
        <f>IFERROR(INDEX(tEditais[Encerramento],MATCH(tItens[[#This Row],[Edital]],tEditais[Edital],0)),"")</f>
        <v>46308.375</v>
      </c>
      <c r="J3061" t="str">
        <f>IFERROR(INDEX(tProdutos[Classe],MATCH(tItens[[#This Row],[Produto]],tProdutos[Produto],0)),"produto não cadastrado")</f>
        <v>DISPUTADO</v>
      </c>
      <c r="K3061" s="12">
        <f>tItens[[#This Row],[Qtd]]*tItens[[#This Row],[Vlr unit]]</f>
        <v>3960</v>
      </c>
      <c r="L3061" s="6">
        <f>IFERROR(IF(INDEX(tProdutos[Desconto homologado],MATCH(tItens[[#This Row],[Produto]],tProdutos[Produto],0))="",DescontoPadrao,INDEX(tProdutos[Desconto homologado],MATCH(tItens[[#This Row],[Produto]],tProdutos[Produto],0))),DescontoPadrao)</f>
        <v>0.377587663709337</v>
      </c>
      <c r="M3061" s="12">
        <f>tItens[[#This Row],[Valor]]*(1-tItens[[#This Row],[Desconto]])</f>
        <v>2464.7528517110259</v>
      </c>
      <c r="N3061" t="str">
        <f>IFERROR(INDEX(tProdutos[Foco],MATCH(tItens[[#This Row],[Produto]],tProdutos[Produto],0)),"Não")</f>
        <v>Não</v>
      </c>
      <c r="O3061" t="str">
        <f>IFERROR(INDEX(tEditais[SRP],MATCH(tItens[[#This Row],[Edital]],tEditais[Edital],0)),"Não")</f>
        <v>Não</v>
      </c>
      <c r="P3061" s="4">
        <f>IF(COUNTIFS(INDEX(tItens[Edital],1):tItens[[#This Row],[Edital]],tItens[[#This Row],[Edital]],INDEX(tItens[Produto],1):tItens[[#This Row],[Produto]],tItens[[#This Row],[Produto]])=1,1,0)</f>
        <v>1</v>
      </c>
    </row>
    <row r="3062" spans="1:16" x14ac:dyDescent="0.25">
      <c r="A3062" t="s">
        <v>1385</v>
      </c>
      <c r="B3062">
        <v>8007073</v>
      </c>
      <c r="C3062" t="s">
        <v>5977</v>
      </c>
      <c r="D3062" t="s">
        <v>265</v>
      </c>
      <c r="E3062" s="13">
        <v>80000</v>
      </c>
      <c r="F3062" s="12">
        <v>2.0499999999999998</v>
      </c>
      <c r="G3062" t="str">
        <f>IFERROR(INDEX(tEditais[Órgão],MATCH(tItens[[#This Row],[Edital]],tEditais[Edital],0)),"")</f>
        <v>FUNDACAO HOSPITALAR MUNICIPAL JOAO HENRIQUE</v>
      </c>
      <c r="H3062" t="str">
        <f>IFERROR(INDEX(tEditais[UF],MATCH(tItens[[#This Row],[Edital]],tEditais[Edital],0)),"")</f>
        <v>MG</v>
      </c>
      <c r="I3062" s="11">
        <f>IFERROR(INDEX(tEditais[Encerramento],MATCH(tItens[[#This Row],[Edital]],tEditais[Edital],0)),"")</f>
        <v>46308.375</v>
      </c>
      <c r="J3062" t="str">
        <f>IFERROR(INDEX(tProdutos[Classe],MATCH(tItens[[#This Row],[Produto]],tProdutos[Produto],0)),"produto não cadastrado")</f>
        <v>DISPUTADO</v>
      </c>
      <c r="K3062" s="12">
        <f>tItens[[#This Row],[Qtd]]*tItens[[#This Row],[Vlr unit]]</f>
        <v>164000</v>
      </c>
      <c r="L3062" s="6">
        <f>IFERROR(IF(INDEX(tProdutos[Desconto homologado],MATCH(tItens[[#This Row],[Produto]],tProdutos[Produto],0))="",DescontoPadrao,INDEX(tProdutos[Desconto homologado],MATCH(tItens[[#This Row],[Produto]],tProdutos[Produto],0))),DescontoPadrao)</f>
        <v>0.377587663709337</v>
      </c>
      <c r="M3062" s="12">
        <f>tItens[[#This Row],[Valor]]*(1-tItens[[#This Row],[Desconto]])</f>
        <v>102075.62315166874</v>
      </c>
      <c r="N3062" t="str">
        <f>IFERROR(INDEX(tProdutos[Foco],MATCH(tItens[[#This Row],[Produto]],tProdutos[Produto],0)),"Não")</f>
        <v>Não</v>
      </c>
      <c r="O3062" t="str">
        <f>IFERROR(INDEX(tEditais[SRP],MATCH(tItens[[#This Row],[Edital]],tEditais[Edital],0)),"Não")</f>
        <v>Não</v>
      </c>
      <c r="P3062" s="4">
        <f>IF(COUNTIFS(INDEX(tItens[Edital],1):tItens[[#This Row],[Edital]],tItens[[#This Row],[Edital]],INDEX(tItens[Produto],1):tItens[[#This Row],[Produto]],tItens[[#This Row],[Produto]])=1,1,0)</f>
        <v>0</v>
      </c>
    </row>
    <row r="3063" spans="1:16" x14ac:dyDescent="0.25">
      <c r="A3063" t="s">
        <v>1385</v>
      </c>
      <c r="B3063">
        <v>8007076</v>
      </c>
      <c r="C3063" t="s">
        <v>5978</v>
      </c>
      <c r="D3063" t="s">
        <v>275</v>
      </c>
      <c r="E3063" s="13">
        <v>80000</v>
      </c>
      <c r="F3063" s="12">
        <v>2.37</v>
      </c>
      <c r="G3063" t="str">
        <f>IFERROR(INDEX(tEditais[Órgão],MATCH(tItens[[#This Row],[Edital]],tEditais[Edital],0)),"")</f>
        <v>FUNDACAO HOSPITALAR MUNICIPAL JOAO HENRIQUE</v>
      </c>
      <c r="H3063" t="str">
        <f>IFERROR(INDEX(tEditais[UF],MATCH(tItens[[#This Row],[Edital]],tEditais[Edital],0)),"")</f>
        <v>MG</v>
      </c>
      <c r="I3063" s="11">
        <f>IFERROR(INDEX(tEditais[Encerramento],MATCH(tItens[[#This Row],[Edital]],tEditais[Edital],0)),"")</f>
        <v>46308.375</v>
      </c>
      <c r="J3063" t="str">
        <f>IFERROR(INDEX(tProdutos[Classe],MATCH(tItens[[#This Row],[Produto]],tProdutos[Produto],0)),"produto não cadastrado")</f>
        <v>FORA</v>
      </c>
      <c r="K3063" s="12">
        <f>tItens[[#This Row],[Qtd]]*tItens[[#This Row],[Vlr unit]]</f>
        <v>189600</v>
      </c>
      <c r="L3063" s="6">
        <f>IFERROR(IF(INDEX(tProdutos[Desconto homologado],MATCH(tItens[[#This Row],[Produto]],tProdutos[Produto],0))="",DescontoPadrao,INDEX(tProdutos[Desconto homologado],MATCH(tItens[[#This Row],[Produto]],tProdutos[Produto],0))),DescontoPadrao)</f>
        <v>0.405797101449275</v>
      </c>
      <c r="M3063" s="12">
        <f>tItens[[#This Row],[Valor]]*(1-tItens[[#This Row],[Desconto]])</f>
        <v>112660.86956521746</v>
      </c>
      <c r="N3063" t="str">
        <f>IFERROR(INDEX(tProdutos[Foco],MATCH(tItens[[#This Row],[Produto]],tProdutos[Produto],0)),"Não")</f>
        <v>Não</v>
      </c>
      <c r="O3063" t="str">
        <f>IFERROR(INDEX(tEditais[SRP],MATCH(tItens[[#This Row],[Edital]],tEditais[Edital],0)),"Não")</f>
        <v>Não</v>
      </c>
      <c r="P3063" s="4">
        <f>IF(COUNTIFS(INDEX(tItens[Edital],1):tItens[[#This Row],[Edital]],tItens[[#This Row],[Edital]],INDEX(tItens[Produto],1):tItens[[#This Row],[Produto]],tItens[[#This Row],[Produto]])=1,1,0)</f>
        <v>1</v>
      </c>
    </row>
    <row r="3064" spans="1:16" x14ac:dyDescent="0.25">
      <c r="A3064" t="s">
        <v>1385</v>
      </c>
      <c r="B3064">
        <v>8007077</v>
      </c>
      <c r="C3064" t="s">
        <v>5979</v>
      </c>
      <c r="D3064" t="s">
        <v>110</v>
      </c>
      <c r="E3064" s="13">
        <v>1100</v>
      </c>
      <c r="F3064" s="12">
        <v>6.05</v>
      </c>
      <c r="G3064" t="str">
        <f>IFERROR(INDEX(tEditais[Órgão],MATCH(tItens[[#This Row],[Edital]],tEditais[Edital],0)),"")</f>
        <v>FUNDACAO HOSPITALAR MUNICIPAL JOAO HENRIQUE</v>
      </c>
      <c r="H3064" t="str">
        <f>IFERROR(INDEX(tEditais[UF],MATCH(tItens[[#This Row],[Edital]],tEditais[Edital],0)),"")</f>
        <v>MG</v>
      </c>
      <c r="I3064" s="11">
        <f>IFERROR(INDEX(tEditais[Encerramento],MATCH(tItens[[#This Row],[Edital]],tEditais[Edital],0)),"")</f>
        <v>46308.375</v>
      </c>
      <c r="J3064" t="str">
        <f>IFERROR(INDEX(tProdutos[Classe],MATCH(tItens[[#This Row],[Produto]],tProdutos[Produto],0)),"produto não cadastrado")</f>
        <v>NÚCLEO</v>
      </c>
      <c r="K3064" s="12">
        <f>tItens[[#This Row],[Qtd]]*tItens[[#This Row],[Vlr unit]]</f>
        <v>6655</v>
      </c>
      <c r="L3064" s="6">
        <f>IFERROR(IF(INDEX(tProdutos[Desconto homologado],MATCH(tItens[[#This Row],[Produto]],tProdutos[Produto],0))="",DescontoPadrao,INDEX(tProdutos[Desconto homologado],MATCH(tItens[[#This Row],[Produto]],tProdutos[Produto],0))),DescontoPadrao)</f>
        <v>0.30410958904109597</v>
      </c>
      <c r="M3064" s="12">
        <f>tItens[[#This Row],[Valor]]*(1-tItens[[#This Row],[Desconto]])</f>
        <v>4631.1506849315065</v>
      </c>
      <c r="N3064" t="str">
        <f>IFERROR(INDEX(tProdutos[Foco],MATCH(tItens[[#This Row],[Produto]],tProdutos[Produto],0)),"Não")</f>
        <v>Não</v>
      </c>
      <c r="O3064" t="str">
        <f>IFERROR(INDEX(tEditais[SRP],MATCH(tItens[[#This Row],[Edital]],tEditais[Edital],0)),"Não")</f>
        <v>Não</v>
      </c>
      <c r="P3064" s="4">
        <f>IF(COUNTIFS(INDEX(tItens[Edital],1):tItens[[#This Row],[Edital]],tItens[[#This Row],[Edital]],INDEX(tItens[Produto],1):tItens[[#This Row],[Produto]],tItens[[#This Row],[Produto]])=1,1,0)</f>
        <v>0</v>
      </c>
    </row>
    <row r="3065" spans="1:16" x14ac:dyDescent="0.25">
      <c r="A3065" t="s">
        <v>1385</v>
      </c>
      <c r="B3065">
        <v>8007101</v>
      </c>
      <c r="C3065" t="s">
        <v>5980</v>
      </c>
      <c r="D3065" t="s">
        <v>120</v>
      </c>
      <c r="E3065" s="13">
        <v>3000</v>
      </c>
      <c r="F3065" s="12">
        <v>5.72</v>
      </c>
      <c r="G3065" t="str">
        <f>IFERROR(INDEX(tEditais[Órgão],MATCH(tItens[[#This Row],[Edital]],tEditais[Edital],0)),"")</f>
        <v>FUNDACAO HOSPITALAR MUNICIPAL JOAO HENRIQUE</v>
      </c>
      <c r="H3065" t="str">
        <f>IFERROR(INDEX(tEditais[UF],MATCH(tItens[[#This Row],[Edital]],tEditais[Edital],0)),"")</f>
        <v>MG</v>
      </c>
      <c r="I3065" s="11">
        <f>IFERROR(INDEX(tEditais[Encerramento],MATCH(tItens[[#This Row],[Edital]],tEditais[Edital],0)),"")</f>
        <v>46308.375</v>
      </c>
      <c r="J3065" t="str">
        <f>IFERROR(INDEX(tProdutos[Classe],MATCH(tItens[[#This Row],[Produto]],tProdutos[Produto],0)),"produto não cadastrado")</f>
        <v>DISPUTADO</v>
      </c>
      <c r="K3065" s="12">
        <f>tItens[[#This Row],[Qtd]]*tItens[[#This Row],[Vlr unit]]</f>
        <v>17160</v>
      </c>
      <c r="L3065" s="6">
        <f>IFERROR(IF(INDEX(tProdutos[Desconto homologado],MATCH(tItens[[#This Row],[Produto]],tProdutos[Produto],0))="",DescontoPadrao,INDEX(tProdutos[Desconto homologado],MATCH(tItens[[#This Row],[Produto]],tProdutos[Produto],0))),DescontoPadrao)</f>
        <v>0.40909090909090901</v>
      </c>
      <c r="M3065" s="12">
        <f>tItens[[#This Row],[Valor]]*(1-tItens[[#This Row],[Desconto]])</f>
        <v>10140.000000000002</v>
      </c>
      <c r="N3065" t="str">
        <f>IFERROR(INDEX(tProdutos[Foco],MATCH(tItens[[#This Row],[Produto]],tProdutos[Produto],0)),"Não")</f>
        <v>Não</v>
      </c>
      <c r="O3065" t="str">
        <f>IFERROR(INDEX(tEditais[SRP],MATCH(tItens[[#This Row],[Edital]],tEditais[Edital],0)),"Não")</f>
        <v>Não</v>
      </c>
      <c r="P3065" s="4">
        <f>IF(COUNTIFS(INDEX(tItens[Edital],1):tItens[[#This Row],[Edital]],tItens[[#This Row],[Edital]],INDEX(tItens[Produto],1):tItens[[#This Row],[Produto]],tItens[[#This Row],[Produto]])=1,1,0)</f>
        <v>1</v>
      </c>
    </row>
    <row r="3066" spans="1:16" x14ac:dyDescent="0.25">
      <c r="A3066" t="s">
        <v>1385</v>
      </c>
      <c r="B3066">
        <v>8007104</v>
      </c>
      <c r="C3066" t="s">
        <v>5981</v>
      </c>
      <c r="D3066" t="s">
        <v>120</v>
      </c>
      <c r="E3066" s="13">
        <v>3000</v>
      </c>
      <c r="F3066" s="12">
        <v>5.72</v>
      </c>
      <c r="G3066" t="str">
        <f>IFERROR(INDEX(tEditais[Órgão],MATCH(tItens[[#This Row],[Edital]],tEditais[Edital],0)),"")</f>
        <v>FUNDACAO HOSPITALAR MUNICIPAL JOAO HENRIQUE</v>
      </c>
      <c r="H3066" t="str">
        <f>IFERROR(INDEX(tEditais[UF],MATCH(tItens[[#This Row],[Edital]],tEditais[Edital],0)),"")</f>
        <v>MG</v>
      </c>
      <c r="I3066" s="11">
        <f>IFERROR(INDEX(tEditais[Encerramento],MATCH(tItens[[#This Row],[Edital]],tEditais[Edital],0)),"")</f>
        <v>46308.375</v>
      </c>
      <c r="J3066" t="str">
        <f>IFERROR(INDEX(tProdutos[Classe],MATCH(tItens[[#This Row],[Produto]],tProdutos[Produto],0)),"produto não cadastrado")</f>
        <v>DISPUTADO</v>
      </c>
      <c r="K3066" s="12">
        <f>tItens[[#This Row],[Qtd]]*tItens[[#This Row],[Vlr unit]]</f>
        <v>17160</v>
      </c>
      <c r="L3066" s="6">
        <f>IFERROR(IF(INDEX(tProdutos[Desconto homologado],MATCH(tItens[[#This Row],[Produto]],tProdutos[Produto],0))="",DescontoPadrao,INDEX(tProdutos[Desconto homologado],MATCH(tItens[[#This Row],[Produto]],tProdutos[Produto],0))),DescontoPadrao)</f>
        <v>0.40909090909090901</v>
      </c>
      <c r="M3066" s="12">
        <f>tItens[[#This Row],[Valor]]*(1-tItens[[#This Row],[Desconto]])</f>
        <v>10140.000000000002</v>
      </c>
      <c r="N3066" t="str">
        <f>IFERROR(INDEX(tProdutos[Foco],MATCH(tItens[[#This Row],[Produto]],tProdutos[Produto],0)),"Não")</f>
        <v>Não</v>
      </c>
      <c r="O3066" t="str">
        <f>IFERROR(INDEX(tEditais[SRP],MATCH(tItens[[#This Row],[Edital]],tEditais[Edital],0)),"Não")</f>
        <v>Não</v>
      </c>
      <c r="P3066" s="4">
        <f>IF(COUNTIFS(INDEX(tItens[Edital],1):tItens[[#This Row],[Edital]],tItens[[#This Row],[Edital]],INDEX(tItens[Produto],1):tItens[[#This Row],[Produto]],tItens[[#This Row],[Produto]])=1,1,0)</f>
        <v>0</v>
      </c>
    </row>
    <row r="3067" spans="1:16" x14ac:dyDescent="0.25">
      <c r="A3067" t="s">
        <v>1385</v>
      </c>
      <c r="B3067">
        <v>8007135</v>
      </c>
      <c r="C3067" t="s">
        <v>5982</v>
      </c>
      <c r="D3067" t="s">
        <v>162</v>
      </c>
      <c r="E3067" s="13">
        <v>10000</v>
      </c>
      <c r="F3067" s="12">
        <v>3.61</v>
      </c>
      <c r="G3067" t="str">
        <f>IFERROR(INDEX(tEditais[Órgão],MATCH(tItens[[#This Row],[Edital]],tEditais[Edital],0)),"")</f>
        <v>FUNDACAO HOSPITALAR MUNICIPAL JOAO HENRIQUE</v>
      </c>
      <c r="H3067" t="str">
        <f>IFERROR(INDEX(tEditais[UF],MATCH(tItens[[#This Row],[Edital]],tEditais[Edital],0)),"")</f>
        <v>MG</v>
      </c>
      <c r="I3067" s="11">
        <f>IFERROR(INDEX(tEditais[Encerramento],MATCH(tItens[[#This Row],[Edital]],tEditais[Edital],0)),"")</f>
        <v>46308.375</v>
      </c>
      <c r="J3067" t="str">
        <f>IFERROR(INDEX(tProdutos[Classe],MATCH(tItens[[#This Row],[Produto]],tProdutos[Produto],0)),"produto não cadastrado")</f>
        <v>DISPUTADO</v>
      </c>
      <c r="K3067" s="12">
        <f>tItens[[#This Row],[Qtd]]*tItens[[#This Row],[Vlr unit]]</f>
        <v>36100</v>
      </c>
      <c r="L3067" s="6">
        <f>IFERROR(IF(INDEX(tProdutos[Desconto homologado],MATCH(tItens[[#This Row],[Produto]],tProdutos[Produto],0))="",DescontoPadrao,INDEX(tProdutos[Desconto homologado],MATCH(tItens[[#This Row],[Produto]],tProdutos[Produto],0))),DescontoPadrao)</f>
        <v>0.41269841269841301</v>
      </c>
      <c r="M3067" s="12">
        <f>tItens[[#This Row],[Valor]]*(1-tItens[[#This Row],[Desconto]])</f>
        <v>21201.587301587289</v>
      </c>
      <c r="N3067" t="str">
        <f>IFERROR(INDEX(tProdutos[Foco],MATCH(tItens[[#This Row],[Produto]],tProdutos[Produto],0)),"Não")</f>
        <v>Não</v>
      </c>
      <c r="O3067" t="str">
        <f>IFERROR(INDEX(tEditais[SRP],MATCH(tItens[[#This Row],[Edital]],tEditais[Edital],0)),"Não")</f>
        <v>Não</v>
      </c>
      <c r="P3067" s="4">
        <f>IF(COUNTIFS(INDEX(tItens[Edital],1):tItens[[#This Row],[Edital]],tItens[[#This Row],[Edital]],INDEX(tItens[Produto],1):tItens[[#This Row],[Produto]],tItens[[#This Row],[Produto]])=1,1,0)</f>
        <v>1</v>
      </c>
    </row>
    <row r="3068" spans="1:16" x14ac:dyDescent="0.25">
      <c r="A3068" t="s">
        <v>1385</v>
      </c>
      <c r="B3068">
        <v>8007136</v>
      </c>
      <c r="C3068" t="s">
        <v>5983</v>
      </c>
      <c r="D3068" t="s">
        <v>114</v>
      </c>
      <c r="E3068" s="13">
        <v>1200</v>
      </c>
      <c r="F3068" s="12">
        <v>20.99</v>
      </c>
      <c r="G3068" t="str">
        <f>IFERROR(INDEX(tEditais[Órgão],MATCH(tItens[[#This Row],[Edital]],tEditais[Edital],0)),"")</f>
        <v>FUNDACAO HOSPITALAR MUNICIPAL JOAO HENRIQUE</v>
      </c>
      <c r="H3068" t="str">
        <f>IFERROR(INDEX(tEditais[UF],MATCH(tItens[[#This Row],[Edital]],tEditais[Edital],0)),"")</f>
        <v>MG</v>
      </c>
      <c r="I3068" s="11">
        <f>IFERROR(INDEX(tEditais[Encerramento],MATCH(tItens[[#This Row],[Edital]],tEditais[Edital],0)),"")</f>
        <v>46308.375</v>
      </c>
      <c r="J3068" t="str">
        <f>IFERROR(INDEX(tProdutos[Classe],MATCH(tItens[[#This Row],[Produto]],tProdutos[Produto],0)),"produto não cadastrado")</f>
        <v>DISPUTADO</v>
      </c>
      <c r="K3068" s="12">
        <f>tItens[[#This Row],[Qtd]]*tItens[[#This Row],[Vlr unit]]</f>
        <v>25187.999999999996</v>
      </c>
      <c r="L3068" s="6">
        <f>IFERROR(IF(INDEX(tProdutos[Desconto homologado],MATCH(tItens[[#This Row],[Produto]],tProdutos[Produto],0))="",DescontoPadrao,INDEX(tProdutos[Desconto homologado],MATCH(tItens[[#This Row],[Produto]],tProdutos[Produto],0))),DescontoPadrao)</f>
        <v>0.24332656063896899</v>
      </c>
      <c r="M3068" s="12">
        <f>tItens[[#This Row],[Valor]]*(1-tItens[[#This Row],[Desconto]])</f>
        <v>19059.090590625648</v>
      </c>
      <c r="N3068" t="str">
        <f>IFERROR(INDEX(tProdutos[Foco],MATCH(tItens[[#This Row],[Produto]],tProdutos[Produto],0)),"Não")</f>
        <v>Não</v>
      </c>
      <c r="O3068" t="str">
        <f>IFERROR(INDEX(tEditais[SRP],MATCH(tItens[[#This Row],[Edital]],tEditais[Edital],0)),"Não")</f>
        <v>Não</v>
      </c>
      <c r="P3068" s="4">
        <f>IF(COUNTIFS(INDEX(tItens[Edital],1):tItens[[#This Row],[Edital]],tItens[[#This Row],[Edital]],INDEX(tItens[Produto],1):tItens[[#This Row],[Produto]],tItens[[#This Row],[Produto]])=1,1,0)</f>
        <v>1</v>
      </c>
    </row>
    <row r="3069" spans="1:16" x14ac:dyDescent="0.25">
      <c r="A3069" t="s">
        <v>1385</v>
      </c>
      <c r="B3069">
        <v>8007161</v>
      </c>
      <c r="C3069" t="s">
        <v>5984</v>
      </c>
      <c r="D3069" t="s">
        <v>156</v>
      </c>
      <c r="E3069" s="13">
        <v>300</v>
      </c>
      <c r="F3069" s="12">
        <v>48.75</v>
      </c>
      <c r="G3069" t="str">
        <f>IFERROR(INDEX(tEditais[Órgão],MATCH(tItens[[#This Row],[Edital]],tEditais[Edital],0)),"")</f>
        <v>FUNDACAO HOSPITALAR MUNICIPAL JOAO HENRIQUE</v>
      </c>
      <c r="H3069" t="str">
        <f>IFERROR(INDEX(tEditais[UF],MATCH(tItens[[#This Row],[Edital]],tEditais[Edital],0)),"")</f>
        <v>MG</v>
      </c>
      <c r="I3069" s="11">
        <f>IFERROR(INDEX(tEditais[Encerramento],MATCH(tItens[[#This Row],[Edital]],tEditais[Edital],0)),"")</f>
        <v>46308.375</v>
      </c>
      <c r="J3069" t="str">
        <f>IFERROR(INDEX(tProdutos[Classe],MATCH(tItens[[#This Row],[Produto]],tProdutos[Produto],0)),"produto não cadastrado")</f>
        <v>DISPUTADO</v>
      </c>
      <c r="K3069" s="12">
        <f>tItens[[#This Row],[Qtd]]*tItens[[#This Row],[Vlr unit]]</f>
        <v>14625</v>
      </c>
      <c r="L3069" s="6">
        <f>IFERROR(IF(INDEX(tProdutos[Desconto homologado],MATCH(tItens[[#This Row],[Produto]],tProdutos[Produto],0))="",DescontoPadrao,INDEX(tProdutos[Desconto homologado],MATCH(tItens[[#This Row],[Produto]],tProdutos[Produto],0))),DescontoPadrao)</f>
        <v>0.27131852489802799</v>
      </c>
      <c r="M3069" s="12">
        <f>tItens[[#This Row],[Valor]]*(1-tItens[[#This Row],[Desconto]])</f>
        <v>10656.966573366341</v>
      </c>
      <c r="N3069" t="str">
        <f>IFERROR(INDEX(tProdutos[Foco],MATCH(tItens[[#This Row],[Produto]],tProdutos[Produto],0)),"Não")</f>
        <v>Não</v>
      </c>
      <c r="O3069" t="str">
        <f>IFERROR(INDEX(tEditais[SRP],MATCH(tItens[[#This Row],[Edital]],tEditais[Edital],0)),"Não")</f>
        <v>Não</v>
      </c>
      <c r="P3069" s="4">
        <f>IF(COUNTIFS(INDEX(tItens[Edital],1):tItens[[#This Row],[Edital]],tItens[[#This Row],[Edital]],INDEX(tItens[Produto],1):tItens[[#This Row],[Produto]],tItens[[#This Row],[Produto]])=1,1,0)</f>
        <v>1</v>
      </c>
    </row>
    <row r="3070" spans="1:16" x14ac:dyDescent="0.25">
      <c r="A3070" t="s">
        <v>1385</v>
      </c>
      <c r="B3070">
        <v>8007162</v>
      </c>
      <c r="C3070" t="s">
        <v>5985</v>
      </c>
      <c r="D3070" t="s">
        <v>156</v>
      </c>
      <c r="E3070" s="13">
        <v>100</v>
      </c>
      <c r="F3070" s="12">
        <v>48.75</v>
      </c>
      <c r="G3070" t="str">
        <f>IFERROR(INDEX(tEditais[Órgão],MATCH(tItens[[#This Row],[Edital]],tEditais[Edital],0)),"")</f>
        <v>FUNDACAO HOSPITALAR MUNICIPAL JOAO HENRIQUE</v>
      </c>
      <c r="H3070" t="str">
        <f>IFERROR(INDEX(tEditais[UF],MATCH(tItens[[#This Row],[Edital]],tEditais[Edital],0)),"")</f>
        <v>MG</v>
      </c>
      <c r="I3070" s="11">
        <f>IFERROR(INDEX(tEditais[Encerramento],MATCH(tItens[[#This Row],[Edital]],tEditais[Edital],0)),"")</f>
        <v>46308.375</v>
      </c>
      <c r="J3070" t="str">
        <f>IFERROR(INDEX(tProdutos[Classe],MATCH(tItens[[#This Row],[Produto]],tProdutos[Produto],0)),"produto não cadastrado")</f>
        <v>DISPUTADO</v>
      </c>
      <c r="K3070" s="12">
        <f>tItens[[#This Row],[Qtd]]*tItens[[#This Row],[Vlr unit]]</f>
        <v>4875</v>
      </c>
      <c r="L3070" s="6">
        <f>IFERROR(IF(INDEX(tProdutos[Desconto homologado],MATCH(tItens[[#This Row],[Produto]],tProdutos[Produto],0))="",DescontoPadrao,INDEX(tProdutos[Desconto homologado],MATCH(tItens[[#This Row],[Produto]],tProdutos[Produto],0))),DescontoPadrao)</f>
        <v>0.27131852489802799</v>
      </c>
      <c r="M3070" s="12">
        <f>tItens[[#This Row],[Valor]]*(1-tItens[[#This Row],[Desconto]])</f>
        <v>3552.3221911221135</v>
      </c>
      <c r="N3070" t="str">
        <f>IFERROR(INDEX(tProdutos[Foco],MATCH(tItens[[#This Row],[Produto]],tProdutos[Produto],0)),"Não")</f>
        <v>Não</v>
      </c>
      <c r="O3070" t="str">
        <f>IFERROR(INDEX(tEditais[SRP],MATCH(tItens[[#This Row],[Edital]],tEditais[Edital],0)),"Não")</f>
        <v>Não</v>
      </c>
      <c r="P3070" s="4">
        <f>IF(COUNTIFS(INDEX(tItens[Edital],1):tItens[[#This Row],[Edital]],tItens[[#This Row],[Edital]],INDEX(tItens[Produto],1):tItens[[#This Row],[Produto]],tItens[[#This Row],[Produto]])=1,1,0)</f>
        <v>0</v>
      </c>
    </row>
    <row r="3071" spans="1:16" x14ac:dyDescent="0.25">
      <c r="A3071" t="s">
        <v>1390</v>
      </c>
      <c r="B3071">
        <v>1</v>
      </c>
      <c r="C3071" t="s">
        <v>5986</v>
      </c>
      <c r="D3071" t="s">
        <v>611</v>
      </c>
      <c r="E3071" s="13">
        <v>1710</v>
      </c>
      <c r="F3071" s="12">
        <v>0</v>
      </c>
      <c r="G3071" t="str">
        <f>IFERROR(INDEX(tEditais[Órgão],MATCH(tItens[[#This Row],[Edital]],tEditais[Edital],0)),"")</f>
        <v>FUNDACAO HOSPITALAR DO ESTADO DE MINAS GERAIS</v>
      </c>
      <c r="H3071" t="str">
        <f>IFERROR(INDEX(tEditais[UF],MATCH(tItens[[#This Row],[Edital]],tEditais[Edital],0)),"")</f>
        <v>MG</v>
      </c>
      <c r="I3071" s="11">
        <f>IFERROR(INDEX(tEditais[Encerramento],MATCH(tItens[[#This Row],[Edital]],tEditais[Edital],0)),"")</f>
        <v>46308.375</v>
      </c>
      <c r="J3071" t="str">
        <f>IFERROR(INDEX(tProdutos[Classe],MATCH(tItens[[#This Row],[Produto]],tProdutos[Produto],0)),"produto não cadastrado")</f>
        <v>FILA REBASE</v>
      </c>
      <c r="K3071" s="12">
        <f>tItens[[#This Row],[Qtd]]*tItens[[#This Row],[Vlr unit]]</f>
        <v>0</v>
      </c>
      <c r="L3071" s="6">
        <f>IFERROR(IF(INDEX(tProdutos[Desconto homologado],MATCH(tItens[[#This Row],[Produto]],tProdutos[Produto],0))="",DescontoPadrao,INDEX(tProdutos[Desconto homologado],MATCH(tItens[[#This Row],[Produto]],tProdutos[Produto],0))),DescontoPadrao)</f>
        <v>0.3</v>
      </c>
      <c r="M3071" s="12">
        <f>tItens[[#This Row],[Valor]]*(1-tItens[[#This Row],[Desconto]])</f>
        <v>0</v>
      </c>
      <c r="N3071" t="str">
        <f>IFERROR(INDEX(tProdutos[Foco],MATCH(tItens[[#This Row],[Produto]],tProdutos[Produto],0)),"Não")</f>
        <v>Não</v>
      </c>
      <c r="O3071" t="str">
        <f>IFERROR(INDEX(tEditais[SRP],MATCH(tItens[[#This Row],[Edital]],tEditais[Edital],0)),"Não")</f>
        <v>Não</v>
      </c>
      <c r="P3071" s="4">
        <f>IF(COUNTIFS(INDEX(tItens[Edital],1):tItens[[#This Row],[Edital]],tItens[[#This Row],[Edital]],INDEX(tItens[Produto],1):tItens[[#This Row],[Produto]],tItens[[#This Row],[Produto]])=1,1,0)</f>
        <v>1</v>
      </c>
    </row>
    <row r="3072" spans="1:16" x14ac:dyDescent="0.25">
      <c r="A3072" t="s">
        <v>1390</v>
      </c>
      <c r="B3072">
        <v>2</v>
      </c>
      <c r="C3072" t="s">
        <v>5987</v>
      </c>
      <c r="D3072" t="s">
        <v>415</v>
      </c>
      <c r="E3072" s="13">
        <v>125000</v>
      </c>
      <c r="F3072" s="12">
        <v>0</v>
      </c>
      <c r="G3072" t="str">
        <f>IFERROR(INDEX(tEditais[Órgão],MATCH(tItens[[#This Row],[Edital]],tEditais[Edital],0)),"")</f>
        <v>FUNDACAO HOSPITALAR DO ESTADO DE MINAS GERAIS</v>
      </c>
      <c r="H3072" t="str">
        <f>IFERROR(INDEX(tEditais[UF],MATCH(tItens[[#This Row],[Edital]],tEditais[Edital],0)),"")</f>
        <v>MG</v>
      </c>
      <c r="I3072" s="11">
        <f>IFERROR(INDEX(tEditais[Encerramento],MATCH(tItens[[#This Row],[Edital]],tEditais[Edital],0)),"")</f>
        <v>46308.375</v>
      </c>
      <c r="J3072" t="str">
        <f>IFERROR(INDEX(tProdutos[Classe],MATCH(tItens[[#This Row],[Produto]],tProdutos[Produto],0)),"produto não cadastrado")</f>
        <v>FORA</v>
      </c>
      <c r="K3072" s="12">
        <f>tItens[[#This Row],[Qtd]]*tItens[[#This Row],[Vlr unit]]</f>
        <v>0</v>
      </c>
      <c r="L3072" s="6">
        <f>IFERROR(IF(INDEX(tProdutos[Desconto homologado],MATCH(tItens[[#This Row],[Produto]],tProdutos[Produto],0))="",DescontoPadrao,INDEX(tProdutos[Desconto homologado],MATCH(tItens[[#This Row],[Produto]],tProdutos[Produto],0))),DescontoPadrao)</f>
        <v>0.31793478260869601</v>
      </c>
      <c r="M3072" s="12">
        <f>tItens[[#This Row],[Valor]]*(1-tItens[[#This Row],[Desconto]])</f>
        <v>0</v>
      </c>
      <c r="N3072" t="str">
        <f>IFERROR(INDEX(tProdutos[Foco],MATCH(tItens[[#This Row],[Produto]],tProdutos[Produto],0)),"Não")</f>
        <v>Não</v>
      </c>
      <c r="O3072" t="str">
        <f>IFERROR(INDEX(tEditais[SRP],MATCH(tItens[[#This Row],[Edital]],tEditais[Edital],0)),"Não")</f>
        <v>Não</v>
      </c>
      <c r="P3072" s="4">
        <f>IF(COUNTIFS(INDEX(tItens[Edital],1):tItens[[#This Row],[Edital]],tItens[[#This Row],[Edital]],INDEX(tItens[Produto],1):tItens[[#This Row],[Produto]],tItens[[#This Row],[Produto]])=1,1,0)</f>
        <v>1</v>
      </c>
    </row>
    <row r="3073" spans="1:16" x14ac:dyDescent="0.25">
      <c r="A3073" t="s">
        <v>1390</v>
      </c>
      <c r="B3073">
        <v>3</v>
      </c>
      <c r="C3073" t="s">
        <v>5988</v>
      </c>
      <c r="D3073" t="s">
        <v>415</v>
      </c>
      <c r="E3073" s="13">
        <v>56000</v>
      </c>
      <c r="F3073" s="12">
        <v>0</v>
      </c>
      <c r="G3073" t="str">
        <f>IFERROR(INDEX(tEditais[Órgão],MATCH(tItens[[#This Row],[Edital]],tEditais[Edital],0)),"")</f>
        <v>FUNDACAO HOSPITALAR DO ESTADO DE MINAS GERAIS</v>
      </c>
      <c r="H3073" t="str">
        <f>IFERROR(INDEX(tEditais[UF],MATCH(tItens[[#This Row],[Edital]],tEditais[Edital],0)),"")</f>
        <v>MG</v>
      </c>
      <c r="I3073" s="11">
        <f>IFERROR(INDEX(tEditais[Encerramento],MATCH(tItens[[#This Row],[Edital]],tEditais[Edital],0)),"")</f>
        <v>46308.375</v>
      </c>
      <c r="J3073" t="str">
        <f>IFERROR(INDEX(tProdutos[Classe],MATCH(tItens[[#This Row],[Produto]],tProdutos[Produto],0)),"produto não cadastrado")</f>
        <v>FORA</v>
      </c>
      <c r="K3073" s="12">
        <f>tItens[[#This Row],[Qtd]]*tItens[[#This Row],[Vlr unit]]</f>
        <v>0</v>
      </c>
      <c r="L3073" s="6">
        <f>IFERROR(IF(INDEX(tProdutos[Desconto homologado],MATCH(tItens[[#This Row],[Produto]],tProdutos[Produto],0))="",DescontoPadrao,INDEX(tProdutos[Desconto homologado],MATCH(tItens[[#This Row],[Produto]],tProdutos[Produto],0))),DescontoPadrao)</f>
        <v>0.31793478260869601</v>
      </c>
      <c r="M3073" s="12">
        <f>tItens[[#This Row],[Valor]]*(1-tItens[[#This Row],[Desconto]])</f>
        <v>0</v>
      </c>
      <c r="N3073" t="str">
        <f>IFERROR(INDEX(tProdutos[Foco],MATCH(tItens[[#This Row],[Produto]],tProdutos[Produto],0)),"Não")</f>
        <v>Não</v>
      </c>
      <c r="O3073" t="str">
        <f>IFERROR(INDEX(tEditais[SRP],MATCH(tItens[[#This Row],[Edital]],tEditais[Edital],0)),"Não")</f>
        <v>Não</v>
      </c>
      <c r="P3073" s="4">
        <f>IF(COUNTIFS(INDEX(tItens[Edital],1):tItens[[#This Row],[Edital]],tItens[[#This Row],[Edital]],INDEX(tItens[Produto],1):tItens[[#This Row],[Produto]],tItens[[#This Row],[Produto]])=1,1,0)</f>
        <v>0</v>
      </c>
    </row>
    <row r="3074" spans="1:16" x14ac:dyDescent="0.25">
      <c r="A3074" t="s">
        <v>1390</v>
      </c>
      <c r="B3074">
        <v>4</v>
      </c>
      <c r="C3074" t="s">
        <v>5989</v>
      </c>
      <c r="D3074" t="s">
        <v>289</v>
      </c>
      <c r="E3074" s="13">
        <v>422250</v>
      </c>
      <c r="F3074" s="12">
        <v>0</v>
      </c>
      <c r="G3074" t="str">
        <f>IFERROR(INDEX(tEditais[Órgão],MATCH(tItens[[#This Row],[Edital]],tEditais[Edital],0)),"")</f>
        <v>FUNDACAO HOSPITALAR DO ESTADO DE MINAS GERAIS</v>
      </c>
      <c r="H3074" t="str">
        <f>IFERROR(INDEX(tEditais[UF],MATCH(tItens[[#This Row],[Edital]],tEditais[Edital],0)),"")</f>
        <v>MG</v>
      </c>
      <c r="I3074" s="11">
        <f>IFERROR(INDEX(tEditais[Encerramento],MATCH(tItens[[#This Row],[Edital]],tEditais[Edital],0)),"")</f>
        <v>46308.375</v>
      </c>
      <c r="J3074" t="str">
        <f>IFERROR(INDEX(tProdutos[Classe],MATCH(tItens[[#This Row],[Produto]],tProdutos[Produto],0)),"produto não cadastrado")</f>
        <v>DISPUTADO</v>
      </c>
      <c r="K3074" s="12">
        <f>tItens[[#This Row],[Qtd]]*tItens[[#This Row],[Vlr unit]]</f>
        <v>0</v>
      </c>
      <c r="L3074" s="6">
        <f>IFERROR(IF(INDEX(tProdutos[Desconto homologado],MATCH(tItens[[#This Row],[Produto]],tProdutos[Produto],0))="",DescontoPadrao,INDEX(tProdutos[Desconto homologado],MATCH(tItens[[#This Row],[Produto]],tProdutos[Produto],0))),DescontoPadrao)</f>
        <v>0.35849056603773599</v>
      </c>
      <c r="M3074" s="12">
        <f>tItens[[#This Row],[Valor]]*(1-tItens[[#This Row],[Desconto]])</f>
        <v>0</v>
      </c>
      <c r="N3074" t="str">
        <f>IFERROR(INDEX(tProdutos[Foco],MATCH(tItens[[#This Row],[Produto]],tProdutos[Produto],0)),"Não")</f>
        <v>Não</v>
      </c>
      <c r="O3074" t="str">
        <f>IFERROR(INDEX(tEditais[SRP],MATCH(tItens[[#This Row],[Edital]],tEditais[Edital],0)),"Não")</f>
        <v>Não</v>
      </c>
      <c r="P3074" s="4">
        <f>IF(COUNTIFS(INDEX(tItens[Edital],1):tItens[[#This Row],[Edital]],tItens[[#This Row],[Edital]],INDEX(tItens[Produto],1):tItens[[#This Row],[Produto]],tItens[[#This Row],[Produto]])=1,1,0)</f>
        <v>1</v>
      </c>
    </row>
    <row r="3075" spans="1:16" x14ac:dyDescent="0.25">
      <c r="A3075" t="s">
        <v>1390</v>
      </c>
      <c r="B3075">
        <v>6</v>
      </c>
      <c r="C3075" t="s">
        <v>5990</v>
      </c>
      <c r="D3075" t="s">
        <v>572</v>
      </c>
      <c r="E3075" s="13">
        <v>12495</v>
      </c>
      <c r="F3075" s="12">
        <v>0</v>
      </c>
      <c r="G3075" t="str">
        <f>IFERROR(INDEX(tEditais[Órgão],MATCH(tItens[[#This Row],[Edital]],tEditais[Edital],0)),"")</f>
        <v>FUNDACAO HOSPITALAR DO ESTADO DE MINAS GERAIS</v>
      </c>
      <c r="H3075" t="str">
        <f>IFERROR(INDEX(tEditais[UF],MATCH(tItens[[#This Row],[Edital]],tEditais[Edital],0)),"")</f>
        <v>MG</v>
      </c>
      <c r="I3075" s="11">
        <f>IFERROR(INDEX(tEditais[Encerramento],MATCH(tItens[[#This Row],[Edital]],tEditais[Edital],0)),"")</f>
        <v>46308.375</v>
      </c>
      <c r="J3075" t="str">
        <f>IFERROR(INDEX(tProdutos[Classe],MATCH(tItens[[#This Row],[Produto]],tProdutos[Produto],0)),"produto não cadastrado")</f>
        <v>FILA REBASE</v>
      </c>
      <c r="K3075" s="12">
        <f>tItens[[#This Row],[Qtd]]*tItens[[#This Row],[Vlr unit]]</f>
        <v>0</v>
      </c>
      <c r="L3075" s="6">
        <f>IFERROR(IF(INDEX(tProdutos[Desconto homologado],MATCH(tItens[[#This Row],[Produto]],tProdutos[Produto],0))="",DescontoPadrao,INDEX(tProdutos[Desconto homologado],MATCH(tItens[[#This Row],[Produto]],tProdutos[Produto],0))),DescontoPadrao)</f>
        <v>0.21965364503385801</v>
      </c>
      <c r="M3075" s="12">
        <f>tItens[[#This Row],[Valor]]*(1-tItens[[#This Row],[Desconto]])</f>
        <v>0</v>
      </c>
      <c r="N3075" t="str">
        <f>IFERROR(INDEX(tProdutos[Foco],MATCH(tItens[[#This Row],[Produto]],tProdutos[Produto],0)),"Não")</f>
        <v>Não</v>
      </c>
      <c r="O3075" t="str">
        <f>IFERROR(INDEX(tEditais[SRP],MATCH(tItens[[#This Row],[Edital]],tEditais[Edital],0)),"Não")</f>
        <v>Não</v>
      </c>
      <c r="P3075" s="4">
        <f>IF(COUNTIFS(INDEX(tItens[Edital],1):tItens[[#This Row],[Edital]],tItens[[#This Row],[Edital]],INDEX(tItens[Produto],1):tItens[[#This Row],[Produto]],tItens[[#This Row],[Produto]])=1,1,0)</f>
        <v>1</v>
      </c>
    </row>
    <row r="3076" spans="1:16" x14ac:dyDescent="0.25">
      <c r="A3076" t="s">
        <v>1390</v>
      </c>
      <c r="B3076">
        <v>7</v>
      </c>
      <c r="C3076" t="s">
        <v>5991</v>
      </c>
      <c r="D3076" t="s">
        <v>162</v>
      </c>
      <c r="E3076" s="13">
        <v>72000</v>
      </c>
      <c r="F3076" s="12">
        <v>0</v>
      </c>
      <c r="G3076" t="str">
        <f>IFERROR(INDEX(tEditais[Órgão],MATCH(tItens[[#This Row],[Edital]],tEditais[Edital],0)),"")</f>
        <v>FUNDACAO HOSPITALAR DO ESTADO DE MINAS GERAIS</v>
      </c>
      <c r="H3076" t="str">
        <f>IFERROR(INDEX(tEditais[UF],MATCH(tItens[[#This Row],[Edital]],tEditais[Edital],0)),"")</f>
        <v>MG</v>
      </c>
      <c r="I3076" s="11">
        <f>IFERROR(INDEX(tEditais[Encerramento],MATCH(tItens[[#This Row],[Edital]],tEditais[Edital],0)),"")</f>
        <v>46308.375</v>
      </c>
      <c r="J3076" t="str">
        <f>IFERROR(INDEX(tProdutos[Classe],MATCH(tItens[[#This Row],[Produto]],tProdutos[Produto],0)),"produto não cadastrado")</f>
        <v>DISPUTADO</v>
      </c>
      <c r="K3076" s="12">
        <f>tItens[[#This Row],[Qtd]]*tItens[[#This Row],[Vlr unit]]</f>
        <v>0</v>
      </c>
      <c r="L3076" s="6">
        <f>IFERROR(IF(INDEX(tProdutos[Desconto homologado],MATCH(tItens[[#This Row],[Produto]],tProdutos[Produto],0))="",DescontoPadrao,INDEX(tProdutos[Desconto homologado],MATCH(tItens[[#This Row],[Produto]],tProdutos[Produto],0))),DescontoPadrao)</f>
        <v>0.41269841269841301</v>
      </c>
      <c r="M3076" s="12">
        <f>tItens[[#This Row],[Valor]]*(1-tItens[[#This Row],[Desconto]])</f>
        <v>0</v>
      </c>
      <c r="N3076" t="str">
        <f>IFERROR(INDEX(tProdutos[Foco],MATCH(tItens[[#This Row],[Produto]],tProdutos[Produto],0)),"Não")</f>
        <v>Não</v>
      </c>
      <c r="O3076" t="str">
        <f>IFERROR(INDEX(tEditais[SRP],MATCH(tItens[[#This Row],[Edital]],tEditais[Edital],0)),"Não")</f>
        <v>Não</v>
      </c>
      <c r="P3076" s="4">
        <f>IF(COUNTIFS(INDEX(tItens[Edital],1):tItens[[#This Row],[Edital]],tItens[[#This Row],[Edital]],INDEX(tItens[Produto],1):tItens[[#This Row],[Produto]],tItens[[#This Row],[Produto]])=1,1,0)</f>
        <v>1</v>
      </c>
    </row>
    <row r="3077" spans="1:16" x14ac:dyDescent="0.25">
      <c r="A3077" t="s">
        <v>1390</v>
      </c>
      <c r="B3077">
        <v>9</v>
      </c>
      <c r="C3077" t="s">
        <v>5992</v>
      </c>
      <c r="D3077" t="s">
        <v>281</v>
      </c>
      <c r="E3077" s="13">
        <v>580750</v>
      </c>
      <c r="F3077" s="12">
        <v>0</v>
      </c>
      <c r="G3077" t="str">
        <f>IFERROR(INDEX(tEditais[Órgão],MATCH(tItens[[#This Row],[Edital]],tEditais[Edital],0)),"")</f>
        <v>FUNDACAO HOSPITALAR DO ESTADO DE MINAS GERAIS</v>
      </c>
      <c r="H3077" t="str">
        <f>IFERROR(INDEX(tEditais[UF],MATCH(tItens[[#This Row],[Edital]],tEditais[Edital],0)),"")</f>
        <v>MG</v>
      </c>
      <c r="I3077" s="11">
        <f>IFERROR(INDEX(tEditais[Encerramento],MATCH(tItens[[#This Row],[Edital]],tEditais[Edital],0)),"")</f>
        <v>46308.375</v>
      </c>
      <c r="J3077" t="str">
        <f>IFERROR(INDEX(tProdutos[Classe],MATCH(tItens[[#This Row],[Produto]],tProdutos[Produto],0)),"produto não cadastrado")</f>
        <v>DISPUTADO</v>
      </c>
      <c r="K3077" s="12">
        <f>tItens[[#This Row],[Qtd]]*tItens[[#This Row],[Vlr unit]]</f>
        <v>0</v>
      </c>
      <c r="L3077" s="6">
        <f>IFERROR(IF(INDEX(tProdutos[Desconto homologado],MATCH(tItens[[#This Row],[Produto]],tProdutos[Produto],0))="",DescontoPadrao,INDEX(tProdutos[Desconto homologado],MATCH(tItens[[#This Row],[Produto]],tProdutos[Produto],0))),DescontoPadrao)</f>
        <v>0.42461538461538501</v>
      </c>
      <c r="M3077" s="12">
        <f>tItens[[#This Row],[Valor]]*(1-tItens[[#This Row],[Desconto]])</f>
        <v>0</v>
      </c>
      <c r="N3077" t="str">
        <f>IFERROR(INDEX(tProdutos[Foco],MATCH(tItens[[#This Row],[Produto]],tProdutos[Produto],0)),"Não")</f>
        <v>Não</v>
      </c>
      <c r="O3077" t="str">
        <f>IFERROR(INDEX(tEditais[SRP],MATCH(tItens[[#This Row],[Edital]],tEditais[Edital],0)),"Não")</f>
        <v>Não</v>
      </c>
      <c r="P3077" s="4">
        <f>IF(COUNTIFS(INDEX(tItens[Edital],1):tItens[[#This Row],[Edital]],tItens[[#This Row],[Edital]],INDEX(tItens[Produto],1):tItens[[#This Row],[Produto]],tItens[[#This Row],[Produto]])=1,1,0)</f>
        <v>1</v>
      </c>
    </row>
    <row r="3078" spans="1:16" x14ac:dyDescent="0.25">
      <c r="A3078" t="s">
        <v>1390</v>
      </c>
      <c r="B3078">
        <v>10</v>
      </c>
      <c r="C3078" t="s">
        <v>5990</v>
      </c>
      <c r="D3078" t="s">
        <v>572</v>
      </c>
      <c r="E3078" s="13">
        <v>5915</v>
      </c>
      <c r="F3078" s="12">
        <v>0</v>
      </c>
      <c r="G3078" t="str">
        <f>IFERROR(INDEX(tEditais[Órgão],MATCH(tItens[[#This Row],[Edital]],tEditais[Edital],0)),"")</f>
        <v>FUNDACAO HOSPITALAR DO ESTADO DE MINAS GERAIS</v>
      </c>
      <c r="H3078" t="str">
        <f>IFERROR(INDEX(tEditais[UF],MATCH(tItens[[#This Row],[Edital]],tEditais[Edital],0)),"")</f>
        <v>MG</v>
      </c>
      <c r="I3078" s="11">
        <f>IFERROR(INDEX(tEditais[Encerramento],MATCH(tItens[[#This Row],[Edital]],tEditais[Edital],0)),"")</f>
        <v>46308.375</v>
      </c>
      <c r="J3078" t="str">
        <f>IFERROR(INDEX(tProdutos[Classe],MATCH(tItens[[#This Row],[Produto]],tProdutos[Produto],0)),"produto não cadastrado")</f>
        <v>FILA REBASE</v>
      </c>
      <c r="K3078" s="12">
        <f>tItens[[#This Row],[Qtd]]*tItens[[#This Row],[Vlr unit]]</f>
        <v>0</v>
      </c>
      <c r="L3078" s="6">
        <f>IFERROR(IF(INDEX(tProdutos[Desconto homologado],MATCH(tItens[[#This Row],[Produto]],tProdutos[Produto],0))="",DescontoPadrao,INDEX(tProdutos[Desconto homologado],MATCH(tItens[[#This Row],[Produto]],tProdutos[Produto],0))),DescontoPadrao)</f>
        <v>0.21965364503385801</v>
      </c>
      <c r="M3078" s="12">
        <f>tItens[[#This Row],[Valor]]*(1-tItens[[#This Row],[Desconto]])</f>
        <v>0</v>
      </c>
      <c r="N3078" t="str">
        <f>IFERROR(INDEX(tProdutos[Foco],MATCH(tItens[[#This Row],[Produto]],tProdutos[Produto],0)),"Não")</f>
        <v>Não</v>
      </c>
      <c r="O3078" t="str">
        <f>IFERROR(INDEX(tEditais[SRP],MATCH(tItens[[#This Row],[Edital]],tEditais[Edital],0)),"Não")</f>
        <v>Não</v>
      </c>
      <c r="P3078" s="4">
        <f>IF(COUNTIFS(INDEX(tItens[Edital],1):tItens[[#This Row],[Edital]],tItens[[#This Row],[Edital]],INDEX(tItens[Produto],1):tItens[[#This Row],[Produto]],tItens[[#This Row],[Produto]])=1,1,0)</f>
        <v>0</v>
      </c>
    </row>
    <row r="3079" spans="1:16" x14ac:dyDescent="0.25">
      <c r="A3079" t="s">
        <v>1390</v>
      </c>
      <c r="B3079">
        <v>11</v>
      </c>
      <c r="C3079" t="s">
        <v>5991</v>
      </c>
      <c r="D3079" t="s">
        <v>162</v>
      </c>
      <c r="E3079" s="13">
        <v>15000</v>
      </c>
      <c r="F3079" s="12">
        <v>0</v>
      </c>
      <c r="G3079" t="str">
        <f>IFERROR(INDEX(tEditais[Órgão],MATCH(tItens[[#This Row],[Edital]],tEditais[Edital],0)),"")</f>
        <v>FUNDACAO HOSPITALAR DO ESTADO DE MINAS GERAIS</v>
      </c>
      <c r="H3079" t="str">
        <f>IFERROR(INDEX(tEditais[UF],MATCH(tItens[[#This Row],[Edital]],tEditais[Edital],0)),"")</f>
        <v>MG</v>
      </c>
      <c r="I3079" s="11">
        <f>IFERROR(INDEX(tEditais[Encerramento],MATCH(tItens[[#This Row],[Edital]],tEditais[Edital],0)),"")</f>
        <v>46308.375</v>
      </c>
      <c r="J3079" t="str">
        <f>IFERROR(INDEX(tProdutos[Classe],MATCH(tItens[[#This Row],[Produto]],tProdutos[Produto],0)),"produto não cadastrado")</f>
        <v>DISPUTADO</v>
      </c>
      <c r="K3079" s="12">
        <f>tItens[[#This Row],[Qtd]]*tItens[[#This Row],[Vlr unit]]</f>
        <v>0</v>
      </c>
      <c r="L3079" s="6">
        <f>IFERROR(IF(INDEX(tProdutos[Desconto homologado],MATCH(tItens[[#This Row],[Produto]],tProdutos[Produto],0))="",DescontoPadrao,INDEX(tProdutos[Desconto homologado],MATCH(tItens[[#This Row],[Produto]],tProdutos[Produto],0))),DescontoPadrao)</f>
        <v>0.41269841269841301</v>
      </c>
      <c r="M3079" s="12">
        <f>tItens[[#This Row],[Valor]]*(1-tItens[[#This Row],[Desconto]])</f>
        <v>0</v>
      </c>
      <c r="N3079" t="str">
        <f>IFERROR(INDEX(tProdutos[Foco],MATCH(tItens[[#This Row],[Produto]],tProdutos[Produto],0)),"Não")</f>
        <v>Não</v>
      </c>
      <c r="O3079" t="str">
        <f>IFERROR(INDEX(tEditais[SRP],MATCH(tItens[[#This Row],[Edital]],tEditais[Edital],0)),"Não")</f>
        <v>Não</v>
      </c>
      <c r="P3079" s="4">
        <f>IF(COUNTIFS(INDEX(tItens[Edital],1):tItens[[#This Row],[Edital]],tItens[[#This Row],[Edital]],INDEX(tItens[Produto],1):tItens[[#This Row],[Produto]],tItens[[#This Row],[Produto]])=1,1,0)</f>
        <v>0</v>
      </c>
    </row>
    <row r="3080" spans="1:16" x14ac:dyDescent="0.25">
      <c r="A3080" t="s">
        <v>1390</v>
      </c>
      <c r="B3080">
        <v>12</v>
      </c>
      <c r="C3080" t="s">
        <v>5988</v>
      </c>
      <c r="D3080" t="s">
        <v>415</v>
      </c>
      <c r="E3080" s="13">
        <v>8000</v>
      </c>
      <c r="F3080" s="12">
        <v>0</v>
      </c>
      <c r="G3080" t="str">
        <f>IFERROR(INDEX(tEditais[Órgão],MATCH(tItens[[#This Row],[Edital]],tEditais[Edital],0)),"")</f>
        <v>FUNDACAO HOSPITALAR DO ESTADO DE MINAS GERAIS</v>
      </c>
      <c r="H3080" t="str">
        <f>IFERROR(INDEX(tEditais[UF],MATCH(tItens[[#This Row],[Edital]],tEditais[Edital],0)),"")</f>
        <v>MG</v>
      </c>
      <c r="I3080" s="11">
        <f>IFERROR(INDEX(tEditais[Encerramento],MATCH(tItens[[#This Row],[Edital]],tEditais[Edital],0)),"")</f>
        <v>46308.375</v>
      </c>
      <c r="J3080" t="str">
        <f>IFERROR(INDEX(tProdutos[Classe],MATCH(tItens[[#This Row],[Produto]],tProdutos[Produto],0)),"produto não cadastrado")</f>
        <v>FORA</v>
      </c>
      <c r="K3080" s="12">
        <f>tItens[[#This Row],[Qtd]]*tItens[[#This Row],[Vlr unit]]</f>
        <v>0</v>
      </c>
      <c r="L3080" s="6">
        <f>IFERROR(IF(INDEX(tProdutos[Desconto homologado],MATCH(tItens[[#This Row],[Produto]],tProdutos[Produto],0))="",DescontoPadrao,INDEX(tProdutos[Desconto homologado],MATCH(tItens[[#This Row],[Produto]],tProdutos[Produto],0))),DescontoPadrao)</f>
        <v>0.31793478260869601</v>
      </c>
      <c r="M3080" s="12">
        <f>tItens[[#This Row],[Valor]]*(1-tItens[[#This Row],[Desconto]])</f>
        <v>0</v>
      </c>
      <c r="N3080" t="str">
        <f>IFERROR(INDEX(tProdutos[Foco],MATCH(tItens[[#This Row],[Produto]],tProdutos[Produto],0)),"Não")</f>
        <v>Não</v>
      </c>
      <c r="O3080" t="str">
        <f>IFERROR(INDEX(tEditais[SRP],MATCH(tItens[[#This Row],[Edital]],tEditais[Edital],0)),"Não")</f>
        <v>Não</v>
      </c>
      <c r="P3080" s="4">
        <f>IF(COUNTIFS(INDEX(tItens[Edital],1):tItens[[#This Row],[Edital]],tItens[[#This Row],[Edital]],INDEX(tItens[Produto],1):tItens[[#This Row],[Produto]],tItens[[#This Row],[Produto]])=1,1,0)</f>
        <v>0</v>
      </c>
    </row>
    <row r="3081" spans="1:16" x14ac:dyDescent="0.25">
      <c r="A3081" t="s">
        <v>1390</v>
      </c>
      <c r="B3081">
        <v>13</v>
      </c>
      <c r="C3081" t="s">
        <v>5989</v>
      </c>
      <c r="D3081" t="s">
        <v>289</v>
      </c>
      <c r="E3081" s="13">
        <v>68250</v>
      </c>
      <c r="F3081" s="12">
        <v>0</v>
      </c>
      <c r="G3081" t="str">
        <f>IFERROR(INDEX(tEditais[Órgão],MATCH(tItens[[#This Row],[Edital]],tEditais[Edital],0)),"")</f>
        <v>FUNDACAO HOSPITALAR DO ESTADO DE MINAS GERAIS</v>
      </c>
      <c r="H3081" t="str">
        <f>IFERROR(INDEX(tEditais[UF],MATCH(tItens[[#This Row],[Edital]],tEditais[Edital],0)),"")</f>
        <v>MG</v>
      </c>
      <c r="I3081" s="11">
        <f>IFERROR(INDEX(tEditais[Encerramento],MATCH(tItens[[#This Row],[Edital]],tEditais[Edital],0)),"")</f>
        <v>46308.375</v>
      </c>
      <c r="J3081" t="str">
        <f>IFERROR(INDEX(tProdutos[Classe],MATCH(tItens[[#This Row],[Produto]],tProdutos[Produto],0)),"produto não cadastrado")</f>
        <v>DISPUTADO</v>
      </c>
      <c r="K3081" s="12">
        <f>tItens[[#This Row],[Qtd]]*tItens[[#This Row],[Vlr unit]]</f>
        <v>0</v>
      </c>
      <c r="L3081" s="6">
        <f>IFERROR(IF(INDEX(tProdutos[Desconto homologado],MATCH(tItens[[#This Row],[Produto]],tProdutos[Produto],0))="",DescontoPadrao,INDEX(tProdutos[Desconto homologado],MATCH(tItens[[#This Row],[Produto]],tProdutos[Produto],0))),DescontoPadrao)</f>
        <v>0.35849056603773599</v>
      </c>
      <c r="M3081" s="12">
        <f>tItens[[#This Row],[Valor]]*(1-tItens[[#This Row],[Desconto]])</f>
        <v>0</v>
      </c>
      <c r="N3081" t="str">
        <f>IFERROR(INDEX(tProdutos[Foco],MATCH(tItens[[#This Row],[Produto]],tProdutos[Produto],0)),"Não")</f>
        <v>Não</v>
      </c>
      <c r="O3081" t="str">
        <f>IFERROR(INDEX(tEditais[SRP],MATCH(tItens[[#This Row],[Edital]],tEditais[Edital],0)),"Não")</f>
        <v>Não</v>
      </c>
      <c r="P3081" s="4">
        <f>IF(COUNTIFS(INDEX(tItens[Edital],1):tItens[[#This Row],[Edital]],tItens[[#This Row],[Edital]],INDEX(tItens[Produto],1):tItens[[#This Row],[Produto]],tItens[[#This Row],[Produto]])=1,1,0)</f>
        <v>0</v>
      </c>
    </row>
    <row r="3082" spans="1:16" x14ac:dyDescent="0.25">
      <c r="A3082" t="s">
        <v>1390</v>
      </c>
      <c r="B3082">
        <v>14</v>
      </c>
      <c r="C3082" t="s">
        <v>5987</v>
      </c>
      <c r="D3082" t="s">
        <v>415</v>
      </c>
      <c r="E3082" s="13">
        <v>18000</v>
      </c>
      <c r="F3082" s="12">
        <v>0</v>
      </c>
      <c r="G3082" t="str">
        <f>IFERROR(INDEX(tEditais[Órgão],MATCH(tItens[[#This Row],[Edital]],tEditais[Edital],0)),"")</f>
        <v>FUNDACAO HOSPITALAR DO ESTADO DE MINAS GERAIS</v>
      </c>
      <c r="H3082" t="str">
        <f>IFERROR(INDEX(tEditais[UF],MATCH(tItens[[#This Row],[Edital]],tEditais[Edital],0)),"")</f>
        <v>MG</v>
      </c>
      <c r="I3082" s="11">
        <f>IFERROR(INDEX(tEditais[Encerramento],MATCH(tItens[[#This Row],[Edital]],tEditais[Edital],0)),"")</f>
        <v>46308.375</v>
      </c>
      <c r="J3082" t="str">
        <f>IFERROR(INDEX(tProdutos[Classe],MATCH(tItens[[#This Row],[Produto]],tProdutos[Produto],0)),"produto não cadastrado")</f>
        <v>FORA</v>
      </c>
      <c r="K3082" s="12">
        <f>tItens[[#This Row],[Qtd]]*tItens[[#This Row],[Vlr unit]]</f>
        <v>0</v>
      </c>
      <c r="L3082" s="6">
        <f>IFERROR(IF(INDEX(tProdutos[Desconto homologado],MATCH(tItens[[#This Row],[Produto]],tProdutos[Produto],0))="",DescontoPadrao,INDEX(tProdutos[Desconto homologado],MATCH(tItens[[#This Row],[Produto]],tProdutos[Produto],0))),DescontoPadrao)</f>
        <v>0.31793478260869601</v>
      </c>
      <c r="M3082" s="12">
        <f>tItens[[#This Row],[Valor]]*(1-tItens[[#This Row],[Desconto]])</f>
        <v>0</v>
      </c>
      <c r="N3082" t="str">
        <f>IFERROR(INDEX(tProdutos[Foco],MATCH(tItens[[#This Row],[Produto]],tProdutos[Produto],0)),"Não")</f>
        <v>Não</v>
      </c>
      <c r="O3082" t="str">
        <f>IFERROR(INDEX(tEditais[SRP],MATCH(tItens[[#This Row],[Edital]],tEditais[Edital],0)),"Não")</f>
        <v>Não</v>
      </c>
      <c r="P3082" s="4">
        <f>IF(COUNTIFS(INDEX(tItens[Edital],1):tItens[[#This Row],[Edital]],tItens[[#This Row],[Edital]],INDEX(tItens[Produto],1):tItens[[#This Row],[Produto]],tItens[[#This Row],[Produto]])=1,1,0)</f>
        <v>0</v>
      </c>
    </row>
    <row r="3083" spans="1:16" x14ac:dyDescent="0.25">
      <c r="A3083" t="s">
        <v>1390</v>
      </c>
      <c r="B3083">
        <v>15</v>
      </c>
      <c r="C3083" t="s">
        <v>5986</v>
      </c>
      <c r="D3083" t="s">
        <v>611</v>
      </c>
      <c r="E3083" s="13">
        <v>530</v>
      </c>
      <c r="F3083" s="12">
        <v>0</v>
      </c>
      <c r="G3083" t="str">
        <f>IFERROR(INDEX(tEditais[Órgão],MATCH(tItens[[#This Row],[Edital]],tEditais[Edital],0)),"")</f>
        <v>FUNDACAO HOSPITALAR DO ESTADO DE MINAS GERAIS</v>
      </c>
      <c r="H3083" t="str">
        <f>IFERROR(INDEX(tEditais[UF],MATCH(tItens[[#This Row],[Edital]],tEditais[Edital],0)),"")</f>
        <v>MG</v>
      </c>
      <c r="I3083" s="11">
        <f>IFERROR(INDEX(tEditais[Encerramento],MATCH(tItens[[#This Row],[Edital]],tEditais[Edital],0)),"")</f>
        <v>46308.375</v>
      </c>
      <c r="J3083" t="str">
        <f>IFERROR(INDEX(tProdutos[Classe],MATCH(tItens[[#This Row],[Produto]],tProdutos[Produto],0)),"produto não cadastrado")</f>
        <v>FILA REBASE</v>
      </c>
      <c r="K3083" s="12">
        <f>tItens[[#This Row],[Qtd]]*tItens[[#This Row],[Vlr unit]]</f>
        <v>0</v>
      </c>
      <c r="L3083" s="6">
        <f>IFERROR(IF(INDEX(tProdutos[Desconto homologado],MATCH(tItens[[#This Row],[Produto]],tProdutos[Produto],0))="",DescontoPadrao,INDEX(tProdutos[Desconto homologado],MATCH(tItens[[#This Row],[Produto]],tProdutos[Produto],0))),DescontoPadrao)</f>
        <v>0.3</v>
      </c>
      <c r="M3083" s="12">
        <f>tItens[[#This Row],[Valor]]*(1-tItens[[#This Row],[Desconto]])</f>
        <v>0</v>
      </c>
      <c r="N3083" t="str">
        <f>IFERROR(INDEX(tProdutos[Foco],MATCH(tItens[[#This Row],[Produto]],tProdutos[Produto],0)),"Não")</f>
        <v>Não</v>
      </c>
      <c r="O3083" t="str">
        <f>IFERROR(INDEX(tEditais[SRP],MATCH(tItens[[#This Row],[Edital]],tEditais[Edital],0)),"Não")</f>
        <v>Não</v>
      </c>
      <c r="P3083" s="4">
        <f>IF(COUNTIFS(INDEX(tItens[Edital],1):tItens[[#This Row],[Edital]],tItens[[#This Row],[Edital]],INDEX(tItens[Produto],1):tItens[[#This Row],[Produto]],tItens[[#This Row],[Produto]])=1,1,0)</f>
        <v>0</v>
      </c>
    </row>
    <row r="3084" spans="1:16" x14ac:dyDescent="0.25">
      <c r="A3084" t="s">
        <v>1390</v>
      </c>
      <c r="B3084">
        <v>17</v>
      </c>
      <c r="C3084" t="s">
        <v>5992</v>
      </c>
      <c r="D3084" t="s">
        <v>281</v>
      </c>
      <c r="E3084" s="13">
        <v>16250</v>
      </c>
      <c r="F3084" s="12">
        <v>0</v>
      </c>
      <c r="G3084" t="str">
        <f>IFERROR(INDEX(tEditais[Órgão],MATCH(tItens[[#This Row],[Edital]],tEditais[Edital],0)),"")</f>
        <v>FUNDACAO HOSPITALAR DO ESTADO DE MINAS GERAIS</v>
      </c>
      <c r="H3084" t="str">
        <f>IFERROR(INDEX(tEditais[UF],MATCH(tItens[[#This Row],[Edital]],tEditais[Edital],0)),"")</f>
        <v>MG</v>
      </c>
      <c r="I3084" s="11">
        <f>IFERROR(INDEX(tEditais[Encerramento],MATCH(tItens[[#This Row],[Edital]],tEditais[Edital],0)),"")</f>
        <v>46308.375</v>
      </c>
      <c r="J3084" t="str">
        <f>IFERROR(INDEX(tProdutos[Classe],MATCH(tItens[[#This Row],[Produto]],tProdutos[Produto],0)),"produto não cadastrado")</f>
        <v>DISPUTADO</v>
      </c>
      <c r="K3084" s="12">
        <f>tItens[[#This Row],[Qtd]]*tItens[[#This Row],[Vlr unit]]</f>
        <v>0</v>
      </c>
      <c r="L3084" s="6">
        <f>IFERROR(IF(INDEX(tProdutos[Desconto homologado],MATCH(tItens[[#This Row],[Produto]],tProdutos[Produto],0))="",DescontoPadrao,INDEX(tProdutos[Desconto homologado],MATCH(tItens[[#This Row],[Produto]],tProdutos[Produto],0))),DescontoPadrao)</f>
        <v>0.42461538461538501</v>
      </c>
      <c r="M3084" s="12">
        <f>tItens[[#This Row],[Valor]]*(1-tItens[[#This Row],[Desconto]])</f>
        <v>0</v>
      </c>
      <c r="N3084" t="str">
        <f>IFERROR(INDEX(tProdutos[Foco],MATCH(tItens[[#This Row],[Produto]],tProdutos[Produto],0)),"Não")</f>
        <v>Não</v>
      </c>
      <c r="O3084" t="str">
        <f>IFERROR(INDEX(tEditais[SRP],MATCH(tItens[[#This Row],[Edital]],tEditais[Edital],0)),"Não")</f>
        <v>Não</v>
      </c>
      <c r="P3084" s="4">
        <f>IF(COUNTIFS(INDEX(tItens[Edital],1):tItens[[#This Row],[Edital]],tItens[[#This Row],[Edital]],INDEX(tItens[Produto],1):tItens[[#This Row],[Produto]],tItens[[#This Row],[Produto]])=1,1,0)</f>
        <v>0</v>
      </c>
    </row>
    <row r="3085" spans="1:16" x14ac:dyDescent="0.25">
      <c r="A3085" t="s">
        <v>1390</v>
      </c>
      <c r="B3085">
        <v>18</v>
      </c>
      <c r="C3085" t="s">
        <v>5993</v>
      </c>
      <c r="D3085" t="s">
        <v>281</v>
      </c>
      <c r="E3085" s="13">
        <v>78500</v>
      </c>
      <c r="F3085" s="12">
        <v>0</v>
      </c>
      <c r="G3085" t="str">
        <f>IFERROR(INDEX(tEditais[Órgão],MATCH(tItens[[#This Row],[Edital]],tEditais[Edital],0)),"")</f>
        <v>FUNDACAO HOSPITALAR DO ESTADO DE MINAS GERAIS</v>
      </c>
      <c r="H3085" t="str">
        <f>IFERROR(INDEX(tEditais[UF],MATCH(tItens[[#This Row],[Edital]],tEditais[Edital],0)),"")</f>
        <v>MG</v>
      </c>
      <c r="I3085" s="11">
        <f>IFERROR(INDEX(tEditais[Encerramento],MATCH(tItens[[#This Row],[Edital]],tEditais[Edital],0)),"")</f>
        <v>46308.375</v>
      </c>
      <c r="J3085" t="str">
        <f>IFERROR(INDEX(tProdutos[Classe],MATCH(tItens[[#This Row],[Produto]],tProdutos[Produto],0)),"produto não cadastrado")</f>
        <v>DISPUTADO</v>
      </c>
      <c r="K3085" s="12">
        <f>tItens[[#This Row],[Qtd]]*tItens[[#This Row],[Vlr unit]]</f>
        <v>0</v>
      </c>
      <c r="L3085" s="6">
        <f>IFERROR(IF(INDEX(tProdutos[Desconto homologado],MATCH(tItens[[#This Row],[Produto]],tProdutos[Produto],0))="",DescontoPadrao,INDEX(tProdutos[Desconto homologado],MATCH(tItens[[#This Row],[Produto]],tProdutos[Produto],0))),DescontoPadrao)</f>
        <v>0.42461538461538501</v>
      </c>
      <c r="M3085" s="12">
        <f>tItens[[#This Row],[Valor]]*(1-tItens[[#This Row],[Desconto]])</f>
        <v>0</v>
      </c>
      <c r="N3085" t="str">
        <f>IFERROR(INDEX(tProdutos[Foco],MATCH(tItens[[#This Row],[Produto]],tProdutos[Produto],0)),"Não")</f>
        <v>Não</v>
      </c>
      <c r="O3085" t="str">
        <f>IFERROR(INDEX(tEditais[SRP],MATCH(tItens[[#This Row],[Edital]],tEditais[Edital],0)),"Não")</f>
        <v>Não</v>
      </c>
      <c r="P3085" s="4">
        <f>IF(COUNTIFS(INDEX(tItens[Edital],1):tItens[[#This Row],[Edital]],tItens[[#This Row],[Edital]],INDEX(tItens[Produto],1):tItens[[#This Row],[Produto]],tItens[[#This Row],[Produto]])=1,1,0)</f>
        <v>0</v>
      </c>
    </row>
    <row r="3086" spans="1:16" x14ac:dyDescent="0.25">
      <c r="A3086" t="s">
        <v>1394</v>
      </c>
      <c r="B3086">
        <v>3</v>
      </c>
      <c r="C3086" t="s">
        <v>5994</v>
      </c>
      <c r="D3086" t="s">
        <v>73</v>
      </c>
      <c r="E3086" s="13">
        <v>300</v>
      </c>
      <c r="F3086" s="12">
        <v>0</v>
      </c>
      <c r="G3086" t="str">
        <f>IFERROR(INDEX(tEditais[Órgão],MATCH(tItens[[#This Row],[Edital]],tEditais[Edital],0)),"")</f>
        <v>FUNDACAO HOSPITALAR DO ESTADO DE MINAS GERAIS</v>
      </c>
      <c r="H3086" t="str">
        <f>IFERROR(INDEX(tEditais[UF],MATCH(tItens[[#This Row],[Edital]],tEditais[Edital],0)),"")</f>
        <v>MG</v>
      </c>
      <c r="I3086" s="11">
        <f>IFERROR(INDEX(tEditais[Encerramento],MATCH(tItens[[#This Row],[Edital]],tEditais[Edital],0)),"")</f>
        <v>46308.375</v>
      </c>
      <c r="J3086" t="str">
        <f>IFERROR(INDEX(tProdutos[Classe],MATCH(tItens[[#This Row],[Produto]],tProdutos[Produto],0)),"produto não cadastrado")</f>
        <v>NÚCLEO</v>
      </c>
      <c r="K3086" s="12">
        <f>tItens[[#This Row],[Qtd]]*tItens[[#This Row],[Vlr unit]]</f>
        <v>0</v>
      </c>
      <c r="L3086" s="6">
        <f>IFERROR(IF(INDEX(tProdutos[Desconto homologado],MATCH(tItens[[#This Row],[Produto]],tProdutos[Produto],0))="",DescontoPadrao,INDEX(tProdutos[Desconto homologado],MATCH(tItens[[#This Row],[Produto]],tProdutos[Produto],0))),DescontoPadrao)</f>
        <v>0.37</v>
      </c>
      <c r="M3086" s="12">
        <f>tItens[[#This Row],[Valor]]*(1-tItens[[#This Row],[Desconto]])</f>
        <v>0</v>
      </c>
      <c r="N3086" t="str">
        <f>IFERROR(INDEX(tProdutos[Foco],MATCH(tItens[[#This Row],[Produto]],tProdutos[Produto],0)),"Não")</f>
        <v>Sim</v>
      </c>
      <c r="O3086" t="str">
        <f>IFERROR(INDEX(tEditais[SRP],MATCH(tItens[[#This Row],[Edital]],tEditais[Edital],0)),"Não")</f>
        <v>Não</v>
      </c>
      <c r="P3086" s="4">
        <f>IF(COUNTIFS(INDEX(tItens[Edital],1):tItens[[#This Row],[Edital]],tItens[[#This Row],[Edital]],INDEX(tItens[Produto],1):tItens[[#This Row],[Produto]],tItens[[#This Row],[Produto]])=1,1,0)</f>
        <v>1</v>
      </c>
    </row>
    <row r="3087" spans="1:16" x14ac:dyDescent="0.25">
      <c r="A3087" t="s">
        <v>1394</v>
      </c>
      <c r="B3087">
        <v>5</v>
      </c>
      <c r="C3087" t="s">
        <v>5995</v>
      </c>
      <c r="D3087" t="s">
        <v>245</v>
      </c>
      <c r="E3087" s="13">
        <v>120</v>
      </c>
      <c r="F3087" s="12">
        <v>0</v>
      </c>
      <c r="G3087" t="str">
        <f>IFERROR(INDEX(tEditais[Órgão],MATCH(tItens[[#This Row],[Edital]],tEditais[Edital],0)),"")</f>
        <v>FUNDACAO HOSPITALAR DO ESTADO DE MINAS GERAIS</v>
      </c>
      <c r="H3087" t="str">
        <f>IFERROR(INDEX(tEditais[UF],MATCH(tItens[[#This Row],[Edital]],tEditais[Edital],0)),"")</f>
        <v>MG</v>
      </c>
      <c r="I3087" s="11">
        <f>IFERROR(INDEX(tEditais[Encerramento],MATCH(tItens[[#This Row],[Edital]],tEditais[Edital],0)),"")</f>
        <v>46308.375</v>
      </c>
      <c r="J3087" t="str">
        <f>IFERROR(INDEX(tProdutos[Classe],MATCH(tItens[[#This Row],[Produto]],tProdutos[Produto],0)),"produto não cadastrado")</f>
        <v>FORA</v>
      </c>
      <c r="K3087" s="12">
        <f>tItens[[#This Row],[Qtd]]*tItens[[#This Row],[Vlr unit]]</f>
        <v>0</v>
      </c>
      <c r="L3087" s="6">
        <f>IFERROR(IF(INDEX(tProdutos[Desconto homologado],MATCH(tItens[[#This Row],[Produto]],tProdutos[Produto],0))="",DescontoPadrao,INDEX(tProdutos[Desconto homologado],MATCH(tItens[[#This Row],[Produto]],tProdutos[Produto],0))),DescontoPadrao)</f>
        <v>0.34516963542284401</v>
      </c>
      <c r="M3087" s="12">
        <f>tItens[[#This Row],[Valor]]*(1-tItens[[#This Row],[Desconto]])</f>
        <v>0</v>
      </c>
      <c r="N3087" t="str">
        <f>IFERROR(INDEX(tProdutos[Foco],MATCH(tItens[[#This Row],[Produto]],tProdutos[Produto],0)),"Não")</f>
        <v>Não</v>
      </c>
      <c r="O3087" t="str">
        <f>IFERROR(INDEX(tEditais[SRP],MATCH(tItens[[#This Row],[Edital]],tEditais[Edital],0)),"Não")</f>
        <v>Não</v>
      </c>
      <c r="P3087" s="4">
        <f>IF(COUNTIFS(INDEX(tItens[Edital],1):tItens[[#This Row],[Edital]],tItens[[#This Row],[Edital]],INDEX(tItens[Produto],1):tItens[[#This Row],[Produto]],tItens[[#This Row],[Produto]])=1,1,0)</f>
        <v>1</v>
      </c>
    </row>
    <row r="3088" spans="1:16" x14ac:dyDescent="0.25">
      <c r="A3088" t="s">
        <v>1394</v>
      </c>
      <c r="B3088">
        <v>10</v>
      </c>
      <c r="C3088" t="s">
        <v>5996</v>
      </c>
      <c r="D3088" t="s">
        <v>73</v>
      </c>
      <c r="E3088" s="13">
        <v>17112</v>
      </c>
      <c r="F3088" s="12">
        <v>0</v>
      </c>
      <c r="G3088" t="str">
        <f>IFERROR(INDEX(tEditais[Órgão],MATCH(tItens[[#This Row],[Edital]],tEditais[Edital],0)),"")</f>
        <v>FUNDACAO HOSPITALAR DO ESTADO DE MINAS GERAIS</v>
      </c>
      <c r="H3088" t="str">
        <f>IFERROR(INDEX(tEditais[UF],MATCH(tItens[[#This Row],[Edital]],tEditais[Edital],0)),"")</f>
        <v>MG</v>
      </c>
      <c r="I3088" s="11">
        <f>IFERROR(INDEX(tEditais[Encerramento],MATCH(tItens[[#This Row],[Edital]],tEditais[Edital],0)),"")</f>
        <v>46308.375</v>
      </c>
      <c r="J3088" t="str">
        <f>IFERROR(INDEX(tProdutos[Classe],MATCH(tItens[[#This Row],[Produto]],tProdutos[Produto],0)),"produto não cadastrado")</f>
        <v>NÚCLEO</v>
      </c>
      <c r="K3088" s="12">
        <f>tItens[[#This Row],[Qtd]]*tItens[[#This Row],[Vlr unit]]</f>
        <v>0</v>
      </c>
      <c r="L3088" s="6">
        <f>IFERROR(IF(INDEX(tProdutos[Desconto homologado],MATCH(tItens[[#This Row],[Produto]],tProdutos[Produto],0))="",DescontoPadrao,INDEX(tProdutos[Desconto homologado],MATCH(tItens[[#This Row],[Produto]],tProdutos[Produto],0))),DescontoPadrao)</f>
        <v>0.37</v>
      </c>
      <c r="M3088" s="12">
        <f>tItens[[#This Row],[Valor]]*(1-tItens[[#This Row],[Desconto]])</f>
        <v>0</v>
      </c>
      <c r="N3088" t="str">
        <f>IFERROR(INDEX(tProdutos[Foco],MATCH(tItens[[#This Row],[Produto]],tProdutos[Produto],0)),"Não")</f>
        <v>Sim</v>
      </c>
      <c r="O3088" t="str">
        <f>IFERROR(INDEX(tEditais[SRP],MATCH(tItens[[#This Row],[Edital]],tEditais[Edital],0)),"Não")</f>
        <v>Não</v>
      </c>
      <c r="P3088" s="4">
        <f>IF(COUNTIFS(INDEX(tItens[Edital],1):tItens[[#This Row],[Edital]],tItens[[#This Row],[Edital]],INDEX(tItens[Produto],1):tItens[[#This Row],[Produto]],tItens[[#This Row],[Produto]])=1,1,0)</f>
        <v>0</v>
      </c>
    </row>
    <row r="3089" spans="1:16" x14ac:dyDescent="0.25">
      <c r="A3089" t="s">
        <v>1394</v>
      </c>
      <c r="B3089">
        <v>14</v>
      </c>
      <c r="C3089" t="s">
        <v>5997</v>
      </c>
      <c r="D3089" t="s">
        <v>164</v>
      </c>
      <c r="E3089" s="13">
        <v>4116</v>
      </c>
      <c r="F3089" s="12">
        <v>0</v>
      </c>
      <c r="G3089" t="str">
        <f>IFERROR(INDEX(tEditais[Órgão],MATCH(tItens[[#This Row],[Edital]],tEditais[Edital],0)),"")</f>
        <v>FUNDACAO HOSPITALAR DO ESTADO DE MINAS GERAIS</v>
      </c>
      <c r="H3089" t="str">
        <f>IFERROR(INDEX(tEditais[UF],MATCH(tItens[[#This Row],[Edital]],tEditais[Edital],0)),"")</f>
        <v>MG</v>
      </c>
      <c r="I3089" s="11">
        <f>IFERROR(INDEX(tEditais[Encerramento],MATCH(tItens[[#This Row],[Edital]],tEditais[Edital],0)),"")</f>
        <v>46308.375</v>
      </c>
      <c r="J3089" t="str">
        <f>IFERROR(INDEX(tProdutos[Classe],MATCH(tItens[[#This Row],[Produto]],tProdutos[Produto],0)),"produto não cadastrado")</f>
        <v>DISPUTADO</v>
      </c>
      <c r="K3089" s="12">
        <f>tItens[[#This Row],[Qtd]]*tItens[[#This Row],[Vlr unit]]</f>
        <v>0</v>
      </c>
      <c r="L3089" s="6">
        <f>IFERROR(IF(INDEX(tProdutos[Desconto homologado],MATCH(tItens[[#This Row],[Produto]],tProdutos[Produto],0))="",DescontoPadrao,INDEX(tProdutos[Desconto homologado],MATCH(tItens[[#This Row],[Produto]],tProdutos[Produto],0))),DescontoPadrao)</f>
        <v>0.445300462249615</v>
      </c>
      <c r="M3089" s="12">
        <f>tItens[[#This Row],[Valor]]*(1-tItens[[#This Row],[Desconto]])</f>
        <v>0</v>
      </c>
      <c r="N3089" t="str">
        <f>IFERROR(INDEX(tProdutos[Foco],MATCH(tItens[[#This Row],[Produto]],tProdutos[Produto],0)),"Não")</f>
        <v>Não</v>
      </c>
      <c r="O3089" t="str">
        <f>IFERROR(INDEX(tEditais[SRP],MATCH(tItens[[#This Row],[Edital]],tEditais[Edital],0)),"Não")</f>
        <v>Não</v>
      </c>
      <c r="P3089" s="4">
        <f>IF(COUNTIFS(INDEX(tItens[Edital],1):tItens[[#This Row],[Edital]],tItens[[#This Row],[Edital]],INDEX(tItens[Produto],1):tItens[[#This Row],[Produto]],tItens[[#This Row],[Produto]])=1,1,0)</f>
        <v>1</v>
      </c>
    </row>
    <row r="3090" spans="1:16" x14ac:dyDescent="0.25">
      <c r="A3090" t="s">
        <v>1394</v>
      </c>
      <c r="B3090">
        <v>17</v>
      </c>
      <c r="C3090" t="s">
        <v>5998</v>
      </c>
      <c r="D3090" t="s">
        <v>184</v>
      </c>
      <c r="E3090" s="13">
        <v>144</v>
      </c>
      <c r="F3090" s="12">
        <v>0</v>
      </c>
      <c r="G3090" t="str">
        <f>IFERROR(INDEX(tEditais[Órgão],MATCH(tItens[[#This Row],[Edital]],tEditais[Edital],0)),"")</f>
        <v>FUNDACAO HOSPITALAR DO ESTADO DE MINAS GERAIS</v>
      </c>
      <c r="H3090" t="str">
        <f>IFERROR(INDEX(tEditais[UF],MATCH(tItens[[#This Row],[Edital]],tEditais[Edital],0)),"")</f>
        <v>MG</v>
      </c>
      <c r="I3090" s="11">
        <f>IFERROR(INDEX(tEditais[Encerramento],MATCH(tItens[[#This Row],[Edital]],tEditais[Edital],0)),"")</f>
        <v>46308.375</v>
      </c>
      <c r="J3090" t="str">
        <f>IFERROR(INDEX(tProdutos[Classe],MATCH(tItens[[#This Row],[Produto]],tProdutos[Produto],0)),"produto não cadastrado")</f>
        <v>FORA</v>
      </c>
      <c r="K3090" s="12">
        <f>tItens[[#This Row],[Qtd]]*tItens[[#This Row],[Vlr unit]]</f>
        <v>0</v>
      </c>
      <c r="L3090" s="6">
        <f>IFERROR(IF(INDEX(tProdutos[Desconto homologado],MATCH(tItens[[#This Row],[Produto]],tProdutos[Produto],0))="",DescontoPadrao,INDEX(tProdutos[Desconto homologado],MATCH(tItens[[#This Row],[Produto]],tProdutos[Produto],0))),DescontoPadrao)</f>
        <v>0.363567906332742</v>
      </c>
      <c r="M3090" s="12">
        <f>tItens[[#This Row],[Valor]]*(1-tItens[[#This Row],[Desconto]])</f>
        <v>0</v>
      </c>
      <c r="N3090" t="str">
        <f>IFERROR(INDEX(tProdutos[Foco],MATCH(tItens[[#This Row],[Produto]],tProdutos[Produto],0)),"Não")</f>
        <v>Não</v>
      </c>
      <c r="O3090" t="str">
        <f>IFERROR(INDEX(tEditais[SRP],MATCH(tItens[[#This Row],[Edital]],tEditais[Edital],0)),"Não")</f>
        <v>Não</v>
      </c>
      <c r="P3090" s="4">
        <f>IF(COUNTIFS(INDEX(tItens[Edital],1):tItens[[#This Row],[Edital]],tItens[[#This Row],[Edital]],INDEX(tItens[Produto],1):tItens[[#This Row],[Produto]],tItens[[#This Row],[Produto]])=1,1,0)</f>
        <v>1</v>
      </c>
    </row>
    <row r="3091" spans="1:16" x14ac:dyDescent="0.25">
      <c r="A3091" t="s">
        <v>1394</v>
      </c>
      <c r="B3091">
        <v>22</v>
      </c>
      <c r="C3091" t="s">
        <v>5999</v>
      </c>
      <c r="D3091" t="s">
        <v>184</v>
      </c>
      <c r="E3091" s="13">
        <v>816</v>
      </c>
      <c r="F3091" s="12">
        <v>0</v>
      </c>
      <c r="G3091" t="str">
        <f>IFERROR(INDEX(tEditais[Órgão],MATCH(tItens[[#This Row],[Edital]],tEditais[Edital],0)),"")</f>
        <v>FUNDACAO HOSPITALAR DO ESTADO DE MINAS GERAIS</v>
      </c>
      <c r="H3091" t="str">
        <f>IFERROR(INDEX(tEditais[UF],MATCH(tItens[[#This Row],[Edital]],tEditais[Edital],0)),"")</f>
        <v>MG</v>
      </c>
      <c r="I3091" s="11">
        <f>IFERROR(INDEX(tEditais[Encerramento],MATCH(tItens[[#This Row],[Edital]],tEditais[Edital],0)),"")</f>
        <v>46308.375</v>
      </c>
      <c r="J3091" t="str">
        <f>IFERROR(INDEX(tProdutos[Classe],MATCH(tItens[[#This Row],[Produto]],tProdutos[Produto],0)),"produto não cadastrado")</f>
        <v>FORA</v>
      </c>
      <c r="K3091" s="12">
        <f>tItens[[#This Row],[Qtd]]*tItens[[#This Row],[Vlr unit]]</f>
        <v>0</v>
      </c>
      <c r="L3091" s="6">
        <f>IFERROR(IF(INDEX(tProdutos[Desconto homologado],MATCH(tItens[[#This Row],[Produto]],tProdutos[Produto],0))="",DescontoPadrao,INDEX(tProdutos[Desconto homologado],MATCH(tItens[[#This Row],[Produto]],tProdutos[Produto],0))),DescontoPadrao)</f>
        <v>0.363567906332742</v>
      </c>
      <c r="M3091" s="12">
        <f>tItens[[#This Row],[Valor]]*(1-tItens[[#This Row],[Desconto]])</f>
        <v>0</v>
      </c>
      <c r="N3091" t="str">
        <f>IFERROR(INDEX(tProdutos[Foco],MATCH(tItens[[#This Row],[Produto]],tProdutos[Produto],0)),"Não")</f>
        <v>Não</v>
      </c>
      <c r="O3091" t="str">
        <f>IFERROR(INDEX(tEditais[SRP],MATCH(tItens[[#This Row],[Edital]],tEditais[Edital],0)),"Não")</f>
        <v>Não</v>
      </c>
      <c r="P3091" s="4">
        <f>IF(COUNTIFS(INDEX(tItens[Edital],1):tItens[[#This Row],[Edital]],tItens[[#This Row],[Edital]],INDEX(tItens[Produto],1):tItens[[#This Row],[Produto]],tItens[[#This Row],[Produto]])=1,1,0)</f>
        <v>0</v>
      </c>
    </row>
    <row r="3092" spans="1:16" x14ac:dyDescent="0.25">
      <c r="A3092" t="s">
        <v>1397</v>
      </c>
      <c r="B3092">
        <v>6</v>
      </c>
      <c r="C3092" t="s">
        <v>6000</v>
      </c>
      <c r="D3092" t="s">
        <v>341</v>
      </c>
      <c r="E3092" s="13">
        <v>25</v>
      </c>
      <c r="F3092" s="12">
        <v>0</v>
      </c>
      <c r="G3092" t="str">
        <f>IFERROR(INDEX(tEditais[Órgão],MATCH(tItens[[#This Row],[Edital]],tEditais[Edital],0)),"")</f>
        <v>UNIVERSIDADE DO ESTADO DE MINAS GERAIS</v>
      </c>
      <c r="H3092" t="str">
        <f>IFERROR(INDEX(tEditais[UF],MATCH(tItens[[#This Row],[Edital]],tEditais[Edital],0)),"")</f>
        <v>MG</v>
      </c>
      <c r="I3092" s="11">
        <f>IFERROR(INDEX(tEditais[Encerramento],MATCH(tItens[[#This Row],[Edital]],tEditais[Edital],0)),"")</f>
        <v>46308.416666666664</v>
      </c>
      <c r="J3092" t="str">
        <f>IFERROR(INDEX(tProdutos[Classe],MATCH(tItens[[#This Row],[Produto]],tProdutos[Produto],0)),"produto não cadastrado")</f>
        <v>FORA</v>
      </c>
      <c r="K3092" s="12">
        <f>tItens[[#This Row],[Qtd]]*tItens[[#This Row],[Vlr unit]]</f>
        <v>0</v>
      </c>
      <c r="L3092" s="6">
        <f>IFERROR(IF(INDEX(tProdutos[Desconto homologado],MATCH(tItens[[#This Row],[Produto]],tProdutos[Produto],0))="",DescontoPadrao,INDEX(tProdutos[Desconto homologado],MATCH(tItens[[#This Row],[Produto]],tProdutos[Produto],0))),DescontoPadrao)</f>
        <v>0.46918578497525898</v>
      </c>
      <c r="M3092" s="12">
        <f>tItens[[#This Row],[Valor]]*(1-tItens[[#This Row],[Desconto]])</f>
        <v>0</v>
      </c>
      <c r="N3092" t="str">
        <f>IFERROR(INDEX(tProdutos[Foco],MATCH(tItens[[#This Row],[Produto]],tProdutos[Produto],0)),"Não")</f>
        <v>Não</v>
      </c>
      <c r="O3092" t="str">
        <f>IFERROR(INDEX(tEditais[SRP],MATCH(tItens[[#This Row],[Edital]],tEditais[Edital],0)),"Não")</f>
        <v>Não</v>
      </c>
      <c r="P3092" s="4">
        <f>IF(COUNTIFS(INDEX(tItens[Edital],1):tItens[[#This Row],[Edital]],tItens[[#This Row],[Edital]],INDEX(tItens[Produto],1):tItens[[#This Row],[Produto]],tItens[[#This Row],[Produto]])=1,1,0)</f>
        <v>1</v>
      </c>
    </row>
    <row r="3093" spans="1:16" x14ac:dyDescent="0.25">
      <c r="A3093" t="s">
        <v>1397</v>
      </c>
      <c r="B3093">
        <v>7</v>
      </c>
      <c r="C3093" t="s">
        <v>6001</v>
      </c>
      <c r="D3093" t="s">
        <v>251</v>
      </c>
      <c r="E3093" s="13">
        <v>15</v>
      </c>
      <c r="F3093" s="12">
        <v>0</v>
      </c>
      <c r="G3093" t="str">
        <f>IFERROR(INDEX(tEditais[Órgão],MATCH(tItens[[#This Row],[Edital]],tEditais[Edital],0)),"")</f>
        <v>UNIVERSIDADE DO ESTADO DE MINAS GERAIS</v>
      </c>
      <c r="H3093" t="str">
        <f>IFERROR(INDEX(tEditais[UF],MATCH(tItens[[#This Row],[Edital]],tEditais[Edital],0)),"")</f>
        <v>MG</v>
      </c>
      <c r="I3093" s="11">
        <f>IFERROR(INDEX(tEditais[Encerramento],MATCH(tItens[[#This Row],[Edital]],tEditais[Edital],0)),"")</f>
        <v>46308.416666666664</v>
      </c>
      <c r="J3093" t="str">
        <f>IFERROR(INDEX(tProdutos[Classe],MATCH(tItens[[#This Row],[Produto]],tProdutos[Produto],0)),"produto não cadastrado")</f>
        <v>FORA</v>
      </c>
      <c r="K3093" s="12">
        <f>tItens[[#This Row],[Qtd]]*tItens[[#This Row],[Vlr unit]]</f>
        <v>0</v>
      </c>
      <c r="L3093" s="6">
        <f>IFERROR(IF(INDEX(tProdutos[Desconto homologado],MATCH(tItens[[#This Row],[Produto]],tProdutos[Produto],0))="",DescontoPadrao,INDEX(tProdutos[Desconto homologado],MATCH(tItens[[#This Row],[Produto]],tProdutos[Produto],0))),DescontoPadrao)</f>
        <v>0.36759020274436599</v>
      </c>
      <c r="M3093" s="12">
        <f>tItens[[#This Row],[Valor]]*(1-tItens[[#This Row],[Desconto]])</f>
        <v>0</v>
      </c>
      <c r="N3093" t="str">
        <f>IFERROR(INDEX(tProdutos[Foco],MATCH(tItens[[#This Row],[Produto]],tProdutos[Produto],0)),"Não")</f>
        <v>Não</v>
      </c>
      <c r="O3093" t="str">
        <f>IFERROR(INDEX(tEditais[SRP],MATCH(tItens[[#This Row],[Edital]],tEditais[Edital],0)),"Não")</f>
        <v>Não</v>
      </c>
      <c r="P3093" s="4">
        <f>IF(COUNTIFS(INDEX(tItens[Edital],1):tItens[[#This Row],[Edital]],tItens[[#This Row],[Edital]],INDEX(tItens[Produto],1):tItens[[#This Row],[Produto]],tItens[[#This Row],[Produto]])=1,1,0)</f>
        <v>1</v>
      </c>
    </row>
    <row r="3094" spans="1:16" x14ac:dyDescent="0.25">
      <c r="A3094" t="s">
        <v>1397</v>
      </c>
      <c r="B3094">
        <v>8</v>
      </c>
      <c r="C3094" t="s">
        <v>6002</v>
      </c>
      <c r="D3094" t="s">
        <v>251</v>
      </c>
      <c r="E3094" s="13">
        <v>15</v>
      </c>
      <c r="F3094" s="12">
        <v>0</v>
      </c>
      <c r="G3094" t="str">
        <f>IFERROR(INDEX(tEditais[Órgão],MATCH(tItens[[#This Row],[Edital]],tEditais[Edital],0)),"")</f>
        <v>UNIVERSIDADE DO ESTADO DE MINAS GERAIS</v>
      </c>
      <c r="H3094" t="str">
        <f>IFERROR(INDEX(tEditais[UF],MATCH(tItens[[#This Row],[Edital]],tEditais[Edital],0)),"")</f>
        <v>MG</v>
      </c>
      <c r="I3094" s="11">
        <f>IFERROR(INDEX(tEditais[Encerramento],MATCH(tItens[[#This Row],[Edital]],tEditais[Edital],0)),"")</f>
        <v>46308.416666666664</v>
      </c>
      <c r="J3094" t="str">
        <f>IFERROR(INDEX(tProdutos[Classe],MATCH(tItens[[#This Row],[Produto]],tProdutos[Produto],0)),"produto não cadastrado")</f>
        <v>FORA</v>
      </c>
      <c r="K3094" s="12">
        <f>tItens[[#This Row],[Qtd]]*tItens[[#This Row],[Vlr unit]]</f>
        <v>0</v>
      </c>
      <c r="L3094" s="6">
        <f>IFERROR(IF(INDEX(tProdutos[Desconto homologado],MATCH(tItens[[#This Row],[Produto]],tProdutos[Produto],0))="",DescontoPadrao,INDEX(tProdutos[Desconto homologado],MATCH(tItens[[#This Row],[Produto]],tProdutos[Produto],0))),DescontoPadrao)</f>
        <v>0.36759020274436599</v>
      </c>
      <c r="M3094" s="12">
        <f>tItens[[#This Row],[Valor]]*(1-tItens[[#This Row],[Desconto]])</f>
        <v>0</v>
      </c>
      <c r="N3094" t="str">
        <f>IFERROR(INDEX(tProdutos[Foco],MATCH(tItens[[#This Row],[Produto]],tProdutos[Produto],0)),"Não")</f>
        <v>Não</v>
      </c>
      <c r="O3094" t="str">
        <f>IFERROR(INDEX(tEditais[SRP],MATCH(tItens[[#This Row],[Edital]],tEditais[Edital],0)),"Não")</f>
        <v>Não</v>
      </c>
      <c r="P3094" s="4">
        <f>IF(COUNTIFS(INDEX(tItens[Edital],1):tItens[[#This Row],[Edital]],tItens[[#This Row],[Edital]],INDEX(tItens[Produto],1):tItens[[#This Row],[Produto]],tItens[[#This Row],[Produto]])=1,1,0)</f>
        <v>0</v>
      </c>
    </row>
    <row r="3095" spans="1:16" x14ac:dyDescent="0.25">
      <c r="A3095" t="s">
        <v>1397</v>
      </c>
      <c r="B3095">
        <v>9</v>
      </c>
      <c r="C3095" t="s">
        <v>6003</v>
      </c>
      <c r="D3095" t="s">
        <v>251</v>
      </c>
      <c r="E3095" s="13">
        <v>15</v>
      </c>
      <c r="F3095" s="12">
        <v>0</v>
      </c>
      <c r="G3095" t="str">
        <f>IFERROR(INDEX(tEditais[Órgão],MATCH(tItens[[#This Row],[Edital]],tEditais[Edital],0)),"")</f>
        <v>UNIVERSIDADE DO ESTADO DE MINAS GERAIS</v>
      </c>
      <c r="H3095" t="str">
        <f>IFERROR(INDEX(tEditais[UF],MATCH(tItens[[#This Row],[Edital]],tEditais[Edital],0)),"")</f>
        <v>MG</v>
      </c>
      <c r="I3095" s="11">
        <f>IFERROR(INDEX(tEditais[Encerramento],MATCH(tItens[[#This Row],[Edital]],tEditais[Edital],0)),"")</f>
        <v>46308.416666666664</v>
      </c>
      <c r="J3095" t="str">
        <f>IFERROR(INDEX(tProdutos[Classe],MATCH(tItens[[#This Row],[Produto]],tProdutos[Produto],0)),"produto não cadastrado")</f>
        <v>FORA</v>
      </c>
      <c r="K3095" s="12">
        <f>tItens[[#This Row],[Qtd]]*tItens[[#This Row],[Vlr unit]]</f>
        <v>0</v>
      </c>
      <c r="L3095" s="6">
        <f>IFERROR(IF(INDEX(tProdutos[Desconto homologado],MATCH(tItens[[#This Row],[Produto]],tProdutos[Produto],0))="",DescontoPadrao,INDEX(tProdutos[Desconto homologado],MATCH(tItens[[#This Row],[Produto]],tProdutos[Produto],0))),DescontoPadrao)</f>
        <v>0.36759020274436599</v>
      </c>
      <c r="M3095" s="12">
        <f>tItens[[#This Row],[Valor]]*(1-tItens[[#This Row],[Desconto]])</f>
        <v>0</v>
      </c>
      <c r="N3095" t="str">
        <f>IFERROR(INDEX(tProdutos[Foco],MATCH(tItens[[#This Row],[Produto]],tProdutos[Produto],0)),"Não")</f>
        <v>Não</v>
      </c>
      <c r="O3095" t="str">
        <f>IFERROR(INDEX(tEditais[SRP],MATCH(tItens[[#This Row],[Edital]],tEditais[Edital],0)),"Não")</f>
        <v>Não</v>
      </c>
      <c r="P3095" s="4">
        <f>IF(COUNTIFS(INDEX(tItens[Edital],1):tItens[[#This Row],[Edital]],tItens[[#This Row],[Edital]],INDEX(tItens[Produto],1):tItens[[#This Row],[Produto]],tItens[[#This Row],[Produto]])=1,1,0)</f>
        <v>0</v>
      </c>
    </row>
    <row r="3096" spans="1:16" x14ac:dyDescent="0.25">
      <c r="A3096" t="s">
        <v>1397</v>
      </c>
      <c r="B3096">
        <v>10</v>
      </c>
      <c r="C3096" t="s">
        <v>6004</v>
      </c>
      <c r="D3096" t="s">
        <v>251</v>
      </c>
      <c r="E3096" s="13">
        <v>25</v>
      </c>
      <c r="F3096" s="12">
        <v>0</v>
      </c>
      <c r="G3096" t="str">
        <f>IFERROR(INDEX(tEditais[Órgão],MATCH(tItens[[#This Row],[Edital]],tEditais[Edital],0)),"")</f>
        <v>UNIVERSIDADE DO ESTADO DE MINAS GERAIS</v>
      </c>
      <c r="H3096" t="str">
        <f>IFERROR(INDEX(tEditais[UF],MATCH(tItens[[#This Row],[Edital]],tEditais[Edital],0)),"")</f>
        <v>MG</v>
      </c>
      <c r="I3096" s="11">
        <f>IFERROR(INDEX(tEditais[Encerramento],MATCH(tItens[[#This Row],[Edital]],tEditais[Edital],0)),"")</f>
        <v>46308.416666666664</v>
      </c>
      <c r="J3096" t="str">
        <f>IFERROR(INDEX(tProdutos[Classe],MATCH(tItens[[#This Row],[Produto]],tProdutos[Produto],0)),"produto não cadastrado")</f>
        <v>FORA</v>
      </c>
      <c r="K3096" s="12">
        <f>tItens[[#This Row],[Qtd]]*tItens[[#This Row],[Vlr unit]]</f>
        <v>0</v>
      </c>
      <c r="L3096" s="6">
        <f>IFERROR(IF(INDEX(tProdutos[Desconto homologado],MATCH(tItens[[#This Row],[Produto]],tProdutos[Produto],0))="",DescontoPadrao,INDEX(tProdutos[Desconto homologado],MATCH(tItens[[#This Row],[Produto]],tProdutos[Produto],0))),DescontoPadrao)</f>
        <v>0.36759020274436599</v>
      </c>
      <c r="M3096" s="12">
        <f>tItens[[#This Row],[Valor]]*(1-tItens[[#This Row],[Desconto]])</f>
        <v>0</v>
      </c>
      <c r="N3096" t="str">
        <f>IFERROR(INDEX(tProdutos[Foco],MATCH(tItens[[#This Row],[Produto]],tProdutos[Produto],0)),"Não")</f>
        <v>Não</v>
      </c>
      <c r="O3096" t="str">
        <f>IFERROR(INDEX(tEditais[SRP],MATCH(tItens[[#This Row],[Edital]],tEditais[Edital],0)),"Não")</f>
        <v>Não</v>
      </c>
      <c r="P3096" s="4">
        <f>IF(COUNTIFS(INDEX(tItens[Edital],1):tItens[[#This Row],[Edital]],tItens[[#This Row],[Edital]],INDEX(tItens[Produto],1):tItens[[#This Row],[Produto]],tItens[[#This Row],[Produto]])=1,1,0)</f>
        <v>0</v>
      </c>
    </row>
    <row r="3097" spans="1:16" x14ac:dyDescent="0.25">
      <c r="A3097" t="s">
        <v>1397</v>
      </c>
      <c r="B3097">
        <v>12</v>
      </c>
      <c r="C3097" t="s">
        <v>5988</v>
      </c>
      <c r="D3097" t="s">
        <v>415</v>
      </c>
      <c r="E3097" s="13">
        <v>30</v>
      </c>
      <c r="F3097" s="12">
        <v>0</v>
      </c>
      <c r="G3097" t="str">
        <f>IFERROR(INDEX(tEditais[Órgão],MATCH(tItens[[#This Row],[Edital]],tEditais[Edital],0)),"")</f>
        <v>UNIVERSIDADE DO ESTADO DE MINAS GERAIS</v>
      </c>
      <c r="H3097" t="str">
        <f>IFERROR(INDEX(tEditais[UF],MATCH(tItens[[#This Row],[Edital]],tEditais[Edital],0)),"")</f>
        <v>MG</v>
      </c>
      <c r="I3097" s="11">
        <f>IFERROR(INDEX(tEditais[Encerramento],MATCH(tItens[[#This Row],[Edital]],tEditais[Edital],0)),"")</f>
        <v>46308.416666666664</v>
      </c>
      <c r="J3097" t="str">
        <f>IFERROR(INDEX(tProdutos[Classe],MATCH(tItens[[#This Row],[Produto]],tProdutos[Produto],0)),"produto não cadastrado")</f>
        <v>FORA</v>
      </c>
      <c r="K3097" s="12">
        <f>tItens[[#This Row],[Qtd]]*tItens[[#This Row],[Vlr unit]]</f>
        <v>0</v>
      </c>
      <c r="L3097" s="6">
        <f>IFERROR(IF(INDEX(tProdutos[Desconto homologado],MATCH(tItens[[#This Row],[Produto]],tProdutos[Produto],0))="",DescontoPadrao,INDEX(tProdutos[Desconto homologado],MATCH(tItens[[#This Row],[Produto]],tProdutos[Produto],0))),DescontoPadrao)</f>
        <v>0.31793478260869601</v>
      </c>
      <c r="M3097" s="12">
        <f>tItens[[#This Row],[Valor]]*(1-tItens[[#This Row],[Desconto]])</f>
        <v>0</v>
      </c>
      <c r="N3097" t="str">
        <f>IFERROR(INDEX(tProdutos[Foco],MATCH(tItens[[#This Row],[Produto]],tProdutos[Produto],0)),"Não")</f>
        <v>Não</v>
      </c>
      <c r="O3097" t="str">
        <f>IFERROR(INDEX(tEditais[SRP],MATCH(tItens[[#This Row],[Edital]],tEditais[Edital],0)),"Não")</f>
        <v>Não</v>
      </c>
      <c r="P3097" s="4">
        <f>IF(COUNTIFS(INDEX(tItens[Edital],1):tItens[[#This Row],[Edital]],tItens[[#This Row],[Edital]],INDEX(tItens[Produto],1):tItens[[#This Row],[Produto]],tItens[[#This Row],[Produto]])=1,1,0)</f>
        <v>1</v>
      </c>
    </row>
    <row r="3098" spans="1:16" x14ac:dyDescent="0.25">
      <c r="A3098" t="s">
        <v>1397</v>
      </c>
      <c r="B3098">
        <v>13</v>
      </c>
      <c r="C3098" t="s">
        <v>5987</v>
      </c>
      <c r="D3098" t="s">
        <v>415</v>
      </c>
      <c r="E3098" s="13">
        <v>30</v>
      </c>
      <c r="F3098" s="12">
        <v>0</v>
      </c>
      <c r="G3098" t="str">
        <f>IFERROR(INDEX(tEditais[Órgão],MATCH(tItens[[#This Row],[Edital]],tEditais[Edital],0)),"")</f>
        <v>UNIVERSIDADE DO ESTADO DE MINAS GERAIS</v>
      </c>
      <c r="H3098" t="str">
        <f>IFERROR(INDEX(tEditais[UF],MATCH(tItens[[#This Row],[Edital]],tEditais[Edital],0)),"")</f>
        <v>MG</v>
      </c>
      <c r="I3098" s="11">
        <f>IFERROR(INDEX(tEditais[Encerramento],MATCH(tItens[[#This Row],[Edital]],tEditais[Edital],0)),"")</f>
        <v>46308.416666666664</v>
      </c>
      <c r="J3098" t="str">
        <f>IFERROR(INDEX(tProdutos[Classe],MATCH(tItens[[#This Row],[Produto]],tProdutos[Produto],0)),"produto não cadastrado")</f>
        <v>FORA</v>
      </c>
      <c r="K3098" s="12">
        <f>tItens[[#This Row],[Qtd]]*tItens[[#This Row],[Vlr unit]]</f>
        <v>0</v>
      </c>
      <c r="L3098" s="6">
        <f>IFERROR(IF(INDEX(tProdutos[Desconto homologado],MATCH(tItens[[#This Row],[Produto]],tProdutos[Produto],0))="",DescontoPadrao,INDEX(tProdutos[Desconto homologado],MATCH(tItens[[#This Row],[Produto]],tProdutos[Produto],0))),DescontoPadrao)</f>
        <v>0.31793478260869601</v>
      </c>
      <c r="M3098" s="12">
        <f>tItens[[#This Row],[Valor]]*(1-tItens[[#This Row],[Desconto]])</f>
        <v>0</v>
      </c>
      <c r="N3098" t="str">
        <f>IFERROR(INDEX(tProdutos[Foco],MATCH(tItens[[#This Row],[Produto]],tProdutos[Produto],0)),"Não")</f>
        <v>Não</v>
      </c>
      <c r="O3098" t="str">
        <f>IFERROR(INDEX(tEditais[SRP],MATCH(tItens[[#This Row],[Edital]],tEditais[Edital],0)),"Não")</f>
        <v>Não</v>
      </c>
      <c r="P3098" s="4">
        <f>IF(COUNTIFS(INDEX(tItens[Edital],1):tItens[[#This Row],[Edital]],tItens[[#This Row],[Edital]],INDEX(tItens[Produto],1):tItens[[#This Row],[Produto]],tItens[[#This Row],[Produto]])=1,1,0)</f>
        <v>0</v>
      </c>
    </row>
    <row r="3099" spans="1:16" x14ac:dyDescent="0.25">
      <c r="A3099" t="s">
        <v>1397</v>
      </c>
      <c r="B3099">
        <v>19</v>
      </c>
      <c r="C3099" t="s">
        <v>6005</v>
      </c>
      <c r="D3099" t="s">
        <v>279</v>
      </c>
      <c r="E3099" s="13">
        <v>60</v>
      </c>
      <c r="F3099" s="12">
        <v>0</v>
      </c>
      <c r="G3099" t="str">
        <f>IFERROR(INDEX(tEditais[Órgão],MATCH(tItens[[#This Row],[Edital]],tEditais[Edital],0)),"")</f>
        <v>UNIVERSIDADE DO ESTADO DE MINAS GERAIS</v>
      </c>
      <c r="H3099" t="str">
        <f>IFERROR(INDEX(tEditais[UF],MATCH(tItens[[#This Row],[Edital]],tEditais[Edital],0)),"")</f>
        <v>MG</v>
      </c>
      <c r="I3099" s="11">
        <f>IFERROR(INDEX(tEditais[Encerramento],MATCH(tItens[[#This Row],[Edital]],tEditais[Edital],0)),"")</f>
        <v>46308.416666666664</v>
      </c>
      <c r="J3099" t="str">
        <f>IFERROR(INDEX(tProdutos[Classe],MATCH(tItens[[#This Row],[Produto]],tProdutos[Produto],0)),"produto não cadastrado")</f>
        <v>FORA</v>
      </c>
      <c r="K3099" s="12">
        <f>tItens[[#This Row],[Qtd]]*tItens[[#This Row],[Vlr unit]]</f>
        <v>0</v>
      </c>
      <c r="L3099" s="6">
        <f>IFERROR(IF(INDEX(tProdutos[Desconto homologado],MATCH(tItens[[#This Row],[Produto]],tProdutos[Produto],0))="",DescontoPadrao,INDEX(tProdutos[Desconto homologado],MATCH(tItens[[#This Row],[Produto]],tProdutos[Produto],0))),DescontoPadrao)</f>
        <v>0.28909090909090901</v>
      </c>
      <c r="M3099" s="12">
        <f>tItens[[#This Row],[Valor]]*(1-tItens[[#This Row],[Desconto]])</f>
        <v>0</v>
      </c>
      <c r="N3099" t="str">
        <f>IFERROR(INDEX(tProdutos[Foco],MATCH(tItens[[#This Row],[Produto]],tProdutos[Produto],0)),"Não")</f>
        <v>Não</v>
      </c>
      <c r="O3099" t="str">
        <f>IFERROR(INDEX(tEditais[SRP],MATCH(tItens[[#This Row],[Edital]],tEditais[Edital],0)),"Não")</f>
        <v>Não</v>
      </c>
      <c r="P3099" s="4">
        <f>IF(COUNTIFS(INDEX(tItens[Edital],1):tItens[[#This Row],[Edital]],tItens[[#This Row],[Edital]],INDEX(tItens[Produto],1):tItens[[#This Row],[Produto]],tItens[[#This Row],[Produto]])=1,1,0)</f>
        <v>1</v>
      </c>
    </row>
    <row r="3100" spans="1:16" x14ac:dyDescent="0.25">
      <c r="A3100" t="s">
        <v>1397</v>
      </c>
      <c r="B3100">
        <v>29</v>
      </c>
      <c r="C3100" t="s">
        <v>6006</v>
      </c>
      <c r="D3100" t="s">
        <v>281</v>
      </c>
      <c r="E3100" s="13">
        <v>3000</v>
      </c>
      <c r="F3100" s="12">
        <v>0</v>
      </c>
      <c r="G3100" t="str">
        <f>IFERROR(INDEX(tEditais[Órgão],MATCH(tItens[[#This Row],[Edital]],tEditais[Edital],0)),"")</f>
        <v>UNIVERSIDADE DO ESTADO DE MINAS GERAIS</v>
      </c>
      <c r="H3100" t="str">
        <f>IFERROR(INDEX(tEditais[UF],MATCH(tItens[[#This Row],[Edital]],tEditais[Edital],0)),"")</f>
        <v>MG</v>
      </c>
      <c r="I3100" s="11">
        <f>IFERROR(INDEX(tEditais[Encerramento],MATCH(tItens[[#This Row],[Edital]],tEditais[Edital],0)),"")</f>
        <v>46308.416666666664</v>
      </c>
      <c r="J3100" t="str">
        <f>IFERROR(INDEX(tProdutos[Classe],MATCH(tItens[[#This Row],[Produto]],tProdutos[Produto],0)),"produto não cadastrado")</f>
        <v>DISPUTADO</v>
      </c>
      <c r="K3100" s="12">
        <f>tItens[[#This Row],[Qtd]]*tItens[[#This Row],[Vlr unit]]</f>
        <v>0</v>
      </c>
      <c r="L3100" s="6">
        <f>IFERROR(IF(INDEX(tProdutos[Desconto homologado],MATCH(tItens[[#This Row],[Produto]],tProdutos[Produto],0))="",DescontoPadrao,INDEX(tProdutos[Desconto homologado],MATCH(tItens[[#This Row],[Produto]],tProdutos[Produto],0))),DescontoPadrao)</f>
        <v>0.42461538461538501</v>
      </c>
      <c r="M3100" s="12">
        <f>tItens[[#This Row],[Valor]]*(1-tItens[[#This Row],[Desconto]])</f>
        <v>0</v>
      </c>
      <c r="N3100" t="str">
        <f>IFERROR(INDEX(tProdutos[Foco],MATCH(tItens[[#This Row],[Produto]],tProdutos[Produto],0)),"Não")</f>
        <v>Não</v>
      </c>
      <c r="O3100" t="str">
        <f>IFERROR(INDEX(tEditais[SRP],MATCH(tItens[[#This Row],[Edital]],tEditais[Edital],0)),"Não")</f>
        <v>Não</v>
      </c>
      <c r="P3100" s="4">
        <f>IF(COUNTIFS(INDEX(tItens[Edital],1):tItens[[#This Row],[Edital]],tItens[[#This Row],[Edital]],INDEX(tItens[Produto],1):tItens[[#This Row],[Produto]],tItens[[#This Row],[Produto]])=1,1,0)</f>
        <v>1</v>
      </c>
    </row>
    <row r="3101" spans="1:16" x14ac:dyDescent="0.25">
      <c r="A3101" t="s">
        <v>1397</v>
      </c>
      <c r="B3101">
        <v>42</v>
      </c>
      <c r="C3101" t="s">
        <v>6007</v>
      </c>
      <c r="D3101" t="s">
        <v>506</v>
      </c>
      <c r="E3101" s="13">
        <v>6000</v>
      </c>
      <c r="F3101" s="12">
        <v>0</v>
      </c>
      <c r="G3101" t="str">
        <f>IFERROR(INDEX(tEditais[Órgão],MATCH(tItens[[#This Row],[Edital]],tEditais[Edital],0)),"")</f>
        <v>UNIVERSIDADE DO ESTADO DE MINAS GERAIS</v>
      </c>
      <c r="H3101" t="str">
        <f>IFERROR(INDEX(tEditais[UF],MATCH(tItens[[#This Row],[Edital]],tEditais[Edital],0)),"")</f>
        <v>MG</v>
      </c>
      <c r="I3101" s="11">
        <f>IFERROR(INDEX(tEditais[Encerramento],MATCH(tItens[[#This Row],[Edital]],tEditais[Edital],0)),"")</f>
        <v>46308.416666666664</v>
      </c>
      <c r="J3101" t="str">
        <f>IFERROR(INDEX(tProdutos[Classe],MATCH(tItens[[#This Row],[Produto]],tProdutos[Produto],0)),"produto não cadastrado")</f>
        <v>FILA REBASE</v>
      </c>
      <c r="K3101" s="12">
        <f>tItens[[#This Row],[Qtd]]*tItens[[#This Row],[Vlr unit]]</f>
        <v>0</v>
      </c>
      <c r="L3101" s="6">
        <f>IFERROR(IF(INDEX(tProdutos[Desconto homologado],MATCH(tItens[[#This Row],[Produto]],tProdutos[Produto],0))="",DescontoPadrao,INDEX(tProdutos[Desconto homologado],MATCH(tItens[[#This Row],[Produto]],tProdutos[Produto],0))),DescontoPadrao)</f>
        <v>0.36894008590895599</v>
      </c>
      <c r="M3101" s="12">
        <f>tItens[[#This Row],[Valor]]*(1-tItens[[#This Row],[Desconto]])</f>
        <v>0</v>
      </c>
      <c r="N3101" t="str">
        <f>IFERROR(INDEX(tProdutos[Foco],MATCH(tItens[[#This Row],[Produto]],tProdutos[Produto],0)),"Não")</f>
        <v>Não</v>
      </c>
      <c r="O3101" t="str">
        <f>IFERROR(INDEX(tEditais[SRP],MATCH(tItens[[#This Row],[Edital]],tEditais[Edital],0)),"Não")</f>
        <v>Não</v>
      </c>
      <c r="P3101" s="4">
        <f>IF(COUNTIFS(INDEX(tItens[Edital],1):tItens[[#This Row],[Edital]],tItens[[#This Row],[Edital]],INDEX(tItens[Produto],1):tItens[[#This Row],[Produto]],tItens[[#This Row],[Produto]])=1,1,0)</f>
        <v>1</v>
      </c>
    </row>
    <row r="3102" spans="1:16" x14ac:dyDescent="0.25">
      <c r="A3102" t="s">
        <v>1402</v>
      </c>
      <c r="B3102">
        <v>3</v>
      </c>
      <c r="C3102" t="s">
        <v>6008</v>
      </c>
      <c r="D3102" t="s">
        <v>315</v>
      </c>
      <c r="E3102" s="13">
        <v>10</v>
      </c>
      <c r="F3102" s="12">
        <v>12.34</v>
      </c>
      <c r="G3102" t="str">
        <f>IFERROR(INDEX(tEditais[Órgão],MATCH(tItens[[#This Row],[Edital]],tEditais[Edital],0)),"")</f>
        <v>MUNICIPIO DE BANDEIRA DO SUL</v>
      </c>
      <c r="H3102" t="str">
        <f>IFERROR(INDEX(tEditais[UF],MATCH(tItens[[#This Row],[Edital]],tEditais[Edital],0)),"")</f>
        <v>MG</v>
      </c>
      <c r="I3102" s="11">
        <f>IFERROR(INDEX(tEditais[Encerramento],MATCH(tItens[[#This Row],[Edital]],tEditais[Edital],0)),"")</f>
        <v>46308.458333333336</v>
      </c>
      <c r="J3102" t="str">
        <f>IFERROR(INDEX(tProdutos[Classe],MATCH(tItens[[#This Row],[Produto]],tProdutos[Produto],0)),"produto não cadastrado")</f>
        <v>FORA</v>
      </c>
      <c r="K3102" s="12">
        <f>tItens[[#This Row],[Qtd]]*tItens[[#This Row],[Vlr unit]]</f>
        <v>123.4</v>
      </c>
      <c r="L3102" s="6">
        <f>IFERROR(IF(INDEX(tProdutos[Desconto homologado],MATCH(tItens[[#This Row],[Produto]],tProdutos[Produto],0))="",DescontoPadrao,INDEX(tProdutos[Desconto homologado],MATCH(tItens[[#This Row],[Produto]],tProdutos[Produto],0))),DescontoPadrao)</f>
        <v>0.38432036097010702</v>
      </c>
      <c r="M3102" s="12">
        <f>tItens[[#This Row],[Valor]]*(1-tItens[[#This Row],[Desconto]])</f>
        <v>75.974867456288791</v>
      </c>
      <c r="N3102" t="str">
        <f>IFERROR(INDEX(tProdutos[Foco],MATCH(tItens[[#This Row],[Produto]],tProdutos[Produto],0)),"Não")</f>
        <v>Não</v>
      </c>
      <c r="O3102" t="str">
        <f>IFERROR(INDEX(tEditais[SRP],MATCH(tItens[[#This Row],[Edital]],tEditais[Edital],0)),"Não")</f>
        <v>Sim</v>
      </c>
      <c r="P3102" s="4">
        <f>IF(COUNTIFS(INDEX(tItens[Edital],1):tItens[[#This Row],[Edital]],tItens[[#This Row],[Edital]],INDEX(tItens[Produto],1):tItens[[#This Row],[Produto]],tItens[[#This Row],[Produto]])=1,1,0)</f>
        <v>1</v>
      </c>
    </row>
    <row r="3103" spans="1:16" x14ac:dyDescent="0.25">
      <c r="A3103" t="s">
        <v>1402</v>
      </c>
      <c r="B3103">
        <v>4</v>
      </c>
      <c r="C3103" t="s">
        <v>6009</v>
      </c>
      <c r="D3103" t="s">
        <v>315</v>
      </c>
      <c r="E3103" s="13">
        <v>10</v>
      </c>
      <c r="F3103" s="12">
        <v>14.77</v>
      </c>
      <c r="G3103" t="str">
        <f>IFERROR(INDEX(tEditais[Órgão],MATCH(tItens[[#This Row],[Edital]],tEditais[Edital],0)),"")</f>
        <v>MUNICIPIO DE BANDEIRA DO SUL</v>
      </c>
      <c r="H3103" t="str">
        <f>IFERROR(INDEX(tEditais[UF],MATCH(tItens[[#This Row],[Edital]],tEditais[Edital],0)),"")</f>
        <v>MG</v>
      </c>
      <c r="I3103" s="11">
        <f>IFERROR(INDEX(tEditais[Encerramento],MATCH(tItens[[#This Row],[Edital]],tEditais[Edital],0)),"")</f>
        <v>46308.458333333336</v>
      </c>
      <c r="J3103" t="str">
        <f>IFERROR(INDEX(tProdutos[Classe],MATCH(tItens[[#This Row],[Produto]],tProdutos[Produto],0)),"produto não cadastrado")</f>
        <v>FORA</v>
      </c>
      <c r="K3103" s="12">
        <f>tItens[[#This Row],[Qtd]]*tItens[[#This Row],[Vlr unit]]</f>
        <v>147.69999999999999</v>
      </c>
      <c r="L3103" s="6">
        <f>IFERROR(IF(INDEX(tProdutos[Desconto homologado],MATCH(tItens[[#This Row],[Produto]],tProdutos[Produto],0))="",DescontoPadrao,INDEX(tProdutos[Desconto homologado],MATCH(tItens[[#This Row],[Produto]],tProdutos[Produto],0))),DescontoPadrao)</f>
        <v>0.38432036097010702</v>
      </c>
      <c r="M3103" s="12">
        <f>tItens[[#This Row],[Valor]]*(1-tItens[[#This Row],[Desconto]])</f>
        <v>90.935882684715182</v>
      </c>
      <c r="N3103" t="str">
        <f>IFERROR(INDEX(tProdutos[Foco],MATCH(tItens[[#This Row],[Produto]],tProdutos[Produto],0)),"Não")</f>
        <v>Não</v>
      </c>
      <c r="O3103" t="str">
        <f>IFERROR(INDEX(tEditais[SRP],MATCH(tItens[[#This Row],[Edital]],tEditais[Edital],0)),"Não")</f>
        <v>Sim</v>
      </c>
      <c r="P3103" s="4">
        <f>IF(COUNTIFS(INDEX(tItens[Edital],1):tItens[[#This Row],[Edital]],tItens[[#This Row],[Edital]],INDEX(tItens[Produto],1):tItens[[#This Row],[Produto]],tItens[[#This Row],[Produto]])=1,1,0)</f>
        <v>0</v>
      </c>
    </row>
    <row r="3104" spans="1:16" x14ac:dyDescent="0.25">
      <c r="A3104" t="s">
        <v>1402</v>
      </c>
      <c r="B3104">
        <v>5</v>
      </c>
      <c r="C3104" t="s">
        <v>6010</v>
      </c>
      <c r="D3104" t="s">
        <v>315</v>
      </c>
      <c r="E3104" s="13">
        <v>50</v>
      </c>
      <c r="F3104" s="12">
        <v>13.93</v>
      </c>
      <c r="G3104" t="str">
        <f>IFERROR(INDEX(tEditais[Órgão],MATCH(tItens[[#This Row],[Edital]],tEditais[Edital],0)),"")</f>
        <v>MUNICIPIO DE BANDEIRA DO SUL</v>
      </c>
      <c r="H3104" t="str">
        <f>IFERROR(INDEX(tEditais[UF],MATCH(tItens[[#This Row],[Edital]],tEditais[Edital],0)),"")</f>
        <v>MG</v>
      </c>
      <c r="I3104" s="11">
        <f>IFERROR(INDEX(tEditais[Encerramento],MATCH(tItens[[#This Row],[Edital]],tEditais[Edital],0)),"")</f>
        <v>46308.458333333336</v>
      </c>
      <c r="J3104" t="str">
        <f>IFERROR(INDEX(tProdutos[Classe],MATCH(tItens[[#This Row],[Produto]],tProdutos[Produto],0)),"produto não cadastrado")</f>
        <v>FORA</v>
      </c>
      <c r="K3104" s="12">
        <f>tItens[[#This Row],[Qtd]]*tItens[[#This Row],[Vlr unit]]</f>
        <v>696.5</v>
      </c>
      <c r="L3104" s="6">
        <f>IFERROR(IF(INDEX(tProdutos[Desconto homologado],MATCH(tItens[[#This Row],[Produto]],tProdutos[Produto],0))="",DescontoPadrao,INDEX(tProdutos[Desconto homologado],MATCH(tItens[[#This Row],[Produto]],tProdutos[Produto],0))),DescontoPadrao)</f>
        <v>0.38432036097010702</v>
      </c>
      <c r="M3104" s="12">
        <f>tItens[[#This Row],[Valor]]*(1-tItens[[#This Row],[Desconto]])</f>
        <v>428.82086858432046</v>
      </c>
      <c r="N3104" t="str">
        <f>IFERROR(INDEX(tProdutos[Foco],MATCH(tItens[[#This Row],[Produto]],tProdutos[Produto],0)),"Não")</f>
        <v>Não</v>
      </c>
      <c r="O3104" t="str">
        <f>IFERROR(INDEX(tEditais[SRP],MATCH(tItens[[#This Row],[Edital]],tEditais[Edital],0)),"Não")</f>
        <v>Sim</v>
      </c>
      <c r="P3104" s="4">
        <f>IF(COUNTIFS(INDEX(tItens[Edital],1):tItens[[#This Row],[Edital]],tItens[[#This Row],[Edital]],INDEX(tItens[Produto],1):tItens[[#This Row],[Produto]],tItens[[#This Row],[Produto]])=1,1,0)</f>
        <v>0</v>
      </c>
    </row>
    <row r="3105" spans="1:16" x14ac:dyDescent="0.25">
      <c r="A3105" t="s">
        <v>1402</v>
      </c>
      <c r="B3105">
        <v>6</v>
      </c>
      <c r="C3105" t="s">
        <v>6011</v>
      </c>
      <c r="D3105" t="s">
        <v>315</v>
      </c>
      <c r="E3105" s="13">
        <v>20</v>
      </c>
      <c r="F3105" s="12">
        <v>16.25</v>
      </c>
      <c r="G3105" t="str">
        <f>IFERROR(INDEX(tEditais[Órgão],MATCH(tItens[[#This Row],[Edital]],tEditais[Edital],0)),"")</f>
        <v>MUNICIPIO DE BANDEIRA DO SUL</v>
      </c>
      <c r="H3105" t="str">
        <f>IFERROR(INDEX(tEditais[UF],MATCH(tItens[[#This Row],[Edital]],tEditais[Edital],0)),"")</f>
        <v>MG</v>
      </c>
      <c r="I3105" s="11">
        <f>IFERROR(INDEX(tEditais[Encerramento],MATCH(tItens[[#This Row],[Edital]],tEditais[Edital],0)),"")</f>
        <v>46308.458333333336</v>
      </c>
      <c r="J3105" t="str">
        <f>IFERROR(INDEX(tProdutos[Classe],MATCH(tItens[[#This Row],[Produto]],tProdutos[Produto],0)),"produto não cadastrado")</f>
        <v>FORA</v>
      </c>
      <c r="K3105" s="12">
        <f>tItens[[#This Row],[Qtd]]*tItens[[#This Row],[Vlr unit]]</f>
        <v>325</v>
      </c>
      <c r="L3105" s="6">
        <f>IFERROR(IF(INDEX(tProdutos[Desconto homologado],MATCH(tItens[[#This Row],[Produto]],tProdutos[Produto],0))="",DescontoPadrao,INDEX(tProdutos[Desconto homologado],MATCH(tItens[[#This Row],[Produto]],tProdutos[Produto],0))),DescontoPadrao)</f>
        <v>0.38432036097010702</v>
      </c>
      <c r="M3105" s="12">
        <f>tItens[[#This Row],[Valor]]*(1-tItens[[#This Row],[Desconto]])</f>
        <v>200.09588268471521</v>
      </c>
      <c r="N3105" t="str">
        <f>IFERROR(INDEX(tProdutos[Foco],MATCH(tItens[[#This Row],[Produto]],tProdutos[Produto],0)),"Não")</f>
        <v>Não</v>
      </c>
      <c r="O3105" t="str">
        <f>IFERROR(INDEX(tEditais[SRP],MATCH(tItens[[#This Row],[Edital]],tEditais[Edital],0)),"Não")</f>
        <v>Sim</v>
      </c>
      <c r="P3105" s="4">
        <f>IF(COUNTIFS(INDEX(tItens[Edital],1):tItens[[#This Row],[Edital]],tItens[[#This Row],[Edital]],INDEX(tItens[Produto],1):tItens[[#This Row],[Produto]],tItens[[#This Row],[Produto]])=1,1,0)</f>
        <v>0</v>
      </c>
    </row>
    <row r="3106" spans="1:16" x14ac:dyDescent="0.25">
      <c r="A3106" t="s">
        <v>1402</v>
      </c>
      <c r="B3106">
        <v>16</v>
      </c>
      <c r="C3106" t="s">
        <v>6012</v>
      </c>
      <c r="D3106" t="s">
        <v>351</v>
      </c>
      <c r="E3106" s="13">
        <v>500</v>
      </c>
      <c r="F3106" s="12">
        <v>9.82</v>
      </c>
      <c r="G3106" t="str">
        <f>IFERROR(INDEX(tEditais[Órgão],MATCH(tItens[[#This Row],[Edital]],tEditais[Edital],0)),"")</f>
        <v>MUNICIPIO DE BANDEIRA DO SUL</v>
      </c>
      <c r="H3106" t="str">
        <f>IFERROR(INDEX(tEditais[UF],MATCH(tItens[[#This Row],[Edital]],tEditais[Edital],0)),"")</f>
        <v>MG</v>
      </c>
      <c r="I3106" s="11">
        <f>IFERROR(INDEX(tEditais[Encerramento],MATCH(tItens[[#This Row],[Edital]],tEditais[Edital],0)),"")</f>
        <v>46308.458333333336</v>
      </c>
      <c r="J3106" t="str">
        <f>IFERROR(INDEX(tProdutos[Classe],MATCH(tItens[[#This Row],[Produto]],tProdutos[Produto],0)),"produto não cadastrado")</f>
        <v>FORA</v>
      </c>
      <c r="K3106" s="12">
        <f>tItens[[#This Row],[Qtd]]*tItens[[#This Row],[Vlr unit]]</f>
        <v>4910</v>
      </c>
      <c r="L3106" s="6">
        <f>IFERROR(IF(INDEX(tProdutos[Desconto homologado],MATCH(tItens[[#This Row],[Produto]],tProdutos[Produto],0))="",DescontoPadrao,INDEX(tProdutos[Desconto homologado],MATCH(tItens[[#This Row],[Produto]],tProdutos[Produto],0))),DescontoPadrao)</f>
        <v>0.33518005540166201</v>
      </c>
      <c r="M3106" s="12">
        <f>tItens[[#This Row],[Valor]]*(1-tItens[[#This Row],[Desconto]])</f>
        <v>3264.26592797784</v>
      </c>
      <c r="N3106" t="str">
        <f>IFERROR(INDEX(tProdutos[Foco],MATCH(tItens[[#This Row],[Produto]],tProdutos[Produto],0)),"Não")</f>
        <v>Não</v>
      </c>
      <c r="O3106" t="str">
        <f>IFERROR(INDEX(tEditais[SRP],MATCH(tItens[[#This Row],[Edital]],tEditais[Edital],0)),"Não")</f>
        <v>Sim</v>
      </c>
      <c r="P3106" s="4">
        <f>IF(COUNTIFS(INDEX(tItens[Edital],1):tItens[[#This Row],[Edital]],tItens[[#This Row],[Edital]],INDEX(tItens[Produto],1):tItens[[#This Row],[Produto]],tItens[[#This Row],[Produto]])=1,1,0)</f>
        <v>1</v>
      </c>
    </row>
    <row r="3107" spans="1:16" x14ac:dyDescent="0.25">
      <c r="A3107" t="s">
        <v>1402</v>
      </c>
      <c r="B3107">
        <v>17</v>
      </c>
      <c r="C3107" t="s">
        <v>6012</v>
      </c>
      <c r="D3107" t="s">
        <v>351</v>
      </c>
      <c r="E3107" s="13">
        <v>500</v>
      </c>
      <c r="F3107" s="12">
        <v>13.59</v>
      </c>
      <c r="G3107" t="str">
        <f>IFERROR(INDEX(tEditais[Órgão],MATCH(tItens[[#This Row],[Edital]],tEditais[Edital],0)),"")</f>
        <v>MUNICIPIO DE BANDEIRA DO SUL</v>
      </c>
      <c r="H3107" t="str">
        <f>IFERROR(INDEX(tEditais[UF],MATCH(tItens[[#This Row],[Edital]],tEditais[Edital],0)),"")</f>
        <v>MG</v>
      </c>
      <c r="I3107" s="11">
        <f>IFERROR(INDEX(tEditais[Encerramento],MATCH(tItens[[#This Row],[Edital]],tEditais[Edital],0)),"")</f>
        <v>46308.458333333336</v>
      </c>
      <c r="J3107" t="str">
        <f>IFERROR(INDEX(tProdutos[Classe],MATCH(tItens[[#This Row],[Produto]],tProdutos[Produto],0)),"produto não cadastrado")</f>
        <v>FORA</v>
      </c>
      <c r="K3107" s="12">
        <f>tItens[[#This Row],[Qtd]]*tItens[[#This Row],[Vlr unit]]</f>
        <v>6795</v>
      </c>
      <c r="L3107" s="6">
        <f>IFERROR(IF(INDEX(tProdutos[Desconto homologado],MATCH(tItens[[#This Row],[Produto]],tProdutos[Produto],0))="",DescontoPadrao,INDEX(tProdutos[Desconto homologado],MATCH(tItens[[#This Row],[Produto]],tProdutos[Produto],0))),DescontoPadrao)</f>
        <v>0.33518005540166201</v>
      </c>
      <c r="M3107" s="12">
        <f>tItens[[#This Row],[Valor]]*(1-tItens[[#This Row],[Desconto]])</f>
        <v>4517.4515235457066</v>
      </c>
      <c r="N3107" t="str">
        <f>IFERROR(INDEX(tProdutos[Foco],MATCH(tItens[[#This Row],[Produto]],tProdutos[Produto],0)),"Não")</f>
        <v>Não</v>
      </c>
      <c r="O3107" t="str">
        <f>IFERROR(INDEX(tEditais[SRP],MATCH(tItens[[#This Row],[Edital]],tEditais[Edital],0)),"Não")</f>
        <v>Sim</v>
      </c>
      <c r="P3107" s="4">
        <f>IF(COUNTIFS(INDEX(tItens[Edital],1):tItens[[#This Row],[Edital]],tItens[[#This Row],[Edital]],INDEX(tItens[Produto],1):tItens[[#This Row],[Produto]],tItens[[#This Row],[Produto]])=1,1,0)</f>
        <v>0</v>
      </c>
    </row>
    <row r="3108" spans="1:16" x14ac:dyDescent="0.25">
      <c r="A3108" t="s">
        <v>1402</v>
      </c>
      <c r="B3108">
        <v>18</v>
      </c>
      <c r="C3108" t="s">
        <v>6013</v>
      </c>
      <c r="D3108" t="s">
        <v>351</v>
      </c>
      <c r="E3108" s="13">
        <v>500</v>
      </c>
      <c r="F3108" s="12">
        <v>15.96</v>
      </c>
      <c r="G3108" t="str">
        <f>IFERROR(INDEX(tEditais[Órgão],MATCH(tItens[[#This Row],[Edital]],tEditais[Edital],0)),"")</f>
        <v>MUNICIPIO DE BANDEIRA DO SUL</v>
      </c>
      <c r="H3108" t="str">
        <f>IFERROR(INDEX(tEditais[UF],MATCH(tItens[[#This Row],[Edital]],tEditais[Edital],0)),"")</f>
        <v>MG</v>
      </c>
      <c r="I3108" s="11">
        <f>IFERROR(INDEX(tEditais[Encerramento],MATCH(tItens[[#This Row],[Edital]],tEditais[Edital],0)),"")</f>
        <v>46308.458333333336</v>
      </c>
      <c r="J3108" t="str">
        <f>IFERROR(INDEX(tProdutos[Classe],MATCH(tItens[[#This Row],[Produto]],tProdutos[Produto],0)),"produto não cadastrado")</f>
        <v>FORA</v>
      </c>
      <c r="K3108" s="12">
        <f>tItens[[#This Row],[Qtd]]*tItens[[#This Row],[Vlr unit]]</f>
        <v>7980</v>
      </c>
      <c r="L3108" s="6">
        <f>IFERROR(IF(INDEX(tProdutos[Desconto homologado],MATCH(tItens[[#This Row],[Produto]],tProdutos[Produto],0))="",DescontoPadrao,INDEX(tProdutos[Desconto homologado],MATCH(tItens[[#This Row],[Produto]],tProdutos[Produto],0))),DescontoPadrao)</f>
        <v>0.33518005540166201</v>
      </c>
      <c r="M3108" s="12">
        <f>tItens[[#This Row],[Valor]]*(1-tItens[[#This Row],[Desconto]])</f>
        <v>5305.2631578947376</v>
      </c>
      <c r="N3108" t="str">
        <f>IFERROR(INDEX(tProdutos[Foco],MATCH(tItens[[#This Row],[Produto]],tProdutos[Produto],0)),"Não")</f>
        <v>Não</v>
      </c>
      <c r="O3108" t="str">
        <f>IFERROR(INDEX(tEditais[SRP],MATCH(tItens[[#This Row],[Edital]],tEditais[Edital],0)),"Não")</f>
        <v>Sim</v>
      </c>
      <c r="P3108" s="4">
        <f>IF(COUNTIFS(INDEX(tItens[Edital],1):tItens[[#This Row],[Edital]],tItens[[#This Row],[Edital]],INDEX(tItens[Produto],1):tItens[[#This Row],[Produto]],tItens[[#This Row],[Produto]])=1,1,0)</f>
        <v>0</v>
      </c>
    </row>
    <row r="3109" spans="1:16" x14ac:dyDescent="0.25">
      <c r="A3109" t="s">
        <v>1402</v>
      </c>
      <c r="B3109">
        <v>19</v>
      </c>
      <c r="C3109" t="s">
        <v>6014</v>
      </c>
      <c r="D3109" t="s">
        <v>351</v>
      </c>
      <c r="E3109" s="13">
        <v>250</v>
      </c>
      <c r="F3109" s="12">
        <v>21.65</v>
      </c>
      <c r="G3109" t="str">
        <f>IFERROR(INDEX(tEditais[Órgão],MATCH(tItens[[#This Row],[Edital]],tEditais[Edital],0)),"")</f>
        <v>MUNICIPIO DE BANDEIRA DO SUL</v>
      </c>
      <c r="H3109" t="str">
        <f>IFERROR(INDEX(tEditais[UF],MATCH(tItens[[#This Row],[Edital]],tEditais[Edital],0)),"")</f>
        <v>MG</v>
      </c>
      <c r="I3109" s="11">
        <f>IFERROR(INDEX(tEditais[Encerramento],MATCH(tItens[[#This Row],[Edital]],tEditais[Edital],0)),"")</f>
        <v>46308.458333333336</v>
      </c>
      <c r="J3109" t="str">
        <f>IFERROR(INDEX(tProdutos[Classe],MATCH(tItens[[#This Row],[Produto]],tProdutos[Produto],0)),"produto não cadastrado")</f>
        <v>FORA</v>
      </c>
      <c r="K3109" s="12">
        <f>tItens[[#This Row],[Qtd]]*tItens[[#This Row],[Vlr unit]]</f>
        <v>5412.5</v>
      </c>
      <c r="L3109" s="6">
        <f>IFERROR(IF(INDEX(tProdutos[Desconto homologado],MATCH(tItens[[#This Row],[Produto]],tProdutos[Produto],0))="",DescontoPadrao,INDEX(tProdutos[Desconto homologado],MATCH(tItens[[#This Row],[Produto]],tProdutos[Produto],0))),DescontoPadrao)</f>
        <v>0.33518005540166201</v>
      </c>
      <c r="M3109" s="12">
        <f>tItens[[#This Row],[Valor]]*(1-tItens[[#This Row],[Desconto]])</f>
        <v>3598.3379501385048</v>
      </c>
      <c r="N3109" t="str">
        <f>IFERROR(INDEX(tProdutos[Foco],MATCH(tItens[[#This Row],[Produto]],tProdutos[Produto],0)),"Não")</f>
        <v>Não</v>
      </c>
      <c r="O3109" t="str">
        <f>IFERROR(INDEX(tEditais[SRP],MATCH(tItens[[#This Row],[Edital]],tEditais[Edital],0)),"Não")</f>
        <v>Sim</v>
      </c>
      <c r="P3109" s="4">
        <f>IF(COUNTIFS(INDEX(tItens[Edital],1):tItens[[#This Row],[Edital]],tItens[[#This Row],[Edital]],INDEX(tItens[Produto],1):tItens[[#This Row],[Produto]],tItens[[#This Row],[Produto]])=1,1,0)</f>
        <v>0</v>
      </c>
    </row>
    <row r="3110" spans="1:16" x14ac:dyDescent="0.25">
      <c r="A3110" t="s">
        <v>1402</v>
      </c>
      <c r="B3110">
        <v>23</v>
      </c>
      <c r="C3110" t="s">
        <v>6015</v>
      </c>
      <c r="D3110" t="s">
        <v>132</v>
      </c>
      <c r="E3110" s="13">
        <v>10</v>
      </c>
      <c r="F3110" s="12">
        <v>55.84</v>
      </c>
      <c r="G3110" t="str">
        <f>IFERROR(INDEX(tEditais[Órgão],MATCH(tItens[[#This Row],[Edital]],tEditais[Edital],0)),"")</f>
        <v>MUNICIPIO DE BANDEIRA DO SUL</v>
      </c>
      <c r="H3110" t="str">
        <f>IFERROR(INDEX(tEditais[UF],MATCH(tItens[[#This Row],[Edital]],tEditais[Edital],0)),"")</f>
        <v>MG</v>
      </c>
      <c r="I3110" s="11">
        <f>IFERROR(INDEX(tEditais[Encerramento],MATCH(tItens[[#This Row],[Edital]],tEditais[Edital],0)),"")</f>
        <v>46308.458333333336</v>
      </c>
      <c r="J3110" t="str">
        <f>IFERROR(INDEX(tProdutos[Classe],MATCH(tItens[[#This Row],[Produto]],tProdutos[Produto],0)),"produto não cadastrado")</f>
        <v>NÚCLEO</v>
      </c>
      <c r="K3110" s="12">
        <f>tItens[[#This Row],[Qtd]]*tItens[[#This Row],[Vlr unit]]</f>
        <v>558.40000000000009</v>
      </c>
      <c r="L3110" s="6">
        <f>IFERROR(IF(INDEX(tProdutos[Desconto homologado],MATCH(tItens[[#This Row],[Produto]],tProdutos[Produto],0))="",DescontoPadrao,INDEX(tProdutos[Desconto homologado],MATCH(tItens[[#This Row],[Produto]],tProdutos[Produto],0))),DescontoPadrao)</f>
        <v>0.27</v>
      </c>
      <c r="M3110" s="12">
        <f>tItens[[#This Row],[Valor]]*(1-tItens[[#This Row],[Desconto]])</f>
        <v>407.63200000000006</v>
      </c>
      <c r="N3110" t="str">
        <f>IFERROR(INDEX(tProdutos[Foco],MATCH(tItens[[#This Row],[Produto]],tProdutos[Produto],0)),"Não")</f>
        <v>Sim</v>
      </c>
      <c r="O3110" t="str">
        <f>IFERROR(INDEX(tEditais[SRP],MATCH(tItens[[#This Row],[Edital]],tEditais[Edital],0)),"Não")</f>
        <v>Sim</v>
      </c>
      <c r="P3110" s="4">
        <f>IF(COUNTIFS(INDEX(tItens[Edital],1):tItens[[#This Row],[Edital]],tItens[[#This Row],[Edital]],INDEX(tItens[Produto],1):tItens[[#This Row],[Produto]],tItens[[#This Row],[Produto]])=1,1,0)</f>
        <v>1</v>
      </c>
    </row>
    <row r="3111" spans="1:16" x14ac:dyDescent="0.25">
      <c r="A3111" t="s">
        <v>1402</v>
      </c>
      <c r="B3111">
        <v>24</v>
      </c>
      <c r="C3111" t="s">
        <v>6016</v>
      </c>
      <c r="D3111" t="s">
        <v>569</v>
      </c>
      <c r="E3111" s="13">
        <v>10</v>
      </c>
      <c r="F3111" s="12">
        <v>137.43</v>
      </c>
      <c r="G3111" t="str">
        <f>IFERROR(INDEX(tEditais[Órgão],MATCH(tItens[[#This Row],[Edital]],tEditais[Edital],0)),"")</f>
        <v>MUNICIPIO DE BANDEIRA DO SUL</v>
      </c>
      <c r="H3111" t="str">
        <f>IFERROR(INDEX(tEditais[UF],MATCH(tItens[[#This Row],[Edital]],tEditais[Edital],0)),"")</f>
        <v>MG</v>
      </c>
      <c r="I3111" s="11">
        <f>IFERROR(INDEX(tEditais[Encerramento],MATCH(tItens[[#This Row],[Edital]],tEditais[Edital],0)),"")</f>
        <v>46308.458333333336</v>
      </c>
      <c r="J3111" t="str">
        <f>IFERROR(INDEX(tProdutos[Classe],MATCH(tItens[[#This Row],[Produto]],tProdutos[Produto],0)),"produto não cadastrado")</f>
        <v>FILA REBASE</v>
      </c>
      <c r="K3111" s="12">
        <f>tItens[[#This Row],[Qtd]]*tItens[[#This Row],[Vlr unit]]</f>
        <v>1374.3000000000002</v>
      </c>
      <c r="L3111" s="6">
        <f>IFERROR(IF(INDEX(tProdutos[Desconto homologado],MATCH(tItens[[#This Row],[Produto]],tProdutos[Produto],0))="",DescontoPadrao,INDEX(tProdutos[Desconto homologado],MATCH(tItens[[#This Row],[Produto]],tProdutos[Produto],0))),DescontoPadrao)</f>
        <v>0.3</v>
      </c>
      <c r="M3111" s="12">
        <f>tItens[[#This Row],[Valor]]*(1-tItens[[#This Row],[Desconto]])</f>
        <v>962.0100000000001</v>
      </c>
      <c r="N3111" t="str">
        <f>IFERROR(INDEX(tProdutos[Foco],MATCH(tItens[[#This Row],[Produto]],tProdutos[Produto],0)),"Não")</f>
        <v>Não</v>
      </c>
      <c r="O3111" t="str">
        <f>IFERROR(INDEX(tEditais[SRP],MATCH(tItens[[#This Row],[Edital]],tEditais[Edital],0)),"Não")</f>
        <v>Sim</v>
      </c>
      <c r="P3111" s="4">
        <f>IF(COUNTIFS(INDEX(tItens[Edital],1):tItens[[#This Row],[Edital]],tItens[[#This Row],[Edital]],INDEX(tItens[Produto],1):tItens[[#This Row],[Produto]],tItens[[#This Row],[Produto]])=1,1,0)</f>
        <v>1</v>
      </c>
    </row>
    <row r="3112" spans="1:16" x14ac:dyDescent="0.25">
      <c r="A3112" t="s">
        <v>1402</v>
      </c>
      <c r="B3112">
        <v>25</v>
      </c>
      <c r="C3112" t="s">
        <v>6017</v>
      </c>
      <c r="D3112" t="s">
        <v>641</v>
      </c>
      <c r="E3112" s="13">
        <v>10</v>
      </c>
      <c r="F3112" s="12">
        <v>51.88</v>
      </c>
      <c r="G3112" t="str">
        <f>IFERROR(INDEX(tEditais[Órgão],MATCH(tItens[[#This Row],[Edital]],tEditais[Edital],0)),"")</f>
        <v>MUNICIPIO DE BANDEIRA DO SUL</v>
      </c>
      <c r="H3112" t="str">
        <f>IFERROR(INDEX(tEditais[UF],MATCH(tItens[[#This Row],[Edital]],tEditais[Edital],0)),"")</f>
        <v>MG</v>
      </c>
      <c r="I3112" s="11">
        <f>IFERROR(INDEX(tEditais[Encerramento],MATCH(tItens[[#This Row],[Edital]],tEditais[Edital],0)),"")</f>
        <v>46308.458333333336</v>
      </c>
      <c r="J3112" t="str">
        <f>IFERROR(INDEX(tProdutos[Classe],MATCH(tItens[[#This Row],[Produto]],tProdutos[Produto],0)),"produto não cadastrado")</f>
        <v>FILA REBASE</v>
      </c>
      <c r="K3112" s="12">
        <f>tItens[[#This Row],[Qtd]]*tItens[[#This Row],[Vlr unit]]</f>
        <v>518.80000000000007</v>
      </c>
      <c r="L3112" s="6">
        <f>IFERROR(IF(INDEX(tProdutos[Desconto homologado],MATCH(tItens[[#This Row],[Produto]],tProdutos[Produto],0))="",DescontoPadrao,INDEX(tProdutos[Desconto homologado],MATCH(tItens[[#This Row],[Produto]],tProdutos[Produto],0))),DescontoPadrao)</f>
        <v>0.3</v>
      </c>
      <c r="M3112" s="12">
        <f>tItens[[#This Row],[Valor]]*(1-tItens[[#This Row],[Desconto]])</f>
        <v>363.16</v>
      </c>
      <c r="N3112" t="str">
        <f>IFERROR(INDEX(tProdutos[Foco],MATCH(tItens[[#This Row],[Produto]],tProdutos[Produto],0)),"Não")</f>
        <v>Não</v>
      </c>
      <c r="O3112" t="str">
        <f>IFERROR(INDEX(tEditais[SRP],MATCH(tItens[[#This Row],[Edital]],tEditais[Edital],0)),"Não")</f>
        <v>Sim</v>
      </c>
      <c r="P3112" s="4">
        <f>IF(COUNTIFS(INDEX(tItens[Edital],1):tItens[[#This Row],[Edital]],tItens[[#This Row],[Edital]],INDEX(tItens[Produto],1):tItens[[#This Row],[Produto]],tItens[[#This Row],[Produto]])=1,1,0)</f>
        <v>1</v>
      </c>
    </row>
    <row r="3113" spans="1:16" x14ac:dyDescent="0.25">
      <c r="A3113" t="s">
        <v>1402</v>
      </c>
      <c r="B3113">
        <v>32</v>
      </c>
      <c r="C3113" t="s">
        <v>6018</v>
      </c>
      <c r="D3113" t="s">
        <v>62</v>
      </c>
      <c r="E3113" s="13">
        <v>200</v>
      </c>
      <c r="F3113" s="12">
        <v>7.63</v>
      </c>
      <c r="G3113" t="str">
        <f>IFERROR(INDEX(tEditais[Órgão],MATCH(tItens[[#This Row],[Edital]],tEditais[Edital],0)),"")</f>
        <v>MUNICIPIO DE BANDEIRA DO SUL</v>
      </c>
      <c r="H3113" t="str">
        <f>IFERROR(INDEX(tEditais[UF],MATCH(tItens[[#This Row],[Edital]],tEditais[Edital],0)),"")</f>
        <v>MG</v>
      </c>
      <c r="I3113" s="11">
        <f>IFERROR(INDEX(tEditais[Encerramento],MATCH(tItens[[#This Row],[Edital]],tEditais[Edital],0)),"")</f>
        <v>46308.458333333336</v>
      </c>
      <c r="J3113" t="str">
        <f>IFERROR(INDEX(tProdutos[Classe],MATCH(tItens[[#This Row],[Produto]],tProdutos[Produto],0)),"produto não cadastrado")</f>
        <v>NÚCLEO</v>
      </c>
      <c r="K3113" s="12">
        <f>tItens[[#This Row],[Qtd]]*tItens[[#This Row],[Vlr unit]]</f>
        <v>1526</v>
      </c>
      <c r="L3113" s="6">
        <f>IFERROR(IF(INDEX(tProdutos[Desconto homologado],MATCH(tItens[[#This Row],[Produto]],tProdutos[Produto],0))="",DescontoPadrao,INDEX(tProdutos[Desconto homologado],MATCH(tItens[[#This Row],[Produto]],tProdutos[Produto],0))),DescontoPadrao)</f>
        <v>0.3</v>
      </c>
      <c r="M3113" s="12">
        <f>tItens[[#This Row],[Valor]]*(1-tItens[[#This Row],[Desconto]])</f>
        <v>1068.2</v>
      </c>
      <c r="N3113" t="str">
        <f>IFERROR(INDEX(tProdutos[Foco],MATCH(tItens[[#This Row],[Produto]],tProdutos[Produto],0)),"Não")</f>
        <v>Sim</v>
      </c>
      <c r="O3113" t="str">
        <f>IFERROR(INDEX(tEditais[SRP],MATCH(tItens[[#This Row],[Edital]],tEditais[Edital],0)),"Não")</f>
        <v>Sim</v>
      </c>
      <c r="P3113" s="4">
        <f>IF(COUNTIFS(INDEX(tItens[Edital],1):tItens[[#This Row],[Edital]],tItens[[#This Row],[Edital]],INDEX(tItens[Produto],1):tItens[[#This Row],[Produto]],tItens[[#This Row],[Produto]])=1,1,0)</f>
        <v>1</v>
      </c>
    </row>
    <row r="3114" spans="1:16" x14ac:dyDescent="0.25">
      <c r="A3114" t="s">
        <v>1402</v>
      </c>
      <c r="B3114">
        <v>33</v>
      </c>
      <c r="C3114" t="s">
        <v>6019</v>
      </c>
      <c r="D3114" t="s">
        <v>124</v>
      </c>
      <c r="E3114" s="13">
        <v>100</v>
      </c>
      <c r="F3114" s="12">
        <v>55.07</v>
      </c>
      <c r="G3114" t="str">
        <f>IFERROR(INDEX(tEditais[Órgão],MATCH(tItens[[#This Row],[Edital]],tEditais[Edital],0)),"")</f>
        <v>MUNICIPIO DE BANDEIRA DO SUL</v>
      </c>
      <c r="H3114" t="str">
        <f>IFERROR(INDEX(tEditais[UF],MATCH(tItens[[#This Row],[Edital]],tEditais[Edital],0)),"")</f>
        <v>MG</v>
      </c>
      <c r="I3114" s="11">
        <f>IFERROR(INDEX(tEditais[Encerramento],MATCH(tItens[[#This Row],[Edital]],tEditais[Edital],0)),"")</f>
        <v>46308.458333333336</v>
      </c>
      <c r="J3114" t="str">
        <f>IFERROR(INDEX(tProdutos[Classe],MATCH(tItens[[#This Row],[Produto]],tProdutos[Produto],0)),"produto não cadastrado")</f>
        <v>DISPUTADO</v>
      </c>
      <c r="K3114" s="12">
        <f>tItens[[#This Row],[Qtd]]*tItens[[#This Row],[Vlr unit]]</f>
        <v>5507</v>
      </c>
      <c r="L3114" s="6">
        <f>IFERROR(IF(INDEX(tProdutos[Desconto homologado],MATCH(tItens[[#This Row],[Produto]],tProdutos[Produto],0))="",DescontoPadrao,INDEX(tProdutos[Desconto homologado],MATCH(tItens[[#This Row],[Produto]],tProdutos[Produto],0))),DescontoPadrao)</f>
        <v>0.34</v>
      </c>
      <c r="M3114" s="12">
        <f>tItens[[#This Row],[Valor]]*(1-tItens[[#This Row],[Desconto]])</f>
        <v>3634.6199999999994</v>
      </c>
      <c r="N3114" t="str">
        <f>IFERROR(INDEX(tProdutos[Foco],MATCH(tItens[[#This Row],[Produto]],tProdutos[Produto],0)),"Não")</f>
        <v>Sim</v>
      </c>
      <c r="O3114" t="str">
        <f>IFERROR(INDEX(tEditais[SRP],MATCH(tItens[[#This Row],[Edital]],tEditais[Edital],0)),"Não")</f>
        <v>Sim</v>
      </c>
      <c r="P3114" s="4">
        <f>IF(COUNTIFS(INDEX(tItens[Edital],1):tItens[[#This Row],[Edital]],tItens[[#This Row],[Edital]],INDEX(tItens[Produto],1):tItens[[#This Row],[Produto]],tItens[[#This Row],[Produto]])=1,1,0)</f>
        <v>1</v>
      </c>
    </row>
    <row r="3115" spans="1:16" x14ac:dyDescent="0.25">
      <c r="A3115" t="s">
        <v>1402</v>
      </c>
      <c r="B3115">
        <v>42</v>
      </c>
      <c r="C3115" t="s">
        <v>6020</v>
      </c>
      <c r="D3115" t="s">
        <v>423</v>
      </c>
      <c r="E3115" s="13">
        <v>4</v>
      </c>
      <c r="F3115" s="12">
        <v>24.33</v>
      </c>
      <c r="G3115" t="str">
        <f>IFERROR(INDEX(tEditais[Órgão],MATCH(tItens[[#This Row],[Edital]],tEditais[Edital],0)),"")</f>
        <v>MUNICIPIO DE BANDEIRA DO SUL</v>
      </c>
      <c r="H3115" t="str">
        <f>IFERROR(INDEX(tEditais[UF],MATCH(tItens[[#This Row],[Edital]],tEditais[Edital],0)),"")</f>
        <v>MG</v>
      </c>
      <c r="I3115" s="11">
        <f>IFERROR(INDEX(tEditais[Encerramento],MATCH(tItens[[#This Row],[Edital]],tEditais[Edital],0)),"")</f>
        <v>46308.458333333336</v>
      </c>
      <c r="J3115" t="str">
        <f>IFERROR(INDEX(tProdutos[Classe],MATCH(tItens[[#This Row],[Produto]],tProdutos[Produto],0)),"produto não cadastrado")</f>
        <v>FORA</v>
      </c>
      <c r="K3115" s="12">
        <f>tItens[[#This Row],[Qtd]]*tItens[[#This Row],[Vlr unit]]</f>
        <v>97.32</v>
      </c>
      <c r="L3115" s="6">
        <f>IFERROR(IF(INDEX(tProdutos[Desconto homologado],MATCH(tItens[[#This Row],[Produto]],tProdutos[Produto],0))="",DescontoPadrao,INDEX(tProdutos[Desconto homologado],MATCH(tItens[[#This Row],[Produto]],tProdutos[Produto],0))),DescontoPadrao)</f>
        <v>0.38271604938271597</v>
      </c>
      <c r="M3115" s="12">
        <f>tItens[[#This Row],[Valor]]*(1-tItens[[#This Row],[Desconto]])</f>
        <v>60.074074074074076</v>
      </c>
      <c r="N3115" t="str">
        <f>IFERROR(INDEX(tProdutos[Foco],MATCH(tItens[[#This Row],[Produto]],tProdutos[Produto],0)),"Não")</f>
        <v>Não</v>
      </c>
      <c r="O3115" t="str">
        <f>IFERROR(INDEX(tEditais[SRP],MATCH(tItens[[#This Row],[Edital]],tEditais[Edital],0)),"Não")</f>
        <v>Sim</v>
      </c>
      <c r="P3115" s="4">
        <f>IF(COUNTIFS(INDEX(tItens[Edital],1):tItens[[#This Row],[Edital]],tItens[[#This Row],[Edital]],INDEX(tItens[Produto],1):tItens[[#This Row],[Produto]],tItens[[#This Row],[Produto]])=1,1,0)</f>
        <v>1</v>
      </c>
    </row>
    <row r="3116" spans="1:16" x14ac:dyDescent="0.25">
      <c r="A3116" t="s">
        <v>1402</v>
      </c>
      <c r="B3116">
        <v>43</v>
      </c>
      <c r="C3116" t="s">
        <v>6021</v>
      </c>
      <c r="D3116" t="s">
        <v>421</v>
      </c>
      <c r="E3116" s="13">
        <v>4</v>
      </c>
      <c r="F3116" s="12">
        <v>30.87</v>
      </c>
      <c r="G3116" t="str">
        <f>IFERROR(INDEX(tEditais[Órgão],MATCH(tItens[[#This Row],[Edital]],tEditais[Edital],0)),"")</f>
        <v>MUNICIPIO DE BANDEIRA DO SUL</v>
      </c>
      <c r="H3116" t="str">
        <f>IFERROR(INDEX(tEditais[UF],MATCH(tItens[[#This Row],[Edital]],tEditais[Edital],0)),"")</f>
        <v>MG</v>
      </c>
      <c r="I3116" s="11">
        <f>IFERROR(INDEX(tEditais[Encerramento],MATCH(tItens[[#This Row],[Edital]],tEditais[Edital],0)),"")</f>
        <v>46308.458333333336</v>
      </c>
      <c r="J3116" t="str">
        <f>IFERROR(INDEX(tProdutos[Classe],MATCH(tItens[[#This Row],[Produto]],tProdutos[Produto],0)),"produto não cadastrado")</f>
        <v>FORA</v>
      </c>
      <c r="K3116" s="12">
        <f>tItens[[#This Row],[Qtd]]*tItens[[#This Row],[Vlr unit]]</f>
        <v>123.48</v>
      </c>
      <c r="L3116" s="6">
        <f>IFERROR(IF(INDEX(tProdutos[Desconto homologado],MATCH(tItens[[#This Row],[Produto]],tProdutos[Produto],0))="",DescontoPadrao,INDEX(tProdutos[Desconto homologado],MATCH(tItens[[#This Row],[Produto]],tProdutos[Produto],0))),DescontoPadrao)</f>
        <v>0.43</v>
      </c>
      <c r="M3116" s="12">
        <f>tItens[[#This Row],[Valor]]*(1-tItens[[#This Row],[Desconto]])</f>
        <v>70.383600000000015</v>
      </c>
      <c r="N3116" t="str">
        <f>IFERROR(INDEX(tProdutos[Foco],MATCH(tItens[[#This Row],[Produto]],tProdutos[Produto],0)),"Não")</f>
        <v>Sim</v>
      </c>
      <c r="O3116" t="str">
        <f>IFERROR(INDEX(tEditais[SRP],MATCH(tItens[[#This Row],[Edital]],tEditais[Edital],0)),"Não")</f>
        <v>Sim</v>
      </c>
      <c r="P3116" s="4">
        <f>IF(COUNTIFS(INDEX(tItens[Edital],1):tItens[[#This Row],[Edital]],tItens[[#This Row],[Edital]],INDEX(tItens[Produto],1):tItens[[#This Row],[Produto]],tItens[[#This Row],[Produto]])=1,1,0)</f>
        <v>1</v>
      </c>
    </row>
    <row r="3117" spans="1:16" x14ac:dyDescent="0.25">
      <c r="A3117" t="s">
        <v>1402</v>
      </c>
      <c r="B3117">
        <v>44</v>
      </c>
      <c r="C3117" t="s">
        <v>6022</v>
      </c>
      <c r="D3117" t="s">
        <v>96</v>
      </c>
      <c r="E3117" s="13">
        <v>10</v>
      </c>
      <c r="F3117" s="12">
        <v>33.56</v>
      </c>
      <c r="G3117" t="str">
        <f>IFERROR(INDEX(tEditais[Órgão],MATCH(tItens[[#This Row],[Edital]],tEditais[Edital],0)),"")</f>
        <v>MUNICIPIO DE BANDEIRA DO SUL</v>
      </c>
      <c r="H3117" t="str">
        <f>IFERROR(INDEX(tEditais[UF],MATCH(tItens[[#This Row],[Edital]],tEditais[Edital],0)),"")</f>
        <v>MG</v>
      </c>
      <c r="I3117" s="11">
        <f>IFERROR(INDEX(tEditais[Encerramento],MATCH(tItens[[#This Row],[Edital]],tEditais[Edital],0)),"")</f>
        <v>46308.458333333336</v>
      </c>
      <c r="J3117" t="str">
        <f>IFERROR(INDEX(tProdutos[Classe],MATCH(tItens[[#This Row],[Produto]],tProdutos[Produto],0)),"produto não cadastrado")</f>
        <v>NÚCLEO</v>
      </c>
      <c r="K3117" s="12">
        <f>tItens[[#This Row],[Qtd]]*tItens[[#This Row],[Vlr unit]]</f>
        <v>335.6</v>
      </c>
      <c r="L3117" s="6">
        <f>IFERROR(IF(INDEX(tProdutos[Desconto homologado],MATCH(tItens[[#This Row],[Produto]],tProdutos[Produto],0))="",DescontoPadrao,INDEX(tProdutos[Desconto homologado],MATCH(tItens[[#This Row],[Produto]],tProdutos[Produto],0))),DescontoPadrao)</f>
        <v>0.23886411318649201</v>
      </c>
      <c r="M3117" s="12">
        <f>tItens[[#This Row],[Valor]]*(1-tItens[[#This Row],[Desconto]])</f>
        <v>255.43720361461328</v>
      </c>
      <c r="N3117" t="str">
        <f>IFERROR(INDEX(tProdutos[Foco],MATCH(tItens[[#This Row],[Produto]],tProdutos[Produto],0)),"Não")</f>
        <v>Não</v>
      </c>
      <c r="O3117" t="str">
        <f>IFERROR(INDEX(tEditais[SRP],MATCH(tItens[[#This Row],[Edital]],tEditais[Edital],0)),"Não")</f>
        <v>Sim</v>
      </c>
      <c r="P3117" s="4">
        <f>IF(COUNTIFS(INDEX(tItens[Edital],1):tItens[[#This Row],[Edital]],tItens[[#This Row],[Edital]],INDEX(tItens[Produto],1):tItens[[#This Row],[Produto]],tItens[[#This Row],[Produto]])=1,1,0)</f>
        <v>1</v>
      </c>
    </row>
    <row r="3118" spans="1:16" x14ac:dyDescent="0.25">
      <c r="A3118" t="s">
        <v>1402</v>
      </c>
      <c r="B3118">
        <v>49</v>
      </c>
      <c r="C3118" t="s">
        <v>6023</v>
      </c>
      <c r="D3118" t="s">
        <v>409</v>
      </c>
      <c r="E3118" s="13">
        <v>100</v>
      </c>
      <c r="F3118" s="12">
        <v>4.7699999999999996</v>
      </c>
      <c r="G3118" t="str">
        <f>IFERROR(INDEX(tEditais[Órgão],MATCH(tItens[[#This Row],[Edital]],tEditais[Edital],0)),"")</f>
        <v>MUNICIPIO DE BANDEIRA DO SUL</v>
      </c>
      <c r="H3118" t="str">
        <f>IFERROR(INDEX(tEditais[UF],MATCH(tItens[[#This Row],[Edital]],tEditais[Edital],0)),"")</f>
        <v>MG</v>
      </c>
      <c r="I3118" s="11">
        <f>IFERROR(INDEX(tEditais[Encerramento],MATCH(tItens[[#This Row],[Edital]],tEditais[Edital],0)),"")</f>
        <v>46308.458333333336</v>
      </c>
      <c r="J3118" t="str">
        <f>IFERROR(INDEX(tProdutos[Classe],MATCH(tItens[[#This Row],[Produto]],tProdutos[Produto],0)),"produto não cadastrado")</f>
        <v>FORA</v>
      </c>
      <c r="K3118" s="12">
        <f>tItens[[#This Row],[Qtd]]*tItens[[#This Row],[Vlr unit]]</f>
        <v>476.99999999999994</v>
      </c>
      <c r="L3118" s="6">
        <f>IFERROR(IF(INDEX(tProdutos[Desconto homologado],MATCH(tItens[[#This Row],[Produto]],tProdutos[Produto],0))="",DescontoPadrao,INDEX(tProdutos[Desconto homologado],MATCH(tItens[[#This Row],[Produto]],tProdutos[Produto],0))),DescontoPadrao)</f>
        <v>0.24924924924924899</v>
      </c>
      <c r="M3118" s="12">
        <f>tItens[[#This Row],[Valor]]*(1-tItens[[#This Row],[Desconto]])</f>
        <v>358.10810810810818</v>
      </c>
      <c r="N3118" t="str">
        <f>IFERROR(INDEX(tProdutos[Foco],MATCH(tItens[[#This Row],[Produto]],tProdutos[Produto],0)),"Não")</f>
        <v>Não</v>
      </c>
      <c r="O3118" t="str">
        <f>IFERROR(INDEX(tEditais[SRP],MATCH(tItens[[#This Row],[Edital]],tEditais[Edital],0)),"Não")</f>
        <v>Sim</v>
      </c>
      <c r="P3118" s="4">
        <f>IF(COUNTIFS(INDEX(tItens[Edital],1):tItens[[#This Row],[Edital]],tItens[[#This Row],[Edital]],INDEX(tItens[Produto],1):tItens[[#This Row],[Produto]],tItens[[#This Row],[Produto]])=1,1,0)</f>
        <v>1</v>
      </c>
    </row>
    <row r="3119" spans="1:16" x14ac:dyDescent="0.25">
      <c r="A3119" t="s">
        <v>1402</v>
      </c>
      <c r="B3119">
        <v>50</v>
      </c>
      <c r="C3119" t="s">
        <v>6024</v>
      </c>
      <c r="D3119" t="s">
        <v>277</v>
      </c>
      <c r="E3119" s="13">
        <v>100</v>
      </c>
      <c r="F3119" s="12">
        <v>13.22</v>
      </c>
      <c r="G3119" t="str">
        <f>IFERROR(INDEX(tEditais[Órgão],MATCH(tItens[[#This Row],[Edital]],tEditais[Edital],0)),"")</f>
        <v>MUNICIPIO DE BANDEIRA DO SUL</v>
      </c>
      <c r="H3119" t="str">
        <f>IFERROR(INDEX(tEditais[UF],MATCH(tItens[[#This Row],[Edital]],tEditais[Edital],0)),"")</f>
        <v>MG</v>
      </c>
      <c r="I3119" s="11">
        <f>IFERROR(INDEX(tEditais[Encerramento],MATCH(tItens[[#This Row],[Edital]],tEditais[Edital],0)),"")</f>
        <v>46308.458333333336</v>
      </c>
      <c r="J3119" t="str">
        <f>IFERROR(INDEX(tProdutos[Classe],MATCH(tItens[[#This Row],[Produto]],tProdutos[Produto],0)),"produto não cadastrado")</f>
        <v>DISPUTADO</v>
      </c>
      <c r="K3119" s="12">
        <f>tItens[[#This Row],[Qtd]]*tItens[[#This Row],[Vlr unit]]</f>
        <v>1322</v>
      </c>
      <c r="L3119" s="6">
        <f>IFERROR(IF(INDEX(tProdutos[Desconto homologado],MATCH(tItens[[#This Row],[Produto]],tProdutos[Produto],0))="",DescontoPadrao,INDEX(tProdutos[Desconto homologado],MATCH(tItens[[#This Row],[Produto]],tProdutos[Produto],0))),DescontoPadrao)</f>
        <v>0.50460666194188497</v>
      </c>
      <c r="M3119" s="12">
        <f>tItens[[#This Row],[Valor]]*(1-tItens[[#This Row],[Desconto]])</f>
        <v>654.9099929128281</v>
      </c>
      <c r="N3119" t="str">
        <f>IFERROR(INDEX(tProdutos[Foco],MATCH(tItens[[#This Row],[Produto]],tProdutos[Produto],0)),"Não")</f>
        <v>Não</v>
      </c>
      <c r="O3119" t="str">
        <f>IFERROR(INDEX(tEditais[SRP],MATCH(tItens[[#This Row],[Edital]],tEditais[Edital],0)),"Não")</f>
        <v>Sim</v>
      </c>
      <c r="P3119" s="4">
        <f>IF(COUNTIFS(INDEX(tItens[Edital],1):tItens[[#This Row],[Edital]],tItens[[#This Row],[Edital]],INDEX(tItens[Produto],1):tItens[[#This Row],[Produto]],tItens[[#This Row],[Produto]])=1,1,0)</f>
        <v>1</v>
      </c>
    </row>
    <row r="3120" spans="1:16" x14ac:dyDescent="0.25">
      <c r="A3120" t="s">
        <v>1402</v>
      </c>
      <c r="B3120">
        <v>53</v>
      </c>
      <c r="C3120" t="s">
        <v>6025</v>
      </c>
      <c r="D3120" t="s">
        <v>73</v>
      </c>
      <c r="E3120" s="13">
        <v>300</v>
      </c>
      <c r="F3120" s="12">
        <v>2.0699999999999998</v>
      </c>
      <c r="G3120" t="str">
        <f>IFERROR(INDEX(tEditais[Órgão],MATCH(tItens[[#This Row],[Edital]],tEditais[Edital],0)),"")</f>
        <v>MUNICIPIO DE BANDEIRA DO SUL</v>
      </c>
      <c r="H3120" t="str">
        <f>IFERROR(INDEX(tEditais[UF],MATCH(tItens[[#This Row],[Edital]],tEditais[Edital],0)),"")</f>
        <v>MG</v>
      </c>
      <c r="I3120" s="11">
        <f>IFERROR(INDEX(tEditais[Encerramento],MATCH(tItens[[#This Row],[Edital]],tEditais[Edital],0)),"")</f>
        <v>46308.458333333336</v>
      </c>
      <c r="J3120" t="str">
        <f>IFERROR(INDEX(tProdutos[Classe],MATCH(tItens[[#This Row],[Produto]],tProdutos[Produto],0)),"produto não cadastrado")</f>
        <v>NÚCLEO</v>
      </c>
      <c r="K3120" s="12">
        <f>tItens[[#This Row],[Qtd]]*tItens[[#This Row],[Vlr unit]]</f>
        <v>621</v>
      </c>
      <c r="L3120" s="6">
        <f>IFERROR(IF(INDEX(tProdutos[Desconto homologado],MATCH(tItens[[#This Row],[Produto]],tProdutos[Produto],0))="",DescontoPadrao,INDEX(tProdutos[Desconto homologado],MATCH(tItens[[#This Row],[Produto]],tProdutos[Produto],0))),DescontoPadrao)</f>
        <v>0.37</v>
      </c>
      <c r="M3120" s="12">
        <f>tItens[[#This Row],[Valor]]*(1-tItens[[#This Row],[Desconto]])</f>
        <v>391.23</v>
      </c>
      <c r="N3120" t="str">
        <f>IFERROR(INDEX(tProdutos[Foco],MATCH(tItens[[#This Row],[Produto]],tProdutos[Produto],0)),"Não")</f>
        <v>Sim</v>
      </c>
      <c r="O3120" t="str">
        <f>IFERROR(INDEX(tEditais[SRP],MATCH(tItens[[#This Row],[Edital]],tEditais[Edital],0)),"Não")</f>
        <v>Sim</v>
      </c>
      <c r="P3120" s="4">
        <f>IF(COUNTIFS(INDEX(tItens[Edital],1):tItens[[#This Row],[Edital]],tItens[[#This Row],[Edital]],INDEX(tItens[Produto],1):tItens[[#This Row],[Produto]],tItens[[#This Row],[Produto]])=1,1,0)</f>
        <v>1</v>
      </c>
    </row>
    <row r="3121" spans="1:16" x14ac:dyDescent="0.25">
      <c r="A3121" t="s">
        <v>1402</v>
      </c>
      <c r="B3121">
        <v>61</v>
      </c>
      <c r="C3121" t="s">
        <v>6026</v>
      </c>
      <c r="D3121" t="s">
        <v>311</v>
      </c>
      <c r="E3121" s="13">
        <v>500</v>
      </c>
      <c r="F3121" s="12">
        <v>6.85</v>
      </c>
      <c r="G3121" t="str">
        <f>IFERROR(INDEX(tEditais[Órgão],MATCH(tItens[[#This Row],[Edital]],tEditais[Edital],0)),"")</f>
        <v>MUNICIPIO DE BANDEIRA DO SUL</v>
      </c>
      <c r="H3121" t="str">
        <f>IFERROR(INDEX(tEditais[UF],MATCH(tItens[[#This Row],[Edital]],tEditais[Edital],0)),"")</f>
        <v>MG</v>
      </c>
      <c r="I3121" s="11">
        <f>IFERROR(INDEX(tEditais[Encerramento],MATCH(tItens[[#This Row],[Edital]],tEditais[Edital],0)),"")</f>
        <v>46308.458333333336</v>
      </c>
      <c r="J3121" t="str">
        <f>IFERROR(INDEX(tProdutos[Classe],MATCH(tItens[[#This Row],[Produto]],tProdutos[Produto],0)),"produto não cadastrado")</f>
        <v>FORA</v>
      </c>
      <c r="K3121" s="12">
        <f>tItens[[#This Row],[Qtd]]*tItens[[#This Row],[Vlr unit]]</f>
        <v>3425</v>
      </c>
      <c r="L3121" s="6">
        <f>IFERROR(IF(INDEX(tProdutos[Desconto homologado],MATCH(tItens[[#This Row],[Produto]],tProdutos[Produto],0))="",DescontoPadrao,INDEX(tProdutos[Desconto homologado],MATCH(tItens[[#This Row],[Produto]],tProdutos[Produto],0))),DescontoPadrao)</f>
        <v>0.29046182846371399</v>
      </c>
      <c r="M3121" s="12">
        <f>tItens[[#This Row],[Valor]]*(1-tItens[[#This Row],[Desconto]])</f>
        <v>2430.1682375117798</v>
      </c>
      <c r="N3121" t="str">
        <f>IFERROR(INDEX(tProdutos[Foco],MATCH(tItens[[#This Row],[Produto]],tProdutos[Produto],0)),"Não")</f>
        <v>Não</v>
      </c>
      <c r="O3121" t="str">
        <f>IFERROR(INDEX(tEditais[SRP],MATCH(tItens[[#This Row],[Edital]],tEditais[Edital],0)),"Não")</f>
        <v>Sim</v>
      </c>
      <c r="P3121" s="4">
        <f>IF(COUNTIFS(INDEX(tItens[Edital],1):tItens[[#This Row],[Edital]],tItens[[#This Row],[Edital]],INDEX(tItens[Produto],1):tItens[[#This Row],[Produto]],tItens[[#This Row],[Produto]])=1,1,0)</f>
        <v>1</v>
      </c>
    </row>
    <row r="3122" spans="1:16" x14ac:dyDescent="0.25">
      <c r="A3122" t="s">
        <v>1402</v>
      </c>
      <c r="B3122">
        <v>62</v>
      </c>
      <c r="C3122" t="s">
        <v>6027</v>
      </c>
      <c r="D3122" t="s">
        <v>311</v>
      </c>
      <c r="E3122" s="13">
        <v>200</v>
      </c>
      <c r="F3122" s="12">
        <v>5.71</v>
      </c>
      <c r="G3122" t="str">
        <f>IFERROR(INDEX(tEditais[Órgão],MATCH(tItens[[#This Row],[Edital]],tEditais[Edital],0)),"")</f>
        <v>MUNICIPIO DE BANDEIRA DO SUL</v>
      </c>
      <c r="H3122" t="str">
        <f>IFERROR(INDEX(tEditais[UF],MATCH(tItens[[#This Row],[Edital]],tEditais[Edital],0)),"")</f>
        <v>MG</v>
      </c>
      <c r="I3122" s="11">
        <f>IFERROR(INDEX(tEditais[Encerramento],MATCH(tItens[[#This Row],[Edital]],tEditais[Edital],0)),"")</f>
        <v>46308.458333333336</v>
      </c>
      <c r="J3122" t="str">
        <f>IFERROR(INDEX(tProdutos[Classe],MATCH(tItens[[#This Row],[Produto]],tProdutos[Produto],0)),"produto não cadastrado")</f>
        <v>FORA</v>
      </c>
      <c r="K3122" s="12">
        <f>tItens[[#This Row],[Qtd]]*tItens[[#This Row],[Vlr unit]]</f>
        <v>1142</v>
      </c>
      <c r="L3122" s="6">
        <f>IFERROR(IF(INDEX(tProdutos[Desconto homologado],MATCH(tItens[[#This Row],[Produto]],tProdutos[Produto],0))="",DescontoPadrao,INDEX(tProdutos[Desconto homologado],MATCH(tItens[[#This Row],[Produto]],tProdutos[Produto],0))),DescontoPadrao)</f>
        <v>0.29046182846371399</v>
      </c>
      <c r="M3122" s="12">
        <f>tItens[[#This Row],[Valor]]*(1-tItens[[#This Row],[Desconto]])</f>
        <v>810.29259189443871</v>
      </c>
      <c r="N3122" t="str">
        <f>IFERROR(INDEX(tProdutos[Foco],MATCH(tItens[[#This Row],[Produto]],tProdutos[Produto],0)),"Não")</f>
        <v>Não</v>
      </c>
      <c r="O3122" t="str">
        <f>IFERROR(INDEX(tEditais[SRP],MATCH(tItens[[#This Row],[Edital]],tEditais[Edital],0)),"Não")</f>
        <v>Sim</v>
      </c>
      <c r="P3122" s="4">
        <f>IF(COUNTIFS(INDEX(tItens[Edital],1):tItens[[#This Row],[Edital]],tItens[[#This Row],[Edital]],INDEX(tItens[Produto],1):tItens[[#This Row],[Produto]],tItens[[#This Row],[Produto]])=1,1,0)</f>
        <v>0</v>
      </c>
    </row>
    <row r="3123" spans="1:16" x14ac:dyDescent="0.25">
      <c r="A3123" t="s">
        <v>1402</v>
      </c>
      <c r="B3123">
        <v>66</v>
      </c>
      <c r="C3123" t="s">
        <v>6028</v>
      </c>
      <c r="D3123" t="s">
        <v>269</v>
      </c>
      <c r="E3123" s="13">
        <v>200</v>
      </c>
      <c r="F3123" s="12">
        <v>0.93</v>
      </c>
      <c r="G3123" t="str">
        <f>IFERROR(INDEX(tEditais[Órgão],MATCH(tItens[[#This Row],[Edital]],tEditais[Edital],0)),"")</f>
        <v>MUNICIPIO DE BANDEIRA DO SUL</v>
      </c>
      <c r="H3123" t="str">
        <f>IFERROR(INDEX(tEditais[UF],MATCH(tItens[[#This Row],[Edital]],tEditais[Edital],0)),"")</f>
        <v>MG</v>
      </c>
      <c r="I3123" s="11">
        <f>IFERROR(INDEX(tEditais[Encerramento],MATCH(tItens[[#This Row],[Edital]],tEditais[Edital],0)),"")</f>
        <v>46308.458333333336</v>
      </c>
      <c r="J3123" t="str">
        <f>IFERROR(INDEX(tProdutos[Classe],MATCH(tItens[[#This Row],[Produto]],tProdutos[Produto],0)),"produto não cadastrado")</f>
        <v>FORA</v>
      </c>
      <c r="K3123" s="12">
        <f>tItens[[#This Row],[Qtd]]*tItens[[#This Row],[Vlr unit]]</f>
        <v>186</v>
      </c>
      <c r="L3123" s="6">
        <f>IFERROR(IF(INDEX(tProdutos[Desconto homologado],MATCH(tItens[[#This Row],[Produto]],tProdutos[Produto],0))="",DescontoPadrao,INDEX(tProdutos[Desconto homologado],MATCH(tItens[[#This Row],[Produto]],tProdutos[Produto],0))),DescontoPadrao)</f>
        <v>0.28935117103332197</v>
      </c>
      <c r="M3123" s="12">
        <f>tItens[[#This Row],[Valor]]*(1-tItens[[#This Row],[Desconto]])</f>
        <v>132.18068218780212</v>
      </c>
      <c r="N3123" t="str">
        <f>IFERROR(INDEX(tProdutos[Foco],MATCH(tItens[[#This Row],[Produto]],tProdutos[Produto],0)),"Não")</f>
        <v>Não</v>
      </c>
      <c r="O3123" t="str">
        <f>IFERROR(INDEX(tEditais[SRP],MATCH(tItens[[#This Row],[Edital]],tEditais[Edital],0)),"Não")</f>
        <v>Sim</v>
      </c>
      <c r="P3123" s="4">
        <f>IF(COUNTIFS(INDEX(tItens[Edital],1):tItens[[#This Row],[Edital]],tItens[[#This Row],[Edital]],INDEX(tItens[Produto],1):tItens[[#This Row],[Produto]],tItens[[#This Row],[Produto]])=1,1,0)</f>
        <v>1</v>
      </c>
    </row>
    <row r="3124" spans="1:16" x14ac:dyDescent="0.25">
      <c r="A3124" t="s">
        <v>1402</v>
      </c>
      <c r="B3124">
        <v>67</v>
      </c>
      <c r="C3124" t="s">
        <v>6029</v>
      </c>
      <c r="D3124" t="s">
        <v>383</v>
      </c>
      <c r="E3124" s="13">
        <v>80</v>
      </c>
      <c r="F3124" s="12">
        <v>298</v>
      </c>
      <c r="G3124" t="str">
        <f>IFERROR(INDEX(tEditais[Órgão],MATCH(tItens[[#This Row],[Edital]],tEditais[Edital],0)),"")</f>
        <v>MUNICIPIO DE BANDEIRA DO SUL</v>
      </c>
      <c r="H3124" t="str">
        <f>IFERROR(INDEX(tEditais[UF],MATCH(tItens[[#This Row],[Edital]],tEditais[Edital],0)),"")</f>
        <v>MG</v>
      </c>
      <c r="I3124" s="11">
        <f>IFERROR(INDEX(tEditais[Encerramento],MATCH(tItens[[#This Row],[Edital]],tEditais[Edital],0)),"")</f>
        <v>46308.458333333336</v>
      </c>
      <c r="J3124" t="str">
        <f>IFERROR(INDEX(tProdutos[Classe],MATCH(tItens[[#This Row],[Produto]],tProdutos[Produto],0)),"produto não cadastrado")</f>
        <v>FORA</v>
      </c>
      <c r="K3124" s="12">
        <f>tItens[[#This Row],[Qtd]]*tItens[[#This Row],[Vlr unit]]</f>
        <v>23840</v>
      </c>
      <c r="L3124" s="6">
        <f>IFERROR(IF(INDEX(tProdutos[Desconto homologado],MATCH(tItens[[#This Row],[Produto]],tProdutos[Produto],0))="",DescontoPadrao,INDEX(tProdutos[Desconto homologado],MATCH(tItens[[#This Row],[Produto]],tProdutos[Produto],0))),DescontoPadrao)</f>
        <v>0.48749999999999999</v>
      </c>
      <c r="M3124" s="12">
        <f>tItens[[#This Row],[Valor]]*(1-tItens[[#This Row],[Desconto]])</f>
        <v>12217.999999999998</v>
      </c>
      <c r="N3124" t="str">
        <f>IFERROR(INDEX(tProdutos[Foco],MATCH(tItens[[#This Row],[Produto]],tProdutos[Produto],0)),"Não")</f>
        <v>Não</v>
      </c>
      <c r="O3124" t="str">
        <f>IFERROR(INDEX(tEditais[SRP],MATCH(tItens[[#This Row],[Edital]],tEditais[Edital],0)),"Não")</f>
        <v>Sim</v>
      </c>
      <c r="P3124" s="4">
        <f>IF(COUNTIFS(INDEX(tItens[Edital],1):tItens[[#This Row],[Edital]],tItens[[#This Row],[Edital]],INDEX(tItens[Produto],1):tItens[[#This Row],[Produto]],tItens[[#This Row],[Produto]])=1,1,0)</f>
        <v>1</v>
      </c>
    </row>
    <row r="3125" spans="1:16" x14ac:dyDescent="0.25">
      <c r="A3125" t="s">
        <v>1402</v>
      </c>
      <c r="B3125">
        <v>75</v>
      </c>
      <c r="C3125" t="s">
        <v>6030</v>
      </c>
      <c r="D3125" t="s">
        <v>154</v>
      </c>
      <c r="E3125" s="13">
        <v>50</v>
      </c>
      <c r="F3125" s="12">
        <v>321.61</v>
      </c>
      <c r="G3125" t="str">
        <f>IFERROR(INDEX(tEditais[Órgão],MATCH(tItens[[#This Row],[Edital]],tEditais[Edital],0)),"")</f>
        <v>MUNICIPIO DE BANDEIRA DO SUL</v>
      </c>
      <c r="H3125" t="str">
        <f>IFERROR(INDEX(tEditais[UF],MATCH(tItens[[#This Row],[Edital]],tEditais[Edital],0)),"")</f>
        <v>MG</v>
      </c>
      <c r="I3125" s="11">
        <f>IFERROR(INDEX(tEditais[Encerramento],MATCH(tItens[[#This Row],[Edital]],tEditais[Edital],0)),"")</f>
        <v>46308.458333333336</v>
      </c>
      <c r="J3125" t="str">
        <f>IFERROR(INDEX(tProdutos[Classe],MATCH(tItens[[#This Row],[Produto]],tProdutos[Produto],0)),"produto não cadastrado")</f>
        <v>DISPUTADO</v>
      </c>
      <c r="K3125" s="12">
        <f>tItens[[#This Row],[Qtd]]*tItens[[#This Row],[Vlr unit]]</f>
        <v>16080.5</v>
      </c>
      <c r="L3125" s="6">
        <f>IFERROR(IF(INDEX(tProdutos[Desconto homologado],MATCH(tItens[[#This Row],[Produto]],tProdutos[Produto],0))="",DescontoPadrao,INDEX(tProdutos[Desconto homologado],MATCH(tItens[[#This Row],[Produto]],tProdutos[Produto],0))),DescontoPadrao)</f>
        <v>0.48690097134476601</v>
      </c>
      <c r="M3125" s="12">
        <f>tItens[[#This Row],[Valor]]*(1-tItens[[#This Row],[Desconto]])</f>
        <v>8250.88893029049</v>
      </c>
      <c r="N3125" t="str">
        <f>IFERROR(INDEX(tProdutos[Foco],MATCH(tItens[[#This Row],[Produto]],tProdutos[Produto],0)),"Não")</f>
        <v>Não</v>
      </c>
      <c r="O3125" t="str">
        <f>IFERROR(INDEX(tEditais[SRP],MATCH(tItens[[#This Row],[Edital]],tEditais[Edital],0)),"Não")</f>
        <v>Sim</v>
      </c>
      <c r="P3125" s="4">
        <f>IF(COUNTIFS(INDEX(tItens[Edital],1):tItens[[#This Row],[Edital]],tItens[[#This Row],[Edital]],INDEX(tItens[Produto],1):tItens[[#This Row],[Produto]],tItens[[#This Row],[Produto]])=1,1,0)</f>
        <v>1</v>
      </c>
    </row>
    <row r="3126" spans="1:16" x14ac:dyDescent="0.25">
      <c r="A3126" t="s">
        <v>1402</v>
      </c>
      <c r="B3126">
        <v>76</v>
      </c>
      <c r="C3126" t="s">
        <v>6031</v>
      </c>
      <c r="D3126" t="s">
        <v>154</v>
      </c>
      <c r="E3126" s="13">
        <v>30</v>
      </c>
      <c r="F3126" s="12">
        <v>122.06</v>
      </c>
      <c r="G3126" t="str">
        <f>IFERROR(INDEX(tEditais[Órgão],MATCH(tItens[[#This Row],[Edital]],tEditais[Edital],0)),"")</f>
        <v>MUNICIPIO DE BANDEIRA DO SUL</v>
      </c>
      <c r="H3126" t="str">
        <f>IFERROR(INDEX(tEditais[UF],MATCH(tItens[[#This Row],[Edital]],tEditais[Edital],0)),"")</f>
        <v>MG</v>
      </c>
      <c r="I3126" s="11">
        <f>IFERROR(INDEX(tEditais[Encerramento],MATCH(tItens[[#This Row],[Edital]],tEditais[Edital],0)),"")</f>
        <v>46308.458333333336</v>
      </c>
      <c r="J3126" t="str">
        <f>IFERROR(INDEX(tProdutos[Classe],MATCH(tItens[[#This Row],[Produto]],tProdutos[Produto],0)),"produto não cadastrado")</f>
        <v>DISPUTADO</v>
      </c>
      <c r="K3126" s="12">
        <f>tItens[[#This Row],[Qtd]]*tItens[[#This Row],[Vlr unit]]</f>
        <v>3661.8</v>
      </c>
      <c r="L3126" s="6">
        <f>IFERROR(IF(INDEX(tProdutos[Desconto homologado],MATCH(tItens[[#This Row],[Produto]],tProdutos[Produto],0))="",DescontoPadrao,INDEX(tProdutos[Desconto homologado],MATCH(tItens[[#This Row],[Produto]],tProdutos[Produto],0))),DescontoPadrao)</f>
        <v>0.48690097134476601</v>
      </c>
      <c r="M3126" s="12">
        <f>tItens[[#This Row],[Valor]]*(1-tItens[[#This Row],[Desconto]])</f>
        <v>1878.8660231297358</v>
      </c>
      <c r="N3126" t="str">
        <f>IFERROR(INDEX(tProdutos[Foco],MATCH(tItens[[#This Row],[Produto]],tProdutos[Produto],0)),"Não")</f>
        <v>Não</v>
      </c>
      <c r="O3126" t="str">
        <f>IFERROR(INDEX(tEditais[SRP],MATCH(tItens[[#This Row],[Edital]],tEditais[Edital],0)),"Não")</f>
        <v>Sim</v>
      </c>
      <c r="P3126" s="4">
        <f>IF(COUNTIFS(INDEX(tItens[Edital],1):tItens[[#This Row],[Edital]],tItens[[#This Row],[Edital]],INDEX(tItens[Produto],1):tItens[[#This Row],[Produto]],tItens[[#This Row],[Produto]])=1,1,0)</f>
        <v>0</v>
      </c>
    </row>
    <row r="3127" spans="1:16" x14ac:dyDescent="0.25">
      <c r="A3127" t="s">
        <v>1402</v>
      </c>
      <c r="B3127">
        <v>108</v>
      </c>
      <c r="C3127" t="s">
        <v>6032</v>
      </c>
      <c r="D3127" t="s">
        <v>100</v>
      </c>
      <c r="E3127" s="13">
        <v>15</v>
      </c>
      <c r="F3127" s="12">
        <v>94.16</v>
      </c>
      <c r="G3127" t="str">
        <f>IFERROR(INDEX(tEditais[Órgão],MATCH(tItens[[#This Row],[Edital]],tEditais[Edital],0)),"")</f>
        <v>MUNICIPIO DE BANDEIRA DO SUL</v>
      </c>
      <c r="H3127" t="str">
        <f>IFERROR(INDEX(tEditais[UF],MATCH(tItens[[#This Row],[Edital]],tEditais[Edital],0)),"")</f>
        <v>MG</v>
      </c>
      <c r="I3127" s="11">
        <f>IFERROR(INDEX(tEditais[Encerramento],MATCH(tItens[[#This Row],[Edital]],tEditais[Edital],0)),"")</f>
        <v>46308.458333333336</v>
      </c>
      <c r="J3127" t="str">
        <f>IFERROR(INDEX(tProdutos[Classe],MATCH(tItens[[#This Row],[Produto]],tProdutos[Produto],0)),"produto não cadastrado")</f>
        <v>NÚCLEO</v>
      </c>
      <c r="K3127" s="12">
        <f>tItens[[#This Row],[Qtd]]*tItens[[#This Row],[Vlr unit]]</f>
        <v>1412.3999999999999</v>
      </c>
      <c r="L3127" s="6">
        <f>IFERROR(IF(INDEX(tProdutos[Desconto homologado],MATCH(tItens[[#This Row],[Produto]],tProdutos[Produto],0))="",DescontoPadrao,INDEX(tProdutos[Desconto homologado],MATCH(tItens[[#This Row],[Produto]],tProdutos[Produto],0))),DescontoPadrao)</f>
        <v>0.24</v>
      </c>
      <c r="M3127" s="12">
        <f>tItens[[#This Row],[Valor]]*(1-tItens[[#This Row],[Desconto]])</f>
        <v>1073.424</v>
      </c>
      <c r="N3127" t="str">
        <f>IFERROR(INDEX(tProdutos[Foco],MATCH(tItens[[#This Row],[Produto]],tProdutos[Produto],0)),"Não")</f>
        <v>Sim</v>
      </c>
      <c r="O3127" t="str">
        <f>IFERROR(INDEX(tEditais[SRP],MATCH(tItens[[#This Row],[Edital]],tEditais[Edital],0)),"Não")</f>
        <v>Sim</v>
      </c>
      <c r="P3127" s="4">
        <f>IF(COUNTIFS(INDEX(tItens[Edital],1):tItens[[#This Row],[Edital]],tItens[[#This Row],[Edital]],INDEX(tItens[Produto],1):tItens[[#This Row],[Produto]],tItens[[#This Row],[Produto]])=1,1,0)</f>
        <v>1</v>
      </c>
    </row>
    <row r="3128" spans="1:16" x14ac:dyDescent="0.25">
      <c r="A3128" t="s">
        <v>1402</v>
      </c>
      <c r="B3128">
        <v>109</v>
      </c>
      <c r="C3128" t="s">
        <v>6033</v>
      </c>
      <c r="D3128" t="s">
        <v>100</v>
      </c>
      <c r="E3128" s="13">
        <v>30</v>
      </c>
      <c r="F3128" s="12">
        <v>107.54</v>
      </c>
      <c r="G3128" t="str">
        <f>IFERROR(INDEX(tEditais[Órgão],MATCH(tItens[[#This Row],[Edital]],tEditais[Edital],0)),"")</f>
        <v>MUNICIPIO DE BANDEIRA DO SUL</v>
      </c>
      <c r="H3128" t="str">
        <f>IFERROR(INDEX(tEditais[UF],MATCH(tItens[[#This Row],[Edital]],tEditais[Edital],0)),"")</f>
        <v>MG</v>
      </c>
      <c r="I3128" s="11">
        <f>IFERROR(INDEX(tEditais[Encerramento],MATCH(tItens[[#This Row],[Edital]],tEditais[Edital],0)),"")</f>
        <v>46308.458333333336</v>
      </c>
      <c r="J3128" t="str">
        <f>IFERROR(INDEX(tProdutos[Classe],MATCH(tItens[[#This Row],[Produto]],tProdutos[Produto],0)),"produto não cadastrado")</f>
        <v>NÚCLEO</v>
      </c>
      <c r="K3128" s="12">
        <f>tItens[[#This Row],[Qtd]]*tItens[[#This Row],[Vlr unit]]</f>
        <v>3226.2000000000003</v>
      </c>
      <c r="L3128" s="6">
        <f>IFERROR(IF(INDEX(tProdutos[Desconto homologado],MATCH(tItens[[#This Row],[Produto]],tProdutos[Produto],0))="",DescontoPadrao,INDEX(tProdutos[Desconto homologado],MATCH(tItens[[#This Row],[Produto]],tProdutos[Produto],0))),DescontoPadrao)</f>
        <v>0.24</v>
      </c>
      <c r="M3128" s="12">
        <f>tItens[[#This Row],[Valor]]*(1-tItens[[#This Row],[Desconto]])</f>
        <v>2451.9120000000003</v>
      </c>
      <c r="N3128" t="str">
        <f>IFERROR(INDEX(tProdutos[Foco],MATCH(tItens[[#This Row],[Produto]],tProdutos[Produto],0)),"Não")</f>
        <v>Sim</v>
      </c>
      <c r="O3128" t="str">
        <f>IFERROR(INDEX(tEditais[SRP],MATCH(tItens[[#This Row],[Edital]],tEditais[Edital],0)),"Não")</f>
        <v>Sim</v>
      </c>
      <c r="P3128" s="4">
        <f>IF(COUNTIFS(INDEX(tItens[Edital],1):tItens[[#This Row],[Edital]],tItens[[#This Row],[Edital]],INDEX(tItens[Produto],1):tItens[[#This Row],[Produto]],tItens[[#This Row],[Produto]])=1,1,0)</f>
        <v>0</v>
      </c>
    </row>
    <row r="3129" spans="1:16" x14ac:dyDescent="0.25">
      <c r="A3129" t="s">
        <v>1402</v>
      </c>
      <c r="B3129">
        <v>110</v>
      </c>
      <c r="C3129" t="s">
        <v>6034</v>
      </c>
      <c r="D3129" t="s">
        <v>100</v>
      </c>
      <c r="E3129" s="13">
        <v>15</v>
      </c>
      <c r="F3129" s="12">
        <v>163.28</v>
      </c>
      <c r="G3129" t="str">
        <f>IFERROR(INDEX(tEditais[Órgão],MATCH(tItens[[#This Row],[Edital]],tEditais[Edital],0)),"")</f>
        <v>MUNICIPIO DE BANDEIRA DO SUL</v>
      </c>
      <c r="H3129" t="str">
        <f>IFERROR(INDEX(tEditais[UF],MATCH(tItens[[#This Row],[Edital]],tEditais[Edital],0)),"")</f>
        <v>MG</v>
      </c>
      <c r="I3129" s="11">
        <f>IFERROR(INDEX(tEditais[Encerramento],MATCH(tItens[[#This Row],[Edital]],tEditais[Edital],0)),"")</f>
        <v>46308.458333333336</v>
      </c>
      <c r="J3129" t="str">
        <f>IFERROR(INDEX(tProdutos[Classe],MATCH(tItens[[#This Row],[Produto]],tProdutos[Produto],0)),"produto não cadastrado")</f>
        <v>NÚCLEO</v>
      </c>
      <c r="K3129" s="12">
        <f>tItens[[#This Row],[Qtd]]*tItens[[#This Row],[Vlr unit]]</f>
        <v>2449.1999999999998</v>
      </c>
      <c r="L3129" s="6">
        <f>IFERROR(IF(INDEX(tProdutos[Desconto homologado],MATCH(tItens[[#This Row],[Produto]],tProdutos[Produto],0))="",DescontoPadrao,INDEX(tProdutos[Desconto homologado],MATCH(tItens[[#This Row],[Produto]],tProdutos[Produto],0))),DescontoPadrao)</f>
        <v>0.24</v>
      </c>
      <c r="M3129" s="12">
        <f>tItens[[#This Row],[Valor]]*(1-tItens[[#This Row],[Desconto]])</f>
        <v>1861.3919999999998</v>
      </c>
      <c r="N3129" t="str">
        <f>IFERROR(INDEX(tProdutos[Foco],MATCH(tItens[[#This Row],[Produto]],tProdutos[Produto],0)),"Não")</f>
        <v>Sim</v>
      </c>
      <c r="O3129" t="str">
        <f>IFERROR(INDEX(tEditais[SRP],MATCH(tItens[[#This Row],[Edital]],tEditais[Edital],0)),"Não")</f>
        <v>Sim</v>
      </c>
      <c r="P3129" s="4">
        <f>IF(COUNTIFS(INDEX(tItens[Edital],1):tItens[[#This Row],[Edital]],tItens[[#This Row],[Edital]],INDEX(tItens[Produto],1):tItens[[#This Row],[Produto]],tItens[[#This Row],[Produto]])=1,1,0)</f>
        <v>0</v>
      </c>
    </row>
    <row r="3130" spans="1:16" x14ac:dyDescent="0.25">
      <c r="A3130" t="s">
        <v>1402</v>
      </c>
      <c r="B3130">
        <v>111</v>
      </c>
      <c r="C3130" t="s">
        <v>6035</v>
      </c>
      <c r="D3130" t="s">
        <v>100</v>
      </c>
      <c r="E3130" s="13">
        <v>15</v>
      </c>
      <c r="F3130" s="12">
        <v>282.85000000000002</v>
      </c>
      <c r="G3130" t="str">
        <f>IFERROR(INDEX(tEditais[Órgão],MATCH(tItens[[#This Row],[Edital]],tEditais[Edital],0)),"")</f>
        <v>MUNICIPIO DE BANDEIRA DO SUL</v>
      </c>
      <c r="H3130" t="str">
        <f>IFERROR(INDEX(tEditais[UF],MATCH(tItens[[#This Row],[Edital]],tEditais[Edital],0)),"")</f>
        <v>MG</v>
      </c>
      <c r="I3130" s="11">
        <f>IFERROR(INDEX(tEditais[Encerramento],MATCH(tItens[[#This Row],[Edital]],tEditais[Edital],0)),"")</f>
        <v>46308.458333333336</v>
      </c>
      <c r="J3130" t="str">
        <f>IFERROR(INDEX(tProdutos[Classe],MATCH(tItens[[#This Row],[Produto]],tProdutos[Produto],0)),"produto não cadastrado")</f>
        <v>NÚCLEO</v>
      </c>
      <c r="K3130" s="12">
        <f>tItens[[#This Row],[Qtd]]*tItens[[#This Row],[Vlr unit]]</f>
        <v>4242.75</v>
      </c>
      <c r="L3130" s="6">
        <f>IFERROR(IF(INDEX(tProdutos[Desconto homologado],MATCH(tItens[[#This Row],[Produto]],tProdutos[Produto],0))="",DescontoPadrao,INDEX(tProdutos[Desconto homologado],MATCH(tItens[[#This Row],[Produto]],tProdutos[Produto],0))),DescontoPadrao)</f>
        <v>0.24</v>
      </c>
      <c r="M3130" s="12">
        <f>tItens[[#This Row],[Valor]]*(1-tItens[[#This Row],[Desconto]])</f>
        <v>3224.4900000000002</v>
      </c>
      <c r="N3130" t="str">
        <f>IFERROR(INDEX(tProdutos[Foco],MATCH(tItens[[#This Row],[Produto]],tProdutos[Produto],0)),"Não")</f>
        <v>Sim</v>
      </c>
      <c r="O3130" t="str">
        <f>IFERROR(INDEX(tEditais[SRP],MATCH(tItens[[#This Row],[Edital]],tEditais[Edital],0)),"Não")</f>
        <v>Sim</v>
      </c>
      <c r="P3130" s="4">
        <f>IF(COUNTIFS(INDEX(tItens[Edital],1):tItens[[#This Row],[Edital]],tItens[[#This Row],[Edital]],INDEX(tItens[Produto],1):tItens[[#This Row],[Produto]],tItens[[#This Row],[Produto]])=1,1,0)</f>
        <v>0</v>
      </c>
    </row>
    <row r="3131" spans="1:16" x14ac:dyDescent="0.25">
      <c r="A3131" t="s">
        <v>1402</v>
      </c>
      <c r="B3131">
        <v>115</v>
      </c>
      <c r="C3131" t="s">
        <v>6036</v>
      </c>
      <c r="D3131" t="s">
        <v>90</v>
      </c>
      <c r="E3131" s="13">
        <v>150</v>
      </c>
      <c r="F3131" s="12">
        <v>15.94</v>
      </c>
      <c r="G3131" t="str">
        <f>IFERROR(INDEX(tEditais[Órgão],MATCH(tItens[[#This Row],[Edital]],tEditais[Edital],0)),"")</f>
        <v>MUNICIPIO DE BANDEIRA DO SUL</v>
      </c>
      <c r="H3131" t="str">
        <f>IFERROR(INDEX(tEditais[UF],MATCH(tItens[[#This Row],[Edital]],tEditais[Edital],0)),"")</f>
        <v>MG</v>
      </c>
      <c r="I3131" s="11">
        <f>IFERROR(INDEX(tEditais[Encerramento],MATCH(tItens[[#This Row],[Edital]],tEditais[Edital],0)),"")</f>
        <v>46308.458333333336</v>
      </c>
      <c r="J3131" t="str">
        <f>IFERROR(INDEX(tProdutos[Classe],MATCH(tItens[[#This Row],[Produto]],tProdutos[Produto],0)),"produto não cadastrado")</f>
        <v>DISPUTADO</v>
      </c>
      <c r="K3131" s="12">
        <f>tItens[[#This Row],[Qtd]]*tItens[[#This Row],[Vlr unit]]</f>
        <v>2391</v>
      </c>
      <c r="L3131" s="6">
        <f>IFERROR(IF(INDEX(tProdutos[Desconto homologado],MATCH(tItens[[#This Row],[Produto]],tProdutos[Produto],0))="",DescontoPadrao,INDEX(tProdutos[Desconto homologado],MATCH(tItens[[#This Row],[Produto]],tProdutos[Produto],0))),DescontoPadrao)</f>
        <v>0.25393823957010597</v>
      </c>
      <c r="M3131" s="12">
        <f>tItens[[#This Row],[Valor]]*(1-tItens[[#This Row],[Desconto]])</f>
        <v>1783.8336691878767</v>
      </c>
      <c r="N3131" t="str">
        <f>IFERROR(INDEX(tProdutos[Foco],MATCH(tItens[[#This Row],[Produto]],tProdutos[Produto],0)),"Não")</f>
        <v>Não</v>
      </c>
      <c r="O3131" t="str">
        <f>IFERROR(INDEX(tEditais[SRP],MATCH(tItens[[#This Row],[Edital]],tEditais[Edital],0)),"Não")</f>
        <v>Sim</v>
      </c>
      <c r="P3131" s="4">
        <f>IF(COUNTIFS(INDEX(tItens[Edital],1):tItens[[#This Row],[Edital]],tItens[[#This Row],[Edital]],INDEX(tItens[Produto],1):tItens[[#This Row],[Produto]],tItens[[#This Row],[Produto]])=1,1,0)</f>
        <v>1</v>
      </c>
    </row>
    <row r="3132" spans="1:16" x14ac:dyDescent="0.25">
      <c r="A3132" t="s">
        <v>1402</v>
      </c>
      <c r="B3132">
        <v>117</v>
      </c>
      <c r="C3132" t="s">
        <v>6037</v>
      </c>
      <c r="D3132" t="s">
        <v>75</v>
      </c>
      <c r="E3132" s="13">
        <v>100</v>
      </c>
      <c r="F3132" s="12">
        <v>2.95</v>
      </c>
      <c r="G3132" t="str">
        <f>IFERROR(INDEX(tEditais[Órgão],MATCH(tItens[[#This Row],[Edital]],tEditais[Edital],0)),"")</f>
        <v>MUNICIPIO DE BANDEIRA DO SUL</v>
      </c>
      <c r="H3132" t="str">
        <f>IFERROR(INDEX(tEditais[UF],MATCH(tItens[[#This Row],[Edital]],tEditais[Edital],0)),"")</f>
        <v>MG</v>
      </c>
      <c r="I3132" s="11">
        <f>IFERROR(INDEX(tEditais[Encerramento],MATCH(tItens[[#This Row],[Edital]],tEditais[Edital],0)),"")</f>
        <v>46308.458333333336</v>
      </c>
      <c r="J3132" t="str">
        <f>IFERROR(INDEX(tProdutos[Classe],MATCH(tItens[[#This Row],[Produto]],tProdutos[Produto],0)),"produto não cadastrado")</f>
        <v>NÚCLEO</v>
      </c>
      <c r="K3132" s="12">
        <f>tItens[[#This Row],[Qtd]]*tItens[[#This Row],[Vlr unit]]</f>
        <v>295</v>
      </c>
      <c r="L3132" s="6">
        <f>IFERROR(IF(INDEX(tProdutos[Desconto homologado],MATCH(tItens[[#This Row],[Produto]],tProdutos[Produto],0))="",DescontoPadrao,INDEX(tProdutos[Desconto homologado],MATCH(tItens[[#This Row],[Produto]],tProdutos[Produto],0))),DescontoPadrao)</f>
        <v>0.26</v>
      </c>
      <c r="M3132" s="12">
        <f>tItens[[#This Row],[Valor]]*(1-tItens[[#This Row],[Desconto]])</f>
        <v>218.3</v>
      </c>
      <c r="N3132" t="str">
        <f>IFERROR(INDEX(tProdutos[Foco],MATCH(tItens[[#This Row],[Produto]],tProdutos[Produto],0)),"Não")</f>
        <v>Sim</v>
      </c>
      <c r="O3132" t="str">
        <f>IFERROR(INDEX(tEditais[SRP],MATCH(tItens[[#This Row],[Edital]],tEditais[Edital],0)),"Não")</f>
        <v>Sim</v>
      </c>
      <c r="P3132" s="4">
        <f>IF(COUNTIFS(INDEX(tItens[Edital],1):tItens[[#This Row],[Edital]],tItens[[#This Row],[Edital]],INDEX(tItens[Produto],1):tItens[[#This Row],[Produto]],tItens[[#This Row],[Produto]])=1,1,0)</f>
        <v>1</v>
      </c>
    </row>
    <row r="3133" spans="1:16" x14ac:dyDescent="0.25">
      <c r="A3133" t="s">
        <v>1402</v>
      </c>
      <c r="B3133">
        <v>118</v>
      </c>
      <c r="C3133" t="s">
        <v>6038</v>
      </c>
      <c r="D3133" t="s">
        <v>75</v>
      </c>
      <c r="E3133" s="13">
        <v>400</v>
      </c>
      <c r="F3133" s="12">
        <v>2.12</v>
      </c>
      <c r="G3133" t="str">
        <f>IFERROR(INDEX(tEditais[Órgão],MATCH(tItens[[#This Row],[Edital]],tEditais[Edital],0)),"")</f>
        <v>MUNICIPIO DE BANDEIRA DO SUL</v>
      </c>
      <c r="H3133" t="str">
        <f>IFERROR(INDEX(tEditais[UF],MATCH(tItens[[#This Row],[Edital]],tEditais[Edital],0)),"")</f>
        <v>MG</v>
      </c>
      <c r="I3133" s="11">
        <f>IFERROR(INDEX(tEditais[Encerramento],MATCH(tItens[[#This Row],[Edital]],tEditais[Edital],0)),"")</f>
        <v>46308.458333333336</v>
      </c>
      <c r="J3133" t="str">
        <f>IFERROR(INDEX(tProdutos[Classe],MATCH(tItens[[#This Row],[Produto]],tProdutos[Produto],0)),"produto não cadastrado")</f>
        <v>NÚCLEO</v>
      </c>
      <c r="K3133" s="12">
        <f>tItens[[#This Row],[Qtd]]*tItens[[#This Row],[Vlr unit]]</f>
        <v>848</v>
      </c>
      <c r="L3133" s="6">
        <f>IFERROR(IF(INDEX(tProdutos[Desconto homologado],MATCH(tItens[[#This Row],[Produto]],tProdutos[Produto],0))="",DescontoPadrao,INDEX(tProdutos[Desconto homologado],MATCH(tItens[[#This Row],[Produto]],tProdutos[Produto],0))),DescontoPadrao)</f>
        <v>0.26</v>
      </c>
      <c r="M3133" s="12">
        <f>tItens[[#This Row],[Valor]]*(1-tItens[[#This Row],[Desconto]])</f>
        <v>627.52</v>
      </c>
      <c r="N3133" t="str">
        <f>IFERROR(INDEX(tProdutos[Foco],MATCH(tItens[[#This Row],[Produto]],tProdutos[Produto],0)),"Não")</f>
        <v>Sim</v>
      </c>
      <c r="O3133" t="str">
        <f>IFERROR(INDEX(tEditais[SRP],MATCH(tItens[[#This Row],[Edital]],tEditais[Edital],0)),"Não")</f>
        <v>Sim</v>
      </c>
      <c r="P3133" s="4">
        <f>IF(COUNTIFS(INDEX(tItens[Edital],1):tItens[[#This Row],[Edital]],tItens[[#This Row],[Edital]],INDEX(tItens[Produto],1):tItens[[#This Row],[Produto]],tItens[[#This Row],[Produto]])=1,1,0)</f>
        <v>0</v>
      </c>
    </row>
    <row r="3134" spans="1:16" x14ac:dyDescent="0.25">
      <c r="A3134" t="s">
        <v>1402</v>
      </c>
      <c r="B3134">
        <v>119</v>
      </c>
      <c r="C3134" t="s">
        <v>6039</v>
      </c>
      <c r="D3134" t="s">
        <v>75</v>
      </c>
      <c r="E3134" s="13">
        <v>600</v>
      </c>
      <c r="F3134" s="12">
        <v>2.0099999999999998</v>
      </c>
      <c r="G3134" t="str">
        <f>IFERROR(INDEX(tEditais[Órgão],MATCH(tItens[[#This Row],[Edital]],tEditais[Edital],0)),"")</f>
        <v>MUNICIPIO DE BANDEIRA DO SUL</v>
      </c>
      <c r="H3134" t="str">
        <f>IFERROR(INDEX(tEditais[UF],MATCH(tItens[[#This Row],[Edital]],tEditais[Edital],0)),"")</f>
        <v>MG</v>
      </c>
      <c r="I3134" s="11">
        <f>IFERROR(INDEX(tEditais[Encerramento],MATCH(tItens[[#This Row],[Edital]],tEditais[Edital],0)),"")</f>
        <v>46308.458333333336</v>
      </c>
      <c r="J3134" t="str">
        <f>IFERROR(INDEX(tProdutos[Classe],MATCH(tItens[[#This Row],[Produto]],tProdutos[Produto],0)),"produto não cadastrado")</f>
        <v>NÚCLEO</v>
      </c>
      <c r="K3134" s="12">
        <f>tItens[[#This Row],[Qtd]]*tItens[[#This Row],[Vlr unit]]</f>
        <v>1205.9999999999998</v>
      </c>
      <c r="L3134" s="6">
        <f>IFERROR(IF(INDEX(tProdutos[Desconto homologado],MATCH(tItens[[#This Row],[Produto]],tProdutos[Produto],0))="",DescontoPadrao,INDEX(tProdutos[Desconto homologado],MATCH(tItens[[#This Row],[Produto]],tProdutos[Produto],0))),DescontoPadrao)</f>
        <v>0.26</v>
      </c>
      <c r="M3134" s="12">
        <f>tItens[[#This Row],[Valor]]*(1-tItens[[#This Row],[Desconto]])</f>
        <v>892.43999999999983</v>
      </c>
      <c r="N3134" t="str">
        <f>IFERROR(INDEX(tProdutos[Foco],MATCH(tItens[[#This Row],[Produto]],tProdutos[Produto],0)),"Não")</f>
        <v>Sim</v>
      </c>
      <c r="O3134" t="str">
        <f>IFERROR(INDEX(tEditais[SRP],MATCH(tItens[[#This Row],[Edital]],tEditais[Edital],0)),"Não")</f>
        <v>Sim</v>
      </c>
      <c r="P3134" s="4">
        <f>IF(COUNTIFS(INDEX(tItens[Edital],1):tItens[[#This Row],[Edital]],tItens[[#This Row],[Edital]],INDEX(tItens[Produto],1):tItens[[#This Row],[Produto]],tItens[[#This Row],[Produto]])=1,1,0)</f>
        <v>0</v>
      </c>
    </row>
    <row r="3135" spans="1:16" x14ac:dyDescent="0.25">
      <c r="A3135" t="s">
        <v>1402</v>
      </c>
      <c r="B3135">
        <v>120</v>
      </c>
      <c r="C3135" t="s">
        <v>6040</v>
      </c>
      <c r="D3135" t="s">
        <v>75</v>
      </c>
      <c r="E3135" s="13">
        <v>30</v>
      </c>
      <c r="F3135" s="12">
        <v>3.49</v>
      </c>
      <c r="G3135" t="str">
        <f>IFERROR(INDEX(tEditais[Órgão],MATCH(tItens[[#This Row],[Edital]],tEditais[Edital],0)),"")</f>
        <v>MUNICIPIO DE BANDEIRA DO SUL</v>
      </c>
      <c r="H3135" t="str">
        <f>IFERROR(INDEX(tEditais[UF],MATCH(tItens[[#This Row],[Edital]],tEditais[Edital],0)),"")</f>
        <v>MG</v>
      </c>
      <c r="I3135" s="11">
        <f>IFERROR(INDEX(tEditais[Encerramento],MATCH(tItens[[#This Row],[Edital]],tEditais[Edital],0)),"")</f>
        <v>46308.458333333336</v>
      </c>
      <c r="J3135" t="str">
        <f>IFERROR(INDEX(tProdutos[Classe],MATCH(tItens[[#This Row],[Produto]],tProdutos[Produto],0)),"produto não cadastrado")</f>
        <v>NÚCLEO</v>
      </c>
      <c r="K3135" s="12">
        <f>tItens[[#This Row],[Qtd]]*tItens[[#This Row],[Vlr unit]]</f>
        <v>104.7</v>
      </c>
      <c r="L3135" s="6">
        <f>IFERROR(IF(INDEX(tProdutos[Desconto homologado],MATCH(tItens[[#This Row],[Produto]],tProdutos[Produto],0))="",DescontoPadrao,INDEX(tProdutos[Desconto homologado],MATCH(tItens[[#This Row],[Produto]],tProdutos[Produto],0))),DescontoPadrao)</f>
        <v>0.26</v>
      </c>
      <c r="M3135" s="12">
        <f>tItens[[#This Row],[Valor]]*(1-tItens[[#This Row],[Desconto]])</f>
        <v>77.477999999999994</v>
      </c>
      <c r="N3135" t="str">
        <f>IFERROR(INDEX(tProdutos[Foco],MATCH(tItens[[#This Row],[Produto]],tProdutos[Produto],0)),"Não")</f>
        <v>Sim</v>
      </c>
      <c r="O3135" t="str">
        <f>IFERROR(INDEX(tEditais[SRP],MATCH(tItens[[#This Row],[Edital]],tEditais[Edital],0)),"Não")</f>
        <v>Sim</v>
      </c>
      <c r="P3135" s="4">
        <f>IF(COUNTIFS(INDEX(tItens[Edital],1):tItens[[#This Row],[Edital]],tItens[[#This Row],[Edital]],INDEX(tItens[Produto],1):tItens[[#This Row],[Produto]],tItens[[#This Row],[Produto]])=1,1,0)</f>
        <v>0</v>
      </c>
    </row>
    <row r="3136" spans="1:16" x14ac:dyDescent="0.25">
      <c r="A3136" t="s">
        <v>1402</v>
      </c>
      <c r="B3136">
        <v>128</v>
      </c>
      <c r="C3136" t="s">
        <v>6041</v>
      </c>
      <c r="D3136" t="s">
        <v>259</v>
      </c>
      <c r="E3136" s="13">
        <v>400</v>
      </c>
      <c r="F3136" s="12">
        <v>3.31</v>
      </c>
      <c r="G3136" t="str">
        <f>IFERROR(INDEX(tEditais[Órgão],MATCH(tItens[[#This Row],[Edital]],tEditais[Edital],0)),"")</f>
        <v>MUNICIPIO DE BANDEIRA DO SUL</v>
      </c>
      <c r="H3136" t="str">
        <f>IFERROR(INDEX(tEditais[UF],MATCH(tItens[[#This Row],[Edital]],tEditais[Edital],0)),"")</f>
        <v>MG</v>
      </c>
      <c r="I3136" s="11">
        <f>IFERROR(INDEX(tEditais[Encerramento],MATCH(tItens[[#This Row],[Edital]],tEditais[Edital],0)),"")</f>
        <v>46308.458333333336</v>
      </c>
      <c r="J3136" t="str">
        <f>IFERROR(INDEX(tProdutos[Classe],MATCH(tItens[[#This Row],[Produto]],tProdutos[Produto],0)),"produto não cadastrado")</f>
        <v>FORA</v>
      </c>
      <c r="K3136" s="12">
        <f>tItens[[#This Row],[Qtd]]*tItens[[#This Row],[Vlr unit]]</f>
        <v>1324</v>
      </c>
      <c r="L3136" s="6">
        <f>IFERROR(IF(INDEX(tProdutos[Desconto homologado],MATCH(tItens[[#This Row],[Produto]],tProdutos[Produto],0))="",DescontoPadrao,INDEX(tProdutos[Desconto homologado],MATCH(tItens[[#This Row],[Produto]],tProdutos[Produto],0))),DescontoPadrao)</f>
        <v>0.374798283789543</v>
      </c>
      <c r="M3136" s="12">
        <f>tItens[[#This Row],[Valor]]*(1-tItens[[#This Row],[Desconto]])</f>
        <v>827.76707226264512</v>
      </c>
      <c r="N3136" t="str">
        <f>IFERROR(INDEX(tProdutos[Foco],MATCH(tItens[[#This Row],[Produto]],tProdutos[Produto],0)),"Não")</f>
        <v>Não</v>
      </c>
      <c r="O3136" t="str">
        <f>IFERROR(INDEX(tEditais[SRP],MATCH(tItens[[#This Row],[Edital]],tEditais[Edital],0)),"Não")</f>
        <v>Sim</v>
      </c>
      <c r="P3136" s="4">
        <f>IF(COUNTIFS(INDEX(tItens[Edital],1):tItens[[#This Row],[Edital]],tItens[[#This Row],[Edital]],INDEX(tItens[Produto],1):tItens[[#This Row],[Produto]],tItens[[#This Row],[Produto]])=1,1,0)</f>
        <v>1</v>
      </c>
    </row>
    <row r="3137" spans="1:16" x14ac:dyDescent="0.25">
      <c r="A3137" t="s">
        <v>1402</v>
      </c>
      <c r="B3137">
        <v>130</v>
      </c>
      <c r="C3137" t="s">
        <v>6042</v>
      </c>
      <c r="D3137" t="s">
        <v>142</v>
      </c>
      <c r="E3137" s="13">
        <v>200</v>
      </c>
      <c r="F3137" s="12">
        <v>7.3</v>
      </c>
      <c r="G3137" t="str">
        <f>IFERROR(INDEX(tEditais[Órgão],MATCH(tItens[[#This Row],[Edital]],tEditais[Edital],0)),"")</f>
        <v>MUNICIPIO DE BANDEIRA DO SUL</v>
      </c>
      <c r="H3137" t="str">
        <f>IFERROR(INDEX(tEditais[UF],MATCH(tItens[[#This Row],[Edital]],tEditais[Edital],0)),"")</f>
        <v>MG</v>
      </c>
      <c r="I3137" s="11">
        <f>IFERROR(INDEX(tEditais[Encerramento],MATCH(tItens[[#This Row],[Edital]],tEditais[Edital],0)),"")</f>
        <v>46308.458333333336</v>
      </c>
      <c r="J3137" t="str">
        <f>IFERROR(INDEX(tProdutos[Classe],MATCH(tItens[[#This Row],[Produto]],tProdutos[Produto],0)),"produto não cadastrado")</f>
        <v>DISPUTADO</v>
      </c>
      <c r="K3137" s="12">
        <f>tItens[[#This Row],[Qtd]]*tItens[[#This Row],[Vlr unit]]</f>
        <v>1460</v>
      </c>
      <c r="L3137" s="6">
        <f>IFERROR(IF(INDEX(tProdutos[Desconto homologado],MATCH(tItens[[#This Row],[Produto]],tProdutos[Produto],0))="",DescontoPadrao,INDEX(tProdutos[Desconto homologado],MATCH(tItens[[#This Row],[Produto]],tProdutos[Produto],0))),DescontoPadrao)</f>
        <v>0.37093619495691699</v>
      </c>
      <c r="M3137" s="12">
        <f>tItens[[#This Row],[Valor]]*(1-tItens[[#This Row],[Desconto]])</f>
        <v>918.43315536290118</v>
      </c>
      <c r="N3137" t="str">
        <f>IFERROR(INDEX(tProdutos[Foco],MATCH(tItens[[#This Row],[Produto]],tProdutos[Produto],0)),"Não")</f>
        <v>Não</v>
      </c>
      <c r="O3137" t="str">
        <f>IFERROR(INDEX(tEditais[SRP],MATCH(tItens[[#This Row],[Edital]],tEditais[Edital],0)),"Não")</f>
        <v>Sim</v>
      </c>
      <c r="P3137" s="4">
        <f>IF(COUNTIFS(INDEX(tItens[Edital],1):tItens[[#This Row],[Edital]],tItens[[#This Row],[Edital]],INDEX(tItens[Produto],1):tItens[[#This Row],[Produto]],tItens[[#This Row],[Produto]])=1,1,0)</f>
        <v>1</v>
      </c>
    </row>
    <row r="3138" spans="1:16" x14ac:dyDescent="0.25">
      <c r="A3138" t="s">
        <v>1402</v>
      </c>
      <c r="B3138">
        <v>136</v>
      </c>
      <c r="C3138" t="s">
        <v>6043</v>
      </c>
      <c r="D3138" t="s">
        <v>156</v>
      </c>
      <c r="E3138" s="13">
        <v>100</v>
      </c>
      <c r="F3138" s="12">
        <v>13.45</v>
      </c>
      <c r="G3138" t="str">
        <f>IFERROR(INDEX(tEditais[Órgão],MATCH(tItens[[#This Row],[Edital]],tEditais[Edital],0)),"")</f>
        <v>MUNICIPIO DE BANDEIRA DO SUL</v>
      </c>
      <c r="H3138" t="str">
        <f>IFERROR(INDEX(tEditais[UF],MATCH(tItens[[#This Row],[Edital]],tEditais[Edital],0)),"")</f>
        <v>MG</v>
      </c>
      <c r="I3138" s="11">
        <f>IFERROR(INDEX(tEditais[Encerramento],MATCH(tItens[[#This Row],[Edital]],tEditais[Edital],0)),"")</f>
        <v>46308.458333333336</v>
      </c>
      <c r="J3138" t="str">
        <f>IFERROR(INDEX(tProdutos[Classe],MATCH(tItens[[#This Row],[Produto]],tProdutos[Produto],0)),"produto não cadastrado")</f>
        <v>DISPUTADO</v>
      </c>
      <c r="K3138" s="12">
        <f>tItens[[#This Row],[Qtd]]*tItens[[#This Row],[Vlr unit]]</f>
        <v>1345</v>
      </c>
      <c r="L3138" s="6">
        <f>IFERROR(IF(INDEX(tProdutos[Desconto homologado],MATCH(tItens[[#This Row],[Produto]],tProdutos[Produto],0))="",DescontoPadrao,INDEX(tProdutos[Desconto homologado],MATCH(tItens[[#This Row],[Produto]],tProdutos[Produto],0))),DescontoPadrao)</f>
        <v>0.27131852489802799</v>
      </c>
      <c r="M3138" s="12">
        <f>tItens[[#This Row],[Valor]]*(1-tItens[[#This Row],[Desconto]])</f>
        <v>980.07658401215235</v>
      </c>
      <c r="N3138" t="str">
        <f>IFERROR(INDEX(tProdutos[Foco],MATCH(tItens[[#This Row],[Produto]],tProdutos[Produto],0)),"Não")</f>
        <v>Não</v>
      </c>
      <c r="O3138" t="str">
        <f>IFERROR(INDEX(tEditais[SRP],MATCH(tItens[[#This Row],[Edital]],tEditais[Edital],0)),"Não")</f>
        <v>Sim</v>
      </c>
      <c r="P3138" s="4">
        <f>IF(COUNTIFS(INDEX(tItens[Edital],1):tItens[[#This Row],[Edital]],tItens[[#This Row],[Edital]],INDEX(tItens[Produto],1):tItens[[#This Row],[Produto]],tItens[[#This Row],[Produto]])=1,1,0)</f>
        <v>1</v>
      </c>
    </row>
    <row r="3139" spans="1:16" x14ac:dyDescent="0.25">
      <c r="A3139" t="s">
        <v>1402</v>
      </c>
      <c r="B3139">
        <v>138</v>
      </c>
      <c r="C3139" t="s">
        <v>6044</v>
      </c>
      <c r="D3139" t="s">
        <v>512</v>
      </c>
      <c r="E3139" s="13">
        <v>7</v>
      </c>
      <c r="F3139" s="12">
        <v>11.92</v>
      </c>
      <c r="G3139" t="str">
        <f>IFERROR(INDEX(tEditais[Órgão],MATCH(tItens[[#This Row],[Edital]],tEditais[Edital],0)),"")</f>
        <v>MUNICIPIO DE BANDEIRA DO SUL</v>
      </c>
      <c r="H3139" t="str">
        <f>IFERROR(INDEX(tEditais[UF],MATCH(tItens[[#This Row],[Edital]],tEditais[Edital],0)),"")</f>
        <v>MG</v>
      </c>
      <c r="I3139" s="11">
        <f>IFERROR(INDEX(tEditais[Encerramento],MATCH(tItens[[#This Row],[Edital]],tEditais[Edital],0)),"")</f>
        <v>46308.458333333336</v>
      </c>
      <c r="J3139" t="str">
        <f>IFERROR(INDEX(tProdutos[Classe],MATCH(tItens[[#This Row],[Produto]],tProdutos[Produto],0)),"produto não cadastrado")</f>
        <v>FILA REBASE</v>
      </c>
      <c r="K3139" s="12">
        <f>tItens[[#This Row],[Qtd]]*tItens[[#This Row],[Vlr unit]]</f>
        <v>83.44</v>
      </c>
      <c r="L3139" s="6">
        <f>IFERROR(IF(INDEX(tProdutos[Desconto homologado],MATCH(tItens[[#This Row],[Produto]],tProdutos[Produto],0))="",DescontoPadrao,INDEX(tProdutos[Desconto homologado],MATCH(tItens[[#This Row],[Produto]],tProdutos[Produto],0))),DescontoPadrao)</f>
        <v>0.32579365079365102</v>
      </c>
      <c r="M3139" s="12">
        <f>tItens[[#This Row],[Valor]]*(1-tItens[[#This Row],[Desconto]])</f>
        <v>56.255777777777759</v>
      </c>
      <c r="N3139" t="str">
        <f>IFERROR(INDEX(tProdutos[Foco],MATCH(tItens[[#This Row],[Produto]],tProdutos[Produto],0)),"Não")</f>
        <v>Não</v>
      </c>
      <c r="O3139" t="str">
        <f>IFERROR(INDEX(tEditais[SRP],MATCH(tItens[[#This Row],[Edital]],tEditais[Edital],0)),"Não")</f>
        <v>Sim</v>
      </c>
      <c r="P3139" s="4">
        <f>IF(COUNTIFS(INDEX(tItens[Edital],1):tItens[[#This Row],[Edital]],tItens[[#This Row],[Edital]],INDEX(tItens[Produto],1):tItens[[#This Row],[Produto]],tItens[[#This Row],[Produto]])=1,1,0)</f>
        <v>1</v>
      </c>
    </row>
    <row r="3140" spans="1:16" x14ac:dyDescent="0.25">
      <c r="A3140" t="s">
        <v>1402</v>
      </c>
      <c r="B3140">
        <v>139</v>
      </c>
      <c r="C3140" t="s">
        <v>6045</v>
      </c>
      <c r="D3140" t="s">
        <v>467</v>
      </c>
      <c r="E3140" s="13">
        <v>200</v>
      </c>
      <c r="F3140" s="12">
        <v>4.97</v>
      </c>
      <c r="G3140" t="str">
        <f>IFERROR(INDEX(tEditais[Órgão],MATCH(tItens[[#This Row],[Edital]],tEditais[Edital],0)),"")</f>
        <v>MUNICIPIO DE BANDEIRA DO SUL</v>
      </c>
      <c r="H3140" t="str">
        <f>IFERROR(INDEX(tEditais[UF],MATCH(tItens[[#This Row],[Edital]],tEditais[Edital],0)),"")</f>
        <v>MG</v>
      </c>
      <c r="I3140" s="11">
        <f>IFERROR(INDEX(tEditais[Encerramento],MATCH(tItens[[#This Row],[Edital]],tEditais[Edital],0)),"")</f>
        <v>46308.458333333336</v>
      </c>
      <c r="J3140" t="str">
        <f>IFERROR(INDEX(tProdutos[Classe],MATCH(tItens[[#This Row],[Produto]],tProdutos[Produto],0)),"produto não cadastrado")</f>
        <v>FILA REBASE</v>
      </c>
      <c r="K3140" s="12">
        <f>tItens[[#This Row],[Qtd]]*tItens[[#This Row],[Vlr unit]]</f>
        <v>994</v>
      </c>
      <c r="L3140" s="6">
        <f>IFERROR(IF(INDEX(tProdutos[Desconto homologado],MATCH(tItens[[#This Row],[Produto]],tProdutos[Produto],0))="",DescontoPadrao,INDEX(tProdutos[Desconto homologado],MATCH(tItens[[#This Row],[Produto]],tProdutos[Produto],0))),DescontoPadrao)</f>
        <v>0.25007144898542499</v>
      </c>
      <c r="M3140" s="12">
        <f>tItens[[#This Row],[Valor]]*(1-tItens[[#This Row],[Desconto]])</f>
        <v>745.42897970848753</v>
      </c>
      <c r="N3140" t="str">
        <f>IFERROR(INDEX(tProdutos[Foco],MATCH(tItens[[#This Row],[Produto]],tProdutos[Produto],0)),"Não")</f>
        <v>Não</v>
      </c>
      <c r="O3140" t="str">
        <f>IFERROR(INDEX(tEditais[SRP],MATCH(tItens[[#This Row],[Edital]],tEditais[Edital],0)),"Não")</f>
        <v>Sim</v>
      </c>
      <c r="P3140" s="4">
        <f>IF(COUNTIFS(INDEX(tItens[Edital],1):tItens[[#This Row],[Edital]],tItens[[#This Row],[Edital]],INDEX(tItens[Produto],1):tItens[[#This Row],[Produto]],tItens[[#This Row],[Produto]])=1,1,0)</f>
        <v>1</v>
      </c>
    </row>
    <row r="3141" spans="1:16" x14ac:dyDescent="0.25">
      <c r="A3141" t="s">
        <v>1402</v>
      </c>
      <c r="B3141">
        <v>148</v>
      </c>
      <c r="C3141" t="s">
        <v>6046</v>
      </c>
      <c r="D3141" t="s">
        <v>411</v>
      </c>
      <c r="E3141" s="13">
        <v>150</v>
      </c>
      <c r="F3141" s="12">
        <v>24.94</v>
      </c>
      <c r="G3141" t="str">
        <f>IFERROR(INDEX(tEditais[Órgão],MATCH(tItens[[#This Row],[Edital]],tEditais[Edital],0)),"")</f>
        <v>MUNICIPIO DE BANDEIRA DO SUL</v>
      </c>
      <c r="H3141" t="str">
        <f>IFERROR(INDEX(tEditais[UF],MATCH(tItens[[#This Row],[Edital]],tEditais[Edital],0)),"")</f>
        <v>MG</v>
      </c>
      <c r="I3141" s="11">
        <f>IFERROR(INDEX(tEditais[Encerramento],MATCH(tItens[[#This Row],[Edital]],tEditais[Edital],0)),"")</f>
        <v>46308.458333333336</v>
      </c>
      <c r="J3141" t="str">
        <f>IFERROR(INDEX(tProdutos[Classe],MATCH(tItens[[#This Row],[Produto]],tProdutos[Produto],0)),"produto não cadastrado")</f>
        <v>FORA</v>
      </c>
      <c r="K3141" s="12">
        <f>tItens[[#This Row],[Qtd]]*tItens[[#This Row],[Vlr unit]]</f>
        <v>3741</v>
      </c>
      <c r="L3141" s="6">
        <f>IFERROR(IF(INDEX(tProdutos[Desconto homologado],MATCH(tItens[[#This Row],[Produto]],tProdutos[Produto],0))="",DescontoPadrao,INDEX(tProdutos[Desconto homologado],MATCH(tItens[[#This Row],[Produto]],tProdutos[Produto],0))),DescontoPadrao)</f>
        <v>0.50029835957199398</v>
      </c>
      <c r="M3141" s="12">
        <f>tItens[[#This Row],[Valor]]*(1-tItens[[#This Row],[Desconto]])</f>
        <v>1869.3838368411705</v>
      </c>
      <c r="N3141" t="str">
        <f>IFERROR(INDEX(tProdutos[Foco],MATCH(tItens[[#This Row],[Produto]],tProdutos[Produto],0)),"Não")</f>
        <v>Não</v>
      </c>
      <c r="O3141" t="str">
        <f>IFERROR(INDEX(tEditais[SRP],MATCH(tItens[[#This Row],[Edital]],tEditais[Edital],0)),"Não")</f>
        <v>Sim</v>
      </c>
      <c r="P3141" s="4">
        <f>IF(COUNTIFS(INDEX(tItens[Edital],1):tItens[[#This Row],[Edital]],tItens[[#This Row],[Edital]],INDEX(tItens[Produto],1):tItens[[#This Row],[Produto]],tItens[[#This Row],[Produto]])=1,1,0)</f>
        <v>1</v>
      </c>
    </row>
    <row r="3142" spans="1:16" x14ac:dyDescent="0.25">
      <c r="A3142" t="s">
        <v>1402</v>
      </c>
      <c r="B3142">
        <v>149</v>
      </c>
      <c r="C3142" t="s">
        <v>6047</v>
      </c>
      <c r="D3142" t="s">
        <v>130</v>
      </c>
      <c r="E3142" s="13">
        <v>5</v>
      </c>
      <c r="F3142" s="12">
        <v>85.84</v>
      </c>
      <c r="G3142" t="str">
        <f>IFERROR(INDEX(tEditais[Órgão],MATCH(tItens[[#This Row],[Edital]],tEditais[Edital],0)),"")</f>
        <v>MUNICIPIO DE BANDEIRA DO SUL</v>
      </c>
      <c r="H3142" t="str">
        <f>IFERROR(INDEX(tEditais[UF],MATCH(tItens[[#This Row],[Edital]],tEditais[Edital],0)),"")</f>
        <v>MG</v>
      </c>
      <c r="I3142" s="11">
        <f>IFERROR(INDEX(tEditais[Encerramento],MATCH(tItens[[#This Row],[Edital]],tEditais[Edital],0)),"")</f>
        <v>46308.458333333336</v>
      </c>
      <c r="J3142" t="str">
        <f>IFERROR(INDEX(tProdutos[Classe],MATCH(tItens[[#This Row],[Produto]],tProdutos[Produto],0)),"produto não cadastrado")</f>
        <v>DISPUTADO</v>
      </c>
      <c r="K3142" s="12">
        <f>tItens[[#This Row],[Qtd]]*tItens[[#This Row],[Vlr unit]]</f>
        <v>429.20000000000005</v>
      </c>
      <c r="L3142" s="6">
        <f>IFERROR(IF(INDEX(tProdutos[Desconto homologado],MATCH(tItens[[#This Row],[Produto]],tProdutos[Produto],0))="",DescontoPadrao,INDEX(tProdutos[Desconto homologado],MATCH(tItens[[#This Row],[Produto]],tProdutos[Produto],0))),DescontoPadrao)</f>
        <v>0.32</v>
      </c>
      <c r="M3142" s="12">
        <f>tItens[[#This Row],[Valor]]*(1-tItens[[#This Row],[Desconto]])</f>
        <v>291.85599999999999</v>
      </c>
      <c r="N3142" t="str">
        <f>IFERROR(INDEX(tProdutos[Foco],MATCH(tItens[[#This Row],[Produto]],tProdutos[Produto],0)),"Não")</f>
        <v>Sim</v>
      </c>
      <c r="O3142" t="str">
        <f>IFERROR(INDEX(tEditais[SRP],MATCH(tItens[[#This Row],[Edital]],tEditais[Edital],0)),"Não")</f>
        <v>Sim</v>
      </c>
      <c r="P3142" s="4">
        <f>IF(COUNTIFS(INDEX(tItens[Edital],1):tItens[[#This Row],[Edital]],tItens[[#This Row],[Edital]],INDEX(tItens[Produto],1):tItens[[#This Row],[Produto]],tItens[[#This Row],[Produto]])=1,1,0)</f>
        <v>1</v>
      </c>
    </row>
    <row r="3143" spans="1:16" x14ac:dyDescent="0.25">
      <c r="A3143" t="s">
        <v>1402</v>
      </c>
      <c r="B3143">
        <v>160</v>
      </c>
      <c r="C3143" t="s">
        <v>6048</v>
      </c>
      <c r="D3143" t="s">
        <v>277</v>
      </c>
      <c r="E3143" s="13">
        <v>200</v>
      </c>
      <c r="F3143" s="12">
        <v>17.399999999999999</v>
      </c>
      <c r="G3143" t="str">
        <f>IFERROR(INDEX(tEditais[Órgão],MATCH(tItens[[#This Row],[Edital]],tEditais[Edital],0)),"")</f>
        <v>MUNICIPIO DE BANDEIRA DO SUL</v>
      </c>
      <c r="H3143" t="str">
        <f>IFERROR(INDEX(tEditais[UF],MATCH(tItens[[#This Row],[Edital]],tEditais[Edital],0)),"")</f>
        <v>MG</v>
      </c>
      <c r="I3143" s="11">
        <f>IFERROR(INDEX(tEditais[Encerramento],MATCH(tItens[[#This Row],[Edital]],tEditais[Edital],0)),"")</f>
        <v>46308.458333333336</v>
      </c>
      <c r="J3143" t="str">
        <f>IFERROR(INDEX(tProdutos[Classe],MATCH(tItens[[#This Row],[Produto]],tProdutos[Produto],0)),"produto não cadastrado")</f>
        <v>DISPUTADO</v>
      </c>
      <c r="K3143" s="12">
        <f>tItens[[#This Row],[Qtd]]*tItens[[#This Row],[Vlr unit]]</f>
        <v>3479.9999999999995</v>
      </c>
      <c r="L3143" s="6">
        <f>IFERROR(IF(INDEX(tProdutos[Desconto homologado],MATCH(tItens[[#This Row],[Produto]],tProdutos[Produto],0))="",DescontoPadrao,INDEX(tProdutos[Desconto homologado],MATCH(tItens[[#This Row],[Produto]],tProdutos[Produto],0))),DescontoPadrao)</f>
        <v>0.50460666194188497</v>
      </c>
      <c r="M3143" s="12">
        <f>tItens[[#This Row],[Valor]]*(1-tItens[[#This Row],[Desconto]])</f>
        <v>1723.96881644224</v>
      </c>
      <c r="N3143" t="str">
        <f>IFERROR(INDEX(tProdutos[Foco],MATCH(tItens[[#This Row],[Produto]],tProdutos[Produto],0)),"Não")</f>
        <v>Não</v>
      </c>
      <c r="O3143" t="str">
        <f>IFERROR(INDEX(tEditais[SRP],MATCH(tItens[[#This Row],[Edital]],tEditais[Edital],0)),"Não")</f>
        <v>Sim</v>
      </c>
      <c r="P3143" s="4">
        <f>IF(COUNTIFS(INDEX(tItens[Edital],1):tItens[[#This Row],[Edital]],tItens[[#This Row],[Edital]],INDEX(tItens[Produto],1):tItens[[#This Row],[Produto]],tItens[[#This Row],[Produto]])=1,1,0)</f>
        <v>0</v>
      </c>
    </row>
    <row r="3144" spans="1:16" x14ac:dyDescent="0.25">
      <c r="A3144" t="s">
        <v>1402</v>
      </c>
      <c r="B3144">
        <v>163</v>
      </c>
      <c r="C3144" t="s">
        <v>6049</v>
      </c>
      <c r="D3144" t="s">
        <v>267</v>
      </c>
      <c r="E3144" s="13">
        <v>80</v>
      </c>
      <c r="F3144" s="12">
        <v>109</v>
      </c>
      <c r="G3144" t="str">
        <f>IFERROR(INDEX(tEditais[Órgão],MATCH(tItens[[#This Row],[Edital]],tEditais[Edital],0)),"")</f>
        <v>MUNICIPIO DE BANDEIRA DO SUL</v>
      </c>
      <c r="H3144" t="str">
        <f>IFERROR(INDEX(tEditais[UF],MATCH(tItens[[#This Row],[Edital]],tEditais[Edital],0)),"")</f>
        <v>MG</v>
      </c>
      <c r="I3144" s="11">
        <f>IFERROR(INDEX(tEditais[Encerramento],MATCH(tItens[[#This Row],[Edital]],tEditais[Edital],0)),"")</f>
        <v>46308.458333333336</v>
      </c>
      <c r="J3144" t="str">
        <f>IFERROR(INDEX(tProdutos[Classe],MATCH(tItens[[#This Row],[Produto]],tProdutos[Produto],0)),"produto não cadastrado")</f>
        <v>FORA</v>
      </c>
      <c r="K3144" s="12">
        <f>tItens[[#This Row],[Qtd]]*tItens[[#This Row],[Vlr unit]]</f>
        <v>8720</v>
      </c>
      <c r="L3144" s="6">
        <f>IFERROR(IF(INDEX(tProdutos[Desconto homologado],MATCH(tItens[[#This Row],[Produto]],tProdutos[Produto],0))="",DescontoPadrao,INDEX(tProdutos[Desconto homologado],MATCH(tItens[[#This Row],[Produto]],tProdutos[Produto],0))),DescontoPadrao)</f>
        <v>0.19963672657401599</v>
      </c>
      <c r="M3144" s="12">
        <f>tItens[[#This Row],[Valor]]*(1-tItens[[#This Row],[Desconto]])</f>
        <v>6979.1677442745804</v>
      </c>
      <c r="N3144" t="str">
        <f>IFERROR(INDEX(tProdutos[Foco],MATCH(tItens[[#This Row],[Produto]],tProdutos[Produto],0)),"Não")</f>
        <v>Não</v>
      </c>
      <c r="O3144" t="str">
        <f>IFERROR(INDEX(tEditais[SRP],MATCH(tItens[[#This Row],[Edital]],tEditais[Edital],0)),"Não")</f>
        <v>Sim</v>
      </c>
      <c r="P3144" s="4">
        <f>IF(COUNTIFS(INDEX(tItens[Edital],1):tItens[[#This Row],[Edital]],tItens[[#This Row],[Edital]],INDEX(tItens[Produto],1):tItens[[#This Row],[Produto]],tItens[[#This Row],[Produto]])=1,1,0)</f>
        <v>1</v>
      </c>
    </row>
    <row r="3145" spans="1:16" x14ac:dyDescent="0.25">
      <c r="A3145" t="s">
        <v>1402</v>
      </c>
      <c r="B3145">
        <v>165</v>
      </c>
      <c r="C3145" t="s">
        <v>6050</v>
      </c>
      <c r="D3145" t="s">
        <v>343</v>
      </c>
      <c r="E3145" s="13">
        <v>200</v>
      </c>
      <c r="F3145" s="12">
        <v>1.98</v>
      </c>
      <c r="G3145" t="str">
        <f>IFERROR(INDEX(tEditais[Órgão],MATCH(tItens[[#This Row],[Edital]],tEditais[Edital],0)),"")</f>
        <v>MUNICIPIO DE BANDEIRA DO SUL</v>
      </c>
      <c r="H3145" t="str">
        <f>IFERROR(INDEX(tEditais[UF],MATCH(tItens[[#This Row],[Edital]],tEditais[Edital],0)),"")</f>
        <v>MG</v>
      </c>
      <c r="I3145" s="11">
        <f>IFERROR(INDEX(tEditais[Encerramento],MATCH(tItens[[#This Row],[Edital]],tEditais[Edital],0)),"")</f>
        <v>46308.458333333336</v>
      </c>
      <c r="J3145" t="str">
        <f>IFERROR(INDEX(tProdutos[Classe],MATCH(tItens[[#This Row],[Produto]],tProdutos[Produto],0)),"produto não cadastrado")</f>
        <v>FORA</v>
      </c>
      <c r="K3145" s="12">
        <f>tItens[[#This Row],[Qtd]]*tItens[[#This Row],[Vlr unit]]</f>
        <v>396</v>
      </c>
      <c r="L3145" s="6">
        <f>IFERROR(IF(INDEX(tProdutos[Desconto homologado],MATCH(tItens[[#This Row],[Produto]],tProdutos[Produto],0))="",DescontoPadrao,INDEX(tProdutos[Desconto homologado],MATCH(tItens[[#This Row],[Produto]],tProdutos[Produto],0))),DescontoPadrao)</f>
        <v>0.35412234042553198</v>
      </c>
      <c r="M3145" s="12">
        <f>tItens[[#This Row],[Valor]]*(1-tItens[[#This Row],[Desconto]])</f>
        <v>255.76755319148933</v>
      </c>
      <c r="N3145" t="str">
        <f>IFERROR(INDEX(tProdutos[Foco],MATCH(tItens[[#This Row],[Produto]],tProdutos[Produto],0)),"Não")</f>
        <v>Não</v>
      </c>
      <c r="O3145" t="str">
        <f>IFERROR(INDEX(tEditais[SRP],MATCH(tItens[[#This Row],[Edital]],tEditais[Edital],0)),"Não")</f>
        <v>Sim</v>
      </c>
      <c r="P3145" s="4">
        <f>IF(COUNTIFS(INDEX(tItens[Edital],1):tItens[[#This Row],[Edital]],tItens[[#This Row],[Edital]],INDEX(tItens[Produto],1):tItens[[#This Row],[Produto]],tItens[[#This Row],[Produto]])=1,1,0)</f>
        <v>1</v>
      </c>
    </row>
    <row r="3146" spans="1:16" x14ac:dyDescent="0.25">
      <c r="A3146" t="s">
        <v>1402</v>
      </c>
      <c r="B3146">
        <v>166</v>
      </c>
      <c r="C3146" t="s">
        <v>6051</v>
      </c>
      <c r="D3146" t="s">
        <v>343</v>
      </c>
      <c r="E3146" s="13">
        <v>50</v>
      </c>
      <c r="F3146" s="12">
        <v>1.92</v>
      </c>
      <c r="G3146" t="str">
        <f>IFERROR(INDEX(tEditais[Órgão],MATCH(tItens[[#This Row],[Edital]],tEditais[Edital],0)),"")</f>
        <v>MUNICIPIO DE BANDEIRA DO SUL</v>
      </c>
      <c r="H3146" t="str">
        <f>IFERROR(INDEX(tEditais[UF],MATCH(tItens[[#This Row],[Edital]],tEditais[Edital],0)),"")</f>
        <v>MG</v>
      </c>
      <c r="I3146" s="11">
        <f>IFERROR(INDEX(tEditais[Encerramento],MATCH(tItens[[#This Row],[Edital]],tEditais[Edital],0)),"")</f>
        <v>46308.458333333336</v>
      </c>
      <c r="J3146" t="str">
        <f>IFERROR(INDEX(tProdutos[Classe],MATCH(tItens[[#This Row],[Produto]],tProdutos[Produto],0)),"produto não cadastrado")</f>
        <v>FORA</v>
      </c>
      <c r="K3146" s="12">
        <f>tItens[[#This Row],[Qtd]]*tItens[[#This Row],[Vlr unit]]</f>
        <v>96</v>
      </c>
      <c r="L3146" s="6">
        <f>IFERROR(IF(INDEX(tProdutos[Desconto homologado],MATCH(tItens[[#This Row],[Produto]],tProdutos[Produto],0))="",DescontoPadrao,INDEX(tProdutos[Desconto homologado],MATCH(tItens[[#This Row],[Produto]],tProdutos[Produto],0))),DescontoPadrao)</f>
        <v>0.35412234042553198</v>
      </c>
      <c r="M3146" s="12">
        <f>tItens[[#This Row],[Valor]]*(1-tItens[[#This Row],[Desconto]])</f>
        <v>62.004255319148925</v>
      </c>
      <c r="N3146" t="str">
        <f>IFERROR(INDEX(tProdutos[Foco],MATCH(tItens[[#This Row],[Produto]],tProdutos[Produto],0)),"Não")</f>
        <v>Não</v>
      </c>
      <c r="O3146" t="str">
        <f>IFERROR(INDEX(tEditais[SRP],MATCH(tItens[[#This Row],[Edital]],tEditais[Edital],0)),"Não")</f>
        <v>Sim</v>
      </c>
      <c r="P3146" s="4">
        <f>IF(COUNTIFS(INDEX(tItens[Edital],1):tItens[[#This Row],[Edital]],tItens[[#This Row],[Edital]],INDEX(tItens[Produto],1):tItens[[#This Row],[Produto]],tItens[[#This Row],[Produto]])=1,1,0)</f>
        <v>0</v>
      </c>
    </row>
    <row r="3147" spans="1:16" x14ac:dyDescent="0.25">
      <c r="A3147" t="s">
        <v>1402</v>
      </c>
      <c r="B3147">
        <v>167</v>
      </c>
      <c r="C3147" t="s">
        <v>6052</v>
      </c>
      <c r="D3147" t="s">
        <v>343</v>
      </c>
      <c r="E3147" s="13">
        <v>50</v>
      </c>
      <c r="F3147" s="12">
        <v>1.96</v>
      </c>
      <c r="G3147" t="str">
        <f>IFERROR(INDEX(tEditais[Órgão],MATCH(tItens[[#This Row],[Edital]],tEditais[Edital],0)),"")</f>
        <v>MUNICIPIO DE BANDEIRA DO SUL</v>
      </c>
      <c r="H3147" t="str">
        <f>IFERROR(INDEX(tEditais[UF],MATCH(tItens[[#This Row],[Edital]],tEditais[Edital],0)),"")</f>
        <v>MG</v>
      </c>
      <c r="I3147" s="11">
        <f>IFERROR(INDEX(tEditais[Encerramento],MATCH(tItens[[#This Row],[Edital]],tEditais[Edital],0)),"")</f>
        <v>46308.458333333336</v>
      </c>
      <c r="J3147" t="str">
        <f>IFERROR(INDEX(tProdutos[Classe],MATCH(tItens[[#This Row],[Produto]],tProdutos[Produto],0)),"produto não cadastrado")</f>
        <v>FORA</v>
      </c>
      <c r="K3147" s="12">
        <f>tItens[[#This Row],[Qtd]]*tItens[[#This Row],[Vlr unit]]</f>
        <v>98</v>
      </c>
      <c r="L3147" s="6">
        <f>IFERROR(IF(INDEX(tProdutos[Desconto homologado],MATCH(tItens[[#This Row],[Produto]],tProdutos[Produto],0))="",DescontoPadrao,INDEX(tProdutos[Desconto homologado],MATCH(tItens[[#This Row],[Produto]],tProdutos[Produto],0))),DescontoPadrao)</f>
        <v>0.35412234042553198</v>
      </c>
      <c r="M3147" s="12">
        <f>tItens[[#This Row],[Valor]]*(1-tItens[[#This Row],[Desconto]])</f>
        <v>63.296010638297858</v>
      </c>
      <c r="N3147" t="str">
        <f>IFERROR(INDEX(tProdutos[Foco],MATCH(tItens[[#This Row],[Produto]],tProdutos[Produto],0)),"Não")</f>
        <v>Não</v>
      </c>
      <c r="O3147" t="str">
        <f>IFERROR(INDEX(tEditais[SRP],MATCH(tItens[[#This Row],[Edital]],tEditais[Edital],0)),"Não")</f>
        <v>Sim</v>
      </c>
      <c r="P3147" s="4">
        <f>IF(COUNTIFS(INDEX(tItens[Edital],1):tItens[[#This Row],[Edital]],tItens[[#This Row],[Edital]],INDEX(tItens[Produto],1):tItens[[#This Row],[Produto]],tItens[[#This Row],[Produto]])=1,1,0)</f>
        <v>0</v>
      </c>
    </row>
    <row r="3148" spans="1:16" x14ac:dyDescent="0.25">
      <c r="A3148" t="s">
        <v>1402</v>
      </c>
      <c r="B3148">
        <v>168</v>
      </c>
      <c r="C3148" t="s">
        <v>6053</v>
      </c>
      <c r="D3148" t="s">
        <v>343</v>
      </c>
      <c r="E3148" s="13">
        <v>100</v>
      </c>
      <c r="F3148" s="12">
        <v>1.93</v>
      </c>
      <c r="G3148" t="str">
        <f>IFERROR(INDEX(tEditais[Órgão],MATCH(tItens[[#This Row],[Edital]],tEditais[Edital],0)),"")</f>
        <v>MUNICIPIO DE BANDEIRA DO SUL</v>
      </c>
      <c r="H3148" t="str">
        <f>IFERROR(INDEX(tEditais[UF],MATCH(tItens[[#This Row],[Edital]],tEditais[Edital],0)),"")</f>
        <v>MG</v>
      </c>
      <c r="I3148" s="11">
        <f>IFERROR(INDEX(tEditais[Encerramento],MATCH(tItens[[#This Row],[Edital]],tEditais[Edital],0)),"")</f>
        <v>46308.458333333336</v>
      </c>
      <c r="J3148" t="str">
        <f>IFERROR(INDEX(tProdutos[Classe],MATCH(tItens[[#This Row],[Produto]],tProdutos[Produto],0)),"produto não cadastrado")</f>
        <v>FORA</v>
      </c>
      <c r="K3148" s="12">
        <f>tItens[[#This Row],[Qtd]]*tItens[[#This Row],[Vlr unit]]</f>
        <v>193</v>
      </c>
      <c r="L3148" s="6">
        <f>IFERROR(IF(INDEX(tProdutos[Desconto homologado],MATCH(tItens[[#This Row],[Produto]],tProdutos[Produto],0))="",DescontoPadrao,INDEX(tProdutos[Desconto homologado],MATCH(tItens[[#This Row],[Produto]],tProdutos[Produto],0))),DescontoPadrao)</f>
        <v>0.35412234042553198</v>
      </c>
      <c r="M3148" s="12">
        <f>tItens[[#This Row],[Valor]]*(1-tItens[[#This Row],[Desconto]])</f>
        <v>124.65438829787232</v>
      </c>
      <c r="N3148" t="str">
        <f>IFERROR(INDEX(tProdutos[Foco],MATCH(tItens[[#This Row],[Produto]],tProdutos[Produto],0)),"Não")</f>
        <v>Não</v>
      </c>
      <c r="O3148" t="str">
        <f>IFERROR(INDEX(tEditais[SRP],MATCH(tItens[[#This Row],[Edital]],tEditais[Edital],0)),"Não")</f>
        <v>Sim</v>
      </c>
      <c r="P3148" s="4">
        <f>IF(COUNTIFS(INDEX(tItens[Edital],1):tItens[[#This Row],[Edital]],tItens[[#This Row],[Edital]],INDEX(tItens[Produto],1):tItens[[#This Row],[Produto]],tItens[[#This Row],[Produto]])=1,1,0)</f>
        <v>0</v>
      </c>
    </row>
    <row r="3149" spans="1:16" x14ac:dyDescent="0.25">
      <c r="A3149" t="s">
        <v>1402</v>
      </c>
      <c r="B3149">
        <v>169</v>
      </c>
      <c r="C3149" t="s">
        <v>6054</v>
      </c>
      <c r="D3149" t="s">
        <v>343</v>
      </c>
      <c r="E3149" s="13">
        <v>50</v>
      </c>
      <c r="F3149" s="12">
        <v>1.99</v>
      </c>
      <c r="G3149" t="str">
        <f>IFERROR(INDEX(tEditais[Órgão],MATCH(tItens[[#This Row],[Edital]],tEditais[Edital],0)),"")</f>
        <v>MUNICIPIO DE BANDEIRA DO SUL</v>
      </c>
      <c r="H3149" t="str">
        <f>IFERROR(INDEX(tEditais[UF],MATCH(tItens[[#This Row],[Edital]],tEditais[Edital],0)),"")</f>
        <v>MG</v>
      </c>
      <c r="I3149" s="11">
        <f>IFERROR(INDEX(tEditais[Encerramento],MATCH(tItens[[#This Row],[Edital]],tEditais[Edital],0)),"")</f>
        <v>46308.458333333336</v>
      </c>
      <c r="J3149" t="str">
        <f>IFERROR(INDEX(tProdutos[Classe],MATCH(tItens[[#This Row],[Produto]],tProdutos[Produto],0)),"produto não cadastrado")</f>
        <v>FORA</v>
      </c>
      <c r="K3149" s="12">
        <f>tItens[[#This Row],[Qtd]]*tItens[[#This Row],[Vlr unit]]</f>
        <v>99.5</v>
      </c>
      <c r="L3149" s="6">
        <f>IFERROR(IF(INDEX(tProdutos[Desconto homologado],MATCH(tItens[[#This Row],[Produto]],tProdutos[Produto],0))="",DescontoPadrao,INDEX(tProdutos[Desconto homologado],MATCH(tItens[[#This Row],[Produto]],tProdutos[Produto],0))),DescontoPadrao)</f>
        <v>0.35412234042553198</v>
      </c>
      <c r="M3149" s="12">
        <f>tItens[[#This Row],[Valor]]*(1-tItens[[#This Row],[Desconto]])</f>
        <v>64.264827127659558</v>
      </c>
      <c r="N3149" t="str">
        <f>IFERROR(INDEX(tProdutos[Foco],MATCH(tItens[[#This Row],[Produto]],tProdutos[Produto],0)),"Não")</f>
        <v>Não</v>
      </c>
      <c r="O3149" t="str">
        <f>IFERROR(INDEX(tEditais[SRP],MATCH(tItens[[#This Row],[Edital]],tEditais[Edital],0)),"Não")</f>
        <v>Sim</v>
      </c>
      <c r="P3149" s="4">
        <f>IF(COUNTIFS(INDEX(tItens[Edital],1):tItens[[#This Row],[Edital]],tItens[[#This Row],[Edital]],INDEX(tItens[Produto],1):tItens[[#This Row],[Produto]],tItens[[#This Row],[Produto]])=1,1,0)</f>
        <v>0</v>
      </c>
    </row>
    <row r="3150" spans="1:16" x14ac:dyDescent="0.25">
      <c r="A3150" t="s">
        <v>1402</v>
      </c>
      <c r="B3150">
        <v>170</v>
      </c>
      <c r="C3150" t="s">
        <v>6055</v>
      </c>
      <c r="D3150" t="s">
        <v>313</v>
      </c>
      <c r="E3150" s="13">
        <v>300</v>
      </c>
      <c r="F3150" s="12">
        <v>29.71</v>
      </c>
      <c r="G3150" t="str">
        <f>IFERROR(INDEX(tEditais[Órgão],MATCH(tItens[[#This Row],[Edital]],tEditais[Edital],0)),"")</f>
        <v>MUNICIPIO DE BANDEIRA DO SUL</v>
      </c>
      <c r="H3150" t="str">
        <f>IFERROR(INDEX(tEditais[UF],MATCH(tItens[[#This Row],[Edital]],tEditais[Edital],0)),"")</f>
        <v>MG</v>
      </c>
      <c r="I3150" s="11">
        <f>IFERROR(INDEX(tEditais[Encerramento],MATCH(tItens[[#This Row],[Edital]],tEditais[Edital],0)),"")</f>
        <v>46308.458333333336</v>
      </c>
      <c r="J3150" t="str">
        <f>IFERROR(INDEX(tProdutos[Classe],MATCH(tItens[[#This Row],[Produto]],tProdutos[Produto],0)),"produto não cadastrado")</f>
        <v>FORA</v>
      </c>
      <c r="K3150" s="12">
        <f>tItens[[#This Row],[Qtd]]*tItens[[#This Row],[Vlr unit]]</f>
        <v>8913</v>
      </c>
      <c r="L3150" s="6">
        <f>IFERROR(IF(INDEX(tProdutos[Desconto homologado],MATCH(tItens[[#This Row],[Produto]],tProdutos[Produto],0))="",DescontoPadrao,INDEX(tProdutos[Desconto homologado],MATCH(tItens[[#This Row],[Produto]],tProdutos[Produto],0))),DescontoPadrao)</f>
        <v>0.35766373163696302</v>
      </c>
      <c r="M3150" s="12">
        <f>tItens[[#This Row],[Valor]]*(1-tItens[[#This Row],[Desconto]])</f>
        <v>5725.1431599197476</v>
      </c>
      <c r="N3150" t="str">
        <f>IFERROR(INDEX(tProdutos[Foco],MATCH(tItens[[#This Row],[Produto]],tProdutos[Produto],0)),"Não")</f>
        <v>Não</v>
      </c>
      <c r="O3150" t="str">
        <f>IFERROR(INDEX(tEditais[SRP],MATCH(tItens[[#This Row],[Edital]],tEditais[Edital],0)),"Não")</f>
        <v>Sim</v>
      </c>
      <c r="P3150" s="4">
        <f>IF(COUNTIFS(INDEX(tItens[Edital],1):tItens[[#This Row],[Edital]],tItens[[#This Row],[Edital]],INDEX(tItens[Produto],1):tItens[[#This Row],[Produto]],tItens[[#This Row],[Produto]])=1,1,0)</f>
        <v>1</v>
      </c>
    </row>
    <row r="3151" spans="1:16" x14ac:dyDescent="0.25">
      <c r="A3151" t="s">
        <v>1402</v>
      </c>
      <c r="B3151">
        <v>171</v>
      </c>
      <c r="C3151" t="s">
        <v>6056</v>
      </c>
      <c r="D3151" t="s">
        <v>313</v>
      </c>
      <c r="E3151" s="13">
        <v>200</v>
      </c>
      <c r="F3151" s="12">
        <v>30.86</v>
      </c>
      <c r="G3151" t="str">
        <f>IFERROR(INDEX(tEditais[Órgão],MATCH(tItens[[#This Row],[Edital]],tEditais[Edital],0)),"")</f>
        <v>MUNICIPIO DE BANDEIRA DO SUL</v>
      </c>
      <c r="H3151" t="str">
        <f>IFERROR(INDEX(tEditais[UF],MATCH(tItens[[#This Row],[Edital]],tEditais[Edital],0)),"")</f>
        <v>MG</v>
      </c>
      <c r="I3151" s="11">
        <f>IFERROR(INDEX(tEditais[Encerramento],MATCH(tItens[[#This Row],[Edital]],tEditais[Edital],0)),"")</f>
        <v>46308.458333333336</v>
      </c>
      <c r="J3151" t="str">
        <f>IFERROR(INDEX(tProdutos[Classe],MATCH(tItens[[#This Row],[Produto]],tProdutos[Produto],0)),"produto não cadastrado")</f>
        <v>FORA</v>
      </c>
      <c r="K3151" s="12">
        <f>tItens[[#This Row],[Qtd]]*tItens[[#This Row],[Vlr unit]]</f>
        <v>6172</v>
      </c>
      <c r="L3151" s="6">
        <f>IFERROR(IF(INDEX(tProdutos[Desconto homologado],MATCH(tItens[[#This Row],[Produto]],tProdutos[Produto],0))="",DescontoPadrao,INDEX(tProdutos[Desconto homologado],MATCH(tItens[[#This Row],[Produto]],tProdutos[Produto],0))),DescontoPadrao)</f>
        <v>0.35766373163696302</v>
      </c>
      <c r="M3151" s="12">
        <f>tItens[[#This Row],[Valor]]*(1-tItens[[#This Row],[Desconto]])</f>
        <v>3964.499448336664</v>
      </c>
      <c r="N3151" t="str">
        <f>IFERROR(INDEX(tProdutos[Foco],MATCH(tItens[[#This Row],[Produto]],tProdutos[Produto],0)),"Não")</f>
        <v>Não</v>
      </c>
      <c r="O3151" t="str">
        <f>IFERROR(INDEX(tEditais[SRP],MATCH(tItens[[#This Row],[Edital]],tEditais[Edital],0)),"Não")</f>
        <v>Sim</v>
      </c>
      <c r="P3151" s="4">
        <f>IF(COUNTIFS(INDEX(tItens[Edital],1):tItens[[#This Row],[Edital]],tItens[[#This Row],[Edital]],INDEX(tItens[Produto],1):tItens[[#This Row],[Produto]],tItens[[#This Row],[Produto]])=1,1,0)</f>
        <v>0</v>
      </c>
    </row>
    <row r="3152" spans="1:16" x14ac:dyDescent="0.25">
      <c r="A3152" t="s">
        <v>1402</v>
      </c>
      <c r="B3152">
        <v>172</v>
      </c>
      <c r="C3152" t="s">
        <v>6057</v>
      </c>
      <c r="D3152" t="s">
        <v>313</v>
      </c>
      <c r="E3152" s="13">
        <v>300</v>
      </c>
      <c r="F3152" s="12">
        <v>28.44</v>
      </c>
      <c r="G3152" t="str">
        <f>IFERROR(INDEX(tEditais[Órgão],MATCH(tItens[[#This Row],[Edital]],tEditais[Edital],0)),"")</f>
        <v>MUNICIPIO DE BANDEIRA DO SUL</v>
      </c>
      <c r="H3152" t="str">
        <f>IFERROR(INDEX(tEditais[UF],MATCH(tItens[[#This Row],[Edital]],tEditais[Edital],0)),"")</f>
        <v>MG</v>
      </c>
      <c r="I3152" s="11">
        <f>IFERROR(INDEX(tEditais[Encerramento],MATCH(tItens[[#This Row],[Edital]],tEditais[Edital],0)),"")</f>
        <v>46308.458333333336</v>
      </c>
      <c r="J3152" t="str">
        <f>IFERROR(INDEX(tProdutos[Classe],MATCH(tItens[[#This Row],[Produto]],tProdutos[Produto],0)),"produto não cadastrado")</f>
        <v>FORA</v>
      </c>
      <c r="K3152" s="12">
        <f>tItens[[#This Row],[Qtd]]*tItens[[#This Row],[Vlr unit]]</f>
        <v>8532</v>
      </c>
      <c r="L3152" s="6">
        <f>IFERROR(IF(INDEX(tProdutos[Desconto homologado],MATCH(tItens[[#This Row],[Produto]],tProdutos[Produto],0))="",DescontoPadrao,INDEX(tProdutos[Desconto homologado],MATCH(tItens[[#This Row],[Produto]],tProdutos[Produto],0))),DescontoPadrao)</f>
        <v>0.35766373163696302</v>
      </c>
      <c r="M3152" s="12">
        <f>tItens[[#This Row],[Valor]]*(1-tItens[[#This Row],[Desconto]])</f>
        <v>5480.4130416734306</v>
      </c>
      <c r="N3152" t="str">
        <f>IFERROR(INDEX(tProdutos[Foco],MATCH(tItens[[#This Row],[Produto]],tProdutos[Produto],0)),"Não")</f>
        <v>Não</v>
      </c>
      <c r="O3152" t="str">
        <f>IFERROR(INDEX(tEditais[SRP],MATCH(tItens[[#This Row],[Edital]],tEditais[Edital],0)),"Não")</f>
        <v>Sim</v>
      </c>
      <c r="P3152" s="4">
        <f>IF(COUNTIFS(INDEX(tItens[Edital],1):tItens[[#This Row],[Edital]],tItens[[#This Row],[Edital]],INDEX(tItens[Produto],1):tItens[[#This Row],[Produto]],tItens[[#This Row],[Produto]])=1,1,0)</f>
        <v>0</v>
      </c>
    </row>
    <row r="3153" spans="1:16" x14ac:dyDescent="0.25">
      <c r="A3153" t="s">
        <v>1402</v>
      </c>
      <c r="B3153">
        <v>174</v>
      </c>
      <c r="C3153" t="s">
        <v>6058</v>
      </c>
      <c r="D3153" t="s">
        <v>56</v>
      </c>
      <c r="E3153" s="13">
        <v>2</v>
      </c>
      <c r="F3153" s="12">
        <v>52.96</v>
      </c>
      <c r="G3153" t="str">
        <f>IFERROR(INDEX(tEditais[Órgão],MATCH(tItens[[#This Row],[Edital]],tEditais[Edital],0)),"")</f>
        <v>MUNICIPIO DE BANDEIRA DO SUL</v>
      </c>
      <c r="H3153" t="str">
        <f>IFERROR(INDEX(tEditais[UF],MATCH(tItens[[#This Row],[Edital]],tEditais[Edital],0)),"")</f>
        <v>MG</v>
      </c>
      <c r="I3153" s="11">
        <f>IFERROR(INDEX(tEditais[Encerramento],MATCH(tItens[[#This Row],[Edital]],tEditais[Edital],0)),"")</f>
        <v>46308.458333333336</v>
      </c>
      <c r="J3153" t="str">
        <f>IFERROR(INDEX(tProdutos[Classe],MATCH(tItens[[#This Row],[Produto]],tProdutos[Produto],0)),"produto não cadastrado")</f>
        <v>NÚCLEO</v>
      </c>
      <c r="K3153" s="12">
        <f>tItens[[#This Row],[Qtd]]*tItens[[#This Row],[Vlr unit]]</f>
        <v>105.92</v>
      </c>
      <c r="L3153" s="6">
        <f>IFERROR(IF(INDEX(tProdutos[Desconto homologado],MATCH(tItens[[#This Row],[Produto]],tProdutos[Produto],0))="",DescontoPadrao,INDEX(tProdutos[Desconto homologado],MATCH(tItens[[#This Row],[Produto]],tProdutos[Produto],0))),DescontoPadrao)</f>
        <v>0.34</v>
      </c>
      <c r="M3153" s="12">
        <f>tItens[[#This Row],[Valor]]*(1-tItens[[#This Row],[Desconto]])</f>
        <v>69.907199999999989</v>
      </c>
      <c r="N3153" t="str">
        <f>IFERROR(INDEX(tProdutos[Foco],MATCH(tItens[[#This Row],[Produto]],tProdutos[Produto],0)),"Não")</f>
        <v>Sim</v>
      </c>
      <c r="O3153" t="str">
        <f>IFERROR(INDEX(tEditais[SRP],MATCH(tItens[[#This Row],[Edital]],tEditais[Edital],0)),"Não")</f>
        <v>Sim</v>
      </c>
      <c r="P3153" s="4">
        <f>IF(COUNTIFS(INDEX(tItens[Edital],1):tItens[[#This Row],[Edital]],tItens[[#This Row],[Edital]],INDEX(tItens[Produto],1):tItens[[#This Row],[Produto]],tItens[[#This Row],[Produto]])=1,1,0)</f>
        <v>1</v>
      </c>
    </row>
    <row r="3154" spans="1:16" x14ac:dyDescent="0.25">
      <c r="A3154" t="s">
        <v>1402</v>
      </c>
      <c r="B3154">
        <v>175</v>
      </c>
      <c r="C3154" t="s">
        <v>6059</v>
      </c>
      <c r="D3154" t="s">
        <v>56</v>
      </c>
      <c r="E3154" s="13">
        <v>2</v>
      </c>
      <c r="F3154" s="12">
        <v>43</v>
      </c>
      <c r="G3154" t="str">
        <f>IFERROR(INDEX(tEditais[Órgão],MATCH(tItens[[#This Row],[Edital]],tEditais[Edital],0)),"")</f>
        <v>MUNICIPIO DE BANDEIRA DO SUL</v>
      </c>
      <c r="H3154" t="str">
        <f>IFERROR(INDEX(tEditais[UF],MATCH(tItens[[#This Row],[Edital]],tEditais[Edital],0)),"")</f>
        <v>MG</v>
      </c>
      <c r="I3154" s="11">
        <f>IFERROR(INDEX(tEditais[Encerramento],MATCH(tItens[[#This Row],[Edital]],tEditais[Edital],0)),"")</f>
        <v>46308.458333333336</v>
      </c>
      <c r="J3154" t="str">
        <f>IFERROR(INDEX(tProdutos[Classe],MATCH(tItens[[#This Row],[Produto]],tProdutos[Produto],0)),"produto não cadastrado")</f>
        <v>NÚCLEO</v>
      </c>
      <c r="K3154" s="12">
        <f>tItens[[#This Row],[Qtd]]*tItens[[#This Row],[Vlr unit]]</f>
        <v>86</v>
      </c>
      <c r="L3154" s="6">
        <f>IFERROR(IF(INDEX(tProdutos[Desconto homologado],MATCH(tItens[[#This Row],[Produto]],tProdutos[Produto],0))="",DescontoPadrao,INDEX(tProdutos[Desconto homologado],MATCH(tItens[[#This Row],[Produto]],tProdutos[Produto],0))),DescontoPadrao)</f>
        <v>0.34</v>
      </c>
      <c r="M3154" s="12">
        <f>tItens[[#This Row],[Valor]]*(1-tItens[[#This Row],[Desconto]])</f>
        <v>56.759999999999991</v>
      </c>
      <c r="N3154" t="str">
        <f>IFERROR(INDEX(tProdutos[Foco],MATCH(tItens[[#This Row],[Produto]],tProdutos[Produto],0)),"Não")</f>
        <v>Sim</v>
      </c>
      <c r="O3154" t="str">
        <f>IFERROR(INDEX(tEditais[SRP],MATCH(tItens[[#This Row],[Edital]],tEditais[Edital],0)),"Não")</f>
        <v>Sim</v>
      </c>
      <c r="P3154" s="4">
        <f>IF(COUNTIFS(INDEX(tItens[Edital],1):tItens[[#This Row],[Edital]],tItens[[#This Row],[Edital]],INDEX(tItens[Produto],1):tItens[[#This Row],[Produto]],tItens[[#This Row],[Produto]])=1,1,0)</f>
        <v>0</v>
      </c>
    </row>
    <row r="3155" spans="1:16" x14ac:dyDescent="0.25">
      <c r="A3155" t="s">
        <v>1402</v>
      </c>
      <c r="B3155">
        <v>176</v>
      </c>
      <c r="C3155" t="s">
        <v>6060</v>
      </c>
      <c r="D3155" t="s">
        <v>56</v>
      </c>
      <c r="E3155" s="13">
        <v>2</v>
      </c>
      <c r="F3155" s="12">
        <v>45.31</v>
      </c>
      <c r="G3155" t="str">
        <f>IFERROR(INDEX(tEditais[Órgão],MATCH(tItens[[#This Row],[Edital]],tEditais[Edital],0)),"")</f>
        <v>MUNICIPIO DE BANDEIRA DO SUL</v>
      </c>
      <c r="H3155" t="str">
        <f>IFERROR(INDEX(tEditais[UF],MATCH(tItens[[#This Row],[Edital]],tEditais[Edital],0)),"")</f>
        <v>MG</v>
      </c>
      <c r="I3155" s="11">
        <f>IFERROR(INDEX(tEditais[Encerramento],MATCH(tItens[[#This Row],[Edital]],tEditais[Edital],0)),"")</f>
        <v>46308.458333333336</v>
      </c>
      <c r="J3155" t="str">
        <f>IFERROR(INDEX(tProdutos[Classe],MATCH(tItens[[#This Row],[Produto]],tProdutos[Produto],0)),"produto não cadastrado")</f>
        <v>NÚCLEO</v>
      </c>
      <c r="K3155" s="12">
        <f>tItens[[#This Row],[Qtd]]*tItens[[#This Row],[Vlr unit]]</f>
        <v>90.62</v>
      </c>
      <c r="L3155" s="6">
        <f>IFERROR(IF(INDEX(tProdutos[Desconto homologado],MATCH(tItens[[#This Row],[Produto]],tProdutos[Produto],0))="",DescontoPadrao,INDEX(tProdutos[Desconto homologado],MATCH(tItens[[#This Row],[Produto]],tProdutos[Produto],0))),DescontoPadrao)</f>
        <v>0.34</v>
      </c>
      <c r="M3155" s="12">
        <f>tItens[[#This Row],[Valor]]*(1-tItens[[#This Row],[Desconto]])</f>
        <v>59.809199999999997</v>
      </c>
      <c r="N3155" t="str">
        <f>IFERROR(INDEX(tProdutos[Foco],MATCH(tItens[[#This Row],[Produto]],tProdutos[Produto],0)),"Não")</f>
        <v>Sim</v>
      </c>
      <c r="O3155" t="str">
        <f>IFERROR(INDEX(tEditais[SRP],MATCH(tItens[[#This Row],[Edital]],tEditais[Edital],0)),"Não")</f>
        <v>Sim</v>
      </c>
      <c r="P3155" s="4">
        <f>IF(COUNTIFS(INDEX(tItens[Edital],1):tItens[[#This Row],[Edital]],tItens[[#This Row],[Edital]],INDEX(tItens[Produto],1):tItens[[#This Row],[Produto]],tItens[[#This Row],[Produto]])=1,1,0)</f>
        <v>0</v>
      </c>
    </row>
    <row r="3156" spans="1:16" x14ac:dyDescent="0.25">
      <c r="A3156" t="s">
        <v>1402</v>
      </c>
      <c r="B3156">
        <v>177</v>
      </c>
      <c r="C3156" t="s">
        <v>6061</v>
      </c>
      <c r="D3156" t="s">
        <v>56</v>
      </c>
      <c r="E3156" s="13">
        <v>2</v>
      </c>
      <c r="F3156" s="12">
        <v>41.76</v>
      </c>
      <c r="G3156" t="str">
        <f>IFERROR(INDEX(tEditais[Órgão],MATCH(tItens[[#This Row],[Edital]],tEditais[Edital],0)),"")</f>
        <v>MUNICIPIO DE BANDEIRA DO SUL</v>
      </c>
      <c r="H3156" t="str">
        <f>IFERROR(INDEX(tEditais[UF],MATCH(tItens[[#This Row],[Edital]],tEditais[Edital],0)),"")</f>
        <v>MG</v>
      </c>
      <c r="I3156" s="11">
        <f>IFERROR(INDEX(tEditais[Encerramento],MATCH(tItens[[#This Row],[Edital]],tEditais[Edital],0)),"")</f>
        <v>46308.458333333336</v>
      </c>
      <c r="J3156" t="str">
        <f>IFERROR(INDEX(tProdutos[Classe],MATCH(tItens[[#This Row],[Produto]],tProdutos[Produto],0)),"produto não cadastrado")</f>
        <v>NÚCLEO</v>
      </c>
      <c r="K3156" s="12">
        <f>tItens[[#This Row],[Qtd]]*tItens[[#This Row],[Vlr unit]]</f>
        <v>83.52</v>
      </c>
      <c r="L3156" s="6">
        <f>IFERROR(IF(INDEX(tProdutos[Desconto homologado],MATCH(tItens[[#This Row],[Produto]],tProdutos[Produto],0))="",DescontoPadrao,INDEX(tProdutos[Desconto homologado],MATCH(tItens[[#This Row],[Produto]],tProdutos[Produto],0))),DescontoPadrao)</f>
        <v>0.34</v>
      </c>
      <c r="M3156" s="12">
        <f>tItens[[#This Row],[Valor]]*(1-tItens[[#This Row],[Desconto]])</f>
        <v>55.12319999999999</v>
      </c>
      <c r="N3156" t="str">
        <f>IFERROR(INDEX(tProdutos[Foco],MATCH(tItens[[#This Row],[Produto]],tProdutos[Produto],0)),"Não")</f>
        <v>Sim</v>
      </c>
      <c r="O3156" t="str">
        <f>IFERROR(INDEX(tEditais[SRP],MATCH(tItens[[#This Row],[Edital]],tEditais[Edital],0)),"Não")</f>
        <v>Sim</v>
      </c>
      <c r="P3156" s="4">
        <f>IF(COUNTIFS(INDEX(tItens[Edital],1):tItens[[#This Row],[Edital]],tItens[[#This Row],[Edital]],INDEX(tItens[Produto],1):tItens[[#This Row],[Produto]],tItens[[#This Row],[Produto]])=1,1,0)</f>
        <v>0</v>
      </c>
    </row>
    <row r="3157" spans="1:16" x14ac:dyDescent="0.25">
      <c r="A3157" t="s">
        <v>1402</v>
      </c>
      <c r="B3157">
        <v>183</v>
      </c>
      <c r="C3157" t="s">
        <v>6062</v>
      </c>
      <c r="D3157" t="s">
        <v>411</v>
      </c>
      <c r="E3157" s="13">
        <v>4</v>
      </c>
      <c r="F3157" s="12">
        <v>380.19</v>
      </c>
      <c r="G3157" t="str">
        <f>IFERROR(INDEX(tEditais[Órgão],MATCH(tItens[[#This Row],[Edital]],tEditais[Edital],0)),"")</f>
        <v>MUNICIPIO DE BANDEIRA DO SUL</v>
      </c>
      <c r="H3157" t="str">
        <f>IFERROR(INDEX(tEditais[UF],MATCH(tItens[[#This Row],[Edital]],tEditais[Edital],0)),"")</f>
        <v>MG</v>
      </c>
      <c r="I3157" s="11">
        <f>IFERROR(INDEX(tEditais[Encerramento],MATCH(tItens[[#This Row],[Edital]],tEditais[Edital],0)),"")</f>
        <v>46308.458333333336</v>
      </c>
      <c r="J3157" t="str">
        <f>IFERROR(INDEX(tProdutos[Classe],MATCH(tItens[[#This Row],[Produto]],tProdutos[Produto],0)),"produto não cadastrado")</f>
        <v>FORA</v>
      </c>
      <c r="K3157" s="12">
        <f>tItens[[#This Row],[Qtd]]*tItens[[#This Row],[Vlr unit]]</f>
        <v>1520.76</v>
      </c>
      <c r="L3157" s="6">
        <f>IFERROR(IF(INDEX(tProdutos[Desconto homologado],MATCH(tItens[[#This Row],[Produto]],tProdutos[Produto],0))="",DescontoPadrao,INDEX(tProdutos[Desconto homologado],MATCH(tItens[[#This Row],[Produto]],tProdutos[Produto],0))),DescontoPadrao)</f>
        <v>0.50029835957199398</v>
      </c>
      <c r="M3157" s="12">
        <f>tItens[[#This Row],[Valor]]*(1-tItens[[#This Row],[Desconto]])</f>
        <v>759.92626669729441</v>
      </c>
      <c r="N3157" t="str">
        <f>IFERROR(INDEX(tProdutos[Foco],MATCH(tItens[[#This Row],[Produto]],tProdutos[Produto],0)),"Não")</f>
        <v>Não</v>
      </c>
      <c r="O3157" t="str">
        <f>IFERROR(INDEX(tEditais[SRP],MATCH(tItens[[#This Row],[Edital]],tEditais[Edital],0)),"Não")</f>
        <v>Sim</v>
      </c>
      <c r="P3157" s="4">
        <f>IF(COUNTIFS(INDEX(tItens[Edital],1):tItens[[#This Row],[Edital]],tItens[[#This Row],[Edital]],INDEX(tItens[Produto],1):tItens[[#This Row],[Produto]],tItens[[#This Row],[Produto]])=1,1,0)</f>
        <v>0</v>
      </c>
    </row>
    <row r="3158" spans="1:16" x14ac:dyDescent="0.25">
      <c r="A3158" t="s">
        <v>1402</v>
      </c>
      <c r="B3158">
        <v>185</v>
      </c>
      <c r="C3158" t="s">
        <v>6063</v>
      </c>
      <c r="D3158" t="s">
        <v>385</v>
      </c>
      <c r="E3158" s="13">
        <v>50</v>
      </c>
      <c r="F3158" s="12">
        <v>5.96</v>
      </c>
      <c r="G3158" t="str">
        <f>IFERROR(INDEX(tEditais[Órgão],MATCH(tItens[[#This Row],[Edital]],tEditais[Edital],0)),"")</f>
        <v>MUNICIPIO DE BANDEIRA DO SUL</v>
      </c>
      <c r="H3158" t="str">
        <f>IFERROR(INDEX(tEditais[UF],MATCH(tItens[[#This Row],[Edital]],tEditais[Edital],0)),"")</f>
        <v>MG</v>
      </c>
      <c r="I3158" s="11">
        <f>IFERROR(INDEX(tEditais[Encerramento],MATCH(tItens[[#This Row],[Edital]],tEditais[Edital],0)),"")</f>
        <v>46308.458333333336</v>
      </c>
      <c r="J3158" t="str">
        <f>IFERROR(INDEX(tProdutos[Classe],MATCH(tItens[[#This Row],[Produto]],tProdutos[Produto],0)),"produto não cadastrado")</f>
        <v>FORA</v>
      </c>
      <c r="K3158" s="12">
        <f>tItens[[#This Row],[Qtd]]*tItens[[#This Row],[Vlr unit]]</f>
        <v>298</v>
      </c>
      <c r="L3158" s="6">
        <f>IFERROR(IF(INDEX(tProdutos[Desconto homologado],MATCH(tItens[[#This Row],[Produto]],tProdutos[Produto],0))="",DescontoPadrao,INDEX(tProdutos[Desconto homologado],MATCH(tItens[[#This Row],[Produto]],tProdutos[Produto],0))),DescontoPadrao)</f>
        <v>0.46969696969697</v>
      </c>
      <c r="M3158" s="12">
        <f>tItens[[#This Row],[Valor]]*(1-tItens[[#This Row],[Desconto]])</f>
        <v>158.03030303030295</v>
      </c>
      <c r="N3158" t="str">
        <f>IFERROR(INDEX(tProdutos[Foco],MATCH(tItens[[#This Row],[Produto]],tProdutos[Produto],0)),"Não")</f>
        <v>Não</v>
      </c>
      <c r="O3158" t="str">
        <f>IFERROR(INDEX(tEditais[SRP],MATCH(tItens[[#This Row],[Edital]],tEditais[Edital],0)),"Não")</f>
        <v>Sim</v>
      </c>
      <c r="P3158" s="4">
        <f>IF(COUNTIFS(INDEX(tItens[Edital],1):tItens[[#This Row],[Edital]],tItens[[#This Row],[Edital]],INDEX(tItens[Produto],1):tItens[[#This Row],[Produto]],tItens[[#This Row],[Produto]])=1,1,0)</f>
        <v>1</v>
      </c>
    </row>
    <row r="3159" spans="1:16" x14ac:dyDescent="0.25">
      <c r="A3159" t="s">
        <v>1402</v>
      </c>
      <c r="B3159">
        <v>186</v>
      </c>
      <c r="C3159" t="s">
        <v>6064</v>
      </c>
      <c r="D3159" t="s">
        <v>403</v>
      </c>
      <c r="E3159" s="13">
        <v>100</v>
      </c>
      <c r="F3159" s="12">
        <v>2.78</v>
      </c>
      <c r="G3159" t="str">
        <f>IFERROR(INDEX(tEditais[Órgão],MATCH(tItens[[#This Row],[Edital]],tEditais[Edital],0)),"")</f>
        <v>MUNICIPIO DE BANDEIRA DO SUL</v>
      </c>
      <c r="H3159" t="str">
        <f>IFERROR(INDEX(tEditais[UF],MATCH(tItens[[#This Row],[Edital]],tEditais[Edital],0)),"")</f>
        <v>MG</v>
      </c>
      <c r="I3159" s="11">
        <f>IFERROR(INDEX(tEditais[Encerramento],MATCH(tItens[[#This Row],[Edital]],tEditais[Edital],0)),"")</f>
        <v>46308.458333333336</v>
      </c>
      <c r="J3159" t="str">
        <f>IFERROR(INDEX(tProdutos[Classe],MATCH(tItens[[#This Row],[Produto]],tProdutos[Produto],0)),"produto não cadastrado")</f>
        <v>FORA</v>
      </c>
      <c r="K3159" s="12">
        <f>tItens[[#This Row],[Qtd]]*tItens[[#This Row],[Vlr unit]]</f>
        <v>278</v>
      </c>
      <c r="L3159" s="6">
        <f>IFERROR(IF(INDEX(tProdutos[Desconto homologado],MATCH(tItens[[#This Row],[Produto]],tProdutos[Produto],0))="",DescontoPadrao,INDEX(tProdutos[Desconto homologado],MATCH(tItens[[#This Row],[Produto]],tProdutos[Produto],0))),DescontoPadrao)</f>
        <v>0.35326086956521702</v>
      </c>
      <c r="M3159" s="12">
        <f>tItens[[#This Row],[Valor]]*(1-tItens[[#This Row],[Desconto]])</f>
        <v>179.79347826086965</v>
      </c>
      <c r="N3159" t="str">
        <f>IFERROR(INDEX(tProdutos[Foco],MATCH(tItens[[#This Row],[Produto]],tProdutos[Produto],0)),"Não")</f>
        <v>Não</v>
      </c>
      <c r="O3159" t="str">
        <f>IFERROR(INDEX(tEditais[SRP],MATCH(tItens[[#This Row],[Edital]],tEditais[Edital],0)),"Não")</f>
        <v>Sim</v>
      </c>
      <c r="P3159" s="4">
        <f>IF(COUNTIFS(INDEX(tItens[Edital],1):tItens[[#This Row],[Edital]],tItens[[#This Row],[Edital]],INDEX(tItens[Produto],1):tItens[[#This Row],[Produto]],tItens[[#This Row],[Produto]])=1,1,0)</f>
        <v>1</v>
      </c>
    </row>
    <row r="3160" spans="1:16" x14ac:dyDescent="0.25">
      <c r="A3160" t="s">
        <v>1402</v>
      </c>
      <c r="B3160">
        <v>223</v>
      </c>
      <c r="C3160" t="s">
        <v>6065</v>
      </c>
      <c r="D3160" t="s">
        <v>281</v>
      </c>
      <c r="E3160" s="13">
        <v>50</v>
      </c>
      <c r="F3160" s="12">
        <v>41.07</v>
      </c>
      <c r="G3160" t="str">
        <f>IFERROR(INDEX(tEditais[Órgão],MATCH(tItens[[#This Row],[Edital]],tEditais[Edital],0)),"")</f>
        <v>MUNICIPIO DE BANDEIRA DO SUL</v>
      </c>
      <c r="H3160" t="str">
        <f>IFERROR(INDEX(tEditais[UF],MATCH(tItens[[#This Row],[Edital]],tEditais[Edital],0)),"")</f>
        <v>MG</v>
      </c>
      <c r="I3160" s="11">
        <f>IFERROR(INDEX(tEditais[Encerramento],MATCH(tItens[[#This Row],[Edital]],tEditais[Edital],0)),"")</f>
        <v>46308.458333333336</v>
      </c>
      <c r="J3160" t="str">
        <f>IFERROR(INDEX(tProdutos[Classe],MATCH(tItens[[#This Row],[Produto]],tProdutos[Produto],0)),"produto não cadastrado")</f>
        <v>DISPUTADO</v>
      </c>
      <c r="K3160" s="12">
        <f>tItens[[#This Row],[Qtd]]*tItens[[#This Row],[Vlr unit]]</f>
        <v>2053.5</v>
      </c>
      <c r="L3160" s="6">
        <f>IFERROR(IF(INDEX(tProdutos[Desconto homologado],MATCH(tItens[[#This Row],[Produto]],tProdutos[Produto],0))="",DescontoPadrao,INDEX(tProdutos[Desconto homologado],MATCH(tItens[[#This Row],[Produto]],tProdutos[Produto],0))),DescontoPadrao)</f>
        <v>0.42461538461538501</v>
      </c>
      <c r="M3160" s="12">
        <f>tItens[[#This Row],[Valor]]*(1-tItens[[#This Row],[Desconto]])</f>
        <v>1181.5523076923068</v>
      </c>
      <c r="N3160" t="str">
        <f>IFERROR(INDEX(tProdutos[Foco],MATCH(tItens[[#This Row],[Produto]],tProdutos[Produto],0)),"Não")</f>
        <v>Não</v>
      </c>
      <c r="O3160" t="str">
        <f>IFERROR(INDEX(tEditais[SRP],MATCH(tItens[[#This Row],[Edital]],tEditais[Edital],0)),"Não")</f>
        <v>Sim</v>
      </c>
      <c r="P3160" s="4">
        <f>IF(COUNTIFS(INDEX(tItens[Edital],1):tItens[[#This Row],[Edital]],tItens[[#This Row],[Edital]],INDEX(tItens[Produto],1):tItens[[#This Row],[Produto]],tItens[[#This Row],[Produto]])=1,1,0)</f>
        <v>1</v>
      </c>
    </row>
    <row r="3161" spans="1:16" x14ac:dyDescent="0.25">
      <c r="A3161" t="s">
        <v>1402</v>
      </c>
      <c r="B3161">
        <v>224</v>
      </c>
      <c r="C3161" t="s">
        <v>6066</v>
      </c>
      <c r="D3161" t="s">
        <v>275</v>
      </c>
      <c r="E3161" s="13">
        <v>10</v>
      </c>
      <c r="F3161" s="12">
        <v>13.2</v>
      </c>
      <c r="G3161" t="str">
        <f>IFERROR(INDEX(tEditais[Órgão],MATCH(tItens[[#This Row],[Edital]],tEditais[Edital],0)),"")</f>
        <v>MUNICIPIO DE BANDEIRA DO SUL</v>
      </c>
      <c r="H3161" t="str">
        <f>IFERROR(INDEX(tEditais[UF],MATCH(tItens[[#This Row],[Edital]],tEditais[Edital],0)),"")</f>
        <v>MG</v>
      </c>
      <c r="I3161" s="11">
        <f>IFERROR(INDEX(tEditais[Encerramento],MATCH(tItens[[#This Row],[Edital]],tEditais[Edital],0)),"")</f>
        <v>46308.458333333336</v>
      </c>
      <c r="J3161" t="str">
        <f>IFERROR(INDEX(tProdutos[Classe],MATCH(tItens[[#This Row],[Produto]],tProdutos[Produto],0)),"produto não cadastrado")</f>
        <v>FORA</v>
      </c>
      <c r="K3161" s="12">
        <f>tItens[[#This Row],[Qtd]]*tItens[[#This Row],[Vlr unit]]</f>
        <v>132</v>
      </c>
      <c r="L3161" s="6">
        <f>IFERROR(IF(INDEX(tProdutos[Desconto homologado],MATCH(tItens[[#This Row],[Produto]],tProdutos[Produto],0))="",DescontoPadrao,INDEX(tProdutos[Desconto homologado],MATCH(tItens[[#This Row],[Produto]],tProdutos[Produto],0))),DescontoPadrao)</f>
        <v>0.405797101449275</v>
      </c>
      <c r="M3161" s="12">
        <f>tItens[[#This Row],[Valor]]*(1-tItens[[#This Row],[Desconto]])</f>
        <v>78.434782608695713</v>
      </c>
      <c r="N3161" t="str">
        <f>IFERROR(INDEX(tProdutos[Foco],MATCH(tItens[[#This Row],[Produto]],tProdutos[Produto],0)),"Não")</f>
        <v>Não</v>
      </c>
      <c r="O3161" t="str">
        <f>IFERROR(INDEX(tEditais[SRP],MATCH(tItens[[#This Row],[Edital]],tEditais[Edital],0)),"Não")</f>
        <v>Sim</v>
      </c>
      <c r="P3161" s="4">
        <f>IF(COUNTIFS(INDEX(tItens[Edital],1):tItens[[#This Row],[Edital]],tItens[[#This Row],[Edital]],INDEX(tItens[Produto],1):tItens[[#This Row],[Produto]],tItens[[#This Row],[Produto]])=1,1,0)</f>
        <v>1</v>
      </c>
    </row>
    <row r="3162" spans="1:16" x14ac:dyDescent="0.25">
      <c r="A3162" t="s">
        <v>1402</v>
      </c>
      <c r="B3162">
        <v>225</v>
      </c>
      <c r="C3162" t="s">
        <v>6067</v>
      </c>
      <c r="D3162" t="s">
        <v>289</v>
      </c>
      <c r="E3162" s="13">
        <v>50</v>
      </c>
      <c r="F3162" s="12">
        <v>20.8</v>
      </c>
      <c r="G3162" t="str">
        <f>IFERROR(INDEX(tEditais[Órgão],MATCH(tItens[[#This Row],[Edital]],tEditais[Edital],0)),"")</f>
        <v>MUNICIPIO DE BANDEIRA DO SUL</v>
      </c>
      <c r="H3162" t="str">
        <f>IFERROR(INDEX(tEditais[UF],MATCH(tItens[[#This Row],[Edital]],tEditais[Edital],0)),"")</f>
        <v>MG</v>
      </c>
      <c r="I3162" s="11">
        <f>IFERROR(INDEX(tEditais[Encerramento],MATCH(tItens[[#This Row],[Edital]],tEditais[Edital],0)),"")</f>
        <v>46308.458333333336</v>
      </c>
      <c r="J3162" t="str">
        <f>IFERROR(INDEX(tProdutos[Classe],MATCH(tItens[[#This Row],[Produto]],tProdutos[Produto],0)),"produto não cadastrado")</f>
        <v>DISPUTADO</v>
      </c>
      <c r="K3162" s="12">
        <f>tItens[[#This Row],[Qtd]]*tItens[[#This Row],[Vlr unit]]</f>
        <v>1040</v>
      </c>
      <c r="L3162" s="6">
        <f>IFERROR(IF(INDEX(tProdutos[Desconto homologado],MATCH(tItens[[#This Row],[Produto]],tProdutos[Produto],0))="",DescontoPadrao,INDEX(tProdutos[Desconto homologado],MATCH(tItens[[#This Row],[Produto]],tProdutos[Produto],0))),DescontoPadrao)</f>
        <v>0.35849056603773599</v>
      </c>
      <c r="M3162" s="12">
        <f>tItens[[#This Row],[Valor]]*(1-tItens[[#This Row],[Desconto]])</f>
        <v>667.16981132075455</v>
      </c>
      <c r="N3162" t="str">
        <f>IFERROR(INDEX(tProdutos[Foco],MATCH(tItens[[#This Row],[Produto]],tProdutos[Produto],0)),"Não")</f>
        <v>Não</v>
      </c>
      <c r="O3162" t="str">
        <f>IFERROR(INDEX(tEditais[SRP],MATCH(tItens[[#This Row],[Edital]],tEditais[Edital],0)),"Não")</f>
        <v>Sim</v>
      </c>
      <c r="P3162" s="4">
        <f>IF(COUNTIFS(INDEX(tItens[Edital],1):tItens[[#This Row],[Edital]],tItens[[#This Row],[Edital]],INDEX(tItens[Produto],1):tItens[[#This Row],[Produto]],tItens[[#This Row],[Produto]])=1,1,0)</f>
        <v>1</v>
      </c>
    </row>
    <row r="3163" spans="1:16" x14ac:dyDescent="0.25">
      <c r="A3163" t="s">
        <v>1402</v>
      </c>
      <c r="B3163">
        <v>227</v>
      </c>
      <c r="C3163" t="s">
        <v>6068</v>
      </c>
      <c r="D3163" t="s">
        <v>275</v>
      </c>
      <c r="E3163" s="13">
        <v>200</v>
      </c>
      <c r="F3163" s="12">
        <v>31.31</v>
      </c>
      <c r="G3163" t="str">
        <f>IFERROR(INDEX(tEditais[Órgão],MATCH(tItens[[#This Row],[Edital]],tEditais[Edital],0)),"")</f>
        <v>MUNICIPIO DE BANDEIRA DO SUL</v>
      </c>
      <c r="H3163" t="str">
        <f>IFERROR(INDEX(tEditais[UF],MATCH(tItens[[#This Row],[Edital]],tEditais[Edital],0)),"")</f>
        <v>MG</v>
      </c>
      <c r="I3163" s="11">
        <f>IFERROR(INDEX(tEditais[Encerramento],MATCH(tItens[[#This Row],[Edital]],tEditais[Edital],0)),"")</f>
        <v>46308.458333333336</v>
      </c>
      <c r="J3163" t="str">
        <f>IFERROR(INDEX(tProdutos[Classe],MATCH(tItens[[#This Row],[Produto]],tProdutos[Produto],0)),"produto não cadastrado")</f>
        <v>FORA</v>
      </c>
      <c r="K3163" s="12">
        <f>tItens[[#This Row],[Qtd]]*tItens[[#This Row],[Vlr unit]]</f>
        <v>6262</v>
      </c>
      <c r="L3163" s="6">
        <f>IFERROR(IF(INDEX(tProdutos[Desconto homologado],MATCH(tItens[[#This Row],[Produto]],tProdutos[Produto],0))="",DescontoPadrao,INDEX(tProdutos[Desconto homologado],MATCH(tItens[[#This Row],[Produto]],tProdutos[Produto],0))),DescontoPadrao)</f>
        <v>0.405797101449275</v>
      </c>
      <c r="M3163" s="12">
        <f>tItens[[#This Row],[Valor]]*(1-tItens[[#This Row],[Desconto]])</f>
        <v>3720.8985507246402</v>
      </c>
      <c r="N3163" t="str">
        <f>IFERROR(INDEX(tProdutos[Foco],MATCH(tItens[[#This Row],[Produto]],tProdutos[Produto],0)),"Não")</f>
        <v>Não</v>
      </c>
      <c r="O3163" t="str">
        <f>IFERROR(INDEX(tEditais[SRP],MATCH(tItens[[#This Row],[Edital]],tEditais[Edital],0)),"Não")</f>
        <v>Sim</v>
      </c>
      <c r="P3163" s="4">
        <f>IF(COUNTIFS(INDEX(tItens[Edital],1):tItens[[#This Row],[Edital]],tItens[[#This Row],[Edital]],INDEX(tItens[Produto],1):tItens[[#This Row],[Produto]],tItens[[#This Row],[Produto]])=1,1,0)</f>
        <v>0</v>
      </c>
    </row>
    <row r="3164" spans="1:16" x14ac:dyDescent="0.25">
      <c r="A3164" t="s">
        <v>1402</v>
      </c>
      <c r="B3164">
        <v>228</v>
      </c>
      <c r="C3164" t="s">
        <v>6069</v>
      </c>
      <c r="D3164" t="s">
        <v>317</v>
      </c>
      <c r="E3164" s="13">
        <v>150</v>
      </c>
      <c r="F3164" s="12">
        <v>0.24</v>
      </c>
      <c r="G3164" t="str">
        <f>IFERROR(INDEX(tEditais[Órgão],MATCH(tItens[[#This Row],[Edital]],tEditais[Edital],0)),"")</f>
        <v>MUNICIPIO DE BANDEIRA DO SUL</v>
      </c>
      <c r="H3164" t="str">
        <f>IFERROR(INDEX(tEditais[UF],MATCH(tItens[[#This Row],[Edital]],tEditais[Edital],0)),"")</f>
        <v>MG</v>
      </c>
      <c r="I3164" s="11">
        <f>IFERROR(INDEX(tEditais[Encerramento],MATCH(tItens[[#This Row],[Edital]],tEditais[Edital],0)),"")</f>
        <v>46308.458333333336</v>
      </c>
      <c r="J3164" t="str">
        <f>IFERROR(INDEX(tProdutos[Classe],MATCH(tItens[[#This Row],[Produto]],tProdutos[Produto],0)),"produto não cadastrado")</f>
        <v>FORA</v>
      </c>
      <c r="K3164" s="12">
        <f>tItens[[#This Row],[Qtd]]*tItens[[#This Row],[Vlr unit]]</f>
        <v>36</v>
      </c>
      <c r="L3164" s="6">
        <f>IFERROR(IF(INDEX(tProdutos[Desconto homologado],MATCH(tItens[[#This Row],[Produto]],tProdutos[Produto],0))="",DescontoPadrao,INDEX(tProdutos[Desconto homologado],MATCH(tItens[[#This Row],[Produto]],tProdutos[Produto],0))),DescontoPadrao)</f>
        <v>0.5</v>
      </c>
      <c r="M3164" s="12">
        <f>tItens[[#This Row],[Valor]]*(1-tItens[[#This Row],[Desconto]])</f>
        <v>18</v>
      </c>
      <c r="N3164" t="str">
        <f>IFERROR(INDEX(tProdutos[Foco],MATCH(tItens[[#This Row],[Produto]],tProdutos[Produto],0)),"Não")</f>
        <v>Não</v>
      </c>
      <c r="O3164" t="str">
        <f>IFERROR(INDEX(tEditais[SRP],MATCH(tItens[[#This Row],[Edital]],tEditais[Edital],0)),"Não")</f>
        <v>Sim</v>
      </c>
      <c r="P3164" s="4">
        <f>IF(COUNTIFS(INDEX(tItens[Edital],1):tItens[[#This Row],[Edital]],tItens[[#This Row],[Edital]],INDEX(tItens[Produto],1):tItens[[#This Row],[Produto]],tItens[[#This Row],[Produto]])=1,1,0)</f>
        <v>1</v>
      </c>
    </row>
    <row r="3165" spans="1:16" x14ac:dyDescent="0.25">
      <c r="A3165" t="s">
        <v>1402</v>
      </c>
      <c r="B3165">
        <v>245</v>
      </c>
      <c r="C3165" t="s">
        <v>6070</v>
      </c>
      <c r="D3165" t="s">
        <v>253</v>
      </c>
      <c r="E3165" s="13">
        <v>10</v>
      </c>
      <c r="F3165" s="12">
        <v>6.19</v>
      </c>
      <c r="G3165" t="str">
        <f>IFERROR(INDEX(tEditais[Órgão],MATCH(tItens[[#This Row],[Edital]],tEditais[Edital],0)),"")</f>
        <v>MUNICIPIO DE BANDEIRA DO SUL</v>
      </c>
      <c r="H3165" t="str">
        <f>IFERROR(INDEX(tEditais[UF],MATCH(tItens[[#This Row],[Edital]],tEditais[Edital],0)),"")</f>
        <v>MG</v>
      </c>
      <c r="I3165" s="11">
        <f>IFERROR(INDEX(tEditais[Encerramento],MATCH(tItens[[#This Row],[Edital]],tEditais[Edital],0)),"")</f>
        <v>46308.458333333336</v>
      </c>
      <c r="J3165" t="str">
        <f>IFERROR(INDEX(tProdutos[Classe],MATCH(tItens[[#This Row],[Produto]],tProdutos[Produto],0)),"produto não cadastrado")</f>
        <v>FORA</v>
      </c>
      <c r="K3165" s="12">
        <f>tItens[[#This Row],[Qtd]]*tItens[[#This Row],[Vlr unit]]</f>
        <v>61.900000000000006</v>
      </c>
      <c r="L3165" s="6">
        <f>IFERROR(IF(INDEX(tProdutos[Desconto homologado],MATCH(tItens[[#This Row],[Produto]],tProdutos[Produto],0))="",DescontoPadrao,INDEX(tProdutos[Desconto homologado],MATCH(tItens[[#This Row],[Produto]],tProdutos[Produto],0))),DescontoPadrao)</f>
        <v>0.31735159817351599</v>
      </c>
      <c r="M3165" s="12">
        <f>tItens[[#This Row],[Valor]]*(1-tItens[[#This Row],[Desconto]])</f>
        <v>42.255936073059367</v>
      </c>
      <c r="N3165" t="str">
        <f>IFERROR(INDEX(tProdutos[Foco],MATCH(tItens[[#This Row],[Produto]],tProdutos[Produto],0)),"Não")</f>
        <v>Não</v>
      </c>
      <c r="O3165" t="str">
        <f>IFERROR(INDEX(tEditais[SRP],MATCH(tItens[[#This Row],[Edital]],tEditais[Edital],0)),"Não")</f>
        <v>Sim</v>
      </c>
      <c r="P3165" s="4">
        <f>IF(COUNTIFS(INDEX(tItens[Edital],1):tItens[[#This Row],[Edital]],tItens[[#This Row],[Edital]],INDEX(tItens[Produto],1):tItens[[#This Row],[Produto]],tItens[[#This Row],[Produto]])=1,1,0)</f>
        <v>1</v>
      </c>
    </row>
    <row r="3166" spans="1:16" x14ac:dyDescent="0.25">
      <c r="A3166" t="s">
        <v>1402</v>
      </c>
      <c r="B3166">
        <v>246</v>
      </c>
      <c r="C3166" t="s">
        <v>6071</v>
      </c>
      <c r="D3166" t="s">
        <v>253</v>
      </c>
      <c r="E3166" s="13">
        <v>10</v>
      </c>
      <c r="F3166" s="12">
        <v>7.12</v>
      </c>
      <c r="G3166" t="str">
        <f>IFERROR(INDEX(tEditais[Órgão],MATCH(tItens[[#This Row],[Edital]],tEditais[Edital],0)),"")</f>
        <v>MUNICIPIO DE BANDEIRA DO SUL</v>
      </c>
      <c r="H3166" t="str">
        <f>IFERROR(INDEX(tEditais[UF],MATCH(tItens[[#This Row],[Edital]],tEditais[Edital],0)),"")</f>
        <v>MG</v>
      </c>
      <c r="I3166" s="11">
        <f>IFERROR(INDEX(tEditais[Encerramento],MATCH(tItens[[#This Row],[Edital]],tEditais[Edital],0)),"")</f>
        <v>46308.458333333336</v>
      </c>
      <c r="J3166" t="str">
        <f>IFERROR(INDEX(tProdutos[Classe],MATCH(tItens[[#This Row],[Produto]],tProdutos[Produto],0)),"produto não cadastrado")</f>
        <v>FORA</v>
      </c>
      <c r="K3166" s="12">
        <f>tItens[[#This Row],[Qtd]]*tItens[[#This Row],[Vlr unit]]</f>
        <v>71.2</v>
      </c>
      <c r="L3166" s="6">
        <f>IFERROR(IF(INDEX(tProdutos[Desconto homologado],MATCH(tItens[[#This Row],[Produto]],tProdutos[Produto],0))="",DescontoPadrao,INDEX(tProdutos[Desconto homologado],MATCH(tItens[[#This Row],[Produto]],tProdutos[Produto],0))),DescontoPadrao)</f>
        <v>0.31735159817351599</v>
      </c>
      <c r="M3166" s="12">
        <f>tItens[[#This Row],[Valor]]*(1-tItens[[#This Row],[Desconto]])</f>
        <v>48.604566210045661</v>
      </c>
      <c r="N3166" t="str">
        <f>IFERROR(INDEX(tProdutos[Foco],MATCH(tItens[[#This Row],[Produto]],tProdutos[Produto],0)),"Não")</f>
        <v>Não</v>
      </c>
      <c r="O3166" t="str">
        <f>IFERROR(INDEX(tEditais[SRP],MATCH(tItens[[#This Row],[Edital]],tEditais[Edital],0)),"Não")</f>
        <v>Sim</v>
      </c>
      <c r="P3166" s="4">
        <f>IF(COUNTIFS(INDEX(tItens[Edital],1):tItens[[#This Row],[Edital]],tItens[[#This Row],[Edital]],INDEX(tItens[Produto],1):tItens[[#This Row],[Produto]],tItens[[#This Row],[Produto]])=1,1,0)</f>
        <v>0</v>
      </c>
    </row>
    <row r="3167" spans="1:16" x14ac:dyDescent="0.25">
      <c r="A3167" t="s">
        <v>1402</v>
      </c>
      <c r="B3167">
        <v>270</v>
      </c>
      <c r="C3167" t="s">
        <v>6072</v>
      </c>
      <c r="D3167" t="s">
        <v>197</v>
      </c>
      <c r="E3167" s="13">
        <v>2</v>
      </c>
      <c r="F3167" s="12">
        <v>60.13</v>
      </c>
      <c r="G3167" t="str">
        <f>IFERROR(INDEX(tEditais[Órgão],MATCH(tItens[[#This Row],[Edital]],tEditais[Edital],0)),"")</f>
        <v>MUNICIPIO DE BANDEIRA DO SUL</v>
      </c>
      <c r="H3167" t="str">
        <f>IFERROR(INDEX(tEditais[UF],MATCH(tItens[[#This Row],[Edital]],tEditais[Edital],0)),"")</f>
        <v>MG</v>
      </c>
      <c r="I3167" s="11">
        <f>IFERROR(INDEX(tEditais[Encerramento],MATCH(tItens[[#This Row],[Edital]],tEditais[Edital],0)),"")</f>
        <v>46308.458333333336</v>
      </c>
      <c r="J3167" t="str">
        <f>IFERROR(INDEX(tProdutos[Classe],MATCH(tItens[[#This Row],[Produto]],tProdutos[Produto],0)),"produto não cadastrado")</f>
        <v>FORA</v>
      </c>
      <c r="K3167" s="12">
        <f>tItens[[#This Row],[Qtd]]*tItens[[#This Row],[Vlr unit]]</f>
        <v>120.26</v>
      </c>
      <c r="L3167" s="6">
        <f>IFERROR(IF(INDEX(tProdutos[Desconto homologado],MATCH(tItens[[#This Row],[Produto]],tProdutos[Produto],0))="",DescontoPadrao,INDEX(tProdutos[Desconto homologado],MATCH(tItens[[#This Row],[Produto]],tProdutos[Produto],0))),DescontoPadrao)</f>
        <v>0.26394818195200997</v>
      </c>
      <c r="M3167" s="12">
        <f>tItens[[#This Row],[Valor]]*(1-tItens[[#This Row],[Desconto]])</f>
        <v>88.517591638451279</v>
      </c>
      <c r="N3167" t="str">
        <f>IFERROR(INDEX(tProdutos[Foco],MATCH(tItens[[#This Row],[Produto]],tProdutos[Produto],0)),"Não")</f>
        <v>Não</v>
      </c>
      <c r="O3167" t="str">
        <f>IFERROR(INDEX(tEditais[SRP],MATCH(tItens[[#This Row],[Edital]],tEditais[Edital],0)),"Não")</f>
        <v>Sim</v>
      </c>
      <c r="P3167" s="4">
        <f>IF(COUNTIFS(INDEX(tItens[Edital],1):tItens[[#This Row],[Edital]],tItens[[#This Row],[Edital]],INDEX(tItens[Produto],1):tItens[[#This Row],[Produto]],tItens[[#This Row],[Produto]])=1,1,0)</f>
        <v>1</v>
      </c>
    </row>
    <row r="3168" spans="1:16" x14ac:dyDescent="0.25">
      <c r="A3168" t="s">
        <v>1402</v>
      </c>
      <c r="B3168">
        <v>274</v>
      </c>
      <c r="C3168" t="s">
        <v>6073</v>
      </c>
      <c r="D3168" t="s">
        <v>114</v>
      </c>
      <c r="E3168" s="13">
        <v>5</v>
      </c>
      <c r="F3168" s="12">
        <v>7.68</v>
      </c>
      <c r="G3168" t="str">
        <f>IFERROR(INDEX(tEditais[Órgão],MATCH(tItens[[#This Row],[Edital]],tEditais[Edital],0)),"")</f>
        <v>MUNICIPIO DE BANDEIRA DO SUL</v>
      </c>
      <c r="H3168" t="str">
        <f>IFERROR(INDEX(tEditais[UF],MATCH(tItens[[#This Row],[Edital]],tEditais[Edital],0)),"")</f>
        <v>MG</v>
      </c>
      <c r="I3168" s="11">
        <f>IFERROR(INDEX(tEditais[Encerramento],MATCH(tItens[[#This Row],[Edital]],tEditais[Edital],0)),"")</f>
        <v>46308.458333333336</v>
      </c>
      <c r="J3168" t="str">
        <f>IFERROR(INDEX(tProdutos[Classe],MATCH(tItens[[#This Row],[Produto]],tProdutos[Produto],0)),"produto não cadastrado")</f>
        <v>DISPUTADO</v>
      </c>
      <c r="K3168" s="12">
        <f>tItens[[#This Row],[Qtd]]*tItens[[#This Row],[Vlr unit]]</f>
        <v>38.4</v>
      </c>
      <c r="L3168" s="6">
        <f>IFERROR(IF(INDEX(tProdutos[Desconto homologado],MATCH(tItens[[#This Row],[Produto]],tProdutos[Produto],0))="",DescontoPadrao,INDEX(tProdutos[Desconto homologado],MATCH(tItens[[#This Row],[Produto]],tProdutos[Produto],0))),DescontoPadrao)</f>
        <v>0.24332656063896899</v>
      </c>
      <c r="M3168" s="12">
        <f>tItens[[#This Row],[Valor]]*(1-tItens[[#This Row],[Desconto]])</f>
        <v>29.056260071463591</v>
      </c>
      <c r="N3168" t="str">
        <f>IFERROR(INDEX(tProdutos[Foco],MATCH(tItens[[#This Row],[Produto]],tProdutos[Produto],0)),"Não")</f>
        <v>Não</v>
      </c>
      <c r="O3168" t="str">
        <f>IFERROR(INDEX(tEditais[SRP],MATCH(tItens[[#This Row],[Edital]],tEditais[Edital],0)),"Não")</f>
        <v>Sim</v>
      </c>
      <c r="P3168" s="4">
        <f>IF(COUNTIFS(INDEX(tItens[Edital],1):tItens[[#This Row],[Edital]],tItens[[#This Row],[Edital]],INDEX(tItens[Produto],1):tItens[[#This Row],[Produto]],tItens[[#This Row],[Produto]])=1,1,0)</f>
        <v>1</v>
      </c>
    </row>
    <row r="3169" spans="1:16" x14ac:dyDescent="0.25">
      <c r="A3169" t="s">
        <v>1402</v>
      </c>
      <c r="B3169">
        <v>277</v>
      </c>
      <c r="C3169" t="s">
        <v>6074</v>
      </c>
      <c r="D3169" t="s">
        <v>150</v>
      </c>
      <c r="E3169" s="13">
        <v>7</v>
      </c>
      <c r="F3169" s="12">
        <v>65.45</v>
      </c>
      <c r="G3169" t="str">
        <f>IFERROR(INDEX(tEditais[Órgão],MATCH(tItens[[#This Row],[Edital]],tEditais[Edital],0)),"")</f>
        <v>MUNICIPIO DE BANDEIRA DO SUL</v>
      </c>
      <c r="H3169" t="str">
        <f>IFERROR(INDEX(tEditais[UF],MATCH(tItens[[#This Row],[Edital]],tEditais[Edital],0)),"")</f>
        <v>MG</v>
      </c>
      <c r="I3169" s="11">
        <f>IFERROR(INDEX(tEditais[Encerramento],MATCH(tItens[[#This Row],[Edital]],tEditais[Edital],0)),"")</f>
        <v>46308.458333333336</v>
      </c>
      <c r="J3169" t="str">
        <f>IFERROR(INDEX(tProdutos[Classe],MATCH(tItens[[#This Row],[Produto]],tProdutos[Produto],0)),"produto não cadastrado")</f>
        <v>DISPUTADO</v>
      </c>
      <c r="K3169" s="12">
        <f>tItens[[#This Row],[Qtd]]*tItens[[#This Row],[Vlr unit]]</f>
        <v>458.15000000000003</v>
      </c>
      <c r="L3169" s="6">
        <f>IFERROR(IF(INDEX(tProdutos[Desconto homologado],MATCH(tItens[[#This Row],[Produto]],tProdutos[Produto],0))="",DescontoPadrao,INDEX(tProdutos[Desconto homologado],MATCH(tItens[[#This Row],[Produto]],tProdutos[Produto],0))),DescontoPadrao)</f>
        <v>0.24874026568941801</v>
      </c>
      <c r="M3169" s="12">
        <f>tItens[[#This Row],[Valor]]*(1-tItens[[#This Row],[Desconto]])</f>
        <v>344.18964727439317</v>
      </c>
      <c r="N3169" t="str">
        <f>IFERROR(INDEX(tProdutos[Foco],MATCH(tItens[[#This Row],[Produto]],tProdutos[Produto],0)),"Não")</f>
        <v>Não</v>
      </c>
      <c r="O3169" t="str">
        <f>IFERROR(INDEX(tEditais[SRP],MATCH(tItens[[#This Row],[Edital]],tEditais[Edital],0)),"Não")</f>
        <v>Sim</v>
      </c>
      <c r="P3169" s="4">
        <f>IF(COUNTIFS(INDEX(tItens[Edital],1):tItens[[#This Row],[Edital]],tItens[[#This Row],[Edital]],INDEX(tItens[Produto],1):tItens[[#This Row],[Produto]],tItens[[#This Row],[Produto]])=1,1,0)</f>
        <v>1</v>
      </c>
    </row>
    <row r="3170" spans="1:16" x14ac:dyDescent="0.25">
      <c r="A3170" t="s">
        <v>1402</v>
      </c>
      <c r="B3170">
        <v>278</v>
      </c>
      <c r="C3170" t="s">
        <v>6075</v>
      </c>
      <c r="D3170" t="s">
        <v>150</v>
      </c>
      <c r="E3170" s="13">
        <v>3</v>
      </c>
      <c r="F3170" s="12">
        <v>75.900000000000006</v>
      </c>
      <c r="G3170" t="str">
        <f>IFERROR(INDEX(tEditais[Órgão],MATCH(tItens[[#This Row],[Edital]],tEditais[Edital],0)),"")</f>
        <v>MUNICIPIO DE BANDEIRA DO SUL</v>
      </c>
      <c r="H3170" t="str">
        <f>IFERROR(INDEX(tEditais[UF],MATCH(tItens[[#This Row],[Edital]],tEditais[Edital],0)),"")</f>
        <v>MG</v>
      </c>
      <c r="I3170" s="11">
        <f>IFERROR(INDEX(tEditais[Encerramento],MATCH(tItens[[#This Row],[Edital]],tEditais[Edital],0)),"")</f>
        <v>46308.458333333336</v>
      </c>
      <c r="J3170" t="str">
        <f>IFERROR(INDEX(tProdutos[Classe],MATCH(tItens[[#This Row],[Produto]],tProdutos[Produto],0)),"produto não cadastrado")</f>
        <v>DISPUTADO</v>
      </c>
      <c r="K3170" s="12">
        <f>tItens[[#This Row],[Qtd]]*tItens[[#This Row],[Vlr unit]]</f>
        <v>227.70000000000002</v>
      </c>
      <c r="L3170" s="6">
        <f>IFERROR(IF(INDEX(tProdutos[Desconto homologado],MATCH(tItens[[#This Row],[Produto]],tProdutos[Produto],0))="",DescontoPadrao,INDEX(tProdutos[Desconto homologado],MATCH(tItens[[#This Row],[Produto]],tProdutos[Produto],0))),DescontoPadrao)</f>
        <v>0.24874026568941801</v>
      </c>
      <c r="M3170" s="12">
        <f>tItens[[#This Row],[Valor]]*(1-tItens[[#This Row],[Desconto]])</f>
        <v>171.06184150251954</v>
      </c>
      <c r="N3170" t="str">
        <f>IFERROR(INDEX(tProdutos[Foco],MATCH(tItens[[#This Row],[Produto]],tProdutos[Produto],0)),"Não")</f>
        <v>Não</v>
      </c>
      <c r="O3170" t="str">
        <f>IFERROR(INDEX(tEditais[SRP],MATCH(tItens[[#This Row],[Edital]],tEditais[Edital],0)),"Não")</f>
        <v>Sim</v>
      </c>
      <c r="P3170" s="4">
        <f>IF(COUNTIFS(INDEX(tItens[Edital],1):tItens[[#This Row],[Edital]],tItens[[#This Row],[Edital]],INDEX(tItens[Produto],1):tItens[[#This Row],[Produto]],tItens[[#This Row],[Produto]])=1,1,0)</f>
        <v>0</v>
      </c>
    </row>
    <row r="3171" spans="1:16" x14ac:dyDescent="0.25">
      <c r="A3171" t="s">
        <v>1402</v>
      </c>
      <c r="B3171">
        <v>286</v>
      </c>
      <c r="C3171" t="s">
        <v>6076</v>
      </c>
      <c r="D3171" t="s">
        <v>315</v>
      </c>
      <c r="E3171" s="13">
        <v>2</v>
      </c>
      <c r="F3171" s="12">
        <v>25.56</v>
      </c>
      <c r="G3171" t="str">
        <f>IFERROR(INDEX(tEditais[Órgão],MATCH(tItens[[#This Row],[Edital]],tEditais[Edital],0)),"")</f>
        <v>MUNICIPIO DE BANDEIRA DO SUL</v>
      </c>
      <c r="H3171" t="str">
        <f>IFERROR(INDEX(tEditais[UF],MATCH(tItens[[#This Row],[Edital]],tEditais[Edital],0)),"")</f>
        <v>MG</v>
      </c>
      <c r="I3171" s="11">
        <f>IFERROR(INDEX(tEditais[Encerramento],MATCH(tItens[[#This Row],[Edital]],tEditais[Edital],0)),"")</f>
        <v>46308.458333333336</v>
      </c>
      <c r="J3171" t="str">
        <f>IFERROR(INDEX(tProdutos[Classe],MATCH(tItens[[#This Row],[Produto]],tProdutos[Produto],0)),"produto não cadastrado")</f>
        <v>FORA</v>
      </c>
      <c r="K3171" s="12">
        <f>tItens[[#This Row],[Qtd]]*tItens[[#This Row],[Vlr unit]]</f>
        <v>51.12</v>
      </c>
      <c r="L3171" s="6">
        <f>IFERROR(IF(INDEX(tProdutos[Desconto homologado],MATCH(tItens[[#This Row],[Produto]],tProdutos[Produto],0))="",DescontoPadrao,INDEX(tProdutos[Desconto homologado],MATCH(tItens[[#This Row],[Produto]],tProdutos[Produto],0))),DescontoPadrao)</f>
        <v>0.38432036097010702</v>
      </c>
      <c r="M3171" s="12">
        <f>tItens[[#This Row],[Valor]]*(1-tItens[[#This Row],[Desconto]])</f>
        <v>31.473543147208126</v>
      </c>
      <c r="N3171" t="str">
        <f>IFERROR(INDEX(tProdutos[Foco],MATCH(tItens[[#This Row],[Produto]],tProdutos[Produto],0)),"Não")</f>
        <v>Não</v>
      </c>
      <c r="O3171" t="str">
        <f>IFERROR(INDEX(tEditais[SRP],MATCH(tItens[[#This Row],[Edital]],tEditais[Edital],0)),"Não")</f>
        <v>Sim</v>
      </c>
      <c r="P3171" s="4">
        <f>IF(COUNTIFS(INDEX(tItens[Edital],1):tItens[[#This Row],[Edital]],tItens[[#This Row],[Edital]],INDEX(tItens[Produto],1):tItens[[#This Row],[Produto]],tItens[[#This Row],[Produto]])=1,1,0)</f>
        <v>0</v>
      </c>
    </row>
    <row r="3172" spans="1:16" x14ac:dyDescent="0.25">
      <c r="A3172" t="s">
        <v>1402</v>
      </c>
      <c r="B3172">
        <v>287</v>
      </c>
      <c r="C3172" t="s">
        <v>6077</v>
      </c>
      <c r="D3172" t="s">
        <v>315</v>
      </c>
      <c r="E3172" s="13">
        <v>10</v>
      </c>
      <c r="F3172" s="12">
        <v>20.79</v>
      </c>
      <c r="G3172" t="str">
        <f>IFERROR(INDEX(tEditais[Órgão],MATCH(tItens[[#This Row],[Edital]],tEditais[Edital],0)),"")</f>
        <v>MUNICIPIO DE BANDEIRA DO SUL</v>
      </c>
      <c r="H3172" t="str">
        <f>IFERROR(INDEX(tEditais[UF],MATCH(tItens[[#This Row],[Edital]],tEditais[Edital],0)),"")</f>
        <v>MG</v>
      </c>
      <c r="I3172" s="11">
        <f>IFERROR(INDEX(tEditais[Encerramento],MATCH(tItens[[#This Row],[Edital]],tEditais[Edital],0)),"")</f>
        <v>46308.458333333336</v>
      </c>
      <c r="J3172" t="str">
        <f>IFERROR(INDEX(tProdutos[Classe],MATCH(tItens[[#This Row],[Produto]],tProdutos[Produto],0)),"produto não cadastrado")</f>
        <v>FORA</v>
      </c>
      <c r="K3172" s="12">
        <f>tItens[[#This Row],[Qtd]]*tItens[[#This Row],[Vlr unit]]</f>
        <v>207.89999999999998</v>
      </c>
      <c r="L3172" s="6">
        <f>IFERROR(IF(INDEX(tProdutos[Desconto homologado],MATCH(tItens[[#This Row],[Produto]],tProdutos[Produto],0))="",DescontoPadrao,INDEX(tProdutos[Desconto homologado],MATCH(tItens[[#This Row],[Produto]],tProdutos[Produto],0))),DescontoPadrao)</f>
        <v>0.38432036097010702</v>
      </c>
      <c r="M3172" s="12">
        <f>tItens[[#This Row],[Valor]]*(1-tItens[[#This Row],[Desconto]])</f>
        <v>127.99979695431473</v>
      </c>
      <c r="N3172" t="str">
        <f>IFERROR(INDEX(tProdutos[Foco],MATCH(tItens[[#This Row],[Produto]],tProdutos[Produto],0)),"Não")</f>
        <v>Não</v>
      </c>
      <c r="O3172" t="str">
        <f>IFERROR(INDEX(tEditais[SRP],MATCH(tItens[[#This Row],[Edital]],tEditais[Edital],0)),"Não")</f>
        <v>Sim</v>
      </c>
      <c r="P3172" s="4">
        <f>IF(COUNTIFS(INDEX(tItens[Edital],1):tItens[[#This Row],[Edital]],tItens[[#This Row],[Edital]],INDEX(tItens[Produto],1):tItens[[#This Row],[Produto]],tItens[[#This Row],[Produto]])=1,1,0)</f>
        <v>0</v>
      </c>
    </row>
    <row r="3173" spans="1:16" x14ac:dyDescent="0.25">
      <c r="A3173" t="s">
        <v>1402</v>
      </c>
      <c r="B3173">
        <v>293</v>
      </c>
      <c r="C3173" t="s">
        <v>6078</v>
      </c>
      <c r="D3173" t="s">
        <v>638</v>
      </c>
      <c r="E3173" s="13">
        <v>6</v>
      </c>
      <c r="F3173" s="12">
        <v>171.6</v>
      </c>
      <c r="G3173" t="str">
        <f>IFERROR(INDEX(tEditais[Órgão],MATCH(tItens[[#This Row],[Edital]],tEditais[Edital],0)),"")</f>
        <v>MUNICIPIO DE BANDEIRA DO SUL</v>
      </c>
      <c r="H3173" t="str">
        <f>IFERROR(INDEX(tEditais[UF],MATCH(tItens[[#This Row],[Edital]],tEditais[Edital],0)),"")</f>
        <v>MG</v>
      </c>
      <c r="I3173" s="11">
        <f>IFERROR(INDEX(tEditais[Encerramento],MATCH(tItens[[#This Row],[Edital]],tEditais[Edital],0)),"")</f>
        <v>46308.458333333336</v>
      </c>
      <c r="J3173" t="str">
        <f>IFERROR(INDEX(tProdutos[Classe],MATCH(tItens[[#This Row],[Produto]],tProdutos[Produto],0)),"produto não cadastrado")</f>
        <v>FILA REBASE</v>
      </c>
      <c r="K3173" s="12">
        <f>tItens[[#This Row],[Qtd]]*tItens[[#This Row],[Vlr unit]]</f>
        <v>1029.5999999999999</v>
      </c>
      <c r="L3173" s="6">
        <f>IFERROR(IF(INDEX(tProdutos[Desconto homologado],MATCH(tItens[[#This Row],[Produto]],tProdutos[Produto],0))="",DescontoPadrao,INDEX(tProdutos[Desconto homologado],MATCH(tItens[[#This Row],[Produto]],tProdutos[Produto],0))),DescontoPadrao)</f>
        <v>0.487179487179487</v>
      </c>
      <c r="M3173" s="12">
        <f>tItens[[#This Row],[Valor]]*(1-tItens[[#This Row],[Desconto]])</f>
        <v>528.00000000000011</v>
      </c>
      <c r="N3173" t="str">
        <f>IFERROR(INDEX(tProdutos[Foco],MATCH(tItens[[#This Row],[Produto]],tProdutos[Produto],0)),"Não")</f>
        <v>Não</v>
      </c>
      <c r="O3173" t="str">
        <f>IFERROR(INDEX(tEditais[SRP],MATCH(tItens[[#This Row],[Edital]],tEditais[Edital],0)),"Não")</f>
        <v>Sim</v>
      </c>
      <c r="P3173" s="4">
        <f>IF(COUNTIFS(INDEX(tItens[Edital],1):tItens[[#This Row],[Edital]],tItens[[#This Row],[Edital]],INDEX(tItens[Produto],1):tItens[[#This Row],[Produto]],tItens[[#This Row],[Produto]])=1,1,0)</f>
        <v>1</v>
      </c>
    </row>
    <row r="3174" spans="1:16" x14ac:dyDescent="0.25">
      <c r="A3174" t="s">
        <v>1402</v>
      </c>
      <c r="B3174">
        <v>294</v>
      </c>
      <c r="C3174" t="s">
        <v>6079</v>
      </c>
      <c r="D3174" t="s">
        <v>638</v>
      </c>
      <c r="E3174" s="13">
        <v>30</v>
      </c>
      <c r="F3174" s="12">
        <v>152.99</v>
      </c>
      <c r="G3174" t="str">
        <f>IFERROR(INDEX(tEditais[Órgão],MATCH(tItens[[#This Row],[Edital]],tEditais[Edital],0)),"")</f>
        <v>MUNICIPIO DE BANDEIRA DO SUL</v>
      </c>
      <c r="H3174" t="str">
        <f>IFERROR(INDEX(tEditais[UF],MATCH(tItens[[#This Row],[Edital]],tEditais[Edital],0)),"")</f>
        <v>MG</v>
      </c>
      <c r="I3174" s="11">
        <f>IFERROR(INDEX(tEditais[Encerramento],MATCH(tItens[[#This Row],[Edital]],tEditais[Edital],0)),"")</f>
        <v>46308.458333333336</v>
      </c>
      <c r="J3174" t="str">
        <f>IFERROR(INDEX(tProdutos[Classe],MATCH(tItens[[#This Row],[Produto]],tProdutos[Produto],0)),"produto não cadastrado")</f>
        <v>FILA REBASE</v>
      </c>
      <c r="K3174" s="12">
        <f>tItens[[#This Row],[Qtd]]*tItens[[#This Row],[Vlr unit]]</f>
        <v>4589.7000000000007</v>
      </c>
      <c r="L3174" s="6">
        <f>IFERROR(IF(INDEX(tProdutos[Desconto homologado],MATCH(tItens[[#This Row],[Produto]],tProdutos[Produto],0))="",DescontoPadrao,INDEX(tProdutos[Desconto homologado],MATCH(tItens[[#This Row],[Produto]],tProdutos[Produto],0))),DescontoPadrao)</f>
        <v>0.487179487179487</v>
      </c>
      <c r="M3174" s="12">
        <f>tItens[[#This Row],[Valor]]*(1-tItens[[#This Row],[Desconto]])</f>
        <v>2353.692307692309</v>
      </c>
      <c r="N3174" t="str">
        <f>IFERROR(INDEX(tProdutos[Foco],MATCH(tItens[[#This Row],[Produto]],tProdutos[Produto],0)),"Não")</f>
        <v>Não</v>
      </c>
      <c r="O3174" t="str">
        <f>IFERROR(INDEX(tEditais[SRP],MATCH(tItens[[#This Row],[Edital]],tEditais[Edital],0)),"Não")</f>
        <v>Sim</v>
      </c>
      <c r="P3174" s="4">
        <f>IF(COUNTIFS(INDEX(tItens[Edital],1):tItens[[#This Row],[Edital]],tItens[[#This Row],[Edital]],INDEX(tItens[Produto],1):tItens[[#This Row],[Produto]],tItens[[#This Row],[Produto]])=1,1,0)</f>
        <v>0</v>
      </c>
    </row>
    <row r="3175" spans="1:16" x14ac:dyDescent="0.25">
      <c r="A3175" t="s">
        <v>1402</v>
      </c>
      <c r="B3175">
        <v>296</v>
      </c>
      <c r="C3175" t="s">
        <v>6080</v>
      </c>
      <c r="D3175" t="s">
        <v>277</v>
      </c>
      <c r="E3175" s="13">
        <v>13</v>
      </c>
      <c r="F3175" s="12">
        <v>42.75</v>
      </c>
      <c r="G3175" t="str">
        <f>IFERROR(INDEX(tEditais[Órgão],MATCH(tItens[[#This Row],[Edital]],tEditais[Edital],0)),"")</f>
        <v>MUNICIPIO DE BANDEIRA DO SUL</v>
      </c>
      <c r="H3175" t="str">
        <f>IFERROR(INDEX(tEditais[UF],MATCH(tItens[[#This Row],[Edital]],tEditais[Edital],0)),"")</f>
        <v>MG</v>
      </c>
      <c r="I3175" s="11">
        <f>IFERROR(INDEX(tEditais[Encerramento],MATCH(tItens[[#This Row],[Edital]],tEditais[Edital],0)),"")</f>
        <v>46308.458333333336</v>
      </c>
      <c r="J3175" t="str">
        <f>IFERROR(INDEX(tProdutos[Classe],MATCH(tItens[[#This Row],[Produto]],tProdutos[Produto],0)),"produto não cadastrado")</f>
        <v>DISPUTADO</v>
      </c>
      <c r="K3175" s="12">
        <f>tItens[[#This Row],[Qtd]]*tItens[[#This Row],[Vlr unit]]</f>
        <v>555.75</v>
      </c>
      <c r="L3175" s="6">
        <f>IFERROR(IF(INDEX(tProdutos[Desconto homologado],MATCH(tItens[[#This Row],[Produto]],tProdutos[Produto],0))="",DescontoPadrao,INDEX(tProdutos[Desconto homologado],MATCH(tItens[[#This Row],[Produto]],tProdutos[Produto],0))),DescontoPadrao)</f>
        <v>0.50460666194188497</v>
      </c>
      <c r="M3175" s="12">
        <f>tItens[[#This Row],[Valor]]*(1-tItens[[#This Row],[Desconto]])</f>
        <v>275.31484762579743</v>
      </c>
      <c r="N3175" t="str">
        <f>IFERROR(INDEX(tProdutos[Foco],MATCH(tItens[[#This Row],[Produto]],tProdutos[Produto],0)),"Não")</f>
        <v>Não</v>
      </c>
      <c r="O3175" t="str">
        <f>IFERROR(INDEX(tEditais[SRP],MATCH(tItens[[#This Row],[Edital]],tEditais[Edital],0)),"Não")</f>
        <v>Sim</v>
      </c>
      <c r="P3175" s="4">
        <f>IF(COUNTIFS(INDEX(tItens[Edital],1):tItens[[#This Row],[Edital]],tItens[[#This Row],[Edital]],INDEX(tItens[Produto],1):tItens[[#This Row],[Produto]],tItens[[#This Row],[Produto]])=1,1,0)</f>
        <v>0</v>
      </c>
    </row>
    <row r="3176" spans="1:16" x14ac:dyDescent="0.25">
      <c r="A3176" t="s">
        <v>1402</v>
      </c>
      <c r="B3176">
        <v>304</v>
      </c>
      <c r="C3176" t="s">
        <v>6081</v>
      </c>
      <c r="D3176" t="s">
        <v>160</v>
      </c>
      <c r="E3176" s="13">
        <v>60</v>
      </c>
      <c r="F3176" s="12">
        <v>11.5</v>
      </c>
      <c r="G3176" t="str">
        <f>IFERROR(INDEX(tEditais[Órgão],MATCH(tItens[[#This Row],[Edital]],tEditais[Edital],0)),"")</f>
        <v>MUNICIPIO DE BANDEIRA DO SUL</v>
      </c>
      <c r="H3176" t="str">
        <f>IFERROR(INDEX(tEditais[UF],MATCH(tItens[[#This Row],[Edital]],tEditais[Edital],0)),"")</f>
        <v>MG</v>
      </c>
      <c r="I3176" s="11">
        <f>IFERROR(INDEX(tEditais[Encerramento],MATCH(tItens[[#This Row],[Edital]],tEditais[Edital],0)),"")</f>
        <v>46308.458333333336</v>
      </c>
      <c r="J3176" t="str">
        <f>IFERROR(INDEX(tProdutos[Classe],MATCH(tItens[[#This Row],[Produto]],tProdutos[Produto],0)),"produto não cadastrado")</f>
        <v>DISPUTADO</v>
      </c>
      <c r="K3176" s="12">
        <f>tItens[[#This Row],[Qtd]]*tItens[[#This Row],[Vlr unit]]</f>
        <v>690</v>
      </c>
      <c r="L3176" s="6">
        <f>IFERROR(IF(INDEX(tProdutos[Desconto homologado],MATCH(tItens[[#This Row],[Produto]],tProdutos[Produto],0))="",DescontoPadrao,INDEX(tProdutos[Desconto homologado],MATCH(tItens[[#This Row],[Produto]],tProdutos[Produto],0))),DescontoPadrao)</f>
        <v>0.28000000000000003</v>
      </c>
      <c r="M3176" s="12">
        <f>tItens[[#This Row],[Valor]]*(1-tItens[[#This Row],[Desconto]])</f>
        <v>496.79999999999995</v>
      </c>
      <c r="N3176" t="str">
        <f>IFERROR(INDEX(tProdutos[Foco],MATCH(tItens[[#This Row],[Produto]],tProdutos[Produto],0)),"Não")</f>
        <v>Sim</v>
      </c>
      <c r="O3176" t="str">
        <f>IFERROR(INDEX(tEditais[SRP],MATCH(tItens[[#This Row],[Edital]],tEditais[Edital],0)),"Não")</f>
        <v>Sim</v>
      </c>
      <c r="P3176" s="4">
        <f>IF(COUNTIFS(INDEX(tItens[Edital],1):tItens[[#This Row],[Edital]],tItens[[#This Row],[Edital]],INDEX(tItens[Produto],1):tItens[[#This Row],[Produto]],tItens[[#This Row],[Produto]])=1,1,0)</f>
        <v>1</v>
      </c>
    </row>
    <row r="3177" spans="1:16" x14ac:dyDescent="0.25">
      <c r="A3177" t="s">
        <v>1402</v>
      </c>
      <c r="B3177">
        <v>310</v>
      </c>
      <c r="C3177" t="s">
        <v>6082</v>
      </c>
      <c r="D3177" t="s">
        <v>94</v>
      </c>
      <c r="E3177" s="13">
        <v>50</v>
      </c>
      <c r="F3177" s="12">
        <v>250.52</v>
      </c>
      <c r="G3177" t="str">
        <f>IFERROR(INDEX(tEditais[Órgão],MATCH(tItens[[#This Row],[Edital]],tEditais[Edital],0)),"")</f>
        <v>MUNICIPIO DE BANDEIRA DO SUL</v>
      </c>
      <c r="H3177" t="str">
        <f>IFERROR(INDEX(tEditais[UF],MATCH(tItens[[#This Row],[Edital]],tEditais[Edital],0)),"")</f>
        <v>MG</v>
      </c>
      <c r="I3177" s="11">
        <f>IFERROR(INDEX(tEditais[Encerramento],MATCH(tItens[[#This Row],[Edital]],tEditais[Edital],0)),"")</f>
        <v>46308.458333333336</v>
      </c>
      <c r="J3177" t="str">
        <f>IFERROR(INDEX(tProdutos[Classe],MATCH(tItens[[#This Row],[Produto]],tProdutos[Produto],0)),"produto não cadastrado")</f>
        <v>NÚCLEO</v>
      </c>
      <c r="K3177" s="12">
        <f>tItens[[#This Row],[Qtd]]*tItens[[#This Row],[Vlr unit]]</f>
        <v>12526</v>
      </c>
      <c r="L3177" s="6">
        <f>IFERROR(IF(INDEX(tProdutos[Desconto homologado],MATCH(tItens[[#This Row],[Produto]],tProdutos[Produto],0))="",DescontoPadrao,INDEX(tProdutos[Desconto homologado],MATCH(tItens[[#This Row],[Produto]],tProdutos[Produto],0))),DescontoPadrao)</f>
        <v>0.21</v>
      </c>
      <c r="M3177" s="12">
        <f>tItens[[#This Row],[Valor]]*(1-tItens[[#This Row],[Desconto]])</f>
        <v>9895.5400000000009</v>
      </c>
      <c r="N3177" t="str">
        <f>IFERROR(INDEX(tProdutos[Foco],MATCH(tItens[[#This Row],[Produto]],tProdutos[Produto],0)),"Não")</f>
        <v>Sim</v>
      </c>
      <c r="O3177" t="str">
        <f>IFERROR(INDEX(tEditais[SRP],MATCH(tItens[[#This Row],[Edital]],tEditais[Edital],0)),"Não")</f>
        <v>Sim</v>
      </c>
      <c r="P3177" s="4">
        <f>IF(COUNTIFS(INDEX(tItens[Edital],1):tItens[[#This Row],[Edital]],tItens[[#This Row],[Edital]],INDEX(tItens[Produto],1):tItens[[#This Row],[Produto]],tItens[[#This Row],[Produto]])=1,1,0)</f>
        <v>1</v>
      </c>
    </row>
    <row r="3178" spans="1:16" x14ac:dyDescent="0.25">
      <c r="A3178" t="s">
        <v>1402</v>
      </c>
      <c r="B3178">
        <v>316</v>
      </c>
      <c r="C3178" t="s">
        <v>6083</v>
      </c>
      <c r="D3178" t="s">
        <v>120</v>
      </c>
      <c r="E3178" s="13">
        <v>600</v>
      </c>
      <c r="F3178" s="12">
        <v>10.82</v>
      </c>
      <c r="G3178" t="str">
        <f>IFERROR(INDEX(tEditais[Órgão],MATCH(tItens[[#This Row],[Edital]],tEditais[Edital],0)),"")</f>
        <v>MUNICIPIO DE BANDEIRA DO SUL</v>
      </c>
      <c r="H3178" t="str">
        <f>IFERROR(INDEX(tEditais[UF],MATCH(tItens[[#This Row],[Edital]],tEditais[Edital],0)),"")</f>
        <v>MG</v>
      </c>
      <c r="I3178" s="11">
        <f>IFERROR(INDEX(tEditais[Encerramento],MATCH(tItens[[#This Row],[Edital]],tEditais[Edital],0)),"")</f>
        <v>46308.458333333336</v>
      </c>
      <c r="J3178" t="str">
        <f>IFERROR(INDEX(tProdutos[Classe],MATCH(tItens[[#This Row],[Produto]],tProdutos[Produto],0)),"produto não cadastrado")</f>
        <v>DISPUTADO</v>
      </c>
      <c r="K3178" s="12">
        <f>tItens[[#This Row],[Qtd]]*tItens[[#This Row],[Vlr unit]]</f>
        <v>6492</v>
      </c>
      <c r="L3178" s="6">
        <f>IFERROR(IF(INDEX(tProdutos[Desconto homologado],MATCH(tItens[[#This Row],[Produto]],tProdutos[Produto],0))="",DescontoPadrao,INDEX(tProdutos[Desconto homologado],MATCH(tItens[[#This Row],[Produto]],tProdutos[Produto],0))),DescontoPadrao)</f>
        <v>0.40909090909090901</v>
      </c>
      <c r="M3178" s="12">
        <f>tItens[[#This Row],[Valor]]*(1-tItens[[#This Row],[Desconto]])</f>
        <v>3836.1818181818189</v>
      </c>
      <c r="N3178" t="str">
        <f>IFERROR(INDEX(tProdutos[Foco],MATCH(tItens[[#This Row],[Produto]],tProdutos[Produto],0)),"Não")</f>
        <v>Não</v>
      </c>
      <c r="O3178" t="str">
        <f>IFERROR(INDEX(tEditais[SRP],MATCH(tItens[[#This Row],[Edital]],tEditais[Edital],0)),"Não")</f>
        <v>Sim</v>
      </c>
      <c r="P3178" s="4">
        <f>IF(COUNTIFS(INDEX(tItens[Edital],1):tItens[[#This Row],[Edital]],tItens[[#This Row],[Edital]],INDEX(tItens[Produto],1):tItens[[#This Row],[Produto]],tItens[[#This Row],[Produto]])=1,1,0)</f>
        <v>1</v>
      </c>
    </row>
    <row r="3179" spans="1:16" x14ac:dyDescent="0.25">
      <c r="A3179" t="s">
        <v>1402</v>
      </c>
      <c r="B3179">
        <v>317</v>
      </c>
      <c r="C3179" t="s">
        <v>6084</v>
      </c>
      <c r="D3179" t="s">
        <v>120</v>
      </c>
      <c r="E3179" s="13">
        <v>500</v>
      </c>
      <c r="F3179" s="12">
        <v>10.82</v>
      </c>
      <c r="G3179" t="str">
        <f>IFERROR(INDEX(tEditais[Órgão],MATCH(tItens[[#This Row],[Edital]],tEditais[Edital],0)),"")</f>
        <v>MUNICIPIO DE BANDEIRA DO SUL</v>
      </c>
      <c r="H3179" t="str">
        <f>IFERROR(INDEX(tEditais[UF],MATCH(tItens[[#This Row],[Edital]],tEditais[Edital],0)),"")</f>
        <v>MG</v>
      </c>
      <c r="I3179" s="11">
        <f>IFERROR(INDEX(tEditais[Encerramento],MATCH(tItens[[#This Row],[Edital]],tEditais[Edital],0)),"")</f>
        <v>46308.458333333336</v>
      </c>
      <c r="J3179" t="str">
        <f>IFERROR(INDEX(tProdutos[Classe],MATCH(tItens[[#This Row],[Produto]],tProdutos[Produto],0)),"produto não cadastrado")</f>
        <v>DISPUTADO</v>
      </c>
      <c r="K3179" s="12">
        <f>tItens[[#This Row],[Qtd]]*tItens[[#This Row],[Vlr unit]]</f>
        <v>5410</v>
      </c>
      <c r="L3179" s="6">
        <f>IFERROR(IF(INDEX(tProdutos[Desconto homologado],MATCH(tItens[[#This Row],[Produto]],tProdutos[Produto],0))="",DescontoPadrao,INDEX(tProdutos[Desconto homologado],MATCH(tItens[[#This Row],[Produto]],tProdutos[Produto],0))),DescontoPadrao)</f>
        <v>0.40909090909090901</v>
      </c>
      <c r="M3179" s="12">
        <f>tItens[[#This Row],[Valor]]*(1-tItens[[#This Row],[Desconto]])</f>
        <v>3196.8181818181824</v>
      </c>
      <c r="N3179" t="str">
        <f>IFERROR(INDEX(tProdutos[Foco],MATCH(tItens[[#This Row],[Produto]],tProdutos[Produto],0)),"Não")</f>
        <v>Não</v>
      </c>
      <c r="O3179" t="str">
        <f>IFERROR(INDEX(tEditais[SRP],MATCH(tItens[[#This Row],[Edital]],tEditais[Edital],0)),"Não")</f>
        <v>Sim</v>
      </c>
      <c r="P3179" s="4">
        <f>IF(COUNTIFS(INDEX(tItens[Edital],1):tItens[[#This Row],[Edital]],tItens[[#This Row],[Edital]],INDEX(tItens[Produto],1):tItens[[#This Row],[Produto]],tItens[[#This Row],[Produto]])=1,1,0)</f>
        <v>0</v>
      </c>
    </row>
    <row r="3180" spans="1:16" x14ac:dyDescent="0.25">
      <c r="A3180" t="s">
        <v>1402</v>
      </c>
      <c r="B3180">
        <v>318</v>
      </c>
      <c r="C3180" t="s">
        <v>6085</v>
      </c>
      <c r="D3180" t="s">
        <v>120</v>
      </c>
      <c r="E3180" s="13">
        <v>1200</v>
      </c>
      <c r="F3180" s="12">
        <v>12.86</v>
      </c>
      <c r="G3180" t="str">
        <f>IFERROR(INDEX(tEditais[Órgão],MATCH(tItens[[#This Row],[Edital]],tEditais[Edital],0)),"")</f>
        <v>MUNICIPIO DE BANDEIRA DO SUL</v>
      </c>
      <c r="H3180" t="str">
        <f>IFERROR(INDEX(tEditais[UF],MATCH(tItens[[#This Row],[Edital]],tEditais[Edital],0)),"")</f>
        <v>MG</v>
      </c>
      <c r="I3180" s="11">
        <f>IFERROR(INDEX(tEditais[Encerramento],MATCH(tItens[[#This Row],[Edital]],tEditais[Edital],0)),"")</f>
        <v>46308.458333333336</v>
      </c>
      <c r="J3180" t="str">
        <f>IFERROR(INDEX(tProdutos[Classe],MATCH(tItens[[#This Row],[Produto]],tProdutos[Produto],0)),"produto não cadastrado")</f>
        <v>DISPUTADO</v>
      </c>
      <c r="K3180" s="12">
        <f>tItens[[#This Row],[Qtd]]*tItens[[#This Row],[Vlr unit]]</f>
        <v>15432</v>
      </c>
      <c r="L3180" s="6">
        <f>IFERROR(IF(INDEX(tProdutos[Desconto homologado],MATCH(tItens[[#This Row],[Produto]],tProdutos[Produto],0))="",DescontoPadrao,INDEX(tProdutos[Desconto homologado],MATCH(tItens[[#This Row],[Produto]],tProdutos[Produto],0))),DescontoPadrao)</f>
        <v>0.40909090909090901</v>
      </c>
      <c r="M3180" s="12">
        <f>tItens[[#This Row],[Valor]]*(1-tItens[[#This Row],[Desconto]])</f>
        <v>9118.9090909090937</v>
      </c>
      <c r="N3180" t="str">
        <f>IFERROR(INDEX(tProdutos[Foco],MATCH(tItens[[#This Row],[Produto]],tProdutos[Produto],0)),"Não")</f>
        <v>Não</v>
      </c>
      <c r="O3180" t="str">
        <f>IFERROR(INDEX(tEditais[SRP],MATCH(tItens[[#This Row],[Edital]],tEditais[Edital],0)),"Não")</f>
        <v>Sim</v>
      </c>
      <c r="P3180" s="4">
        <f>IF(COUNTIFS(INDEX(tItens[Edital],1):tItens[[#This Row],[Edital]],tItens[[#This Row],[Edital]],INDEX(tItens[Produto],1):tItens[[#This Row],[Produto]],tItens[[#This Row],[Produto]])=1,1,0)</f>
        <v>0</v>
      </c>
    </row>
    <row r="3181" spans="1:16" x14ac:dyDescent="0.25">
      <c r="A3181" t="s">
        <v>1402</v>
      </c>
      <c r="B3181">
        <v>319</v>
      </c>
      <c r="C3181" t="s">
        <v>6086</v>
      </c>
      <c r="D3181" t="s">
        <v>120</v>
      </c>
      <c r="E3181" s="13">
        <v>1200</v>
      </c>
      <c r="F3181" s="12">
        <v>11.19</v>
      </c>
      <c r="G3181" t="str">
        <f>IFERROR(INDEX(tEditais[Órgão],MATCH(tItens[[#This Row],[Edital]],tEditais[Edital],0)),"")</f>
        <v>MUNICIPIO DE BANDEIRA DO SUL</v>
      </c>
      <c r="H3181" t="str">
        <f>IFERROR(INDEX(tEditais[UF],MATCH(tItens[[#This Row],[Edital]],tEditais[Edital],0)),"")</f>
        <v>MG</v>
      </c>
      <c r="I3181" s="11">
        <f>IFERROR(INDEX(tEditais[Encerramento],MATCH(tItens[[#This Row],[Edital]],tEditais[Edital],0)),"")</f>
        <v>46308.458333333336</v>
      </c>
      <c r="J3181" t="str">
        <f>IFERROR(INDEX(tProdutos[Classe],MATCH(tItens[[#This Row],[Produto]],tProdutos[Produto],0)),"produto não cadastrado")</f>
        <v>DISPUTADO</v>
      </c>
      <c r="K3181" s="12">
        <f>tItens[[#This Row],[Qtd]]*tItens[[#This Row],[Vlr unit]]</f>
        <v>13428</v>
      </c>
      <c r="L3181" s="6">
        <f>IFERROR(IF(INDEX(tProdutos[Desconto homologado],MATCH(tItens[[#This Row],[Produto]],tProdutos[Produto],0))="",DescontoPadrao,INDEX(tProdutos[Desconto homologado],MATCH(tItens[[#This Row],[Produto]],tProdutos[Produto],0))),DescontoPadrao)</f>
        <v>0.40909090909090901</v>
      </c>
      <c r="M3181" s="12">
        <f>tItens[[#This Row],[Valor]]*(1-tItens[[#This Row],[Desconto]])</f>
        <v>7934.7272727272748</v>
      </c>
      <c r="N3181" t="str">
        <f>IFERROR(INDEX(tProdutos[Foco],MATCH(tItens[[#This Row],[Produto]],tProdutos[Produto],0)),"Não")</f>
        <v>Não</v>
      </c>
      <c r="O3181" t="str">
        <f>IFERROR(INDEX(tEditais[SRP],MATCH(tItens[[#This Row],[Edital]],tEditais[Edital],0)),"Não")</f>
        <v>Sim</v>
      </c>
      <c r="P3181" s="4">
        <f>IF(COUNTIFS(INDEX(tItens[Edital],1):tItens[[#This Row],[Edital]],tItens[[#This Row],[Edital]],INDEX(tItens[Produto],1):tItens[[#This Row],[Produto]],tItens[[#This Row],[Produto]])=1,1,0)</f>
        <v>0</v>
      </c>
    </row>
    <row r="3182" spans="1:16" x14ac:dyDescent="0.25">
      <c r="A3182" t="s">
        <v>1406</v>
      </c>
      <c r="B3182">
        <v>5</v>
      </c>
      <c r="C3182" t="s">
        <v>6087</v>
      </c>
      <c r="D3182" t="s">
        <v>132</v>
      </c>
      <c r="E3182" s="13">
        <v>10</v>
      </c>
      <c r="F3182" s="12">
        <v>12.88</v>
      </c>
      <c r="G3182" t="str">
        <f>IFERROR(INDEX(tEditais[Órgão],MATCH(tItens[[#This Row],[Edital]],tEditais[Edital],0)),"")</f>
        <v>MUNICIPIO DE ITAJUBA</v>
      </c>
      <c r="H3182" t="str">
        <f>IFERROR(INDEX(tEditais[UF],MATCH(tItens[[#This Row],[Edital]],tEditais[Edital],0)),"")</f>
        <v>MG</v>
      </c>
      <c r="I3182" s="11">
        <f>IFERROR(INDEX(tEditais[Encerramento],MATCH(tItens[[#This Row],[Edital]],tEditais[Edital],0)),"")</f>
        <v>46308.5</v>
      </c>
      <c r="J3182" t="str">
        <f>IFERROR(INDEX(tProdutos[Classe],MATCH(tItens[[#This Row],[Produto]],tProdutos[Produto],0)),"produto não cadastrado")</f>
        <v>NÚCLEO</v>
      </c>
      <c r="K3182" s="12">
        <f>tItens[[#This Row],[Qtd]]*tItens[[#This Row],[Vlr unit]]</f>
        <v>128.80000000000001</v>
      </c>
      <c r="L3182" s="6">
        <f>IFERROR(IF(INDEX(tProdutos[Desconto homologado],MATCH(tItens[[#This Row],[Produto]],tProdutos[Produto],0))="",DescontoPadrao,INDEX(tProdutos[Desconto homologado],MATCH(tItens[[#This Row],[Produto]],tProdutos[Produto],0))),DescontoPadrao)</f>
        <v>0.27</v>
      </c>
      <c r="M3182" s="12">
        <f>tItens[[#This Row],[Valor]]*(1-tItens[[#This Row],[Desconto]])</f>
        <v>94.024000000000001</v>
      </c>
      <c r="N3182" t="str">
        <f>IFERROR(INDEX(tProdutos[Foco],MATCH(tItens[[#This Row],[Produto]],tProdutos[Produto],0)),"Não")</f>
        <v>Sim</v>
      </c>
      <c r="O3182" t="str">
        <f>IFERROR(INDEX(tEditais[SRP],MATCH(tItens[[#This Row],[Edital]],tEditais[Edital],0)),"Não")</f>
        <v>Sim</v>
      </c>
      <c r="P3182" s="4">
        <f>IF(COUNTIFS(INDEX(tItens[Edital],1):tItens[[#This Row],[Edital]],tItens[[#This Row],[Edital]],INDEX(tItens[Produto],1):tItens[[#This Row],[Produto]],tItens[[#This Row],[Produto]])=1,1,0)</f>
        <v>1</v>
      </c>
    </row>
    <row r="3183" spans="1:16" x14ac:dyDescent="0.25">
      <c r="A3183" t="s">
        <v>1406</v>
      </c>
      <c r="B3183">
        <v>32</v>
      </c>
      <c r="C3183" t="s">
        <v>6088</v>
      </c>
      <c r="D3183" t="s">
        <v>343</v>
      </c>
      <c r="E3183" s="13">
        <v>50</v>
      </c>
      <c r="F3183" s="12">
        <v>118.75</v>
      </c>
      <c r="G3183" t="str">
        <f>IFERROR(INDEX(tEditais[Órgão],MATCH(tItens[[#This Row],[Edital]],tEditais[Edital],0)),"")</f>
        <v>MUNICIPIO DE ITAJUBA</v>
      </c>
      <c r="H3183" t="str">
        <f>IFERROR(INDEX(tEditais[UF],MATCH(tItens[[#This Row],[Edital]],tEditais[Edital],0)),"")</f>
        <v>MG</v>
      </c>
      <c r="I3183" s="11">
        <f>IFERROR(INDEX(tEditais[Encerramento],MATCH(tItens[[#This Row],[Edital]],tEditais[Edital],0)),"")</f>
        <v>46308.5</v>
      </c>
      <c r="J3183" t="str">
        <f>IFERROR(INDEX(tProdutos[Classe],MATCH(tItens[[#This Row],[Produto]],tProdutos[Produto],0)),"produto não cadastrado")</f>
        <v>FORA</v>
      </c>
      <c r="K3183" s="12">
        <f>tItens[[#This Row],[Qtd]]*tItens[[#This Row],[Vlr unit]]</f>
        <v>5937.5</v>
      </c>
      <c r="L3183" s="6">
        <f>IFERROR(IF(INDEX(tProdutos[Desconto homologado],MATCH(tItens[[#This Row],[Produto]],tProdutos[Produto],0))="",DescontoPadrao,INDEX(tProdutos[Desconto homologado],MATCH(tItens[[#This Row],[Produto]],tProdutos[Produto],0))),DescontoPadrao)</f>
        <v>0.35412234042553198</v>
      </c>
      <c r="M3183" s="12">
        <f>tItens[[#This Row],[Valor]]*(1-tItens[[#This Row],[Desconto]])</f>
        <v>3834.8986037234035</v>
      </c>
      <c r="N3183" t="str">
        <f>IFERROR(INDEX(tProdutos[Foco],MATCH(tItens[[#This Row],[Produto]],tProdutos[Produto],0)),"Não")</f>
        <v>Não</v>
      </c>
      <c r="O3183" t="str">
        <f>IFERROR(INDEX(tEditais[SRP],MATCH(tItens[[#This Row],[Edital]],tEditais[Edital],0)),"Não")</f>
        <v>Sim</v>
      </c>
      <c r="P3183" s="4">
        <f>IF(COUNTIFS(INDEX(tItens[Edital],1):tItens[[#This Row],[Edital]],tItens[[#This Row],[Edital]],INDEX(tItens[Produto],1):tItens[[#This Row],[Produto]],tItens[[#This Row],[Produto]])=1,1,0)</f>
        <v>1</v>
      </c>
    </row>
    <row r="3184" spans="1:16" x14ac:dyDescent="0.25">
      <c r="A3184" t="s">
        <v>1406</v>
      </c>
      <c r="B3184">
        <v>34</v>
      </c>
      <c r="C3184" t="s">
        <v>6089</v>
      </c>
      <c r="D3184" t="s">
        <v>530</v>
      </c>
      <c r="E3184" s="13">
        <v>100</v>
      </c>
      <c r="F3184" s="12">
        <v>20.6</v>
      </c>
      <c r="G3184" t="str">
        <f>IFERROR(INDEX(tEditais[Órgão],MATCH(tItens[[#This Row],[Edital]],tEditais[Edital],0)),"")</f>
        <v>MUNICIPIO DE ITAJUBA</v>
      </c>
      <c r="H3184" t="str">
        <f>IFERROR(INDEX(tEditais[UF],MATCH(tItens[[#This Row],[Edital]],tEditais[Edital],0)),"")</f>
        <v>MG</v>
      </c>
      <c r="I3184" s="11">
        <f>IFERROR(INDEX(tEditais[Encerramento],MATCH(tItens[[#This Row],[Edital]],tEditais[Edital],0)),"")</f>
        <v>46308.5</v>
      </c>
      <c r="J3184" t="str">
        <f>IFERROR(INDEX(tProdutos[Classe],MATCH(tItens[[#This Row],[Produto]],tProdutos[Produto],0)),"produto não cadastrado")</f>
        <v>FILA REBASE</v>
      </c>
      <c r="K3184" s="12">
        <f>tItens[[#This Row],[Qtd]]*tItens[[#This Row],[Vlr unit]]</f>
        <v>2060</v>
      </c>
      <c r="L3184" s="6">
        <f>IFERROR(IF(INDEX(tProdutos[Desconto homologado],MATCH(tItens[[#This Row],[Produto]],tProdutos[Produto],0))="",DescontoPadrao,INDEX(tProdutos[Desconto homologado],MATCH(tItens[[#This Row],[Produto]],tProdutos[Produto],0))),DescontoPadrao)</f>
        <v>0.457328385899815</v>
      </c>
      <c r="M3184" s="12">
        <f>tItens[[#This Row],[Valor]]*(1-tItens[[#This Row],[Desconto]])</f>
        <v>1117.9035250463812</v>
      </c>
      <c r="N3184" t="str">
        <f>IFERROR(INDEX(tProdutos[Foco],MATCH(tItens[[#This Row],[Produto]],tProdutos[Produto],0)),"Não")</f>
        <v>Não</v>
      </c>
      <c r="O3184" t="str">
        <f>IFERROR(INDEX(tEditais[SRP],MATCH(tItens[[#This Row],[Edital]],tEditais[Edital],0)),"Não")</f>
        <v>Sim</v>
      </c>
      <c r="P3184" s="4">
        <f>IF(COUNTIFS(INDEX(tItens[Edital],1):tItens[[#This Row],[Edital]],tItens[[#This Row],[Edital]],INDEX(tItens[Produto],1):tItens[[#This Row],[Produto]],tItens[[#This Row],[Produto]])=1,1,0)</f>
        <v>1</v>
      </c>
    </row>
    <row r="3185" spans="1:16" x14ac:dyDescent="0.25">
      <c r="A3185" t="s">
        <v>1406</v>
      </c>
      <c r="B3185">
        <v>35</v>
      </c>
      <c r="C3185" t="s">
        <v>6090</v>
      </c>
      <c r="D3185" t="s">
        <v>437</v>
      </c>
      <c r="E3185" s="13">
        <v>650</v>
      </c>
      <c r="F3185" s="12">
        <v>6</v>
      </c>
      <c r="G3185" t="str">
        <f>IFERROR(INDEX(tEditais[Órgão],MATCH(tItens[[#This Row],[Edital]],tEditais[Edital],0)),"")</f>
        <v>MUNICIPIO DE ITAJUBA</v>
      </c>
      <c r="H3185" t="str">
        <f>IFERROR(INDEX(tEditais[UF],MATCH(tItens[[#This Row],[Edital]],tEditais[Edital],0)),"")</f>
        <v>MG</v>
      </c>
      <c r="I3185" s="11">
        <f>IFERROR(INDEX(tEditais[Encerramento],MATCH(tItens[[#This Row],[Edital]],tEditais[Edital],0)),"")</f>
        <v>46308.5</v>
      </c>
      <c r="J3185" t="str">
        <f>IFERROR(INDEX(tProdutos[Classe],MATCH(tItens[[#This Row],[Produto]],tProdutos[Produto],0)),"produto não cadastrado")</f>
        <v>FILA REBASE</v>
      </c>
      <c r="K3185" s="12">
        <f>tItens[[#This Row],[Qtd]]*tItens[[#This Row],[Vlr unit]]</f>
        <v>3900</v>
      </c>
      <c r="L3185" s="6">
        <f>IFERROR(IF(INDEX(tProdutos[Desconto homologado],MATCH(tItens[[#This Row],[Produto]],tProdutos[Produto],0))="",DescontoPadrao,INDEX(tProdutos[Desconto homologado],MATCH(tItens[[#This Row],[Produto]],tProdutos[Produto],0))),DescontoPadrao)</f>
        <v>0.23334221878164699</v>
      </c>
      <c r="M3185" s="12">
        <f>tItens[[#This Row],[Valor]]*(1-tItens[[#This Row],[Desconto]])</f>
        <v>2989.9653467515768</v>
      </c>
      <c r="N3185" t="str">
        <f>IFERROR(INDEX(tProdutos[Foco],MATCH(tItens[[#This Row],[Produto]],tProdutos[Produto],0)),"Não")</f>
        <v>Não</v>
      </c>
      <c r="O3185" t="str">
        <f>IFERROR(INDEX(tEditais[SRP],MATCH(tItens[[#This Row],[Edital]],tEditais[Edital],0)),"Não")</f>
        <v>Sim</v>
      </c>
      <c r="P3185" s="4">
        <f>IF(COUNTIFS(INDEX(tItens[Edital],1):tItens[[#This Row],[Edital]],tItens[[#This Row],[Edital]],INDEX(tItens[Produto],1):tItens[[#This Row],[Produto]],tItens[[#This Row],[Produto]])=1,1,0)</f>
        <v>1</v>
      </c>
    </row>
    <row r="3186" spans="1:16" x14ac:dyDescent="0.25">
      <c r="A3186" t="s">
        <v>1406</v>
      </c>
      <c r="B3186">
        <v>36</v>
      </c>
      <c r="C3186" t="s">
        <v>6091</v>
      </c>
      <c r="D3186" t="s">
        <v>530</v>
      </c>
      <c r="E3186" s="13">
        <v>630</v>
      </c>
      <c r="F3186" s="12">
        <v>24.81</v>
      </c>
      <c r="G3186" t="str">
        <f>IFERROR(INDEX(tEditais[Órgão],MATCH(tItens[[#This Row],[Edital]],tEditais[Edital],0)),"")</f>
        <v>MUNICIPIO DE ITAJUBA</v>
      </c>
      <c r="H3186" t="str">
        <f>IFERROR(INDEX(tEditais[UF],MATCH(tItens[[#This Row],[Edital]],tEditais[Edital],0)),"")</f>
        <v>MG</v>
      </c>
      <c r="I3186" s="11">
        <f>IFERROR(INDEX(tEditais[Encerramento],MATCH(tItens[[#This Row],[Edital]],tEditais[Edital],0)),"")</f>
        <v>46308.5</v>
      </c>
      <c r="J3186" t="str">
        <f>IFERROR(INDEX(tProdutos[Classe],MATCH(tItens[[#This Row],[Produto]],tProdutos[Produto],0)),"produto não cadastrado")</f>
        <v>FILA REBASE</v>
      </c>
      <c r="K3186" s="12">
        <f>tItens[[#This Row],[Qtd]]*tItens[[#This Row],[Vlr unit]]</f>
        <v>15630.3</v>
      </c>
      <c r="L3186" s="6">
        <f>IFERROR(IF(INDEX(tProdutos[Desconto homologado],MATCH(tItens[[#This Row],[Produto]],tProdutos[Produto],0))="",DescontoPadrao,INDEX(tProdutos[Desconto homologado],MATCH(tItens[[#This Row],[Produto]],tProdutos[Produto],0))),DescontoPadrao)</f>
        <v>0.457328385899815</v>
      </c>
      <c r="M3186" s="12">
        <f>tItens[[#This Row],[Valor]]*(1-tItens[[#This Row],[Desconto]])</f>
        <v>8482.1201298701217</v>
      </c>
      <c r="N3186" t="str">
        <f>IFERROR(INDEX(tProdutos[Foco],MATCH(tItens[[#This Row],[Produto]],tProdutos[Produto],0)),"Não")</f>
        <v>Não</v>
      </c>
      <c r="O3186" t="str">
        <f>IFERROR(INDEX(tEditais[SRP],MATCH(tItens[[#This Row],[Edital]],tEditais[Edital],0)),"Não")</f>
        <v>Sim</v>
      </c>
      <c r="P3186" s="4">
        <f>IF(COUNTIFS(INDEX(tItens[Edital],1):tItens[[#This Row],[Edital]],tItens[[#This Row],[Edital]],INDEX(tItens[Produto],1):tItens[[#This Row],[Produto]],tItens[[#This Row],[Produto]])=1,1,0)</f>
        <v>0</v>
      </c>
    </row>
    <row r="3187" spans="1:16" x14ac:dyDescent="0.25">
      <c r="A3187" t="s">
        <v>1406</v>
      </c>
      <c r="B3187">
        <v>47</v>
      </c>
      <c r="C3187" t="s">
        <v>6092</v>
      </c>
      <c r="D3187" t="s">
        <v>403</v>
      </c>
      <c r="E3187" s="13">
        <v>2500</v>
      </c>
      <c r="F3187" s="12">
        <v>1.59</v>
      </c>
      <c r="G3187" t="str">
        <f>IFERROR(INDEX(tEditais[Órgão],MATCH(tItens[[#This Row],[Edital]],tEditais[Edital],0)),"")</f>
        <v>MUNICIPIO DE ITAJUBA</v>
      </c>
      <c r="H3187" t="str">
        <f>IFERROR(INDEX(tEditais[UF],MATCH(tItens[[#This Row],[Edital]],tEditais[Edital],0)),"")</f>
        <v>MG</v>
      </c>
      <c r="I3187" s="11">
        <f>IFERROR(INDEX(tEditais[Encerramento],MATCH(tItens[[#This Row],[Edital]],tEditais[Edital],0)),"")</f>
        <v>46308.5</v>
      </c>
      <c r="J3187" t="str">
        <f>IFERROR(INDEX(tProdutos[Classe],MATCH(tItens[[#This Row],[Produto]],tProdutos[Produto],0)),"produto não cadastrado")</f>
        <v>FORA</v>
      </c>
      <c r="K3187" s="12">
        <f>tItens[[#This Row],[Qtd]]*tItens[[#This Row],[Vlr unit]]</f>
        <v>3975</v>
      </c>
      <c r="L3187" s="6">
        <f>IFERROR(IF(INDEX(tProdutos[Desconto homologado],MATCH(tItens[[#This Row],[Produto]],tProdutos[Produto],0))="",DescontoPadrao,INDEX(tProdutos[Desconto homologado],MATCH(tItens[[#This Row],[Produto]],tProdutos[Produto],0))),DescontoPadrao)</f>
        <v>0.35326086956521702</v>
      </c>
      <c r="M3187" s="12">
        <f>tItens[[#This Row],[Valor]]*(1-tItens[[#This Row],[Desconto]])</f>
        <v>2570.7880434782624</v>
      </c>
      <c r="N3187" t="str">
        <f>IFERROR(INDEX(tProdutos[Foco],MATCH(tItens[[#This Row],[Produto]],tProdutos[Produto],0)),"Não")</f>
        <v>Não</v>
      </c>
      <c r="O3187" t="str">
        <f>IFERROR(INDEX(tEditais[SRP],MATCH(tItens[[#This Row],[Edital]],tEditais[Edital],0)),"Não")</f>
        <v>Sim</v>
      </c>
      <c r="P3187" s="4">
        <f>IF(COUNTIFS(INDEX(tItens[Edital],1):tItens[[#This Row],[Edital]],tItens[[#This Row],[Edital]],INDEX(tItens[Produto],1):tItens[[#This Row],[Produto]],tItens[[#This Row],[Produto]])=1,1,0)</f>
        <v>1</v>
      </c>
    </row>
    <row r="3188" spans="1:16" x14ac:dyDescent="0.25">
      <c r="A3188" t="s">
        <v>1406</v>
      </c>
      <c r="B3188">
        <v>66</v>
      </c>
      <c r="C3188" t="s">
        <v>6093</v>
      </c>
      <c r="D3188" t="s">
        <v>114</v>
      </c>
      <c r="E3188" s="13">
        <v>1500</v>
      </c>
      <c r="F3188" s="12">
        <v>2.15</v>
      </c>
      <c r="G3188" t="str">
        <f>IFERROR(INDEX(tEditais[Órgão],MATCH(tItens[[#This Row],[Edital]],tEditais[Edital],0)),"")</f>
        <v>MUNICIPIO DE ITAJUBA</v>
      </c>
      <c r="H3188" t="str">
        <f>IFERROR(INDEX(tEditais[UF],MATCH(tItens[[#This Row],[Edital]],tEditais[Edital],0)),"")</f>
        <v>MG</v>
      </c>
      <c r="I3188" s="11">
        <f>IFERROR(INDEX(tEditais[Encerramento],MATCH(tItens[[#This Row],[Edital]],tEditais[Edital],0)),"")</f>
        <v>46308.5</v>
      </c>
      <c r="J3188" t="str">
        <f>IFERROR(INDEX(tProdutos[Classe],MATCH(tItens[[#This Row],[Produto]],tProdutos[Produto],0)),"produto não cadastrado")</f>
        <v>DISPUTADO</v>
      </c>
      <c r="K3188" s="12">
        <f>tItens[[#This Row],[Qtd]]*tItens[[#This Row],[Vlr unit]]</f>
        <v>3225</v>
      </c>
      <c r="L3188" s="6">
        <f>IFERROR(IF(INDEX(tProdutos[Desconto homologado],MATCH(tItens[[#This Row],[Produto]],tProdutos[Produto],0))="",DescontoPadrao,INDEX(tProdutos[Desconto homologado],MATCH(tItens[[#This Row],[Produto]],tProdutos[Produto],0))),DescontoPadrao)</f>
        <v>0.24332656063896899</v>
      </c>
      <c r="M3188" s="12">
        <f>tItens[[#This Row],[Valor]]*(1-tItens[[#This Row],[Desconto]])</f>
        <v>2440.271841939325</v>
      </c>
      <c r="N3188" t="str">
        <f>IFERROR(INDEX(tProdutos[Foco],MATCH(tItens[[#This Row],[Produto]],tProdutos[Produto],0)),"Não")</f>
        <v>Não</v>
      </c>
      <c r="O3188" t="str">
        <f>IFERROR(INDEX(tEditais[SRP],MATCH(tItens[[#This Row],[Edital]],tEditais[Edital],0)),"Não")</f>
        <v>Sim</v>
      </c>
      <c r="P3188" s="4">
        <f>IF(COUNTIFS(INDEX(tItens[Edital],1):tItens[[#This Row],[Edital]],tItens[[#This Row],[Edital]],INDEX(tItens[Produto],1):tItens[[#This Row],[Produto]],tItens[[#This Row],[Produto]])=1,1,0)</f>
        <v>1</v>
      </c>
    </row>
    <row r="3189" spans="1:16" x14ac:dyDescent="0.25">
      <c r="A3189" t="s">
        <v>1406</v>
      </c>
      <c r="B3189">
        <v>67</v>
      </c>
      <c r="C3189" t="s">
        <v>6094</v>
      </c>
      <c r="D3189" t="s">
        <v>114</v>
      </c>
      <c r="E3189" s="13">
        <v>135</v>
      </c>
      <c r="F3189" s="12">
        <v>16.760000000000002</v>
      </c>
      <c r="G3189" t="str">
        <f>IFERROR(INDEX(tEditais[Órgão],MATCH(tItens[[#This Row],[Edital]],tEditais[Edital],0)),"")</f>
        <v>MUNICIPIO DE ITAJUBA</v>
      </c>
      <c r="H3189" t="str">
        <f>IFERROR(INDEX(tEditais[UF],MATCH(tItens[[#This Row],[Edital]],tEditais[Edital],0)),"")</f>
        <v>MG</v>
      </c>
      <c r="I3189" s="11">
        <f>IFERROR(INDEX(tEditais[Encerramento],MATCH(tItens[[#This Row],[Edital]],tEditais[Edital],0)),"")</f>
        <v>46308.5</v>
      </c>
      <c r="J3189" t="str">
        <f>IFERROR(INDEX(tProdutos[Classe],MATCH(tItens[[#This Row],[Produto]],tProdutos[Produto],0)),"produto não cadastrado")</f>
        <v>DISPUTADO</v>
      </c>
      <c r="K3189" s="12">
        <f>tItens[[#This Row],[Qtd]]*tItens[[#This Row],[Vlr unit]]</f>
        <v>2262.6000000000004</v>
      </c>
      <c r="L3189" s="6">
        <f>IFERROR(IF(INDEX(tProdutos[Desconto homologado],MATCH(tItens[[#This Row],[Produto]],tProdutos[Produto],0))="",DescontoPadrao,INDEX(tProdutos[Desconto homologado],MATCH(tItens[[#This Row],[Produto]],tProdutos[Produto],0))),DescontoPadrao)</f>
        <v>0.24332656063896899</v>
      </c>
      <c r="M3189" s="12">
        <f>tItens[[#This Row],[Valor]]*(1-tItens[[#This Row],[Desconto]])</f>
        <v>1712.0493238982692</v>
      </c>
      <c r="N3189" t="str">
        <f>IFERROR(INDEX(tProdutos[Foco],MATCH(tItens[[#This Row],[Produto]],tProdutos[Produto],0)),"Não")</f>
        <v>Não</v>
      </c>
      <c r="O3189" t="str">
        <f>IFERROR(INDEX(tEditais[SRP],MATCH(tItens[[#This Row],[Edital]],tEditais[Edital],0)),"Não")</f>
        <v>Sim</v>
      </c>
      <c r="P3189" s="4">
        <f>IF(COUNTIFS(INDEX(tItens[Edital],1):tItens[[#This Row],[Edital]],tItens[[#This Row],[Edital]],INDEX(tItens[Produto],1):tItens[[#This Row],[Produto]],tItens[[#This Row],[Produto]])=1,1,0)</f>
        <v>0</v>
      </c>
    </row>
    <row r="3190" spans="1:16" x14ac:dyDescent="0.25">
      <c r="A3190" t="s">
        <v>1406</v>
      </c>
      <c r="B3190">
        <v>68</v>
      </c>
      <c r="C3190" t="s">
        <v>6095</v>
      </c>
      <c r="D3190" t="s">
        <v>114</v>
      </c>
      <c r="E3190" s="13">
        <v>300</v>
      </c>
      <c r="F3190" s="12">
        <v>9.1999999999999993</v>
      </c>
      <c r="G3190" t="str">
        <f>IFERROR(INDEX(tEditais[Órgão],MATCH(tItens[[#This Row],[Edital]],tEditais[Edital],0)),"")</f>
        <v>MUNICIPIO DE ITAJUBA</v>
      </c>
      <c r="H3190" t="str">
        <f>IFERROR(INDEX(tEditais[UF],MATCH(tItens[[#This Row],[Edital]],tEditais[Edital],0)),"")</f>
        <v>MG</v>
      </c>
      <c r="I3190" s="11">
        <f>IFERROR(INDEX(tEditais[Encerramento],MATCH(tItens[[#This Row],[Edital]],tEditais[Edital],0)),"")</f>
        <v>46308.5</v>
      </c>
      <c r="J3190" t="str">
        <f>IFERROR(INDEX(tProdutos[Classe],MATCH(tItens[[#This Row],[Produto]],tProdutos[Produto],0)),"produto não cadastrado")</f>
        <v>DISPUTADO</v>
      </c>
      <c r="K3190" s="12">
        <f>tItens[[#This Row],[Qtd]]*tItens[[#This Row],[Vlr unit]]</f>
        <v>2760</v>
      </c>
      <c r="L3190" s="6">
        <f>IFERROR(IF(INDEX(tProdutos[Desconto homologado],MATCH(tItens[[#This Row],[Produto]],tProdutos[Produto],0))="",DescontoPadrao,INDEX(tProdutos[Desconto homologado],MATCH(tItens[[#This Row],[Produto]],tProdutos[Produto],0))),DescontoPadrao)</f>
        <v>0.24332656063896899</v>
      </c>
      <c r="M3190" s="12">
        <f>tItens[[#This Row],[Valor]]*(1-tItens[[#This Row],[Desconto]])</f>
        <v>2088.4186926364455</v>
      </c>
      <c r="N3190" t="str">
        <f>IFERROR(INDEX(tProdutos[Foco],MATCH(tItens[[#This Row],[Produto]],tProdutos[Produto],0)),"Não")</f>
        <v>Não</v>
      </c>
      <c r="O3190" t="str">
        <f>IFERROR(INDEX(tEditais[SRP],MATCH(tItens[[#This Row],[Edital]],tEditais[Edital],0)),"Não")</f>
        <v>Sim</v>
      </c>
      <c r="P3190" s="4">
        <f>IF(COUNTIFS(INDEX(tItens[Edital],1):tItens[[#This Row],[Edital]],tItens[[#This Row],[Edital]],INDEX(tItens[Produto],1):tItens[[#This Row],[Produto]],tItens[[#This Row],[Produto]])=1,1,0)</f>
        <v>0</v>
      </c>
    </row>
    <row r="3191" spans="1:16" x14ac:dyDescent="0.25">
      <c r="A3191" t="s">
        <v>1406</v>
      </c>
      <c r="B3191">
        <v>69</v>
      </c>
      <c r="C3191" t="s">
        <v>6096</v>
      </c>
      <c r="D3191" t="s">
        <v>114</v>
      </c>
      <c r="E3191" s="13">
        <v>350</v>
      </c>
      <c r="F3191" s="12">
        <v>11.91</v>
      </c>
      <c r="G3191" t="str">
        <f>IFERROR(INDEX(tEditais[Órgão],MATCH(tItens[[#This Row],[Edital]],tEditais[Edital],0)),"")</f>
        <v>MUNICIPIO DE ITAJUBA</v>
      </c>
      <c r="H3191" t="str">
        <f>IFERROR(INDEX(tEditais[UF],MATCH(tItens[[#This Row],[Edital]],tEditais[Edital],0)),"")</f>
        <v>MG</v>
      </c>
      <c r="I3191" s="11">
        <f>IFERROR(INDEX(tEditais[Encerramento],MATCH(tItens[[#This Row],[Edital]],tEditais[Edital],0)),"")</f>
        <v>46308.5</v>
      </c>
      <c r="J3191" t="str">
        <f>IFERROR(INDEX(tProdutos[Classe],MATCH(tItens[[#This Row],[Produto]],tProdutos[Produto],0)),"produto não cadastrado")</f>
        <v>DISPUTADO</v>
      </c>
      <c r="K3191" s="12">
        <f>tItens[[#This Row],[Qtd]]*tItens[[#This Row],[Vlr unit]]</f>
        <v>4168.5</v>
      </c>
      <c r="L3191" s="6">
        <f>IFERROR(IF(INDEX(tProdutos[Desconto homologado],MATCH(tItens[[#This Row],[Produto]],tProdutos[Produto],0))="",DescontoPadrao,INDEX(tProdutos[Desconto homologado],MATCH(tItens[[#This Row],[Produto]],tProdutos[Produto],0))),DescontoPadrao)</f>
        <v>0.24332656063896899</v>
      </c>
      <c r="M3191" s="12">
        <f>tItens[[#This Row],[Valor]]*(1-tItens[[#This Row],[Desconto]])</f>
        <v>3154.1932319764578</v>
      </c>
      <c r="N3191" t="str">
        <f>IFERROR(INDEX(tProdutos[Foco],MATCH(tItens[[#This Row],[Produto]],tProdutos[Produto],0)),"Não")</f>
        <v>Não</v>
      </c>
      <c r="O3191" t="str">
        <f>IFERROR(INDEX(tEditais[SRP],MATCH(tItens[[#This Row],[Edital]],tEditais[Edital],0)),"Não")</f>
        <v>Sim</v>
      </c>
      <c r="P3191" s="4">
        <f>IF(COUNTIFS(INDEX(tItens[Edital],1):tItens[[#This Row],[Edital]],tItens[[#This Row],[Edital]],INDEX(tItens[Produto],1):tItens[[#This Row],[Produto]],tItens[[#This Row],[Produto]])=1,1,0)</f>
        <v>0</v>
      </c>
    </row>
    <row r="3192" spans="1:16" x14ac:dyDescent="0.25">
      <c r="A3192" t="s">
        <v>1411</v>
      </c>
      <c r="B3192">
        <v>60</v>
      </c>
      <c r="C3192" t="s">
        <v>6097</v>
      </c>
      <c r="D3192" t="s">
        <v>341</v>
      </c>
      <c r="E3192" s="13">
        <v>60</v>
      </c>
      <c r="F3192" s="12">
        <v>204.52</v>
      </c>
      <c r="G3192" t="str">
        <f>IFERROR(INDEX(tEditais[Órgão],MATCH(tItens[[#This Row],[Edital]],tEditais[Edital],0)),"")</f>
        <v>CONSORCIO PUBLICO PARA DESENVOLVIMENTO DO ALTO PARAOPEBA</v>
      </c>
      <c r="H3192" t="str">
        <f>IFERROR(INDEX(tEditais[UF],MATCH(tItens[[#This Row],[Edital]],tEditais[Edital],0)),"")</f>
        <v>MG</v>
      </c>
      <c r="I3192" s="11">
        <f>IFERROR(INDEX(tEditais[Encerramento],MATCH(tItens[[#This Row],[Edital]],tEditais[Edital],0)),"")</f>
        <v>46308.520833333336</v>
      </c>
      <c r="J3192" t="str">
        <f>IFERROR(INDEX(tProdutos[Classe],MATCH(tItens[[#This Row],[Produto]],tProdutos[Produto],0)),"produto não cadastrado")</f>
        <v>FORA</v>
      </c>
      <c r="K3192" s="12">
        <f>tItens[[#This Row],[Qtd]]*tItens[[#This Row],[Vlr unit]]</f>
        <v>12271.2</v>
      </c>
      <c r="L3192" s="6">
        <f>IFERROR(IF(INDEX(tProdutos[Desconto homologado],MATCH(tItens[[#This Row],[Produto]],tProdutos[Produto],0))="",DescontoPadrao,INDEX(tProdutos[Desconto homologado],MATCH(tItens[[#This Row],[Produto]],tProdutos[Produto],0))),DescontoPadrao)</f>
        <v>0.46918578497525898</v>
      </c>
      <c r="M3192" s="12">
        <f>tItens[[#This Row],[Valor]]*(1-tItens[[#This Row],[Desconto]])</f>
        <v>6513.7273954116026</v>
      </c>
      <c r="N3192" t="str">
        <f>IFERROR(INDEX(tProdutos[Foco],MATCH(tItens[[#This Row],[Produto]],tProdutos[Produto],0)),"Não")</f>
        <v>Não</v>
      </c>
      <c r="O3192" t="str">
        <f>IFERROR(INDEX(tEditais[SRP],MATCH(tItens[[#This Row],[Edital]],tEditais[Edital],0)),"Não")</f>
        <v>Sim</v>
      </c>
      <c r="P3192" s="4">
        <f>IF(COUNTIFS(INDEX(tItens[Edital],1):tItens[[#This Row],[Edital]],tItens[[#This Row],[Edital]],INDEX(tItens[Produto],1):tItens[[#This Row],[Produto]],tItens[[#This Row],[Produto]])=1,1,0)</f>
        <v>1</v>
      </c>
    </row>
    <row r="3193" spans="1:16" x14ac:dyDescent="0.25">
      <c r="A3193" t="s">
        <v>1411</v>
      </c>
      <c r="B3193">
        <v>63</v>
      </c>
      <c r="C3193" t="s">
        <v>6098</v>
      </c>
      <c r="D3193" t="s">
        <v>265</v>
      </c>
      <c r="E3193" s="13">
        <v>40</v>
      </c>
      <c r="F3193" s="12">
        <v>67.77</v>
      </c>
      <c r="G3193" t="str">
        <f>IFERROR(INDEX(tEditais[Órgão],MATCH(tItens[[#This Row],[Edital]],tEditais[Edital],0)),"")</f>
        <v>CONSORCIO PUBLICO PARA DESENVOLVIMENTO DO ALTO PARAOPEBA</v>
      </c>
      <c r="H3193" t="str">
        <f>IFERROR(INDEX(tEditais[UF],MATCH(tItens[[#This Row],[Edital]],tEditais[Edital],0)),"")</f>
        <v>MG</v>
      </c>
      <c r="I3193" s="11">
        <f>IFERROR(INDEX(tEditais[Encerramento],MATCH(tItens[[#This Row],[Edital]],tEditais[Edital],0)),"")</f>
        <v>46308.520833333336</v>
      </c>
      <c r="J3193" t="str">
        <f>IFERROR(INDEX(tProdutos[Classe],MATCH(tItens[[#This Row],[Produto]],tProdutos[Produto],0)),"produto não cadastrado")</f>
        <v>DISPUTADO</v>
      </c>
      <c r="K3193" s="12">
        <f>tItens[[#This Row],[Qtd]]*tItens[[#This Row],[Vlr unit]]</f>
        <v>2710.7999999999997</v>
      </c>
      <c r="L3193" s="6">
        <f>IFERROR(IF(INDEX(tProdutos[Desconto homologado],MATCH(tItens[[#This Row],[Produto]],tProdutos[Produto],0))="",DescontoPadrao,INDEX(tProdutos[Desconto homologado],MATCH(tItens[[#This Row],[Produto]],tProdutos[Produto],0))),DescontoPadrao)</f>
        <v>0.377587663709337</v>
      </c>
      <c r="M3193" s="12">
        <f>tItens[[#This Row],[Valor]]*(1-tItens[[#This Row],[Desconto]])</f>
        <v>1687.2353612167292</v>
      </c>
      <c r="N3193" t="str">
        <f>IFERROR(INDEX(tProdutos[Foco],MATCH(tItens[[#This Row],[Produto]],tProdutos[Produto],0)),"Não")</f>
        <v>Não</v>
      </c>
      <c r="O3193" t="str">
        <f>IFERROR(INDEX(tEditais[SRP],MATCH(tItens[[#This Row],[Edital]],tEditais[Edital],0)),"Não")</f>
        <v>Sim</v>
      </c>
      <c r="P3193" s="4">
        <f>IF(COUNTIFS(INDEX(tItens[Edital],1):tItens[[#This Row],[Edital]],tItens[[#This Row],[Edital]],INDEX(tItens[Produto],1):tItens[[#This Row],[Produto]],tItens[[#This Row],[Produto]])=1,1,0)</f>
        <v>1</v>
      </c>
    </row>
    <row r="3194" spans="1:16" x14ac:dyDescent="0.25">
      <c r="A3194" t="s">
        <v>1411</v>
      </c>
      <c r="B3194">
        <v>64</v>
      </c>
      <c r="C3194" t="s">
        <v>6099</v>
      </c>
      <c r="D3194" t="s">
        <v>281</v>
      </c>
      <c r="E3194" s="13">
        <v>80</v>
      </c>
      <c r="F3194" s="12">
        <v>116.54</v>
      </c>
      <c r="G3194" t="str">
        <f>IFERROR(INDEX(tEditais[Órgão],MATCH(tItens[[#This Row],[Edital]],tEditais[Edital],0)),"")</f>
        <v>CONSORCIO PUBLICO PARA DESENVOLVIMENTO DO ALTO PARAOPEBA</v>
      </c>
      <c r="H3194" t="str">
        <f>IFERROR(INDEX(tEditais[UF],MATCH(tItens[[#This Row],[Edital]],tEditais[Edital],0)),"")</f>
        <v>MG</v>
      </c>
      <c r="I3194" s="11">
        <f>IFERROR(INDEX(tEditais[Encerramento],MATCH(tItens[[#This Row],[Edital]],tEditais[Edital],0)),"")</f>
        <v>46308.520833333336</v>
      </c>
      <c r="J3194" t="str">
        <f>IFERROR(INDEX(tProdutos[Classe],MATCH(tItens[[#This Row],[Produto]],tProdutos[Produto],0)),"produto não cadastrado")</f>
        <v>DISPUTADO</v>
      </c>
      <c r="K3194" s="12">
        <f>tItens[[#This Row],[Qtd]]*tItens[[#This Row],[Vlr unit]]</f>
        <v>9323.2000000000007</v>
      </c>
      <c r="L3194" s="6">
        <f>IFERROR(IF(INDEX(tProdutos[Desconto homologado],MATCH(tItens[[#This Row],[Produto]],tProdutos[Produto],0))="",DescontoPadrao,INDEX(tProdutos[Desconto homologado],MATCH(tItens[[#This Row],[Produto]],tProdutos[Produto],0))),DescontoPadrao)</f>
        <v>0.42461538461538501</v>
      </c>
      <c r="M3194" s="12">
        <f>tItens[[#This Row],[Valor]]*(1-tItens[[#This Row],[Desconto]])</f>
        <v>5364.425846153842</v>
      </c>
      <c r="N3194" t="str">
        <f>IFERROR(INDEX(tProdutos[Foco],MATCH(tItens[[#This Row],[Produto]],tProdutos[Produto],0)),"Não")</f>
        <v>Não</v>
      </c>
      <c r="O3194" t="str">
        <f>IFERROR(INDEX(tEditais[SRP],MATCH(tItens[[#This Row],[Edital]],tEditais[Edital],0)),"Não")</f>
        <v>Sim</v>
      </c>
      <c r="P3194" s="4">
        <f>IF(COUNTIFS(INDEX(tItens[Edital],1):tItens[[#This Row],[Edital]],tItens[[#This Row],[Edital]],INDEX(tItens[Produto],1):tItens[[#This Row],[Produto]],tItens[[#This Row],[Produto]])=1,1,0)</f>
        <v>1</v>
      </c>
    </row>
    <row r="3195" spans="1:16" x14ac:dyDescent="0.25">
      <c r="A3195" t="s">
        <v>1411</v>
      </c>
      <c r="B3195">
        <v>65</v>
      </c>
      <c r="C3195" t="s">
        <v>6100</v>
      </c>
      <c r="D3195" t="s">
        <v>289</v>
      </c>
      <c r="E3195" s="13">
        <v>240</v>
      </c>
      <c r="F3195" s="12">
        <v>126.53</v>
      </c>
      <c r="G3195" t="str">
        <f>IFERROR(INDEX(tEditais[Órgão],MATCH(tItens[[#This Row],[Edital]],tEditais[Edital],0)),"")</f>
        <v>CONSORCIO PUBLICO PARA DESENVOLVIMENTO DO ALTO PARAOPEBA</v>
      </c>
      <c r="H3195" t="str">
        <f>IFERROR(INDEX(tEditais[UF],MATCH(tItens[[#This Row],[Edital]],tEditais[Edital],0)),"")</f>
        <v>MG</v>
      </c>
      <c r="I3195" s="11">
        <f>IFERROR(INDEX(tEditais[Encerramento],MATCH(tItens[[#This Row],[Edital]],tEditais[Edital],0)),"")</f>
        <v>46308.520833333336</v>
      </c>
      <c r="J3195" t="str">
        <f>IFERROR(INDEX(tProdutos[Classe],MATCH(tItens[[#This Row],[Produto]],tProdutos[Produto],0)),"produto não cadastrado")</f>
        <v>DISPUTADO</v>
      </c>
      <c r="K3195" s="12">
        <f>tItens[[#This Row],[Qtd]]*tItens[[#This Row],[Vlr unit]]</f>
        <v>30367.200000000001</v>
      </c>
      <c r="L3195" s="6">
        <f>IFERROR(IF(INDEX(tProdutos[Desconto homologado],MATCH(tItens[[#This Row],[Produto]],tProdutos[Produto],0))="",DescontoPadrao,INDEX(tProdutos[Desconto homologado],MATCH(tItens[[#This Row],[Produto]],tProdutos[Produto],0))),DescontoPadrao)</f>
        <v>0.35849056603773599</v>
      </c>
      <c r="M3195" s="12">
        <f>tItens[[#This Row],[Valor]]*(1-tItens[[#This Row],[Desconto]])</f>
        <v>19480.845283018865</v>
      </c>
      <c r="N3195" t="str">
        <f>IFERROR(INDEX(tProdutos[Foco],MATCH(tItens[[#This Row],[Produto]],tProdutos[Produto],0)),"Não")</f>
        <v>Não</v>
      </c>
      <c r="O3195" t="str">
        <f>IFERROR(INDEX(tEditais[SRP],MATCH(tItens[[#This Row],[Edital]],tEditais[Edital],0)),"Não")</f>
        <v>Sim</v>
      </c>
      <c r="P3195" s="4">
        <f>IF(COUNTIFS(INDEX(tItens[Edital],1):tItens[[#This Row],[Edital]],tItens[[#This Row],[Edital]],INDEX(tItens[Produto],1):tItens[[#This Row],[Produto]],tItens[[#This Row],[Produto]])=1,1,0)</f>
        <v>1</v>
      </c>
    </row>
    <row r="3196" spans="1:16" x14ac:dyDescent="0.25">
      <c r="A3196" t="s">
        <v>1411</v>
      </c>
      <c r="B3196">
        <v>73</v>
      </c>
      <c r="C3196" t="s">
        <v>6101</v>
      </c>
      <c r="D3196" t="s">
        <v>56</v>
      </c>
      <c r="E3196" s="13">
        <v>3</v>
      </c>
      <c r="F3196" s="12">
        <v>73.8</v>
      </c>
      <c r="G3196" t="str">
        <f>IFERROR(INDEX(tEditais[Órgão],MATCH(tItens[[#This Row],[Edital]],tEditais[Edital],0)),"")</f>
        <v>CONSORCIO PUBLICO PARA DESENVOLVIMENTO DO ALTO PARAOPEBA</v>
      </c>
      <c r="H3196" t="str">
        <f>IFERROR(INDEX(tEditais[UF],MATCH(tItens[[#This Row],[Edital]],tEditais[Edital],0)),"")</f>
        <v>MG</v>
      </c>
      <c r="I3196" s="11">
        <f>IFERROR(INDEX(tEditais[Encerramento],MATCH(tItens[[#This Row],[Edital]],tEditais[Edital],0)),"")</f>
        <v>46308.520833333336</v>
      </c>
      <c r="J3196" t="str">
        <f>IFERROR(INDEX(tProdutos[Classe],MATCH(tItens[[#This Row],[Produto]],tProdutos[Produto],0)),"produto não cadastrado")</f>
        <v>NÚCLEO</v>
      </c>
      <c r="K3196" s="12">
        <f>tItens[[#This Row],[Qtd]]*tItens[[#This Row],[Vlr unit]]</f>
        <v>221.39999999999998</v>
      </c>
      <c r="L3196" s="6">
        <f>IFERROR(IF(INDEX(tProdutos[Desconto homologado],MATCH(tItens[[#This Row],[Produto]],tProdutos[Produto],0))="",DescontoPadrao,INDEX(tProdutos[Desconto homologado],MATCH(tItens[[#This Row],[Produto]],tProdutos[Produto],0))),DescontoPadrao)</f>
        <v>0.34</v>
      </c>
      <c r="M3196" s="12">
        <f>tItens[[#This Row],[Valor]]*(1-tItens[[#This Row],[Desconto]])</f>
        <v>146.12399999999997</v>
      </c>
      <c r="N3196" t="str">
        <f>IFERROR(INDEX(tProdutos[Foco],MATCH(tItens[[#This Row],[Produto]],tProdutos[Produto],0)),"Não")</f>
        <v>Sim</v>
      </c>
      <c r="O3196" t="str">
        <f>IFERROR(INDEX(tEditais[SRP],MATCH(tItens[[#This Row],[Edital]],tEditais[Edital],0)),"Não")</f>
        <v>Sim</v>
      </c>
      <c r="P3196" s="4">
        <f>IF(COUNTIFS(INDEX(tItens[Edital],1):tItens[[#This Row],[Edital]],tItens[[#This Row],[Edital]],INDEX(tItens[Produto],1):tItens[[#This Row],[Produto]],tItens[[#This Row],[Produto]])=1,1,0)</f>
        <v>1</v>
      </c>
    </row>
    <row r="3197" spans="1:16" x14ac:dyDescent="0.25">
      <c r="A3197" t="s">
        <v>1411</v>
      </c>
      <c r="B3197">
        <v>92</v>
      </c>
      <c r="C3197" t="s">
        <v>6102</v>
      </c>
      <c r="D3197" t="s">
        <v>417</v>
      </c>
      <c r="E3197" s="13">
        <v>2</v>
      </c>
      <c r="F3197" s="12">
        <v>5495.17</v>
      </c>
      <c r="G3197" t="str">
        <f>IFERROR(INDEX(tEditais[Órgão],MATCH(tItens[[#This Row],[Edital]],tEditais[Edital],0)),"")</f>
        <v>CONSORCIO PUBLICO PARA DESENVOLVIMENTO DO ALTO PARAOPEBA</v>
      </c>
      <c r="H3197" t="str">
        <f>IFERROR(INDEX(tEditais[UF],MATCH(tItens[[#This Row],[Edital]],tEditais[Edital],0)),"")</f>
        <v>MG</v>
      </c>
      <c r="I3197" s="11">
        <f>IFERROR(INDEX(tEditais[Encerramento],MATCH(tItens[[#This Row],[Edital]],tEditais[Edital],0)),"")</f>
        <v>46308.520833333336</v>
      </c>
      <c r="J3197" t="str">
        <f>IFERROR(INDEX(tProdutos[Classe],MATCH(tItens[[#This Row],[Produto]],tProdutos[Produto],0)),"produto não cadastrado")</f>
        <v>FORA</v>
      </c>
      <c r="K3197" s="12">
        <f>tItens[[#This Row],[Qtd]]*tItens[[#This Row],[Vlr unit]]</f>
        <v>10990.34</v>
      </c>
      <c r="L3197" s="6">
        <f>IFERROR(IF(INDEX(tProdutos[Desconto homologado],MATCH(tItens[[#This Row],[Produto]],tProdutos[Produto],0))="",DescontoPadrao,INDEX(tProdutos[Desconto homologado],MATCH(tItens[[#This Row],[Produto]],tProdutos[Produto],0))),DescontoPadrao)</f>
        <v>0.27842432580405202</v>
      </c>
      <c r="M3197" s="12">
        <f>tItens[[#This Row],[Valor]]*(1-tItens[[#This Row],[Desconto]])</f>
        <v>7930.3619951426954</v>
      </c>
      <c r="N3197" t="str">
        <f>IFERROR(INDEX(tProdutos[Foco],MATCH(tItens[[#This Row],[Produto]],tProdutos[Produto],0)),"Não")</f>
        <v>Não</v>
      </c>
      <c r="O3197" t="str">
        <f>IFERROR(INDEX(tEditais[SRP],MATCH(tItens[[#This Row],[Edital]],tEditais[Edital],0)),"Não")</f>
        <v>Sim</v>
      </c>
      <c r="P3197" s="4">
        <f>IF(COUNTIFS(INDEX(tItens[Edital],1):tItens[[#This Row],[Edital]],tItens[[#This Row],[Edital]],INDEX(tItens[Produto],1):tItens[[#This Row],[Produto]],tItens[[#This Row],[Produto]])=1,1,0)</f>
        <v>1</v>
      </c>
    </row>
    <row r="3198" spans="1:16" x14ac:dyDescent="0.25">
      <c r="A3198" t="s">
        <v>1411</v>
      </c>
      <c r="B3198">
        <v>98</v>
      </c>
      <c r="C3198" t="s">
        <v>6103</v>
      </c>
      <c r="D3198" t="s">
        <v>255</v>
      </c>
      <c r="E3198" s="13">
        <v>360</v>
      </c>
      <c r="F3198" s="12">
        <v>138.22999999999999</v>
      </c>
      <c r="G3198" t="str">
        <f>IFERROR(INDEX(tEditais[Órgão],MATCH(tItens[[#This Row],[Edital]],tEditais[Edital],0)),"")</f>
        <v>CONSORCIO PUBLICO PARA DESENVOLVIMENTO DO ALTO PARAOPEBA</v>
      </c>
      <c r="H3198" t="str">
        <f>IFERROR(INDEX(tEditais[UF],MATCH(tItens[[#This Row],[Edital]],tEditais[Edital],0)),"")</f>
        <v>MG</v>
      </c>
      <c r="I3198" s="11">
        <f>IFERROR(INDEX(tEditais[Encerramento],MATCH(tItens[[#This Row],[Edital]],tEditais[Edital],0)),"")</f>
        <v>46308.520833333336</v>
      </c>
      <c r="J3198" t="str">
        <f>IFERROR(INDEX(tProdutos[Classe],MATCH(tItens[[#This Row],[Produto]],tProdutos[Produto],0)),"produto não cadastrado")</f>
        <v>DISPUTADO</v>
      </c>
      <c r="K3198" s="12">
        <f>tItens[[#This Row],[Qtd]]*tItens[[#This Row],[Vlr unit]]</f>
        <v>49762.799999999996</v>
      </c>
      <c r="L3198" s="6">
        <f>IFERROR(IF(INDEX(tProdutos[Desconto homologado],MATCH(tItens[[#This Row],[Produto]],tProdutos[Produto],0))="",DescontoPadrao,INDEX(tProdutos[Desconto homologado],MATCH(tItens[[#This Row],[Produto]],tProdutos[Produto],0))),DescontoPadrao)</f>
        <v>0.30555555555555602</v>
      </c>
      <c r="M3198" s="12">
        <f>tItens[[#This Row],[Valor]]*(1-tItens[[#This Row],[Desconto]])</f>
        <v>34557.499999999971</v>
      </c>
      <c r="N3198" t="str">
        <f>IFERROR(INDEX(tProdutos[Foco],MATCH(tItens[[#This Row],[Produto]],tProdutos[Produto],0)),"Não")</f>
        <v>Não</v>
      </c>
      <c r="O3198" t="str">
        <f>IFERROR(INDEX(tEditais[SRP],MATCH(tItens[[#This Row],[Edital]],tEditais[Edital],0)),"Não")</f>
        <v>Sim</v>
      </c>
      <c r="P3198" s="4">
        <f>IF(COUNTIFS(INDEX(tItens[Edital],1):tItens[[#This Row],[Edital]],tItens[[#This Row],[Edital]],INDEX(tItens[Produto],1):tItens[[#This Row],[Produto]],tItens[[#This Row],[Produto]])=1,1,0)</f>
        <v>1</v>
      </c>
    </row>
    <row r="3199" spans="1:16" x14ac:dyDescent="0.25">
      <c r="A3199" t="s">
        <v>1411</v>
      </c>
      <c r="B3199">
        <v>99</v>
      </c>
      <c r="C3199" t="s">
        <v>6104</v>
      </c>
      <c r="D3199" t="s">
        <v>311</v>
      </c>
      <c r="E3199" s="13">
        <v>48</v>
      </c>
      <c r="F3199" s="12">
        <v>25.76</v>
      </c>
      <c r="G3199" t="str">
        <f>IFERROR(INDEX(tEditais[Órgão],MATCH(tItens[[#This Row],[Edital]],tEditais[Edital],0)),"")</f>
        <v>CONSORCIO PUBLICO PARA DESENVOLVIMENTO DO ALTO PARAOPEBA</v>
      </c>
      <c r="H3199" t="str">
        <f>IFERROR(INDEX(tEditais[UF],MATCH(tItens[[#This Row],[Edital]],tEditais[Edital],0)),"")</f>
        <v>MG</v>
      </c>
      <c r="I3199" s="11">
        <f>IFERROR(INDEX(tEditais[Encerramento],MATCH(tItens[[#This Row],[Edital]],tEditais[Edital],0)),"")</f>
        <v>46308.520833333336</v>
      </c>
      <c r="J3199" t="str">
        <f>IFERROR(INDEX(tProdutos[Classe],MATCH(tItens[[#This Row],[Produto]],tProdutos[Produto],0)),"produto não cadastrado")</f>
        <v>FORA</v>
      </c>
      <c r="K3199" s="12">
        <f>tItens[[#This Row],[Qtd]]*tItens[[#This Row],[Vlr unit]]</f>
        <v>1236.48</v>
      </c>
      <c r="L3199" s="6">
        <f>IFERROR(IF(INDEX(tProdutos[Desconto homologado],MATCH(tItens[[#This Row],[Produto]],tProdutos[Produto],0))="",DescontoPadrao,INDEX(tProdutos[Desconto homologado],MATCH(tItens[[#This Row],[Produto]],tProdutos[Produto],0))),DescontoPadrao)</f>
        <v>0.29046182846371399</v>
      </c>
      <c r="M3199" s="12">
        <f>tItens[[#This Row],[Valor]]*(1-tItens[[#This Row],[Desconto]])</f>
        <v>877.32975834118702</v>
      </c>
      <c r="N3199" t="str">
        <f>IFERROR(INDEX(tProdutos[Foco],MATCH(tItens[[#This Row],[Produto]],tProdutos[Produto],0)),"Não")</f>
        <v>Não</v>
      </c>
      <c r="O3199" t="str">
        <f>IFERROR(INDEX(tEditais[SRP],MATCH(tItens[[#This Row],[Edital]],tEditais[Edital],0)),"Não")</f>
        <v>Sim</v>
      </c>
      <c r="P3199" s="4">
        <f>IF(COUNTIFS(INDEX(tItens[Edital],1):tItens[[#This Row],[Edital]],tItens[[#This Row],[Edital]],INDEX(tItens[Produto],1):tItens[[#This Row],[Produto]],tItens[[#This Row],[Produto]])=1,1,0)</f>
        <v>1</v>
      </c>
    </row>
    <row r="3200" spans="1:16" x14ac:dyDescent="0.25">
      <c r="A3200" t="s">
        <v>1411</v>
      </c>
      <c r="B3200">
        <v>130</v>
      </c>
      <c r="C3200" t="s">
        <v>6105</v>
      </c>
      <c r="D3200" t="s">
        <v>530</v>
      </c>
      <c r="E3200" s="13">
        <v>36</v>
      </c>
      <c r="F3200" s="12">
        <v>15.23</v>
      </c>
      <c r="G3200" t="str">
        <f>IFERROR(INDEX(tEditais[Órgão],MATCH(tItens[[#This Row],[Edital]],tEditais[Edital],0)),"")</f>
        <v>CONSORCIO PUBLICO PARA DESENVOLVIMENTO DO ALTO PARAOPEBA</v>
      </c>
      <c r="H3200" t="str">
        <f>IFERROR(INDEX(tEditais[UF],MATCH(tItens[[#This Row],[Edital]],tEditais[Edital],0)),"")</f>
        <v>MG</v>
      </c>
      <c r="I3200" s="11">
        <f>IFERROR(INDEX(tEditais[Encerramento],MATCH(tItens[[#This Row],[Edital]],tEditais[Edital],0)),"")</f>
        <v>46308.520833333336</v>
      </c>
      <c r="J3200" t="str">
        <f>IFERROR(INDEX(tProdutos[Classe],MATCH(tItens[[#This Row],[Produto]],tProdutos[Produto],0)),"produto não cadastrado")</f>
        <v>FILA REBASE</v>
      </c>
      <c r="K3200" s="12">
        <f>tItens[[#This Row],[Qtd]]*tItens[[#This Row],[Vlr unit]]</f>
        <v>548.28</v>
      </c>
      <c r="L3200" s="6">
        <f>IFERROR(IF(INDEX(tProdutos[Desconto homologado],MATCH(tItens[[#This Row],[Produto]],tProdutos[Produto],0))="",DescontoPadrao,INDEX(tProdutos[Desconto homologado],MATCH(tItens[[#This Row],[Produto]],tProdutos[Produto],0))),DescontoPadrao)</f>
        <v>0.457328385899815</v>
      </c>
      <c r="M3200" s="12">
        <f>tItens[[#This Row],[Valor]]*(1-tItens[[#This Row],[Desconto]])</f>
        <v>297.53599257884946</v>
      </c>
      <c r="N3200" t="str">
        <f>IFERROR(INDEX(tProdutos[Foco],MATCH(tItens[[#This Row],[Produto]],tProdutos[Produto],0)),"Não")</f>
        <v>Não</v>
      </c>
      <c r="O3200" t="str">
        <f>IFERROR(INDEX(tEditais[SRP],MATCH(tItens[[#This Row],[Edital]],tEditais[Edital],0)),"Não")</f>
        <v>Sim</v>
      </c>
      <c r="P3200" s="4">
        <f>IF(COUNTIFS(INDEX(tItens[Edital],1):tItens[[#This Row],[Edital]],tItens[[#This Row],[Edital]],INDEX(tItens[Produto],1):tItens[[#This Row],[Produto]],tItens[[#This Row],[Produto]])=1,1,0)</f>
        <v>1</v>
      </c>
    </row>
    <row r="3201" spans="1:16" x14ac:dyDescent="0.25">
      <c r="A3201" t="s">
        <v>1415</v>
      </c>
      <c r="B3201">
        <v>4</v>
      </c>
      <c r="C3201" t="s">
        <v>6106</v>
      </c>
      <c r="D3201" t="s">
        <v>112</v>
      </c>
      <c r="E3201" s="13">
        <v>40</v>
      </c>
      <c r="F3201" s="12">
        <v>65.67</v>
      </c>
      <c r="G3201" t="str">
        <f>IFERROR(INDEX(tEditais[Órgão],MATCH(tItens[[#This Row],[Edital]],tEditais[Edital],0)),"")</f>
        <v>MUNICIPIO DE IPUIUNA</v>
      </c>
      <c r="H3201" t="str">
        <f>IFERROR(INDEX(tEditais[UF],MATCH(tItens[[#This Row],[Edital]],tEditais[Edital],0)),"")</f>
        <v>MG</v>
      </c>
      <c r="I3201" s="11">
        <f>IFERROR(INDEX(tEditais[Encerramento],MATCH(tItens[[#This Row],[Edital]],tEditais[Edital],0)),"")</f>
        <v>46309.3125</v>
      </c>
      <c r="J3201" t="str">
        <f>IFERROR(INDEX(tProdutos[Classe],MATCH(tItens[[#This Row],[Produto]],tProdutos[Produto],0)),"produto não cadastrado")</f>
        <v>DISPUTADO</v>
      </c>
      <c r="K3201" s="12">
        <f>tItens[[#This Row],[Qtd]]*tItens[[#This Row],[Vlr unit]]</f>
        <v>2626.8</v>
      </c>
      <c r="L3201" s="6">
        <f>IFERROR(IF(INDEX(tProdutos[Desconto homologado],MATCH(tItens[[#This Row],[Produto]],tProdutos[Produto],0))="",DescontoPadrao,INDEX(tProdutos[Desconto homologado],MATCH(tItens[[#This Row],[Produto]],tProdutos[Produto],0))),DescontoPadrao)</f>
        <v>0.35273348841447499</v>
      </c>
      <c r="M3201" s="12">
        <f>tItens[[#This Row],[Valor]]*(1-tItens[[#This Row],[Desconto]])</f>
        <v>1700.239672632857</v>
      </c>
      <c r="N3201" t="str">
        <f>IFERROR(INDEX(tProdutos[Foco],MATCH(tItens[[#This Row],[Produto]],tProdutos[Produto],0)),"Não")</f>
        <v>Não</v>
      </c>
      <c r="O3201" t="str">
        <f>IFERROR(INDEX(tEditais[SRP],MATCH(tItens[[#This Row],[Edital]],tEditais[Edital],0)),"Não")</f>
        <v>Não</v>
      </c>
      <c r="P3201" s="4">
        <f>IF(COUNTIFS(INDEX(tItens[Edital],1):tItens[[#This Row],[Edital]],tItens[[#This Row],[Edital]],INDEX(tItens[Produto],1):tItens[[#This Row],[Produto]],tItens[[#This Row],[Produto]])=1,1,0)</f>
        <v>1</v>
      </c>
    </row>
    <row r="3202" spans="1:16" x14ac:dyDescent="0.25">
      <c r="A3202" t="s">
        <v>1415</v>
      </c>
      <c r="B3202">
        <v>5</v>
      </c>
      <c r="C3202" t="s">
        <v>6107</v>
      </c>
      <c r="D3202" t="s">
        <v>88</v>
      </c>
      <c r="E3202" s="13">
        <v>50</v>
      </c>
      <c r="F3202" s="12">
        <v>65.67</v>
      </c>
      <c r="G3202" t="str">
        <f>IFERROR(INDEX(tEditais[Órgão],MATCH(tItens[[#This Row],[Edital]],tEditais[Edital],0)),"")</f>
        <v>MUNICIPIO DE IPUIUNA</v>
      </c>
      <c r="H3202" t="str">
        <f>IFERROR(INDEX(tEditais[UF],MATCH(tItens[[#This Row],[Edital]],tEditais[Edital],0)),"")</f>
        <v>MG</v>
      </c>
      <c r="I3202" s="11">
        <f>IFERROR(INDEX(tEditais[Encerramento],MATCH(tItens[[#This Row],[Edital]],tEditais[Edital],0)),"")</f>
        <v>46309.3125</v>
      </c>
      <c r="J3202" t="str">
        <f>IFERROR(INDEX(tProdutos[Classe],MATCH(tItens[[#This Row],[Produto]],tProdutos[Produto],0)),"produto não cadastrado")</f>
        <v>NÚCLEO</v>
      </c>
      <c r="K3202" s="12">
        <f>tItens[[#This Row],[Qtd]]*tItens[[#This Row],[Vlr unit]]</f>
        <v>3283.5</v>
      </c>
      <c r="L3202" s="6">
        <f>IFERROR(IF(INDEX(tProdutos[Desconto homologado],MATCH(tItens[[#This Row],[Produto]],tProdutos[Produto],0))="",DescontoPadrao,INDEX(tProdutos[Desconto homologado],MATCH(tItens[[#This Row],[Produto]],tProdutos[Produto],0))),DescontoPadrao)</f>
        <v>0.30251202565473001</v>
      </c>
      <c r="M3202" s="12">
        <f>tItens[[#This Row],[Valor]]*(1-tItens[[#This Row],[Desconto]])</f>
        <v>2290.2017637626941</v>
      </c>
      <c r="N3202" t="str">
        <f>IFERROR(INDEX(tProdutos[Foco],MATCH(tItens[[#This Row],[Produto]],tProdutos[Produto],0)),"Não")</f>
        <v>Não</v>
      </c>
      <c r="O3202" t="str">
        <f>IFERROR(INDEX(tEditais[SRP],MATCH(tItens[[#This Row],[Edital]],tEditais[Edital],0)),"Não")</f>
        <v>Não</v>
      </c>
      <c r="P3202" s="4">
        <f>IF(COUNTIFS(INDEX(tItens[Edital],1):tItens[[#This Row],[Edital]],tItens[[#This Row],[Edital]],INDEX(tItens[Produto],1):tItens[[#This Row],[Produto]],tItens[[#This Row],[Produto]])=1,1,0)</f>
        <v>1</v>
      </c>
    </row>
    <row r="3203" spans="1:16" x14ac:dyDescent="0.25">
      <c r="A3203" t="s">
        <v>1415</v>
      </c>
      <c r="B3203">
        <v>44</v>
      </c>
      <c r="C3203" t="s">
        <v>6108</v>
      </c>
      <c r="D3203" t="s">
        <v>423</v>
      </c>
      <c r="E3203" s="13">
        <v>5</v>
      </c>
      <c r="F3203" s="12">
        <v>46.44</v>
      </c>
      <c r="G3203" t="str">
        <f>IFERROR(INDEX(tEditais[Órgão],MATCH(tItens[[#This Row],[Edital]],tEditais[Edital],0)),"")</f>
        <v>MUNICIPIO DE IPUIUNA</v>
      </c>
      <c r="H3203" t="str">
        <f>IFERROR(INDEX(tEditais[UF],MATCH(tItens[[#This Row],[Edital]],tEditais[Edital],0)),"")</f>
        <v>MG</v>
      </c>
      <c r="I3203" s="11">
        <f>IFERROR(INDEX(tEditais[Encerramento],MATCH(tItens[[#This Row],[Edital]],tEditais[Edital],0)),"")</f>
        <v>46309.3125</v>
      </c>
      <c r="J3203" t="str">
        <f>IFERROR(INDEX(tProdutos[Classe],MATCH(tItens[[#This Row],[Produto]],tProdutos[Produto],0)),"produto não cadastrado")</f>
        <v>FORA</v>
      </c>
      <c r="K3203" s="12">
        <f>tItens[[#This Row],[Qtd]]*tItens[[#This Row],[Vlr unit]]</f>
        <v>232.2</v>
      </c>
      <c r="L3203" s="6">
        <f>IFERROR(IF(INDEX(tProdutos[Desconto homologado],MATCH(tItens[[#This Row],[Produto]],tProdutos[Produto],0))="",DescontoPadrao,INDEX(tProdutos[Desconto homologado],MATCH(tItens[[#This Row],[Produto]],tProdutos[Produto],0))),DescontoPadrao)</f>
        <v>0.38271604938271597</v>
      </c>
      <c r="M3203" s="12">
        <f>tItens[[#This Row],[Valor]]*(1-tItens[[#This Row],[Desconto]])</f>
        <v>143.33333333333334</v>
      </c>
      <c r="N3203" t="str">
        <f>IFERROR(INDEX(tProdutos[Foco],MATCH(tItens[[#This Row],[Produto]],tProdutos[Produto],0)),"Não")</f>
        <v>Não</v>
      </c>
      <c r="O3203" t="str">
        <f>IFERROR(INDEX(tEditais[SRP],MATCH(tItens[[#This Row],[Edital]],tEditais[Edital],0)),"Não")</f>
        <v>Não</v>
      </c>
      <c r="P3203" s="4">
        <f>IF(COUNTIFS(INDEX(tItens[Edital],1):tItens[[#This Row],[Edital]],tItens[[#This Row],[Edital]],INDEX(tItens[Produto],1):tItens[[#This Row],[Produto]],tItens[[#This Row],[Produto]])=1,1,0)</f>
        <v>1</v>
      </c>
    </row>
    <row r="3204" spans="1:16" x14ac:dyDescent="0.25">
      <c r="A3204" t="s">
        <v>1415</v>
      </c>
      <c r="B3204">
        <v>47</v>
      </c>
      <c r="C3204" t="s">
        <v>6109</v>
      </c>
      <c r="D3204" t="s">
        <v>349</v>
      </c>
      <c r="E3204" s="13">
        <v>2</v>
      </c>
      <c r="F3204" s="12">
        <v>21.23</v>
      </c>
      <c r="G3204" t="str">
        <f>IFERROR(INDEX(tEditais[Órgão],MATCH(tItens[[#This Row],[Edital]],tEditais[Edital],0)),"")</f>
        <v>MUNICIPIO DE IPUIUNA</v>
      </c>
      <c r="H3204" t="str">
        <f>IFERROR(INDEX(tEditais[UF],MATCH(tItens[[#This Row],[Edital]],tEditais[Edital],0)),"")</f>
        <v>MG</v>
      </c>
      <c r="I3204" s="11">
        <f>IFERROR(INDEX(tEditais[Encerramento],MATCH(tItens[[#This Row],[Edital]],tEditais[Edital],0)),"")</f>
        <v>46309.3125</v>
      </c>
      <c r="J3204" t="str">
        <f>IFERROR(INDEX(tProdutos[Classe],MATCH(tItens[[#This Row],[Produto]],tProdutos[Produto],0)),"produto não cadastrado")</f>
        <v>FORA</v>
      </c>
      <c r="K3204" s="12">
        <f>tItens[[#This Row],[Qtd]]*tItens[[#This Row],[Vlr unit]]</f>
        <v>42.46</v>
      </c>
      <c r="L3204" s="6">
        <f>IFERROR(IF(INDEX(tProdutos[Desconto homologado],MATCH(tItens[[#This Row],[Produto]],tProdutos[Produto],0))="",DescontoPadrao,INDEX(tProdutos[Desconto homologado],MATCH(tItens[[#This Row],[Produto]],tProdutos[Produto],0))),DescontoPadrao)</f>
        <v>0.38826228254635797</v>
      </c>
      <c r="M3204" s="12">
        <f>tItens[[#This Row],[Valor]]*(1-tItens[[#This Row],[Desconto]])</f>
        <v>25.974383483081642</v>
      </c>
      <c r="N3204" t="str">
        <f>IFERROR(INDEX(tProdutos[Foco],MATCH(tItens[[#This Row],[Produto]],tProdutos[Produto],0)),"Não")</f>
        <v>Não</v>
      </c>
      <c r="O3204" t="str">
        <f>IFERROR(INDEX(tEditais[SRP],MATCH(tItens[[#This Row],[Edital]],tEditais[Edital],0)),"Não")</f>
        <v>Não</v>
      </c>
      <c r="P3204" s="4">
        <f>IF(COUNTIFS(INDEX(tItens[Edital],1):tItens[[#This Row],[Edital]],tItens[[#This Row],[Edital]],INDEX(tItens[Produto],1):tItens[[#This Row],[Produto]],tItens[[#This Row],[Produto]])=1,1,0)</f>
        <v>1</v>
      </c>
    </row>
    <row r="3205" spans="1:16" x14ac:dyDescent="0.25">
      <c r="A3205" t="s">
        <v>1415</v>
      </c>
      <c r="B3205">
        <v>67</v>
      </c>
      <c r="C3205" t="s">
        <v>6110</v>
      </c>
      <c r="D3205" t="s">
        <v>82</v>
      </c>
      <c r="E3205" s="13">
        <v>50</v>
      </c>
      <c r="F3205" s="12">
        <v>51.01</v>
      </c>
      <c r="G3205" t="str">
        <f>IFERROR(INDEX(tEditais[Órgão],MATCH(tItens[[#This Row],[Edital]],tEditais[Edital],0)),"")</f>
        <v>MUNICIPIO DE IPUIUNA</v>
      </c>
      <c r="H3205" t="str">
        <f>IFERROR(INDEX(tEditais[UF],MATCH(tItens[[#This Row],[Edital]],tEditais[Edital],0)),"")</f>
        <v>MG</v>
      </c>
      <c r="I3205" s="11">
        <f>IFERROR(INDEX(tEditais[Encerramento],MATCH(tItens[[#This Row],[Edital]],tEditais[Edital],0)),"")</f>
        <v>46309.3125</v>
      </c>
      <c r="J3205" t="str">
        <f>IFERROR(INDEX(tProdutos[Classe],MATCH(tItens[[#This Row],[Produto]],tProdutos[Produto],0)),"produto não cadastrado")</f>
        <v>NÚCLEO</v>
      </c>
      <c r="K3205" s="12">
        <f>tItens[[#This Row],[Qtd]]*tItens[[#This Row],[Vlr unit]]</f>
        <v>2550.5</v>
      </c>
      <c r="L3205" s="6">
        <f>IFERROR(IF(INDEX(tProdutos[Desconto homologado],MATCH(tItens[[#This Row],[Produto]],tProdutos[Produto],0))="",DescontoPadrao,INDEX(tProdutos[Desconto homologado],MATCH(tItens[[#This Row],[Produto]],tProdutos[Produto],0))),DescontoPadrao)</f>
        <v>0.40487090276506099</v>
      </c>
      <c r="M3205" s="12">
        <f>tItens[[#This Row],[Valor]]*(1-tItens[[#This Row],[Desconto]])</f>
        <v>1517.876762497712</v>
      </c>
      <c r="N3205" t="str">
        <f>IFERROR(INDEX(tProdutos[Foco],MATCH(tItens[[#This Row],[Produto]],tProdutos[Produto],0)),"Não")</f>
        <v>Não</v>
      </c>
      <c r="O3205" t="str">
        <f>IFERROR(INDEX(tEditais[SRP],MATCH(tItens[[#This Row],[Edital]],tEditais[Edital],0)),"Não")</f>
        <v>Não</v>
      </c>
      <c r="P3205" s="4">
        <f>IF(COUNTIFS(INDEX(tItens[Edital],1):tItens[[#This Row],[Edital]],tItens[[#This Row],[Edital]],INDEX(tItens[Produto],1):tItens[[#This Row],[Produto]],tItens[[#This Row],[Produto]])=1,1,0)</f>
        <v>1</v>
      </c>
    </row>
    <row r="3206" spans="1:16" x14ac:dyDescent="0.25">
      <c r="A3206" t="s">
        <v>1415</v>
      </c>
      <c r="B3206">
        <v>68</v>
      </c>
      <c r="C3206" t="s">
        <v>6111</v>
      </c>
      <c r="D3206" t="s">
        <v>82</v>
      </c>
      <c r="E3206" s="13">
        <v>50</v>
      </c>
      <c r="F3206" s="12">
        <v>58.74</v>
      </c>
      <c r="G3206" t="str">
        <f>IFERROR(INDEX(tEditais[Órgão],MATCH(tItens[[#This Row],[Edital]],tEditais[Edital],0)),"")</f>
        <v>MUNICIPIO DE IPUIUNA</v>
      </c>
      <c r="H3206" t="str">
        <f>IFERROR(INDEX(tEditais[UF],MATCH(tItens[[#This Row],[Edital]],tEditais[Edital],0)),"")</f>
        <v>MG</v>
      </c>
      <c r="I3206" s="11">
        <f>IFERROR(INDEX(tEditais[Encerramento],MATCH(tItens[[#This Row],[Edital]],tEditais[Edital],0)),"")</f>
        <v>46309.3125</v>
      </c>
      <c r="J3206" t="str">
        <f>IFERROR(INDEX(tProdutos[Classe],MATCH(tItens[[#This Row],[Produto]],tProdutos[Produto],0)),"produto não cadastrado")</f>
        <v>NÚCLEO</v>
      </c>
      <c r="K3206" s="12">
        <f>tItens[[#This Row],[Qtd]]*tItens[[#This Row],[Vlr unit]]</f>
        <v>2937</v>
      </c>
      <c r="L3206" s="6">
        <f>IFERROR(IF(INDEX(tProdutos[Desconto homologado],MATCH(tItens[[#This Row],[Produto]],tProdutos[Produto],0))="",DescontoPadrao,INDEX(tProdutos[Desconto homologado],MATCH(tItens[[#This Row],[Produto]],tProdutos[Produto],0))),DescontoPadrao)</f>
        <v>0.40487090276506099</v>
      </c>
      <c r="M3206" s="12">
        <f>tItens[[#This Row],[Valor]]*(1-tItens[[#This Row],[Desconto]])</f>
        <v>1747.8941585790158</v>
      </c>
      <c r="N3206" t="str">
        <f>IFERROR(INDEX(tProdutos[Foco],MATCH(tItens[[#This Row],[Produto]],tProdutos[Produto],0)),"Não")</f>
        <v>Não</v>
      </c>
      <c r="O3206" t="str">
        <f>IFERROR(INDEX(tEditais[SRP],MATCH(tItens[[#This Row],[Edital]],tEditais[Edital],0)),"Não")</f>
        <v>Não</v>
      </c>
      <c r="P3206" s="4">
        <f>IF(COUNTIFS(INDEX(tItens[Edital],1):tItens[[#This Row],[Edital]],tItens[[#This Row],[Edital]],INDEX(tItens[Produto],1):tItens[[#This Row],[Produto]],tItens[[#This Row],[Produto]])=1,1,0)</f>
        <v>0</v>
      </c>
    </row>
    <row r="3207" spans="1:16" x14ac:dyDescent="0.25">
      <c r="A3207" t="s">
        <v>1415</v>
      </c>
      <c r="B3207">
        <v>89</v>
      </c>
      <c r="C3207" t="s">
        <v>6112</v>
      </c>
      <c r="D3207" t="s">
        <v>56</v>
      </c>
      <c r="E3207" s="13">
        <v>4</v>
      </c>
      <c r="F3207" s="12">
        <v>36.79</v>
      </c>
      <c r="G3207" t="str">
        <f>IFERROR(INDEX(tEditais[Órgão],MATCH(tItens[[#This Row],[Edital]],tEditais[Edital],0)),"")</f>
        <v>MUNICIPIO DE IPUIUNA</v>
      </c>
      <c r="H3207" t="str">
        <f>IFERROR(INDEX(tEditais[UF],MATCH(tItens[[#This Row],[Edital]],tEditais[Edital],0)),"")</f>
        <v>MG</v>
      </c>
      <c r="I3207" s="11">
        <f>IFERROR(INDEX(tEditais[Encerramento],MATCH(tItens[[#This Row],[Edital]],tEditais[Edital],0)),"")</f>
        <v>46309.3125</v>
      </c>
      <c r="J3207" t="str">
        <f>IFERROR(INDEX(tProdutos[Classe],MATCH(tItens[[#This Row],[Produto]],tProdutos[Produto],0)),"produto não cadastrado")</f>
        <v>NÚCLEO</v>
      </c>
      <c r="K3207" s="12">
        <f>tItens[[#This Row],[Qtd]]*tItens[[#This Row],[Vlr unit]]</f>
        <v>147.16</v>
      </c>
      <c r="L3207" s="6">
        <f>IFERROR(IF(INDEX(tProdutos[Desconto homologado],MATCH(tItens[[#This Row],[Produto]],tProdutos[Produto],0))="",DescontoPadrao,INDEX(tProdutos[Desconto homologado],MATCH(tItens[[#This Row],[Produto]],tProdutos[Produto],0))),DescontoPadrao)</f>
        <v>0.34</v>
      </c>
      <c r="M3207" s="12">
        <f>tItens[[#This Row],[Valor]]*(1-tItens[[#This Row],[Desconto]])</f>
        <v>97.125599999999991</v>
      </c>
      <c r="N3207" t="str">
        <f>IFERROR(INDEX(tProdutos[Foco],MATCH(tItens[[#This Row],[Produto]],tProdutos[Produto],0)),"Não")</f>
        <v>Sim</v>
      </c>
      <c r="O3207" t="str">
        <f>IFERROR(INDEX(tEditais[SRP],MATCH(tItens[[#This Row],[Edital]],tEditais[Edital],0)),"Não")</f>
        <v>Não</v>
      </c>
      <c r="P3207" s="4">
        <f>IF(COUNTIFS(INDEX(tItens[Edital],1):tItens[[#This Row],[Edital]],tItens[[#This Row],[Edital]],INDEX(tItens[Produto],1):tItens[[#This Row],[Produto]],tItens[[#This Row],[Produto]])=1,1,0)</f>
        <v>1</v>
      </c>
    </row>
    <row r="3208" spans="1:16" x14ac:dyDescent="0.25">
      <c r="A3208" t="s">
        <v>1415</v>
      </c>
      <c r="B3208">
        <v>92</v>
      </c>
      <c r="C3208" t="s">
        <v>6113</v>
      </c>
      <c r="D3208" t="s">
        <v>343</v>
      </c>
      <c r="E3208" s="13">
        <v>400</v>
      </c>
      <c r="F3208" s="12">
        <v>5.79</v>
      </c>
      <c r="G3208" t="str">
        <f>IFERROR(INDEX(tEditais[Órgão],MATCH(tItens[[#This Row],[Edital]],tEditais[Edital],0)),"")</f>
        <v>MUNICIPIO DE IPUIUNA</v>
      </c>
      <c r="H3208" t="str">
        <f>IFERROR(INDEX(tEditais[UF],MATCH(tItens[[#This Row],[Edital]],tEditais[Edital],0)),"")</f>
        <v>MG</v>
      </c>
      <c r="I3208" s="11">
        <f>IFERROR(INDEX(tEditais[Encerramento],MATCH(tItens[[#This Row],[Edital]],tEditais[Edital],0)),"")</f>
        <v>46309.3125</v>
      </c>
      <c r="J3208" t="str">
        <f>IFERROR(INDEX(tProdutos[Classe],MATCH(tItens[[#This Row],[Produto]],tProdutos[Produto],0)),"produto não cadastrado")</f>
        <v>FORA</v>
      </c>
      <c r="K3208" s="12">
        <f>tItens[[#This Row],[Qtd]]*tItens[[#This Row],[Vlr unit]]</f>
        <v>2316</v>
      </c>
      <c r="L3208" s="6">
        <f>IFERROR(IF(INDEX(tProdutos[Desconto homologado],MATCH(tItens[[#This Row],[Produto]],tProdutos[Produto],0))="",DescontoPadrao,INDEX(tProdutos[Desconto homologado],MATCH(tItens[[#This Row],[Produto]],tProdutos[Produto],0))),DescontoPadrao)</f>
        <v>0.35412234042553198</v>
      </c>
      <c r="M3208" s="12">
        <f>tItens[[#This Row],[Valor]]*(1-tItens[[#This Row],[Desconto]])</f>
        <v>1495.8526595744679</v>
      </c>
      <c r="N3208" t="str">
        <f>IFERROR(INDEX(tProdutos[Foco],MATCH(tItens[[#This Row],[Produto]],tProdutos[Produto],0)),"Não")</f>
        <v>Não</v>
      </c>
      <c r="O3208" t="str">
        <f>IFERROR(INDEX(tEditais[SRP],MATCH(tItens[[#This Row],[Edital]],tEditais[Edital],0)),"Não")</f>
        <v>Não</v>
      </c>
      <c r="P3208" s="4">
        <f>IF(COUNTIFS(INDEX(tItens[Edital],1):tItens[[#This Row],[Edital]],tItens[[#This Row],[Edital]],INDEX(tItens[Produto],1):tItens[[#This Row],[Produto]],tItens[[#This Row],[Produto]])=1,1,0)</f>
        <v>1</v>
      </c>
    </row>
    <row r="3209" spans="1:16" x14ac:dyDescent="0.25">
      <c r="A3209" t="s">
        <v>1415</v>
      </c>
      <c r="B3209">
        <v>93</v>
      </c>
      <c r="C3209" t="s">
        <v>6114</v>
      </c>
      <c r="D3209" t="s">
        <v>343</v>
      </c>
      <c r="E3209" s="13">
        <v>300</v>
      </c>
      <c r="F3209" s="12">
        <v>5.79</v>
      </c>
      <c r="G3209" t="str">
        <f>IFERROR(INDEX(tEditais[Órgão],MATCH(tItens[[#This Row],[Edital]],tEditais[Edital],0)),"")</f>
        <v>MUNICIPIO DE IPUIUNA</v>
      </c>
      <c r="H3209" t="str">
        <f>IFERROR(INDEX(tEditais[UF],MATCH(tItens[[#This Row],[Edital]],tEditais[Edital],0)),"")</f>
        <v>MG</v>
      </c>
      <c r="I3209" s="11">
        <f>IFERROR(INDEX(tEditais[Encerramento],MATCH(tItens[[#This Row],[Edital]],tEditais[Edital],0)),"")</f>
        <v>46309.3125</v>
      </c>
      <c r="J3209" t="str">
        <f>IFERROR(INDEX(tProdutos[Classe],MATCH(tItens[[#This Row],[Produto]],tProdutos[Produto],0)),"produto não cadastrado")</f>
        <v>FORA</v>
      </c>
      <c r="K3209" s="12">
        <f>tItens[[#This Row],[Qtd]]*tItens[[#This Row],[Vlr unit]]</f>
        <v>1737</v>
      </c>
      <c r="L3209" s="6">
        <f>IFERROR(IF(INDEX(tProdutos[Desconto homologado],MATCH(tItens[[#This Row],[Produto]],tProdutos[Produto],0))="",DescontoPadrao,INDEX(tProdutos[Desconto homologado],MATCH(tItens[[#This Row],[Produto]],tProdutos[Produto],0))),DescontoPadrao)</f>
        <v>0.35412234042553198</v>
      </c>
      <c r="M3209" s="12">
        <f>tItens[[#This Row],[Valor]]*(1-tItens[[#This Row],[Desconto]])</f>
        <v>1121.8894946808509</v>
      </c>
      <c r="N3209" t="str">
        <f>IFERROR(INDEX(tProdutos[Foco],MATCH(tItens[[#This Row],[Produto]],tProdutos[Produto],0)),"Não")</f>
        <v>Não</v>
      </c>
      <c r="O3209" t="str">
        <f>IFERROR(INDEX(tEditais[SRP],MATCH(tItens[[#This Row],[Edital]],tEditais[Edital],0)),"Não")</f>
        <v>Não</v>
      </c>
      <c r="P3209" s="4">
        <f>IF(COUNTIFS(INDEX(tItens[Edital],1):tItens[[#This Row],[Edital]],tItens[[#This Row],[Edital]],INDEX(tItens[Produto],1):tItens[[#This Row],[Produto]],tItens[[#This Row],[Produto]])=1,1,0)</f>
        <v>0</v>
      </c>
    </row>
    <row r="3210" spans="1:16" x14ac:dyDescent="0.25">
      <c r="A3210" t="s">
        <v>1415</v>
      </c>
      <c r="B3210">
        <v>94</v>
      </c>
      <c r="C3210" t="s">
        <v>6115</v>
      </c>
      <c r="D3210" t="s">
        <v>377</v>
      </c>
      <c r="E3210" s="13">
        <v>500</v>
      </c>
      <c r="F3210" s="12">
        <v>32.06</v>
      </c>
      <c r="G3210" t="str">
        <f>IFERROR(INDEX(tEditais[Órgão],MATCH(tItens[[#This Row],[Edital]],tEditais[Edital],0)),"")</f>
        <v>MUNICIPIO DE IPUIUNA</v>
      </c>
      <c r="H3210" t="str">
        <f>IFERROR(INDEX(tEditais[UF],MATCH(tItens[[#This Row],[Edital]],tEditais[Edital],0)),"")</f>
        <v>MG</v>
      </c>
      <c r="I3210" s="11">
        <f>IFERROR(INDEX(tEditais[Encerramento],MATCH(tItens[[#This Row],[Edital]],tEditais[Edital],0)),"")</f>
        <v>46309.3125</v>
      </c>
      <c r="J3210" t="str">
        <f>IFERROR(INDEX(tProdutos[Classe],MATCH(tItens[[#This Row],[Produto]],tProdutos[Produto],0)),"produto não cadastrado")</f>
        <v>FORA</v>
      </c>
      <c r="K3210" s="12">
        <f>tItens[[#This Row],[Qtd]]*tItens[[#This Row],[Vlr unit]]</f>
        <v>16030.000000000002</v>
      </c>
      <c r="L3210" s="6">
        <f>IFERROR(IF(INDEX(tProdutos[Desconto homologado],MATCH(tItens[[#This Row],[Produto]],tProdutos[Produto],0))="",DescontoPadrao,INDEX(tProdutos[Desconto homologado],MATCH(tItens[[#This Row],[Produto]],tProdutos[Produto],0))),DescontoPadrao)</f>
        <v>0.29186603777106501</v>
      </c>
      <c r="M3210" s="12">
        <f>tItens[[#This Row],[Valor]]*(1-tItens[[#This Row],[Desconto]])</f>
        <v>11351.387414529829</v>
      </c>
      <c r="N3210" t="str">
        <f>IFERROR(INDEX(tProdutos[Foco],MATCH(tItens[[#This Row],[Produto]],tProdutos[Produto],0)),"Não")</f>
        <v>Não</v>
      </c>
      <c r="O3210" t="str">
        <f>IFERROR(INDEX(tEditais[SRP],MATCH(tItens[[#This Row],[Edital]],tEditais[Edital],0)),"Não")</f>
        <v>Não</v>
      </c>
      <c r="P3210" s="4">
        <f>IF(COUNTIFS(INDEX(tItens[Edital],1):tItens[[#This Row],[Edital]],tItens[[#This Row],[Edital]],INDEX(tItens[Produto],1):tItens[[#This Row],[Produto]],tItens[[#This Row],[Produto]])=1,1,0)</f>
        <v>1</v>
      </c>
    </row>
    <row r="3211" spans="1:16" x14ac:dyDescent="0.25">
      <c r="A3211" t="s">
        <v>1415</v>
      </c>
      <c r="B3211">
        <v>95</v>
      </c>
      <c r="C3211" t="s">
        <v>6116</v>
      </c>
      <c r="D3211" t="s">
        <v>377</v>
      </c>
      <c r="E3211" s="13">
        <v>500</v>
      </c>
      <c r="F3211" s="12">
        <v>32.06</v>
      </c>
      <c r="G3211" t="str">
        <f>IFERROR(INDEX(tEditais[Órgão],MATCH(tItens[[#This Row],[Edital]],tEditais[Edital],0)),"")</f>
        <v>MUNICIPIO DE IPUIUNA</v>
      </c>
      <c r="H3211" t="str">
        <f>IFERROR(INDEX(tEditais[UF],MATCH(tItens[[#This Row],[Edital]],tEditais[Edital],0)),"")</f>
        <v>MG</v>
      </c>
      <c r="I3211" s="11">
        <f>IFERROR(INDEX(tEditais[Encerramento],MATCH(tItens[[#This Row],[Edital]],tEditais[Edital],0)),"")</f>
        <v>46309.3125</v>
      </c>
      <c r="J3211" t="str">
        <f>IFERROR(INDEX(tProdutos[Classe],MATCH(tItens[[#This Row],[Produto]],tProdutos[Produto],0)),"produto não cadastrado")</f>
        <v>FORA</v>
      </c>
      <c r="K3211" s="12">
        <f>tItens[[#This Row],[Qtd]]*tItens[[#This Row],[Vlr unit]]</f>
        <v>16030.000000000002</v>
      </c>
      <c r="L3211" s="6">
        <f>IFERROR(IF(INDEX(tProdutos[Desconto homologado],MATCH(tItens[[#This Row],[Produto]],tProdutos[Produto],0))="",DescontoPadrao,INDEX(tProdutos[Desconto homologado],MATCH(tItens[[#This Row],[Produto]],tProdutos[Produto],0))),DescontoPadrao)</f>
        <v>0.29186603777106501</v>
      </c>
      <c r="M3211" s="12">
        <f>tItens[[#This Row],[Valor]]*(1-tItens[[#This Row],[Desconto]])</f>
        <v>11351.387414529829</v>
      </c>
      <c r="N3211" t="str">
        <f>IFERROR(INDEX(tProdutos[Foco],MATCH(tItens[[#This Row],[Produto]],tProdutos[Produto],0)),"Não")</f>
        <v>Não</v>
      </c>
      <c r="O3211" t="str">
        <f>IFERROR(INDEX(tEditais[SRP],MATCH(tItens[[#This Row],[Edital]],tEditais[Edital],0)),"Não")</f>
        <v>Não</v>
      </c>
      <c r="P3211" s="4">
        <f>IF(COUNTIFS(INDEX(tItens[Edital],1):tItens[[#This Row],[Edital]],tItens[[#This Row],[Edital]],INDEX(tItens[Produto],1):tItens[[#This Row],[Produto]],tItens[[#This Row],[Produto]])=1,1,0)</f>
        <v>0</v>
      </c>
    </row>
    <row r="3212" spans="1:16" x14ac:dyDescent="0.25">
      <c r="A3212" t="s">
        <v>1415</v>
      </c>
      <c r="B3212">
        <v>96</v>
      </c>
      <c r="C3212" t="s">
        <v>6117</v>
      </c>
      <c r="D3212" t="s">
        <v>377</v>
      </c>
      <c r="E3212" s="13">
        <v>500</v>
      </c>
      <c r="F3212" s="12">
        <v>32.06</v>
      </c>
      <c r="G3212" t="str">
        <f>IFERROR(INDEX(tEditais[Órgão],MATCH(tItens[[#This Row],[Edital]],tEditais[Edital],0)),"")</f>
        <v>MUNICIPIO DE IPUIUNA</v>
      </c>
      <c r="H3212" t="str">
        <f>IFERROR(INDEX(tEditais[UF],MATCH(tItens[[#This Row],[Edital]],tEditais[Edital],0)),"")</f>
        <v>MG</v>
      </c>
      <c r="I3212" s="11">
        <f>IFERROR(INDEX(tEditais[Encerramento],MATCH(tItens[[#This Row],[Edital]],tEditais[Edital],0)),"")</f>
        <v>46309.3125</v>
      </c>
      <c r="J3212" t="str">
        <f>IFERROR(INDEX(tProdutos[Classe],MATCH(tItens[[#This Row],[Produto]],tProdutos[Produto],0)),"produto não cadastrado")</f>
        <v>FORA</v>
      </c>
      <c r="K3212" s="12">
        <f>tItens[[#This Row],[Qtd]]*tItens[[#This Row],[Vlr unit]]</f>
        <v>16030.000000000002</v>
      </c>
      <c r="L3212" s="6">
        <f>IFERROR(IF(INDEX(tProdutos[Desconto homologado],MATCH(tItens[[#This Row],[Produto]],tProdutos[Produto],0))="",DescontoPadrao,INDEX(tProdutos[Desconto homologado],MATCH(tItens[[#This Row],[Produto]],tProdutos[Produto],0))),DescontoPadrao)</f>
        <v>0.29186603777106501</v>
      </c>
      <c r="M3212" s="12">
        <f>tItens[[#This Row],[Valor]]*(1-tItens[[#This Row],[Desconto]])</f>
        <v>11351.387414529829</v>
      </c>
      <c r="N3212" t="str">
        <f>IFERROR(INDEX(tProdutos[Foco],MATCH(tItens[[#This Row],[Produto]],tProdutos[Produto],0)),"Não")</f>
        <v>Não</v>
      </c>
      <c r="O3212" t="str">
        <f>IFERROR(INDEX(tEditais[SRP],MATCH(tItens[[#This Row],[Edital]],tEditais[Edital],0)),"Não")</f>
        <v>Não</v>
      </c>
      <c r="P3212" s="4">
        <f>IF(COUNTIFS(INDEX(tItens[Edital],1):tItens[[#This Row],[Edital]],tItens[[#This Row],[Edital]],INDEX(tItens[Produto],1):tItens[[#This Row],[Produto]],tItens[[#This Row],[Produto]])=1,1,0)</f>
        <v>0</v>
      </c>
    </row>
    <row r="3213" spans="1:16" x14ac:dyDescent="0.25">
      <c r="A3213" t="s">
        <v>1415</v>
      </c>
      <c r="B3213">
        <v>97</v>
      </c>
      <c r="C3213" t="s">
        <v>6118</v>
      </c>
      <c r="D3213" t="s">
        <v>313</v>
      </c>
      <c r="E3213" s="13">
        <v>400</v>
      </c>
      <c r="F3213" s="12">
        <v>23.92</v>
      </c>
      <c r="G3213" t="str">
        <f>IFERROR(INDEX(tEditais[Órgão],MATCH(tItens[[#This Row],[Edital]],tEditais[Edital],0)),"")</f>
        <v>MUNICIPIO DE IPUIUNA</v>
      </c>
      <c r="H3213" t="str">
        <f>IFERROR(INDEX(tEditais[UF],MATCH(tItens[[#This Row],[Edital]],tEditais[Edital],0)),"")</f>
        <v>MG</v>
      </c>
      <c r="I3213" s="11">
        <f>IFERROR(INDEX(tEditais[Encerramento],MATCH(tItens[[#This Row],[Edital]],tEditais[Edital],0)),"")</f>
        <v>46309.3125</v>
      </c>
      <c r="J3213" t="str">
        <f>IFERROR(INDEX(tProdutos[Classe],MATCH(tItens[[#This Row],[Produto]],tProdutos[Produto],0)),"produto não cadastrado")</f>
        <v>FORA</v>
      </c>
      <c r="K3213" s="12">
        <f>tItens[[#This Row],[Qtd]]*tItens[[#This Row],[Vlr unit]]</f>
        <v>9568</v>
      </c>
      <c r="L3213" s="6">
        <f>IFERROR(IF(INDEX(tProdutos[Desconto homologado],MATCH(tItens[[#This Row],[Produto]],tProdutos[Produto],0))="",DescontoPadrao,INDEX(tProdutos[Desconto homologado],MATCH(tItens[[#This Row],[Produto]],tProdutos[Produto],0))),DescontoPadrao)</f>
        <v>0.35766373163696302</v>
      </c>
      <c r="M3213" s="12">
        <f>tItens[[#This Row],[Valor]]*(1-tItens[[#This Row],[Desconto]])</f>
        <v>6145.873415697537</v>
      </c>
      <c r="N3213" t="str">
        <f>IFERROR(INDEX(tProdutos[Foco],MATCH(tItens[[#This Row],[Produto]],tProdutos[Produto],0)),"Não")</f>
        <v>Não</v>
      </c>
      <c r="O3213" t="str">
        <f>IFERROR(INDEX(tEditais[SRP],MATCH(tItens[[#This Row],[Edital]],tEditais[Edital],0)),"Não")</f>
        <v>Não</v>
      </c>
      <c r="P3213" s="4">
        <f>IF(COUNTIFS(INDEX(tItens[Edital],1):tItens[[#This Row],[Edital]],tItens[[#This Row],[Edital]],INDEX(tItens[Produto],1):tItens[[#This Row],[Produto]],tItens[[#This Row],[Produto]])=1,1,0)</f>
        <v>1</v>
      </c>
    </row>
    <row r="3214" spans="1:16" x14ac:dyDescent="0.25">
      <c r="A3214" t="s">
        <v>1415</v>
      </c>
      <c r="B3214">
        <v>98</v>
      </c>
      <c r="C3214" t="s">
        <v>6119</v>
      </c>
      <c r="D3214" t="s">
        <v>313</v>
      </c>
      <c r="E3214" s="13">
        <v>400</v>
      </c>
      <c r="F3214" s="12">
        <v>23.92</v>
      </c>
      <c r="G3214" t="str">
        <f>IFERROR(INDEX(tEditais[Órgão],MATCH(tItens[[#This Row],[Edital]],tEditais[Edital],0)),"")</f>
        <v>MUNICIPIO DE IPUIUNA</v>
      </c>
      <c r="H3214" t="str">
        <f>IFERROR(INDEX(tEditais[UF],MATCH(tItens[[#This Row],[Edital]],tEditais[Edital],0)),"")</f>
        <v>MG</v>
      </c>
      <c r="I3214" s="11">
        <f>IFERROR(INDEX(tEditais[Encerramento],MATCH(tItens[[#This Row],[Edital]],tEditais[Edital],0)),"")</f>
        <v>46309.3125</v>
      </c>
      <c r="J3214" t="str">
        <f>IFERROR(INDEX(tProdutos[Classe],MATCH(tItens[[#This Row],[Produto]],tProdutos[Produto],0)),"produto não cadastrado")</f>
        <v>FORA</v>
      </c>
      <c r="K3214" s="12">
        <f>tItens[[#This Row],[Qtd]]*tItens[[#This Row],[Vlr unit]]</f>
        <v>9568</v>
      </c>
      <c r="L3214" s="6">
        <f>IFERROR(IF(INDEX(tProdutos[Desconto homologado],MATCH(tItens[[#This Row],[Produto]],tProdutos[Produto],0))="",DescontoPadrao,INDEX(tProdutos[Desconto homologado],MATCH(tItens[[#This Row],[Produto]],tProdutos[Produto],0))),DescontoPadrao)</f>
        <v>0.35766373163696302</v>
      </c>
      <c r="M3214" s="12">
        <f>tItens[[#This Row],[Valor]]*(1-tItens[[#This Row],[Desconto]])</f>
        <v>6145.873415697537</v>
      </c>
      <c r="N3214" t="str">
        <f>IFERROR(INDEX(tProdutos[Foco],MATCH(tItens[[#This Row],[Produto]],tProdutos[Produto],0)),"Não")</f>
        <v>Não</v>
      </c>
      <c r="O3214" t="str">
        <f>IFERROR(INDEX(tEditais[SRP],MATCH(tItens[[#This Row],[Edital]],tEditais[Edital],0)),"Não")</f>
        <v>Não</v>
      </c>
      <c r="P3214" s="4">
        <f>IF(COUNTIFS(INDEX(tItens[Edital],1):tItens[[#This Row],[Edital]],tItens[[#This Row],[Edital]],INDEX(tItens[Produto],1):tItens[[#This Row],[Produto]],tItens[[#This Row],[Produto]])=1,1,0)</f>
        <v>0</v>
      </c>
    </row>
    <row r="3215" spans="1:16" x14ac:dyDescent="0.25">
      <c r="A3215" t="s">
        <v>1415</v>
      </c>
      <c r="B3215">
        <v>104</v>
      </c>
      <c r="C3215" t="s">
        <v>6120</v>
      </c>
      <c r="D3215" t="s">
        <v>494</v>
      </c>
      <c r="E3215" s="13">
        <v>40</v>
      </c>
      <c r="F3215" s="12">
        <v>95.1</v>
      </c>
      <c r="G3215" t="str">
        <f>IFERROR(INDEX(tEditais[Órgão],MATCH(tItens[[#This Row],[Edital]],tEditais[Edital],0)),"")</f>
        <v>MUNICIPIO DE IPUIUNA</v>
      </c>
      <c r="H3215" t="str">
        <f>IFERROR(INDEX(tEditais[UF],MATCH(tItens[[#This Row],[Edital]],tEditais[Edital],0)),"")</f>
        <v>MG</v>
      </c>
      <c r="I3215" s="11">
        <f>IFERROR(INDEX(tEditais[Encerramento],MATCH(tItens[[#This Row],[Edital]],tEditais[Edital],0)),"")</f>
        <v>46309.3125</v>
      </c>
      <c r="J3215" t="str">
        <f>IFERROR(INDEX(tProdutos[Classe],MATCH(tItens[[#This Row],[Produto]],tProdutos[Produto],0)),"produto não cadastrado")</f>
        <v>FILA REBASE</v>
      </c>
      <c r="K3215" s="12">
        <f>tItens[[#This Row],[Qtd]]*tItens[[#This Row],[Vlr unit]]</f>
        <v>3804</v>
      </c>
      <c r="L3215" s="6">
        <f>IFERROR(IF(INDEX(tProdutos[Desconto homologado],MATCH(tItens[[#This Row],[Produto]],tProdutos[Produto],0))="",DescontoPadrao,INDEX(tProdutos[Desconto homologado],MATCH(tItens[[#This Row],[Produto]],tProdutos[Produto],0))),DescontoPadrao)</f>
        <v>0.253736324829619</v>
      </c>
      <c r="M3215" s="12">
        <f>tItens[[#This Row],[Valor]]*(1-tItens[[#This Row],[Desconto]])</f>
        <v>2838.7870203481293</v>
      </c>
      <c r="N3215" t="str">
        <f>IFERROR(INDEX(tProdutos[Foco],MATCH(tItens[[#This Row],[Produto]],tProdutos[Produto],0)),"Não")</f>
        <v>Não</v>
      </c>
      <c r="O3215" t="str">
        <f>IFERROR(INDEX(tEditais[SRP],MATCH(tItens[[#This Row],[Edital]],tEditais[Edital],0)),"Não")</f>
        <v>Não</v>
      </c>
      <c r="P3215" s="4">
        <f>IF(COUNTIFS(INDEX(tItens[Edital],1):tItens[[#This Row],[Edital]],tItens[[#This Row],[Edital]],INDEX(tItens[Produto],1):tItens[[#This Row],[Produto]],tItens[[#This Row],[Produto]])=1,1,0)</f>
        <v>1</v>
      </c>
    </row>
    <row r="3216" spans="1:16" x14ac:dyDescent="0.25">
      <c r="A3216" t="s">
        <v>1415</v>
      </c>
      <c r="B3216">
        <v>105</v>
      </c>
      <c r="C3216" t="s">
        <v>6121</v>
      </c>
      <c r="D3216" t="s">
        <v>494</v>
      </c>
      <c r="E3216" s="13">
        <v>20</v>
      </c>
      <c r="F3216" s="12">
        <v>140.29</v>
      </c>
      <c r="G3216" t="str">
        <f>IFERROR(INDEX(tEditais[Órgão],MATCH(tItens[[#This Row],[Edital]],tEditais[Edital],0)),"")</f>
        <v>MUNICIPIO DE IPUIUNA</v>
      </c>
      <c r="H3216" t="str">
        <f>IFERROR(INDEX(tEditais[UF],MATCH(tItens[[#This Row],[Edital]],tEditais[Edital],0)),"")</f>
        <v>MG</v>
      </c>
      <c r="I3216" s="11">
        <f>IFERROR(INDEX(tEditais[Encerramento],MATCH(tItens[[#This Row],[Edital]],tEditais[Edital],0)),"")</f>
        <v>46309.3125</v>
      </c>
      <c r="J3216" t="str">
        <f>IFERROR(INDEX(tProdutos[Classe],MATCH(tItens[[#This Row],[Produto]],tProdutos[Produto],0)),"produto não cadastrado")</f>
        <v>FILA REBASE</v>
      </c>
      <c r="K3216" s="12">
        <f>tItens[[#This Row],[Qtd]]*tItens[[#This Row],[Vlr unit]]</f>
        <v>2805.7999999999997</v>
      </c>
      <c r="L3216" s="6">
        <f>IFERROR(IF(INDEX(tProdutos[Desconto homologado],MATCH(tItens[[#This Row],[Produto]],tProdutos[Produto],0))="",DescontoPadrao,INDEX(tProdutos[Desconto homologado],MATCH(tItens[[#This Row],[Produto]],tProdutos[Produto],0))),DescontoPadrao)</f>
        <v>0.253736324829619</v>
      </c>
      <c r="M3216" s="12">
        <f>tItens[[#This Row],[Valor]]*(1-tItens[[#This Row],[Desconto]])</f>
        <v>2093.8666197930552</v>
      </c>
      <c r="N3216" t="str">
        <f>IFERROR(INDEX(tProdutos[Foco],MATCH(tItens[[#This Row],[Produto]],tProdutos[Produto],0)),"Não")</f>
        <v>Não</v>
      </c>
      <c r="O3216" t="str">
        <f>IFERROR(INDEX(tEditais[SRP],MATCH(tItens[[#This Row],[Edital]],tEditais[Edital],0)),"Não")</f>
        <v>Não</v>
      </c>
      <c r="P3216" s="4">
        <f>IF(COUNTIFS(INDEX(tItens[Edital],1):tItens[[#This Row],[Edital]],tItens[[#This Row],[Edital]],INDEX(tItens[Produto],1):tItens[[#This Row],[Produto]],tItens[[#This Row],[Produto]])=1,1,0)</f>
        <v>0</v>
      </c>
    </row>
    <row r="3217" spans="1:16" x14ac:dyDescent="0.25">
      <c r="A3217" t="s">
        <v>1415</v>
      </c>
      <c r="B3217">
        <v>106</v>
      </c>
      <c r="C3217" t="s">
        <v>6122</v>
      </c>
      <c r="D3217" t="s">
        <v>494</v>
      </c>
      <c r="E3217" s="13">
        <v>20</v>
      </c>
      <c r="F3217" s="12">
        <v>233.61</v>
      </c>
      <c r="G3217" t="str">
        <f>IFERROR(INDEX(tEditais[Órgão],MATCH(tItens[[#This Row],[Edital]],tEditais[Edital],0)),"")</f>
        <v>MUNICIPIO DE IPUIUNA</v>
      </c>
      <c r="H3217" t="str">
        <f>IFERROR(INDEX(tEditais[UF],MATCH(tItens[[#This Row],[Edital]],tEditais[Edital],0)),"")</f>
        <v>MG</v>
      </c>
      <c r="I3217" s="11">
        <f>IFERROR(INDEX(tEditais[Encerramento],MATCH(tItens[[#This Row],[Edital]],tEditais[Edital],0)),"")</f>
        <v>46309.3125</v>
      </c>
      <c r="J3217" t="str">
        <f>IFERROR(INDEX(tProdutos[Classe],MATCH(tItens[[#This Row],[Produto]],tProdutos[Produto],0)),"produto não cadastrado")</f>
        <v>FILA REBASE</v>
      </c>
      <c r="K3217" s="12">
        <f>tItens[[#This Row],[Qtd]]*tItens[[#This Row],[Vlr unit]]</f>
        <v>4672.2000000000007</v>
      </c>
      <c r="L3217" s="6">
        <f>IFERROR(IF(INDEX(tProdutos[Desconto homologado],MATCH(tItens[[#This Row],[Produto]],tProdutos[Produto],0))="",DescontoPadrao,INDEX(tProdutos[Desconto homologado],MATCH(tItens[[#This Row],[Produto]],tProdutos[Produto],0))),DescontoPadrao)</f>
        <v>0.253736324829619</v>
      </c>
      <c r="M3217" s="12">
        <f>tItens[[#This Row],[Valor]]*(1-tItens[[#This Row],[Desconto]])</f>
        <v>3486.693143131055</v>
      </c>
      <c r="N3217" t="str">
        <f>IFERROR(INDEX(tProdutos[Foco],MATCH(tItens[[#This Row],[Produto]],tProdutos[Produto],0)),"Não")</f>
        <v>Não</v>
      </c>
      <c r="O3217" t="str">
        <f>IFERROR(INDEX(tEditais[SRP],MATCH(tItens[[#This Row],[Edital]],tEditais[Edital],0)),"Não")</f>
        <v>Não</v>
      </c>
      <c r="P3217" s="4">
        <f>IF(COUNTIFS(INDEX(tItens[Edital],1):tItens[[#This Row],[Edital]],tItens[[#This Row],[Edital]],INDEX(tItens[Produto],1):tItens[[#This Row],[Produto]],tItens[[#This Row],[Produto]])=1,1,0)</f>
        <v>0</v>
      </c>
    </row>
    <row r="3218" spans="1:16" x14ac:dyDescent="0.25">
      <c r="A3218" t="s">
        <v>1415</v>
      </c>
      <c r="B3218">
        <v>107</v>
      </c>
      <c r="C3218" t="s">
        <v>6123</v>
      </c>
      <c r="D3218" t="s">
        <v>494</v>
      </c>
      <c r="E3218" s="13">
        <v>20</v>
      </c>
      <c r="F3218" s="12">
        <v>49.85</v>
      </c>
      <c r="G3218" t="str">
        <f>IFERROR(INDEX(tEditais[Órgão],MATCH(tItens[[#This Row],[Edital]],tEditais[Edital],0)),"")</f>
        <v>MUNICIPIO DE IPUIUNA</v>
      </c>
      <c r="H3218" t="str">
        <f>IFERROR(INDEX(tEditais[UF],MATCH(tItens[[#This Row],[Edital]],tEditais[Edital],0)),"")</f>
        <v>MG</v>
      </c>
      <c r="I3218" s="11">
        <f>IFERROR(INDEX(tEditais[Encerramento],MATCH(tItens[[#This Row],[Edital]],tEditais[Edital],0)),"")</f>
        <v>46309.3125</v>
      </c>
      <c r="J3218" t="str">
        <f>IFERROR(INDEX(tProdutos[Classe],MATCH(tItens[[#This Row],[Produto]],tProdutos[Produto],0)),"produto não cadastrado")</f>
        <v>FILA REBASE</v>
      </c>
      <c r="K3218" s="12">
        <f>tItens[[#This Row],[Qtd]]*tItens[[#This Row],[Vlr unit]]</f>
        <v>997</v>
      </c>
      <c r="L3218" s="6">
        <f>IFERROR(IF(INDEX(tProdutos[Desconto homologado],MATCH(tItens[[#This Row],[Produto]],tProdutos[Produto],0))="",DescontoPadrao,INDEX(tProdutos[Desconto homologado],MATCH(tItens[[#This Row],[Produto]],tProdutos[Produto],0))),DescontoPadrao)</f>
        <v>0.253736324829619</v>
      </c>
      <c r="M3218" s="12">
        <f>tItens[[#This Row],[Valor]]*(1-tItens[[#This Row],[Desconto]])</f>
        <v>744.02488414486993</v>
      </c>
      <c r="N3218" t="str">
        <f>IFERROR(INDEX(tProdutos[Foco],MATCH(tItens[[#This Row],[Produto]],tProdutos[Produto],0)),"Não")</f>
        <v>Não</v>
      </c>
      <c r="O3218" t="str">
        <f>IFERROR(INDEX(tEditais[SRP],MATCH(tItens[[#This Row],[Edital]],tEditais[Edital],0)),"Não")</f>
        <v>Não</v>
      </c>
      <c r="P3218" s="4">
        <f>IF(COUNTIFS(INDEX(tItens[Edital],1):tItens[[#This Row],[Edital]],tItens[[#This Row],[Edital]],INDEX(tItens[Produto],1):tItens[[#This Row],[Produto]],tItens[[#This Row],[Produto]])=1,1,0)</f>
        <v>0</v>
      </c>
    </row>
    <row r="3219" spans="1:16" x14ac:dyDescent="0.25">
      <c r="A3219" t="s">
        <v>1415</v>
      </c>
      <c r="B3219">
        <v>133</v>
      </c>
      <c r="C3219" t="s">
        <v>6124</v>
      </c>
      <c r="D3219" t="s">
        <v>265</v>
      </c>
      <c r="E3219" s="13">
        <v>2</v>
      </c>
      <c r="F3219" s="12">
        <v>52.76</v>
      </c>
      <c r="G3219" t="str">
        <f>IFERROR(INDEX(tEditais[Órgão],MATCH(tItens[[#This Row],[Edital]],tEditais[Edital],0)),"")</f>
        <v>MUNICIPIO DE IPUIUNA</v>
      </c>
      <c r="H3219" t="str">
        <f>IFERROR(INDEX(tEditais[UF],MATCH(tItens[[#This Row],[Edital]],tEditais[Edital],0)),"")</f>
        <v>MG</v>
      </c>
      <c r="I3219" s="11">
        <f>IFERROR(INDEX(tEditais[Encerramento],MATCH(tItens[[#This Row],[Edital]],tEditais[Edital],0)),"")</f>
        <v>46309.3125</v>
      </c>
      <c r="J3219" t="str">
        <f>IFERROR(INDEX(tProdutos[Classe],MATCH(tItens[[#This Row],[Produto]],tProdutos[Produto],0)),"produto não cadastrado")</f>
        <v>DISPUTADO</v>
      </c>
      <c r="K3219" s="12">
        <f>tItens[[#This Row],[Qtd]]*tItens[[#This Row],[Vlr unit]]</f>
        <v>105.52</v>
      </c>
      <c r="L3219" s="6">
        <f>IFERROR(IF(INDEX(tProdutos[Desconto homologado],MATCH(tItens[[#This Row],[Produto]],tProdutos[Produto],0))="",DescontoPadrao,INDEX(tProdutos[Desconto homologado],MATCH(tItens[[#This Row],[Produto]],tProdutos[Produto],0))),DescontoPadrao)</f>
        <v>0.377587663709337</v>
      </c>
      <c r="M3219" s="12">
        <f>tItens[[#This Row],[Valor]]*(1-tItens[[#This Row],[Desconto]])</f>
        <v>65.67694972539077</v>
      </c>
      <c r="N3219" t="str">
        <f>IFERROR(INDEX(tProdutos[Foco],MATCH(tItens[[#This Row],[Produto]],tProdutos[Produto],0)),"Não")</f>
        <v>Não</v>
      </c>
      <c r="O3219" t="str">
        <f>IFERROR(INDEX(tEditais[SRP],MATCH(tItens[[#This Row],[Edital]],tEditais[Edital],0)),"Não")</f>
        <v>Não</v>
      </c>
      <c r="P3219" s="4">
        <f>IF(COUNTIFS(INDEX(tItens[Edital],1):tItens[[#This Row],[Edital]],tItens[[#This Row],[Edital]],INDEX(tItens[Produto],1):tItens[[#This Row],[Produto]],tItens[[#This Row],[Produto]])=1,1,0)</f>
        <v>1</v>
      </c>
    </row>
    <row r="3220" spans="1:16" x14ac:dyDescent="0.25">
      <c r="A3220" t="s">
        <v>1415</v>
      </c>
      <c r="B3220">
        <v>148</v>
      </c>
      <c r="C3220" t="s">
        <v>6125</v>
      </c>
      <c r="D3220" t="s">
        <v>114</v>
      </c>
      <c r="E3220" s="13">
        <v>100</v>
      </c>
      <c r="F3220" s="12">
        <v>24.27</v>
      </c>
      <c r="G3220" t="str">
        <f>IFERROR(INDEX(tEditais[Órgão],MATCH(tItens[[#This Row],[Edital]],tEditais[Edital],0)),"")</f>
        <v>MUNICIPIO DE IPUIUNA</v>
      </c>
      <c r="H3220" t="str">
        <f>IFERROR(INDEX(tEditais[UF],MATCH(tItens[[#This Row],[Edital]],tEditais[Edital],0)),"")</f>
        <v>MG</v>
      </c>
      <c r="I3220" s="11">
        <f>IFERROR(INDEX(tEditais[Encerramento],MATCH(tItens[[#This Row],[Edital]],tEditais[Edital],0)),"")</f>
        <v>46309.3125</v>
      </c>
      <c r="J3220" t="str">
        <f>IFERROR(INDEX(tProdutos[Classe],MATCH(tItens[[#This Row],[Produto]],tProdutos[Produto],0)),"produto não cadastrado")</f>
        <v>DISPUTADO</v>
      </c>
      <c r="K3220" s="12">
        <f>tItens[[#This Row],[Qtd]]*tItens[[#This Row],[Vlr unit]]</f>
        <v>2427</v>
      </c>
      <c r="L3220" s="6">
        <f>IFERROR(IF(INDEX(tProdutos[Desconto homologado],MATCH(tItens[[#This Row],[Produto]],tProdutos[Produto],0))="",DescontoPadrao,INDEX(tProdutos[Desconto homologado],MATCH(tItens[[#This Row],[Produto]],tProdutos[Produto],0))),DescontoPadrao)</f>
        <v>0.24332656063896899</v>
      </c>
      <c r="M3220" s="12">
        <f>tItens[[#This Row],[Valor]]*(1-tItens[[#This Row],[Desconto]])</f>
        <v>1836.4464373292224</v>
      </c>
      <c r="N3220" t="str">
        <f>IFERROR(INDEX(tProdutos[Foco],MATCH(tItens[[#This Row],[Produto]],tProdutos[Produto],0)),"Não")</f>
        <v>Não</v>
      </c>
      <c r="O3220" t="str">
        <f>IFERROR(INDEX(tEditais[SRP],MATCH(tItens[[#This Row],[Edital]],tEditais[Edital],0)),"Não")</f>
        <v>Não</v>
      </c>
      <c r="P3220" s="4">
        <f>IF(COUNTIFS(INDEX(tItens[Edital],1):tItens[[#This Row],[Edital]],tItens[[#This Row],[Edital]],INDEX(tItens[Produto],1):tItens[[#This Row],[Produto]],tItens[[#This Row],[Produto]])=1,1,0)</f>
        <v>1</v>
      </c>
    </row>
    <row r="3221" spans="1:16" x14ac:dyDescent="0.25">
      <c r="A3221" t="s">
        <v>1420</v>
      </c>
      <c r="B3221">
        <v>2</v>
      </c>
      <c r="C3221" t="s">
        <v>6126</v>
      </c>
      <c r="D3221" t="s">
        <v>325</v>
      </c>
      <c r="E3221" s="13">
        <v>1500</v>
      </c>
      <c r="F3221" s="12">
        <v>0</v>
      </c>
      <c r="G3221" t="str">
        <f>IFERROR(INDEX(tEditais[Órgão],MATCH(tItens[[#This Row],[Edital]],tEditais[Edital],0)),"")</f>
        <v>MUNICIPIO DE PAULISTAS</v>
      </c>
      <c r="H3221" t="str">
        <f>IFERROR(INDEX(tEditais[UF],MATCH(tItens[[#This Row],[Edital]],tEditais[Edital],0)),"")</f>
        <v>MG</v>
      </c>
      <c r="I3221" s="11">
        <f>IFERROR(INDEX(tEditais[Encerramento],MATCH(tItens[[#This Row],[Edital]],tEditais[Edital],0)),"")</f>
        <v>46309.333333333336</v>
      </c>
      <c r="J3221" t="str">
        <f>IFERROR(INDEX(tProdutos[Classe],MATCH(tItens[[#This Row],[Produto]],tProdutos[Produto],0)),"produto não cadastrado")</f>
        <v>FORA</v>
      </c>
      <c r="K3221" s="12">
        <f>tItens[[#This Row],[Qtd]]*tItens[[#This Row],[Vlr unit]]</f>
        <v>0</v>
      </c>
      <c r="L3221" s="6">
        <f>IFERROR(IF(INDEX(tProdutos[Desconto homologado],MATCH(tItens[[#This Row],[Produto]],tProdutos[Produto],0))="",DescontoPadrao,INDEX(tProdutos[Desconto homologado],MATCH(tItens[[#This Row],[Produto]],tProdutos[Produto],0))),DescontoPadrao)</f>
        <v>0.35562332485672099</v>
      </c>
      <c r="M3221" s="12">
        <f>tItens[[#This Row],[Valor]]*(1-tItens[[#This Row],[Desconto]])</f>
        <v>0</v>
      </c>
      <c r="N3221" t="str">
        <f>IFERROR(INDEX(tProdutos[Foco],MATCH(tItens[[#This Row],[Produto]],tProdutos[Produto],0)),"Não")</f>
        <v>Não</v>
      </c>
      <c r="O3221" t="str">
        <f>IFERROR(INDEX(tEditais[SRP],MATCH(tItens[[#This Row],[Edital]],tEditais[Edital],0)),"Não")</f>
        <v>Sim</v>
      </c>
      <c r="P3221" s="4">
        <f>IF(COUNTIFS(INDEX(tItens[Edital],1):tItens[[#This Row],[Edital]],tItens[[#This Row],[Edital]],INDEX(tItens[Produto],1):tItens[[#This Row],[Produto]],tItens[[#This Row],[Produto]])=1,1,0)</f>
        <v>1</v>
      </c>
    </row>
    <row r="3222" spans="1:16" x14ac:dyDescent="0.25">
      <c r="A3222" t="s">
        <v>1420</v>
      </c>
      <c r="B3222">
        <v>7</v>
      </c>
      <c r="C3222" t="s">
        <v>6127</v>
      </c>
      <c r="D3222" t="s">
        <v>241</v>
      </c>
      <c r="E3222" s="13">
        <v>1000</v>
      </c>
      <c r="F3222" s="12">
        <v>0</v>
      </c>
      <c r="G3222" t="str">
        <f>IFERROR(INDEX(tEditais[Órgão],MATCH(tItens[[#This Row],[Edital]],tEditais[Edital],0)),"")</f>
        <v>MUNICIPIO DE PAULISTAS</v>
      </c>
      <c r="H3222" t="str">
        <f>IFERROR(INDEX(tEditais[UF],MATCH(tItens[[#This Row],[Edital]],tEditais[Edital],0)),"")</f>
        <v>MG</v>
      </c>
      <c r="I3222" s="11">
        <f>IFERROR(INDEX(tEditais[Encerramento],MATCH(tItens[[#This Row],[Edital]],tEditais[Edital],0)),"")</f>
        <v>46309.333333333336</v>
      </c>
      <c r="J3222" t="str">
        <f>IFERROR(INDEX(tProdutos[Classe],MATCH(tItens[[#This Row],[Produto]],tProdutos[Produto],0)),"produto não cadastrado")</f>
        <v>DISPUTADO</v>
      </c>
      <c r="K3222" s="12">
        <f>tItens[[#This Row],[Qtd]]*tItens[[#This Row],[Vlr unit]]</f>
        <v>0</v>
      </c>
      <c r="L3222" s="6">
        <f>IFERROR(IF(INDEX(tProdutos[Desconto homologado],MATCH(tItens[[#This Row],[Produto]],tProdutos[Produto],0))="",DescontoPadrao,INDEX(tProdutos[Desconto homologado],MATCH(tItens[[#This Row],[Produto]],tProdutos[Produto],0))),DescontoPadrao)</f>
        <v>0.36881329157903497</v>
      </c>
      <c r="M3222" s="12">
        <f>tItens[[#This Row],[Valor]]*(1-tItens[[#This Row],[Desconto]])</f>
        <v>0</v>
      </c>
      <c r="N3222" t="str">
        <f>IFERROR(INDEX(tProdutos[Foco],MATCH(tItens[[#This Row],[Produto]],tProdutos[Produto],0)),"Não")</f>
        <v>Não</v>
      </c>
      <c r="O3222" t="str">
        <f>IFERROR(INDEX(tEditais[SRP],MATCH(tItens[[#This Row],[Edital]],tEditais[Edital],0)),"Não")</f>
        <v>Sim</v>
      </c>
      <c r="P3222" s="4">
        <f>IF(COUNTIFS(INDEX(tItens[Edital],1):tItens[[#This Row],[Edital]],tItens[[#This Row],[Edital]],INDEX(tItens[Produto],1):tItens[[#This Row],[Produto]],tItens[[#This Row],[Produto]])=1,1,0)</f>
        <v>1</v>
      </c>
    </row>
    <row r="3223" spans="1:16" x14ac:dyDescent="0.25">
      <c r="A3223" t="s">
        <v>1420</v>
      </c>
      <c r="B3223">
        <v>8</v>
      </c>
      <c r="C3223" t="s">
        <v>6128</v>
      </c>
      <c r="D3223" t="s">
        <v>82</v>
      </c>
      <c r="E3223" s="13">
        <v>250</v>
      </c>
      <c r="F3223" s="12">
        <v>0</v>
      </c>
      <c r="G3223" t="str">
        <f>IFERROR(INDEX(tEditais[Órgão],MATCH(tItens[[#This Row],[Edital]],tEditais[Edital],0)),"")</f>
        <v>MUNICIPIO DE PAULISTAS</v>
      </c>
      <c r="H3223" t="str">
        <f>IFERROR(INDEX(tEditais[UF],MATCH(tItens[[#This Row],[Edital]],tEditais[Edital],0)),"")</f>
        <v>MG</v>
      </c>
      <c r="I3223" s="11">
        <f>IFERROR(INDEX(tEditais[Encerramento],MATCH(tItens[[#This Row],[Edital]],tEditais[Edital],0)),"")</f>
        <v>46309.333333333336</v>
      </c>
      <c r="J3223" t="str">
        <f>IFERROR(INDEX(tProdutos[Classe],MATCH(tItens[[#This Row],[Produto]],tProdutos[Produto],0)),"produto não cadastrado")</f>
        <v>NÚCLEO</v>
      </c>
      <c r="K3223" s="12">
        <f>tItens[[#This Row],[Qtd]]*tItens[[#This Row],[Vlr unit]]</f>
        <v>0</v>
      </c>
      <c r="L3223" s="6">
        <f>IFERROR(IF(INDEX(tProdutos[Desconto homologado],MATCH(tItens[[#This Row],[Produto]],tProdutos[Produto],0))="",DescontoPadrao,INDEX(tProdutos[Desconto homologado],MATCH(tItens[[#This Row],[Produto]],tProdutos[Produto],0))),DescontoPadrao)</f>
        <v>0.40487090276506099</v>
      </c>
      <c r="M3223" s="12">
        <f>tItens[[#This Row],[Valor]]*(1-tItens[[#This Row],[Desconto]])</f>
        <v>0</v>
      </c>
      <c r="N3223" t="str">
        <f>IFERROR(INDEX(tProdutos[Foco],MATCH(tItens[[#This Row],[Produto]],tProdutos[Produto],0)),"Não")</f>
        <v>Não</v>
      </c>
      <c r="O3223" t="str">
        <f>IFERROR(INDEX(tEditais[SRP],MATCH(tItens[[#This Row],[Edital]],tEditais[Edital],0)),"Não")</f>
        <v>Sim</v>
      </c>
      <c r="P3223" s="4">
        <f>IF(COUNTIFS(INDEX(tItens[Edital],1):tItens[[#This Row],[Edital]],tItens[[#This Row],[Edital]],INDEX(tItens[Produto],1):tItens[[#This Row],[Produto]],tItens[[#This Row],[Produto]])=1,1,0)</f>
        <v>1</v>
      </c>
    </row>
    <row r="3224" spans="1:16" x14ac:dyDescent="0.25">
      <c r="A3224" t="s">
        <v>1420</v>
      </c>
      <c r="B3224">
        <v>9</v>
      </c>
      <c r="C3224" t="s">
        <v>6129</v>
      </c>
      <c r="D3224" t="s">
        <v>82</v>
      </c>
      <c r="E3224" s="13">
        <v>250</v>
      </c>
      <c r="F3224" s="12">
        <v>0</v>
      </c>
      <c r="G3224" t="str">
        <f>IFERROR(INDEX(tEditais[Órgão],MATCH(tItens[[#This Row],[Edital]],tEditais[Edital],0)),"")</f>
        <v>MUNICIPIO DE PAULISTAS</v>
      </c>
      <c r="H3224" t="str">
        <f>IFERROR(INDEX(tEditais[UF],MATCH(tItens[[#This Row],[Edital]],tEditais[Edital],0)),"")</f>
        <v>MG</v>
      </c>
      <c r="I3224" s="11">
        <f>IFERROR(INDEX(tEditais[Encerramento],MATCH(tItens[[#This Row],[Edital]],tEditais[Edital],0)),"")</f>
        <v>46309.333333333336</v>
      </c>
      <c r="J3224" t="str">
        <f>IFERROR(INDEX(tProdutos[Classe],MATCH(tItens[[#This Row],[Produto]],tProdutos[Produto],0)),"produto não cadastrado")</f>
        <v>NÚCLEO</v>
      </c>
      <c r="K3224" s="12">
        <f>tItens[[#This Row],[Qtd]]*tItens[[#This Row],[Vlr unit]]</f>
        <v>0</v>
      </c>
      <c r="L3224" s="6">
        <f>IFERROR(IF(INDEX(tProdutos[Desconto homologado],MATCH(tItens[[#This Row],[Produto]],tProdutos[Produto],0))="",DescontoPadrao,INDEX(tProdutos[Desconto homologado],MATCH(tItens[[#This Row],[Produto]],tProdutos[Produto],0))),DescontoPadrao)</f>
        <v>0.40487090276506099</v>
      </c>
      <c r="M3224" s="12">
        <f>tItens[[#This Row],[Valor]]*(1-tItens[[#This Row],[Desconto]])</f>
        <v>0</v>
      </c>
      <c r="N3224" t="str">
        <f>IFERROR(INDEX(tProdutos[Foco],MATCH(tItens[[#This Row],[Produto]],tProdutos[Produto],0)),"Não")</f>
        <v>Não</v>
      </c>
      <c r="O3224" t="str">
        <f>IFERROR(INDEX(tEditais[SRP],MATCH(tItens[[#This Row],[Edital]],tEditais[Edital],0)),"Não")</f>
        <v>Sim</v>
      </c>
      <c r="P3224" s="4">
        <f>IF(COUNTIFS(INDEX(tItens[Edital],1):tItens[[#This Row],[Edital]],tItens[[#This Row],[Edital]],INDEX(tItens[Produto],1):tItens[[#This Row],[Produto]],tItens[[#This Row],[Produto]])=1,1,0)</f>
        <v>0</v>
      </c>
    </row>
    <row r="3225" spans="1:16" x14ac:dyDescent="0.25">
      <c r="A3225" t="s">
        <v>1425</v>
      </c>
      <c r="B3225">
        <v>5</v>
      </c>
      <c r="C3225" t="s">
        <v>6130</v>
      </c>
      <c r="D3225" t="s">
        <v>201</v>
      </c>
      <c r="E3225" s="13">
        <v>50</v>
      </c>
      <c r="F3225" s="12">
        <v>0</v>
      </c>
      <c r="G3225" t="str">
        <f>IFERROR(INDEX(tEditais[Órgão],MATCH(tItens[[#This Row],[Edital]],tEditais[Edital],0)),"")</f>
        <v>MUNICIPIO DE JENIPAPO DE MINAS</v>
      </c>
      <c r="H3225" t="str">
        <f>IFERROR(INDEX(tEditais[UF],MATCH(tItens[[#This Row],[Edital]],tEditais[Edital],0)),"")</f>
        <v>MG</v>
      </c>
      <c r="I3225" s="11">
        <f>IFERROR(INDEX(tEditais[Encerramento],MATCH(tItens[[#This Row],[Edital]],tEditais[Edital],0)),"")</f>
        <v>46309.333333333336</v>
      </c>
      <c r="J3225" t="str">
        <f>IFERROR(INDEX(tProdutos[Classe],MATCH(tItens[[#This Row],[Produto]],tProdutos[Produto],0)),"produto não cadastrado")</f>
        <v>DISPUTADO</v>
      </c>
      <c r="K3225" s="12">
        <f>tItens[[#This Row],[Qtd]]*tItens[[#This Row],[Vlr unit]]</f>
        <v>0</v>
      </c>
      <c r="L3225" s="6">
        <f>IFERROR(IF(INDEX(tProdutos[Desconto homologado],MATCH(tItens[[#This Row],[Produto]],tProdutos[Produto],0))="",DescontoPadrao,INDEX(tProdutos[Desconto homologado],MATCH(tItens[[#This Row],[Produto]],tProdutos[Produto],0))),DescontoPadrao)</f>
        <v>0.27203065134099602</v>
      </c>
      <c r="M3225" s="12">
        <f>tItens[[#This Row],[Valor]]*(1-tItens[[#This Row],[Desconto]])</f>
        <v>0</v>
      </c>
      <c r="N3225" t="str">
        <f>IFERROR(INDEX(tProdutos[Foco],MATCH(tItens[[#This Row],[Produto]],tProdutos[Produto],0)),"Não")</f>
        <v>Não</v>
      </c>
      <c r="O3225" t="str">
        <f>IFERROR(INDEX(tEditais[SRP],MATCH(tItens[[#This Row],[Edital]],tEditais[Edital],0)),"Não")</f>
        <v>Sim</v>
      </c>
      <c r="P3225" s="4">
        <f>IF(COUNTIFS(INDEX(tItens[Edital],1):tItens[[#This Row],[Edital]],tItens[[#This Row],[Edital]],INDEX(tItens[Produto],1):tItens[[#This Row],[Produto]],tItens[[#This Row],[Produto]])=1,1,0)</f>
        <v>1</v>
      </c>
    </row>
    <row r="3226" spans="1:16" x14ac:dyDescent="0.25">
      <c r="A3226" t="s">
        <v>1425</v>
      </c>
      <c r="B3226">
        <v>6</v>
      </c>
      <c r="C3226" t="s">
        <v>6131</v>
      </c>
      <c r="D3226" t="s">
        <v>201</v>
      </c>
      <c r="E3226" s="13">
        <v>100</v>
      </c>
      <c r="F3226" s="12">
        <v>0</v>
      </c>
      <c r="G3226" t="str">
        <f>IFERROR(INDEX(tEditais[Órgão],MATCH(tItens[[#This Row],[Edital]],tEditais[Edital],0)),"")</f>
        <v>MUNICIPIO DE JENIPAPO DE MINAS</v>
      </c>
      <c r="H3226" t="str">
        <f>IFERROR(INDEX(tEditais[UF],MATCH(tItens[[#This Row],[Edital]],tEditais[Edital],0)),"")</f>
        <v>MG</v>
      </c>
      <c r="I3226" s="11">
        <f>IFERROR(INDEX(tEditais[Encerramento],MATCH(tItens[[#This Row],[Edital]],tEditais[Edital],0)),"")</f>
        <v>46309.333333333336</v>
      </c>
      <c r="J3226" t="str">
        <f>IFERROR(INDEX(tProdutos[Classe],MATCH(tItens[[#This Row],[Produto]],tProdutos[Produto],0)),"produto não cadastrado")</f>
        <v>DISPUTADO</v>
      </c>
      <c r="K3226" s="12">
        <f>tItens[[#This Row],[Qtd]]*tItens[[#This Row],[Vlr unit]]</f>
        <v>0</v>
      </c>
      <c r="L3226" s="6">
        <f>IFERROR(IF(INDEX(tProdutos[Desconto homologado],MATCH(tItens[[#This Row],[Produto]],tProdutos[Produto],0))="",DescontoPadrao,INDEX(tProdutos[Desconto homologado],MATCH(tItens[[#This Row],[Produto]],tProdutos[Produto],0))),DescontoPadrao)</f>
        <v>0.27203065134099602</v>
      </c>
      <c r="M3226" s="12">
        <f>tItens[[#This Row],[Valor]]*(1-tItens[[#This Row],[Desconto]])</f>
        <v>0</v>
      </c>
      <c r="N3226" t="str">
        <f>IFERROR(INDEX(tProdutos[Foco],MATCH(tItens[[#This Row],[Produto]],tProdutos[Produto],0)),"Não")</f>
        <v>Não</v>
      </c>
      <c r="O3226" t="str">
        <f>IFERROR(INDEX(tEditais[SRP],MATCH(tItens[[#This Row],[Edital]],tEditais[Edital],0)),"Não")</f>
        <v>Sim</v>
      </c>
      <c r="P3226" s="4">
        <f>IF(COUNTIFS(INDEX(tItens[Edital],1):tItens[[#This Row],[Edital]],tItens[[#This Row],[Edital]],INDEX(tItens[Produto],1):tItens[[#This Row],[Produto]],tItens[[#This Row],[Produto]])=1,1,0)</f>
        <v>0</v>
      </c>
    </row>
    <row r="3227" spans="1:16" x14ac:dyDescent="0.25">
      <c r="A3227" t="s">
        <v>1425</v>
      </c>
      <c r="B3227">
        <v>10</v>
      </c>
      <c r="C3227" t="s">
        <v>6132</v>
      </c>
      <c r="D3227" t="s">
        <v>80</v>
      </c>
      <c r="E3227" s="13">
        <v>3</v>
      </c>
      <c r="F3227" s="12">
        <v>0</v>
      </c>
      <c r="G3227" t="str">
        <f>IFERROR(INDEX(tEditais[Órgão],MATCH(tItens[[#This Row],[Edital]],tEditais[Edital],0)),"")</f>
        <v>MUNICIPIO DE JENIPAPO DE MINAS</v>
      </c>
      <c r="H3227" t="str">
        <f>IFERROR(INDEX(tEditais[UF],MATCH(tItens[[#This Row],[Edital]],tEditais[Edital],0)),"")</f>
        <v>MG</v>
      </c>
      <c r="I3227" s="11">
        <f>IFERROR(INDEX(tEditais[Encerramento],MATCH(tItens[[#This Row],[Edital]],tEditais[Edital],0)),"")</f>
        <v>46309.333333333336</v>
      </c>
      <c r="J3227" t="str">
        <f>IFERROR(INDEX(tProdutos[Classe],MATCH(tItens[[#This Row],[Produto]],tProdutos[Produto],0)),"produto não cadastrado")</f>
        <v>NÚCLEO</v>
      </c>
      <c r="K3227" s="12">
        <f>tItens[[#This Row],[Qtd]]*tItens[[#This Row],[Vlr unit]]</f>
        <v>0</v>
      </c>
      <c r="L3227" s="6">
        <f>IFERROR(IF(INDEX(tProdutos[Desconto homologado],MATCH(tItens[[#This Row],[Produto]],tProdutos[Produto],0))="",DescontoPadrao,INDEX(tProdutos[Desconto homologado],MATCH(tItens[[#This Row],[Produto]],tProdutos[Produto],0))),DescontoPadrao)</f>
        <v>0.33</v>
      </c>
      <c r="M3227" s="12">
        <f>tItens[[#This Row],[Valor]]*(1-tItens[[#This Row],[Desconto]])</f>
        <v>0</v>
      </c>
      <c r="N3227" t="str">
        <f>IFERROR(INDEX(tProdutos[Foco],MATCH(tItens[[#This Row],[Produto]],tProdutos[Produto],0)),"Não")</f>
        <v>Sim</v>
      </c>
      <c r="O3227" t="str">
        <f>IFERROR(INDEX(tEditais[SRP],MATCH(tItens[[#This Row],[Edital]],tEditais[Edital],0)),"Não")</f>
        <v>Sim</v>
      </c>
      <c r="P3227" s="4">
        <f>IF(COUNTIFS(INDEX(tItens[Edital],1):tItens[[#This Row],[Edital]],tItens[[#This Row],[Edital]],INDEX(tItens[Produto],1):tItens[[#This Row],[Produto]],tItens[[#This Row],[Produto]])=1,1,0)</f>
        <v>1</v>
      </c>
    </row>
    <row r="3228" spans="1:16" x14ac:dyDescent="0.25">
      <c r="A3228" t="s">
        <v>1425</v>
      </c>
      <c r="B3228">
        <v>11</v>
      </c>
      <c r="C3228" t="s">
        <v>6133</v>
      </c>
      <c r="D3228" t="s">
        <v>279</v>
      </c>
      <c r="E3228" s="13">
        <v>3</v>
      </c>
      <c r="F3228" s="12">
        <v>0</v>
      </c>
      <c r="G3228" t="str">
        <f>IFERROR(INDEX(tEditais[Órgão],MATCH(tItens[[#This Row],[Edital]],tEditais[Edital],0)),"")</f>
        <v>MUNICIPIO DE JENIPAPO DE MINAS</v>
      </c>
      <c r="H3228" t="str">
        <f>IFERROR(INDEX(tEditais[UF],MATCH(tItens[[#This Row],[Edital]],tEditais[Edital],0)),"")</f>
        <v>MG</v>
      </c>
      <c r="I3228" s="11">
        <f>IFERROR(INDEX(tEditais[Encerramento],MATCH(tItens[[#This Row],[Edital]],tEditais[Edital],0)),"")</f>
        <v>46309.333333333336</v>
      </c>
      <c r="J3228" t="str">
        <f>IFERROR(INDEX(tProdutos[Classe],MATCH(tItens[[#This Row],[Produto]],tProdutos[Produto],0)),"produto não cadastrado")</f>
        <v>FORA</v>
      </c>
      <c r="K3228" s="12">
        <f>tItens[[#This Row],[Qtd]]*tItens[[#This Row],[Vlr unit]]</f>
        <v>0</v>
      </c>
      <c r="L3228" s="6">
        <f>IFERROR(IF(INDEX(tProdutos[Desconto homologado],MATCH(tItens[[#This Row],[Produto]],tProdutos[Produto],0))="",DescontoPadrao,INDEX(tProdutos[Desconto homologado],MATCH(tItens[[#This Row],[Produto]],tProdutos[Produto],0))),DescontoPadrao)</f>
        <v>0.28909090909090901</v>
      </c>
      <c r="M3228" s="12">
        <f>tItens[[#This Row],[Valor]]*(1-tItens[[#This Row],[Desconto]])</f>
        <v>0</v>
      </c>
      <c r="N3228" t="str">
        <f>IFERROR(INDEX(tProdutos[Foco],MATCH(tItens[[#This Row],[Produto]],tProdutos[Produto],0)),"Não")</f>
        <v>Não</v>
      </c>
      <c r="O3228" t="str">
        <f>IFERROR(INDEX(tEditais[SRP],MATCH(tItens[[#This Row],[Edital]],tEditais[Edital],0)),"Não")</f>
        <v>Sim</v>
      </c>
      <c r="P3228" s="4">
        <f>IF(COUNTIFS(INDEX(tItens[Edital],1):tItens[[#This Row],[Edital]],tItens[[#This Row],[Edital]],INDEX(tItens[Produto],1):tItens[[#This Row],[Produto]],tItens[[#This Row],[Produto]])=1,1,0)</f>
        <v>1</v>
      </c>
    </row>
    <row r="3229" spans="1:16" x14ac:dyDescent="0.25">
      <c r="A3229" t="s">
        <v>1425</v>
      </c>
      <c r="B3229">
        <v>24</v>
      </c>
      <c r="C3229" t="s">
        <v>6134</v>
      </c>
      <c r="D3229" t="s">
        <v>512</v>
      </c>
      <c r="E3229" s="13">
        <v>40</v>
      </c>
      <c r="F3229" s="12">
        <v>0</v>
      </c>
      <c r="G3229" t="str">
        <f>IFERROR(INDEX(tEditais[Órgão],MATCH(tItens[[#This Row],[Edital]],tEditais[Edital],0)),"")</f>
        <v>MUNICIPIO DE JENIPAPO DE MINAS</v>
      </c>
      <c r="H3229" t="str">
        <f>IFERROR(INDEX(tEditais[UF],MATCH(tItens[[#This Row],[Edital]],tEditais[Edital],0)),"")</f>
        <v>MG</v>
      </c>
      <c r="I3229" s="11">
        <f>IFERROR(INDEX(tEditais[Encerramento],MATCH(tItens[[#This Row],[Edital]],tEditais[Edital],0)),"")</f>
        <v>46309.333333333336</v>
      </c>
      <c r="J3229" t="str">
        <f>IFERROR(INDEX(tProdutos[Classe],MATCH(tItens[[#This Row],[Produto]],tProdutos[Produto],0)),"produto não cadastrado")</f>
        <v>FILA REBASE</v>
      </c>
      <c r="K3229" s="12">
        <f>tItens[[#This Row],[Qtd]]*tItens[[#This Row],[Vlr unit]]</f>
        <v>0</v>
      </c>
      <c r="L3229" s="6">
        <f>IFERROR(IF(INDEX(tProdutos[Desconto homologado],MATCH(tItens[[#This Row],[Produto]],tProdutos[Produto],0))="",DescontoPadrao,INDEX(tProdutos[Desconto homologado],MATCH(tItens[[#This Row],[Produto]],tProdutos[Produto],0))),DescontoPadrao)</f>
        <v>0.32579365079365102</v>
      </c>
      <c r="M3229" s="12">
        <f>tItens[[#This Row],[Valor]]*(1-tItens[[#This Row],[Desconto]])</f>
        <v>0</v>
      </c>
      <c r="N3229" t="str">
        <f>IFERROR(INDEX(tProdutos[Foco],MATCH(tItens[[#This Row],[Produto]],tProdutos[Produto],0)),"Não")</f>
        <v>Não</v>
      </c>
      <c r="O3229" t="str">
        <f>IFERROR(INDEX(tEditais[SRP],MATCH(tItens[[#This Row],[Edital]],tEditais[Edital],0)),"Não")</f>
        <v>Sim</v>
      </c>
      <c r="P3229" s="4">
        <f>IF(COUNTIFS(INDEX(tItens[Edital],1):tItens[[#This Row],[Edital]],tItens[[#This Row],[Edital]],INDEX(tItens[Produto],1):tItens[[#This Row],[Produto]],tItens[[#This Row],[Produto]])=1,1,0)</f>
        <v>1</v>
      </c>
    </row>
    <row r="3230" spans="1:16" x14ac:dyDescent="0.25">
      <c r="A3230" t="s">
        <v>1425</v>
      </c>
      <c r="B3230">
        <v>54</v>
      </c>
      <c r="C3230" t="s">
        <v>6135</v>
      </c>
      <c r="D3230" t="s">
        <v>323</v>
      </c>
      <c r="E3230" s="13">
        <v>30</v>
      </c>
      <c r="F3230" s="12">
        <v>0</v>
      </c>
      <c r="G3230" t="str">
        <f>IFERROR(INDEX(tEditais[Órgão],MATCH(tItens[[#This Row],[Edital]],tEditais[Edital],0)),"")</f>
        <v>MUNICIPIO DE JENIPAPO DE MINAS</v>
      </c>
      <c r="H3230" t="str">
        <f>IFERROR(INDEX(tEditais[UF],MATCH(tItens[[#This Row],[Edital]],tEditais[Edital],0)),"")</f>
        <v>MG</v>
      </c>
      <c r="I3230" s="11">
        <f>IFERROR(INDEX(tEditais[Encerramento],MATCH(tItens[[#This Row],[Edital]],tEditais[Edital],0)),"")</f>
        <v>46309.333333333336</v>
      </c>
      <c r="J3230" t="str">
        <f>IFERROR(INDEX(tProdutos[Classe],MATCH(tItens[[#This Row],[Produto]],tProdutos[Produto],0)),"produto não cadastrado")</f>
        <v>FORA</v>
      </c>
      <c r="K3230" s="12">
        <f>tItens[[#This Row],[Qtd]]*tItens[[#This Row],[Vlr unit]]</f>
        <v>0</v>
      </c>
      <c r="L3230" s="6">
        <f>IFERROR(IF(INDEX(tProdutos[Desconto homologado],MATCH(tItens[[#This Row],[Produto]],tProdutos[Produto],0))="",DescontoPadrao,INDEX(tProdutos[Desconto homologado],MATCH(tItens[[#This Row],[Produto]],tProdutos[Produto],0))),DescontoPadrao)</f>
        <v>0.42242759676970199</v>
      </c>
      <c r="M3230" s="12">
        <f>tItens[[#This Row],[Valor]]*(1-tItens[[#This Row],[Desconto]])</f>
        <v>0</v>
      </c>
      <c r="N3230" t="str">
        <f>IFERROR(INDEX(tProdutos[Foco],MATCH(tItens[[#This Row],[Produto]],tProdutos[Produto],0)),"Não")</f>
        <v>Não</v>
      </c>
      <c r="O3230" t="str">
        <f>IFERROR(INDEX(tEditais[SRP],MATCH(tItens[[#This Row],[Edital]],tEditais[Edital],0)),"Não")</f>
        <v>Sim</v>
      </c>
      <c r="P3230" s="4">
        <f>IF(COUNTIFS(INDEX(tItens[Edital],1):tItens[[#This Row],[Edital]],tItens[[#This Row],[Edital]],INDEX(tItens[Produto],1):tItens[[#This Row],[Produto]],tItens[[#This Row],[Produto]])=1,1,0)</f>
        <v>1</v>
      </c>
    </row>
    <row r="3231" spans="1:16" x14ac:dyDescent="0.25">
      <c r="A3231" t="s">
        <v>1425</v>
      </c>
      <c r="B3231">
        <v>66</v>
      </c>
      <c r="C3231" t="s">
        <v>6136</v>
      </c>
      <c r="D3231" t="s">
        <v>150</v>
      </c>
      <c r="E3231" s="13">
        <v>50</v>
      </c>
      <c r="F3231" s="12">
        <v>0</v>
      </c>
      <c r="G3231" t="str">
        <f>IFERROR(INDEX(tEditais[Órgão],MATCH(tItens[[#This Row],[Edital]],tEditais[Edital],0)),"")</f>
        <v>MUNICIPIO DE JENIPAPO DE MINAS</v>
      </c>
      <c r="H3231" t="str">
        <f>IFERROR(INDEX(tEditais[UF],MATCH(tItens[[#This Row],[Edital]],tEditais[Edital],0)),"")</f>
        <v>MG</v>
      </c>
      <c r="I3231" s="11">
        <f>IFERROR(INDEX(tEditais[Encerramento],MATCH(tItens[[#This Row],[Edital]],tEditais[Edital],0)),"")</f>
        <v>46309.333333333336</v>
      </c>
      <c r="J3231" t="str">
        <f>IFERROR(INDEX(tProdutos[Classe],MATCH(tItens[[#This Row],[Produto]],tProdutos[Produto],0)),"produto não cadastrado")</f>
        <v>DISPUTADO</v>
      </c>
      <c r="K3231" s="12">
        <f>tItens[[#This Row],[Qtd]]*tItens[[#This Row],[Vlr unit]]</f>
        <v>0</v>
      </c>
      <c r="L3231" s="6">
        <f>IFERROR(IF(INDEX(tProdutos[Desconto homologado],MATCH(tItens[[#This Row],[Produto]],tProdutos[Produto],0))="",DescontoPadrao,INDEX(tProdutos[Desconto homologado],MATCH(tItens[[#This Row],[Produto]],tProdutos[Produto],0))),DescontoPadrao)</f>
        <v>0.24874026568941801</v>
      </c>
      <c r="M3231" s="12">
        <f>tItens[[#This Row],[Valor]]*(1-tItens[[#This Row],[Desconto]])</f>
        <v>0</v>
      </c>
      <c r="N3231" t="str">
        <f>IFERROR(INDEX(tProdutos[Foco],MATCH(tItens[[#This Row],[Produto]],tProdutos[Produto],0)),"Não")</f>
        <v>Não</v>
      </c>
      <c r="O3231" t="str">
        <f>IFERROR(INDEX(tEditais[SRP],MATCH(tItens[[#This Row],[Edital]],tEditais[Edital],0)),"Não")</f>
        <v>Sim</v>
      </c>
      <c r="P3231" s="4">
        <f>IF(COUNTIFS(INDEX(tItens[Edital],1):tItens[[#This Row],[Edital]],tItens[[#This Row],[Edital]],INDEX(tItens[Produto],1):tItens[[#This Row],[Produto]],tItens[[#This Row],[Produto]])=1,1,0)</f>
        <v>1</v>
      </c>
    </row>
    <row r="3232" spans="1:16" x14ac:dyDescent="0.25">
      <c r="A3232" t="s">
        <v>1430</v>
      </c>
      <c r="B3232">
        <v>7</v>
      </c>
      <c r="C3232" t="s">
        <v>6137</v>
      </c>
      <c r="D3232" t="s">
        <v>315</v>
      </c>
      <c r="E3232" s="13">
        <v>500</v>
      </c>
      <c r="F3232" s="12">
        <v>20.72</v>
      </c>
      <c r="G3232" t="str">
        <f>IFERROR(INDEX(tEditais[Órgão],MATCH(tItens[[#This Row],[Edital]],tEditais[Edital],0)),"")</f>
        <v>MUNICIPIO DE AMPARO DO SERRA</v>
      </c>
      <c r="H3232" t="str">
        <f>IFERROR(INDEX(tEditais[UF],MATCH(tItens[[#This Row],[Edital]],tEditais[Edital],0)),"")</f>
        <v>MG</v>
      </c>
      <c r="I3232" s="11">
        <f>IFERROR(INDEX(tEditais[Encerramento],MATCH(tItens[[#This Row],[Edital]],tEditais[Edital],0)),"")</f>
        <v>46309.333333333336</v>
      </c>
      <c r="J3232" t="str">
        <f>IFERROR(INDEX(tProdutos[Classe],MATCH(tItens[[#This Row],[Produto]],tProdutos[Produto],0)),"produto não cadastrado")</f>
        <v>FORA</v>
      </c>
      <c r="K3232" s="12">
        <f>tItens[[#This Row],[Qtd]]*tItens[[#This Row],[Vlr unit]]</f>
        <v>10360</v>
      </c>
      <c r="L3232" s="6">
        <f>IFERROR(IF(INDEX(tProdutos[Desconto homologado],MATCH(tItens[[#This Row],[Produto]],tProdutos[Produto],0))="",DescontoPadrao,INDEX(tProdutos[Desconto homologado],MATCH(tItens[[#This Row],[Produto]],tProdutos[Produto],0))),DescontoPadrao)</f>
        <v>0.38432036097010702</v>
      </c>
      <c r="M3232" s="12">
        <f>tItens[[#This Row],[Valor]]*(1-tItens[[#This Row],[Desconto]])</f>
        <v>6378.4410603496908</v>
      </c>
      <c r="N3232" t="str">
        <f>IFERROR(INDEX(tProdutos[Foco],MATCH(tItens[[#This Row],[Produto]],tProdutos[Produto],0)),"Não")</f>
        <v>Não</v>
      </c>
      <c r="O3232" t="str">
        <f>IFERROR(INDEX(tEditais[SRP],MATCH(tItens[[#This Row],[Edital]],tEditais[Edital],0)),"Não")</f>
        <v>Não</v>
      </c>
      <c r="P3232" s="4">
        <f>IF(COUNTIFS(INDEX(tItens[Edital],1):tItens[[#This Row],[Edital]],tItens[[#This Row],[Edital]],INDEX(tItens[Produto],1):tItens[[#This Row],[Produto]],tItens[[#This Row],[Produto]])=1,1,0)</f>
        <v>1</v>
      </c>
    </row>
    <row r="3233" spans="1:16" x14ac:dyDescent="0.25">
      <c r="A3233" t="s">
        <v>1430</v>
      </c>
      <c r="B3233">
        <v>8</v>
      </c>
      <c r="C3233" t="s">
        <v>6138</v>
      </c>
      <c r="D3233" t="s">
        <v>315</v>
      </c>
      <c r="E3233" s="13">
        <v>700</v>
      </c>
      <c r="F3233" s="12">
        <v>26.1</v>
      </c>
      <c r="G3233" t="str">
        <f>IFERROR(INDEX(tEditais[Órgão],MATCH(tItens[[#This Row],[Edital]],tEditais[Edital],0)),"")</f>
        <v>MUNICIPIO DE AMPARO DO SERRA</v>
      </c>
      <c r="H3233" t="str">
        <f>IFERROR(INDEX(tEditais[UF],MATCH(tItens[[#This Row],[Edital]],tEditais[Edital],0)),"")</f>
        <v>MG</v>
      </c>
      <c r="I3233" s="11">
        <f>IFERROR(INDEX(tEditais[Encerramento],MATCH(tItens[[#This Row],[Edital]],tEditais[Edital],0)),"")</f>
        <v>46309.333333333336</v>
      </c>
      <c r="J3233" t="str">
        <f>IFERROR(INDEX(tProdutos[Classe],MATCH(tItens[[#This Row],[Produto]],tProdutos[Produto],0)),"produto não cadastrado")</f>
        <v>FORA</v>
      </c>
      <c r="K3233" s="12">
        <f>tItens[[#This Row],[Qtd]]*tItens[[#This Row],[Vlr unit]]</f>
        <v>18270</v>
      </c>
      <c r="L3233" s="6">
        <f>IFERROR(IF(INDEX(tProdutos[Desconto homologado],MATCH(tItens[[#This Row],[Produto]],tProdutos[Produto],0))="",DescontoPadrao,INDEX(tProdutos[Desconto homologado],MATCH(tItens[[#This Row],[Produto]],tProdutos[Produto],0))),DescontoPadrao)</f>
        <v>0.38432036097010702</v>
      </c>
      <c r="M3233" s="12">
        <f>tItens[[#This Row],[Valor]]*(1-tItens[[#This Row],[Desconto]])</f>
        <v>11248.467005076145</v>
      </c>
      <c r="N3233" t="str">
        <f>IFERROR(INDEX(tProdutos[Foco],MATCH(tItens[[#This Row],[Produto]],tProdutos[Produto],0)),"Não")</f>
        <v>Não</v>
      </c>
      <c r="O3233" t="str">
        <f>IFERROR(INDEX(tEditais[SRP],MATCH(tItens[[#This Row],[Edital]],tEditais[Edital],0)),"Não")</f>
        <v>Não</v>
      </c>
      <c r="P3233" s="4">
        <f>IF(COUNTIFS(INDEX(tItens[Edital],1):tItens[[#This Row],[Edital]],tItens[[#This Row],[Edital]],INDEX(tItens[Produto],1):tItens[[#This Row],[Produto]],tItens[[#This Row],[Produto]])=1,1,0)</f>
        <v>0</v>
      </c>
    </row>
    <row r="3234" spans="1:16" x14ac:dyDescent="0.25">
      <c r="A3234" t="s">
        <v>1430</v>
      </c>
      <c r="B3234">
        <v>9</v>
      </c>
      <c r="C3234" t="s">
        <v>6139</v>
      </c>
      <c r="D3234" t="s">
        <v>315</v>
      </c>
      <c r="E3234" s="13">
        <v>500</v>
      </c>
      <c r="F3234" s="12">
        <v>26.21</v>
      </c>
      <c r="G3234" t="str">
        <f>IFERROR(INDEX(tEditais[Órgão],MATCH(tItens[[#This Row],[Edital]],tEditais[Edital],0)),"")</f>
        <v>MUNICIPIO DE AMPARO DO SERRA</v>
      </c>
      <c r="H3234" t="str">
        <f>IFERROR(INDEX(tEditais[UF],MATCH(tItens[[#This Row],[Edital]],tEditais[Edital],0)),"")</f>
        <v>MG</v>
      </c>
      <c r="I3234" s="11">
        <f>IFERROR(INDEX(tEditais[Encerramento],MATCH(tItens[[#This Row],[Edital]],tEditais[Edital],0)),"")</f>
        <v>46309.333333333336</v>
      </c>
      <c r="J3234" t="str">
        <f>IFERROR(INDEX(tProdutos[Classe],MATCH(tItens[[#This Row],[Produto]],tProdutos[Produto],0)),"produto não cadastrado")</f>
        <v>FORA</v>
      </c>
      <c r="K3234" s="12">
        <f>tItens[[#This Row],[Qtd]]*tItens[[#This Row],[Vlr unit]]</f>
        <v>13105</v>
      </c>
      <c r="L3234" s="6">
        <f>IFERROR(IF(INDEX(tProdutos[Desconto homologado],MATCH(tItens[[#This Row],[Produto]],tProdutos[Produto],0))="",DescontoPadrao,INDEX(tProdutos[Desconto homologado],MATCH(tItens[[#This Row],[Produto]],tProdutos[Produto],0))),DescontoPadrao)</f>
        <v>0.38432036097010702</v>
      </c>
      <c r="M3234" s="12">
        <f>tItens[[#This Row],[Valor]]*(1-tItens[[#This Row],[Desconto]])</f>
        <v>8068.4816694867477</v>
      </c>
      <c r="N3234" t="str">
        <f>IFERROR(INDEX(tProdutos[Foco],MATCH(tItens[[#This Row],[Produto]],tProdutos[Produto],0)),"Não")</f>
        <v>Não</v>
      </c>
      <c r="O3234" t="str">
        <f>IFERROR(INDEX(tEditais[SRP],MATCH(tItens[[#This Row],[Edital]],tEditais[Edital],0)),"Não")</f>
        <v>Não</v>
      </c>
      <c r="P3234" s="4">
        <f>IF(COUNTIFS(INDEX(tItens[Edital],1):tItens[[#This Row],[Edital]],tItens[[#This Row],[Edital]],INDEX(tItens[Produto],1):tItens[[#This Row],[Produto]],tItens[[#This Row],[Produto]])=1,1,0)</f>
        <v>0</v>
      </c>
    </row>
    <row r="3235" spans="1:16" x14ac:dyDescent="0.25">
      <c r="A3235" t="s">
        <v>1430</v>
      </c>
      <c r="B3235">
        <v>10</v>
      </c>
      <c r="C3235" t="s">
        <v>6140</v>
      </c>
      <c r="D3235" t="s">
        <v>315</v>
      </c>
      <c r="E3235" s="13">
        <v>200</v>
      </c>
      <c r="F3235" s="12">
        <v>26.63</v>
      </c>
      <c r="G3235" t="str">
        <f>IFERROR(INDEX(tEditais[Órgão],MATCH(tItens[[#This Row],[Edital]],tEditais[Edital],0)),"")</f>
        <v>MUNICIPIO DE AMPARO DO SERRA</v>
      </c>
      <c r="H3235" t="str">
        <f>IFERROR(INDEX(tEditais[UF],MATCH(tItens[[#This Row],[Edital]],tEditais[Edital],0)),"")</f>
        <v>MG</v>
      </c>
      <c r="I3235" s="11">
        <f>IFERROR(INDEX(tEditais[Encerramento],MATCH(tItens[[#This Row],[Edital]],tEditais[Edital],0)),"")</f>
        <v>46309.333333333336</v>
      </c>
      <c r="J3235" t="str">
        <f>IFERROR(INDEX(tProdutos[Classe],MATCH(tItens[[#This Row],[Produto]],tProdutos[Produto],0)),"produto não cadastrado")</f>
        <v>FORA</v>
      </c>
      <c r="K3235" s="12">
        <f>tItens[[#This Row],[Qtd]]*tItens[[#This Row],[Vlr unit]]</f>
        <v>5326</v>
      </c>
      <c r="L3235" s="6">
        <f>IFERROR(IF(INDEX(tProdutos[Desconto homologado],MATCH(tItens[[#This Row],[Produto]],tProdutos[Produto],0))="",DescontoPadrao,INDEX(tProdutos[Desconto homologado],MATCH(tItens[[#This Row],[Produto]],tProdutos[Produto],0))),DescontoPadrao)</f>
        <v>0.38432036097010702</v>
      </c>
      <c r="M3235" s="12">
        <f>tItens[[#This Row],[Valor]]*(1-tItens[[#This Row],[Desconto]])</f>
        <v>3279.1097574732098</v>
      </c>
      <c r="N3235" t="str">
        <f>IFERROR(INDEX(tProdutos[Foco],MATCH(tItens[[#This Row],[Produto]],tProdutos[Produto],0)),"Não")</f>
        <v>Não</v>
      </c>
      <c r="O3235" t="str">
        <f>IFERROR(INDEX(tEditais[SRP],MATCH(tItens[[#This Row],[Edital]],tEditais[Edital],0)),"Não")</f>
        <v>Não</v>
      </c>
      <c r="P3235" s="4">
        <f>IF(COUNTIFS(INDEX(tItens[Edital],1):tItens[[#This Row],[Edital]],tItens[[#This Row],[Edital]],INDEX(tItens[Produto],1):tItens[[#This Row],[Produto]],tItens[[#This Row],[Produto]])=1,1,0)</f>
        <v>0</v>
      </c>
    </row>
    <row r="3236" spans="1:16" x14ac:dyDescent="0.25">
      <c r="A3236" t="s">
        <v>1430</v>
      </c>
      <c r="B3236">
        <v>11</v>
      </c>
      <c r="C3236" t="s">
        <v>6141</v>
      </c>
      <c r="D3236" t="s">
        <v>315</v>
      </c>
      <c r="E3236" s="13">
        <v>200</v>
      </c>
      <c r="F3236" s="12">
        <v>24.14</v>
      </c>
      <c r="G3236" t="str">
        <f>IFERROR(INDEX(tEditais[Órgão],MATCH(tItens[[#This Row],[Edital]],tEditais[Edital],0)),"")</f>
        <v>MUNICIPIO DE AMPARO DO SERRA</v>
      </c>
      <c r="H3236" t="str">
        <f>IFERROR(INDEX(tEditais[UF],MATCH(tItens[[#This Row],[Edital]],tEditais[Edital],0)),"")</f>
        <v>MG</v>
      </c>
      <c r="I3236" s="11">
        <f>IFERROR(INDEX(tEditais[Encerramento],MATCH(tItens[[#This Row],[Edital]],tEditais[Edital],0)),"")</f>
        <v>46309.333333333336</v>
      </c>
      <c r="J3236" t="str">
        <f>IFERROR(INDEX(tProdutos[Classe],MATCH(tItens[[#This Row],[Produto]],tProdutos[Produto],0)),"produto não cadastrado")</f>
        <v>FORA</v>
      </c>
      <c r="K3236" s="12">
        <f>tItens[[#This Row],[Qtd]]*tItens[[#This Row],[Vlr unit]]</f>
        <v>4828</v>
      </c>
      <c r="L3236" s="6">
        <f>IFERROR(IF(INDEX(tProdutos[Desconto homologado],MATCH(tItens[[#This Row],[Produto]],tProdutos[Produto],0))="",DescontoPadrao,INDEX(tProdutos[Desconto homologado],MATCH(tItens[[#This Row],[Produto]],tProdutos[Produto],0))),DescontoPadrao)</f>
        <v>0.38432036097010702</v>
      </c>
      <c r="M3236" s="12">
        <f>tItens[[#This Row],[Valor]]*(1-tItens[[#This Row],[Desconto]])</f>
        <v>2972.5012972363234</v>
      </c>
      <c r="N3236" t="str">
        <f>IFERROR(INDEX(tProdutos[Foco],MATCH(tItens[[#This Row],[Produto]],tProdutos[Produto],0)),"Não")</f>
        <v>Não</v>
      </c>
      <c r="O3236" t="str">
        <f>IFERROR(INDEX(tEditais[SRP],MATCH(tItens[[#This Row],[Edital]],tEditais[Edital],0)),"Não")</f>
        <v>Não</v>
      </c>
      <c r="P3236" s="4">
        <f>IF(COUNTIFS(INDEX(tItens[Edital],1):tItens[[#This Row],[Edital]],tItens[[#This Row],[Edital]],INDEX(tItens[Produto],1):tItens[[#This Row],[Produto]],tItens[[#This Row],[Produto]])=1,1,0)</f>
        <v>0</v>
      </c>
    </row>
    <row r="3237" spans="1:16" x14ac:dyDescent="0.25">
      <c r="A3237" t="s">
        <v>1430</v>
      </c>
      <c r="B3237">
        <v>12</v>
      </c>
      <c r="C3237" t="s">
        <v>6142</v>
      </c>
      <c r="D3237" t="s">
        <v>315</v>
      </c>
      <c r="E3237" s="13">
        <v>500</v>
      </c>
      <c r="F3237" s="12">
        <v>25.99</v>
      </c>
      <c r="G3237" t="str">
        <f>IFERROR(INDEX(tEditais[Órgão],MATCH(tItens[[#This Row],[Edital]],tEditais[Edital],0)),"")</f>
        <v>MUNICIPIO DE AMPARO DO SERRA</v>
      </c>
      <c r="H3237" t="str">
        <f>IFERROR(INDEX(tEditais[UF],MATCH(tItens[[#This Row],[Edital]],tEditais[Edital],0)),"")</f>
        <v>MG</v>
      </c>
      <c r="I3237" s="11">
        <f>IFERROR(INDEX(tEditais[Encerramento],MATCH(tItens[[#This Row],[Edital]],tEditais[Edital],0)),"")</f>
        <v>46309.333333333336</v>
      </c>
      <c r="J3237" t="str">
        <f>IFERROR(INDEX(tProdutos[Classe],MATCH(tItens[[#This Row],[Produto]],tProdutos[Produto],0)),"produto não cadastrado")</f>
        <v>FORA</v>
      </c>
      <c r="K3237" s="12">
        <f>tItens[[#This Row],[Qtd]]*tItens[[#This Row],[Vlr unit]]</f>
        <v>12995</v>
      </c>
      <c r="L3237" s="6">
        <f>IFERROR(IF(INDEX(tProdutos[Desconto homologado],MATCH(tItens[[#This Row],[Produto]],tProdutos[Produto],0))="",DescontoPadrao,INDEX(tProdutos[Desconto homologado],MATCH(tItens[[#This Row],[Produto]],tProdutos[Produto],0))),DescontoPadrao)</f>
        <v>0.38432036097010702</v>
      </c>
      <c r="M3237" s="12">
        <f>tItens[[#This Row],[Valor]]*(1-tItens[[#This Row],[Desconto]])</f>
        <v>8000.7569091934593</v>
      </c>
      <c r="N3237" t="str">
        <f>IFERROR(INDEX(tProdutos[Foco],MATCH(tItens[[#This Row],[Produto]],tProdutos[Produto],0)),"Não")</f>
        <v>Não</v>
      </c>
      <c r="O3237" t="str">
        <f>IFERROR(INDEX(tEditais[SRP],MATCH(tItens[[#This Row],[Edital]],tEditais[Edital],0)),"Não")</f>
        <v>Não</v>
      </c>
      <c r="P3237" s="4">
        <f>IF(COUNTIFS(INDEX(tItens[Edital],1):tItens[[#This Row],[Edital]],tItens[[#This Row],[Edital]],INDEX(tItens[Produto],1):tItens[[#This Row],[Produto]],tItens[[#This Row],[Produto]])=1,1,0)</f>
        <v>0</v>
      </c>
    </row>
    <row r="3238" spans="1:16" x14ac:dyDescent="0.25">
      <c r="A3238" t="s">
        <v>1430</v>
      </c>
      <c r="B3238">
        <v>87</v>
      </c>
      <c r="C3238" t="s">
        <v>6143</v>
      </c>
      <c r="D3238" t="s">
        <v>160</v>
      </c>
      <c r="E3238" s="13">
        <v>40</v>
      </c>
      <c r="F3238" s="12">
        <v>23</v>
      </c>
      <c r="G3238" t="str">
        <f>IFERROR(INDEX(tEditais[Órgão],MATCH(tItens[[#This Row],[Edital]],tEditais[Edital],0)),"")</f>
        <v>MUNICIPIO DE AMPARO DO SERRA</v>
      </c>
      <c r="H3238" t="str">
        <f>IFERROR(INDEX(tEditais[UF],MATCH(tItens[[#This Row],[Edital]],tEditais[Edital],0)),"")</f>
        <v>MG</v>
      </c>
      <c r="I3238" s="11">
        <f>IFERROR(INDEX(tEditais[Encerramento],MATCH(tItens[[#This Row],[Edital]],tEditais[Edital],0)),"")</f>
        <v>46309.333333333336</v>
      </c>
      <c r="J3238" t="str">
        <f>IFERROR(INDEX(tProdutos[Classe],MATCH(tItens[[#This Row],[Produto]],tProdutos[Produto],0)),"produto não cadastrado")</f>
        <v>DISPUTADO</v>
      </c>
      <c r="K3238" s="12">
        <f>tItens[[#This Row],[Qtd]]*tItens[[#This Row],[Vlr unit]]</f>
        <v>920</v>
      </c>
      <c r="L3238" s="6">
        <f>IFERROR(IF(INDEX(tProdutos[Desconto homologado],MATCH(tItens[[#This Row],[Produto]],tProdutos[Produto],0))="",DescontoPadrao,INDEX(tProdutos[Desconto homologado],MATCH(tItens[[#This Row],[Produto]],tProdutos[Produto],0))),DescontoPadrao)</f>
        <v>0.28000000000000003</v>
      </c>
      <c r="M3238" s="12">
        <f>tItens[[#This Row],[Valor]]*(1-tItens[[#This Row],[Desconto]])</f>
        <v>662.4</v>
      </c>
      <c r="N3238" t="str">
        <f>IFERROR(INDEX(tProdutos[Foco],MATCH(tItens[[#This Row],[Produto]],tProdutos[Produto],0)),"Não")</f>
        <v>Sim</v>
      </c>
      <c r="O3238" t="str">
        <f>IFERROR(INDEX(tEditais[SRP],MATCH(tItens[[#This Row],[Edital]],tEditais[Edital],0)),"Não")</f>
        <v>Não</v>
      </c>
      <c r="P3238" s="4">
        <f>IF(COUNTIFS(INDEX(tItens[Edital],1):tItens[[#This Row],[Edital]],tItens[[#This Row],[Edital]],INDEX(tItens[Produto],1):tItens[[#This Row],[Produto]],tItens[[#This Row],[Produto]])=1,1,0)</f>
        <v>1</v>
      </c>
    </row>
    <row r="3239" spans="1:16" x14ac:dyDescent="0.25">
      <c r="A3239" t="s">
        <v>1430</v>
      </c>
      <c r="B3239">
        <v>88</v>
      </c>
      <c r="C3239" t="s">
        <v>6144</v>
      </c>
      <c r="D3239" t="s">
        <v>160</v>
      </c>
      <c r="E3239" s="13">
        <v>40</v>
      </c>
      <c r="F3239" s="12">
        <v>14.63</v>
      </c>
      <c r="G3239" t="str">
        <f>IFERROR(INDEX(tEditais[Órgão],MATCH(tItens[[#This Row],[Edital]],tEditais[Edital],0)),"")</f>
        <v>MUNICIPIO DE AMPARO DO SERRA</v>
      </c>
      <c r="H3239" t="str">
        <f>IFERROR(INDEX(tEditais[UF],MATCH(tItens[[#This Row],[Edital]],tEditais[Edital],0)),"")</f>
        <v>MG</v>
      </c>
      <c r="I3239" s="11">
        <f>IFERROR(INDEX(tEditais[Encerramento],MATCH(tItens[[#This Row],[Edital]],tEditais[Edital],0)),"")</f>
        <v>46309.333333333336</v>
      </c>
      <c r="J3239" t="str">
        <f>IFERROR(INDEX(tProdutos[Classe],MATCH(tItens[[#This Row],[Produto]],tProdutos[Produto],0)),"produto não cadastrado")</f>
        <v>DISPUTADO</v>
      </c>
      <c r="K3239" s="12">
        <f>tItens[[#This Row],[Qtd]]*tItens[[#This Row],[Vlr unit]]</f>
        <v>585.20000000000005</v>
      </c>
      <c r="L3239" s="6">
        <f>IFERROR(IF(INDEX(tProdutos[Desconto homologado],MATCH(tItens[[#This Row],[Produto]],tProdutos[Produto],0))="",DescontoPadrao,INDEX(tProdutos[Desconto homologado],MATCH(tItens[[#This Row],[Produto]],tProdutos[Produto],0))),DescontoPadrao)</f>
        <v>0.28000000000000003</v>
      </c>
      <c r="M3239" s="12">
        <f>tItens[[#This Row],[Valor]]*(1-tItens[[#This Row],[Desconto]])</f>
        <v>421.34399999999999</v>
      </c>
      <c r="N3239" t="str">
        <f>IFERROR(INDEX(tProdutos[Foco],MATCH(tItens[[#This Row],[Produto]],tProdutos[Produto],0)),"Não")</f>
        <v>Sim</v>
      </c>
      <c r="O3239" t="str">
        <f>IFERROR(INDEX(tEditais[SRP],MATCH(tItens[[#This Row],[Edital]],tEditais[Edital],0)),"Não")</f>
        <v>Não</v>
      </c>
      <c r="P3239" s="4">
        <f>IF(COUNTIFS(INDEX(tItens[Edital],1):tItens[[#This Row],[Edital]],tItens[[#This Row],[Edital]],INDEX(tItens[Produto],1):tItens[[#This Row],[Produto]],tItens[[#This Row],[Produto]])=1,1,0)</f>
        <v>0</v>
      </c>
    </row>
    <row r="3240" spans="1:16" x14ac:dyDescent="0.25">
      <c r="A3240" t="s">
        <v>1430</v>
      </c>
      <c r="B3240">
        <v>89</v>
      </c>
      <c r="C3240" t="s">
        <v>6145</v>
      </c>
      <c r="D3240" t="s">
        <v>160</v>
      </c>
      <c r="E3240" s="13">
        <v>40</v>
      </c>
      <c r="F3240" s="12">
        <v>67.45</v>
      </c>
      <c r="G3240" t="str">
        <f>IFERROR(INDEX(tEditais[Órgão],MATCH(tItens[[#This Row],[Edital]],tEditais[Edital],0)),"")</f>
        <v>MUNICIPIO DE AMPARO DO SERRA</v>
      </c>
      <c r="H3240" t="str">
        <f>IFERROR(INDEX(tEditais[UF],MATCH(tItens[[#This Row],[Edital]],tEditais[Edital],0)),"")</f>
        <v>MG</v>
      </c>
      <c r="I3240" s="11">
        <f>IFERROR(INDEX(tEditais[Encerramento],MATCH(tItens[[#This Row],[Edital]],tEditais[Edital],0)),"")</f>
        <v>46309.333333333336</v>
      </c>
      <c r="J3240" t="str">
        <f>IFERROR(INDEX(tProdutos[Classe],MATCH(tItens[[#This Row],[Produto]],tProdutos[Produto],0)),"produto não cadastrado")</f>
        <v>DISPUTADO</v>
      </c>
      <c r="K3240" s="12">
        <f>tItens[[#This Row],[Qtd]]*tItens[[#This Row],[Vlr unit]]</f>
        <v>2698</v>
      </c>
      <c r="L3240" s="6">
        <f>IFERROR(IF(INDEX(tProdutos[Desconto homologado],MATCH(tItens[[#This Row],[Produto]],tProdutos[Produto],0))="",DescontoPadrao,INDEX(tProdutos[Desconto homologado],MATCH(tItens[[#This Row],[Produto]],tProdutos[Produto],0))),DescontoPadrao)</f>
        <v>0.28000000000000003</v>
      </c>
      <c r="M3240" s="12">
        <f>tItens[[#This Row],[Valor]]*(1-tItens[[#This Row],[Desconto]])</f>
        <v>1942.56</v>
      </c>
      <c r="N3240" t="str">
        <f>IFERROR(INDEX(tProdutos[Foco],MATCH(tItens[[#This Row],[Produto]],tProdutos[Produto],0)),"Não")</f>
        <v>Sim</v>
      </c>
      <c r="O3240" t="str">
        <f>IFERROR(INDEX(tEditais[SRP],MATCH(tItens[[#This Row],[Edital]],tEditais[Edital],0)),"Não")</f>
        <v>Não</v>
      </c>
      <c r="P3240" s="4">
        <f>IF(COUNTIFS(INDEX(tItens[Edital],1):tItens[[#This Row],[Edital]],tItens[[#This Row],[Edital]],INDEX(tItens[Produto],1):tItens[[#This Row],[Produto]],tItens[[#This Row],[Produto]])=1,1,0)</f>
        <v>0</v>
      </c>
    </row>
    <row r="3241" spans="1:16" x14ac:dyDescent="0.25">
      <c r="A3241" t="s">
        <v>1430</v>
      </c>
      <c r="B3241">
        <v>90</v>
      </c>
      <c r="C3241" t="s">
        <v>6146</v>
      </c>
      <c r="D3241" t="s">
        <v>409</v>
      </c>
      <c r="E3241" s="13">
        <v>40</v>
      </c>
      <c r="F3241" s="12">
        <v>12.33</v>
      </c>
      <c r="G3241" t="str">
        <f>IFERROR(INDEX(tEditais[Órgão],MATCH(tItens[[#This Row],[Edital]],tEditais[Edital],0)),"")</f>
        <v>MUNICIPIO DE AMPARO DO SERRA</v>
      </c>
      <c r="H3241" t="str">
        <f>IFERROR(INDEX(tEditais[UF],MATCH(tItens[[#This Row],[Edital]],tEditais[Edital],0)),"")</f>
        <v>MG</v>
      </c>
      <c r="I3241" s="11">
        <f>IFERROR(INDEX(tEditais[Encerramento],MATCH(tItens[[#This Row],[Edital]],tEditais[Edital],0)),"")</f>
        <v>46309.333333333336</v>
      </c>
      <c r="J3241" t="str">
        <f>IFERROR(INDEX(tProdutos[Classe],MATCH(tItens[[#This Row],[Produto]],tProdutos[Produto],0)),"produto não cadastrado")</f>
        <v>FORA</v>
      </c>
      <c r="K3241" s="12">
        <f>tItens[[#This Row],[Qtd]]*tItens[[#This Row],[Vlr unit]]</f>
        <v>493.2</v>
      </c>
      <c r="L3241" s="6">
        <f>IFERROR(IF(INDEX(tProdutos[Desconto homologado],MATCH(tItens[[#This Row],[Produto]],tProdutos[Produto],0))="",DescontoPadrao,INDEX(tProdutos[Desconto homologado],MATCH(tItens[[#This Row],[Produto]],tProdutos[Produto],0))),DescontoPadrao)</f>
        <v>0.24924924924924899</v>
      </c>
      <c r="M3241" s="12">
        <f>tItens[[#This Row],[Valor]]*(1-tItens[[#This Row],[Desconto]])</f>
        <v>370.27027027027043</v>
      </c>
      <c r="N3241" t="str">
        <f>IFERROR(INDEX(tProdutos[Foco],MATCH(tItens[[#This Row],[Produto]],tProdutos[Produto],0)),"Não")</f>
        <v>Não</v>
      </c>
      <c r="O3241" t="str">
        <f>IFERROR(INDEX(tEditais[SRP],MATCH(tItens[[#This Row],[Edital]],tEditais[Edital],0)),"Não")</f>
        <v>Não</v>
      </c>
      <c r="P3241" s="4">
        <f>IF(COUNTIFS(INDEX(tItens[Edital],1):tItens[[#This Row],[Edital]],tItens[[#This Row],[Edital]],INDEX(tItens[Produto],1):tItens[[#This Row],[Produto]],tItens[[#This Row],[Produto]])=1,1,0)</f>
        <v>1</v>
      </c>
    </row>
    <row r="3242" spans="1:16" x14ac:dyDescent="0.25">
      <c r="A3242" t="s">
        <v>1430</v>
      </c>
      <c r="B3242">
        <v>91</v>
      </c>
      <c r="C3242" t="s">
        <v>6147</v>
      </c>
      <c r="D3242" t="s">
        <v>409</v>
      </c>
      <c r="E3242" s="13">
        <v>40</v>
      </c>
      <c r="F3242" s="12">
        <v>10.09</v>
      </c>
      <c r="G3242" t="str">
        <f>IFERROR(INDEX(tEditais[Órgão],MATCH(tItens[[#This Row],[Edital]],tEditais[Edital],0)),"")</f>
        <v>MUNICIPIO DE AMPARO DO SERRA</v>
      </c>
      <c r="H3242" t="str">
        <f>IFERROR(INDEX(tEditais[UF],MATCH(tItens[[#This Row],[Edital]],tEditais[Edital],0)),"")</f>
        <v>MG</v>
      </c>
      <c r="I3242" s="11">
        <f>IFERROR(INDEX(tEditais[Encerramento],MATCH(tItens[[#This Row],[Edital]],tEditais[Edital],0)),"")</f>
        <v>46309.333333333336</v>
      </c>
      <c r="J3242" t="str">
        <f>IFERROR(INDEX(tProdutos[Classe],MATCH(tItens[[#This Row],[Produto]],tProdutos[Produto],0)),"produto não cadastrado")</f>
        <v>FORA</v>
      </c>
      <c r="K3242" s="12">
        <f>tItens[[#This Row],[Qtd]]*tItens[[#This Row],[Vlr unit]]</f>
        <v>403.6</v>
      </c>
      <c r="L3242" s="6">
        <f>IFERROR(IF(INDEX(tProdutos[Desconto homologado],MATCH(tItens[[#This Row],[Produto]],tProdutos[Produto],0))="",DescontoPadrao,INDEX(tProdutos[Desconto homologado],MATCH(tItens[[#This Row],[Produto]],tProdutos[Produto],0))),DescontoPadrao)</f>
        <v>0.24924924924924899</v>
      </c>
      <c r="M3242" s="12">
        <f>tItens[[#This Row],[Valor]]*(1-tItens[[#This Row],[Desconto]])</f>
        <v>303.00300300300313</v>
      </c>
      <c r="N3242" t="str">
        <f>IFERROR(INDEX(tProdutos[Foco],MATCH(tItens[[#This Row],[Produto]],tProdutos[Produto],0)),"Não")</f>
        <v>Não</v>
      </c>
      <c r="O3242" t="str">
        <f>IFERROR(INDEX(tEditais[SRP],MATCH(tItens[[#This Row],[Edital]],tEditais[Edital],0)),"Não")</f>
        <v>Não</v>
      </c>
      <c r="P3242" s="4">
        <f>IF(COUNTIFS(INDEX(tItens[Edital],1):tItens[[#This Row],[Edital]],tItens[[#This Row],[Edital]],INDEX(tItens[Produto],1):tItens[[#This Row],[Produto]],tItens[[#This Row],[Produto]])=1,1,0)</f>
        <v>0</v>
      </c>
    </row>
    <row r="3243" spans="1:16" x14ac:dyDescent="0.25">
      <c r="A3243" t="s">
        <v>1430</v>
      </c>
      <c r="B3243">
        <v>92</v>
      </c>
      <c r="C3243" t="s">
        <v>6148</v>
      </c>
      <c r="D3243" t="s">
        <v>409</v>
      </c>
      <c r="E3243" s="13">
        <v>40</v>
      </c>
      <c r="F3243" s="12">
        <v>18.7</v>
      </c>
      <c r="G3243" t="str">
        <f>IFERROR(INDEX(tEditais[Órgão],MATCH(tItens[[#This Row],[Edital]],tEditais[Edital],0)),"")</f>
        <v>MUNICIPIO DE AMPARO DO SERRA</v>
      </c>
      <c r="H3243" t="str">
        <f>IFERROR(INDEX(tEditais[UF],MATCH(tItens[[#This Row],[Edital]],tEditais[Edital],0)),"")</f>
        <v>MG</v>
      </c>
      <c r="I3243" s="11">
        <f>IFERROR(INDEX(tEditais[Encerramento],MATCH(tItens[[#This Row],[Edital]],tEditais[Edital],0)),"")</f>
        <v>46309.333333333336</v>
      </c>
      <c r="J3243" t="str">
        <f>IFERROR(INDEX(tProdutos[Classe],MATCH(tItens[[#This Row],[Produto]],tProdutos[Produto],0)),"produto não cadastrado")</f>
        <v>FORA</v>
      </c>
      <c r="K3243" s="12">
        <f>tItens[[#This Row],[Qtd]]*tItens[[#This Row],[Vlr unit]]</f>
        <v>748</v>
      </c>
      <c r="L3243" s="6">
        <f>IFERROR(IF(INDEX(tProdutos[Desconto homologado],MATCH(tItens[[#This Row],[Produto]],tProdutos[Produto],0))="",DescontoPadrao,INDEX(tProdutos[Desconto homologado],MATCH(tItens[[#This Row],[Produto]],tProdutos[Produto],0))),DescontoPadrao)</f>
        <v>0.24924924924924899</v>
      </c>
      <c r="M3243" s="12">
        <f>tItens[[#This Row],[Valor]]*(1-tItens[[#This Row],[Desconto]])</f>
        <v>561.5615615615618</v>
      </c>
      <c r="N3243" t="str">
        <f>IFERROR(INDEX(tProdutos[Foco],MATCH(tItens[[#This Row],[Produto]],tProdutos[Produto],0)),"Não")</f>
        <v>Não</v>
      </c>
      <c r="O3243" t="str">
        <f>IFERROR(INDEX(tEditais[SRP],MATCH(tItens[[#This Row],[Edital]],tEditais[Edital],0)),"Não")</f>
        <v>Não</v>
      </c>
      <c r="P3243" s="4">
        <f>IF(COUNTIFS(INDEX(tItens[Edital],1):tItens[[#This Row],[Edital]],tItens[[#This Row],[Edital]],INDEX(tItens[Produto],1):tItens[[#This Row],[Produto]],tItens[[#This Row],[Produto]])=1,1,0)</f>
        <v>0</v>
      </c>
    </row>
    <row r="3244" spans="1:16" x14ac:dyDescent="0.25">
      <c r="A3244" t="s">
        <v>1430</v>
      </c>
      <c r="B3244">
        <v>110</v>
      </c>
      <c r="C3244" t="s">
        <v>6149</v>
      </c>
      <c r="D3244" t="s">
        <v>69</v>
      </c>
      <c r="E3244" s="13">
        <v>100</v>
      </c>
      <c r="F3244" s="12">
        <v>2.27</v>
      </c>
      <c r="G3244" t="str">
        <f>IFERROR(INDEX(tEditais[Órgão],MATCH(tItens[[#This Row],[Edital]],tEditais[Edital],0)),"")</f>
        <v>MUNICIPIO DE AMPARO DO SERRA</v>
      </c>
      <c r="H3244" t="str">
        <f>IFERROR(INDEX(tEditais[UF],MATCH(tItens[[#This Row],[Edital]],tEditais[Edital],0)),"")</f>
        <v>MG</v>
      </c>
      <c r="I3244" s="11">
        <f>IFERROR(INDEX(tEditais[Encerramento],MATCH(tItens[[#This Row],[Edital]],tEditais[Edital],0)),"")</f>
        <v>46309.333333333336</v>
      </c>
      <c r="J3244" t="str">
        <f>IFERROR(INDEX(tProdutos[Classe],MATCH(tItens[[#This Row],[Produto]],tProdutos[Produto],0)),"produto não cadastrado")</f>
        <v>NÚCLEO</v>
      </c>
      <c r="K3244" s="12">
        <f>tItens[[#This Row],[Qtd]]*tItens[[#This Row],[Vlr unit]]</f>
        <v>227</v>
      </c>
      <c r="L3244" s="6">
        <f>IFERROR(IF(INDEX(tProdutos[Desconto homologado],MATCH(tItens[[#This Row],[Produto]],tProdutos[Produto],0))="",DescontoPadrao,INDEX(tProdutos[Desconto homologado],MATCH(tItens[[#This Row],[Produto]],tProdutos[Produto],0))),DescontoPadrao)</f>
        <v>0.38829259638568803</v>
      </c>
      <c r="M3244" s="12">
        <f>tItens[[#This Row],[Valor]]*(1-tItens[[#This Row],[Desconto]])</f>
        <v>138.85758062044883</v>
      </c>
      <c r="N3244" t="str">
        <f>IFERROR(INDEX(tProdutos[Foco],MATCH(tItens[[#This Row],[Produto]],tProdutos[Produto],0)),"Não")</f>
        <v>Não</v>
      </c>
      <c r="O3244" t="str">
        <f>IFERROR(INDEX(tEditais[SRP],MATCH(tItens[[#This Row],[Edital]],tEditais[Edital],0)),"Não")</f>
        <v>Não</v>
      </c>
      <c r="P3244" s="4">
        <f>IF(COUNTIFS(INDEX(tItens[Edital],1):tItens[[#This Row],[Edital]],tItens[[#This Row],[Edital]],INDEX(tItens[Produto],1):tItens[[#This Row],[Produto]],tItens[[#This Row],[Produto]])=1,1,0)</f>
        <v>1</v>
      </c>
    </row>
    <row r="3245" spans="1:16" x14ac:dyDescent="0.25">
      <c r="A3245" t="s">
        <v>1430</v>
      </c>
      <c r="B3245">
        <v>111</v>
      </c>
      <c r="C3245" t="s">
        <v>6150</v>
      </c>
      <c r="D3245" t="s">
        <v>69</v>
      </c>
      <c r="E3245" s="13">
        <v>100</v>
      </c>
      <c r="F3245" s="12">
        <v>1.19</v>
      </c>
      <c r="G3245" t="str">
        <f>IFERROR(INDEX(tEditais[Órgão],MATCH(tItens[[#This Row],[Edital]],tEditais[Edital],0)),"")</f>
        <v>MUNICIPIO DE AMPARO DO SERRA</v>
      </c>
      <c r="H3245" t="str">
        <f>IFERROR(INDEX(tEditais[UF],MATCH(tItens[[#This Row],[Edital]],tEditais[Edital],0)),"")</f>
        <v>MG</v>
      </c>
      <c r="I3245" s="11">
        <f>IFERROR(INDEX(tEditais[Encerramento],MATCH(tItens[[#This Row],[Edital]],tEditais[Edital],0)),"")</f>
        <v>46309.333333333336</v>
      </c>
      <c r="J3245" t="str">
        <f>IFERROR(INDEX(tProdutos[Classe],MATCH(tItens[[#This Row],[Produto]],tProdutos[Produto],0)),"produto não cadastrado")</f>
        <v>NÚCLEO</v>
      </c>
      <c r="K3245" s="12">
        <f>tItens[[#This Row],[Qtd]]*tItens[[#This Row],[Vlr unit]]</f>
        <v>119</v>
      </c>
      <c r="L3245" s="6">
        <f>IFERROR(IF(INDEX(tProdutos[Desconto homologado],MATCH(tItens[[#This Row],[Produto]],tProdutos[Produto],0))="",DescontoPadrao,INDEX(tProdutos[Desconto homologado],MATCH(tItens[[#This Row],[Produto]],tProdutos[Produto],0))),DescontoPadrao)</f>
        <v>0.38829259638568803</v>
      </c>
      <c r="M3245" s="12">
        <f>tItens[[#This Row],[Valor]]*(1-tItens[[#This Row],[Desconto]])</f>
        <v>72.793181030103128</v>
      </c>
      <c r="N3245" t="str">
        <f>IFERROR(INDEX(tProdutos[Foco],MATCH(tItens[[#This Row],[Produto]],tProdutos[Produto],0)),"Não")</f>
        <v>Não</v>
      </c>
      <c r="O3245" t="str">
        <f>IFERROR(INDEX(tEditais[SRP],MATCH(tItens[[#This Row],[Edital]],tEditais[Edital],0)),"Não")</f>
        <v>Não</v>
      </c>
      <c r="P3245" s="4">
        <f>IF(COUNTIFS(INDEX(tItens[Edital],1):tItens[[#This Row],[Edital]],tItens[[#This Row],[Edital]],INDEX(tItens[Produto],1):tItens[[#This Row],[Produto]],tItens[[#This Row],[Produto]])=1,1,0)</f>
        <v>0</v>
      </c>
    </row>
    <row r="3246" spans="1:16" x14ac:dyDescent="0.25">
      <c r="A3246" t="s">
        <v>1430</v>
      </c>
      <c r="B3246">
        <v>112</v>
      </c>
      <c r="C3246" t="s">
        <v>6151</v>
      </c>
      <c r="D3246" t="s">
        <v>69</v>
      </c>
      <c r="E3246" s="13">
        <v>200</v>
      </c>
      <c r="F3246" s="12">
        <v>1.21</v>
      </c>
      <c r="G3246" t="str">
        <f>IFERROR(INDEX(tEditais[Órgão],MATCH(tItens[[#This Row],[Edital]],tEditais[Edital],0)),"")</f>
        <v>MUNICIPIO DE AMPARO DO SERRA</v>
      </c>
      <c r="H3246" t="str">
        <f>IFERROR(INDEX(tEditais[UF],MATCH(tItens[[#This Row],[Edital]],tEditais[Edital],0)),"")</f>
        <v>MG</v>
      </c>
      <c r="I3246" s="11">
        <f>IFERROR(INDEX(tEditais[Encerramento],MATCH(tItens[[#This Row],[Edital]],tEditais[Edital],0)),"")</f>
        <v>46309.333333333336</v>
      </c>
      <c r="J3246" t="str">
        <f>IFERROR(INDEX(tProdutos[Classe],MATCH(tItens[[#This Row],[Produto]],tProdutos[Produto],0)),"produto não cadastrado")</f>
        <v>NÚCLEO</v>
      </c>
      <c r="K3246" s="12">
        <f>tItens[[#This Row],[Qtd]]*tItens[[#This Row],[Vlr unit]]</f>
        <v>242</v>
      </c>
      <c r="L3246" s="6">
        <f>IFERROR(IF(INDEX(tProdutos[Desconto homologado],MATCH(tItens[[#This Row],[Produto]],tProdutos[Produto],0))="",DescontoPadrao,INDEX(tProdutos[Desconto homologado],MATCH(tItens[[#This Row],[Produto]],tProdutos[Produto],0))),DescontoPadrao)</f>
        <v>0.38829259638568803</v>
      </c>
      <c r="M3246" s="12">
        <f>tItens[[#This Row],[Valor]]*(1-tItens[[#This Row],[Desconto]])</f>
        <v>148.0331916746635</v>
      </c>
      <c r="N3246" t="str">
        <f>IFERROR(INDEX(tProdutos[Foco],MATCH(tItens[[#This Row],[Produto]],tProdutos[Produto],0)),"Não")</f>
        <v>Não</v>
      </c>
      <c r="O3246" t="str">
        <f>IFERROR(INDEX(tEditais[SRP],MATCH(tItens[[#This Row],[Edital]],tEditais[Edital],0)),"Não")</f>
        <v>Não</v>
      </c>
      <c r="P3246" s="4">
        <f>IF(COUNTIFS(INDEX(tItens[Edital],1):tItens[[#This Row],[Edital]],tItens[[#This Row],[Edital]],INDEX(tItens[Produto],1):tItens[[#This Row],[Produto]],tItens[[#This Row],[Produto]])=1,1,0)</f>
        <v>0</v>
      </c>
    </row>
    <row r="3247" spans="1:16" x14ac:dyDescent="0.25">
      <c r="A3247" t="s">
        <v>1430</v>
      </c>
      <c r="B3247">
        <v>113</v>
      </c>
      <c r="C3247" t="s">
        <v>6152</v>
      </c>
      <c r="D3247" t="s">
        <v>247</v>
      </c>
      <c r="E3247" s="13">
        <v>600</v>
      </c>
      <c r="F3247" s="12">
        <v>1.74</v>
      </c>
      <c r="G3247" t="str">
        <f>IFERROR(INDEX(tEditais[Órgão],MATCH(tItens[[#This Row],[Edital]],tEditais[Edital],0)),"")</f>
        <v>MUNICIPIO DE AMPARO DO SERRA</v>
      </c>
      <c r="H3247" t="str">
        <f>IFERROR(INDEX(tEditais[UF],MATCH(tItens[[#This Row],[Edital]],tEditais[Edital],0)),"")</f>
        <v>MG</v>
      </c>
      <c r="I3247" s="11">
        <f>IFERROR(INDEX(tEditais[Encerramento],MATCH(tItens[[#This Row],[Edital]],tEditais[Edital],0)),"")</f>
        <v>46309.333333333336</v>
      </c>
      <c r="J3247" t="str">
        <f>IFERROR(INDEX(tProdutos[Classe],MATCH(tItens[[#This Row],[Produto]],tProdutos[Produto],0)),"produto não cadastrado")</f>
        <v>FORA</v>
      </c>
      <c r="K3247" s="12">
        <f>tItens[[#This Row],[Qtd]]*tItens[[#This Row],[Vlr unit]]</f>
        <v>1044</v>
      </c>
      <c r="L3247" s="6">
        <f>IFERROR(IF(INDEX(tProdutos[Desconto homologado],MATCH(tItens[[#This Row],[Produto]],tProdutos[Produto],0))="",DescontoPadrao,INDEX(tProdutos[Desconto homologado],MATCH(tItens[[#This Row],[Produto]],tProdutos[Produto],0))),DescontoPadrao)</f>
        <v>0.27353256199762999</v>
      </c>
      <c r="M3247" s="12">
        <f>tItens[[#This Row],[Valor]]*(1-tItens[[#This Row],[Desconto]])</f>
        <v>758.43200527447425</v>
      </c>
      <c r="N3247" t="str">
        <f>IFERROR(INDEX(tProdutos[Foco],MATCH(tItens[[#This Row],[Produto]],tProdutos[Produto],0)),"Não")</f>
        <v>Não</v>
      </c>
      <c r="O3247" t="str">
        <f>IFERROR(INDEX(tEditais[SRP],MATCH(tItens[[#This Row],[Edital]],tEditais[Edital],0)),"Não")</f>
        <v>Não</v>
      </c>
      <c r="P3247" s="4">
        <f>IF(COUNTIFS(INDEX(tItens[Edital],1):tItens[[#This Row],[Edital]],tItens[[#This Row],[Edital]],INDEX(tItens[Produto],1):tItens[[#This Row],[Produto]],tItens[[#This Row],[Produto]])=1,1,0)</f>
        <v>1</v>
      </c>
    </row>
    <row r="3248" spans="1:16" x14ac:dyDescent="0.25">
      <c r="A3248" t="s">
        <v>1430</v>
      </c>
      <c r="B3248">
        <v>114</v>
      </c>
      <c r="C3248" t="s">
        <v>6153</v>
      </c>
      <c r="D3248" t="s">
        <v>287</v>
      </c>
      <c r="E3248" s="13">
        <v>600</v>
      </c>
      <c r="F3248" s="12">
        <v>2.31</v>
      </c>
      <c r="G3248" t="str">
        <f>IFERROR(INDEX(tEditais[Órgão],MATCH(tItens[[#This Row],[Edital]],tEditais[Edital],0)),"")</f>
        <v>MUNICIPIO DE AMPARO DO SERRA</v>
      </c>
      <c r="H3248" t="str">
        <f>IFERROR(INDEX(tEditais[UF],MATCH(tItens[[#This Row],[Edital]],tEditais[Edital],0)),"")</f>
        <v>MG</v>
      </c>
      <c r="I3248" s="11">
        <f>IFERROR(INDEX(tEditais[Encerramento],MATCH(tItens[[#This Row],[Edital]],tEditais[Edital],0)),"")</f>
        <v>46309.333333333336</v>
      </c>
      <c r="J3248" t="str">
        <f>IFERROR(INDEX(tProdutos[Classe],MATCH(tItens[[#This Row],[Produto]],tProdutos[Produto],0)),"produto não cadastrado")</f>
        <v>FORA</v>
      </c>
      <c r="K3248" s="12">
        <f>tItens[[#This Row],[Qtd]]*tItens[[#This Row],[Vlr unit]]</f>
        <v>1386</v>
      </c>
      <c r="L3248" s="6">
        <f>IFERROR(IF(INDEX(tProdutos[Desconto homologado],MATCH(tItens[[#This Row],[Produto]],tProdutos[Produto],0))="",DescontoPadrao,INDEX(tProdutos[Desconto homologado],MATCH(tItens[[#This Row],[Produto]],tProdutos[Produto],0))),DescontoPadrao)</f>
        <v>0.46344491178876002</v>
      </c>
      <c r="M3248" s="12">
        <f>tItens[[#This Row],[Valor]]*(1-tItens[[#This Row],[Desconto]])</f>
        <v>743.6653522607786</v>
      </c>
      <c r="N3248" t="str">
        <f>IFERROR(INDEX(tProdutos[Foco],MATCH(tItens[[#This Row],[Produto]],tProdutos[Produto],0)),"Não")</f>
        <v>Não</v>
      </c>
      <c r="O3248" t="str">
        <f>IFERROR(INDEX(tEditais[SRP],MATCH(tItens[[#This Row],[Edital]],tEditais[Edital],0)),"Não")</f>
        <v>Não</v>
      </c>
      <c r="P3248" s="4">
        <f>IF(COUNTIFS(INDEX(tItens[Edital],1):tItens[[#This Row],[Edital]],tItens[[#This Row],[Edital]],INDEX(tItens[Produto],1):tItens[[#This Row],[Produto]],tItens[[#This Row],[Produto]])=1,1,0)</f>
        <v>1</v>
      </c>
    </row>
    <row r="3249" spans="1:16" x14ac:dyDescent="0.25">
      <c r="A3249" t="s">
        <v>1430</v>
      </c>
      <c r="B3249">
        <v>117</v>
      </c>
      <c r="C3249" t="s">
        <v>6154</v>
      </c>
      <c r="D3249" t="s">
        <v>365</v>
      </c>
      <c r="E3249" s="13">
        <v>500</v>
      </c>
      <c r="F3249" s="12">
        <v>329.93</v>
      </c>
      <c r="G3249" t="str">
        <f>IFERROR(INDEX(tEditais[Órgão],MATCH(tItens[[#This Row],[Edital]],tEditais[Edital],0)),"")</f>
        <v>MUNICIPIO DE AMPARO DO SERRA</v>
      </c>
      <c r="H3249" t="str">
        <f>IFERROR(INDEX(tEditais[UF],MATCH(tItens[[#This Row],[Edital]],tEditais[Edital],0)),"")</f>
        <v>MG</v>
      </c>
      <c r="I3249" s="11">
        <f>IFERROR(INDEX(tEditais[Encerramento],MATCH(tItens[[#This Row],[Edital]],tEditais[Edital],0)),"")</f>
        <v>46309.333333333336</v>
      </c>
      <c r="J3249" t="str">
        <f>IFERROR(INDEX(tProdutos[Classe],MATCH(tItens[[#This Row],[Produto]],tProdutos[Produto],0)),"produto não cadastrado")</f>
        <v>FORA</v>
      </c>
      <c r="K3249" s="12">
        <f>tItens[[#This Row],[Qtd]]*tItens[[#This Row],[Vlr unit]]</f>
        <v>164965</v>
      </c>
      <c r="L3249" s="6">
        <f>IFERROR(IF(INDEX(tProdutos[Desconto homologado],MATCH(tItens[[#This Row],[Produto]],tProdutos[Produto],0))="",DescontoPadrao,INDEX(tProdutos[Desconto homologado],MATCH(tItens[[#This Row],[Produto]],tProdutos[Produto],0))),DescontoPadrao)</f>
        <v>0.41120529659182697</v>
      </c>
      <c r="M3249" s="12">
        <f>tItens[[#This Row],[Valor]]*(1-tItens[[#This Row],[Desconto]])</f>
        <v>97130.518247729269</v>
      </c>
      <c r="N3249" t="str">
        <f>IFERROR(INDEX(tProdutos[Foco],MATCH(tItens[[#This Row],[Produto]],tProdutos[Produto],0)),"Não")</f>
        <v>Não</v>
      </c>
      <c r="O3249" t="str">
        <f>IFERROR(INDEX(tEditais[SRP],MATCH(tItens[[#This Row],[Edital]],tEditais[Edital],0)),"Não")</f>
        <v>Não</v>
      </c>
      <c r="P3249" s="4">
        <f>IF(COUNTIFS(INDEX(tItens[Edital],1):tItens[[#This Row],[Edital]],tItens[[#This Row],[Edital]],INDEX(tItens[Produto],1):tItens[[#This Row],[Produto]],tItens[[#This Row],[Produto]])=1,1,0)</f>
        <v>1</v>
      </c>
    </row>
    <row r="3250" spans="1:16" x14ac:dyDescent="0.25">
      <c r="A3250" t="s">
        <v>1430</v>
      </c>
      <c r="B3250">
        <v>118</v>
      </c>
      <c r="C3250" t="s">
        <v>6155</v>
      </c>
      <c r="D3250" t="s">
        <v>379</v>
      </c>
      <c r="E3250" s="13">
        <v>500</v>
      </c>
      <c r="F3250" s="12">
        <v>329.93</v>
      </c>
      <c r="G3250" t="str">
        <f>IFERROR(INDEX(tEditais[Órgão],MATCH(tItens[[#This Row],[Edital]],tEditais[Edital],0)),"")</f>
        <v>MUNICIPIO DE AMPARO DO SERRA</v>
      </c>
      <c r="H3250" t="str">
        <f>IFERROR(INDEX(tEditais[UF],MATCH(tItens[[#This Row],[Edital]],tEditais[Edital],0)),"")</f>
        <v>MG</v>
      </c>
      <c r="I3250" s="11">
        <f>IFERROR(INDEX(tEditais[Encerramento],MATCH(tItens[[#This Row],[Edital]],tEditais[Edital],0)),"")</f>
        <v>46309.333333333336</v>
      </c>
      <c r="J3250" t="str">
        <f>IFERROR(INDEX(tProdutos[Classe],MATCH(tItens[[#This Row],[Produto]],tProdutos[Produto],0)),"produto não cadastrado")</f>
        <v>FORA</v>
      </c>
      <c r="K3250" s="12">
        <f>tItens[[#This Row],[Qtd]]*tItens[[#This Row],[Vlr unit]]</f>
        <v>164965</v>
      </c>
      <c r="L3250" s="6">
        <f>IFERROR(IF(INDEX(tProdutos[Desconto homologado],MATCH(tItens[[#This Row],[Produto]],tProdutos[Produto],0))="",DescontoPadrao,INDEX(tProdutos[Desconto homologado],MATCH(tItens[[#This Row],[Produto]],tProdutos[Produto],0))),DescontoPadrao)</f>
        <v>0.49504950495049499</v>
      </c>
      <c r="M3250" s="12">
        <f>tItens[[#This Row],[Valor]]*(1-tItens[[#This Row],[Desconto]])</f>
        <v>83299.158415841579</v>
      </c>
      <c r="N3250" t="str">
        <f>IFERROR(INDEX(tProdutos[Foco],MATCH(tItens[[#This Row],[Produto]],tProdutos[Produto],0)),"Não")</f>
        <v>Não</v>
      </c>
      <c r="O3250" t="str">
        <f>IFERROR(INDEX(tEditais[SRP],MATCH(tItens[[#This Row],[Edital]],tEditais[Edital],0)),"Não")</f>
        <v>Não</v>
      </c>
      <c r="P3250" s="4">
        <f>IF(COUNTIFS(INDEX(tItens[Edital],1):tItens[[#This Row],[Edital]],tItens[[#This Row],[Edital]],INDEX(tItens[Produto],1):tItens[[#This Row],[Produto]],tItens[[#This Row],[Produto]])=1,1,0)</f>
        <v>1</v>
      </c>
    </row>
    <row r="3251" spans="1:16" x14ac:dyDescent="0.25">
      <c r="A3251" t="s">
        <v>1430</v>
      </c>
      <c r="B3251">
        <v>119</v>
      </c>
      <c r="C3251" t="s">
        <v>6156</v>
      </c>
      <c r="D3251" t="s">
        <v>247</v>
      </c>
      <c r="E3251" s="13">
        <v>600</v>
      </c>
      <c r="F3251" s="12">
        <v>329.93</v>
      </c>
      <c r="G3251" t="str">
        <f>IFERROR(INDEX(tEditais[Órgão],MATCH(tItens[[#This Row],[Edital]],tEditais[Edital],0)),"")</f>
        <v>MUNICIPIO DE AMPARO DO SERRA</v>
      </c>
      <c r="H3251" t="str">
        <f>IFERROR(INDEX(tEditais[UF],MATCH(tItens[[#This Row],[Edital]],tEditais[Edital],0)),"")</f>
        <v>MG</v>
      </c>
      <c r="I3251" s="11">
        <f>IFERROR(INDEX(tEditais[Encerramento],MATCH(tItens[[#This Row],[Edital]],tEditais[Edital],0)),"")</f>
        <v>46309.333333333336</v>
      </c>
      <c r="J3251" t="str">
        <f>IFERROR(INDEX(tProdutos[Classe],MATCH(tItens[[#This Row],[Produto]],tProdutos[Produto],0)),"produto não cadastrado")</f>
        <v>FORA</v>
      </c>
      <c r="K3251" s="12">
        <f>tItens[[#This Row],[Qtd]]*tItens[[#This Row],[Vlr unit]]</f>
        <v>197958</v>
      </c>
      <c r="L3251" s="6">
        <f>IFERROR(IF(INDEX(tProdutos[Desconto homologado],MATCH(tItens[[#This Row],[Produto]],tProdutos[Produto],0))="",DescontoPadrao,INDEX(tProdutos[Desconto homologado],MATCH(tItens[[#This Row],[Produto]],tProdutos[Produto],0))),DescontoPadrao)</f>
        <v>0.27353256199762999</v>
      </c>
      <c r="M3251" s="12">
        <f>tItens[[#This Row],[Valor]]*(1-tItens[[#This Row],[Desconto]])</f>
        <v>143810.04109207317</v>
      </c>
      <c r="N3251" t="str">
        <f>IFERROR(INDEX(tProdutos[Foco],MATCH(tItens[[#This Row],[Produto]],tProdutos[Produto],0)),"Não")</f>
        <v>Não</v>
      </c>
      <c r="O3251" t="str">
        <f>IFERROR(INDEX(tEditais[SRP],MATCH(tItens[[#This Row],[Edital]],tEditais[Edital],0)),"Não")</f>
        <v>Não</v>
      </c>
      <c r="P3251" s="4">
        <f>IF(COUNTIFS(INDEX(tItens[Edital],1):tItens[[#This Row],[Edital]],tItens[[#This Row],[Edital]],INDEX(tItens[Produto],1):tItens[[#This Row],[Produto]],tItens[[#This Row],[Produto]])=1,1,0)</f>
        <v>0</v>
      </c>
    </row>
    <row r="3252" spans="1:16" x14ac:dyDescent="0.25">
      <c r="A3252" t="s">
        <v>1430</v>
      </c>
      <c r="B3252">
        <v>120</v>
      </c>
      <c r="C3252" t="s">
        <v>6157</v>
      </c>
      <c r="D3252" t="s">
        <v>287</v>
      </c>
      <c r="E3252" s="13">
        <v>600</v>
      </c>
      <c r="F3252" s="12">
        <v>329.93</v>
      </c>
      <c r="G3252" t="str">
        <f>IFERROR(INDEX(tEditais[Órgão],MATCH(tItens[[#This Row],[Edital]],tEditais[Edital],0)),"")</f>
        <v>MUNICIPIO DE AMPARO DO SERRA</v>
      </c>
      <c r="H3252" t="str">
        <f>IFERROR(INDEX(tEditais[UF],MATCH(tItens[[#This Row],[Edital]],tEditais[Edital],0)),"")</f>
        <v>MG</v>
      </c>
      <c r="I3252" s="11">
        <f>IFERROR(INDEX(tEditais[Encerramento],MATCH(tItens[[#This Row],[Edital]],tEditais[Edital],0)),"")</f>
        <v>46309.333333333336</v>
      </c>
      <c r="J3252" t="str">
        <f>IFERROR(INDEX(tProdutos[Classe],MATCH(tItens[[#This Row],[Produto]],tProdutos[Produto],0)),"produto não cadastrado")</f>
        <v>FORA</v>
      </c>
      <c r="K3252" s="12">
        <f>tItens[[#This Row],[Qtd]]*tItens[[#This Row],[Vlr unit]]</f>
        <v>197958</v>
      </c>
      <c r="L3252" s="6">
        <f>IFERROR(IF(INDEX(tProdutos[Desconto homologado],MATCH(tItens[[#This Row],[Produto]],tProdutos[Produto],0))="",DescontoPadrao,INDEX(tProdutos[Desconto homologado],MATCH(tItens[[#This Row],[Produto]],tProdutos[Produto],0))),DescontoPadrao)</f>
        <v>0.46344491178876002</v>
      </c>
      <c r="M3252" s="12">
        <f>tItens[[#This Row],[Valor]]*(1-tItens[[#This Row],[Desconto]])</f>
        <v>106215.37215212065</v>
      </c>
      <c r="N3252" t="str">
        <f>IFERROR(INDEX(tProdutos[Foco],MATCH(tItens[[#This Row],[Produto]],tProdutos[Produto],0)),"Não")</f>
        <v>Não</v>
      </c>
      <c r="O3252" t="str">
        <f>IFERROR(INDEX(tEditais[SRP],MATCH(tItens[[#This Row],[Edital]],tEditais[Edital],0)),"Não")</f>
        <v>Não</v>
      </c>
      <c r="P3252" s="4">
        <f>IF(COUNTIFS(INDEX(tItens[Edital],1):tItens[[#This Row],[Edital]],tItens[[#This Row],[Edital]],INDEX(tItens[Produto],1):tItens[[#This Row],[Produto]],tItens[[#This Row],[Produto]])=1,1,0)</f>
        <v>0</v>
      </c>
    </row>
    <row r="3253" spans="1:16" x14ac:dyDescent="0.25">
      <c r="A3253" t="s">
        <v>1430</v>
      </c>
      <c r="B3253">
        <v>149</v>
      </c>
      <c r="C3253" t="s">
        <v>6158</v>
      </c>
      <c r="D3253" t="s">
        <v>62</v>
      </c>
      <c r="E3253" s="13">
        <v>3000</v>
      </c>
      <c r="F3253" s="12">
        <v>8.11</v>
      </c>
      <c r="G3253" t="str">
        <f>IFERROR(INDEX(tEditais[Órgão],MATCH(tItens[[#This Row],[Edital]],tEditais[Edital],0)),"")</f>
        <v>MUNICIPIO DE AMPARO DO SERRA</v>
      </c>
      <c r="H3253" t="str">
        <f>IFERROR(INDEX(tEditais[UF],MATCH(tItens[[#This Row],[Edital]],tEditais[Edital],0)),"")</f>
        <v>MG</v>
      </c>
      <c r="I3253" s="11">
        <f>IFERROR(INDEX(tEditais[Encerramento],MATCH(tItens[[#This Row],[Edital]],tEditais[Edital],0)),"")</f>
        <v>46309.333333333336</v>
      </c>
      <c r="J3253" t="str">
        <f>IFERROR(INDEX(tProdutos[Classe],MATCH(tItens[[#This Row],[Produto]],tProdutos[Produto],0)),"produto não cadastrado")</f>
        <v>NÚCLEO</v>
      </c>
      <c r="K3253" s="12">
        <f>tItens[[#This Row],[Qtd]]*tItens[[#This Row],[Vlr unit]]</f>
        <v>24330</v>
      </c>
      <c r="L3253" s="6">
        <f>IFERROR(IF(INDEX(tProdutos[Desconto homologado],MATCH(tItens[[#This Row],[Produto]],tProdutos[Produto],0))="",DescontoPadrao,INDEX(tProdutos[Desconto homologado],MATCH(tItens[[#This Row],[Produto]],tProdutos[Produto],0))),DescontoPadrao)</f>
        <v>0.3</v>
      </c>
      <c r="M3253" s="12">
        <f>tItens[[#This Row],[Valor]]*(1-tItens[[#This Row],[Desconto]])</f>
        <v>17031</v>
      </c>
      <c r="N3253" t="str">
        <f>IFERROR(INDEX(tProdutos[Foco],MATCH(tItens[[#This Row],[Produto]],tProdutos[Produto],0)),"Não")</f>
        <v>Sim</v>
      </c>
      <c r="O3253" t="str">
        <f>IFERROR(INDEX(tEditais[SRP],MATCH(tItens[[#This Row],[Edital]],tEditais[Edital],0)),"Não")</f>
        <v>Não</v>
      </c>
      <c r="P3253" s="4">
        <f>IF(COUNTIFS(INDEX(tItens[Edital],1):tItens[[#This Row],[Edital]],tItens[[#This Row],[Edital]],INDEX(tItens[Produto],1):tItens[[#This Row],[Produto]],tItens[[#This Row],[Produto]])=1,1,0)</f>
        <v>1</v>
      </c>
    </row>
    <row r="3254" spans="1:16" x14ac:dyDescent="0.25">
      <c r="A3254" t="s">
        <v>1430</v>
      </c>
      <c r="B3254">
        <v>150</v>
      </c>
      <c r="C3254" t="s">
        <v>6159</v>
      </c>
      <c r="D3254" t="s">
        <v>611</v>
      </c>
      <c r="E3254" s="13">
        <v>8</v>
      </c>
      <c r="F3254" s="12">
        <v>189.54</v>
      </c>
      <c r="G3254" t="str">
        <f>IFERROR(INDEX(tEditais[Órgão],MATCH(tItens[[#This Row],[Edital]],tEditais[Edital],0)),"")</f>
        <v>MUNICIPIO DE AMPARO DO SERRA</v>
      </c>
      <c r="H3254" t="str">
        <f>IFERROR(INDEX(tEditais[UF],MATCH(tItens[[#This Row],[Edital]],tEditais[Edital],0)),"")</f>
        <v>MG</v>
      </c>
      <c r="I3254" s="11">
        <f>IFERROR(INDEX(tEditais[Encerramento],MATCH(tItens[[#This Row],[Edital]],tEditais[Edital],0)),"")</f>
        <v>46309.333333333336</v>
      </c>
      <c r="J3254" t="str">
        <f>IFERROR(INDEX(tProdutos[Classe],MATCH(tItens[[#This Row],[Produto]],tProdutos[Produto],0)),"produto não cadastrado")</f>
        <v>FILA REBASE</v>
      </c>
      <c r="K3254" s="12">
        <f>tItens[[#This Row],[Qtd]]*tItens[[#This Row],[Vlr unit]]</f>
        <v>1516.32</v>
      </c>
      <c r="L3254" s="6">
        <f>IFERROR(IF(INDEX(tProdutos[Desconto homologado],MATCH(tItens[[#This Row],[Produto]],tProdutos[Produto],0))="",DescontoPadrao,INDEX(tProdutos[Desconto homologado],MATCH(tItens[[#This Row],[Produto]],tProdutos[Produto],0))),DescontoPadrao)</f>
        <v>0.3</v>
      </c>
      <c r="M3254" s="12">
        <f>tItens[[#This Row],[Valor]]*(1-tItens[[#This Row],[Desconto]])</f>
        <v>1061.424</v>
      </c>
      <c r="N3254" t="str">
        <f>IFERROR(INDEX(tProdutos[Foco],MATCH(tItens[[#This Row],[Produto]],tProdutos[Produto],0)),"Não")</f>
        <v>Não</v>
      </c>
      <c r="O3254" t="str">
        <f>IFERROR(INDEX(tEditais[SRP],MATCH(tItens[[#This Row],[Edital]],tEditais[Edital],0)),"Não")</f>
        <v>Não</v>
      </c>
      <c r="P3254" s="4">
        <f>IF(COUNTIFS(INDEX(tItens[Edital],1):tItens[[#This Row],[Edital]],tItens[[#This Row],[Edital]],INDEX(tItens[Produto],1):tItens[[#This Row],[Produto]],tItens[[#This Row],[Produto]])=1,1,0)</f>
        <v>1</v>
      </c>
    </row>
    <row r="3255" spans="1:16" x14ac:dyDescent="0.25">
      <c r="A3255" t="s">
        <v>1430</v>
      </c>
      <c r="B3255">
        <v>151</v>
      </c>
      <c r="C3255" t="s">
        <v>6160</v>
      </c>
      <c r="D3255" t="s">
        <v>611</v>
      </c>
      <c r="E3255" s="13">
        <v>8</v>
      </c>
      <c r="F3255" s="12">
        <v>166.39</v>
      </c>
      <c r="G3255" t="str">
        <f>IFERROR(INDEX(tEditais[Órgão],MATCH(tItens[[#This Row],[Edital]],tEditais[Edital],0)),"")</f>
        <v>MUNICIPIO DE AMPARO DO SERRA</v>
      </c>
      <c r="H3255" t="str">
        <f>IFERROR(INDEX(tEditais[UF],MATCH(tItens[[#This Row],[Edital]],tEditais[Edital],0)),"")</f>
        <v>MG</v>
      </c>
      <c r="I3255" s="11">
        <f>IFERROR(INDEX(tEditais[Encerramento],MATCH(tItens[[#This Row],[Edital]],tEditais[Edital],0)),"")</f>
        <v>46309.333333333336</v>
      </c>
      <c r="J3255" t="str">
        <f>IFERROR(INDEX(tProdutos[Classe],MATCH(tItens[[#This Row],[Produto]],tProdutos[Produto],0)),"produto não cadastrado")</f>
        <v>FILA REBASE</v>
      </c>
      <c r="K3255" s="12">
        <f>tItens[[#This Row],[Qtd]]*tItens[[#This Row],[Vlr unit]]</f>
        <v>1331.12</v>
      </c>
      <c r="L3255" s="6">
        <f>IFERROR(IF(INDEX(tProdutos[Desconto homologado],MATCH(tItens[[#This Row],[Produto]],tProdutos[Produto],0))="",DescontoPadrao,INDEX(tProdutos[Desconto homologado],MATCH(tItens[[#This Row],[Produto]],tProdutos[Produto],0))),DescontoPadrao)</f>
        <v>0.3</v>
      </c>
      <c r="M3255" s="12">
        <f>tItens[[#This Row],[Valor]]*(1-tItens[[#This Row],[Desconto]])</f>
        <v>931.78399999999988</v>
      </c>
      <c r="N3255" t="str">
        <f>IFERROR(INDEX(tProdutos[Foco],MATCH(tItens[[#This Row],[Produto]],tProdutos[Produto],0)),"Não")</f>
        <v>Não</v>
      </c>
      <c r="O3255" t="str">
        <f>IFERROR(INDEX(tEditais[SRP],MATCH(tItens[[#This Row],[Edital]],tEditais[Edital],0)),"Não")</f>
        <v>Não</v>
      </c>
      <c r="P3255" s="4">
        <f>IF(COUNTIFS(INDEX(tItens[Edital],1):tItens[[#This Row],[Edital]],tItens[[#This Row],[Edital]],INDEX(tItens[Produto],1):tItens[[#This Row],[Produto]],tItens[[#This Row],[Produto]])=1,1,0)</f>
        <v>0</v>
      </c>
    </row>
    <row r="3256" spans="1:16" x14ac:dyDescent="0.25">
      <c r="A3256" t="s">
        <v>1430</v>
      </c>
      <c r="B3256">
        <v>152</v>
      </c>
      <c r="C3256" t="s">
        <v>6161</v>
      </c>
      <c r="D3256" t="s">
        <v>611</v>
      </c>
      <c r="E3256" s="13">
        <v>8</v>
      </c>
      <c r="F3256" s="12">
        <v>18.440000000000001</v>
      </c>
      <c r="G3256" t="str">
        <f>IFERROR(INDEX(tEditais[Órgão],MATCH(tItens[[#This Row],[Edital]],tEditais[Edital],0)),"")</f>
        <v>MUNICIPIO DE AMPARO DO SERRA</v>
      </c>
      <c r="H3256" t="str">
        <f>IFERROR(INDEX(tEditais[UF],MATCH(tItens[[#This Row],[Edital]],tEditais[Edital],0)),"")</f>
        <v>MG</v>
      </c>
      <c r="I3256" s="11">
        <f>IFERROR(INDEX(tEditais[Encerramento],MATCH(tItens[[#This Row],[Edital]],tEditais[Edital],0)),"")</f>
        <v>46309.333333333336</v>
      </c>
      <c r="J3256" t="str">
        <f>IFERROR(INDEX(tProdutos[Classe],MATCH(tItens[[#This Row],[Produto]],tProdutos[Produto],0)),"produto não cadastrado")</f>
        <v>FILA REBASE</v>
      </c>
      <c r="K3256" s="12">
        <f>tItens[[#This Row],[Qtd]]*tItens[[#This Row],[Vlr unit]]</f>
        <v>147.52000000000001</v>
      </c>
      <c r="L3256" s="6">
        <f>IFERROR(IF(INDEX(tProdutos[Desconto homologado],MATCH(tItens[[#This Row],[Produto]],tProdutos[Produto],0))="",DescontoPadrao,INDEX(tProdutos[Desconto homologado],MATCH(tItens[[#This Row],[Produto]],tProdutos[Produto],0))),DescontoPadrao)</f>
        <v>0.3</v>
      </c>
      <c r="M3256" s="12">
        <f>tItens[[#This Row],[Valor]]*(1-tItens[[#This Row],[Desconto]])</f>
        <v>103.264</v>
      </c>
      <c r="N3256" t="str">
        <f>IFERROR(INDEX(tProdutos[Foco],MATCH(tItens[[#This Row],[Produto]],tProdutos[Produto],0)),"Não")</f>
        <v>Não</v>
      </c>
      <c r="O3256" t="str">
        <f>IFERROR(INDEX(tEditais[SRP],MATCH(tItens[[#This Row],[Edital]],tEditais[Edital],0)),"Não")</f>
        <v>Não</v>
      </c>
      <c r="P3256" s="4">
        <f>IF(COUNTIFS(INDEX(tItens[Edital],1):tItens[[#This Row],[Edital]],tItens[[#This Row],[Edital]],INDEX(tItens[Produto],1):tItens[[#This Row],[Produto]],tItens[[#This Row],[Produto]])=1,1,0)</f>
        <v>0</v>
      </c>
    </row>
    <row r="3257" spans="1:16" x14ac:dyDescent="0.25">
      <c r="A3257" t="s">
        <v>1430</v>
      </c>
      <c r="B3257">
        <v>155</v>
      </c>
      <c r="C3257" t="s">
        <v>6162</v>
      </c>
      <c r="D3257" t="s">
        <v>653</v>
      </c>
      <c r="E3257" s="13">
        <v>10</v>
      </c>
      <c r="F3257" s="12">
        <v>30.67</v>
      </c>
      <c r="G3257" t="str">
        <f>IFERROR(INDEX(tEditais[Órgão],MATCH(tItens[[#This Row],[Edital]],tEditais[Edital],0)),"")</f>
        <v>MUNICIPIO DE AMPARO DO SERRA</v>
      </c>
      <c r="H3257" t="str">
        <f>IFERROR(INDEX(tEditais[UF],MATCH(tItens[[#This Row],[Edital]],tEditais[Edital],0)),"")</f>
        <v>MG</v>
      </c>
      <c r="I3257" s="11">
        <f>IFERROR(INDEX(tEditais[Encerramento],MATCH(tItens[[#This Row],[Edital]],tEditais[Edital],0)),"")</f>
        <v>46309.333333333336</v>
      </c>
      <c r="J3257" t="str">
        <f>IFERROR(INDEX(tProdutos[Classe],MATCH(tItens[[#This Row],[Produto]],tProdutos[Produto],0)),"produto não cadastrado")</f>
        <v>FILA REBASE</v>
      </c>
      <c r="K3257" s="12">
        <f>tItens[[#This Row],[Qtd]]*tItens[[#This Row],[Vlr unit]]</f>
        <v>306.70000000000005</v>
      </c>
      <c r="L3257" s="6">
        <f>IFERROR(IF(INDEX(tProdutos[Desconto homologado],MATCH(tItens[[#This Row],[Produto]],tProdutos[Produto],0))="",DescontoPadrao,INDEX(tProdutos[Desconto homologado],MATCH(tItens[[#This Row],[Produto]],tProdutos[Produto],0))),DescontoPadrao)</f>
        <v>0.3</v>
      </c>
      <c r="M3257" s="12">
        <f>tItens[[#This Row],[Valor]]*(1-tItens[[#This Row],[Desconto]])</f>
        <v>214.69000000000003</v>
      </c>
      <c r="N3257" t="str">
        <f>IFERROR(INDEX(tProdutos[Foco],MATCH(tItens[[#This Row],[Produto]],tProdutos[Produto],0)),"Não")</f>
        <v>Não</v>
      </c>
      <c r="O3257" t="str">
        <f>IFERROR(INDEX(tEditais[SRP],MATCH(tItens[[#This Row],[Edital]],tEditais[Edital],0)),"Não")</f>
        <v>Não</v>
      </c>
      <c r="P3257" s="4">
        <f>IF(COUNTIFS(INDEX(tItens[Edital],1):tItens[[#This Row],[Edital]],tItens[[#This Row],[Edital]],INDEX(tItens[Produto],1):tItens[[#This Row],[Produto]],tItens[[#This Row],[Produto]])=1,1,0)</f>
        <v>1</v>
      </c>
    </row>
    <row r="3258" spans="1:16" x14ac:dyDescent="0.25">
      <c r="A3258" t="s">
        <v>1430</v>
      </c>
      <c r="B3258">
        <v>160</v>
      </c>
      <c r="C3258" t="s">
        <v>6163</v>
      </c>
      <c r="D3258" t="s">
        <v>293</v>
      </c>
      <c r="E3258" s="13">
        <v>100</v>
      </c>
      <c r="F3258" s="12">
        <v>32.47</v>
      </c>
      <c r="G3258" t="str">
        <f>IFERROR(INDEX(tEditais[Órgão],MATCH(tItens[[#This Row],[Edital]],tEditais[Edital],0)),"")</f>
        <v>MUNICIPIO DE AMPARO DO SERRA</v>
      </c>
      <c r="H3258" t="str">
        <f>IFERROR(INDEX(tEditais[UF],MATCH(tItens[[#This Row],[Edital]],tEditais[Edital],0)),"")</f>
        <v>MG</v>
      </c>
      <c r="I3258" s="11">
        <f>IFERROR(INDEX(tEditais[Encerramento],MATCH(tItens[[#This Row],[Edital]],tEditais[Edital],0)),"")</f>
        <v>46309.333333333336</v>
      </c>
      <c r="J3258" t="str">
        <f>IFERROR(INDEX(tProdutos[Classe],MATCH(tItens[[#This Row],[Produto]],tProdutos[Produto],0)),"produto não cadastrado")</f>
        <v>FORA</v>
      </c>
      <c r="K3258" s="12">
        <f>tItens[[#This Row],[Qtd]]*tItens[[#This Row],[Vlr unit]]</f>
        <v>3247</v>
      </c>
      <c r="L3258" s="6">
        <f>IFERROR(IF(INDEX(tProdutos[Desconto homologado],MATCH(tItens[[#This Row],[Produto]],tProdutos[Produto],0))="",DescontoPadrao,INDEX(tProdutos[Desconto homologado],MATCH(tItens[[#This Row],[Produto]],tProdutos[Produto],0))),DescontoPadrao)</f>
        <v>0.45236440369319098</v>
      </c>
      <c r="M3258" s="12">
        <f>tItens[[#This Row],[Valor]]*(1-tItens[[#This Row],[Desconto]])</f>
        <v>1778.172781208209</v>
      </c>
      <c r="N3258" t="str">
        <f>IFERROR(INDEX(tProdutos[Foco],MATCH(tItens[[#This Row],[Produto]],tProdutos[Produto],0)),"Não")</f>
        <v>Não</v>
      </c>
      <c r="O3258" t="str">
        <f>IFERROR(INDEX(tEditais[SRP],MATCH(tItens[[#This Row],[Edital]],tEditais[Edital],0)),"Não")</f>
        <v>Não</v>
      </c>
      <c r="P3258" s="4">
        <f>IF(COUNTIFS(INDEX(tItens[Edital],1):tItens[[#This Row],[Edital]],tItens[[#This Row],[Edital]],INDEX(tItens[Produto],1):tItens[[#This Row],[Produto]],tItens[[#This Row],[Produto]])=1,1,0)</f>
        <v>1</v>
      </c>
    </row>
    <row r="3259" spans="1:16" x14ac:dyDescent="0.25">
      <c r="A3259" t="s">
        <v>1430</v>
      </c>
      <c r="B3259">
        <v>161</v>
      </c>
      <c r="C3259" t="s">
        <v>6164</v>
      </c>
      <c r="D3259" t="s">
        <v>223</v>
      </c>
      <c r="E3259" s="13">
        <v>100</v>
      </c>
      <c r="F3259" s="12">
        <v>24.5</v>
      </c>
      <c r="G3259" t="str">
        <f>IFERROR(INDEX(tEditais[Órgão],MATCH(tItens[[#This Row],[Edital]],tEditais[Edital],0)),"")</f>
        <v>MUNICIPIO DE AMPARO DO SERRA</v>
      </c>
      <c r="H3259" t="str">
        <f>IFERROR(INDEX(tEditais[UF],MATCH(tItens[[#This Row],[Edital]],tEditais[Edital],0)),"")</f>
        <v>MG</v>
      </c>
      <c r="I3259" s="11">
        <f>IFERROR(INDEX(tEditais[Encerramento],MATCH(tItens[[#This Row],[Edital]],tEditais[Edital],0)),"")</f>
        <v>46309.333333333336</v>
      </c>
      <c r="J3259" t="str">
        <f>IFERROR(INDEX(tProdutos[Classe],MATCH(tItens[[#This Row],[Produto]],tProdutos[Produto],0)),"produto não cadastrado")</f>
        <v>FORA</v>
      </c>
      <c r="K3259" s="12">
        <f>tItens[[#This Row],[Qtd]]*tItens[[#This Row],[Vlr unit]]</f>
        <v>2450</v>
      </c>
      <c r="L3259" s="6">
        <f>IFERROR(IF(INDEX(tProdutos[Desconto homologado],MATCH(tItens[[#This Row],[Produto]],tProdutos[Produto],0))="",DescontoPadrao,INDEX(tProdutos[Desconto homologado],MATCH(tItens[[#This Row],[Produto]],tProdutos[Produto],0))),DescontoPadrao)</f>
        <v>0.36263736263736301</v>
      </c>
      <c r="M3259" s="12">
        <f>tItens[[#This Row],[Valor]]*(1-tItens[[#This Row],[Desconto]])</f>
        <v>1561.5384615384605</v>
      </c>
      <c r="N3259" t="str">
        <f>IFERROR(INDEX(tProdutos[Foco],MATCH(tItens[[#This Row],[Produto]],tProdutos[Produto],0)),"Não")</f>
        <v>Não</v>
      </c>
      <c r="O3259" t="str">
        <f>IFERROR(INDEX(tEditais[SRP],MATCH(tItens[[#This Row],[Edital]],tEditais[Edital],0)),"Não")</f>
        <v>Não</v>
      </c>
      <c r="P3259" s="4">
        <f>IF(COUNTIFS(INDEX(tItens[Edital],1):tItens[[#This Row],[Edital]],tItens[[#This Row],[Edital]],INDEX(tItens[Produto],1):tItens[[#This Row],[Produto]],tItens[[#This Row],[Produto]])=1,1,0)</f>
        <v>1</v>
      </c>
    </row>
    <row r="3260" spans="1:16" x14ac:dyDescent="0.25">
      <c r="A3260" t="s">
        <v>1430</v>
      </c>
      <c r="B3260">
        <v>166</v>
      </c>
      <c r="C3260" t="s">
        <v>6165</v>
      </c>
      <c r="D3260" t="s">
        <v>156</v>
      </c>
      <c r="E3260" s="13">
        <v>100</v>
      </c>
      <c r="F3260" s="12">
        <v>50.2</v>
      </c>
      <c r="G3260" t="str">
        <f>IFERROR(INDEX(tEditais[Órgão],MATCH(tItens[[#This Row],[Edital]],tEditais[Edital],0)),"")</f>
        <v>MUNICIPIO DE AMPARO DO SERRA</v>
      </c>
      <c r="H3260" t="str">
        <f>IFERROR(INDEX(tEditais[UF],MATCH(tItens[[#This Row],[Edital]],tEditais[Edital],0)),"")</f>
        <v>MG</v>
      </c>
      <c r="I3260" s="11">
        <f>IFERROR(INDEX(tEditais[Encerramento],MATCH(tItens[[#This Row],[Edital]],tEditais[Edital],0)),"")</f>
        <v>46309.333333333336</v>
      </c>
      <c r="J3260" t="str">
        <f>IFERROR(INDEX(tProdutos[Classe],MATCH(tItens[[#This Row],[Produto]],tProdutos[Produto],0)),"produto não cadastrado")</f>
        <v>DISPUTADO</v>
      </c>
      <c r="K3260" s="12">
        <f>tItens[[#This Row],[Qtd]]*tItens[[#This Row],[Vlr unit]]</f>
        <v>5020</v>
      </c>
      <c r="L3260" s="6">
        <f>IFERROR(IF(INDEX(tProdutos[Desconto homologado],MATCH(tItens[[#This Row],[Produto]],tProdutos[Produto],0))="",DescontoPadrao,INDEX(tProdutos[Desconto homologado],MATCH(tItens[[#This Row],[Produto]],tProdutos[Produto],0))),DescontoPadrao)</f>
        <v>0.27131852489802799</v>
      </c>
      <c r="M3260" s="12">
        <f>tItens[[#This Row],[Valor]]*(1-tItens[[#This Row],[Desconto]])</f>
        <v>3657.9810050118995</v>
      </c>
      <c r="N3260" t="str">
        <f>IFERROR(INDEX(tProdutos[Foco],MATCH(tItens[[#This Row],[Produto]],tProdutos[Produto],0)),"Não")</f>
        <v>Não</v>
      </c>
      <c r="O3260" t="str">
        <f>IFERROR(INDEX(tEditais[SRP],MATCH(tItens[[#This Row],[Edital]],tEditais[Edital],0)),"Não")</f>
        <v>Não</v>
      </c>
      <c r="P3260" s="4">
        <f>IF(COUNTIFS(INDEX(tItens[Edital],1):tItens[[#This Row],[Edital]],tItens[[#This Row],[Edital]],INDEX(tItens[Produto],1):tItens[[#This Row],[Produto]],tItens[[#This Row],[Produto]])=1,1,0)</f>
        <v>1</v>
      </c>
    </row>
    <row r="3261" spans="1:16" x14ac:dyDescent="0.25">
      <c r="A3261" t="s">
        <v>1430</v>
      </c>
      <c r="B3261">
        <v>171</v>
      </c>
      <c r="C3261" t="s">
        <v>6166</v>
      </c>
      <c r="D3261" t="s">
        <v>154</v>
      </c>
      <c r="E3261" s="13">
        <v>700</v>
      </c>
      <c r="F3261" s="12">
        <v>22.87</v>
      </c>
      <c r="G3261" t="str">
        <f>IFERROR(INDEX(tEditais[Órgão],MATCH(tItens[[#This Row],[Edital]],tEditais[Edital],0)),"")</f>
        <v>MUNICIPIO DE AMPARO DO SERRA</v>
      </c>
      <c r="H3261" t="str">
        <f>IFERROR(INDEX(tEditais[UF],MATCH(tItens[[#This Row],[Edital]],tEditais[Edital],0)),"")</f>
        <v>MG</v>
      </c>
      <c r="I3261" s="11">
        <f>IFERROR(INDEX(tEditais[Encerramento],MATCH(tItens[[#This Row],[Edital]],tEditais[Edital],0)),"")</f>
        <v>46309.333333333336</v>
      </c>
      <c r="J3261" t="str">
        <f>IFERROR(INDEX(tProdutos[Classe],MATCH(tItens[[#This Row],[Produto]],tProdutos[Produto],0)),"produto não cadastrado")</f>
        <v>DISPUTADO</v>
      </c>
      <c r="K3261" s="12">
        <f>tItens[[#This Row],[Qtd]]*tItens[[#This Row],[Vlr unit]]</f>
        <v>16009</v>
      </c>
      <c r="L3261" s="6">
        <f>IFERROR(IF(INDEX(tProdutos[Desconto homologado],MATCH(tItens[[#This Row],[Produto]],tProdutos[Produto],0))="",DescontoPadrao,INDEX(tProdutos[Desconto homologado],MATCH(tItens[[#This Row],[Produto]],tProdutos[Produto],0))),DescontoPadrao)</f>
        <v>0.48690097134476601</v>
      </c>
      <c r="M3261" s="12">
        <f>tItens[[#This Row],[Valor]]*(1-tItens[[#This Row],[Desconto]])</f>
        <v>8214.2023497416394</v>
      </c>
      <c r="N3261" t="str">
        <f>IFERROR(INDEX(tProdutos[Foco],MATCH(tItens[[#This Row],[Produto]],tProdutos[Produto],0)),"Não")</f>
        <v>Não</v>
      </c>
      <c r="O3261" t="str">
        <f>IFERROR(INDEX(tEditais[SRP],MATCH(tItens[[#This Row],[Edital]],tEditais[Edital],0)),"Não")</f>
        <v>Não</v>
      </c>
      <c r="P3261" s="4">
        <f>IF(COUNTIFS(INDEX(tItens[Edital],1):tItens[[#This Row],[Edital]],tItens[[#This Row],[Edital]],INDEX(tItens[Produto],1):tItens[[#This Row],[Produto]],tItens[[#This Row],[Produto]])=1,1,0)</f>
        <v>1</v>
      </c>
    </row>
    <row r="3262" spans="1:16" x14ac:dyDescent="0.25">
      <c r="A3262" t="s">
        <v>1430</v>
      </c>
      <c r="B3262">
        <v>172</v>
      </c>
      <c r="C3262" t="s">
        <v>6167</v>
      </c>
      <c r="D3262" t="s">
        <v>154</v>
      </c>
      <c r="E3262" s="13">
        <v>700</v>
      </c>
      <c r="F3262" s="12">
        <v>26.13</v>
      </c>
      <c r="G3262" t="str">
        <f>IFERROR(INDEX(tEditais[Órgão],MATCH(tItens[[#This Row],[Edital]],tEditais[Edital],0)),"")</f>
        <v>MUNICIPIO DE AMPARO DO SERRA</v>
      </c>
      <c r="H3262" t="str">
        <f>IFERROR(INDEX(tEditais[UF],MATCH(tItens[[#This Row],[Edital]],tEditais[Edital],0)),"")</f>
        <v>MG</v>
      </c>
      <c r="I3262" s="11">
        <f>IFERROR(INDEX(tEditais[Encerramento],MATCH(tItens[[#This Row],[Edital]],tEditais[Edital],0)),"")</f>
        <v>46309.333333333336</v>
      </c>
      <c r="J3262" t="str">
        <f>IFERROR(INDEX(tProdutos[Classe],MATCH(tItens[[#This Row],[Produto]],tProdutos[Produto],0)),"produto não cadastrado")</f>
        <v>DISPUTADO</v>
      </c>
      <c r="K3262" s="12">
        <f>tItens[[#This Row],[Qtd]]*tItens[[#This Row],[Vlr unit]]</f>
        <v>18291</v>
      </c>
      <c r="L3262" s="6">
        <f>IFERROR(IF(INDEX(tProdutos[Desconto homologado],MATCH(tItens[[#This Row],[Produto]],tProdutos[Produto],0))="",DescontoPadrao,INDEX(tProdutos[Desconto homologado],MATCH(tItens[[#This Row],[Produto]],tProdutos[Produto],0))),DescontoPadrao)</f>
        <v>0.48690097134476601</v>
      </c>
      <c r="M3262" s="12">
        <f>tItens[[#This Row],[Valor]]*(1-tItens[[#This Row],[Desconto]])</f>
        <v>9385.0943331328835</v>
      </c>
      <c r="N3262" t="str">
        <f>IFERROR(INDEX(tProdutos[Foco],MATCH(tItens[[#This Row],[Produto]],tProdutos[Produto],0)),"Não")</f>
        <v>Não</v>
      </c>
      <c r="O3262" t="str">
        <f>IFERROR(INDEX(tEditais[SRP],MATCH(tItens[[#This Row],[Edital]],tEditais[Edital],0)),"Não")</f>
        <v>Não</v>
      </c>
      <c r="P3262" s="4">
        <f>IF(COUNTIFS(INDEX(tItens[Edital],1):tItens[[#This Row],[Edital]],tItens[[#This Row],[Edital]],INDEX(tItens[Produto],1):tItens[[#This Row],[Produto]],tItens[[#This Row],[Produto]])=1,1,0)</f>
        <v>0</v>
      </c>
    </row>
    <row r="3263" spans="1:16" x14ac:dyDescent="0.25">
      <c r="A3263" t="s">
        <v>1430</v>
      </c>
      <c r="B3263">
        <v>174</v>
      </c>
      <c r="C3263" t="s">
        <v>6168</v>
      </c>
      <c r="D3263" t="s">
        <v>144</v>
      </c>
      <c r="E3263" s="13">
        <v>1000</v>
      </c>
      <c r="F3263" s="12">
        <v>28.93</v>
      </c>
      <c r="G3263" t="str">
        <f>IFERROR(INDEX(tEditais[Órgão],MATCH(tItens[[#This Row],[Edital]],tEditais[Edital],0)),"")</f>
        <v>MUNICIPIO DE AMPARO DO SERRA</v>
      </c>
      <c r="H3263" t="str">
        <f>IFERROR(INDEX(tEditais[UF],MATCH(tItens[[#This Row],[Edital]],tEditais[Edital],0)),"")</f>
        <v>MG</v>
      </c>
      <c r="I3263" s="11">
        <f>IFERROR(INDEX(tEditais[Encerramento],MATCH(tItens[[#This Row],[Edital]],tEditais[Edital],0)),"")</f>
        <v>46309.333333333336</v>
      </c>
      <c r="J3263" t="str">
        <f>IFERROR(INDEX(tProdutos[Classe],MATCH(tItens[[#This Row],[Produto]],tProdutos[Produto],0)),"produto não cadastrado")</f>
        <v>DISPUTADO</v>
      </c>
      <c r="K3263" s="12">
        <f>tItens[[#This Row],[Qtd]]*tItens[[#This Row],[Vlr unit]]</f>
        <v>28930</v>
      </c>
      <c r="L3263" s="6">
        <f>IFERROR(IF(INDEX(tProdutos[Desconto homologado],MATCH(tItens[[#This Row],[Produto]],tProdutos[Produto],0))="",DescontoPadrao,INDEX(tProdutos[Desconto homologado],MATCH(tItens[[#This Row],[Produto]],tProdutos[Produto],0))),DescontoPadrao)</f>
        <v>0.371428571428571</v>
      </c>
      <c r="M3263" s="12">
        <f>tItens[[#This Row],[Valor]]*(1-tItens[[#This Row],[Desconto]])</f>
        <v>18184.571428571442</v>
      </c>
      <c r="N3263" t="str">
        <f>IFERROR(INDEX(tProdutos[Foco],MATCH(tItens[[#This Row],[Produto]],tProdutos[Produto],0)),"Não")</f>
        <v>Não</v>
      </c>
      <c r="O3263" t="str">
        <f>IFERROR(INDEX(tEditais[SRP],MATCH(tItens[[#This Row],[Edital]],tEditais[Edital],0)),"Não")</f>
        <v>Não</v>
      </c>
      <c r="P3263" s="4">
        <f>IF(COUNTIFS(INDEX(tItens[Edital],1):tItens[[#This Row],[Edital]],tItens[[#This Row],[Edital]],INDEX(tItens[Produto],1):tItens[[#This Row],[Produto]],tItens[[#This Row],[Produto]])=1,1,0)</f>
        <v>1</v>
      </c>
    </row>
    <row r="3264" spans="1:16" x14ac:dyDescent="0.25">
      <c r="A3264" t="s">
        <v>1430</v>
      </c>
      <c r="B3264">
        <v>213</v>
      </c>
      <c r="C3264" t="s">
        <v>6169</v>
      </c>
      <c r="D3264" t="s">
        <v>90</v>
      </c>
      <c r="E3264" s="13">
        <v>600</v>
      </c>
      <c r="F3264" s="12">
        <v>10.07</v>
      </c>
      <c r="G3264" t="str">
        <f>IFERROR(INDEX(tEditais[Órgão],MATCH(tItens[[#This Row],[Edital]],tEditais[Edital],0)),"")</f>
        <v>MUNICIPIO DE AMPARO DO SERRA</v>
      </c>
      <c r="H3264" t="str">
        <f>IFERROR(INDEX(tEditais[UF],MATCH(tItens[[#This Row],[Edital]],tEditais[Edital],0)),"")</f>
        <v>MG</v>
      </c>
      <c r="I3264" s="11">
        <f>IFERROR(INDEX(tEditais[Encerramento],MATCH(tItens[[#This Row],[Edital]],tEditais[Edital],0)),"")</f>
        <v>46309.333333333336</v>
      </c>
      <c r="J3264" t="str">
        <f>IFERROR(INDEX(tProdutos[Classe],MATCH(tItens[[#This Row],[Produto]],tProdutos[Produto],0)),"produto não cadastrado")</f>
        <v>DISPUTADO</v>
      </c>
      <c r="K3264" s="12">
        <f>tItens[[#This Row],[Qtd]]*tItens[[#This Row],[Vlr unit]]</f>
        <v>6042</v>
      </c>
      <c r="L3264" s="6">
        <f>IFERROR(IF(INDEX(tProdutos[Desconto homologado],MATCH(tItens[[#This Row],[Produto]],tProdutos[Produto],0))="",DescontoPadrao,INDEX(tProdutos[Desconto homologado],MATCH(tItens[[#This Row],[Produto]],tProdutos[Produto],0))),DescontoPadrao)</f>
        <v>0.25393823957010597</v>
      </c>
      <c r="M3264" s="12">
        <f>tItens[[#This Row],[Valor]]*(1-tItens[[#This Row],[Desconto]])</f>
        <v>4507.7051565174197</v>
      </c>
      <c r="N3264" t="str">
        <f>IFERROR(INDEX(tProdutos[Foco],MATCH(tItens[[#This Row],[Produto]],tProdutos[Produto],0)),"Não")</f>
        <v>Não</v>
      </c>
      <c r="O3264" t="str">
        <f>IFERROR(INDEX(tEditais[SRP],MATCH(tItens[[#This Row],[Edital]],tEditais[Edital],0)),"Não")</f>
        <v>Não</v>
      </c>
      <c r="P3264" s="4">
        <f>IF(COUNTIFS(INDEX(tItens[Edital],1):tItens[[#This Row],[Edital]],tItens[[#This Row],[Edital]],INDEX(tItens[Produto],1):tItens[[#This Row],[Produto]],tItens[[#This Row],[Produto]])=1,1,0)</f>
        <v>1</v>
      </c>
    </row>
    <row r="3265" spans="1:16" x14ac:dyDescent="0.25">
      <c r="A3265" t="s">
        <v>1430</v>
      </c>
      <c r="B3265">
        <v>214</v>
      </c>
      <c r="C3265" t="s">
        <v>6170</v>
      </c>
      <c r="D3265" t="s">
        <v>90</v>
      </c>
      <c r="E3265" s="13">
        <v>150</v>
      </c>
      <c r="F3265" s="12">
        <v>8.1199999999999992</v>
      </c>
      <c r="G3265" t="str">
        <f>IFERROR(INDEX(tEditais[Órgão],MATCH(tItens[[#This Row],[Edital]],tEditais[Edital],0)),"")</f>
        <v>MUNICIPIO DE AMPARO DO SERRA</v>
      </c>
      <c r="H3265" t="str">
        <f>IFERROR(INDEX(tEditais[UF],MATCH(tItens[[#This Row],[Edital]],tEditais[Edital],0)),"")</f>
        <v>MG</v>
      </c>
      <c r="I3265" s="11">
        <f>IFERROR(INDEX(tEditais[Encerramento],MATCH(tItens[[#This Row],[Edital]],tEditais[Edital],0)),"")</f>
        <v>46309.333333333336</v>
      </c>
      <c r="J3265" t="str">
        <f>IFERROR(INDEX(tProdutos[Classe],MATCH(tItens[[#This Row],[Produto]],tProdutos[Produto],0)),"produto não cadastrado")</f>
        <v>DISPUTADO</v>
      </c>
      <c r="K3265" s="12">
        <f>tItens[[#This Row],[Qtd]]*tItens[[#This Row],[Vlr unit]]</f>
        <v>1217.9999999999998</v>
      </c>
      <c r="L3265" s="6">
        <f>IFERROR(IF(INDEX(tProdutos[Desconto homologado],MATCH(tItens[[#This Row],[Produto]],tProdutos[Produto],0))="",DescontoPadrao,INDEX(tProdutos[Desconto homologado],MATCH(tItens[[#This Row],[Produto]],tProdutos[Produto],0))),DescontoPadrao)</f>
        <v>0.25393823957010597</v>
      </c>
      <c r="M3265" s="12">
        <f>tItens[[#This Row],[Valor]]*(1-tItens[[#This Row],[Desconto]])</f>
        <v>908.70322420361072</v>
      </c>
      <c r="N3265" t="str">
        <f>IFERROR(INDEX(tProdutos[Foco],MATCH(tItens[[#This Row],[Produto]],tProdutos[Produto],0)),"Não")</f>
        <v>Não</v>
      </c>
      <c r="O3265" t="str">
        <f>IFERROR(INDEX(tEditais[SRP],MATCH(tItens[[#This Row],[Edital]],tEditais[Edital],0)),"Não")</f>
        <v>Não</v>
      </c>
      <c r="P3265" s="4">
        <f>IF(COUNTIFS(INDEX(tItens[Edital],1):tItens[[#This Row],[Edital]],tItens[[#This Row],[Edital]],INDEX(tItens[Produto],1):tItens[[#This Row],[Produto]],tItens[[#This Row],[Produto]])=1,1,0)</f>
        <v>0</v>
      </c>
    </row>
    <row r="3266" spans="1:16" x14ac:dyDescent="0.25">
      <c r="A3266" t="s">
        <v>1430</v>
      </c>
      <c r="B3266">
        <v>219</v>
      </c>
      <c r="C3266" t="s">
        <v>6171</v>
      </c>
      <c r="D3266" t="s">
        <v>259</v>
      </c>
      <c r="E3266" s="13">
        <v>50</v>
      </c>
      <c r="F3266" s="12">
        <v>56.41</v>
      </c>
      <c r="G3266" t="str">
        <f>IFERROR(INDEX(tEditais[Órgão],MATCH(tItens[[#This Row],[Edital]],tEditais[Edital],0)),"")</f>
        <v>MUNICIPIO DE AMPARO DO SERRA</v>
      </c>
      <c r="H3266" t="str">
        <f>IFERROR(INDEX(tEditais[UF],MATCH(tItens[[#This Row],[Edital]],tEditais[Edital],0)),"")</f>
        <v>MG</v>
      </c>
      <c r="I3266" s="11">
        <f>IFERROR(INDEX(tEditais[Encerramento],MATCH(tItens[[#This Row],[Edital]],tEditais[Edital],0)),"")</f>
        <v>46309.333333333336</v>
      </c>
      <c r="J3266" t="str">
        <f>IFERROR(INDEX(tProdutos[Classe],MATCH(tItens[[#This Row],[Produto]],tProdutos[Produto],0)),"produto não cadastrado")</f>
        <v>FORA</v>
      </c>
      <c r="K3266" s="12">
        <f>tItens[[#This Row],[Qtd]]*tItens[[#This Row],[Vlr unit]]</f>
        <v>2820.5</v>
      </c>
      <c r="L3266" s="6">
        <f>IFERROR(IF(INDEX(tProdutos[Desconto homologado],MATCH(tItens[[#This Row],[Produto]],tProdutos[Produto],0))="",DescontoPadrao,INDEX(tProdutos[Desconto homologado],MATCH(tItens[[#This Row],[Produto]],tProdutos[Produto],0))),DescontoPadrao)</f>
        <v>0.374798283789543</v>
      </c>
      <c r="M3266" s="12">
        <f>tItens[[#This Row],[Valor]]*(1-tItens[[#This Row],[Desconto]])</f>
        <v>1763.3814405715941</v>
      </c>
      <c r="N3266" t="str">
        <f>IFERROR(INDEX(tProdutos[Foco],MATCH(tItens[[#This Row],[Produto]],tProdutos[Produto],0)),"Não")</f>
        <v>Não</v>
      </c>
      <c r="O3266" t="str">
        <f>IFERROR(INDEX(tEditais[SRP],MATCH(tItens[[#This Row],[Edital]],tEditais[Edital],0)),"Não")</f>
        <v>Não</v>
      </c>
      <c r="P3266" s="4">
        <f>IF(COUNTIFS(INDEX(tItens[Edital],1):tItens[[#This Row],[Edital]],tItens[[#This Row],[Edital]],INDEX(tItens[Produto],1):tItens[[#This Row],[Produto]],tItens[[#This Row],[Produto]])=1,1,0)</f>
        <v>1</v>
      </c>
    </row>
    <row r="3267" spans="1:16" x14ac:dyDescent="0.25">
      <c r="A3267" t="s">
        <v>1430</v>
      </c>
      <c r="B3267">
        <v>232</v>
      </c>
      <c r="C3267" t="s">
        <v>6172</v>
      </c>
      <c r="D3267" t="s">
        <v>461</v>
      </c>
      <c r="E3267" s="13">
        <v>15</v>
      </c>
      <c r="F3267" s="12">
        <v>82.64</v>
      </c>
      <c r="G3267" t="str">
        <f>IFERROR(INDEX(tEditais[Órgão],MATCH(tItens[[#This Row],[Edital]],tEditais[Edital],0)),"")</f>
        <v>MUNICIPIO DE AMPARO DO SERRA</v>
      </c>
      <c r="H3267" t="str">
        <f>IFERROR(INDEX(tEditais[UF],MATCH(tItens[[#This Row],[Edital]],tEditais[Edital],0)),"")</f>
        <v>MG</v>
      </c>
      <c r="I3267" s="11">
        <f>IFERROR(INDEX(tEditais[Encerramento],MATCH(tItens[[#This Row],[Edital]],tEditais[Edital],0)),"")</f>
        <v>46309.333333333336</v>
      </c>
      <c r="J3267" t="str">
        <f>IFERROR(INDEX(tProdutos[Classe],MATCH(tItens[[#This Row],[Produto]],tProdutos[Produto],0)),"produto não cadastrado")</f>
        <v>FILA REBASE</v>
      </c>
      <c r="K3267" s="12">
        <f>tItens[[#This Row],[Qtd]]*tItens[[#This Row],[Vlr unit]]</f>
        <v>1239.5999999999999</v>
      </c>
      <c r="L3267" s="6">
        <f>IFERROR(IF(INDEX(tProdutos[Desconto homologado],MATCH(tItens[[#This Row],[Produto]],tProdutos[Produto],0))="",DescontoPadrao,INDEX(tProdutos[Desconto homologado],MATCH(tItens[[#This Row],[Produto]],tProdutos[Produto],0))),DescontoPadrao)</f>
        <v>0.44096385542168698</v>
      </c>
      <c r="M3267" s="12">
        <f>tItens[[#This Row],[Valor]]*(1-tItens[[#This Row],[Desconto]])</f>
        <v>692.98120481927674</v>
      </c>
      <c r="N3267" t="str">
        <f>IFERROR(INDEX(tProdutos[Foco],MATCH(tItens[[#This Row],[Produto]],tProdutos[Produto],0)),"Não")</f>
        <v>Não</v>
      </c>
      <c r="O3267" t="str">
        <f>IFERROR(INDEX(tEditais[SRP],MATCH(tItens[[#This Row],[Edital]],tEditais[Edital],0)),"Não")</f>
        <v>Não</v>
      </c>
      <c r="P3267" s="4">
        <f>IF(COUNTIFS(INDEX(tItens[Edital],1):tItens[[#This Row],[Edital]],tItens[[#This Row],[Edital]],INDEX(tItens[Produto],1):tItens[[#This Row],[Produto]],tItens[[#This Row],[Produto]])=1,1,0)</f>
        <v>1</v>
      </c>
    </row>
    <row r="3268" spans="1:16" x14ac:dyDescent="0.25">
      <c r="A3268" t="s">
        <v>1430</v>
      </c>
      <c r="B3268">
        <v>233</v>
      </c>
      <c r="C3268" t="s">
        <v>6173</v>
      </c>
      <c r="D3268" t="s">
        <v>461</v>
      </c>
      <c r="E3268" s="13">
        <v>15</v>
      </c>
      <c r="F3268" s="12">
        <v>82.75</v>
      </c>
      <c r="G3268" t="str">
        <f>IFERROR(INDEX(tEditais[Órgão],MATCH(tItens[[#This Row],[Edital]],tEditais[Edital],0)),"")</f>
        <v>MUNICIPIO DE AMPARO DO SERRA</v>
      </c>
      <c r="H3268" t="str">
        <f>IFERROR(INDEX(tEditais[UF],MATCH(tItens[[#This Row],[Edital]],tEditais[Edital],0)),"")</f>
        <v>MG</v>
      </c>
      <c r="I3268" s="11">
        <f>IFERROR(INDEX(tEditais[Encerramento],MATCH(tItens[[#This Row],[Edital]],tEditais[Edital],0)),"")</f>
        <v>46309.333333333336</v>
      </c>
      <c r="J3268" t="str">
        <f>IFERROR(INDEX(tProdutos[Classe],MATCH(tItens[[#This Row],[Produto]],tProdutos[Produto],0)),"produto não cadastrado")</f>
        <v>FILA REBASE</v>
      </c>
      <c r="K3268" s="12">
        <f>tItens[[#This Row],[Qtd]]*tItens[[#This Row],[Vlr unit]]</f>
        <v>1241.25</v>
      </c>
      <c r="L3268" s="6">
        <f>IFERROR(IF(INDEX(tProdutos[Desconto homologado],MATCH(tItens[[#This Row],[Produto]],tProdutos[Produto],0))="",DescontoPadrao,INDEX(tProdutos[Desconto homologado],MATCH(tItens[[#This Row],[Produto]],tProdutos[Produto],0))),DescontoPadrao)</f>
        <v>0.44096385542168698</v>
      </c>
      <c r="M3268" s="12">
        <f>tItens[[#This Row],[Valor]]*(1-tItens[[#This Row],[Desconto]])</f>
        <v>693.90361445783094</v>
      </c>
      <c r="N3268" t="str">
        <f>IFERROR(INDEX(tProdutos[Foco],MATCH(tItens[[#This Row],[Produto]],tProdutos[Produto],0)),"Não")</f>
        <v>Não</v>
      </c>
      <c r="O3268" t="str">
        <f>IFERROR(INDEX(tEditais[SRP],MATCH(tItens[[#This Row],[Edital]],tEditais[Edital],0)),"Não")</f>
        <v>Não</v>
      </c>
      <c r="P3268" s="4">
        <f>IF(COUNTIFS(INDEX(tItens[Edital],1):tItens[[#This Row],[Edital]],tItens[[#This Row],[Edital]],INDEX(tItens[Produto],1):tItens[[#This Row],[Produto]],tItens[[#This Row],[Produto]])=1,1,0)</f>
        <v>0</v>
      </c>
    </row>
    <row r="3269" spans="1:16" x14ac:dyDescent="0.25">
      <c r="A3269" t="s">
        <v>1430</v>
      </c>
      <c r="B3269">
        <v>234</v>
      </c>
      <c r="C3269" t="s">
        <v>6174</v>
      </c>
      <c r="D3269" t="s">
        <v>461</v>
      </c>
      <c r="E3269" s="13">
        <v>15</v>
      </c>
      <c r="F3269" s="12">
        <v>80.75</v>
      </c>
      <c r="G3269" t="str">
        <f>IFERROR(INDEX(tEditais[Órgão],MATCH(tItens[[#This Row],[Edital]],tEditais[Edital],0)),"")</f>
        <v>MUNICIPIO DE AMPARO DO SERRA</v>
      </c>
      <c r="H3269" t="str">
        <f>IFERROR(INDEX(tEditais[UF],MATCH(tItens[[#This Row],[Edital]],tEditais[Edital],0)),"")</f>
        <v>MG</v>
      </c>
      <c r="I3269" s="11">
        <f>IFERROR(INDEX(tEditais[Encerramento],MATCH(tItens[[#This Row],[Edital]],tEditais[Edital],0)),"")</f>
        <v>46309.333333333336</v>
      </c>
      <c r="J3269" t="str">
        <f>IFERROR(INDEX(tProdutos[Classe],MATCH(tItens[[#This Row],[Produto]],tProdutos[Produto],0)),"produto não cadastrado")</f>
        <v>FILA REBASE</v>
      </c>
      <c r="K3269" s="12">
        <f>tItens[[#This Row],[Qtd]]*tItens[[#This Row],[Vlr unit]]</f>
        <v>1211.25</v>
      </c>
      <c r="L3269" s="6">
        <f>IFERROR(IF(INDEX(tProdutos[Desconto homologado],MATCH(tItens[[#This Row],[Produto]],tProdutos[Produto],0))="",DescontoPadrao,INDEX(tProdutos[Desconto homologado],MATCH(tItens[[#This Row],[Produto]],tProdutos[Produto],0))),DescontoPadrao)</f>
        <v>0.44096385542168698</v>
      </c>
      <c r="M3269" s="12">
        <f>tItens[[#This Row],[Valor]]*(1-tItens[[#This Row],[Desconto]])</f>
        <v>677.13253012048153</v>
      </c>
      <c r="N3269" t="str">
        <f>IFERROR(INDEX(tProdutos[Foco],MATCH(tItens[[#This Row],[Produto]],tProdutos[Produto],0)),"Não")</f>
        <v>Não</v>
      </c>
      <c r="O3269" t="str">
        <f>IFERROR(INDEX(tEditais[SRP],MATCH(tItens[[#This Row],[Edital]],tEditais[Edital],0)),"Não")</f>
        <v>Não</v>
      </c>
      <c r="P3269" s="4">
        <f>IF(COUNTIFS(INDEX(tItens[Edital],1):tItens[[#This Row],[Edital]],tItens[[#This Row],[Edital]],INDEX(tItens[Produto],1):tItens[[#This Row],[Produto]],tItens[[#This Row],[Produto]])=1,1,0)</f>
        <v>0</v>
      </c>
    </row>
    <row r="3270" spans="1:16" x14ac:dyDescent="0.25">
      <c r="A3270" t="s">
        <v>1430</v>
      </c>
      <c r="B3270">
        <v>235</v>
      </c>
      <c r="C3270" t="s">
        <v>6175</v>
      </c>
      <c r="D3270" t="s">
        <v>461</v>
      </c>
      <c r="E3270" s="13">
        <v>15</v>
      </c>
      <c r="F3270" s="12">
        <v>82.54</v>
      </c>
      <c r="G3270" t="str">
        <f>IFERROR(INDEX(tEditais[Órgão],MATCH(tItens[[#This Row],[Edital]],tEditais[Edital],0)),"")</f>
        <v>MUNICIPIO DE AMPARO DO SERRA</v>
      </c>
      <c r="H3270" t="str">
        <f>IFERROR(INDEX(tEditais[UF],MATCH(tItens[[#This Row],[Edital]],tEditais[Edital],0)),"")</f>
        <v>MG</v>
      </c>
      <c r="I3270" s="11">
        <f>IFERROR(INDEX(tEditais[Encerramento],MATCH(tItens[[#This Row],[Edital]],tEditais[Edital],0)),"")</f>
        <v>46309.333333333336</v>
      </c>
      <c r="J3270" t="str">
        <f>IFERROR(INDEX(tProdutos[Classe],MATCH(tItens[[#This Row],[Produto]],tProdutos[Produto],0)),"produto não cadastrado")</f>
        <v>FILA REBASE</v>
      </c>
      <c r="K3270" s="12">
        <f>tItens[[#This Row],[Qtd]]*tItens[[#This Row],[Vlr unit]]</f>
        <v>1238.1000000000001</v>
      </c>
      <c r="L3270" s="6">
        <f>IFERROR(IF(INDEX(tProdutos[Desconto homologado],MATCH(tItens[[#This Row],[Produto]],tProdutos[Produto],0))="",DescontoPadrao,INDEX(tProdutos[Desconto homologado],MATCH(tItens[[#This Row],[Produto]],tProdutos[Produto],0))),DescontoPadrao)</f>
        <v>0.44096385542168698</v>
      </c>
      <c r="M3270" s="12">
        <f>tItens[[#This Row],[Valor]]*(1-tItens[[#This Row],[Desconto]])</f>
        <v>692.14265060240939</v>
      </c>
      <c r="N3270" t="str">
        <f>IFERROR(INDEX(tProdutos[Foco],MATCH(tItens[[#This Row],[Produto]],tProdutos[Produto],0)),"Não")</f>
        <v>Não</v>
      </c>
      <c r="O3270" t="str">
        <f>IFERROR(INDEX(tEditais[SRP],MATCH(tItens[[#This Row],[Edital]],tEditais[Edital],0)),"Não")</f>
        <v>Não</v>
      </c>
      <c r="P3270" s="4">
        <f>IF(COUNTIFS(INDEX(tItens[Edital],1):tItens[[#This Row],[Edital]],tItens[[#This Row],[Edital]],INDEX(tItens[Produto],1):tItens[[#This Row],[Produto]],tItens[[#This Row],[Produto]])=1,1,0)</f>
        <v>0</v>
      </c>
    </row>
    <row r="3271" spans="1:16" x14ac:dyDescent="0.25">
      <c r="A3271" t="s">
        <v>1430</v>
      </c>
      <c r="B3271">
        <v>236</v>
      </c>
      <c r="C3271" t="s">
        <v>6176</v>
      </c>
      <c r="D3271" t="s">
        <v>461</v>
      </c>
      <c r="E3271" s="13">
        <v>15</v>
      </c>
      <c r="F3271" s="12">
        <v>91.88</v>
      </c>
      <c r="G3271" t="str">
        <f>IFERROR(INDEX(tEditais[Órgão],MATCH(tItens[[#This Row],[Edital]],tEditais[Edital],0)),"")</f>
        <v>MUNICIPIO DE AMPARO DO SERRA</v>
      </c>
      <c r="H3271" t="str">
        <f>IFERROR(INDEX(tEditais[UF],MATCH(tItens[[#This Row],[Edital]],tEditais[Edital],0)),"")</f>
        <v>MG</v>
      </c>
      <c r="I3271" s="11">
        <f>IFERROR(INDEX(tEditais[Encerramento],MATCH(tItens[[#This Row],[Edital]],tEditais[Edital],0)),"")</f>
        <v>46309.333333333336</v>
      </c>
      <c r="J3271" t="str">
        <f>IFERROR(INDEX(tProdutos[Classe],MATCH(tItens[[#This Row],[Produto]],tProdutos[Produto],0)),"produto não cadastrado")</f>
        <v>FILA REBASE</v>
      </c>
      <c r="K3271" s="12">
        <f>tItens[[#This Row],[Qtd]]*tItens[[#This Row],[Vlr unit]]</f>
        <v>1378.1999999999998</v>
      </c>
      <c r="L3271" s="6">
        <f>IFERROR(IF(INDEX(tProdutos[Desconto homologado],MATCH(tItens[[#This Row],[Produto]],tProdutos[Produto],0))="",DescontoPadrao,INDEX(tProdutos[Desconto homologado],MATCH(tItens[[#This Row],[Produto]],tProdutos[Produto],0))),DescontoPadrao)</f>
        <v>0.44096385542168698</v>
      </c>
      <c r="M3271" s="12">
        <f>tItens[[#This Row],[Valor]]*(1-tItens[[#This Row],[Desconto]])</f>
        <v>770.46361445783077</v>
      </c>
      <c r="N3271" t="str">
        <f>IFERROR(INDEX(tProdutos[Foco],MATCH(tItens[[#This Row],[Produto]],tProdutos[Produto],0)),"Não")</f>
        <v>Não</v>
      </c>
      <c r="O3271" t="str">
        <f>IFERROR(INDEX(tEditais[SRP],MATCH(tItens[[#This Row],[Edital]],tEditais[Edital],0)),"Não")</f>
        <v>Não</v>
      </c>
      <c r="P3271" s="4">
        <f>IF(COUNTIFS(INDEX(tItens[Edital],1):tItens[[#This Row],[Edital]],tItens[[#This Row],[Edital]],INDEX(tItens[Produto],1):tItens[[#This Row],[Produto]],tItens[[#This Row],[Produto]])=1,1,0)</f>
        <v>0</v>
      </c>
    </row>
    <row r="3272" spans="1:16" x14ac:dyDescent="0.25">
      <c r="A3272" t="s">
        <v>1430</v>
      </c>
      <c r="B3272">
        <v>244</v>
      </c>
      <c r="C3272" t="s">
        <v>6177</v>
      </c>
      <c r="D3272" t="s">
        <v>142</v>
      </c>
      <c r="E3272" s="13">
        <v>200</v>
      </c>
      <c r="F3272" s="12">
        <v>9.9700000000000006</v>
      </c>
      <c r="G3272" t="str">
        <f>IFERROR(INDEX(tEditais[Órgão],MATCH(tItens[[#This Row],[Edital]],tEditais[Edital],0)),"")</f>
        <v>MUNICIPIO DE AMPARO DO SERRA</v>
      </c>
      <c r="H3272" t="str">
        <f>IFERROR(INDEX(tEditais[UF],MATCH(tItens[[#This Row],[Edital]],tEditais[Edital],0)),"")</f>
        <v>MG</v>
      </c>
      <c r="I3272" s="11">
        <f>IFERROR(INDEX(tEditais[Encerramento],MATCH(tItens[[#This Row],[Edital]],tEditais[Edital],0)),"")</f>
        <v>46309.333333333336</v>
      </c>
      <c r="J3272" t="str">
        <f>IFERROR(INDEX(tProdutos[Classe],MATCH(tItens[[#This Row],[Produto]],tProdutos[Produto],0)),"produto não cadastrado")</f>
        <v>DISPUTADO</v>
      </c>
      <c r="K3272" s="12">
        <f>tItens[[#This Row],[Qtd]]*tItens[[#This Row],[Vlr unit]]</f>
        <v>1994.0000000000002</v>
      </c>
      <c r="L3272" s="6">
        <f>IFERROR(IF(INDEX(tProdutos[Desconto homologado],MATCH(tItens[[#This Row],[Produto]],tProdutos[Produto],0))="",DescontoPadrao,INDEX(tProdutos[Desconto homologado],MATCH(tItens[[#This Row],[Produto]],tProdutos[Produto],0))),DescontoPadrao)</f>
        <v>0.37093619495691699</v>
      </c>
      <c r="M3272" s="12">
        <f>tItens[[#This Row],[Valor]]*(1-tItens[[#This Row],[Desconto]])</f>
        <v>1254.3532272559078</v>
      </c>
      <c r="N3272" t="str">
        <f>IFERROR(INDEX(tProdutos[Foco],MATCH(tItens[[#This Row],[Produto]],tProdutos[Produto],0)),"Não")</f>
        <v>Não</v>
      </c>
      <c r="O3272" t="str">
        <f>IFERROR(INDEX(tEditais[SRP],MATCH(tItens[[#This Row],[Edital]],tEditais[Edital],0)),"Não")</f>
        <v>Não</v>
      </c>
      <c r="P3272" s="4">
        <f>IF(COUNTIFS(INDEX(tItens[Edital],1):tItens[[#This Row],[Edital]],tItens[[#This Row],[Edital]],INDEX(tItens[Produto],1):tItens[[#This Row],[Produto]],tItens[[#This Row],[Produto]])=1,1,0)</f>
        <v>1</v>
      </c>
    </row>
    <row r="3273" spans="1:16" x14ac:dyDescent="0.25">
      <c r="A3273" t="s">
        <v>1430</v>
      </c>
      <c r="B3273">
        <v>254</v>
      </c>
      <c r="C3273" t="s">
        <v>6178</v>
      </c>
      <c r="D3273" t="s">
        <v>512</v>
      </c>
      <c r="E3273" s="13">
        <v>10</v>
      </c>
      <c r="F3273" s="12">
        <v>21.59</v>
      </c>
      <c r="G3273" t="str">
        <f>IFERROR(INDEX(tEditais[Órgão],MATCH(tItens[[#This Row],[Edital]],tEditais[Edital],0)),"")</f>
        <v>MUNICIPIO DE AMPARO DO SERRA</v>
      </c>
      <c r="H3273" t="str">
        <f>IFERROR(INDEX(tEditais[UF],MATCH(tItens[[#This Row],[Edital]],tEditais[Edital],0)),"")</f>
        <v>MG</v>
      </c>
      <c r="I3273" s="11">
        <f>IFERROR(INDEX(tEditais[Encerramento],MATCH(tItens[[#This Row],[Edital]],tEditais[Edital],0)),"")</f>
        <v>46309.333333333336</v>
      </c>
      <c r="J3273" t="str">
        <f>IFERROR(INDEX(tProdutos[Classe],MATCH(tItens[[#This Row],[Produto]],tProdutos[Produto],0)),"produto não cadastrado")</f>
        <v>FILA REBASE</v>
      </c>
      <c r="K3273" s="12">
        <f>tItens[[#This Row],[Qtd]]*tItens[[#This Row],[Vlr unit]]</f>
        <v>215.9</v>
      </c>
      <c r="L3273" s="6">
        <f>IFERROR(IF(INDEX(tProdutos[Desconto homologado],MATCH(tItens[[#This Row],[Produto]],tProdutos[Produto],0))="",DescontoPadrao,INDEX(tProdutos[Desconto homologado],MATCH(tItens[[#This Row],[Produto]],tProdutos[Produto],0))),DescontoPadrao)</f>
        <v>0.32579365079365102</v>
      </c>
      <c r="M3273" s="12">
        <f>tItens[[#This Row],[Valor]]*(1-tItens[[#This Row],[Desconto]])</f>
        <v>145.56115079365077</v>
      </c>
      <c r="N3273" t="str">
        <f>IFERROR(INDEX(tProdutos[Foco],MATCH(tItens[[#This Row],[Produto]],tProdutos[Produto],0)),"Não")</f>
        <v>Não</v>
      </c>
      <c r="O3273" t="str">
        <f>IFERROR(INDEX(tEditais[SRP],MATCH(tItens[[#This Row],[Edital]],tEditais[Edital],0)),"Não")</f>
        <v>Não</v>
      </c>
      <c r="P3273" s="4">
        <f>IF(COUNTIFS(INDEX(tItens[Edital],1):tItens[[#This Row],[Edital]],tItens[[#This Row],[Edital]],INDEX(tItens[Produto],1):tItens[[#This Row],[Produto]],tItens[[#This Row],[Produto]])=1,1,0)</f>
        <v>1</v>
      </c>
    </row>
    <row r="3274" spans="1:16" x14ac:dyDescent="0.25">
      <c r="A3274" t="s">
        <v>1430</v>
      </c>
      <c r="B3274">
        <v>255</v>
      </c>
      <c r="C3274" t="s">
        <v>6179</v>
      </c>
      <c r="D3274" t="s">
        <v>512</v>
      </c>
      <c r="E3274" s="13">
        <v>10</v>
      </c>
      <c r="F3274" s="12">
        <v>9.69</v>
      </c>
      <c r="G3274" t="str">
        <f>IFERROR(INDEX(tEditais[Órgão],MATCH(tItens[[#This Row],[Edital]],tEditais[Edital],0)),"")</f>
        <v>MUNICIPIO DE AMPARO DO SERRA</v>
      </c>
      <c r="H3274" t="str">
        <f>IFERROR(INDEX(tEditais[UF],MATCH(tItens[[#This Row],[Edital]],tEditais[Edital],0)),"")</f>
        <v>MG</v>
      </c>
      <c r="I3274" s="11">
        <f>IFERROR(INDEX(tEditais[Encerramento],MATCH(tItens[[#This Row],[Edital]],tEditais[Edital],0)),"")</f>
        <v>46309.333333333336</v>
      </c>
      <c r="J3274" t="str">
        <f>IFERROR(INDEX(tProdutos[Classe],MATCH(tItens[[#This Row],[Produto]],tProdutos[Produto],0)),"produto não cadastrado")</f>
        <v>FILA REBASE</v>
      </c>
      <c r="K3274" s="12">
        <f>tItens[[#This Row],[Qtd]]*tItens[[#This Row],[Vlr unit]]</f>
        <v>96.899999999999991</v>
      </c>
      <c r="L3274" s="6">
        <f>IFERROR(IF(INDEX(tProdutos[Desconto homologado],MATCH(tItens[[#This Row],[Produto]],tProdutos[Produto],0))="",DescontoPadrao,INDEX(tProdutos[Desconto homologado],MATCH(tItens[[#This Row],[Produto]],tProdutos[Produto],0))),DescontoPadrao)</f>
        <v>0.32579365079365102</v>
      </c>
      <c r="M3274" s="12">
        <f>tItens[[#This Row],[Valor]]*(1-tItens[[#This Row],[Desconto]])</f>
        <v>65.330595238095214</v>
      </c>
      <c r="N3274" t="str">
        <f>IFERROR(INDEX(tProdutos[Foco],MATCH(tItens[[#This Row],[Produto]],tProdutos[Produto],0)),"Não")</f>
        <v>Não</v>
      </c>
      <c r="O3274" t="str">
        <f>IFERROR(INDEX(tEditais[SRP],MATCH(tItens[[#This Row],[Edital]],tEditais[Edital],0)),"Não")</f>
        <v>Não</v>
      </c>
      <c r="P3274" s="4">
        <f>IF(COUNTIFS(INDEX(tItens[Edital],1):tItens[[#This Row],[Edital]],tItens[[#This Row],[Edital]],INDEX(tItens[Produto],1):tItens[[#This Row],[Produto]],tItens[[#This Row],[Produto]])=1,1,0)</f>
        <v>0</v>
      </c>
    </row>
    <row r="3275" spans="1:16" x14ac:dyDescent="0.25">
      <c r="A3275" t="s">
        <v>1430</v>
      </c>
      <c r="B3275">
        <v>256</v>
      </c>
      <c r="C3275" t="s">
        <v>6180</v>
      </c>
      <c r="D3275" t="s">
        <v>512</v>
      </c>
      <c r="E3275" s="13">
        <v>10</v>
      </c>
      <c r="F3275" s="12">
        <v>9.9499999999999993</v>
      </c>
      <c r="G3275" t="str">
        <f>IFERROR(INDEX(tEditais[Órgão],MATCH(tItens[[#This Row],[Edital]],tEditais[Edital],0)),"")</f>
        <v>MUNICIPIO DE AMPARO DO SERRA</v>
      </c>
      <c r="H3275" t="str">
        <f>IFERROR(INDEX(tEditais[UF],MATCH(tItens[[#This Row],[Edital]],tEditais[Edital],0)),"")</f>
        <v>MG</v>
      </c>
      <c r="I3275" s="11">
        <f>IFERROR(INDEX(tEditais[Encerramento],MATCH(tItens[[#This Row],[Edital]],tEditais[Edital],0)),"")</f>
        <v>46309.333333333336</v>
      </c>
      <c r="J3275" t="str">
        <f>IFERROR(INDEX(tProdutos[Classe],MATCH(tItens[[#This Row],[Produto]],tProdutos[Produto],0)),"produto não cadastrado")</f>
        <v>FILA REBASE</v>
      </c>
      <c r="K3275" s="12">
        <f>tItens[[#This Row],[Qtd]]*tItens[[#This Row],[Vlr unit]]</f>
        <v>99.5</v>
      </c>
      <c r="L3275" s="6">
        <f>IFERROR(IF(INDEX(tProdutos[Desconto homologado],MATCH(tItens[[#This Row],[Produto]],tProdutos[Produto],0))="",DescontoPadrao,INDEX(tProdutos[Desconto homologado],MATCH(tItens[[#This Row],[Produto]],tProdutos[Produto],0))),DescontoPadrao)</f>
        <v>0.32579365079365102</v>
      </c>
      <c r="M3275" s="12">
        <f>tItens[[#This Row],[Valor]]*(1-tItens[[#This Row],[Desconto]])</f>
        <v>67.083531746031724</v>
      </c>
      <c r="N3275" t="str">
        <f>IFERROR(INDEX(tProdutos[Foco],MATCH(tItens[[#This Row],[Produto]],tProdutos[Produto],0)),"Não")</f>
        <v>Não</v>
      </c>
      <c r="O3275" t="str">
        <f>IFERROR(INDEX(tEditais[SRP],MATCH(tItens[[#This Row],[Edital]],tEditais[Edital],0)),"Não")</f>
        <v>Não</v>
      </c>
      <c r="P3275" s="4">
        <f>IF(COUNTIFS(INDEX(tItens[Edital],1):tItens[[#This Row],[Edital]],tItens[[#This Row],[Edital]],INDEX(tItens[Produto],1):tItens[[#This Row],[Produto]],tItens[[#This Row],[Produto]])=1,1,0)</f>
        <v>0</v>
      </c>
    </row>
    <row r="3276" spans="1:16" x14ac:dyDescent="0.25">
      <c r="A3276" t="s">
        <v>1430</v>
      </c>
      <c r="B3276">
        <v>259</v>
      </c>
      <c r="C3276" t="s">
        <v>6181</v>
      </c>
      <c r="D3276" t="s">
        <v>467</v>
      </c>
      <c r="E3276" s="13">
        <v>20</v>
      </c>
      <c r="F3276" s="12">
        <v>157.01</v>
      </c>
      <c r="G3276" t="str">
        <f>IFERROR(INDEX(tEditais[Órgão],MATCH(tItens[[#This Row],[Edital]],tEditais[Edital],0)),"")</f>
        <v>MUNICIPIO DE AMPARO DO SERRA</v>
      </c>
      <c r="H3276" t="str">
        <f>IFERROR(INDEX(tEditais[UF],MATCH(tItens[[#This Row],[Edital]],tEditais[Edital],0)),"")</f>
        <v>MG</v>
      </c>
      <c r="I3276" s="11">
        <f>IFERROR(INDEX(tEditais[Encerramento],MATCH(tItens[[#This Row],[Edital]],tEditais[Edital],0)),"")</f>
        <v>46309.333333333336</v>
      </c>
      <c r="J3276" t="str">
        <f>IFERROR(INDEX(tProdutos[Classe],MATCH(tItens[[#This Row],[Produto]],tProdutos[Produto],0)),"produto não cadastrado")</f>
        <v>FILA REBASE</v>
      </c>
      <c r="K3276" s="12">
        <f>tItens[[#This Row],[Qtd]]*tItens[[#This Row],[Vlr unit]]</f>
        <v>3140.2</v>
      </c>
      <c r="L3276" s="6">
        <f>IFERROR(IF(INDEX(tProdutos[Desconto homologado],MATCH(tItens[[#This Row],[Produto]],tProdutos[Produto],0))="",DescontoPadrao,INDEX(tProdutos[Desconto homologado],MATCH(tItens[[#This Row],[Produto]],tProdutos[Produto],0))),DescontoPadrao)</f>
        <v>0.25007144898542499</v>
      </c>
      <c r="M3276" s="12">
        <f>tItens[[#This Row],[Valor]]*(1-tItens[[#This Row],[Desconto]])</f>
        <v>2354.9256358959683</v>
      </c>
      <c r="N3276" t="str">
        <f>IFERROR(INDEX(tProdutos[Foco],MATCH(tItens[[#This Row],[Produto]],tProdutos[Produto],0)),"Não")</f>
        <v>Não</v>
      </c>
      <c r="O3276" t="str">
        <f>IFERROR(INDEX(tEditais[SRP],MATCH(tItens[[#This Row],[Edital]],tEditais[Edital],0)),"Não")</f>
        <v>Não</v>
      </c>
      <c r="P3276" s="4">
        <f>IF(COUNTIFS(INDEX(tItens[Edital],1):tItens[[#This Row],[Edital]],tItens[[#This Row],[Edital]],INDEX(tItens[Produto],1):tItens[[#This Row],[Produto]],tItens[[#This Row],[Produto]])=1,1,0)</f>
        <v>1</v>
      </c>
    </row>
    <row r="3277" spans="1:16" x14ac:dyDescent="0.25">
      <c r="A3277" t="s">
        <v>1430</v>
      </c>
      <c r="B3277">
        <v>283</v>
      </c>
      <c r="C3277" t="s">
        <v>6182</v>
      </c>
      <c r="D3277" t="s">
        <v>56</v>
      </c>
      <c r="E3277" s="13">
        <v>30</v>
      </c>
      <c r="F3277" s="12">
        <v>39.97</v>
      </c>
      <c r="G3277" t="str">
        <f>IFERROR(INDEX(tEditais[Órgão],MATCH(tItens[[#This Row],[Edital]],tEditais[Edital],0)),"")</f>
        <v>MUNICIPIO DE AMPARO DO SERRA</v>
      </c>
      <c r="H3277" t="str">
        <f>IFERROR(INDEX(tEditais[UF],MATCH(tItens[[#This Row],[Edital]],tEditais[Edital],0)),"")</f>
        <v>MG</v>
      </c>
      <c r="I3277" s="11">
        <f>IFERROR(INDEX(tEditais[Encerramento],MATCH(tItens[[#This Row],[Edital]],tEditais[Edital],0)),"")</f>
        <v>46309.333333333336</v>
      </c>
      <c r="J3277" t="str">
        <f>IFERROR(INDEX(tProdutos[Classe],MATCH(tItens[[#This Row],[Produto]],tProdutos[Produto],0)),"produto não cadastrado")</f>
        <v>NÚCLEO</v>
      </c>
      <c r="K3277" s="12">
        <f>tItens[[#This Row],[Qtd]]*tItens[[#This Row],[Vlr unit]]</f>
        <v>1199.0999999999999</v>
      </c>
      <c r="L3277" s="6">
        <f>IFERROR(IF(INDEX(tProdutos[Desconto homologado],MATCH(tItens[[#This Row],[Produto]],tProdutos[Produto],0))="",DescontoPadrao,INDEX(tProdutos[Desconto homologado],MATCH(tItens[[#This Row],[Produto]],tProdutos[Produto],0))),DescontoPadrao)</f>
        <v>0.34</v>
      </c>
      <c r="M3277" s="12">
        <f>tItens[[#This Row],[Valor]]*(1-tItens[[#This Row],[Desconto]])</f>
        <v>791.40599999999984</v>
      </c>
      <c r="N3277" t="str">
        <f>IFERROR(INDEX(tProdutos[Foco],MATCH(tItens[[#This Row],[Produto]],tProdutos[Produto],0)),"Não")</f>
        <v>Sim</v>
      </c>
      <c r="O3277" t="str">
        <f>IFERROR(INDEX(tEditais[SRP],MATCH(tItens[[#This Row],[Edital]],tEditais[Edital],0)),"Não")</f>
        <v>Não</v>
      </c>
      <c r="P3277" s="4">
        <f>IF(COUNTIFS(INDEX(tItens[Edital],1):tItens[[#This Row],[Edital]],tItens[[#This Row],[Edital]],INDEX(tItens[Produto],1):tItens[[#This Row],[Produto]],tItens[[#This Row],[Produto]])=1,1,0)</f>
        <v>1</v>
      </c>
    </row>
    <row r="3278" spans="1:16" x14ac:dyDescent="0.25">
      <c r="A3278" t="s">
        <v>1430</v>
      </c>
      <c r="B3278">
        <v>284</v>
      </c>
      <c r="C3278" t="s">
        <v>6183</v>
      </c>
      <c r="D3278" t="s">
        <v>56</v>
      </c>
      <c r="E3278" s="13">
        <v>30</v>
      </c>
      <c r="F3278" s="12">
        <v>45.92</v>
      </c>
      <c r="G3278" t="str">
        <f>IFERROR(INDEX(tEditais[Órgão],MATCH(tItens[[#This Row],[Edital]],tEditais[Edital],0)),"")</f>
        <v>MUNICIPIO DE AMPARO DO SERRA</v>
      </c>
      <c r="H3278" t="str">
        <f>IFERROR(INDEX(tEditais[UF],MATCH(tItens[[#This Row],[Edital]],tEditais[Edital],0)),"")</f>
        <v>MG</v>
      </c>
      <c r="I3278" s="11">
        <f>IFERROR(INDEX(tEditais[Encerramento],MATCH(tItens[[#This Row],[Edital]],tEditais[Edital],0)),"")</f>
        <v>46309.333333333336</v>
      </c>
      <c r="J3278" t="str">
        <f>IFERROR(INDEX(tProdutos[Classe],MATCH(tItens[[#This Row],[Produto]],tProdutos[Produto],0)),"produto não cadastrado")</f>
        <v>NÚCLEO</v>
      </c>
      <c r="K3278" s="12">
        <f>tItens[[#This Row],[Qtd]]*tItens[[#This Row],[Vlr unit]]</f>
        <v>1377.6000000000001</v>
      </c>
      <c r="L3278" s="6">
        <f>IFERROR(IF(INDEX(tProdutos[Desconto homologado],MATCH(tItens[[#This Row],[Produto]],tProdutos[Produto],0))="",DescontoPadrao,INDEX(tProdutos[Desconto homologado],MATCH(tItens[[#This Row],[Produto]],tProdutos[Produto],0))),DescontoPadrao)</f>
        <v>0.34</v>
      </c>
      <c r="M3278" s="12">
        <f>tItens[[#This Row],[Valor]]*(1-tItens[[#This Row],[Desconto]])</f>
        <v>909.21600000000001</v>
      </c>
      <c r="N3278" t="str">
        <f>IFERROR(INDEX(tProdutos[Foco],MATCH(tItens[[#This Row],[Produto]],tProdutos[Produto],0)),"Não")</f>
        <v>Sim</v>
      </c>
      <c r="O3278" t="str">
        <f>IFERROR(INDEX(tEditais[SRP],MATCH(tItens[[#This Row],[Edital]],tEditais[Edital],0)),"Não")</f>
        <v>Não</v>
      </c>
      <c r="P3278" s="4">
        <f>IF(COUNTIFS(INDEX(tItens[Edital],1):tItens[[#This Row],[Edital]],tItens[[#This Row],[Edital]],INDEX(tItens[Produto],1):tItens[[#This Row],[Produto]],tItens[[#This Row],[Produto]])=1,1,0)</f>
        <v>0</v>
      </c>
    </row>
    <row r="3279" spans="1:16" x14ac:dyDescent="0.25">
      <c r="A3279" t="s">
        <v>1430</v>
      </c>
      <c r="B3279">
        <v>285</v>
      </c>
      <c r="C3279" t="s">
        <v>6184</v>
      </c>
      <c r="D3279" t="s">
        <v>56</v>
      </c>
      <c r="E3279" s="13">
        <v>30</v>
      </c>
      <c r="F3279" s="12">
        <v>40.15</v>
      </c>
      <c r="G3279" t="str">
        <f>IFERROR(INDEX(tEditais[Órgão],MATCH(tItens[[#This Row],[Edital]],tEditais[Edital],0)),"")</f>
        <v>MUNICIPIO DE AMPARO DO SERRA</v>
      </c>
      <c r="H3279" t="str">
        <f>IFERROR(INDEX(tEditais[UF],MATCH(tItens[[#This Row],[Edital]],tEditais[Edital],0)),"")</f>
        <v>MG</v>
      </c>
      <c r="I3279" s="11">
        <f>IFERROR(INDEX(tEditais[Encerramento],MATCH(tItens[[#This Row],[Edital]],tEditais[Edital],0)),"")</f>
        <v>46309.333333333336</v>
      </c>
      <c r="J3279" t="str">
        <f>IFERROR(INDEX(tProdutos[Classe],MATCH(tItens[[#This Row],[Produto]],tProdutos[Produto],0)),"produto não cadastrado")</f>
        <v>NÚCLEO</v>
      </c>
      <c r="K3279" s="12">
        <f>tItens[[#This Row],[Qtd]]*tItens[[#This Row],[Vlr unit]]</f>
        <v>1204.5</v>
      </c>
      <c r="L3279" s="6">
        <f>IFERROR(IF(INDEX(tProdutos[Desconto homologado],MATCH(tItens[[#This Row],[Produto]],tProdutos[Produto],0))="",DescontoPadrao,INDEX(tProdutos[Desconto homologado],MATCH(tItens[[#This Row],[Produto]],tProdutos[Produto],0))),DescontoPadrao)</f>
        <v>0.34</v>
      </c>
      <c r="M3279" s="12">
        <f>tItens[[#This Row],[Valor]]*(1-tItens[[#This Row],[Desconto]])</f>
        <v>794.96999999999991</v>
      </c>
      <c r="N3279" t="str">
        <f>IFERROR(INDEX(tProdutos[Foco],MATCH(tItens[[#This Row],[Produto]],tProdutos[Produto],0)),"Não")</f>
        <v>Sim</v>
      </c>
      <c r="O3279" t="str">
        <f>IFERROR(INDEX(tEditais[SRP],MATCH(tItens[[#This Row],[Edital]],tEditais[Edital],0)),"Não")</f>
        <v>Não</v>
      </c>
      <c r="P3279" s="4">
        <f>IF(COUNTIFS(INDEX(tItens[Edital],1):tItens[[#This Row],[Edital]],tItens[[#This Row],[Edital]],INDEX(tItens[Produto],1):tItens[[#This Row],[Produto]],tItens[[#This Row],[Produto]])=1,1,0)</f>
        <v>0</v>
      </c>
    </row>
    <row r="3280" spans="1:16" x14ac:dyDescent="0.25">
      <c r="A3280" t="s">
        <v>1430</v>
      </c>
      <c r="B3280">
        <v>286</v>
      </c>
      <c r="C3280" t="s">
        <v>6185</v>
      </c>
      <c r="D3280" t="s">
        <v>56</v>
      </c>
      <c r="E3280" s="13">
        <v>40</v>
      </c>
      <c r="F3280" s="12">
        <v>42.24</v>
      </c>
      <c r="G3280" t="str">
        <f>IFERROR(INDEX(tEditais[Órgão],MATCH(tItens[[#This Row],[Edital]],tEditais[Edital],0)),"")</f>
        <v>MUNICIPIO DE AMPARO DO SERRA</v>
      </c>
      <c r="H3280" t="str">
        <f>IFERROR(INDEX(tEditais[UF],MATCH(tItens[[#This Row],[Edital]],tEditais[Edital],0)),"")</f>
        <v>MG</v>
      </c>
      <c r="I3280" s="11">
        <f>IFERROR(INDEX(tEditais[Encerramento],MATCH(tItens[[#This Row],[Edital]],tEditais[Edital],0)),"")</f>
        <v>46309.333333333336</v>
      </c>
      <c r="J3280" t="str">
        <f>IFERROR(INDEX(tProdutos[Classe],MATCH(tItens[[#This Row],[Produto]],tProdutos[Produto],0)),"produto não cadastrado")</f>
        <v>NÚCLEO</v>
      </c>
      <c r="K3280" s="12">
        <f>tItens[[#This Row],[Qtd]]*tItens[[#This Row],[Vlr unit]]</f>
        <v>1689.6000000000001</v>
      </c>
      <c r="L3280" s="6">
        <f>IFERROR(IF(INDEX(tProdutos[Desconto homologado],MATCH(tItens[[#This Row],[Produto]],tProdutos[Produto],0))="",DescontoPadrao,INDEX(tProdutos[Desconto homologado],MATCH(tItens[[#This Row],[Produto]],tProdutos[Produto],0))),DescontoPadrao)</f>
        <v>0.34</v>
      </c>
      <c r="M3280" s="12">
        <f>tItens[[#This Row],[Valor]]*(1-tItens[[#This Row],[Desconto]])</f>
        <v>1115.136</v>
      </c>
      <c r="N3280" t="str">
        <f>IFERROR(INDEX(tProdutos[Foco],MATCH(tItens[[#This Row],[Produto]],tProdutos[Produto],0)),"Não")</f>
        <v>Sim</v>
      </c>
      <c r="O3280" t="str">
        <f>IFERROR(INDEX(tEditais[SRP],MATCH(tItens[[#This Row],[Edital]],tEditais[Edital],0)),"Não")</f>
        <v>Não</v>
      </c>
      <c r="P3280" s="4">
        <f>IF(COUNTIFS(INDEX(tItens[Edital],1):tItens[[#This Row],[Edital]],tItens[[#This Row],[Edital]],INDEX(tItens[Produto],1):tItens[[#This Row],[Produto]],tItens[[#This Row],[Produto]])=1,1,0)</f>
        <v>0</v>
      </c>
    </row>
    <row r="3281" spans="1:16" x14ac:dyDescent="0.25">
      <c r="A3281" t="s">
        <v>1430</v>
      </c>
      <c r="B3281">
        <v>287</v>
      </c>
      <c r="C3281" t="s">
        <v>6186</v>
      </c>
      <c r="D3281" t="s">
        <v>56</v>
      </c>
      <c r="E3281" s="13">
        <v>30</v>
      </c>
      <c r="F3281" s="12">
        <v>38.5</v>
      </c>
      <c r="G3281" t="str">
        <f>IFERROR(INDEX(tEditais[Órgão],MATCH(tItens[[#This Row],[Edital]],tEditais[Edital],0)),"")</f>
        <v>MUNICIPIO DE AMPARO DO SERRA</v>
      </c>
      <c r="H3281" t="str">
        <f>IFERROR(INDEX(tEditais[UF],MATCH(tItens[[#This Row],[Edital]],tEditais[Edital],0)),"")</f>
        <v>MG</v>
      </c>
      <c r="I3281" s="11">
        <f>IFERROR(INDEX(tEditais[Encerramento],MATCH(tItens[[#This Row],[Edital]],tEditais[Edital],0)),"")</f>
        <v>46309.333333333336</v>
      </c>
      <c r="J3281" t="str">
        <f>IFERROR(INDEX(tProdutos[Classe],MATCH(tItens[[#This Row],[Produto]],tProdutos[Produto],0)),"produto não cadastrado")</f>
        <v>NÚCLEO</v>
      </c>
      <c r="K3281" s="12">
        <f>tItens[[#This Row],[Qtd]]*tItens[[#This Row],[Vlr unit]]</f>
        <v>1155</v>
      </c>
      <c r="L3281" s="6">
        <f>IFERROR(IF(INDEX(tProdutos[Desconto homologado],MATCH(tItens[[#This Row],[Produto]],tProdutos[Produto],0))="",DescontoPadrao,INDEX(tProdutos[Desconto homologado],MATCH(tItens[[#This Row],[Produto]],tProdutos[Produto],0))),DescontoPadrao)</f>
        <v>0.34</v>
      </c>
      <c r="M3281" s="12">
        <f>tItens[[#This Row],[Valor]]*(1-tItens[[#This Row],[Desconto]])</f>
        <v>762.3</v>
      </c>
      <c r="N3281" t="str">
        <f>IFERROR(INDEX(tProdutos[Foco],MATCH(tItens[[#This Row],[Produto]],tProdutos[Produto],0)),"Não")</f>
        <v>Sim</v>
      </c>
      <c r="O3281" t="str">
        <f>IFERROR(INDEX(tEditais[SRP],MATCH(tItens[[#This Row],[Edital]],tEditais[Edital],0)),"Não")</f>
        <v>Não</v>
      </c>
      <c r="P3281" s="4">
        <f>IF(COUNTIFS(INDEX(tItens[Edital],1):tItens[[#This Row],[Edital]],tItens[[#This Row],[Edital]],INDEX(tItens[Produto],1):tItens[[#This Row],[Produto]],tItens[[#This Row],[Produto]])=1,1,0)</f>
        <v>0</v>
      </c>
    </row>
    <row r="3282" spans="1:16" x14ac:dyDescent="0.25">
      <c r="A3282" t="s">
        <v>1430</v>
      </c>
      <c r="B3282">
        <v>288</v>
      </c>
      <c r="C3282" t="s">
        <v>6187</v>
      </c>
      <c r="D3282" t="s">
        <v>56</v>
      </c>
      <c r="E3282" s="13">
        <v>30</v>
      </c>
      <c r="F3282" s="12">
        <v>35.270000000000003</v>
      </c>
      <c r="G3282" t="str">
        <f>IFERROR(INDEX(tEditais[Órgão],MATCH(tItens[[#This Row],[Edital]],tEditais[Edital],0)),"")</f>
        <v>MUNICIPIO DE AMPARO DO SERRA</v>
      </c>
      <c r="H3282" t="str">
        <f>IFERROR(INDEX(tEditais[UF],MATCH(tItens[[#This Row],[Edital]],tEditais[Edital],0)),"")</f>
        <v>MG</v>
      </c>
      <c r="I3282" s="11">
        <f>IFERROR(INDEX(tEditais[Encerramento],MATCH(tItens[[#This Row],[Edital]],tEditais[Edital],0)),"")</f>
        <v>46309.333333333336</v>
      </c>
      <c r="J3282" t="str">
        <f>IFERROR(INDEX(tProdutos[Classe],MATCH(tItens[[#This Row],[Produto]],tProdutos[Produto],0)),"produto não cadastrado")</f>
        <v>NÚCLEO</v>
      </c>
      <c r="K3282" s="12">
        <f>tItens[[#This Row],[Qtd]]*tItens[[#This Row],[Vlr unit]]</f>
        <v>1058.1000000000001</v>
      </c>
      <c r="L3282" s="6">
        <f>IFERROR(IF(INDEX(tProdutos[Desconto homologado],MATCH(tItens[[#This Row],[Produto]],tProdutos[Produto],0))="",DescontoPadrao,INDEX(tProdutos[Desconto homologado],MATCH(tItens[[#This Row],[Produto]],tProdutos[Produto],0))),DescontoPadrao)</f>
        <v>0.34</v>
      </c>
      <c r="M3282" s="12">
        <f>tItens[[#This Row],[Valor]]*(1-tItens[[#This Row],[Desconto]])</f>
        <v>698.346</v>
      </c>
      <c r="N3282" t="str">
        <f>IFERROR(INDEX(tProdutos[Foco],MATCH(tItens[[#This Row],[Produto]],tProdutos[Produto],0)),"Não")</f>
        <v>Sim</v>
      </c>
      <c r="O3282" t="str">
        <f>IFERROR(INDEX(tEditais[SRP],MATCH(tItens[[#This Row],[Edital]],tEditais[Edital],0)),"Não")</f>
        <v>Não</v>
      </c>
      <c r="P3282" s="4">
        <f>IF(COUNTIFS(INDEX(tItens[Edital],1):tItens[[#This Row],[Edital]],tItens[[#This Row],[Edital]],INDEX(tItens[Produto],1):tItens[[#This Row],[Produto]],tItens[[#This Row],[Produto]])=1,1,0)</f>
        <v>0</v>
      </c>
    </row>
    <row r="3283" spans="1:16" x14ac:dyDescent="0.25">
      <c r="A3283" t="s">
        <v>1430</v>
      </c>
      <c r="B3283">
        <v>289</v>
      </c>
      <c r="C3283" t="s">
        <v>6188</v>
      </c>
      <c r="D3283" t="s">
        <v>56</v>
      </c>
      <c r="E3283" s="13">
        <v>30</v>
      </c>
      <c r="F3283" s="12">
        <v>38.479999999999997</v>
      </c>
      <c r="G3283" t="str">
        <f>IFERROR(INDEX(tEditais[Órgão],MATCH(tItens[[#This Row],[Edital]],tEditais[Edital],0)),"")</f>
        <v>MUNICIPIO DE AMPARO DO SERRA</v>
      </c>
      <c r="H3283" t="str">
        <f>IFERROR(INDEX(tEditais[UF],MATCH(tItens[[#This Row],[Edital]],tEditais[Edital],0)),"")</f>
        <v>MG</v>
      </c>
      <c r="I3283" s="11">
        <f>IFERROR(INDEX(tEditais[Encerramento],MATCH(tItens[[#This Row],[Edital]],tEditais[Edital],0)),"")</f>
        <v>46309.333333333336</v>
      </c>
      <c r="J3283" t="str">
        <f>IFERROR(INDEX(tProdutos[Classe],MATCH(tItens[[#This Row],[Produto]],tProdutos[Produto],0)),"produto não cadastrado")</f>
        <v>NÚCLEO</v>
      </c>
      <c r="K3283" s="12">
        <f>tItens[[#This Row],[Qtd]]*tItens[[#This Row],[Vlr unit]]</f>
        <v>1154.3999999999999</v>
      </c>
      <c r="L3283" s="6">
        <f>IFERROR(IF(INDEX(tProdutos[Desconto homologado],MATCH(tItens[[#This Row],[Produto]],tProdutos[Produto],0))="",DescontoPadrao,INDEX(tProdutos[Desconto homologado],MATCH(tItens[[#This Row],[Produto]],tProdutos[Produto],0))),DescontoPadrao)</f>
        <v>0.34</v>
      </c>
      <c r="M3283" s="12">
        <f>tItens[[#This Row],[Valor]]*(1-tItens[[#This Row],[Desconto]])</f>
        <v>761.90399999999977</v>
      </c>
      <c r="N3283" t="str">
        <f>IFERROR(INDEX(tProdutos[Foco],MATCH(tItens[[#This Row],[Produto]],tProdutos[Produto],0)),"Não")</f>
        <v>Sim</v>
      </c>
      <c r="O3283" t="str">
        <f>IFERROR(INDEX(tEditais[SRP],MATCH(tItens[[#This Row],[Edital]],tEditais[Edital],0)),"Não")</f>
        <v>Não</v>
      </c>
      <c r="P3283" s="4">
        <f>IF(COUNTIFS(INDEX(tItens[Edital],1):tItens[[#This Row],[Edital]],tItens[[#This Row],[Edital]],INDEX(tItens[Produto],1):tItens[[#This Row],[Produto]],tItens[[#This Row],[Produto]])=1,1,0)</f>
        <v>0</v>
      </c>
    </row>
    <row r="3284" spans="1:16" x14ac:dyDescent="0.25">
      <c r="A3284" t="s">
        <v>1430</v>
      </c>
      <c r="B3284">
        <v>290</v>
      </c>
      <c r="C3284" t="s">
        <v>6189</v>
      </c>
      <c r="D3284" t="s">
        <v>56</v>
      </c>
      <c r="E3284" s="13">
        <v>30</v>
      </c>
      <c r="F3284" s="12">
        <v>41.66</v>
      </c>
      <c r="G3284" t="str">
        <f>IFERROR(INDEX(tEditais[Órgão],MATCH(tItens[[#This Row],[Edital]],tEditais[Edital],0)),"")</f>
        <v>MUNICIPIO DE AMPARO DO SERRA</v>
      </c>
      <c r="H3284" t="str">
        <f>IFERROR(INDEX(tEditais[UF],MATCH(tItens[[#This Row],[Edital]],tEditais[Edital],0)),"")</f>
        <v>MG</v>
      </c>
      <c r="I3284" s="11">
        <f>IFERROR(INDEX(tEditais[Encerramento],MATCH(tItens[[#This Row],[Edital]],tEditais[Edital],0)),"")</f>
        <v>46309.333333333336</v>
      </c>
      <c r="J3284" t="str">
        <f>IFERROR(INDEX(tProdutos[Classe],MATCH(tItens[[#This Row],[Produto]],tProdutos[Produto],0)),"produto não cadastrado")</f>
        <v>NÚCLEO</v>
      </c>
      <c r="K3284" s="12">
        <f>tItens[[#This Row],[Qtd]]*tItens[[#This Row],[Vlr unit]]</f>
        <v>1249.8</v>
      </c>
      <c r="L3284" s="6">
        <f>IFERROR(IF(INDEX(tProdutos[Desconto homologado],MATCH(tItens[[#This Row],[Produto]],tProdutos[Produto],0))="",DescontoPadrao,INDEX(tProdutos[Desconto homologado],MATCH(tItens[[#This Row],[Produto]],tProdutos[Produto],0))),DescontoPadrao)</f>
        <v>0.34</v>
      </c>
      <c r="M3284" s="12">
        <f>tItens[[#This Row],[Valor]]*(1-tItens[[#This Row],[Desconto]])</f>
        <v>824.86799999999982</v>
      </c>
      <c r="N3284" t="str">
        <f>IFERROR(INDEX(tProdutos[Foco],MATCH(tItens[[#This Row],[Produto]],tProdutos[Produto],0)),"Não")</f>
        <v>Sim</v>
      </c>
      <c r="O3284" t="str">
        <f>IFERROR(INDEX(tEditais[SRP],MATCH(tItens[[#This Row],[Edital]],tEditais[Edital],0)),"Não")</f>
        <v>Não</v>
      </c>
      <c r="P3284" s="4">
        <f>IF(COUNTIFS(INDEX(tItens[Edital],1):tItens[[#This Row],[Edital]],tItens[[#This Row],[Edital]],INDEX(tItens[Produto],1):tItens[[#This Row],[Produto]],tItens[[#This Row],[Produto]])=1,1,0)</f>
        <v>0</v>
      </c>
    </row>
    <row r="3285" spans="1:16" x14ac:dyDescent="0.25">
      <c r="A3285" t="s">
        <v>1430</v>
      </c>
      <c r="B3285">
        <v>291</v>
      </c>
      <c r="C3285" t="s">
        <v>6190</v>
      </c>
      <c r="D3285" t="s">
        <v>56</v>
      </c>
      <c r="E3285" s="13">
        <v>30</v>
      </c>
      <c r="F3285" s="12">
        <v>43.01</v>
      </c>
      <c r="G3285" t="str">
        <f>IFERROR(INDEX(tEditais[Órgão],MATCH(tItens[[#This Row],[Edital]],tEditais[Edital],0)),"")</f>
        <v>MUNICIPIO DE AMPARO DO SERRA</v>
      </c>
      <c r="H3285" t="str">
        <f>IFERROR(INDEX(tEditais[UF],MATCH(tItens[[#This Row],[Edital]],tEditais[Edital],0)),"")</f>
        <v>MG</v>
      </c>
      <c r="I3285" s="11">
        <f>IFERROR(INDEX(tEditais[Encerramento],MATCH(tItens[[#This Row],[Edital]],tEditais[Edital],0)),"")</f>
        <v>46309.333333333336</v>
      </c>
      <c r="J3285" t="str">
        <f>IFERROR(INDEX(tProdutos[Classe],MATCH(tItens[[#This Row],[Produto]],tProdutos[Produto],0)),"produto não cadastrado")</f>
        <v>NÚCLEO</v>
      </c>
      <c r="K3285" s="12">
        <f>tItens[[#This Row],[Qtd]]*tItens[[#This Row],[Vlr unit]]</f>
        <v>1290.3</v>
      </c>
      <c r="L3285" s="6">
        <f>IFERROR(IF(INDEX(tProdutos[Desconto homologado],MATCH(tItens[[#This Row],[Produto]],tProdutos[Produto],0))="",DescontoPadrao,INDEX(tProdutos[Desconto homologado],MATCH(tItens[[#This Row],[Produto]],tProdutos[Produto],0))),DescontoPadrao)</f>
        <v>0.34</v>
      </c>
      <c r="M3285" s="12">
        <f>tItens[[#This Row],[Valor]]*(1-tItens[[#This Row],[Desconto]])</f>
        <v>851.59799999999984</v>
      </c>
      <c r="N3285" t="str">
        <f>IFERROR(INDEX(tProdutos[Foco],MATCH(tItens[[#This Row],[Produto]],tProdutos[Produto],0)),"Não")</f>
        <v>Sim</v>
      </c>
      <c r="O3285" t="str">
        <f>IFERROR(INDEX(tEditais[SRP],MATCH(tItens[[#This Row],[Edital]],tEditais[Edital],0)),"Não")</f>
        <v>Não</v>
      </c>
      <c r="P3285" s="4">
        <f>IF(COUNTIFS(INDEX(tItens[Edital],1):tItens[[#This Row],[Edital]],tItens[[#This Row],[Edital]],INDEX(tItens[Produto],1):tItens[[#This Row],[Produto]],tItens[[#This Row],[Produto]])=1,1,0)</f>
        <v>0</v>
      </c>
    </row>
    <row r="3286" spans="1:16" x14ac:dyDescent="0.25">
      <c r="A3286" t="s">
        <v>1430</v>
      </c>
      <c r="B3286">
        <v>294</v>
      </c>
      <c r="C3286" t="s">
        <v>6191</v>
      </c>
      <c r="D3286" t="s">
        <v>277</v>
      </c>
      <c r="E3286" s="13">
        <v>80</v>
      </c>
      <c r="F3286" s="12">
        <v>15.87</v>
      </c>
      <c r="G3286" t="str">
        <f>IFERROR(INDEX(tEditais[Órgão],MATCH(tItens[[#This Row],[Edital]],tEditais[Edital],0)),"")</f>
        <v>MUNICIPIO DE AMPARO DO SERRA</v>
      </c>
      <c r="H3286" t="str">
        <f>IFERROR(INDEX(tEditais[UF],MATCH(tItens[[#This Row],[Edital]],tEditais[Edital],0)),"")</f>
        <v>MG</v>
      </c>
      <c r="I3286" s="11">
        <f>IFERROR(INDEX(tEditais[Encerramento],MATCH(tItens[[#This Row],[Edital]],tEditais[Edital],0)),"")</f>
        <v>46309.333333333336</v>
      </c>
      <c r="J3286" t="str">
        <f>IFERROR(INDEX(tProdutos[Classe],MATCH(tItens[[#This Row],[Produto]],tProdutos[Produto],0)),"produto não cadastrado")</f>
        <v>DISPUTADO</v>
      </c>
      <c r="K3286" s="12">
        <f>tItens[[#This Row],[Qtd]]*tItens[[#This Row],[Vlr unit]]</f>
        <v>1269.5999999999999</v>
      </c>
      <c r="L3286" s="6">
        <f>IFERROR(IF(INDEX(tProdutos[Desconto homologado],MATCH(tItens[[#This Row],[Produto]],tProdutos[Produto],0))="",DescontoPadrao,INDEX(tProdutos[Desconto homologado],MATCH(tItens[[#This Row],[Produto]],tProdutos[Produto],0))),DescontoPadrao)</f>
        <v>0.50460666194188497</v>
      </c>
      <c r="M3286" s="12">
        <f>tItens[[#This Row],[Valor]]*(1-tItens[[#This Row],[Desconto]])</f>
        <v>628.95138199858275</v>
      </c>
      <c r="N3286" t="str">
        <f>IFERROR(INDEX(tProdutos[Foco],MATCH(tItens[[#This Row],[Produto]],tProdutos[Produto],0)),"Não")</f>
        <v>Não</v>
      </c>
      <c r="O3286" t="str">
        <f>IFERROR(INDEX(tEditais[SRP],MATCH(tItens[[#This Row],[Edital]],tEditais[Edital],0)),"Não")</f>
        <v>Não</v>
      </c>
      <c r="P3286" s="4">
        <f>IF(COUNTIFS(INDEX(tItens[Edital],1):tItens[[#This Row],[Edital]],tItens[[#This Row],[Edital]],INDEX(tItens[Produto],1):tItens[[#This Row],[Produto]],tItens[[#This Row],[Produto]])=1,1,0)</f>
        <v>1</v>
      </c>
    </row>
    <row r="3287" spans="1:16" x14ac:dyDescent="0.25">
      <c r="A3287" t="s">
        <v>1430</v>
      </c>
      <c r="B3287">
        <v>295</v>
      </c>
      <c r="C3287" t="s">
        <v>6192</v>
      </c>
      <c r="D3287" t="s">
        <v>277</v>
      </c>
      <c r="E3287" s="13">
        <v>10</v>
      </c>
      <c r="F3287" s="12">
        <v>22.32</v>
      </c>
      <c r="G3287" t="str">
        <f>IFERROR(INDEX(tEditais[Órgão],MATCH(tItens[[#This Row],[Edital]],tEditais[Edital],0)),"")</f>
        <v>MUNICIPIO DE AMPARO DO SERRA</v>
      </c>
      <c r="H3287" t="str">
        <f>IFERROR(INDEX(tEditais[UF],MATCH(tItens[[#This Row],[Edital]],tEditais[Edital],0)),"")</f>
        <v>MG</v>
      </c>
      <c r="I3287" s="11">
        <f>IFERROR(INDEX(tEditais[Encerramento],MATCH(tItens[[#This Row],[Edital]],tEditais[Edital],0)),"")</f>
        <v>46309.333333333336</v>
      </c>
      <c r="J3287" t="str">
        <f>IFERROR(INDEX(tProdutos[Classe],MATCH(tItens[[#This Row],[Produto]],tProdutos[Produto],0)),"produto não cadastrado")</f>
        <v>DISPUTADO</v>
      </c>
      <c r="K3287" s="12">
        <f>tItens[[#This Row],[Qtd]]*tItens[[#This Row],[Vlr unit]]</f>
        <v>223.2</v>
      </c>
      <c r="L3287" s="6">
        <f>IFERROR(IF(INDEX(tProdutos[Desconto homologado],MATCH(tItens[[#This Row],[Produto]],tProdutos[Produto],0))="",DescontoPadrao,INDEX(tProdutos[Desconto homologado],MATCH(tItens[[#This Row],[Produto]],tProdutos[Produto],0))),DescontoPadrao)</f>
        <v>0.50460666194188497</v>
      </c>
      <c r="M3287" s="12">
        <f>tItens[[#This Row],[Valor]]*(1-tItens[[#This Row],[Desconto]])</f>
        <v>110.57179305457127</v>
      </c>
      <c r="N3287" t="str">
        <f>IFERROR(INDEX(tProdutos[Foco],MATCH(tItens[[#This Row],[Produto]],tProdutos[Produto],0)),"Não")</f>
        <v>Não</v>
      </c>
      <c r="O3287" t="str">
        <f>IFERROR(INDEX(tEditais[SRP],MATCH(tItens[[#This Row],[Edital]],tEditais[Edital],0)),"Não")</f>
        <v>Não</v>
      </c>
      <c r="P3287" s="4">
        <f>IF(COUNTIFS(INDEX(tItens[Edital],1):tItens[[#This Row],[Edital]],tItens[[#This Row],[Edital]],INDEX(tItens[Produto],1):tItens[[#This Row],[Produto]],tItens[[#This Row],[Produto]])=1,1,0)</f>
        <v>0</v>
      </c>
    </row>
    <row r="3288" spans="1:16" x14ac:dyDescent="0.25">
      <c r="A3288" t="s">
        <v>1430</v>
      </c>
      <c r="B3288">
        <v>298</v>
      </c>
      <c r="C3288" t="s">
        <v>6193</v>
      </c>
      <c r="D3288" t="s">
        <v>267</v>
      </c>
      <c r="E3288" s="13">
        <v>50</v>
      </c>
      <c r="F3288" s="12">
        <v>21.32</v>
      </c>
      <c r="G3288" t="str">
        <f>IFERROR(INDEX(tEditais[Órgão],MATCH(tItens[[#This Row],[Edital]],tEditais[Edital],0)),"")</f>
        <v>MUNICIPIO DE AMPARO DO SERRA</v>
      </c>
      <c r="H3288" t="str">
        <f>IFERROR(INDEX(tEditais[UF],MATCH(tItens[[#This Row],[Edital]],tEditais[Edital],0)),"")</f>
        <v>MG</v>
      </c>
      <c r="I3288" s="11">
        <f>IFERROR(INDEX(tEditais[Encerramento],MATCH(tItens[[#This Row],[Edital]],tEditais[Edital],0)),"")</f>
        <v>46309.333333333336</v>
      </c>
      <c r="J3288" t="str">
        <f>IFERROR(INDEX(tProdutos[Classe],MATCH(tItens[[#This Row],[Produto]],tProdutos[Produto],0)),"produto não cadastrado")</f>
        <v>FORA</v>
      </c>
      <c r="K3288" s="12">
        <f>tItens[[#This Row],[Qtd]]*tItens[[#This Row],[Vlr unit]]</f>
        <v>1066</v>
      </c>
      <c r="L3288" s="6">
        <f>IFERROR(IF(INDEX(tProdutos[Desconto homologado],MATCH(tItens[[#This Row],[Produto]],tProdutos[Produto],0))="",DescontoPadrao,INDEX(tProdutos[Desconto homologado],MATCH(tItens[[#This Row],[Produto]],tProdutos[Produto],0))),DescontoPadrao)</f>
        <v>0.19963672657401599</v>
      </c>
      <c r="M3288" s="12">
        <f>tItens[[#This Row],[Valor]]*(1-tItens[[#This Row],[Desconto]])</f>
        <v>853.18724947209898</v>
      </c>
      <c r="N3288" t="str">
        <f>IFERROR(INDEX(tProdutos[Foco],MATCH(tItens[[#This Row],[Produto]],tProdutos[Produto],0)),"Não")</f>
        <v>Não</v>
      </c>
      <c r="O3288" t="str">
        <f>IFERROR(INDEX(tEditais[SRP],MATCH(tItens[[#This Row],[Edital]],tEditais[Edital],0)),"Não")</f>
        <v>Não</v>
      </c>
      <c r="P3288" s="4">
        <f>IF(COUNTIFS(INDEX(tItens[Edital],1):tItens[[#This Row],[Edital]],tItens[[#This Row],[Edital]],INDEX(tItens[Produto],1):tItens[[#This Row],[Produto]],tItens[[#This Row],[Produto]])=1,1,0)</f>
        <v>1</v>
      </c>
    </row>
    <row r="3289" spans="1:16" x14ac:dyDescent="0.25">
      <c r="A3289" t="s">
        <v>1430</v>
      </c>
      <c r="B3289">
        <v>299</v>
      </c>
      <c r="C3289" t="s">
        <v>6194</v>
      </c>
      <c r="D3289" t="s">
        <v>267</v>
      </c>
      <c r="E3289" s="13">
        <v>30</v>
      </c>
      <c r="F3289" s="12">
        <v>64.180000000000007</v>
      </c>
      <c r="G3289" t="str">
        <f>IFERROR(INDEX(tEditais[Órgão],MATCH(tItens[[#This Row],[Edital]],tEditais[Edital],0)),"")</f>
        <v>MUNICIPIO DE AMPARO DO SERRA</v>
      </c>
      <c r="H3289" t="str">
        <f>IFERROR(INDEX(tEditais[UF],MATCH(tItens[[#This Row],[Edital]],tEditais[Edital],0)),"")</f>
        <v>MG</v>
      </c>
      <c r="I3289" s="11">
        <f>IFERROR(INDEX(tEditais[Encerramento],MATCH(tItens[[#This Row],[Edital]],tEditais[Edital],0)),"")</f>
        <v>46309.333333333336</v>
      </c>
      <c r="J3289" t="str">
        <f>IFERROR(INDEX(tProdutos[Classe],MATCH(tItens[[#This Row],[Produto]],tProdutos[Produto],0)),"produto não cadastrado")</f>
        <v>FORA</v>
      </c>
      <c r="K3289" s="12">
        <f>tItens[[#This Row],[Qtd]]*tItens[[#This Row],[Vlr unit]]</f>
        <v>1925.4</v>
      </c>
      <c r="L3289" s="6">
        <f>IFERROR(IF(INDEX(tProdutos[Desconto homologado],MATCH(tItens[[#This Row],[Produto]],tProdutos[Produto],0))="",DescontoPadrao,INDEX(tProdutos[Desconto homologado],MATCH(tItens[[#This Row],[Produto]],tProdutos[Produto],0))),DescontoPadrao)</f>
        <v>0.19963672657401599</v>
      </c>
      <c r="M3289" s="12">
        <f>tItens[[#This Row],[Valor]]*(1-tItens[[#This Row],[Desconto]])</f>
        <v>1541.0194466543896</v>
      </c>
      <c r="N3289" t="str">
        <f>IFERROR(INDEX(tProdutos[Foco],MATCH(tItens[[#This Row],[Produto]],tProdutos[Produto],0)),"Não")</f>
        <v>Não</v>
      </c>
      <c r="O3289" t="str">
        <f>IFERROR(INDEX(tEditais[SRP],MATCH(tItens[[#This Row],[Edital]],tEditais[Edital],0)),"Não")</f>
        <v>Não</v>
      </c>
      <c r="P3289" s="4">
        <f>IF(COUNTIFS(INDEX(tItens[Edital],1):tItens[[#This Row],[Edital]],tItens[[#This Row],[Edital]],INDEX(tItens[Produto],1):tItens[[#This Row],[Produto]],tItens[[#This Row],[Produto]])=1,1,0)</f>
        <v>0</v>
      </c>
    </row>
    <row r="3290" spans="1:16" x14ac:dyDescent="0.25">
      <c r="A3290" t="s">
        <v>1430</v>
      </c>
      <c r="B3290">
        <v>300</v>
      </c>
      <c r="C3290" t="s">
        <v>6195</v>
      </c>
      <c r="D3290" t="s">
        <v>267</v>
      </c>
      <c r="E3290" s="13">
        <v>70</v>
      </c>
      <c r="F3290" s="12">
        <v>61.66</v>
      </c>
      <c r="G3290" t="str">
        <f>IFERROR(INDEX(tEditais[Órgão],MATCH(tItens[[#This Row],[Edital]],tEditais[Edital],0)),"")</f>
        <v>MUNICIPIO DE AMPARO DO SERRA</v>
      </c>
      <c r="H3290" t="str">
        <f>IFERROR(INDEX(tEditais[UF],MATCH(tItens[[#This Row],[Edital]],tEditais[Edital],0)),"")</f>
        <v>MG</v>
      </c>
      <c r="I3290" s="11">
        <f>IFERROR(INDEX(tEditais[Encerramento],MATCH(tItens[[#This Row],[Edital]],tEditais[Edital],0)),"")</f>
        <v>46309.333333333336</v>
      </c>
      <c r="J3290" t="str">
        <f>IFERROR(INDEX(tProdutos[Classe],MATCH(tItens[[#This Row],[Produto]],tProdutos[Produto],0)),"produto não cadastrado")</f>
        <v>FORA</v>
      </c>
      <c r="K3290" s="12">
        <f>tItens[[#This Row],[Qtd]]*tItens[[#This Row],[Vlr unit]]</f>
        <v>4316.2</v>
      </c>
      <c r="L3290" s="6">
        <f>IFERROR(IF(INDEX(tProdutos[Desconto homologado],MATCH(tItens[[#This Row],[Produto]],tProdutos[Produto],0))="",DescontoPadrao,INDEX(tProdutos[Desconto homologado],MATCH(tItens[[#This Row],[Produto]],tProdutos[Produto],0))),DescontoPadrao)</f>
        <v>0.19963672657401599</v>
      </c>
      <c r="M3290" s="12">
        <f>tItens[[#This Row],[Valor]]*(1-tItens[[#This Row],[Desconto]])</f>
        <v>3454.527960761232</v>
      </c>
      <c r="N3290" t="str">
        <f>IFERROR(INDEX(tProdutos[Foco],MATCH(tItens[[#This Row],[Produto]],tProdutos[Produto],0)),"Não")</f>
        <v>Não</v>
      </c>
      <c r="O3290" t="str">
        <f>IFERROR(INDEX(tEditais[SRP],MATCH(tItens[[#This Row],[Edital]],tEditais[Edital],0)),"Não")</f>
        <v>Não</v>
      </c>
      <c r="P3290" s="4">
        <f>IF(COUNTIFS(INDEX(tItens[Edital],1):tItens[[#This Row],[Edital]],tItens[[#This Row],[Edital]],INDEX(tItens[Produto],1):tItens[[#This Row],[Produto]],tItens[[#This Row],[Produto]])=1,1,0)</f>
        <v>0</v>
      </c>
    </row>
    <row r="3291" spans="1:16" x14ac:dyDescent="0.25">
      <c r="A3291" t="s">
        <v>1430</v>
      </c>
      <c r="B3291">
        <v>301</v>
      </c>
      <c r="C3291" t="s">
        <v>6196</v>
      </c>
      <c r="D3291" t="s">
        <v>267</v>
      </c>
      <c r="E3291" s="13">
        <v>40</v>
      </c>
      <c r="F3291" s="12">
        <v>61.58</v>
      </c>
      <c r="G3291" t="str">
        <f>IFERROR(INDEX(tEditais[Órgão],MATCH(tItens[[#This Row],[Edital]],tEditais[Edital],0)),"")</f>
        <v>MUNICIPIO DE AMPARO DO SERRA</v>
      </c>
      <c r="H3291" t="str">
        <f>IFERROR(INDEX(tEditais[UF],MATCH(tItens[[#This Row],[Edital]],tEditais[Edital],0)),"")</f>
        <v>MG</v>
      </c>
      <c r="I3291" s="11">
        <f>IFERROR(INDEX(tEditais[Encerramento],MATCH(tItens[[#This Row],[Edital]],tEditais[Edital],0)),"")</f>
        <v>46309.333333333336</v>
      </c>
      <c r="J3291" t="str">
        <f>IFERROR(INDEX(tProdutos[Classe],MATCH(tItens[[#This Row],[Produto]],tProdutos[Produto],0)),"produto não cadastrado")</f>
        <v>FORA</v>
      </c>
      <c r="K3291" s="12">
        <f>tItens[[#This Row],[Qtd]]*tItens[[#This Row],[Vlr unit]]</f>
        <v>2463.1999999999998</v>
      </c>
      <c r="L3291" s="6">
        <f>IFERROR(IF(INDEX(tProdutos[Desconto homologado],MATCH(tItens[[#This Row],[Produto]],tProdutos[Produto],0))="",DescontoPadrao,INDEX(tProdutos[Desconto homologado],MATCH(tItens[[#This Row],[Produto]],tProdutos[Produto],0))),DescontoPadrao)</f>
        <v>0.19963672657401599</v>
      </c>
      <c r="M3291" s="12">
        <f>tItens[[#This Row],[Valor]]*(1-tItens[[#This Row],[Desconto]])</f>
        <v>1971.4548151028837</v>
      </c>
      <c r="N3291" t="str">
        <f>IFERROR(INDEX(tProdutos[Foco],MATCH(tItens[[#This Row],[Produto]],tProdutos[Produto],0)),"Não")</f>
        <v>Não</v>
      </c>
      <c r="O3291" t="str">
        <f>IFERROR(INDEX(tEditais[SRP],MATCH(tItens[[#This Row],[Edital]],tEditais[Edital],0)),"Não")</f>
        <v>Não</v>
      </c>
      <c r="P3291" s="4">
        <f>IF(COUNTIFS(INDEX(tItens[Edital],1):tItens[[#This Row],[Edital]],tItens[[#This Row],[Edital]],INDEX(tItens[Produto],1):tItens[[#This Row],[Produto]],tItens[[#This Row],[Produto]])=1,1,0)</f>
        <v>0</v>
      </c>
    </row>
    <row r="3292" spans="1:16" x14ac:dyDescent="0.25">
      <c r="A3292" t="s">
        <v>1430</v>
      </c>
      <c r="B3292">
        <v>304</v>
      </c>
      <c r="C3292" t="s">
        <v>6197</v>
      </c>
      <c r="D3292" t="s">
        <v>343</v>
      </c>
      <c r="E3292" s="13">
        <v>300</v>
      </c>
      <c r="F3292" s="12">
        <v>4.88</v>
      </c>
      <c r="G3292" t="str">
        <f>IFERROR(INDEX(tEditais[Órgão],MATCH(tItens[[#This Row],[Edital]],tEditais[Edital],0)),"")</f>
        <v>MUNICIPIO DE AMPARO DO SERRA</v>
      </c>
      <c r="H3292" t="str">
        <f>IFERROR(INDEX(tEditais[UF],MATCH(tItens[[#This Row],[Edital]],tEditais[Edital],0)),"")</f>
        <v>MG</v>
      </c>
      <c r="I3292" s="11">
        <f>IFERROR(INDEX(tEditais[Encerramento],MATCH(tItens[[#This Row],[Edital]],tEditais[Edital],0)),"")</f>
        <v>46309.333333333336</v>
      </c>
      <c r="J3292" t="str">
        <f>IFERROR(INDEX(tProdutos[Classe],MATCH(tItens[[#This Row],[Produto]],tProdutos[Produto],0)),"produto não cadastrado")</f>
        <v>FORA</v>
      </c>
      <c r="K3292" s="12">
        <f>tItens[[#This Row],[Qtd]]*tItens[[#This Row],[Vlr unit]]</f>
        <v>1464</v>
      </c>
      <c r="L3292" s="6">
        <f>IFERROR(IF(INDEX(tProdutos[Desconto homologado],MATCH(tItens[[#This Row],[Produto]],tProdutos[Produto],0))="",DescontoPadrao,INDEX(tProdutos[Desconto homologado],MATCH(tItens[[#This Row],[Produto]],tProdutos[Produto],0))),DescontoPadrao)</f>
        <v>0.35412234042553198</v>
      </c>
      <c r="M3292" s="12">
        <f>tItens[[#This Row],[Valor]]*(1-tItens[[#This Row],[Desconto]])</f>
        <v>945.56489361702108</v>
      </c>
      <c r="N3292" t="str">
        <f>IFERROR(INDEX(tProdutos[Foco],MATCH(tItens[[#This Row],[Produto]],tProdutos[Produto],0)),"Não")</f>
        <v>Não</v>
      </c>
      <c r="O3292" t="str">
        <f>IFERROR(INDEX(tEditais[SRP],MATCH(tItens[[#This Row],[Edital]],tEditais[Edital],0)),"Não")</f>
        <v>Não</v>
      </c>
      <c r="P3292" s="4">
        <f>IF(COUNTIFS(INDEX(tItens[Edital],1):tItens[[#This Row],[Edital]],tItens[[#This Row],[Edital]],INDEX(tItens[Produto],1):tItens[[#This Row],[Produto]],tItens[[#This Row],[Produto]])=1,1,0)</f>
        <v>1</v>
      </c>
    </row>
    <row r="3293" spans="1:16" x14ac:dyDescent="0.25">
      <c r="A3293" t="s">
        <v>1430</v>
      </c>
      <c r="B3293">
        <v>305</v>
      </c>
      <c r="C3293" t="s">
        <v>6198</v>
      </c>
      <c r="D3293" t="s">
        <v>343</v>
      </c>
      <c r="E3293" s="13">
        <v>300</v>
      </c>
      <c r="F3293" s="12">
        <v>5.22</v>
      </c>
      <c r="G3293" t="str">
        <f>IFERROR(INDEX(tEditais[Órgão],MATCH(tItens[[#This Row],[Edital]],tEditais[Edital],0)),"")</f>
        <v>MUNICIPIO DE AMPARO DO SERRA</v>
      </c>
      <c r="H3293" t="str">
        <f>IFERROR(INDEX(tEditais[UF],MATCH(tItens[[#This Row],[Edital]],tEditais[Edital],0)),"")</f>
        <v>MG</v>
      </c>
      <c r="I3293" s="11">
        <f>IFERROR(INDEX(tEditais[Encerramento],MATCH(tItens[[#This Row],[Edital]],tEditais[Edital],0)),"")</f>
        <v>46309.333333333336</v>
      </c>
      <c r="J3293" t="str">
        <f>IFERROR(INDEX(tProdutos[Classe],MATCH(tItens[[#This Row],[Produto]],tProdutos[Produto],0)),"produto não cadastrado")</f>
        <v>FORA</v>
      </c>
      <c r="K3293" s="12">
        <f>tItens[[#This Row],[Qtd]]*tItens[[#This Row],[Vlr unit]]</f>
        <v>1566</v>
      </c>
      <c r="L3293" s="6">
        <f>IFERROR(IF(INDEX(tProdutos[Desconto homologado],MATCH(tItens[[#This Row],[Produto]],tProdutos[Produto],0))="",DescontoPadrao,INDEX(tProdutos[Desconto homologado],MATCH(tItens[[#This Row],[Produto]],tProdutos[Produto],0))),DescontoPadrao)</f>
        <v>0.35412234042553198</v>
      </c>
      <c r="M3293" s="12">
        <f>tItens[[#This Row],[Valor]]*(1-tItens[[#This Row],[Desconto]])</f>
        <v>1011.4444148936168</v>
      </c>
      <c r="N3293" t="str">
        <f>IFERROR(INDEX(tProdutos[Foco],MATCH(tItens[[#This Row],[Produto]],tProdutos[Produto],0)),"Não")</f>
        <v>Não</v>
      </c>
      <c r="O3293" t="str">
        <f>IFERROR(INDEX(tEditais[SRP],MATCH(tItens[[#This Row],[Edital]],tEditais[Edital],0)),"Não")</f>
        <v>Não</v>
      </c>
      <c r="P3293" s="4">
        <f>IF(COUNTIFS(INDEX(tItens[Edital],1):tItens[[#This Row],[Edital]],tItens[[#This Row],[Edital]],INDEX(tItens[Produto],1):tItens[[#This Row],[Produto]],tItens[[#This Row],[Produto]])=1,1,0)</f>
        <v>0</v>
      </c>
    </row>
    <row r="3294" spans="1:16" x14ac:dyDescent="0.25">
      <c r="A3294" t="s">
        <v>1430</v>
      </c>
      <c r="B3294">
        <v>306</v>
      </c>
      <c r="C3294" t="s">
        <v>6199</v>
      </c>
      <c r="D3294" t="s">
        <v>343</v>
      </c>
      <c r="E3294" s="13">
        <v>300</v>
      </c>
      <c r="F3294" s="12">
        <v>3.72</v>
      </c>
      <c r="G3294" t="str">
        <f>IFERROR(INDEX(tEditais[Órgão],MATCH(tItens[[#This Row],[Edital]],tEditais[Edital],0)),"")</f>
        <v>MUNICIPIO DE AMPARO DO SERRA</v>
      </c>
      <c r="H3294" t="str">
        <f>IFERROR(INDEX(tEditais[UF],MATCH(tItens[[#This Row],[Edital]],tEditais[Edital],0)),"")</f>
        <v>MG</v>
      </c>
      <c r="I3294" s="11">
        <f>IFERROR(INDEX(tEditais[Encerramento],MATCH(tItens[[#This Row],[Edital]],tEditais[Edital],0)),"")</f>
        <v>46309.333333333336</v>
      </c>
      <c r="J3294" t="str">
        <f>IFERROR(INDEX(tProdutos[Classe],MATCH(tItens[[#This Row],[Produto]],tProdutos[Produto],0)),"produto não cadastrado")</f>
        <v>FORA</v>
      </c>
      <c r="K3294" s="12">
        <f>tItens[[#This Row],[Qtd]]*tItens[[#This Row],[Vlr unit]]</f>
        <v>1116</v>
      </c>
      <c r="L3294" s="6">
        <f>IFERROR(IF(INDEX(tProdutos[Desconto homologado],MATCH(tItens[[#This Row],[Produto]],tProdutos[Produto],0))="",DescontoPadrao,INDEX(tProdutos[Desconto homologado],MATCH(tItens[[#This Row],[Produto]],tProdutos[Produto],0))),DescontoPadrao)</f>
        <v>0.35412234042553198</v>
      </c>
      <c r="M3294" s="12">
        <f>tItens[[#This Row],[Valor]]*(1-tItens[[#This Row],[Desconto]])</f>
        <v>720.79946808510624</v>
      </c>
      <c r="N3294" t="str">
        <f>IFERROR(INDEX(tProdutos[Foco],MATCH(tItens[[#This Row],[Produto]],tProdutos[Produto],0)),"Não")</f>
        <v>Não</v>
      </c>
      <c r="O3294" t="str">
        <f>IFERROR(INDEX(tEditais[SRP],MATCH(tItens[[#This Row],[Edital]],tEditais[Edital],0)),"Não")</f>
        <v>Não</v>
      </c>
      <c r="P3294" s="4">
        <f>IF(COUNTIFS(INDEX(tItens[Edital],1):tItens[[#This Row],[Edital]],tItens[[#This Row],[Edital]],INDEX(tItens[Produto],1):tItens[[#This Row],[Produto]],tItens[[#This Row],[Produto]])=1,1,0)</f>
        <v>0</v>
      </c>
    </row>
    <row r="3295" spans="1:16" x14ac:dyDescent="0.25">
      <c r="A3295" t="s">
        <v>1430</v>
      </c>
      <c r="B3295">
        <v>308</v>
      </c>
      <c r="C3295" t="s">
        <v>6200</v>
      </c>
      <c r="D3295" t="s">
        <v>381</v>
      </c>
      <c r="E3295" s="13">
        <v>50</v>
      </c>
      <c r="F3295" s="12">
        <v>33</v>
      </c>
      <c r="G3295" t="str">
        <f>IFERROR(INDEX(tEditais[Órgão],MATCH(tItens[[#This Row],[Edital]],tEditais[Edital],0)),"")</f>
        <v>MUNICIPIO DE AMPARO DO SERRA</v>
      </c>
      <c r="H3295" t="str">
        <f>IFERROR(INDEX(tEditais[UF],MATCH(tItens[[#This Row],[Edital]],tEditais[Edital],0)),"")</f>
        <v>MG</v>
      </c>
      <c r="I3295" s="11">
        <f>IFERROR(INDEX(tEditais[Encerramento],MATCH(tItens[[#This Row],[Edital]],tEditais[Edital],0)),"")</f>
        <v>46309.333333333336</v>
      </c>
      <c r="J3295" t="str">
        <f>IFERROR(INDEX(tProdutos[Classe],MATCH(tItens[[#This Row],[Produto]],tProdutos[Produto],0)),"produto não cadastrado")</f>
        <v>FORA</v>
      </c>
      <c r="K3295" s="12">
        <f>tItens[[#This Row],[Qtd]]*tItens[[#This Row],[Vlr unit]]</f>
        <v>1650</v>
      </c>
      <c r="L3295" s="6">
        <f>IFERROR(IF(INDEX(tProdutos[Desconto homologado],MATCH(tItens[[#This Row],[Produto]],tProdutos[Produto],0))="",DescontoPadrao,INDEX(tProdutos[Desconto homologado],MATCH(tItens[[#This Row],[Produto]],tProdutos[Produto],0))),DescontoPadrao)</f>
        <v>0.41112828438949001</v>
      </c>
      <c r="M3295" s="12">
        <f>tItens[[#This Row],[Valor]]*(1-tItens[[#This Row],[Desconto]])</f>
        <v>971.63833075734146</v>
      </c>
      <c r="N3295" t="str">
        <f>IFERROR(INDEX(tProdutos[Foco],MATCH(tItens[[#This Row],[Produto]],tProdutos[Produto],0)),"Não")</f>
        <v>Não</v>
      </c>
      <c r="O3295" t="str">
        <f>IFERROR(INDEX(tEditais[SRP],MATCH(tItens[[#This Row],[Edital]],tEditais[Edital],0)),"Não")</f>
        <v>Não</v>
      </c>
      <c r="P3295" s="4">
        <f>IF(COUNTIFS(INDEX(tItens[Edital],1):tItens[[#This Row],[Edital]],tItens[[#This Row],[Edital]],INDEX(tItens[Produto],1):tItens[[#This Row],[Produto]],tItens[[#This Row],[Produto]])=1,1,0)</f>
        <v>1</v>
      </c>
    </row>
    <row r="3296" spans="1:16" x14ac:dyDescent="0.25">
      <c r="A3296" t="s">
        <v>1430</v>
      </c>
      <c r="B3296">
        <v>310</v>
      </c>
      <c r="C3296" t="s">
        <v>6201</v>
      </c>
      <c r="D3296" t="s">
        <v>381</v>
      </c>
      <c r="E3296" s="13">
        <v>80</v>
      </c>
      <c r="F3296" s="12">
        <v>28.82</v>
      </c>
      <c r="G3296" t="str">
        <f>IFERROR(INDEX(tEditais[Órgão],MATCH(tItens[[#This Row],[Edital]],tEditais[Edital],0)),"")</f>
        <v>MUNICIPIO DE AMPARO DO SERRA</v>
      </c>
      <c r="H3296" t="str">
        <f>IFERROR(INDEX(tEditais[UF],MATCH(tItens[[#This Row],[Edital]],tEditais[Edital],0)),"")</f>
        <v>MG</v>
      </c>
      <c r="I3296" s="11">
        <f>IFERROR(INDEX(tEditais[Encerramento],MATCH(tItens[[#This Row],[Edital]],tEditais[Edital],0)),"")</f>
        <v>46309.333333333336</v>
      </c>
      <c r="J3296" t="str">
        <f>IFERROR(INDEX(tProdutos[Classe],MATCH(tItens[[#This Row],[Produto]],tProdutos[Produto],0)),"produto não cadastrado")</f>
        <v>FORA</v>
      </c>
      <c r="K3296" s="12">
        <f>tItens[[#This Row],[Qtd]]*tItens[[#This Row],[Vlr unit]]</f>
        <v>2305.6</v>
      </c>
      <c r="L3296" s="6">
        <f>IFERROR(IF(INDEX(tProdutos[Desconto homologado],MATCH(tItens[[#This Row],[Produto]],tProdutos[Produto],0))="",DescontoPadrao,INDEX(tProdutos[Desconto homologado],MATCH(tItens[[#This Row],[Produto]],tProdutos[Produto],0))),DescontoPadrao)</f>
        <v>0.41112828438949001</v>
      </c>
      <c r="M3296" s="12">
        <f>tItens[[#This Row],[Valor]]*(1-tItens[[#This Row],[Desconto]])</f>
        <v>1357.7026275115918</v>
      </c>
      <c r="N3296" t="str">
        <f>IFERROR(INDEX(tProdutos[Foco],MATCH(tItens[[#This Row],[Produto]],tProdutos[Produto],0)),"Não")</f>
        <v>Não</v>
      </c>
      <c r="O3296" t="str">
        <f>IFERROR(INDEX(tEditais[SRP],MATCH(tItens[[#This Row],[Edital]],tEditais[Edital],0)),"Não")</f>
        <v>Não</v>
      </c>
      <c r="P3296" s="4">
        <f>IF(COUNTIFS(INDEX(tItens[Edital],1):tItens[[#This Row],[Edital]],tItens[[#This Row],[Edital]],INDEX(tItens[Produto],1):tItens[[#This Row],[Produto]],tItens[[#This Row],[Produto]])=1,1,0)</f>
        <v>0</v>
      </c>
    </row>
    <row r="3297" spans="1:16" x14ac:dyDescent="0.25">
      <c r="A3297" t="s">
        <v>1430</v>
      </c>
      <c r="B3297">
        <v>312</v>
      </c>
      <c r="C3297" t="s">
        <v>6202</v>
      </c>
      <c r="D3297" t="s">
        <v>381</v>
      </c>
      <c r="E3297" s="13">
        <v>50</v>
      </c>
      <c r="F3297" s="12">
        <v>28.71</v>
      </c>
      <c r="G3297" t="str">
        <f>IFERROR(INDEX(tEditais[Órgão],MATCH(tItens[[#This Row],[Edital]],tEditais[Edital],0)),"")</f>
        <v>MUNICIPIO DE AMPARO DO SERRA</v>
      </c>
      <c r="H3297" t="str">
        <f>IFERROR(INDEX(tEditais[UF],MATCH(tItens[[#This Row],[Edital]],tEditais[Edital],0)),"")</f>
        <v>MG</v>
      </c>
      <c r="I3297" s="11">
        <f>IFERROR(INDEX(tEditais[Encerramento],MATCH(tItens[[#This Row],[Edital]],tEditais[Edital],0)),"")</f>
        <v>46309.333333333336</v>
      </c>
      <c r="J3297" t="str">
        <f>IFERROR(INDEX(tProdutos[Classe],MATCH(tItens[[#This Row],[Produto]],tProdutos[Produto],0)),"produto não cadastrado")</f>
        <v>FORA</v>
      </c>
      <c r="K3297" s="12">
        <f>tItens[[#This Row],[Qtd]]*tItens[[#This Row],[Vlr unit]]</f>
        <v>1435.5</v>
      </c>
      <c r="L3297" s="6">
        <f>IFERROR(IF(INDEX(tProdutos[Desconto homologado],MATCH(tItens[[#This Row],[Produto]],tProdutos[Produto],0))="",DescontoPadrao,INDEX(tProdutos[Desconto homologado],MATCH(tItens[[#This Row],[Produto]],tProdutos[Produto],0))),DescontoPadrao)</f>
        <v>0.41112828438949001</v>
      </c>
      <c r="M3297" s="12">
        <f>tItens[[#This Row],[Valor]]*(1-tItens[[#This Row],[Desconto]])</f>
        <v>845.32534775888712</v>
      </c>
      <c r="N3297" t="str">
        <f>IFERROR(INDEX(tProdutos[Foco],MATCH(tItens[[#This Row],[Produto]],tProdutos[Produto],0)),"Não")</f>
        <v>Não</v>
      </c>
      <c r="O3297" t="str">
        <f>IFERROR(INDEX(tEditais[SRP],MATCH(tItens[[#This Row],[Edital]],tEditais[Edital],0)),"Não")</f>
        <v>Não</v>
      </c>
      <c r="P3297" s="4">
        <f>IF(COUNTIFS(INDEX(tItens[Edital],1):tItens[[#This Row],[Edital]],tItens[[#This Row],[Edital]],INDEX(tItens[Produto],1):tItens[[#This Row],[Produto]],tItens[[#This Row],[Produto]])=1,1,0)</f>
        <v>0</v>
      </c>
    </row>
    <row r="3298" spans="1:16" x14ac:dyDescent="0.25">
      <c r="A3298" t="s">
        <v>1430</v>
      </c>
      <c r="B3298">
        <v>325</v>
      </c>
      <c r="C3298" t="s">
        <v>6203</v>
      </c>
      <c r="D3298" t="s">
        <v>257</v>
      </c>
      <c r="E3298" s="13">
        <v>24</v>
      </c>
      <c r="F3298" s="12">
        <v>69.16</v>
      </c>
      <c r="G3298" t="str">
        <f>IFERROR(INDEX(tEditais[Órgão],MATCH(tItens[[#This Row],[Edital]],tEditais[Edital],0)),"")</f>
        <v>MUNICIPIO DE AMPARO DO SERRA</v>
      </c>
      <c r="H3298" t="str">
        <f>IFERROR(INDEX(tEditais[UF],MATCH(tItens[[#This Row],[Edital]],tEditais[Edital],0)),"")</f>
        <v>MG</v>
      </c>
      <c r="I3298" s="11">
        <f>IFERROR(INDEX(tEditais[Encerramento],MATCH(tItens[[#This Row],[Edital]],tEditais[Edital],0)),"")</f>
        <v>46309.333333333336</v>
      </c>
      <c r="J3298" t="str">
        <f>IFERROR(INDEX(tProdutos[Classe],MATCH(tItens[[#This Row],[Produto]],tProdutos[Produto],0)),"produto não cadastrado")</f>
        <v>FORA</v>
      </c>
      <c r="K3298" s="12">
        <f>tItens[[#This Row],[Qtd]]*tItens[[#This Row],[Vlr unit]]</f>
        <v>1659.84</v>
      </c>
      <c r="L3298" s="6">
        <f>IFERROR(IF(INDEX(tProdutos[Desconto homologado],MATCH(tItens[[#This Row],[Produto]],tProdutos[Produto],0))="",DescontoPadrao,INDEX(tProdutos[Desconto homologado],MATCH(tItens[[#This Row],[Produto]],tProdutos[Produto],0))),DescontoPadrao)</f>
        <v>0.500812004991805</v>
      </c>
      <c r="M3298" s="12">
        <f>tItens[[#This Row],[Valor]]*(1-tItens[[#This Row],[Desconto]])</f>
        <v>828.57220163440229</v>
      </c>
      <c r="N3298" t="str">
        <f>IFERROR(INDEX(tProdutos[Foco],MATCH(tItens[[#This Row],[Produto]],tProdutos[Produto],0)),"Não")</f>
        <v>Não</v>
      </c>
      <c r="O3298" t="str">
        <f>IFERROR(INDEX(tEditais[SRP],MATCH(tItens[[#This Row],[Edital]],tEditais[Edital],0)),"Não")</f>
        <v>Não</v>
      </c>
      <c r="P3298" s="4">
        <f>IF(COUNTIFS(INDEX(tItens[Edital],1):tItens[[#This Row],[Edital]],tItens[[#This Row],[Edital]],INDEX(tItens[Produto],1):tItens[[#This Row],[Produto]],tItens[[#This Row],[Produto]])=1,1,0)</f>
        <v>1</v>
      </c>
    </row>
    <row r="3299" spans="1:16" x14ac:dyDescent="0.25">
      <c r="A3299" t="s">
        <v>1430</v>
      </c>
      <c r="B3299">
        <v>326</v>
      </c>
      <c r="C3299" t="s">
        <v>6204</v>
      </c>
      <c r="D3299" t="s">
        <v>249</v>
      </c>
      <c r="E3299" s="13">
        <v>24</v>
      </c>
      <c r="F3299" s="12">
        <v>69.16</v>
      </c>
      <c r="G3299" t="str">
        <f>IFERROR(INDEX(tEditais[Órgão],MATCH(tItens[[#This Row],[Edital]],tEditais[Edital],0)),"")</f>
        <v>MUNICIPIO DE AMPARO DO SERRA</v>
      </c>
      <c r="H3299" t="str">
        <f>IFERROR(INDEX(tEditais[UF],MATCH(tItens[[#This Row],[Edital]],tEditais[Edital],0)),"")</f>
        <v>MG</v>
      </c>
      <c r="I3299" s="11">
        <f>IFERROR(INDEX(tEditais[Encerramento],MATCH(tItens[[#This Row],[Edital]],tEditais[Edital],0)),"")</f>
        <v>46309.333333333336</v>
      </c>
      <c r="J3299" t="str">
        <f>IFERROR(INDEX(tProdutos[Classe],MATCH(tItens[[#This Row],[Produto]],tProdutos[Produto],0)),"produto não cadastrado")</f>
        <v>FORA</v>
      </c>
      <c r="K3299" s="12">
        <f>tItens[[#This Row],[Qtd]]*tItens[[#This Row],[Vlr unit]]</f>
        <v>1659.84</v>
      </c>
      <c r="L3299" s="6">
        <f>IFERROR(IF(INDEX(tProdutos[Desconto homologado],MATCH(tItens[[#This Row],[Produto]],tProdutos[Produto],0))="",DescontoPadrao,INDEX(tProdutos[Desconto homologado],MATCH(tItens[[#This Row],[Produto]],tProdutos[Produto],0))),DescontoPadrao)</f>
        <v>0.45399945399945402</v>
      </c>
      <c r="M3299" s="12">
        <f>tItens[[#This Row],[Valor]]*(1-tItens[[#This Row],[Desconto]])</f>
        <v>906.27354627354612</v>
      </c>
      <c r="N3299" t="str">
        <f>IFERROR(INDEX(tProdutos[Foco],MATCH(tItens[[#This Row],[Produto]],tProdutos[Produto],0)),"Não")</f>
        <v>Não</v>
      </c>
      <c r="O3299" t="str">
        <f>IFERROR(INDEX(tEditais[SRP],MATCH(tItens[[#This Row],[Edital]],tEditais[Edital],0)),"Não")</f>
        <v>Não</v>
      </c>
      <c r="P3299" s="4">
        <f>IF(COUNTIFS(INDEX(tItens[Edital],1):tItens[[#This Row],[Edital]],tItens[[#This Row],[Edital]],INDEX(tItens[Produto],1):tItens[[#This Row],[Produto]],tItens[[#This Row],[Produto]])=1,1,0)</f>
        <v>1</v>
      </c>
    </row>
    <row r="3300" spans="1:16" x14ac:dyDescent="0.25">
      <c r="A3300" t="s">
        <v>1430</v>
      </c>
      <c r="B3300">
        <v>328</v>
      </c>
      <c r="C3300" t="s">
        <v>6205</v>
      </c>
      <c r="D3300" t="s">
        <v>170</v>
      </c>
      <c r="E3300" s="13">
        <v>30</v>
      </c>
      <c r="F3300" s="12">
        <v>26.19</v>
      </c>
      <c r="G3300" t="str">
        <f>IFERROR(INDEX(tEditais[Órgão],MATCH(tItens[[#This Row],[Edital]],tEditais[Edital],0)),"")</f>
        <v>MUNICIPIO DE AMPARO DO SERRA</v>
      </c>
      <c r="H3300" t="str">
        <f>IFERROR(INDEX(tEditais[UF],MATCH(tItens[[#This Row],[Edital]],tEditais[Edital],0)),"")</f>
        <v>MG</v>
      </c>
      <c r="I3300" s="11">
        <f>IFERROR(INDEX(tEditais[Encerramento],MATCH(tItens[[#This Row],[Edital]],tEditais[Edital],0)),"")</f>
        <v>46309.333333333336</v>
      </c>
      <c r="J3300" t="str">
        <f>IFERROR(INDEX(tProdutos[Classe],MATCH(tItens[[#This Row],[Produto]],tProdutos[Produto],0)),"produto não cadastrado")</f>
        <v>DISPUTADO</v>
      </c>
      <c r="K3300" s="12">
        <f>tItens[[#This Row],[Qtd]]*tItens[[#This Row],[Vlr unit]]</f>
        <v>785.7</v>
      </c>
      <c r="L3300" s="6">
        <f>IFERROR(IF(INDEX(tProdutos[Desconto homologado],MATCH(tItens[[#This Row],[Produto]],tProdutos[Produto],0))="",DescontoPadrao,INDEX(tProdutos[Desconto homologado],MATCH(tItens[[#This Row],[Produto]],tProdutos[Produto],0))),DescontoPadrao)</f>
        <v>0.36</v>
      </c>
      <c r="M3300" s="12">
        <f>tItens[[#This Row],[Valor]]*(1-tItens[[#This Row],[Desconto]])</f>
        <v>502.84800000000001</v>
      </c>
      <c r="N3300" t="str">
        <f>IFERROR(INDEX(tProdutos[Foco],MATCH(tItens[[#This Row],[Produto]],tProdutos[Produto],0)),"Não")</f>
        <v>Sim</v>
      </c>
      <c r="O3300" t="str">
        <f>IFERROR(INDEX(tEditais[SRP],MATCH(tItens[[#This Row],[Edital]],tEditais[Edital],0)),"Não")</f>
        <v>Não</v>
      </c>
      <c r="P3300" s="4">
        <f>IF(COUNTIFS(INDEX(tItens[Edital],1):tItens[[#This Row],[Edital]],tItens[[#This Row],[Edital]],INDEX(tItens[Produto],1):tItens[[#This Row],[Produto]],tItens[[#This Row],[Produto]])=1,1,0)</f>
        <v>1</v>
      </c>
    </row>
    <row r="3301" spans="1:16" x14ac:dyDescent="0.25">
      <c r="A3301" t="s">
        <v>1430</v>
      </c>
      <c r="B3301">
        <v>329</v>
      </c>
      <c r="C3301" t="s">
        <v>6206</v>
      </c>
      <c r="D3301" t="s">
        <v>170</v>
      </c>
      <c r="E3301" s="13">
        <v>30</v>
      </c>
      <c r="F3301" s="12">
        <v>21.53</v>
      </c>
      <c r="G3301" t="str">
        <f>IFERROR(INDEX(tEditais[Órgão],MATCH(tItens[[#This Row],[Edital]],tEditais[Edital],0)),"")</f>
        <v>MUNICIPIO DE AMPARO DO SERRA</v>
      </c>
      <c r="H3301" t="str">
        <f>IFERROR(INDEX(tEditais[UF],MATCH(tItens[[#This Row],[Edital]],tEditais[Edital],0)),"")</f>
        <v>MG</v>
      </c>
      <c r="I3301" s="11">
        <f>IFERROR(INDEX(tEditais[Encerramento],MATCH(tItens[[#This Row],[Edital]],tEditais[Edital],0)),"")</f>
        <v>46309.333333333336</v>
      </c>
      <c r="J3301" t="str">
        <f>IFERROR(INDEX(tProdutos[Classe],MATCH(tItens[[#This Row],[Produto]],tProdutos[Produto],0)),"produto não cadastrado")</f>
        <v>DISPUTADO</v>
      </c>
      <c r="K3301" s="12">
        <f>tItens[[#This Row],[Qtd]]*tItens[[#This Row],[Vlr unit]]</f>
        <v>645.90000000000009</v>
      </c>
      <c r="L3301" s="6">
        <f>IFERROR(IF(INDEX(tProdutos[Desconto homologado],MATCH(tItens[[#This Row],[Produto]],tProdutos[Produto],0))="",DescontoPadrao,INDEX(tProdutos[Desconto homologado],MATCH(tItens[[#This Row],[Produto]],tProdutos[Produto],0))),DescontoPadrao)</f>
        <v>0.36</v>
      </c>
      <c r="M3301" s="12">
        <f>tItens[[#This Row],[Valor]]*(1-tItens[[#This Row],[Desconto]])</f>
        <v>413.37600000000009</v>
      </c>
      <c r="N3301" t="str">
        <f>IFERROR(INDEX(tProdutos[Foco],MATCH(tItens[[#This Row],[Produto]],tProdutos[Produto],0)),"Não")</f>
        <v>Sim</v>
      </c>
      <c r="O3301" t="str">
        <f>IFERROR(INDEX(tEditais[SRP],MATCH(tItens[[#This Row],[Edital]],tEditais[Edital],0)),"Não")</f>
        <v>Não</v>
      </c>
      <c r="P3301" s="4">
        <f>IF(COUNTIFS(INDEX(tItens[Edital],1):tItens[[#This Row],[Edital]],tItens[[#This Row],[Edital]],INDEX(tItens[Produto],1):tItens[[#This Row],[Produto]],tItens[[#This Row],[Produto]])=1,1,0)</f>
        <v>0</v>
      </c>
    </row>
    <row r="3302" spans="1:16" x14ac:dyDescent="0.25">
      <c r="A3302" t="s">
        <v>1430</v>
      </c>
      <c r="B3302">
        <v>330</v>
      </c>
      <c r="C3302" t="s">
        <v>6207</v>
      </c>
      <c r="D3302" t="s">
        <v>170</v>
      </c>
      <c r="E3302" s="13">
        <v>320</v>
      </c>
      <c r="F3302" s="12">
        <v>27.63</v>
      </c>
      <c r="G3302" t="str">
        <f>IFERROR(INDEX(tEditais[Órgão],MATCH(tItens[[#This Row],[Edital]],tEditais[Edital],0)),"")</f>
        <v>MUNICIPIO DE AMPARO DO SERRA</v>
      </c>
      <c r="H3302" t="str">
        <f>IFERROR(INDEX(tEditais[UF],MATCH(tItens[[#This Row],[Edital]],tEditais[Edital],0)),"")</f>
        <v>MG</v>
      </c>
      <c r="I3302" s="11">
        <f>IFERROR(INDEX(tEditais[Encerramento],MATCH(tItens[[#This Row],[Edital]],tEditais[Edital],0)),"")</f>
        <v>46309.333333333336</v>
      </c>
      <c r="J3302" t="str">
        <f>IFERROR(INDEX(tProdutos[Classe],MATCH(tItens[[#This Row],[Produto]],tProdutos[Produto],0)),"produto não cadastrado")</f>
        <v>DISPUTADO</v>
      </c>
      <c r="K3302" s="12">
        <f>tItens[[#This Row],[Qtd]]*tItens[[#This Row],[Vlr unit]]</f>
        <v>8841.6</v>
      </c>
      <c r="L3302" s="6">
        <f>IFERROR(IF(INDEX(tProdutos[Desconto homologado],MATCH(tItens[[#This Row],[Produto]],tProdutos[Produto],0))="",DescontoPadrao,INDEX(tProdutos[Desconto homologado],MATCH(tItens[[#This Row],[Produto]],tProdutos[Produto],0))),DescontoPadrao)</f>
        <v>0.36</v>
      </c>
      <c r="M3302" s="12">
        <f>tItens[[#This Row],[Valor]]*(1-tItens[[#This Row],[Desconto]])</f>
        <v>5658.6240000000007</v>
      </c>
      <c r="N3302" t="str">
        <f>IFERROR(INDEX(tProdutos[Foco],MATCH(tItens[[#This Row],[Produto]],tProdutos[Produto],0)),"Não")</f>
        <v>Sim</v>
      </c>
      <c r="O3302" t="str">
        <f>IFERROR(INDEX(tEditais[SRP],MATCH(tItens[[#This Row],[Edital]],tEditais[Edital],0)),"Não")</f>
        <v>Não</v>
      </c>
      <c r="P3302" s="4">
        <f>IF(COUNTIFS(INDEX(tItens[Edital],1):tItens[[#This Row],[Edital]],tItens[[#This Row],[Edital]],INDEX(tItens[Produto],1):tItens[[#This Row],[Produto]],tItens[[#This Row],[Produto]])=1,1,0)</f>
        <v>0</v>
      </c>
    </row>
    <row r="3303" spans="1:16" x14ac:dyDescent="0.25">
      <c r="A3303" t="s">
        <v>1430</v>
      </c>
      <c r="B3303">
        <v>331</v>
      </c>
      <c r="C3303" t="s">
        <v>6208</v>
      </c>
      <c r="D3303" t="s">
        <v>170</v>
      </c>
      <c r="E3303" s="13">
        <v>30</v>
      </c>
      <c r="F3303" s="12">
        <v>22</v>
      </c>
      <c r="G3303" t="str">
        <f>IFERROR(INDEX(tEditais[Órgão],MATCH(tItens[[#This Row],[Edital]],tEditais[Edital],0)),"")</f>
        <v>MUNICIPIO DE AMPARO DO SERRA</v>
      </c>
      <c r="H3303" t="str">
        <f>IFERROR(INDEX(tEditais[UF],MATCH(tItens[[#This Row],[Edital]],tEditais[Edital],0)),"")</f>
        <v>MG</v>
      </c>
      <c r="I3303" s="11">
        <f>IFERROR(INDEX(tEditais[Encerramento],MATCH(tItens[[#This Row],[Edital]],tEditais[Edital],0)),"")</f>
        <v>46309.333333333336</v>
      </c>
      <c r="J3303" t="str">
        <f>IFERROR(INDEX(tProdutos[Classe],MATCH(tItens[[#This Row],[Produto]],tProdutos[Produto],0)),"produto não cadastrado")</f>
        <v>DISPUTADO</v>
      </c>
      <c r="K3303" s="12">
        <f>tItens[[#This Row],[Qtd]]*tItens[[#This Row],[Vlr unit]]</f>
        <v>660</v>
      </c>
      <c r="L3303" s="6">
        <f>IFERROR(IF(INDEX(tProdutos[Desconto homologado],MATCH(tItens[[#This Row],[Produto]],tProdutos[Produto],0))="",DescontoPadrao,INDEX(tProdutos[Desconto homologado],MATCH(tItens[[#This Row],[Produto]],tProdutos[Produto],0))),DescontoPadrao)</f>
        <v>0.36</v>
      </c>
      <c r="M3303" s="12">
        <f>tItens[[#This Row],[Valor]]*(1-tItens[[#This Row],[Desconto]])</f>
        <v>422.40000000000003</v>
      </c>
      <c r="N3303" t="str">
        <f>IFERROR(INDEX(tProdutos[Foco],MATCH(tItens[[#This Row],[Produto]],tProdutos[Produto],0)),"Não")</f>
        <v>Sim</v>
      </c>
      <c r="O3303" t="str">
        <f>IFERROR(INDEX(tEditais[SRP],MATCH(tItens[[#This Row],[Edital]],tEditais[Edital],0)),"Não")</f>
        <v>Não</v>
      </c>
      <c r="P3303" s="4">
        <f>IF(COUNTIFS(INDEX(tItens[Edital],1):tItens[[#This Row],[Edital]],tItens[[#This Row],[Edital]],INDEX(tItens[Produto],1):tItens[[#This Row],[Produto]],tItens[[#This Row],[Produto]])=1,1,0)</f>
        <v>0</v>
      </c>
    </row>
    <row r="3304" spans="1:16" x14ac:dyDescent="0.25">
      <c r="A3304" t="s">
        <v>1430</v>
      </c>
      <c r="B3304">
        <v>332</v>
      </c>
      <c r="C3304" t="s">
        <v>6209</v>
      </c>
      <c r="D3304" t="s">
        <v>170</v>
      </c>
      <c r="E3304" s="13">
        <v>30</v>
      </c>
      <c r="F3304" s="12">
        <v>28.5</v>
      </c>
      <c r="G3304" t="str">
        <f>IFERROR(INDEX(tEditais[Órgão],MATCH(tItens[[#This Row],[Edital]],tEditais[Edital],0)),"")</f>
        <v>MUNICIPIO DE AMPARO DO SERRA</v>
      </c>
      <c r="H3304" t="str">
        <f>IFERROR(INDEX(tEditais[UF],MATCH(tItens[[#This Row],[Edital]],tEditais[Edital],0)),"")</f>
        <v>MG</v>
      </c>
      <c r="I3304" s="11">
        <f>IFERROR(INDEX(tEditais[Encerramento],MATCH(tItens[[#This Row],[Edital]],tEditais[Edital],0)),"")</f>
        <v>46309.333333333336</v>
      </c>
      <c r="J3304" t="str">
        <f>IFERROR(INDEX(tProdutos[Classe],MATCH(tItens[[#This Row],[Produto]],tProdutos[Produto],0)),"produto não cadastrado")</f>
        <v>DISPUTADO</v>
      </c>
      <c r="K3304" s="12">
        <f>tItens[[#This Row],[Qtd]]*tItens[[#This Row],[Vlr unit]]</f>
        <v>855</v>
      </c>
      <c r="L3304" s="6">
        <f>IFERROR(IF(INDEX(tProdutos[Desconto homologado],MATCH(tItens[[#This Row],[Produto]],tProdutos[Produto],0))="",DescontoPadrao,INDEX(tProdutos[Desconto homologado],MATCH(tItens[[#This Row],[Produto]],tProdutos[Produto],0))),DescontoPadrao)</f>
        <v>0.36</v>
      </c>
      <c r="M3304" s="12">
        <f>tItens[[#This Row],[Valor]]*(1-tItens[[#This Row],[Desconto]])</f>
        <v>547.20000000000005</v>
      </c>
      <c r="N3304" t="str">
        <f>IFERROR(INDEX(tProdutos[Foco],MATCH(tItens[[#This Row],[Produto]],tProdutos[Produto],0)),"Não")</f>
        <v>Sim</v>
      </c>
      <c r="O3304" t="str">
        <f>IFERROR(INDEX(tEditais[SRP],MATCH(tItens[[#This Row],[Edital]],tEditais[Edital],0)),"Não")</f>
        <v>Não</v>
      </c>
      <c r="P3304" s="4">
        <f>IF(COUNTIFS(INDEX(tItens[Edital],1):tItens[[#This Row],[Edital]],tItens[[#This Row],[Edital]],INDEX(tItens[Produto],1):tItens[[#This Row],[Produto]],tItens[[#This Row],[Produto]])=1,1,0)</f>
        <v>0</v>
      </c>
    </row>
    <row r="3305" spans="1:16" x14ac:dyDescent="0.25">
      <c r="A3305" t="s">
        <v>1430</v>
      </c>
      <c r="B3305">
        <v>333</v>
      </c>
      <c r="C3305" t="s">
        <v>6210</v>
      </c>
      <c r="D3305" t="s">
        <v>170</v>
      </c>
      <c r="E3305" s="13">
        <v>30</v>
      </c>
      <c r="F3305" s="12">
        <v>25.42</v>
      </c>
      <c r="G3305" t="str">
        <f>IFERROR(INDEX(tEditais[Órgão],MATCH(tItens[[#This Row],[Edital]],tEditais[Edital],0)),"")</f>
        <v>MUNICIPIO DE AMPARO DO SERRA</v>
      </c>
      <c r="H3305" t="str">
        <f>IFERROR(INDEX(tEditais[UF],MATCH(tItens[[#This Row],[Edital]],tEditais[Edital],0)),"")</f>
        <v>MG</v>
      </c>
      <c r="I3305" s="11">
        <f>IFERROR(INDEX(tEditais[Encerramento],MATCH(tItens[[#This Row],[Edital]],tEditais[Edital],0)),"")</f>
        <v>46309.333333333336</v>
      </c>
      <c r="J3305" t="str">
        <f>IFERROR(INDEX(tProdutos[Classe],MATCH(tItens[[#This Row],[Produto]],tProdutos[Produto],0)),"produto não cadastrado")</f>
        <v>DISPUTADO</v>
      </c>
      <c r="K3305" s="12">
        <f>tItens[[#This Row],[Qtd]]*tItens[[#This Row],[Vlr unit]]</f>
        <v>762.6</v>
      </c>
      <c r="L3305" s="6">
        <f>IFERROR(IF(INDEX(tProdutos[Desconto homologado],MATCH(tItens[[#This Row],[Produto]],tProdutos[Produto],0))="",DescontoPadrao,INDEX(tProdutos[Desconto homologado],MATCH(tItens[[#This Row],[Produto]],tProdutos[Produto],0))),DescontoPadrao)</f>
        <v>0.36</v>
      </c>
      <c r="M3305" s="12">
        <f>tItens[[#This Row],[Valor]]*(1-tItens[[#This Row],[Desconto]])</f>
        <v>488.06400000000002</v>
      </c>
      <c r="N3305" t="str">
        <f>IFERROR(INDEX(tProdutos[Foco],MATCH(tItens[[#This Row],[Produto]],tProdutos[Produto],0)),"Não")</f>
        <v>Sim</v>
      </c>
      <c r="O3305" t="str">
        <f>IFERROR(INDEX(tEditais[SRP],MATCH(tItens[[#This Row],[Edital]],tEditais[Edital],0)),"Não")</f>
        <v>Não</v>
      </c>
      <c r="P3305" s="4">
        <f>IF(COUNTIFS(INDEX(tItens[Edital],1):tItens[[#This Row],[Edital]],tItens[[#This Row],[Edital]],INDEX(tItens[Produto],1):tItens[[#This Row],[Produto]],tItens[[#This Row],[Produto]])=1,1,0)</f>
        <v>0</v>
      </c>
    </row>
    <row r="3306" spans="1:16" x14ac:dyDescent="0.25">
      <c r="A3306" t="s">
        <v>1430</v>
      </c>
      <c r="B3306">
        <v>334</v>
      </c>
      <c r="C3306" t="s">
        <v>6211</v>
      </c>
      <c r="D3306" t="s">
        <v>170</v>
      </c>
      <c r="E3306" s="13">
        <v>30</v>
      </c>
      <c r="F3306" s="12">
        <v>27.02</v>
      </c>
      <c r="G3306" t="str">
        <f>IFERROR(INDEX(tEditais[Órgão],MATCH(tItens[[#This Row],[Edital]],tEditais[Edital],0)),"")</f>
        <v>MUNICIPIO DE AMPARO DO SERRA</v>
      </c>
      <c r="H3306" t="str">
        <f>IFERROR(INDEX(tEditais[UF],MATCH(tItens[[#This Row],[Edital]],tEditais[Edital],0)),"")</f>
        <v>MG</v>
      </c>
      <c r="I3306" s="11">
        <f>IFERROR(INDEX(tEditais[Encerramento],MATCH(tItens[[#This Row],[Edital]],tEditais[Edital],0)),"")</f>
        <v>46309.333333333336</v>
      </c>
      <c r="J3306" t="str">
        <f>IFERROR(INDEX(tProdutos[Classe],MATCH(tItens[[#This Row],[Produto]],tProdutos[Produto],0)),"produto não cadastrado")</f>
        <v>DISPUTADO</v>
      </c>
      <c r="K3306" s="12">
        <f>tItens[[#This Row],[Qtd]]*tItens[[#This Row],[Vlr unit]]</f>
        <v>810.6</v>
      </c>
      <c r="L3306" s="6">
        <f>IFERROR(IF(INDEX(tProdutos[Desconto homologado],MATCH(tItens[[#This Row],[Produto]],tProdutos[Produto],0))="",DescontoPadrao,INDEX(tProdutos[Desconto homologado],MATCH(tItens[[#This Row],[Produto]],tProdutos[Produto],0))),DescontoPadrao)</f>
        <v>0.36</v>
      </c>
      <c r="M3306" s="12">
        <f>tItens[[#This Row],[Valor]]*(1-tItens[[#This Row],[Desconto]])</f>
        <v>518.78399999999999</v>
      </c>
      <c r="N3306" t="str">
        <f>IFERROR(INDEX(tProdutos[Foco],MATCH(tItens[[#This Row],[Produto]],tProdutos[Produto],0)),"Não")</f>
        <v>Sim</v>
      </c>
      <c r="O3306" t="str">
        <f>IFERROR(INDEX(tEditais[SRP],MATCH(tItens[[#This Row],[Edital]],tEditais[Edital],0)),"Não")</f>
        <v>Não</v>
      </c>
      <c r="P3306" s="4">
        <f>IF(COUNTIFS(INDEX(tItens[Edital],1):tItens[[#This Row],[Edital]],tItens[[#This Row],[Edital]],INDEX(tItens[Produto],1):tItens[[#This Row],[Produto]],tItens[[#This Row],[Produto]])=1,1,0)</f>
        <v>0</v>
      </c>
    </row>
    <row r="3307" spans="1:16" x14ac:dyDescent="0.25">
      <c r="A3307" t="s">
        <v>1430</v>
      </c>
      <c r="B3307">
        <v>365</v>
      </c>
      <c r="C3307" t="s">
        <v>6212</v>
      </c>
      <c r="D3307" t="s">
        <v>494</v>
      </c>
      <c r="E3307" s="13">
        <v>200</v>
      </c>
      <c r="F3307" s="12">
        <v>100.38</v>
      </c>
      <c r="G3307" t="str">
        <f>IFERROR(INDEX(tEditais[Órgão],MATCH(tItens[[#This Row],[Edital]],tEditais[Edital],0)),"")</f>
        <v>MUNICIPIO DE AMPARO DO SERRA</v>
      </c>
      <c r="H3307" t="str">
        <f>IFERROR(INDEX(tEditais[UF],MATCH(tItens[[#This Row],[Edital]],tEditais[Edital],0)),"")</f>
        <v>MG</v>
      </c>
      <c r="I3307" s="11">
        <f>IFERROR(INDEX(tEditais[Encerramento],MATCH(tItens[[#This Row],[Edital]],tEditais[Edital],0)),"")</f>
        <v>46309.333333333336</v>
      </c>
      <c r="J3307" t="str">
        <f>IFERROR(INDEX(tProdutos[Classe],MATCH(tItens[[#This Row],[Produto]],tProdutos[Produto],0)),"produto não cadastrado")</f>
        <v>FILA REBASE</v>
      </c>
      <c r="K3307" s="12">
        <f>tItens[[#This Row],[Qtd]]*tItens[[#This Row],[Vlr unit]]</f>
        <v>20076</v>
      </c>
      <c r="L3307" s="6">
        <f>IFERROR(IF(INDEX(tProdutos[Desconto homologado],MATCH(tItens[[#This Row],[Produto]],tProdutos[Produto],0))="",DescontoPadrao,INDEX(tProdutos[Desconto homologado],MATCH(tItens[[#This Row],[Produto]],tProdutos[Produto],0))),DescontoPadrao)</f>
        <v>0.253736324829619</v>
      </c>
      <c r="M3307" s="12">
        <f>tItens[[#This Row],[Valor]]*(1-tItens[[#This Row],[Desconto]])</f>
        <v>14981.98954272057</v>
      </c>
      <c r="N3307" t="str">
        <f>IFERROR(INDEX(tProdutos[Foco],MATCH(tItens[[#This Row],[Produto]],tProdutos[Produto],0)),"Não")</f>
        <v>Não</v>
      </c>
      <c r="O3307" t="str">
        <f>IFERROR(INDEX(tEditais[SRP],MATCH(tItens[[#This Row],[Edital]],tEditais[Edital],0)),"Não")</f>
        <v>Não</v>
      </c>
      <c r="P3307" s="4">
        <f>IF(COUNTIFS(INDEX(tItens[Edital],1):tItens[[#This Row],[Edital]],tItens[[#This Row],[Edital]],INDEX(tItens[Produto],1):tItens[[#This Row],[Produto]],tItens[[#This Row],[Produto]])=1,1,0)</f>
        <v>1</v>
      </c>
    </row>
    <row r="3308" spans="1:16" x14ac:dyDescent="0.25">
      <c r="A3308" t="s">
        <v>1430</v>
      </c>
      <c r="B3308">
        <v>366</v>
      </c>
      <c r="C3308" t="s">
        <v>6213</v>
      </c>
      <c r="D3308" t="s">
        <v>494</v>
      </c>
      <c r="E3308" s="13">
        <v>50</v>
      </c>
      <c r="F3308" s="12">
        <v>196</v>
      </c>
      <c r="G3308" t="str">
        <f>IFERROR(INDEX(tEditais[Órgão],MATCH(tItens[[#This Row],[Edital]],tEditais[Edital],0)),"")</f>
        <v>MUNICIPIO DE AMPARO DO SERRA</v>
      </c>
      <c r="H3308" t="str">
        <f>IFERROR(INDEX(tEditais[UF],MATCH(tItens[[#This Row],[Edital]],tEditais[Edital],0)),"")</f>
        <v>MG</v>
      </c>
      <c r="I3308" s="11">
        <f>IFERROR(INDEX(tEditais[Encerramento],MATCH(tItens[[#This Row],[Edital]],tEditais[Edital],0)),"")</f>
        <v>46309.333333333336</v>
      </c>
      <c r="J3308" t="str">
        <f>IFERROR(INDEX(tProdutos[Classe],MATCH(tItens[[#This Row],[Produto]],tProdutos[Produto],0)),"produto não cadastrado")</f>
        <v>FILA REBASE</v>
      </c>
      <c r="K3308" s="12">
        <f>tItens[[#This Row],[Qtd]]*tItens[[#This Row],[Vlr unit]]</f>
        <v>9800</v>
      </c>
      <c r="L3308" s="6">
        <f>IFERROR(IF(INDEX(tProdutos[Desconto homologado],MATCH(tItens[[#This Row],[Produto]],tProdutos[Produto],0))="",DescontoPadrao,INDEX(tProdutos[Desconto homologado],MATCH(tItens[[#This Row],[Produto]],tProdutos[Produto],0))),DescontoPadrao)</f>
        <v>0.253736324829619</v>
      </c>
      <c r="M3308" s="12">
        <f>tItens[[#This Row],[Valor]]*(1-tItens[[#This Row],[Desconto]])</f>
        <v>7313.3840166697346</v>
      </c>
      <c r="N3308" t="str">
        <f>IFERROR(INDEX(tProdutos[Foco],MATCH(tItens[[#This Row],[Produto]],tProdutos[Produto],0)),"Não")</f>
        <v>Não</v>
      </c>
      <c r="O3308" t="str">
        <f>IFERROR(INDEX(tEditais[SRP],MATCH(tItens[[#This Row],[Edital]],tEditais[Edital],0)),"Não")</f>
        <v>Não</v>
      </c>
      <c r="P3308" s="4">
        <f>IF(COUNTIFS(INDEX(tItens[Edital],1):tItens[[#This Row],[Edital]],tItens[[#This Row],[Edital]],INDEX(tItens[Produto],1):tItens[[#This Row],[Produto]],tItens[[#This Row],[Produto]])=1,1,0)</f>
        <v>0</v>
      </c>
    </row>
    <row r="3309" spans="1:16" x14ac:dyDescent="0.25">
      <c r="A3309" t="s">
        <v>1430</v>
      </c>
      <c r="B3309">
        <v>367</v>
      </c>
      <c r="C3309" t="s">
        <v>6214</v>
      </c>
      <c r="D3309" t="s">
        <v>494</v>
      </c>
      <c r="E3309" s="13">
        <v>50</v>
      </c>
      <c r="F3309" s="12">
        <v>325.8</v>
      </c>
      <c r="G3309" t="str">
        <f>IFERROR(INDEX(tEditais[Órgão],MATCH(tItens[[#This Row],[Edital]],tEditais[Edital],0)),"")</f>
        <v>MUNICIPIO DE AMPARO DO SERRA</v>
      </c>
      <c r="H3309" t="str">
        <f>IFERROR(INDEX(tEditais[UF],MATCH(tItens[[#This Row],[Edital]],tEditais[Edital],0)),"")</f>
        <v>MG</v>
      </c>
      <c r="I3309" s="11">
        <f>IFERROR(INDEX(tEditais[Encerramento],MATCH(tItens[[#This Row],[Edital]],tEditais[Edital],0)),"")</f>
        <v>46309.333333333336</v>
      </c>
      <c r="J3309" t="str">
        <f>IFERROR(INDEX(tProdutos[Classe],MATCH(tItens[[#This Row],[Produto]],tProdutos[Produto],0)),"produto não cadastrado")</f>
        <v>FILA REBASE</v>
      </c>
      <c r="K3309" s="12">
        <f>tItens[[#This Row],[Qtd]]*tItens[[#This Row],[Vlr unit]]</f>
        <v>16290</v>
      </c>
      <c r="L3309" s="6">
        <f>IFERROR(IF(INDEX(tProdutos[Desconto homologado],MATCH(tItens[[#This Row],[Produto]],tProdutos[Produto],0))="",DescontoPadrao,INDEX(tProdutos[Desconto homologado],MATCH(tItens[[#This Row],[Produto]],tProdutos[Produto],0))),DescontoPadrao)</f>
        <v>0.253736324829619</v>
      </c>
      <c r="M3309" s="12">
        <f>tItens[[#This Row],[Valor]]*(1-tItens[[#This Row],[Desconto]])</f>
        <v>12156.635268525508</v>
      </c>
      <c r="N3309" t="str">
        <f>IFERROR(INDEX(tProdutos[Foco],MATCH(tItens[[#This Row],[Produto]],tProdutos[Produto],0)),"Não")</f>
        <v>Não</v>
      </c>
      <c r="O3309" t="str">
        <f>IFERROR(INDEX(tEditais[SRP],MATCH(tItens[[#This Row],[Edital]],tEditais[Edital],0)),"Não")</f>
        <v>Não</v>
      </c>
      <c r="P3309" s="4">
        <f>IF(COUNTIFS(INDEX(tItens[Edital],1):tItens[[#This Row],[Edital]],tItens[[#This Row],[Edital]],INDEX(tItens[Produto],1):tItens[[#This Row],[Produto]],tItens[[#This Row],[Produto]])=1,1,0)</f>
        <v>0</v>
      </c>
    </row>
    <row r="3310" spans="1:16" x14ac:dyDescent="0.25">
      <c r="A3310" t="s">
        <v>1430</v>
      </c>
      <c r="B3310">
        <v>368</v>
      </c>
      <c r="C3310" t="s">
        <v>6215</v>
      </c>
      <c r="D3310" t="s">
        <v>267</v>
      </c>
      <c r="E3310" s="13">
        <v>50</v>
      </c>
      <c r="F3310" s="12">
        <v>23.72</v>
      </c>
      <c r="G3310" t="str">
        <f>IFERROR(INDEX(tEditais[Órgão],MATCH(tItens[[#This Row],[Edital]],tEditais[Edital],0)),"")</f>
        <v>MUNICIPIO DE AMPARO DO SERRA</v>
      </c>
      <c r="H3310" t="str">
        <f>IFERROR(INDEX(tEditais[UF],MATCH(tItens[[#This Row],[Edital]],tEditais[Edital],0)),"")</f>
        <v>MG</v>
      </c>
      <c r="I3310" s="11">
        <f>IFERROR(INDEX(tEditais[Encerramento],MATCH(tItens[[#This Row],[Edital]],tEditais[Edital],0)),"")</f>
        <v>46309.333333333336</v>
      </c>
      <c r="J3310" t="str">
        <f>IFERROR(INDEX(tProdutos[Classe],MATCH(tItens[[#This Row],[Produto]],tProdutos[Produto],0)),"produto não cadastrado")</f>
        <v>FORA</v>
      </c>
      <c r="K3310" s="12">
        <f>tItens[[#This Row],[Qtd]]*tItens[[#This Row],[Vlr unit]]</f>
        <v>1186</v>
      </c>
      <c r="L3310" s="6">
        <f>IFERROR(IF(INDEX(tProdutos[Desconto homologado],MATCH(tItens[[#This Row],[Produto]],tProdutos[Produto],0))="",DescontoPadrao,INDEX(tProdutos[Desconto homologado],MATCH(tItens[[#This Row],[Produto]],tProdutos[Produto],0))),DescontoPadrao)</f>
        <v>0.19963672657401599</v>
      </c>
      <c r="M3310" s="12">
        <f>tItens[[#This Row],[Valor]]*(1-tItens[[#This Row],[Desconto]])</f>
        <v>949.23084228321704</v>
      </c>
      <c r="N3310" t="str">
        <f>IFERROR(INDEX(tProdutos[Foco],MATCH(tItens[[#This Row],[Produto]],tProdutos[Produto],0)),"Não")</f>
        <v>Não</v>
      </c>
      <c r="O3310" t="str">
        <f>IFERROR(INDEX(tEditais[SRP],MATCH(tItens[[#This Row],[Edital]],tEditais[Edital],0)),"Não")</f>
        <v>Não</v>
      </c>
      <c r="P3310" s="4">
        <f>IF(COUNTIFS(INDEX(tItens[Edital],1):tItens[[#This Row],[Edital]],tItens[[#This Row],[Edital]],INDEX(tItens[Produto],1):tItens[[#This Row],[Produto]],tItens[[#This Row],[Produto]])=1,1,0)</f>
        <v>0</v>
      </c>
    </row>
    <row r="3311" spans="1:16" x14ac:dyDescent="0.25">
      <c r="A3311" t="s">
        <v>1430</v>
      </c>
      <c r="B3311">
        <v>415</v>
      </c>
      <c r="C3311" t="s">
        <v>6216</v>
      </c>
      <c r="D3311" t="s">
        <v>494</v>
      </c>
      <c r="E3311" s="13">
        <v>8</v>
      </c>
      <c r="F3311" s="12">
        <v>448.2</v>
      </c>
      <c r="G3311" t="str">
        <f>IFERROR(INDEX(tEditais[Órgão],MATCH(tItens[[#This Row],[Edital]],tEditais[Edital],0)),"")</f>
        <v>MUNICIPIO DE AMPARO DO SERRA</v>
      </c>
      <c r="H3311" t="str">
        <f>IFERROR(INDEX(tEditais[UF],MATCH(tItens[[#This Row],[Edital]],tEditais[Edital],0)),"")</f>
        <v>MG</v>
      </c>
      <c r="I3311" s="11">
        <f>IFERROR(INDEX(tEditais[Encerramento],MATCH(tItens[[#This Row],[Edital]],tEditais[Edital],0)),"")</f>
        <v>46309.333333333336</v>
      </c>
      <c r="J3311" t="str">
        <f>IFERROR(INDEX(tProdutos[Classe],MATCH(tItens[[#This Row],[Produto]],tProdutos[Produto],0)),"produto não cadastrado")</f>
        <v>FILA REBASE</v>
      </c>
      <c r="K3311" s="12">
        <f>tItens[[#This Row],[Qtd]]*tItens[[#This Row],[Vlr unit]]</f>
        <v>3585.6</v>
      </c>
      <c r="L3311" s="6">
        <f>IFERROR(IF(INDEX(tProdutos[Desconto homologado],MATCH(tItens[[#This Row],[Produto]],tProdutos[Produto],0))="",DescontoPadrao,INDEX(tProdutos[Desconto homologado],MATCH(tItens[[#This Row],[Produto]],tProdutos[Produto],0))),DescontoPadrao)</f>
        <v>0.253736324829619</v>
      </c>
      <c r="M3311" s="12">
        <f>tItens[[#This Row],[Valor]]*(1-tItens[[#This Row],[Desconto]])</f>
        <v>2675.8030336909183</v>
      </c>
      <c r="N3311" t="str">
        <f>IFERROR(INDEX(tProdutos[Foco],MATCH(tItens[[#This Row],[Produto]],tProdutos[Produto],0)),"Não")</f>
        <v>Não</v>
      </c>
      <c r="O3311" t="str">
        <f>IFERROR(INDEX(tEditais[SRP],MATCH(tItens[[#This Row],[Edital]],tEditais[Edital],0)),"Não")</f>
        <v>Não</v>
      </c>
      <c r="P3311" s="4">
        <f>IF(COUNTIFS(INDEX(tItens[Edital],1):tItens[[#This Row],[Edital]],tItens[[#This Row],[Edital]],INDEX(tItens[Produto],1):tItens[[#This Row],[Produto]],tItens[[#This Row],[Produto]])=1,1,0)</f>
        <v>0</v>
      </c>
    </row>
    <row r="3312" spans="1:16" x14ac:dyDescent="0.25">
      <c r="A3312" t="s">
        <v>1430</v>
      </c>
      <c r="B3312">
        <v>417</v>
      </c>
      <c r="C3312" t="s">
        <v>6217</v>
      </c>
      <c r="D3312" t="s">
        <v>533</v>
      </c>
      <c r="E3312" s="13">
        <v>50</v>
      </c>
      <c r="F3312" s="12">
        <v>14.44</v>
      </c>
      <c r="G3312" t="str">
        <f>IFERROR(INDEX(tEditais[Órgão],MATCH(tItens[[#This Row],[Edital]],tEditais[Edital],0)),"")</f>
        <v>MUNICIPIO DE AMPARO DO SERRA</v>
      </c>
      <c r="H3312" t="str">
        <f>IFERROR(INDEX(tEditais[UF],MATCH(tItens[[#This Row],[Edital]],tEditais[Edital],0)),"")</f>
        <v>MG</v>
      </c>
      <c r="I3312" s="11">
        <f>IFERROR(INDEX(tEditais[Encerramento],MATCH(tItens[[#This Row],[Edital]],tEditais[Edital],0)),"")</f>
        <v>46309.333333333336</v>
      </c>
      <c r="J3312" t="str">
        <f>IFERROR(INDEX(tProdutos[Classe],MATCH(tItens[[#This Row],[Produto]],tProdutos[Produto],0)),"produto não cadastrado")</f>
        <v>FILA REBASE</v>
      </c>
      <c r="K3312" s="12">
        <f>tItens[[#This Row],[Qtd]]*tItens[[#This Row],[Vlr unit]]</f>
        <v>722</v>
      </c>
      <c r="L3312" s="6">
        <f>IFERROR(IF(INDEX(tProdutos[Desconto homologado],MATCH(tItens[[#This Row],[Produto]],tProdutos[Produto],0))="",DescontoPadrao,INDEX(tProdutos[Desconto homologado],MATCH(tItens[[#This Row],[Produto]],tProdutos[Produto],0))),DescontoPadrao)</f>
        <v>0.224431161160627</v>
      </c>
      <c r="M3312" s="12">
        <f>tItens[[#This Row],[Valor]]*(1-tItens[[#This Row],[Desconto]])</f>
        <v>559.96070164202729</v>
      </c>
      <c r="N3312" t="str">
        <f>IFERROR(INDEX(tProdutos[Foco],MATCH(tItens[[#This Row],[Produto]],tProdutos[Produto],0)),"Não")</f>
        <v>Não</v>
      </c>
      <c r="O3312" t="str">
        <f>IFERROR(INDEX(tEditais[SRP],MATCH(tItens[[#This Row],[Edital]],tEditais[Edital],0)),"Não")</f>
        <v>Não</v>
      </c>
      <c r="P3312" s="4">
        <f>IF(COUNTIFS(INDEX(tItens[Edital],1):tItens[[#This Row],[Edital]],tItens[[#This Row],[Edital]],INDEX(tItens[Produto],1):tItens[[#This Row],[Produto]],tItens[[#This Row],[Produto]])=1,1,0)</f>
        <v>1</v>
      </c>
    </row>
    <row r="3313" spans="1:16" x14ac:dyDescent="0.25">
      <c r="A3313" t="s">
        <v>1430</v>
      </c>
      <c r="B3313">
        <v>418</v>
      </c>
      <c r="C3313" t="s">
        <v>6218</v>
      </c>
      <c r="D3313" t="s">
        <v>281</v>
      </c>
      <c r="E3313" s="13">
        <v>200</v>
      </c>
      <c r="F3313" s="12">
        <v>0.89</v>
      </c>
      <c r="G3313" t="str">
        <f>IFERROR(INDEX(tEditais[Órgão],MATCH(tItens[[#This Row],[Edital]],tEditais[Edital],0)),"")</f>
        <v>MUNICIPIO DE AMPARO DO SERRA</v>
      </c>
      <c r="H3313" t="str">
        <f>IFERROR(INDEX(tEditais[UF],MATCH(tItens[[#This Row],[Edital]],tEditais[Edital],0)),"")</f>
        <v>MG</v>
      </c>
      <c r="I3313" s="11">
        <f>IFERROR(INDEX(tEditais[Encerramento],MATCH(tItens[[#This Row],[Edital]],tEditais[Edital],0)),"")</f>
        <v>46309.333333333336</v>
      </c>
      <c r="J3313" t="str">
        <f>IFERROR(INDEX(tProdutos[Classe],MATCH(tItens[[#This Row],[Produto]],tProdutos[Produto],0)),"produto não cadastrado")</f>
        <v>DISPUTADO</v>
      </c>
      <c r="K3313" s="12">
        <f>tItens[[#This Row],[Qtd]]*tItens[[#This Row],[Vlr unit]]</f>
        <v>178</v>
      </c>
      <c r="L3313" s="6">
        <f>IFERROR(IF(INDEX(tProdutos[Desconto homologado],MATCH(tItens[[#This Row],[Produto]],tProdutos[Produto],0))="",DescontoPadrao,INDEX(tProdutos[Desconto homologado],MATCH(tItens[[#This Row],[Produto]],tProdutos[Produto],0))),DescontoPadrao)</f>
        <v>0.42461538461538501</v>
      </c>
      <c r="M3313" s="12">
        <f>tItens[[#This Row],[Valor]]*(1-tItens[[#This Row],[Desconto]])</f>
        <v>102.41846153846146</v>
      </c>
      <c r="N3313" t="str">
        <f>IFERROR(INDEX(tProdutos[Foco],MATCH(tItens[[#This Row],[Produto]],tProdutos[Produto],0)),"Não")</f>
        <v>Não</v>
      </c>
      <c r="O3313" t="str">
        <f>IFERROR(INDEX(tEditais[SRP],MATCH(tItens[[#This Row],[Edital]],tEditais[Edital],0)),"Não")</f>
        <v>Não</v>
      </c>
      <c r="P3313" s="4">
        <f>IF(COUNTIFS(INDEX(tItens[Edital],1):tItens[[#This Row],[Edital]],tItens[[#This Row],[Edital]],INDEX(tItens[Produto],1):tItens[[#This Row],[Produto]],tItens[[#This Row],[Produto]])=1,1,0)</f>
        <v>1</v>
      </c>
    </row>
    <row r="3314" spans="1:16" x14ac:dyDescent="0.25">
      <c r="A3314" t="s">
        <v>1430</v>
      </c>
      <c r="B3314">
        <v>419</v>
      </c>
      <c r="C3314" t="s">
        <v>6219</v>
      </c>
      <c r="D3314" t="s">
        <v>275</v>
      </c>
      <c r="E3314" s="13">
        <v>15</v>
      </c>
      <c r="F3314" s="12">
        <v>0.49</v>
      </c>
      <c r="G3314" t="str">
        <f>IFERROR(INDEX(tEditais[Órgão],MATCH(tItens[[#This Row],[Edital]],tEditais[Edital],0)),"")</f>
        <v>MUNICIPIO DE AMPARO DO SERRA</v>
      </c>
      <c r="H3314" t="str">
        <f>IFERROR(INDEX(tEditais[UF],MATCH(tItens[[#This Row],[Edital]],tEditais[Edital],0)),"")</f>
        <v>MG</v>
      </c>
      <c r="I3314" s="11">
        <f>IFERROR(INDEX(tEditais[Encerramento],MATCH(tItens[[#This Row],[Edital]],tEditais[Edital],0)),"")</f>
        <v>46309.333333333336</v>
      </c>
      <c r="J3314" t="str">
        <f>IFERROR(INDEX(tProdutos[Classe],MATCH(tItens[[#This Row],[Produto]],tProdutos[Produto],0)),"produto não cadastrado")</f>
        <v>FORA</v>
      </c>
      <c r="K3314" s="12">
        <f>tItens[[#This Row],[Qtd]]*tItens[[#This Row],[Vlr unit]]</f>
        <v>7.35</v>
      </c>
      <c r="L3314" s="6">
        <f>IFERROR(IF(INDEX(tProdutos[Desconto homologado],MATCH(tItens[[#This Row],[Produto]],tProdutos[Produto],0))="",DescontoPadrao,INDEX(tProdutos[Desconto homologado],MATCH(tItens[[#This Row],[Produto]],tProdutos[Produto],0))),DescontoPadrao)</f>
        <v>0.405797101449275</v>
      </c>
      <c r="M3314" s="12">
        <f>tItens[[#This Row],[Valor]]*(1-tItens[[#This Row],[Desconto]])</f>
        <v>4.3673913043478292</v>
      </c>
      <c r="N3314" t="str">
        <f>IFERROR(INDEX(tProdutos[Foco],MATCH(tItens[[#This Row],[Produto]],tProdutos[Produto],0)),"Não")</f>
        <v>Não</v>
      </c>
      <c r="O3314" t="str">
        <f>IFERROR(INDEX(tEditais[SRP],MATCH(tItens[[#This Row],[Edital]],tEditais[Edital],0)),"Não")</f>
        <v>Não</v>
      </c>
      <c r="P3314" s="4">
        <f>IF(COUNTIFS(INDEX(tItens[Edital],1):tItens[[#This Row],[Edital]],tItens[[#This Row],[Edital]],INDEX(tItens[Produto],1):tItens[[#This Row],[Produto]],tItens[[#This Row],[Produto]])=1,1,0)</f>
        <v>1</v>
      </c>
    </row>
    <row r="3315" spans="1:16" x14ac:dyDescent="0.25">
      <c r="A3315" t="s">
        <v>1430</v>
      </c>
      <c r="B3315">
        <v>420</v>
      </c>
      <c r="C3315" t="s">
        <v>6220</v>
      </c>
      <c r="D3315" t="s">
        <v>275</v>
      </c>
      <c r="E3315" s="13">
        <v>30</v>
      </c>
      <c r="F3315" s="12">
        <v>0.48</v>
      </c>
      <c r="G3315" t="str">
        <f>IFERROR(INDEX(tEditais[Órgão],MATCH(tItens[[#This Row],[Edital]],tEditais[Edital],0)),"")</f>
        <v>MUNICIPIO DE AMPARO DO SERRA</v>
      </c>
      <c r="H3315" t="str">
        <f>IFERROR(INDEX(tEditais[UF],MATCH(tItens[[#This Row],[Edital]],tEditais[Edital],0)),"")</f>
        <v>MG</v>
      </c>
      <c r="I3315" s="11">
        <f>IFERROR(INDEX(tEditais[Encerramento],MATCH(tItens[[#This Row],[Edital]],tEditais[Edital],0)),"")</f>
        <v>46309.333333333336</v>
      </c>
      <c r="J3315" t="str">
        <f>IFERROR(INDEX(tProdutos[Classe],MATCH(tItens[[#This Row],[Produto]],tProdutos[Produto],0)),"produto não cadastrado")</f>
        <v>FORA</v>
      </c>
      <c r="K3315" s="12">
        <f>tItens[[#This Row],[Qtd]]*tItens[[#This Row],[Vlr unit]]</f>
        <v>14.399999999999999</v>
      </c>
      <c r="L3315" s="6">
        <f>IFERROR(IF(INDEX(tProdutos[Desconto homologado],MATCH(tItens[[#This Row],[Produto]],tProdutos[Produto],0))="",DescontoPadrao,INDEX(tProdutos[Desconto homologado],MATCH(tItens[[#This Row],[Produto]],tProdutos[Produto],0))),DescontoPadrao)</f>
        <v>0.405797101449275</v>
      </c>
      <c r="M3315" s="12">
        <f>tItens[[#This Row],[Valor]]*(1-tItens[[#This Row],[Desconto]])</f>
        <v>8.5565217391304405</v>
      </c>
      <c r="N3315" t="str">
        <f>IFERROR(INDEX(tProdutos[Foco],MATCH(tItens[[#This Row],[Produto]],tProdutos[Produto],0)),"Não")</f>
        <v>Não</v>
      </c>
      <c r="O3315" t="str">
        <f>IFERROR(INDEX(tEditais[SRP],MATCH(tItens[[#This Row],[Edital]],tEditais[Edital],0)),"Não")</f>
        <v>Não</v>
      </c>
      <c r="P3315" s="4">
        <f>IF(COUNTIFS(INDEX(tItens[Edital],1):tItens[[#This Row],[Edital]],tItens[[#This Row],[Edital]],INDEX(tItens[Produto],1):tItens[[#This Row],[Produto]],tItens[[#This Row],[Produto]])=1,1,0)</f>
        <v>0</v>
      </c>
    </row>
    <row r="3316" spans="1:16" x14ac:dyDescent="0.25">
      <c r="A3316" t="s">
        <v>1430</v>
      </c>
      <c r="B3316">
        <v>421</v>
      </c>
      <c r="C3316" t="s">
        <v>6221</v>
      </c>
      <c r="D3316" t="s">
        <v>289</v>
      </c>
      <c r="E3316" s="13">
        <v>200</v>
      </c>
      <c r="F3316" s="12">
        <v>1.55</v>
      </c>
      <c r="G3316" t="str">
        <f>IFERROR(INDEX(tEditais[Órgão],MATCH(tItens[[#This Row],[Edital]],tEditais[Edital],0)),"")</f>
        <v>MUNICIPIO DE AMPARO DO SERRA</v>
      </c>
      <c r="H3316" t="str">
        <f>IFERROR(INDEX(tEditais[UF],MATCH(tItens[[#This Row],[Edital]],tEditais[Edital],0)),"")</f>
        <v>MG</v>
      </c>
      <c r="I3316" s="11">
        <f>IFERROR(INDEX(tEditais[Encerramento],MATCH(tItens[[#This Row],[Edital]],tEditais[Edital],0)),"")</f>
        <v>46309.333333333336</v>
      </c>
      <c r="J3316" t="str">
        <f>IFERROR(INDEX(tProdutos[Classe],MATCH(tItens[[#This Row],[Produto]],tProdutos[Produto],0)),"produto não cadastrado")</f>
        <v>DISPUTADO</v>
      </c>
      <c r="K3316" s="12">
        <f>tItens[[#This Row],[Qtd]]*tItens[[#This Row],[Vlr unit]]</f>
        <v>310</v>
      </c>
      <c r="L3316" s="6">
        <f>IFERROR(IF(INDEX(tProdutos[Desconto homologado],MATCH(tItens[[#This Row],[Produto]],tProdutos[Produto],0))="",DescontoPadrao,INDEX(tProdutos[Desconto homologado],MATCH(tItens[[#This Row],[Produto]],tProdutos[Produto],0))),DescontoPadrao)</f>
        <v>0.35849056603773599</v>
      </c>
      <c r="M3316" s="12">
        <f>tItens[[#This Row],[Valor]]*(1-tItens[[#This Row],[Desconto]])</f>
        <v>198.86792452830184</v>
      </c>
      <c r="N3316" t="str">
        <f>IFERROR(INDEX(tProdutos[Foco],MATCH(tItens[[#This Row],[Produto]],tProdutos[Produto],0)),"Não")</f>
        <v>Não</v>
      </c>
      <c r="O3316" t="str">
        <f>IFERROR(INDEX(tEditais[SRP],MATCH(tItens[[#This Row],[Edital]],tEditais[Edital],0)),"Não")</f>
        <v>Não</v>
      </c>
      <c r="P3316" s="4">
        <f>IF(COUNTIFS(INDEX(tItens[Edital],1):tItens[[#This Row],[Edital]],tItens[[#This Row],[Edital]],INDEX(tItens[Produto],1):tItens[[#This Row],[Produto]],tItens[[#This Row],[Produto]])=1,1,0)</f>
        <v>1</v>
      </c>
    </row>
    <row r="3317" spans="1:16" x14ac:dyDescent="0.25">
      <c r="A3317" t="s">
        <v>1430</v>
      </c>
      <c r="B3317">
        <v>422</v>
      </c>
      <c r="C3317" t="s">
        <v>6222</v>
      </c>
      <c r="D3317" t="s">
        <v>283</v>
      </c>
      <c r="E3317" s="13">
        <v>300</v>
      </c>
      <c r="F3317" s="12">
        <v>0.45</v>
      </c>
      <c r="G3317" t="str">
        <f>IFERROR(INDEX(tEditais[Órgão],MATCH(tItens[[#This Row],[Edital]],tEditais[Edital],0)),"")</f>
        <v>MUNICIPIO DE AMPARO DO SERRA</v>
      </c>
      <c r="H3317" t="str">
        <f>IFERROR(INDEX(tEditais[UF],MATCH(tItens[[#This Row],[Edital]],tEditais[Edital],0)),"")</f>
        <v>MG</v>
      </c>
      <c r="I3317" s="11">
        <f>IFERROR(INDEX(tEditais[Encerramento],MATCH(tItens[[#This Row],[Edital]],tEditais[Edital],0)),"")</f>
        <v>46309.333333333336</v>
      </c>
      <c r="J3317" t="str">
        <f>IFERROR(INDEX(tProdutos[Classe],MATCH(tItens[[#This Row],[Produto]],tProdutos[Produto],0)),"produto não cadastrado")</f>
        <v>FORA</v>
      </c>
      <c r="K3317" s="12">
        <f>tItens[[#This Row],[Qtd]]*tItens[[#This Row],[Vlr unit]]</f>
        <v>135</v>
      </c>
      <c r="L3317" s="6">
        <f>IFERROR(IF(INDEX(tProdutos[Desconto homologado],MATCH(tItens[[#This Row],[Produto]],tProdutos[Produto],0))="",DescontoPadrao,INDEX(tProdutos[Desconto homologado],MATCH(tItens[[#This Row],[Produto]],tProdutos[Produto],0))),DescontoPadrao)</f>
        <v>0.40540540540540498</v>
      </c>
      <c r="M3317" s="12">
        <f>tItens[[#This Row],[Valor]]*(1-tItens[[#This Row],[Desconto]])</f>
        <v>80.270270270270316</v>
      </c>
      <c r="N3317" t="str">
        <f>IFERROR(INDEX(tProdutos[Foco],MATCH(tItens[[#This Row],[Produto]],tProdutos[Produto],0)),"Não")</f>
        <v>Não</v>
      </c>
      <c r="O3317" t="str">
        <f>IFERROR(INDEX(tEditais[SRP],MATCH(tItens[[#This Row],[Edital]],tEditais[Edital],0)),"Não")</f>
        <v>Não</v>
      </c>
      <c r="P3317" s="4">
        <f>IF(COUNTIFS(INDEX(tItens[Edital],1):tItens[[#This Row],[Edital]],tItens[[#This Row],[Edital]],INDEX(tItens[Produto],1):tItens[[#This Row],[Produto]],tItens[[#This Row],[Produto]])=1,1,0)</f>
        <v>1</v>
      </c>
    </row>
    <row r="3318" spans="1:16" x14ac:dyDescent="0.25">
      <c r="A3318" t="s">
        <v>1430</v>
      </c>
      <c r="B3318">
        <v>423</v>
      </c>
      <c r="C3318" t="s">
        <v>6223</v>
      </c>
      <c r="D3318" t="s">
        <v>265</v>
      </c>
      <c r="E3318" s="13">
        <v>300</v>
      </c>
      <c r="F3318" s="12">
        <v>0.36</v>
      </c>
      <c r="G3318" t="str">
        <f>IFERROR(INDEX(tEditais[Órgão],MATCH(tItens[[#This Row],[Edital]],tEditais[Edital],0)),"")</f>
        <v>MUNICIPIO DE AMPARO DO SERRA</v>
      </c>
      <c r="H3318" t="str">
        <f>IFERROR(INDEX(tEditais[UF],MATCH(tItens[[#This Row],[Edital]],tEditais[Edital],0)),"")</f>
        <v>MG</v>
      </c>
      <c r="I3318" s="11">
        <f>IFERROR(INDEX(tEditais[Encerramento],MATCH(tItens[[#This Row],[Edital]],tEditais[Edital],0)),"")</f>
        <v>46309.333333333336</v>
      </c>
      <c r="J3318" t="str">
        <f>IFERROR(INDEX(tProdutos[Classe],MATCH(tItens[[#This Row],[Produto]],tProdutos[Produto],0)),"produto não cadastrado")</f>
        <v>DISPUTADO</v>
      </c>
      <c r="K3318" s="12">
        <f>tItens[[#This Row],[Qtd]]*tItens[[#This Row],[Vlr unit]]</f>
        <v>108</v>
      </c>
      <c r="L3318" s="6">
        <f>IFERROR(IF(INDEX(tProdutos[Desconto homologado],MATCH(tItens[[#This Row],[Produto]],tProdutos[Produto],0))="",DescontoPadrao,INDEX(tProdutos[Desconto homologado],MATCH(tItens[[#This Row],[Produto]],tProdutos[Produto],0))),DescontoPadrao)</f>
        <v>0.377587663709337</v>
      </c>
      <c r="M3318" s="12">
        <f>tItens[[#This Row],[Valor]]*(1-tItens[[#This Row],[Desconto]])</f>
        <v>67.220532319391609</v>
      </c>
      <c r="N3318" t="str">
        <f>IFERROR(INDEX(tProdutos[Foco],MATCH(tItens[[#This Row],[Produto]],tProdutos[Produto],0)),"Não")</f>
        <v>Não</v>
      </c>
      <c r="O3318" t="str">
        <f>IFERROR(INDEX(tEditais[SRP],MATCH(tItens[[#This Row],[Edital]],tEditais[Edital],0)),"Não")</f>
        <v>Não</v>
      </c>
      <c r="P3318" s="4">
        <f>IF(COUNTIFS(INDEX(tItens[Edital],1):tItens[[#This Row],[Edital]],tItens[[#This Row],[Edital]],INDEX(tItens[Produto],1):tItens[[#This Row],[Produto]],tItens[[#This Row],[Produto]])=1,1,0)</f>
        <v>1</v>
      </c>
    </row>
    <row r="3319" spans="1:16" x14ac:dyDescent="0.25">
      <c r="A3319" t="s">
        <v>1430</v>
      </c>
      <c r="B3319">
        <v>424</v>
      </c>
      <c r="C3319" t="s">
        <v>6224</v>
      </c>
      <c r="D3319" t="s">
        <v>265</v>
      </c>
      <c r="E3319" s="13">
        <v>400</v>
      </c>
      <c r="F3319" s="12">
        <v>0.67</v>
      </c>
      <c r="G3319" t="str">
        <f>IFERROR(INDEX(tEditais[Órgão],MATCH(tItens[[#This Row],[Edital]],tEditais[Edital],0)),"")</f>
        <v>MUNICIPIO DE AMPARO DO SERRA</v>
      </c>
      <c r="H3319" t="str">
        <f>IFERROR(INDEX(tEditais[UF],MATCH(tItens[[#This Row],[Edital]],tEditais[Edital],0)),"")</f>
        <v>MG</v>
      </c>
      <c r="I3319" s="11">
        <f>IFERROR(INDEX(tEditais[Encerramento],MATCH(tItens[[#This Row],[Edital]],tEditais[Edital],0)),"")</f>
        <v>46309.333333333336</v>
      </c>
      <c r="J3319" t="str">
        <f>IFERROR(INDEX(tProdutos[Classe],MATCH(tItens[[#This Row],[Produto]],tProdutos[Produto],0)),"produto não cadastrado")</f>
        <v>DISPUTADO</v>
      </c>
      <c r="K3319" s="12">
        <f>tItens[[#This Row],[Qtd]]*tItens[[#This Row],[Vlr unit]]</f>
        <v>268</v>
      </c>
      <c r="L3319" s="6">
        <f>IFERROR(IF(INDEX(tProdutos[Desconto homologado],MATCH(tItens[[#This Row],[Produto]],tProdutos[Produto],0))="",DescontoPadrao,INDEX(tProdutos[Desconto homologado],MATCH(tItens[[#This Row],[Produto]],tProdutos[Produto],0))),DescontoPadrao)</f>
        <v>0.377587663709337</v>
      </c>
      <c r="M3319" s="12">
        <f>tItens[[#This Row],[Valor]]*(1-tItens[[#This Row],[Desconto]])</f>
        <v>166.8065061258977</v>
      </c>
      <c r="N3319" t="str">
        <f>IFERROR(INDEX(tProdutos[Foco],MATCH(tItens[[#This Row],[Produto]],tProdutos[Produto],0)),"Não")</f>
        <v>Não</v>
      </c>
      <c r="O3319" t="str">
        <f>IFERROR(INDEX(tEditais[SRP],MATCH(tItens[[#This Row],[Edital]],tEditais[Edital],0)),"Não")</f>
        <v>Não</v>
      </c>
      <c r="P3319" s="4">
        <f>IF(COUNTIFS(INDEX(tItens[Edital],1):tItens[[#This Row],[Edital]],tItens[[#This Row],[Edital]],INDEX(tItens[Produto],1):tItens[[#This Row],[Produto]],tItens[[#This Row],[Produto]])=1,1,0)</f>
        <v>0</v>
      </c>
    </row>
    <row r="3320" spans="1:16" x14ac:dyDescent="0.25">
      <c r="A3320" t="s">
        <v>1430</v>
      </c>
      <c r="B3320">
        <v>435</v>
      </c>
      <c r="C3320" t="s">
        <v>6225</v>
      </c>
      <c r="D3320" t="s">
        <v>164</v>
      </c>
      <c r="E3320" s="13">
        <v>15</v>
      </c>
      <c r="F3320" s="12">
        <v>27.91</v>
      </c>
      <c r="G3320" t="str">
        <f>IFERROR(INDEX(tEditais[Órgão],MATCH(tItens[[#This Row],[Edital]],tEditais[Edital],0)),"")</f>
        <v>MUNICIPIO DE AMPARO DO SERRA</v>
      </c>
      <c r="H3320" t="str">
        <f>IFERROR(INDEX(tEditais[UF],MATCH(tItens[[#This Row],[Edital]],tEditais[Edital],0)),"")</f>
        <v>MG</v>
      </c>
      <c r="I3320" s="11">
        <f>IFERROR(INDEX(tEditais[Encerramento],MATCH(tItens[[#This Row],[Edital]],tEditais[Edital],0)),"")</f>
        <v>46309.333333333336</v>
      </c>
      <c r="J3320" t="str">
        <f>IFERROR(INDEX(tProdutos[Classe],MATCH(tItens[[#This Row],[Produto]],tProdutos[Produto],0)),"produto não cadastrado")</f>
        <v>DISPUTADO</v>
      </c>
      <c r="K3320" s="12">
        <f>tItens[[#This Row],[Qtd]]*tItens[[#This Row],[Vlr unit]]</f>
        <v>418.65</v>
      </c>
      <c r="L3320" s="6">
        <f>IFERROR(IF(INDEX(tProdutos[Desconto homologado],MATCH(tItens[[#This Row],[Produto]],tProdutos[Produto],0))="",DescontoPadrao,INDEX(tProdutos[Desconto homologado],MATCH(tItens[[#This Row],[Produto]],tProdutos[Produto],0))),DescontoPadrao)</f>
        <v>0.445300462249615</v>
      </c>
      <c r="M3320" s="12">
        <f>tItens[[#This Row],[Valor]]*(1-tItens[[#This Row],[Desconto]])</f>
        <v>232.22496147919864</v>
      </c>
      <c r="N3320" t="str">
        <f>IFERROR(INDEX(tProdutos[Foco],MATCH(tItens[[#This Row],[Produto]],tProdutos[Produto],0)),"Não")</f>
        <v>Não</v>
      </c>
      <c r="O3320" t="str">
        <f>IFERROR(INDEX(tEditais[SRP],MATCH(tItens[[#This Row],[Edital]],tEditais[Edital],0)),"Não")</f>
        <v>Não</v>
      </c>
      <c r="P3320" s="4">
        <f>IF(COUNTIFS(INDEX(tItens[Edital],1):tItens[[#This Row],[Edital]],tItens[[#This Row],[Edital]],INDEX(tItens[Produto],1):tItens[[#This Row],[Produto]],tItens[[#This Row],[Produto]])=1,1,0)</f>
        <v>1</v>
      </c>
    </row>
    <row r="3321" spans="1:16" x14ac:dyDescent="0.25">
      <c r="A3321" t="s">
        <v>1430</v>
      </c>
      <c r="B3321">
        <v>436</v>
      </c>
      <c r="C3321" t="s">
        <v>6226</v>
      </c>
      <c r="D3321" t="s">
        <v>110</v>
      </c>
      <c r="E3321" s="13">
        <v>100</v>
      </c>
      <c r="F3321" s="12">
        <v>3.88</v>
      </c>
      <c r="G3321" t="str">
        <f>IFERROR(INDEX(tEditais[Órgão],MATCH(tItens[[#This Row],[Edital]],tEditais[Edital],0)),"")</f>
        <v>MUNICIPIO DE AMPARO DO SERRA</v>
      </c>
      <c r="H3321" t="str">
        <f>IFERROR(INDEX(tEditais[UF],MATCH(tItens[[#This Row],[Edital]],tEditais[Edital],0)),"")</f>
        <v>MG</v>
      </c>
      <c r="I3321" s="11">
        <f>IFERROR(INDEX(tEditais[Encerramento],MATCH(tItens[[#This Row],[Edital]],tEditais[Edital],0)),"")</f>
        <v>46309.333333333336</v>
      </c>
      <c r="J3321" t="str">
        <f>IFERROR(INDEX(tProdutos[Classe],MATCH(tItens[[#This Row],[Produto]],tProdutos[Produto],0)),"produto não cadastrado")</f>
        <v>NÚCLEO</v>
      </c>
      <c r="K3321" s="12">
        <f>tItens[[#This Row],[Qtd]]*tItens[[#This Row],[Vlr unit]]</f>
        <v>388</v>
      </c>
      <c r="L3321" s="6">
        <f>IFERROR(IF(INDEX(tProdutos[Desconto homologado],MATCH(tItens[[#This Row],[Produto]],tProdutos[Produto],0))="",DescontoPadrao,INDEX(tProdutos[Desconto homologado],MATCH(tItens[[#This Row],[Produto]],tProdutos[Produto],0))),DescontoPadrao)</f>
        <v>0.30410958904109597</v>
      </c>
      <c r="M3321" s="12">
        <f>tItens[[#This Row],[Valor]]*(1-tItens[[#This Row],[Desconto]])</f>
        <v>270.00547945205477</v>
      </c>
      <c r="N3321" t="str">
        <f>IFERROR(INDEX(tProdutos[Foco],MATCH(tItens[[#This Row],[Produto]],tProdutos[Produto],0)),"Não")</f>
        <v>Não</v>
      </c>
      <c r="O3321" t="str">
        <f>IFERROR(INDEX(tEditais[SRP],MATCH(tItens[[#This Row],[Edital]],tEditais[Edital],0)),"Não")</f>
        <v>Não</v>
      </c>
      <c r="P3321" s="4">
        <f>IF(COUNTIFS(INDEX(tItens[Edital],1):tItens[[#This Row],[Edital]],tItens[[#This Row],[Edital]],INDEX(tItens[Produto],1):tItens[[#This Row],[Produto]],tItens[[#This Row],[Produto]])=1,1,0)</f>
        <v>1</v>
      </c>
    </row>
    <row r="3322" spans="1:16" x14ac:dyDescent="0.25">
      <c r="A3322" t="s">
        <v>1430</v>
      </c>
      <c r="B3322">
        <v>437</v>
      </c>
      <c r="C3322" t="s">
        <v>6227</v>
      </c>
      <c r="D3322" t="s">
        <v>110</v>
      </c>
      <c r="E3322" s="13">
        <v>100</v>
      </c>
      <c r="F3322" s="12">
        <v>5.05</v>
      </c>
      <c r="G3322" t="str">
        <f>IFERROR(INDEX(tEditais[Órgão],MATCH(tItens[[#This Row],[Edital]],tEditais[Edital],0)),"")</f>
        <v>MUNICIPIO DE AMPARO DO SERRA</v>
      </c>
      <c r="H3322" t="str">
        <f>IFERROR(INDEX(tEditais[UF],MATCH(tItens[[#This Row],[Edital]],tEditais[Edital],0)),"")</f>
        <v>MG</v>
      </c>
      <c r="I3322" s="11">
        <f>IFERROR(INDEX(tEditais[Encerramento],MATCH(tItens[[#This Row],[Edital]],tEditais[Edital],0)),"")</f>
        <v>46309.333333333336</v>
      </c>
      <c r="J3322" t="str">
        <f>IFERROR(INDEX(tProdutos[Classe],MATCH(tItens[[#This Row],[Produto]],tProdutos[Produto],0)),"produto não cadastrado")</f>
        <v>NÚCLEO</v>
      </c>
      <c r="K3322" s="12">
        <f>tItens[[#This Row],[Qtd]]*tItens[[#This Row],[Vlr unit]]</f>
        <v>505</v>
      </c>
      <c r="L3322" s="6">
        <f>IFERROR(IF(INDEX(tProdutos[Desconto homologado],MATCH(tItens[[#This Row],[Produto]],tProdutos[Produto],0))="",DescontoPadrao,INDEX(tProdutos[Desconto homologado],MATCH(tItens[[#This Row],[Produto]],tProdutos[Produto],0))),DescontoPadrao)</f>
        <v>0.30410958904109597</v>
      </c>
      <c r="M3322" s="12">
        <f>tItens[[#This Row],[Valor]]*(1-tItens[[#This Row],[Desconto]])</f>
        <v>351.42465753424653</v>
      </c>
      <c r="N3322" t="str">
        <f>IFERROR(INDEX(tProdutos[Foco],MATCH(tItens[[#This Row],[Produto]],tProdutos[Produto],0)),"Não")</f>
        <v>Não</v>
      </c>
      <c r="O3322" t="str">
        <f>IFERROR(INDEX(tEditais[SRP],MATCH(tItens[[#This Row],[Edital]],tEditais[Edital],0)),"Não")</f>
        <v>Não</v>
      </c>
      <c r="P3322" s="4">
        <f>IF(COUNTIFS(INDEX(tItens[Edital],1):tItens[[#This Row],[Edital]],tItens[[#This Row],[Edital]],INDEX(tItens[Produto],1):tItens[[#This Row],[Produto]],tItens[[#This Row],[Produto]])=1,1,0)</f>
        <v>0</v>
      </c>
    </row>
    <row r="3323" spans="1:16" x14ac:dyDescent="0.25">
      <c r="A3323" t="s">
        <v>1430</v>
      </c>
      <c r="B3323">
        <v>438</v>
      </c>
      <c r="C3323" t="s">
        <v>6228</v>
      </c>
      <c r="D3323" t="s">
        <v>110</v>
      </c>
      <c r="E3323" s="13">
        <v>60</v>
      </c>
      <c r="F3323" s="12">
        <v>3.04</v>
      </c>
      <c r="G3323" t="str">
        <f>IFERROR(INDEX(tEditais[Órgão],MATCH(tItens[[#This Row],[Edital]],tEditais[Edital],0)),"")</f>
        <v>MUNICIPIO DE AMPARO DO SERRA</v>
      </c>
      <c r="H3323" t="str">
        <f>IFERROR(INDEX(tEditais[UF],MATCH(tItens[[#This Row],[Edital]],tEditais[Edital],0)),"")</f>
        <v>MG</v>
      </c>
      <c r="I3323" s="11">
        <f>IFERROR(INDEX(tEditais[Encerramento],MATCH(tItens[[#This Row],[Edital]],tEditais[Edital],0)),"")</f>
        <v>46309.333333333336</v>
      </c>
      <c r="J3323" t="str">
        <f>IFERROR(INDEX(tProdutos[Classe],MATCH(tItens[[#This Row],[Produto]],tProdutos[Produto],0)),"produto não cadastrado")</f>
        <v>NÚCLEO</v>
      </c>
      <c r="K3323" s="12">
        <f>tItens[[#This Row],[Qtd]]*tItens[[#This Row],[Vlr unit]]</f>
        <v>182.4</v>
      </c>
      <c r="L3323" s="6">
        <f>IFERROR(IF(INDEX(tProdutos[Desconto homologado],MATCH(tItens[[#This Row],[Produto]],tProdutos[Produto],0))="",DescontoPadrao,INDEX(tProdutos[Desconto homologado],MATCH(tItens[[#This Row],[Produto]],tProdutos[Produto],0))),DescontoPadrao)</f>
        <v>0.30410958904109597</v>
      </c>
      <c r="M3323" s="12">
        <f>tItens[[#This Row],[Valor]]*(1-tItens[[#This Row],[Desconto]])</f>
        <v>126.9304109589041</v>
      </c>
      <c r="N3323" t="str">
        <f>IFERROR(INDEX(tProdutos[Foco],MATCH(tItens[[#This Row],[Produto]],tProdutos[Produto],0)),"Não")</f>
        <v>Não</v>
      </c>
      <c r="O3323" t="str">
        <f>IFERROR(INDEX(tEditais[SRP],MATCH(tItens[[#This Row],[Edital]],tEditais[Edital],0)),"Não")</f>
        <v>Não</v>
      </c>
      <c r="P3323" s="4">
        <f>IF(COUNTIFS(INDEX(tItens[Edital],1):tItens[[#This Row],[Edital]],tItens[[#This Row],[Edital]],INDEX(tItens[Produto],1):tItens[[#This Row],[Produto]],tItens[[#This Row],[Produto]])=1,1,0)</f>
        <v>0</v>
      </c>
    </row>
    <row r="3324" spans="1:16" x14ac:dyDescent="0.25">
      <c r="A3324" t="s">
        <v>1430</v>
      </c>
      <c r="B3324">
        <v>439</v>
      </c>
      <c r="C3324" t="s">
        <v>6229</v>
      </c>
      <c r="D3324" t="s">
        <v>110</v>
      </c>
      <c r="E3324" s="13">
        <v>60</v>
      </c>
      <c r="F3324" s="12">
        <v>2.67</v>
      </c>
      <c r="G3324" t="str">
        <f>IFERROR(INDEX(tEditais[Órgão],MATCH(tItens[[#This Row],[Edital]],tEditais[Edital],0)),"")</f>
        <v>MUNICIPIO DE AMPARO DO SERRA</v>
      </c>
      <c r="H3324" t="str">
        <f>IFERROR(INDEX(tEditais[UF],MATCH(tItens[[#This Row],[Edital]],tEditais[Edital],0)),"")</f>
        <v>MG</v>
      </c>
      <c r="I3324" s="11">
        <f>IFERROR(INDEX(tEditais[Encerramento],MATCH(tItens[[#This Row],[Edital]],tEditais[Edital],0)),"")</f>
        <v>46309.333333333336</v>
      </c>
      <c r="J3324" t="str">
        <f>IFERROR(INDEX(tProdutos[Classe],MATCH(tItens[[#This Row],[Produto]],tProdutos[Produto],0)),"produto não cadastrado")</f>
        <v>NÚCLEO</v>
      </c>
      <c r="K3324" s="12">
        <f>tItens[[#This Row],[Qtd]]*tItens[[#This Row],[Vlr unit]]</f>
        <v>160.19999999999999</v>
      </c>
      <c r="L3324" s="6">
        <f>IFERROR(IF(INDEX(tProdutos[Desconto homologado],MATCH(tItens[[#This Row],[Produto]],tProdutos[Produto],0))="",DescontoPadrao,INDEX(tProdutos[Desconto homologado],MATCH(tItens[[#This Row],[Produto]],tProdutos[Produto],0))),DescontoPadrao)</f>
        <v>0.30410958904109597</v>
      </c>
      <c r="M3324" s="12">
        <f>tItens[[#This Row],[Valor]]*(1-tItens[[#This Row],[Desconto]])</f>
        <v>111.48164383561642</v>
      </c>
      <c r="N3324" t="str">
        <f>IFERROR(INDEX(tProdutos[Foco],MATCH(tItens[[#This Row],[Produto]],tProdutos[Produto],0)),"Não")</f>
        <v>Não</v>
      </c>
      <c r="O3324" t="str">
        <f>IFERROR(INDEX(tEditais[SRP],MATCH(tItens[[#This Row],[Edital]],tEditais[Edital],0)),"Não")</f>
        <v>Não</v>
      </c>
      <c r="P3324" s="4">
        <f>IF(COUNTIFS(INDEX(tItens[Edital],1):tItens[[#This Row],[Edital]],tItens[[#This Row],[Edital]],INDEX(tItens[Produto],1):tItens[[#This Row],[Produto]],tItens[[#This Row],[Produto]])=1,1,0)</f>
        <v>0</v>
      </c>
    </row>
    <row r="3325" spans="1:16" x14ac:dyDescent="0.25">
      <c r="A3325" t="s">
        <v>1430</v>
      </c>
      <c r="B3325">
        <v>440</v>
      </c>
      <c r="C3325" t="s">
        <v>6230</v>
      </c>
      <c r="D3325" t="s">
        <v>110</v>
      </c>
      <c r="E3325" s="13">
        <v>60</v>
      </c>
      <c r="F3325" s="12">
        <v>4.42</v>
      </c>
      <c r="G3325" t="str">
        <f>IFERROR(INDEX(tEditais[Órgão],MATCH(tItens[[#This Row],[Edital]],tEditais[Edital],0)),"")</f>
        <v>MUNICIPIO DE AMPARO DO SERRA</v>
      </c>
      <c r="H3325" t="str">
        <f>IFERROR(INDEX(tEditais[UF],MATCH(tItens[[#This Row],[Edital]],tEditais[Edital],0)),"")</f>
        <v>MG</v>
      </c>
      <c r="I3325" s="11">
        <f>IFERROR(INDEX(tEditais[Encerramento],MATCH(tItens[[#This Row],[Edital]],tEditais[Edital],0)),"")</f>
        <v>46309.333333333336</v>
      </c>
      <c r="J3325" t="str">
        <f>IFERROR(INDEX(tProdutos[Classe],MATCH(tItens[[#This Row],[Produto]],tProdutos[Produto],0)),"produto não cadastrado")</f>
        <v>NÚCLEO</v>
      </c>
      <c r="K3325" s="12">
        <f>tItens[[#This Row],[Qtd]]*tItens[[#This Row],[Vlr unit]]</f>
        <v>265.2</v>
      </c>
      <c r="L3325" s="6">
        <f>IFERROR(IF(INDEX(tProdutos[Desconto homologado],MATCH(tItens[[#This Row],[Produto]],tProdutos[Produto],0))="",DescontoPadrao,INDEX(tProdutos[Desconto homologado],MATCH(tItens[[#This Row],[Produto]],tProdutos[Produto],0))),DescontoPadrao)</f>
        <v>0.30410958904109597</v>
      </c>
      <c r="M3325" s="12">
        <f>tItens[[#This Row],[Valor]]*(1-tItens[[#This Row],[Desconto]])</f>
        <v>184.55013698630134</v>
      </c>
      <c r="N3325" t="str">
        <f>IFERROR(INDEX(tProdutos[Foco],MATCH(tItens[[#This Row],[Produto]],tProdutos[Produto],0)),"Não")</f>
        <v>Não</v>
      </c>
      <c r="O3325" t="str">
        <f>IFERROR(INDEX(tEditais[SRP],MATCH(tItens[[#This Row],[Edital]],tEditais[Edital],0)),"Não")</f>
        <v>Não</v>
      </c>
      <c r="P3325" s="4">
        <f>IF(COUNTIFS(INDEX(tItens[Edital],1):tItens[[#This Row],[Edital]],tItens[[#This Row],[Edital]],INDEX(tItens[Produto],1):tItens[[#This Row],[Produto]],tItens[[#This Row],[Produto]])=1,1,0)</f>
        <v>0</v>
      </c>
    </row>
    <row r="3326" spans="1:16" x14ac:dyDescent="0.25">
      <c r="A3326" t="s">
        <v>1430</v>
      </c>
      <c r="B3326">
        <v>441</v>
      </c>
      <c r="C3326" t="s">
        <v>6231</v>
      </c>
      <c r="D3326" t="s">
        <v>110</v>
      </c>
      <c r="E3326" s="13">
        <v>60</v>
      </c>
      <c r="F3326" s="12">
        <v>4.58</v>
      </c>
      <c r="G3326" t="str">
        <f>IFERROR(INDEX(tEditais[Órgão],MATCH(tItens[[#This Row],[Edital]],tEditais[Edital],0)),"")</f>
        <v>MUNICIPIO DE AMPARO DO SERRA</v>
      </c>
      <c r="H3326" t="str">
        <f>IFERROR(INDEX(tEditais[UF],MATCH(tItens[[#This Row],[Edital]],tEditais[Edital],0)),"")</f>
        <v>MG</v>
      </c>
      <c r="I3326" s="11">
        <f>IFERROR(INDEX(tEditais[Encerramento],MATCH(tItens[[#This Row],[Edital]],tEditais[Edital],0)),"")</f>
        <v>46309.333333333336</v>
      </c>
      <c r="J3326" t="str">
        <f>IFERROR(INDEX(tProdutos[Classe],MATCH(tItens[[#This Row],[Produto]],tProdutos[Produto],0)),"produto não cadastrado")</f>
        <v>NÚCLEO</v>
      </c>
      <c r="K3326" s="12">
        <f>tItens[[#This Row],[Qtd]]*tItens[[#This Row],[Vlr unit]]</f>
        <v>274.8</v>
      </c>
      <c r="L3326" s="6">
        <f>IFERROR(IF(INDEX(tProdutos[Desconto homologado],MATCH(tItens[[#This Row],[Produto]],tProdutos[Produto],0))="",DescontoPadrao,INDEX(tProdutos[Desconto homologado],MATCH(tItens[[#This Row],[Produto]],tProdutos[Produto],0))),DescontoPadrao)</f>
        <v>0.30410958904109597</v>
      </c>
      <c r="M3326" s="12">
        <f>tItens[[#This Row],[Valor]]*(1-tItens[[#This Row],[Desconto]])</f>
        <v>191.23068493150683</v>
      </c>
      <c r="N3326" t="str">
        <f>IFERROR(INDEX(tProdutos[Foco],MATCH(tItens[[#This Row],[Produto]],tProdutos[Produto],0)),"Não")</f>
        <v>Não</v>
      </c>
      <c r="O3326" t="str">
        <f>IFERROR(INDEX(tEditais[SRP],MATCH(tItens[[#This Row],[Edital]],tEditais[Edital],0)),"Não")</f>
        <v>Não</v>
      </c>
      <c r="P3326" s="4">
        <f>IF(COUNTIFS(INDEX(tItens[Edital],1):tItens[[#This Row],[Edital]],tItens[[#This Row],[Edital]],INDEX(tItens[Produto],1):tItens[[#This Row],[Produto]],tItens[[#This Row],[Produto]])=1,1,0)</f>
        <v>0</v>
      </c>
    </row>
    <row r="3327" spans="1:16" x14ac:dyDescent="0.25">
      <c r="A3327" t="s">
        <v>1430</v>
      </c>
      <c r="B3327">
        <v>442</v>
      </c>
      <c r="C3327" t="s">
        <v>6232</v>
      </c>
      <c r="D3327" t="s">
        <v>120</v>
      </c>
      <c r="E3327" s="13">
        <v>200</v>
      </c>
      <c r="F3327" s="12">
        <v>27.6</v>
      </c>
      <c r="G3327" t="str">
        <f>IFERROR(INDEX(tEditais[Órgão],MATCH(tItens[[#This Row],[Edital]],tEditais[Edital],0)),"")</f>
        <v>MUNICIPIO DE AMPARO DO SERRA</v>
      </c>
      <c r="H3327" t="str">
        <f>IFERROR(INDEX(tEditais[UF],MATCH(tItens[[#This Row],[Edital]],tEditais[Edital],0)),"")</f>
        <v>MG</v>
      </c>
      <c r="I3327" s="11">
        <f>IFERROR(INDEX(tEditais[Encerramento],MATCH(tItens[[#This Row],[Edital]],tEditais[Edital],0)),"")</f>
        <v>46309.333333333336</v>
      </c>
      <c r="J3327" t="str">
        <f>IFERROR(INDEX(tProdutos[Classe],MATCH(tItens[[#This Row],[Produto]],tProdutos[Produto],0)),"produto não cadastrado")</f>
        <v>DISPUTADO</v>
      </c>
      <c r="K3327" s="12">
        <f>tItens[[#This Row],[Qtd]]*tItens[[#This Row],[Vlr unit]]</f>
        <v>5520</v>
      </c>
      <c r="L3327" s="6">
        <f>IFERROR(IF(INDEX(tProdutos[Desconto homologado],MATCH(tItens[[#This Row],[Produto]],tProdutos[Produto],0))="",DescontoPadrao,INDEX(tProdutos[Desconto homologado],MATCH(tItens[[#This Row],[Produto]],tProdutos[Produto],0))),DescontoPadrao)</f>
        <v>0.40909090909090901</v>
      </c>
      <c r="M3327" s="12">
        <f>tItens[[#This Row],[Valor]]*(1-tItens[[#This Row],[Desconto]])</f>
        <v>3261.8181818181824</v>
      </c>
      <c r="N3327" t="str">
        <f>IFERROR(INDEX(tProdutos[Foco],MATCH(tItens[[#This Row],[Produto]],tProdutos[Produto],0)),"Não")</f>
        <v>Não</v>
      </c>
      <c r="O3327" t="str">
        <f>IFERROR(INDEX(tEditais[SRP],MATCH(tItens[[#This Row],[Edital]],tEditais[Edital],0)),"Não")</f>
        <v>Não</v>
      </c>
      <c r="P3327" s="4">
        <f>IF(COUNTIFS(INDEX(tItens[Edital],1):tItens[[#This Row],[Edital]],tItens[[#This Row],[Edital]],INDEX(tItens[Produto],1):tItens[[#This Row],[Produto]],tItens[[#This Row],[Produto]])=1,1,0)</f>
        <v>1</v>
      </c>
    </row>
    <row r="3328" spans="1:16" x14ac:dyDescent="0.25">
      <c r="A3328" t="s">
        <v>1430</v>
      </c>
      <c r="B3328">
        <v>443</v>
      </c>
      <c r="C3328" t="s">
        <v>6233</v>
      </c>
      <c r="D3328" t="s">
        <v>120</v>
      </c>
      <c r="E3328" s="13">
        <v>300</v>
      </c>
      <c r="F3328" s="12">
        <v>24.21</v>
      </c>
      <c r="G3328" t="str">
        <f>IFERROR(INDEX(tEditais[Órgão],MATCH(tItens[[#This Row],[Edital]],tEditais[Edital],0)),"")</f>
        <v>MUNICIPIO DE AMPARO DO SERRA</v>
      </c>
      <c r="H3328" t="str">
        <f>IFERROR(INDEX(tEditais[UF],MATCH(tItens[[#This Row],[Edital]],tEditais[Edital],0)),"")</f>
        <v>MG</v>
      </c>
      <c r="I3328" s="11">
        <f>IFERROR(INDEX(tEditais[Encerramento],MATCH(tItens[[#This Row],[Edital]],tEditais[Edital],0)),"")</f>
        <v>46309.333333333336</v>
      </c>
      <c r="J3328" t="str">
        <f>IFERROR(INDEX(tProdutos[Classe],MATCH(tItens[[#This Row],[Produto]],tProdutos[Produto],0)),"produto não cadastrado")</f>
        <v>DISPUTADO</v>
      </c>
      <c r="K3328" s="12">
        <f>tItens[[#This Row],[Qtd]]*tItens[[#This Row],[Vlr unit]]</f>
        <v>7263</v>
      </c>
      <c r="L3328" s="6">
        <f>IFERROR(IF(INDEX(tProdutos[Desconto homologado],MATCH(tItens[[#This Row],[Produto]],tProdutos[Produto],0))="",DescontoPadrao,INDEX(tProdutos[Desconto homologado],MATCH(tItens[[#This Row],[Produto]],tProdutos[Produto],0))),DescontoPadrao)</f>
        <v>0.40909090909090901</v>
      </c>
      <c r="M3328" s="12">
        <f>tItens[[#This Row],[Valor]]*(1-tItens[[#This Row],[Desconto]])</f>
        <v>4291.7727272727279</v>
      </c>
      <c r="N3328" t="str">
        <f>IFERROR(INDEX(tProdutos[Foco],MATCH(tItens[[#This Row],[Produto]],tProdutos[Produto],0)),"Não")</f>
        <v>Não</v>
      </c>
      <c r="O3328" t="str">
        <f>IFERROR(INDEX(tEditais[SRP],MATCH(tItens[[#This Row],[Edital]],tEditais[Edital],0)),"Não")</f>
        <v>Não</v>
      </c>
      <c r="P3328" s="4">
        <f>IF(COUNTIFS(INDEX(tItens[Edital],1):tItens[[#This Row],[Edital]],tItens[[#This Row],[Edital]],INDEX(tItens[Produto],1):tItens[[#This Row],[Produto]],tItens[[#This Row],[Produto]])=1,1,0)</f>
        <v>0</v>
      </c>
    </row>
    <row r="3329" spans="1:16" x14ac:dyDescent="0.25">
      <c r="A3329" t="s">
        <v>1430</v>
      </c>
      <c r="B3329">
        <v>444</v>
      </c>
      <c r="C3329" t="s">
        <v>6234</v>
      </c>
      <c r="D3329" t="s">
        <v>120</v>
      </c>
      <c r="E3329" s="13">
        <v>50</v>
      </c>
      <c r="F3329" s="12">
        <v>24.21</v>
      </c>
      <c r="G3329" t="str">
        <f>IFERROR(INDEX(tEditais[Órgão],MATCH(tItens[[#This Row],[Edital]],tEditais[Edital],0)),"")</f>
        <v>MUNICIPIO DE AMPARO DO SERRA</v>
      </c>
      <c r="H3329" t="str">
        <f>IFERROR(INDEX(tEditais[UF],MATCH(tItens[[#This Row],[Edital]],tEditais[Edital],0)),"")</f>
        <v>MG</v>
      </c>
      <c r="I3329" s="11">
        <f>IFERROR(INDEX(tEditais[Encerramento],MATCH(tItens[[#This Row],[Edital]],tEditais[Edital],0)),"")</f>
        <v>46309.333333333336</v>
      </c>
      <c r="J3329" t="str">
        <f>IFERROR(INDEX(tProdutos[Classe],MATCH(tItens[[#This Row],[Produto]],tProdutos[Produto],0)),"produto não cadastrado")</f>
        <v>DISPUTADO</v>
      </c>
      <c r="K3329" s="12">
        <f>tItens[[#This Row],[Qtd]]*tItens[[#This Row],[Vlr unit]]</f>
        <v>1210.5</v>
      </c>
      <c r="L3329" s="6">
        <f>IFERROR(IF(INDEX(tProdutos[Desconto homologado],MATCH(tItens[[#This Row],[Produto]],tProdutos[Produto],0))="",DescontoPadrao,INDEX(tProdutos[Desconto homologado],MATCH(tItens[[#This Row],[Produto]],tProdutos[Produto],0))),DescontoPadrao)</f>
        <v>0.40909090909090901</v>
      </c>
      <c r="M3329" s="12">
        <f>tItens[[#This Row],[Valor]]*(1-tItens[[#This Row],[Desconto]])</f>
        <v>715.29545454545473</v>
      </c>
      <c r="N3329" t="str">
        <f>IFERROR(INDEX(tProdutos[Foco],MATCH(tItens[[#This Row],[Produto]],tProdutos[Produto],0)),"Não")</f>
        <v>Não</v>
      </c>
      <c r="O3329" t="str">
        <f>IFERROR(INDEX(tEditais[SRP],MATCH(tItens[[#This Row],[Edital]],tEditais[Edital],0)),"Não")</f>
        <v>Não</v>
      </c>
      <c r="P3329" s="4">
        <f>IF(COUNTIFS(INDEX(tItens[Edital],1):tItens[[#This Row],[Edital]],tItens[[#This Row],[Edital]],INDEX(tItens[Produto],1):tItens[[#This Row],[Produto]],tItens[[#This Row],[Produto]])=1,1,0)</f>
        <v>0</v>
      </c>
    </row>
    <row r="3330" spans="1:16" x14ac:dyDescent="0.25">
      <c r="A3330" t="s">
        <v>1430</v>
      </c>
      <c r="B3330">
        <v>445</v>
      </c>
      <c r="C3330" t="s">
        <v>6235</v>
      </c>
      <c r="D3330" t="s">
        <v>120</v>
      </c>
      <c r="E3330" s="13">
        <v>15</v>
      </c>
      <c r="F3330" s="12">
        <v>24.21</v>
      </c>
      <c r="G3330" t="str">
        <f>IFERROR(INDEX(tEditais[Órgão],MATCH(tItens[[#This Row],[Edital]],tEditais[Edital],0)),"")</f>
        <v>MUNICIPIO DE AMPARO DO SERRA</v>
      </c>
      <c r="H3330" t="str">
        <f>IFERROR(INDEX(tEditais[UF],MATCH(tItens[[#This Row],[Edital]],tEditais[Edital],0)),"")</f>
        <v>MG</v>
      </c>
      <c r="I3330" s="11">
        <f>IFERROR(INDEX(tEditais[Encerramento],MATCH(tItens[[#This Row],[Edital]],tEditais[Edital],0)),"")</f>
        <v>46309.333333333336</v>
      </c>
      <c r="J3330" t="str">
        <f>IFERROR(INDEX(tProdutos[Classe],MATCH(tItens[[#This Row],[Produto]],tProdutos[Produto],0)),"produto não cadastrado")</f>
        <v>DISPUTADO</v>
      </c>
      <c r="K3330" s="12">
        <f>tItens[[#This Row],[Qtd]]*tItens[[#This Row],[Vlr unit]]</f>
        <v>363.15000000000003</v>
      </c>
      <c r="L3330" s="6">
        <f>IFERROR(IF(INDEX(tProdutos[Desconto homologado],MATCH(tItens[[#This Row],[Produto]],tProdutos[Produto],0))="",DescontoPadrao,INDEX(tProdutos[Desconto homologado],MATCH(tItens[[#This Row],[Produto]],tProdutos[Produto],0))),DescontoPadrao)</f>
        <v>0.40909090909090901</v>
      </c>
      <c r="M3330" s="12">
        <f>tItens[[#This Row],[Valor]]*(1-tItens[[#This Row],[Desconto]])</f>
        <v>214.58863636363643</v>
      </c>
      <c r="N3330" t="str">
        <f>IFERROR(INDEX(tProdutos[Foco],MATCH(tItens[[#This Row],[Produto]],tProdutos[Produto],0)),"Não")</f>
        <v>Não</v>
      </c>
      <c r="O3330" t="str">
        <f>IFERROR(INDEX(tEditais[SRP],MATCH(tItens[[#This Row],[Edital]],tEditais[Edital],0)),"Não")</f>
        <v>Não</v>
      </c>
      <c r="P3330" s="4">
        <f>IF(COUNTIFS(INDEX(tItens[Edital],1):tItens[[#This Row],[Edital]],tItens[[#This Row],[Edital]],INDEX(tItens[Produto],1):tItens[[#This Row],[Produto]],tItens[[#This Row],[Produto]])=1,1,0)</f>
        <v>0</v>
      </c>
    </row>
    <row r="3331" spans="1:16" x14ac:dyDescent="0.25">
      <c r="A3331" t="s">
        <v>1430</v>
      </c>
      <c r="B3331">
        <v>458</v>
      </c>
      <c r="C3331" t="s">
        <v>6236</v>
      </c>
      <c r="D3331" t="s">
        <v>311</v>
      </c>
      <c r="E3331" s="13">
        <v>6</v>
      </c>
      <c r="F3331" s="12">
        <v>32.72</v>
      </c>
      <c r="G3331" t="str">
        <f>IFERROR(INDEX(tEditais[Órgão],MATCH(tItens[[#This Row],[Edital]],tEditais[Edital],0)),"")</f>
        <v>MUNICIPIO DE AMPARO DO SERRA</v>
      </c>
      <c r="H3331" t="str">
        <f>IFERROR(INDEX(tEditais[UF],MATCH(tItens[[#This Row],[Edital]],tEditais[Edital],0)),"")</f>
        <v>MG</v>
      </c>
      <c r="I3331" s="11">
        <f>IFERROR(INDEX(tEditais[Encerramento],MATCH(tItens[[#This Row],[Edital]],tEditais[Edital],0)),"")</f>
        <v>46309.333333333336</v>
      </c>
      <c r="J3331" t="str">
        <f>IFERROR(INDEX(tProdutos[Classe],MATCH(tItens[[#This Row],[Produto]],tProdutos[Produto],0)),"produto não cadastrado")</f>
        <v>FORA</v>
      </c>
      <c r="K3331" s="12">
        <f>tItens[[#This Row],[Qtd]]*tItens[[#This Row],[Vlr unit]]</f>
        <v>196.32</v>
      </c>
      <c r="L3331" s="6">
        <f>IFERROR(IF(INDEX(tProdutos[Desconto homologado],MATCH(tItens[[#This Row],[Produto]],tProdutos[Produto],0))="",DescontoPadrao,INDEX(tProdutos[Desconto homologado],MATCH(tItens[[#This Row],[Produto]],tProdutos[Produto],0))),DescontoPadrao)</f>
        <v>0.29046182846371399</v>
      </c>
      <c r="M3331" s="12">
        <f>tItens[[#This Row],[Valor]]*(1-tItens[[#This Row],[Desconto]])</f>
        <v>139.29653383600368</v>
      </c>
      <c r="N3331" t="str">
        <f>IFERROR(INDEX(tProdutos[Foco],MATCH(tItens[[#This Row],[Produto]],tProdutos[Produto],0)),"Não")</f>
        <v>Não</v>
      </c>
      <c r="O3331" t="str">
        <f>IFERROR(INDEX(tEditais[SRP],MATCH(tItens[[#This Row],[Edital]],tEditais[Edital],0)),"Não")</f>
        <v>Não</v>
      </c>
      <c r="P3331" s="4">
        <f>IF(COUNTIFS(INDEX(tItens[Edital],1):tItens[[#This Row],[Edital]],tItens[[#This Row],[Edital]],INDEX(tItens[Produto],1):tItens[[#This Row],[Produto]],tItens[[#This Row],[Produto]])=1,1,0)</f>
        <v>1</v>
      </c>
    </row>
    <row r="3332" spans="1:16" x14ac:dyDescent="0.25">
      <c r="A3332" t="s">
        <v>1430</v>
      </c>
      <c r="B3332">
        <v>459</v>
      </c>
      <c r="C3332" t="s">
        <v>6237</v>
      </c>
      <c r="D3332" t="s">
        <v>311</v>
      </c>
      <c r="E3332" s="13">
        <v>4</v>
      </c>
      <c r="F3332" s="12">
        <v>33.020000000000003</v>
      </c>
      <c r="G3332" t="str">
        <f>IFERROR(INDEX(tEditais[Órgão],MATCH(tItens[[#This Row],[Edital]],tEditais[Edital],0)),"")</f>
        <v>MUNICIPIO DE AMPARO DO SERRA</v>
      </c>
      <c r="H3332" t="str">
        <f>IFERROR(INDEX(tEditais[UF],MATCH(tItens[[#This Row],[Edital]],tEditais[Edital],0)),"")</f>
        <v>MG</v>
      </c>
      <c r="I3332" s="11">
        <f>IFERROR(INDEX(tEditais[Encerramento],MATCH(tItens[[#This Row],[Edital]],tEditais[Edital],0)),"")</f>
        <v>46309.333333333336</v>
      </c>
      <c r="J3332" t="str">
        <f>IFERROR(INDEX(tProdutos[Classe],MATCH(tItens[[#This Row],[Produto]],tProdutos[Produto],0)),"produto não cadastrado")</f>
        <v>FORA</v>
      </c>
      <c r="K3332" s="12">
        <f>tItens[[#This Row],[Qtd]]*tItens[[#This Row],[Vlr unit]]</f>
        <v>132.08000000000001</v>
      </c>
      <c r="L3332" s="6">
        <f>IFERROR(IF(INDEX(tProdutos[Desconto homologado],MATCH(tItens[[#This Row],[Produto]],tProdutos[Produto],0))="",DescontoPadrao,INDEX(tProdutos[Desconto homologado],MATCH(tItens[[#This Row],[Produto]],tProdutos[Produto],0))),DescontoPadrao)</f>
        <v>0.29046182846371399</v>
      </c>
      <c r="M3332" s="12">
        <f>tItens[[#This Row],[Valor]]*(1-tItens[[#This Row],[Desconto]])</f>
        <v>93.715801696512671</v>
      </c>
      <c r="N3332" t="str">
        <f>IFERROR(INDEX(tProdutos[Foco],MATCH(tItens[[#This Row],[Produto]],tProdutos[Produto],0)),"Não")</f>
        <v>Não</v>
      </c>
      <c r="O3332" t="str">
        <f>IFERROR(INDEX(tEditais[SRP],MATCH(tItens[[#This Row],[Edital]],tEditais[Edital],0)),"Não")</f>
        <v>Não</v>
      </c>
      <c r="P3332" s="4">
        <f>IF(COUNTIFS(INDEX(tItens[Edital],1):tItens[[#This Row],[Edital]],tItens[[#This Row],[Edital]],INDEX(tItens[Produto],1):tItens[[#This Row],[Produto]],tItens[[#This Row],[Produto]])=1,1,0)</f>
        <v>0</v>
      </c>
    </row>
    <row r="3333" spans="1:16" x14ac:dyDescent="0.25">
      <c r="A3333" t="s">
        <v>1430</v>
      </c>
      <c r="B3333">
        <v>460</v>
      </c>
      <c r="C3333" t="s">
        <v>6238</v>
      </c>
      <c r="D3333" t="s">
        <v>267</v>
      </c>
      <c r="E3333" s="13">
        <v>4</v>
      </c>
      <c r="F3333" s="12">
        <v>198.5</v>
      </c>
      <c r="G3333" t="str">
        <f>IFERROR(INDEX(tEditais[Órgão],MATCH(tItens[[#This Row],[Edital]],tEditais[Edital],0)),"")</f>
        <v>MUNICIPIO DE AMPARO DO SERRA</v>
      </c>
      <c r="H3333" t="str">
        <f>IFERROR(INDEX(tEditais[UF],MATCH(tItens[[#This Row],[Edital]],tEditais[Edital],0)),"")</f>
        <v>MG</v>
      </c>
      <c r="I3333" s="11">
        <f>IFERROR(INDEX(tEditais[Encerramento],MATCH(tItens[[#This Row],[Edital]],tEditais[Edital],0)),"")</f>
        <v>46309.333333333336</v>
      </c>
      <c r="J3333" t="str">
        <f>IFERROR(INDEX(tProdutos[Classe],MATCH(tItens[[#This Row],[Produto]],tProdutos[Produto],0)),"produto não cadastrado")</f>
        <v>FORA</v>
      </c>
      <c r="K3333" s="12">
        <f>tItens[[#This Row],[Qtd]]*tItens[[#This Row],[Vlr unit]]</f>
        <v>794</v>
      </c>
      <c r="L3333" s="6">
        <f>IFERROR(IF(INDEX(tProdutos[Desconto homologado],MATCH(tItens[[#This Row],[Produto]],tProdutos[Produto],0))="",DescontoPadrao,INDEX(tProdutos[Desconto homologado],MATCH(tItens[[#This Row],[Produto]],tProdutos[Produto],0))),DescontoPadrao)</f>
        <v>0.19963672657401599</v>
      </c>
      <c r="M3333" s="12">
        <f>tItens[[#This Row],[Valor]]*(1-tItens[[#This Row],[Desconto]])</f>
        <v>635.48843910023129</v>
      </c>
      <c r="N3333" t="str">
        <f>IFERROR(INDEX(tProdutos[Foco],MATCH(tItens[[#This Row],[Produto]],tProdutos[Produto],0)),"Não")</f>
        <v>Não</v>
      </c>
      <c r="O3333" t="str">
        <f>IFERROR(INDEX(tEditais[SRP],MATCH(tItens[[#This Row],[Edital]],tEditais[Edital],0)),"Não")</f>
        <v>Não</v>
      </c>
      <c r="P3333" s="4">
        <f>IF(COUNTIFS(INDEX(tItens[Edital],1):tItens[[#This Row],[Edital]],tItens[[#This Row],[Edital]],INDEX(tItens[Produto],1):tItens[[#This Row],[Produto]],tItens[[#This Row],[Produto]])=1,1,0)</f>
        <v>0</v>
      </c>
    </row>
    <row r="3334" spans="1:16" x14ac:dyDescent="0.25">
      <c r="A3334" t="s">
        <v>1430</v>
      </c>
      <c r="B3334">
        <v>471</v>
      </c>
      <c r="C3334" t="s">
        <v>6239</v>
      </c>
      <c r="D3334" t="s">
        <v>411</v>
      </c>
      <c r="E3334" s="13">
        <v>50</v>
      </c>
      <c r="F3334" s="12">
        <v>45.23</v>
      </c>
      <c r="G3334" t="str">
        <f>IFERROR(INDEX(tEditais[Órgão],MATCH(tItens[[#This Row],[Edital]],tEditais[Edital],0)),"")</f>
        <v>MUNICIPIO DE AMPARO DO SERRA</v>
      </c>
      <c r="H3334" t="str">
        <f>IFERROR(INDEX(tEditais[UF],MATCH(tItens[[#This Row],[Edital]],tEditais[Edital],0)),"")</f>
        <v>MG</v>
      </c>
      <c r="I3334" s="11">
        <f>IFERROR(INDEX(tEditais[Encerramento],MATCH(tItens[[#This Row],[Edital]],tEditais[Edital],0)),"")</f>
        <v>46309.333333333336</v>
      </c>
      <c r="J3334" t="str">
        <f>IFERROR(INDEX(tProdutos[Classe],MATCH(tItens[[#This Row],[Produto]],tProdutos[Produto],0)),"produto não cadastrado")</f>
        <v>FORA</v>
      </c>
      <c r="K3334" s="12">
        <f>tItens[[#This Row],[Qtd]]*tItens[[#This Row],[Vlr unit]]</f>
        <v>2261.5</v>
      </c>
      <c r="L3334" s="6">
        <f>IFERROR(IF(INDEX(tProdutos[Desconto homologado],MATCH(tItens[[#This Row],[Produto]],tProdutos[Produto],0))="",DescontoPadrao,INDEX(tProdutos[Desconto homologado],MATCH(tItens[[#This Row],[Produto]],tProdutos[Produto],0))),DescontoPadrao)</f>
        <v>0.50029835957199398</v>
      </c>
      <c r="M3334" s="12">
        <f>tItens[[#This Row],[Valor]]*(1-tItens[[#This Row],[Desconto]])</f>
        <v>1130.0752598279357</v>
      </c>
      <c r="N3334" t="str">
        <f>IFERROR(INDEX(tProdutos[Foco],MATCH(tItens[[#This Row],[Produto]],tProdutos[Produto],0)),"Não")</f>
        <v>Não</v>
      </c>
      <c r="O3334" t="str">
        <f>IFERROR(INDEX(tEditais[SRP],MATCH(tItens[[#This Row],[Edital]],tEditais[Edital],0)),"Não")</f>
        <v>Não</v>
      </c>
      <c r="P3334" s="4">
        <f>IF(COUNTIFS(INDEX(tItens[Edital],1):tItens[[#This Row],[Edital]],tItens[[#This Row],[Edital]],INDEX(tItens[Produto],1):tItens[[#This Row],[Produto]],tItens[[#This Row],[Produto]])=1,1,0)</f>
        <v>1</v>
      </c>
    </row>
    <row r="3335" spans="1:16" x14ac:dyDescent="0.25">
      <c r="A3335" t="s">
        <v>1430</v>
      </c>
      <c r="B3335">
        <v>476</v>
      </c>
      <c r="C3335" t="s">
        <v>6240</v>
      </c>
      <c r="D3335" t="s">
        <v>195</v>
      </c>
      <c r="E3335" s="13">
        <v>20</v>
      </c>
      <c r="F3335" s="12">
        <v>24.12</v>
      </c>
      <c r="G3335" t="str">
        <f>IFERROR(INDEX(tEditais[Órgão],MATCH(tItens[[#This Row],[Edital]],tEditais[Edital],0)),"")</f>
        <v>MUNICIPIO DE AMPARO DO SERRA</v>
      </c>
      <c r="H3335" t="str">
        <f>IFERROR(INDEX(tEditais[UF],MATCH(tItens[[#This Row],[Edital]],tEditais[Edital],0)),"")</f>
        <v>MG</v>
      </c>
      <c r="I3335" s="11">
        <f>IFERROR(INDEX(tEditais[Encerramento],MATCH(tItens[[#This Row],[Edital]],tEditais[Edital],0)),"")</f>
        <v>46309.333333333336</v>
      </c>
      <c r="J3335" t="str">
        <f>IFERROR(INDEX(tProdutos[Classe],MATCH(tItens[[#This Row],[Produto]],tProdutos[Produto],0)),"produto não cadastrado")</f>
        <v>FORA</v>
      </c>
      <c r="K3335" s="12">
        <f>tItens[[#This Row],[Qtd]]*tItens[[#This Row],[Vlr unit]]</f>
        <v>482.40000000000003</v>
      </c>
      <c r="L3335" s="6">
        <f>IFERROR(IF(INDEX(tProdutos[Desconto homologado],MATCH(tItens[[#This Row],[Produto]],tProdutos[Produto],0))="",DescontoPadrao,INDEX(tProdutos[Desconto homologado],MATCH(tItens[[#This Row],[Produto]],tProdutos[Produto],0))),DescontoPadrao)</f>
        <v>0.27813657840171302</v>
      </c>
      <c r="M3335" s="12">
        <f>tItens[[#This Row],[Valor]]*(1-tItens[[#This Row],[Desconto]])</f>
        <v>348.22691457901368</v>
      </c>
      <c r="N3335" t="str">
        <f>IFERROR(INDEX(tProdutos[Foco],MATCH(tItens[[#This Row],[Produto]],tProdutos[Produto],0)),"Não")</f>
        <v>Não</v>
      </c>
      <c r="O3335" t="str">
        <f>IFERROR(INDEX(tEditais[SRP],MATCH(tItens[[#This Row],[Edital]],tEditais[Edital],0)),"Não")</f>
        <v>Não</v>
      </c>
      <c r="P3335" s="4">
        <f>IF(COUNTIFS(INDEX(tItens[Edital],1):tItens[[#This Row],[Edital]],tItens[[#This Row],[Edital]],INDEX(tItens[Produto],1):tItens[[#This Row],[Produto]],tItens[[#This Row],[Produto]])=1,1,0)</f>
        <v>1</v>
      </c>
    </row>
    <row r="3336" spans="1:16" x14ac:dyDescent="0.25">
      <c r="A3336" t="s">
        <v>1430</v>
      </c>
      <c r="B3336">
        <v>478</v>
      </c>
      <c r="C3336" t="s">
        <v>6241</v>
      </c>
      <c r="D3336" t="s">
        <v>114</v>
      </c>
      <c r="E3336" s="13">
        <v>100</v>
      </c>
      <c r="F3336" s="12">
        <v>7.98</v>
      </c>
      <c r="G3336" t="str">
        <f>IFERROR(INDEX(tEditais[Órgão],MATCH(tItens[[#This Row],[Edital]],tEditais[Edital],0)),"")</f>
        <v>MUNICIPIO DE AMPARO DO SERRA</v>
      </c>
      <c r="H3336" t="str">
        <f>IFERROR(INDEX(tEditais[UF],MATCH(tItens[[#This Row],[Edital]],tEditais[Edital],0)),"")</f>
        <v>MG</v>
      </c>
      <c r="I3336" s="11">
        <f>IFERROR(INDEX(tEditais[Encerramento],MATCH(tItens[[#This Row],[Edital]],tEditais[Edital],0)),"")</f>
        <v>46309.333333333336</v>
      </c>
      <c r="J3336" t="str">
        <f>IFERROR(INDEX(tProdutos[Classe],MATCH(tItens[[#This Row],[Produto]],tProdutos[Produto],0)),"produto não cadastrado")</f>
        <v>DISPUTADO</v>
      </c>
      <c r="K3336" s="12">
        <f>tItens[[#This Row],[Qtd]]*tItens[[#This Row],[Vlr unit]]</f>
        <v>798</v>
      </c>
      <c r="L3336" s="6">
        <f>IFERROR(IF(INDEX(tProdutos[Desconto homologado],MATCH(tItens[[#This Row],[Produto]],tProdutos[Produto],0))="",DescontoPadrao,INDEX(tProdutos[Desconto homologado],MATCH(tItens[[#This Row],[Produto]],tProdutos[Produto],0))),DescontoPadrao)</f>
        <v>0.24332656063896899</v>
      </c>
      <c r="M3336" s="12">
        <f>tItens[[#This Row],[Valor]]*(1-tItens[[#This Row],[Desconto]])</f>
        <v>603.82540461010274</v>
      </c>
      <c r="N3336" t="str">
        <f>IFERROR(INDEX(tProdutos[Foco],MATCH(tItens[[#This Row],[Produto]],tProdutos[Produto],0)),"Não")</f>
        <v>Não</v>
      </c>
      <c r="O3336" t="str">
        <f>IFERROR(INDEX(tEditais[SRP],MATCH(tItens[[#This Row],[Edital]],tEditais[Edital],0)),"Não")</f>
        <v>Não</v>
      </c>
      <c r="P3336" s="4">
        <f>IF(COUNTIFS(INDEX(tItens[Edital],1):tItens[[#This Row],[Edital]],tItens[[#This Row],[Edital]],INDEX(tItens[Produto],1):tItens[[#This Row],[Produto]],tItens[[#This Row],[Produto]])=1,1,0)</f>
        <v>1</v>
      </c>
    </row>
    <row r="3337" spans="1:16" x14ac:dyDescent="0.25">
      <c r="A3337" t="s">
        <v>1430</v>
      </c>
      <c r="B3337">
        <v>497</v>
      </c>
      <c r="C3337" t="s">
        <v>6242</v>
      </c>
      <c r="D3337" t="s">
        <v>156</v>
      </c>
      <c r="E3337" s="13">
        <v>50</v>
      </c>
      <c r="F3337" s="12">
        <v>11.89</v>
      </c>
      <c r="G3337" t="str">
        <f>IFERROR(INDEX(tEditais[Órgão],MATCH(tItens[[#This Row],[Edital]],tEditais[Edital],0)),"")</f>
        <v>MUNICIPIO DE AMPARO DO SERRA</v>
      </c>
      <c r="H3337" t="str">
        <f>IFERROR(INDEX(tEditais[UF],MATCH(tItens[[#This Row],[Edital]],tEditais[Edital],0)),"")</f>
        <v>MG</v>
      </c>
      <c r="I3337" s="11">
        <f>IFERROR(INDEX(tEditais[Encerramento],MATCH(tItens[[#This Row],[Edital]],tEditais[Edital],0)),"")</f>
        <v>46309.333333333336</v>
      </c>
      <c r="J3337" t="str">
        <f>IFERROR(INDEX(tProdutos[Classe],MATCH(tItens[[#This Row],[Produto]],tProdutos[Produto],0)),"produto não cadastrado")</f>
        <v>DISPUTADO</v>
      </c>
      <c r="K3337" s="12">
        <f>tItens[[#This Row],[Qtd]]*tItens[[#This Row],[Vlr unit]]</f>
        <v>594.5</v>
      </c>
      <c r="L3337" s="6">
        <f>IFERROR(IF(INDEX(tProdutos[Desconto homologado],MATCH(tItens[[#This Row],[Produto]],tProdutos[Produto],0))="",DescontoPadrao,INDEX(tProdutos[Desconto homologado],MATCH(tItens[[#This Row],[Produto]],tProdutos[Produto],0))),DescontoPadrao)</f>
        <v>0.27131852489802799</v>
      </c>
      <c r="M3337" s="12">
        <f>tItens[[#This Row],[Valor]]*(1-tItens[[#This Row],[Desconto]])</f>
        <v>433.20113694812238</v>
      </c>
      <c r="N3337" t="str">
        <f>IFERROR(INDEX(tProdutos[Foco],MATCH(tItens[[#This Row],[Produto]],tProdutos[Produto],0)),"Não")</f>
        <v>Não</v>
      </c>
      <c r="O3337" t="str">
        <f>IFERROR(INDEX(tEditais[SRP],MATCH(tItens[[#This Row],[Edital]],tEditais[Edital],0)),"Não")</f>
        <v>Não</v>
      </c>
      <c r="P3337" s="4">
        <f>IF(COUNTIFS(INDEX(tItens[Edital],1):tItens[[#This Row],[Edital]],tItens[[#This Row],[Edital]],INDEX(tItens[Produto],1):tItens[[#This Row],[Produto]],tItens[[#This Row],[Produto]])=1,1,0)</f>
        <v>0</v>
      </c>
    </row>
    <row r="3338" spans="1:16" x14ac:dyDescent="0.25">
      <c r="A3338" t="s">
        <v>1435</v>
      </c>
      <c r="B3338">
        <v>6</v>
      </c>
      <c r="C3338" t="s">
        <v>6243</v>
      </c>
      <c r="D3338" t="s">
        <v>267</v>
      </c>
      <c r="E3338" s="13">
        <v>500</v>
      </c>
      <c r="F3338" s="12">
        <v>21.16</v>
      </c>
      <c r="G3338" t="str">
        <f>IFERROR(INDEX(tEditais[Órgão],MATCH(tItens[[#This Row],[Edital]],tEditais[Edital],0)),"")</f>
        <v>MUNICIPIO DE DOM CAVATI</v>
      </c>
      <c r="H3338" t="str">
        <f>IFERROR(INDEX(tEditais[UF],MATCH(tItens[[#This Row],[Edital]],tEditais[Edital],0)),"")</f>
        <v>MG</v>
      </c>
      <c r="I3338" s="11">
        <f>IFERROR(INDEX(tEditais[Encerramento],MATCH(tItens[[#This Row],[Edital]],tEditais[Edital],0)),"")</f>
        <v>46309.333333333336</v>
      </c>
      <c r="J3338" t="str">
        <f>IFERROR(INDEX(tProdutos[Classe],MATCH(tItens[[#This Row],[Produto]],tProdutos[Produto],0)),"produto não cadastrado")</f>
        <v>FORA</v>
      </c>
      <c r="K3338" s="12">
        <f>tItens[[#This Row],[Qtd]]*tItens[[#This Row],[Vlr unit]]</f>
        <v>10580</v>
      </c>
      <c r="L3338" s="6">
        <f>IFERROR(IF(INDEX(tProdutos[Desconto homologado],MATCH(tItens[[#This Row],[Produto]],tProdutos[Produto],0))="",DescontoPadrao,INDEX(tProdutos[Desconto homologado],MATCH(tItens[[#This Row],[Produto]],tProdutos[Produto],0))),DescontoPadrao)</f>
        <v>0.19963672657401599</v>
      </c>
      <c r="M3338" s="12">
        <f>tItens[[#This Row],[Valor]]*(1-tItens[[#This Row],[Desconto]])</f>
        <v>8467.8434328469102</v>
      </c>
      <c r="N3338" t="str">
        <f>IFERROR(INDEX(tProdutos[Foco],MATCH(tItens[[#This Row],[Produto]],tProdutos[Produto],0)),"Não")</f>
        <v>Não</v>
      </c>
      <c r="O3338" t="str">
        <f>IFERROR(INDEX(tEditais[SRP],MATCH(tItens[[#This Row],[Edital]],tEditais[Edital],0)),"Não")</f>
        <v>Sim</v>
      </c>
      <c r="P3338" s="4">
        <f>IF(COUNTIFS(INDEX(tItens[Edital],1):tItens[[#This Row],[Edital]],tItens[[#This Row],[Edital]],INDEX(tItens[Produto],1):tItens[[#This Row],[Produto]],tItens[[#This Row],[Produto]])=1,1,0)</f>
        <v>1</v>
      </c>
    </row>
    <row r="3339" spans="1:16" x14ac:dyDescent="0.25">
      <c r="A3339" t="s">
        <v>1435</v>
      </c>
      <c r="B3339">
        <v>21</v>
      </c>
      <c r="C3339" t="s">
        <v>6244</v>
      </c>
      <c r="D3339" t="s">
        <v>86</v>
      </c>
      <c r="E3339" s="13">
        <v>200</v>
      </c>
      <c r="F3339" s="12">
        <v>20.149999999999999</v>
      </c>
      <c r="G3339" t="str">
        <f>IFERROR(INDEX(tEditais[Órgão],MATCH(tItens[[#This Row],[Edital]],tEditais[Edital],0)),"")</f>
        <v>MUNICIPIO DE DOM CAVATI</v>
      </c>
      <c r="H3339" t="str">
        <f>IFERROR(INDEX(tEditais[UF],MATCH(tItens[[#This Row],[Edital]],tEditais[Edital],0)),"")</f>
        <v>MG</v>
      </c>
      <c r="I3339" s="11">
        <f>IFERROR(INDEX(tEditais[Encerramento],MATCH(tItens[[#This Row],[Edital]],tEditais[Edital],0)),"")</f>
        <v>46309.333333333336</v>
      </c>
      <c r="J3339" t="str">
        <f>IFERROR(INDEX(tProdutos[Classe],MATCH(tItens[[#This Row],[Produto]],tProdutos[Produto],0)),"produto não cadastrado")</f>
        <v>NÚCLEO</v>
      </c>
      <c r="K3339" s="12">
        <f>tItens[[#This Row],[Qtd]]*tItens[[#This Row],[Vlr unit]]</f>
        <v>4029.9999999999995</v>
      </c>
      <c r="L3339" s="6">
        <f>IFERROR(IF(INDEX(tProdutos[Desconto homologado],MATCH(tItens[[#This Row],[Produto]],tProdutos[Produto],0))="",DescontoPadrao,INDEX(tProdutos[Desconto homologado],MATCH(tItens[[#This Row],[Produto]],tProdutos[Produto],0))),DescontoPadrao)</f>
        <v>0.20202020202020199</v>
      </c>
      <c r="M3339" s="12">
        <f>tItens[[#This Row],[Valor]]*(1-tItens[[#This Row],[Desconto]])</f>
        <v>3215.8585858585857</v>
      </c>
      <c r="N3339" t="str">
        <f>IFERROR(INDEX(tProdutos[Foco],MATCH(tItens[[#This Row],[Produto]],tProdutos[Produto],0)),"Não")</f>
        <v>Não</v>
      </c>
      <c r="O3339" t="str">
        <f>IFERROR(INDEX(tEditais[SRP],MATCH(tItens[[#This Row],[Edital]],tEditais[Edital],0)),"Não")</f>
        <v>Sim</v>
      </c>
      <c r="P3339" s="4">
        <f>IF(COUNTIFS(INDEX(tItens[Edital],1):tItens[[#This Row],[Edital]],tItens[[#This Row],[Edital]],INDEX(tItens[Produto],1):tItens[[#This Row],[Produto]],tItens[[#This Row],[Produto]])=1,1,0)</f>
        <v>1</v>
      </c>
    </row>
    <row r="3340" spans="1:16" x14ac:dyDescent="0.25">
      <c r="A3340" t="s">
        <v>1435</v>
      </c>
      <c r="B3340">
        <v>48</v>
      </c>
      <c r="C3340" t="s">
        <v>6245</v>
      </c>
      <c r="D3340" t="s">
        <v>641</v>
      </c>
      <c r="E3340" s="13">
        <v>10</v>
      </c>
      <c r="F3340" s="12">
        <v>58.24</v>
      </c>
      <c r="G3340" t="str">
        <f>IFERROR(INDEX(tEditais[Órgão],MATCH(tItens[[#This Row],[Edital]],tEditais[Edital],0)),"")</f>
        <v>MUNICIPIO DE DOM CAVATI</v>
      </c>
      <c r="H3340" t="str">
        <f>IFERROR(INDEX(tEditais[UF],MATCH(tItens[[#This Row],[Edital]],tEditais[Edital],0)),"")</f>
        <v>MG</v>
      </c>
      <c r="I3340" s="11">
        <f>IFERROR(INDEX(tEditais[Encerramento],MATCH(tItens[[#This Row],[Edital]],tEditais[Edital],0)),"")</f>
        <v>46309.333333333336</v>
      </c>
      <c r="J3340" t="str">
        <f>IFERROR(INDEX(tProdutos[Classe],MATCH(tItens[[#This Row],[Produto]],tProdutos[Produto],0)),"produto não cadastrado")</f>
        <v>FILA REBASE</v>
      </c>
      <c r="K3340" s="12">
        <f>tItens[[#This Row],[Qtd]]*tItens[[#This Row],[Vlr unit]]</f>
        <v>582.4</v>
      </c>
      <c r="L3340" s="6">
        <f>IFERROR(IF(INDEX(tProdutos[Desconto homologado],MATCH(tItens[[#This Row],[Produto]],tProdutos[Produto],0))="",DescontoPadrao,INDEX(tProdutos[Desconto homologado],MATCH(tItens[[#This Row],[Produto]],tProdutos[Produto],0))),DescontoPadrao)</f>
        <v>0.3</v>
      </c>
      <c r="M3340" s="12">
        <f>tItens[[#This Row],[Valor]]*(1-tItens[[#This Row],[Desconto]])</f>
        <v>407.67999999999995</v>
      </c>
      <c r="N3340" t="str">
        <f>IFERROR(INDEX(tProdutos[Foco],MATCH(tItens[[#This Row],[Produto]],tProdutos[Produto],0)),"Não")</f>
        <v>Não</v>
      </c>
      <c r="O3340" t="str">
        <f>IFERROR(INDEX(tEditais[SRP],MATCH(tItens[[#This Row],[Edital]],tEditais[Edital],0)),"Não")</f>
        <v>Sim</v>
      </c>
      <c r="P3340" s="4">
        <f>IF(COUNTIFS(INDEX(tItens[Edital],1):tItens[[#This Row],[Edital]],tItens[[#This Row],[Edital]],INDEX(tItens[Produto],1):tItens[[#This Row],[Produto]],tItens[[#This Row],[Produto]])=1,1,0)</f>
        <v>1</v>
      </c>
    </row>
    <row r="3341" spans="1:16" x14ac:dyDescent="0.25">
      <c r="A3341" t="s">
        <v>1435</v>
      </c>
      <c r="B3341">
        <v>58</v>
      </c>
      <c r="C3341" t="s">
        <v>6246</v>
      </c>
      <c r="D3341" t="s">
        <v>411</v>
      </c>
      <c r="E3341" s="13">
        <v>10</v>
      </c>
      <c r="F3341" s="12">
        <v>101.83</v>
      </c>
      <c r="G3341" t="str">
        <f>IFERROR(INDEX(tEditais[Órgão],MATCH(tItens[[#This Row],[Edital]],tEditais[Edital],0)),"")</f>
        <v>MUNICIPIO DE DOM CAVATI</v>
      </c>
      <c r="H3341" t="str">
        <f>IFERROR(INDEX(tEditais[UF],MATCH(tItens[[#This Row],[Edital]],tEditais[Edital],0)),"")</f>
        <v>MG</v>
      </c>
      <c r="I3341" s="11">
        <f>IFERROR(INDEX(tEditais[Encerramento],MATCH(tItens[[#This Row],[Edital]],tEditais[Edital],0)),"")</f>
        <v>46309.333333333336</v>
      </c>
      <c r="J3341" t="str">
        <f>IFERROR(INDEX(tProdutos[Classe],MATCH(tItens[[#This Row],[Produto]],tProdutos[Produto],0)),"produto não cadastrado")</f>
        <v>FORA</v>
      </c>
      <c r="K3341" s="12">
        <f>tItens[[#This Row],[Qtd]]*tItens[[#This Row],[Vlr unit]]</f>
        <v>1018.3</v>
      </c>
      <c r="L3341" s="6">
        <f>IFERROR(IF(INDEX(tProdutos[Desconto homologado],MATCH(tItens[[#This Row],[Produto]],tProdutos[Produto],0))="",DescontoPadrao,INDEX(tProdutos[Desconto homologado],MATCH(tItens[[#This Row],[Produto]],tProdutos[Produto],0))),DescontoPadrao)</f>
        <v>0.50029835957199398</v>
      </c>
      <c r="M3341" s="12">
        <f>tItens[[#This Row],[Valor]]*(1-tItens[[#This Row],[Desconto]])</f>
        <v>508.84618044783849</v>
      </c>
      <c r="N3341" t="str">
        <f>IFERROR(INDEX(tProdutos[Foco],MATCH(tItens[[#This Row],[Produto]],tProdutos[Produto],0)),"Não")</f>
        <v>Não</v>
      </c>
      <c r="O3341" t="str">
        <f>IFERROR(INDEX(tEditais[SRP],MATCH(tItens[[#This Row],[Edital]],tEditais[Edital],0)),"Não")</f>
        <v>Sim</v>
      </c>
      <c r="P3341" s="4">
        <f>IF(COUNTIFS(INDEX(tItens[Edital],1):tItens[[#This Row],[Edital]],tItens[[#This Row],[Edital]],INDEX(tItens[Produto],1):tItens[[#This Row],[Produto]],tItens[[#This Row],[Produto]])=1,1,0)</f>
        <v>1</v>
      </c>
    </row>
    <row r="3342" spans="1:16" x14ac:dyDescent="0.25">
      <c r="A3342" t="s">
        <v>1435</v>
      </c>
      <c r="B3342">
        <v>59</v>
      </c>
      <c r="C3342" t="s">
        <v>6247</v>
      </c>
      <c r="D3342" t="s">
        <v>104</v>
      </c>
      <c r="E3342" s="13">
        <v>10</v>
      </c>
      <c r="F3342" s="12">
        <v>150.27000000000001</v>
      </c>
      <c r="G3342" t="str">
        <f>IFERROR(INDEX(tEditais[Órgão],MATCH(tItens[[#This Row],[Edital]],tEditais[Edital],0)),"")</f>
        <v>MUNICIPIO DE DOM CAVATI</v>
      </c>
      <c r="H3342" t="str">
        <f>IFERROR(INDEX(tEditais[UF],MATCH(tItens[[#This Row],[Edital]],tEditais[Edital],0)),"")</f>
        <v>MG</v>
      </c>
      <c r="I3342" s="11">
        <f>IFERROR(INDEX(tEditais[Encerramento],MATCH(tItens[[#This Row],[Edital]],tEditais[Edital],0)),"")</f>
        <v>46309.333333333336</v>
      </c>
      <c r="J3342" t="str">
        <f>IFERROR(INDEX(tProdutos[Classe],MATCH(tItens[[#This Row],[Produto]],tProdutos[Produto],0)),"produto não cadastrado")</f>
        <v>DISPUTADO</v>
      </c>
      <c r="K3342" s="12">
        <f>tItens[[#This Row],[Qtd]]*tItens[[#This Row],[Vlr unit]]</f>
        <v>1502.7</v>
      </c>
      <c r="L3342" s="6">
        <f>IFERROR(IF(INDEX(tProdutos[Desconto homologado],MATCH(tItens[[#This Row],[Produto]],tProdutos[Produto],0))="",DescontoPadrao,INDEX(tProdutos[Desconto homologado],MATCH(tItens[[#This Row],[Produto]],tProdutos[Produto],0))),DescontoPadrao)</f>
        <v>0.51</v>
      </c>
      <c r="M3342" s="12">
        <f>tItens[[#This Row],[Valor]]*(1-tItens[[#This Row],[Desconto]])</f>
        <v>736.32299999999998</v>
      </c>
      <c r="N3342" t="str">
        <f>IFERROR(INDEX(tProdutos[Foco],MATCH(tItens[[#This Row],[Produto]],tProdutos[Produto],0)),"Não")</f>
        <v>Sim</v>
      </c>
      <c r="O3342" t="str">
        <f>IFERROR(INDEX(tEditais[SRP],MATCH(tItens[[#This Row],[Edital]],tEditais[Edital],0)),"Não")</f>
        <v>Sim</v>
      </c>
      <c r="P3342" s="4">
        <f>IF(COUNTIFS(INDEX(tItens[Edital],1):tItens[[#This Row],[Edital]],tItens[[#This Row],[Edital]],INDEX(tItens[Produto],1):tItens[[#This Row],[Produto]],tItens[[#This Row],[Produto]])=1,1,0)</f>
        <v>1</v>
      </c>
    </row>
    <row r="3343" spans="1:16" x14ac:dyDescent="0.25">
      <c r="A3343" t="s">
        <v>1435</v>
      </c>
      <c r="B3343">
        <v>66</v>
      </c>
      <c r="C3343" t="s">
        <v>6248</v>
      </c>
      <c r="D3343" t="s">
        <v>259</v>
      </c>
      <c r="E3343" s="13">
        <v>200</v>
      </c>
      <c r="F3343" s="12">
        <v>3.32</v>
      </c>
      <c r="G3343" t="str">
        <f>IFERROR(INDEX(tEditais[Órgão],MATCH(tItens[[#This Row],[Edital]],tEditais[Edital],0)),"")</f>
        <v>MUNICIPIO DE DOM CAVATI</v>
      </c>
      <c r="H3343" t="str">
        <f>IFERROR(INDEX(tEditais[UF],MATCH(tItens[[#This Row],[Edital]],tEditais[Edital],0)),"")</f>
        <v>MG</v>
      </c>
      <c r="I3343" s="11">
        <f>IFERROR(INDEX(tEditais[Encerramento],MATCH(tItens[[#This Row],[Edital]],tEditais[Edital],0)),"")</f>
        <v>46309.333333333336</v>
      </c>
      <c r="J3343" t="str">
        <f>IFERROR(INDEX(tProdutos[Classe],MATCH(tItens[[#This Row],[Produto]],tProdutos[Produto],0)),"produto não cadastrado")</f>
        <v>FORA</v>
      </c>
      <c r="K3343" s="12">
        <f>tItens[[#This Row],[Qtd]]*tItens[[#This Row],[Vlr unit]]</f>
        <v>664</v>
      </c>
      <c r="L3343" s="6">
        <f>IFERROR(IF(INDEX(tProdutos[Desconto homologado],MATCH(tItens[[#This Row],[Produto]],tProdutos[Produto],0))="",DescontoPadrao,INDEX(tProdutos[Desconto homologado],MATCH(tItens[[#This Row],[Produto]],tProdutos[Produto],0))),DescontoPadrao)</f>
        <v>0.374798283789543</v>
      </c>
      <c r="M3343" s="12">
        <f>tItens[[#This Row],[Valor]]*(1-tItens[[#This Row],[Desconto]])</f>
        <v>415.13393956374347</v>
      </c>
      <c r="N3343" t="str">
        <f>IFERROR(INDEX(tProdutos[Foco],MATCH(tItens[[#This Row],[Produto]],tProdutos[Produto],0)),"Não")</f>
        <v>Não</v>
      </c>
      <c r="O3343" t="str">
        <f>IFERROR(INDEX(tEditais[SRP],MATCH(tItens[[#This Row],[Edital]],tEditais[Edital],0)),"Não")</f>
        <v>Sim</v>
      </c>
      <c r="P3343" s="4">
        <f>IF(COUNTIFS(INDEX(tItens[Edital],1):tItens[[#This Row],[Edital]],tItens[[#This Row],[Edital]],INDEX(tItens[Produto],1):tItens[[#This Row],[Produto]],tItens[[#This Row],[Produto]])=1,1,0)</f>
        <v>1</v>
      </c>
    </row>
    <row r="3344" spans="1:16" x14ac:dyDescent="0.25">
      <c r="A3344" t="s">
        <v>1435</v>
      </c>
      <c r="B3344">
        <v>96</v>
      </c>
      <c r="C3344" t="s">
        <v>6249</v>
      </c>
      <c r="D3344" t="s">
        <v>120</v>
      </c>
      <c r="E3344" s="13">
        <v>300</v>
      </c>
      <c r="F3344" s="12">
        <v>0.53</v>
      </c>
      <c r="G3344" t="str">
        <f>IFERROR(INDEX(tEditais[Órgão],MATCH(tItens[[#This Row],[Edital]],tEditais[Edital],0)),"")</f>
        <v>MUNICIPIO DE DOM CAVATI</v>
      </c>
      <c r="H3344" t="str">
        <f>IFERROR(INDEX(tEditais[UF],MATCH(tItens[[#This Row],[Edital]],tEditais[Edital],0)),"")</f>
        <v>MG</v>
      </c>
      <c r="I3344" s="11">
        <f>IFERROR(INDEX(tEditais[Encerramento],MATCH(tItens[[#This Row],[Edital]],tEditais[Edital],0)),"")</f>
        <v>46309.333333333336</v>
      </c>
      <c r="J3344" t="str">
        <f>IFERROR(INDEX(tProdutos[Classe],MATCH(tItens[[#This Row],[Produto]],tProdutos[Produto],0)),"produto não cadastrado")</f>
        <v>DISPUTADO</v>
      </c>
      <c r="K3344" s="12">
        <f>tItens[[#This Row],[Qtd]]*tItens[[#This Row],[Vlr unit]]</f>
        <v>159</v>
      </c>
      <c r="L3344" s="6">
        <f>IFERROR(IF(INDEX(tProdutos[Desconto homologado],MATCH(tItens[[#This Row],[Produto]],tProdutos[Produto],0))="",DescontoPadrao,INDEX(tProdutos[Desconto homologado],MATCH(tItens[[#This Row],[Produto]],tProdutos[Produto],0))),DescontoPadrao)</f>
        <v>0.40909090909090901</v>
      </c>
      <c r="M3344" s="12">
        <f>tItens[[#This Row],[Valor]]*(1-tItens[[#This Row],[Desconto]])</f>
        <v>93.954545454545482</v>
      </c>
      <c r="N3344" t="str">
        <f>IFERROR(INDEX(tProdutos[Foco],MATCH(tItens[[#This Row],[Produto]],tProdutos[Produto],0)),"Não")</f>
        <v>Não</v>
      </c>
      <c r="O3344" t="str">
        <f>IFERROR(INDEX(tEditais[SRP],MATCH(tItens[[#This Row],[Edital]],tEditais[Edital],0)),"Não")</f>
        <v>Sim</v>
      </c>
      <c r="P3344" s="4">
        <f>IF(COUNTIFS(INDEX(tItens[Edital],1):tItens[[#This Row],[Edital]],tItens[[#This Row],[Edital]],INDEX(tItens[Produto],1):tItens[[#This Row],[Produto]],tItens[[#This Row],[Produto]])=1,1,0)</f>
        <v>1</v>
      </c>
    </row>
    <row r="3345" spans="1:16" x14ac:dyDescent="0.25">
      <c r="A3345" t="s">
        <v>1435</v>
      </c>
      <c r="B3345">
        <v>97</v>
      </c>
      <c r="C3345" t="s">
        <v>6250</v>
      </c>
      <c r="D3345" t="s">
        <v>313</v>
      </c>
      <c r="E3345" s="13">
        <v>600</v>
      </c>
      <c r="F3345" s="12">
        <v>22.76</v>
      </c>
      <c r="G3345" t="str">
        <f>IFERROR(INDEX(tEditais[Órgão],MATCH(tItens[[#This Row],[Edital]],tEditais[Edital],0)),"")</f>
        <v>MUNICIPIO DE DOM CAVATI</v>
      </c>
      <c r="H3345" t="str">
        <f>IFERROR(INDEX(tEditais[UF],MATCH(tItens[[#This Row],[Edital]],tEditais[Edital],0)),"")</f>
        <v>MG</v>
      </c>
      <c r="I3345" s="11">
        <f>IFERROR(INDEX(tEditais[Encerramento],MATCH(tItens[[#This Row],[Edital]],tEditais[Edital],0)),"")</f>
        <v>46309.333333333336</v>
      </c>
      <c r="J3345" t="str">
        <f>IFERROR(INDEX(tProdutos[Classe],MATCH(tItens[[#This Row],[Produto]],tProdutos[Produto],0)),"produto não cadastrado")</f>
        <v>FORA</v>
      </c>
      <c r="K3345" s="12">
        <f>tItens[[#This Row],[Qtd]]*tItens[[#This Row],[Vlr unit]]</f>
        <v>13656.000000000002</v>
      </c>
      <c r="L3345" s="6">
        <f>IFERROR(IF(INDEX(tProdutos[Desconto homologado],MATCH(tItens[[#This Row],[Produto]],tProdutos[Produto],0))="",DescontoPadrao,INDEX(tProdutos[Desconto homologado],MATCH(tItens[[#This Row],[Produto]],tProdutos[Produto],0))),DescontoPadrao)</f>
        <v>0.35766373163696302</v>
      </c>
      <c r="M3345" s="12">
        <f>tItens[[#This Row],[Valor]]*(1-tItens[[#This Row],[Desconto]])</f>
        <v>8771.744080765633</v>
      </c>
      <c r="N3345" t="str">
        <f>IFERROR(INDEX(tProdutos[Foco],MATCH(tItens[[#This Row],[Produto]],tProdutos[Produto],0)),"Não")</f>
        <v>Não</v>
      </c>
      <c r="O3345" t="str">
        <f>IFERROR(INDEX(tEditais[SRP],MATCH(tItens[[#This Row],[Edital]],tEditais[Edital],0)),"Não")</f>
        <v>Sim</v>
      </c>
      <c r="P3345" s="4">
        <f>IF(COUNTIFS(INDEX(tItens[Edital],1):tItens[[#This Row],[Edital]],tItens[[#This Row],[Edital]],INDEX(tItens[Produto],1):tItens[[#This Row],[Produto]],tItens[[#This Row],[Produto]])=1,1,0)</f>
        <v>1</v>
      </c>
    </row>
    <row r="3346" spans="1:16" x14ac:dyDescent="0.25">
      <c r="A3346" t="s">
        <v>1435</v>
      </c>
      <c r="B3346">
        <v>98</v>
      </c>
      <c r="C3346" t="s">
        <v>6251</v>
      </c>
      <c r="D3346" t="s">
        <v>313</v>
      </c>
      <c r="E3346" s="13">
        <v>600</v>
      </c>
      <c r="F3346" s="12">
        <v>25.36</v>
      </c>
      <c r="G3346" t="str">
        <f>IFERROR(INDEX(tEditais[Órgão],MATCH(tItens[[#This Row],[Edital]],tEditais[Edital],0)),"")</f>
        <v>MUNICIPIO DE DOM CAVATI</v>
      </c>
      <c r="H3346" t="str">
        <f>IFERROR(INDEX(tEditais[UF],MATCH(tItens[[#This Row],[Edital]],tEditais[Edital],0)),"")</f>
        <v>MG</v>
      </c>
      <c r="I3346" s="11">
        <f>IFERROR(INDEX(tEditais[Encerramento],MATCH(tItens[[#This Row],[Edital]],tEditais[Edital],0)),"")</f>
        <v>46309.333333333336</v>
      </c>
      <c r="J3346" t="str">
        <f>IFERROR(INDEX(tProdutos[Classe],MATCH(tItens[[#This Row],[Produto]],tProdutos[Produto],0)),"produto não cadastrado")</f>
        <v>FORA</v>
      </c>
      <c r="K3346" s="12">
        <f>tItens[[#This Row],[Qtd]]*tItens[[#This Row],[Vlr unit]]</f>
        <v>15216</v>
      </c>
      <c r="L3346" s="6">
        <f>IFERROR(IF(INDEX(tProdutos[Desconto homologado],MATCH(tItens[[#This Row],[Produto]],tProdutos[Produto],0))="",DescontoPadrao,INDEX(tProdutos[Desconto homologado],MATCH(tItens[[#This Row],[Produto]],tProdutos[Produto],0))),DescontoPadrao)</f>
        <v>0.35766373163696302</v>
      </c>
      <c r="M3346" s="12">
        <f>tItens[[#This Row],[Valor]]*(1-tItens[[#This Row],[Desconto]])</f>
        <v>9773.78865941197</v>
      </c>
      <c r="N3346" t="str">
        <f>IFERROR(INDEX(tProdutos[Foco],MATCH(tItens[[#This Row],[Produto]],tProdutos[Produto],0)),"Não")</f>
        <v>Não</v>
      </c>
      <c r="O3346" t="str">
        <f>IFERROR(INDEX(tEditais[SRP],MATCH(tItens[[#This Row],[Edital]],tEditais[Edital],0)),"Não")</f>
        <v>Sim</v>
      </c>
      <c r="P3346" s="4">
        <f>IF(COUNTIFS(INDEX(tItens[Edital],1):tItens[[#This Row],[Edital]],tItens[[#This Row],[Edital]],INDEX(tItens[Produto],1):tItens[[#This Row],[Produto]],tItens[[#This Row],[Produto]])=1,1,0)</f>
        <v>0</v>
      </c>
    </row>
    <row r="3347" spans="1:16" x14ac:dyDescent="0.25">
      <c r="A3347" t="s">
        <v>1435</v>
      </c>
      <c r="B3347">
        <v>99</v>
      </c>
      <c r="C3347" t="s">
        <v>6252</v>
      </c>
      <c r="D3347" t="s">
        <v>313</v>
      </c>
      <c r="E3347" s="13">
        <v>600</v>
      </c>
      <c r="F3347" s="12">
        <v>30.5</v>
      </c>
      <c r="G3347" t="str">
        <f>IFERROR(INDEX(tEditais[Órgão],MATCH(tItens[[#This Row],[Edital]],tEditais[Edital],0)),"")</f>
        <v>MUNICIPIO DE DOM CAVATI</v>
      </c>
      <c r="H3347" t="str">
        <f>IFERROR(INDEX(tEditais[UF],MATCH(tItens[[#This Row],[Edital]],tEditais[Edital],0)),"")</f>
        <v>MG</v>
      </c>
      <c r="I3347" s="11">
        <f>IFERROR(INDEX(tEditais[Encerramento],MATCH(tItens[[#This Row],[Edital]],tEditais[Edital],0)),"")</f>
        <v>46309.333333333336</v>
      </c>
      <c r="J3347" t="str">
        <f>IFERROR(INDEX(tProdutos[Classe],MATCH(tItens[[#This Row],[Produto]],tProdutos[Produto],0)),"produto não cadastrado")</f>
        <v>FORA</v>
      </c>
      <c r="K3347" s="12">
        <f>tItens[[#This Row],[Qtd]]*tItens[[#This Row],[Vlr unit]]</f>
        <v>18300</v>
      </c>
      <c r="L3347" s="6">
        <f>IFERROR(IF(INDEX(tProdutos[Desconto homologado],MATCH(tItens[[#This Row],[Produto]],tProdutos[Produto],0))="",DescontoPadrao,INDEX(tProdutos[Desconto homologado],MATCH(tItens[[#This Row],[Produto]],tProdutos[Produto],0))),DescontoPadrao)</f>
        <v>0.35766373163696302</v>
      </c>
      <c r="M3347" s="12">
        <f>tItens[[#This Row],[Valor]]*(1-tItens[[#This Row],[Desconto]])</f>
        <v>11754.753711043575</v>
      </c>
      <c r="N3347" t="str">
        <f>IFERROR(INDEX(tProdutos[Foco],MATCH(tItens[[#This Row],[Produto]],tProdutos[Produto],0)),"Não")</f>
        <v>Não</v>
      </c>
      <c r="O3347" t="str">
        <f>IFERROR(INDEX(tEditais[SRP],MATCH(tItens[[#This Row],[Edital]],tEditais[Edital],0)),"Não")</f>
        <v>Sim</v>
      </c>
      <c r="P3347" s="4">
        <f>IF(COUNTIFS(INDEX(tItens[Edital],1):tItens[[#This Row],[Edital]],tItens[[#This Row],[Edital]],INDEX(tItens[Produto],1):tItens[[#This Row],[Produto]],tItens[[#This Row],[Produto]])=1,1,0)</f>
        <v>0</v>
      </c>
    </row>
    <row r="3348" spans="1:16" x14ac:dyDescent="0.25">
      <c r="A3348" t="s">
        <v>1435</v>
      </c>
      <c r="B3348">
        <v>100</v>
      </c>
      <c r="C3348" t="s">
        <v>6253</v>
      </c>
      <c r="D3348" t="s">
        <v>313</v>
      </c>
      <c r="E3348" s="13">
        <v>600</v>
      </c>
      <c r="F3348" s="12">
        <v>32.56</v>
      </c>
      <c r="G3348" t="str">
        <f>IFERROR(INDEX(tEditais[Órgão],MATCH(tItens[[#This Row],[Edital]],tEditais[Edital],0)),"")</f>
        <v>MUNICIPIO DE DOM CAVATI</v>
      </c>
      <c r="H3348" t="str">
        <f>IFERROR(INDEX(tEditais[UF],MATCH(tItens[[#This Row],[Edital]],tEditais[Edital],0)),"")</f>
        <v>MG</v>
      </c>
      <c r="I3348" s="11">
        <f>IFERROR(INDEX(tEditais[Encerramento],MATCH(tItens[[#This Row],[Edital]],tEditais[Edital],0)),"")</f>
        <v>46309.333333333336</v>
      </c>
      <c r="J3348" t="str">
        <f>IFERROR(INDEX(tProdutos[Classe],MATCH(tItens[[#This Row],[Produto]],tProdutos[Produto],0)),"produto não cadastrado")</f>
        <v>FORA</v>
      </c>
      <c r="K3348" s="12">
        <f>tItens[[#This Row],[Qtd]]*tItens[[#This Row],[Vlr unit]]</f>
        <v>19536</v>
      </c>
      <c r="L3348" s="6">
        <f>IFERROR(IF(INDEX(tProdutos[Desconto homologado],MATCH(tItens[[#This Row],[Produto]],tProdutos[Produto],0))="",DescontoPadrao,INDEX(tProdutos[Desconto homologado],MATCH(tItens[[#This Row],[Produto]],tProdutos[Produto],0))),DescontoPadrao)</f>
        <v>0.35766373163696302</v>
      </c>
      <c r="M3348" s="12">
        <f>tItens[[#This Row],[Valor]]*(1-tItens[[#This Row],[Desconto]])</f>
        <v>12548.681338740289</v>
      </c>
      <c r="N3348" t="str">
        <f>IFERROR(INDEX(tProdutos[Foco],MATCH(tItens[[#This Row],[Produto]],tProdutos[Produto],0)),"Não")</f>
        <v>Não</v>
      </c>
      <c r="O3348" t="str">
        <f>IFERROR(INDEX(tEditais[SRP],MATCH(tItens[[#This Row],[Edital]],tEditais[Edital],0)),"Não")</f>
        <v>Sim</v>
      </c>
      <c r="P3348" s="4">
        <f>IF(COUNTIFS(INDEX(tItens[Edital],1):tItens[[#This Row],[Edital]],tItens[[#This Row],[Edital]],INDEX(tItens[Produto],1):tItens[[#This Row],[Produto]],tItens[[#This Row],[Produto]])=1,1,0)</f>
        <v>0</v>
      </c>
    </row>
    <row r="3349" spans="1:16" x14ac:dyDescent="0.25">
      <c r="A3349" t="s">
        <v>1435</v>
      </c>
      <c r="B3349">
        <v>106</v>
      </c>
      <c r="C3349" t="s">
        <v>6254</v>
      </c>
      <c r="D3349" t="s">
        <v>120</v>
      </c>
      <c r="E3349" s="13">
        <v>500</v>
      </c>
      <c r="F3349" s="12">
        <v>0.99</v>
      </c>
      <c r="G3349" t="str">
        <f>IFERROR(INDEX(tEditais[Órgão],MATCH(tItens[[#This Row],[Edital]],tEditais[Edital],0)),"")</f>
        <v>MUNICIPIO DE DOM CAVATI</v>
      </c>
      <c r="H3349" t="str">
        <f>IFERROR(INDEX(tEditais[UF],MATCH(tItens[[#This Row],[Edital]],tEditais[Edital],0)),"")</f>
        <v>MG</v>
      </c>
      <c r="I3349" s="11">
        <f>IFERROR(INDEX(tEditais[Encerramento],MATCH(tItens[[#This Row],[Edital]],tEditais[Edital],0)),"")</f>
        <v>46309.333333333336</v>
      </c>
      <c r="J3349" t="str">
        <f>IFERROR(INDEX(tProdutos[Classe],MATCH(tItens[[#This Row],[Produto]],tProdutos[Produto],0)),"produto não cadastrado")</f>
        <v>DISPUTADO</v>
      </c>
      <c r="K3349" s="12">
        <f>tItens[[#This Row],[Qtd]]*tItens[[#This Row],[Vlr unit]]</f>
        <v>495</v>
      </c>
      <c r="L3349" s="6">
        <f>IFERROR(IF(INDEX(tProdutos[Desconto homologado],MATCH(tItens[[#This Row],[Produto]],tProdutos[Produto],0))="",DescontoPadrao,INDEX(tProdutos[Desconto homologado],MATCH(tItens[[#This Row],[Produto]],tProdutos[Produto],0))),DescontoPadrao)</f>
        <v>0.40909090909090901</v>
      </c>
      <c r="M3349" s="12">
        <f>tItens[[#This Row],[Valor]]*(1-tItens[[#This Row],[Desconto]])</f>
        <v>292.50000000000006</v>
      </c>
      <c r="N3349" t="str">
        <f>IFERROR(INDEX(tProdutos[Foco],MATCH(tItens[[#This Row],[Produto]],tProdutos[Produto],0)),"Não")</f>
        <v>Não</v>
      </c>
      <c r="O3349" t="str">
        <f>IFERROR(INDEX(tEditais[SRP],MATCH(tItens[[#This Row],[Edital]],tEditais[Edital],0)),"Não")</f>
        <v>Sim</v>
      </c>
      <c r="P3349" s="4">
        <f>IF(COUNTIFS(INDEX(tItens[Edital],1):tItens[[#This Row],[Edital]],tItens[[#This Row],[Edital]],INDEX(tItens[Produto],1):tItens[[#This Row],[Produto]],tItens[[#This Row],[Produto]])=1,1,0)</f>
        <v>0</v>
      </c>
    </row>
    <row r="3350" spans="1:16" x14ac:dyDescent="0.25">
      <c r="A3350" t="s">
        <v>1435</v>
      </c>
      <c r="B3350">
        <v>114</v>
      </c>
      <c r="C3350" t="s">
        <v>6255</v>
      </c>
      <c r="D3350" t="s">
        <v>156</v>
      </c>
      <c r="E3350" s="13">
        <v>50</v>
      </c>
      <c r="F3350" s="12">
        <v>35.32</v>
      </c>
      <c r="G3350" t="str">
        <f>IFERROR(INDEX(tEditais[Órgão],MATCH(tItens[[#This Row],[Edital]],tEditais[Edital],0)),"")</f>
        <v>MUNICIPIO DE DOM CAVATI</v>
      </c>
      <c r="H3350" t="str">
        <f>IFERROR(INDEX(tEditais[UF],MATCH(tItens[[#This Row],[Edital]],tEditais[Edital],0)),"")</f>
        <v>MG</v>
      </c>
      <c r="I3350" s="11">
        <f>IFERROR(INDEX(tEditais[Encerramento],MATCH(tItens[[#This Row],[Edital]],tEditais[Edital],0)),"")</f>
        <v>46309.333333333336</v>
      </c>
      <c r="J3350" t="str">
        <f>IFERROR(INDEX(tProdutos[Classe],MATCH(tItens[[#This Row],[Produto]],tProdutos[Produto],0)),"produto não cadastrado")</f>
        <v>DISPUTADO</v>
      </c>
      <c r="K3350" s="12">
        <f>tItens[[#This Row],[Qtd]]*tItens[[#This Row],[Vlr unit]]</f>
        <v>1766</v>
      </c>
      <c r="L3350" s="6">
        <f>IFERROR(IF(INDEX(tProdutos[Desconto homologado],MATCH(tItens[[#This Row],[Produto]],tProdutos[Produto],0))="",DescontoPadrao,INDEX(tProdutos[Desconto homologado],MATCH(tItens[[#This Row],[Produto]],tProdutos[Produto],0))),DescontoPadrao)</f>
        <v>0.27131852489802799</v>
      </c>
      <c r="M3350" s="12">
        <f>tItens[[#This Row],[Valor]]*(1-tItens[[#This Row],[Desconto]])</f>
        <v>1286.8514850300826</v>
      </c>
      <c r="N3350" t="str">
        <f>IFERROR(INDEX(tProdutos[Foco],MATCH(tItens[[#This Row],[Produto]],tProdutos[Produto],0)),"Não")</f>
        <v>Não</v>
      </c>
      <c r="O3350" t="str">
        <f>IFERROR(INDEX(tEditais[SRP],MATCH(tItens[[#This Row],[Edital]],tEditais[Edital],0)),"Não")</f>
        <v>Sim</v>
      </c>
      <c r="P3350" s="4">
        <f>IF(COUNTIFS(INDEX(tItens[Edital],1):tItens[[#This Row],[Edital]],tItens[[#This Row],[Edital]],INDEX(tItens[Produto],1):tItens[[#This Row],[Produto]],tItens[[#This Row],[Produto]])=1,1,0)</f>
        <v>1</v>
      </c>
    </row>
    <row r="3351" spans="1:16" x14ac:dyDescent="0.25">
      <c r="A3351" t="s">
        <v>1435</v>
      </c>
      <c r="B3351">
        <v>115</v>
      </c>
      <c r="C3351" t="s">
        <v>6256</v>
      </c>
      <c r="D3351" t="s">
        <v>267</v>
      </c>
      <c r="E3351" s="13">
        <v>5000</v>
      </c>
      <c r="F3351" s="12">
        <v>22.45</v>
      </c>
      <c r="G3351" t="str">
        <f>IFERROR(INDEX(tEditais[Órgão],MATCH(tItens[[#This Row],[Edital]],tEditais[Edital],0)),"")</f>
        <v>MUNICIPIO DE DOM CAVATI</v>
      </c>
      <c r="H3351" t="str">
        <f>IFERROR(INDEX(tEditais[UF],MATCH(tItens[[#This Row],[Edital]],tEditais[Edital],0)),"")</f>
        <v>MG</v>
      </c>
      <c r="I3351" s="11">
        <f>IFERROR(INDEX(tEditais[Encerramento],MATCH(tItens[[#This Row],[Edital]],tEditais[Edital],0)),"")</f>
        <v>46309.333333333336</v>
      </c>
      <c r="J3351" t="str">
        <f>IFERROR(INDEX(tProdutos[Classe],MATCH(tItens[[#This Row],[Produto]],tProdutos[Produto],0)),"produto não cadastrado")</f>
        <v>FORA</v>
      </c>
      <c r="K3351" s="12">
        <f>tItens[[#This Row],[Qtd]]*tItens[[#This Row],[Vlr unit]]</f>
        <v>112250</v>
      </c>
      <c r="L3351" s="6">
        <f>IFERROR(IF(INDEX(tProdutos[Desconto homologado],MATCH(tItens[[#This Row],[Produto]],tProdutos[Produto],0))="",DescontoPadrao,INDEX(tProdutos[Desconto homologado],MATCH(tItens[[#This Row],[Produto]],tProdutos[Produto],0))),DescontoPadrao)</f>
        <v>0.19963672657401599</v>
      </c>
      <c r="M3351" s="12">
        <f>tItens[[#This Row],[Valor]]*(1-tItens[[#This Row],[Desconto]])</f>
        <v>89840.777442066712</v>
      </c>
      <c r="N3351" t="str">
        <f>IFERROR(INDEX(tProdutos[Foco],MATCH(tItens[[#This Row],[Produto]],tProdutos[Produto],0)),"Não")</f>
        <v>Não</v>
      </c>
      <c r="O3351" t="str">
        <f>IFERROR(INDEX(tEditais[SRP],MATCH(tItens[[#This Row],[Edital]],tEditais[Edital],0)),"Não")</f>
        <v>Sim</v>
      </c>
      <c r="P3351" s="4">
        <f>IF(COUNTIFS(INDEX(tItens[Edital],1):tItens[[#This Row],[Edital]],tItens[[#This Row],[Edital]],INDEX(tItens[Produto],1):tItens[[#This Row],[Produto]],tItens[[#This Row],[Produto]])=1,1,0)</f>
        <v>0</v>
      </c>
    </row>
    <row r="3352" spans="1:16" x14ac:dyDescent="0.25">
      <c r="A3352" t="s">
        <v>1435</v>
      </c>
      <c r="B3352">
        <v>116</v>
      </c>
      <c r="C3352" t="s">
        <v>6257</v>
      </c>
      <c r="D3352" t="s">
        <v>275</v>
      </c>
      <c r="E3352" s="13">
        <v>20</v>
      </c>
      <c r="F3352" s="12">
        <v>16</v>
      </c>
      <c r="G3352" t="str">
        <f>IFERROR(INDEX(tEditais[Órgão],MATCH(tItens[[#This Row],[Edital]],tEditais[Edital],0)),"")</f>
        <v>MUNICIPIO DE DOM CAVATI</v>
      </c>
      <c r="H3352" t="str">
        <f>IFERROR(INDEX(tEditais[UF],MATCH(tItens[[#This Row],[Edital]],tEditais[Edital],0)),"")</f>
        <v>MG</v>
      </c>
      <c r="I3352" s="11">
        <f>IFERROR(INDEX(tEditais[Encerramento],MATCH(tItens[[#This Row],[Edital]],tEditais[Edital],0)),"")</f>
        <v>46309.333333333336</v>
      </c>
      <c r="J3352" t="str">
        <f>IFERROR(INDEX(tProdutos[Classe],MATCH(tItens[[#This Row],[Produto]],tProdutos[Produto],0)),"produto não cadastrado")</f>
        <v>FORA</v>
      </c>
      <c r="K3352" s="12">
        <f>tItens[[#This Row],[Qtd]]*tItens[[#This Row],[Vlr unit]]</f>
        <v>320</v>
      </c>
      <c r="L3352" s="6">
        <f>IFERROR(IF(INDEX(tProdutos[Desconto homologado],MATCH(tItens[[#This Row],[Produto]],tProdutos[Produto],0))="",DescontoPadrao,INDEX(tProdutos[Desconto homologado],MATCH(tItens[[#This Row],[Produto]],tProdutos[Produto],0))),DescontoPadrao)</f>
        <v>0.405797101449275</v>
      </c>
      <c r="M3352" s="12">
        <f>tItens[[#This Row],[Valor]]*(1-tItens[[#This Row],[Desconto]])</f>
        <v>190.14492753623202</v>
      </c>
      <c r="N3352" t="str">
        <f>IFERROR(INDEX(tProdutos[Foco],MATCH(tItens[[#This Row],[Produto]],tProdutos[Produto],0)),"Não")</f>
        <v>Não</v>
      </c>
      <c r="O3352" t="str">
        <f>IFERROR(INDEX(tEditais[SRP],MATCH(tItens[[#This Row],[Edital]],tEditais[Edital],0)),"Não")</f>
        <v>Sim</v>
      </c>
      <c r="P3352" s="4">
        <f>IF(COUNTIFS(INDEX(tItens[Edital],1):tItens[[#This Row],[Edital]],tItens[[#This Row],[Edital]],INDEX(tItens[Produto],1):tItens[[#This Row],[Produto]],tItens[[#This Row],[Produto]])=1,1,0)</f>
        <v>1</v>
      </c>
    </row>
    <row r="3353" spans="1:16" x14ac:dyDescent="0.25">
      <c r="A3353" t="s">
        <v>1435</v>
      </c>
      <c r="B3353">
        <v>118</v>
      </c>
      <c r="C3353" t="s">
        <v>6258</v>
      </c>
      <c r="D3353" t="s">
        <v>56</v>
      </c>
      <c r="E3353" s="13">
        <v>200</v>
      </c>
      <c r="F3353" s="12">
        <v>33.119999999999997</v>
      </c>
      <c r="G3353" t="str">
        <f>IFERROR(INDEX(tEditais[Órgão],MATCH(tItens[[#This Row],[Edital]],tEditais[Edital],0)),"")</f>
        <v>MUNICIPIO DE DOM CAVATI</v>
      </c>
      <c r="H3353" t="str">
        <f>IFERROR(INDEX(tEditais[UF],MATCH(tItens[[#This Row],[Edital]],tEditais[Edital],0)),"")</f>
        <v>MG</v>
      </c>
      <c r="I3353" s="11">
        <f>IFERROR(INDEX(tEditais[Encerramento],MATCH(tItens[[#This Row],[Edital]],tEditais[Edital],0)),"")</f>
        <v>46309.333333333336</v>
      </c>
      <c r="J3353" t="str">
        <f>IFERROR(INDEX(tProdutos[Classe],MATCH(tItens[[#This Row],[Produto]],tProdutos[Produto],0)),"produto não cadastrado")</f>
        <v>NÚCLEO</v>
      </c>
      <c r="K3353" s="12">
        <f>tItens[[#This Row],[Qtd]]*tItens[[#This Row],[Vlr unit]]</f>
        <v>6623.9999999999991</v>
      </c>
      <c r="L3353" s="6">
        <f>IFERROR(IF(INDEX(tProdutos[Desconto homologado],MATCH(tItens[[#This Row],[Produto]],tProdutos[Produto],0))="",DescontoPadrao,INDEX(tProdutos[Desconto homologado],MATCH(tItens[[#This Row],[Produto]],tProdutos[Produto],0))),DescontoPadrao)</f>
        <v>0.34</v>
      </c>
      <c r="M3353" s="12">
        <f>tItens[[#This Row],[Valor]]*(1-tItens[[#This Row],[Desconto]])</f>
        <v>4371.8399999999992</v>
      </c>
      <c r="N3353" t="str">
        <f>IFERROR(INDEX(tProdutos[Foco],MATCH(tItens[[#This Row],[Produto]],tProdutos[Produto],0)),"Não")</f>
        <v>Sim</v>
      </c>
      <c r="O3353" t="str">
        <f>IFERROR(INDEX(tEditais[SRP],MATCH(tItens[[#This Row],[Edital]],tEditais[Edital],0)),"Não")</f>
        <v>Sim</v>
      </c>
      <c r="P3353" s="4">
        <f>IF(COUNTIFS(INDEX(tItens[Edital],1):tItens[[#This Row],[Edital]],tItens[[#This Row],[Edital]],INDEX(tItens[Produto],1):tItens[[#This Row],[Produto]],tItens[[#This Row],[Produto]])=1,1,0)</f>
        <v>1</v>
      </c>
    </row>
    <row r="3354" spans="1:16" x14ac:dyDescent="0.25">
      <c r="A3354" t="s">
        <v>1435</v>
      </c>
      <c r="B3354">
        <v>119</v>
      </c>
      <c r="C3354" t="s">
        <v>6259</v>
      </c>
      <c r="D3354" t="s">
        <v>333</v>
      </c>
      <c r="E3354" s="13">
        <v>3000</v>
      </c>
      <c r="F3354" s="12">
        <v>2.7</v>
      </c>
      <c r="G3354" t="str">
        <f>IFERROR(INDEX(tEditais[Órgão],MATCH(tItens[[#This Row],[Edital]],tEditais[Edital],0)),"")</f>
        <v>MUNICIPIO DE DOM CAVATI</v>
      </c>
      <c r="H3354" t="str">
        <f>IFERROR(INDEX(tEditais[UF],MATCH(tItens[[#This Row],[Edital]],tEditais[Edital],0)),"")</f>
        <v>MG</v>
      </c>
      <c r="I3354" s="11">
        <f>IFERROR(INDEX(tEditais[Encerramento],MATCH(tItens[[#This Row],[Edital]],tEditais[Edital],0)),"")</f>
        <v>46309.333333333336</v>
      </c>
      <c r="J3354" t="str">
        <f>IFERROR(INDEX(tProdutos[Classe],MATCH(tItens[[#This Row],[Produto]],tProdutos[Produto],0)),"produto não cadastrado")</f>
        <v>FORA</v>
      </c>
      <c r="K3354" s="12">
        <f>tItens[[#This Row],[Qtd]]*tItens[[#This Row],[Vlr unit]]</f>
        <v>8100.0000000000009</v>
      </c>
      <c r="L3354" s="6">
        <f>IFERROR(IF(INDEX(tProdutos[Desconto homologado],MATCH(tItens[[#This Row],[Produto]],tProdutos[Produto],0))="",DescontoPadrao,INDEX(tProdutos[Desconto homologado],MATCH(tItens[[#This Row],[Produto]],tProdutos[Produto],0))),DescontoPadrao)</f>
        <v>0.48951048951048998</v>
      </c>
      <c r="M3354" s="12">
        <f>tItens[[#This Row],[Valor]]*(1-tItens[[#This Row],[Desconto]])</f>
        <v>4134.965034965031</v>
      </c>
      <c r="N3354" t="str">
        <f>IFERROR(INDEX(tProdutos[Foco],MATCH(tItens[[#This Row],[Produto]],tProdutos[Produto],0)),"Não")</f>
        <v>Não</v>
      </c>
      <c r="O3354" t="str">
        <f>IFERROR(INDEX(tEditais[SRP],MATCH(tItens[[#This Row],[Edital]],tEditais[Edital],0)),"Não")</f>
        <v>Sim</v>
      </c>
      <c r="P3354" s="4">
        <f>IF(COUNTIFS(INDEX(tItens[Edital],1):tItens[[#This Row],[Edital]],tItens[[#This Row],[Edital]],INDEX(tItens[Produto],1):tItens[[#This Row],[Produto]],tItens[[#This Row],[Produto]])=1,1,0)</f>
        <v>1</v>
      </c>
    </row>
    <row r="3355" spans="1:16" x14ac:dyDescent="0.25">
      <c r="A3355" t="s">
        <v>1435</v>
      </c>
      <c r="B3355">
        <v>120</v>
      </c>
      <c r="C3355" t="s">
        <v>4400</v>
      </c>
      <c r="D3355" t="s">
        <v>187</v>
      </c>
      <c r="E3355" s="13">
        <v>300</v>
      </c>
      <c r="F3355" s="12">
        <v>1.92</v>
      </c>
      <c r="G3355" t="str">
        <f>IFERROR(INDEX(tEditais[Órgão],MATCH(tItens[[#This Row],[Edital]],tEditais[Edital],0)),"")</f>
        <v>MUNICIPIO DE DOM CAVATI</v>
      </c>
      <c r="H3355" t="str">
        <f>IFERROR(INDEX(tEditais[UF],MATCH(tItens[[#This Row],[Edital]],tEditais[Edital],0)),"")</f>
        <v>MG</v>
      </c>
      <c r="I3355" s="11">
        <f>IFERROR(INDEX(tEditais[Encerramento],MATCH(tItens[[#This Row],[Edital]],tEditais[Edital],0)),"")</f>
        <v>46309.333333333336</v>
      </c>
      <c r="J3355" t="str">
        <f>IFERROR(INDEX(tProdutos[Classe],MATCH(tItens[[#This Row],[Produto]],tProdutos[Produto],0)),"produto não cadastrado")</f>
        <v>DISPUTADO</v>
      </c>
      <c r="K3355" s="12">
        <f>tItens[[#This Row],[Qtd]]*tItens[[#This Row],[Vlr unit]]</f>
        <v>576</v>
      </c>
      <c r="L3355" s="6">
        <f>IFERROR(IF(INDEX(tProdutos[Desconto homologado],MATCH(tItens[[#This Row],[Produto]],tProdutos[Produto],0))="",DescontoPadrao,INDEX(tProdutos[Desconto homologado],MATCH(tItens[[#This Row],[Produto]],tProdutos[Produto],0))),DescontoPadrao)</f>
        <v>0.44298820445609399</v>
      </c>
      <c r="M3355" s="12">
        <f>tItens[[#This Row],[Valor]]*(1-tItens[[#This Row],[Desconto]])</f>
        <v>320.83879423328983</v>
      </c>
      <c r="N3355" t="str">
        <f>IFERROR(INDEX(tProdutos[Foco],MATCH(tItens[[#This Row],[Produto]],tProdutos[Produto],0)),"Não")</f>
        <v>Não</v>
      </c>
      <c r="O3355" t="str">
        <f>IFERROR(INDEX(tEditais[SRP],MATCH(tItens[[#This Row],[Edital]],tEditais[Edital],0)),"Não")</f>
        <v>Sim</v>
      </c>
      <c r="P3355" s="4">
        <f>IF(COUNTIFS(INDEX(tItens[Edital],1):tItens[[#This Row],[Edital]],tItens[[#This Row],[Edital]],INDEX(tItens[Produto],1):tItens[[#This Row],[Produto]],tItens[[#This Row],[Produto]])=1,1,0)</f>
        <v>1</v>
      </c>
    </row>
    <row r="3356" spans="1:16" x14ac:dyDescent="0.25">
      <c r="A3356" t="s">
        <v>1435</v>
      </c>
      <c r="B3356">
        <v>121</v>
      </c>
      <c r="C3356" t="s">
        <v>6260</v>
      </c>
      <c r="D3356" t="s">
        <v>569</v>
      </c>
      <c r="E3356" s="13">
        <v>20</v>
      </c>
      <c r="F3356" s="12">
        <v>219.89</v>
      </c>
      <c r="G3356" t="str">
        <f>IFERROR(INDEX(tEditais[Órgão],MATCH(tItens[[#This Row],[Edital]],tEditais[Edital],0)),"")</f>
        <v>MUNICIPIO DE DOM CAVATI</v>
      </c>
      <c r="H3356" t="str">
        <f>IFERROR(INDEX(tEditais[UF],MATCH(tItens[[#This Row],[Edital]],tEditais[Edital],0)),"")</f>
        <v>MG</v>
      </c>
      <c r="I3356" s="11">
        <f>IFERROR(INDEX(tEditais[Encerramento],MATCH(tItens[[#This Row],[Edital]],tEditais[Edital],0)),"")</f>
        <v>46309.333333333336</v>
      </c>
      <c r="J3356" t="str">
        <f>IFERROR(INDEX(tProdutos[Classe],MATCH(tItens[[#This Row],[Produto]],tProdutos[Produto],0)),"produto não cadastrado")</f>
        <v>FILA REBASE</v>
      </c>
      <c r="K3356" s="12">
        <f>tItens[[#This Row],[Qtd]]*tItens[[#This Row],[Vlr unit]]</f>
        <v>4397.7999999999993</v>
      </c>
      <c r="L3356" s="6">
        <f>IFERROR(IF(INDEX(tProdutos[Desconto homologado],MATCH(tItens[[#This Row],[Produto]],tProdutos[Produto],0))="",DescontoPadrao,INDEX(tProdutos[Desconto homologado],MATCH(tItens[[#This Row],[Produto]],tProdutos[Produto],0))),DescontoPadrao)</f>
        <v>0.3</v>
      </c>
      <c r="M3356" s="12">
        <f>tItens[[#This Row],[Valor]]*(1-tItens[[#This Row],[Desconto]])</f>
        <v>3078.4599999999991</v>
      </c>
      <c r="N3356" t="str">
        <f>IFERROR(INDEX(tProdutos[Foco],MATCH(tItens[[#This Row],[Produto]],tProdutos[Produto],0)),"Não")</f>
        <v>Não</v>
      </c>
      <c r="O3356" t="str">
        <f>IFERROR(INDEX(tEditais[SRP],MATCH(tItens[[#This Row],[Edital]],tEditais[Edital],0)),"Não")</f>
        <v>Sim</v>
      </c>
      <c r="P3356" s="4">
        <f>IF(COUNTIFS(INDEX(tItens[Edital],1):tItens[[#This Row],[Edital]],tItens[[#This Row],[Edital]],INDEX(tItens[Produto],1):tItens[[#This Row],[Produto]],tItens[[#This Row],[Produto]])=1,1,0)</f>
        <v>1</v>
      </c>
    </row>
    <row r="3357" spans="1:16" x14ac:dyDescent="0.25">
      <c r="A3357" t="s">
        <v>1435</v>
      </c>
      <c r="B3357">
        <v>151</v>
      </c>
      <c r="C3357" t="s">
        <v>6261</v>
      </c>
      <c r="D3357" t="s">
        <v>267</v>
      </c>
      <c r="E3357" s="13">
        <v>2000</v>
      </c>
      <c r="F3357" s="12">
        <v>24.63</v>
      </c>
      <c r="G3357" t="str">
        <f>IFERROR(INDEX(tEditais[Órgão],MATCH(tItens[[#This Row],[Edital]],tEditais[Edital],0)),"")</f>
        <v>MUNICIPIO DE DOM CAVATI</v>
      </c>
      <c r="H3357" t="str">
        <f>IFERROR(INDEX(tEditais[UF],MATCH(tItens[[#This Row],[Edital]],tEditais[Edital],0)),"")</f>
        <v>MG</v>
      </c>
      <c r="I3357" s="11">
        <f>IFERROR(INDEX(tEditais[Encerramento],MATCH(tItens[[#This Row],[Edital]],tEditais[Edital],0)),"")</f>
        <v>46309.333333333336</v>
      </c>
      <c r="J3357" t="str">
        <f>IFERROR(INDEX(tProdutos[Classe],MATCH(tItens[[#This Row],[Produto]],tProdutos[Produto],0)),"produto não cadastrado")</f>
        <v>FORA</v>
      </c>
      <c r="K3357" s="12">
        <f>tItens[[#This Row],[Qtd]]*tItens[[#This Row],[Vlr unit]]</f>
        <v>49260</v>
      </c>
      <c r="L3357" s="6">
        <f>IFERROR(IF(INDEX(tProdutos[Desconto homologado],MATCH(tItens[[#This Row],[Produto]],tProdutos[Produto],0))="",DescontoPadrao,INDEX(tProdutos[Desconto homologado],MATCH(tItens[[#This Row],[Produto]],tProdutos[Produto],0))),DescontoPadrao)</f>
        <v>0.19963672657401599</v>
      </c>
      <c r="M3357" s="12">
        <f>tItens[[#This Row],[Valor]]*(1-tItens[[#This Row],[Desconto]])</f>
        <v>39425.894848963973</v>
      </c>
      <c r="N3357" t="str">
        <f>IFERROR(INDEX(tProdutos[Foco],MATCH(tItens[[#This Row],[Produto]],tProdutos[Produto],0)),"Não")</f>
        <v>Não</v>
      </c>
      <c r="O3357" t="str">
        <f>IFERROR(INDEX(tEditais[SRP],MATCH(tItens[[#This Row],[Edital]],tEditais[Edital],0)),"Não")</f>
        <v>Sim</v>
      </c>
      <c r="P3357" s="4">
        <f>IF(COUNTIFS(INDEX(tItens[Edital],1):tItens[[#This Row],[Edital]],tItens[[#This Row],[Edital]],INDEX(tItens[Produto],1):tItens[[#This Row],[Produto]],tItens[[#This Row],[Produto]])=1,1,0)</f>
        <v>0</v>
      </c>
    </row>
    <row r="3358" spans="1:16" x14ac:dyDescent="0.25">
      <c r="A3358" t="s">
        <v>1435</v>
      </c>
      <c r="B3358">
        <v>166</v>
      </c>
      <c r="C3358" t="s">
        <v>6262</v>
      </c>
      <c r="D3358" t="s">
        <v>180</v>
      </c>
      <c r="E3358" s="13">
        <v>1000</v>
      </c>
      <c r="F3358" s="12">
        <v>0.77</v>
      </c>
      <c r="G3358" t="str">
        <f>IFERROR(INDEX(tEditais[Órgão],MATCH(tItens[[#This Row],[Edital]],tEditais[Edital],0)),"")</f>
        <v>MUNICIPIO DE DOM CAVATI</v>
      </c>
      <c r="H3358" t="str">
        <f>IFERROR(INDEX(tEditais[UF],MATCH(tItens[[#This Row],[Edital]],tEditais[Edital],0)),"")</f>
        <v>MG</v>
      </c>
      <c r="I3358" s="11">
        <f>IFERROR(INDEX(tEditais[Encerramento],MATCH(tItens[[#This Row],[Edital]],tEditais[Edital],0)),"")</f>
        <v>46309.333333333336</v>
      </c>
      <c r="J3358" t="str">
        <f>IFERROR(INDEX(tProdutos[Classe],MATCH(tItens[[#This Row],[Produto]],tProdutos[Produto],0)),"produto não cadastrado")</f>
        <v>DISPUTADO</v>
      </c>
      <c r="K3358" s="12">
        <f>tItens[[#This Row],[Qtd]]*tItens[[#This Row],[Vlr unit]]</f>
        <v>770</v>
      </c>
      <c r="L3358" s="6">
        <f>IFERROR(IF(INDEX(tProdutos[Desconto homologado],MATCH(tItens[[#This Row],[Produto]],tProdutos[Produto],0))="",DescontoPadrao,INDEX(tProdutos[Desconto homologado],MATCH(tItens[[#This Row],[Produto]],tProdutos[Produto],0))),DescontoPadrao)</f>
        <v>0.33333333333333298</v>
      </c>
      <c r="M3358" s="12">
        <f>tItens[[#This Row],[Valor]]*(1-tItens[[#This Row],[Desconto]])</f>
        <v>513.3333333333336</v>
      </c>
      <c r="N3358" t="str">
        <f>IFERROR(INDEX(tProdutos[Foco],MATCH(tItens[[#This Row],[Produto]],tProdutos[Produto],0)),"Não")</f>
        <v>Não</v>
      </c>
      <c r="O3358" t="str">
        <f>IFERROR(INDEX(tEditais[SRP],MATCH(tItens[[#This Row],[Edital]],tEditais[Edital],0)),"Não")</f>
        <v>Sim</v>
      </c>
      <c r="P3358" s="4">
        <f>IF(COUNTIFS(INDEX(tItens[Edital],1):tItens[[#This Row],[Edital]],tItens[[#This Row],[Edital]],INDEX(tItens[Produto],1):tItens[[#This Row],[Produto]],tItens[[#This Row],[Produto]])=1,1,0)</f>
        <v>1</v>
      </c>
    </row>
    <row r="3359" spans="1:16" x14ac:dyDescent="0.25">
      <c r="A3359" t="s">
        <v>1435</v>
      </c>
      <c r="B3359">
        <v>197</v>
      </c>
      <c r="C3359" t="s">
        <v>6263</v>
      </c>
      <c r="D3359" t="s">
        <v>73</v>
      </c>
      <c r="E3359" s="13">
        <v>300</v>
      </c>
      <c r="F3359" s="12">
        <v>2.3199999999999998</v>
      </c>
      <c r="G3359" t="str">
        <f>IFERROR(INDEX(tEditais[Órgão],MATCH(tItens[[#This Row],[Edital]],tEditais[Edital],0)),"")</f>
        <v>MUNICIPIO DE DOM CAVATI</v>
      </c>
      <c r="H3359" t="str">
        <f>IFERROR(INDEX(tEditais[UF],MATCH(tItens[[#This Row],[Edital]],tEditais[Edital],0)),"")</f>
        <v>MG</v>
      </c>
      <c r="I3359" s="11">
        <f>IFERROR(INDEX(tEditais[Encerramento],MATCH(tItens[[#This Row],[Edital]],tEditais[Edital],0)),"")</f>
        <v>46309.333333333336</v>
      </c>
      <c r="J3359" t="str">
        <f>IFERROR(INDEX(tProdutos[Classe],MATCH(tItens[[#This Row],[Produto]],tProdutos[Produto],0)),"produto não cadastrado")</f>
        <v>NÚCLEO</v>
      </c>
      <c r="K3359" s="12">
        <f>tItens[[#This Row],[Qtd]]*tItens[[#This Row],[Vlr unit]]</f>
        <v>696</v>
      </c>
      <c r="L3359" s="6">
        <f>IFERROR(IF(INDEX(tProdutos[Desconto homologado],MATCH(tItens[[#This Row],[Produto]],tProdutos[Produto],0))="",DescontoPadrao,INDEX(tProdutos[Desconto homologado],MATCH(tItens[[#This Row],[Produto]],tProdutos[Produto],0))),DescontoPadrao)</f>
        <v>0.37</v>
      </c>
      <c r="M3359" s="12">
        <f>tItens[[#This Row],[Valor]]*(1-tItens[[#This Row],[Desconto]])</f>
        <v>438.48</v>
      </c>
      <c r="N3359" t="str">
        <f>IFERROR(INDEX(tProdutos[Foco],MATCH(tItens[[#This Row],[Produto]],tProdutos[Produto],0)),"Não")</f>
        <v>Sim</v>
      </c>
      <c r="O3359" t="str">
        <f>IFERROR(INDEX(tEditais[SRP],MATCH(tItens[[#This Row],[Edital]],tEditais[Edital],0)),"Não")</f>
        <v>Sim</v>
      </c>
      <c r="P3359" s="4">
        <f>IF(COUNTIFS(INDEX(tItens[Edital],1):tItens[[#This Row],[Edital]],tItens[[#This Row],[Edital]],INDEX(tItens[Produto],1):tItens[[#This Row],[Produto]],tItens[[#This Row],[Produto]])=1,1,0)</f>
        <v>1</v>
      </c>
    </row>
    <row r="3360" spans="1:16" x14ac:dyDescent="0.25">
      <c r="A3360" t="s">
        <v>1439</v>
      </c>
      <c r="B3360">
        <v>8055647</v>
      </c>
      <c r="C3360" t="s">
        <v>6264</v>
      </c>
      <c r="D3360" t="s">
        <v>345</v>
      </c>
      <c r="E3360" s="13">
        <v>450</v>
      </c>
      <c r="F3360" s="12">
        <v>40.909999999999997</v>
      </c>
      <c r="G3360" t="str">
        <f>IFERROR(INDEX(tEditais[Órgão],MATCH(tItens[[#This Row],[Edital]],tEditais[Edital],0)),"")</f>
        <v>MUNICIPIO DE FRONTEIRA</v>
      </c>
      <c r="H3360" t="str">
        <f>IFERROR(INDEX(tEditais[UF],MATCH(tItens[[#This Row],[Edital]],tEditais[Edital],0)),"")</f>
        <v>MG</v>
      </c>
      <c r="I3360" s="11">
        <f>IFERROR(INDEX(tEditais[Encerramento],MATCH(tItens[[#This Row],[Edital]],tEditais[Edital],0)),"")</f>
        <v>46309.354166666664</v>
      </c>
      <c r="J3360" t="str">
        <f>IFERROR(INDEX(tProdutos[Classe],MATCH(tItens[[#This Row],[Produto]],tProdutos[Produto],0)),"produto não cadastrado")</f>
        <v>FORA</v>
      </c>
      <c r="K3360" s="12">
        <f>tItens[[#This Row],[Qtd]]*tItens[[#This Row],[Vlr unit]]</f>
        <v>18409.5</v>
      </c>
      <c r="L3360" s="6">
        <f>IFERROR(IF(INDEX(tProdutos[Desconto homologado],MATCH(tItens[[#This Row],[Produto]],tProdutos[Produto],0))="",DescontoPadrao,INDEX(tProdutos[Desconto homologado],MATCH(tItens[[#This Row],[Produto]],tProdutos[Produto],0))),DescontoPadrao)</f>
        <v>0.412394275616498</v>
      </c>
      <c r="M3360" s="12">
        <f>tItens[[#This Row],[Valor]]*(1-tItens[[#This Row],[Desconto]])</f>
        <v>10817.52758303808</v>
      </c>
      <c r="N3360" t="str">
        <f>IFERROR(INDEX(tProdutos[Foco],MATCH(tItens[[#This Row],[Produto]],tProdutos[Produto],0)),"Não")</f>
        <v>Não</v>
      </c>
      <c r="O3360" t="str">
        <f>IFERROR(INDEX(tEditais[SRP],MATCH(tItens[[#This Row],[Edital]],tEditais[Edital],0)),"Não")</f>
        <v>Sim</v>
      </c>
      <c r="P3360" s="4">
        <f>IF(COUNTIFS(INDEX(tItens[Edital],1):tItens[[#This Row],[Edital]],tItens[[#This Row],[Edital]],INDEX(tItens[Produto],1):tItens[[#This Row],[Produto]],tItens[[#This Row],[Produto]])=1,1,0)</f>
        <v>1</v>
      </c>
    </row>
    <row r="3361" spans="1:16" x14ac:dyDescent="0.25">
      <c r="A3361" t="s">
        <v>1439</v>
      </c>
      <c r="B3361">
        <v>8055648</v>
      </c>
      <c r="C3361" t="s">
        <v>6265</v>
      </c>
      <c r="D3361" t="s">
        <v>345</v>
      </c>
      <c r="E3361" s="13">
        <v>600</v>
      </c>
      <c r="F3361" s="12">
        <v>78.58</v>
      </c>
      <c r="G3361" t="str">
        <f>IFERROR(INDEX(tEditais[Órgão],MATCH(tItens[[#This Row],[Edital]],tEditais[Edital],0)),"")</f>
        <v>MUNICIPIO DE FRONTEIRA</v>
      </c>
      <c r="H3361" t="str">
        <f>IFERROR(INDEX(tEditais[UF],MATCH(tItens[[#This Row],[Edital]],tEditais[Edital],0)),"")</f>
        <v>MG</v>
      </c>
      <c r="I3361" s="11">
        <f>IFERROR(INDEX(tEditais[Encerramento],MATCH(tItens[[#This Row],[Edital]],tEditais[Edital],0)),"")</f>
        <v>46309.354166666664</v>
      </c>
      <c r="J3361" t="str">
        <f>IFERROR(INDEX(tProdutos[Classe],MATCH(tItens[[#This Row],[Produto]],tProdutos[Produto],0)),"produto não cadastrado")</f>
        <v>FORA</v>
      </c>
      <c r="K3361" s="12">
        <f>tItens[[#This Row],[Qtd]]*tItens[[#This Row],[Vlr unit]]</f>
        <v>47148</v>
      </c>
      <c r="L3361" s="6">
        <f>IFERROR(IF(INDEX(tProdutos[Desconto homologado],MATCH(tItens[[#This Row],[Produto]],tProdutos[Produto],0))="",DescontoPadrao,INDEX(tProdutos[Desconto homologado],MATCH(tItens[[#This Row],[Produto]],tProdutos[Produto],0))),DescontoPadrao)</f>
        <v>0.412394275616498</v>
      </c>
      <c r="M3361" s="12">
        <f>tItens[[#This Row],[Valor]]*(1-tItens[[#This Row],[Desconto]])</f>
        <v>27704.434693233354</v>
      </c>
      <c r="N3361" t="str">
        <f>IFERROR(INDEX(tProdutos[Foco],MATCH(tItens[[#This Row],[Produto]],tProdutos[Produto],0)),"Não")</f>
        <v>Não</v>
      </c>
      <c r="O3361" t="str">
        <f>IFERROR(INDEX(tEditais[SRP],MATCH(tItens[[#This Row],[Edital]],tEditais[Edital],0)),"Não")</f>
        <v>Sim</v>
      </c>
      <c r="P3361" s="4">
        <f>IF(COUNTIFS(INDEX(tItens[Edital],1):tItens[[#This Row],[Edital]],tItens[[#This Row],[Edital]],INDEX(tItens[Produto],1):tItens[[#This Row],[Produto]],tItens[[#This Row],[Produto]])=1,1,0)</f>
        <v>0</v>
      </c>
    </row>
    <row r="3362" spans="1:16" x14ac:dyDescent="0.25">
      <c r="A3362" t="s">
        <v>1439</v>
      </c>
      <c r="B3362">
        <v>8055649</v>
      </c>
      <c r="C3362" t="s">
        <v>6266</v>
      </c>
      <c r="D3362" t="s">
        <v>345</v>
      </c>
      <c r="E3362" s="13">
        <v>450</v>
      </c>
      <c r="F3362" s="12">
        <v>13.71</v>
      </c>
      <c r="G3362" t="str">
        <f>IFERROR(INDEX(tEditais[Órgão],MATCH(tItens[[#This Row],[Edital]],tEditais[Edital],0)),"")</f>
        <v>MUNICIPIO DE FRONTEIRA</v>
      </c>
      <c r="H3362" t="str">
        <f>IFERROR(INDEX(tEditais[UF],MATCH(tItens[[#This Row],[Edital]],tEditais[Edital],0)),"")</f>
        <v>MG</v>
      </c>
      <c r="I3362" s="11">
        <f>IFERROR(INDEX(tEditais[Encerramento],MATCH(tItens[[#This Row],[Edital]],tEditais[Edital],0)),"")</f>
        <v>46309.354166666664</v>
      </c>
      <c r="J3362" t="str">
        <f>IFERROR(INDEX(tProdutos[Classe],MATCH(tItens[[#This Row],[Produto]],tProdutos[Produto],0)),"produto não cadastrado")</f>
        <v>FORA</v>
      </c>
      <c r="K3362" s="12">
        <f>tItens[[#This Row],[Qtd]]*tItens[[#This Row],[Vlr unit]]</f>
        <v>6169.5</v>
      </c>
      <c r="L3362" s="6">
        <f>IFERROR(IF(INDEX(tProdutos[Desconto homologado],MATCH(tItens[[#This Row],[Produto]],tProdutos[Produto],0))="",DescontoPadrao,INDEX(tProdutos[Desconto homologado],MATCH(tItens[[#This Row],[Produto]],tProdutos[Produto],0))),DescontoPadrao)</f>
        <v>0.412394275616498</v>
      </c>
      <c r="M3362" s="12">
        <f>tItens[[#This Row],[Valor]]*(1-tItens[[#This Row],[Desconto]])</f>
        <v>3625.2335165840154</v>
      </c>
      <c r="N3362" t="str">
        <f>IFERROR(INDEX(tProdutos[Foco],MATCH(tItens[[#This Row],[Produto]],tProdutos[Produto],0)),"Não")</f>
        <v>Não</v>
      </c>
      <c r="O3362" t="str">
        <f>IFERROR(INDEX(tEditais[SRP],MATCH(tItens[[#This Row],[Edital]],tEditais[Edital],0)),"Não")</f>
        <v>Sim</v>
      </c>
      <c r="P3362" s="4">
        <f>IF(COUNTIFS(INDEX(tItens[Edital],1):tItens[[#This Row],[Edital]],tItens[[#This Row],[Edital]],INDEX(tItens[Produto],1):tItens[[#This Row],[Produto]],tItens[[#This Row],[Produto]])=1,1,0)</f>
        <v>0</v>
      </c>
    </row>
    <row r="3363" spans="1:16" x14ac:dyDescent="0.25">
      <c r="A3363" t="s">
        <v>1439</v>
      </c>
      <c r="B3363">
        <v>8055650</v>
      </c>
      <c r="C3363" t="s">
        <v>6267</v>
      </c>
      <c r="D3363" t="s">
        <v>345</v>
      </c>
      <c r="E3363" s="13">
        <v>600</v>
      </c>
      <c r="F3363" s="12">
        <v>78.17</v>
      </c>
      <c r="G3363" t="str">
        <f>IFERROR(INDEX(tEditais[Órgão],MATCH(tItens[[#This Row],[Edital]],tEditais[Edital],0)),"")</f>
        <v>MUNICIPIO DE FRONTEIRA</v>
      </c>
      <c r="H3363" t="str">
        <f>IFERROR(INDEX(tEditais[UF],MATCH(tItens[[#This Row],[Edital]],tEditais[Edital],0)),"")</f>
        <v>MG</v>
      </c>
      <c r="I3363" s="11">
        <f>IFERROR(INDEX(tEditais[Encerramento],MATCH(tItens[[#This Row],[Edital]],tEditais[Edital],0)),"")</f>
        <v>46309.354166666664</v>
      </c>
      <c r="J3363" t="str">
        <f>IFERROR(INDEX(tProdutos[Classe],MATCH(tItens[[#This Row],[Produto]],tProdutos[Produto],0)),"produto não cadastrado")</f>
        <v>FORA</v>
      </c>
      <c r="K3363" s="12">
        <f>tItens[[#This Row],[Qtd]]*tItens[[#This Row],[Vlr unit]]</f>
        <v>46902</v>
      </c>
      <c r="L3363" s="6">
        <f>IFERROR(IF(INDEX(tProdutos[Desconto homologado],MATCH(tItens[[#This Row],[Produto]],tProdutos[Produto],0))="",DescontoPadrao,INDEX(tProdutos[Desconto homologado],MATCH(tItens[[#This Row],[Produto]],tProdutos[Produto],0))),DescontoPadrao)</f>
        <v>0.412394275616498</v>
      </c>
      <c r="M3363" s="12">
        <f>tItens[[#This Row],[Valor]]*(1-tItens[[#This Row],[Desconto]])</f>
        <v>27559.883685035013</v>
      </c>
      <c r="N3363" t="str">
        <f>IFERROR(INDEX(tProdutos[Foco],MATCH(tItens[[#This Row],[Produto]],tProdutos[Produto],0)),"Não")</f>
        <v>Não</v>
      </c>
      <c r="O3363" t="str">
        <f>IFERROR(INDEX(tEditais[SRP],MATCH(tItens[[#This Row],[Edital]],tEditais[Edital],0)),"Não")</f>
        <v>Sim</v>
      </c>
      <c r="P3363" s="4">
        <f>IF(COUNTIFS(INDEX(tItens[Edital],1):tItens[[#This Row],[Edital]],tItens[[#This Row],[Edital]],INDEX(tItens[Produto],1):tItens[[#This Row],[Produto]],tItens[[#This Row],[Produto]])=1,1,0)</f>
        <v>0</v>
      </c>
    </row>
    <row r="3364" spans="1:16" x14ac:dyDescent="0.25">
      <c r="A3364" t="s">
        <v>1444</v>
      </c>
      <c r="B3364">
        <v>6</v>
      </c>
      <c r="C3364" t="s">
        <v>6268</v>
      </c>
      <c r="D3364" t="s">
        <v>512</v>
      </c>
      <c r="E3364" s="13">
        <v>50</v>
      </c>
      <c r="F3364" s="12">
        <v>0</v>
      </c>
      <c r="G3364" t="str">
        <f>IFERROR(INDEX(tEditais[Órgão],MATCH(tItens[[#This Row],[Edital]],tEditais[Edital],0)),"")</f>
        <v>MUNICIPIO DE SANTA MARIA DO SUACUI</v>
      </c>
      <c r="H3364" t="str">
        <f>IFERROR(INDEX(tEditais[UF],MATCH(tItens[[#This Row],[Edital]],tEditais[Edital],0)),"")</f>
        <v>MG</v>
      </c>
      <c r="I3364" s="11">
        <f>IFERROR(INDEX(tEditais[Encerramento],MATCH(tItens[[#This Row],[Edital]],tEditais[Edital],0)),"")</f>
        <v>46309.354166666664</v>
      </c>
      <c r="J3364" t="str">
        <f>IFERROR(INDEX(tProdutos[Classe],MATCH(tItens[[#This Row],[Produto]],tProdutos[Produto],0)),"produto não cadastrado")</f>
        <v>FILA REBASE</v>
      </c>
      <c r="K3364" s="12">
        <f>tItens[[#This Row],[Qtd]]*tItens[[#This Row],[Vlr unit]]</f>
        <v>0</v>
      </c>
      <c r="L3364" s="6">
        <f>IFERROR(IF(INDEX(tProdutos[Desconto homologado],MATCH(tItens[[#This Row],[Produto]],tProdutos[Produto],0))="",DescontoPadrao,INDEX(tProdutos[Desconto homologado],MATCH(tItens[[#This Row],[Produto]],tProdutos[Produto],0))),DescontoPadrao)</f>
        <v>0.32579365079365102</v>
      </c>
      <c r="M3364" s="12">
        <f>tItens[[#This Row],[Valor]]*(1-tItens[[#This Row],[Desconto]])</f>
        <v>0</v>
      </c>
      <c r="N3364" t="str">
        <f>IFERROR(INDEX(tProdutos[Foco],MATCH(tItens[[#This Row],[Produto]],tProdutos[Produto],0)),"Não")</f>
        <v>Não</v>
      </c>
      <c r="O3364" t="str">
        <f>IFERROR(INDEX(tEditais[SRP],MATCH(tItens[[#This Row],[Edital]],tEditais[Edital],0)),"Não")</f>
        <v>Sim</v>
      </c>
      <c r="P3364" s="4">
        <f>IF(COUNTIFS(INDEX(tItens[Edital],1):tItens[[#This Row],[Edital]],tItens[[#This Row],[Edital]],INDEX(tItens[Produto],1):tItens[[#This Row],[Produto]],tItens[[#This Row],[Produto]])=1,1,0)</f>
        <v>1</v>
      </c>
    </row>
    <row r="3365" spans="1:16" x14ac:dyDescent="0.25">
      <c r="A3365" t="s">
        <v>1444</v>
      </c>
      <c r="B3365">
        <v>19</v>
      </c>
      <c r="C3365" t="s">
        <v>6269</v>
      </c>
      <c r="D3365" t="s">
        <v>455</v>
      </c>
      <c r="E3365" s="13">
        <v>20</v>
      </c>
      <c r="F3365" s="12">
        <v>0</v>
      </c>
      <c r="G3365" t="str">
        <f>IFERROR(INDEX(tEditais[Órgão],MATCH(tItens[[#This Row],[Edital]],tEditais[Edital],0)),"")</f>
        <v>MUNICIPIO DE SANTA MARIA DO SUACUI</v>
      </c>
      <c r="H3365" t="str">
        <f>IFERROR(INDEX(tEditais[UF],MATCH(tItens[[#This Row],[Edital]],tEditais[Edital],0)),"")</f>
        <v>MG</v>
      </c>
      <c r="I3365" s="11">
        <f>IFERROR(INDEX(tEditais[Encerramento],MATCH(tItens[[#This Row],[Edital]],tEditais[Edital],0)),"")</f>
        <v>46309.354166666664</v>
      </c>
      <c r="J3365" t="str">
        <f>IFERROR(INDEX(tProdutos[Classe],MATCH(tItens[[#This Row],[Produto]],tProdutos[Produto],0)),"produto não cadastrado")</f>
        <v>FILA REBASE</v>
      </c>
      <c r="K3365" s="12">
        <f>tItens[[#This Row],[Qtd]]*tItens[[#This Row],[Vlr unit]]</f>
        <v>0</v>
      </c>
      <c r="L3365" s="6">
        <f>IFERROR(IF(INDEX(tProdutos[Desconto homologado],MATCH(tItens[[#This Row],[Produto]],tProdutos[Produto],0))="",DescontoPadrao,INDEX(tProdutos[Desconto homologado],MATCH(tItens[[#This Row],[Produto]],tProdutos[Produto],0))),DescontoPadrao)</f>
        <v>0.29595946765523801</v>
      </c>
      <c r="M3365" s="12">
        <f>tItens[[#This Row],[Valor]]*(1-tItens[[#This Row],[Desconto]])</f>
        <v>0</v>
      </c>
      <c r="N3365" t="str">
        <f>IFERROR(INDEX(tProdutos[Foco],MATCH(tItens[[#This Row],[Produto]],tProdutos[Produto],0)),"Não")</f>
        <v>Não</v>
      </c>
      <c r="O3365" t="str">
        <f>IFERROR(INDEX(tEditais[SRP],MATCH(tItens[[#This Row],[Edital]],tEditais[Edital],0)),"Não")</f>
        <v>Sim</v>
      </c>
      <c r="P3365" s="4">
        <f>IF(COUNTIFS(INDEX(tItens[Edital],1):tItens[[#This Row],[Edital]],tItens[[#This Row],[Edital]],INDEX(tItens[Produto],1):tItens[[#This Row],[Produto]],tItens[[#This Row],[Produto]])=1,1,0)</f>
        <v>1</v>
      </c>
    </row>
    <row r="3366" spans="1:16" x14ac:dyDescent="0.25">
      <c r="A3366" t="s">
        <v>1444</v>
      </c>
      <c r="B3366">
        <v>58</v>
      </c>
      <c r="C3366" t="s">
        <v>6270</v>
      </c>
      <c r="D3366" t="s">
        <v>56</v>
      </c>
      <c r="E3366" s="13">
        <v>5</v>
      </c>
      <c r="F3366" s="12">
        <v>0</v>
      </c>
      <c r="G3366" t="str">
        <f>IFERROR(INDEX(tEditais[Órgão],MATCH(tItens[[#This Row],[Edital]],tEditais[Edital],0)),"")</f>
        <v>MUNICIPIO DE SANTA MARIA DO SUACUI</v>
      </c>
      <c r="H3366" t="str">
        <f>IFERROR(INDEX(tEditais[UF],MATCH(tItens[[#This Row],[Edital]],tEditais[Edital],0)),"")</f>
        <v>MG</v>
      </c>
      <c r="I3366" s="11">
        <f>IFERROR(INDEX(tEditais[Encerramento],MATCH(tItens[[#This Row],[Edital]],tEditais[Edital],0)),"")</f>
        <v>46309.354166666664</v>
      </c>
      <c r="J3366" t="str">
        <f>IFERROR(INDEX(tProdutos[Classe],MATCH(tItens[[#This Row],[Produto]],tProdutos[Produto],0)),"produto não cadastrado")</f>
        <v>NÚCLEO</v>
      </c>
      <c r="K3366" s="12">
        <f>tItens[[#This Row],[Qtd]]*tItens[[#This Row],[Vlr unit]]</f>
        <v>0</v>
      </c>
      <c r="L3366" s="6">
        <f>IFERROR(IF(INDEX(tProdutos[Desconto homologado],MATCH(tItens[[#This Row],[Produto]],tProdutos[Produto],0))="",DescontoPadrao,INDEX(tProdutos[Desconto homologado],MATCH(tItens[[#This Row],[Produto]],tProdutos[Produto],0))),DescontoPadrao)</f>
        <v>0.34</v>
      </c>
      <c r="M3366" s="12">
        <f>tItens[[#This Row],[Valor]]*(1-tItens[[#This Row],[Desconto]])</f>
        <v>0</v>
      </c>
      <c r="N3366" t="str">
        <f>IFERROR(INDEX(tProdutos[Foco],MATCH(tItens[[#This Row],[Produto]],tProdutos[Produto],0)),"Não")</f>
        <v>Sim</v>
      </c>
      <c r="O3366" t="str">
        <f>IFERROR(INDEX(tEditais[SRP],MATCH(tItens[[#This Row],[Edital]],tEditais[Edital],0)),"Não")</f>
        <v>Sim</v>
      </c>
      <c r="P3366" s="4">
        <f>IF(COUNTIFS(INDEX(tItens[Edital],1):tItens[[#This Row],[Edital]],tItens[[#This Row],[Edital]],INDEX(tItens[Produto],1):tItens[[#This Row],[Produto]],tItens[[#This Row],[Produto]])=1,1,0)</f>
        <v>1</v>
      </c>
    </row>
    <row r="3367" spans="1:16" x14ac:dyDescent="0.25">
      <c r="A3367" t="s">
        <v>1444</v>
      </c>
      <c r="B3367">
        <v>60</v>
      </c>
      <c r="C3367" t="s">
        <v>6271</v>
      </c>
      <c r="D3367" t="s">
        <v>494</v>
      </c>
      <c r="E3367" s="13">
        <v>100</v>
      </c>
      <c r="F3367" s="12">
        <v>0</v>
      </c>
      <c r="G3367" t="str">
        <f>IFERROR(INDEX(tEditais[Órgão],MATCH(tItens[[#This Row],[Edital]],tEditais[Edital],0)),"")</f>
        <v>MUNICIPIO DE SANTA MARIA DO SUACUI</v>
      </c>
      <c r="H3367" t="str">
        <f>IFERROR(INDEX(tEditais[UF],MATCH(tItens[[#This Row],[Edital]],tEditais[Edital],0)),"")</f>
        <v>MG</v>
      </c>
      <c r="I3367" s="11">
        <f>IFERROR(INDEX(tEditais[Encerramento],MATCH(tItens[[#This Row],[Edital]],tEditais[Edital],0)),"")</f>
        <v>46309.354166666664</v>
      </c>
      <c r="J3367" t="str">
        <f>IFERROR(INDEX(tProdutos[Classe],MATCH(tItens[[#This Row],[Produto]],tProdutos[Produto],0)),"produto não cadastrado")</f>
        <v>FILA REBASE</v>
      </c>
      <c r="K3367" s="12">
        <f>tItens[[#This Row],[Qtd]]*tItens[[#This Row],[Vlr unit]]</f>
        <v>0</v>
      </c>
      <c r="L3367" s="6">
        <f>IFERROR(IF(INDEX(tProdutos[Desconto homologado],MATCH(tItens[[#This Row],[Produto]],tProdutos[Produto],0))="",DescontoPadrao,INDEX(tProdutos[Desconto homologado],MATCH(tItens[[#This Row],[Produto]],tProdutos[Produto],0))),DescontoPadrao)</f>
        <v>0.253736324829619</v>
      </c>
      <c r="M3367" s="12">
        <f>tItens[[#This Row],[Valor]]*(1-tItens[[#This Row],[Desconto]])</f>
        <v>0</v>
      </c>
      <c r="N3367" t="str">
        <f>IFERROR(INDEX(tProdutos[Foco],MATCH(tItens[[#This Row],[Produto]],tProdutos[Produto],0)),"Não")</f>
        <v>Não</v>
      </c>
      <c r="O3367" t="str">
        <f>IFERROR(INDEX(tEditais[SRP],MATCH(tItens[[#This Row],[Edital]],tEditais[Edital],0)),"Não")</f>
        <v>Sim</v>
      </c>
      <c r="P3367" s="4">
        <f>IF(COUNTIFS(INDEX(tItens[Edital],1):tItens[[#This Row],[Edital]],tItens[[#This Row],[Edital]],INDEX(tItens[Produto],1):tItens[[#This Row],[Produto]],tItens[[#This Row],[Produto]])=1,1,0)</f>
        <v>1</v>
      </c>
    </row>
    <row r="3368" spans="1:16" x14ac:dyDescent="0.25">
      <c r="A3368" t="s">
        <v>1444</v>
      </c>
      <c r="B3368">
        <v>69</v>
      </c>
      <c r="C3368" t="s">
        <v>6272</v>
      </c>
      <c r="D3368" t="s">
        <v>578</v>
      </c>
      <c r="E3368" s="13">
        <v>10</v>
      </c>
      <c r="F3368" s="12">
        <v>0</v>
      </c>
      <c r="G3368" t="str">
        <f>IFERROR(INDEX(tEditais[Órgão],MATCH(tItens[[#This Row],[Edital]],tEditais[Edital],0)),"")</f>
        <v>MUNICIPIO DE SANTA MARIA DO SUACUI</v>
      </c>
      <c r="H3368" t="str">
        <f>IFERROR(INDEX(tEditais[UF],MATCH(tItens[[#This Row],[Edital]],tEditais[Edital],0)),"")</f>
        <v>MG</v>
      </c>
      <c r="I3368" s="11">
        <f>IFERROR(INDEX(tEditais[Encerramento],MATCH(tItens[[#This Row],[Edital]],tEditais[Edital],0)),"")</f>
        <v>46309.354166666664</v>
      </c>
      <c r="J3368" t="str">
        <f>IFERROR(INDEX(tProdutos[Classe],MATCH(tItens[[#This Row],[Produto]],tProdutos[Produto],0)),"produto não cadastrado")</f>
        <v>FILA REBASE</v>
      </c>
      <c r="K3368" s="12">
        <f>tItens[[#This Row],[Qtd]]*tItens[[#This Row],[Vlr unit]]</f>
        <v>0</v>
      </c>
      <c r="L3368" s="6">
        <f>IFERROR(IF(INDEX(tProdutos[Desconto homologado],MATCH(tItens[[#This Row],[Produto]],tProdutos[Produto],0))="",DescontoPadrao,INDEX(tProdutos[Desconto homologado],MATCH(tItens[[#This Row],[Produto]],tProdutos[Produto],0))),DescontoPadrao)</f>
        <v>0.36014625228519198</v>
      </c>
      <c r="M3368" s="12">
        <f>tItens[[#This Row],[Valor]]*(1-tItens[[#This Row],[Desconto]])</f>
        <v>0</v>
      </c>
      <c r="N3368" t="str">
        <f>IFERROR(INDEX(tProdutos[Foco],MATCH(tItens[[#This Row],[Produto]],tProdutos[Produto],0)),"Não")</f>
        <v>Não</v>
      </c>
      <c r="O3368" t="str">
        <f>IFERROR(INDEX(tEditais[SRP],MATCH(tItens[[#This Row],[Edital]],tEditais[Edital],0)),"Não")</f>
        <v>Sim</v>
      </c>
      <c r="P3368" s="4">
        <f>IF(COUNTIFS(INDEX(tItens[Edital],1):tItens[[#This Row],[Edital]],tItens[[#This Row],[Edital]],INDEX(tItens[Produto],1):tItens[[#This Row],[Produto]],tItens[[#This Row],[Produto]])=1,1,0)</f>
        <v>1</v>
      </c>
    </row>
    <row r="3369" spans="1:16" x14ac:dyDescent="0.25">
      <c r="A3369" t="s">
        <v>1449</v>
      </c>
      <c r="B3369">
        <v>3</v>
      </c>
      <c r="C3369" t="s">
        <v>6273</v>
      </c>
      <c r="D3369" t="s">
        <v>160</v>
      </c>
      <c r="E3369" s="13">
        <v>2950</v>
      </c>
      <c r="F3369" s="12">
        <v>9.2899999999999991</v>
      </c>
      <c r="G3369" t="str">
        <f>IFERROR(INDEX(tEditais[Órgão],MATCH(tItens[[#This Row],[Edital]],tEditais[Edital],0)),"")</f>
        <v>HOSPITAL MUNICIPAL DR GIL ALVES</v>
      </c>
      <c r="H3369" t="str">
        <f>IFERROR(INDEX(tEditais[UF],MATCH(tItens[[#This Row],[Edital]],tEditais[Edital],0)),"")</f>
        <v>MG</v>
      </c>
      <c r="I3369" s="11">
        <f>IFERROR(INDEX(tEditais[Encerramento],MATCH(tItens[[#This Row],[Edital]],tEditais[Edital],0)),"")</f>
        <v>46309.374305555553</v>
      </c>
      <c r="J3369" t="str">
        <f>IFERROR(INDEX(tProdutos[Classe],MATCH(tItens[[#This Row],[Produto]],tProdutos[Produto],0)),"produto não cadastrado")</f>
        <v>DISPUTADO</v>
      </c>
      <c r="K3369" s="12">
        <f>tItens[[#This Row],[Qtd]]*tItens[[#This Row],[Vlr unit]]</f>
        <v>27405.499999999996</v>
      </c>
      <c r="L3369" s="6">
        <f>IFERROR(IF(INDEX(tProdutos[Desconto homologado],MATCH(tItens[[#This Row],[Produto]],tProdutos[Produto],0))="",DescontoPadrao,INDEX(tProdutos[Desconto homologado],MATCH(tItens[[#This Row],[Produto]],tProdutos[Produto],0))),DescontoPadrao)</f>
        <v>0.28000000000000003</v>
      </c>
      <c r="M3369" s="12">
        <f>tItens[[#This Row],[Valor]]*(1-tItens[[#This Row],[Desconto]])</f>
        <v>19731.959999999995</v>
      </c>
      <c r="N3369" t="str">
        <f>IFERROR(INDEX(tProdutos[Foco],MATCH(tItens[[#This Row],[Produto]],tProdutos[Produto],0)),"Não")</f>
        <v>Sim</v>
      </c>
      <c r="O3369" t="str">
        <f>IFERROR(INDEX(tEditais[SRP],MATCH(tItens[[#This Row],[Edital]],tEditais[Edital],0)),"Não")</f>
        <v>Sim</v>
      </c>
      <c r="P3369" s="4">
        <f>IF(COUNTIFS(INDEX(tItens[Edital],1):tItens[[#This Row],[Edital]],tItens[[#This Row],[Edital]],INDEX(tItens[Produto],1):tItens[[#This Row],[Produto]],tItens[[#This Row],[Produto]])=1,1,0)</f>
        <v>1</v>
      </c>
    </row>
    <row r="3370" spans="1:16" x14ac:dyDescent="0.25">
      <c r="A3370" t="s">
        <v>1449</v>
      </c>
      <c r="B3370">
        <v>8</v>
      </c>
      <c r="C3370" t="s">
        <v>6274</v>
      </c>
      <c r="D3370" t="s">
        <v>142</v>
      </c>
      <c r="E3370" s="13">
        <v>1311</v>
      </c>
      <c r="F3370" s="12">
        <v>7.34</v>
      </c>
      <c r="G3370" t="str">
        <f>IFERROR(INDEX(tEditais[Órgão],MATCH(tItens[[#This Row],[Edital]],tEditais[Edital],0)),"")</f>
        <v>HOSPITAL MUNICIPAL DR GIL ALVES</v>
      </c>
      <c r="H3370" t="str">
        <f>IFERROR(INDEX(tEditais[UF],MATCH(tItens[[#This Row],[Edital]],tEditais[Edital],0)),"")</f>
        <v>MG</v>
      </c>
      <c r="I3370" s="11">
        <f>IFERROR(INDEX(tEditais[Encerramento],MATCH(tItens[[#This Row],[Edital]],tEditais[Edital],0)),"")</f>
        <v>46309.374305555553</v>
      </c>
      <c r="J3370" t="str">
        <f>IFERROR(INDEX(tProdutos[Classe],MATCH(tItens[[#This Row],[Produto]],tProdutos[Produto],0)),"produto não cadastrado")</f>
        <v>DISPUTADO</v>
      </c>
      <c r="K3370" s="12">
        <f>tItens[[#This Row],[Qtd]]*tItens[[#This Row],[Vlr unit]]</f>
        <v>9622.74</v>
      </c>
      <c r="L3370" s="6">
        <f>IFERROR(IF(INDEX(tProdutos[Desconto homologado],MATCH(tItens[[#This Row],[Produto]],tProdutos[Produto],0))="",DescontoPadrao,INDEX(tProdutos[Desconto homologado],MATCH(tItens[[#This Row],[Produto]],tProdutos[Produto],0))),DescontoPadrao)</f>
        <v>0.37093619495691699</v>
      </c>
      <c r="M3370" s="12">
        <f>tItens[[#This Row],[Valor]]*(1-tItens[[#This Row],[Desconto]])</f>
        <v>6053.3174393402769</v>
      </c>
      <c r="N3370" t="str">
        <f>IFERROR(INDEX(tProdutos[Foco],MATCH(tItens[[#This Row],[Produto]],tProdutos[Produto],0)),"Não")</f>
        <v>Não</v>
      </c>
      <c r="O3370" t="str">
        <f>IFERROR(INDEX(tEditais[SRP],MATCH(tItens[[#This Row],[Edital]],tEditais[Edital],0)),"Não")</f>
        <v>Sim</v>
      </c>
      <c r="P3370" s="4">
        <f>IF(COUNTIFS(INDEX(tItens[Edital],1):tItens[[#This Row],[Edital]],tItens[[#This Row],[Edital]],INDEX(tItens[Produto],1):tItens[[#This Row],[Produto]],tItens[[#This Row],[Produto]])=1,1,0)</f>
        <v>1</v>
      </c>
    </row>
    <row r="3371" spans="1:16" x14ac:dyDescent="0.25">
      <c r="A3371" t="s">
        <v>1454</v>
      </c>
      <c r="B3371">
        <v>2</v>
      </c>
      <c r="C3371" t="s">
        <v>6275</v>
      </c>
      <c r="D3371" t="s">
        <v>126</v>
      </c>
      <c r="E3371" s="13">
        <v>24</v>
      </c>
      <c r="F3371" s="12">
        <v>582.02</v>
      </c>
      <c r="G3371" t="str">
        <f>IFERROR(INDEX(tEditais[Órgão],MATCH(tItens[[#This Row],[Edital]],tEditais[Edital],0)),"")</f>
        <v>HOSPITAL MUNICIPAL DR GIL ALVES</v>
      </c>
      <c r="H3371" t="str">
        <f>IFERROR(INDEX(tEditais[UF],MATCH(tItens[[#This Row],[Edital]],tEditais[Edital],0)),"")</f>
        <v>MG</v>
      </c>
      <c r="I3371" s="11">
        <f>IFERROR(INDEX(tEditais[Encerramento],MATCH(tItens[[#This Row],[Edital]],tEditais[Edital],0)),"")</f>
        <v>46309.374305555553</v>
      </c>
      <c r="J3371" t="str">
        <f>IFERROR(INDEX(tProdutos[Classe],MATCH(tItens[[#This Row],[Produto]],tProdutos[Produto],0)),"produto não cadastrado")</f>
        <v>DISPUTADO</v>
      </c>
      <c r="K3371" s="12">
        <f>tItens[[#This Row],[Qtd]]*tItens[[#This Row],[Vlr unit]]</f>
        <v>13968.48</v>
      </c>
      <c r="L3371" s="6">
        <f>IFERROR(IF(INDEX(tProdutos[Desconto homologado],MATCH(tItens[[#This Row],[Produto]],tProdutos[Produto],0))="",DescontoPadrao,INDEX(tProdutos[Desconto homologado],MATCH(tItens[[#This Row],[Produto]],tProdutos[Produto],0))),DescontoPadrao)</f>
        <v>0.21</v>
      </c>
      <c r="M3371" s="12">
        <f>tItens[[#This Row],[Valor]]*(1-tItens[[#This Row],[Desconto]])</f>
        <v>11035.099200000001</v>
      </c>
      <c r="N3371" t="str">
        <f>IFERROR(INDEX(tProdutos[Foco],MATCH(tItens[[#This Row],[Produto]],tProdutos[Produto],0)),"Não")</f>
        <v>Sim</v>
      </c>
      <c r="O3371" t="str">
        <f>IFERROR(INDEX(tEditais[SRP],MATCH(tItens[[#This Row],[Edital]],tEditais[Edital],0)),"Não")</f>
        <v>Sim</v>
      </c>
      <c r="P3371" s="4">
        <f>IF(COUNTIFS(INDEX(tItens[Edital],1):tItens[[#This Row],[Edital]],tItens[[#This Row],[Edital]],INDEX(tItens[Produto],1):tItens[[#This Row],[Produto]],tItens[[#This Row],[Produto]])=1,1,0)</f>
        <v>1</v>
      </c>
    </row>
    <row r="3372" spans="1:16" x14ac:dyDescent="0.25">
      <c r="A3372" t="s">
        <v>1457</v>
      </c>
      <c r="B3372">
        <v>7</v>
      </c>
      <c r="C3372" t="s">
        <v>6276</v>
      </c>
      <c r="D3372" t="s">
        <v>339</v>
      </c>
      <c r="E3372" s="13">
        <v>160</v>
      </c>
      <c r="F3372" s="12">
        <v>92.66</v>
      </c>
      <c r="G3372" t="str">
        <f>IFERROR(INDEX(tEditais[Órgão],MATCH(tItens[[#This Row],[Edital]],tEditais[Edital],0)),"")</f>
        <v>MUNICIPIO DE CAREACU</v>
      </c>
      <c r="H3372" t="str">
        <f>IFERROR(INDEX(tEditais[UF],MATCH(tItens[[#This Row],[Edital]],tEditais[Edital],0)),"")</f>
        <v>MG</v>
      </c>
      <c r="I3372" s="11">
        <f>IFERROR(INDEX(tEditais[Encerramento],MATCH(tItens[[#This Row],[Edital]],tEditais[Edital],0)),"")</f>
        <v>46309.375</v>
      </c>
      <c r="J3372" t="str">
        <f>IFERROR(INDEX(tProdutos[Classe],MATCH(tItens[[#This Row],[Produto]],tProdutos[Produto],0)),"produto não cadastrado")</f>
        <v>FORA</v>
      </c>
      <c r="K3372" s="12">
        <f>tItens[[#This Row],[Qtd]]*tItens[[#This Row],[Vlr unit]]</f>
        <v>14825.599999999999</v>
      </c>
      <c r="L3372" s="6">
        <f>IFERROR(IF(INDEX(tProdutos[Desconto homologado],MATCH(tItens[[#This Row],[Produto]],tProdutos[Produto],0))="",DescontoPadrao,INDEX(tProdutos[Desconto homologado],MATCH(tItens[[#This Row],[Produto]],tProdutos[Produto],0))),DescontoPadrao)</f>
        <v>0.35388629091804102</v>
      </c>
      <c r="M3372" s="12">
        <f>tItens[[#This Row],[Valor]]*(1-tItens[[#This Row],[Desconto]])</f>
        <v>9579.0234053654895</v>
      </c>
      <c r="N3372" t="str">
        <f>IFERROR(INDEX(tProdutos[Foco],MATCH(tItens[[#This Row],[Produto]],tProdutos[Produto],0)),"Não")</f>
        <v>Não</v>
      </c>
      <c r="O3372" t="str">
        <f>IFERROR(INDEX(tEditais[SRP],MATCH(tItens[[#This Row],[Edital]],tEditais[Edital],0)),"Não")</f>
        <v>Não</v>
      </c>
      <c r="P3372" s="4">
        <f>IF(COUNTIFS(INDEX(tItens[Edital],1):tItens[[#This Row],[Edital]],tItens[[#This Row],[Edital]],INDEX(tItens[Produto],1):tItens[[#This Row],[Produto]],tItens[[#This Row],[Produto]])=1,1,0)</f>
        <v>1</v>
      </c>
    </row>
    <row r="3373" spans="1:16" x14ac:dyDescent="0.25">
      <c r="A3373" t="s">
        <v>1457</v>
      </c>
      <c r="B3373">
        <v>8</v>
      </c>
      <c r="C3373" t="s">
        <v>6277</v>
      </c>
      <c r="D3373" t="s">
        <v>341</v>
      </c>
      <c r="E3373" s="13">
        <v>4000</v>
      </c>
      <c r="F3373" s="12">
        <v>52.19</v>
      </c>
      <c r="G3373" t="str">
        <f>IFERROR(INDEX(tEditais[Órgão],MATCH(tItens[[#This Row],[Edital]],tEditais[Edital],0)),"")</f>
        <v>MUNICIPIO DE CAREACU</v>
      </c>
      <c r="H3373" t="str">
        <f>IFERROR(INDEX(tEditais[UF],MATCH(tItens[[#This Row],[Edital]],tEditais[Edital],0)),"")</f>
        <v>MG</v>
      </c>
      <c r="I3373" s="11">
        <f>IFERROR(INDEX(tEditais[Encerramento],MATCH(tItens[[#This Row],[Edital]],tEditais[Edital],0)),"")</f>
        <v>46309.375</v>
      </c>
      <c r="J3373" t="str">
        <f>IFERROR(INDEX(tProdutos[Classe],MATCH(tItens[[#This Row],[Produto]],tProdutos[Produto],0)),"produto não cadastrado")</f>
        <v>FORA</v>
      </c>
      <c r="K3373" s="12">
        <f>tItens[[#This Row],[Qtd]]*tItens[[#This Row],[Vlr unit]]</f>
        <v>208760</v>
      </c>
      <c r="L3373" s="6">
        <f>IFERROR(IF(INDEX(tProdutos[Desconto homologado],MATCH(tItens[[#This Row],[Produto]],tProdutos[Produto],0))="",DescontoPadrao,INDEX(tProdutos[Desconto homologado],MATCH(tItens[[#This Row],[Produto]],tProdutos[Produto],0))),DescontoPadrao)</f>
        <v>0.46918578497525898</v>
      </c>
      <c r="M3373" s="12">
        <f>tItens[[#This Row],[Valor]]*(1-tItens[[#This Row],[Desconto]])</f>
        <v>110812.77552856493</v>
      </c>
      <c r="N3373" t="str">
        <f>IFERROR(INDEX(tProdutos[Foco],MATCH(tItens[[#This Row],[Produto]],tProdutos[Produto],0)),"Não")</f>
        <v>Não</v>
      </c>
      <c r="O3373" t="str">
        <f>IFERROR(INDEX(tEditais[SRP],MATCH(tItens[[#This Row],[Edital]],tEditais[Edital],0)),"Não")</f>
        <v>Não</v>
      </c>
      <c r="P3373" s="4">
        <f>IF(COUNTIFS(INDEX(tItens[Edital],1):tItens[[#This Row],[Edital]],tItens[[#This Row],[Edital]],INDEX(tItens[Produto],1):tItens[[#This Row],[Produto]],tItens[[#This Row],[Produto]])=1,1,0)</f>
        <v>1</v>
      </c>
    </row>
    <row r="3374" spans="1:16" x14ac:dyDescent="0.25">
      <c r="A3374" t="s">
        <v>1461</v>
      </c>
      <c r="B3374">
        <v>7958535</v>
      </c>
      <c r="C3374" t="s">
        <v>6278</v>
      </c>
      <c r="D3374" t="s">
        <v>569</v>
      </c>
      <c r="E3374" s="13">
        <v>166</v>
      </c>
      <c r="F3374" s="12">
        <v>0</v>
      </c>
      <c r="G3374" t="str">
        <f>IFERROR(INDEX(tEditais[Órgão],MATCH(tItens[[#This Row],[Edital]],tEditais[Edital],0)),"")</f>
        <v>MUNICIPIO DE PERDIZES</v>
      </c>
      <c r="H3374" t="str">
        <f>IFERROR(INDEX(tEditais[UF],MATCH(tItens[[#This Row],[Edital]],tEditais[Edital],0)),"")</f>
        <v>MG</v>
      </c>
      <c r="I3374" s="11">
        <f>IFERROR(INDEX(tEditais[Encerramento],MATCH(tItens[[#This Row],[Edital]],tEditais[Edital],0)),"")</f>
        <v>46309.375</v>
      </c>
      <c r="J3374" t="str">
        <f>IFERROR(INDEX(tProdutos[Classe],MATCH(tItens[[#This Row],[Produto]],tProdutos[Produto],0)),"produto não cadastrado")</f>
        <v>FILA REBASE</v>
      </c>
      <c r="K3374" s="12">
        <f>tItens[[#This Row],[Qtd]]*tItens[[#This Row],[Vlr unit]]</f>
        <v>0</v>
      </c>
      <c r="L3374" s="6">
        <f>IFERROR(IF(INDEX(tProdutos[Desconto homologado],MATCH(tItens[[#This Row],[Produto]],tProdutos[Produto],0))="",DescontoPadrao,INDEX(tProdutos[Desconto homologado],MATCH(tItens[[#This Row],[Produto]],tProdutos[Produto],0))),DescontoPadrao)</f>
        <v>0.3</v>
      </c>
      <c r="M3374" s="12">
        <f>tItens[[#This Row],[Valor]]*(1-tItens[[#This Row],[Desconto]])</f>
        <v>0</v>
      </c>
      <c r="N3374" t="str">
        <f>IFERROR(INDEX(tProdutos[Foco],MATCH(tItens[[#This Row],[Produto]],tProdutos[Produto],0)),"Não")</f>
        <v>Não</v>
      </c>
      <c r="O3374" t="str">
        <f>IFERROR(INDEX(tEditais[SRP],MATCH(tItens[[#This Row],[Edital]],tEditais[Edital],0)),"Não")</f>
        <v>Não</v>
      </c>
      <c r="P3374" s="4">
        <f>IF(COUNTIFS(INDEX(tItens[Edital],1):tItens[[#This Row],[Edital]],tItens[[#This Row],[Edital]],INDEX(tItens[Produto],1):tItens[[#This Row],[Produto]],tItens[[#This Row],[Produto]])=1,1,0)</f>
        <v>1</v>
      </c>
    </row>
    <row r="3375" spans="1:16" x14ac:dyDescent="0.25">
      <c r="A3375" t="s">
        <v>1461</v>
      </c>
      <c r="B3375">
        <v>7958600</v>
      </c>
      <c r="C3375" t="s">
        <v>6279</v>
      </c>
      <c r="D3375" t="s">
        <v>569</v>
      </c>
      <c r="E3375" s="13">
        <v>25</v>
      </c>
      <c r="F3375" s="12">
        <v>0</v>
      </c>
      <c r="G3375" t="str">
        <f>IFERROR(INDEX(tEditais[Órgão],MATCH(tItens[[#This Row],[Edital]],tEditais[Edital],0)),"")</f>
        <v>MUNICIPIO DE PERDIZES</v>
      </c>
      <c r="H3375" t="str">
        <f>IFERROR(INDEX(tEditais[UF],MATCH(tItens[[#This Row],[Edital]],tEditais[Edital],0)),"")</f>
        <v>MG</v>
      </c>
      <c r="I3375" s="11">
        <f>IFERROR(INDEX(tEditais[Encerramento],MATCH(tItens[[#This Row],[Edital]],tEditais[Edital],0)),"")</f>
        <v>46309.375</v>
      </c>
      <c r="J3375" t="str">
        <f>IFERROR(INDEX(tProdutos[Classe],MATCH(tItens[[#This Row],[Produto]],tProdutos[Produto],0)),"produto não cadastrado")</f>
        <v>FILA REBASE</v>
      </c>
      <c r="K3375" s="12">
        <f>tItens[[#This Row],[Qtd]]*tItens[[#This Row],[Vlr unit]]</f>
        <v>0</v>
      </c>
      <c r="L3375" s="6">
        <f>IFERROR(IF(INDEX(tProdutos[Desconto homologado],MATCH(tItens[[#This Row],[Produto]],tProdutos[Produto],0))="",DescontoPadrao,INDEX(tProdutos[Desconto homologado],MATCH(tItens[[#This Row],[Produto]],tProdutos[Produto],0))),DescontoPadrao)</f>
        <v>0.3</v>
      </c>
      <c r="M3375" s="12">
        <f>tItens[[#This Row],[Valor]]*(1-tItens[[#This Row],[Desconto]])</f>
        <v>0</v>
      </c>
      <c r="N3375" t="str">
        <f>IFERROR(INDEX(tProdutos[Foco],MATCH(tItens[[#This Row],[Produto]],tProdutos[Produto],0)),"Não")</f>
        <v>Não</v>
      </c>
      <c r="O3375" t="str">
        <f>IFERROR(INDEX(tEditais[SRP],MATCH(tItens[[#This Row],[Edital]],tEditais[Edital],0)),"Não")</f>
        <v>Não</v>
      </c>
      <c r="P3375" s="4">
        <f>IF(COUNTIFS(INDEX(tItens[Edital],1):tItens[[#This Row],[Edital]],tItens[[#This Row],[Edital]],INDEX(tItens[Produto],1):tItens[[#This Row],[Produto]],tItens[[#This Row],[Produto]])=1,1,0)</f>
        <v>0</v>
      </c>
    </row>
    <row r="3376" spans="1:16" x14ac:dyDescent="0.25">
      <c r="A3376" t="s">
        <v>1461</v>
      </c>
      <c r="B3376">
        <v>7958601</v>
      </c>
      <c r="C3376" t="s">
        <v>6280</v>
      </c>
      <c r="D3376" t="s">
        <v>569</v>
      </c>
      <c r="E3376" s="13">
        <v>22</v>
      </c>
      <c r="F3376" s="12">
        <v>0</v>
      </c>
      <c r="G3376" t="str">
        <f>IFERROR(INDEX(tEditais[Órgão],MATCH(tItens[[#This Row],[Edital]],tEditais[Edital],0)),"")</f>
        <v>MUNICIPIO DE PERDIZES</v>
      </c>
      <c r="H3376" t="str">
        <f>IFERROR(INDEX(tEditais[UF],MATCH(tItens[[#This Row],[Edital]],tEditais[Edital],0)),"")</f>
        <v>MG</v>
      </c>
      <c r="I3376" s="11">
        <f>IFERROR(INDEX(tEditais[Encerramento],MATCH(tItens[[#This Row],[Edital]],tEditais[Edital],0)),"")</f>
        <v>46309.375</v>
      </c>
      <c r="J3376" t="str">
        <f>IFERROR(INDEX(tProdutos[Classe],MATCH(tItens[[#This Row],[Produto]],tProdutos[Produto],0)),"produto não cadastrado")</f>
        <v>FILA REBASE</v>
      </c>
      <c r="K3376" s="12">
        <f>tItens[[#This Row],[Qtd]]*tItens[[#This Row],[Vlr unit]]</f>
        <v>0</v>
      </c>
      <c r="L3376" s="6">
        <f>IFERROR(IF(INDEX(tProdutos[Desconto homologado],MATCH(tItens[[#This Row],[Produto]],tProdutos[Produto],0))="",DescontoPadrao,INDEX(tProdutos[Desconto homologado],MATCH(tItens[[#This Row],[Produto]],tProdutos[Produto],0))),DescontoPadrao)</f>
        <v>0.3</v>
      </c>
      <c r="M3376" s="12">
        <f>tItens[[#This Row],[Valor]]*(1-tItens[[#This Row],[Desconto]])</f>
        <v>0</v>
      </c>
      <c r="N3376" t="str">
        <f>IFERROR(INDEX(tProdutos[Foco],MATCH(tItens[[#This Row],[Produto]],tProdutos[Produto],0)),"Não")</f>
        <v>Não</v>
      </c>
      <c r="O3376" t="str">
        <f>IFERROR(INDEX(tEditais[SRP],MATCH(tItens[[#This Row],[Edital]],tEditais[Edital],0)),"Não")</f>
        <v>Não</v>
      </c>
      <c r="P3376" s="4">
        <f>IF(COUNTIFS(INDEX(tItens[Edital],1):tItens[[#This Row],[Edital]],tItens[[#This Row],[Edital]],INDEX(tItens[Produto],1):tItens[[#This Row],[Produto]],tItens[[#This Row],[Produto]])=1,1,0)</f>
        <v>0</v>
      </c>
    </row>
    <row r="3377" spans="1:16" x14ac:dyDescent="0.25">
      <c r="A3377" t="s">
        <v>1461</v>
      </c>
      <c r="B3377">
        <v>7958604</v>
      </c>
      <c r="C3377" t="s">
        <v>6281</v>
      </c>
      <c r="D3377" t="s">
        <v>569</v>
      </c>
      <c r="E3377" s="13">
        <v>35</v>
      </c>
      <c r="F3377" s="12">
        <v>0</v>
      </c>
      <c r="G3377" t="str">
        <f>IFERROR(INDEX(tEditais[Órgão],MATCH(tItens[[#This Row],[Edital]],tEditais[Edital],0)),"")</f>
        <v>MUNICIPIO DE PERDIZES</v>
      </c>
      <c r="H3377" t="str">
        <f>IFERROR(INDEX(tEditais[UF],MATCH(tItens[[#This Row],[Edital]],tEditais[Edital],0)),"")</f>
        <v>MG</v>
      </c>
      <c r="I3377" s="11">
        <f>IFERROR(INDEX(tEditais[Encerramento],MATCH(tItens[[#This Row],[Edital]],tEditais[Edital],0)),"")</f>
        <v>46309.375</v>
      </c>
      <c r="J3377" t="str">
        <f>IFERROR(INDEX(tProdutos[Classe],MATCH(tItens[[#This Row],[Produto]],tProdutos[Produto],0)),"produto não cadastrado")</f>
        <v>FILA REBASE</v>
      </c>
      <c r="K3377" s="12">
        <f>tItens[[#This Row],[Qtd]]*tItens[[#This Row],[Vlr unit]]</f>
        <v>0</v>
      </c>
      <c r="L3377" s="6">
        <f>IFERROR(IF(INDEX(tProdutos[Desconto homologado],MATCH(tItens[[#This Row],[Produto]],tProdutos[Produto],0))="",DescontoPadrao,INDEX(tProdutos[Desconto homologado],MATCH(tItens[[#This Row],[Produto]],tProdutos[Produto],0))),DescontoPadrao)</f>
        <v>0.3</v>
      </c>
      <c r="M3377" s="12">
        <f>tItens[[#This Row],[Valor]]*(1-tItens[[#This Row],[Desconto]])</f>
        <v>0</v>
      </c>
      <c r="N3377" t="str">
        <f>IFERROR(INDEX(tProdutos[Foco],MATCH(tItens[[#This Row],[Produto]],tProdutos[Produto],0)),"Não")</f>
        <v>Não</v>
      </c>
      <c r="O3377" t="str">
        <f>IFERROR(INDEX(tEditais[SRP],MATCH(tItens[[#This Row],[Edital]],tEditais[Edital],0)),"Não")</f>
        <v>Não</v>
      </c>
      <c r="P3377" s="4">
        <f>IF(COUNTIFS(INDEX(tItens[Edital],1):tItens[[#This Row],[Edital]],tItens[[#This Row],[Edital]],INDEX(tItens[Produto],1):tItens[[#This Row],[Produto]],tItens[[#This Row],[Produto]])=1,1,0)</f>
        <v>0</v>
      </c>
    </row>
    <row r="3378" spans="1:16" x14ac:dyDescent="0.25">
      <c r="A3378" t="s">
        <v>1461</v>
      </c>
      <c r="B3378">
        <v>8063410</v>
      </c>
      <c r="C3378" t="s">
        <v>6278</v>
      </c>
      <c r="D3378" t="s">
        <v>569</v>
      </c>
      <c r="E3378" s="13">
        <v>166</v>
      </c>
      <c r="F3378" s="12">
        <v>22.81</v>
      </c>
      <c r="G3378" t="str">
        <f>IFERROR(INDEX(tEditais[Órgão],MATCH(tItens[[#This Row],[Edital]],tEditais[Edital],0)),"")</f>
        <v>MUNICIPIO DE PERDIZES</v>
      </c>
      <c r="H3378" t="str">
        <f>IFERROR(INDEX(tEditais[UF],MATCH(tItens[[#This Row],[Edital]],tEditais[Edital],0)),"")</f>
        <v>MG</v>
      </c>
      <c r="I3378" s="11">
        <f>IFERROR(INDEX(tEditais[Encerramento],MATCH(tItens[[#This Row],[Edital]],tEditais[Edital],0)),"")</f>
        <v>46309.375</v>
      </c>
      <c r="J3378" t="str">
        <f>IFERROR(INDEX(tProdutos[Classe],MATCH(tItens[[#This Row],[Produto]],tProdutos[Produto],0)),"produto não cadastrado")</f>
        <v>FILA REBASE</v>
      </c>
      <c r="K3378" s="12">
        <f>tItens[[#This Row],[Qtd]]*tItens[[#This Row],[Vlr unit]]</f>
        <v>3786.4599999999996</v>
      </c>
      <c r="L3378" s="6">
        <f>IFERROR(IF(INDEX(tProdutos[Desconto homologado],MATCH(tItens[[#This Row],[Produto]],tProdutos[Produto],0))="",DescontoPadrao,INDEX(tProdutos[Desconto homologado],MATCH(tItens[[#This Row],[Produto]],tProdutos[Produto],0))),DescontoPadrao)</f>
        <v>0.3</v>
      </c>
      <c r="M3378" s="12">
        <f>tItens[[#This Row],[Valor]]*(1-tItens[[#This Row],[Desconto]])</f>
        <v>2650.5219999999995</v>
      </c>
      <c r="N3378" t="str">
        <f>IFERROR(INDEX(tProdutos[Foco],MATCH(tItens[[#This Row],[Produto]],tProdutos[Produto],0)),"Não")</f>
        <v>Não</v>
      </c>
      <c r="O3378" t="str">
        <f>IFERROR(INDEX(tEditais[SRP],MATCH(tItens[[#This Row],[Edital]],tEditais[Edital],0)),"Não")</f>
        <v>Não</v>
      </c>
      <c r="P3378" s="4">
        <f>IF(COUNTIFS(INDEX(tItens[Edital],1):tItens[[#This Row],[Edital]],tItens[[#This Row],[Edital]],INDEX(tItens[Produto],1):tItens[[#This Row],[Produto]],tItens[[#This Row],[Produto]])=1,1,0)</f>
        <v>0</v>
      </c>
    </row>
    <row r="3379" spans="1:16" x14ac:dyDescent="0.25">
      <c r="A3379" t="s">
        <v>1461</v>
      </c>
      <c r="B3379">
        <v>8063459</v>
      </c>
      <c r="C3379" t="s">
        <v>6282</v>
      </c>
      <c r="D3379" t="s">
        <v>323</v>
      </c>
      <c r="E3379" s="13">
        <v>135</v>
      </c>
      <c r="F3379" s="12">
        <v>53</v>
      </c>
      <c r="G3379" t="str">
        <f>IFERROR(INDEX(tEditais[Órgão],MATCH(tItens[[#This Row],[Edital]],tEditais[Edital],0)),"")</f>
        <v>MUNICIPIO DE PERDIZES</v>
      </c>
      <c r="H3379" t="str">
        <f>IFERROR(INDEX(tEditais[UF],MATCH(tItens[[#This Row],[Edital]],tEditais[Edital],0)),"")</f>
        <v>MG</v>
      </c>
      <c r="I3379" s="11">
        <f>IFERROR(INDEX(tEditais[Encerramento],MATCH(tItens[[#This Row],[Edital]],tEditais[Edital],0)),"")</f>
        <v>46309.375</v>
      </c>
      <c r="J3379" t="str">
        <f>IFERROR(INDEX(tProdutos[Classe],MATCH(tItens[[#This Row],[Produto]],tProdutos[Produto],0)),"produto não cadastrado")</f>
        <v>FORA</v>
      </c>
      <c r="K3379" s="12">
        <f>tItens[[#This Row],[Qtd]]*tItens[[#This Row],[Vlr unit]]</f>
        <v>7155</v>
      </c>
      <c r="L3379" s="6">
        <f>IFERROR(IF(INDEX(tProdutos[Desconto homologado],MATCH(tItens[[#This Row],[Produto]],tProdutos[Produto],0))="",DescontoPadrao,INDEX(tProdutos[Desconto homologado],MATCH(tItens[[#This Row],[Produto]],tProdutos[Produto],0))),DescontoPadrao)</f>
        <v>0.42242759676970199</v>
      </c>
      <c r="M3379" s="12">
        <f>tItens[[#This Row],[Valor]]*(1-tItens[[#This Row],[Desconto]])</f>
        <v>4132.5305451127824</v>
      </c>
      <c r="N3379" t="str">
        <f>IFERROR(INDEX(tProdutos[Foco],MATCH(tItens[[#This Row],[Produto]],tProdutos[Produto],0)),"Não")</f>
        <v>Não</v>
      </c>
      <c r="O3379" t="str">
        <f>IFERROR(INDEX(tEditais[SRP],MATCH(tItens[[#This Row],[Edital]],tEditais[Edital],0)),"Não")</f>
        <v>Não</v>
      </c>
      <c r="P3379" s="4">
        <f>IF(COUNTIFS(INDEX(tItens[Edital],1):tItens[[#This Row],[Edital]],tItens[[#This Row],[Edital]],INDEX(tItens[Produto],1):tItens[[#This Row],[Produto]],tItens[[#This Row],[Produto]])=1,1,0)</f>
        <v>1</v>
      </c>
    </row>
    <row r="3380" spans="1:16" x14ac:dyDescent="0.25">
      <c r="A3380" t="s">
        <v>1461</v>
      </c>
      <c r="B3380">
        <v>8063460</v>
      </c>
      <c r="C3380" t="s">
        <v>6283</v>
      </c>
      <c r="D3380" t="s">
        <v>323</v>
      </c>
      <c r="E3380" s="13">
        <v>150</v>
      </c>
      <c r="F3380" s="12">
        <v>70.12</v>
      </c>
      <c r="G3380" t="str">
        <f>IFERROR(INDEX(tEditais[Órgão],MATCH(tItens[[#This Row],[Edital]],tEditais[Edital],0)),"")</f>
        <v>MUNICIPIO DE PERDIZES</v>
      </c>
      <c r="H3380" t="str">
        <f>IFERROR(INDEX(tEditais[UF],MATCH(tItens[[#This Row],[Edital]],tEditais[Edital],0)),"")</f>
        <v>MG</v>
      </c>
      <c r="I3380" s="11">
        <f>IFERROR(INDEX(tEditais[Encerramento],MATCH(tItens[[#This Row],[Edital]],tEditais[Edital],0)),"")</f>
        <v>46309.375</v>
      </c>
      <c r="J3380" t="str">
        <f>IFERROR(INDEX(tProdutos[Classe],MATCH(tItens[[#This Row],[Produto]],tProdutos[Produto],0)),"produto não cadastrado")</f>
        <v>FORA</v>
      </c>
      <c r="K3380" s="12">
        <f>tItens[[#This Row],[Qtd]]*tItens[[#This Row],[Vlr unit]]</f>
        <v>10518</v>
      </c>
      <c r="L3380" s="6">
        <f>IFERROR(IF(INDEX(tProdutos[Desconto homologado],MATCH(tItens[[#This Row],[Produto]],tProdutos[Produto],0))="",DescontoPadrao,INDEX(tProdutos[Desconto homologado],MATCH(tItens[[#This Row],[Produto]],tProdutos[Produto],0))),DescontoPadrao)</f>
        <v>0.42242759676970199</v>
      </c>
      <c r="M3380" s="12">
        <f>tItens[[#This Row],[Valor]]*(1-tItens[[#This Row],[Desconto]])</f>
        <v>6074.9065371762745</v>
      </c>
      <c r="N3380" t="str">
        <f>IFERROR(INDEX(tProdutos[Foco],MATCH(tItens[[#This Row],[Produto]],tProdutos[Produto],0)),"Não")</f>
        <v>Não</v>
      </c>
      <c r="O3380" t="str">
        <f>IFERROR(INDEX(tEditais[SRP],MATCH(tItens[[#This Row],[Edital]],tEditais[Edital],0)),"Não")</f>
        <v>Não</v>
      </c>
      <c r="P3380" s="4">
        <f>IF(COUNTIFS(INDEX(tItens[Edital],1):tItens[[#This Row],[Edital]],tItens[[#This Row],[Edital]],INDEX(tItens[Produto],1):tItens[[#This Row],[Produto]],tItens[[#This Row],[Produto]])=1,1,0)</f>
        <v>0</v>
      </c>
    </row>
    <row r="3381" spans="1:16" x14ac:dyDescent="0.25">
      <c r="A3381" t="s">
        <v>1461</v>
      </c>
      <c r="B3381">
        <v>8063461</v>
      </c>
      <c r="C3381" t="s">
        <v>6284</v>
      </c>
      <c r="D3381" t="s">
        <v>323</v>
      </c>
      <c r="E3381" s="13">
        <v>180</v>
      </c>
      <c r="F3381" s="12">
        <v>57.47</v>
      </c>
      <c r="G3381" t="str">
        <f>IFERROR(INDEX(tEditais[Órgão],MATCH(tItens[[#This Row],[Edital]],tEditais[Edital],0)),"")</f>
        <v>MUNICIPIO DE PERDIZES</v>
      </c>
      <c r="H3381" t="str">
        <f>IFERROR(INDEX(tEditais[UF],MATCH(tItens[[#This Row],[Edital]],tEditais[Edital],0)),"")</f>
        <v>MG</v>
      </c>
      <c r="I3381" s="11">
        <f>IFERROR(INDEX(tEditais[Encerramento],MATCH(tItens[[#This Row],[Edital]],tEditais[Edital],0)),"")</f>
        <v>46309.375</v>
      </c>
      <c r="J3381" t="str">
        <f>IFERROR(INDEX(tProdutos[Classe],MATCH(tItens[[#This Row],[Produto]],tProdutos[Produto],0)),"produto não cadastrado")</f>
        <v>FORA</v>
      </c>
      <c r="K3381" s="12">
        <f>tItens[[#This Row],[Qtd]]*tItens[[#This Row],[Vlr unit]]</f>
        <v>10344.6</v>
      </c>
      <c r="L3381" s="6">
        <f>IFERROR(IF(INDEX(tProdutos[Desconto homologado],MATCH(tItens[[#This Row],[Produto]],tProdutos[Produto],0))="",DescontoPadrao,INDEX(tProdutos[Desconto homologado],MATCH(tItens[[#This Row],[Produto]],tProdutos[Produto],0))),DescontoPadrao)</f>
        <v>0.42242759676970199</v>
      </c>
      <c r="M3381" s="12">
        <f>tItens[[#This Row],[Valor]]*(1-tItens[[#This Row],[Desconto]])</f>
        <v>5974.7554824561412</v>
      </c>
      <c r="N3381" t="str">
        <f>IFERROR(INDEX(tProdutos[Foco],MATCH(tItens[[#This Row],[Produto]],tProdutos[Produto],0)),"Não")</f>
        <v>Não</v>
      </c>
      <c r="O3381" t="str">
        <f>IFERROR(INDEX(tEditais[SRP],MATCH(tItens[[#This Row],[Edital]],tEditais[Edital],0)),"Não")</f>
        <v>Não</v>
      </c>
      <c r="P3381" s="4">
        <f>IF(COUNTIFS(INDEX(tItens[Edital],1):tItens[[#This Row],[Edital]],tItens[[#This Row],[Edital]],INDEX(tItens[Produto],1):tItens[[#This Row],[Produto]],tItens[[#This Row],[Produto]])=1,1,0)</f>
        <v>0</v>
      </c>
    </row>
    <row r="3382" spans="1:16" x14ac:dyDescent="0.25">
      <c r="A3382" t="s">
        <v>1461</v>
      </c>
      <c r="B3382">
        <v>8063462</v>
      </c>
      <c r="C3382" t="s">
        <v>6285</v>
      </c>
      <c r="D3382" t="s">
        <v>323</v>
      </c>
      <c r="E3382" s="13">
        <v>170</v>
      </c>
      <c r="F3382" s="12">
        <v>108.98</v>
      </c>
      <c r="G3382" t="str">
        <f>IFERROR(INDEX(tEditais[Órgão],MATCH(tItens[[#This Row],[Edital]],tEditais[Edital],0)),"")</f>
        <v>MUNICIPIO DE PERDIZES</v>
      </c>
      <c r="H3382" t="str">
        <f>IFERROR(INDEX(tEditais[UF],MATCH(tItens[[#This Row],[Edital]],tEditais[Edital],0)),"")</f>
        <v>MG</v>
      </c>
      <c r="I3382" s="11">
        <f>IFERROR(INDEX(tEditais[Encerramento],MATCH(tItens[[#This Row],[Edital]],tEditais[Edital],0)),"")</f>
        <v>46309.375</v>
      </c>
      <c r="J3382" t="str">
        <f>IFERROR(INDEX(tProdutos[Classe],MATCH(tItens[[#This Row],[Produto]],tProdutos[Produto],0)),"produto não cadastrado")</f>
        <v>FORA</v>
      </c>
      <c r="K3382" s="12">
        <f>tItens[[#This Row],[Qtd]]*tItens[[#This Row],[Vlr unit]]</f>
        <v>18526.600000000002</v>
      </c>
      <c r="L3382" s="6">
        <f>IFERROR(IF(INDEX(tProdutos[Desconto homologado],MATCH(tItens[[#This Row],[Produto]],tProdutos[Produto],0))="",DescontoPadrao,INDEX(tProdutos[Desconto homologado],MATCH(tItens[[#This Row],[Produto]],tProdutos[Produto],0))),DescontoPadrao)</f>
        <v>0.42242759676970199</v>
      </c>
      <c r="M3382" s="12">
        <f>tItens[[#This Row],[Valor]]*(1-tItens[[#This Row],[Desconto]])</f>
        <v>10700.45288568644</v>
      </c>
      <c r="N3382" t="str">
        <f>IFERROR(INDEX(tProdutos[Foco],MATCH(tItens[[#This Row],[Produto]],tProdutos[Produto],0)),"Não")</f>
        <v>Não</v>
      </c>
      <c r="O3382" t="str">
        <f>IFERROR(INDEX(tEditais[SRP],MATCH(tItens[[#This Row],[Edital]],tEditais[Edital],0)),"Não")</f>
        <v>Não</v>
      </c>
      <c r="P3382" s="4">
        <f>IF(COUNTIFS(INDEX(tItens[Edital],1):tItens[[#This Row],[Edital]],tItens[[#This Row],[Edital]],INDEX(tItens[Produto],1):tItens[[#This Row],[Produto]],tItens[[#This Row],[Produto]])=1,1,0)</f>
        <v>0</v>
      </c>
    </row>
    <row r="3383" spans="1:16" x14ac:dyDescent="0.25">
      <c r="A3383" t="s">
        <v>1461</v>
      </c>
      <c r="B3383">
        <v>8063475</v>
      </c>
      <c r="C3383" t="s">
        <v>6279</v>
      </c>
      <c r="D3383" t="s">
        <v>569</v>
      </c>
      <c r="E3383" s="13">
        <v>25</v>
      </c>
      <c r="F3383" s="12">
        <v>23.85</v>
      </c>
      <c r="G3383" t="str">
        <f>IFERROR(INDEX(tEditais[Órgão],MATCH(tItens[[#This Row],[Edital]],tEditais[Edital],0)),"")</f>
        <v>MUNICIPIO DE PERDIZES</v>
      </c>
      <c r="H3383" t="str">
        <f>IFERROR(INDEX(tEditais[UF],MATCH(tItens[[#This Row],[Edital]],tEditais[Edital],0)),"")</f>
        <v>MG</v>
      </c>
      <c r="I3383" s="11">
        <f>IFERROR(INDEX(tEditais[Encerramento],MATCH(tItens[[#This Row],[Edital]],tEditais[Edital],0)),"")</f>
        <v>46309.375</v>
      </c>
      <c r="J3383" t="str">
        <f>IFERROR(INDEX(tProdutos[Classe],MATCH(tItens[[#This Row],[Produto]],tProdutos[Produto],0)),"produto não cadastrado")</f>
        <v>FILA REBASE</v>
      </c>
      <c r="K3383" s="12">
        <f>tItens[[#This Row],[Qtd]]*tItens[[#This Row],[Vlr unit]]</f>
        <v>596.25</v>
      </c>
      <c r="L3383" s="6">
        <f>IFERROR(IF(INDEX(tProdutos[Desconto homologado],MATCH(tItens[[#This Row],[Produto]],tProdutos[Produto],0))="",DescontoPadrao,INDEX(tProdutos[Desconto homologado],MATCH(tItens[[#This Row],[Produto]],tProdutos[Produto],0))),DescontoPadrao)</f>
        <v>0.3</v>
      </c>
      <c r="M3383" s="12">
        <f>tItens[[#This Row],[Valor]]*(1-tItens[[#This Row],[Desconto]])</f>
        <v>417.375</v>
      </c>
      <c r="N3383" t="str">
        <f>IFERROR(INDEX(tProdutos[Foco],MATCH(tItens[[#This Row],[Produto]],tProdutos[Produto],0)),"Não")</f>
        <v>Não</v>
      </c>
      <c r="O3383" t="str">
        <f>IFERROR(INDEX(tEditais[SRP],MATCH(tItens[[#This Row],[Edital]],tEditais[Edital],0)),"Não")</f>
        <v>Não</v>
      </c>
      <c r="P3383" s="4">
        <f>IF(COUNTIFS(INDEX(tItens[Edital],1):tItens[[#This Row],[Edital]],tItens[[#This Row],[Edital]],INDEX(tItens[Produto],1):tItens[[#This Row],[Produto]],tItens[[#This Row],[Produto]])=1,1,0)</f>
        <v>0</v>
      </c>
    </row>
    <row r="3384" spans="1:16" x14ac:dyDescent="0.25">
      <c r="A3384" t="s">
        <v>1461</v>
      </c>
      <c r="B3384">
        <v>8063476</v>
      </c>
      <c r="C3384" t="s">
        <v>6280</v>
      </c>
      <c r="D3384" t="s">
        <v>569</v>
      </c>
      <c r="E3384" s="13">
        <v>22</v>
      </c>
      <c r="F3384" s="12">
        <v>37</v>
      </c>
      <c r="G3384" t="str">
        <f>IFERROR(INDEX(tEditais[Órgão],MATCH(tItens[[#This Row],[Edital]],tEditais[Edital],0)),"")</f>
        <v>MUNICIPIO DE PERDIZES</v>
      </c>
      <c r="H3384" t="str">
        <f>IFERROR(INDEX(tEditais[UF],MATCH(tItens[[#This Row],[Edital]],tEditais[Edital],0)),"")</f>
        <v>MG</v>
      </c>
      <c r="I3384" s="11">
        <f>IFERROR(INDEX(tEditais[Encerramento],MATCH(tItens[[#This Row],[Edital]],tEditais[Edital],0)),"")</f>
        <v>46309.375</v>
      </c>
      <c r="J3384" t="str">
        <f>IFERROR(INDEX(tProdutos[Classe],MATCH(tItens[[#This Row],[Produto]],tProdutos[Produto],0)),"produto não cadastrado")</f>
        <v>FILA REBASE</v>
      </c>
      <c r="K3384" s="12">
        <f>tItens[[#This Row],[Qtd]]*tItens[[#This Row],[Vlr unit]]</f>
        <v>814</v>
      </c>
      <c r="L3384" s="6">
        <f>IFERROR(IF(INDEX(tProdutos[Desconto homologado],MATCH(tItens[[#This Row],[Produto]],tProdutos[Produto],0))="",DescontoPadrao,INDEX(tProdutos[Desconto homologado],MATCH(tItens[[#This Row],[Produto]],tProdutos[Produto],0))),DescontoPadrao)</f>
        <v>0.3</v>
      </c>
      <c r="M3384" s="12">
        <f>tItens[[#This Row],[Valor]]*(1-tItens[[#This Row],[Desconto]])</f>
        <v>569.79999999999995</v>
      </c>
      <c r="N3384" t="str">
        <f>IFERROR(INDEX(tProdutos[Foco],MATCH(tItens[[#This Row],[Produto]],tProdutos[Produto],0)),"Não")</f>
        <v>Não</v>
      </c>
      <c r="O3384" t="str">
        <f>IFERROR(INDEX(tEditais[SRP],MATCH(tItens[[#This Row],[Edital]],tEditais[Edital],0)),"Não")</f>
        <v>Não</v>
      </c>
      <c r="P3384" s="4">
        <f>IF(COUNTIFS(INDEX(tItens[Edital],1):tItens[[#This Row],[Edital]],tItens[[#This Row],[Edital]],INDEX(tItens[Produto],1):tItens[[#This Row],[Produto]],tItens[[#This Row],[Produto]])=1,1,0)</f>
        <v>0</v>
      </c>
    </row>
    <row r="3385" spans="1:16" x14ac:dyDescent="0.25">
      <c r="A3385" t="s">
        <v>1461</v>
      </c>
      <c r="B3385">
        <v>8063479</v>
      </c>
      <c r="C3385" t="s">
        <v>6281</v>
      </c>
      <c r="D3385" t="s">
        <v>569</v>
      </c>
      <c r="E3385" s="13">
        <v>35</v>
      </c>
      <c r="F3385" s="12">
        <v>14.48</v>
      </c>
      <c r="G3385" t="str">
        <f>IFERROR(INDEX(tEditais[Órgão],MATCH(tItens[[#This Row],[Edital]],tEditais[Edital],0)),"")</f>
        <v>MUNICIPIO DE PERDIZES</v>
      </c>
      <c r="H3385" t="str">
        <f>IFERROR(INDEX(tEditais[UF],MATCH(tItens[[#This Row],[Edital]],tEditais[Edital],0)),"")</f>
        <v>MG</v>
      </c>
      <c r="I3385" s="11">
        <f>IFERROR(INDEX(tEditais[Encerramento],MATCH(tItens[[#This Row],[Edital]],tEditais[Edital],0)),"")</f>
        <v>46309.375</v>
      </c>
      <c r="J3385" t="str">
        <f>IFERROR(INDEX(tProdutos[Classe],MATCH(tItens[[#This Row],[Produto]],tProdutos[Produto],0)),"produto não cadastrado")</f>
        <v>FILA REBASE</v>
      </c>
      <c r="K3385" s="12">
        <f>tItens[[#This Row],[Qtd]]*tItens[[#This Row],[Vlr unit]]</f>
        <v>506.8</v>
      </c>
      <c r="L3385" s="6">
        <f>IFERROR(IF(INDEX(tProdutos[Desconto homologado],MATCH(tItens[[#This Row],[Produto]],tProdutos[Produto],0))="",DescontoPadrao,INDEX(tProdutos[Desconto homologado],MATCH(tItens[[#This Row],[Produto]],tProdutos[Produto],0))),DescontoPadrao)</f>
        <v>0.3</v>
      </c>
      <c r="M3385" s="12">
        <f>tItens[[#This Row],[Valor]]*(1-tItens[[#This Row],[Desconto]])</f>
        <v>354.76</v>
      </c>
      <c r="N3385" t="str">
        <f>IFERROR(INDEX(tProdutos[Foco],MATCH(tItens[[#This Row],[Produto]],tProdutos[Produto],0)),"Não")</f>
        <v>Não</v>
      </c>
      <c r="O3385" t="str">
        <f>IFERROR(INDEX(tEditais[SRP],MATCH(tItens[[#This Row],[Edital]],tEditais[Edital],0)),"Não")</f>
        <v>Não</v>
      </c>
      <c r="P3385" s="4">
        <f>IF(COUNTIFS(INDEX(tItens[Edital],1):tItens[[#This Row],[Edital]],tItens[[#This Row],[Edital]],INDEX(tItens[Produto],1):tItens[[#This Row],[Produto]],tItens[[#This Row],[Produto]])=1,1,0)</f>
        <v>0</v>
      </c>
    </row>
    <row r="3386" spans="1:16" x14ac:dyDescent="0.25">
      <c r="A3386" t="s">
        <v>1466</v>
      </c>
      <c r="B3386">
        <v>12</v>
      </c>
      <c r="C3386" t="s">
        <v>6286</v>
      </c>
      <c r="D3386" t="s">
        <v>261</v>
      </c>
      <c r="E3386" s="13">
        <v>200</v>
      </c>
      <c r="F3386" s="12">
        <v>0</v>
      </c>
      <c r="G3386" t="str">
        <f>IFERROR(INDEX(tEditais[Órgão],MATCH(tItens[[#This Row],[Edital]],tEditais[Edital],0)),"")</f>
        <v>MUNICIPIO DE SAO JOAQUIM DE BICAS</v>
      </c>
      <c r="H3386" t="str">
        <f>IFERROR(INDEX(tEditais[UF],MATCH(tItens[[#This Row],[Edital]],tEditais[Edital],0)),"")</f>
        <v>MG</v>
      </c>
      <c r="I3386" s="11">
        <f>IFERROR(INDEX(tEditais[Encerramento],MATCH(tItens[[#This Row],[Edital]],tEditais[Edital],0)),"")</f>
        <v>46309.375</v>
      </c>
      <c r="J3386" t="str">
        <f>IFERROR(INDEX(tProdutos[Classe],MATCH(tItens[[#This Row],[Produto]],tProdutos[Produto],0)),"produto não cadastrado")</f>
        <v>FORA</v>
      </c>
      <c r="K3386" s="12">
        <f>tItens[[#This Row],[Qtd]]*tItens[[#This Row],[Vlr unit]]</f>
        <v>0</v>
      </c>
      <c r="L3386" s="6">
        <f>IFERROR(IF(INDEX(tProdutos[Desconto homologado],MATCH(tItens[[#This Row],[Produto]],tProdutos[Produto],0))="",DescontoPadrao,INDEX(tProdutos[Desconto homologado],MATCH(tItens[[#This Row],[Produto]],tProdutos[Produto],0))),DescontoPadrao)</f>
        <v>0.113924050632911</v>
      </c>
      <c r="M3386" s="12">
        <f>tItens[[#This Row],[Valor]]*(1-tItens[[#This Row],[Desconto]])</f>
        <v>0</v>
      </c>
      <c r="N3386" t="str">
        <f>IFERROR(INDEX(tProdutos[Foco],MATCH(tItens[[#This Row],[Produto]],tProdutos[Produto],0)),"Não")</f>
        <v>Não</v>
      </c>
      <c r="O3386" t="str">
        <f>IFERROR(INDEX(tEditais[SRP],MATCH(tItens[[#This Row],[Edital]],tEditais[Edital],0)),"Não")</f>
        <v>Sim</v>
      </c>
      <c r="P3386" s="4">
        <f>IF(COUNTIFS(INDEX(tItens[Edital],1):tItens[[#This Row],[Edital]],tItens[[#This Row],[Edital]],INDEX(tItens[Produto],1):tItens[[#This Row],[Produto]],tItens[[#This Row],[Produto]])=1,1,0)</f>
        <v>1</v>
      </c>
    </row>
    <row r="3387" spans="1:16" x14ac:dyDescent="0.25">
      <c r="A3387" t="s">
        <v>1470</v>
      </c>
      <c r="B3387">
        <v>8053142</v>
      </c>
      <c r="C3387" t="s">
        <v>6287</v>
      </c>
      <c r="D3387" t="s">
        <v>267</v>
      </c>
      <c r="E3387" s="13">
        <v>30</v>
      </c>
      <c r="F3387" s="12">
        <v>56.15</v>
      </c>
      <c r="G3387" t="str">
        <f>IFERROR(INDEX(tEditais[Órgão],MATCH(tItens[[#This Row],[Edital]],tEditais[Edital],0)),"")</f>
        <v>MUNICIPIO DE CARMO DO PARANAIBA</v>
      </c>
      <c r="H3387" t="str">
        <f>IFERROR(INDEX(tEditais[UF],MATCH(tItens[[#This Row],[Edital]],tEditais[Edital],0)),"")</f>
        <v>MG</v>
      </c>
      <c r="I3387" s="11">
        <f>IFERROR(INDEX(tEditais[Encerramento],MATCH(tItens[[#This Row],[Edital]],tEditais[Edital],0)),"")</f>
        <v>46309.375</v>
      </c>
      <c r="J3387" t="str">
        <f>IFERROR(INDEX(tProdutos[Classe],MATCH(tItens[[#This Row],[Produto]],tProdutos[Produto],0)),"produto não cadastrado")</f>
        <v>FORA</v>
      </c>
      <c r="K3387" s="12">
        <f>tItens[[#This Row],[Qtd]]*tItens[[#This Row],[Vlr unit]]</f>
        <v>1684.5</v>
      </c>
      <c r="L3387" s="6">
        <f>IFERROR(IF(INDEX(tProdutos[Desconto homologado],MATCH(tItens[[#This Row],[Produto]],tProdutos[Produto],0))="",DescontoPadrao,INDEX(tProdutos[Desconto homologado],MATCH(tItens[[#This Row],[Produto]],tProdutos[Produto],0))),DescontoPadrao)</f>
        <v>0.19963672657401599</v>
      </c>
      <c r="M3387" s="12">
        <f>tItens[[#This Row],[Valor]]*(1-tItens[[#This Row],[Desconto]])</f>
        <v>1348.21193408607</v>
      </c>
      <c r="N3387" t="str">
        <f>IFERROR(INDEX(tProdutos[Foco],MATCH(tItens[[#This Row],[Produto]],tProdutos[Produto],0)),"Não")</f>
        <v>Não</v>
      </c>
      <c r="O3387" t="str">
        <f>IFERROR(INDEX(tEditais[SRP],MATCH(tItens[[#This Row],[Edital]],tEditais[Edital],0)),"Não")</f>
        <v>Sim</v>
      </c>
      <c r="P3387" s="4">
        <f>IF(COUNTIFS(INDEX(tItens[Edital],1):tItens[[#This Row],[Edital]],tItens[[#This Row],[Edital]],INDEX(tItens[Produto],1):tItens[[#This Row],[Produto]],tItens[[#This Row],[Produto]])=1,1,0)</f>
        <v>1</v>
      </c>
    </row>
    <row r="3388" spans="1:16" x14ac:dyDescent="0.25">
      <c r="A3388" t="s">
        <v>1470</v>
      </c>
      <c r="B3388">
        <v>8053143</v>
      </c>
      <c r="C3388" t="s">
        <v>6288</v>
      </c>
      <c r="D3388" t="s">
        <v>267</v>
      </c>
      <c r="E3388" s="13">
        <v>700</v>
      </c>
      <c r="F3388" s="12">
        <v>33.32</v>
      </c>
      <c r="G3388" t="str">
        <f>IFERROR(INDEX(tEditais[Órgão],MATCH(tItens[[#This Row],[Edital]],tEditais[Edital],0)),"")</f>
        <v>MUNICIPIO DE CARMO DO PARANAIBA</v>
      </c>
      <c r="H3388" t="str">
        <f>IFERROR(INDEX(tEditais[UF],MATCH(tItens[[#This Row],[Edital]],tEditais[Edital],0)),"")</f>
        <v>MG</v>
      </c>
      <c r="I3388" s="11">
        <f>IFERROR(INDEX(tEditais[Encerramento],MATCH(tItens[[#This Row],[Edital]],tEditais[Edital],0)),"")</f>
        <v>46309.375</v>
      </c>
      <c r="J3388" t="str">
        <f>IFERROR(INDEX(tProdutos[Classe],MATCH(tItens[[#This Row],[Produto]],tProdutos[Produto],0)),"produto não cadastrado")</f>
        <v>FORA</v>
      </c>
      <c r="K3388" s="12">
        <f>tItens[[#This Row],[Qtd]]*tItens[[#This Row],[Vlr unit]]</f>
        <v>23324</v>
      </c>
      <c r="L3388" s="6">
        <f>IFERROR(IF(INDEX(tProdutos[Desconto homologado],MATCH(tItens[[#This Row],[Produto]],tProdutos[Produto],0))="",DescontoPadrao,INDEX(tProdutos[Desconto homologado],MATCH(tItens[[#This Row],[Produto]],tProdutos[Produto],0))),DescontoPadrao)</f>
        <v>0.19963672657401599</v>
      </c>
      <c r="M3388" s="12">
        <f>tItens[[#This Row],[Valor]]*(1-tItens[[#This Row],[Desconto]])</f>
        <v>18667.672989387651</v>
      </c>
      <c r="N3388" t="str">
        <f>IFERROR(INDEX(tProdutos[Foco],MATCH(tItens[[#This Row],[Produto]],tProdutos[Produto],0)),"Não")</f>
        <v>Não</v>
      </c>
      <c r="O3388" t="str">
        <f>IFERROR(INDEX(tEditais[SRP],MATCH(tItens[[#This Row],[Edital]],tEditais[Edital],0)),"Não")</f>
        <v>Sim</v>
      </c>
      <c r="P3388" s="4">
        <f>IF(COUNTIFS(INDEX(tItens[Edital],1):tItens[[#This Row],[Edital]],tItens[[#This Row],[Edital]],INDEX(tItens[Produto],1):tItens[[#This Row],[Produto]],tItens[[#This Row],[Produto]])=1,1,0)</f>
        <v>0</v>
      </c>
    </row>
    <row r="3389" spans="1:16" x14ac:dyDescent="0.25">
      <c r="A3389" t="s">
        <v>1475</v>
      </c>
      <c r="B3389">
        <v>343</v>
      </c>
      <c r="C3389" t="s">
        <v>6289</v>
      </c>
      <c r="D3389" t="s">
        <v>275</v>
      </c>
      <c r="E3389" s="13">
        <v>10000</v>
      </c>
      <c r="F3389" s="12">
        <v>2.14</v>
      </c>
      <c r="G3389" t="str">
        <f>IFERROR(INDEX(tEditais[Órgão],MATCH(tItens[[#This Row],[Edital]],tEditais[Edital],0)),"")</f>
        <v>MUNICIPIO DE LUISBURGO</v>
      </c>
      <c r="H3389" t="str">
        <f>IFERROR(INDEX(tEditais[UF],MATCH(tItens[[#This Row],[Edital]],tEditais[Edital],0)),"")</f>
        <v>MG</v>
      </c>
      <c r="I3389" s="11">
        <f>IFERROR(INDEX(tEditais[Encerramento],MATCH(tItens[[#This Row],[Edital]],tEditais[Edital],0)),"")</f>
        <v>46309.375</v>
      </c>
      <c r="J3389" t="str">
        <f>IFERROR(INDEX(tProdutos[Classe],MATCH(tItens[[#This Row],[Produto]],tProdutos[Produto],0)),"produto não cadastrado")</f>
        <v>FORA</v>
      </c>
      <c r="K3389" s="12">
        <f>tItens[[#This Row],[Qtd]]*tItens[[#This Row],[Vlr unit]]</f>
        <v>21400</v>
      </c>
      <c r="L3389" s="6">
        <f>IFERROR(IF(INDEX(tProdutos[Desconto homologado],MATCH(tItens[[#This Row],[Produto]],tProdutos[Produto],0))="",DescontoPadrao,INDEX(tProdutos[Desconto homologado],MATCH(tItens[[#This Row],[Produto]],tProdutos[Produto],0))),DescontoPadrao)</f>
        <v>0.405797101449275</v>
      </c>
      <c r="M3389" s="12">
        <f>tItens[[#This Row],[Valor]]*(1-tItens[[#This Row],[Desconto]])</f>
        <v>12715.942028985517</v>
      </c>
      <c r="N3389" t="str">
        <f>IFERROR(INDEX(tProdutos[Foco],MATCH(tItens[[#This Row],[Produto]],tProdutos[Produto],0)),"Não")</f>
        <v>Não</v>
      </c>
      <c r="O3389" t="str">
        <f>IFERROR(INDEX(tEditais[SRP],MATCH(tItens[[#This Row],[Edital]],tEditais[Edital],0)),"Não")</f>
        <v>Sim</v>
      </c>
      <c r="P3389" s="4">
        <f>IF(COUNTIFS(INDEX(tItens[Edital],1):tItens[[#This Row],[Edital]],tItens[[#This Row],[Edital]],INDEX(tItens[Produto],1):tItens[[#This Row],[Produto]],tItens[[#This Row],[Produto]])=1,1,0)</f>
        <v>1</v>
      </c>
    </row>
    <row r="3390" spans="1:16" x14ac:dyDescent="0.25">
      <c r="A3390" t="s">
        <v>1478</v>
      </c>
      <c r="B3390">
        <v>12</v>
      </c>
      <c r="C3390" t="s">
        <v>6290</v>
      </c>
      <c r="D3390" t="s">
        <v>261</v>
      </c>
      <c r="E3390" s="13">
        <v>200</v>
      </c>
      <c r="F3390" s="12">
        <v>5.42</v>
      </c>
      <c r="G3390" t="str">
        <f>IFERROR(INDEX(tEditais[Órgão],MATCH(tItens[[#This Row],[Edital]],tEditais[Edital],0)),"")</f>
        <v>MUNICIPIO DE SAO JOAQUIM DE BICAS</v>
      </c>
      <c r="H3390" t="str">
        <f>IFERROR(INDEX(tEditais[UF],MATCH(tItens[[#This Row],[Edital]],tEditais[Edital],0)),"")</f>
        <v>MG</v>
      </c>
      <c r="I3390" s="11">
        <f>IFERROR(INDEX(tEditais[Encerramento],MATCH(tItens[[#This Row],[Edital]],tEditais[Edital],0)),"")</f>
        <v>46309.395833333336</v>
      </c>
      <c r="J3390" t="str">
        <f>IFERROR(INDEX(tProdutos[Classe],MATCH(tItens[[#This Row],[Produto]],tProdutos[Produto],0)),"produto não cadastrado")</f>
        <v>FORA</v>
      </c>
      <c r="K3390" s="12">
        <f>tItens[[#This Row],[Qtd]]*tItens[[#This Row],[Vlr unit]]</f>
        <v>1084</v>
      </c>
      <c r="L3390" s="6">
        <f>IFERROR(IF(INDEX(tProdutos[Desconto homologado],MATCH(tItens[[#This Row],[Produto]],tProdutos[Produto],0))="",DescontoPadrao,INDEX(tProdutos[Desconto homologado],MATCH(tItens[[#This Row],[Produto]],tProdutos[Produto],0))),DescontoPadrao)</f>
        <v>0.113924050632911</v>
      </c>
      <c r="M3390" s="12">
        <f>tItens[[#This Row],[Valor]]*(1-tItens[[#This Row],[Desconto]])</f>
        <v>960.50632911392449</v>
      </c>
      <c r="N3390" t="str">
        <f>IFERROR(INDEX(tProdutos[Foco],MATCH(tItens[[#This Row],[Produto]],tProdutos[Produto],0)),"Não")</f>
        <v>Não</v>
      </c>
      <c r="O3390" t="str">
        <f>IFERROR(INDEX(tEditais[SRP],MATCH(tItens[[#This Row],[Edital]],tEditais[Edital],0)),"Não")</f>
        <v>Sim</v>
      </c>
      <c r="P3390" s="4">
        <f>IF(COUNTIFS(INDEX(tItens[Edital],1):tItens[[#This Row],[Edital]],tItens[[#This Row],[Edital]],INDEX(tItens[Produto],1):tItens[[#This Row],[Produto]],tItens[[#This Row],[Produto]])=1,1,0)</f>
        <v>1</v>
      </c>
    </row>
    <row r="3391" spans="1:16" x14ac:dyDescent="0.25">
      <c r="A3391" t="s">
        <v>1479</v>
      </c>
      <c r="B3391">
        <v>10</v>
      </c>
      <c r="C3391" t="s">
        <v>4114</v>
      </c>
      <c r="D3391" t="s">
        <v>347</v>
      </c>
      <c r="E3391" s="13">
        <v>585</v>
      </c>
      <c r="F3391" s="12">
        <v>0</v>
      </c>
      <c r="G3391" t="str">
        <f>IFERROR(INDEX(tEditais[Órgão],MATCH(tItens[[#This Row],[Edital]],tEditais[Edital],0)),"")</f>
        <v>EMPRESA BRASILEIRA DE SERVICOS HOSPITALARES - EBSERH</v>
      </c>
      <c r="H3391" t="str">
        <f>IFERROR(INDEX(tEditais[UF],MATCH(tItens[[#This Row],[Edital]],tEditais[Edital],0)),"")</f>
        <v>MG</v>
      </c>
      <c r="I3391" s="11">
        <f>IFERROR(INDEX(tEditais[Encerramento],MATCH(tItens[[#This Row],[Edital]],tEditais[Edital],0)),"")</f>
        <v>46309.416666666664</v>
      </c>
      <c r="J3391" t="str">
        <f>IFERROR(INDEX(tProdutos[Classe],MATCH(tItens[[#This Row],[Produto]],tProdutos[Produto],0)),"produto não cadastrado")</f>
        <v>FORA</v>
      </c>
      <c r="K3391" s="12">
        <f>tItens[[#This Row],[Qtd]]*tItens[[#This Row],[Vlr unit]]</f>
        <v>0</v>
      </c>
      <c r="L3391" s="6">
        <f>IFERROR(IF(INDEX(tProdutos[Desconto homologado],MATCH(tItens[[#This Row],[Produto]],tProdutos[Produto],0))="",DescontoPadrao,INDEX(tProdutos[Desconto homologado],MATCH(tItens[[#This Row],[Produto]],tProdutos[Produto],0))),DescontoPadrao)</f>
        <v>0.26356465005931201</v>
      </c>
      <c r="M3391" s="12">
        <f>tItens[[#This Row],[Valor]]*(1-tItens[[#This Row],[Desconto]])</f>
        <v>0</v>
      </c>
      <c r="N3391" t="str">
        <f>IFERROR(INDEX(tProdutos[Foco],MATCH(tItens[[#This Row],[Produto]],tProdutos[Produto],0)),"Não")</f>
        <v>Não</v>
      </c>
      <c r="O3391" t="str">
        <f>IFERROR(INDEX(tEditais[SRP],MATCH(tItens[[#This Row],[Edital]],tEditais[Edital],0)),"Não")</f>
        <v>Sim</v>
      </c>
      <c r="P3391" s="4">
        <f>IF(COUNTIFS(INDEX(tItens[Edital],1):tItens[[#This Row],[Edital]],tItens[[#This Row],[Edital]],INDEX(tItens[Produto],1):tItens[[#This Row],[Produto]],tItens[[#This Row],[Produto]])=1,1,0)</f>
        <v>1</v>
      </c>
    </row>
    <row r="3392" spans="1:16" x14ac:dyDescent="0.25">
      <c r="A3392" t="s">
        <v>1479</v>
      </c>
      <c r="B3392">
        <v>11</v>
      </c>
      <c r="C3392" t="s">
        <v>5887</v>
      </c>
      <c r="D3392" t="s">
        <v>347</v>
      </c>
      <c r="E3392" s="13">
        <v>390</v>
      </c>
      <c r="F3392" s="12">
        <v>0</v>
      </c>
      <c r="G3392" t="str">
        <f>IFERROR(INDEX(tEditais[Órgão],MATCH(tItens[[#This Row],[Edital]],tEditais[Edital],0)),"")</f>
        <v>EMPRESA BRASILEIRA DE SERVICOS HOSPITALARES - EBSERH</v>
      </c>
      <c r="H3392" t="str">
        <f>IFERROR(INDEX(tEditais[UF],MATCH(tItens[[#This Row],[Edital]],tEditais[Edital],0)),"")</f>
        <v>MG</v>
      </c>
      <c r="I3392" s="11">
        <f>IFERROR(INDEX(tEditais[Encerramento],MATCH(tItens[[#This Row],[Edital]],tEditais[Edital],0)),"")</f>
        <v>46309.416666666664</v>
      </c>
      <c r="J3392" t="str">
        <f>IFERROR(INDEX(tProdutos[Classe],MATCH(tItens[[#This Row],[Produto]],tProdutos[Produto],0)),"produto não cadastrado")</f>
        <v>FORA</v>
      </c>
      <c r="K3392" s="12">
        <f>tItens[[#This Row],[Qtd]]*tItens[[#This Row],[Vlr unit]]</f>
        <v>0</v>
      </c>
      <c r="L3392" s="6">
        <f>IFERROR(IF(INDEX(tProdutos[Desconto homologado],MATCH(tItens[[#This Row],[Produto]],tProdutos[Produto],0))="",DescontoPadrao,INDEX(tProdutos[Desconto homologado],MATCH(tItens[[#This Row],[Produto]],tProdutos[Produto],0))),DescontoPadrao)</f>
        <v>0.26356465005931201</v>
      </c>
      <c r="M3392" s="12">
        <f>tItens[[#This Row],[Valor]]*(1-tItens[[#This Row],[Desconto]])</f>
        <v>0</v>
      </c>
      <c r="N3392" t="str">
        <f>IFERROR(INDEX(tProdutos[Foco],MATCH(tItens[[#This Row],[Produto]],tProdutos[Produto],0)),"Não")</f>
        <v>Não</v>
      </c>
      <c r="O3392" t="str">
        <f>IFERROR(INDEX(tEditais[SRP],MATCH(tItens[[#This Row],[Edital]],tEditais[Edital],0)),"Não")</f>
        <v>Sim</v>
      </c>
      <c r="P3392" s="4">
        <f>IF(COUNTIFS(INDEX(tItens[Edital],1):tItens[[#This Row],[Edital]],tItens[[#This Row],[Edital]],INDEX(tItens[Produto],1):tItens[[#This Row],[Produto]],tItens[[#This Row],[Produto]])=1,1,0)</f>
        <v>0</v>
      </c>
    </row>
    <row r="3393" spans="1:16" x14ac:dyDescent="0.25">
      <c r="A3393" t="s">
        <v>1479</v>
      </c>
      <c r="B3393">
        <v>12</v>
      </c>
      <c r="C3393" t="s">
        <v>6291</v>
      </c>
      <c r="D3393" t="s">
        <v>347</v>
      </c>
      <c r="E3393" s="13">
        <v>260</v>
      </c>
      <c r="F3393" s="12">
        <v>0</v>
      </c>
      <c r="G3393" t="str">
        <f>IFERROR(INDEX(tEditais[Órgão],MATCH(tItens[[#This Row],[Edital]],tEditais[Edital],0)),"")</f>
        <v>EMPRESA BRASILEIRA DE SERVICOS HOSPITALARES - EBSERH</v>
      </c>
      <c r="H3393" t="str">
        <f>IFERROR(INDEX(tEditais[UF],MATCH(tItens[[#This Row],[Edital]],tEditais[Edital],0)),"")</f>
        <v>MG</v>
      </c>
      <c r="I3393" s="11">
        <f>IFERROR(INDEX(tEditais[Encerramento],MATCH(tItens[[#This Row],[Edital]],tEditais[Edital],0)),"")</f>
        <v>46309.416666666664</v>
      </c>
      <c r="J3393" t="str">
        <f>IFERROR(INDEX(tProdutos[Classe],MATCH(tItens[[#This Row],[Produto]],tProdutos[Produto],0)),"produto não cadastrado")</f>
        <v>FORA</v>
      </c>
      <c r="K3393" s="12">
        <f>tItens[[#This Row],[Qtd]]*tItens[[#This Row],[Vlr unit]]</f>
        <v>0</v>
      </c>
      <c r="L3393" s="6">
        <f>IFERROR(IF(INDEX(tProdutos[Desconto homologado],MATCH(tItens[[#This Row],[Produto]],tProdutos[Produto],0))="",DescontoPadrao,INDEX(tProdutos[Desconto homologado],MATCH(tItens[[#This Row],[Produto]],tProdutos[Produto],0))),DescontoPadrao)</f>
        <v>0.26356465005931201</v>
      </c>
      <c r="M3393" s="12">
        <f>tItens[[#This Row],[Valor]]*(1-tItens[[#This Row],[Desconto]])</f>
        <v>0</v>
      </c>
      <c r="N3393" t="str">
        <f>IFERROR(INDEX(tProdutos[Foco],MATCH(tItens[[#This Row],[Produto]],tProdutos[Produto],0)),"Não")</f>
        <v>Não</v>
      </c>
      <c r="O3393" t="str">
        <f>IFERROR(INDEX(tEditais[SRP],MATCH(tItens[[#This Row],[Edital]],tEditais[Edital],0)),"Não")</f>
        <v>Sim</v>
      </c>
      <c r="P3393" s="4">
        <f>IF(COUNTIFS(INDEX(tItens[Edital],1):tItens[[#This Row],[Edital]],tItens[[#This Row],[Edital]],INDEX(tItens[Produto],1):tItens[[#This Row],[Produto]],tItens[[#This Row],[Produto]])=1,1,0)</f>
        <v>0</v>
      </c>
    </row>
    <row r="3394" spans="1:16" x14ac:dyDescent="0.25">
      <c r="A3394" t="s">
        <v>1479</v>
      </c>
      <c r="B3394">
        <v>13</v>
      </c>
      <c r="C3394" t="s">
        <v>5886</v>
      </c>
      <c r="D3394" t="s">
        <v>347</v>
      </c>
      <c r="E3394" s="13">
        <v>865</v>
      </c>
      <c r="F3394" s="12">
        <v>0</v>
      </c>
      <c r="G3394" t="str">
        <f>IFERROR(INDEX(tEditais[Órgão],MATCH(tItens[[#This Row],[Edital]],tEditais[Edital],0)),"")</f>
        <v>EMPRESA BRASILEIRA DE SERVICOS HOSPITALARES - EBSERH</v>
      </c>
      <c r="H3394" t="str">
        <f>IFERROR(INDEX(tEditais[UF],MATCH(tItens[[#This Row],[Edital]],tEditais[Edital],0)),"")</f>
        <v>MG</v>
      </c>
      <c r="I3394" s="11">
        <f>IFERROR(INDEX(tEditais[Encerramento],MATCH(tItens[[#This Row],[Edital]],tEditais[Edital],0)),"")</f>
        <v>46309.416666666664</v>
      </c>
      <c r="J3394" t="str">
        <f>IFERROR(INDEX(tProdutos[Classe],MATCH(tItens[[#This Row],[Produto]],tProdutos[Produto],0)),"produto não cadastrado")</f>
        <v>FORA</v>
      </c>
      <c r="K3394" s="12">
        <f>tItens[[#This Row],[Qtd]]*tItens[[#This Row],[Vlr unit]]</f>
        <v>0</v>
      </c>
      <c r="L3394" s="6">
        <f>IFERROR(IF(INDEX(tProdutos[Desconto homologado],MATCH(tItens[[#This Row],[Produto]],tProdutos[Produto],0))="",DescontoPadrao,INDEX(tProdutos[Desconto homologado],MATCH(tItens[[#This Row],[Produto]],tProdutos[Produto],0))),DescontoPadrao)</f>
        <v>0.26356465005931201</v>
      </c>
      <c r="M3394" s="12">
        <f>tItens[[#This Row],[Valor]]*(1-tItens[[#This Row],[Desconto]])</f>
        <v>0</v>
      </c>
      <c r="N3394" t="str">
        <f>IFERROR(INDEX(tProdutos[Foco],MATCH(tItens[[#This Row],[Produto]],tProdutos[Produto],0)),"Não")</f>
        <v>Não</v>
      </c>
      <c r="O3394" t="str">
        <f>IFERROR(INDEX(tEditais[SRP],MATCH(tItens[[#This Row],[Edital]],tEditais[Edital],0)),"Não")</f>
        <v>Sim</v>
      </c>
      <c r="P3394" s="4">
        <f>IF(COUNTIFS(INDEX(tItens[Edital],1):tItens[[#This Row],[Edital]],tItens[[#This Row],[Edital]],INDEX(tItens[Produto],1):tItens[[#This Row],[Produto]],tItens[[#This Row],[Produto]])=1,1,0)</f>
        <v>0</v>
      </c>
    </row>
    <row r="3395" spans="1:16" x14ac:dyDescent="0.25">
      <c r="A3395" t="s">
        <v>1479</v>
      </c>
      <c r="B3395">
        <v>14</v>
      </c>
      <c r="C3395" t="s">
        <v>4114</v>
      </c>
      <c r="D3395" t="s">
        <v>347</v>
      </c>
      <c r="E3395" s="13">
        <v>950</v>
      </c>
      <c r="F3395" s="12">
        <v>0</v>
      </c>
      <c r="G3395" t="str">
        <f>IFERROR(INDEX(tEditais[Órgão],MATCH(tItens[[#This Row],[Edital]],tEditais[Edital],0)),"")</f>
        <v>EMPRESA BRASILEIRA DE SERVICOS HOSPITALARES - EBSERH</v>
      </c>
      <c r="H3395" t="str">
        <f>IFERROR(INDEX(tEditais[UF],MATCH(tItens[[#This Row],[Edital]],tEditais[Edital],0)),"")</f>
        <v>MG</v>
      </c>
      <c r="I3395" s="11">
        <f>IFERROR(INDEX(tEditais[Encerramento],MATCH(tItens[[#This Row],[Edital]],tEditais[Edital],0)),"")</f>
        <v>46309.416666666664</v>
      </c>
      <c r="J3395" t="str">
        <f>IFERROR(INDEX(tProdutos[Classe],MATCH(tItens[[#This Row],[Produto]],tProdutos[Produto],0)),"produto não cadastrado")</f>
        <v>FORA</v>
      </c>
      <c r="K3395" s="12">
        <f>tItens[[#This Row],[Qtd]]*tItens[[#This Row],[Vlr unit]]</f>
        <v>0</v>
      </c>
      <c r="L3395" s="6">
        <f>IFERROR(IF(INDEX(tProdutos[Desconto homologado],MATCH(tItens[[#This Row],[Produto]],tProdutos[Produto],0))="",DescontoPadrao,INDEX(tProdutos[Desconto homologado],MATCH(tItens[[#This Row],[Produto]],tProdutos[Produto],0))),DescontoPadrao)</f>
        <v>0.26356465005931201</v>
      </c>
      <c r="M3395" s="12">
        <f>tItens[[#This Row],[Valor]]*(1-tItens[[#This Row],[Desconto]])</f>
        <v>0</v>
      </c>
      <c r="N3395" t="str">
        <f>IFERROR(INDEX(tProdutos[Foco],MATCH(tItens[[#This Row],[Produto]],tProdutos[Produto],0)),"Não")</f>
        <v>Não</v>
      </c>
      <c r="O3395" t="str">
        <f>IFERROR(INDEX(tEditais[SRP],MATCH(tItens[[#This Row],[Edital]],tEditais[Edital],0)),"Não")</f>
        <v>Sim</v>
      </c>
      <c r="P3395" s="4">
        <f>IF(COUNTIFS(INDEX(tItens[Edital],1):tItens[[#This Row],[Edital]],tItens[[#This Row],[Edital]],INDEX(tItens[Produto],1):tItens[[#This Row],[Produto]],tItens[[#This Row],[Produto]])=1,1,0)</f>
        <v>0</v>
      </c>
    </row>
    <row r="3396" spans="1:16" x14ac:dyDescent="0.25">
      <c r="A3396" t="s">
        <v>1479</v>
      </c>
      <c r="B3396">
        <v>15</v>
      </c>
      <c r="C3396" t="s">
        <v>5886</v>
      </c>
      <c r="D3396" t="s">
        <v>347</v>
      </c>
      <c r="E3396" s="13">
        <v>675</v>
      </c>
      <c r="F3396" s="12">
        <v>0</v>
      </c>
      <c r="G3396" t="str">
        <f>IFERROR(INDEX(tEditais[Órgão],MATCH(tItens[[#This Row],[Edital]],tEditais[Edital],0)),"")</f>
        <v>EMPRESA BRASILEIRA DE SERVICOS HOSPITALARES - EBSERH</v>
      </c>
      <c r="H3396" t="str">
        <f>IFERROR(INDEX(tEditais[UF],MATCH(tItens[[#This Row],[Edital]],tEditais[Edital],0)),"")</f>
        <v>MG</v>
      </c>
      <c r="I3396" s="11">
        <f>IFERROR(INDEX(tEditais[Encerramento],MATCH(tItens[[#This Row],[Edital]],tEditais[Edital],0)),"")</f>
        <v>46309.416666666664</v>
      </c>
      <c r="J3396" t="str">
        <f>IFERROR(INDEX(tProdutos[Classe],MATCH(tItens[[#This Row],[Produto]],tProdutos[Produto],0)),"produto não cadastrado")</f>
        <v>FORA</v>
      </c>
      <c r="K3396" s="12">
        <f>tItens[[#This Row],[Qtd]]*tItens[[#This Row],[Vlr unit]]</f>
        <v>0</v>
      </c>
      <c r="L3396" s="6">
        <f>IFERROR(IF(INDEX(tProdutos[Desconto homologado],MATCH(tItens[[#This Row],[Produto]],tProdutos[Produto],0))="",DescontoPadrao,INDEX(tProdutos[Desconto homologado],MATCH(tItens[[#This Row],[Produto]],tProdutos[Produto],0))),DescontoPadrao)</f>
        <v>0.26356465005931201</v>
      </c>
      <c r="M3396" s="12">
        <f>tItens[[#This Row],[Valor]]*(1-tItens[[#This Row],[Desconto]])</f>
        <v>0</v>
      </c>
      <c r="N3396" t="str">
        <f>IFERROR(INDEX(tProdutos[Foco],MATCH(tItens[[#This Row],[Produto]],tProdutos[Produto],0)),"Não")</f>
        <v>Não</v>
      </c>
      <c r="O3396" t="str">
        <f>IFERROR(INDEX(tEditais[SRP],MATCH(tItens[[#This Row],[Edital]],tEditais[Edital],0)),"Não")</f>
        <v>Sim</v>
      </c>
      <c r="P3396" s="4">
        <f>IF(COUNTIFS(INDEX(tItens[Edital],1):tItens[[#This Row],[Edital]],tItens[[#This Row],[Edital]],INDEX(tItens[Produto],1):tItens[[#This Row],[Produto]],tItens[[#This Row],[Produto]])=1,1,0)</f>
        <v>0</v>
      </c>
    </row>
    <row r="3397" spans="1:16" x14ac:dyDescent="0.25">
      <c r="A3397" t="s">
        <v>1479</v>
      </c>
      <c r="B3397">
        <v>16</v>
      </c>
      <c r="C3397" t="s">
        <v>5879</v>
      </c>
      <c r="D3397" t="s">
        <v>347</v>
      </c>
      <c r="E3397" s="13">
        <v>13</v>
      </c>
      <c r="F3397" s="12">
        <v>0</v>
      </c>
      <c r="G3397" t="str">
        <f>IFERROR(INDEX(tEditais[Órgão],MATCH(tItens[[#This Row],[Edital]],tEditais[Edital],0)),"")</f>
        <v>EMPRESA BRASILEIRA DE SERVICOS HOSPITALARES - EBSERH</v>
      </c>
      <c r="H3397" t="str">
        <f>IFERROR(INDEX(tEditais[UF],MATCH(tItens[[#This Row],[Edital]],tEditais[Edital],0)),"")</f>
        <v>MG</v>
      </c>
      <c r="I3397" s="11">
        <f>IFERROR(INDEX(tEditais[Encerramento],MATCH(tItens[[#This Row],[Edital]],tEditais[Edital],0)),"")</f>
        <v>46309.416666666664</v>
      </c>
      <c r="J3397" t="str">
        <f>IFERROR(INDEX(tProdutos[Classe],MATCH(tItens[[#This Row],[Produto]],tProdutos[Produto],0)),"produto não cadastrado")</f>
        <v>FORA</v>
      </c>
      <c r="K3397" s="12">
        <f>tItens[[#This Row],[Qtd]]*tItens[[#This Row],[Vlr unit]]</f>
        <v>0</v>
      </c>
      <c r="L3397" s="6">
        <f>IFERROR(IF(INDEX(tProdutos[Desconto homologado],MATCH(tItens[[#This Row],[Produto]],tProdutos[Produto],0))="",DescontoPadrao,INDEX(tProdutos[Desconto homologado],MATCH(tItens[[#This Row],[Produto]],tProdutos[Produto],0))),DescontoPadrao)</f>
        <v>0.26356465005931201</v>
      </c>
      <c r="M3397" s="12">
        <f>tItens[[#This Row],[Valor]]*(1-tItens[[#This Row],[Desconto]])</f>
        <v>0</v>
      </c>
      <c r="N3397" t="str">
        <f>IFERROR(INDEX(tProdutos[Foco],MATCH(tItens[[#This Row],[Produto]],tProdutos[Produto],0)),"Não")</f>
        <v>Não</v>
      </c>
      <c r="O3397" t="str">
        <f>IFERROR(INDEX(tEditais[SRP],MATCH(tItens[[#This Row],[Edital]],tEditais[Edital],0)),"Não")</f>
        <v>Sim</v>
      </c>
      <c r="P3397" s="4">
        <f>IF(COUNTIFS(INDEX(tItens[Edital],1):tItens[[#This Row],[Edital]],tItens[[#This Row],[Edital]],INDEX(tItens[Produto],1):tItens[[#This Row],[Produto]],tItens[[#This Row],[Produto]])=1,1,0)</f>
        <v>0</v>
      </c>
    </row>
    <row r="3398" spans="1:16" x14ac:dyDescent="0.25">
      <c r="A3398" t="s">
        <v>1479</v>
      </c>
      <c r="B3398">
        <v>17</v>
      </c>
      <c r="C3398" t="s">
        <v>6292</v>
      </c>
      <c r="D3398" t="s">
        <v>347</v>
      </c>
      <c r="E3398" s="13">
        <v>20</v>
      </c>
      <c r="F3398" s="12">
        <v>0</v>
      </c>
      <c r="G3398" t="str">
        <f>IFERROR(INDEX(tEditais[Órgão],MATCH(tItens[[#This Row],[Edital]],tEditais[Edital],0)),"")</f>
        <v>EMPRESA BRASILEIRA DE SERVICOS HOSPITALARES - EBSERH</v>
      </c>
      <c r="H3398" t="str">
        <f>IFERROR(INDEX(tEditais[UF],MATCH(tItens[[#This Row],[Edital]],tEditais[Edital],0)),"")</f>
        <v>MG</v>
      </c>
      <c r="I3398" s="11">
        <f>IFERROR(INDEX(tEditais[Encerramento],MATCH(tItens[[#This Row],[Edital]],tEditais[Edital],0)),"")</f>
        <v>46309.416666666664</v>
      </c>
      <c r="J3398" t="str">
        <f>IFERROR(INDEX(tProdutos[Classe],MATCH(tItens[[#This Row],[Produto]],tProdutos[Produto],0)),"produto não cadastrado")</f>
        <v>FORA</v>
      </c>
      <c r="K3398" s="12">
        <f>tItens[[#This Row],[Qtd]]*tItens[[#This Row],[Vlr unit]]</f>
        <v>0</v>
      </c>
      <c r="L3398" s="6">
        <f>IFERROR(IF(INDEX(tProdutos[Desconto homologado],MATCH(tItens[[#This Row],[Produto]],tProdutos[Produto],0))="",DescontoPadrao,INDEX(tProdutos[Desconto homologado],MATCH(tItens[[#This Row],[Produto]],tProdutos[Produto],0))),DescontoPadrao)</f>
        <v>0.26356465005931201</v>
      </c>
      <c r="M3398" s="12">
        <f>tItens[[#This Row],[Valor]]*(1-tItens[[#This Row],[Desconto]])</f>
        <v>0</v>
      </c>
      <c r="N3398" t="str">
        <f>IFERROR(INDEX(tProdutos[Foco],MATCH(tItens[[#This Row],[Produto]],tProdutos[Produto],0)),"Não")</f>
        <v>Não</v>
      </c>
      <c r="O3398" t="str">
        <f>IFERROR(INDEX(tEditais[SRP],MATCH(tItens[[#This Row],[Edital]],tEditais[Edital],0)),"Não")</f>
        <v>Sim</v>
      </c>
      <c r="P3398" s="4">
        <f>IF(COUNTIFS(INDEX(tItens[Edital],1):tItens[[#This Row],[Edital]],tItens[[#This Row],[Edital]],INDEX(tItens[Produto],1):tItens[[#This Row],[Produto]],tItens[[#This Row],[Produto]])=1,1,0)</f>
        <v>0</v>
      </c>
    </row>
    <row r="3399" spans="1:16" x14ac:dyDescent="0.25">
      <c r="A3399" t="s">
        <v>1479</v>
      </c>
      <c r="B3399">
        <v>18</v>
      </c>
      <c r="C3399" t="s">
        <v>5882</v>
      </c>
      <c r="D3399" t="s">
        <v>347</v>
      </c>
      <c r="E3399" s="13">
        <v>39</v>
      </c>
      <c r="F3399" s="12">
        <v>0</v>
      </c>
      <c r="G3399" t="str">
        <f>IFERROR(INDEX(tEditais[Órgão],MATCH(tItens[[#This Row],[Edital]],tEditais[Edital],0)),"")</f>
        <v>EMPRESA BRASILEIRA DE SERVICOS HOSPITALARES - EBSERH</v>
      </c>
      <c r="H3399" t="str">
        <f>IFERROR(INDEX(tEditais[UF],MATCH(tItens[[#This Row],[Edital]],tEditais[Edital],0)),"")</f>
        <v>MG</v>
      </c>
      <c r="I3399" s="11">
        <f>IFERROR(INDEX(tEditais[Encerramento],MATCH(tItens[[#This Row],[Edital]],tEditais[Edital],0)),"")</f>
        <v>46309.416666666664</v>
      </c>
      <c r="J3399" t="str">
        <f>IFERROR(INDEX(tProdutos[Classe],MATCH(tItens[[#This Row],[Produto]],tProdutos[Produto],0)),"produto não cadastrado")</f>
        <v>FORA</v>
      </c>
      <c r="K3399" s="12">
        <f>tItens[[#This Row],[Qtd]]*tItens[[#This Row],[Vlr unit]]</f>
        <v>0</v>
      </c>
      <c r="L3399" s="6">
        <f>IFERROR(IF(INDEX(tProdutos[Desconto homologado],MATCH(tItens[[#This Row],[Produto]],tProdutos[Produto],0))="",DescontoPadrao,INDEX(tProdutos[Desconto homologado],MATCH(tItens[[#This Row],[Produto]],tProdutos[Produto],0))),DescontoPadrao)</f>
        <v>0.26356465005931201</v>
      </c>
      <c r="M3399" s="12">
        <f>tItens[[#This Row],[Valor]]*(1-tItens[[#This Row],[Desconto]])</f>
        <v>0</v>
      </c>
      <c r="N3399" t="str">
        <f>IFERROR(INDEX(tProdutos[Foco],MATCH(tItens[[#This Row],[Produto]],tProdutos[Produto],0)),"Não")</f>
        <v>Não</v>
      </c>
      <c r="O3399" t="str">
        <f>IFERROR(INDEX(tEditais[SRP],MATCH(tItens[[#This Row],[Edital]],tEditais[Edital],0)),"Não")</f>
        <v>Sim</v>
      </c>
      <c r="P3399" s="4">
        <f>IF(COUNTIFS(INDEX(tItens[Edital],1):tItens[[#This Row],[Edital]],tItens[[#This Row],[Edital]],INDEX(tItens[Produto],1):tItens[[#This Row],[Produto]],tItens[[#This Row],[Produto]])=1,1,0)</f>
        <v>0</v>
      </c>
    </row>
    <row r="3400" spans="1:16" x14ac:dyDescent="0.25">
      <c r="A3400" t="s">
        <v>1479</v>
      </c>
      <c r="B3400">
        <v>19</v>
      </c>
      <c r="C3400" t="s">
        <v>5883</v>
      </c>
      <c r="D3400" t="s">
        <v>347</v>
      </c>
      <c r="E3400" s="13">
        <v>39</v>
      </c>
      <c r="F3400" s="12">
        <v>0</v>
      </c>
      <c r="G3400" t="str">
        <f>IFERROR(INDEX(tEditais[Órgão],MATCH(tItens[[#This Row],[Edital]],tEditais[Edital],0)),"")</f>
        <v>EMPRESA BRASILEIRA DE SERVICOS HOSPITALARES - EBSERH</v>
      </c>
      <c r="H3400" t="str">
        <f>IFERROR(INDEX(tEditais[UF],MATCH(tItens[[#This Row],[Edital]],tEditais[Edital],0)),"")</f>
        <v>MG</v>
      </c>
      <c r="I3400" s="11">
        <f>IFERROR(INDEX(tEditais[Encerramento],MATCH(tItens[[#This Row],[Edital]],tEditais[Edital],0)),"")</f>
        <v>46309.416666666664</v>
      </c>
      <c r="J3400" t="str">
        <f>IFERROR(INDEX(tProdutos[Classe],MATCH(tItens[[#This Row],[Produto]],tProdutos[Produto],0)),"produto não cadastrado")</f>
        <v>FORA</v>
      </c>
      <c r="K3400" s="12">
        <f>tItens[[#This Row],[Qtd]]*tItens[[#This Row],[Vlr unit]]</f>
        <v>0</v>
      </c>
      <c r="L3400" s="6">
        <f>IFERROR(IF(INDEX(tProdutos[Desconto homologado],MATCH(tItens[[#This Row],[Produto]],tProdutos[Produto],0))="",DescontoPadrao,INDEX(tProdutos[Desconto homologado],MATCH(tItens[[#This Row],[Produto]],tProdutos[Produto],0))),DescontoPadrao)</f>
        <v>0.26356465005931201</v>
      </c>
      <c r="M3400" s="12">
        <f>tItens[[#This Row],[Valor]]*(1-tItens[[#This Row],[Desconto]])</f>
        <v>0</v>
      </c>
      <c r="N3400" t="str">
        <f>IFERROR(INDEX(tProdutos[Foco],MATCH(tItens[[#This Row],[Produto]],tProdutos[Produto],0)),"Não")</f>
        <v>Não</v>
      </c>
      <c r="O3400" t="str">
        <f>IFERROR(INDEX(tEditais[SRP],MATCH(tItens[[#This Row],[Edital]],tEditais[Edital],0)),"Não")</f>
        <v>Sim</v>
      </c>
      <c r="P3400" s="4">
        <f>IF(COUNTIFS(INDEX(tItens[Edital],1):tItens[[#This Row],[Edital]],tItens[[#This Row],[Edital]],INDEX(tItens[Produto],1):tItens[[#This Row],[Produto]],tItens[[#This Row],[Produto]])=1,1,0)</f>
        <v>0</v>
      </c>
    </row>
    <row r="3401" spans="1:16" x14ac:dyDescent="0.25">
      <c r="A3401" t="s">
        <v>1479</v>
      </c>
      <c r="B3401">
        <v>20</v>
      </c>
      <c r="C3401" t="s">
        <v>5884</v>
      </c>
      <c r="D3401" t="s">
        <v>347</v>
      </c>
      <c r="E3401" s="13">
        <v>65</v>
      </c>
      <c r="F3401" s="12">
        <v>0</v>
      </c>
      <c r="G3401" t="str">
        <f>IFERROR(INDEX(tEditais[Órgão],MATCH(tItens[[#This Row],[Edital]],tEditais[Edital],0)),"")</f>
        <v>EMPRESA BRASILEIRA DE SERVICOS HOSPITALARES - EBSERH</v>
      </c>
      <c r="H3401" t="str">
        <f>IFERROR(INDEX(tEditais[UF],MATCH(tItens[[#This Row],[Edital]],tEditais[Edital],0)),"")</f>
        <v>MG</v>
      </c>
      <c r="I3401" s="11">
        <f>IFERROR(INDEX(tEditais[Encerramento],MATCH(tItens[[#This Row],[Edital]],tEditais[Edital],0)),"")</f>
        <v>46309.416666666664</v>
      </c>
      <c r="J3401" t="str">
        <f>IFERROR(INDEX(tProdutos[Classe],MATCH(tItens[[#This Row],[Produto]],tProdutos[Produto],0)),"produto não cadastrado")</f>
        <v>FORA</v>
      </c>
      <c r="K3401" s="12">
        <f>tItens[[#This Row],[Qtd]]*tItens[[#This Row],[Vlr unit]]</f>
        <v>0</v>
      </c>
      <c r="L3401" s="6">
        <f>IFERROR(IF(INDEX(tProdutos[Desconto homologado],MATCH(tItens[[#This Row],[Produto]],tProdutos[Produto],0))="",DescontoPadrao,INDEX(tProdutos[Desconto homologado],MATCH(tItens[[#This Row],[Produto]],tProdutos[Produto],0))),DescontoPadrao)</f>
        <v>0.26356465005931201</v>
      </c>
      <c r="M3401" s="12">
        <f>tItens[[#This Row],[Valor]]*(1-tItens[[#This Row],[Desconto]])</f>
        <v>0</v>
      </c>
      <c r="N3401" t="str">
        <f>IFERROR(INDEX(tProdutos[Foco],MATCH(tItens[[#This Row],[Produto]],tProdutos[Produto],0)),"Não")</f>
        <v>Não</v>
      </c>
      <c r="O3401" t="str">
        <f>IFERROR(INDEX(tEditais[SRP],MATCH(tItens[[#This Row],[Edital]],tEditais[Edital],0)),"Não")</f>
        <v>Sim</v>
      </c>
      <c r="P3401" s="4">
        <f>IF(COUNTIFS(INDEX(tItens[Edital],1):tItens[[#This Row],[Edital]],tItens[[#This Row],[Edital]],INDEX(tItens[Produto],1):tItens[[#This Row],[Produto]],tItens[[#This Row],[Produto]])=1,1,0)</f>
        <v>0</v>
      </c>
    </row>
    <row r="3402" spans="1:16" x14ac:dyDescent="0.25">
      <c r="A3402" t="s">
        <v>1479</v>
      </c>
      <c r="B3402">
        <v>26</v>
      </c>
      <c r="C3402" t="s">
        <v>6293</v>
      </c>
      <c r="D3402" t="s">
        <v>347</v>
      </c>
      <c r="E3402" s="13">
        <v>310</v>
      </c>
      <c r="F3402" s="12">
        <v>0</v>
      </c>
      <c r="G3402" t="str">
        <f>IFERROR(INDEX(tEditais[Órgão],MATCH(tItens[[#This Row],[Edital]],tEditais[Edital],0)),"")</f>
        <v>EMPRESA BRASILEIRA DE SERVICOS HOSPITALARES - EBSERH</v>
      </c>
      <c r="H3402" t="str">
        <f>IFERROR(INDEX(tEditais[UF],MATCH(tItens[[#This Row],[Edital]],tEditais[Edital],0)),"")</f>
        <v>MG</v>
      </c>
      <c r="I3402" s="11">
        <f>IFERROR(INDEX(tEditais[Encerramento],MATCH(tItens[[#This Row],[Edital]],tEditais[Edital],0)),"")</f>
        <v>46309.416666666664</v>
      </c>
      <c r="J3402" t="str">
        <f>IFERROR(INDEX(tProdutos[Classe],MATCH(tItens[[#This Row],[Produto]],tProdutos[Produto],0)),"produto não cadastrado")</f>
        <v>FORA</v>
      </c>
      <c r="K3402" s="12">
        <f>tItens[[#This Row],[Qtd]]*tItens[[#This Row],[Vlr unit]]</f>
        <v>0</v>
      </c>
      <c r="L3402" s="6">
        <f>IFERROR(IF(INDEX(tProdutos[Desconto homologado],MATCH(tItens[[#This Row],[Produto]],tProdutos[Produto],0))="",DescontoPadrao,INDEX(tProdutos[Desconto homologado],MATCH(tItens[[#This Row],[Produto]],tProdutos[Produto],0))),DescontoPadrao)</f>
        <v>0.26356465005931201</v>
      </c>
      <c r="M3402" s="12">
        <f>tItens[[#This Row],[Valor]]*(1-tItens[[#This Row],[Desconto]])</f>
        <v>0</v>
      </c>
      <c r="N3402" t="str">
        <f>IFERROR(INDEX(tProdutos[Foco],MATCH(tItens[[#This Row],[Produto]],tProdutos[Produto],0)),"Não")</f>
        <v>Não</v>
      </c>
      <c r="O3402" t="str">
        <f>IFERROR(INDEX(tEditais[SRP],MATCH(tItens[[#This Row],[Edital]],tEditais[Edital],0)),"Não")</f>
        <v>Sim</v>
      </c>
      <c r="P3402" s="4">
        <f>IF(COUNTIFS(INDEX(tItens[Edital],1):tItens[[#This Row],[Edital]],tItens[[#This Row],[Edital]],INDEX(tItens[Produto],1):tItens[[#This Row],[Produto]],tItens[[#This Row],[Produto]])=1,1,0)</f>
        <v>0</v>
      </c>
    </row>
    <row r="3403" spans="1:16" x14ac:dyDescent="0.25">
      <c r="A3403" t="s">
        <v>1479</v>
      </c>
      <c r="B3403">
        <v>27</v>
      </c>
      <c r="C3403" t="s">
        <v>6294</v>
      </c>
      <c r="D3403" t="s">
        <v>347</v>
      </c>
      <c r="E3403" s="13">
        <v>160</v>
      </c>
      <c r="F3403" s="12">
        <v>0</v>
      </c>
      <c r="G3403" t="str">
        <f>IFERROR(INDEX(tEditais[Órgão],MATCH(tItens[[#This Row],[Edital]],tEditais[Edital],0)),"")</f>
        <v>EMPRESA BRASILEIRA DE SERVICOS HOSPITALARES - EBSERH</v>
      </c>
      <c r="H3403" t="str">
        <f>IFERROR(INDEX(tEditais[UF],MATCH(tItens[[#This Row],[Edital]],tEditais[Edital],0)),"")</f>
        <v>MG</v>
      </c>
      <c r="I3403" s="11">
        <f>IFERROR(INDEX(tEditais[Encerramento],MATCH(tItens[[#This Row],[Edital]],tEditais[Edital],0)),"")</f>
        <v>46309.416666666664</v>
      </c>
      <c r="J3403" t="str">
        <f>IFERROR(INDEX(tProdutos[Classe],MATCH(tItens[[#This Row],[Produto]],tProdutos[Produto],0)),"produto não cadastrado")</f>
        <v>FORA</v>
      </c>
      <c r="K3403" s="12">
        <f>tItens[[#This Row],[Qtd]]*tItens[[#This Row],[Vlr unit]]</f>
        <v>0</v>
      </c>
      <c r="L3403" s="6">
        <f>IFERROR(IF(INDEX(tProdutos[Desconto homologado],MATCH(tItens[[#This Row],[Produto]],tProdutos[Produto],0))="",DescontoPadrao,INDEX(tProdutos[Desconto homologado],MATCH(tItens[[#This Row],[Produto]],tProdutos[Produto],0))),DescontoPadrao)</f>
        <v>0.26356465005931201</v>
      </c>
      <c r="M3403" s="12">
        <f>tItens[[#This Row],[Valor]]*(1-tItens[[#This Row],[Desconto]])</f>
        <v>0</v>
      </c>
      <c r="N3403" t="str">
        <f>IFERROR(INDEX(tProdutos[Foco],MATCH(tItens[[#This Row],[Produto]],tProdutos[Produto],0)),"Não")</f>
        <v>Não</v>
      </c>
      <c r="O3403" t="str">
        <f>IFERROR(INDEX(tEditais[SRP],MATCH(tItens[[#This Row],[Edital]],tEditais[Edital],0)),"Não")</f>
        <v>Sim</v>
      </c>
      <c r="P3403" s="4">
        <f>IF(COUNTIFS(INDEX(tItens[Edital],1):tItens[[#This Row],[Edital]],tItens[[#This Row],[Edital]],INDEX(tItens[Produto],1):tItens[[#This Row],[Produto]],tItens[[#This Row],[Produto]])=1,1,0)</f>
        <v>0</v>
      </c>
    </row>
    <row r="3404" spans="1:16" x14ac:dyDescent="0.25">
      <c r="A3404" t="s">
        <v>1479</v>
      </c>
      <c r="B3404">
        <v>28</v>
      </c>
      <c r="C3404" t="s">
        <v>6295</v>
      </c>
      <c r="D3404" t="s">
        <v>347</v>
      </c>
      <c r="E3404" s="13">
        <v>77</v>
      </c>
      <c r="F3404" s="12">
        <v>0</v>
      </c>
      <c r="G3404" t="str">
        <f>IFERROR(INDEX(tEditais[Órgão],MATCH(tItens[[#This Row],[Edital]],tEditais[Edital],0)),"")</f>
        <v>EMPRESA BRASILEIRA DE SERVICOS HOSPITALARES - EBSERH</v>
      </c>
      <c r="H3404" t="str">
        <f>IFERROR(INDEX(tEditais[UF],MATCH(tItens[[#This Row],[Edital]],tEditais[Edital],0)),"")</f>
        <v>MG</v>
      </c>
      <c r="I3404" s="11">
        <f>IFERROR(INDEX(tEditais[Encerramento],MATCH(tItens[[#This Row],[Edital]],tEditais[Edital],0)),"")</f>
        <v>46309.416666666664</v>
      </c>
      <c r="J3404" t="str">
        <f>IFERROR(INDEX(tProdutos[Classe],MATCH(tItens[[#This Row],[Produto]],tProdutos[Produto],0)),"produto não cadastrado")</f>
        <v>FORA</v>
      </c>
      <c r="K3404" s="12">
        <f>tItens[[#This Row],[Qtd]]*tItens[[#This Row],[Vlr unit]]</f>
        <v>0</v>
      </c>
      <c r="L3404" s="6">
        <f>IFERROR(IF(INDEX(tProdutos[Desconto homologado],MATCH(tItens[[#This Row],[Produto]],tProdutos[Produto],0))="",DescontoPadrao,INDEX(tProdutos[Desconto homologado],MATCH(tItens[[#This Row],[Produto]],tProdutos[Produto],0))),DescontoPadrao)</f>
        <v>0.26356465005931201</v>
      </c>
      <c r="M3404" s="12">
        <f>tItens[[#This Row],[Valor]]*(1-tItens[[#This Row],[Desconto]])</f>
        <v>0</v>
      </c>
      <c r="N3404" t="str">
        <f>IFERROR(INDEX(tProdutos[Foco],MATCH(tItens[[#This Row],[Produto]],tProdutos[Produto],0)),"Não")</f>
        <v>Não</v>
      </c>
      <c r="O3404" t="str">
        <f>IFERROR(INDEX(tEditais[SRP],MATCH(tItens[[#This Row],[Edital]],tEditais[Edital],0)),"Não")</f>
        <v>Sim</v>
      </c>
      <c r="P3404" s="4">
        <f>IF(COUNTIFS(INDEX(tItens[Edital],1):tItens[[#This Row],[Edital]],tItens[[#This Row],[Edital]],INDEX(tItens[Produto],1):tItens[[#This Row],[Produto]],tItens[[#This Row],[Produto]])=1,1,0)</f>
        <v>0</v>
      </c>
    </row>
    <row r="3405" spans="1:16" x14ac:dyDescent="0.25">
      <c r="A3405" t="s">
        <v>1479</v>
      </c>
      <c r="B3405">
        <v>29</v>
      </c>
      <c r="C3405" t="s">
        <v>6296</v>
      </c>
      <c r="D3405" t="s">
        <v>347</v>
      </c>
      <c r="E3405" s="13">
        <v>183</v>
      </c>
      <c r="F3405" s="12">
        <v>0</v>
      </c>
      <c r="G3405" t="str">
        <f>IFERROR(INDEX(tEditais[Órgão],MATCH(tItens[[#This Row],[Edital]],tEditais[Edital],0)),"")</f>
        <v>EMPRESA BRASILEIRA DE SERVICOS HOSPITALARES - EBSERH</v>
      </c>
      <c r="H3405" t="str">
        <f>IFERROR(INDEX(tEditais[UF],MATCH(tItens[[#This Row],[Edital]],tEditais[Edital],0)),"")</f>
        <v>MG</v>
      </c>
      <c r="I3405" s="11">
        <f>IFERROR(INDEX(tEditais[Encerramento],MATCH(tItens[[#This Row],[Edital]],tEditais[Edital],0)),"")</f>
        <v>46309.416666666664</v>
      </c>
      <c r="J3405" t="str">
        <f>IFERROR(INDEX(tProdutos[Classe],MATCH(tItens[[#This Row],[Produto]],tProdutos[Produto],0)),"produto não cadastrado")</f>
        <v>FORA</v>
      </c>
      <c r="K3405" s="12">
        <f>tItens[[#This Row],[Qtd]]*tItens[[#This Row],[Vlr unit]]</f>
        <v>0</v>
      </c>
      <c r="L3405" s="6">
        <f>IFERROR(IF(INDEX(tProdutos[Desconto homologado],MATCH(tItens[[#This Row],[Produto]],tProdutos[Produto],0))="",DescontoPadrao,INDEX(tProdutos[Desconto homologado],MATCH(tItens[[#This Row],[Produto]],tProdutos[Produto],0))),DescontoPadrao)</f>
        <v>0.26356465005931201</v>
      </c>
      <c r="M3405" s="12">
        <f>tItens[[#This Row],[Valor]]*(1-tItens[[#This Row],[Desconto]])</f>
        <v>0</v>
      </c>
      <c r="N3405" t="str">
        <f>IFERROR(INDEX(tProdutos[Foco],MATCH(tItens[[#This Row],[Produto]],tProdutos[Produto],0)),"Não")</f>
        <v>Não</v>
      </c>
      <c r="O3405" t="str">
        <f>IFERROR(INDEX(tEditais[SRP],MATCH(tItens[[#This Row],[Edital]],tEditais[Edital],0)),"Não")</f>
        <v>Sim</v>
      </c>
      <c r="P3405" s="4">
        <f>IF(COUNTIFS(INDEX(tItens[Edital],1):tItens[[#This Row],[Edital]],tItens[[#This Row],[Edital]],INDEX(tItens[Produto],1):tItens[[#This Row],[Produto]],tItens[[#This Row],[Produto]])=1,1,0)</f>
        <v>0</v>
      </c>
    </row>
    <row r="3406" spans="1:16" x14ac:dyDescent="0.25">
      <c r="A3406" t="s">
        <v>1479</v>
      </c>
      <c r="B3406">
        <v>33</v>
      </c>
      <c r="C3406" t="s">
        <v>6297</v>
      </c>
      <c r="D3406" t="s">
        <v>347</v>
      </c>
      <c r="E3406" s="13">
        <v>65</v>
      </c>
      <c r="F3406" s="12">
        <v>0</v>
      </c>
      <c r="G3406" t="str">
        <f>IFERROR(INDEX(tEditais[Órgão],MATCH(tItens[[#This Row],[Edital]],tEditais[Edital],0)),"")</f>
        <v>EMPRESA BRASILEIRA DE SERVICOS HOSPITALARES - EBSERH</v>
      </c>
      <c r="H3406" t="str">
        <f>IFERROR(INDEX(tEditais[UF],MATCH(tItens[[#This Row],[Edital]],tEditais[Edital],0)),"")</f>
        <v>MG</v>
      </c>
      <c r="I3406" s="11">
        <f>IFERROR(INDEX(tEditais[Encerramento],MATCH(tItens[[#This Row],[Edital]],tEditais[Edital],0)),"")</f>
        <v>46309.416666666664</v>
      </c>
      <c r="J3406" t="str">
        <f>IFERROR(INDEX(tProdutos[Classe],MATCH(tItens[[#This Row],[Produto]],tProdutos[Produto],0)),"produto não cadastrado")</f>
        <v>FORA</v>
      </c>
      <c r="K3406" s="12">
        <f>tItens[[#This Row],[Qtd]]*tItens[[#This Row],[Vlr unit]]</f>
        <v>0</v>
      </c>
      <c r="L3406" s="6">
        <f>IFERROR(IF(INDEX(tProdutos[Desconto homologado],MATCH(tItens[[#This Row],[Produto]],tProdutos[Produto],0))="",DescontoPadrao,INDEX(tProdutos[Desconto homologado],MATCH(tItens[[#This Row],[Produto]],tProdutos[Produto],0))),DescontoPadrao)</f>
        <v>0.26356465005931201</v>
      </c>
      <c r="M3406" s="12">
        <f>tItens[[#This Row],[Valor]]*(1-tItens[[#This Row],[Desconto]])</f>
        <v>0</v>
      </c>
      <c r="N3406" t="str">
        <f>IFERROR(INDEX(tProdutos[Foco],MATCH(tItens[[#This Row],[Produto]],tProdutos[Produto],0)),"Não")</f>
        <v>Não</v>
      </c>
      <c r="O3406" t="str">
        <f>IFERROR(INDEX(tEditais[SRP],MATCH(tItens[[#This Row],[Edital]],tEditais[Edital],0)),"Não")</f>
        <v>Sim</v>
      </c>
      <c r="P3406" s="4">
        <f>IF(COUNTIFS(INDEX(tItens[Edital],1):tItens[[#This Row],[Edital]],tItens[[#This Row],[Edital]],INDEX(tItens[Produto],1):tItens[[#This Row],[Produto]],tItens[[#This Row],[Produto]])=1,1,0)</f>
        <v>0</v>
      </c>
    </row>
    <row r="3407" spans="1:16" x14ac:dyDescent="0.25">
      <c r="A3407" t="s">
        <v>1479</v>
      </c>
      <c r="B3407">
        <v>35</v>
      </c>
      <c r="C3407" t="s">
        <v>4207</v>
      </c>
      <c r="D3407" t="s">
        <v>56</v>
      </c>
      <c r="E3407" s="13">
        <v>5200</v>
      </c>
      <c r="F3407" s="12">
        <v>0</v>
      </c>
      <c r="G3407" t="str">
        <f>IFERROR(INDEX(tEditais[Órgão],MATCH(tItens[[#This Row],[Edital]],tEditais[Edital],0)),"")</f>
        <v>EMPRESA BRASILEIRA DE SERVICOS HOSPITALARES - EBSERH</v>
      </c>
      <c r="H3407" t="str">
        <f>IFERROR(INDEX(tEditais[UF],MATCH(tItens[[#This Row],[Edital]],tEditais[Edital],0)),"")</f>
        <v>MG</v>
      </c>
      <c r="I3407" s="11">
        <f>IFERROR(INDEX(tEditais[Encerramento],MATCH(tItens[[#This Row],[Edital]],tEditais[Edital],0)),"")</f>
        <v>46309.416666666664</v>
      </c>
      <c r="J3407" t="str">
        <f>IFERROR(INDEX(tProdutos[Classe],MATCH(tItens[[#This Row],[Produto]],tProdutos[Produto],0)),"produto não cadastrado")</f>
        <v>NÚCLEO</v>
      </c>
      <c r="K3407" s="12">
        <f>tItens[[#This Row],[Qtd]]*tItens[[#This Row],[Vlr unit]]</f>
        <v>0</v>
      </c>
      <c r="L3407" s="6">
        <f>IFERROR(IF(INDEX(tProdutos[Desconto homologado],MATCH(tItens[[#This Row],[Produto]],tProdutos[Produto],0))="",DescontoPadrao,INDEX(tProdutos[Desconto homologado],MATCH(tItens[[#This Row],[Produto]],tProdutos[Produto],0))),DescontoPadrao)</f>
        <v>0.34</v>
      </c>
      <c r="M3407" s="12">
        <f>tItens[[#This Row],[Valor]]*(1-tItens[[#This Row],[Desconto]])</f>
        <v>0</v>
      </c>
      <c r="N3407" t="str">
        <f>IFERROR(INDEX(tProdutos[Foco],MATCH(tItens[[#This Row],[Produto]],tProdutos[Produto],0)),"Não")</f>
        <v>Sim</v>
      </c>
      <c r="O3407" t="str">
        <f>IFERROR(INDEX(tEditais[SRP],MATCH(tItens[[#This Row],[Edital]],tEditais[Edital],0)),"Não")</f>
        <v>Sim</v>
      </c>
      <c r="P3407" s="4">
        <f>IF(COUNTIFS(INDEX(tItens[Edital],1):tItens[[#This Row],[Edital]],tItens[[#This Row],[Edital]],INDEX(tItens[Produto],1):tItens[[#This Row],[Produto]],tItens[[#This Row],[Produto]])=1,1,0)</f>
        <v>1</v>
      </c>
    </row>
    <row r="3408" spans="1:16" x14ac:dyDescent="0.25">
      <c r="A3408" t="s">
        <v>1479</v>
      </c>
      <c r="B3408">
        <v>36</v>
      </c>
      <c r="C3408" t="s">
        <v>4208</v>
      </c>
      <c r="D3408" t="s">
        <v>56</v>
      </c>
      <c r="E3408" s="13">
        <v>24700</v>
      </c>
      <c r="F3408" s="12">
        <v>0</v>
      </c>
      <c r="G3408" t="str">
        <f>IFERROR(INDEX(tEditais[Órgão],MATCH(tItens[[#This Row],[Edital]],tEditais[Edital],0)),"")</f>
        <v>EMPRESA BRASILEIRA DE SERVICOS HOSPITALARES - EBSERH</v>
      </c>
      <c r="H3408" t="str">
        <f>IFERROR(INDEX(tEditais[UF],MATCH(tItens[[#This Row],[Edital]],tEditais[Edital],0)),"")</f>
        <v>MG</v>
      </c>
      <c r="I3408" s="11">
        <f>IFERROR(INDEX(tEditais[Encerramento],MATCH(tItens[[#This Row],[Edital]],tEditais[Edital],0)),"")</f>
        <v>46309.416666666664</v>
      </c>
      <c r="J3408" t="str">
        <f>IFERROR(INDEX(tProdutos[Classe],MATCH(tItens[[#This Row],[Produto]],tProdutos[Produto],0)),"produto não cadastrado")</f>
        <v>NÚCLEO</v>
      </c>
      <c r="K3408" s="12">
        <f>tItens[[#This Row],[Qtd]]*tItens[[#This Row],[Vlr unit]]</f>
        <v>0</v>
      </c>
      <c r="L3408" s="6">
        <f>IFERROR(IF(INDEX(tProdutos[Desconto homologado],MATCH(tItens[[#This Row],[Produto]],tProdutos[Produto],0))="",DescontoPadrao,INDEX(tProdutos[Desconto homologado],MATCH(tItens[[#This Row],[Produto]],tProdutos[Produto],0))),DescontoPadrao)</f>
        <v>0.34</v>
      </c>
      <c r="M3408" s="12">
        <f>tItens[[#This Row],[Valor]]*(1-tItens[[#This Row],[Desconto]])</f>
        <v>0</v>
      </c>
      <c r="N3408" t="str">
        <f>IFERROR(INDEX(tProdutos[Foco],MATCH(tItens[[#This Row],[Produto]],tProdutos[Produto],0)),"Não")</f>
        <v>Sim</v>
      </c>
      <c r="O3408" t="str">
        <f>IFERROR(INDEX(tEditais[SRP],MATCH(tItens[[#This Row],[Edital]],tEditais[Edital],0)),"Não")</f>
        <v>Sim</v>
      </c>
      <c r="P3408" s="4">
        <f>IF(COUNTIFS(INDEX(tItens[Edital],1):tItens[[#This Row],[Edital]],tItens[[#This Row],[Edital]],INDEX(tItens[Produto],1):tItens[[#This Row],[Produto]],tItens[[#This Row],[Produto]])=1,1,0)</f>
        <v>0</v>
      </c>
    </row>
    <row r="3409" spans="1:16" x14ac:dyDescent="0.25">
      <c r="A3409" t="s">
        <v>1479</v>
      </c>
      <c r="B3409">
        <v>37</v>
      </c>
      <c r="C3409" t="s">
        <v>3484</v>
      </c>
      <c r="D3409" t="s">
        <v>56</v>
      </c>
      <c r="E3409" s="13">
        <v>22100</v>
      </c>
      <c r="F3409" s="12">
        <v>0</v>
      </c>
      <c r="G3409" t="str">
        <f>IFERROR(INDEX(tEditais[Órgão],MATCH(tItens[[#This Row],[Edital]],tEditais[Edital],0)),"")</f>
        <v>EMPRESA BRASILEIRA DE SERVICOS HOSPITALARES - EBSERH</v>
      </c>
      <c r="H3409" t="str">
        <f>IFERROR(INDEX(tEditais[UF],MATCH(tItens[[#This Row],[Edital]],tEditais[Edital],0)),"")</f>
        <v>MG</v>
      </c>
      <c r="I3409" s="11">
        <f>IFERROR(INDEX(tEditais[Encerramento],MATCH(tItens[[#This Row],[Edital]],tEditais[Edital],0)),"")</f>
        <v>46309.416666666664</v>
      </c>
      <c r="J3409" t="str">
        <f>IFERROR(INDEX(tProdutos[Classe],MATCH(tItens[[#This Row],[Produto]],tProdutos[Produto],0)),"produto não cadastrado")</f>
        <v>NÚCLEO</v>
      </c>
      <c r="K3409" s="12">
        <f>tItens[[#This Row],[Qtd]]*tItens[[#This Row],[Vlr unit]]</f>
        <v>0</v>
      </c>
      <c r="L3409" s="6">
        <f>IFERROR(IF(INDEX(tProdutos[Desconto homologado],MATCH(tItens[[#This Row],[Produto]],tProdutos[Produto],0))="",DescontoPadrao,INDEX(tProdutos[Desconto homologado],MATCH(tItens[[#This Row],[Produto]],tProdutos[Produto],0))),DescontoPadrao)</f>
        <v>0.34</v>
      </c>
      <c r="M3409" s="12">
        <f>tItens[[#This Row],[Valor]]*(1-tItens[[#This Row],[Desconto]])</f>
        <v>0</v>
      </c>
      <c r="N3409" t="str">
        <f>IFERROR(INDEX(tProdutos[Foco],MATCH(tItens[[#This Row],[Produto]],tProdutos[Produto],0)),"Não")</f>
        <v>Sim</v>
      </c>
      <c r="O3409" t="str">
        <f>IFERROR(INDEX(tEditais[SRP],MATCH(tItens[[#This Row],[Edital]],tEditais[Edital],0)),"Não")</f>
        <v>Sim</v>
      </c>
      <c r="P3409" s="4">
        <f>IF(COUNTIFS(INDEX(tItens[Edital],1):tItens[[#This Row],[Edital]],tItens[[#This Row],[Edital]],INDEX(tItens[Produto],1):tItens[[#This Row],[Produto]],tItens[[#This Row],[Produto]])=1,1,0)</f>
        <v>0</v>
      </c>
    </row>
    <row r="3410" spans="1:16" x14ac:dyDescent="0.25">
      <c r="A3410" t="s">
        <v>1479</v>
      </c>
      <c r="B3410">
        <v>38</v>
      </c>
      <c r="C3410" t="s">
        <v>4210</v>
      </c>
      <c r="D3410" t="s">
        <v>56</v>
      </c>
      <c r="E3410" s="13">
        <v>5200</v>
      </c>
      <c r="F3410" s="12">
        <v>0</v>
      </c>
      <c r="G3410" t="str">
        <f>IFERROR(INDEX(tEditais[Órgão],MATCH(tItens[[#This Row],[Edital]],tEditais[Edital],0)),"")</f>
        <v>EMPRESA BRASILEIRA DE SERVICOS HOSPITALARES - EBSERH</v>
      </c>
      <c r="H3410" t="str">
        <f>IFERROR(INDEX(tEditais[UF],MATCH(tItens[[#This Row],[Edital]],tEditais[Edital],0)),"")</f>
        <v>MG</v>
      </c>
      <c r="I3410" s="11">
        <f>IFERROR(INDEX(tEditais[Encerramento],MATCH(tItens[[#This Row],[Edital]],tEditais[Edital],0)),"")</f>
        <v>46309.416666666664</v>
      </c>
      <c r="J3410" t="str">
        <f>IFERROR(INDEX(tProdutos[Classe],MATCH(tItens[[#This Row],[Produto]],tProdutos[Produto],0)),"produto não cadastrado")</f>
        <v>NÚCLEO</v>
      </c>
      <c r="K3410" s="12">
        <f>tItens[[#This Row],[Qtd]]*tItens[[#This Row],[Vlr unit]]</f>
        <v>0</v>
      </c>
      <c r="L3410" s="6">
        <f>IFERROR(IF(INDEX(tProdutos[Desconto homologado],MATCH(tItens[[#This Row],[Produto]],tProdutos[Produto],0))="",DescontoPadrao,INDEX(tProdutos[Desconto homologado],MATCH(tItens[[#This Row],[Produto]],tProdutos[Produto],0))),DescontoPadrao)</f>
        <v>0.34</v>
      </c>
      <c r="M3410" s="12">
        <f>tItens[[#This Row],[Valor]]*(1-tItens[[#This Row],[Desconto]])</f>
        <v>0</v>
      </c>
      <c r="N3410" t="str">
        <f>IFERROR(INDEX(tProdutos[Foco],MATCH(tItens[[#This Row],[Produto]],tProdutos[Produto],0)),"Não")</f>
        <v>Sim</v>
      </c>
      <c r="O3410" t="str">
        <f>IFERROR(INDEX(tEditais[SRP],MATCH(tItens[[#This Row],[Edital]],tEditais[Edital],0)),"Não")</f>
        <v>Sim</v>
      </c>
      <c r="P3410" s="4">
        <f>IF(COUNTIFS(INDEX(tItens[Edital],1):tItens[[#This Row],[Edital]],tItens[[#This Row],[Edital]],INDEX(tItens[Produto],1):tItens[[#This Row],[Produto]],tItens[[#This Row],[Produto]])=1,1,0)</f>
        <v>0</v>
      </c>
    </row>
    <row r="3411" spans="1:16" x14ac:dyDescent="0.25">
      <c r="A3411" t="s">
        <v>1479</v>
      </c>
      <c r="B3411">
        <v>39</v>
      </c>
      <c r="C3411" t="s">
        <v>3485</v>
      </c>
      <c r="D3411" t="s">
        <v>56</v>
      </c>
      <c r="E3411" s="13">
        <v>5980</v>
      </c>
      <c r="F3411" s="12">
        <v>0</v>
      </c>
      <c r="G3411" t="str">
        <f>IFERROR(INDEX(tEditais[Órgão],MATCH(tItens[[#This Row],[Edital]],tEditais[Edital],0)),"")</f>
        <v>EMPRESA BRASILEIRA DE SERVICOS HOSPITALARES - EBSERH</v>
      </c>
      <c r="H3411" t="str">
        <f>IFERROR(INDEX(tEditais[UF],MATCH(tItens[[#This Row],[Edital]],tEditais[Edital],0)),"")</f>
        <v>MG</v>
      </c>
      <c r="I3411" s="11">
        <f>IFERROR(INDEX(tEditais[Encerramento],MATCH(tItens[[#This Row],[Edital]],tEditais[Edital],0)),"")</f>
        <v>46309.416666666664</v>
      </c>
      <c r="J3411" t="str">
        <f>IFERROR(INDEX(tProdutos[Classe],MATCH(tItens[[#This Row],[Produto]],tProdutos[Produto],0)),"produto não cadastrado")</f>
        <v>NÚCLEO</v>
      </c>
      <c r="K3411" s="12">
        <f>tItens[[#This Row],[Qtd]]*tItens[[#This Row],[Vlr unit]]</f>
        <v>0</v>
      </c>
      <c r="L3411" s="6">
        <f>IFERROR(IF(INDEX(tProdutos[Desconto homologado],MATCH(tItens[[#This Row],[Produto]],tProdutos[Produto],0))="",DescontoPadrao,INDEX(tProdutos[Desconto homologado],MATCH(tItens[[#This Row],[Produto]],tProdutos[Produto],0))),DescontoPadrao)</f>
        <v>0.34</v>
      </c>
      <c r="M3411" s="12">
        <f>tItens[[#This Row],[Valor]]*(1-tItens[[#This Row],[Desconto]])</f>
        <v>0</v>
      </c>
      <c r="N3411" t="str">
        <f>IFERROR(INDEX(tProdutos[Foco],MATCH(tItens[[#This Row],[Produto]],tProdutos[Produto],0)),"Não")</f>
        <v>Sim</v>
      </c>
      <c r="O3411" t="str">
        <f>IFERROR(INDEX(tEditais[SRP],MATCH(tItens[[#This Row],[Edital]],tEditais[Edital],0)),"Não")</f>
        <v>Sim</v>
      </c>
      <c r="P3411" s="4">
        <f>IF(COUNTIFS(INDEX(tItens[Edital],1):tItens[[#This Row],[Edital]],tItens[[#This Row],[Edital]],INDEX(tItens[Produto],1):tItens[[#This Row],[Produto]],tItens[[#This Row],[Produto]])=1,1,0)</f>
        <v>0</v>
      </c>
    </row>
    <row r="3412" spans="1:16" x14ac:dyDescent="0.25">
      <c r="A3412" t="s">
        <v>1479</v>
      </c>
      <c r="B3412">
        <v>52</v>
      </c>
      <c r="C3412" t="s">
        <v>6298</v>
      </c>
      <c r="D3412" t="s">
        <v>347</v>
      </c>
      <c r="E3412" s="13">
        <v>195</v>
      </c>
      <c r="F3412" s="12">
        <v>0</v>
      </c>
      <c r="G3412" t="str">
        <f>IFERROR(INDEX(tEditais[Órgão],MATCH(tItens[[#This Row],[Edital]],tEditais[Edital],0)),"")</f>
        <v>EMPRESA BRASILEIRA DE SERVICOS HOSPITALARES - EBSERH</v>
      </c>
      <c r="H3412" t="str">
        <f>IFERROR(INDEX(tEditais[UF],MATCH(tItens[[#This Row],[Edital]],tEditais[Edital],0)),"")</f>
        <v>MG</v>
      </c>
      <c r="I3412" s="11">
        <f>IFERROR(INDEX(tEditais[Encerramento],MATCH(tItens[[#This Row],[Edital]],tEditais[Edital],0)),"")</f>
        <v>46309.416666666664</v>
      </c>
      <c r="J3412" t="str">
        <f>IFERROR(INDEX(tProdutos[Classe],MATCH(tItens[[#This Row],[Produto]],tProdutos[Produto],0)),"produto não cadastrado")</f>
        <v>FORA</v>
      </c>
      <c r="K3412" s="12">
        <f>tItens[[#This Row],[Qtd]]*tItens[[#This Row],[Vlr unit]]</f>
        <v>0</v>
      </c>
      <c r="L3412" s="6">
        <f>IFERROR(IF(INDEX(tProdutos[Desconto homologado],MATCH(tItens[[#This Row],[Produto]],tProdutos[Produto],0))="",DescontoPadrao,INDEX(tProdutos[Desconto homologado],MATCH(tItens[[#This Row],[Produto]],tProdutos[Produto],0))),DescontoPadrao)</f>
        <v>0.26356465005931201</v>
      </c>
      <c r="M3412" s="12">
        <f>tItens[[#This Row],[Valor]]*(1-tItens[[#This Row],[Desconto]])</f>
        <v>0</v>
      </c>
      <c r="N3412" t="str">
        <f>IFERROR(INDEX(tProdutos[Foco],MATCH(tItens[[#This Row],[Produto]],tProdutos[Produto],0)),"Não")</f>
        <v>Não</v>
      </c>
      <c r="O3412" t="str">
        <f>IFERROR(INDEX(tEditais[SRP],MATCH(tItens[[#This Row],[Edital]],tEditais[Edital],0)),"Não")</f>
        <v>Sim</v>
      </c>
      <c r="P3412" s="4">
        <f>IF(COUNTIFS(INDEX(tItens[Edital],1):tItens[[#This Row],[Edital]],tItens[[#This Row],[Edital]],INDEX(tItens[Produto],1):tItens[[#This Row],[Produto]],tItens[[#This Row],[Produto]])=1,1,0)</f>
        <v>0</v>
      </c>
    </row>
    <row r="3413" spans="1:16" x14ac:dyDescent="0.25">
      <c r="A3413" t="s">
        <v>1479</v>
      </c>
      <c r="B3413">
        <v>54</v>
      </c>
      <c r="C3413" t="s">
        <v>6299</v>
      </c>
      <c r="D3413" t="s">
        <v>347</v>
      </c>
      <c r="E3413" s="13">
        <v>26</v>
      </c>
      <c r="F3413" s="12">
        <v>0</v>
      </c>
      <c r="G3413" t="str">
        <f>IFERROR(INDEX(tEditais[Órgão],MATCH(tItens[[#This Row],[Edital]],tEditais[Edital],0)),"")</f>
        <v>EMPRESA BRASILEIRA DE SERVICOS HOSPITALARES - EBSERH</v>
      </c>
      <c r="H3413" t="str">
        <f>IFERROR(INDEX(tEditais[UF],MATCH(tItens[[#This Row],[Edital]],tEditais[Edital],0)),"")</f>
        <v>MG</v>
      </c>
      <c r="I3413" s="11">
        <f>IFERROR(INDEX(tEditais[Encerramento],MATCH(tItens[[#This Row],[Edital]],tEditais[Edital],0)),"")</f>
        <v>46309.416666666664</v>
      </c>
      <c r="J3413" t="str">
        <f>IFERROR(INDEX(tProdutos[Classe],MATCH(tItens[[#This Row],[Produto]],tProdutos[Produto],0)),"produto não cadastrado")</f>
        <v>FORA</v>
      </c>
      <c r="K3413" s="12">
        <f>tItens[[#This Row],[Qtd]]*tItens[[#This Row],[Vlr unit]]</f>
        <v>0</v>
      </c>
      <c r="L3413" s="6">
        <f>IFERROR(IF(INDEX(tProdutos[Desconto homologado],MATCH(tItens[[#This Row],[Produto]],tProdutos[Produto],0))="",DescontoPadrao,INDEX(tProdutos[Desconto homologado],MATCH(tItens[[#This Row],[Produto]],tProdutos[Produto],0))),DescontoPadrao)</f>
        <v>0.26356465005931201</v>
      </c>
      <c r="M3413" s="12">
        <f>tItens[[#This Row],[Valor]]*(1-tItens[[#This Row],[Desconto]])</f>
        <v>0</v>
      </c>
      <c r="N3413" t="str">
        <f>IFERROR(INDEX(tProdutos[Foco],MATCH(tItens[[#This Row],[Produto]],tProdutos[Produto],0)),"Não")</f>
        <v>Não</v>
      </c>
      <c r="O3413" t="str">
        <f>IFERROR(INDEX(tEditais[SRP],MATCH(tItens[[#This Row],[Edital]],tEditais[Edital],0)),"Não")</f>
        <v>Sim</v>
      </c>
      <c r="P3413" s="4">
        <f>IF(COUNTIFS(INDEX(tItens[Edital],1):tItens[[#This Row],[Edital]],tItens[[#This Row],[Edital]],INDEX(tItens[Produto],1):tItens[[#This Row],[Produto]],tItens[[#This Row],[Produto]])=1,1,0)</f>
        <v>0</v>
      </c>
    </row>
    <row r="3414" spans="1:16" x14ac:dyDescent="0.25">
      <c r="A3414" t="s">
        <v>1479</v>
      </c>
      <c r="B3414">
        <v>55</v>
      </c>
      <c r="C3414" t="s">
        <v>6300</v>
      </c>
      <c r="D3414" t="s">
        <v>347</v>
      </c>
      <c r="E3414" s="13">
        <v>10</v>
      </c>
      <c r="F3414" s="12">
        <v>0</v>
      </c>
      <c r="G3414" t="str">
        <f>IFERROR(INDEX(tEditais[Órgão],MATCH(tItens[[#This Row],[Edital]],tEditais[Edital],0)),"")</f>
        <v>EMPRESA BRASILEIRA DE SERVICOS HOSPITALARES - EBSERH</v>
      </c>
      <c r="H3414" t="str">
        <f>IFERROR(INDEX(tEditais[UF],MATCH(tItens[[#This Row],[Edital]],tEditais[Edital],0)),"")</f>
        <v>MG</v>
      </c>
      <c r="I3414" s="11">
        <f>IFERROR(INDEX(tEditais[Encerramento],MATCH(tItens[[#This Row],[Edital]],tEditais[Edital],0)),"")</f>
        <v>46309.416666666664</v>
      </c>
      <c r="J3414" t="str">
        <f>IFERROR(INDEX(tProdutos[Classe],MATCH(tItens[[#This Row],[Produto]],tProdutos[Produto],0)),"produto não cadastrado")</f>
        <v>FORA</v>
      </c>
      <c r="K3414" s="12">
        <f>tItens[[#This Row],[Qtd]]*tItens[[#This Row],[Vlr unit]]</f>
        <v>0</v>
      </c>
      <c r="L3414" s="6">
        <f>IFERROR(IF(INDEX(tProdutos[Desconto homologado],MATCH(tItens[[#This Row],[Produto]],tProdutos[Produto],0))="",DescontoPadrao,INDEX(tProdutos[Desconto homologado],MATCH(tItens[[#This Row],[Produto]],tProdutos[Produto],0))),DescontoPadrao)</f>
        <v>0.26356465005931201</v>
      </c>
      <c r="M3414" s="12">
        <f>tItens[[#This Row],[Valor]]*(1-tItens[[#This Row],[Desconto]])</f>
        <v>0</v>
      </c>
      <c r="N3414" t="str">
        <f>IFERROR(INDEX(tProdutos[Foco],MATCH(tItens[[#This Row],[Produto]],tProdutos[Produto],0)),"Não")</f>
        <v>Não</v>
      </c>
      <c r="O3414" t="str">
        <f>IFERROR(INDEX(tEditais[SRP],MATCH(tItens[[#This Row],[Edital]],tEditais[Edital],0)),"Não")</f>
        <v>Sim</v>
      </c>
      <c r="P3414" s="4">
        <f>IF(COUNTIFS(INDEX(tItens[Edital],1):tItens[[#This Row],[Edital]],tItens[[#This Row],[Edital]],INDEX(tItens[Produto],1):tItens[[#This Row],[Produto]],tItens[[#This Row],[Produto]])=1,1,0)</f>
        <v>0</v>
      </c>
    </row>
    <row r="3415" spans="1:16" x14ac:dyDescent="0.25">
      <c r="A3415" t="s">
        <v>1479</v>
      </c>
      <c r="B3415">
        <v>56</v>
      </c>
      <c r="C3415" t="s">
        <v>6301</v>
      </c>
      <c r="D3415" t="s">
        <v>347</v>
      </c>
      <c r="E3415" s="13">
        <v>30</v>
      </c>
      <c r="F3415" s="12">
        <v>0</v>
      </c>
      <c r="G3415" t="str">
        <f>IFERROR(INDEX(tEditais[Órgão],MATCH(tItens[[#This Row],[Edital]],tEditais[Edital],0)),"")</f>
        <v>EMPRESA BRASILEIRA DE SERVICOS HOSPITALARES - EBSERH</v>
      </c>
      <c r="H3415" t="str">
        <f>IFERROR(INDEX(tEditais[UF],MATCH(tItens[[#This Row],[Edital]],tEditais[Edital],0)),"")</f>
        <v>MG</v>
      </c>
      <c r="I3415" s="11">
        <f>IFERROR(INDEX(tEditais[Encerramento],MATCH(tItens[[#This Row],[Edital]],tEditais[Edital],0)),"")</f>
        <v>46309.416666666664</v>
      </c>
      <c r="J3415" t="str">
        <f>IFERROR(INDEX(tProdutos[Classe],MATCH(tItens[[#This Row],[Produto]],tProdutos[Produto],0)),"produto não cadastrado")</f>
        <v>FORA</v>
      </c>
      <c r="K3415" s="12">
        <f>tItens[[#This Row],[Qtd]]*tItens[[#This Row],[Vlr unit]]</f>
        <v>0</v>
      </c>
      <c r="L3415" s="6">
        <f>IFERROR(IF(INDEX(tProdutos[Desconto homologado],MATCH(tItens[[#This Row],[Produto]],tProdutos[Produto],0))="",DescontoPadrao,INDEX(tProdutos[Desconto homologado],MATCH(tItens[[#This Row],[Produto]],tProdutos[Produto],0))),DescontoPadrao)</f>
        <v>0.26356465005931201</v>
      </c>
      <c r="M3415" s="12">
        <f>tItens[[#This Row],[Valor]]*(1-tItens[[#This Row],[Desconto]])</f>
        <v>0</v>
      </c>
      <c r="N3415" t="str">
        <f>IFERROR(INDEX(tProdutos[Foco],MATCH(tItens[[#This Row],[Produto]],tProdutos[Produto],0)),"Não")</f>
        <v>Não</v>
      </c>
      <c r="O3415" t="str">
        <f>IFERROR(INDEX(tEditais[SRP],MATCH(tItens[[#This Row],[Edital]],tEditais[Edital],0)),"Não")</f>
        <v>Sim</v>
      </c>
      <c r="P3415" s="4">
        <f>IF(COUNTIFS(INDEX(tItens[Edital],1):tItens[[#This Row],[Edital]],tItens[[#This Row],[Edital]],INDEX(tItens[Produto],1):tItens[[#This Row],[Produto]],tItens[[#This Row],[Produto]])=1,1,0)</f>
        <v>0</v>
      </c>
    </row>
    <row r="3416" spans="1:16" x14ac:dyDescent="0.25">
      <c r="A3416" t="s">
        <v>1479</v>
      </c>
      <c r="B3416">
        <v>57</v>
      </c>
      <c r="C3416" t="s">
        <v>6302</v>
      </c>
      <c r="D3416" t="s">
        <v>347</v>
      </c>
      <c r="E3416" s="13">
        <v>98</v>
      </c>
      <c r="F3416" s="12">
        <v>0</v>
      </c>
      <c r="G3416" t="str">
        <f>IFERROR(INDEX(tEditais[Órgão],MATCH(tItens[[#This Row],[Edital]],tEditais[Edital],0)),"")</f>
        <v>EMPRESA BRASILEIRA DE SERVICOS HOSPITALARES - EBSERH</v>
      </c>
      <c r="H3416" t="str">
        <f>IFERROR(INDEX(tEditais[UF],MATCH(tItens[[#This Row],[Edital]],tEditais[Edital],0)),"")</f>
        <v>MG</v>
      </c>
      <c r="I3416" s="11">
        <f>IFERROR(INDEX(tEditais[Encerramento],MATCH(tItens[[#This Row],[Edital]],tEditais[Edital],0)),"")</f>
        <v>46309.416666666664</v>
      </c>
      <c r="J3416" t="str">
        <f>IFERROR(INDEX(tProdutos[Classe],MATCH(tItens[[#This Row],[Produto]],tProdutos[Produto],0)),"produto não cadastrado")</f>
        <v>FORA</v>
      </c>
      <c r="K3416" s="12">
        <f>tItens[[#This Row],[Qtd]]*tItens[[#This Row],[Vlr unit]]</f>
        <v>0</v>
      </c>
      <c r="L3416" s="6">
        <f>IFERROR(IF(INDEX(tProdutos[Desconto homologado],MATCH(tItens[[#This Row],[Produto]],tProdutos[Produto],0))="",DescontoPadrao,INDEX(tProdutos[Desconto homologado],MATCH(tItens[[#This Row],[Produto]],tProdutos[Produto],0))),DescontoPadrao)</f>
        <v>0.26356465005931201</v>
      </c>
      <c r="M3416" s="12">
        <f>tItens[[#This Row],[Valor]]*(1-tItens[[#This Row],[Desconto]])</f>
        <v>0</v>
      </c>
      <c r="N3416" t="str">
        <f>IFERROR(INDEX(tProdutos[Foco],MATCH(tItens[[#This Row],[Produto]],tProdutos[Produto],0)),"Não")</f>
        <v>Não</v>
      </c>
      <c r="O3416" t="str">
        <f>IFERROR(INDEX(tEditais[SRP],MATCH(tItens[[#This Row],[Edital]],tEditais[Edital],0)),"Não")</f>
        <v>Sim</v>
      </c>
      <c r="P3416" s="4">
        <f>IF(COUNTIFS(INDEX(tItens[Edital],1):tItens[[#This Row],[Edital]],tItens[[#This Row],[Edital]],INDEX(tItens[Produto],1):tItens[[#This Row],[Produto]],tItens[[#This Row],[Produto]])=1,1,0)</f>
        <v>0</v>
      </c>
    </row>
    <row r="3417" spans="1:16" x14ac:dyDescent="0.25">
      <c r="A3417" t="s">
        <v>1479</v>
      </c>
      <c r="B3417">
        <v>58</v>
      </c>
      <c r="C3417" t="s">
        <v>6303</v>
      </c>
      <c r="D3417" t="s">
        <v>347</v>
      </c>
      <c r="E3417" s="13">
        <v>130</v>
      </c>
      <c r="F3417" s="12">
        <v>0</v>
      </c>
      <c r="G3417" t="str">
        <f>IFERROR(INDEX(tEditais[Órgão],MATCH(tItens[[#This Row],[Edital]],tEditais[Edital],0)),"")</f>
        <v>EMPRESA BRASILEIRA DE SERVICOS HOSPITALARES - EBSERH</v>
      </c>
      <c r="H3417" t="str">
        <f>IFERROR(INDEX(tEditais[UF],MATCH(tItens[[#This Row],[Edital]],tEditais[Edital],0)),"")</f>
        <v>MG</v>
      </c>
      <c r="I3417" s="11">
        <f>IFERROR(INDEX(tEditais[Encerramento],MATCH(tItens[[#This Row],[Edital]],tEditais[Edital],0)),"")</f>
        <v>46309.416666666664</v>
      </c>
      <c r="J3417" t="str">
        <f>IFERROR(INDEX(tProdutos[Classe],MATCH(tItens[[#This Row],[Produto]],tProdutos[Produto],0)),"produto não cadastrado")</f>
        <v>FORA</v>
      </c>
      <c r="K3417" s="12">
        <f>tItens[[#This Row],[Qtd]]*tItens[[#This Row],[Vlr unit]]</f>
        <v>0</v>
      </c>
      <c r="L3417" s="6">
        <f>IFERROR(IF(INDEX(tProdutos[Desconto homologado],MATCH(tItens[[#This Row],[Produto]],tProdutos[Produto],0))="",DescontoPadrao,INDEX(tProdutos[Desconto homologado],MATCH(tItens[[#This Row],[Produto]],tProdutos[Produto],0))),DescontoPadrao)</f>
        <v>0.26356465005931201</v>
      </c>
      <c r="M3417" s="12">
        <f>tItens[[#This Row],[Valor]]*(1-tItens[[#This Row],[Desconto]])</f>
        <v>0</v>
      </c>
      <c r="N3417" t="str">
        <f>IFERROR(INDEX(tProdutos[Foco],MATCH(tItens[[#This Row],[Produto]],tProdutos[Produto],0)),"Não")</f>
        <v>Não</v>
      </c>
      <c r="O3417" t="str">
        <f>IFERROR(INDEX(tEditais[SRP],MATCH(tItens[[#This Row],[Edital]],tEditais[Edital],0)),"Não")</f>
        <v>Sim</v>
      </c>
      <c r="P3417" s="4">
        <f>IF(COUNTIFS(INDEX(tItens[Edital],1):tItens[[#This Row],[Edital]],tItens[[#This Row],[Edital]],INDEX(tItens[Produto],1):tItens[[#This Row],[Produto]],tItens[[#This Row],[Produto]])=1,1,0)</f>
        <v>0</v>
      </c>
    </row>
    <row r="3418" spans="1:16" x14ac:dyDescent="0.25">
      <c r="A3418" t="s">
        <v>1479</v>
      </c>
      <c r="B3418">
        <v>59</v>
      </c>
      <c r="C3418" t="s">
        <v>6304</v>
      </c>
      <c r="D3418" t="s">
        <v>347</v>
      </c>
      <c r="E3418" s="13">
        <v>426</v>
      </c>
      <c r="F3418" s="12">
        <v>0</v>
      </c>
      <c r="G3418" t="str">
        <f>IFERROR(INDEX(tEditais[Órgão],MATCH(tItens[[#This Row],[Edital]],tEditais[Edital],0)),"")</f>
        <v>EMPRESA BRASILEIRA DE SERVICOS HOSPITALARES - EBSERH</v>
      </c>
      <c r="H3418" t="str">
        <f>IFERROR(INDEX(tEditais[UF],MATCH(tItens[[#This Row],[Edital]],tEditais[Edital],0)),"")</f>
        <v>MG</v>
      </c>
      <c r="I3418" s="11">
        <f>IFERROR(INDEX(tEditais[Encerramento],MATCH(tItens[[#This Row],[Edital]],tEditais[Edital],0)),"")</f>
        <v>46309.416666666664</v>
      </c>
      <c r="J3418" t="str">
        <f>IFERROR(INDEX(tProdutos[Classe],MATCH(tItens[[#This Row],[Produto]],tProdutos[Produto],0)),"produto não cadastrado")</f>
        <v>FORA</v>
      </c>
      <c r="K3418" s="12">
        <f>tItens[[#This Row],[Qtd]]*tItens[[#This Row],[Vlr unit]]</f>
        <v>0</v>
      </c>
      <c r="L3418" s="6">
        <f>IFERROR(IF(INDEX(tProdutos[Desconto homologado],MATCH(tItens[[#This Row],[Produto]],tProdutos[Produto],0))="",DescontoPadrao,INDEX(tProdutos[Desconto homologado],MATCH(tItens[[#This Row],[Produto]],tProdutos[Produto],0))),DescontoPadrao)</f>
        <v>0.26356465005931201</v>
      </c>
      <c r="M3418" s="12">
        <f>tItens[[#This Row],[Valor]]*(1-tItens[[#This Row],[Desconto]])</f>
        <v>0</v>
      </c>
      <c r="N3418" t="str">
        <f>IFERROR(INDEX(tProdutos[Foco],MATCH(tItens[[#This Row],[Produto]],tProdutos[Produto],0)),"Não")</f>
        <v>Não</v>
      </c>
      <c r="O3418" t="str">
        <f>IFERROR(INDEX(tEditais[SRP],MATCH(tItens[[#This Row],[Edital]],tEditais[Edital],0)),"Não")</f>
        <v>Sim</v>
      </c>
      <c r="P3418" s="4">
        <f>IF(COUNTIFS(INDEX(tItens[Edital],1):tItens[[#This Row],[Edital]],tItens[[#This Row],[Edital]],INDEX(tItens[Produto],1):tItens[[#This Row],[Produto]],tItens[[#This Row],[Produto]])=1,1,0)</f>
        <v>0</v>
      </c>
    </row>
    <row r="3419" spans="1:16" x14ac:dyDescent="0.25">
      <c r="A3419" t="s">
        <v>1479</v>
      </c>
      <c r="B3419">
        <v>60</v>
      </c>
      <c r="C3419" t="s">
        <v>6305</v>
      </c>
      <c r="D3419" t="s">
        <v>347</v>
      </c>
      <c r="E3419" s="13">
        <v>186</v>
      </c>
      <c r="F3419" s="12">
        <v>0</v>
      </c>
      <c r="G3419" t="str">
        <f>IFERROR(INDEX(tEditais[Órgão],MATCH(tItens[[#This Row],[Edital]],tEditais[Edital],0)),"")</f>
        <v>EMPRESA BRASILEIRA DE SERVICOS HOSPITALARES - EBSERH</v>
      </c>
      <c r="H3419" t="str">
        <f>IFERROR(INDEX(tEditais[UF],MATCH(tItens[[#This Row],[Edital]],tEditais[Edital],0)),"")</f>
        <v>MG</v>
      </c>
      <c r="I3419" s="11">
        <f>IFERROR(INDEX(tEditais[Encerramento],MATCH(tItens[[#This Row],[Edital]],tEditais[Edital],0)),"")</f>
        <v>46309.416666666664</v>
      </c>
      <c r="J3419" t="str">
        <f>IFERROR(INDEX(tProdutos[Classe],MATCH(tItens[[#This Row],[Produto]],tProdutos[Produto],0)),"produto não cadastrado")</f>
        <v>FORA</v>
      </c>
      <c r="K3419" s="12">
        <f>tItens[[#This Row],[Qtd]]*tItens[[#This Row],[Vlr unit]]</f>
        <v>0</v>
      </c>
      <c r="L3419" s="6">
        <f>IFERROR(IF(INDEX(tProdutos[Desconto homologado],MATCH(tItens[[#This Row],[Produto]],tProdutos[Produto],0))="",DescontoPadrao,INDEX(tProdutos[Desconto homologado],MATCH(tItens[[#This Row],[Produto]],tProdutos[Produto],0))),DescontoPadrao)</f>
        <v>0.26356465005931201</v>
      </c>
      <c r="M3419" s="12">
        <f>tItens[[#This Row],[Valor]]*(1-tItens[[#This Row],[Desconto]])</f>
        <v>0</v>
      </c>
      <c r="N3419" t="str">
        <f>IFERROR(INDEX(tProdutos[Foco],MATCH(tItens[[#This Row],[Produto]],tProdutos[Produto],0)),"Não")</f>
        <v>Não</v>
      </c>
      <c r="O3419" t="str">
        <f>IFERROR(INDEX(tEditais[SRP],MATCH(tItens[[#This Row],[Edital]],tEditais[Edital],0)),"Não")</f>
        <v>Sim</v>
      </c>
      <c r="P3419" s="4">
        <f>IF(COUNTIFS(INDEX(tItens[Edital],1):tItens[[#This Row],[Edital]],tItens[[#This Row],[Edital]],INDEX(tItens[Produto],1):tItens[[#This Row],[Produto]],tItens[[#This Row],[Produto]])=1,1,0)</f>
        <v>0</v>
      </c>
    </row>
    <row r="3420" spans="1:16" x14ac:dyDescent="0.25">
      <c r="A3420" t="s">
        <v>1479</v>
      </c>
      <c r="B3420">
        <v>61</v>
      </c>
      <c r="C3420" t="s">
        <v>6306</v>
      </c>
      <c r="D3420" t="s">
        <v>347</v>
      </c>
      <c r="E3420" s="13">
        <v>39</v>
      </c>
      <c r="F3420" s="12">
        <v>0</v>
      </c>
      <c r="G3420" t="str">
        <f>IFERROR(INDEX(tEditais[Órgão],MATCH(tItens[[#This Row],[Edital]],tEditais[Edital],0)),"")</f>
        <v>EMPRESA BRASILEIRA DE SERVICOS HOSPITALARES - EBSERH</v>
      </c>
      <c r="H3420" t="str">
        <f>IFERROR(INDEX(tEditais[UF],MATCH(tItens[[#This Row],[Edital]],tEditais[Edital],0)),"")</f>
        <v>MG</v>
      </c>
      <c r="I3420" s="11">
        <f>IFERROR(INDEX(tEditais[Encerramento],MATCH(tItens[[#This Row],[Edital]],tEditais[Edital],0)),"")</f>
        <v>46309.416666666664</v>
      </c>
      <c r="J3420" t="str">
        <f>IFERROR(INDEX(tProdutos[Classe],MATCH(tItens[[#This Row],[Produto]],tProdutos[Produto],0)),"produto não cadastrado")</f>
        <v>FORA</v>
      </c>
      <c r="K3420" s="12">
        <f>tItens[[#This Row],[Qtd]]*tItens[[#This Row],[Vlr unit]]</f>
        <v>0</v>
      </c>
      <c r="L3420" s="6">
        <f>IFERROR(IF(INDEX(tProdutos[Desconto homologado],MATCH(tItens[[#This Row],[Produto]],tProdutos[Produto],0))="",DescontoPadrao,INDEX(tProdutos[Desconto homologado],MATCH(tItens[[#This Row],[Produto]],tProdutos[Produto],0))),DescontoPadrao)</f>
        <v>0.26356465005931201</v>
      </c>
      <c r="M3420" s="12">
        <f>tItens[[#This Row],[Valor]]*(1-tItens[[#This Row],[Desconto]])</f>
        <v>0</v>
      </c>
      <c r="N3420" t="str">
        <f>IFERROR(INDEX(tProdutos[Foco],MATCH(tItens[[#This Row],[Produto]],tProdutos[Produto],0)),"Não")</f>
        <v>Não</v>
      </c>
      <c r="O3420" t="str">
        <f>IFERROR(INDEX(tEditais[SRP],MATCH(tItens[[#This Row],[Edital]],tEditais[Edital],0)),"Não")</f>
        <v>Sim</v>
      </c>
      <c r="P3420" s="4">
        <f>IF(COUNTIFS(INDEX(tItens[Edital],1):tItens[[#This Row],[Edital]],tItens[[#This Row],[Edital]],INDEX(tItens[Produto],1):tItens[[#This Row],[Produto]],tItens[[#This Row],[Produto]])=1,1,0)</f>
        <v>0</v>
      </c>
    </row>
    <row r="3421" spans="1:16" x14ac:dyDescent="0.25">
      <c r="A3421" t="s">
        <v>1479</v>
      </c>
      <c r="B3421">
        <v>62</v>
      </c>
      <c r="C3421" t="s">
        <v>6303</v>
      </c>
      <c r="D3421" t="s">
        <v>347</v>
      </c>
      <c r="E3421" s="13">
        <v>195</v>
      </c>
      <c r="F3421" s="12">
        <v>0</v>
      </c>
      <c r="G3421" t="str">
        <f>IFERROR(INDEX(tEditais[Órgão],MATCH(tItens[[#This Row],[Edital]],tEditais[Edital],0)),"")</f>
        <v>EMPRESA BRASILEIRA DE SERVICOS HOSPITALARES - EBSERH</v>
      </c>
      <c r="H3421" t="str">
        <f>IFERROR(INDEX(tEditais[UF],MATCH(tItens[[#This Row],[Edital]],tEditais[Edital],0)),"")</f>
        <v>MG</v>
      </c>
      <c r="I3421" s="11">
        <f>IFERROR(INDEX(tEditais[Encerramento],MATCH(tItens[[#This Row],[Edital]],tEditais[Edital],0)),"")</f>
        <v>46309.416666666664</v>
      </c>
      <c r="J3421" t="str">
        <f>IFERROR(INDEX(tProdutos[Classe],MATCH(tItens[[#This Row],[Produto]],tProdutos[Produto],0)),"produto não cadastrado")</f>
        <v>FORA</v>
      </c>
      <c r="K3421" s="12">
        <f>tItens[[#This Row],[Qtd]]*tItens[[#This Row],[Vlr unit]]</f>
        <v>0</v>
      </c>
      <c r="L3421" s="6">
        <f>IFERROR(IF(INDEX(tProdutos[Desconto homologado],MATCH(tItens[[#This Row],[Produto]],tProdutos[Produto],0))="",DescontoPadrao,INDEX(tProdutos[Desconto homologado],MATCH(tItens[[#This Row],[Produto]],tProdutos[Produto],0))),DescontoPadrao)</f>
        <v>0.26356465005931201</v>
      </c>
      <c r="M3421" s="12">
        <f>tItens[[#This Row],[Valor]]*(1-tItens[[#This Row],[Desconto]])</f>
        <v>0</v>
      </c>
      <c r="N3421" t="str">
        <f>IFERROR(INDEX(tProdutos[Foco],MATCH(tItens[[#This Row],[Produto]],tProdutos[Produto],0)),"Não")</f>
        <v>Não</v>
      </c>
      <c r="O3421" t="str">
        <f>IFERROR(INDEX(tEditais[SRP],MATCH(tItens[[#This Row],[Edital]],tEditais[Edital],0)),"Não")</f>
        <v>Sim</v>
      </c>
      <c r="P3421" s="4">
        <f>IF(COUNTIFS(INDEX(tItens[Edital],1):tItens[[#This Row],[Edital]],tItens[[#This Row],[Edital]],INDEX(tItens[Produto],1):tItens[[#This Row],[Produto]],tItens[[#This Row],[Produto]])=1,1,0)</f>
        <v>0</v>
      </c>
    </row>
    <row r="3422" spans="1:16" x14ac:dyDescent="0.25">
      <c r="A3422" t="s">
        <v>1479</v>
      </c>
      <c r="B3422">
        <v>67</v>
      </c>
      <c r="C3422" t="s">
        <v>6307</v>
      </c>
      <c r="D3422" t="s">
        <v>347</v>
      </c>
      <c r="E3422" s="13">
        <v>195</v>
      </c>
      <c r="F3422" s="12">
        <v>0</v>
      </c>
      <c r="G3422" t="str">
        <f>IFERROR(INDEX(tEditais[Órgão],MATCH(tItens[[#This Row],[Edital]],tEditais[Edital],0)),"")</f>
        <v>EMPRESA BRASILEIRA DE SERVICOS HOSPITALARES - EBSERH</v>
      </c>
      <c r="H3422" t="str">
        <f>IFERROR(INDEX(tEditais[UF],MATCH(tItens[[#This Row],[Edital]],tEditais[Edital],0)),"")</f>
        <v>MG</v>
      </c>
      <c r="I3422" s="11">
        <f>IFERROR(INDEX(tEditais[Encerramento],MATCH(tItens[[#This Row],[Edital]],tEditais[Edital],0)),"")</f>
        <v>46309.416666666664</v>
      </c>
      <c r="J3422" t="str">
        <f>IFERROR(INDEX(tProdutos[Classe],MATCH(tItens[[#This Row],[Produto]],tProdutos[Produto],0)),"produto não cadastrado")</f>
        <v>FORA</v>
      </c>
      <c r="K3422" s="12">
        <f>tItens[[#This Row],[Qtd]]*tItens[[#This Row],[Vlr unit]]</f>
        <v>0</v>
      </c>
      <c r="L3422" s="6">
        <f>IFERROR(IF(INDEX(tProdutos[Desconto homologado],MATCH(tItens[[#This Row],[Produto]],tProdutos[Produto],0))="",DescontoPadrao,INDEX(tProdutos[Desconto homologado],MATCH(tItens[[#This Row],[Produto]],tProdutos[Produto],0))),DescontoPadrao)</f>
        <v>0.26356465005931201</v>
      </c>
      <c r="M3422" s="12">
        <f>tItens[[#This Row],[Valor]]*(1-tItens[[#This Row],[Desconto]])</f>
        <v>0</v>
      </c>
      <c r="N3422" t="str">
        <f>IFERROR(INDEX(tProdutos[Foco],MATCH(tItens[[#This Row],[Produto]],tProdutos[Produto],0)),"Não")</f>
        <v>Não</v>
      </c>
      <c r="O3422" t="str">
        <f>IFERROR(INDEX(tEditais[SRP],MATCH(tItens[[#This Row],[Edital]],tEditais[Edital],0)),"Não")</f>
        <v>Sim</v>
      </c>
      <c r="P3422" s="4">
        <f>IF(COUNTIFS(INDEX(tItens[Edital],1):tItens[[#This Row],[Edital]],tItens[[#This Row],[Edital]],INDEX(tItens[Produto],1):tItens[[#This Row],[Produto]],tItens[[#This Row],[Produto]])=1,1,0)</f>
        <v>0</v>
      </c>
    </row>
    <row r="3423" spans="1:16" x14ac:dyDescent="0.25">
      <c r="A3423" t="s">
        <v>1482</v>
      </c>
      <c r="B3423">
        <v>22</v>
      </c>
      <c r="C3423" t="s">
        <v>6308</v>
      </c>
      <c r="D3423" t="s">
        <v>694</v>
      </c>
      <c r="E3423" s="13">
        <v>2</v>
      </c>
      <c r="F3423" s="12">
        <v>0</v>
      </c>
      <c r="G3423" t="str">
        <f>IFERROR(INDEX(tEditais[Órgão],MATCH(tItens[[#This Row],[Edital]],tEditais[Edital],0)),"")</f>
        <v>MUNICIPIO DE JENIPAPO DE MINAS</v>
      </c>
      <c r="H3423" t="str">
        <f>IFERROR(INDEX(tEditais[UF],MATCH(tItens[[#This Row],[Edital]],tEditais[Edital],0)),"")</f>
        <v>MG</v>
      </c>
      <c r="I3423" s="11">
        <f>IFERROR(INDEX(tEditais[Encerramento],MATCH(tItens[[#This Row],[Edital]],tEditais[Edital],0)),"")</f>
        <v>46309.583333333336</v>
      </c>
      <c r="J3423" t="str">
        <f>IFERROR(INDEX(tProdutos[Classe],MATCH(tItens[[#This Row],[Produto]],tProdutos[Produto],0)),"produto não cadastrado")</f>
        <v>FILA REBASE</v>
      </c>
      <c r="K3423" s="12">
        <f>tItens[[#This Row],[Qtd]]*tItens[[#This Row],[Vlr unit]]</f>
        <v>0</v>
      </c>
      <c r="L3423" s="6">
        <f>IFERROR(IF(INDEX(tProdutos[Desconto homologado],MATCH(tItens[[#This Row],[Produto]],tProdutos[Produto],0))="",DescontoPadrao,INDEX(tProdutos[Desconto homologado],MATCH(tItens[[#This Row],[Produto]],tProdutos[Produto],0))),DescontoPadrao)</f>
        <v>0.61577111781048699</v>
      </c>
      <c r="M3423" s="12">
        <f>tItens[[#This Row],[Valor]]*(1-tItens[[#This Row],[Desconto]])</f>
        <v>0</v>
      </c>
      <c r="N3423" t="str">
        <f>IFERROR(INDEX(tProdutos[Foco],MATCH(tItens[[#This Row],[Produto]],tProdutos[Produto],0)),"Não")</f>
        <v>Não</v>
      </c>
      <c r="O3423" t="str">
        <f>IFERROR(INDEX(tEditais[SRP],MATCH(tItens[[#This Row],[Edital]],tEditais[Edital],0)),"Não")</f>
        <v>Sim</v>
      </c>
      <c r="P3423" s="4">
        <f>IF(COUNTIFS(INDEX(tItens[Edital],1):tItens[[#This Row],[Edital]],tItens[[#This Row],[Edital]],INDEX(tItens[Produto],1):tItens[[#This Row],[Produto]],tItens[[#This Row],[Produto]])=1,1,0)</f>
        <v>1</v>
      </c>
    </row>
    <row r="3424" spans="1:16" x14ac:dyDescent="0.25">
      <c r="A3424" t="s">
        <v>1482</v>
      </c>
      <c r="B3424">
        <v>27</v>
      </c>
      <c r="C3424" t="s">
        <v>6309</v>
      </c>
      <c r="D3424" t="s">
        <v>569</v>
      </c>
      <c r="E3424" s="13">
        <v>8</v>
      </c>
      <c r="F3424" s="12">
        <v>0</v>
      </c>
      <c r="G3424" t="str">
        <f>IFERROR(INDEX(tEditais[Órgão],MATCH(tItens[[#This Row],[Edital]],tEditais[Edital],0)),"")</f>
        <v>MUNICIPIO DE JENIPAPO DE MINAS</v>
      </c>
      <c r="H3424" t="str">
        <f>IFERROR(INDEX(tEditais[UF],MATCH(tItens[[#This Row],[Edital]],tEditais[Edital],0)),"")</f>
        <v>MG</v>
      </c>
      <c r="I3424" s="11">
        <f>IFERROR(INDEX(tEditais[Encerramento],MATCH(tItens[[#This Row],[Edital]],tEditais[Edital],0)),"")</f>
        <v>46309.583333333336</v>
      </c>
      <c r="J3424" t="str">
        <f>IFERROR(INDEX(tProdutos[Classe],MATCH(tItens[[#This Row],[Produto]],tProdutos[Produto],0)),"produto não cadastrado")</f>
        <v>FILA REBASE</v>
      </c>
      <c r="K3424" s="12">
        <f>tItens[[#This Row],[Qtd]]*tItens[[#This Row],[Vlr unit]]</f>
        <v>0</v>
      </c>
      <c r="L3424" s="6">
        <f>IFERROR(IF(INDEX(tProdutos[Desconto homologado],MATCH(tItens[[#This Row],[Produto]],tProdutos[Produto],0))="",DescontoPadrao,INDEX(tProdutos[Desconto homologado],MATCH(tItens[[#This Row],[Produto]],tProdutos[Produto],0))),DescontoPadrao)</f>
        <v>0.3</v>
      </c>
      <c r="M3424" s="12">
        <f>tItens[[#This Row],[Valor]]*(1-tItens[[#This Row],[Desconto]])</f>
        <v>0</v>
      </c>
      <c r="N3424" t="str">
        <f>IFERROR(INDEX(tProdutos[Foco],MATCH(tItens[[#This Row],[Produto]],tProdutos[Produto],0)),"Não")</f>
        <v>Não</v>
      </c>
      <c r="O3424" t="str">
        <f>IFERROR(INDEX(tEditais[SRP],MATCH(tItens[[#This Row],[Edital]],tEditais[Edital],0)),"Não")</f>
        <v>Sim</v>
      </c>
      <c r="P3424" s="4">
        <f>IF(COUNTIFS(INDEX(tItens[Edital],1):tItens[[#This Row],[Edital]],tItens[[#This Row],[Edital]],INDEX(tItens[Produto],1):tItens[[#This Row],[Produto]],tItens[[#This Row],[Produto]])=1,1,0)</f>
        <v>1</v>
      </c>
    </row>
    <row r="3425" spans="1:16" x14ac:dyDescent="0.25">
      <c r="A3425" t="s">
        <v>1482</v>
      </c>
      <c r="B3425">
        <v>38</v>
      </c>
      <c r="C3425" t="s">
        <v>6310</v>
      </c>
      <c r="D3425" t="s">
        <v>62</v>
      </c>
      <c r="E3425" s="13">
        <v>175</v>
      </c>
      <c r="F3425" s="12">
        <v>0</v>
      </c>
      <c r="G3425" t="str">
        <f>IFERROR(INDEX(tEditais[Órgão],MATCH(tItens[[#This Row],[Edital]],tEditais[Edital],0)),"")</f>
        <v>MUNICIPIO DE JENIPAPO DE MINAS</v>
      </c>
      <c r="H3425" t="str">
        <f>IFERROR(INDEX(tEditais[UF],MATCH(tItens[[#This Row],[Edital]],tEditais[Edital],0)),"")</f>
        <v>MG</v>
      </c>
      <c r="I3425" s="11">
        <f>IFERROR(INDEX(tEditais[Encerramento],MATCH(tItens[[#This Row],[Edital]],tEditais[Edital],0)),"")</f>
        <v>46309.583333333336</v>
      </c>
      <c r="J3425" t="str">
        <f>IFERROR(INDEX(tProdutos[Classe],MATCH(tItens[[#This Row],[Produto]],tProdutos[Produto],0)),"produto não cadastrado")</f>
        <v>NÚCLEO</v>
      </c>
      <c r="K3425" s="12">
        <f>tItens[[#This Row],[Qtd]]*tItens[[#This Row],[Vlr unit]]</f>
        <v>0</v>
      </c>
      <c r="L3425" s="6">
        <f>IFERROR(IF(INDEX(tProdutos[Desconto homologado],MATCH(tItens[[#This Row],[Produto]],tProdutos[Produto],0))="",DescontoPadrao,INDEX(tProdutos[Desconto homologado],MATCH(tItens[[#This Row],[Produto]],tProdutos[Produto],0))),DescontoPadrao)</f>
        <v>0.3</v>
      </c>
      <c r="M3425" s="12">
        <f>tItens[[#This Row],[Valor]]*(1-tItens[[#This Row],[Desconto]])</f>
        <v>0</v>
      </c>
      <c r="N3425" t="str">
        <f>IFERROR(INDEX(tProdutos[Foco],MATCH(tItens[[#This Row],[Produto]],tProdutos[Produto],0)),"Não")</f>
        <v>Sim</v>
      </c>
      <c r="O3425" t="str">
        <f>IFERROR(INDEX(tEditais[SRP],MATCH(tItens[[#This Row],[Edital]],tEditais[Edital],0)),"Não")</f>
        <v>Sim</v>
      </c>
      <c r="P3425" s="4">
        <f>IF(COUNTIFS(INDEX(tItens[Edital],1):tItens[[#This Row],[Edital]],tItens[[#This Row],[Edital]],INDEX(tItens[Produto],1):tItens[[#This Row],[Produto]],tItens[[#This Row],[Produto]])=1,1,0)</f>
        <v>1</v>
      </c>
    </row>
    <row r="3426" spans="1:16" x14ac:dyDescent="0.25">
      <c r="A3426" t="s">
        <v>1482</v>
      </c>
      <c r="B3426">
        <v>39</v>
      </c>
      <c r="C3426" t="s">
        <v>4816</v>
      </c>
      <c r="D3426" t="s">
        <v>423</v>
      </c>
      <c r="E3426" s="13">
        <v>5</v>
      </c>
      <c r="F3426" s="12">
        <v>0</v>
      </c>
      <c r="G3426" t="str">
        <f>IFERROR(INDEX(tEditais[Órgão],MATCH(tItens[[#This Row],[Edital]],tEditais[Edital],0)),"")</f>
        <v>MUNICIPIO DE JENIPAPO DE MINAS</v>
      </c>
      <c r="H3426" t="str">
        <f>IFERROR(INDEX(tEditais[UF],MATCH(tItens[[#This Row],[Edital]],tEditais[Edital],0)),"")</f>
        <v>MG</v>
      </c>
      <c r="I3426" s="11">
        <f>IFERROR(INDEX(tEditais[Encerramento],MATCH(tItens[[#This Row],[Edital]],tEditais[Edital],0)),"")</f>
        <v>46309.583333333336</v>
      </c>
      <c r="J3426" t="str">
        <f>IFERROR(INDEX(tProdutos[Classe],MATCH(tItens[[#This Row],[Produto]],tProdutos[Produto],0)),"produto não cadastrado")</f>
        <v>FORA</v>
      </c>
      <c r="K3426" s="12">
        <f>tItens[[#This Row],[Qtd]]*tItens[[#This Row],[Vlr unit]]</f>
        <v>0</v>
      </c>
      <c r="L3426" s="6">
        <f>IFERROR(IF(INDEX(tProdutos[Desconto homologado],MATCH(tItens[[#This Row],[Produto]],tProdutos[Produto],0))="",DescontoPadrao,INDEX(tProdutos[Desconto homologado],MATCH(tItens[[#This Row],[Produto]],tProdutos[Produto],0))),DescontoPadrao)</f>
        <v>0.38271604938271597</v>
      </c>
      <c r="M3426" s="12">
        <f>tItens[[#This Row],[Valor]]*(1-tItens[[#This Row],[Desconto]])</f>
        <v>0</v>
      </c>
      <c r="N3426" t="str">
        <f>IFERROR(INDEX(tProdutos[Foco],MATCH(tItens[[#This Row],[Produto]],tProdutos[Produto],0)),"Não")</f>
        <v>Não</v>
      </c>
      <c r="O3426" t="str">
        <f>IFERROR(INDEX(tEditais[SRP],MATCH(tItens[[#This Row],[Edital]],tEditais[Edital],0)),"Não")</f>
        <v>Sim</v>
      </c>
      <c r="P3426" s="4">
        <f>IF(COUNTIFS(INDEX(tItens[Edital],1):tItens[[#This Row],[Edital]],tItens[[#This Row],[Edital]],INDEX(tItens[Produto],1):tItens[[#This Row],[Produto]],tItens[[#This Row],[Produto]])=1,1,0)</f>
        <v>1</v>
      </c>
    </row>
    <row r="3427" spans="1:16" x14ac:dyDescent="0.25">
      <c r="A3427" t="s">
        <v>1482</v>
      </c>
      <c r="B3427">
        <v>42</v>
      </c>
      <c r="C3427" t="s">
        <v>6311</v>
      </c>
      <c r="D3427" t="s">
        <v>409</v>
      </c>
      <c r="E3427" s="13">
        <v>30</v>
      </c>
      <c r="F3427" s="12">
        <v>0</v>
      </c>
      <c r="G3427" t="str">
        <f>IFERROR(INDEX(tEditais[Órgão],MATCH(tItens[[#This Row],[Edital]],tEditais[Edital],0)),"")</f>
        <v>MUNICIPIO DE JENIPAPO DE MINAS</v>
      </c>
      <c r="H3427" t="str">
        <f>IFERROR(INDEX(tEditais[UF],MATCH(tItens[[#This Row],[Edital]],tEditais[Edital],0)),"")</f>
        <v>MG</v>
      </c>
      <c r="I3427" s="11">
        <f>IFERROR(INDEX(tEditais[Encerramento],MATCH(tItens[[#This Row],[Edital]],tEditais[Edital],0)),"")</f>
        <v>46309.583333333336</v>
      </c>
      <c r="J3427" t="str">
        <f>IFERROR(INDEX(tProdutos[Classe],MATCH(tItens[[#This Row],[Produto]],tProdutos[Produto],0)),"produto não cadastrado")</f>
        <v>FORA</v>
      </c>
      <c r="K3427" s="12">
        <f>tItens[[#This Row],[Qtd]]*tItens[[#This Row],[Vlr unit]]</f>
        <v>0</v>
      </c>
      <c r="L3427" s="6">
        <f>IFERROR(IF(INDEX(tProdutos[Desconto homologado],MATCH(tItens[[#This Row],[Produto]],tProdutos[Produto],0))="",DescontoPadrao,INDEX(tProdutos[Desconto homologado],MATCH(tItens[[#This Row],[Produto]],tProdutos[Produto],0))),DescontoPadrao)</f>
        <v>0.24924924924924899</v>
      </c>
      <c r="M3427" s="12">
        <f>tItens[[#This Row],[Valor]]*(1-tItens[[#This Row],[Desconto]])</f>
        <v>0</v>
      </c>
      <c r="N3427" t="str">
        <f>IFERROR(INDEX(tProdutos[Foco],MATCH(tItens[[#This Row],[Produto]],tProdutos[Produto],0)),"Não")</f>
        <v>Não</v>
      </c>
      <c r="O3427" t="str">
        <f>IFERROR(INDEX(tEditais[SRP],MATCH(tItens[[#This Row],[Edital]],tEditais[Edital],0)),"Não")</f>
        <v>Sim</v>
      </c>
      <c r="P3427" s="4">
        <f>IF(COUNTIFS(INDEX(tItens[Edital],1):tItens[[#This Row],[Edital]],tItens[[#This Row],[Edital]],INDEX(tItens[Produto],1):tItens[[#This Row],[Produto]],tItens[[#This Row],[Produto]])=1,1,0)</f>
        <v>1</v>
      </c>
    </row>
    <row r="3428" spans="1:16" x14ac:dyDescent="0.25">
      <c r="A3428" t="s">
        <v>1482</v>
      </c>
      <c r="B3428">
        <v>43</v>
      </c>
      <c r="C3428" t="s">
        <v>6312</v>
      </c>
      <c r="D3428" t="s">
        <v>160</v>
      </c>
      <c r="E3428" s="13">
        <v>10</v>
      </c>
      <c r="F3428" s="12">
        <v>0</v>
      </c>
      <c r="G3428" t="str">
        <f>IFERROR(INDEX(tEditais[Órgão],MATCH(tItens[[#This Row],[Edital]],tEditais[Edital],0)),"")</f>
        <v>MUNICIPIO DE JENIPAPO DE MINAS</v>
      </c>
      <c r="H3428" t="str">
        <f>IFERROR(INDEX(tEditais[UF],MATCH(tItens[[#This Row],[Edital]],tEditais[Edital],0)),"")</f>
        <v>MG</v>
      </c>
      <c r="I3428" s="11">
        <f>IFERROR(INDEX(tEditais[Encerramento],MATCH(tItens[[#This Row],[Edital]],tEditais[Edital],0)),"")</f>
        <v>46309.583333333336</v>
      </c>
      <c r="J3428" t="str">
        <f>IFERROR(INDEX(tProdutos[Classe],MATCH(tItens[[#This Row],[Produto]],tProdutos[Produto],0)),"produto não cadastrado")</f>
        <v>DISPUTADO</v>
      </c>
      <c r="K3428" s="12">
        <f>tItens[[#This Row],[Qtd]]*tItens[[#This Row],[Vlr unit]]</f>
        <v>0</v>
      </c>
      <c r="L3428" s="6">
        <f>IFERROR(IF(INDEX(tProdutos[Desconto homologado],MATCH(tItens[[#This Row],[Produto]],tProdutos[Produto],0))="",DescontoPadrao,INDEX(tProdutos[Desconto homologado],MATCH(tItens[[#This Row],[Produto]],tProdutos[Produto],0))),DescontoPadrao)</f>
        <v>0.28000000000000003</v>
      </c>
      <c r="M3428" s="12">
        <f>tItens[[#This Row],[Valor]]*(1-tItens[[#This Row],[Desconto]])</f>
        <v>0</v>
      </c>
      <c r="N3428" t="str">
        <f>IFERROR(INDEX(tProdutos[Foco],MATCH(tItens[[#This Row],[Produto]],tProdutos[Produto],0)),"Não")</f>
        <v>Sim</v>
      </c>
      <c r="O3428" t="str">
        <f>IFERROR(INDEX(tEditais[SRP],MATCH(tItens[[#This Row],[Edital]],tEditais[Edital],0)),"Não")</f>
        <v>Sim</v>
      </c>
      <c r="P3428" s="4">
        <f>IF(COUNTIFS(INDEX(tItens[Edital],1):tItens[[#This Row],[Edital]],tItens[[#This Row],[Edital]],INDEX(tItens[Produto],1):tItens[[#This Row],[Produto]],tItens[[#This Row],[Produto]])=1,1,0)</f>
        <v>1</v>
      </c>
    </row>
    <row r="3429" spans="1:16" x14ac:dyDescent="0.25">
      <c r="A3429" t="s">
        <v>1482</v>
      </c>
      <c r="B3429">
        <v>57</v>
      </c>
      <c r="C3429" t="s">
        <v>3908</v>
      </c>
      <c r="D3429" t="s">
        <v>73</v>
      </c>
      <c r="E3429" s="13">
        <v>100</v>
      </c>
      <c r="F3429" s="12">
        <v>0</v>
      </c>
      <c r="G3429" t="str">
        <f>IFERROR(INDEX(tEditais[Órgão],MATCH(tItens[[#This Row],[Edital]],tEditais[Edital],0)),"")</f>
        <v>MUNICIPIO DE JENIPAPO DE MINAS</v>
      </c>
      <c r="H3429" t="str">
        <f>IFERROR(INDEX(tEditais[UF],MATCH(tItens[[#This Row],[Edital]],tEditais[Edital],0)),"")</f>
        <v>MG</v>
      </c>
      <c r="I3429" s="11">
        <f>IFERROR(INDEX(tEditais[Encerramento],MATCH(tItens[[#This Row],[Edital]],tEditais[Edital],0)),"")</f>
        <v>46309.583333333336</v>
      </c>
      <c r="J3429" t="str">
        <f>IFERROR(INDEX(tProdutos[Classe],MATCH(tItens[[#This Row],[Produto]],tProdutos[Produto],0)),"produto não cadastrado")</f>
        <v>NÚCLEO</v>
      </c>
      <c r="K3429" s="12">
        <f>tItens[[#This Row],[Qtd]]*tItens[[#This Row],[Vlr unit]]</f>
        <v>0</v>
      </c>
      <c r="L3429" s="6">
        <f>IFERROR(IF(INDEX(tProdutos[Desconto homologado],MATCH(tItens[[#This Row],[Produto]],tProdutos[Produto],0))="",DescontoPadrao,INDEX(tProdutos[Desconto homologado],MATCH(tItens[[#This Row],[Produto]],tProdutos[Produto],0))),DescontoPadrao)</f>
        <v>0.37</v>
      </c>
      <c r="M3429" s="12">
        <f>tItens[[#This Row],[Valor]]*(1-tItens[[#This Row],[Desconto]])</f>
        <v>0</v>
      </c>
      <c r="N3429" t="str">
        <f>IFERROR(INDEX(tProdutos[Foco],MATCH(tItens[[#This Row],[Produto]],tProdutos[Produto],0)),"Não")</f>
        <v>Sim</v>
      </c>
      <c r="O3429" t="str">
        <f>IFERROR(INDEX(tEditais[SRP],MATCH(tItens[[#This Row],[Edital]],tEditais[Edital],0)),"Não")</f>
        <v>Sim</v>
      </c>
      <c r="P3429" s="4">
        <f>IF(COUNTIFS(INDEX(tItens[Edital],1):tItens[[#This Row],[Edital]],tItens[[#This Row],[Edital]],INDEX(tItens[Produto],1):tItens[[#This Row],[Produto]],tItens[[#This Row],[Produto]])=1,1,0)</f>
        <v>1</v>
      </c>
    </row>
    <row r="3430" spans="1:16" x14ac:dyDescent="0.25">
      <c r="A3430" t="s">
        <v>1482</v>
      </c>
      <c r="B3430">
        <v>60</v>
      </c>
      <c r="C3430" t="s">
        <v>6313</v>
      </c>
      <c r="D3430" t="s">
        <v>172</v>
      </c>
      <c r="E3430" s="13">
        <v>1</v>
      </c>
      <c r="F3430" s="12">
        <v>0</v>
      </c>
      <c r="G3430" t="str">
        <f>IFERROR(INDEX(tEditais[Órgão],MATCH(tItens[[#This Row],[Edital]],tEditais[Edital],0)),"")</f>
        <v>MUNICIPIO DE JENIPAPO DE MINAS</v>
      </c>
      <c r="H3430" t="str">
        <f>IFERROR(INDEX(tEditais[UF],MATCH(tItens[[#This Row],[Edital]],tEditais[Edital],0)),"")</f>
        <v>MG</v>
      </c>
      <c r="I3430" s="11">
        <f>IFERROR(INDEX(tEditais[Encerramento],MATCH(tItens[[#This Row],[Edital]],tEditais[Edital],0)),"")</f>
        <v>46309.583333333336</v>
      </c>
      <c r="J3430" t="str">
        <f>IFERROR(INDEX(tProdutos[Classe],MATCH(tItens[[#This Row],[Produto]],tProdutos[Produto],0)),"produto não cadastrado")</f>
        <v>DISPUTADO</v>
      </c>
      <c r="K3430" s="12">
        <f>tItens[[#This Row],[Qtd]]*tItens[[#This Row],[Vlr unit]]</f>
        <v>0</v>
      </c>
      <c r="L3430" s="6">
        <f>IFERROR(IF(INDEX(tProdutos[Desconto homologado],MATCH(tItens[[#This Row],[Produto]],tProdutos[Produto],0))="",DescontoPadrao,INDEX(tProdutos[Desconto homologado],MATCH(tItens[[#This Row],[Produto]],tProdutos[Produto],0))),DescontoPadrao)</f>
        <v>0.33578431372549</v>
      </c>
      <c r="M3430" s="12">
        <f>tItens[[#This Row],[Valor]]*(1-tItens[[#This Row],[Desconto]])</f>
        <v>0</v>
      </c>
      <c r="N3430" t="str">
        <f>IFERROR(INDEX(tProdutos[Foco],MATCH(tItens[[#This Row],[Produto]],tProdutos[Produto],0)),"Não")</f>
        <v>Não</v>
      </c>
      <c r="O3430" t="str">
        <f>IFERROR(INDEX(tEditais[SRP],MATCH(tItens[[#This Row],[Edital]],tEditais[Edital],0)),"Não")</f>
        <v>Sim</v>
      </c>
      <c r="P3430" s="4">
        <f>IF(COUNTIFS(INDEX(tItens[Edital],1):tItens[[#This Row],[Edital]],tItens[[#This Row],[Edital]],INDEX(tItens[Produto],1):tItens[[#This Row],[Produto]],tItens[[#This Row],[Produto]])=1,1,0)</f>
        <v>1</v>
      </c>
    </row>
    <row r="3431" spans="1:16" x14ac:dyDescent="0.25">
      <c r="A3431" t="s">
        <v>1482</v>
      </c>
      <c r="B3431">
        <v>69</v>
      </c>
      <c r="C3431" t="s">
        <v>6314</v>
      </c>
      <c r="D3431" t="s">
        <v>311</v>
      </c>
      <c r="E3431" s="13">
        <v>10</v>
      </c>
      <c r="F3431" s="12">
        <v>0</v>
      </c>
      <c r="G3431" t="str">
        <f>IFERROR(INDEX(tEditais[Órgão],MATCH(tItens[[#This Row],[Edital]],tEditais[Edital],0)),"")</f>
        <v>MUNICIPIO DE JENIPAPO DE MINAS</v>
      </c>
      <c r="H3431" t="str">
        <f>IFERROR(INDEX(tEditais[UF],MATCH(tItens[[#This Row],[Edital]],tEditais[Edital],0)),"")</f>
        <v>MG</v>
      </c>
      <c r="I3431" s="11">
        <f>IFERROR(INDEX(tEditais[Encerramento],MATCH(tItens[[#This Row],[Edital]],tEditais[Edital],0)),"")</f>
        <v>46309.583333333336</v>
      </c>
      <c r="J3431" t="str">
        <f>IFERROR(INDEX(tProdutos[Classe],MATCH(tItens[[#This Row],[Produto]],tProdutos[Produto],0)),"produto não cadastrado")</f>
        <v>FORA</v>
      </c>
      <c r="K3431" s="12">
        <f>tItens[[#This Row],[Qtd]]*tItens[[#This Row],[Vlr unit]]</f>
        <v>0</v>
      </c>
      <c r="L3431" s="6">
        <f>IFERROR(IF(INDEX(tProdutos[Desconto homologado],MATCH(tItens[[#This Row],[Produto]],tProdutos[Produto],0))="",DescontoPadrao,INDEX(tProdutos[Desconto homologado],MATCH(tItens[[#This Row],[Produto]],tProdutos[Produto],0))),DescontoPadrao)</f>
        <v>0.29046182846371399</v>
      </c>
      <c r="M3431" s="12">
        <f>tItens[[#This Row],[Valor]]*(1-tItens[[#This Row],[Desconto]])</f>
        <v>0</v>
      </c>
      <c r="N3431" t="str">
        <f>IFERROR(INDEX(tProdutos[Foco],MATCH(tItens[[#This Row],[Produto]],tProdutos[Produto],0)),"Não")</f>
        <v>Não</v>
      </c>
      <c r="O3431" t="str">
        <f>IFERROR(INDEX(tEditais[SRP],MATCH(tItens[[#This Row],[Edital]],tEditais[Edital],0)),"Não")</f>
        <v>Sim</v>
      </c>
      <c r="P3431" s="4">
        <f>IF(COUNTIFS(INDEX(tItens[Edital],1):tItens[[#This Row],[Edital]],tItens[[#This Row],[Edital]],INDEX(tItens[Produto],1):tItens[[#This Row],[Produto]],tItens[[#This Row],[Produto]])=1,1,0)</f>
        <v>1</v>
      </c>
    </row>
    <row r="3432" spans="1:16" x14ac:dyDescent="0.25">
      <c r="A3432" t="s">
        <v>1482</v>
      </c>
      <c r="B3432">
        <v>70</v>
      </c>
      <c r="C3432" t="s">
        <v>6315</v>
      </c>
      <c r="D3432" t="s">
        <v>311</v>
      </c>
      <c r="E3432" s="13">
        <v>30</v>
      </c>
      <c r="F3432" s="12">
        <v>0</v>
      </c>
      <c r="G3432" t="str">
        <f>IFERROR(INDEX(tEditais[Órgão],MATCH(tItens[[#This Row],[Edital]],tEditais[Edital],0)),"")</f>
        <v>MUNICIPIO DE JENIPAPO DE MINAS</v>
      </c>
      <c r="H3432" t="str">
        <f>IFERROR(INDEX(tEditais[UF],MATCH(tItens[[#This Row],[Edital]],tEditais[Edital],0)),"")</f>
        <v>MG</v>
      </c>
      <c r="I3432" s="11">
        <f>IFERROR(INDEX(tEditais[Encerramento],MATCH(tItens[[#This Row],[Edital]],tEditais[Edital],0)),"")</f>
        <v>46309.583333333336</v>
      </c>
      <c r="J3432" t="str">
        <f>IFERROR(INDEX(tProdutos[Classe],MATCH(tItens[[#This Row],[Produto]],tProdutos[Produto],0)),"produto não cadastrado")</f>
        <v>FORA</v>
      </c>
      <c r="K3432" s="12">
        <f>tItens[[#This Row],[Qtd]]*tItens[[#This Row],[Vlr unit]]</f>
        <v>0</v>
      </c>
      <c r="L3432" s="6">
        <f>IFERROR(IF(INDEX(tProdutos[Desconto homologado],MATCH(tItens[[#This Row],[Produto]],tProdutos[Produto],0))="",DescontoPadrao,INDEX(tProdutos[Desconto homologado],MATCH(tItens[[#This Row],[Produto]],tProdutos[Produto],0))),DescontoPadrao)</f>
        <v>0.29046182846371399</v>
      </c>
      <c r="M3432" s="12">
        <f>tItens[[#This Row],[Valor]]*(1-tItens[[#This Row],[Desconto]])</f>
        <v>0</v>
      </c>
      <c r="N3432" t="str">
        <f>IFERROR(INDEX(tProdutos[Foco],MATCH(tItens[[#This Row],[Produto]],tProdutos[Produto],0)),"Não")</f>
        <v>Não</v>
      </c>
      <c r="O3432" t="str">
        <f>IFERROR(INDEX(tEditais[SRP],MATCH(tItens[[#This Row],[Edital]],tEditais[Edital],0)),"Não")</f>
        <v>Sim</v>
      </c>
      <c r="P3432" s="4">
        <f>IF(COUNTIFS(INDEX(tItens[Edital],1):tItens[[#This Row],[Edital]],tItens[[#This Row],[Edital]],INDEX(tItens[Produto],1):tItens[[#This Row],[Produto]],tItens[[#This Row],[Produto]])=1,1,0)</f>
        <v>0</v>
      </c>
    </row>
    <row r="3433" spans="1:16" x14ac:dyDescent="0.25">
      <c r="A3433" t="s">
        <v>1482</v>
      </c>
      <c r="B3433">
        <v>71</v>
      </c>
      <c r="C3433" t="s">
        <v>6316</v>
      </c>
      <c r="D3433" t="s">
        <v>80</v>
      </c>
      <c r="E3433" s="13">
        <v>3</v>
      </c>
      <c r="F3433" s="12">
        <v>0</v>
      </c>
      <c r="G3433" t="str">
        <f>IFERROR(INDEX(tEditais[Órgão],MATCH(tItens[[#This Row],[Edital]],tEditais[Edital],0)),"")</f>
        <v>MUNICIPIO DE JENIPAPO DE MINAS</v>
      </c>
      <c r="H3433" t="str">
        <f>IFERROR(INDEX(tEditais[UF],MATCH(tItens[[#This Row],[Edital]],tEditais[Edital],0)),"")</f>
        <v>MG</v>
      </c>
      <c r="I3433" s="11">
        <f>IFERROR(INDEX(tEditais[Encerramento],MATCH(tItens[[#This Row],[Edital]],tEditais[Edital],0)),"")</f>
        <v>46309.583333333336</v>
      </c>
      <c r="J3433" t="str">
        <f>IFERROR(INDEX(tProdutos[Classe],MATCH(tItens[[#This Row],[Produto]],tProdutos[Produto],0)),"produto não cadastrado")</f>
        <v>NÚCLEO</v>
      </c>
      <c r="K3433" s="12">
        <f>tItens[[#This Row],[Qtd]]*tItens[[#This Row],[Vlr unit]]</f>
        <v>0</v>
      </c>
      <c r="L3433" s="6">
        <f>IFERROR(IF(INDEX(tProdutos[Desconto homologado],MATCH(tItens[[#This Row],[Produto]],tProdutos[Produto],0))="",DescontoPadrao,INDEX(tProdutos[Desconto homologado],MATCH(tItens[[#This Row],[Produto]],tProdutos[Produto],0))),DescontoPadrao)</f>
        <v>0.33</v>
      </c>
      <c r="M3433" s="12">
        <f>tItens[[#This Row],[Valor]]*(1-tItens[[#This Row],[Desconto]])</f>
        <v>0</v>
      </c>
      <c r="N3433" t="str">
        <f>IFERROR(INDEX(tProdutos[Foco],MATCH(tItens[[#This Row],[Produto]],tProdutos[Produto],0)),"Não")</f>
        <v>Sim</v>
      </c>
      <c r="O3433" t="str">
        <f>IFERROR(INDEX(tEditais[SRP],MATCH(tItens[[#This Row],[Edital]],tEditais[Edital],0)),"Não")</f>
        <v>Sim</v>
      </c>
      <c r="P3433" s="4">
        <f>IF(COUNTIFS(INDEX(tItens[Edital],1):tItens[[#This Row],[Edital]],tItens[[#This Row],[Edital]],INDEX(tItens[Produto],1):tItens[[#This Row],[Produto]],tItens[[#This Row],[Produto]])=1,1,0)</f>
        <v>1</v>
      </c>
    </row>
    <row r="3434" spans="1:16" x14ac:dyDescent="0.25">
      <c r="A3434" t="s">
        <v>1482</v>
      </c>
      <c r="B3434">
        <v>73</v>
      </c>
      <c r="C3434" t="s">
        <v>6317</v>
      </c>
      <c r="D3434" t="s">
        <v>611</v>
      </c>
      <c r="E3434" s="13">
        <v>6</v>
      </c>
      <c r="F3434" s="12">
        <v>0</v>
      </c>
      <c r="G3434" t="str">
        <f>IFERROR(INDEX(tEditais[Órgão],MATCH(tItens[[#This Row],[Edital]],tEditais[Edital],0)),"")</f>
        <v>MUNICIPIO DE JENIPAPO DE MINAS</v>
      </c>
      <c r="H3434" t="str">
        <f>IFERROR(INDEX(tEditais[UF],MATCH(tItens[[#This Row],[Edital]],tEditais[Edital],0)),"")</f>
        <v>MG</v>
      </c>
      <c r="I3434" s="11">
        <f>IFERROR(INDEX(tEditais[Encerramento],MATCH(tItens[[#This Row],[Edital]],tEditais[Edital],0)),"")</f>
        <v>46309.583333333336</v>
      </c>
      <c r="J3434" t="str">
        <f>IFERROR(INDEX(tProdutos[Classe],MATCH(tItens[[#This Row],[Produto]],tProdutos[Produto],0)),"produto não cadastrado")</f>
        <v>FILA REBASE</v>
      </c>
      <c r="K3434" s="12">
        <f>tItens[[#This Row],[Qtd]]*tItens[[#This Row],[Vlr unit]]</f>
        <v>0</v>
      </c>
      <c r="L3434" s="6">
        <f>IFERROR(IF(INDEX(tProdutos[Desconto homologado],MATCH(tItens[[#This Row],[Produto]],tProdutos[Produto],0))="",DescontoPadrao,INDEX(tProdutos[Desconto homologado],MATCH(tItens[[#This Row],[Produto]],tProdutos[Produto],0))),DescontoPadrao)</f>
        <v>0.3</v>
      </c>
      <c r="M3434" s="12">
        <f>tItens[[#This Row],[Valor]]*(1-tItens[[#This Row],[Desconto]])</f>
        <v>0</v>
      </c>
      <c r="N3434" t="str">
        <f>IFERROR(INDEX(tProdutos[Foco],MATCH(tItens[[#This Row],[Produto]],tProdutos[Produto],0)),"Não")</f>
        <v>Não</v>
      </c>
      <c r="O3434" t="str">
        <f>IFERROR(INDEX(tEditais[SRP],MATCH(tItens[[#This Row],[Edital]],tEditais[Edital],0)),"Não")</f>
        <v>Sim</v>
      </c>
      <c r="P3434" s="4">
        <f>IF(COUNTIFS(INDEX(tItens[Edital],1):tItens[[#This Row],[Edital]],tItens[[#This Row],[Edital]],INDEX(tItens[Produto],1):tItens[[#This Row],[Produto]],tItens[[#This Row],[Produto]])=1,1,0)</f>
        <v>1</v>
      </c>
    </row>
    <row r="3435" spans="1:16" x14ac:dyDescent="0.25">
      <c r="A3435" t="s">
        <v>1482</v>
      </c>
      <c r="B3435">
        <v>74</v>
      </c>
      <c r="C3435" t="s">
        <v>6318</v>
      </c>
      <c r="D3435" t="s">
        <v>269</v>
      </c>
      <c r="E3435" s="13">
        <v>10</v>
      </c>
      <c r="F3435" s="12">
        <v>0</v>
      </c>
      <c r="G3435" t="str">
        <f>IFERROR(INDEX(tEditais[Órgão],MATCH(tItens[[#This Row],[Edital]],tEditais[Edital],0)),"")</f>
        <v>MUNICIPIO DE JENIPAPO DE MINAS</v>
      </c>
      <c r="H3435" t="str">
        <f>IFERROR(INDEX(tEditais[UF],MATCH(tItens[[#This Row],[Edital]],tEditais[Edital],0)),"")</f>
        <v>MG</v>
      </c>
      <c r="I3435" s="11">
        <f>IFERROR(INDEX(tEditais[Encerramento],MATCH(tItens[[#This Row],[Edital]],tEditais[Edital],0)),"")</f>
        <v>46309.583333333336</v>
      </c>
      <c r="J3435" t="str">
        <f>IFERROR(INDEX(tProdutos[Classe],MATCH(tItens[[#This Row],[Produto]],tProdutos[Produto],0)),"produto não cadastrado")</f>
        <v>FORA</v>
      </c>
      <c r="K3435" s="12">
        <f>tItens[[#This Row],[Qtd]]*tItens[[#This Row],[Vlr unit]]</f>
        <v>0</v>
      </c>
      <c r="L3435" s="6">
        <f>IFERROR(IF(INDEX(tProdutos[Desconto homologado],MATCH(tItens[[#This Row],[Produto]],tProdutos[Produto],0))="",DescontoPadrao,INDEX(tProdutos[Desconto homologado],MATCH(tItens[[#This Row],[Produto]],tProdutos[Produto],0))),DescontoPadrao)</f>
        <v>0.28935117103332197</v>
      </c>
      <c r="M3435" s="12">
        <f>tItens[[#This Row],[Valor]]*(1-tItens[[#This Row],[Desconto]])</f>
        <v>0</v>
      </c>
      <c r="N3435" t="str">
        <f>IFERROR(INDEX(tProdutos[Foco],MATCH(tItens[[#This Row],[Produto]],tProdutos[Produto],0)),"Não")</f>
        <v>Não</v>
      </c>
      <c r="O3435" t="str">
        <f>IFERROR(INDEX(tEditais[SRP],MATCH(tItens[[#This Row],[Edital]],tEditais[Edital],0)),"Não")</f>
        <v>Sim</v>
      </c>
      <c r="P3435" s="4">
        <f>IF(COUNTIFS(INDEX(tItens[Edital],1):tItens[[#This Row],[Edital]],tItens[[#This Row],[Edital]],INDEX(tItens[Produto],1):tItens[[#This Row],[Produto]],tItens[[#This Row],[Produto]])=1,1,0)</f>
        <v>1</v>
      </c>
    </row>
    <row r="3436" spans="1:16" x14ac:dyDescent="0.25">
      <c r="A3436" t="s">
        <v>1482</v>
      </c>
      <c r="B3436">
        <v>78</v>
      </c>
      <c r="C3436" t="s">
        <v>6319</v>
      </c>
      <c r="D3436" t="s">
        <v>467</v>
      </c>
      <c r="E3436" s="13">
        <v>3</v>
      </c>
      <c r="F3436" s="12">
        <v>0</v>
      </c>
      <c r="G3436" t="str">
        <f>IFERROR(INDEX(tEditais[Órgão],MATCH(tItens[[#This Row],[Edital]],tEditais[Edital],0)),"")</f>
        <v>MUNICIPIO DE JENIPAPO DE MINAS</v>
      </c>
      <c r="H3436" t="str">
        <f>IFERROR(INDEX(tEditais[UF],MATCH(tItens[[#This Row],[Edital]],tEditais[Edital],0)),"")</f>
        <v>MG</v>
      </c>
      <c r="I3436" s="11">
        <f>IFERROR(INDEX(tEditais[Encerramento],MATCH(tItens[[#This Row],[Edital]],tEditais[Edital],0)),"")</f>
        <v>46309.583333333336</v>
      </c>
      <c r="J3436" t="str">
        <f>IFERROR(INDEX(tProdutos[Classe],MATCH(tItens[[#This Row],[Produto]],tProdutos[Produto],0)),"produto não cadastrado")</f>
        <v>FILA REBASE</v>
      </c>
      <c r="K3436" s="12">
        <f>tItens[[#This Row],[Qtd]]*tItens[[#This Row],[Vlr unit]]</f>
        <v>0</v>
      </c>
      <c r="L3436" s="6">
        <f>IFERROR(IF(INDEX(tProdutos[Desconto homologado],MATCH(tItens[[#This Row],[Produto]],tProdutos[Produto],0))="",DescontoPadrao,INDEX(tProdutos[Desconto homologado],MATCH(tItens[[#This Row],[Produto]],tProdutos[Produto],0))),DescontoPadrao)</f>
        <v>0.25007144898542499</v>
      </c>
      <c r="M3436" s="12">
        <f>tItens[[#This Row],[Valor]]*(1-tItens[[#This Row],[Desconto]])</f>
        <v>0</v>
      </c>
      <c r="N3436" t="str">
        <f>IFERROR(INDEX(tProdutos[Foco],MATCH(tItens[[#This Row],[Produto]],tProdutos[Produto],0)),"Não")</f>
        <v>Não</v>
      </c>
      <c r="O3436" t="str">
        <f>IFERROR(INDEX(tEditais[SRP],MATCH(tItens[[#This Row],[Edital]],tEditais[Edital],0)),"Não")</f>
        <v>Sim</v>
      </c>
      <c r="P3436" s="4">
        <f>IF(COUNTIFS(INDEX(tItens[Edital],1):tItens[[#This Row],[Edital]],tItens[[#This Row],[Edital]],INDEX(tItens[Produto],1):tItens[[#This Row],[Produto]],tItens[[#This Row],[Produto]])=1,1,0)</f>
        <v>1</v>
      </c>
    </row>
    <row r="3437" spans="1:16" x14ac:dyDescent="0.25">
      <c r="A3437" t="s">
        <v>1482</v>
      </c>
      <c r="B3437">
        <v>86</v>
      </c>
      <c r="C3437" t="s">
        <v>6320</v>
      </c>
      <c r="D3437" t="s">
        <v>494</v>
      </c>
      <c r="E3437" s="13">
        <v>200</v>
      </c>
      <c r="F3437" s="12">
        <v>0</v>
      </c>
      <c r="G3437" t="str">
        <f>IFERROR(INDEX(tEditais[Órgão],MATCH(tItens[[#This Row],[Edital]],tEditais[Edital],0)),"")</f>
        <v>MUNICIPIO DE JENIPAPO DE MINAS</v>
      </c>
      <c r="H3437" t="str">
        <f>IFERROR(INDEX(tEditais[UF],MATCH(tItens[[#This Row],[Edital]],tEditais[Edital],0)),"")</f>
        <v>MG</v>
      </c>
      <c r="I3437" s="11">
        <f>IFERROR(INDEX(tEditais[Encerramento],MATCH(tItens[[#This Row],[Edital]],tEditais[Edital],0)),"")</f>
        <v>46309.583333333336</v>
      </c>
      <c r="J3437" t="str">
        <f>IFERROR(INDEX(tProdutos[Classe],MATCH(tItens[[#This Row],[Produto]],tProdutos[Produto],0)),"produto não cadastrado")</f>
        <v>FILA REBASE</v>
      </c>
      <c r="K3437" s="12">
        <f>tItens[[#This Row],[Qtd]]*tItens[[#This Row],[Vlr unit]]</f>
        <v>0</v>
      </c>
      <c r="L3437" s="6">
        <f>IFERROR(IF(INDEX(tProdutos[Desconto homologado],MATCH(tItens[[#This Row],[Produto]],tProdutos[Produto],0))="",DescontoPadrao,INDEX(tProdutos[Desconto homologado],MATCH(tItens[[#This Row],[Produto]],tProdutos[Produto],0))),DescontoPadrao)</f>
        <v>0.253736324829619</v>
      </c>
      <c r="M3437" s="12">
        <f>tItens[[#This Row],[Valor]]*(1-tItens[[#This Row],[Desconto]])</f>
        <v>0</v>
      </c>
      <c r="N3437" t="str">
        <f>IFERROR(INDEX(tProdutos[Foco],MATCH(tItens[[#This Row],[Produto]],tProdutos[Produto],0)),"Não")</f>
        <v>Não</v>
      </c>
      <c r="O3437" t="str">
        <f>IFERROR(INDEX(tEditais[SRP],MATCH(tItens[[#This Row],[Edital]],tEditais[Edital],0)),"Não")</f>
        <v>Sim</v>
      </c>
      <c r="P3437" s="4">
        <f>IF(COUNTIFS(INDEX(tItens[Edital],1):tItens[[#This Row],[Edital]],tItens[[#This Row],[Edital]],INDEX(tItens[Produto],1):tItens[[#This Row],[Produto]],tItens[[#This Row],[Produto]])=1,1,0)</f>
        <v>1</v>
      </c>
    </row>
    <row r="3438" spans="1:16" x14ac:dyDescent="0.25">
      <c r="A3438" t="s">
        <v>1482</v>
      </c>
      <c r="B3438">
        <v>88</v>
      </c>
      <c r="C3438" t="s">
        <v>6321</v>
      </c>
      <c r="D3438" t="s">
        <v>333</v>
      </c>
      <c r="E3438" s="13">
        <v>500</v>
      </c>
      <c r="F3438" s="12">
        <v>0</v>
      </c>
      <c r="G3438" t="str">
        <f>IFERROR(INDEX(tEditais[Órgão],MATCH(tItens[[#This Row],[Edital]],tEditais[Edital],0)),"")</f>
        <v>MUNICIPIO DE JENIPAPO DE MINAS</v>
      </c>
      <c r="H3438" t="str">
        <f>IFERROR(INDEX(tEditais[UF],MATCH(tItens[[#This Row],[Edital]],tEditais[Edital],0)),"")</f>
        <v>MG</v>
      </c>
      <c r="I3438" s="11">
        <f>IFERROR(INDEX(tEditais[Encerramento],MATCH(tItens[[#This Row],[Edital]],tEditais[Edital],0)),"")</f>
        <v>46309.583333333336</v>
      </c>
      <c r="J3438" t="str">
        <f>IFERROR(INDEX(tProdutos[Classe],MATCH(tItens[[#This Row],[Produto]],tProdutos[Produto],0)),"produto não cadastrado")</f>
        <v>FORA</v>
      </c>
      <c r="K3438" s="12">
        <f>tItens[[#This Row],[Qtd]]*tItens[[#This Row],[Vlr unit]]</f>
        <v>0</v>
      </c>
      <c r="L3438" s="6">
        <f>IFERROR(IF(INDEX(tProdutos[Desconto homologado],MATCH(tItens[[#This Row],[Produto]],tProdutos[Produto],0))="",DescontoPadrao,INDEX(tProdutos[Desconto homologado],MATCH(tItens[[#This Row],[Produto]],tProdutos[Produto],0))),DescontoPadrao)</f>
        <v>0.48951048951048998</v>
      </c>
      <c r="M3438" s="12">
        <f>tItens[[#This Row],[Valor]]*(1-tItens[[#This Row],[Desconto]])</f>
        <v>0</v>
      </c>
      <c r="N3438" t="str">
        <f>IFERROR(INDEX(tProdutos[Foco],MATCH(tItens[[#This Row],[Produto]],tProdutos[Produto],0)),"Não")</f>
        <v>Não</v>
      </c>
      <c r="O3438" t="str">
        <f>IFERROR(INDEX(tEditais[SRP],MATCH(tItens[[#This Row],[Edital]],tEditais[Edital],0)),"Não")</f>
        <v>Sim</v>
      </c>
      <c r="P3438" s="4">
        <f>IF(COUNTIFS(INDEX(tItens[Edital],1):tItens[[#This Row],[Edital]],tItens[[#This Row],[Edital]],INDEX(tItens[Produto],1):tItens[[#This Row],[Produto]],tItens[[#This Row],[Produto]])=1,1,0)</f>
        <v>1</v>
      </c>
    </row>
    <row r="3439" spans="1:16" x14ac:dyDescent="0.25">
      <c r="A3439" t="s">
        <v>1482</v>
      </c>
      <c r="B3439">
        <v>89</v>
      </c>
      <c r="C3439" t="s">
        <v>6322</v>
      </c>
      <c r="D3439" t="s">
        <v>333</v>
      </c>
      <c r="E3439" s="13">
        <v>2000</v>
      </c>
      <c r="F3439" s="12">
        <v>0</v>
      </c>
      <c r="G3439" t="str">
        <f>IFERROR(INDEX(tEditais[Órgão],MATCH(tItens[[#This Row],[Edital]],tEditais[Edital],0)),"")</f>
        <v>MUNICIPIO DE JENIPAPO DE MINAS</v>
      </c>
      <c r="H3439" t="str">
        <f>IFERROR(INDEX(tEditais[UF],MATCH(tItens[[#This Row],[Edital]],tEditais[Edital],0)),"")</f>
        <v>MG</v>
      </c>
      <c r="I3439" s="11">
        <f>IFERROR(INDEX(tEditais[Encerramento],MATCH(tItens[[#This Row],[Edital]],tEditais[Edital],0)),"")</f>
        <v>46309.583333333336</v>
      </c>
      <c r="J3439" t="str">
        <f>IFERROR(INDEX(tProdutos[Classe],MATCH(tItens[[#This Row],[Produto]],tProdutos[Produto],0)),"produto não cadastrado")</f>
        <v>FORA</v>
      </c>
      <c r="K3439" s="12">
        <f>tItens[[#This Row],[Qtd]]*tItens[[#This Row],[Vlr unit]]</f>
        <v>0</v>
      </c>
      <c r="L3439" s="6">
        <f>IFERROR(IF(INDEX(tProdutos[Desconto homologado],MATCH(tItens[[#This Row],[Produto]],tProdutos[Produto],0))="",DescontoPadrao,INDEX(tProdutos[Desconto homologado],MATCH(tItens[[#This Row],[Produto]],tProdutos[Produto],0))),DescontoPadrao)</f>
        <v>0.48951048951048998</v>
      </c>
      <c r="M3439" s="12">
        <f>tItens[[#This Row],[Valor]]*(1-tItens[[#This Row],[Desconto]])</f>
        <v>0</v>
      </c>
      <c r="N3439" t="str">
        <f>IFERROR(INDEX(tProdutos[Foco],MATCH(tItens[[#This Row],[Produto]],tProdutos[Produto],0)),"Não")</f>
        <v>Não</v>
      </c>
      <c r="O3439" t="str">
        <f>IFERROR(INDEX(tEditais[SRP],MATCH(tItens[[#This Row],[Edital]],tEditais[Edital],0)),"Não")</f>
        <v>Sim</v>
      </c>
      <c r="P3439" s="4">
        <f>IF(COUNTIFS(INDEX(tItens[Edital],1):tItens[[#This Row],[Edital]],tItens[[#This Row],[Edital]],INDEX(tItens[Produto],1):tItens[[#This Row],[Produto]],tItens[[#This Row],[Produto]])=1,1,0)</f>
        <v>0</v>
      </c>
    </row>
    <row r="3440" spans="1:16" x14ac:dyDescent="0.25">
      <c r="A3440" t="s">
        <v>1482</v>
      </c>
      <c r="B3440">
        <v>90</v>
      </c>
      <c r="C3440" t="s">
        <v>6323</v>
      </c>
      <c r="D3440" t="s">
        <v>187</v>
      </c>
      <c r="E3440" s="13">
        <v>500</v>
      </c>
      <c r="F3440" s="12">
        <v>0</v>
      </c>
      <c r="G3440" t="str">
        <f>IFERROR(INDEX(tEditais[Órgão],MATCH(tItens[[#This Row],[Edital]],tEditais[Edital],0)),"")</f>
        <v>MUNICIPIO DE JENIPAPO DE MINAS</v>
      </c>
      <c r="H3440" t="str">
        <f>IFERROR(INDEX(tEditais[UF],MATCH(tItens[[#This Row],[Edital]],tEditais[Edital],0)),"")</f>
        <v>MG</v>
      </c>
      <c r="I3440" s="11">
        <f>IFERROR(INDEX(tEditais[Encerramento],MATCH(tItens[[#This Row],[Edital]],tEditais[Edital],0)),"")</f>
        <v>46309.583333333336</v>
      </c>
      <c r="J3440" t="str">
        <f>IFERROR(INDEX(tProdutos[Classe],MATCH(tItens[[#This Row],[Produto]],tProdutos[Produto],0)),"produto não cadastrado")</f>
        <v>DISPUTADO</v>
      </c>
      <c r="K3440" s="12">
        <f>tItens[[#This Row],[Qtd]]*tItens[[#This Row],[Vlr unit]]</f>
        <v>0</v>
      </c>
      <c r="L3440" s="6">
        <f>IFERROR(IF(INDEX(tProdutos[Desconto homologado],MATCH(tItens[[#This Row],[Produto]],tProdutos[Produto],0))="",DescontoPadrao,INDEX(tProdutos[Desconto homologado],MATCH(tItens[[#This Row],[Produto]],tProdutos[Produto],0))),DescontoPadrao)</f>
        <v>0.44298820445609399</v>
      </c>
      <c r="M3440" s="12">
        <f>tItens[[#This Row],[Valor]]*(1-tItens[[#This Row],[Desconto]])</f>
        <v>0</v>
      </c>
      <c r="N3440" t="str">
        <f>IFERROR(INDEX(tProdutos[Foco],MATCH(tItens[[#This Row],[Produto]],tProdutos[Produto],0)),"Não")</f>
        <v>Não</v>
      </c>
      <c r="O3440" t="str">
        <f>IFERROR(INDEX(tEditais[SRP],MATCH(tItens[[#This Row],[Edital]],tEditais[Edital],0)),"Não")</f>
        <v>Sim</v>
      </c>
      <c r="P3440" s="4">
        <f>IF(COUNTIFS(INDEX(tItens[Edital],1):tItens[[#This Row],[Edital]],tItens[[#This Row],[Edital]],INDEX(tItens[Produto],1):tItens[[#This Row],[Produto]],tItens[[#This Row],[Produto]])=1,1,0)</f>
        <v>1</v>
      </c>
    </row>
    <row r="3441" spans="1:16" x14ac:dyDescent="0.25">
      <c r="A3441" t="s">
        <v>1482</v>
      </c>
      <c r="B3441">
        <v>94</v>
      </c>
      <c r="C3441" t="s">
        <v>6324</v>
      </c>
      <c r="D3441" t="s">
        <v>60</v>
      </c>
      <c r="E3441" s="13">
        <v>6</v>
      </c>
      <c r="F3441" s="12">
        <v>0</v>
      </c>
      <c r="G3441" t="str">
        <f>IFERROR(INDEX(tEditais[Órgão],MATCH(tItens[[#This Row],[Edital]],tEditais[Edital],0)),"")</f>
        <v>MUNICIPIO DE JENIPAPO DE MINAS</v>
      </c>
      <c r="H3441" t="str">
        <f>IFERROR(INDEX(tEditais[UF],MATCH(tItens[[#This Row],[Edital]],tEditais[Edital],0)),"")</f>
        <v>MG</v>
      </c>
      <c r="I3441" s="11">
        <f>IFERROR(INDEX(tEditais[Encerramento],MATCH(tItens[[#This Row],[Edital]],tEditais[Edital],0)),"")</f>
        <v>46309.583333333336</v>
      </c>
      <c r="J3441" t="str">
        <f>IFERROR(INDEX(tProdutos[Classe],MATCH(tItens[[#This Row],[Produto]],tProdutos[Produto],0)),"produto não cadastrado")</f>
        <v>NÚCLEO</v>
      </c>
      <c r="K3441" s="12">
        <f>tItens[[#This Row],[Qtd]]*tItens[[#This Row],[Vlr unit]]</f>
        <v>0</v>
      </c>
      <c r="L3441" s="6">
        <f>IFERROR(IF(INDEX(tProdutos[Desconto homologado],MATCH(tItens[[#This Row],[Produto]],tProdutos[Produto],0))="",DescontoPadrao,INDEX(tProdutos[Desconto homologado],MATCH(tItens[[#This Row],[Produto]],tProdutos[Produto],0))),DescontoPadrao)</f>
        <v>0.23</v>
      </c>
      <c r="M3441" s="12">
        <f>tItens[[#This Row],[Valor]]*(1-tItens[[#This Row],[Desconto]])</f>
        <v>0</v>
      </c>
      <c r="N3441" t="str">
        <f>IFERROR(INDEX(tProdutos[Foco],MATCH(tItens[[#This Row],[Produto]],tProdutos[Produto],0)),"Não")</f>
        <v>Sim</v>
      </c>
      <c r="O3441" t="str">
        <f>IFERROR(INDEX(tEditais[SRP],MATCH(tItens[[#This Row],[Edital]],tEditais[Edital],0)),"Não")</f>
        <v>Sim</v>
      </c>
      <c r="P3441" s="4">
        <f>IF(COUNTIFS(INDEX(tItens[Edital],1):tItens[[#This Row],[Edital]],tItens[[#This Row],[Edital]],INDEX(tItens[Produto],1):tItens[[#This Row],[Produto]],tItens[[#This Row],[Produto]])=1,1,0)</f>
        <v>1</v>
      </c>
    </row>
    <row r="3442" spans="1:16" x14ac:dyDescent="0.25">
      <c r="A3442" t="s">
        <v>1482</v>
      </c>
      <c r="B3442">
        <v>98</v>
      </c>
      <c r="C3442" t="s">
        <v>6325</v>
      </c>
      <c r="D3442" t="s">
        <v>90</v>
      </c>
      <c r="E3442" s="13">
        <v>40</v>
      </c>
      <c r="F3442" s="12">
        <v>0</v>
      </c>
      <c r="G3442" t="str">
        <f>IFERROR(INDEX(tEditais[Órgão],MATCH(tItens[[#This Row],[Edital]],tEditais[Edital],0)),"")</f>
        <v>MUNICIPIO DE JENIPAPO DE MINAS</v>
      </c>
      <c r="H3442" t="str">
        <f>IFERROR(INDEX(tEditais[UF],MATCH(tItens[[#This Row],[Edital]],tEditais[Edital],0)),"")</f>
        <v>MG</v>
      </c>
      <c r="I3442" s="11">
        <f>IFERROR(INDEX(tEditais[Encerramento],MATCH(tItens[[#This Row],[Edital]],tEditais[Edital],0)),"")</f>
        <v>46309.583333333336</v>
      </c>
      <c r="J3442" t="str">
        <f>IFERROR(INDEX(tProdutos[Classe],MATCH(tItens[[#This Row],[Produto]],tProdutos[Produto],0)),"produto não cadastrado")</f>
        <v>DISPUTADO</v>
      </c>
      <c r="K3442" s="12">
        <f>tItens[[#This Row],[Qtd]]*tItens[[#This Row],[Vlr unit]]</f>
        <v>0</v>
      </c>
      <c r="L3442" s="6">
        <f>IFERROR(IF(INDEX(tProdutos[Desconto homologado],MATCH(tItens[[#This Row],[Produto]],tProdutos[Produto],0))="",DescontoPadrao,INDEX(tProdutos[Desconto homologado],MATCH(tItens[[#This Row],[Produto]],tProdutos[Produto],0))),DescontoPadrao)</f>
        <v>0.25393823957010597</v>
      </c>
      <c r="M3442" s="12">
        <f>tItens[[#This Row],[Valor]]*(1-tItens[[#This Row],[Desconto]])</f>
        <v>0</v>
      </c>
      <c r="N3442" t="str">
        <f>IFERROR(INDEX(tProdutos[Foco],MATCH(tItens[[#This Row],[Produto]],tProdutos[Produto],0)),"Não")</f>
        <v>Não</v>
      </c>
      <c r="O3442" t="str">
        <f>IFERROR(INDEX(tEditais[SRP],MATCH(tItens[[#This Row],[Edital]],tEditais[Edital],0)),"Não")</f>
        <v>Sim</v>
      </c>
      <c r="P3442" s="4">
        <f>IF(COUNTIFS(INDEX(tItens[Edital],1):tItens[[#This Row],[Edital]],tItens[[#This Row],[Edital]],INDEX(tItens[Produto],1):tItens[[#This Row],[Produto]],tItens[[#This Row],[Produto]])=1,1,0)</f>
        <v>1</v>
      </c>
    </row>
    <row r="3443" spans="1:16" x14ac:dyDescent="0.25">
      <c r="A3443" t="s">
        <v>1482</v>
      </c>
      <c r="B3443">
        <v>99</v>
      </c>
      <c r="C3443" t="s">
        <v>6326</v>
      </c>
      <c r="D3443" t="s">
        <v>90</v>
      </c>
      <c r="E3443" s="13">
        <v>40</v>
      </c>
      <c r="F3443" s="12">
        <v>0</v>
      </c>
      <c r="G3443" t="str">
        <f>IFERROR(INDEX(tEditais[Órgão],MATCH(tItens[[#This Row],[Edital]],tEditais[Edital],0)),"")</f>
        <v>MUNICIPIO DE JENIPAPO DE MINAS</v>
      </c>
      <c r="H3443" t="str">
        <f>IFERROR(INDEX(tEditais[UF],MATCH(tItens[[#This Row],[Edital]],tEditais[Edital],0)),"")</f>
        <v>MG</v>
      </c>
      <c r="I3443" s="11">
        <f>IFERROR(INDEX(tEditais[Encerramento],MATCH(tItens[[#This Row],[Edital]],tEditais[Edital],0)),"")</f>
        <v>46309.583333333336</v>
      </c>
      <c r="J3443" t="str">
        <f>IFERROR(INDEX(tProdutos[Classe],MATCH(tItens[[#This Row],[Produto]],tProdutos[Produto],0)),"produto não cadastrado")</f>
        <v>DISPUTADO</v>
      </c>
      <c r="K3443" s="12">
        <f>tItens[[#This Row],[Qtd]]*tItens[[#This Row],[Vlr unit]]</f>
        <v>0</v>
      </c>
      <c r="L3443" s="6">
        <f>IFERROR(IF(INDEX(tProdutos[Desconto homologado],MATCH(tItens[[#This Row],[Produto]],tProdutos[Produto],0))="",DescontoPadrao,INDEX(tProdutos[Desconto homologado],MATCH(tItens[[#This Row],[Produto]],tProdutos[Produto],0))),DescontoPadrao)</f>
        <v>0.25393823957010597</v>
      </c>
      <c r="M3443" s="12">
        <f>tItens[[#This Row],[Valor]]*(1-tItens[[#This Row],[Desconto]])</f>
        <v>0</v>
      </c>
      <c r="N3443" t="str">
        <f>IFERROR(INDEX(tProdutos[Foco],MATCH(tItens[[#This Row],[Produto]],tProdutos[Produto],0)),"Não")</f>
        <v>Não</v>
      </c>
      <c r="O3443" t="str">
        <f>IFERROR(INDEX(tEditais[SRP],MATCH(tItens[[#This Row],[Edital]],tEditais[Edital],0)),"Não")</f>
        <v>Sim</v>
      </c>
      <c r="P3443" s="4">
        <f>IF(COUNTIFS(INDEX(tItens[Edital],1):tItens[[#This Row],[Edital]],tItens[[#This Row],[Edital]],INDEX(tItens[Produto],1):tItens[[#This Row],[Produto]],tItens[[#This Row],[Produto]])=1,1,0)</f>
        <v>0</v>
      </c>
    </row>
    <row r="3444" spans="1:16" x14ac:dyDescent="0.25">
      <c r="A3444" t="s">
        <v>1482</v>
      </c>
      <c r="B3444">
        <v>100</v>
      </c>
      <c r="C3444" t="s">
        <v>6327</v>
      </c>
      <c r="D3444" t="s">
        <v>233</v>
      </c>
      <c r="E3444" s="13">
        <v>6</v>
      </c>
      <c r="F3444" s="12">
        <v>0</v>
      </c>
      <c r="G3444" t="str">
        <f>IFERROR(INDEX(tEditais[Órgão],MATCH(tItens[[#This Row],[Edital]],tEditais[Edital],0)),"")</f>
        <v>MUNICIPIO DE JENIPAPO DE MINAS</v>
      </c>
      <c r="H3444" t="str">
        <f>IFERROR(INDEX(tEditais[UF],MATCH(tItens[[#This Row],[Edital]],tEditais[Edital],0)),"")</f>
        <v>MG</v>
      </c>
      <c r="I3444" s="11">
        <f>IFERROR(INDEX(tEditais[Encerramento],MATCH(tItens[[#This Row],[Edital]],tEditais[Edital],0)),"")</f>
        <v>46309.583333333336</v>
      </c>
      <c r="J3444" t="str">
        <f>IFERROR(INDEX(tProdutos[Classe],MATCH(tItens[[#This Row],[Produto]],tProdutos[Produto],0)),"produto não cadastrado")</f>
        <v>FORA</v>
      </c>
      <c r="K3444" s="12">
        <f>tItens[[#This Row],[Qtd]]*tItens[[#This Row],[Vlr unit]]</f>
        <v>0</v>
      </c>
      <c r="L3444" s="6">
        <f>IFERROR(IF(INDEX(tProdutos[Desconto homologado],MATCH(tItens[[#This Row],[Produto]],tProdutos[Produto],0))="",DescontoPadrao,INDEX(tProdutos[Desconto homologado],MATCH(tItens[[#This Row],[Produto]],tProdutos[Produto],0))),DescontoPadrao)</f>
        <v>0.246270084162204</v>
      </c>
      <c r="M3444" s="12">
        <f>tItens[[#This Row],[Valor]]*(1-tItens[[#This Row],[Desconto]])</f>
        <v>0</v>
      </c>
      <c r="N3444" t="str">
        <f>IFERROR(INDEX(tProdutos[Foco],MATCH(tItens[[#This Row],[Produto]],tProdutos[Produto],0)),"Não")</f>
        <v>Não</v>
      </c>
      <c r="O3444" t="str">
        <f>IFERROR(INDEX(tEditais[SRP],MATCH(tItens[[#This Row],[Edital]],tEditais[Edital],0)),"Não")</f>
        <v>Sim</v>
      </c>
      <c r="P3444" s="4">
        <f>IF(COUNTIFS(INDEX(tItens[Edital],1):tItens[[#This Row],[Edital]],tItens[[#This Row],[Edital]],INDEX(tItens[Produto],1):tItens[[#This Row],[Produto]],tItens[[#This Row],[Produto]])=1,1,0)</f>
        <v>1</v>
      </c>
    </row>
    <row r="3445" spans="1:16" x14ac:dyDescent="0.25">
      <c r="A3445" t="s">
        <v>1482</v>
      </c>
      <c r="B3445">
        <v>101</v>
      </c>
      <c r="C3445" t="s">
        <v>6328</v>
      </c>
      <c r="D3445" t="s">
        <v>75</v>
      </c>
      <c r="E3445" s="13">
        <v>100</v>
      </c>
      <c r="F3445" s="12">
        <v>0</v>
      </c>
      <c r="G3445" t="str">
        <f>IFERROR(INDEX(tEditais[Órgão],MATCH(tItens[[#This Row],[Edital]],tEditais[Edital],0)),"")</f>
        <v>MUNICIPIO DE JENIPAPO DE MINAS</v>
      </c>
      <c r="H3445" t="str">
        <f>IFERROR(INDEX(tEditais[UF],MATCH(tItens[[#This Row],[Edital]],tEditais[Edital],0)),"")</f>
        <v>MG</v>
      </c>
      <c r="I3445" s="11">
        <f>IFERROR(INDEX(tEditais[Encerramento],MATCH(tItens[[#This Row],[Edital]],tEditais[Edital],0)),"")</f>
        <v>46309.583333333336</v>
      </c>
      <c r="J3445" t="str">
        <f>IFERROR(INDEX(tProdutos[Classe],MATCH(tItens[[#This Row],[Produto]],tProdutos[Produto],0)),"produto não cadastrado")</f>
        <v>NÚCLEO</v>
      </c>
      <c r="K3445" s="12">
        <f>tItens[[#This Row],[Qtd]]*tItens[[#This Row],[Vlr unit]]</f>
        <v>0</v>
      </c>
      <c r="L3445" s="6">
        <f>IFERROR(IF(INDEX(tProdutos[Desconto homologado],MATCH(tItens[[#This Row],[Produto]],tProdutos[Produto],0))="",DescontoPadrao,INDEX(tProdutos[Desconto homologado],MATCH(tItens[[#This Row],[Produto]],tProdutos[Produto],0))),DescontoPadrao)</f>
        <v>0.26</v>
      </c>
      <c r="M3445" s="12">
        <f>tItens[[#This Row],[Valor]]*(1-tItens[[#This Row],[Desconto]])</f>
        <v>0</v>
      </c>
      <c r="N3445" t="str">
        <f>IFERROR(INDEX(tProdutos[Foco],MATCH(tItens[[#This Row],[Produto]],tProdutos[Produto],0)),"Não")</f>
        <v>Sim</v>
      </c>
      <c r="O3445" t="str">
        <f>IFERROR(INDEX(tEditais[SRP],MATCH(tItens[[#This Row],[Edital]],tEditais[Edital],0)),"Não")</f>
        <v>Sim</v>
      </c>
      <c r="P3445" s="4">
        <f>IF(COUNTIFS(INDEX(tItens[Edital],1):tItens[[#This Row],[Edital]],tItens[[#This Row],[Edital]],INDEX(tItens[Produto],1):tItens[[#This Row],[Produto]],tItens[[#This Row],[Produto]])=1,1,0)</f>
        <v>1</v>
      </c>
    </row>
    <row r="3446" spans="1:16" x14ac:dyDescent="0.25">
      <c r="A3446" t="s">
        <v>1482</v>
      </c>
      <c r="B3446">
        <v>102</v>
      </c>
      <c r="C3446" t="s">
        <v>6329</v>
      </c>
      <c r="D3446" t="s">
        <v>75</v>
      </c>
      <c r="E3446" s="13">
        <v>400</v>
      </c>
      <c r="F3446" s="12">
        <v>0</v>
      </c>
      <c r="G3446" t="str">
        <f>IFERROR(INDEX(tEditais[Órgão],MATCH(tItens[[#This Row],[Edital]],tEditais[Edital],0)),"")</f>
        <v>MUNICIPIO DE JENIPAPO DE MINAS</v>
      </c>
      <c r="H3446" t="str">
        <f>IFERROR(INDEX(tEditais[UF],MATCH(tItens[[#This Row],[Edital]],tEditais[Edital],0)),"")</f>
        <v>MG</v>
      </c>
      <c r="I3446" s="11">
        <f>IFERROR(INDEX(tEditais[Encerramento],MATCH(tItens[[#This Row],[Edital]],tEditais[Edital],0)),"")</f>
        <v>46309.583333333336</v>
      </c>
      <c r="J3446" t="str">
        <f>IFERROR(INDEX(tProdutos[Classe],MATCH(tItens[[#This Row],[Produto]],tProdutos[Produto],0)),"produto não cadastrado")</f>
        <v>NÚCLEO</v>
      </c>
      <c r="K3446" s="12">
        <f>tItens[[#This Row],[Qtd]]*tItens[[#This Row],[Vlr unit]]</f>
        <v>0</v>
      </c>
      <c r="L3446" s="6">
        <f>IFERROR(IF(INDEX(tProdutos[Desconto homologado],MATCH(tItens[[#This Row],[Produto]],tProdutos[Produto],0))="",DescontoPadrao,INDEX(tProdutos[Desconto homologado],MATCH(tItens[[#This Row],[Produto]],tProdutos[Produto],0))),DescontoPadrao)</f>
        <v>0.26</v>
      </c>
      <c r="M3446" s="12">
        <f>tItens[[#This Row],[Valor]]*(1-tItens[[#This Row],[Desconto]])</f>
        <v>0</v>
      </c>
      <c r="N3446" t="str">
        <f>IFERROR(INDEX(tProdutos[Foco],MATCH(tItens[[#This Row],[Produto]],tProdutos[Produto],0)),"Não")</f>
        <v>Sim</v>
      </c>
      <c r="O3446" t="str">
        <f>IFERROR(INDEX(tEditais[SRP],MATCH(tItens[[#This Row],[Edital]],tEditais[Edital],0)),"Não")</f>
        <v>Sim</v>
      </c>
      <c r="P3446" s="4">
        <f>IF(COUNTIFS(INDEX(tItens[Edital],1):tItens[[#This Row],[Edital]],tItens[[#This Row],[Edital]],INDEX(tItens[Produto],1):tItens[[#This Row],[Produto]],tItens[[#This Row],[Produto]])=1,1,0)</f>
        <v>0</v>
      </c>
    </row>
    <row r="3447" spans="1:16" x14ac:dyDescent="0.25">
      <c r="A3447" t="s">
        <v>1482</v>
      </c>
      <c r="B3447">
        <v>103</v>
      </c>
      <c r="C3447" t="s">
        <v>6330</v>
      </c>
      <c r="D3447" t="s">
        <v>75</v>
      </c>
      <c r="E3447" s="13">
        <v>100</v>
      </c>
      <c r="F3447" s="12">
        <v>0</v>
      </c>
      <c r="G3447" t="str">
        <f>IFERROR(INDEX(tEditais[Órgão],MATCH(tItens[[#This Row],[Edital]],tEditais[Edital],0)),"")</f>
        <v>MUNICIPIO DE JENIPAPO DE MINAS</v>
      </c>
      <c r="H3447" t="str">
        <f>IFERROR(INDEX(tEditais[UF],MATCH(tItens[[#This Row],[Edital]],tEditais[Edital],0)),"")</f>
        <v>MG</v>
      </c>
      <c r="I3447" s="11">
        <f>IFERROR(INDEX(tEditais[Encerramento],MATCH(tItens[[#This Row],[Edital]],tEditais[Edital],0)),"")</f>
        <v>46309.583333333336</v>
      </c>
      <c r="J3447" t="str">
        <f>IFERROR(INDEX(tProdutos[Classe],MATCH(tItens[[#This Row],[Produto]],tProdutos[Produto],0)),"produto não cadastrado")</f>
        <v>NÚCLEO</v>
      </c>
      <c r="K3447" s="12">
        <f>tItens[[#This Row],[Qtd]]*tItens[[#This Row],[Vlr unit]]</f>
        <v>0</v>
      </c>
      <c r="L3447" s="6">
        <f>IFERROR(IF(INDEX(tProdutos[Desconto homologado],MATCH(tItens[[#This Row],[Produto]],tProdutos[Produto],0))="",DescontoPadrao,INDEX(tProdutos[Desconto homologado],MATCH(tItens[[#This Row],[Produto]],tProdutos[Produto],0))),DescontoPadrao)</f>
        <v>0.26</v>
      </c>
      <c r="M3447" s="12">
        <f>tItens[[#This Row],[Valor]]*(1-tItens[[#This Row],[Desconto]])</f>
        <v>0</v>
      </c>
      <c r="N3447" t="str">
        <f>IFERROR(INDEX(tProdutos[Foco],MATCH(tItens[[#This Row],[Produto]],tProdutos[Produto],0)),"Não")</f>
        <v>Sim</v>
      </c>
      <c r="O3447" t="str">
        <f>IFERROR(INDEX(tEditais[SRP],MATCH(tItens[[#This Row],[Edital]],tEditais[Edital],0)),"Não")</f>
        <v>Sim</v>
      </c>
      <c r="P3447" s="4">
        <f>IF(COUNTIFS(INDEX(tItens[Edital],1):tItens[[#This Row],[Edital]],tItens[[#This Row],[Edital]],INDEX(tItens[Produto],1):tItens[[#This Row],[Produto]],tItens[[#This Row],[Produto]])=1,1,0)</f>
        <v>0</v>
      </c>
    </row>
    <row r="3448" spans="1:16" x14ac:dyDescent="0.25">
      <c r="A3448" t="s">
        <v>1482</v>
      </c>
      <c r="B3448">
        <v>110</v>
      </c>
      <c r="C3448" t="s">
        <v>6331</v>
      </c>
      <c r="D3448" t="s">
        <v>461</v>
      </c>
      <c r="E3448" s="13">
        <v>7</v>
      </c>
      <c r="F3448" s="12">
        <v>0</v>
      </c>
      <c r="G3448" t="str">
        <f>IFERROR(INDEX(tEditais[Órgão],MATCH(tItens[[#This Row],[Edital]],tEditais[Edital],0)),"")</f>
        <v>MUNICIPIO DE JENIPAPO DE MINAS</v>
      </c>
      <c r="H3448" t="str">
        <f>IFERROR(INDEX(tEditais[UF],MATCH(tItens[[#This Row],[Edital]],tEditais[Edital],0)),"")</f>
        <v>MG</v>
      </c>
      <c r="I3448" s="11">
        <f>IFERROR(INDEX(tEditais[Encerramento],MATCH(tItens[[#This Row],[Edital]],tEditais[Edital],0)),"")</f>
        <v>46309.583333333336</v>
      </c>
      <c r="J3448" t="str">
        <f>IFERROR(INDEX(tProdutos[Classe],MATCH(tItens[[#This Row],[Produto]],tProdutos[Produto],0)),"produto não cadastrado")</f>
        <v>FILA REBASE</v>
      </c>
      <c r="K3448" s="12">
        <f>tItens[[#This Row],[Qtd]]*tItens[[#This Row],[Vlr unit]]</f>
        <v>0</v>
      </c>
      <c r="L3448" s="6">
        <f>IFERROR(IF(INDEX(tProdutos[Desconto homologado],MATCH(tItens[[#This Row],[Produto]],tProdutos[Produto],0))="",DescontoPadrao,INDEX(tProdutos[Desconto homologado],MATCH(tItens[[#This Row],[Produto]],tProdutos[Produto],0))),DescontoPadrao)</f>
        <v>0.44096385542168698</v>
      </c>
      <c r="M3448" s="12">
        <f>tItens[[#This Row],[Valor]]*(1-tItens[[#This Row],[Desconto]])</f>
        <v>0</v>
      </c>
      <c r="N3448" t="str">
        <f>IFERROR(INDEX(tProdutos[Foco],MATCH(tItens[[#This Row],[Produto]],tProdutos[Produto],0)),"Não")</f>
        <v>Não</v>
      </c>
      <c r="O3448" t="str">
        <f>IFERROR(INDEX(tEditais[SRP],MATCH(tItens[[#This Row],[Edital]],tEditais[Edital],0)),"Não")</f>
        <v>Sim</v>
      </c>
      <c r="P3448" s="4">
        <f>IF(COUNTIFS(INDEX(tItens[Edital],1):tItens[[#This Row],[Edital]],tItens[[#This Row],[Edital]],INDEX(tItens[Produto],1):tItens[[#This Row],[Produto]],tItens[[#This Row],[Produto]])=1,1,0)</f>
        <v>1</v>
      </c>
    </row>
    <row r="3449" spans="1:16" x14ac:dyDescent="0.25">
      <c r="A3449" t="s">
        <v>1482</v>
      </c>
      <c r="B3449">
        <v>111</v>
      </c>
      <c r="C3449" t="s">
        <v>6332</v>
      </c>
      <c r="D3449" t="s">
        <v>461</v>
      </c>
      <c r="E3449" s="13">
        <v>5</v>
      </c>
      <c r="F3449" s="12">
        <v>0</v>
      </c>
      <c r="G3449" t="str">
        <f>IFERROR(INDEX(tEditais[Órgão],MATCH(tItens[[#This Row],[Edital]],tEditais[Edital],0)),"")</f>
        <v>MUNICIPIO DE JENIPAPO DE MINAS</v>
      </c>
      <c r="H3449" t="str">
        <f>IFERROR(INDEX(tEditais[UF],MATCH(tItens[[#This Row],[Edital]],tEditais[Edital],0)),"")</f>
        <v>MG</v>
      </c>
      <c r="I3449" s="11">
        <f>IFERROR(INDEX(tEditais[Encerramento],MATCH(tItens[[#This Row],[Edital]],tEditais[Edital],0)),"")</f>
        <v>46309.583333333336</v>
      </c>
      <c r="J3449" t="str">
        <f>IFERROR(INDEX(tProdutos[Classe],MATCH(tItens[[#This Row],[Produto]],tProdutos[Produto],0)),"produto não cadastrado")</f>
        <v>FILA REBASE</v>
      </c>
      <c r="K3449" s="12">
        <f>tItens[[#This Row],[Qtd]]*tItens[[#This Row],[Vlr unit]]</f>
        <v>0</v>
      </c>
      <c r="L3449" s="6">
        <f>IFERROR(IF(INDEX(tProdutos[Desconto homologado],MATCH(tItens[[#This Row],[Produto]],tProdutos[Produto],0))="",DescontoPadrao,INDEX(tProdutos[Desconto homologado],MATCH(tItens[[#This Row],[Produto]],tProdutos[Produto],0))),DescontoPadrao)</f>
        <v>0.44096385542168698</v>
      </c>
      <c r="M3449" s="12">
        <f>tItens[[#This Row],[Valor]]*(1-tItens[[#This Row],[Desconto]])</f>
        <v>0</v>
      </c>
      <c r="N3449" t="str">
        <f>IFERROR(INDEX(tProdutos[Foco],MATCH(tItens[[#This Row],[Produto]],tProdutos[Produto],0)),"Não")</f>
        <v>Não</v>
      </c>
      <c r="O3449" t="str">
        <f>IFERROR(INDEX(tEditais[SRP],MATCH(tItens[[#This Row],[Edital]],tEditais[Edital],0)),"Não")</f>
        <v>Sim</v>
      </c>
      <c r="P3449" s="4">
        <f>IF(COUNTIFS(INDEX(tItens[Edital],1):tItens[[#This Row],[Edital]],tItens[[#This Row],[Edital]],INDEX(tItens[Produto],1):tItens[[#This Row],[Produto]],tItens[[#This Row],[Produto]])=1,1,0)</f>
        <v>0</v>
      </c>
    </row>
    <row r="3450" spans="1:16" x14ac:dyDescent="0.25">
      <c r="A3450" t="s">
        <v>1482</v>
      </c>
      <c r="B3450">
        <v>112</v>
      </c>
      <c r="C3450" t="s">
        <v>6333</v>
      </c>
      <c r="D3450" t="s">
        <v>461</v>
      </c>
      <c r="E3450" s="13">
        <v>5</v>
      </c>
      <c r="F3450" s="12">
        <v>0</v>
      </c>
      <c r="G3450" t="str">
        <f>IFERROR(INDEX(tEditais[Órgão],MATCH(tItens[[#This Row],[Edital]],tEditais[Edital],0)),"")</f>
        <v>MUNICIPIO DE JENIPAPO DE MINAS</v>
      </c>
      <c r="H3450" t="str">
        <f>IFERROR(INDEX(tEditais[UF],MATCH(tItens[[#This Row],[Edital]],tEditais[Edital],0)),"")</f>
        <v>MG</v>
      </c>
      <c r="I3450" s="11">
        <f>IFERROR(INDEX(tEditais[Encerramento],MATCH(tItens[[#This Row],[Edital]],tEditais[Edital],0)),"")</f>
        <v>46309.583333333336</v>
      </c>
      <c r="J3450" t="str">
        <f>IFERROR(INDEX(tProdutos[Classe],MATCH(tItens[[#This Row],[Produto]],tProdutos[Produto],0)),"produto não cadastrado")</f>
        <v>FILA REBASE</v>
      </c>
      <c r="K3450" s="12">
        <f>tItens[[#This Row],[Qtd]]*tItens[[#This Row],[Vlr unit]]</f>
        <v>0</v>
      </c>
      <c r="L3450" s="6">
        <f>IFERROR(IF(INDEX(tProdutos[Desconto homologado],MATCH(tItens[[#This Row],[Produto]],tProdutos[Produto],0))="",DescontoPadrao,INDEX(tProdutos[Desconto homologado],MATCH(tItens[[#This Row],[Produto]],tProdutos[Produto],0))),DescontoPadrao)</f>
        <v>0.44096385542168698</v>
      </c>
      <c r="M3450" s="12">
        <f>tItens[[#This Row],[Valor]]*(1-tItens[[#This Row],[Desconto]])</f>
        <v>0</v>
      </c>
      <c r="N3450" t="str">
        <f>IFERROR(INDEX(tProdutos[Foco],MATCH(tItens[[#This Row],[Produto]],tProdutos[Produto],0)),"Não")</f>
        <v>Não</v>
      </c>
      <c r="O3450" t="str">
        <f>IFERROR(INDEX(tEditais[SRP],MATCH(tItens[[#This Row],[Edital]],tEditais[Edital],0)),"Não")</f>
        <v>Sim</v>
      </c>
      <c r="P3450" s="4">
        <f>IF(COUNTIFS(INDEX(tItens[Edital],1):tItens[[#This Row],[Edital]],tItens[[#This Row],[Edital]],INDEX(tItens[Produto],1):tItens[[#This Row],[Produto]],tItens[[#This Row],[Produto]])=1,1,0)</f>
        <v>0</v>
      </c>
    </row>
    <row r="3451" spans="1:16" x14ac:dyDescent="0.25">
      <c r="A3451" t="s">
        <v>1482</v>
      </c>
      <c r="B3451">
        <v>113</v>
      </c>
      <c r="C3451" t="s">
        <v>6334</v>
      </c>
      <c r="D3451" t="s">
        <v>461</v>
      </c>
      <c r="E3451" s="13">
        <v>5</v>
      </c>
      <c r="F3451" s="12">
        <v>0</v>
      </c>
      <c r="G3451" t="str">
        <f>IFERROR(INDEX(tEditais[Órgão],MATCH(tItens[[#This Row],[Edital]],tEditais[Edital],0)),"")</f>
        <v>MUNICIPIO DE JENIPAPO DE MINAS</v>
      </c>
      <c r="H3451" t="str">
        <f>IFERROR(INDEX(tEditais[UF],MATCH(tItens[[#This Row],[Edital]],tEditais[Edital],0)),"")</f>
        <v>MG</v>
      </c>
      <c r="I3451" s="11">
        <f>IFERROR(INDEX(tEditais[Encerramento],MATCH(tItens[[#This Row],[Edital]],tEditais[Edital],0)),"")</f>
        <v>46309.583333333336</v>
      </c>
      <c r="J3451" t="str">
        <f>IFERROR(INDEX(tProdutos[Classe],MATCH(tItens[[#This Row],[Produto]],tProdutos[Produto],0)),"produto não cadastrado")</f>
        <v>FILA REBASE</v>
      </c>
      <c r="K3451" s="12">
        <f>tItens[[#This Row],[Qtd]]*tItens[[#This Row],[Vlr unit]]</f>
        <v>0</v>
      </c>
      <c r="L3451" s="6">
        <f>IFERROR(IF(INDEX(tProdutos[Desconto homologado],MATCH(tItens[[#This Row],[Produto]],tProdutos[Produto],0))="",DescontoPadrao,INDEX(tProdutos[Desconto homologado],MATCH(tItens[[#This Row],[Produto]],tProdutos[Produto],0))),DescontoPadrao)</f>
        <v>0.44096385542168698</v>
      </c>
      <c r="M3451" s="12">
        <f>tItens[[#This Row],[Valor]]*(1-tItens[[#This Row],[Desconto]])</f>
        <v>0</v>
      </c>
      <c r="N3451" t="str">
        <f>IFERROR(INDEX(tProdutos[Foco],MATCH(tItens[[#This Row],[Produto]],tProdutos[Produto],0)),"Não")</f>
        <v>Não</v>
      </c>
      <c r="O3451" t="str">
        <f>IFERROR(INDEX(tEditais[SRP],MATCH(tItens[[#This Row],[Edital]],tEditais[Edital],0)),"Não")</f>
        <v>Sim</v>
      </c>
      <c r="P3451" s="4">
        <f>IF(COUNTIFS(INDEX(tItens[Edital],1):tItens[[#This Row],[Edital]],tItens[[#This Row],[Edital]],INDEX(tItens[Produto],1):tItens[[#This Row],[Produto]],tItens[[#This Row],[Produto]])=1,1,0)</f>
        <v>0</v>
      </c>
    </row>
    <row r="3452" spans="1:16" x14ac:dyDescent="0.25">
      <c r="A3452" t="s">
        <v>1482</v>
      </c>
      <c r="B3452">
        <v>114</v>
      </c>
      <c r="C3452" t="s">
        <v>6335</v>
      </c>
      <c r="D3452" t="s">
        <v>461</v>
      </c>
      <c r="E3452" s="13">
        <v>5</v>
      </c>
      <c r="F3452" s="12">
        <v>0</v>
      </c>
      <c r="G3452" t="str">
        <f>IFERROR(INDEX(tEditais[Órgão],MATCH(tItens[[#This Row],[Edital]],tEditais[Edital],0)),"")</f>
        <v>MUNICIPIO DE JENIPAPO DE MINAS</v>
      </c>
      <c r="H3452" t="str">
        <f>IFERROR(INDEX(tEditais[UF],MATCH(tItens[[#This Row],[Edital]],tEditais[Edital],0)),"")</f>
        <v>MG</v>
      </c>
      <c r="I3452" s="11">
        <f>IFERROR(INDEX(tEditais[Encerramento],MATCH(tItens[[#This Row],[Edital]],tEditais[Edital],0)),"")</f>
        <v>46309.583333333336</v>
      </c>
      <c r="J3452" t="str">
        <f>IFERROR(INDEX(tProdutos[Classe],MATCH(tItens[[#This Row],[Produto]],tProdutos[Produto],0)),"produto não cadastrado")</f>
        <v>FILA REBASE</v>
      </c>
      <c r="K3452" s="12">
        <f>tItens[[#This Row],[Qtd]]*tItens[[#This Row],[Vlr unit]]</f>
        <v>0</v>
      </c>
      <c r="L3452" s="6">
        <f>IFERROR(IF(INDEX(tProdutos[Desconto homologado],MATCH(tItens[[#This Row],[Produto]],tProdutos[Produto],0))="",DescontoPadrao,INDEX(tProdutos[Desconto homologado],MATCH(tItens[[#This Row],[Produto]],tProdutos[Produto],0))),DescontoPadrao)</f>
        <v>0.44096385542168698</v>
      </c>
      <c r="M3452" s="12">
        <f>tItens[[#This Row],[Valor]]*(1-tItens[[#This Row],[Desconto]])</f>
        <v>0</v>
      </c>
      <c r="N3452" t="str">
        <f>IFERROR(INDEX(tProdutos[Foco],MATCH(tItens[[#This Row],[Produto]],tProdutos[Produto],0)),"Não")</f>
        <v>Não</v>
      </c>
      <c r="O3452" t="str">
        <f>IFERROR(INDEX(tEditais[SRP],MATCH(tItens[[#This Row],[Edital]],tEditais[Edital],0)),"Não")</f>
        <v>Sim</v>
      </c>
      <c r="P3452" s="4">
        <f>IF(COUNTIFS(INDEX(tItens[Edital],1):tItens[[#This Row],[Edital]],tItens[[#This Row],[Edital]],INDEX(tItens[Produto],1):tItens[[#This Row],[Produto]],tItens[[#This Row],[Produto]])=1,1,0)</f>
        <v>0</v>
      </c>
    </row>
    <row r="3453" spans="1:16" x14ac:dyDescent="0.25">
      <c r="A3453" t="s">
        <v>1482</v>
      </c>
      <c r="B3453">
        <v>115</v>
      </c>
      <c r="C3453" t="s">
        <v>6336</v>
      </c>
      <c r="D3453" t="s">
        <v>142</v>
      </c>
      <c r="E3453" s="13">
        <v>5</v>
      </c>
      <c r="F3453" s="12">
        <v>0</v>
      </c>
      <c r="G3453" t="str">
        <f>IFERROR(INDEX(tEditais[Órgão],MATCH(tItens[[#This Row],[Edital]],tEditais[Edital],0)),"")</f>
        <v>MUNICIPIO DE JENIPAPO DE MINAS</v>
      </c>
      <c r="H3453" t="str">
        <f>IFERROR(INDEX(tEditais[UF],MATCH(tItens[[#This Row],[Edital]],tEditais[Edital],0)),"")</f>
        <v>MG</v>
      </c>
      <c r="I3453" s="11">
        <f>IFERROR(INDEX(tEditais[Encerramento],MATCH(tItens[[#This Row],[Edital]],tEditais[Edital],0)),"")</f>
        <v>46309.583333333336</v>
      </c>
      <c r="J3453" t="str">
        <f>IFERROR(INDEX(tProdutos[Classe],MATCH(tItens[[#This Row],[Produto]],tProdutos[Produto],0)),"produto não cadastrado")</f>
        <v>DISPUTADO</v>
      </c>
      <c r="K3453" s="12">
        <f>tItens[[#This Row],[Qtd]]*tItens[[#This Row],[Vlr unit]]</f>
        <v>0</v>
      </c>
      <c r="L3453" s="6">
        <f>IFERROR(IF(INDEX(tProdutos[Desconto homologado],MATCH(tItens[[#This Row],[Produto]],tProdutos[Produto],0))="",DescontoPadrao,INDEX(tProdutos[Desconto homologado],MATCH(tItens[[#This Row],[Produto]],tProdutos[Produto],0))),DescontoPadrao)</f>
        <v>0.37093619495691699</v>
      </c>
      <c r="M3453" s="12">
        <f>tItens[[#This Row],[Valor]]*(1-tItens[[#This Row],[Desconto]])</f>
        <v>0</v>
      </c>
      <c r="N3453" t="str">
        <f>IFERROR(INDEX(tProdutos[Foco],MATCH(tItens[[#This Row],[Produto]],tProdutos[Produto],0)),"Não")</f>
        <v>Não</v>
      </c>
      <c r="O3453" t="str">
        <f>IFERROR(INDEX(tEditais[SRP],MATCH(tItens[[#This Row],[Edital]],tEditais[Edital],0)),"Não")</f>
        <v>Sim</v>
      </c>
      <c r="P3453" s="4">
        <f>IF(COUNTIFS(INDEX(tItens[Edital],1):tItens[[#This Row],[Edital]],tItens[[#This Row],[Edital]],INDEX(tItens[Produto],1):tItens[[#This Row],[Produto]],tItens[[#This Row],[Produto]])=1,1,0)</f>
        <v>1</v>
      </c>
    </row>
    <row r="3454" spans="1:16" x14ac:dyDescent="0.25">
      <c r="A3454" t="s">
        <v>1482</v>
      </c>
      <c r="B3454">
        <v>116</v>
      </c>
      <c r="C3454" t="s">
        <v>6337</v>
      </c>
      <c r="D3454" t="s">
        <v>142</v>
      </c>
      <c r="E3454" s="13">
        <v>70</v>
      </c>
      <c r="F3454" s="12">
        <v>0</v>
      </c>
      <c r="G3454" t="str">
        <f>IFERROR(INDEX(tEditais[Órgão],MATCH(tItens[[#This Row],[Edital]],tEditais[Edital],0)),"")</f>
        <v>MUNICIPIO DE JENIPAPO DE MINAS</v>
      </c>
      <c r="H3454" t="str">
        <f>IFERROR(INDEX(tEditais[UF],MATCH(tItens[[#This Row],[Edital]],tEditais[Edital],0)),"")</f>
        <v>MG</v>
      </c>
      <c r="I3454" s="11">
        <f>IFERROR(INDEX(tEditais[Encerramento],MATCH(tItens[[#This Row],[Edital]],tEditais[Edital],0)),"")</f>
        <v>46309.583333333336</v>
      </c>
      <c r="J3454" t="str">
        <f>IFERROR(INDEX(tProdutos[Classe],MATCH(tItens[[#This Row],[Produto]],tProdutos[Produto],0)),"produto não cadastrado")</f>
        <v>DISPUTADO</v>
      </c>
      <c r="K3454" s="12">
        <f>tItens[[#This Row],[Qtd]]*tItens[[#This Row],[Vlr unit]]</f>
        <v>0</v>
      </c>
      <c r="L3454" s="6">
        <f>IFERROR(IF(INDEX(tProdutos[Desconto homologado],MATCH(tItens[[#This Row],[Produto]],tProdutos[Produto],0))="",DescontoPadrao,INDEX(tProdutos[Desconto homologado],MATCH(tItens[[#This Row],[Produto]],tProdutos[Produto],0))),DescontoPadrao)</f>
        <v>0.37093619495691699</v>
      </c>
      <c r="M3454" s="12">
        <f>tItens[[#This Row],[Valor]]*(1-tItens[[#This Row],[Desconto]])</f>
        <v>0</v>
      </c>
      <c r="N3454" t="str">
        <f>IFERROR(INDEX(tProdutos[Foco],MATCH(tItens[[#This Row],[Produto]],tProdutos[Produto],0)),"Não")</f>
        <v>Não</v>
      </c>
      <c r="O3454" t="str">
        <f>IFERROR(INDEX(tEditais[SRP],MATCH(tItens[[#This Row],[Edital]],tEditais[Edital],0)),"Não")</f>
        <v>Sim</v>
      </c>
      <c r="P3454" s="4">
        <f>IF(COUNTIFS(INDEX(tItens[Edital],1):tItens[[#This Row],[Edital]],tItens[[#This Row],[Edital]],INDEX(tItens[Produto],1):tItens[[#This Row],[Produto]],tItens[[#This Row],[Produto]])=1,1,0)</f>
        <v>0</v>
      </c>
    </row>
    <row r="3455" spans="1:16" x14ac:dyDescent="0.25">
      <c r="A3455" t="s">
        <v>1482</v>
      </c>
      <c r="B3455">
        <v>120</v>
      </c>
      <c r="C3455" t="s">
        <v>6338</v>
      </c>
      <c r="D3455" t="s">
        <v>77</v>
      </c>
      <c r="E3455" s="13">
        <v>5</v>
      </c>
      <c r="F3455" s="12">
        <v>0</v>
      </c>
      <c r="G3455" t="str">
        <f>IFERROR(INDEX(tEditais[Órgão],MATCH(tItens[[#This Row],[Edital]],tEditais[Edital],0)),"")</f>
        <v>MUNICIPIO DE JENIPAPO DE MINAS</v>
      </c>
      <c r="H3455" t="str">
        <f>IFERROR(INDEX(tEditais[UF],MATCH(tItens[[#This Row],[Edital]],tEditais[Edital],0)),"")</f>
        <v>MG</v>
      </c>
      <c r="I3455" s="11">
        <f>IFERROR(INDEX(tEditais[Encerramento],MATCH(tItens[[#This Row],[Edital]],tEditais[Edital],0)),"")</f>
        <v>46309.583333333336</v>
      </c>
      <c r="J3455" t="str">
        <f>IFERROR(INDEX(tProdutos[Classe],MATCH(tItens[[#This Row],[Produto]],tProdutos[Produto],0)),"produto não cadastrado")</f>
        <v>DISPUTADO</v>
      </c>
      <c r="K3455" s="12">
        <f>tItens[[#This Row],[Qtd]]*tItens[[#This Row],[Vlr unit]]</f>
        <v>0</v>
      </c>
      <c r="L3455" s="6">
        <f>IFERROR(IF(INDEX(tProdutos[Desconto homologado],MATCH(tItens[[#This Row],[Produto]],tProdutos[Produto],0))="",DescontoPadrao,INDEX(tProdutos[Desconto homologado],MATCH(tItens[[#This Row],[Produto]],tProdutos[Produto],0))),DescontoPadrao)</f>
        <v>0.33</v>
      </c>
      <c r="M3455" s="12">
        <f>tItens[[#This Row],[Valor]]*(1-tItens[[#This Row],[Desconto]])</f>
        <v>0</v>
      </c>
      <c r="N3455" t="str">
        <f>IFERROR(INDEX(tProdutos[Foco],MATCH(tItens[[#This Row],[Produto]],tProdutos[Produto],0)),"Não")</f>
        <v>Sim</v>
      </c>
      <c r="O3455" t="str">
        <f>IFERROR(INDEX(tEditais[SRP],MATCH(tItens[[#This Row],[Edital]],tEditais[Edital],0)),"Não")</f>
        <v>Sim</v>
      </c>
      <c r="P3455" s="4">
        <f>IF(COUNTIFS(INDEX(tItens[Edital],1):tItens[[#This Row],[Edital]],tItens[[#This Row],[Edital]],INDEX(tItens[Produto],1):tItens[[#This Row],[Produto]],tItens[[#This Row],[Produto]])=1,1,0)</f>
        <v>1</v>
      </c>
    </row>
    <row r="3456" spans="1:16" x14ac:dyDescent="0.25">
      <c r="A3456" t="s">
        <v>1482</v>
      </c>
      <c r="B3456">
        <v>121</v>
      </c>
      <c r="C3456" t="s">
        <v>6339</v>
      </c>
      <c r="D3456" t="s">
        <v>142</v>
      </c>
      <c r="E3456" s="13">
        <v>3</v>
      </c>
      <c r="F3456" s="12">
        <v>0</v>
      </c>
      <c r="G3456" t="str">
        <f>IFERROR(INDEX(tEditais[Órgão],MATCH(tItens[[#This Row],[Edital]],tEditais[Edital],0)),"")</f>
        <v>MUNICIPIO DE JENIPAPO DE MINAS</v>
      </c>
      <c r="H3456" t="str">
        <f>IFERROR(INDEX(tEditais[UF],MATCH(tItens[[#This Row],[Edital]],tEditais[Edital],0)),"")</f>
        <v>MG</v>
      </c>
      <c r="I3456" s="11">
        <f>IFERROR(INDEX(tEditais[Encerramento],MATCH(tItens[[#This Row],[Edital]],tEditais[Edital],0)),"")</f>
        <v>46309.583333333336</v>
      </c>
      <c r="J3456" t="str">
        <f>IFERROR(INDEX(tProdutos[Classe],MATCH(tItens[[#This Row],[Produto]],tProdutos[Produto],0)),"produto não cadastrado")</f>
        <v>DISPUTADO</v>
      </c>
      <c r="K3456" s="12">
        <f>tItens[[#This Row],[Qtd]]*tItens[[#This Row],[Vlr unit]]</f>
        <v>0</v>
      </c>
      <c r="L3456" s="6">
        <f>IFERROR(IF(INDEX(tProdutos[Desconto homologado],MATCH(tItens[[#This Row],[Produto]],tProdutos[Produto],0))="",DescontoPadrao,INDEX(tProdutos[Desconto homologado],MATCH(tItens[[#This Row],[Produto]],tProdutos[Produto],0))),DescontoPadrao)</f>
        <v>0.37093619495691699</v>
      </c>
      <c r="M3456" s="12">
        <f>tItens[[#This Row],[Valor]]*(1-tItens[[#This Row],[Desconto]])</f>
        <v>0</v>
      </c>
      <c r="N3456" t="str">
        <f>IFERROR(INDEX(tProdutos[Foco],MATCH(tItens[[#This Row],[Produto]],tProdutos[Produto],0)),"Não")</f>
        <v>Não</v>
      </c>
      <c r="O3456" t="str">
        <f>IFERROR(INDEX(tEditais[SRP],MATCH(tItens[[#This Row],[Edital]],tEditais[Edital],0)),"Não")</f>
        <v>Sim</v>
      </c>
      <c r="P3456" s="4">
        <f>IF(COUNTIFS(INDEX(tItens[Edital],1):tItens[[#This Row],[Edital]],tItens[[#This Row],[Edital]],INDEX(tItens[Produto],1):tItens[[#This Row],[Produto]],tItens[[#This Row],[Produto]])=1,1,0)</f>
        <v>0</v>
      </c>
    </row>
    <row r="3457" spans="1:16" x14ac:dyDescent="0.25">
      <c r="A3457" t="s">
        <v>1482</v>
      </c>
      <c r="B3457">
        <v>126</v>
      </c>
      <c r="C3457" t="s">
        <v>6340</v>
      </c>
      <c r="D3457" t="s">
        <v>383</v>
      </c>
      <c r="E3457" s="13">
        <v>200</v>
      </c>
      <c r="F3457" s="12">
        <v>0</v>
      </c>
      <c r="G3457" t="str">
        <f>IFERROR(INDEX(tEditais[Órgão],MATCH(tItens[[#This Row],[Edital]],tEditais[Edital],0)),"")</f>
        <v>MUNICIPIO DE JENIPAPO DE MINAS</v>
      </c>
      <c r="H3457" t="str">
        <f>IFERROR(INDEX(tEditais[UF],MATCH(tItens[[#This Row],[Edital]],tEditais[Edital],0)),"")</f>
        <v>MG</v>
      </c>
      <c r="I3457" s="11">
        <f>IFERROR(INDEX(tEditais[Encerramento],MATCH(tItens[[#This Row],[Edital]],tEditais[Edital],0)),"")</f>
        <v>46309.583333333336</v>
      </c>
      <c r="J3457" t="str">
        <f>IFERROR(INDEX(tProdutos[Classe],MATCH(tItens[[#This Row],[Produto]],tProdutos[Produto],0)),"produto não cadastrado")</f>
        <v>FORA</v>
      </c>
      <c r="K3457" s="12">
        <f>tItens[[#This Row],[Qtd]]*tItens[[#This Row],[Vlr unit]]</f>
        <v>0</v>
      </c>
      <c r="L3457" s="6">
        <f>IFERROR(IF(INDEX(tProdutos[Desconto homologado],MATCH(tItens[[#This Row],[Produto]],tProdutos[Produto],0))="",DescontoPadrao,INDEX(tProdutos[Desconto homologado],MATCH(tItens[[#This Row],[Produto]],tProdutos[Produto],0))),DescontoPadrao)</f>
        <v>0.48749999999999999</v>
      </c>
      <c r="M3457" s="12">
        <f>tItens[[#This Row],[Valor]]*(1-tItens[[#This Row],[Desconto]])</f>
        <v>0</v>
      </c>
      <c r="N3457" t="str">
        <f>IFERROR(INDEX(tProdutos[Foco],MATCH(tItens[[#This Row],[Produto]],tProdutos[Produto],0)),"Não")</f>
        <v>Não</v>
      </c>
      <c r="O3457" t="str">
        <f>IFERROR(INDEX(tEditais[SRP],MATCH(tItens[[#This Row],[Edital]],tEditais[Edital],0)),"Não")</f>
        <v>Sim</v>
      </c>
      <c r="P3457" s="4">
        <f>IF(COUNTIFS(INDEX(tItens[Edital],1):tItens[[#This Row],[Edital]],tItens[[#This Row],[Edital]],INDEX(tItens[Produto],1):tItens[[#This Row],[Produto]],tItens[[#This Row],[Produto]])=1,1,0)</f>
        <v>1</v>
      </c>
    </row>
    <row r="3458" spans="1:16" x14ac:dyDescent="0.25">
      <c r="A3458" t="s">
        <v>1482</v>
      </c>
      <c r="B3458">
        <v>136</v>
      </c>
      <c r="C3458" t="s">
        <v>6341</v>
      </c>
      <c r="D3458" t="s">
        <v>329</v>
      </c>
      <c r="E3458" s="13">
        <v>3500</v>
      </c>
      <c r="F3458" s="12">
        <v>0</v>
      </c>
      <c r="G3458" t="str">
        <f>IFERROR(INDEX(tEditais[Órgão],MATCH(tItens[[#This Row],[Edital]],tEditais[Edital],0)),"")</f>
        <v>MUNICIPIO DE JENIPAPO DE MINAS</v>
      </c>
      <c r="H3458" t="str">
        <f>IFERROR(INDEX(tEditais[UF],MATCH(tItens[[#This Row],[Edital]],tEditais[Edital],0)),"")</f>
        <v>MG</v>
      </c>
      <c r="I3458" s="11">
        <f>IFERROR(INDEX(tEditais[Encerramento],MATCH(tItens[[#This Row],[Edital]],tEditais[Edital],0)),"")</f>
        <v>46309.583333333336</v>
      </c>
      <c r="J3458" t="str">
        <f>IFERROR(INDEX(tProdutos[Classe],MATCH(tItens[[#This Row],[Produto]],tProdutos[Produto],0)),"produto não cadastrado")</f>
        <v>FORA</v>
      </c>
      <c r="K3458" s="12">
        <f>tItens[[#This Row],[Qtd]]*tItens[[#This Row],[Vlr unit]]</f>
        <v>0</v>
      </c>
      <c r="L3458" s="6">
        <f>IFERROR(IF(INDEX(tProdutos[Desconto homologado],MATCH(tItens[[#This Row],[Produto]],tProdutos[Produto],0))="",DescontoPadrao,INDEX(tProdutos[Desconto homologado],MATCH(tItens[[#This Row],[Produto]],tProdutos[Produto],0))),DescontoPadrao)</f>
        <v>0.46441781031074703</v>
      </c>
      <c r="M3458" s="12">
        <f>tItens[[#This Row],[Valor]]*(1-tItens[[#This Row],[Desconto]])</f>
        <v>0</v>
      </c>
      <c r="N3458" t="str">
        <f>IFERROR(INDEX(tProdutos[Foco],MATCH(tItens[[#This Row],[Produto]],tProdutos[Produto],0)),"Não")</f>
        <v>Não</v>
      </c>
      <c r="O3458" t="str">
        <f>IFERROR(INDEX(tEditais[SRP],MATCH(tItens[[#This Row],[Edital]],tEditais[Edital],0)),"Não")</f>
        <v>Sim</v>
      </c>
      <c r="P3458" s="4">
        <f>IF(COUNTIFS(INDEX(tItens[Edital],1):tItens[[#This Row],[Edital]],tItens[[#This Row],[Edital]],INDEX(tItens[Produto],1):tItens[[#This Row],[Produto]],tItens[[#This Row],[Produto]])=1,1,0)</f>
        <v>1</v>
      </c>
    </row>
    <row r="3459" spans="1:16" x14ac:dyDescent="0.25">
      <c r="A3459" t="s">
        <v>1482</v>
      </c>
      <c r="B3459">
        <v>137</v>
      </c>
      <c r="C3459" t="s">
        <v>6342</v>
      </c>
      <c r="D3459" t="s">
        <v>335</v>
      </c>
      <c r="E3459" s="13">
        <v>600</v>
      </c>
      <c r="F3459" s="12">
        <v>0</v>
      </c>
      <c r="G3459" t="str">
        <f>IFERROR(INDEX(tEditais[Órgão],MATCH(tItens[[#This Row],[Edital]],tEditais[Edital],0)),"")</f>
        <v>MUNICIPIO DE JENIPAPO DE MINAS</v>
      </c>
      <c r="H3459" t="str">
        <f>IFERROR(INDEX(tEditais[UF],MATCH(tItens[[#This Row],[Edital]],tEditais[Edital],0)),"")</f>
        <v>MG</v>
      </c>
      <c r="I3459" s="11">
        <f>IFERROR(INDEX(tEditais[Encerramento],MATCH(tItens[[#This Row],[Edital]],tEditais[Edital],0)),"")</f>
        <v>46309.583333333336</v>
      </c>
      <c r="J3459" t="str">
        <f>IFERROR(INDEX(tProdutos[Classe],MATCH(tItens[[#This Row],[Produto]],tProdutos[Produto],0)),"produto não cadastrado")</f>
        <v>FORA</v>
      </c>
      <c r="K3459" s="12">
        <f>tItens[[#This Row],[Qtd]]*tItens[[#This Row],[Vlr unit]]</f>
        <v>0</v>
      </c>
      <c r="L3459" s="6">
        <f>IFERROR(IF(INDEX(tProdutos[Desconto homologado],MATCH(tItens[[#This Row],[Produto]],tProdutos[Produto],0))="",DescontoPadrao,INDEX(tProdutos[Desconto homologado],MATCH(tItens[[#This Row],[Produto]],tProdutos[Produto],0))),DescontoPadrao)</f>
        <v>0.419047619047619</v>
      </c>
      <c r="M3459" s="12">
        <f>tItens[[#This Row],[Valor]]*(1-tItens[[#This Row],[Desconto]])</f>
        <v>0</v>
      </c>
      <c r="N3459" t="str">
        <f>IFERROR(INDEX(tProdutos[Foco],MATCH(tItens[[#This Row],[Produto]],tProdutos[Produto],0)),"Não")</f>
        <v>Não</v>
      </c>
      <c r="O3459" t="str">
        <f>IFERROR(INDEX(tEditais[SRP],MATCH(tItens[[#This Row],[Edital]],tEditais[Edital],0)),"Não")</f>
        <v>Sim</v>
      </c>
      <c r="P3459" s="4">
        <f>IF(COUNTIFS(INDEX(tItens[Edital],1):tItens[[#This Row],[Edital]],tItens[[#This Row],[Edital]],INDEX(tItens[Produto],1):tItens[[#This Row],[Produto]],tItens[[#This Row],[Produto]])=1,1,0)</f>
        <v>1</v>
      </c>
    </row>
    <row r="3460" spans="1:16" x14ac:dyDescent="0.25">
      <c r="A3460" t="s">
        <v>1482</v>
      </c>
      <c r="B3460">
        <v>138</v>
      </c>
      <c r="C3460" t="s">
        <v>6343</v>
      </c>
      <c r="D3460" t="s">
        <v>365</v>
      </c>
      <c r="E3460" s="13">
        <v>600</v>
      </c>
      <c r="F3460" s="12">
        <v>0</v>
      </c>
      <c r="G3460" t="str">
        <f>IFERROR(INDEX(tEditais[Órgão],MATCH(tItens[[#This Row],[Edital]],tEditais[Edital],0)),"")</f>
        <v>MUNICIPIO DE JENIPAPO DE MINAS</v>
      </c>
      <c r="H3460" t="str">
        <f>IFERROR(INDEX(tEditais[UF],MATCH(tItens[[#This Row],[Edital]],tEditais[Edital],0)),"")</f>
        <v>MG</v>
      </c>
      <c r="I3460" s="11">
        <f>IFERROR(INDEX(tEditais[Encerramento],MATCH(tItens[[#This Row],[Edital]],tEditais[Edital],0)),"")</f>
        <v>46309.583333333336</v>
      </c>
      <c r="J3460" t="str">
        <f>IFERROR(INDEX(tProdutos[Classe],MATCH(tItens[[#This Row],[Produto]],tProdutos[Produto],0)),"produto não cadastrado")</f>
        <v>FORA</v>
      </c>
      <c r="K3460" s="12">
        <f>tItens[[#This Row],[Qtd]]*tItens[[#This Row],[Vlr unit]]</f>
        <v>0</v>
      </c>
      <c r="L3460" s="6">
        <f>IFERROR(IF(INDEX(tProdutos[Desconto homologado],MATCH(tItens[[#This Row],[Produto]],tProdutos[Produto],0))="",DescontoPadrao,INDEX(tProdutos[Desconto homologado],MATCH(tItens[[#This Row],[Produto]],tProdutos[Produto],0))),DescontoPadrao)</f>
        <v>0.41120529659182697</v>
      </c>
      <c r="M3460" s="12">
        <f>tItens[[#This Row],[Valor]]*(1-tItens[[#This Row],[Desconto]])</f>
        <v>0</v>
      </c>
      <c r="N3460" t="str">
        <f>IFERROR(INDEX(tProdutos[Foco],MATCH(tItens[[#This Row],[Produto]],tProdutos[Produto],0)),"Não")</f>
        <v>Não</v>
      </c>
      <c r="O3460" t="str">
        <f>IFERROR(INDEX(tEditais[SRP],MATCH(tItens[[#This Row],[Edital]],tEditais[Edital],0)),"Não")</f>
        <v>Sim</v>
      </c>
      <c r="P3460" s="4">
        <f>IF(COUNTIFS(INDEX(tItens[Edital],1):tItens[[#This Row],[Edital]],tItens[[#This Row],[Edital]],INDEX(tItens[Produto],1):tItens[[#This Row],[Produto]],tItens[[#This Row],[Produto]])=1,1,0)</f>
        <v>1</v>
      </c>
    </row>
    <row r="3461" spans="1:16" x14ac:dyDescent="0.25">
      <c r="A3461" t="s">
        <v>1482</v>
      </c>
      <c r="B3461">
        <v>139</v>
      </c>
      <c r="C3461" t="s">
        <v>6344</v>
      </c>
      <c r="D3461" t="s">
        <v>379</v>
      </c>
      <c r="E3461" s="13">
        <v>3500</v>
      </c>
      <c r="F3461" s="12">
        <v>0</v>
      </c>
      <c r="G3461" t="str">
        <f>IFERROR(INDEX(tEditais[Órgão],MATCH(tItens[[#This Row],[Edital]],tEditais[Edital],0)),"")</f>
        <v>MUNICIPIO DE JENIPAPO DE MINAS</v>
      </c>
      <c r="H3461" t="str">
        <f>IFERROR(INDEX(tEditais[UF],MATCH(tItens[[#This Row],[Edital]],tEditais[Edital],0)),"")</f>
        <v>MG</v>
      </c>
      <c r="I3461" s="11">
        <f>IFERROR(INDEX(tEditais[Encerramento],MATCH(tItens[[#This Row],[Edital]],tEditais[Edital],0)),"")</f>
        <v>46309.583333333336</v>
      </c>
      <c r="J3461" t="str">
        <f>IFERROR(INDEX(tProdutos[Classe],MATCH(tItens[[#This Row],[Produto]],tProdutos[Produto],0)),"produto não cadastrado")</f>
        <v>FORA</v>
      </c>
      <c r="K3461" s="12">
        <f>tItens[[#This Row],[Qtd]]*tItens[[#This Row],[Vlr unit]]</f>
        <v>0</v>
      </c>
      <c r="L3461" s="6">
        <f>IFERROR(IF(INDEX(tProdutos[Desconto homologado],MATCH(tItens[[#This Row],[Produto]],tProdutos[Produto],0))="",DescontoPadrao,INDEX(tProdutos[Desconto homologado],MATCH(tItens[[#This Row],[Produto]],tProdutos[Produto],0))),DescontoPadrao)</f>
        <v>0.49504950495049499</v>
      </c>
      <c r="M3461" s="12">
        <f>tItens[[#This Row],[Valor]]*(1-tItens[[#This Row],[Desconto]])</f>
        <v>0</v>
      </c>
      <c r="N3461" t="str">
        <f>IFERROR(INDEX(tProdutos[Foco],MATCH(tItens[[#This Row],[Produto]],tProdutos[Produto],0)),"Não")</f>
        <v>Não</v>
      </c>
      <c r="O3461" t="str">
        <f>IFERROR(INDEX(tEditais[SRP],MATCH(tItens[[#This Row],[Edital]],tEditais[Edital],0)),"Não")</f>
        <v>Sim</v>
      </c>
      <c r="P3461" s="4">
        <f>IF(COUNTIFS(INDEX(tItens[Edital],1):tItens[[#This Row],[Edital]],tItens[[#This Row],[Edital]],INDEX(tItens[Produto],1):tItens[[#This Row],[Produto]],tItens[[#This Row],[Produto]])=1,1,0)</f>
        <v>1</v>
      </c>
    </row>
    <row r="3462" spans="1:16" x14ac:dyDescent="0.25">
      <c r="A3462" t="s">
        <v>1482</v>
      </c>
      <c r="B3462">
        <v>140</v>
      </c>
      <c r="C3462" t="s">
        <v>6345</v>
      </c>
      <c r="D3462" t="s">
        <v>247</v>
      </c>
      <c r="E3462" s="13">
        <v>3500</v>
      </c>
      <c r="F3462" s="12">
        <v>0</v>
      </c>
      <c r="G3462" t="str">
        <f>IFERROR(INDEX(tEditais[Órgão],MATCH(tItens[[#This Row],[Edital]],tEditais[Edital],0)),"")</f>
        <v>MUNICIPIO DE JENIPAPO DE MINAS</v>
      </c>
      <c r="H3462" t="str">
        <f>IFERROR(INDEX(tEditais[UF],MATCH(tItens[[#This Row],[Edital]],tEditais[Edital],0)),"")</f>
        <v>MG</v>
      </c>
      <c r="I3462" s="11">
        <f>IFERROR(INDEX(tEditais[Encerramento],MATCH(tItens[[#This Row],[Edital]],tEditais[Edital],0)),"")</f>
        <v>46309.583333333336</v>
      </c>
      <c r="J3462" t="str">
        <f>IFERROR(INDEX(tProdutos[Classe],MATCH(tItens[[#This Row],[Produto]],tProdutos[Produto],0)),"produto não cadastrado")</f>
        <v>FORA</v>
      </c>
      <c r="K3462" s="12">
        <f>tItens[[#This Row],[Qtd]]*tItens[[#This Row],[Vlr unit]]</f>
        <v>0</v>
      </c>
      <c r="L3462" s="6">
        <f>IFERROR(IF(INDEX(tProdutos[Desconto homologado],MATCH(tItens[[#This Row],[Produto]],tProdutos[Produto],0))="",DescontoPadrao,INDEX(tProdutos[Desconto homologado],MATCH(tItens[[#This Row],[Produto]],tProdutos[Produto],0))),DescontoPadrao)</f>
        <v>0.27353256199762999</v>
      </c>
      <c r="M3462" s="12">
        <f>tItens[[#This Row],[Valor]]*(1-tItens[[#This Row],[Desconto]])</f>
        <v>0</v>
      </c>
      <c r="N3462" t="str">
        <f>IFERROR(INDEX(tProdutos[Foco],MATCH(tItens[[#This Row],[Produto]],tProdutos[Produto],0)),"Não")</f>
        <v>Não</v>
      </c>
      <c r="O3462" t="str">
        <f>IFERROR(INDEX(tEditais[SRP],MATCH(tItens[[#This Row],[Edital]],tEditais[Edital],0)),"Não")</f>
        <v>Sim</v>
      </c>
      <c r="P3462" s="4">
        <f>IF(COUNTIFS(INDEX(tItens[Edital],1):tItens[[#This Row],[Edital]],tItens[[#This Row],[Edital]],INDEX(tItens[Produto],1):tItens[[#This Row],[Produto]],tItens[[#This Row],[Produto]])=1,1,0)</f>
        <v>1</v>
      </c>
    </row>
    <row r="3463" spans="1:16" x14ac:dyDescent="0.25">
      <c r="A3463" t="s">
        <v>1482</v>
      </c>
      <c r="B3463">
        <v>141</v>
      </c>
      <c r="C3463" t="s">
        <v>6346</v>
      </c>
      <c r="D3463" t="s">
        <v>287</v>
      </c>
      <c r="E3463" s="13">
        <v>3500</v>
      </c>
      <c r="F3463" s="12">
        <v>0</v>
      </c>
      <c r="G3463" t="str">
        <f>IFERROR(INDEX(tEditais[Órgão],MATCH(tItens[[#This Row],[Edital]],tEditais[Edital],0)),"")</f>
        <v>MUNICIPIO DE JENIPAPO DE MINAS</v>
      </c>
      <c r="H3463" t="str">
        <f>IFERROR(INDEX(tEditais[UF],MATCH(tItens[[#This Row],[Edital]],tEditais[Edital],0)),"")</f>
        <v>MG</v>
      </c>
      <c r="I3463" s="11">
        <f>IFERROR(INDEX(tEditais[Encerramento],MATCH(tItens[[#This Row],[Edital]],tEditais[Edital],0)),"")</f>
        <v>46309.583333333336</v>
      </c>
      <c r="J3463" t="str">
        <f>IFERROR(INDEX(tProdutos[Classe],MATCH(tItens[[#This Row],[Produto]],tProdutos[Produto],0)),"produto não cadastrado")</f>
        <v>FORA</v>
      </c>
      <c r="K3463" s="12">
        <f>tItens[[#This Row],[Qtd]]*tItens[[#This Row],[Vlr unit]]</f>
        <v>0</v>
      </c>
      <c r="L3463" s="6">
        <f>IFERROR(IF(INDEX(tProdutos[Desconto homologado],MATCH(tItens[[#This Row],[Produto]],tProdutos[Produto],0))="",DescontoPadrao,INDEX(tProdutos[Desconto homologado],MATCH(tItens[[#This Row],[Produto]],tProdutos[Produto],0))),DescontoPadrao)</f>
        <v>0.46344491178876002</v>
      </c>
      <c r="M3463" s="12">
        <f>tItens[[#This Row],[Valor]]*(1-tItens[[#This Row],[Desconto]])</f>
        <v>0</v>
      </c>
      <c r="N3463" t="str">
        <f>IFERROR(INDEX(tProdutos[Foco],MATCH(tItens[[#This Row],[Produto]],tProdutos[Produto],0)),"Não")</f>
        <v>Não</v>
      </c>
      <c r="O3463" t="str">
        <f>IFERROR(INDEX(tEditais[SRP],MATCH(tItens[[#This Row],[Edital]],tEditais[Edital],0)),"Não")</f>
        <v>Sim</v>
      </c>
      <c r="P3463" s="4">
        <f>IF(COUNTIFS(INDEX(tItens[Edital],1):tItens[[#This Row],[Edital]],tItens[[#This Row],[Edital]],INDEX(tItens[Produto],1):tItens[[#This Row],[Produto]],tItens[[#This Row],[Produto]])=1,1,0)</f>
        <v>1</v>
      </c>
    </row>
    <row r="3464" spans="1:16" x14ac:dyDescent="0.25">
      <c r="A3464" t="s">
        <v>1482</v>
      </c>
      <c r="B3464">
        <v>149</v>
      </c>
      <c r="C3464" t="s">
        <v>6347</v>
      </c>
      <c r="D3464" t="s">
        <v>56</v>
      </c>
      <c r="E3464" s="13">
        <v>1</v>
      </c>
      <c r="F3464" s="12">
        <v>0</v>
      </c>
      <c r="G3464" t="str">
        <f>IFERROR(INDEX(tEditais[Órgão],MATCH(tItens[[#This Row],[Edital]],tEditais[Edital],0)),"")</f>
        <v>MUNICIPIO DE JENIPAPO DE MINAS</v>
      </c>
      <c r="H3464" t="str">
        <f>IFERROR(INDEX(tEditais[UF],MATCH(tItens[[#This Row],[Edital]],tEditais[Edital],0)),"")</f>
        <v>MG</v>
      </c>
      <c r="I3464" s="11">
        <f>IFERROR(INDEX(tEditais[Encerramento],MATCH(tItens[[#This Row],[Edital]],tEditais[Edital],0)),"")</f>
        <v>46309.583333333336</v>
      </c>
      <c r="J3464" t="str">
        <f>IFERROR(INDEX(tProdutos[Classe],MATCH(tItens[[#This Row],[Produto]],tProdutos[Produto],0)),"produto não cadastrado")</f>
        <v>NÚCLEO</v>
      </c>
      <c r="K3464" s="12">
        <f>tItens[[#This Row],[Qtd]]*tItens[[#This Row],[Vlr unit]]</f>
        <v>0</v>
      </c>
      <c r="L3464" s="6">
        <f>IFERROR(IF(INDEX(tProdutos[Desconto homologado],MATCH(tItens[[#This Row],[Produto]],tProdutos[Produto],0))="",DescontoPadrao,INDEX(tProdutos[Desconto homologado],MATCH(tItens[[#This Row],[Produto]],tProdutos[Produto],0))),DescontoPadrao)</f>
        <v>0.34</v>
      </c>
      <c r="M3464" s="12">
        <f>tItens[[#This Row],[Valor]]*(1-tItens[[#This Row],[Desconto]])</f>
        <v>0</v>
      </c>
      <c r="N3464" t="str">
        <f>IFERROR(INDEX(tProdutos[Foco],MATCH(tItens[[#This Row],[Produto]],tProdutos[Produto],0)),"Não")</f>
        <v>Sim</v>
      </c>
      <c r="O3464" t="str">
        <f>IFERROR(INDEX(tEditais[SRP],MATCH(tItens[[#This Row],[Edital]],tEditais[Edital],0)),"Não")</f>
        <v>Sim</v>
      </c>
      <c r="P3464" s="4">
        <f>IF(COUNTIFS(INDEX(tItens[Edital],1):tItens[[#This Row],[Edital]],tItens[[#This Row],[Edital]],INDEX(tItens[Produto],1):tItens[[#This Row],[Produto]],tItens[[#This Row],[Produto]])=1,1,0)</f>
        <v>1</v>
      </c>
    </row>
    <row r="3465" spans="1:16" x14ac:dyDescent="0.25">
      <c r="A3465" t="s">
        <v>1482</v>
      </c>
      <c r="B3465">
        <v>150</v>
      </c>
      <c r="C3465" t="s">
        <v>6348</v>
      </c>
      <c r="D3465" t="s">
        <v>56</v>
      </c>
      <c r="E3465" s="13">
        <v>1</v>
      </c>
      <c r="F3465" s="12">
        <v>0</v>
      </c>
      <c r="G3465" t="str">
        <f>IFERROR(INDEX(tEditais[Órgão],MATCH(tItens[[#This Row],[Edital]],tEditais[Edital],0)),"")</f>
        <v>MUNICIPIO DE JENIPAPO DE MINAS</v>
      </c>
      <c r="H3465" t="str">
        <f>IFERROR(INDEX(tEditais[UF],MATCH(tItens[[#This Row],[Edital]],tEditais[Edital],0)),"")</f>
        <v>MG</v>
      </c>
      <c r="I3465" s="11">
        <f>IFERROR(INDEX(tEditais[Encerramento],MATCH(tItens[[#This Row],[Edital]],tEditais[Edital],0)),"")</f>
        <v>46309.583333333336</v>
      </c>
      <c r="J3465" t="str">
        <f>IFERROR(INDEX(tProdutos[Classe],MATCH(tItens[[#This Row],[Produto]],tProdutos[Produto],0)),"produto não cadastrado")</f>
        <v>NÚCLEO</v>
      </c>
      <c r="K3465" s="12">
        <f>tItens[[#This Row],[Qtd]]*tItens[[#This Row],[Vlr unit]]</f>
        <v>0</v>
      </c>
      <c r="L3465" s="6">
        <f>IFERROR(IF(INDEX(tProdutos[Desconto homologado],MATCH(tItens[[#This Row],[Produto]],tProdutos[Produto],0))="",DescontoPadrao,INDEX(tProdutos[Desconto homologado],MATCH(tItens[[#This Row],[Produto]],tProdutos[Produto],0))),DescontoPadrao)</f>
        <v>0.34</v>
      </c>
      <c r="M3465" s="12">
        <f>tItens[[#This Row],[Valor]]*(1-tItens[[#This Row],[Desconto]])</f>
        <v>0</v>
      </c>
      <c r="N3465" t="str">
        <f>IFERROR(INDEX(tProdutos[Foco],MATCH(tItens[[#This Row],[Produto]],tProdutos[Produto],0)),"Não")</f>
        <v>Sim</v>
      </c>
      <c r="O3465" t="str">
        <f>IFERROR(INDEX(tEditais[SRP],MATCH(tItens[[#This Row],[Edital]],tEditais[Edital],0)),"Não")</f>
        <v>Sim</v>
      </c>
      <c r="P3465" s="4">
        <f>IF(COUNTIFS(INDEX(tItens[Edital],1):tItens[[#This Row],[Edital]],tItens[[#This Row],[Edital]],INDEX(tItens[Produto],1):tItens[[#This Row],[Produto]],tItens[[#This Row],[Produto]])=1,1,0)</f>
        <v>0</v>
      </c>
    </row>
    <row r="3466" spans="1:16" x14ac:dyDescent="0.25">
      <c r="A3466" t="s">
        <v>1482</v>
      </c>
      <c r="B3466">
        <v>151</v>
      </c>
      <c r="C3466" t="s">
        <v>6349</v>
      </c>
      <c r="D3466" t="s">
        <v>56</v>
      </c>
      <c r="E3466" s="13">
        <v>2</v>
      </c>
      <c r="F3466" s="12">
        <v>0</v>
      </c>
      <c r="G3466" t="str">
        <f>IFERROR(INDEX(tEditais[Órgão],MATCH(tItens[[#This Row],[Edital]],tEditais[Edital],0)),"")</f>
        <v>MUNICIPIO DE JENIPAPO DE MINAS</v>
      </c>
      <c r="H3466" t="str">
        <f>IFERROR(INDEX(tEditais[UF],MATCH(tItens[[#This Row],[Edital]],tEditais[Edital],0)),"")</f>
        <v>MG</v>
      </c>
      <c r="I3466" s="11">
        <f>IFERROR(INDEX(tEditais[Encerramento],MATCH(tItens[[#This Row],[Edital]],tEditais[Edital],0)),"")</f>
        <v>46309.583333333336</v>
      </c>
      <c r="J3466" t="str">
        <f>IFERROR(INDEX(tProdutos[Classe],MATCH(tItens[[#This Row],[Produto]],tProdutos[Produto],0)),"produto não cadastrado")</f>
        <v>NÚCLEO</v>
      </c>
      <c r="K3466" s="12">
        <f>tItens[[#This Row],[Qtd]]*tItens[[#This Row],[Vlr unit]]</f>
        <v>0</v>
      </c>
      <c r="L3466" s="6">
        <f>IFERROR(IF(INDEX(tProdutos[Desconto homologado],MATCH(tItens[[#This Row],[Produto]],tProdutos[Produto],0))="",DescontoPadrao,INDEX(tProdutos[Desconto homologado],MATCH(tItens[[#This Row],[Produto]],tProdutos[Produto],0))),DescontoPadrao)</f>
        <v>0.34</v>
      </c>
      <c r="M3466" s="12">
        <f>tItens[[#This Row],[Valor]]*(1-tItens[[#This Row],[Desconto]])</f>
        <v>0</v>
      </c>
      <c r="N3466" t="str">
        <f>IFERROR(INDEX(tProdutos[Foco],MATCH(tItens[[#This Row],[Produto]],tProdutos[Produto],0)),"Não")</f>
        <v>Sim</v>
      </c>
      <c r="O3466" t="str">
        <f>IFERROR(INDEX(tEditais[SRP],MATCH(tItens[[#This Row],[Edital]],tEditais[Edital],0)),"Não")</f>
        <v>Sim</v>
      </c>
      <c r="P3466" s="4">
        <f>IF(COUNTIFS(INDEX(tItens[Edital],1):tItens[[#This Row],[Edital]],tItens[[#This Row],[Edital]],INDEX(tItens[Produto],1):tItens[[#This Row],[Produto]],tItens[[#This Row],[Produto]])=1,1,0)</f>
        <v>0</v>
      </c>
    </row>
    <row r="3467" spans="1:16" x14ac:dyDescent="0.25">
      <c r="A3467" t="s">
        <v>1482</v>
      </c>
      <c r="B3467">
        <v>152</v>
      </c>
      <c r="C3467" t="s">
        <v>6350</v>
      </c>
      <c r="D3467" t="s">
        <v>56</v>
      </c>
      <c r="E3467" s="13">
        <v>2</v>
      </c>
      <c r="F3467" s="12">
        <v>0</v>
      </c>
      <c r="G3467" t="str">
        <f>IFERROR(INDEX(tEditais[Órgão],MATCH(tItens[[#This Row],[Edital]],tEditais[Edital],0)),"")</f>
        <v>MUNICIPIO DE JENIPAPO DE MINAS</v>
      </c>
      <c r="H3467" t="str">
        <f>IFERROR(INDEX(tEditais[UF],MATCH(tItens[[#This Row],[Edital]],tEditais[Edital],0)),"")</f>
        <v>MG</v>
      </c>
      <c r="I3467" s="11">
        <f>IFERROR(INDEX(tEditais[Encerramento],MATCH(tItens[[#This Row],[Edital]],tEditais[Edital],0)),"")</f>
        <v>46309.583333333336</v>
      </c>
      <c r="J3467" t="str">
        <f>IFERROR(INDEX(tProdutos[Classe],MATCH(tItens[[#This Row],[Produto]],tProdutos[Produto],0)),"produto não cadastrado")</f>
        <v>NÚCLEO</v>
      </c>
      <c r="K3467" s="12">
        <f>tItens[[#This Row],[Qtd]]*tItens[[#This Row],[Vlr unit]]</f>
        <v>0</v>
      </c>
      <c r="L3467" s="6">
        <f>IFERROR(IF(INDEX(tProdutos[Desconto homologado],MATCH(tItens[[#This Row],[Produto]],tProdutos[Produto],0))="",DescontoPadrao,INDEX(tProdutos[Desconto homologado],MATCH(tItens[[#This Row],[Produto]],tProdutos[Produto],0))),DescontoPadrao)</f>
        <v>0.34</v>
      </c>
      <c r="M3467" s="12">
        <f>tItens[[#This Row],[Valor]]*(1-tItens[[#This Row],[Desconto]])</f>
        <v>0</v>
      </c>
      <c r="N3467" t="str">
        <f>IFERROR(INDEX(tProdutos[Foco],MATCH(tItens[[#This Row],[Produto]],tProdutos[Produto],0)),"Não")</f>
        <v>Sim</v>
      </c>
      <c r="O3467" t="str">
        <f>IFERROR(INDEX(tEditais[SRP],MATCH(tItens[[#This Row],[Edital]],tEditais[Edital],0)),"Não")</f>
        <v>Sim</v>
      </c>
      <c r="P3467" s="4">
        <f>IF(COUNTIFS(INDEX(tItens[Edital],1):tItens[[#This Row],[Edital]],tItens[[#This Row],[Edital]],INDEX(tItens[Produto],1):tItens[[#This Row],[Produto]],tItens[[#This Row],[Produto]])=1,1,0)</f>
        <v>0</v>
      </c>
    </row>
    <row r="3468" spans="1:16" x14ac:dyDescent="0.25">
      <c r="A3468" t="s">
        <v>1482</v>
      </c>
      <c r="B3468">
        <v>153</v>
      </c>
      <c r="C3468" t="s">
        <v>6351</v>
      </c>
      <c r="D3468" t="s">
        <v>56</v>
      </c>
      <c r="E3468" s="13">
        <v>2</v>
      </c>
      <c r="F3468" s="12">
        <v>0</v>
      </c>
      <c r="G3468" t="str">
        <f>IFERROR(INDEX(tEditais[Órgão],MATCH(tItens[[#This Row],[Edital]],tEditais[Edital],0)),"")</f>
        <v>MUNICIPIO DE JENIPAPO DE MINAS</v>
      </c>
      <c r="H3468" t="str">
        <f>IFERROR(INDEX(tEditais[UF],MATCH(tItens[[#This Row],[Edital]],tEditais[Edital],0)),"")</f>
        <v>MG</v>
      </c>
      <c r="I3468" s="11">
        <f>IFERROR(INDEX(tEditais[Encerramento],MATCH(tItens[[#This Row],[Edital]],tEditais[Edital],0)),"")</f>
        <v>46309.583333333336</v>
      </c>
      <c r="J3468" t="str">
        <f>IFERROR(INDEX(tProdutos[Classe],MATCH(tItens[[#This Row],[Produto]],tProdutos[Produto],0)),"produto não cadastrado")</f>
        <v>NÚCLEO</v>
      </c>
      <c r="K3468" s="12">
        <f>tItens[[#This Row],[Qtd]]*tItens[[#This Row],[Vlr unit]]</f>
        <v>0</v>
      </c>
      <c r="L3468" s="6">
        <f>IFERROR(IF(INDEX(tProdutos[Desconto homologado],MATCH(tItens[[#This Row],[Produto]],tProdutos[Produto],0))="",DescontoPadrao,INDEX(tProdutos[Desconto homologado],MATCH(tItens[[#This Row],[Produto]],tProdutos[Produto],0))),DescontoPadrao)</f>
        <v>0.34</v>
      </c>
      <c r="M3468" s="12">
        <f>tItens[[#This Row],[Valor]]*(1-tItens[[#This Row],[Desconto]])</f>
        <v>0</v>
      </c>
      <c r="N3468" t="str">
        <f>IFERROR(INDEX(tProdutos[Foco],MATCH(tItens[[#This Row],[Produto]],tProdutos[Produto],0)),"Não")</f>
        <v>Sim</v>
      </c>
      <c r="O3468" t="str">
        <f>IFERROR(INDEX(tEditais[SRP],MATCH(tItens[[#This Row],[Edital]],tEditais[Edital],0)),"Não")</f>
        <v>Sim</v>
      </c>
      <c r="P3468" s="4">
        <f>IF(COUNTIFS(INDEX(tItens[Edital],1):tItens[[#This Row],[Edital]],tItens[[#This Row],[Edital]],INDEX(tItens[Produto],1):tItens[[#This Row],[Produto]],tItens[[#This Row],[Produto]])=1,1,0)</f>
        <v>0</v>
      </c>
    </row>
    <row r="3469" spans="1:16" x14ac:dyDescent="0.25">
      <c r="A3469" t="s">
        <v>1482</v>
      </c>
      <c r="B3469">
        <v>154</v>
      </c>
      <c r="C3469" t="s">
        <v>6352</v>
      </c>
      <c r="D3469" t="s">
        <v>56</v>
      </c>
      <c r="E3469" s="13">
        <v>1</v>
      </c>
      <c r="F3469" s="12">
        <v>0</v>
      </c>
      <c r="G3469" t="str">
        <f>IFERROR(INDEX(tEditais[Órgão],MATCH(tItens[[#This Row],[Edital]],tEditais[Edital],0)),"")</f>
        <v>MUNICIPIO DE JENIPAPO DE MINAS</v>
      </c>
      <c r="H3469" t="str">
        <f>IFERROR(INDEX(tEditais[UF],MATCH(tItens[[#This Row],[Edital]],tEditais[Edital],0)),"")</f>
        <v>MG</v>
      </c>
      <c r="I3469" s="11">
        <f>IFERROR(INDEX(tEditais[Encerramento],MATCH(tItens[[#This Row],[Edital]],tEditais[Edital],0)),"")</f>
        <v>46309.583333333336</v>
      </c>
      <c r="J3469" t="str">
        <f>IFERROR(INDEX(tProdutos[Classe],MATCH(tItens[[#This Row],[Produto]],tProdutos[Produto],0)),"produto não cadastrado")</f>
        <v>NÚCLEO</v>
      </c>
      <c r="K3469" s="12">
        <f>tItens[[#This Row],[Qtd]]*tItens[[#This Row],[Vlr unit]]</f>
        <v>0</v>
      </c>
      <c r="L3469" s="6">
        <f>IFERROR(IF(INDEX(tProdutos[Desconto homologado],MATCH(tItens[[#This Row],[Produto]],tProdutos[Produto],0))="",DescontoPadrao,INDEX(tProdutos[Desconto homologado],MATCH(tItens[[#This Row],[Produto]],tProdutos[Produto],0))),DescontoPadrao)</f>
        <v>0.34</v>
      </c>
      <c r="M3469" s="12">
        <f>tItens[[#This Row],[Valor]]*(1-tItens[[#This Row],[Desconto]])</f>
        <v>0</v>
      </c>
      <c r="N3469" t="str">
        <f>IFERROR(INDEX(tProdutos[Foco],MATCH(tItens[[#This Row],[Produto]],tProdutos[Produto],0)),"Não")</f>
        <v>Sim</v>
      </c>
      <c r="O3469" t="str">
        <f>IFERROR(INDEX(tEditais[SRP],MATCH(tItens[[#This Row],[Edital]],tEditais[Edital],0)),"Não")</f>
        <v>Sim</v>
      </c>
      <c r="P3469" s="4">
        <f>IF(COUNTIFS(INDEX(tItens[Edital],1):tItens[[#This Row],[Edital]],tItens[[#This Row],[Edital]],INDEX(tItens[Produto],1):tItens[[#This Row],[Produto]],tItens[[#This Row],[Produto]])=1,1,0)</f>
        <v>0</v>
      </c>
    </row>
    <row r="3470" spans="1:16" x14ac:dyDescent="0.25">
      <c r="A3470" t="s">
        <v>1482</v>
      </c>
      <c r="B3470">
        <v>156</v>
      </c>
      <c r="C3470" t="s">
        <v>6353</v>
      </c>
      <c r="D3470" t="s">
        <v>277</v>
      </c>
      <c r="E3470" s="13">
        <v>1000</v>
      </c>
      <c r="F3470" s="12">
        <v>0</v>
      </c>
      <c r="G3470" t="str">
        <f>IFERROR(INDEX(tEditais[Órgão],MATCH(tItens[[#This Row],[Edital]],tEditais[Edital],0)),"")</f>
        <v>MUNICIPIO DE JENIPAPO DE MINAS</v>
      </c>
      <c r="H3470" t="str">
        <f>IFERROR(INDEX(tEditais[UF],MATCH(tItens[[#This Row],[Edital]],tEditais[Edital],0)),"")</f>
        <v>MG</v>
      </c>
      <c r="I3470" s="11">
        <f>IFERROR(INDEX(tEditais[Encerramento],MATCH(tItens[[#This Row],[Edital]],tEditais[Edital],0)),"")</f>
        <v>46309.583333333336</v>
      </c>
      <c r="J3470" t="str">
        <f>IFERROR(INDEX(tProdutos[Classe],MATCH(tItens[[#This Row],[Produto]],tProdutos[Produto],0)),"produto não cadastrado")</f>
        <v>DISPUTADO</v>
      </c>
      <c r="K3470" s="12">
        <f>tItens[[#This Row],[Qtd]]*tItens[[#This Row],[Vlr unit]]</f>
        <v>0</v>
      </c>
      <c r="L3470" s="6">
        <f>IFERROR(IF(INDEX(tProdutos[Desconto homologado],MATCH(tItens[[#This Row],[Produto]],tProdutos[Produto],0))="",DescontoPadrao,INDEX(tProdutos[Desconto homologado],MATCH(tItens[[#This Row],[Produto]],tProdutos[Produto],0))),DescontoPadrao)</f>
        <v>0.50460666194188497</v>
      </c>
      <c r="M3470" s="12">
        <f>tItens[[#This Row],[Valor]]*(1-tItens[[#This Row],[Desconto]])</f>
        <v>0</v>
      </c>
      <c r="N3470" t="str">
        <f>IFERROR(INDEX(tProdutos[Foco],MATCH(tItens[[#This Row],[Produto]],tProdutos[Produto],0)),"Não")</f>
        <v>Não</v>
      </c>
      <c r="O3470" t="str">
        <f>IFERROR(INDEX(tEditais[SRP],MATCH(tItens[[#This Row],[Edital]],tEditais[Edital],0)),"Não")</f>
        <v>Sim</v>
      </c>
      <c r="P3470" s="4">
        <f>IF(COUNTIFS(INDEX(tItens[Edital],1):tItens[[#This Row],[Edital]],tItens[[#This Row],[Edital]],INDEX(tItens[Produto],1):tItens[[#This Row],[Produto]],tItens[[#This Row],[Produto]])=1,1,0)</f>
        <v>1</v>
      </c>
    </row>
    <row r="3471" spans="1:16" x14ac:dyDescent="0.25">
      <c r="A3471" t="s">
        <v>1482</v>
      </c>
      <c r="B3471">
        <v>158</v>
      </c>
      <c r="C3471" t="s">
        <v>6354</v>
      </c>
      <c r="D3471" t="s">
        <v>267</v>
      </c>
      <c r="E3471" s="13">
        <v>150</v>
      </c>
      <c r="F3471" s="12">
        <v>0</v>
      </c>
      <c r="G3471" t="str">
        <f>IFERROR(INDEX(tEditais[Órgão],MATCH(tItens[[#This Row],[Edital]],tEditais[Edital],0)),"")</f>
        <v>MUNICIPIO DE JENIPAPO DE MINAS</v>
      </c>
      <c r="H3471" t="str">
        <f>IFERROR(INDEX(tEditais[UF],MATCH(tItens[[#This Row],[Edital]],tEditais[Edital],0)),"")</f>
        <v>MG</v>
      </c>
      <c r="I3471" s="11">
        <f>IFERROR(INDEX(tEditais[Encerramento],MATCH(tItens[[#This Row],[Edital]],tEditais[Edital],0)),"")</f>
        <v>46309.583333333336</v>
      </c>
      <c r="J3471" t="str">
        <f>IFERROR(INDEX(tProdutos[Classe],MATCH(tItens[[#This Row],[Produto]],tProdutos[Produto],0)),"produto não cadastrado")</f>
        <v>FORA</v>
      </c>
      <c r="K3471" s="12">
        <f>tItens[[#This Row],[Qtd]]*tItens[[#This Row],[Vlr unit]]</f>
        <v>0</v>
      </c>
      <c r="L3471" s="6">
        <f>IFERROR(IF(INDEX(tProdutos[Desconto homologado],MATCH(tItens[[#This Row],[Produto]],tProdutos[Produto],0))="",DescontoPadrao,INDEX(tProdutos[Desconto homologado],MATCH(tItens[[#This Row],[Produto]],tProdutos[Produto],0))),DescontoPadrao)</f>
        <v>0.19963672657401599</v>
      </c>
      <c r="M3471" s="12">
        <f>tItens[[#This Row],[Valor]]*(1-tItens[[#This Row],[Desconto]])</f>
        <v>0</v>
      </c>
      <c r="N3471" t="str">
        <f>IFERROR(INDEX(tProdutos[Foco],MATCH(tItens[[#This Row],[Produto]],tProdutos[Produto],0)),"Não")</f>
        <v>Não</v>
      </c>
      <c r="O3471" t="str">
        <f>IFERROR(INDEX(tEditais[SRP],MATCH(tItens[[#This Row],[Edital]],tEditais[Edital],0)),"Não")</f>
        <v>Sim</v>
      </c>
      <c r="P3471" s="4">
        <f>IF(COUNTIFS(INDEX(tItens[Edital],1):tItens[[#This Row],[Edital]],tItens[[#This Row],[Edital]],INDEX(tItens[Produto],1):tItens[[#This Row],[Produto]],tItens[[#This Row],[Produto]])=1,1,0)</f>
        <v>1</v>
      </c>
    </row>
    <row r="3472" spans="1:16" x14ac:dyDescent="0.25">
      <c r="A3472" t="s">
        <v>1482</v>
      </c>
      <c r="B3472">
        <v>159</v>
      </c>
      <c r="C3472" t="s">
        <v>6355</v>
      </c>
      <c r="D3472" t="s">
        <v>267</v>
      </c>
      <c r="E3472" s="13">
        <v>7</v>
      </c>
      <c r="F3472" s="12">
        <v>0</v>
      </c>
      <c r="G3472" t="str">
        <f>IFERROR(INDEX(tEditais[Órgão],MATCH(tItens[[#This Row],[Edital]],tEditais[Edital],0)),"")</f>
        <v>MUNICIPIO DE JENIPAPO DE MINAS</v>
      </c>
      <c r="H3472" t="str">
        <f>IFERROR(INDEX(tEditais[UF],MATCH(tItens[[#This Row],[Edital]],tEditais[Edital],0)),"")</f>
        <v>MG</v>
      </c>
      <c r="I3472" s="11">
        <f>IFERROR(INDEX(tEditais[Encerramento],MATCH(tItens[[#This Row],[Edital]],tEditais[Edital],0)),"")</f>
        <v>46309.583333333336</v>
      </c>
      <c r="J3472" t="str">
        <f>IFERROR(INDEX(tProdutos[Classe],MATCH(tItens[[#This Row],[Produto]],tProdutos[Produto],0)),"produto não cadastrado")</f>
        <v>FORA</v>
      </c>
      <c r="K3472" s="12">
        <f>tItens[[#This Row],[Qtd]]*tItens[[#This Row],[Vlr unit]]</f>
        <v>0</v>
      </c>
      <c r="L3472" s="6">
        <f>IFERROR(IF(INDEX(tProdutos[Desconto homologado],MATCH(tItens[[#This Row],[Produto]],tProdutos[Produto],0))="",DescontoPadrao,INDEX(tProdutos[Desconto homologado],MATCH(tItens[[#This Row],[Produto]],tProdutos[Produto],0))),DescontoPadrao)</f>
        <v>0.19963672657401599</v>
      </c>
      <c r="M3472" s="12">
        <f>tItens[[#This Row],[Valor]]*(1-tItens[[#This Row],[Desconto]])</f>
        <v>0</v>
      </c>
      <c r="N3472" t="str">
        <f>IFERROR(INDEX(tProdutos[Foco],MATCH(tItens[[#This Row],[Produto]],tProdutos[Produto],0)),"Não")</f>
        <v>Não</v>
      </c>
      <c r="O3472" t="str">
        <f>IFERROR(INDEX(tEditais[SRP],MATCH(tItens[[#This Row],[Edital]],tEditais[Edital],0)),"Não")</f>
        <v>Sim</v>
      </c>
      <c r="P3472" s="4">
        <f>IF(COUNTIFS(INDEX(tItens[Edital],1):tItens[[#This Row],[Edital]],tItens[[#This Row],[Edital]],INDEX(tItens[Produto],1):tItens[[#This Row],[Produto]],tItens[[#This Row],[Produto]])=1,1,0)</f>
        <v>0</v>
      </c>
    </row>
    <row r="3473" spans="1:16" x14ac:dyDescent="0.25">
      <c r="A3473" t="s">
        <v>1482</v>
      </c>
      <c r="B3473">
        <v>160</v>
      </c>
      <c r="C3473" t="s">
        <v>6356</v>
      </c>
      <c r="D3473" t="s">
        <v>267</v>
      </c>
      <c r="E3473" s="13">
        <v>30</v>
      </c>
      <c r="F3473" s="12">
        <v>0</v>
      </c>
      <c r="G3473" t="str">
        <f>IFERROR(INDEX(tEditais[Órgão],MATCH(tItens[[#This Row],[Edital]],tEditais[Edital],0)),"")</f>
        <v>MUNICIPIO DE JENIPAPO DE MINAS</v>
      </c>
      <c r="H3473" t="str">
        <f>IFERROR(INDEX(tEditais[UF],MATCH(tItens[[#This Row],[Edital]],tEditais[Edital],0)),"")</f>
        <v>MG</v>
      </c>
      <c r="I3473" s="11">
        <f>IFERROR(INDEX(tEditais[Encerramento],MATCH(tItens[[#This Row],[Edital]],tEditais[Edital],0)),"")</f>
        <v>46309.583333333336</v>
      </c>
      <c r="J3473" t="str">
        <f>IFERROR(INDEX(tProdutos[Classe],MATCH(tItens[[#This Row],[Produto]],tProdutos[Produto],0)),"produto não cadastrado")</f>
        <v>FORA</v>
      </c>
      <c r="K3473" s="12">
        <f>tItens[[#This Row],[Qtd]]*tItens[[#This Row],[Vlr unit]]</f>
        <v>0</v>
      </c>
      <c r="L3473" s="6">
        <f>IFERROR(IF(INDEX(tProdutos[Desconto homologado],MATCH(tItens[[#This Row],[Produto]],tProdutos[Produto],0))="",DescontoPadrao,INDEX(tProdutos[Desconto homologado],MATCH(tItens[[#This Row],[Produto]],tProdutos[Produto],0))),DescontoPadrao)</f>
        <v>0.19963672657401599</v>
      </c>
      <c r="M3473" s="12">
        <f>tItens[[#This Row],[Valor]]*(1-tItens[[#This Row],[Desconto]])</f>
        <v>0</v>
      </c>
      <c r="N3473" t="str">
        <f>IFERROR(INDEX(tProdutos[Foco],MATCH(tItens[[#This Row],[Produto]],tProdutos[Produto],0)),"Não")</f>
        <v>Não</v>
      </c>
      <c r="O3473" t="str">
        <f>IFERROR(INDEX(tEditais[SRP],MATCH(tItens[[#This Row],[Edital]],tEditais[Edital],0)),"Não")</f>
        <v>Sim</v>
      </c>
      <c r="P3473" s="4">
        <f>IF(COUNTIFS(INDEX(tItens[Edital],1):tItens[[#This Row],[Edital]],tItens[[#This Row],[Edital]],INDEX(tItens[Produto],1):tItens[[#This Row],[Produto]],tItens[[#This Row],[Produto]])=1,1,0)</f>
        <v>0</v>
      </c>
    </row>
    <row r="3474" spans="1:16" x14ac:dyDescent="0.25">
      <c r="A3474" t="s">
        <v>1482</v>
      </c>
      <c r="B3474">
        <v>161</v>
      </c>
      <c r="C3474" t="s">
        <v>6357</v>
      </c>
      <c r="D3474" t="s">
        <v>267</v>
      </c>
      <c r="E3474" s="13">
        <v>20</v>
      </c>
      <c r="F3474" s="12">
        <v>0</v>
      </c>
      <c r="G3474" t="str">
        <f>IFERROR(INDEX(tEditais[Órgão],MATCH(tItens[[#This Row],[Edital]],tEditais[Edital],0)),"")</f>
        <v>MUNICIPIO DE JENIPAPO DE MINAS</v>
      </c>
      <c r="H3474" t="str">
        <f>IFERROR(INDEX(tEditais[UF],MATCH(tItens[[#This Row],[Edital]],tEditais[Edital],0)),"")</f>
        <v>MG</v>
      </c>
      <c r="I3474" s="11">
        <f>IFERROR(INDEX(tEditais[Encerramento],MATCH(tItens[[#This Row],[Edital]],tEditais[Edital],0)),"")</f>
        <v>46309.583333333336</v>
      </c>
      <c r="J3474" t="str">
        <f>IFERROR(INDEX(tProdutos[Classe],MATCH(tItens[[#This Row],[Produto]],tProdutos[Produto],0)),"produto não cadastrado")</f>
        <v>FORA</v>
      </c>
      <c r="K3474" s="12">
        <f>tItens[[#This Row],[Qtd]]*tItens[[#This Row],[Vlr unit]]</f>
        <v>0</v>
      </c>
      <c r="L3474" s="6">
        <f>IFERROR(IF(INDEX(tProdutos[Desconto homologado],MATCH(tItens[[#This Row],[Produto]],tProdutos[Produto],0))="",DescontoPadrao,INDEX(tProdutos[Desconto homologado],MATCH(tItens[[#This Row],[Produto]],tProdutos[Produto],0))),DescontoPadrao)</f>
        <v>0.19963672657401599</v>
      </c>
      <c r="M3474" s="12">
        <f>tItens[[#This Row],[Valor]]*(1-tItens[[#This Row],[Desconto]])</f>
        <v>0</v>
      </c>
      <c r="N3474" t="str">
        <f>IFERROR(INDEX(tProdutos[Foco],MATCH(tItens[[#This Row],[Produto]],tProdutos[Produto],0)),"Não")</f>
        <v>Não</v>
      </c>
      <c r="O3474" t="str">
        <f>IFERROR(INDEX(tEditais[SRP],MATCH(tItens[[#This Row],[Edital]],tEditais[Edital],0)),"Não")</f>
        <v>Sim</v>
      </c>
      <c r="P3474" s="4">
        <f>IF(COUNTIFS(INDEX(tItens[Edital],1):tItens[[#This Row],[Edital]],tItens[[#This Row],[Edital]],INDEX(tItens[Produto],1):tItens[[#This Row],[Produto]],tItens[[#This Row],[Produto]])=1,1,0)</f>
        <v>0</v>
      </c>
    </row>
    <row r="3475" spans="1:16" x14ac:dyDescent="0.25">
      <c r="A3475" t="s">
        <v>1482</v>
      </c>
      <c r="B3475">
        <v>164</v>
      </c>
      <c r="C3475" t="s">
        <v>6358</v>
      </c>
      <c r="D3475" t="s">
        <v>343</v>
      </c>
      <c r="E3475" s="13">
        <v>100</v>
      </c>
      <c r="F3475" s="12">
        <v>0</v>
      </c>
      <c r="G3475" t="str">
        <f>IFERROR(INDEX(tEditais[Órgão],MATCH(tItens[[#This Row],[Edital]],tEditais[Edital],0)),"")</f>
        <v>MUNICIPIO DE JENIPAPO DE MINAS</v>
      </c>
      <c r="H3475" t="str">
        <f>IFERROR(INDEX(tEditais[UF],MATCH(tItens[[#This Row],[Edital]],tEditais[Edital],0)),"")</f>
        <v>MG</v>
      </c>
      <c r="I3475" s="11">
        <f>IFERROR(INDEX(tEditais[Encerramento],MATCH(tItens[[#This Row],[Edital]],tEditais[Edital],0)),"")</f>
        <v>46309.583333333336</v>
      </c>
      <c r="J3475" t="str">
        <f>IFERROR(INDEX(tProdutos[Classe],MATCH(tItens[[#This Row],[Produto]],tProdutos[Produto],0)),"produto não cadastrado")</f>
        <v>FORA</v>
      </c>
      <c r="K3475" s="12">
        <f>tItens[[#This Row],[Qtd]]*tItens[[#This Row],[Vlr unit]]</f>
        <v>0</v>
      </c>
      <c r="L3475" s="6">
        <f>IFERROR(IF(INDEX(tProdutos[Desconto homologado],MATCH(tItens[[#This Row],[Produto]],tProdutos[Produto],0))="",DescontoPadrao,INDEX(tProdutos[Desconto homologado],MATCH(tItens[[#This Row],[Produto]],tProdutos[Produto],0))),DescontoPadrao)</f>
        <v>0.35412234042553198</v>
      </c>
      <c r="M3475" s="12">
        <f>tItens[[#This Row],[Valor]]*(1-tItens[[#This Row],[Desconto]])</f>
        <v>0</v>
      </c>
      <c r="N3475" t="str">
        <f>IFERROR(INDEX(tProdutos[Foco],MATCH(tItens[[#This Row],[Produto]],tProdutos[Produto],0)),"Não")</f>
        <v>Não</v>
      </c>
      <c r="O3475" t="str">
        <f>IFERROR(INDEX(tEditais[SRP],MATCH(tItens[[#This Row],[Edital]],tEditais[Edital],0)),"Não")</f>
        <v>Sim</v>
      </c>
      <c r="P3475" s="4">
        <f>IF(COUNTIFS(INDEX(tItens[Edital],1):tItens[[#This Row],[Edital]],tItens[[#This Row],[Edital]],INDEX(tItens[Produto],1):tItens[[#This Row],[Produto]],tItens[[#This Row],[Produto]])=1,1,0)</f>
        <v>1</v>
      </c>
    </row>
    <row r="3476" spans="1:16" x14ac:dyDescent="0.25">
      <c r="A3476" t="s">
        <v>1482</v>
      </c>
      <c r="B3476">
        <v>165</v>
      </c>
      <c r="C3476" t="s">
        <v>6359</v>
      </c>
      <c r="D3476" t="s">
        <v>343</v>
      </c>
      <c r="E3476" s="13">
        <v>60</v>
      </c>
      <c r="F3476" s="12">
        <v>0</v>
      </c>
      <c r="G3476" t="str">
        <f>IFERROR(INDEX(tEditais[Órgão],MATCH(tItens[[#This Row],[Edital]],tEditais[Edital],0)),"")</f>
        <v>MUNICIPIO DE JENIPAPO DE MINAS</v>
      </c>
      <c r="H3476" t="str">
        <f>IFERROR(INDEX(tEditais[UF],MATCH(tItens[[#This Row],[Edital]],tEditais[Edital],0)),"")</f>
        <v>MG</v>
      </c>
      <c r="I3476" s="11">
        <f>IFERROR(INDEX(tEditais[Encerramento],MATCH(tItens[[#This Row],[Edital]],tEditais[Edital],0)),"")</f>
        <v>46309.583333333336</v>
      </c>
      <c r="J3476" t="str">
        <f>IFERROR(INDEX(tProdutos[Classe],MATCH(tItens[[#This Row],[Produto]],tProdutos[Produto],0)),"produto não cadastrado")</f>
        <v>FORA</v>
      </c>
      <c r="K3476" s="12">
        <f>tItens[[#This Row],[Qtd]]*tItens[[#This Row],[Vlr unit]]</f>
        <v>0</v>
      </c>
      <c r="L3476" s="6">
        <f>IFERROR(IF(INDEX(tProdutos[Desconto homologado],MATCH(tItens[[#This Row],[Produto]],tProdutos[Produto],0))="",DescontoPadrao,INDEX(tProdutos[Desconto homologado],MATCH(tItens[[#This Row],[Produto]],tProdutos[Produto],0))),DescontoPadrao)</f>
        <v>0.35412234042553198</v>
      </c>
      <c r="M3476" s="12">
        <f>tItens[[#This Row],[Valor]]*(1-tItens[[#This Row],[Desconto]])</f>
        <v>0</v>
      </c>
      <c r="N3476" t="str">
        <f>IFERROR(INDEX(tProdutos[Foco],MATCH(tItens[[#This Row],[Produto]],tProdutos[Produto],0)),"Não")</f>
        <v>Não</v>
      </c>
      <c r="O3476" t="str">
        <f>IFERROR(INDEX(tEditais[SRP],MATCH(tItens[[#This Row],[Edital]],tEditais[Edital],0)),"Não")</f>
        <v>Sim</v>
      </c>
      <c r="P3476" s="4">
        <f>IF(COUNTIFS(INDEX(tItens[Edital],1):tItens[[#This Row],[Edital]],tItens[[#This Row],[Edital]],INDEX(tItens[Produto],1):tItens[[#This Row],[Produto]],tItens[[#This Row],[Produto]])=1,1,0)</f>
        <v>0</v>
      </c>
    </row>
    <row r="3477" spans="1:16" x14ac:dyDescent="0.25">
      <c r="A3477" t="s">
        <v>1482</v>
      </c>
      <c r="B3477">
        <v>166</v>
      </c>
      <c r="C3477" t="s">
        <v>6360</v>
      </c>
      <c r="D3477" t="s">
        <v>343</v>
      </c>
      <c r="E3477" s="13">
        <v>60</v>
      </c>
      <c r="F3477" s="12">
        <v>0</v>
      </c>
      <c r="G3477" t="str">
        <f>IFERROR(INDEX(tEditais[Órgão],MATCH(tItens[[#This Row],[Edital]],tEditais[Edital],0)),"")</f>
        <v>MUNICIPIO DE JENIPAPO DE MINAS</v>
      </c>
      <c r="H3477" t="str">
        <f>IFERROR(INDEX(tEditais[UF],MATCH(tItens[[#This Row],[Edital]],tEditais[Edital],0)),"")</f>
        <v>MG</v>
      </c>
      <c r="I3477" s="11">
        <f>IFERROR(INDEX(tEditais[Encerramento],MATCH(tItens[[#This Row],[Edital]],tEditais[Edital],0)),"")</f>
        <v>46309.583333333336</v>
      </c>
      <c r="J3477" t="str">
        <f>IFERROR(INDEX(tProdutos[Classe],MATCH(tItens[[#This Row],[Produto]],tProdutos[Produto],0)),"produto não cadastrado")</f>
        <v>FORA</v>
      </c>
      <c r="K3477" s="12">
        <f>tItens[[#This Row],[Qtd]]*tItens[[#This Row],[Vlr unit]]</f>
        <v>0</v>
      </c>
      <c r="L3477" s="6">
        <f>IFERROR(IF(INDEX(tProdutos[Desconto homologado],MATCH(tItens[[#This Row],[Produto]],tProdutos[Produto],0))="",DescontoPadrao,INDEX(tProdutos[Desconto homologado],MATCH(tItens[[#This Row],[Produto]],tProdutos[Produto],0))),DescontoPadrao)</f>
        <v>0.35412234042553198</v>
      </c>
      <c r="M3477" s="12">
        <f>tItens[[#This Row],[Valor]]*(1-tItens[[#This Row],[Desconto]])</f>
        <v>0</v>
      </c>
      <c r="N3477" t="str">
        <f>IFERROR(INDEX(tProdutos[Foco],MATCH(tItens[[#This Row],[Produto]],tProdutos[Produto],0)),"Não")</f>
        <v>Não</v>
      </c>
      <c r="O3477" t="str">
        <f>IFERROR(INDEX(tEditais[SRP],MATCH(tItens[[#This Row],[Edital]],tEditais[Edital],0)),"Não")</f>
        <v>Sim</v>
      </c>
      <c r="P3477" s="4">
        <f>IF(COUNTIFS(INDEX(tItens[Edital],1):tItens[[#This Row],[Edital]],tItens[[#This Row],[Edital]],INDEX(tItens[Produto],1):tItens[[#This Row],[Produto]],tItens[[#This Row],[Produto]])=1,1,0)</f>
        <v>0</v>
      </c>
    </row>
    <row r="3478" spans="1:16" x14ac:dyDescent="0.25">
      <c r="A3478" t="s">
        <v>1482</v>
      </c>
      <c r="B3478">
        <v>167</v>
      </c>
      <c r="C3478" t="s">
        <v>6361</v>
      </c>
      <c r="D3478" t="s">
        <v>343</v>
      </c>
      <c r="E3478" s="13">
        <v>50</v>
      </c>
      <c r="F3478" s="12">
        <v>0</v>
      </c>
      <c r="G3478" t="str">
        <f>IFERROR(INDEX(tEditais[Órgão],MATCH(tItens[[#This Row],[Edital]],tEditais[Edital],0)),"")</f>
        <v>MUNICIPIO DE JENIPAPO DE MINAS</v>
      </c>
      <c r="H3478" t="str">
        <f>IFERROR(INDEX(tEditais[UF],MATCH(tItens[[#This Row],[Edital]],tEditais[Edital],0)),"")</f>
        <v>MG</v>
      </c>
      <c r="I3478" s="11">
        <f>IFERROR(INDEX(tEditais[Encerramento],MATCH(tItens[[#This Row],[Edital]],tEditais[Edital],0)),"")</f>
        <v>46309.583333333336</v>
      </c>
      <c r="J3478" t="str">
        <f>IFERROR(INDEX(tProdutos[Classe],MATCH(tItens[[#This Row],[Produto]],tProdutos[Produto],0)),"produto não cadastrado")</f>
        <v>FORA</v>
      </c>
      <c r="K3478" s="12">
        <f>tItens[[#This Row],[Qtd]]*tItens[[#This Row],[Vlr unit]]</f>
        <v>0</v>
      </c>
      <c r="L3478" s="6">
        <f>IFERROR(IF(INDEX(tProdutos[Desconto homologado],MATCH(tItens[[#This Row],[Produto]],tProdutos[Produto],0))="",DescontoPadrao,INDEX(tProdutos[Desconto homologado],MATCH(tItens[[#This Row],[Produto]],tProdutos[Produto],0))),DescontoPadrao)</f>
        <v>0.35412234042553198</v>
      </c>
      <c r="M3478" s="12">
        <f>tItens[[#This Row],[Valor]]*(1-tItens[[#This Row],[Desconto]])</f>
        <v>0</v>
      </c>
      <c r="N3478" t="str">
        <f>IFERROR(INDEX(tProdutos[Foco],MATCH(tItens[[#This Row],[Produto]],tProdutos[Produto],0)),"Não")</f>
        <v>Não</v>
      </c>
      <c r="O3478" t="str">
        <f>IFERROR(INDEX(tEditais[SRP],MATCH(tItens[[#This Row],[Edital]],tEditais[Edital],0)),"Não")</f>
        <v>Sim</v>
      </c>
      <c r="P3478" s="4">
        <f>IF(COUNTIFS(INDEX(tItens[Edital],1):tItens[[#This Row],[Edital]],tItens[[#This Row],[Edital]],INDEX(tItens[Produto],1):tItens[[#This Row],[Produto]],tItens[[#This Row],[Produto]])=1,1,0)</f>
        <v>0</v>
      </c>
    </row>
    <row r="3479" spans="1:16" x14ac:dyDescent="0.25">
      <c r="A3479" t="s">
        <v>1482</v>
      </c>
      <c r="B3479">
        <v>168</v>
      </c>
      <c r="C3479" t="s">
        <v>6362</v>
      </c>
      <c r="D3479" t="s">
        <v>343</v>
      </c>
      <c r="E3479" s="13">
        <v>80</v>
      </c>
      <c r="F3479" s="12">
        <v>0</v>
      </c>
      <c r="G3479" t="str">
        <f>IFERROR(INDEX(tEditais[Órgão],MATCH(tItens[[#This Row],[Edital]],tEditais[Edital],0)),"")</f>
        <v>MUNICIPIO DE JENIPAPO DE MINAS</v>
      </c>
      <c r="H3479" t="str">
        <f>IFERROR(INDEX(tEditais[UF],MATCH(tItens[[#This Row],[Edital]],tEditais[Edital],0)),"")</f>
        <v>MG</v>
      </c>
      <c r="I3479" s="11">
        <f>IFERROR(INDEX(tEditais[Encerramento],MATCH(tItens[[#This Row],[Edital]],tEditais[Edital],0)),"")</f>
        <v>46309.583333333336</v>
      </c>
      <c r="J3479" t="str">
        <f>IFERROR(INDEX(tProdutos[Classe],MATCH(tItens[[#This Row],[Produto]],tProdutos[Produto],0)),"produto não cadastrado")</f>
        <v>FORA</v>
      </c>
      <c r="K3479" s="12">
        <f>tItens[[#This Row],[Qtd]]*tItens[[#This Row],[Vlr unit]]</f>
        <v>0</v>
      </c>
      <c r="L3479" s="6">
        <f>IFERROR(IF(INDEX(tProdutos[Desconto homologado],MATCH(tItens[[#This Row],[Produto]],tProdutos[Produto],0))="",DescontoPadrao,INDEX(tProdutos[Desconto homologado],MATCH(tItens[[#This Row],[Produto]],tProdutos[Produto],0))),DescontoPadrao)</f>
        <v>0.35412234042553198</v>
      </c>
      <c r="M3479" s="12">
        <f>tItens[[#This Row],[Valor]]*(1-tItens[[#This Row],[Desconto]])</f>
        <v>0</v>
      </c>
      <c r="N3479" t="str">
        <f>IFERROR(INDEX(tProdutos[Foco],MATCH(tItens[[#This Row],[Produto]],tProdutos[Produto],0)),"Não")</f>
        <v>Não</v>
      </c>
      <c r="O3479" t="str">
        <f>IFERROR(INDEX(tEditais[SRP],MATCH(tItens[[#This Row],[Edital]],tEditais[Edital],0)),"Não")</f>
        <v>Sim</v>
      </c>
      <c r="P3479" s="4">
        <f>IF(COUNTIFS(INDEX(tItens[Edital],1):tItens[[#This Row],[Edital]],tItens[[#This Row],[Edital]],INDEX(tItens[Produto],1):tItens[[#This Row],[Produto]],tItens[[#This Row],[Produto]])=1,1,0)</f>
        <v>0</v>
      </c>
    </row>
    <row r="3480" spans="1:16" x14ac:dyDescent="0.25">
      <c r="A3480" t="s">
        <v>1482</v>
      </c>
      <c r="B3480">
        <v>186</v>
      </c>
      <c r="C3480" t="s">
        <v>6363</v>
      </c>
      <c r="D3480" t="s">
        <v>170</v>
      </c>
      <c r="E3480" s="13">
        <v>2</v>
      </c>
      <c r="F3480" s="12">
        <v>0</v>
      </c>
      <c r="G3480" t="str">
        <f>IFERROR(INDEX(tEditais[Órgão],MATCH(tItens[[#This Row],[Edital]],tEditais[Edital],0)),"")</f>
        <v>MUNICIPIO DE JENIPAPO DE MINAS</v>
      </c>
      <c r="H3480" t="str">
        <f>IFERROR(INDEX(tEditais[UF],MATCH(tItens[[#This Row],[Edital]],tEditais[Edital],0)),"")</f>
        <v>MG</v>
      </c>
      <c r="I3480" s="11">
        <f>IFERROR(INDEX(tEditais[Encerramento],MATCH(tItens[[#This Row],[Edital]],tEditais[Edital],0)),"")</f>
        <v>46309.583333333336</v>
      </c>
      <c r="J3480" t="str">
        <f>IFERROR(INDEX(tProdutos[Classe],MATCH(tItens[[#This Row],[Produto]],tProdutos[Produto],0)),"produto não cadastrado")</f>
        <v>DISPUTADO</v>
      </c>
      <c r="K3480" s="12">
        <f>tItens[[#This Row],[Qtd]]*tItens[[#This Row],[Vlr unit]]</f>
        <v>0</v>
      </c>
      <c r="L3480" s="6">
        <f>IFERROR(IF(INDEX(tProdutos[Desconto homologado],MATCH(tItens[[#This Row],[Produto]],tProdutos[Produto],0))="",DescontoPadrao,INDEX(tProdutos[Desconto homologado],MATCH(tItens[[#This Row],[Produto]],tProdutos[Produto],0))),DescontoPadrao)</f>
        <v>0.36</v>
      </c>
      <c r="M3480" s="12">
        <f>tItens[[#This Row],[Valor]]*(1-tItens[[#This Row],[Desconto]])</f>
        <v>0</v>
      </c>
      <c r="N3480" t="str">
        <f>IFERROR(INDEX(tProdutos[Foco],MATCH(tItens[[#This Row],[Produto]],tProdutos[Produto],0)),"Não")</f>
        <v>Sim</v>
      </c>
      <c r="O3480" t="str">
        <f>IFERROR(INDEX(tEditais[SRP],MATCH(tItens[[#This Row],[Edital]],tEditais[Edital],0)),"Não")</f>
        <v>Sim</v>
      </c>
      <c r="P3480" s="4">
        <f>IF(COUNTIFS(INDEX(tItens[Edital],1):tItens[[#This Row],[Edital]],tItens[[#This Row],[Edital]],INDEX(tItens[Produto],1):tItens[[#This Row],[Produto]],tItens[[#This Row],[Produto]])=1,1,0)</f>
        <v>1</v>
      </c>
    </row>
    <row r="3481" spans="1:16" x14ac:dyDescent="0.25">
      <c r="A3481" t="s">
        <v>1482</v>
      </c>
      <c r="B3481">
        <v>187</v>
      </c>
      <c r="C3481" t="s">
        <v>6364</v>
      </c>
      <c r="D3481" t="s">
        <v>170</v>
      </c>
      <c r="E3481" s="13">
        <v>2</v>
      </c>
      <c r="F3481" s="12">
        <v>0</v>
      </c>
      <c r="G3481" t="str">
        <f>IFERROR(INDEX(tEditais[Órgão],MATCH(tItens[[#This Row],[Edital]],tEditais[Edital],0)),"")</f>
        <v>MUNICIPIO DE JENIPAPO DE MINAS</v>
      </c>
      <c r="H3481" t="str">
        <f>IFERROR(INDEX(tEditais[UF],MATCH(tItens[[#This Row],[Edital]],tEditais[Edital],0)),"")</f>
        <v>MG</v>
      </c>
      <c r="I3481" s="11">
        <f>IFERROR(INDEX(tEditais[Encerramento],MATCH(tItens[[#This Row],[Edital]],tEditais[Edital],0)),"")</f>
        <v>46309.583333333336</v>
      </c>
      <c r="J3481" t="str">
        <f>IFERROR(INDEX(tProdutos[Classe],MATCH(tItens[[#This Row],[Produto]],tProdutos[Produto],0)),"produto não cadastrado")</f>
        <v>DISPUTADO</v>
      </c>
      <c r="K3481" s="12">
        <f>tItens[[#This Row],[Qtd]]*tItens[[#This Row],[Vlr unit]]</f>
        <v>0</v>
      </c>
      <c r="L3481" s="6">
        <f>IFERROR(IF(INDEX(tProdutos[Desconto homologado],MATCH(tItens[[#This Row],[Produto]],tProdutos[Produto],0))="",DescontoPadrao,INDEX(tProdutos[Desconto homologado],MATCH(tItens[[#This Row],[Produto]],tProdutos[Produto],0))),DescontoPadrao)</f>
        <v>0.36</v>
      </c>
      <c r="M3481" s="12">
        <f>tItens[[#This Row],[Valor]]*(1-tItens[[#This Row],[Desconto]])</f>
        <v>0</v>
      </c>
      <c r="N3481" t="str">
        <f>IFERROR(INDEX(tProdutos[Foco],MATCH(tItens[[#This Row],[Produto]],tProdutos[Produto],0)),"Não")</f>
        <v>Sim</v>
      </c>
      <c r="O3481" t="str">
        <f>IFERROR(INDEX(tEditais[SRP],MATCH(tItens[[#This Row],[Edital]],tEditais[Edital],0)),"Não")</f>
        <v>Sim</v>
      </c>
      <c r="P3481" s="4">
        <f>IF(COUNTIFS(INDEX(tItens[Edital],1):tItens[[#This Row],[Edital]],tItens[[#This Row],[Edital]],INDEX(tItens[Produto],1):tItens[[#This Row],[Produto]],tItens[[#This Row],[Produto]])=1,1,0)</f>
        <v>0</v>
      </c>
    </row>
    <row r="3482" spans="1:16" x14ac:dyDescent="0.25">
      <c r="A3482" t="s">
        <v>1482</v>
      </c>
      <c r="B3482">
        <v>188</v>
      </c>
      <c r="C3482" t="s">
        <v>6365</v>
      </c>
      <c r="D3482" t="s">
        <v>170</v>
      </c>
      <c r="E3482" s="13">
        <v>2</v>
      </c>
      <c r="F3482" s="12">
        <v>0</v>
      </c>
      <c r="G3482" t="str">
        <f>IFERROR(INDEX(tEditais[Órgão],MATCH(tItens[[#This Row],[Edital]],tEditais[Edital],0)),"")</f>
        <v>MUNICIPIO DE JENIPAPO DE MINAS</v>
      </c>
      <c r="H3482" t="str">
        <f>IFERROR(INDEX(tEditais[UF],MATCH(tItens[[#This Row],[Edital]],tEditais[Edital],0)),"")</f>
        <v>MG</v>
      </c>
      <c r="I3482" s="11">
        <f>IFERROR(INDEX(tEditais[Encerramento],MATCH(tItens[[#This Row],[Edital]],tEditais[Edital],0)),"")</f>
        <v>46309.583333333336</v>
      </c>
      <c r="J3482" t="str">
        <f>IFERROR(INDEX(tProdutos[Classe],MATCH(tItens[[#This Row],[Produto]],tProdutos[Produto],0)),"produto não cadastrado")</f>
        <v>DISPUTADO</v>
      </c>
      <c r="K3482" s="12">
        <f>tItens[[#This Row],[Qtd]]*tItens[[#This Row],[Vlr unit]]</f>
        <v>0</v>
      </c>
      <c r="L3482" s="6">
        <f>IFERROR(IF(INDEX(tProdutos[Desconto homologado],MATCH(tItens[[#This Row],[Produto]],tProdutos[Produto],0))="",DescontoPadrao,INDEX(tProdutos[Desconto homologado],MATCH(tItens[[#This Row],[Produto]],tProdutos[Produto],0))),DescontoPadrao)</f>
        <v>0.36</v>
      </c>
      <c r="M3482" s="12">
        <f>tItens[[#This Row],[Valor]]*(1-tItens[[#This Row],[Desconto]])</f>
        <v>0</v>
      </c>
      <c r="N3482" t="str">
        <f>IFERROR(INDEX(tProdutos[Foco],MATCH(tItens[[#This Row],[Produto]],tProdutos[Produto],0)),"Não")</f>
        <v>Sim</v>
      </c>
      <c r="O3482" t="str">
        <f>IFERROR(INDEX(tEditais[SRP],MATCH(tItens[[#This Row],[Edital]],tEditais[Edital],0)),"Não")</f>
        <v>Sim</v>
      </c>
      <c r="P3482" s="4">
        <f>IF(COUNTIFS(INDEX(tItens[Edital],1):tItens[[#This Row],[Edital]],tItens[[#This Row],[Edital]],INDEX(tItens[Produto],1):tItens[[#This Row],[Produto]],tItens[[#This Row],[Produto]])=1,1,0)</f>
        <v>0</v>
      </c>
    </row>
    <row r="3483" spans="1:16" x14ac:dyDescent="0.25">
      <c r="A3483" t="s">
        <v>1482</v>
      </c>
      <c r="B3483">
        <v>189</v>
      </c>
      <c r="C3483" t="s">
        <v>6366</v>
      </c>
      <c r="D3483" t="s">
        <v>170</v>
      </c>
      <c r="E3483" s="13">
        <v>2</v>
      </c>
      <c r="F3483" s="12">
        <v>0</v>
      </c>
      <c r="G3483" t="str">
        <f>IFERROR(INDEX(tEditais[Órgão],MATCH(tItens[[#This Row],[Edital]],tEditais[Edital],0)),"")</f>
        <v>MUNICIPIO DE JENIPAPO DE MINAS</v>
      </c>
      <c r="H3483" t="str">
        <f>IFERROR(INDEX(tEditais[UF],MATCH(tItens[[#This Row],[Edital]],tEditais[Edital],0)),"")</f>
        <v>MG</v>
      </c>
      <c r="I3483" s="11">
        <f>IFERROR(INDEX(tEditais[Encerramento],MATCH(tItens[[#This Row],[Edital]],tEditais[Edital],0)),"")</f>
        <v>46309.583333333336</v>
      </c>
      <c r="J3483" t="str">
        <f>IFERROR(INDEX(tProdutos[Classe],MATCH(tItens[[#This Row],[Produto]],tProdutos[Produto],0)),"produto não cadastrado")</f>
        <v>DISPUTADO</v>
      </c>
      <c r="K3483" s="12">
        <f>tItens[[#This Row],[Qtd]]*tItens[[#This Row],[Vlr unit]]</f>
        <v>0</v>
      </c>
      <c r="L3483" s="6">
        <f>IFERROR(IF(INDEX(tProdutos[Desconto homologado],MATCH(tItens[[#This Row],[Produto]],tProdutos[Produto],0))="",DescontoPadrao,INDEX(tProdutos[Desconto homologado],MATCH(tItens[[#This Row],[Produto]],tProdutos[Produto],0))),DescontoPadrao)</f>
        <v>0.36</v>
      </c>
      <c r="M3483" s="12">
        <f>tItens[[#This Row],[Valor]]*(1-tItens[[#This Row],[Desconto]])</f>
        <v>0</v>
      </c>
      <c r="N3483" t="str">
        <f>IFERROR(INDEX(tProdutos[Foco],MATCH(tItens[[#This Row],[Produto]],tProdutos[Produto],0)),"Não")</f>
        <v>Sim</v>
      </c>
      <c r="O3483" t="str">
        <f>IFERROR(INDEX(tEditais[SRP],MATCH(tItens[[#This Row],[Edital]],tEditais[Edital],0)),"Não")</f>
        <v>Sim</v>
      </c>
      <c r="P3483" s="4">
        <f>IF(COUNTIFS(INDEX(tItens[Edital],1):tItens[[#This Row],[Edital]],tItens[[#This Row],[Edital]],INDEX(tItens[Produto],1):tItens[[#This Row],[Produto]],tItens[[#This Row],[Produto]])=1,1,0)</f>
        <v>0</v>
      </c>
    </row>
    <row r="3484" spans="1:16" x14ac:dyDescent="0.25">
      <c r="A3484" t="s">
        <v>1482</v>
      </c>
      <c r="B3484">
        <v>190</v>
      </c>
      <c r="C3484" t="s">
        <v>6367</v>
      </c>
      <c r="D3484" t="s">
        <v>293</v>
      </c>
      <c r="E3484" s="13">
        <v>10</v>
      </c>
      <c r="F3484" s="12">
        <v>0</v>
      </c>
      <c r="G3484" t="str">
        <f>IFERROR(INDEX(tEditais[Órgão],MATCH(tItens[[#This Row],[Edital]],tEditais[Edital],0)),"")</f>
        <v>MUNICIPIO DE JENIPAPO DE MINAS</v>
      </c>
      <c r="H3484" t="str">
        <f>IFERROR(INDEX(tEditais[UF],MATCH(tItens[[#This Row],[Edital]],tEditais[Edital],0)),"")</f>
        <v>MG</v>
      </c>
      <c r="I3484" s="11">
        <f>IFERROR(INDEX(tEditais[Encerramento],MATCH(tItens[[#This Row],[Edital]],tEditais[Edital],0)),"")</f>
        <v>46309.583333333336</v>
      </c>
      <c r="J3484" t="str">
        <f>IFERROR(INDEX(tProdutos[Classe],MATCH(tItens[[#This Row],[Produto]],tProdutos[Produto],0)),"produto não cadastrado")</f>
        <v>FORA</v>
      </c>
      <c r="K3484" s="12">
        <f>tItens[[#This Row],[Qtd]]*tItens[[#This Row],[Vlr unit]]</f>
        <v>0</v>
      </c>
      <c r="L3484" s="6">
        <f>IFERROR(IF(INDEX(tProdutos[Desconto homologado],MATCH(tItens[[#This Row],[Produto]],tProdutos[Produto],0))="",DescontoPadrao,INDEX(tProdutos[Desconto homologado],MATCH(tItens[[#This Row],[Produto]],tProdutos[Produto],0))),DescontoPadrao)</f>
        <v>0.45236440369319098</v>
      </c>
      <c r="M3484" s="12">
        <f>tItens[[#This Row],[Valor]]*(1-tItens[[#This Row],[Desconto]])</f>
        <v>0</v>
      </c>
      <c r="N3484" t="str">
        <f>IFERROR(INDEX(tProdutos[Foco],MATCH(tItens[[#This Row],[Produto]],tProdutos[Produto],0)),"Não")</f>
        <v>Não</v>
      </c>
      <c r="O3484" t="str">
        <f>IFERROR(INDEX(tEditais[SRP],MATCH(tItens[[#This Row],[Edital]],tEditais[Edital],0)),"Não")</f>
        <v>Sim</v>
      </c>
      <c r="P3484" s="4">
        <f>IF(COUNTIFS(INDEX(tItens[Edital],1):tItens[[#This Row],[Edital]],tItens[[#This Row],[Edital]],INDEX(tItens[Produto],1):tItens[[#This Row],[Produto]],tItens[[#This Row],[Produto]])=1,1,0)</f>
        <v>1</v>
      </c>
    </row>
    <row r="3485" spans="1:16" x14ac:dyDescent="0.25">
      <c r="A3485" t="s">
        <v>1482</v>
      </c>
      <c r="B3485">
        <v>191</v>
      </c>
      <c r="C3485" t="s">
        <v>6368</v>
      </c>
      <c r="D3485" t="s">
        <v>223</v>
      </c>
      <c r="E3485" s="13">
        <v>10</v>
      </c>
      <c r="F3485" s="12">
        <v>0</v>
      </c>
      <c r="G3485" t="str">
        <f>IFERROR(INDEX(tEditais[Órgão],MATCH(tItens[[#This Row],[Edital]],tEditais[Edital],0)),"")</f>
        <v>MUNICIPIO DE JENIPAPO DE MINAS</v>
      </c>
      <c r="H3485" t="str">
        <f>IFERROR(INDEX(tEditais[UF],MATCH(tItens[[#This Row],[Edital]],tEditais[Edital],0)),"")</f>
        <v>MG</v>
      </c>
      <c r="I3485" s="11">
        <f>IFERROR(INDEX(tEditais[Encerramento],MATCH(tItens[[#This Row],[Edital]],tEditais[Edital],0)),"")</f>
        <v>46309.583333333336</v>
      </c>
      <c r="J3485" t="str">
        <f>IFERROR(INDEX(tProdutos[Classe],MATCH(tItens[[#This Row],[Produto]],tProdutos[Produto],0)),"produto não cadastrado")</f>
        <v>FORA</v>
      </c>
      <c r="K3485" s="12">
        <f>tItens[[#This Row],[Qtd]]*tItens[[#This Row],[Vlr unit]]</f>
        <v>0</v>
      </c>
      <c r="L3485" s="6">
        <f>IFERROR(IF(INDEX(tProdutos[Desconto homologado],MATCH(tItens[[#This Row],[Produto]],tProdutos[Produto],0))="",DescontoPadrao,INDEX(tProdutos[Desconto homologado],MATCH(tItens[[#This Row],[Produto]],tProdutos[Produto],0))),DescontoPadrao)</f>
        <v>0.36263736263736301</v>
      </c>
      <c r="M3485" s="12">
        <f>tItens[[#This Row],[Valor]]*(1-tItens[[#This Row],[Desconto]])</f>
        <v>0</v>
      </c>
      <c r="N3485" t="str">
        <f>IFERROR(INDEX(tProdutos[Foco],MATCH(tItens[[#This Row],[Produto]],tProdutos[Produto],0)),"Não")</f>
        <v>Não</v>
      </c>
      <c r="O3485" t="str">
        <f>IFERROR(INDEX(tEditais[SRP],MATCH(tItens[[#This Row],[Edital]],tEditais[Edital],0)),"Não")</f>
        <v>Sim</v>
      </c>
      <c r="P3485" s="4">
        <f>IF(COUNTIFS(INDEX(tItens[Edital],1):tItens[[#This Row],[Edital]],tItens[[#This Row],[Edital]],INDEX(tItens[Produto],1):tItens[[#This Row],[Produto]],tItens[[#This Row],[Produto]])=1,1,0)</f>
        <v>1</v>
      </c>
    </row>
    <row r="3486" spans="1:16" x14ac:dyDescent="0.25">
      <c r="A3486" t="s">
        <v>1482</v>
      </c>
      <c r="B3486">
        <v>220</v>
      </c>
      <c r="C3486" t="s">
        <v>6369</v>
      </c>
      <c r="D3486" t="s">
        <v>289</v>
      </c>
      <c r="E3486" s="13">
        <v>100</v>
      </c>
      <c r="F3486" s="12">
        <v>0</v>
      </c>
      <c r="G3486" t="str">
        <f>IFERROR(INDEX(tEditais[Órgão],MATCH(tItens[[#This Row],[Edital]],tEditais[Edital],0)),"")</f>
        <v>MUNICIPIO DE JENIPAPO DE MINAS</v>
      </c>
      <c r="H3486" t="str">
        <f>IFERROR(INDEX(tEditais[UF],MATCH(tItens[[#This Row],[Edital]],tEditais[Edital],0)),"")</f>
        <v>MG</v>
      </c>
      <c r="I3486" s="11">
        <f>IFERROR(INDEX(tEditais[Encerramento],MATCH(tItens[[#This Row],[Edital]],tEditais[Edital],0)),"")</f>
        <v>46309.583333333336</v>
      </c>
      <c r="J3486" t="str">
        <f>IFERROR(INDEX(tProdutos[Classe],MATCH(tItens[[#This Row],[Produto]],tProdutos[Produto],0)),"produto não cadastrado")</f>
        <v>DISPUTADO</v>
      </c>
      <c r="K3486" s="12">
        <f>tItens[[#This Row],[Qtd]]*tItens[[#This Row],[Vlr unit]]</f>
        <v>0</v>
      </c>
      <c r="L3486" s="6">
        <f>IFERROR(IF(INDEX(tProdutos[Desconto homologado],MATCH(tItens[[#This Row],[Produto]],tProdutos[Produto],0))="",DescontoPadrao,INDEX(tProdutos[Desconto homologado],MATCH(tItens[[#This Row],[Produto]],tProdutos[Produto],0))),DescontoPadrao)</f>
        <v>0.35849056603773599</v>
      </c>
      <c r="M3486" s="12">
        <f>tItens[[#This Row],[Valor]]*(1-tItens[[#This Row],[Desconto]])</f>
        <v>0</v>
      </c>
      <c r="N3486" t="str">
        <f>IFERROR(INDEX(tProdutos[Foco],MATCH(tItens[[#This Row],[Produto]],tProdutos[Produto],0)),"Não")</f>
        <v>Não</v>
      </c>
      <c r="O3486" t="str">
        <f>IFERROR(INDEX(tEditais[SRP],MATCH(tItens[[#This Row],[Edital]],tEditais[Edital],0)),"Não")</f>
        <v>Sim</v>
      </c>
      <c r="P3486" s="4">
        <f>IF(COUNTIFS(INDEX(tItens[Edital],1):tItens[[#This Row],[Edital]],tItens[[#This Row],[Edital]],INDEX(tItens[Produto],1):tItens[[#This Row],[Produto]],tItens[[#This Row],[Produto]])=1,1,0)</f>
        <v>1</v>
      </c>
    </row>
    <row r="3487" spans="1:16" x14ac:dyDescent="0.25">
      <c r="A3487" t="s">
        <v>1482</v>
      </c>
      <c r="B3487">
        <v>221</v>
      </c>
      <c r="C3487" t="s">
        <v>6370</v>
      </c>
      <c r="D3487" t="s">
        <v>283</v>
      </c>
      <c r="E3487" s="13">
        <v>500</v>
      </c>
      <c r="F3487" s="12">
        <v>0</v>
      </c>
      <c r="G3487" t="str">
        <f>IFERROR(INDEX(tEditais[Órgão],MATCH(tItens[[#This Row],[Edital]],tEditais[Edital],0)),"")</f>
        <v>MUNICIPIO DE JENIPAPO DE MINAS</v>
      </c>
      <c r="H3487" t="str">
        <f>IFERROR(INDEX(tEditais[UF],MATCH(tItens[[#This Row],[Edital]],tEditais[Edital],0)),"")</f>
        <v>MG</v>
      </c>
      <c r="I3487" s="11">
        <f>IFERROR(INDEX(tEditais[Encerramento],MATCH(tItens[[#This Row],[Edital]],tEditais[Edital],0)),"")</f>
        <v>46309.583333333336</v>
      </c>
      <c r="J3487" t="str">
        <f>IFERROR(INDEX(tProdutos[Classe],MATCH(tItens[[#This Row],[Produto]],tProdutos[Produto],0)),"produto não cadastrado")</f>
        <v>FORA</v>
      </c>
      <c r="K3487" s="12">
        <f>tItens[[#This Row],[Qtd]]*tItens[[#This Row],[Vlr unit]]</f>
        <v>0</v>
      </c>
      <c r="L3487" s="6">
        <f>IFERROR(IF(INDEX(tProdutos[Desconto homologado],MATCH(tItens[[#This Row],[Produto]],tProdutos[Produto],0))="",DescontoPadrao,INDEX(tProdutos[Desconto homologado],MATCH(tItens[[#This Row],[Produto]],tProdutos[Produto],0))),DescontoPadrao)</f>
        <v>0.40540540540540498</v>
      </c>
      <c r="M3487" s="12">
        <f>tItens[[#This Row],[Valor]]*(1-tItens[[#This Row],[Desconto]])</f>
        <v>0</v>
      </c>
      <c r="N3487" t="str">
        <f>IFERROR(INDEX(tProdutos[Foco],MATCH(tItens[[#This Row],[Produto]],tProdutos[Produto],0)),"Não")</f>
        <v>Não</v>
      </c>
      <c r="O3487" t="str">
        <f>IFERROR(INDEX(tEditais[SRP],MATCH(tItens[[#This Row],[Edital]],tEditais[Edital],0)),"Não")</f>
        <v>Sim</v>
      </c>
      <c r="P3487" s="4">
        <f>IF(COUNTIFS(INDEX(tItens[Edital],1):tItens[[#This Row],[Edital]],tItens[[#This Row],[Edital]],INDEX(tItens[Produto],1):tItens[[#This Row],[Produto]],tItens[[#This Row],[Produto]])=1,1,0)</f>
        <v>1</v>
      </c>
    </row>
    <row r="3488" spans="1:16" x14ac:dyDescent="0.25">
      <c r="A3488" t="s">
        <v>1482</v>
      </c>
      <c r="B3488">
        <v>222</v>
      </c>
      <c r="C3488" t="s">
        <v>6371</v>
      </c>
      <c r="D3488" t="s">
        <v>265</v>
      </c>
      <c r="E3488" s="13">
        <v>50</v>
      </c>
      <c r="F3488" s="12">
        <v>0</v>
      </c>
      <c r="G3488" t="str">
        <f>IFERROR(INDEX(tEditais[Órgão],MATCH(tItens[[#This Row],[Edital]],tEditais[Edital],0)),"")</f>
        <v>MUNICIPIO DE JENIPAPO DE MINAS</v>
      </c>
      <c r="H3488" t="str">
        <f>IFERROR(INDEX(tEditais[UF],MATCH(tItens[[#This Row],[Edital]],tEditais[Edital],0)),"")</f>
        <v>MG</v>
      </c>
      <c r="I3488" s="11">
        <f>IFERROR(INDEX(tEditais[Encerramento],MATCH(tItens[[#This Row],[Edital]],tEditais[Edital],0)),"")</f>
        <v>46309.583333333336</v>
      </c>
      <c r="J3488" t="str">
        <f>IFERROR(INDEX(tProdutos[Classe],MATCH(tItens[[#This Row],[Produto]],tProdutos[Produto],0)),"produto não cadastrado")</f>
        <v>DISPUTADO</v>
      </c>
      <c r="K3488" s="12">
        <f>tItens[[#This Row],[Qtd]]*tItens[[#This Row],[Vlr unit]]</f>
        <v>0</v>
      </c>
      <c r="L3488" s="6">
        <f>IFERROR(IF(INDEX(tProdutos[Desconto homologado],MATCH(tItens[[#This Row],[Produto]],tProdutos[Produto],0))="",DescontoPadrao,INDEX(tProdutos[Desconto homologado],MATCH(tItens[[#This Row],[Produto]],tProdutos[Produto],0))),DescontoPadrao)</f>
        <v>0.377587663709337</v>
      </c>
      <c r="M3488" s="12">
        <f>tItens[[#This Row],[Valor]]*(1-tItens[[#This Row],[Desconto]])</f>
        <v>0</v>
      </c>
      <c r="N3488" t="str">
        <f>IFERROR(INDEX(tProdutos[Foco],MATCH(tItens[[#This Row],[Produto]],tProdutos[Produto],0)),"Não")</f>
        <v>Não</v>
      </c>
      <c r="O3488" t="str">
        <f>IFERROR(INDEX(tEditais[SRP],MATCH(tItens[[#This Row],[Edital]],tEditais[Edital],0)),"Não")</f>
        <v>Sim</v>
      </c>
      <c r="P3488" s="4">
        <f>IF(COUNTIFS(INDEX(tItens[Edital],1):tItens[[#This Row],[Edital]],tItens[[#This Row],[Edital]],INDEX(tItens[Produto],1):tItens[[#This Row],[Produto]],tItens[[#This Row],[Produto]])=1,1,0)</f>
        <v>1</v>
      </c>
    </row>
    <row r="3489" spans="1:16" x14ac:dyDescent="0.25">
      <c r="A3489" t="s">
        <v>1482</v>
      </c>
      <c r="B3489">
        <v>223</v>
      </c>
      <c r="C3489" t="s">
        <v>6372</v>
      </c>
      <c r="D3489" t="s">
        <v>281</v>
      </c>
      <c r="E3489" s="13">
        <v>50</v>
      </c>
      <c r="F3489" s="12">
        <v>0</v>
      </c>
      <c r="G3489" t="str">
        <f>IFERROR(INDEX(tEditais[Órgão],MATCH(tItens[[#This Row],[Edital]],tEditais[Edital],0)),"")</f>
        <v>MUNICIPIO DE JENIPAPO DE MINAS</v>
      </c>
      <c r="H3489" t="str">
        <f>IFERROR(INDEX(tEditais[UF],MATCH(tItens[[#This Row],[Edital]],tEditais[Edital],0)),"")</f>
        <v>MG</v>
      </c>
      <c r="I3489" s="11">
        <f>IFERROR(INDEX(tEditais[Encerramento],MATCH(tItens[[#This Row],[Edital]],tEditais[Edital],0)),"")</f>
        <v>46309.583333333336</v>
      </c>
      <c r="J3489" t="str">
        <f>IFERROR(INDEX(tProdutos[Classe],MATCH(tItens[[#This Row],[Produto]],tProdutos[Produto],0)),"produto não cadastrado")</f>
        <v>DISPUTADO</v>
      </c>
      <c r="K3489" s="12">
        <f>tItens[[#This Row],[Qtd]]*tItens[[#This Row],[Vlr unit]]</f>
        <v>0</v>
      </c>
      <c r="L3489" s="6">
        <f>IFERROR(IF(INDEX(tProdutos[Desconto homologado],MATCH(tItens[[#This Row],[Produto]],tProdutos[Produto],0))="",DescontoPadrao,INDEX(tProdutos[Desconto homologado],MATCH(tItens[[#This Row],[Produto]],tProdutos[Produto],0))),DescontoPadrao)</f>
        <v>0.42461538461538501</v>
      </c>
      <c r="M3489" s="12">
        <f>tItens[[#This Row],[Valor]]*(1-tItens[[#This Row],[Desconto]])</f>
        <v>0</v>
      </c>
      <c r="N3489" t="str">
        <f>IFERROR(INDEX(tProdutos[Foco],MATCH(tItens[[#This Row],[Produto]],tProdutos[Produto],0)),"Não")</f>
        <v>Não</v>
      </c>
      <c r="O3489" t="str">
        <f>IFERROR(INDEX(tEditais[SRP],MATCH(tItens[[#This Row],[Edital]],tEditais[Edital],0)),"Não")</f>
        <v>Sim</v>
      </c>
      <c r="P3489" s="4">
        <f>IF(COUNTIFS(INDEX(tItens[Edital],1):tItens[[#This Row],[Edital]],tItens[[#This Row],[Edital]],INDEX(tItens[Produto],1):tItens[[#This Row],[Produto]],tItens[[#This Row],[Produto]])=1,1,0)</f>
        <v>1</v>
      </c>
    </row>
    <row r="3490" spans="1:16" x14ac:dyDescent="0.25">
      <c r="A3490" t="s">
        <v>1482</v>
      </c>
      <c r="B3490">
        <v>224</v>
      </c>
      <c r="C3490" t="s">
        <v>6373</v>
      </c>
      <c r="D3490" t="s">
        <v>275</v>
      </c>
      <c r="E3490" s="13">
        <v>25</v>
      </c>
      <c r="F3490" s="12">
        <v>0</v>
      </c>
      <c r="G3490" t="str">
        <f>IFERROR(INDEX(tEditais[Órgão],MATCH(tItens[[#This Row],[Edital]],tEditais[Edital],0)),"")</f>
        <v>MUNICIPIO DE JENIPAPO DE MINAS</v>
      </c>
      <c r="H3490" t="str">
        <f>IFERROR(INDEX(tEditais[UF],MATCH(tItens[[#This Row],[Edital]],tEditais[Edital],0)),"")</f>
        <v>MG</v>
      </c>
      <c r="I3490" s="11">
        <f>IFERROR(INDEX(tEditais[Encerramento],MATCH(tItens[[#This Row],[Edital]],tEditais[Edital],0)),"")</f>
        <v>46309.583333333336</v>
      </c>
      <c r="J3490" t="str">
        <f>IFERROR(INDEX(tProdutos[Classe],MATCH(tItens[[#This Row],[Produto]],tProdutos[Produto],0)),"produto não cadastrado")</f>
        <v>FORA</v>
      </c>
      <c r="K3490" s="12">
        <f>tItens[[#This Row],[Qtd]]*tItens[[#This Row],[Vlr unit]]</f>
        <v>0</v>
      </c>
      <c r="L3490" s="6">
        <f>IFERROR(IF(INDEX(tProdutos[Desconto homologado],MATCH(tItens[[#This Row],[Produto]],tProdutos[Produto],0))="",DescontoPadrao,INDEX(tProdutos[Desconto homologado],MATCH(tItens[[#This Row],[Produto]],tProdutos[Produto],0))),DescontoPadrao)</f>
        <v>0.405797101449275</v>
      </c>
      <c r="M3490" s="12">
        <f>tItens[[#This Row],[Valor]]*(1-tItens[[#This Row],[Desconto]])</f>
        <v>0</v>
      </c>
      <c r="N3490" t="str">
        <f>IFERROR(INDEX(tProdutos[Foco],MATCH(tItens[[#This Row],[Produto]],tProdutos[Produto],0)),"Não")</f>
        <v>Não</v>
      </c>
      <c r="O3490" t="str">
        <f>IFERROR(INDEX(tEditais[SRP],MATCH(tItens[[#This Row],[Edital]],tEditais[Edital],0)),"Não")</f>
        <v>Sim</v>
      </c>
      <c r="P3490" s="4">
        <f>IF(COUNTIFS(INDEX(tItens[Edital],1):tItens[[#This Row],[Edital]],tItens[[#This Row],[Edital]],INDEX(tItens[Produto],1):tItens[[#This Row],[Produto]],tItens[[#This Row],[Produto]])=1,1,0)</f>
        <v>1</v>
      </c>
    </row>
    <row r="3491" spans="1:16" x14ac:dyDescent="0.25">
      <c r="A3491" t="s">
        <v>1482</v>
      </c>
      <c r="B3491">
        <v>233</v>
      </c>
      <c r="C3491" t="s">
        <v>6374</v>
      </c>
      <c r="D3491" t="s">
        <v>120</v>
      </c>
      <c r="E3491" s="13">
        <v>1800</v>
      </c>
      <c r="F3491" s="12">
        <v>0</v>
      </c>
      <c r="G3491" t="str">
        <f>IFERROR(INDEX(tEditais[Órgão],MATCH(tItens[[#This Row],[Edital]],tEditais[Edital],0)),"")</f>
        <v>MUNICIPIO DE JENIPAPO DE MINAS</v>
      </c>
      <c r="H3491" t="str">
        <f>IFERROR(INDEX(tEditais[UF],MATCH(tItens[[#This Row],[Edital]],tEditais[Edital],0)),"")</f>
        <v>MG</v>
      </c>
      <c r="I3491" s="11">
        <f>IFERROR(INDEX(tEditais[Encerramento],MATCH(tItens[[#This Row],[Edital]],tEditais[Edital],0)),"")</f>
        <v>46309.583333333336</v>
      </c>
      <c r="J3491" t="str">
        <f>IFERROR(INDEX(tProdutos[Classe],MATCH(tItens[[#This Row],[Produto]],tProdutos[Produto],0)),"produto não cadastrado")</f>
        <v>DISPUTADO</v>
      </c>
      <c r="K3491" s="12">
        <f>tItens[[#This Row],[Qtd]]*tItens[[#This Row],[Vlr unit]]</f>
        <v>0</v>
      </c>
      <c r="L3491" s="6">
        <f>IFERROR(IF(INDEX(tProdutos[Desconto homologado],MATCH(tItens[[#This Row],[Produto]],tProdutos[Produto],0))="",DescontoPadrao,INDEX(tProdutos[Desconto homologado],MATCH(tItens[[#This Row],[Produto]],tProdutos[Produto],0))),DescontoPadrao)</f>
        <v>0.40909090909090901</v>
      </c>
      <c r="M3491" s="12">
        <f>tItens[[#This Row],[Valor]]*(1-tItens[[#This Row],[Desconto]])</f>
        <v>0</v>
      </c>
      <c r="N3491" t="str">
        <f>IFERROR(INDEX(tProdutos[Foco],MATCH(tItens[[#This Row],[Produto]],tProdutos[Produto],0)),"Não")</f>
        <v>Não</v>
      </c>
      <c r="O3491" t="str">
        <f>IFERROR(INDEX(tEditais[SRP],MATCH(tItens[[#This Row],[Edital]],tEditais[Edital],0)),"Não")</f>
        <v>Sim</v>
      </c>
      <c r="P3491" s="4">
        <f>IF(COUNTIFS(INDEX(tItens[Edital],1):tItens[[#This Row],[Edital]],tItens[[#This Row],[Edital]],INDEX(tItens[Produto],1):tItens[[#This Row],[Produto]],tItens[[#This Row],[Produto]])=1,1,0)</f>
        <v>1</v>
      </c>
    </row>
    <row r="3492" spans="1:16" x14ac:dyDescent="0.25">
      <c r="A3492" t="s">
        <v>1482</v>
      </c>
      <c r="B3492">
        <v>234</v>
      </c>
      <c r="C3492" t="s">
        <v>6375</v>
      </c>
      <c r="D3492" t="s">
        <v>120</v>
      </c>
      <c r="E3492" s="13">
        <v>2</v>
      </c>
      <c r="F3492" s="12">
        <v>0</v>
      </c>
      <c r="G3492" t="str">
        <f>IFERROR(INDEX(tEditais[Órgão],MATCH(tItens[[#This Row],[Edital]],tEditais[Edital],0)),"")</f>
        <v>MUNICIPIO DE JENIPAPO DE MINAS</v>
      </c>
      <c r="H3492" t="str">
        <f>IFERROR(INDEX(tEditais[UF],MATCH(tItens[[#This Row],[Edital]],tEditais[Edital],0)),"")</f>
        <v>MG</v>
      </c>
      <c r="I3492" s="11">
        <f>IFERROR(INDEX(tEditais[Encerramento],MATCH(tItens[[#This Row],[Edital]],tEditais[Edital],0)),"")</f>
        <v>46309.583333333336</v>
      </c>
      <c r="J3492" t="str">
        <f>IFERROR(INDEX(tProdutos[Classe],MATCH(tItens[[#This Row],[Produto]],tProdutos[Produto],0)),"produto não cadastrado")</f>
        <v>DISPUTADO</v>
      </c>
      <c r="K3492" s="12">
        <f>tItens[[#This Row],[Qtd]]*tItens[[#This Row],[Vlr unit]]</f>
        <v>0</v>
      </c>
      <c r="L3492" s="6">
        <f>IFERROR(IF(INDEX(tProdutos[Desconto homologado],MATCH(tItens[[#This Row],[Produto]],tProdutos[Produto],0))="",DescontoPadrao,INDEX(tProdutos[Desconto homologado],MATCH(tItens[[#This Row],[Produto]],tProdutos[Produto],0))),DescontoPadrao)</f>
        <v>0.40909090909090901</v>
      </c>
      <c r="M3492" s="12">
        <f>tItens[[#This Row],[Valor]]*(1-tItens[[#This Row],[Desconto]])</f>
        <v>0</v>
      </c>
      <c r="N3492" t="str">
        <f>IFERROR(INDEX(tProdutos[Foco],MATCH(tItens[[#This Row],[Produto]],tProdutos[Produto],0)),"Não")</f>
        <v>Não</v>
      </c>
      <c r="O3492" t="str">
        <f>IFERROR(INDEX(tEditais[SRP],MATCH(tItens[[#This Row],[Edital]],tEditais[Edital],0)),"Não")</f>
        <v>Sim</v>
      </c>
      <c r="P3492" s="4">
        <f>IF(COUNTIFS(INDEX(tItens[Edital],1):tItens[[#This Row],[Edital]],tItens[[#This Row],[Edital]],INDEX(tItens[Produto],1):tItens[[#This Row],[Produto]],tItens[[#This Row],[Produto]])=1,1,0)</f>
        <v>0</v>
      </c>
    </row>
    <row r="3493" spans="1:16" x14ac:dyDescent="0.25">
      <c r="A3493" t="s">
        <v>1482</v>
      </c>
      <c r="B3493">
        <v>236</v>
      </c>
      <c r="C3493" t="s">
        <v>6376</v>
      </c>
      <c r="D3493" t="s">
        <v>184</v>
      </c>
      <c r="E3493" s="13">
        <v>3</v>
      </c>
      <c r="F3493" s="12">
        <v>0</v>
      </c>
      <c r="G3493" t="str">
        <f>IFERROR(INDEX(tEditais[Órgão],MATCH(tItens[[#This Row],[Edital]],tEditais[Edital],0)),"")</f>
        <v>MUNICIPIO DE JENIPAPO DE MINAS</v>
      </c>
      <c r="H3493" t="str">
        <f>IFERROR(INDEX(tEditais[UF],MATCH(tItens[[#This Row],[Edital]],tEditais[Edital],0)),"")</f>
        <v>MG</v>
      </c>
      <c r="I3493" s="11">
        <f>IFERROR(INDEX(tEditais[Encerramento],MATCH(tItens[[#This Row],[Edital]],tEditais[Edital],0)),"")</f>
        <v>46309.583333333336</v>
      </c>
      <c r="J3493" t="str">
        <f>IFERROR(INDEX(tProdutos[Classe],MATCH(tItens[[#This Row],[Produto]],tProdutos[Produto],0)),"produto não cadastrado")</f>
        <v>FORA</v>
      </c>
      <c r="K3493" s="12">
        <f>tItens[[#This Row],[Qtd]]*tItens[[#This Row],[Vlr unit]]</f>
        <v>0</v>
      </c>
      <c r="L3493" s="6">
        <f>IFERROR(IF(INDEX(tProdutos[Desconto homologado],MATCH(tItens[[#This Row],[Produto]],tProdutos[Produto],0))="",DescontoPadrao,INDEX(tProdutos[Desconto homologado],MATCH(tItens[[#This Row],[Produto]],tProdutos[Produto],0))),DescontoPadrao)</f>
        <v>0.363567906332742</v>
      </c>
      <c r="M3493" s="12">
        <f>tItens[[#This Row],[Valor]]*(1-tItens[[#This Row],[Desconto]])</f>
        <v>0</v>
      </c>
      <c r="N3493" t="str">
        <f>IFERROR(INDEX(tProdutos[Foco],MATCH(tItens[[#This Row],[Produto]],tProdutos[Produto],0)),"Não")</f>
        <v>Não</v>
      </c>
      <c r="O3493" t="str">
        <f>IFERROR(INDEX(tEditais[SRP],MATCH(tItens[[#This Row],[Edital]],tEditais[Edital],0)),"Não")</f>
        <v>Sim</v>
      </c>
      <c r="P3493" s="4">
        <f>IF(COUNTIFS(INDEX(tItens[Edital],1):tItens[[#This Row],[Edital]],tItens[[#This Row],[Edital]],INDEX(tItens[Produto],1):tItens[[#This Row],[Produto]],tItens[[#This Row],[Produto]])=1,1,0)</f>
        <v>1</v>
      </c>
    </row>
    <row r="3494" spans="1:16" x14ac:dyDescent="0.25">
      <c r="A3494" t="s">
        <v>1482</v>
      </c>
      <c r="B3494">
        <v>237</v>
      </c>
      <c r="C3494" t="s">
        <v>6377</v>
      </c>
      <c r="D3494" t="s">
        <v>184</v>
      </c>
      <c r="E3494" s="13">
        <v>3</v>
      </c>
      <c r="F3494" s="12">
        <v>0</v>
      </c>
      <c r="G3494" t="str">
        <f>IFERROR(INDEX(tEditais[Órgão],MATCH(tItens[[#This Row],[Edital]],tEditais[Edital],0)),"")</f>
        <v>MUNICIPIO DE JENIPAPO DE MINAS</v>
      </c>
      <c r="H3494" t="str">
        <f>IFERROR(INDEX(tEditais[UF],MATCH(tItens[[#This Row],[Edital]],tEditais[Edital],0)),"")</f>
        <v>MG</v>
      </c>
      <c r="I3494" s="11">
        <f>IFERROR(INDEX(tEditais[Encerramento],MATCH(tItens[[#This Row],[Edital]],tEditais[Edital],0)),"")</f>
        <v>46309.583333333336</v>
      </c>
      <c r="J3494" t="str">
        <f>IFERROR(INDEX(tProdutos[Classe],MATCH(tItens[[#This Row],[Produto]],tProdutos[Produto],0)),"produto não cadastrado")</f>
        <v>FORA</v>
      </c>
      <c r="K3494" s="12">
        <f>tItens[[#This Row],[Qtd]]*tItens[[#This Row],[Vlr unit]]</f>
        <v>0</v>
      </c>
      <c r="L3494" s="6">
        <f>IFERROR(IF(INDEX(tProdutos[Desconto homologado],MATCH(tItens[[#This Row],[Produto]],tProdutos[Produto],0))="",DescontoPadrao,INDEX(tProdutos[Desconto homologado],MATCH(tItens[[#This Row],[Produto]],tProdutos[Produto],0))),DescontoPadrao)</f>
        <v>0.363567906332742</v>
      </c>
      <c r="M3494" s="12">
        <f>tItens[[#This Row],[Valor]]*(1-tItens[[#This Row],[Desconto]])</f>
        <v>0</v>
      </c>
      <c r="N3494" t="str">
        <f>IFERROR(INDEX(tProdutos[Foco],MATCH(tItens[[#This Row],[Produto]],tProdutos[Produto],0)),"Não")</f>
        <v>Não</v>
      </c>
      <c r="O3494" t="str">
        <f>IFERROR(INDEX(tEditais[SRP],MATCH(tItens[[#This Row],[Edital]],tEditais[Edital],0)),"Não")</f>
        <v>Sim</v>
      </c>
      <c r="P3494" s="4">
        <f>IF(COUNTIFS(INDEX(tItens[Edital],1):tItens[[#This Row],[Edital]],tItens[[#This Row],[Edital]],INDEX(tItens[Produto],1):tItens[[#This Row],[Produto]],tItens[[#This Row],[Produto]])=1,1,0)</f>
        <v>0</v>
      </c>
    </row>
    <row r="3495" spans="1:16" x14ac:dyDescent="0.25">
      <c r="A3495" t="s">
        <v>1482</v>
      </c>
      <c r="B3495">
        <v>238</v>
      </c>
      <c r="C3495" t="s">
        <v>6378</v>
      </c>
      <c r="D3495" t="s">
        <v>184</v>
      </c>
      <c r="E3495" s="13">
        <v>3</v>
      </c>
      <c r="F3495" s="12">
        <v>0</v>
      </c>
      <c r="G3495" t="str">
        <f>IFERROR(INDEX(tEditais[Órgão],MATCH(tItens[[#This Row],[Edital]],tEditais[Edital],0)),"")</f>
        <v>MUNICIPIO DE JENIPAPO DE MINAS</v>
      </c>
      <c r="H3495" t="str">
        <f>IFERROR(INDEX(tEditais[UF],MATCH(tItens[[#This Row],[Edital]],tEditais[Edital],0)),"")</f>
        <v>MG</v>
      </c>
      <c r="I3495" s="11">
        <f>IFERROR(INDEX(tEditais[Encerramento],MATCH(tItens[[#This Row],[Edital]],tEditais[Edital],0)),"")</f>
        <v>46309.583333333336</v>
      </c>
      <c r="J3495" t="str">
        <f>IFERROR(INDEX(tProdutos[Classe],MATCH(tItens[[#This Row],[Produto]],tProdutos[Produto],0)),"produto não cadastrado")</f>
        <v>FORA</v>
      </c>
      <c r="K3495" s="12">
        <f>tItens[[#This Row],[Qtd]]*tItens[[#This Row],[Vlr unit]]</f>
        <v>0</v>
      </c>
      <c r="L3495" s="6">
        <f>IFERROR(IF(INDEX(tProdutos[Desconto homologado],MATCH(tItens[[#This Row],[Produto]],tProdutos[Produto],0))="",DescontoPadrao,INDEX(tProdutos[Desconto homologado],MATCH(tItens[[#This Row],[Produto]],tProdutos[Produto],0))),DescontoPadrao)</f>
        <v>0.363567906332742</v>
      </c>
      <c r="M3495" s="12">
        <f>tItens[[#This Row],[Valor]]*(1-tItens[[#This Row],[Desconto]])</f>
        <v>0</v>
      </c>
      <c r="N3495" t="str">
        <f>IFERROR(INDEX(tProdutos[Foco],MATCH(tItens[[#This Row],[Produto]],tProdutos[Produto],0)),"Não")</f>
        <v>Não</v>
      </c>
      <c r="O3495" t="str">
        <f>IFERROR(INDEX(tEditais[SRP],MATCH(tItens[[#This Row],[Edital]],tEditais[Edital],0)),"Não")</f>
        <v>Sim</v>
      </c>
      <c r="P3495" s="4">
        <f>IF(COUNTIFS(INDEX(tItens[Edital],1):tItens[[#This Row],[Edital]],tItens[[#This Row],[Edital]],INDEX(tItens[Produto],1):tItens[[#This Row],[Produto]],tItens[[#This Row],[Produto]])=1,1,0)</f>
        <v>0</v>
      </c>
    </row>
    <row r="3496" spans="1:16" x14ac:dyDescent="0.25">
      <c r="A3496" t="s">
        <v>1482</v>
      </c>
      <c r="B3496">
        <v>239</v>
      </c>
      <c r="C3496" t="s">
        <v>6379</v>
      </c>
      <c r="D3496" t="s">
        <v>184</v>
      </c>
      <c r="E3496" s="13">
        <v>3</v>
      </c>
      <c r="F3496" s="12">
        <v>0</v>
      </c>
      <c r="G3496" t="str">
        <f>IFERROR(INDEX(tEditais[Órgão],MATCH(tItens[[#This Row],[Edital]],tEditais[Edital],0)),"")</f>
        <v>MUNICIPIO DE JENIPAPO DE MINAS</v>
      </c>
      <c r="H3496" t="str">
        <f>IFERROR(INDEX(tEditais[UF],MATCH(tItens[[#This Row],[Edital]],tEditais[Edital],0)),"")</f>
        <v>MG</v>
      </c>
      <c r="I3496" s="11">
        <f>IFERROR(INDEX(tEditais[Encerramento],MATCH(tItens[[#This Row],[Edital]],tEditais[Edital],0)),"")</f>
        <v>46309.583333333336</v>
      </c>
      <c r="J3496" t="str">
        <f>IFERROR(INDEX(tProdutos[Classe],MATCH(tItens[[#This Row],[Produto]],tProdutos[Produto],0)),"produto não cadastrado")</f>
        <v>FORA</v>
      </c>
      <c r="K3496" s="12">
        <f>tItens[[#This Row],[Qtd]]*tItens[[#This Row],[Vlr unit]]</f>
        <v>0</v>
      </c>
      <c r="L3496" s="6">
        <f>IFERROR(IF(INDEX(tProdutos[Desconto homologado],MATCH(tItens[[#This Row],[Produto]],tProdutos[Produto],0))="",DescontoPadrao,INDEX(tProdutos[Desconto homologado],MATCH(tItens[[#This Row],[Produto]],tProdutos[Produto],0))),DescontoPadrao)</f>
        <v>0.363567906332742</v>
      </c>
      <c r="M3496" s="12">
        <f>tItens[[#This Row],[Valor]]*(1-tItens[[#This Row],[Desconto]])</f>
        <v>0</v>
      </c>
      <c r="N3496" t="str">
        <f>IFERROR(INDEX(tProdutos[Foco],MATCH(tItens[[#This Row],[Produto]],tProdutos[Produto],0)),"Não")</f>
        <v>Não</v>
      </c>
      <c r="O3496" t="str">
        <f>IFERROR(INDEX(tEditais[SRP],MATCH(tItens[[#This Row],[Edital]],tEditais[Edital],0)),"Não")</f>
        <v>Sim</v>
      </c>
      <c r="P3496" s="4">
        <f>IF(COUNTIFS(INDEX(tItens[Edital],1):tItens[[#This Row],[Edital]],tItens[[#This Row],[Edital]],INDEX(tItens[Produto],1):tItens[[#This Row],[Produto]],tItens[[#This Row],[Produto]])=1,1,0)</f>
        <v>0</v>
      </c>
    </row>
    <row r="3497" spans="1:16" x14ac:dyDescent="0.25">
      <c r="A3497" t="s">
        <v>1482</v>
      </c>
      <c r="B3497">
        <v>240</v>
      </c>
      <c r="C3497" t="s">
        <v>6380</v>
      </c>
      <c r="D3497" t="s">
        <v>110</v>
      </c>
      <c r="E3497" s="13">
        <v>10</v>
      </c>
      <c r="F3497" s="12">
        <v>0</v>
      </c>
      <c r="G3497" t="str">
        <f>IFERROR(INDEX(tEditais[Órgão],MATCH(tItens[[#This Row],[Edital]],tEditais[Edital],0)),"")</f>
        <v>MUNICIPIO DE JENIPAPO DE MINAS</v>
      </c>
      <c r="H3497" t="str">
        <f>IFERROR(INDEX(tEditais[UF],MATCH(tItens[[#This Row],[Edital]],tEditais[Edital],0)),"")</f>
        <v>MG</v>
      </c>
      <c r="I3497" s="11">
        <f>IFERROR(INDEX(tEditais[Encerramento],MATCH(tItens[[#This Row],[Edital]],tEditais[Edital],0)),"")</f>
        <v>46309.583333333336</v>
      </c>
      <c r="J3497" t="str">
        <f>IFERROR(INDEX(tProdutos[Classe],MATCH(tItens[[#This Row],[Produto]],tProdutos[Produto],0)),"produto não cadastrado")</f>
        <v>NÚCLEO</v>
      </c>
      <c r="K3497" s="12">
        <f>tItens[[#This Row],[Qtd]]*tItens[[#This Row],[Vlr unit]]</f>
        <v>0</v>
      </c>
      <c r="L3497" s="6">
        <f>IFERROR(IF(INDEX(tProdutos[Desconto homologado],MATCH(tItens[[#This Row],[Produto]],tProdutos[Produto],0))="",DescontoPadrao,INDEX(tProdutos[Desconto homologado],MATCH(tItens[[#This Row],[Produto]],tProdutos[Produto],0))),DescontoPadrao)</f>
        <v>0.30410958904109597</v>
      </c>
      <c r="M3497" s="12">
        <f>tItens[[#This Row],[Valor]]*(1-tItens[[#This Row],[Desconto]])</f>
        <v>0</v>
      </c>
      <c r="N3497" t="str">
        <f>IFERROR(INDEX(tProdutos[Foco],MATCH(tItens[[#This Row],[Produto]],tProdutos[Produto],0)),"Não")</f>
        <v>Não</v>
      </c>
      <c r="O3497" t="str">
        <f>IFERROR(INDEX(tEditais[SRP],MATCH(tItens[[#This Row],[Edital]],tEditais[Edital],0)),"Não")</f>
        <v>Sim</v>
      </c>
      <c r="P3497" s="4">
        <f>IF(COUNTIFS(INDEX(tItens[Edital],1):tItens[[#This Row],[Edital]],tItens[[#This Row],[Edital]],INDEX(tItens[Produto],1):tItens[[#This Row],[Produto]],tItens[[#This Row],[Produto]])=1,1,0)</f>
        <v>1</v>
      </c>
    </row>
    <row r="3498" spans="1:16" x14ac:dyDescent="0.25">
      <c r="A3498" t="s">
        <v>1482</v>
      </c>
      <c r="B3498">
        <v>241</v>
      </c>
      <c r="C3498" t="s">
        <v>6381</v>
      </c>
      <c r="D3498" t="s">
        <v>110</v>
      </c>
      <c r="E3498" s="13">
        <v>10</v>
      </c>
      <c r="F3498" s="12">
        <v>0</v>
      </c>
      <c r="G3498" t="str">
        <f>IFERROR(INDEX(tEditais[Órgão],MATCH(tItens[[#This Row],[Edital]],tEditais[Edital],0)),"")</f>
        <v>MUNICIPIO DE JENIPAPO DE MINAS</v>
      </c>
      <c r="H3498" t="str">
        <f>IFERROR(INDEX(tEditais[UF],MATCH(tItens[[#This Row],[Edital]],tEditais[Edital],0)),"")</f>
        <v>MG</v>
      </c>
      <c r="I3498" s="11">
        <f>IFERROR(INDEX(tEditais[Encerramento],MATCH(tItens[[#This Row],[Edital]],tEditais[Edital],0)),"")</f>
        <v>46309.583333333336</v>
      </c>
      <c r="J3498" t="str">
        <f>IFERROR(INDEX(tProdutos[Classe],MATCH(tItens[[#This Row],[Produto]],tProdutos[Produto],0)),"produto não cadastrado")</f>
        <v>NÚCLEO</v>
      </c>
      <c r="K3498" s="12">
        <f>tItens[[#This Row],[Qtd]]*tItens[[#This Row],[Vlr unit]]</f>
        <v>0</v>
      </c>
      <c r="L3498" s="6">
        <f>IFERROR(IF(INDEX(tProdutos[Desconto homologado],MATCH(tItens[[#This Row],[Produto]],tProdutos[Produto],0))="",DescontoPadrao,INDEX(tProdutos[Desconto homologado],MATCH(tItens[[#This Row],[Produto]],tProdutos[Produto],0))),DescontoPadrao)</f>
        <v>0.30410958904109597</v>
      </c>
      <c r="M3498" s="12">
        <f>tItens[[#This Row],[Valor]]*(1-tItens[[#This Row],[Desconto]])</f>
        <v>0</v>
      </c>
      <c r="N3498" t="str">
        <f>IFERROR(INDEX(tProdutos[Foco],MATCH(tItens[[#This Row],[Produto]],tProdutos[Produto],0)),"Não")</f>
        <v>Não</v>
      </c>
      <c r="O3498" t="str">
        <f>IFERROR(INDEX(tEditais[SRP],MATCH(tItens[[#This Row],[Edital]],tEditais[Edital],0)),"Não")</f>
        <v>Sim</v>
      </c>
      <c r="P3498" s="4">
        <f>IF(COUNTIFS(INDEX(tItens[Edital],1):tItens[[#This Row],[Edital]],tItens[[#This Row],[Edital]],INDEX(tItens[Produto],1):tItens[[#This Row],[Produto]],tItens[[#This Row],[Produto]])=1,1,0)</f>
        <v>0</v>
      </c>
    </row>
    <row r="3499" spans="1:16" x14ac:dyDescent="0.25">
      <c r="A3499" t="s">
        <v>1482</v>
      </c>
      <c r="B3499">
        <v>242</v>
      </c>
      <c r="C3499" t="s">
        <v>6382</v>
      </c>
      <c r="D3499" t="s">
        <v>110</v>
      </c>
      <c r="E3499" s="13">
        <v>10</v>
      </c>
      <c r="F3499" s="12">
        <v>0</v>
      </c>
      <c r="G3499" t="str">
        <f>IFERROR(INDEX(tEditais[Órgão],MATCH(tItens[[#This Row],[Edital]],tEditais[Edital],0)),"")</f>
        <v>MUNICIPIO DE JENIPAPO DE MINAS</v>
      </c>
      <c r="H3499" t="str">
        <f>IFERROR(INDEX(tEditais[UF],MATCH(tItens[[#This Row],[Edital]],tEditais[Edital],0)),"")</f>
        <v>MG</v>
      </c>
      <c r="I3499" s="11">
        <f>IFERROR(INDEX(tEditais[Encerramento],MATCH(tItens[[#This Row],[Edital]],tEditais[Edital],0)),"")</f>
        <v>46309.583333333336</v>
      </c>
      <c r="J3499" t="str">
        <f>IFERROR(INDEX(tProdutos[Classe],MATCH(tItens[[#This Row],[Produto]],tProdutos[Produto],0)),"produto não cadastrado")</f>
        <v>NÚCLEO</v>
      </c>
      <c r="K3499" s="12">
        <f>tItens[[#This Row],[Qtd]]*tItens[[#This Row],[Vlr unit]]</f>
        <v>0</v>
      </c>
      <c r="L3499" s="6">
        <f>IFERROR(IF(INDEX(tProdutos[Desconto homologado],MATCH(tItens[[#This Row],[Produto]],tProdutos[Produto],0))="",DescontoPadrao,INDEX(tProdutos[Desconto homologado],MATCH(tItens[[#This Row],[Produto]],tProdutos[Produto],0))),DescontoPadrao)</f>
        <v>0.30410958904109597</v>
      </c>
      <c r="M3499" s="12">
        <f>tItens[[#This Row],[Valor]]*(1-tItens[[#This Row],[Desconto]])</f>
        <v>0</v>
      </c>
      <c r="N3499" t="str">
        <f>IFERROR(INDEX(tProdutos[Foco],MATCH(tItens[[#This Row],[Produto]],tProdutos[Produto],0)),"Não")</f>
        <v>Não</v>
      </c>
      <c r="O3499" t="str">
        <f>IFERROR(INDEX(tEditais[SRP],MATCH(tItens[[#This Row],[Edital]],tEditais[Edital],0)),"Não")</f>
        <v>Sim</v>
      </c>
      <c r="P3499" s="4">
        <f>IF(COUNTIFS(INDEX(tItens[Edital],1):tItens[[#This Row],[Edital]],tItens[[#This Row],[Edital]],INDEX(tItens[Produto],1):tItens[[#This Row],[Produto]],tItens[[#This Row],[Produto]])=1,1,0)</f>
        <v>0</v>
      </c>
    </row>
    <row r="3500" spans="1:16" x14ac:dyDescent="0.25">
      <c r="A3500" t="s">
        <v>1482</v>
      </c>
      <c r="B3500">
        <v>243</v>
      </c>
      <c r="C3500" t="s">
        <v>6383</v>
      </c>
      <c r="D3500" t="s">
        <v>110</v>
      </c>
      <c r="E3500" s="13">
        <v>10</v>
      </c>
      <c r="F3500" s="12">
        <v>0</v>
      </c>
      <c r="G3500" t="str">
        <f>IFERROR(INDEX(tEditais[Órgão],MATCH(tItens[[#This Row],[Edital]],tEditais[Edital],0)),"")</f>
        <v>MUNICIPIO DE JENIPAPO DE MINAS</v>
      </c>
      <c r="H3500" t="str">
        <f>IFERROR(INDEX(tEditais[UF],MATCH(tItens[[#This Row],[Edital]],tEditais[Edital],0)),"")</f>
        <v>MG</v>
      </c>
      <c r="I3500" s="11">
        <f>IFERROR(INDEX(tEditais[Encerramento],MATCH(tItens[[#This Row],[Edital]],tEditais[Edital],0)),"")</f>
        <v>46309.583333333336</v>
      </c>
      <c r="J3500" t="str">
        <f>IFERROR(INDEX(tProdutos[Classe],MATCH(tItens[[#This Row],[Produto]],tProdutos[Produto],0)),"produto não cadastrado")</f>
        <v>NÚCLEO</v>
      </c>
      <c r="K3500" s="12">
        <f>tItens[[#This Row],[Qtd]]*tItens[[#This Row],[Vlr unit]]</f>
        <v>0</v>
      </c>
      <c r="L3500" s="6">
        <f>IFERROR(IF(INDEX(tProdutos[Desconto homologado],MATCH(tItens[[#This Row],[Produto]],tProdutos[Produto],0))="",DescontoPadrao,INDEX(tProdutos[Desconto homologado],MATCH(tItens[[#This Row],[Produto]],tProdutos[Produto],0))),DescontoPadrao)</f>
        <v>0.30410958904109597</v>
      </c>
      <c r="M3500" s="12">
        <f>tItens[[#This Row],[Valor]]*(1-tItens[[#This Row],[Desconto]])</f>
        <v>0</v>
      </c>
      <c r="N3500" t="str">
        <f>IFERROR(INDEX(tProdutos[Foco],MATCH(tItens[[#This Row],[Produto]],tProdutos[Produto],0)),"Não")</f>
        <v>Não</v>
      </c>
      <c r="O3500" t="str">
        <f>IFERROR(INDEX(tEditais[SRP],MATCH(tItens[[#This Row],[Edital]],tEditais[Edital],0)),"Não")</f>
        <v>Sim</v>
      </c>
      <c r="P3500" s="4">
        <f>IF(COUNTIFS(INDEX(tItens[Edital],1):tItens[[#This Row],[Edital]],tItens[[#This Row],[Edital]],INDEX(tItens[Produto],1):tItens[[#This Row],[Produto]],tItens[[#This Row],[Produto]])=1,1,0)</f>
        <v>0</v>
      </c>
    </row>
    <row r="3501" spans="1:16" x14ac:dyDescent="0.25">
      <c r="A3501" t="s">
        <v>1482</v>
      </c>
      <c r="B3501">
        <v>244</v>
      </c>
      <c r="C3501" t="s">
        <v>6384</v>
      </c>
      <c r="D3501" t="s">
        <v>110</v>
      </c>
      <c r="E3501" s="13">
        <v>12</v>
      </c>
      <c r="F3501" s="12">
        <v>0</v>
      </c>
      <c r="G3501" t="str">
        <f>IFERROR(INDEX(tEditais[Órgão],MATCH(tItens[[#This Row],[Edital]],tEditais[Edital],0)),"")</f>
        <v>MUNICIPIO DE JENIPAPO DE MINAS</v>
      </c>
      <c r="H3501" t="str">
        <f>IFERROR(INDEX(tEditais[UF],MATCH(tItens[[#This Row],[Edital]],tEditais[Edital],0)),"")</f>
        <v>MG</v>
      </c>
      <c r="I3501" s="11">
        <f>IFERROR(INDEX(tEditais[Encerramento],MATCH(tItens[[#This Row],[Edital]],tEditais[Edital],0)),"")</f>
        <v>46309.583333333336</v>
      </c>
      <c r="J3501" t="str">
        <f>IFERROR(INDEX(tProdutos[Classe],MATCH(tItens[[#This Row],[Produto]],tProdutos[Produto],0)),"produto não cadastrado")</f>
        <v>NÚCLEO</v>
      </c>
      <c r="K3501" s="12">
        <f>tItens[[#This Row],[Qtd]]*tItens[[#This Row],[Vlr unit]]</f>
        <v>0</v>
      </c>
      <c r="L3501" s="6">
        <f>IFERROR(IF(INDEX(tProdutos[Desconto homologado],MATCH(tItens[[#This Row],[Produto]],tProdutos[Produto],0))="",DescontoPadrao,INDEX(tProdutos[Desconto homologado],MATCH(tItens[[#This Row],[Produto]],tProdutos[Produto],0))),DescontoPadrao)</f>
        <v>0.30410958904109597</v>
      </c>
      <c r="M3501" s="12">
        <f>tItens[[#This Row],[Valor]]*(1-tItens[[#This Row],[Desconto]])</f>
        <v>0</v>
      </c>
      <c r="N3501" t="str">
        <f>IFERROR(INDEX(tProdutos[Foco],MATCH(tItens[[#This Row],[Produto]],tProdutos[Produto],0)),"Não")</f>
        <v>Não</v>
      </c>
      <c r="O3501" t="str">
        <f>IFERROR(INDEX(tEditais[SRP],MATCH(tItens[[#This Row],[Edital]],tEditais[Edital],0)),"Não")</f>
        <v>Sim</v>
      </c>
      <c r="P3501" s="4">
        <f>IF(COUNTIFS(INDEX(tItens[Edital],1):tItens[[#This Row],[Edital]],tItens[[#This Row],[Edital]],INDEX(tItens[Produto],1):tItens[[#This Row],[Produto]],tItens[[#This Row],[Produto]])=1,1,0)</f>
        <v>0</v>
      </c>
    </row>
    <row r="3502" spans="1:16" x14ac:dyDescent="0.25">
      <c r="A3502" t="s">
        <v>1482</v>
      </c>
      <c r="B3502">
        <v>286</v>
      </c>
      <c r="C3502" t="s">
        <v>6385</v>
      </c>
      <c r="D3502" t="s">
        <v>156</v>
      </c>
      <c r="E3502" s="13">
        <v>10</v>
      </c>
      <c r="F3502" s="12">
        <v>0</v>
      </c>
      <c r="G3502" t="str">
        <f>IFERROR(INDEX(tEditais[Órgão],MATCH(tItens[[#This Row],[Edital]],tEditais[Edital],0)),"")</f>
        <v>MUNICIPIO DE JENIPAPO DE MINAS</v>
      </c>
      <c r="H3502" t="str">
        <f>IFERROR(INDEX(tEditais[UF],MATCH(tItens[[#This Row],[Edital]],tEditais[Edital],0)),"")</f>
        <v>MG</v>
      </c>
      <c r="I3502" s="11">
        <f>IFERROR(INDEX(tEditais[Encerramento],MATCH(tItens[[#This Row],[Edital]],tEditais[Edital],0)),"")</f>
        <v>46309.583333333336</v>
      </c>
      <c r="J3502" t="str">
        <f>IFERROR(INDEX(tProdutos[Classe],MATCH(tItens[[#This Row],[Produto]],tProdutos[Produto],0)),"produto não cadastrado")</f>
        <v>DISPUTADO</v>
      </c>
      <c r="K3502" s="12">
        <f>tItens[[#This Row],[Qtd]]*tItens[[#This Row],[Vlr unit]]</f>
        <v>0</v>
      </c>
      <c r="L3502" s="6">
        <f>IFERROR(IF(INDEX(tProdutos[Desconto homologado],MATCH(tItens[[#This Row],[Produto]],tProdutos[Produto],0))="",DescontoPadrao,INDEX(tProdutos[Desconto homologado],MATCH(tItens[[#This Row],[Produto]],tProdutos[Produto],0))),DescontoPadrao)</f>
        <v>0.27131852489802799</v>
      </c>
      <c r="M3502" s="12">
        <f>tItens[[#This Row],[Valor]]*(1-tItens[[#This Row],[Desconto]])</f>
        <v>0</v>
      </c>
      <c r="N3502" t="str">
        <f>IFERROR(INDEX(tProdutos[Foco],MATCH(tItens[[#This Row],[Produto]],tProdutos[Produto],0)),"Não")</f>
        <v>Não</v>
      </c>
      <c r="O3502" t="str">
        <f>IFERROR(INDEX(tEditais[SRP],MATCH(tItens[[#This Row],[Edital]],tEditais[Edital],0)),"Não")</f>
        <v>Sim</v>
      </c>
      <c r="P3502" s="4">
        <f>IF(COUNTIFS(INDEX(tItens[Edital],1):tItens[[#This Row],[Edital]],tItens[[#This Row],[Edital]],INDEX(tItens[Produto],1):tItens[[#This Row],[Produto]],tItens[[#This Row],[Produto]])=1,1,0)</f>
        <v>1</v>
      </c>
    </row>
    <row r="3503" spans="1:16" x14ac:dyDescent="0.25">
      <c r="A3503" t="s">
        <v>1485</v>
      </c>
      <c r="B3503">
        <v>12</v>
      </c>
      <c r="C3503" t="s">
        <v>6386</v>
      </c>
      <c r="D3503" t="s">
        <v>455</v>
      </c>
      <c r="E3503" s="13">
        <v>400</v>
      </c>
      <c r="F3503" s="12">
        <v>189.16</v>
      </c>
      <c r="G3503" t="str">
        <f>IFERROR(INDEX(tEditais[Órgão],MATCH(tItens[[#This Row],[Edital]],tEditais[Edital],0)),"")</f>
        <v>MUNICIPIO DE TIMOTEO</v>
      </c>
      <c r="H3503" t="str">
        <f>IFERROR(INDEX(tEditais[UF],MATCH(tItens[[#This Row],[Edital]],tEditais[Edital],0)),"")</f>
        <v>MG</v>
      </c>
      <c r="I3503" s="11">
        <f>IFERROR(INDEX(tEditais[Encerramento],MATCH(tItens[[#This Row],[Edital]],tEditais[Edital],0)),"")</f>
        <v>46309.583333333336</v>
      </c>
      <c r="J3503" t="str">
        <f>IFERROR(INDEX(tProdutos[Classe],MATCH(tItens[[#This Row],[Produto]],tProdutos[Produto],0)),"produto não cadastrado")</f>
        <v>FILA REBASE</v>
      </c>
      <c r="K3503" s="12">
        <f>tItens[[#This Row],[Qtd]]*tItens[[#This Row],[Vlr unit]]</f>
        <v>75664</v>
      </c>
      <c r="L3503" s="6">
        <f>IFERROR(IF(INDEX(tProdutos[Desconto homologado],MATCH(tItens[[#This Row],[Produto]],tProdutos[Produto],0))="",DescontoPadrao,INDEX(tProdutos[Desconto homologado],MATCH(tItens[[#This Row],[Produto]],tProdutos[Produto],0))),DescontoPadrao)</f>
        <v>0.29595946765523801</v>
      </c>
      <c r="M3503" s="12">
        <f>tItens[[#This Row],[Valor]]*(1-tItens[[#This Row],[Desconto]])</f>
        <v>53270.522839334073</v>
      </c>
      <c r="N3503" t="str">
        <f>IFERROR(INDEX(tProdutos[Foco],MATCH(tItens[[#This Row],[Produto]],tProdutos[Produto],0)),"Não")</f>
        <v>Não</v>
      </c>
      <c r="O3503" t="str">
        <f>IFERROR(INDEX(tEditais[SRP],MATCH(tItens[[#This Row],[Edital]],tEditais[Edital],0)),"Não")</f>
        <v>Não</v>
      </c>
      <c r="P3503" s="4">
        <f>IF(COUNTIFS(INDEX(tItens[Edital],1):tItens[[#This Row],[Edital]],tItens[[#This Row],[Edital]],INDEX(tItens[Produto],1):tItens[[#This Row],[Produto]],tItens[[#This Row],[Produto]])=1,1,0)</f>
        <v>1</v>
      </c>
    </row>
    <row r="3504" spans="1:16" x14ac:dyDescent="0.25">
      <c r="A3504" t="s">
        <v>1490</v>
      </c>
      <c r="B3504">
        <v>16</v>
      </c>
      <c r="C3504" t="s">
        <v>6387</v>
      </c>
      <c r="D3504" t="s">
        <v>267</v>
      </c>
      <c r="E3504" s="13">
        <v>300</v>
      </c>
      <c r="F3504" s="12">
        <v>1.64</v>
      </c>
      <c r="G3504" t="str">
        <f>IFERROR(INDEX(tEditais[Órgão],MATCH(tItens[[#This Row],[Edital]],tEditais[Edital],0)),"")</f>
        <v>COMANDO DO EXERCITO</v>
      </c>
      <c r="H3504" t="str">
        <f>IFERROR(INDEX(tEditais[UF],MATCH(tItens[[#This Row],[Edital]],tEditais[Edital],0)),"")</f>
        <v>MG</v>
      </c>
      <c r="I3504" s="11">
        <f>IFERROR(INDEX(tEditais[Encerramento],MATCH(tItens[[#This Row],[Edital]],tEditais[Edital],0)),"")</f>
        <v>46310.333333333336</v>
      </c>
      <c r="J3504" t="str">
        <f>IFERROR(INDEX(tProdutos[Classe],MATCH(tItens[[#This Row],[Produto]],tProdutos[Produto],0)),"produto não cadastrado")</f>
        <v>FORA</v>
      </c>
      <c r="K3504" s="12">
        <f>tItens[[#This Row],[Qtd]]*tItens[[#This Row],[Vlr unit]]</f>
        <v>491.99999999999994</v>
      </c>
      <c r="L3504" s="6">
        <f>IFERROR(IF(INDEX(tProdutos[Desconto homologado],MATCH(tItens[[#This Row],[Produto]],tProdutos[Produto],0))="",DescontoPadrao,INDEX(tProdutos[Desconto homologado],MATCH(tItens[[#This Row],[Produto]],tProdutos[Produto],0))),DescontoPadrao)</f>
        <v>0.19963672657401599</v>
      </c>
      <c r="M3504" s="12">
        <f>tItens[[#This Row],[Valor]]*(1-tItens[[#This Row],[Desconto]])</f>
        <v>393.77873052558408</v>
      </c>
      <c r="N3504" t="str">
        <f>IFERROR(INDEX(tProdutos[Foco],MATCH(tItens[[#This Row],[Produto]],tProdutos[Produto],0)),"Não")</f>
        <v>Não</v>
      </c>
      <c r="O3504" t="str">
        <f>IFERROR(INDEX(tEditais[SRP],MATCH(tItens[[#This Row],[Edital]],tEditais[Edital],0)),"Não")</f>
        <v>Não</v>
      </c>
      <c r="P3504" s="4">
        <f>IF(COUNTIFS(INDEX(tItens[Edital],1):tItens[[#This Row],[Edital]],tItens[[#This Row],[Edital]],INDEX(tItens[Produto],1):tItens[[#This Row],[Produto]],tItens[[#This Row],[Produto]])=1,1,0)</f>
        <v>1</v>
      </c>
    </row>
    <row r="3505" spans="1:16" x14ac:dyDescent="0.25">
      <c r="A3505" t="s">
        <v>1490</v>
      </c>
      <c r="B3505">
        <v>17</v>
      </c>
      <c r="C3505" t="s">
        <v>6388</v>
      </c>
      <c r="D3505" t="s">
        <v>160</v>
      </c>
      <c r="E3505" s="13">
        <v>30</v>
      </c>
      <c r="F3505" s="12">
        <v>21.29</v>
      </c>
      <c r="G3505" t="str">
        <f>IFERROR(INDEX(tEditais[Órgão],MATCH(tItens[[#This Row],[Edital]],tEditais[Edital],0)),"")</f>
        <v>COMANDO DO EXERCITO</v>
      </c>
      <c r="H3505" t="str">
        <f>IFERROR(INDEX(tEditais[UF],MATCH(tItens[[#This Row],[Edital]],tEditais[Edital],0)),"")</f>
        <v>MG</v>
      </c>
      <c r="I3505" s="11">
        <f>IFERROR(INDEX(tEditais[Encerramento],MATCH(tItens[[#This Row],[Edital]],tEditais[Edital],0)),"")</f>
        <v>46310.333333333336</v>
      </c>
      <c r="J3505" t="str">
        <f>IFERROR(INDEX(tProdutos[Classe],MATCH(tItens[[#This Row],[Produto]],tProdutos[Produto],0)),"produto não cadastrado")</f>
        <v>DISPUTADO</v>
      </c>
      <c r="K3505" s="12">
        <f>tItens[[#This Row],[Qtd]]*tItens[[#This Row],[Vlr unit]]</f>
        <v>638.69999999999993</v>
      </c>
      <c r="L3505" s="6">
        <f>IFERROR(IF(INDEX(tProdutos[Desconto homologado],MATCH(tItens[[#This Row],[Produto]],tProdutos[Produto],0))="",DescontoPadrao,INDEX(tProdutos[Desconto homologado],MATCH(tItens[[#This Row],[Produto]],tProdutos[Produto],0))),DescontoPadrao)</f>
        <v>0.28000000000000003</v>
      </c>
      <c r="M3505" s="12">
        <f>tItens[[#This Row],[Valor]]*(1-tItens[[#This Row],[Desconto]])</f>
        <v>459.86399999999992</v>
      </c>
      <c r="N3505" t="str">
        <f>IFERROR(INDEX(tProdutos[Foco],MATCH(tItens[[#This Row],[Produto]],tProdutos[Produto],0)),"Não")</f>
        <v>Sim</v>
      </c>
      <c r="O3505" t="str">
        <f>IFERROR(INDEX(tEditais[SRP],MATCH(tItens[[#This Row],[Edital]],tEditais[Edital],0)),"Não")</f>
        <v>Não</v>
      </c>
      <c r="P3505" s="4">
        <f>IF(COUNTIFS(INDEX(tItens[Edital],1):tItens[[#This Row],[Edital]],tItens[[#This Row],[Edital]],INDEX(tItens[Produto],1):tItens[[#This Row],[Produto]],tItens[[#This Row],[Produto]])=1,1,0)</f>
        <v>1</v>
      </c>
    </row>
    <row r="3506" spans="1:16" x14ac:dyDescent="0.25">
      <c r="A3506" t="s">
        <v>1490</v>
      </c>
      <c r="B3506">
        <v>50</v>
      </c>
      <c r="C3506" t="s">
        <v>6389</v>
      </c>
      <c r="D3506" t="s">
        <v>313</v>
      </c>
      <c r="E3506" s="13">
        <v>50</v>
      </c>
      <c r="F3506" s="12">
        <v>20.89</v>
      </c>
      <c r="G3506" t="str">
        <f>IFERROR(INDEX(tEditais[Órgão],MATCH(tItens[[#This Row],[Edital]],tEditais[Edital],0)),"")</f>
        <v>COMANDO DO EXERCITO</v>
      </c>
      <c r="H3506" t="str">
        <f>IFERROR(INDEX(tEditais[UF],MATCH(tItens[[#This Row],[Edital]],tEditais[Edital],0)),"")</f>
        <v>MG</v>
      </c>
      <c r="I3506" s="11">
        <f>IFERROR(INDEX(tEditais[Encerramento],MATCH(tItens[[#This Row],[Edital]],tEditais[Edital],0)),"")</f>
        <v>46310.333333333336</v>
      </c>
      <c r="J3506" t="str">
        <f>IFERROR(INDEX(tProdutos[Classe],MATCH(tItens[[#This Row],[Produto]],tProdutos[Produto],0)),"produto não cadastrado")</f>
        <v>FORA</v>
      </c>
      <c r="K3506" s="12">
        <f>tItens[[#This Row],[Qtd]]*tItens[[#This Row],[Vlr unit]]</f>
        <v>1044.5</v>
      </c>
      <c r="L3506" s="6">
        <f>IFERROR(IF(INDEX(tProdutos[Desconto homologado],MATCH(tItens[[#This Row],[Produto]],tProdutos[Produto],0))="",DescontoPadrao,INDEX(tProdutos[Desconto homologado],MATCH(tItens[[#This Row],[Produto]],tProdutos[Produto],0))),DescontoPadrao)</f>
        <v>0.35766373163696302</v>
      </c>
      <c r="M3506" s="12">
        <f>tItens[[#This Row],[Valor]]*(1-tItens[[#This Row],[Desconto]])</f>
        <v>670.92023230519203</v>
      </c>
      <c r="N3506" t="str">
        <f>IFERROR(INDEX(tProdutos[Foco],MATCH(tItens[[#This Row],[Produto]],tProdutos[Produto],0)),"Não")</f>
        <v>Não</v>
      </c>
      <c r="O3506" t="str">
        <f>IFERROR(INDEX(tEditais[SRP],MATCH(tItens[[#This Row],[Edital]],tEditais[Edital],0)),"Não")</f>
        <v>Não</v>
      </c>
      <c r="P3506" s="4">
        <f>IF(COUNTIFS(INDEX(tItens[Edital],1):tItens[[#This Row],[Edital]],tItens[[#This Row],[Edital]],INDEX(tItens[Produto],1):tItens[[#This Row],[Produto]],tItens[[#This Row],[Produto]])=1,1,0)</f>
        <v>1</v>
      </c>
    </row>
    <row r="3507" spans="1:16" x14ac:dyDescent="0.25">
      <c r="A3507" t="s">
        <v>1490</v>
      </c>
      <c r="B3507">
        <v>53</v>
      </c>
      <c r="C3507" t="s">
        <v>6390</v>
      </c>
      <c r="D3507" t="s">
        <v>77</v>
      </c>
      <c r="E3507" s="13">
        <v>50</v>
      </c>
      <c r="F3507" s="12">
        <v>6.1</v>
      </c>
      <c r="G3507" t="str">
        <f>IFERROR(INDEX(tEditais[Órgão],MATCH(tItens[[#This Row],[Edital]],tEditais[Edital],0)),"")</f>
        <v>COMANDO DO EXERCITO</v>
      </c>
      <c r="H3507" t="str">
        <f>IFERROR(INDEX(tEditais[UF],MATCH(tItens[[#This Row],[Edital]],tEditais[Edital],0)),"")</f>
        <v>MG</v>
      </c>
      <c r="I3507" s="11">
        <f>IFERROR(INDEX(tEditais[Encerramento],MATCH(tItens[[#This Row],[Edital]],tEditais[Edital],0)),"")</f>
        <v>46310.333333333336</v>
      </c>
      <c r="J3507" t="str">
        <f>IFERROR(INDEX(tProdutos[Classe],MATCH(tItens[[#This Row],[Produto]],tProdutos[Produto],0)),"produto não cadastrado")</f>
        <v>DISPUTADO</v>
      </c>
      <c r="K3507" s="12">
        <f>tItens[[#This Row],[Qtd]]*tItens[[#This Row],[Vlr unit]]</f>
        <v>305</v>
      </c>
      <c r="L3507" s="6">
        <f>IFERROR(IF(INDEX(tProdutos[Desconto homologado],MATCH(tItens[[#This Row],[Produto]],tProdutos[Produto],0))="",DescontoPadrao,INDEX(tProdutos[Desconto homologado],MATCH(tItens[[#This Row],[Produto]],tProdutos[Produto],0))),DescontoPadrao)</f>
        <v>0.33</v>
      </c>
      <c r="M3507" s="12">
        <f>tItens[[#This Row],[Valor]]*(1-tItens[[#This Row],[Desconto]])</f>
        <v>204.34999999999997</v>
      </c>
      <c r="N3507" t="str">
        <f>IFERROR(INDEX(tProdutos[Foco],MATCH(tItens[[#This Row],[Produto]],tProdutos[Produto],0)),"Não")</f>
        <v>Sim</v>
      </c>
      <c r="O3507" t="str">
        <f>IFERROR(INDEX(tEditais[SRP],MATCH(tItens[[#This Row],[Edital]],tEditais[Edital],0)),"Não")</f>
        <v>Não</v>
      </c>
      <c r="P3507" s="4">
        <f>IF(COUNTIFS(INDEX(tItens[Edital],1):tItens[[#This Row],[Edital]],tItens[[#This Row],[Edital]],INDEX(tItens[Produto],1):tItens[[#This Row],[Produto]],tItens[[#This Row],[Produto]])=1,1,0)</f>
        <v>1</v>
      </c>
    </row>
    <row r="3508" spans="1:16" x14ac:dyDescent="0.25">
      <c r="A3508" t="s">
        <v>1494</v>
      </c>
      <c r="B3508">
        <v>23</v>
      </c>
      <c r="C3508" t="s">
        <v>6391</v>
      </c>
      <c r="D3508" t="s">
        <v>379</v>
      </c>
      <c r="E3508" s="13">
        <v>500</v>
      </c>
      <c r="F3508" s="12">
        <v>1.19</v>
      </c>
      <c r="G3508" t="str">
        <f>IFERROR(INDEX(tEditais[Órgão],MATCH(tItens[[#This Row],[Edital]],tEditais[Edital],0)),"")</f>
        <v>MUNICIPIO DE MIRABELA</v>
      </c>
      <c r="H3508" t="str">
        <f>IFERROR(INDEX(tEditais[UF],MATCH(tItens[[#This Row],[Edital]],tEditais[Edital],0)),"")</f>
        <v>MG</v>
      </c>
      <c r="I3508" s="11">
        <f>IFERROR(INDEX(tEditais[Encerramento],MATCH(tItens[[#This Row],[Edital]],tEditais[Edital],0)),"")</f>
        <v>46310.353472222225</v>
      </c>
      <c r="J3508" t="str">
        <f>IFERROR(INDEX(tProdutos[Classe],MATCH(tItens[[#This Row],[Produto]],tProdutos[Produto],0)),"produto não cadastrado")</f>
        <v>FORA</v>
      </c>
      <c r="K3508" s="12">
        <f>tItens[[#This Row],[Qtd]]*tItens[[#This Row],[Vlr unit]]</f>
        <v>595</v>
      </c>
      <c r="L3508" s="6">
        <f>IFERROR(IF(INDEX(tProdutos[Desconto homologado],MATCH(tItens[[#This Row],[Produto]],tProdutos[Produto],0))="",DescontoPadrao,INDEX(tProdutos[Desconto homologado],MATCH(tItens[[#This Row],[Produto]],tProdutos[Produto],0))),DescontoPadrao)</f>
        <v>0.49504950495049499</v>
      </c>
      <c r="M3508" s="12">
        <f>tItens[[#This Row],[Valor]]*(1-tItens[[#This Row],[Desconto]])</f>
        <v>300.44554455445547</v>
      </c>
      <c r="N3508" t="str">
        <f>IFERROR(INDEX(tProdutos[Foco],MATCH(tItens[[#This Row],[Produto]],tProdutos[Produto],0)),"Não")</f>
        <v>Não</v>
      </c>
      <c r="O3508" t="str">
        <f>IFERROR(INDEX(tEditais[SRP],MATCH(tItens[[#This Row],[Edital]],tEditais[Edital],0)),"Não")</f>
        <v>Sim</v>
      </c>
      <c r="P3508" s="4">
        <f>IF(COUNTIFS(INDEX(tItens[Edital],1):tItens[[#This Row],[Edital]],tItens[[#This Row],[Edital]],INDEX(tItens[Produto],1):tItens[[#This Row],[Produto]],tItens[[#This Row],[Produto]])=1,1,0)</f>
        <v>1</v>
      </c>
    </row>
    <row r="3509" spans="1:16" x14ac:dyDescent="0.25">
      <c r="A3509" t="s">
        <v>1494</v>
      </c>
      <c r="B3509">
        <v>24</v>
      </c>
      <c r="C3509" t="s">
        <v>6392</v>
      </c>
      <c r="D3509" t="s">
        <v>247</v>
      </c>
      <c r="E3509" s="13">
        <v>600</v>
      </c>
      <c r="F3509" s="12">
        <v>1.34</v>
      </c>
      <c r="G3509" t="str">
        <f>IFERROR(INDEX(tEditais[Órgão],MATCH(tItens[[#This Row],[Edital]],tEditais[Edital],0)),"")</f>
        <v>MUNICIPIO DE MIRABELA</v>
      </c>
      <c r="H3509" t="str">
        <f>IFERROR(INDEX(tEditais[UF],MATCH(tItens[[#This Row],[Edital]],tEditais[Edital],0)),"")</f>
        <v>MG</v>
      </c>
      <c r="I3509" s="11">
        <f>IFERROR(INDEX(tEditais[Encerramento],MATCH(tItens[[#This Row],[Edital]],tEditais[Edital],0)),"")</f>
        <v>46310.353472222225</v>
      </c>
      <c r="J3509" t="str">
        <f>IFERROR(INDEX(tProdutos[Classe],MATCH(tItens[[#This Row],[Produto]],tProdutos[Produto],0)),"produto não cadastrado")</f>
        <v>FORA</v>
      </c>
      <c r="K3509" s="12">
        <f>tItens[[#This Row],[Qtd]]*tItens[[#This Row],[Vlr unit]]</f>
        <v>804</v>
      </c>
      <c r="L3509" s="6">
        <f>IFERROR(IF(INDEX(tProdutos[Desconto homologado],MATCH(tItens[[#This Row],[Produto]],tProdutos[Produto],0))="",DescontoPadrao,INDEX(tProdutos[Desconto homologado],MATCH(tItens[[#This Row],[Produto]],tProdutos[Produto],0))),DescontoPadrao)</f>
        <v>0.27353256199762999</v>
      </c>
      <c r="M3509" s="12">
        <f>tItens[[#This Row],[Valor]]*(1-tItens[[#This Row],[Desconto]])</f>
        <v>584.07982015390553</v>
      </c>
      <c r="N3509" t="str">
        <f>IFERROR(INDEX(tProdutos[Foco],MATCH(tItens[[#This Row],[Produto]],tProdutos[Produto],0)),"Não")</f>
        <v>Não</v>
      </c>
      <c r="O3509" t="str">
        <f>IFERROR(INDEX(tEditais[SRP],MATCH(tItens[[#This Row],[Edital]],tEditais[Edital],0)),"Não")</f>
        <v>Sim</v>
      </c>
      <c r="P3509" s="4">
        <f>IF(COUNTIFS(INDEX(tItens[Edital],1):tItens[[#This Row],[Edital]],tItens[[#This Row],[Edital]],INDEX(tItens[Produto],1):tItens[[#This Row],[Produto]],tItens[[#This Row],[Produto]])=1,1,0)</f>
        <v>1</v>
      </c>
    </row>
    <row r="3510" spans="1:16" x14ac:dyDescent="0.25">
      <c r="A3510" t="s">
        <v>1494</v>
      </c>
      <c r="B3510">
        <v>25</v>
      </c>
      <c r="C3510" t="s">
        <v>6393</v>
      </c>
      <c r="D3510" t="s">
        <v>287</v>
      </c>
      <c r="E3510" s="13">
        <v>600</v>
      </c>
      <c r="F3510" s="12">
        <v>1.85</v>
      </c>
      <c r="G3510" t="str">
        <f>IFERROR(INDEX(tEditais[Órgão],MATCH(tItens[[#This Row],[Edital]],tEditais[Edital],0)),"")</f>
        <v>MUNICIPIO DE MIRABELA</v>
      </c>
      <c r="H3510" t="str">
        <f>IFERROR(INDEX(tEditais[UF],MATCH(tItens[[#This Row],[Edital]],tEditais[Edital],0)),"")</f>
        <v>MG</v>
      </c>
      <c r="I3510" s="11">
        <f>IFERROR(INDEX(tEditais[Encerramento],MATCH(tItens[[#This Row],[Edital]],tEditais[Edital],0)),"")</f>
        <v>46310.353472222225</v>
      </c>
      <c r="J3510" t="str">
        <f>IFERROR(INDEX(tProdutos[Classe],MATCH(tItens[[#This Row],[Produto]],tProdutos[Produto],0)),"produto não cadastrado")</f>
        <v>FORA</v>
      </c>
      <c r="K3510" s="12">
        <f>tItens[[#This Row],[Qtd]]*tItens[[#This Row],[Vlr unit]]</f>
        <v>1110</v>
      </c>
      <c r="L3510" s="6">
        <f>IFERROR(IF(INDEX(tProdutos[Desconto homologado],MATCH(tItens[[#This Row],[Produto]],tProdutos[Produto],0))="",DescontoPadrao,INDEX(tProdutos[Desconto homologado],MATCH(tItens[[#This Row],[Produto]],tProdutos[Produto],0))),DescontoPadrao)</f>
        <v>0.46344491178876002</v>
      </c>
      <c r="M3510" s="12">
        <f>tItens[[#This Row],[Valor]]*(1-tItens[[#This Row],[Desconto]])</f>
        <v>595.57614791447634</v>
      </c>
      <c r="N3510" t="str">
        <f>IFERROR(INDEX(tProdutos[Foco],MATCH(tItens[[#This Row],[Produto]],tProdutos[Produto],0)),"Não")</f>
        <v>Não</v>
      </c>
      <c r="O3510" t="str">
        <f>IFERROR(INDEX(tEditais[SRP],MATCH(tItens[[#This Row],[Edital]],tEditais[Edital],0)),"Não")</f>
        <v>Sim</v>
      </c>
      <c r="P3510" s="4">
        <f>IF(COUNTIFS(INDEX(tItens[Edital],1):tItens[[#This Row],[Edital]],tItens[[#This Row],[Edital]],INDEX(tItens[Produto],1):tItens[[#This Row],[Produto]],tItens[[#This Row],[Produto]])=1,1,0)</f>
        <v>1</v>
      </c>
    </row>
    <row r="3511" spans="1:16" x14ac:dyDescent="0.25">
      <c r="A3511" t="s">
        <v>1494</v>
      </c>
      <c r="B3511">
        <v>52</v>
      </c>
      <c r="C3511" t="s">
        <v>6394</v>
      </c>
      <c r="D3511" t="s">
        <v>90</v>
      </c>
      <c r="E3511" s="13">
        <v>200</v>
      </c>
      <c r="F3511" s="12">
        <v>8.1</v>
      </c>
      <c r="G3511" t="str">
        <f>IFERROR(INDEX(tEditais[Órgão],MATCH(tItens[[#This Row],[Edital]],tEditais[Edital],0)),"")</f>
        <v>MUNICIPIO DE MIRABELA</v>
      </c>
      <c r="H3511" t="str">
        <f>IFERROR(INDEX(tEditais[UF],MATCH(tItens[[#This Row],[Edital]],tEditais[Edital],0)),"")</f>
        <v>MG</v>
      </c>
      <c r="I3511" s="11">
        <f>IFERROR(INDEX(tEditais[Encerramento],MATCH(tItens[[#This Row],[Edital]],tEditais[Edital],0)),"")</f>
        <v>46310.353472222225</v>
      </c>
      <c r="J3511" t="str">
        <f>IFERROR(INDEX(tProdutos[Classe],MATCH(tItens[[#This Row],[Produto]],tProdutos[Produto],0)),"produto não cadastrado")</f>
        <v>DISPUTADO</v>
      </c>
      <c r="K3511" s="12">
        <f>tItens[[#This Row],[Qtd]]*tItens[[#This Row],[Vlr unit]]</f>
        <v>1620</v>
      </c>
      <c r="L3511" s="6">
        <f>IFERROR(IF(INDEX(tProdutos[Desconto homologado],MATCH(tItens[[#This Row],[Produto]],tProdutos[Produto],0))="",DescontoPadrao,INDEX(tProdutos[Desconto homologado],MATCH(tItens[[#This Row],[Produto]],tProdutos[Produto],0))),DescontoPadrao)</f>
        <v>0.25393823957010597</v>
      </c>
      <c r="M3511" s="12">
        <f>tItens[[#This Row],[Valor]]*(1-tItens[[#This Row],[Desconto]])</f>
        <v>1208.6200518964283</v>
      </c>
      <c r="N3511" t="str">
        <f>IFERROR(INDEX(tProdutos[Foco],MATCH(tItens[[#This Row],[Produto]],tProdutos[Produto],0)),"Não")</f>
        <v>Não</v>
      </c>
      <c r="O3511" t="str">
        <f>IFERROR(INDEX(tEditais[SRP],MATCH(tItens[[#This Row],[Edital]],tEditais[Edital],0)),"Não")</f>
        <v>Sim</v>
      </c>
      <c r="P3511" s="4">
        <f>IF(COUNTIFS(INDEX(tItens[Edital],1):tItens[[#This Row],[Edital]],tItens[[#This Row],[Edital]],INDEX(tItens[Produto],1):tItens[[#This Row],[Produto]],tItens[[#This Row],[Produto]])=1,1,0)</f>
        <v>1</v>
      </c>
    </row>
    <row r="3512" spans="1:16" x14ac:dyDescent="0.25">
      <c r="A3512" t="s">
        <v>1494</v>
      </c>
      <c r="B3512">
        <v>55</v>
      </c>
      <c r="C3512" t="s">
        <v>6395</v>
      </c>
      <c r="D3512" t="s">
        <v>461</v>
      </c>
      <c r="E3512" s="13">
        <v>10</v>
      </c>
      <c r="F3512" s="12">
        <v>113</v>
      </c>
      <c r="G3512" t="str">
        <f>IFERROR(INDEX(tEditais[Órgão],MATCH(tItens[[#This Row],[Edital]],tEditais[Edital],0)),"")</f>
        <v>MUNICIPIO DE MIRABELA</v>
      </c>
      <c r="H3512" t="str">
        <f>IFERROR(INDEX(tEditais[UF],MATCH(tItens[[#This Row],[Edital]],tEditais[Edital],0)),"")</f>
        <v>MG</v>
      </c>
      <c r="I3512" s="11">
        <f>IFERROR(INDEX(tEditais[Encerramento],MATCH(tItens[[#This Row],[Edital]],tEditais[Edital],0)),"")</f>
        <v>46310.353472222225</v>
      </c>
      <c r="J3512" t="str">
        <f>IFERROR(INDEX(tProdutos[Classe],MATCH(tItens[[#This Row],[Produto]],tProdutos[Produto],0)),"produto não cadastrado")</f>
        <v>FILA REBASE</v>
      </c>
      <c r="K3512" s="12">
        <f>tItens[[#This Row],[Qtd]]*tItens[[#This Row],[Vlr unit]]</f>
        <v>1130</v>
      </c>
      <c r="L3512" s="6">
        <f>IFERROR(IF(INDEX(tProdutos[Desconto homologado],MATCH(tItens[[#This Row],[Produto]],tProdutos[Produto],0))="",DescontoPadrao,INDEX(tProdutos[Desconto homologado],MATCH(tItens[[#This Row],[Produto]],tProdutos[Produto],0))),DescontoPadrao)</f>
        <v>0.44096385542168698</v>
      </c>
      <c r="M3512" s="12">
        <f>tItens[[#This Row],[Valor]]*(1-tItens[[#This Row],[Desconto]])</f>
        <v>631.71084337349362</v>
      </c>
      <c r="N3512" t="str">
        <f>IFERROR(INDEX(tProdutos[Foco],MATCH(tItens[[#This Row],[Produto]],tProdutos[Produto],0)),"Não")</f>
        <v>Não</v>
      </c>
      <c r="O3512" t="str">
        <f>IFERROR(INDEX(tEditais[SRP],MATCH(tItens[[#This Row],[Edital]],tEditais[Edital],0)),"Não")</f>
        <v>Sim</v>
      </c>
      <c r="P3512" s="4">
        <f>IF(COUNTIFS(INDEX(tItens[Edital],1):tItens[[#This Row],[Edital]],tItens[[#This Row],[Edital]],INDEX(tItens[Produto],1):tItens[[#This Row],[Produto]],tItens[[#This Row],[Produto]])=1,1,0)</f>
        <v>1</v>
      </c>
    </row>
    <row r="3513" spans="1:16" x14ac:dyDescent="0.25">
      <c r="A3513" t="s">
        <v>1494</v>
      </c>
      <c r="B3513">
        <v>56</v>
      </c>
      <c r="C3513" t="s">
        <v>6396</v>
      </c>
      <c r="D3513" t="s">
        <v>461</v>
      </c>
      <c r="E3513" s="13">
        <v>10</v>
      </c>
      <c r="F3513" s="12">
        <v>263.13</v>
      </c>
      <c r="G3513" t="str">
        <f>IFERROR(INDEX(tEditais[Órgão],MATCH(tItens[[#This Row],[Edital]],tEditais[Edital],0)),"")</f>
        <v>MUNICIPIO DE MIRABELA</v>
      </c>
      <c r="H3513" t="str">
        <f>IFERROR(INDEX(tEditais[UF],MATCH(tItens[[#This Row],[Edital]],tEditais[Edital],0)),"")</f>
        <v>MG</v>
      </c>
      <c r="I3513" s="11">
        <f>IFERROR(INDEX(tEditais[Encerramento],MATCH(tItens[[#This Row],[Edital]],tEditais[Edital],0)),"")</f>
        <v>46310.353472222225</v>
      </c>
      <c r="J3513" t="str">
        <f>IFERROR(INDEX(tProdutos[Classe],MATCH(tItens[[#This Row],[Produto]],tProdutos[Produto],0)),"produto não cadastrado")</f>
        <v>FILA REBASE</v>
      </c>
      <c r="K3513" s="12">
        <f>tItens[[#This Row],[Qtd]]*tItens[[#This Row],[Vlr unit]]</f>
        <v>2631.3</v>
      </c>
      <c r="L3513" s="6">
        <f>IFERROR(IF(INDEX(tProdutos[Desconto homologado],MATCH(tItens[[#This Row],[Produto]],tProdutos[Produto],0))="",DescontoPadrao,INDEX(tProdutos[Desconto homologado],MATCH(tItens[[#This Row],[Produto]],tProdutos[Produto],0))),DescontoPadrao)</f>
        <v>0.44096385542168698</v>
      </c>
      <c r="M3513" s="12">
        <f>tItens[[#This Row],[Valor]]*(1-tItens[[#This Row],[Desconto]])</f>
        <v>1470.9918072289149</v>
      </c>
      <c r="N3513" t="str">
        <f>IFERROR(INDEX(tProdutos[Foco],MATCH(tItens[[#This Row],[Produto]],tProdutos[Produto],0)),"Não")</f>
        <v>Não</v>
      </c>
      <c r="O3513" t="str">
        <f>IFERROR(INDEX(tEditais[SRP],MATCH(tItens[[#This Row],[Edital]],tEditais[Edital],0)),"Não")</f>
        <v>Sim</v>
      </c>
      <c r="P3513" s="4">
        <f>IF(COUNTIFS(INDEX(tItens[Edital],1):tItens[[#This Row],[Edital]],tItens[[#This Row],[Edital]],INDEX(tItens[Produto],1):tItens[[#This Row],[Produto]],tItens[[#This Row],[Produto]])=1,1,0)</f>
        <v>0</v>
      </c>
    </row>
    <row r="3514" spans="1:16" x14ac:dyDescent="0.25">
      <c r="A3514" t="s">
        <v>1494</v>
      </c>
      <c r="B3514">
        <v>57</v>
      </c>
      <c r="C3514" t="s">
        <v>6397</v>
      </c>
      <c r="D3514" t="s">
        <v>142</v>
      </c>
      <c r="E3514" s="13">
        <v>200</v>
      </c>
      <c r="F3514" s="12">
        <v>4.2699999999999996</v>
      </c>
      <c r="G3514" t="str">
        <f>IFERROR(INDEX(tEditais[Órgão],MATCH(tItens[[#This Row],[Edital]],tEditais[Edital],0)),"")</f>
        <v>MUNICIPIO DE MIRABELA</v>
      </c>
      <c r="H3514" t="str">
        <f>IFERROR(INDEX(tEditais[UF],MATCH(tItens[[#This Row],[Edital]],tEditais[Edital],0)),"")</f>
        <v>MG</v>
      </c>
      <c r="I3514" s="11">
        <f>IFERROR(INDEX(tEditais[Encerramento],MATCH(tItens[[#This Row],[Edital]],tEditais[Edital],0)),"")</f>
        <v>46310.353472222225</v>
      </c>
      <c r="J3514" t="str">
        <f>IFERROR(INDEX(tProdutos[Classe],MATCH(tItens[[#This Row],[Produto]],tProdutos[Produto],0)),"produto não cadastrado")</f>
        <v>DISPUTADO</v>
      </c>
      <c r="K3514" s="12">
        <f>tItens[[#This Row],[Qtd]]*tItens[[#This Row],[Vlr unit]]</f>
        <v>853.99999999999989</v>
      </c>
      <c r="L3514" s="6">
        <f>IFERROR(IF(INDEX(tProdutos[Desconto homologado],MATCH(tItens[[#This Row],[Produto]],tProdutos[Produto],0))="",DescontoPadrao,INDEX(tProdutos[Desconto homologado],MATCH(tItens[[#This Row],[Produto]],tProdutos[Produto],0))),DescontoPadrao)</f>
        <v>0.37093619495691699</v>
      </c>
      <c r="M3514" s="12">
        <f>tItens[[#This Row],[Valor]]*(1-tItens[[#This Row],[Desconto]])</f>
        <v>537.22048950679277</v>
      </c>
      <c r="N3514" t="str">
        <f>IFERROR(INDEX(tProdutos[Foco],MATCH(tItens[[#This Row],[Produto]],tProdutos[Produto],0)),"Não")</f>
        <v>Não</v>
      </c>
      <c r="O3514" t="str">
        <f>IFERROR(INDEX(tEditais[SRP],MATCH(tItens[[#This Row],[Edital]],tEditais[Edital],0)),"Não")</f>
        <v>Sim</v>
      </c>
      <c r="P3514" s="4">
        <f>IF(COUNTIFS(INDEX(tItens[Edital],1):tItens[[#This Row],[Edital]],tItens[[#This Row],[Edital]],INDEX(tItens[Produto],1):tItens[[#This Row],[Produto]],tItens[[#This Row],[Produto]])=1,1,0)</f>
        <v>1</v>
      </c>
    </row>
    <row r="3515" spans="1:16" x14ac:dyDescent="0.25">
      <c r="A3515" t="s">
        <v>1494</v>
      </c>
      <c r="B3515">
        <v>66</v>
      </c>
      <c r="C3515" t="s">
        <v>6398</v>
      </c>
      <c r="D3515" t="s">
        <v>385</v>
      </c>
      <c r="E3515" s="13">
        <v>100</v>
      </c>
      <c r="F3515" s="12">
        <v>13.44</v>
      </c>
      <c r="G3515" t="str">
        <f>IFERROR(INDEX(tEditais[Órgão],MATCH(tItens[[#This Row],[Edital]],tEditais[Edital],0)),"")</f>
        <v>MUNICIPIO DE MIRABELA</v>
      </c>
      <c r="H3515" t="str">
        <f>IFERROR(INDEX(tEditais[UF],MATCH(tItens[[#This Row],[Edital]],tEditais[Edital],0)),"")</f>
        <v>MG</v>
      </c>
      <c r="I3515" s="11">
        <f>IFERROR(INDEX(tEditais[Encerramento],MATCH(tItens[[#This Row],[Edital]],tEditais[Edital],0)),"")</f>
        <v>46310.353472222225</v>
      </c>
      <c r="J3515" t="str">
        <f>IFERROR(INDEX(tProdutos[Classe],MATCH(tItens[[#This Row],[Produto]],tProdutos[Produto],0)),"produto não cadastrado")</f>
        <v>FORA</v>
      </c>
      <c r="K3515" s="12">
        <f>tItens[[#This Row],[Qtd]]*tItens[[#This Row],[Vlr unit]]</f>
        <v>1344</v>
      </c>
      <c r="L3515" s="6">
        <f>IFERROR(IF(INDEX(tProdutos[Desconto homologado],MATCH(tItens[[#This Row],[Produto]],tProdutos[Produto],0))="",DescontoPadrao,INDEX(tProdutos[Desconto homologado],MATCH(tItens[[#This Row],[Produto]],tProdutos[Produto],0))),DescontoPadrao)</f>
        <v>0.46969696969697</v>
      </c>
      <c r="M3515" s="12">
        <f>tItens[[#This Row],[Valor]]*(1-tItens[[#This Row],[Desconto]])</f>
        <v>712.72727272727241</v>
      </c>
      <c r="N3515" t="str">
        <f>IFERROR(INDEX(tProdutos[Foco],MATCH(tItens[[#This Row],[Produto]],tProdutos[Produto],0)),"Não")</f>
        <v>Não</v>
      </c>
      <c r="O3515" t="str">
        <f>IFERROR(INDEX(tEditais[SRP],MATCH(tItens[[#This Row],[Edital]],tEditais[Edital],0)),"Não")</f>
        <v>Sim</v>
      </c>
      <c r="P3515" s="4">
        <f>IF(COUNTIFS(INDEX(tItens[Edital],1):tItens[[#This Row],[Edital]],tItens[[#This Row],[Edital]],INDEX(tItens[Produto],1):tItens[[#This Row],[Produto]],tItens[[#This Row],[Produto]])=1,1,0)</f>
        <v>1</v>
      </c>
    </row>
    <row r="3516" spans="1:16" x14ac:dyDescent="0.25">
      <c r="A3516" t="s">
        <v>1494</v>
      </c>
      <c r="B3516">
        <v>78</v>
      </c>
      <c r="C3516" t="s">
        <v>6399</v>
      </c>
      <c r="D3516" t="s">
        <v>461</v>
      </c>
      <c r="E3516" s="13">
        <v>20</v>
      </c>
      <c r="F3516" s="12">
        <v>3.15</v>
      </c>
      <c r="G3516" t="str">
        <f>IFERROR(INDEX(tEditais[Órgão],MATCH(tItens[[#This Row],[Edital]],tEditais[Edital],0)),"")</f>
        <v>MUNICIPIO DE MIRABELA</v>
      </c>
      <c r="H3516" t="str">
        <f>IFERROR(INDEX(tEditais[UF],MATCH(tItens[[#This Row],[Edital]],tEditais[Edital],0)),"")</f>
        <v>MG</v>
      </c>
      <c r="I3516" s="11">
        <f>IFERROR(INDEX(tEditais[Encerramento],MATCH(tItens[[#This Row],[Edital]],tEditais[Edital],0)),"")</f>
        <v>46310.353472222225</v>
      </c>
      <c r="J3516" t="str">
        <f>IFERROR(INDEX(tProdutos[Classe],MATCH(tItens[[#This Row],[Produto]],tProdutos[Produto],0)),"produto não cadastrado")</f>
        <v>FILA REBASE</v>
      </c>
      <c r="K3516" s="12">
        <f>tItens[[#This Row],[Qtd]]*tItens[[#This Row],[Vlr unit]]</f>
        <v>63</v>
      </c>
      <c r="L3516" s="6">
        <f>IFERROR(IF(INDEX(tProdutos[Desconto homologado],MATCH(tItens[[#This Row],[Produto]],tProdutos[Produto],0))="",DescontoPadrao,INDEX(tProdutos[Desconto homologado],MATCH(tItens[[#This Row],[Produto]],tProdutos[Produto],0))),DescontoPadrao)</f>
        <v>0.44096385542168698</v>
      </c>
      <c r="M3516" s="12">
        <f>tItens[[#This Row],[Valor]]*(1-tItens[[#This Row],[Desconto]])</f>
        <v>35.219277108433715</v>
      </c>
      <c r="N3516" t="str">
        <f>IFERROR(INDEX(tProdutos[Foco],MATCH(tItens[[#This Row],[Produto]],tProdutos[Produto],0)),"Não")</f>
        <v>Não</v>
      </c>
      <c r="O3516" t="str">
        <f>IFERROR(INDEX(tEditais[SRP],MATCH(tItens[[#This Row],[Edital]],tEditais[Edital],0)),"Não")</f>
        <v>Sim</v>
      </c>
      <c r="P3516" s="4">
        <f>IF(COUNTIFS(INDEX(tItens[Edital],1):tItens[[#This Row],[Edital]],tItens[[#This Row],[Edital]],INDEX(tItens[Produto],1):tItens[[#This Row],[Produto]],tItens[[#This Row],[Produto]])=1,1,0)</f>
        <v>0</v>
      </c>
    </row>
    <row r="3517" spans="1:16" x14ac:dyDescent="0.25">
      <c r="A3517" t="s">
        <v>1494</v>
      </c>
      <c r="B3517">
        <v>100</v>
      </c>
      <c r="C3517" t="s">
        <v>6400</v>
      </c>
      <c r="D3517" t="s">
        <v>120</v>
      </c>
      <c r="E3517" s="13">
        <v>50</v>
      </c>
      <c r="F3517" s="12">
        <v>0.6</v>
      </c>
      <c r="G3517" t="str">
        <f>IFERROR(INDEX(tEditais[Órgão],MATCH(tItens[[#This Row],[Edital]],tEditais[Edital],0)),"")</f>
        <v>MUNICIPIO DE MIRABELA</v>
      </c>
      <c r="H3517" t="str">
        <f>IFERROR(INDEX(tEditais[UF],MATCH(tItens[[#This Row],[Edital]],tEditais[Edital],0)),"")</f>
        <v>MG</v>
      </c>
      <c r="I3517" s="11">
        <f>IFERROR(INDEX(tEditais[Encerramento],MATCH(tItens[[#This Row],[Edital]],tEditais[Edital],0)),"")</f>
        <v>46310.353472222225</v>
      </c>
      <c r="J3517" t="str">
        <f>IFERROR(INDEX(tProdutos[Classe],MATCH(tItens[[#This Row],[Produto]],tProdutos[Produto],0)),"produto não cadastrado")</f>
        <v>DISPUTADO</v>
      </c>
      <c r="K3517" s="12">
        <f>tItens[[#This Row],[Qtd]]*tItens[[#This Row],[Vlr unit]]</f>
        <v>30</v>
      </c>
      <c r="L3517" s="6">
        <f>IFERROR(IF(INDEX(tProdutos[Desconto homologado],MATCH(tItens[[#This Row],[Produto]],tProdutos[Produto],0))="",DescontoPadrao,INDEX(tProdutos[Desconto homologado],MATCH(tItens[[#This Row],[Produto]],tProdutos[Produto],0))),DescontoPadrao)</f>
        <v>0.40909090909090901</v>
      </c>
      <c r="M3517" s="12">
        <f>tItens[[#This Row],[Valor]]*(1-tItens[[#This Row],[Desconto]])</f>
        <v>17.72727272727273</v>
      </c>
      <c r="N3517" t="str">
        <f>IFERROR(INDEX(tProdutos[Foco],MATCH(tItens[[#This Row],[Produto]],tProdutos[Produto],0)),"Não")</f>
        <v>Não</v>
      </c>
      <c r="O3517" t="str">
        <f>IFERROR(INDEX(tEditais[SRP],MATCH(tItens[[#This Row],[Edital]],tEditais[Edital],0)),"Não")</f>
        <v>Sim</v>
      </c>
      <c r="P3517" s="4">
        <f>IF(COUNTIFS(INDEX(tItens[Edital],1):tItens[[#This Row],[Edital]],tItens[[#This Row],[Edital]],INDEX(tItens[Produto],1):tItens[[#This Row],[Produto]],tItens[[#This Row],[Produto]])=1,1,0)</f>
        <v>1</v>
      </c>
    </row>
    <row r="3518" spans="1:16" x14ac:dyDescent="0.25">
      <c r="A3518" t="s">
        <v>1494</v>
      </c>
      <c r="B3518">
        <v>101</v>
      </c>
      <c r="C3518" t="s">
        <v>6401</v>
      </c>
      <c r="D3518" t="s">
        <v>120</v>
      </c>
      <c r="E3518" s="13">
        <v>10</v>
      </c>
      <c r="F3518" s="12">
        <v>3.48</v>
      </c>
      <c r="G3518" t="str">
        <f>IFERROR(INDEX(tEditais[Órgão],MATCH(tItens[[#This Row],[Edital]],tEditais[Edital],0)),"")</f>
        <v>MUNICIPIO DE MIRABELA</v>
      </c>
      <c r="H3518" t="str">
        <f>IFERROR(INDEX(tEditais[UF],MATCH(tItens[[#This Row],[Edital]],tEditais[Edital],0)),"")</f>
        <v>MG</v>
      </c>
      <c r="I3518" s="11">
        <f>IFERROR(INDEX(tEditais[Encerramento],MATCH(tItens[[#This Row],[Edital]],tEditais[Edital],0)),"")</f>
        <v>46310.353472222225</v>
      </c>
      <c r="J3518" t="str">
        <f>IFERROR(INDEX(tProdutos[Classe],MATCH(tItens[[#This Row],[Produto]],tProdutos[Produto],0)),"produto não cadastrado")</f>
        <v>DISPUTADO</v>
      </c>
      <c r="K3518" s="12">
        <f>tItens[[#This Row],[Qtd]]*tItens[[#This Row],[Vlr unit]]</f>
        <v>34.799999999999997</v>
      </c>
      <c r="L3518" s="6">
        <f>IFERROR(IF(INDEX(tProdutos[Desconto homologado],MATCH(tItens[[#This Row],[Produto]],tProdutos[Produto],0))="",DescontoPadrao,INDEX(tProdutos[Desconto homologado],MATCH(tItens[[#This Row],[Produto]],tProdutos[Produto],0))),DescontoPadrao)</f>
        <v>0.40909090909090901</v>
      </c>
      <c r="M3518" s="12">
        <f>tItens[[#This Row],[Valor]]*(1-tItens[[#This Row],[Desconto]])</f>
        <v>20.563636363636366</v>
      </c>
      <c r="N3518" t="str">
        <f>IFERROR(INDEX(tProdutos[Foco],MATCH(tItens[[#This Row],[Produto]],tProdutos[Produto],0)),"Não")</f>
        <v>Não</v>
      </c>
      <c r="O3518" t="str">
        <f>IFERROR(INDEX(tEditais[SRP],MATCH(tItens[[#This Row],[Edital]],tEditais[Edital],0)),"Não")</f>
        <v>Sim</v>
      </c>
      <c r="P3518" s="4">
        <f>IF(COUNTIFS(INDEX(tItens[Edital],1):tItens[[#This Row],[Edital]],tItens[[#This Row],[Edital]],INDEX(tItens[Produto],1):tItens[[#This Row],[Produto]],tItens[[#This Row],[Produto]])=1,1,0)</f>
        <v>0</v>
      </c>
    </row>
    <row r="3519" spans="1:16" x14ac:dyDescent="0.25">
      <c r="A3519" t="s">
        <v>1499</v>
      </c>
      <c r="B3519">
        <v>3</v>
      </c>
      <c r="C3519" t="s">
        <v>6402</v>
      </c>
      <c r="D3519" t="s">
        <v>389</v>
      </c>
      <c r="E3519" s="13">
        <v>252</v>
      </c>
      <c r="F3519" s="12">
        <v>46.13</v>
      </c>
      <c r="G3519" t="str">
        <f>IFERROR(INDEX(tEditais[Órgão],MATCH(tItens[[#This Row],[Edital]],tEditais[Edital],0)),"")</f>
        <v>MUNICIPIO DE POMPEU</v>
      </c>
      <c r="H3519" t="str">
        <f>IFERROR(INDEX(tEditais[UF],MATCH(tItens[[#This Row],[Edital]],tEditais[Edital],0)),"")</f>
        <v>MG</v>
      </c>
      <c r="I3519" s="11">
        <f>IFERROR(INDEX(tEditais[Encerramento],MATCH(tItens[[#This Row],[Edital]],tEditais[Edital],0)),"")</f>
        <v>46310.354166666664</v>
      </c>
      <c r="J3519" t="str">
        <f>IFERROR(INDEX(tProdutos[Classe],MATCH(tItens[[#This Row],[Produto]],tProdutos[Produto],0)),"produto não cadastrado")</f>
        <v>FORA</v>
      </c>
      <c r="K3519" s="12">
        <f>tItens[[#This Row],[Qtd]]*tItens[[#This Row],[Vlr unit]]</f>
        <v>11624.76</v>
      </c>
      <c r="L3519" s="6">
        <f>IFERROR(IF(INDEX(tProdutos[Desconto homologado],MATCH(tItens[[#This Row],[Produto]],tProdutos[Produto],0))="",DescontoPadrao,INDEX(tProdutos[Desconto homologado],MATCH(tItens[[#This Row],[Produto]],tProdutos[Produto],0))),DescontoPadrao)</f>
        <v>0.39163140573577798</v>
      </c>
      <c r="M3519" s="12">
        <f>tItens[[#This Row],[Valor]]*(1-tItens[[#This Row],[Desconto]])</f>
        <v>7072.1388998589582</v>
      </c>
      <c r="N3519" t="str">
        <f>IFERROR(INDEX(tProdutos[Foco],MATCH(tItens[[#This Row],[Produto]],tProdutos[Produto],0)),"Não")</f>
        <v>Não</v>
      </c>
      <c r="O3519" t="str">
        <f>IFERROR(INDEX(tEditais[SRP],MATCH(tItens[[#This Row],[Edital]],tEditais[Edital],0)),"Não")</f>
        <v>Sim</v>
      </c>
      <c r="P3519" s="4">
        <f>IF(COUNTIFS(INDEX(tItens[Edital],1):tItens[[#This Row],[Edital]],tItens[[#This Row],[Edital]],INDEX(tItens[Produto],1):tItens[[#This Row],[Produto]],tItens[[#This Row],[Produto]])=1,1,0)</f>
        <v>1</v>
      </c>
    </row>
    <row r="3520" spans="1:16" x14ac:dyDescent="0.25">
      <c r="A3520" t="s">
        <v>1499</v>
      </c>
      <c r="B3520">
        <v>4</v>
      </c>
      <c r="C3520" t="s">
        <v>6403</v>
      </c>
      <c r="D3520" t="s">
        <v>315</v>
      </c>
      <c r="E3520" s="13">
        <v>1200</v>
      </c>
      <c r="F3520" s="12">
        <v>64.89</v>
      </c>
      <c r="G3520" t="str">
        <f>IFERROR(INDEX(tEditais[Órgão],MATCH(tItens[[#This Row],[Edital]],tEditais[Edital],0)),"")</f>
        <v>MUNICIPIO DE POMPEU</v>
      </c>
      <c r="H3520" t="str">
        <f>IFERROR(INDEX(tEditais[UF],MATCH(tItens[[#This Row],[Edital]],tEditais[Edital],0)),"")</f>
        <v>MG</v>
      </c>
      <c r="I3520" s="11">
        <f>IFERROR(INDEX(tEditais[Encerramento],MATCH(tItens[[#This Row],[Edital]],tEditais[Edital],0)),"")</f>
        <v>46310.354166666664</v>
      </c>
      <c r="J3520" t="str">
        <f>IFERROR(INDEX(tProdutos[Classe],MATCH(tItens[[#This Row],[Produto]],tProdutos[Produto],0)),"produto não cadastrado")</f>
        <v>FORA</v>
      </c>
      <c r="K3520" s="12">
        <f>tItens[[#This Row],[Qtd]]*tItens[[#This Row],[Vlr unit]]</f>
        <v>77868</v>
      </c>
      <c r="L3520" s="6">
        <f>IFERROR(IF(INDEX(tProdutos[Desconto homologado],MATCH(tItens[[#This Row],[Produto]],tProdutos[Produto],0))="",DescontoPadrao,INDEX(tProdutos[Desconto homologado],MATCH(tItens[[#This Row],[Produto]],tProdutos[Produto],0))),DescontoPadrao)</f>
        <v>0.38432036097010702</v>
      </c>
      <c r="M3520" s="12">
        <f>tItens[[#This Row],[Valor]]*(1-tItens[[#This Row],[Desconto]])</f>
        <v>47941.742131979707</v>
      </c>
      <c r="N3520" t="str">
        <f>IFERROR(INDEX(tProdutos[Foco],MATCH(tItens[[#This Row],[Produto]],tProdutos[Produto],0)),"Não")</f>
        <v>Não</v>
      </c>
      <c r="O3520" t="str">
        <f>IFERROR(INDEX(tEditais[SRP],MATCH(tItens[[#This Row],[Edital]],tEditais[Edital],0)),"Não")</f>
        <v>Sim</v>
      </c>
      <c r="P3520" s="4">
        <f>IF(COUNTIFS(INDEX(tItens[Edital],1):tItens[[#This Row],[Edital]],tItens[[#This Row],[Edital]],INDEX(tItens[Produto],1):tItens[[#This Row],[Produto]],tItens[[#This Row],[Produto]])=1,1,0)</f>
        <v>1</v>
      </c>
    </row>
    <row r="3521" spans="1:16" x14ac:dyDescent="0.25">
      <c r="A3521" t="s">
        <v>1499</v>
      </c>
      <c r="B3521">
        <v>5</v>
      </c>
      <c r="C3521" t="s">
        <v>6404</v>
      </c>
      <c r="D3521" t="s">
        <v>315</v>
      </c>
      <c r="E3521" s="13">
        <v>450</v>
      </c>
      <c r="F3521" s="12">
        <v>26.23</v>
      </c>
      <c r="G3521" t="str">
        <f>IFERROR(INDEX(tEditais[Órgão],MATCH(tItens[[#This Row],[Edital]],tEditais[Edital],0)),"")</f>
        <v>MUNICIPIO DE POMPEU</v>
      </c>
      <c r="H3521" t="str">
        <f>IFERROR(INDEX(tEditais[UF],MATCH(tItens[[#This Row],[Edital]],tEditais[Edital],0)),"")</f>
        <v>MG</v>
      </c>
      <c r="I3521" s="11">
        <f>IFERROR(INDEX(tEditais[Encerramento],MATCH(tItens[[#This Row],[Edital]],tEditais[Edital],0)),"")</f>
        <v>46310.354166666664</v>
      </c>
      <c r="J3521" t="str">
        <f>IFERROR(INDEX(tProdutos[Classe],MATCH(tItens[[#This Row],[Produto]],tProdutos[Produto],0)),"produto não cadastrado")</f>
        <v>FORA</v>
      </c>
      <c r="K3521" s="12">
        <f>tItens[[#This Row],[Qtd]]*tItens[[#This Row],[Vlr unit]]</f>
        <v>11803.5</v>
      </c>
      <c r="L3521" s="6">
        <f>IFERROR(IF(INDEX(tProdutos[Desconto homologado],MATCH(tItens[[#This Row],[Produto]],tProdutos[Produto],0))="",DescontoPadrao,INDEX(tProdutos[Desconto homologado],MATCH(tItens[[#This Row],[Produto]],tProdutos[Produto],0))),DescontoPadrao)</f>
        <v>0.38432036097010702</v>
      </c>
      <c r="M3521" s="12">
        <f>tItens[[#This Row],[Valor]]*(1-tItens[[#This Row],[Desconto]])</f>
        <v>7267.1746192893415</v>
      </c>
      <c r="N3521" t="str">
        <f>IFERROR(INDEX(tProdutos[Foco],MATCH(tItens[[#This Row],[Produto]],tProdutos[Produto],0)),"Não")</f>
        <v>Não</v>
      </c>
      <c r="O3521" t="str">
        <f>IFERROR(INDEX(tEditais[SRP],MATCH(tItens[[#This Row],[Edital]],tEditais[Edital],0)),"Não")</f>
        <v>Sim</v>
      </c>
      <c r="P3521" s="4">
        <f>IF(COUNTIFS(INDEX(tItens[Edital],1):tItens[[#This Row],[Edital]],tItens[[#This Row],[Edital]],INDEX(tItens[Produto],1):tItens[[#This Row],[Produto]],tItens[[#This Row],[Produto]])=1,1,0)</f>
        <v>0</v>
      </c>
    </row>
    <row r="3522" spans="1:16" x14ac:dyDescent="0.25">
      <c r="A3522" t="s">
        <v>1499</v>
      </c>
      <c r="B3522">
        <v>6</v>
      </c>
      <c r="C3522" t="s">
        <v>6405</v>
      </c>
      <c r="D3522" t="s">
        <v>315</v>
      </c>
      <c r="E3522" s="13">
        <v>300</v>
      </c>
      <c r="F3522" s="12">
        <v>11.6</v>
      </c>
      <c r="G3522" t="str">
        <f>IFERROR(INDEX(tEditais[Órgão],MATCH(tItens[[#This Row],[Edital]],tEditais[Edital],0)),"")</f>
        <v>MUNICIPIO DE POMPEU</v>
      </c>
      <c r="H3522" t="str">
        <f>IFERROR(INDEX(tEditais[UF],MATCH(tItens[[#This Row],[Edital]],tEditais[Edital],0)),"")</f>
        <v>MG</v>
      </c>
      <c r="I3522" s="11">
        <f>IFERROR(INDEX(tEditais[Encerramento],MATCH(tItens[[#This Row],[Edital]],tEditais[Edital],0)),"")</f>
        <v>46310.354166666664</v>
      </c>
      <c r="J3522" t="str">
        <f>IFERROR(INDEX(tProdutos[Classe],MATCH(tItens[[#This Row],[Produto]],tProdutos[Produto],0)),"produto não cadastrado")</f>
        <v>FORA</v>
      </c>
      <c r="K3522" s="12">
        <f>tItens[[#This Row],[Qtd]]*tItens[[#This Row],[Vlr unit]]</f>
        <v>3480</v>
      </c>
      <c r="L3522" s="6">
        <f>IFERROR(IF(INDEX(tProdutos[Desconto homologado],MATCH(tItens[[#This Row],[Produto]],tProdutos[Produto],0))="",DescontoPadrao,INDEX(tProdutos[Desconto homologado],MATCH(tItens[[#This Row],[Produto]],tProdutos[Produto],0))),DescontoPadrao)</f>
        <v>0.38432036097010702</v>
      </c>
      <c r="M3522" s="12">
        <f>tItens[[#This Row],[Valor]]*(1-tItens[[#This Row],[Desconto]])</f>
        <v>2142.5651438240275</v>
      </c>
      <c r="N3522" t="str">
        <f>IFERROR(INDEX(tProdutos[Foco],MATCH(tItens[[#This Row],[Produto]],tProdutos[Produto],0)),"Não")</f>
        <v>Não</v>
      </c>
      <c r="O3522" t="str">
        <f>IFERROR(INDEX(tEditais[SRP],MATCH(tItens[[#This Row],[Edital]],tEditais[Edital],0)),"Não")</f>
        <v>Sim</v>
      </c>
      <c r="P3522" s="4">
        <f>IF(COUNTIFS(INDEX(tItens[Edital],1):tItens[[#This Row],[Edital]],tItens[[#This Row],[Edital]],INDEX(tItens[Produto],1):tItens[[#This Row],[Produto]],tItens[[#This Row],[Produto]])=1,1,0)</f>
        <v>0</v>
      </c>
    </row>
    <row r="3523" spans="1:16" x14ac:dyDescent="0.25">
      <c r="A3523" t="s">
        <v>1499</v>
      </c>
      <c r="B3523">
        <v>19</v>
      </c>
      <c r="C3523" t="s">
        <v>6406</v>
      </c>
      <c r="D3523" t="s">
        <v>221</v>
      </c>
      <c r="E3523" s="13">
        <v>252</v>
      </c>
      <c r="F3523" s="12">
        <v>251.05</v>
      </c>
      <c r="G3523" t="str">
        <f>IFERROR(INDEX(tEditais[Órgão],MATCH(tItens[[#This Row],[Edital]],tEditais[Edital],0)),"")</f>
        <v>MUNICIPIO DE POMPEU</v>
      </c>
      <c r="H3523" t="str">
        <f>IFERROR(INDEX(tEditais[UF],MATCH(tItens[[#This Row],[Edital]],tEditais[Edital],0)),"")</f>
        <v>MG</v>
      </c>
      <c r="I3523" s="11">
        <f>IFERROR(INDEX(tEditais[Encerramento],MATCH(tItens[[#This Row],[Edital]],tEditais[Edital],0)),"")</f>
        <v>46310.354166666664</v>
      </c>
      <c r="J3523" t="str">
        <f>IFERROR(INDEX(tProdutos[Classe],MATCH(tItens[[#This Row],[Produto]],tProdutos[Produto],0)),"produto não cadastrado")</f>
        <v>FORA</v>
      </c>
      <c r="K3523" s="12">
        <f>tItens[[#This Row],[Qtd]]*tItens[[#This Row],[Vlr unit]]</f>
        <v>63264.600000000006</v>
      </c>
      <c r="L3523" s="6">
        <f>IFERROR(IF(INDEX(tProdutos[Desconto homologado],MATCH(tItens[[#This Row],[Produto]],tProdutos[Produto],0))="",DescontoPadrao,INDEX(tProdutos[Desconto homologado],MATCH(tItens[[#This Row],[Produto]],tProdutos[Produto],0))),DescontoPadrao)</f>
        <v>0.35408560311283999</v>
      </c>
      <c r="M3523" s="12">
        <f>tItens[[#This Row],[Valor]]*(1-tItens[[#This Row],[Desconto]])</f>
        <v>40863.515953307426</v>
      </c>
      <c r="N3523" t="str">
        <f>IFERROR(INDEX(tProdutos[Foco],MATCH(tItens[[#This Row],[Produto]],tProdutos[Produto],0)),"Não")</f>
        <v>Não</v>
      </c>
      <c r="O3523" t="str">
        <f>IFERROR(INDEX(tEditais[SRP],MATCH(tItens[[#This Row],[Edital]],tEditais[Edital],0)),"Não")</f>
        <v>Sim</v>
      </c>
      <c r="P3523" s="4">
        <f>IF(COUNTIFS(INDEX(tItens[Edital],1):tItens[[#This Row],[Edital]],tItens[[#This Row],[Edital]],INDEX(tItens[Produto],1):tItens[[#This Row],[Produto]],tItens[[#This Row],[Produto]])=1,1,0)</f>
        <v>1</v>
      </c>
    </row>
    <row r="3524" spans="1:16" x14ac:dyDescent="0.25">
      <c r="A3524" t="s">
        <v>1499</v>
      </c>
      <c r="B3524">
        <v>20</v>
      </c>
      <c r="C3524" t="s">
        <v>6407</v>
      </c>
      <c r="D3524" t="s">
        <v>221</v>
      </c>
      <c r="E3524" s="13">
        <v>120</v>
      </c>
      <c r="F3524" s="12">
        <v>212.96</v>
      </c>
      <c r="G3524" t="str">
        <f>IFERROR(INDEX(tEditais[Órgão],MATCH(tItens[[#This Row],[Edital]],tEditais[Edital],0)),"")</f>
        <v>MUNICIPIO DE POMPEU</v>
      </c>
      <c r="H3524" t="str">
        <f>IFERROR(INDEX(tEditais[UF],MATCH(tItens[[#This Row],[Edital]],tEditais[Edital],0)),"")</f>
        <v>MG</v>
      </c>
      <c r="I3524" s="11">
        <f>IFERROR(INDEX(tEditais[Encerramento],MATCH(tItens[[#This Row],[Edital]],tEditais[Edital],0)),"")</f>
        <v>46310.354166666664</v>
      </c>
      <c r="J3524" t="str">
        <f>IFERROR(INDEX(tProdutos[Classe],MATCH(tItens[[#This Row],[Produto]],tProdutos[Produto],0)),"produto não cadastrado")</f>
        <v>FORA</v>
      </c>
      <c r="K3524" s="12">
        <f>tItens[[#This Row],[Qtd]]*tItens[[#This Row],[Vlr unit]]</f>
        <v>25555.200000000001</v>
      </c>
      <c r="L3524" s="6">
        <f>IFERROR(IF(INDEX(tProdutos[Desconto homologado],MATCH(tItens[[#This Row],[Produto]],tProdutos[Produto],0))="",DescontoPadrao,INDEX(tProdutos[Desconto homologado],MATCH(tItens[[#This Row],[Produto]],tProdutos[Produto],0))),DescontoPadrao)</f>
        <v>0.35408560311283999</v>
      </c>
      <c r="M3524" s="12">
        <f>tItens[[#This Row],[Valor]]*(1-tItens[[#This Row],[Desconto]])</f>
        <v>16506.471595330753</v>
      </c>
      <c r="N3524" t="str">
        <f>IFERROR(INDEX(tProdutos[Foco],MATCH(tItens[[#This Row],[Produto]],tProdutos[Produto],0)),"Não")</f>
        <v>Não</v>
      </c>
      <c r="O3524" t="str">
        <f>IFERROR(INDEX(tEditais[SRP],MATCH(tItens[[#This Row],[Edital]],tEditais[Edital],0)),"Não")</f>
        <v>Sim</v>
      </c>
      <c r="P3524" s="4">
        <f>IF(COUNTIFS(INDEX(tItens[Edital],1):tItens[[#This Row],[Edital]],tItens[[#This Row],[Edital]],INDEX(tItens[Produto],1):tItens[[#This Row],[Produto]],tItens[[#This Row],[Produto]])=1,1,0)</f>
        <v>0</v>
      </c>
    </row>
    <row r="3525" spans="1:16" x14ac:dyDescent="0.25">
      <c r="A3525" t="s">
        <v>1499</v>
      </c>
      <c r="B3525">
        <v>21</v>
      </c>
      <c r="C3525" t="s">
        <v>6408</v>
      </c>
      <c r="D3525" t="s">
        <v>383</v>
      </c>
      <c r="E3525" s="13">
        <v>3000</v>
      </c>
      <c r="F3525" s="12">
        <v>0.84</v>
      </c>
      <c r="G3525" t="str">
        <f>IFERROR(INDEX(tEditais[Órgão],MATCH(tItens[[#This Row],[Edital]],tEditais[Edital],0)),"")</f>
        <v>MUNICIPIO DE POMPEU</v>
      </c>
      <c r="H3525" t="str">
        <f>IFERROR(INDEX(tEditais[UF],MATCH(tItens[[#This Row],[Edital]],tEditais[Edital],0)),"")</f>
        <v>MG</v>
      </c>
      <c r="I3525" s="11">
        <f>IFERROR(INDEX(tEditais[Encerramento],MATCH(tItens[[#This Row],[Edital]],tEditais[Edital],0)),"")</f>
        <v>46310.354166666664</v>
      </c>
      <c r="J3525" t="str">
        <f>IFERROR(INDEX(tProdutos[Classe],MATCH(tItens[[#This Row],[Produto]],tProdutos[Produto],0)),"produto não cadastrado")</f>
        <v>FORA</v>
      </c>
      <c r="K3525" s="12">
        <f>tItens[[#This Row],[Qtd]]*tItens[[#This Row],[Vlr unit]]</f>
        <v>2520</v>
      </c>
      <c r="L3525" s="6">
        <f>IFERROR(IF(INDEX(tProdutos[Desconto homologado],MATCH(tItens[[#This Row],[Produto]],tProdutos[Produto],0))="",DescontoPadrao,INDEX(tProdutos[Desconto homologado],MATCH(tItens[[#This Row],[Produto]],tProdutos[Produto],0))),DescontoPadrao)</f>
        <v>0.48749999999999999</v>
      </c>
      <c r="M3525" s="12">
        <f>tItens[[#This Row],[Valor]]*(1-tItens[[#This Row],[Desconto]])</f>
        <v>1291.5</v>
      </c>
      <c r="N3525" t="str">
        <f>IFERROR(INDEX(tProdutos[Foco],MATCH(tItens[[#This Row],[Produto]],tProdutos[Produto],0)),"Não")</f>
        <v>Não</v>
      </c>
      <c r="O3525" t="str">
        <f>IFERROR(INDEX(tEditais[SRP],MATCH(tItens[[#This Row],[Edital]],tEditais[Edital],0)),"Não")</f>
        <v>Sim</v>
      </c>
      <c r="P3525" s="4">
        <f>IF(COUNTIFS(INDEX(tItens[Edital],1):tItens[[#This Row],[Edital]],tItens[[#This Row],[Edital]],INDEX(tItens[Produto],1):tItens[[#This Row],[Produto]],tItens[[#This Row],[Produto]])=1,1,0)</f>
        <v>1</v>
      </c>
    </row>
    <row r="3526" spans="1:16" x14ac:dyDescent="0.25">
      <c r="A3526" t="s">
        <v>1499</v>
      </c>
      <c r="B3526">
        <v>22</v>
      </c>
      <c r="C3526" t="s">
        <v>6409</v>
      </c>
      <c r="D3526" t="s">
        <v>341</v>
      </c>
      <c r="E3526" s="13">
        <v>6000</v>
      </c>
      <c r="F3526" s="12">
        <v>23.18</v>
      </c>
      <c r="G3526" t="str">
        <f>IFERROR(INDEX(tEditais[Órgão],MATCH(tItens[[#This Row],[Edital]],tEditais[Edital],0)),"")</f>
        <v>MUNICIPIO DE POMPEU</v>
      </c>
      <c r="H3526" t="str">
        <f>IFERROR(INDEX(tEditais[UF],MATCH(tItens[[#This Row],[Edital]],tEditais[Edital],0)),"")</f>
        <v>MG</v>
      </c>
      <c r="I3526" s="11">
        <f>IFERROR(INDEX(tEditais[Encerramento],MATCH(tItens[[#This Row],[Edital]],tEditais[Edital],0)),"")</f>
        <v>46310.354166666664</v>
      </c>
      <c r="J3526" t="str">
        <f>IFERROR(INDEX(tProdutos[Classe],MATCH(tItens[[#This Row],[Produto]],tProdutos[Produto],0)),"produto não cadastrado")</f>
        <v>FORA</v>
      </c>
      <c r="K3526" s="12">
        <f>tItens[[#This Row],[Qtd]]*tItens[[#This Row],[Vlr unit]]</f>
        <v>139080</v>
      </c>
      <c r="L3526" s="6">
        <f>IFERROR(IF(INDEX(tProdutos[Desconto homologado],MATCH(tItens[[#This Row],[Produto]],tProdutos[Produto],0))="",DescontoPadrao,INDEX(tProdutos[Desconto homologado],MATCH(tItens[[#This Row],[Produto]],tProdutos[Produto],0))),DescontoPadrao)</f>
        <v>0.46918578497525898</v>
      </c>
      <c r="M3526" s="12">
        <f>tItens[[#This Row],[Valor]]*(1-tItens[[#This Row],[Desconto]])</f>
        <v>73825.641025640987</v>
      </c>
      <c r="N3526" t="str">
        <f>IFERROR(INDEX(tProdutos[Foco],MATCH(tItens[[#This Row],[Produto]],tProdutos[Produto],0)),"Não")</f>
        <v>Não</v>
      </c>
      <c r="O3526" t="str">
        <f>IFERROR(INDEX(tEditais[SRP],MATCH(tItens[[#This Row],[Edital]],tEditais[Edital],0)),"Não")</f>
        <v>Sim</v>
      </c>
      <c r="P3526" s="4">
        <f>IF(COUNTIFS(INDEX(tItens[Edital],1):tItens[[#This Row],[Edital]],tItens[[#This Row],[Edital]],INDEX(tItens[Produto],1):tItens[[#This Row],[Produto]],tItens[[#This Row],[Produto]])=1,1,0)</f>
        <v>1</v>
      </c>
    </row>
    <row r="3527" spans="1:16" x14ac:dyDescent="0.25">
      <c r="A3527" t="s">
        <v>1499</v>
      </c>
      <c r="B3527">
        <v>27</v>
      </c>
      <c r="C3527" t="s">
        <v>6410</v>
      </c>
      <c r="D3527" t="s">
        <v>100</v>
      </c>
      <c r="E3527" s="13">
        <v>80</v>
      </c>
      <c r="F3527" s="12">
        <v>48.2</v>
      </c>
      <c r="G3527" t="str">
        <f>IFERROR(INDEX(tEditais[Órgão],MATCH(tItens[[#This Row],[Edital]],tEditais[Edital],0)),"")</f>
        <v>MUNICIPIO DE POMPEU</v>
      </c>
      <c r="H3527" t="str">
        <f>IFERROR(INDEX(tEditais[UF],MATCH(tItens[[#This Row],[Edital]],tEditais[Edital],0)),"")</f>
        <v>MG</v>
      </c>
      <c r="I3527" s="11">
        <f>IFERROR(INDEX(tEditais[Encerramento],MATCH(tItens[[#This Row],[Edital]],tEditais[Edital],0)),"")</f>
        <v>46310.354166666664</v>
      </c>
      <c r="J3527" t="str">
        <f>IFERROR(INDEX(tProdutos[Classe],MATCH(tItens[[#This Row],[Produto]],tProdutos[Produto],0)),"produto não cadastrado")</f>
        <v>NÚCLEO</v>
      </c>
      <c r="K3527" s="12">
        <f>tItens[[#This Row],[Qtd]]*tItens[[#This Row],[Vlr unit]]</f>
        <v>3856</v>
      </c>
      <c r="L3527" s="6">
        <f>IFERROR(IF(INDEX(tProdutos[Desconto homologado],MATCH(tItens[[#This Row],[Produto]],tProdutos[Produto],0))="",DescontoPadrao,INDEX(tProdutos[Desconto homologado],MATCH(tItens[[#This Row],[Produto]],tProdutos[Produto],0))),DescontoPadrao)</f>
        <v>0.24</v>
      </c>
      <c r="M3527" s="12">
        <f>tItens[[#This Row],[Valor]]*(1-tItens[[#This Row],[Desconto]])</f>
        <v>2930.56</v>
      </c>
      <c r="N3527" t="str">
        <f>IFERROR(INDEX(tProdutos[Foco],MATCH(tItens[[#This Row],[Produto]],tProdutos[Produto],0)),"Não")</f>
        <v>Sim</v>
      </c>
      <c r="O3527" t="str">
        <f>IFERROR(INDEX(tEditais[SRP],MATCH(tItens[[#This Row],[Edital]],tEditais[Edital],0)),"Não")</f>
        <v>Sim</v>
      </c>
      <c r="P3527" s="4">
        <f>IF(COUNTIFS(INDEX(tItens[Edital],1):tItens[[#This Row],[Edital]],tItens[[#This Row],[Edital]],INDEX(tItens[Produto],1):tItens[[#This Row],[Produto]],tItens[[#This Row],[Produto]])=1,1,0)</f>
        <v>1</v>
      </c>
    </row>
    <row r="3528" spans="1:16" x14ac:dyDescent="0.25">
      <c r="A3528" t="s">
        <v>1499</v>
      </c>
      <c r="B3528">
        <v>30</v>
      </c>
      <c r="C3528" t="s">
        <v>6411</v>
      </c>
      <c r="D3528" t="s">
        <v>108</v>
      </c>
      <c r="E3528" s="13">
        <v>50</v>
      </c>
      <c r="F3528" s="12">
        <v>154.15</v>
      </c>
      <c r="G3528" t="str">
        <f>IFERROR(INDEX(tEditais[Órgão],MATCH(tItens[[#This Row],[Edital]],tEditais[Edital],0)),"")</f>
        <v>MUNICIPIO DE POMPEU</v>
      </c>
      <c r="H3528" t="str">
        <f>IFERROR(INDEX(tEditais[UF],MATCH(tItens[[#This Row],[Edital]],tEditais[Edital],0)),"")</f>
        <v>MG</v>
      </c>
      <c r="I3528" s="11">
        <f>IFERROR(INDEX(tEditais[Encerramento],MATCH(tItens[[#This Row],[Edital]],tEditais[Edital],0)),"")</f>
        <v>46310.354166666664</v>
      </c>
      <c r="J3528" t="str">
        <f>IFERROR(INDEX(tProdutos[Classe],MATCH(tItens[[#This Row],[Produto]],tProdutos[Produto],0)),"produto não cadastrado")</f>
        <v>NÚCLEO</v>
      </c>
      <c r="K3528" s="12">
        <f>tItens[[#This Row],[Qtd]]*tItens[[#This Row],[Vlr unit]]</f>
        <v>7707.5</v>
      </c>
      <c r="L3528" s="6">
        <f>IFERROR(IF(INDEX(tProdutos[Desconto homologado],MATCH(tItens[[#This Row],[Produto]],tProdutos[Produto],0))="",DescontoPadrao,INDEX(tProdutos[Desconto homologado],MATCH(tItens[[#This Row],[Produto]],tProdutos[Produto],0))),DescontoPadrao)</f>
        <v>0.105498072631365</v>
      </c>
      <c r="M3528" s="12">
        <f>tItens[[#This Row],[Valor]]*(1-tItens[[#This Row],[Desconto]])</f>
        <v>6894.373605193754</v>
      </c>
      <c r="N3528" t="str">
        <f>IFERROR(INDEX(tProdutos[Foco],MATCH(tItens[[#This Row],[Produto]],tProdutos[Produto],0)),"Não")</f>
        <v>Não</v>
      </c>
      <c r="O3528" t="str">
        <f>IFERROR(INDEX(tEditais[SRP],MATCH(tItens[[#This Row],[Edital]],tEditais[Edital],0)),"Não")</f>
        <v>Sim</v>
      </c>
      <c r="P3528" s="4">
        <f>IF(COUNTIFS(INDEX(tItens[Edital],1):tItens[[#This Row],[Edital]],tItens[[#This Row],[Edital]],INDEX(tItens[Produto],1):tItens[[#This Row],[Produto]],tItens[[#This Row],[Produto]])=1,1,0)</f>
        <v>1</v>
      </c>
    </row>
    <row r="3529" spans="1:16" x14ac:dyDescent="0.25">
      <c r="A3529" t="s">
        <v>1499</v>
      </c>
      <c r="B3529">
        <v>33</v>
      </c>
      <c r="C3529" t="s">
        <v>6412</v>
      </c>
      <c r="D3529" t="s">
        <v>233</v>
      </c>
      <c r="E3529" s="13">
        <v>150</v>
      </c>
      <c r="F3529" s="12">
        <v>12.32</v>
      </c>
      <c r="G3529" t="str">
        <f>IFERROR(INDEX(tEditais[Órgão],MATCH(tItens[[#This Row],[Edital]],tEditais[Edital],0)),"")</f>
        <v>MUNICIPIO DE POMPEU</v>
      </c>
      <c r="H3529" t="str">
        <f>IFERROR(INDEX(tEditais[UF],MATCH(tItens[[#This Row],[Edital]],tEditais[Edital],0)),"")</f>
        <v>MG</v>
      </c>
      <c r="I3529" s="11">
        <f>IFERROR(INDEX(tEditais[Encerramento],MATCH(tItens[[#This Row],[Edital]],tEditais[Edital],0)),"")</f>
        <v>46310.354166666664</v>
      </c>
      <c r="J3529" t="str">
        <f>IFERROR(INDEX(tProdutos[Classe],MATCH(tItens[[#This Row],[Produto]],tProdutos[Produto],0)),"produto não cadastrado")</f>
        <v>FORA</v>
      </c>
      <c r="K3529" s="12">
        <f>tItens[[#This Row],[Qtd]]*tItens[[#This Row],[Vlr unit]]</f>
        <v>1848</v>
      </c>
      <c r="L3529" s="6">
        <f>IFERROR(IF(INDEX(tProdutos[Desconto homologado],MATCH(tItens[[#This Row],[Produto]],tProdutos[Produto],0))="",DescontoPadrao,INDEX(tProdutos[Desconto homologado],MATCH(tItens[[#This Row],[Produto]],tProdutos[Produto],0))),DescontoPadrao)</f>
        <v>0.246270084162204</v>
      </c>
      <c r="M3529" s="12">
        <f>tItens[[#This Row],[Valor]]*(1-tItens[[#This Row],[Desconto]])</f>
        <v>1392.8928844682471</v>
      </c>
      <c r="N3529" t="str">
        <f>IFERROR(INDEX(tProdutos[Foco],MATCH(tItens[[#This Row],[Produto]],tProdutos[Produto],0)),"Não")</f>
        <v>Não</v>
      </c>
      <c r="O3529" t="str">
        <f>IFERROR(INDEX(tEditais[SRP],MATCH(tItens[[#This Row],[Edital]],tEditais[Edital],0)),"Não")</f>
        <v>Sim</v>
      </c>
      <c r="P3529" s="4">
        <f>IF(COUNTIFS(INDEX(tItens[Edital],1):tItens[[#This Row],[Edital]],tItens[[#This Row],[Edital]],INDEX(tItens[Produto],1):tItens[[#This Row],[Produto]],tItens[[#This Row],[Produto]])=1,1,0)</f>
        <v>1</v>
      </c>
    </row>
    <row r="3530" spans="1:16" x14ac:dyDescent="0.25">
      <c r="A3530" t="s">
        <v>1499</v>
      </c>
      <c r="B3530">
        <v>34</v>
      </c>
      <c r="C3530" t="s">
        <v>6413</v>
      </c>
      <c r="D3530" t="s">
        <v>482</v>
      </c>
      <c r="E3530" s="13">
        <v>120</v>
      </c>
      <c r="F3530" s="12">
        <v>16.920000000000002</v>
      </c>
      <c r="G3530" t="str">
        <f>IFERROR(INDEX(tEditais[Órgão],MATCH(tItens[[#This Row],[Edital]],tEditais[Edital],0)),"")</f>
        <v>MUNICIPIO DE POMPEU</v>
      </c>
      <c r="H3530" t="str">
        <f>IFERROR(INDEX(tEditais[UF],MATCH(tItens[[#This Row],[Edital]],tEditais[Edital],0)),"")</f>
        <v>MG</v>
      </c>
      <c r="I3530" s="11">
        <f>IFERROR(INDEX(tEditais[Encerramento],MATCH(tItens[[#This Row],[Edital]],tEditais[Edital],0)),"")</f>
        <v>46310.354166666664</v>
      </c>
      <c r="J3530" t="str">
        <f>IFERROR(INDEX(tProdutos[Classe],MATCH(tItens[[#This Row],[Produto]],tProdutos[Produto],0)),"produto não cadastrado")</f>
        <v>FILA REBASE</v>
      </c>
      <c r="K3530" s="12">
        <f>tItens[[#This Row],[Qtd]]*tItens[[#This Row],[Vlr unit]]</f>
        <v>2030.4</v>
      </c>
      <c r="L3530" s="6">
        <f>IFERROR(IF(INDEX(tProdutos[Desconto homologado],MATCH(tItens[[#This Row],[Produto]],tProdutos[Produto],0))="",DescontoPadrao,INDEX(tProdutos[Desconto homologado],MATCH(tItens[[#This Row],[Produto]],tProdutos[Produto],0))),DescontoPadrao)</f>
        <v>0.29214514354940102</v>
      </c>
      <c r="M3530" s="12">
        <f>tItens[[#This Row],[Valor]]*(1-tItens[[#This Row],[Desconto]])</f>
        <v>1437.2285005372962</v>
      </c>
      <c r="N3530" t="str">
        <f>IFERROR(INDEX(tProdutos[Foco],MATCH(tItens[[#This Row],[Produto]],tProdutos[Produto],0)),"Não")</f>
        <v>Não</v>
      </c>
      <c r="O3530" t="str">
        <f>IFERROR(INDEX(tEditais[SRP],MATCH(tItens[[#This Row],[Edital]],tEditais[Edital],0)),"Não")</f>
        <v>Sim</v>
      </c>
      <c r="P3530" s="4">
        <f>IF(COUNTIFS(INDEX(tItens[Edital],1):tItens[[#This Row],[Edital]],tItens[[#This Row],[Edital]],INDEX(tItens[Produto],1):tItens[[#This Row],[Produto]],tItens[[#This Row],[Produto]])=1,1,0)</f>
        <v>1</v>
      </c>
    </row>
    <row r="3531" spans="1:16" x14ac:dyDescent="0.25">
      <c r="A3531" t="s">
        <v>1499</v>
      </c>
      <c r="B3531">
        <v>56</v>
      </c>
      <c r="C3531" t="s">
        <v>6414</v>
      </c>
      <c r="D3531" t="s">
        <v>275</v>
      </c>
      <c r="E3531" s="13">
        <v>1320</v>
      </c>
      <c r="F3531" s="12">
        <v>0.96</v>
      </c>
      <c r="G3531" t="str">
        <f>IFERROR(INDEX(tEditais[Órgão],MATCH(tItens[[#This Row],[Edital]],tEditais[Edital],0)),"")</f>
        <v>MUNICIPIO DE POMPEU</v>
      </c>
      <c r="H3531" t="str">
        <f>IFERROR(INDEX(tEditais[UF],MATCH(tItens[[#This Row],[Edital]],tEditais[Edital],0)),"")</f>
        <v>MG</v>
      </c>
      <c r="I3531" s="11">
        <f>IFERROR(INDEX(tEditais[Encerramento],MATCH(tItens[[#This Row],[Edital]],tEditais[Edital],0)),"")</f>
        <v>46310.354166666664</v>
      </c>
      <c r="J3531" t="str">
        <f>IFERROR(INDEX(tProdutos[Classe],MATCH(tItens[[#This Row],[Produto]],tProdutos[Produto],0)),"produto não cadastrado")</f>
        <v>FORA</v>
      </c>
      <c r="K3531" s="12">
        <f>tItens[[#This Row],[Qtd]]*tItens[[#This Row],[Vlr unit]]</f>
        <v>1267.2</v>
      </c>
      <c r="L3531" s="6">
        <f>IFERROR(IF(INDEX(tProdutos[Desconto homologado],MATCH(tItens[[#This Row],[Produto]],tProdutos[Produto],0))="",DescontoPadrao,INDEX(tProdutos[Desconto homologado],MATCH(tItens[[#This Row],[Produto]],tProdutos[Produto],0))),DescontoPadrao)</f>
        <v>0.405797101449275</v>
      </c>
      <c r="M3531" s="12">
        <f>tItens[[#This Row],[Valor]]*(1-tItens[[#This Row],[Desconto]])</f>
        <v>752.97391304347877</v>
      </c>
      <c r="N3531" t="str">
        <f>IFERROR(INDEX(tProdutos[Foco],MATCH(tItens[[#This Row],[Produto]],tProdutos[Produto],0)),"Não")</f>
        <v>Não</v>
      </c>
      <c r="O3531" t="str">
        <f>IFERROR(INDEX(tEditais[SRP],MATCH(tItens[[#This Row],[Edital]],tEditais[Edital],0)),"Não")</f>
        <v>Sim</v>
      </c>
      <c r="P3531" s="4">
        <f>IF(COUNTIFS(INDEX(tItens[Edital],1):tItens[[#This Row],[Edital]],tItens[[#This Row],[Edital]],INDEX(tItens[Produto],1):tItens[[#This Row],[Produto]],tItens[[#This Row],[Produto]])=1,1,0)</f>
        <v>1</v>
      </c>
    </row>
    <row r="3532" spans="1:16" x14ac:dyDescent="0.25">
      <c r="A3532" t="s">
        <v>1499</v>
      </c>
      <c r="B3532">
        <v>57</v>
      </c>
      <c r="C3532" t="s">
        <v>6415</v>
      </c>
      <c r="D3532" t="s">
        <v>73</v>
      </c>
      <c r="E3532" s="13">
        <v>700</v>
      </c>
      <c r="F3532" s="12">
        <v>4.08</v>
      </c>
      <c r="G3532" t="str">
        <f>IFERROR(INDEX(tEditais[Órgão],MATCH(tItens[[#This Row],[Edital]],tEditais[Edital],0)),"")</f>
        <v>MUNICIPIO DE POMPEU</v>
      </c>
      <c r="H3532" t="str">
        <f>IFERROR(INDEX(tEditais[UF],MATCH(tItens[[#This Row],[Edital]],tEditais[Edital],0)),"")</f>
        <v>MG</v>
      </c>
      <c r="I3532" s="11">
        <f>IFERROR(INDEX(tEditais[Encerramento],MATCH(tItens[[#This Row],[Edital]],tEditais[Edital],0)),"")</f>
        <v>46310.354166666664</v>
      </c>
      <c r="J3532" t="str">
        <f>IFERROR(INDEX(tProdutos[Classe],MATCH(tItens[[#This Row],[Produto]],tProdutos[Produto],0)),"produto não cadastrado")</f>
        <v>NÚCLEO</v>
      </c>
      <c r="K3532" s="12">
        <f>tItens[[#This Row],[Qtd]]*tItens[[#This Row],[Vlr unit]]</f>
        <v>2856</v>
      </c>
      <c r="L3532" s="6">
        <f>IFERROR(IF(INDEX(tProdutos[Desconto homologado],MATCH(tItens[[#This Row],[Produto]],tProdutos[Produto],0))="",DescontoPadrao,INDEX(tProdutos[Desconto homologado],MATCH(tItens[[#This Row],[Produto]],tProdutos[Produto],0))),DescontoPadrao)</f>
        <v>0.37</v>
      </c>
      <c r="M3532" s="12">
        <f>tItens[[#This Row],[Valor]]*(1-tItens[[#This Row],[Desconto]])</f>
        <v>1799.28</v>
      </c>
      <c r="N3532" t="str">
        <f>IFERROR(INDEX(tProdutos[Foco],MATCH(tItens[[#This Row],[Produto]],tProdutos[Produto],0)),"Não")</f>
        <v>Sim</v>
      </c>
      <c r="O3532" t="str">
        <f>IFERROR(INDEX(tEditais[SRP],MATCH(tItens[[#This Row],[Edital]],tEditais[Edital],0)),"Não")</f>
        <v>Sim</v>
      </c>
      <c r="P3532" s="4">
        <f>IF(COUNTIFS(INDEX(tItens[Edital],1):tItens[[#This Row],[Edital]],tItens[[#This Row],[Edital]],INDEX(tItens[Produto],1):tItens[[#This Row],[Produto]],tItens[[#This Row],[Produto]])=1,1,0)</f>
        <v>1</v>
      </c>
    </row>
    <row r="3533" spans="1:16" x14ac:dyDescent="0.25">
      <c r="A3533" t="s">
        <v>1499</v>
      </c>
      <c r="B3533">
        <v>58</v>
      </c>
      <c r="C3533" t="s">
        <v>6416</v>
      </c>
      <c r="D3533" t="s">
        <v>73</v>
      </c>
      <c r="E3533" s="13">
        <v>60</v>
      </c>
      <c r="F3533" s="12">
        <v>4.17</v>
      </c>
      <c r="G3533" t="str">
        <f>IFERROR(INDEX(tEditais[Órgão],MATCH(tItens[[#This Row],[Edital]],tEditais[Edital],0)),"")</f>
        <v>MUNICIPIO DE POMPEU</v>
      </c>
      <c r="H3533" t="str">
        <f>IFERROR(INDEX(tEditais[UF],MATCH(tItens[[#This Row],[Edital]],tEditais[Edital],0)),"")</f>
        <v>MG</v>
      </c>
      <c r="I3533" s="11">
        <f>IFERROR(INDEX(tEditais[Encerramento],MATCH(tItens[[#This Row],[Edital]],tEditais[Edital],0)),"")</f>
        <v>46310.354166666664</v>
      </c>
      <c r="J3533" t="str">
        <f>IFERROR(INDEX(tProdutos[Classe],MATCH(tItens[[#This Row],[Produto]],tProdutos[Produto],0)),"produto não cadastrado")</f>
        <v>NÚCLEO</v>
      </c>
      <c r="K3533" s="12">
        <f>tItens[[#This Row],[Qtd]]*tItens[[#This Row],[Vlr unit]]</f>
        <v>250.2</v>
      </c>
      <c r="L3533" s="6">
        <f>IFERROR(IF(INDEX(tProdutos[Desconto homologado],MATCH(tItens[[#This Row],[Produto]],tProdutos[Produto],0))="",DescontoPadrao,INDEX(tProdutos[Desconto homologado],MATCH(tItens[[#This Row],[Produto]],tProdutos[Produto],0))),DescontoPadrao)</f>
        <v>0.37</v>
      </c>
      <c r="M3533" s="12">
        <f>tItens[[#This Row],[Valor]]*(1-tItens[[#This Row],[Desconto]])</f>
        <v>157.626</v>
      </c>
      <c r="N3533" t="str">
        <f>IFERROR(INDEX(tProdutos[Foco],MATCH(tItens[[#This Row],[Produto]],tProdutos[Produto],0)),"Não")</f>
        <v>Sim</v>
      </c>
      <c r="O3533" t="str">
        <f>IFERROR(INDEX(tEditais[SRP],MATCH(tItens[[#This Row],[Edital]],tEditais[Edital],0)),"Não")</f>
        <v>Sim</v>
      </c>
      <c r="P3533" s="4">
        <f>IF(COUNTIFS(INDEX(tItens[Edital],1):tItens[[#This Row],[Edital]],tItens[[#This Row],[Edital]],INDEX(tItens[Produto],1):tItens[[#This Row],[Produto]],tItens[[#This Row],[Produto]])=1,1,0)</f>
        <v>0</v>
      </c>
    </row>
    <row r="3534" spans="1:16" x14ac:dyDescent="0.25">
      <c r="A3534" t="s">
        <v>1499</v>
      </c>
      <c r="B3534">
        <v>60</v>
      </c>
      <c r="C3534" t="s">
        <v>6417</v>
      </c>
      <c r="D3534" t="s">
        <v>267</v>
      </c>
      <c r="E3534" s="13">
        <v>200</v>
      </c>
      <c r="F3534" s="12">
        <v>43.96</v>
      </c>
      <c r="G3534" t="str">
        <f>IFERROR(INDEX(tEditais[Órgão],MATCH(tItens[[#This Row],[Edital]],tEditais[Edital],0)),"")</f>
        <v>MUNICIPIO DE POMPEU</v>
      </c>
      <c r="H3534" t="str">
        <f>IFERROR(INDEX(tEditais[UF],MATCH(tItens[[#This Row],[Edital]],tEditais[Edital],0)),"")</f>
        <v>MG</v>
      </c>
      <c r="I3534" s="11">
        <f>IFERROR(INDEX(tEditais[Encerramento],MATCH(tItens[[#This Row],[Edital]],tEditais[Edital],0)),"")</f>
        <v>46310.354166666664</v>
      </c>
      <c r="J3534" t="str">
        <f>IFERROR(INDEX(tProdutos[Classe],MATCH(tItens[[#This Row],[Produto]],tProdutos[Produto],0)),"produto não cadastrado")</f>
        <v>FORA</v>
      </c>
      <c r="K3534" s="12">
        <f>tItens[[#This Row],[Qtd]]*tItens[[#This Row],[Vlr unit]]</f>
        <v>8792</v>
      </c>
      <c r="L3534" s="6">
        <f>IFERROR(IF(INDEX(tProdutos[Desconto homologado],MATCH(tItens[[#This Row],[Produto]],tProdutos[Produto],0))="",DescontoPadrao,INDEX(tProdutos[Desconto homologado],MATCH(tItens[[#This Row],[Produto]],tProdutos[Produto],0))),DescontoPadrao)</f>
        <v>0.19963672657401599</v>
      </c>
      <c r="M3534" s="12">
        <f>tItens[[#This Row],[Valor]]*(1-tItens[[#This Row],[Desconto]])</f>
        <v>7036.7938999612516</v>
      </c>
      <c r="N3534" t="str">
        <f>IFERROR(INDEX(tProdutos[Foco],MATCH(tItens[[#This Row],[Produto]],tProdutos[Produto],0)),"Não")</f>
        <v>Não</v>
      </c>
      <c r="O3534" t="str">
        <f>IFERROR(INDEX(tEditais[SRP],MATCH(tItens[[#This Row],[Edital]],tEditais[Edital],0)),"Não")</f>
        <v>Sim</v>
      </c>
      <c r="P3534" s="4">
        <f>IF(COUNTIFS(INDEX(tItens[Edital],1):tItens[[#This Row],[Edital]],tItens[[#This Row],[Edital]],INDEX(tItens[Produto],1):tItens[[#This Row],[Produto]],tItens[[#This Row],[Produto]])=1,1,0)</f>
        <v>1</v>
      </c>
    </row>
    <row r="3535" spans="1:16" x14ac:dyDescent="0.25">
      <c r="A3535" t="s">
        <v>1499</v>
      </c>
      <c r="B3535">
        <v>62</v>
      </c>
      <c r="C3535" t="s">
        <v>6418</v>
      </c>
      <c r="D3535" t="s">
        <v>275</v>
      </c>
      <c r="E3535" s="13">
        <v>3612</v>
      </c>
      <c r="F3535" s="12">
        <v>1</v>
      </c>
      <c r="G3535" t="str">
        <f>IFERROR(INDEX(tEditais[Órgão],MATCH(tItens[[#This Row],[Edital]],tEditais[Edital],0)),"")</f>
        <v>MUNICIPIO DE POMPEU</v>
      </c>
      <c r="H3535" t="str">
        <f>IFERROR(INDEX(tEditais[UF],MATCH(tItens[[#This Row],[Edital]],tEditais[Edital],0)),"")</f>
        <v>MG</v>
      </c>
      <c r="I3535" s="11">
        <f>IFERROR(INDEX(tEditais[Encerramento],MATCH(tItens[[#This Row],[Edital]],tEditais[Edital],0)),"")</f>
        <v>46310.354166666664</v>
      </c>
      <c r="J3535" t="str">
        <f>IFERROR(INDEX(tProdutos[Classe],MATCH(tItens[[#This Row],[Produto]],tProdutos[Produto],0)),"produto não cadastrado")</f>
        <v>FORA</v>
      </c>
      <c r="K3535" s="12">
        <f>tItens[[#This Row],[Qtd]]*tItens[[#This Row],[Vlr unit]]</f>
        <v>3612</v>
      </c>
      <c r="L3535" s="6">
        <f>IFERROR(IF(INDEX(tProdutos[Desconto homologado],MATCH(tItens[[#This Row],[Produto]],tProdutos[Produto],0))="",DescontoPadrao,INDEX(tProdutos[Desconto homologado],MATCH(tItens[[#This Row],[Produto]],tProdutos[Produto],0))),DescontoPadrao)</f>
        <v>0.405797101449275</v>
      </c>
      <c r="M3535" s="12">
        <f>tItens[[#This Row],[Valor]]*(1-tItens[[#This Row],[Desconto]])</f>
        <v>2146.2608695652189</v>
      </c>
      <c r="N3535" t="str">
        <f>IFERROR(INDEX(tProdutos[Foco],MATCH(tItens[[#This Row],[Produto]],tProdutos[Produto],0)),"Não")</f>
        <v>Não</v>
      </c>
      <c r="O3535" t="str">
        <f>IFERROR(INDEX(tEditais[SRP],MATCH(tItens[[#This Row],[Edital]],tEditais[Edital],0)),"Não")</f>
        <v>Sim</v>
      </c>
      <c r="P3535" s="4">
        <f>IF(COUNTIFS(INDEX(tItens[Edital],1):tItens[[#This Row],[Edital]],tItens[[#This Row],[Edital]],INDEX(tItens[Produto],1):tItens[[#This Row],[Produto]],tItens[[#This Row],[Produto]])=1,1,0)</f>
        <v>0</v>
      </c>
    </row>
    <row r="3536" spans="1:16" x14ac:dyDescent="0.25">
      <c r="A3536" t="s">
        <v>1499</v>
      </c>
      <c r="B3536">
        <v>63</v>
      </c>
      <c r="C3536" t="s">
        <v>6419</v>
      </c>
      <c r="D3536" t="s">
        <v>275</v>
      </c>
      <c r="E3536" s="13">
        <v>3000</v>
      </c>
      <c r="F3536" s="12">
        <v>0.76</v>
      </c>
      <c r="G3536" t="str">
        <f>IFERROR(INDEX(tEditais[Órgão],MATCH(tItens[[#This Row],[Edital]],tEditais[Edital],0)),"")</f>
        <v>MUNICIPIO DE POMPEU</v>
      </c>
      <c r="H3536" t="str">
        <f>IFERROR(INDEX(tEditais[UF],MATCH(tItens[[#This Row],[Edital]],tEditais[Edital],0)),"")</f>
        <v>MG</v>
      </c>
      <c r="I3536" s="11">
        <f>IFERROR(INDEX(tEditais[Encerramento],MATCH(tItens[[#This Row],[Edital]],tEditais[Edital],0)),"")</f>
        <v>46310.354166666664</v>
      </c>
      <c r="J3536" t="str">
        <f>IFERROR(INDEX(tProdutos[Classe],MATCH(tItens[[#This Row],[Produto]],tProdutos[Produto],0)),"produto não cadastrado")</f>
        <v>FORA</v>
      </c>
      <c r="K3536" s="12">
        <f>tItens[[#This Row],[Qtd]]*tItens[[#This Row],[Vlr unit]]</f>
        <v>2280</v>
      </c>
      <c r="L3536" s="6">
        <f>IFERROR(IF(INDEX(tProdutos[Desconto homologado],MATCH(tItens[[#This Row],[Produto]],tProdutos[Produto],0))="",DescontoPadrao,INDEX(tProdutos[Desconto homologado],MATCH(tItens[[#This Row],[Produto]],tProdutos[Produto],0))),DescontoPadrao)</f>
        <v>0.405797101449275</v>
      </c>
      <c r="M3536" s="12">
        <f>tItens[[#This Row],[Valor]]*(1-tItens[[#This Row],[Desconto]])</f>
        <v>1354.7826086956532</v>
      </c>
      <c r="N3536" t="str">
        <f>IFERROR(INDEX(tProdutos[Foco],MATCH(tItens[[#This Row],[Produto]],tProdutos[Produto],0)),"Não")</f>
        <v>Não</v>
      </c>
      <c r="O3536" t="str">
        <f>IFERROR(INDEX(tEditais[SRP],MATCH(tItens[[#This Row],[Edital]],tEditais[Edital],0)),"Não")</f>
        <v>Sim</v>
      </c>
      <c r="P3536" s="4">
        <f>IF(COUNTIFS(INDEX(tItens[Edital],1):tItens[[#This Row],[Edital]],tItens[[#This Row],[Edital]],INDEX(tItens[Produto],1):tItens[[#This Row],[Produto]],tItens[[#This Row],[Produto]])=1,1,0)</f>
        <v>0</v>
      </c>
    </row>
    <row r="3537" spans="1:16" x14ac:dyDescent="0.25">
      <c r="A3537" t="s">
        <v>1499</v>
      </c>
      <c r="B3537">
        <v>64</v>
      </c>
      <c r="C3537" t="s">
        <v>6420</v>
      </c>
      <c r="D3537" t="s">
        <v>275</v>
      </c>
      <c r="E3537" s="13">
        <v>100</v>
      </c>
      <c r="F3537" s="12">
        <v>51.32</v>
      </c>
      <c r="G3537" t="str">
        <f>IFERROR(INDEX(tEditais[Órgão],MATCH(tItens[[#This Row],[Edital]],tEditais[Edital],0)),"")</f>
        <v>MUNICIPIO DE POMPEU</v>
      </c>
      <c r="H3537" t="str">
        <f>IFERROR(INDEX(tEditais[UF],MATCH(tItens[[#This Row],[Edital]],tEditais[Edital],0)),"")</f>
        <v>MG</v>
      </c>
      <c r="I3537" s="11">
        <f>IFERROR(INDEX(tEditais[Encerramento],MATCH(tItens[[#This Row],[Edital]],tEditais[Edital],0)),"")</f>
        <v>46310.354166666664</v>
      </c>
      <c r="J3537" t="str">
        <f>IFERROR(INDEX(tProdutos[Classe],MATCH(tItens[[#This Row],[Produto]],tProdutos[Produto],0)),"produto não cadastrado")</f>
        <v>FORA</v>
      </c>
      <c r="K3537" s="12">
        <f>tItens[[#This Row],[Qtd]]*tItens[[#This Row],[Vlr unit]]</f>
        <v>5132</v>
      </c>
      <c r="L3537" s="6">
        <f>IFERROR(IF(INDEX(tProdutos[Desconto homologado],MATCH(tItens[[#This Row],[Produto]],tProdutos[Produto],0))="",DescontoPadrao,INDEX(tProdutos[Desconto homologado],MATCH(tItens[[#This Row],[Produto]],tProdutos[Produto],0))),DescontoPadrao)</f>
        <v>0.405797101449275</v>
      </c>
      <c r="M3537" s="12">
        <f>tItens[[#This Row],[Valor]]*(1-tItens[[#This Row],[Desconto]])</f>
        <v>3049.4492753623208</v>
      </c>
      <c r="N3537" t="str">
        <f>IFERROR(INDEX(tProdutos[Foco],MATCH(tItens[[#This Row],[Produto]],tProdutos[Produto],0)),"Não")</f>
        <v>Não</v>
      </c>
      <c r="O3537" t="str">
        <f>IFERROR(INDEX(tEditais[SRP],MATCH(tItens[[#This Row],[Edital]],tEditais[Edital],0)),"Não")</f>
        <v>Sim</v>
      </c>
      <c r="P3537" s="4">
        <f>IF(COUNTIFS(INDEX(tItens[Edital],1):tItens[[#This Row],[Edital]],tItens[[#This Row],[Edital]],INDEX(tItens[Produto],1):tItens[[#This Row],[Produto]],tItens[[#This Row],[Produto]])=1,1,0)</f>
        <v>0</v>
      </c>
    </row>
    <row r="3538" spans="1:16" x14ac:dyDescent="0.25">
      <c r="A3538" t="s">
        <v>1499</v>
      </c>
      <c r="B3538">
        <v>66</v>
      </c>
      <c r="C3538" t="s">
        <v>6421</v>
      </c>
      <c r="D3538" t="s">
        <v>289</v>
      </c>
      <c r="E3538" s="13">
        <v>4000</v>
      </c>
      <c r="F3538" s="12">
        <v>0.54</v>
      </c>
      <c r="G3538" t="str">
        <f>IFERROR(INDEX(tEditais[Órgão],MATCH(tItens[[#This Row],[Edital]],tEditais[Edital],0)),"")</f>
        <v>MUNICIPIO DE POMPEU</v>
      </c>
      <c r="H3538" t="str">
        <f>IFERROR(INDEX(tEditais[UF],MATCH(tItens[[#This Row],[Edital]],tEditais[Edital],0)),"")</f>
        <v>MG</v>
      </c>
      <c r="I3538" s="11">
        <f>IFERROR(INDEX(tEditais[Encerramento],MATCH(tItens[[#This Row],[Edital]],tEditais[Edital],0)),"")</f>
        <v>46310.354166666664</v>
      </c>
      <c r="J3538" t="str">
        <f>IFERROR(INDEX(tProdutos[Classe],MATCH(tItens[[#This Row],[Produto]],tProdutos[Produto],0)),"produto não cadastrado")</f>
        <v>DISPUTADO</v>
      </c>
      <c r="K3538" s="12">
        <f>tItens[[#This Row],[Qtd]]*tItens[[#This Row],[Vlr unit]]</f>
        <v>2160</v>
      </c>
      <c r="L3538" s="6">
        <f>IFERROR(IF(INDEX(tProdutos[Desconto homologado],MATCH(tItens[[#This Row],[Produto]],tProdutos[Produto],0))="",DescontoPadrao,INDEX(tProdutos[Desconto homologado],MATCH(tItens[[#This Row],[Produto]],tProdutos[Produto],0))),DescontoPadrao)</f>
        <v>0.35849056603773599</v>
      </c>
      <c r="M3538" s="12">
        <f>tItens[[#This Row],[Valor]]*(1-tItens[[#This Row],[Desconto]])</f>
        <v>1385.6603773584902</v>
      </c>
      <c r="N3538" t="str">
        <f>IFERROR(INDEX(tProdutos[Foco],MATCH(tItens[[#This Row],[Produto]],tProdutos[Produto],0)),"Não")</f>
        <v>Não</v>
      </c>
      <c r="O3538" t="str">
        <f>IFERROR(INDEX(tEditais[SRP],MATCH(tItens[[#This Row],[Edital]],tEditais[Edital],0)),"Não")</f>
        <v>Sim</v>
      </c>
      <c r="P3538" s="4">
        <f>IF(COUNTIFS(INDEX(tItens[Edital],1):tItens[[#This Row],[Edital]],tItens[[#This Row],[Edital]],INDEX(tItens[Produto],1):tItens[[#This Row],[Produto]],tItens[[#This Row],[Produto]])=1,1,0)</f>
        <v>1</v>
      </c>
    </row>
    <row r="3539" spans="1:16" x14ac:dyDescent="0.25">
      <c r="A3539" t="s">
        <v>1499</v>
      </c>
      <c r="B3539">
        <v>76</v>
      </c>
      <c r="C3539" t="s">
        <v>6422</v>
      </c>
      <c r="D3539" t="s">
        <v>215</v>
      </c>
      <c r="E3539" s="13">
        <v>4</v>
      </c>
      <c r="F3539" s="12">
        <v>487.52</v>
      </c>
      <c r="G3539" t="str">
        <f>IFERROR(INDEX(tEditais[Órgão],MATCH(tItens[[#This Row],[Edital]],tEditais[Edital],0)),"")</f>
        <v>MUNICIPIO DE POMPEU</v>
      </c>
      <c r="H3539" t="str">
        <f>IFERROR(INDEX(tEditais[UF],MATCH(tItens[[#This Row],[Edital]],tEditais[Edital],0)),"")</f>
        <v>MG</v>
      </c>
      <c r="I3539" s="11">
        <f>IFERROR(INDEX(tEditais[Encerramento],MATCH(tItens[[#This Row],[Edital]],tEditais[Edital],0)),"")</f>
        <v>46310.354166666664</v>
      </c>
      <c r="J3539" t="str">
        <f>IFERROR(INDEX(tProdutos[Classe],MATCH(tItens[[#This Row],[Produto]],tProdutos[Produto],0)),"produto não cadastrado")</f>
        <v>FORA</v>
      </c>
      <c r="K3539" s="12">
        <f>tItens[[#This Row],[Qtd]]*tItens[[#This Row],[Vlr unit]]</f>
        <v>1950.08</v>
      </c>
      <c r="L3539" s="6">
        <f>IFERROR(IF(INDEX(tProdutos[Desconto homologado],MATCH(tItens[[#This Row],[Produto]],tProdutos[Produto],0))="",DescontoPadrao,INDEX(tProdutos[Desconto homologado],MATCH(tItens[[#This Row],[Produto]],tProdutos[Produto],0))),DescontoPadrao)</f>
        <v>0.27710245735301298</v>
      </c>
      <c r="M3539" s="12">
        <f>tItens[[#This Row],[Valor]]*(1-tItens[[#This Row],[Desconto]])</f>
        <v>1409.7080399650365</v>
      </c>
      <c r="N3539" t="str">
        <f>IFERROR(INDEX(tProdutos[Foco],MATCH(tItens[[#This Row],[Produto]],tProdutos[Produto],0)),"Não")</f>
        <v>Não</v>
      </c>
      <c r="O3539" t="str">
        <f>IFERROR(INDEX(tEditais[SRP],MATCH(tItens[[#This Row],[Edital]],tEditais[Edital],0)),"Não")</f>
        <v>Sim</v>
      </c>
      <c r="P3539" s="4">
        <f>IF(COUNTIFS(INDEX(tItens[Edital],1):tItens[[#This Row],[Edital]],tItens[[#This Row],[Edital]],INDEX(tItens[Produto],1):tItens[[#This Row],[Produto]],tItens[[#This Row],[Produto]])=1,1,0)</f>
        <v>1</v>
      </c>
    </row>
    <row r="3540" spans="1:16" x14ac:dyDescent="0.25">
      <c r="A3540" t="s">
        <v>1499</v>
      </c>
      <c r="B3540">
        <v>80</v>
      </c>
      <c r="C3540" t="s">
        <v>6423</v>
      </c>
      <c r="D3540" t="s">
        <v>377</v>
      </c>
      <c r="E3540" s="13">
        <v>250</v>
      </c>
      <c r="F3540" s="12">
        <v>25.93</v>
      </c>
      <c r="G3540" t="str">
        <f>IFERROR(INDEX(tEditais[Órgão],MATCH(tItens[[#This Row],[Edital]],tEditais[Edital],0)),"")</f>
        <v>MUNICIPIO DE POMPEU</v>
      </c>
      <c r="H3540" t="str">
        <f>IFERROR(INDEX(tEditais[UF],MATCH(tItens[[#This Row],[Edital]],tEditais[Edital],0)),"")</f>
        <v>MG</v>
      </c>
      <c r="I3540" s="11">
        <f>IFERROR(INDEX(tEditais[Encerramento],MATCH(tItens[[#This Row],[Edital]],tEditais[Edital],0)),"")</f>
        <v>46310.354166666664</v>
      </c>
      <c r="J3540" t="str">
        <f>IFERROR(INDEX(tProdutos[Classe],MATCH(tItens[[#This Row],[Produto]],tProdutos[Produto],0)),"produto não cadastrado")</f>
        <v>FORA</v>
      </c>
      <c r="K3540" s="12">
        <f>tItens[[#This Row],[Qtd]]*tItens[[#This Row],[Vlr unit]]</f>
        <v>6482.5</v>
      </c>
      <c r="L3540" s="6">
        <f>IFERROR(IF(INDEX(tProdutos[Desconto homologado],MATCH(tItens[[#This Row],[Produto]],tProdutos[Produto],0))="",DescontoPadrao,INDEX(tProdutos[Desconto homologado],MATCH(tItens[[#This Row],[Produto]],tProdutos[Produto],0))),DescontoPadrao)</f>
        <v>0.29186603777106501</v>
      </c>
      <c r="M3540" s="12">
        <f>tItens[[#This Row],[Valor]]*(1-tItens[[#This Row],[Desconto]])</f>
        <v>4590.4784101490714</v>
      </c>
      <c r="N3540" t="str">
        <f>IFERROR(INDEX(tProdutos[Foco],MATCH(tItens[[#This Row],[Produto]],tProdutos[Produto],0)),"Não")</f>
        <v>Não</v>
      </c>
      <c r="O3540" t="str">
        <f>IFERROR(INDEX(tEditais[SRP],MATCH(tItens[[#This Row],[Edital]],tEditais[Edital],0)),"Não")</f>
        <v>Sim</v>
      </c>
      <c r="P3540" s="4">
        <f>IF(COUNTIFS(INDEX(tItens[Edital],1):tItens[[#This Row],[Edital]],tItens[[#This Row],[Edital]],INDEX(tItens[Produto],1):tItens[[#This Row],[Produto]],tItens[[#This Row],[Produto]])=1,1,0)</f>
        <v>1</v>
      </c>
    </row>
    <row r="3541" spans="1:16" x14ac:dyDescent="0.25">
      <c r="A3541" t="s">
        <v>1499</v>
      </c>
      <c r="B3541">
        <v>81</v>
      </c>
      <c r="C3541" t="s">
        <v>6424</v>
      </c>
      <c r="D3541" t="s">
        <v>110</v>
      </c>
      <c r="E3541" s="13">
        <v>150</v>
      </c>
      <c r="F3541" s="12">
        <v>2.44</v>
      </c>
      <c r="G3541" t="str">
        <f>IFERROR(INDEX(tEditais[Órgão],MATCH(tItens[[#This Row],[Edital]],tEditais[Edital],0)),"")</f>
        <v>MUNICIPIO DE POMPEU</v>
      </c>
      <c r="H3541" t="str">
        <f>IFERROR(INDEX(tEditais[UF],MATCH(tItens[[#This Row],[Edital]],tEditais[Edital],0)),"")</f>
        <v>MG</v>
      </c>
      <c r="I3541" s="11">
        <f>IFERROR(INDEX(tEditais[Encerramento],MATCH(tItens[[#This Row],[Edital]],tEditais[Edital],0)),"")</f>
        <v>46310.354166666664</v>
      </c>
      <c r="J3541" t="str">
        <f>IFERROR(INDEX(tProdutos[Classe],MATCH(tItens[[#This Row],[Produto]],tProdutos[Produto],0)),"produto não cadastrado")</f>
        <v>NÚCLEO</v>
      </c>
      <c r="K3541" s="12">
        <f>tItens[[#This Row],[Qtd]]*tItens[[#This Row],[Vlr unit]]</f>
        <v>366</v>
      </c>
      <c r="L3541" s="6">
        <f>IFERROR(IF(INDEX(tProdutos[Desconto homologado],MATCH(tItens[[#This Row],[Produto]],tProdutos[Produto],0))="",DescontoPadrao,INDEX(tProdutos[Desconto homologado],MATCH(tItens[[#This Row],[Produto]],tProdutos[Produto],0))),DescontoPadrao)</f>
        <v>0.30410958904109597</v>
      </c>
      <c r="M3541" s="12">
        <f>tItens[[#This Row],[Valor]]*(1-tItens[[#This Row],[Desconto]])</f>
        <v>254.69589041095887</v>
      </c>
      <c r="N3541" t="str">
        <f>IFERROR(INDEX(tProdutos[Foco],MATCH(tItens[[#This Row],[Produto]],tProdutos[Produto],0)),"Não")</f>
        <v>Não</v>
      </c>
      <c r="O3541" t="str">
        <f>IFERROR(INDEX(tEditais[SRP],MATCH(tItens[[#This Row],[Edital]],tEditais[Edital],0)),"Não")</f>
        <v>Sim</v>
      </c>
      <c r="P3541" s="4">
        <f>IF(COUNTIFS(INDEX(tItens[Edital],1):tItens[[#This Row],[Edital]],tItens[[#This Row],[Edital]],INDEX(tItens[Produto],1):tItens[[#This Row],[Produto]],tItens[[#This Row],[Produto]])=1,1,0)</f>
        <v>1</v>
      </c>
    </row>
    <row r="3542" spans="1:16" x14ac:dyDescent="0.25">
      <c r="A3542" t="s">
        <v>1499</v>
      </c>
      <c r="B3542">
        <v>82</v>
      </c>
      <c r="C3542" t="s">
        <v>6425</v>
      </c>
      <c r="D3542" t="s">
        <v>331</v>
      </c>
      <c r="E3542" s="13">
        <v>1800</v>
      </c>
      <c r="F3542" s="12">
        <v>2.23</v>
      </c>
      <c r="G3542" t="str">
        <f>IFERROR(INDEX(tEditais[Órgão],MATCH(tItens[[#This Row],[Edital]],tEditais[Edital],0)),"")</f>
        <v>MUNICIPIO DE POMPEU</v>
      </c>
      <c r="H3542" t="str">
        <f>IFERROR(INDEX(tEditais[UF],MATCH(tItens[[#This Row],[Edital]],tEditais[Edital],0)),"")</f>
        <v>MG</v>
      </c>
      <c r="I3542" s="11">
        <f>IFERROR(INDEX(tEditais[Encerramento],MATCH(tItens[[#This Row],[Edital]],tEditais[Edital],0)),"")</f>
        <v>46310.354166666664</v>
      </c>
      <c r="J3542" t="str">
        <f>IFERROR(INDEX(tProdutos[Classe],MATCH(tItens[[#This Row],[Produto]],tProdutos[Produto],0)),"produto não cadastrado")</f>
        <v>FORA</v>
      </c>
      <c r="K3542" s="12">
        <f>tItens[[#This Row],[Qtd]]*tItens[[#This Row],[Vlr unit]]</f>
        <v>4014</v>
      </c>
      <c r="L3542" s="6">
        <f>IFERROR(IF(INDEX(tProdutos[Desconto homologado],MATCH(tItens[[#This Row],[Produto]],tProdutos[Produto],0))="",DescontoPadrao,INDEX(tProdutos[Desconto homologado],MATCH(tItens[[#This Row],[Produto]],tProdutos[Produto],0))),DescontoPadrao)</f>
        <v>0.45927812223206399</v>
      </c>
      <c r="M3542" s="12">
        <f>tItens[[#This Row],[Valor]]*(1-tItens[[#This Row],[Desconto]])</f>
        <v>2170.4576173604951</v>
      </c>
      <c r="N3542" t="str">
        <f>IFERROR(INDEX(tProdutos[Foco],MATCH(tItens[[#This Row],[Produto]],tProdutos[Produto],0)),"Não")</f>
        <v>Não</v>
      </c>
      <c r="O3542" t="str">
        <f>IFERROR(INDEX(tEditais[SRP],MATCH(tItens[[#This Row],[Edital]],tEditais[Edital],0)),"Não")</f>
        <v>Sim</v>
      </c>
      <c r="P3542" s="4">
        <f>IF(COUNTIFS(INDEX(tItens[Edital],1):tItens[[#This Row],[Edital]],tItens[[#This Row],[Edital]],INDEX(tItens[Produto],1):tItens[[#This Row],[Produto]],tItens[[#This Row],[Produto]])=1,1,0)</f>
        <v>1</v>
      </c>
    </row>
    <row r="3543" spans="1:16" x14ac:dyDescent="0.25">
      <c r="A3543" t="s">
        <v>1499</v>
      </c>
      <c r="B3543">
        <v>83</v>
      </c>
      <c r="C3543" t="s">
        <v>6426</v>
      </c>
      <c r="D3543" t="s">
        <v>331</v>
      </c>
      <c r="E3543" s="13">
        <v>1800</v>
      </c>
      <c r="F3543" s="12">
        <v>2.71</v>
      </c>
      <c r="G3543" t="str">
        <f>IFERROR(INDEX(tEditais[Órgão],MATCH(tItens[[#This Row],[Edital]],tEditais[Edital],0)),"")</f>
        <v>MUNICIPIO DE POMPEU</v>
      </c>
      <c r="H3543" t="str">
        <f>IFERROR(INDEX(tEditais[UF],MATCH(tItens[[#This Row],[Edital]],tEditais[Edital],0)),"")</f>
        <v>MG</v>
      </c>
      <c r="I3543" s="11">
        <f>IFERROR(INDEX(tEditais[Encerramento],MATCH(tItens[[#This Row],[Edital]],tEditais[Edital],0)),"")</f>
        <v>46310.354166666664</v>
      </c>
      <c r="J3543" t="str">
        <f>IFERROR(INDEX(tProdutos[Classe],MATCH(tItens[[#This Row],[Produto]],tProdutos[Produto],0)),"produto não cadastrado")</f>
        <v>FORA</v>
      </c>
      <c r="K3543" s="12">
        <f>tItens[[#This Row],[Qtd]]*tItens[[#This Row],[Vlr unit]]</f>
        <v>4878</v>
      </c>
      <c r="L3543" s="6">
        <f>IFERROR(IF(INDEX(tProdutos[Desconto homologado],MATCH(tItens[[#This Row],[Produto]],tProdutos[Produto],0))="",DescontoPadrao,INDEX(tProdutos[Desconto homologado],MATCH(tItens[[#This Row],[Produto]],tProdutos[Produto],0))),DescontoPadrao)</f>
        <v>0.45927812223206399</v>
      </c>
      <c r="M3543" s="12">
        <f>tItens[[#This Row],[Valor]]*(1-tItens[[#This Row],[Desconto]])</f>
        <v>2637.6413197519919</v>
      </c>
      <c r="N3543" t="str">
        <f>IFERROR(INDEX(tProdutos[Foco],MATCH(tItens[[#This Row],[Produto]],tProdutos[Produto],0)),"Não")</f>
        <v>Não</v>
      </c>
      <c r="O3543" t="str">
        <f>IFERROR(INDEX(tEditais[SRP],MATCH(tItens[[#This Row],[Edital]],tEditais[Edital],0)),"Não")</f>
        <v>Sim</v>
      </c>
      <c r="P3543" s="4">
        <f>IF(COUNTIFS(INDEX(tItens[Edital],1):tItens[[#This Row],[Edital]],tItens[[#This Row],[Edital]],INDEX(tItens[Produto],1):tItens[[#This Row],[Produto]],tItens[[#This Row],[Produto]])=1,1,0)</f>
        <v>0</v>
      </c>
    </row>
    <row r="3544" spans="1:16" x14ac:dyDescent="0.25">
      <c r="A3544" t="s">
        <v>1504</v>
      </c>
      <c r="B3544">
        <v>31</v>
      </c>
      <c r="C3544" t="s">
        <v>6427</v>
      </c>
      <c r="D3544" t="s">
        <v>62</v>
      </c>
      <c r="E3544" s="13">
        <v>3000</v>
      </c>
      <c r="F3544" s="12">
        <v>10.93</v>
      </c>
      <c r="G3544" t="str">
        <f>IFERROR(INDEX(tEditais[Órgão],MATCH(tItens[[#This Row],[Edital]],tEditais[Edital],0)),"")</f>
        <v>MUNICIPIO DE MARTINS SOARES</v>
      </c>
      <c r="H3544" t="str">
        <f>IFERROR(INDEX(tEditais[UF],MATCH(tItens[[#This Row],[Edital]],tEditais[Edital],0)),"")</f>
        <v>MG</v>
      </c>
      <c r="I3544" s="11">
        <f>IFERROR(INDEX(tEditais[Encerramento],MATCH(tItens[[#This Row],[Edital]],tEditais[Edital],0)),"")</f>
        <v>46310.354166666664</v>
      </c>
      <c r="J3544" t="str">
        <f>IFERROR(INDEX(tProdutos[Classe],MATCH(tItens[[#This Row],[Produto]],tProdutos[Produto],0)),"produto não cadastrado")</f>
        <v>NÚCLEO</v>
      </c>
      <c r="K3544" s="12">
        <f>tItens[[#This Row],[Qtd]]*tItens[[#This Row],[Vlr unit]]</f>
        <v>32790</v>
      </c>
      <c r="L3544" s="6">
        <f>IFERROR(IF(INDEX(tProdutos[Desconto homologado],MATCH(tItens[[#This Row],[Produto]],tProdutos[Produto],0))="",DescontoPadrao,INDEX(tProdutos[Desconto homologado],MATCH(tItens[[#This Row],[Produto]],tProdutos[Produto],0))),DescontoPadrao)</f>
        <v>0.3</v>
      </c>
      <c r="M3544" s="12">
        <f>tItens[[#This Row],[Valor]]*(1-tItens[[#This Row],[Desconto]])</f>
        <v>22953</v>
      </c>
      <c r="N3544" t="str">
        <f>IFERROR(INDEX(tProdutos[Foco],MATCH(tItens[[#This Row],[Produto]],tProdutos[Produto],0)),"Não")</f>
        <v>Sim</v>
      </c>
      <c r="O3544" t="str">
        <f>IFERROR(INDEX(tEditais[SRP],MATCH(tItens[[#This Row],[Edital]],tEditais[Edital],0)),"Não")</f>
        <v>Sim</v>
      </c>
      <c r="P3544" s="4">
        <f>IF(COUNTIFS(INDEX(tItens[Edital],1):tItens[[#This Row],[Edital]],tItens[[#This Row],[Edital]],INDEX(tItens[Produto],1):tItens[[#This Row],[Produto]],tItens[[#This Row],[Produto]])=1,1,0)</f>
        <v>1</v>
      </c>
    </row>
    <row r="3545" spans="1:16" x14ac:dyDescent="0.25">
      <c r="A3545" t="s">
        <v>1504</v>
      </c>
      <c r="B3545">
        <v>33</v>
      </c>
      <c r="C3545" t="s">
        <v>6428</v>
      </c>
      <c r="D3545" t="s">
        <v>569</v>
      </c>
      <c r="E3545" s="13">
        <v>5</v>
      </c>
      <c r="F3545" s="12">
        <v>282.67</v>
      </c>
      <c r="G3545" t="str">
        <f>IFERROR(INDEX(tEditais[Órgão],MATCH(tItens[[#This Row],[Edital]],tEditais[Edital],0)),"")</f>
        <v>MUNICIPIO DE MARTINS SOARES</v>
      </c>
      <c r="H3545" t="str">
        <f>IFERROR(INDEX(tEditais[UF],MATCH(tItens[[#This Row],[Edital]],tEditais[Edital],0)),"")</f>
        <v>MG</v>
      </c>
      <c r="I3545" s="11">
        <f>IFERROR(INDEX(tEditais[Encerramento],MATCH(tItens[[#This Row],[Edital]],tEditais[Edital],0)),"")</f>
        <v>46310.354166666664</v>
      </c>
      <c r="J3545" t="str">
        <f>IFERROR(INDEX(tProdutos[Classe],MATCH(tItens[[#This Row],[Produto]],tProdutos[Produto],0)),"produto não cadastrado")</f>
        <v>FILA REBASE</v>
      </c>
      <c r="K3545" s="12">
        <f>tItens[[#This Row],[Qtd]]*tItens[[#This Row],[Vlr unit]]</f>
        <v>1413.3500000000001</v>
      </c>
      <c r="L3545" s="6">
        <f>IFERROR(IF(INDEX(tProdutos[Desconto homologado],MATCH(tItens[[#This Row],[Produto]],tProdutos[Produto],0))="",DescontoPadrao,INDEX(tProdutos[Desconto homologado],MATCH(tItens[[#This Row],[Produto]],tProdutos[Produto],0))),DescontoPadrao)</f>
        <v>0.3</v>
      </c>
      <c r="M3545" s="12">
        <f>tItens[[#This Row],[Valor]]*(1-tItens[[#This Row],[Desconto]])</f>
        <v>989.34500000000003</v>
      </c>
      <c r="N3545" t="str">
        <f>IFERROR(INDEX(tProdutos[Foco],MATCH(tItens[[#This Row],[Produto]],tProdutos[Produto],0)),"Não")</f>
        <v>Não</v>
      </c>
      <c r="O3545" t="str">
        <f>IFERROR(INDEX(tEditais[SRP],MATCH(tItens[[#This Row],[Edital]],tEditais[Edital],0)),"Não")</f>
        <v>Sim</v>
      </c>
      <c r="P3545" s="4">
        <f>IF(COUNTIFS(INDEX(tItens[Edital],1):tItens[[#This Row],[Edital]],tItens[[#This Row],[Edital]],INDEX(tItens[Produto],1):tItens[[#This Row],[Produto]],tItens[[#This Row],[Produto]])=1,1,0)</f>
        <v>1</v>
      </c>
    </row>
    <row r="3546" spans="1:16" x14ac:dyDescent="0.25">
      <c r="A3546" t="s">
        <v>1504</v>
      </c>
      <c r="B3546">
        <v>57</v>
      </c>
      <c r="C3546" t="s">
        <v>6429</v>
      </c>
      <c r="D3546" t="s">
        <v>245</v>
      </c>
      <c r="E3546" s="13">
        <v>25</v>
      </c>
      <c r="F3546" s="12">
        <v>110.33</v>
      </c>
      <c r="G3546" t="str">
        <f>IFERROR(INDEX(tEditais[Órgão],MATCH(tItens[[#This Row],[Edital]],tEditais[Edital],0)),"")</f>
        <v>MUNICIPIO DE MARTINS SOARES</v>
      </c>
      <c r="H3546" t="str">
        <f>IFERROR(INDEX(tEditais[UF],MATCH(tItens[[#This Row],[Edital]],tEditais[Edital],0)),"")</f>
        <v>MG</v>
      </c>
      <c r="I3546" s="11">
        <f>IFERROR(INDEX(tEditais[Encerramento],MATCH(tItens[[#This Row],[Edital]],tEditais[Edital],0)),"")</f>
        <v>46310.354166666664</v>
      </c>
      <c r="J3546" t="str">
        <f>IFERROR(INDEX(tProdutos[Classe],MATCH(tItens[[#This Row],[Produto]],tProdutos[Produto],0)),"produto não cadastrado")</f>
        <v>FORA</v>
      </c>
      <c r="K3546" s="12">
        <f>tItens[[#This Row],[Qtd]]*tItens[[#This Row],[Vlr unit]]</f>
        <v>2758.25</v>
      </c>
      <c r="L3546" s="6">
        <f>IFERROR(IF(INDEX(tProdutos[Desconto homologado],MATCH(tItens[[#This Row],[Produto]],tProdutos[Produto],0))="",DescontoPadrao,INDEX(tProdutos[Desconto homologado],MATCH(tItens[[#This Row],[Produto]],tProdutos[Produto],0))),DescontoPadrao)</f>
        <v>0.34516963542284401</v>
      </c>
      <c r="M3546" s="12">
        <f>tItens[[#This Row],[Valor]]*(1-tItens[[#This Row],[Desconto]])</f>
        <v>1806.1858530949407</v>
      </c>
      <c r="N3546" t="str">
        <f>IFERROR(INDEX(tProdutos[Foco],MATCH(tItens[[#This Row],[Produto]],tProdutos[Produto],0)),"Não")</f>
        <v>Não</v>
      </c>
      <c r="O3546" t="str">
        <f>IFERROR(INDEX(tEditais[SRP],MATCH(tItens[[#This Row],[Edital]],tEditais[Edital],0)),"Não")</f>
        <v>Sim</v>
      </c>
      <c r="P3546" s="4">
        <f>IF(COUNTIFS(INDEX(tItens[Edital],1):tItens[[#This Row],[Edital]],tItens[[#This Row],[Edital]],INDEX(tItens[Produto],1):tItens[[#This Row],[Produto]],tItens[[#This Row],[Produto]])=1,1,0)</f>
        <v>1</v>
      </c>
    </row>
    <row r="3547" spans="1:16" x14ac:dyDescent="0.25">
      <c r="A3547" t="s">
        <v>1504</v>
      </c>
      <c r="B3547">
        <v>58</v>
      </c>
      <c r="C3547" t="s">
        <v>6430</v>
      </c>
      <c r="D3547" t="s">
        <v>279</v>
      </c>
      <c r="E3547" s="13">
        <v>100</v>
      </c>
      <c r="F3547" s="12">
        <v>6.93</v>
      </c>
      <c r="G3547" t="str">
        <f>IFERROR(INDEX(tEditais[Órgão],MATCH(tItens[[#This Row],[Edital]],tEditais[Edital],0)),"")</f>
        <v>MUNICIPIO DE MARTINS SOARES</v>
      </c>
      <c r="H3547" t="str">
        <f>IFERROR(INDEX(tEditais[UF],MATCH(tItens[[#This Row],[Edital]],tEditais[Edital],0)),"")</f>
        <v>MG</v>
      </c>
      <c r="I3547" s="11">
        <f>IFERROR(INDEX(tEditais[Encerramento],MATCH(tItens[[#This Row],[Edital]],tEditais[Edital],0)),"")</f>
        <v>46310.354166666664</v>
      </c>
      <c r="J3547" t="str">
        <f>IFERROR(INDEX(tProdutos[Classe],MATCH(tItens[[#This Row],[Produto]],tProdutos[Produto],0)),"produto não cadastrado")</f>
        <v>FORA</v>
      </c>
      <c r="K3547" s="12">
        <f>tItens[[#This Row],[Qtd]]*tItens[[#This Row],[Vlr unit]]</f>
        <v>693</v>
      </c>
      <c r="L3547" s="6">
        <f>IFERROR(IF(INDEX(tProdutos[Desconto homologado],MATCH(tItens[[#This Row],[Produto]],tProdutos[Produto],0))="",DescontoPadrao,INDEX(tProdutos[Desconto homologado],MATCH(tItens[[#This Row],[Produto]],tProdutos[Produto],0))),DescontoPadrao)</f>
        <v>0.28909090909090901</v>
      </c>
      <c r="M3547" s="12">
        <f>tItens[[#This Row],[Valor]]*(1-tItens[[#This Row],[Desconto]])</f>
        <v>492.66</v>
      </c>
      <c r="N3547" t="str">
        <f>IFERROR(INDEX(tProdutos[Foco],MATCH(tItens[[#This Row],[Produto]],tProdutos[Produto],0)),"Não")</f>
        <v>Não</v>
      </c>
      <c r="O3547" t="str">
        <f>IFERROR(INDEX(tEditais[SRP],MATCH(tItens[[#This Row],[Edital]],tEditais[Edital],0)),"Não")</f>
        <v>Sim</v>
      </c>
      <c r="P3547" s="4">
        <f>IF(COUNTIFS(INDEX(tItens[Edital],1):tItens[[#This Row],[Edital]],tItens[[#This Row],[Edital]],INDEX(tItens[Produto],1):tItens[[#This Row],[Produto]],tItens[[#This Row],[Produto]])=1,1,0)</f>
        <v>1</v>
      </c>
    </row>
    <row r="3548" spans="1:16" x14ac:dyDescent="0.25">
      <c r="A3548" t="s">
        <v>1504</v>
      </c>
      <c r="B3548">
        <v>59</v>
      </c>
      <c r="C3548" t="s">
        <v>6431</v>
      </c>
      <c r="D3548" t="s">
        <v>269</v>
      </c>
      <c r="E3548" s="13">
        <v>500</v>
      </c>
      <c r="F3548" s="12">
        <v>39.299999999999997</v>
      </c>
      <c r="G3548" t="str">
        <f>IFERROR(INDEX(tEditais[Órgão],MATCH(tItens[[#This Row],[Edital]],tEditais[Edital],0)),"")</f>
        <v>MUNICIPIO DE MARTINS SOARES</v>
      </c>
      <c r="H3548" t="str">
        <f>IFERROR(INDEX(tEditais[UF],MATCH(tItens[[#This Row],[Edital]],tEditais[Edital],0)),"")</f>
        <v>MG</v>
      </c>
      <c r="I3548" s="11">
        <f>IFERROR(INDEX(tEditais[Encerramento],MATCH(tItens[[#This Row],[Edital]],tEditais[Edital],0)),"")</f>
        <v>46310.354166666664</v>
      </c>
      <c r="J3548" t="str">
        <f>IFERROR(INDEX(tProdutos[Classe],MATCH(tItens[[#This Row],[Produto]],tProdutos[Produto],0)),"produto não cadastrado")</f>
        <v>FORA</v>
      </c>
      <c r="K3548" s="12">
        <f>tItens[[#This Row],[Qtd]]*tItens[[#This Row],[Vlr unit]]</f>
        <v>19650</v>
      </c>
      <c r="L3548" s="6">
        <f>IFERROR(IF(INDEX(tProdutos[Desconto homologado],MATCH(tItens[[#This Row],[Produto]],tProdutos[Produto],0))="",DescontoPadrao,INDEX(tProdutos[Desconto homologado],MATCH(tItens[[#This Row],[Produto]],tProdutos[Produto],0))),DescontoPadrao)</f>
        <v>0.28935117103332197</v>
      </c>
      <c r="M3548" s="12">
        <f>tItens[[#This Row],[Valor]]*(1-tItens[[#This Row],[Desconto]])</f>
        <v>13964.249489195223</v>
      </c>
      <c r="N3548" t="str">
        <f>IFERROR(INDEX(tProdutos[Foco],MATCH(tItens[[#This Row],[Produto]],tProdutos[Produto],0)),"Não")</f>
        <v>Não</v>
      </c>
      <c r="O3548" t="str">
        <f>IFERROR(INDEX(tEditais[SRP],MATCH(tItens[[#This Row],[Edital]],tEditais[Edital],0)),"Não")</f>
        <v>Sim</v>
      </c>
      <c r="P3548" s="4">
        <f>IF(COUNTIFS(INDEX(tItens[Edital],1):tItens[[#This Row],[Edital]],tItens[[#This Row],[Edital]],INDEX(tItens[Produto],1):tItens[[#This Row],[Produto]],tItens[[#This Row],[Produto]])=1,1,0)</f>
        <v>1</v>
      </c>
    </row>
    <row r="3549" spans="1:16" x14ac:dyDescent="0.25">
      <c r="A3549" t="s">
        <v>1504</v>
      </c>
      <c r="B3549">
        <v>60</v>
      </c>
      <c r="C3549" t="s">
        <v>6432</v>
      </c>
      <c r="D3549" t="s">
        <v>383</v>
      </c>
      <c r="E3549" s="13">
        <v>55000</v>
      </c>
      <c r="F3549" s="12">
        <v>1.27</v>
      </c>
      <c r="G3549" t="str">
        <f>IFERROR(INDEX(tEditais[Órgão],MATCH(tItens[[#This Row],[Edital]],tEditais[Edital],0)),"")</f>
        <v>MUNICIPIO DE MARTINS SOARES</v>
      </c>
      <c r="H3549" t="str">
        <f>IFERROR(INDEX(tEditais[UF],MATCH(tItens[[#This Row],[Edital]],tEditais[Edital],0)),"")</f>
        <v>MG</v>
      </c>
      <c r="I3549" s="11">
        <f>IFERROR(INDEX(tEditais[Encerramento],MATCH(tItens[[#This Row],[Edital]],tEditais[Edital],0)),"")</f>
        <v>46310.354166666664</v>
      </c>
      <c r="J3549" t="str">
        <f>IFERROR(INDEX(tProdutos[Classe],MATCH(tItens[[#This Row],[Produto]],tProdutos[Produto],0)),"produto não cadastrado")</f>
        <v>FORA</v>
      </c>
      <c r="K3549" s="12">
        <f>tItens[[#This Row],[Qtd]]*tItens[[#This Row],[Vlr unit]]</f>
        <v>69850</v>
      </c>
      <c r="L3549" s="6">
        <f>IFERROR(IF(INDEX(tProdutos[Desconto homologado],MATCH(tItens[[#This Row],[Produto]],tProdutos[Produto],0))="",DescontoPadrao,INDEX(tProdutos[Desconto homologado],MATCH(tItens[[#This Row],[Produto]],tProdutos[Produto],0))),DescontoPadrao)</f>
        <v>0.48749999999999999</v>
      </c>
      <c r="M3549" s="12">
        <f>tItens[[#This Row],[Valor]]*(1-tItens[[#This Row],[Desconto]])</f>
        <v>35798.125</v>
      </c>
      <c r="N3549" t="str">
        <f>IFERROR(INDEX(tProdutos[Foco],MATCH(tItens[[#This Row],[Produto]],tProdutos[Produto],0)),"Não")</f>
        <v>Não</v>
      </c>
      <c r="O3549" t="str">
        <f>IFERROR(INDEX(tEditais[SRP],MATCH(tItens[[#This Row],[Edital]],tEditais[Edital],0)),"Não")</f>
        <v>Sim</v>
      </c>
      <c r="P3549" s="4">
        <f>IF(COUNTIFS(INDEX(tItens[Edital],1):tItens[[#This Row],[Edital]],tItens[[#This Row],[Edital]],INDEX(tItens[Produto],1):tItens[[#This Row],[Produto]],tItens[[#This Row],[Produto]])=1,1,0)</f>
        <v>1</v>
      </c>
    </row>
    <row r="3550" spans="1:16" x14ac:dyDescent="0.25">
      <c r="A3550" t="s">
        <v>1504</v>
      </c>
      <c r="B3550">
        <v>73</v>
      </c>
      <c r="C3550" t="s">
        <v>6433</v>
      </c>
      <c r="D3550" t="s">
        <v>73</v>
      </c>
      <c r="E3550" s="13">
        <v>9000</v>
      </c>
      <c r="F3550" s="12">
        <v>4.13</v>
      </c>
      <c r="G3550" t="str">
        <f>IFERROR(INDEX(tEditais[Órgão],MATCH(tItens[[#This Row],[Edital]],tEditais[Edital],0)),"")</f>
        <v>MUNICIPIO DE MARTINS SOARES</v>
      </c>
      <c r="H3550" t="str">
        <f>IFERROR(INDEX(tEditais[UF],MATCH(tItens[[#This Row],[Edital]],tEditais[Edital],0)),"")</f>
        <v>MG</v>
      </c>
      <c r="I3550" s="11">
        <f>IFERROR(INDEX(tEditais[Encerramento],MATCH(tItens[[#This Row],[Edital]],tEditais[Edital],0)),"")</f>
        <v>46310.354166666664</v>
      </c>
      <c r="J3550" t="str">
        <f>IFERROR(INDEX(tProdutos[Classe],MATCH(tItens[[#This Row],[Produto]],tProdutos[Produto],0)),"produto não cadastrado")</f>
        <v>NÚCLEO</v>
      </c>
      <c r="K3550" s="12">
        <f>tItens[[#This Row],[Qtd]]*tItens[[#This Row],[Vlr unit]]</f>
        <v>37170</v>
      </c>
      <c r="L3550" s="6">
        <f>IFERROR(IF(INDEX(tProdutos[Desconto homologado],MATCH(tItens[[#This Row],[Produto]],tProdutos[Produto],0))="",DescontoPadrao,INDEX(tProdutos[Desconto homologado],MATCH(tItens[[#This Row],[Produto]],tProdutos[Produto],0))),DescontoPadrao)</f>
        <v>0.37</v>
      </c>
      <c r="M3550" s="12">
        <f>tItens[[#This Row],[Valor]]*(1-tItens[[#This Row],[Desconto]])</f>
        <v>23417.1</v>
      </c>
      <c r="N3550" t="str">
        <f>IFERROR(INDEX(tProdutos[Foco],MATCH(tItens[[#This Row],[Produto]],tProdutos[Produto],0)),"Não")</f>
        <v>Sim</v>
      </c>
      <c r="O3550" t="str">
        <f>IFERROR(INDEX(tEditais[SRP],MATCH(tItens[[#This Row],[Edital]],tEditais[Edital],0)),"Não")</f>
        <v>Sim</v>
      </c>
      <c r="P3550" s="4">
        <f>IF(COUNTIFS(INDEX(tItens[Edital],1):tItens[[#This Row],[Edital]],tItens[[#This Row],[Edital]],INDEX(tItens[Produto],1):tItens[[#This Row],[Produto]],tItens[[#This Row],[Produto]])=1,1,0)</f>
        <v>1</v>
      </c>
    </row>
    <row r="3551" spans="1:16" x14ac:dyDescent="0.25">
      <c r="A3551" t="s">
        <v>1504</v>
      </c>
      <c r="B3551">
        <v>74</v>
      </c>
      <c r="C3551" t="s">
        <v>6434</v>
      </c>
      <c r="D3551" t="s">
        <v>73</v>
      </c>
      <c r="E3551" s="13">
        <v>1000</v>
      </c>
      <c r="F3551" s="12">
        <v>4.13</v>
      </c>
      <c r="G3551" t="str">
        <f>IFERROR(INDEX(tEditais[Órgão],MATCH(tItens[[#This Row],[Edital]],tEditais[Edital],0)),"")</f>
        <v>MUNICIPIO DE MARTINS SOARES</v>
      </c>
      <c r="H3551" t="str">
        <f>IFERROR(INDEX(tEditais[UF],MATCH(tItens[[#This Row],[Edital]],tEditais[Edital],0)),"")</f>
        <v>MG</v>
      </c>
      <c r="I3551" s="11">
        <f>IFERROR(INDEX(tEditais[Encerramento],MATCH(tItens[[#This Row],[Edital]],tEditais[Edital],0)),"")</f>
        <v>46310.354166666664</v>
      </c>
      <c r="J3551" t="str">
        <f>IFERROR(INDEX(tProdutos[Classe],MATCH(tItens[[#This Row],[Produto]],tProdutos[Produto],0)),"produto não cadastrado")</f>
        <v>NÚCLEO</v>
      </c>
      <c r="K3551" s="12">
        <f>tItens[[#This Row],[Qtd]]*tItens[[#This Row],[Vlr unit]]</f>
        <v>4130</v>
      </c>
      <c r="L3551" s="6">
        <f>IFERROR(IF(INDEX(tProdutos[Desconto homologado],MATCH(tItens[[#This Row],[Produto]],tProdutos[Produto],0))="",DescontoPadrao,INDEX(tProdutos[Desconto homologado],MATCH(tItens[[#This Row],[Produto]],tProdutos[Produto],0))),DescontoPadrao)</f>
        <v>0.37</v>
      </c>
      <c r="M3551" s="12">
        <f>tItens[[#This Row],[Valor]]*(1-tItens[[#This Row],[Desconto]])</f>
        <v>2601.9</v>
      </c>
      <c r="N3551" t="str">
        <f>IFERROR(INDEX(tProdutos[Foco],MATCH(tItens[[#This Row],[Produto]],tProdutos[Produto],0)),"Não")</f>
        <v>Sim</v>
      </c>
      <c r="O3551" t="str">
        <f>IFERROR(INDEX(tEditais[SRP],MATCH(tItens[[#This Row],[Edital]],tEditais[Edital],0)),"Não")</f>
        <v>Sim</v>
      </c>
      <c r="P3551" s="4">
        <f>IF(COUNTIFS(INDEX(tItens[Edital],1):tItens[[#This Row],[Edital]],tItens[[#This Row],[Edital]],INDEX(tItens[Produto],1):tItens[[#This Row],[Produto]],tItens[[#This Row],[Produto]])=1,1,0)</f>
        <v>0</v>
      </c>
    </row>
    <row r="3552" spans="1:16" x14ac:dyDescent="0.25">
      <c r="A3552" t="s">
        <v>1504</v>
      </c>
      <c r="B3552">
        <v>88</v>
      </c>
      <c r="C3552" t="s">
        <v>6435</v>
      </c>
      <c r="D3552" t="s">
        <v>611</v>
      </c>
      <c r="E3552" s="13">
        <v>10</v>
      </c>
      <c r="F3552" s="12">
        <v>470.26</v>
      </c>
      <c r="G3552" t="str">
        <f>IFERROR(INDEX(tEditais[Órgão],MATCH(tItens[[#This Row],[Edital]],tEditais[Edital],0)),"")</f>
        <v>MUNICIPIO DE MARTINS SOARES</v>
      </c>
      <c r="H3552" t="str">
        <f>IFERROR(INDEX(tEditais[UF],MATCH(tItens[[#This Row],[Edital]],tEditais[Edital],0)),"")</f>
        <v>MG</v>
      </c>
      <c r="I3552" s="11">
        <f>IFERROR(INDEX(tEditais[Encerramento],MATCH(tItens[[#This Row],[Edital]],tEditais[Edital],0)),"")</f>
        <v>46310.354166666664</v>
      </c>
      <c r="J3552" t="str">
        <f>IFERROR(INDEX(tProdutos[Classe],MATCH(tItens[[#This Row],[Produto]],tProdutos[Produto],0)),"produto não cadastrado")</f>
        <v>FILA REBASE</v>
      </c>
      <c r="K3552" s="12">
        <f>tItens[[#This Row],[Qtd]]*tItens[[#This Row],[Vlr unit]]</f>
        <v>4702.6000000000004</v>
      </c>
      <c r="L3552" s="6">
        <f>IFERROR(IF(INDEX(tProdutos[Desconto homologado],MATCH(tItens[[#This Row],[Produto]],tProdutos[Produto],0))="",DescontoPadrao,INDEX(tProdutos[Desconto homologado],MATCH(tItens[[#This Row],[Produto]],tProdutos[Produto],0))),DescontoPadrao)</f>
        <v>0.3</v>
      </c>
      <c r="M3552" s="12">
        <f>tItens[[#This Row],[Valor]]*(1-tItens[[#This Row],[Desconto]])</f>
        <v>3291.82</v>
      </c>
      <c r="N3552" t="str">
        <f>IFERROR(INDEX(tProdutos[Foco],MATCH(tItens[[#This Row],[Produto]],tProdutos[Produto],0)),"Não")</f>
        <v>Não</v>
      </c>
      <c r="O3552" t="str">
        <f>IFERROR(INDEX(tEditais[SRP],MATCH(tItens[[#This Row],[Edital]],tEditais[Edital],0)),"Não")</f>
        <v>Sim</v>
      </c>
      <c r="P3552" s="4">
        <f>IF(COUNTIFS(INDEX(tItens[Edital],1):tItens[[#This Row],[Edital]],tItens[[#This Row],[Edital]],INDEX(tItens[Produto],1):tItens[[#This Row],[Produto]],tItens[[#This Row],[Produto]])=1,1,0)</f>
        <v>1</v>
      </c>
    </row>
    <row r="3553" spans="1:16" x14ac:dyDescent="0.25">
      <c r="A3553" t="s">
        <v>1504</v>
      </c>
      <c r="B3553">
        <v>89</v>
      </c>
      <c r="C3553" t="s">
        <v>6436</v>
      </c>
      <c r="D3553" t="s">
        <v>341</v>
      </c>
      <c r="E3553" s="13">
        <v>50</v>
      </c>
      <c r="F3553" s="12">
        <v>37.33</v>
      </c>
      <c r="G3553" t="str">
        <f>IFERROR(INDEX(tEditais[Órgão],MATCH(tItens[[#This Row],[Edital]],tEditais[Edital],0)),"")</f>
        <v>MUNICIPIO DE MARTINS SOARES</v>
      </c>
      <c r="H3553" t="str">
        <f>IFERROR(INDEX(tEditais[UF],MATCH(tItens[[#This Row],[Edital]],tEditais[Edital],0)),"")</f>
        <v>MG</v>
      </c>
      <c r="I3553" s="11">
        <f>IFERROR(INDEX(tEditais[Encerramento],MATCH(tItens[[#This Row],[Edital]],tEditais[Edital],0)),"")</f>
        <v>46310.354166666664</v>
      </c>
      <c r="J3553" t="str">
        <f>IFERROR(INDEX(tProdutos[Classe],MATCH(tItens[[#This Row],[Produto]],tProdutos[Produto],0)),"produto não cadastrado")</f>
        <v>FORA</v>
      </c>
      <c r="K3553" s="12">
        <f>tItens[[#This Row],[Qtd]]*tItens[[#This Row],[Vlr unit]]</f>
        <v>1866.5</v>
      </c>
      <c r="L3553" s="6">
        <f>IFERROR(IF(INDEX(tProdutos[Desconto homologado],MATCH(tItens[[#This Row],[Produto]],tProdutos[Produto],0))="",DescontoPadrao,INDEX(tProdutos[Desconto homologado],MATCH(tItens[[#This Row],[Produto]],tProdutos[Produto],0))),DescontoPadrao)</f>
        <v>0.46918578497525898</v>
      </c>
      <c r="M3553" s="12">
        <f>tItens[[#This Row],[Valor]]*(1-tItens[[#This Row],[Desconto]])</f>
        <v>990.76473234367916</v>
      </c>
      <c r="N3553" t="str">
        <f>IFERROR(INDEX(tProdutos[Foco],MATCH(tItens[[#This Row],[Produto]],tProdutos[Produto],0)),"Não")</f>
        <v>Não</v>
      </c>
      <c r="O3553" t="str">
        <f>IFERROR(INDEX(tEditais[SRP],MATCH(tItens[[#This Row],[Edital]],tEditais[Edital],0)),"Não")</f>
        <v>Sim</v>
      </c>
      <c r="P3553" s="4">
        <f>IF(COUNTIFS(INDEX(tItens[Edital],1):tItens[[#This Row],[Edital]],tItens[[#This Row],[Edital]],INDEX(tItens[Produto],1):tItens[[#This Row],[Produto]],tItens[[#This Row],[Produto]])=1,1,0)</f>
        <v>1</v>
      </c>
    </row>
    <row r="3554" spans="1:16" x14ac:dyDescent="0.25">
      <c r="A3554" t="s">
        <v>1504</v>
      </c>
      <c r="B3554">
        <v>92</v>
      </c>
      <c r="C3554" t="s">
        <v>6437</v>
      </c>
      <c r="D3554" t="s">
        <v>641</v>
      </c>
      <c r="E3554" s="13">
        <v>10</v>
      </c>
      <c r="F3554" s="12">
        <v>145.91999999999999</v>
      </c>
      <c r="G3554" t="str">
        <f>IFERROR(INDEX(tEditais[Órgão],MATCH(tItens[[#This Row],[Edital]],tEditais[Edital],0)),"")</f>
        <v>MUNICIPIO DE MARTINS SOARES</v>
      </c>
      <c r="H3554" t="str">
        <f>IFERROR(INDEX(tEditais[UF],MATCH(tItens[[#This Row],[Edital]],tEditais[Edital],0)),"")</f>
        <v>MG</v>
      </c>
      <c r="I3554" s="11">
        <f>IFERROR(INDEX(tEditais[Encerramento],MATCH(tItens[[#This Row],[Edital]],tEditais[Edital],0)),"")</f>
        <v>46310.354166666664</v>
      </c>
      <c r="J3554" t="str">
        <f>IFERROR(INDEX(tProdutos[Classe],MATCH(tItens[[#This Row],[Produto]],tProdutos[Produto],0)),"produto não cadastrado")</f>
        <v>FILA REBASE</v>
      </c>
      <c r="K3554" s="12">
        <f>tItens[[#This Row],[Qtd]]*tItens[[#This Row],[Vlr unit]]</f>
        <v>1459.1999999999998</v>
      </c>
      <c r="L3554" s="6">
        <f>IFERROR(IF(INDEX(tProdutos[Desconto homologado],MATCH(tItens[[#This Row],[Produto]],tProdutos[Produto],0))="",DescontoPadrao,INDEX(tProdutos[Desconto homologado],MATCH(tItens[[#This Row],[Produto]],tProdutos[Produto],0))),DescontoPadrao)</f>
        <v>0.3</v>
      </c>
      <c r="M3554" s="12">
        <f>tItens[[#This Row],[Valor]]*(1-tItens[[#This Row],[Desconto]])</f>
        <v>1021.4399999999998</v>
      </c>
      <c r="N3554" t="str">
        <f>IFERROR(INDEX(tProdutos[Foco],MATCH(tItens[[#This Row],[Produto]],tProdutos[Produto],0)),"Não")</f>
        <v>Não</v>
      </c>
      <c r="O3554" t="str">
        <f>IFERROR(INDEX(tEditais[SRP],MATCH(tItens[[#This Row],[Edital]],tEditais[Edital],0)),"Não")</f>
        <v>Sim</v>
      </c>
      <c r="P3554" s="4">
        <f>IF(COUNTIFS(INDEX(tItens[Edital],1):tItens[[#This Row],[Edital]],tItens[[#This Row],[Edital]],INDEX(tItens[Produto],1):tItens[[#This Row],[Produto]],tItens[[#This Row],[Produto]])=1,1,0)</f>
        <v>1</v>
      </c>
    </row>
    <row r="3555" spans="1:16" x14ac:dyDescent="0.25">
      <c r="A3555" t="s">
        <v>1504</v>
      </c>
      <c r="B3555">
        <v>98</v>
      </c>
      <c r="C3555" t="s">
        <v>6438</v>
      </c>
      <c r="D3555" t="s">
        <v>333</v>
      </c>
      <c r="E3555" s="13">
        <v>15000</v>
      </c>
      <c r="F3555" s="12">
        <v>2.2999999999999998</v>
      </c>
      <c r="G3555" t="str">
        <f>IFERROR(INDEX(tEditais[Órgão],MATCH(tItens[[#This Row],[Edital]],tEditais[Edital],0)),"")</f>
        <v>MUNICIPIO DE MARTINS SOARES</v>
      </c>
      <c r="H3555" t="str">
        <f>IFERROR(INDEX(tEditais[UF],MATCH(tItens[[#This Row],[Edital]],tEditais[Edital],0)),"")</f>
        <v>MG</v>
      </c>
      <c r="I3555" s="11">
        <f>IFERROR(INDEX(tEditais[Encerramento],MATCH(tItens[[#This Row],[Edital]],tEditais[Edital],0)),"")</f>
        <v>46310.354166666664</v>
      </c>
      <c r="J3555" t="str">
        <f>IFERROR(INDEX(tProdutos[Classe],MATCH(tItens[[#This Row],[Produto]],tProdutos[Produto],0)),"produto não cadastrado")</f>
        <v>FORA</v>
      </c>
      <c r="K3555" s="12">
        <f>tItens[[#This Row],[Qtd]]*tItens[[#This Row],[Vlr unit]]</f>
        <v>34500</v>
      </c>
      <c r="L3555" s="6">
        <f>IFERROR(IF(INDEX(tProdutos[Desconto homologado],MATCH(tItens[[#This Row],[Produto]],tProdutos[Produto],0))="",DescontoPadrao,INDEX(tProdutos[Desconto homologado],MATCH(tItens[[#This Row],[Produto]],tProdutos[Produto],0))),DescontoPadrao)</f>
        <v>0.48951048951048998</v>
      </c>
      <c r="M3555" s="12">
        <f>tItens[[#This Row],[Valor]]*(1-tItens[[#This Row],[Desconto]])</f>
        <v>17611.888111888093</v>
      </c>
      <c r="N3555" t="str">
        <f>IFERROR(INDEX(tProdutos[Foco],MATCH(tItens[[#This Row],[Produto]],tProdutos[Produto],0)),"Não")</f>
        <v>Não</v>
      </c>
      <c r="O3555" t="str">
        <f>IFERROR(INDEX(tEditais[SRP],MATCH(tItens[[#This Row],[Edital]],tEditais[Edital],0)),"Não")</f>
        <v>Sim</v>
      </c>
      <c r="P3555" s="4">
        <f>IF(COUNTIFS(INDEX(tItens[Edital],1):tItens[[#This Row],[Edital]],tItens[[#This Row],[Edital]],INDEX(tItens[Produto],1):tItens[[#This Row],[Produto]],tItens[[#This Row],[Produto]])=1,1,0)</f>
        <v>1</v>
      </c>
    </row>
    <row r="3556" spans="1:16" x14ac:dyDescent="0.25">
      <c r="A3556" t="s">
        <v>1504</v>
      </c>
      <c r="B3556">
        <v>99</v>
      </c>
      <c r="C3556" t="s">
        <v>6439</v>
      </c>
      <c r="D3556" t="s">
        <v>187</v>
      </c>
      <c r="E3556" s="13">
        <v>500</v>
      </c>
      <c r="F3556" s="12">
        <v>2.29</v>
      </c>
      <c r="G3556" t="str">
        <f>IFERROR(INDEX(tEditais[Órgão],MATCH(tItens[[#This Row],[Edital]],tEditais[Edital],0)),"")</f>
        <v>MUNICIPIO DE MARTINS SOARES</v>
      </c>
      <c r="H3556" t="str">
        <f>IFERROR(INDEX(tEditais[UF],MATCH(tItens[[#This Row],[Edital]],tEditais[Edital],0)),"")</f>
        <v>MG</v>
      </c>
      <c r="I3556" s="11">
        <f>IFERROR(INDEX(tEditais[Encerramento],MATCH(tItens[[#This Row],[Edital]],tEditais[Edital],0)),"")</f>
        <v>46310.354166666664</v>
      </c>
      <c r="J3556" t="str">
        <f>IFERROR(INDEX(tProdutos[Classe],MATCH(tItens[[#This Row],[Produto]],tProdutos[Produto],0)),"produto não cadastrado")</f>
        <v>DISPUTADO</v>
      </c>
      <c r="K3556" s="12">
        <f>tItens[[#This Row],[Qtd]]*tItens[[#This Row],[Vlr unit]]</f>
        <v>1145</v>
      </c>
      <c r="L3556" s="6">
        <f>IFERROR(IF(INDEX(tProdutos[Desconto homologado],MATCH(tItens[[#This Row],[Produto]],tProdutos[Produto],0))="",DescontoPadrao,INDEX(tProdutos[Desconto homologado],MATCH(tItens[[#This Row],[Produto]],tProdutos[Produto],0))),DescontoPadrao)</f>
        <v>0.44298820445609399</v>
      </c>
      <c r="M3556" s="12">
        <f>tItens[[#This Row],[Valor]]*(1-tItens[[#This Row],[Desconto]])</f>
        <v>637.77850589777233</v>
      </c>
      <c r="N3556" t="str">
        <f>IFERROR(INDEX(tProdutos[Foco],MATCH(tItens[[#This Row],[Produto]],tProdutos[Produto],0)),"Não")</f>
        <v>Não</v>
      </c>
      <c r="O3556" t="str">
        <f>IFERROR(INDEX(tEditais[SRP],MATCH(tItens[[#This Row],[Edital]],tEditais[Edital],0)),"Não")</f>
        <v>Sim</v>
      </c>
      <c r="P3556" s="4">
        <f>IF(COUNTIFS(INDEX(tItens[Edital],1):tItens[[#This Row],[Edital]],tItens[[#This Row],[Edital]],INDEX(tItens[Produto],1):tItens[[#This Row],[Produto]],tItens[[#This Row],[Produto]])=1,1,0)</f>
        <v>1</v>
      </c>
    </row>
    <row r="3557" spans="1:16" x14ac:dyDescent="0.25">
      <c r="A3557" t="s">
        <v>1504</v>
      </c>
      <c r="B3557">
        <v>101</v>
      </c>
      <c r="C3557" t="s">
        <v>6440</v>
      </c>
      <c r="D3557" t="s">
        <v>90</v>
      </c>
      <c r="E3557" s="13">
        <v>4000</v>
      </c>
      <c r="F3557" s="12">
        <v>18.5</v>
      </c>
      <c r="G3557" t="str">
        <f>IFERROR(INDEX(tEditais[Órgão],MATCH(tItens[[#This Row],[Edital]],tEditais[Edital],0)),"")</f>
        <v>MUNICIPIO DE MARTINS SOARES</v>
      </c>
      <c r="H3557" t="str">
        <f>IFERROR(INDEX(tEditais[UF],MATCH(tItens[[#This Row],[Edital]],tEditais[Edital],0)),"")</f>
        <v>MG</v>
      </c>
      <c r="I3557" s="11">
        <f>IFERROR(INDEX(tEditais[Encerramento],MATCH(tItens[[#This Row],[Edital]],tEditais[Edital],0)),"")</f>
        <v>46310.354166666664</v>
      </c>
      <c r="J3557" t="str">
        <f>IFERROR(INDEX(tProdutos[Classe],MATCH(tItens[[#This Row],[Produto]],tProdutos[Produto],0)),"produto não cadastrado")</f>
        <v>DISPUTADO</v>
      </c>
      <c r="K3557" s="12">
        <f>tItens[[#This Row],[Qtd]]*tItens[[#This Row],[Vlr unit]]</f>
        <v>74000</v>
      </c>
      <c r="L3557" s="6">
        <f>IFERROR(IF(INDEX(tProdutos[Desconto homologado],MATCH(tItens[[#This Row],[Produto]],tProdutos[Produto],0))="",DescontoPadrao,INDEX(tProdutos[Desconto homologado],MATCH(tItens[[#This Row],[Produto]],tProdutos[Produto],0))),DescontoPadrao)</f>
        <v>0.25393823957010597</v>
      </c>
      <c r="M3557" s="12">
        <f>tItens[[#This Row],[Valor]]*(1-tItens[[#This Row],[Desconto]])</f>
        <v>55208.570271812161</v>
      </c>
      <c r="N3557" t="str">
        <f>IFERROR(INDEX(tProdutos[Foco],MATCH(tItens[[#This Row],[Produto]],tProdutos[Produto],0)),"Não")</f>
        <v>Não</v>
      </c>
      <c r="O3557" t="str">
        <f>IFERROR(INDEX(tEditais[SRP],MATCH(tItens[[#This Row],[Edital]],tEditais[Edital],0)),"Não")</f>
        <v>Sim</v>
      </c>
      <c r="P3557" s="4">
        <f>IF(COUNTIFS(INDEX(tItens[Edital],1):tItens[[#This Row],[Edital]],tItens[[#This Row],[Edital]],INDEX(tItens[Produto],1):tItens[[#This Row],[Produto]],tItens[[#This Row],[Produto]])=1,1,0)</f>
        <v>1</v>
      </c>
    </row>
    <row r="3558" spans="1:16" x14ac:dyDescent="0.25">
      <c r="A3558" t="s">
        <v>1504</v>
      </c>
      <c r="B3558">
        <v>104</v>
      </c>
      <c r="C3558" t="s">
        <v>6441</v>
      </c>
      <c r="D3558" t="s">
        <v>209</v>
      </c>
      <c r="E3558" s="13">
        <v>200</v>
      </c>
      <c r="F3558" s="12">
        <v>29.5</v>
      </c>
      <c r="G3558" t="str">
        <f>IFERROR(INDEX(tEditais[Órgão],MATCH(tItens[[#This Row],[Edital]],tEditais[Edital],0)),"")</f>
        <v>MUNICIPIO DE MARTINS SOARES</v>
      </c>
      <c r="H3558" t="str">
        <f>IFERROR(INDEX(tEditais[UF],MATCH(tItens[[#This Row],[Edital]],tEditais[Edital],0)),"")</f>
        <v>MG</v>
      </c>
      <c r="I3558" s="11">
        <f>IFERROR(INDEX(tEditais[Encerramento],MATCH(tItens[[#This Row],[Edital]],tEditais[Edital],0)),"")</f>
        <v>46310.354166666664</v>
      </c>
      <c r="J3558" t="str">
        <f>IFERROR(INDEX(tProdutos[Classe],MATCH(tItens[[#This Row],[Produto]],tProdutos[Produto],0)),"produto não cadastrado")</f>
        <v>FORA</v>
      </c>
      <c r="K3558" s="12">
        <f>tItens[[#This Row],[Qtd]]*tItens[[#This Row],[Vlr unit]]</f>
        <v>5900</v>
      </c>
      <c r="L3558" s="6">
        <f>IFERROR(IF(INDEX(tProdutos[Desconto homologado],MATCH(tItens[[#This Row],[Produto]],tProdutos[Produto],0))="",DescontoPadrao,INDEX(tProdutos[Desconto homologado],MATCH(tItens[[#This Row],[Produto]],tProdutos[Produto],0))),DescontoPadrao)</f>
        <v>0.16442507504040599</v>
      </c>
      <c r="M3558" s="12">
        <f>tItens[[#This Row],[Valor]]*(1-tItens[[#This Row],[Desconto]])</f>
        <v>4929.8920572616053</v>
      </c>
      <c r="N3558" t="str">
        <f>IFERROR(INDEX(tProdutos[Foco],MATCH(tItens[[#This Row],[Produto]],tProdutos[Produto],0)),"Não")</f>
        <v>Não</v>
      </c>
      <c r="O3558" t="str">
        <f>IFERROR(INDEX(tEditais[SRP],MATCH(tItens[[#This Row],[Edital]],tEditais[Edital],0)),"Não")</f>
        <v>Sim</v>
      </c>
      <c r="P3558" s="4">
        <f>IF(COUNTIFS(INDEX(tItens[Edital],1):tItens[[#This Row],[Edital]],tItens[[#This Row],[Edital]],INDEX(tItens[Produto],1):tItens[[#This Row],[Produto]],tItens[[#This Row],[Produto]])=1,1,0)</f>
        <v>1</v>
      </c>
    </row>
    <row r="3559" spans="1:16" x14ac:dyDescent="0.25">
      <c r="A3559" t="s">
        <v>1504</v>
      </c>
      <c r="B3559">
        <v>105</v>
      </c>
      <c r="C3559" t="s">
        <v>6442</v>
      </c>
      <c r="D3559" t="s">
        <v>333</v>
      </c>
      <c r="E3559" s="13">
        <v>700</v>
      </c>
      <c r="F3559" s="12">
        <v>2.97</v>
      </c>
      <c r="G3559" t="str">
        <f>IFERROR(INDEX(tEditais[Órgão],MATCH(tItens[[#This Row],[Edital]],tEditais[Edital],0)),"")</f>
        <v>MUNICIPIO DE MARTINS SOARES</v>
      </c>
      <c r="H3559" t="str">
        <f>IFERROR(INDEX(tEditais[UF],MATCH(tItens[[#This Row],[Edital]],tEditais[Edital],0)),"")</f>
        <v>MG</v>
      </c>
      <c r="I3559" s="11">
        <f>IFERROR(INDEX(tEditais[Encerramento],MATCH(tItens[[#This Row],[Edital]],tEditais[Edital],0)),"")</f>
        <v>46310.354166666664</v>
      </c>
      <c r="J3559" t="str">
        <f>IFERROR(INDEX(tProdutos[Classe],MATCH(tItens[[#This Row],[Produto]],tProdutos[Produto],0)),"produto não cadastrado")</f>
        <v>FORA</v>
      </c>
      <c r="K3559" s="12">
        <f>tItens[[#This Row],[Qtd]]*tItens[[#This Row],[Vlr unit]]</f>
        <v>2079</v>
      </c>
      <c r="L3559" s="6">
        <f>IFERROR(IF(INDEX(tProdutos[Desconto homologado],MATCH(tItens[[#This Row],[Produto]],tProdutos[Produto],0))="",DescontoPadrao,INDEX(tProdutos[Desconto homologado],MATCH(tItens[[#This Row],[Produto]],tProdutos[Produto],0))),DescontoPadrao)</f>
        <v>0.48951048951048998</v>
      </c>
      <c r="M3559" s="12">
        <f>tItens[[#This Row],[Valor]]*(1-tItens[[#This Row],[Desconto]])</f>
        <v>1061.3076923076912</v>
      </c>
      <c r="N3559" t="str">
        <f>IFERROR(INDEX(tProdutos[Foco],MATCH(tItens[[#This Row],[Produto]],tProdutos[Produto],0)),"Não")</f>
        <v>Não</v>
      </c>
      <c r="O3559" t="str">
        <f>IFERROR(INDEX(tEditais[SRP],MATCH(tItens[[#This Row],[Edital]],tEditais[Edital],0)),"Não")</f>
        <v>Sim</v>
      </c>
      <c r="P3559" s="4">
        <f>IF(COUNTIFS(INDEX(tItens[Edital],1):tItens[[#This Row],[Edital]],tItens[[#This Row],[Edital]],INDEX(tItens[Produto],1):tItens[[#This Row],[Produto]],tItens[[#This Row],[Produto]])=1,1,0)</f>
        <v>0</v>
      </c>
    </row>
    <row r="3560" spans="1:16" x14ac:dyDescent="0.25">
      <c r="A3560" t="s">
        <v>1504</v>
      </c>
      <c r="B3560">
        <v>108</v>
      </c>
      <c r="C3560" t="s">
        <v>6443</v>
      </c>
      <c r="D3560" t="s">
        <v>90</v>
      </c>
      <c r="E3560" s="13">
        <v>500</v>
      </c>
      <c r="F3560" s="12">
        <v>12.5</v>
      </c>
      <c r="G3560" t="str">
        <f>IFERROR(INDEX(tEditais[Órgão],MATCH(tItens[[#This Row],[Edital]],tEditais[Edital],0)),"")</f>
        <v>MUNICIPIO DE MARTINS SOARES</v>
      </c>
      <c r="H3560" t="str">
        <f>IFERROR(INDEX(tEditais[UF],MATCH(tItens[[#This Row],[Edital]],tEditais[Edital],0)),"")</f>
        <v>MG</v>
      </c>
      <c r="I3560" s="11">
        <f>IFERROR(INDEX(tEditais[Encerramento],MATCH(tItens[[#This Row],[Edital]],tEditais[Edital],0)),"")</f>
        <v>46310.354166666664</v>
      </c>
      <c r="J3560" t="str">
        <f>IFERROR(INDEX(tProdutos[Classe],MATCH(tItens[[#This Row],[Produto]],tProdutos[Produto],0)),"produto não cadastrado")</f>
        <v>DISPUTADO</v>
      </c>
      <c r="K3560" s="12">
        <f>tItens[[#This Row],[Qtd]]*tItens[[#This Row],[Vlr unit]]</f>
        <v>6250</v>
      </c>
      <c r="L3560" s="6">
        <f>IFERROR(IF(INDEX(tProdutos[Desconto homologado],MATCH(tItens[[#This Row],[Produto]],tProdutos[Produto],0))="",DescontoPadrao,INDEX(tProdutos[Desconto homologado],MATCH(tItens[[#This Row],[Produto]],tProdutos[Produto],0))),DescontoPadrao)</f>
        <v>0.25393823957010597</v>
      </c>
      <c r="M3560" s="12">
        <f>tItens[[#This Row],[Valor]]*(1-tItens[[#This Row],[Desconto]])</f>
        <v>4662.8860026868379</v>
      </c>
      <c r="N3560" t="str">
        <f>IFERROR(INDEX(tProdutos[Foco],MATCH(tItens[[#This Row],[Produto]],tProdutos[Produto],0)),"Não")</f>
        <v>Não</v>
      </c>
      <c r="O3560" t="str">
        <f>IFERROR(INDEX(tEditais[SRP],MATCH(tItens[[#This Row],[Edital]],tEditais[Edital],0)),"Não")</f>
        <v>Sim</v>
      </c>
      <c r="P3560" s="4">
        <f>IF(COUNTIFS(INDEX(tItens[Edital],1):tItens[[#This Row],[Edital]],tItens[[#This Row],[Edital]],INDEX(tItens[Produto],1):tItens[[#This Row],[Produto]],tItens[[#This Row],[Produto]])=1,1,0)</f>
        <v>0</v>
      </c>
    </row>
    <row r="3561" spans="1:16" x14ac:dyDescent="0.25">
      <c r="A3561" t="s">
        <v>1504</v>
      </c>
      <c r="B3561">
        <v>109</v>
      </c>
      <c r="C3561" t="s">
        <v>6444</v>
      </c>
      <c r="D3561" t="s">
        <v>90</v>
      </c>
      <c r="E3561" s="13">
        <v>2500</v>
      </c>
      <c r="F3561" s="12">
        <v>15.53</v>
      </c>
      <c r="G3561" t="str">
        <f>IFERROR(INDEX(tEditais[Órgão],MATCH(tItens[[#This Row],[Edital]],tEditais[Edital],0)),"")</f>
        <v>MUNICIPIO DE MARTINS SOARES</v>
      </c>
      <c r="H3561" t="str">
        <f>IFERROR(INDEX(tEditais[UF],MATCH(tItens[[#This Row],[Edital]],tEditais[Edital],0)),"")</f>
        <v>MG</v>
      </c>
      <c r="I3561" s="11">
        <f>IFERROR(INDEX(tEditais[Encerramento],MATCH(tItens[[#This Row],[Edital]],tEditais[Edital],0)),"")</f>
        <v>46310.354166666664</v>
      </c>
      <c r="J3561" t="str">
        <f>IFERROR(INDEX(tProdutos[Classe],MATCH(tItens[[#This Row],[Produto]],tProdutos[Produto],0)),"produto não cadastrado")</f>
        <v>DISPUTADO</v>
      </c>
      <c r="K3561" s="12">
        <f>tItens[[#This Row],[Qtd]]*tItens[[#This Row],[Vlr unit]]</f>
        <v>38825</v>
      </c>
      <c r="L3561" s="6">
        <f>IFERROR(IF(INDEX(tProdutos[Desconto homologado],MATCH(tItens[[#This Row],[Produto]],tProdutos[Produto],0))="",DescontoPadrao,INDEX(tProdutos[Desconto homologado],MATCH(tItens[[#This Row],[Produto]],tProdutos[Produto],0))),DescontoPadrao)</f>
        <v>0.25393823957010597</v>
      </c>
      <c r="M3561" s="12">
        <f>tItens[[#This Row],[Valor]]*(1-tItens[[#This Row],[Desconto]])</f>
        <v>28965.847848690635</v>
      </c>
      <c r="N3561" t="str">
        <f>IFERROR(INDEX(tProdutos[Foco],MATCH(tItens[[#This Row],[Produto]],tProdutos[Produto],0)),"Não")</f>
        <v>Não</v>
      </c>
      <c r="O3561" t="str">
        <f>IFERROR(INDEX(tEditais[SRP],MATCH(tItens[[#This Row],[Edital]],tEditais[Edital],0)),"Não")</f>
        <v>Sim</v>
      </c>
      <c r="P3561" s="4">
        <f>IF(COUNTIFS(INDEX(tItens[Edital],1):tItens[[#This Row],[Edital]],tItens[[#This Row],[Edital]],INDEX(tItens[Produto],1):tItens[[#This Row],[Produto]],tItens[[#This Row],[Produto]])=1,1,0)</f>
        <v>0</v>
      </c>
    </row>
    <row r="3562" spans="1:16" x14ac:dyDescent="0.25">
      <c r="A3562" t="s">
        <v>1504</v>
      </c>
      <c r="B3562">
        <v>110</v>
      </c>
      <c r="C3562" t="s">
        <v>6445</v>
      </c>
      <c r="D3562" t="s">
        <v>90</v>
      </c>
      <c r="E3562" s="13">
        <v>500</v>
      </c>
      <c r="F3562" s="12">
        <v>11.53</v>
      </c>
      <c r="G3562" t="str">
        <f>IFERROR(INDEX(tEditais[Órgão],MATCH(tItens[[#This Row],[Edital]],tEditais[Edital],0)),"")</f>
        <v>MUNICIPIO DE MARTINS SOARES</v>
      </c>
      <c r="H3562" t="str">
        <f>IFERROR(INDEX(tEditais[UF],MATCH(tItens[[#This Row],[Edital]],tEditais[Edital],0)),"")</f>
        <v>MG</v>
      </c>
      <c r="I3562" s="11">
        <f>IFERROR(INDEX(tEditais[Encerramento],MATCH(tItens[[#This Row],[Edital]],tEditais[Edital],0)),"")</f>
        <v>46310.354166666664</v>
      </c>
      <c r="J3562" t="str">
        <f>IFERROR(INDEX(tProdutos[Classe],MATCH(tItens[[#This Row],[Produto]],tProdutos[Produto],0)),"produto não cadastrado")</f>
        <v>DISPUTADO</v>
      </c>
      <c r="K3562" s="12">
        <f>tItens[[#This Row],[Qtd]]*tItens[[#This Row],[Vlr unit]]</f>
        <v>5765</v>
      </c>
      <c r="L3562" s="6">
        <f>IFERROR(IF(INDEX(tProdutos[Desconto homologado],MATCH(tItens[[#This Row],[Produto]],tProdutos[Produto],0))="",DescontoPadrao,INDEX(tProdutos[Desconto homologado],MATCH(tItens[[#This Row],[Produto]],tProdutos[Produto],0))),DescontoPadrao)</f>
        <v>0.25393823957010597</v>
      </c>
      <c r="M3562" s="12">
        <f>tItens[[#This Row],[Valor]]*(1-tItens[[#This Row],[Desconto]])</f>
        <v>4301.0460488783392</v>
      </c>
      <c r="N3562" t="str">
        <f>IFERROR(INDEX(tProdutos[Foco],MATCH(tItens[[#This Row],[Produto]],tProdutos[Produto],0)),"Não")</f>
        <v>Não</v>
      </c>
      <c r="O3562" t="str">
        <f>IFERROR(INDEX(tEditais[SRP],MATCH(tItens[[#This Row],[Edital]],tEditais[Edital],0)),"Não")</f>
        <v>Sim</v>
      </c>
      <c r="P3562" s="4">
        <f>IF(COUNTIFS(INDEX(tItens[Edital],1):tItens[[#This Row],[Edital]],tItens[[#This Row],[Edital]],INDEX(tItens[Produto],1):tItens[[#This Row],[Produto]],tItens[[#This Row],[Produto]])=1,1,0)</f>
        <v>0</v>
      </c>
    </row>
    <row r="3563" spans="1:16" x14ac:dyDescent="0.25">
      <c r="A3563" t="s">
        <v>1504</v>
      </c>
      <c r="B3563">
        <v>124</v>
      </c>
      <c r="C3563" t="s">
        <v>6446</v>
      </c>
      <c r="D3563" t="s">
        <v>77</v>
      </c>
      <c r="E3563" s="13">
        <v>250</v>
      </c>
      <c r="F3563" s="12">
        <v>8.9</v>
      </c>
      <c r="G3563" t="str">
        <f>IFERROR(INDEX(tEditais[Órgão],MATCH(tItens[[#This Row],[Edital]],tEditais[Edital],0)),"")</f>
        <v>MUNICIPIO DE MARTINS SOARES</v>
      </c>
      <c r="H3563" t="str">
        <f>IFERROR(INDEX(tEditais[UF],MATCH(tItens[[#This Row],[Edital]],tEditais[Edital],0)),"")</f>
        <v>MG</v>
      </c>
      <c r="I3563" s="11">
        <f>IFERROR(INDEX(tEditais[Encerramento],MATCH(tItens[[#This Row],[Edital]],tEditais[Edital],0)),"")</f>
        <v>46310.354166666664</v>
      </c>
      <c r="J3563" t="str">
        <f>IFERROR(INDEX(tProdutos[Classe],MATCH(tItens[[#This Row],[Produto]],tProdutos[Produto],0)),"produto não cadastrado")</f>
        <v>DISPUTADO</v>
      </c>
      <c r="K3563" s="12">
        <f>tItens[[#This Row],[Qtd]]*tItens[[#This Row],[Vlr unit]]</f>
        <v>2225</v>
      </c>
      <c r="L3563" s="6">
        <f>IFERROR(IF(INDEX(tProdutos[Desconto homologado],MATCH(tItens[[#This Row],[Produto]],tProdutos[Produto],0))="",DescontoPadrao,INDEX(tProdutos[Desconto homologado],MATCH(tItens[[#This Row],[Produto]],tProdutos[Produto],0))),DescontoPadrao)</f>
        <v>0.33</v>
      </c>
      <c r="M3563" s="12">
        <f>tItens[[#This Row],[Valor]]*(1-tItens[[#This Row],[Desconto]])</f>
        <v>1490.7499999999998</v>
      </c>
      <c r="N3563" t="str">
        <f>IFERROR(INDEX(tProdutos[Foco],MATCH(tItens[[#This Row],[Produto]],tProdutos[Produto],0)),"Não")</f>
        <v>Sim</v>
      </c>
      <c r="O3563" t="str">
        <f>IFERROR(INDEX(tEditais[SRP],MATCH(tItens[[#This Row],[Edital]],tEditais[Edital],0)),"Não")</f>
        <v>Sim</v>
      </c>
      <c r="P3563" s="4">
        <f>IF(COUNTIFS(INDEX(tItens[Edital],1):tItens[[#This Row],[Edital]],tItens[[#This Row],[Edital]],INDEX(tItens[Produto],1):tItens[[#This Row],[Produto]],tItens[[#This Row],[Produto]])=1,1,0)</f>
        <v>1</v>
      </c>
    </row>
    <row r="3564" spans="1:16" x14ac:dyDescent="0.25">
      <c r="A3564" t="s">
        <v>1504</v>
      </c>
      <c r="B3564">
        <v>126</v>
      </c>
      <c r="C3564" t="s">
        <v>6447</v>
      </c>
      <c r="D3564" t="s">
        <v>345</v>
      </c>
      <c r="E3564" s="13">
        <v>1000</v>
      </c>
      <c r="F3564" s="12">
        <v>34.9</v>
      </c>
      <c r="G3564" t="str">
        <f>IFERROR(INDEX(tEditais[Órgão],MATCH(tItens[[#This Row],[Edital]],tEditais[Edital],0)),"")</f>
        <v>MUNICIPIO DE MARTINS SOARES</v>
      </c>
      <c r="H3564" t="str">
        <f>IFERROR(INDEX(tEditais[UF],MATCH(tItens[[#This Row],[Edital]],tEditais[Edital],0)),"")</f>
        <v>MG</v>
      </c>
      <c r="I3564" s="11">
        <f>IFERROR(INDEX(tEditais[Encerramento],MATCH(tItens[[#This Row],[Edital]],tEditais[Edital],0)),"")</f>
        <v>46310.354166666664</v>
      </c>
      <c r="J3564" t="str">
        <f>IFERROR(INDEX(tProdutos[Classe],MATCH(tItens[[#This Row],[Produto]],tProdutos[Produto],0)),"produto não cadastrado")</f>
        <v>FORA</v>
      </c>
      <c r="K3564" s="12">
        <f>tItens[[#This Row],[Qtd]]*tItens[[#This Row],[Vlr unit]]</f>
        <v>34900</v>
      </c>
      <c r="L3564" s="6">
        <f>IFERROR(IF(INDEX(tProdutos[Desconto homologado],MATCH(tItens[[#This Row],[Produto]],tProdutos[Produto],0))="",DescontoPadrao,INDEX(tProdutos[Desconto homologado],MATCH(tItens[[#This Row],[Produto]],tProdutos[Produto],0))),DescontoPadrao)</f>
        <v>0.412394275616498</v>
      </c>
      <c r="M3564" s="12">
        <f>tItens[[#This Row],[Valor]]*(1-tItens[[#This Row],[Desconto]])</f>
        <v>20507.439780984219</v>
      </c>
      <c r="N3564" t="str">
        <f>IFERROR(INDEX(tProdutos[Foco],MATCH(tItens[[#This Row],[Produto]],tProdutos[Produto],0)),"Não")</f>
        <v>Não</v>
      </c>
      <c r="O3564" t="str">
        <f>IFERROR(INDEX(tEditais[SRP],MATCH(tItens[[#This Row],[Edital]],tEditais[Edital],0)),"Não")</f>
        <v>Sim</v>
      </c>
      <c r="P3564" s="4">
        <f>IF(COUNTIFS(INDEX(tItens[Edital],1):tItens[[#This Row],[Edital]],tItens[[#This Row],[Edital]],INDEX(tItens[Produto],1):tItens[[#This Row],[Produto]],tItens[[#This Row],[Produto]])=1,1,0)</f>
        <v>1</v>
      </c>
    </row>
    <row r="3565" spans="1:16" x14ac:dyDescent="0.25">
      <c r="A3565" t="s">
        <v>1504</v>
      </c>
      <c r="B3565">
        <v>127</v>
      </c>
      <c r="C3565" t="s">
        <v>6448</v>
      </c>
      <c r="D3565" t="s">
        <v>345</v>
      </c>
      <c r="E3565" s="13">
        <v>800</v>
      </c>
      <c r="F3565" s="12">
        <v>34.9</v>
      </c>
      <c r="G3565" t="str">
        <f>IFERROR(INDEX(tEditais[Órgão],MATCH(tItens[[#This Row],[Edital]],tEditais[Edital],0)),"")</f>
        <v>MUNICIPIO DE MARTINS SOARES</v>
      </c>
      <c r="H3565" t="str">
        <f>IFERROR(INDEX(tEditais[UF],MATCH(tItens[[#This Row],[Edital]],tEditais[Edital],0)),"")</f>
        <v>MG</v>
      </c>
      <c r="I3565" s="11">
        <f>IFERROR(INDEX(tEditais[Encerramento],MATCH(tItens[[#This Row],[Edital]],tEditais[Edital],0)),"")</f>
        <v>46310.354166666664</v>
      </c>
      <c r="J3565" t="str">
        <f>IFERROR(INDEX(tProdutos[Classe],MATCH(tItens[[#This Row],[Produto]],tProdutos[Produto],0)),"produto não cadastrado")</f>
        <v>FORA</v>
      </c>
      <c r="K3565" s="12">
        <f>tItens[[#This Row],[Qtd]]*tItens[[#This Row],[Vlr unit]]</f>
        <v>27920</v>
      </c>
      <c r="L3565" s="6">
        <f>IFERROR(IF(INDEX(tProdutos[Desconto homologado],MATCH(tItens[[#This Row],[Produto]],tProdutos[Produto],0))="",DescontoPadrao,INDEX(tProdutos[Desconto homologado],MATCH(tItens[[#This Row],[Produto]],tProdutos[Produto],0))),DescontoPadrao)</f>
        <v>0.412394275616498</v>
      </c>
      <c r="M3565" s="12">
        <f>tItens[[#This Row],[Valor]]*(1-tItens[[#This Row],[Desconto]])</f>
        <v>16405.951824787375</v>
      </c>
      <c r="N3565" t="str">
        <f>IFERROR(INDEX(tProdutos[Foco],MATCH(tItens[[#This Row],[Produto]],tProdutos[Produto],0)),"Não")</f>
        <v>Não</v>
      </c>
      <c r="O3565" t="str">
        <f>IFERROR(INDEX(tEditais[SRP],MATCH(tItens[[#This Row],[Edital]],tEditais[Edital],0)),"Não")</f>
        <v>Sim</v>
      </c>
      <c r="P3565" s="4">
        <f>IF(COUNTIFS(INDEX(tItens[Edital],1):tItens[[#This Row],[Edital]],tItens[[#This Row],[Edital]],INDEX(tItens[Produto],1):tItens[[#This Row],[Produto]],tItens[[#This Row],[Produto]])=1,1,0)</f>
        <v>0</v>
      </c>
    </row>
    <row r="3566" spans="1:16" x14ac:dyDescent="0.25">
      <c r="A3566" t="s">
        <v>1504</v>
      </c>
      <c r="B3566">
        <v>128</v>
      </c>
      <c r="C3566" t="s">
        <v>6449</v>
      </c>
      <c r="D3566" t="s">
        <v>345</v>
      </c>
      <c r="E3566" s="13">
        <v>800</v>
      </c>
      <c r="F3566" s="12">
        <v>34.9</v>
      </c>
      <c r="G3566" t="str">
        <f>IFERROR(INDEX(tEditais[Órgão],MATCH(tItens[[#This Row],[Edital]],tEditais[Edital],0)),"")</f>
        <v>MUNICIPIO DE MARTINS SOARES</v>
      </c>
      <c r="H3566" t="str">
        <f>IFERROR(INDEX(tEditais[UF],MATCH(tItens[[#This Row],[Edital]],tEditais[Edital],0)),"")</f>
        <v>MG</v>
      </c>
      <c r="I3566" s="11">
        <f>IFERROR(INDEX(tEditais[Encerramento],MATCH(tItens[[#This Row],[Edital]],tEditais[Edital],0)),"")</f>
        <v>46310.354166666664</v>
      </c>
      <c r="J3566" t="str">
        <f>IFERROR(INDEX(tProdutos[Classe],MATCH(tItens[[#This Row],[Produto]],tProdutos[Produto],0)),"produto não cadastrado")</f>
        <v>FORA</v>
      </c>
      <c r="K3566" s="12">
        <f>tItens[[#This Row],[Qtd]]*tItens[[#This Row],[Vlr unit]]</f>
        <v>27920</v>
      </c>
      <c r="L3566" s="6">
        <f>IFERROR(IF(INDEX(tProdutos[Desconto homologado],MATCH(tItens[[#This Row],[Produto]],tProdutos[Produto],0))="",DescontoPadrao,INDEX(tProdutos[Desconto homologado],MATCH(tItens[[#This Row],[Produto]],tProdutos[Produto],0))),DescontoPadrao)</f>
        <v>0.412394275616498</v>
      </c>
      <c r="M3566" s="12">
        <f>tItens[[#This Row],[Valor]]*(1-tItens[[#This Row],[Desconto]])</f>
        <v>16405.951824787375</v>
      </c>
      <c r="N3566" t="str">
        <f>IFERROR(INDEX(tProdutos[Foco],MATCH(tItens[[#This Row],[Produto]],tProdutos[Produto],0)),"Não")</f>
        <v>Não</v>
      </c>
      <c r="O3566" t="str">
        <f>IFERROR(INDEX(tEditais[SRP],MATCH(tItens[[#This Row],[Edital]],tEditais[Edital],0)),"Não")</f>
        <v>Sim</v>
      </c>
      <c r="P3566" s="4">
        <f>IF(COUNTIFS(INDEX(tItens[Edital],1):tItens[[#This Row],[Edital]],tItens[[#This Row],[Edital]],INDEX(tItens[Produto],1):tItens[[#This Row],[Produto]],tItens[[#This Row],[Produto]])=1,1,0)</f>
        <v>0</v>
      </c>
    </row>
    <row r="3567" spans="1:16" x14ac:dyDescent="0.25">
      <c r="A3567" t="s">
        <v>1504</v>
      </c>
      <c r="B3567">
        <v>129</v>
      </c>
      <c r="C3567" t="s">
        <v>6450</v>
      </c>
      <c r="D3567" t="s">
        <v>345</v>
      </c>
      <c r="E3567" s="13">
        <v>200</v>
      </c>
      <c r="F3567" s="12">
        <v>34.9</v>
      </c>
      <c r="G3567" t="str">
        <f>IFERROR(INDEX(tEditais[Órgão],MATCH(tItens[[#This Row],[Edital]],tEditais[Edital],0)),"")</f>
        <v>MUNICIPIO DE MARTINS SOARES</v>
      </c>
      <c r="H3567" t="str">
        <f>IFERROR(INDEX(tEditais[UF],MATCH(tItens[[#This Row],[Edital]],tEditais[Edital],0)),"")</f>
        <v>MG</v>
      </c>
      <c r="I3567" s="11">
        <f>IFERROR(INDEX(tEditais[Encerramento],MATCH(tItens[[#This Row],[Edital]],tEditais[Edital],0)),"")</f>
        <v>46310.354166666664</v>
      </c>
      <c r="J3567" t="str">
        <f>IFERROR(INDEX(tProdutos[Classe],MATCH(tItens[[#This Row],[Produto]],tProdutos[Produto],0)),"produto não cadastrado")</f>
        <v>FORA</v>
      </c>
      <c r="K3567" s="12">
        <f>tItens[[#This Row],[Qtd]]*tItens[[#This Row],[Vlr unit]]</f>
        <v>6980</v>
      </c>
      <c r="L3567" s="6">
        <f>IFERROR(IF(INDEX(tProdutos[Desconto homologado],MATCH(tItens[[#This Row],[Produto]],tProdutos[Produto],0))="",DescontoPadrao,INDEX(tProdutos[Desconto homologado],MATCH(tItens[[#This Row],[Produto]],tProdutos[Produto],0))),DescontoPadrao)</f>
        <v>0.412394275616498</v>
      </c>
      <c r="M3567" s="12">
        <f>tItens[[#This Row],[Valor]]*(1-tItens[[#This Row],[Desconto]])</f>
        <v>4101.4879561968437</v>
      </c>
      <c r="N3567" t="str">
        <f>IFERROR(INDEX(tProdutos[Foco],MATCH(tItens[[#This Row],[Produto]],tProdutos[Produto],0)),"Não")</f>
        <v>Não</v>
      </c>
      <c r="O3567" t="str">
        <f>IFERROR(INDEX(tEditais[SRP],MATCH(tItens[[#This Row],[Edital]],tEditais[Edital],0)),"Não")</f>
        <v>Sim</v>
      </c>
      <c r="P3567" s="4">
        <f>IF(COUNTIFS(INDEX(tItens[Edital],1):tItens[[#This Row],[Edital]],tItens[[#This Row],[Edital]],INDEX(tItens[Produto],1):tItens[[#This Row],[Produto]],tItens[[#This Row],[Produto]])=1,1,0)</f>
        <v>0</v>
      </c>
    </row>
    <row r="3568" spans="1:16" x14ac:dyDescent="0.25">
      <c r="A3568" t="s">
        <v>1504</v>
      </c>
      <c r="B3568">
        <v>137</v>
      </c>
      <c r="C3568" t="s">
        <v>6451</v>
      </c>
      <c r="D3568" t="s">
        <v>142</v>
      </c>
      <c r="E3568" s="13">
        <v>500</v>
      </c>
      <c r="F3568" s="12">
        <v>13.26</v>
      </c>
      <c r="G3568" t="str">
        <f>IFERROR(INDEX(tEditais[Órgão],MATCH(tItens[[#This Row],[Edital]],tEditais[Edital],0)),"")</f>
        <v>MUNICIPIO DE MARTINS SOARES</v>
      </c>
      <c r="H3568" t="str">
        <f>IFERROR(INDEX(tEditais[UF],MATCH(tItens[[#This Row],[Edital]],tEditais[Edital],0)),"")</f>
        <v>MG</v>
      </c>
      <c r="I3568" s="11">
        <f>IFERROR(INDEX(tEditais[Encerramento],MATCH(tItens[[#This Row],[Edital]],tEditais[Edital],0)),"")</f>
        <v>46310.354166666664</v>
      </c>
      <c r="J3568" t="str">
        <f>IFERROR(INDEX(tProdutos[Classe],MATCH(tItens[[#This Row],[Produto]],tProdutos[Produto],0)),"produto não cadastrado")</f>
        <v>DISPUTADO</v>
      </c>
      <c r="K3568" s="12">
        <f>tItens[[#This Row],[Qtd]]*tItens[[#This Row],[Vlr unit]]</f>
        <v>6630</v>
      </c>
      <c r="L3568" s="6">
        <f>IFERROR(IF(INDEX(tProdutos[Desconto homologado],MATCH(tItens[[#This Row],[Produto]],tProdutos[Produto],0))="",DescontoPadrao,INDEX(tProdutos[Desconto homologado],MATCH(tItens[[#This Row],[Produto]],tProdutos[Produto],0))),DescontoPadrao)</f>
        <v>0.37093619495691699</v>
      </c>
      <c r="M3568" s="12">
        <f>tItens[[#This Row],[Valor]]*(1-tItens[[#This Row],[Desconto]])</f>
        <v>4170.69302743564</v>
      </c>
      <c r="N3568" t="str">
        <f>IFERROR(INDEX(tProdutos[Foco],MATCH(tItens[[#This Row],[Produto]],tProdutos[Produto],0)),"Não")</f>
        <v>Não</v>
      </c>
      <c r="O3568" t="str">
        <f>IFERROR(INDEX(tEditais[SRP],MATCH(tItens[[#This Row],[Edital]],tEditais[Edital],0)),"Não")</f>
        <v>Sim</v>
      </c>
      <c r="P3568" s="4">
        <f>IF(COUNTIFS(INDEX(tItens[Edital],1):tItens[[#This Row],[Edital]],tItens[[#This Row],[Edital]],INDEX(tItens[Produto],1):tItens[[#This Row],[Produto]],tItens[[#This Row],[Produto]])=1,1,0)</f>
        <v>1</v>
      </c>
    </row>
    <row r="3569" spans="1:16" x14ac:dyDescent="0.25">
      <c r="A3569" t="s">
        <v>1504</v>
      </c>
      <c r="B3569">
        <v>140</v>
      </c>
      <c r="C3569" t="s">
        <v>6452</v>
      </c>
      <c r="D3569" t="s">
        <v>67</v>
      </c>
      <c r="E3569" s="13">
        <v>30</v>
      </c>
      <c r="F3569" s="12">
        <v>36.46</v>
      </c>
      <c r="G3569" t="str">
        <f>IFERROR(INDEX(tEditais[Órgão],MATCH(tItens[[#This Row],[Edital]],tEditais[Edital],0)),"")</f>
        <v>MUNICIPIO DE MARTINS SOARES</v>
      </c>
      <c r="H3569" t="str">
        <f>IFERROR(INDEX(tEditais[UF],MATCH(tItens[[#This Row],[Edital]],tEditais[Edital],0)),"")</f>
        <v>MG</v>
      </c>
      <c r="I3569" s="11">
        <f>IFERROR(INDEX(tEditais[Encerramento],MATCH(tItens[[#This Row],[Edital]],tEditais[Edital],0)),"")</f>
        <v>46310.354166666664</v>
      </c>
      <c r="J3569" t="str">
        <f>IFERROR(INDEX(tProdutos[Classe],MATCH(tItens[[#This Row],[Produto]],tProdutos[Produto],0)),"produto não cadastrado")</f>
        <v>NÚCLEO</v>
      </c>
      <c r="K3569" s="12">
        <f>tItens[[#This Row],[Qtd]]*tItens[[#This Row],[Vlr unit]]</f>
        <v>1093.8</v>
      </c>
      <c r="L3569" s="6">
        <f>IFERROR(IF(INDEX(tProdutos[Desconto homologado],MATCH(tItens[[#This Row],[Produto]],tProdutos[Produto],0))="",DescontoPadrao,INDEX(tProdutos[Desconto homologado],MATCH(tItens[[#This Row],[Produto]],tProdutos[Produto],0))),DescontoPadrao)</f>
        <v>0.35766423357664201</v>
      </c>
      <c r="M3569" s="12">
        <f>tItens[[#This Row],[Valor]]*(1-tItens[[#This Row],[Desconto]])</f>
        <v>702.58686131386889</v>
      </c>
      <c r="N3569" t="str">
        <f>IFERROR(INDEX(tProdutos[Foco],MATCH(tItens[[#This Row],[Produto]],tProdutos[Produto],0)),"Não")</f>
        <v>Não</v>
      </c>
      <c r="O3569" t="str">
        <f>IFERROR(INDEX(tEditais[SRP],MATCH(tItens[[#This Row],[Edital]],tEditais[Edital],0)),"Não")</f>
        <v>Sim</v>
      </c>
      <c r="P3569" s="4">
        <f>IF(COUNTIFS(INDEX(tItens[Edital],1):tItens[[#This Row],[Edital]],tItens[[#This Row],[Edital]],INDEX(tItens[Produto],1):tItens[[#This Row],[Produto]],tItens[[#This Row],[Produto]])=1,1,0)</f>
        <v>1</v>
      </c>
    </row>
    <row r="3570" spans="1:16" x14ac:dyDescent="0.25">
      <c r="A3570" t="s">
        <v>1504</v>
      </c>
      <c r="B3570">
        <v>149</v>
      </c>
      <c r="C3570" t="s">
        <v>6453</v>
      </c>
      <c r="D3570" t="s">
        <v>245</v>
      </c>
      <c r="E3570" s="13">
        <v>10</v>
      </c>
      <c r="F3570" s="12">
        <v>376.83</v>
      </c>
      <c r="G3570" t="str">
        <f>IFERROR(INDEX(tEditais[Órgão],MATCH(tItens[[#This Row],[Edital]],tEditais[Edital],0)),"")</f>
        <v>MUNICIPIO DE MARTINS SOARES</v>
      </c>
      <c r="H3570" t="str">
        <f>IFERROR(INDEX(tEditais[UF],MATCH(tItens[[#This Row],[Edital]],tEditais[Edital],0)),"")</f>
        <v>MG</v>
      </c>
      <c r="I3570" s="11">
        <f>IFERROR(INDEX(tEditais[Encerramento],MATCH(tItens[[#This Row],[Edital]],tEditais[Edital],0)),"")</f>
        <v>46310.354166666664</v>
      </c>
      <c r="J3570" t="str">
        <f>IFERROR(INDEX(tProdutos[Classe],MATCH(tItens[[#This Row],[Produto]],tProdutos[Produto],0)),"produto não cadastrado")</f>
        <v>FORA</v>
      </c>
      <c r="K3570" s="12">
        <f>tItens[[#This Row],[Qtd]]*tItens[[#This Row],[Vlr unit]]</f>
        <v>3768.2999999999997</v>
      </c>
      <c r="L3570" s="6">
        <f>IFERROR(IF(INDEX(tProdutos[Desconto homologado],MATCH(tItens[[#This Row],[Produto]],tProdutos[Produto],0))="",DescontoPadrao,INDEX(tProdutos[Desconto homologado],MATCH(tItens[[#This Row],[Produto]],tProdutos[Produto],0))),DescontoPadrao)</f>
        <v>0.34516963542284401</v>
      </c>
      <c r="M3570" s="12">
        <f>tItens[[#This Row],[Valor]]*(1-tItens[[#This Row],[Desconto]])</f>
        <v>2467.5972628360969</v>
      </c>
      <c r="N3570" t="str">
        <f>IFERROR(INDEX(tProdutos[Foco],MATCH(tItens[[#This Row],[Produto]],tProdutos[Produto],0)),"Não")</f>
        <v>Não</v>
      </c>
      <c r="O3570" t="str">
        <f>IFERROR(INDEX(tEditais[SRP],MATCH(tItens[[#This Row],[Edital]],tEditais[Edital],0)),"Não")</f>
        <v>Sim</v>
      </c>
      <c r="P3570" s="4">
        <f>IF(COUNTIFS(INDEX(tItens[Edital],1):tItens[[#This Row],[Edital]],tItens[[#This Row],[Edital]],INDEX(tItens[Produto],1):tItens[[#This Row],[Produto]],tItens[[#This Row],[Produto]])=1,1,0)</f>
        <v>0</v>
      </c>
    </row>
    <row r="3571" spans="1:16" x14ac:dyDescent="0.25">
      <c r="A3571" t="s">
        <v>1504</v>
      </c>
      <c r="B3571">
        <v>153</v>
      </c>
      <c r="C3571" t="s">
        <v>6454</v>
      </c>
      <c r="D3571" t="s">
        <v>191</v>
      </c>
      <c r="E3571" s="13">
        <v>1000</v>
      </c>
      <c r="F3571" s="12">
        <v>9.9499999999999993</v>
      </c>
      <c r="G3571" t="str">
        <f>IFERROR(INDEX(tEditais[Órgão],MATCH(tItens[[#This Row],[Edital]],tEditais[Edital],0)),"")</f>
        <v>MUNICIPIO DE MARTINS SOARES</v>
      </c>
      <c r="H3571" t="str">
        <f>IFERROR(INDEX(tEditais[UF],MATCH(tItens[[#This Row],[Edital]],tEditais[Edital],0)),"")</f>
        <v>MG</v>
      </c>
      <c r="I3571" s="11">
        <f>IFERROR(INDEX(tEditais[Encerramento],MATCH(tItens[[#This Row],[Edital]],tEditais[Edital],0)),"")</f>
        <v>46310.354166666664</v>
      </c>
      <c r="J3571" t="str">
        <f>IFERROR(INDEX(tProdutos[Classe],MATCH(tItens[[#This Row],[Produto]],tProdutos[Produto],0)),"produto não cadastrado")</f>
        <v>DISPUTADO</v>
      </c>
      <c r="K3571" s="12">
        <f>tItens[[#This Row],[Qtd]]*tItens[[#This Row],[Vlr unit]]</f>
        <v>9950</v>
      </c>
      <c r="L3571" s="6">
        <f>IFERROR(IF(INDEX(tProdutos[Desconto homologado],MATCH(tItens[[#This Row],[Produto]],tProdutos[Produto],0))="",DescontoPadrao,INDEX(tProdutos[Desconto homologado],MATCH(tItens[[#This Row],[Produto]],tProdutos[Produto],0))),DescontoPadrao)</f>
        <v>0.374129526462396</v>
      </c>
      <c r="M3571" s="12">
        <f>tItens[[#This Row],[Valor]]*(1-tItens[[#This Row],[Desconto]])</f>
        <v>6227.4112116991591</v>
      </c>
      <c r="N3571" t="str">
        <f>IFERROR(INDEX(tProdutos[Foco],MATCH(tItens[[#This Row],[Produto]],tProdutos[Produto],0)),"Não")</f>
        <v>Não</v>
      </c>
      <c r="O3571" t="str">
        <f>IFERROR(INDEX(tEditais[SRP],MATCH(tItens[[#This Row],[Edital]],tEditais[Edital],0)),"Não")</f>
        <v>Sim</v>
      </c>
      <c r="P3571" s="4">
        <f>IF(COUNTIFS(INDEX(tItens[Edital],1):tItens[[#This Row],[Edital]],tItens[[#This Row],[Edital]],INDEX(tItens[Produto],1):tItens[[#This Row],[Produto]],tItens[[#This Row],[Produto]])=1,1,0)</f>
        <v>1</v>
      </c>
    </row>
    <row r="3572" spans="1:16" x14ac:dyDescent="0.25">
      <c r="A3572" t="s">
        <v>1504</v>
      </c>
      <c r="B3572">
        <v>154</v>
      </c>
      <c r="C3572" t="s">
        <v>6455</v>
      </c>
      <c r="D3572" t="s">
        <v>191</v>
      </c>
      <c r="E3572" s="13">
        <v>3000</v>
      </c>
      <c r="F3572" s="12">
        <v>9.9499999999999993</v>
      </c>
      <c r="G3572" t="str">
        <f>IFERROR(INDEX(tEditais[Órgão],MATCH(tItens[[#This Row],[Edital]],tEditais[Edital],0)),"")</f>
        <v>MUNICIPIO DE MARTINS SOARES</v>
      </c>
      <c r="H3572" t="str">
        <f>IFERROR(INDEX(tEditais[UF],MATCH(tItens[[#This Row],[Edital]],tEditais[Edital],0)),"")</f>
        <v>MG</v>
      </c>
      <c r="I3572" s="11">
        <f>IFERROR(INDEX(tEditais[Encerramento],MATCH(tItens[[#This Row],[Edital]],tEditais[Edital],0)),"")</f>
        <v>46310.354166666664</v>
      </c>
      <c r="J3572" t="str">
        <f>IFERROR(INDEX(tProdutos[Classe],MATCH(tItens[[#This Row],[Produto]],tProdutos[Produto],0)),"produto não cadastrado")</f>
        <v>DISPUTADO</v>
      </c>
      <c r="K3572" s="12">
        <f>tItens[[#This Row],[Qtd]]*tItens[[#This Row],[Vlr unit]]</f>
        <v>29849.999999999996</v>
      </c>
      <c r="L3572" s="6">
        <f>IFERROR(IF(INDEX(tProdutos[Desconto homologado],MATCH(tItens[[#This Row],[Produto]],tProdutos[Produto],0))="",DescontoPadrao,INDEX(tProdutos[Desconto homologado],MATCH(tItens[[#This Row],[Produto]],tProdutos[Produto],0))),DescontoPadrao)</f>
        <v>0.374129526462396</v>
      </c>
      <c r="M3572" s="12">
        <f>tItens[[#This Row],[Valor]]*(1-tItens[[#This Row],[Desconto]])</f>
        <v>18682.233635097477</v>
      </c>
      <c r="N3572" t="str">
        <f>IFERROR(INDEX(tProdutos[Foco],MATCH(tItens[[#This Row],[Produto]],tProdutos[Produto],0)),"Não")</f>
        <v>Não</v>
      </c>
      <c r="O3572" t="str">
        <f>IFERROR(INDEX(tEditais[SRP],MATCH(tItens[[#This Row],[Edital]],tEditais[Edital],0)),"Não")</f>
        <v>Sim</v>
      </c>
      <c r="P3572" s="4">
        <f>IF(COUNTIFS(INDEX(tItens[Edital],1):tItens[[#This Row],[Edital]],tItens[[#This Row],[Edital]],INDEX(tItens[Produto],1):tItens[[#This Row],[Produto]],tItens[[#This Row],[Produto]])=1,1,0)</f>
        <v>0</v>
      </c>
    </row>
    <row r="3573" spans="1:16" x14ac:dyDescent="0.25">
      <c r="A3573" t="s">
        <v>1504</v>
      </c>
      <c r="B3573">
        <v>155</v>
      </c>
      <c r="C3573" t="s">
        <v>6456</v>
      </c>
      <c r="D3573" t="s">
        <v>191</v>
      </c>
      <c r="E3573" s="13">
        <v>2000</v>
      </c>
      <c r="F3573" s="12">
        <v>9.9499999999999993</v>
      </c>
      <c r="G3573" t="str">
        <f>IFERROR(INDEX(tEditais[Órgão],MATCH(tItens[[#This Row],[Edital]],tEditais[Edital],0)),"")</f>
        <v>MUNICIPIO DE MARTINS SOARES</v>
      </c>
      <c r="H3573" t="str">
        <f>IFERROR(INDEX(tEditais[UF],MATCH(tItens[[#This Row],[Edital]],tEditais[Edital],0)),"")</f>
        <v>MG</v>
      </c>
      <c r="I3573" s="11">
        <f>IFERROR(INDEX(tEditais[Encerramento],MATCH(tItens[[#This Row],[Edital]],tEditais[Edital],0)),"")</f>
        <v>46310.354166666664</v>
      </c>
      <c r="J3573" t="str">
        <f>IFERROR(INDEX(tProdutos[Classe],MATCH(tItens[[#This Row],[Produto]],tProdutos[Produto],0)),"produto não cadastrado")</f>
        <v>DISPUTADO</v>
      </c>
      <c r="K3573" s="12">
        <f>tItens[[#This Row],[Qtd]]*tItens[[#This Row],[Vlr unit]]</f>
        <v>19900</v>
      </c>
      <c r="L3573" s="6">
        <f>IFERROR(IF(INDEX(tProdutos[Desconto homologado],MATCH(tItens[[#This Row],[Produto]],tProdutos[Produto],0))="",DescontoPadrao,INDEX(tProdutos[Desconto homologado],MATCH(tItens[[#This Row],[Produto]],tProdutos[Produto],0))),DescontoPadrao)</f>
        <v>0.374129526462396</v>
      </c>
      <c r="M3573" s="12">
        <f>tItens[[#This Row],[Valor]]*(1-tItens[[#This Row],[Desconto]])</f>
        <v>12454.822423398318</v>
      </c>
      <c r="N3573" t="str">
        <f>IFERROR(INDEX(tProdutos[Foco],MATCH(tItens[[#This Row],[Produto]],tProdutos[Produto],0)),"Não")</f>
        <v>Não</v>
      </c>
      <c r="O3573" t="str">
        <f>IFERROR(INDEX(tEditais[SRP],MATCH(tItens[[#This Row],[Edital]],tEditais[Edital],0)),"Não")</f>
        <v>Sim</v>
      </c>
      <c r="P3573" s="4">
        <f>IF(COUNTIFS(INDEX(tItens[Edital],1):tItens[[#This Row],[Edital]],tItens[[#This Row],[Edital]],INDEX(tItens[Produto],1):tItens[[#This Row],[Produto]],tItens[[#This Row],[Produto]])=1,1,0)</f>
        <v>0</v>
      </c>
    </row>
    <row r="3574" spans="1:16" x14ac:dyDescent="0.25">
      <c r="A3574" t="s">
        <v>1504</v>
      </c>
      <c r="B3574">
        <v>165</v>
      </c>
      <c r="C3574" t="s">
        <v>6457</v>
      </c>
      <c r="D3574" t="s">
        <v>277</v>
      </c>
      <c r="E3574" s="13">
        <v>4000</v>
      </c>
      <c r="F3574" s="12">
        <v>17.07</v>
      </c>
      <c r="G3574" t="str">
        <f>IFERROR(INDEX(tEditais[Órgão],MATCH(tItens[[#This Row],[Edital]],tEditais[Edital],0)),"")</f>
        <v>MUNICIPIO DE MARTINS SOARES</v>
      </c>
      <c r="H3574" t="str">
        <f>IFERROR(INDEX(tEditais[UF],MATCH(tItens[[#This Row],[Edital]],tEditais[Edital],0)),"")</f>
        <v>MG</v>
      </c>
      <c r="I3574" s="11">
        <f>IFERROR(INDEX(tEditais[Encerramento],MATCH(tItens[[#This Row],[Edital]],tEditais[Edital],0)),"")</f>
        <v>46310.354166666664</v>
      </c>
      <c r="J3574" t="str">
        <f>IFERROR(INDEX(tProdutos[Classe],MATCH(tItens[[#This Row],[Produto]],tProdutos[Produto],0)),"produto não cadastrado")</f>
        <v>DISPUTADO</v>
      </c>
      <c r="K3574" s="12">
        <f>tItens[[#This Row],[Qtd]]*tItens[[#This Row],[Vlr unit]]</f>
        <v>68280</v>
      </c>
      <c r="L3574" s="6">
        <f>IFERROR(IF(INDEX(tProdutos[Desconto homologado],MATCH(tItens[[#This Row],[Produto]],tProdutos[Produto],0))="",DescontoPadrao,INDEX(tProdutos[Desconto homologado],MATCH(tItens[[#This Row],[Produto]],tProdutos[Produto],0))),DescontoPadrao)</f>
        <v>0.50460666194188497</v>
      </c>
      <c r="M3574" s="12">
        <f>tItens[[#This Row],[Valor]]*(1-tItens[[#This Row],[Desconto]])</f>
        <v>33825.457122608095</v>
      </c>
      <c r="N3574" t="str">
        <f>IFERROR(INDEX(tProdutos[Foco],MATCH(tItens[[#This Row],[Produto]],tProdutos[Produto],0)),"Não")</f>
        <v>Não</v>
      </c>
      <c r="O3574" t="str">
        <f>IFERROR(INDEX(tEditais[SRP],MATCH(tItens[[#This Row],[Edital]],tEditais[Edital],0)),"Não")</f>
        <v>Sim</v>
      </c>
      <c r="P3574" s="4">
        <f>IF(COUNTIFS(INDEX(tItens[Edital],1):tItens[[#This Row],[Edital]],tItens[[#This Row],[Edital]],INDEX(tItens[Produto],1):tItens[[#This Row],[Produto]],tItens[[#This Row],[Produto]])=1,1,0)</f>
        <v>1</v>
      </c>
    </row>
    <row r="3575" spans="1:16" x14ac:dyDescent="0.25">
      <c r="A3575" t="s">
        <v>1504</v>
      </c>
      <c r="B3575">
        <v>166</v>
      </c>
      <c r="C3575" t="s">
        <v>6458</v>
      </c>
      <c r="D3575" t="s">
        <v>267</v>
      </c>
      <c r="E3575" s="13">
        <v>3000</v>
      </c>
      <c r="F3575" s="12">
        <v>26.37</v>
      </c>
      <c r="G3575" t="str">
        <f>IFERROR(INDEX(tEditais[Órgão],MATCH(tItens[[#This Row],[Edital]],tEditais[Edital],0)),"")</f>
        <v>MUNICIPIO DE MARTINS SOARES</v>
      </c>
      <c r="H3575" t="str">
        <f>IFERROR(INDEX(tEditais[UF],MATCH(tItens[[#This Row],[Edital]],tEditais[Edital],0)),"")</f>
        <v>MG</v>
      </c>
      <c r="I3575" s="11">
        <f>IFERROR(INDEX(tEditais[Encerramento],MATCH(tItens[[#This Row],[Edital]],tEditais[Edital],0)),"")</f>
        <v>46310.354166666664</v>
      </c>
      <c r="J3575" t="str">
        <f>IFERROR(INDEX(tProdutos[Classe],MATCH(tItens[[#This Row],[Produto]],tProdutos[Produto],0)),"produto não cadastrado")</f>
        <v>FORA</v>
      </c>
      <c r="K3575" s="12">
        <f>tItens[[#This Row],[Qtd]]*tItens[[#This Row],[Vlr unit]]</f>
        <v>79110</v>
      </c>
      <c r="L3575" s="6">
        <f>IFERROR(IF(INDEX(tProdutos[Desconto homologado],MATCH(tItens[[#This Row],[Produto]],tProdutos[Produto],0))="",DescontoPadrao,INDEX(tProdutos[Desconto homologado],MATCH(tItens[[#This Row],[Produto]],tProdutos[Produto],0))),DescontoPadrao)</f>
        <v>0.19963672657401599</v>
      </c>
      <c r="M3575" s="12">
        <f>tItens[[#This Row],[Valor]]*(1-tItens[[#This Row],[Desconto]])</f>
        <v>63316.738560729595</v>
      </c>
      <c r="N3575" t="str">
        <f>IFERROR(INDEX(tProdutos[Foco],MATCH(tItens[[#This Row],[Produto]],tProdutos[Produto],0)),"Não")</f>
        <v>Não</v>
      </c>
      <c r="O3575" t="str">
        <f>IFERROR(INDEX(tEditais[SRP],MATCH(tItens[[#This Row],[Edital]],tEditais[Edital],0)),"Não")</f>
        <v>Sim</v>
      </c>
      <c r="P3575" s="4">
        <f>IF(COUNTIFS(INDEX(tItens[Edital],1):tItens[[#This Row],[Edital]],tItens[[#This Row],[Edital]],INDEX(tItens[Produto],1):tItens[[#This Row],[Produto]],tItens[[#This Row],[Produto]])=1,1,0)</f>
        <v>1</v>
      </c>
    </row>
    <row r="3576" spans="1:16" x14ac:dyDescent="0.25">
      <c r="A3576" t="s">
        <v>1504</v>
      </c>
      <c r="B3576">
        <v>175</v>
      </c>
      <c r="C3576" t="s">
        <v>6459</v>
      </c>
      <c r="D3576" t="s">
        <v>267</v>
      </c>
      <c r="E3576" s="13">
        <v>50</v>
      </c>
      <c r="F3576" s="12">
        <v>77.459999999999994</v>
      </c>
      <c r="G3576" t="str">
        <f>IFERROR(INDEX(tEditais[Órgão],MATCH(tItens[[#This Row],[Edital]],tEditais[Edital],0)),"")</f>
        <v>MUNICIPIO DE MARTINS SOARES</v>
      </c>
      <c r="H3576" t="str">
        <f>IFERROR(INDEX(tEditais[UF],MATCH(tItens[[#This Row],[Edital]],tEditais[Edital],0)),"")</f>
        <v>MG</v>
      </c>
      <c r="I3576" s="11">
        <f>IFERROR(INDEX(tEditais[Encerramento],MATCH(tItens[[#This Row],[Edital]],tEditais[Edital],0)),"")</f>
        <v>46310.354166666664</v>
      </c>
      <c r="J3576" t="str">
        <f>IFERROR(INDEX(tProdutos[Classe],MATCH(tItens[[#This Row],[Produto]],tProdutos[Produto],0)),"produto não cadastrado")</f>
        <v>FORA</v>
      </c>
      <c r="K3576" s="12">
        <f>tItens[[#This Row],[Qtd]]*tItens[[#This Row],[Vlr unit]]</f>
        <v>3872.9999999999995</v>
      </c>
      <c r="L3576" s="6">
        <f>IFERROR(IF(INDEX(tProdutos[Desconto homologado],MATCH(tItens[[#This Row],[Produto]],tProdutos[Produto],0))="",DescontoPadrao,INDEX(tProdutos[Desconto homologado],MATCH(tItens[[#This Row],[Produto]],tProdutos[Produto],0))),DescontoPadrao)</f>
        <v>0.19963672657401599</v>
      </c>
      <c r="M3576" s="12">
        <f>tItens[[#This Row],[Valor]]*(1-tItens[[#This Row],[Desconto]])</f>
        <v>3099.8069579788357</v>
      </c>
      <c r="N3576" t="str">
        <f>IFERROR(INDEX(tProdutos[Foco],MATCH(tItens[[#This Row],[Produto]],tProdutos[Produto],0)),"Não")</f>
        <v>Não</v>
      </c>
      <c r="O3576" t="str">
        <f>IFERROR(INDEX(tEditais[SRP],MATCH(tItens[[#This Row],[Edital]],tEditais[Edital],0)),"Não")</f>
        <v>Sim</v>
      </c>
      <c r="P3576" s="4">
        <f>IF(COUNTIFS(INDEX(tItens[Edital],1):tItens[[#This Row],[Edital]],tItens[[#This Row],[Edital]],INDEX(tItens[Produto],1):tItens[[#This Row],[Produto]],tItens[[#This Row],[Produto]])=1,1,0)</f>
        <v>0</v>
      </c>
    </row>
    <row r="3577" spans="1:16" x14ac:dyDescent="0.25">
      <c r="A3577" t="s">
        <v>1504</v>
      </c>
      <c r="B3577">
        <v>179</v>
      </c>
      <c r="C3577" t="s">
        <v>6460</v>
      </c>
      <c r="D3577" t="s">
        <v>56</v>
      </c>
      <c r="E3577" s="13">
        <v>100</v>
      </c>
      <c r="F3577" s="12">
        <v>46.8</v>
      </c>
      <c r="G3577" t="str">
        <f>IFERROR(INDEX(tEditais[Órgão],MATCH(tItens[[#This Row],[Edital]],tEditais[Edital],0)),"")</f>
        <v>MUNICIPIO DE MARTINS SOARES</v>
      </c>
      <c r="H3577" t="str">
        <f>IFERROR(INDEX(tEditais[UF],MATCH(tItens[[#This Row],[Edital]],tEditais[Edital],0)),"")</f>
        <v>MG</v>
      </c>
      <c r="I3577" s="11">
        <f>IFERROR(INDEX(tEditais[Encerramento],MATCH(tItens[[#This Row],[Edital]],tEditais[Edital],0)),"")</f>
        <v>46310.354166666664</v>
      </c>
      <c r="J3577" t="str">
        <f>IFERROR(INDEX(tProdutos[Classe],MATCH(tItens[[#This Row],[Produto]],tProdutos[Produto],0)),"produto não cadastrado")</f>
        <v>NÚCLEO</v>
      </c>
      <c r="K3577" s="12">
        <f>tItens[[#This Row],[Qtd]]*tItens[[#This Row],[Vlr unit]]</f>
        <v>4680</v>
      </c>
      <c r="L3577" s="6">
        <f>IFERROR(IF(INDEX(tProdutos[Desconto homologado],MATCH(tItens[[#This Row],[Produto]],tProdutos[Produto],0))="",DescontoPadrao,INDEX(tProdutos[Desconto homologado],MATCH(tItens[[#This Row],[Produto]],tProdutos[Produto],0))),DescontoPadrao)</f>
        <v>0.34</v>
      </c>
      <c r="M3577" s="12">
        <f>tItens[[#This Row],[Valor]]*(1-tItens[[#This Row],[Desconto]])</f>
        <v>3088.7999999999997</v>
      </c>
      <c r="N3577" t="str">
        <f>IFERROR(INDEX(tProdutos[Foco],MATCH(tItens[[#This Row],[Produto]],tProdutos[Produto],0)),"Não")</f>
        <v>Sim</v>
      </c>
      <c r="O3577" t="str">
        <f>IFERROR(INDEX(tEditais[SRP],MATCH(tItens[[#This Row],[Edital]],tEditais[Edital],0)),"Não")</f>
        <v>Sim</v>
      </c>
      <c r="P3577" s="4">
        <f>IF(COUNTIFS(INDEX(tItens[Edital],1):tItens[[#This Row],[Edital]],tItens[[#This Row],[Edital]],INDEX(tItens[Produto],1):tItens[[#This Row],[Produto]],tItens[[#This Row],[Produto]])=1,1,0)</f>
        <v>1</v>
      </c>
    </row>
    <row r="3578" spans="1:16" x14ac:dyDescent="0.25">
      <c r="A3578" t="s">
        <v>1504</v>
      </c>
      <c r="B3578">
        <v>180</v>
      </c>
      <c r="C3578" t="s">
        <v>6461</v>
      </c>
      <c r="D3578" t="s">
        <v>56</v>
      </c>
      <c r="E3578" s="13">
        <v>50</v>
      </c>
      <c r="F3578" s="12">
        <v>46.8</v>
      </c>
      <c r="G3578" t="str">
        <f>IFERROR(INDEX(tEditais[Órgão],MATCH(tItens[[#This Row],[Edital]],tEditais[Edital],0)),"")</f>
        <v>MUNICIPIO DE MARTINS SOARES</v>
      </c>
      <c r="H3578" t="str">
        <f>IFERROR(INDEX(tEditais[UF],MATCH(tItens[[#This Row],[Edital]],tEditais[Edital],0)),"")</f>
        <v>MG</v>
      </c>
      <c r="I3578" s="11">
        <f>IFERROR(INDEX(tEditais[Encerramento],MATCH(tItens[[#This Row],[Edital]],tEditais[Edital],0)),"")</f>
        <v>46310.354166666664</v>
      </c>
      <c r="J3578" t="str">
        <f>IFERROR(INDEX(tProdutos[Classe],MATCH(tItens[[#This Row],[Produto]],tProdutos[Produto],0)),"produto não cadastrado")</f>
        <v>NÚCLEO</v>
      </c>
      <c r="K3578" s="12">
        <f>tItens[[#This Row],[Qtd]]*tItens[[#This Row],[Vlr unit]]</f>
        <v>2340</v>
      </c>
      <c r="L3578" s="6">
        <f>IFERROR(IF(INDEX(tProdutos[Desconto homologado],MATCH(tItens[[#This Row],[Produto]],tProdutos[Produto],0))="",DescontoPadrao,INDEX(tProdutos[Desconto homologado],MATCH(tItens[[#This Row],[Produto]],tProdutos[Produto],0))),DescontoPadrao)</f>
        <v>0.34</v>
      </c>
      <c r="M3578" s="12">
        <f>tItens[[#This Row],[Valor]]*(1-tItens[[#This Row],[Desconto]])</f>
        <v>1544.3999999999999</v>
      </c>
      <c r="N3578" t="str">
        <f>IFERROR(INDEX(tProdutos[Foco],MATCH(tItens[[#This Row],[Produto]],tProdutos[Produto],0)),"Não")</f>
        <v>Sim</v>
      </c>
      <c r="O3578" t="str">
        <f>IFERROR(INDEX(tEditais[SRP],MATCH(tItens[[#This Row],[Edital]],tEditais[Edital],0)),"Não")</f>
        <v>Sim</v>
      </c>
      <c r="P3578" s="4">
        <f>IF(COUNTIFS(INDEX(tItens[Edital],1):tItens[[#This Row],[Edital]],tItens[[#This Row],[Edital]],INDEX(tItens[Produto],1):tItens[[#This Row],[Produto]],tItens[[#This Row],[Produto]])=1,1,0)</f>
        <v>0</v>
      </c>
    </row>
    <row r="3579" spans="1:16" x14ac:dyDescent="0.25">
      <c r="A3579" t="s">
        <v>1504</v>
      </c>
      <c r="B3579">
        <v>181</v>
      </c>
      <c r="C3579" t="s">
        <v>6462</v>
      </c>
      <c r="D3579" t="s">
        <v>56</v>
      </c>
      <c r="E3579" s="13">
        <v>10</v>
      </c>
      <c r="F3579" s="12">
        <v>46.8</v>
      </c>
      <c r="G3579" t="str">
        <f>IFERROR(INDEX(tEditais[Órgão],MATCH(tItens[[#This Row],[Edital]],tEditais[Edital],0)),"")</f>
        <v>MUNICIPIO DE MARTINS SOARES</v>
      </c>
      <c r="H3579" t="str">
        <f>IFERROR(INDEX(tEditais[UF],MATCH(tItens[[#This Row],[Edital]],tEditais[Edital],0)),"")</f>
        <v>MG</v>
      </c>
      <c r="I3579" s="11">
        <f>IFERROR(INDEX(tEditais[Encerramento],MATCH(tItens[[#This Row],[Edital]],tEditais[Edital],0)),"")</f>
        <v>46310.354166666664</v>
      </c>
      <c r="J3579" t="str">
        <f>IFERROR(INDEX(tProdutos[Classe],MATCH(tItens[[#This Row],[Produto]],tProdutos[Produto],0)),"produto não cadastrado")</f>
        <v>NÚCLEO</v>
      </c>
      <c r="K3579" s="12">
        <f>tItens[[#This Row],[Qtd]]*tItens[[#This Row],[Vlr unit]]</f>
        <v>468</v>
      </c>
      <c r="L3579" s="6">
        <f>IFERROR(IF(INDEX(tProdutos[Desconto homologado],MATCH(tItens[[#This Row],[Produto]],tProdutos[Produto],0))="",DescontoPadrao,INDEX(tProdutos[Desconto homologado],MATCH(tItens[[#This Row],[Produto]],tProdutos[Produto],0))),DescontoPadrao)</f>
        <v>0.34</v>
      </c>
      <c r="M3579" s="12">
        <f>tItens[[#This Row],[Valor]]*(1-tItens[[#This Row],[Desconto]])</f>
        <v>308.87999999999994</v>
      </c>
      <c r="N3579" t="str">
        <f>IFERROR(INDEX(tProdutos[Foco],MATCH(tItens[[#This Row],[Produto]],tProdutos[Produto],0)),"Não")</f>
        <v>Sim</v>
      </c>
      <c r="O3579" t="str">
        <f>IFERROR(INDEX(tEditais[SRP],MATCH(tItens[[#This Row],[Edital]],tEditais[Edital],0)),"Não")</f>
        <v>Sim</v>
      </c>
      <c r="P3579" s="4">
        <f>IF(COUNTIFS(INDEX(tItens[Edital],1):tItens[[#This Row],[Edital]],tItens[[#This Row],[Edital]],INDEX(tItens[Produto],1):tItens[[#This Row],[Produto]],tItens[[#This Row],[Produto]])=1,1,0)</f>
        <v>0</v>
      </c>
    </row>
    <row r="3580" spans="1:16" x14ac:dyDescent="0.25">
      <c r="A3580" t="s">
        <v>1504</v>
      </c>
      <c r="B3580">
        <v>182</v>
      </c>
      <c r="C3580" t="s">
        <v>6463</v>
      </c>
      <c r="D3580" t="s">
        <v>56</v>
      </c>
      <c r="E3580" s="13">
        <v>50</v>
      </c>
      <c r="F3580" s="12">
        <v>46.8</v>
      </c>
      <c r="G3580" t="str">
        <f>IFERROR(INDEX(tEditais[Órgão],MATCH(tItens[[#This Row],[Edital]],tEditais[Edital],0)),"")</f>
        <v>MUNICIPIO DE MARTINS SOARES</v>
      </c>
      <c r="H3580" t="str">
        <f>IFERROR(INDEX(tEditais[UF],MATCH(tItens[[#This Row],[Edital]],tEditais[Edital],0)),"")</f>
        <v>MG</v>
      </c>
      <c r="I3580" s="11">
        <f>IFERROR(INDEX(tEditais[Encerramento],MATCH(tItens[[#This Row],[Edital]],tEditais[Edital],0)),"")</f>
        <v>46310.354166666664</v>
      </c>
      <c r="J3580" t="str">
        <f>IFERROR(INDEX(tProdutos[Classe],MATCH(tItens[[#This Row],[Produto]],tProdutos[Produto],0)),"produto não cadastrado")</f>
        <v>NÚCLEO</v>
      </c>
      <c r="K3580" s="12">
        <f>tItens[[#This Row],[Qtd]]*tItens[[#This Row],[Vlr unit]]</f>
        <v>2340</v>
      </c>
      <c r="L3580" s="6">
        <f>IFERROR(IF(INDEX(tProdutos[Desconto homologado],MATCH(tItens[[#This Row],[Produto]],tProdutos[Produto],0))="",DescontoPadrao,INDEX(tProdutos[Desconto homologado],MATCH(tItens[[#This Row],[Produto]],tProdutos[Produto],0))),DescontoPadrao)</f>
        <v>0.34</v>
      </c>
      <c r="M3580" s="12">
        <f>tItens[[#This Row],[Valor]]*(1-tItens[[#This Row],[Desconto]])</f>
        <v>1544.3999999999999</v>
      </c>
      <c r="N3580" t="str">
        <f>IFERROR(INDEX(tProdutos[Foco],MATCH(tItens[[#This Row],[Produto]],tProdutos[Produto],0)),"Não")</f>
        <v>Sim</v>
      </c>
      <c r="O3580" t="str">
        <f>IFERROR(INDEX(tEditais[SRP],MATCH(tItens[[#This Row],[Edital]],tEditais[Edital],0)),"Não")</f>
        <v>Sim</v>
      </c>
      <c r="P3580" s="4">
        <f>IF(COUNTIFS(INDEX(tItens[Edital],1):tItens[[#This Row],[Edital]],tItens[[#This Row],[Edital]],INDEX(tItens[Produto],1):tItens[[#This Row],[Produto]],tItens[[#This Row],[Produto]])=1,1,0)</f>
        <v>0</v>
      </c>
    </row>
    <row r="3581" spans="1:16" x14ac:dyDescent="0.25">
      <c r="A3581" t="s">
        <v>1504</v>
      </c>
      <c r="B3581">
        <v>185</v>
      </c>
      <c r="C3581" t="s">
        <v>6464</v>
      </c>
      <c r="D3581" t="s">
        <v>56</v>
      </c>
      <c r="E3581" s="13">
        <v>100</v>
      </c>
      <c r="F3581" s="12">
        <v>47.87</v>
      </c>
      <c r="G3581" t="str">
        <f>IFERROR(INDEX(tEditais[Órgão],MATCH(tItens[[#This Row],[Edital]],tEditais[Edital],0)),"")</f>
        <v>MUNICIPIO DE MARTINS SOARES</v>
      </c>
      <c r="H3581" t="str">
        <f>IFERROR(INDEX(tEditais[UF],MATCH(tItens[[#This Row],[Edital]],tEditais[Edital],0)),"")</f>
        <v>MG</v>
      </c>
      <c r="I3581" s="11">
        <f>IFERROR(INDEX(tEditais[Encerramento],MATCH(tItens[[#This Row],[Edital]],tEditais[Edital],0)),"")</f>
        <v>46310.354166666664</v>
      </c>
      <c r="J3581" t="str">
        <f>IFERROR(INDEX(tProdutos[Classe],MATCH(tItens[[#This Row],[Produto]],tProdutos[Produto],0)),"produto não cadastrado")</f>
        <v>NÚCLEO</v>
      </c>
      <c r="K3581" s="12">
        <f>tItens[[#This Row],[Qtd]]*tItens[[#This Row],[Vlr unit]]</f>
        <v>4787</v>
      </c>
      <c r="L3581" s="6">
        <f>IFERROR(IF(INDEX(tProdutos[Desconto homologado],MATCH(tItens[[#This Row],[Produto]],tProdutos[Produto],0))="",DescontoPadrao,INDEX(tProdutos[Desconto homologado],MATCH(tItens[[#This Row],[Produto]],tProdutos[Produto],0))),DescontoPadrao)</f>
        <v>0.34</v>
      </c>
      <c r="M3581" s="12">
        <f>tItens[[#This Row],[Valor]]*(1-tItens[[#This Row],[Desconto]])</f>
        <v>3159.4199999999996</v>
      </c>
      <c r="N3581" t="str">
        <f>IFERROR(INDEX(tProdutos[Foco],MATCH(tItens[[#This Row],[Produto]],tProdutos[Produto],0)),"Não")</f>
        <v>Sim</v>
      </c>
      <c r="O3581" t="str">
        <f>IFERROR(INDEX(tEditais[SRP],MATCH(tItens[[#This Row],[Edital]],tEditais[Edital],0)),"Não")</f>
        <v>Sim</v>
      </c>
      <c r="P3581" s="4">
        <f>IF(COUNTIFS(INDEX(tItens[Edital],1):tItens[[#This Row],[Edital]],tItens[[#This Row],[Edital]],INDEX(tItens[Produto],1):tItens[[#This Row],[Produto]],tItens[[#This Row],[Produto]])=1,1,0)</f>
        <v>0</v>
      </c>
    </row>
    <row r="3582" spans="1:16" x14ac:dyDescent="0.25">
      <c r="A3582" t="s">
        <v>1504</v>
      </c>
      <c r="B3582">
        <v>197</v>
      </c>
      <c r="C3582" t="s">
        <v>6465</v>
      </c>
      <c r="D3582" t="s">
        <v>257</v>
      </c>
      <c r="E3582" s="13">
        <v>20</v>
      </c>
      <c r="F3582" s="12">
        <v>23.45</v>
      </c>
      <c r="G3582" t="str">
        <f>IFERROR(INDEX(tEditais[Órgão],MATCH(tItens[[#This Row],[Edital]],tEditais[Edital],0)),"")</f>
        <v>MUNICIPIO DE MARTINS SOARES</v>
      </c>
      <c r="H3582" t="str">
        <f>IFERROR(INDEX(tEditais[UF],MATCH(tItens[[#This Row],[Edital]],tEditais[Edital],0)),"")</f>
        <v>MG</v>
      </c>
      <c r="I3582" s="11">
        <f>IFERROR(INDEX(tEditais[Encerramento],MATCH(tItens[[#This Row],[Edital]],tEditais[Edital],0)),"")</f>
        <v>46310.354166666664</v>
      </c>
      <c r="J3582" t="str">
        <f>IFERROR(INDEX(tProdutos[Classe],MATCH(tItens[[#This Row],[Produto]],tProdutos[Produto],0)),"produto não cadastrado")</f>
        <v>FORA</v>
      </c>
      <c r="K3582" s="12">
        <f>tItens[[#This Row],[Qtd]]*tItens[[#This Row],[Vlr unit]]</f>
        <v>469</v>
      </c>
      <c r="L3582" s="6">
        <f>IFERROR(IF(INDEX(tProdutos[Desconto homologado],MATCH(tItens[[#This Row],[Produto]],tProdutos[Produto],0))="",DescontoPadrao,INDEX(tProdutos[Desconto homologado],MATCH(tItens[[#This Row],[Produto]],tProdutos[Produto],0))),DescontoPadrao)</f>
        <v>0.500812004991805</v>
      </c>
      <c r="M3582" s="12">
        <f>tItens[[#This Row],[Valor]]*(1-tItens[[#This Row],[Desconto]])</f>
        <v>234.11916965884345</v>
      </c>
      <c r="N3582" t="str">
        <f>IFERROR(INDEX(tProdutos[Foco],MATCH(tItens[[#This Row],[Produto]],tProdutos[Produto],0)),"Não")</f>
        <v>Não</v>
      </c>
      <c r="O3582" t="str">
        <f>IFERROR(INDEX(tEditais[SRP],MATCH(tItens[[#This Row],[Edital]],tEditais[Edital],0)),"Não")</f>
        <v>Sim</v>
      </c>
      <c r="P3582" s="4">
        <f>IF(COUNTIFS(INDEX(tItens[Edital],1):tItens[[#This Row],[Edital]],tItens[[#This Row],[Edital]],INDEX(tItens[Produto],1):tItens[[#This Row],[Produto]],tItens[[#This Row],[Produto]])=1,1,0)</f>
        <v>1</v>
      </c>
    </row>
    <row r="3583" spans="1:16" x14ac:dyDescent="0.25">
      <c r="A3583" t="s">
        <v>1504</v>
      </c>
      <c r="B3583">
        <v>201</v>
      </c>
      <c r="C3583" t="s">
        <v>6466</v>
      </c>
      <c r="D3583" t="s">
        <v>249</v>
      </c>
      <c r="E3583" s="13">
        <v>50</v>
      </c>
      <c r="F3583" s="12">
        <v>28.5</v>
      </c>
      <c r="G3583" t="str">
        <f>IFERROR(INDEX(tEditais[Órgão],MATCH(tItens[[#This Row],[Edital]],tEditais[Edital],0)),"")</f>
        <v>MUNICIPIO DE MARTINS SOARES</v>
      </c>
      <c r="H3583" t="str">
        <f>IFERROR(INDEX(tEditais[UF],MATCH(tItens[[#This Row],[Edital]],tEditais[Edital],0)),"")</f>
        <v>MG</v>
      </c>
      <c r="I3583" s="11">
        <f>IFERROR(INDEX(tEditais[Encerramento],MATCH(tItens[[#This Row],[Edital]],tEditais[Edital],0)),"")</f>
        <v>46310.354166666664</v>
      </c>
      <c r="J3583" t="str">
        <f>IFERROR(INDEX(tProdutos[Classe],MATCH(tItens[[#This Row],[Produto]],tProdutos[Produto],0)),"produto não cadastrado")</f>
        <v>FORA</v>
      </c>
      <c r="K3583" s="12">
        <f>tItens[[#This Row],[Qtd]]*tItens[[#This Row],[Vlr unit]]</f>
        <v>1425</v>
      </c>
      <c r="L3583" s="6">
        <f>IFERROR(IF(INDEX(tProdutos[Desconto homologado],MATCH(tItens[[#This Row],[Produto]],tProdutos[Produto],0))="",DescontoPadrao,INDEX(tProdutos[Desconto homologado],MATCH(tItens[[#This Row],[Produto]],tProdutos[Produto],0))),DescontoPadrao)</f>
        <v>0.45399945399945402</v>
      </c>
      <c r="M3583" s="12">
        <f>tItens[[#This Row],[Valor]]*(1-tItens[[#This Row],[Desconto]])</f>
        <v>778.05077805077792</v>
      </c>
      <c r="N3583" t="str">
        <f>IFERROR(INDEX(tProdutos[Foco],MATCH(tItens[[#This Row],[Produto]],tProdutos[Produto],0)),"Não")</f>
        <v>Não</v>
      </c>
      <c r="O3583" t="str">
        <f>IFERROR(INDEX(tEditais[SRP],MATCH(tItens[[#This Row],[Edital]],tEditais[Edital],0)),"Não")</f>
        <v>Sim</v>
      </c>
      <c r="P3583" s="4">
        <f>IF(COUNTIFS(INDEX(tItens[Edital],1):tItens[[#This Row],[Edital]],tItens[[#This Row],[Edital]],INDEX(tItens[Produto],1):tItens[[#This Row],[Produto]],tItens[[#This Row],[Produto]])=1,1,0)</f>
        <v>1</v>
      </c>
    </row>
    <row r="3584" spans="1:16" x14ac:dyDescent="0.25">
      <c r="A3584" t="s">
        <v>1504</v>
      </c>
      <c r="B3584">
        <v>204</v>
      </c>
      <c r="C3584" t="s">
        <v>6467</v>
      </c>
      <c r="D3584" t="s">
        <v>170</v>
      </c>
      <c r="E3584" s="13">
        <v>20</v>
      </c>
      <c r="F3584" s="12">
        <v>54.83</v>
      </c>
      <c r="G3584" t="str">
        <f>IFERROR(INDEX(tEditais[Órgão],MATCH(tItens[[#This Row],[Edital]],tEditais[Edital],0)),"")</f>
        <v>MUNICIPIO DE MARTINS SOARES</v>
      </c>
      <c r="H3584" t="str">
        <f>IFERROR(INDEX(tEditais[UF],MATCH(tItens[[#This Row],[Edital]],tEditais[Edital],0)),"")</f>
        <v>MG</v>
      </c>
      <c r="I3584" s="11">
        <f>IFERROR(INDEX(tEditais[Encerramento],MATCH(tItens[[#This Row],[Edital]],tEditais[Edital],0)),"")</f>
        <v>46310.354166666664</v>
      </c>
      <c r="J3584" t="str">
        <f>IFERROR(INDEX(tProdutos[Classe],MATCH(tItens[[#This Row],[Produto]],tProdutos[Produto],0)),"produto não cadastrado")</f>
        <v>DISPUTADO</v>
      </c>
      <c r="K3584" s="12">
        <f>tItens[[#This Row],[Qtd]]*tItens[[#This Row],[Vlr unit]]</f>
        <v>1096.5999999999999</v>
      </c>
      <c r="L3584" s="6">
        <f>IFERROR(IF(INDEX(tProdutos[Desconto homologado],MATCH(tItens[[#This Row],[Produto]],tProdutos[Produto],0))="",DescontoPadrao,INDEX(tProdutos[Desconto homologado],MATCH(tItens[[#This Row],[Produto]],tProdutos[Produto],0))),DescontoPadrao)</f>
        <v>0.36</v>
      </c>
      <c r="M3584" s="12">
        <f>tItens[[#This Row],[Valor]]*(1-tItens[[#This Row],[Desconto]])</f>
        <v>701.82399999999996</v>
      </c>
      <c r="N3584" t="str">
        <f>IFERROR(INDEX(tProdutos[Foco],MATCH(tItens[[#This Row],[Produto]],tProdutos[Produto],0)),"Não")</f>
        <v>Sim</v>
      </c>
      <c r="O3584" t="str">
        <f>IFERROR(INDEX(tEditais[SRP],MATCH(tItens[[#This Row],[Edital]],tEditais[Edital],0)),"Não")</f>
        <v>Sim</v>
      </c>
      <c r="P3584" s="4">
        <f>IF(COUNTIFS(INDEX(tItens[Edital],1):tItens[[#This Row],[Edital]],tItens[[#This Row],[Edital]],INDEX(tItens[Produto],1):tItens[[#This Row],[Produto]],tItens[[#This Row],[Produto]])=1,1,0)</f>
        <v>1</v>
      </c>
    </row>
    <row r="3585" spans="1:16" x14ac:dyDescent="0.25">
      <c r="A3585" t="s">
        <v>1504</v>
      </c>
      <c r="B3585">
        <v>205</v>
      </c>
      <c r="C3585" t="s">
        <v>6468</v>
      </c>
      <c r="D3585" t="s">
        <v>170</v>
      </c>
      <c r="E3585" s="13">
        <v>20</v>
      </c>
      <c r="F3585" s="12">
        <v>54.83</v>
      </c>
      <c r="G3585" t="str">
        <f>IFERROR(INDEX(tEditais[Órgão],MATCH(tItens[[#This Row],[Edital]],tEditais[Edital],0)),"")</f>
        <v>MUNICIPIO DE MARTINS SOARES</v>
      </c>
      <c r="H3585" t="str">
        <f>IFERROR(INDEX(tEditais[UF],MATCH(tItens[[#This Row],[Edital]],tEditais[Edital],0)),"")</f>
        <v>MG</v>
      </c>
      <c r="I3585" s="11">
        <f>IFERROR(INDEX(tEditais[Encerramento],MATCH(tItens[[#This Row],[Edital]],tEditais[Edital],0)),"")</f>
        <v>46310.354166666664</v>
      </c>
      <c r="J3585" t="str">
        <f>IFERROR(INDEX(tProdutos[Classe],MATCH(tItens[[#This Row],[Produto]],tProdutos[Produto],0)),"produto não cadastrado")</f>
        <v>DISPUTADO</v>
      </c>
      <c r="K3585" s="12">
        <f>tItens[[#This Row],[Qtd]]*tItens[[#This Row],[Vlr unit]]</f>
        <v>1096.5999999999999</v>
      </c>
      <c r="L3585" s="6">
        <f>IFERROR(IF(INDEX(tProdutos[Desconto homologado],MATCH(tItens[[#This Row],[Produto]],tProdutos[Produto],0))="",DescontoPadrao,INDEX(tProdutos[Desconto homologado],MATCH(tItens[[#This Row],[Produto]],tProdutos[Produto],0))),DescontoPadrao)</f>
        <v>0.36</v>
      </c>
      <c r="M3585" s="12">
        <f>tItens[[#This Row],[Valor]]*(1-tItens[[#This Row],[Desconto]])</f>
        <v>701.82399999999996</v>
      </c>
      <c r="N3585" t="str">
        <f>IFERROR(INDEX(tProdutos[Foco],MATCH(tItens[[#This Row],[Produto]],tProdutos[Produto],0)),"Não")</f>
        <v>Sim</v>
      </c>
      <c r="O3585" t="str">
        <f>IFERROR(INDEX(tEditais[SRP],MATCH(tItens[[#This Row],[Edital]],tEditais[Edital],0)),"Não")</f>
        <v>Sim</v>
      </c>
      <c r="P3585" s="4">
        <f>IF(COUNTIFS(INDEX(tItens[Edital],1):tItens[[#This Row],[Edital]],tItens[[#This Row],[Edital]],INDEX(tItens[Produto],1):tItens[[#This Row],[Produto]],tItens[[#This Row],[Produto]])=1,1,0)</f>
        <v>0</v>
      </c>
    </row>
    <row r="3586" spans="1:16" x14ac:dyDescent="0.25">
      <c r="A3586" t="s">
        <v>1504</v>
      </c>
      <c r="B3586">
        <v>206</v>
      </c>
      <c r="C3586" t="s">
        <v>6469</v>
      </c>
      <c r="D3586" t="s">
        <v>170</v>
      </c>
      <c r="E3586" s="13">
        <v>20</v>
      </c>
      <c r="F3586" s="12">
        <v>54.83</v>
      </c>
      <c r="G3586" t="str">
        <f>IFERROR(INDEX(tEditais[Órgão],MATCH(tItens[[#This Row],[Edital]],tEditais[Edital],0)),"")</f>
        <v>MUNICIPIO DE MARTINS SOARES</v>
      </c>
      <c r="H3586" t="str">
        <f>IFERROR(INDEX(tEditais[UF],MATCH(tItens[[#This Row],[Edital]],tEditais[Edital],0)),"")</f>
        <v>MG</v>
      </c>
      <c r="I3586" s="11">
        <f>IFERROR(INDEX(tEditais[Encerramento],MATCH(tItens[[#This Row],[Edital]],tEditais[Edital],0)),"")</f>
        <v>46310.354166666664</v>
      </c>
      <c r="J3586" t="str">
        <f>IFERROR(INDEX(tProdutos[Classe],MATCH(tItens[[#This Row],[Produto]],tProdutos[Produto],0)),"produto não cadastrado")</f>
        <v>DISPUTADO</v>
      </c>
      <c r="K3586" s="12">
        <f>tItens[[#This Row],[Qtd]]*tItens[[#This Row],[Vlr unit]]</f>
        <v>1096.5999999999999</v>
      </c>
      <c r="L3586" s="6">
        <f>IFERROR(IF(INDEX(tProdutos[Desconto homologado],MATCH(tItens[[#This Row],[Produto]],tProdutos[Produto],0))="",DescontoPadrao,INDEX(tProdutos[Desconto homologado],MATCH(tItens[[#This Row],[Produto]],tProdutos[Produto],0))),DescontoPadrao)</f>
        <v>0.36</v>
      </c>
      <c r="M3586" s="12">
        <f>tItens[[#This Row],[Valor]]*(1-tItens[[#This Row],[Desconto]])</f>
        <v>701.82399999999996</v>
      </c>
      <c r="N3586" t="str">
        <f>IFERROR(INDEX(tProdutos[Foco],MATCH(tItens[[#This Row],[Produto]],tProdutos[Produto],0)),"Não")</f>
        <v>Sim</v>
      </c>
      <c r="O3586" t="str">
        <f>IFERROR(INDEX(tEditais[SRP],MATCH(tItens[[#This Row],[Edital]],tEditais[Edital],0)),"Não")</f>
        <v>Sim</v>
      </c>
      <c r="P3586" s="4">
        <f>IF(COUNTIFS(INDEX(tItens[Edital],1):tItens[[#This Row],[Edital]],tItens[[#This Row],[Edital]],INDEX(tItens[Produto],1):tItens[[#This Row],[Produto]],tItens[[#This Row],[Produto]])=1,1,0)</f>
        <v>0</v>
      </c>
    </row>
    <row r="3587" spans="1:16" x14ac:dyDescent="0.25">
      <c r="A3587" t="s">
        <v>1504</v>
      </c>
      <c r="B3587">
        <v>207</v>
      </c>
      <c r="C3587" t="s">
        <v>6470</v>
      </c>
      <c r="D3587" t="s">
        <v>170</v>
      </c>
      <c r="E3587" s="13">
        <v>20</v>
      </c>
      <c r="F3587" s="12">
        <v>54.83</v>
      </c>
      <c r="G3587" t="str">
        <f>IFERROR(INDEX(tEditais[Órgão],MATCH(tItens[[#This Row],[Edital]],tEditais[Edital],0)),"")</f>
        <v>MUNICIPIO DE MARTINS SOARES</v>
      </c>
      <c r="H3587" t="str">
        <f>IFERROR(INDEX(tEditais[UF],MATCH(tItens[[#This Row],[Edital]],tEditais[Edital],0)),"")</f>
        <v>MG</v>
      </c>
      <c r="I3587" s="11">
        <f>IFERROR(INDEX(tEditais[Encerramento],MATCH(tItens[[#This Row],[Edital]],tEditais[Edital],0)),"")</f>
        <v>46310.354166666664</v>
      </c>
      <c r="J3587" t="str">
        <f>IFERROR(INDEX(tProdutos[Classe],MATCH(tItens[[#This Row],[Produto]],tProdutos[Produto],0)),"produto não cadastrado")</f>
        <v>DISPUTADO</v>
      </c>
      <c r="K3587" s="12">
        <f>tItens[[#This Row],[Qtd]]*tItens[[#This Row],[Vlr unit]]</f>
        <v>1096.5999999999999</v>
      </c>
      <c r="L3587" s="6">
        <f>IFERROR(IF(INDEX(tProdutos[Desconto homologado],MATCH(tItens[[#This Row],[Produto]],tProdutos[Produto],0))="",DescontoPadrao,INDEX(tProdutos[Desconto homologado],MATCH(tItens[[#This Row],[Produto]],tProdutos[Produto],0))),DescontoPadrao)</f>
        <v>0.36</v>
      </c>
      <c r="M3587" s="12">
        <f>tItens[[#This Row],[Valor]]*(1-tItens[[#This Row],[Desconto]])</f>
        <v>701.82399999999996</v>
      </c>
      <c r="N3587" t="str">
        <f>IFERROR(INDEX(tProdutos[Foco],MATCH(tItens[[#This Row],[Produto]],tProdutos[Produto],0)),"Não")</f>
        <v>Sim</v>
      </c>
      <c r="O3587" t="str">
        <f>IFERROR(INDEX(tEditais[SRP],MATCH(tItens[[#This Row],[Edital]],tEditais[Edital],0)),"Não")</f>
        <v>Sim</v>
      </c>
      <c r="P3587" s="4">
        <f>IF(COUNTIFS(INDEX(tItens[Edital],1):tItens[[#This Row],[Edital]],tItens[[#This Row],[Edital]],INDEX(tItens[Produto],1):tItens[[#This Row],[Produto]],tItens[[#This Row],[Produto]])=1,1,0)</f>
        <v>0</v>
      </c>
    </row>
    <row r="3588" spans="1:16" x14ac:dyDescent="0.25">
      <c r="A3588" t="s">
        <v>1504</v>
      </c>
      <c r="B3588">
        <v>208</v>
      </c>
      <c r="C3588" t="s">
        <v>6471</v>
      </c>
      <c r="D3588" t="s">
        <v>170</v>
      </c>
      <c r="E3588" s="13">
        <v>20</v>
      </c>
      <c r="F3588" s="12">
        <v>55.17</v>
      </c>
      <c r="G3588" t="str">
        <f>IFERROR(INDEX(tEditais[Órgão],MATCH(tItens[[#This Row],[Edital]],tEditais[Edital],0)),"")</f>
        <v>MUNICIPIO DE MARTINS SOARES</v>
      </c>
      <c r="H3588" t="str">
        <f>IFERROR(INDEX(tEditais[UF],MATCH(tItens[[#This Row],[Edital]],tEditais[Edital],0)),"")</f>
        <v>MG</v>
      </c>
      <c r="I3588" s="11">
        <f>IFERROR(INDEX(tEditais[Encerramento],MATCH(tItens[[#This Row],[Edital]],tEditais[Edital],0)),"")</f>
        <v>46310.354166666664</v>
      </c>
      <c r="J3588" t="str">
        <f>IFERROR(INDEX(tProdutos[Classe],MATCH(tItens[[#This Row],[Produto]],tProdutos[Produto],0)),"produto não cadastrado")</f>
        <v>DISPUTADO</v>
      </c>
      <c r="K3588" s="12">
        <f>tItens[[#This Row],[Qtd]]*tItens[[#This Row],[Vlr unit]]</f>
        <v>1103.4000000000001</v>
      </c>
      <c r="L3588" s="6">
        <f>IFERROR(IF(INDEX(tProdutos[Desconto homologado],MATCH(tItens[[#This Row],[Produto]],tProdutos[Produto],0))="",DescontoPadrao,INDEX(tProdutos[Desconto homologado],MATCH(tItens[[#This Row],[Produto]],tProdutos[Produto],0))),DescontoPadrao)</f>
        <v>0.36</v>
      </c>
      <c r="M3588" s="12">
        <f>tItens[[#This Row],[Valor]]*(1-tItens[[#This Row],[Desconto]])</f>
        <v>706.17600000000004</v>
      </c>
      <c r="N3588" t="str">
        <f>IFERROR(INDEX(tProdutos[Foco],MATCH(tItens[[#This Row],[Produto]],tProdutos[Produto],0)),"Não")</f>
        <v>Sim</v>
      </c>
      <c r="O3588" t="str">
        <f>IFERROR(INDEX(tEditais[SRP],MATCH(tItens[[#This Row],[Edital]],tEditais[Edital],0)),"Não")</f>
        <v>Sim</v>
      </c>
      <c r="P3588" s="4">
        <f>IF(COUNTIFS(INDEX(tItens[Edital],1):tItens[[#This Row],[Edital]],tItens[[#This Row],[Edital]],INDEX(tItens[Produto],1):tItens[[#This Row],[Produto]],tItens[[#This Row],[Produto]])=1,1,0)</f>
        <v>0</v>
      </c>
    </row>
    <row r="3589" spans="1:16" x14ac:dyDescent="0.25">
      <c r="A3589" t="s">
        <v>1504</v>
      </c>
      <c r="B3589">
        <v>209</v>
      </c>
      <c r="C3589" t="s">
        <v>6472</v>
      </c>
      <c r="D3589" t="s">
        <v>170</v>
      </c>
      <c r="E3589" s="13">
        <v>20</v>
      </c>
      <c r="F3589" s="12">
        <v>54.83</v>
      </c>
      <c r="G3589" t="str">
        <f>IFERROR(INDEX(tEditais[Órgão],MATCH(tItens[[#This Row],[Edital]],tEditais[Edital],0)),"")</f>
        <v>MUNICIPIO DE MARTINS SOARES</v>
      </c>
      <c r="H3589" t="str">
        <f>IFERROR(INDEX(tEditais[UF],MATCH(tItens[[#This Row],[Edital]],tEditais[Edital],0)),"")</f>
        <v>MG</v>
      </c>
      <c r="I3589" s="11">
        <f>IFERROR(INDEX(tEditais[Encerramento],MATCH(tItens[[#This Row],[Edital]],tEditais[Edital],0)),"")</f>
        <v>46310.354166666664</v>
      </c>
      <c r="J3589" t="str">
        <f>IFERROR(INDEX(tProdutos[Classe],MATCH(tItens[[#This Row],[Produto]],tProdutos[Produto],0)),"produto não cadastrado")</f>
        <v>DISPUTADO</v>
      </c>
      <c r="K3589" s="12">
        <f>tItens[[#This Row],[Qtd]]*tItens[[#This Row],[Vlr unit]]</f>
        <v>1096.5999999999999</v>
      </c>
      <c r="L3589" s="6">
        <f>IFERROR(IF(INDEX(tProdutos[Desconto homologado],MATCH(tItens[[#This Row],[Produto]],tProdutos[Produto],0))="",DescontoPadrao,INDEX(tProdutos[Desconto homologado],MATCH(tItens[[#This Row],[Produto]],tProdutos[Produto],0))),DescontoPadrao)</f>
        <v>0.36</v>
      </c>
      <c r="M3589" s="12">
        <f>tItens[[#This Row],[Valor]]*(1-tItens[[#This Row],[Desconto]])</f>
        <v>701.82399999999996</v>
      </c>
      <c r="N3589" t="str">
        <f>IFERROR(INDEX(tProdutos[Foco],MATCH(tItens[[#This Row],[Produto]],tProdutos[Produto],0)),"Não")</f>
        <v>Sim</v>
      </c>
      <c r="O3589" t="str">
        <f>IFERROR(INDEX(tEditais[SRP],MATCH(tItens[[#This Row],[Edital]],tEditais[Edital],0)),"Não")</f>
        <v>Sim</v>
      </c>
      <c r="P3589" s="4">
        <f>IF(COUNTIFS(INDEX(tItens[Edital],1):tItens[[#This Row],[Edital]],tItens[[#This Row],[Edital]],INDEX(tItens[Produto],1):tItens[[#This Row],[Produto]],tItens[[#This Row],[Produto]])=1,1,0)</f>
        <v>0</v>
      </c>
    </row>
    <row r="3590" spans="1:16" x14ac:dyDescent="0.25">
      <c r="A3590" t="s">
        <v>1504</v>
      </c>
      <c r="B3590">
        <v>210</v>
      </c>
      <c r="C3590" t="s">
        <v>6473</v>
      </c>
      <c r="D3590" t="s">
        <v>170</v>
      </c>
      <c r="E3590" s="13">
        <v>20</v>
      </c>
      <c r="F3590" s="12">
        <v>54.83</v>
      </c>
      <c r="G3590" t="str">
        <f>IFERROR(INDEX(tEditais[Órgão],MATCH(tItens[[#This Row],[Edital]],tEditais[Edital],0)),"")</f>
        <v>MUNICIPIO DE MARTINS SOARES</v>
      </c>
      <c r="H3590" t="str">
        <f>IFERROR(INDEX(tEditais[UF],MATCH(tItens[[#This Row],[Edital]],tEditais[Edital],0)),"")</f>
        <v>MG</v>
      </c>
      <c r="I3590" s="11">
        <f>IFERROR(INDEX(tEditais[Encerramento],MATCH(tItens[[#This Row],[Edital]],tEditais[Edital],0)),"")</f>
        <v>46310.354166666664</v>
      </c>
      <c r="J3590" t="str">
        <f>IFERROR(INDEX(tProdutos[Classe],MATCH(tItens[[#This Row],[Produto]],tProdutos[Produto],0)),"produto não cadastrado")</f>
        <v>DISPUTADO</v>
      </c>
      <c r="K3590" s="12">
        <f>tItens[[#This Row],[Qtd]]*tItens[[#This Row],[Vlr unit]]</f>
        <v>1096.5999999999999</v>
      </c>
      <c r="L3590" s="6">
        <f>IFERROR(IF(INDEX(tProdutos[Desconto homologado],MATCH(tItens[[#This Row],[Produto]],tProdutos[Produto],0))="",DescontoPadrao,INDEX(tProdutos[Desconto homologado],MATCH(tItens[[#This Row],[Produto]],tProdutos[Produto],0))),DescontoPadrao)</f>
        <v>0.36</v>
      </c>
      <c r="M3590" s="12">
        <f>tItens[[#This Row],[Valor]]*(1-tItens[[#This Row],[Desconto]])</f>
        <v>701.82399999999996</v>
      </c>
      <c r="N3590" t="str">
        <f>IFERROR(INDEX(tProdutos[Foco],MATCH(tItens[[#This Row],[Produto]],tProdutos[Produto],0)),"Não")</f>
        <v>Sim</v>
      </c>
      <c r="O3590" t="str">
        <f>IFERROR(INDEX(tEditais[SRP],MATCH(tItens[[#This Row],[Edital]],tEditais[Edital],0)),"Não")</f>
        <v>Sim</v>
      </c>
      <c r="P3590" s="4">
        <f>IF(COUNTIFS(INDEX(tItens[Edital],1):tItens[[#This Row],[Edital]],tItens[[#This Row],[Edital]],INDEX(tItens[Produto],1):tItens[[#This Row],[Produto]],tItens[[#This Row],[Produto]])=1,1,0)</f>
        <v>0</v>
      </c>
    </row>
    <row r="3591" spans="1:16" x14ac:dyDescent="0.25">
      <c r="A3591" t="s">
        <v>1504</v>
      </c>
      <c r="B3591">
        <v>219</v>
      </c>
      <c r="C3591" t="s">
        <v>6474</v>
      </c>
      <c r="D3591" t="s">
        <v>494</v>
      </c>
      <c r="E3591" s="13">
        <v>20</v>
      </c>
      <c r="F3591" s="12">
        <v>209.87</v>
      </c>
      <c r="G3591" t="str">
        <f>IFERROR(INDEX(tEditais[Órgão],MATCH(tItens[[#This Row],[Edital]],tEditais[Edital],0)),"")</f>
        <v>MUNICIPIO DE MARTINS SOARES</v>
      </c>
      <c r="H3591" t="str">
        <f>IFERROR(INDEX(tEditais[UF],MATCH(tItens[[#This Row],[Edital]],tEditais[Edital],0)),"")</f>
        <v>MG</v>
      </c>
      <c r="I3591" s="11">
        <f>IFERROR(INDEX(tEditais[Encerramento],MATCH(tItens[[#This Row],[Edital]],tEditais[Edital],0)),"")</f>
        <v>46310.354166666664</v>
      </c>
      <c r="J3591" t="str">
        <f>IFERROR(INDEX(tProdutos[Classe],MATCH(tItens[[#This Row],[Produto]],tProdutos[Produto],0)),"produto não cadastrado")</f>
        <v>FILA REBASE</v>
      </c>
      <c r="K3591" s="12">
        <f>tItens[[#This Row],[Qtd]]*tItens[[#This Row],[Vlr unit]]</f>
        <v>4197.3999999999996</v>
      </c>
      <c r="L3591" s="6">
        <f>IFERROR(IF(INDEX(tProdutos[Desconto homologado],MATCH(tItens[[#This Row],[Produto]],tProdutos[Produto],0))="",DescontoPadrao,INDEX(tProdutos[Desconto homologado],MATCH(tItens[[#This Row],[Produto]],tProdutos[Produto],0))),DescontoPadrao)</f>
        <v>0.253736324829619</v>
      </c>
      <c r="M3591" s="12">
        <f>tItens[[#This Row],[Valor]]*(1-tItens[[#This Row],[Desconto]])</f>
        <v>3132.3671501601571</v>
      </c>
      <c r="N3591" t="str">
        <f>IFERROR(INDEX(tProdutos[Foco],MATCH(tItens[[#This Row],[Produto]],tProdutos[Produto],0)),"Não")</f>
        <v>Não</v>
      </c>
      <c r="O3591" t="str">
        <f>IFERROR(INDEX(tEditais[SRP],MATCH(tItens[[#This Row],[Edital]],tEditais[Edital],0)),"Não")</f>
        <v>Sim</v>
      </c>
      <c r="P3591" s="4">
        <f>IF(COUNTIFS(INDEX(tItens[Edital],1):tItens[[#This Row],[Edital]],tItens[[#This Row],[Edital]],INDEX(tItens[Produto],1):tItens[[#This Row],[Produto]],tItens[[#This Row],[Produto]])=1,1,0)</f>
        <v>1</v>
      </c>
    </row>
    <row r="3592" spans="1:16" x14ac:dyDescent="0.25">
      <c r="A3592" t="s">
        <v>1504</v>
      </c>
      <c r="B3592">
        <v>220</v>
      </c>
      <c r="C3592" t="s">
        <v>6475</v>
      </c>
      <c r="D3592" t="s">
        <v>494</v>
      </c>
      <c r="E3592" s="13">
        <v>20</v>
      </c>
      <c r="F3592" s="12">
        <v>225.87</v>
      </c>
      <c r="G3592" t="str">
        <f>IFERROR(INDEX(tEditais[Órgão],MATCH(tItens[[#This Row],[Edital]],tEditais[Edital],0)),"")</f>
        <v>MUNICIPIO DE MARTINS SOARES</v>
      </c>
      <c r="H3592" t="str">
        <f>IFERROR(INDEX(tEditais[UF],MATCH(tItens[[#This Row],[Edital]],tEditais[Edital],0)),"")</f>
        <v>MG</v>
      </c>
      <c r="I3592" s="11">
        <f>IFERROR(INDEX(tEditais[Encerramento],MATCH(tItens[[#This Row],[Edital]],tEditais[Edital],0)),"")</f>
        <v>46310.354166666664</v>
      </c>
      <c r="J3592" t="str">
        <f>IFERROR(INDEX(tProdutos[Classe],MATCH(tItens[[#This Row],[Produto]],tProdutos[Produto],0)),"produto não cadastrado")</f>
        <v>FILA REBASE</v>
      </c>
      <c r="K3592" s="12">
        <f>tItens[[#This Row],[Qtd]]*tItens[[#This Row],[Vlr unit]]</f>
        <v>4517.3999999999996</v>
      </c>
      <c r="L3592" s="6">
        <f>IFERROR(IF(INDEX(tProdutos[Desconto homologado],MATCH(tItens[[#This Row],[Produto]],tProdutos[Produto],0))="",DescontoPadrao,INDEX(tProdutos[Desconto homologado],MATCH(tItens[[#This Row],[Produto]],tProdutos[Produto],0))),DescontoPadrao)</f>
        <v>0.253736324829619</v>
      </c>
      <c r="M3592" s="12">
        <f>tItens[[#This Row],[Valor]]*(1-tItens[[#This Row],[Desconto]])</f>
        <v>3371.171526214679</v>
      </c>
      <c r="N3592" t="str">
        <f>IFERROR(INDEX(tProdutos[Foco],MATCH(tItens[[#This Row],[Produto]],tProdutos[Produto],0)),"Não")</f>
        <v>Não</v>
      </c>
      <c r="O3592" t="str">
        <f>IFERROR(INDEX(tEditais[SRP],MATCH(tItens[[#This Row],[Edital]],tEditais[Edital],0)),"Não")</f>
        <v>Sim</v>
      </c>
      <c r="P3592" s="4">
        <f>IF(COUNTIFS(INDEX(tItens[Edital],1):tItens[[#This Row],[Edital]],tItens[[#This Row],[Edital]],INDEX(tItens[Produto],1):tItens[[#This Row],[Produto]],tItens[[#This Row],[Produto]])=1,1,0)</f>
        <v>0</v>
      </c>
    </row>
    <row r="3593" spans="1:16" x14ac:dyDescent="0.25">
      <c r="A3593" t="s">
        <v>1504</v>
      </c>
      <c r="B3593">
        <v>221</v>
      </c>
      <c r="C3593" t="s">
        <v>6476</v>
      </c>
      <c r="D3593" t="s">
        <v>494</v>
      </c>
      <c r="E3593" s="13">
        <v>20</v>
      </c>
      <c r="F3593" s="12">
        <v>238.87</v>
      </c>
      <c r="G3593" t="str">
        <f>IFERROR(INDEX(tEditais[Órgão],MATCH(tItens[[#This Row],[Edital]],tEditais[Edital],0)),"")</f>
        <v>MUNICIPIO DE MARTINS SOARES</v>
      </c>
      <c r="H3593" t="str">
        <f>IFERROR(INDEX(tEditais[UF],MATCH(tItens[[#This Row],[Edital]],tEditais[Edital],0)),"")</f>
        <v>MG</v>
      </c>
      <c r="I3593" s="11">
        <f>IFERROR(INDEX(tEditais[Encerramento],MATCH(tItens[[#This Row],[Edital]],tEditais[Edital],0)),"")</f>
        <v>46310.354166666664</v>
      </c>
      <c r="J3593" t="str">
        <f>IFERROR(INDEX(tProdutos[Classe],MATCH(tItens[[#This Row],[Produto]],tProdutos[Produto],0)),"produto não cadastrado")</f>
        <v>FILA REBASE</v>
      </c>
      <c r="K3593" s="12">
        <f>tItens[[#This Row],[Qtd]]*tItens[[#This Row],[Vlr unit]]</f>
        <v>4777.3999999999996</v>
      </c>
      <c r="L3593" s="6">
        <f>IFERROR(IF(INDEX(tProdutos[Desconto homologado],MATCH(tItens[[#This Row],[Produto]],tProdutos[Produto],0))="",DescontoPadrao,INDEX(tProdutos[Desconto homologado],MATCH(tItens[[#This Row],[Produto]],tProdutos[Produto],0))),DescontoPadrao)</f>
        <v>0.253736324829619</v>
      </c>
      <c r="M3593" s="12">
        <f>tItens[[#This Row],[Valor]]*(1-tItens[[#This Row],[Desconto]])</f>
        <v>3565.2000817589783</v>
      </c>
      <c r="N3593" t="str">
        <f>IFERROR(INDEX(tProdutos[Foco],MATCH(tItens[[#This Row],[Produto]],tProdutos[Produto],0)),"Não")</f>
        <v>Não</v>
      </c>
      <c r="O3593" t="str">
        <f>IFERROR(INDEX(tEditais[SRP],MATCH(tItens[[#This Row],[Edital]],tEditais[Edital],0)),"Não")</f>
        <v>Sim</v>
      </c>
      <c r="P3593" s="4">
        <f>IF(COUNTIFS(INDEX(tItens[Edital],1):tItens[[#This Row],[Edital]],tItens[[#This Row],[Edital]],INDEX(tItens[Produto],1):tItens[[#This Row],[Produto]],tItens[[#This Row],[Produto]])=1,1,0)</f>
        <v>0</v>
      </c>
    </row>
    <row r="3594" spans="1:16" x14ac:dyDescent="0.25">
      <c r="A3594" t="s">
        <v>1504</v>
      </c>
      <c r="B3594">
        <v>222</v>
      </c>
      <c r="C3594" t="s">
        <v>6477</v>
      </c>
      <c r="D3594" t="s">
        <v>494</v>
      </c>
      <c r="E3594" s="13">
        <v>30</v>
      </c>
      <c r="F3594" s="12">
        <v>174.87</v>
      </c>
      <c r="G3594" t="str">
        <f>IFERROR(INDEX(tEditais[Órgão],MATCH(tItens[[#This Row],[Edital]],tEditais[Edital],0)),"")</f>
        <v>MUNICIPIO DE MARTINS SOARES</v>
      </c>
      <c r="H3594" t="str">
        <f>IFERROR(INDEX(tEditais[UF],MATCH(tItens[[#This Row],[Edital]],tEditais[Edital],0)),"")</f>
        <v>MG</v>
      </c>
      <c r="I3594" s="11">
        <f>IFERROR(INDEX(tEditais[Encerramento],MATCH(tItens[[#This Row],[Edital]],tEditais[Edital],0)),"")</f>
        <v>46310.354166666664</v>
      </c>
      <c r="J3594" t="str">
        <f>IFERROR(INDEX(tProdutos[Classe],MATCH(tItens[[#This Row],[Produto]],tProdutos[Produto],0)),"produto não cadastrado")</f>
        <v>FILA REBASE</v>
      </c>
      <c r="K3594" s="12">
        <f>tItens[[#This Row],[Qtd]]*tItens[[#This Row],[Vlr unit]]</f>
        <v>5246.1</v>
      </c>
      <c r="L3594" s="6">
        <f>IFERROR(IF(INDEX(tProdutos[Desconto homologado],MATCH(tItens[[#This Row],[Produto]],tProdutos[Produto],0))="",DescontoPadrao,INDEX(tProdutos[Desconto homologado],MATCH(tItens[[#This Row],[Produto]],tProdutos[Produto],0))),DescontoPadrao)</f>
        <v>0.253736324829619</v>
      </c>
      <c r="M3594" s="12">
        <f>tItens[[#This Row],[Valor]]*(1-tItens[[#This Row],[Desconto]])</f>
        <v>3914.9738663113362</v>
      </c>
      <c r="N3594" t="str">
        <f>IFERROR(INDEX(tProdutos[Foco],MATCH(tItens[[#This Row],[Produto]],tProdutos[Produto],0)),"Não")</f>
        <v>Não</v>
      </c>
      <c r="O3594" t="str">
        <f>IFERROR(INDEX(tEditais[SRP],MATCH(tItens[[#This Row],[Edital]],tEditais[Edital],0)),"Não")</f>
        <v>Sim</v>
      </c>
      <c r="P3594" s="4">
        <f>IF(COUNTIFS(INDEX(tItens[Edital],1):tItens[[#This Row],[Edital]],tItens[[#This Row],[Edital]],INDEX(tItens[Produto],1):tItens[[#This Row],[Produto]],tItens[[#This Row],[Produto]])=1,1,0)</f>
        <v>0</v>
      </c>
    </row>
    <row r="3595" spans="1:16" x14ac:dyDescent="0.25">
      <c r="A3595" t="s">
        <v>1504</v>
      </c>
      <c r="B3595">
        <v>230</v>
      </c>
      <c r="C3595" t="s">
        <v>6478</v>
      </c>
      <c r="D3595" t="s">
        <v>494</v>
      </c>
      <c r="E3595" s="13">
        <v>30</v>
      </c>
      <c r="F3595" s="12">
        <v>337</v>
      </c>
      <c r="G3595" t="str">
        <f>IFERROR(INDEX(tEditais[Órgão],MATCH(tItens[[#This Row],[Edital]],tEditais[Edital],0)),"")</f>
        <v>MUNICIPIO DE MARTINS SOARES</v>
      </c>
      <c r="H3595" t="str">
        <f>IFERROR(INDEX(tEditais[UF],MATCH(tItens[[#This Row],[Edital]],tEditais[Edital],0)),"")</f>
        <v>MG</v>
      </c>
      <c r="I3595" s="11">
        <f>IFERROR(INDEX(tEditais[Encerramento],MATCH(tItens[[#This Row],[Edital]],tEditais[Edital],0)),"")</f>
        <v>46310.354166666664</v>
      </c>
      <c r="J3595" t="str">
        <f>IFERROR(INDEX(tProdutos[Classe],MATCH(tItens[[#This Row],[Produto]],tProdutos[Produto],0)),"produto não cadastrado")</f>
        <v>FILA REBASE</v>
      </c>
      <c r="K3595" s="12">
        <f>tItens[[#This Row],[Qtd]]*tItens[[#This Row],[Vlr unit]]</f>
        <v>10110</v>
      </c>
      <c r="L3595" s="6">
        <f>IFERROR(IF(INDEX(tProdutos[Desconto homologado],MATCH(tItens[[#This Row],[Produto]],tProdutos[Produto],0))="",DescontoPadrao,INDEX(tProdutos[Desconto homologado],MATCH(tItens[[#This Row],[Produto]],tProdutos[Produto],0))),DescontoPadrao)</f>
        <v>0.253736324829619</v>
      </c>
      <c r="M3595" s="12">
        <f>tItens[[#This Row],[Valor]]*(1-tItens[[#This Row],[Desconto]])</f>
        <v>7544.7257559725522</v>
      </c>
      <c r="N3595" t="str">
        <f>IFERROR(INDEX(tProdutos[Foco],MATCH(tItens[[#This Row],[Produto]],tProdutos[Produto],0)),"Não")</f>
        <v>Não</v>
      </c>
      <c r="O3595" t="str">
        <f>IFERROR(INDEX(tEditais[SRP],MATCH(tItens[[#This Row],[Edital]],tEditais[Edital],0)),"Não")</f>
        <v>Sim</v>
      </c>
      <c r="P3595" s="4">
        <f>IF(COUNTIFS(INDEX(tItens[Edital],1):tItens[[#This Row],[Edital]],tItens[[#This Row],[Edital]],INDEX(tItens[Produto],1):tItens[[#This Row],[Produto]],tItens[[#This Row],[Produto]])=1,1,0)</f>
        <v>0</v>
      </c>
    </row>
    <row r="3596" spans="1:16" x14ac:dyDescent="0.25">
      <c r="A3596" t="s">
        <v>1504</v>
      </c>
      <c r="B3596">
        <v>231</v>
      </c>
      <c r="C3596" t="s">
        <v>6479</v>
      </c>
      <c r="D3596" t="s">
        <v>494</v>
      </c>
      <c r="E3596" s="13">
        <v>25</v>
      </c>
      <c r="F3596" s="12">
        <v>478.66</v>
      </c>
      <c r="G3596" t="str">
        <f>IFERROR(INDEX(tEditais[Órgão],MATCH(tItens[[#This Row],[Edital]],tEditais[Edital],0)),"")</f>
        <v>MUNICIPIO DE MARTINS SOARES</v>
      </c>
      <c r="H3596" t="str">
        <f>IFERROR(INDEX(tEditais[UF],MATCH(tItens[[#This Row],[Edital]],tEditais[Edital],0)),"")</f>
        <v>MG</v>
      </c>
      <c r="I3596" s="11">
        <f>IFERROR(INDEX(tEditais[Encerramento],MATCH(tItens[[#This Row],[Edital]],tEditais[Edital],0)),"")</f>
        <v>46310.354166666664</v>
      </c>
      <c r="J3596" t="str">
        <f>IFERROR(INDEX(tProdutos[Classe],MATCH(tItens[[#This Row],[Produto]],tProdutos[Produto],0)),"produto não cadastrado")</f>
        <v>FILA REBASE</v>
      </c>
      <c r="K3596" s="12">
        <f>tItens[[#This Row],[Qtd]]*tItens[[#This Row],[Vlr unit]]</f>
        <v>11966.5</v>
      </c>
      <c r="L3596" s="6">
        <f>IFERROR(IF(INDEX(tProdutos[Desconto homologado],MATCH(tItens[[#This Row],[Produto]],tProdutos[Produto],0))="",DescontoPadrao,INDEX(tProdutos[Desconto homologado],MATCH(tItens[[#This Row],[Produto]],tProdutos[Produto],0))),DescontoPadrao)</f>
        <v>0.253736324829619</v>
      </c>
      <c r="M3596" s="12">
        <f>tItens[[#This Row],[Valor]]*(1-tItens[[#This Row],[Desconto]])</f>
        <v>8930.1642689263645</v>
      </c>
      <c r="N3596" t="str">
        <f>IFERROR(INDEX(tProdutos[Foco],MATCH(tItens[[#This Row],[Produto]],tProdutos[Produto],0)),"Não")</f>
        <v>Não</v>
      </c>
      <c r="O3596" t="str">
        <f>IFERROR(INDEX(tEditais[SRP],MATCH(tItens[[#This Row],[Edital]],tEditais[Edital],0)),"Não")</f>
        <v>Sim</v>
      </c>
      <c r="P3596" s="4">
        <f>IF(COUNTIFS(INDEX(tItens[Edital],1):tItens[[#This Row],[Edital]],tItens[[#This Row],[Edital]],INDEX(tItens[Produto],1):tItens[[#This Row],[Produto]],tItens[[#This Row],[Produto]])=1,1,0)</f>
        <v>0</v>
      </c>
    </row>
    <row r="3597" spans="1:16" x14ac:dyDescent="0.25">
      <c r="A3597" t="s">
        <v>1504</v>
      </c>
      <c r="B3597">
        <v>247</v>
      </c>
      <c r="C3597" t="s">
        <v>6480</v>
      </c>
      <c r="D3597" t="s">
        <v>694</v>
      </c>
      <c r="E3597" s="13">
        <v>10</v>
      </c>
      <c r="F3597" s="12">
        <v>288.87</v>
      </c>
      <c r="G3597" t="str">
        <f>IFERROR(INDEX(tEditais[Órgão],MATCH(tItens[[#This Row],[Edital]],tEditais[Edital],0)),"")</f>
        <v>MUNICIPIO DE MARTINS SOARES</v>
      </c>
      <c r="H3597" t="str">
        <f>IFERROR(INDEX(tEditais[UF],MATCH(tItens[[#This Row],[Edital]],tEditais[Edital],0)),"")</f>
        <v>MG</v>
      </c>
      <c r="I3597" s="11">
        <f>IFERROR(INDEX(tEditais[Encerramento],MATCH(tItens[[#This Row],[Edital]],tEditais[Edital],0)),"")</f>
        <v>46310.354166666664</v>
      </c>
      <c r="J3597" t="str">
        <f>IFERROR(INDEX(tProdutos[Classe],MATCH(tItens[[#This Row],[Produto]],tProdutos[Produto],0)),"produto não cadastrado")</f>
        <v>FILA REBASE</v>
      </c>
      <c r="K3597" s="12">
        <f>tItens[[#This Row],[Qtd]]*tItens[[#This Row],[Vlr unit]]</f>
        <v>2888.7</v>
      </c>
      <c r="L3597" s="6">
        <f>IFERROR(IF(INDEX(tProdutos[Desconto homologado],MATCH(tItens[[#This Row],[Produto]],tProdutos[Produto],0))="",DescontoPadrao,INDEX(tProdutos[Desconto homologado],MATCH(tItens[[#This Row],[Produto]],tProdutos[Produto],0))),DescontoPadrao)</f>
        <v>0.61577111781048699</v>
      </c>
      <c r="M3597" s="12">
        <f>tItens[[#This Row],[Valor]]*(1-tItens[[#This Row],[Desconto]])</f>
        <v>1109.9219719808461</v>
      </c>
      <c r="N3597" t="str">
        <f>IFERROR(INDEX(tProdutos[Foco],MATCH(tItens[[#This Row],[Produto]],tProdutos[Produto],0)),"Não")</f>
        <v>Não</v>
      </c>
      <c r="O3597" t="str">
        <f>IFERROR(INDEX(tEditais[SRP],MATCH(tItens[[#This Row],[Edital]],tEditais[Edital],0)),"Não")</f>
        <v>Sim</v>
      </c>
      <c r="P3597" s="4">
        <f>IF(COUNTIFS(INDEX(tItens[Edital],1):tItens[[#This Row],[Edital]],tItens[[#This Row],[Edital]],INDEX(tItens[Produto],1):tItens[[#This Row],[Produto]],tItens[[#This Row],[Produto]])=1,1,0)</f>
        <v>1</v>
      </c>
    </row>
    <row r="3598" spans="1:16" x14ac:dyDescent="0.25">
      <c r="A3598" t="s">
        <v>1504</v>
      </c>
      <c r="B3598">
        <v>252</v>
      </c>
      <c r="C3598" t="s">
        <v>6481</v>
      </c>
      <c r="D3598" t="s">
        <v>275</v>
      </c>
      <c r="E3598" s="13">
        <v>4000</v>
      </c>
      <c r="F3598" s="12">
        <v>0.79</v>
      </c>
      <c r="G3598" t="str">
        <f>IFERROR(INDEX(tEditais[Órgão],MATCH(tItens[[#This Row],[Edital]],tEditais[Edital],0)),"")</f>
        <v>MUNICIPIO DE MARTINS SOARES</v>
      </c>
      <c r="H3598" t="str">
        <f>IFERROR(INDEX(tEditais[UF],MATCH(tItens[[#This Row],[Edital]],tEditais[Edital],0)),"")</f>
        <v>MG</v>
      </c>
      <c r="I3598" s="11">
        <f>IFERROR(INDEX(tEditais[Encerramento],MATCH(tItens[[#This Row],[Edital]],tEditais[Edital],0)),"")</f>
        <v>46310.354166666664</v>
      </c>
      <c r="J3598" t="str">
        <f>IFERROR(INDEX(tProdutos[Classe],MATCH(tItens[[#This Row],[Produto]],tProdutos[Produto],0)),"produto não cadastrado")</f>
        <v>FORA</v>
      </c>
      <c r="K3598" s="12">
        <f>tItens[[#This Row],[Qtd]]*tItens[[#This Row],[Vlr unit]]</f>
        <v>3160</v>
      </c>
      <c r="L3598" s="6">
        <f>IFERROR(IF(INDEX(tProdutos[Desconto homologado],MATCH(tItens[[#This Row],[Produto]],tProdutos[Produto],0))="",DescontoPadrao,INDEX(tProdutos[Desconto homologado],MATCH(tItens[[#This Row],[Produto]],tProdutos[Produto],0))),DescontoPadrao)</f>
        <v>0.405797101449275</v>
      </c>
      <c r="M3598" s="12">
        <f>tItens[[#This Row],[Valor]]*(1-tItens[[#This Row],[Desconto]])</f>
        <v>1877.6811594202911</v>
      </c>
      <c r="N3598" t="str">
        <f>IFERROR(INDEX(tProdutos[Foco],MATCH(tItens[[#This Row],[Produto]],tProdutos[Produto],0)),"Não")</f>
        <v>Não</v>
      </c>
      <c r="O3598" t="str">
        <f>IFERROR(INDEX(tEditais[SRP],MATCH(tItens[[#This Row],[Edital]],tEditais[Edital],0)),"Não")</f>
        <v>Sim</v>
      </c>
      <c r="P3598" s="4">
        <f>IF(COUNTIFS(INDEX(tItens[Edital],1):tItens[[#This Row],[Edital]],tItens[[#This Row],[Edital]],INDEX(tItens[Produto],1):tItens[[#This Row],[Produto]],tItens[[#This Row],[Produto]])=1,1,0)</f>
        <v>1</v>
      </c>
    </row>
    <row r="3599" spans="1:16" x14ac:dyDescent="0.25">
      <c r="A3599" t="s">
        <v>1504</v>
      </c>
      <c r="B3599">
        <v>253</v>
      </c>
      <c r="C3599" t="s">
        <v>6482</v>
      </c>
      <c r="D3599" t="s">
        <v>281</v>
      </c>
      <c r="E3599" s="13">
        <v>15000</v>
      </c>
      <c r="F3599" s="12">
        <v>1.22</v>
      </c>
      <c r="G3599" t="str">
        <f>IFERROR(INDEX(tEditais[Órgão],MATCH(tItens[[#This Row],[Edital]],tEditais[Edital],0)),"")</f>
        <v>MUNICIPIO DE MARTINS SOARES</v>
      </c>
      <c r="H3599" t="str">
        <f>IFERROR(INDEX(tEditais[UF],MATCH(tItens[[#This Row],[Edital]],tEditais[Edital],0)),"")</f>
        <v>MG</v>
      </c>
      <c r="I3599" s="11">
        <f>IFERROR(INDEX(tEditais[Encerramento],MATCH(tItens[[#This Row],[Edital]],tEditais[Edital],0)),"")</f>
        <v>46310.354166666664</v>
      </c>
      <c r="J3599" t="str">
        <f>IFERROR(INDEX(tProdutos[Classe],MATCH(tItens[[#This Row],[Produto]],tProdutos[Produto],0)),"produto não cadastrado")</f>
        <v>DISPUTADO</v>
      </c>
      <c r="K3599" s="12">
        <f>tItens[[#This Row],[Qtd]]*tItens[[#This Row],[Vlr unit]]</f>
        <v>18300</v>
      </c>
      <c r="L3599" s="6">
        <f>IFERROR(IF(INDEX(tProdutos[Desconto homologado],MATCH(tItens[[#This Row],[Produto]],tProdutos[Produto],0))="",DescontoPadrao,INDEX(tProdutos[Desconto homologado],MATCH(tItens[[#This Row],[Produto]],tProdutos[Produto],0))),DescontoPadrao)</f>
        <v>0.42461538461538501</v>
      </c>
      <c r="M3599" s="12">
        <f>tItens[[#This Row],[Valor]]*(1-tItens[[#This Row],[Desconto]])</f>
        <v>10529.538461538454</v>
      </c>
      <c r="N3599" t="str">
        <f>IFERROR(INDEX(tProdutos[Foco],MATCH(tItens[[#This Row],[Produto]],tProdutos[Produto],0)),"Não")</f>
        <v>Não</v>
      </c>
      <c r="O3599" t="str">
        <f>IFERROR(INDEX(tEditais[SRP],MATCH(tItens[[#This Row],[Edital]],tEditais[Edital],0)),"Não")</f>
        <v>Sim</v>
      </c>
      <c r="P3599" s="4">
        <f>IF(COUNTIFS(INDEX(tItens[Edital],1):tItens[[#This Row],[Edital]],tItens[[#This Row],[Edital]],INDEX(tItens[Produto],1):tItens[[#This Row],[Produto]],tItens[[#This Row],[Produto]])=1,1,0)</f>
        <v>1</v>
      </c>
    </row>
    <row r="3600" spans="1:16" x14ac:dyDescent="0.25">
      <c r="A3600" t="s">
        <v>1504</v>
      </c>
      <c r="B3600">
        <v>254</v>
      </c>
      <c r="C3600" t="s">
        <v>6483</v>
      </c>
      <c r="D3600" t="s">
        <v>289</v>
      </c>
      <c r="E3600" s="13">
        <v>15000</v>
      </c>
      <c r="F3600" s="12">
        <v>1.27</v>
      </c>
      <c r="G3600" t="str">
        <f>IFERROR(INDEX(tEditais[Órgão],MATCH(tItens[[#This Row],[Edital]],tEditais[Edital],0)),"")</f>
        <v>MUNICIPIO DE MARTINS SOARES</v>
      </c>
      <c r="H3600" t="str">
        <f>IFERROR(INDEX(tEditais[UF],MATCH(tItens[[#This Row],[Edital]],tEditais[Edital],0)),"")</f>
        <v>MG</v>
      </c>
      <c r="I3600" s="11">
        <f>IFERROR(INDEX(tEditais[Encerramento],MATCH(tItens[[#This Row],[Edital]],tEditais[Edital],0)),"")</f>
        <v>46310.354166666664</v>
      </c>
      <c r="J3600" t="str">
        <f>IFERROR(INDEX(tProdutos[Classe],MATCH(tItens[[#This Row],[Produto]],tProdutos[Produto],0)),"produto não cadastrado")</f>
        <v>DISPUTADO</v>
      </c>
      <c r="K3600" s="12">
        <f>tItens[[#This Row],[Qtd]]*tItens[[#This Row],[Vlr unit]]</f>
        <v>19050</v>
      </c>
      <c r="L3600" s="6">
        <f>IFERROR(IF(INDEX(tProdutos[Desconto homologado],MATCH(tItens[[#This Row],[Produto]],tProdutos[Produto],0))="",DescontoPadrao,INDEX(tProdutos[Desconto homologado],MATCH(tItens[[#This Row],[Produto]],tProdutos[Produto],0))),DescontoPadrao)</f>
        <v>0.35849056603773599</v>
      </c>
      <c r="M3600" s="12">
        <f>tItens[[#This Row],[Valor]]*(1-tItens[[#This Row],[Desconto]])</f>
        <v>12220.75471698113</v>
      </c>
      <c r="N3600" t="str">
        <f>IFERROR(INDEX(tProdutos[Foco],MATCH(tItens[[#This Row],[Produto]],tProdutos[Produto],0)),"Não")</f>
        <v>Não</v>
      </c>
      <c r="O3600" t="str">
        <f>IFERROR(INDEX(tEditais[SRP],MATCH(tItens[[#This Row],[Edital]],tEditais[Edital],0)),"Não")</f>
        <v>Sim</v>
      </c>
      <c r="P3600" s="4">
        <f>IF(COUNTIFS(INDEX(tItens[Edital],1):tItens[[#This Row],[Edital]],tItens[[#This Row],[Edital]],INDEX(tItens[Produto],1):tItens[[#This Row],[Produto]],tItens[[#This Row],[Produto]])=1,1,0)</f>
        <v>1</v>
      </c>
    </row>
    <row r="3601" spans="1:16" x14ac:dyDescent="0.25">
      <c r="A3601" t="s">
        <v>1504</v>
      </c>
      <c r="B3601">
        <v>255</v>
      </c>
      <c r="C3601" t="s">
        <v>6484</v>
      </c>
      <c r="D3601" t="s">
        <v>265</v>
      </c>
      <c r="E3601" s="13">
        <v>10000</v>
      </c>
      <c r="F3601" s="12">
        <v>0.98</v>
      </c>
      <c r="G3601" t="str">
        <f>IFERROR(INDEX(tEditais[Órgão],MATCH(tItens[[#This Row],[Edital]],tEditais[Edital],0)),"")</f>
        <v>MUNICIPIO DE MARTINS SOARES</v>
      </c>
      <c r="H3601" t="str">
        <f>IFERROR(INDEX(tEditais[UF],MATCH(tItens[[#This Row],[Edital]],tEditais[Edital],0)),"")</f>
        <v>MG</v>
      </c>
      <c r="I3601" s="11">
        <f>IFERROR(INDEX(tEditais[Encerramento],MATCH(tItens[[#This Row],[Edital]],tEditais[Edital],0)),"")</f>
        <v>46310.354166666664</v>
      </c>
      <c r="J3601" t="str">
        <f>IFERROR(INDEX(tProdutos[Classe],MATCH(tItens[[#This Row],[Produto]],tProdutos[Produto],0)),"produto não cadastrado")</f>
        <v>DISPUTADO</v>
      </c>
      <c r="K3601" s="12">
        <f>tItens[[#This Row],[Qtd]]*tItens[[#This Row],[Vlr unit]]</f>
        <v>9800</v>
      </c>
      <c r="L3601" s="6">
        <f>IFERROR(IF(INDEX(tProdutos[Desconto homologado],MATCH(tItens[[#This Row],[Produto]],tProdutos[Produto],0))="",DescontoPadrao,INDEX(tProdutos[Desconto homologado],MATCH(tItens[[#This Row],[Produto]],tProdutos[Produto],0))),DescontoPadrao)</f>
        <v>0.377587663709337</v>
      </c>
      <c r="M3601" s="12">
        <f>tItens[[#This Row],[Valor]]*(1-tItens[[#This Row],[Desconto]])</f>
        <v>6099.6408956484984</v>
      </c>
      <c r="N3601" t="str">
        <f>IFERROR(INDEX(tProdutos[Foco],MATCH(tItens[[#This Row],[Produto]],tProdutos[Produto],0)),"Não")</f>
        <v>Não</v>
      </c>
      <c r="O3601" t="str">
        <f>IFERROR(INDEX(tEditais[SRP],MATCH(tItens[[#This Row],[Edital]],tEditais[Edital],0)),"Não")</f>
        <v>Sim</v>
      </c>
      <c r="P3601" s="4">
        <f>IF(COUNTIFS(INDEX(tItens[Edital],1):tItens[[#This Row],[Edital]],tItens[[#This Row],[Edital]],INDEX(tItens[Produto],1):tItens[[#This Row],[Produto]],tItens[[#This Row],[Produto]])=1,1,0)</f>
        <v>1</v>
      </c>
    </row>
    <row r="3602" spans="1:16" x14ac:dyDescent="0.25">
      <c r="A3602" t="s">
        <v>1504</v>
      </c>
      <c r="B3602">
        <v>262</v>
      </c>
      <c r="C3602" t="s">
        <v>6485</v>
      </c>
      <c r="D3602" t="s">
        <v>184</v>
      </c>
      <c r="E3602" s="13">
        <v>50</v>
      </c>
      <c r="F3602" s="12">
        <v>59.35</v>
      </c>
      <c r="G3602" t="str">
        <f>IFERROR(INDEX(tEditais[Órgão],MATCH(tItens[[#This Row],[Edital]],tEditais[Edital],0)),"")</f>
        <v>MUNICIPIO DE MARTINS SOARES</v>
      </c>
      <c r="H3602" t="str">
        <f>IFERROR(INDEX(tEditais[UF],MATCH(tItens[[#This Row],[Edital]],tEditais[Edital],0)),"")</f>
        <v>MG</v>
      </c>
      <c r="I3602" s="11">
        <f>IFERROR(INDEX(tEditais[Encerramento],MATCH(tItens[[#This Row],[Edital]],tEditais[Edital],0)),"")</f>
        <v>46310.354166666664</v>
      </c>
      <c r="J3602" t="str">
        <f>IFERROR(INDEX(tProdutos[Classe],MATCH(tItens[[#This Row],[Produto]],tProdutos[Produto],0)),"produto não cadastrado")</f>
        <v>FORA</v>
      </c>
      <c r="K3602" s="12">
        <f>tItens[[#This Row],[Qtd]]*tItens[[#This Row],[Vlr unit]]</f>
        <v>2967.5</v>
      </c>
      <c r="L3602" s="6">
        <f>IFERROR(IF(INDEX(tProdutos[Desconto homologado],MATCH(tItens[[#This Row],[Produto]],tProdutos[Produto],0))="",DescontoPadrao,INDEX(tProdutos[Desconto homologado],MATCH(tItens[[#This Row],[Produto]],tProdutos[Produto],0))),DescontoPadrao)</f>
        <v>0.363567906332742</v>
      </c>
      <c r="M3602" s="12">
        <f>tItens[[#This Row],[Valor]]*(1-tItens[[#This Row],[Desconto]])</f>
        <v>1888.6122379575884</v>
      </c>
      <c r="N3602" t="str">
        <f>IFERROR(INDEX(tProdutos[Foco],MATCH(tItens[[#This Row],[Produto]],tProdutos[Produto],0)),"Não")</f>
        <v>Não</v>
      </c>
      <c r="O3602" t="str">
        <f>IFERROR(INDEX(tEditais[SRP],MATCH(tItens[[#This Row],[Edital]],tEditais[Edital],0)),"Não")</f>
        <v>Sim</v>
      </c>
      <c r="P3602" s="4">
        <f>IF(COUNTIFS(INDEX(tItens[Edital],1):tItens[[#This Row],[Edital]],tItens[[#This Row],[Edital]],INDEX(tItens[Produto],1):tItens[[#This Row],[Produto]],tItens[[#This Row],[Produto]])=1,1,0)</f>
        <v>1</v>
      </c>
    </row>
    <row r="3603" spans="1:16" x14ac:dyDescent="0.25">
      <c r="A3603" t="s">
        <v>1504</v>
      </c>
      <c r="B3603">
        <v>263</v>
      </c>
      <c r="C3603" t="s">
        <v>6486</v>
      </c>
      <c r="D3603" t="s">
        <v>184</v>
      </c>
      <c r="E3603" s="13">
        <v>50</v>
      </c>
      <c r="F3603" s="12">
        <v>59.35</v>
      </c>
      <c r="G3603" t="str">
        <f>IFERROR(INDEX(tEditais[Órgão],MATCH(tItens[[#This Row],[Edital]],tEditais[Edital],0)),"")</f>
        <v>MUNICIPIO DE MARTINS SOARES</v>
      </c>
      <c r="H3603" t="str">
        <f>IFERROR(INDEX(tEditais[UF],MATCH(tItens[[#This Row],[Edital]],tEditais[Edital],0)),"")</f>
        <v>MG</v>
      </c>
      <c r="I3603" s="11">
        <f>IFERROR(INDEX(tEditais[Encerramento],MATCH(tItens[[#This Row],[Edital]],tEditais[Edital],0)),"")</f>
        <v>46310.354166666664</v>
      </c>
      <c r="J3603" t="str">
        <f>IFERROR(INDEX(tProdutos[Classe],MATCH(tItens[[#This Row],[Produto]],tProdutos[Produto],0)),"produto não cadastrado")</f>
        <v>FORA</v>
      </c>
      <c r="K3603" s="12">
        <f>tItens[[#This Row],[Qtd]]*tItens[[#This Row],[Vlr unit]]</f>
        <v>2967.5</v>
      </c>
      <c r="L3603" s="6">
        <f>IFERROR(IF(INDEX(tProdutos[Desconto homologado],MATCH(tItens[[#This Row],[Produto]],tProdutos[Produto],0))="",DescontoPadrao,INDEX(tProdutos[Desconto homologado],MATCH(tItens[[#This Row],[Produto]],tProdutos[Produto],0))),DescontoPadrao)</f>
        <v>0.363567906332742</v>
      </c>
      <c r="M3603" s="12">
        <f>tItens[[#This Row],[Valor]]*(1-tItens[[#This Row],[Desconto]])</f>
        <v>1888.6122379575884</v>
      </c>
      <c r="N3603" t="str">
        <f>IFERROR(INDEX(tProdutos[Foco],MATCH(tItens[[#This Row],[Produto]],tProdutos[Produto],0)),"Não")</f>
        <v>Não</v>
      </c>
      <c r="O3603" t="str">
        <f>IFERROR(INDEX(tEditais[SRP],MATCH(tItens[[#This Row],[Edital]],tEditais[Edital],0)),"Não")</f>
        <v>Sim</v>
      </c>
      <c r="P3603" s="4">
        <f>IF(COUNTIFS(INDEX(tItens[Edital],1):tItens[[#This Row],[Edital]],tItens[[#This Row],[Edital]],INDEX(tItens[Produto],1):tItens[[#This Row],[Produto]],tItens[[#This Row],[Produto]])=1,1,0)</f>
        <v>0</v>
      </c>
    </row>
    <row r="3604" spans="1:16" x14ac:dyDescent="0.25">
      <c r="A3604" t="s">
        <v>1504</v>
      </c>
      <c r="B3604">
        <v>264</v>
      </c>
      <c r="C3604" t="s">
        <v>6487</v>
      </c>
      <c r="D3604" t="s">
        <v>184</v>
      </c>
      <c r="E3604" s="13">
        <v>100</v>
      </c>
      <c r="F3604" s="12">
        <v>59.35</v>
      </c>
      <c r="G3604" t="str">
        <f>IFERROR(INDEX(tEditais[Órgão],MATCH(tItens[[#This Row],[Edital]],tEditais[Edital],0)),"")</f>
        <v>MUNICIPIO DE MARTINS SOARES</v>
      </c>
      <c r="H3604" t="str">
        <f>IFERROR(INDEX(tEditais[UF],MATCH(tItens[[#This Row],[Edital]],tEditais[Edital],0)),"")</f>
        <v>MG</v>
      </c>
      <c r="I3604" s="11">
        <f>IFERROR(INDEX(tEditais[Encerramento],MATCH(tItens[[#This Row],[Edital]],tEditais[Edital],0)),"")</f>
        <v>46310.354166666664</v>
      </c>
      <c r="J3604" t="str">
        <f>IFERROR(INDEX(tProdutos[Classe],MATCH(tItens[[#This Row],[Produto]],tProdutos[Produto],0)),"produto não cadastrado")</f>
        <v>FORA</v>
      </c>
      <c r="K3604" s="12">
        <f>tItens[[#This Row],[Qtd]]*tItens[[#This Row],[Vlr unit]]</f>
        <v>5935</v>
      </c>
      <c r="L3604" s="6">
        <f>IFERROR(IF(INDEX(tProdutos[Desconto homologado],MATCH(tItens[[#This Row],[Produto]],tProdutos[Produto],0))="",DescontoPadrao,INDEX(tProdutos[Desconto homologado],MATCH(tItens[[#This Row],[Produto]],tProdutos[Produto],0))),DescontoPadrao)</f>
        <v>0.363567906332742</v>
      </c>
      <c r="M3604" s="12">
        <f>tItens[[#This Row],[Valor]]*(1-tItens[[#This Row],[Desconto]])</f>
        <v>3777.2244759151768</v>
      </c>
      <c r="N3604" t="str">
        <f>IFERROR(INDEX(tProdutos[Foco],MATCH(tItens[[#This Row],[Produto]],tProdutos[Produto],0)),"Não")</f>
        <v>Não</v>
      </c>
      <c r="O3604" t="str">
        <f>IFERROR(INDEX(tEditais[SRP],MATCH(tItens[[#This Row],[Edital]],tEditais[Edital],0)),"Não")</f>
        <v>Sim</v>
      </c>
      <c r="P3604" s="4">
        <f>IF(COUNTIFS(INDEX(tItens[Edital],1):tItens[[#This Row],[Edital]],tItens[[#This Row],[Edital]],INDEX(tItens[Produto],1):tItens[[#This Row],[Produto]],tItens[[#This Row],[Produto]])=1,1,0)</f>
        <v>0</v>
      </c>
    </row>
    <row r="3605" spans="1:16" x14ac:dyDescent="0.25">
      <c r="A3605" t="s">
        <v>1504</v>
      </c>
      <c r="B3605">
        <v>265</v>
      </c>
      <c r="C3605" t="s">
        <v>6488</v>
      </c>
      <c r="D3605" t="s">
        <v>184</v>
      </c>
      <c r="E3605" s="13">
        <v>100</v>
      </c>
      <c r="F3605" s="12">
        <v>59.35</v>
      </c>
      <c r="G3605" t="str">
        <f>IFERROR(INDEX(tEditais[Órgão],MATCH(tItens[[#This Row],[Edital]],tEditais[Edital],0)),"")</f>
        <v>MUNICIPIO DE MARTINS SOARES</v>
      </c>
      <c r="H3605" t="str">
        <f>IFERROR(INDEX(tEditais[UF],MATCH(tItens[[#This Row],[Edital]],tEditais[Edital],0)),"")</f>
        <v>MG</v>
      </c>
      <c r="I3605" s="11">
        <f>IFERROR(INDEX(tEditais[Encerramento],MATCH(tItens[[#This Row],[Edital]],tEditais[Edital],0)),"")</f>
        <v>46310.354166666664</v>
      </c>
      <c r="J3605" t="str">
        <f>IFERROR(INDEX(tProdutos[Classe],MATCH(tItens[[#This Row],[Produto]],tProdutos[Produto],0)),"produto não cadastrado")</f>
        <v>FORA</v>
      </c>
      <c r="K3605" s="12">
        <f>tItens[[#This Row],[Qtd]]*tItens[[#This Row],[Vlr unit]]</f>
        <v>5935</v>
      </c>
      <c r="L3605" s="6">
        <f>IFERROR(IF(INDEX(tProdutos[Desconto homologado],MATCH(tItens[[#This Row],[Produto]],tProdutos[Produto],0))="",DescontoPadrao,INDEX(tProdutos[Desconto homologado],MATCH(tItens[[#This Row],[Produto]],tProdutos[Produto],0))),DescontoPadrao)</f>
        <v>0.363567906332742</v>
      </c>
      <c r="M3605" s="12">
        <f>tItens[[#This Row],[Valor]]*(1-tItens[[#This Row],[Desconto]])</f>
        <v>3777.2244759151768</v>
      </c>
      <c r="N3605" t="str">
        <f>IFERROR(INDEX(tProdutos[Foco],MATCH(tItens[[#This Row],[Produto]],tProdutos[Produto],0)),"Não")</f>
        <v>Não</v>
      </c>
      <c r="O3605" t="str">
        <f>IFERROR(INDEX(tEditais[SRP],MATCH(tItens[[#This Row],[Edital]],tEditais[Edital],0)),"Não")</f>
        <v>Sim</v>
      </c>
      <c r="P3605" s="4">
        <f>IF(COUNTIFS(INDEX(tItens[Edital],1):tItens[[#This Row],[Edital]],tItens[[#This Row],[Edital]],INDEX(tItens[Produto],1):tItens[[#This Row],[Produto]],tItens[[#This Row],[Produto]])=1,1,0)</f>
        <v>0</v>
      </c>
    </row>
    <row r="3606" spans="1:16" x14ac:dyDescent="0.25">
      <c r="A3606" t="s">
        <v>1504</v>
      </c>
      <c r="B3606">
        <v>266</v>
      </c>
      <c r="C3606" t="s">
        <v>6489</v>
      </c>
      <c r="D3606" t="s">
        <v>184</v>
      </c>
      <c r="E3606" s="13">
        <v>200</v>
      </c>
      <c r="F3606" s="12">
        <v>59.35</v>
      </c>
      <c r="G3606" t="str">
        <f>IFERROR(INDEX(tEditais[Órgão],MATCH(tItens[[#This Row],[Edital]],tEditais[Edital],0)),"")</f>
        <v>MUNICIPIO DE MARTINS SOARES</v>
      </c>
      <c r="H3606" t="str">
        <f>IFERROR(INDEX(tEditais[UF],MATCH(tItens[[#This Row],[Edital]],tEditais[Edital],0)),"")</f>
        <v>MG</v>
      </c>
      <c r="I3606" s="11">
        <f>IFERROR(INDEX(tEditais[Encerramento],MATCH(tItens[[#This Row],[Edital]],tEditais[Edital],0)),"")</f>
        <v>46310.354166666664</v>
      </c>
      <c r="J3606" t="str">
        <f>IFERROR(INDEX(tProdutos[Classe],MATCH(tItens[[#This Row],[Produto]],tProdutos[Produto],0)),"produto não cadastrado")</f>
        <v>FORA</v>
      </c>
      <c r="K3606" s="12">
        <f>tItens[[#This Row],[Qtd]]*tItens[[#This Row],[Vlr unit]]</f>
        <v>11870</v>
      </c>
      <c r="L3606" s="6">
        <f>IFERROR(IF(INDEX(tProdutos[Desconto homologado],MATCH(tItens[[#This Row],[Produto]],tProdutos[Produto],0))="",DescontoPadrao,INDEX(tProdutos[Desconto homologado],MATCH(tItens[[#This Row],[Produto]],tProdutos[Produto],0))),DescontoPadrao)</f>
        <v>0.363567906332742</v>
      </c>
      <c r="M3606" s="12">
        <f>tItens[[#This Row],[Valor]]*(1-tItens[[#This Row],[Desconto]])</f>
        <v>7554.4489518303535</v>
      </c>
      <c r="N3606" t="str">
        <f>IFERROR(INDEX(tProdutos[Foco],MATCH(tItens[[#This Row],[Produto]],tProdutos[Produto],0)),"Não")</f>
        <v>Não</v>
      </c>
      <c r="O3606" t="str">
        <f>IFERROR(INDEX(tEditais[SRP],MATCH(tItens[[#This Row],[Edital]],tEditais[Edital],0)),"Não")</f>
        <v>Sim</v>
      </c>
      <c r="P3606" s="4">
        <f>IF(COUNTIFS(INDEX(tItens[Edital],1):tItens[[#This Row],[Edital]],tItens[[#This Row],[Edital]],INDEX(tItens[Produto],1):tItens[[#This Row],[Produto]],tItens[[#This Row],[Produto]])=1,1,0)</f>
        <v>0</v>
      </c>
    </row>
    <row r="3607" spans="1:16" x14ac:dyDescent="0.25">
      <c r="A3607" t="s">
        <v>1504</v>
      </c>
      <c r="B3607">
        <v>267</v>
      </c>
      <c r="C3607" t="s">
        <v>6490</v>
      </c>
      <c r="D3607" t="s">
        <v>184</v>
      </c>
      <c r="E3607" s="13">
        <v>200</v>
      </c>
      <c r="F3607" s="12">
        <v>59.35</v>
      </c>
      <c r="G3607" t="str">
        <f>IFERROR(INDEX(tEditais[Órgão],MATCH(tItens[[#This Row],[Edital]],tEditais[Edital],0)),"")</f>
        <v>MUNICIPIO DE MARTINS SOARES</v>
      </c>
      <c r="H3607" t="str">
        <f>IFERROR(INDEX(tEditais[UF],MATCH(tItens[[#This Row],[Edital]],tEditais[Edital],0)),"")</f>
        <v>MG</v>
      </c>
      <c r="I3607" s="11">
        <f>IFERROR(INDEX(tEditais[Encerramento],MATCH(tItens[[#This Row],[Edital]],tEditais[Edital],0)),"")</f>
        <v>46310.354166666664</v>
      </c>
      <c r="J3607" t="str">
        <f>IFERROR(INDEX(tProdutos[Classe],MATCH(tItens[[#This Row],[Produto]],tProdutos[Produto],0)),"produto não cadastrado")</f>
        <v>FORA</v>
      </c>
      <c r="K3607" s="12">
        <f>tItens[[#This Row],[Qtd]]*tItens[[#This Row],[Vlr unit]]</f>
        <v>11870</v>
      </c>
      <c r="L3607" s="6">
        <f>IFERROR(IF(INDEX(tProdutos[Desconto homologado],MATCH(tItens[[#This Row],[Produto]],tProdutos[Produto],0))="",DescontoPadrao,INDEX(tProdutos[Desconto homologado],MATCH(tItens[[#This Row],[Produto]],tProdutos[Produto],0))),DescontoPadrao)</f>
        <v>0.363567906332742</v>
      </c>
      <c r="M3607" s="12">
        <f>tItens[[#This Row],[Valor]]*(1-tItens[[#This Row],[Desconto]])</f>
        <v>7554.4489518303535</v>
      </c>
      <c r="N3607" t="str">
        <f>IFERROR(INDEX(tProdutos[Foco],MATCH(tItens[[#This Row],[Produto]],tProdutos[Produto],0)),"Não")</f>
        <v>Não</v>
      </c>
      <c r="O3607" t="str">
        <f>IFERROR(INDEX(tEditais[SRP],MATCH(tItens[[#This Row],[Edital]],tEditais[Edital],0)),"Não")</f>
        <v>Sim</v>
      </c>
      <c r="P3607" s="4">
        <f>IF(COUNTIFS(INDEX(tItens[Edital],1):tItens[[#This Row],[Edital]],tItens[[#This Row],[Edital]],INDEX(tItens[Produto],1):tItens[[#This Row],[Produto]],tItens[[#This Row],[Produto]])=1,1,0)</f>
        <v>0</v>
      </c>
    </row>
    <row r="3608" spans="1:16" x14ac:dyDescent="0.25">
      <c r="A3608" t="s">
        <v>1504</v>
      </c>
      <c r="B3608">
        <v>268</v>
      </c>
      <c r="C3608" t="s">
        <v>6491</v>
      </c>
      <c r="D3608" t="s">
        <v>184</v>
      </c>
      <c r="E3608" s="13">
        <v>100</v>
      </c>
      <c r="F3608" s="12">
        <v>59.35</v>
      </c>
      <c r="G3608" t="str">
        <f>IFERROR(INDEX(tEditais[Órgão],MATCH(tItens[[#This Row],[Edital]],tEditais[Edital],0)),"")</f>
        <v>MUNICIPIO DE MARTINS SOARES</v>
      </c>
      <c r="H3608" t="str">
        <f>IFERROR(INDEX(tEditais[UF],MATCH(tItens[[#This Row],[Edital]],tEditais[Edital],0)),"")</f>
        <v>MG</v>
      </c>
      <c r="I3608" s="11">
        <f>IFERROR(INDEX(tEditais[Encerramento],MATCH(tItens[[#This Row],[Edital]],tEditais[Edital],0)),"")</f>
        <v>46310.354166666664</v>
      </c>
      <c r="J3608" t="str">
        <f>IFERROR(INDEX(tProdutos[Classe],MATCH(tItens[[#This Row],[Produto]],tProdutos[Produto],0)),"produto não cadastrado")</f>
        <v>FORA</v>
      </c>
      <c r="K3608" s="12">
        <f>tItens[[#This Row],[Qtd]]*tItens[[#This Row],[Vlr unit]]</f>
        <v>5935</v>
      </c>
      <c r="L3608" s="6">
        <f>IFERROR(IF(INDEX(tProdutos[Desconto homologado],MATCH(tItens[[#This Row],[Produto]],tProdutos[Produto],0))="",DescontoPadrao,INDEX(tProdutos[Desconto homologado],MATCH(tItens[[#This Row],[Produto]],tProdutos[Produto],0))),DescontoPadrao)</f>
        <v>0.363567906332742</v>
      </c>
      <c r="M3608" s="12">
        <f>tItens[[#This Row],[Valor]]*(1-tItens[[#This Row],[Desconto]])</f>
        <v>3777.2244759151768</v>
      </c>
      <c r="N3608" t="str">
        <f>IFERROR(INDEX(tProdutos[Foco],MATCH(tItens[[#This Row],[Produto]],tProdutos[Produto],0)),"Não")</f>
        <v>Não</v>
      </c>
      <c r="O3608" t="str">
        <f>IFERROR(INDEX(tEditais[SRP],MATCH(tItens[[#This Row],[Edital]],tEditais[Edital],0)),"Não")</f>
        <v>Sim</v>
      </c>
      <c r="P3608" s="4">
        <f>IF(COUNTIFS(INDEX(tItens[Edital],1):tItens[[#This Row],[Edital]],tItens[[#This Row],[Edital]],INDEX(tItens[Produto],1):tItens[[#This Row],[Produto]],tItens[[#This Row],[Produto]])=1,1,0)</f>
        <v>0</v>
      </c>
    </row>
    <row r="3609" spans="1:16" x14ac:dyDescent="0.25">
      <c r="A3609" t="s">
        <v>1504</v>
      </c>
      <c r="B3609">
        <v>273</v>
      </c>
      <c r="C3609" t="s">
        <v>6492</v>
      </c>
      <c r="D3609" t="s">
        <v>164</v>
      </c>
      <c r="E3609" s="13">
        <v>200</v>
      </c>
      <c r="F3609" s="12">
        <v>21.9</v>
      </c>
      <c r="G3609" t="str">
        <f>IFERROR(INDEX(tEditais[Órgão],MATCH(tItens[[#This Row],[Edital]],tEditais[Edital],0)),"")</f>
        <v>MUNICIPIO DE MARTINS SOARES</v>
      </c>
      <c r="H3609" t="str">
        <f>IFERROR(INDEX(tEditais[UF],MATCH(tItens[[#This Row],[Edital]],tEditais[Edital],0)),"")</f>
        <v>MG</v>
      </c>
      <c r="I3609" s="11">
        <f>IFERROR(INDEX(tEditais[Encerramento],MATCH(tItens[[#This Row],[Edital]],tEditais[Edital],0)),"")</f>
        <v>46310.354166666664</v>
      </c>
      <c r="J3609" t="str">
        <f>IFERROR(INDEX(tProdutos[Classe],MATCH(tItens[[#This Row],[Produto]],tProdutos[Produto],0)),"produto não cadastrado")</f>
        <v>DISPUTADO</v>
      </c>
      <c r="K3609" s="12">
        <f>tItens[[#This Row],[Qtd]]*tItens[[#This Row],[Vlr unit]]</f>
        <v>4380</v>
      </c>
      <c r="L3609" s="6">
        <f>IFERROR(IF(INDEX(tProdutos[Desconto homologado],MATCH(tItens[[#This Row],[Produto]],tProdutos[Produto],0))="",DescontoPadrao,INDEX(tProdutos[Desconto homologado],MATCH(tItens[[#This Row],[Produto]],tProdutos[Produto],0))),DescontoPadrao)</f>
        <v>0.445300462249615</v>
      </c>
      <c r="M3609" s="12">
        <f>tItens[[#This Row],[Valor]]*(1-tItens[[#This Row],[Desconto]])</f>
        <v>2429.5839753466862</v>
      </c>
      <c r="N3609" t="str">
        <f>IFERROR(INDEX(tProdutos[Foco],MATCH(tItens[[#This Row],[Produto]],tProdutos[Produto],0)),"Não")</f>
        <v>Não</v>
      </c>
      <c r="O3609" t="str">
        <f>IFERROR(INDEX(tEditais[SRP],MATCH(tItens[[#This Row],[Edital]],tEditais[Edital],0)),"Não")</f>
        <v>Sim</v>
      </c>
      <c r="P3609" s="4">
        <f>IF(COUNTIFS(INDEX(tItens[Edital],1):tItens[[#This Row],[Edital]],tItens[[#This Row],[Edital]],INDEX(tItens[Produto],1):tItens[[#This Row],[Produto]],tItens[[#This Row],[Produto]])=1,1,0)</f>
        <v>1</v>
      </c>
    </row>
    <row r="3610" spans="1:16" x14ac:dyDescent="0.25">
      <c r="A3610" t="s">
        <v>1504</v>
      </c>
      <c r="B3610">
        <v>274</v>
      </c>
      <c r="C3610" t="s">
        <v>6493</v>
      </c>
      <c r="D3610" t="s">
        <v>164</v>
      </c>
      <c r="E3610" s="13">
        <v>50</v>
      </c>
      <c r="F3610" s="12">
        <v>21.9</v>
      </c>
      <c r="G3610" t="str">
        <f>IFERROR(INDEX(tEditais[Órgão],MATCH(tItens[[#This Row],[Edital]],tEditais[Edital],0)),"")</f>
        <v>MUNICIPIO DE MARTINS SOARES</v>
      </c>
      <c r="H3610" t="str">
        <f>IFERROR(INDEX(tEditais[UF],MATCH(tItens[[#This Row],[Edital]],tEditais[Edital],0)),"")</f>
        <v>MG</v>
      </c>
      <c r="I3610" s="11">
        <f>IFERROR(INDEX(tEditais[Encerramento],MATCH(tItens[[#This Row],[Edital]],tEditais[Edital],0)),"")</f>
        <v>46310.354166666664</v>
      </c>
      <c r="J3610" t="str">
        <f>IFERROR(INDEX(tProdutos[Classe],MATCH(tItens[[#This Row],[Produto]],tProdutos[Produto],0)),"produto não cadastrado")</f>
        <v>DISPUTADO</v>
      </c>
      <c r="K3610" s="12">
        <f>tItens[[#This Row],[Qtd]]*tItens[[#This Row],[Vlr unit]]</f>
        <v>1095</v>
      </c>
      <c r="L3610" s="6">
        <f>IFERROR(IF(INDEX(tProdutos[Desconto homologado],MATCH(tItens[[#This Row],[Produto]],tProdutos[Produto],0))="",DescontoPadrao,INDEX(tProdutos[Desconto homologado],MATCH(tItens[[#This Row],[Produto]],tProdutos[Produto],0))),DescontoPadrao)</f>
        <v>0.445300462249615</v>
      </c>
      <c r="M3610" s="12">
        <f>tItens[[#This Row],[Valor]]*(1-tItens[[#This Row],[Desconto]])</f>
        <v>607.39599383667155</v>
      </c>
      <c r="N3610" t="str">
        <f>IFERROR(INDEX(tProdutos[Foco],MATCH(tItens[[#This Row],[Produto]],tProdutos[Produto],0)),"Não")</f>
        <v>Não</v>
      </c>
      <c r="O3610" t="str">
        <f>IFERROR(INDEX(tEditais[SRP],MATCH(tItens[[#This Row],[Edital]],tEditais[Edital],0)),"Não")</f>
        <v>Sim</v>
      </c>
      <c r="P3610" s="4">
        <f>IF(COUNTIFS(INDEX(tItens[Edital],1):tItens[[#This Row],[Edital]],tItens[[#This Row],[Edital]],INDEX(tItens[Produto],1):tItens[[#This Row],[Produto]],tItens[[#This Row],[Produto]])=1,1,0)</f>
        <v>0</v>
      </c>
    </row>
    <row r="3611" spans="1:16" x14ac:dyDescent="0.25">
      <c r="A3611" t="s">
        <v>1504</v>
      </c>
      <c r="B3611">
        <v>275</v>
      </c>
      <c r="C3611" t="s">
        <v>6494</v>
      </c>
      <c r="D3611" t="s">
        <v>110</v>
      </c>
      <c r="E3611" s="13">
        <v>50</v>
      </c>
      <c r="F3611" s="12">
        <v>2.35</v>
      </c>
      <c r="G3611" t="str">
        <f>IFERROR(INDEX(tEditais[Órgão],MATCH(tItens[[#This Row],[Edital]],tEditais[Edital],0)),"")</f>
        <v>MUNICIPIO DE MARTINS SOARES</v>
      </c>
      <c r="H3611" t="str">
        <f>IFERROR(INDEX(tEditais[UF],MATCH(tItens[[#This Row],[Edital]],tEditais[Edital],0)),"")</f>
        <v>MG</v>
      </c>
      <c r="I3611" s="11">
        <f>IFERROR(INDEX(tEditais[Encerramento],MATCH(tItens[[#This Row],[Edital]],tEditais[Edital],0)),"")</f>
        <v>46310.354166666664</v>
      </c>
      <c r="J3611" t="str">
        <f>IFERROR(INDEX(tProdutos[Classe],MATCH(tItens[[#This Row],[Produto]],tProdutos[Produto],0)),"produto não cadastrado")</f>
        <v>NÚCLEO</v>
      </c>
      <c r="K3611" s="12">
        <f>tItens[[#This Row],[Qtd]]*tItens[[#This Row],[Vlr unit]]</f>
        <v>117.5</v>
      </c>
      <c r="L3611" s="6">
        <f>IFERROR(IF(INDEX(tProdutos[Desconto homologado],MATCH(tItens[[#This Row],[Produto]],tProdutos[Produto],0))="",DescontoPadrao,INDEX(tProdutos[Desconto homologado],MATCH(tItens[[#This Row],[Produto]],tProdutos[Produto],0))),DescontoPadrao)</f>
        <v>0.30410958904109597</v>
      </c>
      <c r="M3611" s="12">
        <f>tItens[[#This Row],[Valor]]*(1-tItens[[#This Row],[Desconto]])</f>
        <v>81.767123287671225</v>
      </c>
      <c r="N3611" t="str">
        <f>IFERROR(INDEX(tProdutos[Foco],MATCH(tItens[[#This Row],[Produto]],tProdutos[Produto],0)),"Não")</f>
        <v>Não</v>
      </c>
      <c r="O3611" t="str">
        <f>IFERROR(INDEX(tEditais[SRP],MATCH(tItens[[#This Row],[Edital]],tEditais[Edital],0)),"Não")</f>
        <v>Sim</v>
      </c>
      <c r="P3611" s="4">
        <f>IF(COUNTIFS(INDEX(tItens[Edital],1):tItens[[#This Row],[Edital]],tItens[[#This Row],[Edital]],INDEX(tItens[Produto],1):tItens[[#This Row],[Produto]],tItens[[#This Row],[Produto]])=1,1,0)</f>
        <v>1</v>
      </c>
    </row>
    <row r="3612" spans="1:16" x14ac:dyDescent="0.25">
      <c r="A3612" t="s">
        <v>1504</v>
      </c>
      <c r="B3612">
        <v>276</v>
      </c>
      <c r="C3612" t="s">
        <v>4720</v>
      </c>
      <c r="D3612" t="s">
        <v>110</v>
      </c>
      <c r="E3612" s="13">
        <v>50</v>
      </c>
      <c r="F3612" s="12">
        <v>2.35</v>
      </c>
      <c r="G3612" t="str">
        <f>IFERROR(INDEX(tEditais[Órgão],MATCH(tItens[[#This Row],[Edital]],tEditais[Edital],0)),"")</f>
        <v>MUNICIPIO DE MARTINS SOARES</v>
      </c>
      <c r="H3612" t="str">
        <f>IFERROR(INDEX(tEditais[UF],MATCH(tItens[[#This Row],[Edital]],tEditais[Edital],0)),"")</f>
        <v>MG</v>
      </c>
      <c r="I3612" s="11">
        <f>IFERROR(INDEX(tEditais[Encerramento],MATCH(tItens[[#This Row],[Edital]],tEditais[Edital],0)),"")</f>
        <v>46310.354166666664</v>
      </c>
      <c r="J3612" t="str">
        <f>IFERROR(INDEX(tProdutos[Classe],MATCH(tItens[[#This Row],[Produto]],tProdutos[Produto],0)),"produto não cadastrado")</f>
        <v>NÚCLEO</v>
      </c>
      <c r="K3612" s="12">
        <f>tItens[[#This Row],[Qtd]]*tItens[[#This Row],[Vlr unit]]</f>
        <v>117.5</v>
      </c>
      <c r="L3612" s="6">
        <f>IFERROR(IF(INDEX(tProdutos[Desconto homologado],MATCH(tItens[[#This Row],[Produto]],tProdutos[Produto],0))="",DescontoPadrao,INDEX(tProdutos[Desconto homologado],MATCH(tItens[[#This Row],[Produto]],tProdutos[Produto],0))),DescontoPadrao)</f>
        <v>0.30410958904109597</v>
      </c>
      <c r="M3612" s="12">
        <f>tItens[[#This Row],[Valor]]*(1-tItens[[#This Row],[Desconto]])</f>
        <v>81.767123287671225</v>
      </c>
      <c r="N3612" t="str">
        <f>IFERROR(INDEX(tProdutos[Foco],MATCH(tItens[[#This Row],[Produto]],tProdutos[Produto],0)),"Não")</f>
        <v>Não</v>
      </c>
      <c r="O3612" t="str">
        <f>IFERROR(INDEX(tEditais[SRP],MATCH(tItens[[#This Row],[Edital]],tEditais[Edital],0)),"Não")</f>
        <v>Sim</v>
      </c>
      <c r="P3612" s="4">
        <f>IF(COUNTIFS(INDEX(tItens[Edital],1):tItens[[#This Row],[Edital]],tItens[[#This Row],[Edital]],INDEX(tItens[Produto],1):tItens[[#This Row],[Produto]],tItens[[#This Row],[Produto]])=1,1,0)</f>
        <v>0</v>
      </c>
    </row>
    <row r="3613" spans="1:16" x14ac:dyDescent="0.25">
      <c r="A3613" t="s">
        <v>1504</v>
      </c>
      <c r="B3613">
        <v>277</v>
      </c>
      <c r="C3613" t="s">
        <v>4721</v>
      </c>
      <c r="D3613" t="s">
        <v>110</v>
      </c>
      <c r="E3613" s="13">
        <v>100</v>
      </c>
      <c r="F3613" s="12">
        <v>2.35</v>
      </c>
      <c r="G3613" t="str">
        <f>IFERROR(INDEX(tEditais[Órgão],MATCH(tItens[[#This Row],[Edital]],tEditais[Edital],0)),"")</f>
        <v>MUNICIPIO DE MARTINS SOARES</v>
      </c>
      <c r="H3613" t="str">
        <f>IFERROR(INDEX(tEditais[UF],MATCH(tItens[[#This Row],[Edital]],tEditais[Edital],0)),"")</f>
        <v>MG</v>
      </c>
      <c r="I3613" s="11">
        <f>IFERROR(INDEX(tEditais[Encerramento],MATCH(tItens[[#This Row],[Edital]],tEditais[Edital],0)),"")</f>
        <v>46310.354166666664</v>
      </c>
      <c r="J3613" t="str">
        <f>IFERROR(INDEX(tProdutos[Classe],MATCH(tItens[[#This Row],[Produto]],tProdutos[Produto],0)),"produto não cadastrado")</f>
        <v>NÚCLEO</v>
      </c>
      <c r="K3613" s="12">
        <f>tItens[[#This Row],[Qtd]]*tItens[[#This Row],[Vlr unit]]</f>
        <v>235</v>
      </c>
      <c r="L3613" s="6">
        <f>IFERROR(IF(INDEX(tProdutos[Desconto homologado],MATCH(tItens[[#This Row],[Produto]],tProdutos[Produto],0))="",DescontoPadrao,INDEX(tProdutos[Desconto homologado],MATCH(tItens[[#This Row],[Produto]],tProdutos[Produto],0))),DescontoPadrao)</f>
        <v>0.30410958904109597</v>
      </c>
      <c r="M3613" s="12">
        <f>tItens[[#This Row],[Valor]]*(1-tItens[[#This Row],[Desconto]])</f>
        <v>163.53424657534245</v>
      </c>
      <c r="N3613" t="str">
        <f>IFERROR(INDEX(tProdutos[Foco],MATCH(tItens[[#This Row],[Produto]],tProdutos[Produto],0)),"Não")</f>
        <v>Não</v>
      </c>
      <c r="O3613" t="str">
        <f>IFERROR(INDEX(tEditais[SRP],MATCH(tItens[[#This Row],[Edital]],tEditais[Edital],0)),"Não")</f>
        <v>Sim</v>
      </c>
      <c r="P3613" s="4">
        <f>IF(COUNTIFS(INDEX(tItens[Edital],1):tItens[[#This Row],[Edital]],tItens[[#This Row],[Edital]],INDEX(tItens[Produto],1):tItens[[#This Row],[Produto]],tItens[[#This Row],[Produto]])=1,1,0)</f>
        <v>0</v>
      </c>
    </row>
    <row r="3614" spans="1:16" x14ac:dyDescent="0.25">
      <c r="A3614" t="s">
        <v>1504</v>
      </c>
      <c r="B3614">
        <v>278</v>
      </c>
      <c r="C3614" t="s">
        <v>6495</v>
      </c>
      <c r="D3614" t="s">
        <v>110</v>
      </c>
      <c r="E3614" s="13">
        <v>100</v>
      </c>
      <c r="F3614" s="12">
        <v>2.35</v>
      </c>
      <c r="G3614" t="str">
        <f>IFERROR(INDEX(tEditais[Órgão],MATCH(tItens[[#This Row],[Edital]],tEditais[Edital],0)),"")</f>
        <v>MUNICIPIO DE MARTINS SOARES</v>
      </c>
      <c r="H3614" t="str">
        <f>IFERROR(INDEX(tEditais[UF],MATCH(tItens[[#This Row],[Edital]],tEditais[Edital],0)),"")</f>
        <v>MG</v>
      </c>
      <c r="I3614" s="11">
        <f>IFERROR(INDEX(tEditais[Encerramento],MATCH(tItens[[#This Row],[Edital]],tEditais[Edital],0)),"")</f>
        <v>46310.354166666664</v>
      </c>
      <c r="J3614" t="str">
        <f>IFERROR(INDEX(tProdutos[Classe],MATCH(tItens[[#This Row],[Produto]],tProdutos[Produto],0)),"produto não cadastrado")</f>
        <v>NÚCLEO</v>
      </c>
      <c r="K3614" s="12">
        <f>tItens[[#This Row],[Qtd]]*tItens[[#This Row],[Vlr unit]]</f>
        <v>235</v>
      </c>
      <c r="L3614" s="6">
        <f>IFERROR(IF(INDEX(tProdutos[Desconto homologado],MATCH(tItens[[#This Row],[Produto]],tProdutos[Produto],0))="",DescontoPadrao,INDEX(tProdutos[Desconto homologado],MATCH(tItens[[#This Row],[Produto]],tProdutos[Produto],0))),DescontoPadrao)</f>
        <v>0.30410958904109597</v>
      </c>
      <c r="M3614" s="12">
        <f>tItens[[#This Row],[Valor]]*(1-tItens[[#This Row],[Desconto]])</f>
        <v>163.53424657534245</v>
      </c>
      <c r="N3614" t="str">
        <f>IFERROR(INDEX(tProdutos[Foco],MATCH(tItens[[#This Row],[Produto]],tProdutos[Produto],0)),"Não")</f>
        <v>Não</v>
      </c>
      <c r="O3614" t="str">
        <f>IFERROR(INDEX(tEditais[SRP],MATCH(tItens[[#This Row],[Edital]],tEditais[Edital],0)),"Não")</f>
        <v>Sim</v>
      </c>
      <c r="P3614" s="4">
        <f>IF(COUNTIFS(INDEX(tItens[Edital],1):tItens[[#This Row],[Edital]],tItens[[#This Row],[Edital]],INDEX(tItens[Produto],1):tItens[[#This Row],[Produto]],tItens[[#This Row],[Produto]])=1,1,0)</f>
        <v>0</v>
      </c>
    </row>
    <row r="3615" spans="1:16" x14ac:dyDescent="0.25">
      <c r="A3615" t="s">
        <v>1504</v>
      </c>
      <c r="B3615">
        <v>279</v>
      </c>
      <c r="C3615" t="s">
        <v>6496</v>
      </c>
      <c r="D3615" t="s">
        <v>110</v>
      </c>
      <c r="E3615" s="13">
        <v>50</v>
      </c>
      <c r="F3615" s="12">
        <v>2.35</v>
      </c>
      <c r="G3615" t="str">
        <f>IFERROR(INDEX(tEditais[Órgão],MATCH(tItens[[#This Row],[Edital]],tEditais[Edital],0)),"")</f>
        <v>MUNICIPIO DE MARTINS SOARES</v>
      </c>
      <c r="H3615" t="str">
        <f>IFERROR(INDEX(tEditais[UF],MATCH(tItens[[#This Row],[Edital]],tEditais[Edital],0)),"")</f>
        <v>MG</v>
      </c>
      <c r="I3615" s="11">
        <f>IFERROR(INDEX(tEditais[Encerramento],MATCH(tItens[[#This Row],[Edital]],tEditais[Edital],0)),"")</f>
        <v>46310.354166666664</v>
      </c>
      <c r="J3615" t="str">
        <f>IFERROR(INDEX(tProdutos[Classe],MATCH(tItens[[#This Row],[Produto]],tProdutos[Produto],0)),"produto não cadastrado")</f>
        <v>NÚCLEO</v>
      </c>
      <c r="K3615" s="12">
        <f>tItens[[#This Row],[Qtd]]*tItens[[#This Row],[Vlr unit]]</f>
        <v>117.5</v>
      </c>
      <c r="L3615" s="6">
        <f>IFERROR(IF(INDEX(tProdutos[Desconto homologado],MATCH(tItens[[#This Row],[Produto]],tProdutos[Produto],0))="",DescontoPadrao,INDEX(tProdutos[Desconto homologado],MATCH(tItens[[#This Row],[Produto]],tProdutos[Produto],0))),DescontoPadrao)</f>
        <v>0.30410958904109597</v>
      </c>
      <c r="M3615" s="12">
        <f>tItens[[#This Row],[Valor]]*(1-tItens[[#This Row],[Desconto]])</f>
        <v>81.767123287671225</v>
      </c>
      <c r="N3615" t="str">
        <f>IFERROR(INDEX(tProdutos[Foco],MATCH(tItens[[#This Row],[Produto]],tProdutos[Produto],0)),"Não")</f>
        <v>Não</v>
      </c>
      <c r="O3615" t="str">
        <f>IFERROR(INDEX(tEditais[SRP],MATCH(tItens[[#This Row],[Edital]],tEditais[Edital],0)),"Não")</f>
        <v>Sim</v>
      </c>
      <c r="P3615" s="4">
        <f>IF(COUNTIFS(INDEX(tItens[Edital],1):tItens[[#This Row],[Edital]],tItens[[#This Row],[Edital]],INDEX(tItens[Produto],1):tItens[[#This Row],[Produto]],tItens[[#This Row],[Produto]])=1,1,0)</f>
        <v>0</v>
      </c>
    </row>
    <row r="3616" spans="1:16" x14ac:dyDescent="0.25">
      <c r="A3616" t="s">
        <v>1504</v>
      </c>
      <c r="B3616">
        <v>280</v>
      </c>
      <c r="C3616" t="s">
        <v>6497</v>
      </c>
      <c r="D3616" t="s">
        <v>110</v>
      </c>
      <c r="E3616" s="13">
        <v>50</v>
      </c>
      <c r="F3616" s="12">
        <v>2.35</v>
      </c>
      <c r="G3616" t="str">
        <f>IFERROR(INDEX(tEditais[Órgão],MATCH(tItens[[#This Row],[Edital]],tEditais[Edital],0)),"")</f>
        <v>MUNICIPIO DE MARTINS SOARES</v>
      </c>
      <c r="H3616" t="str">
        <f>IFERROR(INDEX(tEditais[UF],MATCH(tItens[[#This Row],[Edital]],tEditais[Edital],0)),"")</f>
        <v>MG</v>
      </c>
      <c r="I3616" s="11">
        <f>IFERROR(INDEX(tEditais[Encerramento],MATCH(tItens[[#This Row],[Edital]],tEditais[Edital],0)),"")</f>
        <v>46310.354166666664</v>
      </c>
      <c r="J3616" t="str">
        <f>IFERROR(INDEX(tProdutos[Classe],MATCH(tItens[[#This Row],[Produto]],tProdutos[Produto],0)),"produto não cadastrado")</f>
        <v>NÚCLEO</v>
      </c>
      <c r="K3616" s="12">
        <f>tItens[[#This Row],[Qtd]]*tItens[[#This Row],[Vlr unit]]</f>
        <v>117.5</v>
      </c>
      <c r="L3616" s="6">
        <f>IFERROR(IF(INDEX(tProdutos[Desconto homologado],MATCH(tItens[[#This Row],[Produto]],tProdutos[Produto],0))="",DescontoPadrao,INDEX(tProdutos[Desconto homologado],MATCH(tItens[[#This Row],[Produto]],tProdutos[Produto],0))),DescontoPadrao)</f>
        <v>0.30410958904109597</v>
      </c>
      <c r="M3616" s="12">
        <f>tItens[[#This Row],[Valor]]*(1-tItens[[#This Row],[Desconto]])</f>
        <v>81.767123287671225</v>
      </c>
      <c r="N3616" t="str">
        <f>IFERROR(INDEX(tProdutos[Foco],MATCH(tItens[[#This Row],[Produto]],tProdutos[Produto],0)),"Não")</f>
        <v>Não</v>
      </c>
      <c r="O3616" t="str">
        <f>IFERROR(INDEX(tEditais[SRP],MATCH(tItens[[#This Row],[Edital]],tEditais[Edital],0)),"Não")</f>
        <v>Sim</v>
      </c>
      <c r="P3616" s="4">
        <f>IF(COUNTIFS(INDEX(tItens[Edital],1):tItens[[#This Row],[Edital]],tItens[[#This Row],[Edital]],INDEX(tItens[Produto],1):tItens[[#This Row],[Produto]],tItens[[#This Row],[Produto]])=1,1,0)</f>
        <v>0</v>
      </c>
    </row>
    <row r="3617" spans="1:16" x14ac:dyDescent="0.25">
      <c r="A3617" t="s">
        <v>1504</v>
      </c>
      <c r="B3617">
        <v>281</v>
      </c>
      <c r="C3617" t="s">
        <v>6498</v>
      </c>
      <c r="D3617" t="s">
        <v>110</v>
      </c>
      <c r="E3617" s="13">
        <v>100</v>
      </c>
      <c r="F3617" s="12">
        <v>2.35</v>
      </c>
      <c r="G3617" t="str">
        <f>IFERROR(INDEX(tEditais[Órgão],MATCH(tItens[[#This Row],[Edital]],tEditais[Edital],0)),"")</f>
        <v>MUNICIPIO DE MARTINS SOARES</v>
      </c>
      <c r="H3617" t="str">
        <f>IFERROR(INDEX(tEditais[UF],MATCH(tItens[[#This Row],[Edital]],tEditais[Edital],0)),"")</f>
        <v>MG</v>
      </c>
      <c r="I3617" s="11">
        <f>IFERROR(INDEX(tEditais[Encerramento],MATCH(tItens[[#This Row],[Edital]],tEditais[Edital],0)),"")</f>
        <v>46310.354166666664</v>
      </c>
      <c r="J3617" t="str">
        <f>IFERROR(INDEX(tProdutos[Classe],MATCH(tItens[[#This Row],[Produto]],tProdutos[Produto],0)),"produto não cadastrado")</f>
        <v>NÚCLEO</v>
      </c>
      <c r="K3617" s="12">
        <f>tItens[[#This Row],[Qtd]]*tItens[[#This Row],[Vlr unit]]</f>
        <v>235</v>
      </c>
      <c r="L3617" s="6">
        <f>IFERROR(IF(INDEX(tProdutos[Desconto homologado],MATCH(tItens[[#This Row],[Produto]],tProdutos[Produto],0))="",DescontoPadrao,INDEX(tProdutos[Desconto homologado],MATCH(tItens[[#This Row],[Produto]],tProdutos[Produto],0))),DescontoPadrao)</f>
        <v>0.30410958904109597</v>
      </c>
      <c r="M3617" s="12">
        <f>tItens[[#This Row],[Valor]]*(1-tItens[[#This Row],[Desconto]])</f>
        <v>163.53424657534245</v>
      </c>
      <c r="N3617" t="str">
        <f>IFERROR(INDEX(tProdutos[Foco],MATCH(tItens[[#This Row],[Produto]],tProdutos[Produto],0)),"Não")</f>
        <v>Não</v>
      </c>
      <c r="O3617" t="str">
        <f>IFERROR(INDEX(tEditais[SRP],MATCH(tItens[[#This Row],[Edital]],tEditais[Edital],0)),"Não")</f>
        <v>Sim</v>
      </c>
      <c r="P3617" s="4">
        <f>IF(COUNTIFS(INDEX(tItens[Edital],1):tItens[[#This Row],[Edital]],tItens[[#This Row],[Edital]],INDEX(tItens[Produto],1):tItens[[#This Row],[Produto]],tItens[[#This Row],[Produto]])=1,1,0)</f>
        <v>0</v>
      </c>
    </row>
    <row r="3618" spans="1:16" x14ac:dyDescent="0.25">
      <c r="A3618" t="s">
        <v>1504</v>
      </c>
      <c r="B3618">
        <v>282</v>
      </c>
      <c r="C3618" t="s">
        <v>6499</v>
      </c>
      <c r="D3618" t="s">
        <v>120</v>
      </c>
      <c r="E3618" s="13">
        <v>3000</v>
      </c>
      <c r="F3618" s="12">
        <v>1.35</v>
      </c>
      <c r="G3618" t="str">
        <f>IFERROR(INDEX(tEditais[Órgão],MATCH(tItens[[#This Row],[Edital]],tEditais[Edital],0)),"")</f>
        <v>MUNICIPIO DE MARTINS SOARES</v>
      </c>
      <c r="H3618" t="str">
        <f>IFERROR(INDEX(tEditais[UF],MATCH(tItens[[#This Row],[Edital]],tEditais[Edital],0)),"")</f>
        <v>MG</v>
      </c>
      <c r="I3618" s="11">
        <f>IFERROR(INDEX(tEditais[Encerramento],MATCH(tItens[[#This Row],[Edital]],tEditais[Edital],0)),"")</f>
        <v>46310.354166666664</v>
      </c>
      <c r="J3618" t="str">
        <f>IFERROR(INDEX(tProdutos[Classe],MATCH(tItens[[#This Row],[Produto]],tProdutos[Produto],0)),"produto não cadastrado")</f>
        <v>DISPUTADO</v>
      </c>
      <c r="K3618" s="12">
        <f>tItens[[#This Row],[Qtd]]*tItens[[#This Row],[Vlr unit]]</f>
        <v>4050.0000000000005</v>
      </c>
      <c r="L3618" s="6">
        <f>IFERROR(IF(INDEX(tProdutos[Desconto homologado],MATCH(tItens[[#This Row],[Produto]],tProdutos[Produto],0))="",DescontoPadrao,INDEX(tProdutos[Desconto homologado],MATCH(tItens[[#This Row],[Produto]],tProdutos[Produto],0))),DescontoPadrao)</f>
        <v>0.40909090909090901</v>
      </c>
      <c r="M3618" s="12">
        <f>tItens[[#This Row],[Valor]]*(1-tItens[[#This Row],[Desconto]])</f>
        <v>2393.1818181818189</v>
      </c>
      <c r="N3618" t="str">
        <f>IFERROR(INDEX(tProdutos[Foco],MATCH(tItens[[#This Row],[Produto]],tProdutos[Produto],0)),"Não")</f>
        <v>Não</v>
      </c>
      <c r="O3618" t="str">
        <f>IFERROR(INDEX(tEditais[SRP],MATCH(tItens[[#This Row],[Edital]],tEditais[Edital],0)),"Não")</f>
        <v>Sim</v>
      </c>
      <c r="P3618" s="4">
        <f>IF(COUNTIFS(INDEX(tItens[Edital],1):tItens[[#This Row],[Edital]],tItens[[#This Row],[Edital]],INDEX(tItens[Produto],1):tItens[[#This Row],[Produto]],tItens[[#This Row],[Produto]])=1,1,0)</f>
        <v>1</v>
      </c>
    </row>
    <row r="3619" spans="1:16" x14ac:dyDescent="0.25">
      <c r="A3619" t="s">
        <v>1504</v>
      </c>
      <c r="B3619">
        <v>283</v>
      </c>
      <c r="C3619" t="s">
        <v>6500</v>
      </c>
      <c r="D3619" t="s">
        <v>120</v>
      </c>
      <c r="E3619" s="13">
        <v>100000</v>
      </c>
      <c r="F3619" s="12">
        <v>1.35</v>
      </c>
      <c r="G3619" t="str">
        <f>IFERROR(INDEX(tEditais[Órgão],MATCH(tItens[[#This Row],[Edital]],tEditais[Edital],0)),"")</f>
        <v>MUNICIPIO DE MARTINS SOARES</v>
      </c>
      <c r="H3619" t="str">
        <f>IFERROR(INDEX(tEditais[UF],MATCH(tItens[[#This Row],[Edital]],tEditais[Edital],0)),"")</f>
        <v>MG</v>
      </c>
      <c r="I3619" s="11">
        <f>IFERROR(INDEX(tEditais[Encerramento],MATCH(tItens[[#This Row],[Edital]],tEditais[Edital],0)),"")</f>
        <v>46310.354166666664</v>
      </c>
      <c r="J3619" t="str">
        <f>IFERROR(INDEX(tProdutos[Classe],MATCH(tItens[[#This Row],[Produto]],tProdutos[Produto],0)),"produto não cadastrado")</f>
        <v>DISPUTADO</v>
      </c>
      <c r="K3619" s="12">
        <f>tItens[[#This Row],[Qtd]]*tItens[[#This Row],[Vlr unit]]</f>
        <v>135000</v>
      </c>
      <c r="L3619" s="6">
        <f>IFERROR(IF(INDEX(tProdutos[Desconto homologado],MATCH(tItens[[#This Row],[Produto]],tProdutos[Produto],0))="",DescontoPadrao,INDEX(tProdutos[Desconto homologado],MATCH(tItens[[#This Row],[Produto]],tProdutos[Produto],0))),DescontoPadrao)</f>
        <v>0.40909090909090901</v>
      </c>
      <c r="M3619" s="12">
        <f>tItens[[#This Row],[Valor]]*(1-tItens[[#This Row],[Desconto]])</f>
        <v>79772.727272727294</v>
      </c>
      <c r="N3619" t="str">
        <f>IFERROR(INDEX(tProdutos[Foco],MATCH(tItens[[#This Row],[Produto]],tProdutos[Produto],0)),"Não")</f>
        <v>Não</v>
      </c>
      <c r="O3619" t="str">
        <f>IFERROR(INDEX(tEditais[SRP],MATCH(tItens[[#This Row],[Edital]],tEditais[Edital],0)),"Não")</f>
        <v>Sim</v>
      </c>
      <c r="P3619" s="4">
        <f>IF(COUNTIFS(INDEX(tItens[Edital],1):tItens[[#This Row],[Edital]],tItens[[#This Row],[Edital]],INDEX(tItens[Produto],1):tItens[[#This Row],[Produto]],tItens[[#This Row],[Produto]])=1,1,0)</f>
        <v>0</v>
      </c>
    </row>
    <row r="3620" spans="1:16" x14ac:dyDescent="0.25">
      <c r="A3620" t="s">
        <v>1504</v>
      </c>
      <c r="B3620">
        <v>284</v>
      </c>
      <c r="C3620" t="s">
        <v>6501</v>
      </c>
      <c r="D3620" t="s">
        <v>120</v>
      </c>
      <c r="E3620" s="13">
        <v>2000</v>
      </c>
      <c r="F3620" s="12">
        <v>1.35</v>
      </c>
      <c r="G3620" t="str">
        <f>IFERROR(INDEX(tEditais[Órgão],MATCH(tItens[[#This Row],[Edital]],tEditais[Edital],0)),"")</f>
        <v>MUNICIPIO DE MARTINS SOARES</v>
      </c>
      <c r="H3620" t="str">
        <f>IFERROR(INDEX(tEditais[UF],MATCH(tItens[[#This Row],[Edital]],tEditais[Edital],0)),"")</f>
        <v>MG</v>
      </c>
      <c r="I3620" s="11">
        <f>IFERROR(INDEX(tEditais[Encerramento],MATCH(tItens[[#This Row],[Edital]],tEditais[Edital],0)),"")</f>
        <v>46310.354166666664</v>
      </c>
      <c r="J3620" t="str">
        <f>IFERROR(INDEX(tProdutos[Classe],MATCH(tItens[[#This Row],[Produto]],tProdutos[Produto],0)),"produto não cadastrado")</f>
        <v>DISPUTADO</v>
      </c>
      <c r="K3620" s="12">
        <f>tItens[[#This Row],[Qtd]]*tItens[[#This Row],[Vlr unit]]</f>
        <v>2700</v>
      </c>
      <c r="L3620" s="6">
        <f>IFERROR(IF(INDEX(tProdutos[Desconto homologado],MATCH(tItens[[#This Row],[Produto]],tProdutos[Produto],0))="",DescontoPadrao,INDEX(tProdutos[Desconto homologado],MATCH(tItens[[#This Row],[Produto]],tProdutos[Produto],0))),DescontoPadrao)</f>
        <v>0.40909090909090901</v>
      </c>
      <c r="M3620" s="12">
        <f>tItens[[#This Row],[Valor]]*(1-tItens[[#This Row],[Desconto]])</f>
        <v>1595.4545454545457</v>
      </c>
      <c r="N3620" t="str">
        <f>IFERROR(INDEX(tProdutos[Foco],MATCH(tItens[[#This Row],[Produto]],tProdutos[Produto],0)),"Não")</f>
        <v>Não</v>
      </c>
      <c r="O3620" t="str">
        <f>IFERROR(INDEX(tEditais[SRP],MATCH(tItens[[#This Row],[Edital]],tEditais[Edital],0)),"Não")</f>
        <v>Sim</v>
      </c>
      <c r="P3620" s="4">
        <f>IF(COUNTIFS(INDEX(tItens[Edital],1):tItens[[#This Row],[Edital]],tItens[[#This Row],[Edital]],INDEX(tItens[Produto],1):tItens[[#This Row],[Produto]],tItens[[#This Row],[Produto]])=1,1,0)</f>
        <v>0</v>
      </c>
    </row>
    <row r="3621" spans="1:16" x14ac:dyDescent="0.25">
      <c r="A3621" t="s">
        <v>1504</v>
      </c>
      <c r="B3621">
        <v>285</v>
      </c>
      <c r="C3621" t="s">
        <v>6502</v>
      </c>
      <c r="D3621" t="s">
        <v>120</v>
      </c>
      <c r="E3621" s="13">
        <v>1000</v>
      </c>
      <c r="F3621" s="12">
        <v>1.56</v>
      </c>
      <c r="G3621" t="str">
        <f>IFERROR(INDEX(tEditais[Órgão],MATCH(tItens[[#This Row],[Edital]],tEditais[Edital],0)),"")</f>
        <v>MUNICIPIO DE MARTINS SOARES</v>
      </c>
      <c r="H3621" t="str">
        <f>IFERROR(INDEX(tEditais[UF],MATCH(tItens[[#This Row],[Edital]],tEditais[Edital],0)),"")</f>
        <v>MG</v>
      </c>
      <c r="I3621" s="11">
        <f>IFERROR(INDEX(tEditais[Encerramento],MATCH(tItens[[#This Row],[Edital]],tEditais[Edital],0)),"")</f>
        <v>46310.354166666664</v>
      </c>
      <c r="J3621" t="str">
        <f>IFERROR(INDEX(tProdutos[Classe],MATCH(tItens[[#This Row],[Produto]],tProdutos[Produto],0)),"produto não cadastrado")</f>
        <v>DISPUTADO</v>
      </c>
      <c r="K3621" s="12">
        <f>tItens[[#This Row],[Qtd]]*tItens[[#This Row],[Vlr unit]]</f>
        <v>1560</v>
      </c>
      <c r="L3621" s="6">
        <f>IFERROR(IF(INDEX(tProdutos[Desconto homologado],MATCH(tItens[[#This Row],[Produto]],tProdutos[Produto],0))="",DescontoPadrao,INDEX(tProdutos[Desconto homologado],MATCH(tItens[[#This Row],[Produto]],tProdutos[Produto],0))),DescontoPadrao)</f>
        <v>0.40909090909090901</v>
      </c>
      <c r="M3621" s="12">
        <f>tItens[[#This Row],[Valor]]*(1-tItens[[#This Row],[Desconto]])</f>
        <v>921.81818181818198</v>
      </c>
      <c r="N3621" t="str">
        <f>IFERROR(INDEX(tProdutos[Foco],MATCH(tItens[[#This Row],[Produto]],tProdutos[Produto],0)),"Não")</f>
        <v>Não</v>
      </c>
      <c r="O3621" t="str">
        <f>IFERROR(INDEX(tEditais[SRP],MATCH(tItens[[#This Row],[Edital]],tEditais[Edital],0)),"Não")</f>
        <v>Sim</v>
      </c>
      <c r="P3621" s="4">
        <f>IF(COUNTIFS(INDEX(tItens[Edital],1):tItens[[#This Row],[Edital]],tItens[[#This Row],[Edital]],INDEX(tItens[Produto],1):tItens[[#This Row],[Produto]],tItens[[#This Row],[Produto]])=1,1,0)</f>
        <v>0</v>
      </c>
    </row>
    <row r="3622" spans="1:16" x14ac:dyDescent="0.25">
      <c r="A3622" t="s">
        <v>1504</v>
      </c>
      <c r="B3622">
        <v>286</v>
      </c>
      <c r="C3622" t="s">
        <v>6503</v>
      </c>
      <c r="D3622" t="s">
        <v>120</v>
      </c>
      <c r="E3622" s="13">
        <v>1000</v>
      </c>
      <c r="F3622" s="12">
        <v>1.61</v>
      </c>
      <c r="G3622" t="str">
        <f>IFERROR(INDEX(tEditais[Órgão],MATCH(tItens[[#This Row],[Edital]],tEditais[Edital],0)),"")</f>
        <v>MUNICIPIO DE MARTINS SOARES</v>
      </c>
      <c r="H3622" t="str">
        <f>IFERROR(INDEX(tEditais[UF],MATCH(tItens[[#This Row],[Edital]],tEditais[Edital],0)),"")</f>
        <v>MG</v>
      </c>
      <c r="I3622" s="11">
        <f>IFERROR(INDEX(tEditais[Encerramento],MATCH(tItens[[#This Row],[Edital]],tEditais[Edital],0)),"")</f>
        <v>46310.354166666664</v>
      </c>
      <c r="J3622" t="str">
        <f>IFERROR(INDEX(tProdutos[Classe],MATCH(tItens[[#This Row],[Produto]],tProdutos[Produto],0)),"produto não cadastrado")</f>
        <v>DISPUTADO</v>
      </c>
      <c r="K3622" s="12">
        <f>tItens[[#This Row],[Qtd]]*tItens[[#This Row],[Vlr unit]]</f>
        <v>1610</v>
      </c>
      <c r="L3622" s="6">
        <f>IFERROR(IF(INDEX(tProdutos[Desconto homologado],MATCH(tItens[[#This Row],[Produto]],tProdutos[Produto],0))="",DescontoPadrao,INDEX(tProdutos[Desconto homologado],MATCH(tItens[[#This Row],[Produto]],tProdutos[Produto],0))),DescontoPadrao)</f>
        <v>0.40909090909090901</v>
      </c>
      <c r="M3622" s="12">
        <f>tItens[[#This Row],[Valor]]*(1-tItens[[#This Row],[Desconto]])</f>
        <v>951.3636363636366</v>
      </c>
      <c r="N3622" t="str">
        <f>IFERROR(INDEX(tProdutos[Foco],MATCH(tItens[[#This Row],[Produto]],tProdutos[Produto],0)),"Não")</f>
        <v>Não</v>
      </c>
      <c r="O3622" t="str">
        <f>IFERROR(INDEX(tEditais[SRP],MATCH(tItens[[#This Row],[Edital]],tEditais[Edital],0)),"Não")</f>
        <v>Sim</v>
      </c>
      <c r="P3622" s="4">
        <f>IF(COUNTIFS(INDEX(tItens[Edital],1):tItens[[#This Row],[Edital]],tItens[[#This Row],[Edital]],INDEX(tItens[Produto],1):tItens[[#This Row],[Produto]],tItens[[#This Row],[Produto]])=1,1,0)</f>
        <v>0</v>
      </c>
    </row>
    <row r="3623" spans="1:16" x14ac:dyDescent="0.25">
      <c r="A3623" t="s">
        <v>1504</v>
      </c>
      <c r="B3623">
        <v>287</v>
      </c>
      <c r="C3623" t="s">
        <v>6504</v>
      </c>
      <c r="D3623" t="s">
        <v>120</v>
      </c>
      <c r="E3623" s="13">
        <v>1000</v>
      </c>
      <c r="F3623" s="12">
        <v>1.7</v>
      </c>
      <c r="G3623" t="str">
        <f>IFERROR(INDEX(tEditais[Órgão],MATCH(tItens[[#This Row],[Edital]],tEditais[Edital],0)),"")</f>
        <v>MUNICIPIO DE MARTINS SOARES</v>
      </c>
      <c r="H3623" t="str">
        <f>IFERROR(INDEX(tEditais[UF],MATCH(tItens[[#This Row],[Edital]],tEditais[Edital],0)),"")</f>
        <v>MG</v>
      </c>
      <c r="I3623" s="11">
        <f>IFERROR(INDEX(tEditais[Encerramento],MATCH(tItens[[#This Row],[Edital]],tEditais[Edital],0)),"")</f>
        <v>46310.354166666664</v>
      </c>
      <c r="J3623" t="str">
        <f>IFERROR(INDEX(tProdutos[Classe],MATCH(tItens[[#This Row],[Produto]],tProdutos[Produto],0)),"produto não cadastrado")</f>
        <v>DISPUTADO</v>
      </c>
      <c r="K3623" s="12">
        <f>tItens[[#This Row],[Qtd]]*tItens[[#This Row],[Vlr unit]]</f>
        <v>1700</v>
      </c>
      <c r="L3623" s="6">
        <f>IFERROR(IF(INDEX(tProdutos[Desconto homologado],MATCH(tItens[[#This Row],[Produto]],tProdutos[Produto],0))="",DescontoPadrao,INDEX(tProdutos[Desconto homologado],MATCH(tItens[[#This Row],[Produto]],tProdutos[Produto],0))),DescontoPadrao)</f>
        <v>0.40909090909090901</v>
      </c>
      <c r="M3623" s="12">
        <f>tItens[[#This Row],[Valor]]*(1-tItens[[#This Row],[Desconto]])</f>
        <v>1004.5454545454547</v>
      </c>
      <c r="N3623" t="str">
        <f>IFERROR(INDEX(tProdutos[Foco],MATCH(tItens[[#This Row],[Produto]],tProdutos[Produto],0)),"Não")</f>
        <v>Não</v>
      </c>
      <c r="O3623" t="str">
        <f>IFERROR(INDEX(tEditais[SRP],MATCH(tItens[[#This Row],[Edital]],tEditais[Edital],0)),"Não")</f>
        <v>Sim</v>
      </c>
      <c r="P3623" s="4">
        <f>IF(COUNTIFS(INDEX(tItens[Edital],1):tItens[[#This Row],[Edital]],tItens[[#This Row],[Edital]],INDEX(tItens[Produto],1):tItens[[#This Row],[Produto]],tItens[[#This Row],[Produto]])=1,1,0)</f>
        <v>0</v>
      </c>
    </row>
    <row r="3624" spans="1:16" x14ac:dyDescent="0.25">
      <c r="A3624" t="s">
        <v>1504</v>
      </c>
      <c r="B3624">
        <v>300</v>
      </c>
      <c r="C3624" t="s">
        <v>6505</v>
      </c>
      <c r="D3624" t="s">
        <v>283</v>
      </c>
      <c r="E3624" s="13">
        <v>7000</v>
      </c>
      <c r="F3624" s="12">
        <v>0.47</v>
      </c>
      <c r="G3624" t="str">
        <f>IFERROR(INDEX(tEditais[Órgão],MATCH(tItens[[#This Row],[Edital]],tEditais[Edital],0)),"")</f>
        <v>MUNICIPIO DE MARTINS SOARES</v>
      </c>
      <c r="H3624" t="str">
        <f>IFERROR(INDEX(tEditais[UF],MATCH(tItens[[#This Row],[Edital]],tEditais[Edital],0)),"")</f>
        <v>MG</v>
      </c>
      <c r="I3624" s="11">
        <f>IFERROR(INDEX(tEditais[Encerramento],MATCH(tItens[[#This Row],[Edital]],tEditais[Edital],0)),"")</f>
        <v>46310.354166666664</v>
      </c>
      <c r="J3624" t="str">
        <f>IFERROR(INDEX(tProdutos[Classe],MATCH(tItens[[#This Row],[Produto]],tProdutos[Produto],0)),"produto não cadastrado")</f>
        <v>FORA</v>
      </c>
      <c r="K3624" s="12">
        <f>tItens[[#This Row],[Qtd]]*tItens[[#This Row],[Vlr unit]]</f>
        <v>3290</v>
      </c>
      <c r="L3624" s="6">
        <f>IFERROR(IF(INDEX(tProdutos[Desconto homologado],MATCH(tItens[[#This Row],[Produto]],tProdutos[Produto],0))="",DescontoPadrao,INDEX(tProdutos[Desconto homologado],MATCH(tItens[[#This Row],[Produto]],tProdutos[Produto],0))),DescontoPadrao)</f>
        <v>0.40540540540540498</v>
      </c>
      <c r="M3624" s="12">
        <f>tItens[[#This Row],[Valor]]*(1-tItens[[#This Row],[Desconto]])</f>
        <v>1956.2162162162174</v>
      </c>
      <c r="N3624" t="str">
        <f>IFERROR(INDEX(tProdutos[Foco],MATCH(tItens[[#This Row],[Produto]],tProdutos[Produto],0)),"Não")</f>
        <v>Não</v>
      </c>
      <c r="O3624" t="str">
        <f>IFERROR(INDEX(tEditais[SRP],MATCH(tItens[[#This Row],[Edital]],tEditais[Edital],0)),"Não")</f>
        <v>Sim</v>
      </c>
      <c r="P3624" s="4">
        <f>IF(COUNTIFS(INDEX(tItens[Edital],1):tItens[[#This Row],[Edital]],tItens[[#This Row],[Edital]],INDEX(tItens[Produto],1):tItens[[#This Row],[Produto]],tItens[[#This Row],[Produto]])=1,1,0)</f>
        <v>1</v>
      </c>
    </row>
    <row r="3625" spans="1:16" x14ac:dyDescent="0.25">
      <c r="A3625" t="s">
        <v>1504</v>
      </c>
      <c r="B3625">
        <v>301</v>
      </c>
      <c r="C3625" t="s">
        <v>6506</v>
      </c>
      <c r="D3625" t="s">
        <v>120</v>
      </c>
      <c r="E3625" s="13">
        <v>3000</v>
      </c>
      <c r="F3625" s="12">
        <v>1.35</v>
      </c>
      <c r="G3625" t="str">
        <f>IFERROR(INDEX(tEditais[Órgão],MATCH(tItens[[#This Row],[Edital]],tEditais[Edital],0)),"")</f>
        <v>MUNICIPIO DE MARTINS SOARES</v>
      </c>
      <c r="H3625" t="str">
        <f>IFERROR(INDEX(tEditais[UF],MATCH(tItens[[#This Row],[Edital]],tEditais[Edital],0)),"")</f>
        <v>MG</v>
      </c>
      <c r="I3625" s="11">
        <f>IFERROR(INDEX(tEditais[Encerramento],MATCH(tItens[[#This Row],[Edital]],tEditais[Edital],0)),"")</f>
        <v>46310.354166666664</v>
      </c>
      <c r="J3625" t="str">
        <f>IFERROR(INDEX(tProdutos[Classe],MATCH(tItens[[#This Row],[Produto]],tProdutos[Produto],0)),"produto não cadastrado")</f>
        <v>DISPUTADO</v>
      </c>
      <c r="K3625" s="12">
        <f>tItens[[#This Row],[Qtd]]*tItens[[#This Row],[Vlr unit]]</f>
        <v>4050.0000000000005</v>
      </c>
      <c r="L3625" s="6">
        <f>IFERROR(IF(INDEX(tProdutos[Desconto homologado],MATCH(tItens[[#This Row],[Produto]],tProdutos[Produto],0))="",DescontoPadrao,INDEX(tProdutos[Desconto homologado],MATCH(tItens[[#This Row],[Produto]],tProdutos[Produto],0))),DescontoPadrao)</f>
        <v>0.40909090909090901</v>
      </c>
      <c r="M3625" s="12">
        <f>tItens[[#This Row],[Valor]]*(1-tItens[[#This Row],[Desconto]])</f>
        <v>2393.1818181818189</v>
      </c>
      <c r="N3625" t="str">
        <f>IFERROR(INDEX(tProdutos[Foco],MATCH(tItens[[#This Row],[Produto]],tProdutos[Produto],0)),"Não")</f>
        <v>Não</v>
      </c>
      <c r="O3625" t="str">
        <f>IFERROR(INDEX(tEditais[SRP],MATCH(tItens[[#This Row],[Edital]],tEditais[Edital],0)),"Não")</f>
        <v>Sim</v>
      </c>
      <c r="P3625" s="4">
        <f>IF(COUNTIFS(INDEX(tItens[Edital],1):tItens[[#This Row],[Edital]],tItens[[#This Row],[Edital]],INDEX(tItens[Produto],1):tItens[[#This Row],[Produto]],tItens[[#This Row],[Produto]])=1,1,0)</f>
        <v>0</v>
      </c>
    </row>
    <row r="3626" spans="1:16" x14ac:dyDescent="0.25">
      <c r="A3626" t="s">
        <v>1504</v>
      </c>
      <c r="B3626">
        <v>325</v>
      </c>
      <c r="C3626" t="s">
        <v>6507</v>
      </c>
      <c r="D3626" t="s">
        <v>162</v>
      </c>
      <c r="E3626" s="13">
        <v>50</v>
      </c>
      <c r="F3626" s="12">
        <v>2.0699999999999998</v>
      </c>
      <c r="G3626" t="str">
        <f>IFERROR(INDEX(tEditais[Órgão],MATCH(tItens[[#This Row],[Edital]],tEditais[Edital],0)),"")</f>
        <v>MUNICIPIO DE MARTINS SOARES</v>
      </c>
      <c r="H3626" t="str">
        <f>IFERROR(INDEX(tEditais[UF],MATCH(tItens[[#This Row],[Edital]],tEditais[Edital],0)),"")</f>
        <v>MG</v>
      </c>
      <c r="I3626" s="11">
        <f>IFERROR(INDEX(tEditais[Encerramento],MATCH(tItens[[#This Row],[Edital]],tEditais[Edital],0)),"")</f>
        <v>46310.354166666664</v>
      </c>
      <c r="J3626" t="str">
        <f>IFERROR(INDEX(tProdutos[Classe],MATCH(tItens[[#This Row],[Produto]],tProdutos[Produto],0)),"produto não cadastrado")</f>
        <v>DISPUTADO</v>
      </c>
      <c r="K3626" s="12">
        <f>tItens[[#This Row],[Qtd]]*tItens[[#This Row],[Vlr unit]]</f>
        <v>103.49999999999999</v>
      </c>
      <c r="L3626" s="6">
        <f>IFERROR(IF(INDEX(tProdutos[Desconto homologado],MATCH(tItens[[#This Row],[Produto]],tProdutos[Produto],0))="",DescontoPadrao,INDEX(tProdutos[Desconto homologado],MATCH(tItens[[#This Row],[Produto]],tProdutos[Produto],0))),DescontoPadrao)</f>
        <v>0.41269841269841301</v>
      </c>
      <c r="M3626" s="12">
        <f>tItens[[#This Row],[Valor]]*(1-tItens[[#This Row],[Desconto]])</f>
        <v>60.785714285714242</v>
      </c>
      <c r="N3626" t="str">
        <f>IFERROR(INDEX(tProdutos[Foco],MATCH(tItens[[#This Row],[Produto]],tProdutos[Produto],0)),"Não")</f>
        <v>Não</v>
      </c>
      <c r="O3626" t="str">
        <f>IFERROR(INDEX(tEditais[SRP],MATCH(tItens[[#This Row],[Edital]],tEditais[Edital],0)),"Não")</f>
        <v>Sim</v>
      </c>
      <c r="P3626" s="4">
        <f>IF(COUNTIFS(INDEX(tItens[Edital],1):tItens[[#This Row],[Edital]],tItens[[#This Row],[Edital]],INDEX(tItens[Produto],1):tItens[[#This Row],[Produto]],tItens[[#This Row],[Produto]])=1,1,0)</f>
        <v>1</v>
      </c>
    </row>
    <row r="3627" spans="1:16" x14ac:dyDescent="0.25">
      <c r="A3627" t="s">
        <v>1504</v>
      </c>
      <c r="B3627">
        <v>326</v>
      </c>
      <c r="C3627" t="s">
        <v>6508</v>
      </c>
      <c r="D3627" t="s">
        <v>512</v>
      </c>
      <c r="E3627" s="13">
        <v>30</v>
      </c>
      <c r="F3627" s="12">
        <v>19.66</v>
      </c>
      <c r="G3627" t="str">
        <f>IFERROR(INDEX(tEditais[Órgão],MATCH(tItens[[#This Row],[Edital]],tEditais[Edital],0)),"")</f>
        <v>MUNICIPIO DE MARTINS SOARES</v>
      </c>
      <c r="H3627" t="str">
        <f>IFERROR(INDEX(tEditais[UF],MATCH(tItens[[#This Row],[Edital]],tEditais[Edital],0)),"")</f>
        <v>MG</v>
      </c>
      <c r="I3627" s="11">
        <f>IFERROR(INDEX(tEditais[Encerramento],MATCH(tItens[[#This Row],[Edital]],tEditais[Edital],0)),"")</f>
        <v>46310.354166666664</v>
      </c>
      <c r="J3627" t="str">
        <f>IFERROR(INDEX(tProdutos[Classe],MATCH(tItens[[#This Row],[Produto]],tProdutos[Produto],0)),"produto não cadastrado")</f>
        <v>FILA REBASE</v>
      </c>
      <c r="K3627" s="12">
        <f>tItens[[#This Row],[Qtd]]*tItens[[#This Row],[Vlr unit]]</f>
        <v>589.79999999999995</v>
      </c>
      <c r="L3627" s="6">
        <f>IFERROR(IF(INDEX(tProdutos[Desconto homologado],MATCH(tItens[[#This Row],[Produto]],tProdutos[Produto],0))="",DescontoPadrao,INDEX(tProdutos[Desconto homologado],MATCH(tItens[[#This Row],[Produto]],tProdutos[Produto],0))),DescontoPadrao)</f>
        <v>0.32579365079365102</v>
      </c>
      <c r="M3627" s="12">
        <f>tItens[[#This Row],[Valor]]*(1-tItens[[#This Row],[Desconto]])</f>
        <v>397.64690476190464</v>
      </c>
      <c r="N3627" t="str">
        <f>IFERROR(INDEX(tProdutos[Foco],MATCH(tItens[[#This Row],[Produto]],tProdutos[Produto],0)),"Não")</f>
        <v>Não</v>
      </c>
      <c r="O3627" t="str">
        <f>IFERROR(INDEX(tEditais[SRP],MATCH(tItens[[#This Row],[Edital]],tEditais[Edital],0)),"Não")</f>
        <v>Sim</v>
      </c>
      <c r="P3627" s="4">
        <f>IF(COUNTIFS(INDEX(tItens[Edital],1):tItens[[#This Row],[Edital]],tItens[[#This Row],[Edital]],INDEX(tItens[Produto],1):tItens[[#This Row],[Produto]],tItens[[#This Row],[Produto]])=1,1,0)</f>
        <v>1</v>
      </c>
    </row>
    <row r="3628" spans="1:16" x14ac:dyDescent="0.25">
      <c r="A3628" t="s">
        <v>1504</v>
      </c>
      <c r="B3628">
        <v>327</v>
      </c>
      <c r="C3628" t="s">
        <v>6509</v>
      </c>
      <c r="D3628" t="s">
        <v>114</v>
      </c>
      <c r="E3628" s="13">
        <v>300</v>
      </c>
      <c r="F3628" s="12">
        <v>20</v>
      </c>
      <c r="G3628" t="str">
        <f>IFERROR(INDEX(tEditais[Órgão],MATCH(tItens[[#This Row],[Edital]],tEditais[Edital],0)),"")</f>
        <v>MUNICIPIO DE MARTINS SOARES</v>
      </c>
      <c r="H3628" t="str">
        <f>IFERROR(INDEX(tEditais[UF],MATCH(tItens[[#This Row],[Edital]],tEditais[Edital],0)),"")</f>
        <v>MG</v>
      </c>
      <c r="I3628" s="11">
        <f>IFERROR(INDEX(tEditais[Encerramento],MATCH(tItens[[#This Row],[Edital]],tEditais[Edital],0)),"")</f>
        <v>46310.354166666664</v>
      </c>
      <c r="J3628" t="str">
        <f>IFERROR(INDEX(tProdutos[Classe],MATCH(tItens[[#This Row],[Produto]],tProdutos[Produto],0)),"produto não cadastrado")</f>
        <v>DISPUTADO</v>
      </c>
      <c r="K3628" s="12">
        <f>tItens[[#This Row],[Qtd]]*tItens[[#This Row],[Vlr unit]]</f>
        <v>6000</v>
      </c>
      <c r="L3628" s="6">
        <f>IFERROR(IF(INDEX(tProdutos[Desconto homologado],MATCH(tItens[[#This Row],[Produto]],tProdutos[Produto],0))="",DescontoPadrao,INDEX(tProdutos[Desconto homologado],MATCH(tItens[[#This Row],[Produto]],tProdutos[Produto],0))),DescontoPadrao)</f>
        <v>0.24332656063896899</v>
      </c>
      <c r="M3628" s="12">
        <f>tItens[[#This Row],[Valor]]*(1-tItens[[#This Row],[Desconto]])</f>
        <v>4540.0406361661862</v>
      </c>
      <c r="N3628" t="str">
        <f>IFERROR(INDEX(tProdutos[Foco],MATCH(tItens[[#This Row],[Produto]],tProdutos[Produto],0)),"Não")</f>
        <v>Não</v>
      </c>
      <c r="O3628" t="str">
        <f>IFERROR(INDEX(tEditais[SRP],MATCH(tItens[[#This Row],[Edital]],tEditais[Edital],0)),"Não")</f>
        <v>Sim</v>
      </c>
      <c r="P3628" s="4">
        <f>IF(COUNTIFS(INDEX(tItens[Edital],1):tItens[[#This Row],[Edital]],tItens[[#This Row],[Edital]],INDEX(tItens[Produto],1):tItens[[#This Row],[Produto]],tItens[[#This Row],[Produto]])=1,1,0)</f>
        <v>1</v>
      </c>
    </row>
    <row r="3629" spans="1:16" x14ac:dyDescent="0.25">
      <c r="A3629" t="s">
        <v>1504</v>
      </c>
      <c r="B3629">
        <v>334</v>
      </c>
      <c r="C3629" t="s">
        <v>6510</v>
      </c>
      <c r="D3629" t="s">
        <v>156</v>
      </c>
      <c r="E3629" s="13">
        <v>50</v>
      </c>
      <c r="F3629" s="12">
        <v>47.3</v>
      </c>
      <c r="G3629" t="str">
        <f>IFERROR(INDEX(tEditais[Órgão],MATCH(tItens[[#This Row],[Edital]],tEditais[Edital],0)),"")</f>
        <v>MUNICIPIO DE MARTINS SOARES</v>
      </c>
      <c r="H3629" t="str">
        <f>IFERROR(INDEX(tEditais[UF],MATCH(tItens[[#This Row],[Edital]],tEditais[Edital],0)),"")</f>
        <v>MG</v>
      </c>
      <c r="I3629" s="11">
        <f>IFERROR(INDEX(tEditais[Encerramento],MATCH(tItens[[#This Row],[Edital]],tEditais[Edital],0)),"")</f>
        <v>46310.354166666664</v>
      </c>
      <c r="J3629" t="str">
        <f>IFERROR(INDEX(tProdutos[Classe],MATCH(tItens[[#This Row],[Produto]],tProdutos[Produto],0)),"produto não cadastrado")</f>
        <v>DISPUTADO</v>
      </c>
      <c r="K3629" s="12">
        <f>tItens[[#This Row],[Qtd]]*tItens[[#This Row],[Vlr unit]]</f>
        <v>2365</v>
      </c>
      <c r="L3629" s="6">
        <f>IFERROR(IF(INDEX(tProdutos[Desconto homologado],MATCH(tItens[[#This Row],[Produto]],tProdutos[Produto],0))="",DescontoPadrao,INDEX(tProdutos[Desconto homologado],MATCH(tItens[[#This Row],[Produto]],tProdutos[Produto],0))),DescontoPadrao)</f>
        <v>0.27131852489802799</v>
      </c>
      <c r="M3629" s="12">
        <f>tItens[[#This Row],[Valor]]*(1-tItens[[#This Row],[Desconto]])</f>
        <v>1723.3316886161638</v>
      </c>
      <c r="N3629" t="str">
        <f>IFERROR(INDEX(tProdutos[Foco],MATCH(tItens[[#This Row],[Produto]],tProdutos[Produto],0)),"Não")</f>
        <v>Não</v>
      </c>
      <c r="O3629" t="str">
        <f>IFERROR(INDEX(tEditais[SRP],MATCH(tItens[[#This Row],[Edital]],tEditais[Edital],0)),"Não")</f>
        <v>Sim</v>
      </c>
      <c r="P3629" s="4">
        <f>IF(COUNTIFS(INDEX(tItens[Edital],1):tItens[[#This Row],[Edital]],tItens[[#This Row],[Edital]],INDEX(tItens[Produto],1):tItens[[#This Row],[Produto]],tItens[[#This Row],[Produto]])=1,1,0)</f>
        <v>1</v>
      </c>
    </row>
    <row r="3630" spans="1:16" x14ac:dyDescent="0.25">
      <c r="A3630" t="s">
        <v>1504</v>
      </c>
      <c r="B3630">
        <v>360</v>
      </c>
      <c r="C3630" t="s">
        <v>6511</v>
      </c>
      <c r="D3630" t="s">
        <v>156</v>
      </c>
      <c r="E3630" s="13">
        <v>8</v>
      </c>
      <c r="F3630" s="12">
        <v>87.87</v>
      </c>
      <c r="G3630" t="str">
        <f>IFERROR(INDEX(tEditais[Órgão],MATCH(tItens[[#This Row],[Edital]],tEditais[Edital],0)),"")</f>
        <v>MUNICIPIO DE MARTINS SOARES</v>
      </c>
      <c r="H3630" t="str">
        <f>IFERROR(INDEX(tEditais[UF],MATCH(tItens[[#This Row],[Edital]],tEditais[Edital],0)),"")</f>
        <v>MG</v>
      </c>
      <c r="I3630" s="11">
        <f>IFERROR(INDEX(tEditais[Encerramento],MATCH(tItens[[#This Row],[Edital]],tEditais[Edital],0)),"")</f>
        <v>46310.354166666664</v>
      </c>
      <c r="J3630" t="str">
        <f>IFERROR(INDEX(tProdutos[Classe],MATCH(tItens[[#This Row],[Produto]],tProdutos[Produto],0)),"produto não cadastrado")</f>
        <v>DISPUTADO</v>
      </c>
      <c r="K3630" s="12">
        <f>tItens[[#This Row],[Qtd]]*tItens[[#This Row],[Vlr unit]]</f>
        <v>702.96</v>
      </c>
      <c r="L3630" s="6">
        <f>IFERROR(IF(INDEX(tProdutos[Desconto homologado],MATCH(tItens[[#This Row],[Produto]],tProdutos[Produto],0))="",DescontoPadrao,INDEX(tProdutos[Desconto homologado],MATCH(tItens[[#This Row],[Produto]],tProdutos[Produto],0))),DescontoPadrao)</f>
        <v>0.27131852489802799</v>
      </c>
      <c r="M3630" s="12">
        <f>tItens[[#This Row],[Valor]]*(1-tItens[[#This Row],[Desconto]])</f>
        <v>512.23392973768227</v>
      </c>
      <c r="N3630" t="str">
        <f>IFERROR(INDEX(tProdutos[Foco],MATCH(tItens[[#This Row],[Produto]],tProdutos[Produto],0)),"Não")</f>
        <v>Não</v>
      </c>
      <c r="O3630" t="str">
        <f>IFERROR(INDEX(tEditais[SRP],MATCH(tItens[[#This Row],[Edital]],tEditais[Edital],0)),"Não")</f>
        <v>Sim</v>
      </c>
      <c r="P3630" s="4">
        <f>IF(COUNTIFS(INDEX(tItens[Edital],1):tItens[[#This Row],[Edital]],tItens[[#This Row],[Edital]],INDEX(tItens[Produto],1):tItens[[#This Row],[Produto]],tItens[[#This Row],[Produto]])=1,1,0)</f>
        <v>0</v>
      </c>
    </row>
    <row r="3631" spans="1:16" x14ac:dyDescent="0.25">
      <c r="A3631" t="s">
        <v>1504</v>
      </c>
      <c r="B3631">
        <v>386</v>
      </c>
      <c r="C3631" t="s">
        <v>6512</v>
      </c>
      <c r="D3631" t="s">
        <v>164</v>
      </c>
      <c r="E3631" s="13">
        <v>25</v>
      </c>
      <c r="F3631" s="12">
        <v>49.63</v>
      </c>
      <c r="G3631" t="str">
        <f>IFERROR(INDEX(tEditais[Órgão],MATCH(tItens[[#This Row],[Edital]],tEditais[Edital],0)),"")</f>
        <v>MUNICIPIO DE MARTINS SOARES</v>
      </c>
      <c r="H3631" t="str">
        <f>IFERROR(INDEX(tEditais[UF],MATCH(tItens[[#This Row],[Edital]],tEditais[Edital],0)),"")</f>
        <v>MG</v>
      </c>
      <c r="I3631" s="11">
        <f>IFERROR(INDEX(tEditais[Encerramento],MATCH(tItens[[#This Row],[Edital]],tEditais[Edital],0)),"")</f>
        <v>46310.354166666664</v>
      </c>
      <c r="J3631" t="str">
        <f>IFERROR(INDEX(tProdutos[Classe],MATCH(tItens[[#This Row],[Produto]],tProdutos[Produto],0)),"produto não cadastrado")</f>
        <v>DISPUTADO</v>
      </c>
      <c r="K3631" s="12">
        <f>tItens[[#This Row],[Qtd]]*tItens[[#This Row],[Vlr unit]]</f>
        <v>1240.75</v>
      </c>
      <c r="L3631" s="6">
        <f>IFERROR(IF(INDEX(tProdutos[Desconto homologado],MATCH(tItens[[#This Row],[Produto]],tProdutos[Produto],0))="",DescontoPadrao,INDEX(tProdutos[Desconto homologado],MATCH(tItens[[#This Row],[Produto]],tProdutos[Produto],0))),DescontoPadrao)</f>
        <v>0.445300462249615</v>
      </c>
      <c r="M3631" s="12">
        <f>tItens[[#This Row],[Valor]]*(1-tItens[[#This Row],[Desconto]])</f>
        <v>688.24345146379017</v>
      </c>
      <c r="N3631" t="str">
        <f>IFERROR(INDEX(tProdutos[Foco],MATCH(tItens[[#This Row],[Produto]],tProdutos[Produto],0)),"Não")</f>
        <v>Não</v>
      </c>
      <c r="O3631" t="str">
        <f>IFERROR(INDEX(tEditais[SRP],MATCH(tItens[[#This Row],[Edital]],tEditais[Edital],0)),"Não")</f>
        <v>Sim</v>
      </c>
      <c r="P3631" s="4">
        <f>IF(COUNTIFS(INDEX(tItens[Edital],1):tItens[[#This Row],[Edital]],tItens[[#This Row],[Edital]],INDEX(tItens[Produto],1):tItens[[#This Row],[Produto]],tItens[[#This Row],[Produto]])=1,1,0)</f>
        <v>0</v>
      </c>
    </row>
    <row r="3632" spans="1:16" x14ac:dyDescent="0.25">
      <c r="A3632" t="s">
        <v>1504</v>
      </c>
      <c r="B3632">
        <v>387</v>
      </c>
      <c r="C3632" t="s">
        <v>6513</v>
      </c>
      <c r="D3632" t="s">
        <v>184</v>
      </c>
      <c r="E3632" s="13">
        <v>100</v>
      </c>
      <c r="F3632" s="12">
        <v>58.83</v>
      </c>
      <c r="G3632" t="str">
        <f>IFERROR(INDEX(tEditais[Órgão],MATCH(tItens[[#This Row],[Edital]],tEditais[Edital],0)),"")</f>
        <v>MUNICIPIO DE MARTINS SOARES</v>
      </c>
      <c r="H3632" t="str">
        <f>IFERROR(INDEX(tEditais[UF],MATCH(tItens[[#This Row],[Edital]],tEditais[Edital],0)),"")</f>
        <v>MG</v>
      </c>
      <c r="I3632" s="11">
        <f>IFERROR(INDEX(tEditais[Encerramento],MATCH(tItens[[#This Row],[Edital]],tEditais[Edital],0)),"")</f>
        <v>46310.354166666664</v>
      </c>
      <c r="J3632" t="str">
        <f>IFERROR(INDEX(tProdutos[Classe],MATCH(tItens[[#This Row],[Produto]],tProdutos[Produto],0)),"produto não cadastrado")</f>
        <v>FORA</v>
      </c>
      <c r="K3632" s="12">
        <f>tItens[[#This Row],[Qtd]]*tItens[[#This Row],[Vlr unit]]</f>
        <v>5883</v>
      </c>
      <c r="L3632" s="6">
        <f>IFERROR(IF(INDEX(tProdutos[Desconto homologado],MATCH(tItens[[#This Row],[Produto]],tProdutos[Produto],0))="",DescontoPadrao,INDEX(tProdutos[Desconto homologado],MATCH(tItens[[#This Row],[Produto]],tProdutos[Produto],0))),DescontoPadrao)</f>
        <v>0.363567906332742</v>
      </c>
      <c r="M3632" s="12">
        <f>tItens[[#This Row],[Valor]]*(1-tItens[[#This Row],[Desconto]])</f>
        <v>3744.130007044479</v>
      </c>
      <c r="N3632" t="str">
        <f>IFERROR(INDEX(tProdutos[Foco],MATCH(tItens[[#This Row],[Produto]],tProdutos[Produto],0)),"Não")</f>
        <v>Não</v>
      </c>
      <c r="O3632" t="str">
        <f>IFERROR(INDEX(tEditais[SRP],MATCH(tItens[[#This Row],[Edital]],tEditais[Edital],0)),"Não")</f>
        <v>Sim</v>
      </c>
      <c r="P3632" s="4">
        <f>IF(COUNTIFS(INDEX(tItens[Edital],1):tItens[[#This Row],[Edital]],tItens[[#This Row],[Edital]],INDEX(tItens[Produto],1):tItens[[#This Row],[Produto]],tItens[[#This Row],[Produto]])=1,1,0)</f>
        <v>0</v>
      </c>
    </row>
    <row r="3633" spans="1:16" x14ac:dyDescent="0.25">
      <c r="A3633" t="s">
        <v>1504</v>
      </c>
      <c r="B3633">
        <v>403</v>
      </c>
      <c r="C3633" t="s">
        <v>6514</v>
      </c>
      <c r="D3633" t="s">
        <v>164</v>
      </c>
      <c r="E3633" s="13">
        <v>150</v>
      </c>
      <c r="F3633" s="12">
        <v>28.83</v>
      </c>
      <c r="G3633" t="str">
        <f>IFERROR(INDEX(tEditais[Órgão],MATCH(tItens[[#This Row],[Edital]],tEditais[Edital],0)),"")</f>
        <v>MUNICIPIO DE MARTINS SOARES</v>
      </c>
      <c r="H3633" t="str">
        <f>IFERROR(INDEX(tEditais[UF],MATCH(tItens[[#This Row],[Edital]],tEditais[Edital],0)),"")</f>
        <v>MG</v>
      </c>
      <c r="I3633" s="11">
        <f>IFERROR(INDEX(tEditais[Encerramento],MATCH(tItens[[#This Row],[Edital]],tEditais[Edital],0)),"")</f>
        <v>46310.354166666664</v>
      </c>
      <c r="J3633" t="str">
        <f>IFERROR(INDEX(tProdutos[Classe],MATCH(tItens[[#This Row],[Produto]],tProdutos[Produto],0)),"produto não cadastrado")</f>
        <v>DISPUTADO</v>
      </c>
      <c r="K3633" s="12">
        <f>tItens[[#This Row],[Qtd]]*tItens[[#This Row],[Vlr unit]]</f>
        <v>4324.5</v>
      </c>
      <c r="L3633" s="6">
        <f>IFERROR(IF(INDEX(tProdutos[Desconto homologado],MATCH(tItens[[#This Row],[Produto]],tProdutos[Produto],0))="",DescontoPadrao,INDEX(tProdutos[Desconto homologado],MATCH(tItens[[#This Row],[Produto]],tProdutos[Produto],0))),DescontoPadrao)</f>
        <v>0.445300462249615</v>
      </c>
      <c r="M3633" s="12">
        <f>tItens[[#This Row],[Valor]]*(1-tItens[[#This Row],[Desconto]])</f>
        <v>2398.7981510015397</v>
      </c>
      <c r="N3633" t="str">
        <f>IFERROR(INDEX(tProdutos[Foco],MATCH(tItens[[#This Row],[Produto]],tProdutos[Produto],0)),"Não")</f>
        <v>Não</v>
      </c>
      <c r="O3633" t="str">
        <f>IFERROR(INDEX(tEditais[SRP],MATCH(tItens[[#This Row],[Edital]],tEditais[Edital],0)),"Não")</f>
        <v>Sim</v>
      </c>
      <c r="P3633" s="4">
        <f>IF(COUNTIFS(INDEX(tItens[Edital],1):tItens[[#This Row],[Edital]],tItens[[#This Row],[Edital]],INDEX(tItens[Produto],1):tItens[[#This Row],[Produto]],tItens[[#This Row],[Produto]])=1,1,0)</f>
        <v>0</v>
      </c>
    </row>
    <row r="3634" spans="1:16" x14ac:dyDescent="0.25">
      <c r="A3634" t="s">
        <v>1504</v>
      </c>
      <c r="B3634">
        <v>406</v>
      </c>
      <c r="C3634" t="s">
        <v>6515</v>
      </c>
      <c r="D3634" t="s">
        <v>205</v>
      </c>
      <c r="E3634" s="13">
        <v>30</v>
      </c>
      <c r="F3634" s="12">
        <v>168.87</v>
      </c>
      <c r="G3634" t="str">
        <f>IFERROR(INDEX(tEditais[Órgão],MATCH(tItens[[#This Row],[Edital]],tEditais[Edital],0)),"")</f>
        <v>MUNICIPIO DE MARTINS SOARES</v>
      </c>
      <c r="H3634" t="str">
        <f>IFERROR(INDEX(tEditais[UF],MATCH(tItens[[#This Row],[Edital]],tEditais[Edital],0)),"")</f>
        <v>MG</v>
      </c>
      <c r="I3634" s="11">
        <f>IFERROR(INDEX(tEditais[Encerramento],MATCH(tItens[[#This Row],[Edital]],tEditais[Edital],0)),"")</f>
        <v>46310.354166666664</v>
      </c>
      <c r="J3634" t="str">
        <f>IFERROR(INDEX(tProdutos[Classe],MATCH(tItens[[#This Row],[Produto]],tProdutos[Produto],0)),"produto não cadastrado")</f>
        <v>FORA</v>
      </c>
      <c r="K3634" s="12">
        <f>tItens[[#This Row],[Qtd]]*tItens[[#This Row],[Vlr unit]]</f>
        <v>5066.1000000000004</v>
      </c>
      <c r="L3634" s="6">
        <f>IFERROR(IF(INDEX(tProdutos[Desconto homologado],MATCH(tItens[[#This Row],[Produto]],tProdutos[Produto],0))="",DescontoPadrao,INDEX(tProdutos[Desconto homologado],MATCH(tItens[[#This Row],[Produto]],tProdutos[Produto],0))),DescontoPadrao)</f>
        <v>0.468911625815156</v>
      </c>
      <c r="M3634" s="12">
        <f>tItens[[#This Row],[Valor]]*(1-tItens[[#This Row],[Desconto]])</f>
        <v>2690.5468124578383</v>
      </c>
      <c r="N3634" t="str">
        <f>IFERROR(INDEX(tProdutos[Foco],MATCH(tItens[[#This Row],[Produto]],tProdutos[Produto],0)),"Não")</f>
        <v>Não</v>
      </c>
      <c r="O3634" t="str">
        <f>IFERROR(INDEX(tEditais[SRP],MATCH(tItens[[#This Row],[Edital]],tEditais[Edital],0)),"Não")</f>
        <v>Sim</v>
      </c>
      <c r="P3634" s="4">
        <f>IF(COUNTIFS(INDEX(tItens[Edital],1):tItens[[#This Row],[Edital]],tItens[[#This Row],[Edital]],INDEX(tItens[Produto],1):tItens[[#This Row],[Produto]],tItens[[#This Row],[Produto]])=1,1,0)</f>
        <v>1</v>
      </c>
    </row>
    <row r="3635" spans="1:16" x14ac:dyDescent="0.25">
      <c r="A3635" t="s">
        <v>1504</v>
      </c>
      <c r="B3635">
        <v>407</v>
      </c>
      <c r="C3635" t="s">
        <v>6516</v>
      </c>
      <c r="D3635" t="s">
        <v>205</v>
      </c>
      <c r="E3635" s="13">
        <v>30</v>
      </c>
      <c r="F3635" s="12">
        <v>168.87</v>
      </c>
      <c r="G3635" t="str">
        <f>IFERROR(INDEX(tEditais[Órgão],MATCH(tItens[[#This Row],[Edital]],tEditais[Edital],0)),"")</f>
        <v>MUNICIPIO DE MARTINS SOARES</v>
      </c>
      <c r="H3635" t="str">
        <f>IFERROR(INDEX(tEditais[UF],MATCH(tItens[[#This Row],[Edital]],tEditais[Edital],0)),"")</f>
        <v>MG</v>
      </c>
      <c r="I3635" s="11">
        <f>IFERROR(INDEX(tEditais[Encerramento],MATCH(tItens[[#This Row],[Edital]],tEditais[Edital],0)),"")</f>
        <v>46310.354166666664</v>
      </c>
      <c r="J3635" t="str">
        <f>IFERROR(INDEX(tProdutos[Classe],MATCH(tItens[[#This Row],[Produto]],tProdutos[Produto],0)),"produto não cadastrado")</f>
        <v>FORA</v>
      </c>
      <c r="K3635" s="12">
        <f>tItens[[#This Row],[Qtd]]*tItens[[#This Row],[Vlr unit]]</f>
        <v>5066.1000000000004</v>
      </c>
      <c r="L3635" s="6">
        <f>IFERROR(IF(INDEX(tProdutos[Desconto homologado],MATCH(tItens[[#This Row],[Produto]],tProdutos[Produto],0))="",DescontoPadrao,INDEX(tProdutos[Desconto homologado],MATCH(tItens[[#This Row],[Produto]],tProdutos[Produto],0))),DescontoPadrao)</f>
        <v>0.468911625815156</v>
      </c>
      <c r="M3635" s="12">
        <f>tItens[[#This Row],[Valor]]*(1-tItens[[#This Row],[Desconto]])</f>
        <v>2690.5468124578383</v>
      </c>
      <c r="N3635" t="str">
        <f>IFERROR(INDEX(tProdutos[Foco],MATCH(tItens[[#This Row],[Produto]],tProdutos[Produto],0)),"Não")</f>
        <v>Não</v>
      </c>
      <c r="O3635" t="str">
        <f>IFERROR(INDEX(tEditais[SRP],MATCH(tItens[[#This Row],[Edital]],tEditais[Edital],0)),"Não")</f>
        <v>Sim</v>
      </c>
      <c r="P3635" s="4">
        <f>IF(COUNTIFS(INDEX(tItens[Edital],1):tItens[[#This Row],[Edital]],tItens[[#This Row],[Edital]],INDEX(tItens[Produto],1):tItens[[#This Row],[Produto]],tItens[[#This Row],[Produto]])=1,1,0)</f>
        <v>0</v>
      </c>
    </row>
    <row r="3636" spans="1:16" x14ac:dyDescent="0.25">
      <c r="A3636" t="s">
        <v>1508</v>
      </c>
      <c r="B3636">
        <v>8057010</v>
      </c>
      <c r="C3636" t="s">
        <v>6517</v>
      </c>
      <c r="D3636" t="s">
        <v>315</v>
      </c>
      <c r="E3636" s="13">
        <v>5000</v>
      </c>
      <c r="F3636" s="12">
        <v>7.1</v>
      </c>
      <c r="G3636" t="str">
        <f>IFERROR(INDEX(tEditais[Órgão],MATCH(tItens[[#This Row],[Edital]],tEditais[Edital],0)),"")</f>
        <v>MUNICIPIO DE FORMIGA</v>
      </c>
      <c r="H3636" t="str">
        <f>IFERROR(INDEX(tEditais[UF],MATCH(tItens[[#This Row],[Edital]],tEditais[Edital],0)),"")</f>
        <v>MG</v>
      </c>
      <c r="I3636" s="11">
        <f>IFERROR(INDEX(tEditais[Encerramento],MATCH(tItens[[#This Row],[Edital]],tEditais[Edital],0)),"")</f>
        <v>46310.354861111111</v>
      </c>
      <c r="J3636" t="str">
        <f>IFERROR(INDEX(tProdutos[Classe],MATCH(tItens[[#This Row],[Produto]],tProdutos[Produto],0)),"produto não cadastrado")</f>
        <v>FORA</v>
      </c>
      <c r="K3636" s="12">
        <f>tItens[[#This Row],[Qtd]]*tItens[[#This Row],[Vlr unit]]</f>
        <v>35500</v>
      </c>
      <c r="L3636" s="6">
        <f>IFERROR(IF(INDEX(tProdutos[Desconto homologado],MATCH(tItens[[#This Row],[Produto]],tProdutos[Produto],0))="",DescontoPadrao,INDEX(tProdutos[Desconto homologado],MATCH(tItens[[#This Row],[Produto]],tProdutos[Produto],0))),DescontoPadrao)</f>
        <v>0.38432036097010702</v>
      </c>
      <c r="M3636" s="12">
        <f>tItens[[#This Row],[Valor]]*(1-tItens[[#This Row],[Desconto]])</f>
        <v>21856.627185561199</v>
      </c>
      <c r="N3636" t="str">
        <f>IFERROR(INDEX(tProdutos[Foco],MATCH(tItens[[#This Row],[Produto]],tProdutos[Produto],0)),"Não")</f>
        <v>Não</v>
      </c>
      <c r="O3636" t="str">
        <f>IFERROR(INDEX(tEditais[SRP],MATCH(tItens[[#This Row],[Edital]],tEditais[Edital],0)),"Não")</f>
        <v>Não</v>
      </c>
      <c r="P3636" s="4">
        <f>IF(COUNTIFS(INDEX(tItens[Edital],1):tItens[[#This Row],[Edital]],tItens[[#This Row],[Edital]],INDEX(tItens[Produto],1):tItens[[#This Row],[Produto]],tItens[[#This Row],[Produto]])=1,1,0)</f>
        <v>1</v>
      </c>
    </row>
    <row r="3637" spans="1:16" x14ac:dyDescent="0.25">
      <c r="A3637" t="s">
        <v>1508</v>
      </c>
      <c r="B3637">
        <v>8057011</v>
      </c>
      <c r="C3637" t="s">
        <v>6518</v>
      </c>
      <c r="D3637" t="s">
        <v>315</v>
      </c>
      <c r="E3637" s="13">
        <v>1508</v>
      </c>
      <c r="F3637" s="12">
        <v>22.92</v>
      </c>
      <c r="G3637" t="str">
        <f>IFERROR(INDEX(tEditais[Órgão],MATCH(tItens[[#This Row],[Edital]],tEditais[Edital],0)),"")</f>
        <v>MUNICIPIO DE FORMIGA</v>
      </c>
      <c r="H3637" t="str">
        <f>IFERROR(INDEX(tEditais[UF],MATCH(tItens[[#This Row],[Edital]],tEditais[Edital],0)),"")</f>
        <v>MG</v>
      </c>
      <c r="I3637" s="11">
        <f>IFERROR(INDEX(tEditais[Encerramento],MATCH(tItens[[#This Row],[Edital]],tEditais[Edital],0)),"")</f>
        <v>46310.354861111111</v>
      </c>
      <c r="J3637" t="str">
        <f>IFERROR(INDEX(tProdutos[Classe],MATCH(tItens[[#This Row],[Produto]],tProdutos[Produto],0)),"produto não cadastrado")</f>
        <v>FORA</v>
      </c>
      <c r="K3637" s="12">
        <f>tItens[[#This Row],[Qtd]]*tItens[[#This Row],[Vlr unit]]</f>
        <v>34563.360000000001</v>
      </c>
      <c r="L3637" s="6">
        <f>IFERROR(IF(INDEX(tProdutos[Desconto homologado],MATCH(tItens[[#This Row],[Produto]],tProdutos[Produto],0))="",DescontoPadrao,INDEX(tProdutos[Desconto homologado],MATCH(tItens[[#This Row],[Produto]],tProdutos[Produto],0))),DescontoPadrao)</f>
        <v>0.38432036097010702</v>
      </c>
      <c r="M3637" s="12">
        <f>tItens[[#This Row],[Valor]]*(1-tItens[[#This Row],[Desconto]])</f>
        <v>21279.957008460242</v>
      </c>
      <c r="N3637" t="str">
        <f>IFERROR(INDEX(tProdutos[Foco],MATCH(tItens[[#This Row],[Produto]],tProdutos[Produto],0)),"Não")</f>
        <v>Não</v>
      </c>
      <c r="O3637" t="str">
        <f>IFERROR(INDEX(tEditais[SRP],MATCH(tItens[[#This Row],[Edital]],tEditais[Edital],0)),"Não")</f>
        <v>Não</v>
      </c>
      <c r="P3637" s="4">
        <f>IF(COUNTIFS(INDEX(tItens[Edital],1):tItens[[#This Row],[Edital]],tItens[[#This Row],[Edital]],INDEX(tItens[Produto],1):tItens[[#This Row],[Produto]],tItens[[#This Row],[Produto]])=1,1,0)</f>
        <v>0</v>
      </c>
    </row>
    <row r="3638" spans="1:16" x14ac:dyDescent="0.25">
      <c r="A3638" t="s">
        <v>1508</v>
      </c>
      <c r="B3638">
        <v>8057012</v>
      </c>
      <c r="C3638" t="s">
        <v>6518</v>
      </c>
      <c r="D3638" t="s">
        <v>315</v>
      </c>
      <c r="E3638" s="13">
        <v>4527</v>
      </c>
      <c r="F3638" s="12">
        <v>22.92</v>
      </c>
      <c r="G3638" t="str">
        <f>IFERROR(INDEX(tEditais[Órgão],MATCH(tItens[[#This Row],[Edital]],tEditais[Edital],0)),"")</f>
        <v>MUNICIPIO DE FORMIGA</v>
      </c>
      <c r="H3638" t="str">
        <f>IFERROR(INDEX(tEditais[UF],MATCH(tItens[[#This Row],[Edital]],tEditais[Edital],0)),"")</f>
        <v>MG</v>
      </c>
      <c r="I3638" s="11">
        <f>IFERROR(INDEX(tEditais[Encerramento],MATCH(tItens[[#This Row],[Edital]],tEditais[Edital],0)),"")</f>
        <v>46310.354861111111</v>
      </c>
      <c r="J3638" t="str">
        <f>IFERROR(INDEX(tProdutos[Classe],MATCH(tItens[[#This Row],[Produto]],tProdutos[Produto],0)),"produto não cadastrado")</f>
        <v>FORA</v>
      </c>
      <c r="K3638" s="12">
        <f>tItens[[#This Row],[Qtd]]*tItens[[#This Row],[Vlr unit]]</f>
        <v>103758.84000000001</v>
      </c>
      <c r="L3638" s="6">
        <f>IFERROR(IF(INDEX(tProdutos[Desconto homologado],MATCH(tItens[[#This Row],[Produto]],tProdutos[Produto],0))="",DescontoPadrao,INDEX(tProdutos[Desconto homologado],MATCH(tItens[[#This Row],[Produto]],tProdutos[Produto],0))),DescontoPadrao)</f>
        <v>0.38432036097010702</v>
      </c>
      <c r="M3638" s="12">
        <f>tItens[[#This Row],[Valor]]*(1-tItens[[#This Row],[Desconto]])</f>
        <v>63882.205157360426</v>
      </c>
      <c r="N3638" t="str">
        <f>IFERROR(INDEX(tProdutos[Foco],MATCH(tItens[[#This Row],[Produto]],tProdutos[Produto],0)),"Não")</f>
        <v>Não</v>
      </c>
      <c r="O3638" t="str">
        <f>IFERROR(INDEX(tEditais[SRP],MATCH(tItens[[#This Row],[Edital]],tEditais[Edital],0)),"Não")</f>
        <v>Não</v>
      </c>
      <c r="P3638" s="4">
        <f>IF(COUNTIFS(INDEX(tItens[Edital],1):tItens[[#This Row],[Edital]],tItens[[#This Row],[Edital]],INDEX(tItens[Produto],1):tItens[[#This Row],[Produto]],tItens[[#This Row],[Produto]])=1,1,0)</f>
        <v>0</v>
      </c>
    </row>
    <row r="3639" spans="1:16" x14ac:dyDescent="0.25">
      <c r="A3639" t="s">
        <v>1508</v>
      </c>
      <c r="B3639">
        <v>8057013</v>
      </c>
      <c r="C3639" t="s">
        <v>6519</v>
      </c>
      <c r="D3639" t="s">
        <v>315</v>
      </c>
      <c r="E3639" s="13">
        <v>1515</v>
      </c>
      <c r="F3639" s="12">
        <v>23.74</v>
      </c>
      <c r="G3639" t="str">
        <f>IFERROR(INDEX(tEditais[Órgão],MATCH(tItens[[#This Row],[Edital]],tEditais[Edital],0)),"")</f>
        <v>MUNICIPIO DE FORMIGA</v>
      </c>
      <c r="H3639" t="str">
        <f>IFERROR(INDEX(tEditais[UF],MATCH(tItens[[#This Row],[Edital]],tEditais[Edital],0)),"")</f>
        <v>MG</v>
      </c>
      <c r="I3639" s="11">
        <f>IFERROR(INDEX(tEditais[Encerramento],MATCH(tItens[[#This Row],[Edital]],tEditais[Edital],0)),"")</f>
        <v>46310.354861111111</v>
      </c>
      <c r="J3639" t="str">
        <f>IFERROR(INDEX(tProdutos[Classe],MATCH(tItens[[#This Row],[Produto]],tProdutos[Produto],0)),"produto não cadastrado")</f>
        <v>FORA</v>
      </c>
      <c r="K3639" s="12">
        <f>tItens[[#This Row],[Qtd]]*tItens[[#This Row],[Vlr unit]]</f>
        <v>35966.1</v>
      </c>
      <c r="L3639" s="6">
        <f>IFERROR(IF(INDEX(tProdutos[Desconto homologado],MATCH(tItens[[#This Row],[Produto]],tProdutos[Produto],0))="",DescontoPadrao,INDEX(tProdutos[Desconto homologado],MATCH(tItens[[#This Row],[Produto]],tProdutos[Produto],0))),DescontoPadrao)</f>
        <v>0.38432036097010702</v>
      </c>
      <c r="M3639" s="12">
        <f>tItens[[#This Row],[Valor]]*(1-tItens[[#This Row],[Desconto]])</f>
        <v>22143.595465313032</v>
      </c>
      <c r="N3639" t="str">
        <f>IFERROR(INDEX(tProdutos[Foco],MATCH(tItens[[#This Row],[Produto]],tProdutos[Produto],0)),"Não")</f>
        <v>Não</v>
      </c>
      <c r="O3639" t="str">
        <f>IFERROR(INDEX(tEditais[SRP],MATCH(tItens[[#This Row],[Edital]],tEditais[Edital],0)),"Não")</f>
        <v>Não</v>
      </c>
      <c r="P3639" s="4">
        <f>IF(COUNTIFS(INDEX(tItens[Edital],1):tItens[[#This Row],[Edital]],tItens[[#This Row],[Edital]],INDEX(tItens[Produto],1):tItens[[#This Row],[Produto]],tItens[[#This Row],[Produto]])=1,1,0)</f>
        <v>0</v>
      </c>
    </row>
    <row r="3640" spans="1:16" x14ac:dyDescent="0.25">
      <c r="A3640" t="s">
        <v>1508</v>
      </c>
      <c r="B3640">
        <v>8057014</v>
      </c>
      <c r="C3640" t="s">
        <v>6519</v>
      </c>
      <c r="D3640" t="s">
        <v>315</v>
      </c>
      <c r="E3640" s="13">
        <v>4545</v>
      </c>
      <c r="F3640" s="12">
        <v>23.74</v>
      </c>
      <c r="G3640" t="str">
        <f>IFERROR(INDEX(tEditais[Órgão],MATCH(tItens[[#This Row],[Edital]],tEditais[Edital],0)),"")</f>
        <v>MUNICIPIO DE FORMIGA</v>
      </c>
      <c r="H3640" t="str">
        <f>IFERROR(INDEX(tEditais[UF],MATCH(tItens[[#This Row],[Edital]],tEditais[Edital],0)),"")</f>
        <v>MG</v>
      </c>
      <c r="I3640" s="11">
        <f>IFERROR(INDEX(tEditais[Encerramento],MATCH(tItens[[#This Row],[Edital]],tEditais[Edital],0)),"")</f>
        <v>46310.354861111111</v>
      </c>
      <c r="J3640" t="str">
        <f>IFERROR(INDEX(tProdutos[Classe],MATCH(tItens[[#This Row],[Produto]],tProdutos[Produto],0)),"produto não cadastrado")</f>
        <v>FORA</v>
      </c>
      <c r="K3640" s="12">
        <f>tItens[[#This Row],[Qtd]]*tItens[[#This Row],[Vlr unit]]</f>
        <v>107898.29999999999</v>
      </c>
      <c r="L3640" s="6">
        <f>IFERROR(IF(INDEX(tProdutos[Desconto homologado],MATCH(tItens[[#This Row],[Produto]],tProdutos[Produto],0))="",DescontoPadrao,INDEX(tProdutos[Desconto homologado],MATCH(tItens[[#This Row],[Produto]],tProdutos[Produto],0))),DescontoPadrao)</f>
        <v>0.38432036097010702</v>
      </c>
      <c r="M3640" s="12">
        <f>tItens[[#This Row],[Valor]]*(1-tItens[[#This Row],[Desconto]])</f>
        <v>66430.786395939096</v>
      </c>
      <c r="N3640" t="str">
        <f>IFERROR(INDEX(tProdutos[Foco],MATCH(tItens[[#This Row],[Produto]],tProdutos[Produto],0)),"Não")</f>
        <v>Não</v>
      </c>
      <c r="O3640" t="str">
        <f>IFERROR(INDEX(tEditais[SRP],MATCH(tItens[[#This Row],[Edital]],tEditais[Edital],0)),"Não")</f>
        <v>Não</v>
      </c>
      <c r="P3640" s="4">
        <f>IF(COUNTIFS(INDEX(tItens[Edital],1):tItens[[#This Row],[Edital]],tItens[[#This Row],[Edital]],INDEX(tItens[Produto],1):tItens[[#This Row],[Produto]],tItens[[#This Row],[Produto]])=1,1,0)</f>
        <v>0</v>
      </c>
    </row>
    <row r="3641" spans="1:16" x14ac:dyDescent="0.25">
      <c r="A3641" t="s">
        <v>1508</v>
      </c>
      <c r="B3641">
        <v>8057015</v>
      </c>
      <c r="C3641" t="s">
        <v>6520</v>
      </c>
      <c r="D3641" t="s">
        <v>315</v>
      </c>
      <c r="E3641" s="13">
        <v>1515</v>
      </c>
      <c r="F3641" s="12">
        <v>22.66</v>
      </c>
      <c r="G3641" t="str">
        <f>IFERROR(INDEX(tEditais[Órgão],MATCH(tItens[[#This Row],[Edital]],tEditais[Edital],0)),"")</f>
        <v>MUNICIPIO DE FORMIGA</v>
      </c>
      <c r="H3641" t="str">
        <f>IFERROR(INDEX(tEditais[UF],MATCH(tItens[[#This Row],[Edital]],tEditais[Edital],0)),"")</f>
        <v>MG</v>
      </c>
      <c r="I3641" s="11">
        <f>IFERROR(INDEX(tEditais[Encerramento],MATCH(tItens[[#This Row],[Edital]],tEditais[Edital],0)),"")</f>
        <v>46310.354861111111</v>
      </c>
      <c r="J3641" t="str">
        <f>IFERROR(INDEX(tProdutos[Classe],MATCH(tItens[[#This Row],[Produto]],tProdutos[Produto],0)),"produto não cadastrado")</f>
        <v>FORA</v>
      </c>
      <c r="K3641" s="12">
        <f>tItens[[#This Row],[Qtd]]*tItens[[#This Row],[Vlr unit]]</f>
        <v>34329.9</v>
      </c>
      <c r="L3641" s="6">
        <f>IFERROR(IF(INDEX(tProdutos[Desconto homologado],MATCH(tItens[[#This Row],[Produto]],tProdutos[Produto],0))="",DescontoPadrao,INDEX(tProdutos[Desconto homologado],MATCH(tItens[[#This Row],[Produto]],tProdutos[Produto],0))),DescontoPadrao)</f>
        <v>0.38432036097010702</v>
      </c>
      <c r="M3641" s="12">
        <f>tItens[[#This Row],[Valor]]*(1-tItens[[#This Row],[Desconto]])</f>
        <v>21136.220439932324</v>
      </c>
      <c r="N3641" t="str">
        <f>IFERROR(INDEX(tProdutos[Foco],MATCH(tItens[[#This Row],[Produto]],tProdutos[Produto],0)),"Não")</f>
        <v>Não</v>
      </c>
      <c r="O3641" t="str">
        <f>IFERROR(INDEX(tEditais[SRP],MATCH(tItens[[#This Row],[Edital]],tEditais[Edital],0)),"Não")</f>
        <v>Não</v>
      </c>
      <c r="P3641" s="4">
        <f>IF(COUNTIFS(INDEX(tItens[Edital],1):tItens[[#This Row],[Edital]],tItens[[#This Row],[Edital]],INDEX(tItens[Produto],1):tItens[[#This Row],[Produto]],tItens[[#This Row],[Produto]])=1,1,0)</f>
        <v>0</v>
      </c>
    </row>
    <row r="3642" spans="1:16" x14ac:dyDescent="0.25">
      <c r="A3642" t="s">
        <v>1508</v>
      </c>
      <c r="B3642">
        <v>8057016</v>
      </c>
      <c r="C3642" t="s">
        <v>6520</v>
      </c>
      <c r="D3642" t="s">
        <v>315</v>
      </c>
      <c r="E3642" s="13">
        <v>4545</v>
      </c>
      <c r="F3642" s="12">
        <v>22.66</v>
      </c>
      <c r="G3642" t="str">
        <f>IFERROR(INDEX(tEditais[Órgão],MATCH(tItens[[#This Row],[Edital]],tEditais[Edital],0)),"")</f>
        <v>MUNICIPIO DE FORMIGA</v>
      </c>
      <c r="H3642" t="str">
        <f>IFERROR(INDEX(tEditais[UF],MATCH(tItens[[#This Row],[Edital]],tEditais[Edital],0)),"")</f>
        <v>MG</v>
      </c>
      <c r="I3642" s="11">
        <f>IFERROR(INDEX(tEditais[Encerramento],MATCH(tItens[[#This Row],[Edital]],tEditais[Edital],0)),"")</f>
        <v>46310.354861111111</v>
      </c>
      <c r="J3642" t="str">
        <f>IFERROR(INDEX(tProdutos[Classe],MATCH(tItens[[#This Row],[Produto]],tProdutos[Produto],0)),"produto não cadastrado")</f>
        <v>FORA</v>
      </c>
      <c r="K3642" s="12">
        <f>tItens[[#This Row],[Qtd]]*tItens[[#This Row],[Vlr unit]]</f>
        <v>102989.7</v>
      </c>
      <c r="L3642" s="6">
        <f>IFERROR(IF(INDEX(tProdutos[Desconto homologado],MATCH(tItens[[#This Row],[Produto]],tProdutos[Produto],0))="",DescontoPadrao,INDEX(tProdutos[Desconto homologado],MATCH(tItens[[#This Row],[Produto]],tProdutos[Produto],0))),DescontoPadrao)</f>
        <v>0.38432036097010702</v>
      </c>
      <c r="M3642" s="12">
        <f>tItens[[#This Row],[Valor]]*(1-tItens[[#This Row],[Desconto]])</f>
        <v>63408.661319796964</v>
      </c>
      <c r="N3642" t="str">
        <f>IFERROR(INDEX(tProdutos[Foco],MATCH(tItens[[#This Row],[Produto]],tProdutos[Produto],0)),"Não")</f>
        <v>Não</v>
      </c>
      <c r="O3642" t="str">
        <f>IFERROR(INDEX(tEditais[SRP],MATCH(tItens[[#This Row],[Edital]],tEditais[Edital],0)),"Não")</f>
        <v>Não</v>
      </c>
      <c r="P3642" s="4">
        <f>IF(COUNTIFS(INDEX(tItens[Edital],1):tItens[[#This Row],[Edital]],tItens[[#This Row],[Edital]],INDEX(tItens[Produto],1):tItens[[#This Row],[Produto]],tItens[[#This Row],[Produto]])=1,1,0)</f>
        <v>0</v>
      </c>
    </row>
    <row r="3643" spans="1:16" x14ac:dyDescent="0.25">
      <c r="A3643" t="s">
        <v>1508</v>
      </c>
      <c r="B3643">
        <v>8057034</v>
      </c>
      <c r="C3643" t="s">
        <v>6521</v>
      </c>
      <c r="D3643" t="s">
        <v>98</v>
      </c>
      <c r="E3643" s="13">
        <v>40</v>
      </c>
      <c r="F3643" s="12">
        <v>19.16</v>
      </c>
      <c r="G3643" t="str">
        <f>IFERROR(INDEX(tEditais[Órgão],MATCH(tItens[[#This Row],[Edital]],tEditais[Edital],0)),"")</f>
        <v>MUNICIPIO DE FORMIGA</v>
      </c>
      <c r="H3643" t="str">
        <f>IFERROR(INDEX(tEditais[UF],MATCH(tItens[[#This Row],[Edital]],tEditais[Edital],0)),"")</f>
        <v>MG</v>
      </c>
      <c r="I3643" s="11">
        <f>IFERROR(INDEX(tEditais[Encerramento],MATCH(tItens[[#This Row],[Edital]],tEditais[Edital],0)),"")</f>
        <v>46310.354861111111</v>
      </c>
      <c r="J3643" t="str">
        <f>IFERROR(INDEX(tProdutos[Classe],MATCH(tItens[[#This Row],[Produto]],tProdutos[Produto],0)),"produto não cadastrado")</f>
        <v>NÚCLEO</v>
      </c>
      <c r="K3643" s="12">
        <f>tItens[[#This Row],[Qtd]]*tItens[[#This Row],[Vlr unit]]</f>
        <v>766.4</v>
      </c>
      <c r="L3643" s="6">
        <f>IFERROR(IF(INDEX(tProdutos[Desconto homologado],MATCH(tItens[[#This Row],[Produto]],tProdutos[Produto],0))="",DescontoPadrao,INDEX(tProdutos[Desconto homologado],MATCH(tItens[[#This Row],[Produto]],tProdutos[Produto],0))),DescontoPadrao)</f>
        <v>0.39</v>
      </c>
      <c r="M3643" s="12">
        <f>tItens[[#This Row],[Valor]]*(1-tItens[[#This Row],[Desconto]])</f>
        <v>467.50399999999996</v>
      </c>
      <c r="N3643" t="str">
        <f>IFERROR(INDEX(tProdutos[Foco],MATCH(tItens[[#This Row],[Produto]],tProdutos[Produto],0)),"Não")</f>
        <v>Sim</v>
      </c>
      <c r="O3643" t="str">
        <f>IFERROR(INDEX(tEditais[SRP],MATCH(tItens[[#This Row],[Edital]],tEditais[Edital],0)),"Não")</f>
        <v>Não</v>
      </c>
      <c r="P3643" s="4">
        <f>IF(COUNTIFS(INDEX(tItens[Edital],1):tItens[[#This Row],[Edital]],tItens[[#This Row],[Edital]],INDEX(tItens[Produto],1):tItens[[#This Row],[Produto]],tItens[[#This Row],[Produto]])=1,1,0)</f>
        <v>1</v>
      </c>
    </row>
    <row r="3644" spans="1:16" x14ac:dyDescent="0.25">
      <c r="A3644" t="s">
        <v>1508</v>
      </c>
      <c r="B3644">
        <v>8057040</v>
      </c>
      <c r="C3644" t="s">
        <v>6522</v>
      </c>
      <c r="D3644" t="s">
        <v>287</v>
      </c>
      <c r="E3644" s="13">
        <v>15750</v>
      </c>
      <c r="F3644" s="12">
        <v>2.59</v>
      </c>
      <c r="G3644" t="str">
        <f>IFERROR(INDEX(tEditais[Órgão],MATCH(tItens[[#This Row],[Edital]],tEditais[Edital],0)),"")</f>
        <v>MUNICIPIO DE FORMIGA</v>
      </c>
      <c r="H3644" t="str">
        <f>IFERROR(INDEX(tEditais[UF],MATCH(tItens[[#This Row],[Edital]],tEditais[Edital],0)),"")</f>
        <v>MG</v>
      </c>
      <c r="I3644" s="11">
        <f>IFERROR(INDEX(tEditais[Encerramento],MATCH(tItens[[#This Row],[Edital]],tEditais[Edital],0)),"")</f>
        <v>46310.354861111111</v>
      </c>
      <c r="J3644" t="str">
        <f>IFERROR(INDEX(tProdutos[Classe],MATCH(tItens[[#This Row],[Produto]],tProdutos[Produto],0)),"produto não cadastrado")</f>
        <v>FORA</v>
      </c>
      <c r="K3644" s="12">
        <f>tItens[[#This Row],[Qtd]]*tItens[[#This Row],[Vlr unit]]</f>
        <v>40792.5</v>
      </c>
      <c r="L3644" s="6">
        <f>IFERROR(IF(INDEX(tProdutos[Desconto homologado],MATCH(tItens[[#This Row],[Produto]],tProdutos[Produto],0))="",DescontoPadrao,INDEX(tProdutos[Desconto homologado],MATCH(tItens[[#This Row],[Produto]],tProdutos[Produto],0))),DescontoPadrao)</f>
        <v>0.46344491178876002</v>
      </c>
      <c r="M3644" s="12">
        <f>tItens[[#This Row],[Valor]]*(1-tItens[[#This Row],[Desconto]])</f>
        <v>21887.423435857007</v>
      </c>
      <c r="N3644" t="str">
        <f>IFERROR(INDEX(tProdutos[Foco],MATCH(tItens[[#This Row],[Produto]],tProdutos[Produto],0)),"Não")</f>
        <v>Não</v>
      </c>
      <c r="O3644" t="str">
        <f>IFERROR(INDEX(tEditais[SRP],MATCH(tItens[[#This Row],[Edital]],tEditais[Edital],0)),"Não")</f>
        <v>Não</v>
      </c>
      <c r="P3644" s="4">
        <f>IF(COUNTIFS(INDEX(tItens[Edital],1):tItens[[#This Row],[Edital]],tItens[[#This Row],[Edital]],INDEX(tItens[Produto],1):tItens[[#This Row],[Produto]],tItens[[#This Row],[Produto]])=1,1,0)</f>
        <v>1</v>
      </c>
    </row>
    <row r="3645" spans="1:16" x14ac:dyDescent="0.25">
      <c r="A3645" t="s">
        <v>1508</v>
      </c>
      <c r="B3645">
        <v>8057041</v>
      </c>
      <c r="C3645" t="s">
        <v>6522</v>
      </c>
      <c r="D3645" t="s">
        <v>287</v>
      </c>
      <c r="E3645" s="13">
        <v>47250</v>
      </c>
      <c r="F3645" s="12">
        <v>2.59</v>
      </c>
      <c r="G3645" t="str">
        <f>IFERROR(INDEX(tEditais[Órgão],MATCH(tItens[[#This Row],[Edital]],tEditais[Edital],0)),"")</f>
        <v>MUNICIPIO DE FORMIGA</v>
      </c>
      <c r="H3645" t="str">
        <f>IFERROR(INDEX(tEditais[UF],MATCH(tItens[[#This Row],[Edital]],tEditais[Edital],0)),"")</f>
        <v>MG</v>
      </c>
      <c r="I3645" s="11">
        <f>IFERROR(INDEX(tEditais[Encerramento],MATCH(tItens[[#This Row],[Edital]],tEditais[Edital],0)),"")</f>
        <v>46310.354861111111</v>
      </c>
      <c r="J3645" t="str">
        <f>IFERROR(INDEX(tProdutos[Classe],MATCH(tItens[[#This Row],[Produto]],tProdutos[Produto],0)),"produto não cadastrado")</f>
        <v>FORA</v>
      </c>
      <c r="K3645" s="12">
        <f>tItens[[#This Row],[Qtd]]*tItens[[#This Row],[Vlr unit]]</f>
        <v>122377.5</v>
      </c>
      <c r="L3645" s="6">
        <f>IFERROR(IF(INDEX(tProdutos[Desconto homologado],MATCH(tItens[[#This Row],[Produto]],tProdutos[Produto],0))="",DescontoPadrao,INDEX(tProdutos[Desconto homologado],MATCH(tItens[[#This Row],[Produto]],tProdutos[Produto],0))),DescontoPadrao)</f>
        <v>0.46344491178876002</v>
      </c>
      <c r="M3645" s="12">
        <f>tItens[[#This Row],[Valor]]*(1-tItens[[#This Row],[Desconto]])</f>
        <v>65662.270307571016</v>
      </c>
      <c r="N3645" t="str">
        <f>IFERROR(INDEX(tProdutos[Foco],MATCH(tItens[[#This Row],[Produto]],tProdutos[Produto],0)),"Não")</f>
        <v>Não</v>
      </c>
      <c r="O3645" t="str">
        <f>IFERROR(INDEX(tEditais[SRP],MATCH(tItens[[#This Row],[Edital]],tEditais[Edital],0)),"Não")</f>
        <v>Não</v>
      </c>
      <c r="P3645" s="4">
        <f>IF(COUNTIFS(INDEX(tItens[Edital],1):tItens[[#This Row],[Edital]],tItens[[#This Row],[Edital]],INDEX(tItens[Produto],1):tItens[[#This Row],[Produto]],tItens[[#This Row],[Produto]])=1,1,0)</f>
        <v>0</v>
      </c>
    </row>
    <row r="3646" spans="1:16" x14ac:dyDescent="0.25">
      <c r="A3646" t="s">
        <v>1508</v>
      </c>
      <c r="B3646">
        <v>8057043</v>
      </c>
      <c r="C3646" t="s">
        <v>6523</v>
      </c>
      <c r="D3646" t="s">
        <v>221</v>
      </c>
      <c r="E3646" s="13">
        <v>15500</v>
      </c>
      <c r="F3646" s="12">
        <v>1.98</v>
      </c>
      <c r="G3646" t="str">
        <f>IFERROR(INDEX(tEditais[Órgão],MATCH(tItens[[#This Row],[Edital]],tEditais[Edital],0)),"")</f>
        <v>MUNICIPIO DE FORMIGA</v>
      </c>
      <c r="H3646" t="str">
        <f>IFERROR(INDEX(tEditais[UF],MATCH(tItens[[#This Row],[Edital]],tEditais[Edital],0)),"")</f>
        <v>MG</v>
      </c>
      <c r="I3646" s="11">
        <f>IFERROR(INDEX(tEditais[Encerramento],MATCH(tItens[[#This Row],[Edital]],tEditais[Edital],0)),"")</f>
        <v>46310.354861111111</v>
      </c>
      <c r="J3646" t="str">
        <f>IFERROR(INDEX(tProdutos[Classe],MATCH(tItens[[#This Row],[Produto]],tProdutos[Produto],0)),"produto não cadastrado")</f>
        <v>FORA</v>
      </c>
      <c r="K3646" s="12">
        <f>tItens[[#This Row],[Qtd]]*tItens[[#This Row],[Vlr unit]]</f>
        <v>30690</v>
      </c>
      <c r="L3646" s="6">
        <f>IFERROR(IF(INDEX(tProdutos[Desconto homologado],MATCH(tItens[[#This Row],[Produto]],tProdutos[Produto],0))="",DescontoPadrao,INDEX(tProdutos[Desconto homologado],MATCH(tItens[[#This Row],[Produto]],tProdutos[Produto],0))),DescontoPadrao)</f>
        <v>0.35408560311283999</v>
      </c>
      <c r="M3646" s="12">
        <f>tItens[[#This Row],[Valor]]*(1-tItens[[#This Row],[Desconto]])</f>
        <v>19823.11284046694</v>
      </c>
      <c r="N3646" t="str">
        <f>IFERROR(INDEX(tProdutos[Foco],MATCH(tItens[[#This Row],[Produto]],tProdutos[Produto],0)),"Não")</f>
        <v>Não</v>
      </c>
      <c r="O3646" t="str">
        <f>IFERROR(INDEX(tEditais[SRP],MATCH(tItens[[#This Row],[Edital]],tEditais[Edital],0)),"Não")</f>
        <v>Não</v>
      </c>
      <c r="P3646" s="4">
        <f>IF(COUNTIFS(INDEX(tItens[Edital],1):tItens[[#This Row],[Edital]],tItens[[#This Row],[Edital]],INDEX(tItens[Produto],1):tItens[[#This Row],[Produto]],tItens[[#This Row],[Produto]])=1,1,0)</f>
        <v>1</v>
      </c>
    </row>
    <row r="3647" spans="1:16" x14ac:dyDescent="0.25">
      <c r="A3647" t="s">
        <v>1508</v>
      </c>
      <c r="B3647">
        <v>8057044</v>
      </c>
      <c r="C3647" t="s">
        <v>6523</v>
      </c>
      <c r="D3647" t="s">
        <v>221</v>
      </c>
      <c r="E3647" s="13">
        <v>46500</v>
      </c>
      <c r="F3647" s="12">
        <v>1.98</v>
      </c>
      <c r="G3647" t="str">
        <f>IFERROR(INDEX(tEditais[Órgão],MATCH(tItens[[#This Row],[Edital]],tEditais[Edital],0)),"")</f>
        <v>MUNICIPIO DE FORMIGA</v>
      </c>
      <c r="H3647" t="str">
        <f>IFERROR(INDEX(tEditais[UF],MATCH(tItens[[#This Row],[Edital]],tEditais[Edital],0)),"")</f>
        <v>MG</v>
      </c>
      <c r="I3647" s="11">
        <f>IFERROR(INDEX(tEditais[Encerramento],MATCH(tItens[[#This Row],[Edital]],tEditais[Edital],0)),"")</f>
        <v>46310.354861111111</v>
      </c>
      <c r="J3647" t="str">
        <f>IFERROR(INDEX(tProdutos[Classe],MATCH(tItens[[#This Row],[Produto]],tProdutos[Produto],0)),"produto não cadastrado")</f>
        <v>FORA</v>
      </c>
      <c r="K3647" s="12">
        <f>tItens[[#This Row],[Qtd]]*tItens[[#This Row],[Vlr unit]]</f>
        <v>92070</v>
      </c>
      <c r="L3647" s="6">
        <f>IFERROR(IF(INDEX(tProdutos[Desconto homologado],MATCH(tItens[[#This Row],[Produto]],tProdutos[Produto],0))="",DescontoPadrao,INDEX(tProdutos[Desconto homologado],MATCH(tItens[[#This Row],[Produto]],tProdutos[Produto],0))),DescontoPadrao)</f>
        <v>0.35408560311283999</v>
      </c>
      <c r="M3647" s="12">
        <f>tItens[[#This Row],[Valor]]*(1-tItens[[#This Row],[Desconto]])</f>
        <v>59469.338521400823</v>
      </c>
      <c r="N3647" t="str">
        <f>IFERROR(INDEX(tProdutos[Foco],MATCH(tItens[[#This Row],[Produto]],tProdutos[Produto],0)),"Não")</f>
        <v>Não</v>
      </c>
      <c r="O3647" t="str">
        <f>IFERROR(INDEX(tEditais[SRP],MATCH(tItens[[#This Row],[Edital]],tEditais[Edital],0)),"Não")</f>
        <v>Não</v>
      </c>
      <c r="P3647" s="4">
        <f>IF(COUNTIFS(INDEX(tItens[Edital],1):tItens[[#This Row],[Edital]],tItens[[#This Row],[Edital]],INDEX(tItens[Produto],1):tItens[[#This Row],[Produto]],tItens[[#This Row],[Produto]])=1,1,0)</f>
        <v>0</v>
      </c>
    </row>
    <row r="3648" spans="1:16" x14ac:dyDescent="0.25">
      <c r="A3648" t="s">
        <v>1508</v>
      </c>
      <c r="B3648">
        <v>8057045</v>
      </c>
      <c r="C3648" t="s">
        <v>6524</v>
      </c>
      <c r="D3648" t="s">
        <v>221</v>
      </c>
      <c r="E3648" s="13">
        <v>15250</v>
      </c>
      <c r="F3648" s="12">
        <v>1.94</v>
      </c>
      <c r="G3648" t="str">
        <f>IFERROR(INDEX(tEditais[Órgão],MATCH(tItens[[#This Row],[Edital]],tEditais[Edital],0)),"")</f>
        <v>MUNICIPIO DE FORMIGA</v>
      </c>
      <c r="H3648" t="str">
        <f>IFERROR(INDEX(tEditais[UF],MATCH(tItens[[#This Row],[Edital]],tEditais[Edital],0)),"")</f>
        <v>MG</v>
      </c>
      <c r="I3648" s="11">
        <f>IFERROR(INDEX(tEditais[Encerramento],MATCH(tItens[[#This Row],[Edital]],tEditais[Edital],0)),"")</f>
        <v>46310.354861111111</v>
      </c>
      <c r="J3648" t="str">
        <f>IFERROR(INDEX(tProdutos[Classe],MATCH(tItens[[#This Row],[Produto]],tProdutos[Produto],0)),"produto não cadastrado")</f>
        <v>FORA</v>
      </c>
      <c r="K3648" s="12">
        <f>tItens[[#This Row],[Qtd]]*tItens[[#This Row],[Vlr unit]]</f>
        <v>29585</v>
      </c>
      <c r="L3648" s="6">
        <f>IFERROR(IF(INDEX(tProdutos[Desconto homologado],MATCH(tItens[[#This Row],[Produto]],tProdutos[Produto],0))="",DescontoPadrao,INDEX(tProdutos[Desconto homologado],MATCH(tItens[[#This Row],[Produto]],tProdutos[Produto],0))),DescontoPadrao)</f>
        <v>0.35408560311283999</v>
      </c>
      <c r="M3648" s="12">
        <f>tItens[[#This Row],[Valor]]*(1-tItens[[#This Row],[Desconto]])</f>
        <v>19109.377431906629</v>
      </c>
      <c r="N3648" t="str">
        <f>IFERROR(INDEX(tProdutos[Foco],MATCH(tItens[[#This Row],[Produto]],tProdutos[Produto],0)),"Não")</f>
        <v>Não</v>
      </c>
      <c r="O3648" t="str">
        <f>IFERROR(INDEX(tEditais[SRP],MATCH(tItens[[#This Row],[Edital]],tEditais[Edital],0)),"Não")</f>
        <v>Não</v>
      </c>
      <c r="P3648" s="4">
        <f>IF(COUNTIFS(INDEX(tItens[Edital],1):tItens[[#This Row],[Edital]],tItens[[#This Row],[Edital]],INDEX(tItens[Produto],1):tItens[[#This Row],[Produto]],tItens[[#This Row],[Produto]])=1,1,0)</f>
        <v>0</v>
      </c>
    </row>
    <row r="3649" spans="1:16" x14ac:dyDescent="0.25">
      <c r="A3649" t="s">
        <v>1508</v>
      </c>
      <c r="B3649">
        <v>8057046</v>
      </c>
      <c r="C3649" t="s">
        <v>6524</v>
      </c>
      <c r="D3649" t="s">
        <v>221</v>
      </c>
      <c r="E3649" s="13">
        <v>45750</v>
      </c>
      <c r="F3649" s="12">
        <v>1.94</v>
      </c>
      <c r="G3649" t="str">
        <f>IFERROR(INDEX(tEditais[Órgão],MATCH(tItens[[#This Row],[Edital]],tEditais[Edital],0)),"")</f>
        <v>MUNICIPIO DE FORMIGA</v>
      </c>
      <c r="H3649" t="str">
        <f>IFERROR(INDEX(tEditais[UF],MATCH(tItens[[#This Row],[Edital]],tEditais[Edital],0)),"")</f>
        <v>MG</v>
      </c>
      <c r="I3649" s="11">
        <f>IFERROR(INDEX(tEditais[Encerramento],MATCH(tItens[[#This Row],[Edital]],tEditais[Edital],0)),"")</f>
        <v>46310.354861111111</v>
      </c>
      <c r="J3649" t="str">
        <f>IFERROR(INDEX(tProdutos[Classe],MATCH(tItens[[#This Row],[Produto]],tProdutos[Produto],0)),"produto não cadastrado")</f>
        <v>FORA</v>
      </c>
      <c r="K3649" s="12">
        <f>tItens[[#This Row],[Qtd]]*tItens[[#This Row],[Vlr unit]]</f>
        <v>88755</v>
      </c>
      <c r="L3649" s="6">
        <f>IFERROR(IF(INDEX(tProdutos[Desconto homologado],MATCH(tItens[[#This Row],[Produto]],tProdutos[Produto],0))="",DescontoPadrao,INDEX(tProdutos[Desconto homologado],MATCH(tItens[[#This Row],[Produto]],tProdutos[Produto],0))),DescontoPadrao)</f>
        <v>0.35408560311283999</v>
      </c>
      <c r="M3649" s="12">
        <f>tItens[[#This Row],[Valor]]*(1-tItens[[#This Row],[Desconto]])</f>
        <v>57328.132295719886</v>
      </c>
      <c r="N3649" t="str">
        <f>IFERROR(INDEX(tProdutos[Foco],MATCH(tItens[[#This Row],[Produto]],tProdutos[Produto],0)),"Não")</f>
        <v>Não</v>
      </c>
      <c r="O3649" t="str">
        <f>IFERROR(INDEX(tEditais[SRP],MATCH(tItens[[#This Row],[Edital]],tEditais[Edital],0)),"Não")</f>
        <v>Não</v>
      </c>
      <c r="P3649" s="4">
        <f>IF(COUNTIFS(INDEX(tItens[Edital],1):tItens[[#This Row],[Edital]],tItens[[#This Row],[Edital]],INDEX(tItens[Produto],1):tItens[[#This Row],[Produto]],tItens[[#This Row],[Produto]])=1,1,0)</f>
        <v>0</v>
      </c>
    </row>
    <row r="3650" spans="1:16" x14ac:dyDescent="0.25">
      <c r="A3650" t="s">
        <v>1508</v>
      </c>
      <c r="B3650">
        <v>8057047</v>
      </c>
      <c r="C3650" t="s">
        <v>6525</v>
      </c>
      <c r="D3650" t="s">
        <v>73</v>
      </c>
      <c r="E3650" s="13">
        <v>2000</v>
      </c>
      <c r="F3650" s="12">
        <v>2.25</v>
      </c>
      <c r="G3650" t="str">
        <f>IFERROR(INDEX(tEditais[Órgão],MATCH(tItens[[#This Row],[Edital]],tEditais[Edital],0)),"")</f>
        <v>MUNICIPIO DE FORMIGA</v>
      </c>
      <c r="H3650" t="str">
        <f>IFERROR(INDEX(tEditais[UF],MATCH(tItens[[#This Row],[Edital]],tEditais[Edital],0)),"")</f>
        <v>MG</v>
      </c>
      <c r="I3650" s="11">
        <f>IFERROR(INDEX(tEditais[Encerramento],MATCH(tItens[[#This Row],[Edital]],tEditais[Edital],0)),"")</f>
        <v>46310.354861111111</v>
      </c>
      <c r="J3650" t="str">
        <f>IFERROR(INDEX(tProdutos[Classe],MATCH(tItens[[#This Row],[Produto]],tProdutos[Produto],0)),"produto não cadastrado")</f>
        <v>NÚCLEO</v>
      </c>
      <c r="K3650" s="12">
        <f>tItens[[#This Row],[Qtd]]*tItens[[#This Row],[Vlr unit]]</f>
        <v>4500</v>
      </c>
      <c r="L3650" s="6">
        <f>IFERROR(IF(INDEX(tProdutos[Desconto homologado],MATCH(tItens[[#This Row],[Produto]],tProdutos[Produto],0))="",DescontoPadrao,INDEX(tProdutos[Desconto homologado],MATCH(tItens[[#This Row],[Produto]],tProdutos[Produto],0))),DescontoPadrao)</f>
        <v>0.37</v>
      </c>
      <c r="M3650" s="12">
        <f>tItens[[#This Row],[Valor]]*(1-tItens[[#This Row],[Desconto]])</f>
        <v>2835</v>
      </c>
      <c r="N3650" t="str">
        <f>IFERROR(INDEX(tProdutos[Foco],MATCH(tItens[[#This Row],[Produto]],tProdutos[Produto],0)),"Não")</f>
        <v>Sim</v>
      </c>
      <c r="O3650" t="str">
        <f>IFERROR(INDEX(tEditais[SRP],MATCH(tItens[[#This Row],[Edital]],tEditais[Edital],0)),"Não")</f>
        <v>Não</v>
      </c>
      <c r="P3650" s="4">
        <f>IF(COUNTIFS(INDEX(tItens[Edital],1):tItens[[#This Row],[Edital]],tItens[[#This Row],[Edital]],INDEX(tItens[Produto],1):tItens[[#This Row],[Produto]],tItens[[#This Row],[Produto]])=1,1,0)</f>
        <v>1</v>
      </c>
    </row>
    <row r="3651" spans="1:16" x14ac:dyDescent="0.25">
      <c r="A3651" t="s">
        <v>1508</v>
      </c>
      <c r="B3651">
        <v>8057052</v>
      </c>
      <c r="C3651" t="s">
        <v>6526</v>
      </c>
      <c r="D3651" t="s">
        <v>641</v>
      </c>
      <c r="E3651" s="13">
        <v>20</v>
      </c>
      <c r="F3651" s="12">
        <v>55.71</v>
      </c>
      <c r="G3651" t="str">
        <f>IFERROR(INDEX(tEditais[Órgão],MATCH(tItens[[#This Row],[Edital]],tEditais[Edital],0)),"")</f>
        <v>MUNICIPIO DE FORMIGA</v>
      </c>
      <c r="H3651" t="str">
        <f>IFERROR(INDEX(tEditais[UF],MATCH(tItens[[#This Row],[Edital]],tEditais[Edital],0)),"")</f>
        <v>MG</v>
      </c>
      <c r="I3651" s="11">
        <f>IFERROR(INDEX(tEditais[Encerramento],MATCH(tItens[[#This Row],[Edital]],tEditais[Edital],0)),"")</f>
        <v>46310.354861111111</v>
      </c>
      <c r="J3651" t="str">
        <f>IFERROR(INDEX(tProdutos[Classe],MATCH(tItens[[#This Row],[Produto]],tProdutos[Produto],0)),"produto não cadastrado")</f>
        <v>FILA REBASE</v>
      </c>
      <c r="K3651" s="12">
        <f>tItens[[#This Row],[Qtd]]*tItens[[#This Row],[Vlr unit]]</f>
        <v>1114.2</v>
      </c>
      <c r="L3651" s="6">
        <f>IFERROR(IF(INDEX(tProdutos[Desconto homologado],MATCH(tItens[[#This Row],[Produto]],tProdutos[Produto],0))="",DescontoPadrao,INDEX(tProdutos[Desconto homologado],MATCH(tItens[[#This Row],[Produto]],tProdutos[Produto],0))),DescontoPadrao)</f>
        <v>0.3</v>
      </c>
      <c r="M3651" s="12">
        <f>tItens[[#This Row],[Valor]]*(1-tItens[[#This Row],[Desconto]])</f>
        <v>779.93999999999994</v>
      </c>
      <c r="N3651" t="str">
        <f>IFERROR(INDEX(tProdutos[Foco],MATCH(tItens[[#This Row],[Produto]],tProdutos[Produto],0)),"Não")</f>
        <v>Não</v>
      </c>
      <c r="O3651" t="str">
        <f>IFERROR(INDEX(tEditais[SRP],MATCH(tItens[[#This Row],[Edital]],tEditais[Edital],0)),"Não")</f>
        <v>Não</v>
      </c>
      <c r="P3651" s="4">
        <f>IF(COUNTIFS(INDEX(tItens[Edital],1):tItens[[#This Row],[Edital]],tItens[[#This Row],[Edital]],INDEX(tItens[Produto],1):tItens[[#This Row],[Produto]],tItens[[#This Row],[Produto]])=1,1,0)</f>
        <v>1</v>
      </c>
    </row>
    <row r="3652" spans="1:16" x14ac:dyDescent="0.25">
      <c r="A3652" t="s">
        <v>1508</v>
      </c>
      <c r="B3652">
        <v>8057059</v>
      </c>
      <c r="C3652" t="s">
        <v>6527</v>
      </c>
      <c r="D3652" t="s">
        <v>229</v>
      </c>
      <c r="E3652" s="13">
        <v>1000</v>
      </c>
      <c r="F3652" s="12">
        <v>1.1299999999999999</v>
      </c>
      <c r="G3652" t="str">
        <f>IFERROR(INDEX(tEditais[Órgão],MATCH(tItens[[#This Row],[Edital]],tEditais[Edital],0)),"")</f>
        <v>MUNICIPIO DE FORMIGA</v>
      </c>
      <c r="H3652" t="str">
        <f>IFERROR(INDEX(tEditais[UF],MATCH(tItens[[#This Row],[Edital]],tEditais[Edital],0)),"")</f>
        <v>MG</v>
      </c>
      <c r="I3652" s="11">
        <f>IFERROR(INDEX(tEditais[Encerramento],MATCH(tItens[[#This Row],[Edital]],tEditais[Edital],0)),"")</f>
        <v>46310.354861111111</v>
      </c>
      <c r="J3652" t="str">
        <f>IFERROR(INDEX(tProdutos[Classe],MATCH(tItens[[#This Row],[Produto]],tProdutos[Produto],0)),"produto não cadastrado")</f>
        <v>FORA</v>
      </c>
      <c r="K3652" s="12">
        <f>tItens[[#This Row],[Qtd]]*tItens[[#This Row],[Vlr unit]]</f>
        <v>1130</v>
      </c>
      <c r="L3652" s="6">
        <f>IFERROR(IF(INDEX(tProdutos[Desconto homologado],MATCH(tItens[[#This Row],[Produto]],tProdutos[Produto],0))="",DescontoPadrao,INDEX(tProdutos[Desconto homologado],MATCH(tItens[[#This Row],[Produto]],tProdutos[Produto],0))),DescontoPadrao)</f>
        <v>0.33093491191658198</v>
      </c>
      <c r="M3652" s="12">
        <f>tItens[[#This Row],[Valor]]*(1-tItens[[#This Row],[Desconto]])</f>
        <v>756.04354953426241</v>
      </c>
      <c r="N3652" t="str">
        <f>IFERROR(INDEX(tProdutos[Foco],MATCH(tItens[[#This Row],[Produto]],tProdutos[Produto],0)),"Não")</f>
        <v>Não</v>
      </c>
      <c r="O3652" t="str">
        <f>IFERROR(INDEX(tEditais[SRP],MATCH(tItens[[#This Row],[Edital]],tEditais[Edital],0)),"Não")</f>
        <v>Não</v>
      </c>
      <c r="P3652" s="4">
        <f>IF(COUNTIFS(INDEX(tItens[Edital],1):tItens[[#This Row],[Edital]],tItens[[#This Row],[Edital]],INDEX(tItens[Produto],1):tItens[[#This Row],[Produto]],tItens[[#This Row],[Produto]])=1,1,0)</f>
        <v>1</v>
      </c>
    </row>
    <row r="3653" spans="1:16" x14ac:dyDescent="0.25">
      <c r="A3653" t="s">
        <v>1508</v>
      </c>
      <c r="B3653">
        <v>8057060</v>
      </c>
      <c r="C3653" t="s">
        <v>6527</v>
      </c>
      <c r="D3653" t="s">
        <v>229</v>
      </c>
      <c r="E3653" s="13">
        <v>20252</v>
      </c>
      <c r="F3653" s="12">
        <v>1.1299999999999999</v>
      </c>
      <c r="G3653" t="str">
        <f>IFERROR(INDEX(tEditais[Órgão],MATCH(tItens[[#This Row],[Edital]],tEditais[Edital],0)),"")</f>
        <v>MUNICIPIO DE FORMIGA</v>
      </c>
      <c r="H3653" t="str">
        <f>IFERROR(INDEX(tEditais[UF],MATCH(tItens[[#This Row],[Edital]],tEditais[Edital],0)),"")</f>
        <v>MG</v>
      </c>
      <c r="I3653" s="11">
        <f>IFERROR(INDEX(tEditais[Encerramento],MATCH(tItens[[#This Row],[Edital]],tEditais[Edital],0)),"")</f>
        <v>46310.354861111111</v>
      </c>
      <c r="J3653" t="str">
        <f>IFERROR(INDEX(tProdutos[Classe],MATCH(tItens[[#This Row],[Produto]],tProdutos[Produto],0)),"produto não cadastrado")</f>
        <v>FORA</v>
      </c>
      <c r="K3653" s="12">
        <f>tItens[[#This Row],[Qtd]]*tItens[[#This Row],[Vlr unit]]</f>
        <v>22884.76</v>
      </c>
      <c r="L3653" s="6">
        <f>IFERROR(IF(INDEX(tProdutos[Desconto homologado],MATCH(tItens[[#This Row],[Produto]],tProdutos[Produto],0))="",DescontoPadrao,INDEX(tProdutos[Desconto homologado],MATCH(tItens[[#This Row],[Produto]],tProdutos[Produto],0))),DescontoPadrao)</f>
        <v>0.33093491191658198</v>
      </c>
      <c r="M3653" s="12">
        <f>tItens[[#This Row],[Valor]]*(1-tItens[[#This Row],[Desconto]])</f>
        <v>15311.393965167881</v>
      </c>
      <c r="N3653" t="str">
        <f>IFERROR(INDEX(tProdutos[Foco],MATCH(tItens[[#This Row],[Produto]],tProdutos[Produto],0)),"Não")</f>
        <v>Não</v>
      </c>
      <c r="O3653" t="str">
        <f>IFERROR(INDEX(tEditais[SRP],MATCH(tItens[[#This Row],[Edital]],tEditais[Edital],0)),"Não")</f>
        <v>Não</v>
      </c>
      <c r="P3653" s="4">
        <f>IF(COUNTIFS(INDEX(tItens[Edital],1):tItens[[#This Row],[Edital]],tItens[[#This Row],[Edital]],INDEX(tItens[Produto],1):tItens[[#This Row],[Produto]],tItens[[#This Row],[Produto]])=1,1,0)</f>
        <v>0</v>
      </c>
    </row>
    <row r="3654" spans="1:16" x14ac:dyDescent="0.25">
      <c r="A3654" t="s">
        <v>1508</v>
      </c>
      <c r="B3654">
        <v>8057061</v>
      </c>
      <c r="C3654" t="s">
        <v>6527</v>
      </c>
      <c r="D3654" t="s">
        <v>229</v>
      </c>
      <c r="E3654" s="13">
        <v>60758</v>
      </c>
      <c r="F3654" s="12">
        <v>1.1299999999999999</v>
      </c>
      <c r="G3654" t="str">
        <f>IFERROR(INDEX(tEditais[Órgão],MATCH(tItens[[#This Row],[Edital]],tEditais[Edital],0)),"")</f>
        <v>MUNICIPIO DE FORMIGA</v>
      </c>
      <c r="H3654" t="str">
        <f>IFERROR(INDEX(tEditais[UF],MATCH(tItens[[#This Row],[Edital]],tEditais[Edital],0)),"")</f>
        <v>MG</v>
      </c>
      <c r="I3654" s="11">
        <f>IFERROR(INDEX(tEditais[Encerramento],MATCH(tItens[[#This Row],[Edital]],tEditais[Edital],0)),"")</f>
        <v>46310.354861111111</v>
      </c>
      <c r="J3654" t="str">
        <f>IFERROR(INDEX(tProdutos[Classe],MATCH(tItens[[#This Row],[Produto]],tProdutos[Produto],0)),"produto não cadastrado")</f>
        <v>FORA</v>
      </c>
      <c r="K3654" s="12">
        <f>tItens[[#This Row],[Qtd]]*tItens[[#This Row],[Vlr unit]]</f>
        <v>68656.539999999994</v>
      </c>
      <c r="L3654" s="6">
        <f>IFERROR(IF(INDEX(tProdutos[Desconto homologado],MATCH(tItens[[#This Row],[Produto]],tProdutos[Produto],0))="",DescontoPadrao,INDEX(tProdutos[Desconto homologado],MATCH(tItens[[#This Row],[Produto]],tProdutos[Produto],0))),DescontoPadrao)</f>
        <v>0.33093491191658198</v>
      </c>
      <c r="M3654" s="12">
        <f>tItens[[#This Row],[Valor]]*(1-tItens[[#This Row],[Desconto]])</f>
        <v>45935.693982602708</v>
      </c>
      <c r="N3654" t="str">
        <f>IFERROR(INDEX(tProdutos[Foco],MATCH(tItens[[#This Row],[Produto]],tProdutos[Produto],0)),"Não")</f>
        <v>Não</v>
      </c>
      <c r="O3654" t="str">
        <f>IFERROR(INDEX(tEditais[SRP],MATCH(tItens[[#This Row],[Edital]],tEditais[Edital],0)),"Não")</f>
        <v>Não</v>
      </c>
      <c r="P3654" s="4">
        <f>IF(COUNTIFS(INDEX(tItens[Edital],1):tItens[[#This Row],[Edital]],tItens[[#This Row],[Edital]],INDEX(tItens[Produto],1):tItens[[#This Row],[Produto]],tItens[[#This Row],[Produto]])=1,1,0)</f>
        <v>0</v>
      </c>
    </row>
    <row r="3655" spans="1:16" x14ac:dyDescent="0.25">
      <c r="A3655" t="s">
        <v>1508</v>
      </c>
      <c r="B3655">
        <v>8057062</v>
      </c>
      <c r="C3655" t="s">
        <v>6528</v>
      </c>
      <c r="D3655" t="s">
        <v>187</v>
      </c>
      <c r="E3655" s="13">
        <v>20400</v>
      </c>
      <c r="F3655" s="12">
        <v>1.61</v>
      </c>
      <c r="G3655" t="str">
        <f>IFERROR(INDEX(tEditais[Órgão],MATCH(tItens[[#This Row],[Edital]],tEditais[Edital],0)),"")</f>
        <v>MUNICIPIO DE FORMIGA</v>
      </c>
      <c r="H3655" t="str">
        <f>IFERROR(INDEX(tEditais[UF],MATCH(tItens[[#This Row],[Edital]],tEditais[Edital],0)),"")</f>
        <v>MG</v>
      </c>
      <c r="I3655" s="11">
        <f>IFERROR(INDEX(tEditais[Encerramento],MATCH(tItens[[#This Row],[Edital]],tEditais[Edital],0)),"")</f>
        <v>46310.354861111111</v>
      </c>
      <c r="J3655" t="str">
        <f>IFERROR(INDEX(tProdutos[Classe],MATCH(tItens[[#This Row],[Produto]],tProdutos[Produto],0)),"produto não cadastrado")</f>
        <v>DISPUTADO</v>
      </c>
      <c r="K3655" s="12">
        <f>tItens[[#This Row],[Qtd]]*tItens[[#This Row],[Vlr unit]]</f>
        <v>32844</v>
      </c>
      <c r="L3655" s="6">
        <f>IFERROR(IF(INDEX(tProdutos[Desconto homologado],MATCH(tItens[[#This Row],[Produto]],tProdutos[Produto],0))="",DescontoPadrao,INDEX(tProdutos[Desconto homologado],MATCH(tItens[[#This Row],[Produto]],tProdutos[Produto],0))),DescontoPadrao)</f>
        <v>0.44298820445609399</v>
      </c>
      <c r="M3655" s="12">
        <f>tItens[[#This Row],[Valor]]*(1-tItens[[#This Row],[Desconto]])</f>
        <v>18294.495412844048</v>
      </c>
      <c r="N3655" t="str">
        <f>IFERROR(INDEX(tProdutos[Foco],MATCH(tItens[[#This Row],[Produto]],tProdutos[Produto],0)),"Não")</f>
        <v>Não</v>
      </c>
      <c r="O3655" t="str">
        <f>IFERROR(INDEX(tEditais[SRP],MATCH(tItens[[#This Row],[Edital]],tEditais[Edital],0)),"Não")</f>
        <v>Não</v>
      </c>
      <c r="P3655" s="4">
        <f>IF(COUNTIFS(INDEX(tItens[Edital],1):tItens[[#This Row],[Edital]],tItens[[#This Row],[Edital]],INDEX(tItens[Produto],1):tItens[[#This Row],[Produto]],tItens[[#This Row],[Produto]])=1,1,0)</f>
        <v>1</v>
      </c>
    </row>
    <row r="3656" spans="1:16" x14ac:dyDescent="0.25">
      <c r="A3656" t="s">
        <v>1508</v>
      </c>
      <c r="B3656">
        <v>8057064</v>
      </c>
      <c r="C3656" t="s">
        <v>6529</v>
      </c>
      <c r="D3656" t="s">
        <v>90</v>
      </c>
      <c r="E3656" s="13">
        <v>2120</v>
      </c>
      <c r="F3656" s="12">
        <v>13.24</v>
      </c>
      <c r="G3656" t="str">
        <f>IFERROR(INDEX(tEditais[Órgão],MATCH(tItens[[#This Row],[Edital]],tEditais[Edital],0)),"")</f>
        <v>MUNICIPIO DE FORMIGA</v>
      </c>
      <c r="H3656" t="str">
        <f>IFERROR(INDEX(tEditais[UF],MATCH(tItens[[#This Row],[Edital]],tEditais[Edital],0)),"")</f>
        <v>MG</v>
      </c>
      <c r="I3656" s="11">
        <f>IFERROR(INDEX(tEditais[Encerramento],MATCH(tItens[[#This Row],[Edital]],tEditais[Edital],0)),"")</f>
        <v>46310.354861111111</v>
      </c>
      <c r="J3656" t="str">
        <f>IFERROR(INDEX(tProdutos[Classe],MATCH(tItens[[#This Row],[Produto]],tProdutos[Produto],0)),"produto não cadastrado")</f>
        <v>DISPUTADO</v>
      </c>
      <c r="K3656" s="12">
        <f>tItens[[#This Row],[Qtd]]*tItens[[#This Row],[Vlr unit]]</f>
        <v>28068.799999999999</v>
      </c>
      <c r="L3656" s="6">
        <f>IFERROR(IF(INDEX(tProdutos[Desconto homologado],MATCH(tItens[[#This Row],[Produto]],tProdutos[Produto],0))="",DescontoPadrao,INDEX(tProdutos[Desconto homologado],MATCH(tItens[[#This Row],[Produto]],tProdutos[Produto],0))),DescontoPadrao)</f>
        <v>0.25393823957010597</v>
      </c>
      <c r="M3656" s="12">
        <f>tItens[[#This Row],[Valor]]*(1-tItens[[#This Row],[Desconto]])</f>
        <v>20941.05834115461</v>
      </c>
      <c r="N3656" t="str">
        <f>IFERROR(INDEX(tProdutos[Foco],MATCH(tItens[[#This Row],[Produto]],tProdutos[Produto],0)),"Não")</f>
        <v>Não</v>
      </c>
      <c r="O3656" t="str">
        <f>IFERROR(INDEX(tEditais[SRP],MATCH(tItens[[#This Row],[Edital]],tEditais[Edital],0)),"Não")</f>
        <v>Não</v>
      </c>
      <c r="P3656" s="4">
        <f>IF(COUNTIFS(INDEX(tItens[Edital],1):tItens[[#This Row],[Edital]],tItens[[#This Row],[Edital]],INDEX(tItens[Produto],1):tItens[[#This Row],[Produto]],tItens[[#This Row],[Produto]])=1,1,0)</f>
        <v>1</v>
      </c>
    </row>
    <row r="3657" spans="1:16" x14ac:dyDescent="0.25">
      <c r="A3657" t="s">
        <v>1508</v>
      </c>
      <c r="B3657">
        <v>8057065</v>
      </c>
      <c r="C3657" t="s">
        <v>6529</v>
      </c>
      <c r="D3657" t="s">
        <v>90</v>
      </c>
      <c r="E3657" s="13">
        <v>6360</v>
      </c>
      <c r="F3657" s="12">
        <v>13.24</v>
      </c>
      <c r="G3657" t="str">
        <f>IFERROR(INDEX(tEditais[Órgão],MATCH(tItens[[#This Row],[Edital]],tEditais[Edital],0)),"")</f>
        <v>MUNICIPIO DE FORMIGA</v>
      </c>
      <c r="H3657" t="str">
        <f>IFERROR(INDEX(tEditais[UF],MATCH(tItens[[#This Row],[Edital]],tEditais[Edital],0)),"")</f>
        <v>MG</v>
      </c>
      <c r="I3657" s="11">
        <f>IFERROR(INDEX(tEditais[Encerramento],MATCH(tItens[[#This Row],[Edital]],tEditais[Edital],0)),"")</f>
        <v>46310.354861111111</v>
      </c>
      <c r="J3657" t="str">
        <f>IFERROR(INDEX(tProdutos[Classe],MATCH(tItens[[#This Row],[Produto]],tProdutos[Produto],0)),"produto não cadastrado")</f>
        <v>DISPUTADO</v>
      </c>
      <c r="K3657" s="12">
        <f>tItens[[#This Row],[Qtd]]*tItens[[#This Row],[Vlr unit]]</f>
        <v>84206.399999999994</v>
      </c>
      <c r="L3657" s="6">
        <f>IFERROR(IF(INDEX(tProdutos[Desconto homologado],MATCH(tItens[[#This Row],[Produto]],tProdutos[Produto],0))="",DescontoPadrao,INDEX(tProdutos[Desconto homologado],MATCH(tItens[[#This Row],[Produto]],tProdutos[Produto],0))),DescontoPadrao)</f>
        <v>0.25393823957010597</v>
      </c>
      <c r="M3657" s="12">
        <f>tItens[[#This Row],[Valor]]*(1-tItens[[#This Row],[Desconto]])</f>
        <v>62823.175023463824</v>
      </c>
      <c r="N3657" t="str">
        <f>IFERROR(INDEX(tProdutos[Foco],MATCH(tItens[[#This Row],[Produto]],tProdutos[Produto],0)),"Não")</f>
        <v>Não</v>
      </c>
      <c r="O3657" t="str">
        <f>IFERROR(INDEX(tEditais[SRP],MATCH(tItens[[#This Row],[Edital]],tEditais[Edital],0)),"Não")</f>
        <v>Não</v>
      </c>
      <c r="P3657" s="4">
        <f>IF(COUNTIFS(INDEX(tItens[Edital],1):tItens[[#This Row],[Edital]],tItens[[#This Row],[Edital]],INDEX(tItens[Produto],1):tItens[[#This Row],[Produto]],tItens[[#This Row],[Produto]])=1,1,0)</f>
        <v>0</v>
      </c>
    </row>
    <row r="3658" spans="1:16" x14ac:dyDescent="0.25">
      <c r="A3658" t="s">
        <v>1508</v>
      </c>
      <c r="B3658">
        <v>8057066</v>
      </c>
      <c r="C3658" t="s">
        <v>6530</v>
      </c>
      <c r="D3658" t="s">
        <v>233</v>
      </c>
      <c r="E3658" s="13">
        <v>1000</v>
      </c>
      <c r="F3658" s="12">
        <v>11.57</v>
      </c>
      <c r="G3658" t="str">
        <f>IFERROR(INDEX(tEditais[Órgão],MATCH(tItens[[#This Row],[Edital]],tEditais[Edital],0)),"")</f>
        <v>MUNICIPIO DE FORMIGA</v>
      </c>
      <c r="H3658" t="str">
        <f>IFERROR(INDEX(tEditais[UF],MATCH(tItens[[#This Row],[Edital]],tEditais[Edital],0)),"")</f>
        <v>MG</v>
      </c>
      <c r="I3658" s="11">
        <f>IFERROR(INDEX(tEditais[Encerramento],MATCH(tItens[[#This Row],[Edital]],tEditais[Edital],0)),"")</f>
        <v>46310.354861111111</v>
      </c>
      <c r="J3658" t="str">
        <f>IFERROR(INDEX(tProdutos[Classe],MATCH(tItens[[#This Row],[Produto]],tProdutos[Produto],0)),"produto não cadastrado")</f>
        <v>FORA</v>
      </c>
      <c r="K3658" s="12">
        <f>tItens[[#This Row],[Qtd]]*tItens[[#This Row],[Vlr unit]]</f>
        <v>11570</v>
      </c>
      <c r="L3658" s="6">
        <f>IFERROR(IF(INDEX(tProdutos[Desconto homologado],MATCH(tItens[[#This Row],[Produto]],tProdutos[Produto],0))="",DescontoPadrao,INDEX(tProdutos[Desconto homologado],MATCH(tItens[[#This Row],[Produto]],tProdutos[Produto],0))),DescontoPadrao)</f>
        <v>0.246270084162204</v>
      </c>
      <c r="M3658" s="12">
        <f>tItens[[#This Row],[Valor]]*(1-tItens[[#This Row],[Desconto]])</f>
        <v>8720.6551262433004</v>
      </c>
      <c r="N3658" t="str">
        <f>IFERROR(INDEX(tProdutos[Foco],MATCH(tItens[[#This Row],[Produto]],tProdutos[Produto],0)),"Não")</f>
        <v>Não</v>
      </c>
      <c r="O3658" t="str">
        <f>IFERROR(INDEX(tEditais[SRP],MATCH(tItens[[#This Row],[Edital]],tEditais[Edital],0)),"Não")</f>
        <v>Não</v>
      </c>
      <c r="P3658" s="4">
        <f>IF(COUNTIFS(INDEX(tItens[Edital],1):tItens[[#This Row],[Edital]],tItens[[#This Row],[Edital]],INDEX(tItens[Produto],1):tItens[[#This Row],[Produto]],tItens[[#This Row],[Produto]])=1,1,0)</f>
        <v>1</v>
      </c>
    </row>
    <row r="3659" spans="1:16" x14ac:dyDescent="0.25">
      <c r="A3659" t="s">
        <v>1508</v>
      </c>
      <c r="B3659">
        <v>8057077</v>
      </c>
      <c r="C3659" t="s">
        <v>6531</v>
      </c>
      <c r="D3659" t="s">
        <v>136</v>
      </c>
      <c r="E3659" s="13">
        <v>500</v>
      </c>
      <c r="F3659" s="12">
        <v>14.56</v>
      </c>
      <c r="G3659" t="str">
        <f>IFERROR(INDEX(tEditais[Órgão],MATCH(tItens[[#This Row],[Edital]],tEditais[Edital],0)),"")</f>
        <v>MUNICIPIO DE FORMIGA</v>
      </c>
      <c r="H3659" t="str">
        <f>IFERROR(INDEX(tEditais[UF],MATCH(tItens[[#This Row],[Edital]],tEditais[Edital],0)),"")</f>
        <v>MG</v>
      </c>
      <c r="I3659" s="11">
        <f>IFERROR(INDEX(tEditais[Encerramento],MATCH(tItens[[#This Row],[Edital]],tEditais[Edital],0)),"")</f>
        <v>46310.354861111111</v>
      </c>
      <c r="J3659" t="str">
        <f>IFERROR(INDEX(tProdutos[Classe],MATCH(tItens[[#This Row],[Produto]],tProdutos[Produto],0)),"produto não cadastrado")</f>
        <v>DISPUTADO</v>
      </c>
      <c r="K3659" s="12">
        <f>tItens[[#This Row],[Qtd]]*tItens[[#This Row],[Vlr unit]]</f>
        <v>7280</v>
      </c>
      <c r="L3659" s="6">
        <f>IFERROR(IF(INDEX(tProdutos[Desconto homologado],MATCH(tItens[[#This Row],[Produto]],tProdutos[Produto],0))="",DescontoPadrao,INDEX(tProdutos[Desconto homologado],MATCH(tItens[[#This Row],[Produto]],tProdutos[Produto],0))),DescontoPadrao)</f>
        <v>0.330646209370899</v>
      </c>
      <c r="M3659" s="12">
        <f>tItens[[#This Row],[Valor]]*(1-tItens[[#This Row],[Desconto]])</f>
        <v>4872.8955957798553</v>
      </c>
      <c r="N3659" t="str">
        <f>IFERROR(INDEX(tProdutos[Foco],MATCH(tItens[[#This Row],[Produto]],tProdutos[Produto],0)),"Não")</f>
        <v>Não</v>
      </c>
      <c r="O3659" t="str">
        <f>IFERROR(INDEX(tEditais[SRP],MATCH(tItens[[#This Row],[Edital]],tEditais[Edital],0)),"Não")</f>
        <v>Não</v>
      </c>
      <c r="P3659" s="4">
        <f>IF(COUNTIFS(INDEX(tItens[Edital],1):tItens[[#This Row],[Edital]],tItens[[#This Row],[Edital]],INDEX(tItens[Produto],1):tItens[[#This Row],[Produto]],tItens[[#This Row],[Produto]])=1,1,0)</f>
        <v>1</v>
      </c>
    </row>
    <row r="3660" spans="1:16" x14ac:dyDescent="0.25">
      <c r="A3660" t="s">
        <v>1508</v>
      </c>
      <c r="B3660">
        <v>8057080</v>
      </c>
      <c r="C3660" t="s">
        <v>6532</v>
      </c>
      <c r="D3660" t="s">
        <v>189</v>
      </c>
      <c r="E3660" s="13">
        <v>102</v>
      </c>
      <c r="F3660" s="12">
        <v>132.87</v>
      </c>
      <c r="G3660" t="str">
        <f>IFERROR(INDEX(tEditais[Órgão],MATCH(tItens[[#This Row],[Edital]],tEditais[Edital],0)),"")</f>
        <v>MUNICIPIO DE FORMIGA</v>
      </c>
      <c r="H3660" t="str">
        <f>IFERROR(INDEX(tEditais[UF],MATCH(tItens[[#This Row],[Edital]],tEditais[Edital],0)),"")</f>
        <v>MG</v>
      </c>
      <c r="I3660" s="11">
        <f>IFERROR(INDEX(tEditais[Encerramento],MATCH(tItens[[#This Row],[Edital]],tEditais[Edital],0)),"")</f>
        <v>46310.354861111111</v>
      </c>
      <c r="J3660" t="str">
        <f>IFERROR(INDEX(tProdutos[Classe],MATCH(tItens[[#This Row],[Produto]],tProdutos[Produto],0)),"produto não cadastrado")</f>
        <v>DISPUTADO</v>
      </c>
      <c r="K3660" s="12">
        <f>tItens[[#This Row],[Qtd]]*tItens[[#This Row],[Vlr unit]]</f>
        <v>13552.74</v>
      </c>
      <c r="L3660" s="6">
        <f>IFERROR(IF(INDEX(tProdutos[Desconto homologado],MATCH(tItens[[#This Row],[Produto]],tProdutos[Produto],0))="",DescontoPadrao,INDEX(tProdutos[Desconto homologado],MATCH(tItens[[#This Row],[Produto]],tProdutos[Produto],0))),DescontoPadrao)</f>
        <v>0.33088052268966101</v>
      </c>
      <c r="M3660" s="12">
        <f>tItens[[#This Row],[Valor]]*(1-tItens[[#This Row],[Desconto]])</f>
        <v>9068.4023049229236</v>
      </c>
      <c r="N3660" t="str">
        <f>IFERROR(INDEX(tProdutos[Foco],MATCH(tItens[[#This Row],[Produto]],tProdutos[Produto],0)),"Não")</f>
        <v>Não</v>
      </c>
      <c r="O3660" t="str">
        <f>IFERROR(INDEX(tEditais[SRP],MATCH(tItens[[#This Row],[Edital]],tEditais[Edital],0)),"Não")</f>
        <v>Não</v>
      </c>
      <c r="P3660" s="4">
        <f>IF(COUNTIFS(INDEX(tItens[Edital],1):tItens[[#This Row],[Edital]],tItens[[#This Row],[Edital]],INDEX(tItens[Produto],1):tItens[[#This Row],[Produto]],tItens[[#This Row],[Produto]])=1,1,0)</f>
        <v>1</v>
      </c>
    </row>
    <row r="3661" spans="1:16" x14ac:dyDescent="0.25">
      <c r="A3661" t="s">
        <v>1508</v>
      </c>
      <c r="B3661">
        <v>8057087</v>
      </c>
      <c r="C3661" t="s">
        <v>6533</v>
      </c>
      <c r="D3661" t="s">
        <v>245</v>
      </c>
      <c r="E3661" s="13">
        <v>600</v>
      </c>
      <c r="F3661" s="12">
        <v>83.78</v>
      </c>
      <c r="G3661" t="str">
        <f>IFERROR(INDEX(tEditais[Órgão],MATCH(tItens[[#This Row],[Edital]],tEditais[Edital],0)),"")</f>
        <v>MUNICIPIO DE FORMIGA</v>
      </c>
      <c r="H3661" t="str">
        <f>IFERROR(INDEX(tEditais[UF],MATCH(tItens[[#This Row],[Edital]],tEditais[Edital],0)),"")</f>
        <v>MG</v>
      </c>
      <c r="I3661" s="11">
        <f>IFERROR(INDEX(tEditais[Encerramento],MATCH(tItens[[#This Row],[Edital]],tEditais[Edital],0)),"")</f>
        <v>46310.354861111111</v>
      </c>
      <c r="J3661" t="str">
        <f>IFERROR(INDEX(tProdutos[Classe],MATCH(tItens[[#This Row],[Produto]],tProdutos[Produto],0)),"produto não cadastrado")</f>
        <v>FORA</v>
      </c>
      <c r="K3661" s="12">
        <f>tItens[[#This Row],[Qtd]]*tItens[[#This Row],[Vlr unit]]</f>
        <v>50268</v>
      </c>
      <c r="L3661" s="6">
        <f>IFERROR(IF(INDEX(tProdutos[Desconto homologado],MATCH(tItens[[#This Row],[Produto]],tProdutos[Produto],0))="",DescontoPadrao,INDEX(tProdutos[Desconto homologado],MATCH(tItens[[#This Row],[Produto]],tProdutos[Produto],0))),DescontoPadrao)</f>
        <v>0.34516963542284401</v>
      </c>
      <c r="M3661" s="12">
        <f>tItens[[#This Row],[Valor]]*(1-tItens[[#This Row],[Desconto]])</f>
        <v>32917.012766564483</v>
      </c>
      <c r="N3661" t="str">
        <f>IFERROR(INDEX(tProdutos[Foco],MATCH(tItens[[#This Row],[Produto]],tProdutos[Produto],0)),"Não")</f>
        <v>Não</v>
      </c>
      <c r="O3661" t="str">
        <f>IFERROR(INDEX(tEditais[SRP],MATCH(tItens[[#This Row],[Edital]],tEditais[Edital],0)),"Não")</f>
        <v>Não</v>
      </c>
      <c r="P3661" s="4">
        <f>IF(COUNTIFS(INDEX(tItens[Edital],1):tItens[[#This Row],[Edital]],tItens[[#This Row],[Edital]],INDEX(tItens[Produto],1):tItens[[#This Row],[Produto]],tItens[[#This Row],[Produto]])=1,1,0)</f>
        <v>1</v>
      </c>
    </row>
    <row r="3662" spans="1:16" x14ac:dyDescent="0.25">
      <c r="A3662" t="s">
        <v>1508</v>
      </c>
      <c r="B3662">
        <v>8057088</v>
      </c>
      <c r="C3662" t="s">
        <v>6534</v>
      </c>
      <c r="D3662" t="s">
        <v>245</v>
      </c>
      <c r="E3662" s="13">
        <v>50</v>
      </c>
      <c r="F3662" s="12">
        <v>82.67</v>
      </c>
      <c r="G3662" t="str">
        <f>IFERROR(INDEX(tEditais[Órgão],MATCH(tItens[[#This Row],[Edital]],tEditais[Edital],0)),"")</f>
        <v>MUNICIPIO DE FORMIGA</v>
      </c>
      <c r="H3662" t="str">
        <f>IFERROR(INDEX(tEditais[UF],MATCH(tItens[[#This Row],[Edital]],tEditais[Edital],0)),"")</f>
        <v>MG</v>
      </c>
      <c r="I3662" s="11">
        <f>IFERROR(INDEX(tEditais[Encerramento],MATCH(tItens[[#This Row],[Edital]],tEditais[Edital],0)),"")</f>
        <v>46310.354861111111</v>
      </c>
      <c r="J3662" t="str">
        <f>IFERROR(INDEX(tProdutos[Classe],MATCH(tItens[[#This Row],[Produto]],tProdutos[Produto],0)),"produto não cadastrado")</f>
        <v>FORA</v>
      </c>
      <c r="K3662" s="12">
        <f>tItens[[#This Row],[Qtd]]*tItens[[#This Row],[Vlr unit]]</f>
        <v>4133.5</v>
      </c>
      <c r="L3662" s="6">
        <f>IFERROR(IF(INDEX(tProdutos[Desconto homologado],MATCH(tItens[[#This Row],[Produto]],tProdutos[Produto],0))="",DescontoPadrao,INDEX(tProdutos[Desconto homologado],MATCH(tItens[[#This Row],[Produto]],tProdutos[Produto],0))),DescontoPadrao)</f>
        <v>0.34516963542284401</v>
      </c>
      <c r="M3662" s="12">
        <f>tItens[[#This Row],[Valor]]*(1-tItens[[#This Row],[Desconto]])</f>
        <v>2706.7413119796747</v>
      </c>
      <c r="N3662" t="str">
        <f>IFERROR(INDEX(tProdutos[Foco],MATCH(tItens[[#This Row],[Produto]],tProdutos[Produto],0)),"Não")</f>
        <v>Não</v>
      </c>
      <c r="O3662" t="str">
        <f>IFERROR(INDEX(tEditais[SRP],MATCH(tItens[[#This Row],[Edital]],tEditais[Edital],0)),"Não")</f>
        <v>Não</v>
      </c>
      <c r="P3662" s="4">
        <f>IF(COUNTIFS(INDEX(tItens[Edital],1):tItens[[#This Row],[Edital]],tItens[[#This Row],[Edital]],INDEX(tItens[Produto],1):tItens[[#This Row],[Produto]],tItens[[#This Row],[Produto]])=1,1,0)</f>
        <v>0</v>
      </c>
    </row>
    <row r="3663" spans="1:16" x14ac:dyDescent="0.25">
      <c r="A3663" t="s">
        <v>1508</v>
      </c>
      <c r="B3663">
        <v>8057090</v>
      </c>
      <c r="C3663" t="s">
        <v>6535</v>
      </c>
      <c r="D3663" t="s">
        <v>56</v>
      </c>
      <c r="E3663" s="13">
        <v>200</v>
      </c>
      <c r="F3663" s="12">
        <v>38.71</v>
      </c>
      <c r="G3663" t="str">
        <f>IFERROR(INDEX(tEditais[Órgão],MATCH(tItens[[#This Row],[Edital]],tEditais[Edital],0)),"")</f>
        <v>MUNICIPIO DE FORMIGA</v>
      </c>
      <c r="H3663" t="str">
        <f>IFERROR(INDEX(tEditais[UF],MATCH(tItens[[#This Row],[Edital]],tEditais[Edital],0)),"")</f>
        <v>MG</v>
      </c>
      <c r="I3663" s="11">
        <f>IFERROR(INDEX(tEditais[Encerramento],MATCH(tItens[[#This Row],[Edital]],tEditais[Edital],0)),"")</f>
        <v>46310.354861111111</v>
      </c>
      <c r="J3663" t="str">
        <f>IFERROR(INDEX(tProdutos[Classe],MATCH(tItens[[#This Row],[Produto]],tProdutos[Produto],0)),"produto não cadastrado")</f>
        <v>NÚCLEO</v>
      </c>
      <c r="K3663" s="12">
        <f>tItens[[#This Row],[Qtd]]*tItens[[#This Row],[Vlr unit]]</f>
        <v>7742</v>
      </c>
      <c r="L3663" s="6">
        <f>IFERROR(IF(INDEX(tProdutos[Desconto homologado],MATCH(tItens[[#This Row],[Produto]],tProdutos[Produto],0))="",DescontoPadrao,INDEX(tProdutos[Desconto homologado],MATCH(tItens[[#This Row],[Produto]],tProdutos[Produto],0))),DescontoPadrao)</f>
        <v>0.34</v>
      </c>
      <c r="M3663" s="12">
        <f>tItens[[#This Row],[Valor]]*(1-tItens[[#This Row],[Desconto]])</f>
        <v>5109.7199999999993</v>
      </c>
      <c r="N3663" t="str">
        <f>IFERROR(INDEX(tProdutos[Foco],MATCH(tItens[[#This Row],[Produto]],tProdutos[Produto],0)),"Não")</f>
        <v>Sim</v>
      </c>
      <c r="O3663" t="str">
        <f>IFERROR(INDEX(tEditais[SRP],MATCH(tItens[[#This Row],[Edital]],tEditais[Edital],0)),"Não")</f>
        <v>Não</v>
      </c>
      <c r="P3663" s="4">
        <f>IF(COUNTIFS(INDEX(tItens[Edital],1):tItens[[#This Row],[Edital]],tItens[[#This Row],[Edital]],INDEX(tItens[Produto],1):tItens[[#This Row],[Produto]],tItens[[#This Row],[Produto]])=1,1,0)</f>
        <v>1</v>
      </c>
    </row>
    <row r="3664" spans="1:16" x14ac:dyDescent="0.25">
      <c r="A3664" t="s">
        <v>1508</v>
      </c>
      <c r="B3664">
        <v>8057091</v>
      </c>
      <c r="C3664" t="s">
        <v>6536</v>
      </c>
      <c r="D3664" t="s">
        <v>170</v>
      </c>
      <c r="E3664" s="13">
        <v>50</v>
      </c>
      <c r="F3664" s="12">
        <v>39.96</v>
      </c>
      <c r="G3664" t="str">
        <f>IFERROR(INDEX(tEditais[Órgão],MATCH(tItens[[#This Row],[Edital]],tEditais[Edital],0)),"")</f>
        <v>MUNICIPIO DE FORMIGA</v>
      </c>
      <c r="H3664" t="str">
        <f>IFERROR(INDEX(tEditais[UF],MATCH(tItens[[#This Row],[Edital]],tEditais[Edital],0)),"")</f>
        <v>MG</v>
      </c>
      <c r="I3664" s="11">
        <f>IFERROR(INDEX(tEditais[Encerramento],MATCH(tItens[[#This Row],[Edital]],tEditais[Edital],0)),"")</f>
        <v>46310.354861111111</v>
      </c>
      <c r="J3664" t="str">
        <f>IFERROR(INDEX(tProdutos[Classe],MATCH(tItens[[#This Row],[Produto]],tProdutos[Produto],0)),"produto não cadastrado")</f>
        <v>DISPUTADO</v>
      </c>
      <c r="K3664" s="12">
        <f>tItens[[#This Row],[Qtd]]*tItens[[#This Row],[Vlr unit]]</f>
        <v>1998</v>
      </c>
      <c r="L3664" s="6">
        <f>IFERROR(IF(INDEX(tProdutos[Desconto homologado],MATCH(tItens[[#This Row],[Produto]],tProdutos[Produto],0))="",DescontoPadrao,INDEX(tProdutos[Desconto homologado],MATCH(tItens[[#This Row],[Produto]],tProdutos[Produto],0))),DescontoPadrao)</f>
        <v>0.36</v>
      </c>
      <c r="M3664" s="12">
        <f>tItens[[#This Row],[Valor]]*(1-tItens[[#This Row],[Desconto]])</f>
        <v>1278.72</v>
      </c>
      <c r="N3664" t="str">
        <f>IFERROR(INDEX(tProdutos[Foco],MATCH(tItens[[#This Row],[Produto]],tProdutos[Produto],0)),"Não")</f>
        <v>Sim</v>
      </c>
      <c r="O3664" t="str">
        <f>IFERROR(INDEX(tEditais[SRP],MATCH(tItens[[#This Row],[Edital]],tEditais[Edital],0)),"Não")</f>
        <v>Não</v>
      </c>
      <c r="P3664" s="4">
        <f>IF(COUNTIFS(INDEX(tItens[Edital],1):tItens[[#This Row],[Edital]],tItens[[#This Row],[Edital]],INDEX(tItens[Produto],1):tItens[[#This Row],[Produto]],tItens[[#This Row],[Produto]])=1,1,0)</f>
        <v>1</v>
      </c>
    </row>
    <row r="3665" spans="1:16" x14ac:dyDescent="0.25">
      <c r="A3665" t="s">
        <v>1508</v>
      </c>
      <c r="B3665">
        <v>8057092</v>
      </c>
      <c r="C3665" t="s">
        <v>6537</v>
      </c>
      <c r="D3665" t="s">
        <v>170</v>
      </c>
      <c r="E3665" s="13">
        <v>50</v>
      </c>
      <c r="F3665" s="12">
        <v>73.73</v>
      </c>
      <c r="G3665" t="str">
        <f>IFERROR(INDEX(tEditais[Órgão],MATCH(tItens[[#This Row],[Edital]],tEditais[Edital],0)),"")</f>
        <v>MUNICIPIO DE FORMIGA</v>
      </c>
      <c r="H3665" t="str">
        <f>IFERROR(INDEX(tEditais[UF],MATCH(tItens[[#This Row],[Edital]],tEditais[Edital],0)),"")</f>
        <v>MG</v>
      </c>
      <c r="I3665" s="11">
        <f>IFERROR(INDEX(tEditais[Encerramento],MATCH(tItens[[#This Row],[Edital]],tEditais[Edital],0)),"")</f>
        <v>46310.354861111111</v>
      </c>
      <c r="J3665" t="str">
        <f>IFERROR(INDEX(tProdutos[Classe],MATCH(tItens[[#This Row],[Produto]],tProdutos[Produto],0)),"produto não cadastrado")</f>
        <v>DISPUTADO</v>
      </c>
      <c r="K3665" s="12">
        <f>tItens[[#This Row],[Qtd]]*tItens[[#This Row],[Vlr unit]]</f>
        <v>3686.5</v>
      </c>
      <c r="L3665" s="6">
        <f>IFERROR(IF(INDEX(tProdutos[Desconto homologado],MATCH(tItens[[#This Row],[Produto]],tProdutos[Produto],0))="",DescontoPadrao,INDEX(tProdutos[Desconto homologado],MATCH(tItens[[#This Row],[Produto]],tProdutos[Produto],0))),DescontoPadrao)</f>
        <v>0.36</v>
      </c>
      <c r="M3665" s="12">
        <f>tItens[[#This Row],[Valor]]*(1-tItens[[#This Row],[Desconto]])</f>
        <v>2359.36</v>
      </c>
      <c r="N3665" t="str">
        <f>IFERROR(INDEX(tProdutos[Foco],MATCH(tItens[[#This Row],[Produto]],tProdutos[Produto],0)),"Não")</f>
        <v>Sim</v>
      </c>
      <c r="O3665" t="str">
        <f>IFERROR(INDEX(tEditais[SRP],MATCH(tItens[[#This Row],[Edital]],tEditais[Edital],0)),"Não")</f>
        <v>Não</v>
      </c>
      <c r="P3665" s="4">
        <f>IF(COUNTIFS(INDEX(tItens[Edital],1):tItens[[#This Row],[Edital]],tItens[[#This Row],[Edital]],INDEX(tItens[Produto],1):tItens[[#This Row],[Produto]],tItens[[#This Row],[Produto]])=1,1,0)</f>
        <v>0</v>
      </c>
    </row>
    <row r="3666" spans="1:16" x14ac:dyDescent="0.25">
      <c r="A3666" t="s">
        <v>1508</v>
      </c>
      <c r="B3666">
        <v>8057093</v>
      </c>
      <c r="C3666" t="s">
        <v>6538</v>
      </c>
      <c r="D3666" t="s">
        <v>170</v>
      </c>
      <c r="E3666" s="13">
        <v>50</v>
      </c>
      <c r="F3666" s="12">
        <v>39.82</v>
      </c>
      <c r="G3666" t="str">
        <f>IFERROR(INDEX(tEditais[Órgão],MATCH(tItens[[#This Row],[Edital]],tEditais[Edital],0)),"")</f>
        <v>MUNICIPIO DE FORMIGA</v>
      </c>
      <c r="H3666" t="str">
        <f>IFERROR(INDEX(tEditais[UF],MATCH(tItens[[#This Row],[Edital]],tEditais[Edital],0)),"")</f>
        <v>MG</v>
      </c>
      <c r="I3666" s="11">
        <f>IFERROR(INDEX(tEditais[Encerramento],MATCH(tItens[[#This Row],[Edital]],tEditais[Edital],0)),"")</f>
        <v>46310.354861111111</v>
      </c>
      <c r="J3666" t="str">
        <f>IFERROR(INDEX(tProdutos[Classe],MATCH(tItens[[#This Row],[Produto]],tProdutos[Produto],0)),"produto não cadastrado")</f>
        <v>DISPUTADO</v>
      </c>
      <c r="K3666" s="12">
        <f>tItens[[#This Row],[Qtd]]*tItens[[#This Row],[Vlr unit]]</f>
        <v>1991</v>
      </c>
      <c r="L3666" s="6">
        <f>IFERROR(IF(INDEX(tProdutos[Desconto homologado],MATCH(tItens[[#This Row],[Produto]],tProdutos[Produto],0))="",DescontoPadrao,INDEX(tProdutos[Desconto homologado],MATCH(tItens[[#This Row],[Produto]],tProdutos[Produto],0))),DescontoPadrao)</f>
        <v>0.36</v>
      </c>
      <c r="M3666" s="12">
        <f>tItens[[#This Row],[Valor]]*(1-tItens[[#This Row],[Desconto]])</f>
        <v>1274.24</v>
      </c>
      <c r="N3666" t="str">
        <f>IFERROR(INDEX(tProdutos[Foco],MATCH(tItens[[#This Row],[Produto]],tProdutos[Produto],0)),"Não")</f>
        <v>Sim</v>
      </c>
      <c r="O3666" t="str">
        <f>IFERROR(INDEX(tEditais[SRP],MATCH(tItens[[#This Row],[Edital]],tEditais[Edital],0)),"Não")</f>
        <v>Não</v>
      </c>
      <c r="P3666" s="4">
        <f>IF(COUNTIFS(INDEX(tItens[Edital],1):tItens[[#This Row],[Edital]],tItens[[#This Row],[Edital]],INDEX(tItens[Produto],1):tItens[[#This Row],[Produto]],tItens[[#This Row],[Produto]])=1,1,0)</f>
        <v>0</v>
      </c>
    </row>
    <row r="3667" spans="1:16" x14ac:dyDescent="0.25">
      <c r="A3667" t="s">
        <v>1508</v>
      </c>
      <c r="B3667">
        <v>8057094</v>
      </c>
      <c r="C3667" t="s">
        <v>6539</v>
      </c>
      <c r="D3667" t="s">
        <v>170</v>
      </c>
      <c r="E3667" s="13">
        <v>50</v>
      </c>
      <c r="F3667" s="12">
        <v>72.260000000000005</v>
      </c>
      <c r="G3667" t="str">
        <f>IFERROR(INDEX(tEditais[Órgão],MATCH(tItens[[#This Row],[Edital]],tEditais[Edital],0)),"")</f>
        <v>MUNICIPIO DE FORMIGA</v>
      </c>
      <c r="H3667" t="str">
        <f>IFERROR(INDEX(tEditais[UF],MATCH(tItens[[#This Row],[Edital]],tEditais[Edital],0)),"")</f>
        <v>MG</v>
      </c>
      <c r="I3667" s="11">
        <f>IFERROR(INDEX(tEditais[Encerramento],MATCH(tItens[[#This Row],[Edital]],tEditais[Edital],0)),"")</f>
        <v>46310.354861111111</v>
      </c>
      <c r="J3667" t="str">
        <f>IFERROR(INDEX(tProdutos[Classe],MATCH(tItens[[#This Row],[Produto]],tProdutos[Produto],0)),"produto não cadastrado")</f>
        <v>DISPUTADO</v>
      </c>
      <c r="K3667" s="12">
        <f>tItens[[#This Row],[Qtd]]*tItens[[#This Row],[Vlr unit]]</f>
        <v>3613.0000000000005</v>
      </c>
      <c r="L3667" s="6">
        <f>IFERROR(IF(INDEX(tProdutos[Desconto homologado],MATCH(tItens[[#This Row],[Produto]],tProdutos[Produto],0))="",DescontoPadrao,INDEX(tProdutos[Desconto homologado],MATCH(tItens[[#This Row],[Produto]],tProdutos[Produto],0))),DescontoPadrao)</f>
        <v>0.36</v>
      </c>
      <c r="M3667" s="12">
        <f>tItens[[#This Row],[Valor]]*(1-tItens[[#This Row],[Desconto]])</f>
        <v>2312.3200000000002</v>
      </c>
      <c r="N3667" t="str">
        <f>IFERROR(INDEX(tProdutos[Foco],MATCH(tItens[[#This Row],[Produto]],tProdutos[Produto],0)),"Não")</f>
        <v>Sim</v>
      </c>
      <c r="O3667" t="str">
        <f>IFERROR(INDEX(tEditais[SRP],MATCH(tItens[[#This Row],[Edital]],tEditais[Edital],0)),"Não")</f>
        <v>Não</v>
      </c>
      <c r="P3667" s="4">
        <f>IF(COUNTIFS(INDEX(tItens[Edital],1):tItens[[#This Row],[Edital]],tItens[[#This Row],[Edital]],INDEX(tItens[Produto],1):tItens[[#This Row],[Produto]],tItens[[#This Row],[Produto]])=1,1,0)</f>
        <v>0</v>
      </c>
    </row>
    <row r="3668" spans="1:16" x14ac:dyDescent="0.25">
      <c r="A3668" t="s">
        <v>1508</v>
      </c>
      <c r="B3668">
        <v>8057095</v>
      </c>
      <c r="C3668" t="s">
        <v>6540</v>
      </c>
      <c r="D3668" t="s">
        <v>170</v>
      </c>
      <c r="E3668" s="13">
        <v>50</v>
      </c>
      <c r="F3668" s="12">
        <v>86.03</v>
      </c>
      <c r="G3668" t="str">
        <f>IFERROR(INDEX(tEditais[Órgão],MATCH(tItens[[#This Row],[Edital]],tEditais[Edital],0)),"")</f>
        <v>MUNICIPIO DE FORMIGA</v>
      </c>
      <c r="H3668" t="str">
        <f>IFERROR(INDEX(tEditais[UF],MATCH(tItens[[#This Row],[Edital]],tEditais[Edital],0)),"")</f>
        <v>MG</v>
      </c>
      <c r="I3668" s="11">
        <f>IFERROR(INDEX(tEditais[Encerramento],MATCH(tItens[[#This Row],[Edital]],tEditais[Edital],0)),"")</f>
        <v>46310.354861111111</v>
      </c>
      <c r="J3668" t="str">
        <f>IFERROR(INDEX(tProdutos[Classe],MATCH(tItens[[#This Row],[Produto]],tProdutos[Produto],0)),"produto não cadastrado")</f>
        <v>DISPUTADO</v>
      </c>
      <c r="K3668" s="12">
        <f>tItens[[#This Row],[Qtd]]*tItens[[#This Row],[Vlr unit]]</f>
        <v>4301.5</v>
      </c>
      <c r="L3668" s="6">
        <f>IFERROR(IF(INDEX(tProdutos[Desconto homologado],MATCH(tItens[[#This Row],[Produto]],tProdutos[Produto],0))="",DescontoPadrao,INDEX(tProdutos[Desconto homologado],MATCH(tItens[[#This Row],[Produto]],tProdutos[Produto],0))),DescontoPadrao)</f>
        <v>0.36</v>
      </c>
      <c r="M3668" s="12">
        <f>tItens[[#This Row],[Valor]]*(1-tItens[[#This Row],[Desconto]])</f>
        <v>2752.96</v>
      </c>
      <c r="N3668" t="str">
        <f>IFERROR(INDEX(tProdutos[Foco],MATCH(tItens[[#This Row],[Produto]],tProdutos[Produto],0)),"Não")</f>
        <v>Sim</v>
      </c>
      <c r="O3668" t="str">
        <f>IFERROR(INDEX(tEditais[SRP],MATCH(tItens[[#This Row],[Edital]],tEditais[Edital],0)),"Não")</f>
        <v>Não</v>
      </c>
      <c r="P3668" s="4">
        <f>IF(COUNTIFS(INDEX(tItens[Edital],1):tItens[[#This Row],[Edital]],tItens[[#This Row],[Edital]],INDEX(tItens[Produto],1):tItens[[#This Row],[Produto]],tItens[[#This Row],[Produto]])=1,1,0)</f>
        <v>0</v>
      </c>
    </row>
    <row r="3669" spans="1:16" x14ac:dyDescent="0.25">
      <c r="A3669" t="s">
        <v>1508</v>
      </c>
      <c r="B3669">
        <v>8057096</v>
      </c>
      <c r="C3669" t="s">
        <v>6541</v>
      </c>
      <c r="D3669" t="s">
        <v>170</v>
      </c>
      <c r="E3669" s="13">
        <v>100</v>
      </c>
      <c r="F3669" s="12">
        <v>87.13</v>
      </c>
      <c r="G3669" t="str">
        <f>IFERROR(INDEX(tEditais[Órgão],MATCH(tItens[[#This Row],[Edital]],tEditais[Edital],0)),"")</f>
        <v>MUNICIPIO DE FORMIGA</v>
      </c>
      <c r="H3669" t="str">
        <f>IFERROR(INDEX(tEditais[UF],MATCH(tItens[[#This Row],[Edital]],tEditais[Edital],0)),"")</f>
        <v>MG</v>
      </c>
      <c r="I3669" s="11">
        <f>IFERROR(INDEX(tEditais[Encerramento],MATCH(tItens[[#This Row],[Edital]],tEditais[Edital],0)),"")</f>
        <v>46310.354861111111</v>
      </c>
      <c r="J3669" t="str">
        <f>IFERROR(INDEX(tProdutos[Classe],MATCH(tItens[[#This Row],[Produto]],tProdutos[Produto],0)),"produto não cadastrado")</f>
        <v>DISPUTADO</v>
      </c>
      <c r="K3669" s="12">
        <f>tItens[[#This Row],[Qtd]]*tItens[[#This Row],[Vlr unit]]</f>
        <v>8713</v>
      </c>
      <c r="L3669" s="6">
        <f>IFERROR(IF(INDEX(tProdutos[Desconto homologado],MATCH(tItens[[#This Row],[Produto]],tProdutos[Produto],0))="",DescontoPadrao,INDEX(tProdutos[Desconto homologado],MATCH(tItens[[#This Row],[Produto]],tProdutos[Produto],0))),DescontoPadrao)</f>
        <v>0.36</v>
      </c>
      <c r="M3669" s="12">
        <f>tItens[[#This Row],[Valor]]*(1-tItens[[#This Row],[Desconto]])</f>
        <v>5576.32</v>
      </c>
      <c r="N3669" t="str">
        <f>IFERROR(INDEX(tProdutos[Foco],MATCH(tItens[[#This Row],[Produto]],tProdutos[Produto],0)),"Não")</f>
        <v>Sim</v>
      </c>
      <c r="O3669" t="str">
        <f>IFERROR(INDEX(tEditais[SRP],MATCH(tItens[[#This Row],[Edital]],tEditais[Edital],0)),"Não")</f>
        <v>Não</v>
      </c>
      <c r="P3669" s="4">
        <f>IF(COUNTIFS(INDEX(tItens[Edital],1):tItens[[#This Row],[Edital]],tItens[[#This Row],[Edital]],INDEX(tItens[Produto],1):tItens[[#This Row],[Produto]],tItens[[#This Row],[Produto]])=1,1,0)</f>
        <v>0</v>
      </c>
    </row>
    <row r="3670" spans="1:16" x14ac:dyDescent="0.25">
      <c r="A3670" t="s">
        <v>1508</v>
      </c>
      <c r="B3670">
        <v>8057097</v>
      </c>
      <c r="C3670" t="s">
        <v>6542</v>
      </c>
      <c r="D3670" t="s">
        <v>170</v>
      </c>
      <c r="E3670" s="13">
        <v>100</v>
      </c>
      <c r="F3670" s="12">
        <v>81.66</v>
      </c>
      <c r="G3670" t="str">
        <f>IFERROR(INDEX(tEditais[Órgão],MATCH(tItens[[#This Row],[Edital]],tEditais[Edital],0)),"")</f>
        <v>MUNICIPIO DE FORMIGA</v>
      </c>
      <c r="H3670" t="str">
        <f>IFERROR(INDEX(tEditais[UF],MATCH(tItens[[#This Row],[Edital]],tEditais[Edital],0)),"")</f>
        <v>MG</v>
      </c>
      <c r="I3670" s="11">
        <f>IFERROR(INDEX(tEditais[Encerramento],MATCH(tItens[[#This Row],[Edital]],tEditais[Edital],0)),"")</f>
        <v>46310.354861111111</v>
      </c>
      <c r="J3670" t="str">
        <f>IFERROR(INDEX(tProdutos[Classe],MATCH(tItens[[#This Row],[Produto]],tProdutos[Produto],0)),"produto não cadastrado")</f>
        <v>DISPUTADO</v>
      </c>
      <c r="K3670" s="12">
        <f>tItens[[#This Row],[Qtd]]*tItens[[#This Row],[Vlr unit]]</f>
        <v>8166</v>
      </c>
      <c r="L3670" s="6">
        <f>IFERROR(IF(INDEX(tProdutos[Desconto homologado],MATCH(tItens[[#This Row],[Produto]],tProdutos[Produto],0))="",DescontoPadrao,INDEX(tProdutos[Desconto homologado],MATCH(tItens[[#This Row],[Produto]],tProdutos[Produto],0))),DescontoPadrao)</f>
        <v>0.36</v>
      </c>
      <c r="M3670" s="12">
        <f>tItens[[#This Row],[Valor]]*(1-tItens[[#This Row],[Desconto]])</f>
        <v>5226.24</v>
      </c>
      <c r="N3670" t="str">
        <f>IFERROR(INDEX(tProdutos[Foco],MATCH(tItens[[#This Row],[Produto]],tProdutos[Produto],0)),"Não")</f>
        <v>Sim</v>
      </c>
      <c r="O3670" t="str">
        <f>IFERROR(INDEX(tEditais[SRP],MATCH(tItens[[#This Row],[Edital]],tEditais[Edital],0)),"Não")</f>
        <v>Não</v>
      </c>
      <c r="P3670" s="4">
        <f>IF(COUNTIFS(INDEX(tItens[Edital],1):tItens[[#This Row],[Edital]],tItens[[#This Row],[Edital]],INDEX(tItens[Produto],1):tItens[[#This Row],[Produto]],tItens[[#This Row],[Produto]])=1,1,0)</f>
        <v>0</v>
      </c>
    </row>
    <row r="3671" spans="1:16" x14ac:dyDescent="0.25">
      <c r="A3671" t="s">
        <v>1508</v>
      </c>
      <c r="B3671">
        <v>8057098</v>
      </c>
      <c r="C3671" t="s">
        <v>6543</v>
      </c>
      <c r="D3671" t="s">
        <v>215</v>
      </c>
      <c r="E3671" s="13">
        <v>50</v>
      </c>
      <c r="F3671" s="12">
        <v>317.13</v>
      </c>
      <c r="G3671" t="str">
        <f>IFERROR(INDEX(tEditais[Órgão],MATCH(tItens[[#This Row],[Edital]],tEditais[Edital],0)),"")</f>
        <v>MUNICIPIO DE FORMIGA</v>
      </c>
      <c r="H3671" t="str">
        <f>IFERROR(INDEX(tEditais[UF],MATCH(tItens[[#This Row],[Edital]],tEditais[Edital],0)),"")</f>
        <v>MG</v>
      </c>
      <c r="I3671" s="11">
        <f>IFERROR(INDEX(tEditais[Encerramento],MATCH(tItens[[#This Row],[Edital]],tEditais[Edital],0)),"")</f>
        <v>46310.354861111111</v>
      </c>
      <c r="J3671" t="str">
        <f>IFERROR(INDEX(tProdutos[Classe],MATCH(tItens[[#This Row],[Produto]],tProdutos[Produto],0)),"produto não cadastrado")</f>
        <v>FORA</v>
      </c>
      <c r="K3671" s="12">
        <f>tItens[[#This Row],[Qtd]]*tItens[[#This Row],[Vlr unit]]</f>
        <v>15856.5</v>
      </c>
      <c r="L3671" s="6">
        <f>IFERROR(IF(INDEX(tProdutos[Desconto homologado],MATCH(tItens[[#This Row],[Produto]],tProdutos[Produto],0))="",DescontoPadrao,INDEX(tProdutos[Desconto homologado],MATCH(tItens[[#This Row],[Produto]],tProdutos[Produto],0))),DescontoPadrao)</f>
        <v>0.27710245735301298</v>
      </c>
      <c r="M3671" s="12">
        <f>tItens[[#This Row],[Valor]]*(1-tItens[[#This Row],[Desconto]])</f>
        <v>11462.624884981949</v>
      </c>
      <c r="N3671" t="str">
        <f>IFERROR(INDEX(tProdutos[Foco],MATCH(tItens[[#This Row],[Produto]],tProdutos[Produto],0)),"Não")</f>
        <v>Não</v>
      </c>
      <c r="O3671" t="str">
        <f>IFERROR(INDEX(tEditais[SRP],MATCH(tItens[[#This Row],[Edital]],tEditais[Edital],0)),"Não")</f>
        <v>Não</v>
      </c>
      <c r="P3671" s="4">
        <f>IF(COUNTIFS(INDEX(tItens[Edital],1):tItens[[#This Row],[Edital]],tItens[[#This Row],[Edital]],INDEX(tItens[Produto],1):tItens[[#This Row],[Produto]],tItens[[#This Row],[Produto]])=1,1,0)</f>
        <v>1</v>
      </c>
    </row>
    <row r="3672" spans="1:16" x14ac:dyDescent="0.25">
      <c r="A3672" t="s">
        <v>1508</v>
      </c>
      <c r="B3672">
        <v>8057099</v>
      </c>
      <c r="C3672" t="s">
        <v>6544</v>
      </c>
      <c r="D3672" t="s">
        <v>215</v>
      </c>
      <c r="E3672" s="13">
        <v>50</v>
      </c>
      <c r="F3672" s="12">
        <v>315.75</v>
      </c>
      <c r="G3672" t="str">
        <f>IFERROR(INDEX(tEditais[Órgão],MATCH(tItens[[#This Row],[Edital]],tEditais[Edital],0)),"")</f>
        <v>MUNICIPIO DE FORMIGA</v>
      </c>
      <c r="H3672" t="str">
        <f>IFERROR(INDEX(tEditais[UF],MATCH(tItens[[#This Row],[Edital]],tEditais[Edital],0)),"")</f>
        <v>MG</v>
      </c>
      <c r="I3672" s="11">
        <f>IFERROR(INDEX(tEditais[Encerramento],MATCH(tItens[[#This Row],[Edital]],tEditais[Edital],0)),"")</f>
        <v>46310.354861111111</v>
      </c>
      <c r="J3672" t="str">
        <f>IFERROR(INDEX(tProdutos[Classe],MATCH(tItens[[#This Row],[Produto]],tProdutos[Produto],0)),"produto não cadastrado")</f>
        <v>FORA</v>
      </c>
      <c r="K3672" s="12">
        <f>tItens[[#This Row],[Qtd]]*tItens[[#This Row],[Vlr unit]]</f>
        <v>15787.5</v>
      </c>
      <c r="L3672" s="6">
        <f>IFERROR(IF(INDEX(tProdutos[Desconto homologado],MATCH(tItens[[#This Row],[Produto]],tProdutos[Produto],0))="",DescontoPadrao,INDEX(tProdutos[Desconto homologado],MATCH(tItens[[#This Row],[Produto]],tProdutos[Produto],0))),DescontoPadrao)</f>
        <v>0.27710245735301298</v>
      </c>
      <c r="M3672" s="12">
        <f>tItens[[#This Row],[Valor]]*(1-tItens[[#This Row],[Desconto]])</f>
        <v>11412.744954539308</v>
      </c>
      <c r="N3672" t="str">
        <f>IFERROR(INDEX(tProdutos[Foco],MATCH(tItens[[#This Row],[Produto]],tProdutos[Produto],0)),"Não")</f>
        <v>Não</v>
      </c>
      <c r="O3672" t="str">
        <f>IFERROR(INDEX(tEditais[SRP],MATCH(tItens[[#This Row],[Edital]],tEditais[Edital],0)),"Não")</f>
        <v>Não</v>
      </c>
      <c r="P3672" s="4">
        <f>IF(COUNTIFS(INDEX(tItens[Edital],1):tItens[[#This Row],[Edital]],tItens[[#This Row],[Edital]],INDEX(tItens[Produto],1):tItens[[#This Row],[Produto]],tItens[[#This Row],[Produto]])=1,1,0)</f>
        <v>0</v>
      </c>
    </row>
    <row r="3673" spans="1:16" x14ac:dyDescent="0.25">
      <c r="A3673" t="s">
        <v>1508</v>
      </c>
      <c r="B3673">
        <v>8057100</v>
      </c>
      <c r="C3673" t="s">
        <v>6545</v>
      </c>
      <c r="D3673" t="s">
        <v>215</v>
      </c>
      <c r="E3673" s="13">
        <v>50</v>
      </c>
      <c r="F3673" s="12">
        <v>305.66000000000003</v>
      </c>
      <c r="G3673" t="str">
        <f>IFERROR(INDEX(tEditais[Órgão],MATCH(tItens[[#This Row],[Edital]],tEditais[Edital],0)),"")</f>
        <v>MUNICIPIO DE FORMIGA</v>
      </c>
      <c r="H3673" t="str">
        <f>IFERROR(INDEX(tEditais[UF],MATCH(tItens[[#This Row],[Edital]],tEditais[Edital],0)),"")</f>
        <v>MG</v>
      </c>
      <c r="I3673" s="11">
        <f>IFERROR(INDEX(tEditais[Encerramento],MATCH(tItens[[#This Row],[Edital]],tEditais[Edital],0)),"")</f>
        <v>46310.354861111111</v>
      </c>
      <c r="J3673" t="str">
        <f>IFERROR(INDEX(tProdutos[Classe],MATCH(tItens[[#This Row],[Produto]],tProdutos[Produto],0)),"produto não cadastrado")</f>
        <v>FORA</v>
      </c>
      <c r="K3673" s="12">
        <f>tItens[[#This Row],[Qtd]]*tItens[[#This Row],[Vlr unit]]</f>
        <v>15283.000000000002</v>
      </c>
      <c r="L3673" s="6">
        <f>IFERROR(IF(INDEX(tProdutos[Desconto homologado],MATCH(tItens[[#This Row],[Produto]],tProdutos[Produto],0))="",DescontoPadrao,INDEX(tProdutos[Desconto homologado],MATCH(tItens[[#This Row],[Produto]],tProdutos[Produto],0))),DescontoPadrao)</f>
        <v>0.27710245735301298</v>
      </c>
      <c r="M3673" s="12">
        <f>tItens[[#This Row],[Valor]]*(1-tItens[[#This Row],[Desconto]])</f>
        <v>11048.043144273905</v>
      </c>
      <c r="N3673" t="str">
        <f>IFERROR(INDEX(tProdutos[Foco],MATCH(tItens[[#This Row],[Produto]],tProdutos[Produto],0)),"Não")</f>
        <v>Não</v>
      </c>
      <c r="O3673" t="str">
        <f>IFERROR(INDEX(tEditais[SRP],MATCH(tItens[[#This Row],[Edital]],tEditais[Edital],0)),"Não")</f>
        <v>Não</v>
      </c>
      <c r="P3673" s="4">
        <f>IF(COUNTIFS(INDEX(tItens[Edital],1):tItens[[#This Row],[Edital]],tItens[[#This Row],[Edital]],INDEX(tItens[Produto],1):tItens[[#This Row],[Produto]],tItens[[#This Row],[Produto]])=1,1,0)</f>
        <v>0</v>
      </c>
    </row>
    <row r="3674" spans="1:16" x14ac:dyDescent="0.25">
      <c r="A3674" t="s">
        <v>1508</v>
      </c>
      <c r="B3674">
        <v>8057102</v>
      </c>
      <c r="C3674" t="s">
        <v>6546</v>
      </c>
      <c r="D3674" t="s">
        <v>160</v>
      </c>
      <c r="E3674" s="13">
        <v>300</v>
      </c>
      <c r="F3674" s="12">
        <v>14.23</v>
      </c>
      <c r="G3674" t="str">
        <f>IFERROR(INDEX(tEditais[Órgão],MATCH(tItens[[#This Row],[Edital]],tEditais[Edital],0)),"")</f>
        <v>MUNICIPIO DE FORMIGA</v>
      </c>
      <c r="H3674" t="str">
        <f>IFERROR(INDEX(tEditais[UF],MATCH(tItens[[#This Row],[Edital]],tEditais[Edital],0)),"")</f>
        <v>MG</v>
      </c>
      <c r="I3674" s="11">
        <f>IFERROR(INDEX(tEditais[Encerramento],MATCH(tItens[[#This Row],[Edital]],tEditais[Edital],0)),"")</f>
        <v>46310.354861111111</v>
      </c>
      <c r="J3674" t="str">
        <f>IFERROR(INDEX(tProdutos[Classe],MATCH(tItens[[#This Row],[Produto]],tProdutos[Produto],0)),"produto não cadastrado")</f>
        <v>DISPUTADO</v>
      </c>
      <c r="K3674" s="12">
        <f>tItens[[#This Row],[Qtd]]*tItens[[#This Row],[Vlr unit]]</f>
        <v>4269</v>
      </c>
      <c r="L3674" s="6">
        <f>IFERROR(IF(INDEX(tProdutos[Desconto homologado],MATCH(tItens[[#This Row],[Produto]],tProdutos[Produto],0))="",DescontoPadrao,INDEX(tProdutos[Desconto homologado],MATCH(tItens[[#This Row],[Produto]],tProdutos[Produto],0))),DescontoPadrao)</f>
        <v>0.28000000000000003</v>
      </c>
      <c r="M3674" s="12">
        <f>tItens[[#This Row],[Valor]]*(1-tItens[[#This Row],[Desconto]])</f>
        <v>3073.68</v>
      </c>
      <c r="N3674" t="str">
        <f>IFERROR(INDEX(tProdutos[Foco],MATCH(tItens[[#This Row],[Produto]],tProdutos[Produto],0)),"Não")</f>
        <v>Sim</v>
      </c>
      <c r="O3674" t="str">
        <f>IFERROR(INDEX(tEditais[SRP],MATCH(tItens[[#This Row],[Edital]],tEditais[Edital],0)),"Não")</f>
        <v>Não</v>
      </c>
      <c r="P3674" s="4">
        <f>IF(COUNTIFS(INDEX(tItens[Edital],1):tItens[[#This Row],[Edital]],tItens[[#This Row],[Edital]],INDEX(tItens[Produto],1):tItens[[#This Row],[Produto]],tItens[[#This Row],[Produto]])=1,1,0)</f>
        <v>1</v>
      </c>
    </row>
    <row r="3675" spans="1:16" x14ac:dyDescent="0.25">
      <c r="A3675" t="s">
        <v>1508</v>
      </c>
      <c r="B3675">
        <v>8057114</v>
      </c>
      <c r="C3675" t="s">
        <v>6547</v>
      </c>
      <c r="D3675" t="s">
        <v>275</v>
      </c>
      <c r="E3675" s="13">
        <v>771</v>
      </c>
      <c r="F3675" s="12">
        <v>38.71</v>
      </c>
      <c r="G3675" t="str">
        <f>IFERROR(INDEX(tEditais[Órgão],MATCH(tItens[[#This Row],[Edital]],tEditais[Edital],0)),"")</f>
        <v>MUNICIPIO DE FORMIGA</v>
      </c>
      <c r="H3675" t="str">
        <f>IFERROR(INDEX(tEditais[UF],MATCH(tItens[[#This Row],[Edital]],tEditais[Edital],0)),"")</f>
        <v>MG</v>
      </c>
      <c r="I3675" s="11">
        <f>IFERROR(INDEX(tEditais[Encerramento],MATCH(tItens[[#This Row],[Edital]],tEditais[Edital],0)),"")</f>
        <v>46310.354861111111</v>
      </c>
      <c r="J3675" t="str">
        <f>IFERROR(INDEX(tProdutos[Classe],MATCH(tItens[[#This Row],[Produto]],tProdutos[Produto],0)),"produto não cadastrado")</f>
        <v>FORA</v>
      </c>
      <c r="K3675" s="12">
        <f>tItens[[#This Row],[Qtd]]*tItens[[#This Row],[Vlr unit]]</f>
        <v>29845.41</v>
      </c>
      <c r="L3675" s="6">
        <f>IFERROR(IF(INDEX(tProdutos[Desconto homologado],MATCH(tItens[[#This Row],[Produto]],tProdutos[Produto],0))="",DescontoPadrao,INDEX(tProdutos[Desconto homologado],MATCH(tItens[[#This Row],[Produto]],tProdutos[Produto],0))),DescontoPadrao)</f>
        <v>0.405797101449275</v>
      </c>
      <c r="M3675" s="12">
        <f>tItens[[#This Row],[Valor]]*(1-tItens[[#This Row],[Desconto]])</f>
        <v>17734.229130434796</v>
      </c>
      <c r="N3675" t="str">
        <f>IFERROR(INDEX(tProdutos[Foco],MATCH(tItens[[#This Row],[Produto]],tProdutos[Produto],0)),"Não")</f>
        <v>Não</v>
      </c>
      <c r="O3675" t="str">
        <f>IFERROR(INDEX(tEditais[SRP],MATCH(tItens[[#This Row],[Edital]],tEditais[Edital],0)),"Não")</f>
        <v>Não</v>
      </c>
      <c r="P3675" s="4">
        <f>IF(COUNTIFS(INDEX(tItens[Edital],1):tItens[[#This Row],[Edital]],tItens[[#This Row],[Edital]],INDEX(tItens[Produto],1):tItens[[#This Row],[Produto]],tItens[[#This Row],[Produto]])=1,1,0)</f>
        <v>1</v>
      </c>
    </row>
    <row r="3676" spans="1:16" x14ac:dyDescent="0.25">
      <c r="A3676" t="s">
        <v>1508</v>
      </c>
      <c r="B3676">
        <v>8057115</v>
      </c>
      <c r="C3676" t="s">
        <v>6548</v>
      </c>
      <c r="D3676" t="s">
        <v>275</v>
      </c>
      <c r="E3676" s="13">
        <v>2314</v>
      </c>
      <c r="F3676" s="12">
        <v>38.71</v>
      </c>
      <c r="G3676" t="str">
        <f>IFERROR(INDEX(tEditais[Órgão],MATCH(tItens[[#This Row],[Edital]],tEditais[Edital],0)),"")</f>
        <v>MUNICIPIO DE FORMIGA</v>
      </c>
      <c r="H3676" t="str">
        <f>IFERROR(INDEX(tEditais[UF],MATCH(tItens[[#This Row],[Edital]],tEditais[Edital],0)),"")</f>
        <v>MG</v>
      </c>
      <c r="I3676" s="11">
        <f>IFERROR(INDEX(tEditais[Encerramento],MATCH(tItens[[#This Row],[Edital]],tEditais[Edital],0)),"")</f>
        <v>46310.354861111111</v>
      </c>
      <c r="J3676" t="str">
        <f>IFERROR(INDEX(tProdutos[Classe],MATCH(tItens[[#This Row],[Produto]],tProdutos[Produto],0)),"produto não cadastrado")</f>
        <v>FORA</v>
      </c>
      <c r="K3676" s="12">
        <f>tItens[[#This Row],[Qtd]]*tItens[[#This Row],[Vlr unit]]</f>
        <v>89574.94</v>
      </c>
      <c r="L3676" s="6">
        <f>IFERROR(IF(INDEX(tProdutos[Desconto homologado],MATCH(tItens[[#This Row],[Produto]],tProdutos[Produto],0))="",DescontoPadrao,INDEX(tProdutos[Desconto homologado],MATCH(tItens[[#This Row],[Produto]],tProdutos[Produto],0))),DescontoPadrao)</f>
        <v>0.405797101449275</v>
      </c>
      <c r="M3676" s="12">
        <f>tItens[[#This Row],[Valor]]*(1-tItens[[#This Row],[Desconto]])</f>
        <v>53225.688985507288</v>
      </c>
      <c r="N3676" t="str">
        <f>IFERROR(INDEX(tProdutos[Foco],MATCH(tItens[[#This Row],[Produto]],tProdutos[Produto],0)),"Não")</f>
        <v>Não</v>
      </c>
      <c r="O3676" t="str">
        <f>IFERROR(INDEX(tEditais[SRP],MATCH(tItens[[#This Row],[Edital]],tEditais[Edital],0)),"Não")</f>
        <v>Não</v>
      </c>
      <c r="P3676" s="4">
        <f>IF(COUNTIFS(INDEX(tItens[Edital],1):tItens[[#This Row],[Edital]],tItens[[#This Row],[Edital]],INDEX(tItens[Produto],1):tItens[[#This Row],[Produto]],tItens[[#This Row],[Produto]])=1,1,0)</f>
        <v>0</v>
      </c>
    </row>
    <row r="3677" spans="1:16" x14ac:dyDescent="0.25">
      <c r="A3677" t="s">
        <v>1508</v>
      </c>
      <c r="B3677">
        <v>8057126</v>
      </c>
      <c r="C3677" t="s">
        <v>6549</v>
      </c>
      <c r="D3677" t="s">
        <v>110</v>
      </c>
      <c r="E3677" s="13">
        <v>200</v>
      </c>
      <c r="F3677" s="12">
        <v>1.22</v>
      </c>
      <c r="G3677" t="str">
        <f>IFERROR(INDEX(tEditais[Órgão],MATCH(tItens[[#This Row],[Edital]],tEditais[Edital],0)),"")</f>
        <v>MUNICIPIO DE FORMIGA</v>
      </c>
      <c r="H3677" t="str">
        <f>IFERROR(INDEX(tEditais[UF],MATCH(tItens[[#This Row],[Edital]],tEditais[Edital],0)),"")</f>
        <v>MG</v>
      </c>
      <c r="I3677" s="11">
        <f>IFERROR(INDEX(tEditais[Encerramento],MATCH(tItens[[#This Row],[Edital]],tEditais[Edital],0)),"")</f>
        <v>46310.354861111111</v>
      </c>
      <c r="J3677" t="str">
        <f>IFERROR(INDEX(tProdutos[Classe],MATCH(tItens[[#This Row],[Produto]],tProdutos[Produto],0)),"produto não cadastrado")</f>
        <v>NÚCLEO</v>
      </c>
      <c r="K3677" s="12">
        <f>tItens[[#This Row],[Qtd]]*tItens[[#This Row],[Vlr unit]]</f>
        <v>244</v>
      </c>
      <c r="L3677" s="6">
        <f>IFERROR(IF(INDEX(tProdutos[Desconto homologado],MATCH(tItens[[#This Row],[Produto]],tProdutos[Produto],0))="",DescontoPadrao,INDEX(tProdutos[Desconto homologado],MATCH(tItens[[#This Row],[Produto]],tProdutos[Produto],0))),DescontoPadrao)</f>
        <v>0.30410958904109597</v>
      </c>
      <c r="M3677" s="12">
        <f>tItens[[#This Row],[Valor]]*(1-tItens[[#This Row],[Desconto]])</f>
        <v>169.79726027397257</v>
      </c>
      <c r="N3677" t="str">
        <f>IFERROR(INDEX(tProdutos[Foco],MATCH(tItens[[#This Row],[Produto]],tProdutos[Produto],0)),"Não")</f>
        <v>Não</v>
      </c>
      <c r="O3677" t="str">
        <f>IFERROR(INDEX(tEditais[SRP],MATCH(tItens[[#This Row],[Edital]],tEditais[Edital],0)),"Não")</f>
        <v>Não</v>
      </c>
      <c r="P3677" s="4">
        <f>IF(COUNTIFS(INDEX(tItens[Edital],1):tItens[[#This Row],[Edital]],tItens[[#This Row],[Edital]],INDEX(tItens[Produto],1):tItens[[#This Row],[Produto]],tItens[[#This Row],[Produto]])=1,1,0)</f>
        <v>1</v>
      </c>
    </row>
    <row r="3678" spans="1:16" x14ac:dyDescent="0.25">
      <c r="A3678" t="s">
        <v>1508</v>
      </c>
      <c r="B3678">
        <v>8057127</v>
      </c>
      <c r="C3678" t="s">
        <v>6550</v>
      </c>
      <c r="D3678" t="s">
        <v>110</v>
      </c>
      <c r="E3678" s="13">
        <v>200</v>
      </c>
      <c r="F3678" s="12">
        <v>1.54</v>
      </c>
      <c r="G3678" t="str">
        <f>IFERROR(INDEX(tEditais[Órgão],MATCH(tItens[[#This Row],[Edital]],tEditais[Edital],0)),"")</f>
        <v>MUNICIPIO DE FORMIGA</v>
      </c>
      <c r="H3678" t="str">
        <f>IFERROR(INDEX(tEditais[UF],MATCH(tItens[[#This Row],[Edital]],tEditais[Edital],0)),"")</f>
        <v>MG</v>
      </c>
      <c r="I3678" s="11">
        <f>IFERROR(INDEX(tEditais[Encerramento],MATCH(tItens[[#This Row],[Edital]],tEditais[Edital],0)),"")</f>
        <v>46310.354861111111</v>
      </c>
      <c r="J3678" t="str">
        <f>IFERROR(INDEX(tProdutos[Classe],MATCH(tItens[[#This Row],[Produto]],tProdutos[Produto],0)),"produto não cadastrado")</f>
        <v>NÚCLEO</v>
      </c>
      <c r="K3678" s="12">
        <f>tItens[[#This Row],[Qtd]]*tItens[[#This Row],[Vlr unit]]</f>
        <v>308</v>
      </c>
      <c r="L3678" s="6">
        <f>IFERROR(IF(INDEX(tProdutos[Desconto homologado],MATCH(tItens[[#This Row],[Produto]],tProdutos[Produto],0))="",DescontoPadrao,INDEX(tProdutos[Desconto homologado],MATCH(tItens[[#This Row],[Produto]],tProdutos[Produto],0))),DescontoPadrao)</f>
        <v>0.30410958904109597</v>
      </c>
      <c r="M3678" s="12">
        <f>tItens[[#This Row],[Valor]]*(1-tItens[[#This Row],[Desconto]])</f>
        <v>214.33424657534243</v>
      </c>
      <c r="N3678" t="str">
        <f>IFERROR(INDEX(tProdutos[Foco],MATCH(tItens[[#This Row],[Produto]],tProdutos[Produto],0)),"Não")</f>
        <v>Não</v>
      </c>
      <c r="O3678" t="str">
        <f>IFERROR(INDEX(tEditais[SRP],MATCH(tItens[[#This Row],[Edital]],tEditais[Edital],0)),"Não")</f>
        <v>Não</v>
      </c>
      <c r="P3678" s="4">
        <f>IF(COUNTIFS(INDEX(tItens[Edital],1):tItens[[#This Row],[Edital]],tItens[[#This Row],[Edital]],INDEX(tItens[Produto],1):tItens[[#This Row],[Produto]],tItens[[#This Row],[Produto]])=1,1,0)</f>
        <v>0</v>
      </c>
    </row>
    <row r="3679" spans="1:16" x14ac:dyDescent="0.25">
      <c r="A3679" t="s">
        <v>1508</v>
      </c>
      <c r="B3679">
        <v>8057128</v>
      </c>
      <c r="C3679" t="s">
        <v>6551</v>
      </c>
      <c r="D3679" t="s">
        <v>110</v>
      </c>
      <c r="E3679" s="13">
        <v>500</v>
      </c>
      <c r="F3679" s="12">
        <v>2.78</v>
      </c>
      <c r="G3679" t="str">
        <f>IFERROR(INDEX(tEditais[Órgão],MATCH(tItens[[#This Row],[Edital]],tEditais[Edital],0)),"")</f>
        <v>MUNICIPIO DE FORMIGA</v>
      </c>
      <c r="H3679" t="str">
        <f>IFERROR(INDEX(tEditais[UF],MATCH(tItens[[#This Row],[Edital]],tEditais[Edital],0)),"")</f>
        <v>MG</v>
      </c>
      <c r="I3679" s="11">
        <f>IFERROR(INDEX(tEditais[Encerramento],MATCH(tItens[[#This Row],[Edital]],tEditais[Edital],0)),"")</f>
        <v>46310.354861111111</v>
      </c>
      <c r="J3679" t="str">
        <f>IFERROR(INDEX(tProdutos[Classe],MATCH(tItens[[#This Row],[Produto]],tProdutos[Produto],0)),"produto não cadastrado")</f>
        <v>NÚCLEO</v>
      </c>
      <c r="K3679" s="12">
        <f>tItens[[#This Row],[Qtd]]*tItens[[#This Row],[Vlr unit]]</f>
        <v>1390</v>
      </c>
      <c r="L3679" s="6">
        <f>IFERROR(IF(INDEX(tProdutos[Desconto homologado],MATCH(tItens[[#This Row],[Produto]],tProdutos[Produto],0))="",DescontoPadrao,INDEX(tProdutos[Desconto homologado],MATCH(tItens[[#This Row],[Produto]],tProdutos[Produto],0))),DescontoPadrao)</f>
        <v>0.30410958904109597</v>
      </c>
      <c r="M3679" s="12">
        <f>tItens[[#This Row],[Valor]]*(1-tItens[[#This Row],[Desconto]])</f>
        <v>967.28767123287662</v>
      </c>
      <c r="N3679" t="str">
        <f>IFERROR(INDEX(tProdutos[Foco],MATCH(tItens[[#This Row],[Produto]],tProdutos[Produto],0)),"Não")</f>
        <v>Não</v>
      </c>
      <c r="O3679" t="str">
        <f>IFERROR(INDEX(tEditais[SRP],MATCH(tItens[[#This Row],[Edital]],tEditais[Edital],0)),"Não")</f>
        <v>Não</v>
      </c>
      <c r="P3679" s="4">
        <f>IF(COUNTIFS(INDEX(tItens[Edital],1):tItens[[#This Row],[Edital]],tItens[[#This Row],[Edital]],INDEX(tItens[Produto],1):tItens[[#This Row],[Produto]],tItens[[#This Row],[Produto]])=1,1,0)</f>
        <v>0</v>
      </c>
    </row>
    <row r="3680" spans="1:16" x14ac:dyDescent="0.25">
      <c r="A3680" t="s">
        <v>1508</v>
      </c>
      <c r="B3680">
        <v>8057129</v>
      </c>
      <c r="C3680" t="s">
        <v>6552</v>
      </c>
      <c r="D3680" t="s">
        <v>110</v>
      </c>
      <c r="E3680" s="13">
        <v>500</v>
      </c>
      <c r="F3680" s="12">
        <v>2.63</v>
      </c>
      <c r="G3680" t="str">
        <f>IFERROR(INDEX(tEditais[Órgão],MATCH(tItens[[#This Row],[Edital]],tEditais[Edital],0)),"")</f>
        <v>MUNICIPIO DE FORMIGA</v>
      </c>
      <c r="H3680" t="str">
        <f>IFERROR(INDEX(tEditais[UF],MATCH(tItens[[#This Row],[Edital]],tEditais[Edital],0)),"")</f>
        <v>MG</v>
      </c>
      <c r="I3680" s="11">
        <f>IFERROR(INDEX(tEditais[Encerramento],MATCH(tItens[[#This Row],[Edital]],tEditais[Edital],0)),"")</f>
        <v>46310.354861111111</v>
      </c>
      <c r="J3680" t="str">
        <f>IFERROR(INDEX(tProdutos[Classe],MATCH(tItens[[#This Row],[Produto]],tProdutos[Produto],0)),"produto não cadastrado")</f>
        <v>NÚCLEO</v>
      </c>
      <c r="K3680" s="12">
        <f>tItens[[#This Row],[Qtd]]*tItens[[#This Row],[Vlr unit]]</f>
        <v>1315</v>
      </c>
      <c r="L3680" s="6">
        <f>IFERROR(IF(INDEX(tProdutos[Desconto homologado],MATCH(tItens[[#This Row],[Produto]],tProdutos[Produto],0))="",DescontoPadrao,INDEX(tProdutos[Desconto homologado],MATCH(tItens[[#This Row],[Produto]],tProdutos[Produto],0))),DescontoPadrao)</f>
        <v>0.30410958904109597</v>
      </c>
      <c r="M3680" s="12">
        <f>tItens[[#This Row],[Valor]]*(1-tItens[[#This Row],[Desconto]])</f>
        <v>915.09589041095876</v>
      </c>
      <c r="N3680" t="str">
        <f>IFERROR(INDEX(tProdutos[Foco],MATCH(tItens[[#This Row],[Produto]],tProdutos[Produto],0)),"Não")</f>
        <v>Não</v>
      </c>
      <c r="O3680" t="str">
        <f>IFERROR(INDEX(tEditais[SRP],MATCH(tItens[[#This Row],[Edital]],tEditais[Edital],0)),"Não")</f>
        <v>Não</v>
      </c>
      <c r="P3680" s="4">
        <f>IF(COUNTIFS(INDEX(tItens[Edital],1):tItens[[#This Row],[Edital]],tItens[[#This Row],[Edital]],INDEX(tItens[Produto],1):tItens[[#This Row],[Produto]],tItens[[#This Row],[Produto]])=1,1,0)</f>
        <v>0</v>
      </c>
    </row>
    <row r="3681" spans="1:16" x14ac:dyDescent="0.25">
      <c r="A3681" t="s">
        <v>1508</v>
      </c>
      <c r="B3681">
        <v>8057130</v>
      </c>
      <c r="C3681" t="s">
        <v>6553</v>
      </c>
      <c r="D3681" t="s">
        <v>110</v>
      </c>
      <c r="E3681" s="13">
        <v>500</v>
      </c>
      <c r="F3681" s="12">
        <v>2.2000000000000002</v>
      </c>
      <c r="G3681" t="str">
        <f>IFERROR(INDEX(tEditais[Órgão],MATCH(tItens[[#This Row],[Edital]],tEditais[Edital],0)),"")</f>
        <v>MUNICIPIO DE FORMIGA</v>
      </c>
      <c r="H3681" t="str">
        <f>IFERROR(INDEX(tEditais[UF],MATCH(tItens[[#This Row],[Edital]],tEditais[Edital],0)),"")</f>
        <v>MG</v>
      </c>
      <c r="I3681" s="11">
        <f>IFERROR(INDEX(tEditais[Encerramento],MATCH(tItens[[#This Row],[Edital]],tEditais[Edital],0)),"")</f>
        <v>46310.354861111111</v>
      </c>
      <c r="J3681" t="str">
        <f>IFERROR(INDEX(tProdutos[Classe],MATCH(tItens[[#This Row],[Produto]],tProdutos[Produto],0)),"produto não cadastrado")</f>
        <v>NÚCLEO</v>
      </c>
      <c r="K3681" s="12">
        <f>tItens[[#This Row],[Qtd]]*tItens[[#This Row],[Vlr unit]]</f>
        <v>1100</v>
      </c>
      <c r="L3681" s="6">
        <f>IFERROR(IF(INDEX(tProdutos[Desconto homologado],MATCH(tItens[[#This Row],[Produto]],tProdutos[Produto],0))="",DescontoPadrao,INDEX(tProdutos[Desconto homologado],MATCH(tItens[[#This Row],[Produto]],tProdutos[Produto],0))),DescontoPadrao)</f>
        <v>0.30410958904109597</v>
      </c>
      <c r="M3681" s="12">
        <f>tItens[[#This Row],[Valor]]*(1-tItens[[#This Row],[Desconto]])</f>
        <v>765.47945205479448</v>
      </c>
      <c r="N3681" t="str">
        <f>IFERROR(INDEX(tProdutos[Foco],MATCH(tItens[[#This Row],[Produto]],tProdutos[Produto],0)),"Não")</f>
        <v>Não</v>
      </c>
      <c r="O3681" t="str">
        <f>IFERROR(INDEX(tEditais[SRP],MATCH(tItens[[#This Row],[Edital]],tEditais[Edital],0)),"Não")</f>
        <v>Não</v>
      </c>
      <c r="P3681" s="4">
        <f>IF(COUNTIFS(INDEX(tItens[Edital],1):tItens[[#This Row],[Edital]],tItens[[#This Row],[Edital]],INDEX(tItens[Produto],1):tItens[[#This Row],[Produto]],tItens[[#This Row],[Produto]])=1,1,0)</f>
        <v>0</v>
      </c>
    </row>
    <row r="3682" spans="1:16" x14ac:dyDescent="0.25">
      <c r="A3682" t="s">
        <v>1508</v>
      </c>
      <c r="B3682">
        <v>8057132</v>
      </c>
      <c r="C3682" t="s">
        <v>6554</v>
      </c>
      <c r="D3682" t="s">
        <v>120</v>
      </c>
      <c r="E3682" s="13">
        <v>10100</v>
      </c>
      <c r="F3682" s="12">
        <v>1.41</v>
      </c>
      <c r="G3682" t="str">
        <f>IFERROR(INDEX(tEditais[Órgão],MATCH(tItens[[#This Row],[Edital]],tEditais[Edital],0)),"")</f>
        <v>MUNICIPIO DE FORMIGA</v>
      </c>
      <c r="H3682" t="str">
        <f>IFERROR(INDEX(tEditais[UF],MATCH(tItens[[#This Row],[Edital]],tEditais[Edital],0)),"")</f>
        <v>MG</v>
      </c>
      <c r="I3682" s="11">
        <f>IFERROR(INDEX(tEditais[Encerramento],MATCH(tItens[[#This Row],[Edital]],tEditais[Edital],0)),"")</f>
        <v>46310.354861111111</v>
      </c>
      <c r="J3682" t="str">
        <f>IFERROR(INDEX(tProdutos[Classe],MATCH(tItens[[#This Row],[Produto]],tProdutos[Produto],0)),"produto não cadastrado")</f>
        <v>DISPUTADO</v>
      </c>
      <c r="K3682" s="12">
        <f>tItens[[#This Row],[Qtd]]*tItens[[#This Row],[Vlr unit]]</f>
        <v>14241</v>
      </c>
      <c r="L3682" s="6">
        <f>IFERROR(IF(INDEX(tProdutos[Desconto homologado],MATCH(tItens[[#This Row],[Produto]],tProdutos[Produto],0))="",DescontoPadrao,INDEX(tProdutos[Desconto homologado],MATCH(tItens[[#This Row],[Produto]],tProdutos[Produto],0))),DescontoPadrao)</f>
        <v>0.40909090909090901</v>
      </c>
      <c r="M3682" s="12">
        <f>tItens[[#This Row],[Valor]]*(1-tItens[[#This Row],[Desconto]])</f>
        <v>8415.1363636363658</v>
      </c>
      <c r="N3682" t="str">
        <f>IFERROR(INDEX(tProdutos[Foco],MATCH(tItens[[#This Row],[Produto]],tProdutos[Produto],0)),"Não")</f>
        <v>Não</v>
      </c>
      <c r="O3682" t="str">
        <f>IFERROR(INDEX(tEditais[SRP],MATCH(tItens[[#This Row],[Edital]],tEditais[Edital],0)),"Não")</f>
        <v>Não</v>
      </c>
      <c r="P3682" s="4">
        <f>IF(COUNTIFS(INDEX(tItens[Edital],1):tItens[[#This Row],[Edital]],tItens[[#This Row],[Edital]],INDEX(tItens[Produto],1):tItens[[#This Row],[Produto]],tItens[[#This Row],[Produto]])=1,1,0)</f>
        <v>1</v>
      </c>
    </row>
    <row r="3683" spans="1:16" x14ac:dyDescent="0.25">
      <c r="A3683" t="s">
        <v>1508</v>
      </c>
      <c r="B3683">
        <v>8057133</v>
      </c>
      <c r="C3683" t="s">
        <v>6555</v>
      </c>
      <c r="D3683" t="s">
        <v>120</v>
      </c>
      <c r="E3683" s="13">
        <v>15000</v>
      </c>
      <c r="F3683" s="12">
        <v>2.2599999999999998</v>
      </c>
      <c r="G3683" t="str">
        <f>IFERROR(INDEX(tEditais[Órgão],MATCH(tItens[[#This Row],[Edital]],tEditais[Edital],0)),"")</f>
        <v>MUNICIPIO DE FORMIGA</v>
      </c>
      <c r="H3683" t="str">
        <f>IFERROR(INDEX(tEditais[UF],MATCH(tItens[[#This Row],[Edital]],tEditais[Edital],0)),"")</f>
        <v>MG</v>
      </c>
      <c r="I3683" s="11">
        <f>IFERROR(INDEX(tEditais[Encerramento],MATCH(tItens[[#This Row],[Edital]],tEditais[Edital],0)),"")</f>
        <v>46310.354861111111</v>
      </c>
      <c r="J3683" t="str">
        <f>IFERROR(INDEX(tProdutos[Classe],MATCH(tItens[[#This Row],[Produto]],tProdutos[Produto],0)),"produto não cadastrado")</f>
        <v>DISPUTADO</v>
      </c>
      <c r="K3683" s="12">
        <f>tItens[[#This Row],[Qtd]]*tItens[[#This Row],[Vlr unit]]</f>
        <v>33900</v>
      </c>
      <c r="L3683" s="6">
        <f>IFERROR(IF(INDEX(tProdutos[Desconto homologado],MATCH(tItens[[#This Row],[Produto]],tProdutos[Produto],0))="",DescontoPadrao,INDEX(tProdutos[Desconto homologado],MATCH(tItens[[#This Row],[Produto]],tProdutos[Produto],0))),DescontoPadrao)</f>
        <v>0.40909090909090901</v>
      </c>
      <c r="M3683" s="12">
        <f>tItens[[#This Row],[Valor]]*(1-tItens[[#This Row],[Desconto]])</f>
        <v>20031.818181818187</v>
      </c>
      <c r="N3683" t="str">
        <f>IFERROR(INDEX(tProdutos[Foco],MATCH(tItens[[#This Row],[Produto]],tProdutos[Produto],0)),"Não")</f>
        <v>Não</v>
      </c>
      <c r="O3683" t="str">
        <f>IFERROR(INDEX(tEditais[SRP],MATCH(tItens[[#This Row],[Edital]],tEditais[Edital],0)),"Não")</f>
        <v>Não</v>
      </c>
      <c r="P3683" s="4">
        <f>IF(COUNTIFS(INDEX(tItens[Edital],1):tItens[[#This Row],[Edital]],tItens[[#This Row],[Edital]],INDEX(tItens[Produto],1):tItens[[#This Row],[Produto]],tItens[[#This Row],[Produto]])=1,1,0)</f>
        <v>0</v>
      </c>
    </row>
    <row r="3684" spans="1:16" x14ac:dyDescent="0.25">
      <c r="A3684" t="s">
        <v>1508</v>
      </c>
      <c r="B3684">
        <v>8057150</v>
      </c>
      <c r="C3684" t="s">
        <v>6556</v>
      </c>
      <c r="D3684" t="s">
        <v>313</v>
      </c>
      <c r="E3684" s="13">
        <v>500</v>
      </c>
      <c r="F3684" s="12">
        <v>2.61</v>
      </c>
      <c r="G3684" t="str">
        <f>IFERROR(INDEX(tEditais[Órgão],MATCH(tItens[[#This Row],[Edital]],tEditais[Edital],0)),"")</f>
        <v>MUNICIPIO DE FORMIGA</v>
      </c>
      <c r="H3684" t="str">
        <f>IFERROR(INDEX(tEditais[UF],MATCH(tItens[[#This Row],[Edital]],tEditais[Edital],0)),"")</f>
        <v>MG</v>
      </c>
      <c r="I3684" s="11">
        <f>IFERROR(INDEX(tEditais[Encerramento],MATCH(tItens[[#This Row],[Edital]],tEditais[Edital],0)),"")</f>
        <v>46310.354861111111</v>
      </c>
      <c r="J3684" t="str">
        <f>IFERROR(INDEX(tProdutos[Classe],MATCH(tItens[[#This Row],[Produto]],tProdutos[Produto],0)),"produto não cadastrado")</f>
        <v>FORA</v>
      </c>
      <c r="K3684" s="12">
        <f>tItens[[#This Row],[Qtd]]*tItens[[#This Row],[Vlr unit]]</f>
        <v>1305</v>
      </c>
      <c r="L3684" s="6">
        <f>IFERROR(IF(INDEX(tProdutos[Desconto homologado],MATCH(tItens[[#This Row],[Produto]],tProdutos[Produto],0))="",DescontoPadrao,INDEX(tProdutos[Desconto homologado],MATCH(tItens[[#This Row],[Produto]],tProdutos[Produto],0))),DescontoPadrao)</f>
        <v>0.35766373163696302</v>
      </c>
      <c r="M3684" s="12">
        <f>tItens[[#This Row],[Valor]]*(1-tItens[[#This Row],[Desconto]])</f>
        <v>838.2488302137632</v>
      </c>
      <c r="N3684" t="str">
        <f>IFERROR(INDEX(tProdutos[Foco],MATCH(tItens[[#This Row],[Produto]],tProdutos[Produto],0)),"Não")</f>
        <v>Não</v>
      </c>
      <c r="O3684" t="str">
        <f>IFERROR(INDEX(tEditais[SRP],MATCH(tItens[[#This Row],[Edital]],tEditais[Edital],0)),"Não")</f>
        <v>Não</v>
      </c>
      <c r="P3684" s="4">
        <f>IF(COUNTIFS(INDEX(tItens[Edital],1):tItens[[#This Row],[Edital]],tItens[[#This Row],[Edital]],INDEX(tItens[Produto],1):tItens[[#This Row],[Produto]],tItens[[#This Row],[Produto]])=1,1,0)</f>
        <v>1</v>
      </c>
    </row>
    <row r="3685" spans="1:16" x14ac:dyDescent="0.25">
      <c r="A3685" t="s">
        <v>1508</v>
      </c>
      <c r="B3685">
        <v>8057151</v>
      </c>
      <c r="C3685" t="s">
        <v>6557</v>
      </c>
      <c r="D3685" t="s">
        <v>313</v>
      </c>
      <c r="E3685" s="13">
        <v>10450</v>
      </c>
      <c r="F3685" s="12">
        <v>2.4</v>
      </c>
      <c r="G3685" t="str">
        <f>IFERROR(INDEX(tEditais[Órgão],MATCH(tItens[[#This Row],[Edital]],tEditais[Edital],0)),"")</f>
        <v>MUNICIPIO DE FORMIGA</v>
      </c>
      <c r="H3685" t="str">
        <f>IFERROR(INDEX(tEditais[UF],MATCH(tItens[[#This Row],[Edital]],tEditais[Edital],0)),"")</f>
        <v>MG</v>
      </c>
      <c r="I3685" s="11">
        <f>IFERROR(INDEX(tEditais[Encerramento],MATCH(tItens[[#This Row],[Edital]],tEditais[Edital],0)),"")</f>
        <v>46310.354861111111</v>
      </c>
      <c r="J3685" t="str">
        <f>IFERROR(INDEX(tProdutos[Classe],MATCH(tItens[[#This Row],[Produto]],tProdutos[Produto],0)),"produto não cadastrado")</f>
        <v>FORA</v>
      </c>
      <c r="K3685" s="12">
        <f>tItens[[#This Row],[Qtd]]*tItens[[#This Row],[Vlr unit]]</f>
        <v>25080</v>
      </c>
      <c r="L3685" s="6">
        <f>IFERROR(IF(INDEX(tProdutos[Desconto homologado],MATCH(tItens[[#This Row],[Produto]],tProdutos[Produto],0))="",DescontoPadrao,INDEX(tProdutos[Desconto homologado],MATCH(tItens[[#This Row],[Produto]],tProdutos[Produto],0))),DescontoPadrao)</f>
        <v>0.35766373163696302</v>
      </c>
      <c r="M3685" s="12">
        <f>tItens[[#This Row],[Valor]]*(1-tItens[[#This Row],[Desconto]])</f>
        <v>16109.793610544966</v>
      </c>
      <c r="N3685" t="str">
        <f>IFERROR(INDEX(tProdutos[Foco],MATCH(tItens[[#This Row],[Produto]],tProdutos[Produto],0)),"Não")</f>
        <v>Não</v>
      </c>
      <c r="O3685" t="str">
        <f>IFERROR(INDEX(tEditais[SRP],MATCH(tItens[[#This Row],[Edital]],tEditais[Edital],0)),"Não")</f>
        <v>Não</v>
      </c>
      <c r="P3685" s="4">
        <f>IF(COUNTIFS(INDEX(tItens[Edital],1):tItens[[#This Row],[Edital]],tItens[[#This Row],[Edital]],INDEX(tItens[Produto],1):tItens[[#This Row],[Produto]],tItens[[#This Row],[Produto]])=1,1,0)</f>
        <v>0</v>
      </c>
    </row>
    <row r="3686" spans="1:16" x14ac:dyDescent="0.25">
      <c r="A3686" t="s">
        <v>1508</v>
      </c>
      <c r="B3686">
        <v>8057152</v>
      </c>
      <c r="C3686" t="s">
        <v>6558</v>
      </c>
      <c r="D3686" t="s">
        <v>313</v>
      </c>
      <c r="E3686" s="13">
        <v>1767</v>
      </c>
      <c r="F3686" s="12">
        <v>40.82</v>
      </c>
      <c r="G3686" t="str">
        <f>IFERROR(INDEX(tEditais[Órgão],MATCH(tItens[[#This Row],[Edital]],tEditais[Edital],0)),"")</f>
        <v>MUNICIPIO DE FORMIGA</v>
      </c>
      <c r="H3686" t="str">
        <f>IFERROR(INDEX(tEditais[UF],MATCH(tItens[[#This Row],[Edital]],tEditais[Edital],0)),"")</f>
        <v>MG</v>
      </c>
      <c r="I3686" s="11">
        <f>IFERROR(INDEX(tEditais[Encerramento],MATCH(tItens[[#This Row],[Edital]],tEditais[Edital],0)),"")</f>
        <v>46310.354861111111</v>
      </c>
      <c r="J3686" t="str">
        <f>IFERROR(INDEX(tProdutos[Classe],MATCH(tItens[[#This Row],[Produto]],tProdutos[Produto],0)),"produto não cadastrado")</f>
        <v>FORA</v>
      </c>
      <c r="K3686" s="12">
        <f>tItens[[#This Row],[Qtd]]*tItens[[#This Row],[Vlr unit]]</f>
        <v>72128.94</v>
      </c>
      <c r="L3686" s="6">
        <f>IFERROR(IF(INDEX(tProdutos[Desconto homologado],MATCH(tItens[[#This Row],[Produto]],tProdutos[Produto],0))="",DescontoPadrao,INDEX(tProdutos[Desconto homologado],MATCH(tItens[[#This Row],[Produto]],tProdutos[Produto],0))),DescontoPadrao)</f>
        <v>0.35766373163696302</v>
      </c>
      <c r="M3686" s="12">
        <f>tItens[[#This Row],[Valor]]*(1-tItens[[#This Row],[Desconto]])</f>
        <v>46331.034160581388</v>
      </c>
      <c r="N3686" t="str">
        <f>IFERROR(INDEX(tProdutos[Foco],MATCH(tItens[[#This Row],[Produto]],tProdutos[Produto],0)),"Não")</f>
        <v>Não</v>
      </c>
      <c r="O3686" t="str">
        <f>IFERROR(INDEX(tEditais[SRP],MATCH(tItens[[#This Row],[Edital]],tEditais[Edital],0)),"Não")</f>
        <v>Não</v>
      </c>
      <c r="P3686" s="4">
        <f>IF(COUNTIFS(INDEX(tItens[Edital],1):tItens[[#This Row],[Edital]],tItens[[#This Row],[Edital]],INDEX(tItens[Produto],1):tItens[[#This Row],[Produto]],tItens[[#This Row],[Produto]])=1,1,0)</f>
        <v>0</v>
      </c>
    </row>
    <row r="3687" spans="1:16" x14ac:dyDescent="0.25">
      <c r="A3687" t="s">
        <v>1508</v>
      </c>
      <c r="B3687">
        <v>8057153</v>
      </c>
      <c r="C3687" t="s">
        <v>6558</v>
      </c>
      <c r="D3687" t="s">
        <v>313</v>
      </c>
      <c r="E3687" s="13">
        <v>5303</v>
      </c>
      <c r="F3687" s="12">
        <v>40.82</v>
      </c>
      <c r="G3687" t="str">
        <f>IFERROR(INDEX(tEditais[Órgão],MATCH(tItens[[#This Row],[Edital]],tEditais[Edital],0)),"")</f>
        <v>MUNICIPIO DE FORMIGA</v>
      </c>
      <c r="H3687" t="str">
        <f>IFERROR(INDEX(tEditais[UF],MATCH(tItens[[#This Row],[Edital]],tEditais[Edital],0)),"")</f>
        <v>MG</v>
      </c>
      <c r="I3687" s="11">
        <f>IFERROR(INDEX(tEditais[Encerramento],MATCH(tItens[[#This Row],[Edital]],tEditais[Edital],0)),"")</f>
        <v>46310.354861111111</v>
      </c>
      <c r="J3687" t="str">
        <f>IFERROR(INDEX(tProdutos[Classe],MATCH(tItens[[#This Row],[Produto]],tProdutos[Produto],0)),"produto não cadastrado")</f>
        <v>FORA</v>
      </c>
      <c r="K3687" s="12">
        <f>tItens[[#This Row],[Qtd]]*tItens[[#This Row],[Vlr unit]]</f>
        <v>216468.46</v>
      </c>
      <c r="L3687" s="6">
        <f>IFERROR(IF(INDEX(tProdutos[Desconto homologado],MATCH(tItens[[#This Row],[Produto]],tProdutos[Produto],0))="",DescontoPadrao,INDEX(tProdutos[Desconto homologado],MATCH(tItens[[#This Row],[Produto]],tProdutos[Produto],0))),DescontoPadrao)</f>
        <v>0.35766373163696302</v>
      </c>
      <c r="M3687" s="12">
        <f>tItens[[#This Row],[Valor]]*(1-tItens[[#This Row],[Desconto]])</f>
        <v>139045.54281469333</v>
      </c>
      <c r="N3687" t="str">
        <f>IFERROR(INDEX(tProdutos[Foco],MATCH(tItens[[#This Row],[Produto]],tProdutos[Produto],0)),"Não")</f>
        <v>Não</v>
      </c>
      <c r="O3687" t="str">
        <f>IFERROR(INDEX(tEditais[SRP],MATCH(tItens[[#This Row],[Edital]],tEditais[Edital],0)),"Não")</f>
        <v>Não</v>
      </c>
      <c r="P3687" s="4">
        <f>IF(COUNTIFS(INDEX(tItens[Edital],1):tItens[[#This Row],[Edital]],tItens[[#This Row],[Edital]],INDEX(tItens[Produto],1):tItens[[#This Row],[Produto]],tItens[[#This Row],[Produto]])=1,1,0)</f>
        <v>0</v>
      </c>
    </row>
    <row r="3688" spans="1:16" x14ac:dyDescent="0.25">
      <c r="A3688" t="s">
        <v>1508</v>
      </c>
      <c r="B3688">
        <v>8057154</v>
      </c>
      <c r="C3688" t="s">
        <v>6559</v>
      </c>
      <c r="D3688" t="s">
        <v>313</v>
      </c>
      <c r="E3688" s="13">
        <v>2020</v>
      </c>
      <c r="F3688" s="12">
        <v>45.96</v>
      </c>
      <c r="G3688" t="str">
        <f>IFERROR(INDEX(tEditais[Órgão],MATCH(tItens[[#This Row],[Edital]],tEditais[Edital],0)),"")</f>
        <v>MUNICIPIO DE FORMIGA</v>
      </c>
      <c r="H3688" t="str">
        <f>IFERROR(INDEX(tEditais[UF],MATCH(tItens[[#This Row],[Edital]],tEditais[Edital],0)),"")</f>
        <v>MG</v>
      </c>
      <c r="I3688" s="11">
        <f>IFERROR(INDEX(tEditais[Encerramento],MATCH(tItens[[#This Row],[Edital]],tEditais[Edital],0)),"")</f>
        <v>46310.354861111111</v>
      </c>
      <c r="J3688" t="str">
        <f>IFERROR(INDEX(tProdutos[Classe],MATCH(tItens[[#This Row],[Produto]],tProdutos[Produto],0)),"produto não cadastrado")</f>
        <v>FORA</v>
      </c>
      <c r="K3688" s="12">
        <f>tItens[[#This Row],[Qtd]]*tItens[[#This Row],[Vlr unit]]</f>
        <v>92839.2</v>
      </c>
      <c r="L3688" s="6">
        <f>IFERROR(IF(INDEX(tProdutos[Desconto homologado],MATCH(tItens[[#This Row],[Produto]],tProdutos[Produto],0))="",DescontoPadrao,INDEX(tProdutos[Desconto homologado],MATCH(tItens[[#This Row],[Produto]],tProdutos[Produto],0))),DescontoPadrao)</f>
        <v>0.35766373163696302</v>
      </c>
      <c r="M3688" s="12">
        <f>tItens[[#This Row],[Valor]]*(1-tItens[[#This Row],[Desconto]])</f>
        <v>59633.985285809656</v>
      </c>
      <c r="N3688" t="str">
        <f>IFERROR(INDEX(tProdutos[Foco],MATCH(tItens[[#This Row],[Produto]],tProdutos[Produto],0)),"Não")</f>
        <v>Não</v>
      </c>
      <c r="O3688" t="str">
        <f>IFERROR(INDEX(tEditais[SRP],MATCH(tItens[[#This Row],[Edital]],tEditais[Edital],0)),"Não")</f>
        <v>Não</v>
      </c>
      <c r="P3688" s="4">
        <f>IF(COUNTIFS(INDEX(tItens[Edital],1):tItens[[#This Row],[Edital]],tItens[[#This Row],[Edital]],INDEX(tItens[Produto],1):tItens[[#This Row],[Produto]],tItens[[#This Row],[Produto]])=1,1,0)</f>
        <v>0</v>
      </c>
    </row>
    <row r="3689" spans="1:16" x14ac:dyDescent="0.25">
      <c r="A3689" t="s">
        <v>1508</v>
      </c>
      <c r="B3689">
        <v>8057155</v>
      </c>
      <c r="C3689" t="s">
        <v>6559</v>
      </c>
      <c r="D3689" t="s">
        <v>313</v>
      </c>
      <c r="E3689" s="13">
        <v>6060</v>
      </c>
      <c r="F3689" s="12">
        <v>45.96</v>
      </c>
      <c r="G3689" t="str">
        <f>IFERROR(INDEX(tEditais[Órgão],MATCH(tItens[[#This Row],[Edital]],tEditais[Edital],0)),"")</f>
        <v>MUNICIPIO DE FORMIGA</v>
      </c>
      <c r="H3689" t="str">
        <f>IFERROR(INDEX(tEditais[UF],MATCH(tItens[[#This Row],[Edital]],tEditais[Edital],0)),"")</f>
        <v>MG</v>
      </c>
      <c r="I3689" s="11">
        <f>IFERROR(INDEX(tEditais[Encerramento],MATCH(tItens[[#This Row],[Edital]],tEditais[Edital],0)),"")</f>
        <v>46310.354861111111</v>
      </c>
      <c r="J3689" t="str">
        <f>IFERROR(INDEX(tProdutos[Classe],MATCH(tItens[[#This Row],[Produto]],tProdutos[Produto],0)),"produto não cadastrado")</f>
        <v>FORA</v>
      </c>
      <c r="K3689" s="12">
        <f>tItens[[#This Row],[Qtd]]*tItens[[#This Row],[Vlr unit]]</f>
        <v>278517.59999999998</v>
      </c>
      <c r="L3689" s="6">
        <f>IFERROR(IF(INDEX(tProdutos[Desconto homologado],MATCH(tItens[[#This Row],[Produto]],tProdutos[Produto],0))="",DescontoPadrao,INDEX(tProdutos[Desconto homologado],MATCH(tItens[[#This Row],[Produto]],tProdutos[Produto],0))),DescontoPadrao)</f>
        <v>0.35766373163696302</v>
      </c>
      <c r="M3689" s="12">
        <f>tItens[[#This Row],[Valor]]*(1-tItens[[#This Row],[Desconto]])</f>
        <v>178901.95585742895</v>
      </c>
      <c r="N3689" t="str">
        <f>IFERROR(INDEX(tProdutos[Foco],MATCH(tItens[[#This Row],[Produto]],tProdutos[Produto],0)),"Não")</f>
        <v>Não</v>
      </c>
      <c r="O3689" t="str">
        <f>IFERROR(INDEX(tEditais[SRP],MATCH(tItens[[#This Row],[Edital]],tEditais[Edital],0)),"Não")</f>
        <v>Não</v>
      </c>
      <c r="P3689" s="4">
        <f>IF(COUNTIFS(INDEX(tItens[Edital],1):tItens[[#This Row],[Edital]],tItens[[#This Row],[Edital]],INDEX(tItens[Produto],1):tItens[[#This Row],[Produto]],tItens[[#This Row],[Produto]])=1,1,0)</f>
        <v>0</v>
      </c>
    </row>
    <row r="3690" spans="1:16" x14ac:dyDescent="0.25">
      <c r="A3690" t="s">
        <v>1508</v>
      </c>
      <c r="B3690">
        <v>8057156</v>
      </c>
      <c r="C3690" t="s">
        <v>6560</v>
      </c>
      <c r="D3690" t="s">
        <v>313</v>
      </c>
      <c r="E3690" s="13">
        <v>1755</v>
      </c>
      <c r="F3690" s="12">
        <v>28.91</v>
      </c>
      <c r="G3690" t="str">
        <f>IFERROR(INDEX(tEditais[Órgão],MATCH(tItens[[#This Row],[Edital]],tEditais[Edital],0)),"")</f>
        <v>MUNICIPIO DE FORMIGA</v>
      </c>
      <c r="H3690" t="str">
        <f>IFERROR(INDEX(tEditais[UF],MATCH(tItens[[#This Row],[Edital]],tEditais[Edital],0)),"")</f>
        <v>MG</v>
      </c>
      <c r="I3690" s="11">
        <f>IFERROR(INDEX(tEditais[Encerramento],MATCH(tItens[[#This Row],[Edital]],tEditais[Edital],0)),"")</f>
        <v>46310.354861111111</v>
      </c>
      <c r="J3690" t="str">
        <f>IFERROR(INDEX(tProdutos[Classe],MATCH(tItens[[#This Row],[Produto]],tProdutos[Produto],0)),"produto não cadastrado")</f>
        <v>FORA</v>
      </c>
      <c r="K3690" s="12">
        <f>tItens[[#This Row],[Qtd]]*tItens[[#This Row],[Vlr unit]]</f>
        <v>50737.05</v>
      </c>
      <c r="L3690" s="6">
        <f>IFERROR(IF(INDEX(tProdutos[Desconto homologado],MATCH(tItens[[#This Row],[Produto]],tProdutos[Produto],0))="",DescontoPadrao,INDEX(tProdutos[Desconto homologado],MATCH(tItens[[#This Row],[Produto]],tProdutos[Produto],0))),DescontoPadrao)</f>
        <v>0.35766373163696302</v>
      </c>
      <c r="M3690" s="12">
        <f>tItens[[#This Row],[Valor]]*(1-tItens[[#This Row],[Desconto]])</f>
        <v>32590.247364748826</v>
      </c>
      <c r="N3690" t="str">
        <f>IFERROR(INDEX(tProdutos[Foco],MATCH(tItens[[#This Row],[Produto]],tProdutos[Produto],0)),"Não")</f>
        <v>Não</v>
      </c>
      <c r="O3690" t="str">
        <f>IFERROR(INDEX(tEditais[SRP],MATCH(tItens[[#This Row],[Edital]],tEditais[Edital],0)),"Não")</f>
        <v>Não</v>
      </c>
      <c r="P3690" s="4">
        <f>IF(COUNTIFS(INDEX(tItens[Edital],1):tItens[[#This Row],[Edital]],tItens[[#This Row],[Edital]],INDEX(tItens[Produto],1):tItens[[#This Row],[Produto]],tItens[[#This Row],[Produto]])=1,1,0)</f>
        <v>0</v>
      </c>
    </row>
    <row r="3691" spans="1:16" x14ac:dyDescent="0.25">
      <c r="A3691" t="s">
        <v>1508</v>
      </c>
      <c r="B3691">
        <v>8057157</v>
      </c>
      <c r="C3691" t="s">
        <v>6560</v>
      </c>
      <c r="D3691" t="s">
        <v>313</v>
      </c>
      <c r="E3691" s="13">
        <v>5265</v>
      </c>
      <c r="F3691" s="12">
        <v>28.91</v>
      </c>
      <c r="G3691" t="str">
        <f>IFERROR(INDEX(tEditais[Órgão],MATCH(tItens[[#This Row],[Edital]],tEditais[Edital],0)),"")</f>
        <v>MUNICIPIO DE FORMIGA</v>
      </c>
      <c r="H3691" t="str">
        <f>IFERROR(INDEX(tEditais[UF],MATCH(tItens[[#This Row],[Edital]],tEditais[Edital],0)),"")</f>
        <v>MG</v>
      </c>
      <c r="I3691" s="11">
        <f>IFERROR(INDEX(tEditais[Encerramento],MATCH(tItens[[#This Row],[Edital]],tEditais[Edital],0)),"")</f>
        <v>46310.354861111111</v>
      </c>
      <c r="J3691" t="str">
        <f>IFERROR(INDEX(tProdutos[Classe],MATCH(tItens[[#This Row],[Produto]],tProdutos[Produto],0)),"produto não cadastrado")</f>
        <v>FORA</v>
      </c>
      <c r="K3691" s="12">
        <f>tItens[[#This Row],[Qtd]]*tItens[[#This Row],[Vlr unit]]</f>
        <v>152211.15</v>
      </c>
      <c r="L3691" s="6">
        <f>IFERROR(IF(INDEX(tProdutos[Desconto homologado],MATCH(tItens[[#This Row],[Produto]],tProdutos[Produto],0))="",DescontoPadrao,INDEX(tProdutos[Desconto homologado],MATCH(tItens[[#This Row],[Produto]],tProdutos[Produto],0))),DescontoPadrao)</f>
        <v>0.35766373163696302</v>
      </c>
      <c r="M3691" s="12">
        <f>tItens[[#This Row],[Valor]]*(1-tItens[[#This Row],[Desconto]])</f>
        <v>97770.742094246467</v>
      </c>
      <c r="N3691" t="str">
        <f>IFERROR(INDEX(tProdutos[Foco],MATCH(tItens[[#This Row],[Produto]],tProdutos[Produto],0)),"Não")</f>
        <v>Não</v>
      </c>
      <c r="O3691" t="str">
        <f>IFERROR(INDEX(tEditais[SRP],MATCH(tItens[[#This Row],[Edital]],tEditais[Edital],0)),"Não")</f>
        <v>Não</v>
      </c>
      <c r="P3691" s="4">
        <f>IF(COUNTIFS(INDEX(tItens[Edital],1):tItens[[#This Row],[Edital]],tItens[[#This Row],[Edital]],INDEX(tItens[Produto],1):tItens[[#This Row],[Produto]],tItens[[#This Row],[Produto]])=1,1,0)</f>
        <v>0</v>
      </c>
    </row>
    <row r="3692" spans="1:16" x14ac:dyDescent="0.25">
      <c r="A3692" t="s">
        <v>1508</v>
      </c>
      <c r="B3692">
        <v>8057158</v>
      </c>
      <c r="C3692" t="s">
        <v>6561</v>
      </c>
      <c r="D3692" t="s">
        <v>313</v>
      </c>
      <c r="E3692" s="13">
        <v>750</v>
      </c>
      <c r="F3692" s="12">
        <v>39.56</v>
      </c>
      <c r="G3692" t="str">
        <f>IFERROR(INDEX(tEditais[Órgão],MATCH(tItens[[#This Row],[Edital]],tEditais[Edital],0)),"")</f>
        <v>MUNICIPIO DE FORMIGA</v>
      </c>
      <c r="H3692" t="str">
        <f>IFERROR(INDEX(tEditais[UF],MATCH(tItens[[#This Row],[Edital]],tEditais[Edital],0)),"")</f>
        <v>MG</v>
      </c>
      <c r="I3692" s="11">
        <f>IFERROR(INDEX(tEditais[Encerramento],MATCH(tItens[[#This Row],[Edital]],tEditais[Edital],0)),"")</f>
        <v>46310.354861111111</v>
      </c>
      <c r="J3692" t="str">
        <f>IFERROR(INDEX(tProdutos[Classe],MATCH(tItens[[#This Row],[Produto]],tProdutos[Produto],0)),"produto não cadastrado")</f>
        <v>FORA</v>
      </c>
      <c r="K3692" s="12">
        <f>tItens[[#This Row],[Qtd]]*tItens[[#This Row],[Vlr unit]]</f>
        <v>29670</v>
      </c>
      <c r="L3692" s="6">
        <f>IFERROR(IF(INDEX(tProdutos[Desconto homologado],MATCH(tItens[[#This Row],[Produto]],tProdutos[Produto],0))="",DescontoPadrao,INDEX(tProdutos[Desconto homologado],MATCH(tItens[[#This Row],[Produto]],tProdutos[Produto],0))),DescontoPadrao)</f>
        <v>0.35766373163696302</v>
      </c>
      <c r="M3692" s="12">
        <f>tItens[[#This Row],[Valor]]*(1-tItens[[#This Row],[Desconto]])</f>
        <v>19058.117082331304</v>
      </c>
      <c r="N3692" t="str">
        <f>IFERROR(INDEX(tProdutos[Foco],MATCH(tItens[[#This Row],[Produto]],tProdutos[Produto],0)),"Não")</f>
        <v>Não</v>
      </c>
      <c r="O3692" t="str">
        <f>IFERROR(INDEX(tEditais[SRP],MATCH(tItens[[#This Row],[Edital]],tEditais[Edital],0)),"Não")</f>
        <v>Não</v>
      </c>
      <c r="P3692" s="4">
        <f>IF(COUNTIFS(INDEX(tItens[Edital],1):tItens[[#This Row],[Edital]],tItens[[#This Row],[Edital]],INDEX(tItens[Produto],1):tItens[[#This Row],[Produto]],tItens[[#This Row],[Produto]])=1,1,0)</f>
        <v>0</v>
      </c>
    </row>
    <row r="3693" spans="1:16" x14ac:dyDescent="0.25">
      <c r="A3693" t="s">
        <v>1508</v>
      </c>
      <c r="B3693">
        <v>8057159</v>
      </c>
      <c r="C3693" t="s">
        <v>6561</v>
      </c>
      <c r="D3693" t="s">
        <v>313</v>
      </c>
      <c r="E3693" s="13">
        <v>2250</v>
      </c>
      <c r="F3693" s="12">
        <v>39.56</v>
      </c>
      <c r="G3693" t="str">
        <f>IFERROR(INDEX(tEditais[Órgão],MATCH(tItens[[#This Row],[Edital]],tEditais[Edital],0)),"")</f>
        <v>MUNICIPIO DE FORMIGA</v>
      </c>
      <c r="H3693" t="str">
        <f>IFERROR(INDEX(tEditais[UF],MATCH(tItens[[#This Row],[Edital]],tEditais[Edital],0)),"")</f>
        <v>MG</v>
      </c>
      <c r="I3693" s="11">
        <f>IFERROR(INDEX(tEditais[Encerramento],MATCH(tItens[[#This Row],[Edital]],tEditais[Edital],0)),"")</f>
        <v>46310.354861111111</v>
      </c>
      <c r="J3693" t="str">
        <f>IFERROR(INDEX(tProdutos[Classe],MATCH(tItens[[#This Row],[Produto]],tProdutos[Produto],0)),"produto não cadastrado")</f>
        <v>FORA</v>
      </c>
      <c r="K3693" s="12">
        <f>tItens[[#This Row],[Qtd]]*tItens[[#This Row],[Vlr unit]]</f>
        <v>89010</v>
      </c>
      <c r="L3693" s="6">
        <f>IFERROR(IF(INDEX(tProdutos[Desconto homologado],MATCH(tItens[[#This Row],[Produto]],tProdutos[Produto],0))="",DescontoPadrao,INDEX(tProdutos[Desconto homologado],MATCH(tItens[[#This Row],[Produto]],tProdutos[Produto],0))),DescontoPadrao)</f>
        <v>0.35766373163696302</v>
      </c>
      <c r="M3693" s="12">
        <f>tItens[[#This Row],[Valor]]*(1-tItens[[#This Row],[Desconto]])</f>
        <v>57174.351246993916</v>
      </c>
      <c r="N3693" t="str">
        <f>IFERROR(INDEX(tProdutos[Foco],MATCH(tItens[[#This Row],[Produto]],tProdutos[Produto],0)),"Não")</f>
        <v>Não</v>
      </c>
      <c r="O3693" t="str">
        <f>IFERROR(INDEX(tEditais[SRP],MATCH(tItens[[#This Row],[Edital]],tEditais[Edital],0)),"Não")</f>
        <v>Não</v>
      </c>
      <c r="P3693" s="4">
        <f>IF(COUNTIFS(INDEX(tItens[Edital],1):tItens[[#This Row],[Edital]],tItens[[#This Row],[Edital]],INDEX(tItens[Produto],1):tItens[[#This Row],[Produto]],tItens[[#This Row],[Produto]])=1,1,0)</f>
        <v>0</v>
      </c>
    </row>
    <row r="3694" spans="1:16" x14ac:dyDescent="0.25">
      <c r="A3694" t="s">
        <v>1513</v>
      </c>
      <c r="B3694">
        <v>3</v>
      </c>
      <c r="C3694" t="s">
        <v>6562</v>
      </c>
      <c r="D3694" t="s">
        <v>494</v>
      </c>
      <c r="E3694" s="13">
        <v>175584</v>
      </c>
      <c r="F3694" s="12">
        <v>0.78</v>
      </c>
      <c r="G3694" t="str">
        <f>IFERROR(INDEX(tEditais[Órgão],MATCH(tItens[[#This Row],[Edital]],tEditais[Edital],0)),"")</f>
        <v>MUNICIPIO DE JUIZ DE FORA</v>
      </c>
      <c r="H3694" t="str">
        <f>IFERROR(INDEX(tEditais[UF],MATCH(tItens[[#This Row],[Edital]],tEditais[Edital],0)),"")</f>
        <v>MG</v>
      </c>
      <c r="I3694" s="11">
        <f>IFERROR(INDEX(tEditais[Encerramento],MATCH(tItens[[#This Row],[Edital]],tEditais[Edital],0)),"")</f>
        <v>46310.368055555555</v>
      </c>
      <c r="J3694" t="str">
        <f>IFERROR(INDEX(tProdutos[Classe],MATCH(tItens[[#This Row],[Produto]],tProdutos[Produto],0)),"produto não cadastrado")</f>
        <v>FILA REBASE</v>
      </c>
      <c r="K3694" s="12">
        <f>tItens[[#This Row],[Qtd]]*tItens[[#This Row],[Vlr unit]]</f>
        <v>136955.52000000002</v>
      </c>
      <c r="L3694" s="6">
        <f>IFERROR(IF(INDEX(tProdutos[Desconto homologado],MATCH(tItens[[#This Row],[Produto]],tProdutos[Produto],0))="",DescontoPadrao,INDEX(tProdutos[Desconto homologado],MATCH(tItens[[#This Row],[Produto]],tProdutos[Produto],0))),DescontoPadrao)</f>
        <v>0.253736324829619</v>
      </c>
      <c r="M3694" s="12">
        <f>tItens[[#This Row],[Valor]]*(1-tItens[[#This Row],[Desconto]])</f>
        <v>102204.92969007064</v>
      </c>
      <c r="N3694" t="str">
        <f>IFERROR(INDEX(tProdutos[Foco],MATCH(tItens[[#This Row],[Produto]],tProdutos[Produto],0)),"Não")</f>
        <v>Não</v>
      </c>
      <c r="O3694" t="str">
        <f>IFERROR(INDEX(tEditais[SRP],MATCH(tItens[[#This Row],[Edital]],tEditais[Edital],0)),"Não")</f>
        <v>Não</v>
      </c>
      <c r="P3694" s="4">
        <f>IF(COUNTIFS(INDEX(tItens[Edital],1):tItens[[#This Row],[Edital]],tItens[[#This Row],[Edital]],INDEX(tItens[Produto],1):tItens[[#This Row],[Produto]],tItens[[#This Row],[Produto]])=1,1,0)</f>
        <v>1</v>
      </c>
    </row>
    <row r="3695" spans="1:16" x14ac:dyDescent="0.25">
      <c r="A3695" t="s">
        <v>1513</v>
      </c>
      <c r="B3695">
        <v>4</v>
      </c>
      <c r="C3695" t="s">
        <v>6563</v>
      </c>
      <c r="D3695" t="s">
        <v>494</v>
      </c>
      <c r="E3695" s="13">
        <v>157872</v>
      </c>
      <c r="F3695" s="12">
        <v>1.07</v>
      </c>
      <c r="G3695" t="str">
        <f>IFERROR(INDEX(tEditais[Órgão],MATCH(tItens[[#This Row],[Edital]],tEditais[Edital],0)),"")</f>
        <v>MUNICIPIO DE JUIZ DE FORA</v>
      </c>
      <c r="H3695" t="str">
        <f>IFERROR(INDEX(tEditais[UF],MATCH(tItens[[#This Row],[Edital]],tEditais[Edital],0)),"")</f>
        <v>MG</v>
      </c>
      <c r="I3695" s="11">
        <f>IFERROR(INDEX(tEditais[Encerramento],MATCH(tItens[[#This Row],[Edital]],tEditais[Edital],0)),"")</f>
        <v>46310.368055555555</v>
      </c>
      <c r="J3695" t="str">
        <f>IFERROR(INDEX(tProdutos[Classe],MATCH(tItens[[#This Row],[Produto]],tProdutos[Produto],0)),"produto não cadastrado")</f>
        <v>FILA REBASE</v>
      </c>
      <c r="K3695" s="12">
        <f>tItens[[#This Row],[Qtd]]*tItens[[#This Row],[Vlr unit]]</f>
        <v>168923.04</v>
      </c>
      <c r="L3695" s="6">
        <f>IFERROR(IF(INDEX(tProdutos[Desconto homologado],MATCH(tItens[[#This Row],[Produto]],tProdutos[Produto],0))="",DescontoPadrao,INDEX(tProdutos[Desconto homologado],MATCH(tItens[[#This Row],[Produto]],tProdutos[Produto],0))),DescontoPadrao)</f>
        <v>0.253736324829619</v>
      </c>
      <c r="M3695" s="12">
        <f>tItens[[#This Row],[Valor]]*(1-tItens[[#This Row],[Desconto]])</f>
        <v>126061.1286513533</v>
      </c>
      <c r="N3695" t="str">
        <f>IFERROR(INDEX(tProdutos[Foco],MATCH(tItens[[#This Row],[Produto]],tProdutos[Produto],0)),"Não")</f>
        <v>Não</v>
      </c>
      <c r="O3695" t="str">
        <f>IFERROR(INDEX(tEditais[SRP],MATCH(tItens[[#This Row],[Edital]],tEditais[Edital],0)),"Não")</f>
        <v>Não</v>
      </c>
      <c r="P3695" s="4">
        <f>IF(COUNTIFS(INDEX(tItens[Edital],1):tItens[[#This Row],[Edital]],tItens[[#This Row],[Edital]],INDEX(tItens[Produto],1):tItens[[#This Row],[Produto]],tItens[[#This Row],[Produto]])=1,1,0)</f>
        <v>0</v>
      </c>
    </row>
    <row r="3696" spans="1:16" x14ac:dyDescent="0.25">
      <c r="A3696" t="s">
        <v>1513</v>
      </c>
      <c r="B3696">
        <v>5</v>
      </c>
      <c r="C3696" t="s">
        <v>6564</v>
      </c>
      <c r="D3696" t="s">
        <v>494</v>
      </c>
      <c r="E3696" s="13">
        <v>246864</v>
      </c>
      <c r="F3696" s="12">
        <v>0.35</v>
      </c>
      <c r="G3696" t="str">
        <f>IFERROR(INDEX(tEditais[Órgão],MATCH(tItens[[#This Row],[Edital]],tEditais[Edital],0)),"")</f>
        <v>MUNICIPIO DE JUIZ DE FORA</v>
      </c>
      <c r="H3696" t="str">
        <f>IFERROR(INDEX(tEditais[UF],MATCH(tItens[[#This Row],[Edital]],tEditais[Edital],0)),"")</f>
        <v>MG</v>
      </c>
      <c r="I3696" s="11">
        <f>IFERROR(INDEX(tEditais[Encerramento],MATCH(tItens[[#This Row],[Edital]],tEditais[Edital],0)),"")</f>
        <v>46310.368055555555</v>
      </c>
      <c r="J3696" t="str">
        <f>IFERROR(INDEX(tProdutos[Classe],MATCH(tItens[[#This Row],[Produto]],tProdutos[Produto],0)),"produto não cadastrado")</f>
        <v>FILA REBASE</v>
      </c>
      <c r="K3696" s="12">
        <f>tItens[[#This Row],[Qtd]]*tItens[[#This Row],[Vlr unit]]</f>
        <v>86402.4</v>
      </c>
      <c r="L3696" s="6">
        <f>IFERROR(IF(INDEX(tProdutos[Desconto homologado],MATCH(tItens[[#This Row],[Produto]],tProdutos[Produto],0))="",DescontoPadrao,INDEX(tProdutos[Desconto homologado],MATCH(tItens[[#This Row],[Produto]],tProdutos[Produto],0))),DescontoPadrao)</f>
        <v>0.253736324829619</v>
      </c>
      <c r="M3696" s="12">
        <f>tItens[[#This Row],[Valor]]*(1-tItens[[#This Row],[Desconto]])</f>
        <v>64478.972567541328</v>
      </c>
      <c r="N3696" t="str">
        <f>IFERROR(INDEX(tProdutos[Foco],MATCH(tItens[[#This Row],[Produto]],tProdutos[Produto],0)),"Não")</f>
        <v>Não</v>
      </c>
      <c r="O3696" t="str">
        <f>IFERROR(INDEX(tEditais[SRP],MATCH(tItens[[#This Row],[Edital]],tEditais[Edital],0)),"Não")</f>
        <v>Não</v>
      </c>
      <c r="P3696" s="4">
        <f>IF(COUNTIFS(INDEX(tItens[Edital],1):tItens[[#This Row],[Edital]],tItens[[#This Row],[Edital]],INDEX(tItens[Produto],1):tItens[[#This Row],[Produto]],tItens[[#This Row],[Produto]])=1,1,0)</f>
        <v>0</v>
      </c>
    </row>
    <row r="3697" spans="1:16" x14ac:dyDescent="0.25">
      <c r="A3697" t="s">
        <v>1513</v>
      </c>
      <c r="B3697">
        <v>6</v>
      </c>
      <c r="C3697" t="s">
        <v>6565</v>
      </c>
      <c r="D3697" t="s">
        <v>494</v>
      </c>
      <c r="E3697" s="13">
        <v>56400</v>
      </c>
      <c r="F3697" s="12">
        <v>67.64</v>
      </c>
      <c r="G3697" t="str">
        <f>IFERROR(INDEX(tEditais[Órgão],MATCH(tItens[[#This Row],[Edital]],tEditais[Edital],0)),"")</f>
        <v>MUNICIPIO DE JUIZ DE FORA</v>
      </c>
      <c r="H3697" t="str">
        <f>IFERROR(INDEX(tEditais[UF],MATCH(tItens[[#This Row],[Edital]],tEditais[Edital],0)),"")</f>
        <v>MG</v>
      </c>
      <c r="I3697" s="11">
        <f>IFERROR(INDEX(tEditais[Encerramento],MATCH(tItens[[#This Row],[Edital]],tEditais[Edital],0)),"")</f>
        <v>46310.368055555555</v>
      </c>
      <c r="J3697" t="str">
        <f>IFERROR(INDEX(tProdutos[Classe],MATCH(tItens[[#This Row],[Produto]],tProdutos[Produto],0)),"produto não cadastrado")</f>
        <v>FILA REBASE</v>
      </c>
      <c r="K3697" s="12">
        <f>tItens[[#This Row],[Qtd]]*tItens[[#This Row],[Vlr unit]]</f>
        <v>3814896</v>
      </c>
      <c r="L3697" s="6">
        <f>IFERROR(IF(INDEX(tProdutos[Desconto homologado],MATCH(tItens[[#This Row],[Produto]],tProdutos[Produto],0))="",DescontoPadrao,INDEX(tProdutos[Desconto homologado],MATCH(tItens[[#This Row],[Produto]],tProdutos[Produto],0))),DescontoPadrao)</f>
        <v>0.253736324829619</v>
      </c>
      <c r="M3697" s="12">
        <f>tItens[[#This Row],[Valor]]*(1-tItens[[#This Row],[Desconto]])</f>
        <v>2846918.3093527858</v>
      </c>
      <c r="N3697" t="str">
        <f>IFERROR(INDEX(tProdutos[Foco],MATCH(tItens[[#This Row],[Produto]],tProdutos[Produto],0)),"Não")</f>
        <v>Não</v>
      </c>
      <c r="O3697" t="str">
        <f>IFERROR(INDEX(tEditais[SRP],MATCH(tItens[[#This Row],[Edital]],tEditais[Edital],0)),"Não")</f>
        <v>Não</v>
      </c>
      <c r="P3697" s="4">
        <f>IF(COUNTIFS(INDEX(tItens[Edital],1):tItens[[#This Row],[Edital]],tItens[[#This Row],[Edital]],INDEX(tItens[Produto],1):tItens[[#This Row],[Produto]],tItens[[#This Row],[Produto]])=1,1,0)</f>
        <v>0</v>
      </c>
    </row>
    <row r="3698" spans="1:16" x14ac:dyDescent="0.25">
      <c r="A3698" t="s">
        <v>1513</v>
      </c>
      <c r="B3698">
        <v>9</v>
      </c>
      <c r="C3698" t="s">
        <v>6566</v>
      </c>
      <c r="D3698" t="s">
        <v>411</v>
      </c>
      <c r="E3698" s="13">
        <v>82800</v>
      </c>
      <c r="F3698" s="12">
        <v>18.079999999999998</v>
      </c>
      <c r="G3698" t="str">
        <f>IFERROR(INDEX(tEditais[Órgão],MATCH(tItens[[#This Row],[Edital]],tEditais[Edital],0)),"")</f>
        <v>MUNICIPIO DE JUIZ DE FORA</v>
      </c>
      <c r="H3698" t="str">
        <f>IFERROR(INDEX(tEditais[UF],MATCH(tItens[[#This Row],[Edital]],tEditais[Edital],0)),"")</f>
        <v>MG</v>
      </c>
      <c r="I3698" s="11">
        <f>IFERROR(INDEX(tEditais[Encerramento],MATCH(tItens[[#This Row],[Edital]],tEditais[Edital],0)),"")</f>
        <v>46310.368055555555</v>
      </c>
      <c r="J3698" t="str">
        <f>IFERROR(INDEX(tProdutos[Classe],MATCH(tItens[[#This Row],[Produto]],tProdutos[Produto],0)),"produto não cadastrado")</f>
        <v>FORA</v>
      </c>
      <c r="K3698" s="12">
        <f>tItens[[#This Row],[Qtd]]*tItens[[#This Row],[Vlr unit]]</f>
        <v>1497023.9999999998</v>
      </c>
      <c r="L3698" s="6">
        <f>IFERROR(IF(INDEX(tProdutos[Desconto homologado],MATCH(tItens[[#This Row],[Produto]],tProdutos[Produto],0))="",DescontoPadrao,INDEX(tProdutos[Desconto homologado],MATCH(tItens[[#This Row],[Produto]],tProdutos[Produto],0))),DescontoPadrao)</f>
        <v>0.50029835957199398</v>
      </c>
      <c r="M3698" s="12">
        <f>tItens[[#This Row],[Valor]]*(1-tItens[[#This Row],[Desconto]])</f>
        <v>748065.34856009518</v>
      </c>
      <c r="N3698" t="str">
        <f>IFERROR(INDEX(tProdutos[Foco],MATCH(tItens[[#This Row],[Produto]],tProdutos[Produto],0)),"Não")</f>
        <v>Não</v>
      </c>
      <c r="O3698" t="str">
        <f>IFERROR(INDEX(tEditais[SRP],MATCH(tItens[[#This Row],[Edital]],tEditais[Edital],0)),"Não")</f>
        <v>Não</v>
      </c>
      <c r="P3698" s="4">
        <f>IF(COUNTIFS(INDEX(tItens[Edital],1):tItens[[#This Row],[Edital]],tItens[[#This Row],[Edital]],INDEX(tItens[Produto],1):tItens[[#This Row],[Produto]],tItens[[#This Row],[Produto]])=1,1,0)</f>
        <v>1</v>
      </c>
    </row>
    <row r="3699" spans="1:16" x14ac:dyDescent="0.25">
      <c r="A3699" t="s">
        <v>1513</v>
      </c>
      <c r="B3699">
        <v>10</v>
      </c>
      <c r="C3699" t="s">
        <v>6567</v>
      </c>
      <c r="D3699" t="s">
        <v>104</v>
      </c>
      <c r="E3699" s="13">
        <v>45624</v>
      </c>
      <c r="F3699" s="12">
        <v>1.2</v>
      </c>
      <c r="G3699" t="str">
        <f>IFERROR(INDEX(tEditais[Órgão],MATCH(tItens[[#This Row],[Edital]],tEditais[Edital],0)),"")</f>
        <v>MUNICIPIO DE JUIZ DE FORA</v>
      </c>
      <c r="H3699" t="str">
        <f>IFERROR(INDEX(tEditais[UF],MATCH(tItens[[#This Row],[Edital]],tEditais[Edital],0)),"")</f>
        <v>MG</v>
      </c>
      <c r="I3699" s="11">
        <f>IFERROR(INDEX(tEditais[Encerramento],MATCH(tItens[[#This Row],[Edital]],tEditais[Edital],0)),"")</f>
        <v>46310.368055555555</v>
      </c>
      <c r="J3699" t="str">
        <f>IFERROR(INDEX(tProdutos[Classe],MATCH(tItens[[#This Row],[Produto]],tProdutos[Produto],0)),"produto não cadastrado")</f>
        <v>DISPUTADO</v>
      </c>
      <c r="K3699" s="12">
        <f>tItens[[#This Row],[Qtd]]*tItens[[#This Row],[Vlr unit]]</f>
        <v>54748.799999999996</v>
      </c>
      <c r="L3699" s="6">
        <f>IFERROR(IF(INDEX(tProdutos[Desconto homologado],MATCH(tItens[[#This Row],[Produto]],tProdutos[Produto],0))="",DescontoPadrao,INDEX(tProdutos[Desconto homologado],MATCH(tItens[[#This Row],[Produto]],tProdutos[Produto],0))),DescontoPadrao)</f>
        <v>0.51</v>
      </c>
      <c r="M3699" s="12">
        <f>tItens[[#This Row],[Valor]]*(1-tItens[[#This Row],[Desconto]])</f>
        <v>26826.911999999997</v>
      </c>
      <c r="N3699" t="str">
        <f>IFERROR(INDEX(tProdutos[Foco],MATCH(tItens[[#This Row],[Produto]],tProdutos[Produto],0)),"Não")</f>
        <v>Sim</v>
      </c>
      <c r="O3699" t="str">
        <f>IFERROR(INDEX(tEditais[SRP],MATCH(tItens[[#This Row],[Edital]],tEditais[Edital],0)),"Não")</f>
        <v>Não</v>
      </c>
      <c r="P3699" s="4">
        <f>IF(COUNTIFS(INDEX(tItens[Edital],1):tItens[[#This Row],[Edital]],tItens[[#This Row],[Edital]],INDEX(tItens[Produto],1):tItens[[#This Row],[Produto]],tItens[[#This Row],[Produto]])=1,1,0)</f>
        <v>1</v>
      </c>
    </row>
    <row r="3700" spans="1:16" x14ac:dyDescent="0.25">
      <c r="A3700" t="s">
        <v>1513</v>
      </c>
      <c r="B3700">
        <v>11</v>
      </c>
      <c r="C3700" t="s">
        <v>6568</v>
      </c>
      <c r="D3700" t="s">
        <v>104</v>
      </c>
      <c r="E3700" s="13">
        <v>12480</v>
      </c>
      <c r="F3700" s="12">
        <v>12.48</v>
      </c>
      <c r="G3700" t="str">
        <f>IFERROR(INDEX(tEditais[Órgão],MATCH(tItens[[#This Row],[Edital]],tEditais[Edital],0)),"")</f>
        <v>MUNICIPIO DE JUIZ DE FORA</v>
      </c>
      <c r="H3700" t="str">
        <f>IFERROR(INDEX(tEditais[UF],MATCH(tItens[[#This Row],[Edital]],tEditais[Edital],0)),"")</f>
        <v>MG</v>
      </c>
      <c r="I3700" s="11">
        <f>IFERROR(INDEX(tEditais[Encerramento],MATCH(tItens[[#This Row],[Edital]],tEditais[Edital],0)),"")</f>
        <v>46310.368055555555</v>
      </c>
      <c r="J3700" t="str">
        <f>IFERROR(INDEX(tProdutos[Classe],MATCH(tItens[[#This Row],[Produto]],tProdutos[Produto],0)),"produto não cadastrado")</f>
        <v>DISPUTADO</v>
      </c>
      <c r="K3700" s="12">
        <f>tItens[[#This Row],[Qtd]]*tItens[[#This Row],[Vlr unit]]</f>
        <v>155750.39999999999</v>
      </c>
      <c r="L3700" s="6">
        <f>IFERROR(IF(INDEX(tProdutos[Desconto homologado],MATCH(tItens[[#This Row],[Produto]],tProdutos[Produto],0))="",DescontoPadrao,INDEX(tProdutos[Desconto homologado],MATCH(tItens[[#This Row],[Produto]],tProdutos[Produto],0))),DescontoPadrao)</f>
        <v>0.51</v>
      </c>
      <c r="M3700" s="12">
        <f>tItens[[#This Row],[Valor]]*(1-tItens[[#This Row],[Desconto]])</f>
        <v>76317.695999999996</v>
      </c>
      <c r="N3700" t="str">
        <f>IFERROR(INDEX(tProdutos[Foco],MATCH(tItens[[#This Row],[Produto]],tProdutos[Produto],0)),"Não")</f>
        <v>Sim</v>
      </c>
      <c r="O3700" t="str">
        <f>IFERROR(INDEX(tEditais[SRP],MATCH(tItens[[#This Row],[Edital]],tEditais[Edital],0)),"Não")</f>
        <v>Não</v>
      </c>
      <c r="P3700" s="4">
        <f>IF(COUNTIFS(INDEX(tItens[Edital],1):tItens[[#This Row],[Edital]],tItens[[#This Row],[Edital]],INDEX(tItens[Produto],1):tItens[[#This Row],[Produto]],tItens[[#This Row],[Produto]])=1,1,0)</f>
        <v>0</v>
      </c>
    </row>
    <row r="3701" spans="1:16" x14ac:dyDescent="0.25">
      <c r="A3701" t="s">
        <v>1513</v>
      </c>
      <c r="B3701">
        <v>13</v>
      </c>
      <c r="C3701" t="s">
        <v>6569</v>
      </c>
      <c r="D3701" t="s">
        <v>178</v>
      </c>
      <c r="E3701" s="13">
        <v>12240</v>
      </c>
      <c r="F3701" s="12">
        <v>2.4300000000000002</v>
      </c>
      <c r="G3701" t="str">
        <f>IFERROR(INDEX(tEditais[Órgão],MATCH(tItens[[#This Row],[Edital]],tEditais[Edital],0)),"")</f>
        <v>MUNICIPIO DE JUIZ DE FORA</v>
      </c>
      <c r="H3701" t="str">
        <f>IFERROR(INDEX(tEditais[UF],MATCH(tItens[[#This Row],[Edital]],tEditais[Edital],0)),"")</f>
        <v>MG</v>
      </c>
      <c r="I3701" s="11">
        <f>IFERROR(INDEX(tEditais[Encerramento],MATCH(tItens[[#This Row],[Edital]],tEditais[Edital],0)),"")</f>
        <v>46310.368055555555</v>
      </c>
      <c r="J3701" t="str">
        <f>IFERROR(INDEX(tProdutos[Classe],MATCH(tItens[[#This Row],[Produto]],tProdutos[Produto],0)),"produto não cadastrado")</f>
        <v>DISPUTADO</v>
      </c>
      <c r="K3701" s="12">
        <f>tItens[[#This Row],[Qtd]]*tItens[[#This Row],[Vlr unit]]</f>
        <v>29743.200000000001</v>
      </c>
      <c r="L3701" s="6">
        <f>IFERROR(IF(INDEX(tProdutos[Desconto homologado],MATCH(tItens[[#This Row],[Produto]],tProdutos[Produto],0))="",DescontoPadrao,INDEX(tProdutos[Desconto homologado],MATCH(tItens[[#This Row],[Produto]],tProdutos[Produto],0))),DescontoPadrao)</f>
        <v>0.49882919126848801</v>
      </c>
      <c r="M3701" s="12">
        <f>tItens[[#This Row],[Valor]]*(1-tItens[[#This Row],[Desconto]])</f>
        <v>14906.423598263107</v>
      </c>
      <c r="N3701" t="str">
        <f>IFERROR(INDEX(tProdutos[Foco],MATCH(tItens[[#This Row],[Produto]],tProdutos[Produto],0)),"Não")</f>
        <v>Não</v>
      </c>
      <c r="O3701" t="str">
        <f>IFERROR(INDEX(tEditais[SRP],MATCH(tItens[[#This Row],[Edital]],tEditais[Edital],0)),"Não")</f>
        <v>Não</v>
      </c>
      <c r="P3701" s="4">
        <f>IF(COUNTIFS(INDEX(tItens[Edital],1):tItens[[#This Row],[Edital]],tItens[[#This Row],[Edital]],INDEX(tItens[Produto],1):tItens[[#This Row],[Produto]],tItens[[#This Row],[Produto]])=1,1,0)</f>
        <v>1</v>
      </c>
    </row>
    <row r="3702" spans="1:16" x14ac:dyDescent="0.25">
      <c r="A3702" t="s">
        <v>1518</v>
      </c>
      <c r="B3702">
        <v>11</v>
      </c>
      <c r="C3702" t="s">
        <v>6570</v>
      </c>
      <c r="D3702" t="s">
        <v>339</v>
      </c>
      <c r="E3702" s="13">
        <v>540</v>
      </c>
      <c r="F3702" s="12">
        <v>25.33</v>
      </c>
      <c r="G3702" t="str">
        <f>IFERROR(INDEX(tEditais[Órgão],MATCH(tItens[[#This Row],[Edital]],tEditais[Edital],0)),"")</f>
        <v>MUNICIPIO DE JACUTINGA</v>
      </c>
      <c r="H3702" t="str">
        <f>IFERROR(INDEX(tEditais[UF],MATCH(tItens[[#This Row],[Edital]],tEditais[Edital],0)),"")</f>
        <v>MG</v>
      </c>
      <c r="I3702" s="11">
        <f>IFERROR(INDEX(tEditais[Encerramento],MATCH(tItens[[#This Row],[Edital]],tEditais[Edital],0)),"")</f>
        <v>46310.374305555553</v>
      </c>
      <c r="J3702" t="str">
        <f>IFERROR(INDEX(tProdutos[Classe],MATCH(tItens[[#This Row],[Produto]],tProdutos[Produto],0)),"produto não cadastrado")</f>
        <v>FORA</v>
      </c>
      <c r="K3702" s="12">
        <f>tItens[[#This Row],[Qtd]]*tItens[[#This Row],[Vlr unit]]</f>
        <v>13678.199999999999</v>
      </c>
      <c r="L3702" s="6">
        <f>IFERROR(IF(INDEX(tProdutos[Desconto homologado],MATCH(tItens[[#This Row],[Produto]],tProdutos[Produto],0))="",DescontoPadrao,INDEX(tProdutos[Desconto homologado],MATCH(tItens[[#This Row],[Produto]],tProdutos[Produto],0))),DescontoPadrao)</f>
        <v>0.35388629091804102</v>
      </c>
      <c r="M3702" s="12">
        <f>tItens[[#This Row],[Valor]]*(1-tItens[[#This Row],[Desconto]])</f>
        <v>8837.6725355648505</v>
      </c>
      <c r="N3702" t="str">
        <f>IFERROR(INDEX(tProdutos[Foco],MATCH(tItens[[#This Row],[Produto]],tProdutos[Produto],0)),"Não")</f>
        <v>Não</v>
      </c>
      <c r="O3702" t="str">
        <f>IFERROR(INDEX(tEditais[SRP],MATCH(tItens[[#This Row],[Edital]],tEditais[Edital],0)),"Não")</f>
        <v>Não</v>
      </c>
      <c r="P3702" s="4">
        <f>IF(COUNTIFS(INDEX(tItens[Edital],1):tItens[[#This Row],[Edital]],tItens[[#This Row],[Edital]],INDEX(tItens[Produto],1):tItens[[#This Row],[Produto]],tItens[[#This Row],[Produto]])=1,1,0)</f>
        <v>1</v>
      </c>
    </row>
    <row r="3703" spans="1:16" x14ac:dyDescent="0.25">
      <c r="A3703" t="s">
        <v>1518</v>
      </c>
      <c r="B3703">
        <v>12</v>
      </c>
      <c r="C3703" t="s">
        <v>6571</v>
      </c>
      <c r="D3703" t="s">
        <v>393</v>
      </c>
      <c r="E3703" s="13">
        <v>255</v>
      </c>
      <c r="F3703" s="12">
        <v>13.56</v>
      </c>
      <c r="G3703" t="str">
        <f>IFERROR(INDEX(tEditais[Órgão],MATCH(tItens[[#This Row],[Edital]],tEditais[Edital],0)),"")</f>
        <v>MUNICIPIO DE JACUTINGA</v>
      </c>
      <c r="H3703" t="str">
        <f>IFERROR(INDEX(tEditais[UF],MATCH(tItens[[#This Row],[Edital]],tEditais[Edital],0)),"")</f>
        <v>MG</v>
      </c>
      <c r="I3703" s="11">
        <f>IFERROR(INDEX(tEditais[Encerramento],MATCH(tItens[[#This Row],[Edital]],tEditais[Edital],0)),"")</f>
        <v>46310.374305555553</v>
      </c>
      <c r="J3703" t="str">
        <f>IFERROR(INDEX(tProdutos[Classe],MATCH(tItens[[#This Row],[Produto]],tProdutos[Produto],0)),"produto não cadastrado")</f>
        <v>FORA</v>
      </c>
      <c r="K3703" s="12">
        <f>tItens[[#This Row],[Qtd]]*tItens[[#This Row],[Vlr unit]]</f>
        <v>3457.8</v>
      </c>
      <c r="L3703" s="6">
        <f>IFERROR(IF(INDEX(tProdutos[Desconto homologado],MATCH(tItens[[#This Row],[Produto]],tProdutos[Produto],0))="",DescontoPadrao,INDEX(tProdutos[Desconto homologado],MATCH(tItens[[#This Row],[Produto]],tProdutos[Produto],0))),DescontoPadrao)</f>
        <v>0.286445012787724</v>
      </c>
      <c r="M3703" s="12">
        <f>tItens[[#This Row],[Valor]]*(1-tItens[[#This Row],[Desconto]])</f>
        <v>2467.3304347826079</v>
      </c>
      <c r="N3703" t="str">
        <f>IFERROR(INDEX(tProdutos[Foco],MATCH(tItens[[#This Row],[Produto]],tProdutos[Produto],0)),"Não")</f>
        <v>Não</v>
      </c>
      <c r="O3703" t="str">
        <f>IFERROR(INDEX(tEditais[SRP],MATCH(tItens[[#This Row],[Edital]],tEditais[Edital],0)),"Não")</f>
        <v>Não</v>
      </c>
      <c r="P3703" s="4">
        <f>IF(COUNTIFS(INDEX(tItens[Edital],1):tItens[[#This Row],[Edital]],tItens[[#This Row],[Edital]],INDEX(tItens[Produto],1):tItens[[#This Row],[Produto]],tItens[[#This Row],[Produto]])=1,1,0)</f>
        <v>1</v>
      </c>
    </row>
    <row r="3704" spans="1:16" x14ac:dyDescent="0.25">
      <c r="A3704" t="s">
        <v>1518</v>
      </c>
      <c r="B3704">
        <v>13</v>
      </c>
      <c r="C3704" t="s">
        <v>6572</v>
      </c>
      <c r="D3704" t="s">
        <v>393</v>
      </c>
      <c r="E3704" s="13">
        <v>15</v>
      </c>
      <c r="F3704" s="12">
        <v>13.94</v>
      </c>
      <c r="G3704" t="str">
        <f>IFERROR(INDEX(tEditais[Órgão],MATCH(tItens[[#This Row],[Edital]],tEditais[Edital],0)),"")</f>
        <v>MUNICIPIO DE JACUTINGA</v>
      </c>
      <c r="H3704" t="str">
        <f>IFERROR(INDEX(tEditais[UF],MATCH(tItens[[#This Row],[Edital]],tEditais[Edital],0)),"")</f>
        <v>MG</v>
      </c>
      <c r="I3704" s="11">
        <f>IFERROR(INDEX(tEditais[Encerramento],MATCH(tItens[[#This Row],[Edital]],tEditais[Edital],0)),"")</f>
        <v>46310.374305555553</v>
      </c>
      <c r="J3704" t="str">
        <f>IFERROR(INDEX(tProdutos[Classe],MATCH(tItens[[#This Row],[Produto]],tProdutos[Produto],0)),"produto não cadastrado")</f>
        <v>FORA</v>
      </c>
      <c r="K3704" s="12">
        <f>tItens[[#This Row],[Qtd]]*tItens[[#This Row],[Vlr unit]]</f>
        <v>209.1</v>
      </c>
      <c r="L3704" s="6">
        <f>IFERROR(IF(INDEX(tProdutos[Desconto homologado],MATCH(tItens[[#This Row],[Produto]],tProdutos[Produto],0))="",DescontoPadrao,INDEX(tProdutos[Desconto homologado],MATCH(tItens[[#This Row],[Produto]],tProdutos[Produto],0))),DescontoPadrao)</f>
        <v>0.286445012787724</v>
      </c>
      <c r="M3704" s="12">
        <f>tItens[[#This Row],[Valor]]*(1-tItens[[#This Row],[Desconto]])</f>
        <v>149.20434782608689</v>
      </c>
      <c r="N3704" t="str">
        <f>IFERROR(INDEX(tProdutos[Foco],MATCH(tItens[[#This Row],[Produto]],tProdutos[Produto],0)),"Não")</f>
        <v>Não</v>
      </c>
      <c r="O3704" t="str">
        <f>IFERROR(INDEX(tEditais[SRP],MATCH(tItens[[#This Row],[Edital]],tEditais[Edital],0)),"Não")</f>
        <v>Não</v>
      </c>
      <c r="P3704" s="4">
        <f>IF(COUNTIFS(INDEX(tItens[Edital],1):tItens[[#This Row],[Edital]],tItens[[#This Row],[Edital]],INDEX(tItens[Produto],1):tItens[[#This Row],[Produto]],tItens[[#This Row],[Produto]])=1,1,0)</f>
        <v>0</v>
      </c>
    </row>
    <row r="3705" spans="1:16" x14ac:dyDescent="0.25">
      <c r="A3705" t="s">
        <v>1518</v>
      </c>
      <c r="B3705">
        <v>17</v>
      </c>
      <c r="C3705" t="s">
        <v>6573</v>
      </c>
      <c r="D3705" t="s">
        <v>267</v>
      </c>
      <c r="E3705" s="13">
        <v>660</v>
      </c>
      <c r="F3705" s="12">
        <v>10.79</v>
      </c>
      <c r="G3705" t="str">
        <f>IFERROR(INDEX(tEditais[Órgão],MATCH(tItens[[#This Row],[Edital]],tEditais[Edital],0)),"")</f>
        <v>MUNICIPIO DE JACUTINGA</v>
      </c>
      <c r="H3705" t="str">
        <f>IFERROR(INDEX(tEditais[UF],MATCH(tItens[[#This Row],[Edital]],tEditais[Edital],0)),"")</f>
        <v>MG</v>
      </c>
      <c r="I3705" s="11">
        <f>IFERROR(INDEX(tEditais[Encerramento],MATCH(tItens[[#This Row],[Edital]],tEditais[Edital],0)),"")</f>
        <v>46310.374305555553</v>
      </c>
      <c r="J3705" t="str">
        <f>IFERROR(INDEX(tProdutos[Classe],MATCH(tItens[[#This Row],[Produto]],tProdutos[Produto],0)),"produto não cadastrado")</f>
        <v>FORA</v>
      </c>
      <c r="K3705" s="12">
        <f>tItens[[#This Row],[Qtd]]*tItens[[#This Row],[Vlr unit]]</f>
        <v>7121.4</v>
      </c>
      <c r="L3705" s="6">
        <f>IFERROR(IF(INDEX(tProdutos[Desconto homologado],MATCH(tItens[[#This Row],[Produto]],tProdutos[Produto],0))="",DescontoPadrao,INDEX(tProdutos[Desconto homologado],MATCH(tItens[[#This Row],[Produto]],tProdutos[Produto],0))),DescontoPadrao)</f>
        <v>0.19963672657401599</v>
      </c>
      <c r="M3705" s="12">
        <f>tItens[[#This Row],[Valor]]*(1-tItens[[#This Row],[Desconto]])</f>
        <v>5699.7070153758023</v>
      </c>
      <c r="N3705" t="str">
        <f>IFERROR(INDEX(tProdutos[Foco],MATCH(tItens[[#This Row],[Produto]],tProdutos[Produto],0)),"Não")</f>
        <v>Não</v>
      </c>
      <c r="O3705" t="str">
        <f>IFERROR(INDEX(tEditais[SRP],MATCH(tItens[[#This Row],[Edital]],tEditais[Edital],0)),"Não")</f>
        <v>Não</v>
      </c>
      <c r="P3705" s="4">
        <f>IF(COUNTIFS(INDEX(tItens[Edital],1):tItens[[#This Row],[Edital]],tItens[[#This Row],[Edital]],INDEX(tItens[Produto],1):tItens[[#This Row],[Produto]],tItens[[#This Row],[Produto]])=1,1,0)</f>
        <v>1</v>
      </c>
    </row>
    <row r="3706" spans="1:16" x14ac:dyDescent="0.25">
      <c r="A3706" t="s">
        <v>1518</v>
      </c>
      <c r="B3706">
        <v>18</v>
      </c>
      <c r="C3706" t="s">
        <v>6574</v>
      </c>
      <c r="D3706" t="s">
        <v>267</v>
      </c>
      <c r="E3706" s="13">
        <v>110</v>
      </c>
      <c r="F3706" s="12">
        <v>26.9</v>
      </c>
      <c r="G3706" t="str">
        <f>IFERROR(INDEX(tEditais[Órgão],MATCH(tItens[[#This Row],[Edital]],tEditais[Edital],0)),"")</f>
        <v>MUNICIPIO DE JACUTINGA</v>
      </c>
      <c r="H3706" t="str">
        <f>IFERROR(INDEX(tEditais[UF],MATCH(tItens[[#This Row],[Edital]],tEditais[Edital],0)),"")</f>
        <v>MG</v>
      </c>
      <c r="I3706" s="11">
        <f>IFERROR(INDEX(tEditais[Encerramento],MATCH(tItens[[#This Row],[Edital]],tEditais[Edital],0)),"")</f>
        <v>46310.374305555553</v>
      </c>
      <c r="J3706" t="str">
        <f>IFERROR(INDEX(tProdutos[Classe],MATCH(tItens[[#This Row],[Produto]],tProdutos[Produto],0)),"produto não cadastrado")</f>
        <v>FORA</v>
      </c>
      <c r="K3706" s="12">
        <f>tItens[[#This Row],[Qtd]]*tItens[[#This Row],[Vlr unit]]</f>
        <v>2959</v>
      </c>
      <c r="L3706" s="6">
        <f>IFERROR(IF(INDEX(tProdutos[Desconto homologado],MATCH(tItens[[#This Row],[Produto]],tProdutos[Produto],0))="",DescontoPadrao,INDEX(tProdutos[Desconto homologado],MATCH(tItens[[#This Row],[Produto]],tProdutos[Produto],0))),DescontoPadrao)</f>
        <v>0.19963672657401599</v>
      </c>
      <c r="M3706" s="12">
        <f>tItens[[#This Row],[Valor]]*(1-tItens[[#This Row],[Desconto]])</f>
        <v>2368.2749260674868</v>
      </c>
      <c r="N3706" t="str">
        <f>IFERROR(INDEX(tProdutos[Foco],MATCH(tItens[[#This Row],[Produto]],tProdutos[Produto],0)),"Não")</f>
        <v>Não</v>
      </c>
      <c r="O3706" t="str">
        <f>IFERROR(INDEX(tEditais[SRP],MATCH(tItens[[#This Row],[Edital]],tEditais[Edital],0)),"Não")</f>
        <v>Não</v>
      </c>
      <c r="P3706" s="4">
        <f>IF(COUNTIFS(INDEX(tItens[Edital],1):tItens[[#This Row],[Edital]],tItens[[#This Row],[Edital]],INDEX(tItens[Produto],1):tItens[[#This Row],[Produto]],tItens[[#This Row],[Produto]])=1,1,0)</f>
        <v>0</v>
      </c>
    </row>
    <row r="3707" spans="1:16" x14ac:dyDescent="0.25">
      <c r="A3707" t="s">
        <v>1518</v>
      </c>
      <c r="B3707">
        <v>19</v>
      </c>
      <c r="C3707" t="s">
        <v>6575</v>
      </c>
      <c r="D3707" t="s">
        <v>267</v>
      </c>
      <c r="E3707" s="13">
        <v>510</v>
      </c>
      <c r="F3707" s="12">
        <v>36.83</v>
      </c>
      <c r="G3707" t="str">
        <f>IFERROR(INDEX(tEditais[Órgão],MATCH(tItens[[#This Row],[Edital]],tEditais[Edital],0)),"")</f>
        <v>MUNICIPIO DE JACUTINGA</v>
      </c>
      <c r="H3707" t="str">
        <f>IFERROR(INDEX(tEditais[UF],MATCH(tItens[[#This Row],[Edital]],tEditais[Edital],0)),"")</f>
        <v>MG</v>
      </c>
      <c r="I3707" s="11">
        <f>IFERROR(INDEX(tEditais[Encerramento],MATCH(tItens[[#This Row],[Edital]],tEditais[Edital],0)),"")</f>
        <v>46310.374305555553</v>
      </c>
      <c r="J3707" t="str">
        <f>IFERROR(INDEX(tProdutos[Classe],MATCH(tItens[[#This Row],[Produto]],tProdutos[Produto],0)),"produto não cadastrado")</f>
        <v>FORA</v>
      </c>
      <c r="K3707" s="12">
        <f>tItens[[#This Row],[Qtd]]*tItens[[#This Row],[Vlr unit]]</f>
        <v>18783.3</v>
      </c>
      <c r="L3707" s="6">
        <f>IFERROR(IF(INDEX(tProdutos[Desconto homologado],MATCH(tItens[[#This Row],[Produto]],tProdutos[Produto],0))="",DescontoPadrao,INDEX(tProdutos[Desconto homologado],MATCH(tItens[[#This Row],[Produto]],tProdutos[Produto],0))),DescontoPadrao)</f>
        <v>0.19963672657401599</v>
      </c>
      <c r="M3707" s="12">
        <f>tItens[[#This Row],[Valor]]*(1-tItens[[#This Row],[Desconto]])</f>
        <v>15033.463473742286</v>
      </c>
      <c r="N3707" t="str">
        <f>IFERROR(INDEX(tProdutos[Foco],MATCH(tItens[[#This Row],[Produto]],tProdutos[Produto],0)),"Não")</f>
        <v>Não</v>
      </c>
      <c r="O3707" t="str">
        <f>IFERROR(INDEX(tEditais[SRP],MATCH(tItens[[#This Row],[Edital]],tEditais[Edital],0)),"Não")</f>
        <v>Não</v>
      </c>
      <c r="P3707" s="4">
        <f>IF(COUNTIFS(INDEX(tItens[Edital],1):tItens[[#This Row],[Edital]],tItens[[#This Row],[Edital]],INDEX(tItens[Produto],1):tItens[[#This Row],[Produto]],tItens[[#This Row],[Produto]])=1,1,0)</f>
        <v>0</v>
      </c>
    </row>
    <row r="3708" spans="1:16" x14ac:dyDescent="0.25">
      <c r="A3708" t="s">
        <v>1518</v>
      </c>
      <c r="B3708">
        <v>20</v>
      </c>
      <c r="C3708" t="s">
        <v>6576</v>
      </c>
      <c r="D3708" t="s">
        <v>267</v>
      </c>
      <c r="E3708" s="13">
        <v>500</v>
      </c>
      <c r="F3708" s="12">
        <v>35.57</v>
      </c>
      <c r="G3708" t="str">
        <f>IFERROR(INDEX(tEditais[Órgão],MATCH(tItens[[#This Row],[Edital]],tEditais[Edital],0)),"")</f>
        <v>MUNICIPIO DE JACUTINGA</v>
      </c>
      <c r="H3708" t="str">
        <f>IFERROR(INDEX(tEditais[UF],MATCH(tItens[[#This Row],[Edital]],tEditais[Edital],0)),"")</f>
        <v>MG</v>
      </c>
      <c r="I3708" s="11">
        <f>IFERROR(INDEX(tEditais[Encerramento],MATCH(tItens[[#This Row],[Edital]],tEditais[Edital],0)),"")</f>
        <v>46310.374305555553</v>
      </c>
      <c r="J3708" t="str">
        <f>IFERROR(INDEX(tProdutos[Classe],MATCH(tItens[[#This Row],[Produto]],tProdutos[Produto],0)),"produto não cadastrado")</f>
        <v>FORA</v>
      </c>
      <c r="K3708" s="12">
        <f>tItens[[#This Row],[Qtd]]*tItens[[#This Row],[Vlr unit]]</f>
        <v>17785</v>
      </c>
      <c r="L3708" s="6">
        <f>IFERROR(IF(INDEX(tProdutos[Desconto homologado],MATCH(tItens[[#This Row],[Produto]],tProdutos[Produto],0))="",DescontoPadrao,INDEX(tProdutos[Desconto homologado],MATCH(tItens[[#This Row],[Produto]],tProdutos[Produto],0))),DescontoPadrao)</f>
        <v>0.19963672657401599</v>
      </c>
      <c r="M3708" s="12">
        <f>tItens[[#This Row],[Valor]]*(1-tItens[[#This Row],[Desconto]])</f>
        <v>14234.460817881125</v>
      </c>
      <c r="N3708" t="str">
        <f>IFERROR(INDEX(tProdutos[Foco],MATCH(tItens[[#This Row],[Produto]],tProdutos[Produto],0)),"Não")</f>
        <v>Não</v>
      </c>
      <c r="O3708" t="str">
        <f>IFERROR(INDEX(tEditais[SRP],MATCH(tItens[[#This Row],[Edital]],tEditais[Edital],0)),"Não")</f>
        <v>Não</v>
      </c>
      <c r="P3708" s="4">
        <f>IF(COUNTIFS(INDEX(tItens[Edital],1):tItens[[#This Row],[Edital]],tItens[[#This Row],[Edital]],INDEX(tItens[Produto],1):tItens[[#This Row],[Produto]],tItens[[#This Row],[Produto]])=1,1,0)</f>
        <v>0</v>
      </c>
    </row>
    <row r="3709" spans="1:16" x14ac:dyDescent="0.25">
      <c r="A3709" t="s">
        <v>1518</v>
      </c>
      <c r="B3709">
        <v>21</v>
      </c>
      <c r="C3709" t="s">
        <v>6577</v>
      </c>
      <c r="D3709" t="s">
        <v>267</v>
      </c>
      <c r="E3709" s="13">
        <v>15</v>
      </c>
      <c r="F3709" s="12">
        <v>55.65</v>
      </c>
      <c r="G3709" t="str">
        <f>IFERROR(INDEX(tEditais[Órgão],MATCH(tItens[[#This Row],[Edital]],tEditais[Edital],0)),"")</f>
        <v>MUNICIPIO DE JACUTINGA</v>
      </c>
      <c r="H3709" t="str">
        <f>IFERROR(INDEX(tEditais[UF],MATCH(tItens[[#This Row],[Edital]],tEditais[Edital],0)),"")</f>
        <v>MG</v>
      </c>
      <c r="I3709" s="11">
        <f>IFERROR(INDEX(tEditais[Encerramento],MATCH(tItens[[#This Row],[Edital]],tEditais[Edital],0)),"")</f>
        <v>46310.374305555553</v>
      </c>
      <c r="J3709" t="str">
        <f>IFERROR(INDEX(tProdutos[Classe],MATCH(tItens[[#This Row],[Produto]],tProdutos[Produto],0)),"produto não cadastrado")</f>
        <v>FORA</v>
      </c>
      <c r="K3709" s="12">
        <f>tItens[[#This Row],[Qtd]]*tItens[[#This Row],[Vlr unit]]</f>
        <v>834.75</v>
      </c>
      <c r="L3709" s="6">
        <f>IFERROR(IF(INDEX(tProdutos[Desconto homologado],MATCH(tItens[[#This Row],[Produto]],tProdutos[Produto],0))="",DescontoPadrao,INDEX(tProdutos[Desconto homologado],MATCH(tItens[[#This Row],[Produto]],tProdutos[Produto],0))),DescontoPadrao)</f>
        <v>0.19963672657401599</v>
      </c>
      <c r="M3709" s="12">
        <f>tItens[[#This Row],[Valor]]*(1-tItens[[#This Row],[Desconto]])</f>
        <v>668.1032424923402</v>
      </c>
      <c r="N3709" t="str">
        <f>IFERROR(INDEX(tProdutos[Foco],MATCH(tItens[[#This Row],[Produto]],tProdutos[Produto],0)),"Não")</f>
        <v>Não</v>
      </c>
      <c r="O3709" t="str">
        <f>IFERROR(INDEX(tEditais[SRP],MATCH(tItens[[#This Row],[Edital]],tEditais[Edital],0)),"Não")</f>
        <v>Não</v>
      </c>
      <c r="P3709" s="4">
        <f>IF(COUNTIFS(INDEX(tItens[Edital],1):tItens[[#This Row],[Edital]],tItens[[#This Row],[Edital]],INDEX(tItens[Produto],1):tItens[[#This Row],[Produto]],tItens[[#This Row],[Produto]])=1,1,0)</f>
        <v>0</v>
      </c>
    </row>
    <row r="3710" spans="1:16" x14ac:dyDescent="0.25">
      <c r="A3710" t="s">
        <v>1518</v>
      </c>
      <c r="B3710">
        <v>22</v>
      </c>
      <c r="C3710" t="s">
        <v>6578</v>
      </c>
      <c r="D3710" t="s">
        <v>267</v>
      </c>
      <c r="E3710" s="13">
        <v>10</v>
      </c>
      <c r="F3710" s="12">
        <v>32.619999999999997</v>
      </c>
      <c r="G3710" t="str">
        <f>IFERROR(INDEX(tEditais[Órgão],MATCH(tItens[[#This Row],[Edital]],tEditais[Edital],0)),"")</f>
        <v>MUNICIPIO DE JACUTINGA</v>
      </c>
      <c r="H3710" t="str">
        <f>IFERROR(INDEX(tEditais[UF],MATCH(tItens[[#This Row],[Edital]],tEditais[Edital],0)),"")</f>
        <v>MG</v>
      </c>
      <c r="I3710" s="11">
        <f>IFERROR(INDEX(tEditais[Encerramento],MATCH(tItens[[#This Row],[Edital]],tEditais[Edital],0)),"")</f>
        <v>46310.374305555553</v>
      </c>
      <c r="J3710" t="str">
        <f>IFERROR(INDEX(tProdutos[Classe],MATCH(tItens[[#This Row],[Produto]],tProdutos[Produto],0)),"produto não cadastrado")</f>
        <v>FORA</v>
      </c>
      <c r="K3710" s="12">
        <f>tItens[[#This Row],[Qtd]]*tItens[[#This Row],[Vlr unit]]</f>
        <v>326.2</v>
      </c>
      <c r="L3710" s="6">
        <f>IFERROR(IF(INDEX(tProdutos[Desconto homologado],MATCH(tItens[[#This Row],[Produto]],tProdutos[Produto],0))="",DescontoPadrao,INDEX(tProdutos[Desconto homologado],MATCH(tItens[[#This Row],[Produto]],tProdutos[Produto],0))),DescontoPadrao)</f>
        <v>0.19963672657401599</v>
      </c>
      <c r="M3710" s="12">
        <f>tItens[[#This Row],[Valor]]*(1-tItens[[#This Row],[Desconto]])</f>
        <v>261.078499791556</v>
      </c>
      <c r="N3710" t="str">
        <f>IFERROR(INDEX(tProdutos[Foco],MATCH(tItens[[#This Row],[Produto]],tProdutos[Produto],0)),"Não")</f>
        <v>Não</v>
      </c>
      <c r="O3710" t="str">
        <f>IFERROR(INDEX(tEditais[SRP],MATCH(tItens[[#This Row],[Edital]],tEditais[Edital],0)),"Não")</f>
        <v>Não</v>
      </c>
      <c r="P3710" s="4">
        <f>IF(COUNTIFS(INDEX(tItens[Edital],1):tItens[[#This Row],[Edital]],tItens[[#This Row],[Edital]],INDEX(tItens[Produto],1):tItens[[#This Row],[Produto]],tItens[[#This Row],[Produto]])=1,1,0)</f>
        <v>0</v>
      </c>
    </row>
    <row r="3711" spans="1:16" x14ac:dyDescent="0.25">
      <c r="A3711" t="s">
        <v>1523</v>
      </c>
      <c r="B3711">
        <v>9</v>
      </c>
      <c r="C3711" t="s">
        <v>6579</v>
      </c>
      <c r="D3711" t="s">
        <v>319</v>
      </c>
      <c r="E3711" s="13">
        <v>6</v>
      </c>
      <c r="F3711" s="12">
        <v>0</v>
      </c>
      <c r="G3711" t="str">
        <f>IFERROR(INDEX(tEditais[Órgão],MATCH(tItens[[#This Row],[Edital]],tEditais[Edital],0)),"")</f>
        <v>MUNICIPIO DE BETIM</v>
      </c>
      <c r="H3711" t="str">
        <f>IFERROR(INDEX(tEditais[UF],MATCH(tItens[[#This Row],[Edital]],tEditais[Edital],0)),"")</f>
        <v>MG</v>
      </c>
      <c r="I3711" s="11">
        <f>IFERROR(INDEX(tEditais[Encerramento],MATCH(tItens[[#This Row],[Edital]],tEditais[Edital],0)),"")</f>
        <v>46310.374305555553</v>
      </c>
      <c r="J3711" t="str">
        <f>IFERROR(INDEX(tProdutos[Classe],MATCH(tItens[[#This Row],[Produto]],tProdutos[Produto],0)),"produto não cadastrado")</f>
        <v>FORA</v>
      </c>
      <c r="K3711" s="12">
        <f>tItens[[#This Row],[Qtd]]*tItens[[#This Row],[Vlr unit]]</f>
        <v>0</v>
      </c>
      <c r="L3711" s="6">
        <f>IFERROR(IF(INDEX(tProdutos[Desconto homologado],MATCH(tItens[[#This Row],[Produto]],tProdutos[Produto],0))="",DescontoPadrao,INDEX(tProdutos[Desconto homologado],MATCH(tItens[[#This Row],[Produto]],tProdutos[Produto],0))),DescontoPadrao)</f>
        <v>0.210006500066517</v>
      </c>
      <c r="M3711" s="12">
        <f>tItens[[#This Row],[Valor]]*(1-tItens[[#This Row],[Desconto]])</f>
        <v>0</v>
      </c>
      <c r="N3711" t="str">
        <f>IFERROR(INDEX(tProdutos[Foco],MATCH(tItens[[#This Row],[Produto]],tProdutos[Produto],0)),"Não")</f>
        <v>Não</v>
      </c>
      <c r="O3711" t="str">
        <f>IFERROR(INDEX(tEditais[SRP],MATCH(tItens[[#This Row],[Edital]],tEditais[Edital],0)),"Não")</f>
        <v>Sim</v>
      </c>
      <c r="P3711" s="4">
        <f>IF(COUNTIFS(INDEX(tItens[Edital],1):tItens[[#This Row],[Edital]],tItens[[#This Row],[Edital]],INDEX(tItens[Produto],1):tItens[[#This Row],[Produto]],tItens[[#This Row],[Produto]])=1,1,0)</f>
        <v>1</v>
      </c>
    </row>
    <row r="3712" spans="1:16" x14ac:dyDescent="0.25">
      <c r="A3712" t="s">
        <v>1528</v>
      </c>
      <c r="B3712">
        <v>5</v>
      </c>
      <c r="C3712" t="s">
        <v>6580</v>
      </c>
      <c r="D3712" t="s">
        <v>403</v>
      </c>
      <c r="E3712" s="13">
        <v>50</v>
      </c>
      <c r="F3712" s="12">
        <v>109.3</v>
      </c>
      <c r="G3712" t="str">
        <f>IFERROR(INDEX(tEditais[Órgão],MATCH(tItens[[#This Row],[Edital]],tEditais[Edital],0)),"")</f>
        <v>MUNICIPIO DE MONSENHOR PAULO</v>
      </c>
      <c r="H3712" t="str">
        <f>IFERROR(INDEX(tEditais[UF],MATCH(tItens[[#This Row],[Edital]],tEditais[Edital],0)),"")</f>
        <v>MG</v>
      </c>
      <c r="I3712" s="11">
        <f>IFERROR(INDEX(tEditais[Encerramento],MATCH(tItens[[#This Row],[Edital]],tEditais[Edital],0)),"")</f>
        <v>46310.374305555553</v>
      </c>
      <c r="J3712" t="str">
        <f>IFERROR(INDEX(tProdutos[Classe],MATCH(tItens[[#This Row],[Produto]],tProdutos[Produto],0)),"produto não cadastrado")</f>
        <v>FORA</v>
      </c>
      <c r="K3712" s="12">
        <f>tItens[[#This Row],[Qtd]]*tItens[[#This Row],[Vlr unit]]</f>
        <v>5465</v>
      </c>
      <c r="L3712" s="6">
        <f>IFERROR(IF(INDEX(tProdutos[Desconto homologado],MATCH(tItens[[#This Row],[Produto]],tProdutos[Produto],0))="",DescontoPadrao,INDEX(tProdutos[Desconto homologado],MATCH(tItens[[#This Row],[Produto]],tProdutos[Produto],0))),DescontoPadrao)</f>
        <v>0.35326086956521702</v>
      </c>
      <c r="M3712" s="12">
        <f>tItens[[#This Row],[Valor]]*(1-tItens[[#This Row],[Desconto]])</f>
        <v>3534.4293478260888</v>
      </c>
      <c r="N3712" t="str">
        <f>IFERROR(INDEX(tProdutos[Foco],MATCH(tItens[[#This Row],[Produto]],tProdutos[Produto],0)),"Não")</f>
        <v>Não</v>
      </c>
      <c r="O3712" t="str">
        <f>IFERROR(INDEX(tEditais[SRP],MATCH(tItens[[#This Row],[Edital]],tEditais[Edital],0)),"Não")</f>
        <v>Não</v>
      </c>
      <c r="P3712" s="4">
        <f>IF(COUNTIFS(INDEX(tItens[Edital],1):tItens[[#This Row],[Edital]],tItens[[#This Row],[Edital]],INDEX(tItens[Produto],1):tItens[[#This Row],[Produto]],tItens[[#This Row],[Produto]])=1,1,0)</f>
        <v>1</v>
      </c>
    </row>
    <row r="3713" spans="1:16" x14ac:dyDescent="0.25">
      <c r="A3713" t="s">
        <v>1528</v>
      </c>
      <c r="B3713">
        <v>7</v>
      </c>
      <c r="C3713" t="s">
        <v>6581</v>
      </c>
      <c r="D3713" t="s">
        <v>283</v>
      </c>
      <c r="E3713" s="13">
        <v>20</v>
      </c>
      <c r="F3713" s="12">
        <v>122.36</v>
      </c>
      <c r="G3713" t="str">
        <f>IFERROR(INDEX(tEditais[Órgão],MATCH(tItens[[#This Row],[Edital]],tEditais[Edital],0)),"")</f>
        <v>MUNICIPIO DE MONSENHOR PAULO</v>
      </c>
      <c r="H3713" t="str">
        <f>IFERROR(INDEX(tEditais[UF],MATCH(tItens[[#This Row],[Edital]],tEditais[Edital],0)),"")</f>
        <v>MG</v>
      </c>
      <c r="I3713" s="11">
        <f>IFERROR(INDEX(tEditais[Encerramento],MATCH(tItens[[#This Row],[Edital]],tEditais[Edital],0)),"")</f>
        <v>46310.374305555553</v>
      </c>
      <c r="J3713" t="str">
        <f>IFERROR(INDEX(tProdutos[Classe],MATCH(tItens[[#This Row],[Produto]],tProdutos[Produto],0)),"produto não cadastrado")</f>
        <v>FORA</v>
      </c>
      <c r="K3713" s="12">
        <f>tItens[[#This Row],[Qtd]]*tItens[[#This Row],[Vlr unit]]</f>
        <v>2447.1999999999998</v>
      </c>
      <c r="L3713" s="6">
        <f>IFERROR(IF(INDEX(tProdutos[Desconto homologado],MATCH(tItens[[#This Row],[Produto]],tProdutos[Produto],0))="",DescontoPadrao,INDEX(tProdutos[Desconto homologado],MATCH(tItens[[#This Row],[Produto]],tProdutos[Produto],0))),DescontoPadrao)</f>
        <v>0.40540540540540498</v>
      </c>
      <c r="M3713" s="12">
        <f>tItens[[#This Row],[Valor]]*(1-tItens[[#This Row],[Desconto]])</f>
        <v>1455.0918918918926</v>
      </c>
      <c r="N3713" t="str">
        <f>IFERROR(INDEX(tProdutos[Foco],MATCH(tItens[[#This Row],[Produto]],tProdutos[Produto],0)),"Não")</f>
        <v>Não</v>
      </c>
      <c r="O3713" t="str">
        <f>IFERROR(INDEX(tEditais[SRP],MATCH(tItens[[#This Row],[Edital]],tEditais[Edital],0)),"Não")</f>
        <v>Não</v>
      </c>
      <c r="P3713" s="4">
        <f>IF(COUNTIFS(INDEX(tItens[Edital],1):tItens[[#This Row],[Edital]],tItens[[#This Row],[Edital]],INDEX(tItens[Produto],1):tItens[[#This Row],[Produto]],tItens[[#This Row],[Produto]])=1,1,0)</f>
        <v>1</v>
      </c>
    </row>
    <row r="3714" spans="1:16" x14ac:dyDescent="0.25">
      <c r="A3714" t="s">
        <v>1528</v>
      </c>
      <c r="B3714">
        <v>8</v>
      </c>
      <c r="C3714" t="s">
        <v>6582</v>
      </c>
      <c r="D3714" t="s">
        <v>265</v>
      </c>
      <c r="E3714" s="13">
        <v>10</v>
      </c>
      <c r="F3714" s="12">
        <v>62.3</v>
      </c>
      <c r="G3714" t="str">
        <f>IFERROR(INDEX(tEditais[Órgão],MATCH(tItens[[#This Row],[Edital]],tEditais[Edital],0)),"")</f>
        <v>MUNICIPIO DE MONSENHOR PAULO</v>
      </c>
      <c r="H3714" t="str">
        <f>IFERROR(INDEX(tEditais[UF],MATCH(tItens[[#This Row],[Edital]],tEditais[Edital],0)),"")</f>
        <v>MG</v>
      </c>
      <c r="I3714" s="11">
        <f>IFERROR(INDEX(tEditais[Encerramento],MATCH(tItens[[#This Row],[Edital]],tEditais[Edital],0)),"")</f>
        <v>46310.374305555553</v>
      </c>
      <c r="J3714" t="str">
        <f>IFERROR(INDEX(tProdutos[Classe],MATCH(tItens[[#This Row],[Produto]],tProdutos[Produto],0)),"produto não cadastrado")</f>
        <v>DISPUTADO</v>
      </c>
      <c r="K3714" s="12">
        <f>tItens[[#This Row],[Qtd]]*tItens[[#This Row],[Vlr unit]]</f>
        <v>623</v>
      </c>
      <c r="L3714" s="6">
        <f>IFERROR(IF(INDEX(tProdutos[Desconto homologado],MATCH(tItens[[#This Row],[Produto]],tProdutos[Produto],0))="",DescontoPadrao,INDEX(tProdutos[Desconto homologado],MATCH(tItens[[#This Row],[Produto]],tProdutos[Produto],0))),DescontoPadrao)</f>
        <v>0.377587663709337</v>
      </c>
      <c r="M3714" s="12">
        <f>tItens[[#This Row],[Valor]]*(1-tItens[[#This Row],[Desconto]])</f>
        <v>387.76288550908311</v>
      </c>
      <c r="N3714" t="str">
        <f>IFERROR(INDEX(tProdutos[Foco],MATCH(tItens[[#This Row],[Produto]],tProdutos[Produto],0)),"Não")</f>
        <v>Não</v>
      </c>
      <c r="O3714" t="str">
        <f>IFERROR(INDEX(tEditais[SRP],MATCH(tItens[[#This Row],[Edital]],tEditais[Edital],0)),"Não")</f>
        <v>Não</v>
      </c>
      <c r="P3714" s="4">
        <f>IF(COUNTIFS(INDEX(tItens[Edital],1):tItens[[#This Row],[Edital]],tItens[[#This Row],[Edital]],INDEX(tItens[Produto],1):tItens[[#This Row],[Produto]],tItens[[#This Row],[Produto]])=1,1,0)</f>
        <v>1</v>
      </c>
    </row>
    <row r="3715" spans="1:16" x14ac:dyDescent="0.25">
      <c r="A3715" t="s">
        <v>1528</v>
      </c>
      <c r="B3715">
        <v>9</v>
      </c>
      <c r="C3715" t="s">
        <v>6583</v>
      </c>
      <c r="D3715" t="s">
        <v>275</v>
      </c>
      <c r="E3715" s="13">
        <v>100</v>
      </c>
      <c r="F3715" s="12">
        <v>195.33</v>
      </c>
      <c r="G3715" t="str">
        <f>IFERROR(INDEX(tEditais[Órgão],MATCH(tItens[[#This Row],[Edital]],tEditais[Edital],0)),"")</f>
        <v>MUNICIPIO DE MONSENHOR PAULO</v>
      </c>
      <c r="H3715" t="str">
        <f>IFERROR(INDEX(tEditais[UF],MATCH(tItens[[#This Row],[Edital]],tEditais[Edital],0)),"")</f>
        <v>MG</v>
      </c>
      <c r="I3715" s="11">
        <f>IFERROR(INDEX(tEditais[Encerramento],MATCH(tItens[[#This Row],[Edital]],tEditais[Edital],0)),"")</f>
        <v>46310.374305555553</v>
      </c>
      <c r="J3715" t="str">
        <f>IFERROR(INDEX(tProdutos[Classe],MATCH(tItens[[#This Row],[Produto]],tProdutos[Produto],0)),"produto não cadastrado")</f>
        <v>FORA</v>
      </c>
      <c r="K3715" s="12">
        <f>tItens[[#This Row],[Qtd]]*tItens[[#This Row],[Vlr unit]]</f>
        <v>19533</v>
      </c>
      <c r="L3715" s="6">
        <f>IFERROR(IF(INDEX(tProdutos[Desconto homologado],MATCH(tItens[[#This Row],[Produto]],tProdutos[Produto],0))="",DescontoPadrao,INDEX(tProdutos[Desconto homologado],MATCH(tItens[[#This Row],[Produto]],tProdutos[Produto],0))),DescontoPadrao)</f>
        <v>0.405797101449275</v>
      </c>
      <c r="M3715" s="12">
        <f>tItens[[#This Row],[Valor]]*(1-tItens[[#This Row],[Desconto]])</f>
        <v>11606.565217391313</v>
      </c>
      <c r="N3715" t="str">
        <f>IFERROR(INDEX(tProdutos[Foco],MATCH(tItens[[#This Row],[Produto]],tProdutos[Produto],0)),"Não")</f>
        <v>Não</v>
      </c>
      <c r="O3715" t="str">
        <f>IFERROR(INDEX(tEditais[SRP],MATCH(tItens[[#This Row],[Edital]],tEditais[Edital],0)),"Não")</f>
        <v>Não</v>
      </c>
      <c r="P3715" s="4">
        <f>IF(COUNTIFS(INDEX(tItens[Edital],1):tItens[[#This Row],[Edital]],tItens[[#This Row],[Edital]],INDEX(tItens[Produto],1):tItens[[#This Row],[Produto]],tItens[[#This Row],[Produto]])=1,1,0)</f>
        <v>1</v>
      </c>
    </row>
    <row r="3716" spans="1:16" x14ac:dyDescent="0.25">
      <c r="A3716" t="s">
        <v>1533</v>
      </c>
      <c r="B3716">
        <v>16</v>
      </c>
      <c r="C3716" t="s">
        <v>6584</v>
      </c>
      <c r="D3716" t="s">
        <v>160</v>
      </c>
      <c r="E3716" s="13">
        <v>3202</v>
      </c>
      <c r="F3716" s="12">
        <v>0</v>
      </c>
      <c r="G3716" t="str">
        <f>IFERROR(INDEX(tEditais[Órgão],MATCH(tItens[[#This Row],[Edital]],tEditais[Edital],0)),"")</f>
        <v>FUNDACAO HOSPITALAR DO ESTADO DE MINAS GERAIS</v>
      </c>
      <c r="H3716" t="str">
        <f>IFERROR(INDEX(tEditais[UF],MATCH(tItens[[#This Row],[Edital]],tEditais[Edital],0)),"")</f>
        <v>MG</v>
      </c>
      <c r="I3716" s="11">
        <f>IFERROR(INDEX(tEditais[Encerramento],MATCH(tItens[[#This Row],[Edital]],tEditais[Edital],0)),"")</f>
        <v>46310.375</v>
      </c>
      <c r="J3716" t="str">
        <f>IFERROR(INDEX(tProdutos[Classe],MATCH(tItens[[#This Row],[Produto]],tProdutos[Produto],0)),"produto não cadastrado")</f>
        <v>DISPUTADO</v>
      </c>
      <c r="K3716" s="12">
        <f>tItens[[#This Row],[Qtd]]*tItens[[#This Row],[Vlr unit]]</f>
        <v>0</v>
      </c>
      <c r="L3716" s="6">
        <f>IFERROR(IF(INDEX(tProdutos[Desconto homologado],MATCH(tItens[[#This Row],[Produto]],tProdutos[Produto],0))="",DescontoPadrao,INDEX(tProdutos[Desconto homologado],MATCH(tItens[[#This Row],[Produto]],tProdutos[Produto],0))),DescontoPadrao)</f>
        <v>0.28000000000000003</v>
      </c>
      <c r="M3716" s="12">
        <f>tItens[[#This Row],[Valor]]*(1-tItens[[#This Row],[Desconto]])</f>
        <v>0</v>
      </c>
      <c r="N3716" t="str">
        <f>IFERROR(INDEX(tProdutos[Foco],MATCH(tItens[[#This Row],[Produto]],tProdutos[Produto],0)),"Não")</f>
        <v>Sim</v>
      </c>
      <c r="O3716" t="str">
        <f>IFERROR(INDEX(tEditais[SRP],MATCH(tItens[[#This Row],[Edital]],tEditais[Edital],0)),"Não")</f>
        <v>Não</v>
      </c>
      <c r="P3716" s="4">
        <f>IF(COUNTIFS(INDEX(tItens[Edital],1):tItens[[#This Row],[Edital]],tItens[[#This Row],[Edital]],INDEX(tItens[Produto],1):tItens[[#This Row],[Produto]],tItens[[#This Row],[Produto]])=1,1,0)</f>
        <v>1</v>
      </c>
    </row>
    <row r="3717" spans="1:16" x14ac:dyDescent="0.25">
      <c r="A3717" t="s">
        <v>1533</v>
      </c>
      <c r="B3717">
        <v>17</v>
      </c>
      <c r="C3717" t="s">
        <v>6585</v>
      </c>
      <c r="D3717" t="s">
        <v>160</v>
      </c>
      <c r="E3717" s="13">
        <v>1102</v>
      </c>
      <c r="F3717" s="12">
        <v>0</v>
      </c>
      <c r="G3717" t="str">
        <f>IFERROR(INDEX(tEditais[Órgão],MATCH(tItens[[#This Row],[Edital]],tEditais[Edital],0)),"")</f>
        <v>FUNDACAO HOSPITALAR DO ESTADO DE MINAS GERAIS</v>
      </c>
      <c r="H3717" t="str">
        <f>IFERROR(INDEX(tEditais[UF],MATCH(tItens[[#This Row],[Edital]],tEditais[Edital],0)),"")</f>
        <v>MG</v>
      </c>
      <c r="I3717" s="11">
        <f>IFERROR(INDEX(tEditais[Encerramento],MATCH(tItens[[#This Row],[Edital]],tEditais[Edital],0)),"")</f>
        <v>46310.375</v>
      </c>
      <c r="J3717" t="str">
        <f>IFERROR(INDEX(tProdutos[Classe],MATCH(tItens[[#This Row],[Produto]],tProdutos[Produto],0)),"produto não cadastrado")</f>
        <v>DISPUTADO</v>
      </c>
      <c r="K3717" s="12">
        <f>tItens[[#This Row],[Qtd]]*tItens[[#This Row],[Vlr unit]]</f>
        <v>0</v>
      </c>
      <c r="L3717" s="6">
        <f>IFERROR(IF(INDEX(tProdutos[Desconto homologado],MATCH(tItens[[#This Row],[Produto]],tProdutos[Produto],0))="",DescontoPadrao,INDEX(tProdutos[Desconto homologado],MATCH(tItens[[#This Row],[Produto]],tProdutos[Produto],0))),DescontoPadrao)</f>
        <v>0.28000000000000003</v>
      </c>
      <c r="M3717" s="12">
        <f>tItens[[#This Row],[Valor]]*(1-tItens[[#This Row],[Desconto]])</f>
        <v>0</v>
      </c>
      <c r="N3717" t="str">
        <f>IFERROR(INDEX(tProdutos[Foco],MATCH(tItens[[#This Row],[Produto]],tProdutos[Produto],0)),"Não")</f>
        <v>Sim</v>
      </c>
      <c r="O3717" t="str">
        <f>IFERROR(INDEX(tEditais[SRP],MATCH(tItens[[#This Row],[Edital]],tEditais[Edital],0)),"Não")</f>
        <v>Não</v>
      </c>
      <c r="P3717" s="4">
        <f>IF(COUNTIFS(INDEX(tItens[Edital],1):tItens[[#This Row],[Edital]],tItens[[#This Row],[Edital]],INDEX(tItens[Produto],1):tItens[[#This Row],[Produto]],tItens[[#This Row],[Produto]])=1,1,0)</f>
        <v>0</v>
      </c>
    </row>
    <row r="3718" spans="1:16" x14ac:dyDescent="0.25">
      <c r="A3718" t="s">
        <v>1533</v>
      </c>
      <c r="B3718">
        <v>18</v>
      </c>
      <c r="C3718" t="s">
        <v>6586</v>
      </c>
      <c r="D3718" t="s">
        <v>409</v>
      </c>
      <c r="E3718" s="13">
        <v>1030</v>
      </c>
      <c r="F3718" s="12">
        <v>0</v>
      </c>
      <c r="G3718" t="str">
        <f>IFERROR(INDEX(tEditais[Órgão],MATCH(tItens[[#This Row],[Edital]],tEditais[Edital],0)),"")</f>
        <v>FUNDACAO HOSPITALAR DO ESTADO DE MINAS GERAIS</v>
      </c>
      <c r="H3718" t="str">
        <f>IFERROR(INDEX(tEditais[UF],MATCH(tItens[[#This Row],[Edital]],tEditais[Edital],0)),"")</f>
        <v>MG</v>
      </c>
      <c r="I3718" s="11">
        <f>IFERROR(INDEX(tEditais[Encerramento],MATCH(tItens[[#This Row],[Edital]],tEditais[Edital],0)),"")</f>
        <v>46310.375</v>
      </c>
      <c r="J3718" t="str">
        <f>IFERROR(INDEX(tProdutos[Classe],MATCH(tItens[[#This Row],[Produto]],tProdutos[Produto],0)),"produto não cadastrado")</f>
        <v>FORA</v>
      </c>
      <c r="K3718" s="12">
        <f>tItens[[#This Row],[Qtd]]*tItens[[#This Row],[Vlr unit]]</f>
        <v>0</v>
      </c>
      <c r="L3718" s="6">
        <f>IFERROR(IF(INDEX(tProdutos[Desconto homologado],MATCH(tItens[[#This Row],[Produto]],tProdutos[Produto],0))="",DescontoPadrao,INDEX(tProdutos[Desconto homologado],MATCH(tItens[[#This Row],[Produto]],tProdutos[Produto],0))),DescontoPadrao)</f>
        <v>0.24924924924924899</v>
      </c>
      <c r="M3718" s="12">
        <f>tItens[[#This Row],[Valor]]*(1-tItens[[#This Row],[Desconto]])</f>
        <v>0</v>
      </c>
      <c r="N3718" t="str">
        <f>IFERROR(INDEX(tProdutos[Foco],MATCH(tItens[[#This Row],[Produto]],tProdutos[Produto],0)),"Não")</f>
        <v>Não</v>
      </c>
      <c r="O3718" t="str">
        <f>IFERROR(INDEX(tEditais[SRP],MATCH(tItens[[#This Row],[Edital]],tEditais[Edital],0)),"Não")</f>
        <v>Não</v>
      </c>
      <c r="P3718" s="4">
        <f>IF(COUNTIFS(INDEX(tItens[Edital],1):tItens[[#This Row],[Edital]],tItens[[#This Row],[Edital]],INDEX(tItens[Produto],1):tItens[[#This Row],[Produto]],tItens[[#This Row],[Produto]])=1,1,0)</f>
        <v>1</v>
      </c>
    </row>
    <row r="3719" spans="1:16" x14ac:dyDescent="0.25">
      <c r="A3719" t="s">
        <v>1536</v>
      </c>
      <c r="B3719">
        <v>3</v>
      </c>
      <c r="C3719" t="s">
        <v>6587</v>
      </c>
      <c r="D3719" t="s">
        <v>467</v>
      </c>
      <c r="E3719" s="13">
        <v>10</v>
      </c>
      <c r="F3719" s="12">
        <v>36.83</v>
      </c>
      <c r="G3719" t="str">
        <f>IFERROR(INDEX(tEditais[Órgão],MATCH(tItens[[#This Row],[Edital]],tEditais[Edital],0)),"")</f>
        <v>CONSORCIO INTERMUNICIPAL DE SAUDE DO ALTO DO RIO PARA</v>
      </c>
      <c r="H3719" t="str">
        <f>IFERROR(INDEX(tEditais[UF],MATCH(tItens[[#This Row],[Edital]],tEditais[Edital],0)),"")</f>
        <v>MG</v>
      </c>
      <c r="I3719" s="11">
        <f>IFERROR(INDEX(tEditais[Encerramento],MATCH(tItens[[#This Row],[Edital]],tEditais[Edital],0)),"")</f>
        <v>46310.375</v>
      </c>
      <c r="J3719" t="str">
        <f>IFERROR(INDEX(tProdutos[Classe],MATCH(tItens[[#This Row],[Produto]],tProdutos[Produto],0)),"produto não cadastrado")</f>
        <v>FILA REBASE</v>
      </c>
      <c r="K3719" s="12">
        <f>tItens[[#This Row],[Qtd]]*tItens[[#This Row],[Vlr unit]]</f>
        <v>368.29999999999995</v>
      </c>
      <c r="L3719" s="6">
        <f>IFERROR(IF(INDEX(tProdutos[Desconto homologado],MATCH(tItens[[#This Row],[Produto]],tProdutos[Produto],0))="",DescontoPadrao,INDEX(tProdutos[Desconto homologado],MATCH(tItens[[#This Row],[Produto]],tProdutos[Produto],0))),DescontoPadrao)</f>
        <v>0.25007144898542499</v>
      </c>
      <c r="M3719" s="12">
        <f>tItens[[#This Row],[Valor]]*(1-tItens[[#This Row],[Desconto]])</f>
        <v>276.19868533866793</v>
      </c>
      <c r="N3719" t="str">
        <f>IFERROR(INDEX(tProdutos[Foco],MATCH(tItens[[#This Row],[Produto]],tProdutos[Produto],0)),"Não")</f>
        <v>Não</v>
      </c>
      <c r="O3719" t="str">
        <f>IFERROR(INDEX(tEditais[SRP],MATCH(tItens[[#This Row],[Edital]],tEditais[Edital],0)),"Não")</f>
        <v>Não</v>
      </c>
      <c r="P3719" s="4">
        <f>IF(COUNTIFS(INDEX(tItens[Edital],1):tItens[[#This Row],[Edital]],tItens[[#This Row],[Edital]],INDEX(tItens[Produto],1):tItens[[#This Row],[Produto]],tItens[[#This Row],[Produto]])=1,1,0)</f>
        <v>1</v>
      </c>
    </row>
    <row r="3720" spans="1:16" x14ac:dyDescent="0.25">
      <c r="A3720" t="s">
        <v>1536</v>
      </c>
      <c r="B3720">
        <v>4</v>
      </c>
      <c r="C3720" t="s">
        <v>6588</v>
      </c>
      <c r="D3720" t="s">
        <v>90</v>
      </c>
      <c r="E3720" s="13">
        <v>12</v>
      </c>
      <c r="F3720" s="12">
        <v>161.03</v>
      </c>
      <c r="G3720" t="str">
        <f>IFERROR(INDEX(tEditais[Órgão],MATCH(tItens[[#This Row],[Edital]],tEditais[Edital],0)),"")</f>
        <v>CONSORCIO INTERMUNICIPAL DE SAUDE DO ALTO DO RIO PARA</v>
      </c>
      <c r="H3720" t="str">
        <f>IFERROR(INDEX(tEditais[UF],MATCH(tItens[[#This Row],[Edital]],tEditais[Edital],0)),"")</f>
        <v>MG</v>
      </c>
      <c r="I3720" s="11">
        <f>IFERROR(INDEX(tEditais[Encerramento],MATCH(tItens[[#This Row],[Edital]],tEditais[Edital],0)),"")</f>
        <v>46310.375</v>
      </c>
      <c r="J3720" t="str">
        <f>IFERROR(INDEX(tProdutos[Classe],MATCH(tItens[[#This Row],[Produto]],tProdutos[Produto],0)),"produto não cadastrado")</f>
        <v>DISPUTADO</v>
      </c>
      <c r="K3720" s="12">
        <f>tItens[[#This Row],[Qtd]]*tItens[[#This Row],[Vlr unit]]</f>
        <v>1932.3600000000001</v>
      </c>
      <c r="L3720" s="6">
        <f>IFERROR(IF(INDEX(tProdutos[Desconto homologado],MATCH(tItens[[#This Row],[Produto]],tProdutos[Produto],0))="",DescontoPadrao,INDEX(tProdutos[Desconto homologado],MATCH(tItens[[#This Row],[Produto]],tProdutos[Produto],0))),DescontoPadrao)</f>
        <v>0.25393823957010597</v>
      </c>
      <c r="M3720" s="12">
        <f>tItens[[#This Row],[Valor]]*(1-tItens[[#This Row],[Desconto]])</f>
        <v>1441.6599033843102</v>
      </c>
      <c r="N3720" t="str">
        <f>IFERROR(INDEX(tProdutos[Foco],MATCH(tItens[[#This Row],[Produto]],tProdutos[Produto],0)),"Não")</f>
        <v>Não</v>
      </c>
      <c r="O3720" t="str">
        <f>IFERROR(INDEX(tEditais[SRP],MATCH(tItens[[#This Row],[Edital]],tEditais[Edital],0)),"Não")</f>
        <v>Não</v>
      </c>
      <c r="P3720" s="4">
        <f>IF(COUNTIFS(INDEX(tItens[Edital],1):tItens[[#This Row],[Edital]],tItens[[#This Row],[Edital]],INDEX(tItens[Produto],1):tItens[[#This Row],[Produto]],tItens[[#This Row],[Produto]])=1,1,0)</f>
        <v>1</v>
      </c>
    </row>
    <row r="3721" spans="1:16" x14ac:dyDescent="0.25">
      <c r="A3721" t="s">
        <v>1536</v>
      </c>
      <c r="B3721">
        <v>6</v>
      </c>
      <c r="C3721" t="s">
        <v>6589</v>
      </c>
      <c r="D3721" t="s">
        <v>313</v>
      </c>
      <c r="E3721" s="13">
        <v>30</v>
      </c>
      <c r="F3721" s="12">
        <v>45.28</v>
      </c>
      <c r="G3721" t="str">
        <f>IFERROR(INDEX(tEditais[Órgão],MATCH(tItens[[#This Row],[Edital]],tEditais[Edital],0)),"")</f>
        <v>CONSORCIO INTERMUNICIPAL DE SAUDE DO ALTO DO RIO PARA</v>
      </c>
      <c r="H3721" t="str">
        <f>IFERROR(INDEX(tEditais[UF],MATCH(tItens[[#This Row],[Edital]],tEditais[Edital],0)),"")</f>
        <v>MG</v>
      </c>
      <c r="I3721" s="11">
        <f>IFERROR(INDEX(tEditais[Encerramento],MATCH(tItens[[#This Row],[Edital]],tEditais[Edital],0)),"")</f>
        <v>46310.375</v>
      </c>
      <c r="J3721" t="str">
        <f>IFERROR(INDEX(tProdutos[Classe],MATCH(tItens[[#This Row],[Produto]],tProdutos[Produto],0)),"produto não cadastrado")</f>
        <v>FORA</v>
      </c>
      <c r="K3721" s="12">
        <f>tItens[[#This Row],[Qtd]]*tItens[[#This Row],[Vlr unit]]</f>
        <v>1358.4</v>
      </c>
      <c r="L3721" s="6">
        <f>IFERROR(IF(INDEX(tProdutos[Desconto homologado],MATCH(tItens[[#This Row],[Produto]],tProdutos[Produto],0))="",DescontoPadrao,INDEX(tProdutos[Desconto homologado],MATCH(tItens[[#This Row],[Produto]],tProdutos[Produto],0))),DescontoPadrao)</f>
        <v>0.35766373163696302</v>
      </c>
      <c r="M3721" s="12">
        <f>tItens[[#This Row],[Valor]]*(1-tItens[[#This Row],[Desconto]])</f>
        <v>872.54958694434936</v>
      </c>
      <c r="N3721" t="str">
        <f>IFERROR(INDEX(tProdutos[Foco],MATCH(tItens[[#This Row],[Produto]],tProdutos[Produto],0)),"Não")</f>
        <v>Não</v>
      </c>
      <c r="O3721" t="str">
        <f>IFERROR(INDEX(tEditais[SRP],MATCH(tItens[[#This Row],[Edital]],tEditais[Edital],0)),"Não")</f>
        <v>Não</v>
      </c>
      <c r="P3721" s="4">
        <f>IF(COUNTIFS(INDEX(tItens[Edital],1):tItens[[#This Row],[Edital]],tItens[[#This Row],[Edital]],INDEX(tItens[Produto],1):tItens[[#This Row],[Produto]],tItens[[#This Row],[Produto]])=1,1,0)</f>
        <v>1</v>
      </c>
    </row>
    <row r="3722" spans="1:16" x14ac:dyDescent="0.25">
      <c r="A3722" t="s">
        <v>1536</v>
      </c>
      <c r="B3722">
        <v>7</v>
      </c>
      <c r="C3722" t="s">
        <v>6590</v>
      </c>
      <c r="D3722" t="s">
        <v>313</v>
      </c>
      <c r="E3722" s="13">
        <v>30</v>
      </c>
      <c r="F3722" s="12">
        <v>42.25</v>
      </c>
      <c r="G3722" t="str">
        <f>IFERROR(INDEX(tEditais[Órgão],MATCH(tItens[[#This Row],[Edital]],tEditais[Edital],0)),"")</f>
        <v>CONSORCIO INTERMUNICIPAL DE SAUDE DO ALTO DO RIO PARA</v>
      </c>
      <c r="H3722" t="str">
        <f>IFERROR(INDEX(tEditais[UF],MATCH(tItens[[#This Row],[Edital]],tEditais[Edital],0)),"")</f>
        <v>MG</v>
      </c>
      <c r="I3722" s="11">
        <f>IFERROR(INDEX(tEditais[Encerramento],MATCH(tItens[[#This Row],[Edital]],tEditais[Edital],0)),"")</f>
        <v>46310.375</v>
      </c>
      <c r="J3722" t="str">
        <f>IFERROR(INDEX(tProdutos[Classe],MATCH(tItens[[#This Row],[Produto]],tProdutos[Produto],0)),"produto não cadastrado")</f>
        <v>FORA</v>
      </c>
      <c r="K3722" s="12">
        <f>tItens[[#This Row],[Qtd]]*tItens[[#This Row],[Vlr unit]]</f>
        <v>1267.5</v>
      </c>
      <c r="L3722" s="6">
        <f>IFERROR(IF(INDEX(tProdutos[Desconto homologado],MATCH(tItens[[#This Row],[Produto]],tProdutos[Produto],0))="",DescontoPadrao,INDEX(tProdutos[Desconto homologado],MATCH(tItens[[#This Row],[Produto]],tProdutos[Produto],0))),DescontoPadrao)</f>
        <v>0.35766373163696302</v>
      </c>
      <c r="M3722" s="12">
        <f>tItens[[#This Row],[Valor]]*(1-tItens[[#This Row],[Desconto]])</f>
        <v>814.16122015014935</v>
      </c>
      <c r="N3722" t="str">
        <f>IFERROR(INDEX(tProdutos[Foco],MATCH(tItens[[#This Row],[Produto]],tProdutos[Produto],0)),"Não")</f>
        <v>Não</v>
      </c>
      <c r="O3722" t="str">
        <f>IFERROR(INDEX(tEditais[SRP],MATCH(tItens[[#This Row],[Edital]],tEditais[Edital],0)),"Não")</f>
        <v>Não</v>
      </c>
      <c r="P3722" s="4">
        <f>IF(COUNTIFS(INDEX(tItens[Edital],1):tItens[[#This Row],[Edital]],tItens[[#This Row],[Edital]],INDEX(tItens[Produto],1):tItens[[#This Row],[Produto]],tItens[[#This Row],[Produto]])=1,1,0)</f>
        <v>0</v>
      </c>
    </row>
    <row r="3723" spans="1:16" x14ac:dyDescent="0.25">
      <c r="A3723" t="s">
        <v>1536</v>
      </c>
      <c r="B3723">
        <v>9</v>
      </c>
      <c r="C3723" t="s">
        <v>6591</v>
      </c>
      <c r="D3723" t="s">
        <v>267</v>
      </c>
      <c r="E3723" s="13">
        <v>10</v>
      </c>
      <c r="F3723" s="12">
        <v>113.86</v>
      </c>
      <c r="G3723" t="str">
        <f>IFERROR(INDEX(tEditais[Órgão],MATCH(tItens[[#This Row],[Edital]],tEditais[Edital],0)),"")</f>
        <v>CONSORCIO INTERMUNICIPAL DE SAUDE DO ALTO DO RIO PARA</v>
      </c>
      <c r="H3723" t="str">
        <f>IFERROR(INDEX(tEditais[UF],MATCH(tItens[[#This Row],[Edital]],tEditais[Edital],0)),"")</f>
        <v>MG</v>
      </c>
      <c r="I3723" s="11">
        <f>IFERROR(INDEX(tEditais[Encerramento],MATCH(tItens[[#This Row],[Edital]],tEditais[Edital],0)),"")</f>
        <v>46310.375</v>
      </c>
      <c r="J3723" t="str">
        <f>IFERROR(INDEX(tProdutos[Classe],MATCH(tItens[[#This Row],[Produto]],tProdutos[Produto],0)),"produto não cadastrado")</f>
        <v>FORA</v>
      </c>
      <c r="K3723" s="12">
        <f>tItens[[#This Row],[Qtd]]*tItens[[#This Row],[Vlr unit]]</f>
        <v>1138.5999999999999</v>
      </c>
      <c r="L3723" s="6">
        <f>IFERROR(IF(INDEX(tProdutos[Desconto homologado],MATCH(tItens[[#This Row],[Produto]],tProdutos[Produto],0))="",DescontoPadrao,INDEX(tProdutos[Desconto homologado],MATCH(tItens[[#This Row],[Produto]],tProdutos[Produto],0))),DescontoPadrao)</f>
        <v>0.19963672657401599</v>
      </c>
      <c r="M3723" s="12">
        <f>tItens[[#This Row],[Valor]]*(1-tItens[[#This Row],[Desconto]])</f>
        <v>911.29362312282535</v>
      </c>
      <c r="N3723" t="str">
        <f>IFERROR(INDEX(tProdutos[Foco],MATCH(tItens[[#This Row],[Produto]],tProdutos[Produto],0)),"Não")</f>
        <v>Não</v>
      </c>
      <c r="O3723" t="str">
        <f>IFERROR(INDEX(tEditais[SRP],MATCH(tItens[[#This Row],[Edital]],tEditais[Edital],0)),"Não")</f>
        <v>Não</v>
      </c>
      <c r="P3723" s="4">
        <f>IF(COUNTIFS(INDEX(tItens[Edital],1):tItens[[#This Row],[Edital]],tItens[[#This Row],[Edital]],INDEX(tItens[Produto],1):tItens[[#This Row],[Produto]],tItens[[#This Row],[Produto]])=1,1,0)</f>
        <v>1</v>
      </c>
    </row>
    <row r="3724" spans="1:16" x14ac:dyDescent="0.25">
      <c r="A3724" t="s">
        <v>1541</v>
      </c>
      <c r="B3724">
        <v>5</v>
      </c>
      <c r="C3724" t="s">
        <v>6592</v>
      </c>
      <c r="D3724" t="s">
        <v>138</v>
      </c>
      <c r="E3724" s="13">
        <v>638</v>
      </c>
      <c r="F3724" s="12">
        <v>30</v>
      </c>
      <c r="G3724" t="str">
        <f>IFERROR(INDEX(tEditais[Órgão],MATCH(tItens[[#This Row],[Edital]],tEditais[Edital],0)),"")</f>
        <v>CONSORCIO INTERMUNICIPAL DE ESPECIALIDADES</v>
      </c>
      <c r="H3724" t="str">
        <f>IFERROR(INDEX(tEditais[UF],MATCH(tItens[[#This Row],[Edital]],tEditais[Edital],0)),"")</f>
        <v>MG</v>
      </c>
      <c r="I3724" s="11">
        <f>IFERROR(INDEX(tEditais[Encerramento],MATCH(tItens[[#This Row],[Edital]],tEditais[Edital],0)),"")</f>
        <v>46310.375</v>
      </c>
      <c r="J3724" t="str">
        <f>IFERROR(INDEX(tProdutos[Classe],MATCH(tItens[[#This Row],[Produto]],tProdutos[Produto],0)),"produto não cadastrado")</f>
        <v>DISPUTADO</v>
      </c>
      <c r="K3724" s="12">
        <f>tItens[[#This Row],[Qtd]]*tItens[[#This Row],[Vlr unit]]</f>
        <v>19140</v>
      </c>
      <c r="L3724" s="6">
        <f>IFERROR(IF(INDEX(tProdutos[Desconto homologado],MATCH(tItens[[#This Row],[Produto]],tProdutos[Produto],0))="",DescontoPadrao,INDEX(tProdutos[Desconto homologado],MATCH(tItens[[#This Row],[Produto]],tProdutos[Produto],0))),DescontoPadrao)</f>
        <v>0.26998708082016998</v>
      </c>
      <c r="M3724" s="12">
        <f>tItens[[#This Row],[Valor]]*(1-tItens[[#This Row],[Desconto]])</f>
        <v>13972.447273101947</v>
      </c>
      <c r="N3724" t="str">
        <f>IFERROR(INDEX(tProdutos[Foco],MATCH(tItens[[#This Row],[Produto]],tProdutos[Produto],0)),"Não")</f>
        <v>Não</v>
      </c>
      <c r="O3724" t="str">
        <f>IFERROR(INDEX(tEditais[SRP],MATCH(tItens[[#This Row],[Edital]],tEditais[Edital],0)),"Não")</f>
        <v>Sim</v>
      </c>
      <c r="P3724" s="4">
        <f>IF(COUNTIFS(INDEX(tItens[Edital],1):tItens[[#This Row],[Edital]],tItens[[#This Row],[Edital]],INDEX(tItens[Produto],1):tItens[[#This Row],[Produto]],tItens[[#This Row],[Produto]])=1,1,0)</f>
        <v>1</v>
      </c>
    </row>
    <row r="3725" spans="1:16" x14ac:dyDescent="0.25">
      <c r="A3725" t="s">
        <v>1541</v>
      </c>
      <c r="B3725">
        <v>6</v>
      </c>
      <c r="C3725" t="s">
        <v>6593</v>
      </c>
      <c r="D3725" t="s">
        <v>112</v>
      </c>
      <c r="E3725" s="13">
        <v>509</v>
      </c>
      <c r="F3725" s="12">
        <v>29.52</v>
      </c>
      <c r="G3725" t="str">
        <f>IFERROR(INDEX(tEditais[Órgão],MATCH(tItens[[#This Row],[Edital]],tEditais[Edital],0)),"")</f>
        <v>CONSORCIO INTERMUNICIPAL DE ESPECIALIDADES</v>
      </c>
      <c r="H3725" t="str">
        <f>IFERROR(INDEX(tEditais[UF],MATCH(tItens[[#This Row],[Edital]],tEditais[Edital],0)),"")</f>
        <v>MG</v>
      </c>
      <c r="I3725" s="11">
        <f>IFERROR(INDEX(tEditais[Encerramento],MATCH(tItens[[#This Row],[Edital]],tEditais[Edital],0)),"")</f>
        <v>46310.375</v>
      </c>
      <c r="J3725" t="str">
        <f>IFERROR(INDEX(tProdutos[Classe],MATCH(tItens[[#This Row],[Produto]],tProdutos[Produto],0)),"produto não cadastrado")</f>
        <v>DISPUTADO</v>
      </c>
      <c r="K3725" s="12">
        <f>tItens[[#This Row],[Qtd]]*tItens[[#This Row],[Vlr unit]]</f>
        <v>15025.68</v>
      </c>
      <c r="L3725" s="6">
        <f>IFERROR(IF(INDEX(tProdutos[Desconto homologado],MATCH(tItens[[#This Row],[Produto]],tProdutos[Produto],0))="",DescontoPadrao,INDEX(tProdutos[Desconto homologado],MATCH(tItens[[#This Row],[Produto]],tProdutos[Produto],0))),DescontoPadrao)</f>
        <v>0.35273348841447499</v>
      </c>
      <c r="M3725" s="12">
        <f>tItens[[#This Row],[Valor]]*(1-tItens[[#This Row],[Desconto]])</f>
        <v>9725.6194778003901</v>
      </c>
      <c r="N3725" t="str">
        <f>IFERROR(INDEX(tProdutos[Foco],MATCH(tItens[[#This Row],[Produto]],tProdutos[Produto],0)),"Não")</f>
        <v>Não</v>
      </c>
      <c r="O3725" t="str">
        <f>IFERROR(INDEX(tEditais[SRP],MATCH(tItens[[#This Row],[Edital]],tEditais[Edital],0)),"Não")</f>
        <v>Sim</v>
      </c>
      <c r="P3725" s="4">
        <f>IF(COUNTIFS(INDEX(tItens[Edital],1):tItens[[#This Row],[Edital]],tItens[[#This Row],[Edital]],INDEX(tItens[Produto],1):tItens[[#This Row],[Produto]],tItens[[#This Row],[Produto]])=1,1,0)</f>
        <v>1</v>
      </c>
    </row>
    <row r="3726" spans="1:16" x14ac:dyDescent="0.25">
      <c r="A3726" t="s">
        <v>1541</v>
      </c>
      <c r="B3726">
        <v>16</v>
      </c>
      <c r="C3726" t="s">
        <v>6594</v>
      </c>
      <c r="D3726" t="s">
        <v>86</v>
      </c>
      <c r="E3726" s="13">
        <v>809</v>
      </c>
      <c r="F3726" s="12">
        <v>19.47</v>
      </c>
      <c r="G3726" t="str">
        <f>IFERROR(INDEX(tEditais[Órgão],MATCH(tItens[[#This Row],[Edital]],tEditais[Edital],0)),"")</f>
        <v>CONSORCIO INTERMUNICIPAL DE ESPECIALIDADES</v>
      </c>
      <c r="H3726" t="str">
        <f>IFERROR(INDEX(tEditais[UF],MATCH(tItens[[#This Row],[Edital]],tEditais[Edital],0)),"")</f>
        <v>MG</v>
      </c>
      <c r="I3726" s="11">
        <f>IFERROR(INDEX(tEditais[Encerramento],MATCH(tItens[[#This Row],[Edital]],tEditais[Edital],0)),"")</f>
        <v>46310.375</v>
      </c>
      <c r="J3726" t="str">
        <f>IFERROR(INDEX(tProdutos[Classe],MATCH(tItens[[#This Row],[Produto]],tProdutos[Produto],0)),"produto não cadastrado")</f>
        <v>NÚCLEO</v>
      </c>
      <c r="K3726" s="12">
        <f>tItens[[#This Row],[Qtd]]*tItens[[#This Row],[Vlr unit]]</f>
        <v>15751.23</v>
      </c>
      <c r="L3726" s="6">
        <f>IFERROR(IF(INDEX(tProdutos[Desconto homologado],MATCH(tItens[[#This Row],[Produto]],tProdutos[Produto],0))="",DescontoPadrao,INDEX(tProdutos[Desconto homologado],MATCH(tItens[[#This Row],[Produto]],tProdutos[Produto],0))),DescontoPadrao)</f>
        <v>0.20202020202020199</v>
      </c>
      <c r="M3726" s="12">
        <f>tItens[[#This Row],[Valor]]*(1-tItens[[#This Row],[Desconto]])</f>
        <v>12569.163333333334</v>
      </c>
      <c r="N3726" t="str">
        <f>IFERROR(INDEX(tProdutos[Foco],MATCH(tItens[[#This Row],[Produto]],tProdutos[Produto],0)),"Não")</f>
        <v>Não</v>
      </c>
      <c r="O3726" t="str">
        <f>IFERROR(INDEX(tEditais[SRP],MATCH(tItens[[#This Row],[Edital]],tEditais[Edital],0)),"Não")</f>
        <v>Sim</v>
      </c>
      <c r="P3726" s="4">
        <f>IF(COUNTIFS(INDEX(tItens[Edital],1):tItens[[#This Row],[Edital]],tItens[[#This Row],[Edital]],INDEX(tItens[Produto],1):tItens[[#This Row],[Produto]],tItens[[#This Row],[Produto]])=1,1,0)</f>
        <v>1</v>
      </c>
    </row>
    <row r="3727" spans="1:16" x14ac:dyDescent="0.25">
      <c r="A3727" t="s">
        <v>1541</v>
      </c>
      <c r="B3727">
        <v>17</v>
      </c>
      <c r="C3727" t="s">
        <v>6595</v>
      </c>
      <c r="D3727" t="s">
        <v>86</v>
      </c>
      <c r="E3727" s="13">
        <v>829</v>
      </c>
      <c r="F3727" s="12">
        <v>13.9</v>
      </c>
      <c r="G3727" t="str">
        <f>IFERROR(INDEX(tEditais[Órgão],MATCH(tItens[[#This Row],[Edital]],tEditais[Edital],0)),"")</f>
        <v>CONSORCIO INTERMUNICIPAL DE ESPECIALIDADES</v>
      </c>
      <c r="H3727" t="str">
        <f>IFERROR(INDEX(tEditais[UF],MATCH(tItens[[#This Row],[Edital]],tEditais[Edital],0)),"")</f>
        <v>MG</v>
      </c>
      <c r="I3727" s="11">
        <f>IFERROR(INDEX(tEditais[Encerramento],MATCH(tItens[[#This Row],[Edital]],tEditais[Edital],0)),"")</f>
        <v>46310.375</v>
      </c>
      <c r="J3727" t="str">
        <f>IFERROR(INDEX(tProdutos[Classe],MATCH(tItens[[#This Row],[Produto]],tProdutos[Produto],0)),"produto não cadastrado")</f>
        <v>NÚCLEO</v>
      </c>
      <c r="K3727" s="12">
        <f>tItens[[#This Row],[Qtd]]*tItens[[#This Row],[Vlr unit]]</f>
        <v>11523.1</v>
      </c>
      <c r="L3727" s="6">
        <f>IFERROR(IF(INDEX(tProdutos[Desconto homologado],MATCH(tItens[[#This Row],[Produto]],tProdutos[Produto],0))="",DescontoPadrao,INDEX(tProdutos[Desconto homologado],MATCH(tItens[[#This Row],[Produto]],tProdutos[Produto],0))),DescontoPadrao)</f>
        <v>0.20202020202020199</v>
      </c>
      <c r="M3727" s="12">
        <f>tItens[[#This Row],[Valor]]*(1-tItens[[#This Row],[Desconto]])</f>
        <v>9195.201010101011</v>
      </c>
      <c r="N3727" t="str">
        <f>IFERROR(INDEX(tProdutos[Foco],MATCH(tItens[[#This Row],[Produto]],tProdutos[Produto],0)),"Não")</f>
        <v>Não</v>
      </c>
      <c r="O3727" t="str">
        <f>IFERROR(INDEX(tEditais[SRP],MATCH(tItens[[#This Row],[Edital]],tEditais[Edital],0)),"Não")</f>
        <v>Sim</v>
      </c>
      <c r="P3727" s="4">
        <f>IF(COUNTIFS(INDEX(tItens[Edital],1):tItens[[#This Row],[Edital]],tItens[[#This Row],[Edital]],INDEX(tItens[Produto],1):tItens[[#This Row],[Produto]],tItens[[#This Row],[Produto]])=1,1,0)</f>
        <v>0</v>
      </c>
    </row>
    <row r="3728" spans="1:16" x14ac:dyDescent="0.25">
      <c r="A3728" t="s">
        <v>1541</v>
      </c>
      <c r="B3728">
        <v>18</v>
      </c>
      <c r="C3728" t="s">
        <v>6596</v>
      </c>
      <c r="D3728" t="s">
        <v>86</v>
      </c>
      <c r="E3728" s="13">
        <v>13003</v>
      </c>
      <c r="F3728" s="12">
        <v>15.78</v>
      </c>
      <c r="G3728" t="str">
        <f>IFERROR(INDEX(tEditais[Órgão],MATCH(tItens[[#This Row],[Edital]],tEditais[Edital],0)),"")</f>
        <v>CONSORCIO INTERMUNICIPAL DE ESPECIALIDADES</v>
      </c>
      <c r="H3728" t="str">
        <f>IFERROR(INDEX(tEditais[UF],MATCH(tItens[[#This Row],[Edital]],tEditais[Edital],0)),"")</f>
        <v>MG</v>
      </c>
      <c r="I3728" s="11">
        <f>IFERROR(INDEX(tEditais[Encerramento],MATCH(tItens[[#This Row],[Edital]],tEditais[Edital],0)),"")</f>
        <v>46310.375</v>
      </c>
      <c r="J3728" t="str">
        <f>IFERROR(INDEX(tProdutos[Classe],MATCH(tItens[[#This Row],[Produto]],tProdutos[Produto],0)),"produto não cadastrado")</f>
        <v>NÚCLEO</v>
      </c>
      <c r="K3728" s="12">
        <f>tItens[[#This Row],[Qtd]]*tItens[[#This Row],[Vlr unit]]</f>
        <v>205187.34</v>
      </c>
      <c r="L3728" s="6">
        <f>IFERROR(IF(INDEX(tProdutos[Desconto homologado],MATCH(tItens[[#This Row],[Produto]],tProdutos[Produto],0))="",DescontoPadrao,INDEX(tProdutos[Desconto homologado],MATCH(tItens[[#This Row],[Produto]],tProdutos[Produto],0))),DescontoPadrao)</f>
        <v>0.20202020202020199</v>
      </c>
      <c r="M3728" s="12">
        <f>tItens[[#This Row],[Valor]]*(1-tItens[[#This Row],[Desconto]])</f>
        <v>163735.35212121211</v>
      </c>
      <c r="N3728" t="str">
        <f>IFERROR(INDEX(tProdutos[Foco],MATCH(tItens[[#This Row],[Produto]],tProdutos[Produto],0)),"Não")</f>
        <v>Não</v>
      </c>
      <c r="O3728" t="str">
        <f>IFERROR(INDEX(tEditais[SRP],MATCH(tItens[[#This Row],[Edital]],tEditais[Edital],0)),"Não")</f>
        <v>Sim</v>
      </c>
      <c r="P3728" s="4">
        <f>IF(COUNTIFS(INDEX(tItens[Edital],1):tItens[[#This Row],[Edital]],tItens[[#This Row],[Edital]],INDEX(tItens[Produto],1):tItens[[#This Row],[Produto]],tItens[[#This Row],[Produto]])=1,1,0)</f>
        <v>0</v>
      </c>
    </row>
    <row r="3729" spans="1:16" x14ac:dyDescent="0.25">
      <c r="A3729" t="s">
        <v>1541</v>
      </c>
      <c r="B3729">
        <v>65</v>
      </c>
      <c r="C3729" t="s">
        <v>6597</v>
      </c>
      <c r="D3729" t="s">
        <v>455</v>
      </c>
      <c r="E3729" s="13">
        <v>165</v>
      </c>
      <c r="F3729" s="12">
        <v>61.89</v>
      </c>
      <c r="G3729" t="str">
        <f>IFERROR(INDEX(tEditais[Órgão],MATCH(tItens[[#This Row],[Edital]],tEditais[Edital],0)),"")</f>
        <v>CONSORCIO INTERMUNICIPAL DE ESPECIALIDADES</v>
      </c>
      <c r="H3729" t="str">
        <f>IFERROR(INDEX(tEditais[UF],MATCH(tItens[[#This Row],[Edital]],tEditais[Edital],0)),"")</f>
        <v>MG</v>
      </c>
      <c r="I3729" s="11">
        <f>IFERROR(INDEX(tEditais[Encerramento],MATCH(tItens[[#This Row],[Edital]],tEditais[Edital],0)),"")</f>
        <v>46310.375</v>
      </c>
      <c r="J3729" t="str">
        <f>IFERROR(INDEX(tProdutos[Classe],MATCH(tItens[[#This Row],[Produto]],tProdutos[Produto],0)),"produto não cadastrado")</f>
        <v>FILA REBASE</v>
      </c>
      <c r="K3729" s="12">
        <f>tItens[[#This Row],[Qtd]]*tItens[[#This Row],[Vlr unit]]</f>
        <v>10211.85</v>
      </c>
      <c r="L3729" s="6">
        <f>IFERROR(IF(INDEX(tProdutos[Desconto homologado],MATCH(tItens[[#This Row],[Produto]],tProdutos[Produto],0))="",DescontoPadrao,INDEX(tProdutos[Desconto homologado],MATCH(tItens[[#This Row],[Produto]],tProdutos[Produto],0))),DescontoPadrao)</f>
        <v>0.29595946765523801</v>
      </c>
      <c r="M3729" s="12">
        <f>tItens[[#This Row],[Valor]]*(1-tItens[[#This Row],[Desconto]])</f>
        <v>7189.5563102248589</v>
      </c>
      <c r="N3729" t="str">
        <f>IFERROR(INDEX(tProdutos[Foco],MATCH(tItens[[#This Row],[Produto]],tProdutos[Produto],0)),"Não")</f>
        <v>Não</v>
      </c>
      <c r="O3729" t="str">
        <f>IFERROR(INDEX(tEditais[SRP],MATCH(tItens[[#This Row],[Edital]],tEditais[Edital],0)),"Não")</f>
        <v>Sim</v>
      </c>
      <c r="P3729" s="4">
        <f>IF(COUNTIFS(INDEX(tItens[Edital],1):tItens[[#This Row],[Edital]],tItens[[#This Row],[Edital]],INDEX(tItens[Produto],1):tItens[[#This Row],[Produto]],tItens[[#This Row],[Produto]])=1,1,0)</f>
        <v>1</v>
      </c>
    </row>
    <row r="3730" spans="1:16" x14ac:dyDescent="0.25">
      <c r="A3730" t="s">
        <v>1541</v>
      </c>
      <c r="B3730">
        <v>66</v>
      </c>
      <c r="C3730" t="s">
        <v>6598</v>
      </c>
      <c r="D3730" t="s">
        <v>455</v>
      </c>
      <c r="E3730" s="13">
        <v>165</v>
      </c>
      <c r="F3730" s="12">
        <v>63.55</v>
      </c>
      <c r="G3730" t="str">
        <f>IFERROR(INDEX(tEditais[Órgão],MATCH(tItens[[#This Row],[Edital]],tEditais[Edital],0)),"")</f>
        <v>CONSORCIO INTERMUNICIPAL DE ESPECIALIDADES</v>
      </c>
      <c r="H3730" t="str">
        <f>IFERROR(INDEX(tEditais[UF],MATCH(tItens[[#This Row],[Edital]],tEditais[Edital],0)),"")</f>
        <v>MG</v>
      </c>
      <c r="I3730" s="11">
        <f>IFERROR(INDEX(tEditais[Encerramento],MATCH(tItens[[#This Row],[Edital]],tEditais[Edital],0)),"")</f>
        <v>46310.375</v>
      </c>
      <c r="J3730" t="str">
        <f>IFERROR(INDEX(tProdutos[Classe],MATCH(tItens[[#This Row],[Produto]],tProdutos[Produto],0)),"produto não cadastrado")</f>
        <v>FILA REBASE</v>
      </c>
      <c r="K3730" s="12">
        <f>tItens[[#This Row],[Qtd]]*tItens[[#This Row],[Vlr unit]]</f>
        <v>10485.75</v>
      </c>
      <c r="L3730" s="6">
        <f>IFERROR(IF(INDEX(tProdutos[Desconto homologado],MATCH(tItens[[#This Row],[Produto]],tProdutos[Produto],0))="",DescontoPadrao,INDEX(tProdutos[Desconto homologado],MATCH(tItens[[#This Row],[Produto]],tProdutos[Produto],0))),DescontoPadrao)</f>
        <v>0.29595946765523801</v>
      </c>
      <c r="M3730" s="12">
        <f>tItens[[#This Row],[Valor]]*(1-tItens[[#This Row],[Desconto]])</f>
        <v>7382.3930120340883</v>
      </c>
      <c r="N3730" t="str">
        <f>IFERROR(INDEX(tProdutos[Foco],MATCH(tItens[[#This Row],[Produto]],tProdutos[Produto],0)),"Não")</f>
        <v>Não</v>
      </c>
      <c r="O3730" t="str">
        <f>IFERROR(INDEX(tEditais[SRP],MATCH(tItens[[#This Row],[Edital]],tEditais[Edital],0)),"Não")</f>
        <v>Sim</v>
      </c>
      <c r="P3730" s="4">
        <f>IF(COUNTIFS(INDEX(tItens[Edital],1):tItens[[#This Row],[Edital]],tItens[[#This Row],[Edital]],INDEX(tItens[Produto],1):tItens[[#This Row],[Produto]],tItens[[#This Row],[Produto]])=1,1,0)</f>
        <v>0</v>
      </c>
    </row>
    <row r="3731" spans="1:16" x14ac:dyDescent="0.25">
      <c r="A3731" t="s">
        <v>1541</v>
      </c>
      <c r="B3731">
        <v>85</v>
      </c>
      <c r="C3731" t="s">
        <v>6599</v>
      </c>
      <c r="D3731" t="s">
        <v>325</v>
      </c>
      <c r="E3731" s="13">
        <v>635</v>
      </c>
      <c r="F3731" s="12">
        <v>53.4</v>
      </c>
      <c r="G3731" t="str">
        <f>IFERROR(INDEX(tEditais[Órgão],MATCH(tItens[[#This Row],[Edital]],tEditais[Edital],0)),"")</f>
        <v>CONSORCIO INTERMUNICIPAL DE ESPECIALIDADES</v>
      </c>
      <c r="H3731" t="str">
        <f>IFERROR(INDEX(tEditais[UF],MATCH(tItens[[#This Row],[Edital]],tEditais[Edital],0)),"")</f>
        <v>MG</v>
      </c>
      <c r="I3731" s="11">
        <f>IFERROR(INDEX(tEditais[Encerramento],MATCH(tItens[[#This Row],[Edital]],tEditais[Edital],0)),"")</f>
        <v>46310.375</v>
      </c>
      <c r="J3731" t="str">
        <f>IFERROR(INDEX(tProdutos[Classe],MATCH(tItens[[#This Row],[Produto]],tProdutos[Produto],0)),"produto não cadastrado")</f>
        <v>FORA</v>
      </c>
      <c r="K3731" s="12">
        <f>tItens[[#This Row],[Qtd]]*tItens[[#This Row],[Vlr unit]]</f>
        <v>33909</v>
      </c>
      <c r="L3731" s="6">
        <f>IFERROR(IF(INDEX(tProdutos[Desconto homologado],MATCH(tItens[[#This Row],[Produto]],tProdutos[Produto],0))="",DescontoPadrao,INDEX(tProdutos[Desconto homologado],MATCH(tItens[[#This Row],[Produto]],tProdutos[Produto],0))),DescontoPadrao)</f>
        <v>0.35562332485672099</v>
      </c>
      <c r="M3731" s="12">
        <f>tItens[[#This Row],[Valor]]*(1-tItens[[#This Row],[Desconto]])</f>
        <v>21850.168677433448</v>
      </c>
      <c r="N3731" t="str">
        <f>IFERROR(INDEX(tProdutos[Foco],MATCH(tItens[[#This Row],[Produto]],tProdutos[Produto],0)),"Não")</f>
        <v>Não</v>
      </c>
      <c r="O3731" t="str">
        <f>IFERROR(INDEX(tEditais[SRP],MATCH(tItens[[#This Row],[Edital]],tEditais[Edital],0)),"Não")</f>
        <v>Sim</v>
      </c>
      <c r="P3731" s="4">
        <f>IF(COUNTIFS(INDEX(tItens[Edital],1):tItens[[#This Row],[Edital]],tItens[[#This Row],[Edital]],INDEX(tItens[Produto],1):tItens[[#This Row],[Produto]],tItens[[#This Row],[Produto]])=1,1,0)</f>
        <v>1</v>
      </c>
    </row>
    <row r="3732" spans="1:16" x14ac:dyDescent="0.25">
      <c r="A3732" t="s">
        <v>1541</v>
      </c>
      <c r="B3732">
        <v>86</v>
      </c>
      <c r="C3732" t="s">
        <v>6600</v>
      </c>
      <c r="D3732" t="s">
        <v>325</v>
      </c>
      <c r="E3732" s="13">
        <v>535</v>
      </c>
      <c r="F3732" s="12">
        <v>89.78</v>
      </c>
      <c r="G3732" t="str">
        <f>IFERROR(INDEX(tEditais[Órgão],MATCH(tItens[[#This Row],[Edital]],tEditais[Edital],0)),"")</f>
        <v>CONSORCIO INTERMUNICIPAL DE ESPECIALIDADES</v>
      </c>
      <c r="H3732" t="str">
        <f>IFERROR(INDEX(tEditais[UF],MATCH(tItens[[#This Row],[Edital]],tEditais[Edital],0)),"")</f>
        <v>MG</v>
      </c>
      <c r="I3732" s="11">
        <f>IFERROR(INDEX(tEditais[Encerramento],MATCH(tItens[[#This Row],[Edital]],tEditais[Edital],0)),"")</f>
        <v>46310.375</v>
      </c>
      <c r="J3732" t="str">
        <f>IFERROR(INDEX(tProdutos[Classe],MATCH(tItens[[#This Row],[Produto]],tProdutos[Produto],0)),"produto não cadastrado")</f>
        <v>FORA</v>
      </c>
      <c r="K3732" s="12">
        <f>tItens[[#This Row],[Qtd]]*tItens[[#This Row],[Vlr unit]]</f>
        <v>48032.3</v>
      </c>
      <c r="L3732" s="6">
        <f>IFERROR(IF(INDEX(tProdutos[Desconto homologado],MATCH(tItens[[#This Row],[Produto]],tProdutos[Produto],0))="",DescontoPadrao,INDEX(tProdutos[Desconto homologado],MATCH(tItens[[#This Row],[Produto]],tProdutos[Produto],0))),DescontoPadrao)</f>
        <v>0.35562332485672099</v>
      </c>
      <c r="M3732" s="12">
        <f>tItens[[#This Row],[Valor]]*(1-tItens[[#This Row],[Desconto]])</f>
        <v>30950.893773484524</v>
      </c>
      <c r="N3732" t="str">
        <f>IFERROR(INDEX(tProdutos[Foco],MATCH(tItens[[#This Row],[Produto]],tProdutos[Produto],0)),"Não")</f>
        <v>Não</v>
      </c>
      <c r="O3732" t="str">
        <f>IFERROR(INDEX(tEditais[SRP],MATCH(tItens[[#This Row],[Edital]],tEditais[Edital],0)),"Não")</f>
        <v>Sim</v>
      </c>
      <c r="P3732" s="4">
        <f>IF(COUNTIFS(INDEX(tItens[Edital],1):tItens[[#This Row],[Edital]],tItens[[#This Row],[Edital]],INDEX(tItens[Produto],1):tItens[[#This Row],[Produto]],tItens[[#This Row],[Produto]])=1,1,0)</f>
        <v>0</v>
      </c>
    </row>
    <row r="3733" spans="1:16" x14ac:dyDescent="0.25">
      <c r="A3733" t="s">
        <v>1541</v>
      </c>
      <c r="B3733">
        <v>87</v>
      </c>
      <c r="C3733" t="s">
        <v>6601</v>
      </c>
      <c r="D3733" t="s">
        <v>325</v>
      </c>
      <c r="E3733" s="13">
        <v>640</v>
      </c>
      <c r="F3733" s="12">
        <v>21.43</v>
      </c>
      <c r="G3733" t="str">
        <f>IFERROR(INDEX(tEditais[Órgão],MATCH(tItens[[#This Row],[Edital]],tEditais[Edital],0)),"")</f>
        <v>CONSORCIO INTERMUNICIPAL DE ESPECIALIDADES</v>
      </c>
      <c r="H3733" t="str">
        <f>IFERROR(INDEX(tEditais[UF],MATCH(tItens[[#This Row],[Edital]],tEditais[Edital],0)),"")</f>
        <v>MG</v>
      </c>
      <c r="I3733" s="11">
        <f>IFERROR(INDEX(tEditais[Encerramento],MATCH(tItens[[#This Row],[Edital]],tEditais[Edital],0)),"")</f>
        <v>46310.375</v>
      </c>
      <c r="J3733" t="str">
        <f>IFERROR(INDEX(tProdutos[Classe],MATCH(tItens[[#This Row],[Produto]],tProdutos[Produto],0)),"produto não cadastrado")</f>
        <v>FORA</v>
      </c>
      <c r="K3733" s="12">
        <f>tItens[[#This Row],[Qtd]]*tItens[[#This Row],[Vlr unit]]</f>
        <v>13715.2</v>
      </c>
      <c r="L3733" s="6">
        <f>IFERROR(IF(INDEX(tProdutos[Desconto homologado],MATCH(tItens[[#This Row],[Produto]],tProdutos[Produto],0))="",DescontoPadrao,INDEX(tProdutos[Desconto homologado],MATCH(tItens[[#This Row],[Produto]],tProdutos[Produto],0))),DescontoPadrao)</f>
        <v>0.35562332485672099</v>
      </c>
      <c r="M3733" s="12">
        <f>tItens[[#This Row],[Valor]]*(1-tItens[[#This Row],[Desconto]])</f>
        <v>8837.7549749251011</v>
      </c>
      <c r="N3733" t="str">
        <f>IFERROR(INDEX(tProdutos[Foco],MATCH(tItens[[#This Row],[Produto]],tProdutos[Produto],0)),"Não")</f>
        <v>Não</v>
      </c>
      <c r="O3733" t="str">
        <f>IFERROR(INDEX(tEditais[SRP],MATCH(tItens[[#This Row],[Edital]],tEditais[Edital],0)),"Não")</f>
        <v>Sim</v>
      </c>
      <c r="P3733" s="4">
        <f>IF(COUNTIFS(INDEX(tItens[Edital],1):tItens[[#This Row],[Edital]],tItens[[#This Row],[Edital]],INDEX(tItens[Produto],1):tItens[[#This Row],[Produto]],tItens[[#This Row],[Produto]])=1,1,0)</f>
        <v>0</v>
      </c>
    </row>
    <row r="3734" spans="1:16" x14ac:dyDescent="0.25">
      <c r="A3734" t="s">
        <v>1541</v>
      </c>
      <c r="B3734">
        <v>101</v>
      </c>
      <c r="C3734" t="s">
        <v>6602</v>
      </c>
      <c r="D3734" t="s">
        <v>461</v>
      </c>
      <c r="E3734" s="13">
        <v>693</v>
      </c>
      <c r="F3734" s="12">
        <v>27.96</v>
      </c>
      <c r="G3734" t="str">
        <f>IFERROR(INDEX(tEditais[Órgão],MATCH(tItens[[#This Row],[Edital]],tEditais[Edital],0)),"")</f>
        <v>CONSORCIO INTERMUNICIPAL DE ESPECIALIDADES</v>
      </c>
      <c r="H3734" t="str">
        <f>IFERROR(INDEX(tEditais[UF],MATCH(tItens[[#This Row],[Edital]],tEditais[Edital],0)),"")</f>
        <v>MG</v>
      </c>
      <c r="I3734" s="11">
        <f>IFERROR(INDEX(tEditais[Encerramento],MATCH(tItens[[#This Row],[Edital]],tEditais[Edital],0)),"")</f>
        <v>46310.375</v>
      </c>
      <c r="J3734" t="str">
        <f>IFERROR(INDEX(tProdutos[Classe],MATCH(tItens[[#This Row],[Produto]],tProdutos[Produto],0)),"produto não cadastrado")</f>
        <v>FILA REBASE</v>
      </c>
      <c r="K3734" s="12">
        <f>tItens[[#This Row],[Qtd]]*tItens[[#This Row],[Vlr unit]]</f>
        <v>19376.28</v>
      </c>
      <c r="L3734" s="6">
        <f>IFERROR(IF(INDEX(tProdutos[Desconto homologado],MATCH(tItens[[#This Row],[Produto]],tProdutos[Produto],0))="",DescontoPadrao,INDEX(tProdutos[Desconto homologado],MATCH(tItens[[#This Row],[Produto]],tProdutos[Produto],0))),DescontoPadrao)</f>
        <v>0.44096385542168698</v>
      </c>
      <c r="M3734" s="12">
        <f>tItens[[#This Row],[Valor]]*(1-tItens[[#This Row],[Desconto]])</f>
        <v>10832.040867469874</v>
      </c>
      <c r="N3734" t="str">
        <f>IFERROR(INDEX(tProdutos[Foco],MATCH(tItens[[#This Row],[Produto]],tProdutos[Produto],0)),"Não")</f>
        <v>Não</v>
      </c>
      <c r="O3734" t="str">
        <f>IFERROR(INDEX(tEditais[SRP],MATCH(tItens[[#This Row],[Edital]],tEditais[Edital],0)),"Não")</f>
        <v>Sim</v>
      </c>
      <c r="P3734" s="4">
        <f>IF(COUNTIFS(INDEX(tItens[Edital],1):tItens[[#This Row],[Edital]],tItens[[#This Row],[Edital]],INDEX(tItens[Produto],1):tItens[[#This Row],[Produto]],tItens[[#This Row],[Produto]])=1,1,0)</f>
        <v>1</v>
      </c>
    </row>
    <row r="3735" spans="1:16" x14ac:dyDescent="0.25">
      <c r="A3735" t="s">
        <v>1541</v>
      </c>
      <c r="B3735">
        <v>102</v>
      </c>
      <c r="C3735" t="s">
        <v>6603</v>
      </c>
      <c r="D3735" t="s">
        <v>461</v>
      </c>
      <c r="E3735" s="13">
        <v>204</v>
      </c>
      <c r="F3735" s="12">
        <v>27.92</v>
      </c>
      <c r="G3735" t="str">
        <f>IFERROR(INDEX(tEditais[Órgão],MATCH(tItens[[#This Row],[Edital]],tEditais[Edital],0)),"")</f>
        <v>CONSORCIO INTERMUNICIPAL DE ESPECIALIDADES</v>
      </c>
      <c r="H3735" t="str">
        <f>IFERROR(INDEX(tEditais[UF],MATCH(tItens[[#This Row],[Edital]],tEditais[Edital],0)),"")</f>
        <v>MG</v>
      </c>
      <c r="I3735" s="11">
        <f>IFERROR(INDEX(tEditais[Encerramento],MATCH(tItens[[#This Row],[Edital]],tEditais[Edital],0)),"")</f>
        <v>46310.375</v>
      </c>
      <c r="J3735" t="str">
        <f>IFERROR(INDEX(tProdutos[Classe],MATCH(tItens[[#This Row],[Produto]],tProdutos[Produto],0)),"produto não cadastrado")</f>
        <v>FILA REBASE</v>
      </c>
      <c r="K3735" s="12">
        <f>tItens[[#This Row],[Qtd]]*tItens[[#This Row],[Vlr unit]]</f>
        <v>5695.68</v>
      </c>
      <c r="L3735" s="6">
        <f>IFERROR(IF(INDEX(tProdutos[Desconto homologado],MATCH(tItens[[#This Row],[Produto]],tProdutos[Produto],0))="",DescontoPadrao,INDEX(tProdutos[Desconto homologado],MATCH(tItens[[#This Row],[Produto]],tProdutos[Produto],0))),DescontoPadrao)</f>
        <v>0.44096385542168698</v>
      </c>
      <c r="M3735" s="12">
        <f>tItens[[#This Row],[Valor]]*(1-tItens[[#This Row],[Desconto]])</f>
        <v>3184.0909879518058</v>
      </c>
      <c r="N3735" t="str">
        <f>IFERROR(INDEX(tProdutos[Foco],MATCH(tItens[[#This Row],[Produto]],tProdutos[Produto],0)),"Não")</f>
        <v>Não</v>
      </c>
      <c r="O3735" t="str">
        <f>IFERROR(INDEX(tEditais[SRP],MATCH(tItens[[#This Row],[Edital]],tEditais[Edital],0)),"Não")</f>
        <v>Sim</v>
      </c>
      <c r="P3735" s="4">
        <f>IF(COUNTIFS(INDEX(tItens[Edital],1):tItens[[#This Row],[Edital]],tItens[[#This Row],[Edital]],INDEX(tItens[Produto],1):tItens[[#This Row],[Produto]],tItens[[#This Row],[Produto]])=1,1,0)</f>
        <v>0</v>
      </c>
    </row>
    <row r="3736" spans="1:16" x14ac:dyDescent="0.25">
      <c r="A3736" t="s">
        <v>1541</v>
      </c>
      <c r="B3736">
        <v>103</v>
      </c>
      <c r="C3736" t="s">
        <v>6604</v>
      </c>
      <c r="D3736" t="s">
        <v>461</v>
      </c>
      <c r="E3736" s="13">
        <v>466</v>
      </c>
      <c r="F3736" s="12">
        <v>33.04</v>
      </c>
      <c r="G3736" t="str">
        <f>IFERROR(INDEX(tEditais[Órgão],MATCH(tItens[[#This Row],[Edital]],tEditais[Edital],0)),"")</f>
        <v>CONSORCIO INTERMUNICIPAL DE ESPECIALIDADES</v>
      </c>
      <c r="H3736" t="str">
        <f>IFERROR(INDEX(tEditais[UF],MATCH(tItens[[#This Row],[Edital]],tEditais[Edital],0)),"")</f>
        <v>MG</v>
      </c>
      <c r="I3736" s="11">
        <f>IFERROR(INDEX(tEditais[Encerramento],MATCH(tItens[[#This Row],[Edital]],tEditais[Edital],0)),"")</f>
        <v>46310.375</v>
      </c>
      <c r="J3736" t="str">
        <f>IFERROR(INDEX(tProdutos[Classe],MATCH(tItens[[#This Row],[Produto]],tProdutos[Produto],0)),"produto não cadastrado")</f>
        <v>FILA REBASE</v>
      </c>
      <c r="K3736" s="12">
        <f>tItens[[#This Row],[Qtd]]*tItens[[#This Row],[Vlr unit]]</f>
        <v>15396.64</v>
      </c>
      <c r="L3736" s="6">
        <f>IFERROR(IF(INDEX(tProdutos[Desconto homologado],MATCH(tItens[[#This Row],[Produto]],tProdutos[Produto],0))="",DescontoPadrao,INDEX(tProdutos[Desconto homologado],MATCH(tItens[[#This Row],[Produto]],tProdutos[Produto],0))),DescontoPadrao)</f>
        <v>0.44096385542168698</v>
      </c>
      <c r="M3736" s="12">
        <f>tItens[[#This Row],[Valor]]*(1-tItens[[#This Row],[Desconto]])</f>
        <v>8607.2782650602367</v>
      </c>
      <c r="N3736" t="str">
        <f>IFERROR(INDEX(tProdutos[Foco],MATCH(tItens[[#This Row],[Produto]],tProdutos[Produto],0)),"Não")</f>
        <v>Não</v>
      </c>
      <c r="O3736" t="str">
        <f>IFERROR(INDEX(tEditais[SRP],MATCH(tItens[[#This Row],[Edital]],tEditais[Edital],0)),"Não")</f>
        <v>Sim</v>
      </c>
      <c r="P3736" s="4">
        <f>IF(COUNTIFS(INDEX(tItens[Edital],1):tItens[[#This Row],[Edital]],tItens[[#This Row],[Edital]],INDEX(tItens[Produto],1):tItens[[#This Row],[Produto]],tItens[[#This Row],[Produto]])=1,1,0)</f>
        <v>0</v>
      </c>
    </row>
    <row r="3737" spans="1:16" x14ac:dyDescent="0.25">
      <c r="A3737" t="s">
        <v>1541</v>
      </c>
      <c r="B3737">
        <v>104</v>
      </c>
      <c r="C3737" t="s">
        <v>6605</v>
      </c>
      <c r="D3737" t="s">
        <v>461</v>
      </c>
      <c r="E3737" s="13">
        <v>607</v>
      </c>
      <c r="F3737" s="12">
        <v>32.15</v>
      </c>
      <c r="G3737" t="str">
        <f>IFERROR(INDEX(tEditais[Órgão],MATCH(tItens[[#This Row],[Edital]],tEditais[Edital],0)),"")</f>
        <v>CONSORCIO INTERMUNICIPAL DE ESPECIALIDADES</v>
      </c>
      <c r="H3737" t="str">
        <f>IFERROR(INDEX(tEditais[UF],MATCH(tItens[[#This Row],[Edital]],tEditais[Edital],0)),"")</f>
        <v>MG</v>
      </c>
      <c r="I3737" s="11">
        <f>IFERROR(INDEX(tEditais[Encerramento],MATCH(tItens[[#This Row],[Edital]],tEditais[Edital],0)),"")</f>
        <v>46310.375</v>
      </c>
      <c r="J3737" t="str">
        <f>IFERROR(INDEX(tProdutos[Classe],MATCH(tItens[[#This Row],[Produto]],tProdutos[Produto],0)),"produto não cadastrado")</f>
        <v>FILA REBASE</v>
      </c>
      <c r="K3737" s="12">
        <f>tItens[[#This Row],[Qtd]]*tItens[[#This Row],[Vlr unit]]</f>
        <v>19515.05</v>
      </c>
      <c r="L3737" s="6">
        <f>IFERROR(IF(INDEX(tProdutos[Desconto homologado],MATCH(tItens[[#This Row],[Produto]],tProdutos[Produto],0))="",DescontoPadrao,INDEX(tProdutos[Desconto homologado],MATCH(tItens[[#This Row],[Produto]],tProdutos[Produto],0))),DescontoPadrao)</f>
        <v>0.44096385542168698</v>
      </c>
      <c r="M3737" s="12">
        <f>tItens[[#This Row],[Valor]]*(1-tItens[[#This Row],[Desconto]])</f>
        <v>10909.618313253006</v>
      </c>
      <c r="N3737" t="str">
        <f>IFERROR(INDEX(tProdutos[Foco],MATCH(tItens[[#This Row],[Produto]],tProdutos[Produto],0)),"Não")</f>
        <v>Não</v>
      </c>
      <c r="O3737" t="str">
        <f>IFERROR(INDEX(tEditais[SRP],MATCH(tItens[[#This Row],[Edital]],tEditais[Edital],0)),"Não")</f>
        <v>Sim</v>
      </c>
      <c r="P3737" s="4">
        <f>IF(COUNTIFS(INDEX(tItens[Edital],1):tItens[[#This Row],[Edital]],tItens[[#This Row],[Edital]],INDEX(tItens[Produto],1):tItens[[#This Row],[Produto]],tItens[[#This Row],[Produto]])=1,1,0)</f>
        <v>0</v>
      </c>
    </row>
    <row r="3738" spans="1:16" x14ac:dyDescent="0.25">
      <c r="A3738" t="s">
        <v>1541</v>
      </c>
      <c r="B3738">
        <v>105</v>
      </c>
      <c r="C3738" t="s">
        <v>6606</v>
      </c>
      <c r="D3738" t="s">
        <v>375</v>
      </c>
      <c r="E3738" s="13">
        <v>504</v>
      </c>
      <c r="F3738" s="12">
        <v>43.5</v>
      </c>
      <c r="G3738" t="str">
        <f>IFERROR(INDEX(tEditais[Órgão],MATCH(tItens[[#This Row],[Edital]],tEditais[Edital],0)),"")</f>
        <v>CONSORCIO INTERMUNICIPAL DE ESPECIALIDADES</v>
      </c>
      <c r="H3738" t="str">
        <f>IFERROR(INDEX(tEditais[UF],MATCH(tItens[[#This Row],[Edital]],tEditais[Edital],0)),"")</f>
        <v>MG</v>
      </c>
      <c r="I3738" s="11">
        <f>IFERROR(INDEX(tEditais[Encerramento],MATCH(tItens[[#This Row],[Edital]],tEditais[Edital],0)),"")</f>
        <v>46310.375</v>
      </c>
      <c r="J3738" t="str">
        <f>IFERROR(INDEX(tProdutos[Classe],MATCH(tItens[[#This Row],[Produto]],tProdutos[Produto],0)),"produto não cadastrado")</f>
        <v>FORA</v>
      </c>
      <c r="K3738" s="12">
        <f>tItens[[#This Row],[Qtd]]*tItens[[#This Row],[Vlr unit]]</f>
        <v>21924</v>
      </c>
      <c r="L3738" s="6">
        <f>IFERROR(IF(INDEX(tProdutos[Desconto homologado],MATCH(tItens[[#This Row],[Produto]],tProdutos[Produto],0))="",DescontoPadrao,INDEX(tProdutos[Desconto homologado],MATCH(tItens[[#This Row],[Produto]],tProdutos[Produto],0))),DescontoPadrao)</f>
        <v>0.25005895299481201</v>
      </c>
      <c r="M3738" s="12">
        <f>tItens[[#This Row],[Valor]]*(1-tItens[[#This Row],[Desconto]])</f>
        <v>16441.70751454174</v>
      </c>
      <c r="N3738" t="str">
        <f>IFERROR(INDEX(tProdutos[Foco],MATCH(tItens[[#This Row],[Produto]],tProdutos[Produto],0)),"Não")</f>
        <v>Não</v>
      </c>
      <c r="O3738" t="str">
        <f>IFERROR(INDEX(tEditais[SRP],MATCH(tItens[[#This Row],[Edital]],tEditais[Edital],0)),"Não")</f>
        <v>Sim</v>
      </c>
      <c r="P3738" s="4">
        <f>IF(COUNTIFS(INDEX(tItens[Edital],1):tItens[[#This Row],[Edital]],tItens[[#This Row],[Edital]],INDEX(tItens[Produto],1):tItens[[#This Row],[Produto]],tItens[[#This Row],[Produto]])=1,1,0)</f>
        <v>1</v>
      </c>
    </row>
    <row r="3739" spans="1:16" x14ac:dyDescent="0.25">
      <c r="A3739" t="s">
        <v>1541</v>
      </c>
      <c r="B3739">
        <v>129</v>
      </c>
      <c r="C3739" t="s">
        <v>6607</v>
      </c>
      <c r="D3739" t="s">
        <v>267</v>
      </c>
      <c r="E3739" s="13">
        <v>649</v>
      </c>
      <c r="F3739" s="12">
        <v>28</v>
      </c>
      <c r="G3739" t="str">
        <f>IFERROR(INDEX(tEditais[Órgão],MATCH(tItens[[#This Row],[Edital]],tEditais[Edital],0)),"")</f>
        <v>CONSORCIO INTERMUNICIPAL DE ESPECIALIDADES</v>
      </c>
      <c r="H3739" t="str">
        <f>IFERROR(INDEX(tEditais[UF],MATCH(tItens[[#This Row],[Edital]],tEditais[Edital],0)),"")</f>
        <v>MG</v>
      </c>
      <c r="I3739" s="11">
        <f>IFERROR(INDEX(tEditais[Encerramento],MATCH(tItens[[#This Row],[Edital]],tEditais[Edital],0)),"")</f>
        <v>46310.375</v>
      </c>
      <c r="J3739" t="str">
        <f>IFERROR(INDEX(tProdutos[Classe],MATCH(tItens[[#This Row],[Produto]],tProdutos[Produto],0)),"produto não cadastrado")</f>
        <v>FORA</v>
      </c>
      <c r="K3739" s="12">
        <f>tItens[[#This Row],[Qtd]]*tItens[[#This Row],[Vlr unit]]</f>
        <v>18172</v>
      </c>
      <c r="L3739" s="6">
        <f>IFERROR(IF(INDEX(tProdutos[Desconto homologado],MATCH(tItens[[#This Row],[Produto]],tProdutos[Produto],0))="",DescontoPadrao,INDEX(tProdutos[Desconto homologado],MATCH(tItens[[#This Row],[Produto]],tProdutos[Produto],0))),DescontoPadrao)</f>
        <v>0.19963672657401599</v>
      </c>
      <c r="M3739" s="12">
        <f>tItens[[#This Row],[Valor]]*(1-tItens[[#This Row],[Desconto]])</f>
        <v>14544.201404696982</v>
      </c>
      <c r="N3739" t="str">
        <f>IFERROR(INDEX(tProdutos[Foco],MATCH(tItens[[#This Row],[Produto]],tProdutos[Produto],0)),"Não")</f>
        <v>Não</v>
      </c>
      <c r="O3739" t="str">
        <f>IFERROR(INDEX(tEditais[SRP],MATCH(tItens[[#This Row],[Edital]],tEditais[Edital],0)),"Não")</f>
        <v>Sim</v>
      </c>
      <c r="P3739" s="4">
        <f>IF(COUNTIFS(INDEX(tItens[Edital],1):tItens[[#This Row],[Edital]],tItens[[#This Row],[Edital]],INDEX(tItens[Produto],1):tItens[[#This Row],[Produto]],tItens[[#This Row],[Produto]])=1,1,0)</f>
        <v>1</v>
      </c>
    </row>
    <row r="3740" spans="1:16" x14ac:dyDescent="0.25">
      <c r="A3740" t="s">
        <v>1541</v>
      </c>
      <c r="B3740">
        <v>141</v>
      </c>
      <c r="C3740" t="s">
        <v>6608</v>
      </c>
      <c r="D3740" t="s">
        <v>455</v>
      </c>
      <c r="E3740" s="13">
        <v>11107</v>
      </c>
      <c r="F3740" s="12">
        <v>85.14</v>
      </c>
      <c r="G3740" t="str">
        <f>IFERROR(INDEX(tEditais[Órgão],MATCH(tItens[[#This Row],[Edital]],tEditais[Edital],0)),"")</f>
        <v>CONSORCIO INTERMUNICIPAL DE ESPECIALIDADES</v>
      </c>
      <c r="H3740" t="str">
        <f>IFERROR(INDEX(tEditais[UF],MATCH(tItens[[#This Row],[Edital]],tEditais[Edital],0)),"")</f>
        <v>MG</v>
      </c>
      <c r="I3740" s="11">
        <f>IFERROR(INDEX(tEditais[Encerramento],MATCH(tItens[[#This Row],[Edital]],tEditais[Edital],0)),"")</f>
        <v>46310.375</v>
      </c>
      <c r="J3740" t="str">
        <f>IFERROR(INDEX(tProdutos[Classe],MATCH(tItens[[#This Row],[Produto]],tProdutos[Produto],0)),"produto não cadastrado")</f>
        <v>FILA REBASE</v>
      </c>
      <c r="K3740" s="12">
        <f>tItens[[#This Row],[Qtd]]*tItens[[#This Row],[Vlr unit]]</f>
        <v>945649.98</v>
      </c>
      <c r="L3740" s="6">
        <f>IFERROR(IF(INDEX(tProdutos[Desconto homologado],MATCH(tItens[[#This Row],[Produto]],tProdutos[Produto],0))="",DescontoPadrao,INDEX(tProdutos[Desconto homologado],MATCH(tItens[[#This Row],[Produto]],tProdutos[Produto],0))),DescontoPadrao)</f>
        <v>0.29595946765523801</v>
      </c>
      <c r="M3740" s="12">
        <f>tItens[[#This Row],[Valor]]*(1-tItens[[#This Row],[Desconto]])</f>
        <v>665775.91533101362</v>
      </c>
      <c r="N3740" t="str">
        <f>IFERROR(INDEX(tProdutos[Foco],MATCH(tItens[[#This Row],[Produto]],tProdutos[Produto],0)),"Não")</f>
        <v>Não</v>
      </c>
      <c r="O3740" t="str">
        <f>IFERROR(INDEX(tEditais[SRP],MATCH(tItens[[#This Row],[Edital]],tEditais[Edital],0)),"Não")</f>
        <v>Sim</v>
      </c>
      <c r="P3740" s="4">
        <f>IF(COUNTIFS(INDEX(tItens[Edital],1):tItens[[#This Row],[Edital]],tItens[[#This Row],[Edital]],INDEX(tItens[Produto],1):tItens[[#This Row],[Produto]],tItens[[#This Row],[Produto]])=1,1,0)</f>
        <v>0</v>
      </c>
    </row>
    <row r="3741" spans="1:16" x14ac:dyDescent="0.25">
      <c r="A3741" t="s">
        <v>1541</v>
      </c>
      <c r="B3741">
        <v>196</v>
      </c>
      <c r="C3741" t="s">
        <v>6609</v>
      </c>
      <c r="D3741" t="s">
        <v>542</v>
      </c>
      <c r="E3741" s="13">
        <v>514</v>
      </c>
      <c r="F3741" s="12">
        <v>24.07</v>
      </c>
      <c r="G3741" t="str">
        <f>IFERROR(INDEX(tEditais[Órgão],MATCH(tItens[[#This Row],[Edital]],tEditais[Edital],0)),"")</f>
        <v>CONSORCIO INTERMUNICIPAL DE ESPECIALIDADES</v>
      </c>
      <c r="H3741" t="str">
        <f>IFERROR(INDEX(tEditais[UF],MATCH(tItens[[#This Row],[Edital]],tEditais[Edital],0)),"")</f>
        <v>MG</v>
      </c>
      <c r="I3741" s="11">
        <f>IFERROR(INDEX(tEditais[Encerramento],MATCH(tItens[[#This Row],[Edital]],tEditais[Edital],0)),"")</f>
        <v>46310.375</v>
      </c>
      <c r="J3741" t="str">
        <f>IFERROR(INDEX(tProdutos[Classe],MATCH(tItens[[#This Row],[Produto]],tProdutos[Produto],0)),"produto não cadastrado")</f>
        <v>FILA REBASE</v>
      </c>
      <c r="K3741" s="12">
        <f>tItens[[#This Row],[Qtd]]*tItens[[#This Row],[Vlr unit]]</f>
        <v>12371.98</v>
      </c>
      <c r="L3741" s="6">
        <f>IFERROR(IF(INDEX(tProdutos[Desconto homologado],MATCH(tItens[[#This Row],[Produto]],tProdutos[Produto],0))="",DescontoPadrao,INDEX(tProdutos[Desconto homologado],MATCH(tItens[[#This Row],[Produto]],tProdutos[Produto],0))),DescontoPadrao)</f>
        <v>0.3</v>
      </c>
      <c r="M3741" s="12">
        <f>tItens[[#This Row],[Valor]]*(1-tItens[[#This Row],[Desconto]])</f>
        <v>8660.3859999999986</v>
      </c>
      <c r="N3741" t="str">
        <f>IFERROR(INDEX(tProdutos[Foco],MATCH(tItens[[#This Row],[Produto]],tProdutos[Produto],0)),"Não")</f>
        <v>Não</v>
      </c>
      <c r="O3741" t="str">
        <f>IFERROR(INDEX(tEditais[SRP],MATCH(tItens[[#This Row],[Edital]],tEditais[Edital],0)),"Não")</f>
        <v>Sim</v>
      </c>
      <c r="P3741" s="4">
        <f>IF(COUNTIFS(INDEX(tItens[Edital],1):tItens[[#This Row],[Edital]],tItens[[#This Row],[Edital]],INDEX(tItens[Produto],1):tItens[[#This Row],[Produto]],tItens[[#This Row],[Produto]])=1,1,0)</f>
        <v>1</v>
      </c>
    </row>
    <row r="3742" spans="1:16" x14ac:dyDescent="0.25">
      <c r="A3742" t="s">
        <v>1541</v>
      </c>
      <c r="B3742">
        <v>209</v>
      </c>
      <c r="C3742" t="s">
        <v>6610</v>
      </c>
      <c r="D3742" t="s">
        <v>71</v>
      </c>
      <c r="E3742" s="13">
        <v>1108</v>
      </c>
      <c r="F3742" s="12">
        <v>30.13</v>
      </c>
      <c r="G3742" t="str">
        <f>IFERROR(INDEX(tEditais[Órgão],MATCH(tItens[[#This Row],[Edital]],tEditais[Edital],0)),"")</f>
        <v>CONSORCIO INTERMUNICIPAL DE ESPECIALIDADES</v>
      </c>
      <c r="H3742" t="str">
        <f>IFERROR(INDEX(tEditais[UF],MATCH(tItens[[#This Row],[Edital]],tEditais[Edital],0)),"")</f>
        <v>MG</v>
      </c>
      <c r="I3742" s="11">
        <f>IFERROR(INDEX(tEditais[Encerramento],MATCH(tItens[[#This Row],[Edital]],tEditais[Edital],0)),"")</f>
        <v>46310.375</v>
      </c>
      <c r="J3742" t="str">
        <f>IFERROR(INDEX(tProdutos[Classe],MATCH(tItens[[#This Row],[Produto]],tProdutos[Produto],0)),"produto não cadastrado")</f>
        <v>NÚCLEO</v>
      </c>
      <c r="K3742" s="12">
        <f>tItens[[#This Row],[Qtd]]*tItens[[#This Row],[Vlr unit]]</f>
        <v>33384.04</v>
      </c>
      <c r="L3742" s="6">
        <f>IFERROR(IF(INDEX(tProdutos[Desconto homologado],MATCH(tItens[[#This Row],[Produto]],tProdutos[Produto],0))="",DescontoPadrao,INDEX(tProdutos[Desconto homologado],MATCH(tItens[[#This Row],[Produto]],tProdutos[Produto],0))),DescontoPadrao)</f>
        <v>0.44981412639405199</v>
      </c>
      <c r="M3742" s="12">
        <f>tItens[[#This Row],[Valor]]*(1-tItens[[#This Row],[Desconto]])</f>
        <v>18367.427211895912</v>
      </c>
      <c r="N3742" t="str">
        <f>IFERROR(INDEX(tProdutos[Foco],MATCH(tItens[[#This Row],[Produto]],tProdutos[Produto],0)),"Não")</f>
        <v>Não</v>
      </c>
      <c r="O3742" t="str">
        <f>IFERROR(INDEX(tEditais[SRP],MATCH(tItens[[#This Row],[Edital]],tEditais[Edital],0)),"Não")</f>
        <v>Sim</v>
      </c>
      <c r="P3742" s="4">
        <f>IF(COUNTIFS(INDEX(tItens[Edital],1):tItens[[#This Row],[Edital]],tItens[[#This Row],[Edital]],INDEX(tItens[Produto],1):tItens[[#This Row],[Produto]],tItens[[#This Row],[Produto]])=1,1,0)</f>
        <v>1</v>
      </c>
    </row>
    <row r="3743" spans="1:16" x14ac:dyDescent="0.25">
      <c r="A3743" t="s">
        <v>1546</v>
      </c>
      <c r="B3743">
        <v>3</v>
      </c>
      <c r="C3743" t="s">
        <v>6611</v>
      </c>
      <c r="D3743" t="s">
        <v>64</v>
      </c>
      <c r="E3743" s="13">
        <v>33000</v>
      </c>
      <c r="F3743" s="12">
        <v>0</v>
      </c>
      <c r="G3743" t="str">
        <f>IFERROR(INDEX(tEditais[Órgão],MATCH(tItens[[#This Row],[Edital]],tEditais[Edital],0)),"")</f>
        <v>FUNDACAO HOSPITALAR DO ESTADO DE MINAS GERAIS</v>
      </c>
      <c r="H3743" t="str">
        <f>IFERROR(INDEX(tEditais[UF],MATCH(tItens[[#This Row],[Edital]],tEditais[Edital],0)),"")</f>
        <v>MG</v>
      </c>
      <c r="I3743" s="11">
        <f>IFERROR(INDEX(tEditais[Encerramento],MATCH(tItens[[#This Row],[Edital]],tEditais[Edital],0)),"")</f>
        <v>46310.375</v>
      </c>
      <c r="J3743" t="str">
        <f>IFERROR(INDEX(tProdutos[Classe],MATCH(tItens[[#This Row],[Produto]],tProdutos[Produto],0)),"produto não cadastrado")</f>
        <v>NÚCLEO</v>
      </c>
      <c r="K3743" s="12">
        <f>tItens[[#This Row],[Qtd]]*tItens[[#This Row],[Vlr unit]]</f>
        <v>0</v>
      </c>
      <c r="L3743" s="6">
        <f>IFERROR(IF(INDEX(tProdutos[Desconto homologado],MATCH(tItens[[#This Row],[Produto]],tProdutos[Produto],0))="",DescontoPadrao,INDEX(tProdutos[Desconto homologado],MATCH(tItens[[#This Row],[Produto]],tProdutos[Produto],0))),DescontoPadrao)</f>
        <v>0.28197166699010301</v>
      </c>
      <c r="M3743" s="12">
        <f>tItens[[#This Row],[Valor]]*(1-tItens[[#This Row],[Desconto]])</f>
        <v>0</v>
      </c>
      <c r="N3743" t="str">
        <f>IFERROR(INDEX(tProdutos[Foco],MATCH(tItens[[#This Row],[Produto]],tProdutos[Produto],0)),"Não")</f>
        <v>Não</v>
      </c>
      <c r="O3743" t="str">
        <f>IFERROR(INDEX(tEditais[SRP],MATCH(tItens[[#This Row],[Edital]],tEditais[Edital],0)),"Não")</f>
        <v>Não</v>
      </c>
      <c r="P3743" s="4">
        <f>IF(COUNTIFS(INDEX(tItens[Edital],1):tItens[[#This Row],[Edital]],tItens[[#This Row],[Edital]],INDEX(tItens[Produto],1):tItens[[#This Row],[Produto]],tItens[[#This Row],[Produto]])=1,1,0)</f>
        <v>1</v>
      </c>
    </row>
    <row r="3744" spans="1:16" x14ac:dyDescent="0.25">
      <c r="A3744" t="s">
        <v>1546</v>
      </c>
      <c r="B3744">
        <v>4</v>
      </c>
      <c r="C3744" t="s">
        <v>6612</v>
      </c>
      <c r="D3744" t="s">
        <v>64</v>
      </c>
      <c r="E3744" s="13">
        <v>52800</v>
      </c>
      <c r="F3744" s="12">
        <v>0</v>
      </c>
      <c r="G3744" t="str">
        <f>IFERROR(INDEX(tEditais[Órgão],MATCH(tItens[[#This Row],[Edital]],tEditais[Edital],0)),"")</f>
        <v>FUNDACAO HOSPITALAR DO ESTADO DE MINAS GERAIS</v>
      </c>
      <c r="H3744" t="str">
        <f>IFERROR(INDEX(tEditais[UF],MATCH(tItens[[#This Row],[Edital]],tEditais[Edital],0)),"")</f>
        <v>MG</v>
      </c>
      <c r="I3744" s="11">
        <f>IFERROR(INDEX(tEditais[Encerramento],MATCH(tItens[[#This Row],[Edital]],tEditais[Edital],0)),"")</f>
        <v>46310.375</v>
      </c>
      <c r="J3744" t="str">
        <f>IFERROR(INDEX(tProdutos[Classe],MATCH(tItens[[#This Row],[Produto]],tProdutos[Produto],0)),"produto não cadastrado")</f>
        <v>NÚCLEO</v>
      </c>
      <c r="K3744" s="12">
        <f>tItens[[#This Row],[Qtd]]*tItens[[#This Row],[Vlr unit]]</f>
        <v>0</v>
      </c>
      <c r="L3744" s="6">
        <f>IFERROR(IF(INDEX(tProdutos[Desconto homologado],MATCH(tItens[[#This Row],[Produto]],tProdutos[Produto],0))="",DescontoPadrao,INDEX(tProdutos[Desconto homologado],MATCH(tItens[[#This Row],[Produto]],tProdutos[Produto],0))),DescontoPadrao)</f>
        <v>0.28197166699010301</v>
      </c>
      <c r="M3744" s="12">
        <f>tItens[[#This Row],[Valor]]*(1-tItens[[#This Row],[Desconto]])</f>
        <v>0</v>
      </c>
      <c r="N3744" t="str">
        <f>IFERROR(INDEX(tProdutos[Foco],MATCH(tItens[[#This Row],[Produto]],tProdutos[Produto],0)),"Não")</f>
        <v>Não</v>
      </c>
      <c r="O3744" t="str">
        <f>IFERROR(INDEX(tEditais[SRP],MATCH(tItens[[#This Row],[Edital]],tEditais[Edital],0)),"Não")</f>
        <v>Não</v>
      </c>
      <c r="P3744" s="4">
        <f>IF(COUNTIFS(INDEX(tItens[Edital],1):tItens[[#This Row],[Edital]],tItens[[#This Row],[Edital]],INDEX(tItens[Produto],1):tItens[[#This Row],[Produto]],tItens[[#This Row],[Produto]])=1,1,0)</f>
        <v>0</v>
      </c>
    </row>
    <row r="3745" spans="1:16" x14ac:dyDescent="0.25">
      <c r="A3745" t="s">
        <v>1546</v>
      </c>
      <c r="B3745">
        <v>7</v>
      </c>
      <c r="C3745" t="s">
        <v>6613</v>
      </c>
      <c r="D3745" t="s">
        <v>521</v>
      </c>
      <c r="E3745" s="13">
        <v>36</v>
      </c>
      <c r="F3745" s="12">
        <v>0</v>
      </c>
      <c r="G3745" t="str">
        <f>IFERROR(INDEX(tEditais[Órgão],MATCH(tItens[[#This Row],[Edital]],tEditais[Edital],0)),"")</f>
        <v>FUNDACAO HOSPITALAR DO ESTADO DE MINAS GERAIS</v>
      </c>
      <c r="H3745" t="str">
        <f>IFERROR(INDEX(tEditais[UF],MATCH(tItens[[#This Row],[Edital]],tEditais[Edital],0)),"")</f>
        <v>MG</v>
      </c>
      <c r="I3745" s="11">
        <f>IFERROR(INDEX(tEditais[Encerramento],MATCH(tItens[[#This Row],[Edital]],tEditais[Edital],0)),"")</f>
        <v>46310.375</v>
      </c>
      <c r="J3745" t="str">
        <f>IFERROR(INDEX(tProdutos[Classe],MATCH(tItens[[#This Row],[Produto]],tProdutos[Produto],0)),"produto não cadastrado")</f>
        <v>FILA REBASE</v>
      </c>
      <c r="K3745" s="12">
        <f>tItens[[#This Row],[Qtd]]*tItens[[#This Row],[Vlr unit]]</f>
        <v>0</v>
      </c>
      <c r="L3745" s="6">
        <f>IFERROR(IF(INDEX(tProdutos[Desconto homologado],MATCH(tItens[[#This Row],[Produto]],tProdutos[Produto],0))="",DescontoPadrao,INDEX(tProdutos[Desconto homologado],MATCH(tItens[[#This Row],[Produto]],tProdutos[Produto],0))),DescontoPadrao)</f>
        <v>0.20254361398888801</v>
      </c>
      <c r="M3745" s="12">
        <f>tItens[[#This Row],[Valor]]*(1-tItens[[#This Row],[Desconto]])</f>
        <v>0</v>
      </c>
      <c r="N3745" t="str">
        <f>IFERROR(INDEX(tProdutos[Foco],MATCH(tItens[[#This Row],[Produto]],tProdutos[Produto],0)),"Não")</f>
        <v>Não</v>
      </c>
      <c r="O3745" t="str">
        <f>IFERROR(INDEX(tEditais[SRP],MATCH(tItens[[#This Row],[Edital]],tEditais[Edital],0)),"Não")</f>
        <v>Não</v>
      </c>
      <c r="P3745" s="4">
        <f>IF(COUNTIFS(INDEX(tItens[Edital],1):tItens[[#This Row],[Edital]],tItens[[#This Row],[Edital]],INDEX(tItens[Produto],1):tItens[[#This Row],[Produto]],tItens[[#This Row],[Produto]])=1,1,0)</f>
        <v>1</v>
      </c>
    </row>
    <row r="3746" spans="1:16" x14ac:dyDescent="0.25">
      <c r="A3746" t="s">
        <v>1546</v>
      </c>
      <c r="B3746">
        <v>13</v>
      </c>
      <c r="C3746" t="s">
        <v>6614</v>
      </c>
      <c r="D3746" t="s">
        <v>427</v>
      </c>
      <c r="E3746" s="13">
        <v>600</v>
      </c>
      <c r="F3746" s="12">
        <v>0</v>
      </c>
      <c r="G3746" t="str">
        <f>IFERROR(INDEX(tEditais[Órgão],MATCH(tItens[[#This Row],[Edital]],tEditais[Edital],0)),"")</f>
        <v>FUNDACAO HOSPITALAR DO ESTADO DE MINAS GERAIS</v>
      </c>
      <c r="H3746" t="str">
        <f>IFERROR(INDEX(tEditais[UF],MATCH(tItens[[#This Row],[Edital]],tEditais[Edital],0)),"")</f>
        <v>MG</v>
      </c>
      <c r="I3746" s="11">
        <f>IFERROR(INDEX(tEditais[Encerramento],MATCH(tItens[[#This Row],[Edital]],tEditais[Edital],0)),"")</f>
        <v>46310.375</v>
      </c>
      <c r="J3746" t="str">
        <f>IFERROR(INDEX(tProdutos[Classe],MATCH(tItens[[#This Row],[Produto]],tProdutos[Produto],0)),"produto não cadastrado")</f>
        <v>FORA</v>
      </c>
      <c r="K3746" s="12">
        <f>tItens[[#This Row],[Qtd]]*tItens[[#This Row],[Vlr unit]]</f>
        <v>0</v>
      </c>
      <c r="L3746" s="6">
        <f>IFERROR(IF(INDEX(tProdutos[Desconto homologado],MATCH(tItens[[#This Row],[Produto]],tProdutos[Produto],0))="",DescontoPadrao,INDEX(tProdutos[Desconto homologado],MATCH(tItens[[#This Row],[Produto]],tProdutos[Produto],0))),DescontoPadrao)</f>
        <v>0.26040061633282002</v>
      </c>
      <c r="M3746" s="12">
        <f>tItens[[#This Row],[Valor]]*(1-tItens[[#This Row],[Desconto]])</f>
        <v>0</v>
      </c>
      <c r="N3746" t="str">
        <f>IFERROR(INDEX(tProdutos[Foco],MATCH(tItens[[#This Row],[Produto]],tProdutos[Produto],0)),"Não")</f>
        <v>Não</v>
      </c>
      <c r="O3746" t="str">
        <f>IFERROR(INDEX(tEditais[SRP],MATCH(tItens[[#This Row],[Edital]],tEditais[Edital],0)),"Não")</f>
        <v>Não</v>
      </c>
      <c r="P3746" s="4">
        <f>IF(COUNTIFS(INDEX(tItens[Edital],1):tItens[[#This Row],[Edital]],tItens[[#This Row],[Edital]],INDEX(tItens[Produto],1):tItens[[#This Row],[Produto]],tItens[[#This Row],[Produto]])=1,1,0)</f>
        <v>1</v>
      </c>
    </row>
    <row r="3747" spans="1:16" x14ac:dyDescent="0.25">
      <c r="A3747" t="s">
        <v>1546</v>
      </c>
      <c r="B3747">
        <v>21</v>
      </c>
      <c r="C3747" t="s">
        <v>6615</v>
      </c>
      <c r="D3747" t="s">
        <v>251</v>
      </c>
      <c r="E3747" s="13">
        <v>30000</v>
      </c>
      <c r="F3747" s="12">
        <v>0</v>
      </c>
      <c r="G3747" t="str">
        <f>IFERROR(INDEX(tEditais[Órgão],MATCH(tItens[[#This Row],[Edital]],tEditais[Edital],0)),"")</f>
        <v>FUNDACAO HOSPITALAR DO ESTADO DE MINAS GERAIS</v>
      </c>
      <c r="H3747" t="str">
        <f>IFERROR(INDEX(tEditais[UF],MATCH(tItens[[#This Row],[Edital]],tEditais[Edital],0)),"")</f>
        <v>MG</v>
      </c>
      <c r="I3747" s="11">
        <f>IFERROR(INDEX(tEditais[Encerramento],MATCH(tItens[[#This Row],[Edital]],tEditais[Edital],0)),"")</f>
        <v>46310.375</v>
      </c>
      <c r="J3747" t="str">
        <f>IFERROR(INDEX(tProdutos[Classe],MATCH(tItens[[#This Row],[Produto]],tProdutos[Produto],0)),"produto não cadastrado")</f>
        <v>FORA</v>
      </c>
      <c r="K3747" s="12">
        <f>tItens[[#This Row],[Qtd]]*tItens[[#This Row],[Vlr unit]]</f>
        <v>0</v>
      </c>
      <c r="L3747" s="6">
        <f>IFERROR(IF(INDEX(tProdutos[Desconto homologado],MATCH(tItens[[#This Row],[Produto]],tProdutos[Produto],0))="",DescontoPadrao,INDEX(tProdutos[Desconto homologado],MATCH(tItens[[#This Row],[Produto]],tProdutos[Produto],0))),DescontoPadrao)</f>
        <v>0.36759020274436599</v>
      </c>
      <c r="M3747" s="12">
        <f>tItens[[#This Row],[Valor]]*(1-tItens[[#This Row],[Desconto]])</f>
        <v>0</v>
      </c>
      <c r="N3747" t="str">
        <f>IFERROR(INDEX(tProdutos[Foco],MATCH(tItens[[#This Row],[Produto]],tProdutos[Produto],0)),"Não")</f>
        <v>Não</v>
      </c>
      <c r="O3747" t="str">
        <f>IFERROR(INDEX(tEditais[SRP],MATCH(tItens[[#This Row],[Edital]],tEditais[Edital],0)),"Não")</f>
        <v>Não</v>
      </c>
      <c r="P3747" s="4">
        <f>IF(COUNTIFS(INDEX(tItens[Edital],1):tItens[[#This Row],[Edital]],tItens[[#This Row],[Edital]],INDEX(tItens[Produto],1):tItens[[#This Row],[Produto]],tItens[[#This Row],[Produto]])=1,1,0)</f>
        <v>1</v>
      </c>
    </row>
    <row r="3748" spans="1:16" x14ac:dyDescent="0.25">
      <c r="A3748" t="s">
        <v>1546</v>
      </c>
      <c r="B3748">
        <v>22</v>
      </c>
      <c r="C3748" t="s">
        <v>6616</v>
      </c>
      <c r="D3748" t="s">
        <v>251</v>
      </c>
      <c r="E3748" s="13">
        <v>900</v>
      </c>
      <c r="F3748" s="12">
        <v>0</v>
      </c>
      <c r="G3748" t="str">
        <f>IFERROR(INDEX(tEditais[Órgão],MATCH(tItens[[#This Row],[Edital]],tEditais[Edital],0)),"")</f>
        <v>FUNDACAO HOSPITALAR DO ESTADO DE MINAS GERAIS</v>
      </c>
      <c r="H3748" t="str">
        <f>IFERROR(INDEX(tEditais[UF],MATCH(tItens[[#This Row],[Edital]],tEditais[Edital],0)),"")</f>
        <v>MG</v>
      </c>
      <c r="I3748" s="11">
        <f>IFERROR(INDEX(tEditais[Encerramento],MATCH(tItens[[#This Row],[Edital]],tEditais[Edital],0)),"")</f>
        <v>46310.375</v>
      </c>
      <c r="J3748" t="str">
        <f>IFERROR(INDEX(tProdutos[Classe],MATCH(tItens[[#This Row],[Produto]],tProdutos[Produto],0)),"produto não cadastrado")</f>
        <v>FORA</v>
      </c>
      <c r="K3748" s="12">
        <f>tItens[[#This Row],[Qtd]]*tItens[[#This Row],[Vlr unit]]</f>
        <v>0</v>
      </c>
      <c r="L3748" s="6">
        <f>IFERROR(IF(INDEX(tProdutos[Desconto homologado],MATCH(tItens[[#This Row],[Produto]],tProdutos[Produto],0))="",DescontoPadrao,INDEX(tProdutos[Desconto homologado],MATCH(tItens[[#This Row],[Produto]],tProdutos[Produto],0))),DescontoPadrao)</f>
        <v>0.36759020274436599</v>
      </c>
      <c r="M3748" s="12">
        <f>tItens[[#This Row],[Valor]]*(1-tItens[[#This Row],[Desconto]])</f>
        <v>0</v>
      </c>
      <c r="N3748" t="str">
        <f>IFERROR(INDEX(tProdutos[Foco],MATCH(tItens[[#This Row],[Produto]],tProdutos[Produto],0)),"Não")</f>
        <v>Não</v>
      </c>
      <c r="O3748" t="str">
        <f>IFERROR(INDEX(tEditais[SRP],MATCH(tItens[[#This Row],[Edital]],tEditais[Edital],0)),"Não")</f>
        <v>Não</v>
      </c>
      <c r="P3748" s="4">
        <f>IF(COUNTIFS(INDEX(tItens[Edital],1):tItens[[#This Row],[Edital]],tItens[[#This Row],[Edital]],INDEX(tItens[Produto],1):tItens[[#This Row],[Produto]],tItens[[#This Row],[Produto]])=1,1,0)</f>
        <v>0</v>
      </c>
    </row>
    <row r="3749" spans="1:16" x14ac:dyDescent="0.25">
      <c r="A3749" t="s">
        <v>1546</v>
      </c>
      <c r="B3749">
        <v>23</v>
      </c>
      <c r="C3749" t="s">
        <v>6617</v>
      </c>
      <c r="D3749" t="s">
        <v>251</v>
      </c>
      <c r="E3749" s="13">
        <v>13500</v>
      </c>
      <c r="F3749" s="12">
        <v>0</v>
      </c>
      <c r="G3749" t="str">
        <f>IFERROR(INDEX(tEditais[Órgão],MATCH(tItens[[#This Row],[Edital]],tEditais[Edital],0)),"")</f>
        <v>FUNDACAO HOSPITALAR DO ESTADO DE MINAS GERAIS</v>
      </c>
      <c r="H3749" t="str">
        <f>IFERROR(INDEX(tEditais[UF],MATCH(tItens[[#This Row],[Edital]],tEditais[Edital],0)),"")</f>
        <v>MG</v>
      </c>
      <c r="I3749" s="11">
        <f>IFERROR(INDEX(tEditais[Encerramento],MATCH(tItens[[#This Row],[Edital]],tEditais[Edital],0)),"")</f>
        <v>46310.375</v>
      </c>
      <c r="J3749" t="str">
        <f>IFERROR(INDEX(tProdutos[Classe],MATCH(tItens[[#This Row],[Produto]],tProdutos[Produto],0)),"produto não cadastrado")</f>
        <v>FORA</v>
      </c>
      <c r="K3749" s="12">
        <f>tItens[[#This Row],[Qtd]]*tItens[[#This Row],[Vlr unit]]</f>
        <v>0</v>
      </c>
      <c r="L3749" s="6">
        <f>IFERROR(IF(INDEX(tProdutos[Desconto homologado],MATCH(tItens[[#This Row],[Produto]],tProdutos[Produto],0))="",DescontoPadrao,INDEX(tProdutos[Desconto homologado],MATCH(tItens[[#This Row],[Produto]],tProdutos[Produto],0))),DescontoPadrao)</f>
        <v>0.36759020274436599</v>
      </c>
      <c r="M3749" s="12">
        <f>tItens[[#This Row],[Valor]]*(1-tItens[[#This Row],[Desconto]])</f>
        <v>0</v>
      </c>
      <c r="N3749" t="str">
        <f>IFERROR(INDEX(tProdutos[Foco],MATCH(tItens[[#This Row],[Produto]],tProdutos[Produto],0)),"Não")</f>
        <v>Não</v>
      </c>
      <c r="O3749" t="str">
        <f>IFERROR(INDEX(tEditais[SRP],MATCH(tItens[[#This Row],[Edital]],tEditais[Edital],0)),"Não")</f>
        <v>Não</v>
      </c>
      <c r="P3749" s="4">
        <f>IF(COUNTIFS(INDEX(tItens[Edital],1):tItens[[#This Row],[Edital]],tItens[[#This Row],[Edital]],INDEX(tItens[Produto],1):tItens[[#This Row],[Produto]],tItens[[#This Row],[Produto]])=1,1,0)</f>
        <v>0</v>
      </c>
    </row>
    <row r="3750" spans="1:16" x14ac:dyDescent="0.25">
      <c r="A3750" t="s">
        <v>1546</v>
      </c>
      <c r="B3750">
        <v>24</v>
      </c>
      <c r="C3750" t="s">
        <v>6618</v>
      </c>
      <c r="D3750" t="s">
        <v>283</v>
      </c>
      <c r="E3750" s="13">
        <v>6000</v>
      </c>
      <c r="F3750" s="12">
        <v>0</v>
      </c>
      <c r="G3750" t="str">
        <f>IFERROR(INDEX(tEditais[Órgão],MATCH(tItens[[#This Row],[Edital]],tEditais[Edital],0)),"")</f>
        <v>FUNDACAO HOSPITALAR DO ESTADO DE MINAS GERAIS</v>
      </c>
      <c r="H3750" t="str">
        <f>IFERROR(INDEX(tEditais[UF],MATCH(tItens[[#This Row],[Edital]],tEditais[Edital],0)),"")</f>
        <v>MG</v>
      </c>
      <c r="I3750" s="11">
        <f>IFERROR(INDEX(tEditais[Encerramento],MATCH(tItens[[#This Row],[Edital]],tEditais[Edital],0)),"")</f>
        <v>46310.375</v>
      </c>
      <c r="J3750" t="str">
        <f>IFERROR(INDEX(tProdutos[Classe],MATCH(tItens[[#This Row],[Produto]],tProdutos[Produto],0)),"produto não cadastrado")</f>
        <v>FORA</v>
      </c>
      <c r="K3750" s="12">
        <f>tItens[[#This Row],[Qtd]]*tItens[[#This Row],[Vlr unit]]</f>
        <v>0</v>
      </c>
      <c r="L3750" s="6">
        <f>IFERROR(IF(INDEX(tProdutos[Desconto homologado],MATCH(tItens[[#This Row],[Produto]],tProdutos[Produto],0))="",DescontoPadrao,INDEX(tProdutos[Desconto homologado],MATCH(tItens[[#This Row],[Produto]],tProdutos[Produto],0))),DescontoPadrao)</f>
        <v>0.40540540540540498</v>
      </c>
      <c r="M3750" s="12">
        <f>tItens[[#This Row],[Valor]]*(1-tItens[[#This Row],[Desconto]])</f>
        <v>0</v>
      </c>
      <c r="N3750" t="str">
        <f>IFERROR(INDEX(tProdutos[Foco],MATCH(tItens[[#This Row],[Produto]],tProdutos[Produto],0)),"Não")</f>
        <v>Não</v>
      </c>
      <c r="O3750" t="str">
        <f>IFERROR(INDEX(tEditais[SRP],MATCH(tItens[[#This Row],[Edital]],tEditais[Edital],0)),"Não")</f>
        <v>Não</v>
      </c>
      <c r="P3750" s="4">
        <f>IF(COUNTIFS(INDEX(tItens[Edital],1):tItens[[#This Row],[Edital]],tItens[[#This Row],[Edital]],INDEX(tItens[Produto],1):tItens[[#This Row],[Produto]],tItens[[#This Row],[Produto]])=1,1,0)</f>
        <v>1</v>
      </c>
    </row>
    <row r="3751" spans="1:16" x14ac:dyDescent="0.25">
      <c r="A3751" t="s">
        <v>1546</v>
      </c>
      <c r="B3751">
        <v>25</v>
      </c>
      <c r="C3751" t="s">
        <v>6619</v>
      </c>
      <c r="D3751" t="s">
        <v>184</v>
      </c>
      <c r="E3751" s="13">
        <v>12</v>
      </c>
      <c r="F3751" s="12">
        <v>0</v>
      </c>
      <c r="G3751" t="str">
        <f>IFERROR(INDEX(tEditais[Órgão],MATCH(tItens[[#This Row],[Edital]],tEditais[Edital],0)),"")</f>
        <v>FUNDACAO HOSPITALAR DO ESTADO DE MINAS GERAIS</v>
      </c>
      <c r="H3751" t="str">
        <f>IFERROR(INDEX(tEditais[UF],MATCH(tItens[[#This Row],[Edital]],tEditais[Edital],0)),"")</f>
        <v>MG</v>
      </c>
      <c r="I3751" s="11">
        <f>IFERROR(INDEX(tEditais[Encerramento],MATCH(tItens[[#This Row],[Edital]],tEditais[Edital],0)),"")</f>
        <v>46310.375</v>
      </c>
      <c r="J3751" t="str">
        <f>IFERROR(INDEX(tProdutos[Classe],MATCH(tItens[[#This Row],[Produto]],tProdutos[Produto],0)),"produto não cadastrado")</f>
        <v>FORA</v>
      </c>
      <c r="K3751" s="12">
        <f>tItens[[#This Row],[Qtd]]*tItens[[#This Row],[Vlr unit]]</f>
        <v>0</v>
      </c>
      <c r="L3751" s="6">
        <f>IFERROR(IF(INDEX(tProdutos[Desconto homologado],MATCH(tItens[[#This Row],[Produto]],tProdutos[Produto],0))="",DescontoPadrao,INDEX(tProdutos[Desconto homologado],MATCH(tItens[[#This Row],[Produto]],tProdutos[Produto],0))),DescontoPadrao)</f>
        <v>0.363567906332742</v>
      </c>
      <c r="M3751" s="12">
        <f>tItens[[#This Row],[Valor]]*(1-tItens[[#This Row],[Desconto]])</f>
        <v>0</v>
      </c>
      <c r="N3751" t="str">
        <f>IFERROR(INDEX(tProdutos[Foco],MATCH(tItens[[#This Row],[Produto]],tProdutos[Produto],0)),"Não")</f>
        <v>Não</v>
      </c>
      <c r="O3751" t="str">
        <f>IFERROR(INDEX(tEditais[SRP],MATCH(tItens[[#This Row],[Edital]],tEditais[Edital],0)),"Não")</f>
        <v>Não</v>
      </c>
      <c r="P3751" s="4">
        <f>IF(COUNTIFS(INDEX(tItens[Edital],1):tItens[[#This Row],[Edital]],tItens[[#This Row],[Edital]],INDEX(tItens[Produto],1):tItens[[#This Row],[Produto]],tItens[[#This Row],[Produto]])=1,1,0)</f>
        <v>1</v>
      </c>
    </row>
    <row r="3752" spans="1:16" x14ac:dyDescent="0.25">
      <c r="A3752" t="s">
        <v>1546</v>
      </c>
      <c r="B3752">
        <v>36</v>
      </c>
      <c r="C3752" t="s">
        <v>6620</v>
      </c>
      <c r="D3752" t="s">
        <v>415</v>
      </c>
      <c r="E3752" s="13">
        <v>1860</v>
      </c>
      <c r="F3752" s="12">
        <v>0</v>
      </c>
      <c r="G3752" t="str">
        <f>IFERROR(INDEX(tEditais[Órgão],MATCH(tItens[[#This Row],[Edital]],tEditais[Edital],0)),"")</f>
        <v>FUNDACAO HOSPITALAR DO ESTADO DE MINAS GERAIS</v>
      </c>
      <c r="H3752" t="str">
        <f>IFERROR(INDEX(tEditais[UF],MATCH(tItens[[#This Row],[Edital]],tEditais[Edital],0)),"")</f>
        <v>MG</v>
      </c>
      <c r="I3752" s="11">
        <f>IFERROR(INDEX(tEditais[Encerramento],MATCH(tItens[[#This Row],[Edital]],tEditais[Edital],0)),"")</f>
        <v>46310.375</v>
      </c>
      <c r="J3752" t="str">
        <f>IFERROR(INDEX(tProdutos[Classe],MATCH(tItens[[#This Row],[Produto]],tProdutos[Produto],0)),"produto não cadastrado")</f>
        <v>FORA</v>
      </c>
      <c r="K3752" s="12">
        <f>tItens[[#This Row],[Qtd]]*tItens[[#This Row],[Vlr unit]]</f>
        <v>0</v>
      </c>
      <c r="L3752" s="6">
        <f>IFERROR(IF(INDEX(tProdutos[Desconto homologado],MATCH(tItens[[#This Row],[Produto]],tProdutos[Produto],0))="",DescontoPadrao,INDEX(tProdutos[Desconto homologado],MATCH(tItens[[#This Row],[Produto]],tProdutos[Produto],0))),DescontoPadrao)</f>
        <v>0.31793478260869601</v>
      </c>
      <c r="M3752" s="12">
        <f>tItens[[#This Row],[Valor]]*(1-tItens[[#This Row],[Desconto]])</f>
        <v>0</v>
      </c>
      <c r="N3752" t="str">
        <f>IFERROR(INDEX(tProdutos[Foco],MATCH(tItens[[#This Row],[Produto]],tProdutos[Produto],0)),"Não")</f>
        <v>Não</v>
      </c>
      <c r="O3752" t="str">
        <f>IFERROR(INDEX(tEditais[SRP],MATCH(tItens[[#This Row],[Edital]],tEditais[Edital],0)),"Não")</f>
        <v>Não</v>
      </c>
      <c r="P3752" s="4">
        <f>IF(COUNTIFS(INDEX(tItens[Edital],1):tItens[[#This Row],[Edital]],tItens[[#This Row],[Edital]],INDEX(tItens[Produto],1):tItens[[#This Row],[Produto]],tItens[[#This Row],[Produto]])=1,1,0)</f>
        <v>1</v>
      </c>
    </row>
    <row r="3753" spans="1:16" x14ac:dyDescent="0.25">
      <c r="A3753" t="s">
        <v>1549</v>
      </c>
      <c r="B3753">
        <v>2</v>
      </c>
      <c r="C3753" t="s">
        <v>6621</v>
      </c>
      <c r="D3753" t="s">
        <v>62</v>
      </c>
      <c r="E3753" s="13">
        <v>100</v>
      </c>
      <c r="F3753" s="12">
        <v>2.38</v>
      </c>
      <c r="G3753" t="str">
        <f>IFERROR(INDEX(tEditais[Órgão],MATCH(tItens[[#This Row],[Edital]],tEditais[Edital],0)),"")</f>
        <v>MUNICIPIO DE PIRAUBA</v>
      </c>
      <c r="H3753" t="str">
        <f>IFERROR(INDEX(tEditais[UF],MATCH(tItens[[#This Row],[Edital]],tEditais[Edital],0)),"")</f>
        <v>MG</v>
      </c>
      <c r="I3753" s="11">
        <f>IFERROR(INDEX(tEditais[Encerramento],MATCH(tItens[[#This Row],[Edital]],tEditais[Edital],0)),"")</f>
        <v>46310.415972222225</v>
      </c>
      <c r="J3753" t="str">
        <f>IFERROR(INDEX(tProdutos[Classe],MATCH(tItens[[#This Row],[Produto]],tProdutos[Produto],0)),"produto não cadastrado")</f>
        <v>NÚCLEO</v>
      </c>
      <c r="K3753" s="12">
        <f>tItens[[#This Row],[Qtd]]*tItens[[#This Row],[Vlr unit]]</f>
        <v>238</v>
      </c>
      <c r="L3753" s="6">
        <f>IFERROR(IF(INDEX(tProdutos[Desconto homologado],MATCH(tItens[[#This Row],[Produto]],tProdutos[Produto],0))="",DescontoPadrao,INDEX(tProdutos[Desconto homologado],MATCH(tItens[[#This Row],[Produto]],tProdutos[Produto],0))),DescontoPadrao)</f>
        <v>0.3</v>
      </c>
      <c r="M3753" s="12">
        <f>tItens[[#This Row],[Valor]]*(1-tItens[[#This Row],[Desconto]])</f>
        <v>166.6</v>
      </c>
      <c r="N3753" t="str">
        <f>IFERROR(INDEX(tProdutos[Foco],MATCH(tItens[[#This Row],[Produto]],tProdutos[Produto],0)),"Não")</f>
        <v>Sim</v>
      </c>
      <c r="O3753" t="str">
        <f>IFERROR(INDEX(tEditais[SRP],MATCH(tItens[[#This Row],[Edital]],tEditais[Edital],0)),"Não")</f>
        <v>Sim</v>
      </c>
      <c r="P3753" s="4">
        <f>IF(COUNTIFS(INDEX(tItens[Edital],1):tItens[[#This Row],[Edital]],tItens[[#This Row],[Edital]],INDEX(tItens[Produto],1):tItens[[#This Row],[Produto]],tItens[[#This Row],[Produto]])=1,1,0)</f>
        <v>1</v>
      </c>
    </row>
    <row r="3754" spans="1:16" x14ac:dyDescent="0.25">
      <c r="A3754" t="s">
        <v>1554</v>
      </c>
      <c r="B3754">
        <v>8059692</v>
      </c>
      <c r="C3754" t="s">
        <v>6622</v>
      </c>
      <c r="D3754" t="s">
        <v>345</v>
      </c>
      <c r="E3754" s="13">
        <v>800</v>
      </c>
      <c r="F3754" s="12">
        <v>69.38</v>
      </c>
      <c r="G3754" t="str">
        <f>IFERROR(INDEX(tEditais[Órgão],MATCH(tItens[[#This Row],[Edital]],tEditais[Edital],0)),"")</f>
        <v>MUNICIPIO DE ESPERA FELIZ</v>
      </c>
      <c r="H3754" t="str">
        <f>IFERROR(INDEX(tEditais[UF],MATCH(tItens[[#This Row],[Edital]],tEditais[Edital],0)),"")</f>
        <v>MG</v>
      </c>
      <c r="I3754" s="11">
        <f>IFERROR(INDEX(tEditais[Encerramento],MATCH(tItens[[#This Row],[Edital]],tEditais[Edital],0)),"")</f>
        <v>46310.520833333336</v>
      </c>
      <c r="J3754" t="str">
        <f>IFERROR(INDEX(tProdutos[Classe],MATCH(tItens[[#This Row],[Produto]],tProdutos[Produto],0)),"produto não cadastrado")</f>
        <v>FORA</v>
      </c>
      <c r="K3754" s="12">
        <f>tItens[[#This Row],[Qtd]]*tItens[[#This Row],[Vlr unit]]</f>
        <v>55504</v>
      </c>
      <c r="L3754" s="6">
        <f>IFERROR(IF(INDEX(tProdutos[Desconto homologado],MATCH(tItens[[#This Row],[Produto]],tProdutos[Produto],0))="",DescontoPadrao,INDEX(tProdutos[Desconto homologado],MATCH(tItens[[#This Row],[Produto]],tProdutos[Produto],0))),DescontoPadrao)</f>
        <v>0.412394275616498</v>
      </c>
      <c r="M3754" s="12">
        <f>tItens[[#This Row],[Valor]]*(1-tItens[[#This Row],[Desconto]])</f>
        <v>32614.468126181895</v>
      </c>
      <c r="N3754" t="str">
        <f>IFERROR(INDEX(tProdutos[Foco],MATCH(tItens[[#This Row],[Produto]],tProdutos[Produto],0)),"Não")</f>
        <v>Não</v>
      </c>
      <c r="O3754" t="str">
        <f>IFERROR(INDEX(tEditais[SRP],MATCH(tItens[[#This Row],[Edital]],tEditais[Edital],0)),"Não")</f>
        <v>Sim</v>
      </c>
      <c r="P3754" s="4">
        <f>IF(COUNTIFS(INDEX(tItens[Edital],1):tItens[[#This Row],[Edital]],tItens[[#This Row],[Edital]],INDEX(tItens[Produto],1):tItens[[#This Row],[Produto]],tItens[[#This Row],[Produto]])=1,1,0)</f>
        <v>1</v>
      </c>
    </row>
    <row r="3755" spans="1:16" x14ac:dyDescent="0.25">
      <c r="A3755" t="s">
        <v>1559</v>
      </c>
      <c r="B3755">
        <v>4</v>
      </c>
      <c r="C3755" t="s">
        <v>6623</v>
      </c>
      <c r="D3755" t="s">
        <v>345</v>
      </c>
      <c r="E3755" s="13">
        <v>800</v>
      </c>
      <c r="F3755" s="12">
        <v>69.38</v>
      </c>
      <c r="G3755" t="str">
        <f>IFERROR(INDEX(tEditais[Órgão],MATCH(tItens[[#This Row],[Edital]],tEditais[Edital],0)),"")</f>
        <v>MUNICIPIO DE ESPERA FELIZ</v>
      </c>
      <c r="H3755" t="str">
        <f>IFERROR(INDEX(tEditais[UF],MATCH(tItens[[#This Row],[Edital]],tEditais[Edital],0)),"")</f>
        <v>MG</v>
      </c>
      <c r="I3755" s="11">
        <f>IFERROR(INDEX(tEditais[Encerramento],MATCH(tItens[[#This Row],[Edital]],tEditais[Edital],0)),"")</f>
        <v>46310.520833333336</v>
      </c>
      <c r="J3755" t="str">
        <f>IFERROR(INDEX(tProdutos[Classe],MATCH(tItens[[#This Row],[Produto]],tProdutos[Produto],0)),"produto não cadastrado")</f>
        <v>FORA</v>
      </c>
      <c r="K3755" s="12">
        <f>tItens[[#This Row],[Qtd]]*tItens[[#This Row],[Vlr unit]]</f>
        <v>55504</v>
      </c>
      <c r="L3755" s="6">
        <f>IFERROR(IF(INDEX(tProdutos[Desconto homologado],MATCH(tItens[[#This Row],[Produto]],tProdutos[Produto],0))="",DescontoPadrao,INDEX(tProdutos[Desconto homologado],MATCH(tItens[[#This Row],[Produto]],tProdutos[Produto],0))),DescontoPadrao)</f>
        <v>0.412394275616498</v>
      </c>
      <c r="M3755" s="12">
        <f>tItens[[#This Row],[Valor]]*(1-tItens[[#This Row],[Desconto]])</f>
        <v>32614.468126181895</v>
      </c>
      <c r="N3755" t="str">
        <f>IFERROR(INDEX(tProdutos[Foco],MATCH(tItens[[#This Row],[Produto]],tProdutos[Produto],0)),"Não")</f>
        <v>Não</v>
      </c>
      <c r="O3755" t="str">
        <f>IFERROR(INDEX(tEditais[SRP],MATCH(tItens[[#This Row],[Edital]],tEditais[Edital],0)),"Não")</f>
        <v>Sim</v>
      </c>
      <c r="P3755" s="4">
        <f>IF(COUNTIFS(INDEX(tItens[Edital],1):tItens[[#This Row],[Edital]],tItens[[#This Row],[Edital]],INDEX(tItens[Produto],1):tItens[[#This Row],[Produto]],tItens[[#This Row],[Produto]])=1,1,0)</f>
        <v>1</v>
      </c>
    </row>
    <row r="3756" spans="1:16" x14ac:dyDescent="0.25">
      <c r="A3756" t="s">
        <v>1561</v>
      </c>
      <c r="B3756">
        <v>5</v>
      </c>
      <c r="C3756" t="s">
        <v>6624</v>
      </c>
      <c r="D3756" t="s">
        <v>341</v>
      </c>
      <c r="E3756" s="13">
        <v>600</v>
      </c>
      <c r="F3756" s="12">
        <v>0</v>
      </c>
      <c r="G3756" t="str">
        <f>IFERROR(INDEX(tEditais[Órgão],MATCH(tItens[[#This Row],[Edital]],tEditais[Edital],0)),"")</f>
        <v>MUNICIPIO DE CORONEL FABRICIANO</v>
      </c>
      <c r="H3756" t="str">
        <f>IFERROR(INDEX(tEditais[UF],MATCH(tItens[[#This Row],[Edital]],tEditais[Edital],0)),"")</f>
        <v>MG</v>
      </c>
      <c r="I3756" s="11">
        <f>IFERROR(INDEX(tEditais[Encerramento],MATCH(tItens[[#This Row],[Edital]],tEditais[Edital],0)),"")</f>
        <v>46310.541666666664</v>
      </c>
      <c r="J3756" t="str">
        <f>IFERROR(INDEX(tProdutos[Classe],MATCH(tItens[[#This Row],[Produto]],tProdutos[Produto],0)),"produto não cadastrado")</f>
        <v>FORA</v>
      </c>
      <c r="K3756" s="12">
        <f>tItens[[#This Row],[Qtd]]*tItens[[#This Row],[Vlr unit]]</f>
        <v>0</v>
      </c>
      <c r="L3756" s="6">
        <f>IFERROR(IF(INDEX(tProdutos[Desconto homologado],MATCH(tItens[[#This Row],[Produto]],tProdutos[Produto],0))="",DescontoPadrao,INDEX(tProdutos[Desconto homologado],MATCH(tItens[[#This Row],[Produto]],tProdutos[Produto],0))),DescontoPadrao)</f>
        <v>0.46918578497525898</v>
      </c>
      <c r="M3756" s="12">
        <f>tItens[[#This Row],[Valor]]*(1-tItens[[#This Row],[Desconto]])</f>
        <v>0</v>
      </c>
      <c r="N3756" t="str">
        <f>IFERROR(INDEX(tProdutos[Foco],MATCH(tItens[[#This Row],[Produto]],tProdutos[Produto],0)),"Não")</f>
        <v>Não</v>
      </c>
      <c r="O3756" t="str">
        <f>IFERROR(INDEX(tEditais[SRP],MATCH(tItens[[#This Row],[Edital]],tEditais[Edital],0)),"Não")</f>
        <v>Sim</v>
      </c>
      <c r="P3756" s="4">
        <f>IF(COUNTIFS(INDEX(tItens[Edital],1):tItens[[#This Row],[Edital]],tItens[[#This Row],[Edital]],INDEX(tItens[Produto],1):tItens[[#This Row],[Produto]],tItens[[#This Row],[Produto]])=1,1,0)</f>
        <v>1</v>
      </c>
    </row>
    <row r="3757" spans="1:16" x14ac:dyDescent="0.25">
      <c r="A3757" t="s">
        <v>1561</v>
      </c>
      <c r="B3757">
        <v>6</v>
      </c>
      <c r="C3757" t="s">
        <v>6625</v>
      </c>
      <c r="D3757" t="s">
        <v>154</v>
      </c>
      <c r="E3757" s="13">
        <v>600</v>
      </c>
      <c r="F3757" s="12">
        <v>0</v>
      </c>
      <c r="G3757" t="str">
        <f>IFERROR(INDEX(tEditais[Órgão],MATCH(tItens[[#This Row],[Edital]],tEditais[Edital],0)),"")</f>
        <v>MUNICIPIO DE CORONEL FABRICIANO</v>
      </c>
      <c r="H3757" t="str">
        <f>IFERROR(INDEX(tEditais[UF],MATCH(tItens[[#This Row],[Edital]],tEditais[Edital],0)),"")</f>
        <v>MG</v>
      </c>
      <c r="I3757" s="11">
        <f>IFERROR(INDEX(tEditais[Encerramento],MATCH(tItens[[#This Row],[Edital]],tEditais[Edital],0)),"")</f>
        <v>46310.541666666664</v>
      </c>
      <c r="J3757" t="str">
        <f>IFERROR(INDEX(tProdutos[Classe],MATCH(tItens[[#This Row],[Produto]],tProdutos[Produto],0)),"produto não cadastrado")</f>
        <v>DISPUTADO</v>
      </c>
      <c r="K3757" s="12">
        <f>tItens[[#This Row],[Qtd]]*tItens[[#This Row],[Vlr unit]]</f>
        <v>0</v>
      </c>
      <c r="L3757" s="6">
        <f>IFERROR(IF(INDEX(tProdutos[Desconto homologado],MATCH(tItens[[#This Row],[Produto]],tProdutos[Produto],0))="",DescontoPadrao,INDEX(tProdutos[Desconto homologado],MATCH(tItens[[#This Row],[Produto]],tProdutos[Produto],0))),DescontoPadrao)</f>
        <v>0.48690097134476601</v>
      </c>
      <c r="M3757" s="12">
        <f>tItens[[#This Row],[Valor]]*(1-tItens[[#This Row],[Desconto]])</f>
        <v>0</v>
      </c>
      <c r="N3757" t="str">
        <f>IFERROR(INDEX(tProdutos[Foco],MATCH(tItens[[#This Row],[Produto]],tProdutos[Produto],0)),"Não")</f>
        <v>Não</v>
      </c>
      <c r="O3757" t="str">
        <f>IFERROR(INDEX(tEditais[SRP],MATCH(tItens[[#This Row],[Edital]],tEditais[Edital],0)),"Não")</f>
        <v>Sim</v>
      </c>
      <c r="P3757" s="4">
        <f>IF(COUNTIFS(INDEX(tItens[Edital],1):tItens[[#This Row],[Edital]],tItens[[#This Row],[Edital]],INDEX(tItens[Produto],1):tItens[[#This Row],[Produto]],tItens[[#This Row],[Produto]])=1,1,0)</f>
        <v>1</v>
      </c>
    </row>
    <row r="3758" spans="1:16" x14ac:dyDescent="0.25">
      <c r="A3758" t="s">
        <v>1561</v>
      </c>
      <c r="B3758">
        <v>7</v>
      </c>
      <c r="C3758" t="s">
        <v>6626</v>
      </c>
      <c r="D3758" t="s">
        <v>154</v>
      </c>
      <c r="E3758" s="13">
        <v>600</v>
      </c>
      <c r="F3758" s="12">
        <v>0</v>
      </c>
      <c r="G3758" t="str">
        <f>IFERROR(INDEX(tEditais[Órgão],MATCH(tItens[[#This Row],[Edital]],tEditais[Edital],0)),"")</f>
        <v>MUNICIPIO DE CORONEL FABRICIANO</v>
      </c>
      <c r="H3758" t="str">
        <f>IFERROR(INDEX(tEditais[UF],MATCH(tItens[[#This Row],[Edital]],tEditais[Edital],0)),"")</f>
        <v>MG</v>
      </c>
      <c r="I3758" s="11">
        <f>IFERROR(INDEX(tEditais[Encerramento],MATCH(tItens[[#This Row],[Edital]],tEditais[Edital],0)),"")</f>
        <v>46310.541666666664</v>
      </c>
      <c r="J3758" t="str">
        <f>IFERROR(INDEX(tProdutos[Classe],MATCH(tItens[[#This Row],[Produto]],tProdutos[Produto],0)),"produto não cadastrado")</f>
        <v>DISPUTADO</v>
      </c>
      <c r="K3758" s="12">
        <f>tItens[[#This Row],[Qtd]]*tItens[[#This Row],[Vlr unit]]</f>
        <v>0</v>
      </c>
      <c r="L3758" s="6">
        <f>IFERROR(IF(INDEX(tProdutos[Desconto homologado],MATCH(tItens[[#This Row],[Produto]],tProdutos[Produto],0))="",DescontoPadrao,INDEX(tProdutos[Desconto homologado],MATCH(tItens[[#This Row],[Produto]],tProdutos[Produto],0))),DescontoPadrao)</f>
        <v>0.48690097134476601</v>
      </c>
      <c r="M3758" s="12">
        <f>tItens[[#This Row],[Valor]]*(1-tItens[[#This Row],[Desconto]])</f>
        <v>0</v>
      </c>
      <c r="N3758" t="str">
        <f>IFERROR(INDEX(tProdutos[Foco],MATCH(tItens[[#This Row],[Produto]],tProdutos[Produto],0)),"Não")</f>
        <v>Não</v>
      </c>
      <c r="O3758" t="str">
        <f>IFERROR(INDEX(tEditais[SRP],MATCH(tItens[[#This Row],[Edital]],tEditais[Edital],0)),"Não")</f>
        <v>Sim</v>
      </c>
      <c r="P3758" s="4">
        <f>IF(COUNTIFS(INDEX(tItens[Edital],1):tItens[[#This Row],[Edital]],tItens[[#This Row],[Edital]],INDEX(tItens[Produto],1):tItens[[#This Row],[Produto]],tItens[[#This Row],[Produto]])=1,1,0)</f>
        <v>0</v>
      </c>
    </row>
    <row r="3759" spans="1:16" x14ac:dyDescent="0.25">
      <c r="A3759" t="s">
        <v>1566</v>
      </c>
      <c r="B3759">
        <v>1</v>
      </c>
      <c r="C3759" t="s">
        <v>4229</v>
      </c>
      <c r="D3759" t="s">
        <v>71</v>
      </c>
      <c r="E3759" s="13">
        <v>100</v>
      </c>
      <c r="F3759" s="12">
        <v>0</v>
      </c>
      <c r="G3759" t="str">
        <f>IFERROR(INDEX(tEditais[Órgão],MATCH(tItens[[#This Row],[Edital]],tEditais[Edital],0)),"")</f>
        <v>EMPRESA BRASILEIRA DE SERVICOS HOSPITALARES - EBSERH</v>
      </c>
      <c r="H3759" t="str">
        <f>IFERROR(INDEX(tEditais[UF],MATCH(tItens[[#This Row],[Edital]],tEditais[Edital],0)),"")</f>
        <v>MG</v>
      </c>
      <c r="I3759" s="11">
        <f>IFERROR(INDEX(tEditais[Encerramento],MATCH(tItens[[#This Row],[Edital]],tEditais[Edital],0)),"")</f>
        <v>46311.333333333336</v>
      </c>
      <c r="J3759" t="str">
        <f>IFERROR(INDEX(tProdutos[Classe],MATCH(tItens[[#This Row],[Produto]],tProdutos[Produto],0)),"produto não cadastrado")</f>
        <v>NÚCLEO</v>
      </c>
      <c r="K3759" s="12">
        <f>tItens[[#This Row],[Qtd]]*tItens[[#This Row],[Vlr unit]]</f>
        <v>0</v>
      </c>
      <c r="L3759" s="6">
        <f>IFERROR(IF(INDEX(tProdutos[Desconto homologado],MATCH(tItens[[#This Row],[Produto]],tProdutos[Produto],0))="",DescontoPadrao,INDEX(tProdutos[Desconto homologado],MATCH(tItens[[#This Row],[Produto]],tProdutos[Produto],0))),DescontoPadrao)</f>
        <v>0.44981412639405199</v>
      </c>
      <c r="M3759" s="12">
        <f>tItens[[#This Row],[Valor]]*(1-tItens[[#This Row],[Desconto]])</f>
        <v>0</v>
      </c>
      <c r="N3759" t="str">
        <f>IFERROR(INDEX(tProdutos[Foco],MATCH(tItens[[#This Row],[Produto]],tProdutos[Produto],0)),"Não")</f>
        <v>Não</v>
      </c>
      <c r="O3759" t="str">
        <f>IFERROR(INDEX(tEditais[SRP],MATCH(tItens[[#This Row],[Edital]],tEditais[Edital],0)),"Não")</f>
        <v>Não</v>
      </c>
      <c r="P3759" s="4">
        <f>IF(COUNTIFS(INDEX(tItens[Edital],1):tItens[[#This Row],[Edital]],tItens[[#This Row],[Edital]],INDEX(tItens[Produto],1):tItens[[#This Row],[Produto]],tItens[[#This Row],[Produto]])=1,1,0)</f>
        <v>1</v>
      </c>
    </row>
    <row r="3760" spans="1:16" x14ac:dyDescent="0.25">
      <c r="A3760" t="s">
        <v>1566</v>
      </c>
      <c r="B3760">
        <v>15</v>
      </c>
      <c r="C3760" t="s">
        <v>6627</v>
      </c>
      <c r="D3760" t="s">
        <v>56</v>
      </c>
      <c r="E3760" s="13">
        <v>360</v>
      </c>
      <c r="F3760" s="12">
        <v>0</v>
      </c>
      <c r="G3760" t="str">
        <f>IFERROR(INDEX(tEditais[Órgão],MATCH(tItens[[#This Row],[Edital]],tEditais[Edital],0)),"")</f>
        <v>EMPRESA BRASILEIRA DE SERVICOS HOSPITALARES - EBSERH</v>
      </c>
      <c r="H3760" t="str">
        <f>IFERROR(INDEX(tEditais[UF],MATCH(tItens[[#This Row],[Edital]],tEditais[Edital],0)),"")</f>
        <v>MG</v>
      </c>
      <c r="I3760" s="11">
        <f>IFERROR(INDEX(tEditais[Encerramento],MATCH(tItens[[#This Row],[Edital]],tEditais[Edital],0)),"")</f>
        <v>46311.333333333336</v>
      </c>
      <c r="J3760" t="str">
        <f>IFERROR(INDEX(tProdutos[Classe],MATCH(tItens[[#This Row],[Produto]],tProdutos[Produto],0)),"produto não cadastrado")</f>
        <v>NÚCLEO</v>
      </c>
      <c r="K3760" s="12">
        <f>tItens[[#This Row],[Qtd]]*tItens[[#This Row],[Vlr unit]]</f>
        <v>0</v>
      </c>
      <c r="L3760" s="6">
        <f>IFERROR(IF(INDEX(tProdutos[Desconto homologado],MATCH(tItens[[#This Row],[Produto]],tProdutos[Produto],0))="",DescontoPadrao,INDEX(tProdutos[Desconto homologado],MATCH(tItens[[#This Row],[Produto]],tProdutos[Produto],0))),DescontoPadrao)</f>
        <v>0.34</v>
      </c>
      <c r="M3760" s="12">
        <f>tItens[[#This Row],[Valor]]*(1-tItens[[#This Row],[Desconto]])</f>
        <v>0</v>
      </c>
      <c r="N3760" t="str">
        <f>IFERROR(INDEX(tProdutos[Foco],MATCH(tItens[[#This Row],[Produto]],tProdutos[Produto],0)),"Não")</f>
        <v>Sim</v>
      </c>
      <c r="O3760" t="str">
        <f>IFERROR(INDEX(tEditais[SRP],MATCH(tItens[[#This Row],[Edital]],tEditais[Edital],0)),"Não")</f>
        <v>Não</v>
      </c>
      <c r="P3760" s="4">
        <f>IF(COUNTIFS(INDEX(tItens[Edital],1):tItens[[#This Row],[Edital]],tItens[[#This Row],[Edital]],INDEX(tItens[Produto],1):tItens[[#This Row],[Produto]],tItens[[#This Row],[Produto]])=1,1,0)</f>
        <v>1</v>
      </c>
    </row>
    <row r="3761" spans="1:16" x14ac:dyDescent="0.25">
      <c r="A3761" t="s">
        <v>1569</v>
      </c>
      <c r="B3761">
        <v>35</v>
      </c>
      <c r="C3761" t="s">
        <v>6628</v>
      </c>
      <c r="D3761" t="s">
        <v>411</v>
      </c>
      <c r="E3761" s="13">
        <v>100</v>
      </c>
      <c r="F3761" s="12">
        <v>3.76</v>
      </c>
      <c r="G3761" t="str">
        <f>IFERROR(INDEX(tEditais[Órgão],MATCH(tItens[[#This Row],[Edital]],tEditais[Edital],0)),"")</f>
        <v>INSTITUTO FEDERAL DE EDUCACAO, CIENCIA E TECNOLOGIA DO SUDESTE DE MINAS GERAIS</v>
      </c>
      <c r="H3761" t="str">
        <f>IFERROR(INDEX(tEditais[UF],MATCH(tItens[[#This Row],[Edital]],tEditais[Edital],0)),"")</f>
        <v>MG</v>
      </c>
      <c r="I3761" s="11">
        <f>IFERROR(INDEX(tEditais[Encerramento],MATCH(tItens[[#This Row],[Edital]],tEditais[Edital],0)),"")</f>
        <v>46311.333333333336</v>
      </c>
      <c r="J3761" t="str">
        <f>IFERROR(INDEX(tProdutos[Classe],MATCH(tItens[[#This Row],[Produto]],tProdutos[Produto],0)),"produto não cadastrado")</f>
        <v>FORA</v>
      </c>
      <c r="K3761" s="12">
        <f>tItens[[#This Row],[Qtd]]*tItens[[#This Row],[Vlr unit]]</f>
        <v>376</v>
      </c>
      <c r="L3761" s="6">
        <f>IFERROR(IF(INDEX(tProdutos[Desconto homologado],MATCH(tItens[[#This Row],[Produto]],tProdutos[Produto],0))="",DescontoPadrao,INDEX(tProdutos[Desconto homologado],MATCH(tItens[[#This Row],[Produto]],tProdutos[Produto],0))),DescontoPadrao)</f>
        <v>0.50029835957199398</v>
      </c>
      <c r="M3761" s="12">
        <f>tItens[[#This Row],[Valor]]*(1-tItens[[#This Row],[Desconto]])</f>
        <v>187.88781680093027</v>
      </c>
      <c r="N3761" t="str">
        <f>IFERROR(INDEX(tProdutos[Foco],MATCH(tItens[[#This Row],[Produto]],tProdutos[Produto],0)),"Não")</f>
        <v>Não</v>
      </c>
      <c r="O3761" t="str">
        <f>IFERROR(INDEX(tEditais[SRP],MATCH(tItens[[#This Row],[Edital]],tEditais[Edital],0)),"Não")</f>
        <v>Não</v>
      </c>
      <c r="P3761" s="4">
        <f>IF(COUNTIFS(INDEX(tItens[Edital],1):tItens[[#This Row],[Edital]],tItens[[#This Row],[Edital]],INDEX(tItens[Produto],1):tItens[[#This Row],[Produto]],tItens[[#This Row],[Produto]])=1,1,0)</f>
        <v>1</v>
      </c>
    </row>
    <row r="3762" spans="1:16" x14ac:dyDescent="0.25">
      <c r="A3762" t="s">
        <v>1569</v>
      </c>
      <c r="B3762">
        <v>39</v>
      </c>
      <c r="C3762" t="s">
        <v>4237</v>
      </c>
      <c r="D3762" t="s">
        <v>313</v>
      </c>
      <c r="E3762" s="13">
        <v>10</v>
      </c>
      <c r="F3762" s="12">
        <v>24.77</v>
      </c>
      <c r="G3762" t="str">
        <f>IFERROR(INDEX(tEditais[Órgão],MATCH(tItens[[#This Row],[Edital]],tEditais[Edital],0)),"")</f>
        <v>INSTITUTO FEDERAL DE EDUCACAO, CIENCIA E TECNOLOGIA DO SUDESTE DE MINAS GERAIS</v>
      </c>
      <c r="H3762" t="str">
        <f>IFERROR(INDEX(tEditais[UF],MATCH(tItens[[#This Row],[Edital]],tEditais[Edital],0)),"")</f>
        <v>MG</v>
      </c>
      <c r="I3762" s="11">
        <f>IFERROR(INDEX(tEditais[Encerramento],MATCH(tItens[[#This Row],[Edital]],tEditais[Edital],0)),"")</f>
        <v>46311.333333333336</v>
      </c>
      <c r="J3762" t="str">
        <f>IFERROR(INDEX(tProdutos[Classe],MATCH(tItens[[#This Row],[Produto]],tProdutos[Produto],0)),"produto não cadastrado")</f>
        <v>FORA</v>
      </c>
      <c r="K3762" s="12">
        <f>tItens[[#This Row],[Qtd]]*tItens[[#This Row],[Vlr unit]]</f>
        <v>247.7</v>
      </c>
      <c r="L3762" s="6">
        <f>IFERROR(IF(INDEX(tProdutos[Desconto homologado],MATCH(tItens[[#This Row],[Produto]],tProdutos[Produto],0))="",DescontoPadrao,INDEX(tProdutos[Desconto homologado],MATCH(tItens[[#This Row],[Produto]],tProdutos[Produto],0))),DescontoPadrao)</f>
        <v>0.35766373163696302</v>
      </c>
      <c r="M3762" s="12">
        <f>tItens[[#This Row],[Valor]]*(1-tItens[[#This Row],[Desconto]])</f>
        <v>159.10669367352423</v>
      </c>
      <c r="N3762" t="str">
        <f>IFERROR(INDEX(tProdutos[Foco],MATCH(tItens[[#This Row],[Produto]],tProdutos[Produto],0)),"Não")</f>
        <v>Não</v>
      </c>
      <c r="O3762" t="str">
        <f>IFERROR(INDEX(tEditais[SRP],MATCH(tItens[[#This Row],[Edital]],tEditais[Edital],0)),"Não")</f>
        <v>Não</v>
      </c>
      <c r="P3762" s="4">
        <f>IF(COUNTIFS(INDEX(tItens[Edital],1):tItens[[#This Row],[Edital]],tItens[[#This Row],[Edital]],INDEX(tItens[Produto],1):tItens[[#This Row],[Produto]],tItens[[#This Row],[Produto]])=1,1,0)</f>
        <v>1</v>
      </c>
    </row>
    <row r="3763" spans="1:16" x14ac:dyDescent="0.25">
      <c r="A3763" t="s">
        <v>1569</v>
      </c>
      <c r="B3763">
        <v>40</v>
      </c>
      <c r="C3763" t="s">
        <v>6629</v>
      </c>
      <c r="D3763" t="s">
        <v>313</v>
      </c>
      <c r="E3763" s="13">
        <v>2</v>
      </c>
      <c r="F3763" s="12">
        <v>24.5</v>
      </c>
      <c r="G3763" t="str">
        <f>IFERROR(INDEX(tEditais[Órgão],MATCH(tItens[[#This Row],[Edital]],tEditais[Edital],0)),"")</f>
        <v>INSTITUTO FEDERAL DE EDUCACAO, CIENCIA E TECNOLOGIA DO SUDESTE DE MINAS GERAIS</v>
      </c>
      <c r="H3763" t="str">
        <f>IFERROR(INDEX(tEditais[UF],MATCH(tItens[[#This Row],[Edital]],tEditais[Edital],0)),"")</f>
        <v>MG</v>
      </c>
      <c r="I3763" s="11">
        <f>IFERROR(INDEX(tEditais[Encerramento],MATCH(tItens[[#This Row],[Edital]],tEditais[Edital],0)),"")</f>
        <v>46311.333333333336</v>
      </c>
      <c r="J3763" t="str">
        <f>IFERROR(INDEX(tProdutos[Classe],MATCH(tItens[[#This Row],[Produto]],tProdutos[Produto],0)),"produto não cadastrado")</f>
        <v>FORA</v>
      </c>
      <c r="K3763" s="12">
        <f>tItens[[#This Row],[Qtd]]*tItens[[#This Row],[Vlr unit]]</f>
        <v>49</v>
      </c>
      <c r="L3763" s="6">
        <f>IFERROR(IF(INDEX(tProdutos[Desconto homologado],MATCH(tItens[[#This Row],[Produto]],tProdutos[Produto],0))="",DescontoPadrao,INDEX(tProdutos[Desconto homologado],MATCH(tItens[[#This Row],[Produto]],tProdutos[Produto],0))),DescontoPadrao)</f>
        <v>0.35766373163696302</v>
      </c>
      <c r="M3763" s="12">
        <f>tItens[[#This Row],[Valor]]*(1-tItens[[#This Row],[Desconto]])</f>
        <v>31.474477149788811</v>
      </c>
      <c r="N3763" t="str">
        <f>IFERROR(INDEX(tProdutos[Foco],MATCH(tItens[[#This Row],[Produto]],tProdutos[Produto],0)),"Não")</f>
        <v>Não</v>
      </c>
      <c r="O3763" t="str">
        <f>IFERROR(INDEX(tEditais[SRP],MATCH(tItens[[#This Row],[Edital]],tEditais[Edital],0)),"Não")</f>
        <v>Não</v>
      </c>
      <c r="P3763" s="4">
        <f>IF(COUNTIFS(INDEX(tItens[Edital],1):tItens[[#This Row],[Edital]],tItens[[#This Row],[Edital]],INDEX(tItens[Produto],1):tItens[[#This Row],[Produto]],tItens[[#This Row],[Produto]])=1,1,0)</f>
        <v>0</v>
      </c>
    </row>
    <row r="3764" spans="1:16" x14ac:dyDescent="0.25">
      <c r="A3764" t="s">
        <v>1569</v>
      </c>
      <c r="B3764">
        <v>54</v>
      </c>
      <c r="C3764" t="s">
        <v>6630</v>
      </c>
      <c r="D3764" t="s">
        <v>114</v>
      </c>
      <c r="E3764" s="13">
        <v>6</v>
      </c>
      <c r="F3764" s="12">
        <v>15</v>
      </c>
      <c r="G3764" t="str">
        <f>IFERROR(INDEX(tEditais[Órgão],MATCH(tItens[[#This Row],[Edital]],tEditais[Edital],0)),"")</f>
        <v>INSTITUTO FEDERAL DE EDUCACAO, CIENCIA E TECNOLOGIA DO SUDESTE DE MINAS GERAIS</v>
      </c>
      <c r="H3764" t="str">
        <f>IFERROR(INDEX(tEditais[UF],MATCH(tItens[[#This Row],[Edital]],tEditais[Edital],0)),"")</f>
        <v>MG</v>
      </c>
      <c r="I3764" s="11">
        <f>IFERROR(INDEX(tEditais[Encerramento],MATCH(tItens[[#This Row],[Edital]],tEditais[Edital],0)),"")</f>
        <v>46311.333333333336</v>
      </c>
      <c r="J3764" t="str">
        <f>IFERROR(INDEX(tProdutos[Classe],MATCH(tItens[[#This Row],[Produto]],tProdutos[Produto],0)),"produto não cadastrado")</f>
        <v>DISPUTADO</v>
      </c>
      <c r="K3764" s="12">
        <f>tItens[[#This Row],[Qtd]]*tItens[[#This Row],[Vlr unit]]</f>
        <v>90</v>
      </c>
      <c r="L3764" s="6">
        <f>IFERROR(IF(INDEX(tProdutos[Desconto homologado],MATCH(tItens[[#This Row],[Produto]],tProdutos[Produto],0))="",DescontoPadrao,INDEX(tProdutos[Desconto homologado],MATCH(tItens[[#This Row],[Produto]],tProdutos[Produto],0))),DescontoPadrao)</f>
        <v>0.24332656063896899</v>
      </c>
      <c r="M3764" s="12">
        <f>tItens[[#This Row],[Valor]]*(1-tItens[[#This Row],[Desconto]])</f>
        <v>68.100609542492791</v>
      </c>
      <c r="N3764" t="str">
        <f>IFERROR(INDEX(tProdutos[Foco],MATCH(tItens[[#This Row],[Produto]],tProdutos[Produto],0)),"Não")</f>
        <v>Não</v>
      </c>
      <c r="O3764" t="str">
        <f>IFERROR(INDEX(tEditais[SRP],MATCH(tItens[[#This Row],[Edital]],tEditais[Edital],0)),"Não")</f>
        <v>Não</v>
      </c>
      <c r="P3764" s="4">
        <f>IF(COUNTIFS(INDEX(tItens[Edital],1):tItens[[#This Row],[Edital]],tItens[[#This Row],[Edital]],INDEX(tItens[Produto],1):tItens[[#This Row],[Produto]],tItens[[#This Row],[Produto]])=1,1,0)</f>
        <v>1</v>
      </c>
    </row>
    <row r="3765" spans="1:16" x14ac:dyDescent="0.25">
      <c r="A3765" t="s">
        <v>1573</v>
      </c>
      <c r="B3765">
        <v>6</v>
      </c>
      <c r="C3765" t="s">
        <v>6631</v>
      </c>
      <c r="D3765" t="s">
        <v>56</v>
      </c>
      <c r="E3765" s="13">
        <v>12</v>
      </c>
      <c r="F3765" s="12">
        <v>39.82</v>
      </c>
      <c r="G3765" t="str">
        <f>IFERROR(INDEX(tEditais[Órgão],MATCH(tItens[[#This Row],[Edital]],tEditais[Edital],0)),"")</f>
        <v>COMANDO DO EXERCITO</v>
      </c>
      <c r="H3765" t="str">
        <f>IFERROR(INDEX(tEditais[UF],MATCH(tItens[[#This Row],[Edital]],tEditais[Edital],0)),"")</f>
        <v>MG</v>
      </c>
      <c r="I3765" s="11">
        <f>IFERROR(INDEX(tEditais[Encerramento],MATCH(tItens[[#This Row],[Edital]],tEditais[Edital],0)),"")</f>
        <v>46311.333333333336</v>
      </c>
      <c r="J3765" t="str">
        <f>IFERROR(INDEX(tProdutos[Classe],MATCH(tItens[[#This Row],[Produto]],tProdutos[Produto],0)),"produto não cadastrado")</f>
        <v>NÚCLEO</v>
      </c>
      <c r="K3765" s="12">
        <f>tItens[[#This Row],[Qtd]]*tItens[[#This Row],[Vlr unit]]</f>
        <v>477.84000000000003</v>
      </c>
      <c r="L3765" s="6">
        <f>IFERROR(IF(INDEX(tProdutos[Desconto homologado],MATCH(tItens[[#This Row],[Produto]],tProdutos[Produto],0))="",DescontoPadrao,INDEX(tProdutos[Desconto homologado],MATCH(tItens[[#This Row],[Produto]],tProdutos[Produto],0))),DescontoPadrao)</f>
        <v>0.34</v>
      </c>
      <c r="M3765" s="12">
        <f>tItens[[#This Row],[Valor]]*(1-tItens[[#This Row],[Desconto]])</f>
        <v>315.37439999999998</v>
      </c>
      <c r="N3765" t="str">
        <f>IFERROR(INDEX(tProdutos[Foco],MATCH(tItens[[#This Row],[Produto]],tProdutos[Produto],0)),"Não")</f>
        <v>Sim</v>
      </c>
      <c r="O3765" t="str">
        <f>IFERROR(INDEX(tEditais[SRP],MATCH(tItens[[#This Row],[Edital]],tEditais[Edital],0)),"Não")</f>
        <v>Não</v>
      </c>
      <c r="P3765" s="4">
        <f>IF(COUNTIFS(INDEX(tItens[Edital],1):tItens[[#This Row],[Edital]],tItens[[#This Row],[Edital]],INDEX(tItens[Produto],1):tItens[[#This Row],[Produto]],tItens[[#This Row],[Produto]])=1,1,0)</f>
        <v>1</v>
      </c>
    </row>
    <row r="3766" spans="1:16" x14ac:dyDescent="0.25">
      <c r="A3766" t="s">
        <v>1576</v>
      </c>
      <c r="B3766">
        <v>8073379</v>
      </c>
      <c r="C3766" t="s">
        <v>6632</v>
      </c>
      <c r="D3766" t="s">
        <v>387</v>
      </c>
      <c r="E3766" s="13">
        <v>100</v>
      </c>
      <c r="F3766" s="12">
        <v>23.89</v>
      </c>
      <c r="G3766" t="str">
        <f>IFERROR(INDEX(tEditais[Órgão],MATCH(tItens[[#This Row],[Edital]],tEditais[Edital],0)),"")</f>
        <v>MUNICIPIO DE IGUATAMA</v>
      </c>
      <c r="H3766" t="str">
        <f>IFERROR(INDEX(tEditais[UF],MATCH(tItens[[#This Row],[Edital]],tEditais[Edital],0)),"")</f>
        <v>MG</v>
      </c>
      <c r="I3766" s="11">
        <f>IFERROR(INDEX(tEditais[Encerramento],MATCH(tItens[[#This Row],[Edital]],tEditais[Edital],0)),"")</f>
        <v>46311.375</v>
      </c>
      <c r="J3766" t="str">
        <f>IFERROR(INDEX(tProdutos[Classe],MATCH(tItens[[#This Row],[Produto]],tProdutos[Produto],0)),"produto não cadastrado")</f>
        <v>FORA</v>
      </c>
      <c r="K3766" s="12">
        <f>tItens[[#This Row],[Qtd]]*tItens[[#This Row],[Vlr unit]]</f>
        <v>2389</v>
      </c>
      <c r="L3766" s="6">
        <f>IFERROR(IF(INDEX(tProdutos[Desconto homologado],MATCH(tItens[[#This Row],[Produto]],tProdutos[Produto],0))="",DescontoPadrao,INDEX(tProdutos[Desconto homologado],MATCH(tItens[[#This Row],[Produto]],tProdutos[Produto],0))),DescontoPadrao)</f>
        <v>0.30458221024258803</v>
      </c>
      <c r="M3766" s="12">
        <f>tItens[[#This Row],[Valor]]*(1-tItens[[#This Row],[Desconto]])</f>
        <v>1661.3530997304572</v>
      </c>
      <c r="N3766" t="str">
        <f>IFERROR(INDEX(tProdutos[Foco],MATCH(tItens[[#This Row],[Produto]],tProdutos[Produto],0)),"Não")</f>
        <v>Não</v>
      </c>
      <c r="O3766" t="str">
        <f>IFERROR(INDEX(tEditais[SRP],MATCH(tItens[[#This Row],[Edital]],tEditais[Edital],0)),"Não")</f>
        <v>Sim</v>
      </c>
      <c r="P3766" s="4">
        <f>IF(COUNTIFS(INDEX(tItens[Edital],1):tItens[[#This Row],[Edital]],tItens[[#This Row],[Edital]],INDEX(tItens[Produto],1):tItens[[#This Row],[Produto]],tItens[[#This Row],[Produto]])=1,1,0)</f>
        <v>1</v>
      </c>
    </row>
    <row r="3767" spans="1:16" x14ac:dyDescent="0.25">
      <c r="A3767" t="s">
        <v>1576</v>
      </c>
      <c r="B3767">
        <v>8073386</v>
      </c>
      <c r="C3767" t="s">
        <v>6633</v>
      </c>
      <c r="D3767" t="s">
        <v>403</v>
      </c>
      <c r="E3767" s="13">
        <v>50</v>
      </c>
      <c r="F3767" s="12">
        <v>4.2</v>
      </c>
      <c r="G3767" t="str">
        <f>IFERROR(INDEX(tEditais[Órgão],MATCH(tItens[[#This Row],[Edital]],tEditais[Edital],0)),"")</f>
        <v>MUNICIPIO DE IGUATAMA</v>
      </c>
      <c r="H3767" t="str">
        <f>IFERROR(INDEX(tEditais[UF],MATCH(tItens[[#This Row],[Edital]],tEditais[Edital],0)),"")</f>
        <v>MG</v>
      </c>
      <c r="I3767" s="11">
        <f>IFERROR(INDEX(tEditais[Encerramento],MATCH(tItens[[#This Row],[Edital]],tEditais[Edital],0)),"")</f>
        <v>46311.375</v>
      </c>
      <c r="J3767" t="str">
        <f>IFERROR(INDEX(tProdutos[Classe],MATCH(tItens[[#This Row],[Produto]],tProdutos[Produto],0)),"produto não cadastrado")</f>
        <v>FORA</v>
      </c>
      <c r="K3767" s="12">
        <f>tItens[[#This Row],[Qtd]]*tItens[[#This Row],[Vlr unit]]</f>
        <v>210</v>
      </c>
      <c r="L3767" s="6">
        <f>IFERROR(IF(INDEX(tProdutos[Desconto homologado],MATCH(tItens[[#This Row],[Produto]],tProdutos[Produto],0))="",DescontoPadrao,INDEX(tProdutos[Desconto homologado],MATCH(tItens[[#This Row],[Produto]],tProdutos[Produto],0))),DescontoPadrao)</f>
        <v>0.35326086956521702</v>
      </c>
      <c r="M3767" s="12">
        <f>tItens[[#This Row],[Valor]]*(1-tItens[[#This Row],[Desconto]])</f>
        <v>135.8152173913044</v>
      </c>
      <c r="N3767" t="str">
        <f>IFERROR(INDEX(tProdutos[Foco],MATCH(tItens[[#This Row],[Produto]],tProdutos[Produto],0)),"Não")</f>
        <v>Não</v>
      </c>
      <c r="O3767" t="str">
        <f>IFERROR(INDEX(tEditais[SRP],MATCH(tItens[[#This Row],[Edital]],tEditais[Edital],0)),"Não")</f>
        <v>Sim</v>
      </c>
      <c r="P3767" s="4">
        <f>IF(COUNTIFS(INDEX(tItens[Edital],1):tItens[[#This Row],[Edital]],tItens[[#This Row],[Edital]],INDEX(tItens[Produto],1):tItens[[#This Row],[Produto]],tItens[[#This Row],[Produto]])=1,1,0)</f>
        <v>1</v>
      </c>
    </row>
    <row r="3768" spans="1:16" x14ac:dyDescent="0.25">
      <c r="A3768" t="s">
        <v>1581</v>
      </c>
      <c r="B3768">
        <v>35</v>
      </c>
      <c r="C3768" t="s">
        <v>6634</v>
      </c>
      <c r="D3768" t="s">
        <v>156</v>
      </c>
      <c r="E3768" s="13">
        <v>15</v>
      </c>
      <c r="F3768" s="12">
        <v>3616.67</v>
      </c>
      <c r="G3768" t="str">
        <f>IFERROR(INDEX(tEditais[Órgão],MATCH(tItens[[#This Row],[Edital]],tEditais[Edital],0)),"")</f>
        <v>MUNICIPIO DE ALVARENGA</v>
      </c>
      <c r="H3768" t="str">
        <f>IFERROR(INDEX(tEditais[UF],MATCH(tItens[[#This Row],[Edital]],tEditais[Edital],0)),"")</f>
        <v>MG</v>
      </c>
      <c r="I3768" s="11">
        <f>IFERROR(INDEX(tEditais[Encerramento],MATCH(tItens[[#This Row],[Edital]],tEditais[Edital],0)),"")</f>
        <v>46311.375</v>
      </c>
      <c r="J3768" t="str">
        <f>IFERROR(INDEX(tProdutos[Classe],MATCH(tItens[[#This Row],[Produto]],tProdutos[Produto],0)),"produto não cadastrado")</f>
        <v>DISPUTADO</v>
      </c>
      <c r="K3768" s="12">
        <f>tItens[[#This Row],[Qtd]]*tItens[[#This Row],[Vlr unit]]</f>
        <v>54250.05</v>
      </c>
      <c r="L3768" s="6">
        <f>IFERROR(IF(INDEX(tProdutos[Desconto homologado],MATCH(tItens[[#This Row],[Produto]],tProdutos[Produto],0))="",DescontoPadrao,INDEX(tProdutos[Desconto homologado],MATCH(tItens[[#This Row],[Produto]],tProdutos[Produto],0))),DescontoPadrao)</f>
        <v>0.27131852489802799</v>
      </c>
      <c r="M3768" s="12">
        <f>tItens[[#This Row],[Valor]]*(1-tItens[[#This Row],[Desconto]])</f>
        <v>39531.00645835574</v>
      </c>
      <c r="N3768" t="str">
        <f>IFERROR(INDEX(tProdutos[Foco],MATCH(tItens[[#This Row],[Produto]],tProdutos[Produto],0)),"Não")</f>
        <v>Não</v>
      </c>
      <c r="O3768" t="str">
        <f>IFERROR(INDEX(tEditais[SRP],MATCH(tItens[[#This Row],[Edital]],tEditais[Edital],0)),"Não")</f>
        <v>Não</v>
      </c>
      <c r="P3768" s="4">
        <f>IF(COUNTIFS(INDEX(tItens[Edital],1):tItens[[#This Row],[Edital]],tItens[[#This Row],[Edital]],INDEX(tItens[Produto],1):tItens[[#This Row],[Produto]],tItens[[#This Row],[Produto]])=1,1,0)</f>
        <v>1</v>
      </c>
    </row>
    <row r="3769" spans="1:16" x14ac:dyDescent="0.25">
      <c r="A3769" t="s">
        <v>1586</v>
      </c>
      <c r="B3769">
        <v>32</v>
      </c>
      <c r="C3769" t="s">
        <v>6635</v>
      </c>
      <c r="D3769" t="s">
        <v>467</v>
      </c>
      <c r="E3769" s="13">
        <v>1</v>
      </c>
      <c r="F3769" s="12">
        <v>43.41</v>
      </c>
      <c r="G3769" t="str">
        <f>IFERROR(INDEX(tEditais[Órgão],MATCH(tItens[[#This Row],[Edital]],tEditais[Edital],0)),"")</f>
        <v>MUNICIPIO DE CAREACU</v>
      </c>
      <c r="H3769" t="str">
        <f>IFERROR(INDEX(tEditais[UF],MATCH(tItens[[#This Row],[Edital]],tEditais[Edital],0)),"")</f>
        <v>MG</v>
      </c>
      <c r="I3769" s="11">
        <f>IFERROR(INDEX(tEditais[Encerramento],MATCH(tItens[[#This Row],[Edital]],tEditais[Edital],0)),"")</f>
        <v>46311.375</v>
      </c>
      <c r="J3769" t="str">
        <f>IFERROR(INDEX(tProdutos[Classe],MATCH(tItens[[#This Row],[Produto]],tProdutos[Produto],0)),"produto não cadastrado")</f>
        <v>FILA REBASE</v>
      </c>
      <c r="K3769" s="12">
        <f>tItens[[#This Row],[Qtd]]*tItens[[#This Row],[Vlr unit]]</f>
        <v>43.41</v>
      </c>
      <c r="L3769" s="6">
        <f>IFERROR(IF(INDEX(tProdutos[Desconto homologado],MATCH(tItens[[#This Row],[Produto]],tProdutos[Produto],0))="",DescontoPadrao,INDEX(tProdutos[Desconto homologado],MATCH(tItens[[#This Row],[Produto]],tProdutos[Produto],0))),DescontoPadrao)</f>
        <v>0.25007144898542499</v>
      </c>
      <c r="M3769" s="12">
        <f>tItens[[#This Row],[Valor]]*(1-tItens[[#This Row],[Desconto]])</f>
        <v>32.554398399542698</v>
      </c>
      <c r="N3769" t="str">
        <f>IFERROR(INDEX(tProdutos[Foco],MATCH(tItens[[#This Row],[Produto]],tProdutos[Produto],0)),"Não")</f>
        <v>Não</v>
      </c>
      <c r="O3769" t="str">
        <f>IFERROR(INDEX(tEditais[SRP],MATCH(tItens[[#This Row],[Edital]],tEditais[Edital],0)),"Não")</f>
        <v>Não</v>
      </c>
      <c r="P3769" s="4">
        <f>IF(COUNTIFS(INDEX(tItens[Edital],1):tItens[[#This Row],[Edital]],tItens[[#This Row],[Edital]],INDEX(tItens[Produto],1):tItens[[#This Row],[Produto]],tItens[[#This Row],[Produto]])=1,1,0)</f>
        <v>1</v>
      </c>
    </row>
    <row r="3770" spans="1:16" x14ac:dyDescent="0.25">
      <c r="A3770" t="s">
        <v>1588</v>
      </c>
      <c r="B3770">
        <v>5</v>
      </c>
      <c r="C3770" t="s">
        <v>6636</v>
      </c>
      <c r="D3770" t="s">
        <v>409</v>
      </c>
      <c r="E3770" s="13">
        <v>7740</v>
      </c>
      <c r="F3770" s="12">
        <v>0</v>
      </c>
      <c r="G3770" t="str">
        <f>IFERROR(INDEX(tEditais[Órgão],MATCH(tItens[[#This Row],[Edital]],tEditais[Edital],0)),"")</f>
        <v>MUNICIPIO DE BELO HORIZONTE</v>
      </c>
      <c r="H3770" t="str">
        <f>IFERROR(INDEX(tEditais[UF],MATCH(tItens[[#This Row],[Edital]],tEditais[Edital],0)),"")</f>
        <v>MG</v>
      </c>
      <c r="I3770" s="11">
        <f>IFERROR(INDEX(tEditais[Encerramento],MATCH(tItens[[#This Row],[Edital]],tEditais[Edital],0)),"")</f>
        <v>46311.416666666664</v>
      </c>
      <c r="J3770" t="str">
        <f>IFERROR(INDEX(tProdutos[Classe],MATCH(tItens[[#This Row],[Produto]],tProdutos[Produto],0)),"produto não cadastrado")</f>
        <v>FORA</v>
      </c>
      <c r="K3770" s="12">
        <f>tItens[[#This Row],[Qtd]]*tItens[[#This Row],[Vlr unit]]</f>
        <v>0</v>
      </c>
      <c r="L3770" s="6">
        <f>IFERROR(IF(INDEX(tProdutos[Desconto homologado],MATCH(tItens[[#This Row],[Produto]],tProdutos[Produto],0))="",DescontoPadrao,INDEX(tProdutos[Desconto homologado],MATCH(tItens[[#This Row],[Produto]],tProdutos[Produto],0))),DescontoPadrao)</f>
        <v>0.24924924924924899</v>
      </c>
      <c r="M3770" s="12">
        <f>tItens[[#This Row],[Valor]]*(1-tItens[[#This Row],[Desconto]])</f>
        <v>0</v>
      </c>
      <c r="N3770" t="str">
        <f>IFERROR(INDEX(tProdutos[Foco],MATCH(tItens[[#This Row],[Produto]],tProdutos[Produto],0)),"Não")</f>
        <v>Não</v>
      </c>
      <c r="O3770" t="str">
        <f>IFERROR(INDEX(tEditais[SRP],MATCH(tItens[[#This Row],[Edital]],tEditais[Edital],0)),"Não")</f>
        <v>Não</v>
      </c>
      <c r="P3770" s="4">
        <f>IF(COUNTIFS(INDEX(tItens[Edital],1):tItens[[#This Row],[Edital]],tItens[[#This Row],[Edital]],INDEX(tItens[Produto],1):tItens[[#This Row],[Produto]],tItens[[#This Row],[Produto]])=1,1,0)</f>
        <v>1</v>
      </c>
    </row>
    <row r="3771" spans="1:16" x14ac:dyDescent="0.25">
      <c r="A3771" t="s">
        <v>1588</v>
      </c>
      <c r="B3771">
        <v>11</v>
      </c>
      <c r="C3771" t="s">
        <v>6637</v>
      </c>
      <c r="D3771" t="s">
        <v>267</v>
      </c>
      <c r="E3771" s="13">
        <v>265140</v>
      </c>
      <c r="F3771" s="12">
        <v>0</v>
      </c>
      <c r="G3771" t="str">
        <f>IFERROR(INDEX(tEditais[Órgão],MATCH(tItens[[#This Row],[Edital]],tEditais[Edital],0)),"")</f>
        <v>MUNICIPIO DE BELO HORIZONTE</v>
      </c>
      <c r="H3771" t="str">
        <f>IFERROR(INDEX(tEditais[UF],MATCH(tItens[[#This Row],[Edital]],tEditais[Edital],0)),"")</f>
        <v>MG</v>
      </c>
      <c r="I3771" s="11">
        <f>IFERROR(INDEX(tEditais[Encerramento],MATCH(tItens[[#This Row],[Edital]],tEditais[Edital],0)),"")</f>
        <v>46311.416666666664</v>
      </c>
      <c r="J3771" t="str">
        <f>IFERROR(INDEX(tProdutos[Classe],MATCH(tItens[[#This Row],[Produto]],tProdutos[Produto],0)),"produto não cadastrado")</f>
        <v>FORA</v>
      </c>
      <c r="K3771" s="12">
        <f>tItens[[#This Row],[Qtd]]*tItens[[#This Row],[Vlr unit]]</f>
        <v>0</v>
      </c>
      <c r="L3771" s="6">
        <f>IFERROR(IF(INDEX(tProdutos[Desconto homologado],MATCH(tItens[[#This Row],[Produto]],tProdutos[Produto],0))="",DescontoPadrao,INDEX(tProdutos[Desconto homologado],MATCH(tItens[[#This Row],[Produto]],tProdutos[Produto],0))),DescontoPadrao)</f>
        <v>0.19963672657401599</v>
      </c>
      <c r="M3771" s="12">
        <f>tItens[[#This Row],[Valor]]*(1-tItens[[#This Row],[Desconto]])</f>
        <v>0</v>
      </c>
      <c r="N3771" t="str">
        <f>IFERROR(INDEX(tProdutos[Foco],MATCH(tItens[[#This Row],[Produto]],tProdutos[Produto],0)),"Não")</f>
        <v>Não</v>
      </c>
      <c r="O3771" t="str">
        <f>IFERROR(INDEX(tEditais[SRP],MATCH(tItens[[#This Row],[Edital]],tEditais[Edital],0)),"Não")</f>
        <v>Não</v>
      </c>
      <c r="P3771" s="4">
        <f>IF(COUNTIFS(INDEX(tItens[Edital],1):tItens[[#This Row],[Edital]],tItens[[#This Row],[Edital]],INDEX(tItens[Produto],1):tItens[[#This Row],[Produto]],tItens[[#This Row],[Produto]])=1,1,0)</f>
        <v>1</v>
      </c>
    </row>
    <row r="3772" spans="1:16" x14ac:dyDescent="0.25">
      <c r="A3772" t="s">
        <v>1588</v>
      </c>
      <c r="B3772">
        <v>10004</v>
      </c>
      <c r="C3772" t="s">
        <v>6638</v>
      </c>
      <c r="D3772" t="s">
        <v>409</v>
      </c>
      <c r="E3772" s="13">
        <v>6960</v>
      </c>
      <c r="F3772" s="12">
        <v>0</v>
      </c>
      <c r="G3772" t="str">
        <f>IFERROR(INDEX(tEditais[Órgão],MATCH(tItens[[#This Row],[Edital]],tEditais[Edital],0)),"")</f>
        <v>MUNICIPIO DE BELO HORIZONTE</v>
      </c>
      <c r="H3772" t="str">
        <f>IFERROR(INDEX(tEditais[UF],MATCH(tItens[[#This Row],[Edital]],tEditais[Edital],0)),"")</f>
        <v>MG</v>
      </c>
      <c r="I3772" s="11">
        <f>IFERROR(INDEX(tEditais[Encerramento],MATCH(tItens[[#This Row],[Edital]],tEditais[Edital],0)),"")</f>
        <v>46311.416666666664</v>
      </c>
      <c r="J3772" t="str">
        <f>IFERROR(INDEX(tProdutos[Classe],MATCH(tItens[[#This Row],[Produto]],tProdutos[Produto],0)),"produto não cadastrado")</f>
        <v>FORA</v>
      </c>
      <c r="K3772" s="12">
        <f>tItens[[#This Row],[Qtd]]*tItens[[#This Row],[Vlr unit]]</f>
        <v>0</v>
      </c>
      <c r="L3772" s="6">
        <f>IFERROR(IF(INDEX(tProdutos[Desconto homologado],MATCH(tItens[[#This Row],[Produto]],tProdutos[Produto],0))="",DescontoPadrao,INDEX(tProdutos[Desconto homologado],MATCH(tItens[[#This Row],[Produto]],tProdutos[Produto],0))),DescontoPadrao)</f>
        <v>0.24924924924924899</v>
      </c>
      <c r="M3772" s="12">
        <f>tItens[[#This Row],[Valor]]*(1-tItens[[#This Row],[Desconto]])</f>
        <v>0</v>
      </c>
      <c r="N3772" t="str">
        <f>IFERROR(INDEX(tProdutos[Foco],MATCH(tItens[[#This Row],[Produto]],tProdutos[Produto],0)),"Não")</f>
        <v>Não</v>
      </c>
      <c r="O3772" t="str">
        <f>IFERROR(INDEX(tEditais[SRP],MATCH(tItens[[#This Row],[Edital]],tEditais[Edital],0)),"Não")</f>
        <v>Não</v>
      </c>
      <c r="P3772" s="4">
        <f>IF(COUNTIFS(INDEX(tItens[Edital],1):tItens[[#This Row],[Edital]],tItens[[#This Row],[Edital]],INDEX(tItens[Produto],1):tItens[[#This Row],[Produto]],tItens[[#This Row],[Produto]])=1,1,0)</f>
        <v>0</v>
      </c>
    </row>
    <row r="3773" spans="1:16" x14ac:dyDescent="0.25">
      <c r="A3773" t="s">
        <v>1588</v>
      </c>
      <c r="B3773">
        <v>10005</v>
      </c>
      <c r="C3773" t="s">
        <v>6636</v>
      </c>
      <c r="D3773" t="s">
        <v>409</v>
      </c>
      <c r="E3773" s="13">
        <v>2580</v>
      </c>
      <c r="F3773" s="12">
        <v>0</v>
      </c>
      <c r="G3773" t="str">
        <f>IFERROR(INDEX(tEditais[Órgão],MATCH(tItens[[#This Row],[Edital]],tEditais[Edital],0)),"")</f>
        <v>MUNICIPIO DE BELO HORIZONTE</v>
      </c>
      <c r="H3773" t="str">
        <f>IFERROR(INDEX(tEditais[UF],MATCH(tItens[[#This Row],[Edital]],tEditais[Edital],0)),"")</f>
        <v>MG</v>
      </c>
      <c r="I3773" s="11">
        <f>IFERROR(INDEX(tEditais[Encerramento],MATCH(tItens[[#This Row],[Edital]],tEditais[Edital],0)),"")</f>
        <v>46311.416666666664</v>
      </c>
      <c r="J3773" t="str">
        <f>IFERROR(INDEX(tProdutos[Classe],MATCH(tItens[[#This Row],[Produto]],tProdutos[Produto],0)),"produto não cadastrado")</f>
        <v>FORA</v>
      </c>
      <c r="K3773" s="12">
        <f>tItens[[#This Row],[Qtd]]*tItens[[#This Row],[Vlr unit]]</f>
        <v>0</v>
      </c>
      <c r="L3773" s="6">
        <f>IFERROR(IF(INDEX(tProdutos[Desconto homologado],MATCH(tItens[[#This Row],[Produto]],tProdutos[Produto],0))="",DescontoPadrao,INDEX(tProdutos[Desconto homologado],MATCH(tItens[[#This Row],[Produto]],tProdutos[Produto],0))),DescontoPadrao)</f>
        <v>0.24924924924924899</v>
      </c>
      <c r="M3773" s="12">
        <f>tItens[[#This Row],[Valor]]*(1-tItens[[#This Row],[Desconto]])</f>
        <v>0</v>
      </c>
      <c r="N3773" t="str">
        <f>IFERROR(INDEX(tProdutos[Foco],MATCH(tItens[[#This Row],[Produto]],tProdutos[Produto],0)),"Não")</f>
        <v>Não</v>
      </c>
      <c r="O3773" t="str">
        <f>IFERROR(INDEX(tEditais[SRP],MATCH(tItens[[#This Row],[Edital]],tEditais[Edital],0)),"Não")</f>
        <v>Não</v>
      </c>
      <c r="P3773" s="4">
        <f>IF(COUNTIFS(INDEX(tItens[Edital],1):tItens[[#This Row],[Edital]],tItens[[#This Row],[Edital]],INDEX(tItens[Produto],1):tItens[[#This Row],[Produto]],tItens[[#This Row],[Produto]])=1,1,0)</f>
        <v>0</v>
      </c>
    </row>
    <row r="3774" spans="1:16" x14ac:dyDescent="0.25">
      <c r="A3774" t="s">
        <v>1588</v>
      </c>
      <c r="B3774">
        <v>10006</v>
      </c>
      <c r="C3774" t="s">
        <v>6639</v>
      </c>
      <c r="D3774" t="s">
        <v>160</v>
      </c>
      <c r="E3774" s="13">
        <v>7200</v>
      </c>
      <c r="F3774" s="12">
        <v>0</v>
      </c>
      <c r="G3774" t="str">
        <f>IFERROR(INDEX(tEditais[Órgão],MATCH(tItens[[#This Row],[Edital]],tEditais[Edital],0)),"")</f>
        <v>MUNICIPIO DE BELO HORIZONTE</v>
      </c>
      <c r="H3774" t="str">
        <f>IFERROR(INDEX(tEditais[UF],MATCH(tItens[[#This Row],[Edital]],tEditais[Edital],0)),"")</f>
        <v>MG</v>
      </c>
      <c r="I3774" s="11">
        <f>IFERROR(INDEX(tEditais[Encerramento],MATCH(tItens[[#This Row],[Edital]],tEditais[Edital],0)),"")</f>
        <v>46311.416666666664</v>
      </c>
      <c r="J3774" t="str">
        <f>IFERROR(INDEX(tProdutos[Classe],MATCH(tItens[[#This Row],[Produto]],tProdutos[Produto],0)),"produto não cadastrado")</f>
        <v>DISPUTADO</v>
      </c>
      <c r="K3774" s="12">
        <f>tItens[[#This Row],[Qtd]]*tItens[[#This Row],[Vlr unit]]</f>
        <v>0</v>
      </c>
      <c r="L3774" s="6">
        <f>IFERROR(IF(INDEX(tProdutos[Desconto homologado],MATCH(tItens[[#This Row],[Produto]],tProdutos[Produto],0))="",DescontoPadrao,INDEX(tProdutos[Desconto homologado],MATCH(tItens[[#This Row],[Produto]],tProdutos[Produto],0))),DescontoPadrao)</f>
        <v>0.28000000000000003</v>
      </c>
      <c r="M3774" s="12">
        <f>tItens[[#This Row],[Valor]]*(1-tItens[[#This Row],[Desconto]])</f>
        <v>0</v>
      </c>
      <c r="N3774" t="str">
        <f>IFERROR(INDEX(tProdutos[Foco],MATCH(tItens[[#This Row],[Produto]],tProdutos[Produto],0)),"Não")</f>
        <v>Sim</v>
      </c>
      <c r="O3774" t="str">
        <f>IFERROR(INDEX(tEditais[SRP],MATCH(tItens[[#This Row],[Edital]],tEditais[Edital],0)),"Não")</f>
        <v>Não</v>
      </c>
      <c r="P3774" s="4">
        <f>IF(COUNTIFS(INDEX(tItens[Edital],1):tItens[[#This Row],[Edital]],tItens[[#This Row],[Edital]],INDEX(tItens[Produto],1):tItens[[#This Row],[Produto]],tItens[[#This Row],[Produto]])=1,1,0)</f>
        <v>1</v>
      </c>
    </row>
    <row r="3775" spans="1:16" x14ac:dyDescent="0.25">
      <c r="A3775" t="s">
        <v>1588</v>
      </c>
      <c r="B3775">
        <v>10007</v>
      </c>
      <c r="C3775" t="s">
        <v>6640</v>
      </c>
      <c r="D3775" t="s">
        <v>160</v>
      </c>
      <c r="E3775" s="13">
        <v>3180</v>
      </c>
      <c r="F3775" s="12">
        <v>0</v>
      </c>
      <c r="G3775" t="str">
        <f>IFERROR(INDEX(tEditais[Órgão],MATCH(tItens[[#This Row],[Edital]],tEditais[Edital],0)),"")</f>
        <v>MUNICIPIO DE BELO HORIZONTE</v>
      </c>
      <c r="H3775" t="str">
        <f>IFERROR(INDEX(tEditais[UF],MATCH(tItens[[#This Row],[Edital]],tEditais[Edital],0)),"")</f>
        <v>MG</v>
      </c>
      <c r="I3775" s="11">
        <f>IFERROR(INDEX(tEditais[Encerramento],MATCH(tItens[[#This Row],[Edital]],tEditais[Edital],0)),"")</f>
        <v>46311.416666666664</v>
      </c>
      <c r="J3775" t="str">
        <f>IFERROR(INDEX(tProdutos[Classe],MATCH(tItens[[#This Row],[Produto]],tProdutos[Produto],0)),"produto não cadastrado")</f>
        <v>DISPUTADO</v>
      </c>
      <c r="K3775" s="12">
        <f>tItens[[#This Row],[Qtd]]*tItens[[#This Row],[Vlr unit]]</f>
        <v>0</v>
      </c>
      <c r="L3775" s="6">
        <f>IFERROR(IF(INDEX(tProdutos[Desconto homologado],MATCH(tItens[[#This Row],[Produto]],tProdutos[Produto],0))="",DescontoPadrao,INDEX(tProdutos[Desconto homologado],MATCH(tItens[[#This Row],[Produto]],tProdutos[Produto],0))),DescontoPadrao)</f>
        <v>0.28000000000000003</v>
      </c>
      <c r="M3775" s="12">
        <f>tItens[[#This Row],[Valor]]*(1-tItens[[#This Row],[Desconto]])</f>
        <v>0</v>
      </c>
      <c r="N3775" t="str">
        <f>IFERROR(INDEX(tProdutos[Foco],MATCH(tItens[[#This Row],[Produto]],tProdutos[Produto],0)),"Não")</f>
        <v>Sim</v>
      </c>
      <c r="O3775" t="str">
        <f>IFERROR(INDEX(tEditais[SRP],MATCH(tItens[[#This Row],[Edital]],tEditais[Edital],0)),"Não")</f>
        <v>Não</v>
      </c>
      <c r="P3775" s="4">
        <f>IF(COUNTIFS(INDEX(tItens[Edital],1):tItens[[#This Row],[Edital]],tItens[[#This Row],[Edital]],INDEX(tItens[Produto],1):tItens[[#This Row],[Produto]],tItens[[#This Row],[Produto]])=1,1,0)</f>
        <v>0</v>
      </c>
    </row>
    <row r="3776" spans="1:16" x14ac:dyDescent="0.25">
      <c r="A3776" t="s">
        <v>1588</v>
      </c>
      <c r="B3776">
        <v>10009</v>
      </c>
      <c r="C3776" t="s">
        <v>6641</v>
      </c>
      <c r="D3776" t="s">
        <v>267</v>
      </c>
      <c r="E3776" s="13">
        <v>4800</v>
      </c>
      <c r="F3776" s="12">
        <v>0</v>
      </c>
      <c r="G3776" t="str">
        <f>IFERROR(INDEX(tEditais[Órgão],MATCH(tItens[[#This Row],[Edital]],tEditais[Edital],0)),"")</f>
        <v>MUNICIPIO DE BELO HORIZONTE</v>
      </c>
      <c r="H3776" t="str">
        <f>IFERROR(INDEX(tEditais[UF],MATCH(tItens[[#This Row],[Edital]],tEditais[Edital],0)),"")</f>
        <v>MG</v>
      </c>
      <c r="I3776" s="11">
        <f>IFERROR(INDEX(tEditais[Encerramento],MATCH(tItens[[#This Row],[Edital]],tEditais[Edital],0)),"")</f>
        <v>46311.416666666664</v>
      </c>
      <c r="J3776" t="str">
        <f>IFERROR(INDEX(tProdutos[Classe],MATCH(tItens[[#This Row],[Produto]],tProdutos[Produto],0)),"produto não cadastrado")</f>
        <v>FORA</v>
      </c>
      <c r="K3776" s="12">
        <f>tItens[[#This Row],[Qtd]]*tItens[[#This Row],[Vlr unit]]</f>
        <v>0</v>
      </c>
      <c r="L3776" s="6">
        <f>IFERROR(IF(INDEX(tProdutos[Desconto homologado],MATCH(tItens[[#This Row],[Produto]],tProdutos[Produto],0))="",DescontoPadrao,INDEX(tProdutos[Desconto homologado],MATCH(tItens[[#This Row],[Produto]],tProdutos[Produto],0))),DescontoPadrao)</f>
        <v>0.19963672657401599</v>
      </c>
      <c r="M3776" s="12">
        <f>tItens[[#This Row],[Valor]]*(1-tItens[[#This Row],[Desconto]])</f>
        <v>0</v>
      </c>
      <c r="N3776" t="str">
        <f>IFERROR(INDEX(tProdutos[Foco],MATCH(tItens[[#This Row],[Produto]],tProdutos[Produto],0)),"Não")</f>
        <v>Não</v>
      </c>
      <c r="O3776" t="str">
        <f>IFERROR(INDEX(tEditais[SRP],MATCH(tItens[[#This Row],[Edital]],tEditais[Edital],0)),"Não")</f>
        <v>Não</v>
      </c>
      <c r="P3776" s="4">
        <f>IF(COUNTIFS(INDEX(tItens[Edital],1):tItens[[#This Row],[Edital]],tItens[[#This Row],[Edital]],INDEX(tItens[Produto],1):tItens[[#This Row],[Produto]],tItens[[#This Row],[Produto]])=1,1,0)</f>
        <v>0</v>
      </c>
    </row>
    <row r="3777" spans="1:16" x14ac:dyDescent="0.25">
      <c r="A3777" t="s">
        <v>1588</v>
      </c>
      <c r="B3777">
        <v>10010</v>
      </c>
      <c r="C3777" t="s">
        <v>6642</v>
      </c>
      <c r="D3777" t="s">
        <v>267</v>
      </c>
      <c r="E3777" s="13">
        <v>24000</v>
      </c>
      <c r="F3777" s="12">
        <v>0</v>
      </c>
      <c r="G3777" t="str">
        <f>IFERROR(INDEX(tEditais[Órgão],MATCH(tItens[[#This Row],[Edital]],tEditais[Edital],0)),"")</f>
        <v>MUNICIPIO DE BELO HORIZONTE</v>
      </c>
      <c r="H3777" t="str">
        <f>IFERROR(INDEX(tEditais[UF],MATCH(tItens[[#This Row],[Edital]],tEditais[Edital],0)),"")</f>
        <v>MG</v>
      </c>
      <c r="I3777" s="11">
        <f>IFERROR(INDEX(tEditais[Encerramento],MATCH(tItens[[#This Row],[Edital]],tEditais[Edital],0)),"")</f>
        <v>46311.416666666664</v>
      </c>
      <c r="J3777" t="str">
        <f>IFERROR(INDEX(tProdutos[Classe],MATCH(tItens[[#This Row],[Produto]],tProdutos[Produto],0)),"produto não cadastrado")</f>
        <v>FORA</v>
      </c>
      <c r="K3777" s="12">
        <f>tItens[[#This Row],[Qtd]]*tItens[[#This Row],[Vlr unit]]</f>
        <v>0</v>
      </c>
      <c r="L3777" s="6">
        <f>IFERROR(IF(INDEX(tProdutos[Desconto homologado],MATCH(tItens[[#This Row],[Produto]],tProdutos[Produto],0))="",DescontoPadrao,INDEX(tProdutos[Desconto homologado],MATCH(tItens[[#This Row],[Produto]],tProdutos[Produto],0))),DescontoPadrao)</f>
        <v>0.19963672657401599</v>
      </c>
      <c r="M3777" s="12">
        <f>tItens[[#This Row],[Valor]]*(1-tItens[[#This Row],[Desconto]])</f>
        <v>0</v>
      </c>
      <c r="N3777" t="str">
        <f>IFERROR(INDEX(tProdutos[Foco],MATCH(tItens[[#This Row],[Produto]],tProdutos[Produto],0)),"Não")</f>
        <v>Não</v>
      </c>
      <c r="O3777" t="str">
        <f>IFERROR(INDEX(tEditais[SRP],MATCH(tItens[[#This Row],[Edital]],tEditais[Edital],0)),"Não")</f>
        <v>Não</v>
      </c>
      <c r="P3777" s="4">
        <f>IF(COUNTIFS(INDEX(tItens[Edital],1):tItens[[#This Row],[Edital]],tItens[[#This Row],[Edital]],INDEX(tItens[Produto],1):tItens[[#This Row],[Produto]],tItens[[#This Row],[Produto]])=1,1,0)</f>
        <v>0</v>
      </c>
    </row>
    <row r="3778" spans="1:16" x14ac:dyDescent="0.25">
      <c r="A3778" t="s">
        <v>1588</v>
      </c>
      <c r="B3778">
        <v>10011</v>
      </c>
      <c r="C3778" t="s">
        <v>6637</v>
      </c>
      <c r="D3778" t="s">
        <v>267</v>
      </c>
      <c r="E3778" s="13">
        <v>88380</v>
      </c>
      <c r="F3778" s="12">
        <v>0</v>
      </c>
      <c r="G3778" t="str">
        <f>IFERROR(INDEX(tEditais[Órgão],MATCH(tItens[[#This Row],[Edital]],tEditais[Edital],0)),"")</f>
        <v>MUNICIPIO DE BELO HORIZONTE</v>
      </c>
      <c r="H3778" t="str">
        <f>IFERROR(INDEX(tEditais[UF],MATCH(tItens[[#This Row],[Edital]],tEditais[Edital],0)),"")</f>
        <v>MG</v>
      </c>
      <c r="I3778" s="11">
        <f>IFERROR(INDEX(tEditais[Encerramento],MATCH(tItens[[#This Row],[Edital]],tEditais[Edital],0)),"")</f>
        <v>46311.416666666664</v>
      </c>
      <c r="J3778" t="str">
        <f>IFERROR(INDEX(tProdutos[Classe],MATCH(tItens[[#This Row],[Produto]],tProdutos[Produto],0)),"produto não cadastrado")</f>
        <v>FORA</v>
      </c>
      <c r="K3778" s="12">
        <f>tItens[[#This Row],[Qtd]]*tItens[[#This Row],[Vlr unit]]</f>
        <v>0</v>
      </c>
      <c r="L3778" s="6">
        <f>IFERROR(IF(INDEX(tProdutos[Desconto homologado],MATCH(tItens[[#This Row],[Produto]],tProdutos[Produto],0))="",DescontoPadrao,INDEX(tProdutos[Desconto homologado],MATCH(tItens[[#This Row],[Produto]],tProdutos[Produto],0))),DescontoPadrao)</f>
        <v>0.19963672657401599</v>
      </c>
      <c r="M3778" s="12">
        <f>tItens[[#This Row],[Valor]]*(1-tItens[[#This Row],[Desconto]])</f>
        <v>0</v>
      </c>
      <c r="N3778" t="str">
        <f>IFERROR(INDEX(tProdutos[Foco],MATCH(tItens[[#This Row],[Produto]],tProdutos[Produto],0)),"Não")</f>
        <v>Não</v>
      </c>
      <c r="O3778" t="str">
        <f>IFERROR(INDEX(tEditais[SRP],MATCH(tItens[[#This Row],[Edital]],tEditais[Edital],0)),"Não")</f>
        <v>Não</v>
      </c>
      <c r="P3778" s="4">
        <f>IF(COUNTIFS(INDEX(tItens[Edital],1):tItens[[#This Row],[Edital]],tItens[[#This Row],[Edital]],INDEX(tItens[Produto],1):tItens[[#This Row],[Produto]],tItens[[#This Row],[Produto]])=1,1,0)</f>
        <v>0</v>
      </c>
    </row>
    <row r="3779" spans="1:16" x14ac:dyDescent="0.25">
      <c r="A3779" t="s">
        <v>1591</v>
      </c>
      <c r="B3779">
        <v>11</v>
      </c>
      <c r="C3779" t="s">
        <v>6643</v>
      </c>
      <c r="D3779" t="s">
        <v>100</v>
      </c>
      <c r="E3779" s="13">
        <v>200</v>
      </c>
      <c r="F3779" s="12">
        <v>78.069999999999993</v>
      </c>
      <c r="G3779" t="str">
        <f>IFERROR(INDEX(tEditais[Órgão],MATCH(tItens[[#This Row],[Edital]],tEditais[Edital],0)),"")</f>
        <v>FUNDO MUNICIPAL DE SAUDE</v>
      </c>
      <c r="H3779" t="str">
        <f>IFERROR(INDEX(tEditais[UF],MATCH(tItens[[#This Row],[Edital]],tEditais[Edital],0)),"")</f>
        <v>MG</v>
      </c>
      <c r="I3779" s="11">
        <f>IFERROR(INDEX(tEditais[Encerramento],MATCH(tItens[[#This Row],[Edital]],tEditais[Edital],0)),"")</f>
        <v>46314.3125</v>
      </c>
      <c r="J3779" t="str">
        <f>IFERROR(INDEX(tProdutos[Classe],MATCH(tItens[[#This Row],[Produto]],tProdutos[Produto],0)),"produto não cadastrado")</f>
        <v>NÚCLEO</v>
      </c>
      <c r="K3779" s="12">
        <f>tItens[[#This Row],[Qtd]]*tItens[[#This Row],[Vlr unit]]</f>
        <v>15613.999999999998</v>
      </c>
      <c r="L3779" s="6">
        <f>IFERROR(IF(INDEX(tProdutos[Desconto homologado],MATCH(tItens[[#This Row],[Produto]],tProdutos[Produto],0))="",DescontoPadrao,INDEX(tProdutos[Desconto homologado],MATCH(tItens[[#This Row],[Produto]],tProdutos[Produto],0))),DescontoPadrao)</f>
        <v>0.24</v>
      </c>
      <c r="M3779" s="12">
        <f>tItens[[#This Row],[Valor]]*(1-tItens[[#This Row],[Desconto]])</f>
        <v>11866.64</v>
      </c>
      <c r="N3779" t="str">
        <f>IFERROR(INDEX(tProdutos[Foco],MATCH(tItens[[#This Row],[Produto]],tProdutos[Produto],0)),"Não")</f>
        <v>Sim</v>
      </c>
      <c r="O3779" t="str">
        <f>IFERROR(INDEX(tEditais[SRP],MATCH(tItens[[#This Row],[Edital]],tEditais[Edital],0)),"Não")</f>
        <v>Sim</v>
      </c>
      <c r="P3779" s="4">
        <f>IF(COUNTIFS(INDEX(tItens[Edital],1):tItens[[#This Row],[Edital]],tItens[[#This Row],[Edital]],INDEX(tItens[Produto],1):tItens[[#This Row],[Produto]],tItens[[#This Row],[Produto]])=1,1,0)</f>
        <v>1</v>
      </c>
    </row>
    <row r="3780" spans="1:16" x14ac:dyDescent="0.25">
      <c r="A3780" t="s">
        <v>1591</v>
      </c>
      <c r="B3780">
        <v>17</v>
      </c>
      <c r="C3780" t="s">
        <v>6644</v>
      </c>
      <c r="D3780" t="s">
        <v>455</v>
      </c>
      <c r="E3780" s="13">
        <v>1000</v>
      </c>
      <c r="F3780" s="12">
        <v>122</v>
      </c>
      <c r="G3780" t="str">
        <f>IFERROR(INDEX(tEditais[Órgão],MATCH(tItens[[#This Row],[Edital]],tEditais[Edital],0)),"")</f>
        <v>FUNDO MUNICIPAL DE SAUDE</v>
      </c>
      <c r="H3780" t="str">
        <f>IFERROR(INDEX(tEditais[UF],MATCH(tItens[[#This Row],[Edital]],tEditais[Edital],0)),"")</f>
        <v>MG</v>
      </c>
      <c r="I3780" s="11">
        <f>IFERROR(INDEX(tEditais[Encerramento],MATCH(tItens[[#This Row],[Edital]],tEditais[Edital],0)),"")</f>
        <v>46314.3125</v>
      </c>
      <c r="J3780" t="str">
        <f>IFERROR(INDEX(tProdutos[Classe],MATCH(tItens[[#This Row],[Produto]],tProdutos[Produto],0)),"produto não cadastrado")</f>
        <v>FILA REBASE</v>
      </c>
      <c r="K3780" s="12">
        <f>tItens[[#This Row],[Qtd]]*tItens[[#This Row],[Vlr unit]]</f>
        <v>122000</v>
      </c>
      <c r="L3780" s="6">
        <f>IFERROR(IF(INDEX(tProdutos[Desconto homologado],MATCH(tItens[[#This Row],[Produto]],tProdutos[Produto],0))="",DescontoPadrao,INDEX(tProdutos[Desconto homologado],MATCH(tItens[[#This Row],[Produto]],tProdutos[Produto],0))),DescontoPadrao)</f>
        <v>0.29595946765523801</v>
      </c>
      <c r="M3780" s="12">
        <f>tItens[[#This Row],[Valor]]*(1-tItens[[#This Row],[Desconto]])</f>
        <v>85892.944946060976</v>
      </c>
      <c r="N3780" t="str">
        <f>IFERROR(INDEX(tProdutos[Foco],MATCH(tItens[[#This Row],[Produto]],tProdutos[Produto],0)),"Não")</f>
        <v>Não</v>
      </c>
      <c r="O3780" t="str">
        <f>IFERROR(INDEX(tEditais[SRP],MATCH(tItens[[#This Row],[Edital]],tEditais[Edital],0)),"Não")</f>
        <v>Sim</v>
      </c>
      <c r="P3780" s="4">
        <f>IF(COUNTIFS(INDEX(tItens[Edital],1):tItens[[#This Row],[Edital]],tItens[[#This Row],[Edital]],INDEX(tItens[Produto],1):tItens[[#This Row],[Produto]],tItens[[#This Row],[Produto]])=1,1,0)</f>
        <v>1</v>
      </c>
    </row>
    <row r="3781" spans="1:16" x14ac:dyDescent="0.25">
      <c r="A3781" t="s">
        <v>1594</v>
      </c>
      <c r="B3781">
        <v>5</v>
      </c>
      <c r="C3781" t="s">
        <v>6645</v>
      </c>
      <c r="D3781" t="s">
        <v>315</v>
      </c>
      <c r="E3781" s="13">
        <v>8700</v>
      </c>
      <c r="F3781" s="12">
        <v>7.0000000000000007E-2</v>
      </c>
      <c r="G3781" t="str">
        <f>IFERROR(INDEX(tEditais[Órgão],MATCH(tItens[[#This Row],[Edital]],tEditais[Edital],0)),"")</f>
        <v>MUNICIPIO DE VARGINHA</v>
      </c>
      <c r="H3781" t="str">
        <f>IFERROR(INDEX(tEditais[UF],MATCH(tItens[[#This Row],[Edital]],tEditais[Edital],0)),"")</f>
        <v>MG</v>
      </c>
      <c r="I3781" s="11">
        <f>IFERROR(INDEX(tEditais[Encerramento],MATCH(tItens[[#This Row],[Edital]],tEditais[Edital],0)),"")</f>
        <v>46314.353472222225</v>
      </c>
      <c r="J3781" t="str">
        <f>IFERROR(INDEX(tProdutos[Classe],MATCH(tItens[[#This Row],[Produto]],tProdutos[Produto],0)),"produto não cadastrado")</f>
        <v>FORA</v>
      </c>
      <c r="K3781" s="12">
        <f>tItens[[#This Row],[Qtd]]*tItens[[#This Row],[Vlr unit]]</f>
        <v>609.00000000000011</v>
      </c>
      <c r="L3781" s="6">
        <f>IFERROR(IF(INDEX(tProdutos[Desconto homologado],MATCH(tItens[[#This Row],[Produto]],tProdutos[Produto],0))="",DescontoPadrao,INDEX(tProdutos[Desconto homologado],MATCH(tItens[[#This Row],[Produto]],tProdutos[Produto],0))),DescontoPadrao)</f>
        <v>0.38432036097010702</v>
      </c>
      <c r="M3781" s="12">
        <f>tItens[[#This Row],[Valor]]*(1-tItens[[#This Row],[Desconto]])</f>
        <v>374.94890016920488</v>
      </c>
      <c r="N3781" t="str">
        <f>IFERROR(INDEX(tProdutos[Foco],MATCH(tItens[[#This Row],[Produto]],tProdutos[Produto],0)),"Não")</f>
        <v>Não</v>
      </c>
      <c r="O3781" t="str">
        <f>IFERROR(INDEX(tEditais[SRP],MATCH(tItens[[#This Row],[Edital]],tEditais[Edital],0)),"Não")</f>
        <v>Não</v>
      </c>
      <c r="P3781" s="4">
        <f>IF(COUNTIFS(INDEX(tItens[Edital],1):tItens[[#This Row],[Edital]],tItens[[#This Row],[Edital]],INDEX(tItens[Produto],1):tItens[[#This Row],[Produto]],tItens[[#This Row],[Produto]])=1,1,0)</f>
        <v>1</v>
      </c>
    </row>
    <row r="3782" spans="1:16" x14ac:dyDescent="0.25">
      <c r="A3782" t="s">
        <v>1594</v>
      </c>
      <c r="B3782">
        <v>6</v>
      </c>
      <c r="C3782" t="s">
        <v>6646</v>
      </c>
      <c r="D3782" t="s">
        <v>315</v>
      </c>
      <c r="E3782" s="13">
        <v>800</v>
      </c>
      <c r="F3782" s="12">
        <v>0.08</v>
      </c>
      <c r="G3782" t="str">
        <f>IFERROR(INDEX(tEditais[Órgão],MATCH(tItens[[#This Row],[Edital]],tEditais[Edital],0)),"")</f>
        <v>MUNICIPIO DE VARGINHA</v>
      </c>
      <c r="H3782" t="str">
        <f>IFERROR(INDEX(tEditais[UF],MATCH(tItens[[#This Row],[Edital]],tEditais[Edital],0)),"")</f>
        <v>MG</v>
      </c>
      <c r="I3782" s="11">
        <f>IFERROR(INDEX(tEditais[Encerramento],MATCH(tItens[[#This Row],[Edital]],tEditais[Edital],0)),"")</f>
        <v>46314.353472222225</v>
      </c>
      <c r="J3782" t="str">
        <f>IFERROR(INDEX(tProdutos[Classe],MATCH(tItens[[#This Row],[Produto]],tProdutos[Produto],0)),"produto não cadastrado")</f>
        <v>FORA</v>
      </c>
      <c r="K3782" s="12">
        <f>tItens[[#This Row],[Qtd]]*tItens[[#This Row],[Vlr unit]]</f>
        <v>64</v>
      </c>
      <c r="L3782" s="6">
        <f>IFERROR(IF(INDEX(tProdutos[Desconto homologado],MATCH(tItens[[#This Row],[Produto]],tProdutos[Produto],0))="",DescontoPadrao,INDEX(tProdutos[Desconto homologado],MATCH(tItens[[#This Row],[Produto]],tProdutos[Produto],0))),DescontoPadrao)</f>
        <v>0.38432036097010702</v>
      </c>
      <c r="M3782" s="12">
        <f>tItens[[#This Row],[Valor]]*(1-tItens[[#This Row],[Desconto]])</f>
        <v>39.403496897913151</v>
      </c>
      <c r="N3782" t="str">
        <f>IFERROR(INDEX(tProdutos[Foco],MATCH(tItens[[#This Row],[Produto]],tProdutos[Produto],0)),"Não")</f>
        <v>Não</v>
      </c>
      <c r="O3782" t="str">
        <f>IFERROR(INDEX(tEditais[SRP],MATCH(tItens[[#This Row],[Edital]],tEditais[Edital],0)),"Não")</f>
        <v>Não</v>
      </c>
      <c r="P3782" s="4">
        <f>IF(COUNTIFS(INDEX(tItens[Edital],1):tItens[[#This Row],[Edital]],tItens[[#This Row],[Edital]],INDEX(tItens[Produto],1):tItens[[#This Row],[Produto]],tItens[[#This Row],[Produto]])=1,1,0)</f>
        <v>0</v>
      </c>
    </row>
    <row r="3783" spans="1:16" x14ac:dyDescent="0.25">
      <c r="A3783" t="s">
        <v>1594</v>
      </c>
      <c r="B3783">
        <v>7</v>
      </c>
      <c r="C3783" t="s">
        <v>6647</v>
      </c>
      <c r="D3783" t="s">
        <v>315</v>
      </c>
      <c r="E3783" s="13">
        <v>3600</v>
      </c>
      <c r="F3783" s="12">
        <v>0.09</v>
      </c>
      <c r="G3783" t="str">
        <f>IFERROR(INDEX(tEditais[Órgão],MATCH(tItens[[#This Row],[Edital]],tEditais[Edital],0)),"")</f>
        <v>MUNICIPIO DE VARGINHA</v>
      </c>
      <c r="H3783" t="str">
        <f>IFERROR(INDEX(tEditais[UF],MATCH(tItens[[#This Row],[Edital]],tEditais[Edital],0)),"")</f>
        <v>MG</v>
      </c>
      <c r="I3783" s="11">
        <f>IFERROR(INDEX(tEditais[Encerramento],MATCH(tItens[[#This Row],[Edital]],tEditais[Edital],0)),"")</f>
        <v>46314.353472222225</v>
      </c>
      <c r="J3783" t="str">
        <f>IFERROR(INDEX(tProdutos[Classe],MATCH(tItens[[#This Row],[Produto]],tProdutos[Produto],0)),"produto não cadastrado")</f>
        <v>FORA</v>
      </c>
      <c r="K3783" s="12">
        <f>tItens[[#This Row],[Qtd]]*tItens[[#This Row],[Vlr unit]]</f>
        <v>324</v>
      </c>
      <c r="L3783" s="6">
        <f>IFERROR(IF(INDEX(tProdutos[Desconto homologado],MATCH(tItens[[#This Row],[Produto]],tProdutos[Produto],0))="",DescontoPadrao,INDEX(tProdutos[Desconto homologado],MATCH(tItens[[#This Row],[Produto]],tProdutos[Produto],0))),DescontoPadrao)</f>
        <v>0.38432036097010702</v>
      </c>
      <c r="M3783" s="12">
        <f>tItens[[#This Row],[Valor]]*(1-tItens[[#This Row],[Desconto]])</f>
        <v>199.48020304568533</v>
      </c>
      <c r="N3783" t="str">
        <f>IFERROR(INDEX(tProdutos[Foco],MATCH(tItens[[#This Row],[Produto]],tProdutos[Produto],0)),"Não")</f>
        <v>Não</v>
      </c>
      <c r="O3783" t="str">
        <f>IFERROR(INDEX(tEditais[SRP],MATCH(tItens[[#This Row],[Edital]],tEditais[Edital],0)),"Não")</f>
        <v>Não</v>
      </c>
      <c r="P3783" s="4">
        <f>IF(COUNTIFS(INDEX(tItens[Edital],1):tItens[[#This Row],[Edital]],tItens[[#This Row],[Edital]],INDEX(tItens[Produto],1):tItens[[#This Row],[Produto]],tItens[[#This Row],[Produto]])=1,1,0)</f>
        <v>0</v>
      </c>
    </row>
    <row r="3784" spans="1:16" x14ac:dyDescent="0.25">
      <c r="A3784" t="s">
        <v>1594</v>
      </c>
      <c r="B3784">
        <v>8</v>
      </c>
      <c r="C3784" t="s">
        <v>6648</v>
      </c>
      <c r="D3784" t="s">
        <v>315</v>
      </c>
      <c r="E3784" s="13">
        <v>14600</v>
      </c>
      <c r="F3784" s="12">
        <v>0.09</v>
      </c>
      <c r="G3784" t="str">
        <f>IFERROR(INDEX(tEditais[Órgão],MATCH(tItens[[#This Row],[Edital]],tEditais[Edital],0)),"")</f>
        <v>MUNICIPIO DE VARGINHA</v>
      </c>
      <c r="H3784" t="str">
        <f>IFERROR(INDEX(tEditais[UF],MATCH(tItens[[#This Row],[Edital]],tEditais[Edital],0)),"")</f>
        <v>MG</v>
      </c>
      <c r="I3784" s="11">
        <f>IFERROR(INDEX(tEditais[Encerramento],MATCH(tItens[[#This Row],[Edital]],tEditais[Edital],0)),"")</f>
        <v>46314.353472222225</v>
      </c>
      <c r="J3784" t="str">
        <f>IFERROR(INDEX(tProdutos[Classe],MATCH(tItens[[#This Row],[Produto]],tProdutos[Produto],0)),"produto não cadastrado")</f>
        <v>FORA</v>
      </c>
      <c r="K3784" s="12">
        <f>tItens[[#This Row],[Qtd]]*tItens[[#This Row],[Vlr unit]]</f>
        <v>1314</v>
      </c>
      <c r="L3784" s="6">
        <f>IFERROR(IF(INDEX(tProdutos[Desconto homologado],MATCH(tItens[[#This Row],[Produto]],tProdutos[Produto],0))="",DescontoPadrao,INDEX(tProdutos[Desconto homologado],MATCH(tItens[[#This Row],[Produto]],tProdutos[Produto],0))),DescontoPadrao)</f>
        <v>0.38432036097010702</v>
      </c>
      <c r="M3784" s="12">
        <f>tItens[[#This Row],[Valor]]*(1-tItens[[#This Row],[Desconto]])</f>
        <v>809.0030456852794</v>
      </c>
      <c r="N3784" t="str">
        <f>IFERROR(INDEX(tProdutos[Foco],MATCH(tItens[[#This Row],[Produto]],tProdutos[Produto],0)),"Não")</f>
        <v>Não</v>
      </c>
      <c r="O3784" t="str">
        <f>IFERROR(INDEX(tEditais[SRP],MATCH(tItens[[#This Row],[Edital]],tEditais[Edital],0)),"Não")</f>
        <v>Não</v>
      </c>
      <c r="P3784" s="4">
        <f>IF(COUNTIFS(INDEX(tItens[Edital],1):tItens[[#This Row],[Edital]],tItens[[#This Row],[Edital]],INDEX(tItens[Produto],1):tItens[[#This Row],[Produto]],tItens[[#This Row],[Produto]])=1,1,0)</f>
        <v>0</v>
      </c>
    </row>
    <row r="3785" spans="1:16" x14ac:dyDescent="0.25">
      <c r="A3785" t="s">
        <v>1594</v>
      </c>
      <c r="B3785">
        <v>9</v>
      </c>
      <c r="C3785" t="s">
        <v>6649</v>
      </c>
      <c r="D3785" t="s">
        <v>315</v>
      </c>
      <c r="E3785" s="13">
        <v>50000</v>
      </c>
      <c r="F3785" s="12">
        <v>0.09</v>
      </c>
      <c r="G3785" t="str">
        <f>IFERROR(INDEX(tEditais[Órgão],MATCH(tItens[[#This Row],[Edital]],tEditais[Edital],0)),"")</f>
        <v>MUNICIPIO DE VARGINHA</v>
      </c>
      <c r="H3785" t="str">
        <f>IFERROR(INDEX(tEditais[UF],MATCH(tItens[[#This Row],[Edital]],tEditais[Edital],0)),"")</f>
        <v>MG</v>
      </c>
      <c r="I3785" s="11">
        <f>IFERROR(INDEX(tEditais[Encerramento],MATCH(tItens[[#This Row],[Edital]],tEditais[Edital],0)),"")</f>
        <v>46314.353472222225</v>
      </c>
      <c r="J3785" t="str">
        <f>IFERROR(INDEX(tProdutos[Classe],MATCH(tItens[[#This Row],[Produto]],tProdutos[Produto],0)),"produto não cadastrado")</f>
        <v>FORA</v>
      </c>
      <c r="K3785" s="12">
        <f>tItens[[#This Row],[Qtd]]*tItens[[#This Row],[Vlr unit]]</f>
        <v>4500</v>
      </c>
      <c r="L3785" s="6">
        <f>IFERROR(IF(INDEX(tProdutos[Desconto homologado],MATCH(tItens[[#This Row],[Produto]],tProdutos[Produto],0))="",DescontoPadrao,INDEX(tProdutos[Desconto homologado],MATCH(tItens[[#This Row],[Produto]],tProdutos[Produto],0))),DescontoPadrao)</f>
        <v>0.38432036097010702</v>
      </c>
      <c r="M3785" s="12">
        <f>tItens[[#This Row],[Valor]]*(1-tItens[[#This Row],[Desconto]])</f>
        <v>2770.5583756345186</v>
      </c>
      <c r="N3785" t="str">
        <f>IFERROR(INDEX(tProdutos[Foco],MATCH(tItens[[#This Row],[Produto]],tProdutos[Produto],0)),"Não")</f>
        <v>Não</v>
      </c>
      <c r="O3785" t="str">
        <f>IFERROR(INDEX(tEditais[SRP],MATCH(tItens[[#This Row],[Edital]],tEditais[Edital],0)),"Não")</f>
        <v>Não</v>
      </c>
      <c r="P3785" s="4">
        <f>IF(COUNTIFS(INDEX(tItens[Edital],1):tItens[[#This Row],[Edital]],tItens[[#This Row],[Edital]],INDEX(tItens[Produto],1):tItens[[#This Row],[Produto]],tItens[[#This Row],[Produto]])=1,1,0)</f>
        <v>0</v>
      </c>
    </row>
    <row r="3786" spans="1:16" x14ac:dyDescent="0.25">
      <c r="A3786" t="s">
        <v>1594</v>
      </c>
      <c r="B3786">
        <v>10</v>
      </c>
      <c r="C3786" t="s">
        <v>6650</v>
      </c>
      <c r="D3786" t="s">
        <v>315</v>
      </c>
      <c r="E3786" s="13">
        <v>4200</v>
      </c>
      <c r="F3786" s="12">
        <v>0.09</v>
      </c>
      <c r="G3786" t="str">
        <f>IFERROR(INDEX(tEditais[Órgão],MATCH(tItens[[#This Row],[Edital]],tEditais[Edital],0)),"")</f>
        <v>MUNICIPIO DE VARGINHA</v>
      </c>
      <c r="H3786" t="str">
        <f>IFERROR(INDEX(tEditais[UF],MATCH(tItens[[#This Row],[Edital]],tEditais[Edital],0)),"")</f>
        <v>MG</v>
      </c>
      <c r="I3786" s="11">
        <f>IFERROR(INDEX(tEditais[Encerramento],MATCH(tItens[[#This Row],[Edital]],tEditais[Edital],0)),"")</f>
        <v>46314.353472222225</v>
      </c>
      <c r="J3786" t="str">
        <f>IFERROR(INDEX(tProdutos[Classe],MATCH(tItens[[#This Row],[Produto]],tProdutos[Produto],0)),"produto não cadastrado")</f>
        <v>FORA</v>
      </c>
      <c r="K3786" s="12">
        <f>tItens[[#This Row],[Qtd]]*tItens[[#This Row],[Vlr unit]]</f>
        <v>378</v>
      </c>
      <c r="L3786" s="6">
        <f>IFERROR(IF(INDEX(tProdutos[Desconto homologado],MATCH(tItens[[#This Row],[Produto]],tProdutos[Produto],0))="",DescontoPadrao,INDEX(tProdutos[Desconto homologado],MATCH(tItens[[#This Row],[Produto]],tProdutos[Produto],0))),DescontoPadrao)</f>
        <v>0.38432036097010702</v>
      </c>
      <c r="M3786" s="12">
        <f>tItens[[#This Row],[Valor]]*(1-tItens[[#This Row],[Desconto]])</f>
        <v>232.72690355329954</v>
      </c>
      <c r="N3786" t="str">
        <f>IFERROR(INDEX(tProdutos[Foco],MATCH(tItens[[#This Row],[Produto]],tProdutos[Produto],0)),"Não")</f>
        <v>Não</v>
      </c>
      <c r="O3786" t="str">
        <f>IFERROR(INDEX(tEditais[SRP],MATCH(tItens[[#This Row],[Edital]],tEditais[Edital],0)),"Não")</f>
        <v>Não</v>
      </c>
      <c r="P3786" s="4">
        <f>IF(COUNTIFS(INDEX(tItens[Edital],1):tItens[[#This Row],[Edital]],tItens[[#This Row],[Edital]],INDEX(tItens[Produto],1):tItens[[#This Row],[Produto]],tItens[[#This Row],[Produto]])=1,1,0)</f>
        <v>0</v>
      </c>
    </row>
    <row r="3787" spans="1:16" x14ac:dyDescent="0.25">
      <c r="A3787" t="s">
        <v>1594</v>
      </c>
      <c r="B3787">
        <v>20</v>
      </c>
      <c r="C3787" t="s">
        <v>6651</v>
      </c>
      <c r="D3787" t="s">
        <v>132</v>
      </c>
      <c r="E3787" s="13">
        <v>120</v>
      </c>
      <c r="F3787" s="12">
        <v>18.12</v>
      </c>
      <c r="G3787" t="str">
        <f>IFERROR(INDEX(tEditais[Órgão],MATCH(tItens[[#This Row],[Edital]],tEditais[Edital],0)),"")</f>
        <v>MUNICIPIO DE VARGINHA</v>
      </c>
      <c r="H3787" t="str">
        <f>IFERROR(INDEX(tEditais[UF],MATCH(tItens[[#This Row],[Edital]],tEditais[Edital],0)),"")</f>
        <v>MG</v>
      </c>
      <c r="I3787" s="11">
        <f>IFERROR(INDEX(tEditais[Encerramento],MATCH(tItens[[#This Row],[Edital]],tEditais[Edital],0)),"")</f>
        <v>46314.353472222225</v>
      </c>
      <c r="J3787" t="str">
        <f>IFERROR(INDEX(tProdutos[Classe],MATCH(tItens[[#This Row],[Produto]],tProdutos[Produto],0)),"produto não cadastrado")</f>
        <v>NÚCLEO</v>
      </c>
      <c r="K3787" s="12">
        <f>tItens[[#This Row],[Qtd]]*tItens[[#This Row],[Vlr unit]]</f>
        <v>2174.4</v>
      </c>
      <c r="L3787" s="6">
        <f>IFERROR(IF(INDEX(tProdutos[Desconto homologado],MATCH(tItens[[#This Row],[Produto]],tProdutos[Produto],0))="",DescontoPadrao,INDEX(tProdutos[Desconto homologado],MATCH(tItens[[#This Row],[Produto]],tProdutos[Produto],0))),DescontoPadrao)</f>
        <v>0.27</v>
      </c>
      <c r="M3787" s="12">
        <f>tItens[[#This Row],[Valor]]*(1-tItens[[#This Row],[Desconto]])</f>
        <v>1587.3120000000001</v>
      </c>
      <c r="N3787" t="str">
        <f>IFERROR(INDEX(tProdutos[Foco],MATCH(tItens[[#This Row],[Produto]],tProdutos[Produto],0)),"Não")</f>
        <v>Sim</v>
      </c>
      <c r="O3787" t="str">
        <f>IFERROR(INDEX(tEditais[SRP],MATCH(tItens[[#This Row],[Edital]],tEditais[Edital],0)),"Não")</f>
        <v>Não</v>
      </c>
      <c r="P3787" s="4">
        <f>IF(COUNTIFS(INDEX(tItens[Edital],1):tItens[[#This Row],[Edital]],tItens[[#This Row],[Edital]],INDEX(tItens[Produto],1):tItens[[#This Row],[Produto]],tItens[[#This Row],[Produto]])=1,1,0)</f>
        <v>1</v>
      </c>
    </row>
    <row r="3788" spans="1:16" x14ac:dyDescent="0.25">
      <c r="A3788" t="s">
        <v>1594</v>
      </c>
      <c r="B3788">
        <v>28</v>
      </c>
      <c r="C3788" t="s">
        <v>6652</v>
      </c>
      <c r="D3788" t="s">
        <v>73</v>
      </c>
      <c r="E3788" s="13">
        <v>20</v>
      </c>
      <c r="F3788" s="12">
        <v>1.83</v>
      </c>
      <c r="G3788" t="str">
        <f>IFERROR(INDEX(tEditais[Órgão],MATCH(tItens[[#This Row],[Edital]],tEditais[Edital],0)),"")</f>
        <v>MUNICIPIO DE VARGINHA</v>
      </c>
      <c r="H3788" t="str">
        <f>IFERROR(INDEX(tEditais[UF],MATCH(tItens[[#This Row],[Edital]],tEditais[Edital],0)),"")</f>
        <v>MG</v>
      </c>
      <c r="I3788" s="11">
        <f>IFERROR(INDEX(tEditais[Encerramento],MATCH(tItens[[#This Row],[Edital]],tEditais[Edital],0)),"")</f>
        <v>46314.353472222225</v>
      </c>
      <c r="J3788" t="str">
        <f>IFERROR(INDEX(tProdutos[Classe],MATCH(tItens[[#This Row],[Produto]],tProdutos[Produto],0)),"produto não cadastrado")</f>
        <v>NÚCLEO</v>
      </c>
      <c r="K3788" s="12">
        <f>tItens[[#This Row],[Qtd]]*tItens[[#This Row],[Vlr unit]]</f>
        <v>36.6</v>
      </c>
      <c r="L3788" s="6">
        <f>IFERROR(IF(INDEX(tProdutos[Desconto homologado],MATCH(tItens[[#This Row],[Produto]],tProdutos[Produto],0))="",DescontoPadrao,INDEX(tProdutos[Desconto homologado],MATCH(tItens[[#This Row],[Produto]],tProdutos[Produto],0))),DescontoPadrao)</f>
        <v>0.37</v>
      </c>
      <c r="M3788" s="12">
        <f>tItens[[#This Row],[Valor]]*(1-tItens[[#This Row],[Desconto]])</f>
        <v>23.058</v>
      </c>
      <c r="N3788" t="str">
        <f>IFERROR(INDEX(tProdutos[Foco],MATCH(tItens[[#This Row],[Produto]],tProdutos[Produto],0)),"Não")</f>
        <v>Sim</v>
      </c>
      <c r="O3788" t="str">
        <f>IFERROR(INDEX(tEditais[SRP],MATCH(tItens[[#This Row],[Edital]],tEditais[Edital],0)),"Não")</f>
        <v>Não</v>
      </c>
      <c r="P3788" s="4">
        <f>IF(COUNTIFS(INDEX(tItens[Edital],1):tItens[[#This Row],[Edital]],tItens[[#This Row],[Edital]],INDEX(tItens[Produto],1):tItens[[#This Row],[Produto]],tItens[[#This Row],[Produto]])=1,1,0)</f>
        <v>1</v>
      </c>
    </row>
    <row r="3789" spans="1:16" x14ac:dyDescent="0.25">
      <c r="A3789" t="s">
        <v>1594</v>
      </c>
      <c r="B3789">
        <v>29</v>
      </c>
      <c r="C3789" t="s">
        <v>6653</v>
      </c>
      <c r="D3789" t="s">
        <v>73</v>
      </c>
      <c r="E3789" s="13">
        <v>70</v>
      </c>
      <c r="F3789" s="12">
        <v>2.6</v>
      </c>
      <c r="G3789" t="str">
        <f>IFERROR(INDEX(tEditais[Órgão],MATCH(tItens[[#This Row],[Edital]],tEditais[Edital],0)),"")</f>
        <v>MUNICIPIO DE VARGINHA</v>
      </c>
      <c r="H3789" t="str">
        <f>IFERROR(INDEX(tEditais[UF],MATCH(tItens[[#This Row],[Edital]],tEditais[Edital],0)),"")</f>
        <v>MG</v>
      </c>
      <c r="I3789" s="11">
        <f>IFERROR(INDEX(tEditais[Encerramento],MATCH(tItens[[#This Row],[Edital]],tEditais[Edital],0)),"")</f>
        <v>46314.353472222225</v>
      </c>
      <c r="J3789" t="str">
        <f>IFERROR(INDEX(tProdutos[Classe],MATCH(tItens[[#This Row],[Produto]],tProdutos[Produto],0)),"produto não cadastrado")</f>
        <v>NÚCLEO</v>
      </c>
      <c r="K3789" s="12">
        <f>tItens[[#This Row],[Qtd]]*tItens[[#This Row],[Vlr unit]]</f>
        <v>182</v>
      </c>
      <c r="L3789" s="6">
        <f>IFERROR(IF(INDEX(tProdutos[Desconto homologado],MATCH(tItens[[#This Row],[Produto]],tProdutos[Produto],0))="",DescontoPadrao,INDEX(tProdutos[Desconto homologado],MATCH(tItens[[#This Row],[Produto]],tProdutos[Produto],0))),DescontoPadrao)</f>
        <v>0.37</v>
      </c>
      <c r="M3789" s="12">
        <f>tItens[[#This Row],[Valor]]*(1-tItens[[#This Row],[Desconto]])</f>
        <v>114.66</v>
      </c>
      <c r="N3789" t="str">
        <f>IFERROR(INDEX(tProdutos[Foco],MATCH(tItens[[#This Row],[Produto]],tProdutos[Produto],0)),"Não")</f>
        <v>Sim</v>
      </c>
      <c r="O3789" t="str">
        <f>IFERROR(INDEX(tEditais[SRP],MATCH(tItens[[#This Row],[Edital]],tEditais[Edital],0)),"Não")</f>
        <v>Não</v>
      </c>
      <c r="P3789" s="4">
        <f>IF(COUNTIFS(INDEX(tItens[Edital],1):tItens[[#This Row],[Edital]],tItens[[#This Row],[Edital]],INDEX(tItens[Produto],1):tItens[[#This Row],[Produto]],tItens[[#This Row],[Produto]])=1,1,0)</f>
        <v>0</v>
      </c>
    </row>
    <row r="3790" spans="1:16" x14ac:dyDescent="0.25">
      <c r="A3790" t="s">
        <v>1594</v>
      </c>
      <c r="B3790">
        <v>32</v>
      </c>
      <c r="C3790" t="s">
        <v>6654</v>
      </c>
      <c r="D3790" t="s">
        <v>279</v>
      </c>
      <c r="E3790" s="13">
        <v>20</v>
      </c>
      <c r="F3790" s="12">
        <v>3.28</v>
      </c>
      <c r="G3790" t="str">
        <f>IFERROR(INDEX(tEditais[Órgão],MATCH(tItens[[#This Row],[Edital]],tEditais[Edital],0)),"")</f>
        <v>MUNICIPIO DE VARGINHA</v>
      </c>
      <c r="H3790" t="str">
        <f>IFERROR(INDEX(tEditais[UF],MATCH(tItens[[#This Row],[Edital]],tEditais[Edital],0)),"")</f>
        <v>MG</v>
      </c>
      <c r="I3790" s="11">
        <f>IFERROR(INDEX(tEditais[Encerramento],MATCH(tItens[[#This Row],[Edital]],tEditais[Edital],0)),"")</f>
        <v>46314.353472222225</v>
      </c>
      <c r="J3790" t="str">
        <f>IFERROR(INDEX(tProdutos[Classe],MATCH(tItens[[#This Row],[Produto]],tProdutos[Produto],0)),"produto não cadastrado")</f>
        <v>FORA</v>
      </c>
      <c r="K3790" s="12">
        <f>tItens[[#This Row],[Qtd]]*tItens[[#This Row],[Vlr unit]]</f>
        <v>65.599999999999994</v>
      </c>
      <c r="L3790" s="6">
        <f>IFERROR(IF(INDEX(tProdutos[Desconto homologado],MATCH(tItens[[#This Row],[Produto]],tProdutos[Produto],0))="",DescontoPadrao,INDEX(tProdutos[Desconto homologado],MATCH(tItens[[#This Row],[Produto]],tProdutos[Produto],0))),DescontoPadrao)</f>
        <v>0.28909090909090901</v>
      </c>
      <c r="M3790" s="12">
        <f>tItens[[#This Row],[Valor]]*(1-tItens[[#This Row],[Desconto]])</f>
        <v>46.635636363636358</v>
      </c>
      <c r="N3790" t="str">
        <f>IFERROR(INDEX(tProdutos[Foco],MATCH(tItens[[#This Row],[Produto]],tProdutos[Produto],0)),"Não")</f>
        <v>Não</v>
      </c>
      <c r="O3790" t="str">
        <f>IFERROR(INDEX(tEditais[SRP],MATCH(tItens[[#This Row],[Edital]],tEditais[Edital],0)),"Não")</f>
        <v>Não</v>
      </c>
      <c r="P3790" s="4">
        <f>IF(COUNTIFS(INDEX(tItens[Edital],1):tItens[[#This Row],[Edital]],tItens[[#This Row],[Edital]],INDEX(tItens[Produto],1):tItens[[#This Row],[Produto]],tItens[[#This Row],[Produto]])=1,1,0)</f>
        <v>1</v>
      </c>
    </row>
    <row r="3791" spans="1:16" x14ac:dyDescent="0.25">
      <c r="A3791" t="s">
        <v>1594</v>
      </c>
      <c r="B3791">
        <v>33</v>
      </c>
      <c r="C3791" t="s">
        <v>6655</v>
      </c>
      <c r="D3791" t="s">
        <v>279</v>
      </c>
      <c r="E3791" s="13">
        <v>100</v>
      </c>
      <c r="F3791" s="12">
        <v>4.17</v>
      </c>
      <c r="G3791" t="str">
        <f>IFERROR(INDEX(tEditais[Órgão],MATCH(tItens[[#This Row],[Edital]],tEditais[Edital],0)),"")</f>
        <v>MUNICIPIO DE VARGINHA</v>
      </c>
      <c r="H3791" t="str">
        <f>IFERROR(INDEX(tEditais[UF],MATCH(tItens[[#This Row],[Edital]],tEditais[Edital],0)),"")</f>
        <v>MG</v>
      </c>
      <c r="I3791" s="11">
        <f>IFERROR(INDEX(tEditais[Encerramento],MATCH(tItens[[#This Row],[Edital]],tEditais[Edital],0)),"")</f>
        <v>46314.353472222225</v>
      </c>
      <c r="J3791" t="str">
        <f>IFERROR(INDEX(tProdutos[Classe],MATCH(tItens[[#This Row],[Produto]],tProdutos[Produto],0)),"produto não cadastrado")</f>
        <v>FORA</v>
      </c>
      <c r="K3791" s="12">
        <f>tItens[[#This Row],[Qtd]]*tItens[[#This Row],[Vlr unit]]</f>
        <v>417</v>
      </c>
      <c r="L3791" s="6">
        <f>IFERROR(IF(INDEX(tProdutos[Desconto homologado],MATCH(tItens[[#This Row],[Produto]],tProdutos[Produto],0))="",DescontoPadrao,INDEX(tProdutos[Desconto homologado],MATCH(tItens[[#This Row],[Produto]],tProdutos[Produto],0))),DescontoPadrao)</f>
        <v>0.28909090909090901</v>
      </c>
      <c r="M3791" s="12">
        <f>tItens[[#This Row],[Valor]]*(1-tItens[[#This Row],[Desconto]])</f>
        <v>296.4490909090909</v>
      </c>
      <c r="N3791" t="str">
        <f>IFERROR(INDEX(tProdutos[Foco],MATCH(tItens[[#This Row],[Produto]],tProdutos[Produto],0)),"Não")</f>
        <v>Não</v>
      </c>
      <c r="O3791" t="str">
        <f>IFERROR(INDEX(tEditais[SRP],MATCH(tItens[[#This Row],[Edital]],tEditais[Edital],0)),"Não")</f>
        <v>Não</v>
      </c>
      <c r="P3791" s="4">
        <f>IF(COUNTIFS(INDEX(tItens[Edital],1):tItens[[#This Row],[Edital]],tItens[[#This Row],[Edital]],INDEX(tItens[Produto],1):tItens[[#This Row],[Produto]],tItens[[#This Row],[Produto]])=1,1,0)</f>
        <v>0</v>
      </c>
    </row>
    <row r="3792" spans="1:16" x14ac:dyDescent="0.25">
      <c r="A3792" t="s">
        <v>1594</v>
      </c>
      <c r="B3792">
        <v>44</v>
      </c>
      <c r="C3792" t="s">
        <v>6656</v>
      </c>
      <c r="D3792" t="s">
        <v>299</v>
      </c>
      <c r="E3792" s="13">
        <v>2200</v>
      </c>
      <c r="F3792" s="12">
        <v>0.47</v>
      </c>
      <c r="G3792" t="str">
        <f>IFERROR(INDEX(tEditais[Órgão],MATCH(tItens[[#This Row],[Edital]],tEditais[Edital],0)),"")</f>
        <v>MUNICIPIO DE VARGINHA</v>
      </c>
      <c r="H3792" t="str">
        <f>IFERROR(INDEX(tEditais[UF],MATCH(tItens[[#This Row],[Edital]],tEditais[Edital],0)),"")</f>
        <v>MG</v>
      </c>
      <c r="I3792" s="11">
        <f>IFERROR(INDEX(tEditais[Encerramento],MATCH(tItens[[#This Row],[Edital]],tEditais[Edital],0)),"")</f>
        <v>46314.353472222225</v>
      </c>
      <c r="J3792" t="str">
        <f>IFERROR(INDEX(tProdutos[Classe],MATCH(tItens[[#This Row],[Produto]],tProdutos[Produto],0)),"produto não cadastrado")</f>
        <v>FORA</v>
      </c>
      <c r="K3792" s="12">
        <f>tItens[[#This Row],[Qtd]]*tItens[[#This Row],[Vlr unit]]</f>
        <v>1034</v>
      </c>
      <c r="L3792" s="6">
        <f>IFERROR(IF(INDEX(tProdutos[Desconto homologado],MATCH(tItens[[#This Row],[Produto]],tProdutos[Produto],0))="",DescontoPadrao,INDEX(tProdutos[Desconto homologado],MATCH(tItens[[#This Row],[Produto]],tProdutos[Produto],0))),DescontoPadrao)</f>
        <v>0.42211465163381601</v>
      </c>
      <c r="M3792" s="12">
        <f>tItens[[#This Row],[Valor]]*(1-tItens[[#This Row],[Desconto]])</f>
        <v>597.53345021063421</v>
      </c>
      <c r="N3792" t="str">
        <f>IFERROR(INDEX(tProdutos[Foco],MATCH(tItens[[#This Row],[Produto]],tProdutos[Produto],0)),"Não")</f>
        <v>Não</v>
      </c>
      <c r="O3792" t="str">
        <f>IFERROR(INDEX(tEditais[SRP],MATCH(tItens[[#This Row],[Edital]],tEditais[Edital],0)),"Não")</f>
        <v>Não</v>
      </c>
      <c r="P3792" s="4">
        <f>IF(COUNTIFS(INDEX(tItens[Edital],1):tItens[[#This Row],[Edital]],tItens[[#This Row],[Edital]],INDEX(tItens[Produto],1):tItens[[#This Row],[Produto]],tItens[[#This Row],[Produto]])=1,1,0)</f>
        <v>1</v>
      </c>
    </row>
    <row r="3793" spans="1:16" x14ac:dyDescent="0.25">
      <c r="A3793" t="s">
        <v>1594</v>
      </c>
      <c r="B3793">
        <v>47</v>
      </c>
      <c r="C3793" t="s">
        <v>6657</v>
      </c>
      <c r="D3793" t="s">
        <v>209</v>
      </c>
      <c r="E3793" s="13">
        <v>50</v>
      </c>
      <c r="F3793" s="12">
        <v>20.28</v>
      </c>
      <c r="G3793" t="str">
        <f>IFERROR(INDEX(tEditais[Órgão],MATCH(tItens[[#This Row],[Edital]],tEditais[Edital],0)),"")</f>
        <v>MUNICIPIO DE VARGINHA</v>
      </c>
      <c r="H3793" t="str">
        <f>IFERROR(INDEX(tEditais[UF],MATCH(tItens[[#This Row],[Edital]],tEditais[Edital],0)),"")</f>
        <v>MG</v>
      </c>
      <c r="I3793" s="11">
        <f>IFERROR(INDEX(tEditais[Encerramento],MATCH(tItens[[#This Row],[Edital]],tEditais[Edital],0)),"")</f>
        <v>46314.353472222225</v>
      </c>
      <c r="J3793" t="str">
        <f>IFERROR(INDEX(tProdutos[Classe],MATCH(tItens[[#This Row],[Produto]],tProdutos[Produto],0)),"produto não cadastrado")</f>
        <v>FORA</v>
      </c>
      <c r="K3793" s="12">
        <f>tItens[[#This Row],[Qtd]]*tItens[[#This Row],[Vlr unit]]</f>
        <v>1014</v>
      </c>
      <c r="L3793" s="6">
        <f>IFERROR(IF(INDEX(tProdutos[Desconto homologado],MATCH(tItens[[#This Row],[Produto]],tProdutos[Produto],0))="",DescontoPadrao,INDEX(tProdutos[Desconto homologado],MATCH(tItens[[#This Row],[Produto]],tProdutos[Produto],0))),DescontoPadrao)</f>
        <v>0.16442507504040599</v>
      </c>
      <c r="M3793" s="12">
        <f>tItens[[#This Row],[Valor]]*(1-tItens[[#This Row],[Desconto]])</f>
        <v>847.27297390902834</v>
      </c>
      <c r="N3793" t="str">
        <f>IFERROR(INDEX(tProdutos[Foco],MATCH(tItens[[#This Row],[Produto]],tProdutos[Produto],0)),"Não")</f>
        <v>Não</v>
      </c>
      <c r="O3793" t="str">
        <f>IFERROR(INDEX(tEditais[SRP],MATCH(tItens[[#This Row],[Edital]],tEditais[Edital],0)),"Não")</f>
        <v>Não</v>
      </c>
      <c r="P3793" s="4">
        <f>IF(COUNTIFS(INDEX(tItens[Edital],1):tItens[[#This Row],[Edital]],tItens[[#This Row],[Edital]],INDEX(tItens[Produto],1):tItens[[#This Row],[Produto]],tItens[[#This Row],[Produto]])=1,1,0)</f>
        <v>1</v>
      </c>
    </row>
    <row r="3794" spans="1:16" x14ac:dyDescent="0.25">
      <c r="A3794" t="s">
        <v>1594</v>
      </c>
      <c r="B3794">
        <v>48</v>
      </c>
      <c r="C3794" t="s">
        <v>6658</v>
      </c>
      <c r="D3794" t="s">
        <v>90</v>
      </c>
      <c r="E3794" s="13">
        <v>240</v>
      </c>
      <c r="F3794" s="12">
        <v>12.3</v>
      </c>
      <c r="G3794" t="str">
        <f>IFERROR(INDEX(tEditais[Órgão],MATCH(tItens[[#This Row],[Edital]],tEditais[Edital],0)),"")</f>
        <v>MUNICIPIO DE VARGINHA</v>
      </c>
      <c r="H3794" t="str">
        <f>IFERROR(INDEX(tEditais[UF],MATCH(tItens[[#This Row],[Edital]],tEditais[Edital],0)),"")</f>
        <v>MG</v>
      </c>
      <c r="I3794" s="11">
        <f>IFERROR(INDEX(tEditais[Encerramento],MATCH(tItens[[#This Row],[Edital]],tEditais[Edital],0)),"")</f>
        <v>46314.353472222225</v>
      </c>
      <c r="J3794" t="str">
        <f>IFERROR(INDEX(tProdutos[Classe],MATCH(tItens[[#This Row],[Produto]],tProdutos[Produto],0)),"produto não cadastrado")</f>
        <v>DISPUTADO</v>
      </c>
      <c r="K3794" s="12">
        <f>tItens[[#This Row],[Qtd]]*tItens[[#This Row],[Vlr unit]]</f>
        <v>2952</v>
      </c>
      <c r="L3794" s="6">
        <f>IFERROR(IF(INDEX(tProdutos[Desconto homologado],MATCH(tItens[[#This Row],[Produto]],tProdutos[Produto],0))="",DescontoPadrao,INDEX(tProdutos[Desconto homologado],MATCH(tItens[[#This Row],[Produto]],tProdutos[Produto],0))),DescontoPadrao)</f>
        <v>0.25393823957010597</v>
      </c>
      <c r="M3794" s="12">
        <f>tItens[[#This Row],[Valor]]*(1-tItens[[#This Row],[Desconto]])</f>
        <v>2202.374316789047</v>
      </c>
      <c r="N3794" t="str">
        <f>IFERROR(INDEX(tProdutos[Foco],MATCH(tItens[[#This Row],[Produto]],tProdutos[Produto],0)),"Não")</f>
        <v>Não</v>
      </c>
      <c r="O3794" t="str">
        <f>IFERROR(INDEX(tEditais[SRP],MATCH(tItens[[#This Row],[Edital]],tEditais[Edital],0)),"Não")</f>
        <v>Não</v>
      </c>
      <c r="P3794" s="4">
        <f>IF(COUNTIFS(INDEX(tItens[Edital],1):tItens[[#This Row],[Edital]],tItens[[#This Row],[Edital]],INDEX(tItens[Produto],1):tItens[[#This Row],[Produto]],tItens[[#This Row],[Produto]])=1,1,0)</f>
        <v>1</v>
      </c>
    </row>
    <row r="3795" spans="1:16" x14ac:dyDescent="0.25">
      <c r="A3795" t="s">
        <v>1594</v>
      </c>
      <c r="B3795">
        <v>50</v>
      </c>
      <c r="C3795" t="s">
        <v>6659</v>
      </c>
      <c r="D3795" t="s">
        <v>291</v>
      </c>
      <c r="E3795" s="13">
        <v>10</v>
      </c>
      <c r="F3795" s="12">
        <v>7.95</v>
      </c>
      <c r="G3795" t="str">
        <f>IFERROR(INDEX(tEditais[Órgão],MATCH(tItens[[#This Row],[Edital]],tEditais[Edital],0)),"")</f>
        <v>MUNICIPIO DE VARGINHA</v>
      </c>
      <c r="H3795" t="str">
        <f>IFERROR(INDEX(tEditais[UF],MATCH(tItens[[#This Row],[Edital]],tEditais[Edital],0)),"")</f>
        <v>MG</v>
      </c>
      <c r="I3795" s="11">
        <f>IFERROR(INDEX(tEditais[Encerramento],MATCH(tItens[[#This Row],[Edital]],tEditais[Edital],0)),"")</f>
        <v>46314.353472222225</v>
      </c>
      <c r="J3795" t="str">
        <f>IFERROR(INDEX(tProdutos[Classe],MATCH(tItens[[#This Row],[Produto]],tProdutos[Produto],0)),"produto não cadastrado")</f>
        <v>FORA</v>
      </c>
      <c r="K3795" s="12">
        <f>tItens[[#This Row],[Qtd]]*tItens[[#This Row],[Vlr unit]]</f>
        <v>79.5</v>
      </c>
      <c r="L3795" s="6">
        <f>IFERROR(IF(INDEX(tProdutos[Desconto homologado],MATCH(tItens[[#This Row],[Produto]],tProdutos[Produto],0))="",DescontoPadrao,INDEX(tProdutos[Desconto homologado],MATCH(tItens[[#This Row],[Produto]],tProdutos[Produto],0))),DescontoPadrao)</f>
        <v>0.36175431622503101</v>
      </c>
      <c r="M3795" s="12">
        <f>tItens[[#This Row],[Valor]]*(1-tItens[[#This Row],[Desconto]])</f>
        <v>50.740531860110039</v>
      </c>
      <c r="N3795" t="str">
        <f>IFERROR(INDEX(tProdutos[Foco],MATCH(tItens[[#This Row],[Produto]],tProdutos[Produto],0)),"Não")</f>
        <v>Não</v>
      </c>
      <c r="O3795" t="str">
        <f>IFERROR(INDEX(tEditais[SRP],MATCH(tItens[[#This Row],[Edital]],tEditais[Edital],0)),"Não")</f>
        <v>Não</v>
      </c>
      <c r="P3795" s="4">
        <f>IF(COUNTIFS(INDEX(tItens[Edital],1):tItens[[#This Row],[Edital]],tItens[[#This Row],[Edital]],INDEX(tItens[Produto],1):tItens[[#This Row],[Produto]],tItens[[#This Row],[Produto]])=1,1,0)</f>
        <v>1</v>
      </c>
    </row>
    <row r="3796" spans="1:16" x14ac:dyDescent="0.25">
      <c r="A3796" t="s">
        <v>1594</v>
      </c>
      <c r="B3796">
        <v>51</v>
      </c>
      <c r="C3796" t="s">
        <v>6660</v>
      </c>
      <c r="D3796" t="s">
        <v>461</v>
      </c>
      <c r="E3796" s="13">
        <v>3</v>
      </c>
      <c r="F3796" s="12">
        <v>46.78</v>
      </c>
      <c r="G3796" t="str">
        <f>IFERROR(INDEX(tEditais[Órgão],MATCH(tItens[[#This Row],[Edital]],tEditais[Edital],0)),"")</f>
        <v>MUNICIPIO DE VARGINHA</v>
      </c>
      <c r="H3796" t="str">
        <f>IFERROR(INDEX(tEditais[UF],MATCH(tItens[[#This Row],[Edital]],tEditais[Edital],0)),"")</f>
        <v>MG</v>
      </c>
      <c r="I3796" s="11">
        <f>IFERROR(INDEX(tEditais[Encerramento],MATCH(tItens[[#This Row],[Edital]],tEditais[Edital],0)),"")</f>
        <v>46314.353472222225</v>
      </c>
      <c r="J3796" t="str">
        <f>IFERROR(INDEX(tProdutos[Classe],MATCH(tItens[[#This Row],[Produto]],tProdutos[Produto],0)),"produto não cadastrado")</f>
        <v>FILA REBASE</v>
      </c>
      <c r="K3796" s="12">
        <f>tItens[[#This Row],[Qtd]]*tItens[[#This Row],[Vlr unit]]</f>
        <v>140.34</v>
      </c>
      <c r="L3796" s="6">
        <f>IFERROR(IF(INDEX(tProdutos[Desconto homologado],MATCH(tItens[[#This Row],[Produto]],tProdutos[Produto],0))="",DescontoPadrao,INDEX(tProdutos[Desconto homologado],MATCH(tItens[[#This Row],[Produto]],tProdutos[Produto],0))),DescontoPadrao)</f>
        <v>0.44096385542168698</v>
      </c>
      <c r="M3796" s="12">
        <f>tItens[[#This Row],[Valor]]*(1-tItens[[#This Row],[Desconto]])</f>
        <v>78.455132530120437</v>
      </c>
      <c r="N3796" t="str">
        <f>IFERROR(INDEX(tProdutos[Foco],MATCH(tItens[[#This Row],[Produto]],tProdutos[Produto],0)),"Não")</f>
        <v>Não</v>
      </c>
      <c r="O3796" t="str">
        <f>IFERROR(INDEX(tEditais[SRP],MATCH(tItens[[#This Row],[Edital]],tEditais[Edital],0)),"Não")</f>
        <v>Não</v>
      </c>
      <c r="P3796" s="4">
        <f>IF(COUNTIFS(INDEX(tItens[Edital],1):tItens[[#This Row],[Edital]],tItens[[#This Row],[Edital]],INDEX(tItens[Produto],1):tItens[[#This Row],[Produto]],tItens[[#This Row],[Produto]])=1,1,0)</f>
        <v>1</v>
      </c>
    </row>
    <row r="3797" spans="1:16" x14ac:dyDescent="0.25">
      <c r="A3797" t="s">
        <v>1594</v>
      </c>
      <c r="B3797">
        <v>52</v>
      </c>
      <c r="C3797" t="s">
        <v>6661</v>
      </c>
      <c r="D3797" t="s">
        <v>461</v>
      </c>
      <c r="E3797" s="13">
        <v>3</v>
      </c>
      <c r="F3797" s="12">
        <v>53.93</v>
      </c>
      <c r="G3797" t="str">
        <f>IFERROR(INDEX(tEditais[Órgão],MATCH(tItens[[#This Row],[Edital]],tEditais[Edital],0)),"")</f>
        <v>MUNICIPIO DE VARGINHA</v>
      </c>
      <c r="H3797" t="str">
        <f>IFERROR(INDEX(tEditais[UF],MATCH(tItens[[#This Row],[Edital]],tEditais[Edital],0)),"")</f>
        <v>MG</v>
      </c>
      <c r="I3797" s="11">
        <f>IFERROR(INDEX(tEditais[Encerramento],MATCH(tItens[[#This Row],[Edital]],tEditais[Edital],0)),"")</f>
        <v>46314.353472222225</v>
      </c>
      <c r="J3797" t="str">
        <f>IFERROR(INDEX(tProdutos[Classe],MATCH(tItens[[#This Row],[Produto]],tProdutos[Produto],0)),"produto não cadastrado")</f>
        <v>FILA REBASE</v>
      </c>
      <c r="K3797" s="12">
        <f>tItens[[#This Row],[Qtd]]*tItens[[#This Row],[Vlr unit]]</f>
        <v>161.79</v>
      </c>
      <c r="L3797" s="6">
        <f>IFERROR(IF(INDEX(tProdutos[Desconto homologado],MATCH(tItens[[#This Row],[Produto]],tProdutos[Produto],0))="",DescontoPadrao,INDEX(tProdutos[Desconto homologado],MATCH(tItens[[#This Row],[Produto]],tProdutos[Produto],0))),DescontoPadrao)</f>
        <v>0.44096385542168698</v>
      </c>
      <c r="M3797" s="12">
        <f>tItens[[#This Row],[Valor]]*(1-tItens[[#This Row],[Desconto]])</f>
        <v>90.446457831325247</v>
      </c>
      <c r="N3797" t="str">
        <f>IFERROR(INDEX(tProdutos[Foco],MATCH(tItens[[#This Row],[Produto]],tProdutos[Produto],0)),"Não")</f>
        <v>Não</v>
      </c>
      <c r="O3797" t="str">
        <f>IFERROR(INDEX(tEditais[SRP],MATCH(tItens[[#This Row],[Edital]],tEditais[Edital],0)),"Não")</f>
        <v>Não</v>
      </c>
      <c r="P3797" s="4">
        <f>IF(COUNTIFS(INDEX(tItens[Edital],1):tItens[[#This Row],[Edital]],tItens[[#This Row],[Edital]],INDEX(tItens[Produto],1):tItens[[#This Row],[Produto]],tItens[[#This Row],[Produto]])=1,1,0)</f>
        <v>0</v>
      </c>
    </row>
    <row r="3798" spans="1:16" x14ac:dyDescent="0.25">
      <c r="A3798" t="s">
        <v>1594</v>
      </c>
      <c r="B3798">
        <v>53</v>
      </c>
      <c r="C3798" t="s">
        <v>6662</v>
      </c>
      <c r="D3798" t="s">
        <v>461</v>
      </c>
      <c r="E3798" s="13">
        <v>5</v>
      </c>
      <c r="F3798" s="12">
        <v>38.799999999999997</v>
      </c>
      <c r="G3798" t="str">
        <f>IFERROR(INDEX(tEditais[Órgão],MATCH(tItens[[#This Row],[Edital]],tEditais[Edital],0)),"")</f>
        <v>MUNICIPIO DE VARGINHA</v>
      </c>
      <c r="H3798" t="str">
        <f>IFERROR(INDEX(tEditais[UF],MATCH(tItens[[#This Row],[Edital]],tEditais[Edital],0)),"")</f>
        <v>MG</v>
      </c>
      <c r="I3798" s="11">
        <f>IFERROR(INDEX(tEditais[Encerramento],MATCH(tItens[[#This Row],[Edital]],tEditais[Edital],0)),"")</f>
        <v>46314.353472222225</v>
      </c>
      <c r="J3798" t="str">
        <f>IFERROR(INDEX(tProdutos[Classe],MATCH(tItens[[#This Row],[Produto]],tProdutos[Produto],0)),"produto não cadastrado")</f>
        <v>FILA REBASE</v>
      </c>
      <c r="K3798" s="12">
        <f>tItens[[#This Row],[Qtd]]*tItens[[#This Row],[Vlr unit]]</f>
        <v>194</v>
      </c>
      <c r="L3798" s="6">
        <f>IFERROR(IF(INDEX(tProdutos[Desconto homologado],MATCH(tItens[[#This Row],[Produto]],tProdutos[Produto],0))="",DescontoPadrao,INDEX(tProdutos[Desconto homologado],MATCH(tItens[[#This Row],[Produto]],tProdutos[Produto],0))),DescontoPadrao)</f>
        <v>0.44096385542168698</v>
      </c>
      <c r="M3798" s="12">
        <f>tItens[[#This Row],[Valor]]*(1-tItens[[#This Row],[Desconto]])</f>
        <v>108.45301204819272</v>
      </c>
      <c r="N3798" t="str">
        <f>IFERROR(INDEX(tProdutos[Foco],MATCH(tItens[[#This Row],[Produto]],tProdutos[Produto],0)),"Não")</f>
        <v>Não</v>
      </c>
      <c r="O3798" t="str">
        <f>IFERROR(INDEX(tEditais[SRP],MATCH(tItens[[#This Row],[Edital]],tEditais[Edital],0)),"Não")</f>
        <v>Não</v>
      </c>
      <c r="P3798" s="4">
        <f>IF(COUNTIFS(INDEX(tItens[Edital],1):tItens[[#This Row],[Edital]],tItens[[#This Row],[Edital]],INDEX(tItens[Produto],1):tItens[[#This Row],[Produto]],tItens[[#This Row],[Produto]])=1,1,0)</f>
        <v>0</v>
      </c>
    </row>
    <row r="3799" spans="1:16" x14ac:dyDescent="0.25">
      <c r="A3799" t="s">
        <v>1594</v>
      </c>
      <c r="B3799">
        <v>60</v>
      </c>
      <c r="C3799" t="s">
        <v>6663</v>
      </c>
      <c r="D3799" t="s">
        <v>341</v>
      </c>
      <c r="E3799" s="13">
        <v>400</v>
      </c>
      <c r="F3799" s="12">
        <v>43.03</v>
      </c>
      <c r="G3799" t="str">
        <f>IFERROR(INDEX(tEditais[Órgão],MATCH(tItens[[#This Row],[Edital]],tEditais[Edital],0)),"")</f>
        <v>MUNICIPIO DE VARGINHA</v>
      </c>
      <c r="H3799" t="str">
        <f>IFERROR(INDEX(tEditais[UF],MATCH(tItens[[#This Row],[Edital]],tEditais[Edital],0)),"")</f>
        <v>MG</v>
      </c>
      <c r="I3799" s="11">
        <f>IFERROR(INDEX(tEditais[Encerramento],MATCH(tItens[[#This Row],[Edital]],tEditais[Edital],0)),"")</f>
        <v>46314.353472222225</v>
      </c>
      <c r="J3799" t="str">
        <f>IFERROR(INDEX(tProdutos[Classe],MATCH(tItens[[#This Row],[Produto]],tProdutos[Produto],0)),"produto não cadastrado")</f>
        <v>FORA</v>
      </c>
      <c r="K3799" s="12">
        <f>tItens[[#This Row],[Qtd]]*tItens[[#This Row],[Vlr unit]]</f>
        <v>17212</v>
      </c>
      <c r="L3799" s="6">
        <f>IFERROR(IF(INDEX(tProdutos[Desconto homologado],MATCH(tItens[[#This Row],[Produto]],tProdutos[Produto],0))="",DescontoPadrao,INDEX(tProdutos[Desconto homologado],MATCH(tItens[[#This Row],[Produto]],tProdutos[Produto],0))),DescontoPadrao)</f>
        <v>0.46918578497525898</v>
      </c>
      <c r="M3799" s="12">
        <f>tItens[[#This Row],[Valor]]*(1-tItens[[#This Row],[Desconto]])</f>
        <v>9136.3742690058425</v>
      </c>
      <c r="N3799" t="str">
        <f>IFERROR(INDEX(tProdutos[Foco],MATCH(tItens[[#This Row],[Produto]],tProdutos[Produto],0)),"Não")</f>
        <v>Não</v>
      </c>
      <c r="O3799" t="str">
        <f>IFERROR(INDEX(tEditais[SRP],MATCH(tItens[[#This Row],[Edital]],tEditais[Edital],0)),"Não")</f>
        <v>Não</v>
      </c>
      <c r="P3799" s="4">
        <f>IF(COUNTIFS(INDEX(tItens[Edital],1):tItens[[#This Row],[Edital]],tItens[[#This Row],[Edital]],INDEX(tItens[Produto],1):tItens[[#This Row],[Produto]],tItens[[#This Row],[Produto]])=1,1,0)</f>
        <v>1</v>
      </c>
    </row>
    <row r="3800" spans="1:16" x14ac:dyDescent="0.25">
      <c r="A3800" t="s">
        <v>1594</v>
      </c>
      <c r="B3800">
        <v>63</v>
      </c>
      <c r="C3800" t="s">
        <v>6664</v>
      </c>
      <c r="D3800" t="s">
        <v>411</v>
      </c>
      <c r="E3800" s="13">
        <v>250</v>
      </c>
      <c r="F3800" s="12">
        <v>13.21</v>
      </c>
      <c r="G3800" t="str">
        <f>IFERROR(INDEX(tEditais[Órgão],MATCH(tItens[[#This Row],[Edital]],tEditais[Edital],0)),"")</f>
        <v>MUNICIPIO DE VARGINHA</v>
      </c>
      <c r="H3800" t="str">
        <f>IFERROR(INDEX(tEditais[UF],MATCH(tItens[[#This Row],[Edital]],tEditais[Edital],0)),"")</f>
        <v>MG</v>
      </c>
      <c r="I3800" s="11">
        <f>IFERROR(INDEX(tEditais[Encerramento],MATCH(tItens[[#This Row],[Edital]],tEditais[Edital],0)),"")</f>
        <v>46314.353472222225</v>
      </c>
      <c r="J3800" t="str">
        <f>IFERROR(INDEX(tProdutos[Classe],MATCH(tItens[[#This Row],[Produto]],tProdutos[Produto],0)),"produto não cadastrado")</f>
        <v>FORA</v>
      </c>
      <c r="K3800" s="12">
        <f>tItens[[#This Row],[Qtd]]*tItens[[#This Row],[Vlr unit]]</f>
        <v>3302.5</v>
      </c>
      <c r="L3800" s="6">
        <f>IFERROR(IF(INDEX(tProdutos[Desconto homologado],MATCH(tItens[[#This Row],[Produto]],tProdutos[Produto],0))="",DescontoPadrao,INDEX(tProdutos[Desconto homologado],MATCH(tItens[[#This Row],[Produto]],tProdutos[Produto],0))),DescontoPadrao)</f>
        <v>0.50029835957199398</v>
      </c>
      <c r="M3800" s="12">
        <f>tItens[[#This Row],[Valor]]*(1-tItens[[#This Row],[Desconto]])</f>
        <v>1650.2646675134899</v>
      </c>
      <c r="N3800" t="str">
        <f>IFERROR(INDEX(tProdutos[Foco],MATCH(tItens[[#This Row],[Produto]],tProdutos[Produto],0)),"Não")</f>
        <v>Não</v>
      </c>
      <c r="O3800" t="str">
        <f>IFERROR(INDEX(tEditais[SRP],MATCH(tItens[[#This Row],[Edital]],tEditais[Edital],0)),"Não")</f>
        <v>Não</v>
      </c>
      <c r="P3800" s="4">
        <f>IF(COUNTIFS(INDEX(tItens[Edital],1):tItens[[#This Row],[Edital]],tItens[[#This Row],[Edital]],INDEX(tItens[Produto],1):tItens[[#This Row],[Produto]],tItens[[#This Row],[Produto]])=1,1,0)</f>
        <v>1</v>
      </c>
    </row>
    <row r="3801" spans="1:16" x14ac:dyDescent="0.25">
      <c r="A3801" t="s">
        <v>1594</v>
      </c>
      <c r="B3801">
        <v>64</v>
      </c>
      <c r="C3801" t="s">
        <v>6665</v>
      </c>
      <c r="D3801" t="s">
        <v>130</v>
      </c>
      <c r="E3801" s="13">
        <v>2500</v>
      </c>
      <c r="F3801" s="12">
        <v>1.93</v>
      </c>
      <c r="G3801" t="str">
        <f>IFERROR(INDEX(tEditais[Órgão],MATCH(tItens[[#This Row],[Edital]],tEditais[Edital],0)),"")</f>
        <v>MUNICIPIO DE VARGINHA</v>
      </c>
      <c r="H3801" t="str">
        <f>IFERROR(INDEX(tEditais[UF],MATCH(tItens[[#This Row],[Edital]],tEditais[Edital],0)),"")</f>
        <v>MG</v>
      </c>
      <c r="I3801" s="11">
        <f>IFERROR(INDEX(tEditais[Encerramento],MATCH(tItens[[#This Row],[Edital]],tEditais[Edital],0)),"")</f>
        <v>46314.353472222225</v>
      </c>
      <c r="J3801" t="str">
        <f>IFERROR(INDEX(tProdutos[Classe],MATCH(tItens[[#This Row],[Produto]],tProdutos[Produto],0)),"produto não cadastrado")</f>
        <v>DISPUTADO</v>
      </c>
      <c r="K3801" s="12">
        <f>tItens[[#This Row],[Qtd]]*tItens[[#This Row],[Vlr unit]]</f>
        <v>4825</v>
      </c>
      <c r="L3801" s="6">
        <f>IFERROR(IF(INDEX(tProdutos[Desconto homologado],MATCH(tItens[[#This Row],[Produto]],tProdutos[Produto],0))="",DescontoPadrao,INDEX(tProdutos[Desconto homologado],MATCH(tItens[[#This Row],[Produto]],tProdutos[Produto],0))),DescontoPadrao)</f>
        <v>0.32</v>
      </c>
      <c r="M3801" s="12">
        <f>tItens[[#This Row],[Valor]]*(1-tItens[[#This Row],[Desconto]])</f>
        <v>3280.9999999999995</v>
      </c>
      <c r="N3801" t="str">
        <f>IFERROR(INDEX(tProdutos[Foco],MATCH(tItens[[#This Row],[Produto]],tProdutos[Produto],0)),"Não")</f>
        <v>Sim</v>
      </c>
      <c r="O3801" t="str">
        <f>IFERROR(INDEX(tEditais[SRP],MATCH(tItens[[#This Row],[Edital]],tEditais[Edital],0)),"Não")</f>
        <v>Não</v>
      </c>
      <c r="P3801" s="4">
        <f>IF(COUNTIFS(INDEX(tItens[Edital],1):tItens[[#This Row],[Edital]],tItens[[#This Row],[Edital]],INDEX(tItens[Produto],1):tItens[[#This Row],[Produto]],tItens[[#This Row],[Produto]])=1,1,0)</f>
        <v>1</v>
      </c>
    </row>
    <row r="3802" spans="1:16" x14ac:dyDescent="0.25">
      <c r="A3802" t="s">
        <v>1594</v>
      </c>
      <c r="B3802">
        <v>65</v>
      </c>
      <c r="C3802" t="s">
        <v>6666</v>
      </c>
      <c r="D3802" t="s">
        <v>267</v>
      </c>
      <c r="E3802" s="13">
        <v>22000</v>
      </c>
      <c r="F3802" s="12">
        <v>0.35</v>
      </c>
      <c r="G3802" t="str">
        <f>IFERROR(INDEX(tEditais[Órgão],MATCH(tItens[[#This Row],[Edital]],tEditais[Edital],0)),"")</f>
        <v>MUNICIPIO DE VARGINHA</v>
      </c>
      <c r="H3802" t="str">
        <f>IFERROR(INDEX(tEditais[UF],MATCH(tItens[[#This Row],[Edital]],tEditais[Edital],0)),"")</f>
        <v>MG</v>
      </c>
      <c r="I3802" s="11">
        <f>IFERROR(INDEX(tEditais[Encerramento],MATCH(tItens[[#This Row],[Edital]],tEditais[Edital],0)),"")</f>
        <v>46314.353472222225</v>
      </c>
      <c r="J3802" t="str">
        <f>IFERROR(INDEX(tProdutos[Classe],MATCH(tItens[[#This Row],[Produto]],tProdutos[Produto],0)),"produto não cadastrado")</f>
        <v>FORA</v>
      </c>
      <c r="K3802" s="12">
        <f>tItens[[#This Row],[Qtd]]*tItens[[#This Row],[Vlr unit]]</f>
        <v>7699.9999999999991</v>
      </c>
      <c r="L3802" s="6">
        <f>IFERROR(IF(INDEX(tProdutos[Desconto homologado],MATCH(tItens[[#This Row],[Produto]],tProdutos[Produto],0))="",DescontoPadrao,INDEX(tProdutos[Desconto homologado],MATCH(tItens[[#This Row],[Produto]],tProdutos[Produto],0))),DescontoPadrao)</f>
        <v>0.19963672657401599</v>
      </c>
      <c r="M3802" s="12">
        <f>tItens[[#This Row],[Valor]]*(1-tItens[[#This Row],[Desconto]])</f>
        <v>6162.7972053800759</v>
      </c>
      <c r="N3802" t="str">
        <f>IFERROR(INDEX(tProdutos[Foco],MATCH(tItens[[#This Row],[Produto]],tProdutos[Produto],0)),"Não")</f>
        <v>Não</v>
      </c>
      <c r="O3802" t="str">
        <f>IFERROR(INDEX(tEditais[SRP],MATCH(tItens[[#This Row],[Edital]],tEditais[Edital],0)),"Não")</f>
        <v>Não</v>
      </c>
      <c r="P3802" s="4">
        <f>IF(COUNTIFS(INDEX(tItens[Edital],1):tItens[[#This Row],[Edital]],tItens[[#This Row],[Edital]],INDEX(tItens[Produto],1):tItens[[#This Row],[Produto]],tItens[[#This Row],[Produto]])=1,1,0)</f>
        <v>1</v>
      </c>
    </row>
    <row r="3803" spans="1:16" x14ac:dyDescent="0.25">
      <c r="A3803" t="s">
        <v>1594</v>
      </c>
      <c r="B3803">
        <v>66</v>
      </c>
      <c r="C3803" t="s">
        <v>6667</v>
      </c>
      <c r="D3803" t="s">
        <v>267</v>
      </c>
      <c r="E3803" s="13">
        <v>120</v>
      </c>
      <c r="F3803" s="12">
        <v>9.4499999999999993</v>
      </c>
      <c r="G3803" t="str">
        <f>IFERROR(INDEX(tEditais[Órgão],MATCH(tItens[[#This Row],[Edital]],tEditais[Edital],0)),"")</f>
        <v>MUNICIPIO DE VARGINHA</v>
      </c>
      <c r="H3803" t="str">
        <f>IFERROR(INDEX(tEditais[UF],MATCH(tItens[[#This Row],[Edital]],tEditais[Edital],0)),"")</f>
        <v>MG</v>
      </c>
      <c r="I3803" s="11">
        <f>IFERROR(INDEX(tEditais[Encerramento],MATCH(tItens[[#This Row],[Edital]],tEditais[Edital],0)),"")</f>
        <v>46314.353472222225</v>
      </c>
      <c r="J3803" t="str">
        <f>IFERROR(INDEX(tProdutos[Classe],MATCH(tItens[[#This Row],[Produto]],tProdutos[Produto],0)),"produto não cadastrado")</f>
        <v>FORA</v>
      </c>
      <c r="K3803" s="12">
        <f>tItens[[#This Row],[Qtd]]*tItens[[#This Row],[Vlr unit]]</f>
        <v>1134</v>
      </c>
      <c r="L3803" s="6">
        <f>IFERROR(IF(INDEX(tProdutos[Desconto homologado],MATCH(tItens[[#This Row],[Produto]],tProdutos[Produto],0))="",DescontoPadrao,INDEX(tProdutos[Desconto homologado],MATCH(tItens[[#This Row],[Produto]],tProdutos[Produto],0))),DescontoPadrao)</f>
        <v>0.19963672657401599</v>
      </c>
      <c r="M3803" s="12">
        <f>tItens[[#This Row],[Valor]]*(1-tItens[[#This Row],[Desconto]])</f>
        <v>907.61195206506591</v>
      </c>
      <c r="N3803" t="str">
        <f>IFERROR(INDEX(tProdutos[Foco],MATCH(tItens[[#This Row],[Produto]],tProdutos[Produto],0)),"Não")</f>
        <v>Não</v>
      </c>
      <c r="O3803" t="str">
        <f>IFERROR(INDEX(tEditais[SRP],MATCH(tItens[[#This Row],[Edital]],tEditais[Edital],0)),"Não")</f>
        <v>Não</v>
      </c>
      <c r="P3803" s="4">
        <f>IF(COUNTIFS(INDEX(tItens[Edital],1):tItens[[#This Row],[Edital]],tItens[[#This Row],[Edital]],INDEX(tItens[Produto],1):tItens[[#This Row],[Produto]],tItens[[#This Row],[Produto]])=1,1,0)</f>
        <v>0</v>
      </c>
    </row>
    <row r="3804" spans="1:16" x14ac:dyDescent="0.25">
      <c r="A3804" t="s">
        <v>1594</v>
      </c>
      <c r="B3804">
        <v>67</v>
      </c>
      <c r="C3804" t="s">
        <v>6668</v>
      </c>
      <c r="D3804" t="s">
        <v>343</v>
      </c>
      <c r="E3804" s="13">
        <v>510</v>
      </c>
      <c r="F3804" s="12">
        <v>1.26</v>
      </c>
      <c r="G3804" t="str">
        <f>IFERROR(INDEX(tEditais[Órgão],MATCH(tItens[[#This Row],[Edital]],tEditais[Edital],0)),"")</f>
        <v>MUNICIPIO DE VARGINHA</v>
      </c>
      <c r="H3804" t="str">
        <f>IFERROR(INDEX(tEditais[UF],MATCH(tItens[[#This Row],[Edital]],tEditais[Edital],0)),"")</f>
        <v>MG</v>
      </c>
      <c r="I3804" s="11">
        <f>IFERROR(INDEX(tEditais[Encerramento],MATCH(tItens[[#This Row],[Edital]],tEditais[Edital],0)),"")</f>
        <v>46314.353472222225</v>
      </c>
      <c r="J3804" t="str">
        <f>IFERROR(INDEX(tProdutos[Classe],MATCH(tItens[[#This Row],[Produto]],tProdutos[Produto],0)),"produto não cadastrado")</f>
        <v>FORA</v>
      </c>
      <c r="K3804" s="12">
        <f>tItens[[#This Row],[Qtd]]*tItens[[#This Row],[Vlr unit]]</f>
        <v>642.6</v>
      </c>
      <c r="L3804" s="6">
        <f>IFERROR(IF(INDEX(tProdutos[Desconto homologado],MATCH(tItens[[#This Row],[Produto]],tProdutos[Produto],0))="",DescontoPadrao,INDEX(tProdutos[Desconto homologado],MATCH(tItens[[#This Row],[Produto]],tProdutos[Produto],0))),DescontoPadrao)</f>
        <v>0.35412234042553198</v>
      </c>
      <c r="M3804" s="12">
        <f>tItens[[#This Row],[Valor]]*(1-tItens[[#This Row],[Desconto]])</f>
        <v>415.04098404255313</v>
      </c>
      <c r="N3804" t="str">
        <f>IFERROR(INDEX(tProdutos[Foco],MATCH(tItens[[#This Row],[Produto]],tProdutos[Produto],0)),"Não")</f>
        <v>Não</v>
      </c>
      <c r="O3804" t="str">
        <f>IFERROR(INDEX(tEditais[SRP],MATCH(tItens[[#This Row],[Edital]],tEditais[Edital],0)),"Não")</f>
        <v>Não</v>
      </c>
      <c r="P3804" s="4">
        <f>IF(COUNTIFS(INDEX(tItens[Edital],1):tItens[[#This Row],[Edital]],tItens[[#This Row],[Edital]],INDEX(tItens[Produto],1):tItens[[#This Row],[Produto]],tItens[[#This Row],[Produto]])=1,1,0)</f>
        <v>1</v>
      </c>
    </row>
    <row r="3805" spans="1:16" x14ac:dyDescent="0.25">
      <c r="A3805" t="s">
        <v>1594</v>
      </c>
      <c r="B3805">
        <v>68</v>
      </c>
      <c r="C3805" t="s">
        <v>6669</v>
      </c>
      <c r="D3805" t="s">
        <v>343</v>
      </c>
      <c r="E3805" s="13">
        <v>120</v>
      </c>
      <c r="F3805" s="12">
        <v>1.37</v>
      </c>
      <c r="G3805" t="str">
        <f>IFERROR(INDEX(tEditais[Órgão],MATCH(tItens[[#This Row],[Edital]],tEditais[Edital],0)),"")</f>
        <v>MUNICIPIO DE VARGINHA</v>
      </c>
      <c r="H3805" t="str">
        <f>IFERROR(INDEX(tEditais[UF],MATCH(tItens[[#This Row],[Edital]],tEditais[Edital],0)),"")</f>
        <v>MG</v>
      </c>
      <c r="I3805" s="11">
        <f>IFERROR(INDEX(tEditais[Encerramento],MATCH(tItens[[#This Row],[Edital]],tEditais[Edital],0)),"")</f>
        <v>46314.353472222225</v>
      </c>
      <c r="J3805" t="str">
        <f>IFERROR(INDEX(tProdutos[Classe],MATCH(tItens[[#This Row],[Produto]],tProdutos[Produto],0)),"produto não cadastrado")</f>
        <v>FORA</v>
      </c>
      <c r="K3805" s="12">
        <f>tItens[[#This Row],[Qtd]]*tItens[[#This Row],[Vlr unit]]</f>
        <v>164.4</v>
      </c>
      <c r="L3805" s="6">
        <f>IFERROR(IF(INDEX(tProdutos[Desconto homologado],MATCH(tItens[[#This Row],[Produto]],tProdutos[Produto],0))="",DescontoPadrao,INDEX(tProdutos[Desconto homologado],MATCH(tItens[[#This Row],[Produto]],tProdutos[Produto],0))),DescontoPadrao)</f>
        <v>0.35412234042553198</v>
      </c>
      <c r="M3805" s="12">
        <f>tItens[[#This Row],[Valor]]*(1-tItens[[#This Row],[Desconto]])</f>
        <v>106.18228723404253</v>
      </c>
      <c r="N3805" t="str">
        <f>IFERROR(INDEX(tProdutos[Foco],MATCH(tItens[[#This Row],[Produto]],tProdutos[Produto],0)),"Não")</f>
        <v>Não</v>
      </c>
      <c r="O3805" t="str">
        <f>IFERROR(INDEX(tEditais[SRP],MATCH(tItens[[#This Row],[Edital]],tEditais[Edital],0)),"Não")</f>
        <v>Não</v>
      </c>
      <c r="P3805" s="4">
        <f>IF(COUNTIFS(INDEX(tItens[Edital],1):tItens[[#This Row],[Edital]],tItens[[#This Row],[Edital]],INDEX(tItens[Produto],1):tItens[[#This Row],[Produto]],tItens[[#This Row],[Produto]])=1,1,0)</f>
        <v>0</v>
      </c>
    </row>
    <row r="3806" spans="1:16" x14ac:dyDescent="0.25">
      <c r="A3806" t="s">
        <v>1594</v>
      </c>
      <c r="B3806">
        <v>69</v>
      </c>
      <c r="C3806" t="s">
        <v>6670</v>
      </c>
      <c r="D3806" t="s">
        <v>343</v>
      </c>
      <c r="E3806" s="13">
        <v>550</v>
      </c>
      <c r="F3806" s="12">
        <v>1.26</v>
      </c>
      <c r="G3806" t="str">
        <f>IFERROR(INDEX(tEditais[Órgão],MATCH(tItens[[#This Row],[Edital]],tEditais[Edital],0)),"")</f>
        <v>MUNICIPIO DE VARGINHA</v>
      </c>
      <c r="H3806" t="str">
        <f>IFERROR(INDEX(tEditais[UF],MATCH(tItens[[#This Row],[Edital]],tEditais[Edital],0)),"")</f>
        <v>MG</v>
      </c>
      <c r="I3806" s="11">
        <f>IFERROR(INDEX(tEditais[Encerramento],MATCH(tItens[[#This Row],[Edital]],tEditais[Edital],0)),"")</f>
        <v>46314.353472222225</v>
      </c>
      <c r="J3806" t="str">
        <f>IFERROR(INDEX(tProdutos[Classe],MATCH(tItens[[#This Row],[Produto]],tProdutos[Produto],0)),"produto não cadastrado")</f>
        <v>FORA</v>
      </c>
      <c r="K3806" s="12">
        <f>tItens[[#This Row],[Qtd]]*tItens[[#This Row],[Vlr unit]]</f>
        <v>693</v>
      </c>
      <c r="L3806" s="6">
        <f>IFERROR(IF(INDEX(tProdutos[Desconto homologado],MATCH(tItens[[#This Row],[Produto]],tProdutos[Produto],0))="",DescontoPadrao,INDEX(tProdutos[Desconto homologado],MATCH(tItens[[#This Row],[Produto]],tProdutos[Produto],0))),DescontoPadrao)</f>
        <v>0.35412234042553198</v>
      </c>
      <c r="M3806" s="12">
        <f>tItens[[#This Row],[Valor]]*(1-tItens[[#This Row],[Desconto]])</f>
        <v>447.59321808510629</v>
      </c>
      <c r="N3806" t="str">
        <f>IFERROR(INDEX(tProdutos[Foco],MATCH(tItens[[#This Row],[Produto]],tProdutos[Produto],0)),"Não")</f>
        <v>Não</v>
      </c>
      <c r="O3806" t="str">
        <f>IFERROR(INDEX(tEditais[SRP],MATCH(tItens[[#This Row],[Edital]],tEditais[Edital],0)),"Não")</f>
        <v>Não</v>
      </c>
      <c r="P3806" s="4">
        <f>IF(COUNTIFS(INDEX(tItens[Edital],1):tItens[[#This Row],[Edital]],tItens[[#This Row],[Edital]],INDEX(tItens[Produto],1):tItens[[#This Row],[Produto]],tItens[[#This Row],[Produto]])=1,1,0)</f>
        <v>0</v>
      </c>
    </row>
    <row r="3807" spans="1:16" x14ac:dyDescent="0.25">
      <c r="A3807" t="s">
        <v>1594</v>
      </c>
      <c r="B3807">
        <v>70</v>
      </c>
      <c r="C3807" t="s">
        <v>6671</v>
      </c>
      <c r="D3807" t="s">
        <v>343</v>
      </c>
      <c r="E3807" s="13">
        <v>140</v>
      </c>
      <c r="F3807" s="12">
        <v>1.8</v>
      </c>
      <c r="G3807" t="str">
        <f>IFERROR(INDEX(tEditais[Órgão],MATCH(tItens[[#This Row],[Edital]],tEditais[Edital],0)),"")</f>
        <v>MUNICIPIO DE VARGINHA</v>
      </c>
      <c r="H3807" t="str">
        <f>IFERROR(INDEX(tEditais[UF],MATCH(tItens[[#This Row],[Edital]],tEditais[Edital],0)),"")</f>
        <v>MG</v>
      </c>
      <c r="I3807" s="11">
        <f>IFERROR(INDEX(tEditais[Encerramento],MATCH(tItens[[#This Row],[Edital]],tEditais[Edital],0)),"")</f>
        <v>46314.353472222225</v>
      </c>
      <c r="J3807" t="str">
        <f>IFERROR(INDEX(tProdutos[Classe],MATCH(tItens[[#This Row],[Produto]],tProdutos[Produto],0)),"produto não cadastrado")</f>
        <v>FORA</v>
      </c>
      <c r="K3807" s="12">
        <f>tItens[[#This Row],[Qtd]]*tItens[[#This Row],[Vlr unit]]</f>
        <v>252</v>
      </c>
      <c r="L3807" s="6">
        <f>IFERROR(IF(INDEX(tProdutos[Desconto homologado],MATCH(tItens[[#This Row],[Produto]],tProdutos[Produto],0))="",DescontoPadrao,INDEX(tProdutos[Desconto homologado],MATCH(tItens[[#This Row],[Produto]],tProdutos[Produto],0))),DescontoPadrao)</f>
        <v>0.35412234042553198</v>
      </c>
      <c r="M3807" s="12">
        <f>tItens[[#This Row],[Valor]]*(1-tItens[[#This Row],[Desconto]])</f>
        <v>162.76117021276593</v>
      </c>
      <c r="N3807" t="str">
        <f>IFERROR(INDEX(tProdutos[Foco],MATCH(tItens[[#This Row],[Produto]],tProdutos[Produto],0)),"Não")</f>
        <v>Não</v>
      </c>
      <c r="O3807" t="str">
        <f>IFERROR(INDEX(tEditais[SRP],MATCH(tItens[[#This Row],[Edital]],tEditais[Edital],0)),"Não")</f>
        <v>Não</v>
      </c>
      <c r="P3807" s="4">
        <f>IF(COUNTIFS(INDEX(tItens[Edital],1):tItens[[#This Row],[Edital]],tItens[[#This Row],[Edital]],INDEX(tItens[Produto],1):tItens[[#This Row],[Produto]],tItens[[#This Row],[Produto]])=1,1,0)</f>
        <v>0</v>
      </c>
    </row>
    <row r="3808" spans="1:16" x14ac:dyDescent="0.25">
      <c r="A3808" t="s">
        <v>1594</v>
      </c>
      <c r="B3808">
        <v>71</v>
      </c>
      <c r="C3808" t="s">
        <v>6672</v>
      </c>
      <c r="D3808" t="s">
        <v>170</v>
      </c>
      <c r="E3808" s="13">
        <v>10</v>
      </c>
      <c r="F3808" s="12">
        <v>33.270000000000003</v>
      </c>
      <c r="G3808" t="str">
        <f>IFERROR(INDEX(tEditais[Órgão],MATCH(tItens[[#This Row],[Edital]],tEditais[Edital],0)),"")</f>
        <v>MUNICIPIO DE VARGINHA</v>
      </c>
      <c r="H3808" t="str">
        <f>IFERROR(INDEX(tEditais[UF],MATCH(tItens[[#This Row],[Edital]],tEditais[Edital],0)),"")</f>
        <v>MG</v>
      </c>
      <c r="I3808" s="11">
        <f>IFERROR(INDEX(tEditais[Encerramento],MATCH(tItens[[#This Row],[Edital]],tEditais[Edital],0)),"")</f>
        <v>46314.353472222225</v>
      </c>
      <c r="J3808" t="str">
        <f>IFERROR(INDEX(tProdutos[Classe],MATCH(tItens[[#This Row],[Produto]],tProdutos[Produto],0)),"produto não cadastrado")</f>
        <v>DISPUTADO</v>
      </c>
      <c r="K3808" s="12">
        <f>tItens[[#This Row],[Qtd]]*tItens[[#This Row],[Vlr unit]]</f>
        <v>332.70000000000005</v>
      </c>
      <c r="L3808" s="6">
        <f>IFERROR(IF(INDEX(tProdutos[Desconto homologado],MATCH(tItens[[#This Row],[Produto]],tProdutos[Produto],0))="",DescontoPadrao,INDEX(tProdutos[Desconto homologado],MATCH(tItens[[#This Row],[Produto]],tProdutos[Produto],0))),DescontoPadrao)</f>
        <v>0.36</v>
      </c>
      <c r="M3808" s="12">
        <f>tItens[[#This Row],[Valor]]*(1-tItens[[#This Row],[Desconto]])</f>
        <v>212.92800000000003</v>
      </c>
      <c r="N3808" t="str">
        <f>IFERROR(INDEX(tProdutos[Foco],MATCH(tItens[[#This Row],[Produto]],tProdutos[Produto],0)),"Não")</f>
        <v>Sim</v>
      </c>
      <c r="O3808" t="str">
        <f>IFERROR(INDEX(tEditais[SRP],MATCH(tItens[[#This Row],[Edital]],tEditais[Edital],0)),"Não")</f>
        <v>Não</v>
      </c>
      <c r="P3808" s="4">
        <f>IF(COUNTIFS(INDEX(tItens[Edital],1):tItens[[#This Row],[Edital]],tItens[[#This Row],[Edital]],INDEX(tItens[Produto],1):tItens[[#This Row],[Produto]],tItens[[#This Row],[Produto]])=1,1,0)</f>
        <v>1</v>
      </c>
    </row>
    <row r="3809" spans="1:16" x14ac:dyDescent="0.25">
      <c r="A3809" t="s">
        <v>1594</v>
      </c>
      <c r="B3809">
        <v>74</v>
      </c>
      <c r="C3809" t="s">
        <v>6673</v>
      </c>
      <c r="D3809" t="s">
        <v>494</v>
      </c>
      <c r="E3809" s="13">
        <v>8600</v>
      </c>
      <c r="F3809" s="12">
        <v>0.4</v>
      </c>
      <c r="G3809" t="str">
        <f>IFERROR(INDEX(tEditais[Órgão],MATCH(tItens[[#This Row],[Edital]],tEditais[Edital],0)),"")</f>
        <v>MUNICIPIO DE VARGINHA</v>
      </c>
      <c r="H3809" t="str">
        <f>IFERROR(INDEX(tEditais[UF],MATCH(tItens[[#This Row],[Edital]],tEditais[Edital],0)),"")</f>
        <v>MG</v>
      </c>
      <c r="I3809" s="11">
        <f>IFERROR(INDEX(tEditais[Encerramento],MATCH(tItens[[#This Row],[Edital]],tEditais[Edital],0)),"")</f>
        <v>46314.353472222225</v>
      </c>
      <c r="J3809" t="str">
        <f>IFERROR(INDEX(tProdutos[Classe],MATCH(tItens[[#This Row],[Produto]],tProdutos[Produto],0)),"produto não cadastrado")</f>
        <v>FILA REBASE</v>
      </c>
      <c r="K3809" s="12">
        <f>tItens[[#This Row],[Qtd]]*tItens[[#This Row],[Vlr unit]]</f>
        <v>3440</v>
      </c>
      <c r="L3809" s="6">
        <f>IFERROR(IF(INDEX(tProdutos[Desconto homologado],MATCH(tItens[[#This Row],[Produto]],tProdutos[Produto],0))="",DescontoPadrao,INDEX(tProdutos[Desconto homologado],MATCH(tItens[[#This Row],[Produto]],tProdutos[Produto],0))),DescontoPadrao)</f>
        <v>0.253736324829619</v>
      </c>
      <c r="M3809" s="12">
        <f>tItens[[#This Row],[Valor]]*(1-tItens[[#This Row],[Desconto]])</f>
        <v>2567.1470425861107</v>
      </c>
      <c r="N3809" t="str">
        <f>IFERROR(INDEX(tProdutos[Foco],MATCH(tItens[[#This Row],[Produto]],tProdutos[Produto],0)),"Não")</f>
        <v>Não</v>
      </c>
      <c r="O3809" t="str">
        <f>IFERROR(INDEX(tEditais[SRP],MATCH(tItens[[#This Row],[Edital]],tEditais[Edital],0)),"Não")</f>
        <v>Não</v>
      </c>
      <c r="P3809" s="4">
        <f>IF(COUNTIFS(INDEX(tItens[Edital],1):tItens[[#This Row],[Edital]],tItens[[#This Row],[Edital]],INDEX(tItens[Produto],1):tItens[[#This Row],[Produto]],tItens[[#This Row],[Produto]])=1,1,0)</f>
        <v>1</v>
      </c>
    </row>
    <row r="3810" spans="1:16" x14ac:dyDescent="0.25">
      <c r="A3810" t="s">
        <v>1594</v>
      </c>
      <c r="B3810">
        <v>75</v>
      </c>
      <c r="C3810" t="s">
        <v>6674</v>
      </c>
      <c r="D3810" t="s">
        <v>494</v>
      </c>
      <c r="E3810" s="13">
        <v>1600</v>
      </c>
      <c r="F3810" s="12">
        <v>0.3</v>
      </c>
      <c r="G3810" t="str">
        <f>IFERROR(INDEX(tEditais[Órgão],MATCH(tItens[[#This Row],[Edital]],tEditais[Edital],0)),"")</f>
        <v>MUNICIPIO DE VARGINHA</v>
      </c>
      <c r="H3810" t="str">
        <f>IFERROR(INDEX(tEditais[UF],MATCH(tItens[[#This Row],[Edital]],tEditais[Edital],0)),"")</f>
        <v>MG</v>
      </c>
      <c r="I3810" s="11">
        <f>IFERROR(INDEX(tEditais[Encerramento],MATCH(tItens[[#This Row],[Edital]],tEditais[Edital],0)),"")</f>
        <v>46314.353472222225</v>
      </c>
      <c r="J3810" t="str">
        <f>IFERROR(INDEX(tProdutos[Classe],MATCH(tItens[[#This Row],[Produto]],tProdutos[Produto],0)),"produto não cadastrado")</f>
        <v>FILA REBASE</v>
      </c>
      <c r="K3810" s="12">
        <f>tItens[[#This Row],[Qtd]]*tItens[[#This Row],[Vlr unit]]</f>
        <v>480</v>
      </c>
      <c r="L3810" s="6">
        <f>IFERROR(IF(INDEX(tProdutos[Desconto homologado],MATCH(tItens[[#This Row],[Produto]],tProdutos[Produto],0))="",DescontoPadrao,INDEX(tProdutos[Desconto homologado],MATCH(tItens[[#This Row],[Produto]],tProdutos[Produto],0))),DescontoPadrao)</f>
        <v>0.253736324829619</v>
      </c>
      <c r="M3810" s="12">
        <f>tItens[[#This Row],[Valor]]*(1-tItens[[#This Row],[Desconto]])</f>
        <v>358.20656408178291</v>
      </c>
      <c r="N3810" t="str">
        <f>IFERROR(INDEX(tProdutos[Foco],MATCH(tItens[[#This Row],[Produto]],tProdutos[Produto],0)),"Não")</f>
        <v>Não</v>
      </c>
      <c r="O3810" t="str">
        <f>IFERROR(INDEX(tEditais[SRP],MATCH(tItens[[#This Row],[Edital]],tEditais[Edital],0)),"Não")</f>
        <v>Não</v>
      </c>
      <c r="P3810" s="4">
        <f>IF(COUNTIFS(INDEX(tItens[Edital],1):tItens[[#This Row],[Edital]],tItens[[#This Row],[Edital]],INDEX(tItens[Produto],1):tItens[[#This Row],[Produto]],tItens[[#This Row],[Produto]])=1,1,0)</f>
        <v>0</v>
      </c>
    </row>
    <row r="3811" spans="1:16" x14ac:dyDescent="0.25">
      <c r="A3811" t="s">
        <v>1594</v>
      </c>
      <c r="B3811">
        <v>76</v>
      </c>
      <c r="C3811" t="s">
        <v>6675</v>
      </c>
      <c r="D3811" t="s">
        <v>494</v>
      </c>
      <c r="E3811" s="13">
        <v>1600</v>
      </c>
      <c r="F3811" s="12">
        <v>1.37</v>
      </c>
      <c r="G3811" t="str">
        <f>IFERROR(INDEX(tEditais[Órgão],MATCH(tItens[[#This Row],[Edital]],tEditais[Edital],0)),"")</f>
        <v>MUNICIPIO DE VARGINHA</v>
      </c>
      <c r="H3811" t="str">
        <f>IFERROR(INDEX(tEditais[UF],MATCH(tItens[[#This Row],[Edital]],tEditais[Edital],0)),"")</f>
        <v>MG</v>
      </c>
      <c r="I3811" s="11">
        <f>IFERROR(INDEX(tEditais[Encerramento],MATCH(tItens[[#This Row],[Edital]],tEditais[Edital],0)),"")</f>
        <v>46314.353472222225</v>
      </c>
      <c r="J3811" t="str">
        <f>IFERROR(INDEX(tProdutos[Classe],MATCH(tItens[[#This Row],[Produto]],tProdutos[Produto],0)),"produto não cadastrado")</f>
        <v>FILA REBASE</v>
      </c>
      <c r="K3811" s="12">
        <f>tItens[[#This Row],[Qtd]]*tItens[[#This Row],[Vlr unit]]</f>
        <v>2192</v>
      </c>
      <c r="L3811" s="6">
        <f>IFERROR(IF(INDEX(tProdutos[Desconto homologado],MATCH(tItens[[#This Row],[Produto]],tProdutos[Produto],0))="",DescontoPadrao,INDEX(tProdutos[Desconto homologado],MATCH(tItens[[#This Row],[Produto]],tProdutos[Produto],0))),DescontoPadrao)</f>
        <v>0.253736324829619</v>
      </c>
      <c r="M3811" s="12">
        <f>tItens[[#This Row],[Valor]]*(1-tItens[[#This Row],[Desconto]])</f>
        <v>1635.8099759734753</v>
      </c>
      <c r="N3811" t="str">
        <f>IFERROR(INDEX(tProdutos[Foco],MATCH(tItens[[#This Row],[Produto]],tProdutos[Produto],0)),"Não")</f>
        <v>Não</v>
      </c>
      <c r="O3811" t="str">
        <f>IFERROR(INDEX(tEditais[SRP],MATCH(tItens[[#This Row],[Edital]],tEditais[Edital],0)),"Não")</f>
        <v>Não</v>
      </c>
      <c r="P3811" s="4">
        <f>IF(COUNTIFS(INDEX(tItens[Edital],1):tItens[[#This Row],[Edital]],tItens[[#This Row],[Edital]],INDEX(tItens[Produto],1):tItens[[#This Row],[Produto]],tItens[[#This Row],[Produto]])=1,1,0)</f>
        <v>0</v>
      </c>
    </row>
    <row r="3812" spans="1:16" x14ac:dyDescent="0.25">
      <c r="A3812" t="s">
        <v>1594</v>
      </c>
      <c r="B3812">
        <v>77</v>
      </c>
      <c r="C3812" t="s">
        <v>6676</v>
      </c>
      <c r="D3812" t="s">
        <v>494</v>
      </c>
      <c r="E3812" s="13">
        <v>5000</v>
      </c>
      <c r="F3812" s="12">
        <v>0.7</v>
      </c>
      <c r="G3812" t="str">
        <f>IFERROR(INDEX(tEditais[Órgão],MATCH(tItens[[#This Row],[Edital]],tEditais[Edital],0)),"")</f>
        <v>MUNICIPIO DE VARGINHA</v>
      </c>
      <c r="H3812" t="str">
        <f>IFERROR(INDEX(tEditais[UF],MATCH(tItens[[#This Row],[Edital]],tEditais[Edital],0)),"")</f>
        <v>MG</v>
      </c>
      <c r="I3812" s="11">
        <f>IFERROR(INDEX(tEditais[Encerramento],MATCH(tItens[[#This Row],[Edital]],tEditais[Edital],0)),"")</f>
        <v>46314.353472222225</v>
      </c>
      <c r="J3812" t="str">
        <f>IFERROR(INDEX(tProdutos[Classe],MATCH(tItens[[#This Row],[Produto]],tProdutos[Produto],0)),"produto não cadastrado")</f>
        <v>FILA REBASE</v>
      </c>
      <c r="K3812" s="12">
        <f>tItens[[#This Row],[Qtd]]*tItens[[#This Row],[Vlr unit]]</f>
        <v>3500</v>
      </c>
      <c r="L3812" s="6">
        <f>IFERROR(IF(INDEX(tProdutos[Desconto homologado],MATCH(tItens[[#This Row],[Produto]],tProdutos[Produto],0))="",DescontoPadrao,INDEX(tProdutos[Desconto homologado],MATCH(tItens[[#This Row],[Produto]],tProdutos[Produto],0))),DescontoPadrao)</f>
        <v>0.253736324829619</v>
      </c>
      <c r="M3812" s="12">
        <f>tItens[[#This Row],[Valor]]*(1-tItens[[#This Row],[Desconto]])</f>
        <v>2611.9228630963339</v>
      </c>
      <c r="N3812" t="str">
        <f>IFERROR(INDEX(tProdutos[Foco],MATCH(tItens[[#This Row],[Produto]],tProdutos[Produto],0)),"Não")</f>
        <v>Não</v>
      </c>
      <c r="O3812" t="str">
        <f>IFERROR(INDEX(tEditais[SRP],MATCH(tItens[[#This Row],[Edital]],tEditais[Edital],0)),"Não")</f>
        <v>Não</v>
      </c>
      <c r="P3812" s="4">
        <f>IF(COUNTIFS(INDEX(tItens[Edital],1):tItens[[#This Row],[Edital]],tItens[[#This Row],[Edital]],INDEX(tItens[Produto],1):tItens[[#This Row],[Produto]],tItens[[#This Row],[Produto]])=1,1,0)</f>
        <v>0</v>
      </c>
    </row>
    <row r="3813" spans="1:16" x14ac:dyDescent="0.25">
      <c r="A3813" t="s">
        <v>1594</v>
      </c>
      <c r="B3813">
        <v>79</v>
      </c>
      <c r="C3813" t="s">
        <v>6677</v>
      </c>
      <c r="D3813" t="s">
        <v>64</v>
      </c>
      <c r="E3813" s="13">
        <v>4000</v>
      </c>
      <c r="F3813" s="12">
        <v>0.62</v>
      </c>
      <c r="G3813" t="str">
        <f>IFERROR(INDEX(tEditais[Órgão],MATCH(tItens[[#This Row],[Edital]],tEditais[Edital],0)),"")</f>
        <v>MUNICIPIO DE VARGINHA</v>
      </c>
      <c r="H3813" t="str">
        <f>IFERROR(INDEX(tEditais[UF],MATCH(tItens[[#This Row],[Edital]],tEditais[Edital],0)),"")</f>
        <v>MG</v>
      </c>
      <c r="I3813" s="11">
        <f>IFERROR(INDEX(tEditais[Encerramento],MATCH(tItens[[#This Row],[Edital]],tEditais[Edital],0)),"")</f>
        <v>46314.353472222225</v>
      </c>
      <c r="J3813" t="str">
        <f>IFERROR(INDEX(tProdutos[Classe],MATCH(tItens[[#This Row],[Produto]],tProdutos[Produto],0)),"produto não cadastrado")</f>
        <v>NÚCLEO</v>
      </c>
      <c r="K3813" s="12">
        <f>tItens[[#This Row],[Qtd]]*tItens[[#This Row],[Vlr unit]]</f>
        <v>2480</v>
      </c>
      <c r="L3813" s="6">
        <f>IFERROR(IF(INDEX(tProdutos[Desconto homologado],MATCH(tItens[[#This Row],[Produto]],tProdutos[Produto],0))="",DescontoPadrao,INDEX(tProdutos[Desconto homologado],MATCH(tItens[[#This Row],[Produto]],tProdutos[Produto],0))),DescontoPadrao)</f>
        <v>0.28197166699010301</v>
      </c>
      <c r="M3813" s="12">
        <f>tItens[[#This Row],[Valor]]*(1-tItens[[#This Row],[Desconto]])</f>
        <v>1780.7102658645445</v>
      </c>
      <c r="N3813" t="str">
        <f>IFERROR(INDEX(tProdutos[Foco],MATCH(tItens[[#This Row],[Produto]],tProdutos[Produto],0)),"Não")</f>
        <v>Não</v>
      </c>
      <c r="O3813" t="str">
        <f>IFERROR(INDEX(tEditais[SRP],MATCH(tItens[[#This Row],[Edital]],tEditais[Edital],0)),"Não")</f>
        <v>Não</v>
      </c>
      <c r="P3813" s="4">
        <f>IF(COUNTIFS(INDEX(tItens[Edital],1):tItens[[#This Row],[Edital]],tItens[[#This Row],[Edital]],INDEX(tItens[Produto],1):tItens[[#This Row],[Produto]],tItens[[#This Row],[Produto]])=1,1,0)</f>
        <v>1</v>
      </c>
    </row>
    <row r="3814" spans="1:16" x14ac:dyDescent="0.25">
      <c r="A3814" t="s">
        <v>1594</v>
      </c>
      <c r="B3814">
        <v>81</v>
      </c>
      <c r="C3814" t="s">
        <v>6678</v>
      </c>
      <c r="D3814" t="s">
        <v>265</v>
      </c>
      <c r="E3814" s="13">
        <v>12000</v>
      </c>
      <c r="F3814" s="12">
        <v>0.41</v>
      </c>
      <c r="G3814" t="str">
        <f>IFERROR(INDEX(tEditais[Órgão],MATCH(tItens[[#This Row],[Edital]],tEditais[Edital],0)),"")</f>
        <v>MUNICIPIO DE VARGINHA</v>
      </c>
      <c r="H3814" t="str">
        <f>IFERROR(INDEX(tEditais[UF],MATCH(tItens[[#This Row],[Edital]],tEditais[Edital],0)),"")</f>
        <v>MG</v>
      </c>
      <c r="I3814" s="11">
        <f>IFERROR(INDEX(tEditais[Encerramento],MATCH(tItens[[#This Row],[Edital]],tEditais[Edital],0)),"")</f>
        <v>46314.353472222225</v>
      </c>
      <c r="J3814" t="str">
        <f>IFERROR(INDEX(tProdutos[Classe],MATCH(tItens[[#This Row],[Produto]],tProdutos[Produto],0)),"produto não cadastrado")</f>
        <v>DISPUTADO</v>
      </c>
      <c r="K3814" s="12">
        <f>tItens[[#This Row],[Qtd]]*tItens[[#This Row],[Vlr unit]]</f>
        <v>4920</v>
      </c>
      <c r="L3814" s="6">
        <f>IFERROR(IF(INDEX(tProdutos[Desconto homologado],MATCH(tItens[[#This Row],[Produto]],tProdutos[Produto],0))="",DescontoPadrao,INDEX(tProdutos[Desconto homologado],MATCH(tItens[[#This Row],[Produto]],tProdutos[Produto],0))),DescontoPadrao)</f>
        <v>0.377587663709337</v>
      </c>
      <c r="M3814" s="12">
        <f>tItens[[#This Row],[Valor]]*(1-tItens[[#This Row],[Desconto]])</f>
        <v>3062.2686945500623</v>
      </c>
      <c r="N3814" t="str">
        <f>IFERROR(INDEX(tProdutos[Foco],MATCH(tItens[[#This Row],[Produto]],tProdutos[Produto],0)),"Não")</f>
        <v>Não</v>
      </c>
      <c r="O3814" t="str">
        <f>IFERROR(INDEX(tEditais[SRP],MATCH(tItens[[#This Row],[Edital]],tEditais[Edital],0)),"Não")</f>
        <v>Não</v>
      </c>
      <c r="P3814" s="4">
        <f>IF(COUNTIFS(INDEX(tItens[Edital],1):tItens[[#This Row],[Edital]],tItens[[#This Row],[Edital]],INDEX(tItens[Produto],1):tItens[[#This Row],[Produto]],tItens[[#This Row],[Produto]])=1,1,0)</f>
        <v>1</v>
      </c>
    </row>
    <row r="3815" spans="1:16" x14ac:dyDescent="0.25">
      <c r="A3815" t="s">
        <v>1594</v>
      </c>
      <c r="B3815">
        <v>82</v>
      </c>
      <c r="C3815" t="s">
        <v>6679</v>
      </c>
      <c r="D3815" t="s">
        <v>281</v>
      </c>
      <c r="E3815" s="13">
        <v>4500</v>
      </c>
      <c r="F3815" s="12">
        <v>0.28999999999999998</v>
      </c>
      <c r="G3815" t="str">
        <f>IFERROR(INDEX(tEditais[Órgão],MATCH(tItens[[#This Row],[Edital]],tEditais[Edital],0)),"")</f>
        <v>MUNICIPIO DE VARGINHA</v>
      </c>
      <c r="H3815" t="str">
        <f>IFERROR(INDEX(tEditais[UF],MATCH(tItens[[#This Row],[Edital]],tEditais[Edital],0)),"")</f>
        <v>MG</v>
      </c>
      <c r="I3815" s="11">
        <f>IFERROR(INDEX(tEditais[Encerramento],MATCH(tItens[[#This Row],[Edital]],tEditais[Edital],0)),"")</f>
        <v>46314.353472222225</v>
      </c>
      <c r="J3815" t="str">
        <f>IFERROR(INDEX(tProdutos[Classe],MATCH(tItens[[#This Row],[Produto]],tProdutos[Produto],0)),"produto não cadastrado")</f>
        <v>DISPUTADO</v>
      </c>
      <c r="K3815" s="12">
        <f>tItens[[#This Row],[Qtd]]*tItens[[#This Row],[Vlr unit]]</f>
        <v>1305</v>
      </c>
      <c r="L3815" s="6">
        <f>IFERROR(IF(INDEX(tProdutos[Desconto homologado],MATCH(tItens[[#This Row],[Produto]],tProdutos[Produto],0))="",DescontoPadrao,INDEX(tProdutos[Desconto homologado],MATCH(tItens[[#This Row],[Produto]],tProdutos[Produto],0))),DescontoPadrao)</f>
        <v>0.42461538461538501</v>
      </c>
      <c r="M3815" s="12">
        <f>tItens[[#This Row],[Valor]]*(1-tItens[[#This Row],[Desconto]])</f>
        <v>750.87692307692248</v>
      </c>
      <c r="N3815" t="str">
        <f>IFERROR(INDEX(tProdutos[Foco],MATCH(tItens[[#This Row],[Produto]],tProdutos[Produto],0)),"Não")</f>
        <v>Não</v>
      </c>
      <c r="O3815" t="str">
        <f>IFERROR(INDEX(tEditais[SRP],MATCH(tItens[[#This Row],[Edital]],tEditais[Edital],0)),"Não")</f>
        <v>Não</v>
      </c>
      <c r="P3815" s="4">
        <f>IF(COUNTIFS(INDEX(tItens[Edital],1):tItens[[#This Row],[Edital]],tItens[[#This Row],[Edital]],INDEX(tItens[Produto],1):tItens[[#This Row],[Produto]],tItens[[#This Row],[Produto]])=1,1,0)</f>
        <v>1</v>
      </c>
    </row>
    <row r="3816" spans="1:16" x14ac:dyDescent="0.25">
      <c r="A3816" t="s">
        <v>1594</v>
      </c>
      <c r="B3816">
        <v>83</v>
      </c>
      <c r="C3816" t="s">
        <v>6680</v>
      </c>
      <c r="D3816" t="s">
        <v>289</v>
      </c>
      <c r="E3816" s="13">
        <v>15000</v>
      </c>
      <c r="F3816" s="12">
        <v>1.06</v>
      </c>
      <c r="G3816" t="str">
        <f>IFERROR(INDEX(tEditais[Órgão],MATCH(tItens[[#This Row],[Edital]],tEditais[Edital],0)),"")</f>
        <v>MUNICIPIO DE VARGINHA</v>
      </c>
      <c r="H3816" t="str">
        <f>IFERROR(INDEX(tEditais[UF],MATCH(tItens[[#This Row],[Edital]],tEditais[Edital],0)),"")</f>
        <v>MG</v>
      </c>
      <c r="I3816" s="11">
        <f>IFERROR(INDEX(tEditais[Encerramento],MATCH(tItens[[#This Row],[Edital]],tEditais[Edital],0)),"")</f>
        <v>46314.353472222225</v>
      </c>
      <c r="J3816" t="str">
        <f>IFERROR(INDEX(tProdutos[Classe],MATCH(tItens[[#This Row],[Produto]],tProdutos[Produto],0)),"produto não cadastrado")</f>
        <v>DISPUTADO</v>
      </c>
      <c r="K3816" s="12">
        <f>tItens[[#This Row],[Qtd]]*tItens[[#This Row],[Vlr unit]]</f>
        <v>15900</v>
      </c>
      <c r="L3816" s="6">
        <f>IFERROR(IF(INDEX(tProdutos[Desconto homologado],MATCH(tItens[[#This Row],[Produto]],tProdutos[Produto],0))="",DescontoPadrao,INDEX(tProdutos[Desconto homologado],MATCH(tItens[[#This Row],[Produto]],tProdutos[Produto],0))),DescontoPadrao)</f>
        <v>0.35849056603773599</v>
      </c>
      <c r="M3816" s="12">
        <f>tItens[[#This Row],[Valor]]*(1-tItens[[#This Row],[Desconto]])</f>
        <v>10199.999999999998</v>
      </c>
      <c r="N3816" t="str">
        <f>IFERROR(INDEX(tProdutos[Foco],MATCH(tItens[[#This Row],[Produto]],tProdutos[Produto],0)),"Não")</f>
        <v>Não</v>
      </c>
      <c r="O3816" t="str">
        <f>IFERROR(INDEX(tEditais[SRP],MATCH(tItens[[#This Row],[Edital]],tEditais[Edital],0)),"Não")</f>
        <v>Não</v>
      </c>
      <c r="P3816" s="4">
        <f>IF(COUNTIFS(INDEX(tItens[Edital],1):tItens[[#This Row],[Edital]],tItens[[#This Row],[Edital]],INDEX(tItens[Produto],1):tItens[[#This Row],[Produto]],tItens[[#This Row],[Produto]])=1,1,0)</f>
        <v>1</v>
      </c>
    </row>
    <row r="3817" spans="1:16" x14ac:dyDescent="0.25">
      <c r="A3817" t="s">
        <v>1594</v>
      </c>
      <c r="B3817">
        <v>84</v>
      </c>
      <c r="C3817" t="s">
        <v>6681</v>
      </c>
      <c r="D3817" t="s">
        <v>283</v>
      </c>
      <c r="E3817" s="13">
        <v>29000</v>
      </c>
      <c r="F3817" s="12">
        <v>0.36</v>
      </c>
      <c r="G3817" t="str">
        <f>IFERROR(INDEX(tEditais[Órgão],MATCH(tItens[[#This Row],[Edital]],tEditais[Edital],0)),"")</f>
        <v>MUNICIPIO DE VARGINHA</v>
      </c>
      <c r="H3817" t="str">
        <f>IFERROR(INDEX(tEditais[UF],MATCH(tItens[[#This Row],[Edital]],tEditais[Edital],0)),"")</f>
        <v>MG</v>
      </c>
      <c r="I3817" s="11">
        <f>IFERROR(INDEX(tEditais[Encerramento],MATCH(tItens[[#This Row],[Edital]],tEditais[Edital],0)),"")</f>
        <v>46314.353472222225</v>
      </c>
      <c r="J3817" t="str">
        <f>IFERROR(INDEX(tProdutos[Classe],MATCH(tItens[[#This Row],[Produto]],tProdutos[Produto],0)),"produto não cadastrado")</f>
        <v>FORA</v>
      </c>
      <c r="K3817" s="12">
        <f>tItens[[#This Row],[Qtd]]*tItens[[#This Row],[Vlr unit]]</f>
        <v>10440</v>
      </c>
      <c r="L3817" s="6">
        <f>IFERROR(IF(INDEX(tProdutos[Desconto homologado],MATCH(tItens[[#This Row],[Produto]],tProdutos[Produto],0))="",DescontoPadrao,INDEX(tProdutos[Desconto homologado],MATCH(tItens[[#This Row],[Produto]],tProdutos[Produto],0))),DescontoPadrao)</f>
        <v>0.40540540540540498</v>
      </c>
      <c r="M3817" s="12">
        <f>tItens[[#This Row],[Valor]]*(1-tItens[[#This Row],[Desconto]])</f>
        <v>6207.5675675675711</v>
      </c>
      <c r="N3817" t="str">
        <f>IFERROR(INDEX(tProdutos[Foco],MATCH(tItens[[#This Row],[Produto]],tProdutos[Produto],0)),"Não")</f>
        <v>Não</v>
      </c>
      <c r="O3817" t="str">
        <f>IFERROR(INDEX(tEditais[SRP],MATCH(tItens[[#This Row],[Edital]],tEditais[Edital],0)),"Não")</f>
        <v>Não</v>
      </c>
      <c r="P3817" s="4">
        <f>IF(COUNTIFS(INDEX(tItens[Edital],1):tItens[[#This Row],[Edital]],tItens[[#This Row],[Edital]],INDEX(tItens[Produto],1):tItens[[#This Row],[Produto]],tItens[[#This Row],[Produto]])=1,1,0)</f>
        <v>1</v>
      </c>
    </row>
    <row r="3818" spans="1:16" x14ac:dyDescent="0.25">
      <c r="A3818" t="s">
        <v>1594</v>
      </c>
      <c r="B3818">
        <v>109</v>
      </c>
      <c r="C3818" t="s">
        <v>6682</v>
      </c>
      <c r="D3818" t="s">
        <v>120</v>
      </c>
      <c r="E3818" s="13">
        <v>20</v>
      </c>
      <c r="F3818" s="12">
        <v>0.73</v>
      </c>
      <c r="G3818" t="str">
        <f>IFERROR(INDEX(tEditais[Órgão],MATCH(tItens[[#This Row],[Edital]],tEditais[Edital],0)),"")</f>
        <v>MUNICIPIO DE VARGINHA</v>
      </c>
      <c r="H3818" t="str">
        <f>IFERROR(INDEX(tEditais[UF],MATCH(tItens[[#This Row],[Edital]],tEditais[Edital],0)),"")</f>
        <v>MG</v>
      </c>
      <c r="I3818" s="11">
        <f>IFERROR(INDEX(tEditais[Encerramento],MATCH(tItens[[#This Row],[Edital]],tEditais[Edital],0)),"")</f>
        <v>46314.353472222225</v>
      </c>
      <c r="J3818" t="str">
        <f>IFERROR(INDEX(tProdutos[Classe],MATCH(tItens[[#This Row],[Produto]],tProdutos[Produto],0)),"produto não cadastrado")</f>
        <v>DISPUTADO</v>
      </c>
      <c r="K3818" s="12">
        <f>tItens[[#This Row],[Qtd]]*tItens[[#This Row],[Vlr unit]]</f>
        <v>14.6</v>
      </c>
      <c r="L3818" s="6">
        <f>IFERROR(IF(INDEX(tProdutos[Desconto homologado],MATCH(tItens[[#This Row],[Produto]],tProdutos[Produto],0))="",DescontoPadrao,INDEX(tProdutos[Desconto homologado],MATCH(tItens[[#This Row],[Produto]],tProdutos[Produto],0))),DescontoPadrao)</f>
        <v>0.40909090909090901</v>
      </c>
      <c r="M3818" s="12">
        <f>tItens[[#This Row],[Valor]]*(1-tItens[[#This Row],[Desconto]])</f>
        <v>8.6272727272727288</v>
      </c>
      <c r="N3818" t="str">
        <f>IFERROR(INDEX(tProdutos[Foco],MATCH(tItens[[#This Row],[Produto]],tProdutos[Produto],0)),"Não")</f>
        <v>Não</v>
      </c>
      <c r="O3818" t="str">
        <f>IFERROR(INDEX(tEditais[SRP],MATCH(tItens[[#This Row],[Edital]],tEditais[Edital],0)),"Não")</f>
        <v>Não</v>
      </c>
      <c r="P3818" s="4">
        <f>IF(COUNTIFS(INDEX(tItens[Edital],1):tItens[[#This Row],[Edital]],tItens[[#This Row],[Edital]],INDEX(tItens[Produto],1):tItens[[#This Row],[Produto]],tItens[[#This Row],[Produto]])=1,1,0)</f>
        <v>1</v>
      </c>
    </row>
    <row r="3819" spans="1:16" x14ac:dyDescent="0.25">
      <c r="A3819" t="s">
        <v>1594</v>
      </c>
      <c r="B3819">
        <v>110</v>
      </c>
      <c r="C3819" t="s">
        <v>6683</v>
      </c>
      <c r="D3819" t="s">
        <v>120</v>
      </c>
      <c r="E3819" s="13">
        <v>20</v>
      </c>
      <c r="F3819" s="12">
        <v>0.8</v>
      </c>
      <c r="G3819" t="str">
        <f>IFERROR(INDEX(tEditais[Órgão],MATCH(tItens[[#This Row],[Edital]],tEditais[Edital],0)),"")</f>
        <v>MUNICIPIO DE VARGINHA</v>
      </c>
      <c r="H3819" t="str">
        <f>IFERROR(INDEX(tEditais[UF],MATCH(tItens[[#This Row],[Edital]],tEditais[Edital],0)),"")</f>
        <v>MG</v>
      </c>
      <c r="I3819" s="11">
        <f>IFERROR(INDEX(tEditais[Encerramento],MATCH(tItens[[#This Row],[Edital]],tEditais[Edital],0)),"")</f>
        <v>46314.353472222225</v>
      </c>
      <c r="J3819" t="str">
        <f>IFERROR(INDEX(tProdutos[Classe],MATCH(tItens[[#This Row],[Produto]],tProdutos[Produto],0)),"produto não cadastrado")</f>
        <v>DISPUTADO</v>
      </c>
      <c r="K3819" s="12">
        <f>tItens[[#This Row],[Qtd]]*tItens[[#This Row],[Vlr unit]]</f>
        <v>16</v>
      </c>
      <c r="L3819" s="6">
        <f>IFERROR(IF(INDEX(tProdutos[Desconto homologado],MATCH(tItens[[#This Row],[Produto]],tProdutos[Produto],0))="",DescontoPadrao,INDEX(tProdutos[Desconto homologado],MATCH(tItens[[#This Row],[Produto]],tProdutos[Produto],0))),DescontoPadrao)</f>
        <v>0.40909090909090901</v>
      </c>
      <c r="M3819" s="12">
        <f>tItens[[#This Row],[Valor]]*(1-tItens[[#This Row],[Desconto]])</f>
        <v>9.4545454545454568</v>
      </c>
      <c r="N3819" t="str">
        <f>IFERROR(INDEX(tProdutos[Foco],MATCH(tItens[[#This Row],[Produto]],tProdutos[Produto],0)),"Não")</f>
        <v>Não</v>
      </c>
      <c r="O3819" t="str">
        <f>IFERROR(INDEX(tEditais[SRP],MATCH(tItens[[#This Row],[Edital]],tEditais[Edital],0)),"Não")</f>
        <v>Não</v>
      </c>
      <c r="P3819" s="4">
        <f>IF(COUNTIFS(INDEX(tItens[Edital],1):tItens[[#This Row],[Edital]],tItens[[#This Row],[Edital]],INDEX(tItens[Produto],1):tItens[[#This Row],[Produto]],tItens[[#This Row],[Produto]])=1,1,0)</f>
        <v>0</v>
      </c>
    </row>
    <row r="3820" spans="1:16" x14ac:dyDescent="0.25">
      <c r="A3820" t="s">
        <v>1594</v>
      </c>
      <c r="B3820">
        <v>111</v>
      </c>
      <c r="C3820" t="s">
        <v>6684</v>
      </c>
      <c r="D3820" t="s">
        <v>120</v>
      </c>
      <c r="E3820" s="13">
        <v>400</v>
      </c>
      <c r="F3820" s="12">
        <v>0.67</v>
      </c>
      <c r="G3820" t="str">
        <f>IFERROR(INDEX(tEditais[Órgão],MATCH(tItens[[#This Row],[Edital]],tEditais[Edital],0)),"")</f>
        <v>MUNICIPIO DE VARGINHA</v>
      </c>
      <c r="H3820" t="str">
        <f>IFERROR(INDEX(tEditais[UF],MATCH(tItens[[#This Row],[Edital]],tEditais[Edital],0)),"")</f>
        <v>MG</v>
      </c>
      <c r="I3820" s="11">
        <f>IFERROR(INDEX(tEditais[Encerramento],MATCH(tItens[[#This Row],[Edital]],tEditais[Edital],0)),"")</f>
        <v>46314.353472222225</v>
      </c>
      <c r="J3820" t="str">
        <f>IFERROR(INDEX(tProdutos[Classe],MATCH(tItens[[#This Row],[Produto]],tProdutos[Produto],0)),"produto não cadastrado")</f>
        <v>DISPUTADO</v>
      </c>
      <c r="K3820" s="12">
        <f>tItens[[#This Row],[Qtd]]*tItens[[#This Row],[Vlr unit]]</f>
        <v>268</v>
      </c>
      <c r="L3820" s="6">
        <f>IFERROR(IF(INDEX(tProdutos[Desconto homologado],MATCH(tItens[[#This Row],[Produto]],tProdutos[Produto],0))="",DescontoPadrao,INDEX(tProdutos[Desconto homologado],MATCH(tItens[[#This Row],[Produto]],tProdutos[Produto],0))),DescontoPadrao)</f>
        <v>0.40909090909090901</v>
      </c>
      <c r="M3820" s="12">
        <f>tItens[[#This Row],[Valor]]*(1-tItens[[#This Row],[Desconto]])</f>
        <v>158.3636363636364</v>
      </c>
      <c r="N3820" t="str">
        <f>IFERROR(INDEX(tProdutos[Foco],MATCH(tItens[[#This Row],[Produto]],tProdutos[Produto],0)),"Não")</f>
        <v>Não</v>
      </c>
      <c r="O3820" t="str">
        <f>IFERROR(INDEX(tEditais[SRP],MATCH(tItens[[#This Row],[Edital]],tEditais[Edital],0)),"Não")</f>
        <v>Não</v>
      </c>
      <c r="P3820" s="4">
        <f>IF(COUNTIFS(INDEX(tItens[Edital],1):tItens[[#This Row],[Edital]],tItens[[#This Row],[Edital]],INDEX(tItens[Produto],1):tItens[[#This Row],[Produto]],tItens[[#This Row],[Produto]])=1,1,0)</f>
        <v>0</v>
      </c>
    </row>
    <row r="3821" spans="1:16" x14ac:dyDescent="0.25">
      <c r="A3821" t="s">
        <v>1594</v>
      </c>
      <c r="B3821">
        <v>112</v>
      </c>
      <c r="C3821" t="s">
        <v>6685</v>
      </c>
      <c r="D3821" t="s">
        <v>120</v>
      </c>
      <c r="E3821" s="13">
        <v>60</v>
      </c>
      <c r="F3821" s="12">
        <v>0.65</v>
      </c>
      <c r="G3821" t="str">
        <f>IFERROR(INDEX(tEditais[Órgão],MATCH(tItens[[#This Row],[Edital]],tEditais[Edital],0)),"")</f>
        <v>MUNICIPIO DE VARGINHA</v>
      </c>
      <c r="H3821" t="str">
        <f>IFERROR(INDEX(tEditais[UF],MATCH(tItens[[#This Row],[Edital]],tEditais[Edital],0)),"")</f>
        <v>MG</v>
      </c>
      <c r="I3821" s="11">
        <f>IFERROR(INDEX(tEditais[Encerramento],MATCH(tItens[[#This Row],[Edital]],tEditais[Edital],0)),"")</f>
        <v>46314.353472222225</v>
      </c>
      <c r="J3821" t="str">
        <f>IFERROR(INDEX(tProdutos[Classe],MATCH(tItens[[#This Row],[Produto]],tProdutos[Produto],0)),"produto não cadastrado")</f>
        <v>DISPUTADO</v>
      </c>
      <c r="K3821" s="12">
        <f>tItens[[#This Row],[Qtd]]*tItens[[#This Row],[Vlr unit]]</f>
        <v>39</v>
      </c>
      <c r="L3821" s="6">
        <f>IFERROR(IF(INDEX(tProdutos[Desconto homologado],MATCH(tItens[[#This Row],[Produto]],tProdutos[Produto],0))="",DescontoPadrao,INDEX(tProdutos[Desconto homologado],MATCH(tItens[[#This Row],[Produto]],tProdutos[Produto],0))),DescontoPadrao)</f>
        <v>0.40909090909090901</v>
      </c>
      <c r="M3821" s="12">
        <f>tItens[[#This Row],[Valor]]*(1-tItens[[#This Row],[Desconto]])</f>
        <v>23.04545454545455</v>
      </c>
      <c r="N3821" t="str">
        <f>IFERROR(INDEX(tProdutos[Foco],MATCH(tItens[[#This Row],[Produto]],tProdutos[Produto],0)),"Não")</f>
        <v>Não</v>
      </c>
      <c r="O3821" t="str">
        <f>IFERROR(INDEX(tEditais[SRP],MATCH(tItens[[#This Row],[Edital]],tEditais[Edital],0)),"Não")</f>
        <v>Não</v>
      </c>
      <c r="P3821" s="4">
        <f>IF(COUNTIFS(INDEX(tItens[Edital],1):tItens[[#This Row],[Edital]],tItens[[#This Row],[Edital]],INDEX(tItens[Produto],1):tItens[[#This Row],[Produto]],tItens[[#This Row],[Produto]])=1,1,0)</f>
        <v>0</v>
      </c>
    </row>
    <row r="3822" spans="1:16" x14ac:dyDescent="0.25">
      <c r="A3822" t="s">
        <v>1594</v>
      </c>
      <c r="B3822">
        <v>113</v>
      </c>
      <c r="C3822" t="s">
        <v>6686</v>
      </c>
      <c r="D3822" t="s">
        <v>120</v>
      </c>
      <c r="E3822" s="13">
        <v>50</v>
      </c>
      <c r="F3822" s="12">
        <v>0.84</v>
      </c>
      <c r="G3822" t="str">
        <f>IFERROR(INDEX(tEditais[Órgão],MATCH(tItens[[#This Row],[Edital]],tEditais[Edital],0)),"")</f>
        <v>MUNICIPIO DE VARGINHA</v>
      </c>
      <c r="H3822" t="str">
        <f>IFERROR(INDEX(tEditais[UF],MATCH(tItens[[#This Row],[Edital]],tEditais[Edital],0)),"")</f>
        <v>MG</v>
      </c>
      <c r="I3822" s="11">
        <f>IFERROR(INDEX(tEditais[Encerramento],MATCH(tItens[[#This Row],[Edital]],tEditais[Edital],0)),"")</f>
        <v>46314.353472222225</v>
      </c>
      <c r="J3822" t="str">
        <f>IFERROR(INDEX(tProdutos[Classe],MATCH(tItens[[#This Row],[Produto]],tProdutos[Produto],0)),"produto não cadastrado")</f>
        <v>DISPUTADO</v>
      </c>
      <c r="K3822" s="12">
        <f>tItens[[#This Row],[Qtd]]*tItens[[#This Row],[Vlr unit]]</f>
        <v>42</v>
      </c>
      <c r="L3822" s="6">
        <f>IFERROR(IF(INDEX(tProdutos[Desconto homologado],MATCH(tItens[[#This Row],[Produto]],tProdutos[Produto],0))="",DescontoPadrao,INDEX(tProdutos[Desconto homologado],MATCH(tItens[[#This Row],[Produto]],tProdutos[Produto],0))),DescontoPadrao)</f>
        <v>0.40909090909090901</v>
      </c>
      <c r="M3822" s="12">
        <f>tItens[[#This Row],[Valor]]*(1-tItens[[#This Row],[Desconto]])</f>
        <v>24.818181818181824</v>
      </c>
      <c r="N3822" t="str">
        <f>IFERROR(INDEX(tProdutos[Foco],MATCH(tItens[[#This Row],[Produto]],tProdutos[Produto],0)),"Não")</f>
        <v>Não</v>
      </c>
      <c r="O3822" t="str">
        <f>IFERROR(INDEX(tEditais[SRP],MATCH(tItens[[#This Row],[Edital]],tEditais[Edital],0)),"Não")</f>
        <v>Não</v>
      </c>
      <c r="P3822" s="4">
        <f>IF(COUNTIFS(INDEX(tItens[Edital],1):tItens[[#This Row],[Edital]],tItens[[#This Row],[Edital]],INDEX(tItens[Produto],1):tItens[[#This Row],[Produto]],tItens[[#This Row],[Produto]])=1,1,0)</f>
        <v>0</v>
      </c>
    </row>
    <row r="3823" spans="1:16" x14ac:dyDescent="0.25">
      <c r="A3823" t="s">
        <v>1594</v>
      </c>
      <c r="B3823">
        <v>114</v>
      </c>
      <c r="C3823" t="s">
        <v>6687</v>
      </c>
      <c r="D3823" t="s">
        <v>120</v>
      </c>
      <c r="E3823" s="13">
        <v>10</v>
      </c>
      <c r="F3823" s="12">
        <v>0.72</v>
      </c>
      <c r="G3823" t="str">
        <f>IFERROR(INDEX(tEditais[Órgão],MATCH(tItens[[#This Row],[Edital]],tEditais[Edital],0)),"")</f>
        <v>MUNICIPIO DE VARGINHA</v>
      </c>
      <c r="H3823" t="str">
        <f>IFERROR(INDEX(tEditais[UF],MATCH(tItens[[#This Row],[Edital]],tEditais[Edital],0)),"")</f>
        <v>MG</v>
      </c>
      <c r="I3823" s="11">
        <f>IFERROR(INDEX(tEditais[Encerramento],MATCH(tItens[[#This Row],[Edital]],tEditais[Edital],0)),"")</f>
        <v>46314.353472222225</v>
      </c>
      <c r="J3823" t="str">
        <f>IFERROR(INDEX(tProdutos[Classe],MATCH(tItens[[#This Row],[Produto]],tProdutos[Produto],0)),"produto não cadastrado")</f>
        <v>DISPUTADO</v>
      </c>
      <c r="K3823" s="12">
        <f>tItens[[#This Row],[Qtd]]*tItens[[#This Row],[Vlr unit]]</f>
        <v>7.1999999999999993</v>
      </c>
      <c r="L3823" s="6">
        <f>IFERROR(IF(INDEX(tProdutos[Desconto homologado],MATCH(tItens[[#This Row],[Produto]],tProdutos[Produto],0))="",DescontoPadrao,INDEX(tProdutos[Desconto homologado],MATCH(tItens[[#This Row],[Produto]],tProdutos[Produto],0))),DescontoPadrao)</f>
        <v>0.40909090909090901</v>
      </c>
      <c r="M3823" s="12">
        <f>tItens[[#This Row],[Valor]]*(1-tItens[[#This Row],[Desconto]])</f>
        <v>4.2545454545454549</v>
      </c>
      <c r="N3823" t="str">
        <f>IFERROR(INDEX(tProdutos[Foco],MATCH(tItens[[#This Row],[Produto]],tProdutos[Produto],0)),"Não")</f>
        <v>Não</v>
      </c>
      <c r="O3823" t="str">
        <f>IFERROR(INDEX(tEditais[SRP],MATCH(tItens[[#This Row],[Edital]],tEditais[Edital],0)),"Não")</f>
        <v>Não</v>
      </c>
      <c r="P3823" s="4">
        <f>IF(COUNTIFS(INDEX(tItens[Edital],1):tItens[[#This Row],[Edital]],tItens[[#This Row],[Edital]],INDEX(tItens[Produto],1):tItens[[#This Row],[Produto]],tItens[[#This Row],[Produto]])=1,1,0)</f>
        <v>0</v>
      </c>
    </row>
    <row r="3824" spans="1:16" x14ac:dyDescent="0.25">
      <c r="A3824" t="s">
        <v>1594</v>
      </c>
      <c r="B3824">
        <v>115</v>
      </c>
      <c r="C3824" t="s">
        <v>6688</v>
      </c>
      <c r="D3824" t="s">
        <v>120</v>
      </c>
      <c r="E3824" s="13">
        <v>10</v>
      </c>
      <c r="F3824" s="12">
        <v>0.84</v>
      </c>
      <c r="G3824" t="str">
        <f>IFERROR(INDEX(tEditais[Órgão],MATCH(tItens[[#This Row],[Edital]],tEditais[Edital],0)),"")</f>
        <v>MUNICIPIO DE VARGINHA</v>
      </c>
      <c r="H3824" t="str">
        <f>IFERROR(INDEX(tEditais[UF],MATCH(tItens[[#This Row],[Edital]],tEditais[Edital],0)),"")</f>
        <v>MG</v>
      </c>
      <c r="I3824" s="11">
        <f>IFERROR(INDEX(tEditais[Encerramento],MATCH(tItens[[#This Row],[Edital]],tEditais[Edital],0)),"")</f>
        <v>46314.353472222225</v>
      </c>
      <c r="J3824" t="str">
        <f>IFERROR(INDEX(tProdutos[Classe],MATCH(tItens[[#This Row],[Produto]],tProdutos[Produto],0)),"produto não cadastrado")</f>
        <v>DISPUTADO</v>
      </c>
      <c r="K3824" s="12">
        <f>tItens[[#This Row],[Qtd]]*tItens[[#This Row],[Vlr unit]]</f>
        <v>8.4</v>
      </c>
      <c r="L3824" s="6">
        <f>IFERROR(IF(INDEX(tProdutos[Desconto homologado],MATCH(tItens[[#This Row],[Produto]],tProdutos[Produto],0))="",DescontoPadrao,INDEX(tProdutos[Desconto homologado],MATCH(tItens[[#This Row],[Produto]],tProdutos[Produto],0))),DescontoPadrao)</f>
        <v>0.40909090909090901</v>
      </c>
      <c r="M3824" s="12">
        <f>tItens[[#This Row],[Valor]]*(1-tItens[[#This Row],[Desconto]])</f>
        <v>4.9636363636363647</v>
      </c>
      <c r="N3824" t="str">
        <f>IFERROR(INDEX(tProdutos[Foco],MATCH(tItens[[#This Row],[Produto]],tProdutos[Produto],0)),"Não")</f>
        <v>Não</v>
      </c>
      <c r="O3824" t="str">
        <f>IFERROR(INDEX(tEditais[SRP],MATCH(tItens[[#This Row],[Edital]],tEditais[Edital],0)),"Não")</f>
        <v>Não</v>
      </c>
      <c r="P3824" s="4">
        <f>IF(COUNTIFS(INDEX(tItens[Edital],1):tItens[[#This Row],[Edital]],tItens[[#This Row],[Edital]],INDEX(tItens[Produto],1):tItens[[#This Row],[Produto]],tItens[[#This Row],[Produto]])=1,1,0)</f>
        <v>0</v>
      </c>
    </row>
    <row r="3825" spans="1:16" x14ac:dyDescent="0.25">
      <c r="A3825" t="s">
        <v>1594</v>
      </c>
      <c r="B3825">
        <v>116</v>
      </c>
      <c r="C3825" t="s">
        <v>6689</v>
      </c>
      <c r="D3825" t="s">
        <v>120</v>
      </c>
      <c r="E3825" s="13">
        <v>90</v>
      </c>
      <c r="F3825" s="12">
        <v>1.08</v>
      </c>
      <c r="G3825" t="str">
        <f>IFERROR(INDEX(tEditais[Órgão],MATCH(tItens[[#This Row],[Edital]],tEditais[Edital],0)),"")</f>
        <v>MUNICIPIO DE VARGINHA</v>
      </c>
      <c r="H3825" t="str">
        <f>IFERROR(INDEX(tEditais[UF],MATCH(tItens[[#This Row],[Edital]],tEditais[Edital],0)),"")</f>
        <v>MG</v>
      </c>
      <c r="I3825" s="11">
        <f>IFERROR(INDEX(tEditais[Encerramento],MATCH(tItens[[#This Row],[Edital]],tEditais[Edital],0)),"")</f>
        <v>46314.353472222225</v>
      </c>
      <c r="J3825" t="str">
        <f>IFERROR(INDEX(tProdutos[Classe],MATCH(tItens[[#This Row],[Produto]],tProdutos[Produto],0)),"produto não cadastrado")</f>
        <v>DISPUTADO</v>
      </c>
      <c r="K3825" s="12">
        <f>tItens[[#This Row],[Qtd]]*tItens[[#This Row],[Vlr unit]]</f>
        <v>97.2</v>
      </c>
      <c r="L3825" s="6">
        <f>IFERROR(IF(INDEX(tProdutos[Desconto homologado],MATCH(tItens[[#This Row],[Produto]],tProdutos[Produto],0))="",DescontoPadrao,INDEX(tProdutos[Desconto homologado],MATCH(tItens[[#This Row],[Produto]],tProdutos[Produto],0))),DescontoPadrao)</f>
        <v>0.40909090909090901</v>
      </c>
      <c r="M3825" s="12">
        <f>tItens[[#This Row],[Valor]]*(1-tItens[[#This Row],[Desconto]])</f>
        <v>57.436363636363652</v>
      </c>
      <c r="N3825" t="str">
        <f>IFERROR(INDEX(tProdutos[Foco],MATCH(tItens[[#This Row],[Produto]],tProdutos[Produto],0)),"Não")</f>
        <v>Não</v>
      </c>
      <c r="O3825" t="str">
        <f>IFERROR(INDEX(tEditais[SRP],MATCH(tItens[[#This Row],[Edital]],tEditais[Edital],0)),"Não")</f>
        <v>Não</v>
      </c>
      <c r="P3825" s="4">
        <f>IF(COUNTIFS(INDEX(tItens[Edital],1):tItens[[#This Row],[Edital]],tItens[[#This Row],[Edital]],INDEX(tItens[Produto],1):tItens[[#This Row],[Produto]],tItens[[#This Row],[Produto]])=1,1,0)</f>
        <v>0</v>
      </c>
    </row>
    <row r="3826" spans="1:16" x14ac:dyDescent="0.25">
      <c r="A3826" t="s">
        <v>1594</v>
      </c>
      <c r="B3826">
        <v>128</v>
      </c>
      <c r="C3826" t="s">
        <v>6690</v>
      </c>
      <c r="D3826" t="s">
        <v>265</v>
      </c>
      <c r="E3826" s="13">
        <v>5000</v>
      </c>
      <c r="F3826" s="12">
        <v>0.4</v>
      </c>
      <c r="G3826" t="str">
        <f>IFERROR(INDEX(tEditais[Órgão],MATCH(tItens[[#This Row],[Edital]],tEditais[Edital],0)),"")</f>
        <v>MUNICIPIO DE VARGINHA</v>
      </c>
      <c r="H3826" t="str">
        <f>IFERROR(INDEX(tEditais[UF],MATCH(tItens[[#This Row],[Edital]],tEditais[Edital],0)),"")</f>
        <v>MG</v>
      </c>
      <c r="I3826" s="11">
        <f>IFERROR(INDEX(tEditais[Encerramento],MATCH(tItens[[#This Row],[Edital]],tEditais[Edital],0)),"")</f>
        <v>46314.353472222225</v>
      </c>
      <c r="J3826" t="str">
        <f>IFERROR(INDEX(tProdutos[Classe],MATCH(tItens[[#This Row],[Produto]],tProdutos[Produto],0)),"produto não cadastrado")</f>
        <v>DISPUTADO</v>
      </c>
      <c r="K3826" s="12">
        <f>tItens[[#This Row],[Qtd]]*tItens[[#This Row],[Vlr unit]]</f>
        <v>2000</v>
      </c>
      <c r="L3826" s="6">
        <f>IFERROR(IF(INDEX(tProdutos[Desconto homologado],MATCH(tItens[[#This Row],[Produto]],tProdutos[Produto],0))="",DescontoPadrao,INDEX(tProdutos[Desconto homologado],MATCH(tItens[[#This Row],[Produto]],tProdutos[Produto],0))),DescontoPadrao)</f>
        <v>0.377587663709337</v>
      </c>
      <c r="M3826" s="12">
        <f>tItens[[#This Row],[Valor]]*(1-tItens[[#This Row],[Desconto]])</f>
        <v>1244.824672581326</v>
      </c>
      <c r="N3826" t="str">
        <f>IFERROR(INDEX(tProdutos[Foco],MATCH(tItens[[#This Row],[Produto]],tProdutos[Produto],0)),"Não")</f>
        <v>Não</v>
      </c>
      <c r="O3826" t="str">
        <f>IFERROR(INDEX(tEditais[SRP],MATCH(tItens[[#This Row],[Edital]],tEditais[Edital],0)),"Não")</f>
        <v>Não</v>
      </c>
      <c r="P3826" s="4">
        <f>IF(COUNTIFS(INDEX(tItens[Edital],1):tItens[[#This Row],[Edital]],tItens[[#This Row],[Edital]],INDEX(tItens[Produto],1):tItens[[#This Row],[Produto]],tItens[[#This Row],[Produto]])=1,1,0)</f>
        <v>0</v>
      </c>
    </row>
    <row r="3827" spans="1:16" x14ac:dyDescent="0.25">
      <c r="A3827" t="s">
        <v>1599</v>
      </c>
      <c r="B3827">
        <v>30</v>
      </c>
      <c r="C3827" t="s">
        <v>6691</v>
      </c>
      <c r="D3827" t="s">
        <v>515</v>
      </c>
      <c r="E3827" s="13">
        <v>40</v>
      </c>
      <c r="F3827" s="12">
        <v>57.57</v>
      </c>
      <c r="G3827" t="str">
        <f>IFERROR(INDEX(tEditais[Órgão],MATCH(tItens[[#This Row],[Edital]],tEditais[Edital],0)),"")</f>
        <v>FUNDO MUNICIPAL DE SAUDE</v>
      </c>
      <c r="H3827" t="str">
        <f>IFERROR(INDEX(tEditais[UF],MATCH(tItens[[#This Row],[Edital]],tEditais[Edital],0)),"")</f>
        <v>MG</v>
      </c>
      <c r="I3827" s="11">
        <f>IFERROR(INDEX(tEditais[Encerramento],MATCH(tItens[[#This Row],[Edital]],tEditais[Edital],0)),"")</f>
        <v>46314.354166666664</v>
      </c>
      <c r="J3827" t="str">
        <f>IFERROR(INDEX(tProdutos[Classe],MATCH(tItens[[#This Row],[Produto]],tProdutos[Produto],0)),"produto não cadastrado")</f>
        <v>FILA REBASE</v>
      </c>
      <c r="K3827" s="12">
        <f>tItens[[#This Row],[Qtd]]*tItens[[#This Row],[Vlr unit]]</f>
        <v>2302.8000000000002</v>
      </c>
      <c r="L3827" s="6">
        <f>IFERROR(IF(INDEX(tProdutos[Desconto homologado],MATCH(tItens[[#This Row],[Produto]],tProdutos[Produto],0))="",DescontoPadrao,INDEX(tProdutos[Desconto homologado],MATCH(tItens[[#This Row],[Produto]],tProdutos[Produto],0))),DescontoPadrao)</f>
        <v>0.33728831611460203</v>
      </c>
      <c r="M3827" s="12">
        <f>tItens[[#This Row],[Valor]]*(1-tItens[[#This Row],[Desconto]])</f>
        <v>1526.0924656512943</v>
      </c>
      <c r="N3827" t="str">
        <f>IFERROR(INDEX(tProdutos[Foco],MATCH(tItens[[#This Row],[Produto]],tProdutos[Produto],0)),"Não")</f>
        <v>Não</v>
      </c>
      <c r="O3827" t="str">
        <f>IFERROR(INDEX(tEditais[SRP],MATCH(tItens[[#This Row],[Edital]],tEditais[Edital],0)),"Não")</f>
        <v>Não</v>
      </c>
      <c r="P3827" s="4">
        <f>IF(COUNTIFS(INDEX(tItens[Edital],1):tItens[[#This Row],[Edital]],tItens[[#This Row],[Edital]],INDEX(tItens[Produto],1):tItens[[#This Row],[Produto]],tItens[[#This Row],[Produto]])=1,1,0)</f>
        <v>1</v>
      </c>
    </row>
    <row r="3828" spans="1:16" x14ac:dyDescent="0.25">
      <c r="A3828" t="s">
        <v>1599</v>
      </c>
      <c r="B3828">
        <v>31</v>
      </c>
      <c r="C3828" t="s">
        <v>6692</v>
      </c>
      <c r="D3828" t="s">
        <v>515</v>
      </c>
      <c r="E3828" s="13">
        <v>40</v>
      </c>
      <c r="F3828" s="12">
        <v>54.02</v>
      </c>
      <c r="G3828" t="str">
        <f>IFERROR(INDEX(tEditais[Órgão],MATCH(tItens[[#This Row],[Edital]],tEditais[Edital],0)),"")</f>
        <v>FUNDO MUNICIPAL DE SAUDE</v>
      </c>
      <c r="H3828" t="str">
        <f>IFERROR(INDEX(tEditais[UF],MATCH(tItens[[#This Row],[Edital]],tEditais[Edital],0)),"")</f>
        <v>MG</v>
      </c>
      <c r="I3828" s="11">
        <f>IFERROR(INDEX(tEditais[Encerramento],MATCH(tItens[[#This Row],[Edital]],tEditais[Edital],0)),"")</f>
        <v>46314.354166666664</v>
      </c>
      <c r="J3828" t="str">
        <f>IFERROR(INDEX(tProdutos[Classe],MATCH(tItens[[#This Row],[Produto]],tProdutos[Produto],0)),"produto não cadastrado")</f>
        <v>FILA REBASE</v>
      </c>
      <c r="K3828" s="12">
        <f>tItens[[#This Row],[Qtd]]*tItens[[#This Row],[Vlr unit]]</f>
        <v>2160.8000000000002</v>
      </c>
      <c r="L3828" s="6">
        <f>IFERROR(IF(INDEX(tProdutos[Desconto homologado],MATCH(tItens[[#This Row],[Produto]],tProdutos[Produto],0))="",DescontoPadrao,INDEX(tProdutos[Desconto homologado],MATCH(tItens[[#This Row],[Produto]],tProdutos[Produto],0))),DescontoPadrao)</f>
        <v>0.33728831611460203</v>
      </c>
      <c r="M3828" s="12">
        <f>tItens[[#This Row],[Valor]]*(1-tItens[[#This Row],[Desconto]])</f>
        <v>1431.9874065395679</v>
      </c>
      <c r="N3828" t="str">
        <f>IFERROR(INDEX(tProdutos[Foco],MATCH(tItens[[#This Row],[Produto]],tProdutos[Produto],0)),"Não")</f>
        <v>Não</v>
      </c>
      <c r="O3828" t="str">
        <f>IFERROR(INDEX(tEditais[SRP],MATCH(tItens[[#This Row],[Edital]],tEditais[Edital],0)),"Não")</f>
        <v>Não</v>
      </c>
      <c r="P3828" s="4">
        <f>IF(COUNTIFS(INDEX(tItens[Edital],1):tItens[[#This Row],[Edital]],tItens[[#This Row],[Edital]],INDEX(tItens[Produto],1):tItens[[#This Row],[Produto]],tItens[[#This Row],[Produto]])=1,1,0)</f>
        <v>0</v>
      </c>
    </row>
    <row r="3829" spans="1:16" x14ac:dyDescent="0.25">
      <c r="A3829" t="s">
        <v>1599</v>
      </c>
      <c r="B3829">
        <v>32</v>
      </c>
      <c r="C3829" t="s">
        <v>6693</v>
      </c>
      <c r="D3829" t="s">
        <v>515</v>
      </c>
      <c r="E3829" s="13">
        <v>80</v>
      </c>
      <c r="F3829" s="12">
        <v>49.67</v>
      </c>
      <c r="G3829" t="str">
        <f>IFERROR(INDEX(tEditais[Órgão],MATCH(tItens[[#This Row],[Edital]],tEditais[Edital],0)),"")</f>
        <v>FUNDO MUNICIPAL DE SAUDE</v>
      </c>
      <c r="H3829" t="str">
        <f>IFERROR(INDEX(tEditais[UF],MATCH(tItens[[#This Row],[Edital]],tEditais[Edital],0)),"")</f>
        <v>MG</v>
      </c>
      <c r="I3829" s="11">
        <f>IFERROR(INDEX(tEditais[Encerramento],MATCH(tItens[[#This Row],[Edital]],tEditais[Edital],0)),"")</f>
        <v>46314.354166666664</v>
      </c>
      <c r="J3829" t="str">
        <f>IFERROR(INDEX(tProdutos[Classe],MATCH(tItens[[#This Row],[Produto]],tProdutos[Produto],0)),"produto não cadastrado")</f>
        <v>FILA REBASE</v>
      </c>
      <c r="K3829" s="12">
        <f>tItens[[#This Row],[Qtd]]*tItens[[#This Row],[Vlr unit]]</f>
        <v>3973.6000000000004</v>
      </c>
      <c r="L3829" s="6">
        <f>IFERROR(IF(INDEX(tProdutos[Desconto homologado],MATCH(tItens[[#This Row],[Produto]],tProdutos[Produto],0))="",DescontoPadrao,INDEX(tProdutos[Desconto homologado],MATCH(tItens[[#This Row],[Produto]],tProdutos[Produto],0))),DescontoPadrao)</f>
        <v>0.33728831611460203</v>
      </c>
      <c r="M3829" s="12">
        <f>tItens[[#This Row],[Valor]]*(1-tItens[[#This Row],[Desconto]])</f>
        <v>2633.3511470870176</v>
      </c>
      <c r="N3829" t="str">
        <f>IFERROR(INDEX(tProdutos[Foco],MATCH(tItens[[#This Row],[Produto]],tProdutos[Produto],0)),"Não")</f>
        <v>Não</v>
      </c>
      <c r="O3829" t="str">
        <f>IFERROR(INDEX(tEditais[SRP],MATCH(tItens[[#This Row],[Edital]],tEditais[Edital],0)),"Não")</f>
        <v>Não</v>
      </c>
      <c r="P3829" s="4">
        <f>IF(COUNTIFS(INDEX(tItens[Edital],1):tItens[[#This Row],[Edital]],tItens[[#This Row],[Edital]],INDEX(tItens[Produto],1):tItens[[#This Row],[Produto]],tItens[[#This Row],[Produto]])=1,1,0)</f>
        <v>0</v>
      </c>
    </row>
    <row r="3830" spans="1:16" x14ac:dyDescent="0.25">
      <c r="A3830" t="s">
        <v>1599</v>
      </c>
      <c r="B3830">
        <v>33</v>
      </c>
      <c r="C3830" t="s">
        <v>6694</v>
      </c>
      <c r="D3830" t="s">
        <v>515</v>
      </c>
      <c r="E3830" s="13">
        <v>80</v>
      </c>
      <c r="F3830" s="12">
        <v>54.78</v>
      </c>
      <c r="G3830" t="str">
        <f>IFERROR(INDEX(tEditais[Órgão],MATCH(tItens[[#This Row],[Edital]],tEditais[Edital],0)),"")</f>
        <v>FUNDO MUNICIPAL DE SAUDE</v>
      </c>
      <c r="H3830" t="str">
        <f>IFERROR(INDEX(tEditais[UF],MATCH(tItens[[#This Row],[Edital]],tEditais[Edital],0)),"")</f>
        <v>MG</v>
      </c>
      <c r="I3830" s="11">
        <f>IFERROR(INDEX(tEditais[Encerramento],MATCH(tItens[[#This Row],[Edital]],tEditais[Edital],0)),"")</f>
        <v>46314.354166666664</v>
      </c>
      <c r="J3830" t="str">
        <f>IFERROR(INDEX(tProdutos[Classe],MATCH(tItens[[#This Row],[Produto]],tProdutos[Produto],0)),"produto não cadastrado")</f>
        <v>FILA REBASE</v>
      </c>
      <c r="K3830" s="12">
        <f>tItens[[#This Row],[Qtd]]*tItens[[#This Row],[Vlr unit]]</f>
        <v>4382.3999999999996</v>
      </c>
      <c r="L3830" s="6">
        <f>IFERROR(IF(INDEX(tProdutos[Desconto homologado],MATCH(tItens[[#This Row],[Produto]],tProdutos[Produto],0))="",DescontoPadrao,INDEX(tProdutos[Desconto homologado],MATCH(tItens[[#This Row],[Produto]],tProdutos[Produto],0))),DescontoPadrao)</f>
        <v>0.33728831611460203</v>
      </c>
      <c r="M3830" s="12">
        <f>tItens[[#This Row],[Valor]]*(1-tItens[[#This Row],[Desconto]])</f>
        <v>2904.2676834593676</v>
      </c>
      <c r="N3830" t="str">
        <f>IFERROR(INDEX(tProdutos[Foco],MATCH(tItens[[#This Row],[Produto]],tProdutos[Produto],0)),"Não")</f>
        <v>Não</v>
      </c>
      <c r="O3830" t="str">
        <f>IFERROR(INDEX(tEditais[SRP],MATCH(tItens[[#This Row],[Edital]],tEditais[Edital],0)),"Não")</f>
        <v>Não</v>
      </c>
      <c r="P3830" s="4">
        <f>IF(COUNTIFS(INDEX(tItens[Edital],1):tItens[[#This Row],[Edital]],tItens[[#This Row],[Edital]],INDEX(tItens[Produto],1):tItens[[#This Row],[Produto]],tItens[[#This Row],[Produto]])=1,1,0)</f>
        <v>0</v>
      </c>
    </row>
    <row r="3831" spans="1:16" x14ac:dyDescent="0.25">
      <c r="A3831" t="s">
        <v>1599</v>
      </c>
      <c r="B3831">
        <v>34</v>
      </c>
      <c r="C3831" t="s">
        <v>6695</v>
      </c>
      <c r="D3831" t="s">
        <v>515</v>
      </c>
      <c r="E3831" s="13">
        <v>80</v>
      </c>
      <c r="F3831" s="12">
        <v>60.63</v>
      </c>
      <c r="G3831" t="str">
        <f>IFERROR(INDEX(tEditais[Órgão],MATCH(tItens[[#This Row],[Edital]],tEditais[Edital],0)),"")</f>
        <v>FUNDO MUNICIPAL DE SAUDE</v>
      </c>
      <c r="H3831" t="str">
        <f>IFERROR(INDEX(tEditais[UF],MATCH(tItens[[#This Row],[Edital]],tEditais[Edital],0)),"")</f>
        <v>MG</v>
      </c>
      <c r="I3831" s="11">
        <f>IFERROR(INDEX(tEditais[Encerramento],MATCH(tItens[[#This Row],[Edital]],tEditais[Edital],0)),"")</f>
        <v>46314.354166666664</v>
      </c>
      <c r="J3831" t="str">
        <f>IFERROR(INDEX(tProdutos[Classe],MATCH(tItens[[#This Row],[Produto]],tProdutos[Produto],0)),"produto não cadastrado")</f>
        <v>FILA REBASE</v>
      </c>
      <c r="K3831" s="12">
        <f>tItens[[#This Row],[Qtd]]*tItens[[#This Row],[Vlr unit]]</f>
        <v>4850.4000000000005</v>
      </c>
      <c r="L3831" s="6">
        <f>IFERROR(IF(INDEX(tProdutos[Desconto homologado],MATCH(tItens[[#This Row],[Produto]],tProdutos[Produto],0))="",DescontoPadrao,INDEX(tProdutos[Desconto homologado],MATCH(tItens[[#This Row],[Produto]],tProdutos[Produto],0))),DescontoPadrao)</f>
        <v>0.33728831611460203</v>
      </c>
      <c r="M3831" s="12">
        <f>tItens[[#This Row],[Valor]]*(1-tItens[[#This Row],[Desconto]])</f>
        <v>3214.4167515177346</v>
      </c>
      <c r="N3831" t="str">
        <f>IFERROR(INDEX(tProdutos[Foco],MATCH(tItens[[#This Row],[Produto]],tProdutos[Produto],0)),"Não")</f>
        <v>Não</v>
      </c>
      <c r="O3831" t="str">
        <f>IFERROR(INDEX(tEditais[SRP],MATCH(tItens[[#This Row],[Edital]],tEditais[Edital],0)),"Não")</f>
        <v>Não</v>
      </c>
      <c r="P3831" s="4">
        <f>IF(COUNTIFS(INDEX(tItens[Edital],1):tItens[[#This Row],[Edital]],tItens[[#This Row],[Edital]],INDEX(tItens[Produto],1):tItens[[#This Row],[Produto]],tItens[[#This Row],[Produto]])=1,1,0)</f>
        <v>0</v>
      </c>
    </row>
    <row r="3832" spans="1:16" x14ac:dyDescent="0.25">
      <c r="A3832" t="s">
        <v>1599</v>
      </c>
      <c r="B3832">
        <v>35</v>
      </c>
      <c r="C3832" t="s">
        <v>6696</v>
      </c>
      <c r="D3832" t="s">
        <v>515</v>
      </c>
      <c r="E3832" s="13">
        <v>80</v>
      </c>
      <c r="F3832" s="12">
        <v>52.16</v>
      </c>
      <c r="G3832" t="str">
        <f>IFERROR(INDEX(tEditais[Órgão],MATCH(tItens[[#This Row],[Edital]],tEditais[Edital],0)),"")</f>
        <v>FUNDO MUNICIPAL DE SAUDE</v>
      </c>
      <c r="H3832" t="str">
        <f>IFERROR(INDEX(tEditais[UF],MATCH(tItens[[#This Row],[Edital]],tEditais[Edital],0)),"")</f>
        <v>MG</v>
      </c>
      <c r="I3832" s="11">
        <f>IFERROR(INDEX(tEditais[Encerramento],MATCH(tItens[[#This Row],[Edital]],tEditais[Edital],0)),"")</f>
        <v>46314.354166666664</v>
      </c>
      <c r="J3832" t="str">
        <f>IFERROR(INDEX(tProdutos[Classe],MATCH(tItens[[#This Row],[Produto]],tProdutos[Produto],0)),"produto não cadastrado")</f>
        <v>FILA REBASE</v>
      </c>
      <c r="K3832" s="12">
        <f>tItens[[#This Row],[Qtd]]*tItens[[#This Row],[Vlr unit]]</f>
        <v>4172.7999999999993</v>
      </c>
      <c r="L3832" s="6">
        <f>IFERROR(IF(INDEX(tProdutos[Desconto homologado],MATCH(tItens[[#This Row],[Produto]],tProdutos[Produto],0))="",DescontoPadrao,INDEX(tProdutos[Desconto homologado],MATCH(tItens[[#This Row],[Produto]],tProdutos[Produto],0))),DescontoPadrao)</f>
        <v>0.33728831611460203</v>
      </c>
      <c r="M3832" s="12">
        <f>tItens[[#This Row],[Valor]]*(1-tItens[[#This Row],[Desconto]])</f>
        <v>2765.3633145169879</v>
      </c>
      <c r="N3832" t="str">
        <f>IFERROR(INDEX(tProdutos[Foco],MATCH(tItens[[#This Row],[Produto]],tProdutos[Produto],0)),"Não")</f>
        <v>Não</v>
      </c>
      <c r="O3832" t="str">
        <f>IFERROR(INDEX(tEditais[SRP],MATCH(tItens[[#This Row],[Edital]],tEditais[Edital],0)),"Não")</f>
        <v>Não</v>
      </c>
      <c r="P3832" s="4">
        <f>IF(COUNTIFS(INDEX(tItens[Edital],1):tItens[[#This Row],[Edital]],tItens[[#This Row],[Edital]],INDEX(tItens[Produto],1):tItens[[#This Row],[Produto]],tItens[[#This Row],[Produto]])=1,1,0)</f>
        <v>0</v>
      </c>
    </row>
    <row r="3833" spans="1:16" x14ac:dyDescent="0.25">
      <c r="A3833" t="s">
        <v>1599</v>
      </c>
      <c r="B3833">
        <v>36</v>
      </c>
      <c r="C3833" t="s">
        <v>6697</v>
      </c>
      <c r="D3833" t="s">
        <v>515</v>
      </c>
      <c r="E3833" s="13">
        <v>80</v>
      </c>
      <c r="F3833" s="12">
        <v>56.89</v>
      </c>
      <c r="G3833" t="str">
        <f>IFERROR(INDEX(tEditais[Órgão],MATCH(tItens[[#This Row],[Edital]],tEditais[Edital],0)),"")</f>
        <v>FUNDO MUNICIPAL DE SAUDE</v>
      </c>
      <c r="H3833" t="str">
        <f>IFERROR(INDEX(tEditais[UF],MATCH(tItens[[#This Row],[Edital]],tEditais[Edital],0)),"")</f>
        <v>MG</v>
      </c>
      <c r="I3833" s="11">
        <f>IFERROR(INDEX(tEditais[Encerramento],MATCH(tItens[[#This Row],[Edital]],tEditais[Edital],0)),"")</f>
        <v>46314.354166666664</v>
      </c>
      <c r="J3833" t="str">
        <f>IFERROR(INDEX(tProdutos[Classe],MATCH(tItens[[#This Row],[Produto]],tProdutos[Produto],0)),"produto não cadastrado")</f>
        <v>FILA REBASE</v>
      </c>
      <c r="K3833" s="12">
        <f>tItens[[#This Row],[Qtd]]*tItens[[#This Row],[Vlr unit]]</f>
        <v>4551.2</v>
      </c>
      <c r="L3833" s="6">
        <f>IFERROR(IF(INDEX(tProdutos[Desconto homologado],MATCH(tItens[[#This Row],[Produto]],tProdutos[Produto],0))="",DescontoPadrao,INDEX(tProdutos[Desconto homologado],MATCH(tItens[[#This Row],[Produto]],tProdutos[Produto],0))),DescontoPadrao)</f>
        <v>0.33728831611460203</v>
      </c>
      <c r="M3833" s="12">
        <f>tItens[[#This Row],[Valor]]*(1-tItens[[#This Row],[Desconto]])</f>
        <v>3016.133415699223</v>
      </c>
      <c r="N3833" t="str">
        <f>IFERROR(INDEX(tProdutos[Foco],MATCH(tItens[[#This Row],[Produto]],tProdutos[Produto],0)),"Não")</f>
        <v>Não</v>
      </c>
      <c r="O3833" t="str">
        <f>IFERROR(INDEX(tEditais[SRP],MATCH(tItens[[#This Row],[Edital]],tEditais[Edital],0)),"Não")</f>
        <v>Não</v>
      </c>
      <c r="P3833" s="4">
        <f>IF(COUNTIFS(INDEX(tItens[Edital],1):tItens[[#This Row],[Edital]],tItens[[#This Row],[Edital]],INDEX(tItens[Produto],1):tItens[[#This Row],[Produto]],tItens[[#This Row],[Produto]])=1,1,0)</f>
        <v>0</v>
      </c>
    </row>
    <row r="3834" spans="1:16" x14ac:dyDescent="0.25">
      <c r="A3834" t="s">
        <v>1599</v>
      </c>
      <c r="B3834">
        <v>37</v>
      </c>
      <c r="C3834" t="s">
        <v>6698</v>
      </c>
      <c r="D3834" t="s">
        <v>515</v>
      </c>
      <c r="E3834" s="13">
        <v>80</v>
      </c>
      <c r="F3834" s="12">
        <v>65.87</v>
      </c>
      <c r="G3834" t="str">
        <f>IFERROR(INDEX(tEditais[Órgão],MATCH(tItens[[#This Row],[Edital]],tEditais[Edital],0)),"")</f>
        <v>FUNDO MUNICIPAL DE SAUDE</v>
      </c>
      <c r="H3834" t="str">
        <f>IFERROR(INDEX(tEditais[UF],MATCH(tItens[[#This Row],[Edital]],tEditais[Edital],0)),"")</f>
        <v>MG</v>
      </c>
      <c r="I3834" s="11">
        <f>IFERROR(INDEX(tEditais[Encerramento],MATCH(tItens[[#This Row],[Edital]],tEditais[Edital],0)),"")</f>
        <v>46314.354166666664</v>
      </c>
      <c r="J3834" t="str">
        <f>IFERROR(INDEX(tProdutos[Classe],MATCH(tItens[[#This Row],[Produto]],tProdutos[Produto],0)),"produto não cadastrado")</f>
        <v>FILA REBASE</v>
      </c>
      <c r="K3834" s="12">
        <f>tItens[[#This Row],[Qtd]]*tItens[[#This Row],[Vlr unit]]</f>
        <v>5269.6</v>
      </c>
      <c r="L3834" s="6">
        <f>IFERROR(IF(INDEX(tProdutos[Desconto homologado],MATCH(tItens[[#This Row],[Produto]],tProdutos[Produto],0))="",DescontoPadrao,INDEX(tProdutos[Desconto homologado],MATCH(tItens[[#This Row],[Produto]],tProdutos[Produto],0))),DescontoPadrao)</f>
        <v>0.33728831611460203</v>
      </c>
      <c r="M3834" s="12">
        <f>tItens[[#This Row],[Valor]]*(1-tItens[[#This Row],[Desconto]])</f>
        <v>3492.2254894024932</v>
      </c>
      <c r="N3834" t="str">
        <f>IFERROR(INDEX(tProdutos[Foco],MATCH(tItens[[#This Row],[Produto]],tProdutos[Produto],0)),"Não")</f>
        <v>Não</v>
      </c>
      <c r="O3834" t="str">
        <f>IFERROR(INDEX(tEditais[SRP],MATCH(tItens[[#This Row],[Edital]],tEditais[Edital],0)),"Não")</f>
        <v>Não</v>
      </c>
      <c r="P3834" s="4">
        <f>IF(COUNTIFS(INDEX(tItens[Edital],1):tItens[[#This Row],[Edital]],tItens[[#This Row],[Edital]],INDEX(tItens[Produto],1):tItens[[#This Row],[Produto]],tItens[[#This Row],[Produto]])=1,1,0)</f>
        <v>0</v>
      </c>
    </row>
    <row r="3835" spans="1:16" x14ac:dyDescent="0.25">
      <c r="A3835" t="s">
        <v>1599</v>
      </c>
      <c r="B3835">
        <v>38</v>
      </c>
      <c r="C3835" t="s">
        <v>6699</v>
      </c>
      <c r="D3835" t="s">
        <v>515</v>
      </c>
      <c r="E3835" s="13">
        <v>120</v>
      </c>
      <c r="F3835" s="12">
        <v>58.73</v>
      </c>
      <c r="G3835" t="str">
        <f>IFERROR(INDEX(tEditais[Órgão],MATCH(tItens[[#This Row],[Edital]],tEditais[Edital],0)),"")</f>
        <v>FUNDO MUNICIPAL DE SAUDE</v>
      </c>
      <c r="H3835" t="str">
        <f>IFERROR(INDEX(tEditais[UF],MATCH(tItens[[#This Row],[Edital]],tEditais[Edital],0)),"")</f>
        <v>MG</v>
      </c>
      <c r="I3835" s="11">
        <f>IFERROR(INDEX(tEditais[Encerramento],MATCH(tItens[[#This Row],[Edital]],tEditais[Edital],0)),"")</f>
        <v>46314.354166666664</v>
      </c>
      <c r="J3835" t="str">
        <f>IFERROR(INDEX(tProdutos[Classe],MATCH(tItens[[#This Row],[Produto]],tProdutos[Produto],0)),"produto não cadastrado")</f>
        <v>FILA REBASE</v>
      </c>
      <c r="K3835" s="12">
        <f>tItens[[#This Row],[Qtd]]*tItens[[#This Row],[Vlr unit]]</f>
        <v>7047.5999999999995</v>
      </c>
      <c r="L3835" s="6">
        <f>IFERROR(IF(INDEX(tProdutos[Desconto homologado],MATCH(tItens[[#This Row],[Produto]],tProdutos[Produto],0))="",DescontoPadrao,INDEX(tProdutos[Desconto homologado],MATCH(tItens[[#This Row],[Produto]],tProdutos[Produto],0))),DescontoPadrao)</f>
        <v>0.33728831611460203</v>
      </c>
      <c r="M3835" s="12">
        <f>tItens[[#This Row],[Valor]]*(1-tItens[[#This Row],[Desconto]])</f>
        <v>4670.5268633507303</v>
      </c>
      <c r="N3835" t="str">
        <f>IFERROR(INDEX(tProdutos[Foco],MATCH(tItens[[#This Row],[Produto]],tProdutos[Produto],0)),"Não")</f>
        <v>Não</v>
      </c>
      <c r="O3835" t="str">
        <f>IFERROR(INDEX(tEditais[SRP],MATCH(tItens[[#This Row],[Edital]],tEditais[Edital],0)),"Não")</f>
        <v>Não</v>
      </c>
      <c r="P3835" s="4">
        <f>IF(COUNTIFS(INDEX(tItens[Edital],1):tItens[[#This Row],[Edital]],tItens[[#This Row],[Edital]],INDEX(tItens[Produto],1):tItens[[#This Row],[Produto]],tItens[[#This Row],[Produto]])=1,1,0)</f>
        <v>0</v>
      </c>
    </row>
    <row r="3836" spans="1:16" x14ac:dyDescent="0.25">
      <c r="A3836" t="s">
        <v>1599</v>
      </c>
      <c r="B3836">
        <v>39</v>
      </c>
      <c r="C3836" t="s">
        <v>6700</v>
      </c>
      <c r="D3836" t="s">
        <v>515</v>
      </c>
      <c r="E3836" s="13">
        <v>200</v>
      </c>
      <c r="F3836" s="12">
        <v>52.07</v>
      </c>
      <c r="G3836" t="str">
        <f>IFERROR(INDEX(tEditais[Órgão],MATCH(tItens[[#This Row],[Edital]],tEditais[Edital],0)),"")</f>
        <v>FUNDO MUNICIPAL DE SAUDE</v>
      </c>
      <c r="H3836" t="str">
        <f>IFERROR(INDEX(tEditais[UF],MATCH(tItens[[#This Row],[Edital]],tEditais[Edital],0)),"")</f>
        <v>MG</v>
      </c>
      <c r="I3836" s="11">
        <f>IFERROR(INDEX(tEditais[Encerramento],MATCH(tItens[[#This Row],[Edital]],tEditais[Edital],0)),"")</f>
        <v>46314.354166666664</v>
      </c>
      <c r="J3836" t="str">
        <f>IFERROR(INDEX(tProdutos[Classe],MATCH(tItens[[#This Row],[Produto]],tProdutos[Produto],0)),"produto não cadastrado")</f>
        <v>FILA REBASE</v>
      </c>
      <c r="K3836" s="12">
        <f>tItens[[#This Row],[Qtd]]*tItens[[#This Row],[Vlr unit]]</f>
        <v>10414</v>
      </c>
      <c r="L3836" s="6">
        <f>IFERROR(IF(INDEX(tProdutos[Desconto homologado],MATCH(tItens[[#This Row],[Produto]],tProdutos[Produto],0))="",DescontoPadrao,INDEX(tProdutos[Desconto homologado],MATCH(tItens[[#This Row],[Produto]],tProdutos[Produto],0))),DescontoPadrao)</f>
        <v>0.33728831611460203</v>
      </c>
      <c r="M3836" s="12">
        <f>tItens[[#This Row],[Valor]]*(1-tItens[[#This Row],[Desconto]])</f>
        <v>6901.4794759825336</v>
      </c>
      <c r="N3836" t="str">
        <f>IFERROR(INDEX(tProdutos[Foco],MATCH(tItens[[#This Row],[Produto]],tProdutos[Produto],0)),"Não")</f>
        <v>Não</v>
      </c>
      <c r="O3836" t="str">
        <f>IFERROR(INDEX(tEditais[SRP],MATCH(tItens[[#This Row],[Edital]],tEditais[Edital],0)),"Não")</f>
        <v>Não</v>
      </c>
      <c r="P3836" s="4">
        <f>IF(COUNTIFS(INDEX(tItens[Edital],1):tItens[[#This Row],[Edital]],tItens[[#This Row],[Edital]],INDEX(tItens[Produto],1):tItens[[#This Row],[Produto]],tItens[[#This Row],[Produto]])=1,1,0)</f>
        <v>0</v>
      </c>
    </row>
    <row r="3837" spans="1:16" x14ac:dyDescent="0.25">
      <c r="A3837" t="s">
        <v>1599</v>
      </c>
      <c r="B3837">
        <v>40</v>
      </c>
      <c r="C3837" t="s">
        <v>6701</v>
      </c>
      <c r="D3837" t="s">
        <v>515</v>
      </c>
      <c r="E3837" s="13">
        <v>200</v>
      </c>
      <c r="F3837" s="12">
        <v>59.01</v>
      </c>
      <c r="G3837" t="str">
        <f>IFERROR(INDEX(tEditais[Órgão],MATCH(tItens[[#This Row],[Edital]],tEditais[Edital],0)),"")</f>
        <v>FUNDO MUNICIPAL DE SAUDE</v>
      </c>
      <c r="H3837" t="str">
        <f>IFERROR(INDEX(tEditais[UF],MATCH(tItens[[#This Row],[Edital]],tEditais[Edital],0)),"")</f>
        <v>MG</v>
      </c>
      <c r="I3837" s="11">
        <f>IFERROR(INDEX(tEditais[Encerramento],MATCH(tItens[[#This Row],[Edital]],tEditais[Edital],0)),"")</f>
        <v>46314.354166666664</v>
      </c>
      <c r="J3837" t="str">
        <f>IFERROR(INDEX(tProdutos[Classe],MATCH(tItens[[#This Row],[Produto]],tProdutos[Produto],0)),"produto não cadastrado")</f>
        <v>FILA REBASE</v>
      </c>
      <c r="K3837" s="12">
        <f>tItens[[#This Row],[Qtd]]*tItens[[#This Row],[Vlr unit]]</f>
        <v>11802</v>
      </c>
      <c r="L3837" s="6">
        <f>IFERROR(IF(INDEX(tProdutos[Desconto homologado],MATCH(tItens[[#This Row],[Produto]],tProdutos[Produto],0))="",DescontoPadrao,INDEX(tProdutos[Desconto homologado],MATCH(tItens[[#This Row],[Produto]],tProdutos[Produto],0))),DescontoPadrao)</f>
        <v>0.33728831611460203</v>
      </c>
      <c r="M3837" s="12">
        <f>tItens[[#This Row],[Valor]]*(1-tItens[[#This Row],[Desconto]])</f>
        <v>7821.323293215466</v>
      </c>
      <c r="N3837" t="str">
        <f>IFERROR(INDEX(tProdutos[Foco],MATCH(tItens[[#This Row],[Produto]],tProdutos[Produto],0)),"Não")</f>
        <v>Não</v>
      </c>
      <c r="O3837" t="str">
        <f>IFERROR(INDEX(tEditais[SRP],MATCH(tItens[[#This Row],[Edital]],tEditais[Edital],0)),"Não")</f>
        <v>Não</v>
      </c>
      <c r="P3837" s="4">
        <f>IF(COUNTIFS(INDEX(tItens[Edital],1):tItens[[#This Row],[Edital]],tItens[[#This Row],[Edital]],INDEX(tItens[Produto],1):tItens[[#This Row],[Produto]],tItens[[#This Row],[Produto]])=1,1,0)</f>
        <v>0</v>
      </c>
    </row>
    <row r="3838" spans="1:16" x14ac:dyDescent="0.25">
      <c r="A3838" t="s">
        <v>1599</v>
      </c>
      <c r="B3838">
        <v>41</v>
      </c>
      <c r="C3838" t="s">
        <v>6702</v>
      </c>
      <c r="D3838" t="s">
        <v>515</v>
      </c>
      <c r="E3838" s="13">
        <v>200</v>
      </c>
      <c r="F3838" s="12">
        <v>62.27</v>
      </c>
      <c r="G3838" t="str">
        <f>IFERROR(INDEX(tEditais[Órgão],MATCH(tItens[[#This Row],[Edital]],tEditais[Edital],0)),"")</f>
        <v>FUNDO MUNICIPAL DE SAUDE</v>
      </c>
      <c r="H3838" t="str">
        <f>IFERROR(INDEX(tEditais[UF],MATCH(tItens[[#This Row],[Edital]],tEditais[Edital],0)),"")</f>
        <v>MG</v>
      </c>
      <c r="I3838" s="11">
        <f>IFERROR(INDEX(tEditais[Encerramento],MATCH(tItens[[#This Row],[Edital]],tEditais[Edital],0)),"")</f>
        <v>46314.354166666664</v>
      </c>
      <c r="J3838" t="str">
        <f>IFERROR(INDEX(tProdutos[Classe],MATCH(tItens[[#This Row],[Produto]],tProdutos[Produto],0)),"produto não cadastrado")</f>
        <v>FILA REBASE</v>
      </c>
      <c r="K3838" s="12">
        <f>tItens[[#This Row],[Qtd]]*tItens[[#This Row],[Vlr unit]]</f>
        <v>12454</v>
      </c>
      <c r="L3838" s="6">
        <f>IFERROR(IF(INDEX(tProdutos[Desconto homologado],MATCH(tItens[[#This Row],[Produto]],tProdutos[Produto],0))="",DescontoPadrao,INDEX(tProdutos[Desconto homologado],MATCH(tItens[[#This Row],[Produto]],tProdutos[Produto],0))),DescontoPadrao)</f>
        <v>0.33728831611460203</v>
      </c>
      <c r="M3838" s="12">
        <f>tItens[[#This Row],[Valor]]*(1-tItens[[#This Row],[Desconto]])</f>
        <v>8253.4113111087463</v>
      </c>
      <c r="N3838" t="str">
        <f>IFERROR(INDEX(tProdutos[Foco],MATCH(tItens[[#This Row],[Produto]],tProdutos[Produto],0)),"Não")</f>
        <v>Não</v>
      </c>
      <c r="O3838" t="str">
        <f>IFERROR(INDEX(tEditais[SRP],MATCH(tItens[[#This Row],[Edital]],tEditais[Edital],0)),"Não")</f>
        <v>Não</v>
      </c>
      <c r="P3838" s="4">
        <f>IF(COUNTIFS(INDEX(tItens[Edital],1):tItens[[#This Row],[Edital]],tItens[[#This Row],[Edital]],INDEX(tItens[Produto],1):tItens[[#This Row],[Produto]],tItens[[#This Row],[Produto]])=1,1,0)</f>
        <v>0</v>
      </c>
    </row>
    <row r="3839" spans="1:16" x14ac:dyDescent="0.25">
      <c r="A3839" t="s">
        <v>1599</v>
      </c>
      <c r="B3839">
        <v>42</v>
      </c>
      <c r="C3839" t="s">
        <v>6703</v>
      </c>
      <c r="D3839" t="s">
        <v>515</v>
      </c>
      <c r="E3839" s="13">
        <v>150</v>
      </c>
      <c r="F3839" s="12">
        <v>49.59</v>
      </c>
      <c r="G3839" t="str">
        <f>IFERROR(INDEX(tEditais[Órgão],MATCH(tItens[[#This Row],[Edital]],tEditais[Edital],0)),"")</f>
        <v>FUNDO MUNICIPAL DE SAUDE</v>
      </c>
      <c r="H3839" t="str">
        <f>IFERROR(INDEX(tEditais[UF],MATCH(tItens[[#This Row],[Edital]],tEditais[Edital],0)),"")</f>
        <v>MG</v>
      </c>
      <c r="I3839" s="11">
        <f>IFERROR(INDEX(tEditais[Encerramento],MATCH(tItens[[#This Row],[Edital]],tEditais[Edital],0)),"")</f>
        <v>46314.354166666664</v>
      </c>
      <c r="J3839" t="str">
        <f>IFERROR(INDEX(tProdutos[Classe],MATCH(tItens[[#This Row],[Produto]],tProdutos[Produto],0)),"produto não cadastrado")</f>
        <v>FILA REBASE</v>
      </c>
      <c r="K3839" s="12">
        <f>tItens[[#This Row],[Qtd]]*tItens[[#This Row],[Vlr unit]]</f>
        <v>7438.5000000000009</v>
      </c>
      <c r="L3839" s="6">
        <f>IFERROR(IF(INDEX(tProdutos[Desconto homologado],MATCH(tItens[[#This Row],[Produto]],tProdutos[Produto],0))="",DescontoPadrao,INDEX(tProdutos[Desconto homologado],MATCH(tItens[[#This Row],[Produto]],tProdutos[Produto],0))),DescontoPadrao)</f>
        <v>0.33728831611460203</v>
      </c>
      <c r="M3839" s="12">
        <f>tItens[[#This Row],[Valor]]*(1-tItens[[#This Row],[Desconto]])</f>
        <v>4929.5808605815328</v>
      </c>
      <c r="N3839" t="str">
        <f>IFERROR(INDEX(tProdutos[Foco],MATCH(tItens[[#This Row],[Produto]],tProdutos[Produto],0)),"Não")</f>
        <v>Não</v>
      </c>
      <c r="O3839" t="str">
        <f>IFERROR(INDEX(tEditais[SRP],MATCH(tItens[[#This Row],[Edital]],tEditais[Edital],0)),"Não")</f>
        <v>Não</v>
      </c>
      <c r="P3839" s="4">
        <f>IF(COUNTIFS(INDEX(tItens[Edital],1):tItens[[#This Row],[Edital]],tItens[[#This Row],[Edital]],INDEX(tItens[Produto],1):tItens[[#This Row],[Produto]],tItens[[#This Row],[Produto]])=1,1,0)</f>
        <v>0</v>
      </c>
    </row>
    <row r="3840" spans="1:16" x14ac:dyDescent="0.25">
      <c r="A3840" t="s">
        <v>1599</v>
      </c>
      <c r="B3840">
        <v>43</v>
      </c>
      <c r="C3840" t="s">
        <v>6704</v>
      </c>
      <c r="D3840" t="s">
        <v>515</v>
      </c>
      <c r="E3840" s="13">
        <v>60</v>
      </c>
      <c r="F3840" s="12">
        <v>57.52</v>
      </c>
      <c r="G3840" t="str">
        <f>IFERROR(INDEX(tEditais[Órgão],MATCH(tItens[[#This Row],[Edital]],tEditais[Edital],0)),"")</f>
        <v>FUNDO MUNICIPAL DE SAUDE</v>
      </c>
      <c r="H3840" t="str">
        <f>IFERROR(INDEX(tEditais[UF],MATCH(tItens[[#This Row],[Edital]],tEditais[Edital],0)),"")</f>
        <v>MG</v>
      </c>
      <c r="I3840" s="11">
        <f>IFERROR(INDEX(tEditais[Encerramento],MATCH(tItens[[#This Row],[Edital]],tEditais[Edital],0)),"")</f>
        <v>46314.354166666664</v>
      </c>
      <c r="J3840" t="str">
        <f>IFERROR(INDEX(tProdutos[Classe],MATCH(tItens[[#This Row],[Produto]],tProdutos[Produto],0)),"produto não cadastrado")</f>
        <v>FILA REBASE</v>
      </c>
      <c r="K3840" s="12">
        <f>tItens[[#This Row],[Qtd]]*tItens[[#This Row],[Vlr unit]]</f>
        <v>3451.2000000000003</v>
      </c>
      <c r="L3840" s="6">
        <f>IFERROR(IF(INDEX(tProdutos[Desconto homologado],MATCH(tItens[[#This Row],[Produto]],tProdutos[Produto],0))="",DescontoPadrao,INDEX(tProdutos[Desconto homologado],MATCH(tItens[[#This Row],[Produto]],tProdutos[Produto],0))),DescontoPadrao)</f>
        <v>0.33728831611460203</v>
      </c>
      <c r="M3840" s="12">
        <f>tItens[[#This Row],[Valor]]*(1-tItens[[#This Row],[Desconto]])</f>
        <v>2287.1505634252853</v>
      </c>
      <c r="N3840" t="str">
        <f>IFERROR(INDEX(tProdutos[Foco],MATCH(tItens[[#This Row],[Produto]],tProdutos[Produto],0)),"Não")</f>
        <v>Não</v>
      </c>
      <c r="O3840" t="str">
        <f>IFERROR(INDEX(tEditais[SRP],MATCH(tItens[[#This Row],[Edital]],tEditais[Edital],0)),"Não")</f>
        <v>Não</v>
      </c>
      <c r="P3840" s="4">
        <f>IF(COUNTIFS(INDEX(tItens[Edital],1):tItens[[#This Row],[Edital]],tItens[[#This Row],[Edital]],INDEX(tItens[Produto],1):tItens[[#This Row],[Produto]],tItens[[#This Row],[Produto]])=1,1,0)</f>
        <v>0</v>
      </c>
    </row>
    <row r="3841" spans="1:16" x14ac:dyDescent="0.25">
      <c r="A3841" t="s">
        <v>1599</v>
      </c>
      <c r="B3841">
        <v>44</v>
      </c>
      <c r="C3841" t="s">
        <v>6705</v>
      </c>
      <c r="D3841" t="s">
        <v>515</v>
      </c>
      <c r="E3841" s="13">
        <v>40</v>
      </c>
      <c r="F3841" s="12">
        <v>37.020000000000003</v>
      </c>
      <c r="G3841" t="str">
        <f>IFERROR(INDEX(tEditais[Órgão],MATCH(tItens[[#This Row],[Edital]],tEditais[Edital],0)),"")</f>
        <v>FUNDO MUNICIPAL DE SAUDE</v>
      </c>
      <c r="H3841" t="str">
        <f>IFERROR(INDEX(tEditais[UF],MATCH(tItens[[#This Row],[Edital]],tEditais[Edital],0)),"")</f>
        <v>MG</v>
      </c>
      <c r="I3841" s="11">
        <f>IFERROR(INDEX(tEditais[Encerramento],MATCH(tItens[[#This Row],[Edital]],tEditais[Edital],0)),"")</f>
        <v>46314.354166666664</v>
      </c>
      <c r="J3841" t="str">
        <f>IFERROR(INDEX(tProdutos[Classe],MATCH(tItens[[#This Row],[Produto]],tProdutos[Produto],0)),"produto não cadastrado")</f>
        <v>FILA REBASE</v>
      </c>
      <c r="K3841" s="12">
        <f>tItens[[#This Row],[Qtd]]*tItens[[#This Row],[Vlr unit]]</f>
        <v>1480.8000000000002</v>
      </c>
      <c r="L3841" s="6">
        <f>IFERROR(IF(INDEX(tProdutos[Desconto homologado],MATCH(tItens[[#This Row],[Produto]],tProdutos[Produto],0))="",DescontoPadrao,INDEX(tProdutos[Desconto homologado],MATCH(tItens[[#This Row],[Produto]],tProdutos[Produto],0))),DescontoPadrao)</f>
        <v>0.33728831611460203</v>
      </c>
      <c r="M3841" s="12">
        <f>tItens[[#This Row],[Valor]]*(1-tItens[[#This Row],[Desconto]])</f>
        <v>981.3434614974974</v>
      </c>
      <c r="N3841" t="str">
        <f>IFERROR(INDEX(tProdutos[Foco],MATCH(tItens[[#This Row],[Produto]],tProdutos[Produto],0)),"Não")</f>
        <v>Não</v>
      </c>
      <c r="O3841" t="str">
        <f>IFERROR(INDEX(tEditais[SRP],MATCH(tItens[[#This Row],[Edital]],tEditais[Edital],0)),"Não")</f>
        <v>Não</v>
      </c>
      <c r="P3841" s="4">
        <f>IF(COUNTIFS(INDEX(tItens[Edital],1):tItens[[#This Row],[Edital]],tItens[[#This Row],[Edital]],INDEX(tItens[Produto],1):tItens[[#This Row],[Produto]],tItens[[#This Row],[Produto]])=1,1,0)</f>
        <v>0</v>
      </c>
    </row>
    <row r="3842" spans="1:16" x14ac:dyDescent="0.25">
      <c r="A3842" t="s">
        <v>1599</v>
      </c>
      <c r="B3842">
        <v>45</v>
      </c>
      <c r="C3842" t="s">
        <v>6706</v>
      </c>
      <c r="D3842" t="s">
        <v>515</v>
      </c>
      <c r="E3842" s="13">
        <v>40</v>
      </c>
      <c r="F3842" s="12">
        <v>36.94</v>
      </c>
      <c r="G3842" t="str">
        <f>IFERROR(INDEX(tEditais[Órgão],MATCH(tItens[[#This Row],[Edital]],tEditais[Edital],0)),"")</f>
        <v>FUNDO MUNICIPAL DE SAUDE</v>
      </c>
      <c r="H3842" t="str">
        <f>IFERROR(INDEX(tEditais[UF],MATCH(tItens[[#This Row],[Edital]],tEditais[Edital],0)),"")</f>
        <v>MG</v>
      </c>
      <c r="I3842" s="11">
        <f>IFERROR(INDEX(tEditais[Encerramento],MATCH(tItens[[#This Row],[Edital]],tEditais[Edital],0)),"")</f>
        <v>46314.354166666664</v>
      </c>
      <c r="J3842" t="str">
        <f>IFERROR(INDEX(tProdutos[Classe],MATCH(tItens[[#This Row],[Produto]],tProdutos[Produto],0)),"produto não cadastrado")</f>
        <v>FILA REBASE</v>
      </c>
      <c r="K3842" s="12">
        <f>tItens[[#This Row],[Qtd]]*tItens[[#This Row],[Vlr unit]]</f>
        <v>1477.6</v>
      </c>
      <c r="L3842" s="6">
        <f>IFERROR(IF(INDEX(tProdutos[Desconto homologado],MATCH(tItens[[#This Row],[Produto]],tProdutos[Produto],0))="",DescontoPadrao,INDEX(tProdutos[Desconto homologado],MATCH(tItens[[#This Row],[Produto]],tProdutos[Produto],0))),DescontoPadrao)</f>
        <v>0.33728831611460203</v>
      </c>
      <c r="M3842" s="12">
        <f>tItens[[#This Row],[Valor]]*(1-tItens[[#This Row],[Desconto]])</f>
        <v>979.22278410906392</v>
      </c>
      <c r="N3842" t="str">
        <f>IFERROR(INDEX(tProdutos[Foco],MATCH(tItens[[#This Row],[Produto]],tProdutos[Produto],0)),"Não")</f>
        <v>Não</v>
      </c>
      <c r="O3842" t="str">
        <f>IFERROR(INDEX(tEditais[SRP],MATCH(tItens[[#This Row],[Edital]],tEditais[Edital],0)),"Não")</f>
        <v>Não</v>
      </c>
      <c r="P3842" s="4">
        <f>IF(COUNTIFS(INDEX(tItens[Edital],1):tItens[[#This Row],[Edital]],tItens[[#This Row],[Edital]],INDEX(tItens[Produto],1):tItens[[#This Row],[Produto]],tItens[[#This Row],[Produto]])=1,1,0)</f>
        <v>0</v>
      </c>
    </row>
    <row r="3843" spans="1:16" x14ac:dyDescent="0.25">
      <c r="A3843" t="s">
        <v>1599</v>
      </c>
      <c r="B3843">
        <v>46</v>
      </c>
      <c r="C3843" t="s">
        <v>6707</v>
      </c>
      <c r="D3843" t="s">
        <v>515</v>
      </c>
      <c r="E3843" s="13">
        <v>40</v>
      </c>
      <c r="F3843" s="12">
        <v>39.840000000000003</v>
      </c>
      <c r="G3843" t="str">
        <f>IFERROR(INDEX(tEditais[Órgão],MATCH(tItens[[#This Row],[Edital]],tEditais[Edital],0)),"")</f>
        <v>FUNDO MUNICIPAL DE SAUDE</v>
      </c>
      <c r="H3843" t="str">
        <f>IFERROR(INDEX(tEditais[UF],MATCH(tItens[[#This Row],[Edital]],tEditais[Edital],0)),"")</f>
        <v>MG</v>
      </c>
      <c r="I3843" s="11">
        <f>IFERROR(INDEX(tEditais[Encerramento],MATCH(tItens[[#This Row],[Edital]],tEditais[Edital],0)),"")</f>
        <v>46314.354166666664</v>
      </c>
      <c r="J3843" t="str">
        <f>IFERROR(INDEX(tProdutos[Classe],MATCH(tItens[[#This Row],[Produto]],tProdutos[Produto],0)),"produto não cadastrado")</f>
        <v>FILA REBASE</v>
      </c>
      <c r="K3843" s="12">
        <f>tItens[[#This Row],[Qtd]]*tItens[[#This Row],[Vlr unit]]</f>
        <v>1593.6000000000001</v>
      </c>
      <c r="L3843" s="6">
        <f>IFERROR(IF(INDEX(tProdutos[Desconto homologado],MATCH(tItens[[#This Row],[Produto]],tProdutos[Produto],0))="",DescontoPadrao,INDEX(tProdutos[Desconto homologado],MATCH(tItens[[#This Row],[Produto]],tProdutos[Produto],0))),DescontoPadrao)</f>
        <v>0.33728831611460203</v>
      </c>
      <c r="M3843" s="12">
        <f>tItens[[#This Row],[Valor]]*(1-tItens[[#This Row],[Desconto]])</f>
        <v>1056.0973394397702</v>
      </c>
      <c r="N3843" t="str">
        <f>IFERROR(INDEX(tProdutos[Foco],MATCH(tItens[[#This Row],[Produto]],tProdutos[Produto],0)),"Não")</f>
        <v>Não</v>
      </c>
      <c r="O3843" t="str">
        <f>IFERROR(INDEX(tEditais[SRP],MATCH(tItens[[#This Row],[Edital]],tEditais[Edital],0)),"Não")</f>
        <v>Não</v>
      </c>
      <c r="P3843" s="4">
        <f>IF(COUNTIFS(INDEX(tItens[Edital],1):tItens[[#This Row],[Edital]],tItens[[#This Row],[Edital]],INDEX(tItens[Produto],1):tItens[[#This Row],[Produto]],tItens[[#This Row],[Produto]])=1,1,0)</f>
        <v>0</v>
      </c>
    </row>
    <row r="3844" spans="1:16" x14ac:dyDescent="0.25">
      <c r="A3844" t="s">
        <v>1599</v>
      </c>
      <c r="B3844">
        <v>47</v>
      </c>
      <c r="C3844" t="s">
        <v>6708</v>
      </c>
      <c r="D3844" t="s">
        <v>515</v>
      </c>
      <c r="E3844" s="13">
        <v>50</v>
      </c>
      <c r="F3844" s="12">
        <v>39.92</v>
      </c>
      <c r="G3844" t="str">
        <f>IFERROR(INDEX(tEditais[Órgão],MATCH(tItens[[#This Row],[Edital]],tEditais[Edital],0)),"")</f>
        <v>FUNDO MUNICIPAL DE SAUDE</v>
      </c>
      <c r="H3844" t="str">
        <f>IFERROR(INDEX(tEditais[UF],MATCH(tItens[[#This Row],[Edital]],tEditais[Edital],0)),"")</f>
        <v>MG</v>
      </c>
      <c r="I3844" s="11">
        <f>IFERROR(INDEX(tEditais[Encerramento],MATCH(tItens[[#This Row],[Edital]],tEditais[Edital],0)),"")</f>
        <v>46314.354166666664</v>
      </c>
      <c r="J3844" t="str">
        <f>IFERROR(INDEX(tProdutos[Classe],MATCH(tItens[[#This Row],[Produto]],tProdutos[Produto],0)),"produto não cadastrado")</f>
        <v>FILA REBASE</v>
      </c>
      <c r="K3844" s="12">
        <f>tItens[[#This Row],[Qtd]]*tItens[[#This Row],[Vlr unit]]</f>
        <v>1996</v>
      </c>
      <c r="L3844" s="6">
        <f>IFERROR(IF(INDEX(tProdutos[Desconto homologado],MATCH(tItens[[#This Row],[Produto]],tProdutos[Produto],0))="",DescontoPadrao,INDEX(tProdutos[Desconto homologado],MATCH(tItens[[#This Row],[Produto]],tProdutos[Produto],0))),DescontoPadrao)</f>
        <v>0.33728831611460203</v>
      </c>
      <c r="M3844" s="12">
        <f>tItens[[#This Row],[Valor]]*(1-tItens[[#This Row],[Desconto]])</f>
        <v>1322.7725210352542</v>
      </c>
      <c r="N3844" t="str">
        <f>IFERROR(INDEX(tProdutos[Foco],MATCH(tItens[[#This Row],[Produto]],tProdutos[Produto],0)),"Não")</f>
        <v>Não</v>
      </c>
      <c r="O3844" t="str">
        <f>IFERROR(INDEX(tEditais[SRP],MATCH(tItens[[#This Row],[Edital]],tEditais[Edital],0)),"Não")</f>
        <v>Não</v>
      </c>
      <c r="P3844" s="4">
        <f>IF(COUNTIFS(INDEX(tItens[Edital],1):tItens[[#This Row],[Edital]],tItens[[#This Row],[Edital]],INDEX(tItens[Produto],1):tItens[[#This Row],[Produto]],tItens[[#This Row],[Produto]])=1,1,0)</f>
        <v>0</v>
      </c>
    </row>
    <row r="3845" spans="1:16" x14ac:dyDescent="0.25">
      <c r="A3845" t="s">
        <v>1599</v>
      </c>
      <c r="B3845">
        <v>48</v>
      </c>
      <c r="C3845" t="s">
        <v>6709</v>
      </c>
      <c r="D3845" t="s">
        <v>515</v>
      </c>
      <c r="E3845" s="13">
        <v>30</v>
      </c>
      <c r="F3845" s="12">
        <v>40.47</v>
      </c>
      <c r="G3845" t="str">
        <f>IFERROR(INDEX(tEditais[Órgão],MATCH(tItens[[#This Row],[Edital]],tEditais[Edital],0)),"")</f>
        <v>FUNDO MUNICIPAL DE SAUDE</v>
      </c>
      <c r="H3845" t="str">
        <f>IFERROR(INDEX(tEditais[UF],MATCH(tItens[[#This Row],[Edital]],tEditais[Edital],0)),"")</f>
        <v>MG</v>
      </c>
      <c r="I3845" s="11">
        <f>IFERROR(INDEX(tEditais[Encerramento],MATCH(tItens[[#This Row],[Edital]],tEditais[Edital],0)),"")</f>
        <v>46314.354166666664</v>
      </c>
      <c r="J3845" t="str">
        <f>IFERROR(INDEX(tProdutos[Classe],MATCH(tItens[[#This Row],[Produto]],tProdutos[Produto],0)),"produto não cadastrado")</f>
        <v>FILA REBASE</v>
      </c>
      <c r="K3845" s="12">
        <f>tItens[[#This Row],[Qtd]]*tItens[[#This Row],[Vlr unit]]</f>
        <v>1214.0999999999999</v>
      </c>
      <c r="L3845" s="6">
        <f>IFERROR(IF(INDEX(tProdutos[Desconto homologado],MATCH(tItens[[#This Row],[Produto]],tProdutos[Produto],0))="",DescontoPadrao,INDEX(tProdutos[Desconto homologado],MATCH(tItens[[#This Row],[Produto]],tProdutos[Produto],0))),DescontoPadrao)</f>
        <v>0.33728831611460203</v>
      </c>
      <c r="M3845" s="12">
        <f>tItens[[#This Row],[Valor]]*(1-tItens[[#This Row],[Desconto]])</f>
        <v>804.59825540526151</v>
      </c>
      <c r="N3845" t="str">
        <f>IFERROR(INDEX(tProdutos[Foco],MATCH(tItens[[#This Row],[Produto]],tProdutos[Produto],0)),"Não")</f>
        <v>Não</v>
      </c>
      <c r="O3845" t="str">
        <f>IFERROR(INDEX(tEditais[SRP],MATCH(tItens[[#This Row],[Edital]],tEditais[Edital],0)),"Não")</f>
        <v>Não</v>
      </c>
      <c r="P3845" s="4">
        <f>IF(COUNTIFS(INDEX(tItens[Edital],1):tItens[[#This Row],[Edital]],tItens[[#This Row],[Edital]],INDEX(tItens[Produto],1):tItens[[#This Row],[Produto]],tItens[[#This Row],[Produto]])=1,1,0)</f>
        <v>0</v>
      </c>
    </row>
    <row r="3846" spans="1:16" x14ac:dyDescent="0.25">
      <c r="A3846" t="s">
        <v>1599</v>
      </c>
      <c r="B3846">
        <v>49</v>
      </c>
      <c r="C3846" t="s">
        <v>6710</v>
      </c>
      <c r="D3846" t="s">
        <v>515</v>
      </c>
      <c r="E3846" s="13">
        <v>50</v>
      </c>
      <c r="F3846" s="12">
        <v>41.81</v>
      </c>
      <c r="G3846" t="str">
        <f>IFERROR(INDEX(tEditais[Órgão],MATCH(tItens[[#This Row],[Edital]],tEditais[Edital],0)),"")</f>
        <v>FUNDO MUNICIPAL DE SAUDE</v>
      </c>
      <c r="H3846" t="str">
        <f>IFERROR(INDEX(tEditais[UF],MATCH(tItens[[#This Row],[Edital]],tEditais[Edital],0)),"")</f>
        <v>MG</v>
      </c>
      <c r="I3846" s="11">
        <f>IFERROR(INDEX(tEditais[Encerramento],MATCH(tItens[[#This Row],[Edital]],tEditais[Edital],0)),"")</f>
        <v>46314.354166666664</v>
      </c>
      <c r="J3846" t="str">
        <f>IFERROR(INDEX(tProdutos[Classe],MATCH(tItens[[#This Row],[Produto]],tProdutos[Produto],0)),"produto não cadastrado")</f>
        <v>FILA REBASE</v>
      </c>
      <c r="K3846" s="12">
        <f>tItens[[#This Row],[Qtd]]*tItens[[#This Row],[Vlr unit]]</f>
        <v>2090.5</v>
      </c>
      <c r="L3846" s="6">
        <f>IFERROR(IF(INDEX(tProdutos[Desconto homologado],MATCH(tItens[[#This Row],[Produto]],tProdutos[Produto],0))="",DescontoPadrao,INDEX(tProdutos[Desconto homologado],MATCH(tItens[[#This Row],[Produto]],tProdutos[Produto],0))),DescontoPadrao)</f>
        <v>0.33728831611460203</v>
      </c>
      <c r="M3846" s="12">
        <f>tItens[[#This Row],[Valor]]*(1-tItens[[#This Row],[Desconto]])</f>
        <v>1385.3987751624243</v>
      </c>
      <c r="N3846" t="str">
        <f>IFERROR(INDEX(tProdutos[Foco],MATCH(tItens[[#This Row],[Produto]],tProdutos[Produto],0)),"Não")</f>
        <v>Não</v>
      </c>
      <c r="O3846" t="str">
        <f>IFERROR(INDEX(tEditais[SRP],MATCH(tItens[[#This Row],[Edital]],tEditais[Edital],0)),"Não")</f>
        <v>Não</v>
      </c>
      <c r="P3846" s="4">
        <f>IF(COUNTIFS(INDEX(tItens[Edital],1):tItens[[#This Row],[Edital]],tItens[[#This Row],[Edital]],INDEX(tItens[Produto],1):tItens[[#This Row],[Produto]],tItens[[#This Row],[Produto]])=1,1,0)</f>
        <v>0</v>
      </c>
    </row>
    <row r="3847" spans="1:16" x14ac:dyDescent="0.25">
      <c r="A3847" t="s">
        <v>1599</v>
      </c>
      <c r="B3847">
        <v>57</v>
      </c>
      <c r="C3847" t="s">
        <v>6711</v>
      </c>
      <c r="D3847" t="s">
        <v>156</v>
      </c>
      <c r="E3847" s="13">
        <v>5</v>
      </c>
      <c r="F3847" s="12">
        <v>46.36</v>
      </c>
      <c r="G3847" t="str">
        <f>IFERROR(INDEX(tEditais[Órgão],MATCH(tItens[[#This Row],[Edital]],tEditais[Edital],0)),"")</f>
        <v>FUNDO MUNICIPAL DE SAUDE</v>
      </c>
      <c r="H3847" t="str">
        <f>IFERROR(INDEX(tEditais[UF],MATCH(tItens[[#This Row],[Edital]],tEditais[Edital],0)),"")</f>
        <v>MG</v>
      </c>
      <c r="I3847" s="11">
        <f>IFERROR(INDEX(tEditais[Encerramento],MATCH(tItens[[#This Row],[Edital]],tEditais[Edital],0)),"")</f>
        <v>46314.354166666664</v>
      </c>
      <c r="J3847" t="str">
        <f>IFERROR(INDEX(tProdutos[Classe],MATCH(tItens[[#This Row],[Produto]],tProdutos[Produto],0)),"produto não cadastrado")</f>
        <v>DISPUTADO</v>
      </c>
      <c r="K3847" s="12">
        <f>tItens[[#This Row],[Qtd]]*tItens[[#This Row],[Vlr unit]]</f>
        <v>231.8</v>
      </c>
      <c r="L3847" s="6">
        <f>IFERROR(IF(INDEX(tProdutos[Desconto homologado],MATCH(tItens[[#This Row],[Produto]],tProdutos[Produto],0))="",DescontoPadrao,INDEX(tProdutos[Desconto homologado],MATCH(tItens[[#This Row],[Produto]],tProdutos[Produto],0))),DescontoPadrao)</f>
        <v>0.27131852489802799</v>
      </c>
      <c r="M3847" s="12">
        <f>tItens[[#This Row],[Valor]]*(1-tItens[[#This Row],[Desconto]])</f>
        <v>168.90836592863712</v>
      </c>
      <c r="N3847" t="str">
        <f>IFERROR(INDEX(tProdutos[Foco],MATCH(tItens[[#This Row],[Produto]],tProdutos[Produto],0)),"Não")</f>
        <v>Não</v>
      </c>
      <c r="O3847" t="str">
        <f>IFERROR(INDEX(tEditais[SRP],MATCH(tItens[[#This Row],[Edital]],tEditais[Edital],0)),"Não")</f>
        <v>Não</v>
      </c>
      <c r="P3847" s="4">
        <f>IF(COUNTIFS(INDEX(tItens[Edital],1):tItens[[#This Row],[Edital]],tItens[[#This Row],[Edital]],INDEX(tItens[Produto],1):tItens[[#This Row],[Produto]],tItens[[#This Row],[Produto]])=1,1,0)</f>
        <v>1</v>
      </c>
    </row>
    <row r="3848" spans="1:16" x14ac:dyDescent="0.25">
      <c r="A3848" t="s">
        <v>1599</v>
      </c>
      <c r="B3848">
        <v>59</v>
      </c>
      <c r="C3848" t="s">
        <v>6712</v>
      </c>
      <c r="D3848" t="s">
        <v>578</v>
      </c>
      <c r="E3848" s="13">
        <v>100</v>
      </c>
      <c r="F3848" s="12">
        <v>539.77</v>
      </c>
      <c r="G3848" t="str">
        <f>IFERROR(INDEX(tEditais[Órgão],MATCH(tItens[[#This Row],[Edital]],tEditais[Edital],0)),"")</f>
        <v>FUNDO MUNICIPAL DE SAUDE</v>
      </c>
      <c r="H3848" t="str">
        <f>IFERROR(INDEX(tEditais[UF],MATCH(tItens[[#This Row],[Edital]],tEditais[Edital],0)),"")</f>
        <v>MG</v>
      </c>
      <c r="I3848" s="11">
        <f>IFERROR(INDEX(tEditais[Encerramento],MATCH(tItens[[#This Row],[Edital]],tEditais[Edital],0)),"")</f>
        <v>46314.354166666664</v>
      </c>
      <c r="J3848" t="str">
        <f>IFERROR(INDEX(tProdutos[Classe],MATCH(tItens[[#This Row],[Produto]],tProdutos[Produto],0)),"produto não cadastrado")</f>
        <v>FILA REBASE</v>
      </c>
      <c r="K3848" s="12">
        <f>tItens[[#This Row],[Qtd]]*tItens[[#This Row],[Vlr unit]]</f>
        <v>53977</v>
      </c>
      <c r="L3848" s="6">
        <f>IFERROR(IF(INDEX(tProdutos[Desconto homologado],MATCH(tItens[[#This Row],[Produto]],tProdutos[Produto],0))="",DescontoPadrao,INDEX(tProdutos[Desconto homologado],MATCH(tItens[[#This Row],[Produto]],tProdutos[Produto],0))),DescontoPadrao)</f>
        <v>0.36014625228519198</v>
      </c>
      <c r="M3848" s="12">
        <f>tItens[[#This Row],[Valor]]*(1-tItens[[#This Row],[Desconto]])</f>
        <v>34537.385740402198</v>
      </c>
      <c r="N3848" t="str">
        <f>IFERROR(INDEX(tProdutos[Foco],MATCH(tItens[[#This Row],[Produto]],tProdutos[Produto],0)),"Não")</f>
        <v>Não</v>
      </c>
      <c r="O3848" t="str">
        <f>IFERROR(INDEX(tEditais[SRP],MATCH(tItens[[#This Row],[Edital]],tEditais[Edital],0)),"Não")</f>
        <v>Não</v>
      </c>
      <c r="P3848" s="4">
        <f>IF(COUNTIFS(INDEX(tItens[Edital],1):tItens[[#This Row],[Edital]],tItens[[#This Row],[Edital]],INDEX(tItens[Produto],1):tItens[[#This Row],[Produto]],tItens[[#This Row],[Produto]])=1,1,0)</f>
        <v>1</v>
      </c>
    </row>
    <row r="3849" spans="1:16" x14ac:dyDescent="0.25">
      <c r="A3849" t="s">
        <v>1599</v>
      </c>
      <c r="B3849">
        <v>66</v>
      </c>
      <c r="C3849" t="s">
        <v>6713</v>
      </c>
      <c r="D3849" t="s">
        <v>205</v>
      </c>
      <c r="E3849" s="13">
        <v>150</v>
      </c>
      <c r="F3849" s="12">
        <v>51.5</v>
      </c>
      <c r="G3849" t="str">
        <f>IFERROR(INDEX(tEditais[Órgão],MATCH(tItens[[#This Row],[Edital]],tEditais[Edital],0)),"")</f>
        <v>FUNDO MUNICIPAL DE SAUDE</v>
      </c>
      <c r="H3849" t="str">
        <f>IFERROR(INDEX(tEditais[UF],MATCH(tItens[[#This Row],[Edital]],tEditais[Edital],0)),"")</f>
        <v>MG</v>
      </c>
      <c r="I3849" s="11">
        <f>IFERROR(INDEX(tEditais[Encerramento],MATCH(tItens[[#This Row],[Edital]],tEditais[Edital],0)),"")</f>
        <v>46314.354166666664</v>
      </c>
      <c r="J3849" t="str">
        <f>IFERROR(INDEX(tProdutos[Classe],MATCH(tItens[[#This Row],[Produto]],tProdutos[Produto],0)),"produto não cadastrado")</f>
        <v>FORA</v>
      </c>
      <c r="K3849" s="12">
        <f>tItens[[#This Row],[Qtd]]*tItens[[#This Row],[Vlr unit]]</f>
        <v>7725</v>
      </c>
      <c r="L3849" s="6">
        <f>IFERROR(IF(INDEX(tProdutos[Desconto homologado],MATCH(tItens[[#This Row],[Produto]],tProdutos[Produto],0))="",DescontoPadrao,INDEX(tProdutos[Desconto homologado],MATCH(tItens[[#This Row],[Produto]],tProdutos[Produto],0))),DescontoPadrao)</f>
        <v>0.468911625815156</v>
      </c>
      <c r="M3849" s="12">
        <f>tItens[[#This Row],[Valor]]*(1-tItens[[#This Row],[Desconto]])</f>
        <v>4102.6576905779202</v>
      </c>
      <c r="N3849" t="str">
        <f>IFERROR(INDEX(tProdutos[Foco],MATCH(tItens[[#This Row],[Produto]],tProdutos[Produto],0)),"Não")</f>
        <v>Não</v>
      </c>
      <c r="O3849" t="str">
        <f>IFERROR(INDEX(tEditais[SRP],MATCH(tItens[[#This Row],[Edital]],tEditais[Edital],0)),"Não")</f>
        <v>Não</v>
      </c>
      <c r="P3849" s="4">
        <f>IF(COUNTIFS(INDEX(tItens[Edital],1):tItens[[#This Row],[Edital]],tItens[[#This Row],[Edital]],INDEX(tItens[Produto],1):tItens[[#This Row],[Produto]],tItens[[#This Row],[Produto]])=1,1,0)</f>
        <v>1</v>
      </c>
    </row>
    <row r="3850" spans="1:16" x14ac:dyDescent="0.25">
      <c r="A3850" t="s">
        <v>1599</v>
      </c>
      <c r="B3850">
        <v>67</v>
      </c>
      <c r="C3850" t="s">
        <v>6714</v>
      </c>
      <c r="D3850" t="s">
        <v>205</v>
      </c>
      <c r="E3850" s="13">
        <v>100</v>
      </c>
      <c r="F3850" s="12">
        <v>54.43</v>
      </c>
      <c r="G3850" t="str">
        <f>IFERROR(INDEX(tEditais[Órgão],MATCH(tItens[[#This Row],[Edital]],tEditais[Edital],0)),"")</f>
        <v>FUNDO MUNICIPAL DE SAUDE</v>
      </c>
      <c r="H3850" t="str">
        <f>IFERROR(INDEX(tEditais[UF],MATCH(tItens[[#This Row],[Edital]],tEditais[Edital],0)),"")</f>
        <v>MG</v>
      </c>
      <c r="I3850" s="11">
        <f>IFERROR(INDEX(tEditais[Encerramento],MATCH(tItens[[#This Row],[Edital]],tEditais[Edital],0)),"")</f>
        <v>46314.354166666664</v>
      </c>
      <c r="J3850" t="str">
        <f>IFERROR(INDEX(tProdutos[Classe],MATCH(tItens[[#This Row],[Produto]],tProdutos[Produto],0)),"produto não cadastrado")</f>
        <v>FORA</v>
      </c>
      <c r="K3850" s="12">
        <f>tItens[[#This Row],[Qtd]]*tItens[[#This Row],[Vlr unit]]</f>
        <v>5443</v>
      </c>
      <c r="L3850" s="6">
        <f>IFERROR(IF(INDEX(tProdutos[Desconto homologado],MATCH(tItens[[#This Row],[Produto]],tProdutos[Produto],0))="",DescontoPadrao,INDEX(tProdutos[Desconto homologado],MATCH(tItens[[#This Row],[Produto]],tProdutos[Produto],0))),DescontoPadrao)</f>
        <v>0.468911625815156</v>
      </c>
      <c r="M3850" s="12">
        <f>tItens[[#This Row],[Valor]]*(1-tItens[[#This Row],[Desconto]])</f>
        <v>2890.7140206881058</v>
      </c>
      <c r="N3850" t="str">
        <f>IFERROR(INDEX(tProdutos[Foco],MATCH(tItens[[#This Row],[Produto]],tProdutos[Produto],0)),"Não")</f>
        <v>Não</v>
      </c>
      <c r="O3850" t="str">
        <f>IFERROR(INDEX(tEditais[SRP],MATCH(tItens[[#This Row],[Edital]],tEditais[Edital],0)),"Não")</f>
        <v>Não</v>
      </c>
      <c r="P3850" s="4">
        <f>IF(COUNTIFS(INDEX(tItens[Edital],1):tItens[[#This Row],[Edital]],tItens[[#This Row],[Edital]],INDEX(tItens[Produto],1):tItens[[#This Row],[Produto]],tItens[[#This Row],[Produto]])=1,1,0)</f>
        <v>0</v>
      </c>
    </row>
    <row r="3851" spans="1:16" x14ac:dyDescent="0.25">
      <c r="A3851" t="s">
        <v>1599</v>
      </c>
      <c r="B3851">
        <v>76</v>
      </c>
      <c r="C3851" t="s">
        <v>6715</v>
      </c>
      <c r="D3851" t="s">
        <v>257</v>
      </c>
      <c r="E3851" s="13">
        <v>600</v>
      </c>
      <c r="F3851" s="12">
        <v>21.65</v>
      </c>
      <c r="G3851" t="str">
        <f>IFERROR(INDEX(tEditais[Órgão],MATCH(tItens[[#This Row],[Edital]],tEditais[Edital],0)),"")</f>
        <v>FUNDO MUNICIPAL DE SAUDE</v>
      </c>
      <c r="H3851" t="str">
        <f>IFERROR(INDEX(tEditais[UF],MATCH(tItens[[#This Row],[Edital]],tEditais[Edital],0)),"")</f>
        <v>MG</v>
      </c>
      <c r="I3851" s="11">
        <f>IFERROR(INDEX(tEditais[Encerramento],MATCH(tItens[[#This Row],[Edital]],tEditais[Edital],0)),"")</f>
        <v>46314.354166666664</v>
      </c>
      <c r="J3851" t="str">
        <f>IFERROR(INDEX(tProdutos[Classe],MATCH(tItens[[#This Row],[Produto]],tProdutos[Produto],0)),"produto não cadastrado")</f>
        <v>FORA</v>
      </c>
      <c r="K3851" s="12">
        <f>tItens[[#This Row],[Qtd]]*tItens[[#This Row],[Vlr unit]]</f>
        <v>12990</v>
      </c>
      <c r="L3851" s="6">
        <f>IFERROR(IF(INDEX(tProdutos[Desconto homologado],MATCH(tItens[[#This Row],[Produto]],tProdutos[Produto],0))="",DescontoPadrao,INDEX(tProdutos[Desconto homologado],MATCH(tItens[[#This Row],[Produto]],tProdutos[Produto],0))),DescontoPadrao)</f>
        <v>0.500812004991805</v>
      </c>
      <c r="M3851" s="12">
        <f>tItens[[#This Row],[Valor]]*(1-tItens[[#This Row],[Desconto]])</f>
        <v>6484.4520551564528</v>
      </c>
      <c r="N3851" t="str">
        <f>IFERROR(INDEX(tProdutos[Foco],MATCH(tItens[[#This Row],[Produto]],tProdutos[Produto],0)),"Não")</f>
        <v>Não</v>
      </c>
      <c r="O3851" t="str">
        <f>IFERROR(INDEX(tEditais[SRP],MATCH(tItens[[#This Row],[Edital]],tEditais[Edital],0)),"Não")</f>
        <v>Não</v>
      </c>
      <c r="P3851" s="4">
        <f>IF(COUNTIFS(INDEX(tItens[Edital],1):tItens[[#This Row],[Edital]],tItens[[#This Row],[Edital]],INDEX(tItens[Produto],1):tItens[[#This Row],[Produto]],tItens[[#This Row],[Produto]])=1,1,0)</f>
        <v>1</v>
      </c>
    </row>
    <row r="3852" spans="1:16" x14ac:dyDescent="0.25">
      <c r="A3852" t="s">
        <v>1599</v>
      </c>
      <c r="B3852">
        <v>77</v>
      </c>
      <c r="C3852" t="s">
        <v>6716</v>
      </c>
      <c r="D3852" t="s">
        <v>249</v>
      </c>
      <c r="E3852" s="13">
        <v>350</v>
      </c>
      <c r="F3852" s="12">
        <v>23.5</v>
      </c>
      <c r="G3852" t="str">
        <f>IFERROR(INDEX(tEditais[Órgão],MATCH(tItens[[#This Row],[Edital]],tEditais[Edital],0)),"")</f>
        <v>FUNDO MUNICIPAL DE SAUDE</v>
      </c>
      <c r="H3852" t="str">
        <f>IFERROR(INDEX(tEditais[UF],MATCH(tItens[[#This Row],[Edital]],tEditais[Edital],0)),"")</f>
        <v>MG</v>
      </c>
      <c r="I3852" s="11">
        <f>IFERROR(INDEX(tEditais[Encerramento],MATCH(tItens[[#This Row],[Edital]],tEditais[Edital],0)),"")</f>
        <v>46314.354166666664</v>
      </c>
      <c r="J3852" t="str">
        <f>IFERROR(INDEX(tProdutos[Classe],MATCH(tItens[[#This Row],[Produto]],tProdutos[Produto],0)),"produto não cadastrado")</f>
        <v>FORA</v>
      </c>
      <c r="K3852" s="12">
        <f>tItens[[#This Row],[Qtd]]*tItens[[#This Row],[Vlr unit]]</f>
        <v>8225</v>
      </c>
      <c r="L3852" s="6">
        <f>IFERROR(IF(INDEX(tProdutos[Desconto homologado],MATCH(tItens[[#This Row],[Produto]],tProdutos[Produto],0))="",DescontoPadrao,INDEX(tProdutos[Desconto homologado],MATCH(tItens[[#This Row],[Produto]],tProdutos[Produto],0))),DescontoPadrao)</f>
        <v>0.45399945399945402</v>
      </c>
      <c r="M3852" s="12">
        <f>tItens[[#This Row],[Valor]]*(1-tItens[[#This Row],[Desconto]])</f>
        <v>4490.85449085449</v>
      </c>
      <c r="N3852" t="str">
        <f>IFERROR(INDEX(tProdutos[Foco],MATCH(tItens[[#This Row],[Produto]],tProdutos[Produto],0)),"Não")</f>
        <v>Não</v>
      </c>
      <c r="O3852" t="str">
        <f>IFERROR(INDEX(tEditais[SRP],MATCH(tItens[[#This Row],[Edital]],tEditais[Edital],0)),"Não")</f>
        <v>Não</v>
      </c>
      <c r="P3852" s="4">
        <f>IF(COUNTIFS(INDEX(tItens[Edital],1):tItens[[#This Row],[Edital]],tItens[[#This Row],[Edital]],INDEX(tItens[Produto],1):tItens[[#This Row],[Produto]],tItens[[#This Row],[Produto]])=1,1,0)</f>
        <v>1</v>
      </c>
    </row>
    <row r="3853" spans="1:16" x14ac:dyDescent="0.25">
      <c r="A3853" t="s">
        <v>1599</v>
      </c>
      <c r="B3853">
        <v>78</v>
      </c>
      <c r="C3853" t="s">
        <v>6717</v>
      </c>
      <c r="D3853" t="s">
        <v>170</v>
      </c>
      <c r="E3853" s="13">
        <v>350</v>
      </c>
      <c r="F3853" s="12">
        <v>82.53</v>
      </c>
      <c r="G3853" t="str">
        <f>IFERROR(INDEX(tEditais[Órgão],MATCH(tItens[[#This Row],[Edital]],tEditais[Edital],0)),"")</f>
        <v>FUNDO MUNICIPAL DE SAUDE</v>
      </c>
      <c r="H3853" t="str">
        <f>IFERROR(INDEX(tEditais[UF],MATCH(tItens[[#This Row],[Edital]],tEditais[Edital],0)),"")</f>
        <v>MG</v>
      </c>
      <c r="I3853" s="11">
        <f>IFERROR(INDEX(tEditais[Encerramento],MATCH(tItens[[#This Row],[Edital]],tEditais[Edital],0)),"")</f>
        <v>46314.354166666664</v>
      </c>
      <c r="J3853" t="str">
        <f>IFERROR(INDEX(tProdutos[Classe],MATCH(tItens[[#This Row],[Produto]],tProdutos[Produto],0)),"produto não cadastrado")</f>
        <v>DISPUTADO</v>
      </c>
      <c r="K3853" s="12">
        <f>tItens[[#This Row],[Qtd]]*tItens[[#This Row],[Vlr unit]]</f>
        <v>28885.5</v>
      </c>
      <c r="L3853" s="6">
        <f>IFERROR(IF(INDEX(tProdutos[Desconto homologado],MATCH(tItens[[#This Row],[Produto]],tProdutos[Produto],0))="",DescontoPadrao,INDEX(tProdutos[Desconto homologado],MATCH(tItens[[#This Row],[Produto]],tProdutos[Produto],0))),DescontoPadrao)</f>
        <v>0.36</v>
      </c>
      <c r="M3853" s="12">
        <f>tItens[[#This Row],[Valor]]*(1-tItens[[#This Row],[Desconto]])</f>
        <v>18486.72</v>
      </c>
      <c r="N3853" t="str">
        <f>IFERROR(INDEX(tProdutos[Foco],MATCH(tItens[[#This Row],[Produto]],tProdutos[Produto],0)),"Não")</f>
        <v>Sim</v>
      </c>
      <c r="O3853" t="str">
        <f>IFERROR(INDEX(tEditais[SRP],MATCH(tItens[[#This Row],[Edital]],tEditais[Edital],0)),"Não")</f>
        <v>Não</v>
      </c>
      <c r="P3853" s="4">
        <f>IF(COUNTIFS(INDEX(tItens[Edital],1):tItens[[#This Row],[Edital]],tItens[[#This Row],[Edital]],INDEX(tItens[Produto],1):tItens[[#This Row],[Produto]],tItens[[#This Row],[Produto]])=1,1,0)</f>
        <v>1</v>
      </c>
    </row>
    <row r="3854" spans="1:16" x14ac:dyDescent="0.25">
      <c r="A3854" t="s">
        <v>1599</v>
      </c>
      <c r="B3854">
        <v>79</v>
      </c>
      <c r="C3854" t="s">
        <v>6718</v>
      </c>
      <c r="D3854" t="s">
        <v>170</v>
      </c>
      <c r="E3854" s="13">
        <v>350</v>
      </c>
      <c r="F3854" s="12">
        <v>83.24</v>
      </c>
      <c r="G3854" t="str">
        <f>IFERROR(INDEX(tEditais[Órgão],MATCH(tItens[[#This Row],[Edital]],tEditais[Edital],0)),"")</f>
        <v>FUNDO MUNICIPAL DE SAUDE</v>
      </c>
      <c r="H3854" t="str">
        <f>IFERROR(INDEX(tEditais[UF],MATCH(tItens[[#This Row],[Edital]],tEditais[Edital],0)),"")</f>
        <v>MG</v>
      </c>
      <c r="I3854" s="11">
        <f>IFERROR(INDEX(tEditais[Encerramento],MATCH(tItens[[#This Row],[Edital]],tEditais[Edital],0)),"")</f>
        <v>46314.354166666664</v>
      </c>
      <c r="J3854" t="str">
        <f>IFERROR(INDEX(tProdutos[Classe],MATCH(tItens[[#This Row],[Produto]],tProdutos[Produto],0)),"produto não cadastrado")</f>
        <v>DISPUTADO</v>
      </c>
      <c r="K3854" s="12">
        <f>tItens[[#This Row],[Qtd]]*tItens[[#This Row],[Vlr unit]]</f>
        <v>29134</v>
      </c>
      <c r="L3854" s="6">
        <f>IFERROR(IF(INDEX(tProdutos[Desconto homologado],MATCH(tItens[[#This Row],[Produto]],tProdutos[Produto],0))="",DescontoPadrao,INDEX(tProdutos[Desconto homologado],MATCH(tItens[[#This Row],[Produto]],tProdutos[Produto],0))),DescontoPadrao)</f>
        <v>0.36</v>
      </c>
      <c r="M3854" s="12">
        <f>tItens[[#This Row],[Valor]]*(1-tItens[[#This Row],[Desconto]])</f>
        <v>18645.760000000002</v>
      </c>
      <c r="N3854" t="str">
        <f>IFERROR(INDEX(tProdutos[Foco],MATCH(tItens[[#This Row],[Produto]],tProdutos[Produto],0)),"Não")</f>
        <v>Sim</v>
      </c>
      <c r="O3854" t="str">
        <f>IFERROR(INDEX(tEditais[SRP],MATCH(tItens[[#This Row],[Edital]],tEditais[Edital],0)),"Não")</f>
        <v>Não</v>
      </c>
      <c r="P3854" s="4">
        <f>IF(COUNTIFS(INDEX(tItens[Edital],1):tItens[[#This Row],[Edital]],tItens[[#This Row],[Edital]],INDEX(tItens[Produto],1):tItens[[#This Row],[Produto]],tItens[[#This Row],[Produto]])=1,1,0)</f>
        <v>0</v>
      </c>
    </row>
    <row r="3855" spans="1:16" x14ac:dyDescent="0.25">
      <c r="A3855" t="s">
        <v>1599</v>
      </c>
      <c r="B3855">
        <v>80</v>
      </c>
      <c r="C3855" t="s">
        <v>6719</v>
      </c>
      <c r="D3855" t="s">
        <v>170</v>
      </c>
      <c r="E3855" s="13">
        <v>350</v>
      </c>
      <c r="F3855" s="12">
        <v>107.17</v>
      </c>
      <c r="G3855" t="str">
        <f>IFERROR(INDEX(tEditais[Órgão],MATCH(tItens[[#This Row],[Edital]],tEditais[Edital],0)),"")</f>
        <v>FUNDO MUNICIPAL DE SAUDE</v>
      </c>
      <c r="H3855" t="str">
        <f>IFERROR(INDEX(tEditais[UF],MATCH(tItens[[#This Row],[Edital]],tEditais[Edital],0)),"")</f>
        <v>MG</v>
      </c>
      <c r="I3855" s="11">
        <f>IFERROR(INDEX(tEditais[Encerramento],MATCH(tItens[[#This Row],[Edital]],tEditais[Edital],0)),"")</f>
        <v>46314.354166666664</v>
      </c>
      <c r="J3855" t="str">
        <f>IFERROR(INDEX(tProdutos[Classe],MATCH(tItens[[#This Row],[Produto]],tProdutos[Produto],0)),"produto não cadastrado")</f>
        <v>DISPUTADO</v>
      </c>
      <c r="K3855" s="12">
        <f>tItens[[#This Row],[Qtd]]*tItens[[#This Row],[Vlr unit]]</f>
        <v>37509.5</v>
      </c>
      <c r="L3855" s="6">
        <f>IFERROR(IF(INDEX(tProdutos[Desconto homologado],MATCH(tItens[[#This Row],[Produto]],tProdutos[Produto],0))="",DescontoPadrao,INDEX(tProdutos[Desconto homologado],MATCH(tItens[[#This Row],[Produto]],tProdutos[Produto],0))),DescontoPadrao)</f>
        <v>0.36</v>
      </c>
      <c r="M3855" s="12">
        <f>tItens[[#This Row],[Valor]]*(1-tItens[[#This Row],[Desconto]])</f>
        <v>24006.080000000002</v>
      </c>
      <c r="N3855" t="str">
        <f>IFERROR(INDEX(tProdutos[Foco],MATCH(tItens[[#This Row],[Produto]],tProdutos[Produto],0)),"Não")</f>
        <v>Sim</v>
      </c>
      <c r="O3855" t="str">
        <f>IFERROR(INDEX(tEditais[SRP],MATCH(tItens[[#This Row],[Edital]],tEditais[Edital],0)),"Não")</f>
        <v>Não</v>
      </c>
      <c r="P3855" s="4">
        <f>IF(COUNTIFS(INDEX(tItens[Edital],1):tItens[[#This Row],[Edital]],tItens[[#This Row],[Edital]],INDEX(tItens[Produto],1):tItens[[#This Row],[Produto]],tItens[[#This Row],[Produto]])=1,1,0)</f>
        <v>0</v>
      </c>
    </row>
    <row r="3856" spans="1:16" x14ac:dyDescent="0.25">
      <c r="A3856" t="s">
        <v>1599</v>
      </c>
      <c r="B3856">
        <v>81</v>
      </c>
      <c r="C3856" t="s">
        <v>6720</v>
      </c>
      <c r="D3856" t="s">
        <v>170</v>
      </c>
      <c r="E3856" s="13">
        <v>350</v>
      </c>
      <c r="F3856" s="12">
        <v>112.67</v>
      </c>
      <c r="G3856" t="str">
        <f>IFERROR(INDEX(tEditais[Órgão],MATCH(tItens[[#This Row],[Edital]],tEditais[Edital],0)),"")</f>
        <v>FUNDO MUNICIPAL DE SAUDE</v>
      </c>
      <c r="H3856" t="str">
        <f>IFERROR(INDEX(tEditais[UF],MATCH(tItens[[#This Row],[Edital]],tEditais[Edital],0)),"")</f>
        <v>MG</v>
      </c>
      <c r="I3856" s="11">
        <f>IFERROR(INDEX(tEditais[Encerramento],MATCH(tItens[[#This Row],[Edital]],tEditais[Edital],0)),"")</f>
        <v>46314.354166666664</v>
      </c>
      <c r="J3856" t="str">
        <f>IFERROR(INDEX(tProdutos[Classe],MATCH(tItens[[#This Row],[Produto]],tProdutos[Produto],0)),"produto não cadastrado")</f>
        <v>DISPUTADO</v>
      </c>
      <c r="K3856" s="12">
        <f>tItens[[#This Row],[Qtd]]*tItens[[#This Row],[Vlr unit]]</f>
        <v>39434.5</v>
      </c>
      <c r="L3856" s="6">
        <f>IFERROR(IF(INDEX(tProdutos[Desconto homologado],MATCH(tItens[[#This Row],[Produto]],tProdutos[Produto],0))="",DescontoPadrao,INDEX(tProdutos[Desconto homologado],MATCH(tItens[[#This Row],[Produto]],tProdutos[Produto],0))),DescontoPadrao)</f>
        <v>0.36</v>
      </c>
      <c r="M3856" s="12">
        <f>tItens[[#This Row],[Valor]]*(1-tItens[[#This Row],[Desconto]])</f>
        <v>25238.080000000002</v>
      </c>
      <c r="N3856" t="str">
        <f>IFERROR(INDEX(tProdutos[Foco],MATCH(tItens[[#This Row],[Produto]],tProdutos[Produto],0)),"Não")</f>
        <v>Sim</v>
      </c>
      <c r="O3856" t="str">
        <f>IFERROR(INDEX(tEditais[SRP],MATCH(tItens[[#This Row],[Edital]],tEditais[Edital],0)),"Não")</f>
        <v>Não</v>
      </c>
      <c r="P3856" s="4">
        <f>IF(COUNTIFS(INDEX(tItens[Edital],1):tItens[[#This Row],[Edital]],tItens[[#This Row],[Edital]],INDEX(tItens[Produto],1):tItens[[#This Row],[Produto]],tItens[[#This Row],[Produto]])=1,1,0)</f>
        <v>0</v>
      </c>
    </row>
    <row r="3857" spans="1:16" x14ac:dyDescent="0.25">
      <c r="A3857" t="s">
        <v>1599</v>
      </c>
      <c r="B3857">
        <v>82</v>
      </c>
      <c r="C3857" t="s">
        <v>6721</v>
      </c>
      <c r="D3857" t="s">
        <v>170</v>
      </c>
      <c r="E3857" s="13">
        <v>350</v>
      </c>
      <c r="F3857" s="12">
        <v>116.51</v>
      </c>
      <c r="G3857" t="str">
        <f>IFERROR(INDEX(tEditais[Órgão],MATCH(tItens[[#This Row],[Edital]],tEditais[Edital],0)),"")</f>
        <v>FUNDO MUNICIPAL DE SAUDE</v>
      </c>
      <c r="H3857" t="str">
        <f>IFERROR(INDEX(tEditais[UF],MATCH(tItens[[#This Row],[Edital]],tEditais[Edital],0)),"")</f>
        <v>MG</v>
      </c>
      <c r="I3857" s="11">
        <f>IFERROR(INDEX(tEditais[Encerramento],MATCH(tItens[[#This Row],[Edital]],tEditais[Edital],0)),"")</f>
        <v>46314.354166666664</v>
      </c>
      <c r="J3857" t="str">
        <f>IFERROR(INDEX(tProdutos[Classe],MATCH(tItens[[#This Row],[Produto]],tProdutos[Produto],0)),"produto não cadastrado")</f>
        <v>DISPUTADO</v>
      </c>
      <c r="K3857" s="12">
        <f>tItens[[#This Row],[Qtd]]*tItens[[#This Row],[Vlr unit]]</f>
        <v>40778.5</v>
      </c>
      <c r="L3857" s="6">
        <f>IFERROR(IF(INDEX(tProdutos[Desconto homologado],MATCH(tItens[[#This Row],[Produto]],tProdutos[Produto],0))="",DescontoPadrao,INDEX(tProdutos[Desconto homologado],MATCH(tItens[[#This Row],[Produto]],tProdutos[Produto],0))),DescontoPadrao)</f>
        <v>0.36</v>
      </c>
      <c r="M3857" s="12">
        <f>tItens[[#This Row],[Valor]]*(1-tItens[[#This Row],[Desconto]])</f>
        <v>26098.240000000002</v>
      </c>
      <c r="N3857" t="str">
        <f>IFERROR(INDEX(tProdutos[Foco],MATCH(tItens[[#This Row],[Produto]],tProdutos[Produto],0)),"Não")</f>
        <v>Sim</v>
      </c>
      <c r="O3857" t="str">
        <f>IFERROR(INDEX(tEditais[SRP],MATCH(tItens[[#This Row],[Edital]],tEditais[Edital],0)),"Não")</f>
        <v>Não</v>
      </c>
      <c r="P3857" s="4">
        <f>IF(COUNTIFS(INDEX(tItens[Edital],1):tItens[[#This Row],[Edital]],tItens[[#This Row],[Edital]],INDEX(tItens[Produto],1):tItens[[#This Row],[Produto]],tItens[[#This Row],[Produto]])=1,1,0)</f>
        <v>0</v>
      </c>
    </row>
    <row r="3858" spans="1:16" x14ac:dyDescent="0.25">
      <c r="A3858" t="s">
        <v>1599</v>
      </c>
      <c r="B3858">
        <v>83</v>
      </c>
      <c r="C3858" t="s">
        <v>6722</v>
      </c>
      <c r="D3858" t="s">
        <v>170</v>
      </c>
      <c r="E3858" s="13">
        <v>350</v>
      </c>
      <c r="F3858" s="12">
        <v>105.51</v>
      </c>
      <c r="G3858" t="str">
        <f>IFERROR(INDEX(tEditais[Órgão],MATCH(tItens[[#This Row],[Edital]],tEditais[Edital],0)),"")</f>
        <v>FUNDO MUNICIPAL DE SAUDE</v>
      </c>
      <c r="H3858" t="str">
        <f>IFERROR(INDEX(tEditais[UF],MATCH(tItens[[#This Row],[Edital]],tEditais[Edital],0)),"")</f>
        <v>MG</v>
      </c>
      <c r="I3858" s="11">
        <f>IFERROR(INDEX(tEditais[Encerramento],MATCH(tItens[[#This Row],[Edital]],tEditais[Edital],0)),"")</f>
        <v>46314.354166666664</v>
      </c>
      <c r="J3858" t="str">
        <f>IFERROR(INDEX(tProdutos[Classe],MATCH(tItens[[#This Row],[Produto]],tProdutos[Produto],0)),"produto não cadastrado")</f>
        <v>DISPUTADO</v>
      </c>
      <c r="K3858" s="12">
        <f>tItens[[#This Row],[Qtd]]*tItens[[#This Row],[Vlr unit]]</f>
        <v>36928.5</v>
      </c>
      <c r="L3858" s="6">
        <f>IFERROR(IF(INDEX(tProdutos[Desconto homologado],MATCH(tItens[[#This Row],[Produto]],tProdutos[Produto],0))="",DescontoPadrao,INDEX(tProdutos[Desconto homologado],MATCH(tItens[[#This Row],[Produto]],tProdutos[Produto],0))),DescontoPadrao)</f>
        <v>0.36</v>
      </c>
      <c r="M3858" s="12">
        <f>tItens[[#This Row],[Valor]]*(1-tItens[[#This Row],[Desconto]])</f>
        <v>23634.240000000002</v>
      </c>
      <c r="N3858" t="str">
        <f>IFERROR(INDEX(tProdutos[Foco],MATCH(tItens[[#This Row],[Produto]],tProdutos[Produto],0)),"Não")</f>
        <v>Sim</v>
      </c>
      <c r="O3858" t="str">
        <f>IFERROR(INDEX(tEditais[SRP],MATCH(tItens[[#This Row],[Edital]],tEditais[Edital],0)),"Não")</f>
        <v>Não</v>
      </c>
      <c r="P3858" s="4">
        <f>IF(COUNTIFS(INDEX(tItens[Edital],1):tItens[[#This Row],[Edital]],tItens[[#This Row],[Edital]],INDEX(tItens[Produto],1):tItens[[#This Row],[Produto]],tItens[[#This Row],[Produto]])=1,1,0)</f>
        <v>0</v>
      </c>
    </row>
    <row r="3859" spans="1:16" x14ac:dyDescent="0.25">
      <c r="A3859" t="s">
        <v>1599</v>
      </c>
      <c r="B3859">
        <v>84</v>
      </c>
      <c r="C3859" t="s">
        <v>6723</v>
      </c>
      <c r="D3859" t="s">
        <v>170</v>
      </c>
      <c r="E3859" s="13">
        <v>350</v>
      </c>
      <c r="F3859" s="12">
        <v>125.58</v>
      </c>
      <c r="G3859" t="str">
        <f>IFERROR(INDEX(tEditais[Órgão],MATCH(tItens[[#This Row],[Edital]],tEditais[Edital],0)),"")</f>
        <v>FUNDO MUNICIPAL DE SAUDE</v>
      </c>
      <c r="H3859" t="str">
        <f>IFERROR(INDEX(tEditais[UF],MATCH(tItens[[#This Row],[Edital]],tEditais[Edital],0)),"")</f>
        <v>MG</v>
      </c>
      <c r="I3859" s="11">
        <f>IFERROR(INDEX(tEditais[Encerramento],MATCH(tItens[[#This Row],[Edital]],tEditais[Edital],0)),"")</f>
        <v>46314.354166666664</v>
      </c>
      <c r="J3859" t="str">
        <f>IFERROR(INDEX(tProdutos[Classe],MATCH(tItens[[#This Row],[Produto]],tProdutos[Produto],0)),"produto não cadastrado")</f>
        <v>DISPUTADO</v>
      </c>
      <c r="K3859" s="12">
        <f>tItens[[#This Row],[Qtd]]*tItens[[#This Row],[Vlr unit]]</f>
        <v>43953</v>
      </c>
      <c r="L3859" s="6">
        <f>IFERROR(IF(INDEX(tProdutos[Desconto homologado],MATCH(tItens[[#This Row],[Produto]],tProdutos[Produto],0))="",DescontoPadrao,INDEX(tProdutos[Desconto homologado],MATCH(tItens[[#This Row],[Produto]],tProdutos[Produto],0))),DescontoPadrao)</f>
        <v>0.36</v>
      </c>
      <c r="M3859" s="12">
        <f>tItens[[#This Row],[Valor]]*(1-tItens[[#This Row],[Desconto]])</f>
        <v>28129.920000000002</v>
      </c>
      <c r="N3859" t="str">
        <f>IFERROR(INDEX(tProdutos[Foco],MATCH(tItens[[#This Row],[Produto]],tProdutos[Produto],0)),"Não")</f>
        <v>Sim</v>
      </c>
      <c r="O3859" t="str">
        <f>IFERROR(INDEX(tEditais[SRP],MATCH(tItens[[#This Row],[Edital]],tEditais[Edital],0)),"Não")</f>
        <v>Não</v>
      </c>
      <c r="P3859" s="4">
        <f>IF(COUNTIFS(INDEX(tItens[Edital],1):tItens[[#This Row],[Edital]],tItens[[#This Row],[Edital]],INDEX(tItens[Produto],1):tItens[[#This Row],[Produto]],tItens[[#This Row],[Produto]])=1,1,0)</f>
        <v>0</v>
      </c>
    </row>
    <row r="3860" spans="1:16" x14ac:dyDescent="0.25">
      <c r="A3860" t="s">
        <v>1599</v>
      </c>
      <c r="B3860">
        <v>88</v>
      </c>
      <c r="C3860" t="s">
        <v>6724</v>
      </c>
      <c r="D3860" t="s">
        <v>215</v>
      </c>
      <c r="E3860" s="13">
        <v>15</v>
      </c>
      <c r="F3860" s="12">
        <v>58.5</v>
      </c>
      <c r="G3860" t="str">
        <f>IFERROR(INDEX(tEditais[Órgão],MATCH(tItens[[#This Row],[Edital]],tEditais[Edital],0)),"")</f>
        <v>FUNDO MUNICIPAL DE SAUDE</v>
      </c>
      <c r="H3860" t="str">
        <f>IFERROR(INDEX(tEditais[UF],MATCH(tItens[[#This Row],[Edital]],tEditais[Edital],0)),"")</f>
        <v>MG</v>
      </c>
      <c r="I3860" s="11">
        <f>IFERROR(INDEX(tEditais[Encerramento],MATCH(tItens[[#This Row],[Edital]],tEditais[Edital],0)),"")</f>
        <v>46314.354166666664</v>
      </c>
      <c r="J3860" t="str">
        <f>IFERROR(INDEX(tProdutos[Classe],MATCH(tItens[[#This Row],[Produto]],tProdutos[Produto],0)),"produto não cadastrado")</f>
        <v>FORA</v>
      </c>
      <c r="K3860" s="12">
        <f>tItens[[#This Row],[Qtd]]*tItens[[#This Row],[Vlr unit]]</f>
        <v>877.5</v>
      </c>
      <c r="L3860" s="6">
        <f>IFERROR(IF(INDEX(tProdutos[Desconto homologado],MATCH(tItens[[#This Row],[Produto]],tProdutos[Produto],0))="",DescontoPadrao,INDEX(tProdutos[Desconto homologado],MATCH(tItens[[#This Row],[Produto]],tProdutos[Produto],0))),DescontoPadrao)</f>
        <v>0.27710245735301298</v>
      </c>
      <c r="M3860" s="12">
        <f>tItens[[#This Row],[Valor]]*(1-tItens[[#This Row],[Desconto]])</f>
        <v>634.34259367273114</v>
      </c>
      <c r="N3860" t="str">
        <f>IFERROR(INDEX(tProdutos[Foco],MATCH(tItens[[#This Row],[Produto]],tProdutos[Produto],0)),"Não")</f>
        <v>Não</v>
      </c>
      <c r="O3860" t="str">
        <f>IFERROR(INDEX(tEditais[SRP],MATCH(tItens[[#This Row],[Edital]],tEditais[Edital],0)),"Não")</f>
        <v>Não</v>
      </c>
      <c r="P3860" s="4">
        <f>IF(COUNTIFS(INDEX(tItens[Edital],1):tItens[[#This Row],[Edital]],tItens[[#This Row],[Edital]],INDEX(tItens[Produto],1):tItens[[#This Row],[Produto]],tItens[[#This Row],[Produto]])=1,1,0)</f>
        <v>1</v>
      </c>
    </row>
    <row r="3861" spans="1:16" x14ac:dyDescent="0.25">
      <c r="A3861" t="s">
        <v>1599</v>
      </c>
      <c r="B3861">
        <v>89</v>
      </c>
      <c r="C3861" t="s">
        <v>6725</v>
      </c>
      <c r="D3861" t="s">
        <v>215</v>
      </c>
      <c r="E3861" s="13">
        <v>15</v>
      </c>
      <c r="F3861" s="12">
        <v>58.5</v>
      </c>
      <c r="G3861" t="str">
        <f>IFERROR(INDEX(tEditais[Órgão],MATCH(tItens[[#This Row],[Edital]],tEditais[Edital],0)),"")</f>
        <v>FUNDO MUNICIPAL DE SAUDE</v>
      </c>
      <c r="H3861" t="str">
        <f>IFERROR(INDEX(tEditais[UF],MATCH(tItens[[#This Row],[Edital]],tEditais[Edital],0)),"")</f>
        <v>MG</v>
      </c>
      <c r="I3861" s="11">
        <f>IFERROR(INDEX(tEditais[Encerramento],MATCH(tItens[[#This Row],[Edital]],tEditais[Edital],0)),"")</f>
        <v>46314.354166666664</v>
      </c>
      <c r="J3861" t="str">
        <f>IFERROR(INDEX(tProdutos[Classe],MATCH(tItens[[#This Row],[Produto]],tProdutos[Produto],0)),"produto não cadastrado")</f>
        <v>FORA</v>
      </c>
      <c r="K3861" s="12">
        <f>tItens[[#This Row],[Qtd]]*tItens[[#This Row],[Vlr unit]]</f>
        <v>877.5</v>
      </c>
      <c r="L3861" s="6">
        <f>IFERROR(IF(INDEX(tProdutos[Desconto homologado],MATCH(tItens[[#This Row],[Produto]],tProdutos[Produto],0))="",DescontoPadrao,INDEX(tProdutos[Desconto homologado],MATCH(tItens[[#This Row],[Produto]],tProdutos[Produto],0))),DescontoPadrao)</f>
        <v>0.27710245735301298</v>
      </c>
      <c r="M3861" s="12">
        <f>tItens[[#This Row],[Valor]]*(1-tItens[[#This Row],[Desconto]])</f>
        <v>634.34259367273114</v>
      </c>
      <c r="N3861" t="str">
        <f>IFERROR(INDEX(tProdutos[Foco],MATCH(tItens[[#This Row],[Produto]],tProdutos[Produto],0)),"Não")</f>
        <v>Não</v>
      </c>
      <c r="O3861" t="str">
        <f>IFERROR(INDEX(tEditais[SRP],MATCH(tItens[[#This Row],[Edital]],tEditais[Edital],0)),"Não")</f>
        <v>Não</v>
      </c>
      <c r="P3861" s="4">
        <f>IF(COUNTIFS(INDEX(tItens[Edital],1):tItens[[#This Row],[Edital]],tItens[[#This Row],[Edital]],INDEX(tItens[Produto],1):tItens[[#This Row],[Produto]],tItens[[#This Row],[Produto]])=1,1,0)</f>
        <v>0</v>
      </c>
    </row>
    <row r="3862" spans="1:16" x14ac:dyDescent="0.25">
      <c r="A3862" t="s">
        <v>1599</v>
      </c>
      <c r="B3862">
        <v>93</v>
      </c>
      <c r="C3862" t="s">
        <v>6726</v>
      </c>
      <c r="D3862" t="s">
        <v>106</v>
      </c>
      <c r="E3862" s="13">
        <v>2250</v>
      </c>
      <c r="F3862" s="12">
        <v>76.37</v>
      </c>
      <c r="G3862" t="str">
        <f>IFERROR(INDEX(tEditais[Órgão],MATCH(tItens[[#This Row],[Edital]],tEditais[Edital],0)),"")</f>
        <v>FUNDO MUNICIPAL DE SAUDE</v>
      </c>
      <c r="H3862" t="str">
        <f>IFERROR(INDEX(tEditais[UF],MATCH(tItens[[#This Row],[Edital]],tEditais[Edital],0)),"")</f>
        <v>MG</v>
      </c>
      <c r="I3862" s="11">
        <f>IFERROR(INDEX(tEditais[Encerramento],MATCH(tItens[[#This Row],[Edital]],tEditais[Edital],0)),"")</f>
        <v>46314.354166666664</v>
      </c>
      <c r="J3862" t="str">
        <f>IFERROR(INDEX(tProdutos[Classe],MATCH(tItens[[#This Row],[Produto]],tProdutos[Produto],0)),"produto não cadastrado")</f>
        <v>DISPUTADO</v>
      </c>
      <c r="K3862" s="12">
        <f>tItens[[#This Row],[Qtd]]*tItens[[#This Row],[Vlr unit]]</f>
        <v>171832.5</v>
      </c>
      <c r="L3862" s="6">
        <f>IFERROR(IF(INDEX(tProdutos[Desconto homologado],MATCH(tItens[[#This Row],[Produto]],tProdutos[Produto],0))="",DescontoPadrao,INDEX(tProdutos[Desconto homologado],MATCH(tItens[[#This Row],[Produto]],tProdutos[Produto],0))),DescontoPadrao)</f>
        <v>0.24377518966589001</v>
      </c>
      <c r="M3862" s="12">
        <f>tItens[[#This Row],[Valor]]*(1-tItens[[#This Row],[Desconto]])</f>
        <v>129943.99972173596</v>
      </c>
      <c r="N3862" t="str">
        <f>IFERROR(INDEX(tProdutos[Foco],MATCH(tItens[[#This Row],[Produto]],tProdutos[Produto],0)),"Não")</f>
        <v>Não</v>
      </c>
      <c r="O3862" t="str">
        <f>IFERROR(INDEX(tEditais[SRP],MATCH(tItens[[#This Row],[Edital]],tEditais[Edital],0)),"Não")</f>
        <v>Não</v>
      </c>
      <c r="P3862" s="4">
        <f>IF(COUNTIFS(INDEX(tItens[Edital],1):tItens[[#This Row],[Edital]],tItens[[#This Row],[Edital]],INDEX(tItens[Produto],1):tItens[[#This Row],[Produto]],tItens[[#This Row],[Produto]])=1,1,0)</f>
        <v>1</v>
      </c>
    </row>
    <row r="3863" spans="1:16" x14ac:dyDescent="0.25">
      <c r="A3863" t="s">
        <v>1599</v>
      </c>
      <c r="B3863">
        <v>94</v>
      </c>
      <c r="C3863" t="s">
        <v>6727</v>
      </c>
      <c r="D3863" t="s">
        <v>106</v>
      </c>
      <c r="E3863" s="13">
        <v>2625</v>
      </c>
      <c r="F3863" s="12">
        <v>67.739999999999995</v>
      </c>
      <c r="G3863" t="str">
        <f>IFERROR(INDEX(tEditais[Órgão],MATCH(tItens[[#This Row],[Edital]],tEditais[Edital],0)),"")</f>
        <v>FUNDO MUNICIPAL DE SAUDE</v>
      </c>
      <c r="H3863" t="str">
        <f>IFERROR(INDEX(tEditais[UF],MATCH(tItens[[#This Row],[Edital]],tEditais[Edital],0)),"")</f>
        <v>MG</v>
      </c>
      <c r="I3863" s="11">
        <f>IFERROR(INDEX(tEditais[Encerramento],MATCH(tItens[[#This Row],[Edital]],tEditais[Edital],0)),"")</f>
        <v>46314.354166666664</v>
      </c>
      <c r="J3863" t="str">
        <f>IFERROR(INDEX(tProdutos[Classe],MATCH(tItens[[#This Row],[Produto]],tProdutos[Produto],0)),"produto não cadastrado")</f>
        <v>DISPUTADO</v>
      </c>
      <c r="K3863" s="12">
        <f>tItens[[#This Row],[Qtd]]*tItens[[#This Row],[Vlr unit]]</f>
        <v>177817.5</v>
      </c>
      <c r="L3863" s="6">
        <f>IFERROR(IF(INDEX(tProdutos[Desconto homologado],MATCH(tItens[[#This Row],[Produto]],tProdutos[Produto],0))="",DescontoPadrao,INDEX(tProdutos[Desconto homologado],MATCH(tItens[[#This Row],[Produto]],tProdutos[Produto],0))),DescontoPadrao)</f>
        <v>0.24377518966589001</v>
      </c>
      <c r="M3863" s="12">
        <f>tItens[[#This Row],[Valor]]*(1-tItens[[#This Row],[Desconto]])</f>
        <v>134470.00521158561</v>
      </c>
      <c r="N3863" t="str">
        <f>IFERROR(INDEX(tProdutos[Foco],MATCH(tItens[[#This Row],[Produto]],tProdutos[Produto],0)),"Não")</f>
        <v>Não</v>
      </c>
      <c r="O3863" t="str">
        <f>IFERROR(INDEX(tEditais[SRP],MATCH(tItens[[#This Row],[Edital]],tEditais[Edital],0)),"Não")</f>
        <v>Não</v>
      </c>
      <c r="P3863" s="4">
        <f>IF(COUNTIFS(INDEX(tItens[Edital],1):tItens[[#This Row],[Edital]],tItens[[#This Row],[Edital]],INDEX(tItens[Produto],1):tItens[[#This Row],[Produto]],tItens[[#This Row],[Produto]])=1,1,0)</f>
        <v>0</v>
      </c>
    </row>
    <row r="3864" spans="1:16" x14ac:dyDescent="0.25">
      <c r="A3864" t="s">
        <v>1599</v>
      </c>
      <c r="B3864">
        <v>103</v>
      </c>
      <c r="C3864" t="s">
        <v>6728</v>
      </c>
      <c r="D3864" t="s">
        <v>156</v>
      </c>
      <c r="E3864" s="13">
        <v>600</v>
      </c>
      <c r="F3864" s="12">
        <v>72.66</v>
      </c>
      <c r="G3864" t="str">
        <f>IFERROR(INDEX(tEditais[Órgão],MATCH(tItens[[#This Row],[Edital]],tEditais[Edital],0)),"")</f>
        <v>FUNDO MUNICIPAL DE SAUDE</v>
      </c>
      <c r="H3864" t="str">
        <f>IFERROR(INDEX(tEditais[UF],MATCH(tItens[[#This Row],[Edital]],tEditais[Edital],0)),"")</f>
        <v>MG</v>
      </c>
      <c r="I3864" s="11">
        <f>IFERROR(INDEX(tEditais[Encerramento],MATCH(tItens[[#This Row],[Edital]],tEditais[Edital],0)),"")</f>
        <v>46314.354166666664</v>
      </c>
      <c r="J3864" t="str">
        <f>IFERROR(INDEX(tProdutos[Classe],MATCH(tItens[[#This Row],[Produto]],tProdutos[Produto],0)),"produto não cadastrado")</f>
        <v>DISPUTADO</v>
      </c>
      <c r="K3864" s="12">
        <f>tItens[[#This Row],[Qtd]]*tItens[[#This Row],[Vlr unit]]</f>
        <v>43596</v>
      </c>
      <c r="L3864" s="6">
        <f>IFERROR(IF(INDEX(tProdutos[Desconto homologado],MATCH(tItens[[#This Row],[Produto]],tProdutos[Produto],0))="",DescontoPadrao,INDEX(tProdutos[Desconto homologado],MATCH(tItens[[#This Row],[Produto]],tProdutos[Produto],0))),DescontoPadrao)</f>
        <v>0.27131852489802799</v>
      </c>
      <c r="M3864" s="12">
        <f>tItens[[#This Row],[Valor]]*(1-tItens[[#This Row],[Desconto]])</f>
        <v>31767.59758854557</v>
      </c>
      <c r="N3864" t="str">
        <f>IFERROR(INDEX(tProdutos[Foco],MATCH(tItens[[#This Row],[Produto]],tProdutos[Produto],0)),"Não")</f>
        <v>Não</v>
      </c>
      <c r="O3864" t="str">
        <f>IFERROR(INDEX(tEditais[SRP],MATCH(tItens[[#This Row],[Edital]],tEditais[Edital],0)),"Não")</f>
        <v>Não</v>
      </c>
      <c r="P3864" s="4">
        <f>IF(COUNTIFS(INDEX(tItens[Edital],1):tItens[[#This Row],[Edital]],tItens[[#This Row],[Edital]],INDEX(tItens[Produto],1):tItens[[#This Row],[Produto]],tItens[[#This Row],[Produto]])=1,1,0)</f>
        <v>0</v>
      </c>
    </row>
    <row r="3865" spans="1:16" x14ac:dyDescent="0.25">
      <c r="A3865" t="s">
        <v>1599</v>
      </c>
      <c r="B3865">
        <v>113</v>
      </c>
      <c r="C3865" t="s">
        <v>6726</v>
      </c>
      <c r="D3865" t="s">
        <v>106</v>
      </c>
      <c r="E3865" s="13">
        <v>750</v>
      </c>
      <c r="F3865" s="12">
        <v>76.37</v>
      </c>
      <c r="G3865" t="str">
        <f>IFERROR(INDEX(tEditais[Órgão],MATCH(tItens[[#This Row],[Edital]],tEditais[Edital],0)),"")</f>
        <v>FUNDO MUNICIPAL DE SAUDE</v>
      </c>
      <c r="H3865" t="str">
        <f>IFERROR(INDEX(tEditais[UF],MATCH(tItens[[#This Row],[Edital]],tEditais[Edital],0)),"")</f>
        <v>MG</v>
      </c>
      <c r="I3865" s="11">
        <f>IFERROR(INDEX(tEditais[Encerramento],MATCH(tItens[[#This Row],[Edital]],tEditais[Edital],0)),"")</f>
        <v>46314.354166666664</v>
      </c>
      <c r="J3865" t="str">
        <f>IFERROR(INDEX(tProdutos[Classe],MATCH(tItens[[#This Row],[Produto]],tProdutos[Produto],0)),"produto não cadastrado")</f>
        <v>DISPUTADO</v>
      </c>
      <c r="K3865" s="12">
        <f>tItens[[#This Row],[Qtd]]*tItens[[#This Row],[Vlr unit]]</f>
        <v>57277.5</v>
      </c>
      <c r="L3865" s="6">
        <f>IFERROR(IF(INDEX(tProdutos[Desconto homologado],MATCH(tItens[[#This Row],[Produto]],tProdutos[Produto],0))="",DescontoPadrao,INDEX(tProdutos[Desconto homologado],MATCH(tItens[[#This Row],[Produto]],tProdutos[Produto],0))),DescontoPadrao)</f>
        <v>0.24377518966589001</v>
      </c>
      <c r="M3865" s="12">
        <f>tItens[[#This Row],[Valor]]*(1-tItens[[#This Row],[Desconto]])</f>
        <v>43314.666573911985</v>
      </c>
      <c r="N3865" t="str">
        <f>IFERROR(INDEX(tProdutos[Foco],MATCH(tItens[[#This Row],[Produto]],tProdutos[Produto],0)),"Não")</f>
        <v>Não</v>
      </c>
      <c r="O3865" t="str">
        <f>IFERROR(INDEX(tEditais[SRP],MATCH(tItens[[#This Row],[Edital]],tEditais[Edital],0)),"Não")</f>
        <v>Não</v>
      </c>
      <c r="P3865" s="4">
        <f>IF(COUNTIFS(INDEX(tItens[Edital],1):tItens[[#This Row],[Edital]],tItens[[#This Row],[Edital]],INDEX(tItens[Produto],1):tItens[[#This Row],[Produto]],tItens[[#This Row],[Produto]])=1,1,0)</f>
        <v>0</v>
      </c>
    </row>
    <row r="3866" spans="1:16" x14ac:dyDescent="0.25">
      <c r="A3866" t="s">
        <v>1599</v>
      </c>
      <c r="B3866">
        <v>114</v>
      </c>
      <c r="C3866" t="s">
        <v>6727</v>
      </c>
      <c r="D3866" t="s">
        <v>106</v>
      </c>
      <c r="E3866" s="13">
        <v>875</v>
      </c>
      <c r="F3866" s="12">
        <v>67.739999999999995</v>
      </c>
      <c r="G3866" t="str">
        <f>IFERROR(INDEX(tEditais[Órgão],MATCH(tItens[[#This Row],[Edital]],tEditais[Edital],0)),"")</f>
        <v>FUNDO MUNICIPAL DE SAUDE</v>
      </c>
      <c r="H3866" t="str">
        <f>IFERROR(INDEX(tEditais[UF],MATCH(tItens[[#This Row],[Edital]],tEditais[Edital],0)),"")</f>
        <v>MG</v>
      </c>
      <c r="I3866" s="11">
        <f>IFERROR(INDEX(tEditais[Encerramento],MATCH(tItens[[#This Row],[Edital]],tEditais[Edital],0)),"")</f>
        <v>46314.354166666664</v>
      </c>
      <c r="J3866" t="str">
        <f>IFERROR(INDEX(tProdutos[Classe],MATCH(tItens[[#This Row],[Produto]],tProdutos[Produto],0)),"produto não cadastrado")</f>
        <v>DISPUTADO</v>
      </c>
      <c r="K3866" s="12">
        <f>tItens[[#This Row],[Qtd]]*tItens[[#This Row],[Vlr unit]]</f>
        <v>59272.499999999993</v>
      </c>
      <c r="L3866" s="6">
        <f>IFERROR(IF(INDEX(tProdutos[Desconto homologado],MATCH(tItens[[#This Row],[Produto]],tProdutos[Produto],0))="",DescontoPadrao,INDEX(tProdutos[Desconto homologado],MATCH(tItens[[#This Row],[Produto]],tProdutos[Produto],0))),DescontoPadrao)</f>
        <v>0.24377518966589001</v>
      </c>
      <c r="M3866" s="12">
        <f>tItens[[#This Row],[Valor]]*(1-tItens[[#This Row],[Desconto]])</f>
        <v>44823.335070528534</v>
      </c>
      <c r="N3866" t="str">
        <f>IFERROR(INDEX(tProdutos[Foco],MATCH(tItens[[#This Row],[Produto]],tProdutos[Produto],0)),"Não")</f>
        <v>Não</v>
      </c>
      <c r="O3866" t="str">
        <f>IFERROR(INDEX(tEditais[SRP],MATCH(tItens[[#This Row],[Edital]],tEditais[Edital],0)),"Não")</f>
        <v>Não</v>
      </c>
      <c r="P3866" s="4">
        <f>IF(COUNTIFS(INDEX(tItens[Edital],1):tItens[[#This Row],[Edital]],tItens[[#This Row],[Edital]],INDEX(tItens[Produto],1):tItens[[#This Row],[Produto]],tItens[[#This Row],[Produto]])=1,1,0)</f>
        <v>0</v>
      </c>
    </row>
    <row r="3867" spans="1:16" x14ac:dyDescent="0.25">
      <c r="A3867" t="s">
        <v>1602</v>
      </c>
      <c r="B3867">
        <v>3</v>
      </c>
      <c r="C3867" t="s">
        <v>6729</v>
      </c>
      <c r="D3867" t="s">
        <v>512</v>
      </c>
      <c r="E3867" s="13">
        <v>20</v>
      </c>
      <c r="F3867" s="12">
        <v>0</v>
      </c>
      <c r="G3867" t="str">
        <f>IFERROR(INDEX(tEditais[Órgão],MATCH(tItens[[#This Row],[Edital]],tEditais[Edital],0)),"")</f>
        <v>MUNICIPIO DE SANTA MARIA DO SUACUI</v>
      </c>
      <c r="H3867" t="str">
        <f>IFERROR(INDEX(tEditais[UF],MATCH(tItens[[#This Row],[Edital]],tEditais[Edital],0)),"")</f>
        <v>MG</v>
      </c>
      <c r="I3867" s="11">
        <f>IFERROR(INDEX(tEditais[Encerramento],MATCH(tItens[[#This Row],[Edital]],tEditais[Edital],0)),"")</f>
        <v>46314.354166666664</v>
      </c>
      <c r="J3867" t="str">
        <f>IFERROR(INDEX(tProdutos[Classe],MATCH(tItens[[#This Row],[Produto]],tProdutos[Produto],0)),"produto não cadastrado")</f>
        <v>FILA REBASE</v>
      </c>
      <c r="K3867" s="12">
        <f>tItens[[#This Row],[Qtd]]*tItens[[#This Row],[Vlr unit]]</f>
        <v>0</v>
      </c>
      <c r="L3867" s="6">
        <f>IFERROR(IF(INDEX(tProdutos[Desconto homologado],MATCH(tItens[[#This Row],[Produto]],tProdutos[Produto],0))="",DescontoPadrao,INDEX(tProdutos[Desconto homologado],MATCH(tItens[[#This Row],[Produto]],tProdutos[Produto],0))),DescontoPadrao)</f>
        <v>0.32579365079365102</v>
      </c>
      <c r="M3867" s="12">
        <f>tItens[[#This Row],[Valor]]*(1-tItens[[#This Row],[Desconto]])</f>
        <v>0</v>
      </c>
      <c r="N3867" t="str">
        <f>IFERROR(INDEX(tProdutos[Foco],MATCH(tItens[[#This Row],[Produto]],tProdutos[Produto],0)),"Não")</f>
        <v>Não</v>
      </c>
      <c r="O3867" t="str">
        <f>IFERROR(INDEX(tEditais[SRP],MATCH(tItens[[#This Row],[Edital]],tEditais[Edital],0)),"Não")</f>
        <v>Sim</v>
      </c>
      <c r="P3867" s="4">
        <f>IF(COUNTIFS(INDEX(tItens[Edital],1):tItens[[#This Row],[Edital]],tItens[[#This Row],[Edital]],INDEX(tItens[Produto],1):tItens[[#This Row],[Produto]],tItens[[#This Row],[Produto]])=1,1,0)</f>
        <v>1</v>
      </c>
    </row>
    <row r="3868" spans="1:16" x14ac:dyDescent="0.25">
      <c r="A3868" t="s">
        <v>1602</v>
      </c>
      <c r="B3868">
        <v>20</v>
      </c>
      <c r="C3868" t="s">
        <v>6730</v>
      </c>
      <c r="D3868" t="s">
        <v>512</v>
      </c>
      <c r="E3868" s="13">
        <v>10</v>
      </c>
      <c r="F3868" s="12">
        <v>0</v>
      </c>
      <c r="G3868" t="str">
        <f>IFERROR(INDEX(tEditais[Órgão],MATCH(tItens[[#This Row],[Edital]],tEditais[Edital],0)),"")</f>
        <v>MUNICIPIO DE SANTA MARIA DO SUACUI</v>
      </c>
      <c r="H3868" t="str">
        <f>IFERROR(INDEX(tEditais[UF],MATCH(tItens[[#This Row],[Edital]],tEditais[Edital],0)),"")</f>
        <v>MG</v>
      </c>
      <c r="I3868" s="11">
        <f>IFERROR(INDEX(tEditais[Encerramento],MATCH(tItens[[#This Row],[Edital]],tEditais[Edital],0)),"")</f>
        <v>46314.354166666664</v>
      </c>
      <c r="J3868" t="str">
        <f>IFERROR(INDEX(tProdutos[Classe],MATCH(tItens[[#This Row],[Produto]],tProdutos[Produto],0)),"produto não cadastrado")</f>
        <v>FILA REBASE</v>
      </c>
      <c r="K3868" s="12">
        <f>tItens[[#This Row],[Qtd]]*tItens[[#This Row],[Vlr unit]]</f>
        <v>0</v>
      </c>
      <c r="L3868" s="6">
        <f>IFERROR(IF(INDEX(tProdutos[Desconto homologado],MATCH(tItens[[#This Row],[Produto]],tProdutos[Produto],0))="",DescontoPadrao,INDEX(tProdutos[Desconto homologado],MATCH(tItens[[#This Row],[Produto]],tProdutos[Produto],0))),DescontoPadrao)</f>
        <v>0.32579365079365102</v>
      </c>
      <c r="M3868" s="12">
        <f>tItens[[#This Row],[Valor]]*(1-tItens[[#This Row],[Desconto]])</f>
        <v>0</v>
      </c>
      <c r="N3868" t="str">
        <f>IFERROR(INDEX(tProdutos[Foco],MATCH(tItens[[#This Row],[Produto]],tProdutos[Produto],0)),"Não")</f>
        <v>Não</v>
      </c>
      <c r="O3868" t="str">
        <f>IFERROR(INDEX(tEditais[SRP],MATCH(tItens[[#This Row],[Edital]],tEditais[Edital],0)),"Não")</f>
        <v>Sim</v>
      </c>
      <c r="P3868" s="4">
        <f>IF(COUNTIFS(INDEX(tItens[Edital],1):tItens[[#This Row],[Edital]],tItens[[#This Row],[Edital]],INDEX(tItens[Produto],1):tItens[[#This Row],[Produto]],tItens[[#This Row],[Produto]])=1,1,0)</f>
        <v>0</v>
      </c>
    </row>
    <row r="3869" spans="1:16" x14ac:dyDescent="0.25">
      <c r="A3869" t="s">
        <v>1602</v>
      </c>
      <c r="B3869">
        <v>33</v>
      </c>
      <c r="C3869" t="s">
        <v>6731</v>
      </c>
      <c r="D3869" t="s">
        <v>197</v>
      </c>
      <c r="E3869" s="13">
        <v>15</v>
      </c>
      <c r="F3869" s="12">
        <v>0</v>
      </c>
      <c r="G3869" t="str">
        <f>IFERROR(INDEX(tEditais[Órgão],MATCH(tItens[[#This Row],[Edital]],tEditais[Edital],0)),"")</f>
        <v>MUNICIPIO DE SANTA MARIA DO SUACUI</v>
      </c>
      <c r="H3869" t="str">
        <f>IFERROR(INDEX(tEditais[UF],MATCH(tItens[[#This Row],[Edital]],tEditais[Edital],0)),"")</f>
        <v>MG</v>
      </c>
      <c r="I3869" s="11">
        <f>IFERROR(INDEX(tEditais[Encerramento],MATCH(tItens[[#This Row],[Edital]],tEditais[Edital],0)),"")</f>
        <v>46314.354166666664</v>
      </c>
      <c r="J3869" t="str">
        <f>IFERROR(INDEX(tProdutos[Classe],MATCH(tItens[[#This Row],[Produto]],tProdutos[Produto],0)),"produto não cadastrado")</f>
        <v>FORA</v>
      </c>
      <c r="K3869" s="12">
        <f>tItens[[#This Row],[Qtd]]*tItens[[#This Row],[Vlr unit]]</f>
        <v>0</v>
      </c>
      <c r="L3869" s="6">
        <f>IFERROR(IF(INDEX(tProdutos[Desconto homologado],MATCH(tItens[[#This Row],[Produto]],tProdutos[Produto],0))="",DescontoPadrao,INDEX(tProdutos[Desconto homologado],MATCH(tItens[[#This Row],[Produto]],tProdutos[Produto],0))),DescontoPadrao)</f>
        <v>0.26394818195200997</v>
      </c>
      <c r="M3869" s="12">
        <f>tItens[[#This Row],[Valor]]*(1-tItens[[#This Row],[Desconto]])</f>
        <v>0</v>
      </c>
      <c r="N3869" t="str">
        <f>IFERROR(INDEX(tProdutos[Foco],MATCH(tItens[[#This Row],[Produto]],tProdutos[Produto],0)),"Não")</f>
        <v>Não</v>
      </c>
      <c r="O3869" t="str">
        <f>IFERROR(INDEX(tEditais[SRP],MATCH(tItens[[#This Row],[Edital]],tEditais[Edital],0)),"Não")</f>
        <v>Sim</v>
      </c>
      <c r="P3869" s="4">
        <f>IF(COUNTIFS(INDEX(tItens[Edital],1):tItens[[#This Row],[Edital]],tItens[[#This Row],[Edital]],INDEX(tItens[Produto],1):tItens[[#This Row],[Produto]],tItens[[#This Row],[Produto]])=1,1,0)</f>
        <v>1</v>
      </c>
    </row>
    <row r="3870" spans="1:16" x14ac:dyDescent="0.25">
      <c r="A3870" t="s">
        <v>1602</v>
      </c>
      <c r="B3870">
        <v>34</v>
      </c>
      <c r="C3870" t="s">
        <v>6732</v>
      </c>
      <c r="D3870" t="s">
        <v>500</v>
      </c>
      <c r="E3870" s="13">
        <v>60</v>
      </c>
      <c r="F3870" s="12">
        <v>0</v>
      </c>
      <c r="G3870" t="str">
        <f>IFERROR(INDEX(tEditais[Órgão],MATCH(tItens[[#This Row],[Edital]],tEditais[Edital],0)),"")</f>
        <v>MUNICIPIO DE SANTA MARIA DO SUACUI</v>
      </c>
      <c r="H3870" t="str">
        <f>IFERROR(INDEX(tEditais[UF],MATCH(tItens[[#This Row],[Edital]],tEditais[Edital],0)),"")</f>
        <v>MG</v>
      </c>
      <c r="I3870" s="11">
        <f>IFERROR(INDEX(tEditais[Encerramento],MATCH(tItens[[#This Row],[Edital]],tEditais[Edital],0)),"")</f>
        <v>46314.354166666664</v>
      </c>
      <c r="J3870" t="str">
        <f>IFERROR(INDEX(tProdutos[Classe],MATCH(tItens[[#This Row],[Produto]],tProdutos[Produto],0)),"produto não cadastrado")</f>
        <v>FILA REBASE</v>
      </c>
      <c r="K3870" s="12">
        <f>tItens[[#This Row],[Qtd]]*tItens[[#This Row],[Vlr unit]]</f>
        <v>0</v>
      </c>
      <c r="L3870" s="6">
        <f>IFERROR(IF(INDEX(tProdutos[Desconto homologado],MATCH(tItens[[#This Row],[Produto]],tProdutos[Produto],0))="",DescontoPadrao,INDEX(tProdutos[Desconto homologado],MATCH(tItens[[#This Row],[Produto]],tProdutos[Produto],0))),DescontoPadrao)</f>
        <v>0.267022226451467</v>
      </c>
      <c r="M3870" s="12">
        <f>tItens[[#This Row],[Valor]]*(1-tItens[[#This Row],[Desconto]])</f>
        <v>0</v>
      </c>
      <c r="N3870" t="str">
        <f>IFERROR(INDEX(tProdutos[Foco],MATCH(tItens[[#This Row],[Produto]],tProdutos[Produto],0)),"Não")</f>
        <v>Não</v>
      </c>
      <c r="O3870" t="str">
        <f>IFERROR(INDEX(tEditais[SRP],MATCH(tItens[[#This Row],[Edital]],tEditais[Edital],0)),"Não")</f>
        <v>Sim</v>
      </c>
      <c r="P3870" s="4">
        <f>IF(COUNTIFS(INDEX(tItens[Edital],1):tItens[[#This Row],[Edital]],tItens[[#This Row],[Edital]],INDEX(tItens[Produto],1):tItens[[#This Row],[Produto]],tItens[[#This Row],[Produto]])=1,1,0)</f>
        <v>1</v>
      </c>
    </row>
    <row r="3871" spans="1:16" x14ac:dyDescent="0.25">
      <c r="A3871" t="s">
        <v>1602</v>
      </c>
      <c r="B3871">
        <v>36</v>
      </c>
      <c r="C3871" t="s">
        <v>6733</v>
      </c>
      <c r="D3871" t="s">
        <v>150</v>
      </c>
      <c r="E3871" s="13">
        <v>3000</v>
      </c>
      <c r="F3871" s="12">
        <v>0</v>
      </c>
      <c r="G3871" t="str">
        <f>IFERROR(INDEX(tEditais[Órgão],MATCH(tItens[[#This Row],[Edital]],tEditais[Edital],0)),"")</f>
        <v>MUNICIPIO DE SANTA MARIA DO SUACUI</v>
      </c>
      <c r="H3871" t="str">
        <f>IFERROR(INDEX(tEditais[UF],MATCH(tItens[[#This Row],[Edital]],tEditais[Edital],0)),"")</f>
        <v>MG</v>
      </c>
      <c r="I3871" s="11">
        <f>IFERROR(INDEX(tEditais[Encerramento],MATCH(tItens[[#This Row],[Edital]],tEditais[Edital],0)),"")</f>
        <v>46314.354166666664</v>
      </c>
      <c r="J3871" t="str">
        <f>IFERROR(INDEX(tProdutos[Classe],MATCH(tItens[[#This Row],[Produto]],tProdutos[Produto],0)),"produto não cadastrado")</f>
        <v>DISPUTADO</v>
      </c>
      <c r="K3871" s="12">
        <f>tItens[[#This Row],[Qtd]]*tItens[[#This Row],[Vlr unit]]</f>
        <v>0</v>
      </c>
      <c r="L3871" s="6">
        <f>IFERROR(IF(INDEX(tProdutos[Desconto homologado],MATCH(tItens[[#This Row],[Produto]],tProdutos[Produto],0))="",DescontoPadrao,INDEX(tProdutos[Desconto homologado],MATCH(tItens[[#This Row],[Produto]],tProdutos[Produto],0))),DescontoPadrao)</f>
        <v>0.24874026568941801</v>
      </c>
      <c r="M3871" s="12">
        <f>tItens[[#This Row],[Valor]]*(1-tItens[[#This Row],[Desconto]])</f>
        <v>0</v>
      </c>
      <c r="N3871" t="str">
        <f>IFERROR(INDEX(tProdutos[Foco],MATCH(tItens[[#This Row],[Produto]],tProdutos[Produto],0)),"Não")</f>
        <v>Não</v>
      </c>
      <c r="O3871" t="str">
        <f>IFERROR(INDEX(tEditais[SRP],MATCH(tItens[[#This Row],[Edital]],tEditais[Edital],0)),"Não")</f>
        <v>Sim</v>
      </c>
      <c r="P3871" s="4">
        <f>IF(COUNTIFS(INDEX(tItens[Edital],1):tItens[[#This Row],[Edital]],tItens[[#This Row],[Edital]],INDEX(tItens[Produto],1):tItens[[#This Row],[Produto]],tItens[[#This Row],[Produto]])=1,1,0)</f>
        <v>1</v>
      </c>
    </row>
    <row r="3872" spans="1:16" x14ac:dyDescent="0.25">
      <c r="A3872" t="s">
        <v>1602</v>
      </c>
      <c r="B3872">
        <v>37</v>
      </c>
      <c r="C3872" t="s">
        <v>6734</v>
      </c>
      <c r="D3872" t="s">
        <v>393</v>
      </c>
      <c r="E3872" s="13">
        <v>100</v>
      </c>
      <c r="F3872" s="12">
        <v>0</v>
      </c>
      <c r="G3872" t="str">
        <f>IFERROR(INDEX(tEditais[Órgão],MATCH(tItens[[#This Row],[Edital]],tEditais[Edital],0)),"")</f>
        <v>MUNICIPIO DE SANTA MARIA DO SUACUI</v>
      </c>
      <c r="H3872" t="str">
        <f>IFERROR(INDEX(tEditais[UF],MATCH(tItens[[#This Row],[Edital]],tEditais[Edital],0)),"")</f>
        <v>MG</v>
      </c>
      <c r="I3872" s="11">
        <f>IFERROR(INDEX(tEditais[Encerramento],MATCH(tItens[[#This Row],[Edital]],tEditais[Edital],0)),"")</f>
        <v>46314.354166666664</v>
      </c>
      <c r="J3872" t="str">
        <f>IFERROR(INDEX(tProdutos[Classe],MATCH(tItens[[#This Row],[Produto]],tProdutos[Produto],0)),"produto não cadastrado")</f>
        <v>FORA</v>
      </c>
      <c r="K3872" s="12">
        <f>tItens[[#This Row],[Qtd]]*tItens[[#This Row],[Vlr unit]]</f>
        <v>0</v>
      </c>
      <c r="L3872" s="6">
        <f>IFERROR(IF(INDEX(tProdutos[Desconto homologado],MATCH(tItens[[#This Row],[Produto]],tProdutos[Produto],0))="",DescontoPadrao,INDEX(tProdutos[Desconto homologado],MATCH(tItens[[#This Row],[Produto]],tProdutos[Produto],0))),DescontoPadrao)</f>
        <v>0.286445012787724</v>
      </c>
      <c r="M3872" s="12">
        <f>tItens[[#This Row],[Valor]]*(1-tItens[[#This Row],[Desconto]])</f>
        <v>0</v>
      </c>
      <c r="N3872" t="str">
        <f>IFERROR(INDEX(tProdutos[Foco],MATCH(tItens[[#This Row],[Produto]],tProdutos[Produto],0)),"Não")</f>
        <v>Não</v>
      </c>
      <c r="O3872" t="str">
        <f>IFERROR(INDEX(tEditais[SRP],MATCH(tItens[[#This Row],[Edital]],tEditais[Edital],0)),"Não")</f>
        <v>Sim</v>
      </c>
      <c r="P3872" s="4">
        <f>IF(COUNTIFS(INDEX(tItens[Edital],1):tItens[[#This Row],[Edital]],tItens[[#This Row],[Edital]],INDEX(tItens[Produto],1):tItens[[#This Row],[Produto]],tItens[[#This Row],[Produto]])=1,1,0)</f>
        <v>1</v>
      </c>
    </row>
    <row r="3873" spans="1:16" x14ac:dyDescent="0.25">
      <c r="A3873" t="s">
        <v>1605</v>
      </c>
      <c r="B3873">
        <v>13</v>
      </c>
      <c r="C3873" t="s">
        <v>6735</v>
      </c>
      <c r="D3873" t="s">
        <v>82</v>
      </c>
      <c r="E3873" s="13">
        <v>30</v>
      </c>
      <c r="F3873" s="12">
        <v>0</v>
      </c>
      <c r="G3873" t="str">
        <f>IFERROR(INDEX(tEditais[Órgão],MATCH(tItens[[#This Row],[Edital]],tEditais[Edital],0)),"")</f>
        <v>MUNICIPIO DE CACHOEIRA DA PRATA</v>
      </c>
      <c r="H3873" t="str">
        <f>IFERROR(INDEX(tEditais[UF],MATCH(tItens[[#This Row],[Edital]],tEditais[Edital],0)),"")</f>
        <v>MG</v>
      </c>
      <c r="I3873" s="11">
        <f>IFERROR(INDEX(tEditais[Encerramento],MATCH(tItens[[#This Row],[Edital]],tEditais[Edital],0)),"")</f>
        <v>46314.354166666664</v>
      </c>
      <c r="J3873" t="str">
        <f>IFERROR(INDEX(tProdutos[Classe],MATCH(tItens[[#This Row],[Produto]],tProdutos[Produto],0)),"produto não cadastrado")</f>
        <v>NÚCLEO</v>
      </c>
      <c r="K3873" s="12">
        <f>tItens[[#This Row],[Qtd]]*tItens[[#This Row],[Vlr unit]]</f>
        <v>0</v>
      </c>
      <c r="L3873" s="6">
        <f>IFERROR(IF(INDEX(tProdutos[Desconto homologado],MATCH(tItens[[#This Row],[Produto]],tProdutos[Produto],0))="",DescontoPadrao,INDEX(tProdutos[Desconto homologado],MATCH(tItens[[#This Row],[Produto]],tProdutos[Produto],0))),DescontoPadrao)</f>
        <v>0.40487090276506099</v>
      </c>
      <c r="M3873" s="12">
        <f>tItens[[#This Row],[Valor]]*(1-tItens[[#This Row],[Desconto]])</f>
        <v>0</v>
      </c>
      <c r="N3873" t="str">
        <f>IFERROR(INDEX(tProdutos[Foco],MATCH(tItens[[#This Row],[Produto]],tProdutos[Produto],0)),"Não")</f>
        <v>Não</v>
      </c>
      <c r="O3873" t="str">
        <f>IFERROR(INDEX(tEditais[SRP],MATCH(tItens[[#This Row],[Edital]],tEditais[Edital],0)),"Não")</f>
        <v>Sim</v>
      </c>
      <c r="P3873" s="4">
        <f>IF(COUNTIFS(INDEX(tItens[Edital],1):tItens[[#This Row],[Edital]],tItens[[#This Row],[Edital]],INDEX(tItens[Produto],1):tItens[[#This Row],[Produto]],tItens[[#This Row],[Produto]])=1,1,0)</f>
        <v>1</v>
      </c>
    </row>
    <row r="3874" spans="1:16" x14ac:dyDescent="0.25">
      <c r="A3874" t="s">
        <v>1605</v>
      </c>
      <c r="B3874">
        <v>14</v>
      </c>
      <c r="C3874" t="s">
        <v>6736</v>
      </c>
      <c r="D3874" t="s">
        <v>82</v>
      </c>
      <c r="E3874" s="13">
        <v>30</v>
      </c>
      <c r="F3874" s="12">
        <v>0</v>
      </c>
      <c r="G3874" t="str">
        <f>IFERROR(INDEX(tEditais[Órgão],MATCH(tItens[[#This Row],[Edital]],tEditais[Edital],0)),"")</f>
        <v>MUNICIPIO DE CACHOEIRA DA PRATA</v>
      </c>
      <c r="H3874" t="str">
        <f>IFERROR(INDEX(tEditais[UF],MATCH(tItens[[#This Row],[Edital]],tEditais[Edital],0)),"")</f>
        <v>MG</v>
      </c>
      <c r="I3874" s="11">
        <f>IFERROR(INDEX(tEditais[Encerramento],MATCH(tItens[[#This Row],[Edital]],tEditais[Edital],0)),"")</f>
        <v>46314.354166666664</v>
      </c>
      <c r="J3874" t="str">
        <f>IFERROR(INDEX(tProdutos[Classe],MATCH(tItens[[#This Row],[Produto]],tProdutos[Produto],0)),"produto não cadastrado")</f>
        <v>NÚCLEO</v>
      </c>
      <c r="K3874" s="12">
        <f>tItens[[#This Row],[Qtd]]*tItens[[#This Row],[Vlr unit]]</f>
        <v>0</v>
      </c>
      <c r="L3874" s="6">
        <f>IFERROR(IF(INDEX(tProdutos[Desconto homologado],MATCH(tItens[[#This Row],[Produto]],tProdutos[Produto],0))="",DescontoPadrao,INDEX(tProdutos[Desconto homologado],MATCH(tItens[[#This Row],[Produto]],tProdutos[Produto],0))),DescontoPadrao)</f>
        <v>0.40487090276506099</v>
      </c>
      <c r="M3874" s="12">
        <f>tItens[[#This Row],[Valor]]*(1-tItens[[#This Row],[Desconto]])</f>
        <v>0</v>
      </c>
      <c r="N3874" t="str">
        <f>IFERROR(INDEX(tProdutos[Foco],MATCH(tItens[[#This Row],[Produto]],tProdutos[Produto],0)),"Não")</f>
        <v>Não</v>
      </c>
      <c r="O3874" t="str">
        <f>IFERROR(INDEX(tEditais[SRP],MATCH(tItens[[#This Row],[Edital]],tEditais[Edital],0)),"Não")</f>
        <v>Sim</v>
      </c>
      <c r="P3874" s="4">
        <f>IF(COUNTIFS(INDEX(tItens[Edital],1):tItens[[#This Row],[Edital]],tItens[[#This Row],[Edital]],INDEX(tItens[Produto],1):tItens[[#This Row],[Produto]],tItens[[#This Row],[Produto]])=1,1,0)</f>
        <v>0</v>
      </c>
    </row>
    <row r="3875" spans="1:16" x14ac:dyDescent="0.25">
      <c r="A3875" t="s">
        <v>1605</v>
      </c>
      <c r="B3875">
        <v>16</v>
      </c>
      <c r="C3875" t="s">
        <v>6737</v>
      </c>
      <c r="D3875" t="s">
        <v>88</v>
      </c>
      <c r="E3875" s="13">
        <v>20</v>
      </c>
      <c r="F3875" s="12">
        <v>0</v>
      </c>
      <c r="G3875" t="str">
        <f>IFERROR(INDEX(tEditais[Órgão],MATCH(tItens[[#This Row],[Edital]],tEditais[Edital],0)),"")</f>
        <v>MUNICIPIO DE CACHOEIRA DA PRATA</v>
      </c>
      <c r="H3875" t="str">
        <f>IFERROR(INDEX(tEditais[UF],MATCH(tItens[[#This Row],[Edital]],tEditais[Edital],0)),"")</f>
        <v>MG</v>
      </c>
      <c r="I3875" s="11">
        <f>IFERROR(INDEX(tEditais[Encerramento],MATCH(tItens[[#This Row],[Edital]],tEditais[Edital],0)),"")</f>
        <v>46314.354166666664</v>
      </c>
      <c r="J3875" t="str">
        <f>IFERROR(INDEX(tProdutos[Classe],MATCH(tItens[[#This Row],[Produto]],tProdutos[Produto],0)),"produto não cadastrado")</f>
        <v>NÚCLEO</v>
      </c>
      <c r="K3875" s="12">
        <f>tItens[[#This Row],[Qtd]]*tItens[[#This Row],[Vlr unit]]</f>
        <v>0</v>
      </c>
      <c r="L3875" s="6">
        <f>IFERROR(IF(INDEX(tProdutos[Desconto homologado],MATCH(tItens[[#This Row],[Produto]],tProdutos[Produto],0))="",DescontoPadrao,INDEX(tProdutos[Desconto homologado],MATCH(tItens[[#This Row],[Produto]],tProdutos[Produto],0))),DescontoPadrao)</f>
        <v>0.30251202565473001</v>
      </c>
      <c r="M3875" s="12">
        <f>tItens[[#This Row],[Valor]]*(1-tItens[[#This Row],[Desconto]])</f>
        <v>0</v>
      </c>
      <c r="N3875" t="str">
        <f>IFERROR(INDEX(tProdutos[Foco],MATCH(tItens[[#This Row],[Produto]],tProdutos[Produto],0)),"Não")</f>
        <v>Não</v>
      </c>
      <c r="O3875" t="str">
        <f>IFERROR(INDEX(tEditais[SRP],MATCH(tItens[[#This Row],[Edital]],tEditais[Edital],0)),"Não")</f>
        <v>Sim</v>
      </c>
      <c r="P3875" s="4">
        <f>IF(COUNTIFS(INDEX(tItens[Edital],1):tItens[[#This Row],[Edital]],tItens[[#This Row],[Edital]],INDEX(tItens[Produto],1):tItens[[#This Row],[Produto]],tItens[[#This Row],[Produto]])=1,1,0)</f>
        <v>1</v>
      </c>
    </row>
    <row r="3876" spans="1:16" x14ac:dyDescent="0.25">
      <c r="A3876" t="s">
        <v>1605</v>
      </c>
      <c r="B3876">
        <v>35</v>
      </c>
      <c r="C3876" t="s">
        <v>6738</v>
      </c>
      <c r="D3876" t="s">
        <v>132</v>
      </c>
      <c r="E3876" s="13">
        <v>200</v>
      </c>
      <c r="F3876" s="12">
        <v>0</v>
      </c>
      <c r="G3876" t="str">
        <f>IFERROR(INDEX(tEditais[Órgão],MATCH(tItens[[#This Row],[Edital]],tEditais[Edital],0)),"")</f>
        <v>MUNICIPIO DE CACHOEIRA DA PRATA</v>
      </c>
      <c r="H3876" t="str">
        <f>IFERROR(INDEX(tEditais[UF],MATCH(tItens[[#This Row],[Edital]],tEditais[Edital],0)),"")</f>
        <v>MG</v>
      </c>
      <c r="I3876" s="11">
        <f>IFERROR(INDEX(tEditais[Encerramento],MATCH(tItens[[#This Row],[Edital]],tEditais[Edital],0)),"")</f>
        <v>46314.354166666664</v>
      </c>
      <c r="J3876" t="str">
        <f>IFERROR(INDEX(tProdutos[Classe],MATCH(tItens[[#This Row],[Produto]],tProdutos[Produto],0)),"produto não cadastrado")</f>
        <v>NÚCLEO</v>
      </c>
      <c r="K3876" s="12">
        <f>tItens[[#This Row],[Qtd]]*tItens[[#This Row],[Vlr unit]]</f>
        <v>0</v>
      </c>
      <c r="L3876" s="6">
        <f>IFERROR(IF(INDEX(tProdutos[Desconto homologado],MATCH(tItens[[#This Row],[Produto]],tProdutos[Produto],0))="",DescontoPadrao,INDEX(tProdutos[Desconto homologado],MATCH(tItens[[#This Row],[Produto]],tProdutos[Produto],0))),DescontoPadrao)</f>
        <v>0.27</v>
      </c>
      <c r="M3876" s="12">
        <f>tItens[[#This Row],[Valor]]*(1-tItens[[#This Row],[Desconto]])</f>
        <v>0</v>
      </c>
      <c r="N3876" t="str">
        <f>IFERROR(INDEX(tProdutos[Foco],MATCH(tItens[[#This Row],[Produto]],tProdutos[Produto],0)),"Não")</f>
        <v>Sim</v>
      </c>
      <c r="O3876" t="str">
        <f>IFERROR(INDEX(tEditais[SRP],MATCH(tItens[[#This Row],[Edital]],tEditais[Edital],0)),"Não")</f>
        <v>Sim</v>
      </c>
      <c r="P3876" s="4">
        <f>IF(COUNTIFS(INDEX(tItens[Edital],1):tItens[[#This Row],[Edital]],tItens[[#This Row],[Edital]],INDEX(tItens[Produto],1):tItens[[#This Row],[Produto]],tItens[[#This Row],[Produto]])=1,1,0)</f>
        <v>1</v>
      </c>
    </row>
    <row r="3877" spans="1:16" x14ac:dyDescent="0.25">
      <c r="A3877" t="s">
        <v>1605</v>
      </c>
      <c r="B3877">
        <v>152</v>
      </c>
      <c r="C3877" t="s">
        <v>6739</v>
      </c>
      <c r="D3877" t="s">
        <v>638</v>
      </c>
      <c r="E3877" s="13">
        <v>20</v>
      </c>
      <c r="F3877" s="12">
        <v>0</v>
      </c>
      <c r="G3877" t="str">
        <f>IFERROR(INDEX(tEditais[Órgão],MATCH(tItens[[#This Row],[Edital]],tEditais[Edital],0)),"")</f>
        <v>MUNICIPIO DE CACHOEIRA DA PRATA</v>
      </c>
      <c r="H3877" t="str">
        <f>IFERROR(INDEX(tEditais[UF],MATCH(tItens[[#This Row],[Edital]],tEditais[Edital],0)),"")</f>
        <v>MG</v>
      </c>
      <c r="I3877" s="11">
        <f>IFERROR(INDEX(tEditais[Encerramento],MATCH(tItens[[#This Row],[Edital]],tEditais[Edital],0)),"")</f>
        <v>46314.354166666664</v>
      </c>
      <c r="J3877" t="str">
        <f>IFERROR(INDEX(tProdutos[Classe],MATCH(tItens[[#This Row],[Produto]],tProdutos[Produto],0)),"produto não cadastrado")</f>
        <v>FILA REBASE</v>
      </c>
      <c r="K3877" s="12">
        <f>tItens[[#This Row],[Qtd]]*tItens[[#This Row],[Vlr unit]]</f>
        <v>0</v>
      </c>
      <c r="L3877" s="6">
        <f>IFERROR(IF(INDEX(tProdutos[Desconto homologado],MATCH(tItens[[#This Row],[Produto]],tProdutos[Produto],0))="",DescontoPadrao,INDEX(tProdutos[Desconto homologado],MATCH(tItens[[#This Row],[Produto]],tProdutos[Produto],0))),DescontoPadrao)</f>
        <v>0.487179487179487</v>
      </c>
      <c r="M3877" s="12">
        <f>tItens[[#This Row],[Valor]]*(1-tItens[[#This Row],[Desconto]])</f>
        <v>0</v>
      </c>
      <c r="N3877" t="str">
        <f>IFERROR(INDEX(tProdutos[Foco],MATCH(tItens[[#This Row],[Produto]],tProdutos[Produto],0)),"Não")</f>
        <v>Não</v>
      </c>
      <c r="O3877" t="str">
        <f>IFERROR(INDEX(tEditais[SRP],MATCH(tItens[[#This Row],[Edital]],tEditais[Edital],0)),"Não")</f>
        <v>Sim</v>
      </c>
      <c r="P3877" s="4">
        <f>IF(COUNTIFS(INDEX(tItens[Edital],1):tItens[[#This Row],[Edital]],tItens[[#This Row],[Edital]],INDEX(tItens[Produto],1):tItens[[#This Row],[Produto]],tItens[[#This Row],[Produto]])=1,1,0)</f>
        <v>1</v>
      </c>
    </row>
    <row r="3878" spans="1:16" x14ac:dyDescent="0.25">
      <c r="A3878" t="s">
        <v>1605</v>
      </c>
      <c r="B3878">
        <v>192</v>
      </c>
      <c r="C3878" t="s">
        <v>6740</v>
      </c>
      <c r="D3878" t="s">
        <v>383</v>
      </c>
      <c r="E3878" s="13">
        <v>2000</v>
      </c>
      <c r="F3878" s="12">
        <v>0</v>
      </c>
      <c r="G3878" t="str">
        <f>IFERROR(INDEX(tEditais[Órgão],MATCH(tItens[[#This Row],[Edital]],tEditais[Edital],0)),"")</f>
        <v>MUNICIPIO DE CACHOEIRA DA PRATA</v>
      </c>
      <c r="H3878" t="str">
        <f>IFERROR(INDEX(tEditais[UF],MATCH(tItens[[#This Row],[Edital]],tEditais[Edital],0)),"")</f>
        <v>MG</v>
      </c>
      <c r="I3878" s="11">
        <f>IFERROR(INDEX(tEditais[Encerramento],MATCH(tItens[[#This Row],[Edital]],tEditais[Edital],0)),"")</f>
        <v>46314.354166666664</v>
      </c>
      <c r="J3878" t="str">
        <f>IFERROR(INDEX(tProdutos[Classe],MATCH(tItens[[#This Row],[Produto]],tProdutos[Produto],0)),"produto não cadastrado")</f>
        <v>FORA</v>
      </c>
      <c r="K3878" s="12">
        <f>tItens[[#This Row],[Qtd]]*tItens[[#This Row],[Vlr unit]]</f>
        <v>0</v>
      </c>
      <c r="L3878" s="6">
        <f>IFERROR(IF(INDEX(tProdutos[Desconto homologado],MATCH(tItens[[#This Row],[Produto]],tProdutos[Produto],0))="",DescontoPadrao,INDEX(tProdutos[Desconto homologado],MATCH(tItens[[#This Row],[Produto]],tProdutos[Produto],0))),DescontoPadrao)</f>
        <v>0.48749999999999999</v>
      </c>
      <c r="M3878" s="12">
        <f>tItens[[#This Row],[Valor]]*(1-tItens[[#This Row],[Desconto]])</f>
        <v>0</v>
      </c>
      <c r="N3878" t="str">
        <f>IFERROR(INDEX(tProdutos[Foco],MATCH(tItens[[#This Row],[Produto]],tProdutos[Produto],0)),"Não")</f>
        <v>Não</v>
      </c>
      <c r="O3878" t="str">
        <f>IFERROR(INDEX(tEditais[SRP],MATCH(tItens[[#This Row],[Edital]],tEditais[Edital],0)),"Não")</f>
        <v>Sim</v>
      </c>
      <c r="P3878" s="4">
        <f>IF(COUNTIFS(INDEX(tItens[Edital],1):tItens[[#This Row],[Edital]],tItens[[#This Row],[Edital]],INDEX(tItens[Produto],1):tItens[[#This Row],[Produto]],tItens[[#This Row],[Produto]])=1,1,0)</f>
        <v>1</v>
      </c>
    </row>
    <row r="3879" spans="1:16" x14ac:dyDescent="0.25">
      <c r="A3879" t="s">
        <v>1605</v>
      </c>
      <c r="B3879">
        <v>193</v>
      </c>
      <c r="C3879" t="s">
        <v>6741</v>
      </c>
      <c r="D3879" t="s">
        <v>341</v>
      </c>
      <c r="E3879" s="13">
        <v>100</v>
      </c>
      <c r="F3879" s="12">
        <v>0</v>
      </c>
      <c r="G3879" t="str">
        <f>IFERROR(INDEX(tEditais[Órgão],MATCH(tItens[[#This Row],[Edital]],tEditais[Edital],0)),"")</f>
        <v>MUNICIPIO DE CACHOEIRA DA PRATA</v>
      </c>
      <c r="H3879" t="str">
        <f>IFERROR(INDEX(tEditais[UF],MATCH(tItens[[#This Row],[Edital]],tEditais[Edital],0)),"")</f>
        <v>MG</v>
      </c>
      <c r="I3879" s="11">
        <f>IFERROR(INDEX(tEditais[Encerramento],MATCH(tItens[[#This Row],[Edital]],tEditais[Edital],0)),"")</f>
        <v>46314.354166666664</v>
      </c>
      <c r="J3879" t="str">
        <f>IFERROR(INDEX(tProdutos[Classe],MATCH(tItens[[#This Row],[Produto]],tProdutos[Produto],0)),"produto não cadastrado")</f>
        <v>FORA</v>
      </c>
      <c r="K3879" s="12">
        <f>tItens[[#This Row],[Qtd]]*tItens[[#This Row],[Vlr unit]]</f>
        <v>0</v>
      </c>
      <c r="L3879" s="6">
        <f>IFERROR(IF(INDEX(tProdutos[Desconto homologado],MATCH(tItens[[#This Row],[Produto]],tProdutos[Produto],0))="",DescontoPadrao,INDEX(tProdutos[Desconto homologado],MATCH(tItens[[#This Row],[Produto]],tProdutos[Produto],0))),DescontoPadrao)</f>
        <v>0.46918578497525898</v>
      </c>
      <c r="M3879" s="12">
        <f>tItens[[#This Row],[Valor]]*(1-tItens[[#This Row],[Desconto]])</f>
        <v>0</v>
      </c>
      <c r="N3879" t="str">
        <f>IFERROR(INDEX(tProdutos[Foco],MATCH(tItens[[#This Row],[Produto]],tProdutos[Produto],0)),"Não")</f>
        <v>Não</v>
      </c>
      <c r="O3879" t="str">
        <f>IFERROR(INDEX(tEditais[SRP],MATCH(tItens[[#This Row],[Edital]],tEditais[Edital],0)),"Não")</f>
        <v>Sim</v>
      </c>
      <c r="P3879" s="4">
        <f>IF(COUNTIFS(INDEX(tItens[Edital],1):tItens[[#This Row],[Edital]],tItens[[#This Row],[Edital]],INDEX(tItens[Produto],1):tItens[[#This Row],[Produto]],tItens[[#This Row],[Produto]])=1,1,0)</f>
        <v>1</v>
      </c>
    </row>
    <row r="3880" spans="1:16" x14ac:dyDescent="0.25">
      <c r="A3880" t="s">
        <v>1605</v>
      </c>
      <c r="B3880">
        <v>229</v>
      </c>
      <c r="C3880" t="s">
        <v>6742</v>
      </c>
      <c r="D3880" t="s">
        <v>56</v>
      </c>
      <c r="E3880" s="13">
        <v>10</v>
      </c>
      <c r="F3880" s="12">
        <v>0</v>
      </c>
      <c r="G3880" t="str">
        <f>IFERROR(INDEX(tEditais[Órgão],MATCH(tItens[[#This Row],[Edital]],tEditais[Edital],0)),"")</f>
        <v>MUNICIPIO DE CACHOEIRA DA PRATA</v>
      </c>
      <c r="H3880" t="str">
        <f>IFERROR(INDEX(tEditais[UF],MATCH(tItens[[#This Row],[Edital]],tEditais[Edital],0)),"")</f>
        <v>MG</v>
      </c>
      <c r="I3880" s="11">
        <f>IFERROR(INDEX(tEditais[Encerramento],MATCH(tItens[[#This Row],[Edital]],tEditais[Edital],0)),"")</f>
        <v>46314.354166666664</v>
      </c>
      <c r="J3880" t="str">
        <f>IFERROR(INDEX(tProdutos[Classe],MATCH(tItens[[#This Row],[Produto]],tProdutos[Produto],0)),"produto não cadastrado")</f>
        <v>NÚCLEO</v>
      </c>
      <c r="K3880" s="12">
        <f>tItens[[#This Row],[Qtd]]*tItens[[#This Row],[Vlr unit]]</f>
        <v>0</v>
      </c>
      <c r="L3880" s="6">
        <f>IFERROR(IF(INDEX(tProdutos[Desconto homologado],MATCH(tItens[[#This Row],[Produto]],tProdutos[Produto],0))="",DescontoPadrao,INDEX(tProdutos[Desconto homologado],MATCH(tItens[[#This Row],[Produto]],tProdutos[Produto],0))),DescontoPadrao)</f>
        <v>0.34</v>
      </c>
      <c r="M3880" s="12">
        <f>tItens[[#This Row],[Valor]]*(1-tItens[[#This Row],[Desconto]])</f>
        <v>0</v>
      </c>
      <c r="N3880" t="str">
        <f>IFERROR(INDEX(tProdutos[Foco],MATCH(tItens[[#This Row],[Produto]],tProdutos[Produto],0)),"Não")</f>
        <v>Sim</v>
      </c>
      <c r="O3880" t="str">
        <f>IFERROR(INDEX(tEditais[SRP],MATCH(tItens[[#This Row],[Edital]],tEditais[Edital],0)),"Não")</f>
        <v>Sim</v>
      </c>
      <c r="P3880" s="4">
        <f>IF(COUNTIFS(INDEX(tItens[Edital],1):tItens[[#This Row],[Edital]],tItens[[#This Row],[Edital]],INDEX(tItens[Produto],1):tItens[[#This Row],[Produto]],tItens[[#This Row],[Produto]])=1,1,0)</f>
        <v>1</v>
      </c>
    </row>
    <row r="3881" spans="1:16" x14ac:dyDescent="0.25">
      <c r="A3881" t="s">
        <v>1605</v>
      </c>
      <c r="B3881">
        <v>230</v>
      </c>
      <c r="C3881" t="s">
        <v>6743</v>
      </c>
      <c r="D3881" t="s">
        <v>56</v>
      </c>
      <c r="E3881" s="13">
        <v>10</v>
      </c>
      <c r="F3881" s="12">
        <v>0</v>
      </c>
      <c r="G3881" t="str">
        <f>IFERROR(INDEX(tEditais[Órgão],MATCH(tItens[[#This Row],[Edital]],tEditais[Edital],0)),"")</f>
        <v>MUNICIPIO DE CACHOEIRA DA PRATA</v>
      </c>
      <c r="H3881" t="str">
        <f>IFERROR(INDEX(tEditais[UF],MATCH(tItens[[#This Row],[Edital]],tEditais[Edital],0)),"")</f>
        <v>MG</v>
      </c>
      <c r="I3881" s="11">
        <f>IFERROR(INDEX(tEditais[Encerramento],MATCH(tItens[[#This Row],[Edital]],tEditais[Edital],0)),"")</f>
        <v>46314.354166666664</v>
      </c>
      <c r="J3881" t="str">
        <f>IFERROR(INDEX(tProdutos[Classe],MATCH(tItens[[#This Row],[Produto]],tProdutos[Produto],0)),"produto não cadastrado")</f>
        <v>NÚCLEO</v>
      </c>
      <c r="K3881" s="12">
        <f>tItens[[#This Row],[Qtd]]*tItens[[#This Row],[Vlr unit]]</f>
        <v>0</v>
      </c>
      <c r="L3881" s="6">
        <f>IFERROR(IF(INDEX(tProdutos[Desconto homologado],MATCH(tItens[[#This Row],[Produto]],tProdutos[Produto],0))="",DescontoPadrao,INDEX(tProdutos[Desconto homologado],MATCH(tItens[[#This Row],[Produto]],tProdutos[Produto],0))),DescontoPadrao)</f>
        <v>0.34</v>
      </c>
      <c r="M3881" s="12">
        <f>tItens[[#This Row],[Valor]]*(1-tItens[[#This Row],[Desconto]])</f>
        <v>0</v>
      </c>
      <c r="N3881" t="str">
        <f>IFERROR(INDEX(tProdutos[Foco],MATCH(tItens[[#This Row],[Produto]],tProdutos[Produto],0)),"Não")</f>
        <v>Sim</v>
      </c>
      <c r="O3881" t="str">
        <f>IFERROR(INDEX(tEditais[SRP],MATCH(tItens[[#This Row],[Edital]],tEditais[Edital],0)),"Não")</f>
        <v>Sim</v>
      </c>
      <c r="P3881" s="4">
        <f>IF(COUNTIFS(INDEX(tItens[Edital],1):tItens[[#This Row],[Edital]],tItens[[#This Row],[Edital]],INDEX(tItens[Produto],1):tItens[[#This Row],[Produto]],tItens[[#This Row],[Produto]])=1,1,0)</f>
        <v>0</v>
      </c>
    </row>
    <row r="3882" spans="1:16" x14ac:dyDescent="0.25">
      <c r="A3882" t="s">
        <v>1605</v>
      </c>
      <c r="B3882">
        <v>232</v>
      </c>
      <c r="C3882" t="s">
        <v>6744</v>
      </c>
      <c r="D3882" t="s">
        <v>267</v>
      </c>
      <c r="E3882" s="13">
        <v>30</v>
      </c>
      <c r="F3882" s="12">
        <v>0</v>
      </c>
      <c r="G3882" t="str">
        <f>IFERROR(INDEX(tEditais[Órgão],MATCH(tItens[[#This Row],[Edital]],tEditais[Edital],0)),"")</f>
        <v>MUNICIPIO DE CACHOEIRA DA PRATA</v>
      </c>
      <c r="H3882" t="str">
        <f>IFERROR(INDEX(tEditais[UF],MATCH(tItens[[#This Row],[Edital]],tEditais[Edital],0)),"")</f>
        <v>MG</v>
      </c>
      <c r="I3882" s="11">
        <f>IFERROR(INDEX(tEditais[Encerramento],MATCH(tItens[[#This Row],[Edital]],tEditais[Edital],0)),"")</f>
        <v>46314.354166666664</v>
      </c>
      <c r="J3882" t="str">
        <f>IFERROR(INDEX(tProdutos[Classe],MATCH(tItens[[#This Row],[Produto]],tProdutos[Produto],0)),"produto não cadastrado")</f>
        <v>FORA</v>
      </c>
      <c r="K3882" s="12">
        <f>tItens[[#This Row],[Qtd]]*tItens[[#This Row],[Vlr unit]]</f>
        <v>0</v>
      </c>
      <c r="L3882" s="6">
        <f>IFERROR(IF(INDEX(tProdutos[Desconto homologado],MATCH(tItens[[#This Row],[Produto]],tProdutos[Produto],0))="",DescontoPadrao,INDEX(tProdutos[Desconto homologado],MATCH(tItens[[#This Row],[Produto]],tProdutos[Produto],0))),DescontoPadrao)</f>
        <v>0.19963672657401599</v>
      </c>
      <c r="M3882" s="12">
        <f>tItens[[#This Row],[Valor]]*(1-tItens[[#This Row],[Desconto]])</f>
        <v>0</v>
      </c>
      <c r="N3882" t="str">
        <f>IFERROR(INDEX(tProdutos[Foco],MATCH(tItens[[#This Row],[Produto]],tProdutos[Produto],0)),"Não")</f>
        <v>Não</v>
      </c>
      <c r="O3882" t="str">
        <f>IFERROR(INDEX(tEditais[SRP],MATCH(tItens[[#This Row],[Edital]],tEditais[Edital],0)),"Não")</f>
        <v>Sim</v>
      </c>
      <c r="P3882" s="4">
        <f>IF(COUNTIFS(INDEX(tItens[Edital],1):tItens[[#This Row],[Edital]],tItens[[#This Row],[Edital]],INDEX(tItens[Produto],1):tItens[[#This Row],[Produto]],tItens[[#This Row],[Produto]])=1,1,0)</f>
        <v>1</v>
      </c>
    </row>
    <row r="3883" spans="1:16" x14ac:dyDescent="0.25">
      <c r="A3883" t="s">
        <v>1605</v>
      </c>
      <c r="B3883">
        <v>244</v>
      </c>
      <c r="C3883" t="s">
        <v>6745</v>
      </c>
      <c r="D3883" t="s">
        <v>251</v>
      </c>
      <c r="E3883" s="13">
        <v>400</v>
      </c>
      <c r="F3883" s="12">
        <v>0</v>
      </c>
      <c r="G3883" t="str">
        <f>IFERROR(INDEX(tEditais[Órgão],MATCH(tItens[[#This Row],[Edital]],tEditais[Edital],0)),"")</f>
        <v>MUNICIPIO DE CACHOEIRA DA PRATA</v>
      </c>
      <c r="H3883" t="str">
        <f>IFERROR(INDEX(tEditais[UF],MATCH(tItens[[#This Row],[Edital]],tEditais[Edital],0)),"")</f>
        <v>MG</v>
      </c>
      <c r="I3883" s="11">
        <f>IFERROR(INDEX(tEditais[Encerramento],MATCH(tItens[[#This Row],[Edital]],tEditais[Edital],0)),"")</f>
        <v>46314.354166666664</v>
      </c>
      <c r="J3883" t="str">
        <f>IFERROR(INDEX(tProdutos[Classe],MATCH(tItens[[#This Row],[Produto]],tProdutos[Produto],0)),"produto não cadastrado")</f>
        <v>FORA</v>
      </c>
      <c r="K3883" s="12">
        <f>tItens[[#This Row],[Qtd]]*tItens[[#This Row],[Vlr unit]]</f>
        <v>0</v>
      </c>
      <c r="L3883" s="6">
        <f>IFERROR(IF(INDEX(tProdutos[Desconto homologado],MATCH(tItens[[#This Row],[Produto]],tProdutos[Produto],0))="",DescontoPadrao,INDEX(tProdutos[Desconto homologado],MATCH(tItens[[#This Row],[Produto]],tProdutos[Produto],0))),DescontoPadrao)</f>
        <v>0.36759020274436599</v>
      </c>
      <c r="M3883" s="12">
        <f>tItens[[#This Row],[Valor]]*(1-tItens[[#This Row],[Desconto]])</f>
        <v>0</v>
      </c>
      <c r="N3883" t="str">
        <f>IFERROR(INDEX(tProdutos[Foco],MATCH(tItens[[#This Row],[Produto]],tProdutos[Produto],0)),"Não")</f>
        <v>Não</v>
      </c>
      <c r="O3883" t="str">
        <f>IFERROR(INDEX(tEditais[SRP],MATCH(tItens[[#This Row],[Edital]],tEditais[Edital],0)),"Não")</f>
        <v>Sim</v>
      </c>
      <c r="P3883" s="4">
        <f>IF(COUNTIFS(INDEX(tItens[Edital],1):tItens[[#This Row],[Edital]],tItens[[#This Row],[Edital]],INDEX(tItens[Produto],1):tItens[[#This Row],[Produto]],tItens[[#This Row],[Produto]])=1,1,0)</f>
        <v>1</v>
      </c>
    </row>
    <row r="3884" spans="1:16" x14ac:dyDescent="0.25">
      <c r="A3884" t="s">
        <v>1605</v>
      </c>
      <c r="B3884">
        <v>254</v>
      </c>
      <c r="C3884" t="s">
        <v>6746</v>
      </c>
      <c r="D3884" t="s">
        <v>385</v>
      </c>
      <c r="E3884" s="13">
        <v>100</v>
      </c>
      <c r="F3884" s="12">
        <v>0</v>
      </c>
      <c r="G3884" t="str">
        <f>IFERROR(INDEX(tEditais[Órgão],MATCH(tItens[[#This Row],[Edital]],tEditais[Edital],0)),"")</f>
        <v>MUNICIPIO DE CACHOEIRA DA PRATA</v>
      </c>
      <c r="H3884" t="str">
        <f>IFERROR(INDEX(tEditais[UF],MATCH(tItens[[#This Row],[Edital]],tEditais[Edital],0)),"")</f>
        <v>MG</v>
      </c>
      <c r="I3884" s="11">
        <f>IFERROR(INDEX(tEditais[Encerramento],MATCH(tItens[[#This Row],[Edital]],tEditais[Edital],0)),"")</f>
        <v>46314.354166666664</v>
      </c>
      <c r="J3884" t="str">
        <f>IFERROR(INDEX(tProdutos[Classe],MATCH(tItens[[#This Row],[Produto]],tProdutos[Produto],0)),"produto não cadastrado")</f>
        <v>FORA</v>
      </c>
      <c r="K3884" s="12">
        <f>tItens[[#This Row],[Qtd]]*tItens[[#This Row],[Vlr unit]]</f>
        <v>0</v>
      </c>
      <c r="L3884" s="6">
        <f>IFERROR(IF(INDEX(tProdutos[Desconto homologado],MATCH(tItens[[#This Row],[Produto]],tProdutos[Produto],0))="",DescontoPadrao,INDEX(tProdutos[Desconto homologado],MATCH(tItens[[#This Row],[Produto]],tProdutos[Produto],0))),DescontoPadrao)</f>
        <v>0.46969696969697</v>
      </c>
      <c r="M3884" s="12">
        <f>tItens[[#This Row],[Valor]]*(1-tItens[[#This Row],[Desconto]])</f>
        <v>0</v>
      </c>
      <c r="N3884" t="str">
        <f>IFERROR(INDEX(tProdutos[Foco],MATCH(tItens[[#This Row],[Produto]],tProdutos[Produto],0)),"Não")</f>
        <v>Não</v>
      </c>
      <c r="O3884" t="str">
        <f>IFERROR(INDEX(tEditais[SRP],MATCH(tItens[[#This Row],[Edital]],tEditais[Edital],0)),"Não")</f>
        <v>Sim</v>
      </c>
      <c r="P3884" s="4">
        <f>IF(COUNTIFS(INDEX(tItens[Edital],1):tItens[[#This Row],[Edital]],tItens[[#This Row],[Edital]],INDEX(tItens[Produto],1):tItens[[#This Row],[Produto]],tItens[[#This Row],[Produto]])=1,1,0)</f>
        <v>1</v>
      </c>
    </row>
    <row r="3885" spans="1:16" x14ac:dyDescent="0.25">
      <c r="A3885" t="s">
        <v>1605</v>
      </c>
      <c r="B3885">
        <v>255</v>
      </c>
      <c r="C3885" t="s">
        <v>6747</v>
      </c>
      <c r="D3885" t="s">
        <v>403</v>
      </c>
      <c r="E3885" s="13">
        <v>250</v>
      </c>
      <c r="F3885" s="12">
        <v>0</v>
      </c>
      <c r="G3885" t="str">
        <f>IFERROR(INDEX(tEditais[Órgão],MATCH(tItens[[#This Row],[Edital]],tEditais[Edital],0)),"")</f>
        <v>MUNICIPIO DE CACHOEIRA DA PRATA</v>
      </c>
      <c r="H3885" t="str">
        <f>IFERROR(INDEX(tEditais[UF],MATCH(tItens[[#This Row],[Edital]],tEditais[Edital],0)),"")</f>
        <v>MG</v>
      </c>
      <c r="I3885" s="11">
        <f>IFERROR(INDEX(tEditais[Encerramento],MATCH(tItens[[#This Row],[Edital]],tEditais[Edital],0)),"")</f>
        <v>46314.354166666664</v>
      </c>
      <c r="J3885" t="str">
        <f>IFERROR(INDEX(tProdutos[Classe],MATCH(tItens[[#This Row],[Produto]],tProdutos[Produto],0)),"produto não cadastrado")</f>
        <v>FORA</v>
      </c>
      <c r="K3885" s="12">
        <f>tItens[[#This Row],[Qtd]]*tItens[[#This Row],[Vlr unit]]</f>
        <v>0</v>
      </c>
      <c r="L3885" s="6">
        <f>IFERROR(IF(INDEX(tProdutos[Desconto homologado],MATCH(tItens[[#This Row],[Produto]],tProdutos[Produto],0))="",DescontoPadrao,INDEX(tProdutos[Desconto homologado],MATCH(tItens[[#This Row],[Produto]],tProdutos[Produto],0))),DescontoPadrao)</f>
        <v>0.35326086956521702</v>
      </c>
      <c r="M3885" s="12">
        <f>tItens[[#This Row],[Valor]]*(1-tItens[[#This Row],[Desconto]])</f>
        <v>0</v>
      </c>
      <c r="N3885" t="str">
        <f>IFERROR(INDEX(tProdutos[Foco],MATCH(tItens[[#This Row],[Produto]],tProdutos[Produto],0)),"Não")</f>
        <v>Não</v>
      </c>
      <c r="O3885" t="str">
        <f>IFERROR(INDEX(tEditais[SRP],MATCH(tItens[[#This Row],[Edital]],tEditais[Edital],0)),"Não")</f>
        <v>Sim</v>
      </c>
      <c r="P3885" s="4">
        <f>IF(COUNTIFS(INDEX(tItens[Edital],1):tItens[[#This Row],[Edital]],tItens[[#This Row],[Edital]],INDEX(tItens[Produto],1):tItens[[#This Row],[Produto]],tItens[[#This Row],[Produto]])=1,1,0)</f>
        <v>1</v>
      </c>
    </row>
    <row r="3886" spans="1:16" x14ac:dyDescent="0.25">
      <c r="A3886" t="s">
        <v>1605</v>
      </c>
      <c r="B3886">
        <v>259</v>
      </c>
      <c r="C3886" t="s">
        <v>6748</v>
      </c>
      <c r="D3886" t="s">
        <v>455</v>
      </c>
      <c r="E3886" s="13">
        <v>10</v>
      </c>
      <c r="F3886" s="12">
        <v>0</v>
      </c>
      <c r="G3886" t="str">
        <f>IFERROR(INDEX(tEditais[Órgão],MATCH(tItens[[#This Row],[Edital]],tEditais[Edital],0)),"")</f>
        <v>MUNICIPIO DE CACHOEIRA DA PRATA</v>
      </c>
      <c r="H3886" t="str">
        <f>IFERROR(INDEX(tEditais[UF],MATCH(tItens[[#This Row],[Edital]],tEditais[Edital],0)),"")</f>
        <v>MG</v>
      </c>
      <c r="I3886" s="11">
        <f>IFERROR(INDEX(tEditais[Encerramento],MATCH(tItens[[#This Row],[Edital]],tEditais[Edital],0)),"")</f>
        <v>46314.354166666664</v>
      </c>
      <c r="J3886" t="str">
        <f>IFERROR(INDEX(tProdutos[Classe],MATCH(tItens[[#This Row],[Produto]],tProdutos[Produto],0)),"produto não cadastrado")</f>
        <v>FILA REBASE</v>
      </c>
      <c r="K3886" s="12">
        <f>tItens[[#This Row],[Qtd]]*tItens[[#This Row],[Vlr unit]]</f>
        <v>0</v>
      </c>
      <c r="L3886" s="6">
        <f>IFERROR(IF(INDEX(tProdutos[Desconto homologado],MATCH(tItens[[#This Row],[Produto]],tProdutos[Produto],0))="",DescontoPadrao,INDEX(tProdutos[Desconto homologado],MATCH(tItens[[#This Row],[Produto]],tProdutos[Produto],0))),DescontoPadrao)</f>
        <v>0.29595946765523801</v>
      </c>
      <c r="M3886" s="12">
        <f>tItens[[#This Row],[Valor]]*(1-tItens[[#This Row],[Desconto]])</f>
        <v>0</v>
      </c>
      <c r="N3886" t="str">
        <f>IFERROR(INDEX(tProdutos[Foco],MATCH(tItens[[#This Row],[Produto]],tProdutos[Produto],0)),"Não")</f>
        <v>Não</v>
      </c>
      <c r="O3886" t="str">
        <f>IFERROR(INDEX(tEditais[SRP],MATCH(tItens[[#This Row],[Edital]],tEditais[Edital],0)),"Não")</f>
        <v>Sim</v>
      </c>
      <c r="P3886" s="4">
        <f>IF(COUNTIFS(INDEX(tItens[Edital],1):tItens[[#This Row],[Edital]],tItens[[#This Row],[Edital]],INDEX(tItens[Produto],1):tItens[[#This Row],[Produto]],tItens[[#This Row],[Produto]])=1,1,0)</f>
        <v>1</v>
      </c>
    </row>
    <row r="3887" spans="1:16" x14ac:dyDescent="0.25">
      <c r="A3887" t="s">
        <v>1605</v>
      </c>
      <c r="B3887">
        <v>266</v>
      </c>
      <c r="C3887" t="s">
        <v>6749</v>
      </c>
      <c r="D3887" t="s">
        <v>494</v>
      </c>
      <c r="E3887" s="13">
        <v>80</v>
      </c>
      <c r="F3887" s="12">
        <v>0</v>
      </c>
      <c r="G3887" t="str">
        <f>IFERROR(INDEX(tEditais[Órgão],MATCH(tItens[[#This Row],[Edital]],tEditais[Edital],0)),"")</f>
        <v>MUNICIPIO DE CACHOEIRA DA PRATA</v>
      </c>
      <c r="H3887" t="str">
        <f>IFERROR(INDEX(tEditais[UF],MATCH(tItens[[#This Row],[Edital]],tEditais[Edital],0)),"")</f>
        <v>MG</v>
      </c>
      <c r="I3887" s="11">
        <f>IFERROR(INDEX(tEditais[Encerramento],MATCH(tItens[[#This Row],[Edital]],tEditais[Edital],0)),"")</f>
        <v>46314.354166666664</v>
      </c>
      <c r="J3887" t="str">
        <f>IFERROR(INDEX(tProdutos[Classe],MATCH(tItens[[#This Row],[Produto]],tProdutos[Produto],0)),"produto não cadastrado")</f>
        <v>FILA REBASE</v>
      </c>
      <c r="K3887" s="12">
        <f>tItens[[#This Row],[Qtd]]*tItens[[#This Row],[Vlr unit]]</f>
        <v>0</v>
      </c>
      <c r="L3887" s="6">
        <f>IFERROR(IF(INDEX(tProdutos[Desconto homologado],MATCH(tItens[[#This Row],[Produto]],tProdutos[Produto],0))="",DescontoPadrao,INDEX(tProdutos[Desconto homologado],MATCH(tItens[[#This Row],[Produto]],tProdutos[Produto],0))),DescontoPadrao)</f>
        <v>0.253736324829619</v>
      </c>
      <c r="M3887" s="12">
        <f>tItens[[#This Row],[Valor]]*(1-tItens[[#This Row],[Desconto]])</f>
        <v>0</v>
      </c>
      <c r="N3887" t="str">
        <f>IFERROR(INDEX(tProdutos[Foco],MATCH(tItens[[#This Row],[Produto]],tProdutos[Produto],0)),"Não")</f>
        <v>Não</v>
      </c>
      <c r="O3887" t="str">
        <f>IFERROR(INDEX(tEditais[SRP],MATCH(tItens[[#This Row],[Edital]],tEditais[Edital],0)),"Não")</f>
        <v>Sim</v>
      </c>
      <c r="P3887" s="4">
        <f>IF(COUNTIFS(INDEX(tItens[Edital],1):tItens[[#This Row],[Edital]],tItens[[#This Row],[Edital]],INDEX(tItens[Produto],1):tItens[[#This Row],[Produto]],tItens[[#This Row],[Produto]])=1,1,0)</f>
        <v>1</v>
      </c>
    </row>
    <row r="3888" spans="1:16" x14ac:dyDescent="0.25">
      <c r="A3888" t="s">
        <v>1605</v>
      </c>
      <c r="B3888">
        <v>267</v>
      </c>
      <c r="C3888" t="s">
        <v>6750</v>
      </c>
      <c r="D3888" t="s">
        <v>494</v>
      </c>
      <c r="E3888" s="13">
        <v>70</v>
      </c>
      <c r="F3888" s="12">
        <v>0</v>
      </c>
      <c r="G3888" t="str">
        <f>IFERROR(INDEX(tEditais[Órgão],MATCH(tItens[[#This Row],[Edital]],tEditais[Edital],0)),"")</f>
        <v>MUNICIPIO DE CACHOEIRA DA PRATA</v>
      </c>
      <c r="H3888" t="str">
        <f>IFERROR(INDEX(tEditais[UF],MATCH(tItens[[#This Row],[Edital]],tEditais[Edital],0)),"")</f>
        <v>MG</v>
      </c>
      <c r="I3888" s="11">
        <f>IFERROR(INDEX(tEditais[Encerramento],MATCH(tItens[[#This Row],[Edital]],tEditais[Edital],0)),"")</f>
        <v>46314.354166666664</v>
      </c>
      <c r="J3888" t="str">
        <f>IFERROR(INDEX(tProdutos[Classe],MATCH(tItens[[#This Row],[Produto]],tProdutos[Produto],0)),"produto não cadastrado")</f>
        <v>FILA REBASE</v>
      </c>
      <c r="K3888" s="12">
        <f>tItens[[#This Row],[Qtd]]*tItens[[#This Row],[Vlr unit]]</f>
        <v>0</v>
      </c>
      <c r="L3888" s="6">
        <f>IFERROR(IF(INDEX(tProdutos[Desconto homologado],MATCH(tItens[[#This Row],[Produto]],tProdutos[Produto],0))="",DescontoPadrao,INDEX(tProdutos[Desconto homologado],MATCH(tItens[[#This Row],[Produto]],tProdutos[Produto],0))),DescontoPadrao)</f>
        <v>0.253736324829619</v>
      </c>
      <c r="M3888" s="12">
        <f>tItens[[#This Row],[Valor]]*(1-tItens[[#This Row],[Desconto]])</f>
        <v>0</v>
      </c>
      <c r="N3888" t="str">
        <f>IFERROR(INDEX(tProdutos[Foco],MATCH(tItens[[#This Row],[Produto]],tProdutos[Produto],0)),"Não")</f>
        <v>Não</v>
      </c>
      <c r="O3888" t="str">
        <f>IFERROR(INDEX(tEditais[SRP],MATCH(tItens[[#This Row],[Edital]],tEditais[Edital],0)),"Não")</f>
        <v>Sim</v>
      </c>
      <c r="P3888" s="4">
        <f>IF(COUNTIFS(INDEX(tItens[Edital],1):tItens[[#This Row],[Edital]],tItens[[#This Row],[Edital]],INDEX(tItens[Produto],1):tItens[[#This Row],[Produto]],tItens[[#This Row],[Produto]])=1,1,0)</f>
        <v>0</v>
      </c>
    </row>
    <row r="3889" spans="1:16" x14ac:dyDescent="0.25">
      <c r="A3889" t="s">
        <v>1605</v>
      </c>
      <c r="B3889">
        <v>268</v>
      </c>
      <c r="C3889" t="s">
        <v>6751</v>
      </c>
      <c r="D3889" t="s">
        <v>494</v>
      </c>
      <c r="E3889" s="13">
        <v>20</v>
      </c>
      <c r="F3889" s="12">
        <v>0</v>
      </c>
      <c r="G3889" t="str">
        <f>IFERROR(INDEX(tEditais[Órgão],MATCH(tItens[[#This Row],[Edital]],tEditais[Edital],0)),"")</f>
        <v>MUNICIPIO DE CACHOEIRA DA PRATA</v>
      </c>
      <c r="H3889" t="str">
        <f>IFERROR(INDEX(tEditais[UF],MATCH(tItens[[#This Row],[Edital]],tEditais[Edital],0)),"")</f>
        <v>MG</v>
      </c>
      <c r="I3889" s="11">
        <f>IFERROR(INDEX(tEditais[Encerramento],MATCH(tItens[[#This Row],[Edital]],tEditais[Edital],0)),"")</f>
        <v>46314.354166666664</v>
      </c>
      <c r="J3889" t="str">
        <f>IFERROR(INDEX(tProdutos[Classe],MATCH(tItens[[#This Row],[Produto]],tProdutos[Produto],0)),"produto não cadastrado")</f>
        <v>FILA REBASE</v>
      </c>
      <c r="K3889" s="12">
        <f>tItens[[#This Row],[Qtd]]*tItens[[#This Row],[Vlr unit]]</f>
        <v>0</v>
      </c>
      <c r="L3889" s="6">
        <f>IFERROR(IF(INDEX(tProdutos[Desconto homologado],MATCH(tItens[[#This Row],[Produto]],tProdutos[Produto],0))="",DescontoPadrao,INDEX(tProdutos[Desconto homologado],MATCH(tItens[[#This Row],[Produto]],tProdutos[Produto],0))),DescontoPadrao)</f>
        <v>0.253736324829619</v>
      </c>
      <c r="M3889" s="12">
        <f>tItens[[#This Row],[Valor]]*(1-tItens[[#This Row],[Desconto]])</f>
        <v>0</v>
      </c>
      <c r="N3889" t="str">
        <f>IFERROR(INDEX(tProdutos[Foco],MATCH(tItens[[#This Row],[Produto]],tProdutos[Produto],0)),"Não")</f>
        <v>Não</v>
      </c>
      <c r="O3889" t="str">
        <f>IFERROR(INDEX(tEditais[SRP],MATCH(tItens[[#This Row],[Edital]],tEditais[Edital],0)),"Não")</f>
        <v>Sim</v>
      </c>
      <c r="P3889" s="4">
        <f>IF(COUNTIFS(INDEX(tItens[Edital],1):tItens[[#This Row],[Edital]],tItens[[#This Row],[Edital]],INDEX(tItens[Produto],1):tItens[[#This Row],[Produto]],tItens[[#This Row],[Produto]])=1,1,0)</f>
        <v>0</v>
      </c>
    </row>
    <row r="3890" spans="1:16" x14ac:dyDescent="0.25">
      <c r="A3890" t="s">
        <v>1605</v>
      </c>
      <c r="B3890">
        <v>269</v>
      </c>
      <c r="C3890" t="s">
        <v>6752</v>
      </c>
      <c r="D3890" t="s">
        <v>494</v>
      </c>
      <c r="E3890" s="13">
        <v>70</v>
      </c>
      <c r="F3890" s="12">
        <v>0</v>
      </c>
      <c r="G3890" t="str">
        <f>IFERROR(INDEX(tEditais[Órgão],MATCH(tItens[[#This Row],[Edital]],tEditais[Edital],0)),"")</f>
        <v>MUNICIPIO DE CACHOEIRA DA PRATA</v>
      </c>
      <c r="H3890" t="str">
        <f>IFERROR(INDEX(tEditais[UF],MATCH(tItens[[#This Row],[Edital]],tEditais[Edital],0)),"")</f>
        <v>MG</v>
      </c>
      <c r="I3890" s="11">
        <f>IFERROR(INDEX(tEditais[Encerramento],MATCH(tItens[[#This Row],[Edital]],tEditais[Edital],0)),"")</f>
        <v>46314.354166666664</v>
      </c>
      <c r="J3890" t="str">
        <f>IFERROR(INDEX(tProdutos[Classe],MATCH(tItens[[#This Row],[Produto]],tProdutos[Produto],0)),"produto não cadastrado")</f>
        <v>FILA REBASE</v>
      </c>
      <c r="K3890" s="12">
        <f>tItens[[#This Row],[Qtd]]*tItens[[#This Row],[Vlr unit]]</f>
        <v>0</v>
      </c>
      <c r="L3890" s="6">
        <f>IFERROR(IF(INDEX(tProdutos[Desconto homologado],MATCH(tItens[[#This Row],[Produto]],tProdutos[Produto],0))="",DescontoPadrao,INDEX(tProdutos[Desconto homologado],MATCH(tItens[[#This Row],[Produto]],tProdutos[Produto],0))),DescontoPadrao)</f>
        <v>0.253736324829619</v>
      </c>
      <c r="M3890" s="12">
        <f>tItens[[#This Row],[Valor]]*(1-tItens[[#This Row],[Desconto]])</f>
        <v>0</v>
      </c>
      <c r="N3890" t="str">
        <f>IFERROR(INDEX(tProdutos[Foco],MATCH(tItens[[#This Row],[Produto]],tProdutos[Produto],0)),"Não")</f>
        <v>Não</v>
      </c>
      <c r="O3890" t="str">
        <f>IFERROR(INDEX(tEditais[SRP],MATCH(tItens[[#This Row],[Edital]],tEditais[Edital],0)),"Não")</f>
        <v>Sim</v>
      </c>
      <c r="P3890" s="4">
        <f>IF(COUNTIFS(INDEX(tItens[Edital],1):tItens[[#This Row],[Edital]],tItens[[#This Row],[Edital]],INDEX(tItens[Produto],1):tItens[[#This Row],[Produto]],tItens[[#This Row],[Produto]])=1,1,0)</f>
        <v>0</v>
      </c>
    </row>
    <row r="3891" spans="1:16" x14ac:dyDescent="0.25">
      <c r="A3891" t="s">
        <v>1605</v>
      </c>
      <c r="B3891">
        <v>270</v>
      </c>
      <c r="C3891" t="s">
        <v>6753</v>
      </c>
      <c r="D3891" t="s">
        <v>494</v>
      </c>
      <c r="E3891" s="13">
        <v>80</v>
      </c>
      <c r="F3891" s="12">
        <v>0</v>
      </c>
      <c r="G3891" t="str">
        <f>IFERROR(INDEX(tEditais[Órgão],MATCH(tItens[[#This Row],[Edital]],tEditais[Edital],0)),"")</f>
        <v>MUNICIPIO DE CACHOEIRA DA PRATA</v>
      </c>
      <c r="H3891" t="str">
        <f>IFERROR(INDEX(tEditais[UF],MATCH(tItens[[#This Row],[Edital]],tEditais[Edital],0)),"")</f>
        <v>MG</v>
      </c>
      <c r="I3891" s="11">
        <f>IFERROR(INDEX(tEditais[Encerramento],MATCH(tItens[[#This Row],[Edital]],tEditais[Edital],0)),"")</f>
        <v>46314.354166666664</v>
      </c>
      <c r="J3891" t="str">
        <f>IFERROR(INDEX(tProdutos[Classe],MATCH(tItens[[#This Row],[Produto]],tProdutos[Produto],0)),"produto não cadastrado")</f>
        <v>FILA REBASE</v>
      </c>
      <c r="K3891" s="12">
        <f>tItens[[#This Row],[Qtd]]*tItens[[#This Row],[Vlr unit]]</f>
        <v>0</v>
      </c>
      <c r="L3891" s="6">
        <f>IFERROR(IF(INDEX(tProdutos[Desconto homologado],MATCH(tItens[[#This Row],[Produto]],tProdutos[Produto],0))="",DescontoPadrao,INDEX(tProdutos[Desconto homologado],MATCH(tItens[[#This Row],[Produto]],tProdutos[Produto],0))),DescontoPadrao)</f>
        <v>0.253736324829619</v>
      </c>
      <c r="M3891" s="12">
        <f>tItens[[#This Row],[Valor]]*(1-tItens[[#This Row],[Desconto]])</f>
        <v>0</v>
      </c>
      <c r="N3891" t="str">
        <f>IFERROR(INDEX(tProdutos[Foco],MATCH(tItens[[#This Row],[Produto]],tProdutos[Produto],0)),"Não")</f>
        <v>Não</v>
      </c>
      <c r="O3891" t="str">
        <f>IFERROR(INDEX(tEditais[SRP],MATCH(tItens[[#This Row],[Edital]],tEditais[Edital],0)),"Não")</f>
        <v>Sim</v>
      </c>
      <c r="P3891" s="4">
        <f>IF(COUNTIFS(INDEX(tItens[Edital],1):tItens[[#This Row],[Edital]],tItens[[#This Row],[Edital]],INDEX(tItens[Produto],1):tItens[[#This Row],[Produto]],tItens[[#This Row],[Produto]])=1,1,0)</f>
        <v>0</v>
      </c>
    </row>
    <row r="3892" spans="1:16" x14ac:dyDescent="0.25">
      <c r="A3892" t="s">
        <v>1605</v>
      </c>
      <c r="B3892">
        <v>321</v>
      </c>
      <c r="C3892" t="s">
        <v>6754</v>
      </c>
      <c r="D3892" t="s">
        <v>178</v>
      </c>
      <c r="E3892" s="13">
        <v>30</v>
      </c>
      <c r="F3892" s="12">
        <v>0</v>
      </c>
      <c r="G3892" t="str">
        <f>IFERROR(INDEX(tEditais[Órgão],MATCH(tItens[[#This Row],[Edital]],tEditais[Edital],0)),"")</f>
        <v>MUNICIPIO DE CACHOEIRA DA PRATA</v>
      </c>
      <c r="H3892" t="str">
        <f>IFERROR(INDEX(tEditais[UF],MATCH(tItens[[#This Row],[Edital]],tEditais[Edital],0)),"")</f>
        <v>MG</v>
      </c>
      <c r="I3892" s="11">
        <f>IFERROR(INDEX(tEditais[Encerramento],MATCH(tItens[[#This Row],[Edital]],tEditais[Edital],0)),"")</f>
        <v>46314.354166666664</v>
      </c>
      <c r="J3892" t="str">
        <f>IFERROR(INDEX(tProdutos[Classe],MATCH(tItens[[#This Row],[Produto]],tProdutos[Produto],0)),"produto não cadastrado")</f>
        <v>DISPUTADO</v>
      </c>
      <c r="K3892" s="12">
        <f>tItens[[#This Row],[Qtd]]*tItens[[#This Row],[Vlr unit]]</f>
        <v>0</v>
      </c>
      <c r="L3892" s="6">
        <f>IFERROR(IF(INDEX(tProdutos[Desconto homologado],MATCH(tItens[[#This Row],[Produto]],tProdutos[Produto],0))="",DescontoPadrao,INDEX(tProdutos[Desconto homologado],MATCH(tItens[[#This Row],[Produto]],tProdutos[Produto],0))),DescontoPadrao)</f>
        <v>0.49882919126848801</v>
      </c>
      <c r="M3892" s="12">
        <f>tItens[[#This Row],[Valor]]*(1-tItens[[#This Row],[Desconto]])</f>
        <v>0</v>
      </c>
      <c r="N3892" t="str">
        <f>IFERROR(INDEX(tProdutos[Foco],MATCH(tItens[[#This Row],[Produto]],tProdutos[Produto],0)),"Não")</f>
        <v>Não</v>
      </c>
      <c r="O3892" t="str">
        <f>IFERROR(INDEX(tEditais[SRP],MATCH(tItens[[#This Row],[Edital]],tEditais[Edital],0)),"Não")</f>
        <v>Sim</v>
      </c>
      <c r="P3892" s="4">
        <f>IF(COUNTIFS(INDEX(tItens[Edital],1):tItens[[#This Row],[Edital]],tItens[[#This Row],[Edital]],INDEX(tItens[Produto],1):tItens[[#This Row],[Produto]],tItens[[#This Row],[Produto]])=1,1,0)</f>
        <v>1</v>
      </c>
    </row>
    <row r="3893" spans="1:16" x14ac:dyDescent="0.25">
      <c r="A3893" t="s">
        <v>1605</v>
      </c>
      <c r="B3893">
        <v>325</v>
      </c>
      <c r="C3893" t="s">
        <v>6755</v>
      </c>
      <c r="D3893" t="s">
        <v>494</v>
      </c>
      <c r="E3893" s="13">
        <v>2</v>
      </c>
      <c r="F3893" s="12">
        <v>0</v>
      </c>
      <c r="G3893" t="str">
        <f>IFERROR(INDEX(tEditais[Órgão],MATCH(tItens[[#This Row],[Edital]],tEditais[Edital],0)),"")</f>
        <v>MUNICIPIO DE CACHOEIRA DA PRATA</v>
      </c>
      <c r="H3893" t="str">
        <f>IFERROR(INDEX(tEditais[UF],MATCH(tItens[[#This Row],[Edital]],tEditais[Edital],0)),"")</f>
        <v>MG</v>
      </c>
      <c r="I3893" s="11">
        <f>IFERROR(INDEX(tEditais[Encerramento],MATCH(tItens[[#This Row],[Edital]],tEditais[Edital],0)),"")</f>
        <v>46314.354166666664</v>
      </c>
      <c r="J3893" t="str">
        <f>IFERROR(INDEX(tProdutos[Classe],MATCH(tItens[[#This Row],[Produto]],tProdutos[Produto],0)),"produto não cadastrado")</f>
        <v>FILA REBASE</v>
      </c>
      <c r="K3893" s="12">
        <f>tItens[[#This Row],[Qtd]]*tItens[[#This Row],[Vlr unit]]</f>
        <v>0</v>
      </c>
      <c r="L3893" s="6">
        <f>IFERROR(IF(INDEX(tProdutos[Desconto homologado],MATCH(tItens[[#This Row],[Produto]],tProdutos[Produto],0))="",DescontoPadrao,INDEX(tProdutos[Desconto homologado],MATCH(tItens[[#This Row],[Produto]],tProdutos[Produto],0))),DescontoPadrao)</f>
        <v>0.253736324829619</v>
      </c>
      <c r="M3893" s="12">
        <f>tItens[[#This Row],[Valor]]*(1-tItens[[#This Row],[Desconto]])</f>
        <v>0</v>
      </c>
      <c r="N3893" t="str">
        <f>IFERROR(INDEX(tProdutos[Foco],MATCH(tItens[[#This Row],[Produto]],tProdutos[Produto],0)),"Não")</f>
        <v>Não</v>
      </c>
      <c r="O3893" t="str">
        <f>IFERROR(INDEX(tEditais[SRP],MATCH(tItens[[#This Row],[Edital]],tEditais[Edital],0)),"Não")</f>
        <v>Sim</v>
      </c>
      <c r="P3893" s="4">
        <f>IF(COUNTIFS(INDEX(tItens[Edital],1):tItens[[#This Row],[Edital]],tItens[[#This Row],[Edital]],INDEX(tItens[Produto],1):tItens[[#This Row],[Produto]],tItens[[#This Row],[Produto]])=1,1,0)</f>
        <v>0</v>
      </c>
    </row>
    <row r="3894" spans="1:16" x14ac:dyDescent="0.25">
      <c r="A3894" t="s">
        <v>1605</v>
      </c>
      <c r="B3894">
        <v>343</v>
      </c>
      <c r="C3894" t="s">
        <v>6756</v>
      </c>
      <c r="D3894" t="s">
        <v>114</v>
      </c>
      <c r="E3894" s="13">
        <v>40</v>
      </c>
      <c r="F3894" s="12">
        <v>0</v>
      </c>
      <c r="G3894" t="str">
        <f>IFERROR(INDEX(tEditais[Órgão],MATCH(tItens[[#This Row],[Edital]],tEditais[Edital],0)),"")</f>
        <v>MUNICIPIO DE CACHOEIRA DA PRATA</v>
      </c>
      <c r="H3894" t="str">
        <f>IFERROR(INDEX(tEditais[UF],MATCH(tItens[[#This Row],[Edital]],tEditais[Edital],0)),"")</f>
        <v>MG</v>
      </c>
      <c r="I3894" s="11">
        <f>IFERROR(INDEX(tEditais[Encerramento],MATCH(tItens[[#This Row],[Edital]],tEditais[Edital],0)),"")</f>
        <v>46314.354166666664</v>
      </c>
      <c r="J3894" t="str">
        <f>IFERROR(INDEX(tProdutos[Classe],MATCH(tItens[[#This Row],[Produto]],tProdutos[Produto],0)),"produto não cadastrado")</f>
        <v>DISPUTADO</v>
      </c>
      <c r="K3894" s="12">
        <f>tItens[[#This Row],[Qtd]]*tItens[[#This Row],[Vlr unit]]</f>
        <v>0</v>
      </c>
      <c r="L3894" s="6">
        <f>IFERROR(IF(INDEX(tProdutos[Desconto homologado],MATCH(tItens[[#This Row],[Produto]],tProdutos[Produto],0))="",DescontoPadrao,INDEX(tProdutos[Desconto homologado],MATCH(tItens[[#This Row],[Produto]],tProdutos[Produto],0))),DescontoPadrao)</f>
        <v>0.24332656063896899</v>
      </c>
      <c r="M3894" s="12">
        <f>tItens[[#This Row],[Valor]]*(1-tItens[[#This Row],[Desconto]])</f>
        <v>0</v>
      </c>
      <c r="N3894" t="str">
        <f>IFERROR(INDEX(tProdutos[Foco],MATCH(tItens[[#This Row],[Produto]],tProdutos[Produto],0)),"Não")</f>
        <v>Não</v>
      </c>
      <c r="O3894" t="str">
        <f>IFERROR(INDEX(tEditais[SRP],MATCH(tItens[[#This Row],[Edital]],tEditais[Edital],0)),"Não")</f>
        <v>Sim</v>
      </c>
      <c r="P3894" s="4">
        <f>IF(COUNTIFS(INDEX(tItens[Edital],1):tItens[[#This Row],[Edital]],tItens[[#This Row],[Edital]],INDEX(tItens[Produto],1):tItens[[#This Row],[Produto]],tItens[[#This Row],[Produto]])=1,1,0)</f>
        <v>1</v>
      </c>
    </row>
    <row r="3895" spans="1:16" x14ac:dyDescent="0.25">
      <c r="A3895" t="s">
        <v>1605</v>
      </c>
      <c r="B3895">
        <v>344</v>
      </c>
      <c r="C3895" t="s">
        <v>6757</v>
      </c>
      <c r="D3895" t="s">
        <v>114</v>
      </c>
      <c r="E3895" s="13">
        <v>30</v>
      </c>
      <c r="F3895" s="12">
        <v>0</v>
      </c>
      <c r="G3895" t="str">
        <f>IFERROR(INDEX(tEditais[Órgão],MATCH(tItens[[#This Row],[Edital]],tEditais[Edital],0)),"")</f>
        <v>MUNICIPIO DE CACHOEIRA DA PRATA</v>
      </c>
      <c r="H3895" t="str">
        <f>IFERROR(INDEX(tEditais[UF],MATCH(tItens[[#This Row],[Edital]],tEditais[Edital],0)),"")</f>
        <v>MG</v>
      </c>
      <c r="I3895" s="11">
        <f>IFERROR(INDEX(tEditais[Encerramento],MATCH(tItens[[#This Row],[Edital]],tEditais[Edital],0)),"")</f>
        <v>46314.354166666664</v>
      </c>
      <c r="J3895" t="str">
        <f>IFERROR(INDEX(tProdutos[Classe],MATCH(tItens[[#This Row],[Produto]],tProdutos[Produto],0)),"produto não cadastrado")</f>
        <v>DISPUTADO</v>
      </c>
      <c r="K3895" s="12">
        <f>tItens[[#This Row],[Qtd]]*tItens[[#This Row],[Vlr unit]]</f>
        <v>0</v>
      </c>
      <c r="L3895" s="6">
        <f>IFERROR(IF(INDEX(tProdutos[Desconto homologado],MATCH(tItens[[#This Row],[Produto]],tProdutos[Produto],0))="",DescontoPadrao,INDEX(tProdutos[Desconto homologado],MATCH(tItens[[#This Row],[Produto]],tProdutos[Produto],0))),DescontoPadrao)</f>
        <v>0.24332656063896899</v>
      </c>
      <c r="M3895" s="12">
        <f>tItens[[#This Row],[Valor]]*(1-tItens[[#This Row],[Desconto]])</f>
        <v>0</v>
      </c>
      <c r="N3895" t="str">
        <f>IFERROR(INDEX(tProdutos[Foco],MATCH(tItens[[#This Row],[Produto]],tProdutos[Produto],0)),"Não")</f>
        <v>Não</v>
      </c>
      <c r="O3895" t="str">
        <f>IFERROR(INDEX(tEditais[SRP],MATCH(tItens[[#This Row],[Edital]],tEditais[Edital],0)),"Não")</f>
        <v>Sim</v>
      </c>
      <c r="P3895" s="4">
        <f>IF(COUNTIFS(INDEX(tItens[Edital],1):tItens[[#This Row],[Edital]],tItens[[#This Row],[Edital]],INDEX(tItens[Produto],1):tItens[[#This Row],[Produto]],tItens[[#This Row],[Produto]])=1,1,0)</f>
        <v>0</v>
      </c>
    </row>
    <row r="3896" spans="1:16" x14ac:dyDescent="0.25">
      <c r="A3896" t="s">
        <v>1610</v>
      </c>
      <c r="B3896">
        <v>1</v>
      </c>
      <c r="C3896" t="s">
        <v>6758</v>
      </c>
      <c r="D3896" t="s">
        <v>267</v>
      </c>
      <c r="E3896" s="13">
        <v>50</v>
      </c>
      <c r="F3896" s="12">
        <v>59.38</v>
      </c>
      <c r="G3896" t="str">
        <f>IFERROR(INDEX(tEditais[Órgão],MATCH(tItens[[#This Row],[Edital]],tEditais[Edital],0)),"")</f>
        <v>MUNICIPIO DE BORDA DA MATA</v>
      </c>
      <c r="H3896" t="str">
        <f>IFERROR(INDEX(tEditais[UF],MATCH(tItens[[#This Row],[Edital]],tEditais[Edital],0)),"")</f>
        <v>MG</v>
      </c>
      <c r="I3896" s="11">
        <f>IFERROR(INDEX(tEditais[Encerramento],MATCH(tItens[[#This Row],[Edital]],tEditais[Edital],0)),"")</f>
        <v>46314.375</v>
      </c>
      <c r="J3896" t="str">
        <f>IFERROR(INDEX(tProdutos[Classe],MATCH(tItens[[#This Row],[Produto]],tProdutos[Produto],0)),"produto não cadastrado")</f>
        <v>FORA</v>
      </c>
      <c r="K3896" s="12">
        <f>tItens[[#This Row],[Qtd]]*tItens[[#This Row],[Vlr unit]]</f>
        <v>2969</v>
      </c>
      <c r="L3896" s="6">
        <f>IFERROR(IF(INDEX(tProdutos[Desconto homologado],MATCH(tItens[[#This Row],[Produto]],tProdutos[Produto],0))="",DescontoPadrao,INDEX(tProdutos[Desconto homologado],MATCH(tItens[[#This Row],[Produto]],tProdutos[Produto],0))),DescontoPadrao)</f>
        <v>0.19963672657401599</v>
      </c>
      <c r="M3896" s="12">
        <f>tItens[[#This Row],[Valor]]*(1-tItens[[#This Row],[Desconto]])</f>
        <v>2376.2785588017464</v>
      </c>
      <c r="N3896" t="str">
        <f>IFERROR(INDEX(tProdutos[Foco],MATCH(tItens[[#This Row],[Produto]],tProdutos[Produto],0)),"Não")</f>
        <v>Não</v>
      </c>
      <c r="O3896" t="str">
        <f>IFERROR(INDEX(tEditais[SRP],MATCH(tItens[[#This Row],[Edital]],tEditais[Edital],0)),"Não")</f>
        <v>Sim</v>
      </c>
      <c r="P3896" s="4">
        <f>IF(COUNTIFS(INDEX(tItens[Edital],1):tItens[[#This Row],[Edital]],tItens[[#This Row],[Edital]],INDEX(tItens[Produto],1):tItens[[#This Row],[Produto]],tItens[[#This Row],[Produto]])=1,1,0)</f>
        <v>1</v>
      </c>
    </row>
    <row r="3897" spans="1:16" x14ac:dyDescent="0.25">
      <c r="A3897" t="s">
        <v>1610</v>
      </c>
      <c r="B3897">
        <v>2</v>
      </c>
      <c r="C3897" t="s">
        <v>6759</v>
      </c>
      <c r="D3897" t="s">
        <v>267</v>
      </c>
      <c r="E3897" s="13">
        <v>50</v>
      </c>
      <c r="F3897" s="12">
        <v>56.62</v>
      </c>
      <c r="G3897" t="str">
        <f>IFERROR(INDEX(tEditais[Órgão],MATCH(tItens[[#This Row],[Edital]],tEditais[Edital],0)),"")</f>
        <v>MUNICIPIO DE BORDA DA MATA</v>
      </c>
      <c r="H3897" t="str">
        <f>IFERROR(INDEX(tEditais[UF],MATCH(tItens[[#This Row],[Edital]],tEditais[Edital],0)),"")</f>
        <v>MG</v>
      </c>
      <c r="I3897" s="11">
        <f>IFERROR(INDEX(tEditais[Encerramento],MATCH(tItens[[#This Row],[Edital]],tEditais[Edital],0)),"")</f>
        <v>46314.375</v>
      </c>
      <c r="J3897" t="str">
        <f>IFERROR(INDEX(tProdutos[Classe],MATCH(tItens[[#This Row],[Produto]],tProdutos[Produto],0)),"produto não cadastrado")</f>
        <v>FORA</v>
      </c>
      <c r="K3897" s="12">
        <f>tItens[[#This Row],[Qtd]]*tItens[[#This Row],[Vlr unit]]</f>
        <v>2831</v>
      </c>
      <c r="L3897" s="6">
        <f>IFERROR(IF(INDEX(tProdutos[Desconto homologado],MATCH(tItens[[#This Row],[Produto]],tProdutos[Produto],0))="",DescontoPadrao,INDEX(tProdutos[Desconto homologado],MATCH(tItens[[#This Row],[Produto]],tProdutos[Produto],0))),DescontoPadrao)</f>
        <v>0.19963672657401599</v>
      </c>
      <c r="M3897" s="12">
        <f>tItens[[#This Row],[Valor]]*(1-tItens[[#This Row],[Desconto]])</f>
        <v>2265.8284270689605</v>
      </c>
      <c r="N3897" t="str">
        <f>IFERROR(INDEX(tProdutos[Foco],MATCH(tItens[[#This Row],[Produto]],tProdutos[Produto],0)),"Não")</f>
        <v>Não</v>
      </c>
      <c r="O3897" t="str">
        <f>IFERROR(INDEX(tEditais[SRP],MATCH(tItens[[#This Row],[Edital]],tEditais[Edital],0)),"Não")</f>
        <v>Sim</v>
      </c>
      <c r="P3897" s="4">
        <f>IF(COUNTIFS(INDEX(tItens[Edital],1):tItens[[#This Row],[Edital]],tItens[[#This Row],[Edital]],INDEX(tItens[Produto],1):tItens[[#This Row],[Produto]],tItens[[#This Row],[Produto]])=1,1,0)</f>
        <v>0</v>
      </c>
    </row>
    <row r="3898" spans="1:16" x14ac:dyDescent="0.25">
      <c r="A3898" t="s">
        <v>1610</v>
      </c>
      <c r="B3898">
        <v>8</v>
      </c>
      <c r="C3898" t="s">
        <v>6760</v>
      </c>
      <c r="D3898" t="s">
        <v>393</v>
      </c>
      <c r="E3898" s="13">
        <v>300</v>
      </c>
      <c r="F3898" s="12">
        <v>12.28</v>
      </c>
      <c r="G3898" t="str">
        <f>IFERROR(INDEX(tEditais[Órgão],MATCH(tItens[[#This Row],[Edital]],tEditais[Edital],0)),"")</f>
        <v>MUNICIPIO DE BORDA DA MATA</v>
      </c>
      <c r="H3898" t="str">
        <f>IFERROR(INDEX(tEditais[UF],MATCH(tItens[[#This Row],[Edital]],tEditais[Edital],0)),"")</f>
        <v>MG</v>
      </c>
      <c r="I3898" s="11">
        <f>IFERROR(INDEX(tEditais[Encerramento],MATCH(tItens[[#This Row],[Edital]],tEditais[Edital],0)),"")</f>
        <v>46314.375</v>
      </c>
      <c r="J3898" t="str">
        <f>IFERROR(INDEX(tProdutos[Classe],MATCH(tItens[[#This Row],[Produto]],tProdutos[Produto],0)),"produto não cadastrado")</f>
        <v>FORA</v>
      </c>
      <c r="K3898" s="12">
        <f>tItens[[#This Row],[Qtd]]*tItens[[#This Row],[Vlr unit]]</f>
        <v>3684</v>
      </c>
      <c r="L3898" s="6">
        <f>IFERROR(IF(INDEX(tProdutos[Desconto homologado],MATCH(tItens[[#This Row],[Produto]],tProdutos[Produto],0))="",DescontoPadrao,INDEX(tProdutos[Desconto homologado],MATCH(tItens[[#This Row],[Produto]],tProdutos[Produto],0))),DescontoPadrao)</f>
        <v>0.286445012787724</v>
      </c>
      <c r="M3898" s="12">
        <f>tItens[[#This Row],[Valor]]*(1-tItens[[#This Row],[Desconto]])</f>
        <v>2628.7365728900245</v>
      </c>
      <c r="N3898" t="str">
        <f>IFERROR(INDEX(tProdutos[Foco],MATCH(tItens[[#This Row],[Produto]],tProdutos[Produto],0)),"Não")</f>
        <v>Não</v>
      </c>
      <c r="O3898" t="str">
        <f>IFERROR(INDEX(tEditais[SRP],MATCH(tItens[[#This Row],[Edital]],tEditais[Edital],0)),"Não")</f>
        <v>Sim</v>
      </c>
      <c r="P3898" s="4">
        <f>IF(COUNTIFS(INDEX(tItens[Edital],1):tItens[[#This Row],[Edital]],tItens[[#This Row],[Edital]],INDEX(tItens[Produto],1):tItens[[#This Row],[Produto]],tItens[[#This Row],[Produto]])=1,1,0)</f>
        <v>1</v>
      </c>
    </row>
    <row r="3899" spans="1:16" x14ac:dyDescent="0.25">
      <c r="A3899" t="s">
        <v>1610</v>
      </c>
      <c r="B3899">
        <v>9</v>
      </c>
      <c r="C3899" t="s">
        <v>6760</v>
      </c>
      <c r="D3899" t="s">
        <v>393</v>
      </c>
      <c r="E3899" s="13">
        <v>500</v>
      </c>
      <c r="F3899" s="12">
        <v>18.05</v>
      </c>
      <c r="G3899" t="str">
        <f>IFERROR(INDEX(tEditais[Órgão],MATCH(tItens[[#This Row],[Edital]],tEditais[Edital],0)),"")</f>
        <v>MUNICIPIO DE BORDA DA MATA</v>
      </c>
      <c r="H3899" t="str">
        <f>IFERROR(INDEX(tEditais[UF],MATCH(tItens[[#This Row],[Edital]],tEditais[Edital],0)),"")</f>
        <v>MG</v>
      </c>
      <c r="I3899" s="11">
        <f>IFERROR(INDEX(tEditais[Encerramento],MATCH(tItens[[#This Row],[Edital]],tEditais[Edital],0)),"")</f>
        <v>46314.375</v>
      </c>
      <c r="J3899" t="str">
        <f>IFERROR(INDEX(tProdutos[Classe],MATCH(tItens[[#This Row],[Produto]],tProdutos[Produto],0)),"produto não cadastrado")</f>
        <v>FORA</v>
      </c>
      <c r="K3899" s="12">
        <f>tItens[[#This Row],[Qtd]]*tItens[[#This Row],[Vlr unit]]</f>
        <v>9025</v>
      </c>
      <c r="L3899" s="6">
        <f>IFERROR(IF(INDEX(tProdutos[Desconto homologado],MATCH(tItens[[#This Row],[Produto]],tProdutos[Produto],0))="",DescontoPadrao,INDEX(tProdutos[Desconto homologado],MATCH(tItens[[#This Row],[Produto]],tProdutos[Produto],0))),DescontoPadrao)</f>
        <v>0.286445012787724</v>
      </c>
      <c r="M3899" s="12">
        <f>tItens[[#This Row],[Valor]]*(1-tItens[[#This Row],[Desconto]])</f>
        <v>6439.8337595907906</v>
      </c>
      <c r="N3899" t="str">
        <f>IFERROR(INDEX(tProdutos[Foco],MATCH(tItens[[#This Row],[Produto]],tProdutos[Produto],0)),"Não")</f>
        <v>Não</v>
      </c>
      <c r="O3899" t="str">
        <f>IFERROR(INDEX(tEditais[SRP],MATCH(tItens[[#This Row],[Edital]],tEditais[Edital],0)),"Não")</f>
        <v>Sim</v>
      </c>
      <c r="P3899" s="4">
        <f>IF(COUNTIFS(INDEX(tItens[Edital],1):tItens[[#This Row],[Edital]],tItens[[#This Row],[Edital]],INDEX(tItens[Produto],1):tItens[[#This Row],[Produto]],tItens[[#This Row],[Produto]])=1,1,0)</f>
        <v>0</v>
      </c>
    </row>
    <row r="3900" spans="1:16" x14ac:dyDescent="0.25">
      <c r="A3900" t="s">
        <v>1610</v>
      </c>
      <c r="B3900">
        <v>10</v>
      </c>
      <c r="C3900" t="s">
        <v>6761</v>
      </c>
      <c r="D3900" t="s">
        <v>267</v>
      </c>
      <c r="E3900" s="13">
        <v>200</v>
      </c>
      <c r="F3900" s="12">
        <v>43.3</v>
      </c>
      <c r="G3900" t="str">
        <f>IFERROR(INDEX(tEditais[Órgão],MATCH(tItens[[#This Row],[Edital]],tEditais[Edital],0)),"")</f>
        <v>MUNICIPIO DE BORDA DA MATA</v>
      </c>
      <c r="H3900" t="str">
        <f>IFERROR(INDEX(tEditais[UF],MATCH(tItens[[#This Row],[Edital]],tEditais[Edital],0)),"")</f>
        <v>MG</v>
      </c>
      <c r="I3900" s="11">
        <f>IFERROR(INDEX(tEditais[Encerramento],MATCH(tItens[[#This Row],[Edital]],tEditais[Edital],0)),"")</f>
        <v>46314.375</v>
      </c>
      <c r="J3900" t="str">
        <f>IFERROR(INDEX(tProdutos[Classe],MATCH(tItens[[#This Row],[Produto]],tProdutos[Produto],0)),"produto não cadastrado")</f>
        <v>FORA</v>
      </c>
      <c r="K3900" s="12">
        <f>tItens[[#This Row],[Qtd]]*tItens[[#This Row],[Vlr unit]]</f>
        <v>8660</v>
      </c>
      <c r="L3900" s="6">
        <f>IFERROR(IF(INDEX(tProdutos[Desconto homologado],MATCH(tItens[[#This Row],[Produto]],tProdutos[Produto],0))="",DescontoPadrao,INDEX(tProdutos[Desconto homologado],MATCH(tItens[[#This Row],[Produto]],tProdutos[Produto],0))),DescontoPadrao)</f>
        <v>0.19963672657401599</v>
      </c>
      <c r="M3900" s="12">
        <f>tItens[[#This Row],[Valor]]*(1-tItens[[#This Row],[Desconto]])</f>
        <v>6931.1459478690213</v>
      </c>
      <c r="N3900" t="str">
        <f>IFERROR(INDEX(tProdutos[Foco],MATCH(tItens[[#This Row],[Produto]],tProdutos[Produto],0)),"Não")</f>
        <v>Não</v>
      </c>
      <c r="O3900" t="str">
        <f>IFERROR(INDEX(tEditais[SRP],MATCH(tItens[[#This Row],[Edital]],tEditais[Edital],0)),"Não")</f>
        <v>Sim</v>
      </c>
      <c r="P3900" s="4">
        <f>IF(COUNTIFS(INDEX(tItens[Edital],1):tItens[[#This Row],[Edital]],tItens[[#This Row],[Edital]],INDEX(tItens[Produto],1):tItens[[#This Row],[Produto]],tItens[[#This Row],[Produto]])=1,1,0)</f>
        <v>0</v>
      </c>
    </row>
    <row r="3901" spans="1:16" x14ac:dyDescent="0.25">
      <c r="A3901" t="s">
        <v>1610</v>
      </c>
      <c r="B3901">
        <v>11</v>
      </c>
      <c r="C3901" t="s">
        <v>6761</v>
      </c>
      <c r="D3901" t="s">
        <v>267</v>
      </c>
      <c r="E3901" s="13">
        <v>300</v>
      </c>
      <c r="F3901" s="12">
        <v>46.44</v>
      </c>
      <c r="G3901" t="str">
        <f>IFERROR(INDEX(tEditais[Órgão],MATCH(tItens[[#This Row],[Edital]],tEditais[Edital],0)),"")</f>
        <v>MUNICIPIO DE BORDA DA MATA</v>
      </c>
      <c r="H3901" t="str">
        <f>IFERROR(INDEX(tEditais[UF],MATCH(tItens[[#This Row],[Edital]],tEditais[Edital],0)),"")</f>
        <v>MG</v>
      </c>
      <c r="I3901" s="11">
        <f>IFERROR(INDEX(tEditais[Encerramento],MATCH(tItens[[#This Row],[Edital]],tEditais[Edital],0)),"")</f>
        <v>46314.375</v>
      </c>
      <c r="J3901" t="str">
        <f>IFERROR(INDEX(tProdutos[Classe],MATCH(tItens[[#This Row],[Produto]],tProdutos[Produto],0)),"produto não cadastrado")</f>
        <v>FORA</v>
      </c>
      <c r="K3901" s="12">
        <f>tItens[[#This Row],[Qtd]]*tItens[[#This Row],[Vlr unit]]</f>
        <v>13932</v>
      </c>
      <c r="L3901" s="6">
        <f>IFERROR(IF(INDEX(tProdutos[Desconto homologado],MATCH(tItens[[#This Row],[Produto]],tProdutos[Produto],0))="",DescontoPadrao,INDEX(tProdutos[Desconto homologado],MATCH(tItens[[#This Row],[Produto]],tProdutos[Produto],0))),DescontoPadrao)</f>
        <v>0.19963672657401599</v>
      </c>
      <c r="M3901" s="12">
        <f>tItens[[#This Row],[Valor]]*(1-tItens[[#This Row],[Desconto]])</f>
        <v>11150.661125370809</v>
      </c>
      <c r="N3901" t="str">
        <f>IFERROR(INDEX(tProdutos[Foco],MATCH(tItens[[#This Row],[Produto]],tProdutos[Produto],0)),"Não")</f>
        <v>Não</v>
      </c>
      <c r="O3901" t="str">
        <f>IFERROR(INDEX(tEditais[SRP],MATCH(tItens[[#This Row],[Edital]],tEditais[Edital],0)),"Não")</f>
        <v>Sim</v>
      </c>
      <c r="P3901" s="4">
        <f>IF(COUNTIFS(INDEX(tItens[Edital],1):tItens[[#This Row],[Edital]],tItens[[#This Row],[Edital]],INDEX(tItens[Produto],1):tItens[[#This Row],[Produto]],tItens[[#This Row],[Produto]])=1,1,0)</f>
        <v>0</v>
      </c>
    </row>
    <row r="3902" spans="1:16" x14ac:dyDescent="0.25">
      <c r="A3902" t="s">
        <v>1615</v>
      </c>
      <c r="B3902">
        <v>53</v>
      </c>
      <c r="C3902" t="s">
        <v>6762</v>
      </c>
      <c r="D3902" t="s">
        <v>69</v>
      </c>
      <c r="E3902" s="13">
        <v>1000</v>
      </c>
      <c r="F3902" s="12">
        <v>0.61</v>
      </c>
      <c r="G3902" t="str">
        <f>IFERROR(INDEX(tEditais[Órgão],MATCH(tItens[[#This Row],[Edital]],tEditais[Edital],0)),"")</f>
        <v>MUNICIPIO DE EXTREMA</v>
      </c>
      <c r="H3902" t="str">
        <f>IFERROR(INDEX(tEditais[UF],MATCH(tItens[[#This Row],[Edital]],tEditais[Edital],0)),"")</f>
        <v>MG</v>
      </c>
      <c r="I3902" s="11">
        <f>IFERROR(INDEX(tEditais[Encerramento],MATCH(tItens[[#This Row],[Edital]],tEditais[Edital],0)),"")</f>
        <v>46314.375</v>
      </c>
      <c r="J3902" t="str">
        <f>IFERROR(INDEX(tProdutos[Classe],MATCH(tItens[[#This Row],[Produto]],tProdutos[Produto],0)),"produto não cadastrado")</f>
        <v>NÚCLEO</v>
      </c>
      <c r="K3902" s="12">
        <f>tItens[[#This Row],[Qtd]]*tItens[[#This Row],[Vlr unit]]</f>
        <v>610</v>
      </c>
      <c r="L3902" s="6">
        <f>IFERROR(IF(INDEX(tProdutos[Desconto homologado],MATCH(tItens[[#This Row],[Produto]],tProdutos[Produto],0))="",DescontoPadrao,INDEX(tProdutos[Desconto homologado],MATCH(tItens[[#This Row],[Produto]],tProdutos[Produto],0))),DescontoPadrao)</f>
        <v>0.38829259638568803</v>
      </c>
      <c r="M3902" s="12">
        <f>tItens[[#This Row],[Valor]]*(1-tItens[[#This Row],[Desconto]])</f>
        <v>373.14151620473029</v>
      </c>
      <c r="N3902" t="str">
        <f>IFERROR(INDEX(tProdutos[Foco],MATCH(tItens[[#This Row],[Produto]],tProdutos[Produto],0)),"Não")</f>
        <v>Não</v>
      </c>
      <c r="O3902" t="str">
        <f>IFERROR(INDEX(tEditais[SRP],MATCH(tItens[[#This Row],[Edital]],tEditais[Edital],0)),"Não")</f>
        <v>Sim</v>
      </c>
      <c r="P3902" s="4">
        <f>IF(COUNTIFS(INDEX(tItens[Edital],1):tItens[[#This Row],[Edital]],tItens[[#This Row],[Edital]],INDEX(tItens[Produto],1):tItens[[#This Row],[Produto]],tItens[[#This Row],[Produto]])=1,1,0)</f>
        <v>1</v>
      </c>
    </row>
    <row r="3903" spans="1:16" x14ac:dyDescent="0.25">
      <c r="A3903" t="s">
        <v>1615</v>
      </c>
      <c r="B3903">
        <v>54</v>
      </c>
      <c r="C3903" t="s">
        <v>6763</v>
      </c>
      <c r="D3903" t="s">
        <v>69</v>
      </c>
      <c r="E3903" s="13">
        <v>9500</v>
      </c>
      <c r="F3903" s="12">
        <v>0.71</v>
      </c>
      <c r="G3903" t="str">
        <f>IFERROR(INDEX(tEditais[Órgão],MATCH(tItens[[#This Row],[Edital]],tEditais[Edital],0)),"")</f>
        <v>MUNICIPIO DE EXTREMA</v>
      </c>
      <c r="H3903" t="str">
        <f>IFERROR(INDEX(tEditais[UF],MATCH(tItens[[#This Row],[Edital]],tEditais[Edital],0)),"")</f>
        <v>MG</v>
      </c>
      <c r="I3903" s="11">
        <f>IFERROR(INDEX(tEditais[Encerramento],MATCH(tItens[[#This Row],[Edital]],tEditais[Edital],0)),"")</f>
        <v>46314.375</v>
      </c>
      <c r="J3903" t="str">
        <f>IFERROR(INDEX(tProdutos[Classe],MATCH(tItens[[#This Row],[Produto]],tProdutos[Produto],0)),"produto não cadastrado")</f>
        <v>NÚCLEO</v>
      </c>
      <c r="K3903" s="12">
        <f>tItens[[#This Row],[Qtd]]*tItens[[#This Row],[Vlr unit]]</f>
        <v>6745</v>
      </c>
      <c r="L3903" s="6">
        <f>IFERROR(IF(INDEX(tProdutos[Desconto homologado],MATCH(tItens[[#This Row],[Produto]],tProdutos[Produto],0))="",DescontoPadrao,INDEX(tProdutos[Desconto homologado],MATCH(tItens[[#This Row],[Produto]],tProdutos[Produto],0))),DescontoPadrao)</f>
        <v>0.38829259638568803</v>
      </c>
      <c r="M3903" s="12">
        <f>tItens[[#This Row],[Valor]]*(1-tItens[[#This Row],[Desconto]])</f>
        <v>4125.9664373785345</v>
      </c>
      <c r="N3903" t="str">
        <f>IFERROR(INDEX(tProdutos[Foco],MATCH(tItens[[#This Row],[Produto]],tProdutos[Produto],0)),"Não")</f>
        <v>Não</v>
      </c>
      <c r="O3903" t="str">
        <f>IFERROR(INDEX(tEditais[SRP],MATCH(tItens[[#This Row],[Edital]],tEditais[Edital],0)),"Não")</f>
        <v>Sim</v>
      </c>
      <c r="P3903" s="4">
        <f>IF(COUNTIFS(INDEX(tItens[Edital],1):tItens[[#This Row],[Edital]],tItens[[#This Row],[Edital]],INDEX(tItens[Produto],1):tItens[[#This Row],[Produto]],tItens[[#This Row],[Produto]])=1,1,0)</f>
        <v>0</v>
      </c>
    </row>
    <row r="3904" spans="1:16" x14ac:dyDescent="0.25">
      <c r="A3904" t="s">
        <v>1615</v>
      </c>
      <c r="B3904">
        <v>55</v>
      </c>
      <c r="C3904" t="s">
        <v>6764</v>
      </c>
      <c r="D3904" t="s">
        <v>69</v>
      </c>
      <c r="E3904" s="13">
        <v>15000</v>
      </c>
      <c r="F3904" s="12">
        <v>0.63</v>
      </c>
      <c r="G3904" t="str">
        <f>IFERROR(INDEX(tEditais[Órgão],MATCH(tItens[[#This Row],[Edital]],tEditais[Edital],0)),"")</f>
        <v>MUNICIPIO DE EXTREMA</v>
      </c>
      <c r="H3904" t="str">
        <f>IFERROR(INDEX(tEditais[UF],MATCH(tItens[[#This Row],[Edital]],tEditais[Edital],0)),"")</f>
        <v>MG</v>
      </c>
      <c r="I3904" s="11">
        <f>IFERROR(INDEX(tEditais[Encerramento],MATCH(tItens[[#This Row],[Edital]],tEditais[Edital],0)),"")</f>
        <v>46314.375</v>
      </c>
      <c r="J3904" t="str">
        <f>IFERROR(INDEX(tProdutos[Classe],MATCH(tItens[[#This Row],[Produto]],tProdutos[Produto],0)),"produto não cadastrado")</f>
        <v>NÚCLEO</v>
      </c>
      <c r="K3904" s="12">
        <f>tItens[[#This Row],[Qtd]]*tItens[[#This Row],[Vlr unit]]</f>
        <v>9450</v>
      </c>
      <c r="L3904" s="6">
        <f>IFERROR(IF(INDEX(tProdutos[Desconto homologado],MATCH(tItens[[#This Row],[Produto]],tProdutos[Produto],0))="",DescontoPadrao,INDEX(tProdutos[Desconto homologado],MATCH(tItens[[#This Row],[Produto]],tProdutos[Produto],0))),DescontoPadrao)</f>
        <v>0.38829259638568803</v>
      </c>
      <c r="M3904" s="12">
        <f>tItens[[#This Row],[Valor]]*(1-tItens[[#This Row],[Desconto]])</f>
        <v>5780.6349641552479</v>
      </c>
      <c r="N3904" t="str">
        <f>IFERROR(INDEX(tProdutos[Foco],MATCH(tItens[[#This Row],[Produto]],tProdutos[Produto],0)),"Não")</f>
        <v>Não</v>
      </c>
      <c r="O3904" t="str">
        <f>IFERROR(INDEX(tEditais[SRP],MATCH(tItens[[#This Row],[Edital]],tEditais[Edital],0)),"Não")</f>
        <v>Sim</v>
      </c>
      <c r="P3904" s="4">
        <f>IF(COUNTIFS(INDEX(tItens[Edital],1):tItens[[#This Row],[Edital]],tItens[[#This Row],[Edital]],INDEX(tItens[Produto],1):tItens[[#This Row],[Produto]],tItens[[#This Row],[Produto]])=1,1,0)</f>
        <v>0</v>
      </c>
    </row>
    <row r="3905" spans="1:16" x14ac:dyDescent="0.25">
      <c r="A3905" t="s">
        <v>1615</v>
      </c>
      <c r="B3905">
        <v>56</v>
      </c>
      <c r="C3905" t="s">
        <v>6765</v>
      </c>
      <c r="D3905" t="s">
        <v>69</v>
      </c>
      <c r="E3905" s="13">
        <v>15500</v>
      </c>
      <c r="F3905" s="12">
        <v>0.63</v>
      </c>
      <c r="G3905" t="str">
        <f>IFERROR(INDEX(tEditais[Órgão],MATCH(tItens[[#This Row],[Edital]],tEditais[Edital],0)),"")</f>
        <v>MUNICIPIO DE EXTREMA</v>
      </c>
      <c r="H3905" t="str">
        <f>IFERROR(INDEX(tEditais[UF],MATCH(tItens[[#This Row],[Edital]],tEditais[Edital],0)),"")</f>
        <v>MG</v>
      </c>
      <c r="I3905" s="11">
        <f>IFERROR(INDEX(tEditais[Encerramento],MATCH(tItens[[#This Row],[Edital]],tEditais[Edital],0)),"")</f>
        <v>46314.375</v>
      </c>
      <c r="J3905" t="str">
        <f>IFERROR(INDEX(tProdutos[Classe],MATCH(tItens[[#This Row],[Produto]],tProdutos[Produto],0)),"produto não cadastrado")</f>
        <v>NÚCLEO</v>
      </c>
      <c r="K3905" s="12">
        <f>tItens[[#This Row],[Qtd]]*tItens[[#This Row],[Vlr unit]]</f>
        <v>9765</v>
      </c>
      <c r="L3905" s="6">
        <f>IFERROR(IF(INDEX(tProdutos[Desconto homologado],MATCH(tItens[[#This Row],[Produto]],tProdutos[Produto],0))="",DescontoPadrao,INDEX(tProdutos[Desconto homologado],MATCH(tItens[[#This Row],[Produto]],tProdutos[Produto],0))),DescontoPadrao)</f>
        <v>0.38829259638568803</v>
      </c>
      <c r="M3905" s="12">
        <f>tItens[[#This Row],[Valor]]*(1-tItens[[#This Row],[Desconto]])</f>
        <v>5973.3227962937563</v>
      </c>
      <c r="N3905" t="str">
        <f>IFERROR(INDEX(tProdutos[Foco],MATCH(tItens[[#This Row],[Produto]],tProdutos[Produto],0)),"Não")</f>
        <v>Não</v>
      </c>
      <c r="O3905" t="str">
        <f>IFERROR(INDEX(tEditais[SRP],MATCH(tItens[[#This Row],[Edital]],tEditais[Edital],0)),"Não")</f>
        <v>Sim</v>
      </c>
      <c r="P3905" s="4">
        <f>IF(COUNTIFS(INDEX(tItens[Edital],1):tItens[[#This Row],[Edital]],tItens[[#This Row],[Edital]],INDEX(tItens[Produto],1):tItens[[#This Row],[Produto]],tItens[[#This Row],[Produto]])=1,1,0)</f>
        <v>0</v>
      </c>
    </row>
    <row r="3906" spans="1:16" x14ac:dyDescent="0.25">
      <c r="A3906" t="s">
        <v>1615</v>
      </c>
      <c r="B3906">
        <v>57</v>
      </c>
      <c r="C3906" t="s">
        <v>6766</v>
      </c>
      <c r="D3906" t="s">
        <v>69</v>
      </c>
      <c r="E3906" s="13">
        <v>180260</v>
      </c>
      <c r="F3906" s="12">
        <v>0.8</v>
      </c>
      <c r="G3906" t="str">
        <f>IFERROR(INDEX(tEditais[Órgão],MATCH(tItens[[#This Row],[Edital]],tEditais[Edital],0)),"")</f>
        <v>MUNICIPIO DE EXTREMA</v>
      </c>
      <c r="H3906" t="str">
        <f>IFERROR(INDEX(tEditais[UF],MATCH(tItens[[#This Row],[Edital]],tEditais[Edital],0)),"")</f>
        <v>MG</v>
      </c>
      <c r="I3906" s="11">
        <f>IFERROR(INDEX(tEditais[Encerramento],MATCH(tItens[[#This Row],[Edital]],tEditais[Edital],0)),"")</f>
        <v>46314.375</v>
      </c>
      <c r="J3906" t="str">
        <f>IFERROR(INDEX(tProdutos[Classe],MATCH(tItens[[#This Row],[Produto]],tProdutos[Produto],0)),"produto não cadastrado")</f>
        <v>NÚCLEO</v>
      </c>
      <c r="K3906" s="12">
        <f>tItens[[#This Row],[Qtd]]*tItens[[#This Row],[Vlr unit]]</f>
        <v>144208</v>
      </c>
      <c r="L3906" s="6">
        <f>IFERROR(IF(INDEX(tProdutos[Desconto homologado],MATCH(tItens[[#This Row],[Produto]],tProdutos[Produto],0))="",DescontoPadrao,INDEX(tProdutos[Desconto homologado],MATCH(tItens[[#This Row],[Produto]],tProdutos[Produto],0))),DescontoPadrao)</f>
        <v>0.38829259638568803</v>
      </c>
      <c r="M3906" s="12">
        <f>tItens[[#This Row],[Valor]]*(1-tItens[[#This Row],[Desconto]])</f>
        <v>88213.101260412703</v>
      </c>
      <c r="N3906" t="str">
        <f>IFERROR(INDEX(tProdutos[Foco],MATCH(tItens[[#This Row],[Produto]],tProdutos[Produto],0)),"Não")</f>
        <v>Não</v>
      </c>
      <c r="O3906" t="str">
        <f>IFERROR(INDEX(tEditais[SRP],MATCH(tItens[[#This Row],[Edital]],tEditais[Edital],0)),"Não")</f>
        <v>Sim</v>
      </c>
      <c r="P3906" s="4">
        <f>IF(COUNTIFS(INDEX(tItens[Edital],1):tItens[[#This Row],[Edital]],tItens[[#This Row],[Edital]],INDEX(tItens[Produto],1):tItens[[#This Row],[Produto]],tItens[[#This Row],[Produto]])=1,1,0)</f>
        <v>0</v>
      </c>
    </row>
    <row r="3907" spans="1:16" x14ac:dyDescent="0.25">
      <c r="A3907" t="s">
        <v>1615</v>
      </c>
      <c r="B3907">
        <v>58</v>
      </c>
      <c r="C3907" t="s">
        <v>6767</v>
      </c>
      <c r="D3907" t="s">
        <v>69</v>
      </c>
      <c r="E3907" s="13">
        <v>15020</v>
      </c>
      <c r="F3907" s="12">
        <v>0.8</v>
      </c>
      <c r="G3907" t="str">
        <f>IFERROR(INDEX(tEditais[Órgão],MATCH(tItens[[#This Row],[Edital]],tEditais[Edital],0)),"")</f>
        <v>MUNICIPIO DE EXTREMA</v>
      </c>
      <c r="H3907" t="str">
        <f>IFERROR(INDEX(tEditais[UF],MATCH(tItens[[#This Row],[Edital]],tEditais[Edital],0)),"")</f>
        <v>MG</v>
      </c>
      <c r="I3907" s="11">
        <f>IFERROR(INDEX(tEditais[Encerramento],MATCH(tItens[[#This Row],[Edital]],tEditais[Edital],0)),"")</f>
        <v>46314.375</v>
      </c>
      <c r="J3907" t="str">
        <f>IFERROR(INDEX(tProdutos[Classe],MATCH(tItens[[#This Row],[Produto]],tProdutos[Produto],0)),"produto não cadastrado")</f>
        <v>NÚCLEO</v>
      </c>
      <c r="K3907" s="12">
        <f>tItens[[#This Row],[Qtd]]*tItens[[#This Row],[Vlr unit]]</f>
        <v>12016</v>
      </c>
      <c r="L3907" s="6">
        <f>IFERROR(IF(INDEX(tProdutos[Desconto homologado],MATCH(tItens[[#This Row],[Produto]],tProdutos[Produto],0))="",DescontoPadrao,INDEX(tProdutos[Desconto homologado],MATCH(tItens[[#This Row],[Produto]],tProdutos[Produto],0))),DescontoPadrao)</f>
        <v>0.38829259638568803</v>
      </c>
      <c r="M3907" s="12">
        <f>tItens[[#This Row],[Valor]]*(1-tItens[[#This Row],[Desconto]])</f>
        <v>7350.2761618295726</v>
      </c>
      <c r="N3907" t="str">
        <f>IFERROR(INDEX(tProdutos[Foco],MATCH(tItens[[#This Row],[Produto]],tProdutos[Produto],0)),"Não")</f>
        <v>Não</v>
      </c>
      <c r="O3907" t="str">
        <f>IFERROR(INDEX(tEditais[SRP],MATCH(tItens[[#This Row],[Edital]],tEditais[Edital],0)),"Não")</f>
        <v>Sim</v>
      </c>
      <c r="P3907" s="4">
        <f>IF(COUNTIFS(INDEX(tItens[Edital],1):tItens[[#This Row],[Edital]],tItens[[#This Row],[Edital]],INDEX(tItens[Produto],1):tItens[[#This Row],[Produto]],tItens[[#This Row],[Produto]])=1,1,0)</f>
        <v>0</v>
      </c>
    </row>
    <row r="3908" spans="1:16" x14ac:dyDescent="0.25">
      <c r="A3908" t="s">
        <v>1615</v>
      </c>
      <c r="B3908">
        <v>59</v>
      </c>
      <c r="C3908" t="s">
        <v>6768</v>
      </c>
      <c r="D3908" t="s">
        <v>69</v>
      </c>
      <c r="E3908" s="13">
        <v>3000</v>
      </c>
      <c r="F3908" s="12">
        <v>0.85</v>
      </c>
      <c r="G3908" t="str">
        <f>IFERROR(INDEX(tEditais[Órgão],MATCH(tItens[[#This Row],[Edital]],tEditais[Edital],0)),"")</f>
        <v>MUNICIPIO DE EXTREMA</v>
      </c>
      <c r="H3908" t="str">
        <f>IFERROR(INDEX(tEditais[UF],MATCH(tItens[[#This Row],[Edital]],tEditais[Edital],0)),"")</f>
        <v>MG</v>
      </c>
      <c r="I3908" s="11">
        <f>IFERROR(INDEX(tEditais[Encerramento],MATCH(tItens[[#This Row],[Edital]],tEditais[Edital],0)),"")</f>
        <v>46314.375</v>
      </c>
      <c r="J3908" t="str">
        <f>IFERROR(INDEX(tProdutos[Classe],MATCH(tItens[[#This Row],[Produto]],tProdutos[Produto],0)),"produto não cadastrado")</f>
        <v>NÚCLEO</v>
      </c>
      <c r="K3908" s="12">
        <f>tItens[[#This Row],[Qtd]]*tItens[[#This Row],[Vlr unit]]</f>
        <v>2550</v>
      </c>
      <c r="L3908" s="6">
        <f>IFERROR(IF(INDEX(tProdutos[Desconto homologado],MATCH(tItens[[#This Row],[Produto]],tProdutos[Produto],0))="",DescontoPadrao,INDEX(tProdutos[Desconto homologado],MATCH(tItens[[#This Row],[Produto]],tProdutos[Produto],0))),DescontoPadrao)</f>
        <v>0.38829259638568803</v>
      </c>
      <c r="M3908" s="12">
        <f>tItens[[#This Row],[Valor]]*(1-tItens[[#This Row],[Desconto]])</f>
        <v>1559.8538792164954</v>
      </c>
      <c r="N3908" t="str">
        <f>IFERROR(INDEX(tProdutos[Foco],MATCH(tItens[[#This Row],[Produto]],tProdutos[Produto],0)),"Não")</f>
        <v>Não</v>
      </c>
      <c r="O3908" t="str">
        <f>IFERROR(INDEX(tEditais[SRP],MATCH(tItens[[#This Row],[Edital]],tEditais[Edital],0)),"Não")</f>
        <v>Sim</v>
      </c>
      <c r="P3908" s="4">
        <f>IF(COUNTIFS(INDEX(tItens[Edital],1):tItens[[#This Row],[Edital]],tItens[[#This Row],[Edital]],INDEX(tItens[Produto],1):tItens[[#This Row],[Produto]],tItens[[#This Row],[Produto]])=1,1,0)</f>
        <v>0</v>
      </c>
    </row>
    <row r="3909" spans="1:16" x14ac:dyDescent="0.25">
      <c r="A3909" t="s">
        <v>1615</v>
      </c>
      <c r="B3909">
        <v>60</v>
      </c>
      <c r="C3909" t="s">
        <v>6769</v>
      </c>
      <c r="D3909" t="s">
        <v>69</v>
      </c>
      <c r="E3909" s="13">
        <v>500</v>
      </c>
      <c r="F3909" s="12">
        <v>0.9</v>
      </c>
      <c r="G3909" t="str">
        <f>IFERROR(INDEX(tEditais[Órgão],MATCH(tItens[[#This Row],[Edital]],tEditais[Edital],0)),"")</f>
        <v>MUNICIPIO DE EXTREMA</v>
      </c>
      <c r="H3909" t="str">
        <f>IFERROR(INDEX(tEditais[UF],MATCH(tItens[[#This Row],[Edital]],tEditais[Edital],0)),"")</f>
        <v>MG</v>
      </c>
      <c r="I3909" s="11">
        <f>IFERROR(INDEX(tEditais[Encerramento],MATCH(tItens[[#This Row],[Edital]],tEditais[Edital],0)),"")</f>
        <v>46314.375</v>
      </c>
      <c r="J3909" t="str">
        <f>IFERROR(INDEX(tProdutos[Classe],MATCH(tItens[[#This Row],[Produto]],tProdutos[Produto],0)),"produto não cadastrado")</f>
        <v>NÚCLEO</v>
      </c>
      <c r="K3909" s="12">
        <f>tItens[[#This Row],[Qtd]]*tItens[[#This Row],[Vlr unit]]</f>
        <v>450</v>
      </c>
      <c r="L3909" s="6">
        <f>IFERROR(IF(INDEX(tProdutos[Desconto homologado],MATCH(tItens[[#This Row],[Produto]],tProdutos[Produto],0))="",DescontoPadrao,INDEX(tProdutos[Desconto homologado],MATCH(tItens[[#This Row],[Produto]],tProdutos[Produto],0))),DescontoPadrao)</f>
        <v>0.38829259638568803</v>
      </c>
      <c r="M3909" s="12">
        <f>tItens[[#This Row],[Valor]]*(1-tItens[[#This Row],[Desconto]])</f>
        <v>275.26833162644039</v>
      </c>
      <c r="N3909" t="str">
        <f>IFERROR(INDEX(tProdutos[Foco],MATCH(tItens[[#This Row],[Produto]],tProdutos[Produto],0)),"Não")</f>
        <v>Não</v>
      </c>
      <c r="O3909" t="str">
        <f>IFERROR(INDEX(tEditais[SRP],MATCH(tItens[[#This Row],[Edital]],tEditais[Edital],0)),"Não")</f>
        <v>Sim</v>
      </c>
      <c r="P3909" s="4">
        <f>IF(COUNTIFS(INDEX(tItens[Edital],1):tItens[[#This Row],[Edital]],tItens[[#This Row],[Edital]],INDEX(tItens[Produto],1):tItens[[#This Row],[Produto]],tItens[[#This Row],[Produto]])=1,1,0)</f>
        <v>0</v>
      </c>
    </row>
    <row r="3910" spans="1:16" x14ac:dyDescent="0.25">
      <c r="A3910" t="s">
        <v>1615</v>
      </c>
      <c r="B3910">
        <v>61</v>
      </c>
      <c r="C3910" t="s">
        <v>6770</v>
      </c>
      <c r="D3910" t="s">
        <v>69</v>
      </c>
      <c r="E3910" s="13">
        <v>250</v>
      </c>
      <c r="F3910" s="12">
        <v>0.95</v>
      </c>
      <c r="G3910" t="str">
        <f>IFERROR(INDEX(tEditais[Órgão],MATCH(tItens[[#This Row],[Edital]],tEditais[Edital],0)),"")</f>
        <v>MUNICIPIO DE EXTREMA</v>
      </c>
      <c r="H3910" t="str">
        <f>IFERROR(INDEX(tEditais[UF],MATCH(tItens[[#This Row],[Edital]],tEditais[Edital],0)),"")</f>
        <v>MG</v>
      </c>
      <c r="I3910" s="11">
        <f>IFERROR(INDEX(tEditais[Encerramento],MATCH(tItens[[#This Row],[Edital]],tEditais[Edital],0)),"")</f>
        <v>46314.375</v>
      </c>
      <c r="J3910" t="str">
        <f>IFERROR(INDEX(tProdutos[Classe],MATCH(tItens[[#This Row],[Produto]],tProdutos[Produto],0)),"produto não cadastrado")</f>
        <v>NÚCLEO</v>
      </c>
      <c r="K3910" s="12">
        <f>tItens[[#This Row],[Qtd]]*tItens[[#This Row],[Vlr unit]]</f>
        <v>237.5</v>
      </c>
      <c r="L3910" s="6">
        <f>IFERROR(IF(INDEX(tProdutos[Desconto homologado],MATCH(tItens[[#This Row],[Produto]],tProdutos[Produto],0))="",DescontoPadrao,INDEX(tProdutos[Desconto homologado],MATCH(tItens[[#This Row],[Produto]],tProdutos[Produto],0))),DescontoPadrao)</f>
        <v>0.38829259638568803</v>
      </c>
      <c r="M3910" s="12">
        <f>tItens[[#This Row],[Valor]]*(1-tItens[[#This Row],[Desconto]])</f>
        <v>145.28050835839909</v>
      </c>
      <c r="N3910" t="str">
        <f>IFERROR(INDEX(tProdutos[Foco],MATCH(tItens[[#This Row],[Produto]],tProdutos[Produto],0)),"Não")</f>
        <v>Não</v>
      </c>
      <c r="O3910" t="str">
        <f>IFERROR(INDEX(tEditais[SRP],MATCH(tItens[[#This Row],[Edital]],tEditais[Edital],0)),"Não")</f>
        <v>Sim</v>
      </c>
      <c r="P3910" s="4">
        <f>IF(COUNTIFS(INDEX(tItens[Edital],1):tItens[[#This Row],[Edital]],tItens[[#This Row],[Edital]],INDEX(tItens[Produto],1):tItens[[#This Row],[Produto]],tItens[[#This Row],[Produto]])=1,1,0)</f>
        <v>0</v>
      </c>
    </row>
    <row r="3911" spans="1:16" x14ac:dyDescent="0.25">
      <c r="A3911" t="s">
        <v>1615</v>
      </c>
      <c r="B3911">
        <v>74</v>
      </c>
      <c r="C3911" t="s">
        <v>6771</v>
      </c>
      <c r="D3911" t="s">
        <v>193</v>
      </c>
      <c r="E3911" s="13">
        <v>8</v>
      </c>
      <c r="F3911" s="12">
        <v>129.96</v>
      </c>
      <c r="G3911" t="str">
        <f>IFERROR(INDEX(tEditais[Órgão],MATCH(tItens[[#This Row],[Edital]],tEditais[Edital],0)),"")</f>
        <v>MUNICIPIO DE EXTREMA</v>
      </c>
      <c r="H3911" t="str">
        <f>IFERROR(INDEX(tEditais[UF],MATCH(tItens[[#This Row],[Edital]],tEditais[Edital],0)),"")</f>
        <v>MG</v>
      </c>
      <c r="I3911" s="11">
        <f>IFERROR(INDEX(tEditais[Encerramento],MATCH(tItens[[#This Row],[Edital]],tEditais[Edital],0)),"")</f>
        <v>46314.375</v>
      </c>
      <c r="J3911" t="str">
        <f>IFERROR(INDEX(tProdutos[Classe],MATCH(tItens[[#This Row],[Produto]],tProdutos[Produto],0)),"produto não cadastrado")</f>
        <v>DISPUTADO</v>
      </c>
      <c r="K3911" s="12">
        <f>tItens[[#This Row],[Qtd]]*tItens[[#This Row],[Vlr unit]]</f>
        <v>1039.68</v>
      </c>
      <c r="L3911" s="6">
        <f>IFERROR(IF(INDEX(tProdutos[Desconto homologado],MATCH(tItens[[#This Row],[Produto]],tProdutos[Produto],0))="",DescontoPadrao,INDEX(tProdutos[Desconto homologado],MATCH(tItens[[#This Row],[Produto]],tProdutos[Produto],0))),DescontoPadrao)</f>
        <v>0.293849658314351</v>
      </c>
      <c r="M3911" s="12">
        <f>tItens[[#This Row],[Valor]]*(1-tItens[[#This Row],[Desconto]])</f>
        <v>734.17038724373549</v>
      </c>
      <c r="N3911" t="str">
        <f>IFERROR(INDEX(tProdutos[Foco],MATCH(tItens[[#This Row],[Produto]],tProdutos[Produto],0)),"Não")</f>
        <v>Não</v>
      </c>
      <c r="O3911" t="str">
        <f>IFERROR(INDEX(tEditais[SRP],MATCH(tItens[[#This Row],[Edital]],tEditais[Edital],0)),"Não")</f>
        <v>Sim</v>
      </c>
      <c r="P3911" s="4">
        <f>IF(COUNTIFS(INDEX(tItens[Edital],1):tItens[[#This Row],[Edital]],tItens[[#This Row],[Edital]],INDEX(tItens[Produto],1):tItens[[#This Row],[Produto]],tItens[[#This Row],[Produto]])=1,1,0)</f>
        <v>1</v>
      </c>
    </row>
    <row r="3912" spans="1:16" x14ac:dyDescent="0.25">
      <c r="A3912" t="s">
        <v>1615</v>
      </c>
      <c r="B3912">
        <v>85</v>
      </c>
      <c r="C3912" t="s">
        <v>6772</v>
      </c>
      <c r="D3912" t="s">
        <v>170</v>
      </c>
      <c r="E3912" s="13">
        <v>60</v>
      </c>
      <c r="F3912" s="12">
        <v>17.18</v>
      </c>
      <c r="G3912" t="str">
        <f>IFERROR(INDEX(tEditais[Órgão],MATCH(tItens[[#This Row],[Edital]],tEditais[Edital],0)),"")</f>
        <v>MUNICIPIO DE EXTREMA</v>
      </c>
      <c r="H3912" t="str">
        <f>IFERROR(INDEX(tEditais[UF],MATCH(tItens[[#This Row],[Edital]],tEditais[Edital],0)),"")</f>
        <v>MG</v>
      </c>
      <c r="I3912" s="11">
        <f>IFERROR(INDEX(tEditais[Encerramento],MATCH(tItens[[#This Row],[Edital]],tEditais[Edital],0)),"")</f>
        <v>46314.375</v>
      </c>
      <c r="J3912" t="str">
        <f>IFERROR(INDEX(tProdutos[Classe],MATCH(tItens[[#This Row],[Produto]],tProdutos[Produto],0)),"produto não cadastrado")</f>
        <v>DISPUTADO</v>
      </c>
      <c r="K3912" s="12">
        <f>tItens[[#This Row],[Qtd]]*tItens[[#This Row],[Vlr unit]]</f>
        <v>1030.8</v>
      </c>
      <c r="L3912" s="6">
        <f>IFERROR(IF(INDEX(tProdutos[Desconto homologado],MATCH(tItens[[#This Row],[Produto]],tProdutos[Produto],0))="",DescontoPadrao,INDEX(tProdutos[Desconto homologado],MATCH(tItens[[#This Row],[Produto]],tProdutos[Produto],0))),DescontoPadrao)</f>
        <v>0.36</v>
      </c>
      <c r="M3912" s="12">
        <f>tItens[[#This Row],[Valor]]*(1-tItens[[#This Row],[Desconto]])</f>
        <v>659.71199999999999</v>
      </c>
      <c r="N3912" t="str">
        <f>IFERROR(INDEX(tProdutos[Foco],MATCH(tItens[[#This Row],[Produto]],tProdutos[Produto],0)),"Não")</f>
        <v>Sim</v>
      </c>
      <c r="O3912" t="str">
        <f>IFERROR(INDEX(tEditais[SRP],MATCH(tItens[[#This Row],[Edital]],tEditais[Edital],0)),"Não")</f>
        <v>Sim</v>
      </c>
      <c r="P3912" s="4">
        <f>IF(COUNTIFS(INDEX(tItens[Edital],1):tItens[[#This Row],[Edital]],tItens[[#This Row],[Edital]],INDEX(tItens[Produto],1):tItens[[#This Row],[Produto]],tItens[[#This Row],[Produto]])=1,1,0)</f>
        <v>1</v>
      </c>
    </row>
    <row r="3913" spans="1:16" x14ac:dyDescent="0.25">
      <c r="A3913" t="s">
        <v>1615</v>
      </c>
      <c r="B3913">
        <v>86</v>
      </c>
      <c r="C3913" t="s">
        <v>6773</v>
      </c>
      <c r="D3913" t="s">
        <v>170</v>
      </c>
      <c r="E3913" s="13">
        <v>60</v>
      </c>
      <c r="F3913" s="12">
        <v>19.87</v>
      </c>
      <c r="G3913" t="str">
        <f>IFERROR(INDEX(tEditais[Órgão],MATCH(tItens[[#This Row],[Edital]],tEditais[Edital],0)),"")</f>
        <v>MUNICIPIO DE EXTREMA</v>
      </c>
      <c r="H3913" t="str">
        <f>IFERROR(INDEX(tEditais[UF],MATCH(tItens[[#This Row],[Edital]],tEditais[Edital],0)),"")</f>
        <v>MG</v>
      </c>
      <c r="I3913" s="11">
        <f>IFERROR(INDEX(tEditais[Encerramento],MATCH(tItens[[#This Row],[Edital]],tEditais[Edital],0)),"")</f>
        <v>46314.375</v>
      </c>
      <c r="J3913" t="str">
        <f>IFERROR(INDEX(tProdutos[Classe],MATCH(tItens[[#This Row],[Produto]],tProdutos[Produto],0)),"produto não cadastrado")</f>
        <v>DISPUTADO</v>
      </c>
      <c r="K3913" s="12">
        <f>tItens[[#This Row],[Qtd]]*tItens[[#This Row],[Vlr unit]]</f>
        <v>1192.2</v>
      </c>
      <c r="L3913" s="6">
        <f>IFERROR(IF(INDEX(tProdutos[Desconto homologado],MATCH(tItens[[#This Row],[Produto]],tProdutos[Produto],0))="",DescontoPadrao,INDEX(tProdutos[Desconto homologado],MATCH(tItens[[#This Row],[Produto]],tProdutos[Produto],0))),DescontoPadrao)</f>
        <v>0.36</v>
      </c>
      <c r="M3913" s="12">
        <f>tItens[[#This Row],[Valor]]*(1-tItens[[#This Row],[Desconto]])</f>
        <v>763.00800000000004</v>
      </c>
      <c r="N3913" t="str">
        <f>IFERROR(INDEX(tProdutos[Foco],MATCH(tItens[[#This Row],[Produto]],tProdutos[Produto],0)),"Não")</f>
        <v>Sim</v>
      </c>
      <c r="O3913" t="str">
        <f>IFERROR(INDEX(tEditais[SRP],MATCH(tItens[[#This Row],[Edital]],tEditais[Edital],0)),"Não")</f>
        <v>Sim</v>
      </c>
      <c r="P3913" s="4">
        <f>IF(COUNTIFS(INDEX(tItens[Edital],1):tItens[[#This Row],[Edital]],tItens[[#This Row],[Edital]],INDEX(tItens[Produto],1):tItens[[#This Row],[Produto]],tItens[[#This Row],[Produto]])=1,1,0)</f>
        <v>0</v>
      </c>
    </row>
    <row r="3914" spans="1:16" x14ac:dyDescent="0.25">
      <c r="A3914" t="s">
        <v>1615</v>
      </c>
      <c r="B3914">
        <v>87</v>
      </c>
      <c r="C3914" t="s">
        <v>6774</v>
      </c>
      <c r="D3914" t="s">
        <v>170</v>
      </c>
      <c r="E3914" s="13">
        <v>60</v>
      </c>
      <c r="F3914" s="12">
        <v>16.84</v>
      </c>
      <c r="G3914" t="str">
        <f>IFERROR(INDEX(tEditais[Órgão],MATCH(tItens[[#This Row],[Edital]],tEditais[Edital],0)),"")</f>
        <v>MUNICIPIO DE EXTREMA</v>
      </c>
      <c r="H3914" t="str">
        <f>IFERROR(INDEX(tEditais[UF],MATCH(tItens[[#This Row],[Edital]],tEditais[Edital],0)),"")</f>
        <v>MG</v>
      </c>
      <c r="I3914" s="11">
        <f>IFERROR(INDEX(tEditais[Encerramento],MATCH(tItens[[#This Row],[Edital]],tEditais[Edital],0)),"")</f>
        <v>46314.375</v>
      </c>
      <c r="J3914" t="str">
        <f>IFERROR(INDEX(tProdutos[Classe],MATCH(tItens[[#This Row],[Produto]],tProdutos[Produto],0)),"produto não cadastrado")</f>
        <v>DISPUTADO</v>
      </c>
      <c r="K3914" s="12">
        <f>tItens[[#This Row],[Qtd]]*tItens[[#This Row],[Vlr unit]]</f>
        <v>1010.4</v>
      </c>
      <c r="L3914" s="6">
        <f>IFERROR(IF(INDEX(tProdutos[Desconto homologado],MATCH(tItens[[#This Row],[Produto]],tProdutos[Produto],0))="",DescontoPadrao,INDEX(tProdutos[Desconto homologado],MATCH(tItens[[#This Row],[Produto]],tProdutos[Produto],0))),DescontoPadrao)</f>
        <v>0.36</v>
      </c>
      <c r="M3914" s="12">
        <f>tItens[[#This Row],[Valor]]*(1-tItens[[#This Row],[Desconto]])</f>
        <v>646.65599999999995</v>
      </c>
      <c r="N3914" t="str">
        <f>IFERROR(INDEX(tProdutos[Foco],MATCH(tItens[[#This Row],[Produto]],tProdutos[Produto],0)),"Não")</f>
        <v>Sim</v>
      </c>
      <c r="O3914" t="str">
        <f>IFERROR(INDEX(tEditais[SRP],MATCH(tItens[[#This Row],[Edital]],tEditais[Edital],0)),"Não")</f>
        <v>Sim</v>
      </c>
      <c r="P3914" s="4">
        <f>IF(COUNTIFS(INDEX(tItens[Edital],1):tItens[[#This Row],[Edital]],tItens[[#This Row],[Edital]],INDEX(tItens[Produto],1):tItens[[#This Row],[Produto]],tItens[[#This Row],[Produto]])=1,1,0)</f>
        <v>0</v>
      </c>
    </row>
    <row r="3915" spans="1:16" x14ac:dyDescent="0.25">
      <c r="A3915" t="s">
        <v>1615</v>
      </c>
      <c r="B3915">
        <v>88</v>
      </c>
      <c r="C3915" t="s">
        <v>6775</v>
      </c>
      <c r="D3915" t="s">
        <v>170</v>
      </c>
      <c r="E3915" s="13">
        <v>60</v>
      </c>
      <c r="F3915" s="12">
        <v>18.98</v>
      </c>
      <c r="G3915" t="str">
        <f>IFERROR(INDEX(tEditais[Órgão],MATCH(tItens[[#This Row],[Edital]],tEditais[Edital],0)),"")</f>
        <v>MUNICIPIO DE EXTREMA</v>
      </c>
      <c r="H3915" t="str">
        <f>IFERROR(INDEX(tEditais[UF],MATCH(tItens[[#This Row],[Edital]],tEditais[Edital],0)),"")</f>
        <v>MG</v>
      </c>
      <c r="I3915" s="11">
        <f>IFERROR(INDEX(tEditais[Encerramento],MATCH(tItens[[#This Row],[Edital]],tEditais[Edital],0)),"")</f>
        <v>46314.375</v>
      </c>
      <c r="J3915" t="str">
        <f>IFERROR(INDEX(tProdutos[Classe],MATCH(tItens[[#This Row],[Produto]],tProdutos[Produto],0)),"produto não cadastrado")</f>
        <v>DISPUTADO</v>
      </c>
      <c r="K3915" s="12">
        <f>tItens[[#This Row],[Qtd]]*tItens[[#This Row],[Vlr unit]]</f>
        <v>1138.8</v>
      </c>
      <c r="L3915" s="6">
        <f>IFERROR(IF(INDEX(tProdutos[Desconto homologado],MATCH(tItens[[#This Row],[Produto]],tProdutos[Produto],0))="",DescontoPadrao,INDEX(tProdutos[Desconto homologado],MATCH(tItens[[#This Row],[Produto]],tProdutos[Produto],0))),DescontoPadrao)</f>
        <v>0.36</v>
      </c>
      <c r="M3915" s="12">
        <f>tItens[[#This Row],[Valor]]*(1-tItens[[#This Row],[Desconto]])</f>
        <v>728.83199999999999</v>
      </c>
      <c r="N3915" t="str">
        <f>IFERROR(INDEX(tProdutos[Foco],MATCH(tItens[[#This Row],[Produto]],tProdutos[Produto],0)),"Não")</f>
        <v>Sim</v>
      </c>
      <c r="O3915" t="str">
        <f>IFERROR(INDEX(tEditais[SRP],MATCH(tItens[[#This Row],[Edital]],tEditais[Edital],0)),"Não")</f>
        <v>Sim</v>
      </c>
      <c r="P3915" s="4">
        <f>IF(COUNTIFS(INDEX(tItens[Edital],1):tItens[[#This Row],[Edital]],tItens[[#This Row],[Edital]],INDEX(tItens[Produto],1):tItens[[#This Row],[Produto]],tItens[[#This Row],[Produto]])=1,1,0)</f>
        <v>0</v>
      </c>
    </row>
    <row r="3916" spans="1:16" x14ac:dyDescent="0.25">
      <c r="A3916" t="s">
        <v>1615</v>
      </c>
      <c r="B3916">
        <v>89</v>
      </c>
      <c r="C3916" t="s">
        <v>6776</v>
      </c>
      <c r="D3916" t="s">
        <v>170</v>
      </c>
      <c r="E3916" s="13">
        <v>60</v>
      </c>
      <c r="F3916" s="12">
        <v>16.73</v>
      </c>
      <c r="G3916" t="str">
        <f>IFERROR(INDEX(tEditais[Órgão],MATCH(tItens[[#This Row],[Edital]],tEditais[Edital],0)),"")</f>
        <v>MUNICIPIO DE EXTREMA</v>
      </c>
      <c r="H3916" t="str">
        <f>IFERROR(INDEX(tEditais[UF],MATCH(tItens[[#This Row],[Edital]],tEditais[Edital],0)),"")</f>
        <v>MG</v>
      </c>
      <c r="I3916" s="11">
        <f>IFERROR(INDEX(tEditais[Encerramento],MATCH(tItens[[#This Row],[Edital]],tEditais[Edital],0)),"")</f>
        <v>46314.375</v>
      </c>
      <c r="J3916" t="str">
        <f>IFERROR(INDEX(tProdutos[Classe],MATCH(tItens[[#This Row],[Produto]],tProdutos[Produto],0)),"produto não cadastrado")</f>
        <v>DISPUTADO</v>
      </c>
      <c r="K3916" s="12">
        <f>tItens[[#This Row],[Qtd]]*tItens[[#This Row],[Vlr unit]]</f>
        <v>1003.8000000000001</v>
      </c>
      <c r="L3916" s="6">
        <f>IFERROR(IF(INDEX(tProdutos[Desconto homologado],MATCH(tItens[[#This Row],[Produto]],tProdutos[Produto],0))="",DescontoPadrao,INDEX(tProdutos[Desconto homologado],MATCH(tItens[[#This Row],[Produto]],tProdutos[Produto],0))),DescontoPadrao)</f>
        <v>0.36</v>
      </c>
      <c r="M3916" s="12">
        <f>tItens[[#This Row],[Valor]]*(1-tItens[[#This Row],[Desconto]])</f>
        <v>642.43200000000002</v>
      </c>
      <c r="N3916" t="str">
        <f>IFERROR(INDEX(tProdutos[Foco],MATCH(tItens[[#This Row],[Produto]],tProdutos[Produto],0)),"Não")</f>
        <v>Sim</v>
      </c>
      <c r="O3916" t="str">
        <f>IFERROR(INDEX(tEditais[SRP],MATCH(tItens[[#This Row],[Edital]],tEditais[Edital],0)),"Não")</f>
        <v>Sim</v>
      </c>
      <c r="P3916" s="4">
        <f>IF(COUNTIFS(INDEX(tItens[Edital],1):tItens[[#This Row],[Edital]],tItens[[#This Row],[Edital]],INDEX(tItens[Produto],1):tItens[[#This Row],[Produto]],tItens[[#This Row],[Produto]])=1,1,0)</f>
        <v>0</v>
      </c>
    </row>
    <row r="3917" spans="1:16" x14ac:dyDescent="0.25">
      <c r="A3917" t="s">
        <v>1615</v>
      </c>
      <c r="B3917">
        <v>90</v>
      </c>
      <c r="C3917" t="s">
        <v>6777</v>
      </c>
      <c r="D3917" t="s">
        <v>170</v>
      </c>
      <c r="E3917" s="13">
        <v>60</v>
      </c>
      <c r="F3917" s="12">
        <v>16.489999999999998</v>
      </c>
      <c r="G3917" t="str">
        <f>IFERROR(INDEX(tEditais[Órgão],MATCH(tItens[[#This Row],[Edital]],tEditais[Edital],0)),"")</f>
        <v>MUNICIPIO DE EXTREMA</v>
      </c>
      <c r="H3917" t="str">
        <f>IFERROR(INDEX(tEditais[UF],MATCH(tItens[[#This Row],[Edital]],tEditais[Edital],0)),"")</f>
        <v>MG</v>
      </c>
      <c r="I3917" s="11">
        <f>IFERROR(INDEX(tEditais[Encerramento],MATCH(tItens[[#This Row],[Edital]],tEditais[Edital],0)),"")</f>
        <v>46314.375</v>
      </c>
      <c r="J3917" t="str">
        <f>IFERROR(INDEX(tProdutos[Classe],MATCH(tItens[[#This Row],[Produto]],tProdutos[Produto],0)),"produto não cadastrado")</f>
        <v>DISPUTADO</v>
      </c>
      <c r="K3917" s="12">
        <f>tItens[[#This Row],[Qtd]]*tItens[[#This Row],[Vlr unit]]</f>
        <v>989.39999999999986</v>
      </c>
      <c r="L3917" s="6">
        <f>IFERROR(IF(INDEX(tProdutos[Desconto homologado],MATCH(tItens[[#This Row],[Produto]],tProdutos[Produto],0))="",DescontoPadrao,INDEX(tProdutos[Desconto homologado],MATCH(tItens[[#This Row],[Produto]],tProdutos[Produto],0))),DescontoPadrao)</f>
        <v>0.36</v>
      </c>
      <c r="M3917" s="12">
        <f>tItens[[#This Row],[Valor]]*(1-tItens[[#This Row],[Desconto]])</f>
        <v>633.21599999999989</v>
      </c>
      <c r="N3917" t="str">
        <f>IFERROR(INDEX(tProdutos[Foco],MATCH(tItens[[#This Row],[Produto]],tProdutos[Produto],0)),"Não")</f>
        <v>Sim</v>
      </c>
      <c r="O3917" t="str">
        <f>IFERROR(INDEX(tEditais[SRP],MATCH(tItens[[#This Row],[Edital]],tEditais[Edital],0)),"Não")</f>
        <v>Sim</v>
      </c>
      <c r="P3917" s="4">
        <f>IF(COUNTIFS(INDEX(tItens[Edital],1):tItens[[#This Row],[Edital]],tItens[[#This Row],[Edital]],INDEX(tItens[Produto],1):tItens[[#This Row],[Produto]],tItens[[#This Row],[Produto]])=1,1,0)</f>
        <v>0</v>
      </c>
    </row>
    <row r="3918" spans="1:16" x14ac:dyDescent="0.25">
      <c r="A3918" t="s">
        <v>1615</v>
      </c>
      <c r="B3918">
        <v>91</v>
      </c>
      <c r="C3918" t="s">
        <v>6778</v>
      </c>
      <c r="D3918" t="s">
        <v>170</v>
      </c>
      <c r="E3918" s="13">
        <v>60</v>
      </c>
      <c r="F3918" s="12">
        <v>16.190000000000001</v>
      </c>
      <c r="G3918" t="str">
        <f>IFERROR(INDEX(tEditais[Órgão],MATCH(tItens[[#This Row],[Edital]],tEditais[Edital],0)),"")</f>
        <v>MUNICIPIO DE EXTREMA</v>
      </c>
      <c r="H3918" t="str">
        <f>IFERROR(INDEX(tEditais[UF],MATCH(tItens[[#This Row],[Edital]],tEditais[Edital],0)),"")</f>
        <v>MG</v>
      </c>
      <c r="I3918" s="11">
        <f>IFERROR(INDEX(tEditais[Encerramento],MATCH(tItens[[#This Row],[Edital]],tEditais[Edital],0)),"")</f>
        <v>46314.375</v>
      </c>
      <c r="J3918" t="str">
        <f>IFERROR(INDEX(tProdutos[Classe],MATCH(tItens[[#This Row],[Produto]],tProdutos[Produto],0)),"produto não cadastrado")</f>
        <v>DISPUTADO</v>
      </c>
      <c r="K3918" s="12">
        <f>tItens[[#This Row],[Qtd]]*tItens[[#This Row],[Vlr unit]]</f>
        <v>971.40000000000009</v>
      </c>
      <c r="L3918" s="6">
        <f>IFERROR(IF(INDEX(tProdutos[Desconto homologado],MATCH(tItens[[#This Row],[Produto]],tProdutos[Produto],0))="",DescontoPadrao,INDEX(tProdutos[Desconto homologado],MATCH(tItens[[#This Row],[Produto]],tProdutos[Produto],0))),DescontoPadrao)</f>
        <v>0.36</v>
      </c>
      <c r="M3918" s="12">
        <f>tItens[[#This Row],[Valor]]*(1-tItens[[#This Row],[Desconto]])</f>
        <v>621.69600000000003</v>
      </c>
      <c r="N3918" t="str">
        <f>IFERROR(INDEX(tProdutos[Foco],MATCH(tItens[[#This Row],[Produto]],tProdutos[Produto],0)),"Não")</f>
        <v>Sim</v>
      </c>
      <c r="O3918" t="str">
        <f>IFERROR(INDEX(tEditais[SRP],MATCH(tItens[[#This Row],[Edital]],tEditais[Edital],0)),"Não")</f>
        <v>Sim</v>
      </c>
      <c r="P3918" s="4">
        <f>IF(COUNTIFS(INDEX(tItens[Edital],1):tItens[[#This Row],[Edital]],tItens[[#This Row],[Edital]],INDEX(tItens[Produto],1):tItens[[#This Row],[Produto]],tItens[[#This Row],[Produto]])=1,1,0)</f>
        <v>0</v>
      </c>
    </row>
    <row r="3919" spans="1:16" x14ac:dyDescent="0.25">
      <c r="A3919" t="s">
        <v>1615</v>
      </c>
      <c r="B3919">
        <v>92</v>
      </c>
      <c r="C3919" t="s">
        <v>6779</v>
      </c>
      <c r="D3919" t="s">
        <v>399</v>
      </c>
      <c r="E3919" s="13">
        <v>13</v>
      </c>
      <c r="F3919" s="12">
        <v>23.11</v>
      </c>
      <c r="G3919" t="str">
        <f>IFERROR(INDEX(tEditais[Órgão],MATCH(tItens[[#This Row],[Edital]],tEditais[Edital],0)),"")</f>
        <v>MUNICIPIO DE EXTREMA</v>
      </c>
      <c r="H3919" t="str">
        <f>IFERROR(INDEX(tEditais[UF],MATCH(tItens[[#This Row],[Edital]],tEditais[Edital],0)),"")</f>
        <v>MG</v>
      </c>
      <c r="I3919" s="11">
        <f>IFERROR(INDEX(tEditais[Encerramento],MATCH(tItens[[#This Row],[Edital]],tEditais[Edital],0)),"")</f>
        <v>46314.375</v>
      </c>
      <c r="J3919" t="str">
        <f>IFERROR(INDEX(tProdutos[Classe],MATCH(tItens[[#This Row],[Produto]],tProdutos[Produto],0)),"produto não cadastrado")</f>
        <v>FORA</v>
      </c>
      <c r="K3919" s="12">
        <f>tItens[[#This Row],[Qtd]]*tItens[[#This Row],[Vlr unit]]</f>
        <v>300.43</v>
      </c>
      <c r="L3919" s="6">
        <f>IFERROR(IF(INDEX(tProdutos[Desconto homologado],MATCH(tItens[[#This Row],[Produto]],tProdutos[Produto],0))="",DescontoPadrao,INDEX(tProdutos[Desconto homologado],MATCH(tItens[[#This Row],[Produto]],tProdutos[Produto],0))),DescontoPadrao)</f>
        <v>0.30009041591320101</v>
      </c>
      <c r="M3919" s="12">
        <f>tItens[[#This Row],[Valor]]*(1-tItens[[#This Row],[Desconto]])</f>
        <v>210.27383634719703</v>
      </c>
      <c r="N3919" t="str">
        <f>IFERROR(INDEX(tProdutos[Foco],MATCH(tItens[[#This Row],[Produto]],tProdutos[Produto],0)),"Não")</f>
        <v>Não</v>
      </c>
      <c r="O3919" t="str">
        <f>IFERROR(INDEX(tEditais[SRP],MATCH(tItens[[#This Row],[Edital]],tEditais[Edital],0)),"Não")</f>
        <v>Sim</v>
      </c>
      <c r="P3919" s="4">
        <f>IF(COUNTIFS(INDEX(tItens[Edital],1):tItens[[#This Row],[Edital]],tItens[[#This Row],[Edital]],INDEX(tItens[Produto],1):tItens[[#This Row],[Produto]],tItens[[#This Row],[Produto]])=1,1,0)</f>
        <v>1</v>
      </c>
    </row>
    <row r="3920" spans="1:16" x14ac:dyDescent="0.25">
      <c r="A3920" t="s">
        <v>1615</v>
      </c>
      <c r="B3920">
        <v>93</v>
      </c>
      <c r="C3920" t="s">
        <v>6780</v>
      </c>
      <c r="D3920" t="s">
        <v>399</v>
      </c>
      <c r="E3920" s="13">
        <v>13</v>
      </c>
      <c r="F3920" s="12">
        <v>20.43</v>
      </c>
      <c r="G3920" t="str">
        <f>IFERROR(INDEX(tEditais[Órgão],MATCH(tItens[[#This Row],[Edital]],tEditais[Edital],0)),"")</f>
        <v>MUNICIPIO DE EXTREMA</v>
      </c>
      <c r="H3920" t="str">
        <f>IFERROR(INDEX(tEditais[UF],MATCH(tItens[[#This Row],[Edital]],tEditais[Edital],0)),"")</f>
        <v>MG</v>
      </c>
      <c r="I3920" s="11">
        <f>IFERROR(INDEX(tEditais[Encerramento],MATCH(tItens[[#This Row],[Edital]],tEditais[Edital],0)),"")</f>
        <v>46314.375</v>
      </c>
      <c r="J3920" t="str">
        <f>IFERROR(INDEX(tProdutos[Classe],MATCH(tItens[[#This Row],[Produto]],tProdutos[Produto],0)),"produto não cadastrado")</f>
        <v>FORA</v>
      </c>
      <c r="K3920" s="12">
        <f>tItens[[#This Row],[Qtd]]*tItens[[#This Row],[Vlr unit]]</f>
        <v>265.58999999999997</v>
      </c>
      <c r="L3920" s="6">
        <f>IFERROR(IF(INDEX(tProdutos[Desconto homologado],MATCH(tItens[[#This Row],[Produto]],tProdutos[Produto],0))="",DescontoPadrao,INDEX(tProdutos[Desconto homologado],MATCH(tItens[[#This Row],[Produto]],tProdutos[Produto],0))),DescontoPadrao)</f>
        <v>0.30009041591320101</v>
      </c>
      <c r="M3920" s="12">
        <f>tItens[[#This Row],[Valor]]*(1-tItens[[#This Row],[Desconto]])</f>
        <v>185.88898643761294</v>
      </c>
      <c r="N3920" t="str">
        <f>IFERROR(INDEX(tProdutos[Foco],MATCH(tItens[[#This Row],[Produto]],tProdutos[Produto],0)),"Não")</f>
        <v>Não</v>
      </c>
      <c r="O3920" t="str">
        <f>IFERROR(INDEX(tEditais[SRP],MATCH(tItens[[#This Row],[Edital]],tEditais[Edital],0)),"Não")</f>
        <v>Sim</v>
      </c>
      <c r="P3920" s="4">
        <f>IF(COUNTIFS(INDEX(tItens[Edital],1):tItens[[#This Row],[Edital]],tItens[[#This Row],[Edital]],INDEX(tItens[Produto],1):tItens[[#This Row],[Produto]],tItens[[#This Row],[Produto]])=1,1,0)</f>
        <v>0</v>
      </c>
    </row>
    <row r="3921" spans="1:16" x14ac:dyDescent="0.25">
      <c r="A3921" t="s">
        <v>1615</v>
      </c>
      <c r="B3921">
        <v>102</v>
      </c>
      <c r="C3921" t="s">
        <v>6781</v>
      </c>
      <c r="D3921" t="s">
        <v>106</v>
      </c>
      <c r="E3921" s="13">
        <v>20</v>
      </c>
      <c r="F3921" s="12">
        <v>22.57</v>
      </c>
      <c r="G3921" t="str">
        <f>IFERROR(INDEX(tEditais[Órgão],MATCH(tItens[[#This Row],[Edital]],tEditais[Edital],0)),"")</f>
        <v>MUNICIPIO DE EXTREMA</v>
      </c>
      <c r="H3921" t="str">
        <f>IFERROR(INDEX(tEditais[UF],MATCH(tItens[[#This Row],[Edital]],tEditais[Edital],0)),"")</f>
        <v>MG</v>
      </c>
      <c r="I3921" s="11">
        <f>IFERROR(INDEX(tEditais[Encerramento],MATCH(tItens[[#This Row],[Edital]],tEditais[Edital],0)),"")</f>
        <v>46314.375</v>
      </c>
      <c r="J3921" t="str">
        <f>IFERROR(INDEX(tProdutos[Classe],MATCH(tItens[[#This Row],[Produto]],tProdutos[Produto],0)),"produto não cadastrado")</f>
        <v>DISPUTADO</v>
      </c>
      <c r="K3921" s="12">
        <f>tItens[[#This Row],[Qtd]]*tItens[[#This Row],[Vlr unit]]</f>
        <v>451.4</v>
      </c>
      <c r="L3921" s="6">
        <f>IFERROR(IF(INDEX(tProdutos[Desconto homologado],MATCH(tItens[[#This Row],[Produto]],tProdutos[Produto],0))="",DescontoPadrao,INDEX(tProdutos[Desconto homologado],MATCH(tItens[[#This Row],[Produto]],tProdutos[Produto],0))),DescontoPadrao)</f>
        <v>0.24377518966589001</v>
      </c>
      <c r="M3921" s="12">
        <f>tItens[[#This Row],[Valor]]*(1-tItens[[#This Row],[Desconto]])</f>
        <v>341.35987938481725</v>
      </c>
      <c r="N3921" t="str">
        <f>IFERROR(INDEX(tProdutos[Foco],MATCH(tItens[[#This Row],[Produto]],tProdutos[Produto],0)),"Não")</f>
        <v>Não</v>
      </c>
      <c r="O3921" t="str">
        <f>IFERROR(INDEX(tEditais[SRP],MATCH(tItens[[#This Row],[Edital]],tEditais[Edital],0)),"Não")</f>
        <v>Sim</v>
      </c>
      <c r="P3921" s="4">
        <f>IF(COUNTIFS(INDEX(tItens[Edital],1):tItens[[#This Row],[Edital]],tItens[[#This Row],[Edital]],INDEX(tItens[Produto],1):tItens[[#This Row],[Produto]],tItens[[#This Row],[Produto]])=1,1,0)</f>
        <v>1</v>
      </c>
    </row>
    <row r="3922" spans="1:16" x14ac:dyDescent="0.25">
      <c r="A3922" t="s">
        <v>1615</v>
      </c>
      <c r="B3922">
        <v>103</v>
      </c>
      <c r="C3922" t="s">
        <v>6782</v>
      </c>
      <c r="D3922" t="s">
        <v>106</v>
      </c>
      <c r="E3922" s="13">
        <v>20</v>
      </c>
      <c r="F3922" s="12">
        <v>19.760000000000002</v>
      </c>
      <c r="G3922" t="str">
        <f>IFERROR(INDEX(tEditais[Órgão],MATCH(tItens[[#This Row],[Edital]],tEditais[Edital],0)),"")</f>
        <v>MUNICIPIO DE EXTREMA</v>
      </c>
      <c r="H3922" t="str">
        <f>IFERROR(INDEX(tEditais[UF],MATCH(tItens[[#This Row],[Edital]],tEditais[Edital],0)),"")</f>
        <v>MG</v>
      </c>
      <c r="I3922" s="11">
        <f>IFERROR(INDEX(tEditais[Encerramento],MATCH(tItens[[#This Row],[Edital]],tEditais[Edital],0)),"")</f>
        <v>46314.375</v>
      </c>
      <c r="J3922" t="str">
        <f>IFERROR(INDEX(tProdutos[Classe],MATCH(tItens[[#This Row],[Produto]],tProdutos[Produto],0)),"produto não cadastrado")</f>
        <v>DISPUTADO</v>
      </c>
      <c r="K3922" s="12">
        <f>tItens[[#This Row],[Qtd]]*tItens[[#This Row],[Vlr unit]]</f>
        <v>395.20000000000005</v>
      </c>
      <c r="L3922" s="6">
        <f>IFERROR(IF(INDEX(tProdutos[Desconto homologado],MATCH(tItens[[#This Row],[Produto]],tProdutos[Produto],0))="",DescontoPadrao,INDEX(tProdutos[Desconto homologado],MATCH(tItens[[#This Row],[Produto]],tProdutos[Produto],0))),DescontoPadrao)</f>
        <v>0.24377518966589001</v>
      </c>
      <c r="M3922" s="12">
        <f>tItens[[#This Row],[Valor]]*(1-tItens[[#This Row],[Desconto]])</f>
        <v>298.86004504404031</v>
      </c>
      <c r="N3922" t="str">
        <f>IFERROR(INDEX(tProdutos[Foco],MATCH(tItens[[#This Row],[Produto]],tProdutos[Produto],0)),"Não")</f>
        <v>Não</v>
      </c>
      <c r="O3922" t="str">
        <f>IFERROR(INDEX(tEditais[SRP],MATCH(tItens[[#This Row],[Edital]],tEditais[Edital],0)),"Não")</f>
        <v>Sim</v>
      </c>
      <c r="P3922" s="4">
        <f>IF(COUNTIFS(INDEX(tItens[Edital],1):tItens[[#This Row],[Edital]],tItens[[#This Row],[Edital]],INDEX(tItens[Produto],1):tItens[[#This Row],[Produto]],tItens[[#This Row],[Produto]])=1,1,0)</f>
        <v>0</v>
      </c>
    </row>
    <row r="3923" spans="1:16" x14ac:dyDescent="0.25">
      <c r="A3923" t="s">
        <v>1615</v>
      </c>
      <c r="B3923">
        <v>104</v>
      </c>
      <c r="C3923" t="s">
        <v>6783</v>
      </c>
      <c r="D3923" t="s">
        <v>106</v>
      </c>
      <c r="E3923" s="13">
        <v>15</v>
      </c>
      <c r="F3923" s="12">
        <v>26.49</v>
      </c>
      <c r="G3923" t="str">
        <f>IFERROR(INDEX(tEditais[Órgão],MATCH(tItens[[#This Row],[Edital]],tEditais[Edital],0)),"")</f>
        <v>MUNICIPIO DE EXTREMA</v>
      </c>
      <c r="H3923" t="str">
        <f>IFERROR(INDEX(tEditais[UF],MATCH(tItens[[#This Row],[Edital]],tEditais[Edital],0)),"")</f>
        <v>MG</v>
      </c>
      <c r="I3923" s="11">
        <f>IFERROR(INDEX(tEditais[Encerramento],MATCH(tItens[[#This Row],[Edital]],tEditais[Edital],0)),"")</f>
        <v>46314.375</v>
      </c>
      <c r="J3923" t="str">
        <f>IFERROR(INDEX(tProdutos[Classe],MATCH(tItens[[#This Row],[Produto]],tProdutos[Produto],0)),"produto não cadastrado")</f>
        <v>DISPUTADO</v>
      </c>
      <c r="K3923" s="12">
        <f>tItens[[#This Row],[Qtd]]*tItens[[#This Row],[Vlr unit]]</f>
        <v>397.34999999999997</v>
      </c>
      <c r="L3923" s="6">
        <f>IFERROR(IF(INDEX(tProdutos[Desconto homologado],MATCH(tItens[[#This Row],[Produto]],tProdutos[Produto],0))="",DescontoPadrao,INDEX(tProdutos[Desconto homologado],MATCH(tItens[[#This Row],[Produto]],tProdutos[Produto],0))),DescontoPadrao)</f>
        <v>0.24377518966589001</v>
      </c>
      <c r="M3923" s="12">
        <f>tItens[[#This Row],[Valor]]*(1-tItens[[#This Row],[Desconto]])</f>
        <v>300.48592838625859</v>
      </c>
      <c r="N3923" t="str">
        <f>IFERROR(INDEX(tProdutos[Foco],MATCH(tItens[[#This Row],[Produto]],tProdutos[Produto],0)),"Não")</f>
        <v>Não</v>
      </c>
      <c r="O3923" t="str">
        <f>IFERROR(INDEX(tEditais[SRP],MATCH(tItens[[#This Row],[Edital]],tEditais[Edital],0)),"Não")</f>
        <v>Sim</v>
      </c>
      <c r="P3923" s="4">
        <f>IF(COUNTIFS(INDEX(tItens[Edital],1):tItens[[#This Row],[Edital]],tItens[[#This Row],[Edital]],INDEX(tItens[Produto],1):tItens[[#This Row],[Produto]],tItens[[#This Row],[Produto]])=1,1,0)</f>
        <v>0</v>
      </c>
    </row>
    <row r="3924" spans="1:16" x14ac:dyDescent="0.25">
      <c r="A3924" t="s">
        <v>1615</v>
      </c>
      <c r="B3924">
        <v>127</v>
      </c>
      <c r="C3924" t="s">
        <v>6784</v>
      </c>
      <c r="D3924" t="s">
        <v>259</v>
      </c>
      <c r="E3924" s="13">
        <v>20</v>
      </c>
      <c r="F3924" s="12">
        <v>2.8</v>
      </c>
      <c r="G3924" t="str">
        <f>IFERROR(INDEX(tEditais[Órgão],MATCH(tItens[[#This Row],[Edital]],tEditais[Edital],0)),"")</f>
        <v>MUNICIPIO DE EXTREMA</v>
      </c>
      <c r="H3924" t="str">
        <f>IFERROR(INDEX(tEditais[UF],MATCH(tItens[[#This Row],[Edital]],tEditais[Edital],0)),"")</f>
        <v>MG</v>
      </c>
      <c r="I3924" s="11">
        <f>IFERROR(INDEX(tEditais[Encerramento],MATCH(tItens[[#This Row],[Edital]],tEditais[Edital],0)),"")</f>
        <v>46314.375</v>
      </c>
      <c r="J3924" t="str">
        <f>IFERROR(INDEX(tProdutos[Classe],MATCH(tItens[[#This Row],[Produto]],tProdutos[Produto],0)),"produto não cadastrado")</f>
        <v>FORA</v>
      </c>
      <c r="K3924" s="12">
        <f>tItens[[#This Row],[Qtd]]*tItens[[#This Row],[Vlr unit]]</f>
        <v>56</v>
      </c>
      <c r="L3924" s="6">
        <f>IFERROR(IF(INDEX(tProdutos[Desconto homologado],MATCH(tItens[[#This Row],[Produto]],tProdutos[Produto],0))="",DescontoPadrao,INDEX(tProdutos[Desconto homologado],MATCH(tItens[[#This Row],[Produto]],tProdutos[Produto],0))),DescontoPadrao)</f>
        <v>0.374798283789543</v>
      </c>
      <c r="M3924" s="12">
        <f>tItens[[#This Row],[Valor]]*(1-tItens[[#This Row],[Desconto]])</f>
        <v>35.011296107785597</v>
      </c>
      <c r="N3924" t="str">
        <f>IFERROR(INDEX(tProdutos[Foco],MATCH(tItens[[#This Row],[Produto]],tProdutos[Produto],0)),"Não")</f>
        <v>Não</v>
      </c>
      <c r="O3924" t="str">
        <f>IFERROR(INDEX(tEditais[SRP],MATCH(tItens[[#This Row],[Edital]],tEditais[Edital],0)),"Não")</f>
        <v>Sim</v>
      </c>
      <c r="P3924" s="4">
        <f>IF(COUNTIFS(INDEX(tItens[Edital],1):tItens[[#This Row],[Edital]],tItens[[#This Row],[Edital]],INDEX(tItens[Produto],1):tItens[[#This Row],[Produto]],tItens[[#This Row],[Produto]])=1,1,0)</f>
        <v>1</v>
      </c>
    </row>
    <row r="3925" spans="1:16" x14ac:dyDescent="0.25">
      <c r="A3925" t="s">
        <v>1615</v>
      </c>
      <c r="B3925">
        <v>129</v>
      </c>
      <c r="C3925" t="s">
        <v>6785</v>
      </c>
      <c r="D3925" t="s">
        <v>515</v>
      </c>
      <c r="E3925" s="13">
        <v>10</v>
      </c>
      <c r="F3925" s="12">
        <v>10.51</v>
      </c>
      <c r="G3925" t="str">
        <f>IFERROR(INDEX(tEditais[Órgão],MATCH(tItens[[#This Row],[Edital]],tEditais[Edital],0)),"")</f>
        <v>MUNICIPIO DE EXTREMA</v>
      </c>
      <c r="H3925" t="str">
        <f>IFERROR(INDEX(tEditais[UF],MATCH(tItens[[#This Row],[Edital]],tEditais[Edital],0)),"")</f>
        <v>MG</v>
      </c>
      <c r="I3925" s="11">
        <f>IFERROR(INDEX(tEditais[Encerramento],MATCH(tItens[[#This Row],[Edital]],tEditais[Edital],0)),"")</f>
        <v>46314.375</v>
      </c>
      <c r="J3925" t="str">
        <f>IFERROR(INDEX(tProdutos[Classe],MATCH(tItens[[#This Row],[Produto]],tProdutos[Produto],0)),"produto não cadastrado")</f>
        <v>FILA REBASE</v>
      </c>
      <c r="K3925" s="12">
        <f>tItens[[#This Row],[Qtd]]*tItens[[#This Row],[Vlr unit]]</f>
        <v>105.1</v>
      </c>
      <c r="L3925" s="6">
        <f>IFERROR(IF(INDEX(tProdutos[Desconto homologado],MATCH(tItens[[#This Row],[Produto]],tProdutos[Produto],0))="",DescontoPadrao,INDEX(tProdutos[Desconto homologado],MATCH(tItens[[#This Row],[Produto]],tProdutos[Produto],0))),DescontoPadrao)</f>
        <v>0.33728831611460203</v>
      </c>
      <c r="M3925" s="12">
        <f>tItens[[#This Row],[Valor]]*(1-tItens[[#This Row],[Desconto]])</f>
        <v>69.650997976355313</v>
      </c>
      <c r="N3925" t="str">
        <f>IFERROR(INDEX(tProdutos[Foco],MATCH(tItens[[#This Row],[Produto]],tProdutos[Produto],0)),"Não")</f>
        <v>Não</v>
      </c>
      <c r="O3925" t="str">
        <f>IFERROR(INDEX(tEditais[SRP],MATCH(tItens[[#This Row],[Edital]],tEditais[Edital],0)),"Não")</f>
        <v>Sim</v>
      </c>
      <c r="P3925" s="4">
        <f>IF(COUNTIFS(INDEX(tItens[Edital],1):tItens[[#This Row],[Edital]],tItens[[#This Row],[Edital]],INDEX(tItens[Produto],1):tItens[[#This Row],[Produto]],tItens[[#This Row],[Produto]])=1,1,0)</f>
        <v>1</v>
      </c>
    </row>
    <row r="3926" spans="1:16" x14ac:dyDescent="0.25">
      <c r="A3926" t="s">
        <v>1615</v>
      </c>
      <c r="B3926">
        <v>130</v>
      </c>
      <c r="C3926" t="s">
        <v>6786</v>
      </c>
      <c r="D3926" t="s">
        <v>156</v>
      </c>
      <c r="E3926" s="13">
        <v>220</v>
      </c>
      <c r="F3926" s="12">
        <v>12.83</v>
      </c>
      <c r="G3926" t="str">
        <f>IFERROR(INDEX(tEditais[Órgão],MATCH(tItens[[#This Row],[Edital]],tEditais[Edital],0)),"")</f>
        <v>MUNICIPIO DE EXTREMA</v>
      </c>
      <c r="H3926" t="str">
        <f>IFERROR(INDEX(tEditais[UF],MATCH(tItens[[#This Row],[Edital]],tEditais[Edital],0)),"")</f>
        <v>MG</v>
      </c>
      <c r="I3926" s="11">
        <f>IFERROR(INDEX(tEditais[Encerramento],MATCH(tItens[[#This Row],[Edital]],tEditais[Edital],0)),"")</f>
        <v>46314.375</v>
      </c>
      <c r="J3926" t="str">
        <f>IFERROR(INDEX(tProdutos[Classe],MATCH(tItens[[#This Row],[Produto]],tProdutos[Produto],0)),"produto não cadastrado")</f>
        <v>DISPUTADO</v>
      </c>
      <c r="K3926" s="12">
        <f>tItens[[#This Row],[Qtd]]*tItens[[#This Row],[Vlr unit]]</f>
        <v>2822.6</v>
      </c>
      <c r="L3926" s="6">
        <f>IFERROR(IF(INDEX(tProdutos[Desconto homologado],MATCH(tItens[[#This Row],[Produto]],tProdutos[Produto],0))="",DescontoPadrao,INDEX(tProdutos[Desconto homologado],MATCH(tItens[[#This Row],[Produto]],tProdutos[Produto],0))),DescontoPadrao)</f>
        <v>0.27131852489802799</v>
      </c>
      <c r="M3926" s="12">
        <f>tItens[[#This Row],[Valor]]*(1-tItens[[#This Row],[Desconto]])</f>
        <v>2056.7763316228261</v>
      </c>
      <c r="N3926" t="str">
        <f>IFERROR(INDEX(tProdutos[Foco],MATCH(tItens[[#This Row],[Produto]],tProdutos[Produto],0)),"Não")</f>
        <v>Não</v>
      </c>
      <c r="O3926" t="str">
        <f>IFERROR(INDEX(tEditais[SRP],MATCH(tItens[[#This Row],[Edital]],tEditais[Edital],0)),"Não")</f>
        <v>Sim</v>
      </c>
      <c r="P3926" s="4">
        <f>IF(COUNTIFS(INDEX(tItens[Edital],1):tItens[[#This Row],[Edital]],tItens[[#This Row],[Edital]],INDEX(tItens[Produto],1):tItens[[#This Row],[Produto]],tItens[[#This Row],[Produto]])=1,1,0)</f>
        <v>1</v>
      </c>
    </row>
    <row r="3927" spans="1:16" x14ac:dyDescent="0.25">
      <c r="A3927" t="s">
        <v>1620</v>
      </c>
      <c r="B3927">
        <v>37</v>
      </c>
      <c r="C3927" t="s">
        <v>6787</v>
      </c>
      <c r="D3927" t="s">
        <v>86</v>
      </c>
      <c r="E3927" s="13">
        <v>300</v>
      </c>
      <c r="F3927" s="12">
        <v>21.49</v>
      </c>
      <c r="G3927" t="str">
        <f>IFERROR(INDEX(tEditais[Órgão],MATCH(tItens[[#This Row],[Edital]],tEditais[Edital],0)),"")</f>
        <v>MUNICIPIO DE ANDRADAS</v>
      </c>
      <c r="H3927" t="str">
        <f>IFERROR(INDEX(tEditais[UF],MATCH(tItens[[#This Row],[Edital]],tEditais[Edital],0)),"")</f>
        <v>MG</v>
      </c>
      <c r="I3927" s="11">
        <f>IFERROR(INDEX(tEditais[Encerramento],MATCH(tItens[[#This Row],[Edital]],tEditais[Edital],0)),"")</f>
        <v>46314.4375</v>
      </c>
      <c r="J3927" t="str">
        <f>IFERROR(INDEX(tProdutos[Classe],MATCH(tItens[[#This Row],[Produto]],tProdutos[Produto],0)),"produto não cadastrado")</f>
        <v>NÚCLEO</v>
      </c>
      <c r="K3927" s="12">
        <f>tItens[[#This Row],[Qtd]]*tItens[[#This Row],[Vlr unit]]</f>
        <v>6446.9999999999991</v>
      </c>
      <c r="L3927" s="6">
        <f>IFERROR(IF(INDEX(tProdutos[Desconto homologado],MATCH(tItens[[#This Row],[Produto]],tProdutos[Produto],0))="",DescontoPadrao,INDEX(tProdutos[Desconto homologado],MATCH(tItens[[#This Row],[Produto]],tProdutos[Produto],0))),DescontoPadrao)</f>
        <v>0.20202020202020199</v>
      </c>
      <c r="M3927" s="12">
        <f>tItens[[#This Row],[Valor]]*(1-tItens[[#This Row],[Desconto]])</f>
        <v>5144.5757575757571</v>
      </c>
      <c r="N3927" t="str">
        <f>IFERROR(INDEX(tProdutos[Foco],MATCH(tItens[[#This Row],[Produto]],tProdutos[Produto],0)),"Não")</f>
        <v>Não</v>
      </c>
      <c r="O3927" t="str">
        <f>IFERROR(INDEX(tEditais[SRP],MATCH(tItens[[#This Row],[Edital]],tEditais[Edital],0)),"Não")</f>
        <v>Sim</v>
      </c>
      <c r="P3927" s="4">
        <f>IF(COUNTIFS(INDEX(tItens[Edital],1):tItens[[#This Row],[Edital]],tItens[[#This Row],[Edital]],INDEX(tItens[Produto],1):tItens[[#This Row],[Produto]],tItens[[#This Row],[Produto]])=1,1,0)</f>
        <v>1</v>
      </c>
    </row>
    <row r="3928" spans="1:16" x14ac:dyDescent="0.25">
      <c r="A3928" t="s">
        <v>1620</v>
      </c>
      <c r="B3928">
        <v>61</v>
      </c>
      <c r="C3928" t="s">
        <v>5235</v>
      </c>
      <c r="D3928" t="s">
        <v>423</v>
      </c>
      <c r="E3928" s="13">
        <v>30</v>
      </c>
      <c r="F3928" s="12">
        <v>11.37</v>
      </c>
      <c r="G3928" t="str">
        <f>IFERROR(INDEX(tEditais[Órgão],MATCH(tItens[[#This Row],[Edital]],tEditais[Edital],0)),"")</f>
        <v>MUNICIPIO DE ANDRADAS</v>
      </c>
      <c r="H3928" t="str">
        <f>IFERROR(INDEX(tEditais[UF],MATCH(tItens[[#This Row],[Edital]],tEditais[Edital],0)),"")</f>
        <v>MG</v>
      </c>
      <c r="I3928" s="11">
        <f>IFERROR(INDEX(tEditais[Encerramento],MATCH(tItens[[#This Row],[Edital]],tEditais[Edital],0)),"")</f>
        <v>46314.4375</v>
      </c>
      <c r="J3928" t="str">
        <f>IFERROR(INDEX(tProdutos[Classe],MATCH(tItens[[#This Row],[Produto]],tProdutos[Produto],0)),"produto não cadastrado")</f>
        <v>FORA</v>
      </c>
      <c r="K3928" s="12">
        <f>tItens[[#This Row],[Qtd]]*tItens[[#This Row],[Vlr unit]]</f>
        <v>341.09999999999997</v>
      </c>
      <c r="L3928" s="6">
        <f>IFERROR(IF(INDEX(tProdutos[Desconto homologado],MATCH(tItens[[#This Row],[Produto]],tProdutos[Produto],0))="",DescontoPadrao,INDEX(tProdutos[Desconto homologado],MATCH(tItens[[#This Row],[Produto]],tProdutos[Produto],0))),DescontoPadrao)</f>
        <v>0.38271604938271597</v>
      </c>
      <c r="M3928" s="12">
        <f>tItens[[#This Row],[Valor]]*(1-tItens[[#This Row],[Desconto]])</f>
        <v>210.55555555555557</v>
      </c>
      <c r="N3928" t="str">
        <f>IFERROR(INDEX(tProdutos[Foco],MATCH(tItens[[#This Row],[Produto]],tProdutos[Produto],0)),"Não")</f>
        <v>Não</v>
      </c>
      <c r="O3928" t="str">
        <f>IFERROR(INDEX(tEditais[SRP],MATCH(tItens[[#This Row],[Edital]],tEditais[Edital],0)),"Não")</f>
        <v>Sim</v>
      </c>
      <c r="P3928" s="4">
        <f>IF(COUNTIFS(INDEX(tItens[Edital],1):tItens[[#This Row],[Edital]],tItens[[#This Row],[Edital]],INDEX(tItens[Produto],1):tItens[[#This Row],[Produto]],tItens[[#This Row],[Produto]])=1,1,0)</f>
        <v>1</v>
      </c>
    </row>
    <row r="3929" spans="1:16" x14ac:dyDescent="0.25">
      <c r="A3929" t="s">
        <v>1620</v>
      </c>
      <c r="B3929">
        <v>75</v>
      </c>
      <c r="C3929" t="s">
        <v>6788</v>
      </c>
      <c r="D3929" t="s">
        <v>311</v>
      </c>
      <c r="E3929" s="13">
        <v>60</v>
      </c>
      <c r="F3929" s="12">
        <v>12.35</v>
      </c>
      <c r="G3929" t="str">
        <f>IFERROR(INDEX(tEditais[Órgão],MATCH(tItens[[#This Row],[Edital]],tEditais[Edital],0)),"")</f>
        <v>MUNICIPIO DE ANDRADAS</v>
      </c>
      <c r="H3929" t="str">
        <f>IFERROR(INDEX(tEditais[UF],MATCH(tItens[[#This Row],[Edital]],tEditais[Edital],0)),"")</f>
        <v>MG</v>
      </c>
      <c r="I3929" s="11">
        <f>IFERROR(INDEX(tEditais[Encerramento],MATCH(tItens[[#This Row],[Edital]],tEditais[Edital],0)),"")</f>
        <v>46314.4375</v>
      </c>
      <c r="J3929" t="str">
        <f>IFERROR(INDEX(tProdutos[Classe],MATCH(tItens[[#This Row],[Produto]],tProdutos[Produto],0)),"produto não cadastrado")</f>
        <v>FORA</v>
      </c>
      <c r="K3929" s="12">
        <f>tItens[[#This Row],[Qtd]]*tItens[[#This Row],[Vlr unit]]</f>
        <v>741</v>
      </c>
      <c r="L3929" s="6">
        <f>IFERROR(IF(INDEX(tProdutos[Desconto homologado],MATCH(tItens[[#This Row],[Produto]],tProdutos[Produto],0))="",DescontoPadrao,INDEX(tProdutos[Desconto homologado],MATCH(tItens[[#This Row],[Produto]],tProdutos[Produto],0))),DescontoPadrao)</f>
        <v>0.29046182846371399</v>
      </c>
      <c r="M3929" s="12">
        <f>tItens[[#This Row],[Valor]]*(1-tItens[[#This Row],[Desconto]])</f>
        <v>525.76778510838801</v>
      </c>
      <c r="N3929" t="str">
        <f>IFERROR(INDEX(tProdutos[Foco],MATCH(tItens[[#This Row],[Produto]],tProdutos[Produto],0)),"Não")</f>
        <v>Não</v>
      </c>
      <c r="O3929" t="str">
        <f>IFERROR(INDEX(tEditais[SRP],MATCH(tItens[[#This Row],[Edital]],tEditais[Edital],0)),"Não")</f>
        <v>Sim</v>
      </c>
      <c r="P3929" s="4">
        <f>IF(COUNTIFS(INDEX(tItens[Edital],1):tItens[[#This Row],[Edital]],tItens[[#This Row],[Edital]],INDEX(tItens[Produto],1):tItens[[#This Row],[Produto]],tItens[[#This Row],[Produto]])=1,1,0)</f>
        <v>1</v>
      </c>
    </row>
    <row r="3930" spans="1:16" x14ac:dyDescent="0.25">
      <c r="A3930" t="s">
        <v>1620</v>
      </c>
      <c r="B3930">
        <v>103</v>
      </c>
      <c r="C3930" t="s">
        <v>6789</v>
      </c>
      <c r="D3930" t="s">
        <v>638</v>
      </c>
      <c r="E3930" s="13">
        <v>24</v>
      </c>
      <c r="F3930" s="12">
        <v>70.63</v>
      </c>
      <c r="G3930" t="str">
        <f>IFERROR(INDEX(tEditais[Órgão],MATCH(tItens[[#This Row],[Edital]],tEditais[Edital],0)),"")</f>
        <v>MUNICIPIO DE ANDRADAS</v>
      </c>
      <c r="H3930" t="str">
        <f>IFERROR(INDEX(tEditais[UF],MATCH(tItens[[#This Row],[Edital]],tEditais[Edital],0)),"")</f>
        <v>MG</v>
      </c>
      <c r="I3930" s="11">
        <f>IFERROR(INDEX(tEditais[Encerramento],MATCH(tItens[[#This Row],[Edital]],tEditais[Edital],0)),"")</f>
        <v>46314.4375</v>
      </c>
      <c r="J3930" t="str">
        <f>IFERROR(INDEX(tProdutos[Classe],MATCH(tItens[[#This Row],[Produto]],tProdutos[Produto],0)),"produto não cadastrado")</f>
        <v>FILA REBASE</v>
      </c>
      <c r="K3930" s="12">
        <f>tItens[[#This Row],[Qtd]]*tItens[[#This Row],[Vlr unit]]</f>
        <v>1695.12</v>
      </c>
      <c r="L3930" s="6">
        <f>IFERROR(IF(INDEX(tProdutos[Desconto homologado],MATCH(tItens[[#This Row],[Produto]],tProdutos[Produto],0))="",DescontoPadrao,INDEX(tProdutos[Desconto homologado],MATCH(tItens[[#This Row],[Produto]],tProdutos[Produto],0))),DescontoPadrao)</f>
        <v>0.487179487179487</v>
      </c>
      <c r="M3930" s="12">
        <f>tItens[[#This Row],[Valor]]*(1-tItens[[#This Row],[Desconto]])</f>
        <v>869.29230769230799</v>
      </c>
      <c r="N3930" t="str">
        <f>IFERROR(INDEX(tProdutos[Foco],MATCH(tItens[[#This Row],[Produto]],tProdutos[Produto],0)),"Não")</f>
        <v>Não</v>
      </c>
      <c r="O3930" t="str">
        <f>IFERROR(INDEX(tEditais[SRP],MATCH(tItens[[#This Row],[Edital]],tEditais[Edital],0)),"Não")</f>
        <v>Sim</v>
      </c>
      <c r="P3930" s="4">
        <f>IF(COUNTIFS(INDEX(tItens[Edital],1):tItens[[#This Row],[Edital]],tItens[[#This Row],[Edital]],INDEX(tItens[Produto],1):tItens[[#This Row],[Produto]],tItens[[#This Row],[Produto]])=1,1,0)</f>
        <v>1</v>
      </c>
    </row>
    <row r="3931" spans="1:16" x14ac:dyDescent="0.25">
      <c r="A3931" t="s">
        <v>1620</v>
      </c>
      <c r="B3931">
        <v>123</v>
      </c>
      <c r="C3931" t="s">
        <v>6790</v>
      </c>
      <c r="D3931" t="s">
        <v>461</v>
      </c>
      <c r="E3931" s="13">
        <v>100</v>
      </c>
      <c r="F3931" s="12">
        <v>86.92</v>
      </c>
      <c r="G3931" t="str">
        <f>IFERROR(INDEX(tEditais[Órgão],MATCH(tItens[[#This Row],[Edital]],tEditais[Edital],0)),"")</f>
        <v>MUNICIPIO DE ANDRADAS</v>
      </c>
      <c r="H3931" t="str">
        <f>IFERROR(INDEX(tEditais[UF],MATCH(tItens[[#This Row],[Edital]],tEditais[Edital],0)),"")</f>
        <v>MG</v>
      </c>
      <c r="I3931" s="11">
        <f>IFERROR(INDEX(tEditais[Encerramento],MATCH(tItens[[#This Row],[Edital]],tEditais[Edital],0)),"")</f>
        <v>46314.4375</v>
      </c>
      <c r="J3931" t="str">
        <f>IFERROR(INDEX(tProdutos[Classe],MATCH(tItens[[#This Row],[Produto]],tProdutos[Produto],0)),"produto não cadastrado")</f>
        <v>FILA REBASE</v>
      </c>
      <c r="K3931" s="12">
        <f>tItens[[#This Row],[Qtd]]*tItens[[#This Row],[Vlr unit]]</f>
        <v>8692</v>
      </c>
      <c r="L3931" s="6">
        <f>IFERROR(IF(INDEX(tProdutos[Desconto homologado],MATCH(tItens[[#This Row],[Produto]],tProdutos[Produto],0))="",DescontoPadrao,INDEX(tProdutos[Desconto homologado],MATCH(tItens[[#This Row],[Produto]],tProdutos[Produto],0))),DescontoPadrao)</f>
        <v>0.44096385542168698</v>
      </c>
      <c r="M3931" s="12">
        <f>tItens[[#This Row],[Valor]]*(1-tItens[[#This Row],[Desconto]])</f>
        <v>4859.1421686746962</v>
      </c>
      <c r="N3931" t="str">
        <f>IFERROR(INDEX(tProdutos[Foco],MATCH(tItens[[#This Row],[Produto]],tProdutos[Produto],0)),"Não")</f>
        <v>Não</v>
      </c>
      <c r="O3931" t="str">
        <f>IFERROR(INDEX(tEditais[SRP],MATCH(tItens[[#This Row],[Edital]],tEditais[Edital],0)),"Não")</f>
        <v>Sim</v>
      </c>
      <c r="P3931" s="4">
        <f>IF(COUNTIFS(INDEX(tItens[Edital],1):tItens[[#This Row],[Edital]],tItens[[#This Row],[Edital]],INDEX(tItens[Produto],1):tItens[[#This Row],[Produto]],tItens[[#This Row],[Produto]])=1,1,0)</f>
        <v>1</v>
      </c>
    </row>
    <row r="3932" spans="1:16" x14ac:dyDescent="0.25">
      <c r="A3932" t="s">
        <v>1620</v>
      </c>
      <c r="B3932">
        <v>156</v>
      </c>
      <c r="C3932" t="s">
        <v>6791</v>
      </c>
      <c r="D3932" t="s">
        <v>411</v>
      </c>
      <c r="E3932" s="13">
        <v>50</v>
      </c>
      <c r="F3932" s="12">
        <v>44.52</v>
      </c>
      <c r="G3932" t="str">
        <f>IFERROR(INDEX(tEditais[Órgão],MATCH(tItens[[#This Row],[Edital]],tEditais[Edital],0)),"")</f>
        <v>MUNICIPIO DE ANDRADAS</v>
      </c>
      <c r="H3932" t="str">
        <f>IFERROR(INDEX(tEditais[UF],MATCH(tItens[[#This Row],[Edital]],tEditais[Edital],0)),"")</f>
        <v>MG</v>
      </c>
      <c r="I3932" s="11">
        <f>IFERROR(INDEX(tEditais[Encerramento],MATCH(tItens[[#This Row],[Edital]],tEditais[Edital],0)),"")</f>
        <v>46314.4375</v>
      </c>
      <c r="J3932" t="str">
        <f>IFERROR(INDEX(tProdutos[Classe],MATCH(tItens[[#This Row],[Produto]],tProdutos[Produto],0)),"produto não cadastrado")</f>
        <v>FORA</v>
      </c>
      <c r="K3932" s="12">
        <f>tItens[[#This Row],[Qtd]]*tItens[[#This Row],[Vlr unit]]</f>
        <v>2226</v>
      </c>
      <c r="L3932" s="6">
        <f>IFERROR(IF(INDEX(tProdutos[Desconto homologado],MATCH(tItens[[#This Row],[Produto]],tProdutos[Produto],0))="",DescontoPadrao,INDEX(tProdutos[Desconto homologado],MATCH(tItens[[#This Row],[Produto]],tProdutos[Produto],0))),DescontoPadrao)</f>
        <v>0.50029835957199398</v>
      </c>
      <c r="M3932" s="12">
        <f>tItens[[#This Row],[Valor]]*(1-tItens[[#This Row],[Desconto]])</f>
        <v>1112.3358515927414</v>
      </c>
      <c r="N3932" t="str">
        <f>IFERROR(INDEX(tProdutos[Foco],MATCH(tItens[[#This Row],[Produto]],tProdutos[Produto],0)),"Não")</f>
        <v>Não</v>
      </c>
      <c r="O3932" t="str">
        <f>IFERROR(INDEX(tEditais[SRP],MATCH(tItens[[#This Row],[Edital]],tEditais[Edital],0)),"Não")</f>
        <v>Sim</v>
      </c>
      <c r="P3932" s="4">
        <f>IF(COUNTIFS(INDEX(tItens[Edital],1):tItens[[#This Row],[Edital]],tItens[[#This Row],[Edital]],INDEX(tItens[Produto],1):tItens[[#This Row],[Produto]],tItens[[#This Row],[Produto]])=1,1,0)</f>
        <v>1</v>
      </c>
    </row>
    <row r="3933" spans="1:16" x14ac:dyDescent="0.25">
      <c r="A3933" t="s">
        <v>1620</v>
      </c>
      <c r="B3933">
        <v>164</v>
      </c>
      <c r="C3933" t="s">
        <v>6792</v>
      </c>
      <c r="D3933" t="s">
        <v>56</v>
      </c>
      <c r="E3933" s="13">
        <v>3</v>
      </c>
      <c r="F3933" s="12">
        <v>42.91</v>
      </c>
      <c r="G3933" t="str">
        <f>IFERROR(INDEX(tEditais[Órgão],MATCH(tItens[[#This Row],[Edital]],tEditais[Edital],0)),"")</f>
        <v>MUNICIPIO DE ANDRADAS</v>
      </c>
      <c r="H3933" t="str">
        <f>IFERROR(INDEX(tEditais[UF],MATCH(tItens[[#This Row],[Edital]],tEditais[Edital],0)),"")</f>
        <v>MG</v>
      </c>
      <c r="I3933" s="11">
        <f>IFERROR(INDEX(tEditais[Encerramento],MATCH(tItens[[#This Row],[Edital]],tEditais[Edital],0)),"")</f>
        <v>46314.4375</v>
      </c>
      <c r="J3933" t="str">
        <f>IFERROR(INDEX(tProdutos[Classe],MATCH(tItens[[#This Row],[Produto]],tProdutos[Produto],0)),"produto não cadastrado")</f>
        <v>NÚCLEO</v>
      </c>
      <c r="K3933" s="12">
        <f>tItens[[#This Row],[Qtd]]*tItens[[#This Row],[Vlr unit]]</f>
        <v>128.72999999999999</v>
      </c>
      <c r="L3933" s="6">
        <f>IFERROR(IF(INDEX(tProdutos[Desconto homologado],MATCH(tItens[[#This Row],[Produto]],tProdutos[Produto],0))="",DescontoPadrao,INDEX(tProdutos[Desconto homologado],MATCH(tItens[[#This Row],[Produto]],tProdutos[Produto],0))),DescontoPadrao)</f>
        <v>0.34</v>
      </c>
      <c r="M3933" s="12">
        <f>tItens[[#This Row],[Valor]]*(1-tItens[[#This Row],[Desconto]])</f>
        <v>84.961799999999982</v>
      </c>
      <c r="N3933" t="str">
        <f>IFERROR(INDEX(tProdutos[Foco],MATCH(tItens[[#This Row],[Produto]],tProdutos[Produto],0)),"Não")</f>
        <v>Sim</v>
      </c>
      <c r="O3933" t="str">
        <f>IFERROR(INDEX(tEditais[SRP],MATCH(tItens[[#This Row],[Edital]],tEditais[Edital],0)),"Não")</f>
        <v>Sim</v>
      </c>
      <c r="P3933" s="4">
        <f>IF(COUNTIFS(INDEX(tItens[Edital],1):tItens[[#This Row],[Edital]],tItens[[#This Row],[Edital]],INDEX(tItens[Produto],1):tItens[[#This Row],[Produto]],tItens[[#This Row],[Produto]])=1,1,0)</f>
        <v>1</v>
      </c>
    </row>
    <row r="3934" spans="1:16" x14ac:dyDescent="0.25">
      <c r="A3934" t="s">
        <v>1620</v>
      </c>
      <c r="B3934">
        <v>165</v>
      </c>
      <c r="C3934" t="s">
        <v>6793</v>
      </c>
      <c r="D3934" t="s">
        <v>56</v>
      </c>
      <c r="E3934" s="13">
        <v>3</v>
      </c>
      <c r="F3934" s="12">
        <v>42.91</v>
      </c>
      <c r="G3934" t="str">
        <f>IFERROR(INDEX(tEditais[Órgão],MATCH(tItens[[#This Row],[Edital]],tEditais[Edital],0)),"")</f>
        <v>MUNICIPIO DE ANDRADAS</v>
      </c>
      <c r="H3934" t="str">
        <f>IFERROR(INDEX(tEditais[UF],MATCH(tItens[[#This Row],[Edital]],tEditais[Edital],0)),"")</f>
        <v>MG</v>
      </c>
      <c r="I3934" s="11">
        <f>IFERROR(INDEX(tEditais[Encerramento],MATCH(tItens[[#This Row],[Edital]],tEditais[Edital],0)),"")</f>
        <v>46314.4375</v>
      </c>
      <c r="J3934" t="str">
        <f>IFERROR(INDEX(tProdutos[Classe],MATCH(tItens[[#This Row],[Produto]],tProdutos[Produto],0)),"produto não cadastrado")</f>
        <v>NÚCLEO</v>
      </c>
      <c r="K3934" s="12">
        <f>tItens[[#This Row],[Qtd]]*tItens[[#This Row],[Vlr unit]]</f>
        <v>128.72999999999999</v>
      </c>
      <c r="L3934" s="6">
        <f>IFERROR(IF(INDEX(tProdutos[Desconto homologado],MATCH(tItens[[#This Row],[Produto]],tProdutos[Produto],0))="",DescontoPadrao,INDEX(tProdutos[Desconto homologado],MATCH(tItens[[#This Row],[Produto]],tProdutos[Produto],0))),DescontoPadrao)</f>
        <v>0.34</v>
      </c>
      <c r="M3934" s="12">
        <f>tItens[[#This Row],[Valor]]*(1-tItens[[#This Row],[Desconto]])</f>
        <v>84.961799999999982</v>
      </c>
      <c r="N3934" t="str">
        <f>IFERROR(INDEX(tProdutos[Foco],MATCH(tItens[[#This Row],[Produto]],tProdutos[Produto],0)),"Não")</f>
        <v>Sim</v>
      </c>
      <c r="O3934" t="str">
        <f>IFERROR(INDEX(tEditais[SRP],MATCH(tItens[[#This Row],[Edital]],tEditais[Edital],0)),"Não")</f>
        <v>Sim</v>
      </c>
      <c r="P3934" s="4">
        <f>IF(COUNTIFS(INDEX(tItens[Edital],1):tItens[[#This Row],[Edital]],tItens[[#This Row],[Edital]],INDEX(tItens[Produto],1):tItens[[#This Row],[Produto]],tItens[[#This Row],[Produto]])=1,1,0)</f>
        <v>0</v>
      </c>
    </row>
    <row r="3935" spans="1:16" x14ac:dyDescent="0.25">
      <c r="A3935" t="s">
        <v>1620</v>
      </c>
      <c r="B3935">
        <v>166</v>
      </c>
      <c r="C3935" t="s">
        <v>6794</v>
      </c>
      <c r="D3935" t="s">
        <v>56</v>
      </c>
      <c r="E3935" s="13">
        <v>5</v>
      </c>
      <c r="F3935" s="12">
        <v>42.91</v>
      </c>
      <c r="G3935" t="str">
        <f>IFERROR(INDEX(tEditais[Órgão],MATCH(tItens[[#This Row],[Edital]],tEditais[Edital],0)),"")</f>
        <v>MUNICIPIO DE ANDRADAS</v>
      </c>
      <c r="H3935" t="str">
        <f>IFERROR(INDEX(tEditais[UF],MATCH(tItens[[#This Row],[Edital]],tEditais[Edital],0)),"")</f>
        <v>MG</v>
      </c>
      <c r="I3935" s="11">
        <f>IFERROR(INDEX(tEditais[Encerramento],MATCH(tItens[[#This Row],[Edital]],tEditais[Edital],0)),"")</f>
        <v>46314.4375</v>
      </c>
      <c r="J3935" t="str">
        <f>IFERROR(INDEX(tProdutos[Classe],MATCH(tItens[[#This Row],[Produto]],tProdutos[Produto],0)),"produto não cadastrado")</f>
        <v>NÚCLEO</v>
      </c>
      <c r="K3935" s="12">
        <f>tItens[[#This Row],[Qtd]]*tItens[[#This Row],[Vlr unit]]</f>
        <v>214.54999999999998</v>
      </c>
      <c r="L3935" s="6">
        <f>IFERROR(IF(INDEX(tProdutos[Desconto homologado],MATCH(tItens[[#This Row],[Produto]],tProdutos[Produto],0))="",DescontoPadrao,INDEX(tProdutos[Desconto homologado],MATCH(tItens[[#This Row],[Produto]],tProdutos[Produto],0))),DescontoPadrao)</f>
        <v>0.34</v>
      </c>
      <c r="M3935" s="12">
        <f>tItens[[#This Row],[Valor]]*(1-tItens[[#This Row],[Desconto]])</f>
        <v>141.60299999999998</v>
      </c>
      <c r="N3935" t="str">
        <f>IFERROR(INDEX(tProdutos[Foco],MATCH(tItens[[#This Row],[Produto]],tProdutos[Produto],0)),"Não")</f>
        <v>Sim</v>
      </c>
      <c r="O3935" t="str">
        <f>IFERROR(INDEX(tEditais[SRP],MATCH(tItens[[#This Row],[Edital]],tEditais[Edital],0)),"Não")</f>
        <v>Sim</v>
      </c>
      <c r="P3935" s="4">
        <f>IF(COUNTIFS(INDEX(tItens[Edital],1):tItens[[#This Row],[Edital]],tItens[[#This Row],[Edital]],INDEX(tItens[Produto],1):tItens[[#This Row],[Produto]],tItens[[#This Row],[Produto]])=1,1,0)</f>
        <v>0</v>
      </c>
    </row>
    <row r="3936" spans="1:16" x14ac:dyDescent="0.25">
      <c r="A3936" t="s">
        <v>1620</v>
      </c>
      <c r="B3936">
        <v>167</v>
      </c>
      <c r="C3936" t="s">
        <v>6795</v>
      </c>
      <c r="D3936" t="s">
        <v>56</v>
      </c>
      <c r="E3936" s="13">
        <v>3</v>
      </c>
      <c r="F3936" s="12">
        <v>42.91</v>
      </c>
      <c r="G3936" t="str">
        <f>IFERROR(INDEX(tEditais[Órgão],MATCH(tItens[[#This Row],[Edital]],tEditais[Edital],0)),"")</f>
        <v>MUNICIPIO DE ANDRADAS</v>
      </c>
      <c r="H3936" t="str">
        <f>IFERROR(INDEX(tEditais[UF],MATCH(tItens[[#This Row],[Edital]],tEditais[Edital],0)),"")</f>
        <v>MG</v>
      </c>
      <c r="I3936" s="11">
        <f>IFERROR(INDEX(tEditais[Encerramento],MATCH(tItens[[#This Row],[Edital]],tEditais[Edital],0)),"")</f>
        <v>46314.4375</v>
      </c>
      <c r="J3936" t="str">
        <f>IFERROR(INDEX(tProdutos[Classe],MATCH(tItens[[#This Row],[Produto]],tProdutos[Produto],0)),"produto não cadastrado")</f>
        <v>NÚCLEO</v>
      </c>
      <c r="K3936" s="12">
        <f>tItens[[#This Row],[Qtd]]*tItens[[#This Row],[Vlr unit]]</f>
        <v>128.72999999999999</v>
      </c>
      <c r="L3936" s="6">
        <f>IFERROR(IF(INDEX(tProdutos[Desconto homologado],MATCH(tItens[[#This Row],[Produto]],tProdutos[Produto],0))="",DescontoPadrao,INDEX(tProdutos[Desconto homologado],MATCH(tItens[[#This Row],[Produto]],tProdutos[Produto],0))),DescontoPadrao)</f>
        <v>0.34</v>
      </c>
      <c r="M3936" s="12">
        <f>tItens[[#This Row],[Valor]]*(1-tItens[[#This Row],[Desconto]])</f>
        <v>84.961799999999982</v>
      </c>
      <c r="N3936" t="str">
        <f>IFERROR(INDEX(tProdutos[Foco],MATCH(tItens[[#This Row],[Produto]],tProdutos[Produto],0)),"Não")</f>
        <v>Sim</v>
      </c>
      <c r="O3936" t="str">
        <f>IFERROR(INDEX(tEditais[SRP],MATCH(tItens[[#This Row],[Edital]],tEditais[Edital],0)),"Não")</f>
        <v>Sim</v>
      </c>
      <c r="P3936" s="4">
        <f>IF(COUNTIFS(INDEX(tItens[Edital],1):tItens[[#This Row],[Edital]],tItens[[#This Row],[Edital]],INDEX(tItens[Produto],1):tItens[[#This Row],[Produto]],tItens[[#This Row],[Produto]])=1,1,0)</f>
        <v>0</v>
      </c>
    </row>
    <row r="3937" spans="1:16" x14ac:dyDescent="0.25">
      <c r="A3937" t="s">
        <v>1620</v>
      </c>
      <c r="B3937">
        <v>200</v>
      </c>
      <c r="C3937" t="s">
        <v>6796</v>
      </c>
      <c r="D3937" t="s">
        <v>494</v>
      </c>
      <c r="E3937" s="13">
        <v>100</v>
      </c>
      <c r="F3937" s="12">
        <v>85.4</v>
      </c>
      <c r="G3937" t="str">
        <f>IFERROR(INDEX(tEditais[Órgão],MATCH(tItens[[#This Row],[Edital]],tEditais[Edital],0)),"")</f>
        <v>MUNICIPIO DE ANDRADAS</v>
      </c>
      <c r="H3937" t="str">
        <f>IFERROR(INDEX(tEditais[UF],MATCH(tItens[[#This Row],[Edital]],tEditais[Edital],0)),"")</f>
        <v>MG</v>
      </c>
      <c r="I3937" s="11">
        <f>IFERROR(INDEX(tEditais[Encerramento],MATCH(tItens[[#This Row],[Edital]],tEditais[Edital],0)),"")</f>
        <v>46314.4375</v>
      </c>
      <c r="J3937" t="str">
        <f>IFERROR(INDEX(tProdutos[Classe],MATCH(tItens[[#This Row],[Produto]],tProdutos[Produto],0)),"produto não cadastrado")</f>
        <v>FILA REBASE</v>
      </c>
      <c r="K3937" s="12">
        <f>tItens[[#This Row],[Qtd]]*tItens[[#This Row],[Vlr unit]]</f>
        <v>8540</v>
      </c>
      <c r="L3937" s="6">
        <f>IFERROR(IF(INDEX(tProdutos[Desconto homologado],MATCH(tItens[[#This Row],[Produto]],tProdutos[Produto],0))="",DescontoPadrao,INDEX(tProdutos[Desconto homologado],MATCH(tItens[[#This Row],[Produto]],tProdutos[Produto],0))),DescontoPadrao)</f>
        <v>0.253736324829619</v>
      </c>
      <c r="M3937" s="12">
        <f>tItens[[#This Row],[Valor]]*(1-tItens[[#This Row],[Desconto]])</f>
        <v>6373.0917859550545</v>
      </c>
      <c r="N3937" t="str">
        <f>IFERROR(INDEX(tProdutos[Foco],MATCH(tItens[[#This Row],[Produto]],tProdutos[Produto],0)),"Não")</f>
        <v>Não</v>
      </c>
      <c r="O3937" t="str">
        <f>IFERROR(INDEX(tEditais[SRP],MATCH(tItens[[#This Row],[Edital]],tEditais[Edital],0)),"Não")</f>
        <v>Sim</v>
      </c>
      <c r="P3937" s="4">
        <f>IF(COUNTIFS(INDEX(tItens[Edital],1):tItens[[#This Row],[Edital]],tItens[[#This Row],[Edital]],INDEX(tItens[Produto],1):tItens[[#This Row],[Produto]],tItens[[#This Row],[Produto]])=1,1,0)</f>
        <v>1</v>
      </c>
    </row>
    <row r="3938" spans="1:16" x14ac:dyDescent="0.25">
      <c r="A3938" t="s">
        <v>1620</v>
      </c>
      <c r="B3938">
        <v>202</v>
      </c>
      <c r="C3938" t="s">
        <v>6797</v>
      </c>
      <c r="D3938" t="s">
        <v>494</v>
      </c>
      <c r="E3938" s="13">
        <v>50</v>
      </c>
      <c r="F3938" s="12">
        <v>168.49</v>
      </c>
      <c r="G3938" t="str">
        <f>IFERROR(INDEX(tEditais[Órgão],MATCH(tItens[[#This Row],[Edital]],tEditais[Edital],0)),"")</f>
        <v>MUNICIPIO DE ANDRADAS</v>
      </c>
      <c r="H3938" t="str">
        <f>IFERROR(INDEX(tEditais[UF],MATCH(tItens[[#This Row],[Edital]],tEditais[Edital],0)),"")</f>
        <v>MG</v>
      </c>
      <c r="I3938" s="11">
        <f>IFERROR(INDEX(tEditais[Encerramento],MATCH(tItens[[#This Row],[Edital]],tEditais[Edital],0)),"")</f>
        <v>46314.4375</v>
      </c>
      <c r="J3938" t="str">
        <f>IFERROR(INDEX(tProdutos[Classe],MATCH(tItens[[#This Row],[Produto]],tProdutos[Produto],0)),"produto não cadastrado")</f>
        <v>FILA REBASE</v>
      </c>
      <c r="K3938" s="12">
        <f>tItens[[#This Row],[Qtd]]*tItens[[#This Row],[Vlr unit]]</f>
        <v>8424.5</v>
      </c>
      <c r="L3938" s="6">
        <f>IFERROR(IF(INDEX(tProdutos[Desconto homologado],MATCH(tItens[[#This Row],[Produto]],tProdutos[Produto],0))="",DescontoPadrao,INDEX(tProdutos[Desconto homologado],MATCH(tItens[[#This Row],[Produto]],tProdutos[Produto],0))),DescontoPadrao)</f>
        <v>0.253736324829619</v>
      </c>
      <c r="M3938" s="12">
        <f>tItens[[#This Row],[Valor]]*(1-tItens[[#This Row],[Desconto]])</f>
        <v>6286.8983314728748</v>
      </c>
      <c r="N3938" t="str">
        <f>IFERROR(INDEX(tProdutos[Foco],MATCH(tItens[[#This Row],[Produto]],tProdutos[Produto],0)),"Não")</f>
        <v>Não</v>
      </c>
      <c r="O3938" t="str">
        <f>IFERROR(INDEX(tEditais[SRP],MATCH(tItens[[#This Row],[Edital]],tEditais[Edital],0)),"Não")</f>
        <v>Sim</v>
      </c>
      <c r="P3938" s="4">
        <f>IF(COUNTIFS(INDEX(tItens[Edital],1):tItens[[#This Row],[Edital]],tItens[[#This Row],[Edital]],INDEX(tItens[Produto],1):tItens[[#This Row],[Produto]],tItens[[#This Row],[Produto]])=1,1,0)</f>
        <v>0</v>
      </c>
    </row>
    <row r="3939" spans="1:16" x14ac:dyDescent="0.25">
      <c r="A3939" t="s">
        <v>1620</v>
      </c>
      <c r="B3939">
        <v>234</v>
      </c>
      <c r="C3939" t="s">
        <v>6798</v>
      </c>
      <c r="D3939" t="s">
        <v>241</v>
      </c>
      <c r="E3939" s="13">
        <v>400</v>
      </c>
      <c r="F3939" s="12">
        <v>10.54</v>
      </c>
      <c r="G3939" t="str">
        <f>IFERROR(INDEX(tEditais[Órgão],MATCH(tItens[[#This Row],[Edital]],tEditais[Edital],0)),"")</f>
        <v>MUNICIPIO DE ANDRADAS</v>
      </c>
      <c r="H3939" t="str">
        <f>IFERROR(INDEX(tEditais[UF],MATCH(tItens[[#This Row],[Edital]],tEditais[Edital],0)),"")</f>
        <v>MG</v>
      </c>
      <c r="I3939" s="11">
        <f>IFERROR(INDEX(tEditais[Encerramento],MATCH(tItens[[#This Row],[Edital]],tEditais[Edital],0)),"")</f>
        <v>46314.4375</v>
      </c>
      <c r="J3939" t="str">
        <f>IFERROR(INDEX(tProdutos[Classe],MATCH(tItens[[#This Row],[Produto]],tProdutos[Produto],0)),"produto não cadastrado")</f>
        <v>DISPUTADO</v>
      </c>
      <c r="K3939" s="12">
        <f>tItens[[#This Row],[Qtd]]*tItens[[#This Row],[Vlr unit]]</f>
        <v>4216</v>
      </c>
      <c r="L3939" s="6">
        <f>IFERROR(IF(INDEX(tProdutos[Desconto homologado],MATCH(tItens[[#This Row],[Produto]],tProdutos[Produto],0))="",DescontoPadrao,INDEX(tProdutos[Desconto homologado],MATCH(tItens[[#This Row],[Produto]],tProdutos[Produto],0))),DescontoPadrao)</f>
        <v>0.36881329157903497</v>
      </c>
      <c r="M3939" s="12">
        <f>tItens[[#This Row],[Valor]]*(1-tItens[[#This Row],[Desconto]])</f>
        <v>2661.0831627027887</v>
      </c>
      <c r="N3939" t="str">
        <f>IFERROR(INDEX(tProdutos[Foco],MATCH(tItens[[#This Row],[Produto]],tProdutos[Produto],0)),"Não")</f>
        <v>Não</v>
      </c>
      <c r="O3939" t="str">
        <f>IFERROR(INDEX(tEditais[SRP],MATCH(tItens[[#This Row],[Edital]],tEditais[Edital],0)),"Não")</f>
        <v>Sim</v>
      </c>
      <c r="P3939" s="4">
        <f>IF(COUNTIFS(INDEX(tItens[Edital],1):tItens[[#This Row],[Edital]],tItens[[#This Row],[Edital]],INDEX(tItens[Produto],1):tItens[[#This Row],[Produto]],tItens[[#This Row],[Produto]])=1,1,0)</f>
        <v>1</v>
      </c>
    </row>
    <row r="3940" spans="1:16" x14ac:dyDescent="0.25">
      <c r="A3940" t="s">
        <v>1620</v>
      </c>
      <c r="B3940">
        <v>235</v>
      </c>
      <c r="C3940" t="s">
        <v>6799</v>
      </c>
      <c r="D3940" t="s">
        <v>524</v>
      </c>
      <c r="E3940" s="13">
        <v>300</v>
      </c>
      <c r="F3940" s="12">
        <v>3.63</v>
      </c>
      <c r="G3940" t="str">
        <f>IFERROR(INDEX(tEditais[Órgão],MATCH(tItens[[#This Row],[Edital]],tEditais[Edital],0)),"")</f>
        <v>MUNICIPIO DE ANDRADAS</v>
      </c>
      <c r="H3940" t="str">
        <f>IFERROR(INDEX(tEditais[UF],MATCH(tItens[[#This Row],[Edital]],tEditais[Edital],0)),"")</f>
        <v>MG</v>
      </c>
      <c r="I3940" s="11">
        <f>IFERROR(INDEX(tEditais[Encerramento],MATCH(tItens[[#This Row],[Edital]],tEditais[Edital],0)),"")</f>
        <v>46314.4375</v>
      </c>
      <c r="J3940" t="str">
        <f>IFERROR(INDEX(tProdutos[Classe],MATCH(tItens[[#This Row],[Produto]],tProdutos[Produto],0)),"produto não cadastrado")</f>
        <v>FILA REBASE</v>
      </c>
      <c r="K3940" s="12">
        <f>tItens[[#This Row],[Qtd]]*tItens[[#This Row],[Vlr unit]]</f>
        <v>1089</v>
      </c>
      <c r="L3940" s="6">
        <f>IFERROR(IF(INDEX(tProdutos[Desconto homologado],MATCH(tItens[[#This Row],[Produto]],tProdutos[Produto],0))="",DescontoPadrao,INDEX(tProdutos[Desconto homologado],MATCH(tItens[[#This Row],[Produto]],tProdutos[Produto],0))),DescontoPadrao)</f>
        <v>0.3</v>
      </c>
      <c r="M3940" s="12">
        <f>tItens[[#This Row],[Valor]]*(1-tItens[[#This Row],[Desconto]])</f>
        <v>762.3</v>
      </c>
      <c r="N3940" t="str">
        <f>IFERROR(INDEX(tProdutos[Foco],MATCH(tItens[[#This Row],[Produto]],tProdutos[Produto],0)),"Não")</f>
        <v>Não</v>
      </c>
      <c r="O3940" t="str">
        <f>IFERROR(INDEX(tEditais[SRP],MATCH(tItens[[#This Row],[Edital]],tEditais[Edital],0)),"Não")</f>
        <v>Sim</v>
      </c>
      <c r="P3940" s="4">
        <f>IF(COUNTIFS(INDEX(tItens[Edital],1):tItens[[#This Row],[Edital]],tItens[[#This Row],[Edital]],INDEX(tItens[Produto],1):tItens[[#This Row],[Produto]],tItens[[#This Row],[Produto]])=1,1,0)</f>
        <v>1</v>
      </c>
    </row>
    <row r="3941" spans="1:16" x14ac:dyDescent="0.25">
      <c r="A3941" t="s">
        <v>1620</v>
      </c>
      <c r="B3941">
        <v>242</v>
      </c>
      <c r="C3941" t="s">
        <v>6800</v>
      </c>
      <c r="D3941" t="s">
        <v>114</v>
      </c>
      <c r="E3941" s="13">
        <v>150</v>
      </c>
      <c r="F3941" s="12">
        <v>13.46</v>
      </c>
      <c r="G3941" t="str">
        <f>IFERROR(INDEX(tEditais[Órgão],MATCH(tItens[[#This Row],[Edital]],tEditais[Edital],0)),"")</f>
        <v>MUNICIPIO DE ANDRADAS</v>
      </c>
      <c r="H3941" t="str">
        <f>IFERROR(INDEX(tEditais[UF],MATCH(tItens[[#This Row],[Edital]],tEditais[Edital],0)),"")</f>
        <v>MG</v>
      </c>
      <c r="I3941" s="11">
        <f>IFERROR(INDEX(tEditais[Encerramento],MATCH(tItens[[#This Row],[Edital]],tEditais[Edital],0)),"")</f>
        <v>46314.4375</v>
      </c>
      <c r="J3941" t="str">
        <f>IFERROR(INDEX(tProdutos[Classe],MATCH(tItens[[#This Row],[Produto]],tProdutos[Produto],0)),"produto não cadastrado")</f>
        <v>DISPUTADO</v>
      </c>
      <c r="K3941" s="12">
        <f>tItens[[#This Row],[Qtd]]*tItens[[#This Row],[Vlr unit]]</f>
        <v>2019.0000000000002</v>
      </c>
      <c r="L3941" s="6">
        <f>IFERROR(IF(INDEX(tProdutos[Desconto homologado],MATCH(tItens[[#This Row],[Produto]],tProdutos[Produto],0))="",DescontoPadrao,INDEX(tProdutos[Desconto homologado],MATCH(tItens[[#This Row],[Produto]],tProdutos[Produto],0))),DescontoPadrao)</f>
        <v>0.24332656063896899</v>
      </c>
      <c r="M3941" s="12">
        <f>tItens[[#This Row],[Valor]]*(1-tItens[[#This Row],[Desconto]])</f>
        <v>1527.7236740699218</v>
      </c>
      <c r="N3941" t="str">
        <f>IFERROR(INDEX(tProdutos[Foco],MATCH(tItens[[#This Row],[Produto]],tProdutos[Produto],0)),"Não")</f>
        <v>Não</v>
      </c>
      <c r="O3941" t="str">
        <f>IFERROR(INDEX(tEditais[SRP],MATCH(tItens[[#This Row],[Edital]],tEditais[Edital],0)),"Não")</f>
        <v>Sim</v>
      </c>
      <c r="P3941" s="4">
        <f>IF(COUNTIFS(INDEX(tItens[Edital],1):tItens[[#This Row],[Edital]],tItens[[#This Row],[Edital]],INDEX(tItens[Produto],1):tItens[[#This Row],[Produto]],tItens[[#This Row],[Produto]])=1,1,0)</f>
        <v>1</v>
      </c>
    </row>
    <row r="3942" spans="1:16" x14ac:dyDescent="0.25">
      <c r="A3942" t="s">
        <v>1624</v>
      </c>
      <c r="B3942">
        <v>37</v>
      </c>
      <c r="C3942" t="s">
        <v>6801</v>
      </c>
      <c r="D3942" t="s">
        <v>86</v>
      </c>
      <c r="E3942" s="13">
        <v>300</v>
      </c>
      <c r="F3942" s="12">
        <v>21.49</v>
      </c>
      <c r="G3942" t="str">
        <f>IFERROR(INDEX(tEditais[Órgão],MATCH(tItens[[#This Row],[Edital]],tEditais[Edital],0)),"")</f>
        <v>MUNICIPIO DE ANDRADAS</v>
      </c>
      <c r="H3942" t="str">
        <f>IFERROR(INDEX(tEditais[UF],MATCH(tItens[[#This Row],[Edital]],tEditais[Edital],0)),"")</f>
        <v>MG</v>
      </c>
      <c r="I3942" s="11">
        <f>IFERROR(INDEX(tEditais[Encerramento],MATCH(tItens[[#This Row],[Edital]],tEditais[Edital],0)),"")</f>
        <v>46314.4375</v>
      </c>
      <c r="J3942" t="str">
        <f>IFERROR(INDEX(tProdutos[Classe],MATCH(tItens[[#This Row],[Produto]],tProdutos[Produto],0)),"produto não cadastrado")</f>
        <v>NÚCLEO</v>
      </c>
      <c r="K3942" s="12">
        <f>tItens[[#This Row],[Qtd]]*tItens[[#This Row],[Vlr unit]]</f>
        <v>6446.9999999999991</v>
      </c>
      <c r="L3942" s="6">
        <f>IFERROR(IF(INDEX(tProdutos[Desconto homologado],MATCH(tItens[[#This Row],[Produto]],tProdutos[Produto],0))="",DescontoPadrao,INDEX(tProdutos[Desconto homologado],MATCH(tItens[[#This Row],[Produto]],tProdutos[Produto],0))),DescontoPadrao)</f>
        <v>0.20202020202020199</v>
      </c>
      <c r="M3942" s="12">
        <f>tItens[[#This Row],[Valor]]*(1-tItens[[#This Row],[Desconto]])</f>
        <v>5144.5757575757571</v>
      </c>
      <c r="N3942" t="str">
        <f>IFERROR(INDEX(tProdutos[Foco],MATCH(tItens[[#This Row],[Produto]],tProdutos[Produto],0)),"Não")</f>
        <v>Não</v>
      </c>
      <c r="O3942" t="str">
        <f>IFERROR(INDEX(tEditais[SRP],MATCH(tItens[[#This Row],[Edital]],tEditais[Edital],0)),"Não")</f>
        <v>Sim</v>
      </c>
      <c r="P3942" s="4">
        <f>IF(COUNTIFS(INDEX(tItens[Edital],1):tItens[[#This Row],[Edital]],tItens[[#This Row],[Edital]],INDEX(tItens[Produto],1):tItens[[#This Row],[Produto]],tItens[[#This Row],[Produto]])=1,1,0)</f>
        <v>1</v>
      </c>
    </row>
    <row r="3943" spans="1:16" x14ac:dyDescent="0.25">
      <c r="A3943" t="s">
        <v>1624</v>
      </c>
      <c r="B3943">
        <v>61</v>
      </c>
      <c r="C3943" t="s">
        <v>6802</v>
      </c>
      <c r="D3943" t="s">
        <v>423</v>
      </c>
      <c r="E3943" s="13">
        <v>30</v>
      </c>
      <c r="F3943" s="12">
        <v>11.37</v>
      </c>
      <c r="G3943" t="str">
        <f>IFERROR(INDEX(tEditais[Órgão],MATCH(tItens[[#This Row],[Edital]],tEditais[Edital],0)),"")</f>
        <v>MUNICIPIO DE ANDRADAS</v>
      </c>
      <c r="H3943" t="str">
        <f>IFERROR(INDEX(tEditais[UF],MATCH(tItens[[#This Row],[Edital]],tEditais[Edital],0)),"")</f>
        <v>MG</v>
      </c>
      <c r="I3943" s="11">
        <f>IFERROR(INDEX(tEditais[Encerramento],MATCH(tItens[[#This Row],[Edital]],tEditais[Edital],0)),"")</f>
        <v>46314.4375</v>
      </c>
      <c r="J3943" t="str">
        <f>IFERROR(INDEX(tProdutos[Classe],MATCH(tItens[[#This Row],[Produto]],tProdutos[Produto],0)),"produto não cadastrado")</f>
        <v>FORA</v>
      </c>
      <c r="K3943" s="12">
        <f>tItens[[#This Row],[Qtd]]*tItens[[#This Row],[Vlr unit]]</f>
        <v>341.09999999999997</v>
      </c>
      <c r="L3943" s="6">
        <f>IFERROR(IF(INDEX(tProdutos[Desconto homologado],MATCH(tItens[[#This Row],[Produto]],tProdutos[Produto],0))="",DescontoPadrao,INDEX(tProdutos[Desconto homologado],MATCH(tItens[[#This Row],[Produto]],tProdutos[Produto],0))),DescontoPadrao)</f>
        <v>0.38271604938271597</v>
      </c>
      <c r="M3943" s="12">
        <f>tItens[[#This Row],[Valor]]*(1-tItens[[#This Row],[Desconto]])</f>
        <v>210.55555555555557</v>
      </c>
      <c r="N3943" t="str">
        <f>IFERROR(INDEX(tProdutos[Foco],MATCH(tItens[[#This Row],[Produto]],tProdutos[Produto],0)),"Não")</f>
        <v>Não</v>
      </c>
      <c r="O3943" t="str">
        <f>IFERROR(INDEX(tEditais[SRP],MATCH(tItens[[#This Row],[Edital]],tEditais[Edital],0)),"Não")</f>
        <v>Sim</v>
      </c>
      <c r="P3943" s="4">
        <f>IF(COUNTIFS(INDEX(tItens[Edital],1):tItens[[#This Row],[Edital]],tItens[[#This Row],[Edital]],INDEX(tItens[Produto],1):tItens[[#This Row],[Produto]],tItens[[#This Row],[Produto]])=1,1,0)</f>
        <v>1</v>
      </c>
    </row>
    <row r="3944" spans="1:16" x14ac:dyDescent="0.25">
      <c r="A3944" t="s">
        <v>1624</v>
      </c>
      <c r="B3944">
        <v>75</v>
      </c>
      <c r="C3944" t="s">
        <v>6803</v>
      </c>
      <c r="D3944" t="s">
        <v>311</v>
      </c>
      <c r="E3944" s="13">
        <v>60</v>
      </c>
      <c r="F3944" s="12">
        <v>12.35</v>
      </c>
      <c r="G3944" t="str">
        <f>IFERROR(INDEX(tEditais[Órgão],MATCH(tItens[[#This Row],[Edital]],tEditais[Edital],0)),"")</f>
        <v>MUNICIPIO DE ANDRADAS</v>
      </c>
      <c r="H3944" t="str">
        <f>IFERROR(INDEX(tEditais[UF],MATCH(tItens[[#This Row],[Edital]],tEditais[Edital],0)),"")</f>
        <v>MG</v>
      </c>
      <c r="I3944" s="11">
        <f>IFERROR(INDEX(tEditais[Encerramento],MATCH(tItens[[#This Row],[Edital]],tEditais[Edital],0)),"")</f>
        <v>46314.4375</v>
      </c>
      <c r="J3944" t="str">
        <f>IFERROR(INDEX(tProdutos[Classe],MATCH(tItens[[#This Row],[Produto]],tProdutos[Produto],0)),"produto não cadastrado")</f>
        <v>FORA</v>
      </c>
      <c r="K3944" s="12">
        <f>tItens[[#This Row],[Qtd]]*tItens[[#This Row],[Vlr unit]]</f>
        <v>741</v>
      </c>
      <c r="L3944" s="6">
        <f>IFERROR(IF(INDEX(tProdutos[Desconto homologado],MATCH(tItens[[#This Row],[Produto]],tProdutos[Produto],0))="",DescontoPadrao,INDEX(tProdutos[Desconto homologado],MATCH(tItens[[#This Row],[Produto]],tProdutos[Produto],0))),DescontoPadrao)</f>
        <v>0.29046182846371399</v>
      </c>
      <c r="M3944" s="12">
        <f>tItens[[#This Row],[Valor]]*(1-tItens[[#This Row],[Desconto]])</f>
        <v>525.76778510838801</v>
      </c>
      <c r="N3944" t="str">
        <f>IFERROR(INDEX(tProdutos[Foco],MATCH(tItens[[#This Row],[Produto]],tProdutos[Produto],0)),"Não")</f>
        <v>Não</v>
      </c>
      <c r="O3944" t="str">
        <f>IFERROR(INDEX(tEditais[SRP],MATCH(tItens[[#This Row],[Edital]],tEditais[Edital],0)),"Não")</f>
        <v>Sim</v>
      </c>
      <c r="P3944" s="4">
        <f>IF(COUNTIFS(INDEX(tItens[Edital],1):tItens[[#This Row],[Edital]],tItens[[#This Row],[Edital]],INDEX(tItens[Produto],1):tItens[[#This Row],[Produto]],tItens[[#This Row],[Produto]])=1,1,0)</f>
        <v>1</v>
      </c>
    </row>
    <row r="3945" spans="1:16" x14ac:dyDescent="0.25">
      <c r="A3945" t="s">
        <v>1624</v>
      </c>
      <c r="B3945">
        <v>103</v>
      </c>
      <c r="C3945" t="s">
        <v>6804</v>
      </c>
      <c r="D3945" t="s">
        <v>638</v>
      </c>
      <c r="E3945" s="13">
        <v>24</v>
      </c>
      <c r="F3945" s="12">
        <v>70.63</v>
      </c>
      <c r="G3945" t="str">
        <f>IFERROR(INDEX(tEditais[Órgão],MATCH(tItens[[#This Row],[Edital]],tEditais[Edital],0)),"")</f>
        <v>MUNICIPIO DE ANDRADAS</v>
      </c>
      <c r="H3945" t="str">
        <f>IFERROR(INDEX(tEditais[UF],MATCH(tItens[[#This Row],[Edital]],tEditais[Edital],0)),"")</f>
        <v>MG</v>
      </c>
      <c r="I3945" s="11">
        <f>IFERROR(INDEX(tEditais[Encerramento],MATCH(tItens[[#This Row],[Edital]],tEditais[Edital],0)),"")</f>
        <v>46314.4375</v>
      </c>
      <c r="J3945" t="str">
        <f>IFERROR(INDEX(tProdutos[Classe],MATCH(tItens[[#This Row],[Produto]],tProdutos[Produto],0)),"produto não cadastrado")</f>
        <v>FILA REBASE</v>
      </c>
      <c r="K3945" s="12">
        <f>tItens[[#This Row],[Qtd]]*tItens[[#This Row],[Vlr unit]]</f>
        <v>1695.12</v>
      </c>
      <c r="L3945" s="6">
        <f>IFERROR(IF(INDEX(tProdutos[Desconto homologado],MATCH(tItens[[#This Row],[Produto]],tProdutos[Produto],0))="",DescontoPadrao,INDEX(tProdutos[Desconto homologado],MATCH(tItens[[#This Row],[Produto]],tProdutos[Produto],0))),DescontoPadrao)</f>
        <v>0.487179487179487</v>
      </c>
      <c r="M3945" s="12">
        <f>tItens[[#This Row],[Valor]]*(1-tItens[[#This Row],[Desconto]])</f>
        <v>869.29230769230799</v>
      </c>
      <c r="N3945" t="str">
        <f>IFERROR(INDEX(tProdutos[Foco],MATCH(tItens[[#This Row],[Produto]],tProdutos[Produto],0)),"Não")</f>
        <v>Não</v>
      </c>
      <c r="O3945" t="str">
        <f>IFERROR(INDEX(tEditais[SRP],MATCH(tItens[[#This Row],[Edital]],tEditais[Edital],0)),"Não")</f>
        <v>Sim</v>
      </c>
      <c r="P3945" s="4">
        <f>IF(COUNTIFS(INDEX(tItens[Edital],1):tItens[[#This Row],[Edital]],tItens[[#This Row],[Edital]],INDEX(tItens[Produto],1):tItens[[#This Row],[Produto]],tItens[[#This Row],[Produto]])=1,1,0)</f>
        <v>1</v>
      </c>
    </row>
    <row r="3946" spans="1:16" x14ac:dyDescent="0.25">
      <c r="A3946" t="s">
        <v>1624</v>
      </c>
      <c r="B3946">
        <v>156</v>
      </c>
      <c r="C3946" t="s">
        <v>6805</v>
      </c>
      <c r="D3946" t="s">
        <v>411</v>
      </c>
      <c r="E3946" s="13">
        <v>50</v>
      </c>
      <c r="F3946" s="12">
        <v>44.52</v>
      </c>
      <c r="G3946" t="str">
        <f>IFERROR(INDEX(tEditais[Órgão],MATCH(tItens[[#This Row],[Edital]],tEditais[Edital],0)),"")</f>
        <v>MUNICIPIO DE ANDRADAS</v>
      </c>
      <c r="H3946" t="str">
        <f>IFERROR(INDEX(tEditais[UF],MATCH(tItens[[#This Row],[Edital]],tEditais[Edital],0)),"")</f>
        <v>MG</v>
      </c>
      <c r="I3946" s="11">
        <f>IFERROR(INDEX(tEditais[Encerramento],MATCH(tItens[[#This Row],[Edital]],tEditais[Edital],0)),"")</f>
        <v>46314.4375</v>
      </c>
      <c r="J3946" t="str">
        <f>IFERROR(INDEX(tProdutos[Classe],MATCH(tItens[[#This Row],[Produto]],tProdutos[Produto],0)),"produto não cadastrado")</f>
        <v>FORA</v>
      </c>
      <c r="K3946" s="12">
        <f>tItens[[#This Row],[Qtd]]*tItens[[#This Row],[Vlr unit]]</f>
        <v>2226</v>
      </c>
      <c r="L3946" s="6">
        <f>IFERROR(IF(INDEX(tProdutos[Desconto homologado],MATCH(tItens[[#This Row],[Produto]],tProdutos[Produto],0))="",DescontoPadrao,INDEX(tProdutos[Desconto homologado],MATCH(tItens[[#This Row],[Produto]],tProdutos[Produto],0))),DescontoPadrao)</f>
        <v>0.50029835957199398</v>
      </c>
      <c r="M3946" s="12">
        <f>tItens[[#This Row],[Valor]]*(1-tItens[[#This Row],[Desconto]])</f>
        <v>1112.3358515927414</v>
      </c>
      <c r="N3946" t="str">
        <f>IFERROR(INDEX(tProdutos[Foco],MATCH(tItens[[#This Row],[Produto]],tProdutos[Produto],0)),"Não")</f>
        <v>Não</v>
      </c>
      <c r="O3946" t="str">
        <f>IFERROR(INDEX(tEditais[SRP],MATCH(tItens[[#This Row],[Edital]],tEditais[Edital],0)),"Não")</f>
        <v>Sim</v>
      </c>
      <c r="P3946" s="4">
        <f>IF(COUNTIFS(INDEX(tItens[Edital],1):tItens[[#This Row],[Edital]],tItens[[#This Row],[Edital]],INDEX(tItens[Produto],1):tItens[[#This Row],[Produto]],tItens[[#This Row],[Produto]])=1,1,0)</f>
        <v>1</v>
      </c>
    </row>
    <row r="3947" spans="1:16" x14ac:dyDescent="0.25">
      <c r="A3947" t="s">
        <v>1624</v>
      </c>
      <c r="B3947">
        <v>164</v>
      </c>
      <c r="C3947" t="s">
        <v>6806</v>
      </c>
      <c r="D3947" t="s">
        <v>56</v>
      </c>
      <c r="E3947" s="13">
        <v>3</v>
      </c>
      <c r="F3947" s="12">
        <v>42.91</v>
      </c>
      <c r="G3947" t="str">
        <f>IFERROR(INDEX(tEditais[Órgão],MATCH(tItens[[#This Row],[Edital]],tEditais[Edital],0)),"")</f>
        <v>MUNICIPIO DE ANDRADAS</v>
      </c>
      <c r="H3947" t="str">
        <f>IFERROR(INDEX(tEditais[UF],MATCH(tItens[[#This Row],[Edital]],tEditais[Edital],0)),"")</f>
        <v>MG</v>
      </c>
      <c r="I3947" s="11">
        <f>IFERROR(INDEX(tEditais[Encerramento],MATCH(tItens[[#This Row],[Edital]],tEditais[Edital],0)),"")</f>
        <v>46314.4375</v>
      </c>
      <c r="J3947" t="str">
        <f>IFERROR(INDEX(tProdutos[Classe],MATCH(tItens[[#This Row],[Produto]],tProdutos[Produto],0)),"produto não cadastrado")</f>
        <v>NÚCLEO</v>
      </c>
      <c r="K3947" s="12">
        <f>tItens[[#This Row],[Qtd]]*tItens[[#This Row],[Vlr unit]]</f>
        <v>128.72999999999999</v>
      </c>
      <c r="L3947" s="6">
        <f>IFERROR(IF(INDEX(tProdutos[Desconto homologado],MATCH(tItens[[#This Row],[Produto]],tProdutos[Produto],0))="",DescontoPadrao,INDEX(tProdutos[Desconto homologado],MATCH(tItens[[#This Row],[Produto]],tProdutos[Produto],0))),DescontoPadrao)</f>
        <v>0.34</v>
      </c>
      <c r="M3947" s="12">
        <f>tItens[[#This Row],[Valor]]*(1-tItens[[#This Row],[Desconto]])</f>
        <v>84.961799999999982</v>
      </c>
      <c r="N3947" t="str">
        <f>IFERROR(INDEX(tProdutos[Foco],MATCH(tItens[[#This Row],[Produto]],tProdutos[Produto],0)),"Não")</f>
        <v>Sim</v>
      </c>
      <c r="O3947" t="str">
        <f>IFERROR(INDEX(tEditais[SRP],MATCH(tItens[[#This Row],[Edital]],tEditais[Edital],0)),"Não")</f>
        <v>Sim</v>
      </c>
      <c r="P3947" s="4">
        <f>IF(COUNTIFS(INDEX(tItens[Edital],1):tItens[[#This Row],[Edital]],tItens[[#This Row],[Edital]],INDEX(tItens[Produto],1):tItens[[#This Row],[Produto]],tItens[[#This Row],[Produto]])=1,1,0)</f>
        <v>1</v>
      </c>
    </row>
    <row r="3948" spans="1:16" x14ac:dyDescent="0.25">
      <c r="A3948" t="s">
        <v>1624</v>
      </c>
      <c r="B3948">
        <v>165</v>
      </c>
      <c r="C3948" t="s">
        <v>6807</v>
      </c>
      <c r="D3948" t="s">
        <v>56</v>
      </c>
      <c r="E3948" s="13">
        <v>3</v>
      </c>
      <c r="F3948" s="12">
        <v>42.91</v>
      </c>
      <c r="G3948" t="str">
        <f>IFERROR(INDEX(tEditais[Órgão],MATCH(tItens[[#This Row],[Edital]],tEditais[Edital],0)),"")</f>
        <v>MUNICIPIO DE ANDRADAS</v>
      </c>
      <c r="H3948" t="str">
        <f>IFERROR(INDEX(tEditais[UF],MATCH(tItens[[#This Row],[Edital]],tEditais[Edital],0)),"")</f>
        <v>MG</v>
      </c>
      <c r="I3948" s="11">
        <f>IFERROR(INDEX(tEditais[Encerramento],MATCH(tItens[[#This Row],[Edital]],tEditais[Edital],0)),"")</f>
        <v>46314.4375</v>
      </c>
      <c r="J3948" t="str">
        <f>IFERROR(INDEX(tProdutos[Classe],MATCH(tItens[[#This Row],[Produto]],tProdutos[Produto],0)),"produto não cadastrado")</f>
        <v>NÚCLEO</v>
      </c>
      <c r="K3948" s="12">
        <f>tItens[[#This Row],[Qtd]]*tItens[[#This Row],[Vlr unit]]</f>
        <v>128.72999999999999</v>
      </c>
      <c r="L3948" s="6">
        <f>IFERROR(IF(INDEX(tProdutos[Desconto homologado],MATCH(tItens[[#This Row],[Produto]],tProdutos[Produto],0))="",DescontoPadrao,INDEX(tProdutos[Desconto homologado],MATCH(tItens[[#This Row],[Produto]],tProdutos[Produto],0))),DescontoPadrao)</f>
        <v>0.34</v>
      </c>
      <c r="M3948" s="12">
        <f>tItens[[#This Row],[Valor]]*(1-tItens[[#This Row],[Desconto]])</f>
        <v>84.961799999999982</v>
      </c>
      <c r="N3948" t="str">
        <f>IFERROR(INDEX(tProdutos[Foco],MATCH(tItens[[#This Row],[Produto]],tProdutos[Produto],0)),"Não")</f>
        <v>Sim</v>
      </c>
      <c r="O3948" t="str">
        <f>IFERROR(INDEX(tEditais[SRP],MATCH(tItens[[#This Row],[Edital]],tEditais[Edital],0)),"Não")</f>
        <v>Sim</v>
      </c>
      <c r="P3948" s="4">
        <f>IF(COUNTIFS(INDEX(tItens[Edital],1):tItens[[#This Row],[Edital]],tItens[[#This Row],[Edital]],INDEX(tItens[Produto],1):tItens[[#This Row],[Produto]],tItens[[#This Row],[Produto]])=1,1,0)</f>
        <v>0</v>
      </c>
    </row>
    <row r="3949" spans="1:16" x14ac:dyDescent="0.25">
      <c r="A3949" t="s">
        <v>1624</v>
      </c>
      <c r="B3949">
        <v>166</v>
      </c>
      <c r="C3949" t="s">
        <v>6808</v>
      </c>
      <c r="D3949" t="s">
        <v>56</v>
      </c>
      <c r="E3949" s="13">
        <v>5</v>
      </c>
      <c r="F3949" s="12">
        <v>42.91</v>
      </c>
      <c r="G3949" t="str">
        <f>IFERROR(INDEX(tEditais[Órgão],MATCH(tItens[[#This Row],[Edital]],tEditais[Edital],0)),"")</f>
        <v>MUNICIPIO DE ANDRADAS</v>
      </c>
      <c r="H3949" t="str">
        <f>IFERROR(INDEX(tEditais[UF],MATCH(tItens[[#This Row],[Edital]],tEditais[Edital],0)),"")</f>
        <v>MG</v>
      </c>
      <c r="I3949" s="11">
        <f>IFERROR(INDEX(tEditais[Encerramento],MATCH(tItens[[#This Row],[Edital]],tEditais[Edital],0)),"")</f>
        <v>46314.4375</v>
      </c>
      <c r="J3949" t="str">
        <f>IFERROR(INDEX(tProdutos[Classe],MATCH(tItens[[#This Row],[Produto]],tProdutos[Produto],0)),"produto não cadastrado")</f>
        <v>NÚCLEO</v>
      </c>
      <c r="K3949" s="12">
        <f>tItens[[#This Row],[Qtd]]*tItens[[#This Row],[Vlr unit]]</f>
        <v>214.54999999999998</v>
      </c>
      <c r="L3949" s="6">
        <f>IFERROR(IF(INDEX(tProdutos[Desconto homologado],MATCH(tItens[[#This Row],[Produto]],tProdutos[Produto],0))="",DescontoPadrao,INDEX(tProdutos[Desconto homologado],MATCH(tItens[[#This Row],[Produto]],tProdutos[Produto],0))),DescontoPadrao)</f>
        <v>0.34</v>
      </c>
      <c r="M3949" s="12">
        <f>tItens[[#This Row],[Valor]]*(1-tItens[[#This Row],[Desconto]])</f>
        <v>141.60299999999998</v>
      </c>
      <c r="N3949" t="str">
        <f>IFERROR(INDEX(tProdutos[Foco],MATCH(tItens[[#This Row],[Produto]],tProdutos[Produto],0)),"Não")</f>
        <v>Sim</v>
      </c>
      <c r="O3949" t="str">
        <f>IFERROR(INDEX(tEditais[SRP],MATCH(tItens[[#This Row],[Edital]],tEditais[Edital],0)),"Não")</f>
        <v>Sim</v>
      </c>
      <c r="P3949" s="4">
        <f>IF(COUNTIFS(INDEX(tItens[Edital],1):tItens[[#This Row],[Edital]],tItens[[#This Row],[Edital]],INDEX(tItens[Produto],1):tItens[[#This Row],[Produto]],tItens[[#This Row],[Produto]])=1,1,0)</f>
        <v>0</v>
      </c>
    </row>
    <row r="3950" spans="1:16" x14ac:dyDescent="0.25">
      <c r="A3950" t="s">
        <v>1624</v>
      </c>
      <c r="B3950">
        <v>167</v>
      </c>
      <c r="C3950" t="s">
        <v>6809</v>
      </c>
      <c r="D3950" t="s">
        <v>56</v>
      </c>
      <c r="E3950" s="13">
        <v>3</v>
      </c>
      <c r="F3950" s="12">
        <v>42.91</v>
      </c>
      <c r="G3950" t="str">
        <f>IFERROR(INDEX(tEditais[Órgão],MATCH(tItens[[#This Row],[Edital]],tEditais[Edital],0)),"")</f>
        <v>MUNICIPIO DE ANDRADAS</v>
      </c>
      <c r="H3950" t="str">
        <f>IFERROR(INDEX(tEditais[UF],MATCH(tItens[[#This Row],[Edital]],tEditais[Edital],0)),"")</f>
        <v>MG</v>
      </c>
      <c r="I3950" s="11">
        <f>IFERROR(INDEX(tEditais[Encerramento],MATCH(tItens[[#This Row],[Edital]],tEditais[Edital],0)),"")</f>
        <v>46314.4375</v>
      </c>
      <c r="J3950" t="str">
        <f>IFERROR(INDEX(tProdutos[Classe],MATCH(tItens[[#This Row],[Produto]],tProdutos[Produto],0)),"produto não cadastrado")</f>
        <v>NÚCLEO</v>
      </c>
      <c r="K3950" s="12">
        <f>tItens[[#This Row],[Qtd]]*tItens[[#This Row],[Vlr unit]]</f>
        <v>128.72999999999999</v>
      </c>
      <c r="L3950" s="6">
        <f>IFERROR(IF(INDEX(tProdutos[Desconto homologado],MATCH(tItens[[#This Row],[Produto]],tProdutos[Produto],0))="",DescontoPadrao,INDEX(tProdutos[Desconto homologado],MATCH(tItens[[#This Row],[Produto]],tProdutos[Produto],0))),DescontoPadrao)</f>
        <v>0.34</v>
      </c>
      <c r="M3950" s="12">
        <f>tItens[[#This Row],[Valor]]*(1-tItens[[#This Row],[Desconto]])</f>
        <v>84.961799999999982</v>
      </c>
      <c r="N3950" t="str">
        <f>IFERROR(INDEX(tProdutos[Foco],MATCH(tItens[[#This Row],[Produto]],tProdutos[Produto],0)),"Não")</f>
        <v>Sim</v>
      </c>
      <c r="O3950" t="str">
        <f>IFERROR(INDEX(tEditais[SRP],MATCH(tItens[[#This Row],[Edital]],tEditais[Edital],0)),"Não")</f>
        <v>Sim</v>
      </c>
      <c r="P3950" s="4">
        <f>IF(COUNTIFS(INDEX(tItens[Edital],1):tItens[[#This Row],[Edital]],tItens[[#This Row],[Edital]],INDEX(tItens[Produto],1):tItens[[#This Row],[Produto]],tItens[[#This Row],[Produto]])=1,1,0)</f>
        <v>0</v>
      </c>
    </row>
    <row r="3951" spans="1:16" x14ac:dyDescent="0.25">
      <c r="A3951" t="s">
        <v>1624</v>
      </c>
      <c r="B3951">
        <v>200</v>
      </c>
      <c r="C3951" t="s">
        <v>6810</v>
      </c>
      <c r="D3951" t="s">
        <v>494</v>
      </c>
      <c r="E3951" s="13">
        <v>100</v>
      </c>
      <c r="F3951" s="12">
        <v>85.4</v>
      </c>
      <c r="G3951" t="str">
        <f>IFERROR(INDEX(tEditais[Órgão],MATCH(tItens[[#This Row],[Edital]],tEditais[Edital],0)),"")</f>
        <v>MUNICIPIO DE ANDRADAS</v>
      </c>
      <c r="H3951" t="str">
        <f>IFERROR(INDEX(tEditais[UF],MATCH(tItens[[#This Row],[Edital]],tEditais[Edital],0)),"")</f>
        <v>MG</v>
      </c>
      <c r="I3951" s="11">
        <f>IFERROR(INDEX(tEditais[Encerramento],MATCH(tItens[[#This Row],[Edital]],tEditais[Edital],0)),"")</f>
        <v>46314.4375</v>
      </c>
      <c r="J3951" t="str">
        <f>IFERROR(INDEX(tProdutos[Classe],MATCH(tItens[[#This Row],[Produto]],tProdutos[Produto],0)),"produto não cadastrado")</f>
        <v>FILA REBASE</v>
      </c>
      <c r="K3951" s="12">
        <f>tItens[[#This Row],[Qtd]]*tItens[[#This Row],[Vlr unit]]</f>
        <v>8540</v>
      </c>
      <c r="L3951" s="6">
        <f>IFERROR(IF(INDEX(tProdutos[Desconto homologado],MATCH(tItens[[#This Row],[Produto]],tProdutos[Produto],0))="",DescontoPadrao,INDEX(tProdutos[Desconto homologado],MATCH(tItens[[#This Row],[Produto]],tProdutos[Produto],0))),DescontoPadrao)</f>
        <v>0.253736324829619</v>
      </c>
      <c r="M3951" s="12">
        <f>tItens[[#This Row],[Valor]]*(1-tItens[[#This Row],[Desconto]])</f>
        <v>6373.0917859550545</v>
      </c>
      <c r="N3951" t="str">
        <f>IFERROR(INDEX(tProdutos[Foco],MATCH(tItens[[#This Row],[Produto]],tProdutos[Produto],0)),"Não")</f>
        <v>Não</v>
      </c>
      <c r="O3951" t="str">
        <f>IFERROR(INDEX(tEditais[SRP],MATCH(tItens[[#This Row],[Edital]],tEditais[Edital],0)),"Não")</f>
        <v>Sim</v>
      </c>
      <c r="P3951" s="4">
        <f>IF(COUNTIFS(INDEX(tItens[Edital],1):tItens[[#This Row],[Edital]],tItens[[#This Row],[Edital]],INDEX(tItens[Produto],1):tItens[[#This Row],[Produto]],tItens[[#This Row],[Produto]])=1,1,0)</f>
        <v>1</v>
      </c>
    </row>
    <row r="3952" spans="1:16" x14ac:dyDescent="0.25">
      <c r="A3952" t="s">
        <v>1624</v>
      </c>
      <c r="B3952">
        <v>202</v>
      </c>
      <c r="C3952" t="s">
        <v>6811</v>
      </c>
      <c r="D3952" t="s">
        <v>494</v>
      </c>
      <c r="E3952" s="13">
        <v>50</v>
      </c>
      <c r="F3952" s="12">
        <v>168.49</v>
      </c>
      <c r="G3952" t="str">
        <f>IFERROR(INDEX(tEditais[Órgão],MATCH(tItens[[#This Row],[Edital]],tEditais[Edital],0)),"")</f>
        <v>MUNICIPIO DE ANDRADAS</v>
      </c>
      <c r="H3952" t="str">
        <f>IFERROR(INDEX(tEditais[UF],MATCH(tItens[[#This Row],[Edital]],tEditais[Edital],0)),"")</f>
        <v>MG</v>
      </c>
      <c r="I3952" s="11">
        <f>IFERROR(INDEX(tEditais[Encerramento],MATCH(tItens[[#This Row],[Edital]],tEditais[Edital],0)),"")</f>
        <v>46314.4375</v>
      </c>
      <c r="J3952" t="str">
        <f>IFERROR(INDEX(tProdutos[Classe],MATCH(tItens[[#This Row],[Produto]],tProdutos[Produto],0)),"produto não cadastrado")</f>
        <v>FILA REBASE</v>
      </c>
      <c r="K3952" s="12">
        <f>tItens[[#This Row],[Qtd]]*tItens[[#This Row],[Vlr unit]]</f>
        <v>8424.5</v>
      </c>
      <c r="L3952" s="6">
        <f>IFERROR(IF(INDEX(tProdutos[Desconto homologado],MATCH(tItens[[#This Row],[Produto]],tProdutos[Produto],0))="",DescontoPadrao,INDEX(tProdutos[Desconto homologado],MATCH(tItens[[#This Row],[Produto]],tProdutos[Produto],0))),DescontoPadrao)</f>
        <v>0.253736324829619</v>
      </c>
      <c r="M3952" s="12">
        <f>tItens[[#This Row],[Valor]]*(1-tItens[[#This Row],[Desconto]])</f>
        <v>6286.8983314728748</v>
      </c>
      <c r="N3952" t="str">
        <f>IFERROR(INDEX(tProdutos[Foco],MATCH(tItens[[#This Row],[Produto]],tProdutos[Produto],0)),"Não")</f>
        <v>Não</v>
      </c>
      <c r="O3952" t="str">
        <f>IFERROR(INDEX(tEditais[SRP],MATCH(tItens[[#This Row],[Edital]],tEditais[Edital],0)),"Não")</f>
        <v>Sim</v>
      </c>
      <c r="P3952" s="4">
        <f>IF(COUNTIFS(INDEX(tItens[Edital],1):tItens[[#This Row],[Edital]],tItens[[#This Row],[Edital]],INDEX(tItens[Produto],1):tItens[[#This Row],[Produto]],tItens[[#This Row],[Produto]])=1,1,0)</f>
        <v>0</v>
      </c>
    </row>
    <row r="3953" spans="1:16" x14ac:dyDescent="0.25">
      <c r="A3953" t="s">
        <v>1624</v>
      </c>
      <c r="B3953">
        <v>234</v>
      </c>
      <c r="C3953" t="s">
        <v>6812</v>
      </c>
      <c r="D3953" t="s">
        <v>241</v>
      </c>
      <c r="E3953" s="13">
        <v>400</v>
      </c>
      <c r="F3953" s="12">
        <v>10.54</v>
      </c>
      <c r="G3953" t="str">
        <f>IFERROR(INDEX(tEditais[Órgão],MATCH(tItens[[#This Row],[Edital]],tEditais[Edital],0)),"")</f>
        <v>MUNICIPIO DE ANDRADAS</v>
      </c>
      <c r="H3953" t="str">
        <f>IFERROR(INDEX(tEditais[UF],MATCH(tItens[[#This Row],[Edital]],tEditais[Edital],0)),"")</f>
        <v>MG</v>
      </c>
      <c r="I3953" s="11">
        <f>IFERROR(INDEX(tEditais[Encerramento],MATCH(tItens[[#This Row],[Edital]],tEditais[Edital],0)),"")</f>
        <v>46314.4375</v>
      </c>
      <c r="J3953" t="str">
        <f>IFERROR(INDEX(tProdutos[Classe],MATCH(tItens[[#This Row],[Produto]],tProdutos[Produto],0)),"produto não cadastrado")</f>
        <v>DISPUTADO</v>
      </c>
      <c r="K3953" s="12">
        <f>tItens[[#This Row],[Qtd]]*tItens[[#This Row],[Vlr unit]]</f>
        <v>4216</v>
      </c>
      <c r="L3953" s="6">
        <f>IFERROR(IF(INDEX(tProdutos[Desconto homologado],MATCH(tItens[[#This Row],[Produto]],tProdutos[Produto],0))="",DescontoPadrao,INDEX(tProdutos[Desconto homologado],MATCH(tItens[[#This Row],[Produto]],tProdutos[Produto],0))),DescontoPadrao)</f>
        <v>0.36881329157903497</v>
      </c>
      <c r="M3953" s="12">
        <f>tItens[[#This Row],[Valor]]*(1-tItens[[#This Row],[Desconto]])</f>
        <v>2661.0831627027887</v>
      </c>
      <c r="N3953" t="str">
        <f>IFERROR(INDEX(tProdutos[Foco],MATCH(tItens[[#This Row],[Produto]],tProdutos[Produto],0)),"Não")</f>
        <v>Não</v>
      </c>
      <c r="O3953" t="str">
        <f>IFERROR(INDEX(tEditais[SRP],MATCH(tItens[[#This Row],[Edital]],tEditais[Edital],0)),"Não")</f>
        <v>Sim</v>
      </c>
      <c r="P3953" s="4">
        <f>IF(COUNTIFS(INDEX(tItens[Edital],1):tItens[[#This Row],[Edital]],tItens[[#This Row],[Edital]],INDEX(tItens[Produto],1):tItens[[#This Row],[Produto]],tItens[[#This Row],[Produto]])=1,1,0)</f>
        <v>1</v>
      </c>
    </row>
    <row r="3954" spans="1:16" x14ac:dyDescent="0.25">
      <c r="A3954" t="s">
        <v>1624</v>
      </c>
      <c r="B3954">
        <v>235</v>
      </c>
      <c r="C3954" t="s">
        <v>6813</v>
      </c>
      <c r="D3954" t="s">
        <v>524</v>
      </c>
      <c r="E3954" s="13">
        <v>300</v>
      </c>
      <c r="F3954" s="12">
        <v>3.63</v>
      </c>
      <c r="G3954" t="str">
        <f>IFERROR(INDEX(tEditais[Órgão],MATCH(tItens[[#This Row],[Edital]],tEditais[Edital],0)),"")</f>
        <v>MUNICIPIO DE ANDRADAS</v>
      </c>
      <c r="H3954" t="str">
        <f>IFERROR(INDEX(tEditais[UF],MATCH(tItens[[#This Row],[Edital]],tEditais[Edital],0)),"")</f>
        <v>MG</v>
      </c>
      <c r="I3954" s="11">
        <f>IFERROR(INDEX(tEditais[Encerramento],MATCH(tItens[[#This Row],[Edital]],tEditais[Edital],0)),"")</f>
        <v>46314.4375</v>
      </c>
      <c r="J3954" t="str">
        <f>IFERROR(INDEX(tProdutos[Classe],MATCH(tItens[[#This Row],[Produto]],tProdutos[Produto],0)),"produto não cadastrado")</f>
        <v>FILA REBASE</v>
      </c>
      <c r="K3954" s="12">
        <f>tItens[[#This Row],[Qtd]]*tItens[[#This Row],[Vlr unit]]</f>
        <v>1089</v>
      </c>
      <c r="L3954" s="6">
        <f>IFERROR(IF(INDEX(tProdutos[Desconto homologado],MATCH(tItens[[#This Row],[Produto]],tProdutos[Produto],0))="",DescontoPadrao,INDEX(tProdutos[Desconto homologado],MATCH(tItens[[#This Row],[Produto]],tProdutos[Produto],0))),DescontoPadrao)</f>
        <v>0.3</v>
      </c>
      <c r="M3954" s="12">
        <f>tItens[[#This Row],[Valor]]*(1-tItens[[#This Row],[Desconto]])</f>
        <v>762.3</v>
      </c>
      <c r="N3954" t="str">
        <f>IFERROR(INDEX(tProdutos[Foco],MATCH(tItens[[#This Row],[Produto]],tProdutos[Produto],0)),"Não")</f>
        <v>Não</v>
      </c>
      <c r="O3954" t="str">
        <f>IFERROR(INDEX(tEditais[SRP],MATCH(tItens[[#This Row],[Edital]],tEditais[Edital],0)),"Não")</f>
        <v>Sim</v>
      </c>
      <c r="P3954" s="4">
        <f>IF(COUNTIFS(INDEX(tItens[Edital],1):tItens[[#This Row],[Edital]],tItens[[#This Row],[Edital]],INDEX(tItens[Produto],1):tItens[[#This Row],[Produto]],tItens[[#This Row],[Produto]])=1,1,0)</f>
        <v>1</v>
      </c>
    </row>
    <row r="3955" spans="1:16" x14ac:dyDescent="0.25">
      <c r="A3955" t="s">
        <v>1624</v>
      </c>
      <c r="B3955">
        <v>242</v>
      </c>
      <c r="C3955" t="s">
        <v>6814</v>
      </c>
      <c r="D3955" t="s">
        <v>114</v>
      </c>
      <c r="E3955" s="13">
        <v>150</v>
      </c>
      <c r="F3955" s="12">
        <v>13.46</v>
      </c>
      <c r="G3955" t="str">
        <f>IFERROR(INDEX(tEditais[Órgão],MATCH(tItens[[#This Row],[Edital]],tEditais[Edital],0)),"")</f>
        <v>MUNICIPIO DE ANDRADAS</v>
      </c>
      <c r="H3955" t="str">
        <f>IFERROR(INDEX(tEditais[UF],MATCH(tItens[[#This Row],[Edital]],tEditais[Edital],0)),"")</f>
        <v>MG</v>
      </c>
      <c r="I3955" s="11">
        <f>IFERROR(INDEX(tEditais[Encerramento],MATCH(tItens[[#This Row],[Edital]],tEditais[Edital],0)),"")</f>
        <v>46314.4375</v>
      </c>
      <c r="J3955" t="str">
        <f>IFERROR(INDEX(tProdutos[Classe],MATCH(tItens[[#This Row],[Produto]],tProdutos[Produto],0)),"produto não cadastrado")</f>
        <v>DISPUTADO</v>
      </c>
      <c r="K3955" s="12">
        <f>tItens[[#This Row],[Qtd]]*tItens[[#This Row],[Vlr unit]]</f>
        <v>2019.0000000000002</v>
      </c>
      <c r="L3955" s="6">
        <f>IFERROR(IF(INDEX(tProdutos[Desconto homologado],MATCH(tItens[[#This Row],[Produto]],tProdutos[Produto],0))="",DescontoPadrao,INDEX(tProdutos[Desconto homologado],MATCH(tItens[[#This Row],[Produto]],tProdutos[Produto],0))),DescontoPadrao)</f>
        <v>0.24332656063896899</v>
      </c>
      <c r="M3955" s="12">
        <f>tItens[[#This Row],[Valor]]*(1-tItens[[#This Row],[Desconto]])</f>
        <v>1527.7236740699218</v>
      </c>
      <c r="N3955" t="str">
        <f>IFERROR(INDEX(tProdutos[Foco],MATCH(tItens[[#This Row],[Produto]],tProdutos[Produto],0)),"Não")</f>
        <v>Não</v>
      </c>
      <c r="O3955" t="str">
        <f>IFERROR(INDEX(tEditais[SRP],MATCH(tItens[[#This Row],[Edital]],tEditais[Edital],0)),"Não")</f>
        <v>Sim</v>
      </c>
      <c r="P3955" s="4">
        <f>IF(COUNTIFS(INDEX(tItens[Edital],1):tItens[[#This Row],[Edital]],tItens[[#This Row],[Edital]],INDEX(tItens[Produto],1):tItens[[#This Row],[Produto]],tItens[[#This Row],[Produto]])=1,1,0)</f>
        <v>1</v>
      </c>
    </row>
    <row r="3956" spans="1:16" x14ac:dyDescent="0.25">
      <c r="A3956" t="s">
        <v>1626</v>
      </c>
      <c r="B3956">
        <v>2291941</v>
      </c>
      <c r="C3956" t="s">
        <v>6815</v>
      </c>
      <c r="D3956" t="s">
        <v>578</v>
      </c>
      <c r="E3956" s="13">
        <v>5</v>
      </c>
      <c r="F3956" s="12">
        <v>0</v>
      </c>
      <c r="G3956" t="str">
        <f>IFERROR(INDEX(tEditais[Órgão],MATCH(tItens[[#This Row],[Edital]],tEditais[Edital],0)),"")</f>
        <v>MUNICIPIO DE TRES LAGOAS</v>
      </c>
      <c r="H3956" t="str">
        <f>IFERROR(INDEX(tEditais[UF],MATCH(tItens[[#This Row],[Edital]],tEditais[Edital],0)),"")</f>
        <v>MS</v>
      </c>
      <c r="I3956" s="11">
        <f>IFERROR(INDEX(tEditais[Encerramento],MATCH(tItens[[#This Row],[Edital]],tEditais[Edital],0)),"")</f>
        <v>46304.368055555555</v>
      </c>
      <c r="J3956" t="str">
        <f>IFERROR(INDEX(tProdutos[Classe],MATCH(tItens[[#This Row],[Produto]],tProdutos[Produto],0)),"produto não cadastrado")</f>
        <v>FILA REBASE</v>
      </c>
      <c r="K3956" s="12">
        <f>tItens[[#This Row],[Qtd]]*tItens[[#This Row],[Vlr unit]]</f>
        <v>0</v>
      </c>
      <c r="L3956" s="6">
        <f>IFERROR(IF(INDEX(tProdutos[Desconto homologado],MATCH(tItens[[#This Row],[Produto]],tProdutos[Produto],0))="",DescontoPadrao,INDEX(tProdutos[Desconto homologado],MATCH(tItens[[#This Row],[Produto]],tProdutos[Produto],0))),DescontoPadrao)</f>
        <v>0.36014625228519198</v>
      </c>
      <c r="M3956" s="12">
        <f>tItens[[#This Row],[Valor]]*(1-tItens[[#This Row],[Desconto]])</f>
        <v>0</v>
      </c>
      <c r="N3956" t="str">
        <f>IFERROR(INDEX(tProdutos[Foco],MATCH(tItens[[#This Row],[Produto]],tProdutos[Produto],0)),"Não")</f>
        <v>Não</v>
      </c>
      <c r="O3956" t="str">
        <f>IFERROR(INDEX(tEditais[SRP],MATCH(tItens[[#This Row],[Edital]],tEditais[Edital],0)),"Não")</f>
        <v>Não</v>
      </c>
      <c r="P3956" s="4">
        <f>IF(COUNTIFS(INDEX(tItens[Edital],1):tItens[[#This Row],[Edital]],tItens[[#This Row],[Edital]],INDEX(tItens[Produto],1):tItens[[#This Row],[Produto]],tItens[[#This Row],[Produto]])=1,1,0)</f>
        <v>1</v>
      </c>
    </row>
    <row r="3957" spans="1:16" x14ac:dyDescent="0.25">
      <c r="A3957" t="s">
        <v>1632</v>
      </c>
      <c r="B3957">
        <v>2292390</v>
      </c>
      <c r="C3957" t="s">
        <v>6816</v>
      </c>
      <c r="D3957" t="s">
        <v>315</v>
      </c>
      <c r="E3957" s="13">
        <v>10000</v>
      </c>
      <c r="F3957" s="12">
        <v>0.09</v>
      </c>
      <c r="G3957" t="str">
        <f>IFERROR(INDEX(tEditais[Órgão],MATCH(tItens[[#This Row],[Edital]],tEditais[Edital],0)),"")</f>
        <v>MUNICIPIO DE CORONEL SAPUCAIA</v>
      </c>
      <c r="H3957" t="str">
        <f>IFERROR(INDEX(tEditais[UF],MATCH(tItens[[#This Row],[Edital]],tEditais[Edital],0)),"")</f>
        <v>MS</v>
      </c>
      <c r="I3957" s="11">
        <f>IFERROR(INDEX(tEditais[Encerramento],MATCH(tItens[[#This Row],[Edital]],tEditais[Edital],0)),"")</f>
        <v>46304.374305555553</v>
      </c>
      <c r="J3957" t="str">
        <f>IFERROR(INDEX(tProdutos[Classe],MATCH(tItens[[#This Row],[Produto]],tProdutos[Produto],0)),"produto não cadastrado")</f>
        <v>FORA</v>
      </c>
      <c r="K3957" s="12">
        <f>tItens[[#This Row],[Qtd]]*tItens[[#This Row],[Vlr unit]]</f>
        <v>900</v>
      </c>
      <c r="L3957" s="6">
        <f>IFERROR(IF(INDEX(tProdutos[Desconto homologado],MATCH(tItens[[#This Row],[Produto]],tProdutos[Produto],0))="",DescontoPadrao,INDEX(tProdutos[Desconto homologado],MATCH(tItens[[#This Row],[Produto]],tProdutos[Produto],0))),DescontoPadrao)</f>
        <v>0.38432036097010702</v>
      </c>
      <c r="M3957" s="12">
        <f>tItens[[#This Row],[Valor]]*(1-tItens[[#This Row],[Desconto]])</f>
        <v>554.11167512690372</v>
      </c>
      <c r="N3957" t="str">
        <f>IFERROR(INDEX(tProdutos[Foco],MATCH(tItens[[#This Row],[Produto]],tProdutos[Produto],0)),"Não")</f>
        <v>Não</v>
      </c>
      <c r="O3957" t="str">
        <f>IFERROR(INDEX(tEditais[SRP],MATCH(tItens[[#This Row],[Edital]],tEditais[Edital],0)),"Não")</f>
        <v>Sim</v>
      </c>
      <c r="P3957" s="4">
        <f>IF(COUNTIFS(INDEX(tItens[Edital],1):tItens[[#This Row],[Edital]],tItens[[#This Row],[Edital]],INDEX(tItens[Produto],1):tItens[[#This Row],[Produto]],tItens[[#This Row],[Produto]])=1,1,0)</f>
        <v>1</v>
      </c>
    </row>
    <row r="3958" spans="1:16" x14ac:dyDescent="0.25">
      <c r="A3958" t="s">
        <v>1632</v>
      </c>
      <c r="B3958">
        <v>2292391</v>
      </c>
      <c r="C3958" t="s">
        <v>6817</v>
      </c>
      <c r="D3958" t="s">
        <v>315</v>
      </c>
      <c r="E3958" s="13">
        <v>15000</v>
      </c>
      <c r="F3958" s="12">
        <v>0.14000000000000001</v>
      </c>
      <c r="G3958" t="str">
        <f>IFERROR(INDEX(tEditais[Órgão],MATCH(tItens[[#This Row],[Edital]],tEditais[Edital],0)),"")</f>
        <v>MUNICIPIO DE CORONEL SAPUCAIA</v>
      </c>
      <c r="H3958" t="str">
        <f>IFERROR(INDEX(tEditais[UF],MATCH(tItens[[#This Row],[Edital]],tEditais[Edital],0)),"")</f>
        <v>MS</v>
      </c>
      <c r="I3958" s="11">
        <f>IFERROR(INDEX(tEditais[Encerramento],MATCH(tItens[[#This Row],[Edital]],tEditais[Edital],0)),"")</f>
        <v>46304.374305555553</v>
      </c>
      <c r="J3958" t="str">
        <f>IFERROR(INDEX(tProdutos[Classe],MATCH(tItens[[#This Row],[Produto]],tProdutos[Produto],0)),"produto não cadastrado")</f>
        <v>FORA</v>
      </c>
      <c r="K3958" s="12">
        <f>tItens[[#This Row],[Qtd]]*tItens[[#This Row],[Vlr unit]]</f>
        <v>2100</v>
      </c>
      <c r="L3958" s="6">
        <f>IFERROR(IF(INDEX(tProdutos[Desconto homologado],MATCH(tItens[[#This Row],[Produto]],tProdutos[Produto],0))="",DescontoPadrao,INDEX(tProdutos[Desconto homologado],MATCH(tItens[[#This Row],[Produto]],tProdutos[Produto],0))),DescontoPadrao)</f>
        <v>0.38432036097010702</v>
      </c>
      <c r="M3958" s="12">
        <f>tItens[[#This Row],[Valor]]*(1-tItens[[#This Row],[Desconto]])</f>
        <v>1292.9272419627753</v>
      </c>
      <c r="N3958" t="str">
        <f>IFERROR(INDEX(tProdutos[Foco],MATCH(tItens[[#This Row],[Produto]],tProdutos[Produto],0)),"Não")</f>
        <v>Não</v>
      </c>
      <c r="O3958" t="str">
        <f>IFERROR(INDEX(tEditais[SRP],MATCH(tItens[[#This Row],[Edital]],tEditais[Edital],0)),"Não")</f>
        <v>Sim</v>
      </c>
      <c r="P3958" s="4">
        <f>IF(COUNTIFS(INDEX(tItens[Edital],1):tItens[[#This Row],[Edital]],tItens[[#This Row],[Edital]],INDEX(tItens[Produto],1):tItens[[#This Row],[Produto]],tItens[[#This Row],[Produto]])=1,1,0)</f>
        <v>0</v>
      </c>
    </row>
    <row r="3959" spans="1:16" x14ac:dyDescent="0.25">
      <c r="A3959" t="s">
        <v>1632</v>
      </c>
      <c r="B3959">
        <v>2292392</v>
      </c>
      <c r="C3959" t="s">
        <v>6818</v>
      </c>
      <c r="D3959" t="s">
        <v>315</v>
      </c>
      <c r="E3959" s="13">
        <v>20000</v>
      </c>
      <c r="F3959" s="12">
        <v>0.14000000000000001</v>
      </c>
      <c r="G3959" t="str">
        <f>IFERROR(INDEX(tEditais[Órgão],MATCH(tItens[[#This Row],[Edital]],tEditais[Edital],0)),"")</f>
        <v>MUNICIPIO DE CORONEL SAPUCAIA</v>
      </c>
      <c r="H3959" t="str">
        <f>IFERROR(INDEX(tEditais[UF],MATCH(tItens[[#This Row],[Edital]],tEditais[Edital],0)),"")</f>
        <v>MS</v>
      </c>
      <c r="I3959" s="11">
        <f>IFERROR(INDEX(tEditais[Encerramento],MATCH(tItens[[#This Row],[Edital]],tEditais[Edital],0)),"")</f>
        <v>46304.374305555553</v>
      </c>
      <c r="J3959" t="str">
        <f>IFERROR(INDEX(tProdutos[Classe],MATCH(tItens[[#This Row],[Produto]],tProdutos[Produto],0)),"produto não cadastrado")</f>
        <v>FORA</v>
      </c>
      <c r="K3959" s="12">
        <f>tItens[[#This Row],[Qtd]]*tItens[[#This Row],[Vlr unit]]</f>
        <v>2800.0000000000005</v>
      </c>
      <c r="L3959" s="6">
        <f>IFERROR(IF(INDEX(tProdutos[Desconto homologado],MATCH(tItens[[#This Row],[Produto]],tProdutos[Produto],0))="",DescontoPadrao,INDEX(tProdutos[Desconto homologado],MATCH(tItens[[#This Row],[Produto]],tProdutos[Produto],0))),DescontoPadrao)</f>
        <v>0.38432036097010702</v>
      </c>
      <c r="M3959" s="12">
        <f>tItens[[#This Row],[Valor]]*(1-tItens[[#This Row],[Desconto]])</f>
        <v>1723.9029892837007</v>
      </c>
      <c r="N3959" t="str">
        <f>IFERROR(INDEX(tProdutos[Foco],MATCH(tItens[[#This Row],[Produto]],tProdutos[Produto],0)),"Não")</f>
        <v>Não</v>
      </c>
      <c r="O3959" t="str">
        <f>IFERROR(INDEX(tEditais[SRP],MATCH(tItens[[#This Row],[Edital]],tEditais[Edital],0)),"Não")</f>
        <v>Sim</v>
      </c>
      <c r="P3959" s="4">
        <f>IF(COUNTIFS(INDEX(tItens[Edital],1):tItens[[#This Row],[Edital]],tItens[[#This Row],[Edital]],INDEX(tItens[Produto],1):tItens[[#This Row],[Produto]],tItens[[#This Row],[Produto]])=1,1,0)</f>
        <v>0</v>
      </c>
    </row>
    <row r="3960" spans="1:16" x14ac:dyDescent="0.25">
      <c r="A3960" t="s">
        <v>1632</v>
      </c>
      <c r="B3960">
        <v>2292393</v>
      </c>
      <c r="C3960" t="s">
        <v>6819</v>
      </c>
      <c r="D3960" t="s">
        <v>315</v>
      </c>
      <c r="E3960" s="13">
        <v>15000</v>
      </c>
      <c r="F3960" s="12">
        <v>0.16</v>
      </c>
      <c r="G3960" t="str">
        <f>IFERROR(INDEX(tEditais[Órgão],MATCH(tItens[[#This Row],[Edital]],tEditais[Edital],0)),"")</f>
        <v>MUNICIPIO DE CORONEL SAPUCAIA</v>
      </c>
      <c r="H3960" t="str">
        <f>IFERROR(INDEX(tEditais[UF],MATCH(tItens[[#This Row],[Edital]],tEditais[Edital],0)),"")</f>
        <v>MS</v>
      </c>
      <c r="I3960" s="11">
        <f>IFERROR(INDEX(tEditais[Encerramento],MATCH(tItens[[#This Row],[Edital]],tEditais[Edital],0)),"")</f>
        <v>46304.374305555553</v>
      </c>
      <c r="J3960" t="str">
        <f>IFERROR(INDEX(tProdutos[Classe],MATCH(tItens[[#This Row],[Produto]],tProdutos[Produto],0)),"produto não cadastrado")</f>
        <v>FORA</v>
      </c>
      <c r="K3960" s="12">
        <f>tItens[[#This Row],[Qtd]]*tItens[[#This Row],[Vlr unit]]</f>
        <v>2400</v>
      </c>
      <c r="L3960" s="6">
        <f>IFERROR(IF(INDEX(tProdutos[Desconto homologado],MATCH(tItens[[#This Row],[Produto]],tProdutos[Produto],0))="",DescontoPadrao,INDEX(tProdutos[Desconto homologado],MATCH(tItens[[#This Row],[Produto]],tProdutos[Produto],0))),DescontoPadrao)</f>
        <v>0.38432036097010702</v>
      </c>
      <c r="M3960" s="12">
        <f>tItens[[#This Row],[Valor]]*(1-tItens[[#This Row],[Desconto]])</f>
        <v>1477.6311336717431</v>
      </c>
      <c r="N3960" t="str">
        <f>IFERROR(INDEX(tProdutos[Foco],MATCH(tItens[[#This Row],[Produto]],tProdutos[Produto],0)),"Não")</f>
        <v>Não</v>
      </c>
      <c r="O3960" t="str">
        <f>IFERROR(INDEX(tEditais[SRP],MATCH(tItens[[#This Row],[Edital]],tEditais[Edital],0)),"Não")</f>
        <v>Sim</v>
      </c>
      <c r="P3960" s="4">
        <f>IF(COUNTIFS(INDEX(tItens[Edital],1):tItens[[#This Row],[Edital]],tItens[[#This Row],[Edital]],INDEX(tItens[Produto],1):tItens[[#This Row],[Produto]],tItens[[#This Row],[Produto]])=1,1,0)</f>
        <v>0</v>
      </c>
    </row>
    <row r="3961" spans="1:16" x14ac:dyDescent="0.25">
      <c r="A3961" t="s">
        <v>1632</v>
      </c>
      <c r="B3961">
        <v>2292394</v>
      </c>
      <c r="C3961" t="s">
        <v>6820</v>
      </c>
      <c r="D3961" t="s">
        <v>315</v>
      </c>
      <c r="E3961" s="13">
        <v>10000</v>
      </c>
      <c r="F3961" s="12">
        <v>0.12</v>
      </c>
      <c r="G3961" t="str">
        <f>IFERROR(INDEX(tEditais[Órgão],MATCH(tItens[[#This Row],[Edital]],tEditais[Edital],0)),"")</f>
        <v>MUNICIPIO DE CORONEL SAPUCAIA</v>
      </c>
      <c r="H3961" t="str">
        <f>IFERROR(INDEX(tEditais[UF],MATCH(tItens[[#This Row],[Edital]],tEditais[Edital],0)),"")</f>
        <v>MS</v>
      </c>
      <c r="I3961" s="11">
        <f>IFERROR(INDEX(tEditais[Encerramento],MATCH(tItens[[#This Row],[Edital]],tEditais[Edital],0)),"")</f>
        <v>46304.374305555553</v>
      </c>
      <c r="J3961" t="str">
        <f>IFERROR(INDEX(tProdutos[Classe],MATCH(tItens[[#This Row],[Produto]],tProdutos[Produto],0)),"produto não cadastrado")</f>
        <v>FORA</v>
      </c>
      <c r="K3961" s="12">
        <f>tItens[[#This Row],[Qtd]]*tItens[[#This Row],[Vlr unit]]</f>
        <v>1200</v>
      </c>
      <c r="L3961" s="6">
        <f>IFERROR(IF(INDEX(tProdutos[Desconto homologado],MATCH(tItens[[#This Row],[Produto]],tProdutos[Produto],0))="",DescontoPadrao,INDEX(tProdutos[Desconto homologado],MATCH(tItens[[#This Row],[Produto]],tProdutos[Produto],0))),DescontoPadrao)</f>
        <v>0.38432036097010702</v>
      </c>
      <c r="M3961" s="12">
        <f>tItens[[#This Row],[Valor]]*(1-tItens[[#This Row],[Desconto]])</f>
        <v>738.81556683587155</v>
      </c>
      <c r="N3961" t="str">
        <f>IFERROR(INDEX(tProdutos[Foco],MATCH(tItens[[#This Row],[Produto]],tProdutos[Produto],0)),"Não")</f>
        <v>Não</v>
      </c>
      <c r="O3961" t="str">
        <f>IFERROR(INDEX(tEditais[SRP],MATCH(tItens[[#This Row],[Edital]],tEditais[Edital],0)),"Não")</f>
        <v>Sim</v>
      </c>
      <c r="P3961" s="4">
        <f>IF(COUNTIFS(INDEX(tItens[Edital],1):tItens[[#This Row],[Edital]],tItens[[#This Row],[Edital]],INDEX(tItens[Produto],1):tItens[[#This Row],[Produto]],tItens[[#This Row],[Produto]])=1,1,0)</f>
        <v>0</v>
      </c>
    </row>
    <row r="3962" spans="1:16" x14ac:dyDescent="0.25">
      <c r="A3962" t="s">
        <v>1632</v>
      </c>
      <c r="B3962">
        <v>2292395</v>
      </c>
      <c r="C3962" t="s">
        <v>6821</v>
      </c>
      <c r="D3962" t="s">
        <v>315</v>
      </c>
      <c r="E3962" s="13">
        <v>10000</v>
      </c>
      <c r="F3962" s="12">
        <v>0.12</v>
      </c>
      <c r="G3962" t="str">
        <f>IFERROR(INDEX(tEditais[Órgão],MATCH(tItens[[#This Row],[Edital]],tEditais[Edital],0)),"")</f>
        <v>MUNICIPIO DE CORONEL SAPUCAIA</v>
      </c>
      <c r="H3962" t="str">
        <f>IFERROR(INDEX(tEditais[UF],MATCH(tItens[[#This Row],[Edital]],tEditais[Edital],0)),"")</f>
        <v>MS</v>
      </c>
      <c r="I3962" s="11">
        <f>IFERROR(INDEX(tEditais[Encerramento],MATCH(tItens[[#This Row],[Edital]],tEditais[Edital],0)),"")</f>
        <v>46304.374305555553</v>
      </c>
      <c r="J3962" t="str">
        <f>IFERROR(INDEX(tProdutos[Classe],MATCH(tItens[[#This Row],[Produto]],tProdutos[Produto],0)),"produto não cadastrado")</f>
        <v>FORA</v>
      </c>
      <c r="K3962" s="12">
        <f>tItens[[#This Row],[Qtd]]*tItens[[#This Row],[Vlr unit]]</f>
        <v>1200</v>
      </c>
      <c r="L3962" s="6">
        <f>IFERROR(IF(INDEX(tProdutos[Desconto homologado],MATCH(tItens[[#This Row],[Produto]],tProdutos[Produto],0))="",DescontoPadrao,INDEX(tProdutos[Desconto homologado],MATCH(tItens[[#This Row],[Produto]],tProdutos[Produto],0))),DescontoPadrao)</f>
        <v>0.38432036097010702</v>
      </c>
      <c r="M3962" s="12">
        <f>tItens[[#This Row],[Valor]]*(1-tItens[[#This Row],[Desconto]])</f>
        <v>738.81556683587155</v>
      </c>
      <c r="N3962" t="str">
        <f>IFERROR(INDEX(tProdutos[Foco],MATCH(tItens[[#This Row],[Produto]],tProdutos[Produto],0)),"Não")</f>
        <v>Não</v>
      </c>
      <c r="O3962" t="str">
        <f>IFERROR(INDEX(tEditais[SRP],MATCH(tItens[[#This Row],[Edital]],tEditais[Edital],0)),"Não")</f>
        <v>Sim</v>
      </c>
      <c r="P3962" s="4">
        <f>IF(COUNTIFS(INDEX(tItens[Edital],1):tItens[[#This Row],[Edital]],tItens[[#This Row],[Edital]],INDEX(tItens[Produto],1):tItens[[#This Row],[Produto]],tItens[[#This Row],[Produto]])=1,1,0)</f>
        <v>0</v>
      </c>
    </row>
    <row r="3963" spans="1:16" x14ac:dyDescent="0.25">
      <c r="A3963" t="s">
        <v>1632</v>
      </c>
      <c r="B3963">
        <v>2292400</v>
      </c>
      <c r="C3963" t="s">
        <v>6822</v>
      </c>
      <c r="D3963" t="s">
        <v>351</v>
      </c>
      <c r="E3963" s="13">
        <v>6000</v>
      </c>
      <c r="F3963" s="12">
        <v>1.23</v>
      </c>
      <c r="G3963" t="str">
        <f>IFERROR(INDEX(tEditais[Órgão],MATCH(tItens[[#This Row],[Edital]],tEditais[Edital],0)),"")</f>
        <v>MUNICIPIO DE CORONEL SAPUCAIA</v>
      </c>
      <c r="H3963" t="str">
        <f>IFERROR(INDEX(tEditais[UF],MATCH(tItens[[#This Row],[Edital]],tEditais[Edital],0)),"")</f>
        <v>MS</v>
      </c>
      <c r="I3963" s="11">
        <f>IFERROR(INDEX(tEditais[Encerramento],MATCH(tItens[[#This Row],[Edital]],tEditais[Edital],0)),"")</f>
        <v>46304.374305555553</v>
      </c>
      <c r="J3963" t="str">
        <f>IFERROR(INDEX(tProdutos[Classe],MATCH(tItens[[#This Row],[Produto]],tProdutos[Produto],0)),"produto não cadastrado")</f>
        <v>FORA</v>
      </c>
      <c r="K3963" s="12">
        <f>tItens[[#This Row],[Qtd]]*tItens[[#This Row],[Vlr unit]]</f>
        <v>7380</v>
      </c>
      <c r="L3963" s="6">
        <f>IFERROR(IF(INDEX(tProdutos[Desconto homologado],MATCH(tItens[[#This Row],[Produto]],tProdutos[Produto],0))="",DescontoPadrao,INDEX(tProdutos[Desconto homologado],MATCH(tItens[[#This Row],[Produto]],tProdutos[Produto],0))),DescontoPadrao)</f>
        <v>0.33518005540166201</v>
      </c>
      <c r="M3963" s="12">
        <f>tItens[[#This Row],[Valor]]*(1-tItens[[#This Row],[Desconto]])</f>
        <v>4906.371191135735</v>
      </c>
      <c r="N3963" t="str">
        <f>IFERROR(INDEX(tProdutos[Foco],MATCH(tItens[[#This Row],[Produto]],tProdutos[Produto],0)),"Não")</f>
        <v>Não</v>
      </c>
      <c r="O3963" t="str">
        <f>IFERROR(INDEX(tEditais[SRP],MATCH(tItens[[#This Row],[Edital]],tEditais[Edital],0)),"Não")</f>
        <v>Sim</v>
      </c>
      <c r="P3963" s="4">
        <f>IF(COUNTIFS(INDEX(tItens[Edital],1):tItens[[#This Row],[Edital]],tItens[[#This Row],[Edital]],INDEX(tItens[Produto],1):tItens[[#This Row],[Produto]],tItens[[#This Row],[Produto]])=1,1,0)</f>
        <v>1</v>
      </c>
    </row>
    <row r="3964" spans="1:16" x14ac:dyDescent="0.25">
      <c r="A3964" t="s">
        <v>1632</v>
      </c>
      <c r="B3964">
        <v>2292405</v>
      </c>
      <c r="C3964" t="s">
        <v>6823</v>
      </c>
      <c r="D3964" t="s">
        <v>62</v>
      </c>
      <c r="E3964" s="13">
        <v>1500</v>
      </c>
      <c r="F3964" s="12">
        <v>4.49</v>
      </c>
      <c r="G3964" t="str">
        <f>IFERROR(INDEX(tEditais[Órgão],MATCH(tItens[[#This Row],[Edital]],tEditais[Edital],0)),"")</f>
        <v>MUNICIPIO DE CORONEL SAPUCAIA</v>
      </c>
      <c r="H3964" t="str">
        <f>IFERROR(INDEX(tEditais[UF],MATCH(tItens[[#This Row],[Edital]],tEditais[Edital],0)),"")</f>
        <v>MS</v>
      </c>
      <c r="I3964" s="11">
        <f>IFERROR(INDEX(tEditais[Encerramento],MATCH(tItens[[#This Row],[Edital]],tEditais[Edital],0)),"")</f>
        <v>46304.374305555553</v>
      </c>
      <c r="J3964" t="str">
        <f>IFERROR(INDEX(tProdutos[Classe],MATCH(tItens[[#This Row],[Produto]],tProdutos[Produto],0)),"produto não cadastrado")</f>
        <v>NÚCLEO</v>
      </c>
      <c r="K3964" s="12">
        <f>tItens[[#This Row],[Qtd]]*tItens[[#This Row],[Vlr unit]]</f>
        <v>6735</v>
      </c>
      <c r="L3964" s="6">
        <f>IFERROR(IF(INDEX(tProdutos[Desconto homologado],MATCH(tItens[[#This Row],[Produto]],tProdutos[Produto],0))="",DescontoPadrao,INDEX(tProdutos[Desconto homologado],MATCH(tItens[[#This Row],[Produto]],tProdutos[Produto],0))),DescontoPadrao)</f>
        <v>0.3</v>
      </c>
      <c r="M3964" s="12">
        <f>tItens[[#This Row],[Valor]]*(1-tItens[[#This Row],[Desconto]])</f>
        <v>4714.5</v>
      </c>
      <c r="N3964" t="str">
        <f>IFERROR(INDEX(tProdutos[Foco],MATCH(tItens[[#This Row],[Produto]],tProdutos[Produto],0)),"Não")</f>
        <v>Sim</v>
      </c>
      <c r="O3964" t="str">
        <f>IFERROR(INDEX(tEditais[SRP],MATCH(tItens[[#This Row],[Edital]],tEditais[Edital],0)),"Não")</f>
        <v>Sim</v>
      </c>
      <c r="P3964" s="4">
        <f>IF(COUNTIFS(INDEX(tItens[Edital],1):tItens[[#This Row],[Edital]],tItens[[#This Row],[Edital]],INDEX(tItens[Produto],1):tItens[[#This Row],[Produto]],tItens[[#This Row],[Produto]])=1,1,0)</f>
        <v>1</v>
      </c>
    </row>
    <row r="3965" spans="1:16" x14ac:dyDescent="0.25">
      <c r="A3965" t="s">
        <v>1632</v>
      </c>
      <c r="B3965">
        <v>2292410</v>
      </c>
      <c r="C3965" t="s">
        <v>6824</v>
      </c>
      <c r="D3965" t="s">
        <v>423</v>
      </c>
      <c r="E3965" s="13">
        <v>5</v>
      </c>
      <c r="F3965" s="12">
        <v>22.52</v>
      </c>
      <c r="G3965" t="str">
        <f>IFERROR(INDEX(tEditais[Órgão],MATCH(tItens[[#This Row],[Edital]],tEditais[Edital],0)),"")</f>
        <v>MUNICIPIO DE CORONEL SAPUCAIA</v>
      </c>
      <c r="H3965" t="str">
        <f>IFERROR(INDEX(tEditais[UF],MATCH(tItens[[#This Row],[Edital]],tEditais[Edital],0)),"")</f>
        <v>MS</v>
      </c>
      <c r="I3965" s="11">
        <f>IFERROR(INDEX(tEditais[Encerramento],MATCH(tItens[[#This Row],[Edital]],tEditais[Edital],0)),"")</f>
        <v>46304.374305555553</v>
      </c>
      <c r="J3965" t="str">
        <f>IFERROR(INDEX(tProdutos[Classe],MATCH(tItens[[#This Row],[Produto]],tProdutos[Produto],0)),"produto não cadastrado")</f>
        <v>FORA</v>
      </c>
      <c r="K3965" s="12">
        <f>tItens[[#This Row],[Qtd]]*tItens[[#This Row],[Vlr unit]]</f>
        <v>112.6</v>
      </c>
      <c r="L3965" s="6">
        <f>IFERROR(IF(INDEX(tProdutos[Desconto homologado],MATCH(tItens[[#This Row],[Produto]],tProdutos[Produto],0))="",DescontoPadrao,INDEX(tProdutos[Desconto homologado],MATCH(tItens[[#This Row],[Produto]],tProdutos[Produto],0))),DescontoPadrao)</f>
        <v>0.38271604938271597</v>
      </c>
      <c r="M3965" s="12">
        <f>tItens[[#This Row],[Valor]]*(1-tItens[[#This Row],[Desconto]])</f>
        <v>69.506172839506178</v>
      </c>
      <c r="N3965" t="str">
        <f>IFERROR(INDEX(tProdutos[Foco],MATCH(tItens[[#This Row],[Produto]],tProdutos[Produto],0)),"Não")</f>
        <v>Não</v>
      </c>
      <c r="O3965" t="str">
        <f>IFERROR(INDEX(tEditais[SRP],MATCH(tItens[[#This Row],[Edital]],tEditais[Edital],0)),"Não")</f>
        <v>Sim</v>
      </c>
      <c r="P3965" s="4">
        <f>IF(COUNTIFS(INDEX(tItens[Edital],1):tItens[[#This Row],[Edital]],tItens[[#This Row],[Edital]],INDEX(tItens[Produto],1):tItens[[#This Row],[Produto]],tItens[[#This Row],[Produto]])=1,1,0)</f>
        <v>1</v>
      </c>
    </row>
    <row r="3966" spans="1:16" x14ac:dyDescent="0.25">
      <c r="A3966" t="s">
        <v>1632</v>
      </c>
      <c r="B3966">
        <v>2292411</v>
      </c>
      <c r="C3966" t="s">
        <v>6825</v>
      </c>
      <c r="D3966" t="s">
        <v>421</v>
      </c>
      <c r="E3966" s="13">
        <v>5</v>
      </c>
      <c r="F3966" s="12">
        <v>21.05</v>
      </c>
      <c r="G3966" t="str">
        <f>IFERROR(INDEX(tEditais[Órgão],MATCH(tItens[[#This Row],[Edital]],tEditais[Edital],0)),"")</f>
        <v>MUNICIPIO DE CORONEL SAPUCAIA</v>
      </c>
      <c r="H3966" t="str">
        <f>IFERROR(INDEX(tEditais[UF],MATCH(tItens[[#This Row],[Edital]],tEditais[Edital],0)),"")</f>
        <v>MS</v>
      </c>
      <c r="I3966" s="11">
        <f>IFERROR(INDEX(tEditais[Encerramento],MATCH(tItens[[#This Row],[Edital]],tEditais[Edital],0)),"")</f>
        <v>46304.374305555553</v>
      </c>
      <c r="J3966" t="str">
        <f>IFERROR(INDEX(tProdutos[Classe],MATCH(tItens[[#This Row],[Produto]],tProdutos[Produto],0)),"produto não cadastrado")</f>
        <v>FORA</v>
      </c>
      <c r="K3966" s="12">
        <f>tItens[[#This Row],[Qtd]]*tItens[[#This Row],[Vlr unit]]</f>
        <v>105.25</v>
      </c>
      <c r="L3966" s="6">
        <f>IFERROR(IF(INDEX(tProdutos[Desconto homologado],MATCH(tItens[[#This Row],[Produto]],tProdutos[Produto],0))="",DescontoPadrao,INDEX(tProdutos[Desconto homologado],MATCH(tItens[[#This Row],[Produto]],tProdutos[Produto],0))),DescontoPadrao)</f>
        <v>0.43</v>
      </c>
      <c r="M3966" s="12">
        <f>tItens[[#This Row],[Valor]]*(1-tItens[[#This Row],[Desconto]])</f>
        <v>59.992500000000007</v>
      </c>
      <c r="N3966" t="str">
        <f>IFERROR(INDEX(tProdutos[Foco],MATCH(tItens[[#This Row],[Produto]],tProdutos[Produto],0)),"Não")</f>
        <v>Sim</v>
      </c>
      <c r="O3966" t="str">
        <f>IFERROR(INDEX(tEditais[SRP],MATCH(tItens[[#This Row],[Edital]],tEditais[Edital],0)),"Não")</f>
        <v>Sim</v>
      </c>
      <c r="P3966" s="4">
        <f>IF(COUNTIFS(INDEX(tItens[Edital],1):tItens[[#This Row],[Edital]],tItens[[#This Row],[Edital]],INDEX(tItens[Produto],1):tItens[[#This Row],[Produto]],tItens[[#This Row],[Produto]])=1,1,0)</f>
        <v>1</v>
      </c>
    </row>
    <row r="3967" spans="1:16" x14ac:dyDescent="0.25">
      <c r="A3967" t="s">
        <v>1632</v>
      </c>
      <c r="B3967">
        <v>2292424</v>
      </c>
      <c r="C3967" t="s">
        <v>6826</v>
      </c>
      <c r="D3967" t="s">
        <v>172</v>
      </c>
      <c r="E3967" s="13">
        <v>1000</v>
      </c>
      <c r="F3967" s="12">
        <v>1.1000000000000001</v>
      </c>
      <c r="G3967" t="str">
        <f>IFERROR(INDEX(tEditais[Órgão],MATCH(tItens[[#This Row],[Edital]],tEditais[Edital],0)),"")</f>
        <v>MUNICIPIO DE CORONEL SAPUCAIA</v>
      </c>
      <c r="H3967" t="str">
        <f>IFERROR(INDEX(tEditais[UF],MATCH(tItens[[#This Row],[Edital]],tEditais[Edital],0)),"")</f>
        <v>MS</v>
      </c>
      <c r="I3967" s="11">
        <f>IFERROR(INDEX(tEditais[Encerramento],MATCH(tItens[[#This Row],[Edital]],tEditais[Edital],0)),"")</f>
        <v>46304.374305555553</v>
      </c>
      <c r="J3967" t="str">
        <f>IFERROR(INDEX(tProdutos[Classe],MATCH(tItens[[#This Row],[Produto]],tProdutos[Produto],0)),"produto não cadastrado")</f>
        <v>DISPUTADO</v>
      </c>
      <c r="K3967" s="12">
        <f>tItens[[#This Row],[Qtd]]*tItens[[#This Row],[Vlr unit]]</f>
        <v>1100</v>
      </c>
      <c r="L3967" s="6">
        <f>IFERROR(IF(INDEX(tProdutos[Desconto homologado],MATCH(tItens[[#This Row],[Produto]],tProdutos[Produto],0))="",DescontoPadrao,INDEX(tProdutos[Desconto homologado],MATCH(tItens[[#This Row],[Produto]],tProdutos[Produto],0))),DescontoPadrao)</f>
        <v>0.33578431372549</v>
      </c>
      <c r="M3967" s="12">
        <f>tItens[[#This Row],[Valor]]*(1-tItens[[#This Row],[Desconto]])</f>
        <v>730.637254901961</v>
      </c>
      <c r="N3967" t="str">
        <f>IFERROR(INDEX(tProdutos[Foco],MATCH(tItens[[#This Row],[Produto]],tProdutos[Produto],0)),"Não")</f>
        <v>Não</v>
      </c>
      <c r="O3967" t="str">
        <f>IFERROR(INDEX(tEditais[SRP],MATCH(tItens[[#This Row],[Edital]],tEditais[Edital],0)),"Não")</f>
        <v>Sim</v>
      </c>
      <c r="P3967" s="4">
        <f>IF(COUNTIFS(INDEX(tItens[Edital],1):tItens[[#This Row],[Edital]],tItens[[#This Row],[Edital]],INDEX(tItens[Produto],1):tItens[[#This Row],[Produto]],tItens[[#This Row],[Produto]])=1,1,0)</f>
        <v>1</v>
      </c>
    </row>
    <row r="3968" spans="1:16" x14ac:dyDescent="0.25">
      <c r="A3968" t="s">
        <v>1632</v>
      </c>
      <c r="B3968">
        <v>2292433</v>
      </c>
      <c r="C3968" t="s">
        <v>6827</v>
      </c>
      <c r="D3968" t="s">
        <v>311</v>
      </c>
      <c r="E3968" s="13">
        <v>200</v>
      </c>
      <c r="F3968" s="12">
        <v>8.76</v>
      </c>
      <c r="G3968" t="str">
        <f>IFERROR(INDEX(tEditais[Órgão],MATCH(tItens[[#This Row],[Edital]],tEditais[Edital],0)),"")</f>
        <v>MUNICIPIO DE CORONEL SAPUCAIA</v>
      </c>
      <c r="H3968" t="str">
        <f>IFERROR(INDEX(tEditais[UF],MATCH(tItens[[#This Row],[Edital]],tEditais[Edital],0)),"")</f>
        <v>MS</v>
      </c>
      <c r="I3968" s="11">
        <f>IFERROR(INDEX(tEditais[Encerramento],MATCH(tItens[[#This Row],[Edital]],tEditais[Edital],0)),"")</f>
        <v>46304.374305555553</v>
      </c>
      <c r="J3968" t="str">
        <f>IFERROR(INDEX(tProdutos[Classe],MATCH(tItens[[#This Row],[Produto]],tProdutos[Produto],0)),"produto não cadastrado")</f>
        <v>FORA</v>
      </c>
      <c r="K3968" s="12">
        <f>tItens[[#This Row],[Qtd]]*tItens[[#This Row],[Vlr unit]]</f>
        <v>1752</v>
      </c>
      <c r="L3968" s="6">
        <f>IFERROR(IF(INDEX(tProdutos[Desconto homologado],MATCH(tItens[[#This Row],[Produto]],tProdutos[Produto],0))="",DescontoPadrao,INDEX(tProdutos[Desconto homologado],MATCH(tItens[[#This Row],[Produto]],tProdutos[Produto],0))),DescontoPadrao)</f>
        <v>0.29046182846371399</v>
      </c>
      <c r="M3968" s="12">
        <f>tItens[[#This Row],[Valor]]*(1-tItens[[#This Row],[Desconto]])</f>
        <v>1243.1108765315732</v>
      </c>
      <c r="N3968" t="str">
        <f>IFERROR(INDEX(tProdutos[Foco],MATCH(tItens[[#This Row],[Produto]],tProdutos[Produto],0)),"Não")</f>
        <v>Não</v>
      </c>
      <c r="O3968" t="str">
        <f>IFERROR(INDEX(tEditais[SRP],MATCH(tItens[[#This Row],[Edital]],tEditais[Edital],0)),"Não")</f>
        <v>Sim</v>
      </c>
      <c r="P3968" s="4">
        <f>IF(COUNTIFS(INDEX(tItens[Edital],1):tItens[[#This Row],[Edital]],tItens[[#This Row],[Edital]],INDEX(tItens[Produto],1):tItens[[#This Row],[Produto]],tItens[[#This Row],[Produto]])=1,1,0)</f>
        <v>1</v>
      </c>
    </row>
    <row r="3969" spans="1:16" x14ac:dyDescent="0.25">
      <c r="A3969" t="s">
        <v>1632</v>
      </c>
      <c r="B3969">
        <v>2292443</v>
      </c>
      <c r="C3969" t="s">
        <v>6828</v>
      </c>
      <c r="D3969" t="s">
        <v>333</v>
      </c>
      <c r="E3969" s="13">
        <v>15000</v>
      </c>
      <c r="F3969" s="12">
        <v>0.94</v>
      </c>
      <c r="G3969" t="str">
        <f>IFERROR(INDEX(tEditais[Órgão],MATCH(tItens[[#This Row],[Edital]],tEditais[Edital],0)),"")</f>
        <v>MUNICIPIO DE CORONEL SAPUCAIA</v>
      </c>
      <c r="H3969" t="str">
        <f>IFERROR(INDEX(tEditais[UF],MATCH(tItens[[#This Row],[Edital]],tEditais[Edital],0)),"")</f>
        <v>MS</v>
      </c>
      <c r="I3969" s="11">
        <f>IFERROR(INDEX(tEditais[Encerramento],MATCH(tItens[[#This Row],[Edital]],tEditais[Edital],0)),"")</f>
        <v>46304.374305555553</v>
      </c>
      <c r="J3969" t="str">
        <f>IFERROR(INDEX(tProdutos[Classe],MATCH(tItens[[#This Row],[Produto]],tProdutos[Produto],0)),"produto não cadastrado")</f>
        <v>FORA</v>
      </c>
      <c r="K3969" s="12">
        <f>tItens[[#This Row],[Qtd]]*tItens[[#This Row],[Vlr unit]]</f>
        <v>14100</v>
      </c>
      <c r="L3969" s="6">
        <f>IFERROR(IF(INDEX(tProdutos[Desconto homologado],MATCH(tItens[[#This Row],[Produto]],tProdutos[Produto],0))="",DescontoPadrao,INDEX(tProdutos[Desconto homologado],MATCH(tItens[[#This Row],[Produto]],tProdutos[Produto],0))),DescontoPadrao)</f>
        <v>0.48951048951048998</v>
      </c>
      <c r="M3969" s="12">
        <f>tItens[[#This Row],[Valor]]*(1-tItens[[#This Row],[Desconto]])</f>
        <v>7197.9020979020906</v>
      </c>
      <c r="N3969" t="str">
        <f>IFERROR(INDEX(tProdutos[Foco],MATCH(tItens[[#This Row],[Produto]],tProdutos[Produto],0)),"Não")</f>
        <v>Não</v>
      </c>
      <c r="O3969" t="str">
        <f>IFERROR(INDEX(tEditais[SRP],MATCH(tItens[[#This Row],[Edital]],tEditais[Edital],0)),"Não")</f>
        <v>Sim</v>
      </c>
      <c r="P3969" s="4">
        <f>IF(COUNTIFS(INDEX(tItens[Edital],1):tItens[[#This Row],[Edital]],tItens[[#This Row],[Edital]],INDEX(tItens[Produto],1):tItens[[#This Row],[Produto]],tItens[[#This Row],[Produto]])=1,1,0)</f>
        <v>1</v>
      </c>
    </row>
    <row r="3970" spans="1:16" x14ac:dyDescent="0.25">
      <c r="A3970" t="s">
        <v>1632</v>
      </c>
      <c r="B3970">
        <v>2292446</v>
      </c>
      <c r="C3970" t="s">
        <v>6829</v>
      </c>
      <c r="D3970" t="s">
        <v>187</v>
      </c>
      <c r="E3970" s="13">
        <v>500</v>
      </c>
      <c r="F3970" s="12">
        <v>1.24</v>
      </c>
      <c r="G3970" t="str">
        <f>IFERROR(INDEX(tEditais[Órgão],MATCH(tItens[[#This Row],[Edital]],tEditais[Edital],0)),"")</f>
        <v>MUNICIPIO DE CORONEL SAPUCAIA</v>
      </c>
      <c r="H3970" t="str">
        <f>IFERROR(INDEX(tEditais[UF],MATCH(tItens[[#This Row],[Edital]],tEditais[Edital],0)),"")</f>
        <v>MS</v>
      </c>
      <c r="I3970" s="11">
        <f>IFERROR(INDEX(tEditais[Encerramento],MATCH(tItens[[#This Row],[Edital]],tEditais[Edital],0)),"")</f>
        <v>46304.374305555553</v>
      </c>
      <c r="J3970" t="str">
        <f>IFERROR(INDEX(tProdutos[Classe],MATCH(tItens[[#This Row],[Produto]],tProdutos[Produto],0)),"produto não cadastrado")</f>
        <v>DISPUTADO</v>
      </c>
      <c r="K3970" s="12">
        <f>tItens[[#This Row],[Qtd]]*tItens[[#This Row],[Vlr unit]]</f>
        <v>620</v>
      </c>
      <c r="L3970" s="6">
        <f>IFERROR(IF(INDEX(tProdutos[Desconto homologado],MATCH(tItens[[#This Row],[Produto]],tProdutos[Produto],0))="",DescontoPadrao,INDEX(tProdutos[Desconto homologado],MATCH(tItens[[#This Row],[Produto]],tProdutos[Produto],0))),DescontoPadrao)</f>
        <v>0.44298820445609399</v>
      </c>
      <c r="M3970" s="12">
        <f>tItens[[#This Row],[Valor]]*(1-tItens[[#This Row],[Desconto]])</f>
        <v>345.34731323722173</v>
      </c>
      <c r="N3970" t="str">
        <f>IFERROR(INDEX(tProdutos[Foco],MATCH(tItens[[#This Row],[Produto]],tProdutos[Produto],0)),"Não")</f>
        <v>Não</v>
      </c>
      <c r="O3970" t="str">
        <f>IFERROR(INDEX(tEditais[SRP],MATCH(tItens[[#This Row],[Edital]],tEditais[Edital],0)),"Não")</f>
        <v>Sim</v>
      </c>
      <c r="P3970" s="4">
        <f>IF(COUNTIFS(INDEX(tItens[Edital],1):tItens[[#This Row],[Edital]],tItens[[#This Row],[Edital]],INDEX(tItens[Produto],1):tItens[[#This Row],[Produto]],tItens[[#This Row],[Produto]])=1,1,0)</f>
        <v>1</v>
      </c>
    </row>
    <row r="3971" spans="1:16" x14ac:dyDescent="0.25">
      <c r="A3971" t="s">
        <v>1632</v>
      </c>
      <c r="B3971">
        <v>2292449</v>
      </c>
      <c r="C3971" t="s">
        <v>6830</v>
      </c>
      <c r="D3971" t="s">
        <v>60</v>
      </c>
      <c r="E3971" s="13">
        <v>2000</v>
      </c>
      <c r="F3971" s="12">
        <v>0.43</v>
      </c>
      <c r="G3971" t="str">
        <f>IFERROR(INDEX(tEditais[Órgão],MATCH(tItens[[#This Row],[Edital]],tEditais[Edital],0)),"")</f>
        <v>MUNICIPIO DE CORONEL SAPUCAIA</v>
      </c>
      <c r="H3971" t="str">
        <f>IFERROR(INDEX(tEditais[UF],MATCH(tItens[[#This Row],[Edital]],tEditais[Edital],0)),"")</f>
        <v>MS</v>
      </c>
      <c r="I3971" s="11">
        <f>IFERROR(INDEX(tEditais[Encerramento],MATCH(tItens[[#This Row],[Edital]],tEditais[Edital],0)),"")</f>
        <v>46304.374305555553</v>
      </c>
      <c r="J3971" t="str">
        <f>IFERROR(INDEX(tProdutos[Classe],MATCH(tItens[[#This Row],[Produto]],tProdutos[Produto],0)),"produto não cadastrado")</f>
        <v>NÚCLEO</v>
      </c>
      <c r="K3971" s="12">
        <f>tItens[[#This Row],[Qtd]]*tItens[[#This Row],[Vlr unit]]</f>
        <v>860</v>
      </c>
      <c r="L3971" s="6">
        <f>IFERROR(IF(INDEX(tProdutos[Desconto homologado],MATCH(tItens[[#This Row],[Produto]],tProdutos[Produto],0))="",DescontoPadrao,INDEX(tProdutos[Desconto homologado],MATCH(tItens[[#This Row],[Produto]],tProdutos[Produto],0))),DescontoPadrao)</f>
        <v>0.23</v>
      </c>
      <c r="M3971" s="12">
        <f>tItens[[#This Row],[Valor]]*(1-tItens[[#This Row],[Desconto]])</f>
        <v>662.2</v>
      </c>
      <c r="N3971" t="str">
        <f>IFERROR(INDEX(tProdutos[Foco],MATCH(tItens[[#This Row],[Produto]],tProdutos[Produto],0)),"Não")</f>
        <v>Sim</v>
      </c>
      <c r="O3971" t="str">
        <f>IFERROR(INDEX(tEditais[SRP],MATCH(tItens[[#This Row],[Edital]],tEditais[Edital],0)),"Não")</f>
        <v>Sim</v>
      </c>
      <c r="P3971" s="4">
        <f>IF(COUNTIFS(INDEX(tItens[Edital],1):tItens[[#This Row],[Edital]],tItens[[#This Row],[Edital]],INDEX(tItens[Produto],1):tItens[[#This Row],[Produto]],tItens[[#This Row],[Produto]])=1,1,0)</f>
        <v>1</v>
      </c>
    </row>
    <row r="3972" spans="1:16" x14ac:dyDescent="0.25">
      <c r="A3972" t="s">
        <v>1632</v>
      </c>
      <c r="B3972">
        <v>2292451</v>
      </c>
      <c r="C3972" t="s">
        <v>6831</v>
      </c>
      <c r="D3972" t="s">
        <v>90</v>
      </c>
      <c r="E3972" s="13">
        <v>1500</v>
      </c>
      <c r="F3972" s="12">
        <v>11.84</v>
      </c>
      <c r="G3972" t="str">
        <f>IFERROR(INDEX(tEditais[Órgão],MATCH(tItens[[#This Row],[Edital]],tEditais[Edital],0)),"")</f>
        <v>MUNICIPIO DE CORONEL SAPUCAIA</v>
      </c>
      <c r="H3972" t="str">
        <f>IFERROR(INDEX(tEditais[UF],MATCH(tItens[[#This Row],[Edital]],tEditais[Edital],0)),"")</f>
        <v>MS</v>
      </c>
      <c r="I3972" s="11">
        <f>IFERROR(INDEX(tEditais[Encerramento],MATCH(tItens[[#This Row],[Edital]],tEditais[Edital],0)),"")</f>
        <v>46304.374305555553</v>
      </c>
      <c r="J3972" t="str">
        <f>IFERROR(INDEX(tProdutos[Classe],MATCH(tItens[[#This Row],[Produto]],tProdutos[Produto],0)),"produto não cadastrado")</f>
        <v>DISPUTADO</v>
      </c>
      <c r="K3972" s="12">
        <f>tItens[[#This Row],[Qtd]]*tItens[[#This Row],[Vlr unit]]</f>
        <v>17760</v>
      </c>
      <c r="L3972" s="6">
        <f>IFERROR(IF(INDEX(tProdutos[Desconto homologado],MATCH(tItens[[#This Row],[Produto]],tProdutos[Produto],0))="",DescontoPadrao,INDEX(tProdutos[Desconto homologado],MATCH(tItens[[#This Row],[Produto]],tProdutos[Produto],0))),DescontoPadrao)</f>
        <v>0.25393823957010597</v>
      </c>
      <c r="M3972" s="12">
        <f>tItens[[#This Row],[Valor]]*(1-tItens[[#This Row],[Desconto]])</f>
        <v>13250.056865234917</v>
      </c>
      <c r="N3972" t="str">
        <f>IFERROR(INDEX(tProdutos[Foco],MATCH(tItens[[#This Row],[Produto]],tProdutos[Produto],0)),"Não")</f>
        <v>Não</v>
      </c>
      <c r="O3972" t="str">
        <f>IFERROR(INDEX(tEditais[SRP],MATCH(tItens[[#This Row],[Edital]],tEditais[Edital],0)),"Não")</f>
        <v>Sim</v>
      </c>
      <c r="P3972" s="4">
        <f>IF(COUNTIFS(INDEX(tItens[Edital],1):tItens[[#This Row],[Edital]],tItens[[#This Row],[Edital]],INDEX(tItens[Produto],1):tItens[[#This Row],[Produto]],tItens[[#This Row],[Produto]])=1,1,0)</f>
        <v>1</v>
      </c>
    </row>
    <row r="3973" spans="1:16" x14ac:dyDescent="0.25">
      <c r="A3973" t="s">
        <v>1632</v>
      </c>
      <c r="B3973">
        <v>2292452</v>
      </c>
      <c r="C3973" t="s">
        <v>6832</v>
      </c>
      <c r="D3973" t="s">
        <v>233</v>
      </c>
      <c r="E3973" s="13">
        <v>2000</v>
      </c>
      <c r="F3973" s="12">
        <v>0.16</v>
      </c>
      <c r="G3973" t="str">
        <f>IFERROR(INDEX(tEditais[Órgão],MATCH(tItens[[#This Row],[Edital]],tEditais[Edital],0)),"")</f>
        <v>MUNICIPIO DE CORONEL SAPUCAIA</v>
      </c>
      <c r="H3973" t="str">
        <f>IFERROR(INDEX(tEditais[UF],MATCH(tItens[[#This Row],[Edital]],tEditais[Edital],0)),"")</f>
        <v>MS</v>
      </c>
      <c r="I3973" s="11">
        <f>IFERROR(INDEX(tEditais[Encerramento],MATCH(tItens[[#This Row],[Edital]],tEditais[Edital],0)),"")</f>
        <v>46304.374305555553</v>
      </c>
      <c r="J3973" t="str">
        <f>IFERROR(INDEX(tProdutos[Classe],MATCH(tItens[[#This Row],[Produto]],tProdutos[Produto],0)),"produto não cadastrado")</f>
        <v>FORA</v>
      </c>
      <c r="K3973" s="12">
        <f>tItens[[#This Row],[Qtd]]*tItens[[#This Row],[Vlr unit]]</f>
        <v>320</v>
      </c>
      <c r="L3973" s="6">
        <f>IFERROR(IF(INDEX(tProdutos[Desconto homologado],MATCH(tItens[[#This Row],[Produto]],tProdutos[Produto],0))="",DescontoPadrao,INDEX(tProdutos[Desconto homologado],MATCH(tItens[[#This Row],[Produto]],tProdutos[Produto],0))),DescontoPadrao)</f>
        <v>0.246270084162204</v>
      </c>
      <c r="M3973" s="12">
        <f>tItens[[#This Row],[Valor]]*(1-tItens[[#This Row],[Desconto]])</f>
        <v>241.19357306809474</v>
      </c>
      <c r="N3973" t="str">
        <f>IFERROR(INDEX(tProdutos[Foco],MATCH(tItens[[#This Row],[Produto]],tProdutos[Produto],0)),"Não")</f>
        <v>Não</v>
      </c>
      <c r="O3973" t="str">
        <f>IFERROR(INDEX(tEditais[SRP],MATCH(tItens[[#This Row],[Edital]],tEditais[Edital],0)),"Não")</f>
        <v>Sim</v>
      </c>
      <c r="P3973" s="4">
        <f>IF(COUNTIFS(INDEX(tItens[Edital],1):tItens[[#This Row],[Edital]],tItens[[#This Row],[Edital]],INDEX(tItens[Produto],1):tItens[[#This Row],[Produto]],tItens[[#This Row],[Produto]])=1,1,0)</f>
        <v>1</v>
      </c>
    </row>
    <row r="3974" spans="1:16" x14ac:dyDescent="0.25">
      <c r="A3974" t="s">
        <v>1632</v>
      </c>
      <c r="B3974">
        <v>2292453</v>
      </c>
      <c r="C3974" t="s">
        <v>6833</v>
      </c>
      <c r="D3974" t="s">
        <v>75</v>
      </c>
      <c r="E3974" s="13">
        <v>1000</v>
      </c>
      <c r="F3974" s="12">
        <v>1.91</v>
      </c>
      <c r="G3974" t="str">
        <f>IFERROR(INDEX(tEditais[Órgão],MATCH(tItens[[#This Row],[Edital]],tEditais[Edital],0)),"")</f>
        <v>MUNICIPIO DE CORONEL SAPUCAIA</v>
      </c>
      <c r="H3974" t="str">
        <f>IFERROR(INDEX(tEditais[UF],MATCH(tItens[[#This Row],[Edital]],tEditais[Edital],0)),"")</f>
        <v>MS</v>
      </c>
      <c r="I3974" s="11">
        <f>IFERROR(INDEX(tEditais[Encerramento],MATCH(tItens[[#This Row],[Edital]],tEditais[Edital],0)),"")</f>
        <v>46304.374305555553</v>
      </c>
      <c r="J3974" t="str">
        <f>IFERROR(INDEX(tProdutos[Classe],MATCH(tItens[[#This Row],[Produto]],tProdutos[Produto],0)),"produto não cadastrado")</f>
        <v>NÚCLEO</v>
      </c>
      <c r="K3974" s="12">
        <f>tItens[[#This Row],[Qtd]]*tItens[[#This Row],[Vlr unit]]</f>
        <v>1910</v>
      </c>
      <c r="L3974" s="6">
        <f>IFERROR(IF(INDEX(tProdutos[Desconto homologado],MATCH(tItens[[#This Row],[Produto]],tProdutos[Produto],0))="",DescontoPadrao,INDEX(tProdutos[Desconto homologado],MATCH(tItens[[#This Row],[Produto]],tProdutos[Produto],0))),DescontoPadrao)</f>
        <v>0.26</v>
      </c>
      <c r="M3974" s="12">
        <f>tItens[[#This Row],[Valor]]*(1-tItens[[#This Row],[Desconto]])</f>
        <v>1413.4</v>
      </c>
      <c r="N3974" t="str">
        <f>IFERROR(INDEX(tProdutos[Foco],MATCH(tItens[[#This Row],[Produto]],tProdutos[Produto],0)),"Não")</f>
        <v>Sim</v>
      </c>
      <c r="O3974" t="str">
        <f>IFERROR(INDEX(tEditais[SRP],MATCH(tItens[[#This Row],[Edital]],tEditais[Edital],0)),"Não")</f>
        <v>Sim</v>
      </c>
      <c r="P3974" s="4">
        <f>IF(COUNTIFS(INDEX(tItens[Edital],1):tItens[[#This Row],[Edital]],tItens[[#This Row],[Edital]],INDEX(tItens[Produto],1):tItens[[#This Row],[Produto]],tItens[[#This Row],[Produto]])=1,1,0)</f>
        <v>1</v>
      </c>
    </row>
    <row r="3975" spans="1:16" x14ac:dyDescent="0.25">
      <c r="A3975" t="s">
        <v>1632</v>
      </c>
      <c r="B3975">
        <v>2292454</v>
      </c>
      <c r="C3975" t="s">
        <v>6834</v>
      </c>
      <c r="D3975" t="s">
        <v>75</v>
      </c>
      <c r="E3975" s="13">
        <v>300</v>
      </c>
      <c r="F3975" s="12">
        <v>1.75</v>
      </c>
      <c r="G3975" t="str">
        <f>IFERROR(INDEX(tEditais[Órgão],MATCH(tItens[[#This Row],[Edital]],tEditais[Edital],0)),"")</f>
        <v>MUNICIPIO DE CORONEL SAPUCAIA</v>
      </c>
      <c r="H3975" t="str">
        <f>IFERROR(INDEX(tEditais[UF],MATCH(tItens[[#This Row],[Edital]],tEditais[Edital],0)),"")</f>
        <v>MS</v>
      </c>
      <c r="I3975" s="11">
        <f>IFERROR(INDEX(tEditais[Encerramento],MATCH(tItens[[#This Row],[Edital]],tEditais[Edital],0)),"")</f>
        <v>46304.374305555553</v>
      </c>
      <c r="J3975" t="str">
        <f>IFERROR(INDEX(tProdutos[Classe],MATCH(tItens[[#This Row],[Produto]],tProdutos[Produto],0)),"produto não cadastrado")</f>
        <v>NÚCLEO</v>
      </c>
      <c r="K3975" s="12">
        <f>tItens[[#This Row],[Qtd]]*tItens[[#This Row],[Vlr unit]]</f>
        <v>525</v>
      </c>
      <c r="L3975" s="6">
        <f>IFERROR(IF(INDEX(tProdutos[Desconto homologado],MATCH(tItens[[#This Row],[Produto]],tProdutos[Produto],0))="",DescontoPadrao,INDEX(tProdutos[Desconto homologado],MATCH(tItens[[#This Row],[Produto]],tProdutos[Produto],0))),DescontoPadrao)</f>
        <v>0.26</v>
      </c>
      <c r="M3975" s="12">
        <f>tItens[[#This Row],[Valor]]*(1-tItens[[#This Row],[Desconto]])</f>
        <v>388.5</v>
      </c>
      <c r="N3975" t="str">
        <f>IFERROR(INDEX(tProdutos[Foco],MATCH(tItens[[#This Row],[Produto]],tProdutos[Produto],0)),"Não")</f>
        <v>Sim</v>
      </c>
      <c r="O3975" t="str">
        <f>IFERROR(INDEX(tEditais[SRP],MATCH(tItens[[#This Row],[Edital]],tEditais[Edital],0)),"Não")</f>
        <v>Sim</v>
      </c>
      <c r="P3975" s="4">
        <f>IF(COUNTIFS(INDEX(tItens[Edital],1):tItens[[#This Row],[Edital]],tItens[[#This Row],[Edital]],INDEX(tItens[Produto],1):tItens[[#This Row],[Produto]],tItens[[#This Row],[Produto]])=1,1,0)</f>
        <v>0</v>
      </c>
    </row>
    <row r="3976" spans="1:16" x14ac:dyDescent="0.25">
      <c r="A3976" t="s">
        <v>1632</v>
      </c>
      <c r="B3976">
        <v>2292455</v>
      </c>
      <c r="C3976" t="s">
        <v>6835</v>
      </c>
      <c r="D3976" t="s">
        <v>75</v>
      </c>
      <c r="E3976" s="13">
        <v>800</v>
      </c>
      <c r="F3976" s="12">
        <v>2.0499999999999998</v>
      </c>
      <c r="G3976" t="str">
        <f>IFERROR(INDEX(tEditais[Órgão],MATCH(tItens[[#This Row],[Edital]],tEditais[Edital],0)),"")</f>
        <v>MUNICIPIO DE CORONEL SAPUCAIA</v>
      </c>
      <c r="H3976" t="str">
        <f>IFERROR(INDEX(tEditais[UF],MATCH(tItens[[#This Row],[Edital]],tEditais[Edital],0)),"")</f>
        <v>MS</v>
      </c>
      <c r="I3976" s="11">
        <f>IFERROR(INDEX(tEditais[Encerramento],MATCH(tItens[[#This Row],[Edital]],tEditais[Edital],0)),"")</f>
        <v>46304.374305555553</v>
      </c>
      <c r="J3976" t="str">
        <f>IFERROR(INDEX(tProdutos[Classe],MATCH(tItens[[#This Row],[Produto]],tProdutos[Produto],0)),"produto não cadastrado")</f>
        <v>NÚCLEO</v>
      </c>
      <c r="K3976" s="12">
        <f>tItens[[#This Row],[Qtd]]*tItens[[#This Row],[Vlr unit]]</f>
        <v>1639.9999999999998</v>
      </c>
      <c r="L3976" s="6">
        <f>IFERROR(IF(INDEX(tProdutos[Desconto homologado],MATCH(tItens[[#This Row],[Produto]],tProdutos[Produto],0))="",DescontoPadrao,INDEX(tProdutos[Desconto homologado],MATCH(tItens[[#This Row],[Produto]],tProdutos[Produto],0))),DescontoPadrao)</f>
        <v>0.26</v>
      </c>
      <c r="M3976" s="12">
        <f>tItens[[#This Row],[Valor]]*(1-tItens[[#This Row],[Desconto]])</f>
        <v>1213.5999999999999</v>
      </c>
      <c r="N3976" t="str">
        <f>IFERROR(INDEX(tProdutos[Foco],MATCH(tItens[[#This Row],[Produto]],tProdutos[Produto],0)),"Não")</f>
        <v>Sim</v>
      </c>
      <c r="O3976" t="str">
        <f>IFERROR(INDEX(tEditais[SRP],MATCH(tItens[[#This Row],[Edital]],tEditais[Edital],0)),"Não")</f>
        <v>Sim</v>
      </c>
      <c r="P3976" s="4">
        <f>IF(COUNTIFS(INDEX(tItens[Edital],1):tItens[[#This Row],[Edital]],tItens[[#This Row],[Edital]],INDEX(tItens[Produto],1):tItens[[#This Row],[Produto]],tItens[[#This Row],[Produto]])=1,1,0)</f>
        <v>0</v>
      </c>
    </row>
    <row r="3977" spans="1:16" x14ac:dyDescent="0.25">
      <c r="A3977" t="s">
        <v>1632</v>
      </c>
      <c r="B3977">
        <v>2292457</v>
      </c>
      <c r="C3977" t="s">
        <v>6836</v>
      </c>
      <c r="D3977" t="s">
        <v>136</v>
      </c>
      <c r="E3977" s="13">
        <v>100</v>
      </c>
      <c r="F3977" s="12">
        <v>8.51</v>
      </c>
      <c r="G3977" t="str">
        <f>IFERROR(INDEX(tEditais[Órgão],MATCH(tItens[[#This Row],[Edital]],tEditais[Edital],0)),"")</f>
        <v>MUNICIPIO DE CORONEL SAPUCAIA</v>
      </c>
      <c r="H3977" t="str">
        <f>IFERROR(INDEX(tEditais[UF],MATCH(tItens[[#This Row],[Edital]],tEditais[Edital],0)),"")</f>
        <v>MS</v>
      </c>
      <c r="I3977" s="11">
        <f>IFERROR(INDEX(tEditais[Encerramento],MATCH(tItens[[#This Row],[Edital]],tEditais[Edital],0)),"")</f>
        <v>46304.374305555553</v>
      </c>
      <c r="J3977" t="str">
        <f>IFERROR(INDEX(tProdutos[Classe],MATCH(tItens[[#This Row],[Produto]],tProdutos[Produto],0)),"produto não cadastrado")</f>
        <v>DISPUTADO</v>
      </c>
      <c r="K3977" s="12">
        <f>tItens[[#This Row],[Qtd]]*tItens[[#This Row],[Vlr unit]]</f>
        <v>851</v>
      </c>
      <c r="L3977" s="6">
        <f>IFERROR(IF(INDEX(tProdutos[Desconto homologado],MATCH(tItens[[#This Row],[Produto]],tProdutos[Produto],0))="",DescontoPadrao,INDEX(tProdutos[Desconto homologado],MATCH(tItens[[#This Row],[Produto]],tProdutos[Produto],0))),DescontoPadrao)</f>
        <v>0.330646209370899</v>
      </c>
      <c r="M3977" s="12">
        <f>tItens[[#This Row],[Valor]]*(1-tItens[[#This Row],[Desconto]])</f>
        <v>569.62007582536489</v>
      </c>
      <c r="N3977" t="str">
        <f>IFERROR(INDEX(tProdutos[Foco],MATCH(tItens[[#This Row],[Produto]],tProdutos[Produto],0)),"Não")</f>
        <v>Não</v>
      </c>
      <c r="O3977" t="str">
        <f>IFERROR(INDEX(tEditais[SRP],MATCH(tItens[[#This Row],[Edital]],tEditais[Edital],0)),"Não")</f>
        <v>Sim</v>
      </c>
      <c r="P3977" s="4">
        <f>IF(COUNTIFS(INDEX(tItens[Edital],1):tItens[[#This Row],[Edital]],tItens[[#This Row],[Edital]],INDEX(tItens[Produto],1):tItens[[#This Row],[Produto]],tItens[[#This Row],[Produto]])=1,1,0)</f>
        <v>1</v>
      </c>
    </row>
    <row r="3978" spans="1:16" x14ac:dyDescent="0.25">
      <c r="A3978" t="s">
        <v>1632</v>
      </c>
      <c r="B3978">
        <v>2292478</v>
      </c>
      <c r="C3978" t="s">
        <v>6837</v>
      </c>
      <c r="D3978" t="s">
        <v>77</v>
      </c>
      <c r="E3978" s="13">
        <v>50</v>
      </c>
      <c r="F3978" s="12">
        <v>9.2899999999999991</v>
      </c>
      <c r="G3978" t="str">
        <f>IFERROR(INDEX(tEditais[Órgão],MATCH(tItens[[#This Row],[Edital]],tEditais[Edital],0)),"")</f>
        <v>MUNICIPIO DE CORONEL SAPUCAIA</v>
      </c>
      <c r="H3978" t="str">
        <f>IFERROR(INDEX(tEditais[UF],MATCH(tItens[[#This Row],[Edital]],tEditais[Edital],0)),"")</f>
        <v>MS</v>
      </c>
      <c r="I3978" s="11">
        <f>IFERROR(INDEX(tEditais[Encerramento],MATCH(tItens[[#This Row],[Edital]],tEditais[Edital],0)),"")</f>
        <v>46304.374305555553</v>
      </c>
      <c r="J3978" t="str">
        <f>IFERROR(INDEX(tProdutos[Classe],MATCH(tItens[[#This Row],[Produto]],tProdutos[Produto],0)),"produto não cadastrado")</f>
        <v>DISPUTADO</v>
      </c>
      <c r="K3978" s="12">
        <f>tItens[[#This Row],[Qtd]]*tItens[[#This Row],[Vlr unit]]</f>
        <v>464.49999999999994</v>
      </c>
      <c r="L3978" s="6">
        <f>IFERROR(IF(INDEX(tProdutos[Desconto homologado],MATCH(tItens[[#This Row],[Produto]],tProdutos[Produto],0))="",DescontoPadrao,INDEX(tProdutos[Desconto homologado],MATCH(tItens[[#This Row],[Produto]],tProdutos[Produto],0))),DescontoPadrao)</f>
        <v>0.33</v>
      </c>
      <c r="M3978" s="12">
        <f>tItens[[#This Row],[Valor]]*(1-tItens[[#This Row],[Desconto]])</f>
        <v>311.21499999999992</v>
      </c>
      <c r="N3978" t="str">
        <f>IFERROR(INDEX(tProdutos[Foco],MATCH(tItens[[#This Row],[Produto]],tProdutos[Produto],0)),"Não")</f>
        <v>Sim</v>
      </c>
      <c r="O3978" t="str">
        <f>IFERROR(INDEX(tEditais[SRP],MATCH(tItens[[#This Row],[Edital]],tEditais[Edital],0)),"Não")</f>
        <v>Sim</v>
      </c>
      <c r="P3978" s="4">
        <f>IF(COUNTIFS(INDEX(tItens[Edital],1):tItens[[#This Row],[Edital]],tItens[[#This Row],[Edital]],INDEX(tItens[Produto],1):tItens[[#This Row],[Produto]],tItens[[#This Row],[Produto]])=1,1,0)</f>
        <v>1</v>
      </c>
    </row>
    <row r="3979" spans="1:16" x14ac:dyDescent="0.25">
      <c r="A3979" t="s">
        <v>1632</v>
      </c>
      <c r="B3979">
        <v>2292486</v>
      </c>
      <c r="C3979" t="s">
        <v>6838</v>
      </c>
      <c r="D3979" t="s">
        <v>245</v>
      </c>
      <c r="E3979" s="13">
        <v>30</v>
      </c>
      <c r="F3979" s="12">
        <v>95.98</v>
      </c>
      <c r="G3979" t="str">
        <f>IFERROR(INDEX(tEditais[Órgão],MATCH(tItens[[#This Row],[Edital]],tEditais[Edital],0)),"")</f>
        <v>MUNICIPIO DE CORONEL SAPUCAIA</v>
      </c>
      <c r="H3979" t="str">
        <f>IFERROR(INDEX(tEditais[UF],MATCH(tItens[[#This Row],[Edital]],tEditais[Edital],0)),"")</f>
        <v>MS</v>
      </c>
      <c r="I3979" s="11">
        <f>IFERROR(INDEX(tEditais[Encerramento],MATCH(tItens[[#This Row],[Edital]],tEditais[Edital],0)),"")</f>
        <v>46304.374305555553</v>
      </c>
      <c r="J3979" t="str">
        <f>IFERROR(INDEX(tProdutos[Classe],MATCH(tItens[[#This Row],[Produto]],tProdutos[Produto],0)),"produto não cadastrado")</f>
        <v>FORA</v>
      </c>
      <c r="K3979" s="12">
        <f>tItens[[#This Row],[Qtd]]*tItens[[#This Row],[Vlr unit]]</f>
        <v>2879.4</v>
      </c>
      <c r="L3979" s="6">
        <f>IFERROR(IF(INDEX(tProdutos[Desconto homologado],MATCH(tItens[[#This Row],[Produto]],tProdutos[Produto],0))="",DescontoPadrao,INDEX(tProdutos[Desconto homologado],MATCH(tItens[[#This Row],[Produto]],tProdutos[Produto],0))),DescontoPadrao)</f>
        <v>0.34516963542284401</v>
      </c>
      <c r="M3979" s="12">
        <f>tItens[[#This Row],[Valor]]*(1-tItens[[#This Row],[Desconto]])</f>
        <v>1885.5185517634632</v>
      </c>
      <c r="N3979" t="str">
        <f>IFERROR(INDEX(tProdutos[Foco],MATCH(tItens[[#This Row],[Produto]],tProdutos[Produto],0)),"Não")</f>
        <v>Não</v>
      </c>
      <c r="O3979" t="str">
        <f>IFERROR(INDEX(tEditais[SRP],MATCH(tItens[[#This Row],[Edital]],tEditais[Edital],0)),"Não")</f>
        <v>Sim</v>
      </c>
      <c r="P3979" s="4">
        <f>IF(COUNTIFS(INDEX(tItens[Edital],1):tItens[[#This Row],[Edital]],tItens[[#This Row],[Edital]],INDEX(tItens[Produto],1):tItens[[#This Row],[Produto]],tItens[[#This Row],[Produto]])=1,1,0)</f>
        <v>1</v>
      </c>
    </row>
    <row r="3980" spans="1:16" x14ac:dyDescent="0.25">
      <c r="A3980" t="s">
        <v>1632</v>
      </c>
      <c r="B3980">
        <v>2292489</v>
      </c>
      <c r="C3980" t="s">
        <v>6839</v>
      </c>
      <c r="D3980" t="s">
        <v>56</v>
      </c>
      <c r="E3980" s="13">
        <v>500</v>
      </c>
      <c r="F3980" s="12">
        <v>0.34</v>
      </c>
      <c r="G3980" t="str">
        <f>IFERROR(INDEX(tEditais[Órgão],MATCH(tItens[[#This Row],[Edital]],tEditais[Edital],0)),"")</f>
        <v>MUNICIPIO DE CORONEL SAPUCAIA</v>
      </c>
      <c r="H3980" t="str">
        <f>IFERROR(INDEX(tEditais[UF],MATCH(tItens[[#This Row],[Edital]],tEditais[Edital],0)),"")</f>
        <v>MS</v>
      </c>
      <c r="I3980" s="11">
        <f>IFERROR(INDEX(tEditais[Encerramento],MATCH(tItens[[#This Row],[Edital]],tEditais[Edital],0)),"")</f>
        <v>46304.374305555553</v>
      </c>
      <c r="J3980" t="str">
        <f>IFERROR(INDEX(tProdutos[Classe],MATCH(tItens[[#This Row],[Produto]],tProdutos[Produto],0)),"produto não cadastrado")</f>
        <v>NÚCLEO</v>
      </c>
      <c r="K3980" s="12">
        <f>tItens[[#This Row],[Qtd]]*tItens[[#This Row],[Vlr unit]]</f>
        <v>170</v>
      </c>
      <c r="L3980" s="6">
        <f>IFERROR(IF(INDEX(tProdutos[Desconto homologado],MATCH(tItens[[#This Row],[Produto]],tProdutos[Produto],0))="",DescontoPadrao,INDEX(tProdutos[Desconto homologado],MATCH(tItens[[#This Row],[Produto]],tProdutos[Produto],0))),DescontoPadrao)</f>
        <v>0.34</v>
      </c>
      <c r="M3980" s="12">
        <f>tItens[[#This Row],[Valor]]*(1-tItens[[#This Row],[Desconto]])</f>
        <v>112.19999999999999</v>
      </c>
      <c r="N3980" t="str">
        <f>IFERROR(INDEX(tProdutos[Foco],MATCH(tItens[[#This Row],[Produto]],tProdutos[Produto],0)),"Não")</f>
        <v>Sim</v>
      </c>
      <c r="O3980" t="str">
        <f>IFERROR(INDEX(tEditais[SRP],MATCH(tItens[[#This Row],[Edital]],tEditais[Edital],0)),"Não")</f>
        <v>Sim</v>
      </c>
      <c r="P3980" s="4">
        <f>IF(COUNTIFS(INDEX(tItens[Edital],1):tItens[[#This Row],[Edital]],tItens[[#This Row],[Edital]],INDEX(tItens[Produto],1):tItens[[#This Row],[Produto]],tItens[[#This Row],[Produto]])=1,1,0)</f>
        <v>1</v>
      </c>
    </row>
    <row r="3981" spans="1:16" x14ac:dyDescent="0.25">
      <c r="A3981" t="s">
        <v>1632</v>
      </c>
      <c r="B3981">
        <v>2292490</v>
      </c>
      <c r="C3981" t="s">
        <v>6840</v>
      </c>
      <c r="D3981" t="s">
        <v>56</v>
      </c>
      <c r="E3981" s="13">
        <v>10</v>
      </c>
      <c r="F3981" s="12">
        <v>0.32</v>
      </c>
      <c r="G3981" t="str">
        <f>IFERROR(INDEX(tEditais[Órgão],MATCH(tItens[[#This Row],[Edital]],tEditais[Edital],0)),"")</f>
        <v>MUNICIPIO DE CORONEL SAPUCAIA</v>
      </c>
      <c r="H3981" t="str">
        <f>IFERROR(INDEX(tEditais[UF],MATCH(tItens[[#This Row],[Edital]],tEditais[Edital],0)),"")</f>
        <v>MS</v>
      </c>
      <c r="I3981" s="11">
        <f>IFERROR(INDEX(tEditais[Encerramento],MATCH(tItens[[#This Row],[Edital]],tEditais[Edital],0)),"")</f>
        <v>46304.374305555553</v>
      </c>
      <c r="J3981" t="str">
        <f>IFERROR(INDEX(tProdutos[Classe],MATCH(tItens[[#This Row],[Produto]],tProdutos[Produto],0)),"produto não cadastrado")</f>
        <v>NÚCLEO</v>
      </c>
      <c r="K3981" s="12">
        <f>tItens[[#This Row],[Qtd]]*tItens[[#This Row],[Vlr unit]]</f>
        <v>3.2</v>
      </c>
      <c r="L3981" s="6">
        <f>IFERROR(IF(INDEX(tProdutos[Desconto homologado],MATCH(tItens[[#This Row],[Produto]],tProdutos[Produto],0))="",DescontoPadrao,INDEX(tProdutos[Desconto homologado],MATCH(tItens[[#This Row],[Produto]],tProdutos[Produto],0))),DescontoPadrao)</f>
        <v>0.34</v>
      </c>
      <c r="M3981" s="12">
        <f>tItens[[#This Row],[Valor]]*(1-tItens[[#This Row],[Desconto]])</f>
        <v>2.1119999999999997</v>
      </c>
      <c r="N3981" t="str">
        <f>IFERROR(INDEX(tProdutos[Foco],MATCH(tItens[[#This Row],[Produto]],tProdutos[Produto],0)),"Não")</f>
        <v>Sim</v>
      </c>
      <c r="O3981" t="str">
        <f>IFERROR(INDEX(tEditais[SRP],MATCH(tItens[[#This Row],[Edital]],tEditais[Edital],0)),"Não")</f>
        <v>Sim</v>
      </c>
      <c r="P3981" s="4">
        <f>IF(COUNTIFS(INDEX(tItens[Edital],1):tItens[[#This Row],[Edital]],tItens[[#This Row],[Edital]],INDEX(tItens[Produto],1):tItens[[#This Row],[Produto]],tItens[[#This Row],[Produto]])=1,1,0)</f>
        <v>0</v>
      </c>
    </row>
    <row r="3982" spans="1:16" x14ac:dyDescent="0.25">
      <c r="A3982" t="s">
        <v>1632</v>
      </c>
      <c r="B3982">
        <v>2292491</v>
      </c>
      <c r="C3982" t="s">
        <v>6841</v>
      </c>
      <c r="D3982" t="s">
        <v>56</v>
      </c>
      <c r="E3982" s="13">
        <v>1000</v>
      </c>
      <c r="F3982" s="12">
        <v>0.32</v>
      </c>
      <c r="G3982" t="str">
        <f>IFERROR(INDEX(tEditais[Órgão],MATCH(tItens[[#This Row],[Edital]],tEditais[Edital],0)),"")</f>
        <v>MUNICIPIO DE CORONEL SAPUCAIA</v>
      </c>
      <c r="H3982" t="str">
        <f>IFERROR(INDEX(tEditais[UF],MATCH(tItens[[#This Row],[Edital]],tEditais[Edital],0)),"")</f>
        <v>MS</v>
      </c>
      <c r="I3982" s="11">
        <f>IFERROR(INDEX(tEditais[Encerramento],MATCH(tItens[[#This Row],[Edital]],tEditais[Edital],0)),"")</f>
        <v>46304.374305555553</v>
      </c>
      <c r="J3982" t="str">
        <f>IFERROR(INDEX(tProdutos[Classe],MATCH(tItens[[#This Row],[Produto]],tProdutos[Produto],0)),"produto não cadastrado")</f>
        <v>NÚCLEO</v>
      </c>
      <c r="K3982" s="12">
        <f>tItens[[#This Row],[Qtd]]*tItens[[#This Row],[Vlr unit]]</f>
        <v>320</v>
      </c>
      <c r="L3982" s="6">
        <f>IFERROR(IF(INDEX(tProdutos[Desconto homologado],MATCH(tItens[[#This Row],[Produto]],tProdutos[Produto],0))="",DescontoPadrao,INDEX(tProdutos[Desconto homologado],MATCH(tItens[[#This Row],[Produto]],tProdutos[Produto],0))),DescontoPadrao)</f>
        <v>0.34</v>
      </c>
      <c r="M3982" s="12">
        <f>tItens[[#This Row],[Valor]]*(1-tItens[[#This Row],[Desconto]])</f>
        <v>211.2</v>
      </c>
      <c r="N3982" t="str">
        <f>IFERROR(INDEX(tProdutos[Foco],MATCH(tItens[[#This Row],[Produto]],tProdutos[Produto],0)),"Não")</f>
        <v>Sim</v>
      </c>
      <c r="O3982" t="str">
        <f>IFERROR(INDEX(tEditais[SRP],MATCH(tItens[[#This Row],[Edital]],tEditais[Edital],0)),"Não")</f>
        <v>Sim</v>
      </c>
      <c r="P3982" s="4">
        <f>IF(COUNTIFS(INDEX(tItens[Edital],1):tItens[[#This Row],[Edital]],tItens[[#This Row],[Edital]],INDEX(tItens[Produto],1):tItens[[#This Row],[Produto]],tItens[[#This Row],[Produto]])=1,1,0)</f>
        <v>0</v>
      </c>
    </row>
    <row r="3983" spans="1:16" x14ac:dyDescent="0.25">
      <c r="A3983" t="s">
        <v>1632</v>
      </c>
      <c r="B3983">
        <v>2292492</v>
      </c>
      <c r="C3983" t="s">
        <v>6842</v>
      </c>
      <c r="D3983" t="s">
        <v>56</v>
      </c>
      <c r="E3983" s="13">
        <v>1000</v>
      </c>
      <c r="F3983" s="12">
        <v>0.37</v>
      </c>
      <c r="G3983" t="str">
        <f>IFERROR(INDEX(tEditais[Órgão],MATCH(tItens[[#This Row],[Edital]],tEditais[Edital],0)),"")</f>
        <v>MUNICIPIO DE CORONEL SAPUCAIA</v>
      </c>
      <c r="H3983" t="str">
        <f>IFERROR(INDEX(tEditais[UF],MATCH(tItens[[#This Row],[Edital]],tEditais[Edital],0)),"")</f>
        <v>MS</v>
      </c>
      <c r="I3983" s="11">
        <f>IFERROR(INDEX(tEditais[Encerramento],MATCH(tItens[[#This Row],[Edital]],tEditais[Edital],0)),"")</f>
        <v>46304.374305555553</v>
      </c>
      <c r="J3983" t="str">
        <f>IFERROR(INDEX(tProdutos[Classe],MATCH(tItens[[#This Row],[Produto]],tProdutos[Produto],0)),"produto não cadastrado")</f>
        <v>NÚCLEO</v>
      </c>
      <c r="K3983" s="12">
        <f>tItens[[#This Row],[Qtd]]*tItens[[#This Row],[Vlr unit]]</f>
        <v>370</v>
      </c>
      <c r="L3983" s="6">
        <f>IFERROR(IF(INDEX(tProdutos[Desconto homologado],MATCH(tItens[[#This Row],[Produto]],tProdutos[Produto],0))="",DescontoPadrao,INDEX(tProdutos[Desconto homologado],MATCH(tItens[[#This Row],[Produto]],tProdutos[Produto],0))),DescontoPadrao)</f>
        <v>0.34</v>
      </c>
      <c r="M3983" s="12">
        <f>tItens[[#This Row],[Valor]]*(1-tItens[[#This Row],[Desconto]])</f>
        <v>244.19999999999996</v>
      </c>
      <c r="N3983" t="str">
        <f>IFERROR(INDEX(tProdutos[Foco],MATCH(tItens[[#This Row],[Produto]],tProdutos[Produto],0)),"Não")</f>
        <v>Sim</v>
      </c>
      <c r="O3983" t="str">
        <f>IFERROR(INDEX(tEditais[SRP],MATCH(tItens[[#This Row],[Edital]],tEditais[Edital],0)),"Não")</f>
        <v>Sim</v>
      </c>
      <c r="P3983" s="4">
        <f>IF(COUNTIFS(INDEX(tItens[Edital],1):tItens[[#This Row],[Edital]],tItens[[#This Row],[Edital]],INDEX(tItens[Produto],1):tItens[[#This Row],[Produto]],tItens[[#This Row],[Produto]])=1,1,0)</f>
        <v>0</v>
      </c>
    </row>
    <row r="3984" spans="1:16" x14ac:dyDescent="0.25">
      <c r="A3984" t="s">
        <v>1632</v>
      </c>
      <c r="B3984">
        <v>2292494</v>
      </c>
      <c r="C3984" t="s">
        <v>6843</v>
      </c>
      <c r="D3984" t="s">
        <v>343</v>
      </c>
      <c r="E3984" s="13">
        <v>400</v>
      </c>
      <c r="F3984" s="12">
        <v>2.04</v>
      </c>
      <c r="G3984" t="str">
        <f>IFERROR(INDEX(tEditais[Órgão],MATCH(tItens[[#This Row],[Edital]],tEditais[Edital],0)),"")</f>
        <v>MUNICIPIO DE CORONEL SAPUCAIA</v>
      </c>
      <c r="H3984" t="str">
        <f>IFERROR(INDEX(tEditais[UF],MATCH(tItens[[#This Row],[Edital]],tEditais[Edital],0)),"")</f>
        <v>MS</v>
      </c>
      <c r="I3984" s="11">
        <f>IFERROR(INDEX(tEditais[Encerramento],MATCH(tItens[[#This Row],[Edital]],tEditais[Edital],0)),"")</f>
        <v>46304.374305555553</v>
      </c>
      <c r="J3984" t="str">
        <f>IFERROR(INDEX(tProdutos[Classe],MATCH(tItens[[#This Row],[Produto]],tProdutos[Produto],0)),"produto não cadastrado")</f>
        <v>FORA</v>
      </c>
      <c r="K3984" s="12">
        <f>tItens[[#This Row],[Qtd]]*tItens[[#This Row],[Vlr unit]]</f>
        <v>816</v>
      </c>
      <c r="L3984" s="6">
        <f>IFERROR(IF(INDEX(tProdutos[Desconto homologado],MATCH(tItens[[#This Row],[Produto]],tProdutos[Produto],0))="",DescontoPadrao,INDEX(tProdutos[Desconto homologado],MATCH(tItens[[#This Row],[Produto]],tProdutos[Produto],0))),DescontoPadrao)</f>
        <v>0.35412234042553198</v>
      </c>
      <c r="M3984" s="12">
        <f>tItens[[#This Row],[Valor]]*(1-tItens[[#This Row],[Desconto]])</f>
        <v>527.03617021276591</v>
      </c>
      <c r="N3984" t="str">
        <f>IFERROR(INDEX(tProdutos[Foco],MATCH(tItens[[#This Row],[Produto]],tProdutos[Produto],0)),"Não")</f>
        <v>Não</v>
      </c>
      <c r="O3984" t="str">
        <f>IFERROR(INDEX(tEditais[SRP],MATCH(tItens[[#This Row],[Edital]],tEditais[Edital],0)),"Não")</f>
        <v>Sim</v>
      </c>
      <c r="P3984" s="4">
        <f>IF(COUNTIFS(INDEX(tItens[Edital],1):tItens[[#This Row],[Edital]],tItens[[#This Row],[Edital]],INDEX(tItens[Produto],1):tItens[[#This Row],[Produto]],tItens[[#This Row],[Produto]])=1,1,0)</f>
        <v>1</v>
      </c>
    </row>
    <row r="3985" spans="1:16" x14ac:dyDescent="0.25">
      <c r="A3985" t="s">
        <v>1632</v>
      </c>
      <c r="B3985">
        <v>2292495</v>
      </c>
      <c r="C3985" t="s">
        <v>6844</v>
      </c>
      <c r="D3985" t="s">
        <v>343</v>
      </c>
      <c r="E3985" s="13">
        <v>300</v>
      </c>
      <c r="F3985" s="12">
        <v>2.09</v>
      </c>
      <c r="G3985" t="str">
        <f>IFERROR(INDEX(tEditais[Órgão],MATCH(tItens[[#This Row],[Edital]],tEditais[Edital],0)),"")</f>
        <v>MUNICIPIO DE CORONEL SAPUCAIA</v>
      </c>
      <c r="H3985" t="str">
        <f>IFERROR(INDEX(tEditais[UF],MATCH(tItens[[#This Row],[Edital]],tEditais[Edital],0)),"")</f>
        <v>MS</v>
      </c>
      <c r="I3985" s="11">
        <f>IFERROR(INDEX(tEditais[Encerramento],MATCH(tItens[[#This Row],[Edital]],tEditais[Edital],0)),"")</f>
        <v>46304.374305555553</v>
      </c>
      <c r="J3985" t="str">
        <f>IFERROR(INDEX(tProdutos[Classe],MATCH(tItens[[#This Row],[Produto]],tProdutos[Produto],0)),"produto não cadastrado")</f>
        <v>FORA</v>
      </c>
      <c r="K3985" s="12">
        <f>tItens[[#This Row],[Qtd]]*tItens[[#This Row],[Vlr unit]]</f>
        <v>627</v>
      </c>
      <c r="L3985" s="6">
        <f>IFERROR(IF(INDEX(tProdutos[Desconto homologado],MATCH(tItens[[#This Row],[Produto]],tProdutos[Produto],0))="",DescontoPadrao,INDEX(tProdutos[Desconto homologado],MATCH(tItens[[#This Row],[Produto]],tProdutos[Produto],0))),DescontoPadrao)</f>
        <v>0.35412234042553198</v>
      </c>
      <c r="M3985" s="12">
        <f>tItens[[#This Row],[Valor]]*(1-tItens[[#This Row],[Desconto]])</f>
        <v>404.96529255319143</v>
      </c>
      <c r="N3985" t="str">
        <f>IFERROR(INDEX(tProdutos[Foco],MATCH(tItens[[#This Row],[Produto]],tProdutos[Produto],0)),"Não")</f>
        <v>Não</v>
      </c>
      <c r="O3985" t="str">
        <f>IFERROR(INDEX(tEditais[SRP],MATCH(tItens[[#This Row],[Edital]],tEditais[Edital],0)),"Não")</f>
        <v>Sim</v>
      </c>
      <c r="P3985" s="4">
        <f>IF(COUNTIFS(INDEX(tItens[Edital],1):tItens[[#This Row],[Edital]],tItens[[#This Row],[Edital]],INDEX(tItens[Produto],1):tItens[[#This Row],[Produto]],tItens[[#This Row],[Produto]])=1,1,0)</f>
        <v>0</v>
      </c>
    </row>
    <row r="3986" spans="1:16" x14ac:dyDescent="0.25">
      <c r="A3986" t="s">
        <v>1632</v>
      </c>
      <c r="B3986">
        <v>2292496</v>
      </c>
      <c r="C3986" t="s">
        <v>6845</v>
      </c>
      <c r="D3986" t="s">
        <v>343</v>
      </c>
      <c r="E3986" s="13">
        <v>300</v>
      </c>
      <c r="F3986" s="12">
        <v>2.0499999999999998</v>
      </c>
      <c r="G3986" t="str">
        <f>IFERROR(INDEX(tEditais[Órgão],MATCH(tItens[[#This Row],[Edital]],tEditais[Edital],0)),"")</f>
        <v>MUNICIPIO DE CORONEL SAPUCAIA</v>
      </c>
      <c r="H3986" t="str">
        <f>IFERROR(INDEX(tEditais[UF],MATCH(tItens[[#This Row],[Edital]],tEditais[Edital],0)),"")</f>
        <v>MS</v>
      </c>
      <c r="I3986" s="11">
        <f>IFERROR(INDEX(tEditais[Encerramento],MATCH(tItens[[#This Row],[Edital]],tEditais[Edital],0)),"")</f>
        <v>46304.374305555553</v>
      </c>
      <c r="J3986" t="str">
        <f>IFERROR(INDEX(tProdutos[Classe],MATCH(tItens[[#This Row],[Produto]],tProdutos[Produto],0)),"produto não cadastrado")</f>
        <v>FORA</v>
      </c>
      <c r="K3986" s="12">
        <f>tItens[[#This Row],[Qtd]]*tItens[[#This Row],[Vlr unit]]</f>
        <v>615</v>
      </c>
      <c r="L3986" s="6">
        <f>IFERROR(IF(INDEX(tProdutos[Desconto homologado],MATCH(tItens[[#This Row],[Produto]],tProdutos[Produto],0))="",DescontoPadrao,INDEX(tProdutos[Desconto homologado],MATCH(tItens[[#This Row],[Produto]],tProdutos[Produto],0))),DescontoPadrao)</f>
        <v>0.35412234042553198</v>
      </c>
      <c r="M3986" s="12">
        <f>tItens[[#This Row],[Valor]]*(1-tItens[[#This Row],[Desconto]])</f>
        <v>397.21476063829778</v>
      </c>
      <c r="N3986" t="str">
        <f>IFERROR(INDEX(tProdutos[Foco],MATCH(tItens[[#This Row],[Produto]],tProdutos[Produto],0)),"Não")</f>
        <v>Não</v>
      </c>
      <c r="O3986" t="str">
        <f>IFERROR(INDEX(tEditais[SRP],MATCH(tItens[[#This Row],[Edital]],tEditais[Edital],0)),"Não")</f>
        <v>Sim</v>
      </c>
      <c r="P3986" s="4">
        <f>IF(COUNTIFS(INDEX(tItens[Edital],1):tItens[[#This Row],[Edital]],tItens[[#This Row],[Edital]],INDEX(tItens[Produto],1):tItens[[#This Row],[Produto]],tItens[[#This Row],[Produto]])=1,1,0)</f>
        <v>0</v>
      </c>
    </row>
    <row r="3987" spans="1:16" x14ac:dyDescent="0.25">
      <c r="A3987" t="s">
        <v>1632</v>
      </c>
      <c r="B3987">
        <v>2292500</v>
      </c>
      <c r="C3987" t="s">
        <v>6846</v>
      </c>
      <c r="D3987" t="s">
        <v>313</v>
      </c>
      <c r="E3987" s="13">
        <v>400</v>
      </c>
      <c r="F3987" s="12">
        <v>26.73</v>
      </c>
      <c r="G3987" t="str">
        <f>IFERROR(INDEX(tEditais[Órgão],MATCH(tItens[[#This Row],[Edital]],tEditais[Edital],0)),"")</f>
        <v>MUNICIPIO DE CORONEL SAPUCAIA</v>
      </c>
      <c r="H3987" t="str">
        <f>IFERROR(INDEX(tEditais[UF],MATCH(tItens[[#This Row],[Edital]],tEditais[Edital],0)),"")</f>
        <v>MS</v>
      </c>
      <c r="I3987" s="11">
        <f>IFERROR(INDEX(tEditais[Encerramento],MATCH(tItens[[#This Row],[Edital]],tEditais[Edital],0)),"")</f>
        <v>46304.374305555553</v>
      </c>
      <c r="J3987" t="str">
        <f>IFERROR(INDEX(tProdutos[Classe],MATCH(tItens[[#This Row],[Produto]],tProdutos[Produto],0)),"produto não cadastrado")</f>
        <v>FORA</v>
      </c>
      <c r="K3987" s="12">
        <f>tItens[[#This Row],[Qtd]]*tItens[[#This Row],[Vlr unit]]</f>
        <v>10692</v>
      </c>
      <c r="L3987" s="6">
        <f>IFERROR(IF(INDEX(tProdutos[Desconto homologado],MATCH(tItens[[#This Row],[Produto]],tProdutos[Produto],0))="",DescontoPadrao,INDEX(tProdutos[Desconto homologado],MATCH(tItens[[#This Row],[Produto]],tProdutos[Produto],0))),DescontoPadrao)</f>
        <v>0.35766373163696302</v>
      </c>
      <c r="M3987" s="12">
        <f>tItens[[#This Row],[Valor]]*(1-tItens[[#This Row],[Desconto]])</f>
        <v>6867.859381337591</v>
      </c>
      <c r="N3987" t="str">
        <f>IFERROR(INDEX(tProdutos[Foco],MATCH(tItens[[#This Row],[Produto]],tProdutos[Produto],0)),"Não")</f>
        <v>Não</v>
      </c>
      <c r="O3987" t="str">
        <f>IFERROR(INDEX(tEditais[SRP],MATCH(tItens[[#This Row],[Edital]],tEditais[Edital],0)),"Não")</f>
        <v>Sim</v>
      </c>
      <c r="P3987" s="4">
        <f>IF(COUNTIFS(INDEX(tItens[Edital],1):tItens[[#This Row],[Edital]],tItens[[#This Row],[Edital]],INDEX(tItens[Produto],1):tItens[[#This Row],[Produto]],tItens[[#This Row],[Produto]])=1,1,0)</f>
        <v>1</v>
      </c>
    </row>
    <row r="3988" spans="1:16" x14ac:dyDescent="0.25">
      <c r="A3988" t="s">
        <v>1632</v>
      </c>
      <c r="B3988">
        <v>2292503</v>
      </c>
      <c r="C3988" t="s">
        <v>6847</v>
      </c>
      <c r="D3988" t="s">
        <v>257</v>
      </c>
      <c r="E3988" s="13">
        <v>50</v>
      </c>
      <c r="F3988" s="12">
        <v>10.86</v>
      </c>
      <c r="G3988" t="str">
        <f>IFERROR(INDEX(tEditais[Órgão],MATCH(tItens[[#This Row],[Edital]],tEditais[Edital],0)),"")</f>
        <v>MUNICIPIO DE CORONEL SAPUCAIA</v>
      </c>
      <c r="H3988" t="str">
        <f>IFERROR(INDEX(tEditais[UF],MATCH(tItens[[#This Row],[Edital]],tEditais[Edital],0)),"")</f>
        <v>MS</v>
      </c>
      <c r="I3988" s="11">
        <f>IFERROR(INDEX(tEditais[Encerramento],MATCH(tItens[[#This Row],[Edital]],tEditais[Edital],0)),"")</f>
        <v>46304.374305555553</v>
      </c>
      <c r="J3988" t="str">
        <f>IFERROR(INDEX(tProdutos[Classe],MATCH(tItens[[#This Row],[Produto]],tProdutos[Produto],0)),"produto não cadastrado")</f>
        <v>FORA</v>
      </c>
      <c r="K3988" s="12">
        <f>tItens[[#This Row],[Qtd]]*tItens[[#This Row],[Vlr unit]]</f>
        <v>543</v>
      </c>
      <c r="L3988" s="6">
        <f>IFERROR(IF(INDEX(tProdutos[Desconto homologado],MATCH(tItens[[#This Row],[Produto]],tProdutos[Produto],0))="",DescontoPadrao,INDEX(tProdutos[Desconto homologado],MATCH(tItens[[#This Row],[Produto]],tProdutos[Produto],0))),DescontoPadrao)</f>
        <v>0.500812004991805</v>
      </c>
      <c r="M3988" s="12">
        <f>tItens[[#This Row],[Valor]]*(1-tItens[[#This Row],[Desconto]])</f>
        <v>271.05908128944986</v>
      </c>
      <c r="N3988" t="str">
        <f>IFERROR(INDEX(tProdutos[Foco],MATCH(tItens[[#This Row],[Produto]],tProdutos[Produto],0)),"Não")</f>
        <v>Não</v>
      </c>
      <c r="O3988" t="str">
        <f>IFERROR(INDEX(tEditais[SRP],MATCH(tItens[[#This Row],[Edital]],tEditais[Edital],0)),"Não")</f>
        <v>Sim</v>
      </c>
      <c r="P3988" s="4">
        <f>IF(COUNTIFS(INDEX(tItens[Edital],1):tItens[[#This Row],[Edital]],tItens[[#This Row],[Edital]],INDEX(tItens[Produto],1):tItens[[#This Row],[Produto]],tItens[[#This Row],[Produto]])=1,1,0)</f>
        <v>1</v>
      </c>
    </row>
    <row r="3989" spans="1:16" x14ac:dyDescent="0.25">
      <c r="A3989" t="s">
        <v>1632</v>
      </c>
      <c r="B3989">
        <v>2292504</v>
      </c>
      <c r="C3989" t="s">
        <v>6848</v>
      </c>
      <c r="D3989" t="s">
        <v>249</v>
      </c>
      <c r="E3989" s="13">
        <v>20</v>
      </c>
      <c r="F3989" s="12">
        <v>8.4499999999999993</v>
      </c>
      <c r="G3989" t="str">
        <f>IFERROR(INDEX(tEditais[Órgão],MATCH(tItens[[#This Row],[Edital]],tEditais[Edital],0)),"")</f>
        <v>MUNICIPIO DE CORONEL SAPUCAIA</v>
      </c>
      <c r="H3989" t="str">
        <f>IFERROR(INDEX(tEditais[UF],MATCH(tItens[[#This Row],[Edital]],tEditais[Edital],0)),"")</f>
        <v>MS</v>
      </c>
      <c r="I3989" s="11">
        <f>IFERROR(INDEX(tEditais[Encerramento],MATCH(tItens[[#This Row],[Edital]],tEditais[Edital],0)),"")</f>
        <v>46304.374305555553</v>
      </c>
      <c r="J3989" t="str">
        <f>IFERROR(INDEX(tProdutos[Classe],MATCH(tItens[[#This Row],[Produto]],tProdutos[Produto],0)),"produto não cadastrado")</f>
        <v>FORA</v>
      </c>
      <c r="K3989" s="12">
        <f>tItens[[#This Row],[Qtd]]*tItens[[#This Row],[Vlr unit]]</f>
        <v>169</v>
      </c>
      <c r="L3989" s="6">
        <f>IFERROR(IF(INDEX(tProdutos[Desconto homologado],MATCH(tItens[[#This Row],[Produto]],tProdutos[Produto],0))="",DescontoPadrao,INDEX(tProdutos[Desconto homologado],MATCH(tItens[[#This Row],[Produto]],tProdutos[Produto],0))),DescontoPadrao)</f>
        <v>0.45399945399945402</v>
      </c>
      <c r="M3989" s="12">
        <f>tItens[[#This Row],[Valor]]*(1-tItens[[#This Row],[Desconto]])</f>
        <v>92.274092274092268</v>
      </c>
      <c r="N3989" t="str">
        <f>IFERROR(INDEX(tProdutos[Foco],MATCH(tItens[[#This Row],[Produto]],tProdutos[Produto],0)),"Não")</f>
        <v>Não</v>
      </c>
      <c r="O3989" t="str">
        <f>IFERROR(INDEX(tEditais[SRP],MATCH(tItens[[#This Row],[Edital]],tEditais[Edital],0)),"Não")</f>
        <v>Sim</v>
      </c>
      <c r="P3989" s="4">
        <f>IF(COUNTIFS(INDEX(tItens[Edital],1):tItens[[#This Row],[Edital]],tItens[[#This Row],[Edital]],INDEX(tItens[Produto],1):tItens[[#This Row],[Produto]],tItens[[#This Row],[Produto]])=1,1,0)</f>
        <v>1</v>
      </c>
    </row>
    <row r="3990" spans="1:16" x14ac:dyDescent="0.25">
      <c r="A3990" t="s">
        <v>1632</v>
      </c>
      <c r="B3990">
        <v>2292505</v>
      </c>
      <c r="C3990" t="s">
        <v>6849</v>
      </c>
      <c r="D3990" t="s">
        <v>170</v>
      </c>
      <c r="E3990" s="13">
        <v>10</v>
      </c>
      <c r="F3990" s="12">
        <v>29.26</v>
      </c>
      <c r="G3990" t="str">
        <f>IFERROR(INDEX(tEditais[Órgão],MATCH(tItens[[#This Row],[Edital]],tEditais[Edital],0)),"")</f>
        <v>MUNICIPIO DE CORONEL SAPUCAIA</v>
      </c>
      <c r="H3990" t="str">
        <f>IFERROR(INDEX(tEditais[UF],MATCH(tItens[[#This Row],[Edital]],tEditais[Edital],0)),"")</f>
        <v>MS</v>
      </c>
      <c r="I3990" s="11">
        <f>IFERROR(INDEX(tEditais[Encerramento],MATCH(tItens[[#This Row],[Edital]],tEditais[Edital],0)),"")</f>
        <v>46304.374305555553</v>
      </c>
      <c r="J3990" t="str">
        <f>IFERROR(INDEX(tProdutos[Classe],MATCH(tItens[[#This Row],[Produto]],tProdutos[Produto],0)),"produto não cadastrado")</f>
        <v>DISPUTADO</v>
      </c>
      <c r="K3990" s="12">
        <f>tItens[[#This Row],[Qtd]]*tItens[[#This Row],[Vlr unit]]</f>
        <v>292.60000000000002</v>
      </c>
      <c r="L3990" s="6">
        <f>IFERROR(IF(INDEX(tProdutos[Desconto homologado],MATCH(tItens[[#This Row],[Produto]],tProdutos[Produto],0))="",DescontoPadrao,INDEX(tProdutos[Desconto homologado],MATCH(tItens[[#This Row],[Produto]],tProdutos[Produto],0))),DescontoPadrao)</f>
        <v>0.36</v>
      </c>
      <c r="M3990" s="12">
        <f>tItens[[#This Row],[Valor]]*(1-tItens[[#This Row],[Desconto]])</f>
        <v>187.26400000000001</v>
      </c>
      <c r="N3990" t="str">
        <f>IFERROR(INDEX(tProdutos[Foco],MATCH(tItens[[#This Row],[Produto]],tProdutos[Produto],0)),"Não")</f>
        <v>Sim</v>
      </c>
      <c r="O3990" t="str">
        <f>IFERROR(INDEX(tEditais[SRP],MATCH(tItens[[#This Row],[Edital]],tEditais[Edital],0)),"Não")</f>
        <v>Sim</v>
      </c>
      <c r="P3990" s="4">
        <f>IF(COUNTIFS(INDEX(tItens[Edital],1):tItens[[#This Row],[Edital]],tItens[[#This Row],[Edital]],INDEX(tItens[Produto],1):tItens[[#This Row],[Produto]],tItens[[#This Row],[Produto]])=1,1,0)</f>
        <v>1</v>
      </c>
    </row>
    <row r="3991" spans="1:16" x14ac:dyDescent="0.25">
      <c r="A3991" t="s">
        <v>1632</v>
      </c>
      <c r="B3991">
        <v>2292506</v>
      </c>
      <c r="C3991" t="s">
        <v>6850</v>
      </c>
      <c r="D3991" t="s">
        <v>170</v>
      </c>
      <c r="E3991" s="13">
        <v>10</v>
      </c>
      <c r="F3991" s="12">
        <v>34.47</v>
      </c>
      <c r="G3991" t="str">
        <f>IFERROR(INDEX(tEditais[Órgão],MATCH(tItens[[#This Row],[Edital]],tEditais[Edital],0)),"")</f>
        <v>MUNICIPIO DE CORONEL SAPUCAIA</v>
      </c>
      <c r="H3991" t="str">
        <f>IFERROR(INDEX(tEditais[UF],MATCH(tItens[[#This Row],[Edital]],tEditais[Edital],0)),"")</f>
        <v>MS</v>
      </c>
      <c r="I3991" s="11">
        <f>IFERROR(INDEX(tEditais[Encerramento],MATCH(tItens[[#This Row],[Edital]],tEditais[Edital],0)),"")</f>
        <v>46304.374305555553</v>
      </c>
      <c r="J3991" t="str">
        <f>IFERROR(INDEX(tProdutos[Classe],MATCH(tItens[[#This Row],[Produto]],tProdutos[Produto],0)),"produto não cadastrado")</f>
        <v>DISPUTADO</v>
      </c>
      <c r="K3991" s="12">
        <f>tItens[[#This Row],[Qtd]]*tItens[[#This Row],[Vlr unit]]</f>
        <v>344.7</v>
      </c>
      <c r="L3991" s="6">
        <f>IFERROR(IF(INDEX(tProdutos[Desconto homologado],MATCH(tItens[[#This Row],[Produto]],tProdutos[Produto],0))="",DescontoPadrao,INDEX(tProdutos[Desconto homologado],MATCH(tItens[[#This Row],[Produto]],tProdutos[Produto],0))),DescontoPadrao)</f>
        <v>0.36</v>
      </c>
      <c r="M3991" s="12">
        <f>tItens[[#This Row],[Valor]]*(1-tItens[[#This Row],[Desconto]])</f>
        <v>220.608</v>
      </c>
      <c r="N3991" t="str">
        <f>IFERROR(INDEX(tProdutos[Foco],MATCH(tItens[[#This Row],[Produto]],tProdutos[Produto],0)),"Não")</f>
        <v>Sim</v>
      </c>
      <c r="O3991" t="str">
        <f>IFERROR(INDEX(tEditais[SRP],MATCH(tItens[[#This Row],[Edital]],tEditais[Edital],0)),"Não")</f>
        <v>Sim</v>
      </c>
      <c r="P3991" s="4">
        <f>IF(COUNTIFS(INDEX(tItens[Edital],1):tItens[[#This Row],[Edital]],tItens[[#This Row],[Edital]],INDEX(tItens[Produto],1):tItens[[#This Row],[Produto]],tItens[[#This Row],[Produto]])=1,1,0)</f>
        <v>0</v>
      </c>
    </row>
    <row r="3992" spans="1:16" x14ac:dyDescent="0.25">
      <c r="A3992" t="s">
        <v>1632</v>
      </c>
      <c r="B3992">
        <v>2292507</v>
      </c>
      <c r="C3992" t="s">
        <v>6851</v>
      </c>
      <c r="D3992" t="s">
        <v>170</v>
      </c>
      <c r="E3992" s="13">
        <v>10</v>
      </c>
      <c r="F3992" s="12">
        <v>30.12</v>
      </c>
      <c r="G3992" t="str">
        <f>IFERROR(INDEX(tEditais[Órgão],MATCH(tItens[[#This Row],[Edital]],tEditais[Edital],0)),"")</f>
        <v>MUNICIPIO DE CORONEL SAPUCAIA</v>
      </c>
      <c r="H3992" t="str">
        <f>IFERROR(INDEX(tEditais[UF],MATCH(tItens[[#This Row],[Edital]],tEditais[Edital],0)),"")</f>
        <v>MS</v>
      </c>
      <c r="I3992" s="11">
        <f>IFERROR(INDEX(tEditais[Encerramento],MATCH(tItens[[#This Row],[Edital]],tEditais[Edital],0)),"")</f>
        <v>46304.374305555553</v>
      </c>
      <c r="J3992" t="str">
        <f>IFERROR(INDEX(tProdutos[Classe],MATCH(tItens[[#This Row],[Produto]],tProdutos[Produto],0)),"produto não cadastrado")</f>
        <v>DISPUTADO</v>
      </c>
      <c r="K3992" s="12">
        <f>tItens[[#This Row],[Qtd]]*tItens[[#This Row],[Vlr unit]]</f>
        <v>301.2</v>
      </c>
      <c r="L3992" s="6">
        <f>IFERROR(IF(INDEX(tProdutos[Desconto homologado],MATCH(tItens[[#This Row],[Produto]],tProdutos[Produto],0))="",DescontoPadrao,INDEX(tProdutos[Desconto homologado],MATCH(tItens[[#This Row],[Produto]],tProdutos[Produto],0))),DescontoPadrao)</f>
        <v>0.36</v>
      </c>
      <c r="M3992" s="12">
        <f>tItens[[#This Row],[Valor]]*(1-tItens[[#This Row],[Desconto]])</f>
        <v>192.768</v>
      </c>
      <c r="N3992" t="str">
        <f>IFERROR(INDEX(tProdutos[Foco],MATCH(tItens[[#This Row],[Produto]],tProdutos[Produto],0)),"Não")</f>
        <v>Sim</v>
      </c>
      <c r="O3992" t="str">
        <f>IFERROR(INDEX(tEditais[SRP],MATCH(tItens[[#This Row],[Edital]],tEditais[Edital],0)),"Não")</f>
        <v>Sim</v>
      </c>
      <c r="P3992" s="4">
        <f>IF(COUNTIFS(INDEX(tItens[Edital],1):tItens[[#This Row],[Edital]],tItens[[#This Row],[Edital]],INDEX(tItens[Produto],1):tItens[[#This Row],[Produto]],tItens[[#This Row],[Produto]])=1,1,0)</f>
        <v>0</v>
      </c>
    </row>
    <row r="3993" spans="1:16" x14ac:dyDescent="0.25">
      <c r="A3993" t="s">
        <v>1632</v>
      </c>
      <c r="B3993">
        <v>2292508</v>
      </c>
      <c r="C3993" t="s">
        <v>6852</v>
      </c>
      <c r="D3993" t="s">
        <v>170</v>
      </c>
      <c r="E3993" s="13">
        <v>10</v>
      </c>
      <c r="F3993" s="12">
        <v>30.64</v>
      </c>
      <c r="G3993" t="str">
        <f>IFERROR(INDEX(tEditais[Órgão],MATCH(tItens[[#This Row],[Edital]],tEditais[Edital],0)),"")</f>
        <v>MUNICIPIO DE CORONEL SAPUCAIA</v>
      </c>
      <c r="H3993" t="str">
        <f>IFERROR(INDEX(tEditais[UF],MATCH(tItens[[#This Row],[Edital]],tEditais[Edital],0)),"")</f>
        <v>MS</v>
      </c>
      <c r="I3993" s="11">
        <f>IFERROR(INDEX(tEditais[Encerramento],MATCH(tItens[[#This Row],[Edital]],tEditais[Edital],0)),"")</f>
        <v>46304.374305555553</v>
      </c>
      <c r="J3993" t="str">
        <f>IFERROR(INDEX(tProdutos[Classe],MATCH(tItens[[#This Row],[Produto]],tProdutos[Produto],0)),"produto não cadastrado")</f>
        <v>DISPUTADO</v>
      </c>
      <c r="K3993" s="12">
        <f>tItens[[#This Row],[Qtd]]*tItens[[#This Row],[Vlr unit]]</f>
        <v>306.39999999999998</v>
      </c>
      <c r="L3993" s="6">
        <f>IFERROR(IF(INDEX(tProdutos[Desconto homologado],MATCH(tItens[[#This Row],[Produto]],tProdutos[Produto],0))="",DescontoPadrao,INDEX(tProdutos[Desconto homologado],MATCH(tItens[[#This Row],[Produto]],tProdutos[Produto],0))),DescontoPadrao)</f>
        <v>0.36</v>
      </c>
      <c r="M3993" s="12">
        <f>tItens[[#This Row],[Valor]]*(1-tItens[[#This Row],[Desconto]])</f>
        <v>196.096</v>
      </c>
      <c r="N3993" t="str">
        <f>IFERROR(INDEX(tProdutos[Foco],MATCH(tItens[[#This Row],[Produto]],tProdutos[Produto],0)),"Não")</f>
        <v>Sim</v>
      </c>
      <c r="O3993" t="str">
        <f>IFERROR(INDEX(tEditais[SRP],MATCH(tItens[[#This Row],[Edital]],tEditais[Edital],0)),"Não")</f>
        <v>Sim</v>
      </c>
      <c r="P3993" s="4">
        <f>IF(COUNTIFS(INDEX(tItens[Edital],1):tItens[[#This Row],[Edital]],tItens[[#This Row],[Edital]],INDEX(tItens[Produto],1):tItens[[#This Row],[Produto]],tItens[[#This Row],[Produto]])=1,1,0)</f>
        <v>0</v>
      </c>
    </row>
    <row r="3994" spans="1:16" x14ac:dyDescent="0.25">
      <c r="A3994" t="s">
        <v>1632</v>
      </c>
      <c r="B3994">
        <v>2292509</v>
      </c>
      <c r="C3994" t="s">
        <v>6853</v>
      </c>
      <c r="D3994" t="s">
        <v>170</v>
      </c>
      <c r="E3994" s="13">
        <v>10</v>
      </c>
      <c r="F3994" s="12">
        <v>32.24</v>
      </c>
      <c r="G3994" t="str">
        <f>IFERROR(INDEX(tEditais[Órgão],MATCH(tItens[[#This Row],[Edital]],tEditais[Edital],0)),"")</f>
        <v>MUNICIPIO DE CORONEL SAPUCAIA</v>
      </c>
      <c r="H3994" t="str">
        <f>IFERROR(INDEX(tEditais[UF],MATCH(tItens[[#This Row],[Edital]],tEditais[Edital],0)),"")</f>
        <v>MS</v>
      </c>
      <c r="I3994" s="11">
        <f>IFERROR(INDEX(tEditais[Encerramento],MATCH(tItens[[#This Row],[Edital]],tEditais[Edital],0)),"")</f>
        <v>46304.374305555553</v>
      </c>
      <c r="J3994" t="str">
        <f>IFERROR(INDEX(tProdutos[Classe],MATCH(tItens[[#This Row],[Produto]],tProdutos[Produto],0)),"produto não cadastrado")</f>
        <v>DISPUTADO</v>
      </c>
      <c r="K3994" s="12">
        <f>tItens[[#This Row],[Qtd]]*tItens[[#This Row],[Vlr unit]]</f>
        <v>322.40000000000003</v>
      </c>
      <c r="L3994" s="6">
        <f>IFERROR(IF(INDEX(tProdutos[Desconto homologado],MATCH(tItens[[#This Row],[Produto]],tProdutos[Produto],0))="",DescontoPadrao,INDEX(tProdutos[Desconto homologado],MATCH(tItens[[#This Row],[Produto]],tProdutos[Produto],0))),DescontoPadrao)</f>
        <v>0.36</v>
      </c>
      <c r="M3994" s="12">
        <f>tItens[[#This Row],[Valor]]*(1-tItens[[#This Row],[Desconto]])</f>
        <v>206.33600000000001</v>
      </c>
      <c r="N3994" t="str">
        <f>IFERROR(INDEX(tProdutos[Foco],MATCH(tItens[[#This Row],[Produto]],tProdutos[Produto],0)),"Não")</f>
        <v>Sim</v>
      </c>
      <c r="O3994" t="str">
        <f>IFERROR(INDEX(tEditais[SRP],MATCH(tItens[[#This Row],[Edital]],tEditais[Edital],0)),"Não")</f>
        <v>Sim</v>
      </c>
      <c r="P3994" s="4">
        <f>IF(COUNTIFS(INDEX(tItens[Edital],1):tItens[[#This Row],[Edital]],tItens[[#This Row],[Edital]],INDEX(tItens[Produto],1):tItens[[#This Row],[Produto]],tItens[[#This Row],[Produto]])=1,1,0)</f>
        <v>0</v>
      </c>
    </row>
    <row r="3995" spans="1:16" x14ac:dyDescent="0.25">
      <c r="A3995" t="s">
        <v>1632</v>
      </c>
      <c r="B3995">
        <v>2292510</v>
      </c>
      <c r="C3995" t="s">
        <v>6854</v>
      </c>
      <c r="D3995" t="s">
        <v>170</v>
      </c>
      <c r="E3995" s="13">
        <v>10</v>
      </c>
      <c r="F3995" s="12">
        <v>33.97</v>
      </c>
      <c r="G3995" t="str">
        <f>IFERROR(INDEX(tEditais[Órgão],MATCH(tItens[[#This Row],[Edital]],tEditais[Edital],0)),"")</f>
        <v>MUNICIPIO DE CORONEL SAPUCAIA</v>
      </c>
      <c r="H3995" t="str">
        <f>IFERROR(INDEX(tEditais[UF],MATCH(tItens[[#This Row],[Edital]],tEditais[Edital],0)),"")</f>
        <v>MS</v>
      </c>
      <c r="I3995" s="11">
        <f>IFERROR(INDEX(tEditais[Encerramento],MATCH(tItens[[#This Row],[Edital]],tEditais[Edital],0)),"")</f>
        <v>46304.374305555553</v>
      </c>
      <c r="J3995" t="str">
        <f>IFERROR(INDEX(tProdutos[Classe],MATCH(tItens[[#This Row],[Produto]],tProdutos[Produto],0)),"produto não cadastrado")</f>
        <v>DISPUTADO</v>
      </c>
      <c r="K3995" s="12">
        <f>tItens[[#This Row],[Qtd]]*tItens[[#This Row],[Vlr unit]]</f>
        <v>339.7</v>
      </c>
      <c r="L3995" s="6">
        <f>IFERROR(IF(INDEX(tProdutos[Desconto homologado],MATCH(tItens[[#This Row],[Produto]],tProdutos[Produto],0))="",DescontoPadrao,INDEX(tProdutos[Desconto homologado],MATCH(tItens[[#This Row],[Produto]],tProdutos[Produto],0))),DescontoPadrao)</f>
        <v>0.36</v>
      </c>
      <c r="M3995" s="12">
        <f>tItens[[#This Row],[Valor]]*(1-tItens[[#This Row],[Desconto]])</f>
        <v>217.40799999999999</v>
      </c>
      <c r="N3995" t="str">
        <f>IFERROR(INDEX(tProdutos[Foco],MATCH(tItens[[#This Row],[Produto]],tProdutos[Produto],0)),"Não")</f>
        <v>Sim</v>
      </c>
      <c r="O3995" t="str">
        <f>IFERROR(INDEX(tEditais[SRP],MATCH(tItens[[#This Row],[Edital]],tEditais[Edital],0)),"Não")</f>
        <v>Sim</v>
      </c>
      <c r="P3995" s="4">
        <f>IF(COUNTIFS(INDEX(tItens[Edital],1):tItens[[#This Row],[Edital]],tItens[[#This Row],[Edital]],INDEX(tItens[Produto],1):tItens[[#This Row],[Produto]],tItens[[#This Row],[Produto]])=1,1,0)</f>
        <v>0</v>
      </c>
    </row>
    <row r="3996" spans="1:16" x14ac:dyDescent="0.25">
      <c r="A3996" t="s">
        <v>1632</v>
      </c>
      <c r="B3996">
        <v>2292511</v>
      </c>
      <c r="C3996" t="s">
        <v>6855</v>
      </c>
      <c r="D3996" t="s">
        <v>170</v>
      </c>
      <c r="E3996" s="13">
        <v>10</v>
      </c>
      <c r="F3996" s="12">
        <v>41.64</v>
      </c>
      <c r="G3996" t="str">
        <f>IFERROR(INDEX(tEditais[Órgão],MATCH(tItens[[#This Row],[Edital]],tEditais[Edital],0)),"")</f>
        <v>MUNICIPIO DE CORONEL SAPUCAIA</v>
      </c>
      <c r="H3996" t="str">
        <f>IFERROR(INDEX(tEditais[UF],MATCH(tItens[[#This Row],[Edital]],tEditais[Edital],0)),"")</f>
        <v>MS</v>
      </c>
      <c r="I3996" s="11">
        <f>IFERROR(INDEX(tEditais[Encerramento],MATCH(tItens[[#This Row],[Edital]],tEditais[Edital],0)),"")</f>
        <v>46304.374305555553</v>
      </c>
      <c r="J3996" t="str">
        <f>IFERROR(INDEX(tProdutos[Classe],MATCH(tItens[[#This Row],[Produto]],tProdutos[Produto],0)),"produto não cadastrado")</f>
        <v>DISPUTADO</v>
      </c>
      <c r="K3996" s="12">
        <f>tItens[[#This Row],[Qtd]]*tItens[[#This Row],[Vlr unit]]</f>
        <v>416.4</v>
      </c>
      <c r="L3996" s="6">
        <f>IFERROR(IF(INDEX(tProdutos[Desconto homologado],MATCH(tItens[[#This Row],[Produto]],tProdutos[Produto],0))="",DescontoPadrao,INDEX(tProdutos[Desconto homologado],MATCH(tItens[[#This Row],[Produto]],tProdutos[Produto],0))),DescontoPadrao)</f>
        <v>0.36</v>
      </c>
      <c r="M3996" s="12">
        <f>tItens[[#This Row],[Valor]]*(1-tItens[[#This Row],[Desconto]])</f>
        <v>266.49599999999998</v>
      </c>
      <c r="N3996" t="str">
        <f>IFERROR(INDEX(tProdutos[Foco],MATCH(tItens[[#This Row],[Produto]],tProdutos[Produto],0)),"Não")</f>
        <v>Sim</v>
      </c>
      <c r="O3996" t="str">
        <f>IFERROR(INDEX(tEditais[SRP],MATCH(tItens[[#This Row],[Edital]],tEditais[Edital],0)),"Não")</f>
        <v>Sim</v>
      </c>
      <c r="P3996" s="4">
        <f>IF(COUNTIFS(INDEX(tItens[Edital],1):tItens[[#This Row],[Edital]],tItens[[#This Row],[Edital]],INDEX(tItens[Produto],1):tItens[[#This Row],[Produto]],tItens[[#This Row],[Produto]])=1,1,0)</f>
        <v>0</v>
      </c>
    </row>
    <row r="3997" spans="1:16" x14ac:dyDescent="0.25">
      <c r="A3997" t="s">
        <v>1632</v>
      </c>
      <c r="B3997">
        <v>2292512</v>
      </c>
      <c r="C3997" t="s">
        <v>6856</v>
      </c>
      <c r="D3997" t="s">
        <v>170</v>
      </c>
      <c r="E3997" s="13">
        <v>10</v>
      </c>
      <c r="F3997" s="12">
        <v>43.49</v>
      </c>
      <c r="G3997" t="str">
        <f>IFERROR(INDEX(tEditais[Órgão],MATCH(tItens[[#This Row],[Edital]],tEditais[Edital],0)),"")</f>
        <v>MUNICIPIO DE CORONEL SAPUCAIA</v>
      </c>
      <c r="H3997" t="str">
        <f>IFERROR(INDEX(tEditais[UF],MATCH(tItens[[#This Row],[Edital]],tEditais[Edital],0)),"")</f>
        <v>MS</v>
      </c>
      <c r="I3997" s="11">
        <f>IFERROR(INDEX(tEditais[Encerramento],MATCH(tItens[[#This Row],[Edital]],tEditais[Edital],0)),"")</f>
        <v>46304.374305555553</v>
      </c>
      <c r="J3997" t="str">
        <f>IFERROR(INDEX(tProdutos[Classe],MATCH(tItens[[#This Row],[Produto]],tProdutos[Produto],0)),"produto não cadastrado")</f>
        <v>DISPUTADO</v>
      </c>
      <c r="K3997" s="12">
        <f>tItens[[#This Row],[Qtd]]*tItens[[#This Row],[Vlr unit]]</f>
        <v>434.90000000000003</v>
      </c>
      <c r="L3997" s="6">
        <f>IFERROR(IF(INDEX(tProdutos[Desconto homologado],MATCH(tItens[[#This Row],[Produto]],tProdutos[Produto],0))="",DescontoPadrao,INDEX(tProdutos[Desconto homologado],MATCH(tItens[[#This Row],[Produto]],tProdutos[Produto],0))),DescontoPadrao)</f>
        <v>0.36</v>
      </c>
      <c r="M3997" s="12">
        <f>tItens[[#This Row],[Valor]]*(1-tItens[[#This Row],[Desconto]])</f>
        <v>278.33600000000001</v>
      </c>
      <c r="N3997" t="str">
        <f>IFERROR(INDEX(tProdutos[Foco],MATCH(tItens[[#This Row],[Produto]],tProdutos[Produto],0)),"Não")</f>
        <v>Sim</v>
      </c>
      <c r="O3997" t="str">
        <f>IFERROR(INDEX(tEditais[SRP],MATCH(tItens[[#This Row],[Edital]],tEditais[Edital],0)),"Não")</f>
        <v>Sim</v>
      </c>
      <c r="P3997" s="4">
        <f>IF(COUNTIFS(INDEX(tItens[Edital],1):tItens[[#This Row],[Edital]],tItens[[#This Row],[Edital]],INDEX(tItens[Produto],1):tItens[[#This Row],[Produto]],tItens[[#This Row],[Produto]])=1,1,0)</f>
        <v>0</v>
      </c>
    </row>
    <row r="3998" spans="1:16" x14ac:dyDescent="0.25">
      <c r="A3998" t="s">
        <v>1632</v>
      </c>
      <c r="B3998">
        <v>2292515</v>
      </c>
      <c r="C3998" t="s">
        <v>6857</v>
      </c>
      <c r="D3998" t="s">
        <v>494</v>
      </c>
      <c r="E3998" s="13">
        <v>50</v>
      </c>
      <c r="F3998" s="12">
        <v>61.51</v>
      </c>
      <c r="G3998" t="str">
        <f>IFERROR(INDEX(tEditais[Órgão],MATCH(tItens[[#This Row],[Edital]],tEditais[Edital],0)),"")</f>
        <v>MUNICIPIO DE CORONEL SAPUCAIA</v>
      </c>
      <c r="H3998" t="str">
        <f>IFERROR(INDEX(tEditais[UF],MATCH(tItens[[#This Row],[Edital]],tEditais[Edital],0)),"")</f>
        <v>MS</v>
      </c>
      <c r="I3998" s="11">
        <f>IFERROR(INDEX(tEditais[Encerramento],MATCH(tItens[[#This Row],[Edital]],tEditais[Edital],0)),"")</f>
        <v>46304.374305555553</v>
      </c>
      <c r="J3998" t="str">
        <f>IFERROR(INDEX(tProdutos[Classe],MATCH(tItens[[#This Row],[Produto]],tProdutos[Produto],0)),"produto não cadastrado")</f>
        <v>FILA REBASE</v>
      </c>
      <c r="K3998" s="12">
        <f>tItens[[#This Row],[Qtd]]*tItens[[#This Row],[Vlr unit]]</f>
        <v>3075.5</v>
      </c>
      <c r="L3998" s="6">
        <f>IFERROR(IF(INDEX(tProdutos[Desconto homologado],MATCH(tItens[[#This Row],[Produto]],tProdutos[Produto],0))="",DescontoPadrao,INDEX(tProdutos[Desconto homologado],MATCH(tItens[[#This Row],[Produto]],tProdutos[Produto],0))),DescontoPadrao)</f>
        <v>0.253736324829619</v>
      </c>
      <c r="M3998" s="12">
        <f>tItens[[#This Row],[Valor]]*(1-tItens[[#This Row],[Desconto]])</f>
        <v>2295.1339329865068</v>
      </c>
      <c r="N3998" t="str">
        <f>IFERROR(INDEX(tProdutos[Foco],MATCH(tItens[[#This Row],[Produto]],tProdutos[Produto],0)),"Não")</f>
        <v>Não</v>
      </c>
      <c r="O3998" t="str">
        <f>IFERROR(INDEX(tEditais[SRP],MATCH(tItens[[#This Row],[Edital]],tEditais[Edital],0)),"Não")</f>
        <v>Sim</v>
      </c>
      <c r="P3998" s="4">
        <f>IF(COUNTIFS(INDEX(tItens[Edital],1):tItens[[#This Row],[Edital]],tItens[[#This Row],[Edital]],INDEX(tItens[Produto],1):tItens[[#This Row],[Produto]],tItens[[#This Row],[Produto]])=1,1,0)</f>
        <v>1</v>
      </c>
    </row>
    <row r="3999" spans="1:16" x14ac:dyDescent="0.25">
      <c r="A3999" t="s">
        <v>1632</v>
      </c>
      <c r="B3999">
        <v>2292516</v>
      </c>
      <c r="C3999" t="s">
        <v>6858</v>
      </c>
      <c r="D3999" t="s">
        <v>494</v>
      </c>
      <c r="E3999" s="13">
        <v>100</v>
      </c>
      <c r="F3999" s="12">
        <v>117.91</v>
      </c>
      <c r="G3999" t="str">
        <f>IFERROR(INDEX(tEditais[Órgão],MATCH(tItens[[#This Row],[Edital]],tEditais[Edital],0)),"")</f>
        <v>MUNICIPIO DE CORONEL SAPUCAIA</v>
      </c>
      <c r="H3999" t="str">
        <f>IFERROR(INDEX(tEditais[UF],MATCH(tItens[[#This Row],[Edital]],tEditais[Edital],0)),"")</f>
        <v>MS</v>
      </c>
      <c r="I3999" s="11">
        <f>IFERROR(INDEX(tEditais[Encerramento],MATCH(tItens[[#This Row],[Edital]],tEditais[Edital],0)),"")</f>
        <v>46304.374305555553</v>
      </c>
      <c r="J3999" t="str">
        <f>IFERROR(INDEX(tProdutos[Classe],MATCH(tItens[[#This Row],[Produto]],tProdutos[Produto],0)),"produto não cadastrado")</f>
        <v>FILA REBASE</v>
      </c>
      <c r="K3999" s="12">
        <f>tItens[[#This Row],[Qtd]]*tItens[[#This Row],[Vlr unit]]</f>
        <v>11791</v>
      </c>
      <c r="L3999" s="6">
        <f>IFERROR(IF(INDEX(tProdutos[Desconto homologado],MATCH(tItens[[#This Row],[Produto]],tProdutos[Produto],0))="",DescontoPadrao,INDEX(tProdutos[Desconto homologado],MATCH(tItens[[#This Row],[Produto]],tProdutos[Produto],0))),DescontoPadrao)</f>
        <v>0.253736324829619</v>
      </c>
      <c r="M3999" s="12">
        <f>tItens[[#This Row],[Valor]]*(1-tItens[[#This Row],[Desconto]])</f>
        <v>8799.1949939339629</v>
      </c>
      <c r="N3999" t="str">
        <f>IFERROR(INDEX(tProdutos[Foco],MATCH(tItens[[#This Row],[Produto]],tProdutos[Produto],0)),"Não")</f>
        <v>Não</v>
      </c>
      <c r="O3999" t="str">
        <f>IFERROR(INDEX(tEditais[SRP],MATCH(tItens[[#This Row],[Edital]],tEditais[Edital],0)),"Não")</f>
        <v>Sim</v>
      </c>
      <c r="P3999" s="4">
        <f>IF(COUNTIFS(INDEX(tItens[Edital],1):tItens[[#This Row],[Edital]],tItens[[#This Row],[Edital]],INDEX(tItens[Produto],1):tItens[[#This Row],[Produto]],tItens[[#This Row],[Produto]])=1,1,0)</f>
        <v>0</v>
      </c>
    </row>
    <row r="4000" spans="1:16" x14ac:dyDescent="0.25">
      <c r="A4000" t="s">
        <v>1632</v>
      </c>
      <c r="B4000">
        <v>2292517</v>
      </c>
      <c r="C4000" t="s">
        <v>6859</v>
      </c>
      <c r="D4000" t="s">
        <v>494</v>
      </c>
      <c r="E4000" s="13">
        <v>10</v>
      </c>
      <c r="F4000" s="12">
        <v>163.80000000000001</v>
      </c>
      <c r="G4000" t="str">
        <f>IFERROR(INDEX(tEditais[Órgão],MATCH(tItens[[#This Row],[Edital]],tEditais[Edital],0)),"")</f>
        <v>MUNICIPIO DE CORONEL SAPUCAIA</v>
      </c>
      <c r="H4000" t="str">
        <f>IFERROR(INDEX(tEditais[UF],MATCH(tItens[[#This Row],[Edital]],tEditais[Edital],0)),"")</f>
        <v>MS</v>
      </c>
      <c r="I4000" s="11">
        <f>IFERROR(INDEX(tEditais[Encerramento],MATCH(tItens[[#This Row],[Edital]],tEditais[Edital],0)),"")</f>
        <v>46304.374305555553</v>
      </c>
      <c r="J4000" t="str">
        <f>IFERROR(INDEX(tProdutos[Classe],MATCH(tItens[[#This Row],[Produto]],tProdutos[Produto],0)),"produto não cadastrado")</f>
        <v>FILA REBASE</v>
      </c>
      <c r="K4000" s="12">
        <f>tItens[[#This Row],[Qtd]]*tItens[[#This Row],[Vlr unit]]</f>
        <v>1638</v>
      </c>
      <c r="L4000" s="6">
        <f>IFERROR(IF(INDEX(tProdutos[Desconto homologado],MATCH(tItens[[#This Row],[Produto]],tProdutos[Produto],0))="",DescontoPadrao,INDEX(tProdutos[Desconto homologado],MATCH(tItens[[#This Row],[Produto]],tProdutos[Produto],0))),DescontoPadrao)</f>
        <v>0.253736324829619</v>
      </c>
      <c r="M4000" s="12">
        <f>tItens[[#This Row],[Valor]]*(1-tItens[[#This Row],[Desconto]])</f>
        <v>1222.3798999290841</v>
      </c>
      <c r="N4000" t="str">
        <f>IFERROR(INDEX(tProdutos[Foco],MATCH(tItens[[#This Row],[Produto]],tProdutos[Produto],0)),"Não")</f>
        <v>Não</v>
      </c>
      <c r="O4000" t="str">
        <f>IFERROR(INDEX(tEditais[SRP],MATCH(tItens[[#This Row],[Edital]],tEditais[Edital],0)),"Não")</f>
        <v>Sim</v>
      </c>
      <c r="P4000" s="4">
        <f>IF(COUNTIFS(INDEX(tItens[Edital],1):tItens[[#This Row],[Edital]],tItens[[#This Row],[Edital]],INDEX(tItens[Produto],1):tItens[[#This Row],[Produto]],tItens[[#This Row],[Produto]])=1,1,0)</f>
        <v>0</v>
      </c>
    </row>
    <row r="4001" spans="1:16" x14ac:dyDescent="0.25">
      <c r="A4001" t="s">
        <v>1632</v>
      </c>
      <c r="B4001">
        <v>2292535</v>
      </c>
      <c r="C4001" t="s">
        <v>6860</v>
      </c>
      <c r="D4001" t="s">
        <v>281</v>
      </c>
      <c r="E4001" s="13">
        <v>25000</v>
      </c>
      <c r="F4001" s="12">
        <v>0.38</v>
      </c>
      <c r="G4001" t="str">
        <f>IFERROR(INDEX(tEditais[Órgão],MATCH(tItens[[#This Row],[Edital]],tEditais[Edital],0)),"")</f>
        <v>MUNICIPIO DE CORONEL SAPUCAIA</v>
      </c>
      <c r="H4001" t="str">
        <f>IFERROR(INDEX(tEditais[UF],MATCH(tItens[[#This Row],[Edital]],tEditais[Edital],0)),"")</f>
        <v>MS</v>
      </c>
      <c r="I4001" s="11">
        <f>IFERROR(INDEX(tEditais[Encerramento],MATCH(tItens[[#This Row],[Edital]],tEditais[Edital],0)),"")</f>
        <v>46304.374305555553</v>
      </c>
      <c r="J4001" t="str">
        <f>IFERROR(INDEX(tProdutos[Classe],MATCH(tItens[[#This Row],[Produto]],tProdutos[Produto],0)),"produto não cadastrado")</f>
        <v>DISPUTADO</v>
      </c>
      <c r="K4001" s="12">
        <f>tItens[[#This Row],[Qtd]]*tItens[[#This Row],[Vlr unit]]</f>
        <v>9500</v>
      </c>
      <c r="L4001" s="6">
        <f>IFERROR(IF(INDEX(tProdutos[Desconto homologado],MATCH(tItens[[#This Row],[Produto]],tProdutos[Produto],0))="",DescontoPadrao,INDEX(tProdutos[Desconto homologado],MATCH(tItens[[#This Row],[Produto]],tProdutos[Produto],0))),DescontoPadrao)</f>
        <v>0.42461538461538501</v>
      </c>
      <c r="M4001" s="12">
        <f>tItens[[#This Row],[Valor]]*(1-tItens[[#This Row],[Desconto]])</f>
        <v>5466.1538461538421</v>
      </c>
      <c r="N4001" t="str">
        <f>IFERROR(INDEX(tProdutos[Foco],MATCH(tItens[[#This Row],[Produto]],tProdutos[Produto],0)),"Não")</f>
        <v>Não</v>
      </c>
      <c r="O4001" t="str">
        <f>IFERROR(INDEX(tEditais[SRP],MATCH(tItens[[#This Row],[Edital]],tEditais[Edital],0)),"Não")</f>
        <v>Sim</v>
      </c>
      <c r="P4001" s="4">
        <f>IF(COUNTIFS(INDEX(tItens[Edital],1):tItens[[#This Row],[Edital]],tItens[[#This Row],[Edital]],INDEX(tItens[Produto],1):tItens[[#This Row],[Produto]],tItens[[#This Row],[Produto]])=1,1,0)</f>
        <v>1</v>
      </c>
    </row>
    <row r="4002" spans="1:16" x14ac:dyDescent="0.25">
      <c r="A4002" t="s">
        <v>1632</v>
      </c>
      <c r="B4002">
        <v>2292536</v>
      </c>
      <c r="C4002" t="s">
        <v>6861</v>
      </c>
      <c r="D4002" t="s">
        <v>289</v>
      </c>
      <c r="E4002" s="13">
        <v>20000</v>
      </c>
      <c r="F4002" s="12">
        <v>0.72</v>
      </c>
      <c r="G4002" t="str">
        <f>IFERROR(INDEX(tEditais[Órgão],MATCH(tItens[[#This Row],[Edital]],tEditais[Edital],0)),"")</f>
        <v>MUNICIPIO DE CORONEL SAPUCAIA</v>
      </c>
      <c r="H4002" t="str">
        <f>IFERROR(INDEX(tEditais[UF],MATCH(tItens[[#This Row],[Edital]],tEditais[Edital],0)),"")</f>
        <v>MS</v>
      </c>
      <c r="I4002" s="11">
        <f>IFERROR(INDEX(tEditais[Encerramento],MATCH(tItens[[#This Row],[Edital]],tEditais[Edital],0)),"")</f>
        <v>46304.374305555553</v>
      </c>
      <c r="J4002" t="str">
        <f>IFERROR(INDEX(tProdutos[Classe],MATCH(tItens[[#This Row],[Produto]],tProdutos[Produto],0)),"produto não cadastrado")</f>
        <v>DISPUTADO</v>
      </c>
      <c r="K4002" s="12">
        <f>tItens[[#This Row],[Qtd]]*tItens[[#This Row],[Vlr unit]]</f>
        <v>14400</v>
      </c>
      <c r="L4002" s="6">
        <f>IFERROR(IF(INDEX(tProdutos[Desconto homologado],MATCH(tItens[[#This Row],[Produto]],tProdutos[Produto],0))="",DescontoPadrao,INDEX(tProdutos[Desconto homologado],MATCH(tItens[[#This Row],[Produto]],tProdutos[Produto],0))),DescontoPadrao)</f>
        <v>0.35849056603773599</v>
      </c>
      <c r="M4002" s="12">
        <f>tItens[[#This Row],[Valor]]*(1-tItens[[#This Row],[Desconto]])</f>
        <v>9237.7358490566021</v>
      </c>
      <c r="N4002" t="str">
        <f>IFERROR(INDEX(tProdutos[Foco],MATCH(tItens[[#This Row],[Produto]],tProdutos[Produto],0)),"Não")</f>
        <v>Não</v>
      </c>
      <c r="O4002" t="str">
        <f>IFERROR(INDEX(tEditais[SRP],MATCH(tItens[[#This Row],[Edital]],tEditais[Edital],0)),"Não")</f>
        <v>Sim</v>
      </c>
      <c r="P4002" s="4">
        <f>IF(COUNTIFS(INDEX(tItens[Edital],1):tItens[[#This Row],[Edital]],tItens[[#This Row],[Edital]],INDEX(tItens[Produto],1):tItens[[#This Row],[Produto]],tItens[[#This Row],[Produto]])=1,1,0)</f>
        <v>1</v>
      </c>
    </row>
    <row r="4003" spans="1:16" x14ac:dyDescent="0.25">
      <c r="A4003" t="s">
        <v>1632</v>
      </c>
      <c r="B4003">
        <v>2292537</v>
      </c>
      <c r="C4003" t="s">
        <v>6862</v>
      </c>
      <c r="D4003" t="s">
        <v>283</v>
      </c>
      <c r="E4003" s="13">
        <v>20000</v>
      </c>
      <c r="F4003" s="12">
        <v>0.2</v>
      </c>
      <c r="G4003" t="str">
        <f>IFERROR(INDEX(tEditais[Órgão],MATCH(tItens[[#This Row],[Edital]],tEditais[Edital],0)),"")</f>
        <v>MUNICIPIO DE CORONEL SAPUCAIA</v>
      </c>
      <c r="H4003" t="str">
        <f>IFERROR(INDEX(tEditais[UF],MATCH(tItens[[#This Row],[Edital]],tEditais[Edital],0)),"")</f>
        <v>MS</v>
      </c>
      <c r="I4003" s="11">
        <f>IFERROR(INDEX(tEditais[Encerramento],MATCH(tItens[[#This Row],[Edital]],tEditais[Edital],0)),"")</f>
        <v>46304.374305555553</v>
      </c>
      <c r="J4003" t="str">
        <f>IFERROR(INDEX(tProdutos[Classe],MATCH(tItens[[#This Row],[Produto]],tProdutos[Produto],0)),"produto não cadastrado")</f>
        <v>FORA</v>
      </c>
      <c r="K4003" s="12">
        <f>tItens[[#This Row],[Qtd]]*tItens[[#This Row],[Vlr unit]]</f>
        <v>4000</v>
      </c>
      <c r="L4003" s="6">
        <f>IFERROR(IF(INDEX(tProdutos[Desconto homologado],MATCH(tItens[[#This Row],[Produto]],tProdutos[Produto],0))="",DescontoPadrao,INDEX(tProdutos[Desconto homologado],MATCH(tItens[[#This Row],[Produto]],tProdutos[Produto],0))),DescontoPadrao)</f>
        <v>0.40540540540540498</v>
      </c>
      <c r="M4003" s="12">
        <f>tItens[[#This Row],[Valor]]*(1-tItens[[#This Row],[Desconto]])</f>
        <v>2378.3783783783797</v>
      </c>
      <c r="N4003" t="str">
        <f>IFERROR(INDEX(tProdutos[Foco],MATCH(tItens[[#This Row],[Produto]],tProdutos[Produto],0)),"Não")</f>
        <v>Não</v>
      </c>
      <c r="O4003" t="str">
        <f>IFERROR(INDEX(tEditais[SRP],MATCH(tItens[[#This Row],[Edital]],tEditais[Edital],0)),"Não")</f>
        <v>Sim</v>
      </c>
      <c r="P4003" s="4">
        <f>IF(COUNTIFS(INDEX(tItens[Edital],1):tItens[[#This Row],[Edital]],tItens[[#This Row],[Edital]],INDEX(tItens[Produto],1):tItens[[#This Row],[Produto]],tItens[[#This Row],[Produto]])=1,1,0)</f>
        <v>1</v>
      </c>
    </row>
    <row r="4004" spans="1:16" x14ac:dyDescent="0.25">
      <c r="A4004" t="s">
        <v>1632</v>
      </c>
      <c r="B4004">
        <v>2292538</v>
      </c>
      <c r="C4004" t="s">
        <v>6863</v>
      </c>
      <c r="D4004" t="s">
        <v>265</v>
      </c>
      <c r="E4004" s="13">
        <v>20000</v>
      </c>
      <c r="F4004" s="12">
        <v>0.28999999999999998</v>
      </c>
      <c r="G4004" t="str">
        <f>IFERROR(INDEX(tEditais[Órgão],MATCH(tItens[[#This Row],[Edital]],tEditais[Edital],0)),"")</f>
        <v>MUNICIPIO DE CORONEL SAPUCAIA</v>
      </c>
      <c r="H4004" t="str">
        <f>IFERROR(INDEX(tEditais[UF],MATCH(tItens[[#This Row],[Edital]],tEditais[Edital],0)),"")</f>
        <v>MS</v>
      </c>
      <c r="I4004" s="11">
        <f>IFERROR(INDEX(tEditais[Encerramento],MATCH(tItens[[#This Row],[Edital]],tEditais[Edital],0)),"")</f>
        <v>46304.374305555553</v>
      </c>
      <c r="J4004" t="str">
        <f>IFERROR(INDEX(tProdutos[Classe],MATCH(tItens[[#This Row],[Produto]],tProdutos[Produto],0)),"produto não cadastrado")</f>
        <v>DISPUTADO</v>
      </c>
      <c r="K4004" s="12">
        <f>tItens[[#This Row],[Qtd]]*tItens[[#This Row],[Vlr unit]]</f>
        <v>5800</v>
      </c>
      <c r="L4004" s="6">
        <f>IFERROR(IF(INDEX(tProdutos[Desconto homologado],MATCH(tItens[[#This Row],[Produto]],tProdutos[Produto],0))="",DescontoPadrao,INDEX(tProdutos[Desconto homologado],MATCH(tItens[[#This Row],[Produto]],tProdutos[Produto],0))),DescontoPadrao)</f>
        <v>0.377587663709337</v>
      </c>
      <c r="M4004" s="12">
        <f>tItens[[#This Row],[Valor]]*(1-tItens[[#This Row],[Desconto]])</f>
        <v>3609.9915504858459</v>
      </c>
      <c r="N4004" t="str">
        <f>IFERROR(INDEX(tProdutos[Foco],MATCH(tItens[[#This Row],[Produto]],tProdutos[Produto],0)),"Não")</f>
        <v>Não</v>
      </c>
      <c r="O4004" t="str">
        <f>IFERROR(INDEX(tEditais[SRP],MATCH(tItens[[#This Row],[Edital]],tEditais[Edital],0)),"Não")</f>
        <v>Sim</v>
      </c>
      <c r="P4004" s="4">
        <f>IF(COUNTIFS(INDEX(tItens[Edital],1):tItens[[#This Row],[Edital]],tItens[[#This Row],[Edital]],INDEX(tItens[Produto],1):tItens[[#This Row],[Produto]],tItens[[#This Row],[Produto]])=1,1,0)</f>
        <v>1</v>
      </c>
    </row>
    <row r="4005" spans="1:16" x14ac:dyDescent="0.25">
      <c r="A4005" t="s">
        <v>1632</v>
      </c>
      <c r="B4005">
        <v>2292539</v>
      </c>
      <c r="C4005" t="s">
        <v>6864</v>
      </c>
      <c r="D4005" t="s">
        <v>275</v>
      </c>
      <c r="E4005" s="13">
        <v>5000</v>
      </c>
      <c r="F4005" s="12">
        <v>0.32</v>
      </c>
      <c r="G4005" t="str">
        <f>IFERROR(INDEX(tEditais[Órgão],MATCH(tItens[[#This Row],[Edital]],tEditais[Edital],0)),"")</f>
        <v>MUNICIPIO DE CORONEL SAPUCAIA</v>
      </c>
      <c r="H4005" t="str">
        <f>IFERROR(INDEX(tEditais[UF],MATCH(tItens[[#This Row],[Edital]],tEditais[Edital],0)),"")</f>
        <v>MS</v>
      </c>
      <c r="I4005" s="11">
        <f>IFERROR(INDEX(tEditais[Encerramento],MATCH(tItens[[#This Row],[Edital]],tEditais[Edital],0)),"")</f>
        <v>46304.374305555553</v>
      </c>
      <c r="J4005" t="str">
        <f>IFERROR(INDEX(tProdutos[Classe],MATCH(tItens[[#This Row],[Produto]],tProdutos[Produto],0)),"produto não cadastrado")</f>
        <v>FORA</v>
      </c>
      <c r="K4005" s="12">
        <f>tItens[[#This Row],[Qtd]]*tItens[[#This Row],[Vlr unit]]</f>
        <v>1600</v>
      </c>
      <c r="L4005" s="6">
        <f>IFERROR(IF(INDEX(tProdutos[Desconto homologado],MATCH(tItens[[#This Row],[Produto]],tProdutos[Produto],0))="",DescontoPadrao,INDEX(tProdutos[Desconto homologado],MATCH(tItens[[#This Row],[Produto]],tProdutos[Produto],0))),DescontoPadrao)</f>
        <v>0.405797101449275</v>
      </c>
      <c r="M4005" s="12">
        <f>tItens[[#This Row],[Valor]]*(1-tItens[[#This Row],[Desconto]])</f>
        <v>950.72463768116006</v>
      </c>
      <c r="N4005" t="str">
        <f>IFERROR(INDEX(tProdutos[Foco],MATCH(tItens[[#This Row],[Produto]],tProdutos[Produto],0)),"Não")</f>
        <v>Não</v>
      </c>
      <c r="O4005" t="str">
        <f>IFERROR(INDEX(tEditais[SRP],MATCH(tItens[[#This Row],[Edital]],tEditais[Edital],0)),"Não")</f>
        <v>Sim</v>
      </c>
      <c r="P4005" s="4">
        <f>IF(COUNTIFS(INDEX(tItens[Edital],1):tItens[[#This Row],[Edital]],tItens[[#This Row],[Edital]],INDEX(tItens[Produto],1):tItens[[#This Row],[Produto]],tItens[[#This Row],[Produto]])=1,1,0)</f>
        <v>1</v>
      </c>
    </row>
    <row r="4006" spans="1:16" x14ac:dyDescent="0.25">
      <c r="A4006" t="s">
        <v>1632</v>
      </c>
      <c r="B4006">
        <v>2292553</v>
      </c>
      <c r="C4006" t="s">
        <v>6865</v>
      </c>
      <c r="D4006" t="s">
        <v>164</v>
      </c>
      <c r="E4006" s="13">
        <v>10</v>
      </c>
      <c r="F4006" s="12">
        <v>15.57</v>
      </c>
      <c r="G4006" t="str">
        <f>IFERROR(INDEX(tEditais[Órgão],MATCH(tItens[[#This Row],[Edital]],tEditais[Edital],0)),"")</f>
        <v>MUNICIPIO DE CORONEL SAPUCAIA</v>
      </c>
      <c r="H4006" t="str">
        <f>IFERROR(INDEX(tEditais[UF],MATCH(tItens[[#This Row],[Edital]],tEditais[Edital],0)),"")</f>
        <v>MS</v>
      </c>
      <c r="I4006" s="11">
        <f>IFERROR(INDEX(tEditais[Encerramento],MATCH(tItens[[#This Row],[Edital]],tEditais[Edital],0)),"")</f>
        <v>46304.374305555553</v>
      </c>
      <c r="J4006" t="str">
        <f>IFERROR(INDEX(tProdutos[Classe],MATCH(tItens[[#This Row],[Produto]],tProdutos[Produto],0)),"produto não cadastrado")</f>
        <v>DISPUTADO</v>
      </c>
      <c r="K4006" s="12">
        <f>tItens[[#This Row],[Qtd]]*tItens[[#This Row],[Vlr unit]]</f>
        <v>155.69999999999999</v>
      </c>
      <c r="L4006" s="6">
        <f>IFERROR(IF(INDEX(tProdutos[Desconto homologado],MATCH(tItens[[#This Row],[Produto]],tProdutos[Produto],0))="",DescontoPadrao,INDEX(tProdutos[Desconto homologado],MATCH(tItens[[#This Row],[Produto]],tProdutos[Produto],0))),DescontoPadrao)</f>
        <v>0.445300462249615</v>
      </c>
      <c r="M4006" s="12">
        <f>tItens[[#This Row],[Valor]]*(1-tItens[[#This Row],[Desconto]])</f>
        <v>86.366718027734933</v>
      </c>
      <c r="N4006" t="str">
        <f>IFERROR(INDEX(tProdutos[Foco],MATCH(tItens[[#This Row],[Produto]],tProdutos[Produto],0)),"Não")</f>
        <v>Não</v>
      </c>
      <c r="O4006" t="str">
        <f>IFERROR(INDEX(tEditais[SRP],MATCH(tItens[[#This Row],[Edital]],tEditais[Edital],0)),"Não")</f>
        <v>Sim</v>
      </c>
      <c r="P4006" s="4">
        <f>IF(COUNTIFS(INDEX(tItens[Edital],1):tItens[[#This Row],[Edital]],tItens[[#This Row],[Edital]],INDEX(tItens[Produto],1):tItens[[#This Row],[Produto]],tItens[[#This Row],[Produto]])=1,1,0)</f>
        <v>1</v>
      </c>
    </row>
    <row r="4007" spans="1:16" x14ac:dyDescent="0.25">
      <c r="A4007" t="s">
        <v>1632</v>
      </c>
      <c r="B4007">
        <v>2292554</v>
      </c>
      <c r="C4007" t="s">
        <v>6866</v>
      </c>
      <c r="D4007" t="s">
        <v>164</v>
      </c>
      <c r="E4007" s="13">
        <v>10</v>
      </c>
      <c r="F4007" s="12">
        <v>17.07</v>
      </c>
      <c r="G4007" t="str">
        <f>IFERROR(INDEX(tEditais[Órgão],MATCH(tItens[[#This Row],[Edital]],tEditais[Edital],0)),"")</f>
        <v>MUNICIPIO DE CORONEL SAPUCAIA</v>
      </c>
      <c r="H4007" t="str">
        <f>IFERROR(INDEX(tEditais[UF],MATCH(tItens[[#This Row],[Edital]],tEditais[Edital],0)),"")</f>
        <v>MS</v>
      </c>
      <c r="I4007" s="11">
        <f>IFERROR(INDEX(tEditais[Encerramento],MATCH(tItens[[#This Row],[Edital]],tEditais[Edital],0)),"")</f>
        <v>46304.374305555553</v>
      </c>
      <c r="J4007" t="str">
        <f>IFERROR(INDEX(tProdutos[Classe],MATCH(tItens[[#This Row],[Produto]],tProdutos[Produto],0)),"produto não cadastrado")</f>
        <v>DISPUTADO</v>
      </c>
      <c r="K4007" s="12">
        <f>tItens[[#This Row],[Qtd]]*tItens[[#This Row],[Vlr unit]]</f>
        <v>170.7</v>
      </c>
      <c r="L4007" s="6">
        <f>IFERROR(IF(INDEX(tProdutos[Desconto homologado],MATCH(tItens[[#This Row],[Produto]],tProdutos[Produto],0))="",DescontoPadrao,INDEX(tProdutos[Desconto homologado],MATCH(tItens[[#This Row],[Produto]],tProdutos[Produto],0))),DescontoPadrao)</f>
        <v>0.445300462249615</v>
      </c>
      <c r="M4007" s="12">
        <f>tItens[[#This Row],[Valor]]*(1-tItens[[#This Row],[Desconto]])</f>
        <v>94.687211093990697</v>
      </c>
      <c r="N4007" t="str">
        <f>IFERROR(INDEX(tProdutos[Foco],MATCH(tItens[[#This Row],[Produto]],tProdutos[Produto],0)),"Não")</f>
        <v>Não</v>
      </c>
      <c r="O4007" t="str">
        <f>IFERROR(INDEX(tEditais[SRP],MATCH(tItens[[#This Row],[Edital]],tEditais[Edital],0)),"Não")</f>
        <v>Sim</v>
      </c>
      <c r="P4007" s="4">
        <f>IF(COUNTIFS(INDEX(tItens[Edital],1):tItens[[#This Row],[Edital]],tItens[[#This Row],[Edital]],INDEX(tItens[Produto],1):tItens[[#This Row],[Produto]],tItens[[#This Row],[Produto]])=1,1,0)</f>
        <v>0</v>
      </c>
    </row>
    <row r="4008" spans="1:16" x14ac:dyDescent="0.25">
      <c r="A4008" t="s">
        <v>1632</v>
      </c>
      <c r="B4008">
        <v>2292555</v>
      </c>
      <c r="C4008" t="s">
        <v>6867</v>
      </c>
      <c r="D4008" t="s">
        <v>110</v>
      </c>
      <c r="E4008" s="13">
        <v>10</v>
      </c>
      <c r="F4008" s="12">
        <v>2.3199999999999998</v>
      </c>
      <c r="G4008" t="str">
        <f>IFERROR(INDEX(tEditais[Órgão],MATCH(tItens[[#This Row],[Edital]],tEditais[Edital],0)),"")</f>
        <v>MUNICIPIO DE CORONEL SAPUCAIA</v>
      </c>
      <c r="H4008" t="str">
        <f>IFERROR(INDEX(tEditais[UF],MATCH(tItens[[#This Row],[Edital]],tEditais[Edital],0)),"")</f>
        <v>MS</v>
      </c>
      <c r="I4008" s="11">
        <f>IFERROR(INDEX(tEditais[Encerramento],MATCH(tItens[[#This Row],[Edital]],tEditais[Edital],0)),"")</f>
        <v>46304.374305555553</v>
      </c>
      <c r="J4008" t="str">
        <f>IFERROR(INDEX(tProdutos[Classe],MATCH(tItens[[#This Row],[Produto]],tProdutos[Produto],0)),"produto não cadastrado")</f>
        <v>NÚCLEO</v>
      </c>
      <c r="K4008" s="12">
        <f>tItens[[#This Row],[Qtd]]*tItens[[#This Row],[Vlr unit]]</f>
        <v>23.2</v>
      </c>
      <c r="L4008" s="6">
        <f>IFERROR(IF(INDEX(tProdutos[Desconto homologado],MATCH(tItens[[#This Row],[Produto]],tProdutos[Produto],0))="",DescontoPadrao,INDEX(tProdutos[Desconto homologado],MATCH(tItens[[#This Row],[Produto]],tProdutos[Produto],0))),DescontoPadrao)</f>
        <v>0.30410958904109597</v>
      </c>
      <c r="M4008" s="12">
        <f>tItens[[#This Row],[Valor]]*(1-tItens[[#This Row],[Desconto]])</f>
        <v>16.144657534246573</v>
      </c>
      <c r="N4008" t="str">
        <f>IFERROR(INDEX(tProdutos[Foco],MATCH(tItens[[#This Row],[Produto]],tProdutos[Produto],0)),"Não")</f>
        <v>Não</v>
      </c>
      <c r="O4008" t="str">
        <f>IFERROR(INDEX(tEditais[SRP],MATCH(tItens[[#This Row],[Edital]],tEditais[Edital],0)),"Não")</f>
        <v>Sim</v>
      </c>
      <c r="P4008" s="4">
        <f>IF(COUNTIFS(INDEX(tItens[Edital],1):tItens[[#This Row],[Edital]],tItens[[#This Row],[Edital]],INDEX(tItens[Produto],1):tItens[[#This Row],[Produto]],tItens[[#This Row],[Produto]])=1,1,0)</f>
        <v>1</v>
      </c>
    </row>
    <row r="4009" spans="1:16" x14ac:dyDescent="0.25">
      <c r="A4009" t="s">
        <v>1632</v>
      </c>
      <c r="B4009">
        <v>2292556</v>
      </c>
      <c r="C4009" t="s">
        <v>6868</v>
      </c>
      <c r="D4009" t="s">
        <v>110</v>
      </c>
      <c r="E4009" s="13">
        <v>50</v>
      </c>
      <c r="F4009" s="12">
        <v>2.2799999999999998</v>
      </c>
      <c r="G4009" t="str">
        <f>IFERROR(INDEX(tEditais[Órgão],MATCH(tItens[[#This Row],[Edital]],tEditais[Edital],0)),"")</f>
        <v>MUNICIPIO DE CORONEL SAPUCAIA</v>
      </c>
      <c r="H4009" t="str">
        <f>IFERROR(INDEX(tEditais[UF],MATCH(tItens[[#This Row],[Edital]],tEditais[Edital],0)),"")</f>
        <v>MS</v>
      </c>
      <c r="I4009" s="11">
        <f>IFERROR(INDEX(tEditais[Encerramento],MATCH(tItens[[#This Row],[Edital]],tEditais[Edital],0)),"")</f>
        <v>46304.374305555553</v>
      </c>
      <c r="J4009" t="str">
        <f>IFERROR(INDEX(tProdutos[Classe],MATCH(tItens[[#This Row],[Produto]],tProdutos[Produto],0)),"produto não cadastrado")</f>
        <v>NÚCLEO</v>
      </c>
      <c r="K4009" s="12">
        <f>tItens[[#This Row],[Qtd]]*tItens[[#This Row],[Vlr unit]]</f>
        <v>113.99999999999999</v>
      </c>
      <c r="L4009" s="6">
        <f>IFERROR(IF(INDEX(tProdutos[Desconto homologado],MATCH(tItens[[#This Row],[Produto]],tProdutos[Produto],0))="",DescontoPadrao,INDEX(tProdutos[Desconto homologado],MATCH(tItens[[#This Row],[Produto]],tProdutos[Produto],0))),DescontoPadrao)</f>
        <v>0.30410958904109597</v>
      </c>
      <c r="M4009" s="12">
        <f>tItens[[#This Row],[Valor]]*(1-tItens[[#This Row],[Desconto]])</f>
        <v>79.331506849315048</v>
      </c>
      <c r="N4009" t="str">
        <f>IFERROR(INDEX(tProdutos[Foco],MATCH(tItens[[#This Row],[Produto]],tProdutos[Produto],0)),"Não")</f>
        <v>Não</v>
      </c>
      <c r="O4009" t="str">
        <f>IFERROR(INDEX(tEditais[SRP],MATCH(tItens[[#This Row],[Edital]],tEditais[Edital],0)),"Não")</f>
        <v>Sim</v>
      </c>
      <c r="P4009" s="4">
        <f>IF(COUNTIFS(INDEX(tItens[Edital],1):tItens[[#This Row],[Edital]],tItens[[#This Row],[Edital]],INDEX(tItens[Produto],1):tItens[[#This Row],[Produto]],tItens[[#This Row],[Produto]])=1,1,0)</f>
        <v>0</v>
      </c>
    </row>
    <row r="4010" spans="1:16" x14ac:dyDescent="0.25">
      <c r="A4010" t="s">
        <v>1632</v>
      </c>
      <c r="B4010">
        <v>2292557</v>
      </c>
      <c r="C4010" t="s">
        <v>6869</v>
      </c>
      <c r="D4010" t="s">
        <v>120</v>
      </c>
      <c r="E4010" s="13">
        <v>3000</v>
      </c>
      <c r="F4010" s="12">
        <v>0.92</v>
      </c>
      <c r="G4010" t="str">
        <f>IFERROR(INDEX(tEditais[Órgão],MATCH(tItens[[#This Row],[Edital]],tEditais[Edital],0)),"")</f>
        <v>MUNICIPIO DE CORONEL SAPUCAIA</v>
      </c>
      <c r="H4010" t="str">
        <f>IFERROR(INDEX(tEditais[UF],MATCH(tItens[[#This Row],[Edital]],tEditais[Edital],0)),"")</f>
        <v>MS</v>
      </c>
      <c r="I4010" s="11">
        <f>IFERROR(INDEX(tEditais[Encerramento],MATCH(tItens[[#This Row],[Edital]],tEditais[Edital],0)),"")</f>
        <v>46304.374305555553</v>
      </c>
      <c r="J4010" t="str">
        <f>IFERROR(INDEX(tProdutos[Classe],MATCH(tItens[[#This Row],[Produto]],tProdutos[Produto],0)),"produto não cadastrado")</f>
        <v>DISPUTADO</v>
      </c>
      <c r="K4010" s="12">
        <f>tItens[[#This Row],[Qtd]]*tItens[[#This Row],[Vlr unit]]</f>
        <v>2760</v>
      </c>
      <c r="L4010" s="6">
        <f>IFERROR(IF(INDEX(tProdutos[Desconto homologado],MATCH(tItens[[#This Row],[Produto]],tProdutos[Produto],0))="",DescontoPadrao,INDEX(tProdutos[Desconto homologado],MATCH(tItens[[#This Row],[Produto]],tProdutos[Produto],0))),DescontoPadrao)</f>
        <v>0.40909090909090901</v>
      </c>
      <c r="M4010" s="12">
        <f>tItens[[#This Row],[Valor]]*(1-tItens[[#This Row],[Desconto]])</f>
        <v>1630.9090909090912</v>
      </c>
      <c r="N4010" t="str">
        <f>IFERROR(INDEX(tProdutos[Foco],MATCH(tItens[[#This Row],[Produto]],tProdutos[Produto],0)),"Não")</f>
        <v>Não</v>
      </c>
      <c r="O4010" t="str">
        <f>IFERROR(INDEX(tEditais[SRP],MATCH(tItens[[#This Row],[Edital]],tEditais[Edital],0)),"Não")</f>
        <v>Sim</v>
      </c>
      <c r="P4010" s="4">
        <f>IF(COUNTIFS(INDEX(tItens[Edital],1):tItens[[#This Row],[Edital]],tItens[[#This Row],[Edital]],INDEX(tItens[Produto],1):tItens[[#This Row],[Produto]],tItens[[#This Row],[Produto]])=1,1,0)</f>
        <v>1</v>
      </c>
    </row>
    <row r="4011" spans="1:16" x14ac:dyDescent="0.25">
      <c r="A4011" t="s">
        <v>1632</v>
      </c>
      <c r="B4011">
        <v>2292558</v>
      </c>
      <c r="C4011" t="s">
        <v>6870</v>
      </c>
      <c r="D4011" t="s">
        <v>120</v>
      </c>
      <c r="E4011" s="13">
        <v>300</v>
      </c>
      <c r="F4011" s="12">
        <v>1</v>
      </c>
      <c r="G4011" t="str">
        <f>IFERROR(INDEX(tEditais[Órgão],MATCH(tItens[[#This Row],[Edital]],tEditais[Edital],0)),"")</f>
        <v>MUNICIPIO DE CORONEL SAPUCAIA</v>
      </c>
      <c r="H4011" t="str">
        <f>IFERROR(INDEX(tEditais[UF],MATCH(tItens[[#This Row],[Edital]],tEditais[Edital],0)),"")</f>
        <v>MS</v>
      </c>
      <c r="I4011" s="11">
        <f>IFERROR(INDEX(tEditais[Encerramento],MATCH(tItens[[#This Row],[Edital]],tEditais[Edital],0)),"")</f>
        <v>46304.374305555553</v>
      </c>
      <c r="J4011" t="str">
        <f>IFERROR(INDEX(tProdutos[Classe],MATCH(tItens[[#This Row],[Produto]],tProdutos[Produto],0)),"produto não cadastrado")</f>
        <v>DISPUTADO</v>
      </c>
      <c r="K4011" s="12">
        <f>tItens[[#This Row],[Qtd]]*tItens[[#This Row],[Vlr unit]]</f>
        <v>300</v>
      </c>
      <c r="L4011" s="6">
        <f>IFERROR(IF(INDEX(tProdutos[Desconto homologado],MATCH(tItens[[#This Row],[Produto]],tProdutos[Produto],0))="",DescontoPadrao,INDEX(tProdutos[Desconto homologado],MATCH(tItens[[#This Row],[Produto]],tProdutos[Produto],0))),DescontoPadrao)</f>
        <v>0.40909090909090901</v>
      </c>
      <c r="M4011" s="12">
        <f>tItens[[#This Row],[Valor]]*(1-tItens[[#This Row],[Desconto]])</f>
        <v>177.27272727272731</v>
      </c>
      <c r="N4011" t="str">
        <f>IFERROR(INDEX(tProdutos[Foco],MATCH(tItens[[#This Row],[Produto]],tProdutos[Produto],0)),"Não")</f>
        <v>Não</v>
      </c>
      <c r="O4011" t="str">
        <f>IFERROR(INDEX(tEditais[SRP],MATCH(tItens[[#This Row],[Edital]],tEditais[Edital],0)),"Não")</f>
        <v>Sim</v>
      </c>
      <c r="P4011" s="4">
        <f>IF(COUNTIFS(INDEX(tItens[Edital],1):tItens[[#This Row],[Edital]],tItens[[#This Row],[Edital]],INDEX(tItens[Produto],1):tItens[[#This Row],[Produto]],tItens[[#This Row],[Produto]])=1,1,0)</f>
        <v>0</v>
      </c>
    </row>
    <row r="4012" spans="1:16" x14ac:dyDescent="0.25">
      <c r="A4012" t="s">
        <v>1632</v>
      </c>
      <c r="B4012">
        <v>2292559</v>
      </c>
      <c r="C4012" t="s">
        <v>6871</v>
      </c>
      <c r="D4012" t="s">
        <v>120</v>
      </c>
      <c r="E4012" s="13">
        <v>300</v>
      </c>
      <c r="F4012" s="12">
        <v>1.08</v>
      </c>
      <c r="G4012" t="str">
        <f>IFERROR(INDEX(tEditais[Órgão],MATCH(tItens[[#This Row],[Edital]],tEditais[Edital],0)),"")</f>
        <v>MUNICIPIO DE CORONEL SAPUCAIA</v>
      </c>
      <c r="H4012" t="str">
        <f>IFERROR(INDEX(tEditais[UF],MATCH(tItens[[#This Row],[Edital]],tEditais[Edital],0)),"")</f>
        <v>MS</v>
      </c>
      <c r="I4012" s="11">
        <f>IFERROR(INDEX(tEditais[Encerramento],MATCH(tItens[[#This Row],[Edital]],tEditais[Edital],0)),"")</f>
        <v>46304.374305555553</v>
      </c>
      <c r="J4012" t="str">
        <f>IFERROR(INDEX(tProdutos[Classe],MATCH(tItens[[#This Row],[Produto]],tProdutos[Produto],0)),"produto não cadastrado")</f>
        <v>DISPUTADO</v>
      </c>
      <c r="K4012" s="12">
        <f>tItens[[#This Row],[Qtd]]*tItens[[#This Row],[Vlr unit]]</f>
        <v>324</v>
      </c>
      <c r="L4012" s="6">
        <f>IFERROR(IF(INDEX(tProdutos[Desconto homologado],MATCH(tItens[[#This Row],[Produto]],tProdutos[Produto],0))="",DescontoPadrao,INDEX(tProdutos[Desconto homologado],MATCH(tItens[[#This Row],[Produto]],tProdutos[Produto],0))),DescontoPadrao)</f>
        <v>0.40909090909090901</v>
      </c>
      <c r="M4012" s="12">
        <f>tItens[[#This Row],[Valor]]*(1-tItens[[#This Row],[Desconto]])</f>
        <v>191.4545454545455</v>
      </c>
      <c r="N4012" t="str">
        <f>IFERROR(INDEX(tProdutos[Foco],MATCH(tItens[[#This Row],[Produto]],tProdutos[Produto],0)),"Não")</f>
        <v>Não</v>
      </c>
      <c r="O4012" t="str">
        <f>IFERROR(INDEX(tEditais[SRP],MATCH(tItens[[#This Row],[Edital]],tEditais[Edital],0)),"Não")</f>
        <v>Sim</v>
      </c>
      <c r="P4012" s="4">
        <f>IF(COUNTIFS(INDEX(tItens[Edital],1):tItens[[#This Row],[Edital]],tItens[[#This Row],[Edital]],INDEX(tItens[Produto],1):tItens[[#This Row],[Produto]],tItens[[#This Row],[Produto]])=1,1,0)</f>
        <v>0</v>
      </c>
    </row>
    <row r="4013" spans="1:16" x14ac:dyDescent="0.25">
      <c r="A4013" t="s">
        <v>1637</v>
      </c>
      <c r="B4013">
        <v>7</v>
      </c>
      <c r="C4013" t="s">
        <v>6872</v>
      </c>
      <c r="D4013" t="s">
        <v>315</v>
      </c>
      <c r="E4013" s="13">
        <v>200</v>
      </c>
      <c r="F4013" s="12">
        <v>6.35</v>
      </c>
      <c r="G4013" t="str">
        <f>IFERROR(INDEX(tEditais[Órgão],MATCH(tItens[[#This Row],[Edital]],tEditais[Edital],0)),"")</f>
        <v>MUNICIPIO DE BATAYPORA</v>
      </c>
      <c r="H4013" t="str">
        <f>IFERROR(INDEX(tEditais[UF],MATCH(tItens[[#This Row],[Edital]],tEditais[Edital],0)),"")</f>
        <v>MS</v>
      </c>
      <c r="I4013" s="11">
        <f>IFERROR(INDEX(tEditais[Encerramento],MATCH(tItens[[#This Row],[Edital]],tEditais[Edital],0)),"")</f>
        <v>46304.375</v>
      </c>
      <c r="J4013" t="str">
        <f>IFERROR(INDEX(tProdutos[Classe],MATCH(tItens[[#This Row],[Produto]],tProdutos[Produto],0)),"produto não cadastrado")</f>
        <v>FORA</v>
      </c>
      <c r="K4013" s="12">
        <f>tItens[[#This Row],[Qtd]]*tItens[[#This Row],[Vlr unit]]</f>
        <v>1270</v>
      </c>
      <c r="L4013" s="6">
        <f>IFERROR(IF(INDEX(tProdutos[Desconto homologado],MATCH(tItens[[#This Row],[Produto]],tProdutos[Produto],0))="",DescontoPadrao,INDEX(tProdutos[Desconto homologado],MATCH(tItens[[#This Row],[Produto]],tProdutos[Produto],0))),DescontoPadrao)</f>
        <v>0.38432036097010702</v>
      </c>
      <c r="M4013" s="12">
        <f>tItens[[#This Row],[Valor]]*(1-tItens[[#This Row],[Desconto]])</f>
        <v>781.91314156796409</v>
      </c>
      <c r="N4013" t="str">
        <f>IFERROR(INDEX(tProdutos[Foco],MATCH(tItens[[#This Row],[Produto]],tProdutos[Produto],0)),"Não")</f>
        <v>Não</v>
      </c>
      <c r="O4013" t="str">
        <f>IFERROR(INDEX(tEditais[SRP],MATCH(tItens[[#This Row],[Edital]],tEditais[Edital],0)),"Não")</f>
        <v>Não</v>
      </c>
      <c r="P4013" s="4">
        <f>IF(COUNTIFS(INDEX(tItens[Edital],1):tItens[[#This Row],[Edital]],tItens[[#This Row],[Edital]],INDEX(tItens[Produto],1):tItens[[#This Row],[Produto]],tItens[[#This Row],[Produto]])=1,1,0)</f>
        <v>1</v>
      </c>
    </row>
    <row r="4014" spans="1:16" x14ac:dyDescent="0.25">
      <c r="A4014" t="s">
        <v>1637</v>
      </c>
      <c r="B4014">
        <v>12</v>
      </c>
      <c r="C4014" t="s">
        <v>6873</v>
      </c>
      <c r="D4014" t="s">
        <v>315</v>
      </c>
      <c r="E4014" s="13">
        <v>200</v>
      </c>
      <c r="F4014" s="12">
        <v>12.06</v>
      </c>
      <c r="G4014" t="str">
        <f>IFERROR(INDEX(tEditais[Órgão],MATCH(tItens[[#This Row],[Edital]],tEditais[Edital],0)),"")</f>
        <v>MUNICIPIO DE BATAYPORA</v>
      </c>
      <c r="H4014" t="str">
        <f>IFERROR(INDEX(tEditais[UF],MATCH(tItens[[#This Row],[Edital]],tEditais[Edital],0)),"")</f>
        <v>MS</v>
      </c>
      <c r="I4014" s="11">
        <f>IFERROR(INDEX(tEditais[Encerramento],MATCH(tItens[[#This Row],[Edital]],tEditais[Edital],0)),"")</f>
        <v>46304.375</v>
      </c>
      <c r="J4014" t="str">
        <f>IFERROR(INDEX(tProdutos[Classe],MATCH(tItens[[#This Row],[Produto]],tProdutos[Produto],0)),"produto não cadastrado")</f>
        <v>FORA</v>
      </c>
      <c r="K4014" s="12">
        <f>tItens[[#This Row],[Qtd]]*tItens[[#This Row],[Vlr unit]]</f>
        <v>2412</v>
      </c>
      <c r="L4014" s="6">
        <f>IFERROR(IF(INDEX(tProdutos[Desconto homologado],MATCH(tItens[[#This Row],[Produto]],tProdutos[Produto],0))="",DescontoPadrao,INDEX(tProdutos[Desconto homologado],MATCH(tItens[[#This Row],[Produto]],tProdutos[Produto],0))),DescontoPadrao)</f>
        <v>0.38432036097010702</v>
      </c>
      <c r="M4014" s="12">
        <f>tItens[[#This Row],[Valor]]*(1-tItens[[#This Row],[Desconto]])</f>
        <v>1485.0192893401017</v>
      </c>
      <c r="N4014" t="str">
        <f>IFERROR(INDEX(tProdutos[Foco],MATCH(tItens[[#This Row],[Produto]],tProdutos[Produto],0)),"Não")</f>
        <v>Não</v>
      </c>
      <c r="O4014" t="str">
        <f>IFERROR(INDEX(tEditais[SRP],MATCH(tItens[[#This Row],[Edital]],tEditais[Edital],0)),"Não")</f>
        <v>Não</v>
      </c>
      <c r="P4014" s="4">
        <f>IF(COUNTIFS(INDEX(tItens[Edital],1):tItens[[#This Row],[Edital]],tItens[[#This Row],[Edital]],INDEX(tItens[Produto],1):tItens[[#This Row],[Produto]],tItens[[#This Row],[Produto]])=1,1,0)</f>
        <v>0</v>
      </c>
    </row>
    <row r="4015" spans="1:16" x14ac:dyDescent="0.25">
      <c r="A4015" t="s">
        <v>1637</v>
      </c>
      <c r="B4015">
        <v>13</v>
      </c>
      <c r="C4015" t="s">
        <v>6874</v>
      </c>
      <c r="D4015" t="s">
        <v>315</v>
      </c>
      <c r="E4015" s="13">
        <v>250</v>
      </c>
      <c r="F4015" s="12">
        <v>11.62</v>
      </c>
      <c r="G4015" t="str">
        <f>IFERROR(INDEX(tEditais[Órgão],MATCH(tItens[[#This Row],[Edital]],tEditais[Edital],0)),"")</f>
        <v>MUNICIPIO DE BATAYPORA</v>
      </c>
      <c r="H4015" t="str">
        <f>IFERROR(INDEX(tEditais[UF],MATCH(tItens[[#This Row],[Edital]],tEditais[Edital],0)),"")</f>
        <v>MS</v>
      </c>
      <c r="I4015" s="11">
        <f>IFERROR(INDEX(tEditais[Encerramento],MATCH(tItens[[#This Row],[Edital]],tEditais[Edital],0)),"")</f>
        <v>46304.375</v>
      </c>
      <c r="J4015" t="str">
        <f>IFERROR(INDEX(tProdutos[Classe],MATCH(tItens[[#This Row],[Produto]],tProdutos[Produto],0)),"produto não cadastrado")</f>
        <v>FORA</v>
      </c>
      <c r="K4015" s="12">
        <f>tItens[[#This Row],[Qtd]]*tItens[[#This Row],[Vlr unit]]</f>
        <v>2905</v>
      </c>
      <c r="L4015" s="6">
        <f>IFERROR(IF(INDEX(tProdutos[Desconto homologado],MATCH(tItens[[#This Row],[Produto]],tProdutos[Produto],0))="",DescontoPadrao,INDEX(tProdutos[Desconto homologado],MATCH(tItens[[#This Row],[Produto]],tProdutos[Produto],0))),DescontoPadrao)</f>
        <v>0.38432036097010702</v>
      </c>
      <c r="M4015" s="12">
        <f>tItens[[#This Row],[Valor]]*(1-tItens[[#This Row],[Desconto]])</f>
        <v>1788.5493513818392</v>
      </c>
      <c r="N4015" t="str">
        <f>IFERROR(INDEX(tProdutos[Foco],MATCH(tItens[[#This Row],[Produto]],tProdutos[Produto],0)),"Não")</f>
        <v>Não</v>
      </c>
      <c r="O4015" t="str">
        <f>IFERROR(INDEX(tEditais[SRP],MATCH(tItens[[#This Row],[Edital]],tEditais[Edital],0)),"Não")</f>
        <v>Não</v>
      </c>
      <c r="P4015" s="4">
        <f>IF(COUNTIFS(INDEX(tItens[Edital],1):tItens[[#This Row],[Edital]],tItens[[#This Row],[Edital]],INDEX(tItens[Produto],1):tItens[[#This Row],[Produto]],tItens[[#This Row],[Produto]])=1,1,0)</f>
        <v>0</v>
      </c>
    </row>
    <row r="4016" spans="1:16" x14ac:dyDescent="0.25">
      <c r="A4016" t="s">
        <v>1637</v>
      </c>
      <c r="B4016">
        <v>24</v>
      </c>
      <c r="C4016" t="s">
        <v>6875</v>
      </c>
      <c r="D4016" t="s">
        <v>309</v>
      </c>
      <c r="E4016" s="13">
        <v>450</v>
      </c>
      <c r="F4016" s="12">
        <v>7.98</v>
      </c>
      <c r="G4016" t="str">
        <f>IFERROR(INDEX(tEditais[Órgão],MATCH(tItens[[#This Row],[Edital]],tEditais[Edital],0)),"")</f>
        <v>MUNICIPIO DE BATAYPORA</v>
      </c>
      <c r="H4016" t="str">
        <f>IFERROR(INDEX(tEditais[UF],MATCH(tItens[[#This Row],[Edital]],tEditais[Edital],0)),"")</f>
        <v>MS</v>
      </c>
      <c r="I4016" s="11">
        <f>IFERROR(INDEX(tEditais[Encerramento],MATCH(tItens[[#This Row],[Edital]],tEditais[Edital],0)),"")</f>
        <v>46304.375</v>
      </c>
      <c r="J4016" t="str">
        <f>IFERROR(INDEX(tProdutos[Classe],MATCH(tItens[[#This Row],[Produto]],tProdutos[Produto],0)),"produto não cadastrado")</f>
        <v>DISPUTADO</v>
      </c>
      <c r="K4016" s="12">
        <f>tItens[[#This Row],[Qtd]]*tItens[[#This Row],[Vlr unit]]</f>
        <v>3591</v>
      </c>
      <c r="L4016" s="6">
        <f>IFERROR(IF(INDEX(tProdutos[Desconto homologado],MATCH(tItens[[#This Row],[Produto]],tProdutos[Produto],0))="",DescontoPadrao,INDEX(tProdutos[Desconto homologado],MATCH(tItens[[#This Row],[Produto]],tProdutos[Produto],0))),DescontoPadrao)</f>
        <v>0.329229323455968</v>
      </c>
      <c r="M4016" s="12">
        <f>tItens[[#This Row],[Valor]]*(1-tItens[[#This Row],[Desconto]])</f>
        <v>2408.7374994696188</v>
      </c>
      <c r="N4016" t="str">
        <f>IFERROR(INDEX(tProdutos[Foco],MATCH(tItens[[#This Row],[Produto]],tProdutos[Produto],0)),"Não")</f>
        <v>Não</v>
      </c>
      <c r="O4016" t="str">
        <f>IFERROR(INDEX(tEditais[SRP],MATCH(tItens[[#This Row],[Edital]],tEditais[Edital],0)),"Não")</f>
        <v>Não</v>
      </c>
      <c r="P4016" s="4">
        <f>IF(COUNTIFS(INDEX(tItens[Edital],1):tItens[[#This Row],[Edital]],tItens[[#This Row],[Edital]],INDEX(tItens[Produto],1):tItens[[#This Row],[Produto]],tItens[[#This Row],[Produto]])=1,1,0)</f>
        <v>1</v>
      </c>
    </row>
    <row r="4017" spans="1:16" x14ac:dyDescent="0.25">
      <c r="A4017" t="s">
        <v>1637</v>
      </c>
      <c r="B4017">
        <v>25</v>
      </c>
      <c r="C4017" t="s">
        <v>6876</v>
      </c>
      <c r="D4017" t="s">
        <v>309</v>
      </c>
      <c r="E4017" s="13">
        <v>400</v>
      </c>
      <c r="F4017" s="12">
        <v>8.17</v>
      </c>
      <c r="G4017" t="str">
        <f>IFERROR(INDEX(tEditais[Órgão],MATCH(tItens[[#This Row],[Edital]],tEditais[Edital],0)),"")</f>
        <v>MUNICIPIO DE BATAYPORA</v>
      </c>
      <c r="H4017" t="str">
        <f>IFERROR(INDEX(tEditais[UF],MATCH(tItens[[#This Row],[Edital]],tEditais[Edital],0)),"")</f>
        <v>MS</v>
      </c>
      <c r="I4017" s="11">
        <f>IFERROR(INDEX(tEditais[Encerramento],MATCH(tItens[[#This Row],[Edital]],tEditais[Edital],0)),"")</f>
        <v>46304.375</v>
      </c>
      <c r="J4017" t="str">
        <f>IFERROR(INDEX(tProdutos[Classe],MATCH(tItens[[#This Row],[Produto]],tProdutos[Produto],0)),"produto não cadastrado")</f>
        <v>DISPUTADO</v>
      </c>
      <c r="K4017" s="12">
        <f>tItens[[#This Row],[Qtd]]*tItens[[#This Row],[Vlr unit]]</f>
        <v>3268</v>
      </c>
      <c r="L4017" s="6">
        <f>IFERROR(IF(INDEX(tProdutos[Desconto homologado],MATCH(tItens[[#This Row],[Produto]],tProdutos[Produto],0))="",DescontoPadrao,INDEX(tProdutos[Desconto homologado],MATCH(tItens[[#This Row],[Produto]],tProdutos[Produto],0))),DescontoPadrao)</f>
        <v>0.329229323455968</v>
      </c>
      <c r="M4017" s="12">
        <f>tItens[[#This Row],[Valor]]*(1-tItens[[#This Row],[Desconto]])</f>
        <v>2192.0785709458964</v>
      </c>
      <c r="N4017" t="str">
        <f>IFERROR(INDEX(tProdutos[Foco],MATCH(tItens[[#This Row],[Produto]],tProdutos[Produto],0)),"Não")</f>
        <v>Não</v>
      </c>
      <c r="O4017" t="str">
        <f>IFERROR(INDEX(tEditais[SRP],MATCH(tItens[[#This Row],[Edital]],tEditais[Edital],0)),"Não")</f>
        <v>Não</v>
      </c>
      <c r="P4017" s="4">
        <f>IF(COUNTIFS(INDEX(tItens[Edital],1):tItens[[#This Row],[Edital]],tItens[[#This Row],[Edital]],INDEX(tItens[Produto],1):tItens[[#This Row],[Produto]],tItens[[#This Row],[Produto]])=1,1,0)</f>
        <v>0</v>
      </c>
    </row>
    <row r="4018" spans="1:16" x14ac:dyDescent="0.25">
      <c r="A4018" t="s">
        <v>1637</v>
      </c>
      <c r="B4018">
        <v>26</v>
      </c>
      <c r="C4018" t="s">
        <v>6877</v>
      </c>
      <c r="D4018" t="s">
        <v>309</v>
      </c>
      <c r="E4018" s="13">
        <v>400</v>
      </c>
      <c r="F4018" s="12">
        <v>12.43</v>
      </c>
      <c r="G4018" t="str">
        <f>IFERROR(INDEX(tEditais[Órgão],MATCH(tItens[[#This Row],[Edital]],tEditais[Edital],0)),"")</f>
        <v>MUNICIPIO DE BATAYPORA</v>
      </c>
      <c r="H4018" t="str">
        <f>IFERROR(INDEX(tEditais[UF],MATCH(tItens[[#This Row],[Edital]],tEditais[Edital],0)),"")</f>
        <v>MS</v>
      </c>
      <c r="I4018" s="11">
        <f>IFERROR(INDEX(tEditais[Encerramento],MATCH(tItens[[#This Row],[Edital]],tEditais[Edital],0)),"")</f>
        <v>46304.375</v>
      </c>
      <c r="J4018" t="str">
        <f>IFERROR(INDEX(tProdutos[Classe],MATCH(tItens[[#This Row],[Produto]],tProdutos[Produto],0)),"produto não cadastrado")</f>
        <v>DISPUTADO</v>
      </c>
      <c r="K4018" s="12">
        <f>tItens[[#This Row],[Qtd]]*tItens[[#This Row],[Vlr unit]]</f>
        <v>4972</v>
      </c>
      <c r="L4018" s="6">
        <f>IFERROR(IF(INDEX(tProdutos[Desconto homologado],MATCH(tItens[[#This Row],[Produto]],tProdutos[Produto],0))="",DescontoPadrao,INDEX(tProdutos[Desconto homologado],MATCH(tItens[[#This Row],[Produto]],tProdutos[Produto],0))),DescontoPadrao)</f>
        <v>0.329229323455968</v>
      </c>
      <c r="M4018" s="12">
        <f>tItens[[#This Row],[Valor]]*(1-tItens[[#This Row],[Desconto]])</f>
        <v>3335.071803776927</v>
      </c>
      <c r="N4018" t="str">
        <f>IFERROR(INDEX(tProdutos[Foco],MATCH(tItens[[#This Row],[Produto]],tProdutos[Produto],0)),"Não")</f>
        <v>Não</v>
      </c>
      <c r="O4018" t="str">
        <f>IFERROR(INDEX(tEditais[SRP],MATCH(tItens[[#This Row],[Edital]],tEditais[Edital],0)),"Não")</f>
        <v>Não</v>
      </c>
      <c r="P4018" s="4">
        <f>IF(COUNTIFS(INDEX(tItens[Edital],1):tItens[[#This Row],[Edital]],tItens[[#This Row],[Edital]],INDEX(tItens[Produto],1):tItens[[#This Row],[Produto]],tItens[[#This Row],[Produto]])=1,1,0)</f>
        <v>0</v>
      </c>
    </row>
    <row r="4019" spans="1:16" x14ac:dyDescent="0.25">
      <c r="A4019" t="s">
        <v>1637</v>
      </c>
      <c r="B4019">
        <v>29</v>
      </c>
      <c r="C4019" t="s">
        <v>6878</v>
      </c>
      <c r="D4019" t="s">
        <v>237</v>
      </c>
      <c r="E4019" s="13">
        <v>80</v>
      </c>
      <c r="F4019" s="12">
        <v>38.909999999999997</v>
      </c>
      <c r="G4019" t="str">
        <f>IFERROR(INDEX(tEditais[Órgão],MATCH(tItens[[#This Row],[Edital]],tEditais[Edital],0)),"")</f>
        <v>MUNICIPIO DE BATAYPORA</v>
      </c>
      <c r="H4019" t="str">
        <f>IFERROR(INDEX(tEditais[UF],MATCH(tItens[[#This Row],[Edital]],tEditais[Edital],0)),"")</f>
        <v>MS</v>
      </c>
      <c r="I4019" s="11">
        <f>IFERROR(INDEX(tEditais[Encerramento],MATCH(tItens[[#This Row],[Edital]],tEditais[Edital],0)),"")</f>
        <v>46304.375</v>
      </c>
      <c r="J4019" t="str">
        <f>IFERROR(INDEX(tProdutos[Classe],MATCH(tItens[[#This Row],[Produto]],tProdutos[Produto],0)),"produto não cadastrado")</f>
        <v>FORA</v>
      </c>
      <c r="K4019" s="12">
        <f>tItens[[#This Row],[Qtd]]*tItens[[#This Row],[Vlr unit]]</f>
        <v>3112.7999999999997</v>
      </c>
      <c r="L4019" s="6">
        <f>IFERROR(IF(INDEX(tProdutos[Desconto homologado],MATCH(tItens[[#This Row],[Produto]],tProdutos[Produto],0))="",DescontoPadrao,INDEX(tProdutos[Desconto homologado],MATCH(tItens[[#This Row],[Produto]],tProdutos[Produto],0))),DescontoPadrao)</f>
        <v>0.281629856521038</v>
      </c>
      <c r="M4019" s="12">
        <f>tItens[[#This Row],[Valor]]*(1-tItens[[#This Row],[Desconto]])</f>
        <v>2236.1425826213126</v>
      </c>
      <c r="N4019" t="str">
        <f>IFERROR(INDEX(tProdutos[Foco],MATCH(tItens[[#This Row],[Produto]],tProdutos[Produto],0)),"Não")</f>
        <v>Não</v>
      </c>
      <c r="O4019" t="str">
        <f>IFERROR(INDEX(tEditais[SRP],MATCH(tItens[[#This Row],[Edital]],tEditais[Edital],0)),"Não")</f>
        <v>Não</v>
      </c>
      <c r="P4019" s="4">
        <f>IF(COUNTIFS(INDEX(tItens[Edital],1):tItens[[#This Row],[Edital]],tItens[[#This Row],[Edital]],INDEX(tItens[Produto],1):tItens[[#This Row],[Produto]],tItens[[#This Row],[Produto]])=1,1,0)</f>
        <v>1</v>
      </c>
    </row>
    <row r="4020" spans="1:16" x14ac:dyDescent="0.25">
      <c r="A4020" t="s">
        <v>1637</v>
      </c>
      <c r="B4020">
        <v>30</v>
      </c>
      <c r="C4020" t="s">
        <v>6879</v>
      </c>
      <c r="D4020" t="s">
        <v>237</v>
      </c>
      <c r="E4020" s="13">
        <v>70</v>
      </c>
      <c r="F4020" s="12">
        <v>65.25</v>
      </c>
      <c r="G4020" t="str">
        <f>IFERROR(INDEX(tEditais[Órgão],MATCH(tItens[[#This Row],[Edital]],tEditais[Edital],0)),"")</f>
        <v>MUNICIPIO DE BATAYPORA</v>
      </c>
      <c r="H4020" t="str">
        <f>IFERROR(INDEX(tEditais[UF],MATCH(tItens[[#This Row],[Edital]],tEditais[Edital],0)),"")</f>
        <v>MS</v>
      </c>
      <c r="I4020" s="11">
        <f>IFERROR(INDEX(tEditais[Encerramento],MATCH(tItens[[#This Row],[Edital]],tEditais[Edital],0)),"")</f>
        <v>46304.375</v>
      </c>
      <c r="J4020" t="str">
        <f>IFERROR(INDEX(tProdutos[Classe],MATCH(tItens[[#This Row],[Produto]],tProdutos[Produto],0)),"produto não cadastrado")</f>
        <v>FORA</v>
      </c>
      <c r="K4020" s="12">
        <f>tItens[[#This Row],[Qtd]]*tItens[[#This Row],[Vlr unit]]</f>
        <v>4567.5</v>
      </c>
      <c r="L4020" s="6">
        <f>IFERROR(IF(INDEX(tProdutos[Desconto homologado],MATCH(tItens[[#This Row],[Produto]],tProdutos[Produto],0))="",DescontoPadrao,INDEX(tProdutos[Desconto homologado],MATCH(tItens[[#This Row],[Produto]],tProdutos[Produto],0))),DescontoPadrao)</f>
        <v>0.281629856521038</v>
      </c>
      <c r="M4020" s="12">
        <f>tItens[[#This Row],[Valor]]*(1-tItens[[#This Row],[Desconto]])</f>
        <v>3281.155630340159</v>
      </c>
      <c r="N4020" t="str">
        <f>IFERROR(INDEX(tProdutos[Foco],MATCH(tItens[[#This Row],[Produto]],tProdutos[Produto],0)),"Não")</f>
        <v>Não</v>
      </c>
      <c r="O4020" t="str">
        <f>IFERROR(INDEX(tEditais[SRP],MATCH(tItens[[#This Row],[Edital]],tEditais[Edital],0)),"Não")</f>
        <v>Não</v>
      </c>
      <c r="P4020" s="4">
        <f>IF(COUNTIFS(INDEX(tItens[Edital],1):tItens[[#This Row],[Edital]],tItens[[#This Row],[Edital]],INDEX(tItens[Produto],1):tItens[[#This Row],[Produto]],tItens[[#This Row],[Produto]])=1,1,0)</f>
        <v>0</v>
      </c>
    </row>
    <row r="4021" spans="1:16" x14ac:dyDescent="0.25">
      <c r="A4021" t="s">
        <v>1637</v>
      </c>
      <c r="B4021">
        <v>31</v>
      </c>
      <c r="C4021" t="s">
        <v>6880</v>
      </c>
      <c r="D4021" t="s">
        <v>237</v>
      </c>
      <c r="E4021" s="13">
        <v>80</v>
      </c>
      <c r="F4021" s="12">
        <v>131.12</v>
      </c>
      <c r="G4021" t="str">
        <f>IFERROR(INDEX(tEditais[Órgão],MATCH(tItens[[#This Row],[Edital]],tEditais[Edital],0)),"")</f>
        <v>MUNICIPIO DE BATAYPORA</v>
      </c>
      <c r="H4021" t="str">
        <f>IFERROR(INDEX(tEditais[UF],MATCH(tItens[[#This Row],[Edital]],tEditais[Edital],0)),"")</f>
        <v>MS</v>
      </c>
      <c r="I4021" s="11">
        <f>IFERROR(INDEX(tEditais[Encerramento],MATCH(tItens[[#This Row],[Edital]],tEditais[Edital],0)),"")</f>
        <v>46304.375</v>
      </c>
      <c r="J4021" t="str">
        <f>IFERROR(INDEX(tProdutos[Classe],MATCH(tItens[[#This Row],[Produto]],tProdutos[Produto],0)),"produto não cadastrado")</f>
        <v>FORA</v>
      </c>
      <c r="K4021" s="12">
        <f>tItens[[#This Row],[Qtd]]*tItens[[#This Row],[Vlr unit]]</f>
        <v>10489.6</v>
      </c>
      <c r="L4021" s="6">
        <f>IFERROR(IF(INDEX(tProdutos[Desconto homologado],MATCH(tItens[[#This Row],[Produto]],tProdutos[Produto],0))="",DescontoPadrao,INDEX(tProdutos[Desconto homologado],MATCH(tItens[[#This Row],[Produto]],tProdutos[Produto],0))),DescontoPadrao)</f>
        <v>0.281629856521038</v>
      </c>
      <c r="M4021" s="12">
        <f>tItens[[#This Row],[Valor]]*(1-tItens[[#This Row],[Desconto]])</f>
        <v>7535.4154570369201</v>
      </c>
      <c r="N4021" t="str">
        <f>IFERROR(INDEX(tProdutos[Foco],MATCH(tItens[[#This Row],[Produto]],tProdutos[Produto],0)),"Não")</f>
        <v>Não</v>
      </c>
      <c r="O4021" t="str">
        <f>IFERROR(INDEX(tEditais[SRP],MATCH(tItens[[#This Row],[Edital]],tEditais[Edital],0)),"Não")</f>
        <v>Não</v>
      </c>
      <c r="P4021" s="4">
        <f>IF(COUNTIFS(INDEX(tItens[Edital],1):tItens[[#This Row],[Edital]],tItens[[#This Row],[Edital]],INDEX(tItens[Produto],1):tItens[[#This Row],[Produto]],tItens[[#This Row],[Produto]])=1,1,0)</f>
        <v>0</v>
      </c>
    </row>
    <row r="4022" spans="1:16" x14ac:dyDescent="0.25">
      <c r="A4022" t="s">
        <v>1637</v>
      </c>
      <c r="B4022">
        <v>38</v>
      </c>
      <c r="C4022" t="s">
        <v>6881</v>
      </c>
      <c r="D4022" t="s">
        <v>73</v>
      </c>
      <c r="E4022" s="13">
        <v>500</v>
      </c>
      <c r="F4022" s="12">
        <v>1.49</v>
      </c>
      <c r="G4022" t="str">
        <f>IFERROR(INDEX(tEditais[Órgão],MATCH(tItens[[#This Row],[Edital]],tEditais[Edital],0)),"")</f>
        <v>MUNICIPIO DE BATAYPORA</v>
      </c>
      <c r="H4022" t="str">
        <f>IFERROR(INDEX(tEditais[UF],MATCH(tItens[[#This Row],[Edital]],tEditais[Edital],0)),"")</f>
        <v>MS</v>
      </c>
      <c r="I4022" s="11">
        <f>IFERROR(INDEX(tEditais[Encerramento],MATCH(tItens[[#This Row],[Edital]],tEditais[Edital],0)),"")</f>
        <v>46304.375</v>
      </c>
      <c r="J4022" t="str">
        <f>IFERROR(INDEX(tProdutos[Classe],MATCH(tItens[[#This Row],[Produto]],tProdutos[Produto],0)),"produto não cadastrado")</f>
        <v>NÚCLEO</v>
      </c>
      <c r="K4022" s="12">
        <f>tItens[[#This Row],[Qtd]]*tItens[[#This Row],[Vlr unit]]</f>
        <v>745</v>
      </c>
      <c r="L4022" s="6">
        <f>IFERROR(IF(INDEX(tProdutos[Desconto homologado],MATCH(tItens[[#This Row],[Produto]],tProdutos[Produto],0))="",DescontoPadrao,INDEX(tProdutos[Desconto homologado],MATCH(tItens[[#This Row],[Produto]],tProdutos[Produto],0))),DescontoPadrao)</f>
        <v>0.37</v>
      </c>
      <c r="M4022" s="12">
        <f>tItens[[#This Row],[Valor]]*(1-tItens[[#This Row],[Desconto]])</f>
        <v>469.35</v>
      </c>
      <c r="N4022" t="str">
        <f>IFERROR(INDEX(tProdutos[Foco],MATCH(tItens[[#This Row],[Produto]],tProdutos[Produto],0)),"Não")</f>
        <v>Sim</v>
      </c>
      <c r="O4022" t="str">
        <f>IFERROR(INDEX(tEditais[SRP],MATCH(tItens[[#This Row],[Edital]],tEditais[Edital],0)),"Não")</f>
        <v>Não</v>
      </c>
      <c r="P4022" s="4">
        <f>IF(COUNTIFS(INDEX(tItens[Edital],1):tItens[[#This Row],[Edital]],tItens[[#This Row],[Edital]],INDEX(tItens[Produto],1):tItens[[#This Row],[Produto]],tItens[[#This Row],[Produto]])=1,1,0)</f>
        <v>1</v>
      </c>
    </row>
    <row r="4023" spans="1:16" x14ac:dyDescent="0.25">
      <c r="A4023" t="s">
        <v>1637</v>
      </c>
      <c r="B4023">
        <v>39</v>
      </c>
      <c r="C4023" t="s">
        <v>6882</v>
      </c>
      <c r="D4023" t="s">
        <v>73</v>
      </c>
      <c r="E4023" s="13">
        <v>500</v>
      </c>
      <c r="F4023" s="12">
        <v>1.52</v>
      </c>
      <c r="G4023" t="str">
        <f>IFERROR(INDEX(tEditais[Órgão],MATCH(tItens[[#This Row],[Edital]],tEditais[Edital],0)),"")</f>
        <v>MUNICIPIO DE BATAYPORA</v>
      </c>
      <c r="H4023" t="str">
        <f>IFERROR(INDEX(tEditais[UF],MATCH(tItens[[#This Row],[Edital]],tEditais[Edital],0)),"")</f>
        <v>MS</v>
      </c>
      <c r="I4023" s="11">
        <f>IFERROR(INDEX(tEditais[Encerramento],MATCH(tItens[[#This Row],[Edital]],tEditais[Edital],0)),"")</f>
        <v>46304.375</v>
      </c>
      <c r="J4023" t="str">
        <f>IFERROR(INDEX(tProdutos[Classe],MATCH(tItens[[#This Row],[Produto]],tProdutos[Produto],0)),"produto não cadastrado")</f>
        <v>NÚCLEO</v>
      </c>
      <c r="K4023" s="12">
        <f>tItens[[#This Row],[Qtd]]*tItens[[#This Row],[Vlr unit]]</f>
        <v>760</v>
      </c>
      <c r="L4023" s="6">
        <f>IFERROR(IF(INDEX(tProdutos[Desconto homologado],MATCH(tItens[[#This Row],[Produto]],tProdutos[Produto],0))="",DescontoPadrao,INDEX(tProdutos[Desconto homologado],MATCH(tItens[[#This Row],[Produto]],tProdutos[Produto],0))),DescontoPadrao)</f>
        <v>0.37</v>
      </c>
      <c r="M4023" s="12">
        <f>tItens[[#This Row],[Valor]]*(1-tItens[[#This Row],[Desconto]])</f>
        <v>478.8</v>
      </c>
      <c r="N4023" t="str">
        <f>IFERROR(INDEX(tProdutos[Foco],MATCH(tItens[[#This Row],[Produto]],tProdutos[Produto],0)),"Não")</f>
        <v>Sim</v>
      </c>
      <c r="O4023" t="str">
        <f>IFERROR(INDEX(tEditais[SRP],MATCH(tItens[[#This Row],[Edital]],tEditais[Edital],0)),"Não")</f>
        <v>Não</v>
      </c>
      <c r="P4023" s="4">
        <f>IF(COUNTIFS(INDEX(tItens[Edital],1):tItens[[#This Row],[Edital]],tItens[[#This Row],[Edital]],INDEX(tItens[Produto],1):tItens[[#This Row],[Produto]],tItens[[#This Row],[Produto]])=1,1,0)</f>
        <v>0</v>
      </c>
    </row>
    <row r="4024" spans="1:16" x14ac:dyDescent="0.25">
      <c r="A4024" t="s">
        <v>1637</v>
      </c>
      <c r="B4024">
        <v>43</v>
      </c>
      <c r="C4024" t="s">
        <v>6883</v>
      </c>
      <c r="D4024" t="s">
        <v>279</v>
      </c>
      <c r="E4024" s="13">
        <v>2000</v>
      </c>
      <c r="F4024" s="12">
        <v>3.79</v>
      </c>
      <c r="G4024" t="str">
        <f>IFERROR(INDEX(tEditais[Órgão],MATCH(tItens[[#This Row],[Edital]],tEditais[Edital],0)),"")</f>
        <v>MUNICIPIO DE BATAYPORA</v>
      </c>
      <c r="H4024" t="str">
        <f>IFERROR(INDEX(tEditais[UF],MATCH(tItens[[#This Row],[Edital]],tEditais[Edital],0)),"")</f>
        <v>MS</v>
      </c>
      <c r="I4024" s="11">
        <f>IFERROR(INDEX(tEditais[Encerramento],MATCH(tItens[[#This Row],[Edital]],tEditais[Edital],0)),"")</f>
        <v>46304.375</v>
      </c>
      <c r="J4024" t="str">
        <f>IFERROR(INDEX(tProdutos[Classe],MATCH(tItens[[#This Row],[Produto]],tProdutos[Produto],0)),"produto não cadastrado")</f>
        <v>FORA</v>
      </c>
      <c r="K4024" s="12">
        <f>tItens[[#This Row],[Qtd]]*tItens[[#This Row],[Vlr unit]]</f>
        <v>7580</v>
      </c>
      <c r="L4024" s="6">
        <f>IFERROR(IF(INDEX(tProdutos[Desconto homologado],MATCH(tItens[[#This Row],[Produto]],tProdutos[Produto],0))="",DescontoPadrao,INDEX(tProdutos[Desconto homologado],MATCH(tItens[[#This Row],[Produto]],tProdutos[Produto],0))),DescontoPadrao)</f>
        <v>0.28909090909090901</v>
      </c>
      <c r="M4024" s="12">
        <f>tItens[[#This Row],[Valor]]*(1-tItens[[#This Row],[Desconto]])</f>
        <v>5388.6909090909094</v>
      </c>
      <c r="N4024" t="str">
        <f>IFERROR(INDEX(tProdutos[Foco],MATCH(tItens[[#This Row],[Produto]],tProdutos[Produto],0)),"Não")</f>
        <v>Não</v>
      </c>
      <c r="O4024" t="str">
        <f>IFERROR(INDEX(tEditais[SRP],MATCH(tItens[[#This Row],[Edital]],tEditais[Edital],0)),"Não")</f>
        <v>Não</v>
      </c>
      <c r="P4024" s="4">
        <f>IF(COUNTIFS(INDEX(tItens[Edital],1):tItens[[#This Row],[Edital]],tItens[[#This Row],[Edital]],INDEX(tItens[Produto],1):tItens[[#This Row],[Produto]],tItens[[#This Row],[Produto]])=1,1,0)</f>
        <v>1</v>
      </c>
    </row>
    <row r="4025" spans="1:16" x14ac:dyDescent="0.25">
      <c r="A4025" t="s">
        <v>1637</v>
      </c>
      <c r="B4025">
        <v>45</v>
      </c>
      <c r="C4025" t="s">
        <v>6884</v>
      </c>
      <c r="D4025" t="s">
        <v>611</v>
      </c>
      <c r="E4025" s="13">
        <v>10</v>
      </c>
      <c r="F4025" s="12">
        <v>237.33</v>
      </c>
      <c r="G4025" t="str">
        <f>IFERROR(INDEX(tEditais[Órgão],MATCH(tItens[[#This Row],[Edital]],tEditais[Edital],0)),"")</f>
        <v>MUNICIPIO DE BATAYPORA</v>
      </c>
      <c r="H4025" t="str">
        <f>IFERROR(INDEX(tEditais[UF],MATCH(tItens[[#This Row],[Edital]],tEditais[Edital],0)),"")</f>
        <v>MS</v>
      </c>
      <c r="I4025" s="11">
        <f>IFERROR(INDEX(tEditais[Encerramento],MATCH(tItens[[#This Row],[Edital]],tEditais[Edital],0)),"")</f>
        <v>46304.375</v>
      </c>
      <c r="J4025" t="str">
        <f>IFERROR(INDEX(tProdutos[Classe],MATCH(tItens[[#This Row],[Produto]],tProdutos[Produto],0)),"produto não cadastrado")</f>
        <v>FILA REBASE</v>
      </c>
      <c r="K4025" s="12">
        <f>tItens[[#This Row],[Qtd]]*tItens[[#This Row],[Vlr unit]]</f>
        <v>2373.3000000000002</v>
      </c>
      <c r="L4025" s="6">
        <f>IFERROR(IF(INDEX(tProdutos[Desconto homologado],MATCH(tItens[[#This Row],[Produto]],tProdutos[Produto],0))="",DescontoPadrao,INDEX(tProdutos[Desconto homologado],MATCH(tItens[[#This Row],[Produto]],tProdutos[Produto],0))),DescontoPadrao)</f>
        <v>0.3</v>
      </c>
      <c r="M4025" s="12">
        <f>tItens[[#This Row],[Valor]]*(1-tItens[[#This Row],[Desconto]])</f>
        <v>1661.31</v>
      </c>
      <c r="N4025" t="str">
        <f>IFERROR(INDEX(tProdutos[Foco],MATCH(tItens[[#This Row],[Produto]],tProdutos[Produto],0)),"Não")</f>
        <v>Não</v>
      </c>
      <c r="O4025" t="str">
        <f>IFERROR(INDEX(tEditais[SRP],MATCH(tItens[[#This Row],[Edital]],tEditais[Edital],0)),"Não")</f>
        <v>Não</v>
      </c>
      <c r="P4025" s="4">
        <f>IF(COUNTIFS(INDEX(tItens[Edital],1):tItens[[#This Row],[Edital]],tItens[[#This Row],[Edital]],INDEX(tItens[Produto],1):tItens[[#This Row],[Produto]],tItens[[#This Row],[Produto]])=1,1,0)</f>
        <v>1</v>
      </c>
    </row>
    <row r="4026" spans="1:16" x14ac:dyDescent="0.25">
      <c r="A4026" t="s">
        <v>1637</v>
      </c>
      <c r="B4026">
        <v>60</v>
      </c>
      <c r="C4026" t="s">
        <v>6885</v>
      </c>
      <c r="D4026" t="s">
        <v>299</v>
      </c>
      <c r="E4026" s="13">
        <v>600</v>
      </c>
      <c r="F4026" s="12">
        <v>22.7</v>
      </c>
      <c r="G4026" t="str">
        <f>IFERROR(INDEX(tEditais[Órgão],MATCH(tItens[[#This Row],[Edital]],tEditais[Edital],0)),"")</f>
        <v>MUNICIPIO DE BATAYPORA</v>
      </c>
      <c r="H4026" t="str">
        <f>IFERROR(INDEX(tEditais[UF],MATCH(tItens[[#This Row],[Edital]],tEditais[Edital],0)),"")</f>
        <v>MS</v>
      </c>
      <c r="I4026" s="11">
        <f>IFERROR(INDEX(tEditais[Encerramento],MATCH(tItens[[#This Row],[Edital]],tEditais[Edital],0)),"")</f>
        <v>46304.375</v>
      </c>
      <c r="J4026" t="str">
        <f>IFERROR(INDEX(tProdutos[Classe],MATCH(tItens[[#This Row],[Produto]],tProdutos[Produto],0)),"produto não cadastrado")</f>
        <v>FORA</v>
      </c>
      <c r="K4026" s="12">
        <f>tItens[[#This Row],[Qtd]]*tItens[[#This Row],[Vlr unit]]</f>
        <v>13620</v>
      </c>
      <c r="L4026" s="6">
        <f>IFERROR(IF(INDEX(tProdutos[Desconto homologado],MATCH(tItens[[#This Row],[Produto]],tProdutos[Produto],0))="",DescontoPadrao,INDEX(tProdutos[Desconto homologado],MATCH(tItens[[#This Row],[Produto]],tProdutos[Produto],0))),DescontoPadrao)</f>
        <v>0.42211465163381601</v>
      </c>
      <c r="M4026" s="12">
        <f>tItens[[#This Row],[Valor]]*(1-tItens[[#This Row],[Desconto]])</f>
        <v>7870.7984447474264</v>
      </c>
      <c r="N4026" t="str">
        <f>IFERROR(INDEX(tProdutos[Foco],MATCH(tItens[[#This Row],[Produto]],tProdutos[Produto],0)),"Não")</f>
        <v>Não</v>
      </c>
      <c r="O4026" t="str">
        <f>IFERROR(INDEX(tEditais[SRP],MATCH(tItens[[#This Row],[Edital]],tEditais[Edital],0)),"Não")</f>
        <v>Não</v>
      </c>
      <c r="P4026" s="4">
        <f>IF(COUNTIFS(INDEX(tItens[Edital],1):tItens[[#This Row],[Edital]],tItens[[#This Row],[Edital]],INDEX(tItens[Produto],1):tItens[[#This Row],[Produto]],tItens[[#This Row],[Produto]])=1,1,0)</f>
        <v>1</v>
      </c>
    </row>
    <row r="4027" spans="1:16" x14ac:dyDescent="0.25">
      <c r="A4027" t="s">
        <v>1637</v>
      </c>
      <c r="B4027">
        <v>62</v>
      </c>
      <c r="C4027" t="s">
        <v>6886</v>
      </c>
      <c r="D4027" t="s">
        <v>333</v>
      </c>
      <c r="E4027" s="13">
        <v>1000</v>
      </c>
      <c r="F4027" s="12">
        <v>19.66</v>
      </c>
      <c r="G4027" t="str">
        <f>IFERROR(INDEX(tEditais[Órgão],MATCH(tItens[[#This Row],[Edital]],tEditais[Edital],0)),"")</f>
        <v>MUNICIPIO DE BATAYPORA</v>
      </c>
      <c r="H4027" t="str">
        <f>IFERROR(INDEX(tEditais[UF],MATCH(tItens[[#This Row],[Edital]],tEditais[Edital],0)),"")</f>
        <v>MS</v>
      </c>
      <c r="I4027" s="11">
        <f>IFERROR(INDEX(tEditais[Encerramento],MATCH(tItens[[#This Row],[Edital]],tEditais[Edital],0)),"")</f>
        <v>46304.375</v>
      </c>
      <c r="J4027" t="str">
        <f>IFERROR(INDEX(tProdutos[Classe],MATCH(tItens[[#This Row],[Produto]],tProdutos[Produto],0)),"produto não cadastrado")</f>
        <v>FORA</v>
      </c>
      <c r="K4027" s="12">
        <f>tItens[[#This Row],[Qtd]]*tItens[[#This Row],[Vlr unit]]</f>
        <v>19660</v>
      </c>
      <c r="L4027" s="6">
        <f>IFERROR(IF(INDEX(tProdutos[Desconto homologado],MATCH(tItens[[#This Row],[Produto]],tProdutos[Produto],0))="",DescontoPadrao,INDEX(tProdutos[Desconto homologado],MATCH(tItens[[#This Row],[Produto]],tProdutos[Produto],0))),DescontoPadrao)</f>
        <v>0.48951048951048998</v>
      </c>
      <c r="M4027" s="12">
        <f>tItens[[#This Row],[Valor]]*(1-tItens[[#This Row],[Desconto]])</f>
        <v>10036.223776223766</v>
      </c>
      <c r="N4027" t="str">
        <f>IFERROR(INDEX(tProdutos[Foco],MATCH(tItens[[#This Row],[Produto]],tProdutos[Produto],0)),"Não")</f>
        <v>Não</v>
      </c>
      <c r="O4027" t="str">
        <f>IFERROR(INDEX(tEditais[SRP],MATCH(tItens[[#This Row],[Edital]],tEditais[Edital],0)),"Não")</f>
        <v>Não</v>
      </c>
      <c r="P4027" s="4">
        <f>IF(COUNTIFS(INDEX(tItens[Edital],1):tItens[[#This Row],[Edital]],tItens[[#This Row],[Edital]],INDEX(tItens[Produto],1):tItens[[#This Row],[Produto]],tItens[[#This Row],[Produto]])=1,1,0)</f>
        <v>1</v>
      </c>
    </row>
    <row r="4028" spans="1:16" x14ac:dyDescent="0.25">
      <c r="A4028" t="s">
        <v>1637</v>
      </c>
      <c r="B4028">
        <v>63</v>
      </c>
      <c r="C4028" t="s">
        <v>6887</v>
      </c>
      <c r="D4028" t="s">
        <v>187</v>
      </c>
      <c r="E4028" s="13">
        <v>1000</v>
      </c>
      <c r="F4028" s="12">
        <v>30.11</v>
      </c>
      <c r="G4028" t="str">
        <f>IFERROR(INDEX(tEditais[Órgão],MATCH(tItens[[#This Row],[Edital]],tEditais[Edital],0)),"")</f>
        <v>MUNICIPIO DE BATAYPORA</v>
      </c>
      <c r="H4028" t="str">
        <f>IFERROR(INDEX(tEditais[UF],MATCH(tItens[[#This Row],[Edital]],tEditais[Edital],0)),"")</f>
        <v>MS</v>
      </c>
      <c r="I4028" s="11">
        <f>IFERROR(INDEX(tEditais[Encerramento],MATCH(tItens[[#This Row],[Edital]],tEditais[Edital],0)),"")</f>
        <v>46304.375</v>
      </c>
      <c r="J4028" t="str">
        <f>IFERROR(INDEX(tProdutos[Classe],MATCH(tItens[[#This Row],[Produto]],tProdutos[Produto],0)),"produto não cadastrado")</f>
        <v>DISPUTADO</v>
      </c>
      <c r="K4028" s="12">
        <f>tItens[[#This Row],[Qtd]]*tItens[[#This Row],[Vlr unit]]</f>
        <v>30110</v>
      </c>
      <c r="L4028" s="6">
        <f>IFERROR(IF(INDEX(tProdutos[Desconto homologado],MATCH(tItens[[#This Row],[Produto]],tProdutos[Produto],0))="",DescontoPadrao,INDEX(tProdutos[Desconto homologado],MATCH(tItens[[#This Row],[Produto]],tProdutos[Produto],0))),DescontoPadrao)</f>
        <v>0.44298820445609399</v>
      </c>
      <c r="M4028" s="12">
        <f>tItens[[#This Row],[Valor]]*(1-tItens[[#This Row],[Desconto]])</f>
        <v>16771.625163827011</v>
      </c>
      <c r="N4028" t="str">
        <f>IFERROR(INDEX(tProdutos[Foco],MATCH(tItens[[#This Row],[Produto]],tProdutos[Produto],0)),"Não")</f>
        <v>Não</v>
      </c>
      <c r="O4028" t="str">
        <f>IFERROR(INDEX(tEditais[SRP],MATCH(tItens[[#This Row],[Edital]],tEditais[Edital],0)),"Não")</f>
        <v>Não</v>
      </c>
      <c r="P4028" s="4">
        <f>IF(COUNTIFS(INDEX(tItens[Edital],1):tItens[[#This Row],[Edital]],tItens[[#This Row],[Edital]],INDEX(tItens[Produto],1):tItens[[#This Row],[Produto]],tItens[[#This Row],[Produto]])=1,1,0)</f>
        <v>1</v>
      </c>
    </row>
    <row r="4029" spans="1:16" x14ac:dyDescent="0.25">
      <c r="A4029" t="s">
        <v>1637</v>
      </c>
      <c r="B4029">
        <v>65</v>
      </c>
      <c r="C4029" t="s">
        <v>6888</v>
      </c>
      <c r="D4029" t="s">
        <v>90</v>
      </c>
      <c r="E4029" s="13">
        <v>500</v>
      </c>
      <c r="F4029" s="12">
        <v>10.79</v>
      </c>
      <c r="G4029" t="str">
        <f>IFERROR(INDEX(tEditais[Órgão],MATCH(tItens[[#This Row],[Edital]],tEditais[Edital],0)),"")</f>
        <v>MUNICIPIO DE BATAYPORA</v>
      </c>
      <c r="H4029" t="str">
        <f>IFERROR(INDEX(tEditais[UF],MATCH(tItens[[#This Row],[Edital]],tEditais[Edital],0)),"")</f>
        <v>MS</v>
      </c>
      <c r="I4029" s="11">
        <f>IFERROR(INDEX(tEditais[Encerramento],MATCH(tItens[[#This Row],[Edital]],tEditais[Edital],0)),"")</f>
        <v>46304.375</v>
      </c>
      <c r="J4029" t="str">
        <f>IFERROR(INDEX(tProdutos[Classe],MATCH(tItens[[#This Row],[Produto]],tProdutos[Produto],0)),"produto não cadastrado")</f>
        <v>DISPUTADO</v>
      </c>
      <c r="K4029" s="12">
        <f>tItens[[#This Row],[Qtd]]*tItens[[#This Row],[Vlr unit]]</f>
        <v>5395</v>
      </c>
      <c r="L4029" s="6">
        <f>IFERROR(IF(INDEX(tProdutos[Desconto homologado],MATCH(tItens[[#This Row],[Produto]],tProdutos[Produto],0))="",DescontoPadrao,INDEX(tProdutos[Desconto homologado],MATCH(tItens[[#This Row],[Produto]],tProdutos[Produto],0))),DescontoPadrao)</f>
        <v>0.25393823957010597</v>
      </c>
      <c r="M4029" s="12">
        <f>tItens[[#This Row],[Valor]]*(1-tItens[[#This Row],[Desconto]])</f>
        <v>4025.0031975192783</v>
      </c>
      <c r="N4029" t="str">
        <f>IFERROR(INDEX(tProdutos[Foco],MATCH(tItens[[#This Row],[Produto]],tProdutos[Produto],0)),"Não")</f>
        <v>Não</v>
      </c>
      <c r="O4029" t="str">
        <f>IFERROR(INDEX(tEditais[SRP],MATCH(tItens[[#This Row],[Edital]],tEditais[Edital],0)),"Não")</f>
        <v>Não</v>
      </c>
      <c r="P4029" s="4">
        <f>IF(COUNTIFS(INDEX(tItens[Edital],1):tItens[[#This Row],[Edital]],tItens[[#This Row],[Edital]],INDEX(tItens[Produto],1):tItens[[#This Row],[Produto]],tItens[[#This Row],[Produto]])=1,1,0)</f>
        <v>1</v>
      </c>
    </row>
    <row r="4030" spans="1:16" x14ac:dyDescent="0.25">
      <c r="A4030" t="s">
        <v>1637</v>
      </c>
      <c r="B4030">
        <v>67</v>
      </c>
      <c r="C4030" t="s">
        <v>6889</v>
      </c>
      <c r="D4030" t="s">
        <v>259</v>
      </c>
      <c r="E4030" s="13">
        <v>50</v>
      </c>
      <c r="F4030" s="12">
        <v>117.67</v>
      </c>
      <c r="G4030" t="str">
        <f>IFERROR(INDEX(tEditais[Órgão],MATCH(tItens[[#This Row],[Edital]],tEditais[Edital],0)),"")</f>
        <v>MUNICIPIO DE BATAYPORA</v>
      </c>
      <c r="H4030" t="str">
        <f>IFERROR(INDEX(tEditais[UF],MATCH(tItens[[#This Row],[Edital]],tEditais[Edital],0)),"")</f>
        <v>MS</v>
      </c>
      <c r="I4030" s="11">
        <f>IFERROR(INDEX(tEditais[Encerramento],MATCH(tItens[[#This Row],[Edital]],tEditais[Edital],0)),"")</f>
        <v>46304.375</v>
      </c>
      <c r="J4030" t="str">
        <f>IFERROR(INDEX(tProdutos[Classe],MATCH(tItens[[#This Row],[Produto]],tProdutos[Produto],0)),"produto não cadastrado")</f>
        <v>FORA</v>
      </c>
      <c r="K4030" s="12">
        <f>tItens[[#This Row],[Qtd]]*tItens[[#This Row],[Vlr unit]]</f>
        <v>5883.5</v>
      </c>
      <c r="L4030" s="6">
        <f>IFERROR(IF(INDEX(tProdutos[Desconto homologado],MATCH(tItens[[#This Row],[Produto]],tProdutos[Produto],0))="",DescontoPadrao,INDEX(tProdutos[Desconto homologado],MATCH(tItens[[#This Row],[Produto]],tProdutos[Produto],0))),DescontoPadrao)</f>
        <v>0.374798283789543</v>
      </c>
      <c r="M4030" s="12">
        <f>tItens[[#This Row],[Valor]]*(1-tItens[[#This Row],[Desconto]])</f>
        <v>3678.3742973242242</v>
      </c>
      <c r="N4030" t="str">
        <f>IFERROR(INDEX(tProdutos[Foco],MATCH(tItens[[#This Row],[Produto]],tProdutos[Produto],0)),"Não")</f>
        <v>Não</v>
      </c>
      <c r="O4030" t="str">
        <f>IFERROR(INDEX(tEditais[SRP],MATCH(tItens[[#This Row],[Edital]],tEditais[Edital],0)),"Não")</f>
        <v>Não</v>
      </c>
      <c r="P4030" s="4">
        <f>IF(COUNTIFS(INDEX(tItens[Edital],1):tItens[[#This Row],[Edital]],tItens[[#This Row],[Edital]],INDEX(tItens[Produto],1):tItens[[#This Row],[Produto]],tItens[[#This Row],[Produto]])=1,1,0)</f>
        <v>1</v>
      </c>
    </row>
    <row r="4031" spans="1:16" x14ac:dyDescent="0.25">
      <c r="A4031" t="s">
        <v>1637</v>
      </c>
      <c r="B4031">
        <v>68</v>
      </c>
      <c r="C4031" t="s">
        <v>6890</v>
      </c>
      <c r="D4031" t="s">
        <v>461</v>
      </c>
      <c r="E4031" s="13">
        <v>20</v>
      </c>
      <c r="F4031" s="12">
        <v>30.21</v>
      </c>
      <c r="G4031" t="str">
        <f>IFERROR(INDEX(tEditais[Órgão],MATCH(tItens[[#This Row],[Edital]],tEditais[Edital],0)),"")</f>
        <v>MUNICIPIO DE BATAYPORA</v>
      </c>
      <c r="H4031" t="str">
        <f>IFERROR(INDEX(tEditais[UF],MATCH(tItens[[#This Row],[Edital]],tEditais[Edital],0)),"")</f>
        <v>MS</v>
      </c>
      <c r="I4031" s="11">
        <f>IFERROR(INDEX(tEditais[Encerramento],MATCH(tItens[[#This Row],[Edital]],tEditais[Edital],0)),"")</f>
        <v>46304.375</v>
      </c>
      <c r="J4031" t="str">
        <f>IFERROR(INDEX(tProdutos[Classe],MATCH(tItens[[#This Row],[Produto]],tProdutos[Produto],0)),"produto não cadastrado")</f>
        <v>FILA REBASE</v>
      </c>
      <c r="K4031" s="12">
        <f>tItens[[#This Row],[Qtd]]*tItens[[#This Row],[Vlr unit]]</f>
        <v>604.20000000000005</v>
      </c>
      <c r="L4031" s="6">
        <f>IFERROR(IF(INDEX(tProdutos[Desconto homologado],MATCH(tItens[[#This Row],[Produto]],tProdutos[Produto],0))="",DescontoPadrao,INDEX(tProdutos[Desconto homologado],MATCH(tItens[[#This Row],[Produto]],tProdutos[Produto],0))),DescontoPadrao)</f>
        <v>0.44096385542168698</v>
      </c>
      <c r="M4031" s="12">
        <f>tItens[[#This Row],[Valor]]*(1-tItens[[#This Row],[Desconto]])</f>
        <v>337.76963855421673</v>
      </c>
      <c r="N4031" t="str">
        <f>IFERROR(INDEX(tProdutos[Foco],MATCH(tItens[[#This Row],[Produto]],tProdutos[Produto],0)),"Não")</f>
        <v>Não</v>
      </c>
      <c r="O4031" t="str">
        <f>IFERROR(INDEX(tEditais[SRP],MATCH(tItens[[#This Row],[Edital]],tEditais[Edital],0)),"Não")</f>
        <v>Não</v>
      </c>
      <c r="P4031" s="4">
        <f>IF(COUNTIFS(INDEX(tItens[Edital],1):tItens[[#This Row],[Edital]],tItens[[#This Row],[Edital]],INDEX(tItens[Produto],1):tItens[[#This Row],[Produto]],tItens[[#This Row],[Produto]])=1,1,0)</f>
        <v>1</v>
      </c>
    </row>
    <row r="4032" spans="1:16" x14ac:dyDescent="0.25">
      <c r="A4032" t="s">
        <v>1637</v>
      </c>
      <c r="B4032">
        <v>69</v>
      </c>
      <c r="C4032" t="s">
        <v>6891</v>
      </c>
      <c r="D4032" t="s">
        <v>461</v>
      </c>
      <c r="E4032" s="13">
        <v>10</v>
      </c>
      <c r="F4032" s="12">
        <v>33.479999999999997</v>
      </c>
      <c r="G4032" t="str">
        <f>IFERROR(INDEX(tEditais[Órgão],MATCH(tItens[[#This Row],[Edital]],tEditais[Edital],0)),"")</f>
        <v>MUNICIPIO DE BATAYPORA</v>
      </c>
      <c r="H4032" t="str">
        <f>IFERROR(INDEX(tEditais[UF],MATCH(tItens[[#This Row],[Edital]],tEditais[Edital],0)),"")</f>
        <v>MS</v>
      </c>
      <c r="I4032" s="11">
        <f>IFERROR(INDEX(tEditais[Encerramento],MATCH(tItens[[#This Row],[Edital]],tEditais[Edital],0)),"")</f>
        <v>46304.375</v>
      </c>
      <c r="J4032" t="str">
        <f>IFERROR(INDEX(tProdutos[Classe],MATCH(tItens[[#This Row],[Produto]],tProdutos[Produto],0)),"produto não cadastrado")</f>
        <v>FILA REBASE</v>
      </c>
      <c r="K4032" s="12">
        <f>tItens[[#This Row],[Qtd]]*tItens[[#This Row],[Vlr unit]]</f>
        <v>334.79999999999995</v>
      </c>
      <c r="L4032" s="6">
        <f>IFERROR(IF(INDEX(tProdutos[Desconto homologado],MATCH(tItens[[#This Row],[Produto]],tProdutos[Produto],0))="",DescontoPadrao,INDEX(tProdutos[Desconto homologado],MATCH(tItens[[#This Row],[Produto]],tProdutos[Produto],0))),DescontoPadrao)</f>
        <v>0.44096385542168698</v>
      </c>
      <c r="M4032" s="12">
        <f>tItens[[#This Row],[Valor]]*(1-tItens[[#This Row],[Desconto]])</f>
        <v>187.16530120481914</v>
      </c>
      <c r="N4032" t="str">
        <f>IFERROR(INDEX(tProdutos[Foco],MATCH(tItens[[#This Row],[Produto]],tProdutos[Produto],0)),"Não")</f>
        <v>Não</v>
      </c>
      <c r="O4032" t="str">
        <f>IFERROR(INDEX(tEditais[SRP],MATCH(tItens[[#This Row],[Edital]],tEditais[Edital],0)),"Não")</f>
        <v>Não</v>
      </c>
      <c r="P4032" s="4">
        <f>IF(COUNTIFS(INDEX(tItens[Edital],1):tItens[[#This Row],[Edital]],tItens[[#This Row],[Edital]],INDEX(tItens[Produto],1):tItens[[#This Row],[Produto]],tItens[[#This Row],[Produto]])=1,1,0)</f>
        <v>0</v>
      </c>
    </row>
    <row r="4033" spans="1:16" x14ac:dyDescent="0.25">
      <c r="A4033" t="s">
        <v>1637</v>
      </c>
      <c r="B4033">
        <v>70</v>
      </c>
      <c r="C4033" t="s">
        <v>6892</v>
      </c>
      <c r="D4033" t="s">
        <v>461</v>
      </c>
      <c r="E4033" s="13">
        <v>30</v>
      </c>
      <c r="F4033" s="12">
        <v>53.64</v>
      </c>
      <c r="G4033" t="str">
        <f>IFERROR(INDEX(tEditais[Órgão],MATCH(tItens[[#This Row],[Edital]],tEditais[Edital],0)),"")</f>
        <v>MUNICIPIO DE BATAYPORA</v>
      </c>
      <c r="H4033" t="str">
        <f>IFERROR(INDEX(tEditais[UF],MATCH(tItens[[#This Row],[Edital]],tEditais[Edital],0)),"")</f>
        <v>MS</v>
      </c>
      <c r="I4033" s="11">
        <f>IFERROR(INDEX(tEditais[Encerramento],MATCH(tItens[[#This Row],[Edital]],tEditais[Edital],0)),"")</f>
        <v>46304.375</v>
      </c>
      <c r="J4033" t="str">
        <f>IFERROR(INDEX(tProdutos[Classe],MATCH(tItens[[#This Row],[Produto]],tProdutos[Produto],0)),"produto não cadastrado")</f>
        <v>FILA REBASE</v>
      </c>
      <c r="K4033" s="12">
        <f>tItens[[#This Row],[Qtd]]*tItens[[#This Row],[Vlr unit]]</f>
        <v>1609.2</v>
      </c>
      <c r="L4033" s="6">
        <f>IFERROR(IF(INDEX(tProdutos[Desconto homologado],MATCH(tItens[[#This Row],[Produto]],tProdutos[Produto],0))="",DescontoPadrao,INDEX(tProdutos[Desconto homologado],MATCH(tItens[[#This Row],[Produto]],tProdutos[Produto],0))),DescontoPadrao)</f>
        <v>0.44096385542168698</v>
      </c>
      <c r="M4033" s="12">
        <f>tItens[[#This Row],[Valor]]*(1-tItens[[#This Row],[Desconto]])</f>
        <v>899.60096385542124</v>
      </c>
      <c r="N4033" t="str">
        <f>IFERROR(INDEX(tProdutos[Foco],MATCH(tItens[[#This Row],[Produto]],tProdutos[Produto],0)),"Não")</f>
        <v>Não</v>
      </c>
      <c r="O4033" t="str">
        <f>IFERROR(INDEX(tEditais[SRP],MATCH(tItens[[#This Row],[Edital]],tEditais[Edital],0)),"Não")</f>
        <v>Não</v>
      </c>
      <c r="P4033" s="4">
        <f>IF(COUNTIFS(INDEX(tItens[Edital],1):tItens[[#This Row],[Edital]],tItens[[#This Row],[Edital]],INDEX(tItens[Produto],1):tItens[[#This Row],[Produto]],tItens[[#This Row],[Produto]])=1,1,0)</f>
        <v>0</v>
      </c>
    </row>
    <row r="4034" spans="1:16" x14ac:dyDescent="0.25">
      <c r="A4034" t="s">
        <v>1637</v>
      </c>
      <c r="B4034">
        <v>71</v>
      </c>
      <c r="C4034" t="s">
        <v>6893</v>
      </c>
      <c r="D4034" t="s">
        <v>461</v>
      </c>
      <c r="E4034" s="13">
        <v>10</v>
      </c>
      <c r="F4034" s="12">
        <v>46.87</v>
      </c>
      <c r="G4034" t="str">
        <f>IFERROR(INDEX(tEditais[Órgão],MATCH(tItens[[#This Row],[Edital]],tEditais[Edital],0)),"")</f>
        <v>MUNICIPIO DE BATAYPORA</v>
      </c>
      <c r="H4034" t="str">
        <f>IFERROR(INDEX(tEditais[UF],MATCH(tItens[[#This Row],[Edital]],tEditais[Edital],0)),"")</f>
        <v>MS</v>
      </c>
      <c r="I4034" s="11">
        <f>IFERROR(INDEX(tEditais[Encerramento],MATCH(tItens[[#This Row],[Edital]],tEditais[Edital],0)),"")</f>
        <v>46304.375</v>
      </c>
      <c r="J4034" t="str">
        <f>IFERROR(INDEX(tProdutos[Classe],MATCH(tItens[[#This Row],[Produto]],tProdutos[Produto],0)),"produto não cadastrado")</f>
        <v>FILA REBASE</v>
      </c>
      <c r="K4034" s="12">
        <f>tItens[[#This Row],[Qtd]]*tItens[[#This Row],[Vlr unit]]</f>
        <v>468.7</v>
      </c>
      <c r="L4034" s="6">
        <f>IFERROR(IF(INDEX(tProdutos[Desconto homologado],MATCH(tItens[[#This Row],[Produto]],tProdutos[Produto],0))="",DescontoPadrao,INDEX(tProdutos[Desconto homologado],MATCH(tItens[[#This Row],[Produto]],tProdutos[Produto],0))),DescontoPadrao)</f>
        <v>0.44096385542168698</v>
      </c>
      <c r="M4034" s="12">
        <f>tItens[[#This Row],[Valor]]*(1-tItens[[#This Row],[Desconto]])</f>
        <v>262.02024096385526</v>
      </c>
      <c r="N4034" t="str">
        <f>IFERROR(INDEX(tProdutos[Foco],MATCH(tItens[[#This Row],[Produto]],tProdutos[Produto],0)),"Não")</f>
        <v>Não</v>
      </c>
      <c r="O4034" t="str">
        <f>IFERROR(INDEX(tEditais[SRP],MATCH(tItens[[#This Row],[Edital]],tEditais[Edital],0)),"Não")</f>
        <v>Não</v>
      </c>
      <c r="P4034" s="4">
        <f>IF(COUNTIFS(INDEX(tItens[Edital],1):tItens[[#This Row],[Edital]],tItens[[#This Row],[Edital]],INDEX(tItens[Produto],1):tItens[[#This Row],[Produto]],tItens[[#This Row],[Produto]])=1,1,0)</f>
        <v>0</v>
      </c>
    </row>
    <row r="4035" spans="1:16" x14ac:dyDescent="0.25">
      <c r="A4035" t="s">
        <v>1637</v>
      </c>
      <c r="B4035">
        <v>72</v>
      </c>
      <c r="C4035" t="s">
        <v>6894</v>
      </c>
      <c r="D4035" t="s">
        <v>461</v>
      </c>
      <c r="E4035" s="13">
        <v>30</v>
      </c>
      <c r="F4035" s="12">
        <v>39.07</v>
      </c>
      <c r="G4035" t="str">
        <f>IFERROR(INDEX(tEditais[Órgão],MATCH(tItens[[#This Row],[Edital]],tEditais[Edital],0)),"")</f>
        <v>MUNICIPIO DE BATAYPORA</v>
      </c>
      <c r="H4035" t="str">
        <f>IFERROR(INDEX(tEditais[UF],MATCH(tItens[[#This Row],[Edital]],tEditais[Edital],0)),"")</f>
        <v>MS</v>
      </c>
      <c r="I4035" s="11">
        <f>IFERROR(INDEX(tEditais[Encerramento],MATCH(tItens[[#This Row],[Edital]],tEditais[Edital],0)),"")</f>
        <v>46304.375</v>
      </c>
      <c r="J4035" t="str">
        <f>IFERROR(INDEX(tProdutos[Classe],MATCH(tItens[[#This Row],[Produto]],tProdutos[Produto],0)),"produto não cadastrado")</f>
        <v>FILA REBASE</v>
      </c>
      <c r="K4035" s="12">
        <f>tItens[[#This Row],[Qtd]]*tItens[[#This Row],[Vlr unit]]</f>
        <v>1172.0999999999999</v>
      </c>
      <c r="L4035" s="6">
        <f>IFERROR(IF(INDEX(tProdutos[Desconto homologado],MATCH(tItens[[#This Row],[Produto]],tProdutos[Produto],0))="",DescontoPadrao,INDEX(tProdutos[Desconto homologado],MATCH(tItens[[#This Row],[Produto]],tProdutos[Produto],0))),DescontoPadrao)</f>
        <v>0.44096385542168698</v>
      </c>
      <c r="M4035" s="12">
        <f>tItens[[#This Row],[Valor]]*(1-tItens[[#This Row],[Desconto]])</f>
        <v>655.2462650602406</v>
      </c>
      <c r="N4035" t="str">
        <f>IFERROR(INDEX(tProdutos[Foco],MATCH(tItens[[#This Row],[Produto]],tProdutos[Produto],0)),"Não")</f>
        <v>Não</v>
      </c>
      <c r="O4035" t="str">
        <f>IFERROR(INDEX(tEditais[SRP],MATCH(tItens[[#This Row],[Edital]],tEditais[Edital],0)),"Não")</f>
        <v>Não</v>
      </c>
      <c r="P4035" s="4">
        <f>IF(COUNTIFS(INDEX(tItens[Edital],1):tItens[[#This Row],[Edital]],tItens[[#This Row],[Edital]],INDEX(tItens[Produto],1):tItens[[#This Row],[Produto]],tItens[[#This Row],[Produto]])=1,1,0)</f>
        <v>0</v>
      </c>
    </row>
    <row r="4036" spans="1:16" x14ac:dyDescent="0.25">
      <c r="A4036" t="s">
        <v>1637</v>
      </c>
      <c r="B4036">
        <v>74</v>
      </c>
      <c r="C4036" t="s">
        <v>6895</v>
      </c>
      <c r="D4036" t="s">
        <v>77</v>
      </c>
      <c r="E4036" s="13">
        <v>200</v>
      </c>
      <c r="F4036" s="12">
        <v>1.29</v>
      </c>
      <c r="G4036" t="str">
        <f>IFERROR(INDEX(tEditais[Órgão],MATCH(tItens[[#This Row],[Edital]],tEditais[Edital],0)),"")</f>
        <v>MUNICIPIO DE BATAYPORA</v>
      </c>
      <c r="H4036" t="str">
        <f>IFERROR(INDEX(tEditais[UF],MATCH(tItens[[#This Row],[Edital]],tEditais[Edital],0)),"")</f>
        <v>MS</v>
      </c>
      <c r="I4036" s="11">
        <f>IFERROR(INDEX(tEditais[Encerramento],MATCH(tItens[[#This Row],[Edital]],tEditais[Edital],0)),"")</f>
        <v>46304.375</v>
      </c>
      <c r="J4036" t="str">
        <f>IFERROR(INDEX(tProdutos[Classe],MATCH(tItens[[#This Row],[Produto]],tProdutos[Produto],0)),"produto não cadastrado")</f>
        <v>DISPUTADO</v>
      </c>
      <c r="K4036" s="12">
        <f>tItens[[#This Row],[Qtd]]*tItens[[#This Row],[Vlr unit]]</f>
        <v>258</v>
      </c>
      <c r="L4036" s="6">
        <f>IFERROR(IF(INDEX(tProdutos[Desconto homologado],MATCH(tItens[[#This Row],[Produto]],tProdutos[Produto],0))="",DescontoPadrao,INDEX(tProdutos[Desconto homologado],MATCH(tItens[[#This Row],[Produto]],tProdutos[Produto],0))),DescontoPadrao)</f>
        <v>0.33</v>
      </c>
      <c r="M4036" s="12">
        <f>tItens[[#This Row],[Valor]]*(1-tItens[[#This Row],[Desconto]])</f>
        <v>172.85999999999999</v>
      </c>
      <c r="N4036" t="str">
        <f>IFERROR(INDEX(tProdutos[Foco],MATCH(tItens[[#This Row],[Produto]],tProdutos[Produto],0)),"Não")</f>
        <v>Sim</v>
      </c>
      <c r="O4036" t="str">
        <f>IFERROR(INDEX(tEditais[SRP],MATCH(tItens[[#This Row],[Edital]],tEditais[Edital],0)),"Não")</f>
        <v>Não</v>
      </c>
      <c r="P4036" s="4">
        <f>IF(COUNTIFS(INDEX(tItens[Edital],1):tItens[[#This Row],[Edital]],tItens[[#This Row],[Edital]],INDEX(tItens[Produto],1):tItens[[#This Row],[Produto]],tItens[[#This Row],[Produto]])=1,1,0)</f>
        <v>1</v>
      </c>
    </row>
    <row r="4037" spans="1:16" x14ac:dyDescent="0.25">
      <c r="A4037" t="s">
        <v>1637</v>
      </c>
      <c r="B4037">
        <v>75</v>
      </c>
      <c r="C4037" t="s">
        <v>6896</v>
      </c>
      <c r="D4037" t="s">
        <v>77</v>
      </c>
      <c r="E4037" s="13">
        <v>200</v>
      </c>
      <c r="F4037" s="12">
        <v>9.4700000000000006</v>
      </c>
      <c r="G4037" t="str">
        <f>IFERROR(INDEX(tEditais[Órgão],MATCH(tItens[[#This Row],[Edital]],tEditais[Edital],0)),"")</f>
        <v>MUNICIPIO DE BATAYPORA</v>
      </c>
      <c r="H4037" t="str">
        <f>IFERROR(INDEX(tEditais[UF],MATCH(tItens[[#This Row],[Edital]],tEditais[Edital],0)),"")</f>
        <v>MS</v>
      </c>
      <c r="I4037" s="11">
        <f>IFERROR(INDEX(tEditais[Encerramento],MATCH(tItens[[#This Row],[Edital]],tEditais[Edital],0)),"")</f>
        <v>46304.375</v>
      </c>
      <c r="J4037" t="str">
        <f>IFERROR(INDEX(tProdutos[Classe],MATCH(tItens[[#This Row],[Produto]],tProdutos[Produto],0)),"produto não cadastrado")</f>
        <v>DISPUTADO</v>
      </c>
      <c r="K4037" s="12">
        <f>tItens[[#This Row],[Qtd]]*tItens[[#This Row],[Vlr unit]]</f>
        <v>1894.0000000000002</v>
      </c>
      <c r="L4037" s="6">
        <f>IFERROR(IF(INDEX(tProdutos[Desconto homologado],MATCH(tItens[[#This Row],[Produto]],tProdutos[Produto],0))="",DescontoPadrao,INDEX(tProdutos[Desconto homologado],MATCH(tItens[[#This Row],[Produto]],tProdutos[Produto],0))),DescontoPadrao)</f>
        <v>0.33</v>
      </c>
      <c r="M4037" s="12">
        <f>tItens[[#This Row],[Valor]]*(1-tItens[[#This Row],[Desconto]])</f>
        <v>1268.98</v>
      </c>
      <c r="N4037" t="str">
        <f>IFERROR(INDEX(tProdutos[Foco],MATCH(tItens[[#This Row],[Produto]],tProdutos[Produto],0)),"Não")</f>
        <v>Sim</v>
      </c>
      <c r="O4037" t="str">
        <f>IFERROR(INDEX(tEditais[SRP],MATCH(tItens[[#This Row],[Edital]],tEditais[Edital],0)),"Não")</f>
        <v>Não</v>
      </c>
      <c r="P4037" s="4">
        <f>IF(COUNTIFS(INDEX(tItens[Edital],1):tItens[[#This Row],[Edital]],tItens[[#This Row],[Edital]],INDEX(tItens[Produto],1):tItens[[#This Row],[Produto]],tItens[[#This Row],[Produto]])=1,1,0)</f>
        <v>0</v>
      </c>
    </row>
    <row r="4038" spans="1:16" x14ac:dyDescent="0.25">
      <c r="A4038" t="s">
        <v>1637</v>
      </c>
      <c r="B4038">
        <v>76</v>
      </c>
      <c r="C4038" t="s">
        <v>6897</v>
      </c>
      <c r="D4038" t="s">
        <v>77</v>
      </c>
      <c r="E4038" s="13">
        <v>200</v>
      </c>
      <c r="F4038" s="12">
        <v>2.41</v>
      </c>
      <c r="G4038" t="str">
        <f>IFERROR(INDEX(tEditais[Órgão],MATCH(tItens[[#This Row],[Edital]],tEditais[Edital],0)),"")</f>
        <v>MUNICIPIO DE BATAYPORA</v>
      </c>
      <c r="H4038" t="str">
        <f>IFERROR(INDEX(tEditais[UF],MATCH(tItens[[#This Row],[Edital]],tEditais[Edital],0)),"")</f>
        <v>MS</v>
      </c>
      <c r="I4038" s="11">
        <f>IFERROR(INDEX(tEditais[Encerramento],MATCH(tItens[[#This Row],[Edital]],tEditais[Edital],0)),"")</f>
        <v>46304.375</v>
      </c>
      <c r="J4038" t="str">
        <f>IFERROR(INDEX(tProdutos[Classe],MATCH(tItens[[#This Row],[Produto]],tProdutos[Produto],0)),"produto não cadastrado")</f>
        <v>DISPUTADO</v>
      </c>
      <c r="K4038" s="12">
        <f>tItens[[#This Row],[Qtd]]*tItens[[#This Row],[Vlr unit]]</f>
        <v>482</v>
      </c>
      <c r="L4038" s="6">
        <f>IFERROR(IF(INDEX(tProdutos[Desconto homologado],MATCH(tItens[[#This Row],[Produto]],tProdutos[Produto],0))="",DescontoPadrao,INDEX(tProdutos[Desconto homologado],MATCH(tItens[[#This Row],[Produto]],tProdutos[Produto],0))),DescontoPadrao)</f>
        <v>0.33</v>
      </c>
      <c r="M4038" s="12">
        <f>tItens[[#This Row],[Valor]]*(1-tItens[[#This Row],[Desconto]])</f>
        <v>322.93999999999994</v>
      </c>
      <c r="N4038" t="str">
        <f>IFERROR(INDEX(tProdutos[Foco],MATCH(tItens[[#This Row],[Produto]],tProdutos[Produto],0)),"Não")</f>
        <v>Sim</v>
      </c>
      <c r="O4038" t="str">
        <f>IFERROR(INDEX(tEditais[SRP],MATCH(tItens[[#This Row],[Edital]],tEditais[Edital],0)),"Não")</f>
        <v>Não</v>
      </c>
      <c r="P4038" s="4">
        <f>IF(COUNTIFS(INDEX(tItens[Edital],1):tItens[[#This Row],[Edital]],tItens[[#This Row],[Edital]],INDEX(tItens[Produto],1):tItens[[#This Row],[Produto]],tItens[[#This Row],[Produto]])=1,1,0)</f>
        <v>0</v>
      </c>
    </row>
    <row r="4039" spans="1:16" x14ac:dyDescent="0.25">
      <c r="A4039" t="s">
        <v>1637</v>
      </c>
      <c r="B4039">
        <v>77</v>
      </c>
      <c r="C4039" t="s">
        <v>6898</v>
      </c>
      <c r="D4039" t="s">
        <v>77</v>
      </c>
      <c r="E4039" s="13">
        <v>200</v>
      </c>
      <c r="F4039" s="12">
        <v>4.5599999999999996</v>
      </c>
      <c r="G4039" t="str">
        <f>IFERROR(INDEX(tEditais[Órgão],MATCH(tItens[[#This Row],[Edital]],tEditais[Edital],0)),"")</f>
        <v>MUNICIPIO DE BATAYPORA</v>
      </c>
      <c r="H4039" t="str">
        <f>IFERROR(INDEX(tEditais[UF],MATCH(tItens[[#This Row],[Edital]],tEditais[Edital],0)),"")</f>
        <v>MS</v>
      </c>
      <c r="I4039" s="11">
        <f>IFERROR(INDEX(tEditais[Encerramento],MATCH(tItens[[#This Row],[Edital]],tEditais[Edital],0)),"")</f>
        <v>46304.375</v>
      </c>
      <c r="J4039" t="str">
        <f>IFERROR(INDEX(tProdutos[Classe],MATCH(tItens[[#This Row],[Produto]],tProdutos[Produto],0)),"produto não cadastrado")</f>
        <v>DISPUTADO</v>
      </c>
      <c r="K4039" s="12">
        <f>tItens[[#This Row],[Qtd]]*tItens[[#This Row],[Vlr unit]]</f>
        <v>911.99999999999989</v>
      </c>
      <c r="L4039" s="6">
        <f>IFERROR(IF(INDEX(tProdutos[Desconto homologado],MATCH(tItens[[#This Row],[Produto]],tProdutos[Produto],0))="",DescontoPadrao,INDEX(tProdutos[Desconto homologado],MATCH(tItens[[#This Row],[Produto]],tProdutos[Produto],0))),DescontoPadrao)</f>
        <v>0.33</v>
      </c>
      <c r="M4039" s="12">
        <f>tItens[[#This Row],[Valor]]*(1-tItens[[#This Row],[Desconto]])</f>
        <v>611.03999999999985</v>
      </c>
      <c r="N4039" t="str">
        <f>IFERROR(INDEX(tProdutos[Foco],MATCH(tItens[[#This Row],[Produto]],tProdutos[Produto],0)),"Não")</f>
        <v>Sim</v>
      </c>
      <c r="O4039" t="str">
        <f>IFERROR(INDEX(tEditais[SRP],MATCH(tItens[[#This Row],[Edital]],tEditais[Edital],0)),"Não")</f>
        <v>Não</v>
      </c>
      <c r="P4039" s="4">
        <f>IF(COUNTIFS(INDEX(tItens[Edital],1):tItens[[#This Row],[Edital]],tItens[[#This Row],[Edital]],INDEX(tItens[Produto],1):tItens[[#This Row],[Produto]],tItens[[#This Row],[Produto]])=1,1,0)</f>
        <v>0</v>
      </c>
    </row>
    <row r="4040" spans="1:16" x14ac:dyDescent="0.25">
      <c r="A4040" t="s">
        <v>1637</v>
      </c>
      <c r="B4040">
        <v>78</v>
      </c>
      <c r="C4040" t="s">
        <v>6899</v>
      </c>
      <c r="D4040" t="s">
        <v>142</v>
      </c>
      <c r="E4040" s="13">
        <v>50</v>
      </c>
      <c r="F4040" s="12">
        <v>4.55</v>
      </c>
      <c r="G4040" t="str">
        <f>IFERROR(INDEX(tEditais[Órgão],MATCH(tItens[[#This Row],[Edital]],tEditais[Edital],0)),"")</f>
        <v>MUNICIPIO DE BATAYPORA</v>
      </c>
      <c r="H4040" t="str">
        <f>IFERROR(INDEX(tEditais[UF],MATCH(tItens[[#This Row],[Edital]],tEditais[Edital],0)),"")</f>
        <v>MS</v>
      </c>
      <c r="I4040" s="11">
        <f>IFERROR(INDEX(tEditais[Encerramento],MATCH(tItens[[#This Row],[Edital]],tEditais[Edital],0)),"")</f>
        <v>46304.375</v>
      </c>
      <c r="J4040" t="str">
        <f>IFERROR(INDEX(tProdutos[Classe],MATCH(tItens[[#This Row],[Produto]],tProdutos[Produto],0)),"produto não cadastrado")</f>
        <v>DISPUTADO</v>
      </c>
      <c r="K4040" s="12">
        <f>tItens[[#This Row],[Qtd]]*tItens[[#This Row],[Vlr unit]]</f>
        <v>227.5</v>
      </c>
      <c r="L4040" s="6">
        <f>IFERROR(IF(INDEX(tProdutos[Desconto homologado],MATCH(tItens[[#This Row],[Produto]],tProdutos[Produto],0))="",DescontoPadrao,INDEX(tProdutos[Desconto homologado],MATCH(tItens[[#This Row],[Produto]],tProdutos[Produto],0))),DescontoPadrao)</f>
        <v>0.37093619495691699</v>
      </c>
      <c r="M4040" s="12">
        <f>tItens[[#This Row],[Valor]]*(1-tItens[[#This Row],[Desconto]])</f>
        <v>143.11201564730138</v>
      </c>
      <c r="N4040" t="str">
        <f>IFERROR(INDEX(tProdutos[Foco],MATCH(tItens[[#This Row],[Produto]],tProdutos[Produto],0)),"Não")</f>
        <v>Não</v>
      </c>
      <c r="O4040" t="str">
        <f>IFERROR(INDEX(tEditais[SRP],MATCH(tItens[[#This Row],[Edital]],tEditais[Edital],0)),"Não")</f>
        <v>Não</v>
      </c>
      <c r="P4040" s="4">
        <f>IF(COUNTIFS(INDEX(tItens[Edital],1):tItens[[#This Row],[Edital]],tItens[[#This Row],[Edital]],INDEX(tItens[Produto],1):tItens[[#This Row],[Produto]],tItens[[#This Row],[Produto]])=1,1,0)</f>
        <v>1</v>
      </c>
    </row>
    <row r="4041" spans="1:16" x14ac:dyDescent="0.25">
      <c r="A4041" t="s">
        <v>1637</v>
      </c>
      <c r="B4041">
        <v>81</v>
      </c>
      <c r="C4041" t="s">
        <v>6900</v>
      </c>
      <c r="D4041" t="s">
        <v>512</v>
      </c>
      <c r="E4041" s="13">
        <v>6</v>
      </c>
      <c r="F4041" s="12">
        <v>25.42</v>
      </c>
      <c r="G4041" t="str">
        <f>IFERROR(INDEX(tEditais[Órgão],MATCH(tItens[[#This Row],[Edital]],tEditais[Edital],0)),"")</f>
        <v>MUNICIPIO DE BATAYPORA</v>
      </c>
      <c r="H4041" t="str">
        <f>IFERROR(INDEX(tEditais[UF],MATCH(tItens[[#This Row],[Edital]],tEditais[Edital],0)),"")</f>
        <v>MS</v>
      </c>
      <c r="I4041" s="11">
        <f>IFERROR(INDEX(tEditais[Encerramento],MATCH(tItens[[#This Row],[Edital]],tEditais[Edital],0)),"")</f>
        <v>46304.375</v>
      </c>
      <c r="J4041" t="str">
        <f>IFERROR(INDEX(tProdutos[Classe],MATCH(tItens[[#This Row],[Produto]],tProdutos[Produto],0)),"produto não cadastrado")</f>
        <v>FILA REBASE</v>
      </c>
      <c r="K4041" s="12">
        <f>tItens[[#This Row],[Qtd]]*tItens[[#This Row],[Vlr unit]]</f>
        <v>152.52000000000001</v>
      </c>
      <c r="L4041" s="6">
        <f>IFERROR(IF(INDEX(tProdutos[Desconto homologado],MATCH(tItens[[#This Row],[Produto]],tProdutos[Produto],0))="",DescontoPadrao,INDEX(tProdutos[Desconto homologado],MATCH(tItens[[#This Row],[Produto]],tProdutos[Produto],0))),DescontoPadrao)</f>
        <v>0.32579365079365102</v>
      </c>
      <c r="M4041" s="12">
        <f>tItens[[#This Row],[Valor]]*(1-tItens[[#This Row],[Desconto]])</f>
        <v>102.82995238095236</v>
      </c>
      <c r="N4041" t="str">
        <f>IFERROR(INDEX(tProdutos[Foco],MATCH(tItens[[#This Row],[Produto]],tProdutos[Produto],0)),"Não")</f>
        <v>Não</v>
      </c>
      <c r="O4041" t="str">
        <f>IFERROR(INDEX(tEditais[SRP],MATCH(tItens[[#This Row],[Edital]],tEditais[Edital],0)),"Não")</f>
        <v>Não</v>
      </c>
      <c r="P4041" s="4">
        <f>IF(COUNTIFS(INDEX(tItens[Edital],1):tItens[[#This Row],[Edital]],tItens[[#This Row],[Edital]],INDEX(tItens[Produto],1):tItens[[#This Row],[Produto]],tItens[[#This Row],[Produto]])=1,1,0)</f>
        <v>1</v>
      </c>
    </row>
    <row r="4042" spans="1:16" x14ac:dyDescent="0.25">
      <c r="A4042" t="s">
        <v>1637</v>
      </c>
      <c r="B4042">
        <v>82</v>
      </c>
      <c r="C4042" t="s">
        <v>6901</v>
      </c>
      <c r="D4042" t="s">
        <v>512</v>
      </c>
      <c r="E4042" s="13">
        <v>50</v>
      </c>
      <c r="F4042" s="12">
        <v>7.43</v>
      </c>
      <c r="G4042" t="str">
        <f>IFERROR(INDEX(tEditais[Órgão],MATCH(tItens[[#This Row],[Edital]],tEditais[Edital],0)),"")</f>
        <v>MUNICIPIO DE BATAYPORA</v>
      </c>
      <c r="H4042" t="str">
        <f>IFERROR(INDEX(tEditais[UF],MATCH(tItens[[#This Row],[Edital]],tEditais[Edital],0)),"")</f>
        <v>MS</v>
      </c>
      <c r="I4042" s="11">
        <f>IFERROR(INDEX(tEditais[Encerramento],MATCH(tItens[[#This Row],[Edital]],tEditais[Edital],0)),"")</f>
        <v>46304.375</v>
      </c>
      <c r="J4042" t="str">
        <f>IFERROR(INDEX(tProdutos[Classe],MATCH(tItens[[#This Row],[Produto]],tProdutos[Produto],0)),"produto não cadastrado")</f>
        <v>FILA REBASE</v>
      </c>
      <c r="K4042" s="12">
        <f>tItens[[#This Row],[Qtd]]*tItens[[#This Row],[Vlr unit]]</f>
        <v>371.5</v>
      </c>
      <c r="L4042" s="6">
        <f>IFERROR(IF(INDEX(tProdutos[Desconto homologado],MATCH(tItens[[#This Row],[Produto]],tProdutos[Produto],0))="",DescontoPadrao,INDEX(tProdutos[Desconto homologado],MATCH(tItens[[#This Row],[Produto]],tProdutos[Produto],0))),DescontoPadrao)</f>
        <v>0.32579365079365102</v>
      </c>
      <c r="M4042" s="12">
        <f>tItens[[#This Row],[Valor]]*(1-tItens[[#This Row],[Desconto]])</f>
        <v>250.46765873015866</v>
      </c>
      <c r="N4042" t="str">
        <f>IFERROR(INDEX(tProdutos[Foco],MATCH(tItens[[#This Row],[Produto]],tProdutos[Produto],0)),"Não")</f>
        <v>Não</v>
      </c>
      <c r="O4042" t="str">
        <f>IFERROR(INDEX(tEditais[SRP],MATCH(tItens[[#This Row],[Edital]],tEditais[Edital],0)),"Não")</f>
        <v>Não</v>
      </c>
      <c r="P4042" s="4">
        <f>IF(COUNTIFS(INDEX(tItens[Edital],1):tItens[[#This Row],[Edital]],tItens[[#This Row],[Edital]],INDEX(tItens[Produto],1):tItens[[#This Row],[Produto]],tItens[[#This Row],[Produto]])=1,1,0)</f>
        <v>0</v>
      </c>
    </row>
    <row r="4043" spans="1:16" x14ac:dyDescent="0.25">
      <c r="A4043" t="s">
        <v>1637</v>
      </c>
      <c r="B4043">
        <v>85</v>
      </c>
      <c r="C4043" t="s">
        <v>6902</v>
      </c>
      <c r="D4043" t="s">
        <v>130</v>
      </c>
      <c r="E4043" s="13">
        <v>30</v>
      </c>
      <c r="F4043" s="12">
        <v>36.770000000000003</v>
      </c>
      <c r="G4043" t="str">
        <f>IFERROR(INDEX(tEditais[Órgão],MATCH(tItens[[#This Row],[Edital]],tEditais[Edital],0)),"")</f>
        <v>MUNICIPIO DE BATAYPORA</v>
      </c>
      <c r="H4043" t="str">
        <f>IFERROR(INDEX(tEditais[UF],MATCH(tItens[[#This Row],[Edital]],tEditais[Edital],0)),"")</f>
        <v>MS</v>
      </c>
      <c r="I4043" s="11">
        <f>IFERROR(INDEX(tEditais[Encerramento],MATCH(tItens[[#This Row],[Edital]],tEditais[Edital],0)),"")</f>
        <v>46304.375</v>
      </c>
      <c r="J4043" t="str">
        <f>IFERROR(INDEX(tProdutos[Classe],MATCH(tItens[[#This Row],[Produto]],tProdutos[Produto],0)),"produto não cadastrado")</f>
        <v>DISPUTADO</v>
      </c>
      <c r="K4043" s="12">
        <f>tItens[[#This Row],[Qtd]]*tItens[[#This Row],[Vlr unit]]</f>
        <v>1103.1000000000001</v>
      </c>
      <c r="L4043" s="6">
        <f>IFERROR(IF(INDEX(tProdutos[Desconto homologado],MATCH(tItens[[#This Row],[Produto]],tProdutos[Produto],0))="",DescontoPadrao,INDEX(tProdutos[Desconto homologado],MATCH(tItens[[#This Row],[Produto]],tProdutos[Produto],0))),DescontoPadrao)</f>
        <v>0.32</v>
      </c>
      <c r="M4043" s="12">
        <f>tItens[[#This Row],[Valor]]*(1-tItens[[#This Row],[Desconto]])</f>
        <v>750.10800000000006</v>
      </c>
      <c r="N4043" t="str">
        <f>IFERROR(INDEX(tProdutos[Foco],MATCH(tItens[[#This Row],[Produto]],tProdutos[Produto],0)),"Não")</f>
        <v>Sim</v>
      </c>
      <c r="O4043" t="str">
        <f>IFERROR(INDEX(tEditais[SRP],MATCH(tItens[[#This Row],[Edital]],tEditais[Edital],0)),"Não")</f>
        <v>Não</v>
      </c>
      <c r="P4043" s="4">
        <f>IF(COUNTIFS(INDEX(tItens[Edital],1):tItens[[#This Row],[Edital]],tItens[[#This Row],[Edital]],INDEX(tItens[Produto],1):tItens[[#This Row],[Produto]],tItens[[#This Row],[Produto]])=1,1,0)</f>
        <v>1</v>
      </c>
    </row>
    <row r="4044" spans="1:16" x14ac:dyDescent="0.25">
      <c r="A4044" t="s">
        <v>1637</v>
      </c>
      <c r="B4044">
        <v>89</v>
      </c>
      <c r="C4044" t="s">
        <v>6903</v>
      </c>
      <c r="D4044" t="s">
        <v>56</v>
      </c>
      <c r="E4044" s="13">
        <v>5</v>
      </c>
      <c r="F4044" s="12">
        <v>30.99</v>
      </c>
      <c r="G4044" t="str">
        <f>IFERROR(INDEX(tEditais[Órgão],MATCH(tItens[[#This Row],[Edital]],tEditais[Edital],0)),"")</f>
        <v>MUNICIPIO DE BATAYPORA</v>
      </c>
      <c r="H4044" t="str">
        <f>IFERROR(INDEX(tEditais[UF],MATCH(tItens[[#This Row],[Edital]],tEditais[Edital],0)),"")</f>
        <v>MS</v>
      </c>
      <c r="I4044" s="11">
        <f>IFERROR(INDEX(tEditais[Encerramento],MATCH(tItens[[#This Row],[Edital]],tEditais[Edital],0)),"")</f>
        <v>46304.375</v>
      </c>
      <c r="J4044" t="str">
        <f>IFERROR(INDEX(tProdutos[Classe],MATCH(tItens[[#This Row],[Produto]],tProdutos[Produto],0)),"produto não cadastrado")</f>
        <v>NÚCLEO</v>
      </c>
      <c r="K4044" s="12">
        <f>tItens[[#This Row],[Qtd]]*tItens[[#This Row],[Vlr unit]]</f>
        <v>154.94999999999999</v>
      </c>
      <c r="L4044" s="6">
        <f>IFERROR(IF(INDEX(tProdutos[Desconto homologado],MATCH(tItens[[#This Row],[Produto]],tProdutos[Produto],0))="",DescontoPadrao,INDEX(tProdutos[Desconto homologado],MATCH(tItens[[#This Row],[Produto]],tProdutos[Produto],0))),DescontoPadrao)</f>
        <v>0.34</v>
      </c>
      <c r="M4044" s="12">
        <f>tItens[[#This Row],[Valor]]*(1-tItens[[#This Row],[Desconto]])</f>
        <v>102.26699999999998</v>
      </c>
      <c r="N4044" t="str">
        <f>IFERROR(INDEX(tProdutos[Foco],MATCH(tItens[[#This Row],[Produto]],tProdutos[Produto],0)),"Não")</f>
        <v>Sim</v>
      </c>
      <c r="O4044" t="str">
        <f>IFERROR(INDEX(tEditais[SRP],MATCH(tItens[[#This Row],[Edital]],tEditais[Edital],0)),"Não")</f>
        <v>Não</v>
      </c>
      <c r="P4044" s="4">
        <f>IF(COUNTIFS(INDEX(tItens[Edital],1):tItens[[#This Row],[Edital]],tItens[[#This Row],[Edital]],INDEX(tItens[Produto],1):tItens[[#This Row],[Produto]],tItens[[#This Row],[Produto]])=1,1,0)</f>
        <v>1</v>
      </c>
    </row>
    <row r="4045" spans="1:16" x14ac:dyDescent="0.25">
      <c r="A4045" t="s">
        <v>1637</v>
      </c>
      <c r="B4045">
        <v>90</v>
      </c>
      <c r="C4045" t="s">
        <v>6904</v>
      </c>
      <c r="D4045" t="s">
        <v>56</v>
      </c>
      <c r="E4045" s="13">
        <v>10</v>
      </c>
      <c r="F4045" s="12">
        <v>31.34</v>
      </c>
      <c r="G4045" t="str">
        <f>IFERROR(INDEX(tEditais[Órgão],MATCH(tItens[[#This Row],[Edital]],tEditais[Edital],0)),"")</f>
        <v>MUNICIPIO DE BATAYPORA</v>
      </c>
      <c r="H4045" t="str">
        <f>IFERROR(INDEX(tEditais[UF],MATCH(tItens[[#This Row],[Edital]],tEditais[Edital],0)),"")</f>
        <v>MS</v>
      </c>
      <c r="I4045" s="11">
        <f>IFERROR(INDEX(tEditais[Encerramento],MATCH(tItens[[#This Row],[Edital]],tEditais[Edital],0)),"")</f>
        <v>46304.375</v>
      </c>
      <c r="J4045" t="str">
        <f>IFERROR(INDEX(tProdutos[Classe],MATCH(tItens[[#This Row],[Produto]],tProdutos[Produto],0)),"produto não cadastrado")</f>
        <v>NÚCLEO</v>
      </c>
      <c r="K4045" s="12">
        <f>tItens[[#This Row],[Qtd]]*tItens[[#This Row],[Vlr unit]]</f>
        <v>313.39999999999998</v>
      </c>
      <c r="L4045" s="6">
        <f>IFERROR(IF(INDEX(tProdutos[Desconto homologado],MATCH(tItens[[#This Row],[Produto]],tProdutos[Produto],0))="",DescontoPadrao,INDEX(tProdutos[Desconto homologado],MATCH(tItens[[#This Row],[Produto]],tProdutos[Produto],0))),DescontoPadrao)</f>
        <v>0.34</v>
      </c>
      <c r="M4045" s="12">
        <f>tItens[[#This Row],[Valor]]*(1-tItens[[#This Row],[Desconto]])</f>
        <v>206.84399999999997</v>
      </c>
      <c r="N4045" t="str">
        <f>IFERROR(INDEX(tProdutos[Foco],MATCH(tItens[[#This Row],[Produto]],tProdutos[Produto],0)),"Não")</f>
        <v>Sim</v>
      </c>
      <c r="O4045" t="str">
        <f>IFERROR(INDEX(tEditais[SRP],MATCH(tItens[[#This Row],[Edital]],tEditais[Edital],0)),"Não")</f>
        <v>Não</v>
      </c>
      <c r="P4045" s="4">
        <f>IF(COUNTIFS(INDEX(tItens[Edital],1):tItens[[#This Row],[Edital]],tItens[[#This Row],[Edital]],INDEX(tItens[Produto],1):tItens[[#This Row],[Produto]],tItens[[#This Row],[Produto]])=1,1,0)</f>
        <v>0</v>
      </c>
    </row>
    <row r="4046" spans="1:16" x14ac:dyDescent="0.25">
      <c r="A4046" t="s">
        <v>1637</v>
      </c>
      <c r="B4046">
        <v>91</v>
      </c>
      <c r="C4046" t="s">
        <v>6905</v>
      </c>
      <c r="D4046" t="s">
        <v>56</v>
      </c>
      <c r="E4046" s="13">
        <v>10</v>
      </c>
      <c r="F4046" s="12">
        <v>30.31</v>
      </c>
      <c r="G4046" t="str">
        <f>IFERROR(INDEX(tEditais[Órgão],MATCH(tItens[[#This Row],[Edital]],tEditais[Edital],0)),"")</f>
        <v>MUNICIPIO DE BATAYPORA</v>
      </c>
      <c r="H4046" t="str">
        <f>IFERROR(INDEX(tEditais[UF],MATCH(tItens[[#This Row],[Edital]],tEditais[Edital],0)),"")</f>
        <v>MS</v>
      </c>
      <c r="I4046" s="11">
        <f>IFERROR(INDEX(tEditais[Encerramento],MATCH(tItens[[#This Row],[Edital]],tEditais[Edital],0)),"")</f>
        <v>46304.375</v>
      </c>
      <c r="J4046" t="str">
        <f>IFERROR(INDEX(tProdutos[Classe],MATCH(tItens[[#This Row],[Produto]],tProdutos[Produto],0)),"produto não cadastrado")</f>
        <v>NÚCLEO</v>
      </c>
      <c r="K4046" s="12">
        <f>tItens[[#This Row],[Qtd]]*tItens[[#This Row],[Vlr unit]]</f>
        <v>303.09999999999997</v>
      </c>
      <c r="L4046" s="6">
        <f>IFERROR(IF(INDEX(tProdutos[Desconto homologado],MATCH(tItens[[#This Row],[Produto]],tProdutos[Produto],0))="",DescontoPadrao,INDEX(tProdutos[Desconto homologado],MATCH(tItens[[#This Row],[Produto]],tProdutos[Produto],0))),DescontoPadrao)</f>
        <v>0.34</v>
      </c>
      <c r="M4046" s="12">
        <f>tItens[[#This Row],[Valor]]*(1-tItens[[#This Row],[Desconto]])</f>
        <v>200.04599999999996</v>
      </c>
      <c r="N4046" t="str">
        <f>IFERROR(INDEX(tProdutos[Foco],MATCH(tItens[[#This Row],[Produto]],tProdutos[Produto],0)),"Não")</f>
        <v>Sim</v>
      </c>
      <c r="O4046" t="str">
        <f>IFERROR(INDEX(tEditais[SRP],MATCH(tItens[[#This Row],[Edital]],tEditais[Edital],0)),"Não")</f>
        <v>Não</v>
      </c>
      <c r="P4046" s="4">
        <f>IF(COUNTIFS(INDEX(tItens[Edital],1):tItens[[#This Row],[Edital]],tItens[[#This Row],[Edital]],INDEX(tItens[Produto],1):tItens[[#This Row],[Produto]],tItens[[#This Row],[Produto]])=1,1,0)</f>
        <v>0</v>
      </c>
    </row>
    <row r="4047" spans="1:16" x14ac:dyDescent="0.25">
      <c r="A4047" t="s">
        <v>1637</v>
      </c>
      <c r="B4047">
        <v>92</v>
      </c>
      <c r="C4047" t="s">
        <v>6906</v>
      </c>
      <c r="D4047" t="s">
        <v>56</v>
      </c>
      <c r="E4047" s="13">
        <v>10</v>
      </c>
      <c r="F4047" s="12">
        <v>29.43</v>
      </c>
      <c r="G4047" t="str">
        <f>IFERROR(INDEX(tEditais[Órgão],MATCH(tItens[[#This Row],[Edital]],tEditais[Edital],0)),"")</f>
        <v>MUNICIPIO DE BATAYPORA</v>
      </c>
      <c r="H4047" t="str">
        <f>IFERROR(INDEX(tEditais[UF],MATCH(tItens[[#This Row],[Edital]],tEditais[Edital],0)),"")</f>
        <v>MS</v>
      </c>
      <c r="I4047" s="11">
        <f>IFERROR(INDEX(tEditais[Encerramento],MATCH(tItens[[#This Row],[Edital]],tEditais[Edital],0)),"")</f>
        <v>46304.375</v>
      </c>
      <c r="J4047" t="str">
        <f>IFERROR(INDEX(tProdutos[Classe],MATCH(tItens[[#This Row],[Produto]],tProdutos[Produto],0)),"produto não cadastrado")</f>
        <v>NÚCLEO</v>
      </c>
      <c r="K4047" s="12">
        <f>tItens[[#This Row],[Qtd]]*tItens[[#This Row],[Vlr unit]]</f>
        <v>294.3</v>
      </c>
      <c r="L4047" s="6">
        <f>IFERROR(IF(INDEX(tProdutos[Desconto homologado],MATCH(tItens[[#This Row],[Produto]],tProdutos[Produto],0))="",DescontoPadrao,INDEX(tProdutos[Desconto homologado],MATCH(tItens[[#This Row],[Produto]],tProdutos[Produto],0))),DescontoPadrao)</f>
        <v>0.34</v>
      </c>
      <c r="M4047" s="12">
        <f>tItens[[#This Row],[Valor]]*(1-tItens[[#This Row],[Desconto]])</f>
        <v>194.23799999999997</v>
      </c>
      <c r="N4047" t="str">
        <f>IFERROR(INDEX(tProdutos[Foco],MATCH(tItens[[#This Row],[Produto]],tProdutos[Produto],0)),"Não")</f>
        <v>Sim</v>
      </c>
      <c r="O4047" t="str">
        <f>IFERROR(INDEX(tEditais[SRP],MATCH(tItens[[#This Row],[Edital]],tEditais[Edital],0)),"Não")</f>
        <v>Não</v>
      </c>
      <c r="P4047" s="4">
        <f>IF(COUNTIFS(INDEX(tItens[Edital],1):tItens[[#This Row],[Edital]],tItens[[#This Row],[Edital]],INDEX(tItens[Produto],1):tItens[[#This Row],[Produto]],tItens[[#This Row],[Produto]])=1,1,0)</f>
        <v>0</v>
      </c>
    </row>
    <row r="4048" spans="1:16" x14ac:dyDescent="0.25">
      <c r="A4048" t="s">
        <v>1637</v>
      </c>
      <c r="B4048">
        <v>93</v>
      </c>
      <c r="C4048" t="s">
        <v>6907</v>
      </c>
      <c r="D4048" t="s">
        <v>56</v>
      </c>
      <c r="E4048" s="13">
        <v>10</v>
      </c>
      <c r="F4048" s="12">
        <v>26.79</v>
      </c>
      <c r="G4048" t="str">
        <f>IFERROR(INDEX(tEditais[Órgão],MATCH(tItens[[#This Row],[Edital]],tEditais[Edital],0)),"")</f>
        <v>MUNICIPIO DE BATAYPORA</v>
      </c>
      <c r="H4048" t="str">
        <f>IFERROR(INDEX(tEditais[UF],MATCH(tItens[[#This Row],[Edital]],tEditais[Edital],0)),"")</f>
        <v>MS</v>
      </c>
      <c r="I4048" s="11">
        <f>IFERROR(INDEX(tEditais[Encerramento],MATCH(tItens[[#This Row],[Edital]],tEditais[Edital],0)),"")</f>
        <v>46304.375</v>
      </c>
      <c r="J4048" t="str">
        <f>IFERROR(INDEX(tProdutos[Classe],MATCH(tItens[[#This Row],[Produto]],tProdutos[Produto],0)),"produto não cadastrado")</f>
        <v>NÚCLEO</v>
      </c>
      <c r="K4048" s="12">
        <f>tItens[[#This Row],[Qtd]]*tItens[[#This Row],[Vlr unit]]</f>
        <v>267.89999999999998</v>
      </c>
      <c r="L4048" s="6">
        <f>IFERROR(IF(INDEX(tProdutos[Desconto homologado],MATCH(tItens[[#This Row],[Produto]],tProdutos[Produto],0))="",DescontoPadrao,INDEX(tProdutos[Desconto homologado],MATCH(tItens[[#This Row],[Produto]],tProdutos[Produto],0))),DescontoPadrao)</f>
        <v>0.34</v>
      </c>
      <c r="M4048" s="12">
        <f>tItens[[#This Row],[Valor]]*(1-tItens[[#This Row],[Desconto]])</f>
        <v>176.81399999999996</v>
      </c>
      <c r="N4048" t="str">
        <f>IFERROR(INDEX(tProdutos[Foco],MATCH(tItens[[#This Row],[Produto]],tProdutos[Produto],0)),"Não")</f>
        <v>Sim</v>
      </c>
      <c r="O4048" t="str">
        <f>IFERROR(INDEX(tEditais[SRP],MATCH(tItens[[#This Row],[Edital]],tEditais[Edital],0)),"Não")</f>
        <v>Não</v>
      </c>
      <c r="P4048" s="4">
        <f>IF(COUNTIFS(INDEX(tItens[Edital],1):tItens[[#This Row],[Edital]],tItens[[#This Row],[Edital]],INDEX(tItens[Produto],1):tItens[[#This Row],[Produto]],tItens[[#This Row],[Produto]])=1,1,0)</f>
        <v>0</v>
      </c>
    </row>
    <row r="4049" spans="1:16" x14ac:dyDescent="0.25">
      <c r="A4049" t="s">
        <v>1637</v>
      </c>
      <c r="B4049">
        <v>94</v>
      </c>
      <c r="C4049" t="s">
        <v>6908</v>
      </c>
      <c r="D4049" t="s">
        <v>56</v>
      </c>
      <c r="E4049" s="13">
        <v>4</v>
      </c>
      <c r="F4049" s="12">
        <v>27.28</v>
      </c>
      <c r="G4049" t="str">
        <f>IFERROR(INDEX(tEditais[Órgão],MATCH(tItens[[#This Row],[Edital]],tEditais[Edital],0)),"")</f>
        <v>MUNICIPIO DE BATAYPORA</v>
      </c>
      <c r="H4049" t="str">
        <f>IFERROR(INDEX(tEditais[UF],MATCH(tItens[[#This Row],[Edital]],tEditais[Edital],0)),"")</f>
        <v>MS</v>
      </c>
      <c r="I4049" s="11">
        <f>IFERROR(INDEX(tEditais[Encerramento],MATCH(tItens[[#This Row],[Edital]],tEditais[Edital],0)),"")</f>
        <v>46304.375</v>
      </c>
      <c r="J4049" t="str">
        <f>IFERROR(INDEX(tProdutos[Classe],MATCH(tItens[[#This Row],[Produto]],tProdutos[Produto],0)),"produto não cadastrado")</f>
        <v>NÚCLEO</v>
      </c>
      <c r="K4049" s="12">
        <f>tItens[[#This Row],[Qtd]]*tItens[[#This Row],[Vlr unit]]</f>
        <v>109.12</v>
      </c>
      <c r="L4049" s="6">
        <f>IFERROR(IF(INDEX(tProdutos[Desconto homologado],MATCH(tItens[[#This Row],[Produto]],tProdutos[Produto],0))="",DescontoPadrao,INDEX(tProdutos[Desconto homologado],MATCH(tItens[[#This Row],[Produto]],tProdutos[Produto],0))),DescontoPadrao)</f>
        <v>0.34</v>
      </c>
      <c r="M4049" s="12">
        <f>tItens[[#This Row],[Valor]]*(1-tItens[[#This Row],[Desconto]])</f>
        <v>72.019199999999998</v>
      </c>
      <c r="N4049" t="str">
        <f>IFERROR(INDEX(tProdutos[Foco],MATCH(tItens[[#This Row],[Produto]],tProdutos[Produto],0)),"Não")</f>
        <v>Sim</v>
      </c>
      <c r="O4049" t="str">
        <f>IFERROR(INDEX(tEditais[SRP],MATCH(tItens[[#This Row],[Edital]],tEditais[Edital],0)),"Não")</f>
        <v>Não</v>
      </c>
      <c r="P4049" s="4">
        <f>IF(COUNTIFS(INDEX(tItens[Edital],1):tItens[[#This Row],[Edital]],tItens[[#This Row],[Edital]],INDEX(tItens[Produto],1):tItens[[#This Row],[Produto]],tItens[[#This Row],[Produto]])=1,1,0)</f>
        <v>0</v>
      </c>
    </row>
    <row r="4050" spans="1:16" x14ac:dyDescent="0.25">
      <c r="A4050" t="s">
        <v>1637</v>
      </c>
      <c r="B4050">
        <v>96</v>
      </c>
      <c r="C4050" t="s">
        <v>6909</v>
      </c>
      <c r="D4050" t="s">
        <v>267</v>
      </c>
      <c r="E4050" s="13">
        <v>800</v>
      </c>
      <c r="F4050" s="12">
        <v>10.5</v>
      </c>
      <c r="G4050" t="str">
        <f>IFERROR(INDEX(tEditais[Órgão],MATCH(tItens[[#This Row],[Edital]],tEditais[Edital],0)),"")</f>
        <v>MUNICIPIO DE BATAYPORA</v>
      </c>
      <c r="H4050" t="str">
        <f>IFERROR(INDEX(tEditais[UF],MATCH(tItens[[#This Row],[Edital]],tEditais[Edital],0)),"")</f>
        <v>MS</v>
      </c>
      <c r="I4050" s="11">
        <f>IFERROR(INDEX(tEditais[Encerramento],MATCH(tItens[[#This Row],[Edital]],tEditais[Edital],0)),"")</f>
        <v>46304.375</v>
      </c>
      <c r="J4050" t="str">
        <f>IFERROR(INDEX(tProdutos[Classe],MATCH(tItens[[#This Row],[Produto]],tProdutos[Produto],0)),"produto não cadastrado")</f>
        <v>FORA</v>
      </c>
      <c r="K4050" s="12">
        <f>tItens[[#This Row],[Qtd]]*tItens[[#This Row],[Vlr unit]]</f>
        <v>8400</v>
      </c>
      <c r="L4050" s="6">
        <f>IFERROR(IF(INDEX(tProdutos[Desconto homologado],MATCH(tItens[[#This Row],[Produto]],tProdutos[Produto],0))="",DescontoPadrao,INDEX(tProdutos[Desconto homologado],MATCH(tItens[[#This Row],[Produto]],tProdutos[Produto],0))),DescontoPadrao)</f>
        <v>0.19963672657401599</v>
      </c>
      <c r="M4050" s="12">
        <f>tItens[[#This Row],[Valor]]*(1-tItens[[#This Row],[Desconto]])</f>
        <v>6723.0514967782656</v>
      </c>
      <c r="N4050" t="str">
        <f>IFERROR(INDEX(tProdutos[Foco],MATCH(tItens[[#This Row],[Produto]],tProdutos[Produto],0)),"Não")</f>
        <v>Não</v>
      </c>
      <c r="O4050" t="str">
        <f>IFERROR(INDEX(tEditais[SRP],MATCH(tItens[[#This Row],[Edital]],tEditais[Edital],0)),"Não")</f>
        <v>Não</v>
      </c>
      <c r="P4050" s="4">
        <f>IF(COUNTIFS(INDEX(tItens[Edital],1):tItens[[#This Row],[Edital]],tItens[[#This Row],[Edital]],INDEX(tItens[Produto],1):tItens[[#This Row],[Produto]],tItens[[#This Row],[Produto]])=1,1,0)</f>
        <v>1</v>
      </c>
    </row>
    <row r="4051" spans="1:16" x14ac:dyDescent="0.25">
      <c r="A4051" t="s">
        <v>1637</v>
      </c>
      <c r="B4051">
        <v>97</v>
      </c>
      <c r="C4051" t="s">
        <v>6910</v>
      </c>
      <c r="D4051" t="s">
        <v>343</v>
      </c>
      <c r="E4051" s="13">
        <v>600</v>
      </c>
      <c r="F4051" s="12">
        <v>1.38</v>
      </c>
      <c r="G4051" t="str">
        <f>IFERROR(INDEX(tEditais[Órgão],MATCH(tItens[[#This Row],[Edital]],tEditais[Edital],0)),"")</f>
        <v>MUNICIPIO DE BATAYPORA</v>
      </c>
      <c r="H4051" t="str">
        <f>IFERROR(INDEX(tEditais[UF],MATCH(tItens[[#This Row],[Edital]],tEditais[Edital],0)),"")</f>
        <v>MS</v>
      </c>
      <c r="I4051" s="11">
        <f>IFERROR(INDEX(tEditais[Encerramento],MATCH(tItens[[#This Row],[Edital]],tEditais[Edital],0)),"")</f>
        <v>46304.375</v>
      </c>
      <c r="J4051" t="str">
        <f>IFERROR(INDEX(tProdutos[Classe],MATCH(tItens[[#This Row],[Produto]],tProdutos[Produto],0)),"produto não cadastrado")</f>
        <v>FORA</v>
      </c>
      <c r="K4051" s="12">
        <f>tItens[[#This Row],[Qtd]]*tItens[[#This Row],[Vlr unit]]</f>
        <v>827.99999999999989</v>
      </c>
      <c r="L4051" s="6">
        <f>IFERROR(IF(INDEX(tProdutos[Desconto homologado],MATCH(tItens[[#This Row],[Produto]],tProdutos[Produto],0))="",DescontoPadrao,INDEX(tProdutos[Desconto homologado],MATCH(tItens[[#This Row],[Produto]],tProdutos[Produto],0))),DescontoPadrao)</f>
        <v>0.35412234042553198</v>
      </c>
      <c r="M4051" s="12">
        <f>tItens[[#This Row],[Valor]]*(1-tItens[[#This Row],[Desconto]])</f>
        <v>534.7867021276594</v>
      </c>
      <c r="N4051" t="str">
        <f>IFERROR(INDEX(tProdutos[Foco],MATCH(tItens[[#This Row],[Produto]],tProdutos[Produto],0)),"Não")</f>
        <v>Não</v>
      </c>
      <c r="O4051" t="str">
        <f>IFERROR(INDEX(tEditais[SRP],MATCH(tItens[[#This Row],[Edital]],tEditais[Edital],0)),"Não")</f>
        <v>Não</v>
      </c>
      <c r="P4051" s="4">
        <f>IF(COUNTIFS(INDEX(tItens[Edital],1):tItens[[#This Row],[Edital]],tItens[[#This Row],[Edital]],INDEX(tItens[Produto],1):tItens[[#This Row],[Produto]],tItens[[#This Row],[Produto]])=1,1,0)</f>
        <v>1</v>
      </c>
    </row>
    <row r="4052" spans="1:16" x14ac:dyDescent="0.25">
      <c r="A4052" t="s">
        <v>1637</v>
      </c>
      <c r="B4052">
        <v>98</v>
      </c>
      <c r="C4052" t="s">
        <v>6911</v>
      </c>
      <c r="D4052" t="s">
        <v>343</v>
      </c>
      <c r="E4052" s="13">
        <v>600</v>
      </c>
      <c r="F4052" s="12">
        <v>1.48</v>
      </c>
      <c r="G4052" t="str">
        <f>IFERROR(INDEX(tEditais[Órgão],MATCH(tItens[[#This Row],[Edital]],tEditais[Edital],0)),"")</f>
        <v>MUNICIPIO DE BATAYPORA</v>
      </c>
      <c r="H4052" t="str">
        <f>IFERROR(INDEX(tEditais[UF],MATCH(tItens[[#This Row],[Edital]],tEditais[Edital],0)),"")</f>
        <v>MS</v>
      </c>
      <c r="I4052" s="11">
        <f>IFERROR(INDEX(tEditais[Encerramento],MATCH(tItens[[#This Row],[Edital]],tEditais[Edital],0)),"")</f>
        <v>46304.375</v>
      </c>
      <c r="J4052" t="str">
        <f>IFERROR(INDEX(tProdutos[Classe],MATCH(tItens[[#This Row],[Produto]],tProdutos[Produto],0)),"produto não cadastrado")</f>
        <v>FORA</v>
      </c>
      <c r="K4052" s="12">
        <f>tItens[[#This Row],[Qtd]]*tItens[[#This Row],[Vlr unit]]</f>
        <v>888</v>
      </c>
      <c r="L4052" s="6">
        <f>IFERROR(IF(INDEX(tProdutos[Desconto homologado],MATCH(tItens[[#This Row],[Produto]],tProdutos[Produto],0))="",DescontoPadrao,INDEX(tProdutos[Desconto homologado],MATCH(tItens[[#This Row],[Produto]],tProdutos[Produto],0))),DescontoPadrao)</f>
        <v>0.35412234042553198</v>
      </c>
      <c r="M4052" s="12">
        <f>tItens[[#This Row],[Valor]]*(1-tItens[[#This Row],[Desconto]])</f>
        <v>573.53936170212751</v>
      </c>
      <c r="N4052" t="str">
        <f>IFERROR(INDEX(tProdutos[Foco],MATCH(tItens[[#This Row],[Produto]],tProdutos[Produto],0)),"Não")</f>
        <v>Não</v>
      </c>
      <c r="O4052" t="str">
        <f>IFERROR(INDEX(tEditais[SRP],MATCH(tItens[[#This Row],[Edital]],tEditais[Edital],0)),"Não")</f>
        <v>Não</v>
      </c>
      <c r="P4052" s="4">
        <f>IF(COUNTIFS(INDEX(tItens[Edital],1):tItens[[#This Row],[Edital]],tItens[[#This Row],[Edital]],INDEX(tItens[Produto],1):tItens[[#This Row],[Produto]],tItens[[#This Row],[Produto]])=1,1,0)</f>
        <v>0</v>
      </c>
    </row>
    <row r="4053" spans="1:16" x14ac:dyDescent="0.25">
      <c r="A4053" t="s">
        <v>1637</v>
      </c>
      <c r="B4053">
        <v>99</v>
      </c>
      <c r="C4053" t="s">
        <v>6912</v>
      </c>
      <c r="D4053" t="s">
        <v>343</v>
      </c>
      <c r="E4053" s="13">
        <v>600</v>
      </c>
      <c r="F4053" s="12">
        <v>1.47</v>
      </c>
      <c r="G4053" t="str">
        <f>IFERROR(INDEX(tEditais[Órgão],MATCH(tItens[[#This Row],[Edital]],tEditais[Edital],0)),"")</f>
        <v>MUNICIPIO DE BATAYPORA</v>
      </c>
      <c r="H4053" t="str">
        <f>IFERROR(INDEX(tEditais[UF],MATCH(tItens[[#This Row],[Edital]],tEditais[Edital],0)),"")</f>
        <v>MS</v>
      </c>
      <c r="I4053" s="11">
        <f>IFERROR(INDEX(tEditais[Encerramento],MATCH(tItens[[#This Row],[Edital]],tEditais[Edital],0)),"")</f>
        <v>46304.375</v>
      </c>
      <c r="J4053" t="str">
        <f>IFERROR(INDEX(tProdutos[Classe],MATCH(tItens[[#This Row],[Produto]],tProdutos[Produto],0)),"produto não cadastrado")</f>
        <v>FORA</v>
      </c>
      <c r="K4053" s="12">
        <f>tItens[[#This Row],[Qtd]]*tItens[[#This Row],[Vlr unit]]</f>
        <v>882</v>
      </c>
      <c r="L4053" s="6">
        <f>IFERROR(IF(INDEX(tProdutos[Desconto homologado],MATCH(tItens[[#This Row],[Produto]],tProdutos[Produto],0))="",DescontoPadrao,INDEX(tProdutos[Desconto homologado],MATCH(tItens[[#This Row],[Produto]],tProdutos[Produto],0))),DescontoPadrao)</f>
        <v>0.35412234042553198</v>
      </c>
      <c r="M4053" s="12">
        <f>tItens[[#This Row],[Valor]]*(1-tItens[[#This Row],[Desconto]])</f>
        <v>569.66409574468071</v>
      </c>
      <c r="N4053" t="str">
        <f>IFERROR(INDEX(tProdutos[Foco],MATCH(tItens[[#This Row],[Produto]],tProdutos[Produto],0)),"Não")</f>
        <v>Não</v>
      </c>
      <c r="O4053" t="str">
        <f>IFERROR(INDEX(tEditais[SRP],MATCH(tItens[[#This Row],[Edital]],tEditais[Edital],0)),"Não")</f>
        <v>Não</v>
      </c>
      <c r="P4053" s="4">
        <f>IF(COUNTIFS(INDEX(tItens[Edital],1):tItens[[#This Row],[Edital]],tItens[[#This Row],[Edital]],INDEX(tItens[Produto],1):tItens[[#This Row],[Produto]],tItens[[#This Row],[Produto]])=1,1,0)</f>
        <v>0</v>
      </c>
    </row>
    <row r="4054" spans="1:16" x14ac:dyDescent="0.25">
      <c r="A4054" t="s">
        <v>1637</v>
      </c>
      <c r="B4054">
        <v>100</v>
      </c>
      <c r="C4054" t="s">
        <v>6913</v>
      </c>
      <c r="D4054" t="s">
        <v>343</v>
      </c>
      <c r="E4054" s="13">
        <v>600</v>
      </c>
      <c r="F4054" s="12">
        <v>1.68</v>
      </c>
      <c r="G4054" t="str">
        <f>IFERROR(INDEX(tEditais[Órgão],MATCH(tItens[[#This Row],[Edital]],tEditais[Edital],0)),"")</f>
        <v>MUNICIPIO DE BATAYPORA</v>
      </c>
      <c r="H4054" t="str">
        <f>IFERROR(INDEX(tEditais[UF],MATCH(tItens[[#This Row],[Edital]],tEditais[Edital],0)),"")</f>
        <v>MS</v>
      </c>
      <c r="I4054" s="11">
        <f>IFERROR(INDEX(tEditais[Encerramento],MATCH(tItens[[#This Row],[Edital]],tEditais[Edital],0)),"")</f>
        <v>46304.375</v>
      </c>
      <c r="J4054" t="str">
        <f>IFERROR(INDEX(tProdutos[Classe],MATCH(tItens[[#This Row],[Produto]],tProdutos[Produto],0)),"produto não cadastrado")</f>
        <v>FORA</v>
      </c>
      <c r="K4054" s="12">
        <f>tItens[[#This Row],[Qtd]]*tItens[[#This Row],[Vlr unit]]</f>
        <v>1008</v>
      </c>
      <c r="L4054" s="6">
        <f>IFERROR(IF(INDEX(tProdutos[Desconto homologado],MATCH(tItens[[#This Row],[Produto]],tProdutos[Produto],0))="",DescontoPadrao,INDEX(tProdutos[Desconto homologado],MATCH(tItens[[#This Row],[Produto]],tProdutos[Produto],0))),DescontoPadrao)</f>
        <v>0.35412234042553198</v>
      </c>
      <c r="M4054" s="12">
        <f>tItens[[#This Row],[Valor]]*(1-tItens[[#This Row],[Desconto]])</f>
        <v>651.04468085106373</v>
      </c>
      <c r="N4054" t="str">
        <f>IFERROR(INDEX(tProdutos[Foco],MATCH(tItens[[#This Row],[Produto]],tProdutos[Produto],0)),"Não")</f>
        <v>Não</v>
      </c>
      <c r="O4054" t="str">
        <f>IFERROR(INDEX(tEditais[SRP],MATCH(tItens[[#This Row],[Edital]],tEditais[Edital],0)),"Não")</f>
        <v>Não</v>
      </c>
      <c r="P4054" s="4">
        <f>IF(COUNTIFS(INDEX(tItens[Edital],1):tItens[[#This Row],[Edital]],tItens[[#This Row],[Edital]],INDEX(tItens[Produto],1):tItens[[#This Row],[Produto]],tItens[[#This Row],[Produto]])=1,1,0)</f>
        <v>0</v>
      </c>
    </row>
    <row r="4055" spans="1:16" x14ac:dyDescent="0.25">
      <c r="A4055" t="s">
        <v>1637</v>
      </c>
      <c r="B4055">
        <v>101</v>
      </c>
      <c r="C4055" t="s">
        <v>6914</v>
      </c>
      <c r="D4055" t="s">
        <v>313</v>
      </c>
      <c r="E4055" s="13">
        <v>200</v>
      </c>
      <c r="F4055" s="12">
        <v>23.71</v>
      </c>
      <c r="G4055" t="str">
        <f>IFERROR(INDEX(tEditais[Órgão],MATCH(tItens[[#This Row],[Edital]],tEditais[Edital],0)),"")</f>
        <v>MUNICIPIO DE BATAYPORA</v>
      </c>
      <c r="H4055" t="str">
        <f>IFERROR(INDEX(tEditais[UF],MATCH(tItens[[#This Row],[Edital]],tEditais[Edital],0)),"")</f>
        <v>MS</v>
      </c>
      <c r="I4055" s="11">
        <f>IFERROR(INDEX(tEditais[Encerramento],MATCH(tItens[[#This Row],[Edital]],tEditais[Edital],0)),"")</f>
        <v>46304.375</v>
      </c>
      <c r="J4055" t="str">
        <f>IFERROR(INDEX(tProdutos[Classe],MATCH(tItens[[#This Row],[Produto]],tProdutos[Produto],0)),"produto não cadastrado")</f>
        <v>FORA</v>
      </c>
      <c r="K4055" s="12">
        <f>tItens[[#This Row],[Qtd]]*tItens[[#This Row],[Vlr unit]]</f>
        <v>4742</v>
      </c>
      <c r="L4055" s="6">
        <f>IFERROR(IF(INDEX(tProdutos[Desconto homologado],MATCH(tItens[[#This Row],[Produto]],tProdutos[Produto],0))="",DescontoPadrao,INDEX(tProdutos[Desconto homologado],MATCH(tItens[[#This Row],[Produto]],tProdutos[Produto],0))),DescontoPadrao)</f>
        <v>0.35766373163696302</v>
      </c>
      <c r="M4055" s="12">
        <f>tItens[[#This Row],[Valor]]*(1-tItens[[#This Row],[Desconto]])</f>
        <v>3045.9585845775209</v>
      </c>
      <c r="N4055" t="str">
        <f>IFERROR(INDEX(tProdutos[Foco],MATCH(tItens[[#This Row],[Produto]],tProdutos[Produto],0)),"Não")</f>
        <v>Não</v>
      </c>
      <c r="O4055" t="str">
        <f>IFERROR(INDEX(tEditais[SRP],MATCH(tItens[[#This Row],[Edital]],tEditais[Edital],0)),"Não")</f>
        <v>Não</v>
      </c>
      <c r="P4055" s="4">
        <f>IF(COUNTIFS(INDEX(tItens[Edital],1):tItens[[#This Row],[Edital]],tItens[[#This Row],[Edital]],INDEX(tItens[Produto],1):tItens[[#This Row],[Produto]],tItens[[#This Row],[Produto]])=1,1,0)</f>
        <v>1</v>
      </c>
    </row>
    <row r="4056" spans="1:16" x14ac:dyDescent="0.25">
      <c r="A4056" t="s">
        <v>1637</v>
      </c>
      <c r="B4056">
        <v>102</v>
      </c>
      <c r="C4056" t="s">
        <v>6915</v>
      </c>
      <c r="D4056" t="s">
        <v>313</v>
      </c>
      <c r="E4056" s="13">
        <v>600</v>
      </c>
      <c r="F4056" s="12">
        <v>31.93</v>
      </c>
      <c r="G4056" t="str">
        <f>IFERROR(INDEX(tEditais[Órgão],MATCH(tItens[[#This Row],[Edital]],tEditais[Edital],0)),"")</f>
        <v>MUNICIPIO DE BATAYPORA</v>
      </c>
      <c r="H4056" t="str">
        <f>IFERROR(INDEX(tEditais[UF],MATCH(tItens[[#This Row],[Edital]],tEditais[Edital],0)),"")</f>
        <v>MS</v>
      </c>
      <c r="I4056" s="11">
        <f>IFERROR(INDEX(tEditais[Encerramento],MATCH(tItens[[#This Row],[Edital]],tEditais[Edital],0)),"")</f>
        <v>46304.375</v>
      </c>
      <c r="J4056" t="str">
        <f>IFERROR(INDEX(tProdutos[Classe],MATCH(tItens[[#This Row],[Produto]],tProdutos[Produto],0)),"produto não cadastrado")</f>
        <v>FORA</v>
      </c>
      <c r="K4056" s="12">
        <f>tItens[[#This Row],[Qtd]]*tItens[[#This Row],[Vlr unit]]</f>
        <v>19158</v>
      </c>
      <c r="L4056" s="6">
        <f>IFERROR(IF(INDEX(tProdutos[Desconto homologado],MATCH(tItens[[#This Row],[Produto]],tProdutos[Produto],0))="",DescontoPadrao,INDEX(tProdutos[Desconto homologado],MATCH(tItens[[#This Row],[Produto]],tProdutos[Produto],0))),DescontoPadrao)</f>
        <v>0.35766373163696302</v>
      </c>
      <c r="M4056" s="12">
        <f>tItens[[#This Row],[Valor]]*(1-tItens[[#This Row],[Desconto]])</f>
        <v>12305.878229299062</v>
      </c>
      <c r="N4056" t="str">
        <f>IFERROR(INDEX(tProdutos[Foco],MATCH(tItens[[#This Row],[Produto]],tProdutos[Produto],0)),"Não")</f>
        <v>Não</v>
      </c>
      <c r="O4056" t="str">
        <f>IFERROR(INDEX(tEditais[SRP],MATCH(tItens[[#This Row],[Edital]],tEditais[Edital],0)),"Não")</f>
        <v>Não</v>
      </c>
      <c r="P4056" s="4">
        <f>IF(COUNTIFS(INDEX(tItens[Edital],1):tItens[[#This Row],[Edital]],tItens[[#This Row],[Edital]],INDEX(tItens[Produto],1):tItens[[#This Row],[Produto]],tItens[[#This Row],[Produto]])=1,1,0)</f>
        <v>0</v>
      </c>
    </row>
    <row r="4057" spans="1:16" x14ac:dyDescent="0.25">
      <c r="A4057" t="s">
        <v>1637</v>
      </c>
      <c r="B4057">
        <v>103</v>
      </c>
      <c r="C4057" t="s">
        <v>6916</v>
      </c>
      <c r="D4057" t="s">
        <v>313</v>
      </c>
      <c r="E4057" s="13">
        <v>800</v>
      </c>
      <c r="F4057" s="12">
        <v>23</v>
      </c>
      <c r="G4057" t="str">
        <f>IFERROR(INDEX(tEditais[Órgão],MATCH(tItens[[#This Row],[Edital]],tEditais[Edital],0)),"")</f>
        <v>MUNICIPIO DE BATAYPORA</v>
      </c>
      <c r="H4057" t="str">
        <f>IFERROR(INDEX(tEditais[UF],MATCH(tItens[[#This Row],[Edital]],tEditais[Edital],0)),"")</f>
        <v>MS</v>
      </c>
      <c r="I4057" s="11">
        <f>IFERROR(INDEX(tEditais[Encerramento],MATCH(tItens[[#This Row],[Edital]],tEditais[Edital],0)),"")</f>
        <v>46304.375</v>
      </c>
      <c r="J4057" t="str">
        <f>IFERROR(INDEX(tProdutos[Classe],MATCH(tItens[[#This Row],[Produto]],tProdutos[Produto],0)),"produto não cadastrado")</f>
        <v>FORA</v>
      </c>
      <c r="K4057" s="12">
        <f>tItens[[#This Row],[Qtd]]*tItens[[#This Row],[Vlr unit]]</f>
        <v>18400</v>
      </c>
      <c r="L4057" s="6">
        <f>IFERROR(IF(INDEX(tProdutos[Desconto homologado],MATCH(tItens[[#This Row],[Produto]],tProdutos[Produto],0))="",DescontoPadrao,INDEX(tProdutos[Desconto homologado],MATCH(tItens[[#This Row],[Produto]],tProdutos[Produto],0))),DescontoPadrao)</f>
        <v>0.35766373163696302</v>
      </c>
      <c r="M4057" s="12">
        <f>tItens[[#This Row],[Valor]]*(1-tItens[[#This Row],[Desconto]])</f>
        <v>11818.98733787988</v>
      </c>
      <c r="N4057" t="str">
        <f>IFERROR(INDEX(tProdutos[Foco],MATCH(tItens[[#This Row],[Produto]],tProdutos[Produto],0)),"Não")</f>
        <v>Não</v>
      </c>
      <c r="O4057" t="str">
        <f>IFERROR(INDEX(tEditais[SRP],MATCH(tItens[[#This Row],[Edital]],tEditais[Edital],0)),"Não")</f>
        <v>Não</v>
      </c>
      <c r="P4057" s="4">
        <f>IF(COUNTIFS(INDEX(tItens[Edital],1):tItens[[#This Row],[Edital]],tItens[[#This Row],[Edital]],INDEX(tItens[Produto],1):tItens[[#This Row],[Produto]],tItens[[#This Row],[Produto]])=1,1,0)</f>
        <v>0</v>
      </c>
    </row>
    <row r="4058" spans="1:16" x14ac:dyDescent="0.25">
      <c r="A4058" t="s">
        <v>1637</v>
      </c>
      <c r="B4058">
        <v>104</v>
      </c>
      <c r="C4058" t="s">
        <v>6917</v>
      </c>
      <c r="D4058" t="s">
        <v>313</v>
      </c>
      <c r="E4058" s="13">
        <v>300</v>
      </c>
      <c r="F4058" s="12">
        <v>22.04</v>
      </c>
      <c r="G4058" t="str">
        <f>IFERROR(INDEX(tEditais[Órgão],MATCH(tItens[[#This Row],[Edital]],tEditais[Edital],0)),"")</f>
        <v>MUNICIPIO DE BATAYPORA</v>
      </c>
      <c r="H4058" t="str">
        <f>IFERROR(INDEX(tEditais[UF],MATCH(tItens[[#This Row],[Edital]],tEditais[Edital],0)),"")</f>
        <v>MS</v>
      </c>
      <c r="I4058" s="11">
        <f>IFERROR(INDEX(tEditais[Encerramento],MATCH(tItens[[#This Row],[Edital]],tEditais[Edital],0)),"")</f>
        <v>46304.375</v>
      </c>
      <c r="J4058" t="str">
        <f>IFERROR(INDEX(tProdutos[Classe],MATCH(tItens[[#This Row],[Produto]],tProdutos[Produto],0)),"produto não cadastrado")</f>
        <v>FORA</v>
      </c>
      <c r="K4058" s="12">
        <f>tItens[[#This Row],[Qtd]]*tItens[[#This Row],[Vlr unit]]</f>
        <v>6612</v>
      </c>
      <c r="L4058" s="6">
        <f>IFERROR(IF(INDEX(tProdutos[Desconto homologado],MATCH(tItens[[#This Row],[Produto]],tProdutos[Produto],0))="",DescontoPadrao,INDEX(tProdutos[Desconto homologado],MATCH(tItens[[#This Row],[Produto]],tProdutos[Produto],0))),DescontoPadrao)</f>
        <v>0.35766373163696302</v>
      </c>
      <c r="M4058" s="12">
        <f>tItens[[#This Row],[Valor]]*(1-tItens[[#This Row],[Desconto]])</f>
        <v>4247.1274064163999</v>
      </c>
      <c r="N4058" t="str">
        <f>IFERROR(INDEX(tProdutos[Foco],MATCH(tItens[[#This Row],[Produto]],tProdutos[Produto],0)),"Não")</f>
        <v>Não</v>
      </c>
      <c r="O4058" t="str">
        <f>IFERROR(INDEX(tEditais[SRP],MATCH(tItens[[#This Row],[Edital]],tEditais[Edital],0)),"Não")</f>
        <v>Não</v>
      </c>
      <c r="P4058" s="4">
        <f>IF(COUNTIFS(INDEX(tItens[Edital],1):tItens[[#This Row],[Edital]],tItens[[#This Row],[Edital]],INDEX(tItens[Produto],1):tItens[[#This Row],[Produto]],tItens[[#This Row],[Produto]])=1,1,0)</f>
        <v>0</v>
      </c>
    </row>
    <row r="4059" spans="1:16" x14ac:dyDescent="0.25">
      <c r="A4059" t="s">
        <v>1637</v>
      </c>
      <c r="B4059">
        <v>105</v>
      </c>
      <c r="C4059" t="s">
        <v>6918</v>
      </c>
      <c r="D4059" t="s">
        <v>385</v>
      </c>
      <c r="E4059" s="13">
        <v>1500</v>
      </c>
      <c r="F4059" s="12">
        <v>5.64</v>
      </c>
      <c r="G4059" t="str">
        <f>IFERROR(INDEX(tEditais[Órgão],MATCH(tItens[[#This Row],[Edital]],tEditais[Edital],0)),"")</f>
        <v>MUNICIPIO DE BATAYPORA</v>
      </c>
      <c r="H4059" t="str">
        <f>IFERROR(INDEX(tEditais[UF],MATCH(tItens[[#This Row],[Edital]],tEditais[Edital],0)),"")</f>
        <v>MS</v>
      </c>
      <c r="I4059" s="11">
        <f>IFERROR(INDEX(tEditais[Encerramento],MATCH(tItens[[#This Row],[Edital]],tEditais[Edital],0)),"")</f>
        <v>46304.375</v>
      </c>
      <c r="J4059" t="str">
        <f>IFERROR(INDEX(tProdutos[Classe],MATCH(tItens[[#This Row],[Produto]],tProdutos[Produto],0)),"produto não cadastrado")</f>
        <v>FORA</v>
      </c>
      <c r="K4059" s="12">
        <f>tItens[[#This Row],[Qtd]]*tItens[[#This Row],[Vlr unit]]</f>
        <v>8460</v>
      </c>
      <c r="L4059" s="6">
        <f>IFERROR(IF(INDEX(tProdutos[Desconto homologado],MATCH(tItens[[#This Row],[Produto]],tProdutos[Produto],0))="",DescontoPadrao,INDEX(tProdutos[Desconto homologado],MATCH(tItens[[#This Row],[Produto]],tProdutos[Produto],0))),DescontoPadrao)</f>
        <v>0.46969696969697</v>
      </c>
      <c r="M4059" s="12">
        <f>tItens[[#This Row],[Valor]]*(1-tItens[[#This Row],[Desconto]])</f>
        <v>4486.3636363636342</v>
      </c>
      <c r="N4059" t="str">
        <f>IFERROR(INDEX(tProdutos[Foco],MATCH(tItens[[#This Row],[Produto]],tProdutos[Produto],0)),"Não")</f>
        <v>Não</v>
      </c>
      <c r="O4059" t="str">
        <f>IFERROR(INDEX(tEditais[SRP],MATCH(tItens[[#This Row],[Edital]],tEditais[Edital],0)),"Não")</f>
        <v>Não</v>
      </c>
      <c r="P4059" s="4">
        <f>IF(COUNTIFS(INDEX(tItens[Edital],1):tItens[[#This Row],[Edital]],tItens[[#This Row],[Edital]],INDEX(tItens[Produto],1):tItens[[#This Row],[Produto]],tItens[[#This Row],[Produto]])=1,1,0)</f>
        <v>1</v>
      </c>
    </row>
    <row r="4060" spans="1:16" x14ac:dyDescent="0.25">
      <c r="A4060" t="s">
        <v>1637</v>
      </c>
      <c r="B4060">
        <v>106</v>
      </c>
      <c r="C4060" t="s">
        <v>6919</v>
      </c>
      <c r="D4060" t="s">
        <v>257</v>
      </c>
      <c r="E4060" s="13">
        <v>30</v>
      </c>
      <c r="F4060" s="12">
        <v>7.51</v>
      </c>
      <c r="G4060" t="str">
        <f>IFERROR(INDEX(tEditais[Órgão],MATCH(tItens[[#This Row],[Edital]],tEditais[Edital],0)),"")</f>
        <v>MUNICIPIO DE BATAYPORA</v>
      </c>
      <c r="H4060" t="str">
        <f>IFERROR(INDEX(tEditais[UF],MATCH(tItens[[#This Row],[Edital]],tEditais[Edital],0)),"")</f>
        <v>MS</v>
      </c>
      <c r="I4060" s="11">
        <f>IFERROR(INDEX(tEditais[Encerramento],MATCH(tItens[[#This Row],[Edital]],tEditais[Edital],0)),"")</f>
        <v>46304.375</v>
      </c>
      <c r="J4060" t="str">
        <f>IFERROR(INDEX(tProdutos[Classe],MATCH(tItens[[#This Row],[Produto]],tProdutos[Produto],0)),"produto não cadastrado")</f>
        <v>FORA</v>
      </c>
      <c r="K4060" s="12">
        <f>tItens[[#This Row],[Qtd]]*tItens[[#This Row],[Vlr unit]]</f>
        <v>225.29999999999998</v>
      </c>
      <c r="L4060" s="6">
        <f>IFERROR(IF(INDEX(tProdutos[Desconto homologado],MATCH(tItens[[#This Row],[Produto]],tProdutos[Produto],0))="",DescontoPadrao,INDEX(tProdutos[Desconto homologado],MATCH(tItens[[#This Row],[Produto]],tProdutos[Produto],0))),DescontoPadrao)</f>
        <v>0.500812004991805</v>
      </c>
      <c r="M4060" s="12">
        <f>tItens[[#This Row],[Valor]]*(1-tItens[[#This Row],[Desconto]])</f>
        <v>112.46705527534633</v>
      </c>
      <c r="N4060" t="str">
        <f>IFERROR(INDEX(tProdutos[Foco],MATCH(tItens[[#This Row],[Produto]],tProdutos[Produto],0)),"Não")</f>
        <v>Não</v>
      </c>
      <c r="O4060" t="str">
        <f>IFERROR(INDEX(tEditais[SRP],MATCH(tItens[[#This Row],[Edital]],tEditais[Edital],0)),"Não")</f>
        <v>Não</v>
      </c>
      <c r="P4060" s="4">
        <f>IF(COUNTIFS(INDEX(tItens[Edital],1):tItens[[#This Row],[Edital]],tItens[[#This Row],[Edital]],INDEX(tItens[Produto],1):tItens[[#This Row],[Produto]],tItens[[#This Row],[Produto]])=1,1,0)</f>
        <v>1</v>
      </c>
    </row>
    <row r="4061" spans="1:16" x14ac:dyDescent="0.25">
      <c r="A4061" t="s">
        <v>1637</v>
      </c>
      <c r="B4061">
        <v>107</v>
      </c>
      <c r="C4061" t="s">
        <v>6920</v>
      </c>
      <c r="D4061" t="s">
        <v>249</v>
      </c>
      <c r="E4061" s="13">
        <v>20</v>
      </c>
      <c r="F4061" s="12">
        <v>6.48</v>
      </c>
      <c r="G4061" t="str">
        <f>IFERROR(INDEX(tEditais[Órgão],MATCH(tItens[[#This Row],[Edital]],tEditais[Edital],0)),"")</f>
        <v>MUNICIPIO DE BATAYPORA</v>
      </c>
      <c r="H4061" t="str">
        <f>IFERROR(INDEX(tEditais[UF],MATCH(tItens[[#This Row],[Edital]],tEditais[Edital],0)),"")</f>
        <v>MS</v>
      </c>
      <c r="I4061" s="11">
        <f>IFERROR(INDEX(tEditais[Encerramento],MATCH(tItens[[#This Row],[Edital]],tEditais[Edital],0)),"")</f>
        <v>46304.375</v>
      </c>
      <c r="J4061" t="str">
        <f>IFERROR(INDEX(tProdutos[Classe],MATCH(tItens[[#This Row],[Produto]],tProdutos[Produto],0)),"produto não cadastrado")</f>
        <v>FORA</v>
      </c>
      <c r="K4061" s="12">
        <f>tItens[[#This Row],[Qtd]]*tItens[[#This Row],[Vlr unit]]</f>
        <v>129.60000000000002</v>
      </c>
      <c r="L4061" s="6">
        <f>IFERROR(IF(INDEX(tProdutos[Desconto homologado],MATCH(tItens[[#This Row],[Produto]],tProdutos[Produto],0))="",DescontoPadrao,INDEX(tProdutos[Desconto homologado],MATCH(tItens[[#This Row],[Produto]],tProdutos[Produto],0))),DescontoPadrao)</f>
        <v>0.45399945399945402</v>
      </c>
      <c r="M4061" s="12">
        <f>tItens[[#This Row],[Valor]]*(1-tItens[[#This Row],[Desconto]])</f>
        <v>70.761670761670771</v>
      </c>
      <c r="N4061" t="str">
        <f>IFERROR(INDEX(tProdutos[Foco],MATCH(tItens[[#This Row],[Produto]],tProdutos[Produto],0)),"Não")</f>
        <v>Não</v>
      </c>
      <c r="O4061" t="str">
        <f>IFERROR(INDEX(tEditais[SRP],MATCH(tItens[[#This Row],[Edital]],tEditais[Edital],0)),"Não")</f>
        <v>Não</v>
      </c>
      <c r="P4061" s="4">
        <f>IF(COUNTIFS(INDEX(tItens[Edital],1):tItens[[#This Row],[Edital]],tItens[[#This Row],[Edital]],INDEX(tItens[Produto],1):tItens[[#This Row],[Produto]],tItens[[#This Row],[Produto]])=1,1,0)</f>
        <v>1</v>
      </c>
    </row>
    <row r="4062" spans="1:16" x14ac:dyDescent="0.25">
      <c r="A4062" t="s">
        <v>1637</v>
      </c>
      <c r="B4062">
        <v>108</v>
      </c>
      <c r="C4062" t="s">
        <v>6921</v>
      </c>
      <c r="D4062" t="s">
        <v>403</v>
      </c>
      <c r="E4062" s="13">
        <v>600</v>
      </c>
      <c r="F4062" s="12">
        <v>1.53</v>
      </c>
      <c r="G4062" t="str">
        <f>IFERROR(INDEX(tEditais[Órgão],MATCH(tItens[[#This Row],[Edital]],tEditais[Edital],0)),"")</f>
        <v>MUNICIPIO DE BATAYPORA</v>
      </c>
      <c r="H4062" t="str">
        <f>IFERROR(INDEX(tEditais[UF],MATCH(tItens[[#This Row],[Edital]],tEditais[Edital],0)),"")</f>
        <v>MS</v>
      </c>
      <c r="I4062" s="11">
        <f>IFERROR(INDEX(tEditais[Encerramento],MATCH(tItens[[#This Row],[Edital]],tEditais[Edital],0)),"")</f>
        <v>46304.375</v>
      </c>
      <c r="J4062" t="str">
        <f>IFERROR(INDEX(tProdutos[Classe],MATCH(tItens[[#This Row],[Produto]],tProdutos[Produto],0)),"produto não cadastrado")</f>
        <v>FORA</v>
      </c>
      <c r="K4062" s="12">
        <f>tItens[[#This Row],[Qtd]]*tItens[[#This Row],[Vlr unit]]</f>
        <v>918</v>
      </c>
      <c r="L4062" s="6">
        <f>IFERROR(IF(INDEX(tProdutos[Desconto homologado],MATCH(tItens[[#This Row],[Produto]],tProdutos[Produto],0))="",DescontoPadrao,INDEX(tProdutos[Desconto homologado],MATCH(tItens[[#This Row],[Produto]],tProdutos[Produto],0))),DescontoPadrao)</f>
        <v>0.35326086956521702</v>
      </c>
      <c r="M4062" s="12">
        <f>tItens[[#This Row],[Valor]]*(1-tItens[[#This Row],[Desconto]])</f>
        <v>593.70652173913072</v>
      </c>
      <c r="N4062" t="str">
        <f>IFERROR(INDEX(tProdutos[Foco],MATCH(tItens[[#This Row],[Produto]],tProdutos[Produto],0)),"Não")</f>
        <v>Não</v>
      </c>
      <c r="O4062" t="str">
        <f>IFERROR(INDEX(tEditais[SRP],MATCH(tItens[[#This Row],[Edital]],tEditais[Edital],0)),"Não")</f>
        <v>Não</v>
      </c>
      <c r="P4062" s="4">
        <f>IF(COUNTIFS(INDEX(tItens[Edital],1):tItens[[#This Row],[Edital]],tItens[[#This Row],[Edital]],INDEX(tItens[Produto],1):tItens[[#This Row],[Produto]],tItens[[#This Row],[Produto]])=1,1,0)</f>
        <v>1</v>
      </c>
    </row>
    <row r="4063" spans="1:16" x14ac:dyDescent="0.25">
      <c r="A4063" t="s">
        <v>1637</v>
      </c>
      <c r="B4063">
        <v>121</v>
      </c>
      <c r="C4063" t="s">
        <v>6922</v>
      </c>
      <c r="D4063" t="s">
        <v>327</v>
      </c>
      <c r="E4063" s="13">
        <v>50</v>
      </c>
      <c r="F4063" s="12">
        <v>7.84</v>
      </c>
      <c r="G4063" t="str">
        <f>IFERROR(INDEX(tEditais[Órgão],MATCH(tItens[[#This Row],[Edital]],tEditais[Edital],0)),"")</f>
        <v>MUNICIPIO DE BATAYPORA</v>
      </c>
      <c r="H4063" t="str">
        <f>IFERROR(INDEX(tEditais[UF],MATCH(tItens[[#This Row],[Edital]],tEditais[Edital],0)),"")</f>
        <v>MS</v>
      </c>
      <c r="I4063" s="11">
        <f>IFERROR(INDEX(tEditais[Encerramento],MATCH(tItens[[#This Row],[Edital]],tEditais[Edital],0)),"")</f>
        <v>46304.375</v>
      </c>
      <c r="J4063" t="str">
        <f>IFERROR(INDEX(tProdutos[Classe],MATCH(tItens[[#This Row],[Produto]],tProdutos[Produto],0)),"produto não cadastrado")</f>
        <v>FORA</v>
      </c>
      <c r="K4063" s="12">
        <f>tItens[[#This Row],[Qtd]]*tItens[[#This Row],[Vlr unit]]</f>
        <v>392</v>
      </c>
      <c r="L4063" s="6">
        <f>IFERROR(IF(INDEX(tProdutos[Desconto homologado],MATCH(tItens[[#This Row],[Produto]],tProdutos[Produto],0))="",DescontoPadrao,INDEX(tProdutos[Desconto homologado],MATCH(tItens[[#This Row],[Produto]],tProdutos[Produto],0))),DescontoPadrao)</f>
        <v>0.49969483918783197</v>
      </c>
      <c r="M4063" s="12">
        <f>tItens[[#This Row],[Valor]]*(1-tItens[[#This Row],[Desconto]])</f>
        <v>196.11962303836987</v>
      </c>
      <c r="N4063" t="str">
        <f>IFERROR(INDEX(tProdutos[Foco],MATCH(tItens[[#This Row],[Produto]],tProdutos[Produto],0)),"Não")</f>
        <v>Não</v>
      </c>
      <c r="O4063" t="str">
        <f>IFERROR(INDEX(tEditais[SRP],MATCH(tItens[[#This Row],[Edital]],tEditais[Edital],0)),"Não")</f>
        <v>Não</v>
      </c>
      <c r="P4063" s="4">
        <f>IF(COUNTIFS(INDEX(tItens[Edital],1):tItens[[#This Row],[Edital]],tItens[[#This Row],[Edital]],INDEX(tItens[Produto],1):tItens[[#This Row],[Produto]],tItens[[#This Row],[Produto]])=1,1,0)</f>
        <v>1</v>
      </c>
    </row>
    <row r="4064" spans="1:16" x14ac:dyDescent="0.25">
      <c r="A4064" t="s">
        <v>1637</v>
      </c>
      <c r="B4064">
        <v>123</v>
      </c>
      <c r="C4064" t="s">
        <v>6923</v>
      </c>
      <c r="D4064" t="s">
        <v>275</v>
      </c>
      <c r="E4064" s="13">
        <v>50000</v>
      </c>
      <c r="F4064" s="12">
        <v>0.22</v>
      </c>
      <c r="G4064" t="str">
        <f>IFERROR(INDEX(tEditais[Órgão],MATCH(tItens[[#This Row],[Edital]],tEditais[Edital],0)),"")</f>
        <v>MUNICIPIO DE BATAYPORA</v>
      </c>
      <c r="H4064" t="str">
        <f>IFERROR(INDEX(tEditais[UF],MATCH(tItens[[#This Row],[Edital]],tEditais[Edital],0)),"")</f>
        <v>MS</v>
      </c>
      <c r="I4064" s="11">
        <f>IFERROR(INDEX(tEditais[Encerramento],MATCH(tItens[[#This Row],[Edital]],tEditais[Edital],0)),"")</f>
        <v>46304.375</v>
      </c>
      <c r="J4064" t="str">
        <f>IFERROR(INDEX(tProdutos[Classe],MATCH(tItens[[#This Row],[Produto]],tProdutos[Produto],0)),"produto não cadastrado")</f>
        <v>FORA</v>
      </c>
      <c r="K4064" s="12">
        <f>tItens[[#This Row],[Qtd]]*tItens[[#This Row],[Vlr unit]]</f>
        <v>11000</v>
      </c>
      <c r="L4064" s="6">
        <f>IFERROR(IF(INDEX(tProdutos[Desconto homologado],MATCH(tItens[[#This Row],[Produto]],tProdutos[Produto],0))="",DescontoPadrao,INDEX(tProdutos[Desconto homologado],MATCH(tItens[[#This Row],[Produto]],tProdutos[Produto],0))),DescontoPadrao)</f>
        <v>0.405797101449275</v>
      </c>
      <c r="M4064" s="12">
        <f>tItens[[#This Row],[Valor]]*(1-tItens[[#This Row],[Desconto]])</f>
        <v>6536.2318840579755</v>
      </c>
      <c r="N4064" t="str">
        <f>IFERROR(INDEX(tProdutos[Foco],MATCH(tItens[[#This Row],[Produto]],tProdutos[Produto],0)),"Não")</f>
        <v>Não</v>
      </c>
      <c r="O4064" t="str">
        <f>IFERROR(INDEX(tEditais[SRP],MATCH(tItens[[#This Row],[Edital]],tEditais[Edital],0)),"Não")</f>
        <v>Não</v>
      </c>
      <c r="P4064" s="4">
        <f>IF(COUNTIFS(INDEX(tItens[Edital],1):tItens[[#This Row],[Edital]],tItens[[#This Row],[Edital]],INDEX(tItens[Produto],1):tItens[[#This Row],[Produto]],tItens[[#This Row],[Produto]])=1,1,0)</f>
        <v>1</v>
      </c>
    </row>
    <row r="4065" spans="1:16" x14ac:dyDescent="0.25">
      <c r="A4065" t="s">
        <v>1637</v>
      </c>
      <c r="B4065">
        <v>124</v>
      </c>
      <c r="C4065" t="s">
        <v>6924</v>
      </c>
      <c r="D4065" t="s">
        <v>281</v>
      </c>
      <c r="E4065" s="13">
        <v>300</v>
      </c>
      <c r="F4065" s="12">
        <v>32.67</v>
      </c>
      <c r="G4065" t="str">
        <f>IFERROR(INDEX(tEditais[Órgão],MATCH(tItens[[#This Row],[Edital]],tEditais[Edital],0)),"")</f>
        <v>MUNICIPIO DE BATAYPORA</v>
      </c>
      <c r="H4065" t="str">
        <f>IFERROR(INDEX(tEditais[UF],MATCH(tItens[[#This Row],[Edital]],tEditais[Edital],0)),"")</f>
        <v>MS</v>
      </c>
      <c r="I4065" s="11">
        <f>IFERROR(INDEX(tEditais[Encerramento],MATCH(tItens[[#This Row],[Edital]],tEditais[Edital],0)),"")</f>
        <v>46304.375</v>
      </c>
      <c r="J4065" t="str">
        <f>IFERROR(INDEX(tProdutos[Classe],MATCH(tItens[[#This Row],[Produto]],tProdutos[Produto],0)),"produto não cadastrado")</f>
        <v>DISPUTADO</v>
      </c>
      <c r="K4065" s="12">
        <f>tItens[[#This Row],[Qtd]]*tItens[[#This Row],[Vlr unit]]</f>
        <v>9801</v>
      </c>
      <c r="L4065" s="6">
        <f>IFERROR(IF(INDEX(tProdutos[Desconto homologado],MATCH(tItens[[#This Row],[Produto]],tProdutos[Produto],0))="",DescontoPadrao,INDEX(tProdutos[Desconto homologado],MATCH(tItens[[#This Row],[Produto]],tProdutos[Produto],0))),DescontoPadrao)</f>
        <v>0.42461538461538501</v>
      </c>
      <c r="M4065" s="12">
        <f>tItens[[#This Row],[Valor]]*(1-tItens[[#This Row],[Desconto]])</f>
        <v>5639.3446153846107</v>
      </c>
      <c r="N4065" t="str">
        <f>IFERROR(INDEX(tProdutos[Foco],MATCH(tItens[[#This Row],[Produto]],tProdutos[Produto],0)),"Não")</f>
        <v>Não</v>
      </c>
      <c r="O4065" t="str">
        <f>IFERROR(INDEX(tEditais[SRP],MATCH(tItens[[#This Row],[Edital]],tEditais[Edital],0)),"Não")</f>
        <v>Não</v>
      </c>
      <c r="P4065" s="4">
        <f>IF(COUNTIFS(INDEX(tItens[Edital],1):tItens[[#This Row],[Edital]],tItens[[#This Row],[Edital]],INDEX(tItens[Produto],1):tItens[[#This Row],[Produto]],tItens[[#This Row],[Produto]])=1,1,0)</f>
        <v>1</v>
      </c>
    </row>
    <row r="4066" spans="1:16" x14ac:dyDescent="0.25">
      <c r="A4066" t="s">
        <v>1637</v>
      </c>
      <c r="B4066">
        <v>125</v>
      </c>
      <c r="C4066" t="s">
        <v>6925</v>
      </c>
      <c r="D4066" t="s">
        <v>303</v>
      </c>
      <c r="E4066" s="13">
        <v>200</v>
      </c>
      <c r="F4066" s="12">
        <v>44.82</v>
      </c>
      <c r="G4066" t="str">
        <f>IFERROR(INDEX(tEditais[Órgão],MATCH(tItens[[#This Row],[Edital]],tEditais[Edital],0)),"")</f>
        <v>MUNICIPIO DE BATAYPORA</v>
      </c>
      <c r="H4066" t="str">
        <f>IFERROR(INDEX(tEditais[UF],MATCH(tItens[[#This Row],[Edital]],tEditais[Edital],0)),"")</f>
        <v>MS</v>
      </c>
      <c r="I4066" s="11">
        <f>IFERROR(INDEX(tEditais[Encerramento],MATCH(tItens[[#This Row],[Edital]],tEditais[Edital],0)),"")</f>
        <v>46304.375</v>
      </c>
      <c r="J4066" t="str">
        <f>IFERROR(INDEX(tProdutos[Classe],MATCH(tItens[[#This Row],[Produto]],tProdutos[Produto],0)),"produto não cadastrado")</f>
        <v>FORA</v>
      </c>
      <c r="K4066" s="12">
        <f>tItens[[#This Row],[Qtd]]*tItens[[#This Row],[Vlr unit]]</f>
        <v>8964</v>
      </c>
      <c r="L4066" s="6">
        <f>IFERROR(IF(INDEX(tProdutos[Desconto homologado],MATCH(tItens[[#This Row],[Produto]],tProdutos[Produto],0))="",DescontoPadrao,INDEX(tProdutos[Desconto homologado],MATCH(tItens[[#This Row],[Produto]],tProdutos[Produto],0))),DescontoPadrao)</f>
        <v>0.35748048048048098</v>
      </c>
      <c r="M4066" s="12">
        <f>tItens[[#This Row],[Valor]]*(1-tItens[[#This Row],[Desconto]])</f>
        <v>5759.5449729729689</v>
      </c>
      <c r="N4066" t="str">
        <f>IFERROR(INDEX(tProdutos[Foco],MATCH(tItens[[#This Row],[Produto]],tProdutos[Produto],0)),"Não")</f>
        <v>Não</v>
      </c>
      <c r="O4066" t="str">
        <f>IFERROR(INDEX(tEditais[SRP],MATCH(tItens[[#This Row],[Edital]],tEditais[Edital],0)),"Não")</f>
        <v>Não</v>
      </c>
      <c r="P4066" s="4">
        <f>IF(COUNTIFS(INDEX(tItens[Edital],1):tItens[[#This Row],[Edital]],tItens[[#This Row],[Edital]],INDEX(tItens[Produto],1):tItens[[#This Row],[Produto]],tItens[[#This Row],[Produto]])=1,1,0)</f>
        <v>1</v>
      </c>
    </row>
    <row r="4067" spans="1:16" x14ac:dyDescent="0.25">
      <c r="A4067" t="s">
        <v>1637</v>
      </c>
      <c r="B4067">
        <v>126</v>
      </c>
      <c r="C4067" t="s">
        <v>6926</v>
      </c>
      <c r="D4067" t="s">
        <v>283</v>
      </c>
      <c r="E4067" s="13">
        <v>300</v>
      </c>
      <c r="F4067" s="12">
        <v>13.6</v>
      </c>
      <c r="G4067" t="str">
        <f>IFERROR(INDEX(tEditais[Órgão],MATCH(tItens[[#This Row],[Edital]],tEditais[Edital],0)),"")</f>
        <v>MUNICIPIO DE BATAYPORA</v>
      </c>
      <c r="H4067" t="str">
        <f>IFERROR(INDEX(tEditais[UF],MATCH(tItens[[#This Row],[Edital]],tEditais[Edital],0)),"")</f>
        <v>MS</v>
      </c>
      <c r="I4067" s="11">
        <f>IFERROR(INDEX(tEditais[Encerramento],MATCH(tItens[[#This Row],[Edital]],tEditais[Edital],0)),"")</f>
        <v>46304.375</v>
      </c>
      <c r="J4067" t="str">
        <f>IFERROR(INDEX(tProdutos[Classe],MATCH(tItens[[#This Row],[Produto]],tProdutos[Produto],0)),"produto não cadastrado")</f>
        <v>FORA</v>
      </c>
      <c r="K4067" s="12">
        <f>tItens[[#This Row],[Qtd]]*tItens[[#This Row],[Vlr unit]]</f>
        <v>4080</v>
      </c>
      <c r="L4067" s="6">
        <f>IFERROR(IF(INDEX(tProdutos[Desconto homologado],MATCH(tItens[[#This Row],[Produto]],tProdutos[Produto],0))="",DescontoPadrao,INDEX(tProdutos[Desconto homologado],MATCH(tItens[[#This Row],[Produto]],tProdutos[Produto],0))),DescontoPadrao)</f>
        <v>0.40540540540540498</v>
      </c>
      <c r="M4067" s="12">
        <f>tItens[[#This Row],[Valor]]*(1-tItens[[#This Row],[Desconto]])</f>
        <v>2425.9459459459476</v>
      </c>
      <c r="N4067" t="str">
        <f>IFERROR(INDEX(tProdutos[Foco],MATCH(tItens[[#This Row],[Produto]],tProdutos[Produto],0)),"Não")</f>
        <v>Não</v>
      </c>
      <c r="O4067" t="str">
        <f>IFERROR(INDEX(tEditais[SRP],MATCH(tItens[[#This Row],[Edital]],tEditais[Edital],0)),"Não")</f>
        <v>Não</v>
      </c>
      <c r="P4067" s="4">
        <f>IF(COUNTIFS(INDEX(tItens[Edital],1):tItens[[#This Row],[Edital]],tItens[[#This Row],[Edital]],INDEX(tItens[Produto],1):tItens[[#This Row],[Produto]],tItens[[#This Row],[Produto]])=1,1,0)</f>
        <v>1</v>
      </c>
    </row>
    <row r="4068" spans="1:16" x14ac:dyDescent="0.25">
      <c r="A4068" t="s">
        <v>1637</v>
      </c>
      <c r="B4068">
        <v>127</v>
      </c>
      <c r="C4068" t="s">
        <v>6927</v>
      </c>
      <c r="D4068" t="s">
        <v>265</v>
      </c>
      <c r="E4068" s="13">
        <v>500</v>
      </c>
      <c r="F4068" s="12">
        <v>20.52</v>
      </c>
      <c r="G4068" t="str">
        <f>IFERROR(INDEX(tEditais[Órgão],MATCH(tItens[[#This Row],[Edital]],tEditais[Edital],0)),"")</f>
        <v>MUNICIPIO DE BATAYPORA</v>
      </c>
      <c r="H4068" t="str">
        <f>IFERROR(INDEX(tEditais[UF],MATCH(tItens[[#This Row],[Edital]],tEditais[Edital],0)),"")</f>
        <v>MS</v>
      </c>
      <c r="I4068" s="11">
        <f>IFERROR(INDEX(tEditais[Encerramento],MATCH(tItens[[#This Row],[Edital]],tEditais[Edital],0)),"")</f>
        <v>46304.375</v>
      </c>
      <c r="J4068" t="str">
        <f>IFERROR(INDEX(tProdutos[Classe],MATCH(tItens[[#This Row],[Produto]],tProdutos[Produto],0)),"produto não cadastrado")</f>
        <v>DISPUTADO</v>
      </c>
      <c r="K4068" s="12">
        <f>tItens[[#This Row],[Qtd]]*tItens[[#This Row],[Vlr unit]]</f>
        <v>10260</v>
      </c>
      <c r="L4068" s="6">
        <f>IFERROR(IF(INDEX(tProdutos[Desconto homologado],MATCH(tItens[[#This Row],[Produto]],tProdutos[Produto],0))="",DescontoPadrao,INDEX(tProdutos[Desconto homologado],MATCH(tItens[[#This Row],[Produto]],tProdutos[Produto],0))),DescontoPadrao)</f>
        <v>0.377587663709337</v>
      </c>
      <c r="M4068" s="12">
        <f>tItens[[#This Row],[Valor]]*(1-tItens[[#This Row],[Desconto]])</f>
        <v>6385.9505703422028</v>
      </c>
      <c r="N4068" t="str">
        <f>IFERROR(INDEX(tProdutos[Foco],MATCH(tItens[[#This Row],[Produto]],tProdutos[Produto],0)),"Não")</f>
        <v>Não</v>
      </c>
      <c r="O4068" t="str">
        <f>IFERROR(INDEX(tEditais[SRP],MATCH(tItens[[#This Row],[Edital]],tEditais[Edital],0)),"Não")</f>
        <v>Não</v>
      </c>
      <c r="P4068" s="4">
        <f>IF(COUNTIFS(INDEX(tItens[Edital],1):tItens[[#This Row],[Edital]],tItens[[#This Row],[Edital]],INDEX(tItens[Produto],1):tItens[[#This Row],[Produto]],tItens[[#This Row],[Produto]])=1,1,0)</f>
        <v>1</v>
      </c>
    </row>
    <row r="4069" spans="1:16" x14ac:dyDescent="0.25">
      <c r="A4069" t="s">
        <v>1637</v>
      </c>
      <c r="B4069">
        <v>135</v>
      </c>
      <c r="C4069" t="s">
        <v>6928</v>
      </c>
      <c r="D4069" t="s">
        <v>184</v>
      </c>
      <c r="E4069" s="13">
        <v>100</v>
      </c>
      <c r="F4069" s="12">
        <v>2.56</v>
      </c>
      <c r="G4069" t="str">
        <f>IFERROR(INDEX(tEditais[Órgão],MATCH(tItens[[#This Row],[Edital]],tEditais[Edital],0)),"")</f>
        <v>MUNICIPIO DE BATAYPORA</v>
      </c>
      <c r="H4069" t="str">
        <f>IFERROR(INDEX(tEditais[UF],MATCH(tItens[[#This Row],[Edital]],tEditais[Edital],0)),"")</f>
        <v>MS</v>
      </c>
      <c r="I4069" s="11">
        <f>IFERROR(INDEX(tEditais[Encerramento],MATCH(tItens[[#This Row],[Edital]],tEditais[Edital],0)),"")</f>
        <v>46304.375</v>
      </c>
      <c r="J4069" t="str">
        <f>IFERROR(INDEX(tProdutos[Classe],MATCH(tItens[[#This Row],[Produto]],tProdutos[Produto],0)),"produto não cadastrado")</f>
        <v>FORA</v>
      </c>
      <c r="K4069" s="12">
        <f>tItens[[#This Row],[Qtd]]*tItens[[#This Row],[Vlr unit]]</f>
        <v>256</v>
      </c>
      <c r="L4069" s="6">
        <f>IFERROR(IF(INDEX(tProdutos[Desconto homologado],MATCH(tItens[[#This Row],[Produto]],tProdutos[Produto],0))="",DescontoPadrao,INDEX(tProdutos[Desconto homologado],MATCH(tItens[[#This Row],[Produto]],tProdutos[Produto],0))),DescontoPadrao)</f>
        <v>0.363567906332742</v>
      </c>
      <c r="M4069" s="12">
        <f>tItens[[#This Row],[Valor]]*(1-tItens[[#This Row],[Desconto]])</f>
        <v>162.92661597881806</v>
      </c>
      <c r="N4069" t="str">
        <f>IFERROR(INDEX(tProdutos[Foco],MATCH(tItens[[#This Row],[Produto]],tProdutos[Produto],0)),"Não")</f>
        <v>Não</v>
      </c>
      <c r="O4069" t="str">
        <f>IFERROR(INDEX(tEditais[SRP],MATCH(tItens[[#This Row],[Edital]],tEditais[Edital],0)),"Não")</f>
        <v>Não</v>
      </c>
      <c r="P4069" s="4">
        <f>IF(COUNTIFS(INDEX(tItens[Edital],1):tItens[[#This Row],[Edital]],tItens[[#This Row],[Edital]],INDEX(tItens[Produto],1):tItens[[#This Row],[Produto]],tItens[[#This Row],[Produto]])=1,1,0)</f>
        <v>1</v>
      </c>
    </row>
    <row r="4070" spans="1:16" x14ac:dyDescent="0.25">
      <c r="A4070" t="s">
        <v>1637</v>
      </c>
      <c r="B4070">
        <v>136</v>
      </c>
      <c r="C4070" t="s">
        <v>6929</v>
      </c>
      <c r="D4070" t="s">
        <v>184</v>
      </c>
      <c r="E4070" s="13">
        <v>100</v>
      </c>
      <c r="F4070" s="12">
        <v>2.39</v>
      </c>
      <c r="G4070" t="str">
        <f>IFERROR(INDEX(tEditais[Órgão],MATCH(tItens[[#This Row],[Edital]],tEditais[Edital],0)),"")</f>
        <v>MUNICIPIO DE BATAYPORA</v>
      </c>
      <c r="H4070" t="str">
        <f>IFERROR(INDEX(tEditais[UF],MATCH(tItens[[#This Row],[Edital]],tEditais[Edital],0)),"")</f>
        <v>MS</v>
      </c>
      <c r="I4070" s="11">
        <f>IFERROR(INDEX(tEditais[Encerramento],MATCH(tItens[[#This Row],[Edital]],tEditais[Edital],0)),"")</f>
        <v>46304.375</v>
      </c>
      <c r="J4070" t="str">
        <f>IFERROR(INDEX(tProdutos[Classe],MATCH(tItens[[#This Row],[Produto]],tProdutos[Produto],0)),"produto não cadastrado")</f>
        <v>FORA</v>
      </c>
      <c r="K4070" s="12">
        <f>tItens[[#This Row],[Qtd]]*tItens[[#This Row],[Vlr unit]]</f>
        <v>239</v>
      </c>
      <c r="L4070" s="6">
        <f>IFERROR(IF(INDEX(tProdutos[Desconto homologado],MATCH(tItens[[#This Row],[Produto]],tProdutos[Produto],0))="",DescontoPadrao,INDEX(tProdutos[Desconto homologado],MATCH(tItens[[#This Row],[Produto]],tProdutos[Produto],0))),DescontoPadrao)</f>
        <v>0.363567906332742</v>
      </c>
      <c r="M4070" s="12">
        <f>tItens[[#This Row],[Valor]]*(1-tItens[[#This Row],[Desconto]])</f>
        <v>152.10727038647468</v>
      </c>
      <c r="N4070" t="str">
        <f>IFERROR(INDEX(tProdutos[Foco],MATCH(tItens[[#This Row],[Produto]],tProdutos[Produto],0)),"Não")</f>
        <v>Não</v>
      </c>
      <c r="O4070" t="str">
        <f>IFERROR(INDEX(tEditais[SRP],MATCH(tItens[[#This Row],[Edital]],tEditais[Edital],0)),"Não")</f>
        <v>Não</v>
      </c>
      <c r="P4070" s="4">
        <f>IF(COUNTIFS(INDEX(tItens[Edital],1):tItens[[#This Row],[Edital]],tItens[[#This Row],[Edital]],INDEX(tItens[Produto],1):tItens[[#This Row],[Produto]],tItens[[#This Row],[Produto]])=1,1,0)</f>
        <v>0</v>
      </c>
    </row>
    <row r="4071" spans="1:16" x14ac:dyDescent="0.25">
      <c r="A4071" t="s">
        <v>1637</v>
      </c>
      <c r="B4071">
        <v>137</v>
      </c>
      <c r="C4071" t="s">
        <v>6930</v>
      </c>
      <c r="D4071" t="s">
        <v>184</v>
      </c>
      <c r="E4071" s="13">
        <v>200</v>
      </c>
      <c r="F4071" s="12">
        <v>2.61</v>
      </c>
      <c r="G4071" t="str">
        <f>IFERROR(INDEX(tEditais[Órgão],MATCH(tItens[[#This Row],[Edital]],tEditais[Edital],0)),"")</f>
        <v>MUNICIPIO DE BATAYPORA</v>
      </c>
      <c r="H4071" t="str">
        <f>IFERROR(INDEX(tEditais[UF],MATCH(tItens[[#This Row],[Edital]],tEditais[Edital],0)),"")</f>
        <v>MS</v>
      </c>
      <c r="I4071" s="11">
        <f>IFERROR(INDEX(tEditais[Encerramento],MATCH(tItens[[#This Row],[Edital]],tEditais[Edital],0)),"")</f>
        <v>46304.375</v>
      </c>
      <c r="J4071" t="str">
        <f>IFERROR(INDEX(tProdutos[Classe],MATCH(tItens[[#This Row],[Produto]],tProdutos[Produto],0)),"produto não cadastrado")</f>
        <v>FORA</v>
      </c>
      <c r="K4071" s="12">
        <f>tItens[[#This Row],[Qtd]]*tItens[[#This Row],[Vlr unit]]</f>
        <v>522</v>
      </c>
      <c r="L4071" s="6">
        <f>IFERROR(IF(INDEX(tProdutos[Desconto homologado],MATCH(tItens[[#This Row],[Produto]],tProdutos[Produto],0))="",DescontoPadrao,INDEX(tProdutos[Desconto homologado],MATCH(tItens[[#This Row],[Produto]],tProdutos[Produto],0))),DescontoPadrao)</f>
        <v>0.363567906332742</v>
      </c>
      <c r="M4071" s="12">
        <f>tItens[[#This Row],[Valor]]*(1-tItens[[#This Row],[Desconto]])</f>
        <v>332.21755289430871</v>
      </c>
      <c r="N4071" t="str">
        <f>IFERROR(INDEX(tProdutos[Foco],MATCH(tItens[[#This Row],[Produto]],tProdutos[Produto],0)),"Não")</f>
        <v>Não</v>
      </c>
      <c r="O4071" t="str">
        <f>IFERROR(INDEX(tEditais[SRP],MATCH(tItens[[#This Row],[Edital]],tEditais[Edital],0)),"Não")</f>
        <v>Não</v>
      </c>
      <c r="P4071" s="4">
        <f>IF(COUNTIFS(INDEX(tItens[Edital],1):tItens[[#This Row],[Edital]],tItens[[#This Row],[Edital]],INDEX(tItens[Produto],1):tItens[[#This Row],[Produto]],tItens[[#This Row],[Produto]])=1,1,0)</f>
        <v>0</v>
      </c>
    </row>
    <row r="4072" spans="1:16" x14ac:dyDescent="0.25">
      <c r="A4072" t="s">
        <v>1637</v>
      </c>
      <c r="B4072">
        <v>138</v>
      </c>
      <c r="C4072" t="s">
        <v>6931</v>
      </c>
      <c r="D4072" t="s">
        <v>184</v>
      </c>
      <c r="E4072" s="13">
        <v>200</v>
      </c>
      <c r="F4072" s="12">
        <v>2.7</v>
      </c>
      <c r="G4072" t="str">
        <f>IFERROR(INDEX(tEditais[Órgão],MATCH(tItens[[#This Row],[Edital]],tEditais[Edital],0)),"")</f>
        <v>MUNICIPIO DE BATAYPORA</v>
      </c>
      <c r="H4072" t="str">
        <f>IFERROR(INDEX(tEditais[UF],MATCH(tItens[[#This Row],[Edital]],tEditais[Edital],0)),"")</f>
        <v>MS</v>
      </c>
      <c r="I4072" s="11">
        <f>IFERROR(INDEX(tEditais[Encerramento],MATCH(tItens[[#This Row],[Edital]],tEditais[Edital],0)),"")</f>
        <v>46304.375</v>
      </c>
      <c r="J4072" t="str">
        <f>IFERROR(INDEX(tProdutos[Classe],MATCH(tItens[[#This Row],[Produto]],tProdutos[Produto],0)),"produto não cadastrado")</f>
        <v>FORA</v>
      </c>
      <c r="K4072" s="12">
        <f>tItens[[#This Row],[Qtd]]*tItens[[#This Row],[Vlr unit]]</f>
        <v>540</v>
      </c>
      <c r="L4072" s="6">
        <f>IFERROR(IF(INDEX(tProdutos[Desconto homologado],MATCH(tItens[[#This Row],[Produto]],tProdutos[Produto],0))="",DescontoPadrao,INDEX(tProdutos[Desconto homologado],MATCH(tItens[[#This Row],[Produto]],tProdutos[Produto],0))),DescontoPadrao)</f>
        <v>0.363567906332742</v>
      </c>
      <c r="M4072" s="12">
        <f>tItens[[#This Row],[Valor]]*(1-tItens[[#This Row],[Desconto]])</f>
        <v>343.67333058031937</v>
      </c>
      <c r="N4072" t="str">
        <f>IFERROR(INDEX(tProdutos[Foco],MATCH(tItens[[#This Row],[Produto]],tProdutos[Produto],0)),"Não")</f>
        <v>Não</v>
      </c>
      <c r="O4072" t="str">
        <f>IFERROR(INDEX(tEditais[SRP],MATCH(tItens[[#This Row],[Edital]],tEditais[Edital],0)),"Não")</f>
        <v>Não</v>
      </c>
      <c r="P4072" s="4">
        <f>IF(COUNTIFS(INDEX(tItens[Edital],1):tItens[[#This Row],[Edital]],tItens[[#This Row],[Edital]],INDEX(tItens[Produto],1):tItens[[#This Row],[Produto]],tItens[[#This Row],[Produto]])=1,1,0)</f>
        <v>0</v>
      </c>
    </row>
    <row r="4073" spans="1:16" x14ac:dyDescent="0.25">
      <c r="A4073" t="s">
        <v>1637</v>
      </c>
      <c r="B4073">
        <v>139</v>
      </c>
      <c r="C4073" t="s">
        <v>6932</v>
      </c>
      <c r="D4073" t="s">
        <v>184</v>
      </c>
      <c r="E4073" s="13">
        <v>100</v>
      </c>
      <c r="F4073" s="12">
        <v>2.62</v>
      </c>
      <c r="G4073" t="str">
        <f>IFERROR(INDEX(tEditais[Órgão],MATCH(tItens[[#This Row],[Edital]],tEditais[Edital],0)),"")</f>
        <v>MUNICIPIO DE BATAYPORA</v>
      </c>
      <c r="H4073" t="str">
        <f>IFERROR(INDEX(tEditais[UF],MATCH(tItens[[#This Row],[Edital]],tEditais[Edital],0)),"")</f>
        <v>MS</v>
      </c>
      <c r="I4073" s="11">
        <f>IFERROR(INDEX(tEditais[Encerramento],MATCH(tItens[[#This Row],[Edital]],tEditais[Edital],0)),"")</f>
        <v>46304.375</v>
      </c>
      <c r="J4073" t="str">
        <f>IFERROR(INDEX(tProdutos[Classe],MATCH(tItens[[#This Row],[Produto]],tProdutos[Produto],0)),"produto não cadastrado")</f>
        <v>FORA</v>
      </c>
      <c r="K4073" s="12">
        <f>tItens[[#This Row],[Qtd]]*tItens[[#This Row],[Vlr unit]]</f>
        <v>262</v>
      </c>
      <c r="L4073" s="6">
        <f>IFERROR(IF(INDEX(tProdutos[Desconto homologado],MATCH(tItens[[#This Row],[Produto]],tProdutos[Produto],0))="",DescontoPadrao,INDEX(tProdutos[Desconto homologado],MATCH(tItens[[#This Row],[Produto]],tProdutos[Produto],0))),DescontoPadrao)</f>
        <v>0.363567906332742</v>
      </c>
      <c r="M4073" s="12">
        <f>tItens[[#This Row],[Valor]]*(1-tItens[[#This Row],[Desconto]])</f>
        <v>166.74520854082161</v>
      </c>
      <c r="N4073" t="str">
        <f>IFERROR(INDEX(tProdutos[Foco],MATCH(tItens[[#This Row],[Produto]],tProdutos[Produto],0)),"Não")</f>
        <v>Não</v>
      </c>
      <c r="O4073" t="str">
        <f>IFERROR(INDEX(tEditais[SRP],MATCH(tItens[[#This Row],[Edital]],tEditais[Edital],0)),"Não")</f>
        <v>Não</v>
      </c>
      <c r="P4073" s="4">
        <f>IF(COUNTIFS(INDEX(tItens[Edital],1):tItens[[#This Row],[Edital]],tItens[[#This Row],[Edital]],INDEX(tItens[Produto],1):tItens[[#This Row],[Produto]],tItens[[#This Row],[Produto]])=1,1,0)</f>
        <v>0</v>
      </c>
    </row>
    <row r="4074" spans="1:16" x14ac:dyDescent="0.25">
      <c r="A4074" t="s">
        <v>1637</v>
      </c>
      <c r="B4074">
        <v>140</v>
      </c>
      <c r="C4074" t="s">
        <v>6933</v>
      </c>
      <c r="D4074" t="s">
        <v>184</v>
      </c>
      <c r="E4074" s="13">
        <v>100</v>
      </c>
      <c r="F4074" s="12">
        <v>3.5</v>
      </c>
      <c r="G4074" t="str">
        <f>IFERROR(INDEX(tEditais[Órgão],MATCH(tItens[[#This Row],[Edital]],tEditais[Edital],0)),"")</f>
        <v>MUNICIPIO DE BATAYPORA</v>
      </c>
      <c r="H4074" t="str">
        <f>IFERROR(INDEX(tEditais[UF],MATCH(tItens[[#This Row],[Edital]],tEditais[Edital],0)),"")</f>
        <v>MS</v>
      </c>
      <c r="I4074" s="11">
        <f>IFERROR(INDEX(tEditais[Encerramento],MATCH(tItens[[#This Row],[Edital]],tEditais[Edital],0)),"")</f>
        <v>46304.375</v>
      </c>
      <c r="J4074" t="str">
        <f>IFERROR(INDEX(tProdutos[Classe],MATCH(tItens[[#This Row],[Produto]],tProdutos[Produto],0)),"produto não cadastrado")</f>
        <v>FORA</v>
      </c>
      <c r="K4074" s="12">
        <f>tItens[[#This Row],[Qtd]]*tItens[[#This Row],[Vlr unit]]</f>
        <v>350</v>
      </c>
      <c r="L4074" s="6">
        <f>IFERROR(IF(INDEX(tProdutos[Desconto homologado],MATCH(tItens[[#This Row],[Produto]],tProdutos[Produto],0))="",DescontoPadrao,INDEX(tProdutos[Desconto homologado],MATCH(tItens[[#This Row],[Produto]],tProdutos[Produto],0))),DescontoPadrao)</f>
        <v>0.363567906332742</v>
      </c>
      <c r="M4074" s="12">
        <f>tItens[[#This Row],[Valor]]*(1-tItens[[#This Row],[Desconto]])</f>
        <v>222.75123278354033</v>
      </c>
      <c r="N4074" t="str">
        <f>IFERROR(INDEX(tProdutos[Foco],MATCH(tItens[[#This Row],[Produto]],tProdutos[Produto],0)),"Não")</f>
        <v>Não</v>
      </c>
      <c r="O4074" t="str">
        <f>IFERROR(INDEX(tEditais[SRP],MATCH(tItens[[#This Row],[Edital]],tEditais[Edital],0)),"Não")</f>
        <v>Não</v>
      </c>
      <c r="P4074" s="4">
        <f>IF(COUNTIFS(INDEX(tItens[Edital],1):tItens[[#This Row],[Edital]],tItens[[#This Row],[Edital]],INDEX(tItens[Produto],1):tItens[[#This Row],[Produto]],tItens[[#This Row],[Produto]])=1,1,0)</f>
        <v>0</v>
      </c>
    </row>
    <row r="4075" spans="1:16" x14ac:dyDescent="0.25">
      <c r="A4075" t="s">
        <v>1637</v>
      </c>
      <c r="B4075">
        <v>141</v>
      </c>
      <c r="C4075" t="s">
        <v>6934</v>
      </c>
      <c r="D4075" t="s">
        <v>110</v>
      </c>
      <c r="E4075" s="13">
        <v>100</v>
      </c>
      <c r="F4075" s="12">
        <v>0.94</v>
      </c>
      <c r="G4075" t="str">
        <f>IFERROR(INDEX(tEditais[Órgão],MATCH(tItens[[#This Row],[Edital]],tEditais[Edital],0)),"")</f>
        <v>MUNICIPIO DE BATAYPORA</v>
      </c>
      <c r="H4075" t="str">
        <f>IFERROR(INDEX(tEditais[UF],MATCH(tItens[[#This Row],[Edital]],tEditais[Edital],0)),"")</f>
        <v>MS</v>
      </c>
      <c r="I4075" s="11">
        <f>IFERROR(INDEX(tEditais[Encerramento],MATCH(tItens[[#This Row],[Edital]],tEditais[Edital],0)),"")</f>
        <v>46304.375</v>
      </c>
      <c r="J4075" t="str">
        <f>IFERROR(INDEX(tProdutos[Classe],MATCH(tItens[[#This Row],[Produto]],tProdutos[Produto],0)),"produto não cadastrado")</f>
        <v>NÚCLEO</v>
      </c>
      <c r="K4075" s="12">
        <f>tItens[[#This Row],[Qtd]]*tItens[[#This Row],[Vlr unit]]</f>
        <v>94</v>
      </c>
      <c r="L4075" s="6">
        <f>IFERROR(IF(INDEX(tProdutos[Desconto homologado],MATCH(tItens[[#This Row],[Produto]],tProdutos[Produto],0))="",DescontoPadrao,INDEX(tProdutos[Desconto homologado],MATCH(tItens[[#This Row],[Produto]],tProdutos[Produto],0))),DescontoPadrao)</f>
        <v>0.30410958904109597</v>
      </c>
      <c r="M4075" s="12">
        <f>tItens[[#This Row],[Valor]]*(1-tItens[[#This Row],[Desconto]])</f>
        <v>65.413698630136977</v>
      </c>
      <c r="N4075" t="str">
        <f>IFERROR(INDEX(tProdutos[Foco],MATCH(tItens[[#This Row],[Produto]],tProdutos[Produto],0)),"Não")</f>
        <v>Não</v>
      </c>
      <c r="O4075" t="str">
        <f>IFERROR(INDEX(tEditais[SRP],MATCH(tItens[[#This Row],[Edital]],tEditais[Edital],0)),"Não")</f>
        <v>Não</v>
      </c>
      <c r="P4075" s="4">
        <f>IF(COUNTIFS(INDEX(tItens[Edital],1):tItens[[#This Row],[Edital]],tItens[[#This Row],[Edital]],INDEX(tItens[Produto],1):tItens[[#This Row],[Produto]],tItens[[#This Row],[Produto]])=1,1,0)</f>
        <v>1</v>
      </c>
    </row>
    <row r="4076" spans="1:16" x14ac:dyDescent="0.25">
      <c r="A4076" t="s">
        <v>1637</v>
      </c>
      <c r="B4076">
        <v>142</v>
      </c>
      <c r="C4076" t="s">
        <v>6935</v>
      </c>
      <c r="D4076" t="s">
        <v>110</v>
      </c>
      <c r="E4076" s="13">
        <v>100</v>
      </c>
      <c r="F4076" s="12">
        <v>1.26</v>
      </c>
      <c r="G4076" t="str">
        <f>IFERROR(INDEX(tEditais[Órgão],MATCH(tItens[[#This Row],[Edital]],tEditais[Edital],0)),"")</f>
        <v>MUNICIPIO DE BATAYPORA</v>
      </c>
      <c r="H4076" t="str">
        <f>IFERROR(INDEX(tEditais[UF],MATCH(tItens[[#This Row],[Edital]],tEditais[Edital],0)),"")</f>
        <v>MS</v>
      </c>
      <c r="I4076" s="11">
        <f>IFERROR(INDEX(tEditais[Encerramento],MATCH(tItens[[#This Row],[Edital]],tEditais[Edital],0)),"")</f>
        <v>46304.375</v>
      </c>
      <c r="J4076" t="str">
        <f>IFERROR(INDEX(tProdutos[Classe],MATCH(tItens[[#This Row],[Produto]],tProdutos[Produto],0)),"produto não cadastrado")</f>
        <v>NÚCLEO</v>
      </c>
      <c r="K4076" s="12">
        <f>tItens[[#This Row],[Qtd]]*tItens[[#This Row],[Vlr unit]]</f>
        <v>126</v>
      </c>
      <c r="L4076" s="6">
        <f>IFERROR(IF(INDEX(tProdutos[Desconto homologado],MATCH(tItens[[#This Row],[Produto]],tProdutos[Produto],0))="",DescontoPadrao,INDEX(tProdutos[Desconto homologado],MATCH(tItens[[#This Row],[Produto]],tProdutos[Produto],0))),DescontoPadrao)</f>
        <v>0.30410958904109597</v>
      </c>
      <c r="M4076" s="12">
        <f>tItens[[#This Row],[Valor]]*(1-tItens[[#This Row],[Desconto]])</f>
        <v>87.68219178082191</v>
      </c>
      <c r="N4076" t="str">
        <f>IFERROR(INDEX(tProdutos[Foco],MATCH(tItens[[#This Row],[Produto]],tProdutos[Produto],0)),"Não")</f>
        <v>Não</v>
      </c>
      <c r="O4076" t="str">
        <f>IFERROR(INDEX(tEditais[SRP],MATCH(tItens[[#This Row],[Edital]],tEditais[Edital],0)),"Não")</f>
        <v>Não</v>
      </c>
      <c r="P4076" s="4">
        <f>IF(COUNTIFS(INDEX(tItens[Edital],1):tItens[[#This Row],[Edital]],tItens[[#This Row],[Edital]],INDEX(tItens[Produto],1):tItens[[#This Row],[Produto]],tItens[[#This Row],[Produto]])=1,1,0)</f>
        <v>0</v>
      </c>
    </row>
    <row r="4077" spans="1:16" x14ac:dyDescent="0.25">
      <c r="A4077" t="s">
        <v>1637</v>
      </c>
      <c r="B4077">
        <v>143</v>
      </c>
      <c r="C4077" t="s">
        <v>6936</v>
      </c>
      <c r="D4077" t="s">
        <v>110</v>
      </c>
      <c r="E4077" s="13">
        <v>100</v>
      </c>
      <c r="F4077" s="12">
        <v>1.06</v>
      </c>
      <c r="G4077" t="str">
        <f>IFERROR(INDEX(tEditais[Órgão],MATCH(tItens[[#This Row],[Edital]],tEditais[Edital],0)),"")</f>
        <v>MUNICIPIO DE BATAYPORA</v>
      </c>
      <c r="H4077" t="str">
        <f>IFERROR(INDEX(tEditais[UF],MATCH(tItens[[#This Row],[Edital]],tEditais[Edital],0)),"")</f>
        <v>MS</v>
      </c>
      <c r="I4077" s="11">
        <f>IFERROR(INDEX(tEditais[Encerramento],MATCH(tItens[[#This Row],[Edital]],tEditais[Edital],0)),"")</f>
        <v>46304.375</v>
      </c>
      <c r="J4077" t="str">
        <f>IFERROR(INDEX(tProdutos[Classe],MATCH(tItens[[#This Row],[Produto]],tProdutos[Produto],0)),"produto não cadastrado")</f>
        <v>NÚCLEO</v>
      </c>
      <c r="K4077" s="12">
        <f>tItens[[#This Row],[Qtd]]*tItens[[#This Row],[Vlr unit]]</f>
        <v>106</v>
      </c>
      <c r="L4077" s="6">
        <f>IFERROR(IF(INDEX(tProdutos[Desconto homologado],MATCH(tItens[[#This Row],[Produto]],tProdutos[Produto],0))="",DescontoPadrao,INDEX(tProdutos[Desconto homologado],MATCH(tItens[[#This Row],[Produto]],tProdutos[Produto],0))),DescontoPadrao)</f>
        <v>0.30410958904109597</v>
      </c>
      <c r="M4077" s="12">
        <f>tItens[[#This Row],[Valor]]*(1-tItens[[#This Row],[Desconto]])</f>
        <v>73.764383561643825</v>
      </c>
      <c r="N4077" t="str">
        <f>IFERROR(INDEX(tProdutos[Foco],MATCH(tItens[[#This Row],[Produto]],tProdutos[Produto],0)),"Não")</f>
        <v>Não</v>
      </c>
      <c r="O4077" t="str">
        <f>IFERROR(INDEX(tEditais[SRP],MATCH(tItens[[#This Row],[Edital]],tEditais[Edital],0)),"Não")</f>
        <v>Não</v>
      </c>
      <c r="P4077" s="4">
        <f>IF(COUNTIFS(INDEX(tItens[Edital],1):tItens[[#This Row],[Edital]],tItens[[#This Row],[Edital]],INDEX(tItens[Produto],1):tItens[[#This Row],[Produto]],tItens[[#This Row],[Produto]])=1,1,0)</f>
        <v>0</v>
      </c>
    </row>
    <row r="4078" spans="1:16" x14ac:dyDescent="0.25">
      <c r="A4078" t="s">
        <v>1637</v>
      </c>
      <c r="B4078">
        <v>144</v>
      </c>
      <c r="C4078" t="s">
        <v>6937</v>
      </c>
      <c r="D4078" t="s">
        <v>110</v>
      </c>
      <c r="E4078" s="13">
        <v>100</v>
      </c>
      <c r="F4078" s="12">
        <v>1.02</v>
      </c>
      <c r="G4078" t="str">
        <f>IFERROR(INDEX(tEditais[Órgão],MATCH(tItens[[#This Row],[Edital]],tEditais[Edital],0)),"")</f>
        <v>MUNICIPIO DE BATAYPORA</v>
      </c>
      <c r="H4078" t="str">
        <f>IFERROR(INDEX(tEditais[UF],MATCH(tItens[[#This Row],[Edital]],tEditais[Edital],0)),"")</f>
        <v>MS</v>
      </c>
      <c r="I4078" s="11">
        <f>IFERROR(INDEX(tEditais[Encerramento],MATCH(tItens[[#This Row],[Edital]],tEditais[Edital],0)),"")</f>
        <v>46304.375</v>
      </c>
      <c r="J4078" t="str">
        <f>IFERROR(INDEX(tProdutos[Classe],MATCH(tItens[[#This Row],[Produto]],tProdutos[Produto],0)),"produto não cadastrado")</f>
        <v>NÚCLEO</v>
      </c>
      <c r="K4078" s="12">
        <f>tItens[[#This Row],[Qtd]]*tItens[[#This Row],[Vlr unit]]</f>
        <v>102</v>
      </c>
      <c r="L4078" s="6">
        <f>IFERROR(IF(INDEX(tProdutos[Desconto homologado],MATCH(tItens[[#This Row],[Produto]],tProdutos[Produto],0))="",DescontoPadrao,INDEX(tProdutos[Desconto homologado],MATCH(tItens[[#This Row],[Produto]],tProdutos[Produto],0))),DescontoPadrao)</f>
        <v>0.30410958904109597</v>
      </c>
      <c r="M4078" s="12">
        <f>tItens[[#This Row],[Valor]]*(1-tItens[[#This Row],[Desconto]])</f>
        <v>70.980821917808214</v>
      </c>
      <c r="N4078" t="str">
        <f>IFERROR(INDEX(tProdutos[Foco],MATCH(tItens[[#This Row],[Produto]],tProdutos[Produto],0)),"Não")</f>
        <v>Não</v>
      </c>
      <c r="O4078" t="str">
        <f>IFERROR(INDEX(tEditais[SRP],MATCH(tItens[[#This Row],[Edital]],tEditais[Edital],0)),"Não")</f>
        <v>Não</v>
      </c>
      <c r="P4078" s="4">
        <f>IF(COUNTIFS(INDEX(tItens[Edital],1):tItens[[#This Row],[Edital]],tItens[[#This Row],[Edital]],INDEX(tItens[Produto],1):tItens[[#This Row],[Produto]],tItens[[#This Row],[Produto]])=1,1,0)</f>
        <v>0</v>
      </c>
    </row>
    <row r="4079" spans="1:16" x14ac:dyDescent="0.25">
      <c r="A4079" t="s">
        <v>1637</v>
      </c>
      <c r="B4079">
        <v>145</v>
      </c>
      <c r="C4079" t="s">
        <v>6938</v>
      </c>
      <c r="D4079" t="s">
        <v>110</v>
      </c>
      <c r="E4079" s="13">
        <v>100</v>
      </c>
      <c r="F4079" s="12">
        <v>1.1399999999999999</v>
      </c>
      <c r="G4079" t="str">
        <f>IFERROR(INDEX(tEditais[Órgão],MATCH(tItens[[#This Row],[Edital]],tEditais[Edital],0)),"")</f>
        <v>MUNICIPIO DE BATAYPORA</v>
      </c>
      <c r="H4079" t="str">
        <f>IFERROR(INDEX(tEditais[UF],MATCH(tItens[[#This Row],[Edital]],tEditais[Edital],0)),"")</f>
        <v>MS</v>
      </c>
      <c r="I4079" s="11">
        <f>IFERROR(INDEX(tEditais[Encerramento],MATCH(tItens[[#This Row],[Edital]],tEditais[Edital],0)),"")</f>
        <v>46304.375</v>
      </c>
      <c r="J4079" t="str">
        <f>IFERROR(INDEX(tProdutos[Classe],MATCH(tItens[[#This Row],[Produto]],tProdutos[Produto],0)),"produto não cadastrado")</f>
        <v>NÚCLEO</v>
      </c>
      <c r="K4079" s="12">
        <f>tItens[[#This Row],[Qtd]]*tItens[[#This Row],[Vlr unit]]</f>
        <v>113.99999999999999</v>
      </c>
      <c r="L4079" s="6">
        <f>IFERROR(IF(INDEX(tProdutos[Desconto homologado],MATCH(tItens[[#This Row],[Produto]],tProdutos[Produto],0))="",DescontoPadrao,INDEX(tProdutos[Desconto homologado],MATCH(tItens[[#This Row],[Produto]],tProdutos[Produto],0))),DescontoPadrao)</f>
        <v>0.30410958904109597</v>
      </c>
      <c r="M4079" s="12">
        <f>tItens[[#This Row],[Valor]]*(1-tItens[[#This Row],[Desconto]])</f>
        <v>79.331506849315048</v>
      </c>
      <c r="N4079" t="str">
        <f>IFERROR(INDEX(tProdutos[Foco],MATCH(tItens[[#This Row],[Produto]],tProdutos[Produto],0)),"Não")</f>
        <v>Não</v>
      </c>
      <c r="O4079" t="str">
        <f>IFERROR(INDEX(tEditais[SRP],MATCH(tItens[[#This Row],[Edital]],tEditais[Edital],0)),"Não")</f>
        <v>Não</v>
      </c>
      <c r="P4079" s="4">
        <f>IF(COUNTIFS(INDEX(tItens[Edital],1):tItens[[#This Row],[Edital]],tItens[[#This Row],[Edital]],INDEX(tItens[Produto],1):tItens[[#This Row],[Produto]],tItens[[#This Row],[Produto]])=1,1,0)</f>
        <v>0</v>
      </c>
    </row>
    <row r="4080" spans="1:16" x14ac:dyDescent="0.25">
      <c r="A4080" t="s">
        <v>1637</v>
      </c>
      <c r="B4080">
        <v>146</v>
      </c>
      <c r="C4080" t="s">
        <v>6939</v>
      </c>
      <c r="D4080" t="s">
        <v>110</v>
      </c>
      <c r="E4080" s="13">
        <v>100</v>
      </c>
      <c r="F4080" s="12">
        <v>1.24</v>
      </c>
      <c r="G4080" t="str">
        <f>IFERROR(INDEX(tEditais[Órgão],MATCH(tItens[[#This Row],[Edital]],tEditais[Edital],0)),"")</f>
        <v>MUNICIPIO DE BATAYPORA</v>
      </c>
      <c r="H4080" t="str">
        <f>IFERROR(INDEX(tEditais[UF],MATCH(tItens[[#This Row],[Edital]],tEditais[Edital],0)),"")</f>
        <v>MS</v>
      </c>
      <c r="I4080" s="11">
        <f>IFERROR(INDEX(tEditais[Encerramento],MATCH(tItens[[#This Row],[Edital]],tEditais[Edital],0)),"")</f>
        <v>46304.375</v>
      </c>
      <c r="J4080" t="str">
        <f>IFERROR(INDEX(tProdutos[Classe],MATCH(tItens[[#This Row],[Produto]],tProdutos[Produto],0)),"produto não cadastrado")</f>
        <v>NÚCLEO</v>
      </c>
      <c r="K4080" s="12">
        <f>tItens[[#This Row],[Qtd]]*tItens[[#This Row],[Vlr unit]]</f>
        <v>124</v>
      </c>
      <c r="L4080" s="6">
        <f>IFERROR(IF(INDEX(tProdutos[Desconto homologado],MATCH(tItens[[#This Row],[Produto]],tProdutos[Produto],0))="",DescontoPadrao,INDEX(tProdutos[Desconto homologado],MATCH(tItens[[#This Row],[Produto]],tProdutos[Produto],0))),DescontoPadrao)</f>
        <v>0.30410958904109597</v>
      </c>
      <c r="M4080" s="12">
        <f>tItens[[#This Row],[Valor]]*(1-tItens[[#This Row],[Desconto]])</f>
        <v>86.290410958904104</v>
      </c>
      <c r="N4080" t="str">
        <f>IFERROR(INDEX(tProdutos[Foco],MATCH(tItens[[#This Row],[Produto]],tProdutos[Produto],0)),"Não")</f>
        <v>Não</v>
      </c>
      <c r="O4080" t="str">
        <f>IFERROR(INDEX(tEditais[SRP],MATCH(tItens[[#This Row],[Edital]],tEditais[Edital],0)),"Não")</f>
        <v>Não</v>
      </c>
      <c r="P4080" s="4">
        <f>IF(COUNTIFS(INDEX(tItens[Edital],1):tItens[[#This Row],[Edital]],tItens[[#This Row],[Edital]],INDEX(tItens[Produto],1):tItens[[#This Row],[Produto]],tItens[[#This Row],[Produto]])=1,1,0)</f>
        <v>0</v>
      </c>
    </row>
    <row r="4081" spans="1:16" x14ac:dyDescent="0.25">
      <c r="A4081" t="s">
        <v>1637</v>
      </c>
      <c r="B4081">
        <v>147</v>
      </c>
      <c r="C4081" t="s">
        <v>6940</v>
      </c>
      <c r="D4081" t="s">
        <v>110</v>
      </c>
      <c r="E4081" s="13">
        <v>100</v>
      </c>
      <c r="F4081" s="12">
        <v>1.61</v>
      </c>
      <c r="G4081" t="str">
        <f>IFERROR(INDEX(tEditais[Órgão],MATCH(tItens[[#This Row],[Edital]],tEditais[Edital],0)),"")</f>
        <v>MUNICIPIO DE BATAYPORA</v>
      </c>
      <c r="H4081" t="str">
        <f>IFERROR(INDEX(tEditais[UF],MATCH(tItens[[#This Row],[Edital]],tEditais[Edital],0)),"")</f>
        <v>MS</v>
      </c>
      <c r="I4081" s="11">
        <f>IFERROR(INDEX(tEditais[Encerramento],MATCH(tItens[[#This Row],[Edital]],tEditais[Edital],0)),"")</f>
        <v>46304.375</v>
      </c>
      <c r="J4081" t="str">
        <f>IFERROR(INDEX(tProdutos[Classe],MATCH(tItens[[#This Row],[Produto]],tProdutos[Produto],0)),"produto não cadastrado")</f>
        <v>NÚCLEO</v>
      </c>
      <c r="K4081" s="12">
        <f>tItens[[#This Row],[Qtd]]*tItens[[#This Row],[Vlr unit]]</f>
        <v>161</v>
      </c>
      <c r="L4081" s="6">
        <f>IFERROR(IF(INDEX(tProdutos[Desconto homologado],MATCH(tItens[[#This Row],[Produto]],tProdutos[Produto],0))="",DescontoPadrao,INDEX(tProdutos[Desconto homologado],MATCH(tItens[[#This Row],[Produto]],tProdutos[Produto],0))),DescontoPadrao)</f>
        <v>0.30410958904109597</v>
      </c>
      <c r="M4081" s="12">
        <f>tItens[[#This Row],[Valor]]*(1-tItens[[#This Row],[Desconto]])</f>
        <v>112.03835616438354</v>
      </c>
      <c r="N4081" t="str">
        <f>IFERROR(INDEX(tProdutos[Foco],MATCH(tItens[[#This Row],[Produto]],tProdutos[Produto],0)),"Não")</f>
        <v>Não</v>
      </c>
      <c r="O4081" t="str">
        <f>IFERROR(INDEX(tEditais[SRP],MATCH(tItens[[#This Row],[Edital]],tEditais[Edital],0)),"Não")</f>
        <v>Não</v>
      </c>
      <c r="P4081" s="4">
        <f>IF(COUNTIFS(INDEX(tItens[Edital],1):tItens[[#This Row],[Edital]],tItens[[#This Row],[Edital]],INDEX(tItens[Produto],1):tItens[[#This Row],[Produto]],tItens[[#This Row],[Produto]])=1,1,0)</f>
        <v>0</v>
      </c>
    </row>
    <row r="4082" spans="1:16" x14ac:dyDescent="0.25">
      <c r="A4082" t="s">
        <v>1637</v>
      </c>
      <c r="B4082">
        <v>148</v>
      </c>
      <c r="C4082" t="s">
        <v>6941</v>
      </c>
      <c r="D4082" t="s">
        <v>110</v>
      </c>
      <c r="E4082" s="13">
        <v>110</v>
      </c>
      <c r="F4082" s="12">
        <v>1.5</v>
      </c>
      <c r="G4082" t="str">
        <f>IFERROR(INDEX(tEditais[Órgão],MATCH(tItens[[#This Row],[Edital]],tEditais[Edital],0)),"")</f>
        <v>MUNICIPIO DE BATAYPORA</v>
      </c>
      <c r="H4082" t="str">
        <f>IFERROR(INDEX(tEditais[UF],MATCH(tItens[[#This Row],[Edital]],tEditais[Edital],0)),"")</f>
        <v>MS</v>
      </c>
      <c r="I4082" s="11">
        <f>IFERROR(INDEX(tEditais[Encerramento],MATCH(tItens[[#This Row],[Edital]],tEditais[Edital],0)),"")</f>
        <v>46304.375</v>
      </c>
      <c r="J4082" t="str">
        <f>IFERROR(INDEX(tProdutos[Classe],MATCH(tItens[[#This Row],[Produto]],tProdutos[Produto],0)),"produto não cadastrado")</f>
        <v>NÚCLEO</v>
      </c>
      <c r="K4082" s="12">
        <f>tItens[[#This Row],[Qtd]]*tItens[[#This Row],[Vlr unit]]</f>
        <v>165</v>
      </c>
      <c r="L4082" s="6">
        <f>IFERROR(IF(INDEX(tProdutos[Desconto homologado],MATCH(tItens[[#This Row],[Produto]],tProdutos[Produto],0))="",DescontoPadrao,INDEX(tProdutos[Desconto homologado],MATCH(tItens[[#This Row],[Produto]],tProdutos[Produto],0))),DescontoPadrao)</f>
        <v>0.30410958904109597</v>
      </c>
      <c r="M4082" s="12">
        <f>tItens[[#This Row],[Valor]]*(1-tItens[[#This Row],[Desconto]])</f>
        <v>114.82191780821917</v>
      </c>
      <c r="N4082" t="str">
        <f>IFERROR(INDEX(tProdutos[Foco],MATCH(tItens[[#This Row],[Produto]],tProdutos[Produto],0)),"Não")</f>
        <v>Não</v>
      </c>
      <c r="O4082" t="str">
        <f>IFERROR(INDEX(tEditais[SRP],MATCH(tItens[[#This Row],[Edital]],tEditais[Edital],0)),"Não")</f>
        <v>Não</v>
      </c>
      <c r="P4082" s="4">
        <f>IF(COUNTIFS(INDEX(tItens[Edital],1):tItens[[#This Row],[Edital]],tItens[[#This Row],[Edital]],INDEX(tItens[Produto],1):tItens[[#This Row],[Produto]],tItens[[#This Row],[Produto]])=1,1,0)</f>
        <v>0</v>
      </c>
    </row>
    <row r="4083" spans="1:16" x14ac:dyDescent="0.25">
      <c r="A4083" t="s">
        <v>1637</v>
      </c>
      <c r="B4083">
        <v>149</v>
      </c>
      <c r="C4083" t="s">
        <v>6942</v>
      </c>
      <c r="D4083" t="s">
        <v>110</v>
      </c>
      <c r="E4083" s="13">
        <v>110</v>
      </c>
      <c r="F4083" s="12">
        <v>1.78</v>
      </c>
      <c r="G4083" t="str">
        <f>IFERROR(INDEX(tEditais[Órgão],MATCH(tItens[[#This Row],[Edital]],tEditais[Edital],0)),"")</f>
        <v>MUNICIPIO DE BATAYPORA</v>
      </c>
      <c r="H4083" t="str">
        <f>IFERROR(INDEX(tEditais[UF],MATCH(tItens[[#This Row],[Edital]],tEditais[Edital],0)),"")</f>
        <v>MS</v>
      </c>
      <c r="I4083" s="11">
        <f>IFERROR(INDEX(tEditais[Encerramento],MATCH(tItens[[#This Row],[Edital]],tEditais[Edital],0)),"")</f>
        <v>46304.375</v>
      </c>
      <c r="J4083" t="str">
        <f>IFERROR(INDEX(tProdutos[Classe],MATCH(tItens[[#This Row],[Produto]],tProdutos[Produto],0)),"produto não cadastrado")</f>
        <v>NÚCLEO</v>
      </c>
      <c r="K4083" s="12">
        <f>tItens[[#This Row],[Qtd]]*tItens[[#This Row],[Vlr unit]]</f>
        <v>195.8</v>
      </c>
      <c r="L4083" s="6">
        <f>IFERROR(IF(INDEX(tProdutos[Desconto homologado],MATCH(tItens[[#This Row],[Produto]],tProdutos[Produto],0))="",DescontoPadrao,INDEX(tProdutos[Desconto homologado],MATCH(tItens[[#This Row],[Produto]],tProdutos[Produto],0))),DescontoPadrao)</f>
        <v>0.30410958904109597</v>
      </c>
      <c r="M4083" s="12">
        <f>tItens[[#This Row],[Valor]]*(1-tItens[[#This Row],[Desconto]])</f>
        <v>136.25534246575342</v>
      </c>
      <c r="N4083" t="str">
        <f>IFERROR(INDEX(tProdutos[Foco],MATCH(tItens[[#This Row],[Produto]],tProdutos[Produto],0)),"Não")</f>
        <v>Não</v>
      </c>
      <c r="O4083" t="str">
        <f>IFERROR(INDEX(tEditais[SRP],MATCH(tItens[[#This Row],[Edital]],tEditais[Edital],0)),"Não")</f>
        <v>Não</v>
      </c>
      <c r="P4083" s="4">
        <f>IF(COUNTIFS(INDEX(tItens[Edital],1):tItens[[#This Row],[Edital]],tItens[[#This Row],[Edital]],INDEX(tItens[Produto],1):tItens[[#This Row],[Produto]],tItens[[#This Row],[Produto]])=1,1,0)</f>
        <v>0</v>
      </c>
    </row>
    <row r="4084" spans="1:16" x14ac:dyDescent="0.25">
      <c r="A4084" t="s">
        <v>1637</v>
      </c>
      <c r="B4084">
        <v>150</v>
      </c>
      <c r="C4084" t="s">
        <v>6943</v>
      </c>
      <c r="D4084" t="s">
        <v>110</v>
      </c>
      <c r="E4084" s="13">
        <v>110</v>
      </c>
      <c r="F4084" s="12">
        <v>2.52</v>
      </c>
      <c r="G4084" t="str">
        <f>IFERROR(INDEX(tEditais[Órgão],MATCH(tItens[[#This Row],[Edital]],tEditais[Edital],0)),"")</f>
        <v>MUNICIPIO DE BATAYPORA</v>
      </c>
      <c r="H4084" t="str">
        <f>IFERROR(INDEX(tEditais[UF],MATCH(tItens[[#This Row],[Edital]],tEditais[Edital],0)),"")</f>
        <v>MS</v>
      </c>
      <c r="I4084" s="11">
        <f>IFERROR(INDEX(tEditais[Encerramento],MATCH(tItens[[#This Row],[Edital]],tEditais[Edital],0)),"")</f>
        <v>46304.375</v>
      </c>
      <c r="J4084" t="str">
        <f>IFERROR(INDEX(tProdutos[Classe],MATCH(tItens[[#This Row],[Produto]],tProdutos[Produto],0)),"produto não cadastrado")</f>
        <v>NÚCLEO</v>
      </c>
      <c r="K4084" s="12">
        <f>tItens[[#This Row],[Qtd]]*tItens[[#This Row],[Vlr unit]]</f>
        <v>277.2</v>
      </c>
      <c r="L4084" s="6">
        <f>IFERROR(IF(INDEX(tProdutos[Desconto homologado],MATCH(tItens[[#This Row],[Produto]],tProdutos[Produto],0))="",DescontoPadrao,INDEX(tProdutos[Desconto homologado],MATCH(tItens[[#This Row],[Produto]],tProdutos[Produto],0))),DescontoPadrao)</f>
        <v>0.30410958904109597</v>
      </c>
      <c r="M4084" s="12">
        <f>tItens[[#This Row],[Valor]]*(1-tItens[[#This Row],[Desconto]])</f>
        <v>192.9008219178082</v>
      </c>
      <c r="N4084" t="str">
        <f>IFERROR(INDEX(tProdutos[Foco],MATCH(tItens[[#This Row],[Produto]],tProdutos[Produto],0)),"Não")</f>
        <v>Não</v>
      </c>
      <c r="O4084" t="str">
        <f>IFERROR(INDEX(tEditais[SRP],MATCH(tItens[[#This Row],[Edital]],tEditais[Edital],0)),"Não")</f>
        <v>Não</v>
      </c>
      <c r="P4084" s="4">
        <f>IF(COUNTIFS(INDEX(tItens[Edital],1):tItens[[#This Row],[Edital]],tItens[[#This Row],[Edital]],INDEX(tItens[Produto],1):tItens[[#This Row],[Produto]],tItens[[#This Row],[Produto]])=1,1,0)</f>
        <v>0</v>
      </c>
    </row>
    <row r="4085" spans="1:16" x14ac:dyDescent="0.25">
      <c r="A4085" t="s">
        <v>1637</v>
      </c>
      <c r="B4085">
        <v>157</v>
      </c>
      <c r="C4085" t="s">
        <v>6944</v>
      </c>
      <c r="D4085" t="s">
        <v>120</v>
      </c>
      <c r="E4085" s="13">
        <v>1000</v>
      </c>
      <c r="F4085" s="12">
        <v>0.54</v>
      </c>
      <c r="G4085" t="str">
        <f>IFERROR(INDEX(tEditais[Órgão],MATCH(tItens[[#This Row],[Edital]],tEditais[Edital],0)),"")</f>
        <v>MUNICIPIO DE BATAYPORA</v>
      </c>
      <c r="H4085" t="str">
        <f>IFERROR(INDEX(tEditais[UF],MATCH(tItens[[#This Row],[Edital]],tEditais[Edital],0)),"")</f>
        <v>MS</v>
      </c>
      <c r="I4085" s="11">
        <f>IFERROR(INDEX(tEditais[Encerramento],MATCH(tItens[[#This Row],[Edital]],tEditais[Edital],0)),"")</f>
        <v>46304.375</v>
      </c>
      <c r="J4085" t="str">
        <f>IFERROR(INDEX(tProdutos[Classe],MATCH(tItens[[#This Row],[Produto]],tProdutos[Produto],0)),"produto não cadastrado")</f>
        <v>DISPUTADO</v>
      </c>
      <c r="K4085" s="12">
        <f>tItens[[#This Row],[Qtd]]*tItens[[#This Row],[Vlr unit]]</f>
        <v>540</v>
      </c>
      <c r="L4085" s="6">
        <f>IFERROR(IF(INDEX(tProdutos[Desconto homologado],MATCH(tItens[[#This Row],[Produto]],tProdutos[Produto],0))="",DescontoPadrao,INDEX(tProdutos[Desconto homologado],MATCH(tItens[[#This Row],[Produto]],tProdutos[Produto],0))),DescontoPadrao)</f>
        <v>0.40909090909090901</v>
      </c>
      <c r="M4085" s="12">
        <f>tItens[[#This Row],[Valor]]*(1-tItens[[#This Row],[Desconto]])</f>
        <v>319.09090909090918</v>
      </c>
      <c r="N4085" t="str">
        <f>IFERROR(INDEX(tProdutos[Foco],MATCH(tItens[[#This Row],[Produto]],tProdutos[Produto],0)),"Não")</f>
        <v>Não</v>
      </c>
      <c r="O4085" t="str">
        <f>IFERROR(INDEX(tEditais[SRP],MATCH(tItens[[#This Row],[Edital]],tEditais[Edital],0)),"Não")</f>
        <v>Não</v>
      </c>
      <c r="P4085" s="4">
        <f>IF(COUNTIFS(INDEX(tItens[Edital],1):tItens[[#This Row],[Edital]],tItens[[#This Row],[Edital]],INDEX(tItens[Produto],1):tItens[[#This Row],[Produto]],tItens[[#This Row],[Produto]])=1,1,0)</f>
        <v>1</v>
      </c>
    </row>
    <row r="4086" spans="1:16" x14ac:dyDescent="0.25">
      <c r="A4086" t="s">
        <v>1637</v>
      </c>
      <c r="B4086">
        <v>158</v>
      </c>
      <c r="C4086" t="s">
        <v>6945</v>
      </c>
      <c r="D4086" t="s">
        <v>120</v>
      </c>
      <c r="E4086" s="13">
        <v>4000</v>
      </c>
      <c r="F4086" s="12">
        <v>0.54</v>
      </c>
      <c r="G4086" t="str">
        <f>IFERROR(INDEX(tEditais[Órgão],MATCH(tItens[[#This Row],[Edital]],tEditais[Edital],0)),"")</f>
        <v>MUNICIPIO DE BATAYPORA</v>
      </c>
      <c r="H4086" t="str">
        <f>IFERROR(INDEX(tEditais[UF],MATCH(tItens[[#This Row],[Edital]],tEditais[Edital],0)),"")</f>
        <v>MS</v>
      </c>
      <c r="I4086" s="11">
        <f>IFERROR(INDEX(tEditais[Encerramento],MATCH(tItens[[#This Row],[Edital]],tEditais[Edital],0)),"")</f>
        <v>46304.375</v>
      </c>
      <c r="J4086" t="str">
        <f>IFERROR(INDEX(tProdutos[Classe],MATCH(tItens[[#This Row],[Produto]],tProdutos[Produto],0)),"produto não cadastrado")</f>
        <v>DISPUTADO</v>
      </c>
      <c r="K4086" s="12">
        <f>tItens[[#This Row],[Qtd]]*tItens[[#This Row],[Vlr unit]]</f>
        <v>2160</v>
      </c>
      <c r="L4086" s="6">
        <f>IFERROR(IF(INDEX(tProdutos[Desconto homologado],MATCH(tItens[[#This Row],[Produto]],tProdutos[Produto],0))="",DescontoPadrao,INDEX(tProdutos[Desconto homologado],MATCH(tItens[[#This Row],[Produto]],tProdutos[Produto],0))),DescontoPadrao)</f>
        <v>0.40909090909090901</v>
      </c>
      <c r="M4086" s="12">
        <f>tItens[[#This Row],[Valor]]*(1-tItens[[#This Row],[Desconto]])</f>
        <v>1276.3636363636367</v>
      </c>
      <c r="N4086" t="str">
        <f>IFERROR(INDEX(tProdutos[Foco],MATCH(tItens[[#This Row],[Produto]],tProdutos[Produto],0)),"Não")</f>
        <v>Não</v>
      </c>
      <c r="O4086" t="str">
        <f>IFERROR(INDEX(tEditais[SRP],MATCH(tItens[[#This Row],[Edital]],tEditais[Edital],0)),"Não")</f>
        <v>Não</v>
      </c>
      <c r="P4086" s="4">
        <f>IF(COUNTIFS(INDEX(tItens[Edital],1):tItens[[#This Row],[Edital]],tItens[[#This Row],[Edital]],INDEX(tItens[Produto],1):tItens[[#This Row],[Produto]],tItens[[#This Row],[Produto]])=1,1,0)</f>
        <v>0</v>
      </c>
    </row>
    <row r="4087" spans="1:16" x14ac:dyDescent="0.25">
      <c r="A4087" t="s">
        <v>1637</v>
      </c>
      <c r="B4087">
        <v>159</v>
      </c>
      <c r="C4087" t="s">
        <v>6946</v>
      </c>
      <c r="D4087" t="s">
        <v>120</v>
      </c>
      <c r="E4087" s="13">
        <v>1000</v>
      </c>
      <c r="F4087" s="12">
        <v>0.51</v>
      </c>
      <c r="G4087" t="str">
        <f>IFERROR(INDEX(tEditais[Órgão],MATCH(tItens[[#This Row],[Edital]],tEditais[Edital],0)),"")</f>
        <v>MUNICIPIO DE BATAYPORA</v>
      </c>
      <c r="H4087" t="str">
        <f>IFERROR(INDEX(tEditais[UF],MATCH(tItens[[#This Row],[Edital]],tEditais[Edital],0)),"")</f>
        <v>MS</v>
      </c>
      <c r="I4087" s="11">
        <f>IFERROR(INDEX(tEditais[Encerramento],MATCH(tItens[[#This Row],[Edital]],tEditais[Edital],0)),"")</f>
        <v>46304.375</v>
      </c>
      <c r="J4087" t="str">
        <f>IFERROR(INDEX(tProdutos[Classe],MATCH(tItens[[#This Row],[Produto]],tProdutos[Produto],0)),"produto não cadastrado")</f>
        <v>DISPUTADO</v>
      </c>
      <c r="K4087" s="12">
        <f>tItens[[#This Row],[Qtd]]*tItens[[#This Row],[Vlr unit]]</f>
        <v>510</v>
      </c>
      <c r="L4087" s="6">
        <f>IFERROR(IF(INDEX(tProdutos[Desconto homologado],MATCH(tItens[[#This Row],[Produto]],tProdutos[Produto],0))="",DescontoPadrao,INDEX(tProdutos[Desconto homologado],MATCH(tItens[[#This Row],[Produto]],tProdutos[Produto],0))),DescontoPadrao)</f>
        <v>0.40909090909090901</v>
      </c>
      <c r="M4087" s="12">
        <f>tItens[[#This Row],[Valor]]*(1-tItens[[#This Row],[Desconto]])</f>
        <v>301.36363636363643</v>
      </c>
      <c r="N4087" t="str">
        <f>IFERROR(INDEX(tProdutos[Foco],MATCH(tItens[[#This Row],[Produto]],tProdutos[Produto],0)),"Não")</f>
        <v>Não</v>
      </c>
      <c r="O4087" t="str">
        <f>IFERROR(INDEX(tEditais[SRP],MATCH(tItens[[#This Row],[Edital]],tEditais[Edital],0)),"Não")</f>
        <v>Não</v>
      </c>
      <c r="P4087" s="4">
        <f>IF(COUNTIFS(INDEX(tItens[Edital],1):tItens[[#This Row],[Edital]],tItens[[#This Row],[Edital]],INDEX(tItens[Produto],1):tItens[[#This Row],[Produto]],tItens[[#This Row],[Produto]])=1,1,0)</f>
        <v>0</v>
      </c>
    </row>
    <row r="4088" spans="1:16" x14ac:dyDescent="0.25">
      <c r="A4088" t="s">
        <v>1637</v>
      </c>
      <c r="B4088">
        <v>160</v>
      </c>
      <c r="C4088" t="s">
        <v>6947</v>
      </c>
      <c r="D4088" t="s">
        <v>120</v>
      </c>
      <c r="E4088" s="13">
        <v>500</v>
      </c>
      <c r="F4088" s="12">
        <v>1.1100000000000001</v>
      </c>
      <c r="G4088" t="str">
        <f>IFERROR(INDEX(tEditais[Órgão],MATCH(tItens[[#This Row],[Edital]],tEditais[Edital],0)),"")</f>
        <v>MUNICIPIO DE BATAYPORA</v>
      </c>
      <c r="H4088" t="str">
        <f>IFERROR(INDEX(tEditais[UF],MATCH(tItens[[#This Row],[Edital]],tEditais[Edital],0)),"")</f>
        <v>MS</v>
      </c>
      <c r="I4088" s="11">
        <f>IFERROR(INDEX(tEditais[Encerramento],MATCH(tItens[[#This Row],[Edital]],tEditais[Edital],0)),"")</f>
        <v>46304.375</v>
      </c>
      <c r="J4088" t="str">
        <f>IFERROR(INDEX(tProdutos[Classe],MATCH(tItens[[#This Row],[Produto]],tProdutos[Produto],0)),"produto não cadastrado")</f>
        <v>DISPUTADO</v>
      </c>
      <c r="K4088" s="12">
        <f>tItens[[#This Row],[Qtd]]*tItens[[#This Row],[Vlr unit]]</f>
        <v>555</v>
      </c>
      <c r="L4088" s="6">
        <f>IFERROR(IF(INDEX(tProdutos[Desconto homologado],MATCH(tItens[[#This Row],[Produto]],tProdutos[Produto],0))="",DescontoPadrao,INDEX(tProdutos[Desconto homologado],MATCH(tItens[[#This Row],[Produto]],tProdutos[Produto],0))),DescontoPadrao)</f>
        <v>0.40909090909090901</v>
      </c>
      <c r="M4088" s="12">
        <f>tItens[[#This Row],[Valor]]*(1-tItens[[#This Row],[Desconto]])</f>
        <v>327.95454545454555</v>
      </c>
      <c r="N4088" t="str">
        <f>IFERROR(INDEX(tProdutos[Foco],MATCH(tItens[[#This Row],[Produto]],tProdutos[Produto],0)),"Não")</f>
        <v>Não</v>
      </c>
      <c r="O4088" t="str">
        <f>IFERROR(INDEX(tEditais[SRP],MATCH(tItens[[#This Row],[Edital]],tEditais[Edital],0)),"Não")</f>
        <v>Não</v>
      </c>
      <c r="P4088" s="4">
        <f>IF(COUNTIFS(INDEX(tItens[Edital],1):tItens[[#This Row],[Edital]],tItens[[#This Row],[Edital]],INDEX(tItens[Produto],1):tItens[[#This Row],[Produto]],tItens[[#This Row],[Produto]])=1,1,0)</f>
        <v>0</v>
      </c>
    </row>
    <row r="4089" spans="1:16" x14ac:dyDescent="0.25">
      <c r="A4089" t="s">
        <v>1637</v>
      </c>
      <c r="B4089">
        <v>161</v>
      </c>
      <c r="C4089" t="s">
        <v>6948</v>
      </c>
      <c r="D4089" t="s">
        <v>120</v>
      </c>
      <c r="E4089" s="13">
        <v>500</v>
      </c>
      <c r="F4089" s="12">
        <v>1.17</v>
      </c>
      <c r="G4089" t="str">
        <f>IFERROR(INDEX(tEditais[Órgão],MATCH(tItens[[#This Row],[Edital]],tEditais[Edital],0)),"")</f>
        <v>MUNICIPIO DE BATAYPORA</v>
      </c>
      <c r="H4089" t="str">
        <f>IFERROR(INDEX(tEditais[UF],MATCH(tItens[[#This Row],[Edital]],tEditais[Edital],0)),"")</f>
        <v>MS</v>
      </c>
      <c r="I4089" s="11">
        <f>IFERROR(INDEX(tEditais[Encerramento],MATCH(tItens[[#This Row],[Edital]],tEditais[Edital],0)),"")</f>
        <v>46304.375</v>
      </c>
      <c r="J4089" t="str">
        <f>IFERROR(INDEX(tProdutos[Classe],MATCH(tItens[[#This Row],[Produto]],tProdutos[Produto],0)),"produto não cadastrado")</f>
        <v>DISPUTADO</v>
      </c>
      <c r="K4089" s="12">
        <f>tItens[[#This Row],[Qtd]]*tItens[[#This Row],[Vlr unit]]</f>
        <v>585</v>
      </c>
      <c r="L4089" s="6">
        <f>IFERROR(IF(INDEX(tProdutos[Desconto homologado],MATCH(tItens[[#This Row],[Produto]],tProdutos[Produto],0))="",DescontoPadrao,INDEX(tProdutos[Desconto homologado],MATCH(tItens[[#This Row],[Produto]],tProdutos[Produto],0))),DescontoPadrao)</f>
        <v>0.40909090909090901</v>
      </c>
      <c r="M4089" s="12">
        <f>tItens[[#This Row],[Valor]]*(1-tItens[[#This Row],[Desconto]])</f>
        <v>345.68181818181824</v>
      </c>
      <c r="N4089" t="str">
        <f>IFERROR(INDEX(tProdutos[Foco],MATCH(tItens[[#This Row],[Produto]],tProdutos[Produto],0)),"Não")</f>
        <v>Não</v>
      </c>
      <c r="O4089" t="str">
        <f>IFERROR(INDEX(tEditais[SRP],MATCH(tItens[[#This Row],[Edital]],tEditais[Edital],0)),"Não")</f>
        <v>Não</v>
      </c>
      <c r="P4089" s="4">
        <f>IF(COUNTIFS(INDEX(tItens[Edital],1):tItens[[#This Row],[Edital]],tItens[[#This Row],[Edital]],INDEX(tItens[Produto],1):tItens[[#This Row],[Produto]],tItens[[#This Row],[Produto]])=1,1,0)</f>
        <v>0</v>
      </c>
    </row>
    <row r="4090" spans="1:16" x14ac:dyDescent="0.25">
      <c r="A4090" t="s">
        <v>1637</v>
      </c>
      <c r="B4090">
        <v>162</v>
      </c>
      <c r="C4090" t="s">
        <v>6949</v>
      </c>
      <c r="D4090" t="s">
        <v>120</v>
      </c>
      <c r="E4090" s="13">
        <v>2000</v>
      </c>
      <c r="F4090" s="12">
        <v>0.89</v>
      </c>
      <c r="G4090" t="str">
        <f>IFERROR(INDEX(tEditais[Órgão],MATCH(tItens[[#This Row],[Edital]],tEditais[Edital],0)),"")</f>
        <v>MUNICIPIO DE BATAYPORA</v>
      </c>
      <c r="H4090" t="str">
        <f>IFERROR(INDEX(tEditais[UF],MATCH(tItens[[#This Row],[Edital]],tEditais[Edital],0)),"")</f>
        <v>MS</v>
      </c>
      <c r="I4090" s="11">
        <f>IFERROR(INDEX(tEditais[Encerramento],MATCH(tItens[[#This Row],[Edital]],tEditais[Edital],0)),"")</f>
        <v>46304.375</v>
      </c>
      <c r="J4090" t="str">
        <f>IFERROR(INDEX(tProdutos[Classe],MATCH(tItens[[#This Row],[Produto]],tProdutos[Produto],0)),"produto não cadastrado")</f>
        <v>DISPUTADO</v>
      </c>
      <c r="K4090" s="12">
        <f>tItens[[#This Row],[Qtd]]*tItens[[#This Row],[Vlr unit]]</f>
        <v>1780</v>
      </c>
      <c r="L4090" s="6">
        <f>IFERROR(IF(INDEX(tProdutos[Desconto homologado],MATCH(tItens[[#This Row],[Produto]],tProdutos[Produto],0))="",DescontoPadrao,INDEX(tProdutos[Desconto homologado],MATCH(tItens[[#This Row],[Produto]],tProdutos[Produto],0))),DescontoPadrao)</f>
        <v>0.40909090909090901</v>
      </c>
      <c r="M4090" s="12">
        <f>tItens[[#This Row],[Valor]]*(1-tItens[[#This Row],[Desconto]])</f>
        <v>1051.818181818182</v>
      </c>
      <c r="N4090" t="str">
        <f>IFERROR(INDEX(tProdutos[Foco],MATCH(tItens[[#This Row],[Produto]],tProdutos[Produto],0)),"Não")</f>
        <v>Não</v>
      </c>
      <c r="O4090" t="str">
        <f>IFERROR(INDEX(tEditais[SRP],MATCH(tItens[[#This Row],[Edital]],tEditais[Edital],0)),"Não")</f>
        <v>Não</v>
      </c>
      <c r="P4090" s="4">
        <f>IF(COUNTIFS(INDEX(tItens[Edital],1):tItens[[#This Row],[Edital]],tItens[[#This Row],[Edital]],INDEX(tItens[Produto],1):tItens[[#This Row],[Produto]],tItens[[#This Row],[Produto]])=1,1,0)</f>
        <v>0</v>
      </c>
    </row>
    <row r="4091" spans="1:16" x14ac:dyDescent="0.25">
      <c r="A4091" t="s">
        <v>1637</v>
      </c>
      <c r="B4091">
        <v>176</v>
      </c>
      <c r="C4091" t="s">
        <v>6950</v>
      </c>
      <c r="D4091" t="s">
        <v>114</v>
      </c>
      <c r="E4091" s="13">
        <v>500</v>
      </c>
      <c r="F4091" s="12">
        <v>14.5</v>
      </c>
      <c r="G4091" t="str">
        <f>IFERROR(INDEX(tEditais[Órgão],MATCH(tItens[[#This Row],[Edital]],tEditais[Edital],0)),"")</f>
        <v>MUNICIPIO DE BATAYPORA</v>
      </c>
      <c r="H4091" t="str">
        <f>IFERROR(INDEX(tEditais[UF],MATCH(tItens[[#This Row],[Edital]],tEditais[Edital],0)),"")</f>
        <v>MS</v>
      </c>
      <c r="I4091" s="11">
        <f>IFERROR(INDEX(tEditais[Encerramento],MATCH(tItens[[#This Row],[Edital]],tEditais[Edital],0)),"")</f>
        <v>46304.375</v>
      </c>
      <c r="J4091" t="str">
        <f>IFERROR(INDEX(tProdutos[Classe],MATCH(tItens[[#This Row],[Produto]],tProdutos[Produto],0)),"produto não cadastrado")</f>
        <v>DISPUTADO</v>
      </c>
      <c r="K4091" s="12">
        <f>tItens[[#This Row],[Qtd]]*tItens[[#This Row],[Vlr unit]]</f>
        <v>7250</v>
      </c>
      <c r="L4091" s="6">
        <f>IFERROR(IF(INDEX(tProdutos[Desconto homologado],MATCH(tItens[[#This Row],[Produto]],tProdutos[Produto],0))="",DescontoPadrao,INDEX(tProdutos[Desconto homologado],MATCH(tItens[[#This Row],[Produto]],tProdutos[Produto],0))),DescontoPadrao)</f>
        <v>0.24332656063896899</v>
      </c>
      <c r="M4091" s="12">
        <f>tItens[[#This Row],[Valor]]*(1-tItens[[#This Row],[Desconto]])</f>
        <v>5485.8824353674754</v>
      </c>
      <c r="N4091" t="str">
        <f>IFERROR(INDEX(tProdutos[Foco],MATCH(tItens[[#This Row],[Produto]],tProdutos[Produto],0)),"Não")</f>
        <v>Não</v>
      </c>
      <c r="O4091" t="str">
        <f>IFERROR(INDEX(tEditais[SRP],MATCH(tItens[[#This Row],[Edital]],tEditais[Edital],0)),"Não")</f>
        <v>Não</v>
      </c>
      <c r="P4091" s="4">
        <f>IF(COUNTIFS(INDEX(tItens[Edital],1):tItens[[#This Row],[Edital]],tItens[[#This Row],[Edital]],INDEX(tItens[Produto],1):tItens[[#This Row],[Produto]],tItens[[#This Row],[Produto]])=1,1,0)</f>
        <v>1</v>
      </c>
    </row>
    <row r="4092" spans="1:16" x14ac:dyDescent="0.25">
      <c r="A4092" t="s">
        <v>1637</v>
      </c>
      <c r="B4092">
        <v>184</v>
      </c>
      <c r="C4092" t="s">
        <v>6951</v>
      </c>
      <c r="D4092" t="s">
        <v>156</v>
      </c>
      <c r="E4092" s="13">
        <v>100</v>
      </c>
      <c r="F4092" s="12">
        <v>11.37</v>
      </c>
      <c r="G4092" t="str">
        <f>IFERROR(INDEX(tEditais[Órgão],MATCH(tItens[[#This Row],[Edital]],tEditais[Edital],0)),"")</f>
        <v>MUNICIPIO DE BATAYPORA</v>
      </c>
      <c r="H4092" t="str">
        <f>IFERROR(INDEX(tEditais[UF],MATCH(tItens[[#This Row],[Edital]],tEditais[Edital],0)),"")</f>
        <v>MS</v>
      </c>
      <c r="I4092" s="11">
        <f>IFERROR(INDEX(tEditais[Encerramento],MATCH(tItens[[#This Row],[Edital]],tEditais[Edital],0)),"")</f>
        <v>46304.375</v>
      </c>
      <c r="J4092" t="str">
        <f>IFERROR(INDEX(tProdutos[Classe],MATCH(tItens[[#This Row],[Produto]],tProdutos[Produto],0)),"produto não cadastrado")</f>
        <v>DISPUTADO</v>
      </c>
      <c r="K4092" s="12">
        <f>tItens[[#This Row],[Qtd]]*tItens[[#This Row],[Vlr unit]]</f>
        <v>1137</v>
      </c>
      <c r="L4092" s="6">
        <f>IFERROR(IF(INDEX(tProdutos[Desconto homologado],MATCH(tItens[[#This Row],[Produto]],tProdutos[Produto],0))="",DescontoPadrao,INDEX(tProdutos[Desconto homologado],MATCH(tItens[[#This Row],[Produto]],tProdutos[Produto],0))),DescontoPadrao)</f>
        <v>0.27131852489802799</v>
      </c>
      <c r="M4092" s="12">
        <f>tItens[[#This Row],[Valor]]*(1-tItens[[#This Row],[Desconto]])</f>
        <v>828.5108371909422</v>
      </c>
      <c r="N4092" t="str">
        <f>IFERROR(INDEX(tProdutos[Foco],MATCH(tItens[[#This Row],[Produto]],tProdutos[Produto],0)),"Não")</f>
        <v>Não</v>
      </c>
      <c r="O4092" t="str">
        <f>IFERROR(INDEX(tEditais[SRP],MATCH(tItens[[#This Row],[Edital]],tEditais[Edital],0)),"Não")</f>
        <v>Não</v>
      </c>
      <c r="P4092" s="4">
        <f>IF(COUNTIFS(INDEX(tItens[Edital],1):tItens[[#This Row],[Edital]],tItens[[#This Row],[Edital]],INDEX(tItens[Produto],1):tItens[[#This Row],[Produto]],tItens[[#This Row],[Produto]])=1,1,0)</f>
        <v>1</v>
      </c>
    </row>
    <row r="4093" spans="1:16" x14ac:dyDescent="0.25">
      <c r="A4093" t="s">
        <v>1641</v>
      </c>
      <c r="B4093">
        <v>1</v>
      </c>
      <c r="C4093" t="s">
        <v>6952</v>
      </c>
      <c r="D4093" t="s">
        <v>249</v>
      </c>
      <c r="E4093" s="13">
        <v>1440</v>
      </c>
      <c r="F4093" s="12">
        <v>10.16</v>
      </c>
      <c r="G4093" t="str">
        <f>IFERROR(INDEX(tEditais[Órgão],MATCH(tItens[[#This Row],[Edital]],tEditais[Edital],0)),"")</f>
        <v>FUNDACAO SERVICOS DE SAUDE DE MATO GROSSO DO SUL-SAUDE-MS</v>
      </c>
      <c r="H4093" t="str">
        <f>IFERROR(INDEX(tEditais[UF],MATCH(tItens[[#This Row],[Edital]],tEditais[Edital],0)),"")</f>
        <v>MS</v>
      </c>
      <c r="I4093" s="11">
        <f>IFERROR(INDEX(tEditais[Encerramento],MATCH(tItens[[#This Row],[Edital]],tEditais[Edital],0)),"")</f>
        <v>46308.374305555553</v>
      </c>
      <c r="J4093" t="str">
        <f>IFERROR(INDEX(tProdutos[Classe],MATCH(tItens[[#This Row],[Produto]],tProdutos[Produto],0)),"produto não cadastrado")</f>
        <v>FORA</v>
      </c>
      <c r="K4093" s="12">
        <f>tItens[[#This Row],[Qtd]]*tItens[[#This Row],[Vlr unit]]</f>
        <v>14630.4</v>
      </c>
      <c r="L4093" s="6">
        <f>IFERROR(IF(INDEX(tProdutos[Desconto homologado],MATCH(tItens[[#This Row],[Produto]],tProdutos[Produto],0))="",DescontoPadrao,INDEX(tProdutos[Desconto homologado],MATCH(tItens[[#This Row],[Produto]],tProdutos[Produto],0))),DescontoPadrao)</f>
        <v>0.45399945399945402</v>
      </c>
      <c r="M4093" s="12">
        <f>tItens[[#This Row],[Valor]]*(1-tItens[[#This Row],[Desconto]])</f>
        <v>7988.2063882063867</v>
      </c>
      <c r="N4093" t="str">
        <f>IFERROR(INDEX(tProdutos[Foco],MATCH(tItens[[#This Row],[Produto]],tProdutos[Produto],0)),"Não")</f>
        <v>Não</v>
      </c>
      <c r="O4093" t="str">
        <f>IFERROR(INDEX(tEditais[SRP],MATCH(tItens[[#This Row],[Edital]],tEditais[Edital],0)),"Não")</f>
        <v>Sim</v>
      </c>
      <c r="P4093" s="4">
        <f>IF(COUNTIFS(INDEX(tItens[Edital],1):tItens[[#This Row],[Edital]],tItens[[#This Row],[Edital]],INDEX(tItens[Produto],1):tItens[[#This Row],[Produto]],tItens[[#This Row],[Produto]])=1,1,0)</f>
        <v>1</v>
      </c>
    </row>
    <row r="4094" spans="1:16" x14ac:dyDescent="0.25">
      <c r="A4094" t="s">
        <v>1641</v>
      </c>
      <c r="B4094">
        <v>15</v>
      </c>
      <c r="C4094" t="s">
        <v>6953</v>
      </c>
      <c r="D4094" t="s">
        <v>584</v>
      </c>
      <c r="E4094" s="13">
        <v>830</v>
      </c>
      <c r="F4094" s="12">
        <v>1.56</v>
      </c>
      <c r="G4094" t="str">
        <f>IFERROR(INDEX(tEditais[Órgão],MATCH(tItens[[#This Row],[Edital]],tEditais[Edital],0)),"")</f>
        <v>FUNDACAO SERVICOS DE SAUDE DE MATO GROSSO DO SUL-SAUDE-MS</v>
      </c>
      <c r="H4094" t="str">
        <f>IFERROR(INDEX(tEditais[UF],MATCH(tItens[[#This Row],[Edital]],tEditais[Edital],0)),"")</f>
        <v>MS</v>
      </c>
      <c r="I4094" s="11">
        <f>IFERROR(INDEX(tEditais[Encerramento],MATCH(tItens[[#This Row],[Edital]],tEditais[Edital],0)),"")</f>
        <v>46308.374305555553</v>
      </c>
      <c r="J4094" t="str">
        <f>IFERROR(INDEX(tProdutos[Classe],MATCH(tItens[[#This Row],[Produto]],tProdutos[Produto],0)),"produto não cadastrado")</f>
        <v>FILA REBASE</v>
      </c>
      <c r="K4094" s="12">
        <f>tItens[[#This Row],[Qtd]]*tItens[[#This Row],[Vlr unit]]</f>
        <v>1294.8</v>
      </c>
      <c r="L4094" s="6">
        <f>IFERROR(IF(INDEX(tProdutos[Desconto homologado],MATCH(tItens[[#This Row],[Produto]],tProdutos[Produto],0))="",DescontoPadrao,INDEX(tProdutos[Desconto homologado],MATCH(tItens[[#This Row],[Produto]],tProdutos[Produto],0))),DescontoPadrao)</f>
        <v>1.8306728813864401E-2</v>
      </c>
      <c r="M4094" s="12">
        <f>tItens[[#This Row],[Valor]]*(1-tItens[[#This Row],[Desconto]])</f>
        <v>1271.0964475318083</v>
      </c>
      <c r="N4094" t="str">
        <f>IFERROR(INDEX(tProdutos[Foco],MATCH(tItens[[#This Row],[Produto]],tProdutos[Produto],0)),"Não")</f>
        <v>Não</v>
      </c>
      <c r="O4094" t="str">
        <f>IFERROR(INDEX(tEditais[SRP],MATCH(tItens[[#This Row],[Edital]],tEditais[Edital],0)),"Não")</f>
        <v>Sim</v>
      </c>
      <c r="P4094" s="4">
        <f>IF(COUNTIFS(INDEX(tItens[Edital],1):tItens[[#This Row],[Edital]],tItens[[#This Row],[Edital]],INDEX(tItens[Produto],1):tItens[[#This Row],[Produto]],tItens[[#This Row],[Produto]])=1,1,0)</f>
        <v>1</v>
      </c>
    </row>
    <row r="4095" spans="1:16" x14ac:dyDescent="0.25">
      <c r="A4095" t="s">
        <v>1641</v>
      </c>
      <c r="B4095">
        <v>16</v>
      </c>
      <c r="C4095" t="s">
        <v>6954</v>
      </c>
      <c r="D4095" t="s">
        <v>584</v>
      </c>
      <c r="E4095" s="13">
        <v>1435</v>
      </c>
      <c r="F4095" s="12">
        <v>1.46</v>
      </c>
      <c r="G4095" t="str">
        <f>IFERROR(INDEX(tEditais[Órgão],MATCH(tItens[[#This Row],[Edital]],tEditais[Edital],0)),"")</f>
        <v>FUNDACAO SERVICOS DE SAUDE DE MATO GROSSO DO SUL-SAUDE-MS</v>
      </c>
      <c r="H4095" t="str">
        <f>IFERROR(INDEX(tEditais[UF],MATCH(tItens[[#This Row],[Edital]],tEditais[Edital],0)),"")</f>
        <v>MS</v>
      </c>
      <c r="I4095" s="11">
        <f>IFERROR(INDEX(tEditais[Encerramento],MATCH(tItens[[#This Row],[Edital]],tEditais[Edital],0)),"")</f>
        <v>46308.374305555553</v>
      </c>
      <c r="J4095" t="str">
        <f>IFERROR(INDEX(tProdutos[Classe],MATCH(tItens[[#This Row],[Produto]],tProdutos[Produto],0)),"produto não cadastrado")</f>
        <v>FILA REBASE</v>
      </c>
      <c r="K4095" s="12">
        <f>tItens[[#This Row],[Qtd]]*tItens[[#This Row],[Vlr unit]]</f>
        <v>2095.1</v>
      </c>
      <c r="L4095" s="6">
        <f>IFERROR(IF(INDEX(tProdutos[Desconto homologado],MATCH(tItens[[#This Row],[Produto]],tProdutos[Produto],0))="",DescontoPadrao,INDEX(tProdutos[Desconto homologado],MATCH(tItens[[#This Row],[Produto]],tProdutos[Produto],0))),DescontoPadrao)</f>
        <v>1.8306728813864401E-2</v>
      </c>
      <c r="M4095" s="12">
        <f>tItens[[#This Row],[Valor]]*(1-tItens[[#This Row],[Desconto]])</f>
        <v>2056.7455724620727</v>
      </c>
      <c r="N4095" t="str">
        <f>IFERROR(INDEX(tProdutos[Foco],MATCH(tItens[[#This Row],[Produto]],tProdutos[Produto],0)),"Não")</f>
        <v>Não</v>
      </c>
      <c r="O4095" t="str">
        <f>IFERROR(INDEX(tEditais[SRP],MATCH(tItens[[#This Row],[Edital]],tEditais[Edital],0)),"Não")</f>
        <v>Sim</v>
      </c>
      <c r="P4095" s="4">
        <f>IF(COUNTIFS(INDEX(tItens[Edital],1):tItens[[#This Row],[Edital]],tItens[[#This Row],[Edital]],INDEX(tItens[Produto],1):tItens[[#This Row],[Produto]],tItens[[#This Row],[Produto]])=1,1,0)</f>
        <v>0</v>
      </c>
    </row>
    <row r="4096" spans="1:16" x14ac:dyDescent="0.25">
      <c r="A4096" t="s">
        <v>1641</v>
      </c>
      <c r="B4096">
        <v>17</v>
      </c>
      <c r="C4096" t="s">
        <v>6955</v>
      </c>
      <c r="D4096" t="s">
        <v>584</v>
      </c>
      <c r="E4096" s="13">
        <v>1110</v>
      </c>
      <c r="F4096" s="12">
        <v>3.23</v>
      </c>
      <c r="G4096" t="str">
        <f>IFERROR(INDEX(tEditais[Órgão],MATCH(tItens[[#This Row],[Edital]],tEditais[Edital],0)),"")</f>
        <v>FUNDACAO SERVICOS DE SAUDE DE MATO GROSSO DO SUL-SAUDE-MS</v>
      </c>
      <c r="H4096" t="str">
        <f>IFERROR(INDEX(tEditais[UF],MATCH(tItens[[#This Row],[Edital]],tEditais[Edital],0)),"")</f>
        <v>MS</v>
      </c>
      <c r="I4096" s="11">
        <f>IFERROR(INDEX(tEditais[Encerramento],MATCH(tItens[[#This Row],[Edital]],tEditais[Edital],0)),"")</f>
        <v>46308.374305555553</v>
      </c>
      <c r="J4096" t="str">
        <f>IFERROR(INDEX(tProdutos[Classe],MATCH(tItens[[#This Row],[Produto]],tProdutos[Produto],0)),"produto não cadastrado")</f>
        <v>FILA REBASE</v>
      </c>
      <c r="K4096" s="12">
        <f>tItens[[#This Row],[Qtd]]*tItens[[#This Row],[Vlr unit]]</f>
        <v>3585.3</v>
      </c>
      <c r="L4096" s="6">
        <f>IFERROR(IF(INDEX(tProdutos[Desconto homologado],MATCH(tItens[[#This Row],[Produto]],tProdutos[Produto],0))="",DescontoPadrao,INDEX(tProdutos[Desconto homologado],MATCH(tItens[[#This Row],[Produto]],tProdutos[Produto],0))),DescontoPadrao)</f>
        <v>1.8306728813864401E-2</v>
      </c>
      <c r="M4096" s="12">
        <f>tItens[[#This Row],[Valor]]*(1-tItens[[#This Row],[Desconto]])</f>
        <v>3519.6648851836521</v>
      </c>
      <c r="N4096" t="str">
        <f>IFERROR(INDEX(tProdutos[Foco],MATCH(tItens[[#This Row],[Produto]],tProdutos[Produto],0)),"Não")</f>
        <v>Não</v>
      </c>
      <c r="O4096" t="str">
        <f>IFERROR(INDEX(tEditais[SRP],MATCH(tItens[[#This Row],[Edital]],tEditais[Edital],0)),"Não")</f>
        <v>Sim</v>
      </c>
      <c r="P4096" s="4">
        <f>IF(COUNTIFS(INDEX(tItens[Edital],1):tItens[[#This Row],[Edital]],tItens[[#This Row],[Edital]],INDEX(tItens[Produto],1):tItens[[#This Row],[Produto]],tItens[[#This Row],[Produto]])=1,1,0)</f>
        <v>0</v>
      </c>
    </row>
    <row r="4097" spans="1:16" x14ac:dyDescent="0.25">
      <c r="A4097" t="s">
        <v>1641</v>
      </c>
      <c r="B4097">
        <v>18</v>
      </c>
      <c r="C4097" t="s">
        <v>6956</v>
      </c>
      <c r="D4097" t="s">
        <v>584</v>
      </c>
      <c r="E4097" s="13">
        <v>1530</v>
      </c>
      <c r="F4097" s="12">
        <v>1.86</v>
      </c>
      <c r="G4097" t="str">
        <f>IFERROR(INDEX(tEditais[Órgão],MATCH(tItens[[#This Row],[Edital]],tEditais[Edital],0)),"")</f>
        <v>FUNDACAO SERVICOS DE SAUDE DE MATO GROSSO DO SUL-SAUDE-MS</v>
      </c>
      <c r="H4097" t="str">
        <f>IFERROR(INDEX(tEditais[UF],MATCH(tItens[[#This Row],[Edital]],tEditais[Edital],0)),"")</f>
        <v>MS</v>
      </c>
      <c r="I4097" s="11">
        <f>IFERROR(INDEX(tEditais[Encerramento],MATCH(tItens[[#This Row],[Edital]],tEditais[Edital],0)),"")</f>
        <v>46308.374305555553</v>
      </c>
      <c r="J4097" t="str">
        <f>IFERROR(INDEX(tProdutos[Classe],MATCH(tItens[[#This Row],[Produto]],tProdutos[Produto],0)),"produto não cadastrado")</f>
        <v>FILA REBASE</v>
      </c>
      <c r="K4097" s="12">
        <f>tItens[[#This Row],[Qtd]]*tItens[[#This Row],[Vlr unit]]</f>
        <v>2845.8</v>
      </c>
      <c r="L4097" s="6">
        <f>IFERROR(IF(INDEX(tProdutos[Desconto homologado],MATCH(tItens[[#This Row],[Produto]],tProdutos[Produto],0))="",DescontoPadrao,INDEX(tProdutos[Desconto homologado],MATCH(tItens[[#This Row],[Produto]],tProdutos[Produto],0))),DescontoPadrao)</f>
        <v>1.8306728813864401E-2</v>
      </c>
      <c r="M4097" s="12">
        <f>tItens[[#This Row],[Valor]]*(1-tItens[[#This Row],[Desconto]])</f>
        <v>2793.702711141505</v>
      </c>
      <c r="N4097" t="str">
        <f>IFERROR(INDEX(tProdutos[Foco],MATCH(tItens[[#This Row],[Produto]],tProdutos[Produto],0)),"Não")</f>
        <v>Não</v>
      </c>
      <c r="O4097" t="str">
        <f>IFERROR(INDEX(tEditais[SRP],MATCH(tItens[[#This Row],[Edital]],tEditais[Edital],0)),"Não")</f>
        <v>Sim</v>
      </c>
      <c r="P4097" s="4">
        <f>IF(COUNTIFS(INDEX(tItens[Edital],1):tItens[[#This Row],[Edital]],tItens[[#This Row],[Edital]],INDEX(tItens[Produto],1):tItens[[#This Row],[Produto]],tItens[[#This Row],[Produto]])=1,1,0)</f>
        <v>0</v>
      </c>
    </row>
    <row r="4098" spans="1:16" x14ac:dyDescent="0.25">
      <c r="A4098" t="s">
        <v>1641</v>
      </c>
      <c r="B4098">
        <v>19</v>
      </c>
      <c r="C4098" t="s">
        <v>6957</v>
      </c>
      <c r="D4098" t="s">
        <v>584</v>
      </c>
      <c r="E4098" s="13">
        <v>690</v>
      </c>
      <c r="F4098" s="12">
        <v>2.2400000000000002</v>
      </c>
      <c r="G4098" t="str">
        <f>IFERROR(INDEX(tEditais[Órgão],MATCH(tItens[[#This Row],[Edital]],tEditais[Edital],0)),"")</f>
        <v>FUNDACAO SERVICOS DE SAUDE DE MATO GROSSO DO SUL-SAUDE-MS</v>
      </c>
      <c r="H4098" t="str">
        <f>IFERROR(INDEX(tEditais[UF],MATCH(tItens[[#This Row],[Edital]],tEditais[Edital],0)),"")</f>
        <v>MS</v>
      </c>
      <c r="I4098" s="11">
        <f>IFERROR(INDEX(tEditais[Encerramento],MATCH(tItens[[#This Row],[Edital]],tEditais[Edital],0)),"")</f>
        <v>46308.374305555553</v>
      </c>
      <c r="J4098" t="str">
        <f>IFERROR(INDEX(tProdutos[Classe],MATCH(tItens[[#This Row],[Produto]],tProdutos[Produto],0)),"produto não cadastrado")</f>
        <v>FILA REBASE</v>
      </c>
      <c r="K4098" s="12">
        <f>tItens[[#This Row],[Qtd]]*tItens[[#This Row],[Vlr unit]]</f>
        <v>1545.6000000000001</v>
      </c>
      <c r="L4098" s="6">
        <f>IFERROR(IF(INDEX(tProdutos[Desconto homologado],MATCH(tItens[[#This Row],[Produto]],tProdutos[Produto],0))="",DescontoPadrao,INDEX(tProdutos[Desconto homologado],MATCH(tItens[[#This Row],[Produto]],tProdutos[Produto],0))),DescontoPadrao)</f>
        <v>1.8306728813864401E-2</v>
      </c>
      <c r="M4098" s="12">
        <f>tItens[[#This Row],[Valor]]*(1-tItens[[#This Row],[Desconto]])</f>
        <v>1517.3051199452914</v>
      </c>
      <c r="N4098" t="str">
        <f>IFERROR(INDEX(tProdutos[Foco],MATCH(tItens[[#This Row],[Produto]],tProdutos[Produto],0)),"Não")</f>
        <v>Não</v>
      </c>
      <c r="O4098" t="str">
        <f>IFERROR(INDEX(tEditais[SRP],MATCH(tItens[[#This Row],[Edital]],tEditais[Edital],0)),"Não")</f>
        <v>Sim</v>
      </c>
      <c r="P4098" s="4">
        <f>IF(COUNTIFS(INDEX(tItens[Edital],1):tItens[[#This Row],[Edital]],tItens[[#This Row],[Edital]],INDEX(tItens[Produto],1):tItens[[#This Row],[Produto]],tItens[[#This Row],[Produto]])=1,1,0)</f>
        <v>0</v>
      </c>
    </row>
    <row r="4099" spans="1:16" x14ac:dyDescent="0.25">
      <c r="A4099" t="s">
        <v>1641</v>
      </c>
      <c r="B4099">
        <v>20</v>
      </c>
      <c r="C4099" t="s">
        <v>6958</v>
      </c>
      <c r="D4099" t="s">
        <v>120</v>
      </c>
      <c r="E4099" s="13">
        <v>780</v>
      </c>
      <c r="F4099" s="12">
        <v>2.35</v>
      </c>
      <c r="G4099" t="str">
        <f>IFERROR(INDEX(tEditais[Órgão],MATCH(tItens[[#This Row],[Edital]],tEditais[Edital],0)),"")</f>
        <v>FUNDACAO SERVICOS DE SAUDE DE MATO GROSSO DO SUL-SAUDE-MS</v>
      </c>
      <c r="H4099" t="str">
        <f>IFERROR(INDEX(tEditais[UF],MATCH(tItens[[#This Row],[Edital]],tEditais[Edital],0)),"")</f>
        <v>MS</v>
      </c>
      <c r="I4099" s="11">
        <f>IFERROR(INDEX(tEditais[Encerramento],MATCH(tItens[[#This Row],[Edital]],tEditais[Edital],0)),"")</f>
        <v>46308.374305555553</v>
      </c>
      <c r="J4099" t="str">
        <f>IFERROR(INDEX(tProdutos[Classe],MATCH(tItens[[#This Row],[Produto]],tProdutos[Produto],0)),"produto não cadastrado")</f>
        <v>DISPUTADO</v>
      </c>
      <c r="K4099" s="12">
        <f>tItens[[#This Row],[Qtd]]*tItens[[#This Row],[Vlr unit]]</f>
        <v>1833</v>
      </c>
      <c r="L4099" s="6">
        <f>IFERROR(IF(INDEX(tProdutos[Desconto homologado],MATCH(tItens[[#This Row],[Produto]],tProdutos[Produto],0))="",DescontoPadrao,INDEX(tProdutos[Desconto homologado],MATCH(tItens[[#This Row],[Produto]],tProdutos[Produto],0))),DescontoPadrao)</f>
        <v>0.40909090909090901</v>
      </c>
      <c r="M4099" s="12">
        <f>tItens[[#This Row],[Valor]]*(1-tItens[[#This Row],[Desconto]])</f>
        <v>1083.136363636364</v>
      </c>
      <c r="N4099" t="str">
        <f>IFERROR(INDEX(tProdutos[Foco],MATCH(tItens[[#This Row],[Produto]],tProdutos[Produto],0)),"Não")</f>
        <v>Não</v>
      </c>
      <c r="O4099" t="str">
        <f>IFERROR(INDEX(tEditais[SRP],MATCH(tItens[[#This Row],[Edital]],tEditais[Edital],0)),"Não")</f>
        <v>Sim</v>
      </c>
      <c r="P4099" s="4">
        <f>IF(COUNTIFS(INDEX(tItens[Edital],1):tItens[[#This Row],[Edital]],tItens[[#This Row],[Edital]],INDEX(tItens[Produto],1):tItens[[#This Row],[Produto]],tItens[[#This Row],[Produto]])=1,1,0)</f>
        <v>1</v>
      </c>
    </row>
    <row r="4100" spans="1:16" x14ac:dyDescent="0.25">
      <c r="A4100" t="s">
        <v>1645</v>
      </c>
      <c r="B4100">
        <v>1</v>
      </c>
      <c r="C4100" t="s">
        <v>6959</v>
      </c>
      <c r="D4100" t="s">
        <v>578</v>
      </c>
      <c r="E4100" s="13">
        <v>14</v>
      </c>
      <c r="F4100" s="12">
        <v>735.01</v>
      </c>
      <c r="G4100" t="str">
        <f>IFERROR(INDEX(tEditais[Órgão],MATCH(tItens[[#This Row],[Edital]],tEditais[Edital],0)),"")</f>
        <v>MUNICIPIO DE INOCENCIA</v>
      </c>
      <c r="H4100" t="str">
        <f>IFERROR(INDEX(tEditais[UF],MATCH(tItens[[#This Row],[Edital]],tEditais[Edital],0)),"")</f>
        <v>MS</v>
      </c>
      <c r="I4100" s="11">
        <f>IFERROR(INDEX(tEditais[Encerramento],MATCH(tItens[[#This Row],[Edital]],tEditais[Edital],0)),"")</f>
        <v>46310.375</v>
      </c>
      <c r="J4100" t="str">
        <f>IFERROR(INDEX(tProdutos[Classe],MATCH(tItens[[#This Row],[Produto]],tProdutos[Produto],0)),"produto não cadastrado")</f>
        <v>FILA REBASE</v>
      </c>
      <c r="K4100" s="12">
        <f>tItens[[#This Row],[Qtd]]*tItens[[#This Row],[Vlr unit]]</f>
        <v>10290.14</v>
      </c>
      <c r="L4100" s="6">
        <f>IFERROR(IF(INDEX(tProdutos[Desconto homologado],MATCH(tItens[[#This Row],[Produto]],tProdutos[Produto],0))="",DescontoPadrao,INDEX(tProdutos[Desconto homologado],MATCH(tItens[[#This Row],[Produto]],tProdutos[Produto],0))),DescontoPadrao)</f>
        <v>0.36014625228519198</v>
      </c>
      <c r="M4100" s="12">
        <f>tItens[[#This Row],[Valor]]*(1-tItens[[#This Row],[Desconto]])</f>
        <v>6584.1846435100551</v>
      </c>
      <c r="N4100" t="str">
        <f>IFERROR(INDEX(tProdutos[Foco],MATCH(tItens[[#This Row],[Produto]],tProdutos[Produto],0)),"Não")</f>
        <v>Não</v>
      </c>
      <c r="O4100" t="str">
        <f>IFERROR(INDEX(tEditais[SRP],MATCH(tItens[[#This Row],[Edital]],tEditais[Edital],0)),"Não")</f>
        <v>Sim</v>
      </c>
      <c r="P4100" s="4">
        <f>IF(COUNTIFS(INDEX(tItens[Edital],1):tItens[[#This Row],[Edital]],tItens[[#This Row],[Edital]],INDEX(tItens[Produto],1):tItens[[#This Row],[Produto]],tItens[[#This Row],[Produto]])=1,1,0)</f>
        <v>1</v>
      </c>
    </row>
    <row r="4101" spans="1:16" x14ac:dyDescent="0.25">
      <c r="A4101" t="s">
        <v>1645</v>
      </c>
      <c r="B4101">
        <v>2</v>
      </c>
      <c r="C4101" t="s">
        <v>6960</v>
      </c>
      <c r="D4101" t="s">
        <v>578</v>
      </c>
      <c r="E4101" s="13">
        <v>4</v>
      </c>
      <c r="F4101" s="12">
        <v>3584.82</v>
      </c>
      <c r="G4101" t="str">
        <f>IFERROR(INDEX(tEditais[Órgão],MATCH(tItens[[#This Row],[Edital]],tEditais[Edital],0)),"")</f>
        <v>MUNICIPIO DE INOCENCIA</v>
      </c>
      <c r="H4101" t="str">
        <f>IFERROR(INDEX(tEditais[UF],MATCH(tItens[[#This Row],[Edital]],tEditais[Edital],0)),"")</f>
        <v>MS</v>
      </c>
      <c r="I4101" s="11">
        <f>IFERROR(INDEX(tEditais[Encerramento],MATCH(tItens[[#This Row],[Edital]],tEditais[Edital],0)),"")</f>
        <v>46310.375</v>
      </c>
      <c r="J4101" t="str">
        <f>IFERROR(INDEX(tProdutos[Classe],MATCH(tItens[[#This Row],[Produto]],tProdutos[Produto],0)),"produto não cadastrado")</f>
        <v>FILA REBASE</v>
      </c>
      <c r="K4101" s="12">
        <f>tItens[[#This Row],[Qtd]]*tItens[[#This Row],[Vlr unit]]</f>
        <v>14339.28</v>
      </c>
      <c r="L4101" s="6">
        <f>IFERROR(IF(INDEX(tProdutos[Desconto homologado],MATCH(tItens[[#This Row],[Produto]],tProdutos[Produto],0))="",DescontoPadrao,INDEX(tProdutos[Desconto homologado],MATCH(tItens[[#This Row],[Produto]],tProdutos[Produto],0))),DescontoPadrao)</f>
        <v>0.36014625228519198</v>
      </c>
      <c r="M4101" s="12">
        <f>tItens[[#This Row],[Valor]]*(1-tItens[[#This Row],[Desconto]])</f>
        <v>9175.0420475319934</v>
      </c>
      <c r="N4101" t="str">
        <f>IFERROR(INDEX(tProdutos[Foco],MATCH(tItens[[#This Row],[Produto]],tProdutos[Produto],0)),"Não")</f>
        <v>Não</v>
      </c>
      <c r="O4101" t="str">
        <f>IFERROR(INDEX(tEditais[SRP],MATCH(tItens[[#This Row],[Edital]],tEditais[Edital],0)),"Não")</f>
        <v>Sim</v>
      </c>
      <c r="P4101" s="4">
        <f>IF(COUNTIFS(INDEX(tItens[Edital],1):tItens[[#This Row],[Edital]],tItens[[#This Row],[Edital]],INDEX(tItens[Produto],1):tItens[[#This Row],[Produto]],tItens[[#This Row],[Produto]])=1,1,0)</f>
        <v>0</v>
      </c>
    </row>
    <row r="4102" spans="1:16" x14ac:dyDescent="0.25">
      <c r="A4102" t="s">
        <v>1645</v>
      </c>
      <c r="B4102">
        <v>33</v>
      </c>
      <c r="C4102" t="s">
        <v>6961</v>
      </c>
      <c r="D4102" t="s">
        <v>611</v>
      </c>
      <c r="E4102" s="13">
        <v>30</v>
      </c>
      <c r="F4102" s="12">
        <v>249.21</v>
      </c>
      <c r="G4102" t="str">
        <f>IFERROR(INDEX(tEditais[Órgão],MATCH(tItens[[#This Row],[Edital]],tEditais[Edital],0)),"")</f>
        <v>MUNICIPIO DE INOCENCIA</v>
      </c>
      <c r="H4102" t="str">
        <f>IFERROR(INDEX(tEditais[UF],MATCH(tItens[[#This Row],[Edital]],tEditais[Edital],0)),"")</f>
        <v>MS</v>
      </c>
      <c r="I4102" s="11">
        <f>IFERROR(INDEX(tEditais[Encerramento],MATCH(tItens[[#This Row],[Edital]],tEditais[Edital],0)),"")</f>
        <v>46310.375</v>
      </c>
      <c r="J4102" t="str">
        <f>IFERROR(INDEX(tProdutos[Classe],MATCH(tItens[[#This Row],[Produto]],tProdutos[Produto],0)),"produto não cadastrado")</f>
        <v>FILA REBASE</v>
      </c>
      <c r="K4102" s="12">
        <f>tItens[[#This Row],[Qtd]]*tItens[[#This Row],[Vlr unit]]</f>
        <v>7476.3</v>
      </c>
      <c r="L4102" s="6">
        <f>IFERROR(IF(INDEX(tProdutos[Desconto homologado],MATCH(tItens[[#This Row],[Produto]],tProdutos[Produto],0))="",DescontoPadrao,INDEX(tProdutos[Desconto homologado],MATCH(tItens[[#This Row],[Produto]],tProdutos[Produto],0))),DescontoPadrao)</f>
        <v>0.3</v>
      </c>
      <c r="M4102" s="12">
        <f>tItens[[#This Row],[Valor]]*(1-tItens[[#This Row],[Desconto]])</f>
        <v>5233.41</v>
      </c>
      <c r="N4102" t="str">
        <f>IFERROR(INDEX(tProdutos[Foco],MATCH(tItens[[#This Row],[Produto]],tProdutos[Produto],0)),"Não")</f>
        <v>Não</v>
      </c>
      <c r="O4102" t="str">
        <f>IFERROR(INDEX(tEditais[SRP],MATCH(tItens[[#This Row],[Edital]],tEditais[Edital],0)),"Não")</f>
        <v>Sim</v>
      </c>
      <c r="P4102" s="4">
        <f>IF(COUNTIFS(INDEX(tItens[Edital],1):tItens[[#This Row],[Edital]],tItens[[#This Row],[Edital]],INDEX(tItens[Produto],1):tItens[[#This Row],[Produto]],tItens[[#This Row],[Produto]])=1,1,0)</f>
        <v>1</v>
      </c>
    </row>
    <row r="4103" spans="1:16" x14ac:dyDescent="0.25">
      <c r="A4103" t="s">
        <v>1645</v>
      </c>
      <c r="B4103">
        <v>34</v>
      </c>
      <c r="C4103" t="s">
        <v>6962</v>
      </c>
      <c r="D4103" t="s">
        <v>641</v>
      </c>
      <c r="E4103" s="13">
        <v>10</v>
      </c>
      <c r="F4103" s="12">
        <v>134.49</v>
      </c>
      <c r="G4103" t="str">
        <f>IFERROR(INDEX(tEditais[Órgão],MATCH(tItens[[#This Row],[Edital]],tEditais[Edital],0)),"")</f>
        <v>MUNICIPIO DE INOCENCIA</v>
      </c>
      <c r="H4103" t="str">
        <f>IFERROR(INDEX(tEditais[UF],MATCH(tItens[[#This Row],[Edital]],tEditais[Edital],0)),"")</f>
        <v>MS</v>
      </c>
      <c r="I4103" s="11">
        <f>IFERROR(INDEX(tEditais[Encerramento],MATCH(tItens[[#This Row],[Edital]],tEditais[Edital],0)),"")</f>
        <v>46310.375</v>
      </c>
      <c r="J4103" t="str">
        <f>IFERROR(INDEX(tProdutos[Classe],MATCH(tItens[[#This Row],[Produto]],tProdutos[Produto],0)),"produto não cadastrado")</f>
        <v>FILA REBASE</v>
      </c>
      <c r="K4103" s="12">
        <f>tItens[[#This Row],[Qtd]]*tItens[[#This Row],[Vlr unit]]</f>
        <v>1344.9</v>
      </c>
      <c r="L4103" s="6">
        <f>IFERROR(IF(INDEX(tProdutos[Desconto homologado],MATCH(tItens[[#This Row],[Produto]],tProdutos[Produto],0))="",DescontoPadrao,INDEX(tProdutos[Desconto homologado],MATCH(tItens[[#This Row],[Produto]],tProdutos[Produto],0))),DescontoPadrao)</f>
        <v>0.3</v>
      </c>
      <c r="M4103" s="12">
        <f>tItens[[#This Row],[Valor]]*(1-tItens[[#This Row],[Desconto]])</f>
        <v>941.43</v>
      </c>
      <c r="N4103" t="str">
        <f>IFERROR(INDEX(tProdutos[Foco],MATCH(tItens[[#This Row],[Produto]],tProdutos[Produto],0)),"Não")</f>
        <v>Não</v>
      </c>
      <c r="O4103" t="str">
        <f>IFERROR(INDEX(tEditais[SRP],MATCH(tItens[[#This Row],[Edital]],tEditais[Edital],0)),"Não")</f>
        <v>Sim</v>
      </c>
      <c r="P4103" s="4">
        <f>IF(COUNTIFS(INDEX(tItens[Edital],1):tItens[[#This Row],[Edital]],tItens[[#This Row],[Edital]],INDEX(tItens[Produto],1):tItens[[#This Row],[Produto]],tItens[[#This Row],[Produto]])=1,1,0)</f>
        <v>1</v>
      </c>
    </row>
    <row r="4104" spans="1:16" x14ac:dyDescent="0.25">
      <c r="A4104" t="s">
        <v>1645</v>
      </c>
      <c r="B4104">
        <v>39</v>
      </c>
      <c r="C4104" t="s">
        <v>6963</v>
      </c>
      <c r="D4104" t="s">
        <v>670</v>
      </c>
      <c r="E4104" s="13">
        <v>30</v>
      </c>
      <c r="F4104" s="12">
        <v>152.9</v>
      </c>
      <c r="G4104" t="str">
        <f>IFERROR(INDEX(tEditais[Órgão],MATCH(tItens[[#This Row],[Edital]],tEditais[Edital],0)),"")</f>
        <v>MUNICIPIO DE INOCENCIA</v>
      </c>
      <c r="H4104" t="str">
        <f>IFERROR(INDEX(tEditais[UF],MATCH(tItens[[#This Row],[Edital]],tEditais[Edital],0)),"")</f>
        <v>MS</v>
      </c>
      <c r="I4104" s="11">
        <f>IFERROR(INDEX(tEditais[Encerramento],MATCH(tItens[[#This Row],[Edital]],tEditais[Edital],0)),"")</f>
        <v>46310.375</v>
      </c>
      <c r="J4104" t="str">
        <f>IFERROR(INDEX(tProdutos[Classe],MATCH(tItens[[#This Row],[Produto]],tProdutos[Produto],0)),"produto não cadastrado")</f>
        <v>FILA REBASE</v>
      </c>
      <c r="K4104" s="12">
        <f>tItens[[#This Row],[Qtd]]*tItens[[#This Row],[Vlr unit]]</f>
        <v>4587</v>
      </c>
      <c r="L4104" s="6">
        <f>IFERROR(IF(INDEX(tProdutos[Desconto homologado],MATCH(tItens[[#This Row],[Produto]],tProdutos[Produto],0))="",DescontoPadrao,INDEX(tProdutos[Desconto homologado],MATCH(tItens[[#This Row],[Produto]],tProdutos[Produto],0))),DescontoPadrao)</f>
        <v>0.53825503355704696</v>
      </c>
      <c r="M4104" s="12">
        <f>tItens[[#This Row],[Valor]]*(1-tItens[[#This Row],[Desconto]])</f>
        <v>2118.0241610738258</v>
      </c>
      <c r="N4104" t="str">
        <f>IFERROR(INDEX(tProdutos[Foco],MATCH(tItens[[#This Row],[Produto]],tProdutos[Produto],0)),"Não")</f>
        <v>Não</v>
      </c>
      <c r="O4104" t="str">
        <f>IFERROR(INDEX(tEditais[SRP],MATCH(tItens[[#This Row],[Edital]],tEditais[Edital],0)),"Não")</f>
        <v>Sim</v>
      </c>
      <c r="P4104" s="4">
        <f>IF(COUNTIFS(INDEX(tItens[Edital],1):tItens[[#This Row],[Edital]],tItens[[#This Row],[Edital]],INDEX(tItens[Produto],1):tItens[[#This Row],[Produto]],tItens[[#This Row],[Produto]])=1,1,0)</f>
        <v>1</v>
      </c>
    </row>
    <row r="4105" spans="1:16" x14ac:dyDescent="0.25">
      <c r="A4105" t="s">
        <v>1650</v>
      </c>
      <c r="B4105">
        <v>102</v>
      </c>
      <c r="C4105" t="s">
        <v>6964</v>
      </c>
      <c r="D4105" t="s">
        <v>503</v>
      </c>
      <c r="E4105" s="13">
        <v>365</v>
      </c>
      <c r="F4105" s="12">
        <v>29.3</v>
      </c>
      <c r="G4105" t="str">
        <f>IFERROR(INDEX(tEditais[Órgão],MATCH(tItens[[#This Row],[Edital]],tEditais[Edital],0)),"")</f>
        <v>COMANDO DO EXERCITO</v>
      </c>
      <c r="H4105" t="str">
        <f>IFERROR(INDEX(tEditais[UF],MATCH(tItens[[#This Row],[Edital]],tEditais[Edital],0)),"")</f>
        <v>MS</v>
      </c>
      <c r="I4105" s="11">
        <f>IFERROR(INDEX(tEditais[Encerramento],MATCH(tItens[[#This Row],[Edital]],tEditais[Edital],0)),"")</f>
        <v>46310.416666666664</v>
      </c>
      <c r="J4105" t="str">
        <f>IFERROR(INDEX(tProdutos[Classe],MATCH(tItens[[#This Row],[Produto]],tProdutos[Produto],0)),"produto não cadastrado")</f>
        <v>FILA REBASE</v>
      </c>
      <c r="K4105" s="12">
        <f>tItens[[#This Row],[Qtd]]*tItens[[#This Row],[Vlr unit]]</f>
        <v>10694.5</v>
      </c>
      <c r="L4105" s="6">
        <f>IFERROR(IF(INDEX(tProdutos[Desconto homologado],MATCH(tItens[[#This Row],[Produto]],tProdutos[Produto],0))="",DescontoPadrao,INDEX(tProdutos[Desconto homologado],MATCH(tItens[[#This Row],[Produto]],tProdutos[Produto],0))),DescontoPadrao)</f>
        <v>0.54492561591744004</v>
      </c>
      <c r="M4105" s="12">
        <f>tItens[[#This Row],[Valor]]*(1-tItens[[#This Row],[Desconto]])</f>
        <v>4866.7930005709377</v>
      </c>
      <c r="N4105" t="str">
        <f>IFERROR(INDEX(tProdutos[Foco],MATCH(tItens[[#This Row],[Produto]],tProdutos[Produto],0)),"Não")</f>
        <v>Não</v>
      </c>
      <c r="O4105" t="str">
        <f>IFERROR(INDEX(tEditais[SRP],MATCH(tItens[[#This Row],[Edital]],tEditais[Edital],0)),"Não")</f>
        <v>Não</v>
      </c>
      <c r="P4105" s="4">
        <f>IF(COUNTIFS(INDEX(tItens[Edital],1):tItens[[#This Row],[Edital]],tItens[[#This Row],[Edital]],INDEX(tItens[Produto],1):tItens[[#This Row],[Produto]],tItens[[#This Row],[Produto]])=1,1,0)</f>
        <v>1</v>
      </c>
    </row>
    <row r="4106" spans="1:16" x14ac:dyDescent="0.25">
      <c r="A4106" t="s">
        <v>1650</v>
      </c>
      <c r="B4106">
        <v>108</v>
      </c>
      <c r="C4106" t="s">
        <v>6965</v>
      </c>
      <c r="D4106" t="s">
        <v>315</v>
      </c>
      <c r="E4106" s="13">
        <v>83</v>
      </c>
      <c r="F4106" s="12">
        <v>31.55</v>
      </c>
      <c r="G4106" t="str">
        <f>IFERROR(INDEX(tEditais[Órgão],MATCH(tItens[[#This Row],[Edital]],tEditais[Edital],0)),"")</f>
        <v>COMANDO DO EXERCITO</v>
      </c>
      <c r="H4106" t="str">
        <f>IFERROR(INDEX(tEditais[UF],MATCH(tItens[[#This Row],[Edital]],tEditais[Edital],0)),"")</f>
        <v>MS</v>
      </c>
      <c r="I4106" s="11">
        <f>IFERROR(INDEX(tEditais[Encerramento],MATCH(tItens[[#This Row],[Edital]],tEditais[Edital],0)),"")</f>
        <v>46310.416666666664</v>
      </c>
      <c r="J4106" t="str">
        <f>IFERROR(INDEX(tProdutos[Classe],MATCH(tItens[[#This Row],[Produto]],tProdutos[Produto],0)),"produto não cadastrado")</f>
        <v>FORA</v>
      </c>
      <c r="K4106" s="12">
        <f>tItens[[#This Row],[Qtd]]*tItens[[#This Row],[Vlr unit]]</f>
        <v>2618.65</v>
      </c>
      <c r="L4106" s="6">
        <f>IFERROR(IF(INDEX(tProdutos[Desconto homologado],MATCH(tItens[[#This Row],[Produto]],tProdutos[Produto],0))="",DescontoPadrao,INDEX(tProdutos[Desconto homologado],MATCH(tItens[[#This Row],[Produto]],tProdutos[Produto],0))),DescontoPadrao)</f>
        <v>0.38432036097010702</v>
      </c>
      <c r="M4106" s="12">
        <f>tItens[[#This Row],[Valor]]*(1-tItens[[#This Row],[Desconto]])</f>
        <v>1612.2494867456294</v>
      </c>
      <c r="N4106" t="str">
        <f>IFERROR(INDEX(tProdutos[Foco],MATCH(tItens[[#This Row],[Produto]],tProdutos[Produto],0)),"Não")</f>
        <v>Não</v>
      </c>
      <c r="O4106" t="str">
        <f>IFERROR(INDEX(tEditais[SRP],MATCH(tItens[[#This Row],[Edital]],tEditais[Edital],0)),"Não")</f>
        <v>Não</v>
      </c>
      <c r="P4106" s="4">
        <f>IF(COUNTIFS(INDEX(tItens[Edital],1):tItens[[#This Row],[Edital]],tItens[[#This Row],[Edital]],INDEX(tItens[Produto],1):tItens[[#This Row],[Produto]],tItens[[#This Row],[Produto]])=1,1,0)</f>
        <v>1</v>
      </c>
    </row>
    <row r="4107" spans="1:16" x14ac:dyDescent="0.25">
      <c r="A4107" t="s">
        <v>1650</v>
      </c>
      <c r="B4107">
        <v>109</v>
      </c>
      <c r="C4107" t="s">
        <v>6966</v>
      </c>
      <c r="D4107" t="s">
        <v>315</v>
      </c>
      <c r="E4107" s="13">
        <v>80</v>
      </c>
      <c r="F4107" s="12">
        <v>30.4</v>
      </c>
      <c r="G4107" t="str">
        <f>IFERROR(INDEX(tEditais[Órgão],MATCH(tItens[[#This Row],[Edital]],tEditais[Edital],0)),"")</f>
        <v>COMANDO DO EXERCITO</v>
      </c>
      <c r="H4107" t="str">
        <f>IFERROR(INDEX(tEditais[UF],MATCH(tItens[[#This Row],[Edital]],tEditais[Edital],0)),"")</f>
        <v>MS</v>
      </c>
      <c r="I4107" s="11">
        <f>IFERROR(INDEX(tEditais[Encerramento],MATCH(tItens[[#This Row],[Edital]],tEditais[Edital],0)),"")</f>
        <v>46310.416666666664</v>
      </c>
      <c r="J4107" t="str">
        <f>IFERROR(INDEX(tProdutos[Classe],MATCH(tItens[[#This Row],[Produto]],tProdutos[Produto],0)),"produto não cadastrado")</f>
        <v>FORA</v>
      </c>
      <c r="K4107" s="12">
        <f>tItens[[#This Row],[Qtd]]*tItens[[#This Row],[Vlr unit]]</f>
        <v>2432</v>
      </c>
      <c r="L4107" s="6">
        <f>IFERROR(IF(INDEX(tProdutos[Desconto homologado],MATCH(tItens[[#This Row],[Produto]],tProdutos[Produto],0))="",DescontoPadrao,INDEX(tProdutos[Desconto homologado],MATCH(tItens[[#This Row],[Produto]],tProdutos[Produto],0))),DescontoPadrao)</f>
        <v>0.38432036097010702</v>
      </c>
      <c r="M4107" s="12">
        <f>tItens[[#This Row],[Valor]]*(1-tItens[[#This Row],[Desconto]])</f>
        <v>1497.3328821206997</v>
      </c>
      <c r="N4107" t="str">
        <f>IFERROR(INDEX(tProdutos[Foco],MATCH(tItens[[#This Row],[Produto]],tProdutos[Produto],0)),"Não")</f>
        <v>Não</v>
      </c>
      <c r="O4107" t="str">
        <f>IFERROR(INDEX(tEditais[SRP],MATCH(tItens[[#This Row],[Edital]],tEditais[Edital],0)),"Não")</f>
        <v>Não</v>
      </c>
      <c r="P4107" s="4">
        <f>IF(COUNTIFS(INDEX(tItens[Edital],1):tItens[[#This Row],[Edital]],tItens[[#This Row],[Edital]],INDEX(tItens[Produto],1):tItens[[#This Row],[Produto]],tItens[[#This Row],[Produto]])=1,1,0)</f>
        <v>0</v>
      </c>
    </row>
    <row r="4108" spans="1:16" x14ac:dyDescent="0.25">
      <c r="A4108" t="s">
        <v>1650</v>
      </c>
      <c r="B4108">
        <v>110</v>
      </c>
      <c r="C4108" t="s">
        <v>4138</v>
      </c>
      <c r="D4108" t="s">
        <v>315</v>
      </c>
      <c r="E4108" s="13">
        <v>70</v>
      </c>
      <c r="F4108" s="12">
        <v>29.95</v>
      </c>
      <c r="G4108" t="str">
        <f>IFERROR(INDEX(tEditais[Órgão],MATCH(tItens[[#This Row],[Edital]],tEditais[Edital],0)),"")</f>
        <v>COMANDO DO EXERCITO</v>
      </c>
      <c r="H4108" t="str">
        <f>IFERROR(INDEX(tEditais[UF],MATCH(tItens[[#This Row],[Edital]],tEditais[Edital],0)),"")</f>
        <v>MS</v>
      </c>
      <c r="I4108" s="11">
        <f>IFERROR(INDEX(tEditais[Encerramento],MATCH(tItens[[#This Row],[Edital]],tEditais[Edital],0)),"")</f>
        <v>46310.416666666664</v>
      </c>
      <c r="J4108" t="str">
        <f>IFERROR(INDEX(tProdutos[Classe],MATCH(tItens[[#This Row],[Produto]],tProdutos[Produto],0)),"produto não cadastrado")</f>
        <v>FORA</v>
      </c>
      <c r="K4108" s="12">
        <f>tItens[[#This Row],[Qtd]]*tItens[[#This Row],[Vlr unit]]</f>
        <v>2096.5</v>
      </c>
      <c r="L4108" s="6">
        <f>IFERROR(IF(INDEX(tProdutos[Desconto homologado],MATCH(tItens[[#This Row],[Produto]],tProdutos[Produto],0))="",DescontoPadrao,INDEX(tProdutos[Desconto homologado],MATCH(tItens[[#This Row],[Produto]],tProdutos[Produto],0))),DescontoPadrao)</f>
        <v>0.38432036097010702</v>
      </c>
      <c r="M4108" s="12">
        <f>tItens[[#This Row],[Valor]]*(1-tItens[[#This Row],[Desconto]])</f>
        <v>1290.7723632261707</v>
      </c>
      <c r="N4108" t="str">
        <f>IFERROR(INDEX(tProdutos[Foco],MATCH(tItens[[#This Row],[Produto]],tProdutos[Produto],0)),"Não")</f>
        <v>Não</v>
      </c>
      <c r="O4108" t="str">
        <f>IFERROR(INDEX(tEditais[SRP],MATCH(tItens[[#This Row],[Edital]],tEditais[Edital],0)),"Não")</f>
        <v>Não</v>
      </c>
      <c r="P4108" s="4">
        <f>IF(COUNTIFS(INDEX(tItens[Edital],1):tItens[[#This Row],[Edital]],tItens[[#This Row],[Edital]],INDEX(tItens[Produto],1):tItens[[#This Row],[Produto]],tItens[[#This Row],[Produto]])=1,1,0)</f>
        <v>0</v>
      </c>
    </row>
    <row r="4109" spans="1:16" x14ac:dyDescent="0.25">
      <c r="A4109" t="s">
        <v>1650</v>
      </c>
      <c r="B4109">
        <v>111</v>
      </c>
      <c r="C4109" t="s">
        <v>6967</v>
      </c>
      <c r="D4109" t="s">
        <v>461</v>
      </c>
      <c r="E4109" s="13">
        <v>82</v>
      </c>
      <c r="F4109" s="12">
        <v>48.83</v>
      </c>
      <c r="G4109" t="str">
        <f>IFERROR(INDEX(tEditais[Órgão],MATCH(tItens[[#This Row],[Edital]],tEditais[Edital],0)),"")</f>
        <v>COMANDO DO EXERCITO</v>
      </c>
      <c r="H4109" t="str">
        <f>IFERROR(INDEX(tEditais[UF],MATCH(tItens[[#This Row],[Edital]],tEditais[Edital],0)),"")</f>
        <v>MS</v>
      </c>
      <c r="I4109" s="11">
        <f>IFERROR(INDEX(tEditais[Encerramento],MATCH(tItens[[#This Row],[Edital]],tEditais[Edital],0)),"")</f>
        <v>46310.416666666664</v>
      </c>
      <c r="J4109" t="str">
        <f>IFERROR(INDEX(tProdutos[Classe],MATCH(tItens[[#This Row],[Produto]],tProdutos[Produto],0)),"produto não cadastrado")</f>
        <v>FILA REBASE</v>
      </c>
      <c r="K4109" s="12">
        <f>tItens[[#This Row],[Qtd]]*tItens[[#This Row],[Vlr unit]]</f>
        <v>4004.06</v>
      </c>
      <c r="L4109" s="6">
        <f>IFERROR(IF(INDEX(tProdutos[Desconto homologado],MATCH(tItens[[#This Row],[Produto]],tProdutos[Produto],0))="",DescontoPadrao,INDEX(tProdutos[Desconto homologado],MATCH(tItens[[#This Row],[Produto]],tProdutos[Produto],0))),DescontoPadrao)</f>
        <v>0.44096385542168698</v>
      </c>
      <c r="M4109" s="12">
        <f>tItens[[#This Row],[Valor]]*(1-tItens[[#This Row],[Desconto]])</f>
        <v>2238.4142650602398</v>
      </c>
      <c r="N4109" t="str">
        <f>IFERROR(INDEX(tProdutos[Foco],MATCH(tItens[[#This Row],[Produto]],tProdutos[Produto],0)),"Não")</f>
        <v>Não</v>
      </c>
      <c r="O4109" t="str">
        <f>IFERROR(INDEX(tEditais[SRP],MATCH(tItens[[#This Row],[Edital]],tEditais[Edital],0)),"Não")</f>
        <v>Não</v>
      </c>
      <c r="P4109" s="4">
        <f>IF(COUNTIFS(INDEX(tItens[Edital],1):tItens[[#This Row],[Edital]],tItens[[#This Row],[Edital]],INDEX(tItens[Produto],1):tItens[[#This Row],[Produto]],tItens[[#This Row],[Produto]])=1,1,0)</f>
        <v>1</v>
      </c>
    </row>
    <row r="4110" spans="1:16" x14ac:dyDescent="0.25">
      <c r="A4110" t="s">
        <v>1650</v>
      </c>
      <c r="B4110">
        <v>112</v>
      </c>
      <c r="C4110" t="s">
        <v>6968</v>
      </c>
      <c r="D4110" t="s">
        <v>375</v>
      </c>
      <c r="E4110" s="13">
        <v>81</v>
      </c>
      <c r="F4110" s="12">
        <v>48.43</v>
      </c>
      <c r="G4110" t="str">
        <f>IFERROR(INDEX(tEditais[Órgão],MATCH(tItens[[#This Row],[Edital]],tEditais[Edital],0)),"")</f>
        <v>COMANDO DO EXERCITO</v>
      </c>
      <c r="H4110" t="str">
        <f>IFERROR(INDEX(tEditais[UF],MATCH(tItens[[#This Row],[Edital]],tEditais[Edital],0)),"")</f>
        <v>MS</v>
      </c>
      <c r="I4110" s="11">
        <f>IFERROR(INDEX(tEditais[Encerramento],MATCH(tItens[[#This Row],[Edital]],tEditais[Edital],0)),"")</f>
        <v>46310.416666666664</v>
      </c>
      <c r="J4110" t="str">
        <f>IFERROR(INDEX(tProdutos[Classe],MATCH(tItens[[#This Row],[Produto]],tProdutos[Produto],0)),"produto não cadastrado")</f>
        <v>FORA</v>
      </c>
      <c r="K4110" s="12">
        <f>tItens[[#This Row],[Qtd]]*tItens[[#This Row],[Vlr unit]]</f>
        <v>3922.83</v>
      </c>
      <c r="L4110" s="6">
        <f>IFERROR(IF(INDEX(tProdutos[Desconto homologado],MATCH(tItens[[#This Row],[Produto]],tProdutos[Produto],0))="",DescontoPadrao,INDEX(tProdutos[Desconto homologado],MATCH(tItens[[#This Row],[Produto]],tProdutos[Produto],0))),DescontoPadrao)</f>
        <v>0.25005895299481201</v>
      </c>
      <c r="M4110" s="12">
        <f>tItens[[#This Row],[Valor]]*(1-tItens[[#This Row],[Desconto]])</f>
        <v>2941.8912374233614</v>
      </c>
      <c r="N4110" t="str">
        <f>IFERROR(INDEX(tProdutos[Foco],MATCH(tItens[[#This Row],[Produto]],tProdutos[Produto],0)),"Não")</f>
        <v>Não</v>
      </c>
      <c r="O4110" t="str">
        <f>IFERROR(INDEX(tEditais[SRP],MATCH(tItens[[#This Row],[Edital]],tEditais[Edital],0)),"Não")</f>
        <v>Não</v>
      </c>
      <c r="P4110" s="4">
        <f>IF(COUNTIFS(INDEX(tItens[Edital],1):tItens[[#This Row],[Edital]],tItens[[#This Row],[Edital]],INDEX(tItens[Produto],1):tItens[[#This Row],[Produto]],tItens[[#This Row],[Produto]])=1,1,0)</f>
        <v>1</v>
      </c>
    </row>
    <row r="4111" spans="1:16" x14ac:dyDescent="0.25">
      <c r="A4111" t="s">
        <v>1650</v>
      </c>
      <c r="B4111">
        <v>117</v>
      </c>
      <c r="C4111" t="s">
        <v>6969</v>
      </c>
      <c r="D4111" t="s">
        <v>413</v>
      </c>
      <c r="E4111" s="13">
        <v>195</v>
      </c>
      <c r="F4111" s="12">
        <v>28.31</v>
      </c>
      <c r="G4111" t="str">
        <f>IFERROR(INDEX(tEditais[Órgão],MATCH(tItens[[#This Row],[Edital]],tEditais[Edital],0)),"")</f>
        <v>COMANDO DO EXERCITO</v>
      </c>
      <c r="H4111" t="str">
        <f>IFERROR(INDEX(tEditais[UF],MATCH(tItens[[#This Row],[Edital]],tEditais[Edital],0)),"")</f>
        <v>MS</v>
      </c>
      <c r="I4111" s="11">
        <f>IFERROR(INDEX(tEditais[Encerramento],MATCH(tItens[[#This Row],[Edital]],tEditais[Edital],0)),"")</f>
        <v>46310.416666666664</v>
      </c>
      <c r="J4111" t="str">
        <f>IFERROR(INDEX(tProdutos[Classe],MATCH(tItens[[#This Row],[Produto]],tProdutos[Produto],0)),"produto não cadastrado")</f>
        <v>FORA</v>
      </c>
      <c r="K4111" s="12">
        <f>tItens[[#This Row],[Qtd]]*tItens[[#This Row],[Vlr unit]]</f>
        <v>5520.45</v>
      </c>
      <c r="L4111" s="6">
        <f>IFERROR(IF(INDEX(tProdutos[Desconto homologado],MATCH(tItens[[#This Row],[Produto]],tProdutos[Produto],0))="",DescontoPadrao,INDEX(tProdutos[Desconto homologado],MATCH(tItens[[#This Row],[Produto]],tProdutos[Produto],0))),DescontoPadrao)</f>
        <v>0.477732793522267</v>
      </c>
      <c r="M4111" s="12">
        <f>tItens[[#This Row],[Valor]]*(1-tItens[[#This Row],[Desconto]])</f>
        <v>2883.1500000000005</v>
      </c>
      <c r="N4111" t="str">
        <f>IFERROR(INDEX(tProdutos[Foco],MATCH(tItens[[#This Row],[Produto]],tProdutos[Produto],0)),"Não")</f>
        <v>Não</v>
      </c>
      <c r="O4111" t="str">
        <f>IFERROR(INDEX(tEditais[SRP],MATCH(tItens[[#This Row],[Edital]],tEditais[Edital],0)),"Não")</f>
        <v>Não</v>
      </c>
      <c r="P4111" s="4">
        <f>IF(COUNTIFS(INDEX(tItens[Edital],1):tItens[[#This Row],[Edital]],tItens[[#This Row],[Edital]],INDEX(tItens[Produto],1):tItens[[#This Row],[Produto]],tItens[[#This Row],[Produto]])=1,1,0)</f>
        <v>1</v>
      </c>
    </row>
    <row r="4112" spans="1:16" x14ac:dyDescent="0.25">
      <c r="A4112" t="s">
        <v>1650</v>
      </c>
      <c r="B4112">
        <v>118</v>
      </c>
      <c r="C4112" t="s">
        <v>6970</v>
      </c>
      <c r="D4112" t="s">
        <v>313</v>
      </c>
      <c r="E4112" s="13">
        <v>155</v>
      </c>
      <c r="F4112" s="12">
        <v>178</v>
      </c>
      <c r="G4112" t="str">
        <f>IFERROR(INDEX(tEditais[Órgão],MATCH(tItens[[#This Row],[Edital]],tEditais[Edital],0)),"")</f>
        <v>COMANDO DO EXERCITO</v>
      </c>
      <c r="H4112" t="str">
        <f>IFERROR(INDEX(tEditais[UF],MATCH(tItens[[#This Row],[Edital]],tEditais[Edital],0)),"")</f>
        <v>MS</v>
      </c>
      <c r="I4112" s="11">
        <f>IFERROR(INDEX(tEditais[Encerramento],MATCH(tItens[[#This Row],[Edital]],tEditais[Edital],0)),"")</f>
        <v>46310.416666666664</v>
      </c>
      <c r="J4112" t="str">
        <f>IFERROR(INDEX(tProdutos[Classe],MATCH(tItens[[#This Row],[Produto]],tProdutos[Produto],0)),"produto não cadastrado")</f>
        <v>FORA</v>
      </c>
      <c r="K4112" s="12">
        <f>tItens[[#This Row],[Qtd]]*tItens[[#This Row],[Vlr unit]]</f>
        <v>27590</v>
      </c>
      <c r="L4112" s="6">
        <f>IFERROR(IF(INDEX(tProdutos[Desconto homologado],MATCH(tItens[[#This Row],[Produto]],tProdutos[Produto],0))="",DescontoPadrao,INDEX(tProdutos[Desconto homologado],MATCH(tItens[[#This Row],[Produto]],tProdutos[Produto],0))),DescontoPadrao)</f>
        <v>0.35766373163696302</v>
      </c>
      <c r="M4112" s="12">
        <f>tItens[[#This Row],[Valor]]*(1-tItens[[#This Row],[Desconto]])</f>
        <v>17722.057644136188</v>
      </c>
      <c r="N4112" t="str">
        <f>IFERROR(INDEX(tProdutos[Foco],MATCH(tItens[[#This Row],[Produto]],tProdutos[Produto],0)),"Não")</f>
        <v>Não</v>
      </c>
      <c r="O4112" t="str">
        <f>IFERROR(INDEX(tEditais[SRP],MATCH(tItens[[#This Row],[Edital]],tEditais[Edital],0)),"Não")</f>
        <v>Não</v>
      </c>
      <c r="P4112" s="4">
        <f>IF(COUNTIFS(INDEX(tItens[Edital],1):tItens[[#This Row],[Edital]],tItens[[#This Row],[Edital]],INDEX(tItens[Produto],1):tItens[[#This Row],[Produto]],tItens[[#This Row],[Produto]])=1,1,0)</f>
        <v>1</v>
      </c>
    </row>
    <row r="4113" spans="1:16" x14ac:dyDescent="0.25">
      <c r="A4113" t="s">
        <v>1650</v>
      </c>
      <c r="B4113">
        <v>119</v>
      </c>
      <c r="C4113" t="s">
        <v>6970</v>
      </c>
      <c r="D4113" t="s">
        <v>313</v>
      </c>
      <c r="E4113" s="13">
        <v>149</v>
      </c>
      <c r="F4113" s="12">
        <v>53</v>
      </c>
      <c r="G4113" t="str">
        <f>IFERROR(INDEX(tEditais[Órgão],MATCH(tItens[[#This Row],[Edital]],tEditais[Edital],0)),"")</f>
        <v>COMANDO DO EXERCITO</v>
      </c>
      <c r="H4113" t="str">
        <f>IFERROR(INDEX(tEditais[UF],MATCH(tItens[[#This Row],[Edital]],tEditais[Edital],0)),"")</f>
        <v>MS</v>
      </c>
      <c r="I4113" s="11">
        <f>IFERROR(INDEX(tEditais[Encerramento],MATCH(tItens[[#This Row],[Edital]],tEditais[Edital],0)),"")</f>
        <v>46310.416666666664</v>
      </c>
      <c r="J4113" t="str">
        <f>IFERROR(INDEX(tProdutos[Classe],MATCH(tItens[[#This Row],[Produto]],tProdutos[Produto],0)),"produto não cadastrado")</f>
        <v>FORA</v>
      </c>
      <c r="K4113" s="12">
        <f>tItens[[#This Row],[Qtd]]*tItens[[#This Row],[Vlr unit]]</f>
        <v>7897</v>
      </c>
      <c r="L4113" s="6">
        <f>IFERROR(IF(INDEX(tProdutos[Desconto homologado],MATCH(tItens[[#This Row],[Produto]],tProdutos[Produto],0))="",DescontoPadrao,INDEX(tProdutos[Desconto homologado],MATCH(tItens[[#This Row],[Produto]],tProdutos[Produto],0))),DescontoPadrao)</f>
        <v>0.35766373163696302</v>
      </c>
      <c r="M4113" s="12">
        <f>tItens[[#This Row],[Valor]]*(1-tItens[[#This Row],[Desconto]])</f>
        <v>5072.5295112629028</v>
      </c>
      <c r="N4113" t="str">
        <f>IFERROR(INDEX(tProdutos[Foco],MATCH(tItens[[#This Row],[Produto]],tProdutos[Produto],0)),"Não")</f>
        <v>Não</v>
      </c>
      <c r="O4113" t="str">
        <f>IFERROR(INDEX(tEditais[SRP],MATCH(tItens[[#This Row],[Edital]],tEditais[Edital],0)),"Não")</f>
        <v>Não</v>
      </c>
      <c r="P4113" s="4">
        <f>IF(COUNTIFS(INDEX(tItens[Edital],1):tItens[[#This Row],[Edital]],tItens[[#This Row],[Edital]],INDEX(tItens[Produto],1):tItens[[#This Row],[Produto]],tItens[[#This Row],[Produto]])=1,1,0)</f>
        <v>0</v>
      </c>
    </row>
    <row r="4114" spans="1:16" x14ac:dyDescent="0.25">
      <c r="A4114" t="s">
        <v>1650</v>
      </c>
      <c r="B4114">
        <v>131</v>
      </c>
      <c r="C4114" t="s">
        <v>6971</v>
      </c>
      <c r="D4114" t="s">
        <v>333</v>
      </c>
      <c r="E4114" s="13">
        <v>219</v>
      </c>
      <c r="F4114" s="12">
        <v>104</v>
      </c>
      <c r="G4114" t="str">
        <f>IFERROR(INDEX(tEditais[Órgão],MATCH(tItens[[#This Row],[Edital]],tEditais[Edital],0)),"")</f>
        <v>COMANDO DO EXERCITO</v>
      </c>
      <c r="H4114" t="str">
        <f>IFERROR(INDEX(tEditais[UF],MATCH(tItens[[#This Row],[Edital]],tEditais[Edital],0)),"")</f>
        <v>MS</v>
      </c>
      <c r="I4114" s="11">
        <f>IFERROR(INDEX(tEditais[Encerramento],MATCH(tItens[[#This Row],[Edital]],tEditais[Edital],0)),"")</f>
        <v>46310.416666666664</v>
      </c>
      <c r="J4114" t="str">
        <f>IFERROR(INDEX(tProdutos[Classe],MATCH(tItens[[#This Row],[Produto]],tProdutos[Produto],0)),"produto não cadastrado")</f>
        <v>FORA</v>
      </c>
      <c r="K4114" s="12">
        <f>tItens[[#This Row],[Qtd]]*tItens[[#This Row],[Vlr unit]]</f>
        <v>22776</v>
      </c>
      <c r="L4114" s="6">
        <f>IFERROR(IF(INDEX(tProdutos[Desconto homologado],MATCH(tItens[[#This Row],[Produto]],tProdutos[Produto],0))="",DescontoPadrao,INDEX(tProdutos[Desconto homologado],MATCH(tItens[[#This Row],[Produto]],tProdutos[Produto],0))),DescontoPadrao)</f>
        <v>0.48951048951048998</v>
      </c>
      <c r="M4114" s="12">
        <f>tItens[[#This Row],[Valor]]*(1-tItens[[#This Row],[Desconto]])</f>
        <v>11626.909090909079</v>
      </c>
      <c r="N4114" t="str">
        <f>IFERROR(INDEX(tProdutos[Foco],MATCH(tItens[[#This Row],[Produto]],tProdutos[Produto],0)),"Não")</f>
        <v>Não</v>
      </c>
      <c r="O4114" t="str">
        <f>IFERROR(INDEX(tEditais[SRP],MATCH(tItens[[#This Row],[Edital]],tEditais[Edital],0)),"Não")</f>
        <v>Não</v>
      </c>
      <c r="P4114" s="4">
        <f>IF(COUNTIFS(INDEX(tItens[Edital],1):tItens[[#This Row],[Edital]],tItens[[#This Row],[Edital]],INDEX(tItens[Produto],1):tItens[[#This Row],[Produto]],tItens[[#This Row],[Produto]])=1,1,0)</f>
        <v>1</v>
      </c>
    </row>
    <row r="4115" spans="1:16" x14ac:dyDescent="0.25">
      <c r="A4115" t="s">
        <v>1650</v>
      </c>
      <c r="B4115">
        <v>132</v>
      </c>
      <c r="C4115" t="s">
        <v>6964</v>
      </c>
      <c r="D4115" t="s">
        <v>503</v>
      </c>
      <c r="E4115" s="13">
        <v>220</v>
      </c>
      <c r="F4115" s="12">
        <v>29</v>
      </c>
      <c r="G4115" t="str">
        <f>IFERROR(INDEX(tEditais[Órgão],MATCH(tItens[[#This Row],[Edital]],tEditais[Edital],0)),"")</f>
        <v>COMANDO DO EXERCITO</v>
      </c>
      <c r="H4115" t="str">
        <f>IFERROR(INDEX(tEditais[UF],MATCH(tItens[[#This Row],[Edital]],tEditais[Edital],0)),"")</f>
        <v>MS</v>
      </c>
      <c r="I4115" s="11">
        <f>IFERROR(INDEX(tEditais[Encerramento],MATCH(tItens[[#This Row],[Edital]],tEditais[Edital],0)),"")</f>
        <v>46310.416666666664</v>
      </c>
      <c r="J4115" t="str">
        <f>IFERROR(INDEX(tProdutos[Classe],MATCH(tItens[[#This Row],[Produto]],tProdutos[Produto],0)),"produto não cadastrado")</f>
        <v>FILA REBASE</v>
      </c>
      <c r="K4115" s="12">
        <f>tItens[[#This Row],[Qtd]]*tItens[[#This Row],[Vlr unit]]</f>
        <v>6380</v>
      </c>
      <c r="L4115" s="6">
        <f>IFERROR(IF(INDEX(tProdutos[Desconto homologado],MATCH(tItens[[#This Row],[Produto]],tProdutos[Produto],0))="",DescontoPadrao,INDEX(tProdutos[Desconto homologado],MATCH(tItens[[#This Row],[Produto]],tProdutos[Produto],0))),DescontoPadrao)</f>
        <v>0.54492561591744004</v>
      </c>
      <c r="M4115" s="12">
        <f>tItens[[#This Row],[Valor]]*(1-tItens[[#This Row],[Desconto]])</f>
        <v>2903.3745704467324</v>
      </c>
      <c r="N4115" t="str">
        <f>IFERROR(INDEX(tProdutos[Foco],MATCH(tItens[[#This Row],[Produto]],tProdutos[Produto],0)),"Não")</f>
        <v>Não</v>
      </c>
      <c r="O4115" t="str">
        <f>IFERROR(INDEX(tEditais[SRP],MATCH(tItens[[#This Row],[Edital]],tEditais[Edital],0)),"Não")</f>
        <v>Não</v>
      </c>
      <c r="P4115" s="4">
        <f>IF(COUNTIFS(INDEX(tItens[Edital],1):tItens[[#This Row],[Edital]],tItens[[#This Row],[Edital]],INDEX(tItens[Produto],1):tItens[[#This Row],[Produto]],tItens[[#This Row],[Produto]])=1,1,0)</f>
        <v>0</v>
      </c>
    </row>
    <row r="4116" spans="1:16" x14ac:dyDescent="0.25">
      <c r="A4116" t="s">
        <v>1653</v>
      </c>
      <c r="B4116">
        <v>15</v>
      </c>
      <c r="C4116" t="s">
        <v>6972</v>
      </c>
      <c r="D4116" t="s">
        <v>311</v>
      </c>
      <c r="E4116" s="13">
        <v>60</v>
      </c>
      <c r="F4116" s="12">
        <v>14.55</v>
      </c>
      <c r="G4116" t="str">
        <f>IFERROR(INDEX(tEditais[Órgão],MATCH(tItens[[#This Row],[Edital]],tEditais[Edital],0)),"")</f>
        <v>COMANDO DO EXERCITO</v>
      </c>
      <c r="H4116" t="str">
        <f>IFERROR(INDEX(tEditais[UF],MATCH(tItens[[#This Row],[Edital]],tEditais[Edital],0)),"")</f>
        <v>MS</v>
      </c>
      <c r="I4116" s="11">
        <f>IFERROR(INDEX(tEditais[Encerramento],MATCH(tItens[[#This Row],[Edital]],tEditais[Edital],0)),"")</f>
        <v>46310.4375</v>
      </c>
      <c r="J4116" t="str">
        <f>IFERROR(INDEX(tProdutos[Classe],MATCH(tItens[[#This Row],[Produto]],tProdutos[Produto],0)),"produto não cadastrado")</f>
        <v>FORA</v>
      </c>
      <c r="K4116" s="12">
        <f>tItens[[#This Row],[Qtd]]*tItens[[#This Row],[Vlr unit]]</f>
        <v>873</v>
      </c>
      <c r="L4116" s="6">
        <f>IFERROR(IF(INDEX(tProdutos[Desconto homologado],MATCH(tItens[[#This Row],[Produto]],tProdutos[Produto],0))="",DescontoPadrao,INDEX(tProdutos[Desconto homologado],MATCH(tItens[[#This Row],[Produto]],tProdutos[Produto],0))),DescontoPadrao)</f>
        <v>0.29046182846371399</v>
      </c>
      <c r="M4116" s="12">
        <f>tItens[[#This Row],[Valor]]*(1-tItens[[#This Row],[Desconto]])</f>
        <v>619.42682375117772</v>
      </c>
      <c r="N4116" t="str">
        <f>IFERROR(INDEX(tProdutos[Foco],MATCH(tItens[[#This Row],[Produto]],tProdutos[Produto],0)),"Não")</f>
        <v>Não</v>
      </c>
      <c r="O4116" t="str">
        <f>IFERROR(INDEX(tEditais[SRP],MATCH(tItens[[#This Row],[Edital]],tEditais[Edital],0)),"Não")</f>
        <v>Não</v>
      </c>
      <c r="P4116" s="4">
        <f>IF(COUNTIFS(INDEX(tItens[Edital],1):tItens[[#This Row],[Edital]],tItens[[#This Row],[Edital]],INDEX(tItens[Produto],1):tItens[[#This Row],[Produto]],tItens[[#This Row],[Produto]])=1,1,0)</f>
        <v>1</v>
      </c>
    </row>
    <row r="4117" spans="1:16" x14ac:dyDescent="0.25">
      <c r="A4117" t="s">
        <v>1653</v>
      </c>
      <c r="B4117">
        <v>16</v>
      </c>
      <c r="C4117" t="s">
        <v>6973</v>
      </c>
      <c r="D4117" t="s">
        <v>311</v>
      </c>
      <c r="E4117" s="13">
        <v>60</v>
      </c>
      <c r="F4117" s="12">
        <v>9.8000000000000007</v>
      </c>
      <c r="G4117" t="str">
        <f>IFERROR(INDEX(tEditais[Órgão],MATCH(tItens[[#This Row],[Edital]],tEditais[Edital],0)),"")</f>
        <v>COMANDO DO EXERCITO</v>
      </c>
      <c r="H4117" t="str">
        <f>IFERROR(INDEX(tEditais[UF],MATCH(tItens[[#This Row],[Edital]],tEditais[Edital],0)),"")</f>
        <v>MS</v>
      </c>
      <c r="I4117" s="11">
        <f>IFERROR(INDEX(tEditais[Encerramento],MATCH(tItens[[#This Row],[Edital]],tEditais[Edital],0)),"")</f>
        <v>46310.4375</v>
      </c>
      <c r="J4117" t="str">
        <f>IFERROR(INDEX(tProdutos[Classe],MATCH(tItens[[#This Row],[Produto]],tProdutos[Produto],0)),"produto não cadastrado")</f>
        <v>FORA</v>
      </c>
      <c r="K4117" s="12">
        <f>tItens[[#This Row],[Qtd]]*tItens[[#This Row],[Vlr unit]]</f>
        <v>588</v>
      </c>
      <c r="L4117" s="6">
        <f>IFERROR(IF(INDEX(tProdutos[Desconto homologado],MATCH(tItens[[#This Row],[Produto]],tProdutos[Produto],0))="",DescontoPadrao,INDEX(tProdutos[Desconto homologado],MATCH(tItens[[#This Row],[Produto]],tProdutos[Produto],0))),DescontoPadrao)</f>
        <v>0.29046182846371399</v>
      </c>
      <c r="M4117" s="12">
        <f>tItens[[#This Row],[Valor]]*(1-tItens[[#This Row],[Desconto]])</f>
        <v>417.20844486333618</v>
      </c>
      <c r="N4117" t="str">
        <f>IFERROR(INDEX(tProdutos[Foco],MATCH(tItens[[#This Row],[Produto]],tProdutos[Produto],0)),"Não")</f>
        <v>Não</v>
      </c>
      <c r="O4117" t="str">
        <f>IFERROR(INDEX(tEditais[SRP],MATCH(tItens[[#This Row],[Edital]],tEditais[Edital],0)),"Não")</f>
        <v>Não</v>
      </c>
      <c r="P4117" s="4">
        <f>IF(COUNTIFS(INDEX(tItens[Edital],1):tItens[[#This Row],[Edital]],tItens[[#This Row],[Edital]],INDEX(tItens[Produto],1):tItens[[#This Row],[Produto]],tItens[[#This Row],[Produto]])=1,1,0)</f>
        <v>0</v>
      </c>
    </row>
    <row r="4118" spans="1:16" x14ac:dyDescent="0.25">
      <c r="A4118" t="s">
        <v>1653</v>
      </c>
      <c r="B4118">
        <v>21</v>
      </c>
      <c r="C4118" t="s">
        <v>6974</v>
      </c>
      <c r="D4118" t="s">
        <v>371</v>
      </c>
      <c r="E4118" s="13">
        <v>200</v>
      </c>
      <c r="F4118" s="12">
        <v>0.46</v>
      </c>
      <c r="G4118" t="str">
        <f>IFERROR(INDEX(tEditais[Órgão],MATCH(tItens[[#This Row],[Edital]],tEditais[Edital],0)),"")</f>
        <v>COMANDO DO EXERCITO</v>
      </c>
      <c r="H4118" t="str">
        <f>IFERROR(INDEX(tEditais[UF],MATCH(tItens[[#This Row],[Edital]],tEditais[Edital],0)),"")</f>
        <v>MS</v>
      </c>
      <c r="I4118" s="11">
        <f>IFERROR(INDEX(tEditais[Encerramento],MATCH(tItens[[#This Row],[Edital]],tEditais[Edital],0)),"")</f>
        <v>46310.4375</v>
      </c>
      <c r="J4118" t="str">
        <f>IFERROR(INDEX(tProdutos[Classe],MATCH(tItens[[#This Row],[Produto]],tProdutos[Produto],0)),"produto não cadastrado")</f>
        <v>FORA</v>
      </c>
      <c r="K4118" s="12">
        <f>tItens[[#This Row],[Qtd]]*tItens[[#This Row],[Vlr unit]]</f>
        <v>92</v>
      </c>
      <c r="L4118" s="6">
        <f>IFERROR(IF(INDEX(tProdutos[Desconto homologado],MATCH(tItens[[#This Row],[Produto]],tProdutos[Produto],0))="",DescontoPadrao,INDEX(tProdutos[Desconto homologado],MATCH(tItens[[#This Row],[Produto]],tProdutos[Produto],0))),DescontoPadrao)</f>
        <v>0.217826086956522</v>
      </c>
      <c r="M4118" s="12">
        <f>tItens[[#This Row],[Valor]]*(1-tItens[[#This Row],[Desconto]])</f>
        <v>71.959999999999965</v>
      </c>
      <c r="N4118" t="str">
        <f>IFERROR(INDEX(tProdutos[Foco],MATCH(tItens[[#This Row],[Produto]],tProdutos[Produto],0)),"Não")</f>
        <v>Não</v>
      </c>
      <c r="O4118" t="str">
        <f>IFERROR(INDEX(tEditais[SRP],MATCH(tItens[[#This Row],[Edital]],tEditais[Edital],0)),"Não")</f>
        <v>Não</v>
      </c>
      <c r="P4118" s="4">
        <f>IF(COUNTIFS(INDEX(tItens[Edital],1):tItens[[#This Row],[Edital]],tItens[[#This Row],[Edital]],INDEX(tItens[Produto],1):tItens[[#This Row],[Produto]],tItens[[#This Row],[Produto]])=1,1,0)</f>
        <v>1</v>
      </c>
    </row>
    <row r="4119" spans="1:16" x14ac:dyDescent="0.25">
      <c r="A4119" t="s">
        <v>1653</v>
      </c>
      <c r="B4119">
        <v>23</v>
      </c>
      <c r="C4119" t="s">
        <v>6975</v>
      </c>
      <c r="D4119" t="s">
        <v>333</v>
      </c>
      <c r="E4119" s="13">
        <v>1000</v>
      </c>
      <c r="F4119" s="12">
        <v>3.21</v>
      </c>
      <c r="G4119" t="str">
        <f>IFERROR(INDEX(tEditais[Órgão],MATCH(tItens[[#This Row],[Edital]],tEditais[Edital],0)),"")</f>
        <v>COMANDO DO EXERCITO</v>
      </c>
      <c r="H4119" t="str">
        <f>IFERROR(INDEX(tEditais[UF],MATCH(tItens[[#This Row],[Edital]],tEditais[Edital],0)),"")</f>
        <v>MS</v>
      </c>
      <c r="I4119" s="11">
        <f>IFERROR(INDEX(tEditais[Encerramento],MATCH(tItens[[#This Row],[Edital]],tEditais[Edital],0)),"")</f>
        <v>46310.4375</v>
      </c>
      <c r="J4119" t="str">
        <f>IFERROR(INDEX(tProdutos[Classe],MATCH(tItens[[#This Row],[Produto]],tProdutos[Produto],0)),"produto não cadastrado")</f>
        <v>FORA</v>
      </c>
      <c r="K4119" s="12">
        <f>tItens[[#This Row],[Qtd]]*tItens[[#This Row],[Vlr unit]]</f>
        <v>3210</v>
      </c>
      <c r="L4119" s="6">
        <f>IFERROR(IF(INDEX(tProdutos[Desconto homologado],MATCH(tItens[[#This Row],[Produto]],tProdutos[Produto],0))="",DescontoPadrao,INDEX(tProdutos[Desconto homologado],MATCH(tItens[[#This Row],[Produto]],tProdutos[Produto],0))),DescontoPadrao)</f>
        <v>0.48951048951048998</v>
      </c>
      <c r="M4119" s="12">
        <f>tItens[[#This Row],[Valor]]*(1-tItens[[#This Row],[Desconto]])</f>
        <v>1638.671328671327</v>
      </c>
      <c r="N4119" t="str">
        <f>IFERROR(INDEX(tProdutos[Foco],MATCH(tItens[[#This Row],[Produto]],tProdutos[Produto],0)),"Não")</f>
        <v>Não</v>
      </c>
      <c r="O4119" t="str">
        <f>IFERROR(INDEX(tEditais[SRP],MATCH(tItens[[#This Row],[Edital]],tEditais[Edital],0)),"Não")</f>
        <v>Não</v>
      </c>
      <c r="P4119" s="4">
        <f>IF(COUNTIFS(INDEX(tItens[Edital],1):tItens[[#This Row],[Edital]],tItens[[#This Row],[Edital]],INDEX(tItens[Produto],1):tItens[[#This Row],[Produto]],tItens[[#This Row],[Produto]])=1,1,0)</f>
        <v>1</v>
      </c>
    </row>
    <row r="4120" spans="1:16" x14ac:dyDescent="0.25">
      <c r="A4120" t="s">
        <v>1657</v>
      </c>
      <c r="B4120">
        <v>38</v>
      </c>
      <c r="C4120" t="s">
        <v>6976</v>
      </c>
      <c r="D4120" t="s">
        <v>273</v>
      </c>
      <c r="E4120" s="13">
        <v>5</v>
      </c>
      <c r="F4120" s="12">
        <v>599</v>
      </c>
      <c r="G4120" t="str">
        <f>IFERROR(INDEX(tEditais[Órgão],MATCH(tItens[[#This Row],[Edital]],tEditais[Edital],0)),"")</f>
        <v>FUNDACAO UNIVERSIDADE FEDERAL DA GRANDE DOURADOS</v>
      </c>
      <c r="H4120" t="str">
        <f>IFERROR(INDEX(tEditais[UF],MATCH(tItens[[#This Row],[Edital]],tEditais[Edital],0)),"")</f>
        <v>MS</v>
      </c>
      <c r="I4120" s="11">
        <f>IFERROR(INDEX(tEditais[Encerramento],MATCH(tItens[[#This Row],[Edital]],tEditais[Edital],0)),"")</f>
        <v>46314.374305555553</v>
      </c>
      <c r="J4120" t="str">
        <f>IFERROR(INDEX(tProdutos[Classe],MATCH(tItens[[#This Row],[Produto]],tProdutos[Produto],0)),"produto não cadastrado")</f>
        <v>FORA</v>
      </c>
      <c r="K4120" s="12">
        <f>tItens[[#This Row],[Qtd]]*tItens[[#This Row],[Vlr unit]]</f>
        <v>2995</v>
      </c>
      <c r="L4120" s="6">
        <f>IFERROR(IF(INDEX(tProdutos[Desconto homologado],MATCH(tItens[[#This Row],[Produto]],tProdutos[Produto],0))="",DescontoPadrao,INDEX(tProdutos[Desconto homologado],MATCH(tItens[[#This Row],[Produto]],tProdutos[Produto],0))),DescontoPadrao)</f>
        <v>0.33168166649812902</v>
      </c>
      <c r="M4120" s="12">
        <f>tItens[[#This Row],[Valor]]*(1-tItens[[#This Row],[Desconto]])</f>
        <v>2001.6134088381036</v>
      </c>
      <c r="N4120" t="str">
        <f>IFERROR(INDEX(tProdutos[Foco],MATCH(tItens[[#This Row],[Produto]],tProdutos[Produto],0)),"Não")</f>
        <v>Não</v>
      </c>
      <c r="O4120" t="str">
        <f>IFERROR(INDEX(tEditais[SRP],MATCH(tItens[[#This Row],[Edital]],tEditais[Edital],0)),"Não")</f>
        <v>Não</v>
      </c>
      <c r="P4120" s="4">
        <f>IF(COUNTIFS(INDEX(tItens[Edital],1):tItens[[#This Row],[Edital]],tItens[[#This Row],[Edital]],INDEX(tItens[Produto],1):tItens[[#This Row],[Produto]],tItens[[#This Row],[Produto]])=1,1,0)</f>
        <v>1</v>
      </c>
    </row>
    <row r="4121" spans="1:16" x14ac:dyDescent="0.25">
      <c r="A4121" t="s">
        <v>1662</v>
      </c>
      <c r="B4121">
        <v>4</v>
      </c>
      <c r="C4121" t="s">
        <v>6977</v>
      </c>
      <c r="D4121" t="s">
        <v>315</v>
      </c>
      <c r="E4121" s="13">
        <v>312</v>
      </c>
      <c r="F4121" s="12">
        <v>0</v>
      </c>
      <c r="G4121" t="str">
        <f>IFERROR(INDEX(tEditais[Órgão],MATCH(tItens[[#This Row],[Edital]],tEditais[Edital],0)),"")</f>
        <v>MUNICIPIO DE PARANAIBA</v>
      </c>
      <c r="H4121" t="str">
        <f>IFERROR(INDEX(tEditais[UF],MATCH(tItens[[#This Row],[Edital]],tEditais[Edital],0)),"")</f>
        <v>MS</v>
      </c>
      <c r="I4121" s="11">
        <f>IFERROR(INDEX(tEditais[Encerramento],MATCH(tItens[[#This Row],[Edital]],tEditais[Edital],0)),"")</f>
        <v>46314.375</v>
      </c>
      <c r="J4121" t="str">
        <f>IFERROR(INDEX(tProdutos[Classe],MATCH(tItens[[#This Row],[Produto]],tProdutos[Produto],0)),"produto não cadastrado")</f>
        <v>FORA</v>
      </c>
      <c r="K4121" s="12">
        <f>tItens[[#This Row],[Qtd]]*tItens[[#This Row],[Vlr unit]]</f>
        <v>0</v>
      </c>
      <c r="L4121" s="6">
        <f>IFERROR(IF(INDEX(tProdutos[Desconto homologado],MATCH(tItens[[#This Row],[Produto]],tProdutos[Produto],0))="",DescontoPadrao,INDEX(tProdutos[Desconto homologado],MATCH(tItens[[#This Row],[Produto]],tProdutos[Produto],0))),DescontoPadrao)</f>
        <v>0.38432036097010702</v>
      </c>
      <c r="M4121" s="12">
        <f>tItens[[#This Row],[Valor]]*(1-tItens[[#This Row],[Desconto]])</f>
        <v>0</v>
      </c>
      <c r="N4121" t="str">
        <f>IFERROR(INDEX(tProdutos[Foco],MATCH(tItens[[#This Row],[Produto]],tProdutos[Produto],0)),"Não")</f>
        <v>Não</v>
      </c>
      <c r="O4121" t="str">
        <f>IFERROR(INDEX(tEditais[SRP],MATCH(tItens[[#This Row],[Edital]],tEditais[Edital],0)),"Não")</f>
        <v>Sim</v>
      </c>
      <c r="P4121" s="4">
        <f>IF(COUNTIFS(INDEX(tItens[Edital],1):tItens[[#This Row],[Edital]],tItens[[#This Row],[Edital]],INDEX(tItens[Produto],1):tItens[[#This Row],[Produto]],tItens[[#This Row],[Produto]])=1,1,0)</f>
        <v>1</v>
      </c>
    </row>
    <row r="4122" spans="1:16" x14ac:dyDescent="0.25">
      <c r="A4122" t="s">
        <v>1662</v>
      </c>
      <c r="B4122">
        <v>5</v>
      </c>
      <c r="C4122" t="s">
        <v>6978</v>
      </c>
      <c r="D4122" t="s">
        <v>315</v>
      </c>
      <c r="E4122" s="13">
        <v>200</v>
      </c>
      <c r="F4122" s="12">
        <v>0</v>
      </c>
      <c r="G4122" t="str">
        <f>IFERROR(INDEX(tEditais[Órgão],MATCH(tItens[[#This Row],[Edital]],tEditais[Edital],0)),"")</f>
        <v>MUNICIPIO DE PARANAIBA</v>
      </c>
      <c r="H4122" t="str">
        <f>IFERROR(INDEX(tEditais[UF],MATCH(tItens[[#This Row],[Edital]],tEditais[Edital],0)),"")</f>
        <v>MS</v>
      </c>
      <c r="I4122" s="11">
        <f>IFERROR(INDEX(tEditais[Encerramento],MATCH(tItens[[#This Row],[Edital]],tEditais[Edital],0)),"")</f>
        <v>46314.375</v>
      </c>
      <c r="J4122" t="str">
        <f>IFERROR(INDEX(tProdutos[Classe],MATCH(tItens[[#This Row],[Produto]],tProdutos[Produto],0)),"produto não cadastrado")</f>
        <v>FORA</v>
      </c>
      <c r="K4122" s="12">
        <f>tItens[[#This Row],[Qtd]]*tItens[[#This Row],[Vlr unit]]</f>
        <v>0</v>
      </c>
      <c r="L4122" s="6">
        <f>IFERROR(IF(INDEX(tProdutos[Desconto homologado],MATCH(tItens[[#This Row],[Produto]],tProdutos[Produto],0))="",DescontoPadrao,INDEX(tProdutos[Desconto homologado],MATCH(tItens[[#This Row],[Produto]],tProdutos[Produto],0))),DescontoPadrao)</f>
        <v>0.38432036097010702</v>
      </c>
      <c r="M4122" s="12">
        <f>tItens[[#This Row],[Valor]]*(1-tItens[[#This Row],[Desconto]])</f>
        <v>0</v>
      </c>
      <c r="N4122" t="str">
        <f>IFERROR(INDEX(tProdutos[Foco],MATCH(tItens[[#This Row],[Produto]],tProdutos[Produto],0)),"Não")</f>
        <v>Não</v>
      </c>
      <c r="O4122" t="str">
        <f>IFERROR(INDEX(tEditais[SRP],MATCH(tItens[[#This Row],[Edital]],tEditais[Edital],0)),"Não")</f>
        <v>Sim</v>
      </c>
      <c r="P4122" s="4">
        <f>IF(COUNTIFS(INDEX(tItens[Edital],1):tItens[[#This Row],[Edital]],tItens[[#This Row],[Edital]],INDEX(tItens[Produto],1):tItens[[#This Row],[Produto]],tItens[[#This Row],[Produto]])=1,1,0)</f>
        <v>0</v>
      </c>
    </row>
    <row r="4123" spans="1:16" x14ac:dyDescent="0.25">
      <c r="A4123" t="s">
        <v>1662</v>
      </c>
      <c r="B4123">
        <v>6</v>
      </c>
      <c r="C4123" t="s">
        <v>6979</v>
      </c>
      <c r="D4123" t="s">
        <v>315</v>
      </c>
      <c r="E4123" s="13">
        <v>200</v>
      </c>
      <c r="F4123" s="12">
        <v>0</v>
      </c>
      <c r="G4123" t="str">
        <f>IFERROR(INDEX(tEditais[Órgão],MATCH(tItens[[#This Row],[Edital]],tEditais[Edital],0)),"")</f>
        <v>MUNICIPIO DE PARANAIBA</v>
      </c>
      <c r="H4123" t="str">
        <f>IFERROR(INDEX(tEditais[UF],MATCH(tItens[[#This Row],[Edital]],tEditais[Edital],0)),"")</f>
        <v>MS</v>
      </c>
      <c r="I4123" s="11">
        <f>IFERROR(INDEX(tEditais[Encerramento],MATCH(tItens[[#This Row],[Edital]],tEditais[Edital],0)),"")</f>
        <v>46314.375</v>
      </c>
      <c r="J4123" t="str">
        <f>IFERROR(INDEX(tProdutos[Classe],MATCH(tItens[[#This Row],[Produto]],tProdutos[Produto],0)),"produto não cadastrado")</f>
        <v>FORA</v>
      </c>
      <c r="K4123" s="12">
        <f>tItens[[#This Row],[Qtd]]*tItens[[#This Row],[Vlr unit]]</f>
        <v>0</v>
      </c>
      <c r="L4123" s="6">
        <f>IFERROR(IF(INDEX(tProdutos[Desconto homologado],MATCH(tItens[[#This Row],[Produto]],tProdutos[Produto],0))="",DescontoPadrao,INDEX(tProdutos[Desconto homologado],MATCH(tItens[[#This Row],[Produto]],tProdutos[Produto],0))),DescontoPadrao)</f>
        <v>0.38432036097010702</v>
      </c>
      <c r="M4123" s="12">
        <f>tItens[[#This Row],[Valor]]*(1-tItens[[#This Row],[Desconto]])</f>
        <v>0</v>
      </c>
      <c r="N4123" t="str">
        <f>IFERROR(INDEX(tProdutos[Foco],MATCH(tItens[[#This Row],[Produto]],tProdutos[Produto],0)),"Não")</f>
        <v>Não</v>
      </c>
      <c r="O4123" t="str">
        <f>IFERROR(INDEX(tEditais[SRP],MATCH(tItens[[#This Row],[Edital]],tEditais[Edital],0)),"Não")</f>
        <v>Sim</v>
      </c>
      <c r="P4123" s="4">
        <f>IF(COUNTIFS(INDEX(tItens[Edital],1):tItens[[#This Row],[Edital]],tItens[[#This Row],[Edital]],INDEX(tItens[Produto],1):tItens[[#This Row],[Produto]],tItens[[#This Row],[Produto]])=1,1,0)</f>
        <v>0</v>
      </c>
    </row>
    <row r="4124" spans="1:16" x14ac:dyDescent="0.25">
      <c r="A4124" t="s">
        <v>1662</v>
      </c>
      <c r="B4124">
        <v>7</v>
      </c>
      <c r="C4124" t="s">
        <v>6980</v>
      </c>
      <c r="D4124" t="s">
        <v>315</v>
      </c>
      <c r="E4124" s="13">
        <v>200</v>
      </c>
      <c r="F4124" s="12">
        <v>0</v>
      </c>
      <c r="G4124" t="str">
        <f>IFERROR(INDEX(tEditais[Órgão],MATCH(tItens[[#This Row],[Edital]],tEditais[Edital],0)),"")</f>
        <v>MUNICIPIO DE PARANAIBA</v>
      </c>
      <c r="H4124" t="str">
        <f>IFERROR(INDEX(tEditais[UF],MATCH(tItens[[#This Row],[Edital]],tEditais[Edital],0)),"")</f>
        <v>MS</v>
      </c>
      <c r="I4124" s="11">
        <f>IFERROR(INDEX(tEditais[Encerramento],MATCH(tItens[[#This Row],[Edital]],tEditais[Edital],0)),"")</f>
        <v>46314.375</v>
      </c>
      <c r="J4124" t="str">
        <f>IFERROR(INDEX(tProdutos[Classe],MATCH(tItens[[#This Row],[Produto]],tProdutos[Produto],0)),"produto não cadastrado")</f>
        <v>FORA</v>
      </c>
      <c r="K4124" s="12">
        <f>tItens[[#This Row],[Qtd]]*tItens[[#This Row],[Vlr unit]]</f>
        <v>0</v>
      </c>
      <c r="L4124" s="6">
        <f>IFERROR(IF(INDEX(tProdutos[Desconto homologado],MATCH(tItens[[#This Row],[Produto]],tProdutos[Produto],0))="",DescontoPadrao,INDEX(tProdutos[Desconto homologado],MATCH(tItens[[#This Row],[Produto]],tProdutos[Produto],0))),DescontoPadrao)</f>
        <v>0.38432036097010702</v>
      </c>
      <c r="M4124" s="12">
        <f>tItens[[#This Row],[Valor]]*(1-tItens[[#This Row],[Desconto]])</f>
        <v>0</v>
      </c>
      <c r="N4124" t="str">
        <f>IFERROR(INDEX(tProdutos[Foco],MATCH(tItens[[#This Row],[Produto]],tProdutos[Produto],0)),"Não")</f>
        <v>Não</v>
      </c>
      <c r="O4124" t="str">
        <f>IFERROR(INDEX(tEditais[SRP],MATCH(tItens[[#This Row],[Edital]],tEditais[Edital],0)),"Não")</f>
        <v>Sim</v>
      </c>
      <c r="P4124" s="4">
        <f>IF(COUNTIFS(INDEX(tItens[Edital],1):tItens[[#This Row],[Edital]],tItens[[#This Row],[Edital]],INDEX(tItens[Produto],1):tItens[[#This Row],[Produto]],tItens[[#This Row],[Produto]])=1,1,0)</f>
        <v>0</v>
      </c>
    </row>
    <row r="4125" spans="1:16" x14ac:dyDescent="0.25">
      <c r="A4125" t="s">
        <v>1662</v>
      </c>
      <c r="B4125">
        <v>8</v>
      </c>
      <c r="C4125" t="s">
        <v>6981</v>
      </c>
      <c r="D4125" t="s">
        <v>315</v>
      </c>
      <c r="E4125" s="13">
        <v>200</v>
      </c>
      <c r="F4125" s="12">
        <v>0</v>
      </c>
      <c r="G4125" t="str">
        <f>IFERROR(INDEX(tEditais[Órgão],MATCH(tItens[[#This Row],[Edital]],tEditais[Edital],0)),"")</f>
        <v>MUNICIPIO DE PARANAIBA</v>
      </c>
      <c r="H4125" t="str">
        <f>IFERROR(INDEX(tEditais[UF],MATCH(tItens[[#This Row],[Edital]],tEditais[Edital],0)),"")</f>
        <v>MS</v>
      </c>
      <c r="I4125" s="11">
        <f>IFERROR(INDEX(tEditais[Encerramento],MATCH(tItens[[#This Row],[Edital]],tEditais[Edital],0)),"")</f>
        <v>46314.375</v>
      </c>
      <c r="J4125" t="str">
        <f>IFERROR(INDEX(tProdutos[Classe],MATCH(tItens[[#This Row],[Produto]],tProdutos[Produto],0)),"produto não cadastrado")</f>
        <v>FORA</v>
      </c>
      <c r="K4125" s="12">
        <f>tItens[[#This Row],[Qtd]]*tItens[[#This Row],[Vlr unit]]</f>
        <v>0</v>
      </c>
      <c r="L4125" s="6">
        <f>IFERROR(IF(INDEX(tProdutos[Desconto homologado],MATCH(tItens[[#This Row],[Produto]],tProdutos[Produto],0))="",DescontoPadrao,INDEX(tProdutos[Desconto homologado],MATCH(tItens[[#This Row],[Produto]],tProdutos[Produto],0))),DescontoPadrao)</f>
        <v>0.38432036097010702</v>
      </c>
      <c r="M4125" s="12">
        <f>tItens[[#This Row],[Valor]]*(1-tItens[[#This Row],[Desconto]])</f>
        <v>0</v>
      </c>
      <c r="N4125" t="str">
        <f>IFERROR(INDEX(tProdutos[Foco],MATCH(tItens[[#This Row],[Produto]],tProdutos[Produto],0)),"Não")</f>
        <v>Não</v>
      </c>
      <c r="O4125" t="str">
        <f>IFERROR(INDEX(tEditais[SRP],MATCH(tItens[[#This Row],[Edital]],tEditais[Edital],0)),"Não")</f>
        <v>Sim</v>
      </c>
      <c r="P4125" s="4">
        <f>IF(COUNTIFS(INDEX(tItens[Edital],1):tItens[[#This Row],[Edital]],tItens[[#This Row],[Edital]],INDEX(tItens[Produto],1):tItens[[#This Row],[Produto]],tItens[[#This Row],[Produto]])=1,1,0)</f>
        <v>0</v>
      </c>
    </row>
    <row r="4126" spans="1:16" x14ac:dyDescent="0.25">
      <c r="A4126" t="s">
        <v>1662</v>
      </c>
      <c r="B4126">
        <v>9</v>
      </c>
      <c r="C4126" t="s">
        <v>6982</v>
      </c>
      <c r="D4126" t="s">
        <v>315</v>
      </c>
      <c r="E4126" s="13">
        <v>200</v>
      </c>
      <c r="F4126" s="12">
        <v>0</v>
      </c>
      <c r="G4126" t="str">
        <f>IFERROR(INDEX(tEditais[Órgão],MATCH(tItens[[#This Row],[Edital]],tEditais[Edital],0)),"")</f>
        <v>MUNICIPIO DE PARANAIBA</v>
      </c>
      <c r="H4126" t="str">
        <f>IFERROR(INDEX(tEditais[UF],MATCH(tItens[[#This Row],[Edital]],tEditais[Edital],0)),"")</f>
        <v>MS</v>
      </c>
      <c r="I4126" s="11">
        <f>IFERROR(INDEX(tEditais[Encerramento],MATCH(tItens[[#This Row],[Edital]],tEditais[Edital],0)),"")</f>
        <v>46314.375</v>
      </c>
      <c r="J4126" t="str">
        <f>IFERROR(INDEX(tProdutos[Classe],MATCH(tItens[[#This Row],[Produto]],tProdutos[Produto],0)),"produto não cadastrado")</f>
        <v>FORA</v>
      </c>
      <c r="K4126" s="12">
        <f>tItens[[#This Row],[Qtd]]*tItens[[#This Row],[Vlr unit]]</f>
        <v>0</v>
      </c>
      <c r="L4126" s="6">
        <f>IFERROR(IF(INDEX(tProdutos[Desconto homologado],MATCH(tItens[[#This Row],[Produto]],tProdutos[Produto],0))="",DescontoPadrao,INDEX(tProdutos[Desconto homologado],MATCH(tItens[[#This Row],[Produto]],tProdutos[Produto],0))),DescontoPadrao)</f>
        <v>0.38432036097010702</v>
      </c>
      <c r="M4126" s="12">
        <f>tItens[[#This Row],[Valor]]*(1-tItens[[#This Row],[Desconto]])</f>
        <v>0</v>
      </c>
      <c r="N4126" t="str">
        <f>IFERROR(INDEX(tProdutos[Foco],MATCH(tItens[[#This Row],[Produto]],tProdutos[Produto],0)),"Não")</f>
        <v>Não</v>
      </c>
      <c r="O4126" t="str">
        <f>IFERROR(INDEX(tEditais[SRP],MATCH(tItens[[#This Row],[Edital]],tEditais[Edital],0)),"Não")</f>
        <v>Sim</v>
      </c>
      <c r="P4126" s="4">
        <f>IF(COUNTIFS(INDEX(tItens[Edital],1):tItens[[#This Row],[Edital]],tItens[[#This Row],[Edital]],INDEX(tItens[Produto],1):tItens[[#This Row],[Produto]],tItens[[#This Row],[Produto]])=1,1,0)</f>
        <v>0</v>
      </c>
    </row>
    <row r="4127" spans="1:16" x14ac:dyDescent="0.25">
      <c r="A4127" t="s">
        <v>1662</v>
      </c>
      <c r="B4127">
        <v>10</v>
      </c>
      <c r="C4127" t="s">
        <v>6983</v>
      </c>
      <c r="D4127" t="s">
        <v>201</v>
      </c>
      <c r="E4127" s="13">
        <v>30</v>
      </c>
      <c r="F4127" s="12">
        <v>0</v>
      </c>
      <c r="G4127" t="str">
        <f>IFERROR(INDEX(tEditais[Órgão],MATCH(tItens[[#This Row],[Edital]],tEditais[Edital],0)),"")</f>
        <v>MUNICIPIO DE PARANAIBA</v>
      </c>
      <c r="H4127" t="str">
        <f>IFERROR(INDEX(tEditais[UF],MATCH(tItens[[#This Row],[Edital]],tEditais[Edital],0)),"")</f>
        <v>MS</v>
      </c>
      <c r="I4127" s="11">
        <f>IFERROR(INDEX(tEditais[Encerramento],MATCH(tItens[[#This Row],[Edital]],tEditais[Edital],0)),"")</f>
        <v>46314.375</v>
      </c>
      <c r="J4127" t="str">
        <f>IFERROR(INDEX(tProdutos[Classe],MATCH(tItens[[#This Row],[Produto]],tProdutos[Produto],0)),"produto não cadastrado")</f>
        <v>DISPUTADO</v>
      </c>
      <c r="K4127" s="12">
        <f>tItens[[#This Row],[Qtd]]*tItens[[#This Row],[Vlr unit]]</f>
        <v>0</v>
      </c>
      <c r="L4127" s="6">
        <f>IFERROR(IF(INDEX(tProdutos[Desconto homologado],MATCH(tItens[[#This Row],[Produto]],tProdutos[Produto],0))="",DescontoPadrao,INDEX(tProdutos[Desconto homologado],MATCH(tItens[[#This Row],[Produto]],tProdutos[Produto],0))),DescontoPadrao)</f>
        <v>0.27203065134099602</v>
      </c>
      <c r="M4127" s="12">
        <f>tItens[[#This Row],[Valor]]*(1-tItens[[#This Row],[Desconto]])</f>
        <v>0</v>
      </c>
      <c r="N4127" t="str">
        <f>IFERROR(INDEX(tProdutos[Foco],MATCH(tItens[[#This Row],[Produto]],tProdutos[Produto],0)),"Não")</f>
        <v>Não</v>
      </c>
      <c r="O4127" t="str">
        <f>IFERROR(INDEX(tEditais[SRP],MATCH(tItens[[#This Row],[Edital]],tEditais[Edital],0)),"Não")</f>
        <v>Sim</v>
      </c>
      <c r="P4127" s="4">
        <f>IF(COUNTIFS(INDEX(tItens[Edital],1):tItens[[#This Row],[Edital]],tItens[[#This Row],[Edital]],INDEX(tItens[Produto],1):tItens[[#This Row],[Produto]],tItens[[#This Row],[Produto]])=1,1,0)</f>
        <v>1</v>
      </c>
    </row>
    <row r="4128" spans="1:16" x14ac:dyDescent="0.25">
      <c r="A4128" t="s">
        <v>1662</v>
      </c>
      <c r="B4128">
        <v>11</v>
      </c>
      <c r="C4128" t="s">
        <v>6984</v>
      </c>
      <c r="D4128" t="s">
        <v>201</v>
      </c>
      <c r="E4128" s="13">
        <v>35</v>
      </c>
      <c r="F4128" s="12">
        <v>0</v>
      </c>
      <c r="G4128" t="str">
        <f>IFERROR(INDEX(tEditais[Órgão],MATCH(tItens[[#This Row],[Edital]],tEditais[Edital],0)),"")</f>
        <v>MUNICIPIO DE PARANAIBA</v>
      </c>
      <c r="H4128" t="str">
        <f>IFERROR(INDEX(tEditais[UF],MATCH(tItens[[#This Row],[Edital]],tEditais[Edital],0)),"")</f>
        <v>MS</v>
      </c>
      <c r="I4128" s="11">
        <f>IFERROR(INDEX(tEditais[Encerramento],MATCH(tItens[[#This Row],[Edital]],tEditais[Edital],0)),"")</f>
        <v>46314.375</v>
      </c>
      <c r="J4128" t="str">
        <f>IFERROR(INDEX(tProdutos[Classe],MATCH(tItens[[#This Row],[Produto]],tProdutos[Produto],0)),"produto não cadastrado")</f>
        <v>DISPUTADO</v>
      </c>
      <c r="K4128" s="12">
        <f>tItens[[#This Row],[Qtd]]*tItens[[#This Row],[Vlr unit]]</f>
        <v>0</v>
      </c>
      <c r="L4128" s="6">
        <f>IFERROR(IF(INDEX(tProdutos[Desconto homologado],MATCH(tItens[[#This Row],[Produto]],tProdutos[Produto],0))="",DescontoPadrao,INDEX(tProdutos[Desconto homologado],MATCH(tItens[[#This Row],[Produto]],tProdutos[Produto],0))),DescontoPadrao)</f>
        <v>0.27203065134099602</v>
      </c>
      <c r="M4128" s="12">
        <f>tItens[[#This Row],[Valor]]*(1-tItens[[#This Row],[Desconto]])</f>
        <v>0</v>
      </c>
      <c r="N4128" t="str">
        <f>IFERROR(INDEX(tProdutos[Foco],MATCH(tItens[[#This Row],[Produto]],tProdutos[Produto],0)),"Não")</f>
        <v>Não</v>
      </c>
      <c r="O4128" t="str">
        <f>IFERROR(INDEX(tEditais[SRP],MATCH(tItens[[#This Row],[Edital]],tEditais[Edital],0)),"Não")</f>
        <v>Sim</v>
      </c>
      <c r="P4128" s="4">
        <f>IF(COUNTIFS(INDEX(tItens[Edital],1):tItens[[#This Row],[Edital]],tItens[[#This Row],[Edital]],INDEX(tItens[Produto],1):tItens[[#This Row],[Produto]],tItens[[#This Row],[Produto]])=1,1,0)</f>
        <v>0</v>
      </c>
    </row>
    <row r="4129" spans="1:16" x14ac:dyDescent="0.25">
      <c r="A4129" t="s">
        <v>1662</v>
      </c>
      <c r="B4129">
        <v>24</v>
      </c>
      <c r="C4129" t="s">
        <v>6985</v>
      </c>
      <c r="D4129" t="s">
        <v>281</v>
      </c>
      <c r="E4129" s="13">
        <v>18800</v>
      </c>
      <c r="F4129" s="12">
        <v>0</v>
      </c>
      <c r="G4129" t="str">
        <f>IFERROR(INDEX(tEditais[Órgão],MATCH(tItens[[#This Row],[Edital]],tEditais[Edital],0)),"")</f>
        <v>MUNICIPIO DE PARANAIBA</v>
      </c>
      <c r="H4129" t="str">
        <f>IFERROR(INDEX(tEditais[UF],MATCH(tItens[[#This Row],[Edital]],tEditais[Edital],0)),"")</f>
        <v>MS</v>
      </c>
      <c r="I4129" s="11">
        <f>IFERROR(INDEX(tEditais[Encerramento],MATCH(tItens[[#This Row],[Edital]],tEditais[Edital],0)),"")</f>
        <v>46314.375</v>
      </c>
      <c r="J4129" t="str">
        <f>IFERROR(INDEX(tProdutos[Classe],MATCH(tItens[[#This Row],[Produto]],tProdutos[Produto],0)),"produto não cadastrado")</f>
        <v>DISPUTADO</v>
      </c>
      <c r="K4129" s="12">
        <f>tItens[[#This Row],[Qtd]]*tItens[[#This Row],[Vlr unit]]</f>
        <v>0</v>
      </c>
      <c r="L4129" s="6">
        <f>IFERROR(IF(INDEX(tProdutos[Desconto homologado],MATCH(tItens[[#This Row],[Produto]],tProdutos[Produto],0))="",DescontoPadrao,INDEX(tProdutos[Desconto homologado],MATCH(tItens[[#This Row],[Produto]],tProdutos[Produto],0))),DescontoPadrao)</f>
        <v>0.42461538461538501</v>
      </c>
      <c r="M4129" s="12">
        <f>tItens[[#This Row],[Valor]]*(1-tItens[[#This Row],[Desconto]])</f>
        <v>0</v>
      </c>
      <c r="N4129" t="str">
        <f>IFERROR(INDEX(tProdutos[Foco],MATCH(tItens[[#This Row],[Produto]],tProdutos[Produto],0)),"Não")</f>
        <v>Não</v>
      </c>
      <c r="O4129" t="str">
        <f>IFERROR(INDEX(tEditais[SRP],MATCH(tItens[[#This Row],[Edital]],tEditais[Edital],0)),"Não")</f>
        <v>Sim</v>
      </c>
      <c r="P4129" s="4">
        <f>IF(COUNTIFS(INDEX(tItens[Edital],1):tItens[[#This Row],[Edital]],tItens[[#This Row],[Edital]],INDEX(tItens[Produto],1):tItens[[#This Row],[Produto]],tItens[[#This Row],[Produto]])=1,1,0)</f>
        <v>1</v>
      </c>
    </row>
    <row r="4130" spans="1:16" x14ac:dyDescent="0.25">
      <c r="A4130" t="s">
        <v>1662</v>
      </c>
      <c r="B4130">
        <v>25</v>
      </c>
      <c r="C4130" t="s">
        <v>6986</v>
      </c>
      <c r="D4130" t="s">
        <v>289</v>
      </c>
      <c r="E4130" s="13">
        <v>2000</v>
      </c>
      <c r="F4130" s="12">
        <v>0</v>
      </c>
      <c r="G4130" t="str">
        <f>IFERROR(INDEX(tEditais[Órgão],MATCH(tItens[[#This Row],[Edital]],tEditais[Edital],0)),"")</f>
        <v>MUNICIPIO DE PARANAIBA</v>
      </c>
      <c r="H4130" t="str">
        <f>IFERROR(INDEX(tEditais[UF],MATCH(tItens[[#This Row],[Edital]],tEditais[Edital],0)),"")</f>
        <v>MS</v>
      </c>
      <c r="I4130" s="11">
        <f>IFERROR(INDEX(tEditais[Encerramento],MATCH(tItens[[#This Row],[Edital]],tEditais[Edital],0)),"")</f>
        <v>46314.375</v>
      </c>
      <c r="J4130" t="str">
        <f>IFERROR(INDEX(tProdutos[Classe],MATCH(tItens[[#This Row],[Produto]],tProdutos[Produto],0)),"produto não cadastrado")</f>
        <v>DISPUTADO</v>
      </c>
      <c r="K4130" s="12">
        <f>tItens[[#This Row],[Qtd]]*tItens[[#This Row],[Vlr unit]]</f>
        <v>0</v>
      </c>
      <c r="L4130" s="6">
        <f>IFERROR(IF(INDEX(tProdutos[Desconto homologado],MATCH(tItens[[#This Row],[Produto]],tProdutos[Produto],0))="",DescontoPadrao,INDEX(tProdutos[Desconto homologado],MATCH(tItens[[#This Row],[Produto]],tProdutos[Produto],0))),DescontoPadrao)</f>
        <v>0.35849056603773599</v>
      </c>
      <c r="M4130" s="12">
        <f>tItens[[#This Row],[Valor]]*(1-tItens[[#This Row],[Desconto]])</f>
        <v>0</v>
      </c>
      <c r="N4130" t="str">
        <f>IFERROR(INDEX(tProdutos[Foco],MATCH(tItens[[#This Row],[Produto]],tProdutos[Produto],0)),"Não")</f>
        <v>Não</v>
      </c>
      <c r="O4130" t="str">
        <f>IFERROR(INDEX(tEditais[SRP],MATCH(tItens[[#This Row],[Edital]],tEditais[Edital],0)),"Não")</f>
        <v>Sim</v>
      </c>
      <c r="P4130" s="4">
        <f>IF(COUNTIFS(INDEX(tItens[Edital],1):tItens[[#This Row],[Edital]],tItens[[#This Row],[Edital]],INDEX(tItens[Produto],1):tItens[[#This Row],[Produto]],tItens[[#This Row],[Produto]])=1,1,0)</f>
        <v>1</v>
      </c>
    </row>
    <row r="4131" spans="1:16" x14ac:dyDescent="0.25">
      <c r="A4131" t="s">
        <v>1662</v>
      </c>
      <c r="B4131">
        <v>26</v>
      </c>
      <c r="C4131" t="s">
        <v>6987</v>
      </c>
      <c r="D4131" t="s">
        <v>283</v>
      </c>
      <c r="E4131" s="13">
        <v>20000</v>
      </c>
      <c r="F4131" s="12">
        <v>0</v>
      </c>
      <c r="G4131" t="str">
        <f>IFERROR(INDEX(tEditais[Órgão],MATCH(tItens[[#This Row],[Edital]],tEditais[Edital],0)),"")</f>
        <v>MUNICIPIO DE PARANAIBA</v>
      </c>
      <c r="H4131" t="str">
        <f>IFERROR(INDEX(tEditais[UF],MATCH(tItens[[#This Row],[Edital]],tEditais[Edital],0)),"")</f>
        <v>MS</v>
      </c>
      <c r="I4131" s="11">
        <f>IFERROR(INDEX(tEditais[Encerramento],MATCH(tItens[[#This Row],[Edital]],tEditais[Edital],0)),"")</f>
        <v>46314.375</v>
      </c>
      <c r="J4131" t="str">
        <f>IFERROR(INDEX(tProdutos[Classe],MATCH(tItens[[#This Row],[Produto]],tProdutos[Produto],0)),"produto não cadastrado")</f>
        <v>FORA</v>
      </c>
      <c r="K4131" s="12">
        <f>tItens[[#This Row],[Qtd]]*tItens[[#This Row],[Vlr unit]]</f>
        <v>0</v>
      </c>
      <c r="L4131" s="6">
        <f>IFERROR(IF(INDEX(tProdutos[Desconto homologado],MATCH(tItens[[#This Row],[Produto]],tProdutos[Produto],0))="",DescontoPadrao,INDEX(tProdutos[Desconto homologado],MATCH(tItens[[#This Row],[Produto]],tProdutos[Produto],0))),DescontoPadrao)</f>
        <v>0.40540540540540498</v>
      </c>
      <c r="M4131" s="12">
        <f>tItens[[#This Row],[Valor]]*(1-tItens[[#This Row],[Desconto]])</f>
        <v>0</v>
      </c>
      <c r="N4131" t="str">
        <f>IFERROR(INDEX(tProdutos[Foco],MATCH(tItens[[#This Row],[Produto]],tProdutos[Produto],0)),"Não")</f>
        <v>Não</v>
      </c>
      <c r="O4131" t="str">
        <f>IFERROR(INDEX(tEditais[SRP],MATCH(tItens[[#This Row],[Edital]],tEditais[Edital],0)),"Não")</f>
        <v>Sim</v>
      </c>
      <c r="P4131" s="4">
        <f>IF(COUNTIFS(INDEX(tItens[Edital],1):tItens[[#This Row],[Edital]],tItens[[#This Row],[Edital]],INDEX(tItens[Produto],1):tItens[[#This Row],[Produto]],tItens[[#This Row],[Produto]])=1,1,0)</f>
        <v>1</v>
      </c>
    </row>
    <row r="4132" spans="1:16" x14ac:dyDescent="0.25">
      <c r="A4132" t="s">
        <v>1662</v>
      </c>
      <c r="B4132">
        <v>27</v>
      </c>
      <c r="C4132" t="s">
        <v>6988</v>
      </c>
      <c r="D4132" t="s">
        <v>265</v>
      </c>
      <c r="E4132" s="13">
        <v>2500</v>
      </c>
      <c r="F4132" s="12">
        <v>0</v>
      </c>
      <c r="G4132" t="str">
        <f>IFERROR(INDEX(tEditais[Órgão],MATCH(tItens[[#This Row],[Edital]],tEditais[Edital],0)),"")</f>
        <v>MUNICIPIO DE PARANAIBA</v>
      </c>
      <c r="H4132" t="str">
        <f>IFERROR(INDEX(tEditais[UF],MATCH(tItens[[#This Row],[Edital]],tEditais[Edital],0)),"")</f>
        <v>MS</v>
      </c>
      <c r="I4132" s="11">
        <f>IFERROR(INDEX(tEditais[Encerramento],MATCH(tItens[[#This Row],[Edital]],tEditais[Edital],0)),"")</f>
        <v>46314.375</v>
      </c>
      <c r="J4132" t="str">
        <f>IFERROR(INDEX(tProdutos[Classe],MATCH(tItens[[#This Row],[Produto]],tProdutos[Produto],0)),"produto não cadastrado")</f>
        <v>DISPUTADO</v>
      </c>
      <c r="K4132" s="12">
        <f>tItens[[#This Row],[Qtd]]*tItens[[#This Row],[Vlr unit]]</f>
        <v>0</v>
      </c>
      <c r="L4132" s="6">
        <f>IFERROR(IF(INDEX(tProdutos[Desconto homologado],MATCH(tItens[[#This Row],[Produto]],tProdutos[Produto],0))="",DescontoPadrao,INDEX(tProdutos[Desconto homologado],MATCH(tItens[[#This Row],[Produto]],tProdutos[Produto],0))),DescontoPadrao)</f>
        <v>0.377587663709337</v>
      </c>
      <c r="M4132" s="12">
        <f>tItens[[#This Row],[Valor]]*(1-tItens[[#This Row],[Desconto]])</f>
        <v>0</v>
      </c>
      <c r="N4132" t="str">
        <f>IFERROR(INDEX(tProdutos[Foco],MATCH(tItens[[#This Row],[Produto]],tProdutos[Produto],0)),"Não")</f>
        <v>Não</v>
      </c>
      <c r="O4132" t="str">
        <f>IFERROR(INDEX(tEditais[SRP],MATCH(tItens[[#This Row],[Edital]],tEditais[Edital],0)),"Não")</f>
        <v>Sim</v>
      </c>
      <c r="P4132" s="4">
        <f>IF(COUNTIFS(INDEX(tItens[Edital],1):tItens[[#This Row],[Edital]],tItens[[#This Row],[Edital]],INDEX(tItens[Produto],1):tItens[[#This Row],[Produto]],tItens[[#This Row],[Produto]])=1,1,0)</f>
        <v>1</v>
      </c>
    </row>
    <row r="4133" spans="1:16" x14ac:dyDescent="0.25">
      <c r="A4133" t="s">
        <v>1662</v>
      </c>
      <c r="B4133">
        <v>28</v>
      </c>
      <c r="C4133" t="s">
        <v>6989</v>
      </c>
      <c r="D4133" t="s">
        <v>317</v>
      </c>
      <c r="E4133" s="13">
        <v>1000</v>
      </c>
      <c r="F4133" s="12">
        <v>0</v>
      </c>
      <c r="G4133" t="str">
        <f>IFERROR(INDEX(tEditais[Órgão],MATCH(tItens[[#This Row],[Edital]],tEditais[Edital],0)),"")</f>
        <v>MUNICIPIO DE PARANAIBA</v>
      </c>
      <c r="H4133" t="str">
        <f>IFERROR(INDEX(tEditais[UF],MATCH(tItens[[#This Row],[Edital]],tEditais[Edital],0)),"")</f>
        <v>MS</v>
      </c>
      <c r="I4133" s="11">
        <f>IFERROR(INDEX(tEditais[Encerramento],MATCH(tItens[[#This Row],[Edital]],tEditais[Edital],0)),"")</f>
        <v>46314.375</v>
      </c>
      <c r="J4133" t="str">
        <f>IFERROR(INDEX(tProdutos[Classe],MATCH(tItens[[#This Row],[Produto]],tProdutos[Produto],0)),"produto não cadastrado")</f>
        <v>FORA</v>
      </c>
      <c r="K4133" s="12">
        <f>tItens[[#This Row],[Qtd]]*tItens[[#This Row],[Vlr unit]]</f>
        <v>0</v>
      </c>
      <c r="L4133" s="6">
        <f>IFERROR(IF(INDEX(tProdutos[Desconto homologado],MATCH(tItens[[#This Row],[Produto]],tProdutos[Produto],0))="",DescontoPadrao,INDEX(tProdutos[Desconto homologado],MATCH(tItens[[#This Row],[Produto]],tProdutos[Produto],0))),DescontoPadrao)</f>
        <v>0.5</v>
      </c>
      <c r="M4133" s="12">
        <f>tItens[[#This Row],[Valor]]*(1-tItens[[#This Row],[Desconto]])</f>
        <v>0</v>
      </c>
      <c r="N4133" t="str">
        <f>IFERROR(INDEX(tProdutos[Foco],MATCH(tItens[[#This Row],[Produto]],tProdutos[Produto],0)),"Não")</f>
        <v>Não</v>
      </c>
      <c r="O4133" t="str">
        <f>IFERROR(INDEX(tEditais[SRP],MATCH(tItens[[#This Row],[Edital]],tEditais[Edital],0)),"Não")</f>
        <v>Sim</v>
      </c>
      <c r="P4133" s="4">
        <f>IF(COUNTIFS(INDEX(tItens[Edital],1):tItens[[#This Row],[Edital]],tItens[[#This Row],[Edital]],INDEX(tItens[Produto],1):tItens[[#This Row],[Produto]],tItens[[#This Row],[Produto]])=1,1,0)</f>
        <v>1</v>
      </c>
    </row>
    <row r="4134" spans="1:16" x14ac:dyDescent="0.25">
      <c r="A4134" t="s">
        <v>1662</v>
      </c>
      <c r="B4134">
        <v>29</v>
      </c>
      <c r="C4134" t="s">
        <v>6990</v>
      </c>
      <c r="D4134" t="s">
        <v>311</v>
      </c>
      <c r="E4134" s="13">
        <v>50</v>
      </c>
      <c r="F4134" s="12">
        <v>0</v>
      </c>
      <c r="G4134" t="str">
        <f>IFERROR(INDEX(tEditais[Órgão],MATCH(tItens[[#This Row],[Edital]],tEditais[Edital],0)),"")</f>
        <v>MUNICIPIO DE PARANAIBA</v>
      </c>
      <c r="H4134" t="str">
        <f>IFERROR(INDEX(tEditais[UF],MATCH(tItens[[#This Row],[Edital]],tEditais[Edital],0)),"")</f>
        <v>MS</v>
      </c>
      <c r="I4134" s="11">
        <f>IFERROR(INDEX(tEditais[Encerramento],MATCH(tItens[[#This Row],[Edital]],tEditais[Edital],0)),"")</f>
        <v>46314.375</v>
      </c>
      <c r="J4134" t="str">
        <f>IFERROR(INDEX(tProdutos[Classe],MATCH(tItens[[#This Row],[Produto]],tProdutos[Produto],0)),"produto não cadastrado")</f>
        <v>FORA</v>
      </c>
      <c r="K4134" s="12">
        <f>tItens[[#This Row],[Qtd]]*tItens[[#This Row],[Vlr unit]]</f>
        <v>0</v>
      </c>
      <c r="L4134" s="6">
        <f>IFERROR(IF(INDEX(tProdutos[Desconto homologado],MATCH(tItens[[#This Row],[Produto]],tProdutos[Produto],0))="",DescontoPadrao,INDEX(tProdutos[Desconto homologado],MATCH(tItens[[#This Row],[Produto]],tProdutos[Produto],0))),DescontoPadrao)</f>
        <v>0.29046182846371399</v>
      </c>
      <c r="M4134" s="12">
        <f>tItens[[#This Row],[Valor]]*(1-tItens[[#This Row],[Desconto]])</f>
        <v>0</v>
      </c>
      <c r="N4134" t="str">
        <f>IFERROR(INDEX(tProdutos[Foco],MATCH(tItens[[#This Row],[Produto]],tProdutos[Produto],0)),"Não")</f>
        <v>Não</v>
      </c>
      <c r="O4134" t="str">
        <f>IFERROR(INDEX(tEditais[SRP],MATCH(tItens[[#This Row],[Edital]],tEditais[Edital],0)),"Não")</f>
        <v>Sim</v>
      </c>
      <c r="P4134" s="4">
        <f>IF(COUNTIFS(INDEX(tItens[Edital],1):tItens[[#This Row],[Edital]],tItens[[#This Row],[Edital]],INDEX(tItens[Produto],1):tItens[[#This Row],[Produto]],tItens[[#This Row],[Produto]])=1,1,0)</f>
        <v>1</v>
      </c>
    </row>
    <row r="4135" spans="1:16" x14ac:dyDescent="0.25">
      <c r="A4135" t="s">
        <v>1662</v>
      </c>
      <c r="B4135">
        <v>30</v>
      </c>
      <c r="C4135" t="s">
        <v>6991</v>
      </c>
      <c r="D4135" t="s">
        <v>311</v>
      </c>
      <c r="E4135" s="13">
        <v>50</v>
      </c>
      <c r="F4135" s="12">
        <v>0</v>
      </c>
      <c r="G4135" t="str">
        <f>IFERROR(INDEX(tEditais[Órgão],MATCH(tItens[[#This Row],[Edital]],tEditais[Edital],0)),"")</f>
        <v>MUNICIPIO DE PARANAIBA</v>
      </c>
      <c r="H4135" t="str">
        <f>IFERROR(INDEX(tEditais[UF],MATCH(tItens[[#This Row],[Edital]],tEditais[Edital],0)),"")</f>
        <v>MS</v>
      </c>
      <c r="I4135" s="11">
        <f>IFERROR(INDEX(tEditais[Encerramento],MATCH(tItens[[#This Row],[Edital]],tEditais[Edital],0)),"")</f>
        <v>46314.375</v>
      </c>
      <c r="J4135" t="str">
        <f>IFERROR(INDEX(tProdutos[Classe],MATCH(tItens[[#This Row],[Produto]],tProdutos[Produto],0)),"produto não cadastrado")</f>
        <v>FORA</v>
      </c>
      <c r="K4135" s="12">
        <f>tItens[[#This Row],[Qtd]]*tItens[[#This Row],[Vlr unit]]</f>
        <v>0</v>
      </c>
      <c r="L4135" s="6">
        <f>IFERROR(IF(INDEX(tProdutos[Desconto homologado],MATCH(tItens[[#This Row],[Produto]],tProdutos[Produto],0))="",DescontoPadrao,INDEX(tProdutos[Desconto homologado],MATCH(tItens[[#This Row],[Produto]],tProdutos[Produto],0))),DescontoPadrao)</f>
        <v>0.29046182846371399</v>
      </c>
      <c r="M4135" s="12">
        <f>tItens[[#This Row],[Valor]]*(1-tItens[[#This Row],[Desconto]])</f>
        <v>0</v>
      </c>
      <c r="N4135" t="str">
        <f>IFERROR(INDEX(tProdutos[Foco],MATCH(tItens[[#This Row],[Produto]],tProdutos[Produto],0)),"Não")</f>
        <v>Não</v>
      </c>
      <c r="O4135" t="str">
        <f>IFERROR(INDEX(tEditais[SRP],MATCH(tItens[[#This Row],[Edital]],tEditais[Edital],0)),"Não")</f>
        <v>Sim</v>
      </c>
      <c r="P4135" s="4">
        <f>IF(COUNTIFS(INDEX(tItens[Edital],1):tItens[[#This Row],[Edital]],tItens[[#This Row],[Edital]],INDEX(tItens[Produto],1):tItens[[#This Row],[Produto]],tItens[[#This Row],[Produto]])=1,1,0)</f>
        <v>0</v>
      </c>
    </row>
    <row r="4136" spans="1:16" x14ac:dyDescent="0.25">
      <c r="A4136" t="s">
        <v>1662</v>
      </c>
      <c r="B4136">
        <v>31</v>
      </c>
      <c r="C4136" t="s">
        <v>6992</v>
      </c>
      <c r="D4136" t="s">
        <v>311</v>
      </c>
      <c r="E4136" s="13">
        <v>50</v>
      </c>
      <c r="F4136" s="12">
        <v>0</v>
      </c>
      <c r="G4136" t="str">
        <f>IFERROR(INDEX(tEditais[Órgão],MATCH(tItens[[#This Row],[Edital]],tEditais[Edital],0)),"")</f>
        <v>MUNICIPIO DE PARANAIBA</v>
      </c>
      <c r="H4136" t="str">
        <f>IFERROR(INDEX(tEditais[UF],MATCH(tItens[[#This Row],[Edital]],tEditais[Edital],0)),"")</f>
        <v>MS</v>
      </c>
      <c r="I4136" s="11">
        <f>IFERROR(INDEX(tEditais[Encerramento],MATCH(tItens[[#This Row],[Edital]],tEditais[Edital],0)),"")</f>
        <v>46314.375</v>
      </c>
      <c r="J4136" t="str">
        <f>IFERROR(INDEX(tProdutos[Classe],MATCH(tItens[[#This Row],[Produto]],tProdutos[Produto],0)),"produto não cadastrado")</f>
        <v>FORA</v>
      </c>
      <c r="K4136" s="12">
        <f>tItens[[#This Row],[Qtd]]*tItens[[#This Row],[Vlr unit]]</f>
        <v>0</v>
      </c>
      <c r="L4136" s="6">
        <f>IFERROR(IF(INDEX(tProdutos[Desconto homologado],MATCH(tItens[[#This Row],[Produto]],tProdutos[Produto],0))="",DescontoPadrao,INDEX(tProdutos[Desconto homologado],MATCH(tItens[[#This Row],[Produto]],tProdutos[Produto],0))),DescontoPadrao)</f>
        <v>0.29046182846371399</v>
      </c>
      <c r="M4136" s="12">
        <f>tItens[[#This Row],[Valor]]*(1-tItens[[#This Row],[Desconto]])</f>
        <v>0</v>
      </c>
      <c r="N4136" t="str">
        <f>IFERROR(INDEX(tProdutos[Foco],MATCH(tItens[[#This Row],[Produto]],tProdutos[Produto],0)),"Não")</f>
        <v>Não</v>
      </c>
      <c r="O4136" t="str">
        <f>IFERROR(INDEX(tEditais[SRP],MATCH(tItens[[#This Row],[Edital]],tEditais[Edital],0)),"Não")</f>
        <v>Sim</v>
      </c>
      <c r="P4136" s="4">
        <f>IF(COUNTIFS(INDEX(tItens[Edital],1):tItens[[#This Row],[Edital]],tItens[[#This Row],[Edital]],INDEX(tItens[Produto],1):tItens[[#This Row],[Produto]],tItens[[#This Row],[Produto]])=1,1,0)</f>
        <v>0</v>
      </c>
    </row>
    <row r="4137" spans="1:16" x14ac:dyDescent="0.25">
      <c r="A4137" t="s">
        <v>1667</v>
      </c>
      <c r="B4137">
        <v>4</v>
      </c>
      <c r="C4137" t="s">
        <v>6993</v>
      </c>
      <c r="D4137" t="s">
        <v>88</v>
      </c>
      <c r="E4137" s="13">
        <v>50</v>
      </c>
      <c r="F4137" s="12">
        <v>47.06</v>
      </c>
      <c r="G4137" t="str">
        <f>IFERROR(INDEX(tEditais[Órgão],MATCH(tItens[[#This Row],[Edital]],tEditais[Edital],0)),"")</f>
        <v>MUNICIPIO DE NOVA XAVANTINA</v>
      </c>
      <c r="H4137" t="str">
        <f>IFERROR(INDEX(tEditais[UF],MATCH(tItens[[#This Row],[Edital]],tEditais[Edital],0)),"")</f>
        <v>MT</v>
      </c>
      <c r="I4137" s="11">
        <f>IFERROR(INDEX(tEditais[Encerramento],MATCH(tItens[[#This Row],[Edital]],tEditais[Edital],0)),"")</f>
        <v>46304.375</v>
      </c>
      <c r="J4137" t="str">
        <f>IFERROR(INDEX(tProdutos[Classe],MATCH(tItens[[#This Row],[Produto]],tProdutos[Produto],0)),"produto não cadastrado")</f>
        <v>NÚCLEO</v>
      </c>
      <c r="K4137" s="12">
        <f>tItens[[#This Row],[Qtd]]*tItens[[#This Row],[Vlr unit]]</f>
        <v>2353</v>
      </c>
      <c r="L4137" s="6">
        <f>IFERROR(IF(INDEX(tProdutos[Desconto homologado],MATCH(tItens[[#This Row],[Produto]],tProdutos[Produto],0))="",DescontoPadrao,INDEX(tProdutos[Desconto homologado],MATCH(tItens[[#This Row],[Produto]],tProdutos[Produto],0))),DescontoPadrao)</f>
        <v>0.30251202565473001</v>
      </c>
      <c r="M4137" s="12">
        <f>tItens[[#This Row],[Valor]]*(1-tItens[[#This Row],[Desconto]])</f>
        <v>1641.1892036344202</v>
      </c>
      <c r="N4137" t="str">
        <f>IFERROR(INDEX(tProdutos[Foco],MATCH(tItens[[#This Row],[Produto]],tProdutos[Produto],0)),"Não")</f>
        <v>Não</v>
      </c>
      <c r="O4137" t="str">
        <f>IFERROR(INDEX(tEditais[SRP],MATCH(tItens[[#This Row],[Edital]],tEditais[Edital],0)),"Não")</f>
        <v>Sim</v>
      </c>
      <c r="P4137" s="4">
        <f>IF(COUNTIFS(INDEX(tItens[Edital],1):tItens[[#This Row],[Edital]],tItens[[#This Row],[Edital]],INDEX(tItens[Produto],1):tItens[[#This Row],[Produto]],tItens[[#This Row],[Produto]])=1,1,0)</f>
        <v>1</v>
      </c>
    </row>
    <row r="4138" spans="1:16" x14ac:dyDescent="0.25">
      <c r="A4138" t="s">
        <v>1667</v>
      </c>
      <c r="B4138">
        <v>5</v>
      </c>
      <c r="C4138" t="s">
        <v>6994</v>
      </c>
      <c r="D4138" t="s">
        <v>71</v>
      </c>
      <c r="E4138" s="13">
        <v>50</v>
      </c>
      <c r="F4138" s="12">
        <v>51.54</v>
      </c>
      <c r="G4138" t="str">
        <f>IFERROR(INDEX(tEditais[Órgão],MATCH(tItens[[#This Row],[Edital]],tEditais[Edital],0)),"")</f>
        <v>MUNICIPIO DE NOVA XAVANTINA</v>
      </c>
      <c r="H4138" t="str">
        <f>IFERROR(INDEX(tEditais[UF],MATCH(tItens[[#This Row],[Edital]],tEditais[Edital],0)),"")</f>
        <v>MT</v>
      </c>
      <c r="I4138" s="11">
        <f>IFERROR(INDEX(tEditais[Encerramento],MATCH(tItens[[#This Row],[Edital]],tEditais[Edital],0)),"")</f>
        <v>46304.375</v>
      </c>
      <c r="J4138" t="str">
        <f>IFERROR(INDEX(tProdutos[Classe],MATCH(tItens[[#This Row],[Produto]],tProdutos[Produto],0)),"produto não cadastrado")</f>
        <v>NÚCLEO</v>
      </c>
      <c r="K4138" s="12">
        <f>tItens[[#This Row],[Qtd]]*tItens[[#This Row],[Vlr unit]]</f>
        <v>2577</v>
      </c>
      <c r="L4138" s="6">
        <f>IFERROR(IF(INDEX(tProdutos[Desconto homologado],MATCH(tItens[[#This Row],[Produto]],tProdutos[Produto],0))="",DescontoPadrao,INDEX(tProdutos[Desconto homologado],MATCH(tItens[[#This Row],[Produto]],tProdutos[Produto],0))),DescontoPadrao)</f>
        <v>0.44981412639405199</v>
      </c>
      <c r="M4138" s="12">
        <f>tItens[[#This Row],[Valor]]*(1-tItens[[#This Row],[Desconto]])</f>
        <v>1417.8289962825279</v>
      </c>
      <c r="N4138" t="str">
        <f>IFERROR(INDEX(tProdutos[Foco],MATCH(tItens[[#This Row],[Produto]],tProdutos[Produto],0)),"Não")</f>
        <v>Não</v>
      </c>
      <c r="O4138" t="str">
        <f>IFERROR(INDEX(tEditais[SRP],MATCH(tItens[[#This Row],[Edital]],tEditais[Edital],0)),"Não")</f>
        <v>Sim</v>
      </c>
      <c r="P4138" s="4">
        <f>IF(COUNTIFS(INDEX(tItens[Edital],1):tItens[[#This Row],[Edital]],tItens[[#This Row],[Edital]],INDEX(tItens[Produto],1):tItens[[#This Row],[Produto]],tItens[[#This Row],[Produto]])=1,1,0)</f>
        <v>1</v>
      </c>
    </row>
    <row r="4139" spans="1:16" x14ac:dyDescent="0.25">
      <c r="A4139" t="s">
        <v>1667</v>
      </c>
      <c r="B4139">
        <v>6</v>
      </c>
      <c r="C4139" t="s">
        <v>6995</v>
      </c>
      <c r="D4139" t="s">
        <v>112</v>
      </c>
      <c r="E4139" s="13">
        <v>50</v>
      </c>
      <c r="F4139" s="12">
        <v>55.28</v>
      </c>
      <c r="G4139" t="str">
        <f>IFERROR(INDEX(tEditais[Órgão],MATCH(tItens[[#This Row],[Edital]],tEditais[Edital],0)),"")</f>
        <v>MUNICIPIO DE NOVA XAVANTINA</v>
      </c>
      <c r="H4139" t="str">
        <f>IFERROR(INDEX(tEditais[UF],MATCH(tItens[[#This Row],[Edital]],tEditais[Edital],0)),"")</f>
        <v>MT</v>
      </c>
      <c r="I4139" s="11">
        <f>IFERROR(INDEX(tEditais[Encerramento],MATCH(tItens[[#This Row],[Edital]],tEditais[Edital],0)),"")</f>
        <v>46304.375</v>
      </c>
      <c r="J4139" t="str">
        <f>IFERROR(INDEX(tProdutos[Classe],MATCH(tItens[[#This Row],[Produto]],tProdutos[Produto],0)),"produto não cadastrado")</f>
        <v>DISPUTADO</v>
      </c>
      <c r="K4139" s="12">
        <f>tItens[[#This Row],[Qtd]]*tItens[[#This Row],[Vlr unit]]</f>
        <v>2764</v>
      </c>
      <c r="L4139" s="6">
        <f>IFERROR(IF(INDEX(tProdutos[Desconto homologado],MATCH(tItens[[#This Row],[Produto]],tProdutos[Produto],0))="",DescontoPadrao,INDEX(tProdutos[Desconto homologado],MATCH(tItens[[#This Row],[Produto]],tProdutos[Produto],0))),DescontoPadrao)</f>
        <v>0.35273348841447499</v>
      </c>
      <c r="M4139" s="12">
        <f>tItens[[#This Row],[Valor]]*(1-tItens[[#This Row],[Desconto]])</f>
        <v>1789.0446380223909</v>
      </c>
      <c r="N4139" t="str">
        <f>IFERROR(INDEX(tProdutos[Foco],MATCH(tItens[[#This Row],[Produto]],tProdutos[Produto],0)),"Não")</f>
        <v>Não</v>
      </c>
      <c r="O4139" t="str">
        <f>IFERROR(INDEX(tEditais[SRP],MATCH(tItens[[#This Row],[Edital]],tEditais[Edital],0)),"Não")</f>
        <v>Sim</v>
      </c>
      <c r="P4139" s="4">
        <f>IF(COUNTIFS(INDEX(tItens[Edital],1):tItens[[#This Row],[Edital]],tItens[[#This Row],[Edital]],INDEX(tItens[Produto],1):tItens[[#This Row],[Produto]],tItens[[#This Row],[Produto]])=1,1,0)</f>
        <v>1</v>
      </c>
    </row>
    <row r="4140" spans="1:16" x14ac:dyDescent="0.25">
      <c r="A4140" t="s">
        <v>1667</v>
      </c>
      <c r="B4140">
        <v>43</v>
      </c>
      <c r="C4140" t="s">
        <v>6996</v>
      </c>
      <c r="D4140" t="s">
        <v>174</v>
      </c>
      <c r="E4140" s="13">
        <v>200</v>
      </c>
      <c r="F4140" s="12">
        <v>25.93</v>
      </c>
      <c r="G4140" t="str">
        <f>IFERROR(INDEX(tEditais[Órgão],MATCH(tItens[[#This Row],[Edital]],tEditais[Edital],0)),"")</f>
        <v>MUNICIPIO DE NOVA XAVANTINA</v>
      </c>
      <c r="H4140" t="str">
        <f>IFERROR(INDEX(tEditais[UF],MATCH(tItens[[#This Row],[Edital]],tEditais[Edital],0)),"")</f>
        <v>MT</v>
      </c>
      <c r="I4140" s="11">
        <f>IFERROR(INDEX(tEditais[Encerramento],MATCH(tItens[[#This Row],[Edital]],tEditais[Edital],0)),"")</f>
        <v>46304.375</v>
      </c>
      <c r="J4140" t="str">
        <f>IFERROR(INDEX(tProdutos[Classe],MATCH(tItens[[#This Row],[Produto]],tProdutos[Produto],0)),"produto não cadastrado")</f>
        <v>DISPUTADO</v>
      </c>
      <c r="K4140" s="12">
        <f>tItens[[#This Row],[Qtd]]*tItens[[#This Row],[Vlr unit]]</f>
        <v>5186</v>
      </c>
      <c r="L4140" s="6">
        <f>IFERROR(IF(INDEX(tProdutos[Desconto homologado],MATCH(tItens[[#This Row],[Produto]],tProdutos[Produto],0))="",DescontoPadrao,INDEX(tProdutos[Desconto homologado],MATCH(tItens[[#This Row],[Produto]],tProdutos[Produto],0))),DescontoPadrao)</f>
        <v>0.50491678656591998</v>
      </c>
      <c r="M4140" s="12">
        <f>tItens[[#This Row],[Valor]]*(1-tItens[[#This Row],[Desconto]])</f>
        <v>2567.5015448691388</v>
      </c>
      <c r="N4140" t="str">
        <f>IFERROR(INDEX(tProdutos[Foco],MATCH(tItens[[#This Row],[Produto]],tProdutos[Produto],0)),"Não")</f>
        <v>Não</v>
      </c>
      <c r="O4140" t="str">
        <f>IFERROR(INDEX(tEditais[SRP],MATCH(tItens[[#This Row],[Edital]],tEditais[Edital],0)),"Não")</f>
        <v>Sim</v>
      </c>
      <c r="P4140" s="4">
        <f>IF(COUNTIFS(INDEX(tItens[Edital],1):tItens[[#This Row],[Edital]],tItens[[#This Row],[Edital]],INDEX(tItens[Produto],1):tItens[[#This Row],[Produto]],tItens[[#This Row],[Produto]])=1,1,0)</f>
        <v>1</v>
      </c>
    </row>
    <row r="4141" spans="1:16" x14ac:dyDescent="0.25">
      <c r="A4141" t="s">
        <v>1667</v>
      </c>
      <c r="B4141">
        <v>50</v>
      </c>
      <c r="C4141" t="s">
        <v>6997</v>
      </c>
      <c r="D4141" t="s">
        <v>311</v>
      </c>
      <c r="E4141" s="13">
        <v>30</v>
      </c>
      <c r="F4141" s="12">
        <v>13.79</v>
      </c>
      <c r="G4141" t="str">
        <f>IFERROR(INDEX(tEditais[Órgão],MATCH(tItens[[#This Row],[Edital]],tEditais[Edital],0)),"")</f>
        <v>MUNICIPIO DE NOVA XAVANTINA</v>
      </c>
      <c r="H4141" t="str">
        <f>IFERROR(INDEX(tEditais[UF],MATCH(tItens[[#This Row],[Edital]],tEditais[Edital],0)),"")</f>
        <v>MT</v>
      </c>
      <c r="I4141" s="11">
        <f>IFERROR(INDEX(tEditais[Encerramento],MATCH(tItens[[#This Row],[Edital]],tEditais[Edital],0)),"")</f>
        <v>46304.375</v>
      </c>
      <c r="J4141" t="str">
        <f>IFERROR(INDEX(tProdutos[Classe],MATCH(tItens[[#This Row],[Produto]],tProdutos[Produto],0)),"produto não cadastrado")</f>
        <v>FORA</v>
      </c>
      <c r="K4141" s="12">
        <f>tItens[[#This Row],[Qtd]]*tItens[[#This Row],[Vlr unit]]</f>
        <v>413.7</v>
      </c>
      <c r="L4141" s="6">
        <f>IFERROR(IF(INDEX(tProdutos[Desconto homologado],MATCH(tItens[[#This Row],[Produto]],tProdutos[Produto],0))="",DescontoPadrao,INDEX(tProdutos[Desconto homologado],MATCH(tItens[[#This Row],[Produto]],tProdutos[Produto],0))),DescontoPadrao)</f>
        <v>0.29046182846371399</v>
      </c>
      <c r="M4141" s="12">
        <f>tItens[[#This Row],[Valor]]*(1-tItens[[#This Row],[Desconto]])</f>
        <v>293.53594156456154</v>
      </c>
      <c r="N4141" t="str">
        <f>IFERROR(INDEX(tProdutos[Foco],MATCH(tItens[[#This Row],[Produto]],tProdutos[Produto],0)),"Não")</f>
        <v>Não</v>
      </c>
      <c r="O4141" t="str">
        <f>IFERROR(INDEX(tEditais[SRP],MATCH(tItens[[#This Row],[Edital]],tEditais[Edital],0)),"Não")</f>
        <v>Sim</v>
      </c>
      <c r="P4141" s="4">
        <f>IF(COUNTIFS(INDEX(tItens[Edital],1):tItens[[#This Row],[Edital]],tItens[[#This Row],[Edital]],INDEX(tItens[Produto],1):tItens[[#This Row],[Produto]],tItens[[#This Row],[Produto]])=1,1,0)</f>
        <v>1</v>
      </c>
    </row>
    <row r="4142" spans="1:16" x14ac:dyDescent="0.25">
      <c r="A4142" t="s">
        <v>1667</v>
      </c>
      <c r="B4142">
        <v>68</v>
      </c>
      <c r="C4142" t="s">
        <v>6998</v>
      </c>
      <c r="D4142" t="s">
        <v>461</v>
      </c>
      <c r="E4142" s="13">
        <v>50</v>
      </c>
      <c r="F4142" s="12">
        <v>48.17</v>
      </c>
      <c r="G4142" t="str">
        <f>IFERROR(INDEX(tEditais[Órgão],MATCH(tItens[[#This Row],[Edital]],tEditais[Edital],0)),"")</f>
        <v>MUNICIPIO DE NOVA XAVANTINA</v>
      </c>
      <c r="H4142" t="str">
        <f>IFERROR(INDEX(tEditais[UF],MATCH(tItens[[#This Row],[Edital]],tEditais[Edital],0)),"")</f>
        <v>MT</v>
      </c>
      <c r="I4142" s="11">
        <f>IFERROR(INDEX(tEditais[Encerramento],MATCH(tItens[[#This Row],[Edital]],tEditais[Edital],0)),"")</f>
        <v>46304.375</v>
      </c>
      <c r="J4142" t="str">
        <f>IFERROR(INDEX(tProdutos[Classe],MATCH(tItens[[#This Row],[Produto]],tProdutos[Produto],0)),"produto não cadastrado")</f>
        <v>FILA REBASE</v>
      </c>
      <c r="K4142" s="12">
        <f>tItens[[#This Row],[Qtd]]*tItens[[#This Row],[Vlr unit]]</f>
        <v>2408.5</v>
      </c>
      <c r="L4142" s="6">
        <f>IFERROR(IF(INDEX(tProdutos[Desconto homologado],MATCH(tItens[[#This Row],[Produto]],tProdutos[Produto],0))="",DescontoPadrao,INDEX(tProdutos[Desconto homologado],MATCH(tItens[[#This Row],[Produto]],tProdutos[Produto],0))),DescontoPadrao)</f>
        <v>0.44096385542168698</v>
      </c>
      <c r="M4142" s="12">
        <f>tItens[[#This Row],[Valor]]*(1-tItens[[#This Row],[Desconto]])</f>
        <v>1346.4385542168668</v>
      </c>
      <c r="N4142" t="str">
        <f>IFERROR(INDEX(tProdutos[Foco],MATCH(tItens[[#This Row],[Produto]],tProdutos[Produto],0)),"Não")</f>
        <v>Não</v>
      </c>
      <c r="O4142" t="str">
        <f>IFERROR(INDEX(tEditais[SRP],MATCH(tItens[[#This Row],[Edital]],tEditais[Edital],0)),"Não")</f>
        <v>Sim</v>
      </c>
      <c r="P4142" s="4">
        <f>IF(COUNTIFS(INDEX(tItens[Edital],1):tItens[[#This Row],[Edital]],tItens[[#This Row],[Edital]],INDEX(tItens[Produto],1):tItens[[#This Row],[Produto]],tItens[[#This Row],[Produto]])=1,1,0)</f>
        <v>1</v>
      </c>
    </row>
    <row r="4143" spans="1:16" x14ac:dyDescent="0.25">
      <c r="A4143" t="s">
        <v>1667</v>
      </c>
      <c r="B4143">
        <v>69</v>
      </c>
      <c r="C4143" t="s">
        <v>6999</v>
      </c>
      <c r="D4143" t="s">
        <v>461</v>
      </c>
      <c r="E4143" s="13">
        <v>200</v>
      </c>
      <c r="F4143" s="12">
        <v>51.77</v>
      </c>
      <c r="G4143" t="str">
        <f>IFERROR(INDEX(tEditais[Órgão],MATCH(tItens[[#This Row],[Edital]],tEditais[Edital],0)),"")</f>
        <v>MUNICIPIO DE NOVA XAVANTINA</v>
      </c>
      <c r="H4143" t="str">
        <f>IFERROR(INDEX(tEditais[UF],MATCH(tItens[[#This Row],[Edital]],tEditais[Edital],0)),"")</f>
        <v>MT</v>
      </c>
      <c r="I4143" s="11">
        <f>IFERROR(INDEX(tEditais[Encerramento],MATCH(tItens[[#This Row],[Edital]],tEditais[Edital],0)),"")</f>
        <v>46304.375</v>
      </c>
      <c r="J4143" t="str">
        <f>IFERROR(INDEX(tProdutos[Classe],MATCH(tItens[[#This Row],[Produto]],tProdutos[Produto],0)),"produto não cadastrado")</f>
        <v>FILA REBASE</v>
      </c>
      <c r="K4143" s="12">
        <f>tItens[[#This Row],[Qtd]]*tItens[[#This Row],[Vlr unit]]</f>
        <v>10354</v>
      </c>
      <c r="L4143" s="6">
        <f>IFERROR(IF(INDEX(tProdutos[Desconto homologado],MATCH(tItens[[#This Row],[Produto]],tProdutos[Produto],0))="",DescontoPadrao,INDEX(tProdutos[Desconto homologado],MATCH(tItens[[#This Row],[Produto]],tProdutos[Produto],0))),DescontoPadrao)</f>
        <v>0.44096385542168698</v>
      </c>
      <c r="M4143" s="12">
        <f>tItens[[#This Row],[Valor]]*(1-tItens[[#This Row],[Desconto]])</f>
        <v>5788.2602409638521</v>
      </c>
      <c r="N4143" t="str">
        <f>IFERROR(INDEX(tProdutos[Foco],MATCH(tItens[[#This Row],[Produto]],tProdutos[Produto],0)),"Não")</f>
        <v>Não</v>
      </c>
      <c r="O4143" t="str">
        <f>IFERROR(INDEX(tEditais[SRP],MATCH(tItens[[#This Row],[Edital]],tEditais[Edital],0)),"Não")</f>
        <v>Sim</v>
      </c>
      <c r="P4143" s="4">
        <f>IF(COUNTIFS(INDEX(tItens[Edital],1):tItens[[#This Row],[Edital]],tItens[[#This Row],[Edital]],INDEX(tItens[Produto],1):tItens[[#This Row],[Produto]],tItens[[#This Row],[Produto]])=1,1,0)</f>
        <v>0</v>
      </c>
    </row>
    <row r="4144" spans="1:16" x14ac:dyDescent="0.25">
      <c r="A4144" t="s">
        <v>1667</v>
      </c>
      <c r="B4144">
        <v>83</v>
      </c>
      <c r="C4144" t="s">
        <v>7000</v>
      </c>
      <c r="D4144" t="s">
        <v>130</v>
      </c>
      <c r="E4144" s="13">
        <v>50</v>
      </c>
      <c r="F4144" s="12">
        <v>190.32</v>
      </c>
      <c r="G4144" t="str">
        <f>IFERROR(INDEX(tEditais[Órgão],MATCH(tItens[[#This Row],[Edital]],tEditais[Edital],0)),"")</f>
        <v>MUNICIPIO DE NOVA XAVANTINA</v>
      </c>
      <c r="H4144" t="str">
        <f>IFERROR(INDEX(tEditais[UF],MATCH(tItens[[#This Row],[Edital]],tEditais[Edital],0)),"")</f>
        <v>MT</v>
      </c>
      <c r="I4144" s="11">
        <f>IFERROR(INDEX(tEditais[Encerramento],MATCH(tItens[[#This Row],[Edital]],tEditais[Edital],0)),"")</f>
        <v>46304.375</v>
      </c>
      <c r="J4144" t="str">
        <f>IFERROR(INDEX(tProdutos[Classe],MATCH(tItens[[#This Row],[Produto]],tProdutos[Produto],0)),"produto não cadastrado")</f>
        <v>DISPUTADO</v>
      </c>
      <c r="K4144" s="12">
        <f>tItens[[#This Row],[Qtd]]*tItens[[#This Row],[Vlr unit]]</f>
        <v>9516</v>
      </c>
      <c r="L4144" s="6">
        <f>IFERROR(IF(INDEX(tProdutos[Desconto homologado],MATCH(tItens[[#This Row],[Produto]],tProdutos[Produto],0))="",DescontoPadrao,INDEX(tProdutos[Desconto homologado],MATCH(tItens[[#This Row],[Produto]],tProdutos[Produto],0))),DescontoPadrao)</f>
        <v>0.32</v>
      </c>
      <c r="M4144" s="12">
        <f>tItens[[#This Row],[Valor]]*(1-tItens[[#This Row],[Desconto]])</f>
        <v>6470.8799999999992</v>
      </c>
      <c r="N4144" t="str">
        <f>IFERROR(INDEX(tProdutos[Foco],MATCH(tItens[[#This Row],[Produto]],tProdutos[Produto],0)),"Não")</f>
        <v>Sim</v>
      </c>
      <c r="O4144" t="str">
        <f>IFERROR(INDEX(tEditais[SRP],MATCH(tItens[[#This Row],[Edital]],tEditais[Edital],0)),"Não")</f>
        <v>Sim</v>
      </c>
      <c r="P4144" s="4">
        <f>IF(COUNTIFS(INDEX(tItens[Edital],1):tItens[[#This Row],[Edital]],tItens[[#This Row],[Edital]],INDEX(tItens[Produto],1):tItens[[#This Row],[Produto]],tItens[[#This Row],[Produto]])=1,1,0)</f>
        <v>1</v>
      </c>
    </row>
    <row r="4145" spans="1:16" x14ac:dyDescent="0.25">
      <c r="A4145" t="s">
        <v>1667</v>
      </c>
      <c r="B4145">
        <v>86</v>
      </c>
      <c r="C4145" t="s">
        <v>7001</v>
      </c>
      <c r="D4145" t="s">
        <v>56</v>
      </c>
      <c r="E4145" s="13">
        <v>50</v>
      </c>
      <c r="F4145" s="12">
        <v>41.22</v>
      </c>
      <c r="G4145" t="str">
        <f>IFERROR(INDEX(tEditais[Órgão],MATCH(tItens[[#This Row],[Edital]],tEditais[Edital],0)),"")</f>
        <v>MUNICIPIO DE NOVA XAVANTINA</v>
      </c>
      <c r="H4145" t="str">
        <f>IFERROR(INDEX(tEditais[UF],MATCH(tItens[[#This Row],[Edital]],tEditais[Edital],0)),"")</f>
        <v>MT</v>
      </c>
      <c r="I4145" s="11">
        <f>IFERROR(INDEX(tEditais[Encerramento],MATCH(tItens[[#This Row],[Edital]],tEditais[Edital],0)),"")</f>
        <v>46304.375</v>
      </c>
      <c r="J4145" t="str">
        <f>IFERROR(INDEX(tProdutos[Classe],MATCH(tItens[[#This Row],[Produto]],tProdutos[Produto],0)),"produto não cadastrado")</f>
        <v>NÚCLEO</v>
      </c>
      <c r="K4145" s="12">
        <f>tItens[[#This Row],[Qtd]]*tItens[[#This Row],[Vlr unit]]</f>
        <v>2061</v>
      </c>
      <c r="L4145" s="6">
        <f>IFERROR(IF(INDEX(tProdutos[Desconto homologado],MATCH(tItens[[#This Row],[Produto]],tProdutos[Produto],0))="",DescontoPadrao,INDEX(tProdutos[Desconto homologado],MATCH(tItens[[#This Row],[Produto]],tProdutos[Produto],0))),DescontoPadrao)</f>
        <v>0.34</v>
      </c>
      <c r="M4145" s="12">
        <f>tItens[[#This Row],[Valor]]*(1-tItens[[#This Row],[Desconto]])</f>
        <v>1360.2599999999998</v>
      </c>
      <c r="N4145" t="str">
        <f>IFERROR(INDEX(tProdutos[Foco],MATCH(tItens[[#This Row],[Produto]],tProdutos[Produto],0)),"Não")</f>
        <v>Sim</v>
      </c>
      <c r="O4145" t="str">
        <f>IFERROR(INDEX(tEditais[SRP],MATCH(tItens[[#This Row],[Edital]],tEditais[Edital],0)),"Não")</f>
        <v>Sim</v>
      </c>
      <c r="P4145" s="4">
        <f>IF(COUNTIFS(INDEX(tItens[Edital],1):tItens[[#This Row],[Edital]],tItens[[#This Row],[Edital]],INDEX(tItens[Produto],1):tItens[[#This Row],[Produto]],tItens[[#This Row],[Produto]])=1,1,0)</f>
        <v>1</v>
      </c>
    </row>
    <row r="4146" spans="1:16" x14ac:dyDescent="0.25">
      <c r="A4146" t="s">
        <v>1667</v>
      </c>
      <c r="B4146">
        <v>90</v>
      </c>
      <c r="C4146" t="s">
        <v>7002</v>
      </c>
      <c r="D4146" t="s">
        <v>343</v>
      </c>
      <c r="E4146" s="13">
        <v>500</v>
      </c>
      <c r="F4146" s="12">
        <v>3.16</v>
      </c>
      <c r="G4146" t="str">
        <f>IFERROR(INDEX(tEditais[Órgão],MATCH(tItens[[#This Row],[Edital]],tEditais[Edital],0)),"")</f>
        <v>MUNICIPIO DE NOVA XAVANTINA</v>
      </c>
      <c r="H4146" t="str">
        <f>IFERROR(INDEX(tEditais[UF],MATCH(tItens[[#This Row],[Edital]],tEditais[Edital],0)),"")</f>
        <v>MT</v>
      </c>
      <c r="I4146" s="11">
        <f>IFERROR(INDEX(tEditais[Encerramento],MATCH(tItens[[#This Row],[Edital]],tEditais[Edital],0)),"")</f>
        <v>46304.375</v>
      </c>
      <c r="J4146" t="str">
        <f>IFERROR(INDEX(tProdutos[Classe],MATCH(tItens[[#This Row],[Produto]],tProdutos[Produto],0)),"produto não cadastrado")</f>
        <v>FORA</v>
      </c>
      <c r="K4146" s="12">
        <f>tItens[[#This Row],[Qtd]]*tItens[[#This Row],[Vlr unit]]</f>
        <v>1580</v>
      </c>
      <c r="L4146" s="6">
        <f>IFERROR(IF(INDEX(tProdutos[Desconto homologado],MATCH(tItens[[#This Row],[Produto]],tProdutos[Produto],0))="",DescontoPadrao,INDEX(tProdutos[Desconto homologado],MATCH(tItens[[#This Row],[Produto]],tProdutos[Produto],0))),DescontoPadrao)</f>
        <v>0.35412234042553198</v>
      </c>
      <c r="M4146" s="12">
        <f>tItens[[#This Row],[Valor]]*(1-tItens[[#This Row],[Desconto]])</f>
        <v>1020.4867021276594</v>
      </c>
      <c r="N4146" t="str">
        <f>IFERROR(INDEX(tProdutos[Foco],MATCH(tItens[[#This Row],[Produto]],tProdutos[Produto],0)),"Não")</f>
        <v>Não</v>
      </c>
      <c r="O4146" t="str">
        <f>IFERROR(INDEX(tEditais[SRP],MATCH(tItens[[#This Row],[Edital]],tEditais[Edital],0)),"Não")</f>
        <v>Sim</v>
      </c>
      <c r="P4146" s="4">
        <f>IF(COUNTIFS(INDEX(tItens[Edital],1):tItens[[#This Row],[Edital]],tItens[[#This Row],[Edital]],INDEX(tItens[Produto],1):tItens[[#This Row],[Produto]],tItens[[#This Row],[Produto]])=1,1,0)</f>
        <v>1</v>
      </c>
    </row>
    <row r="4147" spans="1:16" x14ac:dyDescent="0.25">
      <c r="A4147" t="s">
        <v>1667</v>
      </c>
      <c r="B4147">
        <v>91</v>
      </c>
      <c r="C4147" t="s">
        <v>7003</v>
      </c>
      <c r="D4147" t="s">
        <v>313</v>
      </c>
      <c r="E4147" s="13">
        <v>600</v>
      </c>
      <c r="F4147" s="12">
        <v>24.52</v>
      </c>
      <c r="G4147" t="str">
        <f>IFERROR(INDEX(tEditais[Órgão],MATCH(tItens[[#This Row],[Edital]],tEditais[Edital],0)),"")</f>
        <v>MUNICIPIO DE NOVA XAVANTINA</v>
      </c>
      <c r="H4147" t="str">
        <f>IFERROR(INDEX(tEditais[UF],MATCH(tItens[[#This Row],[Edital]],tEditais[Edital],0)),"")</f>
        <v>MT</v>
      </c>
      <c r="I4147" s="11">
        <f>IFERROR(INDEX(tEditais[Encerramento],MATCH(tItens[[#This Row],[Edital]],tEditais[Edital],0)),"")</f>
        <v>46304.375</v>
      </c>
      <c r="J4147" t="str">
        <f>IFERROR(INDEX(tProdutos[Classe],MATCH(tItens[[#This Row],[Produto]],tProdutos[Produto],0)),"produto não cadastrado")</f>
        <v>FORA</v>
      </c>
      <c r="K4147" s="12">
        <f>tItens[[#This Row],[Qtd]]*tItens[[#This Row],[Vlr unit]]</f>
        <v>14712</v>
      </c>
      <c r="L4147" s="6">
        <f>IFERROR(IF(INDEX(tProdutos[Desconto homologado],MATCH(tItens[[#This Row],[Produto]],tProdutos[Produto],0))="",DescontoPadrao,INDEX(tProdutos[Desconto homologado],MATCH(tItens[[#This Row],[Produto]],tProdutos[Produto],0))),DescontoPadrao)</f>
        <v>0.35766373163696302</v>
      </c>
      <c r="M4147" s="12">
        <f>tItens[[#This Row],[Valor]]*(1-tItens[[#This Row],[Desconto]])</f>
        <v>9450.0511801569992</v>
      </c>
      <c r="N4147" t="str">
        <f>IFERROR(INDEX(tProdutos[Foco],MATCH(tItens[[#This Row],[Produto]],tProdutos[Produto],0)),"Não")</f>
        <v>Não</v>
      </c>
      <c r="O4147" t="str">
        <f>IFERROR(INDEX(tEditais[SRP],MATCH(tItens[[#This Row],[Edital]],tEditais[Edital],0)),"Não")</f>
        <v>Sim</v>
      </c>
      <c r="P4147" s="4">
        <f>IF(COUNTIFS(INDEX(tItens[Edital],1):tItens[[#This Row],[Edital]],tItens[[#This Row],[Edital]],INDEX(tItens[Produto],1):tItens[[#This Row],[Produto]],tItens[[#This Row],[Produto]])=1,1,0)</f>
        <v>1</v>
      </c>
    </row>
    <row r="4148" spans="1:16" x14ac:dyDescent="0.25">
      <c r="A4148" t="s">
        <v>1667</v>
      </c>
      <c r="B4148">
        <v>93</v>
      </c>
      <c r="C4148" t="s">
        <v>7003</v>
      </c>
      <c r="D4148" t="s">
        <v>313</v>
      </c>
      <c r="E4148" s="13">
        <v>500</v>
      </c>
      <c r="F4148" s="12">
        <v>24.54</v>
      </c>
      <c r="G4148" t="str">
        <f>IFERROR(INDEX(tEditais[Órgão],MATCH(tItens[[#This Row],[Edital]],tEditais[Edital],0)),"")</f>
        <v>MUNICIPIO DE NOVA XAVANTINA</v>
      </c>
      <c r="H4148" t="str">
        <f>IFERROR(INDEX(tEditais[UF],MATCH(tItens[[#This Row],[Edital]],tEditais[Edital],0)),"")</f>
        <v>MT</v>
      </c>
      <c r="I4148" s="11">
        <f>IFERROR(INDEX(tEditais[Encerramento],MATCH(tItens[[#This Row],[Edital]],tEditais[Edital],0)),"")</f>
        <v>46304.375</v>
      </c>
      <c r="J4148" t="str">
        <f>IFERROR(INDEX(tProdutos[Classe],MATCH(tItens[[#This Row],[Produto]],tProdutos[Produto],0)),"produto não cadastrado")</f>
        <v>FORA</v>
      </c>
      <c r="K4148" s="12">
        <f>tItens[[#This Row],[Qtd]]*tItens[[#This Row],[Vlr unit]]</f>
        <v>12270</v>
      </c>
      <c r="L4148" s="6">
        <f>IFERROR(IF(INDEX(tProdutos[Desconto homologado],MATCH(tItens[[#This Row],[Produto]],tProdutos[Produto],0))="",DescontoPadrao,INDEX(tProdutos[Desconto homologado],MATCH(tItens[[#This Row],[Produto]],tProdutos[Produto],0))),DescontoPadrao)</f>
        <v>0.35766373163696302</v>
      </c>
      <c r="M4148" s="12">
        <f>tItens[[#This Row],[Valor]]*(1-tItens[[#This Row],[Desconto]])</f>
        <v>7881.4660128144633</v>
      </c>
      <c r="N4148" t="str">
        <f>IFERROR(INDEX(tProdutos[Foco],MATCH(tItens[[#This Row],[Produto]],tProdutos[Produto],0)),"Não")</f>
        <v>Não</v>
      </c>
      <c r="O4148" t="str">
        <f>IFERROR(INDEX(tEditais[SRP],MATCH(tItens[[#This Row],[Edital]],tEditais[Edital],0)),"Não")</f>
        <v>Sim</v>
      </c>
      <c r="P4148" s="4">
        <f>IF(COUNTIFS(INDEX(tItens[Edital],1):tItens[[#This Row],[Edital]],tItens[[#This Row],[Edital]],INDEX(tItens[Produto],1):tItens[[#This Row],[Produto]],tItens[[#This Row],[Produto]])=1,1,0)</f>
        <v>0</v>
      </c>
    </row>
    <row r="4149" spans="1:16" x14ac:dyDescent="0.25">
      <c r="A4149" t="s">
        <v>1667</v>
      </c>
      <c r="B4149">
        <v>94</v>
      </c>
      <c r="C4149" t="s">
        <v>7004</v>
      </c>
      <c r="D4149" t="s">
        <v>377</v>
      </c>
      <c r="E4149" s="13">
        <v>600</v>
      </c>
      <c r="F4149" s="12">
        <v>36.04</v>
      </c>
      <c r="G4149" t="str">
        <f>IFERROR(INDEX(tEditais[Órgão],MATCH(tItens[[#This Row],[Edital]],tEditais[Edital],0)),"")</f>
        <v>MUNICIPIO DE NOVA XAVANTINA</v>
      </c>
      <c r="H4149" t="str">
        <f>IFERROR(INDEX(tEditais[UF],MATCH(tItens[[#This Row],[Edital]],tEditais[Edital],0)),"")</f>
        <v>MT</v>
      </c>
      <c r="I4149" s="11">
        <f>IFERROR(INDEX(tEditais[Encerramento],MATCH(tItens[[#This Row],[Edital]],tEditais[Edital],0)),"")</f>
        <v>46304.375</v>
      </c>
      <c r="J4149" t="str">
        <f>IFERROR(INDEX(tProdutos[Classe],MATCH(tItens[[#This Row],[Produto]],tProdutos[Produto],0)),"produto não cadastrado")</f>
        <v>FORA</v>
      </c>
      <c r="K4149" s="12">
        <f>tItens[[#This Row],[Qtd]]*tItens[[#This Row],[Vlr unit]]</f>
        <v>21624</v>
      </c>
      <c r="L4149" s="6">
        <f>IFERROR(IF(INDEX(tProdutos[Desconto homologado],MATCH(tItens[[#This Row],[Produto]],tProdutos[Produto],0))="",DescontoPadrao,INDEX(tProdutos[Desconto homologado],MATCH(tItens[[#This Row],[Produto]],tProdutos[Produto],0))),DescontoPadrao)</f>
        <v>0.29186603777106501</v>
      </c>
      <c r="M4149" s="12">
        <f>tItens[[#This Row],[Valor]]*(1-tItens[[#This Row],[Desconto]])</f>
        <v>15312.688799238491</v>
      </c>
      <c r="N4149" t="str">
        <f>IFERROR(INDEX(tProdutos[Foco],MATCH(tItens[[#This Row],[Produto]],tProdutos[Produto],0)),"Não")</f>
        <v>Não</v>
      </c>
      <c r="O4149" t="str">
        <f>IFERROR(INDEX(tEditais[SRP],MATCH(tItens[[#This Row],[Edital]],tEditais[Edital],0)),"Não")</f>
        <v>Sim</v>
      </c>
      <c r="P4149" s="4">
        <f>IF(COUNTIFS(INDEX(tItens[Edital],1):tItens[[#This Row],[Edital]],tItens[[#This Row],[Edital]],INDEX(tItens[Produto],1):tItens[[#This Row],[Produto]],tItens[[#This Row],[Produto]])=1,1,0)</f>
        <v>1</v>
      </c>
    </row>
    <row r="4150" spans="1:16" x14ac:dyDescent="0.25">
      <c r="A4150" t="s">
        <v>1667</v>
      </c>
      <c r="B4150">
        <v>101</v>
      </c>
      <c r="C4150" t="s">
        <v>7005</v>
      </c>
      <c r="D4150" t="s">
        <v>494</v>
      </c>
      <c r="E4150" s="13">
        <v>100</v>
      </c>
      <c r="F4150" s="12">
        <v>53.96</v>
      </c>
      <c r="G4150" t="str">
        <f>IFERROR(INDEX(tEditais[Órgão],MATCH(tItens[[#This Row],[Edital]],tEditais[Edital],0)),"")</f>
        <v>MUNICIPIO DE NOVA XAVANTINA</v>
      </c>
      <c r="H4150" t="str">
        <f>IFERROR(INDEX(tEditais[UF],MATCH(tItens[[#This Row],[Edital]],tEditais[Edital],0)),"")</f>
        <v>MT</v>
      </c>
      <c r="I4150" s="11">
        <f>IFERROR(INDEX(tEditais[Encerramento],MATCH(tItens[[#This Row],[Edital]],tEditais[Edital],0)),"")</f>
        <v>46304.375</v>
      </c>
      <c r="J4150" t="str">
        <f>IFERROR(INDEX(tProdutos[Classe],MATCH(tItens[[#This Row],[Produto]],tProdutos[Produto],0)),"produto não cadastrado")</f>
        <v>FILA REBASE</v>
      </c>
      <c r="K4150" s="12">
        <f>tItens[[#This Row],[Qtd]]*tItens[[#This Row],[Vlr unit]]</f>
        <v>5396</v>
      </c>
      <c r="L4150" s="6">
        <f>IFERROR(IF(INDEX(tProdutos[Desconto homologado],MATCH(tItens[[#This Row],[Produto]],tProdutos[Produto],0))="",DescontoPadrao,INDEX(tProdutos[Desconto homologado],MATCH(tItens[[#This Row],[Produto]],tProdutos[Produto],0))),DescontoPadrao)</f>
        <v>0.253736324829619</v>
      </c>
      <c r="M4150" s="12">
        <f>tItens[[#This Row],[Valor]]*(1-tItens[[#This Row],[Desconto]])</f>
        <v>4026.8387912193762</v>
      </c>
      <c r="N4150" t="str">
        <f>IFERROR(INDEX(tProdutos[Foco],MATCH(tItens[[#This Row],[Produto]],tProdutos[Produto],0)),"Não")</f>
        <v>Não</v>
      </c>
      <c r="O4150" t="str">
        <f>IFERROR(INDEX(tEditais[SRP],MATCH(tItens[[#This Row],[Edital]],tEditais[Edital],0)),"Não")</f>
        <v>Sim</v>
      </c>
      <c r="P4150" s="4">
        <f>IF(COUNTIFS(INDEX(tItens[Edital],1):tItens[[#This Row],[Edital]],tItens[[#This Row],[Edital]],INDEX(tItens[Produto],1):tItens[[#This Row],[Produto]],tItens[[#This Row],[Produto]])=1,1,0)</f>
        <v>1</v>
      </c>
    </row>
    <row r="4151" spans="1:16" x14ac:dyDescent="0.25">
      <c r="A4151" t="s">
        <v>1667</v>
      </c>
      <c r="B4151">
        <v>102</v>
      </c>
      <c r="C4151" t="s">
        <v>7006</v>
      </c>
      <c r="D4151" t="s">
        <v>494</v>
      </c>
      <c r="E4151" s="13">
        <v>100</v>
      </c>
      <c r="F4151" s="12">
        <v>76.680000000000007</v>
      </c>
      <c r="G4151" t="str">
        <f>IFERROR(INDEX(tEditais[Órgão],MATCH(tItens[[#This Row],[Edital]],tEditais[Edital],0)),"")</f>
        <v>MUNICIPIO DE NOVA XAVANTINA</v>
      </c>
      <c r="H4151" t="str">
        <f>IFERROR(INDEX(tEditais[UF],MATCH(tItens[[#This Row],[Edital]],tEditais[Edital],0)),"")</f>
        <v>MT</v>
      </c>
      <c r="I4151" s="11">
        <f>IFERROR(INDEX(tEditais[Encerramento],MATCH(tItens[[#This Row],[Edital]],tEditais[Edital],0)),"")</f>
        <v>46304.375</v>
      </c>
      <c r="J4151" t="str">
        <f>IFERROR(INDEX(tProdutos[Classe],MATCH(tItens[[#This Row],[Produto]],tProdutos[Produto],0)),"produto não cadastrado")</f>
        <v>FILA REBASE</v>
      </c>
      <c r="K4151" s="12">
        <f>tItens[[#This Row],[Qtd]]*tItens[[#This Row],[Vlr unit]]</f>
        <v>7668.0000000000009</v>
      </c>
      <c r="L4151" s="6">
        <f>IFERROR(IF(INDEX(tProdutos[Desconto homologado],MATCH(tItens[[#This Row],[Produto]],tProdutos[Produto],0))="",DescontoPadrao,INDEX(tProdutos[Desconto homologado],MATCH(tItens[[#This Row],[Produto]],tProdutos[Produto],0))),DescontoPadrao)</f>
        <v>0.253736324829619</v>
      </c>
      <c r="M4151" s="12">
        <f>tItens[[#This Row],[Valor]]*(1-tItens[[#This Row],[Desconto]])</f>
        <v>5722.3498612064823</v>
      </c>
      <c r="N4151" t="str">
        <f>IFERROR(INDEX(tProdutos[Foco],MATCH(tItens[[#This Row],[Produto]],tProdutos[Produto],0)),"Não")</f>
        <v>Não</v>
      </c>
      <c r="O4151" t="str">
        <f>IFERROR(INDEX(tEditais[SRP],MATCH(tItens[[#This Row],[Edital]],tEditais[Edital],0)),"Não")</f>
        <v>Sim</v>
      </c>
      <c r="P4151" s="4">
        <f>IF(COUNTIFS(INDEX(tItens[Edital],1):tItens[[#This Row],[Edital]],tItens[[#This Row],[Edital]],INDEX(tItens[Produto],1):tItens[[#This Row],[Produto]],tItens[[#This Row],[Produto]])=1,1,0)</f>
        <v>0</v>
      </c>
    </row>
    <row r="4152" spans="1:16" x14ac:dyDescent="0.25">
      <c r="A4152" t="s">
        <v>1667</v>
      </c>
      <c r="B4152">
        <v>103</v>
      </c>
      <c r="C4152" t="s">
        <v>7007</v>
      </c>
      <c r="D4152" t="s">
        <v>494</v>
      </c>
      <c r="E4152" s="13">
        <v>100</v>
      </c>
      <c r="F4152" s="12">
        <v>102.51</v>
      </c>
      <c r="G4152" t="str">
        <f>IFERROR(INDEX(tEditais[Órgão],MATCH(tItens[[#This Row],[Edital]],tEditais[Edital],0)),"")</f>
        <v>MUNICIPIO DE NOVA XAVANTINA</v>
      </c>
      <c r="H4152" t="str">
        <f>IFERROR(INDEX(tEditais[UF],MATCH(tItens[[#This Row],[Edital]],tEditais[Edital],0)),"")</f>
        <v>MT</v>
      </c>
      <c r="I4152" s="11">
        <f>IFERROR(INDEX(tEditais[Encerramento],MATCH(tItens[[#This Row],[Edital]],tEditais[Edital],0)),"")</f>
        <v>46304.375</v>
      </c>
      <c r="J4152" t="str">
        <f>IFERROR(INDEX(tProdutos[Classe],MATCH(tItens[[#This Row],[Produto]],tProdutos[Produto],0)),"produto não cadastrado")</f>
        <v>FILA REBASE</v>
      </c>
      <c r="K4152" s="12">
        <f>tItens[[#This Row],[Qtd]]*tItens[[#This Row],[Vlr unit]]</f>
        <v>10251</v>
      </c>
      <c r="L4152" s="6">
        <f>IFERROR(IF(INDEX(tProdutos[Desconto homologado],MATCH(tItens[[#This Row],[Produto]],tProdutos[Produto],0))="",DescontoPadrao,INDEX(tProdutos[Desconto homologado],MATCH(tItens[[#This Row],[Produto]],tProdutos[Produto],0))),DescontoPadrao)</f>
        <v>0.253736324829619</v>
      </c>
      <c r="M4152" s="12">
        <f>tItens[[#This Row],[Valor]]*(1-tItens[[#This Row],[Desconto]])</f>
        <v>7649.9489341715762</v>
      </c>
      <c r="N4152" t="str">
        <f>IFERROR(INDEX(tProdutos[Foco],MATCH(tItens[[#This Row],[Produto]],tProdutos[Produto],0)),"Não")</f>
        <v>Não</v>
      </c>
      <c r="O4152" t="str">
        <f>IFERROR(INDEX(tEditais[SRP],MATCH(tItens[[#This Row],[Edital]],tEditais[Edital],0)),"Não")</f>
        <v>Sim</v>
      </c>
      <c r="P4152" s="4">
        <f>IF(COUNTIFS(INDEX(tItens[Edital],1):tItens[[#This Row],[Edital]],tItens[[#This Row],[Edital]],INDEX(tItens[Produto],1):tItens[[#This Row],[Produto]],tItens[[#This Row],[Produto]])=1,1,0)</f>
        <v>0</v>
      </c>
    </row>
    <row r="4153" spans="1:16" x14ac:dyDescent="0.25">
      <c r="A4153" t="s">
        <v>1667</v>
      </c>
      <c r="B4153">
        <v>104</v>
      </c>
      <c r="C4153" t="s">
        <v>7008</v>
      </c>
      <c r="D4153" t="s">
        <v>494</v>
      </c>
      <c r="E4153" s="13">
        <v>100</v>
      </c>
      <c r="F4153" s="12">
        <v>125.8</v>
      </c>
      <c r="G4153" t="str">
        <f>IFERROR(INDEX(tEditais[Órgão],MATCH(tItens[[#This Row],[Edital]],tEditais[Edital],0)),"")</f>
        <v>MUNICIPIO DE NOVA XAVANTINA</v>
      </c>
      <c r="H4153" t="str">
        <f>IFERROR(INDEX(tEditais[UF],MATCH(tItens[[#This Row],[Edital]],tEditais[Edital],0)),"")</f>
        <v>MT</v>
      </c>
      <c r="I4153" s="11">
        <f>IFERROR(INDEX(tEditais[Encerramento],MATCH(tItens[[#This Row],[Edital]],tEditais[Edital],0)),"")</f>
        <v>46304.375</v>
      </c>
      <c r="J4153" t="str">
        <f>IFERROR(INDEX(tProdutos[Classe],MATCH(tItens[[#This Row],[Produto]],tProdutos[Produto],0)),"produto não cadastrado")</f>
        <v>FILA REBASE</v>
      </c>
      <c r="K4153" s="12">
        <f>tItens[[#This Row],[Qtd]]*tItens[[#This Row],[Vlr unit]]</f>
        <v>12580</v>
      </c>
      <c r="L4153" s="6">
        <f>IFERROR(IF(INDEX(tProdutos[Desconto homologado],MATCH(tItens[[#This Row],[Produto]],tProdutos[Produto],0))="",DescontoPadrao,INDEX(tProdutos[Desconto homologado],MATCH(tItens[[#This Row],[Produto]],tProdutos[Produto],0))),DescontoPadrao)</f>
        <v>0.253736324829619</v>
      </c>
      <c r="M4153" s="12">
        <f>tItens[[#This Row],[Valor]]*(1-tItens[[#This Row],[Desconto]])</f>
        <v>9387.9970336433944</v>
      </c>
      <c r="N4153" t="str">
        <f>IFERROR(INDEX(tProdutos[Foco],MATCH(tItens[[#This Row],[Produto]],tProdutos[Produto],0)),"Não")</f>
        <v>Não</v>
      </c>
      <c r="O4153" t="str">
        <f>IFERROR(INDEX(tEditais[SRP],MATCH(tItens[[#This Row],[Edital]],tEditais[Edital],0)),"Não")</f>
        <v>Sim</v>
      </c>
      <c r="P4153" s="4">
        <f>IF(COUNTIFS(INDEX(tItens[Edital],1):tItens[[#This Row],[Edital]],tItens[[#This Row],[Edital]],INDEX(tItens[Produto],1):tItens[[#This Row],[Produto]],tItens[[#This Row],[Produto]])=1,1,0)</f>
        <v>0</v>
      </c>
    </row>
    <row r="4154" spans="1:16" x14ac:dyDescent="0.25">
      <c r="A4154" t="s">
        <v>1667</v>
      </c>
      <c r="B4154">
        <v>105</v>
      </c>
      <c r="C4154" t="s">
        <v>7009</v>
      </c>
      <c r="D4154" t="s">
        <v>494</v>
      </c>
      <c r="E4154" s="13">
        <v>100</v>
      </c>
      <c r="F4154" s="12">
        <v>151.37</v>
      </c>
      <c r="G4154" t="str">
        <f>IFERROR(INDEX(tEditais[Órgão],MATCH(tItens[[#This Row],[Edital]],tEditais[Edital],0)),"")</f>
        <v>MUNICIPIO DE NOVA XAVANTINA</v>
      </c>
      <c r="H4154" t="str">
        <f>IFERROR(INDEX(tEditais[UF],MATCH(tItens[[#This Row],[Edital]],tEditais[Edital],0)),"")</f>
        <v>MT</v>
      </c>
      <c r="I4154" s="11">
        <f>IFERROR(INDEX(tEditais[Encerramento],MATCH(tItens[[#This Row],[Edital]],tEditais[Edital],0)),"")</f>
        <v>46304.375</v>
      </c>
      <c r="J4154" t="str">
        <f>IFERROR(INDEX(tProdutos[Classe],MATCH(tItens[[#This Row],[Produto]],tProdutos[Produto],0)),"produto não cadastrado")</f>
        <v>FILA REBASE</v>
      </c>
      <c r="K4154" s="12">
        <f>tItens[[#This Row],[Qtd]]*tItens[[#This Row],[Vlr unit]]</f>
        <v>15137</v>
      </c>
      <c r="L4154" s="6">
        <f>IFERROR(IF(INDEX(tProdutos[Desconto homologado],MATCH(tItens[[#This Row],[Produto]],tProdutos[Produto],0))="",DescontoPadrao,INDEX(tProdutos[Desconto homologado],MATCH(tItens[[#This Row],[Produto]],tProdutos[Produto],0))),DescontoPadrao)</f>
        <v>0.253736324829619</v>
      </c>
      <c r="M4154" s="12">
        <f>tItens[[#This Row],[Valor]]*(1-tItens[[#This Row],[Desconto]])</f>
        <v>11296.193251054057</v>
      </c>
      <c r="N4154" t="str">
        <f>IFERROR(INDEX(tProdutos[Foco],MATCH(tItens[[#This Row],[Produto]],tProdutos[Produto],0)),"Não")</f>
        <v>Não</v>
      </c>
      <c r="O4154" t="str">
        <f>IFERROR(INDEX(tEditais[SRP],MATCH(tItens[[#This Row],[Edital]],tEditais[Edital],0)),"Não")</f>
        <v>Sim</v>
      </c>
      <c r="P4154" s="4">
        <f>IF(COUNTIFS(INDEX(tItens[Edital],1):tItens[[#This Row],[Edital]],tItens[[#This Row],[Edital]],INDEX(tItens[Produto],1):tItens[[#This Row],[Produto]],tItens[[#This Row],[Produto]])=1,1,0)</f>
        <v>0</v>
      </c>
    </row>
    <row r="4155" spans="1:16" x14ac:dyDescent="0.25">
      <c r="A4155" t="s">
        <v>1667</v>
      </c>
      <c r="B4155">
        <v>125</v>
      </c>
      <c r="C4155" t="s">
        <v>7010</v>
      </c>
      <c r="D4155" t="s">
        <v>241</v>
      </c>
      <c r="E4155" s="13">
        <v>500</v>
      </c>
      <c r="F4155" s="12">
        <v>5.0599999999999996</v>
      </c>
      <c r="G4155" t="str">
        <f>IFERROR(INDEX(tEditais[Órgão],MATCH(tItens[[#This Row],[Edital]],tEditais[Edital],0)),"")</f>
        <v>MUNICIPIO DE NOVA XAVANTINA</v>
      </c>
      <c r="H4155" t="str">
        <f>IFERROR(INDEX(tEditais[UF],MATCH(tItens[[#This Row],[Edital]],tEditais[Edital],0)),"")</f>
        <v>MT</v>
      </c>
      <c r="I4155" s="11">
        <f>IFERROR(INDEX(tEditais[Encerramento],MATCH(tItens[[#This Row],[Edital]],tEditais[Edital],0)),"")</f>
        <v>46304.375</v>
      </c>
      <c r="J4155" t="str">
        <f>IFERROR(INDEX(tProdutos[Classe],MATCH(tItens[[#This Row],[Produto]],tProdutos[Produto],0)),"produto não cadastrado")</f>
        <v>DISPUTADO</v>
      </c>
      <c r="K4155" s="12">
        <f>tItens[[#This Row],[Qtd]]*tItens[[#This Row],[Vlr unit]]</f>
        <v>2530</v>
      </c>
      <c r="L4155" s="6">
        <f>IFERROR(IF(INDEX(tProdutos[Desconto homologado],MATCH(tItens[[#This Row],[Produto]],tProdutos[Produto],0))="",DescontoPadrao,INDEX(tProdutos[Desconto homologado],MATCH(tItens[[#This Row],[Produto]],tProdutos[Produto],0))),DescontoPadrao)</f>
        <v>0.36881329157903497</v>
      </c>
      <c r="M4155" s="12">
        <f>tItens[[#This Row],[Valor]]*(1-tItens[[#This Row],[Desconto]])</f>
        <v>1596.9023723050416</v>
      </c>
      <c r="N4155" t="str">
        <f>IFERROR(INDEX(tProdutos[Foco],MATCH(tItens[[#This Row],[Produto]],tProdutos[Produto],0)),"Não")</f>
        <v>Não</v>
      </c>
      <c r="O4155" t="str">
        <f>IFERROR(INDEX(tEditais[SRP],MATCH(tItens[[#This Row],[Edital]],tEditais[Edital],0)),"Não")</f>
        <v>Sim</v>
      </c>
      <c r="P4155" s="4">
        <f>IF(COUNTIFS(INDEX(tItens[Edital],1):tItens[[#This Row],[Edital]],tItens[[#This Row],[Edital]],INDEX(tItens[Produto],1):tItens[[#This Row],[Produto]],tItens[[#This Row],[Produto]])=1,1,0)</f>
        <v>1</v>
      </c>
    </row>
    <row r="4156" spans="1:16" x14ac:dyDescent="0.25">
      <c r="A4156" t="s">
        <v>1667</v>
      </c>
      <c r="B4156">
        <v>126</v>
      </c>
      <c r="C4156" t="s">
        <v>7011</v>
      </c>
      <c r="D4156" t="s">
        <v>241</v>
      </c>
      <c r="E4156" s="13">
        <v>300</v>
      </c>
      <c r="F4156" s="12">
        <v>36.75</v>
      </c>
      <c r="G4156" t="str">
        <f>IFERROR(INDEX(tEditais[Órgão],MATCH(tItens[[#This Row],[Edital]],tEditais[Edital],0)),"")</f>
        <v>MUNICIPIO DE NOVA XAVANTINA</v>
      </c>
      <c r="H4156" t="str">
        <f>IFERROR(INDEX(tEditais[UF],MATCH(tItens[[#This Row],[Edital]],tEditais[Edital],0)),"")</f>
        <v>MT</v>
      </c>
      <c r="I4156" s="11">
        <f>IFERROR(INDEX(tEditais[Encerramento],MATCH(tItens[[#This Row],[Edital]],tEditais[Edital],0)),"")</f>
        <v>46304.375</v>
      </c>
      <c r="J4156" t="str">
        <f>IFERROR(INDEX(tProdutos[Classe],MATCH(tItens[[#This Row],[Produto]],tProdutos[Produto],0)),"produto não cadastrado")</f>
        <v>DISPUTADO</v>
      </c>
      <c r="K4156" s="12">
        <f>tItens[[#This Row],[Qtd]]*tItens[[#This Row],[Vlr unit]]</f>
        <v>11025</v>
      </c>
      <c r="L4156" s="6">
        <f>IFERROR(IF(INDEX(tProdutos[Desconto homologado],MATCH(tItens[[#This Row],[Produto]],tProdutos[Produto],0))="",DescontoPadrao,INDEX(tProdutos[Desconto homologado],MATCH(tItens[[#This Row],[Produto]],tProdutos[Produto],0))),DescontoPadrao)</f>
        <v>0.36881329157903497</v>
      </c>
      <c r="M4156" s="12">
        <f>tItens[[#This Row],[Valor]]*(1-tItens[[#This Row],[Desconto]])</f>
        <v>6958.8334603411395</v>
      </c>
      <c r="N4156" t="str">
        <f>IFERROR(INDEX(tProdutos[Foco],MATCH(tItens[[#This Row],[Produto]],tProdutos[Produto],0)),"Não")</f>
        <v>Não</v>
      </c>
      <c r="O4156" t="str">
        <f>IFERROR(INDEX(tEditais[SRP],MATCH(tItens[[#This Row],[Edital]],tEditais[Edital],0)),"Não")</f>
        <v>Sim</v>
      </c>
      <c r="P4156" s="4">
        <f>IF(COUNTIFS(INDEX(tItens[Edital],1):tItens[[#This Row],[Edital]],tItens[[#This Row],[Edital]],INDEX(tItens[Produto],1):tItens[[#This Row],[Produto]],tItens[[#This Row],[Produto]])=1,1,0)</f>
        <v>0</v>
      </c>
    </row>
    <row r="4157" spans="1:16" x14ac:dyDescent="0.25">
      <c r="A4157" t="s">
        <v>1672</v>
      </c>
      <c r="B4157">
        <v>2</v>
      </c>
      <c r="C4157" t="s">
        <v>7012</v>
      </c>
      <c r="D4157" t="s">
        <v>160</v>
      </c>
      <c r="E4157" s="13">
        <v>250</v>
      </c>
      <c r="F4157" s="12">
        <v>64.760000000000005</v>
      </c>
      <c r="G4157" t="str">
        <f>IFERROR(INDEX(tEditais[Órgão],MATCH(tItens[[#This Row],[Edital]],tEditais[Edital],0)),"")</f>
        <v>MUNICIPIO DE AGUA BOA</v>
      </c>
      <c r="H4157" t="str">
        <f>IFERROR(INDEX(tEditais[UF],MATCH(tItens[[#This Row],[Edital]],tEditais[Edital],0)),"")</f>
        <v>MT</v>
      </c>
      <c r="I4157" s="11">
        <f>IFERROR(INDEX(tEditais[Encerramento],MATCH(tItens[[#This Row],[Edital]],tEditais[Edital],0)),"")</f>
        <v>46308.353472222225</v>
      </c>
      <c r="J4157" t="str">
        <f>IFERROR(INDEX(tProdutos[Classe],MATCH(tItens[[#This Row],[Produto]],tProdutos[Produto],0)),"produto não cadastrado")</f>
        <v>DISPUTADO</v>
      </c>
      <c r="K4157" s="12">
        <f>tItens[[#This Row],[Qtd]]*tItens[[#This Row],[Vlr unit]]</f>
        <v>16190.000000000002</v>
      </c>
      <c r="L4157" s="6">
        <f>IFERROR(IF(INDEX(tProdutos[Desconto homologado],MATCH(tItens[[#This Row],[Produto]],tProdutos[Produto],0))="",DescontoPadrao,INDEX(tProdutos[Desconto homologado],MATCH(tItens[[#This Row],[Produto]],tProdutos[Produto],0))),DescontoPadrao)</f>
        <v>0.28000000000000003</v>
      </c>
      <c r="M4157" s="12">
        <f>tItens[[#This Row],[Valor]]*(1-tItens[[#This Row],[Desconto]])</f>
        <v>11656.800000000001</v>
      </c>
      <c r="N4157" t="str">
        <f>IFERROR(INDEX(tProdutos[Foco],MATCH(tItens[[#This Row],[Produto]],tProdutos[Produto],0)),"Não")</f>
        <v>Sim</v>
      </c>
      <c r="O4157" t="str">
        <f>IFERROR(INDEX(tEditais[SRP],MATCH(tItens[[#This Row],[Edital]],tEditais[Edital],0)),"Não")</f>
        <v>Sim</v>
      </c>
      <c r="P4157" s="4">
        <f>IF(COUNTIFS(INDEX(tItens[Edital],1):tItens[[#This Row],[Edital]],tItens[[#This Row],[Edital]],INDEX(tItens[Produto],1):tItens[[#This Row],[Produto]],tItens[[#This Row],[Produto]])=1,1,0)</f>
        <v>1</v>
      </c>
    </row>
    <row r="4158" spans="1:16" x14ac:dyDescent="0.25">
      <c r="A4158" t="s">
        <v>1672</v>
      </c>
      <c r="B4158">
        <v>3</v>
      </c>
      <c r="C4158" t="s">
        <v>7013</v>
      </c>
      <c r="D4158" t="s">
        <v>160</v>
      </c>
      <c r="E4158" s="13">
        <v>100</v>
      </c>
      <c r="F4158" s="12">
        <v>24.33</v>
      </c>
      <c r="G4158" t="str">
        <f>IFERROR(INDEX(tEditais[Órgão],MATCH(tItens[[#This Row],[Edital]],tEditais[Edital],0)),"")</f>
        <v>MUNICIPIO DE AGUA BOA</v>
      </c>
      <c r="H4158" t="str">
        <f>IFERROR(INDEX(tEditais[UF],MATCH(tItens[[#This Row],[Edital]],tEditais[Edital],0)),"")</f>
        <v>MT</v>
      </c>
      <c r="I4158" s="11">
        <f>IFERROR(INDEX(tEditais[Encerramento],MATCH(tItens[[#This Row],[Edital]],tEditais[Edital],0)),"")</f>
        <v>46308.353472222225</v>
      </c>
      <c r="J4158" t="str">
        <f>IFERROR(INDEX(tProdutos[Classe],MATCH(tItens[[#This Row],[Produto]],tProdutos[Produto],0)),"produto não cadastrado")</f>
        <v>DISPUTADO</v>
      </c>
      <c r="K4158" s="12">
        <f>tItens[[#This Row],[Qtd]]*tItens[[#This Row],[Vlr unit]]</f>
        <v>2433</v>
      </c>
      <c r="L4158" s="6">
        <f>IFERROR(IF(INDEX(tProdutos[Desconto homologado],MATCH(tItens[[#This Row],[Produto]],tProdutos[Produto],0))="",DescontoPadrao,INDEX(tProdutos[Desconto homologado],MATCH(tItens[[#This Row],[Produto]],tProdutos[Produto],0))),DescontoPadrao)</f>
        <v>0.28000000000000003</v>
      </c>
      <c r="M4158" s="12">
        <f>tItens[[#This Row],[Valor]]*(1-tItens[[#This Row],[Desconto]])</f>
        <v>1751.76</v>
      </c>
      <c r="N4158" t="str">
        <f>IFERROR(INDEX(tProdutos[Foco],MATCH(tItens[[#This Row],[Produto]],tProdutos[Produto],0)),"Não")</f>
        <v>Sim</v>
      </c>
      <c r="O4158" t="str">
        <f>IFERROR(INDEX(tEditais[SRP],MATCH(tItens[[#This Row],[Edital]],tEditais[Edital],0)),"Não")</f>
        <v>Sim</v>
      </c>
      <c r="P4158" s="4">
        <f>IF(COUNTIFS(INDEX(tItens[Edital],1):tItens[[#This Row],[Edital]],tItens[[#This Row],[Edital]],INDEX(tItens[Produto],1):tItens[[#This Row],[Produto]],tItens[[#This Row],[Produto]])=1,1,0)</f>
        <v>0</v>
      </c>
    </row>
    <row r="4159" spans="1:16" x14ac:dyDescent="0.25">
      <c r="A4159" t="s">
        <v>1672</v>
      </c>
      <c r="B4159">
        <v>4</v>
      </c>
      <c r="C4159" t="s">
        <v>7014</v>
      </c>
      <c r="D4159" t="s">
        <v>160</v>
      </c>
      <c r="E4159" s="13">
        <v>250</v>
      </c>
      <c r="F4159" s="12">
        <v>27.22</v>
      </c>
      <c r="G4159" t="str">
        <f>IFERROR(INDEX(tEditais[Órgão],MATCH(tItens[[#This Row],[Edital]],tEditais[Edital],0)),"")</f>
        <v>MUNICIPIO DE AGUA BOA</v>
      </c>
      <c r="H4159" t="str">
        <f>IFERROR(INDEX(tEditais[UF],MATCH(tItens[[#This Row],[Edital]],tEditais[Edital],0)),"")</f>
        <v>MT</v>
      </c>
      <c r="I4159" s="11">
        <f>IFERROR(INDEX(tEditais[Encerramento],MATCH(tItens[[#This Row],[Edital]],tEditais[Edital],0)),"")</f>
        <v>46308.353472222225</v>
      </c>
      <c r="J4159" t="str">
        <f>IFERROR(INDEX(tProdutos[Classe],MATCH(tItens[[#This Row],[Produto]],tProdutos[Produto],0)),"produto não cadastrado")</f>
        <v>DISPUTADO</v>
      </c>
      <c r="K4159" s="12">
        <f>tItens[[#This Row],[Qtd]]*tItens[[#This Row],[Vlr unit]]</f>
        <v>6805</v>
      </c>
      <c r="L4159" s="6">
        <f>IFERROR(IF(INDEX(tProdutos[Desconto homologado],MATCH(tItens[[#This Row],[Produto]],tProdutos[Produto],0))="",DescontoPadrao,INDEX(tProdutos[Desconto homologado],MATCH(tItens[[#This Row],[Produto]],tProdutos[Produto],0))),DescontoPadrao)</f>
        <v>0.28000000000000003</v>
      </c>
      <c r="M4159" s="12">
        <f>tItens[[#This Row],[Valor]]*(1-tItens[[#This Row],[Desconto]])</f>
        <v>4899.5999999999995</v>
      </c>
      <c r="N4159" t="str">
        <f>IFERROR(INDEX(tProdutos[Foco],MATCH(tItens[[#This Row],[Produto]],tProdutos[Produto],0)),"Não")</f>
        <v>Sim</v>
      </c>
      <c r="O4159" t="str">
        <f>IFERROR(INDEX(tEditais[SRP],MATCH(tItens[[#This Row],[Edital]],tEditais[Edital],0)),"Não")</f>
        <v>Sim</v>
      </c>
      <c r="P4159" s="4">
        <f>IF(COUNTIFS(INDEX(tItens[Edital],1):tItens[[#This Row],[Edital]],tItens[[#This Row],[Edital]],INDEX(tItens[Produto],1):tItens[[#This Row],[Produto]],tItens[[#This Row],[Produto]])=1,1,0)</f>
        <v>0</v>
      </c>
    </row>
    <row r="4160" spans="1:16" x14ac:dyDescent="0.25">
      <c r="A4160" t="s">
        <v>1672</v>
      </c>
      <c r="B4160">
        <v>5</v>
      </c>
      <c r="C4160" t="s">
        <v>7015</v>
      </c>
      <c r="D4160" t="s">
        <v>409</v>
      </c>
      <c r="E4160" s="13">
        <v>250</v>
      </c>
      <c r="F4160" s="12">
        <v>36.630000000000003</v>
      </c>
      <c r="G4160" t="str">
        <f>IFERROR(INDEX(tEditais[Órgão],MATCH(tItens[[#This Row],[Edital]],tEditais[Edital],0)),"")</f>
        <v>MUNICIPIO DE AGUA BOA</v>
      </c>
      <c r="H4160" t="str">
        <f>IFERROR(INDEX(tEditais[UF],MATCH(tItens[[#This Row],[Edital]],tEditais[Edital],0)),"")</f>
        <v>MT</v>
      </c>
      <c r="I4160" s="11">
        <f>IFERROR(INDEX(tEditais[Encerramento],MATCH(tItens[[#This Row],[Edital]],tEditais[Edital],0)),"")</f>
        <v>46308.353472222225</v>
      </c>
      <c r="J4160" t="str">
        <f>IFERROR(INDEX(tProdutos[Classe],MATCH(tItens[[#This Row],[Produto]],tProdutos[Produto],0)),"produto não cadastrado")</f>
        <v>FORA</v>
      </c>
      <c r="K4160" s="12">
        <f>tItens[[#This Row],[Qtd]]*tItens[[#This Row],[Vlr unit]]</f>
        <v>9157.5</v>
      </c>
      <c r="L4160" s="6">
        <f>IFERROR(IF(INDEX(tProdutos[Desconto homologado],MATCH(tItens[[#This Row],[Produto]],tProdutos[Produto],0))="",DescontoPadrao,INDEX(tProdutos[Desconto homologado],MATCH(tItens[[#This Row],[Produto]],tProdutos[Produto],0))),DescontoPadrao)</f>
        <v>0.24924924924924899</v>
      </c>
      <c r="M4160" s="12">
        <f>tItens[[#This Row],[Valor]]*(1-tItens[[#This Row],[Desconto]])</f>
        <v>6875.0000000000027</v>
      </c>
      <c r="N4160" t="str">
        <f>IFERROR(INDEX(tProdutos[Foco],MATCH(tItens[[#This Row],[Produto]],tProdutos[Produto],0)),"Não")</f>
        <v>Não</v>
      </c>
      <c r="O4160" t="str">
        <f>IFERROR(INDEX(tEditais[SRP],MATCH(tItens[[#This Row],[Edital]],tEditais[Edital],0)),"Não")</f>
        <v>Sim</v>
      </c>
      <c r="P4160" s="4">
        <f>IF(COUNTIFS(INDEX(tItens[Edital],1):tItens[[#This Row],[Edital]],tItens[[#This Row],[Edital]],INDEX(tItens[Produto],1):tItens[[#This Row],[Produto]],tItens[[#This Row],[Produto]])=1,1,0)</f>
        <v>1</v>
      </c>
    </row>
    <row r="4161" spans="1:16" x14ac:dyDescent="0.25">
      <c r="A4161" t="s">
        <v>1672</v>
      </c>
      <c r="B4161">
        <v>6</v>
      </c>
      <c r="C4161" t="s">
        <v>7016</v>
      </c>
      <c r="D4161" t="s">
        <v>409</v>
      </c>
      <c r="E4161" s="13">
        <v>20</v>
      </c>
      <c r="F4161" s="12">
        <v>60.57</v>
      </c>
      <c r="G4161" t="str">
        <f>IFERROR(INDEX(tEditais[Órgão],MATCH(tItens[[#This Row],[Edital]],tEditais[Edital],0)),"")</f>
        <v>MUNICIPIO DE AGUA BOA</v>
      </c>
      <c r="H4161" t="str">
        <f>IFERROR(INDEX(tEditais[UF],MATCH(tItens[[#This Row],[Edital]],tEditais[Edital],0)),"")</f>
        <v>MT</v>
      </c>
      <c r="I4161" s="11">
        <f>IFERROR(INDEX(tEditais[Encerramento],MATCH(tItens[[#This Row],[Edital]],tEditais[Edital],0)),"")</f>
        <v>46308.353472222225</v>
      </c>
      <c r="J4161" t="str">
        <f>IFERROR(INDEX(tProdutos[Classe],MATCH(tItens[[#This Row],[Produto]],tProdutos[Produto],0)),"produto não cadastrado")</f>
        <v>FORA</v>
      </c>
      <c r="K4161" s="12">
        <f>tItens[[#This Row],[Qtd]]*tItens[[#This Row],[Vlr unit]]</f>
        <v>1211.4000000000001</v>
      </c>
      <c r="L4161" s="6">
        <f>IFERROR(IF(INDEX(tProdutos[Desconto homologado],MATCH(tItens[[#This Row],[Produto]],tProdutos[Produto],0))="",DescontoPadrao,INDEX(tProdutos[Desconto homologado],MATCH(tItens[[#This Row],[Produto]],tProdutos[Produto],0))),DescontoPadrao)</f>
        <v>0.24924924924924899</v>
      </c>
      <c r="M4161" s="12">
        <f>tItens[[#This Row],[Valor]]*(1-tItens[[#This Row],[Desconto]])</f>
        <v>909.45945945945982</v>
      </c>
      <c r="N4161" t="str">
        <f>IFERROR(INDEX(tProdutos[Foco],MATCH(tItens[[#This Row],[Produto]],tProdutos[Produto],0)),"Não")</f>
        <v>Não</v>
      </c>
      <c r="O4161" t="str">
        <f>IFERROR(INDEX(tEditais[SRP],MATCH(tItens[[#This Row],[Edital]],tEditais[Edital],0)),"Não")</f>
        <v>Sim</v>
      </c>
      <c r="P4161" s="4">
        <f>IF(COUNTIFS(INDEX(tItens[Edital],1):tItens[[#This Row],[Edital]],tItens[[#This Row],[Edital]],INDEX(tItens[Produto],1):tItens[[#This Row],[Produto]],tItens[[#This Row],[Produto]])=1,1,0)</f>
        <v>0</v>
      </c>
    </row>
    <row r="4162" spans="1:16" x14ac:dyDescent="0.25">
      <c r="A4162" t="s">
        <v>1672</v>
      </c>
      <c r="B4162">
        <v>8</v>
      </c>
      <c r="C4162" t="s">
        <v>7017</v>
      </c>
      <c r="D4162" t="s">
        <v>393</v>
      </c>
      <c r="E4162" s="13">
        <v>20</v>
      </c>
      <c r="F4162" s="12">
        <v>32.92</v>
      </c>
      <c r="G4162" t="str">
        <f>IFERROR(INDEX(tEditais[Órgão],MATCH(tItens[[#This Row],[Edital]],tEditais[Edital],0)),"")</f>
        <v>MUNICIPIO DE AGUA BOA</v>
      </c>
      <c r="H4162" t="str">
        <f>IFERROR(INDEX(tEditais[UF],MATCH(tItens[[#This Row],[Edital]],tEditais[Edital],0)),"")</f>
        <v>MT</v>
      </c>
      <c r="I4162" s="11">
        <f>IFERROR(INDEX(tEditais[Encerramento],MATCH(tItens[[#This Row],[Edital]],tEditais[Edital],0)),"")</f>
        <v>46308.353472222225</v>
      </c>
      <c r="J4162" t="str">
        <f>IFERROR(INDEX(tProdutos[Classe],MATCH(tItens[[#This Row],[Produto]],tProdutos[Produto],0)),"produto não cadastrado")</f>
        <v>FORA</v>
      </c>
      <c r="K4162" s="12">
        <f>tItens[[#This Row],[Qtd]]*tItens[[#This Row],[Vlr unit]]</f>
        <v>658.40000000000009</v>
      </c>
      <c r="L4162" s="6">
        <f>IFERROR(IF(INDEX(tProdutos[Desconto homologado],MATCH(tItens[[#This Row],[Produto]],tProdutos[Produto],0))="",DescontoPadrao,INDEX(tProdutos[Desconto homologado],MATCH(tItens[[#This Row],[Produto]],tProdutos[Produto],0))),DescontoPadrao)</f>
        <v>0.286445012787724</v>
      </c>
      <c r="M4162" s="12">
        <f>tItens[[#This Row],[Valor]]*(1-tItens[[#This Row],[Desconto]])</f>
        <v>469.80460358056257</v>
      </c>
      <c r="N4162" t="str">
        <f>IFERROR(INDEX(tProdutos[Foco],MATCH(tItens[[#This Row],[Produto]],tProdutos[Produto],0)),"Não")</f>
        <v>Não</v>
      </c>
      <c r="O4162" t="str">
        <f>IFERROR(INDEX(tEditais[SRP],MATCH(tItens[[#This Row],[Edital]],tEditais[Edital],0)),"Não")</f>
        <v>Sim</v>
      </c>
      <c r="P4162" s="4">
        <f>IF(COUNTIFS(INDEX(tItens[Edital],1):tItens[[#This Row],[Edital]],tItens[[#This Row],[Edital]],INDEX(tItens[Produto],1):tItens[[#This Row],[Produto]],tItens[[#This Row],[Produto]])=1,1,0)</f>
        <v>1</v>
      </c>
    </row>
    <row r="4163" spans="1:16" x14ac:dyDescent="0.25">
      <c r="A4163" t="s">
        <v>1672</v>
      </c>
      <c r="B4163">
        <v>9</v>
      </c>
      <c r="C4163" t="s">
        <v>7018</v>
      </c>
      <c r="D4163" t="s">
        <v>267</v>
      </c>
      <c r="E4163" s="13">
        <v>250</v>
      </c>
      <c r="F4163" s="12">
        <v>60.18</v>
      </c>
      <c r="G4163" t="str">
        <f>IFERROR(INDEX(tEditais[Órgão],MATCH(tItens[[#This Row],[Edital]],tEditais[Edital],0)),"")</f>
        <v>MUNICIPIO DE AGUA BOA</v>
      </c>
      <c r="H4163" t="str">
        <f>IFERROR(INDEX(tEditais[UF],MATCH(tItens[[#This Row],[Edital]],tEditais[Edital],0)),"")</f>
        <v>MT</v>
      </c>
      <c r="I4163" s="11">
        <f>IFERROR(INDEX(tEditais[Encerramento],MATCH(tItens[[#This Row],[Edital]],tEditais[Edital],0)),"")</f>
        <v>46308.353472222225</v>
      </c>
      <c r="J4163" t="str">
        <f>IFERROR(INDEX(tProdutos[Classe],MATCH(tItens[[#This Row],[Produto]],tProdutos[Produto],0)),"produto não cadastrado")</f>
        <v>FORA</v>
      </c>
      <c r="K4163" s="12">
        <f>tItens[[#This Row],[Qtd]]*tItens[[#This Row],[Vlr unit]]</f>
        <v>15045</v>
      </c>
      <c r="L4163" s="6">
        <f>IFERROR(IF(INDEX(tProdutos[Desconto homologado],MATCH(tItens[[#This Row],[Produto]],tProdutos[Produto],0))="",DescontoPadrao,INDEX(tProdutos[Desconto homologado],MATCH(tItens[[#This Row],[Produto]],tProdutos[Produto],0))),DescontoPadrao)</f>
        <v>0.19963672657401599</v>
      </c>
      <c r="M4163" s="12">
        <f>tItens[[#This Row],[Valor]]*(1-tItens[[#This Row],[Desconto]])</f>
        <v>12041.465448693929</v>
      </c>
      <c r="N4163" t="str">
        <f>IFERROR(INDEX(tProdutos[Foco],MATCH(tItens[[#This Row],[Produto]],tProdutos[Produto],0)),"Não")</f>
        <v>Não</v>
      </c>
      <c r="O4163" t="str">
        <f>IFERROR(INDEX(tEditais[SRP],MATCH(tItens[[#This Row],[Edital]],tEditais[Edital],0)),"Não")</f>
        <v>Sim</v>
      </c>
      <c r="P4163" s="4">
        <f>IF(COUNTIFS(INDEX(tItens[Edital],1):tItens[[#This Row],[Edital]],tItens[[#This Row],[Edital]],INDEX(tItens[Produto],1):tItens[[#This Row],[Produto]],tItens[[#This Row],[Produto]])=1,1,0)</f>
        <v>1</v>
      </c>
    </row>
    <row r="4164" spans="1:16" x14ac:dyDescent="0.25">
      <c r="A4164" t="s">
        <v>1672</v>
      </c>
      <c r="B4164">
        <v>10</v>
      </c>
      <c r="C4164" t="s">
        <v>7019</v>
      </c>
      <c r="D4164" t="s">
        <v>267</v>
      </c>
      <c r="E4164" s="13">
        <v>330</v>
      </c>
      <c r="F4164" s="12">
        <v>69.489999999999995</v>
      </c>
      <c r="G4164" t="str">
        <f>IFERROR(INDEX(tEditais[Órgão],MATCH(tItens[[#This Row],[Edital]],tEditais[Edital],0)),"")</f>
        <v>MUNICIPIO DE AGUA BOA</v>
      </c>
      <c r="H4164" t="str">
        <f>IFERROR(INDEX(tEditais[UF],MATCH(tItens[[#This Row],[Edital]],tEditais[Edital],0)),"")</f>
        <v>MT</v>
      </c>
      <c r="I4164" s="11">
        <f>IFERROR(INDEX(tEditais[Encerramento],MATCH(tItens[[#This Row],[Edital]],tEditais[Edital],0)),"")</f>
        <v>46308.353472222225</v>
      </c>
      <c r="J4164" t="str">
        <f>IFERROR(INDEX(tProdutos[Classe],MATCH(tItens[[#This Row],[Produto]],tProdutos[Produto],0)),"produto não cadastrado")</f>
        <v>FORA</v>
      </c>
      <c r="K4164" s="12">
        <f>tItens[[#This Row],[Qtd]]*tItens[[#This Row],[Vlr unit]]</f>
        <v>22931.699999999997</v>
      </c>
      <c r="L4164" s="6">
        <f>IFERROR(IF(INDEX(tProdutos[Desconto homologado],MATCH(tItens[[#This Row],[Produto]],tProdutos[Produto],0))="",DescontoPadrao,INDEX(tProdutos[Desconto homologado],MATCH(tItens[[#This Row],[Produto]],tProdutos[Produto],0))),DescontoPadrao)</f>
        <v>0.19963672657401599</v>
      </c>
      <c r="M4164" s="12">
        <f>tItens[[#This Row],[Valor]]*(1-tItens[[#This Row],[Desconto]])</f>
        <v>18353.690477222633</v>
      </c>
      <c r="N4164" t="str">
        <f>IFERROR(INDEX(tProdutos[Foco],MATCH(tItens[[#This Row],[Produto]],tProdutos[Produto],0)),"Não")</f>
        <v>Não</v>
      </c>
      <c r="O4164" t="str">
        <f>IFERROR(INDEX(tEditais[SRP],MATCH(tItens[[#This Row],[Edital]],tEditais[Edital],0)),"Não")</f>
        <v>Sim</v>
      </c>
      <c r="P4164" s="4">
        <f>IF(COUNTIFS(INDEX(tItens[Edital],1):tItens[[#This Row],[Edital]],tItens[[#This Row],[Edital]],INDEX(tItens[Produto],1):tItens[[#This Row],[Produto]],tItens[[#This Row],[Produto]])=1,1,0)</f>
        <v>0</v>
      </c>
    </row>
    <row r="4165" spans="1:16" x14ac:dyDescent="0.25">
      <c r="A4165" t="s">
        <v>1677</v>
      </c>
      <c r="B4165">
        <v>8056415</v>
      </c>
      <c r="C4165" t="s">
        <v>7020</v>
      </c>
      <c r="D4165" t="s">
        <v>267</v>
      </c>
      <c r="E4165" s="13">
        <v>500</v>
      </c>
      <c r="F4165" s="12">
        <v>0</v>
      </c>
      <c r="G4165" t="str">
        <f>IFERROR(INDEX(tEditais[Órgão],MATCH(tItens[[#This Row],[Edital]],tEditais[Edital],0)),"")</f>
        <v>FUNDACAO MUNICIPAL DE SAUDE PREFEITO SAMUEL GREVE</v>
      </c>
      <c r="H4165" t="str">
        <f>IFERROR(INDEX(tEditais[UF],MATCH(tItens[[#This Row],[Edital]],tEditais[Edital],0)),"")</f>
        <v>MT</v>
      </c>
      <c r="I4165" s="11">
        <f>IFERROR(INDEX(tEditais[Encerramento],MATCH(tItens[[#This Row],[Edital]],tEditais[Edital],0)),"")</f>
        <v>46308.375</v>
      </c>
      <c r="J4165" t="str">
        <f>IFERROR(INDEX(tProdutos[Classe],MATCH(tItens[[#This Row],[Produto]],tProdutos[Produto],0)),"produto não cadastrado")</f>
        <v>FORA</v>
      </c>
      <c r="K4165" s="12">
        <f>tItens[[#This Row],[Qtd]]*tItens[[#This Row],[Vlr unit]]</f>
        <v>0</v>
      </c>
      <c r="L4165" s="6">
        <f>IFERROR(IF(INDEX(tProdutos[Desconto homologado],MATCH(tItens[[#This Row],[Produto]],tProdutos[Produto],0))="",DescontoPadrao,INDEX(tProdutos[Desconto homologado],MATCH(tItens[[#This Row],[Produto]],tProdutos[Produto],0))),DescontoPadrao)</f>
        <v>0.19963672657401599</v>
      </c>
      <c r="M4165" s="12">
        <f>tItens[[#This Row],[Valor]]*(1-tItens[[#This Row],[Desconto]])</f>
        <v>0</v>
      </c>
      <c r="N4165" t="str">
        <f>IFERROR(INDEX(tProdutos[Foco],MATCH(tItens[[#This Row],[Produto]],tProdutos[Produto],0)),"Não")</f>
        <v>Não</v>
      </c>
      <c r="O4165" t="str">
        <f>IFERROR(INDEX(tEditais[SRP],MATCH(tItens[[#This Row],[Edital]],tEditais[Edital],0)),"Não")</f>
        <v>Não</v>
      </c>
      <c r="P4165" s="4">
        <f>IF(COUNTIFS(INDEX(tItens[Edital],1):tItens[[#This Row],[Edital]],tItens[[#This Row],[Edital]],INDEX(tItens[Produto],1):tItens[[#This Row],[Produto]],tItens[[#This Row],[Produto]])=1,1,0)</f>
        <v>1</v>
      </c>
    </row>
    <row r="4166" spans="1:16" x14ac:dyDescent="0.25">
      <c r="A4166" t="s">
        <v>1677</v>
      </c>
      <c r="B4166">
        <v>8056416</v>
      </c>
      <c r="C4166" t="s">
        <v>7021</v>
      </c>
      <c r="D4166" t="s">
        <v>267</v>
      </c>
      <c r="E4166" s="13">
        <v>300</v>
      </c>
      <c r="F4166" s="12">
        <v>0</v>
      </c>
      <c r="G4166" t="str">
        <f>IFERROR(INDEX(tEditais[Órgão],MATCH(tItens[[#This Row],[Edital]],tEditais[Edital],0)),"")</f>
        <v>FUNDACAO MUNICIPAL DE SAUDE PREFEITO SAMUEL GREVE</v>
      </c>
      <c r="H4166" t="str">
        <f>IFERROR(INDEX(tEditais[UF],MATCH(tItens[[#This Row],[Edital]],tEditais[Edital],0)),"")</f>
        <v>MT</v>
      </c>
      <c r="I4166" s="11">
        <f>IFERROR(INDEX(tEditais[Encerramento],MATCH(tItens[[#This Row],[Edital]],tEditais[Edital],0)),"")</f>
        <v>46308.375</v>
      </c>
      <c r="J4166" t="str">
        <f>IFERROR(INDEX(tProdutos[Classe],MATCH(tItens[[#This Row],[Produto]],tProdutos[Produto],0)),"produto não cadastrado")</f>
        <v>FORA</v>
      </c>
      <c r="K4166" s="12">
        <f>tItens[[#This Row],[Qtd]]*tItens[[#This Row],[Vlr unit]]</f>
        <v>0</v>
      </c>
      <c r="L4166" s="6">
        <f>IFERROR(IF(INDEX(tProdutos[Desconto homologado],MATCH(tItens[[#This Row],[Produto]],tProdutos[Produto],0))="",DescontoPadrao,INDEX(tProdutos[Desconto homologado],MATCH(tItens[[#This Row],[Produto]],tProdutos[Produto],0))),DescontoPadrao)</f>
        <v>0.19963672657401599</v>
      </c>
      <c r="M4166" s="12">
        <f>tItens[[#This Row],[Valor]]*(1-tItens[[#This Row],[Desconto]])</f>
        <v>0</v>
      </c>
      <c r="N4166" t="str">
        <f>IFERROR(INDEX(tProdutos[Foco],MATCH(tItens[[#This Row],[Produto]],tProdutos[Produto],0)),"Não")</f>
        <v>Não</v>
      </c>
      <c r="O4166" t="str">
        <f>IFERROR(INDEX(tEditais[SRP],MATCH(tItens[[#This Row],[Edital]],tEditais[Edital],0)),"Não")</f>
        <v>Não</v>
      </c>
      <c r="P4166" s="4">
        <f>IF(COUNTIFS(INDEX(tItens[Edital],1):tItens[[#This Row],[Edital]],tItens[[#This Row],[Edital]],INDEX(tItens[Produto],1):tItens[[#This Row],[Produto]],tItens[[#This Row],[Produto]])=1,1,0)</f>
        <v>0</v>
      </c>
    </row>
    <row r="4167" spans="1:16" x14ac:dyDescent="0.25">
      <c r="A4167" t="s">
        <v>1677</v>
      </c>
      <c r="B4167">
        <v>8056417</v>
      </c>
      <c r="C4167" t="s">
        <v>7022</v>
      </c>
      <c r="D4167" t="s">
        <v>267</v>
      </c>
      <c r="E4167" s="13">
        <v>300</v>
      </c>
      <c r="F4167" s="12">
        <v>0</v>
      </c>
      <c r="G4167" t="str">
        <f>IFERROR(INDEX(tEditais[Órgão],MATCH(tItens[[#This Row],[Edital]],tEditais[Edital],0)),"")</f>
        <v>FUNDACAO MUNICIPAL DE SAUDE PREFEITO SAMUEL GREVE</v>
      </c>
      <c r="H4167" t="str">
        <f>IFERROR(INDEX(tEditais[UF],MATCH(tItens[[#This Row],[Edital]],tEditais[Edital],0)),"")</f>
        <v>MT</v>
      </c>
      <c r="I4167" s="11">
        <f>IFERROR(INDEX(tEditais[Encerramento],MATCH(tItens[[#This Row],[Edital]],tEditais[Edital],0)),"")</f>
        <v>46308.375</v>
      </c>
      <c r="J4167" t="str">
        <f>IFERROR(INDEX(tProdutos[Classe],MATCH(tItens[[#This Row],[Produto]],tProdutos[Produto],0)),"produto não cadastrado")</f>
        <v>FORA</v>
      </c>
      <c r="K4167" s="12">
        <f>tItens[[#This Row],[Qtd]]*tItens[[#This Row],[Vlr unit]]</f>
        <v>0</v>
      </c>
      <c r="L4167" s="6">
        <f>IFERROR(IF(INDEX(tProdutos[Desconto homologado],MATCH(tItens[[#This Row],[Produto]],tProdutos[Produto],0))="",DescontoPadrao,INDEX(tProdutos[Desconto homologado],MATCH(tItens[[#This Row],[Produto]],tProdutos[Produto],0))),DescontoPadrao)</f>
        <v>0.19963672657401599</v>
      </c>
      <c r="M4167" s="12">
        <f>tItens[[#This Row],[Valor]]*(1-tItens[[#This Row],[Desconto]])</f>
        <v>0</v>
      </c>
      <c r="N4167" t="str">
        <f>IFERROR(INDEX(tProdutos[Foco],MATCH(tItens[[#This Row],[Produto]],tProdutos[Produto],0)),"Não")</f>
        <v>Não</v>
      </c>
      <c r="O4167" t="str">
        <f>IFERROR(INDEX(tEditais[SRP],MATCH(tItens[[#This Row],[Edital]],tEditais[Edital],0)),"Não")</f>
        <v>Não</v>
      </c>
      <c r="P4167" s="4">
        <f>IF(COUNTIFS(INDEX(tItens[Edital],1):tItens[[#This Row],[Edital]],tItens[[#This Row],[Edital]],INDEX(tItens[Produto],1):tItens[[#This Row],[Produto]],tItens[[#This Row],[Produto]])=1,1,0)</f>
        <v>0</v>
      </c>
    </row>
    <row r="4168" spans="1:16" x14ac:dyDescent="0.25">
      <c r="A4168" t="s">
        <v>1677</v>
      </c>
      <c r="B4168">
        <v>8056419</v>
      </c>
      <c r="C4168" t="s">
        <v>7023</v>
      </c>
      <c r="D4168" t="s">
        <v>160</v>
      </c>
      <c r="E4168" s="13">
        <v>100</v>
      </c>
      <c r="F4168" s="12">
        <v>0</v>
      </c>
      <c r="G4168" t="str">
        <f>IFERROR(INDEX(tEditais[Órgão],MATCH(tItens[[#This Row],[Edital]],tEditais[Edital],0)),"")</f>
        <v>FUNDACAO MUNICIPAL DE SAUDE PREFEITO SAMUEL GREVE</v>
      </c>
      <c r="H4168" t="str">
        <f>IFERROR(INDEX(tEditais[UF],MATCH(tItens[[#This Row],[Edital]],tEditais[Edital],0)),"")</f>
        <v>MT</v>
      </c>
      <c r="I4168" s="11">
        <f>IFERROR(INDEX(tEditais[Encerramento],MATCH(tItens[[#This Row],[Edital]],tEditais[Edital],0)),"")</f>
        <v>46308.375</v>
      </c>
      <c r="J4168" t="str">
        <f>IFERROR(INDEX(tProdutos[Classe],MATCH(tItens[[#This Row],[Produto]],tProdutos[Produto],0)),"produto não cadastrado")</f>
        <v>DISPUTADO</v>
      </c>
      <c r="K4168" s="12">
        <f>tItens[[#This Row],[Qtd]]*tItens[[#This Row],[Vlr unit]]</f>
        <v>0</v>
      </c>
      <c r="L4168" s="6">
        <f>IFERROR(IF(INDEX(tProdutos[Desconto homologado],MATCH(tItens[[#This Row],[Produto]],tProdutos[Produto],0))="",DescontoPadrao,INDEX(tProdutos[Desconto homologado],MATCH(tItens[[#This Row],[Produto]],tProdutos[Produto],0))),DescontoPadrao)</f>
        <v>0.28000000000000003</v>
      </c>
      <c r="M4168" s="12">
        <f>tItens[[#This Row],[Valor]]*(1-tItens[[#This Row],[Desconto]])</f>
        <v>0</v>
      </c>
      <c r="N4168" t="str">
        <f>IFERROR(INDEX(tProdutos[Foco],MATCH(tItens[[#This Row],[Produto]],tProdutos[Produto],0)),"Não")</f>
        <v>Sim</v>
      </c>
      <c r="O4168" t="str">
        <f>IFERROR(INDEX(tEditais[SRP],MATCH(tItens[[#This Row],[Edital]],tEditais[Edital],0)),"Não")</f>
        <v>Não</v>
      </c>
      <c r="P4168" s="4">
        <f>IF(COUNTIFS(INDEX(tItens[Edital],1):tItens[[#This Row],[Edital]],tItens[[#This Row],[Edital]],INDEX(tItens[Produto],1):tItens[[#This Row],[Produto]],tItens[[#This Row],[Produto]])=1,1,0)</f>
        <v>1</v>
      </c>
    </row>
    <row r="4169" spans="1:16" x14ac:dyDescent="0.25">
      <c r="A4169" t="s">
        <v>1677</v>
      </c>
      <c r="B4169">
        <v>8056420</v>
      </c>
      <c r="C4169" t="s">
        <v>7024</v>
      </c>
      <c r="D4169" t="s">
        <v>409</v>
      </c>
      <c r="E4169" s="13">
        <v>100</v>
      </c>
      <c r="F4169" s="12">
        <v>0</v>
      </c>
      <c r="G4169" t="str">
        <f>IFERROR(INDEX(tEditais[Órgão],MATCH(tItens[[#This Row],[Edital]],tEditais[Edital],0)),"")</f>
        <v>FUNDACAO MUNICIPAL DE SAUDE PREFEITO SAMUEL GREVE</v>
      </c>
      <c r="H4169" t="str">
        <f>IFERROR(INDEX(tEditais[UF],MATCH(tItens[[#This Row],[Edital]],tEditais[Edital],0)),"")</f>
        <v>MT</v>
      </c>
      <c r="I4169" s="11">
        <f>IFERROR(INDEX(tEditais[Encerramento],MATCH(tItens[[#This Row],[Edital]],tEditais[Edital],0)),"")</f>
        <v>46308.375</v>
      </c>
      <c r="J4169" t="str">
        <f>IFERROR(INDEX(tProdutos[Classe],MATCH(tItens[[#This Row],[Produto]],tProdutos[Produto],0)),"produto não cadastrado")</f>
        <v>FORA</v>
      </c>
      <c r="K4169" s="12">
        <f>tItens[[#This Row],[Qtd]]*tItens[[#This Row],[Vlr unit]]</f>
        <v>0</v>
      </c>
      <c r="L4169" s="6">
        <f>IFERROR(IF(INDEX(tProdutos[Desconto homologado],MATCH(tItens[[#This Row],[Produto]],tProdutos[Produto],0))="",DescontoPadrao,INDEX(tProdutos[Desconto homologado],MATCH(tItens[[#This Row],[Produto]],tProdutos[Produto],0))),DescontoPadrao)</f>
        <v>0.24924924924924899</v>
      </c>
      <c r="M4169" s="12">
        <f>tItens[[#This Row],[Valor]]*(1-tItens[[#This Row],[Desconto]])</f>
        <v>0</v>
      </c>
      <c r="N4169" t="str">
        <f>IFERROR(INDEX(tProdutos[Foco],MATCH(tItens[[#This Row],[Produto]],tProdutos[Produto],0)),"Não")</f>
        <v>Não</v>
      </c>
      <c r="O4169" t="str">
        <f>IFERROR(INDEX(tEditais[SRP],MATCH(tItens[[#This Row],[Edital]],tEditais[Edital],0)),"Não")</f>
        <v>Não</v>
      </c>
      <c r="P4169" s="4">
        <f>IF(COUNTIFS(INDEX(tItens[Edital],1):tItens[[#This Row],[Edital]],tItens[[#This Row],[Edital]],INDEX(tItens[Produto],1):tItens[[#This Row],[Produto]],tItens[[#This Row],[Produto]])=1,1,0)</f>
        <v>1</v>
      </c>
    </row>
    <row r="4170" spans="1:16" x14ac:dyDescent="0.25">
      <c r="A4170" t="s">
        <v>1677</v>
      </c>
      <c r="B4170">
        <v>8056421</v>
      </c>
      <c r="C4170" t="s">
        <v>7025</v>
      </c>
      <c r="D4170" t="s">
        <v>160</v>
      </c>
      <c r="E4170" s="13">
        <v>100</v>
      </c>
      <c r="F4170" s="12">
        <v>0</v>
      </c>
      <c r="G4170" t="str">
        <f>IFERROR(INDEX(tEditais[Órgão],MATCH(tItens[[#This Row],[Edital]],tEditais[Edital],0)),"")</f>
        <v>FUNDACAO MUNICIPAL DE SAUDE PREFEITO SAMUEL GREVE</v>
      </c>
      <c r="H4170" t="str">
        <f>IFERROR(INDEX(tEditais[UF],MATCH(tItens[[#This Row],[Edital]],tEditais[Edital],0)),"")</f>
        <v>MT</v>
      </c>
      <c r="I4170" s="11">
        <f>IFERROR(INDEX(tEditais[Encerramento],MATCH(tItens[[#This Row],[Edital]],tEditais[Edital],0)),"")</f>
        <v>46308.375</v>
      </c>
      <c r="J4170" t="str">
        <f>IFERROR(INDEX(tProdutos[Classe],MATCH(tItens[[#This Row],[Produto]],tProdutos[Produto],0)),"produto não cadastrado")</f>
        <v>DISPUTADO</v>
      </c>
      <c r="K4170" s="12">
        <f>tItens[[#This Row],[Qtd]]*tItens[[#This Row],[Vlr unit]]</f>
        <v>0</v>
      </c>
      <c r="L4170" s="6">
        <f>IFERROR(IF(INDEX(tProdutos[Desconto homologado],MATCH(tItens[[#This Row],[Produto]],tProdutos[Produto],0))="",DescontoPadrao,INDEX(tProdutos[Desconto homologado],MATCH(tItens[[#This Row],[Produto]],tProdutos[Produto],0))),DescontoPadrao)</f>
        <v>0.28000000000000003</v>
      </c>
      <c r="M4170" s="12">
        <f>tItens[[#This Row],[Valor]]*(1-tItens[[#This Row],[Desconto]])</f>
        <v>0</v>
      </c>
      <c r="N4170" t="str">
        <f>IFERROR(INDEX(tProdutos[Foco],MATCH(tItens[[#This Row],[Produto]],tProdutos[Produto],0)),"Não")</f>
        <v>Sim</v>
      </c>
      <c r="O4170" t="str">
        <f>IFERROR(INDEX(tEditais[SRP],MATCH(tItens[[#This Row],[Edital]],tEditais[Edital],0)),"Não")</f>
        <v>Não</v>
      </c>
      <c r="P4170" s="4">
        <f>IF(COUNTIFS(INDEX(tItens[Edital],1):tItens[[#This Row],[Edital]],tItens[[#This Row],[Edital]],INDEX(tItens[Produto],1):tItens[[#This Row],[Produto]],tItens[[#This Row],[Produto]])=1,1,0)</f>
        <v>0</v>
      </c>
    </row>
    <row r="4171" spans="1:16" x14ac:dyDescent="0.25">
      <c r="A4171" t="s">
        <v>1677</v>
      </c>
      <c r="B4171">
        <v>8056423</v>
      </c>
      <c r="C4171" t="s">
        <v>7026</v>
      </c>
      <c r="D4171" t="s">
        <v>409</v>
      </c>
      <c r="E4171" s="13">
        <v>100</v>
      </c>
      <c r="F4171" s="12">
        <v>0</v>
      </c>
      <c r="G4171" t="str">
        <f>IFERROR(INDEX(tEditais[Órgão],MATCH(tItens[[#This Row],[Edital]],tEditais[Edital],0)),"")</f>
        <v>FUNDACAO MUNICIPAL DE SAUDE PREFEITO SAMUEL GREVE</v>
      </c>
      <c r="H4171" t="str">
        <f>IFERROR(INDEX(tEditais[UF],MATCH(tItens[[#This Row],[Edital]],tEditais[Edital],0)),"")</f>
        <v>MT</v>
      </c>
      <c r="I4171" s="11">
        <f>IFERROR(INDEX(tEditais[Encerramento],MATCH(tItens[[#This Row],[Edital]],tEditais[Edital],0)),"")</f>
        <v>46308.375</v>
      </c>
      <c r="J4171" t="str">
        <f>IFERROR(INDEX(tProdutos[Classe],MATCH(tItens[[#This Row],[Produto]],tProdutos[Produto],0)),"produto não cadastrado")</f>
        <v>FORA</v>
      </c>
      <c r="K4171" s="12">
        <f>tItens[[#This Row],[Qtd]]*tItens[[#This Row],[Vlr unit]]</f>
        <v>0</v>
      </c>
      <c r="L4171" s="6">
        <f>IFERROR(IF(INDEX(tProdutos[Desconto homologado],MATCH(tItens[[#This Row],[Produto]],tProdutos[Produto],0))="",DescontoPadrao,INDEX(tProdutos[Desconto homologado],MATCH(tItens[[#This Row],[Produto]],tProdutos[Produto],0))),DescontoPadrao)</f>
        <v>0.24924924924924899</v>
      </c>
      <c r="M4171" s="12">
        <f>tItens[[#This Row],[Valor]]*(1-tItens[[#This Row],[Desconto]])</f>
        <v>0</v>
      </c>
      <c r="N4171" t="str">
        <f>IFERROR(INDEX(tProdutos[Foco],MATCH(tItens[[#This Row],[Produto]],tProdutos[Produto],0)),"Não")</f>
        <v>Não</v>
      </c>
      <c r="O4171" t="str">
        <f>IFERROR(INDEX(tEditais[SRP],MATCH(tItens[[#This Row],[Edital]],tEditais[Edital],0)),"Não")</f>
        <v>Não</v>
      </c>
      <c r="P4171" s="4">
        <f>IF(COUNTIFS(INDEX(tItens[Edital],1):tItens[[#This Row],[Edital]],tItens[[#This Row],[Edital]],INDEX(tItens[Produto],1):tItens[[#This Row],[Produto]],tItens[[#This Row],[Produto]])=1,1,0)</f>
        <v>0</v>
      </c>
    </row>
    <row r="4172" spans="1:16" x14ac:dyDescent="0.25">
      <c r="A4172" t="s">
        <v>1677</v>
      </c>
      <c r="B4172">
        <v>8056424</v>
      </c>
      <c r="C4172" t="s">
        <v>7027</v>
      </c>
      <c r="D4172" t="s">
        <v>409</v>
      </c>
      <c r="E4172" s="13">
        <v>100</v>
      </c>
      <c r="F4172" s="12">
        <v>0</v>
      </c>
      <c r="G4172" t="str">
        <f>IFERROR(INDEX(tEditais[Órgão],MATCH(tItens[[#This Row],[Edital]],tEditais[Edital],0)),"")</f>
        <v>FUNDACAO MUNICIPAL DE SAUDE PREFEITO SAMUEL GREVE</v>
      </c>
      <c r="H4172" t="str">
        <f>IFERROR(INDEX(tEditais[UF],MATCH(tItens[[#This Row],[Edital]],tEditais[Edital],0)),"")</f>
        <v>MT</v>
      </c>
      <c r="I4172" s="11">
        <f>IFERROR(INDEX(tEditais[Encerramento],MATCH(tItens[[#This Row],[Edital]],tEditais[Edital],0)),"")</f>
        <v>46308.375</v>
      </c>
      <c r="J4172" t="str">
        <f>IFERROR(INDEX(tProdutos[Classe],MATCH(tItens[[#This Row],[Produto]],tProdutos[Produto],0)),"produto não cadastrado")</f>
        <v>FORA</v>
      </c>
      <c r="K4172" s="12">
        <f>tItens[[#This Row],[Qtd]]*tItens[[#This Row],[Vlr unit]]</f>
        <v>0</v>
      </c>
      <c r="L4172" s="6">
        <f>IFERROR(IF(INDEX(tProdutos[Desconto homologado],MATCH(tItens[[#This Row],[Produto]],tProdutos[Produto],0))="",DescontoPadrao,INDEX(tProdutos[Desconto homologado],MATCH(tItens[[#This Row],[Produto]],tProdutos[Produto],0))),DescontoPadrao)</f>
        <v>0.24924924924924899</v>
      </c>
      <c r="M4172" s="12">
        <f>tItens[[#This Row],[Valor]]*(1-tItens[[#This Row],[Desconto]])</f>
        <v>0</v>
      </c>
      <c r="N4172" t="str">
        <f>IFERROR(INDEX(tProdutos[Foco],MATCH(tItens[[#This Row],[Produto]],tProdutos[Produto],0)),"Não")</f>
        <v>Não</v>
      </c>
      <c r="O4172" t="str">
        <f>IFERROR(INDEX(tEditais[SRP],MATCH(tItens[[#This Row],[Edital]],tEditais[Edital],0)),"Não")</f>
        <v>Não</v>
      </c>
      <c r="P4172" s="4">
        <f>IF(COUNTIFS(INDEX(tItens[Edital],1):tItens[[#This Row],[Edital]],tItens[[#This Row],[Edital]],INDEX(tItens[Produto],1):tItens[[#This Row],[Produto]],tItens[[#This Row],[Produto]])=1,1,0)</f>
        <v>0</v>
      </c>
    </row>
    <row r="4173" spans="1:16" x14ac:dyDescent="0.25">
      <c r="A4173" t="s">
        <v>1677</v>
      </c>
      <c r="B4173">
        <v>8056425</v>
      </c>
      <c r="C4173" t="s">
        <v>7028</v>
      </c>
      <c r="D4173" t="s">
        <v>160</v>
      </c>
      <c r="E4173" s="13">
        <v>100</v>
      </c>
      <c r="F4173" s="12">
        <v>0</v>
      </c>
      <c r="G4173" t="str">
        <f>IFERROR(INDEX(tEditais[Órgão],MATCH(tItens[[#This Row],[Edital]],tEditais[Edital],0)),"")</f>
        <v>FUNDACAO MUNICIPAL DE SAUDE PREFEITO SAMUEL GREVE</v>
      </c>
      <c r="H4173" t="str">
        <f>IFERROR(INDEX(tEditais[UF],MATCH(tItens[[#This Row],[Edital]],tEditais[Edital],0)),"")</f>
        <v>MT</v>
      </c>
      <c r="I4173" s="11">
        <f>IFERROR(INDEX(tEditais[Encerramento],MATCH(tItens[[#This Row],[Edital]],tEditais[Edital],0)),"")</f>
        <v>46308.375</v>
      </c>
      <c r="J4173" t="str">
        <f>IFERROR(INDEX(tProdutos[Classe],MATCH(tItens[[#This Row],[Produto]],tProdutos[Produto],0)),"produto não cadastrado")</f>
        <v>DISPUTADO</v>
      </c>
      <c r="K4173" s="12">
        <f>tItens[[#This Row],[Qtd]]*tItens[[#This Row],[Vlr unit]]</f>
        <v>0</v>
      </c>
      <c r="L4173" s="6">
        <f>IFERROR(IF(INDEX(tProdutos[Desconto homologado],MATCH(tItens[[#This Row],[Produto]],tProdutos[Produto],0))="",DescontoPadrao,INDEX(tProdutos[Desconto homologado],MATCH(tItens[[#This Row],[Produto]],tProdutos[Produto],0))),DescontoPadrao)</f>
        <v>0.28000000000000003</v>
      </c>
      <c r="M4173" s="12">
        <f>tItens[[#This Row],[Valor]]*(1-tItens[[#This Row],[Desconto]])</f>
        <v>0</v>
      </c>
      <c r="N4173" t="str">
        <f>IFERROR(INDEX(tProdutos[Foco],MATCH(tItens[[#This Row],[Produto]],tProdutos[Produto],0)),"Não")</f>
        <v>Sim</v>
      </c>
      <c r="O4173" t="str">
        <f>IFERROR(INDEX(tEditais[SRP],MATCH(tItens[[#This Row],[Edital]],tEditais[Edital],0)),"Não")</f>
        <v>Não</v>
      </c>
      <c r="P4173" s="4">
        <f>IF(COUNTIFS(INDEX(tItens[Edital],1):tItens[[#This Row],[Edital]],tItens[[#This Row],[Edital]],INDEX(tItens[Produto],1):tItens[[#This Row],[Produto]],tItens[[#This Row],[Produto]])=1,1,0)</f>
        <v>0</v>
      </c>
    </row>
    <row r="4174" spans="1:16" x14ac:dyDescent="0.25">
      <c r="A4174" t="s">
        <v>1677</v>
      </c>
      <c r="B4174">
        <v>8056426</v>
      </c>
      <c r="C4174" t="s">
        <v>7029</v>
      </c>
      <c r="D4174" t="s">
        <v>160</v>
      </c>
      <c r="E4174" s="13">
        <v>100</v>
      </c>
      <c r="F4174" s="12">
        <v>0</v>
      </c>
      <c r="G4174" t="str">
        <f>IFERROR(INDEX(tEditais[Órgão],MATCH(tItens[[#This Row],[Edital]],tEditais[Edital],0)),"")</f>
        <v>FUNDACAO MUNICIPAL DE SAUDE PREFEITO SAMUEL GREVE</v>
      </c>
      <c r="H4174" t="str">
        <f>IFERROR(INDEX(tEditais[UF],MATCH(tItens[[#This Row],[Edital]],tEditais[Edital],0)),"")</f>
        <v>MT</v>
      </c>
      <c r="I4174" s="11">
        <f>IFERROR(INDEX(tEditais[Encerramento],MATCH(tItens[[#This Row],[Edital]],tEditais[Edital],0)),"")</f>
        <v>46308.375</v>
      </c>
      <c r="J4174" t="str">
        <f>IFERROR(INDEX(tProdutos[Classe],MATCH(tItens[[#This Row],[Produto]],tProdutos[Produto],0)),"produto não cadastrado")</f>
        <v>DISPUTADO</v>
      </c>
      <c r="K4174" s="12">
        <f>tItens[[#This Row],[Qtd]]*tItens[[#This Row],[Vlr unit]]</f>
        <v>0</v>
      </c>
      <c r="L4174" s="6">
        <f>IFERROR(IF(INDEX(tProdutos[Desconto homologado],MATCH(tItens[[#This Row],[Produto]],tProdutos[Produto],0))="",DescontoPadrao,INDEX(tProdutos[Desconto homologado],MATCH(tItens[[#This Row],[Produto]],tProdutos[Produto],0))),DescontoPadrao)</f>
        <v>0.28000000000000003</v>
      </c>
      <c r="M4174" s="12">
        <f>tItens[[#This Row],[Valor]]*(1-tItens[[#This Row],[Desconto]])</f>
        <v>0</v>
      </c>
      <c r="N4174" t="str">
        <f>IFERROR(INDEX(tProdutos[Foco],MATCH(tItens[[#This Row],[Produto]],tProdutos[Produto],0)),"Não")</f>
        <v>Sim</v>
      </c>
      <c r="O4174" t="str">
        <f>IFERROR(INDEX(tEditais[SRP],MATCH(tItens[[#This Row],[Edital]],tEditais[Edital],0)),"Não")</f>
        <v>Não</v>
      </c>
      <c r="P4174" s="4">
        <f>IF(COUNTIFS(INDEX(tItens[Edital],1):tItens[[#This Row],[Edital]],tItens[[#This Row],[Edital]],INDEX(tItens[Produto],1):tItens[[#This Row],[Produto]],tItens[[#This Row],[Produto]])=1,1,0)</f>
        <v>0</v>
      </c>
    </row>
    <row r="4175" spans="1:16" x14ac:dyDescent="0.25">
      <c r="A4175" t="s">
        <v>1677</v>
      </c>
      <c r="B4175">
        <v>8056427</v>
      </c>
      <c r="C4175" t="s">
        <v>7030</v>
      </c>
      <c r="D4175" t="s">
        <v>393</v>
      </c>
      <c r="E4175" s="13">
        <v>500</v>
      </c>
      <c r="F4175" s="12">
        <v>0</v>
      </c>
      <c r="G4175" t="str">
        <f>IFERROR(INDEX(tEditais[Órgão],MATCH(tItens[[#This Row],[Edital]],tEditais[Edital],0)),"")</f>
        <v>FUNDACAO MUNICIPAL DE SAUDE PREFEITO SAMUEL GREVE</v>
      </c>
      <c r="H4175" t="str">
        <f>IFERROR(INDEX(tEditais[UF],MATCH(tItens[[#This Row],[Edital]],tEditais[Edital],0)),"")</f>
        <v>MT</v>
      </c>
      <c r="I4175" s="11">
        <f>IFERROR(INDEX(tEditais[Encerramento],MATCH(tItens[[#This Row],[Edital]],tEditais[Edital],0)),"")</f>
        <v>46308.375</v>
      </c>
      <c r="J4175" t="str">
        <f>IFERROR(INDEX(tProdutos[Classe],MATCH(tItens[[#This Row],[Produto]],tProdutos[Produto],0)),"produto não cadastrado")</f>
        <v>FORA</v>
      </c>
      <c r="K4175" s="12">
        <f>tItens[[#This Row],[Qtd]]*tItens[[#This Row],[Vlr unit]]</f>
        <v>0</v>
      </c>
      <c r="L4175" s="6">
        <f>IFERROR(IF(INDEX(tProdutos[Desconto homologado],MATCH(tItens[[#This Row],[Produto]],tProdutos[Produto],0))="",DescontoPadrao,INDEX(tProdutos[Desconto homologado],MATCH(tItens[[#This Row],[Produto]],tProdutos[Produto],0))),DescontoPadrao)</f>
        <v>0.286445012787724</v>
      </c>
      <c r="M4175" s="12">
        <f>tItens[[#This Row],[Valor]]*(1-tItens[[#This Row],[Desconto]])</f>
        <v>0</v>
      </c>
      <c r="N4175" t="str">
        <f>IFERROR(INDEX(tProdutos[Foco],MATCH(tItens[[#This Row],[Produto]],tProdutos[Produto],0)),"Não")</f>
        <v>Não</v>
      </c>
      <c r="O4175" t="str">
        <f>IFERROR(INDEX(tEditais[SRP],MATCH(tItens[[#This Row],[Edital]],tEditais[Edital],0)),"Não")</f>
        <v>Não</v>
      </c>
      <c r="P4175" s="4">
        <f>IF(COUNTIFS(INDEX(tItens[Edital],1):tItens[[#This Row],[Edital]],tItens[[#This Row],[Edital]],INDEX(tItens[Produto],1):tItens[[#This Row],[Produto]],tItens[[#This Row],[Produto]])=1,1,0)</f>
        <v>1</v>
      </c>
    </row>
    <row r="4176" spans="1:16" x14ac:dyDescent="0.25">
      <c r="A4176" t="s">
        <v>1682</v>
      </c>
      <c r="B4176">
        <v>6</v>
      </c>
      <c r="C4176" t="s">
        <v>7031</v>
      </c>
      <c r="D4176" t="s">
        <v>315</v>
      </c>
      <c r="E4176" s="13">
        <v>38</v>
      </c>
      <c r="F4176" s="12">
        <v>6.75</v>
      </c>
      <c r="G4176" t="str">
        <f>IFERROR(INDEX(tEditais[Órgão],MATCH(tItens[[#This Row],[Edital]],tEditais[Edital],0)),"")</f>
        <v>MINISTERIO DA SAUDE</v>
      </c>
      <c r="H4176" t="str">
        <f>IFERROR(INDEX(tEditais[UF],MATCH(tItens[[#This Row],[Edital]],tEditais[Edital],0)),"")</f>
        <v>MT</v>
      </c>
      <c r="I4176" s="11">
        <f>IFERROR(INDEX(tEditais[Encerramento],MATCH(tItens[[#This Row],[Edital]],tEditais[Edital],0)),"")</f>
        <v>46308.416666666664</v>
      </c>
      <c r="J4176" t="str">
        <f>IFERROR(INDEX(tProdutos[Classe],MATCH(tItens[[#This Row],[Produto]],tProdutos[Produto],0)),"produto não cadastrado")</f>
        <v>FORA</v>
      </c>
      <c r="K4176" s="12">
        <f>tItens[[#This Row],[Qtd]]*tItens[[#This Row],[Vlr unit]]</f>
        <v>256.5</v>
      </c>
      <c r="L4176" s="6">
        <f>IFERROR(IF(INDEX(tProdutos[Desconto homologado],MATCH(tItens[[#This Row],[Produto]],tProdutos[Produto],0))="",DescontoPadrao,INDEX(tProdutos[Desconto homologado],MATCH(tItens[[#This Row],[Produto]],tProdutos[Produto],0))),DescontoPadrao)</f>
        <v>0.38432036097010702</v>
      </c>
      <c r="M4176" s="12">
        <f>tItens[[#This Row],[Valor]]*(1-tItens[[#This Row],[Desconto]])</f>
        <v>157.92182741116756</v>
      </c>
      <c r="N4176" t="str">
        <f>IFERROR(INDEX(tProdutos[Foco],MATCH(tItens[[#This Row],[Produto]],tProdutos[Produto],0)),"Não")</f>
        <v>Não</v>
      </c>
      <c r="O4176" t="str">
        <f>IFERROR(INDEX(tEditais[SRP],MATCH(tItens[[#This Row],[Edital]],tEditais[Edital],0)),"Não")</f>
        <v>Não</v>
      </c>
      <c r="P4176" s="4">
        <f>IF(COUNTIFS(INDEX(tItens[Edital],1):tItens[[#This Row],[Edital]],tItens[[#This Row],[Edital]],INDEX(tItens[Produto],1):tItens[[#This Row],[Produto]],tItens[[#This Row],[Produto]])=1,1,0)</f>
        <v>1</v>
      </c>
    </row>
    <row r="4177" spans="1:16" x14ac:dyDescent="0.25">
      <c r="A4177" t="s">
        <v>1682</v>
      </c>
      <c r="B4177">
        <v>7</v>
      </c>
      <c r="C4177" t="s">
        <v>7032</v>
      </c>
      <c r="D4177" t="s">
        <v>315</v>
      </c>
      <c r="E4177" s="13">
        <v>75</v>
      </c>
      <c r="F4177" s="12">
        <v>6.47</v>
      </c>
      <c r="G4177" t="str">
        <f>IFERROR(INDEX(tEditais[Órgão],MATCH(tItens[[#This Row],[Edital]],tEditais[Edital],0)),"")</f>
        <v>MINISTERIO DA SAUDE</v>
      </c>
      <c r="H4177" t="str">
        <f>IFERROR(INDEX(tEditais[UF],MATCH(tItens[[#This Row],[Edital]],tEditais[Edital],0)),"")</f>
        <v>MT</v>
      </c>
      <c r="I4177" s="11">
        <f>IFERROR(INDEX(tEditais[Encerramento],MATCH(tItens[[#This Row],[Edital]],tEditais[Edital],0)),"")</f>
        <v>46308.416666666664</v>
      </c>
      <c r="J4177" t="str">
        <f>IFERROR(INDEX(tProdutos[Classe],MATCH(tItens[[#This Row],[Produto]],tProdutos[Produto],0)),"produto não cadastrado")</f>
        <v>FORA</v>
      </c>
      <c r="K4177" s="12">
        <f>tItens[[#This Row],[Qtd]]*tItens[[#This Row],[Vlr unit]]</f>
        <v>485.25</v>
      </c>
      <c r="L4177" s="6">
        <f>IFERROR(IF(INDEX(tProdutos[Desconto homologado],MATCH(tItens[[#This Row],[Produto]],tProdutos[Produto],0))="",DescontoPadrao,INDEX(tProdutos[Desconto homologado],MATCH(tItens[[#This Row],[Produto]],tProdutos[Produto],0))),DescontoPadrao)</f>
        <v>0.38432036097010702</v>
      </c>
      <c r="M4177" s="12">
        <f>tItens[[#This Row],[Valor]]*(1-tItens[[#This Row],[Desconto]])</f>
        <v>298.75854483925559</v>
      </c>
      <c r="N4177" t="str">
        <f>IFERROR(INDEX(tProdutos[Foco],MATCH(tItens[[#This Row],[Produto]],tProdutos[Produto],0)),"Não")</f>
        <v>Não</v>
      </c>
      <c r="O4177" t="str">
        <f>IFERROR(INDEX(tEditais[SRP],MATCH(tItens[[#This Row],[Edital]],tEditais[Edital],0)),"Não")</f>
        <v>Não</v>
      </c>
      <c r="P4177" s="4">
        <f>IF(COUNTIFS(INDEX(tItens[Edital],1):tItens[[#This Row],[Edital]],tItens[[#This Row],[Edital]],INDEX(tItens[Produto],1):tItens[[#This Row],[Produto]],tItens[[#This Row],[Produto]])=1,1,0)</f>
        <v>0</v>
      </c>
    </row>
    <row r="4178" spans="1:16" x14ac:dyDescent="0.25">
      <c r="A4178" t="s">
        <v>1682</v>
      </c>
      <c r="B4178">
        <v>8</v>
      </c>
      <c r="C4178" t="s">
        <v>7033</v>
      </c>
      <c r="D4178" t="s">
        <v>315</v>
      </c>
      <c r="E4178" s="13">
        <v>150</v>
      </c>
      <c r="F4178" s="12">
        <v>8.07</v>
      </c>
      <c r="G4178" t="str">
        <f>IFERROR(INDEX(tEditais[Órgão],MATCH(tItens[[#This Row],[Edital]],tEditais[Edital],0)),"")</f>
        <v>MINISTERIO DA SAUDE</v>
      </c>
      <c r="H4178" t="str">
        <f>IFERROR(INDEX(tEditais[UF],MATCH(tItens[[#This Row],[Edital]],tEditais[Edital],0)),"")</f>
        <v>MT</v>
      </c>
      <c r="I4178" s="11">
        <f>IFERROR(INDEX(tEditais[Encerramento],MATCH(tItens[[#This Row],[Edital]],tEditais[Edital],0)),"")</f>
        <v>46308.416666666664</v>
      </c>
      <c r="J4178" t="str">
        <f>IFERROR(INDEX(tProdutos[Classe],MATCH(tItens[[#This Row],[Produto]],tProdutos[Produto],0)),"produto não cadastrado")</f>
        <v>FORA</v>
      </c>
      <c r="K4178" s="12">
        <f>tItens[[#This Row],[Qtd]]*tItens[[#This Row],[Vlr unit]]</f>
        <v>1210.5</v>
      </c>
      <c r="L4178" s="6">
        <f>IFERROR(IF(INDEX(tProdutos[Desconto homologado],MATCH(tItens[[#This Row],[Produto]],tProdutos[Produto],0))="",DescontoPadrao,INDEX(tProdutos[Desconto homologado],MATCH(tItens[[#This Row],[Produto]],tProdutos[Produto],0))),DescontoPadrao)</f>
        <v>0.38432036097010702</v>
      </c>
      <c r="M4178" s="12">
        <f>tItens[[#This Row],[Valor]]*(1-tItens[[#This Row],[Desconto]])</f>
        <v>745.28020304568543</v>
      </c>
      <c r="N4178" t="str">
        <f>IFERROR(INDEX(tProdutos[Foco],MATCH(tItens[[#This Row],[Produto]],tProdutos[Produto],0)),"Não")</f>
        <v>Não</v>
      </c>
      <c r="O4178" t="str">
        <f>IFERROR(INDEX(tEditais[SRP],MATCH(tItens[[#This Row],[Edital]],tEditais[Edital],0)),"Não")</f>
        <v>Não</v>
      </c>
      <c r="P4178" s="4">
        <f>IF(COUNTIFS(INDEX(tItens[Edital],1):tItens[[#This Row],[Edital]],tItens[[#This Row],[Edital]],INDEX(tItens[Produto],1):tItens[[#This Row],[Produto]],tItens[[#This Row],[Produto]])=1,1,0)</f>
        <v>0</v>
      </c>
    </row>
    <row r="4179" spans="1:16" x14ac:dyDescent="0.25">
      <c r="A4179" t="s">
        <v>1682</v>
      </c>
      <c r="B4179">
        <v>9</v>
      </c>
      <c r="C4179" t="s">
        <v>7034</v>
      </c>
      <c r="D4179" t="s">
        <v>315</v>
      </c>
      <c r="E4179" s="13">
        <v>150</v>
      </c>
      <c r="F4179" s="12">
        <v>8.23</v>
      </c>
      <c r="G4179" t="str">
        <f>IFERROR(INDEX(tEditais[Órgão],MATCH(tItens[[#This Row],[Edital]],tEditais[Edital],0)),"")</f>
        <v>MINISTERIO DA SAUDE</v>
      </c>
      <c r="H4179" t="str">
        <f>IFERROR(INDEX(tEditais[UF],MATCH(tItens[[#This Row],[Edital]],tEditais[Edital],0)),"")</f>
        <v>MT</v>
      </c>
      <c r="I4179" s="11">
        <f>IFERROR(INDEX(tEditais[Encerramento],MATCH(tItens[[#This Row],[Edital]],tEditais[Edital],0)),"")</f>
        <v>46308.416666666664</v>
      </c>
      <c r="J4179" t="str">
        <f>IFERROR(INDEX(tProdutos[Classe],MATCH(tItens[[#This Row],[Produto]],tProdutos[Produto],0)),"produto não cadastrado")</f>
        <v>FORA</v>
      </c>
      <c r="K4179" s="12">
        <f>tItens[[#This Row],[Qtd]]*tItens[[#This Row],[Vlr unit]]</f>
        <v>1234.5</v>
      </c>
      <c r="L4179" s="6">
        <f>IFERROR(IF(INDEX(tProdutos[Desconto homologado],MATCH(tItens[[#This Row],[Produto]],tProdutos[Produto],0))="",DescontoPadrao,INDEX(tProdutos[Desconto homologado],MATCH(tItens[[#This Row],[Produto]],tProdutos[Produto],0))),DescontoPadrao)</f>
        <v>0.38432036097010702</v>
      </c>
      <c r="M4179" s="12">
        <f>tItens[[#This Row],[Valor]]*(1-tItens[[#This Row],[Desconto]])</f>
        <v>760.05651438240284</v>
      </c>
      <c r="N4179" t="str">
        <f>IFERROR(INDEX(tProdutos[Foco],MATCH(tItens[[#This Row],[Produto]],tProdutos[Produto],0)),"Não")</f>
        <v>Não</v>
      </c>
      <c r="O4179" t="str">
        <f>IFERROR(INDEX(tEditais[SRP],MATCH(tItens[[#This Row],[Edital]],tEditais[Edital],0)),"Não")</f>
        <v>Não</v>
      </c>
      <c r="P4179" s="4">
        <f>IF(COUNTIFS(INDEX(tItens[Edital],1):tItens[[#This Row],[Edital]],tItens[[#This Row],[Edital]],INDEX(tItens[Produto],1):tItens[[#This Row],[Produto]],tItens[[#This Row],[Produto]])=1,1,0)</f>
        <v>0</v>
      </c>
    </row>
    <row r="4180" spans="1:16" x14ac:dyDescent="0.25">
      <c r="A4180" t="s">
        <v>1682</v>
      </c>
      <c r="B4180">
        <v>10</v>
      </c>
      <c r="C4180" t="s">
        <v>7035</v>
      </c>
      <c r="D4180" t="s">
        <v>297</v>
      </c>
      <c r="E4180" s="13">
        <v>150</v>
      </c>
      <c r="F4180" s="12">
        <v>6.84</v>
      </c>
      <c r="G4180" t="str">
        <f>IFERROR(INDEX(tEditais[Órgão],MATCH(tItens[[#This Row],[Edital]],tEditais[Edital],0)),"")</f>
        <v>MINISTERIO DA SAUDE</v>
      </c>
      <c r="H4180" t="str">
        <f>IFERROR(INDEX(tEditais[UF],MATCH(tItens[[#This Row],[Edital]],tEditais[Edital],0)),"")</f>
        <v>MT</v>
      </c>
      <c r="I4180" s="11">
        <f>IFERROR(INDEX(tEditais[Encerramento],MATCH(tItens[[#This Row],[Edital]],tEditais[Edital],0)),"")</f>
        <v>46308.416666666664</v>
      </c>
      <c r="J4180" t="str">
        <f>IFERROR(INDEX(tProdutos[Classe],MATCH(tItens[[#This Row],[Produto]],tProdutos[Produto],0)),"produto não cadastrado")</f>
        <v>FORA</v>
      </c>
      <c r="K4180" s="12">
        <f>tItens[[#This Row],[Qtd]]*tItens[[#This Row],[Vlr unit]]</f>
        <v>1026</v>
      </c>
      <c r="L4180" s="6">
        <f>IFERROR(IF(INDEX(tProdutos[Desconto homologado],MATCH(tItens[[#This Row],[Produto]],tProdutos[Produto],0))="",DescontoPadrao,INDEX(tProdutos[Desconto homologado],MATCH(tItens[[#This Row],[Produto]],tProdutos[Produto],0))),DescontoPadrao)</f>
        <v>0.249544626593807</v>
      </c>
      <c r="M4180" s="12">
        <f>tItens[[#This Row],[Valor]]*(1-tItens[[#This Row],[Desconto]])</f>
        <v>769.96721311475392</v>
      </c>
      <c r="N4180" t="str">
        <f>IFERROR(INDEX(tProdutos[Foco],MATCH(tItens[[#This Row],[Produto]],tProdutos[Produto],0)),"Não")</f>
        <v>Não</v>
      </c>
      <c r="O4180" t="str">
        <f>IFERROR(INDEX(tEditais[SRP],MATCH(tItens[[#This Row],[Edital]],tEditais[Edital],0)),"Não")</f>
        <v>Não</v>
      </c>
      <c r="P4180" s="4">
        <f>IF(COUNTIFS(INDEX(tItens[Edital],1):tItens[[#This Row],[Edital]],tItens[[#This Row],[Edital]],INDEX(tItens[Produto],1):tItens[[#This Row],[Produto]],tItens[[#This Row],[Produto]])=1,1,0)</f>
        <v>1</v>
      </c>
    </row>
    <row r="4181" spans="1:16" x14ac:dyDescent="0.25">
      <c r="A4181" t="s">
        <v>1682</v>
      </c>
      <c r="B4181">
        <v>11</v>
      </c>
      <c r="C4181" t="s">
        <v>7036</v>
      </c>
      <c r="D4181" t="s">
        <v>297</v>
      </c>
      <c r="E4181" s="13">
        <v>75</v>
      </c>
      <c r="F4181" s="12">
        <v>6.68</v>
      </c>
      <c r="G4181" t="str">
        <f>IFERROR(INDEX(tEditais[Órgão],MATCH(tItens[[#This Row],[Edital]],tEditais[Edital],0)),"")</f>
        <v>MINISTERIO DA SAUDE</v>
      </c>
      <c r="H4181" t="str">
        <f>IFERROR(INDEX(tEditais[UF],MATCH(tItens[[#This Row],[Edital]],tEditais[Edital],0)),"")</f>
        <v>MT</v>
      </c>
      <c r="I4181" s="11">
        <f>IFERROR(INDEX(tEditais[Encerramento],MATCH(tItens[[#This Row],[Edital]],tEditais[Edital],0)),"")</f>
        <v>46308.416666666664</v>
      </c>
      <c r="J4181" t="str">
        <f>IFERROR(INDEX(tProdutos[Classe],MATCH(tItens[[#This Row],[Produto]],tProdutos[Produto],0)),"produto não cadastrado")</f>
        <v>FORA</v>
      </c>
      <c r="K4181" s="12">
        <f>tItens[[#This Row],[Qtd]]*tItens[[#This Row],[Vlr unit]]</f>
        <v>501</v>
      </c>
      <c r="L4181" s="6">
        <f>IFERROR(IF(INDEX(tProdutos[Desconto homologado],MATCH(tItens[[#This Row],[Produto]],tProdutos[Produto],0))="",DescontoPadrao,INDEX(tProdutos[Desconto homologado],MATCH(tItens[[#This Row],[Produto]],tProdutos[Produto],0))),DescontoPadrao)</f>
        <v>0.249544626593807</v>
      </c>
      <c r="M4181" s="12">
        <f>tItens[[#This Row],[Valor]]*(1-tItens[[#This Row],[Desconto]])</f>
        <v>375.97814207650265</v>
      </c>
      <c r="N4181" t="str">
        <f>IFERROR(INDEX(tProdutos[Foco],MATCH(tItens[[#This Row],[Produto]],tProdutos[Produto],0)),"Não")</f>
        <v>Não</v>
      </c>
      <c r="O4181" t="str">
        <f>IFERROR(INDEX(tEditais[SRP],MATCH(tItens[[#This Row],[Edital]],tEditais[Edital],0)),"Não")</f>
        <v>Não</v>
      </c>
      <c r="P4181" s="4">
        <f>IF(COUNTIFS(INDEX(tItens[Edital],1):tItens[[#This Row],[Edital]],tItens[[#This Row],[Edital]],INDEX(tItens[Produto],1):tItens[[#This Row],[Produto]],tItens[[#This Row],[Produto]])=1,1,0)</f>
        <v>0</v>
      </c>
    </row>
    <row r="4182" spans="1:16" x14ac:dyDescent="0.25">
      <c r="A4182" t="s">
        <v>1682</v>
      </c>
      <c r="B4182">
        <v>12</v>
      </c>
      <c r="C4182" t="s">
        <v>7037</v>
      </c>
      <c r="D4182" t="s">
        <v>315</v>
      </c>
      <c r="E4182" s="13">
        <v>75</v>
      </c>
      <c r="F4182" s="12">
        <v>7.8</v>
      </c>
      <c r="G4182" t="str">
        <f>IFERROR(INDEX(tEditais[Órgão],MATCH(tItens[[#This Row],[Edital]],tEditais[Edital],0)),"")</f>
        <v>MINISTERIO DA SAUDE</v>
      </c>
      <c r="H4182" t="str">
        <f>IFERROR(INDEX(tEditais[UF],MATCH(tItens[[#This Row],[Edital]],tEditais[Edital],0)),"")</f>
        <v>MT</v>
      </c>
      <c r="I4182" s="11">
        <f>IFERROR(INDEX(tEditais[Encerramento],MATCH(tItens[[#This Row],[Edital]],tEditais[Edital],0)),"")</f>
        <v>46308.416666666664</v>
      </c>
      <c r="J4182" t="str">
        <f>IFERROR(INDEX(tProdutos[Classe],MATCH(tItens[[#This Row],[Produto]],tProdutos[Produto],0)),"produto não cadastrado")</f>
        <v>FORA</v>
      </c>
      <c r="K4182" s="12">
        <f>tItens[[#This Row],[Qtd]]*tItens[[#This Row],[Vlr unit]]</f>
        <v>585</v>
      </c>
      <c r="L4182" s="6">
        <f>IFERROR(IF(INDEX(tProdutos[Desconto homologado],MATCH(tItens[[#This Row],[Produto]],tProdutos[Produto],0))="",DescontoPadrao,INDEX(tProdutos[Desconto homologado],MATCH(tItens[[#This Row],[Produto]],tProdutos[Produto],0))),DescontoPadrao)</f>
        <v>0.38432036097010702</v>
      </c>
      <c r="M4182" s="12">
        <f>tItens[[#This Row],[Valor]]*(1-tItens[[#This Row],[Desconto]])</f>
        <v>360.17258883248741</v>
      </c>
      <c r="N4182" t="str">
        <f>IFERROR(INDEX(tProdutos[Foco],MATCH(tItens[[#This Row],[Produto]],tProdutos[Produto],0)),"Não")</f>
        <v>Não</v>
      </c>
      <c r="O4182" t="str">
        <f>IFERROR(INDEX(tEditais[SRP],MATCH(tItens[[#This Row],[Edital]],tEditais[Edital],0)),"Não")</f>
        <v>Não</v>
      </c>
      <c r="P4182" s="4">
        <f>IF(COUNTIFS(INDEX(tItens[Edital],1):tItens[[#This Row],[Edital]],tItens[[#This Row],[Edital]],INDEX(tItens[Produto],1):tItens[[#This Row],[Produto]],tItens[[#This Row],[Produto]])=1,1,0)</f>
        <v>0</v>
      </c>
    </row>
    <row r="4183" spans="1:16" x14ac:dyDescent="0.25">
      <c r="A4183" t="s">
        <v>1682</v>
      </c>
      <c r="B4183">
        <v>33</v>
      </c>
      <c r="C4183" t="s">
        <v>7038</v>
      </c>
      <c r="D4183" t="s">
        <v>75</v>
      </c>
      <c r="E4183" s="13">
        <v>1200</v>
      </c>
      <c r="F4183" s="12">
        <v>1.53</v>
      </c>
      <c r="G4183" t="str">
        <f>IFERROR(INDEX(tEditais[Órgão],MATCH(tItens[[#This Row],[Edital]],tEditais[Edital],0)),"")</f>
        <v>MINISTERIO DA SAUDE</v>
      </c>
      <c r="H4183" t="str">
        <f>IFERROR(INDEX(tEditais[UF],MATCH(tItens[[#This Row],[Edital]],tEditais[Edital],0)),"")</f>
        <v>MT</v>
      </c>
      <c r="I4183" s="11">
        <f>IFERROR(INDEX(tEditais[Encerramento],MATCH(tItens[[#This Row],[Edital]],tEditais[Edital],0)),"")</f>
        <v>46308.416666666664</v>
      </c>
      <c r="J4183" t="str">
        <f>IFERROR(INDEX(tProdutos[Classe],MATCH(tItens[[#This Row],[Produto]],tProdutos[Produto],0)),"produto não cadastrado")</f>
        <v>NÚCLEO</v>
      </c>
      <c r="K4183" s="12">
        <f>tItens[[#This Row],[Qtd]]*tItens[[#This Row],[Vlr unit]]</f>
        <v>1836</v>
      </c>
      <c r="L4183" s="6">
        <f>IFERROR(IF(INDEX(tProdutos[Desconto homologado],MATCH(tItens[[#This Row],[Produto]],tProdutos[Produto],0))="",DescontoPadrao,INDEX(tProdutos[Desconto homologado],MATCH(tItens[[#This Row],[Produto]],tProdutos[Produto],0))),DescontoPadrao)</f>
        <v>0.26</v>
      </c>
      <c r="M4183" s="12">
        <f>tItens[[#This Row],[Valor]]*(1-tItens[[#This Row],[Desconto]])</f>
        <v>1358.6399999999999</v>
      </c>
      <c r="N4183" t="str">
        <f>IFERROR(INDEX(tProdutos[Foco],MATCH(tItens[[#This Row],[Produto]],tProdutos[Produto],0)),"Não")</f>
        <v>Sim</v>
      </c>
      <c r="O4183" t="str">
        <f>IFERROR(INDEX(tEditais[SRP],MATCH(tItens[[#This Row],[Edital]],tEditais[Edital],0)),"Não")</f>
        <v>Não</v>
      </c>
      <c r="P4183" s="4">
        <f>IF(COUNTIFS(INDEX(tItens[Edital],1):tItens[[#This Row],[Edital]],tItens[[#This Row],[Edital]],INDEX(tItens[Produto],1):tItens[[#This Row],[Produto]],tItens[[#This Row],[Produto]])=1,1,0)</f>
        <v>1</v>
      </c>
    </row>
    <row r="4184" spans="1:16" x14ac:dyDescent="0.25">
      <c r="A4184" t="s">
        <v>1682</v>
      </c>
      <c r="B4184">
        <v>34</v>
      </c>
      <c r="C4184" t="s">
        <v>7039</v>
      </c>
      <c r="D4184" t="s">
        <v>75</v>
      </c>
      <c r="E4184" s="13">
        <v>2800</v>
      </c>
      <c r="F4184" s="12">
        <v>1.26</v>
      </c>
      <c r="G4184" t="str">
        <f>IFERROR(INDEX(tEditais[Órgão],MATCH(tItens[[#This Row],[Edital]],tEditais[Edital],0)),"")</f>
        <v>MINISTERIO DA SAUDE</v>
      </c>
      <c r="H4184" t="str">
        <f>IFERROR(INDEX(tEditais[UF],MATCH(tItens[[#This Row],[Edital]],tEditais[Edital],0)),"")</f>
        <v>MT</v>
      </c>
      <c r="I4184" s="11">
        <f>IFERROR(INDEX(tEditais[Encerramento],MATCH(tItens[[#This Row],[Edital]],tEditais[Edital],0)),"")</f>
        <v>46308.416666666664</v>
      </c>
      <c r="J4184" t="str">
        <f>IFERROR(INDEX(tProdutos[Classe],MATCH(tItens[[#This Row],[Produto]],tProdutos[Produto],0)),"produto não cadastrado")</f>
        <v>NÚCLEO</v>
      </c>
      <c r="K4184" s="12">
        <f>tItens[[#This Row],[Qtd]]*tItens[[#This Row],[Vlr unit]]</f>
        <v>3528</v>
      </c>
      <c r="L4184" s="6">
        <f>IFERROR(IF(INDEX(tProdutos[Desconto homologado],MATCH(tItens[[#This Row],[Produto]],tProdutos[Produto],0))="",DescontoPadrao,INDEX(tProdutos[Desconto homologado],MATCH(tItens[[#This Row],[Produto]],tProdutos[Produto],0))),DescontoPadrao)</f>
        <v>0.26</v>
      </c>
      <c r="M4184" s="12">
        <f>tItens[[#This Row],[Valor]]*(1-tItens[[#This Row],[Desconto]])</f>
        <v>2610.7199999999998</v>
      </c>
      <c r="N4184" t="str">
        <f>IFERROR(INDEX(tProdutos[Foco],MATCH(tItens[[#This Row],[Produto]],tProdutos[Produto],0)),"Não")</f>
        <v>Sim</v>
      </c>
      <c r="O4184" t="str">
        <f>IFERROR(INDEX(tEditais[SRP],MATCH(tItens[[#This Row],[Edital]],tEditais[Edital],0)),"Não")</f>
        <v>Não</v>
      </c>
      <c r="P4184" s="4">
        <f>IF(COUNTIFS(INDEX(tItens[Edital],1):tItens[[#This Row],[Edital]],tItens[[#This Row],[Edital]],INDEX(tItens[Produto],1):tItens[[#This Row],[Produto]],tItens[[#This Row],[Produto]])=1,1,0)</f>
        <v>0</v>
      </c>
    </row>
    <row r="4185" spans="1:16" x14ac:dyDescent="0.25">
      <c r="A4185" t="s">
        <v>1682</v>
      </c>
      <c r="B4185">
        <v>35</v>
      </c>
      <c r="C4185" t="s">
        <v>7040</v>
      </c>
      <c r="D4185" t="s">
        <v>75</v>
      </c>
      <c r="E4185" s="13">
        <v>3400</v>
      </c>
      <c r="F4185" s="12">
        <v>1.21</v>
      </c>
      <c r="G4185" t="str">
        <f>IFERROR(INDEX(tEditais[Órgão],MATCH(tItens[[#This Row],[Edital]],tEditais[Edital],0)),"")</f>
        <v>MINISTERIO DA SAUDE</v>
      </c>
      <c r="H4185" t="str">
        <f>IFERROR(INDEX(tEditais[UF],MATCH(tItens[[#This Row],[Edital]],tEditais[Edital],0)),"")</f>
        <v>MT</v>
      </c>
      <c r="I4185" s="11">
        <f>IFERROR(INDEX(tEditais[Encerramento],MATCH(tItens[[#This Row],[Edital]],tEditais[Edital],0)),"")</f>
        <v>46308.416666666664</v>
      </c>
      <c r="J4185" t="str">
        <f>IFERROR(INDEX(tProdutos[Classe],MATCH(tItens[[#This Row],[Produto]],tProdutos[Produto],0)),"produto não cadastrado")</f>
        <v>NÚCLEO</v>
      </c>
      <c r="K4185" s="12">
        <f>tItens[[#This Row],[Qtd]]*tItens[[#This Row],[Vlr unit]]</f>
        <v>4114</v>
      </c>
      <c r="L4185" s="6">
        <f>IFERROR(IF(INDEX(tProdutos[Desconto homologado],MATCH(tItens[[#This Row],[Produto]],tProdutos[Produto],0))="",DescontoPadrao,INDEX(tProdutos[Desconto homologado],MATCH(tItens[[#This Row],[Produto]],tProdutos[Produto],0))),DescontoPadrao)</f>
        <v>0.26</v>
      </c>
      <c r="M4185" s="12">
        <f>tItens[[#This Row],[Valor]]*(1-tItens[[#This Row],[Desconto]])</f>
        <v>3044.36</v>
      </c>
      <c r="N4185" t="str">
        <f>IFERROR(INDEX(tProdutos[Foco],MATCH(tItens[[#This Row],[Produto]],tProdutos[Produto],0)),"Não")</f>
        <v>Sim</v>
      </c>
      <c r="O4185" t="str">
        <f>IFERROR(INDEX(tEditais[SRP],MATCH(tItens[[#This Row],[Edital]],tEditais[Edital],0)),"Não")</f>
        <v>Não</v>
      </c>
      <c r="P4185" s="4">
        <f>IF(COUNTIFS(INDEX(tItens[Edital],1):tItens[[#This Row],[Edital]],tItens[[#This Row],[Edital]],INDEX(tItens[Produto],1):tItens[[#This Row],[Produto]],tItens[[#This Row],[Produto]])=1,1,0)</f>
        <v>0</v>
      </c>
    </row>
    <row r="4186" spans="1:16" x14ac:dyDescent="0.25">
      <c r="A4186" t="s">
        <v>1682</v>
      </c>
      <c r="B4186">
        <v>36</v>
      </c>
      <c r="C4186" t="s">
        <v>7041</v>
      </c>
      <c r="D4186" t="s">
        <v>233</v>
      </c>
      <c r="E4186" s="13">
        <v>7300</v>
      </c>
      <c r="F4186" s="12">
        <v>10.86</v>
      </c>
      <c r="G4186" t="str">
        <f>IFERROR(INDEX(tEditais[Órgão],MATCH(tItens[[#This Row],[Edital]],tEditais[Edital],0)),"")</f>
        <v>MINISTERIO DA SAUDE</v>
      </c>
      <c r="H4186" t="str">
        <f>IFERROR(INDEX(tEditais[UF],MATCH(tItens[[#This Row],[Edital]],tEditais[Edital],0)),"")</f>
        <v>MT</v>
      </c>
      <c r="I4186" s="11">
        <f>IFERROR(INDEX(tEditais[Encerramento],MATCH(tItens[[#This Row],[Edital]],tEditais[Edital],0)),"")</f>
        <v>46308.416666666664</v>
      </c>
      <c r="J4186" t="str">
        <f>IFERROR(INDEX(tProdutos[Classe],MATCH(tItens[[#This Row],[Produto]],tProdutos[Produto],0)),"produto não cadastrado")</f>
        <v>FORA</v>
      </c>
      <c r="K4186" s="12">
        <f>tItens[[#This Row],[Qtd]]*tItens[[#This Row],[Vlr unit]]</f>
        <v>79278</v>
      </c>
      <c r="L4186" s="6">
        <f>IFERROR(IF(INDEX(tProdutos[Desconto homologado],MATCH(tItens[[#This Row],[Produto]],tProdutos[Produto],0))="",DescontoPadrao,INDEX(tProdutos[Desconto homologado],MATCH(tItens[[#This Row],[Produto]],tProdutos[Produto],0))),DescontoPadrao)</f>
        <v>0.246270084162204</v>
      </c>
      <c r="M4186" s="12">
        <f>tItens[[#This Row],[Valor]]*(1-tItens[[#This Row],[Desconto]])</f>
        <v>59754.200267788794</v>
      </c>
      <c r="N4186" t="str">
        <f>IFERROR(INDEX(tProdutos[Foco],MATCH(tItens[[#This Row],[Produto]],tProdutos[Produto],0)),"Não")</f>
        <v>Não</v>
      </c>
      <c r="O4186" t="str">
        <f>IFERROR(INDEX(tEditais[SRP],MATCH(tItens[[#This Row],[Edital]],tEditais[Edital],0)),"Não")</f>
        <v>Não</v>
      </c>
      <c r="P4186" s="4">
        <f>IF(COUNTIFS(INDEX(tItens[Edital],1):tItens[[#This Row],[Edital]],tItens[[#This Row],[Edital]],INDEX(tItens[Produto],1):tItens[[#This Row],[Produto]],tItens[[#This Row],[Produto]])=1,1,0)</f>
        <v>1</v>
      </c>
    </row>
    <row r="4187" spans="1:16" x14ac:dyDescent="0.25">
      <c r="A4187" t="s">
        <v>1682</v>
      </c>
      <c r="B4187">
        <v>45</v>
      </c>
      <c r="C4187" t="s">
        <v>7042</v>
      </c>
      <c r="D4187" t="s">
        <v>187</v>
      </c>
      <c r="E4187" s="13">
        <v>6250</v>
      </c>
      <c r="F4187" s="12">
        <v>1.79</v>
      </c>
      <c r="G4187" t="str">
        <f>IFERROR(INDEX(tEditais[Órgão],MATCH(tItens[[#This Row],[Edital]],tEditais[Edital],0)),"")</f>
        <v>MINISTERIO DA SAUDE</v>
      </c>
      <c r="H4187" t="str">
        <f>IFERROR(INDEX(tEditais[UF],MATCH(tItens[[#This Row],[Edital]],tEditais[Edital],0)),"")</f>
        <v>MT</v>
      </c>
      <c r="I4187" s="11">
        <f>IFERROR(INDEX(tEditais[Encerramento],MATCH(tItens[[#This Row],[Edital]],tEditais[Edital],0)),"")</f>
        <v>46308.416666666664</v>
      </c>
      <c r="J4187" t="str">
        <f>IFERROR(INDEX(tProdutos[Classe],MATCH(tItens[[#This Row],[Produto]],tProdutos[Produto],0)),"produto não cadastrado")</f>
        <v>DISPUTADO</v>
      </c>
      <c r="K4187" s="12">
        <f>tItens[[#This Row],[Qtd]]*tItens[[#This Row],[Vlr unit]]</f>
        <v>11187.5</v>
      </c>
      <c r="L4187" s="6">
        <f>IFERROR(IF(INDEX(tProdutos[Desconto homologado],MATCH(tItens[[#This Row],[Produto]],tProdutos[Produto],0))="",DescontoPadrao,INDEX(tProdutos[Desconto homologado],MATCH(tItens[[#This Row],[Produto]],tProdutos[Produto],0))),DescontoPadrao)</f>
        <v>0.44298820445609399</v>
      </c>
      <c r="M4187" s="12">
        <f>tItens[[#This Row],[Valor]]*(1-tItens[[#This Row],[Desconto]])</f>
        <v>6231.5694626474487</v>
      </c>
      <c r="N4187" t="str">
        <f>IFERROR(INDEX(tProdutos[Foco],MATCH(tItens[[#This Row],[Produto]],tProdutos[Produto],0)),"Não")</f>
        <v>Não</v>
      </c>
      <c r="O4187" t="str">
        <f>IFERROR(INDEX(tEditais[SRP],MATCH(tItens[[#This Row],[Edital]],tEditais[Edital],0)),"Não")</f>
        <v>Não</v>
      </c>
      <c r="P4187" s="4">
        <f>IF(COUNTIFS(INDEX(tItens[Edital],1):tItens[[#This Row],[Edital]],tItens[[#This Row],[Edital]],INDEX(tItens[Produto],1):tItens[[#This Row],[Produto]],tItens[[#This Row],[Produto]])=1,1,0)</f>
        <v>1</v>
      </c>
    </row>
    <row r="4188" spans="1:16" x14ac:dyDescent="0.25">
      <c r="A4188" t="s">
        <v>1682</v>
      </c>
      <c r="B4188">
        <v>47</v>
      </c>
      <c r="C4188" t="s">
        <v>7043</v>
      </c>
      <c r="D4188" t="s">
        <v>331</v>
      </c>
      <c r="E4188" s="13">
        <v>800</v>
      </c>
      <c r="F4188" s="12">
        <v>1.91</v>
      </c>
      <c r="G4188" t="str">
        <f>IFERROR(INDEX(tEditais[Órgão],MATCH(tItens[[#This Row],[Edital]],tEditais[Edital],0)),"")</f>
        <v>MINISTERIO DA SAUDE</v>
      </c>
      <c r="H4188" t="str">
        <f>IFERROR(INDEX(tEditais[UF],MATCH(tItens[[#This Row],[Edital]],tEditais[Edital],0)),"")</f>
        <v>MT</v>
      </c>
      <c r="I4188" s="11">
        <f>IFERROR(INDEX(tEditais[Encerramento],MATCH(tItens[[#This Row],[Edital]],tEditais[Edital],0)),"")</f>
        <v>46308.416666666664</v>
      </c>
      <c r="J4188" t="str">
        <f>IFERROR(INDEX(tProdutos[Classe],MATCH(tItens[[#This Row],[Produto]],tProdutos[Produto],0)),"produto não cadastrado")</f>
        <v>FORA</v>
      </c>
      <c r="K4188" s="12">
        <f>tItens[[#This Row],[Qtd]]*tItens[[#This Row],[Vlr unit]]</f>
        <v>1528</v>
      </c>
      <c r="L4188" s="6">
        <f>IFERROR(IF(INDEX(tProdutos[Desconto homologado],MATCH(tItens[[#This Row],[Produto]],tProdutos[Produto],0))="",DescontoPadrao,INDEX(tProdutos[Desconto homologado],MATCH(tItens[[#This Row],[Produto]],tProdutos[Produto],0))),DescontoPadrao)</f>
        <v>0.45927812223206399</v>
      </c>
      <c r="M4188" s="12">
        <f>tItens[[#This Row],[Valor]]*(1-tItens[[#This Row],[Desconto]])</f>
        <v>826.22302922940628</v>
      </c>
      <c r="N4188" t="str">
        <f>IFERROR(INDEX(tProdutos[Foco],MATCH(tItens[[#This Row],[Produto]],tProdutos[Produto],0)),"Não")</f>
        <v>Não</v>
      </c>
      <c r="O4188" t="str">
        <f>IFERROR(INDEX(tEditais[SRP],MATCH(tItens[[#This Row],[Edital]],tEditais[Edital],0)),"Não")</f>
        <v>Não</v>
      </c>
      <c r="P4188" s="4">
        <f>IF(COUNTIFS(INDEX(tItens[Edital],1):tItens[[#This Row],[Edital]],tItens[[#This Row],[Edital]],INDEX(tItens[Produto],1):tItens[[#This Row],[Produto]],tItens[[#This Row],[Produto]])=1,1,0)</f>
        <v>1</v>
      </c>
    </row>
    <row r="4189" spans="1:16" x14ac:dyDescent="0.25">
      <c r="A4189" t="s">
        <v>1682</v>
      </c>
      <c r="B4189">
        <v>48</v>
      </c>
      <c r="C4189" t="s">
        <v>7044</v>
      </c>
      <c r="D4189" t="s">
        <v>221</v>
      </c>
      <c r="E4189" s="13">
        <v>375</v>
      </c>
      <c r="F4189" s="12">
        <v>0.34</v>
      </c>
      <c r="G4189" t="str">
        <f>IFERROR(INDEX(tEditais[Órgão],MATCH(tItens[[#This Row],[Edital]],tEditais[Edital],0)),"")</f>
        <v>MINISTERIO DA SAUDE</v>
      </c>
      <c r="H4189" t="str">
        <f>IFERROR(INDEX(tEditais[UF],MATCH(tItens[[#This Row],[Edital]],tEditais[Edital],0)),"")</f>
        <v>MT</v>
      </c>
      <c r="I4189" s="11">
        <f>IFERROR(INDEX(tEditais[Encerramento],MATCH(tItens[[#This Row],[Edital]],tEditais[Edital],0)),"")</f>
        <v>46308.416666666664</v>
      </c>
      <c r="J4189" t="str">
        <f>IFERROR(INDEX(tProdutos[Classe],MATCH(tItens[[#This Row],[Produto]],tProdutos[Produto],0)),"produto não cadastrado")</f>
        <v>FORA</v>
      </c>
      <c r="K4189" s="12">
        <f>tItens[[#This Row],[Qtd]]*tItens[[#This Row],[Vlr unit]]</f>
        <v>127.50000000000001</v>
      </c>
      <c r="L4189" s="6">
        <f>IFERROR(IF(INDEX(tProdutos[Desconto homologado],MATCH(tItens[[#This Row],[Produto]],tProdutos[Produto],0))="",DescontoPadrao,INDEX(tProdutos[Desconto homologado],MATCH(tItens[[#This Row],[Produto]],tProdutos[Produto],0))),DescontoPadrao)</f>
        <v>0.35408560311283999</v>
      </c>
      <c r="M4189" s="12">
        <f>tItens[[#This Row],[Valor]]*(1-tItens[[#This Row],[Desconto]])</f>
        <v>82.354085603112907</v>
      </c>
      <c r="N4189" t="str">
        <f>IFERROR(INDEX(tProdutos[Foco],MATCH(tItens[[#This Row],[Produto]],tProdutos[Produto],0)),"Não")</f>
        <v>Não</v>
      </c>
      <c r="O4189" t="str">
        <f>IFERROR(INDEX(tEditais[SRP],MATCH(tItens[[#This Row],[Edital]],tEditais[Edital],0)),"Não")</f>
        <v>Não</v>
      </c>
      <c r="P4189" s="4">
        <f>IF(COUNTIFS(INDEX(tItens[Edital],1):tItens[[#This Row],[Edital]],tItens[[#This Row],[Edital]],INDEX(tItens[Produto],1):tItens[[#This Row],[Produto]],tItens[[#This Row],[Produto]])=1,1,0)</f>
        <v>1</v>
      </c>
    </row>
    <row r="4190" spans="1:16" x14ac:dyDescent="0.25">
      <c r="A4190" t="s">
        <v>1682</v>
      </c>
      <c r="B4190">
        <v>49</v>
      </c>
      <c r="C4190" t="s">
        <v>7045</v>
      </c>
      <c r="D4190" t="s">
        <v>221</v>
      </c>
      <c r="E4190" s="13">
        <v>375</v>
      </c>
      <c r="F4190" s="12">
        <v>0.33</v>
      </c>
      <c r="G4190" t="str">
        <f>IFERROR(INDEX(tEditais[Órgão],MATCH(tItens[[#This Row],[Edital]],tEditais[Edital],0)),"")</f>
        <v>MINISTERIO DA SAUDE</v>
      </c>
      <c r="H4190" t="str">
        <f>IFERROR(INDEX(tEditais[UF],MATCH(tItens[[#This Row],[Edital]],tEditais[Edital],0)),"")</f>
        <v>MT</v>
      </c>
      <c r="I4190" s="11">
        <f>IFERROR(INDEX(tEditais[Encerramento],MATCH(tItens[[#This Row],[Edital]],tEditais[Edital],0)),"")</f>
        <v>46308.416666666664</v>
      </c>
      <c r="J4190" t="str">
        <f>IFERROR(INDEX(tProdutos[Classe],MATCH(tItens[[#This Row],[Produto]],tProdutos[Produto],0)),"produto não cadastrado")</f>
        <v>FORA</v>
      </c>
      <c r="K4190" s="12">
        <f>tItens[[#This Row],[Qtd]]*tItens[[#This Row],[Vlr unit]]</f>
        <v>123.75</v>
      </c>
      <c r="L4190" s="6">
        <f>IFERROR(IF(INDEX(tProdutos[Desconto homologado],MATCH(tItens[[#This Row],[Produto]],tProdutos[Produto],0))="",DescontoPadrao,INDEX(tProdutos[Desconto homologado],MATCH(tItens[[#This Row],[Produto]],tProdutos[Produto],0))),DescontoPadrao)</f>
        <v>0.35408560311283999</v>
      </c>
      <c r="M4190" s="12">
        <f>tItens[[#This Row],[Valor]]*(1-tItens[[#This Row],[Desconto]])</f>
        <v>79.931906614786058</v>
      </c>
      <c r="N4190" t="str">
        <f>IFERROR(INDEX(tProdutos[Foco],MATCH(tItens[[#This Row],[Produto]],tProdutos[Produto],0)),"Não")</f>
        <v>Não</v>
      </c>
      <c r="O4190" t="str">
        <f>IFERROR(INDEX(tEditais[SRP],MATCH(tItens[[#This Row],[Edital]],tEditais[Edital],0)),"Não")</f>
        <v>Não</v>
      </c>
      <c r="P4190" s="4">
        <f>IF(COUNTIFS(INDEX(tItens[Edital],1):tItens[[#This Row],[Edital]],tItens[[#This Row],[Edital]],INDEX(tItens[Produto],1):tItens[[#This Row],[Produto]],tItens[[#This Row],[Produto]])=1,1,0)</f>
        <v>0</v>
      </c>
    </row>
    <row r="4191" spans="1:16" x14ac:dyDescent="0.25">
      <c r="A4191" t="s">
        <v>1682</v>
      </c>
      <c r="B4191">
        <v>50</v>
      </c>
      <c r="C4191" t="s">
        <v>7046</v>
      </c>
      <c r="D4191" t="s">
        <v>221</v>
      </c>
      <c r="E4191" s="13">
        <v>275</v>
      </c>
      <c r="F4191" s="12">
        <v>0.34</v>
      </c>
      <c r="G4191" t="str">
        <f>IFERROR(INDEX(tEditais[Órgão],MATCH(tItens[[#This Row],[Edital]],tEditais[Edital],0)),"")</f>
        <v>MINISTERIO DA SAUDE</v>
      </c>
      <c r="H4191" t="str">
        <f>IFERROR(INDEX(tEditais[UF],MATCH(tItens[[#This Row],[Edital]],tEditais[Edital],0)),"")</f>
        <v>MT</v>
      </c>
      <c r="I4191" s="11">
        <f>IFERROR(INDEX(tEditais[Encerramento],MATCH(tItens[[#This Row],[Edital]],tEditais[Edital],0)),"")</f>
        <v>46308.416666666664</v>
      </c>
      <c r="J4191" t="str">
        <f>IFERROR(INDEX(tProdutos[Classe],MATCH(tItens[[#This Row],[Produto]],tProdutos[Produto],0)),"produto não cadastrado")</f>
        <v>FORA</v>
      </c>
      <c r="K4191" s="12">
        <f>tItens[[#This Row],[Qtd]]*tItens[[#This Row],[Vlr unit]]</f>
        <v>93.5</v>
      </c>
      <c r="L4191" s="6">
        <f>IFERROR(IF(INDEX(tProdutos[Desconto homologado],MATCH(tItens[[#This Row],[Produto]],tProdutos[Produto],0))="",DescontoPadrao,INDEX(tProdutos[Desconto homologado],MATCH(tItens[[#This Row],[Produto]],tProdutos[Produto],0))),DescontoPadrao)</f>
        <v>0.35408560311283999</v>
      </c>
      <c r="M4191" s="12">
        <f>tItens[[#This Row],[Valor]]*(1-tItens[[#This Row],[Desconto]])</f>
        <v>60.392996108949461</v>
      </c>
      <c r="N4191" t="str">
        <f>IFERROR(INDEX(tProdutos[Foco],MATCH(tItens[[#This Row],[Produto]],tProdutos[Produto],0)),"Não")</f>
        <v>Não</v>
      </c>
      <c r="O4191" t="str">
        <f>IFERROR(INDEX(tEditais[SRP],MATCH(tItens[[#This Row],[Edital]],tEditais[Edital],0)),"Não")</f>
        <v>Não</v>
      </c>
      <c r="P4191" s="4">
        <f>IF(COUNTIFS(INDEX(tItens[Edital],1):tItens[[#This Row],[Edital]],tItens[[#This Row],[Edital]],INDEX(tItens[Produto],1):tItens[[#This Row],[Produto]],tItens[[#This Row],[Produto]])=1,1,0)</f>
        <v>0</v>
      </c>
    </row>
    <row r="4192" spans="1:16" x14ac:dyDescent="0.25">
      <c r="A4192" t="s">
        <v>1682</v>
      </c>
      <c r="B4192">
        <v>51</v>
      </c>
      <c r="C4192" t="s">
        <v>7047</v>
      </c>
      <c r="D4192" t="s">
        <v>221</v>
      </c>
      <c r="E4192" s="13">
        <v>175</v>
      </c>
      <c r="F4192" s="12">
        <v>0.32</v>
      </c>
      <c r="G4192" t="str">
        <f>IFERROR(INDEX(tEditais[Órgão],MATCH(tItens[[#This Row],[Edital]],tEditais[Edital],0)),"")</f>
        <v>MINISTERIO DA SAUDE</v>
      </c>
      <c r="H4192" t="str">
        <f>IFERROR(INDEX(tEditais[UF],MATCH(tItens[[#This Row],[Edital]],tEditais[Edital],0)),"")</f>
        <v>MT</v>
      </c>
      <c r="I4192" s="11">
        <f>IFERROR(INDEX(tEditais[Encerramento],MATCH(tItens[[#This Row],[Edital]],tEditais[Edital],0)),"")</f>
        <v>46308.416666666664</v>
      </c>
      <c r="J4192" t="str">
        <f>IFERROR(INDEX(tProdutos[Classe],MATCH(tItens[[#This Row],[Produto]],tProdutos[Produto],0)),"produto não cadastrado")</f>
        <v>FORA</v>
      </c>
      <c r="K4192" s="12">
        <f>tItens[[#This Row],[Qtd]]*tItens[[#This Row],[Vlr unit]]</f>
        <v>56</v>
      </c>
      <c r="L4192" s="6">
        <f>IFERROR(IF(INDEX(tProdutos[Desconto homologado],MATCH(tItens[[#This Row],[Produto]],tProdutos[Produto],0))="",DescontoPadrao,INDEX(tProdutos[Desconto homologado],MATCH(tItens[[#This Row],[Produto]],tProdutos[Produto],0))),DescontoPadrao)</f>
        <v>0.35408560311283999</v>
      </c>
      <c r="M4192" s="12">
        <f>tItens[[#This Row],[Valor]]*(1-tItens[[#This Row],[Desconto]])</f>
        <v>36.171206225680962</v>
      </c>
      <c r="N4192" t="str">
        <f>IFERROR(INDEX(tProdutos[Foco],MATCH(tItens[[#This Row],[Produto]],tProdutos[Produto],0)),"Não")</f>
        <v>Não</v>
      </c>
      <c r="O4192" t="str">
        <f>IFERROR(INDEX(tEditais[SRP],MATCH(tItens[[#This Row],[Edital]],tEditais[Edital],0)),"Não")</f>
        <v>Não</v>
      </c>
      <c r="P4192" s="4">
        <f>IF(COUNTIFS(INDEX(tItens[Edital],1):tItens[[#This Row],[Edital]],tItens[[#This Row],[Edital]],INDEX(tItens[Produto],1):tItens[[#This Row],[Produto]],tItens[[#This Row],[Produto]])=1,1,0)</f>
        <v>0</v>
      </c>
    </row>
    <row r="4193" spans="1:16" x14ac:dyDescent="0.25">
      <c r="A4193" t="s">
        <v>1682</v>
      </c>
      <c r="B4193">
        <v>64</v>
      </c>
      <c r="C4193" t="s">
        <v>7048</v>
      </c>
      <c r="D4193" t="s">
        <v>104</v>
      </c>
      <c r="E4193" s="13">
        <v>2250</v>
      </c>
      <c r="F4193" s="12">
        <v>4.42</v>
      </c>
      <c r="G4193" t="str">
        <f>IFERROR(INDEX(tEditais[Órgão],MATCH(tItens[[#This Row],[Edital]],tEditais[Edital],0)),"")</f>
        <v>MINISTERIO DA SAUDE</v>
      </c>
      <c r="H4193" t="str">
        <f>IFERROR(INDEX(tEditais[UF],MATCH(tItens[[#This Row],[Edital]],tEditais[Edital],0)),"")</f>
        <v>MT</v>
      </c>
      <c r="I4193" s="11">
        <f>IFERROR(INDEX(tEditais[Encerramento],MATCH(tItens[[#This Row],[Edital]],tEditais[Edital],0)),"")</f>
        <v>46308.416666666664</v>
      </c>
      <c r="J4193" t="str">
        <f>IFERROR(INDEX(tProdutos[Classe],MATCH(tItens[[#This Row],[Produto]],tProdutos[Produto],0)),"produto não cadastrado")</f>
        <v>DISPUTADO</v>
      </c>
      <c r="K4193" s="12">
        <f>tItens[[#This Row],[Qtd]]*tItens[[#This Row],[Vlr unit]]</f>
        <v>9945</v>
      </c>
      <c r="L4193" s="6">
        <f>IFERROR(IF(INDEX(tProdutos[Desconto homologado],MATCH(tItens[[#This Row],[Produto]],tProdutos[Produto],0))="",DescontoPadrao,INDEX(tProdutos[Desconto homologado],MATCH(tItens[[#This Row],[Produto]],tProdutos[Produto],0))),DescontoPadrao)</f>
        <v>0.51</v>
      </c>
      <c r="M4193" s="12">
        <f>tItens[[#This Row],[Valor]]*(1-tItens[[#This Row],[Desconto]])</f>
        <v>4873.05</v>
      </c>
      <c r="N4193" t="str">
        <f>IFERROR(INDEX(tProdutos[Foco],MATCH(tItens[[#This Row],[Produto]],tProdutos[Produto],0)),"Não")</f>
        <v>Sim</v>
      </c>
      <c r="O4193" t="str">
        <f>IFERROR(INDEX(tEditais[SRP],MATCH(tItens[[#This Row],[Edital]],tEditais[Edital],0)),"Não")</f>
        <v>Não</v>
      </c>
      <c r="P4193" s="4">
        <f>IF(COUNTIFS(INDEX(tItens[Edital],1):tItens[[#This Row],[Edital]],tItens[[#This Row],[Edital]],INDEX(tItens[Produto],1):tItens[[#This Row],[Produto]],tItens[[#This Row],[Produto]])=1,1,0)</f>
        <v>1</v>
      </c>
    </row>
    <row r="4194" spans="1:16" x14ac:dyDescent="0.25">
      <c r="A4194" t="s">
        <v>1682</v>
      </c>
      <c r="B4194">
        <v>73</v>
      </c>
      <c r="C4194" t="s">
        <v>7049</v>
      </c>
      <c r="D4194" t="s">
        <v>349</v>
      </c>
      <c r="E4194" s="13">
        <v>7500</v>
      </c>
      <c r="F4194" s="12">
        <v>0.36</v>
      </c>
      <c r="G4194" t="str">
        <f>IFERROR(INDEX(tEditais[Órgão],MATCH(tItens[[#This Row],[Edital]],tEditais[Edital],0)),"")</f>
        <v>MINISTERIO DA SAUDE</v>
      </c>
      <c r="H4194" t="str">
        <f>IFERROR(INDEX(tEditais[UF],MATCH(tItens[[#This Row],[Edital]],tEditais[Edital],0)),"")</f>
        <v>MT</v>
      </c>
      <c r="I4194" s="11">
        <f>IFERROR(INDEX(tEditais[Encerramento],MATCH(tItens[[#This Row],[Edital]],tEditais[Edital],0)),"")</f>
        <v>46308.416666666664</v>
      </c>
      <c r="J4194" t="str">
        <f>IFERROR(INDEX(tProdutos[Classe],MATCH(tItens[[#This Row],[Produto]],tProdutos[Produto],0)),"produto não cadastrado")</f>
        <v>FORA</v>
      </c>
      <c r="K4194" s="12">
        <f>tItens[[#This Row],[Qtd]]*tItens[[#This Row],[Vlr unit]]</f>
        <v>2700</v>
      </c>
      <c r="L4194" s="6">
        <f>IFERROR(IF(INDEX(tProdutos[Desconto homologado],MATCH(tItens[[#This Row],[Produto]],tProdutos[Produto],0))="",DescontoPadrao,INDEX(tProdutos[Desconto homologado],MATCH(tItens[[#This Row],[Produto]],tProdutos[Produto],0))),DescontoPadrao)</f>
        <v>0.38826228254635797</v>
      </c>
      <c r="M4194" s="12">
        <f>tItens[[#This Row],[Valor]]*(1-tItens[[#This Row],[Desconto]])</f>
        <v>1651.6918371248335</v>
      </c>
      <c r="N4194" t="str">
        <f>IFERROR(INDEX(tProdutos[Foco],MATCH(tItens[[#This Row],[Produto]],tProdutos[Produto],0)),"Não")</f>
        <v>Não</v>
      </c>
      <c r="O4194" t="str">
        <f>IFERROR(INDEX(tEditais[SRP],MATCH(tItens[[#This Row],[Edital]],tEditais[Edital],0)),"Não")</f>
        <v>Não</v>
      </c>
      <c r="P4194" s="4">
        <f>IF(COUNTIFS(INDEX(tItens[Edital],1):tItens[[#This Row],[Edital]],tItens[[#This Row],[Edital]],INDEX(tItens[Produto],1):tItens[[#This Row],[Produto]],tItens[[#This Row],[Produto]])=1,1,0)</f>
        <v>1</v>
      </c>
    </row>
    <row r="4195" spans="1:16" x14ac:dyDescent="0.25">
      <c r="A4195" t="s">
        <v>1682</v>
      </c>
      <c r="B4195">
        <v>75</v>
      </c>
      <c r="C4195" t="s">
        <v>7050</v>
      </c>
      <c r="D4195" t="s">
        <v>512</v>
      </c>
      <c r="E4195" s="13">
        <v>250</v>
      </c>
      <c r="F4195" s="12">
        <v>7.41</v>
      </c>
      <c r="G4195" t="str">
        <f>IFERROR(INDEX(tEditais[Órgão],MATCH(tItens[[#This Row],[Edital]],tEditais[Edital],0)),"")</f>
        <v>MINISTERIO DA SAUDE</v>
      </c>
      <c r="H4195" t="str">
        <f>IFERROR(INDEX(tEditais[UF],MATCH(tItens[[#This Row],[Edital]],tEditais[Edital],0)),"")</f>
        <v>MT</v>
      </c>
      <c r="I4195" s="11">
        <f>IFERROR(INDEX(tEditais[Encerramento],MATCH(tItens[[#This Row],[Edital]],tEditais[Edital],0)),"")</f>
        <v>46308.416666666664</v>
      </c>
      <c r="J4195" t="str">
        <f>IFERROR(INDEX(tProdutos[Classe],MATCH(tItens[[#This Row],[Produto]],tProdutos[Produto],0)),"produto não cadastrado")</f>
        <v>FILA REBASE</v>
      </c>
      <c r="K4195" s="12">
        <f>tItens[[#This Row],[Qtd]]*tItens[[#This Row],[Vlr unit]]</f>
        <v>1852.5</v>
      </c>
      <c r="L4195" s="6">
        <f>IFERROR(IF(INDEX(tProdutos[Desconto homologado],MATCH(tItens[[#This Row],[Produto]],tProdutos[Produto],0))="",DescontoPadrao,INDEX(tProdutos[Desconto homologado],MATCH(tItens[[#This Row],[Produto]],tProdutos[Produto],0))),DescontoPadrao)</f>
        <v>0.32579365079365102</v>
      </c>
      <c r="M4195" s="12">
        <f>tItens[[#This Row],[Valor]]*(1-tItens[[#This Row],[Desconto]])</f>
        <v>1248.9672619047615</v>
      </c>
      <c r="N4195" t="str">
        <f>IFERROR(INDEX(tProdutos[Foco],MATCH(tItens[[#This Row],[Produto]],tProdutos[Produto],0)),"Não")</f>
        <v>Não</v>
      </c>
      <c r="O4195" t="str">
        <f>IFERROR(INDEX(tEditais[SRP],MATCH(tItens[[#This Row],[Edital]],tEditais[Edital],0)),"Não")</f>
        <v>Não</v>
      </c>
      <c r="P4195" s="4">
        <f>IF(COUNTIFS(INDEX(tItens[Edital],1):tItens[[#This Row],[Edital]],tItens[[#This Row],[Edital]],INDEX(tItens[Produto],1):tItens[[#This Row],[Produto]],tItens[[#This Row],[Produto]])=1,1,0)</f>
        <v>1</v>
      </c>
    </row>
    <row r="4196" spans="1:16" x14ac:dyDescent="0.25">
      <c r="A4196" t="s">
        <v>1682</v>
      </c>
      <c r="B4196">
        <v>76</v>
      </c>
      <c r="C4196" t="s">
        <v>7051</v>
      </c>
      <c r="D4196" t="s">
        <v>512</v>
      </c>
      <c r="E4196" s="13">
        <v>150</v>
      </c>
      <c r="F4196" s="12">
        <v>7.95</v>
      </c>
      <c r="G4196" t="str">
        <f>IFERROR(INDEX(tEditais[Órgão],MATCH(tItens[[#This Row],[Edital]],tEditais[Edital],0)),"")</f>
        <v>MINISTERIO DA SAUDE</v>
      </c>
      <c r="H4196" t="str">
        <f>IFERROR(INDEX(tEditais[UF],MATCH(tItens[[#This Row],[Edital]],tEditais[Edital],0)),"")</f>
        <v>MT</v>
      </c>
      <c r="I4196" s="11">
        <f>IFERROR(INDEX(tEditais[Encerramento],MATCH(tItens[[#This Row],[Edital]],tEditais[Edital],0)),"")</f>
        <v>46308.416666666664</v>
      </c>
      <c r="J4196" t="str">
        <f>IFERROR(INDEX(tProdutos[Classe],MATCH(tItens[[#This Row],[Produto]],tProdutos[Produto],0)),"produto não cadastrado")</f>
        <v>FILA REBASE</v>
      </c>
      <c r="K4196" s="12">
        <f>tItens[[#This Row],[Qtd]]*tItens[[#This Row],[Vlr unit]]</f>
        <v>1192.5</v>
      </c>
      <c r="L4196" s="6">
        <f>IFERROR(IF(INDEX(tProdutos[Desconto homologado],MATCH(tItens[[#This Row],[Produto]],tProdutos[Produto],0))="",DescontoPadrao,INDEX(tProdutos[Desconto homologado],MATCH(tItens[[#This Row],[Produto]],tProdutos[Produto],0))),DescontoPadrao)</f>
        <v>0.32579365079365102</v>
      </c>
      <c r="M4196" s="12">
        <f>tItens[[#This Row],[Valor]]*(1-tItens[[#This Row],[Desconto]])</f>
        <v>803.99107142857122</v>
      </c>
      <c r="N4196" t="str">
        <f>IFERROR(INDEX(tProdutos[Foco],MATCH(tItens[[#This Row],[Produto]],tProdutos[Produto],0)),"Não")</f>
        <v>Não</v>
      </c>
      <c r="O4196" t="str">
        <f>IFERROR(INDEX(tEditais[SRP],MATCH(tItens[[#This Row],[Edital]],tEditais[Edital],0)),"Não")</f>
        <v>Não</v>
      </c>
      <c r="P4196" s="4">
        <f>IF(COUNTIFS(INDEX(tItens[Edital],1):tItens[[#This Row],[Edital]],tItens[[#This Row],[Edital]],INDEX(tItens[Produto],1):tItens[[#This Row],[Produto]],tItens[[#This Row],[Produto]])=1,1,0)</f>
        <v>0</v>
      </c>
    </row>
    <row r="4197" spans="1:16" x14ac:dyDescent="0.25">
      <c r="A4197" t="s">
        <v>1682</v>
      </c>
      <c r="B4197">
        <v>77</v>
      </c>
      <c r="C4197" t="s">
        <v>7052</v>
      </c>
      <c r="D4197" t="s">
        <v>467</v>
      </c>
      <c r="E4197" s="13">
        <v>500</v>
      </c>
      <c r="F4197" s="12">
        <v>1.74</v>
      </c>
      <c r="G4197" t="str">
        <f>IFERROR(INDEX(tEditais[Órgão],MATCH(tItens[[#This Row],[Edital]],tEditais[Edital],0)),"")</f>
        <v>MINISTERIO DA SAUDE</v>
      </c>
      <c r="H4197" t="str">
        <f>IFERROR(INDEX(tEditais[UF],MATCH(tItens[[#This Row],[Edital]],tEditais[Edital],0)),"")</f>
        <v>MT</v>
      </c>
      <c r="I4197" s="11">
        <f>IFERROR(INDEX(tEditais[Encerramento],MATCH(tItens[[#This Row],[Edital]],tEditais[Edital],0)),"")</f>
        <v>46308.416666666664</v>
      </c>
      <c r="J4197" t="str">
        <f>IFERROR(INDEX(tProdutos[Classe],MATCH(tItens[[#This Row],[Produto]],tProdutos[Produto],0)),"produto não cadastrado")</f>
        <v>FILA REBASE</v>
      </c>
      <c r="K4197" s="12">
        <f>tItens[[#This Row],[Qtd]]*tItens[[#This Row],[Vlr unit]]</f>
        <v>870</v>
      </c>
      <c r="L4197" s="6">
        <f>IFERROR(IF(INDEX(tProdutos[Desconto homologado],MATCH(tItens[[#This Row],[Produto]],tProdutos[Produto],0))="",DescontoPadrao,INDEX(tProdutos[Desconto homologado],MATCH(tItens[[#This Row],[Produto]],tProdutos[Produto],0))),DescontoPadrao)</f>
        <v>0.25007144898542499</v>
      </c>
      <c r="M4197" s="12">
        <f>tItens[[#This Row],[Valor]]*(1-tItens[[#This Row],[Desconto]])</f>
        <v>652.43783938268029</v>
      </c>
      <c r="N4197" t="str">
        <f>IFERROR(INDEX(tProdutos[Foco],MATCH(tItens[[#This Row],[Produto]],tProdutos[Produto],0)),"Não")</f>
        <v>Não</v>
      </c>
      <c r="O4197" t="str">
        <f>IFERROR(INDEX(tEditais[SRP],MATCH(tItens[[#This Row],[Edital]],tEditais[Edital],0)),"Não")</f>
        <v>Não</v>
      </c>
      <c r="P4197" s="4">
        <f>IF(COUNTIFS(INDEX(tItens[Edital],1):tItens[[#This Row],[Edital]],tItens[[#This Row],[Edital]],INDEX(tItens[Produto],1):tItens[[#This Row],[Produto]],tItens[[#This Row],[Produto]])=1,1,0)</f>
        <v>1</v>
      </c>
    </row>
    <row r="4198" spans="1:16" x14ac:dyDescent="0.25">
      <c r="A4198" t="s">
        <v>1682</v>
      </c>
      <c r="B4198">
        <v>81</v>
      </c>
      <c r="C4198" t="s">
        <v>7053</v>
      </c>
      <c r="D4198" t="s">
        <v>56</v>
      </c>
      <c r="E4198" s="13">
        <v>100</v>
      </c>
      <c r="F4198" s="12">
        <v>25.64</v>
      </c>
      <c r="G4198" t="str">
        <f>IFERROR(INDEX(tEditais[Órgão],MATCH(tItens[[#This Row],[Edital]],tEditais[Edital],0)),"")</f>
        <v>MINISTERIO DA SAUDE</v>
      </c>
      <c r="H4198" t="str">
        <f>IFERROR(INDEX(tEditais[UF],MATCH(tItens[[#This Row],[Edital]],tEditais[Edital],0)),"")</f>
        <v>MT</v>
      </c>
      <c r="I4198" s="11">
        <f>IFERROR(INDEX(tEditais[Encerramento],MATCH(tItens[[#This Row],[Edital]],tEditais[Edital],0)),"")</f>
        <v>46308.416666666664</v>
      </c>
      <c r="J4198" t="str">
        <f>IFERROR(INDEX(tProdutos[Classe],MATCH(tItens[[#This Row],[Produto]],tProdutos[Produto],0)),"produto não cadastrado")</f>
        <v>NÚCLEO</v>
      </c>
      <c r="K4198" s="12">
        <f>tItens[[#This Row],[Qtd]]*tItens[[#This Row],[Vlr unit]]</f>
        <v>2564</v>
      </c>
      <c r="L4198" s="6">
        <f>IFERROR(IF(INDEX(tProdutos[Desconto homologado],MATCH(tItens[[#This Row],[Produto]],tProdutos[Produto],0))="",DescontoPadrao,INDEX(tProdutos[Desconto homologado],MATCH(tItens[[#This Row],[Produto]],tProdutos[Produto],0))),DescontoPadrao)</f>
        <v>0.34</v>
      </c>
      <c r="M4198" s="12">
        <f>tItens[[#This Row],[Valor]]*(1-tItens[[#This Row],[Desconto]])</f>
        <v>1692.2399999999998</v>
      </c>
      <c r="N4198" t="str">
        <f>IFERROR(INDEX(tProdutos[Foco],MATCH(tItens[[#This Row],[Produto]],tProdutos[Produto],0)),"Não")</f>
        <v>Sim</v>
      </c>
      <c r="O4198" t="str">
        <f>IFERROR(INDEX(tEditais[SRP],MATCH(tItens[[#This Row],[Edital]],tEditais[Edital],0)),"Não")</f>
        <v>Não</v>
      </c>
      <c r="P4198" s="4">
        <f>IF(COUNTIFS(INDEX(tItens[Edital],1):tItens[[#This Row],[Edital]],tItens[[#This Row],[Edital]],INDEX(tItens[Produto],1):tItens[[#This Row],[Produto]],tItens[[#This Row],[Produto]])=1,1,0)</f>
        <v>1</v>
      </c>
    </row>
    <row r="4199" spans="1:16" x14ac:dyDescent="0.25">
      <c r="A4199" t="s">
        <v>1682</v>
      </c>
      <c r="B4199">
        <v>82</v>
      </c>
      <c r="C4199" t="s">
        <v>7054</v>
      </c>
      <c r="D4199" t="s">
        <v>56</v>
      </c>
      <c r="E4199" s="13">
        <v>56</v>
      </c>
      <c r="F4199" s="12">
        <v>24.59</v>
      </c>
      <c r="G4199" t="str">
        <f>IFERROR(INDEX(tEditais[Órgão],MATCH(tItens[[#This Row],[Edital]],tEditais[Edital],0)),"")</f>
        <v>MINISTERIO DA SAUDE</v>
      </c>
      <c r="H4199" t="str">
        <f>IFERROR(INDEX(tEditais[UF],MATCH(tItens[[#This Row],[Edital]],tEditais[Edital],0)),"")</f>
        <v>MT</v>
      </c>
      <c r="I4199" s="11">
        <f>IFERROR(INDEX(tEditais[Encerramento],MATCH(tItens[[#This Row],[Edital]],tEditais[Edital],0)),"")</f>
        <v>46308.416666666664</v>
      </c>
      <c r="J4199" t="str">
        <f>IFERROR(INDEX(tProdutos[Classe],MATCH(tItens[[#This Row],[Produto]],tProdutos[Produto],0)),"produto não cadastrado")</f>
        <v>NÚCLEO</v>
      </c>
      <c r="K4199" s="12">
        <f>tItens[[#This Row],[Qtd]]*tItens[[#This Row],[Vlr unit]]</f>
        <v>1377.04</v>
      </c>
      <c r="L4199" s="6">
        <f>IFERROR(IF(INDEX(tProdutos[Desconto homologado],MATCH(tItens[[#This Row],[Produto]],tProdutos[Produto],0))="",DescontoPadrao,INDEX(tProdutos[Desconto homologado],MATCH(tItens[[#This Row],[Produto]],tProdutos[Produto],0))),DescontoPadrao)</f>
        <v>0.34</v>
      </c>
      <c r="M4199" s="12">
        <f>tItens[[#This Row],[Valor]]*(1-tItens[[#This Row],[Desconto]])</f>
        <v>908.8463999999999</v>
      </c>
      <c r="N4199" t="str">
        <f>IFERROR(INDEX(tProdutos[Foco],MATCH(tItens[[#This Row],[Produto]],tProdutos[Produto],0)),"Não")</f>
        <v>Sim</v>
      </c>
      <c r="O4199" t="str">
        <f>IFERROR(INDEX(tEditais[SRP],MATCH(tItens[[#This Row],[Edital]],tEditais[Edital],0)),"Não")</f>
        <v>Não</v>
      </c>
      <c r="P4199" s="4">
        <f>IF(COUNTIFS(INDEX(tItens[Edital],1):tItens[[#This Row],[Edital]],tItens[[#This Row],[Edital]],INDEX(tItens[Produto],1):tItens[[#This Row],[Produto]],tItens[[#This Row],[Produto]])=1,1,0)</f>
        <v>0</v>
      </c>
    </row>
    <row r="4200" spans="1:16" x14ac:dyDescent="0.25">
      <c r="A4200" t="s">
        <v>1682</v>
      </c>
      <c r="B4200">
        <v>83</v>
      </c>
      <c r="C4200" t="s">
        <v>7055</v>
      </c>
      <c r="D4200" t="s">
        <v>56</v>
      </c>
      <c r="E4200" s="13">
        <v>56</v>
      </c>
      <c r="F4200" s="12">
        <v>24.04</v>
      </c>
      <c r="G4200" t="str">
        <f>IFERROR(INDEX(tEditais[Órgão],MATCH(tItens[[#This Row],[Edital]],tEditais[Edital],0)),"")</f>
        <v>MINISTERIO DA SAUDE</v>
      </c>
      <c r="H4200" t="str">
        <f>IFERROR(INDEX(tEditais[UF],MATCH(tItens[[#This Row],[Edital]],tEditais[Edital],0)),"")</f>
        <v>MT</v>
      </c>
      <c r="I4200" s="11">
        <f>IFERROR(INDEX(tEditais[Encerramento],MATCH(tItens[[#This Row],[Edital]],tEditais[Edital],0)),"")</f>
        <v>46308.416666666664</v>
      </c>
      <c r="J4200" t="str">
        <f>IFERROR(INDEX(tProdutos[Classe],MATCH(tItens[[#This Row],[Produto]],tProdutos[Produto],0)),"produto não cadastrado")</f>
        <v>NÚCLEO</v>
      </c>
      <c r="K4200" s="12">
        <f>tItens[[#This Row],[Qtd]]*tItens[[#This Row],[Vlr unit]]</f>
        <v>1346.24</v>
      </c>
      <c r="L4200" s="6">
        <f>IFERROR(IF(INDEX(tProdutos[Desconto homologado],MATCH(tItens[[#This Row],[Produto]],tProdutos[Produto],0))="",DescontoPadrao,INDEX(tProdutos[Desconto homologado],MATCH(tItens[[#This Row],[Produto]],tProdutos[Produto],0))),DescontoPadrao)</f>
        <v>0.34</v>
      </c>
      <c r="M4200" s="12">
        <f>tItens[[#This Row],[Valor]]*(1-tItens[[#This Row],[Desconto]])</f>
        <v>888.51839999999993</v>
      </c>
      <c r="N4200" t="str">
        <f>IFERROR(INDEX(tProdutos[Foco],MATCH(tItens[[#This Row],[Produto]],tProdutos[Produto],0)),"Não")</f>
        <v>Sim</v>
      </c>
      <c r="O4200" t="str">
        <f>IFERROR(INDEX(tEditais[SRP],MATCH(tItens[[#This Row],[Edital]],tEditais[Edital],0)),"Não")</f>
        <v>Não</v>
      </c>
      <c r="P4200" s="4">
        <f>IF(COUNTIFS(INDEX(tItens[Edital],1):tItens[[#This Row],[Edital]],tItens[[#This Row],[Edital]],INDEX(tItens[Produto],1):tItens[[#This Row],[Produto]],tItens[[#This Row],[Produto]])=1,1,0)</f>
        <v>0</v>
      </c>
    </row>
    <row r="4201" spans="1:16" x14ac:dyDescent="0.25">
      <c r="A4201" t="s">
        <v>1682</v>
      </c>
      <c r="B4201">
        <v>84</v>
      </c>
      <c r="C4201" t="s">
        <v>7056</v>
      </c>
      <c r="D4201" t="s">
        <v>56</v>
      </c>
      <c r="E4201" s="13">
        <v>56</v>
      </c>
      <c r="F4201" s="12">
        <v>27.02</v>
      </c>
      <c r="G4201" t="str">
        <f>IFERROR(INDEX(tEditais[Órgão],MATCH(tItens[[#This Row],[Edital]],tEditais[Edital],0)),"")</f>
        <v>MINISTERIO DA SAUDE</v>
      </c>
      <c r="H4201" t="str">
        <f>IFERROR(INDEX(tEditais[UF],MATCH(tItens[[#This Row],[Edital]],tEditais[Edital],0)),"")</f>
        <v>MT</v>
      </c>
      <c r="I4201" s="11">
        <f>IFERROR(INDEX(tEditais[Encerramento],MATCH(tItens[[#This Row],[Edital]],tEditais[Edital],0)),"")</f>
        <v>46308.416666666664</v>
      </c>
      <c r="J4201" t="str">
        <f>IFERROR(INDEX(tProdutos[Classe],MATCH(tItens[[#This Row],[Produto]],tProdutos[Produto],0)),"produto não cadastrado")</f>
        <v>NÚCLEO</v>
      </c>
      <c r="K4201" s="12">
        <f>tItens[[#This Row],[Qtd]]*tItens[[#This Row],[Vlr unit]]</f>
        <v>1513.12</v>
      </c>
      <c r="L4201" s="6">
        <f>IFERROR(IF(INDEX(tProdutos[Desconto homologado],MATCH(tItens[[#This Row],[Produto]],tProdutos[Produto],0))="",DescontoPadrao,INDEX(tProdutos[Desconto homologado],MATCH(tItens[[#This Row],[Produto]],tProdutos[Produto],0))),DescontoPadrao)</f>
        <v>0.34</v>
      </c>
      <c r="M4201" s="12">
        <f>tItens[[#This Row],[Valor]]*(1-tItens[[#This Row],[Desconto]])</f>
        <v>998.65919999999983</v>
      </c>
      <c r="N4201" t="str">
        <f>IFERROR(INDEX(tProdutos[Foco],MATCH(tItens[[#This Row],[Produto]],tProdutos[Produto],0)),"Não")</f>
        <v>Sim</v>
      </c>
      <c r="O4201" t="str">
        <f>IFERROR(INDEX(tEditais[SRP],MATCH(tItens[[#This Row],[Edital]],tEditais[Edital],0)),"Não")</f>
        <v>Não</v>
      </c>
      <c r="P4201" s="4">
        <f>IF(COUNTIFS(INDEX(tItens[Edital],1):tItens[[#This Row],[Edital]],tItens[[#This Row],[Edital]],INDEX(tItens[Produto],1):tItens[[#This Row],[Produto]],tItens[[#This Row],[Produto]])=1,1,0)</f>
        <v>0</v>
      </c>
    </row>
    <row r="4202" spans="1:16" x14ac:dyDescent="0.25">
      <c r="A4202" t="s">
        <v>1682</v>
      </c>
      <c r="B4202">
        <v>85</v>
      </c>
      <c r="C4202" t="s">
        <v>7057</v>
      </c>
      <c r="D4202" t="s">
        <v>277</v>
      </c>
      <c r="E4202" s="13">
        <v>1080</v>
      </c>
      <c r="F4202" s="12">
        <v>11.1</v>
      </c>
      <c r="G4202" t="str">
        <f>IFERROR(INDEX(tEditais[Órgão],MATCH(tItens[[#This Row],[Edital]],tEditais[Edital],0)),"")</f>
        <v>MINISTERIO DA SAUDE</v>
      </c>
      <c r="H4202" t="str">
        <f>IFERROR(INDEX(tEditais[UF],MATCH(tItens[[#This Row],[Edital]],tEditais[Edital],0)),"")</f>
        <v>MT</v>
      </c>
      <c r="I4202" s="11">
        <f>IFERROR(INDEX(tEditais[Encerramento],MATCH(tItens[[#This Row],[Edital]],tEditais[Edital],0)),"")</f>
        <v>46308.416666666664</v>
      </c>
      <c r="J4202" t="str">
        <f>IFERROR(INDEX(tProdutos[Classe],MATCH(tItens[[#This Row],[Produto]],tProdutos[Produto],0)),"produto não cadastrado")</f>
        <v>DISPUTADO</v>
      </c>
      <c r="K4202" s="12">
        <f>tItens[[#This Row],[Qtd]]*tItens[[#This Row],[Vlr unit]]</f>
        <v>11988</v>
      </c>
      <c r="L4202" s="6">
        <f>IFERROR(IF(INDEX(tProdutos[Desconto homologado],MATCH(tItens[[#This Row],[Produto]],tProdutos[Produto],0))="",DescontoPadrao,INDEX(tProdutos[Desconto homologado],MATCH(tItens[[#This Row],[Produto]],tProdutos[Produto],0))),DescontoPadrao)</f>
        <v>0.50460666194188497</v>
      </c>
      <c r="M4202" s="12">
        <f>tItens[[#This Row],[Valor]]*(1-tItens[[#This Row],[Desconto]])</f>
        <v>5938.7753366406832</v>
      </c>
      <c r="N4202" t="str">
        <f>IFERROR(INDEX(tProdutos[Foco],MATCH(tItens[[#This Row],[Produto]],tProdutos[Produto],0)),"Não")</f>
        <v>Não</v>
      </c>
      <c r="O4202" t="str">
        <f>IFERROR(INDEX(tEditais[SRP],MATCH(tItens[[#This Row],[Edital]],tEditais[Edital],0)),"Não")</f>
        <v>Não</v>
      </c>
      <c r="P4202" s="4">
        <f>IF(COUNTIFS(INDEX(tItens[Edital],1):tItens[[#This Row],[Edital]],tItens[[#This Row],[Edital]],INDEX(tItens[Produto],1):tItens[[#This Row],[Produto]],tItens[[#This Row],[Produto]])=1,1,0)</f>
        <v>1</v>
      </c>
    </row>
    <row r="4203" spans="1:16" x14ac:dyDescent="0.25">
      <c r="A4203" t="s">
        <v>1682</v>
      </c>
      <c r="B4203">
        <v>86</v>
      </c>
      <c r="C4203" t="s">
        <v>7058</v>
      </c>
      <c r="D4203" t="s">
        <v>277</v>
      </c>
      <c r="E4203" s="13">
        <v>2000</v>
      </c>
      <c r="F4203" s="12">
        <v>0.19</v>
      </c>
      <c r="G4203" t="str">
        <f>IFERROR(INDEX(tEditais[Órgão],MATCH(tItens[[#This Row],[Edital]],tEditais[Edital],0)),"")</f>
        <v>MINISTERIO DA SAUDE</v>
      </c>
      <c r="H4203" t="str">
        <f>IFERROR(INDEX(tEditais[UF],MATCH(tItens[[#This Row],[Edital]],tEditais[Edital],0)),"")</f>
        <v>MT</v>
      </c>
      <c r="I4203" s="11">
        <f>IFERROR(INDEX(tEditais[Encerramento],MATCH(tItens[[#This Row],[Edital]],tEditais[Edital],0)),"")</f>
        <v>46308.416666666664</v>
      </c>
      <c r="J4203" t="str">
        <f>IFERROR(INDEX(tProdutos[Classe],MATCH(tItens[[#This Row],[Produto]],tProdutos[Produto],0)),"produto não cadastrado")</f>
        <v>DISPUTADO</v>
      </c>
      <c r="K4203" s="12">
        <f>tItens[[#This Row],[Qtd]]*tItens[[#This Row],[Vlr unit]]</f>
        <v>380</v>
      </c>
      <c r="L4203" s="6">
        <f>IFERROR(IF(INDEX(tProdutos[Desconto homologado],MATCH(tItens[[#This Row],[Produto]],tProdutos[Produto],0))="",DescontoPadrao,INDEX(tProdutos[Desconto homologado],MATCH(tItens[[#This Row],[Produto]],tProdutos[Produto],0))),DescontoPadrao)</f>
        <v>0.50460666194188497</v>
      </c>
      <c r="M4203" s="12">
        <f>tItens[[#This Row],[Valor]]*(1-tItens[[#This Row],[Desconto]])</f>
        <v>188.24946846208371</v>
      </c>
      <c r="N4203" t="str">
        <f>IFERROR(INDEX(tProdutos[Foco],MATCH(tItens[[#This Row],[Produto]],tProdutos[Produto],0)),"Não")</f>
        <v>Não</v>
      </c>
      <c r="O4203" t="str">
        <f>IFERROR(INDEX(tEditais[SRP],MATCH(tItens[[#This Row],[Edital]],tEditais[Edital],0)),"Não")</f>
        <v>Não</v>
      </c>
      <c r="P4203" s="4">
        <f>IF(COUNTIFS(INDEX(tItens[Edital],1):tItens[[#This Row],[Edital]],tItens[[#This Row],[Edital]],INDEX(tItens[Produto],1):tItens[[#This Row],[Produto]],tItens[[#This Row],[Produto]])=1,1,0)</f>
        <v>0</v>
      </c>
    </row>
    <row r="4204" spans="1:16" x14ac:dyDescent="0.25">
      <c r="A4204" t="s">
        <v>1682</v>
      </c>
      <c r="B4204">
        <v>87</v>
      </c>
      <c r="C4204" t="s">
        <v>7059</v>
      </c>
      <c r="D4204" t="s">
        <v>277</v>
      </c>
      <c r="E4204" s="13">
        <v>11250</v>
      </c>
      <c r="F4204" s="12">
        <v>2.6</v>
      </c>
      <c r="G4204" t="str">
        <f>IFERROR(INDEX(tEditais[Órgão],MATCH(tItens[[#This Row],[Edital]],tEditais[Edital],0)),"")</f>
        <v>MINISTERIO DA SAUDE</v>
      </c>
      <c r="H4204" t="str">
        <f>IFERROR(INDEX(tEditais[UF],MATCH(tItens[[#This Row],[Edital]],tEditais[Edital],0)),"")</f>
        <v>MT</v>
      </c>
      <c r="I4204" s="11">
        <f>IFERROR(INDEX(tEditais[Encerramento],MATCH(tItens[[#This Row],[Edital]],tEditais[Edital],0)),"")</f>
        <v>46308.416666666664</v>
      </c>
      <c r="J4204" t="str">
        <f>IFERROR(INDEX(tProdutos[Classe],MATCH(tItens[[#This Row],[Produto]],tProdutos[Produto],0)),"produto não cadastrado")</f>
        <v>DISPUTADO</v>
      </c>
      <c r="K4204" s="12">
        <f>tItens[[#This Row],[Qtd]]*tItens[[#This Row],[Vlr unit]]</f>
        <v>29250</v>
      </c>
      <c r="L4204" s="6">
        <f>IFERROR(IF(INDEX(tProdutos[Desconto homologado],MATCH(tItens[[#This Row],[Produto]],tProdutos[Produto],0))="",DescontoPadrao,INDEX(tProdutos[Desconto homologado],MATCH(tItens[[#This Row],[Produto]],tProdutos[Produto],0))),DescontoPadrao)</f>
        <v>0.50460666194188497</v>
      </c>
      <c r="M4204" s="12">
        <f>tItens[[#This Row],[Valor]]*(1-tItens[[#This Row],[Desconto]])</f>
        <v>14490.255138199864</v>
      </c>
      <c r="N4204" t="str">
        <f>IFERROR(INDEX(tProdutos[Foco],MATCH(tItens[[#This Row],[Produto]],tProdutos[Produto],0)),"Não")</f>
        <v>Não</v>
      </c>
      <c r="O4204" t="str">
        <f>IFERROR(INDEX(tEditais[SRP],MATCH(tItens[[#This Row],[Edital]],tEditais[Edital],0)),"Não")</f>
        <v>Não</v>
      </c>
      <c r="P4204" s="4">
        <f>IF(COUNTIFS(INDEX(tItens[Edital],1):tItens[[#This Row],[Edital]],tItens[[#This Row],[Edital]],INDEX(tItens[Produto],1):tItens[[#This Row],[Produto]],tItens[[#This Row],[Produto]])=1,1,0)</f>
        <v>0</v>
      </c>
    </row>
    <row r="4205" spans="1:16" x14ac:dyDescent="0.25">
      <c r="A4205" t="s">
        <v>1682</v>
      </c>
      <c r="B4205">
        <v>88</v>
      </c>
      <c r="C4205" t="s">
        <v>7060</v>
      </c>
      <c r="D4205" t="s">
        <v>267</v>
      </c>
      <c r="E4205" s="13">
        <v>4775</v>
      </c>
      <c r="F4205" s="12">
        <v>12.34</v>
      </c>
      <c r="G4205" t="str">
        <f>IFERROR(INDEX(tEditais[Órgão],MATCH(tItens[[#This Row],[Edital]],tEditais[Edital],0)),"")</f>
        <v>MINISTERIO DA SAUDE</v>
      </c>
      <c r="H4205" t="str">
        <f>IFERROR(INDEX(tEditais[UF],MATCH(tItens[[#This Row],[Edital]],tEditais[Edital],0)),"")</f>
        <v>MT</v>
      </c>
      <c r="I4205" s="11">
        <f>IFERROR(INDEX(tEditais[Encerramento],MATCH(tItens[[#This Row],[Edital]],tEditais[Edital],0)),"")</f>
        <v>46308.416666666664</v>
      </c>
      <c r="J4205" t="str">
        <f>IFERROR(INDEX(tProdutos[Classe],MATCH(tItens[[#This Row],[Produto]],tProdutos[Produto],0)),"produto não cadastrado")</f>
        <v>FORA</v>
      </c>
      <c r="K4205" s="12">
        <f>tItens[[#This Row],[Qtd]]*tItens[[#This Row],[Vlr unit]]</f>
        <v>58923.5</v>
      </c>
      <c r="L4205" s="6">
        <f>IFERROR(IF(INDEX(tProdutos[Desconto homologado],MATCH(tItens[[#This Row],[Produto]],tProdutos[Produto],0))="",DescontoPadrao,INDEX(tProdutos[Desconto homologado],MATCH(tItens[[#This Row],[Produto]],tProdutos[Produto],0))),DescontoPadrao)</f>
        <v>0.19963672657401599</v>
      </c>
      <c r="M4205" s="12">
        <f>tItens[[#This Row],[Valor]]*(1-tItens[[#This Row],[Desconto]])</f>
        <v>47160.20534171597</v>
      </c>
      <c r="N4205" t="str">
        <f>IFERROR(INDEX(tProdutos[Foco],MATCH(tItens[[#This Row],[Produto]],tProdutos[Produto],0)),"Não")</f>
        <v>Não</v>
      </c>
      <c r="O4205" t="str">
        <f>IFERROR(INDEX(tEditais[SRP],MATCH(tItens[[#This Row],[Edital]],tEditais[Edital],0)),"Não")</f>
        <v>Não</v>
      </c>
      <c r="P4205" s="4">
        <f>IF(COUNTIFS(INDEX(tItens[Edital],1):tItens[[#This Row],[Edital]],tItens[[#This Row],[Edital]],INDEX(tItens[Produto],1):tItens[[#This Row],[Produto]],tItens[[#This Row],[Produto]])=1,1,0)</f>
        <v>1</v>
      </c>
    </row>
    <row r="4206" spans="1:16" x14ac:dyDescent="0.25">
      <c r="A4206" t="s">
        <v>1682</v>
      </c>
      <c r="B4206">
        <v>89</v>
      </c>
      <c r="C4206" t="s">
        <v>7061</v>
      </c>
      <c r="D4206" t="s">
        <v>343</v>
      </c>
      <c r="E4206" s="13">
        <v>50</v>
      </c>
      <c r="F4206" s="12">
        <v>1.1399999999999999</v>
      </c>
      <c r="G4206" t="str">
        <f>IFERROR(INDEX(tEditais[Órgão],MATCH(tItens[[#This Row],[Edital]],tEditais[Edital],0)),"")</f>
        <v>MINISTERIO DA SAUDE</v>
      </c>
      <c r="H4206" t="str">
        <f>IFERROR(INDEX(tEditais[UF],MATCH(tItens[[#This Row],[Edital]],tEditais[Edital],0)),"")</f>
        <v>MT</v>
      </c>
      <c r="I4206" s="11">
        <f>IFERROR(INDEX(tEditais[Encerramento],MATCH(tItens[[#This Row],[Edital]],tEditais[Edital],0)),"")</f>
        <v>46308.416666666664</v>
      </c>
      <c r="J4206" t="str">
        <f>IFERROR(INDEX(tProdutos[Classe],MATCH(tItens[[#This Row],[Produto]],tProdutos[Produto],0)),"produto não cadastrado")</f>
        <v>FORA</v>
      </c>
      <c r="K4206" s="12">
        <f>tItens[[#This Row],[Qtd]]*tItens[[#This Row],[Vlr unit]]</f>
        <v>56.999999999999993</v>
      </c>
      <c r="L4206" s="6">
        <f>IFERROR(IF(INDEX(tProdutos[Desconto homologado],MATCH(tItens[[#This Row],[Produto]],tProdutos[Produto],0))="",DescontoPadrao,INDEX(tProdutos[Desconto homologado],MATCH(tItens[[#This Row],[Produto]],tProdutos[Produto],0))),DescontoPadrao)</f>
        <v>0.35412234042553198</v>
      </c>
      <c r="M4206" s="12">
        <f>tItens[[#This Row],[Valor]]*(1-tItens[[#This Row],[Desconto]])</f>
        <v>36.815026595744669</v>
      </c>
      <c r="N4206" t="str">
        <f>IFERROR(INDEX(tProdutos[Foco],MATCH(tItens[[#This Row],[Produto]],tProdutos[Produto],0)),"Não")</f>
        <v>Não</v>
      </c>
      <c r="O4206" t="str">
        <f>IFERROR(INDEX(tEditais[SRP],MATCH(tItens[[#This Row],[Edital]],tEditais[Edital],0)),"Não")</f>
        <v>Não</v>
      </c>
      <c r="P4206" s="4">
        <f>IF(COUNTIFS(INDEX(tItens[Edital],1):tItens[[#This Row],[Edital]],tItens[[#This Row],[Edital]],INDEX(tItens[Produto],1):tItens[[#This Row],[Produto]],tItens[[#This Row],[Produto]])=1,1,0)</f>
        <v>1</v>
      </c>
    </row>
    <row r="4207" spans="1:16" x14ac:dyDescent="0.25">
      <c r="A4207" t="s">
        <v>1682</v>
      </c>
      <c r="B4207">
        <v>90</v>
      </c>
      <c r="C4207" t="s">
        <v>7062</v>
      </c>
      <c r="D4207" t="s">
        <v>343</v>
      </c>
      <c r="E4207" s="13">
        <v>75</v>
      </c>
      <c r="F4207" s="12">
        <v>1.18</v>
      </c>
      <c r="G4207" t="str">
        <f>IFERROR(INDEX(tEditais[Órgão],MATCH(tItens[[#This Row],[Edital]],tEditais[Edital],0)),"")</f>
        <v>MINISTERIO DA SAUDE</v>
      </c>
      <c r="H4207" t="str">
        <f>IFERROR(INDEX(tEditais[UF],MATCH(tItens[[#This Row],[Edital]],tEditais[Edital],0)),"")</f>
        <v>MT</v>
      </c>
      <c r="I4207" s="11">
        <f>IFERROR(INDEX(tEditais[Encerramento],MATCH(tItens[[#This Row],[Edital]],tEditais[Edital],0)),"")</f>
        <v>46308.416666666664</v>
      </c>
      <c r="J4207" t="str">
        <f>IFERROR(INDEX(tProdutos[Classe],MATCH(tItens[[#This Row],[Produto]],tProdutos[Produto],0)),"produto não cadastrado")</f>
        <v>FORA</v>
      </c>
      <c r="K4207" s="12">
        <f>tItens[[#This Row],[Qtd]]*tItens[[#This Row],[Vlr unit]]</f>
        <v>88.5</v>
      </c>
      <c r="L4207" s="6">
        <f>IFERROR(IF(INDEX(tProdutos[Desconto homologado],MATCH(tItens[[#This Row],[Produto]],tProdutos[Produto],0))="",DescontoPadrao,INDEX(tProdutos[Desconto homologado],MATCH(tItens[[#This Row],[Produto]],tProdutos[Produto],0))),DescontoPadrao)</f>
        <v>0.35412234042553198</v>
      </c>
      <c r="M4207" s="12">
        <f>tItens[[#This Row],[Valor]]*(1-tItens[[#This Row],[Desconto]])</f>
        <v>57.160172872340418</v>
      </c>
      <c r="N4207" t="str">
        <f>IFERROR(INDEX(tProdutos[Foco],MATCH(tItens[[#This Row],[Produto]],tProdutos[Produto],0)),"Não")</f>
        <v>Não</v>
      </c>
      <c r="O4207" t="str">
        <f>IFERROR(INDEX(tEditais[SRP],MATCH(tItens[[#This Row],[Edital]],tEditais[Edital],0)),"Não")</f>
        <v>Não</v>
      </c>
      <c r="P4207" s="4">
        <f>IF(COUNTIFS(INDEX(tItens[Edital],1):tItens[[#This Row],[Edital]],tItens[[#This Row],[Edital]],INDEX(tItens[Produto],1):tItens[[#This Row],[Produto]],tItens[[#This Row],[Produto]])=1,1,0)</f>
        <v>0</v>
      </c>
    </row>
    <row r="4208" spans="1:16" x14ac:dyDescent="0.25">
      <c r="A4208" t="s">
        <v>1682</v>
      </c>
      <c r="B4208">
        <v>91</v>
      </c>
      <c r="C4208" t="s">
        <v>7063</v>
      </c>
      <c r="D4208" t="s">
        <v>343</v>
      </c>
      <c r="E4208" s="13">
        <v>50</v>
      </c>
      <c r="F4208" s="12">
        <v>1.1599999999999999</v>
      </c>
      <c r="G4208" t="str">
        <f>IFERROR(INDEX(tEditais[Órgão],MATCH(tItens[[#This Row],[Edital]],tEditais[Edital],0)),"")</f>
        <v>MINISTERIO DA SAUDE</v>
      </c>
      <c r="H4208" t="str">
        <f>IFERROR(INDEX(tEditais[UF],MATCH(tItens[[#This Row],[Edital]],tEditais[Edital],0)),"")</f>
        <v>MT</v>
      </c>
      <c r="I4208" s="11">
        <f>IFERROR(INDEX(tEditais[Encerramento],MATCH(tItens[[#This Row],[Edital]],tEditais[Edital],0)),"")</f>
        <v>46308.416666666664</v>
      </c>
      <c r="J4208" t="str">
        <f>IFERROR(INDEX(tProdutos[Classe],MATCH(tItens[[#This Row],[Produto]],tProdutos[Produto],0)),"produto não cadastrado")</f>
        <v>FORA</v>
      </c>
      <c r="K4208" s="12">
        <f>tItens[[#This Row],[Qtd]]*tItens[[#This Row],[Vlr unit]]</f>
        <v>57.999999999999993</v>
      </c>
      <c r="L4208" s="6">
        <f>IFERROR(IF(INDEX(tProdutos[Desconto homologado],MATCH(tItens[[#This Row],[Produto]],tProdutos[Produto],0))="",DescontoPadrao,INDEX(tProdutos[Desconto homologado],MATCH(tItens[[#This Row],[Produto]],tProdutos[Produto],0))),DescontoPadrao)</f>
        <v>0.35412234042553198</v>
      </c>
      <c r="M4208" s="12">
        <f>tItens[[#This Row],[Valor]]*(1-tItens[[#This Row],[Desconto]])</f>
        <v>37.460904255319136</v>
      </c>
      <c r="N4208" t="str">
        <f>IFERROR(INDEX(tProdutos[Foco],MATCH(tItens[[#This Row],[Produto]],tProdutos[Produto],0)),"Não")</f>
        <v>Não</v>
      </c>
      <c r="O4208" t="str">
        <f>IFERROR(INDEX(tEditais[SRP],MATCH(tItens[[#This Row],[Edital]],tEditais[Edital],0)),"Não")</f>
        <v>Não</v>
      </c>
      <c r="P4208" s="4">
        <f>IF(COUNTIFS(INDEX(tItens[Edital],1):tItens[[#This Row],[Edital]],tItens[[#This Row],[Edital]],INDEX(tItens[Produto],1):tItens[[#This Row],[Produto]],tItens[[#This Row],[Produto]])=1,1,0)</f>
        <v>0</v>
      </c>
    </row>
    <row r="4209" spans="1:16" x14ac:dyDescent="0.25">
      <c r="A4209" t="s">
        <v>1682</v>
      </c>
      <c r="B4209">
        <v>92</v>
      </c>
      <c r="C4209" t="s">
        <v>7064</v>
      </c>
      <c r="D4209" t="s">
        <v>343</v>
      </c>
      <c r="E4209" s="13">
        <v>75</v>
      </c>
      <c r="F4209" s="12">
        <v>1.19</v>
      </c>
      <c r="G4209" t="str">
        <f>IFERROR(INDEX(tEditais[Órgão],MATCH(tItens[[#This Row],[Edital]],tEditais[Edital],0)),"")</f>
        <v>MINISTERIO DA SAUDE</v>
      </c>
      <c r="H4209" t="str">
        <f>IFERROR(INDEX(tEditais[UF],MATCH(tItens[[#This Row],[Edital]],tEditais[Edital],0)),"")</f>
        <v>MT</v>
      </c>
      <c r="I4209" s="11">
        <f>IFERROR(INDEX(tEditais[Encerramento],MATCH(tItens[[#This Row],[Edital]],tEditais[Edital],0)),"")</f>
        <v>46308.416666666664</v>
      </c>
      <c r="J4209" t="str">
        <f>IFERROR(INDEX(tProdutos[Classe],MATCH(tItens[[#This Row],[Produto]],tProdutos[Produto],0)),"produto não cadastrado")</f>
        <v>FORA</v>
      </c>
      <c r="K4209" s="12">
        <f>tItens[[#This Row],[Qtd]]*tItens[[#This Row],[Vlr unit]]</f>
        <v>89.25</v>
      </c>
      <c r="L4209" s="6">
        <f>IFERROR(IF(INDEX(tProdutos[Desconto homologado],MATCH(tItens[[#This Row],[Produto]],tProdutos[Produto],0))="",DescontoPadrao,INDEX(tProdutos[Desconto homologado],MATCH(tItens[[#This Row],[Produto]],tProdutos[Produto],0))),DescontoPadrao)</f>
        <v>0.35412234042553198</v>
      </c>
      <c r="M4209" s="12">
        <f>tItens[[#This Row],[Valor]]*(1-tItens[[#This Row],[Desconto]])</f>
        <v>57.644581117021268</v>
      </c>
      <c r="N4209" t="str">
        <f>IFERROR(INDEX(tProdutos[Foco],MATCH(tItens[[#This Row],[Produto]],tProdutos[Produto],0)),"Não")</f>
        <v>Não</v>
      </c>
      <c r="O4209" t="str">
        <f>IFERROR(INDEX(tEditais[SRP],MATCH(tItens[[#This Row],[Edital]],tEditais[Edital],0)),"Não")</f>
        <v>Não</v>
      </c>
      <c r="P4209" s="4">
        <f>IF(COUNTIFS(INDEX(tItens[Edital],1):tItens[[#This Row],[Edital]],tItens[[#This Row],[Edital]],INDEX(tItens[Produto],1):tItens[[#This Row],[Produto]],tItens[[#This Row],[Produto]])=1,1,0)</f>
        <v>0</v>
      </c>
    </row>
    <row r="4210" spans="1:16" x14ac:dyDescent="0.25">
      <c r="A4210" t="s">
        <v>1682</v>
      </c>
      <c r="B4210">
        <v>98</v>
      </c>
      <c r="C4210" t="s">
        <v>7065</v>
      </c>
      <c r="D4210" t="s">
        <v>403</v>
      </c>
      <c r="E4210" s="13">
        <v>450</v>
      </c>
      <c r="F4210" s="12">
        <v>1.59</v>
      </c>
      <c r="G4210" t="str">
        <f>IFERROR(INDEX(tEditais[Órgão],MATCH(tItens[[#This Row],[Edital]],tEditais[Edital],0)),"")</f>
        <v>MINISTERIO DA SAUDE</v>
      </c>
      <c r="H4210" t="str">
        <f>IFERROR(INDEX(tEditais[UF],MATCH(tItens[[#This Row],[Edital]],tEditais[Edital],0)),"")</f>
        <v>MT</v>
      </c>
      <c r="I4210" s="11">
        <f>IFERROR(INDEX(tEditais[Encerramento],MATCH(tItens[[#This Row],[Edital]],tEditais[Edital],0)),"")</f>
        <v>46308.416666666664</v>
      </c>
      <c r="J4210" t="str">
        <f>IFERROR(INDEX(tProdutos[Classe],MATCH(tItens[[#This Row],[Produto]],tProdutos[Produto],0)),"produto não cadastrado")</f>
        <v>FORA</v>
      </c>
      <c r="K4210" s="12">
        <f>tItens[[#This Row],[Qtd]]*tItens[[#This Row],[Vlr unit]]</f>
        <v>715.5</v>
      </c>
      <c r="L4210" s="6">
        <f>IFERROR(IF(INDEX(tProdutos[Desconto homologado],MATCH(tItens[[#This Row],[Produto]],tProdutos[Produto],0))="",DescontoPadrao,INDEX(tProdutos[Desconto homologado],MATCH(tItens[[#This Row],[Produto]],tProdutos[Produto],0))),DescontoPadrao)</f>
        <v>0.35326086956521702</v>
      </c>
      <c r="M4210" s="12">
        <f>tItens[[#This Row],[Valor]]*(1-tItens[[#This Row],[Desconto]])</f>
        <v>462.74184782608717</v>
      </c>
      <c r="N4210" t="str">
        <f>IFERROR(INDEX(tProdutos[Foco],MATCH(tItens[[#This Row],[Produto]],tProdutos[Produto],0)),"Não")</f>
        <v>Não</v>
      </c>
      <c r="O4210" t="str">
        <f>IFERROR(INDEX(tEditais[SRP],MATCH(tItens[[#This Row],[Edital]],tEditais[Edital],0)),"Não")</f>
        <v>Não</v>
      </c>
      <c r="P4210" s="4">
        <f>IF(COUNTIFS(INDEX(tItens[Edital],1):tItens[[#This Row],[Edital]],tItens[[#This Row],[Edital]],INDEX(tItens[Produto],1):tItens[[#This Row],[Produto]],tItens[[#This Row],[Produto]])=1,1,0)</f>
        <v>1</v>
      </c>
    </row>
    <row r="4211" spans="1:16" x14ac:dyDescent="0.25">
      <c r="A4211" t="s">
        <v>1682</v>
      </c>
      <c r="B4211">
        <v>110</v>
      </c>
      <c r="C4211" t="s">
        <v>7066</v>
      </c>
      <c r="D4211" t="s">
        <v>80</v>
      </c>
      <c r="E4211" s="13">
        <v>113</v>
      </c>
      <c r="F4211" s="12">
        <v>0.45</v>
      </c>
      <c r="G4211" t="str">
        <f>IFERROR(INDEX(tEditais[Órgão],MATCH(tItens[[#This Row],[Edital]],tEditais[Edital],0)),"")</f>
        <v>MINISTERIO DA SAUDE</v>
      </c>
      <c r="H4211" t="str">
        <f>IFERROR(INDEX(tEditais[UF],MATCH(tItens[[#This Row],[Edital]],tEditais[Edital],0)),"")</f>
        <v>MT</v>
      </c>
      <c r="I4211" s="11">
        <f>IFERROR(INDEX(tEditais[Encerramento],MATCH(tItens[[#This Row],[Edital]],tEditais[Edital],0)),"")</f>
        <v>46308.416666666664</v>
      </c>
      <c r="J4211" t="str">
        <f>IFERROR(INDEX(tProdutos[Classe],MATCH(tItens[[#This Row],[Produto]],tProdutos[Produto],0)),"produto não cadastrado")</f>
        <v>NÚCLEO</v>
      </c>
      <c r="K4211" s="12">
        <f>tItens[[#This Row],[Qtd]]*tItens[[#This Row],[Vlr unit]]</f>
        <v>50.85</v>
      </c>
      <c r="L4211" s="6">
        <f>IFERROR(IF(INDEX(tProdutos[Desconto homologado],MATCH(tItens[[#This Row],[Produto]],tProdutos[Produto],0))="",DescontoPadrao,INDEX(tProdutos[Desconto homologado],MATCH(tItens[[#This Row],[Produto]],tProdutos[Produto],0))),DescontoPadrao)</f>
        <v>0.33</v>
      </c>
      <c r="M4211" s="12">
        <f>tItens[[#This Row],[Valor]]*(1-tItens[[#This Row],[Desconto]])</f>
        <v>34.069499999999998</v>
      </c>
      <c r="N4211" t="str">
        <f>IFERROR(INDEX(tProdutos[Foco],MATCH(tItens[[#This Row],[Produto]],tProdutos[Produto],0)),"Não")</f>
        <v>Sim</v>
      </c>
      <c r="O4211" t="str">
        <f>IFERROR(INDEX(tEditais[SRP],MATCH(tItens[[#This Row],[Edital]],tEditais[Edital],0)),"Não")</f>
        <v>Não</v>
      </c>
      <c r="P4211" s="4">
        <f>IF(COUNTIFS(INDEX(tItens[Edital],1):tItens[[#This Row],[Edital]],tItens[[#This Row],[Edital]],INDEX(tItens[Produto],1):tItens[[#This Row],[Produto]],tItens[[#This Row],[Produto]])=1,1,0)</f>
        <v>1</v>
      </c>
    </row>
    <row r="4212" spans="1:16" x14ac:dyDescent="0.25">
      <c r="A4212" t="s">
        <v>1682</v>
      </c>
      <c r="B4212">
        <v>113</v>
      </c>
      <c r="C4212" t="s">
        <v>7067</v>
      </c>
      <c r="D4212" t="s">
        <v>407</v>
      </c>
      <c r="E4212" s="13">
        <v>50000</v>
      </c>
      <c r="F4212" s="12">
        <v>0.49</v>
      </c>
      <c r="G4212" t="str">
        <f>IFERROR(INDEX(tEditais[Órgão],MATCH(tItens[[#This Row],[Edital]],tEditais[Edital],0)),"")</f>
        <v>MINISTERIO DA SAUDE</v>
      </c>
      <c r="H4212" t="str">
        <f>IFERROR(INDEX(tEditais[UF],MATCH(tItens[[#This Row],[Edital]],tEditais[Edital],0)),"")</f>
        <v>MT</v>
      </c>
      <c r="I4212" s="11">
        <f>IFERROR(INDEX(tEditais[Encerramento],MATCH(tItens[[#This Row],[Edital]],tEditais[Edital],0)),"")</f>
        <v>46308.416666666664</v>
      </c>
      <c r="J4212" t="str">
        <f>IFERROR(INDEX(tProdutos[Classe],MATCH(tItens[[#This Row],[Produto]],tProdutos[Produto],0)),"produto não cadastrado")</f>
        <v>FORA</v>
      </c>
      <c r="K4212" s="12">
        <f>tItens[[#This Row],[Qtd]]*tItens[[#This Row],[Vlr unit]]</f>
        <v>24500</v>
      </c>
      <c r="L4212" s="6">
        <f>IFERROR(IF(INDEX(tProdutos[Desconto homologado],MATCH(tItens[[#This Row],[Produto]],tProdutos[Produto],0))="",DescontoPadrao,INDEX(tProdutos[Desconto homologado],MATCH(tItens[[#This Row],[Produto]],tProdutos[Produto],0))),DescontoPadrao)</f>
        <v>0.31311274509803899</v>
      </c>
      <c r="M4212" s="12">
        <f>tItens[[#This Row],[Valor]]*(1-tItens[[#This Row],[Desconto]])</f>
        <v>16828.737745098046</v>
      </c>
      <c r="N4212" t="str">
        <f>IFERROR(INDEX(tProdutos[Foco],MATCH(tItens[[#This Row],[Produto]],tProdutos[Produto],0)),"Não")</f>
        <v>Não</v>
      </c>
      <c r="O4212" t="str">
        <f>IFERROR(INDEX(tEditais[SRP],MATCH(tItens[[#This Row],[Edital]],tEditais[Edital],0)),"Não")</f>
        <v>Não</v>
      </c>
      <c r="P4212" s="4">
        <f>IF(COUNTIFS(INDEX(tItens[Edital],1):tItens[[#This Row],[Edital]],tItens[[#This Row],[Edital]],INDEX(tItens[Produto],1):tItens[[#This Row],[Produto]],tItens[[#This Row],[Produto]])=1,1,0)</f>
        <v>1</v>
      </c>
    </row>
    <row r="4213" spans="1:16" x14ac:dyDescent="0.25">
      <c r="A4213" t="s">
        <v>1682</v>
      </c>
      <c r="B4213">
        <v>116</v>
      </c>
      <c r="C4213" t="s">
        <v>7068</v>
      </c>
      <c r="D4213" t="s">
        <v>407</v>
      </c>
      <c r="E4213" s="13">
        <v>36000</v>
      </c>
      <c r="F4213" s="12">
        <v>0.31</v>
      </c>
      <c r="G4213" t="str">
        <f>IFERROR(INDEX(tEditais[Órgão],MATCH(tItens[[#This Row],[Edital]],tEditais[Edital],0)),"")</f>
        <v>MINISTERIO DA SAUDE</v>
      </c>
      <c r="H4213" t="str">
        <f>IFERROR(INDEX(tEditais[UF],MATCH(tItens[[#This Row],[Edital]],tEditais[Edital],0)),"")</f>
        <v>MT</v>
      </c>
      <c r="I4213" s="11">
        <f>IFERROR(INDEX(tEditais[Encerramento],MATCH(tItens[[#This Row],[Edital]],tEditais[Edital],0)),"")</f>
        <v>46308.416666666664</v>
      </c>
      <c r="J4213" t="str">
        <f>IFERROR(INDEX(tProdutos[Classe],MATCH(tItens[[#This Row],[Produto]],tProdutos[Produto],0)),"produto não cadastrado")</f>
        <v>FORA</v>
      </c>
      <c r="K4213" s="12">
        <f>tItens[[#This Row],[Qtd]]*tItens[[#This Row],[Vlr unit]]</f>
        <v>11160</v>
      </c>
      <c r="L4213" s="6">
        <f>IFERROR(IF(INDEX(tProdutos[Desconto homologado],MATCH(tItens[[#This Row],[Produto]],tProdutos[Produto],0))="",DescontoPadrao,INDEX(tProdutos[Desconto homologado],MATCH(tItens[[#This Row],[Produto]],tProdutos[Produto],0))),DescontoPadrao)</f>
        <v>0.31311274509803899</v>
      </c>
      <c r="M4213" s="12">
        <f>tItens[[#This Row],[Valor]]*(1-tItens[[#This Row],[Desconto]])</f>
        <v>7665.6617647058847</v>
      </c>
      <c r="N4213" t="str">
        <f>IFERROR(INDEX(tProdutos[Foco],MATCH(tItens[[#This Row],[Produto]],tProdutos[Produto],0)),"Não")</f>
        <v>Não</v>
      </c>
      <c r="O4213" t="str">
        <f>IFERROR(INDEX(tEditais[SRP],MATCH(tItens[[#This Row],[Edital]],tEditais[Edital],0)),"Não")</f>
        <v>Não</v>
      </c>
      <c r="P4213" s="4">
        <f>IF(COUNTIFS(INDEX(tItens[Edital],1):tItens[[#This Row],[Edital]],tItens[[#This Row],[Edital]],INDEX(tItens[Produto],1):tItens[[#This Row],[Produto]],tItens[[#This Row],[Produto]])=1,1,0)</f>
        <v>0</v>
      </c>
    </row>
    <row r="4214" spans="1:16" x14ac:dyDescent="0.25">
      <c r="A4214" t="s">
        <v>1682</v>
      </c>
      <c r="B4214">
        <v>117</v>
      </c>
      <c r="C4214" t="s">
        <v>7069</v>
      </c>
      <c r="D4214" t="s">
        <v>407</v>
      </c>
      <c r="E4214" s="13">
        <v>43100</v>
      </c>
      <c r="F4214" s="12">
        <v>0.34</v>
      </c>
      <c r="G4214" t="str">
        <f>IFERROR(INDEX(tEditais[Órgão],MATCH(tItens[[#This Row],[Edital]],tEditais[Edital],0)),"")</f>
        <v>MINISTERIO DA SAUDE</v>
      </c>
      <c r="H4214" t="str">
        <f>IFERROR(INDEX(tEditais[UF],MATCH(tItens[[#This Row],[Edital]],tEditais[Edital],0)),"")</f>
        <v>MT</v>
      </c>
      <c r="I4214" s="11">
        <f>IFERROR(INDEX(tEditais[Encerramento],MATCH(tItens[[#This Row],[Edital]],tEditais[Edital],0)),"")</f>
        <v>46308.416666666664</v>
      </c>
      <c r="J4214" t="str">
        <f>IFERROR(INDEX(tProdutos[Classe],MATCH(tItens[[#This Row],[Produto]],tProdutos[Produto],0)),"produto não cadastrado")</f>
        <v>FORA</v>
      </c>
      <c r="K4214" s="12">
        <f>tItens[[#This Row],[Qtd]]*tItens[[#This Row],[Vlr unit]]</f>
        <v>14654.000000000002</v>
      </c>
      <c r="L4214" s="6">
        <f>IFERROR(IF(INDEX(tProdutos[Desconto homologado],MATCH(tItens[[#This Row],[Produto]],tProdutos[Produto],0))="",DescontoPadrao,INDEX(tProdutos[Desconto homologado],MATCH(tItens[[#This Row],[Produto]],tProdutos[Produto],0))),DescontoPadrao)</f>
        <v>0.31311274509803899</v>
      </c>
      <c r="M4214" s="12">
        <f>tItens[[#This Row],[Valor]]*(1-tItens[[#This Row],[Desconto]])</f>
        <v>10065.645833333338</v>
      </c>
      <c r="N4214" t="str">
        <f>IFERROR(INDEX(tProdutos[Foco],MATCH(tItens[[#This Row],[Produto]],tProdutos[Produto],0)),"Não")</f>
        <v>Não</v>
      </c>
      <c r="O4214" t="str">
        <f>IFERROR(INDEX(tEditais[SRP],MATCH(tItens[[#This Row],[Edital]],tEditais[Edital],0)),"Não")</f>
        <v>Não</v>
      </c>
      <c r="P4214" s="4">
        <f>IF(COUNTIFS(INDEX(tItens[Edital],1):tItens[[#This Row],[Edital]],tItens[[#This Row],[Edital]],INDEX(tItens[Produto],1):tItens[[#This Row],[Produto]],tItens[[#This Row],[Produto]])=1,1,0)</f>
        <v>0</v>
      </c>
    </row>
    <row r="4215" spans="1:16" x14ac:dyDescent="0.25">
      <c r="A4215" t="s">
        <v>1682</v>
      </c>
      <c r="B4215">
        <v>140</v>
      </c>
      <c r="C4215" t="s">
        <v>7070</v>
      </c>
      <c r="D4215" t="s">
        <v>277</v>
      </c>
      <c r="E4215" s="13">
        <v>78</v>
      </c>
      <c r="F4215" s="12">
        <v>98.8</v>
      </c>
      <c r="G4215" t="str">
        <f>IFERROR(INDEX(tEditais[Órgão],MATCH(tItens[[#This Row],[Edital]],tEditais[Edital],0)),"")</f>
        <v>MINISTERIO DA SAUDE</v>
      </c>
      <c r="H4215" t="str">
        <f>IFERROR(INDEX(tEditais[UF],MATCH(tItens[[#This Row],[Edital]],tEditais[Edital],0)),"")</f>
        <v>MT</v>
      </c>
      <c r="I4215" s="11">
        <f>IFERROR(INDEX(tEditais[Encerramento],MATCH(tItens[[#This Row],[Edital]],tEditais[Edital],0)),"")</f>
        <v>46308.416666666664</v>
      </c>
      <c r="J4215" t="str">
        <f>IFERROR(INDEX(tProdutos[Classe],MATCH(tItens[[#This Row],[Produto]],tProdutos[Produto],0)),"produto não cadastrado")</f>
        <v>DISPUTADO</v>
      </c>
      <c r="K4215" s="12">
        <f>tItens[[#This Row],[Qtd]]*tItens[[#This Row],[Vlr unit]]</f>
        <v>7706.4</v>
      </c>
      <c r="L4215" s="6">
        <f>IFERROR(IF(INDEX(tProdutos[Desconto homologado],MATCH(tItens[[#This Row],[Produto]],tProdutos[Produto],0))="",DescontoPadrao,INDEX(tProdutos[Desconto homologado],MATCH(tItens[[#This Row],[Produto]],tProdutos[Produto],0))),DescontoPadrao)</f>
        <v>0.50460666194188497</v>
      </c>
      <c r="M4215" s="12">
        <f>tItens[[#This Row],[Valor]]*(1-tItens[[#This Row],[Desconto]])</f>
        <v>3817.6992204110575</v>
      </c>
      <c r="N4215" t="str">
        <f>IFERROR(INDEX(tProdutos[Foco],MATCH(tItens[[#This Row],[Produto]],tProdutos[Produto],0)),"Não")</f>
        <v>Não</v>
      </c>
      <c r="O4215" t="str">
        <f>IFERROR(INDEX(tEditais[SRP],MATCH(tItens[[#This Row],[Edital]],tEditais[Edital],0)),"Não")</f>
        <v>Não</v>
      </c>
      <c r="P4215" s="4">
        <f>IF(COUNTIFS(INDEX(tItens[Edital],1):tItens[[#This Row],[Edital]],tItens[[#This Row],[Edital]],INDEX(tItens[Produto],1):tItens[[#This Row],[Produto]],tItens[[#This Row],[Produto]])=1,1,0)</f>
        <v>0</v>
      </c>
    </row>
    <row r="4216" spans="1:16" x14ac:dyDescent="0.25">
      <c r="A4216" t="s">
        <v>1687</v>
      </c>
      <c r="B4216">
        <v>1</v>
      </c>
      <c r="C4216" t="s">
        <v>7071</v>
      </c>
      <c r="D4216" t="s">
        <v>339</v>
      </c>
      <c r="E4216" s="13">
        <v>1200</v>
      </c>
      <c r="F4216" s="12">
        <v>1.33</v>
      </c>
      <c r="G4216" t="str">
        <f>IFERROR(INDEX(tEditais[Órgão],MATCH(tItens[[#This Row],[Edital]],tEditais[Edital],0)),"")</f>
        <v>MUNICIPIO DE SAPEZAL</v>
      </c>
      <c r="H4216" t="str">
        <f>IFERROR(INDEX(tEditais[UF],MATCH(tItens[[#This Row],[Edital]],tEditais[Edital],0)),"")</f>
        <v>MT</v>
      </c>
      <c r="I4216" s="11">
        <f>IFERROR(INDEX(tEditais[Encerramento],MATCH(tItens[[#This Row],[Edital]],tEditais[Edital],0)),"")</f>
        <v>46309.374305555553</v>
      </c>
      <c r="J4216" t="str">
        <f>IFERROR(INDEX(tProdutos[Classe],MATCH(tItens[[#This Row],[Produto]],tProdutos[Produto],0)),"produto não cadastrado")</f>
        <v>FORA</v>
      </c>
      <c r="K4216" s="12">
        <f>tItens[[#This Row],[Qtd]]*tItens[[#This Row],[Vlr unit]]</f>
        <v>1596</v>
      </c>
      <c r="L4216" s="6">
        <f>IFERROR(IF(INDEX(tProdutos[Desconto homologado],MATCH(tItens[[#This Row],[Produto]],tProdutos[Produto],0))="",DescontoPadrao,INDEX(tProdutos[Desconto homologado],MATCH(tItens[[#This Row],[Produto]],tProdutos[Produto],0))),DescontoPadrao)</f>
        <v>0.35388629091804102</v>
      </c>
      <c r="M4216" s="12">
        <f>tItens[[#This Row],[Valor]]*(1-tItens[[#This Row],[Desconto]])</f>
        <v>1031.1974796948066</v>
      </c>
      <c r="N4216" t="str">
        <f>IFERROR(INDEX(tProdutos[Foco],MATCH(tItens[[#This Row],[Produto]],tProdutos[Produto],0)),"Não")</f>
        <v>Não</v>
      </c>
      <c r="O4216" t="str">
        <f>IFERROR(INDEX(tEditais[SRP],MATCH(tItens[[#This Row],[Edital]],tEditais[Edital],0)),"Não")</f>
        <v>Não</v>
      </c>
      <c r="P4216" s="4">
        <f>IF(COUNTIFS(INDEX(tItens[Edital],1):tItens[[#This Row],[Edital]],tItens[[#This Row],[Edital]],INDEX(tItens[Produto],1):tItens[[#This Row],[Produto]],tItens[[#This Row],[Produto]])=1,1,0)</f>
        <v>1</v>
      </c>
    </row>
    <row r="4217" spans="1:16" x14ac:dyDescent="0.25">
      <c r="A4217" t="s">
        <v>1687</v>
      </c>
      <c r="B4217">
        <v>2</v>
      </c>
      <c r="C4217" t="s">
        <v>7072</v>
      </c>
      <c r="D4217" t="s">
        <v>339</v>
      </c>
      <c r="E4217" s="13">
        <v>6500</v>
      </c>
      <c r="F4217" s="12">
        <v>1.54</v>
      </c>
      <c r="G4217" t="str">
        <f>IFERROR(INDEX(tEditais[Órgão],MATCH(tItens[[#This Row],[Edital]],tEditais[Edital],0)),"")</f>
        <v>MUNICIPIO DE SAPEZAL</v>
      </c>
      <c r="H4217" t="str">
        <f>IFERROR(INDEX(tEditais[UF],MATCH(tItens[[#This Row],[Edital]],tEditais[Edital],0)),"")</f>
        <v>MT</v>
      </c>
      <c r="I4217" s="11">
        <f>IFERROR(INDEX(tEditais[Encerramento],MATCH(tItens[[#This Row],[Edital]],tEditais[Edital],0)),"")</f>
        <v>46309.374305555553</v>
      </c>
      <c r="J4217" t="str">
        <f>IFERROR(INDEX(tProdutos[Classe],MATCH(tItens[[#This Row],[Produto]],tProdutos[Produto],0)),"produto não cadastrado")</f>
        <v>FORA</v>
      </c>
      <c r="K4217" s="12">
        <f>tItens[[#This Row],[Qtd]]*tItens[[#This Row],[Vlr unit]]</f>
        <v>10010</v>
      </c>
      <c r="L4217" s="6">
        <f>IFERROR(IF(INDEX(tProdutos[Desconto homologado],MATCH(tItens[[#This Row],[Produto]],tProdutos[Produto],0))="",DescontoPadrao,INDEX(tProdutos[Desconto homologado],MATCH(tItens[[#This Row],[Produto]],tProdutos[Produto],0))),DescontoPadrao)</f>
        <v>0.35388629091804102</v>
      </c>
      <c r="M4217" s="12">
        <f>tItens[[#This Row],[Valor]]*(1-tItens[[#This Row],[Desconto]])</f>
        <v>6467.5982279104092</v>
      </c>
      <c r="N4217" t="str">
        <f>IFERROR(INDEX(tProdutos[Foco],MATCH(tItens[[#This Row],[Produto]],tProdutos[Produto],0)),"Não")</f>
        <v>Não</v>
      </c>
      <c r="O4217" t="str">
        <f>IFERROR(INDEX(tEditais[SRP],MATCH(tItens[[#This Row],[Edital]],tEditais[Edital],0)),"Não")</f>
        <v>Não</v>
      </c>
      <c r="P4217" s="4">
        <f>IF(COUNTIFS(INDEX(tItens[Edital],1):tItens[[#This Row],[Edital]],tItens[[#This Row],[Edital]],INDEX(tItens[Produto],1):tItens[[#This Row],[Produto]],tItens[[#This Row],[Produto]])=1,1,0)</f>
        <v>0</v>
      </c>
    </row>
    <row r="4218" spans="1:16" x14ac:dyDescent="0.25">
      <c r="A4218" t="s">
        <v>1687</v>
      </c>
      <c r="B4218">
        <v>3</v>
      </c>
      <c r="C4218" t="s">
        <v>7073</v>
      </c>
      <c r="D4218" t="s">
        <v>339</v>
      </c>
      <c r="E4218" s="13">
        <v>10000</v>
      </c>
      <c r="F4218" s="12">
        <v>1.75</v>
      </c>
      <c r="G4218" t="str">
        <f>IFERROR(INDEX(tEditais[Órgão],MATCH(tItens[[#This Row],[Edital]],tEditais[Edital],0)),"")</f>
        <v>MUNICIPIO DE SAPEZAL</v>
      </c>
      <c r="H4218" t="str">
        <f>IFERROR(INDEX(tEditais[UF],MATCH(tItens[[#This Row],[Edital]],tEditais[Edital],0)),"")</f>
        <v>MT</v>
      </c>
      <c r="I4218" s="11">
        <f>IFERROR(INDEX(tEditais[Encerramento],MATCH(tItens[[#This Row],[Edital]],tEditais[Edital],0)),"")</f>
        <v>46309.374305555553</v>
      </c>
      <c r="J4218" t="str">
        <f>IFERROR(INDEX(tProdutos[Classe],MATCH(tItens[[#This Row],[Produto]],tProdutos[Produto],0)),"produto não cadastrado")</f>
        <v>FORA</v>
      </c>
      <c r="K4218" s="12">
        <f>tItens[[#This Row],[Qtd]]*tItens[[#This Row],[Vlr unit]]</f>
        <v>17500</v>
      </c>
      <c r="L4218" s="6">
        <f>IFERROR(IF(INDEX(tProdutos[Desconto homologado],MATCH(tItens[[#This Row],[Produto]],tProdutos[Produto],0))="",DescontoPadrao,INDEX(tProdutos[Desconto homologado],MATCH(tItens[[#This Row],[Produto]],tProdutos[Produto],0))),DescontoPadrao)</f>
        <v>0.35388629091804102</v>
      </c>
      <c r="M4218" s="12">
        <f>tItens[[#This Row],[Valor]]*(1-tItens[[#This Row],[Desconto]])</f>
        <v>11306.989908934282</v>
      </c>
      <c r="N4218" t="str">
        <f>IFERROR(INDEX(tProdutos[Foco],MATCH(tItens[[#This Row],[Produto]],tProdutos[Produto],0)),"Não")</f>
        <v>Não</v>
      </c>
      <c r="O4218" t="str">
        <f>IFERROR(INDEX(tEditais[SRP],MATCH(tItens[[#This Row],[Edital]],tEditais[Edital],0)),"Não")</f>
        <v>Não</v>
      </c>
      <c r="P4218" s="4">
        <f>IF(COUNTIFS(INDEX(tItens[Edital],1):tItens[[#This Row],[Edital]],tItens[[#This Row],[Edital]],INDEX(tItens[Produto],1):tItens[[#This Row],[Produto]],tItens[[#This Row],[Produto]])=1,1,0)</f>
        <v>0</v>
      </c>
    </row>
    <row r="4219" spans="1:16" x14ac:dyDescent="0.25">
      <c r="A4219" t="s">
        <v>1687</v>
      </c>
      <c r="B4219">
        <v>4</v>
      </c>
      <c r="C4219" t="s">
        <v>7074</v>
      </c>
      <c r="D4219" t="s">
        <v>339</v>
      </c>
      <c r="E4219" s="13">
        <v>9000</v>
      </c>
      <c r="F4219" s="12">
        <v>1.93</v>
      </c>
      <c r="G4219" t="str">
        <f>IFERROR(INDEX(tEditais[Órgão],MATCH(tItens[[#This Row],[Edital]],tEditais[Edital],0)),"")</f>
        <v>MUNICIPIO DE SAPEZAL</v>
      </c>
      <c r="H4219" t="str">
        <f>IFERROR(INDEX(tEditais[UF],MATCH(tItens[[#This Row],[Edital]],tEditais[Edital],0)),"")</f>
        <v>MT</v>
      </c>
      <c r="I4219" s="11">
        <f>IFERROR(INDEX(tEditais[Encerramento],MATCH(tItens[[#This Row],[Edital]],tEditais[Edital],0)),"")</f>
        <v>46309.374305555553</v>
      </c>
      <c r="J4219" t="str">
        <f>IFERROR(INDEX(tProdutos[Classe],MATCH(tItens[[#This Row],[Produto]],tProdutos[Produto],0)),"produto não cadastrado")</f>
        <v>FORA</v>
      </c>
      <c r="K4219" s="12">
        <f>tItens[[#This Row],[Qtd]]*tItens[[#This Row],[Vlr unit]]</f>
        <v>17370</v>
      </c>
      <c r="L4219" s="6">
        <f>IFERROR(IF(INDEX(tProdutos[Desconto homologado],MATCH(tItens[[#This Row],[Produto]],tProdutos[Produto],0))="",DescontoPadrao,INDEX(tProdutos[Desconto homologado],MATCH(tItens[[#This Row],[Produto]],tProdutos[Produto],0))),DescontoPadrao)</f>
        <v>0.35388629091804102</v>
      </c>
      <c r="M4219" s="12">
        <f>tItens[[#This Row],[Valor]]*(1-tItens[[#This Row],[Desconto]])</f>
        <v>11222.995126753627</v>
      </c>
      <c r="N4219" t="str">
        <f>IFERROR(INDEX(tProdutos[Foco],MATCH(tItens[[#This Row],[Produto]],tProdutos[Produto],0)),"Não")</f>
        <v>Não</v>
      </c>
      <c r="O4219" t="str">
        <f>IFERROR(INDEX(tEditais[SRP],MATCH(tItens[[#This Row],[Edital]],tEditais[Edital],0)),"Não")</f>
        <v>Não</v>
      </c>
      <c r="P4219" s="4">
        <f>IF(COUNTIFS(INDEX(tItens[Edital],1):tItens[[#This Row],[Edital]],tItens[[#This Row],[Edital]],INDEX(tItens[Produto],1):tItens[[#This Row],[Produto]],tItens[[#This Row],[Produto]])=1,1,0)</f>
        <v>0</v>
      </c>
    </row>
    <row r="4220" spans="1:16" x14ac:dyDescent="0.25">
      <c r="A4220" t="s">
        <v>1687</v>
      </c>
      <c r="B4220">
        <v>5</v>
      </c>
      <c r="C4220" t="s">
        <v>7075</v>
      </c>
      <c r="D4220" t="s">
        <v>339</v>
      </c>
      <c r="E4220" s="13">
        <v>12200</v>
      </c>
      <c r="F4220" s="12">
        <v>2.27</v>
      </c>
      <c r="G4220" t="str">
        <f>IFERROR(INDEX(tEditais[Órgão],MATCH(tItens[[#This Row],[Edital]],tEditais[Edital],0)),"")</f>
        <v>MUNICIPIO DE SAPEZAL</v>
      </c>
      <c r="H4220" t="str">
        <f>IFERROR(INDEX(tEditais[UF],MATCH(tItens[[#This Row],[Edital]],tEditais[Edital],0)),"")</f>
        <v>MT</v>
      </c>
      <c r="I4220" s="11">
        <f>IFERROR(INDEX(tEditais[Encerramento],MATCH(tItens[[#This Row],[Edital]],tEditais[Edital],0)),"")</f>
        <v>46309.374305555553</v>
      </c>
      <c r="J4220" t="str">
        <f>IFERROR(INDEX(tProdutos[Classe],MATCH(tItens[[#This Row],[Produto]],tProdutos[Produto],0)),"produto não cadastrado")</f>
        <v>FORA</v>
      </c>
      <c r="K4220" s="12">
        <f>tItens[[#This Row],[Qtd]]*tItens[[#This Row],[Vlr unit]]</f>
        <v>27694</v>
      </c>
      <c r="L4220" s="6">
        <f>IFERROR(IF(INDEX(tProdutos[Desconto homologado],MATCH(tItens[[#This Row],[Produto]],tProdutos[Produto],0))="",DescontoPadrao,INDEX(tProdutos[Desconto homologado],MATCH(tItens[[#This Row],[Produto]],tProdutos[Produto],0))),DescontoPadrao)</f>
        <v>0.35388629091804102</v>
      </c>
      <c r="M4220" s="12">
        <f>tItens[[#This Row],[Valor]]*(1-tItens[[#This Row],[Desconto]])</f>
        <v>17893.473059315773</v>
      </c>
      <c r="N4220" t="str">
        <f>IFERROR(INDEX(tProdutos[Foco],MATCH(tItens[[#This Row],[Produto]],tProdutos[Produto],0)),"Não")</f>
        <v>Não</v>
      </c>
      <c r="O4220" t="str">
        <f>IFERROR(INDEX(tEditais[SRP],MATCH(tItens[[#This Row],[Edital]],tEditais[Edital],0)),"Não")</f>
        <v>Não</v>
      </c>
      <c r="P4220" s="4">
        <f>IF(COUNTIFS(INDEX(tItens[Edital],1):tItens[[#This Row],[Edital]],tItens[[#This Row],[Edital]],INDEX(tItens[Produto],1):tItens[[#This Row],[Produto]],tItens[[#This Row],[Produto]])=1,1,0)</f>
        <v>0</v>
      </c>
    </row>
    <row r="4221" spans="1:16" x14ac:dyDescent="0.25">
      <c r="A4221" t="s">
        <v>1691</v>
      </c>
      <c r="B4221">
        <v>531</v>
      </c>
      <c r="C4221" t="s">
        <v>7076</v>
      </c>
      <c r="D4221" t="s">
        <v>154</v>
      </c>
      <c r="E4221" s="13">
        <v>300</v>
      </c>
      <c r="F4221" s="12">
        <v>21.91</v>
      </c>
      <c r="G4221" t="str">
        <f>IFERROR(INDEX(tEditais[Órgão],MATCH(tItens[[#This Row],[Edital]],tEditais[Edital],0)),"")</f>
        <v>MUNICIPIO DE JUARA</v>
      </c>
      <c r="H4221" t="str">
        <f>IFERROR(INDEX(tEditais[UF],MATCH(tItens[[#This Row],[Edital]],tEditais[Edital],0)),"")</f>
        <v>MT</v>
      </c>
      <c r="I4221" s="11">
        <f>IFERROR(INDEX(tEditais[Encerramento],MATCH(tItens[[#This Row],[Edital]],tEditais[Edital],0)),"")</f>
        <v>46309.375</v>
      </c>
      <c r="J4221" t="str">
        <f>IFERROR(INDEX(tProdutos[Classe],MATCH(tItens[[#This Row],[Produto]],tProdutos[Produto],0)),"produto não cadastrado")</f>
        <v>DISPUTADO</v>
      </c>
      <c r="K4221" s="12">
        <f>tItens[[#This Row],[Qtd]]*tItens[[#This Row],[Vlr unit]]</f>
        <v>6573</v>
      </c>
      <c r="L4221" s="6">
        <f>IFERROR(IF(INDEX(tProdutos[Desconto homologado],MATCH(tItens[[#This Row],[Produto]],tProdutos[Produto],0))="",DescontoPadrao,INDEX(tProdutos[Desconto homologado],MATCH(tItens[[#This Row],[Produto]],tProdutos[Produto],0))),DescontoPadrao)</f>
        <v>0.48690097134476601</v>
      </c>
      <c r="M4221" s="12">
        <f>tItens[[#This Row],[Valor]]*(1-tItens[[#This Row],[Desconto]])</f>
        <v>3372.5999153508528</v>
      </c>
      <c r="N4221" t="str">
        <f>IFERROR(INDEX(tProdutos[Foco],MATCH(tItens[[#This Row],[Produto]],tProdutos[Produto],0)),"Não")</f>
        <v>Não</v>
      </c>
      <c r="O4221" t="str">
        <f>IFERROR(INDEX(tEditais[SRP],MATCH(tItens[[#This Row],[Edital]],tEditais[Edital],0)),"Não")</f>
        <v>Sim</v>
      </c>
      <c r="P4221" s="4">
        <f>IF(COUNTIFS(INDEX(tItens[Edital],1):tItens[[#This Row],[Edital]],tItens[[#This Row],[Edital]],INDEX(tItens[Produto],1):tItens[[#This Row],[Produto]],tItens[[#This Row],[Produto]])=1,1,0)</f>
        <v>1</v>
      </c>
    </row>
    <row r="4222" spans="1:16" x14ac:dyDescent="0.25">
      <c r="A4222" t="s">
        <v>1691</v>
      </c>
      <c r="B4222">
        <v>532</v>
      </c>
      <c r="C4222" t="s">
        <v>7077</v>
      </c>
      <c r="D4222" t="s">
        <v>108</v>
      </c>
      <c r="E4222" s="13">
        <v>300</v>
      </c>
      <c r="F4222" s="12">
        <v>99.09</v>
      </c>
      <c r="G4222" t="str">
        <f>IFERROR(INDEX(tEditais[Órgão],MATCH(tItens[[#This Row],[Edital]],tEditais[Edital],0)),"")</f>
        <v>MUNICIPIO DE JUARA</v>
      </c>
      <c r="H4222" t="str">
        <f>IFERROR(INDEX(tEditais[UF],MATCH(tItens[[#This Row],[Edital]],tEditais[Edital],0)),"")</f>
        <v>MT</v>
      </c>
      <c r="I4222" s="11">
        <f>IFERROR(INDEX(tEditais[Encerramento],MATCH(tItens[[#This Row],[Edital]],tEditais[Edital],0)),"")</f>
        <v>46309.375</v>
      </c>
      <c r="J4222" t="str">
        <f>IFERROR(INDEX(tProdutos[Classe],MATCH(tItens[[#This Row],[Produto]],tProdutos[Produto],0)),"produto não cadastrado")</f>
        <v>NÚCLEO</v>
      </c>
      <c r="K4222" s="12">
        <f>tItens[[#This Row],[Qtd]]*tItens[[#This Row],[Vlr unit]]</f>
        <v>29727</v>
      </c>
      <c r="L4222" s="6">
        <f>IFERROR(IF(INDEX(tProdutos[Desconto homologado],MATCH(tItens[[#This Row],[Produto]],tProdutos[Produto],0))="",DescontoPadrao,INDEX(tProdutos[Desconto homologado],MATCH(tItens[[#This Row],[Produto]],tProdutos[Produto],0))),DescontoPadrao)</f>
        <v>0.105498072631365</v>
      </c>
      <c r="M4222" s="12">
        <f>tItens[[#This Row],[Valor]]*(1-tItens[[#This Row],[Desconto]])</f>
        <v>26590.858794887412</v>
      </c>
      <c r="N4222" t="str">
        <f>IFERROR(INDEX(tProdutos[Foco],MATCH(tItens[[#This Row],[Produto]],tProdutos[Produto],0)),"Não")</f>
        <v>Não</v>
      </c>
      <c r="O4222" t="str">
        <f>IFERROR(INDEX(tEditais[SRP],MATCH(tItens[[#This Row],[Edital]],tEditais[Edital],0)),"Não")</f>
        <v>Sim</v>
      </c>
      <c r="P4222" s="4">
        <f>IF(COUNTIFS(INDEX(tItens[Edital],1):tItens[[#This Row],[Edital]],tItens[[#This Row],[Edital]],INDEX(tItens[Produto],1):tItens[[#This Row],[Produto]],tItens[[#This Row],[Produto]])=1,1,0)</f>
        <v>1</v>
      </c>
    </row>
    <row r="4223" spans="1:16" x14ac:dyDescent="0.25">
      <c r="A4223" t="s">
        <v>1691</v>
      </c>
      <c r="B4223">
        <v>567</v>
      </c>
      <c r="C4223" t="s">
        <v>7078</v>
      </c>
      <c r="D4223" t="s">
        <v>221</v>
      </c>
      <c r="E4223" s="13">
        <v>4000</v>
      </c>
      <c r="F4223" s="12">
        <v>1.71</v>
      </c>
      <c r="G4223" t="str">
        <f>IFERROR(INDEX(tEditais[Órgão],MATCH(tItens[[#This Row],[Edital]],tEditais[Edital],0)),"")</f>
        <v>MUNICIPIO DE JUARA</v>
      </c>
      <c r="H4223" t="str">
        <f>IFERROR(INDEX(tEditais[UF],MATCH(tItens[[#This Row],[Edital]],tEditais[Edital],0)),"")</f>
        <v>MT</v>
      </c>
      <c r="I4223" s="11">
        <f>IFERROR(INDEX(tEditais[Encerramento],MATCH(tItens[[#This Row],[Edital]],tEditais[Edital],0)),"")</f>
        <v>46309.375</v>
      </c>
      <c r="J4223" t="str">
        <f>IFERROR(INDEX(tProdutos[Classe],MATCH(tItens[[#This Row],[Produto]],tProdutos[Produto],0)),"produto não cadastrado")</f>
        <v>FORA</v>
      </c>
      <c r="K4223" s="12">
        <f>tItens[[#This Row],[Qtd]]*tItens[[#This Row],[Vlr unit]]</f>
        <v>6840</v>
      </c>
      <c r="L4223" s="6">
        <f>IFERROR(IF(INDEX(tProdutos[Desconto homologado],MATCH(tItens[[#This Row],[Produto]],tProdutos[Produto],0))="",DescontoPadrao,INDEX(tProdutos[Desconto homologado],MATCH(tItens[[#This Row],[Produto]],tProdutos[Produto],0))),DescontoPadrao)</f>
        <v>0.35408560311283999</v>
      </c>
      <c r="M4223" s="12">
        <f>tItens[[#This Row],[Valor]]*(1-tItens[[#This Row],[Desconto]])</f>
        <v>4418.0544747081749</v>
      </c>
      <c r="N4223" t="str">
        <f>IFERROR(INDEX(tProdutos[Foco],MATCH(tItens[[#This Row],[Produto]],tProdutos[Produto],0)),"Não")</f>
        <v>Não</v>
      </c>
      <c r="O4223" t="str">
        <f>IFERROR(INDEX(tEditais[SRP],MATCH(tItens[[#This Row],[Edital]],tEditais[Edital],0)),"Não")</f>
        <v>Sim</v>
      </c>
      <c r="P4223" s="4">
        <f>IF(COUNTIFS(INDEX(tItens[Edital],1):tItens[[#This Row],[Edital]],tItens[[#This Row],[Edital]],INDEX(tItens[Produto],1):tItens[[#This Row],[Produto]],tItens[[#This Row],[Produto]])=1,1,0)</f>
        <v>1</v>
      </c>
    </row>
    <row r="4224" spans="1:16" x14ac:dyDescent="0.25">
      <c r="A4224" t="s">
        <v>1696</v>
      </c>
      <c r="B4224">
        <v>8056450</v>
      </c>
      <c r="C4224" t="s">
        <v>7079</v>
      </c>
      <c r="D4224" t="s">
        <v>339</v>
      </c>
      <c r="E4224" s="13">
        <v>1200</v>
      </c>
      <c r="F4224" s="12">
        <v>1.33</v>
      </c>
      <c r="G4224" t="str">
        <f>IFERROR(INDEX(tEditais[Órgão],MATCH(tItens[[#This Row],[Edital]],tEditais[Edital],0)),"")</f>
        <v>MUNICIPIO DE SAPEZAL</v>
      </c>
      <c r="H4224" t="str">
        <f>IFERROR(INDEX(tEditais[UF],MATCH(tItens[[#This Row],[Edital]],tEditais[Edital],0)),"")</f>
        <v>MT</v>
      </c>
      <c r="I4224" s="11">
        <f>IFERROR(INDEX(tEditais[Encerramento],MATCH(tItens[[#This Row],[Edital]],tEditais[Edital],0)),"")</f>
        <v>46309.375</v>
      </c>
      <c r="J4224" t="str">
        <f>IFERROR(INDEX(tProdutos[Classe],MATCH(tItens[[#This Row],[Produto]],tProdutos[Produto],0)),"produto não cadastrado")</f>
        <v>FORA</v>
      </c>
      <c r="K4224" s="12">
        <f>tItens[[#This Row],[Qtd]]*tItens[[#This Row],[Vlr unit]]</f>
        <v>1596</v>
      </c>
      <c r="L4224" s="6">
        <f>IFERROR(IF(INDEX(tProdutos[Desconto homologado],MATCH(tItens[[#This Row],[Produto]],tProdutos[Produto],0))="",DescontoPadrao,INDEX(tProdutos[Desconto homologado],MATCH(tItens[[#This Row],[Produto]],tProdutos[Produto],0))),DescontoPadrao)</f>
        <v>0.35388629091804102</v>
      </c>
      <c r="M4224" s="12">
        <f>tItens[[#This Row],[Valor]]*(1-tItens[[#This Row],[Desconto]])</f>
        <v>1031.1974796948066</v>
      </c>
      <c r="N4224" t="str">
        <f>IFERROR(INDEX(tProdutos[Foco],MATCH(tItens[[#This Row],[Produto]],tProdutos[Produto],0)),"Não")</f>
        <v>Não</v>
      </c>
      <c r="O4224" t="str">
        <f>IFERROR(INDEX(tEditais[SRP],MATCH(tItens[[#This Row],[Edital]],tEditais[Edital],0)),"Não")</f>
        <v>Não</v>
      </c>
      <c r="P4224" s="4">
        <f>IF(COUNTIFS(INDEX(tItens[Edital],1):tItens[[#This Row],[Edital]],tItens[[#This Row],[Edital]],INDEX(tItens[Produto],1):tItens[[#This Row],[Produto]],tItens[[#This Row],[Produto]])=1,1,0)</f>
        <v>1</v>
      </c>
    </row>
    <row r="4225" spans="1:16" x14ac:dyDescent="0.25">
      <c r="A4225" t="s">
        <v>1696</v>
      </c>
      <c r="B4225">
        <v>8056451</v>
      </c>
      <c r="C4225" t="s">
        <v>7080</v>
      </c>
      <c r="D4225" t="s">
        <v>339</v>
      </c>
      <c r="E4225" s="13">
        <v>6500</v>
      </c>
      <c r="F4225" s="12">
        <v>1.54</v>
      </c>
      <c r="G4225" t="str">
        <f>IFERROR(INDEX(tEditais[Órgão],MATCH(tItens[[#This Row],[Edital]],tEditais[Edital],0)),"")</f>
        <v>MUNICIPIO DE SAPEZAL</v>
      </c>
      <c r="H4225" t="str">
        <f>IFERROR(INDEX(tEditais[UF],MATCH(tItens[[#This Row],[Edital]],tEditais[Edital],0)),"")</f>
        <v>MT</v>
      </c>
      <c r="I4225" s="11">
        <f>IFERROR(INDEX(tEditais[Encerramento],MATCH(tItens[[#This Row],[Edital]],tEditais[Edital],0)),"")</f>
        <v>46309.375</v>
      </c>
      <c r="J4225" t="str">
        <f>IFERROR(INDEX(tProdutos[Classe],MATCH(tItens[[#This Row],[Produto]],tProdutos[Produto],0)),"produto não cadastrado")</f>
        <v>FORA</v>
      </c>
      <c r="K4225" s="12">
        <f>tItens[[#This Row],[Qtd]]*tItens[[#This Row],[Vlr unit]]</f>
        <v>10010</v>
      </c>
      <c r="L4225" s="6">
        <f>IFERROR(IF(INDEX(tProdutos[Desconto homologado],MATCH(tItens[[#This Row],[Produto]],tProdutos[Produto],0))="",DescontoPadrao,INDEX(tProdutos[Desconto homologado],MATCH(tItens[[#This Row],[Produto]],tProdutos[Produto],0))),DescontoPadrao)</f>
        <v>0.35388629091804102</v>
      </c>
      <c r="M4225" s="12">
        <f>tItens[[#This Row],[Valor]]*(1-tItens[[#This Row],[Desconto]])</f>
        <v>6467.5982279104092</v>
      </c>
      <c r="N4225" t="str">
        <f>IFERROR(INDEX(tProdutos[Foco],MATCH(tItens[[#This Row],[Produto]],tProdutos[Produto],0)),"Não")</f>
        <v>Não</v>
      </c>
      <c r="O4225" t="str">
        <f>IFERROR(INDEX(tEditais[SRP],MATCH(tItens[[#This Row],[Edital]],tEditais[Edital],0)),"Não")</f>
        <v>Não</v>
      </c>
      <c r="P4225" s="4">
        <f>IF(COUNTIFS(INDEX(tItens[Edital],1):tItens[[#This Row],[Edital]],tItens[[#This Row],[Edital]],INDEX(tItens[Produto],1):tItens[[#This Row],[Produto]],tItens[[#This Row],[Produto]])=1,1,0)</f>
        <v>0</v>
      </c>
    </row>
    <row r="4226" spans="1:16" x14ac:dyDescent="0.25">
      <c r="A4226" t="s">
        <v>1696</v>
      </c>
      <c r="B4226">
        <v>8056452</v>
      </c>
      <c r="C4226" t="s">
        <v>7081</v>
      </c>
      <c r="D4226" t="s">
        <v>339</v>
      </c>
      <c r="E4226" s="13">
        <v>10000</v>
      </c>
      <c r="F4226" s="12">
        <v>1.75</v>
      </c>
      <c r="G4226" t="str">
        <f>IFERROR(INDEX(tEditais[Órgão],MATCH(tItens[[#This Row],[Edital]],tEditais[Edital],0)),"")</f>
        <v>MUNICIPIO DE SAPEZAL</v>
      </c>
      <c r="H4226" t="str">
        <f>IFERROR(INDEX(tEditais[UF],MATCH(tItens[[#This Row],[Edital]],tEditais[Edital],0)),"")</f>
        <v>MT</v>
      </c>
      <c r="I4226" s="11">
        <f>IFERROR(INDEX(tEditais[Encerramento],MATCH(tItens[[#This Row],[Edital]],tEditais[Edital],0)),"")</f>
        <v>46309.375</v>
      </c>
      <c r="J4226" t="str">
        <f>IFERROR(INDEX(tProdutos[Classe],MATCH(tItens[[#This Row],[Produto]],tProdutos[Produto],0)),"produto não cadastrado")</f>
        <v>FORA</v>
      </c>
      <c r="K4226" s="12">
        <f>tItens[[#This Row],[Qtd]]*tItens[[#This Row],[Vlr unit]]</f>
        <v>17500</v>
      </c>
      <c r="L4226" s="6">
        <f>IFERROR(IF(INDEX(tProdutos[Desconto homologado],MATCH(tItens[[#This Row],[Produto]],tProdutos[Produto],0))="",DescontoPadrao,INDEX(tProdutos[Desconto homologado],MATCH(tItens[[#This Row],[Produto]],tProdutos[Produto],0))),DescontoPadrao)</f>
        <v>0.35388629091804102</v>
      </c>
      <c r="M4226" s="12">
        <f>tItens[[#This Row],[Valor]]*(1-tItens[[#This Row],[Desconto]])</f>
        <v>11306.989908934282</v>
      </c>
      <c r="N4226" t="str">
        <f>IFERROR(INDEX(tProdutos[Foco],MATCH(tItens[[#This Row],[Produto]],tProdutos[Produto],0)),"Não")</f>
        <v>Não</v>
      </c>
      <c r="O4226" t="str">
        <f>IFERROR(INDEX(tEditais[SRP],MATCH(tItens[[#This Row],[Edital]],tEditais[Edital],0)),"Não")</f>
        <v>Não</v>
      </c>
      <c r="P4226" s="4">
        <f>IF(COUNTIFS(INDEX(tItens[Edital],1):tItens[[#This Row],[Edital]],tItens[[#This Row],[Edital]],INDEX(tItens[Produto],1):tItens[[#This Row],[Produto]],tItens[[#This Row],[Produto]])=1,1,0)</f>
        <v>0</v>
      </c>
    </row>
    <row r="4227" spans="1:16" x14ac:dyDescent="0.25">
      <c r="A4227" t="s">
        <v>1696</v>
      </c>
      <c r="B4227">
        <v>8056453</v>
      </c>
      <c r="C4227" t="s">
        <v>7082</v>
      </c>
      <c r="D4227" t="s">
        <v>339</v>
      </c>
      <c r="E4227" s="13">
        <v>9000</v>
      </c>
      <c r="F4227" s="12">
        <v>1.93</v>
      </c>
      <c r="G4227" t="str">
        <f>IFERROR(INDEX(tEditais[Órgão],MATCH(tItens[[#This Row],[Edital]],tEditais[Edital],0)),"")</f>
        <v>MUNICIPIO DE SAPEZAL</v>
      </c>
      <c r="H4227" t="str">
        <f>IFERROR(INDEX(tEditais[UF],MATCH(tItens[[#This Row],[Edital]],tEditais[Edital],0)),"")</f>
        <v>MT</v>
      </c>
      <c r="I4227" s="11">
        <f>IFERROR(INDEX(tEditais[Encerramento],MATCH(tItens[[#This Row],[Edital]],tEditais[Edital],0)),"")</f>
        <v>46309.375</v>
      </c>
      <c r="J4227" t="str">
        <f>IFERROR(INDEX(tProdutos[Classe],MATCH(tItens[[#This Row],[Produto]],tProdutos[Produto],0)),"produto não cadastrado")</f>
        <v>FORA</v>
      </c>
      <c r="K4227" s="12">
        <f>tItens[[#This Row],[Qtd]]*tItens[[#This Row],[Vlr unit]]</f>
        <v>17370</v>
      </c>
      <c r="L4227" s="6">
        <f>IFERROR(IF(INDEX(tProdutos[Desconto homologado],MATCH(tItens[[#This Row],[Produto]],tProdutos[Produto],0))="",DescontoPadrao,INDEX(tProdutos[Desconto homologado],MATCH(tItens[[#This Row],[Produto]],tProdutos[Produto],0))),DescontoPadrao)</f>
        <v>0.35388629091804102</v>
      </c>
      <c r="M4227" s="12">
        <f>tItens[[#This Row],[Valor]]*(1-tItens[[#This Row],[Desconto]])</f>
        <v>11222.995126753627</v>
      </c>
      <c r="N4227" t="str">
        <f>IFERROR(INDEX(tProdutos[Foco],MATCH(tItens[[#This Row],[Produto]],tProdutos[Produto],0)),"Não")</f>
        <v>Não</v>
      </c>
      <c r="O4227" t="str">
        <f>IFERROR(INDEX(tEditais[SRP],MATCH(tItens[[#This Row],[Edital]],tEditais[Edital],0)),"Não")</f>
        <v>Não</v>
      </c>
      <c r="P4227" s="4">
        <f>IF(COUNTIFS(INDEX(tItens[Edital],1):tItens[[#This Row],[Edital]],tItens[[#This Row],[Edital]],INDEX(tItens[Produto],1):tItens[[#This Row],[Produto]],tItens[[#This Row],[Produto]])=1,1,0)</f>
        <v>0</v>
      </c>
    </row>
    <row r="4228" spans="1:16" x14ac:dyDescent="0.25">
      <c r="A4228" t="s">
        <v>1696</v>
      </c>
      <c r="B4228">
        <v>8056454</v>
      </c>
      <c r="C4228" t="s">
        <v>7083</v>
      </c>
      <c r="D4228" t="s">
        <v>339</v>
      </c>
      <c r="E4228" s="13">
        <v>12200</v>
      </c>
      <c r="F4228" s="12">
        <v>2.27</v>
      </c>
      <c r="G4228" t="str">
        <f>IFERROR(INDEX(tEditais[Órgão],MATCH(tItens[[#This Row],[Edital]],tEditais[Edital],0)),"")</f>
        <v>MUNICIPIO DE SAPEZAL</v>
      </c>
      <c r="H4228" t="str">
        <f>IFERROR(INDEX(tEditais[UF],MATCH(tItens[[#This Row],[Edital]],tEditais[Edital],0)),"")</f>
        <v>MT</v>
      </c>
      <c r="I4228" s="11">
        <f>IFERROR(INDEX(tEditais[Encerramento],MATCH(tItens[[#This Row],[Edital]],tEditais[Edital],0)),"")</f>
        <v>46309.375</v>
      </c>
      <c r="J4228" t="str">
        <f>IFERROR(INDEX(tProdutos[Classe],MATCH(tItens[[#This Row],[Produto]],tProdutos[Produto],0)),"produto não cadastrado")</f>
        <v>FORA</v>
      </c>
      <c r="K4228" s="12">
        <f>tItens[[#This Row],[Qtd]]*tItens[[#This Row],[Vlr unit]]</f>
        <v>27694</v>
      </c>
      <c r="L4228" s="6">
        <f>IFERROR(IF(INDEX(tProdutos[Desconto homologado],MATCH(tItens[[#This Row],[Produto]],tProdutos[Produto],0))="",DescontoPadrao,INDEX(tProdutos[Desconto homologado],MATCH(tItens[[#This Row],[Produto]],tProdutos[Produto],0))),DescontoPadrao)</f>
        <v>0.35388629091804102</v>
      </c>
      <c r="M4228" s="12">
        <f>tItens[[#This Row],[Valor]]*(1-tItens[[#This Row],[Desconto]])</f>
        <v>17893.473059315773</v>
      </c>
      <c r="N4228" t="str">
        <f>IFERROR(INDEX(tProdutos[Foco],MATCH(tItens[[#This Row],[Produto]],tProdutos[Produto],0)),"Não")</f>
        <v>Não</v>
      </c>
      <c r="O4228" t="str">
        <f>IFERROR(INDEX(tEditais[SRP],MATCH(tItens[[#This Row],[Edital]],tEditais[Edital],0)),"Não")</f>
        <v>Não</v>
      </c>
      <c r="P4228" s="4">
        <f>IF(COUNTIFS(INDEX(tItens[Edital],1):tItens[[#This Row],[Edital]],tItens[[#This Row],[Edital]],INDEX(tItens[Produto],1):tItens[[#This Row],[Produto]],tItens[[#This Row],[Produto]])=1,1,0)</f>
        <v>0</v>
      </c>
    </row>
    <row r="4229" spans="1:16" x14ac:dyDescent="0.25">
      <c r="A4229" t="s">
        <v>1699</v>
      </c>
      <c r="B4229">
        <v>4</v>
      </c>
      <c r="C4229" t="s">
        <v>7084</v>
      </c>
      <c r="D4229" t="s">
        <v>383</v>
      </c>
      <c r="E4229" s="13">
        <v>1820</v>
      </c>
      <c r="F4229" s="12">
        <v>2.5299999999999998</v>
      </c>
      <c r="G4229" t="str">
        <f>IFERROR(INDEX(tEditais[Órgão],MATCH(tItens[[#This Row],[Edital]],tEditais[Edital],0)),"")</f>
        <v>ESTADO DE MATO GROSSO</v>
      </c>
      <c r="H4229" t="str">
        <f>IFERROR(INDEX(tEditais[UF],MATCH(tItens[[#This Row],[Edital]],tEditais[Edital],0)),"")</f>
        <v>MT</v>
      </c>
      <c r="I4229" s="11">
        <f>IFERROR(INDEX(tEditais[Encerramento],MATCH(tItens[[#This Row],[Edital]],tEditais[Edital],0)),"")</f>
        <v>46309.40625</v>
      </c>
      <c r="J4229" t="str">
        <f>IFERROR(INDEX(tProdutos[Classe],MATCH(tItens[[#This Row],[Produto]],tProdutos[Produto],0)),"produto não cadastrado")</f>
        <v>FORA</v>
      </c>
      <c r="K4229" s="12">
        <f>tItens[[#This Row],[Qtd]]*tItens[[#This Row],[Vlr unit]]</f>
        <v>4604.5999999999995</v>
      </c>
      <c r="L4229" s="6">
        <f>IFERROR(IF(INDEX(tProdutos[Desconto homologado],MATCH(tItens[[#This Row],[Produto]],tProdutos[Produto],0))="",DescontoPadrao,INDEX(tProdutos[Desconto homologado],MATCH(tItens[[#This Row],[Produto]],tProdutos[Produto],0))),DescontoPadrao)</f>
        <v>0.48749999999999999</v>
      </c>
      <c r="M4229" s="12">
        <f>tItens[[#This Row],[Valor]]*(1-tItens[[#This Row],[Desconto]])</f>
        <v>2359.8574999999996</v>
      </c>
      <c r="N4229" t="str">
        <f>IFERROR(INDEX(tProdutos[Foco],MATCH(tItens[[#This Row],[Produto]],tProdutos[Produto],0)),"Não")</f>
        <v>Não</v>
      </c>
      <c r="O4229" t="str">
        <f>IFERROR(INDEX(tEditais[SRP],MATCH(tItens[[#This Row],[Edital]],tEditais[Edital],0)),"Não")</f>
        <v>Não</v>
      </c>
      <c r="P4229" s="4">
        <f>IF(COUNTIFS(INDEX(tItens[Edital],1):tItens[[#This Row],[Edital]],tItens[[#This Row],[Edital]],INDEX(tItens[Produto],1):tItens[[#This Row],[Produto]],tItens[[#This Row],[Produto]])=1,1,0)</f>
        <v>1</v>
      </c>
    </row>
    <row r="4230" spans="1:16" x14ac:dyDescent="0.25">
      <c r="A4230" t="s">
        <v>1699</v>
      </c>
      <c r="B4230">
        <v>7</v>
      </c>
      <c r="C4230" t="s">
        <v>7085</v>
      </c>
      <c r="D4230" t="s">
        <v>142</v>
      </c>
      <c r="E4230" s="13">
        <v>31</v>
      </c>
      <c r="F4230" s="12">
        <v>53.88</v>
      </c>
      <c r="G4230" t="str">
        <f>IFERROR(INDEX(tEditais[Órgão],MATCH(tItens[[#This Row],[Edital]],tEditais[Edital],0)),"")</f>
        <v>ESTADO DE MATO GROSSO</v>
      </c>
      <c r="H4230" t="str">
        <f>IFERROR(INDEX(tEditais[UF],MATCH(tItens[[#This Row],[Edital]],tEditais[Edital],0)),"")</f>
        <v>MT</v>
      </c>
      <c r="I4230" s="11">
        <f>IFERROR(INDEX(tEditais[Encerramento],MATCH(tItens[[#This Row],[Edital]],tEditais[Edital],0)),"")</f>
        <v>46309.40625</v>
      </c>
      <c r="J4230" t="str">
        <f>IFERROR(INDEX(tProdutos[Classe],MATCH(tItens[[#This Row],[Produto]],tProdutos[Produto],0)),"produto não cadastrado")</f>
        <v>DISPUTADO</v>
      </c>
      <c r="K4230" s="12">
        <f>tItens[[#This Row],[Qtd]]*tItens[[#This Row],[Vlr unit]]</f>
        <v>1670.28</v>
      </c>
      <c r="L4230" s="6">
        <f>IFERROR(IF(INDEX(tProdutos[Desconto homologado],MATCH(tItens[[#This Row],[Produto]],tProdutos[Produto],0))="",DescontoPadrao,INDEX(tProdutos[Desconto homologado],MATCH(tItens[[#This Row],[Produto]],tProdutos[Produto],0))),DescontoPadrao)</f>
        <v>0.37093619495691699</v>
      </c>
      <c r="M4230" s="12">
        <f>tItens[[#This Row],[Valor]]*(1-tItens[[#This Row],[Desconto]])</f>
        <v>1050.7126922873606</v>
      </c>
      <c r="N4230" t="str">
        <f>IFERROR(INDEX(tProdutos[Foco],MATCH(tItens[[#This Row],[Produto]],tProdutos[Produto],0)),"Não")</f>
        <v>Não</v>
      </c>
      <c r="O4230" t="str">
        <f>IFERROR(INDEX(tEditais[SRP],MATCH(tItens[[#This Row],[Edital]],tEditais[Edital],0)),"Não")</f>
        <v>Não</v>
      </c>
      <c r="P4230" s="4">
        <f>IF(COUNTIFS(INDEX(tItens[Edital],1):tItens[[#This Row],[Edital]],tItens[[#This Row],[Edital]],INDEX(tItens[Produto],1):tItens[[#This Row],[Produto]],tItens[[#This Row],[Produto]])=1,1,0)</f>
        <v>1</v>
      </c>
    </row>
    <row r="4231" spans="1:16" x14ac:dyDescent="0.25">
      <c r="A4231" t="s">
        <v>1699</v>
      </c>
      <c r="B4231">
        <v>8</v>
      </c>
      <c r="C4231" t="s">
        <v>7086</v>
      </c>
      <c r="D4231" t="s">
        <v>351</v>
      </c>
      <c r="E4231" s="13">
        <v>1050</v>
      </c>
      <c r="F4231" s="12">
        <v>1.27</v>
      </c>
      <c r="G4231" t="str">
        <f>IFERROR(INDEX(tEditais[Órgão],MATCH(tItens[[#This Row],[Edital]],tEditais[Edital],0)),"")</f>
        <v>ESTADO DE MATO GROSSO</v>
      </c>
      <c r="H4231" t="str">
        <f>IFERROR(INDEX(tEditais[UF],MATCH(tItens[[#This Row],[Edital]],tEditais[Edital],0)),"")</f>
        <v>MT</v>
      </c>
      <c r="I4231" s="11">
        <f>IFERROR(INDEX(tEditais[Encerramento],MATCH(tItens[[#This Row],[Edital]],tEditais[Edital],0)),"")</f>
        <v>46309.40625</v>
      </c>
      <c r="J4231" t="str">
        <f>IFERROR(INDEX(tProdutos[Classe],MATCH(tItens[[#This Row],[Produto]],tProdutos[Produto],0)),"produto não cadastrado")</f>
        <v>FORA</v>
      </c>
      <c r="K4231" s="12">
        <f>tItens[[#This Row],[Qtd]]*tItens[[#This Row],[Vlr unit]]</f>
        <v>1333.5</v>
      </c>
      <c r="L4231" s="6">
        <f>IFERROR(IF(INDEX(tProdutos[Desconto homologado],MATCH(tItens[[#This Row],[Produto]],tProdutos[Produto],0))="",DescontoPadrao,INDEX(tProdutos[Desconto homologado],MATCH(tItens[[#This Row],[Produto]],tProdutos[Produto],0))),DescontoPadrao)</f>
        <v>0.33518005540166201</v>
      </c>
      <c r="M4231" s="12">
        <f>tItens[[#This Row],[Valor]]*(1-tItens[[#This Row],[Desconto]])</f>
        <v>886.53739612188383</v>
      </c>
      <c r="N4231" t="str">
        <f>IFERROR(INDEX(tProdutos[Foco],MATCH(tItens[[#This Row],[Produto]],tProdutos[Produto],0)),"Não")</f>
        <v>Não</v>
      </c>
      <c r="O4231" t="str">
        <f>IFERROR(INDEX(tEditais[SRP],MATCH(tItens[[#This Row],[Edital]],tEditais[Edital],0)),"Não")</f>
        <v>Não</v>
      </c>
      <c r="P4231" s="4">
        <f>IF(COUNTIFS(INDEX(tItens[Edital],1):tItens[[#This Row],[Edital]],tItens[[#This Row],[Edital]],INDEX(tItens[Produto],1):tItens[[#This Row],[Produto]],tItens[[#This Row],[Produto]])=1,1,0)</f>
        <v>1</v>
      </c>
    </row>
    <row r="4232" spans="1:16" x14ac:dyDescent="0.25">
      <c r="A4232" t="s">
        <v>1699</v>
      </c>
      <c r="B4232">
        <v>9</v>
      </c>
      <c r="C4232" t="s">
        <v>7087</v>
      </c>
      <c r="D4232" t="s">
        <v>351</v>
      </c>
      <c r="E4232" s="13">
        <v>130</v>
      </c>
      <c r="F4232" s="12">
        <v>0.94</v>
      </c>
      <c r="G4232" t="str">
        <f>IFERROR(INDEX(tEditais[Órgão],MATCH(tItens[[#This Row],[Edital]],tEditais[Edital],0)),"")</f>
        <v>ESTADO DE MATO GROSSO</v>
      </c>
      <c r="H4232" t="str">
        <f>IFERROR(INDEX(tEditais[UF],MATCH(tItens[[#This Row],[Edital]],tEditais[Edital],0)),"")</f>
        <v>MT</v>
      </c>
      <c r="I4232" s="11">
        <f>IFERROR(INDEX(tEditais[Encerramento],MATCH(tItens[[#This Row],[Edital]],tEditais[Edital],0)),"")</f>
        <v>46309.40625</v>
      </c>
      <c r="J4232" t="str">
        <f>IFERROR(INDEX(tProdutos[Classe],MATCH(tItens[[#This Row],[Produto]],tProdutos[Produto],0)),"produto não cadastrado")</f>
        <v>FORA</v>
      </c>
      <c r="K4232" s="12">
        <f>tItens[[#This Row],[Qtd]]*tItens[[#This Row],[Vlr unit]]</f>
        <v>122.19999999999999</v>
      </c>
      <c r="L4232" s="6">
        <f>IFERROR(IF(INDEX(tProdutos[Desconto homologado],MATCH(tItens[[#This Row],[Produto]],tProdutos[Produto],0))="",DescontoPadrao,INDEX(tProdutos[Desconto homologado],MATCH(tItens[[#This Row],[Produto]],tProdutos[Produto],0))),DescontoPadrao)</f>
        <v>0.33518005540166201</v>
      </c>
      <c r="M4232" s="12">
        <f>tItens[[#This Row],[Valor]]*(1-tItens[[#This Row],[Desconto]])</f>
        <v>81.2409972299169</v>
      </c>
      <c r="N4232" t="str">
        <f>IFERROR(INDEX(tProdutos[Foco],MATCH(tItens[[#This Row],[Produto]],tProdutos[Produto],0)),"Não")</f>
        <v>Não</v>
      </c>
      <c r="O4232" t="str">
        <f>IFERROR(INDEX(tEditais[SRP],MATCH(tItens[[#This Row],[Edital]],tEditais[Edital],0)),"Não")</f>
        <v>Não</v>
      </c>
      <c r="P4232" s="4">
        <f>IF(COUNTIFS(INDEX(tItens[Edital],1):tItens[[#This Row],[Edital]],tItens[[#This Row],[Edital]],INDEX(tItens[Produto],1):tItens[[#This Row],[Produto]],tItens[[#This Row],[Produto]])=1,1,0)</f>
        <v>0</v>
      </c>
    </row>
    <row r="4233" spans="1:16" x14ac:dyDescent="0.25">
      <c r="A4233" t="s">
        <v>1699</v>
      </c>
      <c r="B4233">
        <v>10</v>
      </c>
      <c r="C4233" t="s">
        <v>7088</v>
      </c>
      <c r="D4233" t="s">
        <v>351</v>
      </c>
      <c r="E4233" s="13">
        <v>5050</v>
      </c>
      <c r="F4233" s="12">
        <v>1.1499999999999999</v>
      </c>
      <c r="G4233" t="str">
        <f>IFERROR(INDEX(tEditais[Órgão],MATCH(tItens[[#This Row],[Edital]],tEditais[Edital],0)),"")</f>
        <v>ESTADO DE MATO GROSSO</v>
      </c>
      <c r="H4233" t="str">
        <f>IFERROR(INDEX(tEditais[UF],MATCH(tItens[[#This Row],[Edital]],tEditais[Edital],0)),"")</f>
        <v>MT</v>
      </c>
      <c r="I4233" s="11">
        <f>IFERROR(INDEX(tEditais[Encerramento],MATCH(tItens[[#This Row],[Edital]],tEditais[Edital],0)),"")</f>
        <v>46309.40625</v>
      </c>
      <c r="J4233" t="str">
        <f>IFERROR(INDEX(tProdutos[Classe],MATCH(tItens[[#This Row],[Produto]],tProdutos[Produto],0)),"produto não cadastrado")</f>
        <v>FORA</v>
      </c>
      <c r="K4233" s="12">
        <f>tItens[[#This Row],[Qtd]]*tItens[[#This Row],[Vlr unit]]</f>
        <v>5807.5</v>
      </c>
      <c r="L4233" s="6">
        <f>IFERROR(IF(INDEX(tProdutos[Desconto homologado],MATCH(tItens[[#This Row],[Produto]],tProdutos[Produto],0))="",DescontoPadrao,INDEX(tProdutos[Desconto homologado],MATCH(tItens[[#This Row],[Produto]],tProdutos[Produto],0))),DescontoPadrao)</f>
        <v>0.33518005540166201</v>
      </c>
      <c r="M4233" s="12">
        <f>tItens[[#This Row],[Valor]]*(1-tItens[[#This Row],[Desconto]])</f>
        <v>3860.9418282548481</v>
      </c>
      <c r="N4233" t="str">
        <f>IFERROR(INDEX(tProdutos[Foco],MATCH(tItens[[#This Row],[Produto]],tProdutos[Produto],0)),"Não")</f>
        <v>Não</v>
      </c>
      <c r="O4233" t="str">
        <f>IFERROR(INDEX(tEditais[SRP],MATCH(tItens[[#This Row],[Edital]],tEditais[Edital],0)),"Não")</f>
        <v>Não</v>
      </c>
      <c r="P4233" s="4">
        <f>IF(COUNTIFS(INDEX(tItens[Edital],1):tItens[[#This Row],[Edital]],tItens[[#This Row],[Edital]],INDEX(tItens[Produto],1):tItens[[#This Row],[Produto]],tItens[[#This Row],[Produto]])=1,1,0)</f>
        <v>0</v>
      </c>
    </row>
    <row r="4234" spans="1:16" x14ac:dyDescent="0.25">
      <c r="A4234" t="s">
        <v>1699</v>
      </c>
      <c r="B4234">
        <v>11</v>
      </c>
      <c r="C4234" t="s">
        <v>7089</v>
      </c>
      <c r="D4234" t="s">
        <v>90</v>
      </c>
      <c r="E4234" s="13">
        <v>320</v>
      </c>
      <c r="F4234" s="12">
        <v>13.5</v>
      </c>
      <c r="G4234" t="str">
        <f>IFERROR(INDEX(tEditais[Órgão],MATCH(tItens[[#This Row],[Edital]],tEditais[Edital],0)),"")</f>
        <v>ESTADO DE MATO GROSSO</v>
      </c>
      <c r="H4234" t="str">
        <f>IFERROR(INDEX(tEditais[UF],MATCH(tItens[[#This Row],[Edital]],tEditais[Edital],0)),"")</f>
        <v>MT</v>
      </c>
      <c r="I4234" s="11">
        <f>IFERROR(INDEX(tEditais[Encerramento],MATCH(tItens[[#This Row],[Edital]],tEditais[Edital],0)),"")</f>
        <v>46309.40625</v>
      </c>
      <c r="J4234" t="str">
        <f>IFERROR(INDEX(tProdutos[Classe],MATCH(tItens[[#This Row],[Produto]],tProdutos[Produto],0)),"produto não cadastrado")</f>
        <v>DISPUTADO</v>
      </c>
      <c r="K4234" s="12">
        <f>tItens[[#This Row],[Qtd]]*tItens[[#This Row],[Vlr unit]]</f>
        <v>4320</v>
      </c>
      <c r="L4234" s="6">
        <f>IFERROR(IF(INDEX(tProdutos[Desconto homologado],MATCH(tItens[[#This Row],[Produto]],tProdutos[Produto],0))="",DescontoPadrao,INDEX(tProdutos[Desconto homologado],MATCH(tItens[[#This Row],[Produto]],tProdutos[Produto],0))),DescontoPadrao)</f>
        <v>0.25393823957010597</v>
      </c>
      <c r="M4234" s="12">
        <f>tItens[[#This Row],[Valor]]*(1-tItens[[#This Row],[Desconto]])</f>
        <v>3222.9868050571422</v>
      </c>
      <c r="N4234" t="str">
        <f>IFERROR(INDEX(tProdutos[Foco],MATCH(tItens[[#This Row],[Produto]],tProdutos[Produto],0)),"Não")</f>
        <v>Não</v>
      </c>
      <c r="O4234" t="str">
        <f>IFERROR(INDEX(tEditais[SRP],MATCH(tItens[[#This Row],[Edital]],tEditais[Edital],0)),"Não")</f>
        <v>Não</v>
      </c>
      <c r="P4234" s="4">
        <f>IF(COUNTIFS(INDEX(tItens[Edital],1):tItens[[#This Row],[Edital]],tItens[[#This Row],[Edital]],INDEX(tItens[Produto],1):tItens[[#This Row],[Produto]],tItens[[#This Row],[Produto]])=1,1,0)</f>
        <v>1</v>
      </c>
    </row>
    <row r="4235" spans="1:16" x14ac:dyDescent="0.25">
      <c r="A4235" t="s">
        <v>1699</v>
      </c>
      <c r="B4235">
        <v>12</v>
      </c>
      <c r="C4235" t="s">
        <v>7090</v>
      </c>
      <c r="D4235" t="s">
        <v>142</v>
      </c>
      <c r="E4235" s="13">
        <v>51</v>
      </c>
      <c r="F4235" s="12">
        <v>6.22</v>
      </c>
      <c r="G4235" t="str">
        <f>IFERROR(INDEX(tEditais[Órgão],MATCH(tItens[[#This Row],[Edital]],tEditais[Edital],0)),"")</f>
        <v>ESTADO DE MATO GROSSO</v>
      </c>
      <c r="H4235" t="str">
        <f>IFERROR(INDEX(tEditais[UF],MATCH(tItens[[#This Row],[Edital]],tEditais[Edital],0)),"")</f>
        <v>MT</v>
      </c>
      <c r="I4235" s="11">
        <f>IFERROR(INDEX(tEditais[Encerramento],MATCH(tItens[[#This Row],[Edital]],tEditais[Edital],0)),"")</f>
        <v>46309.40625</v>
      </c>
      <c r="J4235" t="str">
        <f>IFERROR(INDEX(tProdutos[Classe],MATCH(tItens[[#This Row],[Produto]],tProdutos[Produto],0)),"produto não cadastrado")</f>
        <v>DISPUTADO</v>
      </c>
      <c r="K4235" s="12">
        <f>tItens[[#This Row],[Qtd]]*tItens[[#This Row],[Vlr unit]]</f>
        <v>317.21999999999997</v>
      </c>
      <c r="L4235" s="6">
        <f>IFERROR(IF(INDEX(tProdutos[Desconto homologado],MATCH(tItens[[#This Row],[Produto]],tProdutos[Produto],0))="",DescontoPadrao,INDEX(tProdutos[Desconto homologado],MATCH(tItens[[#This Row],[Produto]],tProdutos[Produto],0))),DescontoPadrao)</f>
        <v>0.37093619495691699</v>
      </c>
      <c r="M4235" s="12">
        <f>tItens[[#This Row],[Valor]]*(1-tItens[[#This Row],[Desconto]])</f>
        <v>199.55162023576676</v>
      </c>
      <c r="N4235" t="str">
        <f>IFERROR(INDEX(tProdutos[Foco],MATCH(tItens[[#This Row],[Produto]],tProdutos[Produto],0)),"Não")</f>
        <v>Não</v>
      </c>
      <c r="O4235" t="str">
        <f>IFERROR(INDEX(tEditais[SRP],MATCH(tItens[[#This Row],[Edital]],tEditais[Edital],0)),"Não")</f>
        <v>Não</v>
      </c>
      <c r="P4235" s="4">
        <f>IF(COUNTIFS(INDEX(tItens[Edital],1):tItens[[#This Row],[Edital]],tItens[[#This Row],[Edital]],INDEX(tItens[Produto],1):tItens[[#This Row],[Produto]],tItens[[#This Row],[Produto]])=1,1,0)</f>
        <v>0</v>
      </c>
    </row>
    <row r="4236" spans="1:16" x14ac:dyDescent="0.25">
      <c r="A4236" t="s">
        <v>1699</v>
      </c>
      <c r="B4236">
        <v>15</v>
      </c>
      <c r="C4236" t="s">
        <v>7091</v>
      </c>
      <c r="D4236" t="s">
        <v>351</v>
      </c>
      <c r="E4236" s="13">
        <v>5035</v>
      </c>
      <c r="F4236" s="12">
        <v>3.74</v>
      </c>
      <c r="G4236" t="str">
        <f>IFERROR(INDEX(tEditais[Órgão],MATCH(tItens[[#This Row],[Edital]],tEditais[Edital],0)),"")</f>
        <v>ESTADO DE MATO GROSSO</v>
      </c>
      <c r="H4236" t="str">
        <f>IFERROR(INDEX(tEditais[UF],MATCH(tItens[[#This Row],[Edital]],tEditais[Edital],0)),"")</f>
        <v>MT</v>
      </c>
      <c r="I4236" s="11">
        <f>IFERROR(INDEX(tEditais[Encerramento],MATCH(tItens[[#This Row],[Edital]],tEditais[Edital],0)),"")</f>
        <v>46309.40625</v>
      </c>
      <c r="J4236" t="str">
        <f>IFERROR(INDEX(tProdutos[Classe],MATCH(tItens[[#This Row],[Produto]],tProdutos[Produto],0)),"produto não cadastrado")</f>
        <v>FORA</v>
      </c>
      <c r="K4236" s="12">
        <f>tItens[[#This Row],[Qtd]]*tItens[[#This Row],[Vlr unit]]</f>
        <v>18830.900000000001</v>
      </c>
      <c r="L4236" s="6">
        <f>IFERROR(IF(INDEX(tProdutos[Desconto homologado],MATCH(tItens[[#This Row],[Produto]],tProdutos[Produto],0))="",DescontoPadrao,INDEX(tProdutos[Desconto homologado],MATCH(tItens[[#This Row],[Produto]],tProdutos[Produto],0))),DescontoPadrao)</f>
        <v>0.33518005540166201</v>
      </c>
      <c r="M4236" s="12">
        <f>tItens[[#This Row],[Valor]]*(1-tItens[[#This Row],[Desconto]])</f>
        <v>12519.157894736845</v>
      </c>
      <c r="N4236" t="str">
        <f>IFERROR(INDEX(tProdutos[Foco],MATCH(tItens[[#This Row],[Produto]],tProdutos[Produto],0)),"Não")</f>
        <v>Não</v>
      </c>
      <c r="O4236" t="str">
        <f>IFERROR(INDEX(tEditais[SRP],MATCH(tItens[[#This Row],[Edital]],tEditais[Edital],0)),"Não")</f>
        <v>Não</v>
      </c>
      <c r="P4236" s="4">
        <f>IF(COUNTIFS(INDEX(tItens[Edital],1):tItens[[#This Row],[Edital]],tItens[[#This Row],[Edital]],INDEX(tItens[Produto],1):tItens[[#This Row],[Produto]],tItens[[#This Row],[Produto]])=1,1,0)</f>
        <v>0</v>
      </c>
    </row>
    <row r="4237" spans="1:16" x14ac:dyDescent="0.25">
      <c r="A4237" t="s">
        <v>1699</v>
      </c>
      <c r="B4237">
        <v>39</v>
      </c>
      <c r="C4237" t="s">
        <v>7092</v>
      </c>
      <c r="D4237" t="s">
        <v>56</v>
      </c>
      <c r="E4237" s="13">
        <v>103</v>
      </c>
      <c r="F4237" s="12">
        <v>33.590000000000003</v>
      </c>
      <c r="G4237" t="str">
        <f>IFERROR(INDEX(tEditais[Órgão],MATCH(tItens[[#This Row],[Edital]],tEditais[Edital],0)),"")</f>
        <v>ESTADO DE MATO GROSSO</v>
      </c>
      <c r="H4237" t="str">
        <f>IFERROR(INDEX(tEditais[UF],MATCH(tItens[[#This Row],[Edital]],tEditais[Edital],0)),"")</f>
        <v>MT</v>
      </c>
      <c r="I4237" s="11">
        <f>IFERROR(INDEX(tEditais[Encerramento],MATCH(tItens[[#This Row],[Edital]],tEditais[Edital],0)),"")</f>
        <v>46309.40625</v>
      </c>
      <c r="J4237" t="str">
        <f>IFERROR(INDEX(tProdutos[Classe],MATCH(tItens[[#This Row],[Produto]],tProdutos[Produto],0)),"produto não cadastrado")</f>
        <v>NÚCLEO</v>
      </c>
      <c r="K4237" s="12">
        <f>tItens[[#This Row],[Qtd]]*tItens[[#This Row],[Vlr unit]]</f>
        <v>3459.7700000000004</v>
      </c>
      <c r="L4237" s="6">
        <f>IFERROR(IF(INDEX(tProdutos[Desconto homologado],MATCH(tItens[[#This Row],[Produto]],tProdutos[Produto],0))="",DescontoPadrao,INDEX(tProdutos[Desconto homologado],MATCH(tItens[[#This Row],[Produto]],tProdutos[Produto],0))),DescontoPadrao)</f>
        <v>0.34</v>
      </c>
      <c r="M4237" s="12">
        <f>tItens[[#This Row],[Valor]]*(1-tItens[[#This Row],[Desconto]])</f>
        <v>2283.4481999999998</v>
      </c>
      <c r="N4237" t="str">
        <f>IFERROR(INDEX(tProdutos[Foco],MATCH(tItens[[#This Row],[Produto]],tProdutos[Produto],0)),"Não")</f>
        <v>Sim</v>
      </c>
      <c r="O4237" t="str">
        <f>IFERROR(INDEX(tEditais[SRP],MATCH(tItens[[#This Row],[Edital]],tEditais[Edital],0)),"Não")</f>
        <v>Não</v>
      </c>
      <c r="P4237" s="4">
        <f>IF(COUNTIFS(INDEX(tItens[Edital],1):tItens[[#This Row],[Edital]],tItens[[#This Row],[Edital]],INDEX(tItens[Produto],1):tItens[[#This Row],[Produto]],tItens[[#This Row],[Produto]])=1,1,0)</f>
        <v>1</v>
      </c>
    </row>
    <row r="4238" spans="1:16" x14ac:dyDescent="0.25">
      <c r="A4238" t="s">
        <v>1699</v>
      </c>
      <c r="B4238">
        <v>40</v>
      </c>
      <c r="C4238" t="s">
        <v>7093</v>
      </c>
      <c r="D4238" t="s">
        <v>421</v>
      </c>
      <c r="E4238" s="13">
        <v>35</v>
      </c>
      <c r="F4238" s="12">
        <v>10.1</v>
      </c>
      <c r="G4238" t="str">
        <f>IFERROR(INDEX(tEditais[Órgão],MATCH(tItens[[#This Row],[Edital]],tEditais[Edital],0)),"")</f>
        <v>ESTADO DE MATO GROSSO</v>
      </c>
      <c r="H4238" t="str">
        <f>IFERROR(INDEX(tEditais[UF],MATCH(tItens[[#This Row],[Edital]],tEditais[Edital],0)),"")</f>
        <v>MT</v>
      </c>
      <c r="I4238" s="11">
        <f>IFERROR(INDEX(tEditais[Encerramento],MATCH(tItens[[#This Row],[Edital]],tEditais[Edital],0)),"")</f>
        <v>46309.40625</v>
      </c>
      <c r="J4238" t="str">
        <f>IFERROR(INDEX(tProdutos[Classe],MATCH(tItens[[#This Row],[Produto]],tProdutos[Produto],0)),"produto não cadastrado")</f>
        <v>FORA</v>
      </c>
      <c r="K4238" s="12">
        <f>tItens[[#This Row],[Qtd]]*tItens[[#This Row],[Vlr unit]]</f>
        <v>353.5</v>
      </c>
      <c r="L4238" s="6">
        <f>IFERROR(IF(INDEX(tProdutos[Desconto homologado],MATCH(tItens[[#This Row],[Produto]],tProdutos[Produto],0))="",DescontoPadrao,INDEX(tProdutos[Desconto homologado],MATCH(tItens[[#This Row],[Produto]],tProdutos[Produto],0))),DescontoPadrao)</f>
        <v>0.43</v>
      </c>
      <c r="M4238" s="12">
        <f>tItens[[#This Row],[Valor]]*(1-tItens[[#This Row],[Desconto]])</f>
        <v>201.49500000000003</v>
      </c>
      <c r="N4238" t="str">
        <f>IFERROR(INDEX(tProdutos[Foco],MATCH(tItens[[#This Row],[Produto]],tProdutos[Produto],0)),"Não")</f>
        <v>Sim</v>
      </c>
      <c r="O4238" t="str">
        <f>IFERROR(INDEX(tEditais[SRP],MATCH(tItens[[#This Row],[Edital]],tEditais[Edital],0)),"Não")</f>
        <v>Não</v>
      </c>
      <c r="P4238" s="4">
        <f>IF(COUNTIFS(INDEX(tItens[Edital],1):tItens[[#This Row],[Edital]],tItens[[#This Row],[Edital]],INDEX(tItens[Produto],1):tItens[[#This Row],[Produto]],tItens[[#This Row],[Produto]])=1,1,0)</f>
        <v>1</v>
      </c>
    </row>
    <row r="4239" spans="1:16" x14ac:dyDescent="0.25">
      <c r="A4239" t="s">
        <v>1699</v>
      </c>
      <c r="B4239">
        <v>41</v>
      </c>
      <c r="C4239" t="s">
        <v>7094</v>
      </c>
      <c r="D4239" t="s">
        <v>56</v>
      </c>
      <c r="E4239" s="13">
        <v>750</v>
      </c>
      <c r="F4239" s="12">
        <v>3.13</v>
      </c>
      <c r="G4239" t="str">
        <f>IFERROR(INDEX(tEditais[Órgão],MATCH(tItens[[#This Row],[Edital]],tEditais[Edital],0)),"")</f>
        <v>ESTADO DE MATO GROSSO</v>
      </c>
      <c r="H4239" t="str">
        <f>IFERROR(INDEX(tEditais[UF],MATCH(tItens[[#This Row],[Edital]],tEditais[Edital],0)),"")</f>
        <v>MT</v>
      </c>
      <c r="I4239" s="11">
        <f>IFERROR(INDEX(tEditais[Encerramento],MATCH(tItens[[#This Row],[Edital]],tEditais[Edital],0)),"")</f>
        <v>46309.40625</v>
      </c>
      <c r="J4239" t="str">
        <f>IFERROR(INDEX(tProdutos[Classe],MATCH(tItens[[#This Row],[Produto]],tProdutos[Produto],0)),"produto não cadastrado")</f>
        <v>NÚCLEO</v>
      </c>
      <c r="K4239" s="12">
        <f>tItens[[#This Row],[Qtd]]*tItens[[#This Row],[Vlr unit]]</f>
        <v>2347.5</v>
      </c>
      <c r="L4239" s="6">
        <f>IFERROR(IF(INDEX(tProdutos[Desconto homologado],MATCH(tItens[[#This Row],[Produto]],tProdutos[Produto],0))="",DescontoPadrao,INDEX(tProdutos[Desconto homologado],MATCH(tItens[[#This Row],[Produto]],tProdutos[Produto],0))),DescontoPadrao)</f>
        <v>0.34</v>
      </c>
      <c r="M4239" s="12">
        <f>tItens[[#This Row],[Valor]]*(1-tItens[[#This Row],[Desconto]])</f>
        <v>1549.35</v>
      </c>
      <c r="N4239" t="str">
        <f>IFERROR(INDEX(tProdutos[Foco],MATCH(tItens[[#This Row],[Produto]],tProdutos[Produto],0)),"Não")</f>
        <v>Sim</v>
      </c>
      <c r="O4239" t="str">
        <f>IFERROR(INDEX(tEditais[SRP],MATCH(tItens[[#This Row],[Edital]],tEditais[Edital],0)),"Não")</f>
        <v>Não</v>
      </c>
      <c r="P4239" s="4">
        <f>IF(COUNTIFS(INDEX(tItens[Edital],1):tItens[[#This Row],[Edital]],tItens[[#This Row],[Edital]],INDEX(tItens[Produto],1):tItens[[#This Row],[Produto]],tItens[[#This Row],[Produto]])=1,1,0)</f>
        <v>0</v>
      </c>
    </row>
    <row r="4240" spans="1:16" x14ac:dyDescent="0.25">
      <c r="A4240" t="s">
        <v>1699</v>
      </c>
      <c r="B4240">
        <v>42</v>
      </c>
      <c r="C4240" t="s">
        <v>7095</v>
      </c>
      <c r="D4240" t="s">
        <v>423</v>
      </c>
      <c r="E4240" s="13">
        <v>40</v>
      </c>
      <c r="F4240" s="12">
        <v>11.4</v>
      </c>
      <c r="G4240" t="str">
        <f>IFERROR(INDEX(tEditais[Órgão],MATCH(tItens[[#This Row],[Edital]],tEditais[Edital],0)),"")</f>
        <v>ESTADO DE MATO GROSSO</v>
      </c>
      <c r="H4240" t="str">
        <f>IFERROR(INDEX(tEditais[UF],MATCH(tItens[[#This Row],[Edital]],tEditais[Edital],0)),"")</f>
        <v>MT</v>
      </c>
      <c r="I4240" s="11">
        <f>IFERROR(INDEX(tEditais[Encerramento],MATCH(tItens[[#This Row],[Edital]],tEditais[Edital],0)),"")</f>
        <v>46309.40625</v>
      </c>
      <c r="J4240" t="str">
        <f>IFERROR(INDEX(tProdutos[Classe],MATCH(tItens[[#This Row],[Produto]],tProdutos[Produto],0)),"produto não cadastrado")</f>
        <v>FORA</v>
      </c>
      <c r="K4240" s="12">
        <f>tItens[[#This Row],[Qtd]]*tItens[[#This Row],[Vlr unit]]</f>
        <v>456</v>
      </c>
      <c r="L4240" s="6">
        <f>IFERROR(IF(INDEX(tProdutos[Desconto homologado],MATCH(tItens[[#This Row],[Produto]],tProdutos[Produto],0))="",DescontoPadrao,INDEX(tProdutos[Desconto homologado],MATCH(tItens[[#This Row],[Produto]],tProdutos[Produto],0))),DescontoPadrao)</f>
        <v>0.38271604938271597</v>
      </c>
      <c r="M4240" s="12">
        <f>tItens[[#This Row],[Valor]]*(1-tItens[[#This Row],[Desconto]])</f>
        <v>281.48148148148152</v>
      </c>
      <c r="N4240" t="str">
        <f>IFERROR(INDEX(tProdutos[Foco],MATCH(tItens[[#This Row],[Produto]],tProdutos[Produto],0)),"Não")</f>
        <v>Não</v>
      </c>
      <c r="O4240" t="str">
        <f>IFERROR(INDEX(tEditais[SRP],MATCH(tItens[[#This Row],[Edital]],tEditais[Edital],0)),"Não")</f>
        <v>Não</v>
      </c>
      <c r="P4240" s="4">
        <f>IF(COUNTIFS(INDEX(tItens[Edital],1):tItens[[#This Row],[Edital]],tItens[[#This Row],[Edital]],INDEX(tItens[Produto],1):tItens[[#This Row],[Produto]],tItens[[#This Row],[Produto]])=1,1,0)</f>
        <v>1</v>
      </c>
    </row>
    <row r="4241" spans="1:16" x14ac:dyDescent="0.25">
      <c r="A4241" t="s">
        <v>1699</v>
      </c>
      <c r="B4241">
        <v>45</v>
      </c>
      <c r="C4241" t="s">
        <v>7096</v>
      </c>
      <c r="D4241" t="s">
        <v>247</v>
      </c>
      <c r="E4241" s="13">
        <v>4650</v>
      </c>
      <c r="F4241" s="12">
        <v>2</v>
      </c>
      <c r="G4241" t="str">
        <f>IFERROR(INDEX(tEditais[Órgão],MATCH(tItens[[#This Row],[Edital]],tEditais[Edital],0)),"")</f>
        <v>ESTADO DE MATO GROSSO</v>
      </c>
      <c r="H4241" t="str">
        <f>IFERROR(INDEX(tEditais[UF],MATCH(tItens[[#This Row],[Edital]],tEditais[Edital],0)),"")</f>
        <v>MT</v>
      </c>
      <c r="I4241" s="11">
        <f>IFERROR(INDEX(tEditais[Encerramento],MATCH(tItens[[#This Row],[Edital]],tEditais[Edital],0)),"")</f>
        <v>46309.40625</v>
      </c>
      <c r="J4241" t="str">
        <f>IFERROR(INDEX(tProdutos[Classe],MATCH(tItens[[#This Row],[Produto]],tProdutos[Produto],0)),"produto não cadastrado")</f>
        <v>FORA</v>
      </c>
      <c r="K4241" s="12">
        <f>tItens[[#This Row],[Qtd]]*tItens[[#This Row],[Vlr unit]]</f>
        <v>9300</v>
      </c>
      <c r="L4241" s="6">
        <f>IFERROR(IF(INDEX(tProdutos[Desconto homologado],MATCH(tItens[[#This Row],[Produto]],tProdutos[Produto],0))="",DescontoPadrao,INDEX(tProdutos[Desconto homologado],MATCH(tItens[[#This Row],[Produto]],tProdutos[Produto],0))),DescontoPadrao)</f>
        <v>0.27353256199762999</v>
      </c>
      <c r="M4241" s="12">
        <f>tItens[[#This Row],[Valor]]*(1-tItens[[#This Row],[Desconto]])</f>
        <v>6756.1471734220413</v>
      </c>
      <c r="N4241" t="str">
        <f>IFERROR(INDEX(tProdutos[Foco],MATCH(tItens[[#This Row],[Produto]],tProdutos[Produto],0)),"Não")</f>
        <v>Não</v>
      </c>
      <c r="O4241" t="str">
        <f>IFERROR(INDEX(tEditais[SRP],MATCH(tItens[[#This Row],[Edital]],tEditais[Edital],0)),"Não")</f>
        <v>Não</v>
      </c>
      <c r="P4241" s="4">
        <f>IF(COUNTIFS(INDEX(tItens[Edital],1):tItens[[#This Row],[Edital]],tItens[[#This Row],[Edital]],INDEX(tItens[Produto],1):tItens[[#This Row],[Produto]],tItens[[#This Row],[Produto]])=1,1,0)</f>
        <v>1</v>
      </c>
    </row>
    <row r="4242" spans="1:16" x14ac:dyDescent="0.25">
      <c r="A4242" t="s">
        <v>1699</v>
      </c>
      <c r="B4242">
        <v>46</v>
      </c>
      <c r="C4242" t="s">
        <v>7097</v>
      </c>
      <c r="D4242" t="s">
        <v>281</v>
      </c>
      <c r="E4242" s="13">
        <v>6100</v>
      </c>
      <c r="F4242" s="12">
        <v>0.86</v>
      </c>
      <c r="G4242" t="str">
        <f>IFERROR(INDEX(tEditais[Órgão],MATCH(tItens[[#This Row],[Edital]],tEditais[Edital],0)),"")</f>
        <v>ESTADO DE MATO GROSSO</v>
      </c>
      <c r="H4242" t="str">
        <f>IFERROR(INDEX(tEditais[UF],MATCH(tItens[[#This Row],[Edital]],tEditais[Edital],0)),"")</f>
        <v>MT</v>
      </c>
      <c r="I4242" s="11">
        <f>IFERROR(INDEX(tEditais[Encerramento],MATCH(tItens[[#This Row],[Edital]],tEditais[Edital],0)),"")</f>
        <v>46309.40625</v>
      </c>
      <c r="J4242" t="str">
        <f>IFERROR(INDEX(tProdutos[Classe],MATCH(tItens[[#This Row],[Produto]],tProdutos[Produto],0)),"produto não cadastrado")</f>
        <v>DISPUTADO</v>
      </c>
      <c r="K4242" s="12">
        <f>tItens[[#This Row],[Qtd]]*tItens[[#This Row],[Vlr unit]]</f>
        <v>5246</v>
      </c>
      <c r="L4242" s="6">
        <f>IFERROR(IF(INDEX(tProdutos[Desconto homologado],MATCH(tItens[[#This Row],[Produto]],tProdutos[Produto],0))="",DescontoPadrao,INDEX(tProdutos[Desconto homologado],MATCH(tItens[[#This Row],[Produto]],tProdutos[Produto],0))),DescontoPadrao)</f>
        <v>0.42461538461538501</v>
      </c>
      <c r="M4242" s="12">
        <f>tItens[[#This Row],[Valor]]*(1-tItens[[#This Row],[Desconto]])</f>
        <v>3018.46769230769</v>
      </c>
      <c r="N4242" t="str">
        <f>IFERROR(INDEX(tProdutos[Foco],MATCH(tItens[[#This Row],[Produto]],tProdutos[Produto],0)),"Não")</f>
        <v>Não</v>
      </c>
      <c r="O4242" t="str">
        <f>IFERROR(INDEX(tEditais[SRP],MATCH(tItens[[#This Row],[Edital]],tEditais[Edital],0)),"Não")</f>
        <v>Não</v>
      </c>
      <c r="P4242" s="4">
        <f>IF(COUNTIFS(INDEX(tItens[Edital],1):tItens[[#This Row],[Edital]],tItens[[#This Row],[Edital]],INDEX(tItens[Produto],1):tItens[[#This Row],[Produto]],tItens[[#This Row],[Produto]])=1,1,0)</f>
        <v>1</v>
      </c>
    </row>
    <row r="4243" spans="1:16" x14ac:dyDescent="0.25">
      <c r="A4243" t="s">
        <v>1699</v>
      </c>
      <c r="B4243">
        <v>47</v>
      </c>
      <c r="C4243" t="s">
        <v>7098</v>
      </c>
      <c r="D4243" t="s">
        <v>315</v>
      </c>
      <c r="E4243" s="13">
        <v>207</v>
      </c>
      <c r="F4243" s="12">
        <v>14.92</v>
      </c>
      <c r="G4243" t="str">
        <f>IFERROR(INDEX(tEditais[Órgão],MATCH(tItens[[#This Row],[Edital]],tEditais[Edital],0)),"")</f>
        <v>ESTADO DE MATO GROSSO</v>
      </c>
      <c r="H4243" t="str">
        <f>IFERROR(INDEX(tEditais[UF],MATCH(tItens[[#This Row],[Edital]],tEditais[Edital],0)),"")</f>
        <v>MT</v>
      </c>
      <c r="I4243" s="11">
        <f>IFERROR(INDEX(tEditais[Encerramento],MATCH(tItens[[#This Row],[Edital]],tEditais[Edital],0)),"")</f>
        <v>46309.40625</v>
      </c>
      <c r="J4243" t="str">
        <f>IFERROR(INDEX(tProdutos[Classe],MATCH(tItens[[#This Row],[Produto]],tProdutos[Produto],0)),"produto não cadastrado")</f>
        <v>FORA</v>
      </c>
      <c r="K4243" s="12">
        <f>tItens[[#This Row],[Qtd]]*tItens[[#This Row],[Vlr unit]]</f>
        <v>3088.44</v>
      </c>
      <c r="L4243" s="6">
        <f>IFERROR(IF(INDEX(tProdutos[Desconto homologado],MATCH(tItens[[#This Row],[Produto]],tProdutos[Produto],0))="",DescontoPadrao,INDEX(tProdutos[Desconto homologado],MATCH(tItens[[#This Row],[Produto]],tProdutos[Produto],0))),DescontoPadrao)</f>
        <v>0.38432036097010702</v>
      </c>
      <c r="M4243" s="12">
        <f>tItens[[#This Row],[Valor]]*(1-tItens[[#This Row],[Desconto]])</f>
        <v>1901.4896243654828</v>
      </c>
      <c r="N4243" t="str">
        <f>IFERROR(INDEX(tProdutos[Foco],MATCH(tItens[[#This Row],[Produto]],tProdutos[Produto],0)),"Não")</f>
        <v>Não</v>
      </c>
      <c r="O4243" t="str">
        <f>IFERROR(INDEX(tEditais[SRP],MATCH(tItens[[#This Row],[Edital]],tEditais[Edital],0)),"Não")</f>
        <v>Não</v>
      </c>
      <c r="P4243" s="4">
        <f>IF(COUNTIFS(INDEX(tItens[Edital],1):tItens[[#This Row],[Edital]],tItens[[#This Row],[Edital]],INDEX(tItens[Produto],1):tItens[[#This Row],[Produto]],tItens[[#This Row],[Produto]])=1,1,0)</f>
        <v>1</v>
      </c>
    </row>
    <row r="4244" spans="1:16" x14ac:dyDescent="0.25">
      <c r="A4244" t="s">
        <v>1699</v>
      </c>
      <c r="B4244">
        <v>48</v>
      </c>
      <c r="C4244" t="s">
        <v>7099</v>
      </c>
      <c r="D4244" t="s">
        <v>315</v>
      </c>
      <c r="E4244" s="13">
        <v>11</v>
      </c>
      <c r="F4244" s="12">
        <v>14.45</v>
      </c>
      <c r="G4244" t="str">
        <f>IFERROR(INDEX(tEditais[Órgão],MATCH(tItens[[#This Row],[Edital]],tEditais[Edital],0)),"")</f>
        <v>ESTADO DE MATO GROSSO</v>
      </c>
      <c r="H4244" t="str">
        <f>IFERROR(INDEX(tEditais[UF],MATCH(tItens[[#This Row],[Edital]],tEditais[Edital],0)),"")</f>
        <v>MT</v>
      </c>
      <c r="I4244" s="11">
        <f>IFERROR(INDEX(tEditais[Encerramento],MATCH(tItens[[#This Row],[Edital]],tEditais[Edital],0)),"")</f>
        <v>46309.40625</v>
      </c>
      <c r="J4244" t="str">
        <f>IFERROR(INDEX(tProdutos[Classe],MATCH(tItens[[#This Row],[Produto]],tProdutos[Produto],0)),"produto não cadastrado")</f>
        <v>FORA</v>
      </c>
      <c r="K4244" s="12">
        <f>tItens[[#This Row],[Qtd]]*tItens[[#This Row],[Vlr unit]]</f>
        <v>158.94999999999999</v>
      </c>
      <c r="L4244" s="6">
        <f>IFERROR(IF(INDEX(tProdutos[Desconto homologado],MATCH(tItens[[#This Row],[Produto]],tProdutos[Produto],0))="",DescontoPadrao,INDEX(tProdutos[Desconto homologado],MATCH(tItens[[#This Row],[Produto]],tProdutos[Produto],0))),DescontoPadrao)</f>
        <v>0.38432036097010702</v>
      </c>
      <c r="M4244" s="12">
        <f>tItens[[#This Row],[Valor]]*(1-tItens[[#This Row],[Desconto]])</f>
        <v>97.862278623801487</v>
      </c>
      <c r="N4244" t="str">
        <f>IFERROR(INDEX(tProdutos[Foco],MATCH(tItens[[#This Row],[Produto]],tProdutos[Produto],0)),"Não")</f>
        <v>Não</v>
      </c>
      <c r="O4244" t="str">
        <f>IFERROR(INDEX(tEditais[SRP],MATCH(tItens[[#This Row],[Edital]],tEditais[Edital],0)),"Não")</f>
        <v>Não</v>
      </c>
      <c r="P4244" s="4">
        <f>IF(COUNTIFS(INDEX(tItens[Edital],1):tItens[[#This Row],[Edital]],tItens[[#This Row],[Edital]],INDEX(tItens[Produto],1):tItens[[#This Row],[Produto]],tItens[[#This Row],[Produto]])=1,1,0)</f>
        <v>0</v>
      </c>
    </row>
    <row r="4245" spans="1:16" x14ac:dyDescent="0.25">
      <c r="A4245" t="s">
        <v>1699</v>
      </c>
      <c r="B4245">
        <v>53</v>
      </c>
      <c r="C4245" t="s">
        <v>7100</v>
      </c>
      <c r="D4245" t="s">
        <v>289</v>
      </c>
      <c r="E4245" s="13">
        <v>6900</v>
      </c>
      <c r="F4245" s="12">
        <v>1.29</v>
      </c>
      <c r="G4245" t="str">
        <f>IFERROR(INDEX(tEditais[Órgão],MATCH(tItens[[#This Row],[Edital]],tEditais[Edital],0)),"")</f>
        <v>ESTADO DE MATO GROSSO</v>
      </c>
      <c r="H4245" t="str">
        <f>IFERROR(INDEX(tEditais[UF],MATCH(tItens[[#This Row],[Edital]],tEditais[Edital],0)),"")</f>
        <v>MT</v>
      </c>
      <c r="I4245" s="11">
        <f>IFERROR(INDEX(tEditais[Encerramento],MATCH(tItens[[#This Row],[Edital]],tEditais[Edital],0)),"")</f>
        <v>46309.40625</v>
      </c>
      <c r="J4245" t="str">
        <f>IFERROR(INDEX(tProdutos[Classe],MATCH(tItens[[#This Row],[Produto]],tProdutos[Produto],0)),"produto não cadastrado")</f>
        <v>DISPUTADO</v>
      </c>
      <c r="K4245" s="12">
        <f>tItens[[#This Row],[Qtd]]*tItens[[#This Row],[Vlr unit]]</f>
        <v>8901</v>
      </c>
      <c r="L4245" s="6">
        <f>IFERROR(IF(INDEX(tProdutos[Desconto homologado],MATCH(tItens[[#This Row],[Produto]],tProdutos[Produto],0))="",DescontoPadrao,INDEX(tProdutos[Desconto homologado],MATCH(tItens[[#This Row],[Produto]],tProdutos[Produto],0))),DescontoPadrao)</f>
        <v>0.35849056603773599</v>
      </c>
      <c r="M4245" s="12">
        <f>tItens[[#This Row],[Valor]]*(1-tItens[[#This Row],[Desconto]])</f>
        <v>5710.0754716981119</v>
      </c>
      <c r="N4245" t="str">
        <f>IFERROR(INDEX(tProdutos[Foco],MATCH(tItens[[#This Row],[Produto]],tProdutos[Produto],0)),"Não")</f>
        <v>Não</v>
      </c>
      <c r="O4245" t="str">
        <f>IFERROR(INDEX(tEditais[SRP],MATCH(tItens[[#This Row],[Edital]],tEditais[Edital],0)),"Não")</f>
        <v>Não</v>
      </c>
      <c r="P4245" s="4">
        <f>IF(COUNTIFS(INDEX(tItens[Edital],1):tItens[[#This Row],[Edital]],tItens[[#This Row],[Edital]],INDEX(tItens[Produto],1):tItens[[#This Row],[Produto]],tItens[[#This Row],[Produto]])=1,1,0)</f>
        <v>1</v>
      </c>
    </row>
    <row r="4246" spans="1:16" x14ac:dyDescent="0.25">
      <c r="A4246" t="s">
        <v>1699</v>
      </c>
      <c r="B4246">
        <v>54</v>
      </c>
      <c r="C4246" t="s">
        <v>7101</v>
      </c>
      <c r="D4246" t="s">
        <v>315</v>
      </c>
      <c r="E4246" s="13">
        <v>130</v>
      </c>
      <c r="F4246" s="12">
        <v>0.25</v>
      </c>
      <c r="G4246" t="str">
        <f>IFERROR(INDEX(tEditais[Órgão],MATCH(tItens[[#This Row],[Edital]],tEditais[Edital],0)),"")</f>
        <v>ESTADO DE MATO GROSSO</v>
      </c>
      <c r="H4246" t="str">
        <f>IFERROR(INDEX(tEditais[UF],MATCH(tItens[[#This Row],[Edital]],tEditais[Edital],0)),"")</f>
        <v>MT</v>
      </c>
      <c r="I4246" s="11">
        <f>IFERROR(INDEX(tEditais[Encerramento],MATCH(tItens[[#This Row],[Edital]],tEditais[Edital],0)),"")</f>
        <v>46309.40625</v>
      </c>
      <c r="J4246" t="str">
        <f>IFERROR(INDEX(tProdutos[Classe],MATCH(tItens[[#This Row],[Produto]],tProdutos[Produto],0)),"produto não cadastrado")</f>
        <v>FORA</v>
      </c>
      <c r="K4246" s="12">
        <f>tItens[[#This Row],[Qtd]]*tItens[[#This Row],[Vlr unit]]</f>
        <v>32.5</v>
      </c>
      <c r="L4246" s="6">
        <f>IFERROR(IF(INDEX(tProdutos[Desconto homologado],MATCH(tItens[[#This Row],[Produto]],tProdutos[Produto],0))="",DescontoPadrao,INDEX(tProdutos[Desconto homologado],MATCH(tItens[[#This Row],[Produto]],tProdutos[Produto],0))),DescontoPadrao)</f>
        <v>0.38432036097010702</v>
      </c>
      <c r="M4246" s="12">
        <f>tItens[[#This Row],[Valor]]*(1-tItens[[#This Row],[Desconto]])</f>
        <v>20.009588268471521</v>
      </c>
      <c r="N4246" t="str">
        <f>IFERROR(INDEX(tProdutos[Foco],MATCH(tItens[[#This Row],[Produto]],tProdutos[Produto],0)),"Não")</f>
        <v>Não</v>
      </c>
      <c r="O4246" t="str">
        <f>IFERROR(INDEX(tEditais[SRP],MATCH(tItens[[#This Row],[Edital]],tEditais[Edital],0)),"Não")</f>
        <v>Não</v>
      </c>
      <c r="P4246" s="4">
        <f>IF(COUNTIFS(INDEX(tItens[Edital],1):tItens[[#This Row],[Edital]],tItens[[#This Row],[Edital]],INDEX(tItens[Produto],1):tItens[[#This Row],[Produto]],tItens[[#This Row],[Produto]])=1,1,0)</f>
        <v>0</v>
      </c>
    </row>
    <row r="4247" spans="1:16" x14ac:dyDescent="0.25">
      <c r="A4247" t="s">
        <v>1699</v>
      </c>
      <c r="B4247">
        <v>55</v>
      </c>
      <c r="C4247" t="s">
        <v>7102</v>
      </c>
      <c r="D4247" t="s">
        <v>315</v>
      </c>
      <c r="E4247" s="13">
        <v>273</v>
      </c>
      <c r="F4247" s="12">
        <v>14.61</v>
      </c>
      <c r="G4247" t="str">
        <f>IFERROR(INDEX(tEditais[Órgão],MATCH(tItens[[#This Row],[Edital]],tEditais[Edital],0)),"")</f>
        <v>ESTADO DE MATO GROSSO</v>
      </c>
      <c r="H4247" t="str">
        <f>IFERROR(INDEX(tEditais[UF],MATCH(tItens[[#This Row],[Edital]],tEditais[Edital],0)),"")</f>
        <v>MT</v>
      </c>
      <c r="I4247" s="11">
        <f>IFERROR(INDEX(tEditais[Encerramento],MATCH(tItens[[#This Row],[Edital]],tEditais[Edital],0)),"")</f>
        <v>46309.40625</v>
      </c>
      <c r="J4247" t="str">
        <f>IFERROR(INDEX(tProdutos[Classe],MATCH(tItens[[#This Row],[Produto]],tProdutos[Produto],0)),"produto não cadastrado")</f>
        <v>FORA</v>
      </c>
      <c r="K4247" s="12">
        <f>tItens[[#This Row],[Qtd]]*tItens[[#This Row],[Vlr unit]]</f>
        <v>3988.5299999999997</v>
      </c>
      <c r="L4247" s="6">
        <f>IFERROR(IF(INDEX(tProdutos[Desconto homologado],MATCH(tItens[[#This Row],[Produto]],tProdutos[Produto],0))="",DescontoPadrao,INDEX(tProdutos[Desconto homologado],MATCH(tItens[[#This Row],[Produto]],tProdutos[Produto],0))),DescontoPadrao)</f>
        <v>0.38432036097010702</v>
      </c>
      <c r="M4247" s="12">
        <f>tItens[[#This Row],[Valor]]*(1-tItens[[#This Row],[Desconto]])</f>
        <v>2455.6567106598991</v>
      </c>
      <c r="N4247" t="str">
        <f>IFERROR(INDEX(tProdutos[Foco],MATCH(tItens[[#This Row],[Produto]],tProdutos[Produto],0)),"Não")</f>
        <v>Não</v>
      </c>
      <c r="O4247" t="str">
        <f>IFERROR(INDEX(tEditais[SRP],MATCH(tItens[[#This Row],[Edital]],tEditais[Edital],0)),"Não")</f>
        <v>Não</v>
      </c>
      <c r="P4247" s="4">
        <f>IF(COUNTIFS(INDEX(tItens[Edital],1):tItens[[#This Row],[Edital]],tItens[[#This Row],[Edital]],INDEX(tItens[Produto],1):tItens[[#This Row],[Produto]],tItens[[#This Row],[Produto]])=1,1,0)</f>
        <v>0</v>
      </c>
    </row>
    <row r="4248" spans="1:16" x14ac:dyDescent="0.25">
      <c r="A4248" t="s">
        <v>1699</v>
      </c>
      <c r="B4248">
        <v>58</v>
      </c>
      <c r="C4248" t="s">
        <v>7103</v>
      </c>
      <c r="D4248" t="s">
        <v>512</v>
      </c>
      <c r="E4248" s="13">
        <v>74</v>
      </c>
      <c r="F4248" s="12">
        <v>16.079999999999998</v>
      </c>
      <c r="G4248" t="str">
        <f>IFERROR(INDEX(tEditais[Órgão],MATCH(tItens[[#This Row],[Edital]],tEditais[Edital],0)),"")</f>
        <v>ESTADO DE MATO GROSSO</v>
      </c>
      <c r="H4248" t="str">
        <f>IFERROR(INDEX(tEditais[UF],MATCH(tItens[[#This Row],[Edital]],tEditais[Edital],0)),"")</f>
        <v>MT</v>
      </c>
      <c r="I4248" s="11">
        <f>IFERROR(INDEX(tEditais[Encerramento],MATCH(tItens[[#This Row],[Edital]],tEditais[Edital],0)),"")</f>
        <v>46309.40625</v>
      </c>
      <c r="J4248" t="str">
        <f>IFERROR(INDEX(tProdutos[Classe],MATCH(tItens[[#This Row],[Produto]],tProdutos[Produto],0)),"produto não cadastrado")</f>
        <v>FILA REBASE</v>
      </c>
      <c r="K4248" s="12">
        <f>tItens[[#This Row],[Qtd]]*tItens[[#This Row],[Vlr unit]]</f>
        <v>1189.9199999999998</v>
      </c>
      <c r="L4248" s="6">
        <f>IFERROR(IF(INDEX(tProdutos[Desconto homologado],MATCH(tItens[[#This Row],[Produto]],tProdutos[Produto],0))="",DescontoPadrao,INDEX(tProdutos[Desconto homologado],MATCH(tItens[[#This Row],[Produto]],tProdutos[Produto],0))),DescontoPadrao)</f>
        <v>0.32579365079365102</v>
      </c>
      <c r="M4248" s="12">
        <f>tItens[[#This Row],[Valor]]*(1-tItens[[#This Row],[Desconto]])</f>
        <v>802.25161904761876</v>
      </c>
      <c r="N4248" t="str">
        <f>IFERROR(INDEX(tProdutos[Foco],MATCH(tItens[[#This Row],[Produto]],tProdutos[Produto],0)),"Não")</f>
        <v>Não</v>
      </c>
      <c r="O4248" t="str">
        <f>IFERROR(INDEX(tEditais[SRP],MATCH(tItens[[#This Row],[Edital]],tEditais[Edital],0)),"Não")</f>
        <v>Não</v>
      </c>
      <c r="P4248" s="4">
        <f>IF(COUNTIFS(INDEX(tItens[Edital],1):tItens[[#This Row],[Edital]],tItens[[#This Row],[Edital]],INDEX(tItens[Produto],1):tItens[[#This Row],[Produto]],tItens[[#This Row],[Produto]])=1,1,0)</f>
        <v>1</v>
      </c>
    </row>
    <row r="4249" spans="1:16" x14ac:dyDescent="0.25">
      <c r="A4249" t="s">
        <v>1699</v>
      </c>
      <c r="B4249">
        <v>62</v>
      </c>
      <c r="C4249" t="s">
        <v>7104</v>
      </c>
      <c r="D4249" t="s">
        <v>333</v>
      </c>
      <c r="E4249" s="13">
        <v>10300</v>
      </c>
      <c r="F4249" s="12">
        <v>2.57</v>
      </c>
      <c r="G4249" t="str">
        <f>IFERROR(INDEX(tEditais[Órgão],MATCH(tItens[[#This Row],[Edital]],tEditais[Edital],0)),"")</f>
        <v>ESTADO DE MATO GROSSO</v>
      </c>
      <c r="H4249" t="str">
        <f>IFERROR(INDEX(tEditais[UF],MATCH(tItens[[#This Row],[Edital]],tEditais[Edital],0)),"")</f>
        <v>MT</v>
      </c>
      <c r="I4249" s="11">
        <f>IFERROR(INDEX(tEditais[Encerramento],MATCH(tItens[[#This Row],[Edital]],tEditais[Edital],0)),"")</f>
        <v>46309.40625</v>
      </c>
      <c r="J4249" t="str">
        <f>IFERROR(INDEX(tProdutos[Classe],MATCH(tItens[[#This Row],[Produto]],tProdutos[Produto],0)),"produto não cadastrado")</f>
        <v>FORA</v>
      </c>
      <c r="K4249" s="12">
        <f>tItens[[#This Row],[Qtd]]*tItens[[#This Row],[Vlr unit]]</f>
        <v>26471</v>
      </c>
      <c r="L4249" s="6">
        <f>IFERROR(IF(INDEX(tProdutos[Desconto homologado],MATCH(tItens[[#This Row],[Produto]],tProdutos[Produto],0))="",DescontoPadrao,INDEX(tProdutos[Desconto homologado],MATCH(tItens[[#This Row],[Produto]],tProdutos[Produto],0))),DescontoPadrao)</f>
        <v>0.48951048951048998</v>
      </c>
      <c r="M4249" s="12">
        <f>tItens[[#This Row],[Valor]]*(1-tItens[[#This Row],[Desconto]])</f>
        <v>13513.167832167819</v>
      </c>
      <c r="N4249" t="str">
        <f>IFERROR(INDEX(tProdutos[Foco],MATCH(tItens[[#This Row],[Produto]],tProdutos[Produto],0)),"Não")</f>
        <v>Não</v>
      </c>
      <c r="O4249" t="str">
        <f>IFERROR(INDEX(tEditais[SRP],MATCH(tItens[[#This Row],[Edital]],tEditais[Edital],0)),"Não")</f>
        <v>Não</v>
      </c>
      <c r="P4249" s="4">
        <f>IF(COUNTIFS(INDEX(tItens[Edital],1):tItens[[#This Row],[Edital]],tItens[[#This Row],[Edital]],INDEX(tItens[Produto],1):tItens[[#This Row],[Produto]],tItens[[#This Row],[Produto]])=1,1,0)</f>
        <v>1</v>
      </c>
    </row>
    <row r="4250" spans="1:16" x14ac:dyDescent="0.25">
      <c r="A4250" t="s">
        <v>1699</v>
      </c>
      <c r="B4250">
        <v>64</v>
      </c>
      <c r="C4250" t="s">
        <v>7105</v>
      </c>
      <c r="D4250" t="s">
        <v>201</v>
      </c>
      <c r="E4250" s="13">
        <v>47</v>
      </c>
      <c r="F4250" s="12">
        <v>49.26</v>
      </c>
      <c r="G4250" t="str">
        <f>IFERROR(INDEX(tEditais[Órgão],MATCH(tItens[[#This Row],[Edital]],tEditais[Edital],0)),"")</f>
        <v>ESTADO DE MATO GROSSO</v>
      </c>
      <c r="H4250" t="str">
        <f>IFERROR(INDEX(tEditais[UF],MATCH(tItens[[#This Row],[Edital]],tEditais[Edital],0)),"")</f>
        <v>MT</v>
      </c>
      <c r="I4250" s="11">
        <f>IFERROR(INDEX(tEditais[Encerramento],MATCH(tItens[[#This Row],[Edital]],tEditais[Edital],0)),"")</f>
        <v>46309.40625</v>
      </c>
      <c r="J4250" t="str">
        <f>IFERROR(INDEX(tProdutos[Classe],MATCH(tItens[[#This Row],[Produto]],tProdutos[Produto],0)),"produto não cadastrado")</f>
        <v>DISPUTADO</v>
      </c>
      <c r="K4250" s="12">
        <f>tItens[[#This Row],[Qtd]]*tItens[[#This Row],[Vlr unit]]</f>
        <v>2315.2199999999998</v>
      </c>
      <c r="L4250" s="6">
        <f>IFERROR(IF(INDEX(tProdutos[Desconto homologado],MATCH(tItens[[#This Row],[Produto]],tProdutos[Produto],0))="",DescontoPadrao,INDEX(tProdutos[Desconto homologado],MATCH(tItens[[#This Row],[Produto]],tProdutos[Produto],0))),DescontoPadrao)</f>
        <v>0.27203065134099602</v>
      </c>
      <c r="M4250" s="12">
        <f>tItens[[#This Row],[Valor]]*(1-tItens[[#This Row],[Desconto]])</f>
        <v>1685.409195402299</v>
      </c>
      <c r="N4250" t="str">
        <f>IFERROR(INDEX(tProdutos[Foco],MATCH(tItens[[#This Row],[Produto]],tProdutos[Produto],0)),"Não")</f>
        <v>Não</v>
      </c>
      <c r="O4250" t="str">
        <f>IFERROR(INDEX(tEditais[SRP],MATCH(tItens[[#This Row],[Edital]],tEditais[Edital],0)),"Não")</f>
        <v>Não</v>
      </c>
      <c r="P4250" s="4">
        <f>IF(COUNTIFS(INDEX(tItens[Edital],1):tItens[[#This Row],[Edital]],tItens[[#This Row],[Edital]],INDEX(tItens[Produto],1):tItens[[#This Row],[Produto]],tItens[[#This Row],[Produto]])=1,1,0)</f>
        <v>1</v>
      </c>
    </row>
    <row r="4251" spans="1:16" x14ac:dyDescent="0.25">
      <c r="A4251" t="s">
        <v>1699</v>
      </c>
      <c r="B4251">
        <v>71</v>
      </c>
      <c r="C4251" t="s">
        <v>7106</v>
      </c>
      <c r="D4251" t="s">
        <v>267</v>
      </c>
      <c r="E4251" s="13">
        <v>50</v>
      </c>
      <c r="F4251" s="12">
        <v>16.96</v>
      </c>
      <c r="G4251" t="str">
        <f>IFERROR(INDEX(tEditais[Órgão],MATCH(tItens[[#This Row],[Edital]],tEditais[Edital],0)),"")</f>
        <v>ESTADO DE MATO GROSSO</v>
      </c>
      <c r="H4251" t="str">
        <f>IFERROR(INDEX(tEditais[UF],MATCH(tItens[[#This Row],[Edital]],tEditais[Edital],0)),"")</f>
        <v>MT</v>
      </c>
      <c r="I4251" s="11">
        <f>IFERROR(INDEX(tEditais[Encerramento],MATCH(tItens[[#This Row],[Edital]],tEditais[Edital],0)),"")</f>
        <v>46309.40625</v>
      </c>
      <c r="J4251" t="str">
        <f>IFERROR(INDEX(tProdutos[Classe],MATCH(tItens[[#This Row],[Produto]],tProdutos[Produto],0)),"produto não cadastrado")</f>
        <v>FORA</v>
      </c>
      <c r="K4251" s="12">
        <f>tItens[[#This Row],[Qtd]]*tItens[[#This Row],[Vlr unit]]</f>
        <v>848</v>
      </c>
      <c r="L4251" s="6">
        <f>IFERROR(IF(INDEX(tProdutos[Desconto homologado],MATCH(tItens[[#This Row],[Produto]],tProdutos[Produto],0))="",DescontoPadrao,INDEX(tProdutos[Desconto homologado],MATCH(tItens[[#This Row],[Produto]],tProdutos[Produto],0))),DescontoPadrao)</f>
        <v>0.19963672657401599</v>
      </c>
      <c r="M4251" s="12">
        <f>tItens[[#This Row],[Valor]]*(1-tItens[[#This Row],[Desconto]])</f>
        <v>678.70805586523443</v>
      </c>
      <c r="N4251" t="str">
        <f>IFERROR(INDEX(tProdutos[Foco],MATCH(tItens[[#This Row],[Produto]],tProdutos[Produto],0)),"Não")</f>
        <v>Não</v>
      </c>
      <c r="O4251" t="str">
        <f>IFERROR(INDEX(tEditais[SRP],MATCH(tItens[[#This Row],[Edital]],tEditais[Edital],0)),"Não")</f>
        <v>Não</v>
      </c>
      <c r="P4251" s="4">
        <f>IF(COUNTIFS(INDEX(tItens[Edital],1):tItens[[#This Row],[Edital]],tItens[[#This Row],[Edital]],INDEX(tItens[Produto],1):tItens[[#This Row],[Produto]],tItens[[#This Row],[Produto]])=1,1,0)</f>
        <v>1</v>
      </c>
    </row>
    <row r="4252" spans="1:16" x14ac:dyDescent="0.25">
      <c r="A4252" t="s">
        <v>1699</v>
      </c>
      <c r="B4252">
        <v>73</v>
      </c>
      <c r="C4252" t="s">
        <v>7107</v>
      </c>
      <c r="D4252" t="s">
        <v>339</v>
      </c>
      <c r="E4252" s="13">
        <v>10</v>
      </c>
      <c r="F4252" s="12">
        <v>34.340000000000003</v>
      </c>
      <c r="G4252" t="str">
        <f>IFERROR(INDEX(tEditais[Órgão],MATCH(tItens[[#This Row],[Edital]],tEditais[Edital],0)),"")</f>
        <v>ESTADO DE MATO GROSSO</v>
      </c>
      <c r="H4252" t="str">
        <f>IFERROR(INDEX(tEditais[UF],MATCH(tItens[[#This Row],[Edital]],tEditais[Edital],0)),"")</f>
        <v>MT</v>
      </c>
      <c r="I4252" s="11">
        <f>IFERROR(INDEX(tEditais[Encerramento],MATCH(tItens[[#This Row],[Edital]],tEditais[Edital],0)),"")</f>
        <v>46309.40625</v>
      </c>
      <c r="J4252" t="str">
        <f>IFERROR(INDEX(tProdutos[Classe],MATCH(tItens[[#This Row],[Produto]],tProdutos[Produto],0)),"produto não cadastrado")</f>
        <v>FORA</v>
      </c>
      <c r="K4252" s="12">
        <f>tItens[[#This Row],[Qtd]]*tItens[[#This Row],[Vlr unit]]</f>
        <v>343.40000000000003</v>
      </c>
      <c r="L4252" s="6">
        <f>IFERROR(IF(INDEX(tProdutos[Desconto homologado],MATCH(tItens[[#This Row],[Produto]],tProdutos[Produto],0))="",DescontoPadrao,INDEX(tProdutos[Desconto homologado],MATCH(tItens[[#This Row],[Produto]],tProdutos[Produto],0))),DescontoPadrao)</f>
        <v>0.35388629091804102</v>
      </c>
      <c r="M4252" s="12">
        <f>tItens[[#This Row],[Valor]]*(1-tItens[[#This Row],[Desconto]])</f>
        <v>221.87544769874472</v>
      </c>
      <c r="N4252" t="str">
        <f>IFERROR(INDEX(tProdutos[Foco],MATCH(tItens[[#This Row],[Produto]],tProdutos[Produto],0)),"Não")</f>
        <v>Não</v>
      </c>
      <c r="O4252" t="str">
        <f>IFERROR(INDEX(tEditais[SRP],MATCH(tItens[[#This Row],[Edital]],tEditais[Edital],0)),"Não")</f>
        <v>Não</v>
      </c>
      <c r="P4252" s="4">
        <f>IF(COUNTIFS(INDEX(tItens[Edital],1):tItens[[#This Row],[Edital]],tItens[[#This Row],[Edital]],INDEX(tItens[Produto],1):tItens[[#This Row],[Produto]],tItens[[#This Row],[Produto]])=1,1,0)</f>
        <v>1</v>
      </c>
    </row>
    <row r="4253" spans="1:16" x14ac:dyDescent="0.25">
      <c r="A4253" t="s">
        <v>1699</v>
      </c>
      <c r="B4253">
        <v>74</v>
      </c>
      <c r="C4253" t="s">
        <v>7108</v>
      </c>
      <c r="D4253" t="s">
        <v>339</v>
      </c>
      <c r="E4253" s="13">
        <v>10</v>
      </c>
      <c r="F4253" s="12">
        <v>35.19</v>
      </c>
      <c r="G4253" t="str">
        <f>IFERROR(INDEX(tEditais[Órgão],MATCH(tItens[[#This Row],[Edital]],tEditais[Edital],0)),"")</f>
        <v>ESTADO DE MATO GROSSO</v>
      </c>
      <c r="H4253" t="str">
        <f>IFERROR(INDEX(tEditais[UF],MATCH(tItens[[#This Row],[Edital]],tEditais[Edital],0)),"")</f>
        <v>MT</v>
      </c>
      <c r="I4253" s="11">
        <f>IFERROR(INDEX(tEditais[Encerramento],MATCH(tItens[[#This Row],[Edital]],tEditais[Edital],0)),"")</f>
        <v>46309.40625</v>
      </c>
      <c r="J4253" t="str">
        <f>IFERROR(INDEX(tProdutos[Classe],MATCH(tItens[[#This Row],[Produto]],tProdutos[Produto],0)),"produto não cadastrado")</f>
        <v>FORA</v>
      </c>
      <c r="K4253" s="12">
        <f>tItens[[#This Row],[Qtd]]*tItens[[#This Row],[Vlr unit]]</f>
        <v>351.9</v>
      </c>
      <c r="L4253" s="6">
        <f>IFERROR(IF(INDEX(tProdutos[Desconto homologado],MATCH(tItens[[#This Row],[Produto]],tProdutos[Produto],0))="",DescontoPadrao,INDEX(tProdutos[Desconto homologado],MATCH(tItens[[#This Row],[Produto]],tProdutos[Produto],0))),DescontoPadrao)</f>
        <v>0.35388629091804102</v>
      </c>
      <c r="M4253" s="12">
        <f>tItens[[#This Row],[Valor]]*(1-tItens[[#This Row],[Desconto]])</f>
        <v>227.36741422594136</v>
      </c>
      <c r="N4253" t="str">
        <f>IFERROR(INDEX(tProdutos[Foco],MATCH(tItens[[#This Row],[Produto]],tProdutos[Produto],0)),"Não")</f>
        <v>Não</v>
      </c>
      <c r="O4253" t="str">
        <f>IFERROR(INDEX(tEditais[SRP],MATCH(tItens[[#This Row],[Edital]],tEditais[Edital],0)),"Não")</f>
        <v>Não</v>
      </c>
      <c r="P4253" s="4">
        <f>IF(COUNTIFS(INDEX(tItens[Edital],1):tItens[[#This Row],[Edital]],tItens[[#This Row],[Edital]],INDEX(tItens[Produto],1):tItens[[#This Row],[Produto]],tItens[[#This Row],[Produto]])=1,1,0)</f>
        <v>0</v>
      </c>
    </row>
    <row r="4254" spans="1:16" x14ac:dyDescent="0.25">
      <c r="A4254" t="s">
        <v>1699</v>
      </c>
      <c r="B4254">
        <v>75</v>
      </c>
      <c r="C4254" t="s">
        <v>7109</v>
      </c>
      <c r="D4254" t="s">
        <v>339</v>
      </c>
      <c r="E4254" s="13">
        <v>10</v>
      </c>
      <c r="F4254" s="12">
        <v>37.409999999999997</v>
      </c>
      <c r="G4254" t="str">
        <f>IFERROR(INDEX(tEditais[Órgão],MATCH(tItens[[#This Row],[Edital]],tEditais[Edital],0)),"")</f>
        <v>ESTADO DE MATO GROSSO</v>
      </c>
      <c r="H4254" t="str">
        <f>IFERROR(INDEX(tEditais[UF],MATCH(tItens[[#This Row],[Edital]],tEditais[Edital],0)),"")</f>
        <v>MT</v>
      </c>
      <c r="I4254" s="11">
        <f>IFERROR(INDEX(tEditais[Encerramento],MATCH(tItens[[#This Row],[Edital]],tEditais[Edital],0)),"")</f>
        <v>46309.40625</v>
      </c>
      <c r="J4254" t="str">
        <f>IFERROR(INDEX(tProdutos[Classe],MATCH(tItens[[#This Row],[Produto]],tProdutos[Produto],0)),"produto não cadastrado")</f>
        <v>FORA</v>
      </c>
      <c r="K4254" s="12">
        <f>tItens[[#This Row],[Qtd]]*tItens[[#This Row],[Vlr unit]]</f>
        <v>374.09999999999997</v>
      </c>
      <c r="L4254" s="6">
        <f>IFERROR(IF(INDEX(tProdutos[Desconto homologado],MATCH(tItens[[#This Row],[Produto]],tProdutos[Produto],0))="",DescontoPadrao,INDEX(tProdutos[Desconto homologado],MATCH(tItens[[#This Row],[Produto]],tProdutos[Produto],0))),DescontoPadrao)</f>
        <v>0.35388629091804102</v>
      </c>
      <c r="M4254" s="12">
        <f>tItens[[#This Row],[Valor]]*(1-tItens[[#This Row],[Desconto]])</f>
        <v>241.71113856756082</v>
      </c>
      <c r="N4254" t="str">
        <f>IFERROR(INDEX(tProdutos[Foco],MATCH(tItens[[#This Row],[Produto]],tProdutos[Produto],0)),"Não")</f>
        <v>Não</v>
      </c>
      <c r="O4254" t="str">
        <f>IFERROR(INDEX(tEditais[SRP],MATCH(tItens[[#This Row],[Edital]],tEditais[Edital],0)),"Não")</f>
        <v>Não</v>
      </c>
      <c r="P4254" s="4">
        <f>IF(COUNTIFS(INDEX(tItens[Edital],1):tItens[[#This Row],[Edital]],tItens[[#This Row],[Edital]],INDEX(tItens[Produto],1):tItens[[#This Row],[Produto]],tItens[[#This Row],[Produto]])=1,1,0)</f>
        <v>0</v>
      </c>
    </row>
    <row r="4255" spans="1:16" x14ac:dyDescent="0.25">
      <c r="A4255" t="s">
        <v>1699</v>
      </c>
      <c r="B4255">
        <v>76</v>
      </c>
      <c r="C4255" t="s">
        <v>7110</v>
      </c>
      <c r="D4255" t="s">
        <v>267</v>
      </c>
      <c r="E4255" s="13">
        <v>500</v>
      </c>
      <c r="F4255" s="12">
        <v>8.9499999999999993</v>
      </c>
      <c r="G4255" t="str">
        <f>IFERROR(INDEX(tEditais[Órgão],MATCH(tItens[[#This Row],[Edital]],tEditais[Edital],0)),"")</f>
        <v>ESTADO DE MATO GROSSO</v>
      </c>
      <c r="H4255" t="str">
        <f>IFERROR(INDEX(tEditais[UF],MATCH(tItens[[#This Row],[Edital]],tEditais[Edital],0)),"")</f>
        <v>MT</v>
      </c>
      <c r="I4255" s="11">
        <f>IFERROR(INDEX(tEditais[Encerramento],MATCH(tItens[[#This Row],[Edital]],tEditais[Edital],0)),"")</f>
        <v>46309.40625</v>
      </c>
      <c r="J4255" t="str">
        <f>IFERROR(INDEX(tProdutos[Classe],MATCH(tItens[[#This Row],[Produto]],tProdutos[Produto],0)),"produto não cadastrado")</f>
        <v>FORA</v>
      </c>
      <c r="K4255" s="12">
        <f>tItens[[#This Row],[Qtd]]*tItens[[#This Row],[Vlr unit]]</f>
        <v>4475</v>
      </c>
      <c r="L4255" s="6">
        <f>IFERROR(IF(INDEX(tProdutos[Desconto homologado],MATCH(tItens[[#This Row],[Produto]],tProdutos[Produto],0))="",DescontoPadrao,INDEX(tProdutos[Desconto homologado],MATCH(tItens[[#This Row],[Produto]],tProdutos[Produto],0))),DescontoPadrao)</f>
        <v>0.19963672657401599</v>
      </c>
      <c r="M4255" s="12">
        <f>tItens[[#This Row],[Valor]]*(1-tItens[[#This Row],[Desconto]])</f>
        <v>3581.6256485812783</v>
      </c>
      <c r="N4255" t="str">
        <f>IFERROR(INDEX(tProdutos[Foco],MATCH(tItens[[#This Row],[Produto]],tProdutos[Produto],0)),"Não")</f>
        <v>Não</v>
      </c>
      <c r="O4255" t="str">
        <f>IFERROR(INDEX(tEditais[SRP],MATCH(tItens[[#This Row],[Edital]],tEditais[Edital],0)),"Não")</f>
        <v>Não</v>
      </c>
      <c r="P4255" s="4">
        <f>IF(COUNTIFS(INDEX(tItens[Edital],1):tItens[[#This Row],[Edital]],tItens[[#This Row],[Edital]],INDEX(tItens[Produto],1):tItens[[#This Row],[Produto]],tItens[[#This Row],[Produto]])=1,1,0)</f>
        <v>0</v>
      </c>
    </row>
    <row r="4256" spans="1:16" x14ac:dyDescent="0.25">
      <c r="A4256" t="s">
        <v>1699</v>
      </c>
      <c r="B4256">
        <v>78</v>
      </c>
      <c r="C4256" t="s">
        <v>7111</v>
      </c>
      <c r="D4256" t="s">
        <v>267</v>
      </c>
      <c r="E4256" s="13">
        <v>1485</v>
      </c>
      <c r="F4256" s="12">
        <v>21.32</v>
      </c>
      <c r="G4256" t="str">
        <f>IFERROR(INDEX(tEditais[Órgão],MATCH(tItens[[#This Row],[Edital]],tEditais[Edital],0)),"")</f>
        <v>ESTADO DE MATO GROSSO</v>
      </c>
      <c r="H4256" t="str">
        <f>IFERROR(INDEX(tEditais[UF],MATCH(tItens[[#This Row],[Edital]],tEditais[Edital],0)),"")</f>
        <v>MT</v>
      </c>
      <c r="I4256" s="11">
        <f>IFERROR(INDEX(tEditais[Encerramento],MATCH(tItens[[#This Row],[Edital]],tEditais[Edital],0)),"")</f>
        <v>46309.40625</v>
      </c>
      <c r="J4256" t="str">
        <f>IFERROR(INDEX(tProdutos[Classe],MATCH(tItens[[#This Row],[Produto]],tProdutos[Produto],0)),"produto não cadastrado")</f>
        <v>FORA</v>
      </c>
      <c r="K4256" s="12">
        <f>tItens[[#This Row],[Qtd]]*tItens[[#This Row],[Vlr unit]]</f>
        <v>31660.2</v>
      </c>
      <c r="L4256" s="6">
        <f>IFERROR(IF(INDEX(tProdutos[Desconto homologado],MATCH(tItens[[#This Row],[Produto]],tProdutos[Produto],0))="",DescontoPadrao,INDEX(tProdutos[Desconto homologado],MATCH(tItens[[#This Row],[Produto]],tProdutos[Produto],0))),DescontoPadrao)</f>
        <v>0.19963672657401599</v>
      </c>
      <c r="M4256" s="12">
        <f>tItens[[#This Row],[Valor]]*(1-tItens[[#This Row],[Desconto]])</f>
        <v>25339.661309321338</v>
      </c>
      <c r="N4256" t="str">
        <f>IFERROR(INDEX(tProdutos[Foco],MATCH(tItens[[#This Row],[Produto]],tProdutos[Produto],0)),"Não")</f>
        <v>Não</v>
      </c>
      <c r="O4256" t="str">
        <f>IFERROR(INDEX(tEditais[SRP],MATCH(tItens[[#This Row],[Edital]],tEditais[Edital],0)),"Não")</f>
        <v>Não</v>
      </c>
      <c r="P4256" s="4">
        <f>IF(COUNTIFS(INDEX(tItens[Edital],1):tItens[[#This Row],[Edital]],tItens[[#This Row],[Edital]],INDEX(tItens[Produto],1):tItens[[#This Row],[Produto]],tItens[[#This Row],[Produto]])=1,1,0)</f>
        <v>0</v>
      </c>
    </row>
    <row r="4257" spans="1:16" x14ac:dyDescent="0.25">
      <c r="A4257" t="s">
        <v>1699</v>
      </c>
      <c r="B4257">
        <v>102</v>
      </c>
      <c r="C4257" t="s">
        <v>7112</v>
      </c>
      <c r="D4257" t="s">
        <v>313</v>
      </c>
      <c r="E4257" s="13">
        <v>2000</v>
      </c>
      <c r="F4257" s="12">
        <v>37.18</v>
      </c>
      <c r="G4257" t="str">
        <f>IFERROR(INDEX(tEditais[Órgão],MATCH(tItens[[#This Row],[Edital]],tEditais[Edital],0)),"")</f>
        <v>ESTADO DE MATO GROSSO</v>
      </c>
      <c r="H4257" t="str">
        <f>IFERROR(INDEX(tEditais[UF],MATCH(tItens[[#This Row],[Edital]],tEditais[Edital],0)),"")</f>
        <v>MT</v>
      </c>
      <c r="I4257" s="11">
        <f>IFERROR(INDEX(tEditais[Encerramento],MATCH(tItens[[#This Row],[Edital]],tEditais[Edital],0)),"")</f>
        <v>46309.40625</v>
      </c>
      <c r="J4257" t="str">
        <f>IFERROR(INDEX(tProdutos[Classe],MATCH(tItens[[#This Row],[Produto]],tProdutos[Produto],0)),"produto não cadastrado")</f>
        <v>FORA</v>
      </c>
      <c r="K4257" s="12">
        <f>tItens[[#This Row],[Qtd]]*tItens[[#This Row],[Vlr unit]]</f>
        <v>74360</v>
      </c>
      <c r="L4257" s="6">
        <f>IFERROR(IF(INDEX(tProdutos[Desconto homologado],MATCH(tItens[[#This Row],[Produto]],tProdutos[Produto],0))="",DescontoPadrao,INDEX(tProdutos[Desconto homologado],MATCH(tItens[[#This Row],[Produto]],tProdutos[Produto],0))),DescontoPadrao)</f>
        <v>0.35766373163696302</v>
      </c>
      <c r="M4257" s="12">
        <f>tItens[[#This Row],[Valor]]*(1-tItens[[#This Row],[Desconto]])</f>
        <v>47764.124915475426</v>
      </c>
      <c r="N4257" t="str">
        <f>IFERROR(INDEX(tProdutos[Foco],MATCH(tItens[[#This Row],[Produto]],tProdutos[Produto],0)),"Não")</f>
        <v>Não</v>
      </c>
      <c r="O4257" t="str">
        <f>IFERROR(INDEX(tEditais[SRP],MATCH(tItens[[#This Row],[Edital]],tEditais[Edital],0)),"Não")</f>
        <v>Não</v>
      </c>
      <c r="P4257" s="4">
        <f>IF(COUNTIFS(INDEX(tItens[Edital],1):tItens[[#This Row],[Edital]],tItens[[#This Row],[Edital]],INDEX(tItens[Produto],1):tItens[[#This Row],[Produto]],tItens[[#This Row],[Produto]])=1,1,0)</f>
        <v>1</v>
      </c>
    </row>
    <row r="4258" spans="1:16" x14ac:dyDescent="0.25">
      <c r="A4258" t="s">
        <v>1699</v>
      </c>
      <c r="B4258">
        <v>105</v>
      </c>
      <c r="C4258" t="s">
        <v>7113</v>
      </c>
      <c r="D4258" t="s">
        <v>437</v>
      </c>
      <c r="E4258" s="13">
        <v>150</v>
      </c>
      <c r="F4258" s="12">
        <v>90.99</v>
      </c>
      <c r="G4258" t="str">
        <f>IFERROR(INDEX(tEditais[Órgão],MATCH(tItens[[#This Row],[Edital]],tEditais[Edital],0)),"")</f>
        <v>ESTADO DE MATO GROSSO</v>
      </c>
      <c r="H4258" t="str">
        <f>IFERROR(INDEX(tEditais[UF],MATCH(tItens[[#This Row],[Edital]],tEditais[Edital],0)),"")</f>
        <v>MT</v>
      </c>
      <c r="I4258" s="11">
        <f>IFERROR(INDEX(tEditais[Encerramento],MATCH(tItens[[#This Row],[Edital]],tEditais[Edital],0)),"")</f>
        <v>46309.40625</v>
      </c>
      <c r="J4258" t="str">
        <f>IFERROR(INDEX(tProdutos[Classe],MATCH(tItens[[#This Row],[Produto]],tProdutos[Produto],0)),"produto não cadastrado")</f>
        <v>FILA REBASE</v>
      </c>
      <c r="K4258" s="12">
        <f>tItens[[#This Row],[Qtd]]*tItens[[#This Row],[Vlr unit]]</f>
        <v>13648.5</v>
      </c>
      <c r="L4258" s="6">
        <f>IFERROR(IF(INDEX(tProdutos[Desconto homologado],MATCH(tItens[[#This Row],[Produto]],tProdutos[Produto],0))="",DescontoPadrao,INDEX(tProdutos[Desconto homologado],MATCH(tItens[[#This Row],[Produto]],tProdutos[Produto],0))),DescontoPadrao)</f>
        <v>0.23334221878164699</v>
      </c>
      <c r="M4258" s="12">
        <f>tItens[[#This Row],[Valor]]*(1-tItens[[#This Row],[Desconto]])</f>
        <v>10463.728726958692</v>
      </c>
      <c r="N4258" t="str">
        <f>IFERROR(INDEX(tProdutos[Foco],MATCH(tItens[[#This Row],[Produto]],tProdutos[Produto],0)),"Não")</f>
        <v>Não</v>
      </c>
      <c r="O4258" t="str">
        <f>IFERROR(INDEX(tEditais[SRP],MATCH(tItens[[#This Row],[Edital]],tEditais[Edital],0)),"Não")</f>
        <v>Não</v>
      </c>
      <c r="P4258" s="4">
        <f>IF(COUNTIFS(INDEX(tItens[Edital],1):tItens[[#This Row],[Edital]],tItens[[#This Row],[Edital]],INDEX(tItens[Produto],1):tItens[[#This Row],[Produto]],tItens[[#This Row],[Produto]])=1,1,0)</f>
        <v>1</v>
      </c>
    </row>
    <row r="4259" spans="1:16" x14ac:dyDescent="0.25">
      <c r="A4259" t="s">
        <v>1699</v>
      </c>
      <c r="B4259">
        <v>106</v>
      </c>
      <c r="C4259" t="s">
        <v>7114</v>
      </c>
      <c r="D4259" t="s">
        <v>251</v>
      </c>
      <c r="E4259" s="13">
        <v>100</v>
      </c>
      <c r="F4259" s="12">
        <v>24.39</v>
      </c>
      <c r="G4259" t="str">
        <f>IFERROR(INDEX(tEditais[Órgão],MATCH(tItens[[#This Row],[Edital]],tEditais[Edital],0)),"")</f>
        <v>ESTADO DE MATO GROSSO</v>
      </c>
      <c r="H4259" t="str">
        <f>IFERROR(INDEX(tEditais[UF],MATCH(tItens[[#This Row],[Edital]],tEditais[Edital],0)),"")</f>
        <v>MT</v>
      </c>
      <c r="I4259" s="11">
        <f>IFERROR(INDEX(tEditais[Encerramento],MATCH(tItens[[#This Row],[Edital]],tEditais[Edital],0)),"")</f>
        <v>46309.40625</v>
      </c>
      <c r="J4259" t="str">
        <f>IFERROR(INDEX(tProdutos[Classe],MATCH(tItens[[#This Row],[Produto]],tProdutos[Produto],0)),"produto não cadastrado")</f>
        <v>FORA</v>
      </c>
      <c r="K4259" s="12">
        <f>tItens[[#This Row],[Qtd]]*tItens[[#This Row],[Vlr unit]]</f>
        <v>2439</v>
      </c>
      <c r="L4259" s="6">
        <f>IFERROR(IF(INDEX(tProdutos[Desconto homologado],MATCH(tItens[[#This Row],[Produto]],tProdutos[Produto],0))="",DescontoPadrao,INDEX(tProdutos[Desconto homologado],MATCH(tItens[[#This Row],[Produto]],tProdutos[Produto],0))),DescontoPadrao)</f>
        <v>0.36759020274436599</v>
      </c>
      <c r="M4259" s="12">
        <f>tItens[[#This Row],[Valor]]*(1-tItens[[#This Row],[Desconto]])</f>
        <v>1542.4474955064911</v>
      </c>
      <c r="N4259" t="str">
        <f>IFERROR(INDEX(tProdutos[Foco],MATCH(tItens[[#This Row],[Produto]],tProdutos[Produto],0)),"Não")</f>
        <v>Não</v>
      </c>
      <c r="O4259" t="str">
        <f>IFERROR(INDEX(tEditais[SRP],MATCH(tItens[[#This Row],[Edital]],tEditais[Edital],0)),"Não")</f>
        <v>Não</v>
      </c>
      <c r="P4259" s="4">
        <f>IF(COUNTIFS(INDEX(tItens[Edital],1):tItens[[#This Row],[Edital]],tItens[[#This Row],[Edital]],INDEX(tItens[Produto],1):tItens[[#This Row],[Produto]],tItens[[#This Row],[Produto]])=1,1,0)</f>
        <v>1</v>
      </c>
    </row>
    <row r="4260" spans="1:16" x14ac:dyDescent="0.25">
      <c r="A4260" t="s">
        <v>1699</v>
      </c>
      <c r="B4260">
        <v>108</v>
      </c>
      <c r="C4260" t="s">
        <v>7115</v>
      </c>
      <c r="D4260" t="s">
        <v>313</v>
      </c>
      <c r="E4260" s="13">
        <v>500</v>
      </c>
      <c r="F4260" s="12">
        <v>36.119999999999997</v>
      </c>
      <c r="G4260" t="str">
        <f>IFERROR(INDEX(tEditais[Órgão],MATCH(tItens[[#This Row],[Edital]],tEditais[Edital],0)),"")</f>
        <v>ESTADO DE MATO GROSSO</v>
      </c>
      <c r="H4260" t="str">
        <f>IFERROR(INDEX(tEditais[UF],MATCH(tItens[[#This Row],[Edital]],tEditais[Edital],0)),"")</f>
        <v>MT</v>
      </c>
      <c r="I4260" s="11">
        <f>IFERROR(INDEX(tEditais[Encerramento],MATCH(tItens[[#This Row],[Edital]],tEditais[Edital],0)),"")</f>
        <v>46309.40625</v>
      </c>
      <c r="J4260" t="str">
        <f>IFERROR(INDEX(tProdutos[Classe],MATCH(tItens[[#This Row],[Produto]],tProdutos[Produto],0)),"produto não cadastrado")</f>
        <v>FORA</v>
      </c>
      <c r="K4260" s="12">
        <f>tItens[[#This Row],[Qtd]]*tItens[[#This Row],[Vlr unit]]</f>
        <v>18060</v>
      </c>
      <c r="L4260" s="6">
        <f>IFERROR(IF(INDEX(tProdutos[Desconto homologado],MATCH(tItens[[#This Row],[Produto]],tProdutos[Produto],0))="",DescontoPadrao,INDEX(tProdutos[Desconto homologado],MATCH(tItens[[#This Row],[Produto]],tProdutos[Produto],0))),DescontoPadrao)</f>
        <v>0.35766373163696302</v>
      </c>
      <c r="M4260" s="12">
        <f>tItens[[#This Row],[Valor]]*(1-tItens[[#This Row],[Desconto]])</f>
        <v>11600.593006636447</v>
      </c>
      <c r="N4260" t="str">
        <f>IFERROR(INDEX(tProdutos[Foco],MATCH(tItens[[#This Row],[Produto]],tProdutos[Produto],0)),"Não")</f>
        <v>Não</v>
      </c>
      <c r="O4260" t="str">
        <f>IFERROR(INDEX(tEditais[SRP],MATCH(tItens[[#This Row],[Edital]],tEditais[Edital],0)),"Não")</f>
        <v>Não</v>
      </c>
      <c r="P4260" s="4">
        <f>IF(COUNTIFS(INDEX(tItens[Edital],1):tItens[[#This Row],[Edital]],tItens[[#This Row],[Edital]],INDEX(tItens[Produto],1):tItens[[#This Row],[Produto]],tItens[[#This Row],[Produto]])=1,1,0)</f>
        <v>0</v>
      </c>
    </row>
    <row r="4261" spans="1:16" x14ac:dyDescent="0.25">
      <c r="A4261" t="s">
        <v>1699</v>
      </c>
      <c r="B4261">
        <v>110</v>
      </c>
      <c r="C4261" t="s">
        <v>7116</v>
      </c>
      <c r="D4261" t="s">
        <v>114</v>
      </c>
      <c r="E4261" s="13">
        <v>150</v>
      </c>
      <c r="F4261" s="12">
        <v>23.19</v>
      </c>
      <c r="G4261" t="str">
        <f>IFERROR(INDEX(tEditais[Órgão],MATCH(tItens[[#This Row],[Edital]],tEditais[Edital],0)),"")</f>
        <v>ESTADO DE MATO GROSSO</v>
      </c>
      <c r="H4261" t="str">
        <f>IFERROR(INDEX(tEditais[UF],MATCH(tItens[[#This Row],[Edital]],tEditais[Edital],0)),"")</f>
        <v>MT</v>
      </c>
      <c r="I4261" s="11">
        <f>IFERROR(INDEX(tEditais[Encerramento],MATCH(tItens[[#This Row],[Edital]],tEditais[Edital],0)),"")</f>
        <v>46309.40625</v>
      </c>
      <c r="J4261" t="str">
        <f>IFERROR(INDEX(tProdutos[Classe],MATCH(tItens[[#This Row],[Produto]],tProdutos[Produto],0)),"produto não cadastrado")</f>
        <v>DISPUTADO</v>
      </c>
      <c r="K4261" s="12">
        <f>tItens[[#This Row],[Qtd]]*tItens[[#This Row],[Vlr unit]]</f>
        <v>3478.5</v>
      </c>
      <c r="L4261" s="6">
        <f>IFERROR(IF(INDEX(tProdutos[Desconto homologado],MATCH(tItens[[#This Row],[Produto]],tProdutos[Produto],0))="",DescontoPadrao,INDEX(tProdutos[Desconto homologado],MATCH(tItens[[#This Row],[Produto]],tProdutos[Produto],0))),DescontoPadrao)</f>
        <v>0.24332656063896899</v>
      </c>
      <c r="M4261" s="12">
        <f>tItens[[#This Row],[Valor]]*(1-tItens[[#This Row],[Desconto]])</f>
        <v>2632.0885588173464</v>
      </c>
      <c r="N4261" t="str">
        <f>IFERROR(INDEX(tProdutos[Foco],MATCH(tItens[[#This Row],[Produto]],tProdutos[Produto],0)),"Não")</f>
        <v>Não</v>
      </c>
      <c r="O4261" t="str">
        <f>IFERROR(INDEX(tEditais[SRP],MATCH(tItens[[#This Row],[Edital]],tEditais[Edital],0)),"Não")</f>
        <v>Não</v>
      </c>
      <c r="P4261" s="4">
        <f>IF(COUNTIFS(INDEX(tItens[Edital],1):tItens[[#This Row],[Edital]],tItens[[#This Row],[Edital]],INDEX(tItens[Produto],1):tItens[[#This Row],[Produto]],tItens[[#This Row],[Produto]])=1,1,0)</f>
        <v>1</v>
      </c>
    </row>
    <row r="4262" spans="1:16" x14ac:dyDescent="0.25">
      <c r="A4262" t="s">
        <v>1699</v>
      </c>
      <c r="B4262">
        <v>111</v>
      </c>
      <c r="C4262" t="s">
        <v>7117</v>
      </c>
      <c r="D4262" t="s">
        <v>403</v>
      </c>
      <c r="E4262" s="13">
        <v>2000</v>
      </c>
      <c r="F4262" s="12">
        <v>4.96</v>
      </c>
      <c r="G4262" t="str">
        <f>IFERROR(INDEX(tEditais[Órgão],MATCH(tItens[[#This Row],[Edital]],tEditais[Edital],0)),"")</f>
        <v>ESTADO DE MATO GROSSO</v>
      </c>
      <c r="H4262" t="str">
        <f>IFERROR(INDEX(tEditais[UF],MATCH(tItens[[#This Row],[Edital]],tEditais[Edital],0)),"")</f>
        <v>MT</v>
      </c>
      <c r="I4262" s="11">
        <f>IFERROR(INDEX(tEditais[Encerramento],MATCH(tItens[[#This Row],[Edital]],tEditais[Edital],0)),"")</f>
        <v>46309.40625</v>
      </c>
      <c r="J4262" t="str">
        <f>IFERROR(INDEX(tProdutos[Classe],MATCH(tItens[[#This Row],[Produto]],tProdutos[Produto],0)),"produto não cadastrado")</f>
        <v>FORA</v>
      </c>
      <c r="K4262" s="12">
        <f>tItens[[#This Row],[Qtd]]*tItens[[#This Row],[Vlr unit]]</f>
        <v>9920</v>
      </c>
      <c r="L4262" s="6">
        <f>IFERROR(IF(INDEX(tProdutos[Desconto homologado],MATCH(tItens[[#This Row],[Produto]],tProdutos[Produto],0))="",DescontoPadrao,INDEX(tProdutos[Desconto homologado],MATCH(tItens[[#This Row],[Produto]],tProdutos[Produto],0))),DescontoPadrao)</f>
        <v>0.35326086956521702</v>
      </c>
      <c r="M4262" s="12">
        <f>tItens[[#This Row],[Valor]]*(1-tItens[[#This Row],[Desconto]])</f>
        <v>6415.6521739130467</v>
      </c>
      <c r="N4262" t="str">
        <f>IFERROR(INDEX(tProdutos[Foco],MATCH(tItens[[#This Row],[Produto]],tProdutos[Produto],0)),"Não")</f>
        <v>Não</v>
      </c>
      <c r="O4262" t="str">
        <f>IFERROR(INDEX(tEditais[SRP],MATCH(tItens[[#This Row],[Edital]],tEditais[Edital],0)),"Não")</f>
        <v>Não</v>
      </c>
      <c r="P4262" s="4">
        <f>IF(COUNTIFS(INDEX(tItens[Edital],1):tItens[[#This Row],[Edital]],tItens[[#This Row],[Edital]],INDEX(tItens[Produto],1):tItens[[#This Row],[Produto]],tItens[[#This Row],[Produto]])=1,1,0)</f>
        <v>1</v>
      </c>
    </row>
    <row r="4263" spans="1:16" x14ac:dyDescent="0.25">
      <c r="A4263" t="s">
        <v>1699</v>
      </c>
      <c r="B4263">
        <v>113</v>
      </c>
      <c r="C4263" t="s">
        <v>7118</v>
      </c>
      <c r="D4263" t="s">
        <v>327</v>
      </c>
      <c r="E4263" s="13">
        <v>1000</v>
      </c>
      <c r="F4263" s="12">
        <v>49.64</v>
      </c>
      <c r="G4263" t="str">
        <f>IFERROR(INDEX(tEditais[Órgão],MATCH(tItens[[#This Row],[Edital]],tEditais[Edital],0)),"")</f>
        <v>ESTADO DE MATO GROSSO</v>
      </c>
      <c r="H4263" t="str">
        <f>IFERROR(INDEX(tEditais[UF],MATCH(tItens[[#This Row],[Edital]],tEditais[Edital],0)),"")</f>
        <v>MT</v>
      </c>
      <c r="I4263" s="11">
        <f>IFERROR(INDEX(tEditais[Encerramento],MATCH(tItens[[#This Row],[Edital]],tEditais[Edital],0)),"")</f>
        <v>46309.40625</v>
      </c>
      <c r="J4263" t="str">
        <f>IFERROR(INDEX(tProdutos[Classe],MATCH(tItens[[#This Row],[Produto]],tProdutos[Produto],0)),"produto não cadastrado")</f>
        <v>FORA</v>
      </c>
      <c r="K4263" s="12">
        <f>tItens[[#This Row],[Qtd]]*tItens[[#This Row],[Vlr unit]]</f>
        <v>49640</v>
      </c>
      <c r="L4263" s="6">
        <f>IFERROR(IF(INDEX(tProdutos[Desconto homologado],MATCH(tItens[[#This Row],[Produto]],tProdutos[Produto],0))="",DescontoPadrao,INDEX(tProdutos[Desconto homologado],MATCH(tItens[[#This Row],[Produto]],tProdutos[Produto],0))),DescontoPadrao)</f>
        <v>0.49969483918783197</v>
      </c>
      <c r="M4263" s="12">
        <f>tItens[[#This Row],[Valor]]*(1-tItens[[#This Row],[Desconto]])</f>
        <v>24835.148182716021</v>
      </c>
      <c r="N4263" t="str">
        <f>IFERROR(INDEX(tProdutos[Foco],MATCH(tItens[[#This Row],[Produto]],tProdutos[Produto],0)),"Não")</f>
        <v>Não</v>
      </c>
      <c r="O4263" t="str">
        <f>IFERROR(INDEX(tEditais[SRP],MATCH(tItens[[#This Row],[Edital]],tEditais[Edital],0)),"Não")</f>
        <v>Não</v>
      </c>
      <c r="P4263" s="4">
        <f>IF(COUNTIFS(INDEX(tItens[Edital],1):tItens[[#This Row],[Edital]],tItens[[#This Row],[Edital]],INDEX(tItens[Produto],1):tItens[[#This Row],[Produto]],tItens[[#This Row],[Produto]])=1,1,0)</f>
        <v>1</v>
      </c>
    </row>
    <row r="4264" spans="1:16" x14ac:dyDescent="0.25">
      <c r="A4264" t="s">
        <v>1699</v>
      </c>
      <c r="B4264">
        <v>117</v>
      </c>
      <c r="C4264" t="s">
        <v>7119</v>
      </c>
      <c r="D4264" t="s">
        <v>114</v>
      </c>
      <c r="E4264" s="13">
        <v>255</v>
      </c>
      <c r="F4264" s="12">
        <v>16.48</v>
      </c>
      <c r="G4264" t="str">
        <f>IFERROR(INDEX(tEditais[Órgão],MATCH(tItens[[#This Row],[Edital]],tEditais[Edital],0)),"")</f>
        <v>ESTADO DE MATO GROSSO</v>
      </c>
      <c r="H4264" t="str">
        <f>IFERROR(INDEX(tEditais[UF],MATCH(tItens[[#This Row],[Edital]],tEditais[Edital],0)),"")</f>
        <v>MT</v>
      </c>
      <c r="I4264" s="11">
        <f>IFERROR(INDEX(tEditais[Encerramento],MATCH(tItens[[#This Row],[Edital]],tEditais[Edital],0)),"")</f>
        <v>46309.40625</v>
      </c>
      <c r="J4264" t="str">
        <f>IFERROR(INDEX(tProdutos[Classe],MATCH(tItens[[#This Row],[Produto]],tProdutos[Produto],0)),"produto não cadastrado")</f>
        <v>DISPUTADO</v>
      </c>
      <c r="K4264" s="12">
        <f>tItens[[#This Row],[Qtd]]*tItens[[#This Row],[Vlr unit]]</f>
        <v>4202.4000000000005</v>
      </c>
      <c r="L4264" s="6">
        <f>IFERROR(IF(INDEX(tProdutos[Desconto homologado],MATCH(tItens[[#This Row],[Produto]],tProdutos[Produto],0))="",DescontoPadrao,INDEX(tProdutos[Desconto homologado],MATCH(tItens[[#This Row],[Produto]],tProdutos[Produto],0))),DescontoPadrao)</f>
        <v>0.24332656063896899</v>
      </c>
      <c r="M4264" s="12">
        <f>tItens[[#This Row],[Valor]]*(1-tItens[[#This Row],[Desconto]])</f>
        <v>3179.8444615707972</v>
      </c>
      <c r="N4264" t="str">
        <f>IFERROR(INDEX(tProdutos[Foco],MATCH(tItens[[#This Row],[Produto]],tProdutos[Produto],0)),"Não")</f>
        <v>Não</v>
      </c>
      <c r="O4264" t="str">
        <f>IFERROR(INDEX(tEditais[SRP],MATCH(tItens[[#This Row],[Edital]],tEditais[Edital],0)),"Não")</f>
        <v>Não</v>
      </c>
      <c r="P4264" s="4">
        <f>IF(COUNTIFS(INDEX(tItens[Edital],1):tItens[[#This Row],[Edital]],tItens[[#This Row],[Edital]],INDEX(tItens[Produto],1):tItens[[#This Row],[Produto]],tItens[[#This Row],[Produto]])=1,1,0)</f>
        <v>0</v>
      </c>
    </row>
    <row r="4265" spans="1:16" x14ac:dyDescent="0.25">
      <c r="A4265" t="s">
        <v>1699</v>
      </c>
      <c r="B4265">
        <v>133</v>
      </c>
      <c r="C4265" t="s">
        <v>7120</v>
      </c>
      <c r="D4265" t="s">
        <v>467</v>
      </c>
      <c r="E4265" s="13">
        <v>63</v>
      </c>
      <c r="F4265" s="12">
        <v>8.92</v>
      </c>
      <c r="G4265" t="str">
        <f>IFERROR(INDEX(tEditais[Órgão],MATCH(tItens[[#This Row],[Edital]],tEditais[Edital],0)),"")</f>
        <v>ESTADO DE MATO GROSSO</v>
      </c>
      <c r="H4265" t="str">
        <f>IFERROR(INDEX(tEditais[UF],MATCH(tItens[[#This Row],[Edital]],tEditais[Edital],0)),"")</f>
        <v>MT</v>
      </c>
      <c r="I4265" s="11">
        <f>IFERROR(INDEX(tEditais[Encerramento],MATCH(tItens[[#This Row],[Edital]],tEditais[Edital],0)),"")</f>
        <v>46309.40625</v>
      </c>
      <c r="J4265" t="str">
        <f>IFERROR(INDEX(tProdutos[Classe],MATCH(tItens[[#This Row],[Produto]],tProdutos[Produto],0)),"produto não cadastrado")</f>
        <v>FILA REBASE</v>
      </c>
      <c r="K4265" s="12">
        <f>tItens[[#This Row],[Qtd]]*tItens[[#This Row],[Vlr unit]]</f>
        <v>561.96</v>
      </c>
      <c r="L4265" s="6">
        <f>IFERROR(IF(INDEX(tProdutos[Desconto homologado],MATCH(tItens[[#This Row],[Produto]],tProdutos[Produto],0))="",DescontoPadrao,INDEX(tProdutos[Desconto homologado],MATCH(tItens[[#This Row],[Produto]],tProdutos[Produto],0))),DescontoPadrao)</f>
        <v>0.25007144898542499</v>
      </c>
      <c r="M4265" s="12">
        <f>tItens[[#This Row],[Valor]]*(1-tItens[[#This Row],[Desconto]])</f>
        <v>421.42984852815061</v>
      </c>
      <c r="N4265" t="str">
        <f>IFERROR(INDEX(tProdutos[Foco],MATCH(tItens[[#This Row],[Produto]],tProdutos[Produto],0)),"Não")</f>
        <v>Não</v>
      </c>
      <c r="O4265" t="str">
        <f>IFERROR(INDEX(tEditais[SRP],MATCH(tItens[[#This Row],[Edital]],tEditais[Edital],0)),"Não")</f>
        <v>Não</v>
      </c>
      <c r="P4265" s="4">
        <f>IF(COUNTIFS(INDEX(tItens[Edital],1):tItens[[#This Row],[Edital]],tItens[[#This Row],[Edital]],INDEX(tItens[Produto],1):tItens[[#This Row],[Produto]],tItens[[#This Row],[Produto]])=1,1,0)</f>
        <v>1</v>
      </c>
    </row>
    <row r="4266" spans="1:16" x14ac:dyDescent="0.25">
      <c r="A4266" t="s">
        <v>1699</v>
      </c>
      <c r="B4266">
        <v>137</v>
      </c>
      <c r="C4266" t="s">
        <v>7121</v>
      </c>
      <c r="D4266" t="s">
        <v>343</v>
      </c>
      <c r="E4266" s="13">
        <v>8250</v>
      </c>
      <c r="F4266" s="12">
        <v>2.36</v>
      </c>
      <c r="G4266" t="str">
        <f>IFERROR(INDEX(tEditais[Órgão],MATCH(tItens[[#This Row],[Edital]],tEditais[Edital],0)),"")</f>
        <v>ESTADO DE MATO GROSSO</v>
      </c>
      <c r="H4266" t="str">
        <f>IFERROR(INDEX(tEditais[UF],MATCH(tItens[[#This Row],[Edital]],tEditais[Edital],0)),"")</f>
        <v>MT</v>
      </c>
      <c r="I4266" s="11">
        <f>IFERROR(INDEX(tEditais[Encerramento],MATCH(tItens[[#This Row],[Edital]],tEditais[Edital],0)),"")</f>
        <v>46309.40625</v>
      </c>
      <c r="J4266" t="str">
        <f>IFERROR(INDEX(tProdutos[Classe],MATCH(tItens[[#This Row],[Produto]],tProdutos[Produto],0)),"produto não cadastrado")</f>
        <v>FORA</v>
      </c>
      <c r="K4266" s="12">
        <f>tItens[[#This Row],[Qtd]]*tItens[[#This Row],[Vlr unit]]</f>
        <v>19470</v>
      </c>
      <c r="L4266" s="6">
        <f>IFERROR(IF(INDEX(tProdutos[Desconto homologado],MATCH(tItens[[#This Row],[Produto]],tProdutos[Produto],0))="",DescontoPadrao,INDEX(tProdutos[Desconto homologado],MATCH(tItens[[#This Row],[Produto]],tProdutos[Produto],0))),DescontoPadrao)</f>
        <v>0.35412234042553198</v>
      </c>
      <c r="M4266" s="12">
        <f>tItens[[#This Row],[Valor]]*(1-tItens[[#This Row],[Desconto]])</f>
        <v>12575.238031914891</v>
      </c>
      <c r="N4266" t="str">
        <f>IFERROR(INDEX(tProdutos[Foco],MATCH(tItens[[#This Row],[Produto]],tProdutos[Produto],0)),"Não")</f>
        <v>Não</v>
      </c>
      <c r="O4266" t="str">
        <f>IFERROR(INDEX(tEditais[SRP],MATCH(tItens[[#This Row],[Edital]],tEditais[Edital],0)),"Não")</f>
        <v>Não</v>
      </c>
      <c r="P4266" s="4">
        <f>IF(COUNTIFS(INDEX(tItens[Edital],1):tItens[[#This Row],[Edital]],tItens[[#This Row],[Edital]],INDEX(tItens[Produto],1):tItens[[#This Row],[Produto]],tItens[[#This Row],[Produto]])=1,1,0)</f>
        <v>1</v>
      </c>
    </row>
    <row r="4267" spans="1:16" x14ac:dyDescent="0.25">
      <c r="A4267" t="s">
        <v>1699</v>
      </c>
      <c r="B4267">
        <v>138</v>
      </c>
      <c r="C4267" t="s">
        <v>7122</v>
      </c>
      <c r="D4267" t="s">
        <v>343</v>
      </c>
      <c r="E4267" s="13">
        <v>8250</v>
      </c>
      <c r="F4267" s="12">
        <v>2.48</v>
      </c>
      <c r="G4267" t="str">
        <f>IFERROR(INDEX(tEditais[Órgão],MATCH(tItens[[#This Row],[Edital]],tEditais[Edital],0)),"")</f>
        <v>ESTADO DE MATO GROSSO</v>
      </c>
      <c r="H4267" t="str">
        <f>IFERROR(INDEX(tEditais[UF],MATCH(tItens[[#This Row],[Edital]],tEditais[Edital],0)),"")</f>
        <v>MT</v>
      </c>
      <c r="I4267" s="11">
        <f>IFERROR(INDEX(tEditais[Encerramento],MATCH(tItens[[#This Row],[Edital]],tEditais[Edital],0)),"")</f>
        <v>46309.40625</v>
      </c>
      <c r="J4267" t="str">
        <f>IFERROR(INDEX(tProdutos[Classe],MATCH(tItens[[#This Row],[Produto]],tProdutos[Produto],0)),"produto não cadastrado")</f>
        <v>FORA</v>
      </c>
      <c r="K4267" s="12">
        <f>tItens[[#This Row],[Qtd]]*tItens[[#This Row],[Vlr unit]]</f>
        <v>20460</v>
      </c>
      <c r="L4267" s="6">
        <f>IFERROR(IF(INDEX(tProdutos[Desconto homologado],MATCH(tItens[[#This Row],[Produto]],tProdutos[Produto],0))="",DescontoPadrao,INDEX(tProdutos[Desconto homologado],MATCH(tItens[[#This Row],[Produto]],tProdutos[Produto],0))),DescontoPadrao)</f>
        <v>0.35412234042553198</v>
      </c>
      <c r="M4267" s="12">
        <f>tItens[[#This Row],[Valor]]*(1-tItens[[#This Row],[Desconto]])</f>
        <v>13214.656914893614</v>
      </c>
      <c r="N4267" t="str">
        <f>IFERROR(INDEX(tProdutos[Foco],MATCH(tItens[[#This Row],[Produto]],tProdutos[Produto],0)),"Não")</f>
        <v>Não</v>
      </c>
      <c r="O4267" t="str">
        <f>IFERROR(INDEX(tEditais[SRP],MATCH(tItens[[#This Row],[Edital]],tEditais[Edital],0)),"Não")</f>
        <v>Não</v>
      </c>
      <c r="P4267" s="4">
        <f>IF(COUNTIFS(INDEX(tItens[Edital],1):tItens[[#This Row],[Edital]],tItens[[#This Row],[Edital]],INDEX(tItens[Produto],1):tItens[[#This Row],[Produto]],tItens[[#This Row],[Produto]])=1,1,0)</f>
        <v>0</v>
      </c>
    </row>
    <row r="4268" spans="1:16" x14ac:dyDescent="0.25">
      <c r="A4268" t="s">
        <v>1699</v>
      </c>
      <c r="B4268">
        <v>159</v>
      </c>
      <c r="C4268" t="s">
        <v>7123</v>
      </c>
      <c r="D4268" t="s">
        <v>551</v>
      </c>
      <c r="E4268" s="13">
        <v>100</v>
      </c>
      <c r="F4268" s="12">
        <v>47.67</v>
      </c>
      <c r="G4268" t="str">
        <f>IFERROR(INDEX(tEditais[Órgão],MATCH(tItens[[#This Row],[Edital]],tEditais[Edital],0)),"")</f>
        <v>ESTADO DE MATO GROSSO</v>
      </c>
      <c r="H4268" t="str">
        <f>IFERROR(INDEX(tEditais[UF],MATCH(tItens[[#This Row],[Edital]],tEditais[Edital],0)),"")</f>
        <v>MT</v>
      </c>
      <c r="I4268" s="11">
        <f>IFERROR(INDEX(tEditais[Encerramento],MATCH(tItens[[#This Row],[Edital]],tEditais[Edital],0)),"")</f>
        <v>46309.40625</v>
      </c>
      <c r="J4268" t="str">
        <f>IFERROR(INDEX(tProdutos[Classe],MATCH(tItens[[#This Row],[Produto]],tProdutos[Produto],0)),"produto não cadastrado")</f>
        <v>FILA REBASE</v>
      </c>
      <c r="K4268" s="12">
        <f>tItens[[#This Row],[Qtd]]*tItens[[#This Row],[Vlr unit]]</f>
        <v>4767</v>
      </c>
      <c r="L4268" s="6">
        <f>IFERROR(IF(INDEX(tProdutos[Desconto homologado],MATCH(tItens[[#This Row],[Produto]],tProdutos[Produto],0))="",DescontoPadrao,INDEX(tProdutos[Desconto homologado],MATCH(tItens[[#This Row],[Produto]],tProdutos[Produto],0))),DescontoPadrao)</f>
        <v>0.71401513972830499</v>
      </c>
      <c r="M4268" s="12">
        <f>tItens[[#This Row],[Valor]]*(1-tItens[[#This Row],[Desconto]])</f>
        <v>1363.2898289151701</v>
      </c>
      <c r="N4268" t="str">
        <f>IFERROR(INDEX(tProdutos[Foco],MATCH(tItens[[#This Row],[Produto]],tProdutos[Produto],0)),"Não")</f>
        <v>Não</v>
      </c>
      <c r="O4268" t="str">
        <f>IFERROR(INDEX(tEditais[SRP],MATCH(tItens[[#This Row],[Edital]],tEditais[Edital],0)),"Não")</f>
        <v>Não</v>
      </c>
      <c r="P4268" s="4">
        <f>IF(COUNTIFS(INDEX(tItens[Edital],1):tItens[[#This Row],[Edital]],tItens[[#This Row],[Edital]],INDEX(tItens[Produto],1):tItens[[#This Row],[Produto]],tItens[[#This Row],[Produto]])=1,1,0)</f>
        <v>1</v>
      </c>
    </row>
    <row r="4269" spans="1:16" x14ac:dyDescent="0.25">
      <c r="A4269" t="s">
        <v>1699</v>
      </c>
      <c r="B4269">
        <v>188</v>
      </c>
      <c r="C4269" t="s">
        <v>7124</v>
      </c>
      <c r="D4269" t="s">
        <v>156</v>
      </c>
      <c r="E4269" s="13">
        <v>102</v>
      </c>
      <c r="F4269" s="12">
        <v>20.75</v>
      </c>
      <c r="G4269" t="str">
        <f>IFERROR(INDEX(tEditais[Órgão],MATCH(tItens[[#This Row],[Edital]],tEditais[Edital],0)),"")</f>
        <v>ESTADO DE MATO GROSSO</v>
      </c>
      <c r="H4269" t="str">
        <f>IFERROR(INDEX(tEditais[UF],MATCH(tItens[[#This Row],[Edital]],tEditais[Edital],0)),"")</f>
        <v>MT</v>
      </c>
      <c r="I4269" s="11">
        <f>IFERROR(INDEX(tEditais[Encerramento],MATCH(tItens[[#This Row],[Edital]],tEditais[Edital],0)),"")</f>
        <v>46309.40625</v>
      </c>
      <c r="J4269" t="str">
        <f>IFERROR(INDEX(tProdutos[Classe],MATCH(tItens[[#This Row],[Produto]],tProdutos[Produto],0)),"produto não cadastrado")</f>
        <v>DISPUTADO</v>
      </c>
      <c r="K4269" s="12">
        <f>tItens[[#This Row],[Qtd]]*tItens[[#This Row],[Vlr unit]]</f>
        <v>2116.5</v>
      </c>
      <c r="L4269" s="6">
        <f>IFERROR(IF(INDEX(tProdutos[Desconto homologado],MATCH(tItens[[#This Row],[Produto]],tProdutos[Produto],0))="",DescontoPadrao,INDEX(tProdutos[Desconto homologado],MATCH(tItens[[#This Row],[Produto]],tProdutos[Produto],0))),DescontoPadrao)</f>
        <v>0.27131852489802799</v>
      </c>
      <c r="M4269" s="12">
        <f>tItens[[#This Row],[Valor]]*(1-tItens[[#This Row],[Desconto]])</f>
        <v>1542.2543420533239</v>
      </c>
      <c r="N4269" t="str">
        <f>IFERROR(INDEX(tProdutos[Foco],MATCH(tItens[[#This Row],[Produto]],tProdutos[Produto],0)),"Não")</f>
        <v>Não</v>
      </c>
      <c r="O4269" t="str">
        <f>IFERROR(INDEX(tEditais[SRP],MATCH(tItens[[#This Row],[Edital]],tEditais[Edital],0)),"Não")</f>
        <v>Não</v>
      </c>
      <c r="P4269" s="4">
        <f>IF(COUNTIFS(INDEX(tItens[Edital],1):tItens[[#This Row],[Edital]],tItens[[#This Row],[Edital]],INDEX(tItens[Produto],1):tItens[[#This Row],[Produto]],tItens[[#This Row],[Produto]])=1,1,0)</f>
        <v>1</v>
      </c>
    </row>
    <row r="4270" spans="1:16" x14ac:dyDescent="0.25">
      <c r="A4270" t="s">
        <v>1699</v>
      </c>
      <c r="B4270">
        <v>203</v>
      </c>
      <c r="C4270" t="s">
        <v>7125</v>
      </c>
      <c r="D4270" t="s">
        <v>170</v>
      </c>
      <c r="E4270" s="13">
        <v>100</v>
      </c>
      <c r="F4270" s="12">
        <v>23.57</v>
      </c>
      <c r="G4270" t="str">
        <f>IFERROR(INDEX(tEditais[Órgão],MATCH(tItens[[#This Row],[Edital]],tEditais[Edital],0)),"")</f>
        <v>ESTADO DE MATO GROSSO</v>
      </c>
      <c r="H4270" t="str">
        <f>IFERROR(INDEX(tEditais[UF],MATCH(tItens[[#This Row],[Edital]],tEditais[Edital],0)),"")</f>
        <v>MT</v>
      </c>
      <c r="I4270" s="11">
        <f>IFERROR(INDEX(tEditais[Encerramento],MATCH(tItens[[#This Row],[Edital]],tEditais[Edital],0)),"")</f>
        <v>46309.40625</v>
      </c>
      <c r="J4270" t="str">
        <f>IFERROR(INDEX(tProdutos[Classe],MATCH(tItens[[#This Row],[Produto]],tProdutos[Produto],0)),"produto não cadastrado")</f>
        <v>DISPUTADO</v>
      </c>
      <c r="K4270" s="12">
        <f>tItens[[#This Row],[Qtd]]*tItens[[#This Row],[Vlr unit]]</f>
        <v>2357</v>
      </c>
      <c r="L4270" s="6">
        <f>IFERROR(IF(INDEX(tProdutos[Desconto homologado],MATCH(tItens[[#This Row],[Produto]],tProdutos[Produto],0))="",DescontoPadrao,INDEX(tProdutos[Desconto homologado],MATCH(tItens[[#This Row],[Produto]],tProdutos[Produto],0))),DescontoPadrao)</f>
        <v>0.36</v>
      </c>
      <c r="M4270" s="12">
        <f>tItens[[#This Row],[Valor]]*(1-tItens[[#This Row],[Desconto]])</f>
        <v>1508.48</v>
      </c>
      <c r="N4270" t="str">
        <f>IFERROR(INDEX(tProdutos[Foco],MATCH(tItens[[#This Row],[Produto]],tProdutos[Produto],0)),"Não")</f>
        <v>Sim</v>
      </c>
      <c r="O4270" t="str">
        <f>IFERROR(INDEX(tEditais[SRP],MATCH(tItens[[#This Row],[Edital]],tEditais[Edital],0)),"Não")</f>
        <v>Não</v>
      </c>
      <c r="P4270" s="4">
        <f>IF(COUNTIFS(INDEX(tItens[Edital],1):tItens[[#This Row],[Edital]],tItens[[#This Row],[Edital]],INDEX(tItens[Produto],1):tItens[[#This Row],[Produto]],tItens[[#This Row],[Produto]])=1,1,0)</f>
        <v>1</v>
      </c>
    </row>
    <row r="4271" spans="1:16" x14ac:dyDescent="0.25">
      <c r="A4271" t="s">
        <v>1699</v>
      </c>
      <c r="B4271">
        <v>204</v>
      </c>
      <c r="C4271" t="s">
        <v>7126</v>
      </c>
      <c r="D4271" t="s">
        <v>170</v>
      </c>
      <c r="E4271" s="13">
        <v>100</v>
      </c>
      <c r="F4271" s="12">
        <v>23.64</v>
      </c>
      <c r="G4271" t="str">
        <f>IFERROR(INDEX(tEditais[Órgão],MATCH(tItens[[#This Row],[Edital]],tEditais[Edital],0)),"")</f>
        <v>ESTADO DE MATO GROSSO</v>
      </c>
      <c r="H4271" t="str">
        <f>IFERROR(INDEX(tEditais[UF],MATCH(tItens[[#This Row],[Edital]],tEditais[Edital],0)),"")</f>
        <v>MT</v>
      </c>
      <c r="I4271" s="11">
        <f>IFERROR(INDEX(tEditais[Encerramento],MATCH(tItens[[#This Row],[Edital]],tEditais[Edital],0)),"")</f>
        <v>46309.40625</v>
      </c>
      <c r="J4271" t="str">
        <f>IFERROR(INDEX(tProdutos[Classe],MATCH(tItens[[#This Row],[Produto]],tProdutos[Produto],0)),"produto não cadastrado")</f>
        <v>DISPUTADO</v>
      </c>
      <c r="K4271" s="12">
        <f>tItens[[#This Row],[Qtd]]*tItens[[#This Row],[Vlr unit]]</f>
        <v>2364</v>
      </c>
      <c r="L4271" s="6">
        <f>IFERROR(IF(INDEX(tProdutos[Desconto homologado],MATCH(tItens[[#This Row],[Produto]],tProdutos[Produto],0))="",DescontoPadrao,INDEX(tProdutos[Desconto homologado],MATCH(tItens[[#This Row],[Produto]],tProdutos[Produto],0))),DescontoPadrao)</f>
        <v>0.36</v>
      </c>
      <c r="M4271" s="12">
        <f>tItens[[#This Row],[Valor]]*(1-tItens[[#This Row],[Desconto]])</f>
        <v>1512.96</v>
      </c>
      <c r="N4271" t="str">
        <f>IFERROR(INDEX(tProdutos[Foco],MATCH(tItens[[#This Row],[Produto]],tProdutos[Produto],0)),"Não")</f>
        <v>Sim</v>
      </c>
      <c r="O4271" t="str">
        <f>IFERROR(INDEX(tEditais[SRP],MATCH(tItens[[#This Row],[Edital]],tEditais[Edital],0)),"Não")</f>
        <v>Não</v>
      </c>
      <c r="P4271" s="4">
        <f>IF(COUNTIFS(INDEX(tItens[Edital],1):tItens[[#This Row],[Edital]],tItens[[#This Row],[Edital]],INDEX(tItens[Produto],1):tItens[[#This Row],[Produto]],tItens[[#This Row],[Produto]])=1,1,0)</f>
        <v>0</v>
      </c>
    </row>
    <row r="4272" spans="1:16" x14ac:dyDescent="0.25">
      <c r="A4272" t="s">
        <v>1699</v>
      </c>
      <c r="B4272">
        <v>205</v>
      </c>
      <c r="C4272" t="s">
        <v>7127</v>
      </c>
      <c r="D4272" t="s">
        <v>170</v>
      </c>
      <c r="E4272" s="13">
        <v>100</v>
      </c>
      <c r="F4272" s="12">
        <v>23.64</v>
      </c>
      <c r="G4272" t="str">
        <f>IFERROR(INDEX(tEditais[Órgão],MATCH(tItens[[#This Row],[Edital]],tEditais[Edital],0)),"")</f>
        <v>ESTADO DE MATO GROSSO</v>
      </c>
      <c r="H4272" t="str">
        <f>IFERROR(INDEX(tEditais[UF],MATCH(tItens[[#This Row],[Edital]],tEditais[Edital],0)),"")</f>
        <v>MT</v>
      </c>
      <c r="I4272" s="11">
        <f>IFERROR(INDEX(tEditais[Encerramento],MATCH(tItens[[#This Row],[Edital]],tEditais[Edital],0)),"")</f>
        <v>46309.40625</v>
      </c>
      <c r="J4272" t="str">
        <f>IFERROR(INDEX(tProdutos[Classe],MATCH(tItens[[#This Row],[Produto]],tProdutos[Produto],0)),"produto não cadastrado")</f>
        <v>DISPUTADO</v>
      </c>
      <c r="K4272" s="12">
        <f>tItens[[#This Row],[Qtd]]*tItens[[#This Row],[Vlr unit]]</f>
        <v>2364</v>
      </c>
      <c r="L4272" s="6">
        <f>IFERROR(IF(INDEX(tProdutos[Desconto homologado],MATCH(tItens[[#This Row],[Produto]],tProdutos[Produto],0))="",DescontoPadrao,INDEX(tProdutos[Desconto homologado],MATCH(tItens[[#This Row],[Produto]],tProdutos[Produto],0))),DescontoPadrao)</f>
        <v>0.36</v>
      </c>
      <c r="M4272" s="12">
        <f>tItens[[#This Row],[Valor]]*(1-tItens[[#This Row],[Desconto]])</f>
        <v>1512.96</v>
      </c>
      <c r="N4272" t="str">
        <f>IFERROR(INDEX(tProdutos[Foco],MATCH(tItens[[#This Row],[Produto]],tProdutos[Produto],0)),"Não")</f>
        <v>Sim</v>
      </c>
      <c r="O4272" t="str">
        <f>IFERROR(INDEX(tEditais[SRP],MATCH(tItens[[#This Row],[Edital]],tEditais[Edital],0)),"Não")</f>
        <v>Não</v>
      </c>
      <c r="P4272" s="4">
        <f>IF(COUNTIFS(INDEX(tItens[Edital],1):tItens[[#This Row],[Edital]],tItens[[#This Row],[Edital]],INDEX(tItens[Produto],1):tItens[[#This Row],[Produto]],tItens[[#This Row],[Produto]])=1,1,0)</f>
        <v>0</v>
      </c>
    </row>
    <row r="4273" spans="1:16" x14ac:dyDescent="0.25">
      <c r="A4273" t="s">
        <v>1699</v>
      </c>
      <c r="B4273">
        <v>206</v>
      </c>
      <c r="C4273" t="s">
        <v>7128</v>
      </c>
      <c r="D4273" t="s">
        <v>170</v>
      </c>
      <c r="E4273" s="13">
        <v>150</v>
      </c>
      <c r="F4273" s="12">
        <v>22.95</v>
      </c>
      <c r="G4273" t="str">
        <f>IFERROR(INDEX(tEditais[Órgão],MATCH(tItens[[#This Row],[Edital]],tEditais[Edital],0)),"")</f>
        <v>ESTADO DE MATO GROSSO</v>
      </c>
      <c r="H4273" t="str">
        <f>IFERROR(INDEX(tEditais[UF],MATCH(tItens[[#This Row],[Edital]],tEditais[Edital],0)),"")</f>
        <v>MT</v>
      </c>
      <c r="I4273" s="11">
        <f>IFERROR(INDEX(tEditais[Encerramento],MATCH(tItens[[#This Row],[Edital]],tEditais[Edital],0)),"")</f>
        <v>46309.40625</v>
      </c>
      <c r="J4273" t="str">
        <f>IFERROR(INDEX(tProdutos[Classe],MATCH(tItens[[#This Row],[Produto]],tProdutos[Produto],0)),"produto não cadastrado")</f>
        <v>DISPUTADO</v>
      </c>
      <c r="K4273" s="12">
        <f>tItens[[#This Row],[Qtd]]*tItens[[#This Row],[Vlr unit]]</f>
        <v>3442.5</v>
      </c>
      <c r="L4273" s="6">
        <f>IFERROR(IF(INDEX(tProdutos[Desconto homologado],MATCH(tItens[[#This Row],[Produto]],tProdutos[Produto],0))="",DescontoPadrao,INDEX(tProdutos[Desconto homologado],MATCH(tItens[[#This Row],[Produto]],tProdutos[Produto],0))),DescontoPadrao)</f>
        <v>0.36</v>
      </c>
      <c r="M4273" s="12">
        <f>tItens[[#This Row],[Valor]]*(1-tItens[[#This Row],[Desconto]])</f>
        <v>2203.2000000000003</v>
      </c>
      <c r="N4273" t="str">
        <f>IFERROR(INDEX(tProdutos[Foco],MATCH(tItens[[#This Row],[Produto]],tProdutos[Produto],0)),"Não")</f>
        <v>Sim</v>
      </c>
      <c r="O4273" t="str">
        <f>IFERROR(INDEX(tEditais[SRP],MATCH(tItens[[#This Row],[Edital]],tEditais[Edital],0)),"Não")</f>
        <v>Não</v>
      </c>
      <c r="P4273" s="4">
        <f>IF(COUNTIFS(INDEX(tItens[Edital],1):tItens[[#This Row],[Edital]],tItens[[#This Row],[Edital]],INDEX(tItens[Produto],1):tItens[[#This Row],[Produto]],tItens[[#This Row],[Produto]])=1,1,0)</f>
        <v>0</v>
      </c>
    </row>
    <row r="4274" spans="1:16" x14ac:dyDescent="0.25">
      <c r="A4274" t="s">
        <v>1699</v>
      </c>
      <c r="B4274">
        <v>207</v>
      </c>
      <c r="C4274" t="s">
        <v>7129</v>
      </c>
      <c r="D4274" t="s">
        <v>170</v>
      </c>
      <c r="E4274" s="13">
        <v>150</v>
      </c>
      <c r="F4274" s="12">
        <v>22.72</v>
      </c>
      <c r="G4274" t="str">
        <f>IFERROR(INDEX(tEditais[Órgão],MATCH(tItens[[#This Row],[Edital]],tEditais[Edital],0)),"")</f>
        <v>ESTADO DE MATO GROSSO</v>
      </c>
      <c r="H4274" t="str">
        <f>IFERROR(INDEX(tEditais[UF],MATCH(tItens[[#This Row],[Edital]],tEditais[Edital],0)),"")</f>
        <v>MT</v>
      </c>
      <c r="I4274" s="11">
        <f>IFERROR(INDEX(tEditais[Encerramento],MATCH(tItens[[#This Row],[Edital]],tEditais[Edital],0)),"")</f>
        <v>46309.40625</v>
      </c>
      <c r="J4274" t="str">
        <f>IFERROR(INDEX(tProdutos[Classe],MATCH(tItens[[#This Row],[Produto]],tProdutos[Produto],0)),"produto não cadastrado")</f>
        <v>DISPUTADO</v>
      </c>
      <c r="K4274" s="12">
        <f>tItens[[#This Row],[Qtd]]*tItens[[#This Row],[Vlr unit]]</f>
        <v>3408</v>
      </c>
      <c r="L4274" s="6">
        <f>IFERROR(IF(INDEX(tProdutos[Desconto homologado],MATCH(tItens[[#This Row],[Produto]],tProdutos[Produto],0))="",DescontoPadrao,INDEX(tProdutos[Desconto homologado],MATCH(tItens[[#This Row],[Produto]],tProdutos[Produto],0))),DescontoPadrao)</f>
        <v>0.36</v>
      </c>
      <c r="M4274" s="12">
        <f>tItens[[#This Row],[Valor]]*(1-tItens[[#This Row],[Desconto]])</f>
        <v>2181.12</v>
      </c>
      <c r="N4274" t="str">
        <f>IFERROR(INDEX(tProdutos[Foco],MATCH(tItens[[#This Row],[Produto]],tProdutos[Produto],0)),"Não")</f>
        <v>Sim</v>
      </c>
      <c r="O4274" t="str">
        <f>IFERROR(INDEX(tEditais[SRP],MATCH(tItens[[#This Row],[Edital]],tEditais[Edital],0)),"Não")</f>
        <v>Não</v>
      </c>
      <c r="P4274" s="4">
        <f>IF(COUNTIFS(INDEX(tItens[Edital],1):tItens[[#This Row],[Edital]],tItens[[#This Row],[Edital]],INDEX(tItens[Produto],1):tItens[[#This Row],[Produto]],tItens[[#This Row],[Produto]])=1,1,0)</f>
        <v>0</v>
      </c>
    </row>
    <row r="4275" spans="1:16" x14ac:dyDescent="0.25">
      <c r="A4275" t="s">
        <v>1699</v>
      </c>
      <c r="B4275">
        <v>208</v>
      </c>
      <c r="C4275" t="s">
        <v>7130</v>
      </c>
      <c r="D4275" t="s">
        <v>170</v>
      </c>
      <c r="E4275" s="13">
        <v>150</v>
      </c>
      <c r="F4275" s="12">
        <v>22.86</v>
      </c>
      <c r="G4275" t="str">
        <f>IFERROR(INDEX(tEditais[Órgão],MATCH(tItens[[#This Row],[Edital]],tEditais[Edital],0)),"")</f>
        <v>ESTADO DE MATO GROSSO</v>
      </c>
      <c r="H4275" t="str">
        <f>IFERROR(INDEX(tEditais[UF],MATCH(tItens[[#This Row],[Edital]],tEditais[Edital],0)),"")</f>
        <v>MT</v>
      </c>
      <c r="I4275" s="11">
        <f>IFERROR(INDEX(tEditais[Encerramento],MATCH(tItens[[#This Row],[Edital]],tEditais[Edital],0)),"")</f>
        <v>46309.40625</v>
      </c>
      <c r="J4275" t="str">
        <f>IFERROR(INDEX(tProdutos[Classe],MATCH(tItens[[#This Row],[Produto]],tProdutos[Produto],0)),"produto não cadastrado")</f>
        <v>DISPUTADO</v>
      </c>
      <c r="K4275" s="12">
        <f>tItens[[#This Row],[Qtd]]*tItens[[#This Row],[Vlr unit]]</f>
        <v>3429</v>
      </c>
      <c r="L4275" s="6">
        <f>IFERROR(IF(INDEX(tProdutos[Desconto homologado],MATCH(tItens[[#This Row],[Produto]],tProdutos[Produto],0))="",DescontoPadrao,INDEX(tProdutos[Desconto homologado],MATCH(tItens[[#This Row],[Produto]],tProdutos[Produto],0))),DescontoPadrao)</f>
        <v>0.36</v>
      </c>
      <c r="M4275" s="12">
        <f>tItens[[#This Row],[Valor]]*(1-tItens[[#This Row],[Desconto]])</f>
        <v>2194.56</v>
      </c>
      <c r="N4275" t="str">
        <f>IFERROR(INDEX(tProdutos[Foco],MATCH(tItens[[#This Row],[Produto]],tProdutos[Produto],0)),"Não")</f>
        <v>Sim</v>
      </c>
      <c r="O4275" t="str">
        <f>IFERROR(INDEX(tEditais[SRP],MATCH(tItens[[#This Row],[Edital]],tEditais[Edital],0)),"Não")</f>
        <v>Não</v>
      </c>
      <c r="P4275" s="4">
        <f>IF(COUNTIFS(INDEX(tItens[Edital],1):tItens[[#This Row],[Edital]],tItens[[#This Row],[Edital]],INDEX(tItens[Produto],1):tItens[[#This Row],[Produto]],tItens[[#This Row],[Produto]])=1,1,0)</f>
        <v>0</v>
      </c>
    </row>
    <row r="4276" spans="1:16" x14ac:dyDescent="0.25">
      <c r="A4276" t="s">
        <v>1699</v>
      </c>
      <c r="B4276">
        <v>209</v>
      </c>
      <c r="C4276" t="s">
        <v>7131</v>
      </c>
      <c r="D4276" t="s">
        <v>170</v>
      </c>
      <c r="E4276" s="13">
        <v>150</v>
      </c>
      <c r="F4276" s="12">
        <v>22.72</v>
      </c>
      <c r="G4276" t="str">
        <f>IFERROR(INDEX(tEditais[Órgão],MATCH(tItens[[#This Row],[Edital]],tEditais[Edital],0)),"")</f>
        <v>ESTADO DE MATO GROSSO</v>
      </c>
      <c r="H4276" t="str">
        <f>IFERROR(INDEX(tEditais[UF],MATCH(tItens[[#This Row],[Edital]],tEditais[Edital],0)),"")</f>
        <v>MT</v>
      </c>
      <c r="I4276" s="11">
        <f>IFERROR(INDEX(tEditais[Encerramento],MATCH(tItens[[#This Row],[Edital]],tEditais[Edital],0)),"")</f>
        <v>46309.40625</v>
      </c>
      <c r="J4276" t="str">
        <f>IFERROR(INDEX(tProdutos[Classe],MATCH(tItens[[#This Row],[Produto]],tProdutos[Produto],0)),"produto não cadastrado")</f>
        <v>DISPUTADO</v>
      </c>
      <c r="K4276" s="12">
        <f>tItens[[#This Row],[Qtd]]*tItens[[#This Row],[Vlr unit]]</f>
        <v>3408</v>
      </c>
      <c r="L4276" s="6">
        <f>IFERROR(IF(INDEX(tProdutos[Desconto homologado],MATCH(tItens[[#This Row],[Produto]],tProdutos[Produto],0))="",DescontoPadrao,INDEX(tProdutos[Desconto homologado],MATCH(tItens[[#This Row],[Produto]],tProdutos[Produto],0))),DescontoPadrao)</f>
        <v>0.36</v>
      </c>
      <c r="M4276" s="12">
        <f>tItens[[#This Row],[Valor]]*(1-tItens[[#This Row],[Desconto]])</f>
        <v>2181.12</v>
      </c>
      <c r="N4276" t="str">
        <f>IFERROR(INDEX(tProdutos[Foco],MATCH(tItens[[#This Row],[Produto]],tProdutos[Produto],0)),"Não")</f>
        <v>Sim</v>
      </c>
      <c r="O4276" t="str">
        <f>IFERROR(INDEX(tEditais[SRP],MATCH(tItens[[#This Row],[Edital]],tEditais[Edital],0)),"Não")</f>
        <v>Não</v>
      </c>
      <c r="P4276" s="4">
        <f>IF(COUNTIFS(INDEX(tItens[Edital],1):tItens[[#This Row],[Edital]],tItens[[#This Row],[Edital]],INDEX(tItens[Produto],1):tItens[[#This Row],[Produto]],tItens[[#This Row],[Produto]])=1,1,0)</f>
        <v>0</v>
      </c>
    </row>
    <row r="4277" spans="1:16" x14ac:dyDescent="0.25">
      <c r="A4277" t="s">
        <v>1699</v>
      </c>
      <c r="B4277">
        <v>219</v>
      </c>
      <c r="C4277" t="s">
        <v>7132</v>
      </c>
      <c r="D4277" t="s">
        <v>277</v>
      </c>
      <c r="E4277" s="13">
        <v>263</v>
      </c>
      <c r="F4277" s="12">
        <v>19.59</v>
      </c>
      <c r="G4277" t="str">
        <f>IFERROR(INDEX(tEditais[Órgão],MATCH(tItens[[#This Row],[Edital]],tEditais[Edital],0)),"")</f>
        <v>ESTADO DE MATO GROSSO</v>
      </c>
      <c r="H4277" t="str">
        <f>IFERROR(INDEX(tEditais[UF],MATCH(tItens[[#This Row],[Edital]],tEditais[Edital],0)),"")</f>
        <v>MT</v>
      </c>
      <c r="I4277" s="11">
        <f>IFERROR(INDEX(tEditais[Encerramento],MATCH(tItens[[#This Row],[Edital]],tEditais[Edital],0)),"")</f>
        <v>46309.40625</v>
      </c>
      <c r="J4277" t="str">
        <f>IFERROR(INDEX(tProdutos[Classe],MATCH(tItens[[#This Row],[Produto]],tProdutos[Produto],0)),"produto não cadastrado")</f>
        <v>DISPUTADO</v>
      </c>
      <c r="K4277" s="12">
        <f>tItens[[#This Row],[Qtd]]*tItens[[#This Row],[Vlr unit]]</f>
        <v>5152.17</v>
      </c>
      <c r="L4277" s="6">
        <f>IFERROR(IF(INDEX(tProdutos[Desconto homologado],MATCH(tItens[[#This Row],[Produto]],tProdutos[Produto],0))="",DescontoPadrao,INDEX(tProdutos[Desconto homologado],MATCH(tItens[[#This Row],[Produto]],tProdutos[Produto],0))),DescontoPadrao)</f>
        <v>0.50460666194188497</v>
      </c>
      <c r="M4277" s="12">
        <f>tItens[[#This Row],[Valor]]*(1-tItens[[#This Row],[Desconto]])</f>
        <v>2552.3506945428785</v>
      </c>
      <c r="N4277" t="str">
        <f>IFERROR(INDEX(tProdutos[Foco],MATCH(tItens[[#This Row],[Produto]],tProdutos[Produto],0)),"Não")</f>
        <v>Não</v>
      </c>
      <c r="O4277" t="str">
        <f>IFERROR(INDEX(tEditais[SRP],MATCH(tItens[[#This Row],[Edital]],tEditais[Edital],0)),"Não")</f>
        <v>Não</v>
      </c>
      <c r="P4277" s="4">
        <f>IF(COUNTIFS(INDEX(tItens[Edital],1):tItens[[#This Row],[Edital]],tItens[[#This Row],[Edital]],INDEX(tItens[Produto],1):tItens[[#This Row],[Produto]],tItens[[#This Row],[Produto]])=1,1,0)</f>
        <v>1</v>
      </c>
    </row>
    <row r="4278" spans="1:16" x14ac:dyDescent="0.25">
      <c r="A4278" t="s">
        <v>1702</v>
      </c>
      <c r="B4278">
        <v>17</v>
      </c>
      <c r="C4278" t="s">
        <v>7133</v>
      </c>
      <c r="D4278" t="s">
        <v>315</v>
      </c>
      <c r="E4278" s="13">
        <v>1000</v>
      </c>
      <c r="F4278" s="12">
        <v>7.04</v>
      </c>
      <c r="G4278" t="str">
        <f>IFERROR(INDEX(tEditais[Órgão],MATCH(tItens[[#This Row],[Edital]],tEditais[Edital],0)),"")</f>
        <v>MUNICIPIO DE SAO JOSE DO RIO CLARO</v>
      </c>
      <c r="H4278" t="str">
        <f>IFERROR(INDEX(tEditais[UF],MATCH(tItens[[#This Row],[Edital]],tEditais[Edital],0)),"")</f>
        <v>MT</v>
      </c>
      <c r="I4278" s="11">
        <f>IFERROR(INDEX(tEditais[Encerramento],MATCH(tItens[[#This Row],[Edital]],tEditais[Edital],0)),"")</f>
        <v>46311.333333333336</v>
      </c>
      <c r="J4278" t="str">
        <f>IFERROR(INDEX(tProdutos[Classe],MATCH(tItens[[#This Row],[Produto]],tProdutos[Produto],0)),"produto não cadastrado")</f>
        <v>FORA</v>
      </c>
      <c r="K4278" s="12">
        <f>tItens[[#This Row],[Qtd]]*tItens[[#This Row],[Vlr unit]]</f>
        <v>7040</v>
      </c>
      <c r="L4278" s="6">
        <f>IFERROR(IF(INDEX(tProdutos[Desconto homologado],MATCH(tItens[[#This Row],[Produto]],tProdutos[Produto],0))="",DescontoPadrao,INDEX(tProdutos[Desconto homologado],MATCH(tItens[[#This Row],[Produto]],tProdutos[Produto],0))),DescontoPadrao)</f>
        <v>0.38432036097010702</v>
      </c>
      <c r="M4278" s="12">
        <f>tItens[[#This Row],[Valor]]*(1-tItens[[#This Row],[Desconto]])</f>
        <v>4334.3846587704465</v>
      </c>
      <c r="N4278" t="str">
        <f>IFERROR(INDEX(tProdutos[Foco],MATCH(tItens[[#This Row],[Produto]],tProdutos[Produto],0)),"Não")</f>
        <v>Não</v>
      </c>
      <c r="O4278" t="str">
        <f>IFERROR(INDEX(tEditais[SRP],MATCH(tItens[[#This Row],[Edital]],tEditais[Edital],0)),"Não")</f>
        <v>Sim</v>
      </c>
      <c r="P4278" s="4">
        <f>IF(COUNTIFS(INDEX(tItens[Edital],1):tItens[[#This Row],[Edital]],tItens[[#This Row],[Edital]],INDEX(tItens[Produto],1):tItens[[#This Row],[Produto]],tItens[[#This Row],[Produto]])=1,1,0)</f>
        <v>1</v>
      </c>
    </row>
    <row r="4279" spans="1:16" x14ac:dyDescent="0.25">
      <c r="A4279" t="s">
        <v>1702</v>
      </c>
      <c r="B4279">
        <v>18</v>
      </c>
      <c r="C4279" t="s">
        <v>7134</v>
      </c>
      <c r="D4279" t="s">
        <v>315</v>
      </c>
      <c r="E4279" s="13">
        <v>1000</v>
      </c>
      <c r="F4279" s="12">
        <v>7.09</v>
      </c>
      <c r="G4279" t="str">
        <f>IFERROR(INDEX(tEditais[Órgão],MATCH(tItens[[#This Row],[Edital]],tEditais[Edital],0)),"")</f>
        <v>MUNICIPIO DE SAO JOSE DO RIO CLARO</v>
      </c>
      <c r="H4279" t="str">
        <f>IFERROR(INDEX(tEditais[UF],MATCH(tItens[[#This Row],[Edital]],tEditais[Edital],0)),"")</f>
        <v>MT</v>
      </c>
      <c r="I4279" s="11">
        <f>IFERROR(INDEX(tEditais[Encerramento],MATCH(tItens[[#This Row],[Edital]],tEditais[Edital],0)),"")</f>
        <v>46311.333333333336</v>
      </c>
      <c r="J4279" t="str">
        <f>IFERROR(INDEX(tProdutos[Classe],MATCH(tItens[[#This Row],[Produto]],tProdutos[Produto],0)),"produto não cadastrado")</f>
        <v>FORA</v>
      </c>
      <c r="K4279" s="12">
        <f>tItens[[#This Row],[Qtd]]*tItens[[#This Row],[Vlr unit]]</f>
        <v>7090</v>
      </c>
      <c r="L4279" s="6">
        <f>IFERROR(IF(INDEX(tProdutos[Desconto homologado],MATCH(tItens[[#This Row],[Produto]],tProdutos[Produto],0))="",DescontoPadrao,INDEX(tProdutos[Desconto homologado],MATCH(tItens[[#This Row],[Produto]],tProdutos[Produto],0))),DescontoPadrao)</f>
        <v>0.38432036097010702</v>
      </c>
      <c r="M4279" s="12">
        <f>tItens[[#This Row],[Valor]]*(1-tItens[[#This Row],[Desconto]])</f>
        <v>4365.1686407219413</v>
      </c>
      <c r="N4279" t="str">
        <f>IFERROR(INDEX(tProdutos[Foco],MATCH(tItens[[#This Row],[Produto]],tProdutos[Produto],0)),"Não")</f>
        <v>Não</v>
      </c>
      <c r="O4279" t="str">
        <f>IFERROR(INDEX(tEditais[SRP],MATCH(tItens[[#This Row],[Edital]],tEditais[Edital],0)),"Não")</f>
        <v>Sim</v>
      </c>
      <c r="P4279" s="4">
        <f>IF(COUNTIFS(INDEX(tItens[Edital],1):tItens[[#This Row],[Edital]],tItens[[#This Row],[Edital]],INDEX(tItens[Produto],1):tItens[[#This Row],[Produto]],tItens[[#This Row],[Produto]])=1,1,0)</f>
        <v>0</v>
      </c>
    </row>
    <row r="4280" spans="1:16" x14ac:dyDescent="0.25">
      <c r="A4280" t="s">
        <v>1702</v>
      </c>
      <c r="B4280">
        <v>48</v>
      </c>
      <c r="C4280" t="s">
        <v>7135</v>
      </c>
      <c r="D4280" t="s">
        <v>309</v>
      </c>
      <c r="E4280" s="13">
        <v>400</v>
      </c>
      <c r="F4280" s="12">
        <v>5.96</v>
      </c>
      <c r="G4280" t="str">
        <f>IFERROR(INDEX(tEditais[Órgão],MATCH(tItens[[#This Row],[Edital]],tEditais[Edital],0)),"")</f>
        <v>MUNICIPIO DE SAO JOSE DO RIO CLARO</v>
      </c>
      <c r="H4280" t="str">
        <f>IFERROR(INDEX(tEditais[UF],MATCH(tItens[[#This Row],[Edital]],tEditais[Edital],0)),"")</f>
        <v>MT</v>
      </c>
      <c r="I4280" s="11">
        <f>IFERROR(INDEX(tEditais[Encerramento],MATCH(tItens[[#This Row],[Edital]],tEditais[Edital],0)),"")</f>
        <v>46311.333333333336</v>
      </c>
      <c r="J4280" t="str">
        <f>IFERROR(INDEX(tProdutos[Classe],MATCH(tItens[[#This Row],[Produto]],tProdutos[Produto],0)),"produto não cadastrado")</f>
        <v>DISPUTADO</v>
      </c>
      <c r="K4280" s="12">
        <f>tItens[[#This Row],[Qtd]]*tItens[[#This Row],[Vlr unit]]</f>
        <v>2384</v>
      </c>
      <c r="L4280" s="6">
        <f>IFERROR(IF(INDEX(tProdutos[Desconto homologado],MATCH(tItens[[#This Row],[Produto]],tProdutos[Produto],0))="",DescontoPadrao,INDEX(tProdutos[Desconto homologado],MATCH(tItens[[#This Row],[Produto]],tProdutos[Produto],0))),DescontoPadrao)</f>
        <v>0.329229323455968</v>
      </c>
      <c r="M4280" s="12">
        <f>tItens[[#This Row],[Valor]]*(1-tItens[[#This Row],[Desconto]])</f>
        <v>1599.1172928809722</v>
      </c>
      <c r="N4280" t="str">
        <f>IFERROR(INDEX(tProdutos[Foco],MATCH(tItens[[#This Row],[Produto]],tProdutos[Produto],0)),"Não")</f>
        <v>Não</v>
      </c>
      <c r="O4280" t="str">
        <f>IFERROR(INDEX(tEditais[SRP],MATCH(tItens[[#This Row],[Edital]],tEditais[Edital],0)),"Não")</f>
        <v>Sim</v>
      </c>
      <c r="P4280" s="4">
        <f>IF(COUNTIFS(INDEX(tItens[Edital],1):tItens[[#This Row],[Edital]],tItens[[#This Row],[Edital]],INDEX(tItens[Produto],1):tItens[[#This Row],[Produto]],tItens[[#This Row],[Produto]])=1,1,0)</f>
        <v>1</v>
      </c>
    </row>
    <row r="4281" spans="1:16" x14ac:dyDescent="0.25">
      <c r="A4281" t="s">
        <v>1702</v>
      </c>
      <c r="B4281">
        <v>49</v>
      </c>
      <c r="C4281" t="s">
        <v>7136</v>
      </c>
      <c r="D4281" t="s">
        <v>309</v>
      </c>
      <c r="E4281" s="13">
        <v>400</v>
      </c>
      <c r="F4281" s="12">
        <v>6.6</v>
      </c>
      <c r="G4281" t="str">
        <f>IFERROR(INDEX(tEditais[Órgão],MATCH(tItens[[#This Row],[Edital]],tEditais[Edital],0)),"")</f>
        <v>MUNICIPIO DE SAO JOSE DO RIO CLARO</v>
      </c>
      <c r="H4281" t="str">
        <f>IFERROR(INDEX(tEditais[UF],MATCH(tItens[[#This Row],[Edital]],tEditais[Edital],0)),"")</f>
        <v>MT</v>
      </c>
      <c r="I4281" s="11">
        <f>IFERROR(INDEX(tEditais[Encerramento],MATCH(tItens[[#This Row],[Edital]],tEditais[Edital],0)),"")</f>
        <v>46311.333333333336</v>
      </c>
      <c r="J4281" t="str">
        <f>IFERROR(INDEX(tProdutos[Classe],MATCH(tItens[[#This Row],[Produto]],tProdutos[Produto],0)),"produto não cadastrado")</f>
        <v>DISPUTADO</v>
      </c>
      <c r="K4281" s="12">
        <f>tItens[[#This Row],[Qtd]]*tItens[[#This Row],[Vlr unit]]</f>
        <v>2640</v>
      </c>
      <c r="L4281" s="6">
        <f>IFERROR(IF(INDEX(tProdutos[Desconto homologado],MATCH(tItens[[#This Row],[Produto]],tProdutos[Produto],0))="",DescontoPadrao,INDEX(tProdutos[Desconto homologado],MATCH(tItens[[#This Row],[Produto]],tProdutos[Produto],0))),DescontoPadrao)</f>
        <v>0.329229323455968</v>
      </c>
      <c r="M4281" s="12">
        <f>tItens[[#This Row],[Valor]]*(1-tItens[[#This Row],[Desconto]])</f>
        <v>1770.8345860762445</v>
      </c>
      <c r="N4281" t="str">
        <f>IFERROR(INDEX(tProdutos[Foco],MATCH(tItens[[#This Row],[Produto]],tProdutos[Produto],0)),"Não")</f>
        <v>Não</v>
      </c>
      <c r="O4281" t="str">
        <f>IFERROR(INDEX(tEditais[SRP],MATCH(tItens[[#This Row],[Edital]],tEditais[Edital],0)),"Não")</f>
        <v>Sim</v>
      </c>
      <c r="P4281" s="4">
        <f>IF(COUNTIFS(INDEX(tItens[Edital],1):tItens[[#This Row],[Edital]],tItens[[#This Row],[Edital]],INDEX(tItens[Produto],1):tItens[[#This Row],[Produto]],tItens[[#This Row],[Produto]])=1,1,0)</f>
        <v>0</v>
      </c>
    </row>
    <row r="4282" spans="1:16" x14ac:dyDescent="0.25">
      <c r="A4282" t="s">
        <v>1702</v>
      </c>
      <c r="B4282">
        <v>50</v>
      </c>
      <c r="C4282" t="s">
        <v>7137</v>
      </c>
      <c r="D4282" t="s">
        <v>309</v>
      </c>
      <c r="E4282" s="13">
        <v>400</v>
      </c>
      <c r="F4282" s="12">
        <v>7.55</v>
      </c>
      <c r="G4282" t="str">
        <f>IFERROR(INDEX(tEditais[Órgão],MATCH(tItens[[#This Row],[Edital]],tEditais[Edital],0)),"")</f>
        <v>MUNICIPIO DE SAO JOSE DO RIO CLARO</v>
      </c>
      <c r="H4282" t="str">
        <f>IFERROR(INDEX(tEditais[UF],MATCH(tItens[[#This Row],[Edital]],tEditais[Edital],0)),"")</f>
        <v>MT</v>
      </c>
      <c r="I4282" s="11">
        <f>IFERROR(INDEX(tEditais[Encerramento],MATCH(tItens[[#This Row],[Edital]],tEditais[Edital],0)),"")</f>
        <v>46311.333333333336</v>
      </c>
      <c r="J4282" t="str">
        <f>IFERROR(INDEX(tProdutos[Classe],MATCH(tItens[[#This Row],[Produto]],tProdutos[Produto],0)),"produto não cadastrado")</f>
        <v>DISPUTADO</v>
      </c>
      <c r="K4282" s="12">
        <f>tItens[[#This Row],[Qtd]]*tItens[[#This Row],[Vlr unit]]</f>
        <v>3020</v>
      </c>
      <c r="L4282" s="6">
        <f>IFERROR(IF(INDEX(tProdutos[Desconto homologado],MATCH(tItens[[#This Row],[Produto]],tProdutos[Produto],0))="",DescontoPadrao,INDEX(tProdutos[Desconto homologado],MATCH(tItens[[#This Row],[Produto]],tProdutos[Produto],0))),DescontoPadrao)</f>
        <v>0.329229323455968</v>
      </c>
      <c r="M4282" s="12">
        <f>tItens[[#This Row],[Valor]]*(1-tItens[[#This Row],[Desconto]])</f>
        <v>2025.7274431629767</v>
      </c>
      <c r="N4282" t="str">
        <f>IFERROR(INDEX(tProdutos[Foco],MATCH(tItens[[#This Row],[Produto]],tProdutos[Produto],0)),"Não")</f>
        <v>Não</v>
      </c>
      <c r="O4282" t="str">
        <f>IFERROR(INDEX(tEditais[SRP],MATCH(tItens[[#This Row],[Edital]],tEditais[Edital],0)),"Não")</f>
        <v>Sim</v>
      </c>
      <c r="P4282" s="4">
        <f>IF(COUNTIFS(INDEX(tItens[Edital],1):tItens[[#This Row],[Edital]],tItens[[#This Row],[Edital]],INDEX(tItens[Produto],1):tItens[[#This Row],[Produto]],tItens[[#This Row],[Produto]])=1,1,0)</f>
        <v>0</v>
      </c>
    </row>
    <row r="4283" spans="1:16" x14ac:dyDescent="0.25">
      <c r="A4283" t="s">
        <v>1702</v>
      </c>
      <c r="B4283">
        <v>51</v>
      </c>
      <c r="C4283" t="s">
        <v>7138</v>
      </c>
      <c r="D4283" t="s">
        <v>309</v>
      </c>
      <c r="E4283" s="13">
        <v>400</v>
      </c>
      <c r="F4283" s="12">
        <v>8.9</v>
      </c>
      <c r="G4283" t="str">
        <f>IFERROR(INDEX(tEditais[Órgão],MATCH(tItens[[#This Row],[Edital]],tEditais[Edital],0)),"")</f>
        <v>MUNICIPIO DE SAO JOSE DO RIO CLARO</v>
      </c>
      <c r="H4283" t="str">
        <f>IFERROR(INDEX(tEditais[UF],MATCH(tItens[[#This Row],[Edital]],tEditais[Edital],0)),"")</f>
        <v>MT</v>
      </c>
      <c r="I4283" s="11">
        <f>IFERROR(INDEX(tEditais[Encerramento],MATCH(tItens[[#This Row],[Edital]],tEditais[Edital],0)),"")</f>
        <v>46311.333333333336</v>
      </c>
      <c r="J4283" t="str">
        <f>IFERROR(INDEX(tProdutos[Classe],MATCH(tItens[[#This Row],[Produto]],tProdutos[Produto],0)),"produto não cadastrado")</f>
        <v>DISPUTADO</v>
      </c>
      <c r="K4283" s="12">
        <f>tItens[[#This Row],[Qtd]]*tItens[[#This Row],[Vlr unit]]</f>
        <v>3560</v>
      </c>
      <c r="L4283" s="6">
        <f>IFERROR(IF(INDEX(tProdutos[Desconto homologado],MATCH(tItens[[#This Row],[Produto]],tProdutos[Produto],0))="",DescontoPadrao,INDEX(tProdutos[Desconto homologado],MATCH(tItens[[#This Row],[Produto]],tProdutos[Produto],0))),DescontoPadrao)</f>
        <v>0.329229323455968</v>
      </c>
      <c r="M4283" s="12">
        <f>tItens[[#This Row],[Valor]]*(1-tItens[[#This Row],[Desconto]])</f>
        <v>2387.9436084967538</v>
      </c>
      <c r="N4283" t="str">
        <f>IFERROR(INDEX(tProdutos[Foco],MATCH(tItens[[#This Row],[Produto]],tProdutos[Produto],0)),"Não")</f>
        <v>Não</v>
      </c>
      <c r="O4283" t="str">
        <f>IFERROR(INDEX(tEditais[SRP],MATCH(tItens[[#This Row],[Edital]],tEditais[Edital],0)),"Não")</f>
        <v>Sim</v>
      </c>
      <c r="P4283" s="4">
        <f>IF(COUNTIFS(INDEX(tItens[Edital],1):tItens[[#This Row],[Edital]],tItens[[#This Row],[Edital]],INDEX(tItens[Produto],1):tItens[[#This Row],[Produto]],tItens[[#This Row],[Produto]])=1,1,0)</f>
        <v>0</v>
      </c>
    </row>
    <row r="4284" spans="1:16" x14ac:dyDescent="0.25">
      <c r="A4284" t="s">
        <v>1702</v>
      </c>
      <c r="B4284">
        <v>69</v>
      </c>
      <c r="C4284" t="s">
        <v>7139</v>
      </c>
      <c r="D4284" t="s">
        <v>409</v>
      </c>
      <c r="E4284" s="13">
        <v>100</v>
      </c>
      <c r="F4284" s="12">
        <v>31.95</v>
      </c>
      <c r="G4284" t="str">
        <f>IFERROR(INDEX(tEditais[Órgão],MATCH(tItens[[#This Row],[Edital]],tEditais[Edital],0)),"")</f>
        <v>MUNICIPIO DE SAO JOSE DO RIO CLARO</v>
      </c>
      <c r="H4284" t="str">
        <f>IFERROR(INDEX(tEditais[UF],MATCH(tItens[[#This Row],[Edital]],tEditais[Edital],0)),"")</f>
        <v>MT</v>
      </c>
      <c r="I4284" s="11">
        <f>IFERROR(INDEX(tEditais[Encerramento],MATCH(tItens[[#This Row],[Edital]],tEditais[Edital],0)),"")</f>
        <v>46311.333333333336</v>
      </c>
      <c r="J4284" t="str">
        <f>IFERROR(INDEX(tProdutos[Classe],MATCH(tItens[[#This Row],[Produto]],tProdutos[Produto],0)),"produto não cadastrado")</f>
        <v>FORA</v>
      </c>
      <c r="K4284" s="12">
        <f>tItens[[#This Row],[Qtd]]*tItens[[#This Row],[Vlr unit]]</f>
        <v>3195</v>
      </c>
      <c r="L4284" s="6">
        <f>IFERROR(IF(INDEX(tProdutos[Desconto homologado],MATCH(tItens[[#This Row],[Produto]],tProdutos[Produto],0))="",DescontoPadrao,INDEX(tProdutos[Desconto homologado],MATCH(tItens[[#This Row],[Produto]],tProdutos[Produto],0))),DescontoPadrao)</f>
        <v>0.24924924924924899</v>
      </c>
      <c r="M4284" s="12">
        <f>tItens[[#This Row],[Valor]]*(1-tItens[[#This Row],[Desconto]])</f>
        <v>2398.6486486486497</v>
      </c>
      <c r="N4284" t="str">
        <f>IFERROR(INDEX(tProdutos[Foco],MATCH(tItens[[#This Row],[Produto]],tProdutos[Produto],0)),"Não")</f>
        <v>Não</v>
      </c>
      <c r="O4284" t="str">
        <f>IFERROR(INDEX(tEditais[SRP],MATCH(tItens[[#This Row],[Edital]],tEditais[Edital],0)),"Não")</f>
        <v>Sim</v>
      </c>
      <c r="P4284" s="4">
        <f>IF(COUNTIFS(INDEX(tItens[Edital],1):tItens[[#This Row],[Edital]],tItens[[#This Row],[Edital]],INDEX(tItens[Produto],1):tItens[[#This Row],[Produto]],tItens[[#This Row],[Produto]])=1,1,0)</f>
        <v>1</v>
      </c>
    </row>
    <row r="4285" spans="1:16" x14ac:dyDescent="0.25">
      <c r="A4285" t="s">
        <v>1702</v>
      </c>
      <c r="B4285">
        <v>79</v>
      </c>
      <c r="C4285" t="s">
        <v>7140</v>
      </c>
      <c r="D4285" t="s">
        <v>245</v>
      </c>
      <c r="E4285" s="13">
        <v>1000</v>
      </c>
      <c r="F4285" s="12">
        <v>0.89</v>
      </c>
      <c r="G4285" t="str">
        <f>IFERROR(INDEX(tEditais[Órgão],MATCH(tItens[[#This Row],[Edital]],tEditais[Edital],0)),"")</f>
        <v>MUNICIPIO DE SAO JOSE DO RIO CLARO</v>
      </c>
      <c r="H4285" t="str">
        <f>IFERROR(INDEX(tEditais[UF],MATCH(tItens[[#This Row],[Edital]],tEditais[Edital],0)),"")</f>
        <v>MT</v>
      </c>
      <c r="I4285" s="11">
        <f>IFERROR(INDEX(tEditais[Encerramento],MATCH(tItens[[#This Row],[Edital]],tEditais[Edital],0)),"")</f>
        <v>46311.333333333336</v>
      </c>
      <c r="J4285" t="str">
        <f>IFERROR(INDEX(tProdutos[Classe],MATCH(tItens[[#This Row],[Produto]],tProdutos[Produto],0)),"produto não cadastrado")</f>
        <v>FORA</v>
      </c>
      <c r="K4285" s="12">
        <f>tItens[[#This Row],[Qtd]]*tItens[[#This Row],[Vlr unit]]</f>
        <v>890</v>
      </c>
      <c r="L4285" s="6">
        <f>IFERROR(IF(INDEX(tProdutos[Desconto homologado],MATCH(tItens[[#This Row],[Produto]],tProdutos[Produto],0))="",DescontoPadrao,INDEX(tProdutos[Desconto homologado],MATCH(tItens[[#This Row],[Produto]],tProdutos[Produto],0))),DescontoPadrao)</f>
        <v>0.34516963542284401</v>
      </c>
      <c r="M4285" s="12">
        <f>tItens[[#This Row],[Valor]]*(1-tItens[[#This Row],[Desconto]])</f>
        <v>582.79902447366885</v>
      </c>
      <c r="N4285" t="str">
        <f>IFERROR(INDEX(tProdutos[Foco],MATCH(tItens[[#This Row],[Produto]],tProdutos[Produto],0)),"Não")</f>
        <v>Não</v>
      </c>
      <c r="O4285" t="str">
        <f>IFERROR(INDEX(tEditais[SRP],MATCH(tItens[[#This Row],[Edital]],tEditais[Edital],0)),"Não")</f>
        <v>Sim</v>
      </c>
      <c r="P4285" s="4">
        <f>IF(COUNTIFS(INDEX(tItens[Edital],1):tItens[[#This Row],[Edital]],tItens[[#This Row],[Edital]],INDEX(tItens[Produto],1):tItens[[#This Row],[Produto]],tItens[[#This Row],[Produto]])=1,1,0)</f>
        <v>1</v>
      </c>
    </row>
    <row r="4286" spans="1:16" x14ac:dyDescent="0.25">
      <c r="A4286" t="s">
        <v>1702</v>
      </c>
      <c r="B4286">
        <v>80</v>
      </c>
      <c r="C4286" t="s">
        <v>7141</v>
      </c>
      <c r="D4286" t="s">
        <v>245</v>
      </c>
      <c r="E4286" s="13">
        <v>1000</v>
      </c>
      <c r="F4286" s="12">
        <v>1.02</v>
      </c>
      <c r="G4286" t="str">
        <f>IFERROR(INDEX(tEditais[Órgão],MATCH(tItens[[#This Row],[Edital]],tEditais[Edital],0)),"")</f>
        <v>MUNICIPIO DE SAO JOSE DO RIO CLARO</v>
      </c>
      <c r="H4286" t="str">
        <f>IFERROR(INDEX(tEditais[UF],MATCH(tItens[[#This Row],[Edital]],tEditais[Edital],0)),"")</f>
        <v>MT</v>
      </c>
      <c r="I4286" s="11">
        <f>IFERROR(INDEX(tEditais[Encerramento],MATCH(tItens[[#This Row],[Edital]],tEditais[Edital],0)),"")</f>
        <v>46311.333333333336</v>
      </c>
      <c r="J4286" t="str">
        <f>IFERROR(INDEX(tProdutos[Classe],MATCH(tItens[[#This Row],[Produto]],tProdutos[Produto],0)),"produto não cadastrado")</f>
        <v>FORA</v>
      </c>
      <c r="K4286" s="12">
        <f>tItens[[#This Row],[Qtd]]*tItens[[#This Row],[Vlr unit]]</f>
        <v>1020</v>
      </c>
      <c r="L4286" s="6">
        <f>IFERROR(IF(INDEX(tProdutos[Desconto homologado],MATCH(tItens[[#This Row],[Produto]],tProdutos[Produto],0))="",DescontoPadrao,INDEX(tProdutos[Desconto homologado],MATCH(tItens[[#This Row],[Produto]],tProdutos[Produto],0))),DescontoPadrao)</f>
        <v>0.34516963542284401</v>
      </c>
      <c r="M4286" s="12">
        <f>tItens[[#This Row],[Valor]]*(1-tItens[[#This Row],[Desconto]])</f>
        <v>667.92697186869918</v>
      </c>
      <c r="N4286" t="str">
        <f>IFERROR(INDEX(tProdutos[Foco],MATCH(tItens[[#This Row],[Produto]],tProdutos[Produto],0)),"Não")</f>
        <v>Não</v>
      </c>
      <c r="O4286" t="str">
        <f>IFERROR(INDEX(tEditais[SRP],MATCH(tItens[[#This Row],[Edital]],tEditais[Edital],0)),"Não")</f>
        <v>Sim</v>
      </c>
      <c r="P4286" s="4">
        <f>IF(COUNTIFS(INDEX(tItens[Edital],1):tItens[[#This Row],[Edital]],tItens[[#This Row],[Edital]],INDEX(tItens[Produto],1):tItens[[#This Row],[Produto]],tItens[[#This Row],[Produto]])=1,1,0)</f>
        <v>0</v>
      </c>
    </row>
    <row r="4287" spans="1:16" x14ac:dyDescent="0.25">
      <c r="A4287" t="s">
        <v>1702</v>
      </c>
      <c r="B4287">
        <v>81</v>
      </c>
      <c r="C4287" t="s">
        <v>7142</v>
      </c>
      <c r="D4287" t="s">
        <v>73</v>
      </c>
      <c r="E4287" s="13">
        <v>400</v>
      </c>
      <c r="F4287" s="12">
        <v>1.1299999999999999</v>
      </c>
      <c r="G4287" t="str">
        <f>IFERROR(INDEX(tEditais[Órgão],MATCH(tItens[[#This Row],[Edital]],tEditais[Edital],0)),"")</f>
        <v>MUNICIPIO DE SAO JOSE DO RIO CLARO</v>
      </c>
      <c r="H4287" t="str">
        <f>IFERROR(INDEX(tEditais[UF],MATCH(tItens[[#This Row],[Edital]],tEditais[Edital],0)),"")</f>
        <v>MT</v>
      </c>
      <c r="I4287" s="11">
        <f>IFERROR(INDEX(tEditais[Encerramento],MATCH(tItens[[#This Row],[Edital]],tEditais[Edital],0)),"")</f>
        <v>46311.333333333336</v>
      </c>
      <c r="J4287" t="str">
        <f>IFERROR(INDEX(tProdutos[Classe],MATCH(tItens[[#This Row],[Produto]],tProdutos[Produto],0)),"produto não cadastrado")</f>
        <v>NÚCLEO</v>
      </c>
      <c r="K4287" s="12">
        <f>tItens[[#This Row],[Qtd]]*tItens[[#This Row],[Vlr unit]]</f>
        <v>451.99999999999994</v>
      </c>
      <c r="L4287" s="6">
        <f>IFERROR(IF(INDEX(tProdutos[Desconto homologado],MATCH(tItens[[#This Row],[Produto]],tProdutos[Produto],0))="",DescontoPadrao,INDEX(tProdutos[Desconto homologado],MATCH(tItens[[#This Row],[Produto]],tProdutos[Produto],0))),DescontoPadrao)</f>
        <v>0.37</v>
      </c>
      <c r="M4287" s="12">
        <f>tItens[[#This Row],[Valor]]*(1-tItens[[#This Row],[Desconto]])</f>
        <v>284.76</v>
      </c>
      <c r="N4287" t="str">
        <f>IFERROR(INDEX(tProdutos[Foco],MATCH(tItens[[#This Row],[Produto]],tProdutos[Produto],0)),"Não")</f>
        <v>Sim</v>
      </c>
      <c r="O4287" t="str">
        <f>IFERROR(INDEX(tEditais[SRP],MATCH(tItens[[#This Row],[Edital]],tEditais[Edital],0)),"Não")</f>
        <v>Sim</v>
      </c>
      <c r="P4287" s="4">
        <f>IF(COUNTIFS(INDEX(tItens[Edital],1):tItens[[#This Row],[Edital]],tItens[[#This Row],[Edital]],INDEX(tItens[Produto],1):tItens[[#This Row],[Produto]],tItens[[#This Row],[Produto]])=1,1,0)</f>
        <v>1</v>
      </c>
    </row>
    <row r="4288" spans="1:16" x14ac:dyDescent="0.25">
      <c r="A4288" t="s">
        <v>1702</v>
      </c>
      <c r="B4288">
        <v>113</v>
      </c>
      <c r="C4288" t="s">
        <v>7143</v>
      </c>
      <c r="D4288" t="s">
        <v>371</v>
      </c>
      <c r="E4288" s="13">
        <v>30000</v>
      </c>
      <c r="F4288" s="12">
        <v>0.42</v>
      </c>
      <c r="G4288" t="str">
        <f>IFERROR(INDEX(tEditais[Órgão],MATCH(tItens[[#This Row],[Edital]],tEditais[Edital],0)),"")</f>
        <v>MUNICIPIO DE SAO JOSE DO RIO CLARO</v>
      </c>
      <c r="H4288" t="str">
        <f>IFERROR(INDEX(tEditais[UF],MATCH(tItens[[#This Row],[Edital]],tEditais[Edital],0)),"")</f>
        <v>MT</v>
      </c>
      <c r="I4288" s="11">
        <f>IFERROR(INDEX(tEditais[Encerramento],MATCH(tItens[[#This Row],[Edital]],tEditais[Edital],0)),"")</f>
        <v>46311.333333333336</v>
      </c>
      <c r="J4288" t="str">
        <f>IFERROR(INDEX(tProdutos[Classe],MATCH(tItens[[#This Row],[Produto]],tProdutos[Produto],0)),"produto não cadastrado")</f>
        <v>FORA</v>
      </c>
      <c r="K4288" s="12">
        <f>tItens[[#This Row],[Qtd]]*tItens[[#This Row],[Vlr unit]]</f>
        <v>12600</v>
      </c>
      <c r="L4288" s="6">
        <f>IFERROR(IF(INDEX(tProdutos[Desconto homologado],MATCH(tItens[[#This Row],[Produto]],tProdutos[Produto],0))="",DescontoPadrao,INDEX(tProdutos[Desconto homologado],MATCH(tItens[[#This Row],[Produto]],tProdutos[Produto],0))),DescontoPadrao)</f>
        <v>0.217826086956522</v>
      </c>
      <c r="M4288" s="12">
        <f>tItens[[#This Row],[Valor]]*(1-tItens[[#This Row],[Desconto]])</f>
        <v>9855.3913043478224</v>
      </c>
      <c r="N4288" t="str">
        <f>IFERROR(INDEX(tProdutos[Foco],MATCH(tItens[[#This Row],[Produto]],tProdutos[Produto],0)),"Não")</f>
        <v>Não</v>
      </c>
      <c r="O4288" t="str">
        <f>IFERROR(INDEX(tEditais[SRP],MATCH(tItens[[#This Row],[Edital]],tEditais[Edital],0)),"Não")</f>
        <v>Sim</v>
      </c>
      <c r="P4288" s="4">
        <f>IF(COUNTIFS(INDEX(tItens[Edital],1):tItens[[#This Row],[Edital]],tItens[[#This Row],[Edital]],INDEX(tItens[Produto],1):tItens[[#This Row],[Produto]],tItens[[#This Row],[Produto]])=1,1,0)</f>
        <v>1</v>
      </c>
    </row>
    <row r="4289" spans="1:16" x14ac:dyDescent="0.25">
      <c r="A4289" t="s">
        <v>1702</v>
      </c>
      <c r="B4289">
        <v>114</v>
      </c>
      <c r="C4289" t="s">
        <v>7144</v>
      </c>
      <c r="D4289" t="s">
        <v>160</v>
      </c>
      <c r="E4289" s="13">
        <v>15</v>
      </c>
      <c r="F4289" s="12">
        <v>52.77</v>
      </c>
      <c r="G4289" t="str">
        <f>IFERROR(INDEX(tEditais[Órgão],MATCH(tItens[[#This Row],[Edital]],tEditais[Edital],0)),"")</f>
        <v>MUNICIPIO DE SAO JOSE DO RIO CLARO</v>
      </c>
      <c r="H4289" t="str">
        <f>IFERROR(INDEX(tEditais[UF],MATCH(tItens[[#This Row],[Edital]],tEditais[Edital],0)),"")</f>
        <v>MT</v>
      </c>
      <c r="I4289" s="11">
        <f>IFERROR(INDEX(tEditais[Encerramento],MATCH(tItens[[#This Row],[Edital]],tEditais[Edital],0)),"")</f>
        <v>46311.333333333336</v>
      </c>
      <c r="J4289" t="str">
        <f>IFERROR(INDEX(tProdutos[Classe],MATCH(tItens[[#This Row],[Produto]],tProdutos[Produto],0)),"produto não cadastrado")</f>
        <v>DISPUTADO</v>
      </c>
      <c r="K4289" s="12">
        <f>tItens[[#This Row],[Qtd]]*tItens[[#This Row],[Vlr unit]]</f>
        <v>791.55000000000007</v>
      </c>
      <c r="L4289" s="6">
        <f>IFERROR(IF(INDEX(tProdutos[Desconto homologado],MATCH(tItens[[#This Row],[Produto]],tProdutos[Produto],0))="",DescontoPadrao,INDEX(tProdutos[Desconto homologado],MATCH(tItens[[#This Row],[Produto]],tProdutos[Produto],0))),DescontoPadrao)</f>
        <v>0.28000000000000003</v>
      </c>
      <c r="M4289" s="12">
        <f>tItens[[#This Row],[Valor]]*(1-tItens[[#This Row],[Desconto]])</f>
        <v>569.91600000000005</v>
      </c>
      <c r="N4289" t="str">
        <f>IFERROR(INDEX(tProdutos[Foco],MATCH(tItens[[#This Row],[Produto]],tProdutos[Produto],0)),"Não")</f>
        <v>Sim</v>
      </c>
      <c r="O4289" t="str">
        <f>IFERROR(INDEX(tEditais[SRP],MATCH(tItens[[#This Row],[Edital]],tEditais[Edital],0)),"Não")</f>
        <v>Sim</v>
      </c>
      <c r="P4289" s="4">
        <f>IF(COUNTIFS(INDEX(tItens[Edital],1):tItens[[#This Row],[Edital]],tItens[[#This Row],[Edital]],INDEX(tItens[Produto],1):tItens[[#This Row],[Produto]],tItens[[#This Row],[Produto]])=1,1,0)</f>
        <v>1</v>
      </c>
    </row>
    <row r="4290" spans="1:16" x14ac:dyDescent="0.25">
      <c r="A4290" t="s">
        <v>1702</v>
      </c>
      <c r="B4290">
        <v>115</v>
      </c>
      <c r="C4290" t="s">
        <v>7145</v>
      </c>
      <c r="D4290" t="s">
        <v>144</v>
      </c>
      <c r="E4290" s="13">
        <v>2000</v>
      </c>
      <c r="F4290" s="12">
        <v>11.4</v>
      </c>
      <c r="G4290" t="str">
        <f>IFERROR(INDEX(tEditais[Órgão],MATCH(tItens[[#This Row],[Edital]],tEditais[Edital],0)),"")</f>
        <v>MUNICIPIO DE SAO JOSE DO RIO CLARO</v>
      </c>
      <c r="H4290" t="str">
        <f>IFERROR(INDEX(tEditais[UF],MATCH(tItens[[#This Row],[Edital]],tEditais[Edital],0)),"")</f>
        <v>MT</v>
      </c>
      <c r="I4290" s="11">
        <f>IFERROR(INDEX(tEditais[Encerramento],MATCH(tItens[[#This Row],[Edital]],tEditais[Edital],0)),"")</f>
        <v>46311.333333333336</v>
      </c>
      <c r="J4290" t="str">
        <f>IFERROR(INDEX(tProdutos[Classe],MATCH(tItens[[#This Row],[Produto]],tProdutos[Produto],0)),"produto não cadastrado")</f>
        <v>DISPUTADO</v>
      </c>
      <c r="K4290" s="12">
        <f>tItens[[#This Row],[Qtd]]*tItens[[#This Row],[Vlr unit]]</f>
        <v>22800</v>
      </c>
      <c r="L4290" s="6">
        <f>IFERROR(IF(INDEX(tProdutos[Desconto homologado],MATCH(tItens[[#This Row],[Produto]],tProdutos[Produto],0))="",DescontoPadrao,INDEX(tProdutos[Desconto homologado],MATCH(tItens[[#This Row],[Produto]],tProdutos[Produto],0))),DescontoPadrao)</f>
        <v>0.371428571428571</v>
      </c>
      <c r="M4290" s="12">
        <f>tItens[[#This Row],[Valor]]*(1-tItens[[#This Row],[Desconto]])</f>
        <v>14331.428571428582</v>
      </c>
      <c r="N4290" t="str">
        <f>IFERROR(INDEX(tProdutos[Foco],MATCH(tItens[[#This Row],[Produto]],tProdutos[Produto],0)),"Não")</f>
        <v>Não</v>
      </c>
      <c r="O4290" t="str">
        <f>IFERROR(INDEX(tEditais[SRP],MATCH(tItens[[#This Row],[Edital]],tEditais[Edital],0)),"Não")</f>
        <v>Sim</v>
      </c>
      <c r="P4290" s="4">
        <f>IF(COUNTIFS(INDEX(tItens[Edital],1):tItens[[#This Row],[Edital]],tItens[[#This Row],[Edital]],INDEX(tItens[Produto],1):tItens[[#This Row],[Produto]],tItens[[#This Row],[Produto]])=1,1,0)</f>
        <v>1</v>
      </c>
    </row>
    <row r="4291" spans="1:16" x14ac:dyDescent="0.25">
      <c r="A4291" t="s">
        <v>1702</v>
      </c>
      <c r="B4291">
        <v>144</v>
      </c>
      <c r="C4291" t="s">
        <v>7146</v>
      </c>
      <c r="D4291" t="s">
        <v>331</v>
      </c>
      <c r="E4291" s="13">
        <v>12000</v>
      </c>
      <c r="F4291" s="12">
        <v>1.1499999999999999</v>
      </c>
      <c r="G4291" t="str">
        <f>IFERROR(INDEX(tEditais[Órgão],MATCH(tItens[[#This Row],[Edital]],tEditais[Edital],0)),"")</f>
        <v>MUNICIPIO DE SAO JOSE DO RIO CLARO</v>
      </c>
      <c r="H4291" t="str">
        <f>IFERROR(INDEX(tEditais[UF],MATCH(tItens[[#This Row],[Edital]],tEditais[Edital],0)),"")</f>
        <v>MT</v>
      </c>
      <c r="I4291" s="11">
        <f>IFERROR(INDEX(tEditais[Encerramento],MATCH(tItens[[#This Row],[Edital]],tEditais[Edital],0)),"")</f>
        <v>46311.333333333336</v>
      </c>
      <c r="J4291" t="str">
        <f>IFERROR(INDEX(tProdutos[Classe],MATCH(tItens[[#This Row],[Produto]],tProdutos[Produto],0)),"produto não cadastrado")</f>
        <v>FORA</v>
      </c>
      <c r="K4291" s="12">
        <f>tItens[[#This Row],[Qtd]]*tItens[[#This Row],[Vlr unit]]</f>
        <v>13799.999999999998</v>
      </c>
      <c r="L4291" s="6">
        <f>IFERROR(IF(INDEX(tProdutos[Desconto homologado],MATCH(tItens[[#This Row],[Produto]],tProdutos[Produto],0))="",DescontoPadrao,INDEX(tProdutos[Desconto homologado],MATCH(tItens[[#This Row],[Produto]],tProdutos[Produto],0))),DescontoPadrao)</f>
        <v>0.45927812223206399</v>
      </c>
      <c r="M4291" s="12">
        <f>tItens[[#This Row],[Valor]]*(1-tItens[[#This Row],[Desconto]])</f>
        <v>7461.961913197516</v>
      </c>
      <c r="N4291" t="str">
        <f>IFERROR(INDEX(tProdutos[Foco],MATCH(tItens[[#This Row],[Produto]],tProdutos[Produto],0)),"Não")</f>
        <v>Não</v>
      </c>
      <c r="O4291" t="str">
        <f>IFERROR(INDEX(tEditais[SRP],MATCH(tItens[[#This Row],[Edital]],tEditais[Edital],0)),"Não")</f>
        <v>Sim</v>
      </c>
      <c r="P4291" s="4">
        <f>IF(COUNTIFS(INDEX(tItens[Edital],1):tItens[[#This Row],[Edital]],tItens[[#This Row],[Edital]],INDEX(tItens[Produto],1):tItens[[#This Row],[Produto]],tItens[[#This Row],[Produto]])=1,1,0)</f>
        <v>1</v>
      </c>
    </row>
    <row r="4292" spans="1:16" x14ac:dyDescent="0.25">
      <c r="A4292" t="s">
        <v>1702</v>
      </c>
      <c r="B4292">
        <v>145</v>
      </c>
      <c r="C4292" t="s">
        <v>7147</v>
      </c>
      <c r="D4292" t="s">
        <v>333</v>
      </c>
      <c r="E4292" s="13">
        <v>1000</v>
      </c>
      <c r="F4292" s="12">
        <v>1.1599999999999999</v>
      </c>
      <c r="G4292" t="str">
        <f>IFERROR(INDEX(tEditais[Órgão],MATCH(tItens[[#This Row],[Edital]],tEditais[Edital],0)),"")</f>
        <v>MUNICIPIO DE SAO JOSE DO RIO CLARO</v>
      </c>
      <c r="H4292" t="str">
        <f>IFERROR(INDEX(tEditais[UF],MATCH(tItens[[#This Row],[Edital]],tEditais[Edital],0)),"")</f>
        <v>MT</v>
      </c>
      <c r="I4292" s="11">
        <f>IFERROR(INDEX(tEditais[Encerramento],MATCH(tItens[[#This Row],[Edital]],tEditais[Edital],0)),"")</f>
        <v>46311.333333333336</v>
      </c>
      <c r="J4292" t="str">
        <f>IFERROR(INDEX(tProdutos[Classe],MATCH(tItens[[#This Row],[Produto]],tProdutos[Produto],0)),"produto não cadastrado")</f>
        <v>FORA</v>
      </c>
      <c r="K4292" s="12">
        <f>tItens[[#This Row],[Qtd]]*tItens[[#This Row],[Vlr unit]]</f>
        <v>1160</v>
      </c>
      <c r="L4292" s="6">
        <f>IFERROR(IF(INDEX(tProdutos[Desconto homologado],MATCH(tItens[[#This Row],[Produto]],tProdutos[Produto],0))="",DescontoPadrao,INDEX(tProdutos[Desconto homologado],MATCH(tItens[[#This Row],[Produto]],tProdutos[Produto],0))),DescontoPadrao)</f>
        <v>0.48951048951048998</v>
      </c>
      <c r="M4292" s="12">
        <f>tItens[[#This Row],[Valor]]*(1-tItens[[#This Row],[Desconto]])</f>
        <v>592.16783216783153</v>
      </c>
      <c r="N4292" t="str">
        <f>IFERROR(INDEX(tProdutos[Foco],MATCH(tItens[[#This Row],[Produto]],tProdutos[Produto],0)),"Não")</f>
        <v>Não</v>
      </c>
      <c r="O4292" t="str">
        <f>IFERROR(INDEX(tEditais[SRP],MATCH(tItens[[#This Row],[Edital]],tEditais[Edital],0)),"Não")</f>
        <v>Sim</v>
      </c>
      <c r="P4292" s="4">
        <f>IF(COUNTIFS(INDEX(tItens[Edital],1):tItens[[#This Row],[Edital]],tItens[[#This Row],[Edital]],INDEX(tItens[Produto],1):tItens[[#This Row],[Produto]],tItens[[#This Row],[Produto]])=1,1,0)</f>
        <v>1</v>
      </c>
    </row>
    <row r="4293" spans="1:16" x14ac:dyDescent="0.25">
      <c r="A4293" t="s">
        <v>1702</v>
      </c>
      <c r="B4293">
        <v>146</v>
      </c>
      <c r="C4293" t="s">
        <v>7148</v>
      </c>
      <c r="D4293" t="s">
        <v>333</v>
      </c>
      <c r="E4293" s="13">
        <v>20000</v>
      </c>
      <c r="F4293" s="12">
        <v>0.97</v>
      </c>
      <c r="G4293" t="str">
        <f>IFERROR(INDEX(tEditais[Órgão],MATCH(tItens[[#This Row],[Edital]],tEditais[Edital],0)),"")</f>
        <v>MUNICIPIO DE SAO JOSE DO RIO CLARO</v>
      </c>
      <c r="H4293" t="str">
        <f>IFERROR(INDEX(tEditais[UF],MATCH(tItens[[#This Row],[Edital]],tEditais[Edital],0)),"")</f>
        <v>MT</v>
      </c>
      <c r="I4293" s="11">
        <f>IFERROR(INDEX(tEditais[Encerramento],MATCH(tItens[[#This Row],[Edital]],tEditais[Edital],0)),"")</f>
        <v>46311.333333333336</v>
      </c>
      <c r="J4293" t="str">
        <f>IFERROR(INDEX(tProdutos[Classe],MATCH(tItens[[#This Row],[Produto]],tProdutos[Produto],0)),"produto não cadastrado")</f>
        <v>FORA</v>
      </c>
      <c r="K4293" s="12">
        <f>tItens[[#This Row],[Qtd]]*tItens[[#This Row],[Vlr unit]]</f>
        <v>19400</v>
      </c>
      <c r="L4293" s="6">
        <f>IFERROR(IF(INDEX(tProdutos[Desconto homologado],MATCH(tItens[[#This Row],[Produto]],tProdutos[Produto],0))="",DescontoPadrao,INDEX(tProdutos[Desconto homologado],MATCH(tItens[[#This Row],[Produto]],tProdutos[Produto],0))),DescontoPadrao)</f>
        <v>0.48951048951048998</v>
      </c>
      <c r="M4293" s="12">
        <f>tItens[[#This Row],[Valor]]*(1-tItens[[#This Row],[Desconto]])</f>
        <v>9903.4965034964935</v>
      </c>
      <c r="N4293" t="str">
        <f>IFERROR(INDEX(tProdutos[Foco],MATCH(tItens[[#This Row],[Produto]],tProdutos[Produto],0)),"Não")</f>
        <v>Não</v>
      </c>
      <c r="O4293" t="str">
        <f>IFERROR(INDEX(tEditais[SRP],MATCH(tItens[[#This Row],[Edital]],tEditais[Edital],0)),"Não")</f>
        <v>Sim</v>
      </c>
      <c r="P4293" s="4">
        <f>IF(COUNTIFS(INDEX(tItens[Edital],1):tItens[[#This Row],[Edital]],tItens[[#This Row],[Edital]],INDEX(tItens[Produto],1):tItens[[#This Row],[Produto]],tItens[[#This Row],[Produto]])=1,1,0)</f>
        <v>0</v>
      </c>
    </row>
    <row r="4294" spans="1:16" x14ac:dyDescent="0.25">
      <c r="A4294" t="s">
        <v>1702</v>
      </c>
      <c r="B4294">
        <v>150</v>
      </c>
      <c r="C4294" t="s">
        <v>7149</v>
      </c>
      <c r="D4294" t="s">
        <v>60</v>
      </c>
      <c r="E4294" s="13">
        <v>20000</v>
      </c>
      <c r="F4294" s="12">
        <v>0.28999999999999998</v>
      </c>
      <c r="G4294" t="str">
        <f>IFERROR(INDEX(tEditais[Órgão],MATCH(tItens[[#This Row],[Edital]],tEditais[Edital],0)),"")</f>
        <v>MUNICIPIO DE SAO JOSE DO RIO CLARO</v>
      </c>
      <c r="H4294" t="str">
        <f>IFERROR(INDEX(tEditais[UF],MATCH(tItens[[#This Row],[Edital]],tEditais[Edital],0)),"")</f>
        <v>MT</v>
      </c>
      <c r="I4294" s="11">
        <f>IFERROR(INDEX(tEditais[Encerramento],MATCH(tItens[[#This Row],[Edital]],tEditais[Edital],0)),"")</f>
        <v>46311.333333333336</v>
      </c>
      <c r="J4294" t="str">
        <f>IFERROR(INDEX(tProdutos[Classe],MATCH(tItens[[#This Row],[Produto]],tProdutos[Produto],0)),"produto não cadastrado")</f>
        <v>NÚCLEO</v>
      </c>
      <c r="K4294" s="12">
        <f>tItens[[#This Row],[Qtd]]*tItens[[#This Row],[Vlr unit]]</f>
        <v>5800</v>
      </c>
      <c r="L4294" s="6">
        <f>IFERROR(IF(INDEX(tProdutos[Desconto homologado],MATCH(tItens[[#This Row],[Produto]],tProdutos[Produto],0))="",DescontoPadrao,INDEX(tProdutos[Desconto homologado],MATCH(tItens[[#This Row],[Produto]],tProdutos[Produto],0))),DescontoPadrao)</f>
        <v>0.23</v>
      </c>
      <c r="M4294" s="12">
        <f>tItens[[#This Row],[Valor]]*(1-tItens[[#This Row],[Desconto]])</f>
        <v>4466</v>
      </c>
      <c r="N4294" t="str">
        <f>IFERROR(INDEX(tProdutos[Foco],MATCH(tItens[[#This Row],[Produto]],tProdutos[Produto],0)),"Não")</f>
        <v>Sim</v>
      </c>
      <c r="O4294" t="str">
        <f>IFERROR(INDEX(tEditais[SRP],MATCH(tItens[[#This Row],[Edital]],tEditais[Edital],0)),"Não")</f>
        <v>Sim</v>
      </c>
      <c r="P4294" s="4">
        <f>IF(COUNTIFS(INDEX(tItens[Edital],1):tItens[[#This Row],[Edital]],tItens[[#This Row],[Edital]],INDEX(tItens[Produto],1):tItens[[#This Row],[Produto]],tItens[[#This Row],[Produto]])=1,1,0)</f>
        <v>1</v>
      </c>
    </row>
    <row r="4295" spans="1:16" x14ac:dyDescent="0.25">
      <c r="A4295" t="s">
        <v>1702</v>
      </c>
      <c r="B4295">
        <v>153</v>
      </c>
      <c r="C4295" t="s">
        <v>7150</v>
      </c>
      <c r="D4295" t="s">
        <v>90</v>
      </c>
      <c r="E4295" s="13">
        <v>1000</v>
      </c>
      <c r="F4295" s="12">
        <v>8.14</v>
      </c>
      <c r="G4295" t="str">
        <f>IFERROR(INDEX(tEditais[Órgão],MATCH(tItens[[#This Row],[Edital]],tEditais[Edital],0)),"")</f>
        <v>MUNICIPIO DE SAO JOSE DO RIO CLARO</v>
      </c>
      <c r="H4295" t="str">
        <f>IFERROR(INDEX(tEditais[UF],MATCH(tItens[[#This Row],[Edital]],tEditais[Edital],0)),"")</f>
        <v>MT</v>
      </c>
      <c r="I4295" s="11">
        <f>IFERROR(INDEX(tEditais[Encerramento],MATCH(tItens[[#This Row],[Edital]],tEditais[Edital],0)),"")</f>
        <v>46311.333333333336</v>
      </c>
      <c r="J4295" t="str">
        <f>IFERROR(INDEX(tProdutos[Classe],MATCH(tItens[[#This Row],[Produto]],tProdutos[Produto],0)),"produto não cadastrado")</f>
        <v>DISPUTADO</v>
      </c>
      <c r="K4295" s="12">
        <f>tItens[[#This Row],[Qtd]]*tItens[[#This Row],[Vlr unit]]</f>
        <v>8140.0000000000009</v>
      </c>
      <c r="L4295" s="6">
        <f>IFERROR(IF(INDEX(tProdutos[Desconto homologado],MATCH(tItens[[#This Row],[Produto]],tProdutos[Produto],0))="",DescontoPadrao,INDEX(tProdutos[Desconto homologado],MATCH(tItens[[#This Row],[Produto]],tProdutos[Produto],0))),DescontoPadrao)</f>
        <v>0.25393823957010597</v>
      </c>
      <c r="M4295" s="12">
        <f>tItens[[#This Row],[Valor]]*(1-tItens[[#This Row],[Desconto]])</f>
        <v>6072.9427298993378</v>
      </c>
      <c r="N4295" t="str">
        <f>IFERROR(INDEX(tProdutos[Foco],MATCH(tItens[[#This Row],[Produto]],tProdutos[Produto],0)),"Não")</f>
        <v>Não</v>
      </c>
      <c r="O4295" t="str">
        <f>IFERROR(INDEX(tEditais[SRP],MATCH(tItens[[#This Row],[Edital]],tEditais[Edital],0)),"Não")</f>
        <v>Sim</v>
      </c>
      <c r="P4295" s="4">
        <f>IF(COUNTIFS(INDEX(tItens[Edital],1):tItens[[#This Row],[Edital]],tItens[[#This Row],[Edital]],INDEX(tItens[Produto],1):tItens[[#This Row],[Produto]],tItens[[#This Row],[Produto]])=1,1,0)</f>
        <v>1</v>
      </c>
    </row>
    <row r="4296" spans="1:16" x14ac:dyDescent="0.25">
      <c r="A4296" t="s">
        <v>1702</v>
      </c>
      <c r="B4296">
        <v>156</v>
      </c>
      <c r="C4296" t="s">
        <v>7151</v>
      </c>
      <c r="D4296" t="s">
        <v>75</v>
      </c>
      <c r="E4296" s="13">
        <v>4000</v>
      </c>
      <c r="F4296" s="12">
        <v>1.24</v>
      </c>
      <c r="G4296" t="str">
        <f>IFERROR(INDEX(tEditais[Órgão],MATCH(tItens[[#This Row],[Edital]],tEditais[Edital],0)),"")</f>
        <v>MUNICIPIO DE SAO JOSE DO RIO CLARO</v>
      </c>
      <c r="H4296" t="str">
        <f>IFERROR(INDEX(tEditais[UF],MATCH(tItens[[#This Row],[Edital]],tEditais[Edital],0)),"")</f>
        <v>MT</v>
      </c>
      <c r="I4296" s="11">
        <f>IFERROR(INDEX(tEditais[Encerramento],MATCH(tItens[[#This Row],[Edital]],tEditais[Edital],0)),"")</f>
        <v>46311.333333333336</v>
      </c>
      <c r="J4296" t="str">
        <f>IFERROR(INDEX(tProdutos[Classe],MATCH(tItens[[#This Row],[Produto]],tProdutos[Produto],0)),"produto não cadastrado")</f>
        <v>NÚCLEO</v>
      </c>
      <c r="K4296" s="12">
        <f>tItens[[#This Row],[Qtd]]*tItens[[#This Row],[Vlr unit]]</f>
        <v>4960</v>
      </c>
      <c r="L4296" s="6">
        <f>IFERROR(IF(INDEX(tProdutos[Desconto homologado],MATCH(tItens[[#This Row],[Produto]],tProdutos[Produto],0))="",DescontoPadrao,INDEX(tProdutos[Desconto homologado],MATCH(tItens[[#This Row],[Produto]],tProdutos[Produto],0))),DescontoPadrao)</f>
        <v>0.26</v>
      </c>
      <c r="M4296" s="12">
        <f>tItens[[#This Row],[Valor]]*(1-tItens[[#This Row],[Desconto]])</f>
        <v>3670.4</v>
      </c>
      <c r="N4296" t="str">
        <f>IFERROR(INDEX(tProdutos[Foco],MATCH(tItens[[#This Row],[Produto]],tProdutos[Produto],0)),"Não")</f>
        <v>Sim</v>
      </c>
      <c r="O4296" t="str">
        <f>IFERROR(INDEX(tEditais[SRP],MATCH(tItens[[#This Row],[Edital]],tEditais[Edital],0)),"Não")</f>
        <v>Sim</v>
      </c>
      <c r="P4296" s="4">
        <f>IF(COUNTIFS(INDEX(tItens[Edital],1):tItens[[#This Row],[Edital]],tItens[[#This Row],[Edital]],INDEX(tItens[Produto],1):tItens[[#This Row],[Produto]],tItens[[#This Row],[Produto]])=1,1,0)</f>
        <v>1</v>
      </c>
    </row>
    <row r="4297" spans="1:16" x14ac:dyDescent="0.25">
      <c r="A4297" t="s">
        <v>1702</v>
      </c>
      <c r="B4297">
        <v>171</v>
      </c>
      <c r="C4297" t="s">
        <v>7152</v>
      </c>
      <c r="D4297" t="s">
        <v>142</v>
      </c>
      <c r="E4297" s="13">
        <v>500</v>
      </c>
      <c r="F4297" s="12">
        <v>4.72</v>
      </c>
      <c r="G4297" t="str">
        <f>IFERROR(INDEX(tEditais[Órgão],MATCH(tItens[[#This Row],[Edital]],tEditais[Edital],0)),"")</f>
        <v>MUNICIPIO DE SAO JOSE DO RIO CLARO</v>
      </c>
      <c r="H4297" t="str">
        <f>IFERROR(INDEX(tEditais[UF],MATCH(tItens[[#This Row],[Edital]],tEditais[Edital],0)),"")</f>
        <v>MT</v>
      </c>
      <c r="I4297" s="11">
        <f>IFERROR(INDEX(tEditais[Encerramento],MATCH(tItens[[#This Row],[Edital]],tEditais[Edital],0)),"")</f>
        <v>46311.333333333336</v>
      </c>
      <c r="J4297" t="str">
        <f>IFERROR(INDEX(tProdutos[Classe],MATCH(tItens[[#This Row],[Produto]],tProdutos[Produto],0)),"produto não cadastrado")</f>
        <v>DISPUTADO</v>
      </c>
      <c r="K4297" s="12">
        <f>tItens[[#This Row],[Qtd]]*tItens[[#This Row],[Vlr unit]]</f>
        <v>2360</v>
      </c>
      <c r="L4297" s="6">
        <f>IFERROR(IF(INDEX(tProdutos[Desconto homologado],MATCH(tItens[[#This Row],[Produto]],tProdutos[Produto],0))="",DescontoPadrao,INDEX(tProdutos[Desconto homologado],MATCH(tItens[[#This Row],[Produto]],tProdutos[Produto],0))),DescontoPadrao)</f>
        <v>0.37093619495691699</v>
      </c>
      <c r="M4297" s="12">
        <f>tItens[[#This Row],[Valor]]*(1-tItens[[#This Row],[Desconto]])</f>
        <v>1484.5905799016759</v>
      </c>
      <c r="N4297" t="str">
        <f>IFERROR(INDEX(tProdutos[Foco],MATCH(tItens[[#This Row],[Produto]],tProdutos[Produto],0)),"Não")</f>
        <v>Não</v>
      </c>
      <c r="O4297" t="str">
        <f>IFERROR(INDEX(tEditais[SRP],MATCH(tItens[[#This Row],[Edital]],tEditais[Edital],0)),"Não")</f>
        <v>Sim</v>
      </c>
      <c r="P4297" s="4">
        <f>IF(COUNTIFS(INDEX(tItens[Edital],1):tItens[[#This Row],[Edital]],tItens[[#This Row],[Edital]],INDEX(tItens[Produto],1):tItens[[#This Row],[Produto]],tItens[[#This Row],[Produto]])=1,1,0)</f>
        <v>1</v>
      </c>
    </row>
    <row r="4298" spans="1:16" x14ac:dyDescent="0.25">
      <c r="A4298" t="s">
        <v>1702</v>
      </c>
      <c r="B4298">
        <v>172</v>
      </c>
      <c r="C4298" t="s">
        <v>7153</v>
      </c>
      <c r="D4298" t="s">
        <v>77</v>
      </c>
      <c r="E4298" s="13">
        <v>1000</v>
      </c>
      <c r="F4298" s="12">
        <v>2.6</v>
      </c>
      <c r="G4298" t="str">
        <f>IFERROR(INDEX(tEditais[Órgão],MATCH(tItens[[#This Row],[Edital]],tEditais[Edital],0)),"")</f>
        <v>MUNICIPIO DE SAO JOSE DO RIO CLARO</v>
      </c>
      <c r="H4298" t="str">
        <f>IFERROR(INDEX(tEditais[UF],MATCH(tItens[[#This Row],[Edital]],tEditais[Edital],0)),"")</f>
        <v>MT</v>
      </c>
      <c r="I4298" s="11">
        <f>IFERROR(INDEX(tEditais[Encerramento],MATCH(tItens[[#This Row],[Edital]],tEditais[Edital],0)),"")</f>
        <v>46311.333333333336</v>
      </c>
      <c r="J4298" t="str">
        <f>IFERROR(INDEX(tProdutos[Classe],MATCH(tItens[[#This Row],[Produto]],tProdutos[Produto],0)),"produto não cadastrado")</f>
        <v>DISPUTADO</v>
      </c>
      <c r="K4298" s="12">
        <f>tItens[[#This Row],[Qtd]]*tItens[[#This Row],[Vlr unit]]</f>
        <v>2600</v>
      </c>
      <c r="L4298" s="6">
        <f>IFERROR(IF(INDEX(tProdutos[Desconto homologado],MATCH(tItens[[#This Row],[Produto]],tProdutos[Produto],0))="",DescontoPadrao,INDEX(tProdutos[Desconto homologado],MATCH(tItens[[#This Row],[Produto]],tProdutos[Produto],0))),DescontoPadrao)</f>
        <v>0.33</v>
      </c>
      <c r="M4298" s="12">
        <f>tItens[[#This Row],[Valor]]*(1-tItens[[#This Row],[Desconto]])</f>
        <v>1741.9999999999998</v>
      </c>
      <c r="N4298" t="str">
        <f>IFERROR(INDEX(tProdutos[Foco],MATCH(tItens[[#This Row],[Produto]],tProdutos[Produto],0)),"Não")</f>
        <v>Sim</v>
      </c>
      <c r="O4298" t="str">
        <f>IFERROR(INDEX(tEditais[SRP],MATCH(tItens[[#This Row],[Edital]],tEditais[Edital],0)),"Não")</f>
        <v>Sim</v>
      </c>
      <c r="P4298" s="4">
        <f>IF(COUNTIFS(INDEX(tItens[Edital],1):tItens[[#This Row],[Edital]],tItens[[#This Row],[Edital]],INDEX(tItens[Produto],1):tItens[[#This Row],[Produto]],tItens[[#This Row],[Produto]])=1,1,0)</f>
        <v>1</v>
      </c>
    </row>
    <row r="4299" spans="1:16" x14ac:dyDescent="0.25">
      <c r="A4299" t="s">
        <v>1702</v>
      </c>
      <c r="B4299">
        <v>179</v>
      </c>
      <c r="C4299" t="s">
        <v>7154</v>
      </c>
      <c r="D4299" t="s">
        <v>339</v>
      </c>
      <c r="E4299" s="13">
        <v>2000</v>
      </c>
      <c r="F4299" s="12">
        <v>19.78</v>
      </c>
      <c r="G4299" t="str">
        <f>IFERROR(INDEX(tEditais[Órgão],MATCH(tItens[[#This Row],[Edital]],tEditais[Edital],0)),"")</f>
        <v>MUNICIPIO DE SAO JOSE DO RIO CLARO</v>
      </c>
      <c r="H4299" t="str">
        <f>IFERROR(INDEX(tEditais[UF],MATCH(tItens[[#This Row],[Edital]],tEditais[Edital],0)),"")</f>
        <v>MT</v>
      </c>
      <c r="I4299" s="11">
        <f>IFERROR(INDEX(tEditais[Encerramento],MATCH(tItens[[#This Row],[Edital]],tEditais[Edital],0)),"")</f>
        <v>46311.333333333336</v>
      </c>
      <c r="J4299" t="str">
        <f>IFERROR(INDEX(tProdutos[Classe],MATCH(tItens[[#This Row],[Produto]],tProdutos[Produto],0)),"produto não cadastrado")</f>
        <v>FORA</v>
      </c>
      <c r="K4299" s="12">
        <f>tItens[[#This Row],[Qtd]]*tItens[[#This Row],[Vlr unit]]</f>
        <v>39560</v>
      </c>
      <c r="L4299" s="6">
        <f>IFERROR(IF(INDEX(tProdutos[Desconto homologado],MATCH(tItens[[#This Row],[Produto]],tProdutos[Produto],0))="",DescontoPadrao,INDEX(tProdutos[Desconto homologado],MATCH(tItens[[#This Row],[Produto]],tProdutos[Produto],0))),DescontoPadrao)</f>
        <v>0.35388629091804102</v>
      </c>
      <c r="M4299" s="12">
        <f>tItens[[#This Row],[Valor]]*(1-tItens[[#This Row],[Desconto]])</f>
        <v>25560.258331282297</v>
      </c>
      <c r="N4299" t="str">
        <f>IFERROR(INDEX(tProdutos[Foco],MATCH(tItens[[#This Row],[Produto]],tProdutos[Produto],0)),"Não")</f>
        <v>Não</v>
      </c>
      <c r="O4299" t="str">
        <f>IFERROR(INDEX(tEditais[SRP],MATCH(tItens[[#This Row],[Edital]],tEditais[Edital],0)),"Não")</f>
        <v>Sim</v>
      </c>
      <c r="P4299" s="4">
        <f>IF(COUNTIFS(INDEX(tItens[Edital],1):tItens[[#This Row],[Edital]],tItens[[#This Row],[Edital]],INDEX(tItens[Produto],1):tItens[[#This Row],[Produto]],tItens[[#This Row],[Produto]])=1,1,0)</f>
        <v>1</v>
      </c>
    </row>
    <row r="4300" spans="1:16" x14ac:dyDescent="0.25">
      <c r="A4300" t="s">
        <v>1702</v>
      </c>
      <c r="B4300">
        <v>180</v>
      </c>
      <c r="C4300" t="s">
        <v>7155</v>
      </c>
      <c r="D4300" t="s">
        <v>345</v>
      </c>
      <c r="E4300" s="13">
        <v>4000</v>
      </c>
      <c r="F4300" s="12">
        <v>11.7</v>
      </c>
      <c r="G4300" t="str">
        <f>IFERROR(INDEX(tEditais[Órgão],MATCH(tItens[[#This Row],[Edital]],tEditais[Edital],0)),"")</f>
        <v>MUNICIPIO DE SAO JOSE DO RIO CLARO</v>
      </c>
      <c r="H4300" t="str">
        <f>IFERROR(INDEX(tEditais[UF],MATCH(tItens[[#This Row],[Edital]],tEditais[Edital],0)),"")</f>
        <v>MT</v>
      </c>
      <c r="I4300" s="11">
        <f>IFERROR(INDEX(tEditais[Encerramento],MATCH(tItens[[#This Row],[Edital]],tEditais[Edital],0)),"")</f>
        <v>46311.333333333336</v>
      </c>
      <c r="J4300" t="str">
        <f>IFERROR(INDEX(tProdutos[Classe],MATCH(tItens[[#This Row],[Produto]],tProdutos[Produto],0)),"produto não cadastrado")</f>
        <v>FORA</v>
      </c>
      <c r="K4300" s="12">
        <f>tItens[[#This Row],[Qtd]]*tItens[[#This Row],[Vlr unit]]</f>
        <v>46800</v>
      </c>
      <c r="L4300" s="6">
        <f>IFERROR(IF(INDEX(tProdutos[Desconto homologado],MATCH(tItens[[#This Row],[Produto]],tProdutos[Produto],0))="",DescontoPadrao,INDEX(tProdutos[Desconto homologado],MATCH(tItens[[#This Row],[Produto]],tProdutos[Produto],0))),DescontoPadrao)</f>
        <v>0.412394275616498</v>
      </c>
      <c r="M4300" s="12">
        <f>tItens[[#This Row],[Valor]]*(1-tItens[[#This Row],[Desconto]])</f>
        <v>27499.947901147894</v>
      </c>
      <c r="N4300" t="str">
        <f>IFERROR(INDEX(tProdutos[Foco],MATCH(tItens[[#This Row],[Produto]],tProdutos[Produto],0)),"Não")</f>
        <v>Não</v>
      </c>
      <c r="O4300" t="str">
        <f>IFERROR(INDEX(tEditais[SRP],MATCH(tItens[[#This Row],[Edital]],tEditais[Edital],0)),"Não")</f>
        <v>Sim</v>
      </c>
      <c r="P4300" s="4">
        <f>IF(COUNTIFS(INDEX(tItens[Edital],1):tItens[[#This Row],[Edital]],tItens[[#This Row],[Edital]],INDEX(tItens[Produto],1):tItens[[#This Row],[Produto]],tItens[[#This Row],[Produto]])=1,1,0)</f>
        <v>1</v>
      </c>
    </row>
    <row r="4301" spans="1:16" x14ac:dyDescent="0.25">
      <c r="A4301" t="s">
        <v>1702</v>
      </c>
      <c r="B4301">
        <v>181</v>
      </c>
      <c r="C4301" t="s">
        <v>7156</v>
      </c>
      <c r="D4301" t="s">
        <v>345</v>
      </c>
      <c r="E4301" s="13">
        <v>4000</v>
      </c>
      <c r="F4301" s="12">
        <v>12.22</v>
      </c>
      <c r="G4301" t="str">
        <f>IFERROR(INDEX(tEditais[Órgão],MATCH(tItens[[#This Row],[Edital]],tEditais[Edital],0)),"")</f>
        <v>MUNICIPIO DE SAO JOSE DO RIO CLARO</v>
      </c>
      <c r="H4301" t="str">
        <f>IFERROR(INDEX(tEditais[UF],MATCH(tItens[[#This Row],[Edital]],tEditais[Edital],0)),"")</f>
        <v>MT</v>
      </c>
      <c r="I4301" s="11">
        <f>IFERROR(INDEX(tEditais[Encerramento],MATCH(tItens[[#This Row],[Edital]],tEditais[Edital],0)),"")</f>
        <v>46311.333333333336</v>
      </c>
      <c r="J4301" t="str">
        <f>IFERROR(INDEX(tProdutos[Classe],MATCH(tItens[[#This Row],[Produto]],tProdutos[Produto],0)),"produto não cadastrado")</f>
        <v>FORA</v>
      </c>
      <c r="K4301" s="12">
        <f>tItens[[#This Row],[Qtd]]*tItens[[#This Row],[Vlr unit]]</f>
        <v>48880</v>
      </c>
      <c r="L4301" s="6">
        <f>IFERROR(IF(INDEX(tProdutos[Desconto homologado],MATCH(tItens[[#This Row],[Produto]],tProdutos[Produto],0))="",DescontoPadrao,INDEX(tProdutos[Desconto homologado],MATCH(tItens[[#This Row],[Produto]],tProdutos[Produto],0))),DescontoPadrao)</f>
        <v>0.412394275616498</v>
      </c>
      <c r="M4301" s="12">
        <f>tItens[[#This Row],[Valor]]*(1-tItens[[#This Row],[Desconto]])</f>
        <v>28722.167807865579</v>
      </c>
      <c r="N4301" t="str">
        <f>IFERROR(INDEX(tProdutos[Foco],MATCH(tItens[[#This Row],[Produto]],tProdutos[Produto],0)),"Não")</f>
        <v>Não</v>
      </c>
      <c r="O4301" t="str">
        <f>IFERROR(INDEX(tEditais[SRP],MATCH(tItens[[#This Row],[Edital]],tEditais[Edital],0)),"Não")</f>
        <v>Sim</v>
      </c>
      <c r="P4301" s="4">
        <f>IF(COUNTIFS(INDEX(tItens[Edital],1):tItens[[#This Row],[Edital]],tItens[[#This Row],[Edital]],INDEX(tItens[Produto],1):tItens[[#This Row],[Produto]],tItens[[#This Row],[Produto]])=1,1,0)</f>
        <v>0</v>
      </c>
    </row>
    <row r="4302" spans="1:16" x14ac:dyDescent="0.25">
      <c r="A4302" t="s">
        <v>1702</v>
      </c>
      <c r="B4302">
        <v>182</v>
      </c>
      <c r="C4302" t="s">
        <v>7157</v>
      </c>
      <c r="D4302" t="s">
        <v>345</v>
      </c>
      <c r="E4302" s="13">
        <v>5000</v>
      </c>
      <c r="F4302" s="12">
        <v>12.98</v>
      </c>
      <c r="G4302" t="str">
        <f>IFERROR(INDEX(tEditais[Órgão],MATCH(tItens[[#This Row],[Edital]],tEditais[Edital],0)),"")</f>
        <v>MUNICIPIO DE SAO JOSE DO RIO CLARO</v>
      </c>
      <c r="H4302" t="str">
        <f>IFERROR(INDEX(tEditais[UF],MATCH(tItens[[#This Row],[Edital]],tEditais[Edital],0)),"")</f>
        <v>MT</v>
      </c>
      <c r="I4302" s="11">
        <f>IFERROR(INDEX(tEditais[Encerramento],MATCH(tItens[[#This Row],[Edital]],tEditais[Edital],0)),"")</f>
        <v>46311.333333333336</v>
      </c>
      <c r="J4302" t="str">
        <f>IFERROR(INDEX(tProdutos[Classe],MATCH(tItens[[#This Row],[Produto]],tProdutos[Produto],0)),"produto não cadastrado")</f>
        <v>FORA</v>
      </c>
      <c r="K4302" s="12">
        <f>tItens[[#This Row],[Qtd]]*tItens[[#This Row],[Vlr unit]]</f>
        <v>64900</v>
      </c>
      <c r="L4302" s="6">
        <f>IFERROR(IF(INDEX(tProdutos[Desconto homologado],MATCH(tItens[[#This Row],[Produto]],tProdutos[Produto],0))="",DescontoPadrao,INDEX(tProdutos[Desconto homologado],MATCH(tItens[[#This Row],[Produto]],tProdutos[Produto],0))),DescontoPadrao)</f>
        <v>0.412394275616498</v>
      </c>
      <c r="M4302" s="12">
        <f>tItens[[#This Row],[Valor]]*(1-tItens[[#This Row],[Desconto]])</f>
        <v>38135.611512489282</v>
      </c>
      <c r="N4302" t="str">
        <f>IFERROR(INDEX(tProdutos[Foco],MATCH(tItens[[#This Row],[Produto]],tProdutos[Produto],0)),"Não")</f>
        <v>Não</v>
      </c>
      <c r="O4302" t="str">
        <f>IFERROR(INDEX(tEditais[SRP],MATCH(tItens[[#This Row],[Edital]],tEditais[Edital],0)),"Não")</f>
        <v>Sim</v>
      </c>
      <c r="P4302" s="4">
        <f>IF(COUNTIFS(INDEX(tItens[Edital],1):tItens[[#This Row],[Edital]],tItens[[#This Row],[Edital]],INDEX(tItens[Produto],1):tItens[[#This Row],[Produto]],tItens[[#This Row],[Produto]])=1,1,0)</f>
        <v>0</v>
      </c>
    </row>
    <row r="4303" spans="1:16" x14ac:dyDescent="0.25">
      <c r="A4303" t="s">
        <v>1702</v>
      </c>
      <c r="B4303">
        <v>183</v>
      </c>
      <c r="C4303" t="s">
        <v>7158</v>
      </c>
      <c r="D4303" t="s">
        <v>345</v>
      </c>
      <c r="E4303" s="13">
        <v>2000</v>
      </c>
      <c r="F4303" s="12">
        <v>12.39</v>
      </c>
      <c r="G4303" t="str">
        <f>IFERROR(INDEX(tEditais[Órgão],MATCH(tItens[[#This Row],[Edital]],tEditais[Edital],0)),"")</f>
        <v>MUNICIPIO DE SAO JOSE DO RIO CLARO</v>
      </c>
      <c r="H4303" t="str">
        <f>IFERROR(INDEX(tEditais[UF],MATCH(tItens[[#This Row],[Edital]],tEditais[Edital],0)),"")</f>
        <v>MT</v>
      </c>
      <c r="I4303" s="11">
        <f>IFERROR(INDEX(tEditais[Encerramento],MATCH(tItens[[#This Row],[Edital]],tEditais[Edital],0)),"")</f>
        <v>46311.333333333336</v>
      </c>
      <c r="J4303" t="str">
        <f>IFERROR(INDEX(tProdutos[Classe],MATCH(tItens[[#This Row],[Produto]],tProdutos[Produto],0)),"produto não cadastrado")</f>
        <v>FORA</v>
      </c>
      <c r="K4303" s="12">
        <f>tItens[[#This Row],[Qtd]]*tItens[[#This Row],[Vlr unit]]</f>
        <v>24780</v>
      </c>
      <c r="L4303" s="6">
        <f>IFERROR(IF(INDEX(tProdutos[Desconto homologado],MATCH(tItens[[#This Row],[Produto]],tProdutos[Produto],0))="",DescontoPadrao,INDEX(tProdutos[Desconto homologado],MATCH(tItens[[#This Row],[Produto]],tProdutos[Produto],0))),DescontoPadrao)</f>
        <v>0.412394275616498</v>
      </c>
      <c r="M4303" s="12">
        <f>tItens[[#This Row],[Valor]]*(1-tItens[[#This Row],[Desconto]])</f>
        <v>14560.86985022318</v>
      </c>
      <c r="N4303" t="str">
        <f>IFERROR(INDEX(tProdutos[Foco],MATCH(tItens[[#This Row],[Produto]],tProdutos[Produto],0)),"Não")</f>
        <v>Não</v>
      </c>
      <c r="O4303" t="str">
        <f>IFERROR(INDEX(tEditais[SRP],MATCH(tItens[[#This Row],[Edital]],tEditais[Edital],0)),"Não")</f>
        <v>Sim</v>
      </c>
      <c r="P4303" s="4">
        <f>IF(COUNTIFS(INDEX(tItens[Edital],1):tItens[[#This Row],[Edital]],tItens[[#This Row],[Edital]],INDEX(tItens[Produto],1):tItens[[#This Row],[Produto]],tItens[[#This Row],[Produto]])=1,1,0)</f>
        <v>0</v>
      </c>
    </row>
    <row r="4304" spans="1:16" x14ac:dyDescent="0.25">
      <c r="A4304" t="s">
        <v>1702</v>
      </c>
      <c r="B4304">
        <v>184</v>
      </c>
      <c r="C4304" t="s">
        <v>7159</v>
      </c>
      <c r="D4304" t="s">
        <v>339</v>
      </c>
      <c r="E4304" s="13">
        <v>2000</v>
      </c>
      <c r="F4304" s="12">
        <v>15.97</v>
      </c>
      <c r="G4304" t="str">
        <f>IFERROR(INDEX(tEditais[Órgão],MATCH(tItens[[#This Row],[Edital]],tEditais[Edital],0)),"")</f>
        <v>MUNICIPIO DE SAO JOSE DO RIO CLARO</v>
      </c>
      <c r="H4304" t="str">
        <f>IFERROR(INDEX(tEditais[UF],MATCH(tItens[[#This Row],[Edital]],tEditais[Edital],0)),"")</f>
        <v>MT</v>
      </c>
      <c r="I4304" s="11">
        <f>IFERROR(INDEX(tEditais[Encerramento],MATCH(tItens[[#This Row],[Edital]],tEditais[Edital],0)),"")</f>
        <v>46311.333333333336</v>
      </c>
      <c r="J4304" t="str">
        <f>IFERROR(INDEX(tProdutos[Classe],MATCH(tItens[[#This Row],[Produto]],tProdutos[Produto],0)),"produto não cadastrado")</f>
        <v>FORA</v>
      </c>
      <c r="K4304" s="12">
        <f>tItens[[#This Row],[Qtd]]*tItens[[#This Row],[Vlr unit]]</f>
        <v>31940</v>
      </c>
      <c r="L4304" s="6">
        <f>IFERROR(IF(INDEX(tProdutos[Desconto homologado],MATCH(tItens[[#This Row],[Produto]],tProdutos[Produto],0))="",DescontoPadrao,INDEX(tProdutos[Desconto homologado],MATCH(tItens[[#This Row],[Produto]],tProdutos[Produto],0))),DescontoPadrao)</f>
        <v>0.35388629091804102</v>
      </c>
      <c r="M4304" s="12">
        <f>tItens[[#This Row],[Valor]]*(1-tItens[[#This Row],[Desconto]])</f>
        <v>20636.871868077771</v>
      </c>
      <c r="N4304" t="str">
        <f>IFERROR(INDEX(tProdutos[Foco],MATCH(tItens[[#This Row],[Produto]],tProdutos[Produto],0)),"Não")</f>
        <v>Não</v>
      </c>
      <c r="O4304" t="str">
        <f>IFERROR(INDEX(tEditais[SRP],MATCH(tItens[[#This Row],[Edital]],tEditais[Edital],0)),"Não")</f>
        <v>Sim</v>
      </c>
      <c r="P4304" s="4">
        <f>IF(COUNTIFS(INDEX(tItens[Edital],1):tItens[[#This Row],[Edital]],tItens[[#This Row],[Edital]],INDEX(tItens[Produto],1):tItens[[#This Row],[Produto]],tItens[[#This Row],[Produto]])=1,1,0)</f>
        <v>0</v>
      </c>
    </row>
    <row r="4305" spans="1:16" x14ac:dyDescent="0.25">
      <c r="A4305" t="s">
        <v>1702</v>
      </c>
      <c r="B4305">
        <v>185</v>
      </c>
      <c r="C4305" t="s">
        <v>7160</v>
      </c>
      <c r="D4305" t="s">
        <v>339</v>
      </c>
      <c r="E4305" s="13">
        <v>2000</v>
      </c>
      <c r="F4305" s="12">
        <v>21.01</v>
      </c>
      <c r="G4305" t="str">
        <f>IFERROR(INDEX(tEditais[Órgão],MATCH(tItens[[#This Row],[Edital]],tEditais[Edital],0)),"")</f>
        <v>MUNICIPIO DE SAO JOSE DO RIO CLARO</v>
      </c>
      <c r="H4305" t="str">
        <f>IFERROR(INDEX(tEditais[UF],MATCH(tItens[[#This Row],[Edital]],tEditais[Edital],0)),"")</f>
        <v>MT</v>
      </c>
      <c r="I4305" s="11">
        <f>IFERROR(INDEX(tEditais[Encerramento],MATCH(tItens[[#This Row],[Edital]],tEditais[Edital],0)),"")</f>
        <v>46311.333333333336</v>
      </c>
      <c r="J4305" t="str">
        <f>IFERROR(INDEX(tProdutos[Classe],MATCH(tItens[[#This Row],[Produto]],tProdutos[Produto],0)),"produto não cadastrado")</f>
        <v>FORA</v>
      </c>
      <c r="K4305" s="12">
        <f>tItens[[#This Row],[Qtd]]*tItens[[#This Row],[Vlr unit]]</f>
        <v>42020</v>
      </c>
      <c r="L4305" s="6">
        <f>IFERROR(IF(INDEX(tProdutos[Desconto homologado],MATCH(tItens[[#This Row],[Produto]],tProdutos[Produto],0))="",DescontoPadrao,INDEX(tProdutos[Desconto homologado],MATCH(tItens[[#This Row],[Produto]],tProdutos[Produto],0))),DescontoPadrao)</f>
        <v>0.35388629091804102</v>
      </c>
      <c r="M4305" s="12">
        <f>tItens[[#This Row],[Valor]]*(1-tItens[[#This Row],[Desconto]])</f>
        <v>27149.698055623918</v>
      </c>
      <c r="N4305" t="str">
        <f>IFERROR(INDEX(tProdutos[Foco],MATCH(tItens[[#This Row],[Produto]],tProdutos[Produto],0)),"Não")</f>
        <v>Não</v>
      </c>
      <c r="O4305" t="str">
        <f>IFERROR(INDEX(tEditais[SRP],MATCH(tItens[[#This Row],[Edital]],tEditais[Edital],0)),"Não")</f>
        <v>Sim</v>
      </c>
      <c r="P4305" s="4">
        <f>IF(COUNTIFS(INDEX(tItens[Edital],1):tItens[[#This Row],[Edital]],tItens[[#This Row],[Edital]],INDEX(tItens[Produto],1):tItens[[#This Row],[Produto]],tItens[[#This Row],[Produto]])=1,1,0)</f>
        <v>0</v>
      </c>
    </row>
    <row r="4306" spans="1:16" x14ac:dyDescent="0.25">
      <c r="A4306" t="s">
        <v>1702</v>
      </c>
      <c r="B4306">
        <v>219</v>
      </c>
      <c r="C4306" t="s">
        <v>7161</v>
      </c>
      <c r="D4306" t="s">
        <v>56</v>
      </c>
      <c r="E4306" s="13">
        <v>50</v>
      </c>
      <c r="F4306" s="12">
        <v>24.59</v>
      </c>
      <c r="G4306" t="str">
        <f>IFERROR(INDEX(tEditais[Órgão],MATCH(tItens[[#This Row],[Edital]],tEditais[Edital],0)),"")</f>
        <v>MUNICIPIO DE SAO JOSE DO RIO CLARO</v>
      </c>
      <c r="H4306" t="str">
        <f>IFERROR(INDEX(tEditais[UF],MATCH(tItens[[#This Row],[Edital]],tEditais[Edital],0)),"")</f>
        <v>MT</v>
      </c>
      <c r="I4306" s="11">
        <f>IFERROR(INDEX(tEditais[Encerramento],MATCH(tItens[[#This Row],[Edital]],tEditais[Edital],0)),"")</f>
        <v>46311.333333333336</v>
      </c>
      <c r="J4306" t="str">
        <f>IFERROR(INDEX(tProdutos[Classe],MATCH(tItens[[#This Row],[Produto]],tProdutos[Produto],0)),"produto não cadastrado")</f>
        <v>NÚCLEO</v>
      </c>
      <c r="K4306" s="12">
        <f>tItens[[#This Row],[Qtd]]*tItens[[#This Row],[Vlr unit]]</f>
        <v>1229.5</v>
      </c>
      <c r="L4306" s="6">
        <f>IFERROR(IF(INDEX(tProdutos[Desconto homologado],MATCH(tItens[[#This Row],[Produto]],tProdutos[Produto],0))="",DescontoPadrao,INDEX(tProdutos[Desconto homologado],MATCH(tItens[[#This Row],[Produto]],tProdutos[Produto],0))),DescontoPadrao)</f>
        <v>0.34</v>
      </c>
      <c r="M4306" s="12">
        <f>tItens[[#This Row],[Valor]]*(1-tItens[[#This Row],[Desconto]])</f>
        <v>811.46999999999991</v>
      </c>
      <c r="N4306" t="str">
        <f>IFERROR(INDEX(tProdutos[Foco],MATCH(tItens[[#This Row],[Produto]],tProdutos[Produto],0)),"Não")</f>
        <v>Sim</v>
      </c>
      <c r="O4306" t="str">
        <f>IFERROR(INDEX(tEditais[SRP],MATCH(tItens[[#This Row],[Edital]],tEditais[Edital],0)),"Não")</f>
        <v>Sim</v>
      </c>
      <c r="P4306" s="4">
        <f>IF(COUNTIFS(INDEX(tItens[Edital],1):tItens[[#This Row],[Edital]],tItens[[#This Row],[Edital]],INDEX(tItens[Produto],1):tItens[[#This Row],[Produto]],tItens[[#This Row],[Produto]])=1,1,0)</f>
        <v>1</v>
      </c>
    </row>
    <row r="4307" spans="1:16" x14ac:dyDescent="0.25">
      <c r="A4307" t="s">
        <v>1702</v>
      </c>
      <c r="B4307">
        <v>220</v>
      </c>
      <c r="C4307" t="s">
        <v>7162</v>
      </c>
      <c r="D4307" t="s">
        <v>56</v>
      </c>
      <c r="E4307" s="13">
        <v>50</v>
      </c>
      <c r="F4307" s="12">
        <v>36.200000000000003</v>
      </c>
      <c r="G4307" t="str">
        <f>IFERROR(INDEX(tEditais[Órgão],MATCH(tItens[[#This Row],[Edital]],tEditais[Edital],0)),"")</f>
        <v>MUNICIPIO DE SAO JOSE DO RIO CLARO</v>
      </c>
      <c r="H4307" t="str">
        <f>IFERROR(INDEX(tEditais[UF],MATCH(tItens[[#This Row],[Edital]],tEditais[Edital],0)),"")</f>
        <v>MT</v>
      </c>
      <c r="I4307" s="11">
        <f>IFERROR(INDEX(tEditais[Encerramento],MATCH(tItens[[#This Row],[Edital]],tEditais[Edital],0)),"")</f>
        <v>46311.333333333336</v>
      </c>
      <c r="J4307" t="str">
        <f>IFERROR(INDEX(tProdutos[Classe],MATCH(tItens[[#This Row],[Produto]],tProdutos[Produto],0)),"produto não cadastrado")</f>
        <v>NÚCLEO</v>
      </c>
      <c r="K4307" s="12">
        <f>tItens[[#This Row],[Qtd]]*tItens[[#This Row],[Vlr unit]]</f>
        <v>1810.0000000000002</v>
      </c>
      <c r="L4307" s="6">
        <f>IFERROR(IF(INDEX(tProdutos[Desconto homologado],MATCH(tItens[[#This Row],[Produto]],tProdutos[Produto],0))="",DescontoPadrao,INDEX(tProdutos[Desconto homologado],MATCH(tItens[[#This Row],[Produto]],tProdutos[Produto],0))),DescontoPadrao)</f>
        <v>0.34</v>
      </c>
      <c r="M4307" s="12">
        <f>tItens[[#This Row],[Valor]]*(1-tItens[[#This Row],[Desconto]])</f>
        <v>1194.5999999999999</v>
      </c>
      <c r="N4307" t="str">
        <f>IFERROR(INDEX(tProdutos[Foco],MATCH(tItens[[#This Row],[Produto]],tProdutos[Produto],0)),"Não")</f>
        <v>Sim</v>
      </c>
      <c r="O4307" t="str">
        <f>IFERROR(INDEX(tEditais[SRP],MATCH(tItens[[#This Row],[Edital]],tEditais[Edital],0)),"Não")</f>
        <v>Sim</v>
      </c>
      <c r="P4307" s="4">
        <f>IF(COUNTIFS(INDEX(tItens[Edital],1):tItens[[#This Row],[Edital]],tItens[[#This Row],[Edital]],INDEX(tItens[Produto],1):tItens[[#This Row],[Produto]],tItens[[#This Row],[Produto]])=1,1,0)</f>
        <v>0</v>
      </c>
    </row>
    <row r="4308" spans="1:16" x14ac:dyDescent="0.25">
      <c r="A4308" t="s">
        <v>1702</v>
      </c>
      <c r="B4308">
        <v>221</v>
      </c>
      <c r="C4308" t="s">
        <v>7163</v>
      </c>
      <c r="D4308" t="s">
        <v>56</v>
      </c>
      <c r="E4308" s="13">
        <v>50</v>
      </c>
      <c r="F4308" s="12">
        <v>36.74</v>
      </c>
      <c r="G4308" t="str">
        <f>IFERROR(INDEX(tEditais[Órgão],MATCH(tItens[[#This Row],[Edital]],tEditais[Edital],0)),"")</f>
        <v>MUNICIPIO DE SAO JOSE DO RIO CLARO</v>
      </c>
      <c r="H4308" t="str">
        <f>IFERROR(INDEX(tEditais[UF],MATCH(tItens[[#This Row],[Edital]],tEditais[Edital],0)),"")</f>
        <v>MT</v>
      </c>
      <c r="I4308" s="11">
        <f>IFERROR(INDEX(tEditais[Encerramento],MATCH(tItens[[#This Row],[Edital]],tEditais[Edital],0)),"")</f>
        <v>46311.333333333336</v>
      </c>
      <c r="J4308" t="str">
        <f>IFERROR(INDEX(tProdutos[Classe],MATCH(tItens[[#This Row],[Produto]],tProdutos[Produto],0)),"produto não cadastrado")</f>
        <v>NÚCLEO</v>
      </c>
      <c r="K4308" s="12">
        <f>tItens[[#This Row],[Qtd]]*tItens[[#This Row],[Vlr unit]]</f>
        <v>1837</v>
      </c>
      <c r="L4308" s="6">
        <f>IFERROR(IF(INDEX(tProdutos[Desconto homologado],MATCH(tItens[[#This Row],[Produto]],tProdutos[Produto],0))="",DescontoPadrao,INDEX(tProdutos[Desconto homologado],MATCH(tItens[[#This Row],[Produto]],tProdutos[Produto],0))),DescontoPadrao)</f>
        <v>0.34</v>
      </c>
      <c r="M4308" s="12">
        <f>tItens[[#This Row],[Valor]]*(1-tItens[[#This Row],[Desconto]])</f>
        <v>1212.4199999999998</v>
      </c>
      <c r="N4308" t="str">
        <f>IFERROR(INDEX(tProdutos[Foco],MATCH(tItens[[#This Row],[Produto]],tProdutos[Produto],0)),"Não")</f>
        <v>Sim</v>
      </c>
      <c r="O4308" t="str">
        <f>IFERROR(INDEX(tEditais[SRP],MATCH(tItens[[#This Row],[Edital]],tEditais[Edital],0)),"Não")</f>
        <v>Sim</v>
      </c>
      <c r="P4308" s="4">
        <f>IF(COUNTIFS(INDEX(tItens[Edital],1):tItens[[#This Row],[Edital]],tItens[[#This Row],[Edital]],INDEX(tItens[Produto],1):tItens[[#This Row],[Produto]],tItens[[#This Row],[Produto]])=1,1,0)</f>
        <v>0</v>
      </c>
    </row>
    <row r="4309" spans="1:16" x14ac:dyDescent="0.25">
      <c r="A4309" t="s">
        <v>1702</v>
      </c>
      <c r="B4309">
        <v>222</v>
      </c>
      <c r="C4309" t="s">
        <v>7164</v>
      </c>
      <c r="D4309" t="s">
        <v>277</v>
      </c>
      <c r="E4309" s="13">
        <v>1000</v>
      </c>
      <c r="F4309" s="12">
        <v>14.62</v>
      </c>
      <c r="G4309" t="str">
        <f>IFERROR(INDEX(tEditais[Órgão],MATCH(tItens[[#This Row],[Edital]],tEditais[Edital],0)),"")</f>
        <v>MUNICIPIO DE SAO JOSE DO RIO CLARO</v>
      </c>
      <c r="H4309" t="str">
        <f>IFERROR(INDEX(tEditais[UF],MATCH(tItens[[#This Row],[Edital]],tEditais[Edital],0)),"")</f>
        <v>MT</v>
      </c>
      <c r="I4309" s="11">
        <f>IFERROR(INDEX(tEditais[Encerramento],MATCH(tItens[[#This Row],[Edital]],tEditais[Edital],0)),"")</f>
        <v>46311.333333333336</v>
      </c>
      <c r="J4309" t="str">
        <f>IFERROR(INDEX(tProdutos[Classe],MATCH(tItens[[#This Row],[Produto]],tProdutos[Produto],0)),"produto não cadastrado")</f>
        <v>DISPUTADO</v>
      </c>
      <c r="K4309" s="12">
        <f>tItens[[#This Row],[Qtd]]*tItens[[#This Row],[Vlr unit]]</f>
        <v>14620</v>
      </c>
      <c r="L4309" s="6">
        <f>IFERROR(IF(INDEX(tProdutos[Desconto homologado],MATCH(tItens[[#This Row],[Produto]],tProdutos[Produto],0))="",DescontoPadrao,INDEX(tProdutos[Desconto homologado],MATCH(tItens[[#This Row],[Produto]],tProdutos[Produto],0))),DescontoPadrao)</f>
        <v>0.50460666194188497</v>
      </c>
      <c r="M4309" s="12">
        <f>tItens[[#This Row],[Valor]]*(1-tItens[[#This Row],[Desconto]])</f>
        <v>7242.6506024096416</v>
      </c>
      <c r="N4309" t="str">
        <f>IFERROR(INDEX(tProdutos[Foco],MATCH(tItens[[#This Row],[Produto]],tProdutos[Produto],0)),"Não")</f>
        <v>Não</v>
      </c>
      <c r="O4309" t="str">
        <f>IFERROR(INDEX(tEditais[SRP],MATCH(tItens[[#This Row],[Edital]],tEditais[Edital],0)),"Não")</f>
        <v>Sim</v>
      </c>
      <c r="P4309" s="4">
        <f>IF(COUNTIFS(INDEX(tItens[Edital],1):tItens[[#This Row],[Edital]],tItens[[#This Row],[Edital]],INDEX(tItens[Produto],1):tItens[[#This Row],[Produto]],tItens[[#This Row],[Produto]])=1,1,0)</f>
        <v>1</v>
      </c>
    </row>
    <row r="4310" spans="1:16" x14ac:dyDescent="0.25">
      <c r="A4310" t="s">
        <v>1702</v>
      </c>
      <c r="B4310">
        <v>225</v>
      </c>
      <c r="C4310" t="s">
        <v>7165</v>
      </c>
      <c r="D4310" t="s">
        <v>267</v>
      </c>
      <c r="E4310" s="13">
        <v>6000</v>
      </c>
      <c r="F4310" s="12">
        <v>13.73</v>
      </c>
      <c r="G4310" t="str">
        <f>IFERROR(INDEX(tEditais[Órgão],MATCH(tItens[[#This Row],[Edital]],tEditais[Edital],0)),"")</f>
        <v>MUNICIPIO DE SAO JOSE DO RIO CLARO</v>
      </c>
      <c r="H4310" t="str">
        <f>IFERROR(INDEX(tEditais[UF],MATCH(tItens[[#This Row],[Edital]],tEditais[Edital],0)),"")</f>
        <v>MT</v>
      </c>
      <c r="I4310" s="11">
        <f>IFERROR(INDEX(tEditais[Encerramento],MATCH(tItens[[#This Row],[Edital]],tEditais[Edital],0)),"")</f>
        <v>46311.333333333336</v>
      </c>
      <c r="J4310" t="str">
        <f>IFERROR(INDEX(tProdutos[Classe],MATCH(tItens[[#This Row],[Produto]],tProdutos[Produto],0)),"produto não cadastrado")</f>
        <v>FORA</v>
      </c>
      <c r="K4310" s="12">
        <f>tItens[[#This Row],[Qtd]]*tItens[[#This Row],[Vlr unit]]</f>
        <v>82380</v>
      </c>
      <c r="L4310" s="6">
        <f>IFERROR(IF(INDEX(tProdutos[Desconto homologado],MATCH(tItens[[#This Row],[Produto]],tProdutos[Produto],0))="",DescontoPadrao,INDEX(tProdutos[Desconto homologado],MATCH(tItens[[#This Row],[Produto]],tProdutos[Produto],0))),DescontoPadrao)</f>
        <v>0.19963672657401599</v>
      </c>
      <c r="M4310" s="12">
        <f>tItens[[#This Row],[Valor]]*(1-tItens[[#This Row],[Desconto]])</f>
        <v>65933.926464832562</v>
      </c>
      <c r="N4310" t="str">
        <f>IFERROR(INDEX(tProdutos[Foco],MATCH(tItens[[#This Row],[Produto]],tProdutos[Produto],0)),"Não")</f>
        <v>Não</v>
      </c>
      <c r="O4310" t="str">
        <f>IFERROR(INDEX(tEditais[SRP],MATCH(tItens[[#This Row],[Edital]],tEditais[Edital],0)),"Não")</f>
        <v>Sim</v>
      </c>
      <c r="P4310" s="4">
        <f>IF(COUNTIFS(INDEX(tItens[Edital],1):tItens[[#This Row],[Edital]],tItens[[#This Row],[Edital]],INDEX(tItens[Produto],1):tItens[[#This Row],[Produto]],tItens[[#This Row],[Produto]])=1,1,0)</f>
        <v>1</v>
      </c>
    </row>
    <row r="4311" spans="1:16" x14ac:dyDescent="0.25">
      <c r="A4311" t="s">
        <v>1702</v>
      </c>
      <c r="B4311">
        <v>237</v>
      </c>
      <c r="C4311" t="s">
        <v>7166</v>
      </c>
      <c r="D4311" t="s">
        <v>343</v>
      </c>
      <c r="E4311" s="13">
        <v>1000</v>
      </c>
      <c r="F4311" s="12">
        <v>1.1599999999999999</v>
      </c>
      <c r="G4311" t="str">
        <f>IFERROR(INDEX(tEditais[Órgão],MATCH(tItens[[#This Row],[Edital]],tEditais[Edital],0)),"")</f>
        <v>MUNICIPIO DE SAO JOSE DO RIO CLARO</v>
      </c>
      <c r="H4311" t="str">
        <f>IFERROR(INDEX(tEditais[UF],MATCH(tItens[[#This Row],[Edital]],tEditais[Edital],0)),"")</f>
        <v>MT</v>
      </c>
      <c r="I4311" s="11">
        <f>IFERROR(INDEX(tEditais[Encerramento],MATCH(tItens[[#This Row],[Edital]],tEditais[Edital],0)),"")</f>
        <v>46311.333333333336</v>
      </c>
      <c r="J4311" t="str">
        <f>IFERROR(INDEX(tProdutos[Classe],MATCH(tItens[[#This Row],[Produto]],tProdutos[Produto],0)),"produto não cadastrado")</f>
        <v>FORA</v>
      </c>
      <c r="K4311" s="12">
        <f>tItens[[#This Row],[Qtd]]*tItens[[#This Row],[Vlr unit]]</f>
        <v>1160</v>
      </c>
      <c r="L4311" s="6">
        <f>IFERROR(IF(INDEX(tProdutos[Desconto homologado],MATCH(tItens[[#This Row],[Produto]],tProdutos[Produto],0))="",DescontoPadrao,INDEX(tProdutos[Desconto homologado],MATCH(tItens[[#This Row],[Produto]],tProdutos[Produto],0))),DescontoPadrao)</f>
        <v>0.35412234042553198</v>
      </c>
      <c r="M4311" s="12">
        <f>tItens[[#This Row],[Valor]]*(1-tItens[[#This Row],[Desconto]])</f>
        <v>749.21808510638289</v>
      </c>
      <c r="N4311" t="str">
        <f>IFERROR(INDEX(tProdutos[Foco],MATCH(tItens[[#This Row],[Produto]],tProdutos[Produto],0)),"Não")</f>
        <v>Não</v>
      </c>
      <c r="O4311" t="str">
        <f>IFERROR(INDEX(tEditais[SRP],MATCH(tItens[[#This Row],[Edital]],tEditais[Edital],0)),"Não")</f>
        <v>Sim</v>
      </c>
      <c r="P4311" s="4">
        <f>IF(COUNTIFS(INDEX(tItens[Edital],1):tItens[[#This Row],[Edital]],tItens[[#This Row],[Edital]],INDEX(tItens[Produto],1):tItens[[#This Row],[Produto]],tItens[[#This Row],[Produto]])=1,1,0)</f>
        <v>1</v>
      </c>
    </row>
    <row r="4312" spans="1:16" x14ac:dyDescent="0.25">
      <c r="A4312" t="s">
        <v>1702</v>
      </c>
      <c r="B4312">
        <v>313</v>
      </c>
      <c r="C4312" t="s">
        <v>7167</v>
      </c>
      <c r="D4312" t="s">
        <v>283</v>
      </c>
      <c r="E4312" s="13">
        <v>100000</v>
      </c>
      <c r="F4312" s="12">
        <v>0.12</v>
      </c>
      <c r="G4312" t="str">
        <f>IFERROR(INDEX(tEditais[Órgão],MATCH(tItens[[#This Row],[Edital]],tEditais[Edital],0)),"")</f>
        <v>MUNICIPIO DE SAO JOSE DO RIO CLARO</v>
      </c>
      <c r="H4312" t="str">
        <f>IFERROR(INDEX(tEditais[UF],MATCH(tItens[[#This Row],[Edital]],tEditais[Edital],0)),"")</f>
        <v>MT</v>
      </c>
      <c r="I4312" s="11">
        <f>IFERROR(INDEX(tEditais[Encerramento],MATCH(tItens[[#This Row],[Edital]],tEditais[Edital],0)),"")</f>
        <v>46311.333333333336</v>
      </c>
      <c r="J4312" t="str">
        <f>IFERROR(INDEX(tProdutos[Classe],MATCH(tItens[[#This Row],[Produto]],tProdutos[Produto],0)),"produto não cadastrado")</f>
        <v>FORA</v>
      </c>
      <c r="K4312" s="12">
        <f>tItens[[#This Row],[Qtd]]*tItens[[#This Row],[Vlr unit]]</f>
        <v>12000</v>
      </c>
      <c r="L4312" s="6">
        <f>IFERROR(IF(INDEX(tProdutos[Desconto homologado],MATCH(tItens[[#This Row],[Produto]],tProdutos[Produto],0))="",DescontoPadrao,INDEX(tProdutos[Desconto homologado],MATCH(tItens[[#This Row],[Produto]],tProdutos[Produto],0))),DescontoPadrao)</f>
        <v>0.40540540540540498</v>
      </c>
      <c r="M4312" s="12">
        <f>tItens[[#This Row],[Valor]]*(1-tItens[[#This Row],[Desconto]])</f>
        <v>7135.1351351351395</v>
      </c>
      <c r="N4312" t="str">
        <f>IFERROR(INDEX(tProdutos[Foco],MATCH(tItens[[#This Row],[Produto]],tProdutos[Produto],0)),"Não")</f>
        <v>Não</v>
      </c>
      <c r="O4312" t="str">
        <f>IFERROR(INDEX(tEditais[SRP],MATCH(tItens[[#This Row],[Edital]],tEditais[Edital],0)),"Não")</f>
        <v>Sim</v>
      </c>
      <c r="P4312" s="4">
        <f>IF(COUNTIFS(INDEX(tItens[Edital],1):tItens[[#This Row],[Edital]],tItens[[#This Row],[Edital]],INDEX(tItens[Produto],1):tItens[[#This Row],[Produto]],tItens[[#This Row],[Produto]])=1,1,0)</f>
        <v>1</v>
      </c>
    </row>
    <row r="4313" spans="1:16" x14ac:dyDescent="0.25">
      <c r="A4313" t="s">
        <v>1702</v>
      </c>
      <c r="B4313">
        <v>314</v>
      </c>
      <c r="C4313" t="s">
        <v>7168</v>
      </c>
      <c r="D4313" t="s">
        <v>281</v>
      </c>
      <c r="E4313" s="13">
        <v>50000</v>
      </c>
      <c r="F4313" s="12">
        <v>0.32</v>
      </c>
      <c r="G4313" t="str">
        <f>IFERROR(INDEX(tEditais[Órgão],MATCH(tItens[[#This Row],[Edital]],tEditais[Edital],0)),"")</f>
        <v>MUNICIPIO DE SAO JOSE DO RIO CLARO</v>
      </c>
      <c r="H4313" t="str">
        <f>IFERROR(INDEX(tEditais[UF],MATCH(tItens[[#This Row],[Edital]],tEditais[Edital],0)),"")</f>
        <v>MT</v>
      </c>
      <c r="I4313" s="11">
        <f>IFERROR(INDEX(tEditais[Encerramento],MATCH(tItens[[#This Row],[Edital]],tEditais[Edital],0)),"")</f>
        <v>46311.333333333336</v>
      </c>
      <c r="J4313" t="str">
        <f>IFERROR(INDEX(tProdutos[Classe],MATCH(tItens[[#This Row],[Produto]],tProdutos[Produto],0)),"produto não cadastrado")</f>
        <v>DISPUTADO</v>
      </c>
      <c r="K4313" s="12">
        <f>tItens[[#This Row],[Qtd]]*tItens[[#This Row],[Vlr unit]]</f>
        <v>16000</v>
      </c>
      <c r="L4313" s="6">
        <f>IFERROR(IF(INDEX(tProdutos[Desconto homologado],MATCH(tItens[[#This Row],[Produto]],tProdutos[Produto],0))="",DescontoPadrao,INDEX(tProdutos[Desconto homologado],MATCH(tItens[[#This Row],[Produto]],tProdutos[Produto],0))),DescontoPadrao)</f>
        <v>0.42461538461538501</v>
      </c>
      <c r="M4313" s="12">
        <f>tItens[[#This Row],[Valor]]*(1-tItens[[#This Row],[Desconto]])</f>
        <v>9206.1538461538385</v>
      </c>
      <c r="N4313" t="str">
        <f>IFERROR(INDEX(tProdutos[Foco],MATCH(tItens[[#This Row],[Produto]],tProdutos[Produto],0)),"Não")</f>
        <v>Não</v>
      </c>
      <c r="O4313" t="str">
        <f>IFERROR(INDEX(tEditais[SRP],MATCH(tItens[[#This Row],[Edital]],tEditais[Edital],0)),"Não")</f>
        <v>Sim</v>
      </c>
      <c r="P4313" s="4">
        <f>IF(COUNTIFS(INDEX(tItens[Edital],1):tItens[[#This Row],[Edital]],tItens[[#This Row],[Edital]],INDEX(tItens[Produto],1):tItens[[#This Row],[Produto]],tItens[[#This Row],[Produto]])=1,1,0)</f>
        <v>1</v>
      </c>
    </row>
    <row r="4314" spans="1:16" x14ac:dyDescent="0.25">
      <c r="A4314" t="s">
        <v>1702</v>
      </c>
      <c r="B4314">
        <v>317</v>
      </c>
      <c r="C4314" t="s">
        <v>7169</v>
      </c>
      <c r="D4314" t="s">
        <v>265</v>
      </c>
      <c r="E4314" s="13">
        <v>100000</v>
      </c>
      <c r="F4314" s="12">
        <v>0.16</v>
      </c>
      <c r="G4314" t="str">
        <f>IFERROR(INDEX(tEditais[Órgão],MATCH(tItens[[#This Row],[Edital]],tEditais[Edital],0)),"")</f>
        <v>MUNICIPIO DE SAO JOSE DO RIO CLARO</v>
      </c>
      <c r="H4314" t="str">
        <f>IFERROR(INDEX(tEditais[UF],MATCH(tItens[[#This Row],[Edital]],tEditais[Edital],0)),"")</f>
        <v>MT</v>
      </c>
      <c r="I4314" s="11">
        <f>IFERROR(INDEX(tEditais[Encerramento],MATCH(tItens[[#This Row],[Edital]],tEditais[Edital],0)),"")</f>
        <v>46311.333333333336</v>
      </c>
      <c r="J4314" t="str">
        <f>IFERROR(INDEX(tProdutos[Classe],MATCH(tItens[[#This Row],[Produto]],tProdutos[Produto],0)),"produto não cadastrado")</f>
        <v>DISPUTADO</v>
      </c>
      <c r="K4314" s="12">
        <f>tItens[[#This Row],[Qtd]]*tItens[[#This Row],[Vlr unit]]</f>
        <v>16000</v>
      </c>
      <c r="L4314" s="6">
        <f>IFERROR(IF(INDEX(tProdutos[Desconto homologado],MATCH(tItens[[#This Row],[Produto]],tProdutos[Produto],0))="",DescontoPadrao,INDEX(tProdutos[Desconto homologado],MATCH(tItens[[#This Row],[Produto]],tProdutos[Produto],0))),DescontoPadrao)</f>
        <v>0.377587663709337</v>
      </c>
      <c r="M4314" s="12">
        <f>tItens[[#This Row],[Valor]]*(1-tItens[[#This Row],[Desconto]])</f>
        <v>9958.5973806506081</v>
      </c>
      <c r="N4314" t="str">
        <f>IFERROR(INDEX(tProdutos[Foco],MATCH(tItens[[#This Row],[Produto]],tProdutos[Produto],0)),"Não")</f>
        <v>Não</v>
      </c>
      <c r="O4314" t="str">
        <f>IFERROR(INDEX(tEditais[SRP],MATCH(tItens[[#This Row],[Edital]],tEditais[Edital],0)),"Não")</f>
        <v>Sim</v>
      </c>
      <c r="P4314" s="4">
        <f>IF(COUNTIFS(INDEX(tItens[Edital],1):tItens[[#This Row],[Edital]],tItens[[#This Row],[Edital]],INDEX(tItens[Produto],1):tItens[[#This Row],[Produto]],tItens[[#This Row],[Produto]])=1,1,0)</f>
        <v>1</v>
      </c>
    </row>
    <row r="4315" spans="1:16" x14ac:dyDescent="0.25">
      <c r="A4315" t="s">
        <v>1702</v>
      </c>
      <c r="B4315">
        <v>329</v>
      </c>
      <c r="C4315" t="s">
        <v>7170</v>
      </c>
      <c r="D4315" t="s">
        <v>120</v>
      </c>
      <c r="E4315" s="13">
        <v>3000</v>
      </c>
      <c r="F4315" s="12">
        <v>0.68</v>
      </c>
      <c r="G4315" t="str">
        <f>IFERROR(INDEX(tEditais[Órgão],MATCH(tItens[[#This Row],[Edital]],tEditais[Edital],0)),"")</f>
        <v>MUNICIPIO DE SAO JOSE DO RIO CLARO</v>
      </c>
      <c r="H4315" t="str">
        <f>IFERROR(INDEX(tEditais[UF],MATCH(tItens[[#This Row],[Edital]],tEditais[Edital],0)),"")</f>
        <v>MT</v>
      </c>
      <c r="I4315" s="11">
        <f>IFERROR(INDEX(tEditais[Encerramento],MATCH(tItens[[#This Row],[Edital]],tEditais[Edital],0)),"")</f>
        <v>46311.333333333336</v>
      </c>
      <c r="J4315" t="str">
        <f>IFERROR(INDEX(tProdutos[Classe],MATCH(tItens[[#This Row],[Produto]],tProdutos[Produto],0)),"produto não cadastrado")</f>
        <v>DISPUTADO</v>
      </c>
      <c r="K4315" s="12">
        <f>tItens[[#This Row],[Qtd]]*tItens[[#This Row],[Vlr unit]]</f>
        <v>2040.0000000000002</v>
      </c>
      <c r="L4315" s="6">
        <f>IFERROR(IF(INDEX(tProdutos[Desconto homologado],MATCH(tItens[[#This Row],[Produto]],tProdutos[Produto],0))="",DescontoPadrao,INDEX(tProdutos[Desconto homologado],MATCH(tItens[[#This Row],[Produto]],tProdutos[Produto],0))),DescontoPadrao)</f>
        <v>0.40909090909090901</v>
      </c>
      <c r="M4315" s="12">
        <f>tItens[[#This Row],[Valor]]*(1-tItens[[#This Row],[Desconto]])</f>
        <v>1205.454545454546</v>
      </c>
      <c r="N4315" t="str">
        <f>IFERROR(INDEX(tProdutos[Foco],MATCH(tItens[[#This Row],[Produto]],tProdutos[Produto],0)),"Não")</f>
        <v>Não</v>
      </c>
      <c r="O4315" t="str">
        <f>IFERROR(INDEX(tEditais[SRP],MATCH(tItens[[#This Row],[Edital]],tEditais[Edital],0)),"Não")</f>
        <v>Sim</v>
      </c>
      <c r="P4315" s="4">
        <f>IF(COUNTIFS(INDEX(tItens[Edital],1):tItens[[#This Row],[Edital]],tItens[[#This Row],[Edital]],INDEX(tItens[Produto],1):tItens[[#This Row],[Produto]],tItens[[#This Row],[Produto]])=1,1,0)</f>
        <v>1</v>
      </c>
    </row>
    <row r="4316" spans="1:16" x14ac:dyDescent="0.25">
      <c r="A4316" t="s">
        <v>1702</v>
      </c>
      <c r="B4316">
        <v>330</v>
      </c>
      <c r="C4316" t="s">
        <v>7171</v>
      </c>
      <c r="D4316" t="s">
        <v>120</v>
      </c>
      <c r="E4316" s="13">
        <v>3000</v>
      </c>
      <c r="F4316" s="12">
        <v>0.66</v>
      </c>
      <c r="G4316" t="str">
        <f>IFERROR(INDEX(tEditais[Órgão],MATCH(tItens[[#This Row],[Edital]],tEditais[Edital],0)),"")</f>
        <v>MUNICIPIO DE SAO JOSE DO RIO CLARO</v>
      </c>
      <c r="H4316" t="str">
        <f>IFERROR(INDEX(tEditais[UF],MATCH(tItens[[#This Row],[Edital]],tEditais[Edital],0)),"")</f>
        <v>MT</v>
      </c>
      <c r="I4316" s="11">
        <f>IFERROR(INDEX(tEditais[Encerramento],MATCH(tItens[[#This Row],[Edital]],tEditais[Edital],0)),"")</f>
        <v>46311.333333333336</v>
      </c>
      <c r="J4316" t="str">
        <f>IFERROR(INDEX(tProdutos[Classe],MATCH(tItens[[#This Row],[Produto]],tProdutos[Produto],0)),"produto não cadastrado")</f>
        <v>DISPUTADO</v>
      </c>
      <c r="K4316" s="12">
        <f>tItens[[#This Row],[Qtd]]*tItens[[#This Row],[Vlr unit]]</f>
        <v>1980</v>
      </c>
      <c r="L4316" s="6">
        <f>IFERROR(IF(INDEX(tProdutos[Desconto homologado],MATCH(tItens[[#This Row],[Produto]],tProdutos[Produto],0))="",DescontoPadrao,INDEX(tProdutos[Desconto homologado],MATCH(tItens[[#This Row],[Produto]],tProdutos[Produto],0))),DescontoPadrao)</f>
        <v>0.40909090909090901</v>
      </c>
      <c r="M4316" s="12">
        <f>tItens[[#This Row],[Valor]]*(1-tItens[[#This Row],[Desconto]])</f>
        <v>1170.0000000000002</v>
      </c>
      <c r="N4316" t="str">
        <f>IFERROR(INDEX(tProdutos[Foco],MATCH(tItens[[#This Row],[Produto]],tProdutos[Produto],0)),"Não")</f>
        <v>Não</v>
      </c>
      <c r="O4316" t="str">
        <f>IFERROR(INDEX(tEditais[SRP],MATCH(tItens[[#This Row],[Edital]],tEditais[Edital],0)),"Não")</f>
        <v>Sim</v>
      </c>
      <c r="P4316" s="4">
        <f>IF(COUNTIFS(INDEX(tItens[Edital],1):tItens[[#This Row],[Edital]],tItens[[#This Row],[Edital]],INDEX(tItens[Produto],1):tItens[[#This Row],[Produto]],tItens[[#This Row],[Produto]])=1,1,0)</f>
        <v>0</v>
      </c>
    </row>
    <row r="4317" spans="1:16" x14ac:dyDescent="0.25">
      <c r="A4317" t="s">
        <v>1702</v>
      </c>
      <c r="B4317">
        <v>331</v>
      </c>
      <c r="C4317" t="s">
        <v>7172</v>
      </c>
      <c r="D4317" t="s">
        <v>120</v>
      </c>
      <c r="E4317" s="13">
        <v>3000</v>
      </c>
      <c r="F4317" s="12">
        <v>0.62</v>
      </c>
      <c r="G4317" t="str">
        <f>IFERROR(INDEX(tEditais[Órgão],MATCH(tItens[[#This Row],[Edital]],tEditais[Edital],0)),"")</f>
        <v>MUNICIPIO DE SAO JOSE DO RIO CLARO</v>
      </c>
      <c r="H4317" t="str">
        <f>IFERROR(INDEX(tEditais[UF],MATCH(tItens[[#This Row],[Edital]],tEditais[Edital],0)),"")</f>
        <v>MT</v>
      </c>
      <c r="I4317" s="11">
        <f>IFERROR(INDEX(tEditais[Encerramento],MATCH(tItens[[#This Row],[Edital]],tEditais[Edital],0)),"")</f>
        <v>46311.333333333336</v>
      </c>
      <c r="J4317" t="str">
        <f>IFERROR(INDEX(tProdutos[Classe],MATCH(tItens[[#This Row],[Produto]],tProdutos[Produto],0)),"produto não cadastrado")</f>
        <v>DISPUTADO</v>
      </c>
      <c r="K4317" s="12">
        <f>tItens[[#This Row],[Qtd]]*tItens[[#This Row],[Vlr unit]]</f>
        <v>1860</v>
      </c>
      <c r="L4317" s="6">
        <f>IFERROR(IF(INDEX(tProdutos[Desconto homologado],MATCH(tItens[[#This Row],[Produto]],tProdutos[Produto],0))="",DescontoPadrao,INDEX(tProdutos[Desconto homologado],MATCH(tItens[[#This Row],[Produto]],tProdutos[Produto],0))),DescontoPadrao)</f>
        <v>0.40909090909090901</v>
      </c>
      <c r="M4317" s="12">
        <f>tItens[[#This Row],[Valor]]*(1-tItens[[#This Row],[Desconto]])</f>
        <v>1099.0909090909095</v>
      </c>
      <c r="N4317" t="str">
        <f>IFERROR(INDEX(tProdutos[Foco],MATCH(tItens[[#This Row],[Produto]],tProdutos[Produto],0)),"Não")</f>
        <v>Não</v>
      </c>
      <c r="O4317" t="str">
        <f>IFERROR(INDEX(tEditais[SRP],MATCH(tItens[[#This Row],[Edital]],tEditais[Edital],0)),"Não")</f>
        <v>Sim</v>
      </c>
      <c r="P4317" s="4">
        <f>IF(COUNTIFS(INDEX(tItens[Edital],1):tItens[[#This Row],[Edital]],tItens[[#This Row],[Edital]],INDEX(tItens[Produto],1):tItens[[#This Row],[Produto]],tItens[[#This Row],[Produto]])=1,1,0)</f>
        <v>0</v>
      </c>
    </row>
    <row r="4318" spans="1:16" x14ac:dyDescent="0.25">
      <c r="A4318" t="s">
        <v>1702</v>
      </c>
      <c r="B4318">
        <v>332</v>
      </c>
      <c r="C4318" t="s">
        <v>7173</v>
      </c>
      <c r="D4318" t="s">
        <v>120</v>
      </c>
      <c r="E4318" s="13">
        <v>3000</v>
      </c>
      <c r="F4318" s="12">
        <v>0.57999999999999996</v>
      </c>
      <c r="G4318" t="str">
        <f>IFERROR(INDEX(tEditais[Órgão],MATCH(tItens[[#This Row],[Edital]],tEditais[Edital],0)),"")</f>
        <v>MUNICIPIO DE SAO JOSE DO RIO CLARO</v>
      </c>
      <c r="H4318" t="str">
        <f>IFERROR(INDEX(tEditais[UF],MATCH(tItens[[#This Row],[Edital]],tEditais[Edital],0)),"")</f>
        <v>MT</v>
      </c>
      <c r="I4318" s="11">
        <f>IFERROR(INDEX(tEditais[Encerramento],MATCH(tItens[[#This Row],[Edital]],tEditais[Edital],0)),"")</f>
        <v>46311.333333333336</v>
      </c>
      <c r="J4318" t="str">
        <f>IFERROR(INDEX(tProdutos[Classe],MATCH(tItens[[#This Row],[Produto]],tProdutos[Produto],0)),"produto não cadastrado")</f>
        <v>DISPUTADO</v>
      </c>
      <c r="K4318" s="12">
        <f>tItens[[#This Row],[Qtd]]*tItens[[#This Row],[Vlr unit]]</f>
        <v>1739.9999999999998</v>
      </c>
      <c r="L4318" s="6">
        <f>IFERROR(IF(INDEX(tProdutos[Desconto homologado],MATCH(tItens[[#This Row],[Produto]],tProdutos[Produto],0))="",DescontoPadrao,INDEX(tProdutos[Desconto homologado],MATCH(tItens[[#This Row],[Produto]],tProdutos[Produto],0))),DescontoPadrao)</f>
        <v>0.40909090909090901</v>
      </c>
      <c r="M4318" s="12">
        <f>tItens[[#This Row],[Valor]]*(1-tItens[[#This Row],[Desconto]])</f>
        <v>1028.1818181818182</v>
      </c>
      <c r="N4318" t="str">
        <f>IFERROR(INDEX(tProdutos[Foco],MATCH(tItens[[#This Row],[Produto]],tProdutos[Produto],0)),"Não")</f>
        <v>Não</v>
      </c>
      <c r="O4318" t="str">
        <f>IFERROR(INDEX(tEditais[SRP],MATCH(tItens[[#This Row],[Edital]],tEditais[Edital],0)),"Não")</f>
        <v>Sim</v>
      </c>
      <c r="P4318" s="4">
        <f>IF(COUNTIFS(INDEX(tItens[Edital],1):tItens[[#This Row],[Edital]],tItens[[#This Row],[Edital]],INDEX(tItens[Produto],1):tItens[[#This Row],[Produto]],tItens[[#This Row],[Produto]])=1,1,0)</f>
        <v>0</v>
      </c>
    </row>
    <row r="4319" spans="1:16" x14ac:dyDescent="0.25">
      <c r="A4319" t="s">
        <v>1702</v>
      </c>
      <c r="B4319">
        <v>333</v>
      </c>
      <c r="C4319" t="s">
        <v>7174</v>
      </c>
      <c r="D4319" t="s">
        <v>184</v>
      </c>
      <c r="E4319" s="13">
        <v>1000</v>
      </c>
      <c r="F4319" s="12">
        <v>2.77</v>
      </c>
      <c r="G4319" t="str">
        <f>IFERROR(INDEX(tEditais[Órgão],MATCH(tItens[[#This Row],[Edital]],tEditais[Edital],0)),"")</f>
        <v>MUNICIPIO DE SAO JOSE DO RIO CLARO</v>
      </c>
      <c r="H4319" t="str">
        <f>IFERROR(INDEX(tEditais[UF],MATCH(tItens[[#This Row],[Edital]],tEditais[Edital],0)),"")</f>
        <v>MT</v>
      </c>
      <c r="I4319" s="11">
        <f>IFERROR(INDEX(tEditais[Encerramento],MATCH(tItens[[#This Row],[Edital]],tEditais[Edital],0)),"")</f>
        <v>46311.333333333336</v>
      </c>
      <c r="J4319" t="str">
        <f>IFERROR(INDEX(tProdutos[Classe],MATCH(tItens[[#This Row],[Produto]],tProdutos[Produto],0)),"produto não cadastrado")</f>
        <v>FORA</v>
      </c>
      <c r="K4319" s="12">
        <f>tItens[[#This Row],[Qtd]]*tItens[[#This Row],[Vlr unit]]</f>
        <v>2770</v>
      </c>
      <c r="L4319" s="6">
        <f>IFERROR(IF(INDEX(tProdutos[Desconto homologado],MATCH(tItens[[#This Row],[Produto]],tProdutos[Produto],0))="",DescontoPadrao,INDEX(tProdutos[Desconto homologado],MATCH(tItens[[#This Row],[Produto]],tProdutos[Produto],0))),DescontoPadrao)</f>
        <v>0.363567906332742</v>
      </c>
      <c r="M4319" s="12">
        <f>tItens[[#This Row],[Valor]]*(1-tItens[[#This Row],[Desconto]])</f>
        <v>1762.9168994583049</v>
      </c>
      <c r="N4319" t="str">
        <f>IFERROR(INDEX(tProdutos[Foco],MATCH(tItens[[#This Row],[Produto]],tProdutos[Produto],0)),"Não")</f>
        <v>Não</v>
      </c>
      <c r="O4319" t="str">
        <f>IFERROR(INDEX(tEditais[SRP],MATCH(tItens[[#This Row],[Edital]],tEditais[Edital],0)),"Não")</f>
        <v>Sim</v>
      </c>
      <c r="P4319" s="4">
        <f>IF(COUNTIFS(INDEX(tItens[Edital],1):tItens[[#This Row],[Edital]],tItens[[#This Row],[Edital]],INDEX(tItens[Produto],1):tItens[[#This Row],[Produto]],tItens[[#This Row],[Produto]])=1,1,0)</f>
        <v>1</v>
      </c>
    </row>
    <row r="4320" spans="1:16" x14ac:dyDescent="0.25">
      <c r="A4320" t="s">
        <v>1702</v>
      </c>
      <c r="B4320">
        <v>334</v>
      </c>
      <c r="C4320" t="s">
        <v>7175</v>
      </c>
      <c r="D4320" t="s">
        <v>184</v>
      </c>
      <c r="E4320" s="13">
        <v>1000</v>
      </c>
      <c r="F4320" s="12">
        <v>2.65</v>
      </c>
      <c r="G4320" t="str">
        <f>IFERROR(INDEX(tEditais[Órgão],MATCH(tItens[[#This Row],[Edital]],tEditais[Edital],0)),"")</f>
        <v>MUNICIPIO DE SAO JOSE DO RIO CLARO</v>
      </c>
      <c r="H4320" t="str">
        <f>IFERROR(INDEX(tEditais[UF],MATCH(tItens[[#This Row],[Edital]],tEditais[Edital],0)),"")</f>
        <v>MT</v>
      </c>
      <c r="I4320" s="11">
        <f>IFERROR(INDEX(tEditais[Encerramento],MATCH(tItens[[#This Row],[Edital]],tEditais[Edital],0)),"")</f>
        <v>46311.333333333336</v>
      </c>
      <c r="J4320" t="str">
        <f>IFERROR(INDEX(tProdutos[Classe],MATCH(tItens[[#This Row],[Produto]],tProdutos[Produto],0)),"produto não cadastrado")</f>
        <v>FORA</v>
      </c>
      <c r="K4320" s="12">
        <f>tItens[[#This Row],[Qtd]]*tItens[[#This Row],[Vlr unit]]</f>
        <v>2650</v>
      </c>
      <c r="L4320" s="6">
        <f>IFERROR(IF(INDEX(tProdutos[Desconto homologado],MATCH(tItens[[#This Row],[Produto]],tProdutos[Produto],0))="",DescontoPadrao,INDEX(tProdutos[Desconto homologado],MATCH(tItens[[#This Row],[Produto]],tProdutos[Produto],0))),DescontoPadrao)</f>
        <v>0.363567906332742</v>
      </c>
      <c r="M4320" s="12">
        <f>tItens[[#This Row],[Valor]]*(1-tItens[[#This Row],[Desconto]])</f>
        <v>1686.5450482182339</v>
      </c>
      <c r="N4320" t="str">
        <f>IFERROR(INDEX(tProdutos[Foco],MATCH(tItens[[#This Row],[Produto]],tProdutos[Produto],0)),"Não")</f>
        <v>Não</v>
      </c>
      <c r="O4320" t="str">
        <f>IFERROR(INDEX(tEditais[SRP],MATCH(tItens[[#This Row],[Edital]],tEditais[Edital],0)),"Não")</f>
        <v>Sim</v>
      </c>
      <c r="P4320" s="4">
        <f>IF(COUNTIFS(INDEX(tItens[Edital],1):tItens[[#This Row],[Edital]],tItens[[#This Row],[Edital]],INDEX(tItens[Produto],1):tItens[[#This Row],[Produto]],tItens[[#This Row],[Produto]])=1,1,0)</f>
        <v>0</v>
      </c>
    </row>
    <row r="4321" spans="1:16" x14ac:dyDescent="0.25">
      <c r="A4321" t="s">
        <v>1702</v>
      </c>
      <c r="B4321">
        <v>335</v>
      </c>
      <c r="C4321" t="s">
        <v>7176</v>
      </c>
      <c r="D4321" t="s">
        <v>184</v>
      </c>
      <c r="E4321" s="13">
        <v>1000</v>
      </c>
      <c r="F4321" s="12">
        <v>2.75</v>
      </c>
      <c r="G4321" t="str">
        <f>IFERROR(INDEX(tEditais[Órgão],MATCH(tItens[[#This Row],[Edital]],tEditais[Edital],0)),"")</f>
        <v>MUNICIPIO DE SAO JOSE DO RIO CLARO</v>
      </c>
      <c r="H4321" t="str">
        <f>IFERROR(INDEX(tEditais[UF],MATCH(tItens[[#This Row],[Edital]],tEditais[Edital],0)),"")</f>
        <v>MT</v>
      </c>
      <c r="I4321" s="11">
        <f>IFERROR(INDEX(tEditais[Encerramento],MATCH(tItens[[#This Row],[Edital]],tEditais[Edital],0)),"")</f>
        <v>46311.333333333336</v>
      </c>
      <c r="J4321" t="str">
        <f>IFERROR(INDEX(tProdutos[Classe],MATCH(tItens[[#This Row],[Produto]],tProdutos[Produto],0)),"produto não cadastrado")</f>
        <v>FORA</v>
      </c>
      <c r="K4321" s="12">
        <f>tItens[[#This Row],[Qtd]]*tItens[[#This Row],[Vlr unit]]</f>
        <v>2750</v>
      </c>
      <c r="L4321" s="6">
        <f>IFERROR(IF(INDEX(tProdutos[Desconto homologado],MATCH(tItens[[#This Row],[Produto]],tProdutos[Produto],0))="",DescontoPadrao,INDEX(tProdutos[Desconto homologado],MATCH(tItens[[#This Row],[Produto]],tProdutos[Produto],0))),DescontoPadrao)</f>
        <v>0.363567906332742</v>
      </c>
      <c r="M4321" s="12">
        <f>tItens[[#This Row],[Valor]]*(1-tItens[[#This Row],[Desconto]])</f>
        <v>1750.1882575849597</v>
      </c>
      <c r="N4321" t="str">
        <f>IFERROR(INDEX(tProdutos[Foco],MATCH(tItens[[#This Row],[Produto]],tProdutos[Produto],0)),"Não")</f>
        <v>Não</v>
      </c>
      <c r="O4321" t="str">
        <f>IFERROR(INDEX(tEditais[SRP],MATCH(tItens[[#This Row],[Edital]],tEditais[Edital],0)),"Não")</f>
        <v>Sim</v>
      </c>
      <c r="P4321" s="4">
        <f>IF(COUNTIFS(INDEX(tItens[Edital],1):tItens[[#This Row],[Edital]],tItens[[#This Row],[Edital]],INDEX(tItens[Produto],1):tItens[[#This Row],[Produto]],tItens[[#This Row],[Produto]])=1,1,0)</f>
        <v>0</v>
      </c>
    </row>
    <row r="4322" spans="1:16" x14ac:dyDescent="0.25">
      <c r="A4322" t="s">
        <v>1702</v>
      </c>
      <c r="B4322">
        <v>337</v>
      </c>
      <c r="C4322" t="s">
        <v>7177</v>
      </c>
      <c r="D4322" t="s">
        <v>110</v>
      </c>
      <c r="E4322" s="13">
        <v>100</v>
      </c>
      <c r="F4322" s="12">
        <v>1.1000000000000001</v>
      </c>
      <c r="G4322" t="str">
        <f>IFERROR(INDEX(tEditais[Órgão],MATCH(tItens[[#This Row],[Edital]],tEditais[Edital],0)),"")</f>
        <v>MUNICIPIO DE SAO JOSE DO RIO CLARO</v>
      </c>
      <c r="H4322" t="str">
        <f>IFERROR(INDEX(tEditais[UF],MATCH(tItens[[#This Row],[Edital]],tEditais[Edital],0)),"")</f>
        <v>MT</v>
      </c>
      <c r="I4322" s="11">
        <f>IFERROR(INDEX(tEditais[Encerramento],MATCH(tItens[[#This Row],[Edital]],tEditais[Edital],0)),"")</f>
        <v>46311.333333333336</v>
      </c>
      <c r="J4322" t="str">
        <f>IFERROR(INDEX(tProdutos[Classe],MATCH(tItens[[#This Row],[Produto]],tProdutos[Produto],0)),"produto não cadastrado")</f>
        <v>NÚCLEO</v>
      </c>
      <c r="K4322" s="12">
        <f>tItens[[#This Row],[Qtd]]*tItens[[#This Row],[Vlr unit]]</f>
        <v>110.00000000000001</v>
      </c>
      <c r="L4322" s="6">
        <f>IFERROR(IF(INDEX(tProdutos[Desconto homologado],MATCH(tItens[[#This Row],[Produto]],tProdutos[Produto],0))="",DescontoPadrao,INDEX(tProdutos[Desconto homologado],MATCH(tItens[[#This Row],[Produto]],tProdutos[Produto],0))),DescontoPadrao)</f>
        <v>0.30410958904109597</v>
      </c>
      <c r="M4322" s="12">
        <f>tItens[[#This Row],[Valor]]*(1-tItens[[#This Row],[Desconto]])</f>
        <v>76.547945205479451</v>
      </c>
      <c r="N4322" t="str">
        <f>IFERROR(INDEX(tProdutos[Foco],MATCH(tItens[[#This Row],[Produto]],tProdutos[Produto],0)),"Não")</f>
        <v>Não</v>
      </c>
      <c r="O4322" t="str">
        <f>IFERROR(INDEX(tEditais[SRP],MATCH(tItens[[#This Row],[Edital]],tEditais[Edital],0)),"Não")</f>
        <v>Sim</v>
      </c>
      <c r="P4322" s="4">
        <f>IF(COUNTIFS(INDEX(tItens[Edital],1):tItens[[#This Row],[Edital]],tItens[[#This Row],[Edital]],INDEX(tItens[Produto],1):tItens[[#This Row],[Produto]],tItens[[#This Row],[Produto]])=1,1,0)</f>
        <v>1</v>
      </c>
    </row>
    <row r="4323" spans="1:16" x14ac:dyDescent="0.25">
      <c r="A4323" t="s">
        <v>1702</v>
      </c>
      <c r="B4323">
        <v>340</v>
      </c>
      <c r="C4323" t="s">
        <v>7178</v>
      </c>
      <c r="D4323" t="s">
        <v>120</v>
      </c>
      <c r="E4323" s="13">
        <v>3000</v>
      </c>
      <c r="F4323" s="12">
        <v>0.56999999999999995</v>
      </c>
      <c r="G4323" t="str">
        <f>IFERROR(INDEX(tEditais[Órgão],MATCH(tItens[[#This Row],[Edital]],tEditais[Edital],0)),"")</f>
        <v>MUNICIPIO DE SAO JOSE DO RIO CLARO</v>
      </c>
      <c r="H4323" t="str">
        <f>IFERROR(INDEX(tEditais[UF],MATCH(tItens[[#This Row],[Edital]],tEditais[Edital],0)),"")</f>
        <v>MT</v>
      </c>
      <c r="I4323" s="11">
        <f>IFERROR(INDEX(tEditais[Encerramento],MATCH(tItens[[#This Row],[Edital]],tEditais[Edital],0)),"")</f>
        <v>46311.333333333336</v>
      </c>
      <c r="J4323" t="str">
        <f>IFERROR(INDEX(tProdutos[Classe],MATCH(tItens[[#This Row],[Produto]],tProdutos[Produto],0)),"produto não cadastrado")</f>
        <v>DISPUTADO</v>
      </c>
      <c r="K4323" s="12">
        <f>tItens[[#This Row],[Qtd]]*tItens[[#This Row],[Vlr unit]]</f>
        <v>1709.9999999999998</v>
      </c>
      <c r="L4323" s="6">
        <f>IFERROR(IF(INDEX(tProdutos[Desconto homologado],MATCH(tItens[[#This Row],[Produto]],tProdutos[Produto],0))="",DescontoPadrao,INDEX(tProdutos[Desconto homologado],MATCH(tItens[[#This Row],[Produto]],tProdutos[Produto],0))),DescontoPadrao)</f>
        <v>0.40909090909090901</v>
      </c>
      <c r="M4323" s="12">
        <f>tItens[[#This Row],[Valor]]*(1-tItens[[#This Row],[Desconto]])</f>
        <v>1010.4545454545456</v>
      </c>
      <c r="N4323" t="str">
        <f>IFERROR(INDEX(tProdutos[Foco],MATCH(tItens[[#This Row],[Produto]],tProdutos[Produto],0)),"Não")</f>
        <v>Não</v>
      </c>
      <c r="O4323" t="str">
        <f>IFERROR(INDEX(tEditais[SRP],MATCH(tItens[[#This Row],[Edital]],tEditais[Edital],0)),"Não")</f>
        <v>Sim</v>
      </c>
      <c r="P4323" s="4">
        <f>IF(COUNTIFS(INDEX(tItens[Edital],1):tItens[[#This Row],[Edital]],tItens[[#This Row],[Edital]],INDEX(tItens[Produto],1):tItens[[#This Row],[Produto]],tItens[[#This Row],[Produto]])=1,1,0)</f>
        <v>0</v>
      </c>
    </row>
    <row r="4324" spans="1:16" x14ac:dyDescent="0.25">
      <c r="A4324" t="s">
        <v>1702</v>
      </c>
      <c r="B4324">
        <v>360</v>
      </c>
      <c r="C4324" t="s">
        <v>7179</v>
      </c>
      <c r="D4324" t="s">
        <v>114</v>
      </c>
      <c r="E4324" s="13">
        <v>120</v>
      </c>
      <c r="F4324" s="12">
        <v>8.19</v>
      </c>
      <c r="G4324" t="str">
        <f>IFERROR(INDEX(tEditais[Órgão],MATCH(tItens[[#This Row],[Edital]],tEditais[Edital],0)),"")</f>
        <v>MUNICIPIO DE SAO JOSE DO RIO CLARO</v>
      </c>
      <c r="H4324" t="str">
        <f>IFERROR(INDEX(tEditais[UF],MATCH(tItens[[#This Row],[Edital]],tEditais[Edital],0)),"")</f>
        <v>MT</v>
      </c>
      <c r="I4324" s="11">
        <f>IFERROR(INDEX(tEditais[Encerramento],MATCH(tItens[[#This Row],[Edital]],tEditais[Edital],0)),"")</f>
        <v>46311.333333333336</v>
      </c>
      <c r="J4324" t="str">
        <f>IFERROR(INDEX(tProdutos[Classe],MATCH(tItens[[#This Row],[Produto]],tProdutos[Produto],0)),"produto não cadastrado")</f>
        <v>DISPUTADO</v>
      </c>
      <c r="K4324" s="12">
        <f>tItens[[#This Row],[Qtd]]*tItens[[#This Row],[Vlr unit]]</f>
        <v>982.8</v>
      </c>
      <c r="L4324" s="6">
        <f>IFERROR(IF(INDEX(tProdutos[Desconto homologado],MATCH(tItens[[#This Row],[Produto]],tProdutos[Produto],0))="",DescontoPadrao,INDEX(tProdutos[Desconto homologado],MATCH(tItens[[#This Row],[Produto]],tProdutos[Produto],0))),DescontoPadrao)</f>
        <v>0.24332656063896899</v>
      </c>
      <c r="M4324" s="12">
        <f>tItens[[#This Row],[Valor]]*(1-tItens[[#This Row],[Desconto]])</f>
        <v>743.65865620402133</v>
      </c>
      <c r="N4324" t="str">
        <f>IFERROR(INDEX(tProdutos[Foco],MATCH(tItens[[#This Row],[Produto]],tProdutos[Produto],0)),"Não")</f>
        <v>Não</v>
      </c>
      <c r="O4324" t="str">
        <f>IFERROR(INDEX(tEditais[SRP],MATCH(tItens[[#This Row],[Edital]],tEditais[Edital],0)),"Não")</f>
        <v>Sim</v>
      </c>
      <c r="P4324" s="4">
        <f>IF(COUNTIFS(INDEX(tItens[Edital],1):tItens[[#This Row],[Edital]],tItens[[#This Row],[Edital]],INDEX(tItens[Produto],1):tItens[[#This Row],[Produto]],tItens[[#This Row],[Produto]])=1,1,0)</f>
        <v>1</v>
      </c>
    </row>
    <row r="4325" spans="1:16" x14ac:dyDescent="0.25">
      <c r="A4325" t="s">
        <v>1702</v>
      </c>
      <c r="B4325">
        <v>365</v>
      </c>
      <c r="C4325" t="s">
        <v>7180</v>
      </c>
      <c r="D4325" t="s">
        <v>156</v>
      </c>
      <c r="E4325" s="13">
        <v>50</v>
      </c>
      <c r="F4325" s="12">
        <v>23.22</v>
      </c>
      <c r="G4325" t="str">
        <f>IFERROR(INDEX(tEditais[Órgão],MATCH(tItens[[#This Row],[Edital]],tEditais[Edital],0)),"")</f>
        <v>MUNICIPIO DE SAO JOSE DO RIO CLARO</v>
      </c>
      <c r="H4325" t="str">
        <f>IFERROR(INDEX(tEditais[UF],MATCH(tItens[[#This Row],[Edital]],tEditais[Edital],0)),"")</f>
        <v>MT</v>
      </c>
      <c r="I4325" s="11">
        <f>IFERROR(INDEX(tEditais[Encerramento],MATCH(tItens[[#This Row],[Edital]],tEditais[Edital],0)),"")</f>
        <v>46311.333333333336</v>
      </c>
      <c r="J4325" t="str">
        <f>IFERROR(INDEX(tProdutos[Classe],MATCH(tItens[[#This Row],[Produto]],tProdutos[Produto],0)),"produto não cadastrado")</f>
        <v>DISPUTADO</v>
      </c>
      <c r="K4325" s="12">
        <f>tItens[[#This Row],[Qtd]]*tItens[[#This Row],[Vlr unit]]</f>
        <v>1161</v>
      </c>
      <c r="L4325" s="6">
        <f>IFERROR(IF(INDEX(tProdutos[Desconto homologado],MATCH(tItens[[#This Row],[Produto]],tProdutos[Produto],0))="",DescontoPadrao,INDEX(tProdutos[Desconto homologado],MATCH(tItens[[#This Row],[Produto]],tProdutos[Produto],0))),DescontoPadrao)</f>
        <v>0.27131852489802799</v>
      </c>
      <c r="M4325" s="12">
        <f>tItens[[#This Row],[Valor]]*(1-tItens[[#This Row],[Desconto]])</f>
        <v>845.99919259338947</v>
      </c>
      <c r="N4325" t="str">
        <f>IFERROR(INDEX(tProdutos[Foco],MATCH(tItens[[#This Row],[Produto]],tProdutos[Produto],0)),"Não")</f>
        <v>Não</v>
      </c>
      <c r="O4325" t="str">
        <f>IFERROR(INDEX(tEditais[SRP],MATCH(tItens[[#This Row],[Edital]],tEditais[Edital],0)),"Não")</f>
        <v>Sim</v>
      </c>
      <c r="P4325" s="4">
        <f>IF(COUNTIFS(INDEX(tItens[Edital],1):tItens[[#This Row],[Edital]],tItens[[#This Row],[Edital]],INDEX(tItens[Produto],1):tItens[[#This Row],[Produto]],tItens[[#This Row],[Produto]])=1,1,0)</f>
        <v>1</v>
      </c>
    </row>
    <row r="4326" spans="1:16" x14ac:dyDescent="0.25">
      <c r="A4326" t="s">
        <v>1707</v>
      </c>
      <c r="B4326">
        <v>8075809</v>
      </c>
      <c r="C4326" t="s">
        <v>7181</v>
      </c>
      <c r="D4326" t="s">
        <v>411</v>
      </c>
      <c r="E4326" s="13">
        <v>500</v>
      </c>
      <c r="F4326" s="12">
        <v>4.5199999999999996</v>
      </c>
      <c r="G4326" t="str">
        <f>IFERROR(INDEX(tEditais[Órgão],MATCH(tItens[[#This Row],[Edital]],tEditais[Edital],0)),"")</f>
        <v>MUNICIPIO DE MIRASSOL D'OESTE</v>
      </c>
      <c r="H4326" t="str">
        <f>IFERROR(INDEX(tEditais[UF],MATCH(tItens[[#This Row],[Edital]],tEditais[Edital],0)),"")</f>
        <v>MT</v>
      </c>
      <c r="I4326" s="11">
        <f>IFERROR(INDEX(tEditais[Encerramento],MATCH(tItens[[#This Row],[Edital]],tEditais[Edital],0)),"")</f>
        <v>46311.375</v>
      </c>
      <c r="J4326" t="str">
        <f>IFERROR(INDEX(tProdutos[Classe],MATCH(tItens[[#This Row],[Produto]],tProdutos[Produto],0)),"produto não cadastrado")</f>
        <v>FORA</v>
      </c>
      <c r="K4326" s="12">
        <f>tItens[[#This Row],[Qtd]]*tItens[[#This Row],[Vlr unit]]</f>
        <v>2260</v>
      </c>
      <c r="L4326" s="6">
        <f>IFERROR(IF(INDEX(tProdutos[Desconto homologado],MATCH(tItens[[#This Row],[Produto]],tProdutos[Produto],0))="",DescontoPadrao,INDEX(tProdutos[Desconto homologado],MATCH(tItens[[#This Row],[Produto]],tProdutos[Produto],0))),DescontoPadrao)</f>
        <v>0.50029835957199398</v>
      </c>
      <c r="M4326" s="12">
        <f>tItens[[#This Row],[Valor]]*(1-tItens[[#This Row],[Desconto]])</f>
        <v>1129.3257073672937</v>
      </c>
      <c r="N4326" t="str">
        <f>IFERROR(INDEX(tProdutos[Foco],MATCH(tItens[[#This Row],[Produto]],tProdutos[Produto],0)),"Não")</f>
        <v>Não</v>
      </c>
      <c r="O4326" t="str">
        <f>IFERROR(INDEX(tEditais[SRP],MATCH(tItens[[#This Row],[Edital]],tEditais[Edital],0)),"Não")</f>
        <v>Sim</v>
      </c>
      <c r="P4326" s="4">
        <f>IF(COUNTIFS(INDEX(tItens[Edital],1):tItens[[#This Row],[Edital]],tItens[[#This Row],[Edital]],INDEX(tItens[Produto],1):tItens[[#This Row],[Produto]],tItens[[#This Row],[Produto]])=1,1,0)</f>
        <v>1</v>
      </c>
    </row>
    <row r="4327" spans="1:16" x14ac:dyDescent="0.25">
      <c r="A4327" t="s">
        <v>1711</v>
      </c>
      <c r="B4327">
        <v>8074980</v>
      </c>
      <c r="C4327" t="s">
        <v>7182</v>
      </c>
      <c r="D4327" t="s">
        <v>578</v>
      </c>
      <c r="E4327" s="13">
        <v>16</v>
      </c>
      <c r="F4327" s="12">
        <v>2573.67</v>
      </c>
      <c r="G4327" t="str">
        <f>IFERROR(INDEX(tEditais[Órgão],MATCH(tItens[[#This Row],[Edital]],tEditais[Edital],0)),"")</f>
        <v>MUNICIPIO DE TANGARA DA SERRA</v>
      </c>
      <c r="H4327" t="str">
        <f>IFERROR(INDEX(tEditais[UF],MATCH(tItens[[#This Row],[Edital]],tEditais[Edital],0)),"")</f>
        <v>MT</v>
      </c>
      <c r="I4327" s="11">
        <f>IFERROR(INDEX(tEditais[Encerramento],MATCH(tItens[[#This Row],[Edital]],tEditais[Edital],0)),"")</f>
        <v>46314.375</v>
      </c>
      <c r="J4327" t="str">
        <f>IFERROR(INDEX(tProdutos[Classe],MATCH(tItens[[#This Row],[Produto]],tProdutos[Produto],0)),"produto não cadastrado")</f>
        <v>FILA REBASE</v>
      </c>
      <c r="K4327" s="12">
        <f>tItens[[#This Row],[Qtd]]*tItens[[#This Row],[Vlr unit]]</f>
        <v>41178.720000000001</v>
      </c>
      <c r="L4327" s="6">
        <f>IFERROR(IF(INDEX(tProdutos[Desconto homologado],MATCH(tItens[[#This Row],[Produto]],tProdutos[Produto],0))="",DescontoPadrao,INDEX(tProdutos[Desconto homologado],MATCH(tItens[[#This Row],[Produto]],tProdutos[Produto],0))),DescontoPadrao)</f>
        <v>0.36014625228519198</v>
      </c>
      <c r="M4327" s="12">
        <f>tItens[[#This Row],[Valor]]*(1-tItens[[#This Row],[Desconto]])</f>
        <v>26348.358318098723</v>
      </c>
      <c r="N4327" t="str">
        <f>IFERROR(INDEX(tProdutos[Foco],MATCH(tItens[[#This Row],[Produto]],tProdutos[Produto],0)),"Não")</f>
        <v>Não</v>
      </c>
      <c r="O4327" t="str">
        <f>IFERROR(INDEX(tEditais[SRP],MATCH(tItens[[#This Row],[Edital]],tEditais[Edital],0)),"Não")</f>
        <v>Sim</v>
      </c>
      <c r="P4327" s="4">
        <f>IF(COUNTIFS(INDEX(tItens[Edital],1):tItens[[#This Row],[Edital]],tItens[[#This Row],[Edital]],INDEX(tItens[Produto],1):tItens[[#This Row],[Produto]],tItens[[#This Row],[Produto]])=1,1,0)</f>
        <v>1</v>
      </c>
    </row>
    <row r="4328" spans="1:16" x14ac:dyDescent="0.25">
      <c r="A4328" t="s">
        <v>1711</v>
      </c>
      <c r="B4328">
        <v>8074981</v>
      </c>
      <c r="C4328" t="s">
        <v>7183</v>
      </c>
      <c r="D4328" t="s">
        <v>578</v>
      </c>
      <c r="E4328" s="13">
        <v>13</v>
      </c>
      <c r="F4328" s="12">
        <v>2363.25</v>
      </c>
      <c r="G4328" t="str">
        <f>IFERROR(INDEX(tEditais[Órgão],MATCH(tItens[[#This Row],[Edital]],tEditais[Edital],0)),"")</f>
        <v>MUNICIPIO DE TANGARA DA SERRA</v>
      </c>
      <c r="H4328" t="str">
        <f>IFERROR(INDEX(tEditais[UF],MATCH(tItens[[#This Row],[Edital]],tEditais[Edital],0)),"")</f>
        <v>MT</v>
      </c>
      <c r="I4328" s="11">
        <f>IFERROR(INDEX(tEditais[Encerramento],MATCH(tItens[[#This Row],[Edital]],tEditais[Edital],0)),"")</f>
        <v>46314.375</v>
      </c>
      <c r="J4328" t="str">
        <f>IFERROR(INDEX(tProdutos[Classe],MATCH(tItens[[#This Row],[Produto]],tProdutos[Produto],0)),"produto não cadastrado")</f>
        <v>FILA REBASE</v>
      </c>
      <c r="K4328" s="12">
        <f>tItens[[#This Row],[Qtd]]*tItens[[#This Row],[Vlr unit]]</f>
        <v>30722.25</v>
      </c>
      <c r="L4328" s="6">
        <f>IFERROR(IF(INDEX(tProdutos[Desconto homologado],MATCH(tItens[[#This Row],[Produto]],tProdutos[Produto],0))="",DescontoPadrao,INDEX(tProdutos[Desconto homologado],MATCH(tItens[[#This Row],[Produto]],tProdutos[Produto],0))),DescontoPadrao)</f>
        <v>0.36014625228519198</v>
      </c>
      <c r="M4328" s="12">
        <f>tItens[[#This Row],[Valor]]*(1-tItens[[#This Row],[Desconto]])</f>
        <v>19657.746800731264</v>
      </c>
      <c r="N4328" t="str">
        <f>IFERROR(INDEX(tProdutos[Foco],MATCH(tItens[[#This Row],[Produto]],tProdutos[Produto],0)),"Não")</f>
        <v>Não</v>
      </c>
      <c r="O4328" t="str">
        <f>IFERROR(INDEX(tEditais[SRP],MATCH(tItens[[#This Row],[Edital]],tEditais[Edital],0)),"Não")</f>
        <v>Sim</v>
      </c>
      <c r="P4328" s="4">
        <f>IF(COUNTIFS(INDEX(tItens[Edital],1):tItens[[#This Row],[Edital]],tItens[[#This Row],[Edital]],INDEX(tItens[Produto],1):tItens[[#This Row],[Produto]],tItens[[#This Row],[Produto]])=1,1,0)</f>
        <v>0</v>
      </c>
    </row>
    <row r="4329" spans="1:16" x14ac:dyDescent="0.25">
      <c r="A4329" t="s">
        <v>1716</v>
      </c>
      <c r="B4329">
        <v>1</v>
      </c>
      <c r="C4329" t="s">
        <v>7184</v>
      </c>
      <c r="D4329" t="s">
        <v>201</v>
      </c>
      <c r="E4329" s="13">
        <v>1500</v>
      </c>
      <c r="F4329" s="12">
        <v>0</v>
      </c>
      <c r="G4329" t="str">
        <f>IFERROR(INDEX(tEditais[Órgão],MATCH(tItens[[#This Row],[Edital]],tEditais[Edital],0)),"")</f>
        <v>EMPRESA BRASILEIRA DE SERVICOS HOSPITALARES - EBSERH</v>
      </c>
      <c r="H4329" t="str">
        <f>IFERROR(INDEX(tEditais[UF],MATCH(tItens[[#This Row],[Edital]],tEditais[Edital],0)),"")</f>
        <v>PA</v>
      </c>
      <c r="I4329" s="11">
        <f>IFERROR(INDEX(tEditais[Encerramento],MATCH(tItens[[#This Row],[Edital]],tEditais[Edital],0)),"")</f>
        <v>46304.416666666664</v>
      </c>
      <c r="J4329" t="str">
        <f>IFERROR(INDEX(tProdutos[Classe],MATCH(tItens[[#This Row],[Produto]],tProdutos[Produto],0)),"produto não cadastrado")</f>
        <v>DISPUTADO</v>
      </c>
      <c r="K4329" s="12">
        <f>tItens[[#This Row],[Qtd]]*tItens[[#This Row],[Vlr unit]]</f>
        <v>0</v>
      </c>
      <c r="L4329" s="6">
        <f>IFERROR(IF(INDEX(tProdutos[Desconto homologado],MATCH(tItens[[#This Row],[Produto]],tProdutos[Produto],0))="",DescontoPadrao,INDEX(tProdutos[Desconto homologado],MATCH(tItens[[#This Row],[Produto]],tProdutos[Produto],0))),DescontoPadrao)</f>
        <v>0.27203065134099602</v>
      </c>
      <c r="M4329" s="12">
        <f>tItens[[#This Row],[Valor]]*(1-tItens[[#This Row],[Desconto]])</f>
        <v>0</v>
      </c>
      <c r="N4329" t="str">
        <f>IFERROR(INDEX(tProdutos[Foco],MATCH(tItens[[#This Row],[Produto]],tProdutos[Produto],0)),"Não")</f>
        <v>Não</v>
      </c>
      <c r="O4329" t="str">
        <f>IFERROR(INDEX(tEditais[SRP],MATCH(tItens[[#This Row],[Edital]],tEditais[Edital],0)),"Não")</f>
        <v>Não</v>
      </c>
      <c r="P4329" s="4">
        <f>IF(COUNTIFS(INDEX(tItens[Edital],1):tItens[[#This Row],[Edital]],tItens[[#This Row],[Edital]],INDEX(tItens[Produto],1):tItens[[#This Row],[Produto]],tItens[[#This Row],[Produto]])=1,1,0)</f>
        <v>1</v>
      </c>
    </row>
    <row r="4330" spans="1:16" x14ac:dyDescent="0.25">
      <c r="A4330" t="s">
        <v>1716</v>
      </c>
      <c r="B4330">
        <v>2</v>
      </c>
      <c r="C4330" t="s">
        <v>7185</v>
      </c>
      <c r="D4330" t="s">
        <v>201</v>
      </c>
      <c r="E4330" s="13">
        <v>1000</v>
      </c>
      <c r="F4330" s="12">
        <v>0</v>
      </c>
      <c r="G4330" t="str">
        <f>IFERROR(INDEX(tEditais[Órgão],MATCH(tItens[[#This Row],[Edital]],tEditais[Edital],0)),"")</f>
        <v>EMPRESA BRASILEIRA DE SERVICOS HOSPITALARES - EBSERH</v>
      </c>
      <c r="H4330" t="str">
        <f>IFERROR(INDEX(tEditais[UF],MATCH(tItens[[#This Row],[Edital]],tEditais[Edital],0)),"")</f>
        <v>PA</v>
      </c>
      <c r="I4330" s="11">
        <f>IFERROR(INDEX(tEditais[Encerramento],MATCH(tItens[[#This Row],[Edital]],tEditais[Edital],0)),"")</f>
        <v>46304.416666666664</v>
      </c>
      <c r="J4330" t="str">
        <f>IFERROR(INDEX(tProdutos[Classe],MATCH(tItens[[#This Row],[Produto]],tProdutos[Produto],0)),"produto não cadastrado")</f>
        <v>DISPUTADO</v>
      </c>
      <c r="K4330" s="12">
        <f>tItens[[#This Row],[Qtd]]*tItens[[#This Row],[Vlr unit]]</f>
        <v>0</v>
      </c>
      <c r="L4330" s="6">
        <f>IFERROR(IF(INDEX(tProdutos[Desconto homologado],MATCH(tItens[[#This Row],[Produto]],tProdutos[Produto],0))="",DescontoPadrao,INDEX(tProdutos[Desconto homologado],MATCH(tItens[[#This Row],[Produto]],tProdutos[Produto],0))),DescontoPadrao)</f>
        <v>0.27203065134099602</v>
      </c>
      <c r="M4330" s="12">
        <f>tItens[[#This Row],[Valor]]*(1-tItens[[#This Row],[Desconto]])</f>
        <v>0</v>
      </c>
      <c r="N4330" t="str">
        <f>IFERROR(INDEX(tProdutos[Foco],MATCH(tItens[[#This Row],[Produto]],tProdutos[Produto],0)),"Não")</f>
        <v>Não</v>
      </c>
      <c r="O4330" t="str">
        <f>IFERROR(INDEX(tEditais[SRP],MATCH(tItens[[#This Row],[Edital]],tEditais[Edital],0)),"Não")</f>
        <v>Não</v>
      </c>
      <c r="P4330" s="4">
        <f>IF(COUNTIFS(INDEX(tItens[Edital],1):tItens[[#This Row],[Edital]],tItens[[#This Row],[Edital]],INDEX(tItens[Produto],1):tItens[[#This Row],[Produto]],tItens[[#This Row],[Produto]])=1,1,0)</f>
        <v>0</v>
      </c>
    </row>
    <row r="4331" spans="1:16" x14ac:dyDescent="0.25">
      <c r="A4331" t="s">
        <v>1716</v>
      </c>
      <c r="B4331">
        <v>20</v>
      </c>
      <c r="C4331" t="s">
        <v>7186</v>
      </c>
      <c r="D4331" t="s">
        <v>371</v>
      </c>
      <c r="E4331" s="13">
        <v>31000</v>
      </c>
      <c r="F4331" s="12">
        <v>0</v>
      </c>
      <c r="G4331" t="str">
        <f>IFERROR(INDEX(tEditais[Órgão],MATCH(tItens[[#This Row],[Edital]],tEditais[Edital],0)),"")</f>
        <v>EMPRESA BRASILEIRA DE SERVICOS HOSPITALARES - EBSERH</v>
      </c>
      <c r="H4331" t="str">
        <f>IFERROR(INDEX(tEditais[UF],MATCH(tItens[[#This Row],[Edital]],tEditais[Edital],0)),"")</f>
        <v>PA</v>
      </c>
      <c r="I4331" s="11">
        <f>IFERROR(INDEX(tEditais[Encerramento],MATCH(tItens[[#This Row],[Edital]],tEditais[Edital],0)),"")</f>
        <v>46304.416666666664</v>
      </c>
      <c r="J4331" t="str">
        <f>IFERROR(INDEX(tProdutos[Classe],MATCH(tItens[[#This Row],[Produto]],tProdutos[Produto],0)),"produto não cadastrado")</f>
        <v>FORA</v>
      </c>
      <c r="K4331" s="12">
        <f>tItens[[#This Row],[Qtd]]*tItens[[#This Row],[Vlr unit]]</f>
        <v>0</v>
      </c>
      <c r="L4331" s="6">
        <f>IFERROR(IF(INDEX(tProdutos[Desconto homologado],MATCH(tItens[[#This Row],[Produto]],tProdutos[Produto],0))="",DescontoPadrao,INDEX(tProdutos[Desconto homologado],MATCH(tItens[[#This Row],[Produto]],tProdutos[Produto],0))),DescontoPadrao)</f>
        <v>0.217826086956522</v>
      </c>
      <c r="M4331" s="12">
        <f>tItens[[#This Row],[Valor]]*(1-tItens[[#This Row],[Desconto]])</f>
        <v>0</v>
      </c>
      <c r="N4331" t="str">
        <f>IFERROR(INDEX(tProdutos[Foco],MATCH(tItens[[#This Row],[Produto]],tProdutos[Produto],0)),"Não")</f>
        <v>Não</v>
      </c>
      <c r="O4331" t="str">
        <f>IFERROR(INDEX(tEditais[SRP],MATCH(tItens[[#This Row],[Edital]],tEditais[Edital],0)),"Não")</f>
        <v>Não</v>
      </c>
      <c r="P4331" s="4">
        <f>IF(COUNTIFS(INDEX(tItens[Edital],1):tItens[[#This Row],[Edital]],tItens[[#This Row],[Edital]],INDEX(tItens[Produto],1):tItens[[#This Row],[Produto]],tItens[[#This Row],[Produto]])=1,1,0)</f>
        <v>1</v>
      </c>
    </row>
    <row r="4332" spans="1:16" x14ac:dyDescent="0.25">
      <c r="A4332" t="s">
        <v>1716</v>
      </c>
      <c r="B4332">
        <v>22</v>
      </c>
      <c r="C4332" t="s">
        <v>7187</v>
      </c>
      <c r="D4332" t="s">
        <v>279</v>
      </c>
      <c r="E4332" s="13">
        <v>30000</v>
      </c>
      <c r="F4332" s="12">
        <v>0</v>
      </c>
      <c r="G4332" t="str">
        <f>IFERROR(INDEX(tEditais[Órgão],MATCH(tItens[[#This Row],[Edital]],tEditais[Edital],0)),"")</f>
        <v>EMPRESA BRASILEIRA DE SERVICOS HOSPITALARES - EBSERH</v>
      </c>
      <c r="H4332" t="str">
        <f>IFERROR(INDEX(tEditais[UF],MATCH(tItens[[#This Row],[Edital]],tEditais[Edital],0)),"")</f>
        <v>PA</v>
      </c>
      <c r="I4332" s="11">
        <f>IFERROR(INDEX(tEditais[Encerramento],MATCH(tItens[[#This Row],[Edital]],tEditais[Edital],0)),"")</f>
        <v>46304.416666666664</v>
      </c>
      <c r="J4332" t="str">
        <f>IFERROR(INDEX(tProdutos[Classe],MATCH(tItens[[#This Row],[Produto]],tProdutos[Produto],0)),"produto não cadastrado")</f>
        <v>FORA</v>
      </c>
      <c r="K4332" s="12">
        <f>tItens[[#This Row],[Qtd]]*tItens[[#This Row],[Vlr unit]]</f>
        <v>0</v>
      </c>
      <c r="L4332" s="6">
        <f>IFERROR(IF(INDEX(tProdutos[Desconto homologado],MATCH(tItens[[#This Row],[Produto]],tProdutos[Produto],0))="",DescontoPadrao,INDEX(tProdutos[Desconto homologado],MATCH(tItens[[#This Row],[Produto]],tProdutos[Produto],0))),DescontoPadrao)</f>
        <v>0.28909090909090901</v>
      </c>
      <c r="M4332" s="12">
        <f>tItens[[#This Row],[Valor]]*(1-tItens[[#This Row],[Desconto]])</f>
        <v>0</v>
      </c>
      <c r="N4332" t="str">
        <f>IFERROR(INDEX(tProdutos[Foco],MATCH(tItens[[#This Row],[Produto]],tProdutos[Produto],0)),"Não")</f>
        <v>Não</v>
      </c>
      <c r="O4332" t="str">
        <f>IFERROR(INDEX(tEditais[SRP],MATCH(tItens[[#This Row],[Edital]],tEditais[Edital],0)),"Não")</f>
        <v>Não</v>
      </c>
      <c r="P4332" s="4">
        <f>IF(COUNTIFS(INDEX(tItens[Edital],1):tItens[[#This Row],[Edital]],tItens[[#This Row],[Edital]],INDEX(tItens[Produto],1):tItens[[#This Row],[Produto]],tItens[[#This Row],[Produto]])=1,1,0)</f>
        <v>1</v>
      </c>
    </row>
    <row r="4333" spans="1:16" x14ac:dyDescent="0.25">
      <c r="A4333" t="s">
        <v>1721</v>
      </c>
      <c r="B4333">
        <v>9</v>
      </c>
      <c r="C4333" t="s">
        <v>7188</v>
      </c>
      <c r="D4333" t="s">
        <v>156</v>
      </c>
      <c r="E4333" s="13">
        <v>50</v>
      </c>
      <c r="F4333" s="12">
        <v>182.34</v>
      </c>
      <c r="G4333" t="str">
        <f>IFERROR(INDEX(tEditais[Órgão],MATCH(tItens[[#This Row],[Edital]],tEditais[Edital],0)),"")</f>
        <v>MUNICIPIO DE SANTANA DO ARAGUAIA</v>
      </c>
      <c r="H4333" t="str">
        <f>IFERROR(INDEX(tEditais[UF],MATCH(tItens[[#This Row],[Edital]],tEditais[Edital],0)),"")</f>
        <v>PA</v>
      </c>
      <c r="I4333" s="11">
        <f>IFERROR(INDEX(tEditais[Encerramento],MATCH(tItens[[#This Row],[Edital]],tEditais[Edital],0)),"")</f>
        <v>46308.333333333336</v>
      </c>
      <c r="J4333" t="str">
        <f>IFERROR(INDEX(tProdutos[Classe],MATCH(tItens[[#This Row],[Produto]],tProdutos[Produto],0)),"produto não cadastrado")</f>
        <v>DISPUTADO</v>
      </c>
      <c r="K4333" s="12">
        <f>tItens[[#This Row],[Qtd]]*tItens[[#This Row],[Vlr unit]]</f>
        <v>9117</v>
      </c>
      <c r="L4333" s="6">
        <f>IFERROR(IF(INDEX(tProdutos[Desconto homologado],MATCH(tItens[[#This Row],[Produto]],tProdutos[Produto],0))="",DescontoPadrao,INDEX(tProdutos[Desconto homologado],MATCH(tItens[[#This Row],[Produto]],tProdutos[Produto],0))),DescontoPadrao)</f>
        <v>0.27131852489802799</v>
      </c>
      <c r="M4333" s="12">
        <f>tItens[[#This Row],[Valor]]*(1-tItens[[#This Row],[Desconto]])</f>
        <v>6643.3890085046787</v>
      </c>
      <c r="N4333" t="str">
        <f>IFERROR(INDEX(tProdutos[Foco],MATCH(tItens[[#This Row],[Produto]],tProdutos[Produto],0)),"Não")</f>
        <v>Não</v>
      </c>
      <c r="O4333" t="str">
        <f>IFERROR(INDEX(tEditais[SRP],MATCH(tItens[[#This Row],[Edital]],tEditais[Edital],0)),"Não")</f>
        <v>Sim</v>
      </c>
      <c r="P4333" s="4">
        <f>IF(COUNTIFS(INDEX(tItens[Edital],1):tItens[[#This Row],[Edital]],tItens[[#This Row],[Edital]],INDEX(tItens[Produto],1):tItens[[#This Row],[Produto]],tItens[[#This Row],[Produto]])=1,1,0)</f>
        <v>1</v>
      </c>
    </row>
    <row r="4334" spans="1:16" x14ac:dyDescent="0.25">
      <c r="A4334" t="s">
        <v>1726</v>
      </c>
      <c r="B4334">
        <v>8</v>
      </c>
      <c r="C4334" t="s">
        <v>7189</v>
      </c>
      <c r="D4334" t="s">
        <v>156</v>
      </c>
      <c r="E4334" s="13">
        <v>12</v>
      </c>
      <c r="F4334" s="12">
        <v>0</v>
      </c>
      <c r="G4334" t="str">
        <f>IFERROR(INDEX(tEditais[Órgão],MATCH(tItens[[#This Row],[Edital]],tEditais[Edital],0)),"")</f>
        <v>MUNICIPIO DE ABEL FIGUEIREDO</v>
      </c>
      <c r="H4334" t="str">
        <f>IFERROR(INDEX(tEditais[UF],MATCH(tItens[[#This Row],[Edital]],tEditais[Edital],0)),"")</f>
        <v>PA</v>
      </c>
      <c r="I4334" s="11">
        <f>IFERROR(INDEX(tEditais[Encerramento],MATCH(tItens[[#This Row],[Edital]],tEditais[Edital],0)),"")</f>
        <v>46308.374305555553</v>
      </c>
      <c r="J4334" t="str">
        <f>IFERROR(INDEX(tProdutos[Classe],MATCH(tItens[[#This Row],[Produto]],tProdutos[Produto],0)),"produto não cadastrado")</f>
        <v>DISPUTADO</v>
      </c>
      <c r="K4334" s="12">
        <f>tItens[[#This Row],[Qtd]]*tItens[[#This Row],[Vlr unit]]</f>
        <v>0</v>
      </c>
      <c r="L4334" s="6">
        <f>IFERROR(IF(INDEX(tProdutos[Desconto homologado],MATCH(tItens[[#This Row],[Produto]],tProdutos[Produto],0))="",DescontoPadrao,INDEX(tProdutos[Desconto homologado],MATCH(tItens[[#This Row],[Produto]],tProdutos[Produto],0))),DescontoPadrao)</f>
        <v>0.27131852489802799</v>
      </c>
      <c r="M4334" s="12">
        <f>tItens[[#This Row],[Valor]]*(1-tItens[[#This Row],[Desconto]])</f>
        <v>0</v>
      </c>
      <c r="N4334" t="str">
        <f>IFERROR(INDEX(tProdutos[Foco],MATCH(tItens[[#This Row],[Produto]],tProdutos[Produto],0)),"Não")</f>
        <v>Não</v>
      </c>
      <c r="O4334" t="str">
        <f>IFERROR(INDEX(tEditais[SRP],MATCH(tItens[[#This Row],[Edital]],tEditais[Edital],0)),"Não")</f>
        <v>Não</v>
      </c>
      <c r="P4334" s="4">
        <f>IF(COUNTIFS(INDEX(tItens[Edital],1):tItens[[#This Row],[Edital]],tItens[[#This Row],[Edital]],INDEX(tItens[Produto],1):tItens[[#This Row],[Produto]],tItens[[#This Row],[Produto]])=1,1,0)</f>
        <v>1</v>
      </c>
    </row>
    <row r="4335" spans="1:16" x14ac:dyDescent="0.25">
      <c r="A4335" t="s">
        <v>1731</v>
      </c>
      <c r="B4335">
        <v>12</v>
      </c>
      <c r="C4335" t="s">
        <v>7190</v>
      </c>
      <c r="D4335" t="s">
        <v>315</v>
      </c>
      <c r="E4335" s="13">
        <v>50</v>
      </c>
      <c r="F4335" s="12">
        <v>0.25</v>
      </c>
      <c r="G4335" t="str">
        <f>IFERROR(INDEX(tEditais[Órgão],MATCH(tItens[[#This Row],[Edital]],tEditais[Edital],0)),"")</f>
        <v>MUNICIPIO DE MARABA</v>
      </c>
      <c r="H4335" t="str">
        <f>IFERROR(INDEX(tEditais[UF],MATCH(tItens[[#This Row],[Edital]],tEditais[Edital],0)),"")</f>
        <v>PA</v>
      </c>
      <c r="I4335" s="11">
        <f>IFERROR(INDEX(tEditais[Encerramento],MATCH(tItens[[#This Row],[Edital]],tEditais[Edital],0)),"")</f>
        <v>46308.375</v>
      </c>
      <c r="J4335" t="str">
        <f>IFERROR(INDEX(tProdutos[Classe],MATCH(tItens[[#This Row],[Produto]],tProdutos[Produto],0)),"produto não cadastrado")</f>
        <v>FORA</v>
      </c>
      <c r="K4335" s="12">
        <f>tItens[[#This Row],[Qtd]]*tItens[[#This Row],[Vlr unit]]</f>
        <v>12.5</v>
      </c>
      <c r="L4335" s="6">
        <f>IFERROR(IF(INDEX(tProdutos[Desconto homologado],MATCH(tItens[[#This Row],[Produto]],tProdutos[Produto],0))="",DescontoPadrao,INDEX(tProdutos[Desconto homologado],MATCH(tItens[[#This Row],[Produto]],tProdutos[Produto],0))),DescontoPadrao)</f>
        <v>0.38432036097010702</v>
      </c>
      <c r="M4335" s="12">
        <f>tItens[[#This Row],[Valor]]*(1-tItens[[#This Row],[Desconto]])</f>
        <v>7.6959954878736623</v>
      </c>
      <c r="N4335" t="str">
        <f>IFERROR(INDEX(tProdutos[Foco],MATCH(tItens[[#This Row],[Produto]],tProdutos[Produto],0)),"Não")</f>
        <v>Não</v>
      </c>
      <c r="O4335" t="str">
        <f>IFERROR(INDEX(tEditais[SRP],MATCH(tItens[[#This Row],[Edital]],tEditais[Edital],0)),"Não")</f>
        <v>Não</v>
      </c>
      <c r="P4335" s="4">
        <f>IF(COUNTIFS(INDEX(tItens[Edital],1):tItens[[#This Row],[Edital]],tItens[[#This Row],[Edital]],INDEX(tItens[Produto],1):tItens[[#This Row],[Produto]],tItens[[#This Row],[Produto]])=1,1,0)</f>
        <v>1</v>
      </c>
    </row>
    <row r="4336" spans="1:16" x14ac:dyDescent="0.25">
      <c r="A4336" t="s">
        <v>1736</v>
      </c>
      <c r="B4336">
        <v>1</v>
      </c>
      <c r="C4336" t="s">
        <v>7191</v>
      </c>
      <c r="D4336" t="s">
        <v>315</v>
      </c>
      <c r="E4336" s="13">
        <v>22000</v>
      </c>
      <c r="F4336" s="12">
        <v>0.32</v>
      </c>
      <c r="G4336" t="str">
        <f>IFERROR(INDEX(tEditais[Órgão],MATCH(tItens[[#This Row],[Edital]],tEditais[Edital],0)),"")</f>
        <v>CENTRO DE HEMOTERAPIA E HEMATOLOGIA DO PARA</v>
      </c>
      <c r="H4336" t="str">
        <f>IFERROR(INDEX(tEditais[UF],MATCH(tItens[[#This Row],[Edital]],tEditais[Edital],0)),"")</f>
        <v>PA</v>
      </c>
      <c r="I4336" s="11">
        <f>IFERROR(INDEX(tEditais[Encerramento],MATCH(tItens[[#This Row],[Edital]],tEditais[Edital],0)),"")</f>
        <v>46309.5</v>
      </c>
      <c r="J4336" t="str">
        <f>IFERROR(INDEX(tProdutos[Classe],MATCH(tItens[[#This Row],[Produto]],tProdutos[Produto],0)),"produto não cadastrado")</f>
        <v>FORA</v>
      </c>
      <c r="K4336" s="12">
        <f>tItens[[#This Row],[Qtd]]*tItens[[#This Row],[Vlr unit]]</f>
        <v>7040</v>
      </c>
      <c r="L4336" s="6">
        <f>IFERROR(IF(INDEX(tProdutos[Desconto homologado],MATCH(tItens[[#This Row],[Produto]],tProdutos[Produto],0))="",DescontoPadrao,INDEX(tProdutos[Desconto homologado],MATCH(tItens[[#This Row],[Produto]],tProdutos[Produto],0))),DescontoPadrao)</f>
        <v>0.38432036097010702</v>
      </c>
      <c r="M4336" s="12">
        <f>tItens[[#This Row],[Valor]]*(1-tItens[[#This Row],[Desconto]])</f>
        <v>4334.3846587704465</v>
      </c>
      <c r="N4336" t="str">
        <f>IFERROR(INDEX(tProdutos[Foco],MATCH(tItens[[#This Row],[Produto]],tProdutos[Produto],0)),"Não")</f>
        <v>Não</v>
      </c>
      <c r="O4336" t="str">
        <f>IFERROR(INDEX(tEditais[SRP],MATCH(tItens[[#This Row],[Edital]],tEditais[Edital],0)),"Não")</f>
        <v>Não</v>
      </c>
      <c r="P4336" s="4">
        <f>IF(COUNTIFS(INDEX(tItens[Edital],1):tItens[[#This Row],[Edital]],tItens[[#This Row],[Edital]],INDEX(tItens[Produto],1):tItens[[#This Row],[Produto]],tItens[[#This Row],[Produto]])=1,1,0)</f>
        <v>1</v>
      </c>
    </row>
    <row r="4337" spans="1:16" x14ac:dyDescent="0.25">
      <c r="A4337" t="s">
        <v>1736</v>
      </c>
      <c r="B4337">
        <v>2</v>
      </c>
      <c r="C4337" t="s">
        <v>7192</v>
      </c>
      <c r="D4337" t="s">
        <v>315</v>
      </c>
      <c r="E4337" s="13">
        <v>244</v>
      </c>
      <c r="F4337" s="12">
        <v>0.56999999999999995</v>
      </c>
      <c r="G4337" t="str">
        <f>IFERROR(INDEX(tEditais[Órgão],MATCH(tItens[[#This Row],[Edital]],tEditais[Edital],0)),"")</f>
        <v>CENTRO DE HEMOTERAPIA E HEMATOLOGIA DO PARA</v>
      </c>
      <c r="H4337" t="str">
        <f>IFERROR(INDEX(tEditais[UF],MATCH(tItens[[#This Row],[Edital]],tEditais[Edital],0)),"")</f>
        <v>PA</v>
      </c>
      <c r="I4337" s="11">
        <f>IFERROR(INDEX(tEditais[Encerramento],MATCH(tItens[[#This Row],[Edital]],tEditais[Edital],0)),"")</f>
        <v>46309.5</v>
      </c>
      <c r="J4337" t="str">
        <f>IFERROR(INDEX(tProdutos[Classe],MATCH(tItens[[#This Row],[Produto]],tProdutos[Produto],0)),"produto não cadastrado")</f>
        <v>FORA</v>
      </c>
      <c r="K4337" s="12">
        <f>tItens[[#This Row],[Qtd]]*tItens[[#This Row],[Vlr unit]]</f>
        <v>139.07999999999998</v>
      </c>
      <c r="L4337" s="6">
        <f>IFERROR(IF(INDEX(tProdutos[Desconto homologado],MATCH(tItens[[#This Row],[Produto]],tProdutos[Produto],0))="",DescontoPadrao,INDEX(tProdutos[Desconto homologado],MATCH(tItens[[#This Row],[Produto]],tProdutos[Produto],0))),DescontoPadrao)</f>
        <v>0.38432036097010702</v>
      </c>
      <c r="M4337" s="12">
        <f>tItens[[#This Row],[Valor]]*(1-tItens[[#This Row],[Desconto]])</f>
        <v>85.628724196277503</v>
      </c>
      <c r="N4337" t="str">
        <f>IFERROR(INDEX(tProdutos[Foco],MATCH(tItens[[#This Row],[Produto]],tProdutos[Produto],0)),"Não")</f>
        <v>Não</v>
      </c>
      <c r="O4337" t="str">
        <f>IFERROR(INDEX(tEditais[SRP],MATCH(tItens[[#This Row],[Edital]],tEditais[Edital],0)),"Não")</f>
        <v>Não</v>
      </c>
      <c r="P4337" s="4">
        <f>IF(COUNTIFS(INDEX(tItens[Edital],1):tItens[[#This Row],[Edital]],tItens[[#This Row],[Edital]],INDEX(tItens[Produto],1):tItens[[#This Row],[Produto]],tItens[[#This Row],[Produto]])=1,1,0)</f>
        <v>0</v>
      </c>
    </row>
    <row r="4338" spans="1:16" x14ac:dyDescent="0.25">
      <c r="A4338" t="s">
        <v>1736</v>
      </c>
      <c r="B4338">
        <v>3</v>
      </c>
      <c r="C4338" t="s">
        <v>7193</v>
      </c>
      <c r="D4338" t="s">
        <v>275</v>
      </c>
      <c r="E4338" s="13">
        <v>4500</v>
      </c>
      <c r="F4338" s="12">
        <v>0.49</v>
      </c>
      <c r="G4338" t="str">
        <f>IFERROR(INDEX(tEditais[Órgão],MATCH(tItens[[#This Row],[Edital]],tEditais[Edital],0)),"")</f>
        <v>CENTRO DE HEMOTERAPIA E HEMATOLOGIA DO PARA</v>
      </c>
      <c r="H4338" t="str">
        <f>IFERROR(INDEX(tEditais[UF],MATCH(tItens[[#This Row],[Edital]],tEditais[Edital],0)),"")</f>
        <v>PA</v>
      </c>
      <c r="I4338" s="11">
        <f>IFERROR(INDEX(tEditais[Encerramento],MATCH(tItens[[#This Row],[Edital]],tEditais[Edital],0)),"")</f>
        <v>46309.5</v>
      </c>
      <c r="J4338" t="str">
        <f>IFERROR(INDEX(tProdutos[Classe],MATCH(tItens[[#This Row],[Produto]],tProdutos[Produto],0)),"produto não cadastrado")</f>
        <v>FORA</v>
      </c>
      <c r="K4338" s="12">
        <f>tItens[[#This Row],[Qtd]]*tItens[[#This Row],[Vlr unit]]</f>
        <v>2205</v>
      </c>
      <c r="L4338" s="6">
        <f>IFERROR(IF(INDEX(tProdutos[Desconto homologado],MATCH(tItens[[#This Row],[Produto]],tProdutos[Produto],0))="",DescontoPadrao,INDEX(tProdutos[Desconto homologado],MATCH(tItens[[#This Row],[Produto]],tProdutos[Produto],0))),DescontoPadrao)</f>
        <v>0.405797101449275</v>
      </c>
      <c r="M4338" s="12">
        <f>tItens[[#This Row],[Valor]]*(1-tItens[[#This Row],[Desconto]])</f>
        <v>1310.2173913043487</v>
      </c>
      <c r="N4338" t="str">
        <f>IFERROR(INDEX(tProdutos[Foco],MATCH(tItens[[#This Row],[Produto]],tProdutos[Produto],0)),"Não")</f>
        <v>Não</v>
      </c>
      <c r="O4338" t="str">
        <f>IFERROR(INDEX(tEditais[SRP],MATCH(tItens[[#This Row],[Edital]],tEditais[Edital],0)),"Não")</f>
        <v>Não</v>
      </c>
      <c r="P4338" s="4">
        <f>IF(COUNTIFS(INDEX(tItens[Edital],1):tItens[[#This Row],[Edital]],tItens[[#This Row],[Edital]],INDEX(tItens[Produto],1):tItens[[#This Row],[Produto]],tItens[[#This Row],[Produto]])=1,1,0)</f>
        <v>1</v>
      </c>
    </row>
    <row r="4339" spans="1:16" x14ac:dyDescent="0.25">
      <c r="A4339" t="s">
        <v>1736</v>
      </c>
      <c r="B4339">
        <v>6</v>
      </c>
      <c r="C4339" t="s">
        <v>7194</v>
      </c>
      <c r="D4339" t="s">
        <v>333</v>
      </c>
      <c r="E4339" s="13">
        <v>2214</v>
      </c>
      <c r="F4339" s="12">
        <v>1.19</v>
      </c>
      <c r="G4339" t="str">
        <f>IFERROR(INDEX(tEditais[Órgão],MATCH(tItens[[#This Row],[Edital]],tEditais[Edital],0)),"")</f>
        <v>CENTRO DE HEMOTERAPIA E HEMATOLOGIA DO PARA</v>
      </c>
      <c r="H4339" t="str">
        <f>IFERROR(INDEX(tEditais[UF],MATCH(tItens[[#This Row],[Edital]],tEditais[Edital],0)),"")</f>
        <v>PA</v>
      </c>
      <c r="I4339" s="11">
        <f>IFERROR(INDEX(tEditais[Encerramento],MATCH(tItens[[#This Row],[Edital]],tEditais[Edital],0)),"")</f>
        <v>46309.5</v>
      </c>
      <c r="J4339" t="str">
        <f>IFERROR(INDEX(tProdutos[Classe],MATCH(tItens[[#This Row],[Produto]],tProdutos[Produto],0)),"produto não cadastrado")</f>
        <v>FORA</v>
      </c>
      <c r="K4339" s="12">
        <f>tItens[[#This Row],[Qtd]]*tItens[[#This Row],[Vlr unit]]</f>
        <v>2634.66</v>
      </c>
      <c r="L4339" s="6">
        <f>IFERROR(IF(INDEX(tProdutos[Desconto homologado],MATCH(tItens[[#This Row],[Produto]],tProdutos[Produto],0))="",DescontoPadrao,INDEX(tProdutos[Desconto homologado],MATCH(tItens[[#This Row],[Produto]],tProdutos[Produto],0))),DescontoPadrao)</f>
        <v>0.48951048951048998</v>
      </c>
      <c r="M4339" s="12">
        <f>tItens[[#This Row],[Valor]]*(1-tItens[[#This Row],[Desconto]])</f>
        <v>1344.9662937062922</v>
      </c>
      <c r="N4339" t="str">
        <f>IFERROR(INDEX(tProdutos[Foco],MATCH(tItens[[#This Row],[Produto]],tProdutos[Produto],0)),"Não")</f>
        <v>Não</v>
      </c>
      <c r="O4339" t="str">
        <f>IFERROR(INDEX(tEditais[SRP],MATCH(tItens[[#This Row],[Edital]],tEditais[Edital],0)),"Não")</f>
        <v>Não</v>
      </c>
      <c r="P4339" s="4">
        <f>IF(COUNTIFS(INDEX(tItens[Edital],1):tItens[[#This Row],[Edital]],tItens[[#This Row],[Edital]],INDEX(tItens[Produto],1):tItens[[#This Row],[Produto]],tItens[[#This Row],[Produto]])=1,1,0)</f>
        <v>1</v>
      </c>
    </row>
    <row r="4340" spans="1:16" x14ac:dyDescent="0.25">
      <c r="A4340" t="s">
        <v>1739</v>
      </c>
      <c r="B4340">
        <v>41</v>
      </c>
      <c r="C4340" t="s">
        <v>7195</v>
      </c>
      <c r="D4340" t="s">
        <v>311</v>
      </c>
      <c r="E4340" s="13">
        <v>20</v>
      </c>
      <c r="F4340" s="12">
        <v>45.42</v>
      </c>
      <c r="G4340" t="str">
        <f>IFERROR(INDEX(tEditais[Órgão],MATCH(tItens[[#This Row],[Edital]],tEditais[Edital],0)),"")</f>
        <v>FUNDO MUNICIPAL DE SAUDE</v>
      </c>
      <c r="H4340" t="str">
        <f>IFERROR(INDEX(tEditais[UF],MATCH(tItens[[#This Row],[Edital]],tEditais[Edital],0)),"")</f>
        <v>PA</v>
      </c>
      <c r="I4340" s="11">
        <f>IFERROR(INDEX(tEditais[Encerramento],MATCH(tItens[[#This Row],[Edital]],tEditais[Edital],0)),"")</f>
        <v>46310.364583333336</v>
      </c>
      <c r="J4340" t="str">
        <f>IFERROR(INDEX(tProdutos[Classe],MATCH(tItens[[#This Row],[Produto]],tProdutos[Produto],0)),"produto não cadastrado")</f>
        <v>FORA</v>
      </c>
      <c r="K4340" s="12">
        <f>tItens[[#This Row],[Qtd]]*tItens[[#This Row],[Vlr unit]]</f>
        <v>908.40000000000009</v>
      </c>
      <c r="L4340" s="6">
        <f>IFERROR(IF(INDEX(tProdutos[Desconto homologado],MATCH(tItens[[#This Row],[Produto]],tProdutos[Produto],0))="",DescontoPadrao,INDEX(tProdutos[Desconto homologado],MATCH(tItens[[#This Row],[Produto]],tProdutos[Produto],0))),DescontoPadrao)</f>
        <v>0.29046182846371399</v>
      </c>
      <c r="M4340" s="12">
        <f>tItens[[#This Row],[Valor]]*(1-tItens[[#This Row],[Desconto]])</f>
        <v>644.54447502356231</v>
      </c>
      <c r="N4340" t="str">
        <f>IFERROR(INDEX(tProdutos[Foco],MATCH(tItens[[#This Row],[Produto]],tProdutos[Produto],0)),"Não")</f>
        <v>Não</v>
      </c>
      <c r="O4340" t="str">
        <f>IFERROR(INDEX(tEditais[SRP],MATCH(tItens[[#This Row],[Edital]],tEditais[Edital],0)),"Não")</f>
        <v>Sim</v>
      </c>
      <c r="P4340" s="4">
        <f>IF(COUNTIFS(INDEX(tItens[Edital],1):tItens[[#This Row],[Edital]],tItens[[#This Row],[Edital]],INDEX(tItens[Produto],1):tItens[[#This Row],[Produto]],tItens[[#This Row],[Produto]])=1,1,0)</f>
        <v>1</v>
      </c>
    </row>
    <row r="4341" spans="1:16" x14ac:dyDescent="0.25">
      <c r="A4341" t="s">
        <v>1739</v>
      </c>
      <c r="B4341">
        <v>49</v>
      </c>
      <c r="C4341" t="s">
        <v>7196</v>
      </c>
      <c r="D4341" t="s">
        <v>641</v>
      </c>
      <c r="E4341" s="13">
        <v>103</v>
      </c>
      <c r="F4341" s="12">
        <v>74.97</v>
      </c>
      <c r="G4341" t="str">
        <f>IFERROR(INDEX(tEditais[Órgão],MATCH(tItens[[#This Row],[Edital]],tEditais[Edital],0)),"")</f>
        <v>FUNDO MUNICIPAL DE SAUDE</v>
      </c>
      <c r="H4341" t="str">
        <f>IFERROR(INDEX(tEditais[UF],MATCH(tItens[[#This Row],[Edital]],tEditais[Edital],0)),"")</f>
        <v>PA</v>
      </c>
      <c r="I4341" s="11">
        <f>IFERROR(INDEX(tEditais[Encerramento],MATCH(tItens[[#This Row],[Edital]],tEditais[Edital],0)),"")</f>
        <v>46310.364583333336</v>
      </c>
      <c r="J4341" t="str">
        <f>IFERROR(INDEX(tProdutos[Classe],MATCH(tItens[[#This Row],[Produto]],tProdutos[Produto],0)),"produto não cadastrado")</f>
        <v>FILA REBASE</v>
      </c>
      <c r="K4341" s="12">
        <f>tItens[[#This Row],[Qtd]]*tItens[[#This Row],[Vlr unit]]</f>
        <v>7721.91</v>
      </c>
      <c r="L4341" s="6">
        <f>IFERROR(IF(INDEX(tProdutos[Desconto homologado],MATCH(tItens[[#This Row],[Produto]],tProdutos[Produto],0))="",DescontoPadrao,INDEX(tProdutos[Desconto homologado],MATCH(tItens[[#This Row],[Produto]],tProdutos[Produto],0))),DescontoPadrao)</f>
        <v>0.3</v>
      </c>
      <c r="M4341" s="12">
        <f>tItens[[#This Row],[Valor]]*(1-tItens[[#This Row],[Desconto]])</f>
        <v>5405.3369999999995</v>
      </c>
      <c r="N4341" t="str">
        <f>IFERROR(INDEX(tProdutos[Foco],MATCH(tItens[[#This Row],[Produto]],tProdutos[Produto],0)),"Não")</f>
        <v>Não</v>
      </c>
      <c r="O4341" t="str">
        <f>IFERROR(INDEX(tEditais[SRP],MATCH(tItens[[#This Row],[Edital]],tEditais[Edital],0)),"Não")</f>
        <v>Sim</v>
      </c>
      <c r="P4341" s="4">
        <f>IF(COUNTIFS(INDEX(tItens[Edital],1):tItens[[#This Row],[Edital]],tItens[[#This Row],[Edital]],INDEX(tItens[Produto],1):tItens[[#This Row],[Produto]],tItens[[#This Row],[Produto]])=1,1,0)</f>
        <v>1</v>
      </c>
    </row>
    <row r="4342" spans="1:16" x14ac:dyDescent="0.25">
      <c r="A4342" t="s">
        <v>1739</v>
      </c>
      <c r="B4342">
        <v>126</v>
      </c>
      <c r="C4342" t="s">
        <v>7197</v>
      </c>
      <c r="D4342" t="s">
        <v>518</v>
      </c>
      <c r="E4342" s="13">
        <v>53</v>
      </c>
      <c r="F4342" s="12">
        <v>104.69</v>
      </c>
      <c r="G4342" t="str">
        <f>IFERROR(INDEX(tEditais[Órgão],MATCH(tItens[[#This Row],[Edital]],tEditais[Edital],0)),"")</f>
        <v>FUNDO MUNICIPAL DE SAUDE</v>
      </c>
      <c r="H4342" t="str">
        <f>IFERROR(INDEX(tEditais[UF],MATCH(tItens[[#This Row],[Edital]],tEditais[Edital],0)),"")</f>
        <v>PA</v>
      </c>
      <c r="I4342" s="11">
        <f>IFERROR(INDEX(tEditais[Encerramento],MATCH(tItens[[#This Row],[Edital]],tEditais[Edital],0)),"")</f>
        <v>46310.364583333336</v>
      </c>
      <c r="J4342" t="str">
        <f>IFERROR(INDEX(tProdutos[Classe],MATCH(tItens[[#This Row],[Produto]],tProdutos[Produto],0)),"produto não cadastrado")</f>
        <v>FILA REBASE</v>
      </c>
      <c r="K4342" s="12">
        <f>tItens[[#This Row],[Qtd]]*tItens[[#This Row],[Vlr unit]]</f>
        <v>5548.57</v>
      </c>
      <c r="L4342" s="6">
        <f>IFERROR(IF(INDEX(tProdutos[Desconto homologado],MATCH(tItens[[#This Row],[Produto]],tProdutos[Produto],0))="",DescontoPadrao,INDEX(tProdutos[Desconto homologado],MATCH(tItens[[#This Row],[Produto]],tProdutos[Produto],0))),DescontoPadrao)</f>
        <v>0.37028924906606597</v>
      </c>
      <c r="M4342" s="12">
        <f>tItens[[#This Row],[Valor]]*(1-tItens[[#This Row],[Desconto]])</f>
        <v>3493.9941813094983</v>
      </c>
      <c r="N4342" t="str">
        <f>IFERROR(INDEX(tProdutos[Foco],MATCH(tItens[[#This Row],[Produto]],tProdutos[Produto],0)),"Não")</f>
        <v>Não</v>
      </c>
      <c r="O4342" t="str">
        <f>IFERROR(INDEX(tEditais[SRP],MATCH(tItens[[#This Row],[Edital]],tEditais[Edital],0)),"Não")</f>
        <v>Sim</v>
      </c>
      <c r="P4342" s="4">
        <f>IF(COUNTIFS(INDEX(tItens[Edital],1):tItens[[#This Row],[Edital]],tItens[[#This Row],[Edital]],INDEX(tItens[Produto],1):tItens[[#This Row],[Produto]],tItens[[#This Row],[Produto]])=1,1,0)</f>
        <v>1</v>
      </c>
    </row>
    <row r="4343" spans="1:16" x14ac:dyDescent="0.25">
      <c r="A4343" t="s">
        <v>1739</v>
      </c>
      <c r="B4343">
        <v>135</v>
      </c>
      <c r="C4343" t="s">
        <v>7198</v>
      </c>
      <c r="D4343" t="s">
        <v>455</v>
      </c>
      <c r="E4343" s="13">
        <v>5</v>
      </c>
      <c r="F4343" s="12">
        <v>268.76</v>
      </c>
      <c r="G4343" t="str">
        <f>IFERROR(INDEX(tEditais[Órgão],MATCH(tItens[[#This Row],[Edital]],tEditais[Edital],0)),"")</f>
        <v>FUNDO MUNICIPAL DE SAUDE</v>
      </c>
      <c r="H4343" t="str">
        <f>IFERROR(INDEX(tEditais[UF],MATCH(tItens[[#This Row],[Edital]],tEditais[Edital],0)),"")</f>
        <v>PA</v>
      </c>
      <c r="I4343" s="11">
        <f>IFERROR(INDEX(tEditais[Encerramento],MATCH(tItens[[#This Row],[Edital]],tEditais[Edital],0)),"")</f>
        <v>46310.364583333336</v>
      </c>
      <c r="J4343" t="str">
        <f>IFERROR(INDEX(tProdutos[Classe],MATCH(tItens[[#This Row],[Produto]],tProdutos[Produto],0)),"produto não cadastrado")</f>
        <v>FILA REBASE</v>
      </c>
      <c r="K4343" s="12">
        <f>tItens[[#This Row],[Qtd]]*tItens[[#This Row],[Vlr unit]]</f>
        <v>1343.8</v>
      </c>
      <c r="L4343" s="6">
        <f>IFERROR(IF(INDEX(tProdutos[Desconto homologado],MATCH(tItens[[#This Row],[Produto]],tProdutos[Produto],0))="",DescontoPadrao,INDEX(tProdutos[Desconto homologado],MATCH(tItens[[#This Row],[Produto]],tProdutos[Produto],0))),DescontoPadrao)</f>
        <v>0.29595946765523801</v>
      </c>
      <c r="M4343" s="12">
        <f>tItens[[#This Row],[Valor]]*(1-tItens[[#This Row],[Desconto]])</f>
        <v>946.08966736489117</v>
      </c>
      <c r="N4343" t="str">
        <f>IFERROR(INDEX(tProdutos[Foco],MATCH(tItens[[#This Row],[Produto]],tProdutos[Produto],0)),"Não")</f>
        <v>Não</v>
      </c>
      <c r="O4343" t="str">
        <f>IFERROR(INDEX(tEditais[SRP],MATCH(tItens[[#This Row],[Edital]],tEditais[Edital],0)),"Não")</f>
        <v>Sim</v>
      </c>
      <c r="P4343" s="4">
        <f>IF(COUNTIFS(INDEX(tItens[Edital],1):tItens[[#This Row],[Edital]],tItens[[#This Row],[Edital]],INDEX(tItens[Produto],1):tItens[[#This Row],[Produto]],tItens[[#This Row],[Produto]])=1,1,0)</f>
        <v>1</v>
      </c>
    </row>
    <row r="4344" spans="1:16" x14ac:dyDescent="0.25">
      <c r="A4344" t="s">
        <v>1739</v>
      </c>
      <c r="B4344">
        <v>136</v>
      </c>
      <c r="C4344" t="s">
        <v>7199</v>
      </c>
      <c r="D4344" t="s">
        <v>455</v>
      </c>
      <c r="E4344" s="13">
        <v>5</v>
      </c>
      <c r="F4344" s="12">
        <v>339</v>
      </c>
      <c r="G4344" t="str">
        <f>IFERROR(INDEX(tEditais[Órgão],MATCH(tItens[[#This Row],[Edital]],tEditais[Edital],0)),"")</f>
        <v>FUNDO MUNICIPAL DE SAUDE</v>
      </c>
      <c r="H4344" t="str">
        <f>IFERROR(INDEX(tEditais[UF],MATCH(tItens[[#This Row],[Edital]],tEditais[Edital],0)),"")</f>
        <v>PA</v>
      </c>
      <c r="I4344" s="11">
        <f>IFERROR(INDEX(tEditais[Encerramento],MATCH(tItens[[#This Row],[Edital]],tEditais[Edital],0)),"")</f>
        <v>46310.364583333336</v>
      </c>
      <c r="J4344" t="str">
        <f>IFERROR(INDEX(tProdutos[Classe],MATCH(tItens[[#This Row],[Produto]],tProdutos[Produto],0)),"produto não cadastrado")</f>
        <v>FILA REBASE</v>
      </c>
      <c r="K4344" s="12">
        <f>tItens[[#This Row],[Qtd]]*tItens[[#This Row],[Vlr unit]]</f>
        <v>1695</v>
      </c>
      <c r="L4344" s="6">
        <f>IFERROR(IF(INDEX(tProdutos[Desconto homologado],MATCH(tItens[[#This Row],[Produto]],tProdutos[Produto],0))="",DescontoPadrao,INDEX(tProdutos[Desconto homologado],MATCH(tItens[[#This Row],[Produto]],tProdutos[Produto],0))),DescontoPadrao)</f>
        <v>0.29595946765523801</v>
      </c>
      <c r="M4344" s="12">
        <f>tItens[[#This Row],[Valor]]*(1-tItens[[#This Row],[Desconto]])</f>
        <v>1193.3487023243717</v>
      </c>
      <c r="N4344" t="str">
        <f>IFERROR(INDEX(tProdutos[Foco],MATCH(tItens[[#This Row],[Produto]],tProdutos[Produto],0)),"Não")</f>
        <v>Não</v>
      </c>
      <c r="O4344" t="str">
        <f>IFERROR(INDEX(tEditais[SRP],MATCH(tItens[[#This Row],[Edital]],tEditais[Edital],0)),"Não")</f>
        <v>Sim</v>
      </c>
      <c r="P4344" s="4">
        <f>IF(COUNTIFS(INDEX(tItens[Edital],1):tItens[[#This Row],[Edital]],tItens[[#This Row],[Edital]],INDEX(tItens[Produto],1):tItens[[#This Row],[Produto]],tItens[[#This Row],[Produto]])=1,1,0)</f>
        <v>0</v>
      </c>
    </row>
    <row r="4345" spans="1:16" x14ac:dyDescent="0.25">
      <c r="A4345" t="s">
        <v>1739</v>
      </c>
      <c r="B4345">
        <v>137</v>
      </c>
      <c r="C4345" t="s">
        <v>7200</v>
      </c>
      <c r="D4345" t="s">
        <v>455</v>
      </c>
      <c r="E4345" s="13">
        <v>5</v>
      </c>
      <c r="F4345" s="12">
        <v>283.64999999999998</v>
      </c>
      <c r="G4345" t="str">
        <f>IFERROR(INDEX(tEditais[Órgão],MATCH(tItens[[#This Row],[Edital]],tEditais[Edital],0)),"")</f>
        <v>FUNDO MUNICIPAL DE SAUDE</v>
      </c>
      <c r="H4345" t="str">
        <f>IFERROR(INDEX(tEditais[UF],MATCH(tItens[[#This Row],[Edital]],tEditais[Edital],0)),"")</f>
        <v>PA</v>
      </c>
      <c r="I4345" s="11">
        <f>IFERROR(INDEX(tEditais[Encerramento],MATCH(tItens[[#This Row],[Edital]],tEditais[Edital],0)),"")</f>
        <v>46310.364583333336</v>
      </c>
      <c r="J4345" t="str">
        <f>IFERROR(INDEX(tProdutos[Classe],MATCH(tItens[[#This Row],[Produto]],tProdutos[Produto],0)),"produto não cadastrado")</f>
        <v>FILA REBASE</v>
      </c>
      <c r="K4345" s="12">
        <f>tItens[[#This Row],[Qtd]]*tItens[[#This Row],[Vlr unit]]</f>
        <v>1418.25</v>
      </c>
      <c r="L4345" s="6">
        <f>IFERROR(IF(INDEX(tProdutos[Desconto homologado],MATCH(tItens[[#This Row],[Produto]],tProdutos[Produto],0))="",DescontoPadrao,INDEX(tProdutos[Desconto homologado],MATCH(tItens[[#This Row],[Produto]],tProdutos[Produto],0))),DescontoPadrao)</f>
        <v>0.29595946765523801</v>
      </c>
      <c r="M4345" s="12">
        <f>tItens[[#This Row],[Valor]]*(1-tItens[[#This Row],[Desconto]])</f>
        <v>998.50548499795877</v>
      </c>
      <c r="N4345" t="str">
        <f>IFERROR(INDEX(tProdutos[Foco],MATCH(tItens[[#This Row],[Produto]],tProdutos[Produto],0)),"Não")</f>
        <v>Não</v>
      </c>
      <c r="O4345" t="str">
        <f>IFERROR(INDEX(tEditais[SRP],MATCH(tItens[[#This Row],[Edital]],tEditais[Edital],0)),"Não")</f>
        <v>Sim</v>
      </c>
      <c r="P4345" s="4">
        <f>IF(COUNTIFS(INDEX(tItens[Edital],1):tItens[[#This Row],[Edital]],tItens[[#This Row],[Edital]],INDEX(tItens[Produto],1):tItens[[#This Row],[Produto]],tItens[[#This Row],[Produto]])=1,1,0)</f>
        <v>0</v>
      </c>
    </row>
    <row r="4346" spans="1:16" x14ac:dyDescent="0.25">
      <c r="A4346" t="s">
        <v>1739</v>
      </c>
      <c r="B4346">
        <v>138</v>
      </c>
      <c r="C4346" t="s">
        <v>7201</v>
      </c>
      <c r="D4346" t="s">
        <v>455</v>
      </c>
      <c r="E4346" s="13">
        <v>5</v>
      </c>
      <c r="F4346" s="12">
        <v>230.69</v>
      </c>
      <c r="G4346" t="str">
        <f>IFERROR(INDEX(tEditais[Órgão],MATCH(tItens[[#This Row],[Edital]],tEditais[Edital],0)),"")</f>
        <v>FUNDO MUNICIPAL DE SAUDE</v>
      </c>
      <c r="H4346" t="str">
        <f>IFERROR(INDEX(tEditais[UF],MATCH(tItens[[#This Row],[Edital]],tEditais[Edital],0)),"")</f>
        <v>PA</v>
      </c>
      <c r="I4346" s="11">
        <f>IFERROR(INDEX(tEditais[Encerramento],MATCH(tItens[[#This Row],[Edital]],tEditais[Edital],0)),"")</f>
        <v>46310.364583333336</v>
      </c>
      <c r="J4346" t="str">
        <f>IFERROR(INDEX(tProdutos[Classe],MATCH(tItens[[#This Row],[Produto]],tProdutos[Produto],0)),"produto não cadastrado")</f>
        <v>FILA REBASE</v>
      </c>
      <c r="K4346" s="12">
        <f>tItens[[#This Row],[Qtd]]*tItens[[#This Row],[Vlr unit]]</f>
        <v>1153.45</v>
      </c>
      <c r="L4346" s="6">
        <f>IFERROR(IF(INDEX(tProdutos[Desconto homologado],MATCH(tItens[[#This Row],[Produto]],tProdutos[Produto],0))="",DescontoPadrao,INDEX(tProdutos[Desconto homologado],MATCH(tItens[[#This Row],[Produto]],tProdutos[Produto],0))),DescontoPadrao)</f>
        <v>0.29595946765523801</v>
      </c>
      <c r="M4346" s="12">
        <f>tItens[[#This Row],[Valor]]*(1-tItens[[#This Row],[Desconto]])</f>
        <v>812.07555203306583</v>
      </c>
      <c r="N4346" t="str">
        <f>IFERROR(INDEX(tProdutos[Foco],MATCH(tItens[[#This Row],[Produto]],tProdutos[Produto],0)),"Não")</f>
        <v>Não</v>
      </c>
      <c r="O4346" t="str">
        <f>IFERROR(INDEX(tEditais[SRP],MATCH(tItens[[#This Row],[Edital]],tEditais[Edital],0)),"Não")</f>
        <v>Sim</v>
      </c>
      <c r="P4346" s="4">
        <f>IF(COUNTIFS(INDEX(tItens[Edital],1):tItens[[#This Row],[Edital]],tItens[[#This Row],[Edital]],INDEX(tItens[Produto],1):tItens[[#This Row],[Produto]],tItens[[#This Row],[Produto]])=1,1,0)</f>
        <v>0</v>
      </c>
    </row>
    <row r="4347" spans="1:16" x14ac:dyDescent="0.25">
      <c r="A4347" t="s">
        <v>1739</v>
      </c>
      <c r="B4347">
        <v>139</v>
      </c>
      <c r="C4347" t="s">
        <v>7202</v>
      </c>
      <c r="D4347" t="s">
        <v>455</v>
      </c>
      <c r="E4347" s="13">
        <v>5</v>
      </c>
      <c r="F4347" s="12">
        <v>233.35</v>
      </c>
      <c r="G4347" t="str">
        <f>IFERROR(INDEX(tEditais[Órgão],MATCH(tItens[[#This Row],[Edital]],tEditais[Edital],0)),"")</f>
        <v>FUNDO MUNICIPAL DE SAUDE</v>
      </c>
      <c r="H4347" t="str">
        <f>IFERROR(INDEX(tEditais[UF],MATCH(tItens[[#This Row],[Edital]],tEditais[Edital],0)),"")</f>
        <v>PA</v>
      </c>
      <c r="I4347" s="11">
        <f>IFERROR(INDEX(tEditais[Encerramento],MATCH(tItens[[#This Row],[Edital]],tEditais[Edital],0)),"")</f>
        <v>46310.364583333336</v>
      </c>
      <c r="J4347" t="str">
        <f>IFERROR(INDEX(tProdutos[Classe],MATCH(tItens[[#This Row],[Produto]],tProdutos[Produto],0)),"produto não cadastrado")</f>
        <v>FILA REBASE</v>
      </c>
      <c r="K4347" s="12">
        <f>tItens[[#This Row],[Qtd]]*tItens[[#This Row],[Vlr unit]]</f>
        <v>1166.75</v>
      </c>
      <c r="L4347" s="6">
        <f>IFERROR(IF(INDEX(tProdutos[Desconto homologado],MATCH(tItens[[#This Row],[Produto]],tProdutos[Produto],0))="",DescontoPadrao,INDEX(tProdutos[Desconto homologado],MATCH(tItens[[#This Row],[Produto]],tProdutos[Produto],0))),DescontoPadrao)</f>
        <v>0.29595946765523801</v>
      </c>
      <c r="M4347" s="12">
        <f>tItens[[#This Row],[Valor]]*(1-tItens[[#This Row],[Desconto]])</f>
        <v>821.4392911132511</v>
      </c>
      <c r="N4347" t="str">
        <f>IFERROR(INDEX(tProdutos[Foco],MATCH(tItens[[#This Row],[Produto]],tProdutos[Produto],0)),"Não")</f>
        <v>Não</v>
      </c>
      <c r="O4347" t="str">
        <f>IFERROR(INDEX(tEditais[SRP],MATCH(tItens[[#This Row],[Edital]],tEditais[Edital],0)),"Não")</f>
        <v>Sim</v>
      </c>
      <c r="P4347" s="4">
        <f>IF(COUNTIFS(INDEX(tItens[Edital],1):tItens[[#This Row],[Edital]],tItens[[#This Row],[Edital]],INDEX(tItens[Produto],1):tItens[[#This Row],[Produto]],tItens[[#This Row],[Produto]])=1,1,0)</f>
        <v>0</v>
      </c>
    </row>
    <row r="4348" spans="1:16" x14ac:dyDescent="0.25">
      <c r="A4348" t="s">
        <v>1739</v>
      </c>
      <c r="B4348">
        <v>140</v>
      </c>
      <c r="C4348" t="s">
        <v>7203</v>
      </c>
      <c r="D4348" t="s">
        <v>455</v>
      </c>
      <c r="E4348" s="13">
        <v>5</v>
      </c>
      <c r="F4348" s="12">
        <v>305.58</v>
      </c>
      <c r="G4348" t="str">
        <f>IFERROR(INDEX(tEditais[Órgão],MATCH(tItens[[#This Row],[Edital]],tEditais[Edital],0)),"")</f>
        <v>FUNDO MUNICIPAL DE SAUDE</v>
      </c>
      <c r="H4348" t="str">
        <f>IFERROR(INDEX(tEditais[UF],MATCH(tItens[[#This Row],[Edital]],tEditais[Edital],0)),"")</f>
        <v>PA</v>
      </c>
      <c r="I4348" s="11">
        <f>IFERROR(INDEX(tEditais[Encerramento],MATCH(tItens[[#This Row],[Edital]],tEditais[Edital],0)),"")</f>
        <v>46310.364583333336</v>
      </c>
      <c r="J4348" t="str">
        <f>IFERROR(INDEX(tProdutos[Classe],MATCH(tItens[[#This Row],[Produto]],tProdutos[Produto],0)),"produto não cadastrado")</f>
        <v>FILA REBASE</v>
      </c>
      <c r="K4348" s="12">
        <f>tItens[[#This Row],[Qtd]]*tItens[[#This Row],[Vlr unit]]</f>
        <v>1527.8999999999999</v>
      </c>
      <c r="L4348" s="6">
        <f>IFERROR(IF(INDEX(tProdutos[Desconto homologado],MATCH(tItens[[#This Row],[Produto]],tProdutos[Produto],0))="",DescontoPadrao,INDEX(tProdutos[Desconto homologado],MATCH(tItens[[#This Row],[Produto]],tProdutos[Produto],0))),DescontoPadrao)</f>
        <v>0.29595946765523801</v>
      </c>
      <c r="M4348" s="12">
        <f>tItens[[#This Row],[Valor]]*(1-tItens[[#This Row],[Desconto]])</f>
        <v>1075.7035293695619</v>
      </c>
      <c r="N4348" t="str">
        <f>IFERROR(INDEX(tProdutos[Foco],MATCH(tItens[[#This Row],[Produto]],tProdutos[Produto],0)),"Não")</f>
        <v>Não</v>
      </c>
      <c r="O4348" t="str">
        <f>IFERROR(INDEX(tEditais[SRP],MATCH(tItens[[#This Row],[Edital]],tEditais[Edital],0)),"Não")</f>
        <v>Sim</v>
      </c>
      <c r="P4348" s="4">
        <f>IF(COUNTIFS(INDEX(tItens[Edital],1):tItens[[#This Row],[Edital]],tItens[[#This Row],[Edital]],INDEX(tItens[Produto],1):tItens[[#This Row],[Produto]],tItens[[#This Row],[Produto]])=1,1,0)</f>
        <v>0</v>
      </c>
    </row>
    <row r="4349" spans="1:16" x14ac:dyDescent="0.25">
      <c r="A4349" t="s">
        <v>1739</v>
      </c>
      <c r="B4349">
        <v>141</v>
      </c>
      <c r="C4349" t="s">
        <v>7204</v>
      </c>
      <c r="D4349" t="s">
        <v>455</v>
      </c>
      <c r="E4349" s="13">
        <v>5</v>
      </c>
      <c r="F4349" s="12">
        <v>114.01</v>
      </c>
      <c r="G4349" t="str">
        <f>IFERROR(INDEX(tEditais[Órgão],MATCH(tItens[[#This Row],[Edital]],tEditais[Edital],0)),"")</f>
        <v>FUNDO MUNICIPAL DE SAUDE</v>
      </c>
      <c r="H4349" t="str">
        <f>IFERROR(INDEX(tEditais[UF],MATCH(tItens[[#This Row],[Edital]],tEditais[Edital],0)),"")</f>
        <v>PA</v>
      </c>
      <c r="I4349" s="11">
        <f>IFERROR(INDEX(tEditais[Encerramento],MATCH(tItens[[#This Row],[Edital]],tEditais[Edital],0)),"")</f>
        <v>46310.364583333336</v>
      </c>
      <c r="J4349" t="str">
        <f>IFERROR(INDEX(tProdutos[Classe],MATCH(tItens[[#This Row],[Produto]],tProdutos[Produto],0)),"produto não cadastrado")</f>
        <v>FILA REBASE</v>
      </c>
      <c r="K4349" s="12">
        <f>tItens[[#This Row],[Qtd]]*tItens[[#This Row],[Vlr unit]]</f>
        <v>570.05000000000007</v>
      </c>
      <c r="L4349" s="6">
        <f>IFERROR(IF(INDEX(tProdutos[Desconto homologado],MATCH(tItens[[#This Row],[Produto]],tProdutos[Produto],0))="",DescontoPadrao,INDEX(tProdutos[Desconto homologado],MATCH(tItens[[#This Row],[Produto]],tProdutos[Produto],0))),DescontoPadrao)</f>
        <v>0.29595946765523801</v>
      </c>
      <c r="M4349" s="12">
        <f>tItens[[#This Row],[Valor]]*(1-tItens[[#This Row],[Desconto]])</f>
        <v>401.33830546313163</v>
      </c>
      <c r="N4349" t="str">
        <f>IFERROR(INDEX(tProdutos[Foco],MATCH(tItens[[#This Row],[Produto]],tProdutos[Produto],0)),"Não")</f>
        <v>Não</v>
      </c>
      <c r="O4349" t="str">
        <f>IFERROR(INDEX(tEditais[SRP],MATCH(tItens[[#This Row],[Edital]],tEditais[Edital],0)),"Não")</f>
        <v>Sim</v>
      </c>
      <c r="P4349" s="4">
        <f>IF(COUNTIFS(INDEX(tItens[Edital],1):tItens[[#This Row],[Edital]],tItens[[#This Row],[Edital]],INDEX(tItens[Produto],1):tItens[[#This Row],[Produto]],tItens[[#This Row],[Produto]])=1,1,0)</f>
        <v>0</v>
      </c>
    </row>
    <row r="4350" spans="1:16" x14ac:dyDescent="0.25">
      <c r="A4350" t="s">
        <v>1739</v>
      </c>
      <c r="B4350">
        <v>142</v>
      </c>
      <c r="C4350" t="s">
        <v>7205</v>
      </c>
      <c r="D4350" t="s">
        <v>455</v>
      </c>
      <c r="E4350" s="13">
        <v>5</v>
      </c>
      <c r="F4350" s="12">
        <v>274.27</v>
      </c>
      <c r="G4350" t="str">
        <f>IFERROR(INDEX(tEditais[Órgão],MATCH(tItens[[#This Row],[Edital]],tEditais[Edital],0)),"")</f>
        <v>FUNDO MUNICIPAL DE SAUDE</v>
      </c>
      <c r="H4350" t="str">
        <f>IFERROR(INDEX(tEditais[UF],MATCH(tItens[[#This Row],[Edital]],tEditais[Edital],0)),"")</f>
        <v>PA</v>
      </c>
      <c r="I4350" s="11">
        <f>IFERROR(INDEX(tEditais[Encerramento],MATCH(tItens[[#This Row],[Edital]],tEditais[Edital],0)),"")</f>
        <v>46310.364583333336</v>
      </c>
      <c r="J4350" t="str">
        <f>IFERROR(INDEX(tProdutos[Classe],MATCH(tItens[[#This Row],[Produto]],tProdutos[Produto],0)),"produto não cadastrado")</f>
        <v>FILA REBASE</v>
      </c>
      <c r="K4350" s="12">
        <f>tItens[[#This Row],[Qtd]]*tItens[[#This Row],[Vlr unit]]</f>
        <v>1371.35</v>
      </c>
      <c r="L4350" s="6">
        <f>IFERROR(IF(INDEX(tProdutos[Desconto homologado],MATCH(tItens[[#This Row],[Produto]],tProdutos[Produto],0))="",DescontoPadrao,INDEX(tProdutos[Desconto homologado],MATCH(tItens[[#This Row],[Produto]],tProdutos[Produto],0))),DescontoPadrao)</f>
        <v>0.29595946765523801</v>
      </c>
      <c r="M4350" s="12">
        <f>tItens[[#This Row],[Valor]]*(1-tItens[[#This Row],[Desconto]])</f>
        <v>965.48598403098936</v>
      </c>
      <c r="N4350" t="str">
        <f>IFERROR(INDEX(tProdutos[Foco],MATCH(tItens[[#This Row],[Produto]],tProdutos[Produto],0)),"Não")</f>
        <v>Não</v>
      </c>
      <c r="O4350" t="str">
        <f>IFERROR(INDEX(tEditais[SRP],MATCH(tItens[[#This Row],[Edital]],tEditais[Edital],0)),"Não")</f>
        <v>Sim</v>
      </c>
      <c r="P4350" s="4">
        <f>IF(COUNTIFS(INDEX(tItens[Edital],1):tItens[[#This Row],[Edital]],tItens[[#This Row],[Edital]],INDEX(tItens[Produto],1):tItens[[#This Row],[Produto]],tItens[[#This Row],[Produto]])=1,1,0)</f>
        <v>0</v>
      </c>
    </row>
    <row r="4351" spans="1:16" x14ac:dyDescent="0.25">
      <c r="A4351" t="s">
        <v>1739</v>
      </c>
      <c r="B4351">
        <v>143</v>
      </c>
      <c r="C4351" t="s">
        <v>7206</v>
      </c>
      <c r="D4351" t="s">
        <v>455</v>
      </c>
      <c r="E4351" s="13">
        <v>1</v>
      </c>
      <c r="F4351" s="12">
        <v>161.15</v>
      </c>
      <c r="G4351" t="str">
        <f>IFERROR(INDEX(tEditais[Órgão],MATCH(tItens[[#This Row],[Edital]],tEditais[Edital],0)),"")</f>
        <v>FUNDO MUNICIPAL DE SAUDE</v>
      </c>
      <c r="H4351" t="str">
        <f>IFERROR(INDEX(tEditais[UF],MATCH(tItens[[#This Row],[Edital]],tEditais[Edital],0)),"")</f>
        <v>PA</v>
      </c>
      <c r="I4351" s="11">
        <f>IFERROR(INDEX(tEditais[Encerramento],MATCH(tItens[[#This Row],[Edital]],tEditais[Edital],0)),"")</f>
        <v>46310.364583333336</v>
      </c>
      <c r="J4351" t="str">
        <f>IFERROR(INDEX(tProdutos[Classe],MATCH(tItens[[#This Row],[Produto]],tProdutos[Produto],0)),"produto não cadastrado")</f>
        <v>FILA REBASE</v>
      </c>
      <c r="K4351" s="12">
        <f>tItens[[#This Row],[Qtd]]*tItens[[#This Row],[Vlr unit]]</f>
        <v>161.15</v>
      </c>
      <c r="L4351" s="6">
        <f>IFERROR(IF(INDEX(tProdutos[Desconto homologado],MATCH(tItens[[#This Row],[Produto]],tProdutos[Produto],0))="",DescontoPadrao,INDEX(tProdutos[Desconto homologado],MATCH(tItens[[#This Row],[Produto]],tProdutos[Produto],0))),DescontoPadrao)</f>
        <v>0.29595946765523801</v>
      </c>
      <c r="M4351" s="12">
        <f>tItens[[#This Row],[Valor]]*(1-tItens[[#This Row],[Desconto]])</f>
        <v>113.4561317873584</v>
      </c>
      <c r="N4351" t="str">
        <f>IFERROR(INDEX(tProdutos[Foco],MATCH(tItens[[#This Row],[Produto]],tProdutos[Produto],0)),"Não")</f>
        <v>Não</v>
      </c>
      <c r="O4351" t="str">
        <f>IFERROR(INDEX(tEditais[SRP],MATCH(tItens[[#This Row],[Edital]],tEditais[Edital],0)),"Não")</f>
        <v>Sim</v>
      </c>
      <c r="P4351" s="4">
        <f>IF(COUNTIFS(INDEX(tItens[Edital],1):tItens[[#This Row],[Edital]],tItens[[#This Row],[Edital]],INDEX(tItens[Produto],1):tItens[[#This Row],[Produto]],tItens[[#This Row],[Produto]])=1,1,0)</f>
        <v>0</v>
      </c>
    </row>
    <row r="4352" spans="1:16" x14ac:dyDescent="0.25">
      <c r="A4352" t="s">
        <v>1739</v>
      </c>
      <c r="B4352">
        <v>144</v>
      </c>
      <c r="C4352" t="s">
        <v>7207</v>
      </c>
      <c r="D4352" t="s">
        <v>455</v>
      </c>
      <c r="E4352" s="13">
        <v>5</v>
      </c>
      <c r="F4352" s="12">
        <v>218.24</v>
      </c>
      <c r="G4352" t="str">
        <f>IFERROR(INDEX(tEditais[Órgão],MATCH(tItens[[#This Row],[Edital]],tEditais[Edital],0)),"")</f>
        <v>FUNDO MUNICIPAL DE SAUDE</v>
      </c>
      <c r="H4352" t="str">
        <f>IFERROR(INDEX(tEditais[UF],MATCH(tItens[[#This Row],[Edital]],tEditais[Edital],0)),"")</f>
        <v>PA</v>
      </c>
      <c r="I4352" s="11">
        <f>IFERROR(INDEX(tEditais[Encerramento],MATCH(tItens[[#This Row],[Edital]],tEditais[Edital],0)),"")</f>
        <v>46310.364583333336</v>
      </c>
      <c r="J4352" t="str">
        <f>IFERROR(INDEX(tProdutos[Classe],MATCH(tItens[[#This Row],[Produto]],tProdutos[Produto],0)),"produto não cadastrado")</f>
        <v>FILA REBASE</v>
      </c>
      <c r="K4352" s="12">
        <f>tItens[[#This Row],[Qtd]]*tItens[[#This Row],[Vlr unit]]</f>
        <v>1091.2</v>
      </c>
      <c r="L4352" s="6">
        <f>IFERROR(IF(INDEX(tProdutos[Desconto homologado],MATCH(tItens[[#This Row],[Produto]],tProdutos[Produto],0))="",DescontoPadrao,INDEX(tProdutos[Desconto homologado],MATCH(tItens[[#This Row],[Produto]],tProdutos[Produto],0))),DescontoPadrao)</f>
        <v>0.29595946765523801</v>
      </c>
      <c r="M4352" s="12">
        <f>tItens[[#This Row],[Valor]]*(1-tItens[[#This Row],[Desconto]])</f>
        <v>768.24902889460441</v>
      </c>
      <c r="N4352" t="str">
        <f>IFERROR(INDEX(tProdutos[Foco],MATCH(tItens[[#This Row],[Produto]],tProdutos[Produto],0)),"Não")</f>
        <v>Não</v>
      </c>
      <c r="O4352" t="str">
        <f>IFERROR(INDEX(tEditais[SRP],MATCH(tItens[[#This Row],[Edital]],tEditais[Edital],0)),"Não")</f>
        <v>Sim</v>
      </c>
      <c r="P4352" s="4">
        <f>IF(COUNTIFS(INDEX(tItens[Edital],1):tItens[[#This Row],[Edital]],tItens[[#This Row],[Edital]],INDEX(tItens[Produto],1):tItens[[#This Row],[Produto]],tItens[[#This Row],[Produto]])=1,1,0)</f>
        <v>0</v>
      </c>
    </row>
    <row r="4353" spans="1:16" x14ac:dyDescent="0.25">
      <c r="A4353" t="s">
        <v>1739</v>
      </c>
      <c r="B4353">
        <v>145</v>
      </c>
      <c r="C4353" t="s">
        <v>7208</v>
      </c>
      <c r="D4353" t="s">
        <v>455</v>
      </c>
      <c r="E4353" s="13">
        <v>5</v>
      </c>
      <c r="F4353" s="12">
        <v>59.43</v>
      </c>
      <c r="G4353" t="str">
        <f>IFERROR(INDEX(tEditais[Órgão],MATCH(tItens[[#This Row],[Edital]],tEditais[Edital],0)),"")</f>
        <v>FUNDO MUNICIPAL DE SAUDE</v>
      </c>
      <c r="H4353" t="str">
        <f>IFERROR(INDEX(tEditais[UF],MATCH(tItens[[#This Row],[Edital]],tEditais[Edital],0)),"")</f>
        <v>PA</v>
      </c>
      <c r="I4353" s="11">
        <f>IFERROR(INDEX(tEditais[Encerramento],MATCH(tItens[[#This Row],[Edital]],tEditais[Edital],0)),"")</f>
        <v>46310.364583333336</v>
      </c>
      <c r="J4353" t="str">
        <f>IFERROR(INDEX(tProdutos[Classe],MATCH(tItens[[#This Row],[Produto]],tProdutos[Produto],0)),"produto não cadastrado")</f>
        <v>FILA REBASE</v>
      </c>
      <c r="K4353" s="12">
        <f>tItens[[#This Row],[Qtd]]*tItens[[#This Row],[Vlr unit]]</f>
        <v>297.14999999999998</v>
      </c>
      <c r="L4353" s="6">
        <f>IFERROR(IF(INDEX(tProdutos[Desconto homologado],MATCH(tItens[[#This Row],[Produto]],tProdutos[Produto],0))="",DescontoPadrao,INDEX(tProdutos[Desconto homologado],MATCH(tItens[[#This Row],[Produto]],tProdutos[Produto],0))),DescontoPadrao)</f>
        <v>0.29595946765523801</v>
      </c>
      <c r="M4353" s="12">
        <f>tItens[[#This Row],[Valor]]*(1-tItens[[#This Row],[Desconto]])</f>
        <v>209.20564418624602</v>
      </c>
      <c r="N4353" t="str">
        <f>IFERROR(INDEX(tProdutos[Foco],MATCH(tItens[[#This Row],[Produto]],tProdutos[Produto],0)),"Não")</f>
        <v>Não</v>
      </c>
      <c r="O4353" t="str">
        <f>IFERROR(INDEX(tEditais[SRP],MATCH(tItens[[#This Row],[Edital]],tEditais[Edital],0)),"Não")</f>
        <v>Sim</v>
      </c>
      <c r="P4353" s="4">
        <f>IF(COUNTIFS(INDEX(tItens[Edital],1):tItens[[#This Row],[Edital]],tItens[[#This Row],[Edital]],INDEX(tItens[Produto],1):tItens[[#This Row],[Produto]],tItens[[#This Row],[Produto]])=1,1,0)</f>
        <v>0</v>
      </c>
    </row>
    <row r="4354" spans="1:16" x14ac:dyDescent="0.25">
      <c r="A4354" t="s">
        <v>1739</v>
      </c>
      <c r="B4354">
        <v>146</v>
      </c>
      <c r="C4354" t="s">
        <v>7209</v>
      </c>
      <c r="D4354" t="s">
        <v>455</v>
      </c>
      <c r="E4354" s="13">
        <v>5</v>
      </c>
      <c r="F4354" s="12">
        <v>59.43</v>
      </c>
      <c r="G4354" t="str">
        <f>IFERROR(INDEX(tEditais[Órgão],MATCH(tItens[[#This Row],[Edital]],tEditais[Edital],0)),"")</f>
        <v>FUNDO MUNICIPAL DE SAUDE</v>
      </c>
      <c r="H4354" t="str">
        <f>IFERROR(INDEX(tEditais[UF],MATCH(tItens[[#This Row],[Edital]],tEditais[Edital],0)),"")</f>
        <v>PA</v>
      </c>
      <c r="I4354" s="11">
        <f>IFERROR(INDEX(tEditais[Encerramento],MATCH(tItens[[#This Row],[Edital]],tEditais[Edital],0)),"")</f>
        <v>46310.364583333336</v>
      </c>
      <c r="J4354" t="str">
        <f>IFERROR(INDEX(tProdutos[Classe],MATCH(tItens[[#This Row],[Produto]],tProdutos[Produto],0)),"produto não cadastrado")</f>
        <v>FILA REBASE</v>
      </c>
      <c r="K4354" s="12">
        <f>tItens[[#This Row],[Qtd]]*tItens[[#This Row],[Vlr unit]]</f>
        <v>297.14999999999998</v>
      </c>
      <c r="L4354" s="6">
        <f>IFERROR(IF(INDEX(tProdutos[Desconto homologado],MATCH(tItens[[#This Row],[Produto]],tProdutos[Produto],0))="",DescontoPadrao,INDEX(tProdutos[Desconto homologado],MATCH(tItens[[#This Row],[Produto]],tProdutos[Produto],0))),DescontoPadrao)</f>
        <v>0.29595946765523801</v>
      </c>
      <c r="M4354" s="12">
        <f>tItens[[#This Row],[Valor]]*(1-tItens[[#This Row],[Desconto]])</f>
        <v>209.20564418624602</v>
      </c>
      <c r="N4354" t="str">
        <f>IFERROR(INDEX(tProdutos[Foco],MATCH(tItens[[#This Row],[Produto]],tProdutos[Produto],0)),"Não")</f>
        <v>Não</v>
      </c>
      <c r="O4354" t="str">
        <f>IFERROR(INDEX(tEditais[SRP],MATCH(tItens[[#This Row],[Edital]],tEditais[Edital],0)),"Não")</f>
        <v>Sim</v>
      </c>
      <c r="P4354" s="4">
        <f>IF(COUNTIFS(INDEX(tItens[Edital],1):tItens[[#This Row],[Edital]],tItens[[#This Row],[Edital]],INDEX(tItens[Produto],1):tItens[[#This Row],[Produto]],tItens[[#This Row],[Produto]])=1,1,0)</f>
        <v>0</v>
      </c>
    </row>
    <row r="4355" spans="1:16" x14ac:dyDescent="0.25">
      <c r="A4355" t="s">
        <v>1739</v>
      </c>
      <c r="B4355">
        <v>174</v>
      </c>
      <c r="C4355" t="s">
        <v>7210</v>
      </c>
      <c r="D4355" t="s">
        <v>542</v>
      </c>
      <c r="E4355" s="13">
        <v>35</v>
      </c>
      <c r="F4355" s="12">
        <v>145.55000000000001</v>
      </c>
      <c r="G4355" t="str">
        <f>IFERROR(INDEX(tEditais[Órgão],MATCH(tItens[[#This Row],[Edital]],tEditais[Edital],0)),"")</f>
        <v>FUNDO MUNICIPAL DE SAUDE</v>
      </c>
      <c r="H4355" t="str">
        <f>IFERROR(INDEX(tEditais[UF],MATCH(tItens[[#This Row],[Edital]],tEditais[Edital],0)),"")</f>
        <v>PA</v>
      </c>
      <c r="I4355" s="11">
        <f>IFERROR(INDEX(tEditais[Encerramento],MATCH(tItens[[#This Row],[Edital]],tEditais[Edital],0)),"")</f>
        <v>46310.364583333336</v>
      </c>
      <c r="J4355" t="str">
        <f>IFERROR(INDEX(tProdutos[Classe],MATCH(tItens[[#This Row],[Produto]],tProdutos[Produto],0)),"produto não cadastrado")</f>
        <v>FILA REBASE</v>
      </c>
      <c r="K4355" s="12">
        <f>tItens[[#This Row],[Qtd]]*tItens[[#This Row],[Vlr unit]]</f>
        <v>5094.25</v>
      </c>
      <c r="L4355" s="6">
        <f>IFERROR(IF(INDEX(tProdutos[Desconto homologado],MATCH(tItens[[#This Row],[Produto]],tProdutos[Produto],0))="",DescontoPadrao,INDEX(tProdutos[Desconto homologado],MATCH(tItens[[#This Row],[Produto]],tProdutos[Produto],0))),DescontoPadrao)</f>
        <v>0.3</v>
      </c>
      <c r="M4355" s="12">
        <f>tItens[[#This Row],[Valor]]*(1-tItens[[#This Row],[Desconto]])</f>
        <v>3565.9749999999999</v>
      </c>
      <c r="N4355" t="str">
        <f>IFERROR(INDEX(tProdutos[Foco],MATCH(tItens[[#This Row],[Produto]],tProdutos[Produto],0)),"Não")</f>
        <v>Não</v>
      </c>
      <c r="O4355" t="str">
        <f>IFERROR(INDEX(tEditais[SRP],MATCH(tItens[[#This Row],[Edital]],tEditais[Edital],0)),"Não")</f>
        <v>Sim</v>
      </c>
      <c r="P4355" s="4">
        <f>IF(COUNTIFS(INDEX(tItens[Edital],1):tItens[[#This Row],[Edital]],tItens[[#This Row],[Edital]],INDEX(tItens[Produto],1):tItens[[#This Row],[Produto]],tItens[[#This Row],[Produto]])=1,1,0)</f>
        <v>1</v>
      </c>
    </row>
    <row r="4356" spans="1:16" x14ac:dyDescent="0.25">
      <c r="A4356" t="s">
        <v>1739</v>
      </c>
      <c r="B4356">
        <v>193</v>
      </c>
      <c r="C4356" t="s">
        <v>7211</v>
      </c>
      <c r="D4356" t="s">
        <v>315</v>
      </c>
      <c r="E4356" s="13">
        <v>505</v>
      </c>
      <c r="F4356" s="12">
        <v>28.18</v>
      </c>
      <c r="G4356" t="str">
        <f>IFERROR(INDEX(tEditais[Órgão],MATCH(tItens[[#This Row],[Edital]],tEditais[Edital],0)),"")</f>
        <v>FUNDO MUNICIPAL DE SAUDE</v>
      </c>
      <c r="H4356" t="str">
        <f>IFERROR(INDEX(tEditais[UF],MATCH(tItens[[#This Row],[Edital]],tEditais[Edital],0)),"")</f>
        <v>PA</v>
      </c>
      <c r="I4356" s="11">
        <f>IFERROR(INDEX(tEditais[Encerramento],MATCH(tItens[[#This Row],[Edital]],tEditais[Edital],0)),"")</f>
        <v>46310.364583333336</v>
      </c>
      <c r="J4356" t="str">
        <f>IFERROR(INDEX(tProdutos[Classe],MATCH(tItens[[#This Row],[Produto]],tProdutos[Produto],0)),"produto não cadastrado")</f>
        <v>FORA</v>
      </c>
      <c r="K4356" s="12">
        <f>tItens[[#This Row],[Qtd]]*tItens[[#This Row],[Vlr unit]]</f>
        <v>14230.9</v>
      </c>
      <c r="L4356" s="6">
        <f>IFERROR(IF(INDEX(tProdutos[Desconto homologado],MATCH(tItens[[#This Row],[Produto]],tProdutos[Produto],0))="",DescontoPadrao,INDEX(tProdutos[Desconto homologado],MATCH(tItens[[#This Row],[Produto]],tProdutos[Produto],0))),DescontoPadrao)</f>
        <v>0.38432036097010702</v>
      </c>
      <c r="M4356" s="12">
        <f>tItens[[#This Row],[Valor]]*(1-tItens[[#This Row],[Desconto]])</f>
        <v>8761.6753750705029</v>
      </c>
      <c r="N4356" t="str">
        <f>IFERROR(INDEX(tProdutos[Foco],MATCH(tItens[[#This Row],[Produto]],tProdutos[Produto],0)),"Não")</f>
        <v>Não</v>
      </c>
      <c r="O4356" t="str">
        <f>IFERROR(INDEX(tEditais[SRP],MATCH(tItens[[#This Row],[Edital]],tEditais[Edital],0)),"Não")</f>
        <v>Sim</v>
      </c>
      <c r="P4356" s="4">
        <f>IF(COUNTIFS(INDEX(tItens[Edital],1):tItens[[#This Row],[Edital]],tItens[[#This Row],[Edital]],INDEX(tItens[Produto],1):tItens[[#This Row],[Produto]],tItens[[#This Row],[Produto]])=1,1,0)</f>
        <v>1</v>
      </c>
    </row>
    <row r="4357" spans="1:16" x14ac:dyDescent="0.25">
      <c r="A4357" t="s">
        <v>1739</v>
      </c>
      <c r="B4357">
        <v>207</v>
      </c>
      <c r="C4357" t="s">
        <v>7212</v>
      </c>
      <c r="D4357" t="s">
        <v>86</v>
      </c>
      <c r="E4357" s="13">
        <v>510</v>
      </c>
      <c r="F4357" s="12">
        <v>24.42</v>
      </c>
      <c r="G4357" t="str">
        <f>IFERROR(INDEX(tEditais[Órgão],MATCH(tItens[[#This Row],[Edital]],tEditais[Edital],0)),"")</f>
        <v>FUNDO MUNICIPAL DE SAUDE</v>
      </c>
      <c r="H4357" t="str">
        <f>IFERROR(INDEX(tEditais[UF],MATCH(tItens[[#This Row],[Edital]],tEditais[Edital],0)),"")</f>
        <v>PA</v>
      </c>
      <c r="I4357" s="11">
        <f>IFERROR(INDEX(tEditais[Encerramento],MATCH(tItens[[#This Row],[Edital]],tEditais[Edital],0)),"")</f>
        <v>46310.364583333336</v>
      </c>
      <c r="J4357" t="str">
        <f>IFERROR(INDEX(tProdutos[Classe],MATCH(tItens[[#This Row],[Produto]],tProdutos[Produto],0)),"produto não cadastrado")</f>
        <v>NÚCLEO</v>
      </c>
      <c r="K4357" s="12">
        <f>tItens[[#This Row],[Qtd]]*tItens[[#This Row],[Vlr unit]]</f>
        <v>12454.2</v>
      </c>
      <c r="L4357" s="6">
        <f>IFERROR(IF(INDEX(tProdutos[Desconto homologado],MATCH(tItens[[#This Row],[Produto]],tProdutos[Produto],0))="",DescontoPadrao,INDEX(tProdutos[Desconto homologado],MATCH(tItens[[#This Row],[Produto]],tProdutos[Produto],0))),DescontoPadrao)</f>
        <v>0.20202020202020199</v>
      </c>
      <c r="M4357" s="12">
        <f>tItens[[#This Row],[Valor]]*(1-tItens[[#This Row],[Desconto]])</f>
        <v>9938.2000000000007</v>
      </c>
      <c r="N4357" t="str">
        <f>IFERROR(INDEX(tProdutos[Foco],MATCH(tItens[[#This Row],[Produto]],tProdutos[Produto],0)),"Não")</f>
        <v>Não</v>
      </c>
      <c r="O4357" t="str">
        <f>IFERROR(INDEX(tEditais[SRP],MATCH(tItens[[#This Row],[Edital]],tEditais[Edital],0)),"Não")</f>
        <v>Sim</v>
      </c>
      <c r="P4357" s="4">
        <f>IF(COUNTIFS(INDEX(tItens[Edital],1):tItens[[#This Row],[Edital]],tItens[[#This Row],[Edital]],INDEX(tItens[Produto],1):tItens[[#This Row],[Produto]],tItens[[#This Row],[Produto]])=1,1,0)</f>
        <v>1</v>
      </c>
    </row>
    <row r="4358" spans="1:16" x14ac:dyDescent="0.25">
      <c r="A4358" t="s">
        <v>1739</v>
      </c>
      <c r="B4358">
        <v>272</v>
      </c>
      <c r="C4358" t="s">
        <v>7213</v>
      </c>
      <c r="D4358" t="s">
        <v>142</v>
      </c>
      <c r="E4358" s="13">
        <v>330</v>
      </c>
      <c r="F4358" s="12">
        <v>13.79</v>
      </c>
      <c r="G4358" t="str">
        <f>IFERROR(INDEX(tEditais[Órgão],MATCH(tItens[[#This Row],[Edital]],tEditais[Edital],0)),"")</f>
        <v>FUNDO MUNICIPAL DE SAUDE</v>
      </c>
      <c r="H4358" t="str">
        <f>IFERROR(INDEX(tEditais[UF],MATCH(tItens[[#This Row],[Edital]],tEditais[Edital],0)),"")</f>
        <v>PA</v>
      </c>
      <c r="I4358" s="11">
        <f>IFERROR(INDEX(tEditais[Encerramento],MATCH(tItens[[#This Row],[Edital]],tEditais[Edital],0)),"")</f>
        <v>46310.364583333336</v>
      </c>
      <c r="J4358" t="str">
        <f>IFERROR(INDEX(tProdutos[Classe],MATCH(tItens[[#This Row],[Produto]],tProdutos[Produto],0)),"produto não cadastrado")</f>
        <v>DISPUTADO</v>
      </c>
      <c r="K4358" s="12">
        <f>tItens[[#This Row],[Qtd]]*tItens[[#This Row],[Vlr unit]]</f>
        <v>4550.7</v>
      </c>
      <c r="L4358" s="6">
        <f>IFERROR(IF(INDEX(tProdutos[Desconto homologado],MATCH(tItens[[#This Row],[Produto]],tProdutos[Produto],0))="",DescontoPadrao,INDEX(tProdutos[Desconto homologado],MATCH(tItens[[#This Row],[Produto]],tProdutos[Produto],0))),DescontoPadrao)</f>
        <v>0.37093619495691699</v>
      </c>
      <c r="M4358" s="12">
        <f>tItens[[#This Row],[Valor]]*(1-tItens[[#This Row],[Desconto]])</f>
        <v>2862.6806576095578</v>
      </c>
      <c r="N4358" t="str">
        <f>IFERROR(INDEX(tProdutos[Foco],MATCH(tItens[[#This Row],[Produto]],tProdutos[Produto],0)),"Não")</f>
        <v>Não</v>
      </c>
      <c r="O4358" t="str">
        <f>IFERROR(INDEX(tEditais[SRP],MATCH(tItens[[#This Row],[Edital]],tEditais[Edital],0)),"Não")</f>
        <v>Sim</v>
      </c>
      <c r="P4358" s="4">
        <f>IF(COUNTIFS(INDEX(tItens[Edital],1):tItens[[#This Row],[Edital]],tItens[[#This Row],[Edital]],INDEX(tItens[Produto],1):tItens[[#This Row],[Produto]],tItens[[#This Row],[Produto]])=1,1,0)</f>
        <v>1</v>
      </c>
    </row>
    <row r="4359" spans="1:16" x14ac:dyDescent="0.25">
      <c r="A4359" t="s">
        <v>1739</v>
      </c>
      <c r="B4359">
        <v>287</v>
      </c>
      <c r="C4359" t="s">
        <v>7214</v>
      </c>
      <c r="D4359" t="s">
        <v>56</v>
      </c>
      <c r="E4359" s="13">
        <v>10</v>
      </c>
      <c r="F4359" s="12">
        <v>53.41</v>
      </c>
      <c r="G4359" t="str">
        <f>IFERROR(INDEX(tEditais[Órgão],MATCH(tItens[[#This Row],[Edital]],tEditais[Edital],0)),"")</f>
        <v>FUNDO MUNICIPAL DE SAUDE</v>
      </c>
      <c r="H4359" t="str">
        <f>IFERROR(INDEX(tEditais[UF],MATCH(tItens[[#This Row],[Edital]],tEditais[Edital],0)),"")</f>
        <v>PA</v>
      </c>
      <c r="I4359" s="11">
        <f>IFERROR(INDEX(tEditais[Encerramento],MATCH(tItens[[#This Row],[Edital]],tEditais[Edital],0)),"")</f>
        <v>46310.364583333336</v>
      </c>
      <c r="J4359" t="str">
        <f>IFERROR(INDEX(tProdutos[Classe],MATCH(tItens[[#This Row],[Produto]],tProdutos[Produto],0)),"produto não cadastrado")</f>
        <v>NÚCLEO</v>
      </c>
      <c r="K4359" s="12">
        <f>tItens[[#This Row],[Qtd]]*tItens[[#This Row],[Vlr unit]]</f>
        <v>534.09999999999991</v>
      </c>
      <c r="L4359" s="6">
        <f>IFERROR(IF(INDEX(tProdutos[Desconto homologado],MATCH(tItens[[#This Row],[Produto]],tProdutos[Produto],0))="",DescontoPadrao,INDEX(tProdutos[Desconto homologado],MATCH(tItens[[#This Row],[Produto]],tProdutos[Produto],0))),DescontoPadrao)</f>
        <v>0.34</v>
      </c>
      <c r="M4359" s="12">
        <f>tItens[[#This Row],[Valor]]*(1-tItens[[#This Row],[Desconto]])</f>
        <v>352.50599999999991</v>
      </c>
      <c r="N4359" t="str">
        <f>IFERROR(INDEX(tProdutos[Foco],MATCH(tItens[[#This Row],[Produto]],tProdutos[Produto],0)),"Não")</f>
        <v>Sim</v>
      </c>
      <c r="O4359" t="str">
        <f>IFERROR(INDEX(tEditais[SRP],MATCH(tItens[[#This Row],[Edital]],tEditais[Edital],0)),"Não")</f>
        <v>Sim</v>
      </c>
      <c r="P4359" s="4">
        <f>IF(COUNTIFS(INDEX(tItens[Edital],1):tItens[[#This Row],[Edital]],tItens[[#This Row],[Edital]],INDEX(tItens[Produto],1):tItens[[#This Row],[Produto]],tItens[[#This Row],[Produto]])=1,1,0)</f>
        <v>1</v>
      </c>
    </row>
    <row r="4360" spans="1:16" x14ac:dyDescent="0.25">
      <c r="A4360" t="s">
        <v>1739</v>
      </c>
      <c r="B4360">
        <v>288</v>
      </c>
      <c r="C4360" t="s">
        <v>7215</v>
      </c>
      <c r="D4360" t="s">
        <v>56</v>
      </c>
      <c r="E4360" s="13">
        <v>205</v>
      </c>
      <c r="F4360" s="12">
        <v>46.85</v>
      </c>
      <c r="G4360" t="str">
        <f>IFERROR(INDEX(tEditais[Órgão],MATCH(tItens[[#This Row],[Edital]],tEditais[Edital],0)),"")</f>
        <v>FUNDO MUNICIPAL DE SAUDE</v>
      </c>
      <c r="H4360" t="str">
        <f>IFERROR(INDEX(tEditais[UF],MATCH(tItens[[#This Row],[Edital]],tEditais[Edital],0)),"")</f>
        <v>PA</v>
      </c>
      <c r="I4360" s="11">
        <f>IFERROR(INDEX(tEditais[Encerramento],MATCH(tItens[[#This Row],[Edital]],tEditais[Edital],0)),"")</f>
        <v>46310.364583333336</v>
      </c>
      <c r="J4360" t="str">
        <f>IFERROR(INDEX(tProdutos[Classe],MATCH(tItens[[#This Row],[Produto]],tProdutos[Produto],0)),"produto não cadastrado")</f>
        <v>NÚCLEO</v>
      </c>
      <c r="K4360" s="12">
        <f>tItens[[#This Row],[Qtd]]*tItens[[#This Row],[Vlr unit]]</f>
        <v>9604.25</v>
      </c>
      <c r="L4360" s="6">
        <f>IFERROR(IF(INDEX(tProdutos[Desconto homologado],MATCH(tItens[[#This Row],[Produto]],tProdutos[Produto],0))="",DescontoPadrao,INDEX(tProdutos[Desconto homologado],MATCH(tItens[[#This Row],[Produto]],tProdutos[Produto],0))),DescontoPadrao)</f>
        <v>0.34</v>
      </c>
      <c r="M4360" s="12">
        <f>tItens[[#This Row],[Valor]]*(1-tItens[[#This Row],[Desconto]])</f>
        <v>6338.8049999999994</v>
      </c>
      <c r="N4360" t="str">
        <f>IFERROR(INDEX(tProdutos[Foco],MATCH(tItens[[#This Row],[Produto]],tProdutos[Produto],0)),"Não")</f>
        <v>Sim</v>
      </c>
      <c r="O4360" t="str">
        <f>IFERROR(INDEX(tEditais[SRP],MATCH(tItens[[#This Row],[Edital]],tEditais[Edital],0)),"Não")</f>
        <v>Sim</v>
      </c>
      <c r="P4360" s="4">
        <f>IF(COUNTIFS(INDEX(tItens[Edital],1):tItens[[#This Row],[Edital]],tItens[[#This Row],[Edital]],INDEX(tItens[Produto],1):tItens[[#This Row],[Produto]],tItens[[#This Row],[Produto]])=1,1,0)</f>
        <v>0</v>
      </c>
    </row>
    <row r="4361" spans="1:16" x14ac:dyDescent="0.25">
      <c r="A4361" t="s">
        <v>1739</v>
      </c>
      <c r="B4361">
        <v>289</v>
      </c>
      <c r="C4361" t="s">
        <v>7216</v>
      </c>
      <c r="D4361" t="s">
        <v>56</v>
      </c>
      <c r="E4361" s="13">
        <v>300</v>
      </c>
      <c r="F4361" s="12">
        <v>48.69</v>
      </c>
      <c r="G4361" t="str">
        <f>IFERROR(INDEX(tEditais[Órgão],MATCH(tItens[[#This Row],[Edital]],tEditais[Edital],0)),"")</f>
        <v>FUNDO MUNICIPAL DE SAUDE</v>
      </c>
      <c r="H4361" t="str">
        <f>IFERROR(INDEX(tEditais[UF],MATCH(tItens[[#This Row],[Edital]],tEditais[Edital],0)),"")</f>
        <v>PA</v>
      </c>
      <c r="I4361" s="11">
        <f>IFERROR(INDEX(tEditais[Encerramento],MATCH(tItens[[#This Row],[Edital]],tEditais[Edital],0)),"")</f>
        <v>46310.364583333336</v>
      </c>
      <c r="J4361" t="str">
        <f>IFERROR(INDEX(tProdutos[Classe],MATCH(tItens[[#This Row],[Produto]],tProdutos[Produto],0)),"produto não cadastrado")</f>
        <v>NÚCLEO</v>
      </c>
      <c r="K4361" s="12">
        <f>tItens[[#This Row],[Qtd]]*tItens[[#This Row],[Vlr unit]]</f>
        <v>14607</v>
      </c>
      <c r="L4361" s="6">
        <f>IFERROR(IF(INDEX(tProdutos[Desconto homologado],MATCH(tItens[[#This Row],[Produto]],tProdutos[Produto],0))="",DescontoPadrao,INDEX(tProdutos[Desconto homologado],MATCH(tItens[[#This Row],[Produto]],tProdutos[Produto],0))),DescontoPadrao)</f>
        <v>0.34</v>
      </c>
      <c r="M4361" s="12">
        <f>tItens[[#This Row],[Valor]]*(1-tItens[[#This Row],[Desconto]])</f>
        <v>9640.619999999999</v>
      </c>
      <c r="N4361" t="str">
        <f>IFERROR(INDEX(tProdutos[Foco],MATCH(tItens[[#This Row],[Produto]],tProdutos[Produto],0)),"Não")</f>
        <v>Sim</v>
      </c>
      <c r="O4361" t="str">
        <f>IFERROR(INDEX(tEditais[SRP],MATCH(tItens[[#This Row],[Edital]],tEditais[Edital],0)),"Não")</f>
        <v>Sim</v>
      </c>
      <c r="P4361" s="4">
        <f>IF(COUNTIFS(INDEX(tItens[Edital],1):tItens[[#This Row],[Edital]],tItens[[#This Row],[Edital]],INDEX(tItens[Produto],1):tItens[[#This Row],[Produto]],tItens[[#This Row],[Produto]])=1,1,0)</f>
        <v>0</v>
      </c>
    </row>
    <row r="4362" spans="1:16" x14ac:dyDescent="0.25">
      <c r="A4362" t="s">
        <v>1739</v>
      </c>
      <c r="B4362">
        <v>290</v>
      </c>
      <c r="C4362" t="s">
        <v>7217</v>
      </c>
      <c r="D4362" t="s">
        <v>56</v>
      </c>
      <c r="E4362" s="13">
        <v>300</v>
      </c>
      <c r="F4362" s="12">
        <v>42.45</v>
      </c>
      <c r="G4362" t="str">
        <f>IFERROR(INDEX(tEditais[Órgão],MATCH(tItens[[#This Row],[Edital]],tEditais[Edital],0)),"")</f>
        <v>FUNDO MUNICIPAL DE SAUDE</v>
      </c>
      <c r="H4362" t="str">
        <f>IFERROR(INDEX(tEditais[UF],MATCH(tItens[[#This Row],[Edital]],tEditais[Edital],0)),"")</f>
        <v>PA</v>
      </c>
      <c r="I4362" s="11">
        <f>IFERROR(INDEX(tEditais[Encerramento],MATCH(tItens[[#This Row],[Edital]],tEditais[Edital],0)),"")</f>
        <v>46310.364583333336</v>
      </c>
      <c r="J4362" t="str">
        <f>IFERROR(INDEX(tProdutos[Classe],MATCH(tItens[[#This Row],[Produto]],tProdutos[Produto],0)),"produto não cadastrado")</f>
        <v>NÚCLEO</v>
      </c>
      <c r="K4362" s="12">
        <f>tItens[[#This Row],[Qtd]]*tItens[[#This Row],[Vlr unit]]</f>
        <v>12735</v>
      </c>
      <c r="L4362" s="6">
        <f>IFERROR(IF(INDEX(tProdutos[Desconto homologado],MATCH(tItens[[#This Row],[Produto]],tProdutos[Produto],0))="",DescontoPadrao,INDEX(tProdutos[Desconto homologado],MATCH(tItens[[#This Row],[Produto]],tProdutos[Produto],0))),DescontoPadrao)</f>
        <v>0.34</v>
      </c>
      <c r="M4362" s="12">
        <f>tItens[[#This Row],[Valor]]*(1-tItens[[#This Row],[Desconto]])</f>
        <v>8405.0999999999985</v>
      </c>
      <c r="N4362" t="str">
        <f>IFERROR(INDEX(tProdutos[Foco],MATCH(tItens[[#This Row],[Produto]],tProdutos[Produto],0)),"Não")</f>
        <v>Sim</v>
      </c>
      <c r="O4362" t="str">
        <f>IFERROR(INDEX(tEditais[SRP],MATCH(tItens[[#This Row],[Edital]],tEditais[Edital],0)),"Não")</f>
        <v>Sim</v>
      </c>
      <c r="P4362" s="4">
        <f>IF(COUNTIFS(INDEX(tItens[Edital],1):tItens[[#This Row],[Edital]],tItens[[#This Row],[Edital]],INDEX(tItens[Produto],1):tItens[[#This Row],[Produto]],tItens[[#This Row],[Produto]])=1,1,0)</f>
        <v>0</v>
      </c>
    </row>
    <row r="4363" spans="1:16" x14ac:dyDescent="0.25">
      <c r="A4363" t="s">
        <v>1739</v>
      </c>
      <c r="B4363">
        <v>291</v>
      </c>
      <c r="C4363" t="s">
        <v>7218</v>
      </c>
      <c r="D4363" t="s">
        <v>267</v>
      </c>
      <c r="E4363" s="13">
        <v>60</v>
      </c>
      <c r="F4363" s="12">
        <v>44.97</v>
      </c>
      <c r="G4363" t="str">
        <f>IFERROR(INDEX(tEditais[Órgão],MATCH(tItens[[#This Row],[Edital]],tEditais[Edital],0)),"")</f>
        <v>FUNDO MUNICIPAL DE SAUDE</v>
      </c>
      <c r="H4363" t="str">
        <f>IFERROR(INDEX(tEditais[UF],MATCH(tItens[[#This Row],[Edital]],tEditais[Edital],0)),"")</f>
        <v>PA</v>
      </c>
      <c r="I4363" s="11">
        <f>IFERROR(INDEX(tEditais[Encerramento],MATCH(tItens[[#This Row],[Edital]],tEditais[Edital],0)),"")</f>
        <v>46310.364583333336</v>
      </c>
      <c r="J4363" t="str">
        <f>IFERROR(INDEX(tProdutos[Classe],MATCH(tItens[[#This Row],[Produto]],tProdutos[Produto],0)),"produto não cadastrado")</f>
        <v>FORA</v>
      </c>
      <c r="K4363" s="12">
        <f>tItens[[#This Row],[Qtd]]*tItens[[#This Row],[Vlr unit]]</f>
        <v>2698.2</v>
      </c>
      <c r="L4363" s="6">
        <f>IFERROR(IF(INDEX(tProdutos[Desconto homologado],MATCH(tItens[[#This Row],[Produto]],tProdutos[Produto],0))="",DescontoPadrao,INDEX(tProdutos[Desconto homologado],MATCH(tItens[[#This Row],[Produto]],tProdutos[Produto],0))),DescontoPadrao)</f>
        <v>0.19963672657401599</v>
      </c>
      <c r="M4363" s="12">
        <f>tItens[[#This Row],[Valor]]*(1-tItens[[#This Row],[Desconto]])</f>
        <v>2159.5401843579898</v>
      </c>
      <c r="N4363" t="str">
        <f>IFERROR(INDEX(tProdutos[Foco],MATCH(tItens[[#This Row],[Produto]],tProdutos[Produto],0)),"Não")</f>
        <v>Não</v>
      </c>
      <c r="O4363" t="str">
        <f>IFERROR(INDEX(tEditais[SRP],MATCH(tItens[[#This Row],[Edital]],tEditais[Edital],0)),"Não")</f>
        <v>Sim</v>
      </c>
      <c r="P4363" s="4">
        <f>IF(COUNTIFS(INDEX(tItens[Edital],1):tItens[[#This Row],[Edital]],tItens[[#This Row],[Edital]],INDEX(tItens[Produto],1):tItens[[#This Row],[Produto]],tItens[[#This Row],[Produto]])=1,1,0)</f>
        <v>1</v>
      </c>
    </row>
    <row r="4364" spans="1:16" x14ac:dyDescent="0.25">
      <c r="A4364" t="s">
        <v>1739</v>
      </c>
      <c r="B4364">
        <v>310</v>
      </c>
      <c r="C4364" t="s">
        <v>7219</v>
      </c>
      <c r="D4364" t="s">
        <v>313</v>
      </c>
      <c r="E4364" s="13">
        <v>1100</v>
      </c>
      <c r="F4364" s="12">
        <v>26.49</v>
      </c>
      <c r="G4364" t="str">
        <f>IFERROR(INDEX(tEditais[Órgão],MATCH(tItens[[#This Row],[Edital]],tEditais[Edital],0)),"")</f>
        <v>FUNDO MUNICIPAL DE SAUDE</v>
      </c>
      <c r="H4364" t="str">
        <f>IFERROR(INDEX(tEditais[UF],MATCH(tItens[[#This Row],[Edital]],tEditais[Edital],0)),"")</f>
        <v>PA</v>
      </c>
      <c r="I4364" s="11">
        <f>IFERROR(INDEX(tEditais[Encerramento],MATCH(tItens[[#This Row],[Edital]],tEditais[Edital],0)),"")</f>
        <v>46310.364583333336</v>
      </c>
      <c r="J4364" t="str">
        <f>IFERROR(INDEX(tProdutos[Classe],MATCH(tItens[[#This Row],[Produto]],tProdutos[Produto],0)),"produto não cadastrado")</f>
        <v>FORA</v>
      </c>
      <c r="K4364" s="12">
        <f>tItens[[#This Row],[Qtd]]*tItens[[#This Row],[Vlr unit]]</f>
        <v>29139</v>
      </c>
      <c r="L4364" s="6">
        <f>IFERROR(IF(INDEX(tProdutos[Desconto homologado],MATCH(tItens[[#This Row],[Produto]],tProdutos[Produto],0))="",DescontoPadrao,INDEX(tProdutos[Desconto homologado],MATCH(tItens[[#This Row],[Produto]],tProdutos[Produto],0))),DescontoPadrao)</f>
        <v>0.35766373163696302</v>
      </c>
      <c r="M4364" s="12">
        <f>tItens[[#This Row],[Valor]]*(1-tItens[[#This Row],[Desconto]])</f>
        <v>18717.036523830531</v>
      </c>
      <c r="N4364" t="str">
        <f>IFERROR(INDEX(tProdutos[Foco],MATCH(tItens[[#This Row],[Produto]],tProdutos[Produto],0)),"Não")</f>
        <v>Não</v>
      </c>
      <c r="O4364" t="str">
        <f>IFERROR(INDEX(tEditais[SRP],MATCH(tItens[[#This Row],[Edital]],tEditais[Edital],0)),"Não")</f>
        <v>Sim</v>
      </c>
      <c r="P4364" s="4">
        <f>IF(COUNTIFS(INDEX(tItens[Edital],1):tItens[[#This Row],[Edital]],tItens[[#This Row],[Edital]],INDEX(tItens[Produto],1):tItens[[#This Row],[Produto]],tItens[[#This Row],[Produto]])=1,1,0)</f>
        <v>1</v>
      </c>
    </row>
    <row r="4365" spans="1:16" x14ac:dyDescent="0.25">
      <c r="A4365" t="s">
        <v>1739</v>
      </c>
      <c r="B4365">
        <v>311</v>
      </c>
      <c r="C4365" t="s">
        <v>7220</v>
      </c>
      <c r="D4365" t="s">
        <v>313</v>
      </c>
      <c r="E4365" s="13">
        <v>1600</v>
      </c>
      <c r="F4365" s="12">
        <v>27.12</v>
      </c>
      <c r="G4365" t="str">
        <f>IFERROR(INDEX(tEditais[Órgão],MATCH(tItens[[#This Row],[Edital]],tEditais[Edital],0)),"")</f>
        <v>FUNDO MUNICIPAL DE SAUDE</v>
      </c>
      <c r="H4365" t="str">
        <f>IFERROR(INDEX(tEditais[UF],MATCH(tItens[[#This Row],[Edital]],tEditais[Edital],0)),"")</f>
        <v>PA</v>
      </c>
      <c r="I4365" s="11">
        <f>IFERROR(INDEX(tEditais[Encerramento],MATCH(tItens[[#This Row],[Edital]],tEditais[Edital],0)),"")</f>
        <v>46310.364583333336</v>
      </c>
      <c r="J4365" t="str">
        <f>IFERROR(INDEX(tProdutos[Classe],MATCH(tItens[[#This Row],[Produto]],tProdutos[Produto],0)),"produto não cadastrado")</f>
        <v>FORA</v>
      </c>
      <c r="K4365" s="12">
        <f>tItens[[#This Row],[Qtd]]*tItens[[#This Row],[Vlr unit]]</f>
        <v>43392</v>
      </c>
      <c r="L4365" s="6">
        <f>IFERROR(IF(INDEX(tProdutos[Desconto homologado],MATCH(tItens[[#This Row],[Produto]],tProdutos[Produto],0))="",DescontoPadrao,INDEX(tProdutos[Desconto homologado],MATCH(tItens[[#This Row],[Produto]],tProdutos[Produto],0))),DescontoPadrao)</f>
        <v>0.35766373163696302</v>
      </c>
      <c r="M4365" s="12">
        <f>tItens[[#This Row],[Valor]]*(1-tItens[[#This Row],[Desconto]])</f>
        <v>27872.255356808899</v>
      </c>
      <c r="N4365" t="str">
        <f>IFERROR(INDEX(tProdutos[Foco],MATCH(tItens[[#This Row],[Produto]],tProdutos[Produto],0)),"Não")</f>
        <v>Não</v>
      </c>
      <c r="O4365" t="str">
        <f>IFERROR(INDEX(tEditais[SRP],MATCH(tItens[[#This Row],[Edital]],tEditais[Edital],0)),"Não")</f>
        <v>Sim</v>
      </c>
      <c r="P4365" s="4">
        <f>IF(COUNTIFS(INDEX(tItens[Edital],1):tItens[[#This Row],[Edital]],tItens[[#This Row],[Edital]],INDEX(tItens[Produto],1):tItens[[#This Row],[Produto]],tItens[[#This Row],[Produto]])=1,1,0)</f>
        <v>0</v>
      </c>
    </row>
    <row r="4366" spans="1:16" x14ac:dyDescent="0.25">
      <c r="A4366" t="s">
        <v>1739</v>
      </c>
      <c r="B4366">
        <v>312</v>
      </c>
      <c r="C4366" t="s">
        <v>7221</v>
      </c>
      <c r="D4366" t="s">
        <v>313</v>
      </c>
      <c r="E4366" s="13">
        <v>1700</v>
      </c>
      <c r="F4366" s="12">
        <v>26</v>
      </c>
      <c r="G4366" t="str">
        <f>IFERROR(INDEX(tEditais[Órgão],MATCH(tItens[[#This Row],[Edital]],tEditais[Edital],0)),"")</f>
        <v>FUNDO MUNICIPAL DE SAUDE</v>
      </c>
      <c r="H4366" t="str">
        <f>IFERROR(INDEX(tEditais[UF],MATCH(tItens[[#This Row],[Edital]],tEditais[Edital],0)),"")</f>
        <v>PA</v>
      </c>
      <c r="I4366" s="11">
        <f>IFERROR(INDEX(tEditais[Encerramento],MATCH(tItens[[#This Row],[Edital]],tEditais[Edital],0)),"")</f>
        <v>46310.364583333336</v>
      </c>
      <c r="J4366" t="str">
        <f>IFERROR(INDEX(tProdutos[Classe],MATCH(tItens[[#This Row],[Produto]],tProdutos[Produto],0)),"produto não cadastrado")</f>
        <v>FORA</v>
      </c>
      <c r="K4366" s="12">
        <f>tItens[[#This Row],[Qtd]]*tItens[[#This Row],[Vlr unit]]</f>
        <v>44200</v>
      </c>
      <c r="L4366" s="6">
        <f>IFERROR(IF(INDEX(tProdutos[Desconto homologado],MATCH(tItens[[#This Row],[Produto]],tProdutos[Produto],0))="",DescontoPadrao,INDEX(tProdutos[Desconto homologado],MATCH(tItens[[#This Row],[Produto]],tProdutos[Produto],0))),DescontoPadrao)</f>
        <v>0.35766373163696302</v>
      </c>
      <c r="M4366" s="12">
        <f>tItens[[#This Row],[Valor]]*(1-tItens[[#This Row],[Desconto]])</f>
        <v>28391.26306164623</v>
      </c>
      <c r="N4366" t="str">
        <f>IFERROR(INDEX(tProdutos[Foco],MATCH(tItens[[#This Row],[Produto]],tProdutos[Produto],0)),"Não")</f>
        <v>Não</v>
      </c>
      <c r="O4366" t="str">
        <f>IFERROR(INDEX(tEditais[SRP],MATCH(tItens[[#This Row],[Edital]],tEditais[Edital],0)),"Não")</f>
        <v>Sim</v>
      </c>
      <c r="P4366" s="4">
        <f>IF(COUNTIFS(INDEX(tItens[Edital],1):tItens[[#This Row],[Edital]],tItens[[#This Row],[Edital]],INDEX(tItens[Produto],1):tItens[[#This Row],[Produto]],tItens[[#This Row],[Produto]])=1,1,0)</f>
        <v>0</v>
      </c>
    </row>
    <row r="4367" spans="1:16" x14ac:dyDescent="0.25">
      <c r="A4367" t="s">
        <v>1739</v>
      </c>
      <c r="B4367">
        <v>313</v>
      </c>
      <c r="C4367" t="s">
        <v>7222</v>
      </c>
      <c r="D4367" t="s">
        <v>313</v>
      </c>
      <c r="E4367" s="13">
        <v>1700</v>
      </c>
      <c r="F4367" s="12">
        <v>27.35</v>
      </c>
      <c r="G4367" t="str">
        <f>IFERROR(INDEX(tEditais[Órgão],MATCH(tItens[[#This Row],[Edital]],tEditais[Edital],0)),"")</f>
        <v>FUNDO MUNICIPAL DE SAUDE</v>
      </c>
      <c r="H4367" t="str">
        <f>IFERROR(INDEX(tEditais[UF],MATCH(tItens[[#This Row],[Edital]],tEditais[Edital],0)),"")</f>
        <v>PA</v>
      </c>
      <c r="I4367" s="11">
        <f>IFERROR(INDEX(tEditais[Encerramento],MATCH(tItens[[#This Row],[Edital]],tEditais[Edital],0)),"")</f>
        <v>46310.364583333336</v>
      </c>
      <c r="J4367" t="str">
        <f>IFERROR(INDEX(tProdutos[Classe],MATCH(tItens[[#This Row],[Produto]],tProdutos[Produto],0)),"produto não cadastrado")</f>
        <v>FORA</v>
      </c>
      <c r="K4367" s="12">
        <f>tItens[[#This Row],[Qtd]]*tItens[[#This Row],[Vlr unit]]</f>
        <v>46495</v>
      </c>
      <c r="L4367" s="6">
        <f>IFERROR(IF(INDEX(tProdutos[Desconto homologado],MATCH(tItens[[#This Row],[Produto]],tProdutos[Produto],0))="",DescontoPadrao,INDEX(tProdutos[Desconto homologado],MATCH(tItens[[#This Row],[Produto]],tProdutos[Produto],0))),DescontoPadrao)</f>
        <v>0.35766373163696302</v>
      </c>
      <c r="M4367" s="12">
        <f>tItens[[#This Row],[Valor]]*(1-tItens[[#This Row],[Desconto]])</f>
        <v>29865.424797539403</v>
      </c>
      <c r="N4367" t="str">
        <f>IFERROR(INDEX(tProdutos[Foco],MATCH(tItens[[#This Row],[Produto]],tProdutos[Produto],0)),"Não")</f>
        <v>Não</v>
      </c>
      <c r="O4367" t="str">
        <f>IFERROR(INDEX(tEditais[SRP],MATCH(tItens[[#This Row],[Edital]],tEditais[Edital],0)),"Não")</f>
        <v>Sim</v>
      </c>
      <c r="P4367" s="4">
        <f>IF(COUNTIFS(INDEX(tItens[Edital],1):tItens[[#This Row],[Edital]],tItens[[#This Row],[Edital]],INDEX(tItens[Produto],1):tItens[[#This Row],[Produto]],tItens[[#This Row],[Produto]])=1,1,0)</f>
        <v>0</v>
      </c>
    </row>
    <row r="4368" spans="1:16" x14ac:dyDescent="0.25">
      <c r="A4368" t="s">
        <v>1739</v>
      </c>
      <c r="B4368">
        <v>321</v>
      </c>
      <c r="C4368" t="s">
        <v>7223</v>
      </c>
      <c r="D4368" t="s">
        <v>174</v>
      </c>
      <c r="E4368" s="13">
        <v>515</v>
      </c>
      <c r="F4368" s="12">
        <v>23.45</v>
      </c>
      <c r="G4368" t="str">
        <f>IFERROR(INDEX(tEditais[Órgão],MATCH(tItens[[#This Row],[Edital]],tEditais[Edital],0)),"")</f>
        <v>FUNDO MUNICIPAL DE SAUDE</v>
      </c>
      <c r="H4368" t="str">
        <f>IFERROR(INDEX(tEditais[UF],MATCH(tItens[[#This Row],[Edital]],tEditais[Edital],0)),"")</f>
        <v>PA</v>
      </c>
      <c r="I4368" s="11">
        <f>IFERROR(INDEX(tEditais[Encerramento],MATCH(tItens[[#This Row],[Edital]],tEditais[Edital],0)),"")</f>
        <v>46310.364583333336</v>
      </c>
      <c r="J4368" t="str">
        <f>IFERROR(INDEX(tProdutos[Classe],MATCH(tItens[[#This Row],[Produto]],tProdutos[Produto],0)),"produto não cadastrado")</f>
        <v>DISPUTADO</v>
      </c>
      <c r="K4368" s="12">
        <f>tItens[[#This Row],[Qtd]]*tItens[[#This Row],[Vlr unit]]</f>
        <v>12076.75</v>
      </c>
      <c r="L4368" s="6">
        <f>IFERROR(IF(INDEX(tProdutos[Desconto homologado],MATCH(tItens[[#This Row],[Produto]],tProdutos[Produto],0))="",DescontoPadrao,INDEX(tProdutos[Desconto homologado],MATCH(tItens[[#This Row],[Produto]],tProdutos[Produto],0))),DescontoPadrao)</f>
        <v>0.50491678656591998</v>
      </c>
      <c r="M4368" s="12">
        <f>tItens[[#This Row],[Valor]]*(1-tItens[[#This Row],[Desconto]])</f>
        <v>5978.9961978400261</v>
      </c>
      <c r="N4368" t="str">
        <f>IFERROR(INDEX(tProdutos[Foco],MATCH(tItens[[#This Row],[Produto]],tProdutos[Produto],0)),"Não")</f>
        <v>Não</v>
      </c>
      <c r="O4368" t="str">
        <f>IFERROR(INDEX(tEditais[SRP],MATCH(tItens[[#This Row],[Edital]],tEditais[Edital],0)),"Não")</f>
        <v>Sim</v>
      </c>
      <c r="P4368" s="4">
        <f>IF(COUNTIFS(INDEX(tItens[Edital],1):tItens[[#This Row],[Edital]],tItens[[#This Row],[Edital]],INDEX(tItens[Produto],1):tItens[[#This Row],[Produto]],tItens[[#This Row],[Produto]])=1,1,0)</f>
        <v>1</v>
      </c>
    </row>
    <row r="4369" spans="1:16" x14ac:dyDescent="0.25">
      <c r="A4369" t="s">
        <v>1739</v>
      </c>
      <c r="B4369">
        <v>322</v>
      </c>
      <c r="C4369" t="s">
        <v>7224</v>
      </c>
      <c r="D4369" t="s">
        <v>455</v>
      </c>
      <c r="E4369" s="13">
        <v>800</v>
      </c>
      <c r="F4369" s="12">
        <v>74.05</v>
      </c>
      <c r="G4369" t="str">
        <f>IFERROR(INDEX(tEditais[Órgão],MATCH(tItens[[#This Row],[Edital]],tEditais[Edital],0)),"")</f>
        <v>FUNDO MUNICIPAL DE SAUDE</v>
      </c>
      <c r="H4369" t="str">
        <f>IFERROR(INDEX(tEditais[UF],MATCH(tItens[[#This Row],[Edital]],tEditais[Edital],0)),"")</f>
        <v>PA</v>
      </c>
      <c r="I4369" s="11">
        <f>IFERROR(INDEX(tEditais[Encerramento],MATCH(tItens[[#This Row],[Edital]],tEditais[Edital],0)),"")</f>
        <v>46310.364583333336</v>
      </c>
      <c r="J4369" t="str">
        <f>IFERROR(INDEX(tProdutos[Classe],MATCH(tItens[[#This Row],[Produto]],tProdutos[Produto],0)),"produto não cadastrado")</f>
        <v>FILA REBASE</v>
      </c>
      <c r="K4369" s="12">
        <f>tItens[[#This Row],[Qtd]]*tItens[[#This Row],[Vlr unit]]</f>
        <v>59240</v>
      </c>
      <c r="L4369" s="6">
        <f>IFERROR(IF(INDEX(tProdutos[Desconto homologado],MATCH(tItens[[#This Row],[Produto]],tProdutos[Produto],0))="",DescontoPadrao,INDEX(tProdutos[Desconto homologado],MATCH(tItens[[#This Row],[Produto]],tProdutos[Produto],0))),DescontoPadrao)</f>
        <v>0.29595946765523801</v>
      </c>
      <c r="M4369" s="12">
        <f>tItens[[#This Row],[Valor]]*(1-tItens[[#This Row],[Desconto]])</f>
        <v>41707.361136103704</v>
      </c>
      <c r="N4369" t="str">
        <f>IFERROR(INDEX(tProdutos[Foco],MATCH(tItens[[#This Row],[Produto]],tProdutos[Produto],0)),"Não")</f>
        <v>Não</v>
      </c>
      <c r="O4369" t="str">
        <f>IFERROR(INDEX(tEditais[SRP],MATCH(tItens[[#This Row],[Edital]],tEditais[Edital],0)),"Não")</f>
        <v>Sim</v>
      </c>
      <c r="P4369" s="4">
        <f>IF(COUNTIFS(INDEX(tItens[Edital],1):tItens[[#This Row],[Edital]],tItens[[#This Row],[Edital]],INDEX(tItens[Produto],1):tItens[[#This Row],[Produto]],tItens[[#This Row],[Produto]])=1,1,0)</f>
        <v>0</v>
      </c>
    </row>
    <row r="4370" spans="1:16" x14ac:dyDescent="0.25">
      <c r="A4370" t="s">
        <v>1739</v>
      </c>
      <c r="B4370">
        <v>323</v>
      </c>
      <c r="C4370" t="s">
        <v>7225</v>
      </c>
      <c r="D4370" t="s">
        <v>455</v>
      </c>
      <c r="E4370" s="13">
        <v>800</v>
      </c>
      <c r="F4370" s="12">
        <v>82.1</v>
      </c>
      <c r="G4370" t="str">
        <f>IFERROR(INDEX(tEditais[Órgão],MATCH(tItens[[#This Row],[Edital]],tEditais[Edital],0)),"")</f>
        <v>FUNDO MUNICIPAL DE SAUDE</v>
      </c>
      <c r="H4370" t="str">
        <f>IFERROR(INDEX(tEditais[UF],MATCH(tItens[[#This Row],[Edital]],tEditais[Edital],0)),"")</f>
        <v>PA</v>
      </c>
      <c r="I4370" s="11">
        <f>IFERROR(INDEX(tEditais[Encerramento],MATCH(tItens[[#This Row],[Edital]],tEditais[Edital],0)),"")</f>
        <v>46310.364583333336</v>
      </c>
      <c r="J4370" t="str">
        <f>IFERROR(INDEX(tProdutos[Classe],MATCH(tItens[[#This Row],[Produto]],tProdutos[Produto],0)),"produto não cadastrado")</f>
        <v>FILA REBASE</v>
      </c>
      <c r="K4370" s="12">
        <f>tItens[[#This Row],[Qtd]]*tItens[[#This Row],[Vlr unit]]</f>
        <v>65680</v>
      </c>
      <c r="L4370" s="6">
        <f>IFERROR(IF(INDEX(tProdutos[Desconto homologado],MATCH(tItens[[#This Row],[Produto]],tProdutos[Produto],0))="",DescontoPadrao,INDEX(tProdutos[Desconto homologado],MATCH(tItens[[#This Row],[Produto]],tProdutos[Produto],0))),DescontoPadrao)</f>
        <v>0.29595946765523801</v>
      </c>
      <c r="M4370" s="12">
        <f>tItens[[#This Row],[Valor]]*(1-tItens[[#This Row],[Desconto]])</f>
        <v>46241.382164403971</v>
      </c>
      <c r="N4370" t="str">
        <f>IFERROR(INDEX(tProdutos[Foco],MATCH(tItens[[#This Row],[Produto]],tProdutos[Produto],0)),"Não")</f>
        <v>Não</v>
      </c>
      <c r="O4370" t="str">
        <f>IFERROR(INDEX(tEditais[SRP],MATCH(tItens[[#This Row],[Edital]],tEditais[Edital],0)),"Não")</f>
        <v>Sim</v>
      </c>
      <c r="P4370" s="4">
        <f>IF(COUNTIFS(INDEX(tItens[Edital],1):tItens[[#This Row],[Edital]],tItens[[#This Row],[Edital]],INDEX(tItens[Produto],1):tItens[[#This Row],[Produto]],tItens[[#This Row],[Produto]])=1,1,0)</f>
        <v>0</v>
      </c>
    </row>
    <row r="4371" spans="1:16" x14ac:dyDescent="0.25">
      <c r="A4371" t="s">
        <v>1739</v>
      </c>
      <c r="B4371">
        <v>332</v>
      </c>
      <c r="C4371" t="s">
        <v>7226</v>
      </c>
      <c r="D4371" t="s">
        <v>494</v>
      </c>
      <c r="E4371" s="13">
        <v>305</v>
      </c>
      <c r="F4371" s="12">
        <v>73.22</v>
      </c>
      <c r="G4371" t="str">
        <f>IFERROR(INDEX(tEditais[Órgão],MATCH(tItens[[#This Row],[Edital]],tEditais[Edital],0)),"")</f>
        <v>FUNDO MUNICIPAL DE SAUDE</v>
      </c>
      <c r="H4371" t="str">
        <f>IFERROR(INDEX(tEditais[UF],MATCH(tItens[[#This Row],[Edital]],tEditais[Edital],0)),"")</f>
        <v>PA</v>
      </c>
      <c r="I4371" s="11">
        <f>IFERROR(INDEX(tEditais[Encerramento],MATCH(tItens[[#This Row],[Edital]],tEditais[Edital],0)),"")</f>
        <v>46310.364583333336</v>
      </c>
      <c r="J4371" t="str">
        <f>IFERROR(INDEX(tProdutos[Classe],MATCH(tItens[[#This Row],[Produto]],tProdutos[Produto],0)),"produto não cadastrado")</f>
        <v>FILA REBASE</v>
      </c>
      <c r="K4371" s="12">
        <f>tItens[[#This Row],[Qtd]]*tItens[[#This Row],[Vlr unit]]</f>
        <v>22332.1</v>
      </c>
      <c r="L4371" s="6">
        <f>IFERROR(IF(INDEX(tProdutos[Desconto homologado],MATCH(tItens[[#This Row],[Produto]],tProdutos[Produto],0))="",DescontoPadrao,INDEX(tProdutos[Desconto homologado],MATCH(tItens[[#This Row],[Produto]],tProdutos[Produto],0))),DescontoPadrao)</f>
        <v>0.253736324829619</v>
      </c>
      <c r="M4371" s="12">
        <f>tItens[[#This Row],[Valor]]*(1-tItens[[#This Row],[Desconto]])</f>
        <v>16665.635020272464</v>
      </c>
      <c r="N4371" t="str">
        <f>IFERROR(INDEX(tProdutos[Foco],MATCH(tItens[[#This Row],[Produto]],tProdutos[Produto],0)),"Não")</f>
        <v>Não</v>
      </c>
      <c r="O4371" t="str">
        <f>IFERROR(INDEX(tEditais[SRP],MATCH(tItens[[#This Row],[Edital]],tEditais[Edital],0)),"Não")</f>
        <v>Sim</v>
      </c>
      <c r="P4371" s="4">
        <f>IF(COUNTIFS(INDEX(tItens[Edital],1):tItens[[#This Row],[Edital]],tItens[[#This Row],[Edital]],INDEX(tItens[Produto],1):tItens[[#This Row],[Produto]],tItens[[#This Row],[Produto]])=1,1,0)</f>
        <v>1</v>
      </c>
    </row>
    <row r="4372" spans="1:16" x14ac:dyDescent="0.25">
      <c r="A4372" t="s">
        <v>1739</v>
      </c>
      <c r="B4372">
        <v>333</v>
      </c>
      <c r="C4372" t="s">
        <v>7227</v>
      </c>
      <c r="D4372" t="s">
        <v>494</v>
      </c>
      <c r="E4372" s="13">
        <v>305</v>
      </c>
      <c r="F4372" s="12">
        <v>97.09</v>
      </c>
      <c r="G4372" t="str">
        <f>IFERROR(INDEX(tEditais[Órgão],MATCH(tItens[[#This Row],[Edital]],tEditais[Edital],0)),"")</f>
        <v>FUNDO MUNICIPAL DE SAUDE</v>
      </c>
      <c r="H4372" t="str">
        <f>IFERROR(INDEX(tEditais[UF],MATCH(tItens[[#This Row],[Edital]],tEditais[Edital],0)),"")</f>
        <v>PA</v>
      </c>
      <c r="I4372" s="11">
        <f>IFERROR(INDEX(tEditais[Encerramento],MATCH(tItens[[#This Row],[Edital]],tEditais[Edital],0)),"")</f>
        <v>46310.364583333336</v>
      </c>
      <c r="J4372" t="str">
        <f>IFERROR(INDEX(tProdutos[Classe],MATCH(tItens[[#This Row],[Produto]],tProdutos[Produto],0)),"produto não cadastrado")</f>
        <v>FILA REBASE</v>
      </c>
      <c r="K4372" s="12">
        <f>tItens[[#This Row],[Qtd]]*tItens[[#This Row],[Vlr unit]]</f>
        <v>29612.45</v>
      </c>
      <c r="L4372" s="6">
        <f>IFERROR(IF(INDEX(tProdutos[Desconto homologado],MATCH(tItens[[#This Row],[Produto]],tProdutos[Produto],0))="",DescontoPadrao,INDEX(tProdutos[Desconto homologado],MATCH(tItens[[#This Row],[Produto]],tProdutos[Produto],0))),DescontoPadrao)</f>
        <v>0.253736324829619</v>
      </c>
      <c r="M4372" s="12">
        <f>tItens[[#This Row],[Valor]]*(1-tItens[[#This Row],[Desconto]])</f>
        <v>22098.695767799152</v>
      </c>
      <c r="N4372" t="str">
        <f>IFERROR(INDEX(tProdutos[Foco],MATCH(tItens[[#This Row],[Produto]],tProdutos[Produto],0)),"Não")</f>
        <v>Não</v>
      </c>
      <c r="O4372" t="str">
        <f>IFERROR(INDEX(tEditais[SRP],MATCH(tItens[[#This Row],[Edital]],tEditais[Edital],0)),"Não")</f>
        <v>Sim</v>
      </c>
      <c r="P4372" s="4">
        <f>IF(COUNTIFS(INDEX(tItens[Edital],1):tItens[[#This Row],[Edital]],tItens[[#This Row],[Edital]],INDEX(tItens[Produto],1):tItens[[#This Row],[Produto]],tItens[[#This Row],[Produto]])=1,1,0)</f>
        <v>0</v>
      </c>
    </row>
    <row r="4373" spans="1:16" x14ac:dyDescent="0.25">
      <c r="A4373" t="s">
        <v>1739</v>
      </c>
      <c r="B4373">
        <v>334</v>
      </c>
      <c r="C4373" t="s">
        <v>6797</v>
      </c>
      <c r="D4373" t="s">
        <v>494</v>
      </c>
      <c r="E4373" s="13">
        <v>305</v>
      </c>
      <c r="F4373" s="12">
        <v>96.32</v>
      </c>
      <c r="G4373" t="str">
        <f>IFERROR(INDEX(tEditais[Órgão],MATCH(tItens[[#This Row],[Edital]],tEditais[Edital],0)),"")</f>
        <v>FUNDO MUNICIPAL DE SAUDE</v>
      </c>
      <c r="H4373" t="str">
        <f>IFERROR(INDEX(tEditais[UF],MATCH(tItens[[#This Row],[Edital]],tEditais[Edital],0)),"")</f>
        <v>PA</v>
      </c>
      <c r="I4373" s="11">
        <f>IFERROR(INDEX(tEditais[Encerramento],MATCH(tItens[[#This Row],[Edital]],tEditais[Edital],0)),"")</f>
        <v>46310.364583333336</v>
      </c>
      <c r="J4373" t="str">
        <f>IFERROR(INDEX(tProdutos[Classe],MATCH(tItens[[#This Row],[Produto]],tProdutos[Produto],0)),"produto não cadastrado")</f>
        <v>FILA REBASE</v>
      </c>
      <c r="K4373" s="12">
        <f>tItens[[#This Row],[Qtd]]*tItens[[#This Row],[Vlr unit]]</f>
        <v>29377.599999999999</v>
      </c>
      <c r="L4373" s="6">
        <f>IFERROR(IF(INDEX(tProdutos[Desconto homologado],MATCH(tItens[[#This Row],[Produto]],tProdutos[Produto],0))="",DescontoPadrao,INDEX(tProdutos[Desconto homologado],MATCH(tItens[[#This Row],[Produto]],tProdutos[Produto],0))),DescontoPadrao)</f>
        <v>0.253736324829619</v>
      </c>
      <c r="M4373" s="12">
        <f>tItens[[#This Row],[Valor]]*(1-tItens[[#This Row],[Desconto]])</f>
        <v>21923.435743685386</v>
      </c>
      <c r="N4373" t="str">
        <f>IFERROR(INDEX(tProdutos[Foco],MATCH(tItens[[#This Row],[Produto]],tProdutos[Produto],0)),"Não")</f>
        <v>Não</v>
      </c>
      <c r="O4373" t="str">
        <f>IFERROR(INDEX(tEditais[SRP],MATCH(tItens[[#This Row],[Edital]],tEditais[Edital],0)),"Não")</f>
        <v>Sim</v>
      </c>
      <c r="P4373" s="4">
        <f>IF(COUNTIFS(INDEX(tItens[Edital],1):tItens[[#This Row],[Edital]],tItens[[#This Row],[Edital]],INDEX(tItens[Produto],1):tItens[[#This Row],[Produto]],tItens[[#This Row],[Produto]])=1,1,0)</f>
        <v>0</v>
      </c>
    </row>
    <row r="4374" spans="1:16" x14ac:dyDescent="0.25">
      <c r="A4374" t="s">
        <v>1739</v>
      </c>
      <c r="B4374">
        <v>370</v>
      </c>
      <c r="C4374" t="s">
        <v>7228</v>
      </c>
      <c r="D4374" t="s">
        <v>281</v>
      </c>
      <c r="E4374" s="13">
        <v>510</v>
      </c>
      <c r="F4374" s="12">
        <v>21.33</v>
      </c>
      <c r="G4374" t="str">
        <f>IFERROR(INDEX(tEditais[Órgão],MATCH(tItens[[#This Row],[Edital]],tEditais[Edital],0)),"")</f>
        <v>FUNDO MUNICIPAL DE SAUDE</v>
      </c>
      <c r="H4374" t="str">
        <f>IFERROR(INDEX(tEditais[UF],MATCH(tItens[[#This Row],[Edital]],tEditais[Edital],0)),"")</f>
        <v>PA</v>
      </c>
      <c r="I4374" s="11">
        <f>IFERROR(INDEX(tEditais[Encerramento],MATCH(tItens[[#This Row],[Edital]],tEditais[Edital],0)),"")</f>
        <v>46310.364583333336</v>
      </c>
      <c r="J4374" t="str">
        <f>IFERROR(INDEX(tProdutos[Classe],MATCH(tItens[[#This Row],[Produto]],tProdutos[Produto],0)),"produto não cadastrado")</f>
        <v>DISPUTADO</v>
      </c>
      <c r="K4374" s="12">
        <f>tItens[[#This Row],[Qtd]]*tItens[[#This Row],[Vlr unit]]</f>
        <v>10878.3</v>
      </c>
      <c r="L4374" s="6">
        <f>IFERROR(IF(INDEX(tProdutos[Desconto homologado],MATCH(tItens[[#This Row],[Produto]],tProdutos[Produto],0))="",DescontoPadrao,INDEX(tProdutos[Desconto homologado],MATCH(tItens[[#This Row],[Produto]],tProdutos[Produto],0))),DescontoPadrao)</f>
        <v>0.42461538461538501</v>
      </c>
      <c r="M4374" s="12">
        <f>tItens[[#This Row],[Valor]]*(1-tItens[[#This Row],[Desconto]])</f>
        <v>6259.2064615384561</v>
      </c>
      <c r="N4374" t="str">
        <f>IFERROR(INDEX(tProdutos[Foco],MATCH(tItens[[#This Row],[Produto]],tProdutos[Produto],0)),"Não")</f>
        <v>Não</v>
      </c>
      <c r="O4374" t="str">
        <f>IFERROR(INDEX(tEditais[SRP],MATCH(tItens[[#This Row],[Edital]],tEditais[Edital],0)),"Não")</f>
        <v>Sim</v>
      </c>
      <c r="P4374" s="4">
        <f>IF(COUNTIFS(INDEX(tItens[Edital],1):tItens[[#This Row],[Edital]],tItens[[#This Row],[Edital]],INDEX(tItens[Produto],1):tItens[[#This Row],[Produto]],tItens[[#This Row],[Produto]])=1,1,0)</f>
        <v>1</v>
      </c>
    </row>
    <row r="4375" spans="1:16" x14ac:dyDescent="0.25">
      <c r="A4375" t="s">
        <v>1739</v>
      </c>
      <c r="B4375">
        <v>371</v>
      </c>
      <c r="C4375" t="s">
        <v>7229</v>
      </c>
      <c r="D4375" t="s">
        <v>289</v>
      </c>
      <c r="E4375" s="13">
        <v>515</v>
      </c>
      <c r="F4375" s="12">
        <v>17.45</v>
      </c>
      <c r="G4375" t="str">
        <f>IFERROR(INDEX(tEditais[Órgão],MATCH(tItens[[#This Row],[Edital]],tEditais[Edital],0)),"")</f>
        <v>FUNDO MUNICIPAL DE SAUDE</v>
      </c>
      <c r="H4375" t="str">
        <f>IFERROR(INDEX(tEditais[UF],MATCH(tItens[[#This Row],[Edital]],tEditais[Edital],0)),"")</f>
        <v>PA</v>
      </c>
      <c r="I4375" s="11">
        <f>IFERROR(INDEX(tEditais[Encerramento],MATCH(tItens[[#This Row],[Edital]],tEditais[Edital],0)),"")</f>
        <v>46310.364583333336</v>
      </c>
      <c r="J4375" t="str">
        <f>IFERROR(INDEX(tProdutos[Classe],MATCH(tItens[[#This Row],[Produto]],tProdutos[Produto],0)),"produto não cadastrado")</f>
        <v>DISPUTADO</v>
      </c>
      <c r="K4375" s="12">
        <f>tItens[[#This Row],[Qtd]]*tItens[[#This Row],[Vlr unit]]</f>
        <v>8986.75</v>
      </c>
      <c r="L4375" s="6">
        <f>IFERROR(IF(INDEX(tProdutos[Desconto homologado],MATCH(tItens[[#This Row],[Produto]],tProdutos[Produto],0))="",DescontoPadrao,INDEX(tProdutos[Desconto homologado],MATCH(tItens[[#This Row],[Produto]],tProdutos[Produto],0))),DescontoPadrao)</f>
        <v>0.35849056603773599</v>
      </c>
      <c r="M4375" s="12">
        <f>tItens[[#This Row],[Valor]]*(1-tItens[[#This Row],[Desconto]])</f>
        <v>5765.0849056603756</v>
      </c>
      <c r="N4375" t="str">
        <f>IFERROR(INDEX(tProdutos[Foco],MATCH(tItens[[#This Row],[Produto]],tProdutos[Produto],0)),"Não")</f>
        <v>Não</v>
      </c>
      <c r="O4375" t="str">
        <f>IFERROR(INDEX(tEditais[SRP],MATCH(tItens[[#This Row],[Edital]],tEditais[Edital],0)),"Não")</f>
        <v>Sim</v>
      </c>
      <c r="P4375" s="4">
        <f>IF(COUNTIFS(INDEX(tItens[Edital],1):tItens[[#This Row],[Edital]],tItens[[#This Row],[Edital]],INDEX(tItens[Produto],1):tItens[[#This Row],[Produto]],tItens[[#This Row],[Produto]])=1,1,0)</f>
        <v>1</v>
      </c>
    </row>
    <row r="4376" spans="1:16" x14ac:dyDescent="0.25">
      <c r="A4376" t="s">
        <v>1739</v>
      </c>
      <c r="B4376">
        <v>380</v>
      </c>
      <c r="C4376" t="s">
        <v>7230</v>
      </c>
      <c r="D4376" t="s">
        <v>241</v>
      </c>
      <c r="E4376" s="13">
        <v>900</v>
      </c>
      <c r="F4376" s="12">
        <v>22.62</v>
      </c>
      <c r="G4376" t="str">
        <f>IFERROR(INDEX(tEditais[Órgão],MATCH(tItens[[#This Row],[Edital]],tEditais[Edital],0)),"")</f>
        <v>FUNDO MUNICIPAL DE SAUDE</v>
      </c>
      <c r="H4376" t="str">
        <f>IFERROR(INDEX(tEditais[UF],MATCH(tItens[[#This Row],[Edital]],tEditais[Edital],0)),"")</f>
        <v>PA</v>
      </c>
      <c r="I4376" s="11">
        <f>IFERROR(INDEX(tEditais[Encerramento],MATCH(tItens[[#This Row],[Edital]],tEditais[Edital],0)),"")</f>
        <v>46310.364583333336</v>
      </c>
      <c r="J4376" t="str">
        <f>IFERROR(INDEX(tProdutos[Classe],MATCH(tItens[[#This Row],[Produto]],tProdutos[Produto],0)),"produto não cadastrado")</f>
        <v>DISPUTADO</v>
      </c>
      <c r="K4376" s="12">
        <f>tItens[[#This Row],[Qtd]]*tItens[[#This Row],[Vlr unit]]</f>
        <v>20358</v>
      </c>
      <c r="L4376" s="6">
        <f>IFERROR(IF(INDEX(tProdutos[Desconto homologado],MATCH(tItens[[#This Row],[Produto]],tProdutos[Produto],0))="",DescontoPadrao,INDEX(tProdutos[Desconto homologado],MATCH(tItens[[#This Row],[Produto]],tProdutos[Produto],0))),DescontoPadrao)</f>
        <v>0.36881329157903497</v>
      </c>
      <c r="M4376" s="12">
        <f>tItens[[#This Row],[Valor]]*(1-tItens[[#This Row],[Desconto]])</f>
        <v>12849.699010034006</v>
      </c>
      <c r="N4376" t="str">
        <f>IFERROR(INDEX(tProdutos[Foco],MATCH(tItens[[#This Row],[Produto]],tProdutos[Produto],0)),"Não")</f>
        <v>Não</v>
      </c>
      <c r="O4376" t="str">
        <f>IFERROR(INDEX(tEditais[SRP],MATCH(tItens[[#This Row],[Edital]],tEditais[Edital],0)),"Não")</f>
        <v>Sim</v>
      </c>
      <c r="P4376" s="4">
        <f>IF(COUNTIFS(INDEX(tItens[Edital],1):tItens[[#This Row],[Edital]],tItens[[#This Row],[Edital]],INDEX(tItens[Produto],1):tItens[[#This Row],[Produto]],tItens[[#This Row],[Produto]])=1,1,0)</f>
        <v>1</v>
      </c>
    </row>
    <row r="4377" spans="1:16" x14ac:dyDescent="0.25">
      <c r="A4377" t="s">
        <v>1739</v>
      </c>
      <c r="B4377">
        <v>381</v>
      </c>
      <c r="C4377" t="s">
        <v>7231</v>
      </c>
      <c r="D4377" t="s">
        <v>241</v>
      </c>
      <c r="E4377" s="13">
        <v>3500</v>
      </c>
      <c r="F4377" s="12">
        <v>13.92</v>
      </c>
      <c r="G4377" t="str">
        <f>IFERROR(INDEX(tEditais[Órgão],MATCH(tItens[[#This Row],[Edital]],tEditais[Edital],0)),"")</f>
        <v>FUNDO MUNICIPAL DE SAUDE</v>
      </c>
      <c r="H4377" t="str">
        <f>IFERROR(INDEX(tEditais[UF],MATCH(tItens[[#This Row],[Edital]],tEditais[Edital],0)),"")</f>
        <v>PA</v>
      </c>
      <c r="I4377" s="11">
        <f>IFERROR(INDEX(tEditais[Encerramento],MATCH(tItens[[#This Row],[Edital]],tEditais[Edital],0)),"")</f>
        <v>46310.364583333336</v>
      </c>
      <c r="J4377" t="str">
        <f>IFERROR(INDEX(tProdutos[Classe],MATCH(tItens[[#This Row],[Produto]],tProdutos[Produto],0)),"produto não cadastrado")</f>
        <v>DISPUTADO</v>
      </c>
      <c r="K4377" s="12">
        <f>tItens[[#This Row],[Qtd]]*tItens[[#This Row],[Vlr unit]]</f>
        <v>48720</v>
      </c>
      <c r="L4377" s="6">
        <f>IFERROR(IF(INDEX(tProdutos[Desconto homologado],MATCH(tItens[[#This Row],[Produto]],tProdutos[Produto],0))="",DescontoPadrao,INDEX(tProdutos[Desconto homologado],MATCH(tItens[[#This Row],[Produto]],tProdutos[Produto],0))),DescontoPadrao)</f>
        <v>0.36881329157903497</v>
      </c>
      <c r="M4377" s="12">
        <f>tItens[[#This Row],[Valor]]*(1-tItens[[#This Row],[Desconto]])</f>
        <v>30751.416434269417</v>
      </c>
      <c r="N4377" t="str">
        <f>IFERROR(INDEX(tProdutos[Foco],MATCH(tItens[[#This Row],[Produto]],tProdutos[Produto],0)),"Não")</f>
        <v>Não</v>
      </c>
      <c r="O4377" t="str">
        <f>IFERROR(INDEX(tEditais[SRP],MATCH(tItens[[#This Row],[Edital]],tEditais[Edital],0)),"Não")</f>
        <v>Sim</v>
      </c>
      <c r="P4377" s="4">
        <f>IF(COUNTIFS(INDEX(tItens[Edital],1):tItens[[#This Row],[Edital]],tItens[[#This Row],[Edital]],INDEX(tItens[Produto],1):tItens[[#This Row],[Produto]],tItens[[#This Row],[Produto]])=1,1,0)</f>
        <v>0</v>
      </c>
    </row>
    <row r="4378" spans="1:16" x14ac:dyDescent="0.25">
      <c r="A4378" t="s">
        <v>1739</v>
      </c>
      <c r="B4378">
        <v>383</v>
      </c>
      <c r="C4378" t="s">
        <v>7232</v>
      </c>
      <c r="D4378" t="s">
        <v>411</v>
      </c>
      <c r="E4378" s="13">
        <v>200</v>
      </c>
      <c r="F4378" s="12">
        <v>54.68</v>
      </c>
      <c r="G4378" t="str">
        <f>IFERROR(INDEX(tEditais[Órgão],MATCH(tItens[[#This Row],[Edital]],tEditais[Edital],0)),"")</f>
        <v>FUNDO MUNICIPAL DE SAUDE</v>
      </c>
      <c r="H4378" t="str">
        <f>IFERROR(INDEX(tEditais[UF],MATCH(tItens[[#This Row],[Edital]],tEditais[Edital],0)),"")</f>
        <v>PA</v>
      </c>
      <c r="I4378" s="11">
        <f>IFERROR(INDEX(tEditais[Encerramento],MATCH(tItens[[#This Row],[Edital]],tEditais[Edital],0)),"")</f>
        <v>46310.364583333336</v>
      </c>
      <c r="J4378" t="str">
        <f>IFERROR(INDEX(tProdutos[Classe],MATCH(tItens[[#This Row],[Produto]],tProdutos[Produto],0)),"produto não cadastrado")</f>
        <v>FORA</v>
      </c>
      <c r="K4378" s="12">
        <f>tItens[[#This Row],[Qtd]]*tItens[[#This Row],[Vlr unit]]</f>
        <v>10936</v>
      </c>
      <c r="L4378" s="6">
        <f>IFERROR(IF(INDEX(tProdutos[Desconto homologado],MATCH(tItens[[#This Row],[Produto]],tProdutos[Produto],0))="",DescontoPadrao,INDEX(tProdutos[Desconto homologado],MATCH(tItens[[#This Row],[Produto]],tProdutos[Produto],0))),DescontoPadrao)</f>
        <v>0.50029835957199398</v>
      </c>
      <c r="M4378" s="12">
        <f>tItens[[#This Row],[Valor]]*(1-tItens[[#This Row],[Desconto]])</f>
        <v>5464.7371397206734</v>
      </c>
      <c r="N4378" t="str">
        <f>IFERROR(INDEX(tProdutos[Foco],MATCH(tItens[[#This Row],[Produto]],tProdutos[Produto],0)),"Não")</f>
        <v>Não</v>
      </c>
      <c r="O4378" t="str">
        <f>IFERROR(INDEX(tEditais[SRP],MATCH(tItens[[#This Row],[Edital]],tEditais[Edital],0)),"Não")</f>
        <v>Sim</v>
      </c>
      <c r="P4378" s="4">
        <f>IF(COUNTIFS(INDEX(tItens[Edital],1):tItens[[#This Row],[Edital]],tItens[[#This Row],[Edital]],INDEX(tItens[Produto],1):tItens[[#This Row],[Produto]],tItens[[#This Row],[Produto]])=1,1,0)</f>
        <v>1</v>
      </c>
    </row>
    <row r="4379" spans="1:16" x14ac:dyDescent="0.25">
      <c r="A4379" t="s">
        <v>1739</v>
      </c>
      <c r="B4379">
        <v>387</v>
      </c>
      <c r="C4379" t="s">
        <v>7233</v>
      </c>
      <c r="D4379" t="s">
        <v>114</v>
      </c>
      <c r="E4379" s="13">
        <v>350</v>
      </c>
      <c r="F4379" s="12">
        <v>12.88</v>
      </c>
      <c r="G4379" t="str">
        <f>IFERROR(INDEX(tEditais[Órgão],MATCH(tItens[[#This Row],[Edital]],tEditais[Edital],0)),"")</f>
        <v>FUNDO MUNICIPAL DE SAUDE</v>
      </c>
      <c r="H4379" t="str">
        <f>IFERROR(INDEX(tEditais[UF],MATCH(tItens[[#This Row],[Edital]],tEditais[Edital],0)),"")</f>
        <v>PA</v>
      </c>
      <c r="I4379" s="11">
        <f>IFERROR(INDEX(tEditais[Encerramento],MATCH(tItens[[#This Row],[Edital]],tEditais[Edital],0)),"")</f>
        <v>46310.364583333336</v>
      </c>
      <c r="J4379" t="str">
        <f>IFERROR(INDEX(tProdutos[Classe],MATCH(tItens[[#This Row],[Produto]],tProdutos[Produto],0)),"produto não cadastrado")</f>
        <v>DISPUTADO</v>
      </c>
      <c r="K4379" s="12">
        <f>tItens[[#This Row],[Qtd]]*tItens[[#This Row],[Vlr unit]]</f>
        <v>4508</v>
      </c>
      <c r="L4379" s="6">
        <f>IFERROR(IF(INDEX(tProdutos[Desconto homologado],MATCH(tItens[[#This Row],[Produto]],tProdutos[Produto],0))="",DescontoPadrao,INDEX(tProdutos[Desconto homologado],MATCH(tItens[[#This Row],[Produto]],tProdutos[Produto],0))),DescontoPadrao)</f>
        <v>0.24332656063896899</v>
      </c>
      <c r="M4379" s="12">
        <f>tItens[[#This Row],[Valor]]*(1-tItens[[#This Row],[Desconto]])</f>
        <v>3411.0838646395277</v>
      </c>
      <c r="N4379" t="str">
        <f>IFERROR(INDEX(tProdutos[Foco],MATCH(tItens[[#This Row],[Produto]],tProdutos[Produto],0)),"Não")</f>
        <v>Não</v>
      </c>
      <c r="O4379" t="str">
        <f>IFERROR(INDEX(tEditais[SRP],MATCH(tItens[[#This Row],[Edital]],tEditais[Edital],0)),"Não")</f>
        <v>Sim</v>
      </c>
      <c r="P4379" s="4">
        <f>IF(COUNTIFS(INDEX(tItens[Edital],1):tItens[[#This Row],[Edital]],tItens[[#This Row],[Edital]],INDEX(tItens[Produto],1):tItens[[#This Row],[Produto]],tItens[[#This Row],[Produto]])=1,1,0)</f>
        <v>1</v>
      </c>
    </row>
    <row r="4380" spans="1:16" x14ac:dyDescent="0.25">
      <c r="A4380" t="s">
        <v>1739</v>
      </c>
      <c r="B4380">
        <v>391</v>
      </c>
      <c r="C4380" t="s">
        <v>7234</v>
      </c>
      <c r="D4380" t="s">
        <v>142</v>
      </c>
      <c r="E4380" s="13">
        <v>400</v>
      </c>
      <c r="F4380" s="12">
        <v>14.29</v>
      </c>
      <c r="G4380" t="str">
        <f>IFERROR(INDEX(tEditais[Órgão],MATCH(tItens[[#This Row],[Edital]],tEditais[Edital],0)),"")</f>
        <v>FUNDO MUNICIPAL DE SAUDE</v>
      </c>
      <c r="H4380" t="str">
        <f>IFERROR(INDEX(tEditais[UF],MATCH(tItens[[#This Row],[Edital]],tEditais[Edital],0)),"")</f>
        <v>PA</v>
      </c>
      <c r="I4380" s="11">
        <f>IFERROR(INDEX(tEditais[Encerramento],MATCH(tItens[[#This Row],[Edital]],tEditais[Edital],0)),"")</f>
        <v>46310.364583333336</v>
      </c>
      <c r="J4380" t="str">
        <f>IFERROR(INDEX(tProdutos[Classe],MATCH(tItens[[#This Row],[Produto]],tProdutos[Produto],0)),"produto não cadastrado")</f>
        <v>DISPUTADO</v>
      </c>
      <c r="K4380" s="12">
        <f>tItens[[#This Row],[Qtd]]*tItens[[#This Row],[Vlr unit]]</f>
        <v>5716</v>
      </c>
      <c r="L4380" s="6">
        <f>IFERROR(IF(INDEX(tProdutos[Desconto homologado],MATCH(tItens[[#This Row],[Produto]],tProdutos[Produto],0))="",DescontoPadrao,INDEX(tProdutos[Desconto homologado],MATCH(tItens[[#This Row],[Produto]],tProdutos[Produto],0))),DescontoPadrao)</f>
        <v>0.37093619495691699</v>
      </c>
      <c r="M4380" s="12">
        <f>tItens[[#This Row],[Valor]]*(1-tItens[[#This Row],[Desconto]])</f>
        <v>3595.7287096262626</v>
      </c>
      <c r="N4380" t="str">
        <f>IFERROR(INDEX(tProdutos[Foco],MATCH(tItens[[#This Row],[Produto]],tProdutos[Produto],0)),"Não")</f>
        <v>Não</v>
      </c>
      <c r="O4380" t="str">
        <f>IFERROR(INDEX(tEditais[SRP],MATCH(tItens[[#This Row],[Edital]],tEditais[Edital],0)),"Não")</f>
        <v>Sim</v>
      </c>
      <c r="P4380" s="4">
        <f>IF(COUNTIFS(INDEX(tItens[Edital],1):tItens[[#This Row],[Edital]],tItens[[#This Row],[Edital]],INDEX(tItens[Produto],1):tItens[[#This Row],[Produto]],tItens[[#This Row],[Produto]])=1,1,0)</f>
        <v>0</v>
      </c>
    </row>
    <row r="4381" spans="1:16" x14ac:dyDescent="0.25">
      <c r="A4381" t="s">
        <v>1743</v>
      </c>
      <c r="B4381">
        <v>24</v>
      </c>
      <c r="C4381" t="s">
        <v>7235</v>
      </c>
      <c r="D4381" t="s">
        <v>413</v>
      </c>
      <c r="E4381" s="13">
        <v>20</v>
      </c>
      <c r="F4381" s="12">
        <v>1.69</v>
      </c>
      <c r="G4381" t="str">
        <f>IFERROR(INDEX(tEditais[Órgão],MATCH(tItens[[#This Row],[Edital]],tEditais[Edital],0)),"")</f>
        <v>TRIBUNAL DE CONTAS DOS MUNICIPIOS</v>
      </c>
      <c r="H4381" t="str">
        <f>IFERROR(INDEX(tEditais[UF],MATCH(tItens[[#This Row],[Edital]],tEditais[Edital],0)),"")</f>
        <v>PA</v>
      </c>
      <c r="I4381" s="11">
        <f>IFERROR(INDEX(tEditais[Encerramento],MATCH(tItens[[#This Row],[Edital]],tEditais[Edital],0)),"")</f>
        <v>46310.375</v>
      </c>
      <c r="J4381" t="str">
        <f>IFERROR(INDEX(tProdutos[Classe],MATCH(tItens[[#This Row],[Produto]],tProdutos[Produto],0)),"produto não cadastrado")</f>
        <v>FORA</v>
      </c>
      <c r="K4381" s="12">
        <f>tItens[[#This Row],[Qtd]]*tItens[[#This Row],[Vlr unit]]</f>
        <v>33.799999999999997</v>
      </c>
      <c r="L4381" s="6">
        <f>IFERROR(IF(INDEX(tProdutos[Desconto homologado],MATCH(tItens[[#This Row],[Produto]],tProdutos[Produto],0))="",DescontoPadrao,INDEX(tProdutos[Desconto homologado],MATCH(tItens[[#This Row],[Produto]],tProdutos[Produto],0))),DescontoPadrao)</f>
        <v>0.477732793522267</v>
      </c>
      <c r="M4381" s="12">
        <f>tItens[[#This Row],[Valor]]*(1-tItens[[#This Row],[Desconto]])</f>
        <v>17.652631578947371</v>
      </c>
      <c r="N4381" t="str">
        <f>IFERROR(INDEX(tProdutos[Foco],MATCH(tItens[[#This Row],[Produto]],tProdutos[Produto],0)),"Não")</f>
        <v>Não</v>
      </c>
      <c r="O4381" t="str">
        <f>IFERROR(INDEX(tEditais[SRP],MATCH(tItens[[#This Row],[Edital]],tEditais[Edital],0)),"Não")</f>
        <v>Não</v>
      </c>
      <c r="P4381" s="4">
        <f>IF(COUNTIFS(INDEX(tItens[Edital],1):tItens[[#This Row],[Edital]],tItens[[#This Row],[Edital]],INDEX(tItens[Produto],1):tItens[[#This Row],[Produto]],tItens[[#This Row],[Produto]])=1,1,0)</f>
        <v>1</v>
      </c>
    </row>
    <row r="4382" spans="1:16" x14ac:dyDescent="0.25">
      <c r="A4382" t="s">
        <v>1743</v>
      </c>
      <c r="B4382">
        <v>25</v>
      </c>
      <c r="C4382" t="s">
        <v>3475</v>
      </c>
      <c r="D4382" t="s">
        <v>313</v>
      </c>
      <c r="E4382" s="13">
        <v>15</v>
      </c>
      <c r="F4382" s="12">
        <v>21.24</v>
      </c>
      <c r="G4382" t="str">
        <f>IFERROR(INDEX(tEditais[Órgão],MATCH(tItens[[#This Row],[Edital]],tEditais[Edital],0)),"")</f>
        <v>TRIBUNAL DE CONTAS DOS MUNICIPIOS</v>
      </c>
      <c r="H4382" t="str">
        <f>IFERROR(INDEX(tEditais[UF],MATCH(tItens[[#This Row],[Edital]],tEditais[Edital],0)),"")</f>
        <v>PA</v>
      </c>
      <c r="I4382" s="11">
        <f>IFERROR(INDEX(tEditais[Encerramento],MATCH(tItens[[#This Row],[Edital]],tEditais[Edital],0)),"")</f>
        <v>46310.375</v>
      </c>
      <c r="J4382" t="str">
        <f>IFERROR(INDEX(tProdutos[Classe],MATCH(tItens[[#This Row],[Produto]],tProdutos[Produto],0)),"produto não cadastrado")</f>
        <v>FORA</v>
      </c>
      <c r="K4382" s="12">
        <f>tItens[[#This Row],[Qtd]]*tItens[[#This Row],[Vlr unit]]</f>
        <v>318.59999999999997</v>
      </c>
      <c r="L4382" s="6">
        <f>IFERROR(IF(INDEX(tProdutos[Desconto homologado],MATCH(tItens[[#This Row],[Produto]],tProdutos[Produto],0))="",DescontoPadrao,INDEX(tProdutos[Desconto homologado],MATCH(tItens[[#This Row],[Produto]],tProdutos[Produto],0))),DescontoPadrao)</f>
        <v>0.35766373163696302</v>
      </c>
      <c r="M4382" s="12">
        <f>tItens[[#This Row],[Valor]]*(1-tItens[[#This Row],[Desconto]])</f>
        <v>204.64833510046356</v>
      </c>
      <c r="N4382" t="str">
        <f>IFERROR(INDEX(tProdutos[Foco],MATCH(tItens[[#This Row],[Produto]],tProdutos[Produto],0)),"Não")</f>
        <v>Não</v>
      </c>
      <c r="O4382" t="str">
        <f>IFERROR(INDEX(tEditais[SRP],MATCH(tItens[[#This Row],[Edital]],tEditais[Edital],0)),"Não")</f>
        <v>Não</v>
      </c>
      <c r="P4382" s="4">
        <f>IF(COUNTIFS(INDEX(tItens[Edital],1):tItens[[#This Row],[Edital]],tItens[[#This Row],[Edital]],INDEX(tItens[Produto],1):tItens[[#This Row],[Produto]],tItens[[#This Row],[Produto]])=1,1,0)</f>
        <v>1</v>
      </c>
    </row>
    <row r="4383" spans="1:16" x14ac:dyDescent="0.25">
      <c r="A4383" t="s">
        <v>1743</v>
      </c>
      <c r="B4383">
        <v>26</v>
      </c>
      <c r="C4383" t="s">
        <v>7236</v>
      </c>
      <c r="D4383" t="s">
        <v>267</v>
      </c>
      <c r="E4383" s="13">
        <v>15</v>
      </c>
      <c r="F4383" s="12">
        <v>178.52</v>
      </c>
      <c r="G4383" t="str">
        <f>IFERROR(INDEX(tEditais[Órgão],MATCH(tItens[[#This Row],[Edital]],tEditais[Edital],0)),"")</f>
        <v>TRIBUNAL DE CONTAS DOS MUNICIPIOS</v>
      </c>
      <c r="H4383" t="str">
        <f>IFERROR(INDEX(tEditais[UF],MATCH(tItens[[#This Row],[Edital]],tEditais[Edital],0)),"")</f>
        <v>PA</v>
      </c>
      <c r="I4383" s="11">
        <f>IFERROR(INDEX(tEditais[Encerramento],MATCH(tItens[[#This Row],[Edital]],tEditais[Edital],0)),"")</f>
        <v>46310.375</v>
      </c>
      <c r="J4383" t="str">
        <f>IFERROR(INDEX(tProdutos[Classe],MATCH(tItens[[#This Row],[Produto]],tProdutos[Produto],0)),"produto não cadastrado")</f>
        <v>FORA</v>
      </c>
      <c r="K4383" s="12">
        <f>tItens[[#This Row],[Qtd]]*tItens[[#This Row],[Vlr unit]]</f>
        <v>2677.8</v>
      </c>
      <c r="L4383" s="6">
        <f>IFERROR(IF(INDEX(tProdutos[Desconto homologado],MATCH(tItens[[#This Row],[Produto]],tProdutos[Produto],0))="",DescontoPadrao,INDEX(tProdutos[Desconto homologado],MATCH(tItens[[#This Row],[Produto]],tProdutos[Produto],0))),DescontoPadrao)</f>
        <v>0.19963672657401599</v>
      </c>
      <c r="M4383" s="12">
        <f>tItens[[#This Row],[Valor]]*(1-tItens[[#This Row],[Desconto]])</f>
        <v>2143.2127735801</v>
      </c>
      <c r="N4383" t="str">
        <f>IFERROR(INDEX(tProdutos[Foco],MATCH(tItens[[#This Row],[Produto]],tProdutos[Produto],0)),"Não")</f>
        <v>Não</v>
      </c>
      <c r="O4383" t="str">
        <f>IFERROR(INDEX(tEditais[SRP],MATCH(tItens[[#This Row],[Edital]],tEditais[Edital],0)),"Não")</f>
        <v>Não</v>
      </c>
      <c r="P4383" s="4">
        <f>IF(COUNTIFS(INDEX(tItens[Edital],1):tItens[[#This Row],[Edital]],tItens[[#This Row],[Edital]],INDEX(tItens[Produto],1):tItens[[#This Row],[Produto]],tItens[[#This Row],[Produto]])=1,1,0)</f>
        <v>1</v>
      </c>
    </row>
    <row r="4384" spans="1:16" x14ac:dyDescent="0.25">
      <c r="A4384" t="s">
        <v>1743</v>
      </c>
      <c r="B4384">
        <v>28</v>
      </c>
      <c r="C4384" t="s">
        <v>7237</v>
      </c>
      <c r="D4384" t="s">
        <v>311</v>
      </c>
      <c r="E4384" s="13">
        <v>1</v>
      </c>
      <c r="F4384" s="12">
        <v>62.6</v>
      </c>
      <c r="G4384" t="str">
        <f>IFERROR(INDEX(tEditais[Órgão],MATCH(tItens[[#This Row],[Edital]],tEditais[Edital],0)),"")</f>
        <v>TRIBUNAL DE CONTAS DOS MUNICIPIOS</v>
      </c>
      <c r="H4384" t="str">
        <f>IFERROR(INDEX(tEditais[UF],MATCH(tItens[[#This Row],[Edital]],tEditais[Edital],0)),"")</f>
        <v>PA</v>
      </c>
      <c r="I4384" s="11">
        <f>IFERROR(INDEX(tEditais[Encerramento],MATCH(tItens[[#This Row],[Edital]],tEditais[Edital],0)),"")</f>
        <v>46310.375</v>
      </c>
      <c r="J4384" t="str">
        <f>IFERROR(INDEX(tProdutos[Classe],MATCH(tItens[[#This Row],[Produto]],tProdutos[Produto],0)),"produto não cadastrado")</f>
        <v>FORA</v>
      </c>
      <c r="K4384" s="12">
        <f>tItens[[#This Row],[Qtd]]*tItens[[#This Row],[Vlr unit]]</f>
        <v>62.6</v>
      </c>
      <c r="L4384" s="6">
        <f>IFERROR(IF(INDEX(tProdutos[Desconto homologado],MATCH(tItens[[#This Row],[Produto]],tProdutos[Produto],0))="",DescontoPadrao,INDEX(tProdutos[Desconto homologado],MATCH(tItens[[#This Row],[Produto]],tProdutos[Produto],0))),DescontoPadrao)</f>
        <v>0.29046182846371399</v>
      </c>
      <c r="M4384" s="12">
        <f>tItens[[#This Row],[Valor]]*(1-tItens[[#This Row],[Desconto]])</f>
        <v>44.41708953817151</v>
      </c>
      <c r="N4384" t="str">
        <f>IFERROR(INDEX(tProdutos[Foco],MATCH(tItens[[#This Row],[Produto]],tProdutos[Produto],0)),"Não")</f>
        <v>Não</v>
      </c>
      <c r="O4384" t="str">
        <f>IFERROR(INDEX(tEditais[SRP],MATCH(tItens[[#This Row],[Edital]],tEditais[Edital],0)),"Não")</f>
        <v>Não</v>
      </c>
      <c r="P4384" s="4">
        <f>IF(COUNTIFS(INDEX(tItens[Edital],1):tItens[[#This Row],[Edital]],tItens[[#This Row],[Edital]],INDEX(tItens[Produto],1):tItens[[#This Row],[Produto]],tItens[[#This Row],[Produto]])=1,1,0)</f>
        <v>1</v>
      </c>
    </row>
    <row r="4385" spans="1:16" x14ac:dyDescent="0.25">
      <c r="A4385" t="s">
        <v>1743</v>
      </c>
      <c r="B4385">
        <v>62</v>
      </c>
      <c r="C4385" t="s">
        <v>7238</v>
      </c>
      <c r="D4385" t="s">
        <v>313</v>
      </c>
      <c r="E4385" s="13">
        <v>50</v>
      </c>
      <c r="F4385" s="12">
        <v>29.06</v>
      </c>
      <c r="G4385" t="str">
        <f>IFERROR(INDEX(tEditais[Órgão],MATCH(tItens[[#This Row],[Edital]],tEditais[Edital],0)),"")</f>
        <v>TRIBUNAL DE CONTAS DOS MUNICIPIOS</v>
      </c>
      <c r="H4385" t="str">
        <f>IFERROR(INDEX(tEditais[UF],MATCH(tItens[[#This Row],[Edital]],tEditais[Edital],0)),"")</f>
        <v>PA</v>
      </c>
      <c r="I4385" s="11">
        <f>IFERROR(INDEX(tEditais[Encerramento],MATCH(tItens[[#This Row],[Edital]],tEditais[Edital],0)),"")</f>
        <v>46310.375</v>
      </c>
      <c r="J4385" t="str">
        <f>IFERROR(INDEX(tProdutos[Classe],MATCH(tItens[[#This Row],[Produto]],tProdutos[Produto],0)),"produto não cadastrado")</f>
        <v>FORA</v>
      </c>
      <c r="K4385" s="12">
        <f>tItens[[#This Row],[Qtd]]*tItens[[#This Row],[Vlr unit]]</f>
        <v>1453</v>
      </c>
      <c r="L4385" s="6">
        <f>IFERROR(IF(INDEX(tProdutos[Desconto homologado],MATCH(tItens[[#This Row],[Produto]],tProdutos[Produto],0))="",DescontoPadrao,INDEX(tProdutos[Desconto homologado],MATCH(tItens[[#This Row],[Produto]],tProdutos[Produto],0))),DescontoPadrao)</f>
        <v>0.35766373163696302</v>
      </c>
      <c r="M4385" s="12">
        <f>tItens[[#This Row],[Valor]]*(1-tItens[[#This Row],[Desconto]])</f>
        <v>933.3145979314927</v>
      </c>
      <c r="N4385" t="str">
        <f>IFERROR(INDEX(tProdutos[Foco],MATCH(tItens[[#This Row],[Produto]],tProdutos[Produto],0)),"Não")</f>
        <v>Não</v>
      </c>
      <c r="O4385" t="str">
        <f>IFERROR(INDEX(tEditais[SRP],MATCH(tItens[[#This Row],[Edital]],tEditais[Edital],0)),"Não")</f>
        <v>Não</v>
      </c>
      <c r="P4385" s="4">
        <f>IF(COUNTIFS(INDEX(tItens[Edital],1):tItens[[#This Row],[Edital]],tItens[[#This Row],[Edital]],INDEX(tItens[Produto],1):tItens[[#This Row],[Produto]],tItens[[#This Row],[Produto]])=1,1,0)</f>
        <v>0</v>
      </c>
    </row>
    <row r="4386" spans="1:16" x14ac:dyDescent="0.25">
      <c r="A4386" t="s">
        <v>1743</v>
      </c>
      <c r="B4386">
        <v>63</v>
      </c>
      <c r="C4386" t="s">
        <v>7239</v>
      </c>
      <c r="D4386" t="s">
        <v>455</v>
      </c>
      <c r="E4386" s="13">
        <v>2</v>
      </c>
      <c r="F4386" s="12">
        <v>133.31</v>
      </c>
      <c r="G4386" t="str">
        <f>IFERROR(INDEX(tEditais[Órgão],MATCH(tItens[[#This Row],[Edital]],tEditais[Edital],0)),"")</f>
        <v>TRIBUNAL DE CONTAS DOS MUNICIPIOS</v>
      </c>
      <c r="H4386" t="str">
        <f>IFERROR(INDEX(tEditais[UF],MATCH(tItens[[#This Row],[Edital]],tEditais[Edital],0)),"")</f>
        <v>PA</v>
      </c>
      <c r="I4386" s="11">
        <f>IFERROR(INDEX(tEditais[Encerramento],MATCH(tItens[[#This Row],[Edital]],tEditais[Edital],0)),"")</f>
        <v>46310.375</v>
      </c>
      <c r="J4386" t="str">
        <f>IFERROR(INDEX(tProdutos[Classe],MATCH(tItens[[#This Row],[Produto]],tProdutos[Produto],0)),"produto não cadastrado")</f>
        <v>FILA REBASE</v>
      </c>
      <c r="K4386" s="12">
        <f>tItens[[#This Row],[Qtd]]*tItens[[#This Row],[Vlr unit]]</f>
        <v>266.62</v>
      </c>
      <c r="L4386" s="6">
        <f>IFERROR(IF(INDEX(tProdutos[Desconto homologado],MATCH(tItens[[#This Row],[Produto]],tProdutos[Produto],0))="",DescontoPadrao,INDEX(tProdutos[Desconto homologado],MATCH(tItens[[#This Row],[Produto]],tProdutos[Produto],0))),DescontoPadrao)</f>
        <v>0.29595946765523801</v>
      </c>
      <c r="M4386" s="12">
        <f>tItens[[#This Row],[Valor]]*(1-tItens[[#This Row],[Desconto]])</f>
        <v>187.71128673376046</v>
      </c>
      <c r="N4386" t="str">
        <f>IFERROR(INDEX(tProdutos[Foco],MATCH(tItens[[#This Row],[Produto]],tProdutos[Produto],0)),"Não")</f>
        <v>Não</v>
      </c>
      <c r="O4386" t="str">
        <f>IFERROR(INDEX(tEditais[SRP],MATCH(tItens[[#This Row],[Edital]],tEditais[Edital],0)),"Não")</f>
        <v>Não</v>
      </c>
      <c r="P4386" s="4">
        <f>IF(COUNTIFS(INDEX(tItens[Edital],1):tItens[[#This Row],[Edital]],tItens[[#This Row],[Edital]],INDEX(tItens[Produto],1):tItens[[#This Row],[Produto]],tItens[[#This Row],[Produto]])=1,1,0)</f>
        <v>1</v>
      </c>
    </row>
    <row r="4387" spans="1:16" x14ac:dyDescent="0.25">
      <c r="A4387" t="s">
        <v>1743</v>
      </c>
      <c r="B4387">
        <v>86</v>
      </c>
      <c r="C4387" t="s">
        <v>3239</v>
      </c>
      <c r="D4387" t="s">
        <v>71</v>
      </c>
      <c r="E4387" s="13">
        <v>8</v>
      </c>
      <c r="F4387" s="12">
        <v>31.83</v>
      </c>
      <c r="G4387" t="str">
        <f>IFERROR(INDEX(tEditais[Órgão],MATCH(tItens[[#This Row],[Edital]],tEditais[Edital],0)),"")</f>
        <v>TRIBUNAL DE CONTAS DOS MUNICIPIOS</v>
      </c>
      <c r="H4387" t="str">
        <f>IFERROR(INDEX(tEditais[UF],MATCH(tItens[[#This Row],[Edital]],tEditais[Edital],0)),"")</f>
        <v>PA</v>
      </c>
      <c r="I4387" s="11">
        <f>IFERROR(INDEX(tEditais[Encerramento],MATCH(tItens[[#This Row],[Edital]],tEditais[Edital],0)),"")</f>
        <v>46310.375</v>
      </c>
      <c r="J4387" t="str">
        <f>IFERROR(INDEX(tProdutos[Classe],MATCH(tItens[[#This Row],[Produto]],tProdutos[Produto],0)),"produto não cadastrado")</f>
        <v>NÚCLEO</v>
      </c>
      <c r="K4387" s="12">
        <f>tItens[[#This Row],[Qtd]]*tItens[[#This Row],[Vlr unit]]</f>
        <v>254.64</v>
      </c>
      <c r="L4387" s="6">
        <f>IFERROR(IF(INDEX(tProdutos[Desconto homologado],MATCH(tItens[[#This Row],[Produto]],tProdutos[Produto],0))="",DescontoPadrao,INDEX(tProdutos[Desconto homologado],MATCH(tItens[[#This Row],[Produto]],tProdutos[Produto],0))),DescontoPadrao)</f>
        <v>0.44981412639405199</v>
      </c>
      <c r="M4387" s="12">
        <f>tItens[[#This Row],[Valor]]*(1-tItens[[#This Row],[Desconto]])</f>
        <v>140.09933085501856</v>
      </c>
      <c r="N4387" t="str">
        <f>IFERROR(INDEX(tProdutos[Foco],MATCH(tItens[[#This Row],[Produto]],tProdutos[Produto],0)),"Não")</f>
        <v>Não</v>
      </c>
      <c r="O4387" t="str">
        <f>IFERROR(INDEX(tEditais[SRP],MATCH(tItens[[#This Row],[Edital]],tEditais[Edital],0)),"Não")</f>
        <v>Não</v>
      </c>
      <c r="P4387" s="4">
        <f>IF(COUNTIFS(INDEX(tItens[Edital],1):tItens[[#This Row],[Edital]],tItens[[#This Row],[Edital]],INDEX(tItens[Produto],1):tItens[[#This Row],[Produto]],tItens[[#This Row],[Produto]])=1,1,0)</f>
        <v>1</v>
      </c>
    </row>
    <row r="4388" spans="1:16" x14ac:dyDescent="0.25">
      <c r="A4388" t="s">
        <v>1743</v>
      </c>
      <c r="B4388">
        <v>100</v>
      </c>
      <c r="C4388" t="s">
        <v>4185</v>
      </c>
      <c r="D4388" t="s">
        <v>114</v>
      </c>
      <c r="E4388" s="13">
        <v>15</v>
      </c>
      <c r="F4388" s="12">
        <v>8.73</v>
      </c>
      <c r="G4388" t="str">
        <f>IFERROR(INDEX(tEditais[Órgão],MATCH(tItens[[#This Row],[Edital]],tEditais[Edital],0)),"")</f>
        <v>TRIBUNAL DE CONTAS DOS MUNICIPIOS</v>
      </c>
      <c r="H4388" t="str">
        <f>IFERROR(INDEX(tEditais[UF],MATCH(tItens[[#This Row],[Edital]],tEditais[Edital],0)),"")</f>
        <v>PA</v>
      </c>
      <c r="I4388" s="11">
        <f>IFERROR(INDEX(tEditais[Encerramento],MATCH(tItens[[#This Row],[Edital]],tEditais[Edital],0)),"")</f>
        <v>46310.375</v>
      </c>
      <c r="J4388" t="str">
        <f>IFERROR(INDEX(tProdutos[Classe],MATCH(tItens[[#This Row],[Produto]],tProdutos[Produto],0)),"produto não cadastrado")</f>
        <v>DISPUTADO</v>
      </c>
      <c r="K4388" s="12">
        <f>tItens[[#This Row],[Qtd]]*tItens[[#This Row],[Vlr unit]]</f>
        <v>130.95000000000002</v>
      </c>
      <c r="L4388" s="6">
        <f>IFERROR(IF(INDEX(tProdutos[Desconto homologado],MATCH(tItens[[#This Row],[Produto]],tProdutos[Produto],0))="",DescontoPadrao,INDEX(tProdutos[Desconto homologado],MATCH(tItens[[#This Row],[Produto]],tProdutos[Produto],0))),DescontoPadrao)</f>
        <v>0.24332656063896899</v>
      </c>
      <c r="M4388" s="12">
        <f>tItens[[#This Row],[Valor]]*(1-tItens[[#This Row],[Desconto]])</f>
        <v>99.086386884327027</v>
      </c>
      <c r="N4388" t="str">
        <f>IFERROR(INDEX(tProdutos[Foco],MATCH(tItens[[#This Row],[Produto]],tProdutos[Produto],0)),"Não")</f>
        <v>Não</v>
      </c>
      <c r="O4388" t="str">
        <f>IFERROR(INDEX(tEditais[SRP],MATCH(tItens[[#This Row],[Edital]],tEditais[Edital],0)),"Não")</f>
        <v>Não</v>
      </c>
      <c r="P4388" s="4">
        <f>IF(COUNTIFS(INDEX(tItens[Edital],1):tItens[[#This Row],[Edital]],tItens[[#This Row],[Edital]],INDEX(tItens[Produto],1):tItens[[#This Row],[Produto]],tItens[[#This Row],[Produto]])=1,1,0)</f>
        <v>1</v>
      </c>
    </row>
    <row r="4389" spans="1:16" x14ac:dyDescent="0.25">
      <c r="A4389" t="s">
        <v>1747</v>
      </c>
      <c r="B4389">
        <v>3</v>
      </c>
      <c r="C4389" t="s">
        <v>7240</v>
      </c>
      <c r="D4389" t="s">
        <v>694</v>
      </c>
      <c r="E4389" s="13">
        <v>57</v>
      </c>
      <c r="F4389" s="12">
        <v>402.4</v>
      </c>
      <c r="G4389" t="str">
        <f>IFERROR(INDEX(tEditais[Órgão],MATCH(tItens[[#This Row],[Edital]],tEditais[Edital],0)),"")</f>
        <v>FUNDACAO PUBLICA ESTADUAL HOSPITAL DE CLNICAS GASPAR VIANNA - FHCGV</v>
      </c>
      <c r="H4389" t="str">
        <f>IFERROR(INDEX(tEditais[UF],MATCH(tItens[[#This Row],[Edital]],tEditais[Edital],0)),"")</f>
        <v>PA</v>
      </c>
      <c r="I4389" s="11">
        <f>IFERROR(INDEX(tEditais[Encerramento],MATCH(tItens[[#This Row],[Edital]],tEditais[Edital],0)),"")</f>
        <v>46310.625</v>
      </c>
      <c r="J4389" t="str">
        <f>IFERROR(INDEX(tProdutos[Classe],MATCH(tItens[[#This Row],[Produto]],tProdutos[Produto],0)),"produto não cadastrado")</f>
        <v>FILA REBASE</v>
      </c>
      <c r="K4389" s="12">
        <f>tItens[[#This Row],[Qtd]]*tItens[[#This Row],[Vlr unit]]</f>
        <v>22936.799999999999</v>
      </c>
      <c r="L4389" s="6">
        <f>IFERROR(IF(INDEX(tProdutos[Desconto homologado],MATCH(tItens[[#This Row],[Produto]],tProdutos[Produto],0))="",DescontoPadrao,INDEX(tProdutos[Desconto homologado],MATCH(tItens[[#This Row],[Produto]],tProdutos[Produto],0))),DescontoPadrao)</f>
        <v>0.61577111781048699</v>
      </c>
      <c r="M4389" s="12">
        <f>tItens[[#This Row],[Valor]]*(1-tItens[[#This Row],[Desconto]])</f>
        <v>8812.9810250044211</v>
      </c>
      <c r="N4389" t="str">
        <f>IFERROR(INDEX(tProdutos[Foco],MATCH(tItens[[#This Row],[Produto]],tProdutos[Produto],0)),"Não")</f>
        <v>Não</v>
      </c>
      <c r="O4389" t="str">
        <f>IFERROR(INDEX(tEditais[SRP],MATCH(tItens[[#This Row],[Edital]],tEditais[Edital],0)),"Não")</f>
        <v>Não</v>
      </c>
      <c r="P4389" s="4">
        <f>IF(COUNTIFS(INDEX(tItens[Edital],1):tItens[[#This Row],[Edital]],tItens[[#This Row],[Edital]],INDEX(tItens[Produto],1):tItens[[#This Row],[Produto]],tItens[[#This Row],[Produto]])=1,1,0)</f>
        <v>1</v>
      </c>
    </row>
    <row r="4390" spans="1:16" x14ac:dyDescent="0.25">
      <c r="A4390" t="s">
        <v>1750</v>
      </c>
      <c r="B4390">
        <v>6641377</v>
      </c>
      <c r="C4390" t="s">
        <v>7241</v>
      </c>
      <c r="D4390" t="s">
        <v>569</v>
      </c>
      <c r="E4390" s="13">
        <v>150</v>
      </c>
      <c r="F4390" s="12">
        <v>462.92</v>
      </c>
      <c r="G4390" t="str">
        <f>IFERROR(INDEX(tEditais[Órgão],MATCH(tItens[[#This Row],[Edital]],tEditais[Edital],0)),"")</f>
        <v>MUNICIPIO DE AUGUSTO CORREA</v>
      </c>
      <c r="H4390" t="str">
        <f>IFERROR(INDEX(tEditais[UF],MATCH(tItens[[#This Row],[Edital]],tEditais[Edital],0)),"")</f>
        <v>PA</v>
      </c>
      <c r="I4390" s="11">
        <f>IFERROR(INDEX(tEditais[Encerramento],MATCH(tItens[[#This Row],[Edital]],tEditais[Edital],0)),"")</f>
        <v>46311</v>
      </c>
      <c r="J4390" t="str">
        <f>IFERROR(INDEX(tProdutos[Classe],MATCH(tItens[[#This Row],[Produto]],tProdutos[Produto],0)),"produto não cadastrado")</f>
        <v>FILA REBASE</v>
      </c>
      <c r="K4390" s="12">
        <f>tItens[[#This Row],[Qtd]]*tItens[[#This Row],[Vlr unit]]</f>
        <v>69438</v>
      </c>
      <c r="L4390" s="6">
        <f>IFERROR(IF(INDEX(tProdutos[Desconto homologado],MATCH(tItens[[#This Row],[Produto]],tProdutos[Produto],0))="",DescontoPadrao,INDEX(tProdutos[Desconto homologado],MATCH(tItens[[#This Row],[Produto]],tProdutos[Produto],0))),DescontoPadrao)</f>
        <v>0.3</v>
      </c>
      <c r="M4390" s="12">
        <f>tItens[[#This Row],[Valor]]*(1-tItens[[#This Row],[Desconto]])</f>
        <v>48606.6</v>
      </c>
      <c r="N4390" t="str">
        <f>IFERROR(INDEX(tProdutos[Foco],MATCH(tItens[[#This Row],[Produto]],tProdutos[Produto],0)),"Não")</f>
        <v>Não</v>
      </c>
      <c r="O4390" t="str">
        <f>IFERROR(INDEX(tEditais[SRP],MATCH(tItens[[#This Row],[Edital]],tEditais[Edital],0)),"Não")</f>
        <v>Não</v>
      </c>
      <c r="P4390" s="4">
        <f>IF(COUNTIFS(INDEX(tItens[Edital],1):tItens[[#This Row],[Edital]],tItens[[#This Row],[Edital]],INDEX(tItens[Produto],1):tItens[[#This Row],[Produto]],tItens[[#This Row],[Produto]])=1,1,0)</f>
        <v>1</v>
      </c>
    </row>
    <row r="4391" spans="1:16" x14ac:dyDescent="0.25">
      <c r="A4391" t="s">
        <v>1750</v>
      </c>
      <c r="B4391">
        <v>6641398</v>
      </c>
      <c r="C4391" t="s">
        <v>7242</v>
      </c>
      <c r="D4391" t="s">
        <v>569</v>
      </c>
      <c r="E4391" s="13">
        <v>200</v>
      </c>
      <c r="F4391" s="12">
        <v>343.41</v>
      </c>
      <c r="G4391" t="str">
        <f>IFERROR(INDEX(tEditais[Órgão],MATCH(tItens[[#This Row],[Edital]],tEditais[Edital],0)),"")</f>
        <v>MUNICIPIO DE AUGUSTO CORREA</v>
      </c>
      <c r="H4391" t="str">
        <f>IFERROR(INDEX(tEditais[UF],MATCH(tItens[[#This Row],[Edital]],tEditais[Edital],0)),"")</f>
        <v>PA</v>
      </c>
      <c r="I4391" s="11">
        <f>IFERROR(INDEX(tEditais[Encerramento],MATCH(tItens[[#This Row],[Edital]],tEditais[Edital],0)),"")</f>
        <v>46311</v>
      </c>
      <c r="J4391" t="str">
        <f>IFERROR(INDEX(tProdutos[Classe],MATCH(tItens[[#This Row],[Produto]],tProdutos[Produto],0)),"produto não cadastrado")</f>
        <v>FILA REBASE</v>
      </c>
      <c r="K4391" s="12">
        <f>tItens[[#This Row],[Qtd]]*tItens[[#This Row],[Vlr unit]]</f>
        <v>68682</v>
      </c>
      <c r="L4391" s="6">
        <f>IFERROR(IF(INDEX(tProdutos[Desconto homologado],MATCH(tItens[[#This Row],[Produto]],tProdutos[Produto],0))="",DescontoPadrao,INDEX(tProdutos[Desconto homologado],MATCH(tItens[[#This Row],[Produto]],tProdutos[Produto],0))),DescontoPadrao)</f>
        <v>0.3</v>
      </c>
      <c r="M4391" s="12">
        <f>tItens[[#This Row],[Valor]]*(1-tItens[[#This Row],[Desconto]])</f>
        <v>48077.399999999994</v>
      </c>
      <c r="N4391" t="str">
        <f>IFERROR(INDEX(tProdutos[Foco],MATCH(tItens[[#This Row],[Produto]],tProdutos[Produto],0)),"Não")</f>
        <v>Não</v>
      </c>
      <c r="O4391" t="str">
        <f>IFERROR(INDEX(tEditais[SRP],MATCH(tItens[[#This Row],[Edital]],tEditais[Edital],0)),"Não")</f>
        <v>Não</v>
      </c>
      <c r="P4391" s="4">
        <f>IF(COUNTIFS(INDEX(tItens[Edital],1):tItens[[#This Row],[Edital]],tItens[[#This Row],[Edital]],INDEX(tItens[Produto],1):tItens[[#This Row],[Produto]],tItens[[#This Row],[Produto]])=1,1,0)</f>
        <v>0</v>
      </c>
    </row>
    <row r="4392" spans="1:16" x14ac:dyDescent="0.25">
      <c r="A4392" t="s">
        <v>1750</v>
      </c>
      <c r="B4392">
        <v>6641430</v>
      </c>
      <c r="C4392" t="s">
        <v>7243</v>
      </c>
      <c r="D4392" t="s">
        <v>569</v>
      </c>
      <c r="E4392" s="13">
        <v>200</v>
      </c>
      <c r="F4392" s="12">
        <v>85.69</v>
      </c>
      <c r="G4392" t="str">
        <f>IFERROR(INDEX(tEditais[Órgão],MATCH(tItens[[#This Row],[Edital]],tEditais[Edital],0)),"")</f>
        <v>MUNICIPIO DE AUGUSTO CORREA</v>
      </c>
      <c r="H4392" t="str">
        <f>IFERROR(INDEX(tEditais[UF],MATCH(tItens[[#This Row],[Edital]],tEditais[Edital],0)),"")</f>
        <v>PA</v>
      </c>
      <c r="I4392" s="11">
        <f>IFERROR(INDEX(tEditais[Encerramento],MATCH(tItens[[#This Row],[Edital]],tEditais[Edital],0)),"")</f>
        <v>46311</v>
      </c>
      <c r="J4392" t="str">
        <f>IFERROR(INDEX(tProdutos[Classe],MATCH(tItens[[#This Row],[Produto]],tProdutos[Produto],0)),"produto não cadastrado")</f>
        <v>FILA REBASE</v>
      </c>
      <c r="K4392" s="12">
        <f>tItens[[#This Row],[Qtd]]*tItens[[#This Row],[Vlr unit]]</f>
        <v>17138</v>
      </c>
      <c r="L4392" s="6">
        <f>IFERROR(IF(INDEX(tProdutos[Desconto homologado],MATCH(tItens[[#This Row],[Produto]],tProdutos[Produto],0))="",DescontoPadrao,INDEX(tProdutos[Desconto homologado],MATCH(tItens[[#This Row],[Produto]],tProdutos[Produto],0))),DescontoPadrao)</f>
        <v>0.3</v>
      </c>
      <c r="M4392" s="12">
        <f>tItens[[#This Row],[Valor]]*(1-tItens[[#This Row],[Desconto]])</f>
        <v>11996.599999999999</v>
      </c>
      <c r="N4392" t="str">
        <f>IFERROR(INDEX(tProdutos[Foco],MATCH(tItens[[#This Row],[Produto]],tProdutos[Produto],0)),"Não")</f>
        <v>Não</v>
      </c>
      <c r="O4392" t="str">
        <f>IFERROR(INDEX(tEditais[SRP],MATCH(tItens[[#This Row],[Edital]],tEditais[Edital],0)),"Não")</f>
        <v>Não</v>
      </c>
      <c r="P4392" s="4">
        <f>IF(COUNTIFS(INDEX(tItens[Edital],1):tItens[[#This Row],[Edital]],tItens[[#This Row],[Edital]],INDEX(tItens[Produto],1):tItens[[#This Row],[Produto]],tItens[[#This Row],[Produto]])=1,1,0)</f>
        <v>0</v>
      </c>
    </row>
    <row r="4393" spans="1:16" x14ac:dyDescent="0.25">
      <c r="A4393" t="s">
        <v>1755</v>
      </c>
      <c r="B4393">
        <v>5</v>
      </c>
      <c r="C4393" t="s">
        <v>7244</v>
      </c>
      <c r="D4393" t="s">
        <v>144</v>
      </c>
      <c r="E4393" s="13">
        <v>3024</v>
      </c>
      <c r="F4393" s="12">
        <v>130.97</v>
      </c>
      <c r="G4393" t="str">
        <f>IFERROR(INDEX(tEditais[Órgão],MATCH(tItens[[#This Row],[Edital]],tEditais[Edital],0)),"")</f>
        <v>SESMA-SECRETARIA MUNICIPAL DE SAUDE E MEIO AMBIENTE</v>
      </c>
      <c r="H4393" t="str">
        <f>IFERROR(INDEX(tEditais[UF],MATCH(tItens[[#This Row],[Edital]],tEditais[Edital],0)),"")</f>
        <v>PA</v>
      </c>
      <c r="I4393" s="11">
        <f>IFERROR(INDEX(tEditais[Encerramento],MATCH(tItens[[#This Row],[Edital]],tEditais[Edital],0)),"")</f>
        <v>46311.375</v>
      </c>
      <c r="J4393" t="str">
        <f>IFERROR(INDEX(tProdutos[Classe],MATCH(tItens[[#This Row],[Produto]],tProdutos[Produto],0)),"produto não cadastrado")</f>
        <v>DISPUTADO</v>
      </c>
      <c r="K4393" s="12">
        <f>tItens[[#This Row],[Qtd]]*tItens[[#This Row],[Vlr unit]]</f>
        <v>396053.27999999997</v>
      </c>
      <c r="L4393" s="6">
        <f>IFERROR(IF(INDEX(tProdutos[Desconto homologado],MATCH(tItens[[#This Row],[Produto]],tProdutos[Produto],0))="",DescontoPadrao,INDEX(tProdutos[Desconto homologado],MATCH(tItens[[#This Row],[Produto]],tProdutos[Produto],0))),DescontoPadrao)</f>
        <v>0.371428571428571</v>
      </c>
      <c r="M4393" s="12">
        <f>tItens[[#This Row],[Valor]]*(1-tItens[[#This Row],[Desconto]])</f>
        <v>248947.77600000016</v>
      </c>
      <c r="N4393" t="str">
        <f>IFERROR(INDEX(tProdutos[Foco],MATCH(tItens[[#This Row],[Produto]],tProdutos[Produto],0)),"Não")</f>
        <v>Não</v>
      </c>
      <c r="O4393" t="str">
        <f>IFERROR(INDEX(tEditais[SRP],MATCH(tItens[[#This Row],[Edital]],tEditais[Edital],0)),"Não")</f>
        <v>Não</v>
      </c>
      <c r="P4393" s="4">
        <f>IF(COUNTIFS(INDEX(tItens[Edital],1):tItens[[#This Row],[Edital]],tItens[[#This Row],[Edital]],INDEX(tItens[Produto],1):tItens[[#This Row],[Produto]],tItens[[#This Row],[Produto]])=1,1,0)</f>
        <v>1</v>
      </c>
    </row>
    <row r="4394" spans="1:16" x14ac:dyDescent="0.25">
      <c r="A4394" t="s">
        <v>1755</v>
      </c>
      <c r="B4394">
        <v>6</v>
      </c>
      <c r="C4394" t="s">
        <v>7244</v>
      </c>
      <c r="D4394" t="s">
        <v>144</v>
      </c>
      <c r="E4394" s="13">
        <v>576</v>
      </c>
      <c r="F4394" s="12">
        <v>130.97</v>
      </c>
      <c r="G4394" t="str">
        <f>IFERROR(INDEX(tEditais[Órgão],MATCH(tItens[[#This Row],[Edital]],tEditais[Edital],0)),"")</f>
        <v>SESMA-SECRETARIA MUNICIPAL DE SAUDE E MEIO AMBIENTE</v>
      </c>
      <c r="H4394" t="str">
        <f>IFERROR(INDEX(tEditais[UF],MATCH(tItens[[#This Row],[Edital]],tEditais[Edital],0)),"")</f>
        <v>PA</v>
      </c>
      <c r="I4394" s="11">
        <f>IFERROR(INDEX(tEditais[Encerramento],MATCH(tItens[[#This Row],[Edital]],tEditais[Edital],0)),"")</f>
        <v>46311.375</v>
      </c>
      <c r="J4394" t="str">
        <f>IFERROR(INDEX(tProdutos[Classe],MATCH(tItens[[#This Row],[Produto]],tProdutos[Produto],0)),"produto não cadastrado")</f>
        <v>DISPUTADO</v>
      </c>
      <c r="K4394" s="12">
        <f>tItens[[#This Row],[Qtd]]*tItens[[#This Row],[Vlr unit]]</f>
        <v>75438.720000000001</v>
      </c>
      <c r="L4394" s="6">
        <f>IFERROR(IF(INDEX(tProdutos[Desconto homologado],MATCH(tItens[[#This Row],[Produto]],tProdutos[Produto],0))="",DescontoPadrao,INDEX(tProdutos[Desconto homologado],MATCH(tItens[[#This Row],[Produto]],tProdutos[Produto],0))),DescontoPadrao)</f>
        <v>0.371428571428571</v>
      </c>
      <c r="M4394" s="12">
        <f>tItens[[#This Row],[Valor]]*(1-tItens[[#This Row],[Desconto]])</f>
        <v>47418.624000000033</v>
      </c>
      <c r="N4394" t="str">
        <f>IFERROR(INDEX(tProdutos[Foco],MATCH(tItens[[#This Row],[Produto]],tProdutos[Produto],0)),"Não")</f>
        <v>Não</v>
      </c>
      <c r="O4394" t="str">
        <f>IFERROR(INDEX(tEditais[SRP],MATCH(tItens[[#This Row],[Edital]],tEditais[Edital],0)),"Não")</f>
        <v>Não</v>
      </c>
      <c r="P4394" s="4">
        <f>IF(COUNTIFS(INDEX(tItens[Edital],1):tItens[[#This Row],[Edital]],tItens[[#This Row],[Edital]],INDEX(tItens[Produto],1):tItens[[#This Row],[Produto]],tItens[[#This Row],[Produto]])=1,1,0)</f>
        <v>0</v>
      </c>
    </row>
    <row r="4395" spans="1:16" x14ac:dyDescent="0.25">
      <c r="A4395" t="s">
        <v>1755</v>
      </c>
      <c r="B4395">
        <v>65</v>
      </c>
      <c r="C4395" t="s">
        <v>7245</v>
      </c>
      <c r="D4395" t="s">
        <v>144</v>
      </c>
      <c r="E4395" s="13">
        <v>13424</v>
      </c>
      <c r="F4395" s="12">
        <v>87.36</v>
      </c>
      <c r="G4395" t="str">
        <f>IFERROR(INDEX(tEditais[Órgão],MATCH(tItens[[#This Row],[Edital]],tEditais[Edital],0)),"")</f>
        <v>SESMA-SECRETARIA MUNICIPAL DE SAUDE E MEIO AMBIENTE</v>
      </c>
      <c r="H4395" t="str">
        <f>IFERROR(INDEX(tEditais[UF],MATCH(tItens[[#This Row],[Edital]],tEditais[Edital],0)),"")</f>
        <v>PA</v>
      </c>
      <c r="I4395" s="11">
        <f>IFERROR(INDEX(tEditais[Encerramento],MATCH(tItens[[#This Row],[Edital]],tEditais[Edital],0)),"")</f>
        <v>46311.375</v>
      </c>
      <c r="J4395" t="str">
        <f>IFERROR(INDEX(tProdutos[Classe],MATCH(tItens[[#This Row],[Produto]],tProdutos[Produto],0)),"produto não cadastrado")</f>
        <v>DISPUTADO</v>
      </c>
      <c r="K4395" s="12">
        <f>tItens[[#This Row],[Qtd]]*tItens[[#This Row],[Vlr unit]]</f>
        <v>1172720.6399999999</v>
      </c>
      <c r="L4395" s="6">
        <f>IFERROR(IF(INDEX(tProdutos[Desconto homologado],MATCH(tItens[[#This Row],[Produto]],tProdutos[Produto],0))="",DescontoPadrao,INDEX(tProdutos[Desconto homologado],MATCH(tItens[[#This Row],[Produto]],tProdutos[Produto],0))),DescontoPadrao)</f>
        <v>0.371428571428571</v>
      </c>
      <c r="M4395" s="12">
        <f>tItens[[#This Row],[Valor]]*(1-tItens[[#This Row],[Desconto]])</f>
        <v>737138.68800000043</v>
      </c>
      <c r="N4395" t="str">
        <f>IFERROR(INDEX(tProdutos[Foco],MATCH(tItens[[#This Row],[Produto]],tProdutos[Produto],0)),"Não")</f>
        <v>Não</v>
      </c>
      <c r="O4395" t="str">
        <f>IFERROR(INDEX(tEditais[SRP],MATCH(tItens[[#This Row],[Edital]],tEditais[Edital],0)),"Não")</f>
        <v>Não</v>
      </c>
      <c r="P4395" s="4">
        <f>IF(COUNTIFS(INDEX(tItens[Edital],1):tItens[[#This Row],[Edital]],tItens[[#This Row],[Edital]],INDEX(tItens[Produto],1):tItens[[#This Row],[Produto]],tItens[[#This Row],[Produto]])=1,1,0)</f>
        <v>0</v>
      </c>
    </row>
    <row r="4396" spans="1:16" x14ac:dyDescent="0.25">
      <c r="A4396" t="s">
        <v>1755</v>
      </c>
      <c r="B4396">
        <v>66</v>
      </c>
      <c r="C4396" t="s">
        <v>7245</v>
      </c>
      <c r="D4396" t="s">
        <v>144</v>
      </c>
      <c r="E4396" s="13">
        <v>856</v>
      </c>
      <c r="F4396" s="12">
        <v>87.36</v>
      </c>
      <c r="G4396" t="str">
        <f>IFERROR(INDEX(tEditais[Órgão],MATCH(tItens[[#This Row],[Edital]],tEditais[Edital],0)),"")</f>
        <v>SESMA-SECRETARIA MUNICIPAL DE SAUDE E MEIO AMBIENTE</v>
      </c>
      <c r="H4396" t="str">
        <f>IFERROR(INDEX(tEditais[UF],MATCH(tItens[[#This Row],[Edital]],tEditais[Edital],0)),"")</f>
        <v>PA</v>
      </c>
      <c r="I4396" s="11">
        <f>IFERROR(INDEX(tEditais[Encerramento],MATCH(tItens[[#This Row],[Edital]],tEditais[Edital],0)),"")</f>
        <v>46311.375</v>
      </c>
      <c r="J4396" t="str">
        <f>IFERROR(INDEX(tProdutos[Classe],MATCH(tItens[[#This Row],[Produto]],tProdutos[Produto],0)),"produto não cadastrado")</f>
        <v>DISPUTADO</v>
      </c>
      <c r="K4396" s="12">
        <f>tItens[[#This Row],[Qtd]]*tItens[[#This Row],[Vlr unit]]</f>
        <v>74780.160000000003</v>
      </c>
      <c r="L4396" s="6">
        <f>IFERROR(IF(INDEX(tProdutos[Desconto homologado],MATCH(tItens[[#This Row],[Produto]],tProdutos[Produto],0))="",DescontoPadrao,INDEX(tProdutos[Desconto homologado],MATCH(tItens[[#This Row],[Produto]],tProdutos[Produto],0))),DescontoPadrao)</f>
        <v>0.371428571428571</v>
      </c>
      <c r="M4396" s="12">
        <f>tItens[[#This Row],[Valor]]*(1-tItens[[#This Row],[Desconto]])</f>
        <v>47004.672000000035</v>
      </c>
      <c r="N4396" t="str">
        <f>IFERROR(INDEX(tProdutos[Foco],MATCH(tItens[[#This Row],[Produto]],tProdutos[Produto],0)),"Não")</f>
        <v>Não</v>
      </c>
      <c r="O4396" t="str">
        <f>IFERROR(INDEX(tEditais[SRP],MATCH(tItens[[#This Row],[Edital]],tEditais[Edital],0)),"Não")</f>
        <v>Não</v>
      </c>
      <c r="P4396" s="4">
        <f>IF(COUNTIFS(INDEX(tItens[Edital],1):tItens[[#This Row],[Edital]],tItens[[#This Row],[Edital]],INDEX(tItens[Produto],1):tItens[[#This Row],[Produto]],tItens[[#This Row],[Produto]])=1,1,0)</f>
        <v>0</v>
      </c>
    </row>
    <row r="4397" spans="1:16" x14ac:dyDescent="0.25">
      <c r="A4397" t="s">
        <v>1759</v>
      </c>
      <c r="B4397">
        <v>9</v>
      </c>
      <c r="C4397" t="s">
        <v>7246</v>
      </c>
      <c r="D4397" t="s">
        <v>106</v>
      </c>
      <c r="E4397" s="13">
        <v>150</v>
      </c>
      <c r="F4397" s="12">
        <v>47.89</v>
      </c>
      <c r="G4397" t="str">
        <f>IFERROR(INDEX(tEditais[Órgão],MATCH(tItens[[#This Row],[Edital]],tEditais[Edital],0)),"")</f>
        <v>FUNDACAO PUBLICA ESTADUAL HOSPITAL DE CLNICAS GASPAR VIANNA - FHCGV</v>
      </c>
      <c r="H4397" t="str">
        <f>IFERROR(INDEX(tEditais[UF],MATCH(tItens[[#This Row],[Edital]],tEditais[Edital],0)),"")</f>
        <v>PA</v>
      </c>
      <c r="I4397" s="11">
        <f>IFERROR(INDEX(tEditais[Encerramento],MATCH(tItens[[#This Row],[Edital]],tEditais[Edital],0)),"")</f>
        <v>46311.541666666664</v>
      </c>
      <c r="J4397" t="str">
        <f>IFERROR(INDEX(tProdutos[Classe],MATCH(tItens[[#This Row],[Produto]],tProdutos[Produto],0)),"produto não cadastrado")</f>
        <v>DISPUTADO</v>
      </c>
      <c r="K4397" s="12">
        <f>tItens[[#This Row],[Qtd]]*tItens[[#This Row],[Vlr unit]]</f>
        <v>7183.5</v>
      </c>
      <c r="L4397" s="6">
        <f>IFERROR(IF(INDEX(tProdutos[Desconto homologado],MATCH(tItens[[#This Row],[Produto]],tProdutos[Produto],0))="",DescontoPadrao,INDEX(tProdutos[Desconto homologado],MATCH(tItens[[#This Row],[Produto]],tProdutos[Produto],0))),DescontoPadrao)</f>
        <v>0.24377518966589001</v>
      </c>
      <c r="M4397" s="12">
        <f>tItens[[#This Row],[Valor]]*(1-tItens[[#This Row],[Desconto]])</f>
        <v>5432.3409250350796</v>
      </c>
      <c r="N4397" t="str">
        <f>IFERROR(INDEX(tProdutos[Foco],MATCH(tItens[[#This Row],[Produto]],tProdutos[Produto],0)),"Não")</f>
        <v>Não</v>
      </c>
      <c r="O4397" t="str">
        <f>IFERROR(INDEX(tEditais[SRP],MATCH(tItens[[#This Row],[Edital]],tEditais[Edital],0)),"Não")</f>
        <v>Não</v>
      </c>
      <c r="P4397" s="4">
        <f>IF(COUNTIFS(INDEX(tItens[Edital],1):tItens[[#This Row],[Edital]],tItens[[#This Row],[Edital]],INDEX(tItens[Produto],1):tItens[[#This Row],[Produto]],tItens[[#This Row],[Produto]])=1,1,0)</f>
        <v>1</v>
      </c>
    </row>
    <row r="4398" spans="1:16" x14ac:dyDescent="0.25">
      <c r="A4398" t="s">
        <v>1761</v>
      </c>
      <c r="B4398">
        <v>80</v>
      </c>
      <c r="C4398" t="s">
        <v>7247</v>
      </c>
      <c r="D4398" t="s">
        <v>569</v>
      </c>
      <c r="E4398" s="13">
        <v>16</v>
      </c>
      <c r="F4398" s="12">
        <v>16.89</v>
      </c>
      <c r="G4398" t="str">
        <f>IFERROR(INDEX(tEditais[Órgão],MATCH(tItens[[#This Row],[Edital]],tEditais[Edital],0)),"")</f>
        <v>MUNICIPIO DE PRAINHA</v>
      </c>
      <c r="H4398" t="str">
        <f>IFERROR(INDEX(tEditais[UF],MATCH(tItens[[#This Row],[Edital]],tEditais[Edital],0)),"")</f>
        <v>PA</v>
      </c>
      <c r="I4398" s="11">
        <f>IFERROR(INDEX(tEditais[Encerramento],MATCH(tItens[[#This Row],[Edital]],tEditais[Edital],0)),"")</f>
        <v>46314.332638888889</v>
      </c>
      <c r="J4398" t="str">
        <f>IFERROR(INDEX(tProdutos[Classe],MATCH(tItens[[#This Row],[Produto]],tProdutos[Produto],0)),"produto não cadastrado")</f>
        <v>FILA REBASE</v>
      </c>
      <c r="K4398" s="12">
        <f>tItens[[#This Row],[Qtd]]*tItens[[#This Row],[Vlr unit]]</f>
        <v>270.24</v>
      </c>
      <c r="L4398" s="6">
        <f>IFERROR(IF(INDEX(tProdutos[Desconto homologado],MATCH(tItens[[#This Row],[Produto]],tProdutos[Produto],0))="",DescontoPadrao,INDEX(tProdutos[Desconto homologado],MATCH(tItens[[#This Row],[Produto]],tProdutos[Produto],0))),DescontoPadrao)</f>
        <v>0.3</v>
      </c>
      <c r="M4398" s="12">
        <f>tItens[[#This Row],[Valor]]*(1-tItens[[#This Row],[Desconto]])</f>
        <v>189.16800000000001</v>
      </c>
      <c r="N4398" t="str">
        <f>IFERROR(INDEX(tProdutos[Foco],MATCH(tItens[[#This Row],[Produto]],tProdutos[Produto],0)),"Não")</f>
        <v>Não</v>
      </c>
      <c r="O4398" t="str">
        <f>IFERROR(INDEX(tEditais[SRP],MATCH(tItens[[#This Row],[Edital]],tEditais[Edital],0)),"Não")</f>
        <v>Sim</v>
      </c>
      <c r="P4398" s="4">
        <f>IF(COUNTIFS(INDEX(tItens[Edital],1):tItens[[#This Row],[Edital]],tItens[[#This Row],[Edital]],INDEX(tItens[Produto],1):tItens[[#This Row],[Produto]],tItens[[#This Row],[Produto]])=1,1,0)</f>
        <v>1</v>
      </c>
    </row>
    <row r="4399" spans="1:16" x14ac:dyDescent="0.25">
      <c r="A4399" t="s">
        <v>1761</v>
      </c>
      <c r="B4399">
        <v>81</v>
      </c>
      <c r="C4399" t="s">
        <v>7248</v>
      </c>
      <c r="D4399" t="s">
        <v>569</v>
      </c>
      <c r="E4399" s="13">
        <v>10</v>
      </c>
      <c r="F4399" s="12">
        <v>49.53</v>
      </c>
      <c r="G4399" t="str">
        <f>IFERROR(INDEX(tEditais[Órgão],MATCH(tItens[[#This Row],[Edital]],tEditais[Edital],0)),"")</f>
        <v>MUNICIPIO DE PRAINHA</v>
      </c>
      <c r="H4399" t="str">
        <f>IFERROR(INDEX(tEditais[UF],MATCH(tItens[[#This Row],[Edital]],tEditais[Edital],0)),"")</f>
        <v>PA</v>
      </c>
      <c r="I4399" s="11">
        <f>IFERROR(INDEX(tEditais[Encerramento],MATCH(tItens[[#This Row],[Edital]],tEditais[Edital],0)),"")</f>
        <v>46314.332638888889</v>
      </c>
      <c r="J4399" t="str">
        <f>IFERROR(INDEX(tProdutos[Classe],MATCH(tItens[[#This Row],[Produto]],tProdutos[Produto],0)),"produto não cadastrado")</f>
        <v>FILA REBASE</v>
      </c>
      <c r="K4399" s="12">
        <f>tItens[[#This Row],[Qtd]]*tItens[[#This Row],[Vlr unit]]</f>
        <v>495.3</v>
      </c>
      <c r="L4399" s="6">
        <f>IFERROR(IF(INDEX(tProdutos[Desconto homologado],MATCH(tItens[[#This Row],[Produto]],tProdutos[Produto],0))="",DescontoPadrao,INDEX(tProdutos[Desconto homologado],MATCH(tItens[[#This Row],[Produto]],tProdutos[Produto],0))),DescontoPadrao)</f>
        <v>0.3</v>
      </c>
      <c r="M4399" s="12">
        <f>tItens[[#This Row],[Valor]]*(1-tItens[[#This Row],[Desconto]])</f>
        <v>346.71</v>
      </c>
      <c r="N4399" t="str">
        <f>IFERROR(INDEX(tProdutos[Foco],MATCH(tItens[[#This Row],[Produto]],tProdutos[Produto],0)),"Não")</f>
        <v>Não</v>
      </c>
      <c r="O4399" t="str">
        <f>IFERROR(INDEX(tEditais[SRP],MATCH(tItens[[#This Row],[Edital]],tEditais[Edital],0)),"Não")</f>
        <v>Sim</v>
      </c>
      <c r="P4399" s="4">
        <f>IF(COUNTIFS(INDEX(tItens[Edital],1):tItens[[#This Row],[Edital]],tItens[[#This Row],[Edital]],INDEX(tItens[Produto],1):tItens[[#This Row],[Produto]],tItens[[#This Row],[Produto]])=1,1,0)</f>
        <v>0</v>
      </c>
    </row>
    <row r="4400" spans="1:16" x14ac:dyDescent="0.25">
      <c r="A4400" t="s">
        <v>1761</v>
      </c>
      <c r="B4400">
        <v>86</v>
      </c>
      <c r="C4400" t="s">
        <v>7249</v>
      </c>
      <c r="D4400" t="s">
        <v>641</v>
      </c>
      <c r="E4400" s="13">
        <v>10</v>
      </c>
      <c r="F4400" s="12">
        <v>66.069999999999993</v>
      </c>
      <c r="G4400" t="str">
        <f>IFERROR(INDEX(tEditais[Órgão],MATCH(tItens[[#This Row],[Edital]],tEditais[Edital],0)),"")</f>
        <v>MUNICIPIO DE PRAINHA</v>
      </c>
      <c r="H4400" t="str">
        <f>IFERROR(INDEX(tEditais[UF],MATCH(tItens[[#This Row],[Edital]],tEditais[Edital],0)),"")</f>
        <v>PA</v>
      </c>
      <c r="I4400" s="11">
        <f>IFERROR(INDEX(tEditais[Encerramento],MATCH(tItens[[#This Row],[Edital]],tEditais[Edital],0)),"")</f>
        <v>46314.332638888889</v>
      </c>
      <c r="J4400" t="str">
        <f>IFERROR(INDEX(tProdutos[Classe],MATCH(tItens[[#This Row],[Produto]],tProdutos[Produto],0)),"produto não cadastrado")</f>
        <v>FILA REBASE</v>
      </c>
      <c r="K4400" s="12">
        <f>tItens[[#This Row],[Qtd]]*tItens[[#This Row],[Vlr unit]]</f>
        <v>660.69999999999993</v>
      </c>
      <c r="L4400" s="6">
        <f>IFERROR(IF(INDEX(tProdutos[Desconto homologado],MATCH(tItens[[#This Row],[Produto]],tProdutos[Produto],0))="",DescontoPadrao,INDEX(tProdutos[Desconto homologado],MATCH(tItens[[#This Row],[Produto]],tProdutos[Produto],0))),DescontoPadrao)</f>
        <v>0.3</v>
      </c>
      <c r="M4400" s="12">
        <f>tItens[[#This Row],[Valor]]*(1-tItens[[#This Row],[Desconto]])</f>
        <v>462.4899999999999</v>
      </c>
      <c r="N4400" t="str">
        <f>IFERROR(INDEX(tProdutos[Foco],MATCH(tItens[[#This Row],[Produto]],tProdutos[Produto],0)),"Não")</f>
        <v>Não</v>
      </c>
      <c r="O4400" t="str">
        <f>IFERROR(INDEX(tEditais[SRP],MATCH(tItens[[#This Row],[Edital]],tEditais[Edital],0)),"Não")</f>
        <v>Sim</v>
      </c>
      <c r="P4400" s="4">
        <f>IF(COUNTIFS(INDEX(tItens[Edital],1):tItens[[#This Row],[Edital]],tItens[[#This Row],[Edital]],INDEX(tItens[Produto],1):tItens[[#This Row],[Produto]],tItens[[#This Row],[Produto]])=1,1,0)</f>
        <v>1</v>
      </c>
    </row>
    <row r="4401" spans="1:16" x14ac:dyDescent="0.25">
      <c r="A4401" t="s">
        <v>1761</v>
      </c>
      <c r="B4401">
        <v>87</v>
      </c>
      <c r="C4401" t="s">
        <v>7250</v>
      </c>
      <c r="D4401" t="s">
        <v>641</v>
      </c>
      <c r="E4401" s="13">
        <v>25</v>
      </c>
      <c r="F4401" s="12">
        <v>70.22</v>
      </c>
      <c r="G4401" t="str">
        <f>IFERROR(INDEX(tEditais[Órgão],MATCH(tItens[[#This Row],[Edital]],tEditais[Edital],0)),"")</f>
        <v>MUNICIPIO DE PRAINHA</v>
      </c>
      <c r="H4401" t="str">
        <f>IFERROR(INDEX(tEditais[UF],MATCH(tItens[[#This Row],[Edital]],tEditais[Edital],0)),"")</f>
        <v>PA</v>
      </c>
      <c r="I4401" s="11">
        <f>IFERROR(INDEX(tEditais[Encerramento],MATCH(tItens[[#This Row],[Edital]],tEditais[Edital],0)),"")</f>
        <v>46314.332638888889</v>
      </c>
      <c r="J4401" t="str">
        <f>IFERROR(INDEX(tProdutos[Classe],MATCH(tItens[[#This Row],[Produto]],tProdutos[Produto],0)),"produto não cadastrado")</f>
        <v>FILA REBASE</v>
      </c>
      <c r="K4401" s="12">
        <f>tItens[[#This Row],[Qtd]]*tItens[[#This Row],[Vlr unit]]</f>
        <v>1755.5</v>
      </c>
      <c r="L4401" s="6">
        <f>IFERROR(IF(INDEX(tProdutos[Desconto homologado],MATCH(tItens[[#This Row],[Produto]],tProdutos[Produto],0))="",DescontoPadrao,INDEX(tProdutos[Desconto homologado],MATCH(tItens[[#This Row],[Produto]],tProdutos[Produto],0))),DescontoPadrao)</f>
        <v>0.3</v>
      </c>
      <c r="M4401" s="12">
        <f>tItens[[#This Row],[Valor]]*(1-tItens[[#This Row],[Desconto]])</f>
        <v>1228.8499999999999</v>
      </c>
      <c r="N4401" t="str">
        <f>IFERROR(INDEX(tProdutos[Foco],MATCH(tItens[[#This Row],[Produto]],tProdutos[Produto],0)),"Não")</f>
        <v>Não</v>
      </c>
      <c r="O4401" t="str">
        <f>IFERROR(INDEX(tEditais[SRP],MATCH(tItens[[#This Row],[Edital]],tEditais[Edital],0)),"Não")</f>
        <v>Sim</v>
      </c>
      <c r="P4401" s="4">
        <f>IF(COUNTIFS(INDEX(tItens[Edital],1):tItens[[#This Row],[Edital]],tItens[[#This Row],[Edital]],INDEX(tItens[Produto],1):tItens[[#This Row],[Produto]],tItens[[#This Row],[Produto]])=1,1,0)</f>
        <v>0</v>
      </c>
    </row>
    <row r="4402" spans="1:16" x14ac:dyDescent="0.25">
      <c r="A4402" t="s">
        <v>1761</v>
      </c>
      <c r="B4402">
        <v>113</v>
      </c>
      <c r="C4402" t="s">
        <v>7251</v>
      </c>
      <c r="D4402" t="s">
        <v>455</v>
      </c>
      <c r="E4402" s="13">
        <v>1000</v>
      </c>
      <c r="F4402" s="12">
        <v>1.19</v>
      </c>
      <c r="G4402" t="str">
        <f>IFERROR(INDEX(tEditais[Órgão],MATCH(tItens[[#This Row],[Edital]],tEditais[Edital],0)),"")</f>
        <v>MUNICIPIO DE PRAINHA</v>
      </c>
      <c r="H4402" t="str">
        <f>IFERROR(INDEX(tEditais[UF],MATCH(tItens[[#This Row],[Edital]],tEditais[Edital],0)),"")</f>
        <v>PA</v>
      </c>
      <c r="I4402" s="11">
        <f>IFERROR(INDEX(tEditais[Encerramento],MATCH(tItens[[#This Row],[Edital]],tEditais[Edital],0)),"")</f>
        <v>46314.332638888889</v>
      </c>
      <c r="J4402" t="str">
        <f>IFERROR(INDEX(tProdutos[Classe],MATCH(tItens[[#This Row],[Produto]],tProdutos[Produto],0)),"produto não cadastrado")</f>
        <v>FILA REBASE</v>
      </c>
      <c r="K4402" s="12">
        <f>tItens[[#This Row],[Qtd]]*tItens[[#This Row],[Vlr unit]]</f>
        <v>1190</v>
      </c>
      <c r="L4402" s="6">
        <f>IFERROR(IF(INDEX(tProdutos[Desconto homologado],MATCH(tItens[[#This Row],[Produto]],tProdutos[Produto],0))="",DescontoPadrao,INDEX(tProdutos[Desconto homologado],MATCH(tItens[[#This Row],[Produto]],tProdutos[Produto],0))),DescontoPadrao)</f>
        <v>0.29595946765523801</v>
      </c>
      <c r="M4402" s="12">
        <f>tItens[[#This Row],[Valor]]*(1-tItens[[#This Row],[Desconto]])</f>
        <v>837.80823349026684</v>
      </c>
      <c r="N4402" t="str">
        <f>IFERROR(INDEX(tProdutos[Foco],MATCH(tItens[[#This Row],[Produto]],tProdutos[Produto],0)),"Não")</f>
        <v>Não</v>
      </c>
      <c r="O4402" t="str">
        <f>IFERROR(INDEX(tEditais[SRP],MATCH(tItens[[#This Row],[Edital]],tEditais[Edital],0)),"Não")</f>
        <v>Sim</v>
      </c>
      <c r="P4402" s="4">
        <f>IF(COUNTIFS(INDEX(tItens[Edital],1):tItens[[#This Row],[Edital]],tItens[[#This Row],[Edital]],INDEX(tItens[Produto],1):tItens[[#This Row],[Produto]],tItens[[#This Row],[Produto]])=1,1,0)</f>
        <v>1</v>
      </c>
    </row>
    <row r="4403" spans="1:16" x14ac:dyDescent="0.25">
      <c r="A4403" t="s">
        <v>1766</v>
      </c>
      <c r="B4403">
        <v>17</v>
      </c>
      <c r="C4403" t="s">
        <v>7252</v>
      </c>
      <c r="D4403" t="s">
        <v>578</v>
      </c>
      <c r="E4403" s="13">
        <v>20</v>
      </c>
      <c r="F4403" s="12">
        <v>260.07</v>
      </c>
      <c r="G4403" t="str">
        <f>IFERROR(INDEX(tEditais[Órgão],MATCH(tItens[[#This Row],[Edital]],tEditais[Edital],0)),"")</f>
        <v>MUNICIPIO DE BREJO DO CRUZ</v>
      </c>
      <c r="H4403" t="str">
        <f>IFERROR(INDEX(tEditais[UF],MATCH(tItens[[#This Row],[Edital]],tEditais[Edital],0)),"")</f>
        <v>PB</v>
      </c>
      <c r="I4403" s="11">
        <f>IFERROR(INDEX(tEditais[Encerramento],MATCH(tItens[[#This Row],[Edital]],tEditais[Edital],0)),"")</f>
        <v>46304.333333333336</v>
      </c>
      <c r="J4403" t="str">
        <f>IFERROR(INDEX(tProdutos[Classe],MATCH(tItens[[#This Row],[Produto]],tProdutos[Produto],0)),"produto não cadastrado")</f>
        <v>FILA REBASE</v>
      </c>
      <c r="K4403" s="12">
        <f>tItens[[#This Row],[Qtd]]*tItens[[#This Row],[Vlr unit]]</f>
        <v>5201.3999999999996</v>
      </c>
      <c r="L4403" s="6">
        <f>IFERROR(IF(INDEX(tProdutos[Desconto homologado],MATCH(tItens[[#This Row],[Produto]],tProdutos[Produto],0))="",DescontoPadrao,INDEX(tProdutos[Desconto homologado],MATCH(tItens[[#This Row],[Produto]],tProdutos[Produto],0))),DescontoPadrao)</f>
        <v>0.36014625228519198</v>
      </c>
      <c r="M4403" s="12">
        <f>tItens[[#This Row],[Valor]]*(1-tItens[[#This Row],[Desconto]])</f>
        <v>3328.1352833638025</v>
      </c>
      <c r="N4403" t="str">
        <f>IFERROR(INDEX(tProdutos[Foco],MATCH(tItens[[#This Row],[Produto]],tProdutos[Produto],0)),"Não")</f>
        <v>Não</v>
      </c>
      <c r="O4403" t="str">
        <f>IFERROR(INDEX(tEditais[SRP],MATCH(tItens[[#This Row],[Edital]],tEditais[Edital],0)),"Não")</f>
        <v>Não</v>
      </c>
      <c r="P4403" s="4">
        <f>IF(COUNTIFS(INDEX(tItens[Edital],1):tItens[[#This Row],[Edital]],tItens[[#This Row],[Edital]],INDEX(tItens[Produto],1):tItens[[#This Row],[Produto]],tItens[[#This Row],[Produto]])=1,1,0)</f>
        <v>1</v>
      </c>
    </row>
    <row r="4404" spans="1:16" x14ac:dyDescent="0.25">
      <c r="A4404" t="s">
        <v>1772</v>
      </c>
      <c r="B4404">
        <v>61</v>
      </c>
      <c r="C4404" t="s">
        <v>7253</v>
      </c>
      <c r="D4404" t="s">
        <v>500</v>
      </c>
      <c r="E4404" s="13">
        <v>300</v>
      </c>
      <c r="F4404" s="12">
        <v>4.1500000000000004</v>
      </c>
      <c r="G4404" t="str">
        <f>IFERROR(INDEX(tEditais[Órgão],MATCH(tItens[[#This Row],[Edital]],tEditais[Edital],0)),"")</f>
        <v>MUNICIPIO DE SAO BENTO</v>
      </c>
      <c r="H4404" t="str">
        <f>IFERROR(INDEX(tEditais[UF],MATCH(tItens[[#This Row],[Edital]],tEditais[Edital],0)),"")</f>
        <v>PB</v>
      </c>
      <c r="I4404" s="11">
        <f>IFERROR(INDEX(tEditais[Encerramento],MATCH(tItens[[#This Row],[Edital]],tEditais[Edital],0)),"")</f>
        <v>46304.333333333336</v>
      </c>
      <c r="J4404" t="str">
        <f>IFERROR(INDEX(tProdutos[Classe],MATCH(tItens[[#This Row],[Produto]],tProdutos[Produto],0)),"produto não cadastrado")</f>
        <v>FILA REBASE</v>
      </c>
      <c r="K4404" s="12">
        <f>tItens[[#This Row],[Qtd]]*tItens[[#This Row],[Vlr unit]]</f>
        <v>1245</v>
      </c>
      <c r="L4404" s="6">
        <f>IFERROR(IF(INDEX(tProdutos[Desconto homologado],MATCH(tItens[[#This Row],[Produto]],tProdutos[Produto],0))="",DescontoPadrao,INDEX(tProdutos[Desconto homologado],MATCH(tItens[[#This Row],[Produto]],tProdutos[Produto],0))),DescontoPadrao)</f>
        <v>0.267022226451467</v>
      </c>
      <c r="M4404" s="12">
        <f>tItens[[#This Row],[Valor]]*(1-tItens[[#This Row],[Desconto]])</f>
        <v>912.55732806792355</v>
      </c>
      <c r="N4404" t="str">
        <f>IFERROR(INDEX(tProdutos[Foco],MATCH(tItens[[#This Row],[Produto]],tProdutos[Produto],0)),"Não")</f>
        <v>Não</v>
      </c>
      <c r="O4404" t="str">
        <f>IFERROR(INDEX(tEditais[SRP],MATCH(tItens[[#This Row],[Edital]],tEditais[Edital],0)),"Não")</f>
        <v>Não</v>
      </c>
      <c r="P4404" s="4">
        <f>IF(COUNTIFS(INDEX(tItens[Edital],1):tItens[[#This Row],[Edital]],tItens[[#This Row],[Edital]],INDEX(tItens[Produto],1):tItens[[#This Row],[Produto]],tItens[[#This Row],[Produto]])=1,1,0)</f>
        <v>1</v>
      </c>
    </row>
    <row r="4405" spans="1:16" x14ac:dyDescent="0.25">
      <c r="A4405" t="s">
        <v>1776</v>
      </c>
      <c r="B4405">
        <v>31</v>
      </c>
      <c r="C4405" t="s">
        <v>7254</v>
      </c>
      <c r="D4405" t="s">
        <v>455</v>
      </c>
      <c r="E4405" s="13">
        <v>30</v>
      </c>
      <c r="F4405" s="12">
        <v>60.07</v>
      </c>
      <c r="G4405" t="str">
        <f>IFERROR(INDEX(tEditais[Órgão],MATCH(tItens[[#This Row],[Edital]],tEditais[Edital],0)),"")</f>
        <v>MUNICIPIO DE PICUI</v>
      </c>
      <c r="H4405" t="str">
        <f>IFERROR(INDEX(tEditais[UF],MATCH(tItens[[#This Row],[Edital]],tEditais[Edital],0)),"")</f>
        <v>PB</v>
      </c>
      <c r="I4405" s="11">
        <f>IFERROR(INDEX(tEditais[Encerramento],MATCH(tItens[[#This Row],[Edital]],tEditais[Edital],0)),"")</f>
        <v>46304.371527777781</v>
      </c>
      <c r="J4405" t="str">
        <f>IFERROR(INDEX(tProdutos[Classe],MATCH(tItens[[#This Row],[Produto]],tProdutos[Produto],0)),"produto não cadastrado")</f>
        <v>FILA REBASE</v>
      </c>
      <c r="K4405" s="12">
        <f>tItens[[#This Row],[Qtd]]*tItens[[#This Row],[Vlr unit]]</f>
        <v>1802.1</v>
      </c>
      <c r="L4405" s="6">
        <f>IFERROR(IF(INDEX(tProdutos[Desconto homologado],MATCH(tItens[[#This Row],[Produto]],tProdutos[Produto],0))="",DescontoPadrao,INDEX(tProdutos[Desconto homologado],MATCH(tItens[[#This Row],[Produto]],tProdutos[Produto],0))),DescontoPadrao)</f>
        <v>0.29595946765523801</v>
      </c>
      <c r="M4405" s="12">
        <f>tItens[[#This Row],[Valor]]*(1-tItens[[#This Row],[Desconto]])</f>
        <v>1268.7514433384956</v>
      </c>
      <c r="N4405" t="str">
        <f>IFERROR(INDEX(tProdutos[Foco],MATCH(tItens[[#This Row],[Produto]],tProdutos[Produto],0)),"Não")</f>
        <v>Não</v>
      </c>
      <c r="O4405" t="str">
        <f>IFERROR(INDEX(tEditais[SRP],MATCH(tItens[[#This Row],[Edital]],tEditais[Edital],0)),"Não")</f>
        <v>Sim</v>
      </c>
      <c r="P4405" s="4">
        <f>IF(COUNTIFS(INDEX(tItens[Edital],1):tItens[[#This Row],[Edital]],tItens[[#This Row],[Edital]],INDEX(tItens[Produto],1):tItens[[#This Row],[Produto]],tItens[[#This Row],[Produto]])=1,1,0)</f>
        <v>1</v>
      </c>
    </row>
    <row r="4406" spans="1:16" x14ac:dyDescent="0.25">
      <c r="A4406" t="s">
        <v>1780</v>
      </c>
      <c r="B4406">
        <v>2</v>
      </c>
      <c r="C4406" t="s">
        <v>7255</v>
      </c>
      <c r="D4406" t="s">
        <v>578</v>
      </c>
      <c r="E4406" s="13">
        <v>2</v>
      </c>
      <c r="F4406" s="12">
        <v>1778.67</v>
      </c>
      <c r="G4406" t="str">
        <f>IFERROR(INDEX(tEditais[Órgão],MATCH(tItens[[#This Row],[Edital]],tEditais[Edital],0)),"")</f>
        <v>MUNICIPIO DE SAO JOSE DOS RAMOS</v>
      </c>
      <c r="H4406" t="str">
        <f>IFERROR(INDEX(tEditais[UF],MATCH(tItens[[#This Row],[Edital]],tEditais[Edital],0)),"")</f>
        <v>PB</v>
      </c>
      <c r="I4406" s="11">
        <f>IFERROR(INDEX(tEditais[Encerramento],MATCH(tItens[[#This Row],[Edital]],tEditais[Edital],0)),"")</f>
        <v>46304.395833333336</v>
      </c>
      <c r="J4406" t="str">
        <f>IFERROR(INDEX(tProdutos[Classe],MATCH(tItens[[#This Row],[Produto]],tProdutos[Produto],0)),"produto não cadastrado")</f>
        <v>FILA REBASE</v>
      </c>
      <c r="K4406" s="12">
        <f>tItens[[#This Row],[Qtd]]*tItens[[#This Row],[Vlr unit]]</f>
        <v>3557.34</v>
      </c>
      <c r="L4406" s="6">
        <f>IFERROR(IF(INDEX(tProdutos[Desconto homologado],MATCH(tItens[[#This Row],[Produto]],tProdutos[Produto],0))="",DescontoPadrao,INDEX(tProdutos[Desconto homologado],MATCH(tItens[[#This Row],[Produto]],tProdutos[Produto],0))),DescontoPadrao)</f>
        <v>0.36014625228519198</v>
      </c>
      <c r="M4406" s="12">
        <f>tItens[[#This Row],[Valor]]*(1-tItens[[#This Row],[Desconto]])</f>
        <v>2276.1773308957954</v>
      </c>
      <c r="N4406" t="str">
        <f>IFERROR(INDEX(tProdutos[Foco],MATCH(tItens[[#This Row],[Produto]],tProdutos[Produto],0)),"Não")</f>
        <v>Não</v>
      </c>
      <c r="O4406" t="str">
        <f>IFERROR(INDEX(tEditais[SRP],MATCH(tItens[[#This Row],[Edital]],tEditais[Edital],0)),"Não")</f>
        <v>Não</v>
      </c>
      <c r="P4406" s="4">
        <f>IF(COUNTIFS(INDEX(tItens[Edital],1):tItens[[#This Row],[Edital]],tItens[[#This Row],[Edital]],INDEX(tItens[Produto],1):tItens[[#This Row],[Produto]],tItens[[#This Row],[Produto]])=1,1,0)</f>
        <v>1</v>
      </c>
    </row>
    <row r="4407" spans="1:16" x14ac:dyDescent="0.25">
      <c r="A4407" t="s">
        <v>1785</v>
      </c>
      <c r="B4407">
        <v>16</v>
      </c>
      <c r="C4407" t="s">
        <v>7256</v>
      </c>
      <c r="D4407" t="s">
        <v>578</v>
      </c>
      <c r="E4407" s="13">
        <v>2</v>
      </c>
      <c r="F4407" s="12">
        <v>5636.46</v>
      </c>
      <c r="G4407" t="str">
        <f>IFERROR(INDEX(tEditais[Órgão],MATCH(tItens[[#This Row],[Edital]],tEditais[Edital],0)),"")</f>
        <v>MUNICIPIO DE ESPERANCA</v>
      </c>
      <c r="H4407" t="str">
        <f>IFERROR(INDEX(tEditais[UF],MATCH(tItens[[#This Row],[Edital]],tEditais[Edital],0)),"")</f>
        <v>PB</v>
      </c>
      <c r="I4407" s="11">
        <f>IFERROR(INDEX(tEditais[Encerramento],MATCH(tItens[[#This Row],[Edital]],tEditais[Edital],0)),"")</f>
        <v>46308.374305555553</v>
      </c>
      <c r="J4407" t="str">
        <f>IFERROR(INDEX(tProdutos[Classe],MATCH(tItens[[#This Row],[Produto]],tProdutos[Produto],0)),"produto não cadastrado")</f>
        <v>FILA REBASE</v>
      </c>
      <c r="K4407" s="12">
        <f>tItens[[#This Row],[Qtd]]*tItens[[#This Row],[Vlr unit]]</f>
        <v>11272.92</v>
      </c>
      <c r="L4407" s="6">
        <f>IFERROR(IF(INDEX(tProdutos[Desconto homologado],MATCH(tItens[[#This Row],[Produto]],tProdutos[Produto],0))="",DescontoPadrao,INDEX(tProdutos[Desconto homologado],MATCH(tItens[[#This Row],[Produto]],tProdutos[Produto],0))),DescontoPadrao)</f>
        <v>0.36014625228519198</v>
      </c>
      <c r="M4407" s="12">
        <f>tItens[[#This Row],[Valor]]*(1-tItens[[#This Row],[Desconto]])</f>
        <v>7213.0201096892142</v>
      </c>
      <c r="N4407" t="str">
        <f>IFERROR(INDEX(tProdutos[Foco],MATCH(tItens[[#This Row],[Produto]],tProdutos[Produto],0)),"Não")</f>
        <v>Não</v>
      </c>
      <c r="O4407" t="str">
        <f>IFERROR(INDEX(tEditais[SRP],MATCH(tItens[[#This Row],[Edital]],tEditais[Edital],0)),"Não")</f>
        <v>Não</v>
      </c>
      <c r="P4407" s="4">
        <f>IF(COUNTIFS(INDEX(tItens[Edital],1):tItens[[#This Row],[Edital]],tItens[[#This Row],[Edital]],INDEX(tItens[Produto],1):tItens[[#This Row],[Produto]],tItens[[#This Row],[Produto]])=1,1,0)</f>
        <v>1</v>
      </c>
    </row>
    <row r="4408" spans="1:16" x14ac:dyDescent="0.25">
      <c r="A4408" t="s">
        <v>1790</v>
      </c>
      <c r="B4408">
        <v>34</v>
      </c>
      <c r="C4408" t="s">
        <v>7257</v>
      </c>
      <c r="D4408" t="s">
        <v>569</v>
      </c>
      <c r="E4408" s="13">
        <v>250</v>
      </c>
      <c r="F4408" s="12">
        <v>490.56</v>
      </c>
      <c r="G4408" t="str">
        <f>IFERROR(INDEX(tEditais[Órgão],MATCH(tItens[[#This Row],[Edital]],tEditais[Edital],0)),"")</f>
        <v>FUNDO MUNICIPAL DE SAUDE DE MAMANGUAPE</v>
      </c>
      <c r="H4408" t="str">
        <f>IFERROR(INDEX(tEditais[UF],MATCH(tItens[[#This Row],[Edital]],tEditais[Edital],0)),"")</f>
        <v>PB</v>
      </c>
      <c r="I4408" s="11">
        <f>IFERROR(INDEX(tEditais[Encerramento],MATCH(tItens[[#This Row],[Edital]],tEditais[Edital],0)),"")</f>
        <v>46308.375</v>
      </c>
      <c r="J4408" t="str">
        <f>IFERROR(INDEX(tProdutos[Classe],MATCH(tItens[[#This Row],[Produto]],tProdutos[Produto],0)),"produto não cadastrado")</f>
        <v>FILA REBASE</v>
      </c>
      <c r="K4408" s="12">
        <f>tItens[[#This Row],[Qtd]]*tItens[[#This Row],[Vlr unit]]</f>
        <v>122640</v>
      </c>
      <c r="L4408" s="6">
        <f>IFERROR(IF(INDEX(tProdutos[Desconto homologado],MATCH(tItens[[#This Row],[Produto]],tProdutos[Produto],0))="",DescontoPadrao,INDEX(tProdutos[Desconto homologado],MATCH(tItens[[#This Row],[Produto]],tProdutos[Produto],0))),DescontoPadrao)</f>
        <v>0.3</v>
      </c>
      <c r="M4408" s="12">
        <f>tItens[[#This Row],[Valor]]*(1-tItens[[#This Row],[Desconto]])</f>
        <v>85848</v>
      </c>
      <c r="N4408" t="str">
        <f>IFERROR(INDEX(tProdutos[Foco],MATCH(tItens[[#This Row],[Produto]],tProdutos[Produto],0)),"Não")</f>
        <v>Não</v>
      </c>
      <c r="O4408" t="str">
        <f>IFERROR(INDEX(tEditais[SRP],MATCH(tItens[[#This Row],[Edital]],tEditais[Edital],0)),"Não")</f>
        <v>Não</v>
      </c>
      <c r="P4408" s="4">
        <f>IF(COUNTIFS(INDEX(tItens[Edital],1):tItens[[#This Row],[Edital]],tItens[[#This Row],[Edital]],INDEX(tItens[Produto],1):tItens[[#This Row],[Produto]],tItens[[#This Row],[Produto]])=1,1,0)</f>
        <v>1</v>
      </c>
    </row>
    <row r="4409" spans="1:16" x14ac:dyDescent="0.25">
      <c r="A4409" t="s">
        <v>1794</v>
      </c>
      <c r="B4409">
        <v>4</v>
      </c>
      <c r="C4409" t="s">
        <v>7258</v>
      </c>
      <c r="D4409" t="s">
        <v>82</v>
      </c>
      <c r="E4409" s="13">
        <v>40</v>
      </c>
      <c r="F4409" s="12">
        <v>70.02</v>
      </c>
      <c r="G4409" t="str">
        <f>IFERROR(INDEX(tEditais[Órgão],MATCH(tItens[[#This Row],[Edital]],tEditais[Edital],0)),"")</f>
        <v>MUNICIPIO DE JURU</v>
      </c>
      <c r="H4409" t="str">
        <f>IFERROR(INDEX(tEditais[UF],MATCH(tItens[[#This Row],[Edital]],tEditais[Edital],0)),"")</f>
        <v>PB</v>
      </c>
      <c r="I4409" s="11">
        <f>IFERROR(INDEX(tEditais[Encerramento],MATCH(tItens[[#This Row],[Edital]],tEditais[Edital],0)),"")</f>
        <v>46308.385416666664</v>
      </c>
      <c r="J4409" t="str">
        <f>IFERROR(INDEX(tProdutos[Classe],MATCH(tItens[[#This Row],[Produto]],tProdutos[Produto],0)),"produto não cadastrado")</f>
        <v>NÚCLEO</v>
      </c>
      <c r="K4409" s="12">
        <f>tItens[[#This Row],[Qtd]]*tItens[[#This Row],[Vlr unit]]</f>
        <v>2800.7999999999997</v>
      </c>
      <c r="L4409" s="6">
        <f>IFERROR(IF(INDEX(tProdutos[Desconto homologado],MATCH(tItens[[#This Row],[Produto]],tProdutos[Produto],0))="",DescontoPadrao,INDEX(tProdutos[Desconto homologado],MATCH(tItens[[#This Row],[Produto]],tProdutos[Produto],0))),DescontoPadrao)</f>
        <v>0.40487090276506099</v>
      </c>
      <c r="M4409" s="12">
        <f>tItens[[#This Row],[Valor]]*(1-tItens[[#This Row],[Desconto]])</f>
        <v>1666.8375755356169</v>
      </c>
      <c r="N4409" t="str">
        <f>IFERROR(INDEX(tProdutos[Foco],MATCH(tItens[[#This Row],[Produto]],tProdutos[Produto],0)),"Não")</f>
        <v>Não</v>
      </c>
      <c r="O4409" t="str">
        <f>IFERROR(INDEX(tEditais[SRP],MATCH(tItens[[#This Row],[Edital]],tEditais[Edital],0)),"Não")</f>
        <v>Sim</v>
      </c>
      <c r="P4409" s="4">
        <f>IF(COUNTIFS(INDEX(tItens[Edital],1):tItens[[#This Row],[Edital]],tItens[[#This Row],[Edital]],INDEX(tItens[Produto],1):tItens[[#This Row],[Produto]],tItens[[#This Row],[Produto]])=1,1,0)</f>
        <v>1</v>
      </c>
    </row>
    <row r="4410" spans="1:16" x14ac:dyDescent="0.25">
      <c r="A4410" t="s">
        <v>1794</v>
      </c>
      <c r="B4410">
        <v>5</v>
      </c>
      <c r="C4410" t="s">
        <v>7259</v>
      </c>
      <c r="D4410" t="s">
        <v>82</v>
      </c>
      <c r="E4410" s="13">
        <v>10</v>
      </c>
      <c r="F4410" s="12">
        <v>73.41</v>
      </c>
      <c r="G4410" t="str">
        <f>IFERROR(INDEX(tEditais[Órgão],MATCH(tItens[[#This Row],[Edital]],tEditais[Edital],0)),"")</f>
        <v>MUNICIPIO DE JURU</v>
      </c>
      <c r="H4410" t="str">
        <f>IFERROR(INDEX(tEditais[UF],MATCH(tItens[[#This Row],[Edital]],tEditais[Edital],0)),"")</f>
        <v>PB</v>
      </c>
      <c r="I4410" s="11">
        <f>IFERROR(INDEX(tEditais[Encerramento],MATCH(tItens[[#This Row],[Edital]],tEditais[Edital],0)),"")</f>
        <v>46308.385416666664</v>
      </c>
      <c r="J4410" t="str">
        <f>IFERROR(INDEX(tProdutos[Classe],MATCH(tItens[[#This Row],[Produto]],tProdutos[Produto],0)),"produto não cadastrado")</f>
        <v>NÚCLEO</v>
      </c>
      <c r="K4410" s="12">
        <f>tItens[[#This Row],[Qtd]]*tItens[[#This Row],[Vlr unit]]</f>
        <v>734.09999999999991</v>
      </c>
      <c r="L4410" s="6">
        <f>IFERROR(IF(INDEX(tProdutos[Desconto homologado],MATCH(tItens[[#This Row],[Produto]],tProdutos[Produto],0))="",DescontoPadrao,INDEX(tProdutos[Desconto homologado],MATCH(tItens[[#This Row],[Produto]],tProdutos[Produto],0))),DescontoPadrao)</f>
        <v>0.40487090276506099</v>
      </c>
      <c r="M4410" s="12">
        <f>tItens[[#This Row],[Valor]]*(1-tItens[[#This Row],[Desconto]])</f>
        <v>436.88427028016866</v>
      </c>
      <c r="N4410" t="str">
        <f>IFERROR(INDEX(tProdutos[Foco],MATCH(tItens[[#This Row],[Produto]],tProdutos[Produto],0)),"Não")</f>
        <v>Não</v>
      </c>
      <c r="O4410" t="str">
        <f>IFERROR(INDEX(tEditais[SRP],MATCH(tItens[[#This Row],[Edital]],tEditais[Edital],0)),"Não")</f>
        <v>Sim</v>
      </c>
      <c r="P4410" s="4">
        <f>IF(COUNTIFS(INDEX(tItens[Edital],1):tItens[[#This Row],[Edital]],tItens[[#This Row],[Edital]],INDEX(tItens[Produto],1):tItens[[#This Row],[Produto]],tItens[[#This Row],[Produto]])=1,1,0)</f>
        <v>0</v>
      </c>
    </row>
    <row r="4411" spans="1:16" x14ac:dyDescent="0.25">
      <c r="A4411" t="s">
        <v>1794</v>
      </c>
      <c r="B4411">
        <v>21</v>
      </c>
      <c r="C4411" t="s">
        <v>7260</v>
      </c>
      <c r="D4411" t="s">
        <v>86</v>
      </c>
      <c r="E4411" s="13">
        <v>50</v>
      </c>
      <c r="F4411" s="12">
        <v>38.32</v>
      </c>
      <c r="G4411" t="str">
        <f>IFERROR(INDEX(tEditais[Órgão],MATCH(tItens[[#This Row],[Edital]],tEditais[Edital],0)),"")</f>
        <v>MUNICIPIO DE JURU</v>
      </c>
      <c r="H4411" t="str">
        <f>IFERROR(INDEX(tEditais[UF],MATCH(tItens[[#This Row],[Edital]],tEditais[Edital],0)),"")</f>
        <v>PB</v>
      </c>
      <c r="I4411" s="11">
        <f>IFERROR(INDEX(tEditais[Encerramento],MATCH(tItens[[#This Row],[Edital]],tEditais[Edital],0)),"")</f>
        <v>46308.385416666664</v>
      </c>
      <c r="J4411" t="str">
        <f>IFERROR(INDEX(tProdutos[Classe],MATCH(tItens[[#This Row],[Produto]],tProdutos[Produto],0)),"produto não cadastrado")</f>
        <v>NÚCLEO</v>
      </c>
      <c r="K4411" s="12">
        <f>tItens[[#This Row],[Qtd]]*tItens[[#This Row],[Vlr unit]]</f>
        <v>1916</v>
      </c>
      <c r="L4411" s="6">
        <f>IFERROR(IF(INDEX(tProdutos[Desconto homologado],MATCH(tItens[[#This Row],[Produto]],tProdutos[Produto],0))="",DescontoPadrao,INDEX(tProdutos[Desconto homologado],MATCH(tItens[[#This Row],[Produto]],tProdutos[Produto],0))),DescontoPadrao)</f>
        <v>0.20202020202020199</v>
      </c>
      <c r="M4411" s="12">
        <f>tItens[[#This Row],[Valor]]*(1-tItens[[#This Row],[Desconto]])</f>
        <v>1528.9292929292931</v>
      </c>
      <c r="N4411" t="str">
        <f>IFERROR(INDEX(tProdutos[Foco],MATCH(tItens[[#This Row],[Produto]],tProdutos[Produto],0)),"Não")</f>
        <v>Não</v>
      </c>
      <c r="O4411" t="str">
        <f>IFERROR(INDEX(tEditais[SRP],MATCH(tItens[[#This Row],[Edital]],tEditais[Edital],0)),"Não")</f>
        <v>Sim</v>
      </c>
      <c r="P4411" s="4">
        <f>IF(COUNTIFS(INDEX(tItens[Edital],1):tItens[[#This Row],[Edital]],tItens[[#This Row],[Edital]],INDEX(tItens[Produto],1):tItens[[#This Row],[Produto]],tItens[[#This Row],[Produto]])=1,1,0)</f>
        <v>1</v>
      </c>
    </row>
    <row r="4412" spans="1:16" x14ac:dyDescent="0.25">
      <c r="A4412" t="s">
        <v>1794</v>
      </c>
      <c r="B4412">
        <v>58</v>
      </c>
      <c r="C4412" t="s">
        <v>7261</v>
      </c>
      <c r="D4412" t="s">
        <v>321</v>
      </c>
      <c r="E4412" s="13">
        <v>30</v>
      </c>
      <c r="F4412" s="12">
        <v>74.55</v>
      </c>
      <c r="G4412" t="str">
        <f>IFERROR(INDEX(tEditais[Órgão],MATCH(tItens[[#This Row],[Edital]],tEditais[Edital],0)),"")</f>
        <v>MUNICIPIO DE JURU</v>
      </c>
      <c r="H4412" t="str">
        <f>IFERROR(INDEX(tEditais[UF],MATCH(tItens[[#This Row],[Edital]],tEditais[Edital],0)),"")</f>
        <v>PB</v>
      </c>
      <c r="I4412" s="11">
        <f>IFERROR(INDEX(tEditais[Encerramento],MATCH(tItens[[#This Row],[Edital]],tEditais[Edital],0)),"")</f>
        <v>46308.385416666664</v>
      </c>
      <c r="J4412" t="str">
        <f>IFERROR(INDEX(tProdutos[Classe],MATCH(tItens[[#This Row],[Produto]],tProdutos[Produto],0)),"produto não cadastrado")</f>
        <v>FORA</v>
      </c>
      <c r="K4412" s="12">
        <f>tItens[[#This Row],[Qtd]]*tItens[[#This Row],[Vlr unit]]</f>
        <v>2236.5</v>
      </c>
      <c r="L4412" s="6">
        <f>IFERROR(IF(INDEX(tProdutos[Desconto homologado],MATCH(tItens[[#This Row],[Produto]],tProdutos[Produto],0))="",DescontoPadrao,INDEX(tProdutos[Desconto homologado],MATCH(tItens[[#This Row],[Produto]],tProdutos[Produto],0))),DescontoPadrao)</f>
        <v>0.380257510729614</v>
      </c>
      <c r="M4412" s="12">
        <f>tItens[[#This Row],[Valor]]*(1-tItens[[#This Row],[Desconto]])</f>
        <v>1386.0540772532183</v>
      </c>
      <c r="N4412" t="str">
        <f>IFERROR(INDEX(tProdutos[Foco],MATCH(tItens[[#This Row],[Produto]],tProdutos[Produto],0)),"Não")</f>
        <v>Não</v>
      </c>
      <c r="O4412" t="str">
        <f>IFERROR(INDEX(tEditais[SRP],MATCH(tItens[[#This Row],[Edital]],tEditais[Edital],0)),"Não")</f>
        <v>Sim</v>
      </c>
      <c r="P4412" s="4">
        <f>IF(COUNTIFS(INDEX(tItens[Edital],1):tItens[[#This Row],[Edital]],tItens[[#This Row],[Edital]],INDEX(tItens[Produto],1):tItens[[#This Row],[Produto]],tItens[[#This Row],[Produto]])=1,1,0)</f>
        <v>1</v>
      </c>
    </row>
    <row r="4413" spans="1:16" x14ac:dyDescent="0.25">
      <c r="A4413" t="s">
        <v>1794</v>
      </c>
      <c r="B4413">
        <v>59</v>
      </c>
      <c r="C4413" t="s">
        <v>7262</v>
      </c>
      <c r="D4413" t="s">
        <v>321</v>
      </c>
      <c r="E4413" s="13">
        <v>30</v>
      </c>
      <c r="F4413" s="12">
        <v>96.38</v>
      </c>
      <c r="G4413" t="str">
        <f>IFERROR(INDEX(tEditais[Órgão],MATCH(tItens[[#This Row],[Edital]],tEditais[Edital],0)),"")</f>
        <v>MUNICIPIO DE JURU</v>
      </c>
      <c r="H4413" t="str">
        <f>IFERROR(INDEX(tEditais[UF],MATCH(tItens[[#This Row],[Edital]],tEditais[Edital],0)),"")</f>
        <v>PB</v>
      </c>
      <c r="I4413" s="11">
        <f>IFERROR(INDEX(tEditais[Encerramento],MATCH(tItens[[#This Row],[Edital]],tEditais[Edital],0)),"")</f>
        <v>46308.385416666664</v>
      </c>
      <c r="J4413" t="str">
        <f>IFERROR(INDEX(tProdutos[Classe],MATCH(tItens[[#This Row],[Produto]],tProdutos[Produto],0)),"produto não cadastrado")</f>
        <v>FORA</v>
      </c>
      <c r="K4413" s="12">
        <f>tItens[[#This Row],[Qtd]]*tItens[[#This Row],[Vlr unit]]</f>
        <v>2891.3999999999996</v>
      </c>
      <c r="L4413" s="6">
        <f>IFERROR(IF(INDEX(tProdutos[Desconto homologado],MATCH(tItens[[#This Row],[Produto]],tProdutos[Produto],0))="",DescontoPadrao,INDEX(tProdutos[Desconto homologado],MATCH(tItens[[#This Row],[Produto]],tProdutos[Produto],0))),DescontoPadrao)</f>
        <v>0.380257510729614</v>
      </c>
      <c r="M4413" s="12">
        <f>tItens[[#This Row],[Valor]]*(1-tItens[[#This Row],[Desconto]])</f>
        <v>1791.9234334763939</v>
      </c>
      <c r="N4413" t="str">
        <f>IFERROR(INDEX(tProdutos[Foco],MATCH(tItens[[#This Row],[Produto]],tProdutos[Produto],0)),"Não")</f>
        <v>Não</v>
      </c>
      <c r="O4413" t="str">
        <f>IFERROR(INDEX(tEditais[SRP],MATCH(tItens[[#This Row],[Edital]],tEditais[Edital],0)),"Não")</f>
        <v>Sim</v>
      </c>
      <c r="P4413" s="4">
        <f>IF(COUNTIFS(INDEX(tItens[Edital],1):tItens[[#This Row],[Edital]],tItens[[#This Row],[Edital]],INDEX(tItens[Produto],1):tItens[[#This Row],[Produto]],tItens[[#This Row],[Produto]])=1,1,0)</f>
        <v>0</v>
      </c>
    </row>
    <row r="4414" spans="1:16" x14ac:dyDescent="0.25">
      <c r="A4414" t="s">
        <v>1794</v>
      </c>
      <c r="B4414">
        <v>61</v>
      </c>
      <c r="C4414" t="s">
        <v>7263</v>
      </c>
      <c r="D4414" t="s">
        <v>142</v>
      </c>
      <c r="E4414" s="13">
        <v>24</v>
      </c>
      <c r="F4414" s="12">
        <v>18.309999999999999</v>
      </c>
      <c r="G4414" t="str">
        <f>IFERROR(INDEX(tEditais[Órgão],MATCH(tItens[[#This Row],[Edital]],tEditais[Edital],0)),"")</f>
        <v>MUNICIPIO DE JURU</v>
      </c>
      <c r="H4414" t="str">
        <f>IFERROR(INDEX(tEditais[UF],MATCH(tItens[[#This Row],[Edital]],tEditais[Edital],0)),"")</f>
        <v>PB</v>
      </c>
      <c r="I4414" s="11">
        <f>IFERROR(INDEX(tEditais[Encerramento],MATCH(tItens[[#This Row],[Edital]],tEditais[Edital],0)),"")</f>
        <v>46308.385416666664</v>
      </c>
      <c r="J4414" t="str">
        <f>IFERROR(INDEX(tProdutos[Classe],MATCH(tItens[[#This Row],[Produto]],tProdutos[Produto],0)),"produto não cadastrado")</f>
        <v>DISPUTADO</v>
      </c>
      <c r="K4414" s="12">
        <f>tItens[[#This Row],[Qtd]]*tItens[[#This Row],[Vlr unit]]</f>
        <v>439.43999999999994</v>
      </c>
      <c r="L4414" s="6">
        <f>IFERROR(IF(INDEX(tProdutos[Desconto homologado],MATCH(tItens[[#This Row],[Produto]],tProdutos[Produto],0))="",DescontoPadrao,INDEX(tProdutos[Desconto homologado],MATCH(tItens[[#This Row],[Produto]],tProdutos[Produto],0))),DescontoPadrao)</f>
        <v>0.37093619495691699</v>
      </c>
      <c r="M4414" s="12">
        <f>tItens[[#This Row],[Valor]]*(1-tItens[[#This Row],[Desconto]])</f>
        <v>276.43579848813238</v>
      </c>
      <c r="N4414" t="str">
        <f>IFERROR(INDEX(tProdutos[Foco],MATCH(tItens[[#This Row],[Produto]],tProdutos[Produto],0)),"Não")</f>
        <v>Não</v>
      </c>
      <c r="O4414" t="str">
        <f>IFERROR(INDEX(tEditais[SRP],MATCH(tItens[[#This Row],[Edital]],tEditais[Edital],0)),"Não")</f>
        <v>Sim</v>
      </c>
      <c r="P4414" s="4">
        <f>IF(COUNTIFS(INDEX(tItens[Edital],1):tItens[[#This Row],[Edital]],tItens[[#This Row],[Edital]],INDEX(tItens[Produto],1):tItens[[#This Row],[Produto]],tItens[[#This Row],[Produto]])=1,1,0)</f>
        <v>1</v>
      </c>
    </row>
    <row r="4415" spans="1:16" x14ac:dyDescent="0.25">
      <c r="A4415" t="s">
        <v>1794</v>
      </c>
      <c r="B4415">
        <v>87</v>
      </c>
      <c r="C4415" t="s">
        <v>7264</v>
      </c>
      <c r="D4415" t="s">
        <v>56</v>
      </c>
      <c r="E4415" s="13">
        <v>10</v>
      </c>
      <c r="F4415" s="12">
        <v>65.86</v>
      </c>
      <c r="G4415" t="str">
        <f>IFERROR(INDEX(tEditais[Órgão],MATCH(tItens[[#This Row],[Edital]],tEditais[Edital],0)),"")</f>
        <v>MUNICIPIO DE JURU</v>
      </c>
      <c r="H4415" t="str">
        <f>IFERROR(INDEX(tEditais[UF],MATCH(tItens[[#This Row],[Edital]],tEditais[Edital],0)),"")</f>
        <v>PB</v>
      </c>
      <c r="I4415" s="11">
        <f>IFERROR(INDEX(tEditais[Encerramento],MATCH(tItens[[#This Row],[Edital]],tEditais[Edital],0)),"")</f>
        <v>46308.385416666664</v>
      </c>
      <c r="J4415" t="str">
        <f>IFERROR(INDEX(tProdutos[Classe],MATCH(tItens[[#This Row],[Produto]],tProdutos[Produto],0)),"produto não cadastrado")</f>
        <v>NÚCLEO</v>
      </c>
      <c r="K4415" s="12">
        <f>tItens[[#This Row],[Qtd]]*tItens[[#This Row],[Vlr unit]]</f>
        <v>658.6</v>
      </c>
      <c r="L4415" s="6">
        <f>IFERROR(IF(INDEX(tProdutos[Desconto homologado],MATCH(tItens[[#This Row],[Produto]],tProdutos[Produto],0))="",DescontoPadrao,INDEX(tProdutos[Desconto homologado],MATCH(tItens[[#This Row],[Produto]],tProdutos[Produto],0))),DescontoPadrao)</f>
        <v>0.34</v>
      </c>
      <c r="M4415" s="12">
        <f>tItens[[#This Row],[Valor]]*(1-tItens[[#This Row],[Desconto]])</f>
        <v>434.67599999999999</v>
      </c>
      <c r="N4415" t="str">
        <f>IFERROR(INDEX(tProdutos[Foco],MATCH(tItens[[#This Row],[Produto]],tProdutos[Produto],0)),"Não")</f>
        <v>Sim</v>
      </c>
      <c r="O4415" t="str">
        <f>IFERROR(INDEX(tEditais[SRP],MATCH(tItens[[#This Row],[Edital]],tEditais[Edital],0)),"Não")</f>
        <v>Sim</v>
      </c>
      <c r="P4415" s="4">
        <f>IF(COUNTIFS(INDEX(tItens[Edital],1):tItens[[#This Row],[Edital]],tItens[[#This Row],[Edital]],INDEX(tItens[Produto],1):tItens[[#This Row],[Produto]],tItens[[#This Row],[Produto]])=1,1,0)</f>
        <v>1</v>
      </c>
    </row>
    <row r="4416" spans="1:16" x14ac:dyDescent="0.25">
      <c r="A4416" t="s">
        <v>1794</v>
      </c>
      <c r="B4416">
        <v>109</v>
      </c>
      <c r="C4416" t="s">
        <v>7265</v>
      </c>
      <c r="D4416" t="s">
        <v>241</v>
      </c>
      <c r="E4416" s="13">
        <v>20</v>
      </c>
      <c r="F4416" s="12">
        <v>60.5</v>
      </c>
      <c r="G4416" t="str">
        <f>IFERROR(INDEX(tEditais[Órgão],MATCH(tItens[[#This Row],[Edital]],tEditais[Edital],0)),"")</f>
        <v>MUNICIPIO DE JURU</v>
      </c>
      <c r="H4416" t="str">
        <f>IFERROR(INDEX(tEditais[UF],MATCH(tItens[[#This Row],[Edital]],tEditais[Edital],0)),"")</f>
        <v>PB</v>
      </c>
      <c r="I4416" s="11">
        <f>IFERROR(INDEX(tEditais[Encerramento],MATCH(tItens[[#This Row],[Edital]],tEditais[Edital],0)),"")</f>
        <v>46308.385416666664</v>
      </c>
      <c r="J4416" t="str">
        <f>IFERROR(INDEX(tProdutos[Classe],MATCH(tItens[[#This Row],[Produto]],tProdutos[Produto],0)),"produto não cadastrado")</f>
        <v>DISPUTADO</v>
      </c>
      <c r="K4416" s="12">
        <f>tItens[[#This Row],[Qtd]]*tItens[[#This Row],[Vlr unit]]</f>
        <v>1210</v>
      </c>
      <c r="L4416" s="6">
        <f>IFERROR(IF(INDEX(tProdutos[Desconto homologado],MATCH(tItens[[#This Row],[Produto]],tProdutos[Produto],0))="",DescontoPadrao,INDEX(tProdutos[Desconto homologado],MATCH(tItens[[#This Row],[Produto]],tProdutos[Produto],0))),DescontoPadrao)</f>
        <v>0.36881329157903497</v>
      </c>
      <c r="M4416" s="12">
        <f>tItens[[#This Row],[Valor]]*(1-tItens[[#This Row],[Desconto]])</f>
        <v>763.73591718936768</v>
      </c>
      <c r="N4416" t="str">
        <f>IFERROR(INDEX(tProdutos[Foco],MATCH(tItens[[#This Row],[Produto]],tProdutos[Produto],0)),"Não")</f>
        <v>Não</v>
      </c>
      <c r="O4416" t="str">
        <f>IFERROR(INDEX(tEditais[SRP],MATCH(tItens[[#This Row],[Edital]],tEditais[Edital],0)),"Não")</f>
        <v>Sim</v>
      </c>
      <c r="P4416" s="4">
        <f>IF(COUNTIFS(INDEX(tItens[Edital],1):tItens[[#This Row],[Edital]],tItens[[#This Row],[Edital]],INDEX(tItens[Produto],1):tItens[[#This Row],[Produto]],tItens[[#This Row],[Produto]])=1,1,0)</f>
        <v>1</v>
      </c>
    </row>
    <row r="4417" spans="1:16" x14ac:dyDescent="0.25">
      <c r="A4417" t="s">
        <v>1794</v>
      </c>
      <c r="B4417">
        <v>110</v>
      </c>
      <c r="C4417" t="s">
        <v>7266</v>
      </c>
      <c r="D4417" t="s">
        <v>241</v>
      </c>
      <c r="E4417" s="13">
        <v>100</v>
      </c>
      <c r="F4417" s="12">
        <v>25.76</v>
      </c>
      <c r="G4417" t="str">
        <f>IFERROR(INDEX(tEditais[Órgão],MATCH(tItens[[#This Row],[Edital]],tEditais[Edital],0)),"")</f>
        <v>MUNICIPIO DE JURU</v>
      </c>
      <c r="H4417" t="str">
        <f>IFERROR(INDEX(tEditais[UF],MATCH(tItens[[#This Row],[Edital]],tEditais[Edital],0)),"")</f>
        <v>PB</v>
      </c>
      <c r="I4417" s="11">
        <f>IFERROR(INDEX(tEditais[Encerramento],MATCH(tItens[[#This Row],[Edital]],tEditais[Edital],0)),"")</f>
        <v>46308.385416666664</v>
      </c>
      <c r="J4417" t="str">
        <f>IFERROR(INDEX(tProdutos[Classe],MATCH(tItens[[#This Row],[Produto]],tProdutos[Produto],0)),"produto não cadastrado")</f>
        <v>DISPUTADO</v>
      </c>
      <c r="K4417" s="12">
        <f>tItens[[#This Row],[Qtd]]*tItens[[#This Row],[Vlr unit]]</f>
        <v>2576</v>
      </c>
      <c r="L4417" s="6">
        <f>IFERROR(IF(INDEX(tProdutos[Desconto homologado],MATCH(tItens[[#This Row],[Produto]],tProdutos[Produto],0))="",DescontoPadrao,INDEX(tProdutos[Desconto homologado],MATCH(tItens[[#This Row],[Produto]],tProdutos[Produto],0))),DescontoPadrao)</f>
        <v>0.36881329157903497</v>
      </c>
      <c r="M4417" s="12">
        <f>tItens[[#This Row],[Valor]]*(1-tItens[[#This Row],[Desconto]])</f>
        <v>1625.936960892406</v>
      </c>
      <c r="N4417" t="str">
        <f>IFERROR(INDEX(tProdutos[Foco],MATCH(tItens[[#This Row],[Produto]],tProdutos[Produto],0)),"Não")</f>
        <v>Não</v>
      </c>
      <c r="O4417" t="str">
        <f>IFERROR(INDEX(tEditais[SRP],MATCH(tItens[[#This Row],[Edital]],tEditais[Edital],0)),"Não")</f>
        <v>Sim</v>
      </c>
      <c r="P4417" s="4">
        <f>IF(COUNTIFS(INDEX(tItens[Edital],1):tItens[[#This Row],[Edital]],tItens[[#This Row],[Edital]],INDEX(tItens[Produto],1):tItens[[#This Row],[Produto]],tItens[[#This Row],[Produto]])=1,1,0)</f>
        <v>0</v>
      </c>
    </row>
    <row r="4418" spans="1:16" x14ac:dyDescent="0.25">
      <c r="A4418" t="s">
        <v>1799</v>
      </c>
      <c r="B4418">
        <v>20</v>
      </c>
      <c r="C4418" t="s">
        <v>7267</v>
      </c>
      <c r="D4418" t="s">
        <v>297</v>
      </c>
      <c r="E4418" s="13">
        <v>10</v>
      </c>
      <c r="F4418" s="12">
        <v>7.29</v>
      </c>
      <c r="G4418" t="str">
        <f>IFERROR(INDEX(tEditais[Órgão],MATCH(tItens[[#This Row],[Edital]],tEditais[Edital],0)),"")</f>
        <v>MINISTERIO DA CIENCIA, TECNOLOGIA E INOVACOES</v>
      </c>
      <c r="H4418" t="str">
        <f>IFERROR(INDEX(tEditais[UF],MATCH(tItens[[#This Row],[Edital]],tEditais[Edital],0)),"")</f>
        <v>PB</v>
      </c>
      <c r="I4418" s="11">
        <f>IFERROR(INDEX(tEditais[Encerramento],MATCH(tItens[[#This Row],[Edital]],tEditais[Edital],0)),"")</f>
        <v>46309.333333333336</v>
      </c>
      <c r="J4418" t="str">
        <f>IFERROR(INDEX(tProdutos[Classe],MATCH(tItens[[#This Row],[Produto]],tProdutos[Produto],0)),"produto não cadastrado")</f>
        <v>FORA</v>
      </c>
      <c r="K4418" s="12">
        <f>tItens[[#This Row],[Qtd]]*tItens[[#This Row],[Vlr unit]]</f>
        <v>72.900000000000006</v>
      </c>
      <c r="L4418" s="6">
        <f>IFERROR(IF(INDEX(tProdutos[Desconto homologado],MATCH(tItens[[#This Row],[Produto]],tProdutos[Produto],0))="",DescontoPadrao,INDEX(tProdutos[Desconto homologado],MATCH(tItens[[#This Row],[Produto]],tProdutos[Produto],0))),DescontoPadrao)</f>
        <v>0.249544626593807</v>
      </c>
      <c r="M4418" s="12">
        <f>tItens[[#This Row],[Valor]]*(1-tItens[[#This Row],[Desconto]])</f>
        <v>54.708196721311474</v>
      </c>
      <c r="N4418" t="str">
        <f>IFERROR(INDEX(tProdutos[Foco],MATCH(tItens[[#This Row],[Produto]],tProdutos[Produto],0)),"Não")</f>
        <v>Não</v>
      </c>
      <c r="O4418" t="str">
        <f>IFERROR(INDEX(tEditais[SRP],MATCH(tItens[[#This Row],[Edital]],tEditais[Edital],0)),"Não")</f>
        <v>Sim</v>
      </c>
      <c r="P4418" s="4">
        <f>IF(COUNTIFS(INDEX(tItens[Edital],1):tItens[[#This Row],[Edital]],tItens[[#This Row],[Edital]],INDEX(tItens[Produto],1):tItens[[#This Row],[Produto]],tItens[[#This Row],[Produto]])=1,1,0)</f>
        <v>1</v>
      </c>
    </row>
    <row r="4419" spans="1:16" x14ac:dyDescent="0.25">
      <c r="A4419" t="s">
        <v>1799</v>
      </c>
      <c r="B4419">
        <v>21</v>
      </c>
      <c r="C4419" t="s">
        <v>7268</v>
      </c>
      <c r="D4419" t="s">
        <v>421</v>
      </c>
      <c r="E4419" s="13">
        <v>6</v>
      </c>
      <c r="F4419" s="12">
        <v>14.27</v>
      </c>
      <c r="G4419" t="str">
        <f>IFERROR(INDEX(tEditais[Órgão],MATCH(tItens[[#This Row],[Edital]],tEditais[Edital],0)),"")</f>
        <v>MINISTERIO DA CIENCIA, TECNOLOGIA E INOVACOES</v>
      </c>
      <c r="H4419" t="str">
        <f>IFERROR(INDEX(tEditais[UF],MATCH(tItens[[#This Row],[Edital]],tEditais[Edital],0)),"")</f>
        <v>PB</v>
      </c>
      <c r="I4419" s="11">
        <f>IFERROR(INDEX(tEditais[Encerramento],MATCH(tItens[[#This Row],[Edital]],tEditais[Edital],0)),"")</f>
        <v>46309.333333333336</v>
      </c>
      <c r="J4419" t="str">
        <f>IFERROR(INDEX(tProdutos[Classe],MATCH(tItens[[#This Row],[Produto]],tProdutos[Produto],0)),"produto não cadastrado")</f>
        <v>FORA</v>
      </c>
      <c r="K4419" s="12">
        <f>tItens[[#This Row],[Qtd]]*tItens[[#This Row],[Vlr unit]]</f>
        <v>85.62</v>
      </c>
      <c r="L4419" s="6">
        <f>IFERROR(IF(INDEX(tProdutos[Desconto homologado],MATCH(tItens[[#This Row],[Produto]],tProdutos[Produto],0))="",DescontoPadrao,INDEX(tProdutos[Desconto homologado],MATCH(tItens[[#This Row],[Produto]],tProdutos[Produto],0))),DescontoPadrao)</f>
        <v>0.43</v>
      </c>
      <c r="M4419" s="12">
        <f>tItens[[#This Row],[Valor]]*(1-tItens[[#This Row],[Desconto]])</f>
        <v>48.803400000000011</v>
      </c>
      <c r="N4419" t="str">
        <f>IFERROR(INDEX(tProdutos[Foco],MATCH(tItens[[#This Row],[Produto]],tProdutos[Produto],0)),"Não")</f>
        <v>Sim</v>
      </c>
      <c r="O4419" t="str">
        <f>IFERROR(INDEX(tEditais[SRP],MATCH(tItens[[#This Row],[Edital]],tEditais[Edital],0)),"Não")</f>
        <v>Sim</v>
      </c>
      <c r="P4419" s="4">
        <f>IF(COUNTIFS(INDEX(tItens[Edital],1):tItens[[#This Row],[Edital]],tItens[[#This Row],[Edital]],INDEX(tItens[Produto],1):tItens[[#This Row],[Produto]],tItens[[#This Row],[Produto]])=1,1,0)</f>
        <v>1</v>
      </c>
    </row>
    <row r="4420" spans="1:16" x14ac:dyDescent="0.25">
      <c r="A4420" t="s">
        <v>1799</v>
      </c>
      <c r="B4420">
        <v>23</v>
      </c>
      <c r="C4420" t="s">
        <v>3487</v>
      </c>
      <c r="D4420" t="s">
        <v>56</v>
      </c>
      <c r="E4420" s="13">
        <v>10</v>
      </c>
      <c r="F4420" s="12">
        <v>48.05</v>
      </c>
      <c r="G4420" t="str">
        <f>IFERROR(INDEX(tEditais[Órgão],MATCH(tItens[[#This Row],[Edital]],tEditais[Edital],0)),"")</f>
        <v>MINISTERIO DA CIENCIA, TECNOLOGIA E INOVACOES</v>
      </c>
      <c r="H4420" t="str">
        <f>IFERROR(INDEX(tEditais[UF],MATCH(tItens[[#This Row],[Edital]],tEditais[Edital],0)),"")</f>
        <v>PB</v>
      </c>
      <c r="I4420" s="11">
        <f>IFERROR(INDEX(tEditais[Encerramento],MATCH(tItens[[#This Row],[Edital]],tEditais[Edital],0)),"")</f>
        <v>46309.333333333336</v>
      </c>
      <c r="J4420" t="str">
        <f>IFERROR(INDEX(tProdutos[Classe],MATCH(tItens[[#This Row],[Produto]],tProdutos[Produto],0)),"produto não cadastrado")</f>
        <v>NÚCLEO</v>
      </c>
      <c r="K4420" s="12">
        <f>tItens[[#This Row],[Qtd]]*tItens[[#This Row],[Vlr unit]]</f>
        <v>480.5</v>
      </c>
      <c r="L4420" s="6">
        <f>IFERROR(IF(INDEX(tProdutos[Desconto homologado],MATCH(tItens[[#This Row],[Produto]],tProdutos[Produto],0))="",DescontoPadrao,INDEX(tProdutos[Desconto homologado],MATCH(tItens[[#This Row],[Produto]],tProdutos[Produto],0))),DescontoPadrao)</f>
        <v>0.34</v>
      </c>
      <c r="M4420" s="12">
        <f>tItens[[#This Row],[Valor]]*(1-tItens[[#This Row],[Desconto]])</f>
        <v>317.12999999999994</v>
      </c>
      <c r="N4420" t="str">
        <f>IFERROR(INDEX(tProdutos[Foco],MATCH(tItens[[#This Row],[Produto]],tProdutos[Produto],0)),"Não")</f>
        <v>Sim</v>
      </c>
      <c r="O4420" t="str">
        <f>IFERROR(INDEX(tEditais[SRP],MATCH(tItens[[#This Row],[Edital]],tEditais[Edital],0)),"Não")</f>
        <v>Sim</v>
      </c>
      <c r="P4420" s="4">
        <f>IF(COUNTIFS(INDEX(tItens[Edital],1):tItens[[#This Row],[Edital]],tItens[[#This Row],[Edital]],INDEX(tItens[Produto],1):tItens[[#This Row],[Produto]],tItens[[#This Row],[Produto]])=1,1,0)</f>
        <v>1</v>
      </c>
    </row>
    <row r="4421" spans="1:16" x14ac:dyDescent="0.25">
      <c r="A4421" t="s">
        <v>1799</v>
      </c>
      <c r="B4421">
        <v>36</v>
      </c>
      <c r="C4421" t="s">
        <v>4138</v>
      </c>
      <c r="D4421" t="s">
        <v>315</v>
      </c>
      <c r="E4421" s="13">
        <v>15</v>
      </c>
      <c r="F4421" s="12">
        <v>14.85</v>
      </c>
      <c r="G4421" t="str">
        <f>IFERROR(INDEX(tEditais[Órgão],MATCH(tItens[[#This Row],[Edital]],tEditais[Edital],0)),"")</f>
        <v>MINISTERIO DA CIENCIA, TECNOLOGIA E INOVACOES</v>
      </c>
      <c r="H4421" t="str">
        <f>IFERROR(INDEX(tEditais[UF],MATCH(tItens[[#This Row],[Edital]],tEditais[Edital],0)),"")</f>
        <v>PB</v>
      </c>
      <c r="I4421" s="11">
        <f>IFERROR(INDEX(tEditais[Encerramento],MATCH(tItens[[#This Row],[Edital]],tEditais[Edital],0)),"")</f>
        <v>46309.333333333336</v>
      </c>
      <c r="J4421" t="str">
        <f>IFERROR(INDEX(tProdutos[Classe],MATCH(tItens[[#This Row],[Produto]],tProdutos[Produto],0)),"produto não cadastrado")</f>
        <v>FORA</v>
      </c>
      <c r="K4421" s="12">
        <f>tItens[[#This Row],[Qtd]]*tItens[[#This Row],[Vlr unit]]</f>
        <v>222.75</v>
      </c>
      <c r="L4421" s="6">
        <f>IFERROR(IF(INDEX(tProdutos[Desconto homologado],MATCH(tItens[[#This Row],[Produto]],tProdutos[Produto],0))="",DescontoPadrao,INDEX(tProdutos[Desconto homologado],MATCH(tItens[[#This Row],[Produto]],tProdutos[Produto],0))),DescontoPadrao)</f>
        <v>0.38432036097010702</v>
      </c>
      <c r="M4421" s="12">
        <f>tItens[[#This Row],[Valor]]*(1-tItens[[#This Row],[Desconto]])</f>
        <v>137.14263959390865</v>
      </c>
      <c r="N4421" t="str">
        <f>IFERROR(INDEX(tProdutos[Foco],MATCH(tItens[[#This Row],[Produto]],tProdutos[Produto],0)),"Não")</f>
        <v>Não</v>
      </c>
      <c r="O4421" t="str">
        <f>IFERROR(INDEX(tEditais[SRP],MATCH(tItens[[#This Row],[Edital]],tEditais[Edital],0)),"Não")</f>
        <v>Sim</v>
      </c>
      <c r="P4421" s="4">
        <f>IF(COUNTIFS(INDEX(tItens[Edital],1):tItens[[#This Row],[Edital]],tItens[[#This Row],[Edital]],INDEX(tItens[Produto],1):tItens[[#This Row],[Produto]],tItens[[#This Row],[Produto]])=1,1,0)</f>
        <v>1</v>
      </c>
    </row>
    <row r="4422" spans="1:16" x14ac:dyDescent="0.25">
      <c r="A4422" t="s">
        <v>1799</v>
      </c>
      <c r="B4422">
        <v>38</v>
      </c>
      <c r="C4422" t="s">
        <v>7269</v>
      </c>
      <c r="D4422" t="s">
        <v>641</v>
      </c>
      <c r="E4422" s="13">
        <v>3</v>
      </c>
      <c r="F4422" s="12">
        <v>65.91</v>
      </c>
      <c r="G4422" t="str">
        <f>IFERROR(INDEX(tEditais[Órgão],MATCH(tItens[[#This Row],[Edital]],tEditais[Edital],0)),"")</f>
        <v>MINISTERIO DA CIENCIA, TECNOLOGIA E INOVACOES</v>
      </c>
      <c r="H4422" t="str">
        <f>IFERROR(INDEX(tEditais[UF],MATCH(tItens[[#This Row],[Edital]],tEditais[Edital],0)),"")</f>
        <v>PB</v>
      </c>
      <c r="I4422" s="11">
        <f>IFERROR(INDEX(tEditais[Encerramento],MATCH(tItens[[#This Row],[Edital]],tEditais[Edital],0)),"")</f>
        <v>46309.333333333336</v>
      </c>
      <c r="J4422" t="str">
        <f>IFERROR(INDEX(tProdutos[Classe],MATCH(tItens[[#This Row],[Produto]],tProdutos[Produto],0)),"produto não cadastrado")</f>
        <v>FILA REBASE</v>
      </c>
      <c r="K4422" s="12">
        <f>tItens[[#This Row],[Qtd]]*tItens[[#This Row],[Vlr unit]]</f>
        <v>197.73</v>
      </c>
      <c r="L4422" s="6">
        <f>IFERROR(IF(INDEX(tProdutos[Desconto homologado],MATCH(tItens[[#This Row],[Produto]],tProdutos[Produto],0))="",DescontoPadrao,INDEX(tProdutos[Desconto homologado],MATCH(tItens[[#This Row],[Produto]],tProdutos[Produto],0))),DescontoPadrao)</f>
        <v>0.3</v>
      </c>
      <c r="M4422" s="12">
        <f>tItens[[#This Row],[Valor]]*(1-tItens[[#This Row],[Desconto]])</f>
        <v>138.41099999999997</v>
      </c>
      <c r="N4422" t="str">
        <f>IFERROR(INDEX(tProdutos[Foco],MATCH(tItens[[#This Row],[Produto]],tProdutos[Produto],0)),"Não")</f>
        <v>Não</v>
      </c>
      <c r="O4422" t="str">
        <f>IFERROR(INDEX(tEditais[SRP],MATCH(tItens[[#This Row],[Edital]],tEditais[Edital],0)),"Não")</f>
        <v>Sim</v>
      </c>
      <c r="P4422" s="4">
        <f>IF(COUNTIFS(INDEX(tItens[Edital],1):tItens[[#This Row],[Edital]],tItens[[#This Row],[Edital]],INDEX(tItens[Produto],1):tItens[[#This Row],[Produto]],tItens[[#This Row],[Produto]])=1,1,0)</f>
        <v>1</v>
      </c>
    </row>
    <row r="4423" spans="1:16" x14ac:dyDescent="0.25">
      <c r="A4423" t="s">
        <v>1799</v>
      </c>
      <c r="B4423">
        <v>40</v>
      </c>
      <c r="C4423" t="s">
        <v>7270</v>
      </c>
      <c r="D4423" t="s">
        <v>313</v>
      </c>
      <c r="E4423" s="13">
        <v>40</v>
      </c>
      <c r="F4423" s="12">
        <v>20.16</v>
      </c>
      <c r="G4423" t="str">
        <f>IFERROR(INDEX(tEditais[Órgão],MATCH(tItens[[#This Row],[Edital]],tEditais[Edital],0)),"")</f>
        <v>MINISTERIO DA CIENCIA, TECNOLOGIA E INOVACOES</v>
      </c>
      <c r="H4423" t="str">
        <f>IFERROR(INDEX(tEditais[UF],MATCH(tItens[[#This Row],[Edital]],tEditais[Edital],0)),"")</f>
        <v>PB</v>
      </c>
      <c r="I4423" s="11">
        <f>IFERROR(INDEX(tEditais[Encerramento],MATCH(tItens[[#This Row],[Edital]],tEditais[Edital],0)),"")</f>
        <v>46309.333333333336</v>
      </c>
      <c r="J4423" t="str">
        <f>IFERROR(INDEX(tProdutos[Classe],MATCH(tItens[[#This Row],[Produto]],tProdutos[Produto],0)),"produto não cadastrado")</f>
        <v>FORA</v>
      </c>
      <c r="K4423" s="12">
        <f>tItens[[#This Row],[Qtd]]*tItens[[#This Row],[Vlr unit]]</f>
        <v>806.4</v>
      </c>
      <c r="L4423" s="6">
        <f>IFERROR(IF(INDEX(tProdutos[Desconto homologado],MATCH(tItens[[#This Row],[Produto]],tProdutos[Produto],0))="",DescontoPadrao,INDEX(tProdutos[Desconto homologado],MATCH(tItens[[#This Row],[Produto]],tProdutos[Produto],0))),DescontoPadrao)</f>
        <v>0.35766373163696302</v>
      </c>
      <c r="M4423" s="12">
        <f>tItens[[#This Row],[Valor]]*(1-tItens[[#This Row],[Desconto]])</f>
        <v>517.97996680795291</v>
      </c>
      <c r="N4423" t="str">
        <f>IFERROR(INDEX(tProdutos[Foco],MATCH(tItens[[#This Row],[Produto]],tProdutos[Produto],0)),"Não")</f>
        <v>Não</v>
      </c>
      <c r="O4423" t="str">
        <f>IFERROR(INDEX(tEditais[SRP],MATCH(tItens[[#This Row],[Edital]],tEditais[Edital],0)),"Não")</f>
        <v>Sim</v>
      </c>
      <c r="P4423" s="4">
        <f>IF(COUNTIFS(INDEX(tItens[Edital],1):tItens[[#This Row],[Edital]],tItens[[#This Row],[Edital]],INDEX(tItens[Produto],1):tItens[[#This Row],[Produto]],tItens[[#This Row],[Produto]])=1,1,0)</f>
        <v>1</v>
      </c>
    </row>
    <row r="4424" spans="1:16" x14ac:dyDescent="0.25">
      <c r="A4424" t="s">
        <v>1799</v>
      </c>
      <c r="B4424">
        <v>41</v>
      </c>
      <c r="C4424" t="s">
        <v>4237</v>
      </c>
      <c r="D4424" t="s">
        <v>313</v>
      </c>
      <c r="E4424" s="13">
        <v>20</v>
      </c>
      <c r="F4424" s="12">
        <v>25.49</v>
      </c>
      <c r="G4424" t="str">
        <f>IFERROR(INDEX(tEditais[Órgão],MATCH(tItens[[#This Row],[Edital]],tEditais[Edital],0)),"")</f>
        <v>MINISTERIO DA CIENCIA, TECNOLOGIA E INOVACOES</v>
      </c>
      <c r="H4424" t="str">
        <f>IFERROR(INDEX(tEditais[UF],MATCH(tItens[[#This Row],[Edital]],tEditais[Edital],0)),"")</f>
        <v>PB</v>
      </c>
      <c r="I4424" s="11">
        <f>IFERROR(INDEX(tEditais[Encerramento],MATCH(tItens[[#This Row],[Edital]],tEditais[Edital],0)),"")</f>
        <v>46309.333333333336</v>
      </c>
      <c r="J4424" t="str">
        <f>IFERROR(INDEX(tProdutos[Classe],MATCH(tItens[[#This Row],[Produto]],tProdutos[Produto],0)),"produto não cadastrado")</f>
        <v>FORA</v>
      </c>
      <c r="K4424" s="12">
        <f>tItens[[#This Row],[Qtd]]*tItens[[#This Row],[Vlr unit]]</f>
        <v>509.79999999999995</v>
      </c>
      <c r="L4424" s="6">
        <f>IFERROR(IF(INDEX(tProdutos[Desconto homologado],MATCH(tItens[[#This Row],[Produto]],tProdutos[Produto],0))="",DescontoPadrao,INDEX(tProdutos[Desconto homologado],MATCH(tItens[[#This Row],[Produto]],tProdutos[Produto],0))),DescontoPadrao)</f>
        <v>0.35766373163696302</v>
      </c>
      <c r="M4424" s="12">
        <f>tItens[[#This Row],[Valor]]*(1-tItens[[#This Row],[Desconto]])</f>
        <v>327.4630296114762</v>
      </c>
      <c r="N4424" t="str">
        <f>IFERROR(INDEX(tProdutos[Foco],MATCH(tItens[[#This Row],[Produto]],tProdutos[Produto],0)),"Não")</f>
        <v>Não</v>
      </c>
      <c r="O4424" t="str">
        <f>IFERROR(INDEX(tEditais[SRP],MATCH(tItens[[#This Row],[Edital]],tEditais[Edital],0)),"Não")</f>
        <v>Sim</v>
      </c>
      <c r="P4424" s="4">
        <f>IF(COUNTIFS(INDEX(tItens[Edital],1):tItens[[#This Row],[Edital]],tItens[[#This Row],[Edital]],INDEX(tItens[Produto],1):tItens[[#This Row],[Produto]],tItens[[#This Row],[Produto]])=1,1,0)</f>
        <v>0</v>
      </c>
    </row>
    <row r="4425" spans="1:16" x14ac:dyDescent="0.25">
      <c r="A4425" t="s">
        <v>1799</v>
      </c>
      <c r="B4425">
        <v>42</v>
      </c>
      <c r="C4425" t="s">
        <v>7271</v>
      </c>
      <c r="D4425" t="s">
        <v>313</v>
      </c>
      <c r="E4425" s="13">
        <v>20</v>
      </c>
      <c r="F4425" s="12">
        <v>20.63</v>
      </c>
      <c r="G4425" t="str">
        <f>IFERROR(INDEX(tEditais[Órgão],MATCH(tItens[[#This Row],[Edital]],tEditais[Edital],0)),"")</f>
        <v>MINISTERIO DA CIENCIA, TECNOLOGIA E INOVACOES</v>
      </c>
      <c r="H4425" t="str">
        <f>IFERROR(INDEX(tEditais[UF],MATCH(tItens[[#This Row],[Edital]],tEditais[Edital],0)),"")</f>
        <v>PB</v>
      </c>
      <c r="I4425" s="11">
        <f>IFERROR(INDEX(tEditais[Encerramento],MATCH(tItens[[#This Row],[Edital]],tEditais[Edital],0)),"")</f>
        <v>46309.333333333336</v>
      </c>
      <c r="J4425" t="str">
        <f>IFERROR(INDEX(tProdutos[Classe],MATCH(tItens[[#This Row],[Produto]],tProdutos[Produto],0)),"produto não cadastrado")</f>
        <v>FORA</v>
      </c>
      <c r="K4425" s="12">
        <f>tItens[[#This Row],[Qtd]]*tItens[[#This Row],[Vlr unit]]</f>
        <v>412.59999999999997</v>
      </c>
      <c r="L4425" s="6">
        <f>IFERROR(IF(INDEX(tProdutos[Desconto homologado],MATCH(tItens[[#This Row],[Produto]],tProdutos[Produto],0))="",DescontoPadrao,INDEX(tProdutos[Desconto homologado],MATCH(tItens[[#This Row],[Produto]],tProdutos[Produto],0))),DescontoPadrao)</f>
        <v>0.35766373163696302</v>
      </c>
      <c r="M4425" s="12">
        <f>tItens[[#This Row],[Valor]]*(1-tItens[[#This Row],[Desconto]])</f>
        <v>265.02794432658902</v>
      </c>
      <c r="N4425" t="str">
        <f>IFERROR(INDEX(tProdutos[Foco],MATCH(tItens[[#This Row],[Produto]],tProdutos[Produto],0)),"Não")</f>
        <v>Não</v>
      </c>
      <c r="O4425" t="str">
        <f>IFERROR(INDEX(tEditais[SRP],MATCH(tItens[[#This Row],[Edital]],tEditais[Edital],0)),"Não")</f>
        <v>Sim</v>
      </c>
      <c r="P4425" s="4">
        <f>IF(COUNTIFS(INDEX(tItens[Edital],1):tItens[[#This Row],[Edital]],tItens[[#This Row],[Edital]],INDEX(tItens[Produto],1):tItens[[#This Row],[Produto]],tItens[[#This Row],[Produto]])=1,1,0)</f>
        <v>0</v>
      </c>
    </row>
    <row r="4426" spans="1:16" x14ac:dyDescent="0.25">
      <c r="A4426" t="s">
        <v>1799</v>
      </c>
      <c r="B4426">
        <v>44</v>
      </c>
      <c r="C4426" t="s">
        <v>7272</v>
      </c>
      <c r="D4426" t="s">
        <v>281</v>
      </c>
      <c r="E4426" s="13">
        <v>3000</v>
      </c>
      <c r="F4426" s="12">
        <v>0.28999999999999998</v>
      </c>
      <c r="G4426" t="str">
        <f>IFERROR(INDEX(tEditais[Órgão],MATCH(tItens[[#This Row],[Edital]],tEditais[Edital],0)),"")</f>
        <v>MINISTERIO DA CIENCIA, TECNOLOGIA E INOVACOES</v>
      </c>
      <c r="H4426" t="str">
        <f>IFERROR(INDEX(tEditais[UF],MATCH(tItens[[#This Row],[Edital]],tEditais[Edital],0)),"")</f>
        <v>PB</v>
      </c>
      <c r="I4426" s="11">
        <f>IFERROR(INDEX(tEditais[Encerramento],MATCH(tItens[[#This Row],[Edital]],tEditais[Edital],0)),"")</f>
        <v>46309.333333333336</v>
      </c>
      <c r="J4426" t="str">
        <f>IFERROR(INDEX(tProdutos[Classe],MATCH(tItens[[#This Row],[Produto]],tProdutos[Produto],0)),"produto não cadastrado")</f>
        <v>DISPUTADO</v>
      </c>
      <c r="K4426" s="12">
        <f>tItens[[#This Row],[Qtd]]*tItens[[#This Row],[Vlr unit]]</f>
        <v>869.99999999999989</v>
      </c>
      <c r="L4426" s="6">
        <f>IFERROR(IF(INDEX(tProdutos[Desconto homologado],MATCH(tItens[[#This Row],[Produto]],tProdutos[Produto],0))="",DescontoPadrao,INDEX(tProdutos[Desconto homologado],MATCH(tItens[[#This Row],[Produto]],tProdutos[Produto],0))),DescontoPadrao)</f>
        <v>0.42461538461538501</v>
      </c>
      <c r="M4426" s="12">
        <f>tItens[[#This Row],[Valor]]*(1-tItens[[#This Row],[Desconto]])</f>
        <v>500.58461538461495</v>
      </c>
      <c r="N4426" t="str">
        <f>IFERROR(INDEX(tProdutos[Foco],MATCH(tItens[[#This Row],[Produto]],tProdutos[Produto],0)),"Não")</f>
        <v>Não</v>
      </c>
      <c r="O4426" t="str">
        <f>IFERROR(INDEX(tEditais[SRP],MATCH(tItens[[#This Row],[Edital]],tEditais[Edital],0)),"Não")</f>
        <v>Sim</v>
      </c>
      <c r="P4426" s="4">
        <f>IF(COUNTIFS(INDEX(tItens[Edital],1):tItens[[#This Row],[Edital]],tItens[[#This Row],[Edital]],INDEX(tItens[Produto],1):tItens[[#This Row],[Produto]],tItens[[#This Row],[Produto]])=1,1,0)</f>
        <v>1</v>
      </c>
    </row>
    <row r="4427" spans="1:16" x14ac:dyDescent="0.25">
      <c r="A4427" t="s">
        <v>1799</v>
      </c>
      <c r="B4427">
        <v>45</v>
      </c>
      <c r="C4427" t="s">
        <v>7273</v>
      </c>
      <c r="D4427" t="s">
        <v>289</v>
      </c>
      <c r="E4427" s="13">
        <v>1000</v>
      </c>
      <c r="F4427" s="12">
        <v>0.51</v>
      </c>
      <c r="G4427" t="str">
        <f>IFERROR(INDEX(tEditais[Órgão],MATCH(tItens[[#This Row],[Edital]],tEditais[Edital],0)),"")</f>
        <v>MINISTERIO DA CIENCIA, TECNOLOGIA E INOVACOES</v>
      </c>
      <c r="H4427" t="str">
        <f>IFERROR(INDEX(tEditais[UF],MATCH(tItens[[#This Row],[Edital]],tEditais[Edital],0)),"")</f>
        <v>PB</v>
      </c>
      <c r="I4427" s="11">
        <f>IFERROR(INDEX(tEditais[Encerramento],MATCH(tItens[[#This Row],[Edital]],tEditais[Edital],0)),"")</f>
        <v>46309.333333333336</v>
      </c>
      <c r="J4427" t="str">
        <f>IFERROR(INDEX(tProdutos[Classe],MATCH(tItens[[#This Row],[Produto]],tProdutos[Produto],0)),"produto não cadastrado")</f>
        <v>DISPUTADO</v>
      </c>
      <c r="K4427" s="12">
        <f>tItens[[#This Row],[Qtd]]*tItens[[#This Row],[Vlr unit]]</f>
        <v>510</v>
      </c>
      <c r="L4427" s="6">
        <f>IFERROR(IF(INDEX(tProdutos[Desconto homologado],MATCH(tItens[[#This Row],[Produto]],tProdutos[Produto],0))="",DescontoPadrao,INDEX(tProdutos[Desconto homologado],MATCH(tItens[[#This Row],[Produto]],tProdutos[Produto],0))),DescontoPadrao)</f>
        <v>0.35849056603773599</v>
      </c>
      <c r="M4427" s="12">
        <f>tItens[[#This Row],[Valor]]*(1-tItens[[#This Row],[Desconto]])</f>
        <v>327.16981132075466</v>
      </c>
      <c r="N4427" t="str">
        <f>IFERROR(INDEX(tProdutos[Foco],MATCH(tItens[[#This Row],[Produto]],tProdutos[Produto],0)),"Não")</f>
        <v>Não</v>
      </c>
      <c r="O4427" t="str">
        <f>IFERROR(INDEX(tEditais[SRP],MATCH(tItens[[#This Row],[Edital]],tEditais[Edital],0)),"Não")</f>
        <v>Sim</v>
      </c>
      <c r="P4427" s="4">
        <f>IF(COUNTIFS(INDEX(tItens[Edital],1):tItens[[#This Row],[Edital]],tItens[[#This Row],[Edital]],INDEX(tItens[Produto],1):tItens[[#This Row],[Produto]],tItens[[#This Row],[Produto]])=1,1,0)</f>
        <v>1</v>
      </c>
    </row>
    <row r="4428" spans="1:16" x14ac:dyDescent="0.25">
      <c r="A4428" t="s">
        <v>1799</v>
      </c>
      <c r="B4428">
        <v>61</v>
      </c>
      <c r="C4428" t="s">
        <v>7274</v>
      </c>
      <c r="D4428" t="s">
        <v>375</v>
      </c>
      <c r="E4428" s="13">
        <v>72</v>
      </c>
      <c r="F4428" s="12">
        <v>6.36</v>
      </c>
      <c r="G4428" t="str">
        <f>IFERROR(INDEX(tEditais[Órgão],MATCH(tItens[[#This Row],[Edital]],tEditais[Edital],0)),"")</f>
        <v>MINISTERIO DA CIENCIA, TECNOLOGIA E INOVACOES</v>
      </c>
      <c r="H4428" t="str">
        <f>IFERROR(INDEX(tEditais[UF],MATCH(tItens[[#This Row],[Edital]],tEditais[Edital],0)),"")</f>
        <v>PB</v>
      </c>
      <c r="I4428" s="11">
        <f>IFERROR(INDEX(tEditais[Encerramento],MATCH(tItens[[#This Row],[Edital]],tEditais[Edital],0)),"")</f>
        <v>46309.333333333336</v>
      </c>
      <c r="J4428" t="str">
        <f>IFERROR(INDEX(tProdutos[Classe],MATCH(tItens[[#This Row],[Produto]],tProdutos[Produto],0)),"produto não cadastrado")</f>
        <v>FORA</v>
      </c>
      <c r="K4428" s="12">
        <f>tItens[[#This Row],[Qtd]]*tItens[[#This Row],[Vlr unit]]</f>
        <v>457.92</v>
      </c>
      <c r="L4428" s="6">
        <f>IFERROR(IF(INDEX(tProdutos[Desconto homologado],MATCH(tItens[[#This Row],[Produto]],tProdutos[Produto],0))="",DescontoPadrao,INDEX(tProdutos[Desconto homologado],MATCH(tItens[[#This Row],[Produto]],tProdutos[Produto],0))),DescontoPadrao)</f>
        <v>0.25005895299481201</v>
      </c>
      <c r="M4428" s="12">
        <f>tItens[[#This Row],[Valor]]*(1-tItens[[#This Row],[Desconto]])</f>
        <v>343.41300424461565</v>
      </c>
      <c r="N4428" t="str">
        <f>IFERROR(INDEX(tProdutos[Foco],MATCH(tItens[[#This Row],[Produto]],tProdutos[Produto],0)),"Não")</f>
        <v>Não</v>
      </c>
      <c r="O4428" t="str">
        <f>IFERROR(INDEX(tEditais[SRP],MATCH(tItens[[#This Row],[Edital]],tEditais[Edital],0)),"Não")</f>
        <v>Sim</v>
      </c>
      <c r="P4428" s="4">
        <f>IF(COUNTIFS(INDEX(tItens[Edital],1):tItens[[#This Row],[Edital]],tItens[[#This Row],[Edital]],INDEX(tItens[Produto],1):tItens[[#This Row],[Produto]],tItens[[#This Row],[Produto]])=1,1,0)</f>
        <v>1</v>
      </c>
    </row>
    <row r="4429" spans="1:16" x14ac:dyDescent="0.25">
      <c r="A4429" t="s">
        <v>1799</v>
      </c>
      <c r="B4429">
        <v>64</v>
      </c>
      <c r="C4429" t="s">
        <v>7275</v>
      </c>
      <c r="D4429" t="s">
        <v>265</v>
      </c>
      <c r="E4429" s="13">
        <v>2000</v>
      </c>
      <c r="F4429" s="12">
        <v>0.45</v>
      </c>
      <c r="G4429" t="str">
        <f>IFERROR(INDEX(tEditais[Órgão],MATCH(tItens[[#This Row],[Edital]],tEditais[Edital],0)),"")</f>
        <v>MINISTERIO DA CIENCIA, TECNOLOGIA E INOVACOES</v>
      </c>
      <c r="H4429" t="str">
        <f>IFERROR(INDEX(tEditais[UF],MATCH(tItens[[#This Row],[Edital]],tEditais[Edital],0)),"")</f>
        <v>PB</v>
      </c>
      <c r="I4429" s="11">
        <f>IFERROR(INDEX(tEditais[Encerramento],MATCH(tItens[[#This Row],[Edital]],tEditais[Edital],0)),"")</f>
        <v>46309.333333333336</v>
      </c>
      <c r="J4429" t="str">
        <f>IFERROR(INDEX(tProdutos[Classe],MATCH(tItens[[#This Row],[Produto]],tProdutos[Produto],0)),"produto não cadastrado")</f>
        <v>DISPUTADO</v>
      </c>
      <c r="K4429" s="12">
        <f>tItens[[#This Row],[Qtd]]*tItens[[#This Row],[Vlr unit]]</f>
        <v>900</v>
      </c>
      <c r="L4429" s="6">
        <f>IFERROR(IF(INDEX(tProdutos[Desconto homologado],MATCH(tItens[[#This Row],[Produto]],tProdutos[Produto],0))="",DescontoPadrao,INDEX(tProdutos[Desconto homologado],MATCH(tItens[[#This Row],[Produto]],tProdutos[Produto],0))),DescontoPadrao)</f>
        <v>0.377587663709337</v>
      </c>
      <c r="M4429" s="12">
        <f>tItens[[#This Row],[Valor]]*(1-tItens[[#This Row],[Desconto]])</f>
        <v>560.17110266159671</v>
      </c>
      <c r="N4429" t="str">
        <f>IFERROR(INDEX(tProdutos[Foco],MATCH(tItens[[#This Row],[Produto]],tProdutos[Produto],0)),"Não")</f>
        <v>Não</v>
      </c>
      <c r="O4429" t="str">
        <f>IFERROR(INDEX(tEditais[SRP],MATCH(tItens[[#This Row],[Edital]],tEditais[Edital],0)),"Não")</f>
        <v>Sim</v>
      </c>
      <c r="P4429" s="4">
        <f>IF(COUNTIFS(INDEX(tItens[Edital],1):tItens[[#This Row],[Edital]],tItens[[#This Row],[Edital]],INDEX(tItens[Produto],1):tItens[[#This Row],[Produto]],tItens[[#This Row],[Produto]])=1,1,0)</f>
        <v>1</v>
      </c>
    </row>
    <row r="4430" spans="1:16" x14ac:dyDescent="0.25">
      <c r="A4430" t="s">
        <v>1799</v>
      </c>
      <c r="B4430">
        <v>82</v>
      </c>
      <c r="C4430" t="s">
        <v>7276</v>
      </c>
      <c r="D4430" t="s">
        <v>201</v>
      </c>
      <c r="E4430" s="13">
        <v>5</v>
      </c>
      <c r="F4430" s="12">
        <v>50.49</v>
      </c>
      <c r="G4430" t="str">
        <f>IFERROR(INDEX(tEditais[Órgão],MATCH(tItens[[#This Row],[Edital]],tEditais[Edital],0)),"")</f>
        <v>MINISTERIO DA CIENCIA, TECNOLOGIA E INOVACOES</v>
      </c>
      <c r="H4430" t="str">
        <f>IFERROR(INDEX(tEditais[UF],MATCH(tItens[[#This Row],[Edital]],tEditais[Edital],0)),"")</f>
        <v>PB</v>
      </c>
      <c r="I4430" s="11">
        <f>IFERROR(INDEX(tEditais[Encerramento],MATCH(tItens[[#This Row],[Edital]],tEditais[Edital],0)),"")</f>
        <v>46309.333333333336</v>
      </c>
      <c r="J4430" t="str">
        <f>IFERROR(INDEX(tProdutos[Classe],MATCH(tItens[[#This Row],[Produto]],tProdutos[Produto],0)),"produto não cadastrado")</f>
        <v>DISPUTADO</v>
      </c>
      <c r="K4430" s="12">
        <f>tItens[[#This Row],[Qtd]]*tItens[[#This Row],[Vlr unit]]</f>
        <v>252.45000000000002</v>
      </c>
      <c r="L4430" s="6">
        <f>IFERROR(IF(INDEX(tProdutos[Desconto homologado],MATCH(tItens[[#This Row],[Produto]],tProdutos[Produto],0))="",DescontoPadrao,INDEX(tProdutos[Desconto homologado],MATCH(tItens[[#This Row],[Produto]],tProdutos[Produto],0))),DescontoPadrao)</f>
        <v>0.27203065134099602</v>
      </c>
      <c r="M4430" s="12">
        <f>tItens[[#This Row],[Valor]]*(1-tItens[[#This Row],[Desconto]])</f>
        <v>183.77586206896558</v>
      </c>
      <c r="N4430" t="str">
        <f>IFERROR(INDEX(tProdutos[Foco],MATCH(tItens[[#This Row],[Produto]],tProdutos[Produto],0)),"Não")</f>
        <v>Não</v>
      </c>
      <c r="O4430" t="str">
        <f>IFERROR(INDEX(tEditais[SRP],MATCH(tItens[[#This Row],[Edital]],tEditais[Edital],0)),"Não")</f>
        <v>Sim</v>
      </c>
      <c r="P4430" s="4">
        <f>IF(COUNTIFS(INDEX(tItens[Edital],1):tItens[[#This Row],[Edital]],tItens[[#This Row],[Edital]],INDEX(tItens[Produto],1):tItens[[#This Row],[Produto]],tItens[[#This Row],[Produto]])=1,1,0)</f>
        <v>1</v>
      </c>
    </row>
    <row r="4431" spans="1:16" x14ac:dyDescent="0.25">
      <c r="A4431" t="s">
        <v>1799</v>
      </c>
      <c r="B4431">
        <v>87</v>
      </c>
      <c r="C4431" t="s">
        <v>7277</v>
      </c>
      <c r="D4431" t="s">
        <v>413</v>
      </c>
      <c r="E4431" s="13">
        <v>20</v>
      </c>
      <c r="F4431" s="12">
        <v>3.71</v>
      </c>
      <c r="G4431" t="str">
        <f>IFERROR(INDEX(tEditais[Órgão],MATCH(tItens[[#This Row],[Edital]],tEditais[Edital],0)),"")</f>
        <v>MINISTERIO DA CIENCIA, TECNOLOGIA E INOVACOES</v>
      </c>
      <c r="H4431" t="str">
        <f>IFERROR(INDEX(tEditais[UF],MATCH(tItens[[#This Row],[Edital]],tEditais[Edital],0)),"")</f>
        <v>PB</v>
      </c>
      <c r="I4431" s="11">
        <f>IFERROR(INDEX(tEditais[Encerramento],MATCH(tItens[[#This Row],[Edital]],tEditais[Edital],0)),"")</f>
        <v>46309.333333333336</v>
      </c>
      <c r="J4431" t="str">
        <f>IFERROR(INDEX(tProdutos[Classe],MATCH(tItens[[#This Row],[Produto]],tProdutos[Produto],0)),"produto não cadastrado")</f>
        <v>FORA</v>
      </c>
      <c r="K4431" s="12">
        <f>tItens[[#This Row],[Qtd]]*tItens[[#This Row],[Vlr unit]]</f>
        <v>74.2</v>
      </c>
      <c r="L4431" s="6">
        <f>IFERROR(IF(INDEX(tProdutos[Desconto homologado],MATCH(tItens[[#This Row],[Produto]],tProdutos[Produto],0))="",DescontoPadrao,INDEX(tProdutos[Desconto homologado],MATCH(tItens[[#This Row],[Produto]],tProdutos[Produto],0))),DescontoPadrao)</f>
        <v>0.477732793522267</v>
      </c>
      <c r="M4431" s="12">
        <f>tItens[[#This Row],[Valor]]*(1-tItens[[#This Row],[Desconto]])</f>
        <v>38.752226720647784</v>
      </c>
      <c r="N4431" t="str">
        <f>IFERROR(INDEX(tProdutos[Foco],MATCH(tItens[[#This Row],[Produto]],tProdutos[Produto],0)),"Não")</f>
        <v>Não</v>
      </c>
      <c r="O4431" t="str">
        <f>IFERROR(INDEX(tEditais[SRP],MATCH(tItens[[#This Row],[Edital]],tEditais[Edital],0)),"Não")</f>
        <v>Sim</v>
      </c>
      <c r="P4431" s="4">
        <f>IF(COUNTIFS(INDEX(tItens[Edital],1):tItens[[#This Row],[Edital]],tItens[[#This Row],[Edital]],INDEX(tItens[Produto],1):tItens[[#This Row],[Produto]],tItens[[#This Row],[Produto]])=1,1,0)</f>
        <v>1</v>
      </c>
    </row>
    <row r="4432" spans="1:16" x14ac:dyDescent="0.25">
      <c r="A4432" t="s">
        <v>1799</v>
      </c>
      <c r="B4432">
        <v>88</v>
      </c>
      <c r="C4432" t="s">
        <v>7278</v>
      </c>
      <c r="D4432" t="s">
        <v>413</v>
      </c>
      <c r="E4432" s="13">
        <v>20</v>
      </c>
      <c r="F4432" s="12">
        <v>6.73</v>
      </c>
      <c r="G4432" t="str">
        <f>IFERROR(INDEX(tEditais[Órgão],MATCH(tItens[[#This Row],[Edital]],tEditais[Edital],0)),"")</f>
        <v>MINISTERIO DA CIENCIA, TECNOLOGIA E INOVACOES</v>
      </c>
      <c r="H4432" t="str">
        <f>IFERROR(INDEX(tEditais[UF],MATCH(tItens[[#This Row],[Edital]],tEditais[Edital],0)),"")</f>
        <v>PB</v>
      </c>
      <c r="I4432" s="11">
        <f>IFERROR(INDEX(tEditais[Encerramento],MATCH(tItens[[#This Row],[Edital]],tEditais[Edital],0)),"")</f>
        <v>46309.333333333336</v>
      </c>
      <c r="J4432" t="str">
        <f>IFERROR(INDEX(tProdutos[Classe],MATCH(tItens[[#This Row],[Produto]],tProdutos[Produto],0)),"produto não cadastrado")</f>
        <v>FORA</v>
      </c>
      <c r="K4432" s="12">
        <f>tItens[[#This Row],[Qtd]]*tItens[[#This Row],[Vlr unit]]</f>
        <v>134.60000000000002</v>
      </c>
      <c r="L4432" s="6">
        <f>IFERROR(IF(INDEX(tProdutos[Desconto homologado],MATCH(tItens[[#This Row],[Produto]],tProdutos[Produto],0))="",DescontoPadrao,INDEX(tProdutos[Desconto homologado],MATCH(tItens[[#This Row],[Produto]],tProdutos[Produto],0))),DescontoPadrao)</f>
        <v>0.477732793522267</v>
      </c>
      <c r="M4432" s="12">
        <f>tItens[[#This Row],[Valor]]*(1-tItens[[#This Row],[Desconto]])</f>
        <v>70.297165991902872</v>
      </c>
      <c r="N4432" t="str">
        <f>IFERROR(INDEX(tProdutos[Foco],MATCH(tItens[[#This Row],[Produto]],tProdutos[Produto],0)),"Não")</f>
        <v>Não</v>
      </c>
      <c r="O4432" t="str">
        <f>IFERROR(INDEX(tEditais[SRP],MATCH(tItens[[#This Row],[Edital]],tEditais[Edital],0)),"Não")</f>
        <v>Sim</v>
      </c>
      <c r="P4432" s="4">
        <f>IF(COUNTIFS(INDEX(tItens[Edital],1):tItens[[#This Row],[Edital]],tItens[[#This Row],[Edital]],INDEX(tItens[Produto],1):tItens[[#This Row],[Produto]],tItens[[#This Row],[Produto]])=1,1,0)</f>
        <v>0</v>
      </c>
    </row>
    <row r="4433" spans="1:16" x14ac:dyDescent="0.25">
      <c r="A4433" t="s">
        <v>1804</v>
      </c>
      <c r="B4433">
        <v>32</v>
      </c>
      <c r="C4433" t="s">
        <v>7279</v>
      </c>
      <c r="D4433" t="s">
        <v>62</v>
      </c>
      <c r="E4433" s="13">
        <v>100</v>
      </c>
      <c r="F4433" s="12">
        <v>150.29</v>
      </c>
      <c r="G4433" t="str">
        <f>IFERROR(INDEX(tEditais[Órgão],MATCH(tItens[[#This Row],[Edital]],tEditais[Edital],0)),"")</f>
        <v>MUNICIPIO DE BREJO DOS SANTOS</v>
      </c>
      <c r="H4433" t="str">
        <f>IFERROR(INDEX(tEditais[UF],MATCH(tItens[[#This Row],[Edital]],tEditais[Edital],0)),"")</f>
        <v>PB</v>
      </c>
      <c r="I4433" s="11">
        <f>IFERROR(INDEX(tEditais[Encerramento],MATCH(tItens[[#This Row],[Edital]],tEditais[Edital],0)),"")</f>
        <v>46309.374305555553</v>
      </c>
      <c r="J4433" t="str">
        <f>IFERROR(INDEX(tProdutos[Classe],MATCH(tItens[[#This Row],[Produto]],tProdutos[Produto],0)),"produto não cadastrado")</f>
        <v>NÚCLEO</v>
      </c>
      <c r="K4433" s="12">
        <f>tItens[[#This Row],[Qtd]]*tItens[[#This Row],[Vlr unit]]</f>
        <v>15029</v>
      </c>
      <c r="L4433" s="6">
        <f>IFERROR(IF(INDEX(tProdutos[Desconto homologado],MATCH(tItens[[#This Row],[Produto]],tProdutos[Produto],0))="",DescontoPadrao,INDEX(tProdutos[Desconto homologado],MATCH(tItens[[#This Row],[Produto]],tProdutos[Produto],0))),DescontoPadrao)</f>
        <v>0.3</v>
      </c>
      <c r="M4433" s="12">
        <f>tItens[[#This Row],[Valor]]*(1-tItens[[#This Row],[Desconto]])</f>
        <v>10520.3</v>
      </c>
      <c r="N4433" t="str">
        <f>IFERROR(INDEX(tProdutos[Foco],MATCH(tItens[[#This Row],[Produto]],tProdutos[Produto],0)),"Não")</f>
        <v>Sim</v>
      </c>
      <c r="O4433" t="str">
        <f>IFERROR(INDEX(tEditais[SRP],MATCH(tItens[[#This Row],[Edital]],tEditais[Edital],0)),"Não")</f>
        <v>Não</v>
      </c>
      <c r="P4433" s="4">
        <f>IF(COUNTIFS(INDEX(tItens[Edital],1):tItens[[#This Row],[Edital]],tItens[[#This Row],[Edital]],INDEX(tItens[Produto],1):tItens[[#This Row],[Produto]],tItens[[#This Row],[Produto]])=1,1,0)</f>
        <v>1</v>
      </c>
    </row>
    <row r="4434" spans="1:16" x14ac:dyDescent="0.25">
      <c r="A4434" t="s">
        <v>1804</v>
      </c>
      <c r="B4434">
        <v>41</v>
      </c>
      <c r="C4434" t="s">
        <v>7280</v>
      </c>
      <c r="D4434" t="s">
        <v>73</v>
      </c>
      <c r="E4434" s="13">
        <v>500</v>
      </c>
      <c r="F4434" s="12">
        <v>32.9</v>
      </c>
      <c r="G4434" t="str">
        <f>IFERROR(INDEX(tEditais[Órgão],MATCH(tItens[[#This Row],[Edital]],tEditais[Edital],0)),"")</f>
        <v>MUNICIPIO DE BREJO DOS SANTOS</v>
      </c>
      <c r="H4434" t="str">
        <f>IFERROR(INDEX(tEditais[UF],MATCH(tItens[[#This Row],[Edital]],tEditais[Edital],0)),"")</f>
        <v>PB</v>
      </c>
      <c r="I4434" s="11">
        <f>IFERROR(INDEX(tEditais[Encerramento],MATCH(tItens[[#This Row],[Edital]],tEditais[Edital],0)),"")</f>
        <v>46309.374305555553</v>
      </c>
      <c r="J4434" t="str">
        <f>IFERROR(INDEX(tProdutos[Classe],MATCH(tItens[[#This Row],[Produto]],tProdutos[Produto],0)),"produto não cadastrado")</f>
        <v>NÚCLEO</v>
      </c>
      <c r="K4434" s="12">
        <f>tItens[[#This Row],[Qtd]]*tItens[[#This Row],[Vlr unit]]</f>
        <v>16450</v>
      </c>
      <c r="L4434" s="6">
        <f>IFERROR(IF(INDEX(tProdutos[Desconto homologado],MATCH(tItens[[#This Row],[Produto]],tProdutos[Produto],0))="",DescontoPadrao,INDEX(tProdutos[Desconto homologado],MATCH(tItens[[#This Row],[Produto]],tProdutos[Produto],0))),DescontoPadrao)</f>
        <v>0.37</v>
      </c>
      <c r="M4434" s="12">
        <f>tItens[[#This Row],[Valor]]*(1-tItens[[#This Row],[Desconto]])</f>
        <v>10363.5</v>
      </c>
      <c r="N4434" t="str">
        <f>IFERROR(INDEX(tProdutos[Foco],MATCH(tItens[[#This Row],[Produto]],tProdutos[Produto],0)),"Não")</f>
        <v>Sim</v>
      </c>
      <c r="O4434" t="str">
        <f>IFERROR(INDEX(tEditais[SRP],MATCH(tItens[[#This Row],[Edital]],tEditais[Edital],0)),"Não")</f>
        <v>Não</v>
      </c>
      <c r="P4434" s="4">
        <f>IF(COUNTIFS(INDEX(tItens[Edital],1):tItens[[#This Row],[Edital]],tItens[[#This Row],[Edital]],INDEX(tItens[Produto],1):tItens[[#This Row],[Produto]],tItens[[#This Row],[Produto]])=1,1,0)</f>
        <v>1</v>
      </c>
    </row>
    <row r="4435" spans="1:16" x14ac:dyDescent="0.25">
      <c r="A4435" t="s">
        <v>1804</v>
      </c>
      <c r="B4435">
        <v>42</v>
      </c>
      <c r="C4435" t="s">
        <v>7281</v>
      </c>
      <c r="D4435" t="s">
        <v>73</v>
      </c>
      <c r="E4435" s="13">
        <v>500</v>
      </c>
      <c r="F4435" s="12">
        <v>28.03</v>
      </c>
      <c r="G4435" t="str">
        <f>IFERROR(INDEX(tEditais[Órgão],MATCH(tItens[[#This Row],[Edital]],tEditais[Edital],0)),"")</f>
        <v>MUNICIPIO DE BREJO DOS SANTOS</v>
      </c>
      <c r="H4435" t="str">
        <f>IFERROR(INDEX(tEditais[UF],MATCH(tItens[[#This Row],[Edital]],tEditais[Edital],0)),"")</f>
        <v>PB</v>
      </c>
      <c r="I4435" s="11">
        <f>IFERROR(INDEX(tEditais[Encerramento],MATCH(tItens[[#This Row],[Edital]],tEditais[Edital],0)),"")</f>
        <v>46309.374305555553</v>
      </c>
      <c r="J4435" t="str">
        <f>IFERROR(INDEX(tProdutos[Classe],MATCH(tItens[[#This Row],[Produto]],tProdutos[Produto],0)),"produto não cadastrado")</f>
        <v>NÚCLEO</v>
      </c>
      <c r="K4435" s="12">
        <f>tItens[[#This Row],[Qtd]]*tItens[[#This Row],[Vlr unit]]</f>
        <v>14015</v>
      </c>
      <c r="L4435" s="6">
        <f>IFERROR(IF(INDEX(tProdutos[Desconto homologado],MATCH(tItens[[#This Row],[Produto]],tProdutos[Produto],0))="",DescontoPadrao,INDEX(tProdutos[Desconto homologado],MATCH(tItens[[#This Row],[Produto]],tProdutos[Produto],0))),DescontoPadrao)</f>
        <v>0.37</v>
      </c>
      <c r="M4435" s="12">
        <f>tItens[[#This Row],[Valor]]*(1-tItens[[#This Row],[Desconto]])</f>
        <v>8829.4500000000007</v>
      </c>
      <c r="N4435" t="str">
        <f>IFERROR(INDEX(tProdutos[Foco],MATCH(tItens[[#This Row],[Produto]],tProdutos[Produto],0)),"Não")</f>
        <v>Sim</v>
      </c>
      <c r="O4435" t="str">
        <f>IFERROR(INDEX(tEditais[SRP],MATCH(tItens[[#This Row],[Edital]],tEditais[Edital],0)),"Não")</f>
        <v>Não</v>
      </c>
      <c r="P4435" s="4">
        <f>IF(COUNTIFS(INDEX(tItens[Edital],1):tItens[[#This Row],[Edital]],tItens[[#This Row],[Edital]],INDEX(tItens[Produto],1):tItens[[#This Row],[Produto]],tItens[[#This Row],[Produto]])=1,1,0)</f>
        <v>0</v>
      </c>
    </row>
    <row r="4436" spans="1:16" x14ac:dyDescent="0.25">
      <c r="A4436" t="s">
        <v>1804</v>
      </c>
      <c r="B4436">
        <v>43</v>
      </c>
      <c r="C4436" t="s">
        <v>7282</v>
      </c>
      <c r="D4436" t="s">
        <v>245</v>
      </c>
      <c r="E4436" s="13">
        <v>500</v>
      </c>
      <c r="F4436" s="12">
        <v>117.3</v>
      </c>
      <c r="G4436" t="str">
        <f>IFERROR(INDEX(tEditais[Órgão],MATCH(tItens[[#This Row],[Edital]],tEditais[Edital],0)),"")</f>
        <v>MUNICIPIO DE BREJO DOS SANTOS</v>
      </c>
      <c r="H4436" t="str">
        <f>IFERROR(INDEX(tEditais[UF],MATCH(tItens[[#This Row],[Edital]],tEditais[Edital],0)),"")</f>
        <v>PB</v>
      </c>
      <c r="I4436" s="11">
        <f>IFERROR(INDEX(tEditais[Encerramento],MATCH(tItens[[#This Row],[Edital]],tEditais[Edital],0)),"")</f>
        <v>46309.374305555553</v>
      </c>
      <c r="J4436" t="str">
        <f>IFERROR(INDEX(tProdutos[Classe],MATCH(tItens[[#This Row],[Produto]],tProdutos[Produto],0)),"produto não cadastrado")</f>
        <v>FORA</v>
      </c>
      <c r="K4436" s="12">
        <f>tItens[[#This Row],[Qtd]]*tItens[[#This Row],[Vlr unit]]</f>
        <v>58650</v>
      </c>
      <c r="L4436" s="6">
        <f>IFERROR(IF(INDEX(tProdutos[Desconto homologado],MATCH(tItens[[#This Row],[Produto]],tProdutos[Produto],0))="",DescontoPadrao,INDEX(tProdutos[Desconto homologado],MATCH(tItens[[#This Row],[Produto]],tProdutos[Produto],0))),DescontoPadrao)</f>
        <v>0.34516963542284401</v>
      </c>
      <c r="M4436" s="12">
        <f>tItens[[#This Row],[Valor]]*(1-tItens[[#This Row],[Desconto]])</f>
        <v>38405.800882450203</v>
      </c>
      <c r="N4436" t="str">
        <f>IFERROR(INDEX(tProdutos[Foco],MATCH(tItens[[#This Row],[Produto]],tProdutos[Produto],0)),"Não")</f>
        <v>Não</v>
      </c>
      <c r="O4436" t="str">
        <f>IFERROR(INDEX(tEditais[SRP],MATCH(tItens[[#This Row],[Edital]],tEditais[Edital],0)),"Não")</f>
        <v>Não</v>
      </c>
      <c r="P4436" s="4">
        <f>IF(COUNTIFS(INDEX(tItens[Edital],1):tItens[[#This Row],[Edital]],tItens[[#This Row],[Edital]],INDEX(tItens[Produto],1):tItens[[#This Row],[Produto]],tItens[[#This Row],[Produto]])=1,1,0)</f>
        <v>1</v>
      </c>
    </row>
    <row r="4437" spans="1:16" x14ac:dyDescent="0.25">
      <c r="A4437" t="s">
        <v>1804</v>
      </c>
      <c r="B4437">
        <v>44</v>
      </c>
      <c r="C4437" t="s">
        <v>7283</v>
      </c>
      <c r="D4437" t="s">
        <v>80</v>
      </c>
      <c r="E4437" s="13">
        <v>200</v>
      </c>
      <c r="F4437" s="12">
        <v>9.39</v>
      </c>
      <c r="G4437" t="str">
        <f>IFERROR(INDEX(tEditais[Órgão],MATCH(tItens[[#This Row],[Edital]],tEditais[Edital],0)),"")</f>
        <v>MUNICIPIO DE BREJO DOS SANTOS</v>
      </c>
      <c r="H4437" t="str">
        <f>IFERROR(INDEX(tEditais[UF],MATCH(tItens[[#This Row],[Edital]],tEditais[Edital],0)),"")</f>
        <v>PB</v>
      </c>
      <c r="I4437" s="11">
        <f>IFERROR(INDEX(tEditais[Encerramento],MATCH(tItens[[#This Row],[Edital]],tEditais[Edital],0)),"")</f>
        <v>46309.374305555553</v>
      </c>
      <c r="J4437" t="str">
        <f>IFERROR(INDEX(tProdutos[Classe],MATCH(tItens[[#This Row],[Produto]],tProdutos[Produto],0)),"produto não cadastrado")</f>
        <v>NÚCLEO</v>
      </c>
      <c r="K4437" s="12">
        <f>tItens[[#This Row],[Qtd]]*tItens[[#This Row],[Vlr unit]]</f>
        <v>1878</v>
      </c>
      <c r="L4437" s="6">
        <f>IFERROR(IF(INDEX(tProdutos[Desconto homologado],MATCH(tItens[[#This Row],[Produto]],tProdutos[Produto],0))="",DescontoPadrao,INDEX(tProdutos[Desconto homologado],MATCH(tItens[[#This Row],[Produto]],tProdutos[Produto],0))),DescontoPadrao)</f>
        <v>0.33</v>
      </c>
      <c r="M4437" s="12">
        <f>tItens[[#This Row],[Valor]]*(1-tItens[[#This Row],[Desconto]])</f>
        <v>1258.2599999999998</v>
      </c>
      <c r="N4437" t="str">
        <f>IFERROR(INDEX(tProdutos[Foco],MATCH(tItens[[#This Row],[Produto]],tProdutos[Produto],0)),"Não")</f>
        <v>Sim</v>
      </c>
      <c r="O4437" t="str">
        <f>IFERROR(INDEX(tEditais[SRP],MATCH(tItens[[#This Row],[Edital]],tEditais[Edital],0)),"Não")</f>
        <v>Não</v>
      </c>
      <c r="P4437" s="4">
        <f>IF(COUNTIFS(INDEX(tItens[Edital],1):tItens[[#This Row],[Edital]],tItens[[#This Row],[Edital]],INDEX(tItens[Produto],1):tItens[[#This Row],[Produto]],tItens[[#This Row],[Produto]])=1,1,0)</f>
        <v>1</v>
      </c>
    </row>
    <row r="4438" spans="1:16" x14ac:dyDescent="0.25">
      <c r="A4438" t="s">
        <v>1804</v>
      </c>
      <c r="B4438">
        <v>45</v>
      </c>
      <c r="C4438" t="s">
        <v>7284</v>
      </c>
      <c r="D4438" t="s">
        <v>80</v>
      </c>
      <c r="E4438" s="13">
        <v>200</v>
      </c>
      <c r="F4438" s="12">
        <v>9.0399999999999991</v>
      </c>
      <c r="G4438" t="str">
        <f>IFERROR(INDEX(tEditais[Órgão],MATCH(tItens[[#This Row],[Edital]],tEditais[Edital],0)),"")</f>
        <v>MUNICIPIO DE BREJO DOS SANTOS</v>
      </c>
      <c r="H4438" t="str">
        <f>IFERROR(INDEX(tEditais[UF],MATCH(tItens[[#This Row],[Edital]],tEditais[Edital],0)),"")</f>
        <v>PB</v>
      </c>
      <c r="I4438" s="11">
        <f>IFERROR(INDEX(tEditais[Encerramento],MATCH(tItens[[#This Row],[Edital]],tEditais[Edital],0)),"")</f>
        <v>46309.374305555553</v>
      </c>
      <c r="J4438" t="str">
        <f>IFERROR(INDEX(tProdutos[Classe],MATCH(tItens[[#This Row],[Produto]],tProdutos[Produto],0)),"produto não cadastrado")</f>
        <v>NÚCLEO</v>
      </c>
      <c r="K4438" s="12">
        <f>tItens[[#This Row],[Qtd]]*tItens[[#This Row],[Vlr unit]]</f>
        <v>1807.9999999999998</v>
      </c>
      <c r="L4438" s="6">
        <f>IFERROR(IF(INDEX(tProdutos[Desconto homologado],MATCH(tItens[[#This Row],[Produto]],tProdutos[Produto],0))="",DescontoPadrao,INDEX(tProdutos[Desconto homologado],MATCH(tItens[[#This Row],[Produto]],tProdutos[Produto],0))),DescontoPadrao)</f>
        <v>0.33</v>
      </c>
      <c r="M4438" s="12">
        <f>tItens[[#This Row],[Valor]]*(1-tItens[[#This Row],[Desconto]])</f>
        <v>1211.3599999999997</v>
      </c>
      <c r="N4438" t="str">
        <f>IFERROR(INDEX(tProdutos[Foco],MATCH(tItens[[#This Row],[Produto]],tProdutos[Produto],0)),"Não")</f>
        <v>Sim</v>
      </c>
      <c r="O4438" t="str">
        <f>IFERROR(INDEX(tEditais[SRP],MATCH(tItens[[#This Row],[Edital]],tEditais[Edital],0)),"Não")</f>
        <v>Não</v>
      </c>
      <c r="P4438" s="4">
        <f>IF(COUNTIFS(INDEX(tItens[Edital],1):tItens[[#This Row],[Edital]],tItens[[#This Row],[Edital]],INDEX(tItens[Produto],1):tItens[[#This Row],[Produto]],tItens[[#This Row],[Produto]])=1,1,0)</f>
        <v>0</v>
      </c>
    </row>
    <row r="4439" spans="1:16" x14ac:dyDescent="0.25">
      <c r="A4439" t="s">
        <v>1804</v>
      </c>
      <c r="B4439">
        <v>46</v>
      </c>
      <c r="C4439" t="s">
        <v>7285</v>
      </c>
      <c r="D4439" t="s">
        <v>311</v>
      </c>
      <c r="E4439" s="13">
        <v>1000</v>
      </c>
      <c r="F4439" s="12">
        <v>12.44</v>
      </c>
      <c r="G4439" t="str">
        <f>IFERROR(INDEX(tEditais[Órgão],MATCH(tItens[[#This Row],[Edital]],tEditais[Edital],0)),"")</f>
        <v>MUNICIPIO DE BREJO DOS SANTOS</v>
      </c>
      <c r="H4439" t="str">
        <f>IFERROR(INDEX(tEditais[UF],MATCH(tItens[[#This Row],[Edital]],tEditais[Edital],0)),"")</f>
        <v>PB</v>
      </c>
      <c r="I4439" s="11">
        <f>IFERROR(INDEX(tEditais[Encerramento],MATCH(tItens[[#This Row],[Edital]],tEditais[Edital],0)),"")</f>
        <v>46309.374305555553</v>
      </c>
      <c r="J4439" t="str">
        <f>IFERROR(INDEX(tProdutos[Classe],MATCH(tItens[[#This Row],[Produto]],tProdutos[Produto],0)),"produto não cadastrado")</f>
        <v>FORA</v>
      </c>
      <c r="K4439" s="12">
        <f>tItens[[#This Row],[Qtd]]*tItens[[#This Row],[Vlr unit]]</f>
        <v>12440</v>
      </c>
      <c r="L4439" s="6">
        <f>IFERROR(IF(INDEX(tProdutos[Desconto homologado],MATCH(tItens[[#This Row],[Produto]],tProdutos[Produto],0))="",DescontoPadrao,INDEX(tProdutos[Desconto homologado],MATCH(tItens[[#This Row],[Produto]],tProdutos[Produto],0))),DescontoPadrao)</f>
        <v>0.29046182846371399</v>
      </c>
      <c r="M4439" s="12">
        <f>tItens[[#This Row],[Valor]]*(1-tItens[[#This Row],[Desconto]])</f>
        <v>8826.6548539113992</v>
      </c>
      <c r="N4439" t="str">
        <f>IFERROR(INDEX(tProdutos[Foco],MATCH(tItens[[#This Row],[Produto]],tProdutos[Produto],0)),"Não")</f>
        <v>Não</v>
      </c>
      <c r="O4439" t="str">
        <f>IFERROR(INDEX(tEditais[SRP],MATCH(tItens[[#This Row],[Edital]],tEditais[Edital],0)),"Não")</f>
        <v>Não</v>
      </c>
      <c r="P4439" s="4">
        <f>IF(COUNTIFS(INDEX(tItens[Edital],1):tItens[[#This Row],[Edital]],tItens[[#This Row],[Edital]],INDEX(tItens[Produto],1):tItens[[#This Row],[Produto]],tItens[[#This Row],[Produto]])=1,1,0)</f>
        <v>1</v>
      </c>
    </row>
    <row r="4440" spans="1:16" x14ac:dyDescent="0.25">
      <c r="A4440" t="s">
        <v>1804</v>
      </c>
      <c r="B4440">
        <v>47</v>
      </c>
      <c r="C4440" t="s">
        <v>7286</v>
      </c>
      <c r="D4440" t="s">
        <v>311</v>
      </c>
      <c r="E4440" s="13">
        <v>2000</v>
      </c>
      <c r="F4440" s="12">
        <v>9.9700000000000006</v>
      </c>
      <c r="G4440" t="str">
        <f>IFERROR(INDEX(tEditais[Órgão],MATCH(tItens[[#This Row],[Edital]],tEditais[Edital],0)),"")</f>
        <v>MUNICIPIO DE BREJO DOS SANTOS</v>
      </c>
      <c r="H4440" t="str">
        <f>IFERROR(INDEX(tEditais[UF],MATCH(tItens[[#This Row],[Edital]],tEditais[Edital],0)),"")</f>
        <v>PB</v>
      </c>
      <c r="I4440" s="11">
        <f>IFERROR(INDEX(tEditais[Encerramento],MATCH(tItens[[#This Row],[Edital]],tEditais[Edital],0)),"")</f>
        <v>46309.374305555553</v>
      </c>
      <c r="J4440" t="str">
        <f>IFERROR(INDEX(tProdutos[Classe],MATCH(tItens[[#This Row],[Produto]],tProdutos[Produto],0)),"produto não cadastrado")</f>
        <v>FORA</v>
      </c>
      <c r="K4440" s="12">
        <f>tItens[[#This Row],[Qtd]]*tItens[[#This Row],[Vlr unit]]</f>
        <v>19940</v>
      </c>
      <c r="L4440" s="6">
        <f>IFERROR(IF(INDEX(tProdutos[Desconto homologado],MATCH(tItens[[#This Row],[Produto]],tProdutos[Produto],0))="",DescontoPadrao,INDEX(tProdutos[Desconto homologado],MATCH(tItens[[#This Row],[Produto]],tProdutos[Produto],0))),DescontoPadrao)</f>
        <v>0.29046182846371399</v>
      </c>
      <c r="M4440" s="12">
        <f>tItens[[#This Row],[Valor]]*(1-tItens[[#This Row],[Desconto]])</f>
        <v>14148.191140433544</v>
      </c>
      <c r="N4440" t="str">
        <f>IFERROR(INDEX(tProdutos[Foco],MATCH(tItens[[#This Row],[Produto]],tProdutos[Produto],0)),"Não")</f>
        <v>Não</v>
      </c>
      <c r="O4440" t="str">
        <f>IFERROR(INDEX(tEditais[SRP],MATCH(tItens[[#This Row],[Edital]],tEditais[Edital],0)),"Não")</f>
        <v>Não</v>
      </c>
      <c r="P4440" s="4">
        <f>IF(COUNTIFS(INDEX(tItens[Edital],1):tItens[[#This Row],[Edital]],tItens[[#This Row],[Edital]],INDEX(tItens[Produto],1):tItens[[#This Row],[Produto]],tItens[[#This Row],[Produto]])=1,1,0)</f>
        <v>0</v>
      </c>
    </row>
    <row r="4441" spans="1:16" x14ac:dyDescent="0.25">
      <c r="A4441" t="s">
        <v>1804</v>
      </c>
      <c r="B4441">
        <v>48</v>
      </c>
      <c r="C4441" t="s">
        <v>7287</v>
      </c>
      <c r="D4441" t="s">
        <v>371</v>
      </c>
      <c r="E4441" s="13">
        <v>70</v>
      </c>
      <c r="F4441" s="12">
        <v>77.66</v>
      </c>
      <c r="G4441" t="str">
        <f>IFERROR(INDEX(tEditais[Órgão],MATCH(tItens[[#This Row],[Edital]],tEditais[Edital],0)),"")</f>
        <v>MUNICIPIO DE BREJO DOS SANTOS</v>
      </c>
      <c r="H4441" t="str">
        <f>IFERROR(INDEX(tEditais[UF],MATCH(tItens[[#This Row],[Edital]],tEditais[Edital],0)),"")</f>
        <v>PB</v>
      </c>
      <c r="I4441" s="11">
        <f>IFERROR(INDEX(tEditais[Encerramento],MATCH(tItens[[#This Row],[Edital]],tEditais[Edital],0)),"")</f>
        <v>46309.374305555553</v>
      </c>
      <c r="J4441" t="str">
        <f>IFERROR(INDEX(tProdutos[Classe],MATCH(tItens[[#This Row],[Produto]],tProdutos[Produto],0)),"produto não cadastrado")</f>
        <v>FORA</v>
      </c>
      <c r="K4441" s="12">
        <f>tItens[[#This Row],[Qtd]]*tItens[[#This Row],[Vlr unit]]</f>
        <v>5436.2</v>
      </c>
      <c r="L4441" s="6">
        <f>IFERROR(IF(INDEX(tProdutos[Desconto homologado],MATCH(tItens[[#This Row],[Produto]],tProdutos[Produto],0))="",DescontoPadrao,INDEX(tProdutos[Desconto homologado],MATCH(tItens[[#This Row],[Produto]],tProdutos[Produto],0))),DescontoPadrao)</f>
        <v>0.217826086956522</v>
      </c>
      <c r="M4441" s="12">
        <f>tItens[[#This Row],[Valor]]*(1-tItens[[#This Row],[Desconto]])</f>
        <v>4252.0538260869544</v>
      </c>
      <c r="N4441" t="str">
        <f>IFERROR(INDEX(tProdutos[Foco],MATCH(tItens[[#This Row],[Produto]],tProdutos[Produto],0)),"Não")</f>
        <v>Não</v>
      </c>
      <c r="O4441" t="str">
        <f>IFERROR(INDEX(tEditais[SRP],MATCH(tItens[[#This Row],[Edital]],tEditais[Edital],0)),"Não")</f>
        <v>Não</v>
      </c>
      <c r="P4441" s="4">
        <f>IF(COUNTIFS(INDEX(tItens[Edital],1):tItens[[#This Row],[Edital]],tItens[[#This Row],[Edital]],INDEX(tItens[Produto],1):tItens[[#This Row],[Produto]],tItens[[#This Row],[Produto]])=1,1,0)</f>
        <v>1</v>
      </c>
    </row>
    <row r="4442" spans="1:16" x14ac:dyDescent="0.25">
      <c r="A4442" t="s">
        <v>1804</v>
      </c>
      <c r="B4442">
        <v>49</v>
      </c>
      <c r="C4442" t="s">
        <v>7288</v>
      </c>
      <c r="D4442" t="s">
        <v>341</v>
      </c>
      <c r="E4442" s="13">
        <v>2000</v>
      </c>
      <c r="F4442" s="12">
        <v>27.29</v>
      </c>
      <c r="G4442" t="str">
        <f>IFERROR(INDEX(tEditais[Órgão],MATCH(tItens[[#This Row],[Edital]],tEditais[Edital],0)),"")</f>
        <v>MUNICIPIO DE BREJO DOS SANTOS</v>
      </c>
      <c r="H4442" t="str">
        <f>IFERROR(INDEX(tEditais[UF],MATCH(tItens[[#This Row],[Edital]],tEditais[Edital],0)),"")</f>
        <v>PB</v>
      </c>
      <c r="I4442" s="11">
        <f>IFERROR(INDEX(tEditais[Encerramento],MATCH(tItens[[#This Row],[Edital]],tEditais[Edital],0)),"")</f>
        <v>46309.374305555553</v>
      </c>
      <c r="J4442" t="str">
        <f>IFERROR(INDEX(tProdutos[Classe],MATCH(tItens[[#This Row],[Produto]],tProdutos[Produto],0)),"produto não cadastrado")</f>
        <v>FORA</v>
      </c>
      <c r="K4442" s="12">
        <f>tItens[[#This Row],[Qtd]]*tItens[[#This Row],[Vlr unit]]</f>
        <v>54580</v>
      </c>
      <c r="L4442" s="6">
        <f>IFERROR(IF(INDEX(tProdutos[Desconto homologado],MATCH(tItens[[#This Row],[Produto]],tProdutos[Produto],0))="",DescontoPadrao,INDEX(tProdutos[Desconto homologado],MATCH(tItens[[#This Row],[Produto]],tProdutos[Produto],0))),DescontoPadrao)</f>
        <v>0.46918578497525898</v>
      </c>
      <c r="M4442" s="12">
        <f>tItens[[#This Row],[Valor]]*(1-tItens[[#This Row],[Desconto]])</f>
        <v>28971.839856050367</v>
      </c>
      <c r="N4442" t="str">
        <f>IFERROR(INDEX(tProdutos[Foco],MATCH(tItens[[#This Row],[Produto]],tProdutos[Produto],0)),"Não")</f>
        <v>Não</v>
      </c>
      <c r="O4442" t="str">
        <f>IFERROR(INDEX(tEditais[SRP],MATCH(tItens[[#This Row],[Edital]],tEditais[Edital],0)),"Não")</f>
        <v>Não</v>
      </c>
      <c r="P4442" s="4">
        <f>IF(COUNTIFS(INDEX(tItens[Edital],1):tItens[[#This Row],[Edital]],tItens[[#This Row],[Edital]],INDEX(tItens[Produto],1):tItens[[#This Row],[Produto]],tItens[[#This Row],[Produto]])=1,1,0)</f>
        <v>1</v>
      </c>
    </row>
    <row r="4443" spans="1:16" x14ac:dyDescent="0.25">
      <c r="A4443" t="s">
        <v>1804</v>
      </c>
      <c r="B4443">
        <v>57</v>
      </c>
      <c r="C4443" t="s">
        <v>7289</v>
      </c>
      <c r="D4443" t="s">
        <v>299</v>
      </c>
      <c r="E4443" s="13">
        <v>1000</v>
      </c>
      <c r="F4443" s="12">
        <v>0.8</v>
      </c>
      <c r="G4443" t="str">
        <f>IFERROR(INDEX(tEditais[Órgão],MATCH(tItens[[#This Row],[Edital]],tEditais[Edital],0)),"")</f>
        <v>MUNICIPIO DE BREJO DOS SANTOS</v>
      </c>
      <c r="H4443" t="str">
        <f>IFERROR(INDEX(tEditais[UF],MATCH(tItens[[#This Row],[Edital]],tEditais[Edital],0)),"")</f>
        <v>PB</v>
      </c>
      <c r="I4443" s="11">
        <f>IFERROR(INDEX(tEditais[Encerramento],MATCH(tItens[[#This Row],[Edital]],tEditais[Edital],0)),"")</f>
        <v>46309.374305555553</v>
      </c>
      <c r="J4443" t="str">
        <f>IFERROR(INDEX(tProdutos[Classe],MATCH(tItens[[#This Row],[Produto]],tProdutos[Produto],0)),"produto não cadastrado")</f>
        <v>FORA</v>
      </c>
      <c r="K4443" s="12">
        <f>tItens[[#This Row],[Qtd]]*tItens[[#This Row],[Vlr unit]]</f>
        <v>800</v>
      </c>
      <c r="L4443" s="6">
        <f>IFERROR(IF(INDEX(tProdutos[Desconto homologado],MATCH(tItens[[#This Row],[Produto]],tProdutos[Produto],0))="",DescontoPadrao,INDEX(tProdutos[Desconto homologado],MATCH(tItens[[#This Row],[Produto]],tProdutos[Produto],0))),DescontoPadrao)</f>
        <v>0.42211465163381601</v>
      </c>
      <c r="M4443" s="12">
        <f>tItens[[#This Row],[Valor]]*(1-tItens[[#This Row],[Desconto]])</f>
        <v>462.30827869294717</v>
      </c>
      <c r="N4443" t="str">
        <f>IFERROR(INDEX(tProdutos[Foco],MATCH(tItens[[#This Row],[Produto]],tProdutos[Produto],0)),"Não")</f>
        <v>Não</v>
      </c>
      <c r="O4443" t="str">
        <f>IFERROR(INDEX(tEditais[SRP],MATCH(tItens[[#This Row],[Edital]],tEditais[Edital],0)),"Não")</f>
        <v>Não</v>
      </c>
      <c r="P4443" s="4">
        <f>IF(COUNTIFS(INDEX(tItens[Edital],1):tItens[[#This Row],[Edital]],tItens[[#This Row],[Edital]],INDEX(tItens[Produto],1):tItens[[#This Row],[Produto]],tItens[[#This Row],[Produto]])=1,1,0)</f>
        <v>1</v>
      </c>
    </row>
    <row r="4444" spans="1:16" x14ac:dyDescent="0.25">
      <c r="A4444" t="s">
        <v>1804</v>
      </c>
      <c r="B4444">
        <v>58</v>
      </c>
      <c r="C4444" t="s">
        <v>7290</v>
      </c>
      <c r="D4444" t="s">
        <v>299</v>
      </c>
      <c r="E4444" s="13">
        <v>1000</v>
      </c>
      <c r="F4444" s="12">
        <v>0.76</v>
      </c>
      <c r="G4444" t="str">
        <f>IFERROR(INDEX(tEditais[Órgão],MATCH(tItens[[#This Row],[Edital]],tEditais[Edital],0)),"")</f>
        <v>MUNICIPIO DE BREJO DOS SANTOS</v>
      </c>
      <c r="H4444" t="str">
        <f>IFERROR(INDEX(tEditais[UF],MATCH(tItens[[#This Row],[Edital]],tEditais[Edital],0)),"")</f>
        <v>PB</v>
      </c>
      <c r="I4444" s="11">
        <f>IFERROR(INDEX(tEditais[Encerramento],MATCH(tItens[[#This Row],[Edital]],tEditais[Edital],0)),"")</f>
        <v>46309.374305555553</v>
      </c>
      <c r="J4444" t="str">
        <f>IFERROR(INDEX(tProdutos[Classe],MATCH(tItens[[#This Row],[Produto]],tProdutos[Produto],0)),"produto não cadastrado")</f>
        <v>FORA</v>
      </c>
      <c r="K4444" s="12">
        <f>tItens[[#This Row],[Qtd]]*tItens[[#This Row],[Vlr unit]]</f>
        <v>760</v>
      </c>
      <c r="L4444" s="6">
        <f>IFERROR(IF(INDEX(tProdutos[Desconto homologado],MATCH(tItens[[#This Row],[Produto]],tProdutos[Produto],0))="",DescontoPadrao,INDEX(tProdutos[Desconto homologado],MATCH(tItens[[#This Row],[Produto]],tProdutos[Produto],0))),DescontoPadrao)</f>
        <v>0.42211465163381601</v>
      </c>
      <c r="M4444" s="12">
        <f>tItens[[#This Row],[Valor]]*(1-tItens[[#This Row],[Desconto]])</f>
        <v>439.19286475829983</v>
      </c>
      <c r="N4444" t="str">
        <f>IFERROR(INDEX(tProdutos[Foco],MATCH(tItens[[#This Row],[Produto]],tProdutos[Produto],0)),"Não")</f>
        <v>Não</v>
      </c>
      <c r="O4444" t="str">
        <f>IFERROR(INDEX(tEditais[SRP],MATCH(tItens[[#This Row],[Edital]],tEditais[Edital],0)),"Não")</f>
        <v>Não</v>
      </c>
      <c r="P4444" s="4">
        <f>IF(COUNTIFS(INDEX(tItens[Edital],1):tItens[[#This Row],[Edital]],tItens[[#This Row],[Edital]],INDEX(tItens[Produto],1):tItens[[#This Row],[Produto]],tItens[[#This Row],[Produto]])=1,1,0)</f>
        <v>0</v>
      </c>
    </row>
    <row r="4445" spans="1:16" x14ac:dyDescent="0.25">
      <c r="A4445" t="s">
        <v>1804</v>
      </c>
      <c r="B4445">
        <v>59</v>
      </c>
      <c r="C4445" t="s">
        <v>7291</v>
      </c>
      <c r="D4445" t="s">
        <v>333</v>
      </c>
      <c r="E4445" s="13">
        <v>15000</v>
      </c>
      <c r="F4445" s="12">
        <v>1.69</v>
      </c>
      <c r="G4445" t="str">
        <f>IFERROR(INDEX(tEditais[Órgão],MATCH(tItens[[#This Row],[Edital]],tEditais[Edital],0)),"")</f>
        <v>MUNICIPIO DE BREJO DOS SANTOS</v>
      </c>
      <c r="H4445" t="str">
        <f>IFERROR(INDEX(tEditais[UF],MATCH(tItens[[#This Row],[Edital]],tEditais[Edital],0)),"")</f>
        <v>PB</v>
      </c>
      <c r="I4445" s="11">
        <f>IFERROR(INDEX(tEditais[Encerramento],MATCH(tItens[[#This Row],[Edital]],tEditais[Edital],0)),"")</f>
        <v>46309.374305555553</v>
      </c>
      <c r="J4445" t="str">
        <f>IFERROR(INDEX(tProdutos[Classe],MATCH(tItens[[#This Row],[Produto]],tProdutos[Produto],0)),"produto não cadastrado")</f>
        <v>FORA</v>
      </c>
      <c r="K4445" s="12">
        <f>tItens[[#This Row],[Qtd]]*tItens[[#This Row],[Vlr unit]]</f>
        <v>25350</v>
      </c>
      <c r="L4445" s="6">
        <f>IFERROR(IF(INDEX(tProdutos[Desconto homologado],MATCH(tItens[[#This Row],[Produto]],tProdutos[Produto],0))="",DescontoPadrao,INDEX(tProdutos[Desconto homologado],MATCH(tItens[[#This Row],[Produto]],tProdutos[Produto],0))),DescontoPadrao)</f>
        <v>0.48951048951048998</v>
      </c>
      <c r="M4445" s="12">
        <f>tItens[[#This Row],[Valor]]*(1-tItens[[#This Row],[Desconto]])</f>
        <v>12940.909090909077</v>
      </c>
      <c r="N4445" t="str">
        <f>IFERROR(INDEX(tProdutos[Foco],MATCH(tItens[[#This Row],[Produto]],tProdutos[Produto],0)),"Não")</f>
        <v>Não</v>
      </c>
      <c r="O4445" t="str">
        <f>IFERROR(INDEX(tEditais[SRP],MATCH(tItens[[#This Row],[Edital]],tEditais[Edital],0)),"Não")</f>
        <v>Não</v>
      </c>
      <c r="P4445" s="4">
        <f>IF(COUNTIFS(INDEX(tItens[Edital],1):tItens[[#This Row],[Edital]],tItens[[#This Row],[Edital]],INDEX(tItens[Produto],1):tItens[[#This Row],[Produto]],tItens[[#This Row],[Produto]])=1,1,0)</f>
        <v>1</v>
      </c>
    </row>
    <row r="4446" spans="1:16" x14ac:dyDescent="0.25">
      <c r="A4446" t="s">
        <v>1804</v>
      </c>
      <c r="B4446">
        <v>60</v>
      </c>
      <c r="C4446" t="s">
        <v>7292</v>
      </c>
      <c r="D4446" t="s">
        <v>187</v>
      </c>
      <c r="E4446" s="13">
        <v>2000</v>
      </c>
      <c r="F4446" s="12">
        <v>2.14</v>
      </c>
      <c r="G4446" t="str">
        <f>IFERROR(INDEX(tEditais[Órgão],MATCH(tItens[[#This Row],[Edital]],tEditais[Edital],0)),"")</f>
        <v>MUNICIPIO DE BREJO DOS SANTOS</v>
      </c>
      <c r="H4446" t="str">
        <f>IFERROR(INDEX(tEditais[UF],MATCH(tItens[[#This Row],[Edital]],tEditais[Edital],0)),"")</f>
        <v>PB</v>
      </c>
      <c r="I4446" s="11">
        <f>IFERROR(INDEX(tEditais[Encerramento],MATCH(tItens[[#This Row],[Edital]],tEditais[Edital],0)),"")</f>
        <v>46309.374305555553</v>
      </c>
      <c r="J4446" t="str">
        <f>IFERROR(INDEX(tProdutos[Classe],MATCH(tItens[[#This Row],[Produto]],tProdutos[Produto],0)),"produto não cadastrado")</f>
        <v>DISPUTADO</v>
      </c>
      <c r="K4446" s="12">
        <f>tItens[[#This Row],[Qtd]]*tItens[[#This Row],[Vlr unit]]</f>
        <v>4280</v>
      </c>
      <c r="L4446" s="6">
        <f>IFERROR(IF(INDEX(tProdutos[Desconto homologado],MATCH(tItens[[#This Row],[Produto]],tProdutos[Produto],0))="",DescontoPadrao,INDEX(tProdutos[Desconto homologado],MATCH(tItens[[#This Row],[Produto]],tProdutos[Produto],0))),DescontoPadrao)</f>
        <v>0.44298820445609399</v>
      </c>
      <c r="M4446" s="12">
        <f>tItens[[#This Row],[Valor]]*(1-tItens[[#This Row],[Desconto]])</f>
        <v>2384.0104849279178</v>
      </c>
      <c r="N4446" t="str">
        <f>IFERROR(INDEX(tProdutos[Foco],MATCH(tItens[[#This Row],[Produto]],tProdutos[Produto],0)),"Não")</f>
        <v>Não</v>
      </c>
      <c r="O4446" t="str">
        <f>IFERROR(INDEX(tEditais[SRP],MATCH(tItens[[#This Row],[Edital]],tEditais[Edital],0)),"Não")</f>
        <v>Não</v>
      </c>
      <c r="P4446" s="4">
        <f>IF(COUNTIFS(INDEX(tItens[Edital],1):tItens[[#This Row],[Edital]],tItens[[#This Row],[Edital]],INDEX(tItens[Produto],1):tItens[[#This Row],[Produto]],tItens[[#This Row],[Produto]])=1,1,0)</f>
        <v>1</v>
      </c>
    </row>
    <row r="4447" spans="1:16" x14ac:dyDescent="0.25">
      <c r="A4447" t="s">
        <v>1804</v>
      </c>
      <c r="B4447">
        <v>61</v>
      </c>
      <c r="C4447" t="s">
        <v>7293</v>
      </c>
      <c r="D4447" t="s">
        <v>229</v>
      </c>
      <c r="E4447" s="13">
        <v>500</v>
      </c>
      <c r="F4447" s="12">
        <v>58.04</v>
      </c>
      <c r="G4447" t="str">
        <f>IFERROR(INDEX(tEditais[Órgão],MATCH(tItens[[#This Row],[Edital]],tEditais[Edital],0)),"")</f>
        <v>MUNICIPIO DE BREJO DOS SANTOS</v>
      </c>
      <c r="H4447" t="str">
        <f>IFERROR(INDEX(tEditais[UF],MATCH(tItens[[#This Row],[Edital]],tEditais[Edital],0)),"")</f>
        <v>PB</v>
      </c>
      <c r="I4447" s="11">
        <f>IFERROR(INDEX(tEditais[Encerramento],MATCH(tItens[[#This Row],[Edital]],tEditais[Edital],0)),"")</f>
        <v>46309.374305555553</v>
      </c>
      <c r="J4447" t="str">
        <f>IFERROR(INDEX(tProdutos[Classe],MATCH(tItens[[#This Row],[Produto]],tProdutos[Produto],0)),"produto não cadastrado")</f>
        <v>FORA</v>
      </c>
      <c r="K4447" s="12">
        <f>tItens[[#This Row],[Qtd]]*tItens[[#This Row],[Vlr unit]]</f>
        <v>29020</v>
      </c>
      <c r="L4447" s="6">
        <f>IFERROR(IF(INDEX(tProdutos[Desconto homologado],MATCH(tItens[[#This Row],[Produto]],tProdutos[Produto],0))="",DescontoPadrao,INDEX(tProdutos[Desconto homologado],MATCH(tItens[[#This Row],[Produto]],tProdutos[Produto],0))),DescontoPadrao)</f>
        <v>0.33093491191658198</v>
      </c>
      <c r="M4447" s="12">
        <f>tItens[[#This Row],[Valor]]*(1-tItens[[#This Row],[Desconto]])</f>
        <v>19416.268856180792</v>
      </c>
      <c r="N4447" t="str">
        <f>IFERROR(INDEX(tProdutos[Foco],MATCH(tItens[[#This Row],[Produto]],tProdutos[Produto],0)),"Não")</f>
        <v>Não</v>
      </c>
      <c r="O4447" t="str">
        <f>IFERROR(INDEX(tEditais[SRP],MATCH(tItens[[#This Row],[Edital]],tEditais[Edital],0)),"Não")</f>
        <v>Não</v>
      </c>
      <c r="P4447" s="4">
        <f>IF(COUNTIFS(INDEX(tItens[Edital],1):tItens[[#This Row],[Edital]],tItens[[#This Row],[Edital]],INDEX(tItens[Produto],1):tItens[[#This Row],[Produto]],tItens[[#This Row],[Produto]])=1,1,0)</f>
        <v>1</v>
      </c>
    </row>
    <row r="4448" spans="1:16" x14ac:dyDescent="0.25">
      <c r="A4448" t="s">
        <v>1804</v>
      </c>
      <c r="B4448">
        <v>66</v>
      </c>
      <c r="C4448" t="s">
        <v>7294</v>
      </c>
      <c r="D4448" t="s">
        <v>75</v>
      </c>
      <c r="E4448" s="13">
        <v>1000</v>
      </c>
      <c r="F4448" s="12">
        <v>2.06</v>
      </c>
      <c r="G4448" t="str">
        <f>IFERROR(INDEX(tEditais[Órgão],MATCH(tItens[[#This Row],[Edital]],tEditais[Edital],0)),"")</f>
        <v>MUNICIPIO DE BREJO DOS SANTOS</v>
      </c>
      <c r="H4448" t="str">
        <f>IFERROR(INDEX(tEditais[UF],MATCH(tItens[[#This Row],[Edital]],tEditais[Edital],0)),"")</f>
        <v>PB</v>
      </c>
      <c r="I4448" s="11">
        <f>IFERROR(INDEX(tEditais[Encerramento],MATCH(tItens[[#This Row],[Edital]],tEditais[Edital],0)),"")</f>
        <v>46309.374305555553</v>
      </c>
      <c r="J4448" t="str">
        <f>IFERROR(INDEX(tProdutos[Classe],MATCH(tItens[[#This Row],[Produto]],tProdutos[Produto],0)),"produto não cadastrado")</f>
        <v>NÚCLEO</v>
      </c>
      <c r="K4448" s="12">
        <f>tItens[[#This Row],[Qtd]]*tItens[[#This Row],[Vlr unit]]</f>
        <v>2060</v>
      </c>
      <c r="L4448" s="6">
        <f>IFERROR(IF(INDEX(tProdutos[Desconto homologado],MATCH(tItens[[#This Row],[Produto]],tProdutos[Produto],0))="",DescontoPadrao,INDEX(tProdutos[Desconto homologado],MATCH(tItens[[#This Row],[Produto]],tProdutos[Produto],0))),DescontoPadrao)</f>
        <v>0.26</v>
      </c>
      <c r="M4448" s="12">
        <f>tItens[[#This Row],[Valor]]*(1-tItens[[#This Row],[Desconto]])</f>
        <v>1524.4</v>
      </c>
      <c r="N4448" t="str">
        <f>IFERROR(INDEX(tProdutos[Foco],MATCH(tItens[[#This Row],[Produto]],tProdutos[Produto],0)),"Não")</f>
        <v>Sim</v>
      </c>
      <c r="O4448" t="str">
        <f>IFERROR(INDEX(tEditais[SRP],MATCH(tItens[[#This Row],[Edital]],tEditais[Edital],0)),"Não")</f>
        <v>Não</v>
      </c>
      <c r="P4448" s="4">
        <f>IF(COUNTIFS(INDEX(tItens[Edital],1):tItens[[#This Row],[Edital]],tItens[[#This Row],[Edital]],INDEX(tItens[Produto],1):tItens[[#This Row],[Produto]],tItens[[#This Row],[Produto]])=1,1,0)</f>
        <v>1</v>
      </c>
    </row>
    <row r="4449" spans="1:16" x14ac:dyDescent="0.25">
      <c r="A4449" t="s">
        <v>1804</v>
      </c>
      <c r="B4449">
        <v>67</v>
      </c>
      <c r="C4449" t="s">
        <v>7295</v>
      </c>
      <c r="D4449" t="s">
        <v>75</v>
      </c>
      <c r="E4449" s="13">
        <v>500</v>
      </c>
      <c r="F4449" s="12">
        <v>2.1</v>
      </c>
      <c r="G4449" t="str">
        <f>IFERROR(INDEX(tEditais[Órgão],MATCH(tItens[[#This Row],[Edital]],tEditais[Edital],0)),"")</f>
        <v>MUNICIPIO DE BREJO DOS SANTOS</v>
      </c>
      <c r="H4449" t="str">
        <f>IFERROR(INDEX(tEditais[UF],MATCH(tItens[[#This Row],[Edital]],tEditais[Edital],0)),"")</f>
        <v>PB</v>
      </c>
      <c r="I4449" s="11">
        <f>IFERROR(INDEX(tEditais[Encerramento],MATCH(tItens[[#This Row],[Edital]],tEditais[Edital],0)),"")</f>
        <v>46309.374305555553</v>
      </c>
      <c r="J4449" t="str">
        <f>IFERROR(INDEX(tProdutos[Classe],MATCH(tItens[[#This Row],[Produto]],tProdutos[Produto],0)),"produto não cadastrado")</f>
        <v>NÚCLEO</v>
      </c>
      <c r="K4449" s="12">
        <f>tItens[[#This Row],[Qtd]]*tItens[[#This Row],[Vlr unit]]</f>
        <v>1050</v>
      </c>
      <c r="L4449" s="6">
        <f>IFERROR(IF(INDEX(tProdutos[Desconto homologado],MATCH(tItens[[#This Row],[Produto]],tProdutos[Produto],0))="",DescontoPadrao,INDEX(tProdutos[Desconto homologado],MATCH(tItens[[#This Row],[Produto]],tProdutos[Produto],0))),DescontoPadrao)</f>
        <v>0.26</v>
      </c>
      <c r="M4449" s="12">
        <f>tItens[[#This Row],[Valor]]*(1-tItens[[#This Row],[Desconto]])</f>
        <v>777</v>
      </c>
      <c r="N4449" t="str">
        <f>IFERROR(INDEX(tProdutos[Foco],MATCH(tItens[[#This Row],[Produto]],tProdutos[Produto],0)),"Não")</f>
        <v>Sim</v>
      </c>
      <c r="O4449" t="str">
        <f>IFERROR(INDEX(tEditais[SRP],MATCH(tItens[[#This Row],[Edital]],tEditais[Edital],0)),"Não")</f>
        <v>Não</v>
      </c>
      <c r="P4449" s="4">
        <f>IF(COUNTIFS(INDEX(tItens[Edital],1):tItens[[#This Row],[Edital]],tItens[[#This Row],[Edital]],INDEX(tItens[Produto],1):tItens[[#This Row],[Produto]],tItens[[#This Row],[Produto]])=1,1,0)</f>
        <v>0</v>
      </c>
    </row>
    <row r="4450" spans="1:16" x14ac:dyDescent="0.25">
      <c r="A4450" t="s">
        <v>1804</v>
      </c>
      <c r="B4450">
        <v>68</v>
      </c>
      <c r="C4450" t="s">
        <v>7296</v>
      </c>
      <c r="D4450" t="s">
        <v>90</v>
      </c>
      <c r="E4450" s="13">
        <v>3000</v>
      </c>
      <c r="F4450" s="12">
        <v>16.02</v>
      </c>
      <c r="G4450" t="str">
        <f>IFERROR(INDEX(tEditais[Órgão],MATCH(tItens[[#This Row],[Edital]],tEditais[Edital],0)),"")</f>
        <v>MUNICIPIO DE BREJO DOS SANTOS</v>
      </c>
      <c r="H4450" t="str">
        <f>IFERROR(INDEX(tEditais[UF],MATCH(tItens[[#This Row],[Edital]],tEditais[Edital],0)),"")</f>
        <v>PB</v>
      </c>
      <c r="I4450" s="11">
        <f>IFERROR(INDEX(tEditais[Encerramento],MATCH(tItens[[#This Row],[Edital]],tEditais[Edital],0)),"")</f>
        <v>46309.374305555553</v>
      </c>
      <c r="J4450" t="str">
        <f>IFERROR(INDEX(tProdutos[Classe],MATCH(tItens[[#This Row],[Produto]],tProdutos[Produto],0)),"produto não cadastrado")</f>
        <v>DISPUTADO</v>
      </c>
      <c r="K4450" s="12">
        <f>tItens[[#This Row],[Qtd]]*tItens[[#This Row],[Vlr unit]]</f>
        <v>48060</v>
      </c>
      <c r="L4450" s="6">
        <f>IFERROR(IF(INDEX(tProdutos[Desconto homologado],MATCH(tItens[[#This Row],[Produto]],tProdutos[Produto],0))="",DescontoPadrao,INDEX(tProdutos[Desconto homologado],MATCH(tItens[[#This Row],[Produto]],tProdutos[Produto],0))),DescontoPadrao)</f>
        <v>0.25393823957010597</v>
      </c>
      <c r="M4450" s="12">
        <f>tItens[[#This Row],[Valor]]*(1-tItens[[#This Row],[Desconto]])</f>
        <v>35855.728206260705</v>
      </c>
      <c r="N4450" t="str">
        <f>IFERROR(INDEX(tProdutos[Foco],MATCH(tItens[[#This Row],[Produto]],tProdutos[Produto],0)),"Não")</f>
        <v>Não</v>
      </c>
      <c r="O4450" t="str">
        <f>IFERROR(INDEX(tEditais[SRP],MATCH(tItens[[#This Row],[Edital]],tEditais[Edital],0)),"Não")</f>
        <v>Não</v>
      </c>
      <c r="P4450" s="4">
        <f>IF(COUNTIFS(INDEX(tItens[Edital],1):tItens[[#This Row],[Edital]],tItens[[#This Row],[Edital]],INDEX(tItens[Produto],1):tItens[[#This Row],[Produto]],tItens[[#This Row],[Produto]])=1,1,0)</f>
        <v>1</v>
      </c>
    </row>
    <row r="4451" spans="1:16" x14ac:dyDescent="0.25">
      <c r="A4451" t="s">
        <v>1804</v>
      </c>
      <c r="B4451">
        <v>104</v>
      </c>
      <c r="C4451" t="s">
        <v>142</v>
      </c>
      <c r="D4451" t="s">
        <v>142</v>
      </c>
      <c r="E4451" s="13">
        <v>200</v>
      </c>
      <c r="F4451" s="12">
        <v>10.67</v>
      </c>
      <c r="G4451" t="str">
        <f>IFERROR(INDEX(tEditais[Órgão],MATCH(tItens[[#This Row],[Edital]],tEditais[Edital],0)),"")</f>
        <v>MUNICIPIO DE BREJO DOS SANTOS</v>
      </c>
      <c r="H4451" t="str">
        <f>IFERROR(INDEX(tEditais[UF],MATCH(tItens[[#This Row],[Edital]],tEditais[Edital],0)),"")</f>
        <v>PB</v>
      </c>
      <c r="I4451" s="11">
        <f>IFERROR(INDEX(tEditais[Encerramento],MATCH(tItens[[#This Row],[Edital]],tEditais[Edital],0)),"")</f>
        <v>46309.374305555553</v>
      </c>
      <c r="J4451" t="str">
        <f>IFERROR(INDEX(tProdutos[Classe],MATCH(tItens[[#This Row],[Produto]],tProdutos[Produto],0)),"produto não cadastrado")</f>
        <v>DISPUTADO</v>
      </c>
      <c r="K4451" s="12">
        <f>tItens[[#This Row],[Qtd]]*tItens[[#This Row],[Vlr unit]]</f>
        <v>2134</v>
      </c>
      <c r="L4451" s="6">
        <f>IFERROR(IF(INDEX(tProdutos[Desconto homologado],MATCH(tItens[[#This Row],[Produto]],tProdutos[Produto],0))="",DescontoPadrao,INDEX(tProdutos[Desconto homologado],MATCH(tItens[[#This Row],[Produto]],tProdutos[Produto],0))),DescontoPadrao)</f>
        <v>0.37093619495691699</v>
      </c>
      <c r="M4451" s="12">
        <f>tItens[[#This Row],[Valor]]*(1-tItens[[#This Row],[Desconto]])</f>
        <v>1342.4221599619391</v>
      </c>
      <c r="N4451" t="str">
        <f>IFERROR(INDEX(tProdutos[Foco],MATCH(tItens[[#This Row],[Produto]],tProdutos[Produto],0)),"Não")</f>
        <v>Não</v>
      </c>
      <c r="O4451" t="str">
        <f>IFERROR(INDEX(tEditais[SRP],MATCH(tItens[[#This Row],[Edital]],tEditais[Edital],0)),"Não")</f>
        <v>Não</v>
      </c>
      <c r="P4451" s="4">
        <f>IF(COUNTIFS(INDEX(tItens[Edital],1):tItens[[#This Row],[Edital]],tItens[[#This Row],[Edital]],INDEX(tItens[Produto],1):tItens[[#This Row],[Produto]],tItens[[#This Row],[Produto]])=1,1,0)</f>
        <v>1</v>
      </c>
    </row>
    <row r="4452" spans="1:16" x14ac:dyDescent="0.25">
      <c r="A4452" t="s">
        <v>1804</v>
      </c>
      <c r="B4452">
        <v>106</v>
      </c>
      <c r="C4452" t="s">
        <v>7297</v>
      </c>
      <c r="D4452" t="s">
        <v>467</v>
      </c>
      <c r="E4452" s="13">
        <v>200</v>
      </c>
      <c r="F4452" s="12">
        <v>24.51</v>
      </c>
      <c r="G4452" t="str">
        <f>IFERROR(INDEX(tEditais[Órgão],MATCH(tItens[[#This Row],[Edital]],tEditais[Edital],0)),"")</f>
        <v>MUNICIPIO DE BREJO DOS SANTOS</v>
      </c>
      <c r="H4452" t="str">
        <f>IFERROR(INDEX(tEditais[UF],MATCH(tItens[[#This Row],[Edital]],tEditais[Edital],0)),"")</f>
        <v>PB</v>
      </c>
      <c r="I4452" s="11">
        <f>IFERROR(INDEX(tEditais[Encerramento],MATCH(tItens[[#This Row],[Edital]],tEditais[Edital],0)),"")</f>
        <v>46309.374305555553</v>
      </c>
      <c r="J4452" t="str">
        <f>IFERROR(INDEX(tProdutos[Classe],MATCH(tItens[[#This Row],[Produto]],tProdutos[Produto],0)),"produto não cadastrado")</f>
        <v>FILA REBASE</v>
      </c>
      <c r="K4452" s="12">
        <f>tItens[[#This Row],[Qtd]]*tItens[[#This Row],[Vlr unit]]</f>
        <v>4902</v>
      </c>
      <c r="L4452" s="6">
        <f>IFERROR(IF(INDEX(tProdutos[Desconto homologado],MATCH(tItens[[#This Row],[Produto]],tProdutos[Produto],0))="",DescontoPadrao,INDEX(tProdutos[Desconto homologado],MATCH(tItens[[#This Row],[Produto]],tProdutos[Produto],0))),DescontoPadrao)</f>
        <v>0.25007144898542499</v>
      </c>
      <c r="M4452" s="12">
        <f>tItens[[#This Row],[Valor]]*(1-tItens[[#This Row],[Desconto]])</f>
        <v>3676.1497570734468</v>
      </c>
      <c r="N4452" t="str">
        <f>IFERROR(INDEX(tProdutos[Foco],MATCH(tItens[[#This Row],[Produto]],tProdutos[Produto],0)),"Não")</f>
        <v>Não</v>
      </c>
      <c r="O4452" t="str">
        <f>IFERROR(INDEX(tEditais[SRP],MATCH(tItens[[#This Row],[Edital]],tEditais[Edital],0)),"Não")</f>
        <v>Não</v>
      </c>
      <c r="P4452" s="4">
        <f>IF(COUNTIFS(INDEX(tItens[Edital],1):tItens[[#This Row],[Edital]],tItens[[#This Row],[Edital]],INDEX(tItens[Produto],1):tItens[[#This Row],[Produto]],tItens[[#This Row],[Produto]])=1,1,0)</f>
        <v>1</v>
      </c>
    </row>
    <row r="4453" spans="1:16" x14ac:dyDescent="0.25">
      <c r="A4453" t="s">
        <v>1804</v>
      </c>
      <c r="B4453">
        <v>113</v>
      </c>
      <c r="C4453" t="s">
        <v>7298</v>
      </c>
      <c r="D4453" t="s">
        <v>277</v>
      </c>
      <c r="E4453" s="13">
        <v>500</v>
      </c>
      <c r="F4453" s="12">
        <v>18</v>
      </c>
      <c r="G4453" t="str">
        <f>IFERROR(INDEX(tEditais[Órgão],MATCH(tItens[[#This Row],[Edital]],tEditais[Edital],0)),"")</f>
        <v>MUNICIPIO DE BREJO DOS SANTOS</v>
      </c>
      <c r="H4453" t="str">
        <f>IFERROR(INDEX(tEditais[UF],MATCH(tItens[[#This Row],[Edital]],tEditais[Edital],0)),"")</f>
        <v>PB</v>
      </c>
      <c r="I4453" s="11">
        <f>IFERROR(INDEX(tEditais[Encerramento],MATCH(tItens[[#This Row],[Edital]],tEditais[Edital],0)),"")</f>
        <v>46309.374305555553</v>
      </c>
      <c r="J4453" t="str">
        <f>IFERROR(INDEX(tProdutos[Classe],MATCH(tItens[[#This Row],[Produto]],tProdutos[Produto],0)),"produto não cadastrado")</f>
        <v>DISPUTADO</v>
      </c>
      <c r="K4453" s="12">
        <f>tItens[[#This Row],[Qtd]]*tItens[[#This Row],[Vlr unit]]</f>
        <v>9000</v>
      </c>
      <c r="L4453" s="6">
        <f>IFERROR(IF(INDEX(tProdutos[Desconto homologado],MATCH(tItens[[#This Row],[Produto]],tProdutos[Produto],0))="",DescontoPadrao,INDEX(tProdutos[Desconto homologado],MATCH(tItens[[#This Row],[Produto]],tProdutos[Produto],0))),DescontoPadrao)</f>
        <v>0.50460666194188497</v>
      </c>
      <c r="M4453" s="12">
        <f>tItens[[#This Row],[Valor]]*(1-tItens[[#This Row],[Desconto]])</f>
        <v>4458.5400425230355</v>
      </c>
      <c r="N4453" t="str">
        <f>IFERROR(INDEX(tProdutos[Foco],MATCH(tItens[[#This Row],[Produto]],tProdutos[Produto],0)),"Não")</f>
        <v>Não</v>
      </c>
      <c r="O4453" t="str">
        <f>IFERROR(INDEX(tEditais[SRP],MATCH(tItens[[#This Row],[Edital]],tEditais[Edital],0)),"Não")</f>
        <v>Não</v>
      </c>
      <c r="P4453" s="4">
        <f>IF(COUNTIFS(INDEX(tItens[Edital],1):tItens[[#This Row],[Edital]],tItens[[#This Row],[Edital]],INDEX(tItens[Produto],1):tItens[[#This Row],[Produto]],tItens[[#This Row],[Produto]])=1,1,0)</f>
        <v>1</v>
      </c>
    </row>
    <row r="4454" spans="1:16" x14ac:dyDescent="0.25">
      <c r="A4454" t="s">
        <v>1804</v>
      </c>
      <c r="B4454">
        <v>114</v>
      </c>
      <c r="C4454" t="s">
        <v>7299</v>
      </c>
      <c r="D4454" t="s">
        <v>56</v>
      </c>
      <c r="E4454" s="13">
        <v>20</v>
      </c>
      <c r="F4454" s="12">
        <v>31.94</v>
      </c>
      <c r="G4454" t="str">
        <f>IFERROR(INDEX(tEditais[Órgão],MATCH(tItens[[#This Row],[Edital]],tEditais[Edital],0)),"")</f>
        <v>MUNICIPIO DE BREJO DOS SANTOS</v>
      </c>
      <c r="H4454" t="str">
        <f>IFERROR(INDEX(tEditais[UF],MATCH(tItens[[#This Row],[Edital]],tEditais[Edital],0)),"")</f>
        <v>PB</v>
      </c>
      <c r="I4454" s="11">
        <f>IFERROR(INDEX(tEditais[Encerramento],MATCH(tItens[[#This Row],[Edital]],tEditais[Edital],0)),"")</f>
        <v>46309.374305555553</v>
      </c>
      <c r="J4454" t="str">
        <f>IFERROR(INDEX(tProdutos[Classe],MATCH(tItens[[#This Row],[Produto]],tProdutos[Produto],0)),"produto não cadastrado")</f>
        <v>NÚCLEO</v>
      </c>
      <c r="K4454" s="12">
        <f>tItens[[#This Row],[Qtd]]*tItens[[#This Row],[Vlr unit]]</f>
        <v>638.80000000000007</v>
      </c>
      <c r="L4454" s="6">
        <f>IFERROR(IF(INDEX(tProdutos[Desconto homologado],MATCH(tItens[[#This Row],[Produto]],tProdutos[Produto],0))="",DescontoPadrao,INDEX(tProdutos[Desconto homologado],MATCH(tItens[[#This Row],[Produto]],tProdutos[Produto],0))),DescontoPadrao)</f>
        <v>0.34</v>
      </c>
      <c r="M4454" s="12">
        <f>tItens[[#This Row],[Valor]]*(1-tItens[[#This Row],[Desconto]])</f>
        <v>421.608</v>
      </c>
      <c r="N4454" t="str">
        <f>IFERROR(INDEX(tProdutos[Foco],MATCH(tItens[[#This Row],[Produto]],tProdutos[Produto],0)),"Não")</f>
        <v>Sim</v>
      </c>
      <c r="O4454" t="str">
        <f>IFERROR(INDEX(tEditais[SRP],MATCH(tItens[[#This Row],[Edital]],tEditais[Edital],0)),"Não")</f>
        <v>Não</v>
      </c>
      <c r="P4454" s="4">
        <f>IF(COUNTIFS(INDEX(tItens[Edital],1):tItens[[#This Row],[Edital]],tItens[[#This Row],[Edital]],INDEX(tItens[Produto],1):tItens[[#This Row],[Produto]],tItens[[#This Row],[Produto]])=1,1,0)</f>
        <v>1</v>
      </c>
    </row>
    <row r="4455" spans="1:16" x14ac:dyDescent="0.25">
      <c r="A4455" t="s">
        <v>1804</v>
      </c>
      <c r="B4455">
        <v>115</v>
      </c>
      <c r="C4455" t="s">
        <v>7300</v>
      </c>
      <c r="D4455" t="s">
        <v>56</v>
      </c>
      <c r="E4455" s="13">
        <v>40</v>
      </c>
      <c r="F4455" s="12">
        <v>35.9</v>
      </c>
      <c r="G4455" t="str">
        <f>IFERROR(INDEX(tEditais[Órgão],MATCH(tItens[[#This Row],[Edital]],tEditais[Edital],0)),"")</f>
        <v>MUNICIPIO DE BREJO DOS SANTOS</v>
      </c>
      <c r="H4455" t="str">
        <f>IFERROR(INDEX(tEditais[UF],MATCH(tItens[[#This Row],[Edital]],tEditais[Edital],0)),"")</f>
        <v>PB</v>
      </c>
      <c r="I4455" s="11">
        <f>IFERROR(INDEX(tEditais[Encerramento],MATCH(tItens[[#This Row],[Edital]],tEditais[Edital],0)),"")</f>
        <v>46309.374305555553</v>
      </c>
      <c r="J4455" t="str">
        <f>IFERROR(INDEX(tProdutos[Classe],MATCH(tItens[[#This Row],[Produto]],tProdutos[Produto],0)),"produto não cadastrado")</f>
        <v>NÚCLEO</v>
      </c>
      <c r="K4455" s="12">
        <f>tItens[[#This Row],[Qtd]]*tItens[[#This Row],[Vlr unit]]</f>
        <v>1436</v>
      </c>
      <c r="L4455" s="6">
        <f>IFERROR(IF(INDEX(tProdutos[Desconto homologado],MATCH(tItens[[#This Row],[Produto]],tProdutos[Produto],0))="",DescontoPadrao,INDEX(tProdutos[Desconto homologado],MATCH(tItens[[#This Row],[Produto]],tProdutos[Produto],0))),DescontoPadrao)</f>
        <v>0.34</v>
      </c>
      <c r="M4455" s="12">
        <f>tItens[[#This Row],[Valor]]*(1-tItens[[#This Row],[Desconto]])</f>
        <v>947.75999999999988</v>
      </c>
      <c r="N4455" t="str">
        <f>IFERROR(INDEX(tProdutos[Foco],MATCH(tItens[[#This Row],[Produto]],tProdutos[Produto],0)),"Não")</f>
        <v>Sim</v>
      </c>
      <c r="O4455" t="str">
        <f>IFERROR(INDEX(tEditais[SRP],MATCH(tItens[[#This Row],[Edital]],tEditais[Edital],0)),"Não")</f>
        <v>Não</v>
      </c>
      <c r="P4455" s="4">
        <f>IF(COUNTIFS(INDEX(tItens[Edital],1):tItens[[#This Row],[Edital]],tItens[[#This Row],[Edital]],INDEX(tItens[Produto],1):tItens[[#This Row],[Produto]],tItens[[#This Row],[Produto]])=1,1,0)</f>
        <v>0</v>
      </c>
    </row>
    <row r="4456" spans="1:16" x14ac:dyDescent="0.25">
      <c r="A4456" t="s">
        <v>1804</v>
      </c>
      <c r="B4456">
        <v>116</v>
      </c>
      <c r="C4456" t="s">
        <v>7301</v>
      </c>
      <c r="D4456" t="s">
        <v>56</v>
      </c>
      <c r="E4456" s="13">
        <v>30</v>
      </c>
      <c r="F4456" s="12">
        <v>35.1</v>
      </c>
      <c r="G4456" t="str">
        <f>IFERROR(INDEX(tEditais[Órgão],MATCH(tItens[[#This Row],[Edital]],tEditais[Edital],0)),"")</f>
        <v>MUNICIPIO DE BREJO DOS SANTOS</v>
      </c>
      <c r="H4456" t="str">
        <f>IFERROR(INDEX(tEditais[UF],MATCH(tItens[[#This Row],[Edital]],tEditais[Edital],0)),"")</f>
        <v>PB</v>
      </c>
      <c r="I4456" s="11">
        <f>IFERROR(INDEX(tEditais[Encerramento],MATCH(tItens[[#This Row],[Edital]],tEditais[Edital],0)),"")</f>
        <v>46309.374305555553</v>
      </c>
      <c r="J4456" t="str">
        <f>IFERROR(INDEX(tProdutos[Classe],MATCH(tItens[[#This Row],[Produto]],tProdutos[Produto],0)),"produto não cadastrado")</f>
        <v>NÚCLEO</v>
      </c>
      <c r="K4456" s="12">
        <f>tItens[[#This Row],[Qtd]]*tItens[[#This Row],[Vlr unit]]</f>
        <v>1053</v>
      </c>
      <c r="L4456" s="6">
        <f>IFERROR(IF(INDEX(tProdutos[Desconto homologado],MATCH(tItens[[#This Row],[Produto]],tProdutos[Produto],0))="",DescontoPadrao,INDEX(tProdutos[Desconto homologado],MATCH(tItens[[#This Row],[Produto]],tProdutos[Produto],0))),DescontoPadrao)</f>
        <v>0.34</v>
      </c>
      <c r="M4456" s="12">
        <f>tItens[[#This Row],[Valor]]*(1-tItens[[#This Row],[Desconto]])</f>
        <v>694.9799999999999</v>
      </c>
      <c r="N4456" t="str">
        <f>IFERROR(INDEX(tProdutos[Foco],MATCH(tItens[[#This Row],[Produto]],tProdutos[Produto],0)),"Não")</f>
        <v>Sim</v>
      </c>
      <c r="O4456" t="str">
        <f>IFERROR(INDEX(tEditais[SRP],MATCH(tItens[[#This Row],[Edital]],tEditais[Edital],0)),"Não")</f>
        <v>Não</v>
      </c>
      <c r="P4456" s="4">
        <f>IF(COUNTIFS(INDEX(tItens[Edital],1):tItens[[#This Row],[Edital]],tItens[[#This Row],[Edital]],INDEX(tItens[Produto],1):tItens[[#This Row],[Produto]],tItens[[#This Row],[Produto]])=1,1,0)</f>
        <v>0</v>
      </c>
    </row>
    <row r="4457" spans="1:16" x14ac:dyDescent="0.25">
      <c r="A4457" t="s">
        <v>1804</v>
      </c>
      <c r="B4457">
        <v>117</v>
      </c>
      <c r="C4457" t="s">
        <v>7302</v>
      </c>
      <c r="D4457" t="s">
        <v>56</v>
      </c>
      <c r="E4457" s="13">
        <v>40</v>
      </c>
      <c r="F4457" s="12">
        <v>36.86</v>
      </c>
      <c r="G4457" t="str">
        <f>IFERROR(INDEX(tEditais[Órgão],MATCH(tItens[[#This Row],[Edital]],tEditais[Edital],0)),"")</f>
        <v>MUNICIPIO DE BREJO DOS SANTOS</v>
      </c>
      <c r="H4457" t="str">
        <f>IFERROR(INDEX(tEditais[UF],MATCH(tItens[[#This Row],[Edital]],tEditais[Edital],0)),"")</f>
        <v>PB</v>
      </c>
      <c r="I4457" s="11">
        <f>IFERROR(INDEX(tEditais[Encerramento],MATCH(tItens[[#This Row],[Edital]],tEditais[Edital],0)),"")</f>
        <v>46309.374305555553</v>
      </c>
      <c r="J4457" t="str">
        <f>IFERROR(INDEX(tProdutos[Classe],MATCH(tItens[[#This Row],[Produto]],tProdutos[Produto],0)),"produto não cadastrado")</f>
        <v>NÚCLEO</v>
      </c>
      <c r="K4457" s="12">
        <f>tItens[[#This Row],[Qtd]]*tItens[[#This Row],[Vlr unit]]</f>
        <v>1474.4</v>
      </c>
      <c r="L4457" s="6">
        <f>IFERROR(IF(INDEX(tProdutos[Desconto homologado],MATCH(tItens[[#This Row],[Produto]],tProdutos[Produto],0))="",DescontoPadrao,INDEX(tProdutos[Desconto homologado],MATCH(tItens[[#This Row],[Produto]],tProdutos[Produto],0))),DescontoPadrao)</f>
        <v>0.34</v>
      </c>
      <c r="M4457" s="12">
        <f>tItens[[#This Row],[Valor]]*(1-tItens[[#This Row],[Desconto]])</f>
        <v>973.10399999999993</v>
      </c>
      <c r="N4457" t="str">
        <f>IFERROR(INDEX(tProdutos[Foco],MATCH(tItens[[#This Row],[Produto]],tProdutos[Produto],0)),"Não")</f>
        <v>Sim</v>
      </c>
      <c r="O4457" t="str">
        <f>IFERROR(INDEX(tEditais[SRP],MATCH(tItens[[#This Row],[Edital]],tEditais[Edital],0)),"Não")</f>
        <v>Não</v>
      </c>
      <c r="P4457" s="4">
        <f>IF(COUNTIFS(INDEX(tItens[Edital],1):tItens[[#This Row],[Edital]],tItens[[#This Row],[Edital]],INDEX(tItens[Produto],1):tItens[[#This Row],[Produto]],tItens[[#This Row],[Produto]])=1,1,0)</f>
        <v>0</v>
      </c>
    </row>
    <row r="4458" spans="1:16" x14ac:dyDescent="0.25">
      <c r="A4458" t="s">
        <v>1804</v>
      </c>
      <c r="B4458">
        <v>118</v>
      </c>
      <c r="C4458" t="s">
        <v>7303</v>
      </c>
      <c r="D4458" t="s">
        <v>267</v>
      </c>
      <c r="E4458" s="13">
        <v>3000</v>
      </c>
      <c r="F4458" s="12">
        <v>11.15</v>
      </c>
      <c r="G4458" t="str">
        <f>IFERROR(INDEX(tEditais[Órgão],MATCH(tItens[[#This Row],[Edital]],tEditais[Edital],0)),"")</f>
        <v>MUNICIPIO DE BREJO DOS SANTOS</v>
      </c>
      <c r="H4458" t="str">
        <f>IFERROR(INDEX(tEditais[UF],MATCH(tItens[[#This Row],[Edital]],tEditais[Edital],0)),"")</f>
        <v>PB</v>
      </c>
      <c r="I4458" s="11">
        <f>IFERROR(INDEX(tEditais[Encerramento],MATCH(tItens[[#This Row],[Edital]],tEditais[Edital],0)),"")</f>
        <v>46309.374305555553</v>
      </c>
      <c r="J4458" t="str">
        <f>IFERROR(INDEX(tProdutos[Classe],MATCH(tItens[[#This Row],[Produto]],tProdutos[Produto],0)),"produto não cadastrado")</f>
        <v>FORA</v>
      </c>
      <c r="K4458" s="12">
        <f>tItens[[#This Row],[Qtd]]*tItens[[#This Row],[Vlr unit]]</f>
        <v>33450</v>
      </c>
      <c r="L4458" s="6">
        <f>IFERROR(IF(INDEX(tProdutos[Desconto homologado],MATCH(tItens[[#This Row],[Produto]],tProdutos[Produto],0))="",DescontoPadrao,INDEX(tProdutos[Desconto homologado],MATCH(tItens[[#This Row],[Produto]],tProdutos[Produto],0))),DescontoPadrao)</f>
        <v>0.19963672657401599</v>
      </c>
      <c r="M4458" s="12">
        <f>tItens[[#This Row],[Valor]]*(1-tItens[[#This Row],[Desconto]])</f>
        <v>26772.151496099166</v>
      </c>
      <c r="N4458" t="str">
        <f>IFERROR(INDEX(tProdutos[Foco],MATCH(tItens[[#This Row],[Produto]],tProdutos[Produto],0)),"Não")</f>
        <v>Não</v>
      </c>
      <c r="O4458" t="str">
        <f>IFERROR(INDEX(tEditais[SRP],MATCH(tItens[[#This Row],[Edital]],tEditais[Edital],0)),"Não")</f>
        <v>Não</v>
      </c>
      <c r="P4458" s="4">
        <f>IF(COUNTIFS(INDEX(tItens[Edital],1):tItens[[#This Row],[Edital]],tItens[[#This Row],[Edital]],INDEX(tItens[Produto],1):tItens[[#This Row],[Produto]],tItens[[#This Row],[Produto]])=1,1,0)</f>
        <v>1</v>
      </c>
    </row>
    <row r="4459" spans="1:16" x14ac:dyDescent="0.25">
      <c r="A4459" t="s">
        <v>1804</v>
      </c>
      <c r="B4459">
        <v>119</v>
      </c>
      <c r="C4459" t="s">
        <v>7304</v>
      </c>
      <c r="D4459" t="s">
        <v>267</v>
      </c>
      <c r="E4459" s="13">
        <v>2000</v>
      </c>
      <c r="F4459" s="12">
        <v>12.35</v>
      </c>
      <c r="G4459" t="str">
        <f>IFERROR(INDEX(tEditais[Órgão],MATCH(tItens[[#This Row],[Edital]],tEditais[Edital],0)),"")</f>
        <v>MUNICIPIO DE BREJO DOS SANTOS</v>
      </c>
      <c r="H4459" t="str">
        <f>IFERROR(INDEX(tEditais[UF],MATCH(tItens[[#This Row],[Edital]],tEditais[Edital],0)),"")</f>
        <v>PB</v>
      </c>
      <c r="I4459" s="11">
        <f>IFERROR(INDEX(tEditais[Encerramento],MATCH(tItens[[#This Row],[Edital]],tEditais[Edital],0)),"")</f>
        <v>46309.374305555553</v>
      </c>
      <c r="J4459" t="str">
        <f>IFERROR(INDEX(tProdutos[Classe],MATCH(tItens[[#This Row],[Produto]],tProdutos[Produto],0)),"produto não cadastrado")</f>
        <v>FORA</v>
      </c>
      <c r="K4459" s="12">
        <f>tItens[[#This Row],[Qtd]]*tItens[[#This Row],[Vlr unit]]</f>
        <v>24700</v>
      </c>
      <c r="L4459" s="6">
        <f>IFERROR(IF(INDEX(tProdutos[Desconto homologado],MATCH(tItens[[#This Row],[Produto]],tProdutos[Produto],0))="",DescontoPadrao,INDEX(tProdutos[Desconto homologado],MATCH(tItens[[#This Row],[Produto]],tProdutos[Produto],0))),DescontoPadrao)</f>
        <v>0.19963672657401599</v>
      </c>
      <c r="M4459" s="12">
        <f>tItens[[#This Row],[Valor]]*(1-tItens[[#This Row],[Desconto]])</f>
        <v>19768.972853621806</v>
      </c>
      <c r="N4459" t="str">
        <f>IFERROR(INDEX(tProdutos[Foco],MATCH(tItens[[#This Row],[Produto]],tProdutos[Produto],0)),"Não")</f>
        <v>Não</v>
      </c>
      <c r="O4459" t="str">
        <f>IFERROR(INDEX(tEditais[SRP],MATCH(tItens[[#This Row],[Edital]],tEditais[Edital],0)),"Não")</f>
        <v>Não</v>
      </c>
      <c r="P4459" s="4">
        <f>IF(COUNTIFS(INDEX(tItens[Edital],1):tItens[[#This Row],[Edital]],tItens[[#This Row],[Edital]],INDEX(tItens[Produto],1):tItens[[#This Row],[Produto]],tItens[[#This Row],[Produto]])=1,1,0)</f>
        <v>0</v>
      </c>
    </row>
    <row r="4460" spans="1:16" x14ac:dyDescent="0.25">
      <c r="A4460" t="s">
        <v>1804</v>
      </c>
      <c r="B4460">
        <v>120</v>
      </c>
      <c r="C4460" t="s">
        <v>7305</v>
      </c>
      <c r="D4460" t="s">
        <v>343</v>
      </c>
      <c r="E4460" s="13">
        <v>200</v>
      </c>
      <c r="F4460" s="12">
        <v>1.97</v>
      </c>
      <c r="G4460" t="str">
        <f>IFERROR(INDEX(tEditais[Órgão],MATCH(tItens[[#This Row],[Edital]],tEditais[Edital],0)),"")</f>
        <v>MUNICIPIO DE BREJO DOS SANTOS</v>
      </c>
      <c r="H4460" t="str">
        <f>IFERROR(INDEX(tEditais[UF],MATCH(tItens[[#This Row],[Edital]],tEditais[Edital],0)),"")</f>
        <v>PB</v>
      </c>
      <c r="I4460" s="11">
        <f>IFERROR(INDEX(tEditais[Encerramento],MATCH(tItens[[#This Row],[Edital]],tEditais[Edital],0)),"")</f>
        <v>46309.374305555553</v>
      </c>
      <c r="J4460" t="str">
        <f>IFERROR(INDEX(tProdutos[Classe],MATCH(tItens[[#This Row],[Produto]],tProdutos[Produto],0)),"produto não cadastrado")</f>
        <v>FORA</v>
      </c>
      <c r="K4460" s="12">
        <f>tItens[[#This Row],[Qtd]]*tItens[[#This Row],[Vlr unit]]</f>
        <v>394</v>
      </c>
      <c r="L4460" s="6">
        <f>IFERROR(IF(INDEX(tProdutos[Desconto homologado],MATCH(tItens[[#This Row],[Produto]],tProdutos[Produto],0))="",DescontoPadrao,INDEX(tProdutos[Desconto homologado],MATCH(tItens[[#This Row],[Produto]],tProdutos[Produto],0))),DescontoPadrao)</f>
        <v>0.35412234042553198</v>
      </c>
      <c r="M4460" s="12">
        <f>tItens[[#This Row],[Valor]]*(1-tItens[[#This Row],[Desconto]])</f>
        <v>254.47579787234037</v>
      </c>
      <c r="N4460" t="str">
        <f>IFERROR(INDEX(tProdutos[Foco],MATCH(tItens[[#This Row],[Produto]],tProdutos[Produto],0)),"Não")</f>
        <v>Não</v>
      </c>
      <c r="O4460" t="str">
        <f>IFERROR(INDEX(tEditais[SRP],MATCH(tItens[[#This Row],[Edital]],tEditais[Edital],0)),"Não")</f>
        <v>Não</v>
      </c>
      <c r="P4460" s="4">
        <f>IF(COUNTIFS(INDEX(tItens[Edital],1):tItens[[#This Row],[Edital]],tItens[[#This Row],[Edital]],INDEX(tItens[Produto],1):tItens[[#This Row],[Produto]],tItens[[#This Row],[Produto]])=1,1,0)</f>
        <v>1</v>
      </c>
    </row>
    <row r="4461" spans="1:16" x14ac:dyDescent="0.25">
      <c r="A4461" t="s">
        <v>1804</v>
      </c>
      <c r="B4461">
        <v>121</v>
      </c>
      <c r="C4461" t="s">
        <v>7306</v>
      </c>
      <c r="D4461" t="s">
        <v>343</v>
      </c>
      <c r="E4461" s="13">
        <v>200</v>
      </c>
      <c r="F4461" s="12">
        <v>2.11</v>
      </c>
      <c r="G4461" t="str">
        <f>IFERROR(INDEX(tEditais[Órgão],MATCH(tItens[[#This Row],[Edital]],tEditais[Edital],0)),"")</f>
        <v>MUNICIPIO DE BREJO DOS SANTOS</v>
      </c>
      <c r="H4461" t="str">
        <f>IFERROR(INDEX(tEditais[UF],MATCH(tItens[[#This Row],[Edital]],tEditais[Edital],0)),"")</f>
        <v>PB</v>
      </c>
      <c r="I4461" s="11">
        <f>IFERROR(INDEX(tEditais[Encerramento],MATCH(tItens[[#This Row],[Edital]],tEditais[Edital],0)),"")</f>
        <v>46309.374305555553</v>
      </c>
      <c r="J4461" t="str">
        <f>IFERROR(INDEX(tProdutos[Classe],MATCH(tItens[[#This Row],[Produto]],tProdutos[Produto],0)),"produto não cadastrado")</f>
        <v>FORA</v>
      </c>
      <c r="K4461" s="12">
        <f>tItens[[#This Row],[Qtd]]*tItens[[#This Row],[Vlr unit]]</f>
        <v>422</v>
      </c>
      <c r="L4461" s="6">
        <f>IFERROR(IF(INDEX(tProdutos[Desconto homologado],MATCH(tItens[[#This Row],[Produto]],tProdutos[Produto],0))="",DescontoPadrao,INDEX(tProdutos[Desconto homologado],MATCH(tItens[[#This Row],[Produto]],tProdutos[Produto],0))),DescontoPadrao)</f>
        <v>0.35412234042553198</v>
      </c>
      <c r="M4461" s="12">
        <f>tItens[[#This Row],[Valor]]*(1-tItens[[#This Row],[Desconto]])</f>
        <v>272.56037234042549</v>
      </c>
      <c r="N4461" t="str">
        <f>IFERROR(INDEX(tProdutos[Foco],MATCH(tItens[[#This Row],[Produto]],tProdutos[Produto],0)),"Não")</f>
        <v>Não</v>
      </c>
      <c r="O4461" t="str">
        <f>IFERROR(INDEX(tEditais[SRP],MATCH(tItens[[#This Row],[Edital]],tEditais[Edital],0)),"Não")</f>
        <v>Não</v>
      </c>
      <c r="P4461" s="4">
        <f>IF(COUNTIFS(INDEX(tItens[Edital],1):tItens[[#This Row],[Edital]],tItens[[#This Row],[Edital]],INDEX(tItens[Produto],1):tItens[[#This Row],[Produto]],tItens[[#This Row],[Produto]])=1,1,0)</f>
        <v>0</v>
      </c>
    </row>
    <row r="4462" spans="1:16" x14ac:dyDescent="0.25">
      <c r="A4462" t="s">
        <v>1804</v>
      </c>
      <c r="B4462">
        <v>122</v>
      </c>
      <c r="C4462" t="s">
        <v>7307</v>
      </c>
      <c r="D4462" t="s">
        <v>343</v>
      </c>
      <c r="E4462" s="13">
        <v>200</v>
      </c>
      <c r="F4462" s="12">
        <v>2</v>
      </c>
      <c r="G4462" t="str">
        <f>IFERROR(INDEX(tEditais[Órgão],MATCH(tItens[[#This Row],[Edital]],tEditais[Edital],0)),"")</f>
        <v>MUNICIPIO DE BREJO DOS SANTOS</v>
      </c>
      <c r="H4462" t="str">
        <f>IFERROR(INDEX(tEditais[UF],MATCH(tItens[[#This Row],[Edital]],tEditais[Edital],0)),"")</f>
        <v>PB</v>
      </c>
      <c r="I4462" s="11">
        <f>IFERROR(INDEX(tEditais[Encerramento],MATCH(tItens[[#This Row],[Edital]],tEditais[Edital],0)),"")</f>
        <v>46309.374305555553</v>
      </c>
      <c r="J4462" t="str">
        <f>IFERROR(INDEX(tProdutos[Classe],MATCH(tItens[[#This Row],[Produto]],tProdutos[Produto],0)),"produto não cadastrado")</f>
        <v>FORA</v>
      </c>
      <c r="K4462" s="12">
        <f>tItens[[#This Row],[Qtd]]*tItens[[#This Row],[Vlr unit]]</f>
        <v>400</v>
      </c>
      <c r="L4462" s="6">
        <f>IFERROR(IF(INDEX(tProdutos[Desconto homologado],MATCH(tItens[[#This Row],[Produto]],tProdutos[Produto],0))="",DescontoPadrao,INDEX(tProdutos[Desconto homologado],MATCH(tItens[[#This Row],[Produto]],tProdutos[Produto],0))),DescontoPadrao)</f>
        <v>0.35412234042553198</v>
      </c>
      <c r="M4462" s="12">
        <f>tItens[[#This Row],[Valor]]*(1-tItens[[#This Row],[Desconto]])</f>
        <v>258.35106382978717</v>
      </c>
      <c r="N4462" t="str">
        <f>IFERROR(INDEX(tProdutos[Foco],MATCH(tItens[[#This Row],[Produto]],tProdutos[Produto],0)),"Não")</f>
        <v>Não</v>
      </c>
      <c r="O4462" t="str">
        <f>IFERROR(INDEX(tEditais[SRP],MATCH(tItens[[#This Row],[Edital]],tEditais[Edital],0)),"Não")</f>
        <v>Não</v>
      </c>
      <c r="P4462" s="4">
        <f>IF(COUNTIFS(INDEX(tItens[Edital],1):tItens[[#This Row],[Edital]],tItens[[#This Row],[Edital]],INDEX(tItens[Produto],1):tItens[[#This Row],[Produto]],tItens[[#This Row],[Produto]])=1,1,0)</f>
        <v>0</v>
      </c>
    </row>
    <row r="4463" spans="1:16" x14ac:dyDescent="0.25">
      <c r="A4463" t="s">
        <v>1804</v>
      </c>
      <c r="B4463">
        <v>123</v>
      </c>
      <c r="C4463" t="s">
        <v>7308</v>
      </c>
      <c r="D4463" t="s">
        <v>343</v>
      </c>
      <c r="E4463" s="13">
        <v>200</v>
      </c>
      <c r="F4463" s="12">
        <v>2.0699999999999998</v>
      </c>
      <c r="G4463" t="str">
        <f>IFERROR(INDEX(tEditais[Órgão],MATCH(tItens[[#This Row],[Edital]],tEditais[Edital],0)),"")</f>
        <v>MUNICIPIO DE BREJO DOS SANTOS</v>
      </c>
      <c r="H4463" t="str">
        <f>IFERROR(INDEX(tEditais[UF],MATCH(tItens[[#This Row],[Edital]],tEditais[Edital],0)),"")</f>
        <v>PB</v>
      </c>
      <c r="I4463" s="11">
        <f>IFERROR(INDEX(tEditais[Encerramento],MATCH(tItens[[#This Row],[Edital]],tEditais[Edital],0)),"")</f>
        <v>46309.374305555553</v>
      </c>
      <c r="J4463" t="str">
        <f>IFERROR(INDEX(tProdutos[Classe],MATCH(tItens[[#This Row],[Produto]],tProdutos[Produto],0)),"produto não cadastrado")</f>
        <v>FORA</v>
      </c>
      <c r="K4463" s="12">
        <f>tItens[[#This Row],[Qtd]]*tItens[[#This Row],[Vlr unit]]</f>
        <v>413.99999999999994</v>
      </c>
      <c r="L4463" s="6">
        <f>IFERROR(IF(INDEX(tProdutos[Desconto homologado],MATCH(tItens[[#This Row],[Produto]],tProdutos[Produto],0))="",DescontoPadrao,INDEX(tProdutos[Desconto homologado],MATCH(tItens[[#This Row],[Produto]],tProdutos[Produto],0))),DescontoPadrao)</f>
        <v>0.35412234042553198</v>
      </c>
      <c r="M4463" s="12">
        <f>tItens[[#This Row],[Valor]]*(1-tItens[[#This Row],[Desconto]])</f>
        <v>267.3933510638297</v>
      </c>
      <c r="N4463" t="str">
        <f>IFERROR(INDEX(tProdutos[Foco],MATCH(tItens[[#This Row],[Produto]],tProdutos[Produto],0)),"Não")</f>
        <v>Não</v>
      </c>
      <c r="O4463" t="str">
        <f>IFERROR(INDEX(tEditais[SRP],MATCH(tItens[[#This Row],[Edital]],tEditais[Edital],0)),"Não")</f>
        <v>Não</v>
      </c>
      <c r="P4463" s="4">
        <f>IF(COUNTIFS(INDEX(tItens[Edital],1):tItens[[#This Row],[Edital]],tItens[[#This Row],[Edital]],INDEX(tItens[Produto],1):tItens[[#This Row],[Produto]],tItens[[#This Row],[Produto]])=1,1,0)</f>
        <v>0</v>
      </c>
    </row>
    <row r="4464" spans="1:16" x14ac:dyDescent="0.25">
      <c r="A4464" t="s">
        <v>1804</v>
      </c>
      <c r="B4464">
        <v>124</v>
      </c>
      <c r="C4464" t="s">
        <v>7309</v>
      </c>
      <c r="D4464" t="s">
        <v>343</v>
      </c>
      <c r="E4464" s="13">
        <v>200</v>
      </c>
      <c r="F4464" s="12">
        <v>1.96</v>
      </c>
      <c r="G4464" t="str">
        <f>IFERROR(INDEX(tEditais[Órgão],MATCH(tItens[[#This Row],[Edital]],tEditais[Edital],0)),"")</f>
        <v>MUNICIPIO DE BREJO DOS SANTOS</v>
      </c>
      <c r="H4464" t="str">
        <f>IFERROR(INDEX(tEditais[UF],MATCH(tItens[[#This Row],[Edital]],tEditais[Edital],0)),"")</f>
        <v>PB</v>
      </c>
      <c r="I4464" s="11">
        <f>IFERROR(INDEX(tEditais[Encerramento],MATCH(tItens[[#This Row],[Edital]],tEditais[Edital],0)),"")</f>
        <v>46309.374305555553</v>
      </c>
      <c r="J4464" t="str">
        <f>IFERROR(INDEX(tProdutos[Classe],MATCH(tItens[[#This Row],[Produto]],tProdutos[Produto],0)),"produto não cadastrado")</f>
        <v>FORA</v>
      </c>
      <c r="K4464" s="12">
        <f>tItens[[#This Row],[Qtd]]*tItens[[#This Row],[Vlr unit]]</f>
        <v>392</v>
      </c>
      <c r="L4464" s="6">
        <f>IFERROR(IF(INDEX(tProdutos[Desconto homologado],MATCH(tItens[[#This Row],[Produto]],tProdutos[Produto],0))="",DescontoPadrao,INDEX(tProdutos[Desconto homologado],MATCH(tItens[[#This Row],[Produto]],tProdutos[Produto],0))),DescontoPadrao)</f>
        <v>0.35412234042553198</v>
      </c>
      <c r="M4464" s="12">
        <f>tItens[[#This Row],[Valor]]*(1-tItens[[#This Row],[Desconto]])</f>
        <v>253.18404255319143</v>
      </c>
      <c r="N4464" t="str">
        <f>IFERROR(INDEX(tProdutos[Foco],MATCH(tItens[[#This Row],[Produto]],tProdutos[Produto],0)),"Não")</f>
        <v>Não</v>
      </c>
      <c r="O4464" t="str">
        <f>IFERROR(INDEX(tEditais[SRP],MATCH(tItens[[#This Row],[Edital]],tEditais[Edital],0)),"Não")</f>
        <v>Não</v>
      </c>
      <c r="P4464" s="4">
        <f>IF(COUNTIFS(INDEX(tItens[Edital],1):tItens[[#This Row],[Edital]],tItens[[#This Row],[Edital]],INDEX(tItens[Produto],1):tItens[[#This Row],[Produto]],tItens[[#This Row],[Produto]])=1,1,0)</f>
        <v>0</v>
      </c>
    </row>
    <row r="4465" spans="1:16" x14ac:dyDescent="0.25">
      <c r="A4465" t="s">
        <v>1804</v>
      </c>
      <c r="B4465">
        <v>125</v>
      </c>
      <c r="C4465" t="s">
        <v>7310</v>
      </c>
      <c r="D4465" t="s">
        <v>313</v>
      </c>
      <c r="E4465" s="13">
        <v>1500</v>
      </c>
      <c r="F4465" s="12">
        <v>23.73</v>
      </c>
      <c r="G4465" t="str">
        <f>IFERROR(INDEX(tEditais[Órgão],MATCH(tItens[[#This Row],[Edital]],tEditais[Edital],0)),"")</f>
        <v>MUNICIPIO DE BREJO DOS SANTOS</v>
      </c>
      <c r="H4465" t="str">
        <f>IFERROR(INDEX(tEditais[UF],MATCH(tItens[[#This Row],[Edital]],tEditais[Edital],0)),"")</f>
        <v>PB</v>
      </c>
      <c r="I4465" s="11">
        <f>IFERROR(INDEX(tEditais[Encerramento],MATCH(tItens[[#This Row],[Edital]],tEditais[Edital],0)),"")</f>
        <v>46309.374305555553</v>
      </c>
      <c r="J4465" t="str">
        <f>IFERROR(INDEX(tProdutos[Classe],MATCH(tItens[[#This Row],[Produto]],tProdutos[Produto],0)),"produto não cadastrado")</f>
        <v>FORA</v>
      </c>
      <c r="K4465" s="12">
        <f>tItens[[#This Row],[Qtd]]*tItens[[#This Row],[Vlr unit]]</f>
        <v>35595</v>
      </c>
      <c r="L4465" s="6">
        <f>IFERROR(IF(INDEX(tProdutos[Desconto homologado],MATCH(tItens[[#This Row],[Produto]],tProdutos[Produto],0))="",DescontoPadrao,INDEX(tProdutos[Desconto homologado],MATCH(tItens[[#This Row],[Produto]],tProdutos[Produto],0))),DescontoPadrao)</f>
        <v>0.35766373163696302</v>
      </c>
      <c r="M4465" s="12">
        <f>tItens[[#This Row],[Valor]]*(1-tItens[[#This Row],[Desconto]])</f>
        <v>22863.959472382299</v>
      </c>
      <c r="N4465" t="str">
        <f>IFERROR(INDEX(tProdutos[Foco],MATCH(tItens[[#This Row],[Produto]],tProdutos[Produto],0)),"Não")</f>
        <v>Não</v>
      </c>
      <c r="O4465" t="str">
        <f>IFERROR(INDEX(tEditais[SRP],MATCH(tItens[[#This Row],[Edital]],tEditais[Edital],0)),"Não")</f>
        <v>Não</v>
      </c>
      <c r="P4465" s="4">
        <f>IF(COUNTIFS(INDEX(tItens[Edital],1):tItens[[#This Row],[Edital]],tItens[[#This Row],[Edital]],INDEX(tItens[Produto],1):tItens[[#This Row],[Produto]],tItens[[#This Row],[Produto]])=1,1,0)</f>
        <v>1</v>
      </c>
    </row>
    <row r="4466" spans="1:16" x14ac:dyDescent="0.25">
      <c r="A4466" t="s">
        <v>1804</v>
      </c>
      <c r="B4466">
        <v>126</v>
      </c>
      <c r="C4466" t="s">
        <v>7311</v>
      </c>
      <c r="D4466" t="s">
        <v>413</v>
      </c>
      <c r="E4466" s="13">
        <v>1500</v>
      </c>
      <c r="F4466" s="12">
        <v>26</v>
      </c>
      <c r="G4466" t="str">
        <f>IFERROR(INDEX(tEditais[Órgão],MATCH(tItens[[#This Row],[Edital]],tEditais[Edital],0)),"")</f>
        <v>MUNICIPIO DE BREJO DOS SANTOS</v>
      </c>
      <c r="H4466" t="str">
        <f>IFERROR(INDEX(tEditais[UF],MATCH(tItens[[#This Row],[Edital]],tEditais[Edital],0)),"")</f>
        <v>PB</v>
      </c>
      <c r="I4466" s="11">
        <f>IFERROR(INDEX(tEditais[Encerramento],MATCH(tItens[[#This Row],[Edital]],tEditais[Edital],0)),"")</f>
        <v>46309.374305555553</v>
      </c>
      <c r="J4466" t="str">
        <f>IFERROR(INDEX(tProdutos[Classe],MATCH(tItens[[#This Row],[Produto]],tProdutos[Produto],0)),"produto não cadastrado")</f>
        <v>FORA</v>
      </c>
      <c r="K4466" s="12">
        <f>tItens[[#This Row],[Qtd]]*tItens[[#This Row],[Vlr unit]]</f>
        <v>39000</v>
      </c>
      <c r="L4466" s="6">
        <f>IFERROR(IF(INDEX(tProdutos[Desconto homologado],MATCH(tItens[[#This Row],[Produto]],tProdutos[Produto],0))="",DescontoPadrao,INDEX(tProdutos[Desconto homologado],MATCH(tItens[[#This Row],[Produto]],tProdutos[Produto],0))),DescontoPadrao)</f>
        <v>0.477732793522267</v>
      </c>
      <c r="M4466" s="12">
        <f>tItens[[#This Row],[Valor]]*(1-tItens[[#This Row],[Desconto]])</f>
        <v>20368.421052631584</v>
      </c>
      <c r="N4466" t="str">
        <f>IFERROR(INDEX(tProdutos[Foco],MATCH(tItens[[#This Row],[Produto]],tProdutos[Produto],0)),"Não")</f>
        <v>Não</v>
      </c>
      <c r="O4466" t="str">
        <f>IFERROR(INDEX(tEditais[SRP],MATCH(tItens[[#This Row],[Edital]],tEditais[Edital],0)),"Não")</f>
        <v>Não</v>
      </c>
      <c r="P4466" s="4">
        <f>IF(COUNTIFS(INDEX(tItens[Edital],1):tItens[[#This Row],[Edital]],tItens[[#This Row],[Edital]],INDEX(tItens[Produto],1):tItens[[#This Row],[Produto]],tItens[[#This Row],[Produto]])=1,1,0)</f>
        <v>1</v>
      </c>
    </row>
    <row r="4467" spans="1:16" x14ac:dyDescent="0.25">
      <c r="A4467" t="s">
        <v>1804</v>
      </c>
      <c r="B4467">
        <v>127</v>
      </c>
      <c r="C4467" t="s">
        <v>7312</v>
      </c>
      <c r="D4467" t="s">
        <v>313</v>
      </c>
      <c r="E4467" s="13">
        <v>1500</v>
      </c>
      <c r="F4467" s="12">
        <v>24.24</v>
      </c>
      <c r="G4467" t="str">
        <f>IFERROR(INDEX(tEditais[Órgão],MATCH(tItens[[#This Row],[Edital]],tEditais[Edital],0)),"")</f>
        <v>MUNICIPIO DE BREJO DOS SANTOS</v>
      </c>
      <c r="H4467" t="str">
        <f>IFERROR(INDEX(tEditais[UF],MATCH(tItens[[#This Row],[Edital]],tEditais[Edital],0)),"")</f>
        <v>PB</v>
      </c>
      <c r="I4467" s="11">
        <f>IFERROR(INDEX(tEditais[Encerramento],MATCH(tItens[[#This Row],[Edital]],tEditais[Edital],0)),"")</f>
        <v>46309.374305555553</v>
      </c>
      <c r="J4467" t="str">
        <f>IFERROR(INDEX(tProdutos[Classe],MATCH(tItens[[#This Row],[Produto]],tProdutos[Produto],0)),"produto não cadastrado")</f>
        <v>FORA</v>
      </c>
      <c r="K4467" s="12">
        <f>tItens[[#This Row],[Qtd]]*tItens[[#This Row],[Vlr unit]]</f>
        <v>36360</v>
      </c>
      <c r="L4467" s="6">
        <f>IFERROR(IF(INDEX(tProdutos[Desconto homologado],MATCH(tItens[[#This Row],[Produto]],tProdutos[Produto],0))="",DescontoPadrao,INDEX(tProdutos[Desconto homologado],MATCH(tItens[[#This Row],[Produto]],tProdutos[Produto],0))),DescontoPadrao)</f>
        <v>0.35766373163696302</v>
      </c>
      <c r="M4467" s="12">
        <f>tItens[[#This Row],[Valor]]*(1-tItens[[#This Row],[Desconto]])</f>
        <v>23355.346717680022</v>
      </c>
      <c r="N4467" t="str">
        <f>IFERROR(INDEX(tProdutos[Foco],MATCH(tItens[[#This Row],[Produto]],tProdutos[Produto],0)),"Não")</f>
        <v>Não</v>
      </c>
      <c r="O4467" t="str">
        <f>IFERROR(INDEX(tEditais[SRP],MATCH(tItens[[#This Row],[Edital]],tEditais[Edital],0)),"Não")</f>
        <v>Não</v>
      </c>
      <c r="P4467" s="4">
        <f>IF(COUNTIFS(INDEX(tItens[Edital],1):tItens[[#This Row],[Edital]],tItens[[#This Row],[Edital]],INDEX(tItens[Produto],1):tItens[[#This Row],[Produto]],tItens[[#This Row],[Produto]])=1,1,0)</f>
        <v>0</v>
      </c>
    </row>
    <row r="4468" spans="1:16" x14ac:dyDescent="0.25">
      <c r="A4468" t="s">
        <v>1804</v>
      </c>
      <c r="B4468">
        <v>128</v>
      </c>
      <c r="C4468" t="s">
        <v>7313</v>
      </c>
      <c r="D4468" t="s">
        <v>413</v>
      </c>
      <c r="E4468" s="13">
        <v>1500</v>
      </c>
      <c r="F4468" s="12">
        <v>24.28</v>
      </c>
      <c r="G4468" t="str">
        <f>IFERROR(INDEX(tEditais[Órgão],MATCH(tItens[[#This Row],[Edital]],tEditais[Edital],0)),"")</f>
        <v>MUNICIPIO DE BREJO DOS SANTOS</v>
      </c>
      <c r="H4468" t="str">
        <f>IFERROR(INDEX(tEditais[UF],MATCH(tItens[[#This Row],[Edital]],tEditais[Edital],0)),"")</f>
        <v>PB</v>
      </c>
      <c r="I4468" s="11">
        <f>IFERROR(INDEX(tEditais[Encerramento],MATCH(tItens[[#This Row],[Edital]],tEditais[Edital],0)),"")</f>
        <v>46309.374305555553</v>
      </c>
      <c r="J4468" t="str">
        <f>IFERROR(INDEX(tProdutos[Classe],MATCH(tItens[[#This Row],[Produto]],tProdutos[Produto],0)),"produto não cadastrado")</f>
        <v>FORA</v>
      </c>
      <c r="K4468" s="12">
        <f>tItens[[#This Row],[Qtd]]*tItens[[#This Row],[Vlr unit]]</f>
        <v>36420</v>
      </c>
      <c r="L4468" s="6">
        <f>IFERROR(IF(INDEX(tProdutos[Desconto homologado],MATCH(tItens[[#This Row],[Produto]],tProdutos[Produto],0))="",DescontoPadrao,INDEX(tProdutos[Desconto homologado],MATCH(tItens[[#This Row],[Produto]],tProdutos[Produto],0))),DescontoPadrao)</f>
        <v>0.477732793522267</v>
      </c>
      <c r="M4468" s="12">
        <f>tItens[[#This Row],[Valor]]*(1-tItens[[#This Row],[Desconto]])</f>
        <v>19020.971659919032</v>
      </c>
      <c r="N4468" t="str">
        <f>IFERROR(INDEX(tProdutos[Foco],MATCH(tItens[[#This Row],[Produto]],tProdutos[Produto],0)),"Não")</f>
        <v>Não</v>
      </c>
      <c r="O4468" t="str">
        <f>IFERROR(INDEX(tEditais[SRP],MATCH(tItens[[#This Row],[Edital]],tEditais[Edital],0)),"Não")</f>
        <v>Não</v>
      </c>
      <c r="P4468" s="4">
        <f>IF(COUNTIFS(INDEX(tItens[Edital],1):tItens[[#This Row],[Edital]],tItens[[#This Row],[Edital]],INDEX(tItens[Produto],1):tItens[[#This Row],[Produto]],tItens[[#This Row],[Produto]])=1,1,0)</f>
        <v>0</v>
      </c>
    </row>
    <row r="4469" spans="1:16" x14ac:dyDescent="0.25">
      <c r="A4469" t="s">
        <v>1804</v>
      </c>
      <c r="B4469">
        <v>129</v>
      </c>
      <c r="C4469" t="s">
        <v>7314</v>
      </c>
      <c r="D4469" t="s">
        <v>313</v>
      </c>
      <c r="E4469" s="13">
        <v>500</v>
      </c>
      <c r="F4469" s="12">
        <v>24.69</v>
      </c>
      <c r="G4469" t="str">
        <f>IFERROR(INDEX(tEditais[Órgão],MATCH(tItens[[#This Row],[Edital]],tEditais[Edital],0)),"")</f>
        <v>MUNICIPIO DE BREJO DOS SANTOS</v>
      </c>
      <c r="H4469" t="str">
        <f>IFERROR(INDEX(tEditais[UF],MATCH(tItens[[#This Row],[Edital]],tEditais[Edital],0)),"")</f>
        <v>PB</v>
      </c>
      <c r="I4469" s="11">
        <f>IFERROR(INDEX(tEditais[Encerramento],MATCH(tItens[[#This Row],[Edital]],tEditais[Edital],0)),"")</f>
        <v>46309.374305555553</v>
      </c>
      <c r="J4469" t="str">
        <f>IFERROR(INDEX(tProdutos[Classe],MATCH(tItens[[#This Row],[Produto]],tProdutos[Produto],0)),"produto não cadastrado")</f>
        <v>FORA</v>
      </c>
      <c r="K4469" s="12">
        <f>tItens[[#This Row],[Qtd]]*tItens[[#This Row],[Vlr unit]]</f>
        <v>12345</v>
      </c>
      <c r="L4469" s="6">
        <f>IFERROR(IF(INDEX(tProdutos[Desconto homologado],MATCH(tItens[[#This Row],[Produto]],tProdutos[Produto],0))="",DescontoPadrao,INDEX(tProdutos[Desconto homologado],MATCH(tItens[[#This Row],[Produto]],tProdutos[Produto],0))),DescontoPadrao)</f>
        <v>0.35766373163696302</v>
      </c>
      <c r="M4469" s="12">
        <f>tItens[[#This Row],[Valor]]*(1-tItens[[#This Row],[Desconto]])</f>
        <v>7929.6412329416908</v>
      </c>
      <c r="N4469" t="str">
        <f>IFERROR(INDEX(tProdutos[Foco],MATCH(tItens[[#This Row],[Produto]],tProdutos[Produto],0)),"Não")</f>
        <v>Não</v>
      </c>
      <c r="O4469" t="str">
        <f>IFERROR(INDEX(tEditais[SRP],MATCH(tItens[[#This Row],[Edital]],tEditais[Edital],0)),"Não")</f>
        <v>Não</v>
      </c>
      <c r="P4469" s="4">
        <f>IF(COUNTIFS(INDEX(tItens[Edital],1):tItens[[#This Row],[Edital]],tItens[[#This Row],[Edital]],INDEX(tItens[Produto],1):tItens[[#This Row],[Produto]],tItens[[#This Row],[Produto]])=1,1,0)</f>
        <v>0</v>
      </c>
    </row>
    <row r="4470" spans="1:16" x14ac:dyDescent="0.25">
      <c r="A4470" t="s">
        <v>1804</v>
      </c>
      <c r="B4470">
        <v>132</v>
      </c>
      <c r="C4470" t="s">
        <v>7315</v>
      </c>
      <c r="D4470" t="s">
        <v>494</v>
      </c>
      <c r="E4470" s="13">
        <v>20</v>
      </c>
      <c r="F4470" s="12">
        <v>98.23</v>
      </c>
      <c r="G4470" t="str">
        <f>IFERROR(INDEX(tEditais[Órgão],MATCH(tItens[[#This Row],[Edital]],tEditais[Edital],0)),"")</f>
        <v>MUNICIPIO DE BREJO DOS SANTOS</v>
      </c>
      <c r="H4470" t="str">
        <f>IFERROR(INDEX(tEditais[UF],MATCH(tItens[[#This Row],[Edital]],tEditais[Edital],0)),"")</f>
        <v>PB</v>
      </c>
      <c r="I4470" s="11">
        <f>IFERROR(INDEX(tEditais[Encerramento],MATCH(tItens[[#This Row],[Edital]],tEditais[Edital],0)),"")</f>
        <v>46309.374305555553</v>
      </c>
      <c r="J4470" t="str">
        <f>IFERROR(INDEX(tProdutos[Classe],MATCH(tItens[[#This Row],[Produto]],tProdutos[Produto],0)),"produto não cadastrado")</f>
        <v>FILA REBASE</v>
      </c>
      <c r="K4470" s="12">
        <f>tItens[[#This Row],[Qtd]]*tItens[[#This Row],[Vlr unit]]</f>
        <v>1964.6000000000001</v>
      </c>
      <c r="L4470" s="6">
        <f>IFERROR(IF(INDEX(tProdutos[Desconto homologado],MATCH(tItens[[#This Row],[Produto]],tProdutos[Produto],0))="",DescontoPadrao,INDEX(tProdutos[Desconto homologado],MATCH(tItens[[#This Row],[Produto]],tProdutos[Produto],0))),DescontoPadrao)</f>
        <v>0.253736324829619</v>
      </c>
      <c r="M4470" s="12">
        <f>tItens[[#This Row],[Valor]]*(1-tItens[[#This Row],[Desconto]])</f>
        <v>1466.1096162397307</v>
      </c>
      <c r="N4470" t="str">
        <f>IFERROR(INDEX(tProdutos[Foco],MATCH(tItens[[#This Row],[Produto]],tProdutos[Produto],0)),"Não")</f>
        <v>Não</v>
      </c>
      <c r="O4470" t="str">
        <f>IFERROR(INDEX(tEditais[SRP],MATCH(tItens[[#This Row],[Edital]],tEditais[Edital],0)),"Não")</f>
        <v>Não</v>
      </c>
      <c r="P4470" s="4">
        <f>IF(COUNTIFS(INDEX(tItens[Edital],1):tItens[[#This Row],[Edital]],tItens[[#This Row],[Edital]],INDEX(tItens[Produto],1):tItens[[#This Row],[Produto]],tItens[[#This Row],[Produto]])=1,1,0)</f>
        <v>1</v>
      </c>
    </row>
    <row r="4471" spans="1:16" x14ac:dyDescent="0.25">
      <c r="A4471" t="s">
        <v>1804</v>
      </c>
      <c r="B4471">
        <v>133</v>
      </c>
      <c r="C4471" t="s">
        <v>7316</v>
      </c>
      <c r="D4471" t="s">
        <v>494</v>
      </c>
      <c r="E4471" s="13">
        <v>20</v>
      </c>
      <c r="F4471" s="12">
        <v>105.12</v>
      </c>
      <c r="G4471" t="str">
        <f>IFERROR(INDEX(tEditais[Órgão],MATCH(tItens[[#This Row],[Edital]],tEditais[Edital],0)),"")</f>
        <v>MUNICIPIO DE BREJO DOS SANTOS</v>
      </c>
      <c r="H4471" t="str">
        <f>IFERROR(INDEX(tEditais[UF],MATCH(tItens[[#This Row],[Edital]],tEditais[Edital],0)),"")</f>
        <v>PB</v>
      </c>
      <c r="I4471" s="11">
        <f>IFERROR(INDEX(tEditais[Encerramento],MATCH(tItens[[#This Row],[Edital]],tEditais[Edital],0)),"")</f>
        <v>46309.374305555553</v>
      </c>
      <c r="J4471" t="str">
        <f>IFERROR(INDEX(tProdutos[Classe],MATCH(tItens[[#This Row],[Produto]],tProdutos[Produto],0)),"produto não cadastrado")</f>
        <v>FILA REBASE</v>
      </c>
      <c r="K4471" s="12">
        <f>tItens[[#This Row],[Qtd]]*tItens[[#This Row],[Vlr unit]]</f>
        <v>2102.4</v>
      </c>
      <c r="L4471" s="6">
        <f>IFERROR(IF(INDEX(tProdutos[Desconto homologado],MATCH(tItens[[#This Row],[Produto]],tProdutos[Produto],0))="",DescontoPadrao,INDEX(tProdutos[Desconto homologado],MATCH(tItens[[#This Row],[Produto]],tProdutos[Produto],0))),DescontoPadrao)</f>
        <v>0.253736324829619</v>
      </c>
      <c r="M4471" s="12">
        <f>tItens[[#This Row],[Valor]]*(1-tItens[[#This Row],[Desconto]])</f>
        <v>1568.9447506782092</v>
      </c>
      <c r="N4471" t="str">
        <f>IFERROR(INDEX(tProdutos[Foco],MATCH(tItens[[#This Row],[Produto]],tProdutos[Produto],0)),"Não")</f>
        <v>Não</v>
      </c>
      <c r="O4471" t="str">
        <f>IFERROR(INDEX(tEditais[SRP],MATCH(tItens[[#This Row],[Edital]],tEditais[Edital],0)),"Não")</f>
        <v>Não</v>
      </c>
      <c r="P4471" s="4">
        <f>IF(COUNTIFS(INDEX(tItens[Edital],1):tItens[[#This Row],[Edital]],tItens[[#This Row],[Edital]],INDEX(tItens[Produto],1):tItens[[#This Row],[Produto]],tItens[[#This Row],[Produto]])=1,1,0)</f>
        <v>0</v>
      </c>
    </row>
    <row r="4472" spans="1:16" x14ac:dyDescent="0.25">
      <c r="A4472" t="s">
        <v>1804</v>
      </c>
      <c r="B4472">
        <v>134</v>
      </c>
      <c r="C4472" t="s">
        <v>7317</v>
      </c>
      <c r="D4472" t="s">
        <v>494</v>
      </c>
      <c r="E4472" s="13">
        <v>20</v>
      </c>
      <c r="F4472" s="12">
        <v>133.91</v>
      </c>
      <c r="G4472" t="str">
        <f>IFERROR(INDEX(tEditais[Órgão],MATCH(tItens[[#This Row],[Edital]],tEditais[Edital],0)),"")</f>
        <v>MUNICIPIO DE BREJO DOS SANTOS</v>
      </c>
      <c r="H4472" t="str">
        <f>IFERROR(INDEX(tEditais[UF],MATCH(tItens[[#This Row],[Edital]],tEditais[Edital],0)),"")</f>
        <v>PB</v>
      </c>
      <c r="I4472" s="11">
        <f>IFERROR(INDEX(tEditais[Encerramento],MATCH(tItens[[#This Row],[Edital]],tEditais[Edital],0)),"")</f>
        <v>46309.374305555553</v>
      </c>
      <c r="J4472" t="str">
        <f>IFERROR(INDEX(tProdutos[Classe],MATCH(tItens[[#This Row],[Produto]],tProdutos[Produto],0)),"produto não cadastrado")</f>
        <v>FILA REBASE</v>
      </c>
      <c r="K4472" s="12">
        <f>tItens[[#This Row],[Qtd]]*tItens[[#This Row],[Vlr unit]]</f>
        <v>2678.2</v>
      </c>
      <c r="L4472" s="6">
        <f>IFERROR(IF(INDEX(tProdutos[Desconto homologado],MATCH(tItens[[#This Row],[Produto]],tProdutos[Produto],0))="",DescontoPadrao,INDEX(tProdutos[Desconto homologado],MATCH(tItens[[#This Row],[Produto]],tProdutos[Produto],0))),DescontoPadrao)</f>
        <v>0.253736324829619</v>
      </c>
      <c r="M4472" s="12">
        <f>tItens[[#This Row],[Valor]]*(1-tItens[[#This Row],[Desconto]])</f>
        <v>1998.6433748413144</v>
      </c>
      <c r="N4472" t="str">
        <f>IFERROR(INDEX(tProdutos[Foco],MATCH(tItens[[#This Row],[Produto]],tProdutos[Produto],0)),"Não")</f>
        <v>Não</v>
      </c>
      <c r="O4472" t="str">
        <f>IFERROR(INDEX(tEditais[SRP],MATCH(tItens[[#This Row],[Edital]],tEditais[Edital],0)),"Não")</f>
        <v>Não</v>
      </c>
      <c r="P4472" s="4">
        <f>IF(COUNTIFS(INDEX(tItens[Edital],1):tItens[[#This Row],[Edital]],tItens[[#This Row],[Edital]],INDEX(tItens[Produto],1):tItens[[#This Row],[Produto]],tItens[[#This Row],[Produto]])=1,1,0)</f>
        <v>0</v>
      </c>
    </row>
    <row r="4473" spans="1:16" x14ac:dyDescent="0.25">
      <c r="A4473" t="s">
        <v>1804</v>
      </c>
      <c r="B4473">
        <v>135</v>
      </c>
      <c r="C4473" t="s">
        <v>7318</v>
      </c>
      <c r="D4473" t="s">
        <v>494</v>
      </c>
      <c r="E4473" s="13">
        <v>30</v>
      </c>
      <c r="F4473" s="12">
        <v>143.13999999999999</v>
      </c>
      <c r="G4473" t="str">
        <f>IFERROR(INDEX(tEditais[Órgão],MATCH(tItens[[#This Row],[Edital]],tEditais[Edital],0)),"")</f>
        <v>MUNICIPIO DE BREJO DOS SANTOS</v>
      </c>
      <c r="H4473" t="str">
        <f>IFERROR(INDEX(tEditais[UF],MATCH(tItens[[#This Row],[Edital]],tEditais[Edital],0)),"")</f>
        <v>PB</v>
      </c>
      <c r="I4473" s="11">
        <f>IFERROR(INDEX(tEditais[Encerramento],MATCH(tItens[[#This Row],[Edital]],tEditais[Edital],0)),"")</f>
        <v>46309.374305555553</v>
      </c>
      <c r="J4473" t="str">
        <f>IFERROR(INDEX(tProdutos[Classe],MATCH(tItens[[#This Row],[Produto]],tProdutos[Produto],0)),"produto não cadastrado")</f>
        <v>FILA REBASE</v>
      </c>
      <c r="K4473" s="12">
        <f>tItens[[#This Row],[Qtd]]*tItens[[#This Row],[Vlr unit]]</f>
        <v>4294.2</v>
      </c>
      <c r="L4473" s="6">
        <f>IFERROR(IF(INDEX(tProdutos[Desconto homologado],MATCH(tItens[[#This Row],[Produto]],tProdutos[Produto],0))="",DescontoPadrao,INDEX(tProdutos[Desconto homologado],MATCH(tItens[[#This Row],[Produto]],tProdutos[Produto],0))),DescontoPadrao)</f>
        <v>0.253736324829619</v>
      </c>
      <c r="M4473" s="12">
        <f>tItens[[#This Row],[Valor]]*(1-tItens[[#This Row],[Desconto]])</f>
        <v>3204.6054739166502</v>
      </c>
      <c r="N4473" t="str">
        <f>IFERROR(INDEX(tProdutos[Foco],MATCH(tItens[[#This Row],[Produto]],tProdutos[Produto],0)),"Não")</f>
        <v>Não</v>
      </c>
      <c r="O4473" t="str">
        <f>IFERROR(INDEX(tEditais[SRP],MATCH(tItens[[#This Row],[Edital]],tEditais[Edital],0)),"Não")</f>
        <v>Não</v>
      </c>
      <c r="P4473" s="4">
        <f>IF(COUNTIFS(INDEX(tItens[Edital],1):tItens[[#This Row],[Edital]],tItens[[#This Row],[Edital]],INDEX(tItens[Produto],1):tItens[[#This Row],[Produto]],tItens[[#This Row],[Produto]])=1,1,0)</f>
        <v>0</v>
      </c>
    </row>
    <row r="4474" spans="1:16" x14ac:dyDescent="0.25">
      <c r="A4474" t="s">
        <v>1804</v>
      </c>
      <c r="B4474">
        <v>136</v>
      </c>
      <c r="C4474" t="s">
        <v>7319</v>
      </c>
      <c r="D4474" t="s">
        <v>494</v>
      </c>
      <c r="E4474" s="13">
        <v>30</v>
      </c>
      <c r="F4474" s="12">
        <v>155.80000000000001</v>
      </c>
      <c r="G4474" t="str">
        <f>IFERROR(INDEX(tEditais[Órgão],MATCH(tItens[[#This Row],[Edital]],tEditais[Edital],0)),"")</f>
        <v>MUNICIPIO DE BREJO DOS SANTOS</v>
      </c>
      <c r="H4474" t="str">
        <f>IFERROR(INDEX(tEditais[UF],MATCH(tItens[[#This Row],[Edital]],tEditais[Edital],0)),"")</f>
        <v>PB</v>
      </c>
      <c r="I4474" s="11">
        <f>IFERROR(INDEX(tEditais[Encerramento],MATCH(tItens[[#This Row],[Edital]],tEditais[Edital],0)),"")</f>
        <v>46309.374305555553</v>
      </c>
      <c r="J4474" t="str">
        <f>IFERROR(INDEX(tProdutos[Classe],MATCH(tItens[[#This Row],[Produto]],tProdutos[Produto],0)),"produto não cadastrado")</f>
        <v>FILA REBASE</v>
      </c>
      <c r="K4474" s="12">
        <f>tItens[[#This Row],[Qtd]]*tItens[[#This Row],[Vlr unit]]</f>
        <v>4674</v>
      </c>
      <c r="L4474" s="6">
        <f>IFERROR(IF(INDEX(tProdutos[Desconto homologado],MATCH(tItens[[#This Row],[Produto]],tProdutos[Produto],0))="",DescontoPadrao,INDEX(tProdutos[Desconto homologado],MATCH(tItens[[#This Row],[Produto]],tProdutos[Produto],0))),DescontoPadrao)</f>
        <v>0.253736324829619</v>
      </c>
      <c r="M4474" s="12">
        <f>tItens[[#This Row],[Valor]]*(1-tItens[[#This Row],[Desconto]])</f>
        <v>3488.0364177463612</v>
      </c>
      <c r="N4474" t="str">
        <f>IFERROR(INDEX(tProdutos[Foco],MATCH(tItens[[#This Row],[Produto]],tProdutos[Produto],0)),"Não")</f>
        <v>Não</v>
      </c>
      <c r="O4474" t="str">
        <f>IFERROR(INDEX(tEditais[SRP],MATCH(tItens[[#This Row],[Edital]],tEditais[Edital],0)),"Não")</f>
        <v>Não</v>
      </c>
      <c r="P4474" s="4">
        <f>IF(COUNTIFS(INDEX(tItens[Edital],1):tItens[[#This Row],[Edital]],tItens[[#This Row],[Edital]],INDEX(tItens[Produto],1):tItens[[#This Row],[Produto]],tItens[[#This Row],[Produto]])=1,1,0)</f>
        <v>0</v>
      </c>
    </row>
    <row r="4475" spans="1:16" x14ac:dyDescent="0.25">
      <c r="A4475" t="s">
        <v>1804</v>
      </c>
      <c r="B4475">
        <v>137</v>
      </c>
      <c r="C4475" t="s">
        <v>7320</v>
      </c>
      <c r="D4475" t="s">
        <v>494</v>
      </c>
      <c r="E4475" s="13">
        <v>30</v>
      </c>
      <c r="F4475" s="12">
        <v>224.81</v>
      </c>
      <c r="G4475" t="str">
        <f>IFERROR(INDEX(tEditais[Órgão],MATCH(tItens[[#This Row],[Edital]],tEditais[Edital],0)),"")</f>
        <v>MUNICIPIO DE BREJO DOS SANTOS</v>
      </c>
      <c r="H4475" t="str">
        <f>IFERROR(INDEX(tEditais[UF],MATCH(tItens[[#This Row],[Edital]],tEditais[Edital],0)),"")</f>
        <v>PB</v>
      </c>
      <c r="I4475" s="11">
        <f>IFERROR(INDEX(tEditais[Encerramento],MATCH(tItens[[#This Row],[Edital]],tEditais[Edital],0)),"")</f>
        <v>46309.374305555553</v>
      </c>
      <c r="J4475" t="str">
        <f>IFERROR(INDEX(tProdutos[Classe],MATCH(tItens[[#This Row],[Produto]],tProdutos[Produto],0)),"produto não cadastrado")</f>
        <v>FILA REBASE</v>
      </c>
      <c r="K4475" s="12">
        <f>tItens[[#This Row],[Qtd]]*tItens[[#This Row],[Vlr unit]]</f>
        <v>6744.3</v>
      </c>
      <c r="L4475" s="6">
        <f>IFERROR(IF(INDEX(tProdutos[Desconto homologado],MATCH(tItens[[#This Row],[Produto]],tProdutos[Produto],0))="",DescontoPadrao,INDEX(tProdutos[Desconto homologado],MATCH(tItens[[#This Row],[Produto]],tProdutos[Produto],0))),DescontoPadrao)</f>
        <v>0.253736324829619</v>
      </c>
      <c r="M4475" s="12">
        <f>tItens[[#This Row],[Valor]]*(1-tItens[[#This Row],[Desconto]])</f>
        <v>5033.026104451601</v>
      </c>
      <c r="N4475" t="str">
        <f>IFERROR(INDEX(tProdutos[Foco],MATCH(tItens[[#This Row],[Produto]],tProdutos[Produto],0)),"Não")</f>
        <v>Não</v>
      </c>
      <c r="O4475" t="str">
        <f>IFERROR(INDEX(tEditais[SRP],MATCH(tItens[[#This Row],[Edital]],tEditais[Edital],0)),"Não")</f>
        <v>Não</v>
      </c>
      <c r="P4475" s="4">
        <f>IF(COUNTIFS(INDEX(tItens[Edital],1):tItens[[#This Row],[Edital]],tItens[[#This Row],[Edital]],INDEX(tItens[Produto],1):tItens[[#This Row],[Produto]],tItens[[#This Row],[Produto]])=1,1,0)</f>
        <v>0</v>
      </c>
    </row>
    <row r="4476" spans="1:16" x14ac:dyDescent="0.25">
      <c r="A4476" t="s">
        <v>1804</v>
      </c>
      <c r="B4476">
        <v>138</v>
      </c>
      <c r="C4476" t="s">
        <v>7321</v>
      </c>
      <c r="D4476" t="s">
        <v>494</v>
      </c>
      <c r="E4476" s="13">
        <v>20</v>
      </c>
      <c r="F4476" s="12">
        <v>242.08</v>
      </c>
      <c r="G4476" t="str">
        <f>IFERROR(INDEX(tEditais[Órgão],MATCH(tItens[[#This Row],[Edital]],tEditais[Edital],0)),"")</f>
        <v>MUNICIPIO DE BREJO DOS SANTOS</v>
      </c>
      <c r="H4476" t="str">
        <f>IFERROR(INDEX(tEditais[UF],MATCH(tItens[[#This Row],[Edital]],tEditais[Edital],0)),"")</f>
        <v>PB</v>
      </c>
      <c r="I4476" s="11">
        <f>IFERROR(INDEX(tEditais[Encerramento],MATCH(tItens[[#This Row],[Edital]],tEditais[Edital],0)),"")</f>
        <v>46309.374305555553</v>
      </c>
      <c r="J4476" t="str">
        <f>IFERROR(INDEX(tProdutos[Classe],MATCH(tItens[[#This Row],[Produto]],tProdutos[Produto],0)),"produto não cadastrado")</f>
        <v>FILA REBASE</v>
      </c>
      <c r="K4476" s="12">
        <f>tItens[[#This Row],[Qtd]]*tItens[[#This Row],[Vlr unit]]</f>
        <v>4841.6000000000004</v>
      </c>
      <c r="L4476" s="6">
        <f>IFERROR(IF(INDEX(tProdutos[Desconto homologado],MATCH(tItens[[#This Row],[Produto]],tProdutos[Produto],0))="",DescontoPadrao,INDEX(tProdutos[Desconto homologado],MATCH(tItens[[#This Row],[Produto]],tProdutos[Produto],0))),DescontoPadrao)</f>
        <v>0.253736324829619</v>
      </c>
      <c r="M4476" s="12">
        <f>tItens[[#This Row],[Valor]]*(1-tItens[[#This Row],[Desconto]])</f>
        <v>3613.110209704917</v>
      </c>
      <c r="N4476" t="str">
        <f>IFERROR(INDEX(tProdutos[Foco],MATCH(tItens[[#This Row],[Produto]],tProdutos[Produto],0)),"Não")</f>
        <v>Não</v>
      </c>
      <c r="O4476" t="str">
        <f>IFERROR(INDEX(tEditais[SRP],MATCH(tItens[[#This Row],[Edital]],tEditais[Edital],0)),"Não")</f>
        <v>Não</v>
      </c>
      <c r="P4476" s="4">
        <f>IF(COUNTIFS(INDEX(tItens[Edital],1):tItens[[#This Row],[Edital]],tItens[[#This Row],[Edital]],INDEX(tItens[Produto],1):tItens[[#This Row],[Produto]],tItens[[#This Row],[Produto]])=1,1,0)</f>
        <v>0</v>
      </c>
    </row>
    <row r="4477" spans="1:16" x14ac:dyDescent="0.25">
      <c r="A4477" t="s">
        <v>1804</v>
      </c>
      <c r="B4477">
        <v>146</v>
      </c>
      <c r="C4477" t="s">
        <v>7322</v>
      </c>
      <c r="D4477" t="s">
        <v>275</v>
      </c>
      <c r="E4477" s="13">
        <v>10000</v>
      </c>
      <c r="F4477" s="12">
        <v>0.26</v>
      </c>
      <c r="G4477" t="str">
        <f>IFERROR(INDEX(tEditais[Órgão],MATCH(tItens[[#This Row],[Edital]],tEditais[Edital],0)),"")</f>
        <v>MUNICIPIO DE BREJO DOS SANTOS</v>
      </c>
      <c r="H4477" t="str">
        <f>IFERROR(INDEX(tEditais[UF],MATCH(tItens[[#This Row],[Edital]],tEditais[Edital],0)),"")</f>
        <v>PB</v>
      </c>
      <c r="I4477" s="11">
        <f>IFERROR(INDEX(tEditais[Encerramento],MATCH(tItens[[#This Row],[Edital]],tEditais[Edital],0)),"")</f>
        <v>46309.374305555553</v>
      </c>
      <c r="J4477" t="str">
        <f>IFERROR(INDEX(tProdutos[Classe],MATCH(tItens[[#This Row],[Produto]],tProdutos[Produto],0)),"produto não cadastrado")</f>
        <v>FORA</v>
      </c>
      <c r="K4477" s="12">
        <f>tItens[[#This Row],[Qtd]]*tItens[[#This Row],[Vlr unit]]</f>
        <v>2600</v>
      </c>
      <c r="L4477" s="6">
        <f>IFERROR(IF(INDEX(tProdutos[Desconto homologado],MATCH(tItens[[#This Row],[Produto]],tProdutos[Produto],0))="",DescontoPadrao,INDEX(tProdutos[Desconto homologado],MATCH(tItens[[#This Row],[Produto]],tProdutos[Produto],0))),DescontoPadrao)</f>
        <v>0.405797101449275</v>
      </c>
      <c r="M4477" s="12">
        <f>tItens[[#This Row],[Valor]]*(1-tItens[[#This Row],[Desconto]])</f>
        <v>1544.9275362318851</v>
      </c>
      <c r="N4477" t="str">
        <f>IFERROR(INDEX(tProdutos[Foco],MATCH(tItens[[#This Row],[Produto]],tProdutos[Produto],0)),"Não")</f>
        <v>Não</v>
      </c>
      <c r="O4477" t="str">
        <f>IFERROR(INDEX(tEditais[SRP],MATCH(tItens[[#This Row],[Edital]],tEditais[Edital],0)),"Não")</f>
        <v>Não</v>
      </c>
      <c r="P4477" s="4">
        <f>IF(COUNTIFS(INDEX(tItens[Edital],1):tItens[[#This Row],[Edital]],tItens[[#This Row],[Edital]],INDEX(tItens[Produto],1):tItens[[#This Row],[Produto]],tItens[[#This Row],[Produto]])=1,1,0)</f>
        <v>1</v>
      </c>
    </row>
    <row r="4478" spans="1:16" x14ac:dyDescent="0.25">
      <c r="A4478" t="s">
        <v>1804</v>
      </c>
      <c r="B4478">
        <v>147</v>
      </c>
      <c r="C4478" t="s">
        <v>7323</v>
      </c>
      <c r="D4478" t="s">
        <v>283</v>
      </c>
      <c r="E4478" s="13">
        <v>60000</v>
      </c>
      <c r="F4478" s="12">
        <v>0.28000000000000003</v>
      </c>
      <c r="G4478" t="str">
        <f>IFERROR(INDEX(tEditais[Órgão],MATCH(tItens[[#This Row],[Edital]],tEditais[Edital],0)),"")</f>
        <v>MUNICIPIO DE BREJO DOS SANTOS</v>
      </c>
      <c r="H4478" t="str">
        <f>IFERROR(INDEX(tEditais[UF],MATCH(tItens[[#This Row],[Edital]],tEditais[Edital],0)),"")</f>
        <v>PB</v>
      </c>
      <c r="I4478" s="11">
        <f>IFERROR(INDEX(tEditais[Encerramento],MATCH(tItens[[#This Row],[Edital]],tEditais[Edital],0)),"")</f>
        <v>46309.374305555553</v>
      </c>
      <c r="J4478" t="str">
        <f>IFERROR(INDEX(tProdutos[Classe],MATCH(tItens[[#This Row],[Produto]],tProdutos[Produto],0)),"produto não cadastrado")</f>
        <v>FORA</v>
      </c>
      <c r="K4478" s="12">
        <f>tItens[[#This Row],[Qtd]]*tItens[[#This Row],[Vlr unit]]</f>
        <v>16800</v>
      </c>
      <c r="L4478" s="6">
        <f>IFERROR(IF(INDEX(tProdutos[Desconto homologado],MATCH(tItens[[#This Row],[Produto]],tProdutos[Produto],0))="",DescontoPadrao,INDEX(tProdutos[Desconto homologado],MATCH(tItens[[#This Row],[Produto]],tProdutos[Produto],0))),DescontoPadrao)</f>
        <v>0.40540540540540498</v>
      </c>
      <c r="M4478" s="12">
        <f>tItens[[#This Row],[Valor]]*(1-tItens[[#This Row],[Desconto]])</f>
        <v>9989.1891891891955</v>
      </c>
      <c r="N4478" t="str">
        <f>IFERROR(INDEX(tProdutos[Foco],MATCH(tItens[[#This Row],[Produto]],tProdutos[Produto],0)),"Não")</f>
        <v>Não</v>
      </c>
      <c r="O4478" t="str">
        <f>IFERROR(INDEX(tEditais[SRP],MATCH(tItens[[#This Row],[Edital]],tEditais[Edital],0)),"Não")</f>
        <v>Não</v>
      </c>
      <c r="P4478" s="4">
        <f>IF(COUNTIFS(INDEX(tItens[Edital],1):tItens[[#This Row],[Edital]],tItens[[#This Row],[Edital]],INDEX(tItens[Produto],1):tItens[[#This Row],[Produto]],tItens[[#This Row],[Produto]])=1,1,0)</f>
        <v>1</v>
      </c>
    </row>
    <row r="4479" spans="1:16" x14ac:dyDescent="0.25">
      <c r="A4479" t="s">
        <v>1804</v>
      </c>
      <c r="B4479">
        <v>148</v>
      </c>
      <c r="C4479" t="s">
        <v>7324</v>
      </c>
      <c r="D4479" t="s">
        <v>265</v>
      </c>
      <c r="E4479" s="13">
        <v>60000</v>
      </c>
      <c r="F4479" s="12">
        <v>0.27</v>
      </c>
      <c r="G4479" t="str">
        <f>IFERROR(INDEX(tEditais[Órgão],MATCH(tItens[[#This Row],[Edital]],tEditais[Edital],0)),"")</f>
        <v>MUNICIPIO DE BREJO DOS SANTOS</v>
      </c>
      <c r="H4479" t="str">
        <f>IFERROR(INDEX(tEditais[UF],MATCH(tItens[[#This Row],[Edital]],tEditais[Edital],0)),"")</f>
        <v>PB</v>
      </c>
      <c r="I4479" s="11">
        <f>IFERROR(INDEX(tEditais[Encerramento],MATCH(tItens[[#This Row],[Edital]],tEditais[Edital],0)),"")</f>
        <v>46309.374305555553</v>
      </c>
      <c r="J4479" t="str">
        <f>IFERROR(INDEX(tProdutos[Classe],MATCH(tItens[[#This Row],[Produto]],tProdutos[Produto],0)),"produto não cadastrado")</f>
        <v>DISPUTADO</v>
      </c>
      <c r="K4479" s="12">
        <f>tItens[[#This Row],[Qtd]]*tItens[[#This Row],[Vlr unit]]</f>
        <v>16200.000000000002</v>
      </c>
      <c r="L4479" s="6">
        <f>IFERROR(IF(INDEX(tProdutos[Desconto homologado],MATCH(tItens[[#This Row],[Produto]],tProdutos[Produto],0))="",DescontoPadrao,INDEX(tProdutos[Desconto homologado],MATCH(tItens[[#This Row],[Produto]],tProdutos[Produto],0))),DescontoPadrao)</f>
        <v>0.377587663709337</v>
      </c>
      <c r="M4479" s="12">
        <f>tItens[[#This Row],[Valor]]*(1-tItens[[#This Row],[Desconto]])</f>
        <v>10083.079847908743</v>
      </c>
      <c r="N4479" t="str">
        <f>IFERROR(INDEX(tProdutos[Foco],MATCH(tItens[[#This Row],[Produto]],tProdutos[Produto],0)),"Não")</f>
        <v>Não</v>
      </c>
      <c r="O4479" t="str">
        <f>IFERROR(INDEX(tEditais[SRP],MATCH(tItens[[#This Row],[Edital]],tEditais[Edital],0)),"Não")</f>
        <v>Não</v>
      </c>
      <c r="P4479" s="4">
        <f>IF(COUNTIFS(INDEX(tItens[Edital],1):tItens[[#This Row],[Edital]],tItens[[#This Row],[Edital]],INDEX(tItens[Produto],1):tItens[[#This Row],[Produto]],tItens[[#This Row],[Produto]])=1,1,0)</f>
        <v>1</v>
      </c>
    </row>
    <row r="4480" spans="1:16" x14ac:dyDescent="0.25">
      <c r="A4480" t="s">
        <v>1804</v>
      </c>
      <c r="B4480">
        <v>149</v>
      </c>
      <c r="C4480" t="s">
        <v>7325</v>
      </c>
      <c r="D4480" t="s">
        <v>281</v>
      </c>
      <c r="E4480" s="13">
        <v>60000</v>
      </c>
      <c r="F4480" s="12">
        <v>0.56999999999999995</v>
      </c>
      <c r="G4480" t="str">
        <f>IFERROR(INDEX(tEditais[Órgão],MATCH(tItens[[#This Row],[Edital]],tEditais[Edital],0)),"")</f>
        <v>MUNICIPIO DE BREJO DOS SANTOS</v>
      </c>
      <c r="H4480" t="str">
        <f>IFERROR(INDEX(tEditais[UF],MATCH(tItens[[#This Row],[Edital]],tEditais[Edital],0)),"")</f>
        <v>PB</v>
      </c>
      <c r="I4480" s="11">
        <f>IFERROR(INDEX(tEditais[Encerramento],MATCH(tItens[[#This Row],[Edital]],tEditais[Edital],0)),"")</f>
        <v>46309.374305555553</v>
      </c>
      <c r="J4480" t="str">
        <f>IFERROR(INDEX(tProdutos[Classe],MATCH(tItens[[#This Row],[Produto]],tProdutos[Produto],0)),"produto não cadastrado")</f>
        <v>DISPUTADO</v>
      </c>
      <c r="K4480" s="12">
        <f>tItens[[#This Row],[Qtd]]*tItens[[#This Row],[Vlr unit]]</f>
        <v>34200</v>
      </c>
      <c r="L4480" s="6">
        <f>IFERROR(IF(INDEX(tProdutos[Desconto homologado],MATCH(tItens[[#This Row],[Produto]],tProdutos[Produto],0))="",DescontoPadrao,INDEX(tProdutos[Desconto homologado],MATCH(tItens[[#This Row],[Produto]],tProdutos[Produto],0))),DescontoPadrao)</f>
        <v>0.42461538461538501</v>
      </c>
      <c r="M4480" s="12">
        <f>tItens[[#This Row],[Valor]]*(1-tItens[[#This Row],[Desconto]])</f>
        <v>19678.153846153829</v>
      </c>
      <c r="N4480" t="str">
        <f>IFERROR(INDEX(tProdutos[Foco],MATCH(tItens[[#This Row],[Produto]],tProdutos[Produto],0)),"Não")</f>
        <v>Não</v>
      </c>
      <c r="O4480" t="str">
        <f>IFERROR(INDEX(tEditais[SRP],MATCH(tItens[[#This Row],[Edital]],tEditais[Edital],0)),"Não")</f>
        <v>Não</v>
      </c>
      <c r="P4480" s="4">
        <f>IF(COUNTIFS(INDEX(tItens[Edital],1):tItens[[#This Row],[Edital]],tItens[[#This Row],[Edital]],INDEX(tItens[Produto],1):tItens[[#This Row],[Produto]],tItens[[#This Row],[Produto]])=1,1,0)</f>
        <v>1</v>
      </c>
    </row>
    <row r="4481" spans="1:16" x14ac:dyDescent="0.25">
      <c r="A4481" t="s">
        <v>1804</v>
      </c>
      <c r="B4481">
        <v>150</v>
      </c>
      <c r="C4481" t="s">
        <v>7326</v>
      </c>
      <c r="D4481" t="s">
        <v>289</v>
      </c>
      <c r="E4481" s="13">
        <v>20000</v>
      </c>
      <c r="F4481" s="12">
        <v>0.67</v>
      </c>
      <c r="G4481" t="str">
        <f>IFERROR(INDEX(tEditais[Órgão],MATCH(tItens[[#This Row],[Edital]],tEditais[Edital],0)),"")</f>
        <v>MUNICIPIO DE BREJO DOS SANTOS</v>
      </c>
      <c r="H4481" t="str">
        <f>IFERROR(INDEX(tEditais[UF],MATCH(tItens[[#This Row],[Edital]],tEditais[Edital],0)),"")</f>
        <v>PB</v>
      </c>
      <c r="I4481" s="11">
        <f>IFERROR(INDEX(tEditais[Encerramento],MATCH(tItens[[#This Row],[Edital]],tEditais[Edital],0)),"")</f>
        <v>46309.374305555553</v>
      </c>
      <c r="J4481" t="str">
        <f>IFERROR(INDEX(tProdutos[Classe],MATCH(tItens[[#This Row],[Produto]],tProdutos[Produto],0)),"produto não cadastrado")</f>
        <v>DISPUTADO</v>
      </c>
      <c r="K4481" s="12">
        <f>tItens[[#This Row],[Qtd]]*tItens[[#This Row],[Vlr unit]]</f>
        <v>13400</v>
      </c>
      <c r="L4481" s="6">
        <f>IFERROR(IF(INDEX(tProdutos[Desconto homologado],MATCH(tItens[[#This Row],[Produto]],tProdutos[Produto],0))="",DescontoPadrao,INDEX(tProdutos[Desconto homologado],MATCH(tItens[[#This Row],[Produto]],tProdutos[Produto],0))),DescontoPadrao)</f>
        <v>0.35849056603773599</v>
      </c>
      <c r="M4481" s="12">
        <f>tItens[[#This Row],[Valor]]*(1-tItens[[#This Row],[Desconto]])</f>
        <v>8596.2264150943374</v>
      </c>
      <c r="N4481" t="str">
        <f>IFERROR(INDEX(tProdutos[Foco],MATCH(tItens[[#This Row],[Produto]],tProdutos[Produto],0)),"Não")</f>
        <v>Não</v>
      </c>
      <c r="O4481" t="str">
        <f>IFERROR(INDEX(tEditais[SRP],MATCH(tItens[[#This Row],[Edital]],tEditais[Edital],0)),"Não")</f>
        <v>Não</v>
      </c>
      <c r="P4481" s="4">
        <f>IF(COUNTIFS(INDEX(tItens[Edital],1):tItens[[#This Row],[Edital]],tItens[[#This Row],[Edital]],INDEX(tItens[Produto],1):tItens[[#This Row],[Produto]],tItens[[#This Row],[Produto]])=1,1,0)</f>
        <v>1</v>
      </c>
    </row>
    <row r="4482" spans="1:16" x14ac:dyDescent="0.25">
      <c r="A4482" t="s">
        <v>1804</v>
      </c>
      <c r="B4482">
        <v>158</v>
      </c>
      <c r="C4482" t="s">
        <v>7327</v>
      </c>
      <c r="D4482" t="s">
        <v>184</v>
      </c>
      <c r="E4482" s="13">
        <v>100</v>
      </c>
      <c r="F4482" s="12">
        <v>17.66</v>
      </c>
      <c r="G4482" t="str">
        <f>IFERROR(INDEX(tEditais[Órgão],MATCH(tItens[[#This Row],[Edital]],tEditais[Edital],0)),"")</f>
        <v>MUNICIPIO DE BREJO DOS SANTOS</v>
      </c>
      <c r="H4482" t="str">
        <f>IFERROR(INDEX(tEditais[UF],MATCH(tItens[[#This Row],[Edital]],tEditais[Edital],0)),"")</f>
        <v>PB</v>
      </c>
      <c r="I4482" s="11">
        <f>IFERROR(INDEX(tEditais[Encerramento],MATCH(tItens[[#This Row],[Edital]],tEditais[Edital],0)),"")</f>
        <v>46309.374305555553</v>
      </c>
      <c r="J4482" t="str">
        <f>IFERROR(INDEX(tProdutos[Classe],MATCH(tItens[[#This Row],[Produto]],tProdutos[Produto],0)),"produto não cadastrado")</f>
        <v>FORA</v>
      </c>
      <c r="K4482" s="12">
        <f>tItens[[#This Row],[Qtd]]*tItens[[#This Row],[Vlr unit]]</f>
        <v>1766</v>
      </c>
      <c r="L4482" s="6">
        <f>IFERROR(IF(INDEX(tProdutos[Desconto homologado],MATCH(tItens[[#This Row],[Produto]],tProdutos[Produto],0))="",DescontoPadrao,INDEX(tProdutos[Desconto homologado],MATCH(tItens[[#This Row],[Produto]],tProdutos[Produto],0))),DescontoPadrao)</f>
        <v>0.363567906332742</v>
      </c>
      <c r="M4482" s="12">
        <f>tItens[[#This Row],[Valor]]*(1-tItens[[#This Row],[Desconto]])</f>
        <v>1123.9390774163778</v>
      </c>
      <c r="N4482" t="str">
        <f>IFERROR(INDEX(tProdutos[Foco],MATCH(tItens[[#This Row],[Produto]],tProdutos[Produto],0)),"Não")</f>
        <v>Não</v>
      </c>
      <c r="O4482" t="str">
        <f>IFERROR(INDEX(tEditais[SRP],MATCH(tItens[[#This Row],[Edital]],tEditais[Edital],0)),"Não")</f>
        <v>Não</v>
      </c>
      <c r="P4482" s="4">
        <f>IF(COUNTIFS(INDEX(tItens[Edital],1):tItens[[#This Row],[Edital]],tItens[[#This Row],[Edital]],INDEX(tItens[Produto],1):tItens[[#This Row],[Produto]],tItens[[#This Row],[Produto]])=1,1,0)</f>
        <v>1</v>
      </c>
    </row>
    <row r="4483" spans="1:16" x14ac:dyDescent="0.25">
      <c r="A4483" t="s">
        <v>1804</v>
      </c>
      <c r="B4483">
        <v>159</v>
      </c>
      <c r="C4483" t="s">
        <v>7328</v>
      </c>
      <c r="D4483" t="s">
        <v>184</v>
      </c>
      <c r="E4483" s="13">
        <v>100</v>
      </c>
      <c r="F4483" s="12">
        <v>17.66</v>
      </c>
      <c r="G4483" t="str">
        <f>IFERROR(INDEX(tEditais[Órgão],MATCH(tItens[[#This Row],[Edital]],tEditais[Edital],0)),"")</f>
        <v>MUNICIPIO DE BREJO DOS SANTOS</v>
      </c>
      <c r="H4483" t="str">
        <f>IFERROR(INDEX(tEditais[UF],MATCH(tItens[[#This Row],[Edital]],tEditais[Edital],0)),"")</f>
        <v>PB</v>
      </c>
      <c r="I4483" s="11">
        <f>IFERROR(INDEX(tEditais[Encerramento],MATCH(tItens[[#This Row],[Edital]],tEditais[Edital],0)),"")</f>
        <v>46309.374305555553</v>
      </c>
      <c r="J4483" t="str">
        <f>IFERROR(INDEX(tProdutos[Classe],MATCH(tItens[[#This Row],[Produto]],tProdutos[Produto],0)),"produto não cadastrado")</f>
        <v>FORA</v>
      </c>
      <c r="K4483" s="12">
        <f>tItens[[#This Row],[Qtd]]*tItens[[#This Row],[Vlr unit]]</f>
        <v>1766</v>
      </c>
      <c r="L4483" s="6">
        <f>IFERROR(IF(INDEX(tProdutos[Desconto homologado],MATCH(tItens[[#This Row],[Produto]],tProdutos[Produto],0))="",DescontoPadrao,INDEX(tProdutos[Desconto homologado],MATCH(tItens[[#This Row],[Produto]],tProdutos[Produto],0))),DescontoPadrao)</f>
        <v>0.363567906332742</v>
      </c>
      <c r="M4483" s="12">
        <f>tItens[[#This Row],[Valor]]*(1-tItens[[#This Row],[Desconto]])</f>
        <v>1123.9390774163778</v>
      </c>
      <c r="N4483" t="str">
        <f>IFERROR(INDEX(tProdutos[Foco],MATCH(tItens[[#This Row],[Produto]],tProdutos[Produto],0)),"Não")</f>
        <v>Não</v>
      </c>
      <c r="O4483" t="str">
        <f>IFERROR(INDEX(tEditais[SRP],MATCH(tItens[[#This Row],[Edital]],tEditais[Edital],0)),"Não")</f>
        <v>Não</v>
      </c>
      <c r="P4483" s="4">
        <f>IF(COUNTIFS(INDEX(tItens[Edital],1):tItens[[#This Row],[Edital]],tItens[[#This Row],[Edital]],INDEX(tItens[Produto],1):tItens[[#This Row],[Produto]],tItens[[#This Row],[Produto]])=1,1,0)</f>
        <v>0</v>
      </c>
    </row>
    <row r="4484" spans="1:16" x14ac:dyDescent="0.25">
      <c r="A4484" t="s">
        <v>1804</v>
      </c>
      <c r="B4484">
        <v>160</v>
      </c>
      <c r="C4484" t="s">
        <v>7329</v>
      </c>
      <c r="D4484" t="s">
        <v>184</v>
      </c>
      <c r="E4484" s="13">
        <v>100</v>
      </c>
      <c r="F4484" s="12">
        <v>17.66</v>
      </c>
      <c r="G4484" t="str">
        <f>IFERROR(INDEX(tEditais[Órgão],MATCH(tItens[[#This Row],[Edital]],tEditais[Edital],0)),"")</f>
        <v>MUNICIPIO DE BREJO DOS SANTOS</v>
      </c>
      <c r="H4484" t="str">
        <f>IFERROR(INDEX(tEditais[UF],MATCH(tItens[[#This Row],[Edital]],tEditais[Edital],0)),"")</f>
        <v>PB</v>
      </c>
      <c r="I4484" s="11">
        <f>IFERROR(INDEX(tEditais[Encerramento],MATCH(tItens[[#This Row],[Edital]],tEditais[Edital],0)),"")</f>
        <v>46309.374305555553</v>
      </c>
      <c r="J4484" t="str">
        <f>IFERROR(INDEX(tProdutos[Classe],MATCH(tItens[[#This Row],[Produto]],tProdutos[Produto],0)),"produto não cadastrado")</f>
        <v>FORA</v>
      </c>
      <c r="K4484" s="12">
        <f>tItens[[#This Row],[Qtd]]*tItens[[#This Row],[Vlr unit]]</f>
        <v>1766</v>
      </c>
      <c r="L4484" s="6">
        <f>IFERROR(IF(INDEX(tProdutos[Desconto homologado],MATCH(tItens[[#This Row],[Produto]],tProdutos[Produto],0))="",DescontoPadrao,INDEX(tProdutos[Desconto homologado],MATCH(tItens[[#This Row],[Produto]],tProdutos[Produto],0))),DescontoPadrao)</f>
        <v>0.363567906332742</v>
      </c>
      <c r="M4484" s="12">
        <f>tItens[[#This Row],[Valor]]*(1-tItens[[#This Row],[Desconto]])</f>
        <v>1123.9390774163778</v>
      </c>
      <c r="N4484" t="str">
        <f>IFERROR(INDEX(tProdutos[Foco],MATCH(tItens[[#This Row],[Produto]],tProdutos[Produto],0)),"Não")</f>
        <v>Não</v>
      </c>
      <c r="O4484" t="str">
        <f>IFERROR(INDEX(tEditais[SRP],MATCH(tItens[[#This Row],[Edital]],tEditais[Edital],0)),"Não")</f>
        <v>Não</v>
      </c>
      <c r="P4484" s="4">
        <f>IF(COUNTIFS(INDEX(tItens[Edital],1):tItens[[#This Row],[Edital]],tItens[[#This Row],[Edital]],INDEX(tItens[Produto],1):tItens[[#This Row],[Produto]],tItens[[#This Row],[Produto]])=1,1,0)</f>
        <v>0</v>
      </c>
    </row>
    <row r="4485" spans="1:16" x14ac:dyDescent="0.25">
      <c r="A4485" t="s">
        <v>1804</v>
      </c>
      <c r="B4485">
        <v>161</v>
      </c>
      <c r="C4485" t="s">
        <v>7330</v>
      </c>
      <c r="D4485" t="s">
        <v>184</v>
      </c>
      <c r="E4485" s="13">
        <v>100</v>
      </c>
      <c r="F4485" s="12">
        <v>17.66</v>
      </c>
      <c r="G4485" t="str">
        <f>IFERROR(INDEX(tEditais[Órgão],MATCH(tItens[[#This Row],[Edital]],tEditais[Edital],0)),"")</f>
        <v>MUNICIPIO DE BREJO DOS SANTOS</v>
      </c>
      <c r="H4485" t="str">
        <f>IFERROR(INDEX(tEditais[UF],MATCH(tItens[[#This Row],[Edital]],tEditais[Edital],0)),"")</f>
        <v>PB</v>
      </c>
      <c r="I4485" s="11">
        <f>IFERROR(INDEX(tEditais[Encerramento],MATCH(tItens[[#This Row],[Edital]],tEditais[Edital],0)),"")</f>
        <v>46309.374305555553</v>
      </c>
      <c r="J4485" t="str">
        <f>IFERROR(INDEX(tProdutos[Classe],MATCH(tItens[[#This Row],[Produto]],tProdutos[Produto],0)),"produto não cadastrado")</f>
        <v>FORA</v>
      </c>
      <c r="K4485" s="12">
        <f>tItens[[#This Row],[Qtd]]*tItens[[#This Row],[Vlr unit]]</f>
        <v>1766</v>
      </c>
      <c r="L4485" s="6">
        <f>IFERROR(IF(INDEX(tProdutos[Desconto homologado],MATCH(tItens[[#This Row],[Produto]],tProdutos[Produto],0))="",DescontoPadrao,INDEX(tProdutos[Desconto homologado],MATCH(tItens[[#This Row],[Produto]],tProdutos[Produto],0))),DescontoPadrao)</f>
        <v>0.363567906332742</v>
      </c>
      <c r="M4485" s="12">
        <f>tItens[[#This Row],[Valor]]*(1-tItens[[#This Row],[Desconto]])</f>
        <v>1123.9390774163778</v>
      </c>
      <c r="N4485" t="str">
        <f>IFERROR(INDEX(tProdutos[Foco],MATCH(tItens[[#This Row],[Produto]],tProdutos[Produto],0)),"Não")</f>
        <v>Não</v>
      </c>
      <c r="O4485" t="str">
        <f>IFERROR(INDEX(tEditais[SRP],MATCH(tItens[[#This Row],[Edital]],tEditais[Edital],0)),"Não")</f>
        <v>Não</v>
      </c>
      <c r="P4485" s="4">
        <f>IF(COUNTIFS(INDEX(tItens[Edital],1):tItens[[#This Row],[Edital]],tItens[[#This Row],[Edital]],INDEX(tItens[Produto],1):tItens[[#This Row],[Produto]],tItens[[#This Row],[Produto]])=1,1,0)</f>
        <v>0</v>
      </c>
    </row>
    <row r="4486" spans="1:16" x14ac:dyDescent="0.25">
      <c r="A4486" t="s">
        <v>1804</v>
      </c>
      <c r="B4486">
        <v>162</v>
      </c>
      <c r="C4486" t="s">
        <v>7331</v>
      </c>
      <c r="D4486" t="s">
        <v>184</v>
      </c>
      <c r="E4486" s="13">
        <v>100</v>
      </c>
      <c r="F4486" s="12">
        <v>17.66</v>
      </c>
      <c r="G4486" t="str">
        <f>IFERROR(INDEX(tEditais[Órgão],MATCH(tItens[[#This Row],[Edital]],tEditais[Edital],0)),"")</f>
        <v>MUNICIPIO DE BREJO DOS SANTOS</v>
      </c>
      <c r="H4486" t="str">
        <f>IFERROR(INDEX(tEditais[UF],MATCH(tItens[[#This Row],[Edital]],tEditais[Edital],0)),"")</f>
        <v>PB</v>
      </c>
      <c r="I4486" s="11">
        <f>IFERROR(INDEX(tEditais[Encerramento],MATCH(tItens[[#This Row],[Edital]],tEditais[Edital],0)),"")</f>
        <v>46309.374305555553</v>
      </c>
      <c r="J4486" t="str">
        <f>IFERROR(INDEX(tProdutos[Classe],MATCH(tItens[[#This Row],[Produto]],tProdutos[Produto],0)),"produto não cadastrado")</f>
        <v>FORA</v>
      </c>
      <c r="K4486" s="12">
        <f>tItens[[#This Row],[Qtd]]*tItens[[#This Row],[Vlr unit]]</f>
        <v>1766</v>
      </c>
      <c r="L4486" s="6">
        <f>IFERROR(IF(INDEX(tProdutos[Desconto homologado],MATCH(tItens[[#This Row],[Produto]],tProdutos[Produto],0))="",DescontoPadrao,INDEX(tProdutos[Desconto homologado],MATCH(tItens[[#This Row],[Produto]],tProdutos[Produto],0))),DescontoPadrao)</f>
        <v>0.363567906332742</v>
      </c>
      <c r="M4486" s="12">
        <f>tItens[[#This Row],[Valor]]*(1-tItens[[#This Row],[Desconto]])</f>
        <v>1123.9390774163778</v>
      </c>
      <c r="N4486" t="str">
        <f>IFERROR(INDEX(tProdutos[Foco],MATCH(tItens[[#This Row],[Produto]],tProdutos[Produto],0)),"Não")</f>
        <v>Não</v>
      </c>
      <c r="O4486" t="str">
        <f>IFERROR(INDEX(tEditais[SRP],MATCH(tItens[[#This Row],[Edital]],tEditais[Edital],0)),"Não")</f>
        <v>Não</v>
      </c>
      <c r="P4486" s="4">
        <f>IF(COUNTIFS(INDEX(tItens[Edital],1):tItens[[#This Row],[Edital]],tItens[[#This Row],[Edital]],INDEX(tItens[Produto],1):tItens[[#This Row],[Produto]],tItens[[#This Row],[Produto]])=1,1,0)</f>
        <v>0</v>
      </c>
    </row>
    <row r="4487" spans="1:16" x14ac:dyDescent="0.25">
      <c r="A4487" t="s">
        <v>1804</v>
      </c>
      <c r="B4487">
        <v>163</v>
      </c>
      <c r="C4487" t="s">
        <v>7332</v>
      </c>
      <c r="D4487" t="s">
        <v>184</v>
      </c>
      <c r="E4487" s="13">
        <v>100</v>
      </c>
      <c r="F4487" s="12">
        <v>17.66</v>
      </c>
      <c r="G4487" t="str">
        <f>IFERROR(INDEX(tEditais[Órgão],MATCH(tItens[[#This Row],[Edital]],tEditais[Edital],0)),"")</f>
        <v>MUNICIPIO DE BREJO DOS SANTOS</v>
      </c>
      <c r="H4487" t="str">
        <f>IFERROR(INDEX(tEditais[UF],MATCH(tItens[[#This Row],[Edital]],tEditais[Edital],0)),"")</f>
        <v>PB</v>
      </c>
      <c r="I4487" s="11">
        <f>IFERROR(INDEX(tEditais[Encerramento],MATCH(tItens[[#This Row],[Edital]],tEditais[Edital],0)),"")</f>
        <v>46309.374305555553</v>
      </c>
      <c r="J4487" t="str">
        <f>IFERROR(INDEX(tProdutos[Classe],MATCH(tItens[[#This Row],[Produto]],tProdutos[Produto],0)),"produto não cadastrado")</f>
        <v>FORA</v>
      </c>
      <c r="K4487" s="12">
        <f>tItens[[#This Row],[Qtd]]*tItens[[#This Row],[Vlr unit]]</f>
        <v>1766</v>
      </c>
      <c r="L4487" s="6">
        <f>IFERROR(IF(INDEX(tProdutos[Desconto homologado],MATCH(tItens[[#This Row],[Produto]],tProdutos[Produto],0))="",DescontoPadrao,INDEX(tProdutos[Desconto homologado],MATCH(tItens[[#This Row],[Produto]],tProdutos[Produto],0))),DescontoPadrao)</f>
        <v>0.363567906332742</v>
      </c>
      <c r="M4487" s="12">
        <f>tItens[[#This Row],[Valor]]*(1-tItens[[#This Row],[Desconto]])</f>
        <v>1123.9390774163778</v>
      </c>
      <c r="N4487" t="str">
        <f>IFERROR(INDEX(tProdutos[Foco],MATCH(tItens[[#This Row],[Produto]],tProdutos[Produto],0)),"Não")</f>
        <v>Não</v>
      </c>
      <c r="O4487" t="str">
        <f>IFERROR(INDEX(tEditais[SRP],MATCH(tItens[[#This Row],[Edital]],tEditais[Edital],0)),"Não")</f>
        <v>Não</v>
      </c>
      <c r="P4487" s="4">
        <f>IF(COUNTIFS(INDEX(tItens[Edital],1):tItens[[#This Row],[Edital]],tItens[[#This Row],[Edital]],INDEX(tItens[Produto],1):tItens[[#This Row],[Produto]],tItens[[#This Row],[Produto]])=1,1,0)</f>
        <v>0</v>
      </c>
    </row>
    <row r="4488" spans="1:16" x14ac:dyDescent="0.25">
      <c r="A4488" t="s">
        <v>1804</v>
      </c>
      <c r="B4488">
        <v>164</v>
      </c>
      <c r="C4488" t="s">
        <v>7333</v>
      </c>
      <c r="D4488" t="s">
        <v>184</v>
      </c>
      <c r="E4488" s="13">
        <v>100</v>
      </c>
      <c r="F4488" s="12">
        <v>17.66</v>
      </c>
      <c r="G4488" t="str">
        <f>IFERROR(INDEX(tEditais[Órgão],MATCH(tItens[[#This Row],[Edital]],tEditais[Edital],0)),"")</f>
        <v>MUNICIPIO DE BREJO DOS SANTOS</v>
      </c>
      <c r="H4488" t="str">
        <f>IFERROR(INDEX(tEditais[UF],MATCH(tItens[[#This Row],[Edital]],tEditais[Edital],0)),"")</f>
        <v>PB</v>
      </c>
      <c r="I4488" s="11">
        <f>IFERROR(INDEX(tEditais[Encerramento],MATCH(tItens[[#This Row],[Edital]],tEditais[Edital],0)),"")</f>
        <v>46309.374305555553</v>
      </c>
      <c r="J4488" t="str">
        <f>IFERROR(INDEX(tProdutos[Classe],MATCH(tItens[[#This Row],[Produto]],tProdutos[Produto],0)),"produto não cadastrado")</f>
        <v>FORA</v>
      </c>
      <c r="K4488" s="12">
        <f>tItens[[#This Row],[Qtd]]*tItens[[#This Row],[Vlr unit]]</f>
        <v>1766</v>
      </c>
      <c r="L4488" s="6">
        <f>IFERROR(IF(INDEX(tProdutos[Desconto homologado],MATCH(tItens[[#This Row],[Produto]],tProdutos[Produto],0))="",DescontoPadrao,INDEX(tProdutos[Desconto homologado],MATCH(tItens[[#This Row],[Produto]],tProdutos[Produto],0))),DescontoPadrao)</f>
        <v>0.363567906332742</v>
      </c>
      <c r="M4488" s="12">
        <f>tItens[[#This Row],[Valor]]*(1-tItens[[#This Row],[Desconto]])</f>
        <v>1123.9390774163778</v>
      </c>
      <c r="N4488" t="str">
        <f>IFERROR(INDEX(tProdutos[Foco],MATCH(tItens[[#This Row],[Produto]],tProdutos[Produto],0)),"Não")</f>
        <v>Não</v>
      </c>
      <c r="O4488" t="str">
        <f>IFERROR(INDEX(tEditais[SRP],MATCH(tItens[[#This Row],[Edital]],tEditais[Edital],0)),"Não")</f>
        <v>Não</v>
      </c>
      <c r="P4488" s="4">
        <f>IF(COUNTIFS(INDEX(tItens[Edital],1):tItens[[#This Row],[Edital]],tItens[[#This Row],[Edital]],INDEX(tItens[Produto],1):tItens[[#This Row],[Produto]],tItens[[#This Row],[Produto]])=1,1,0)</f>
        <v>0</v>
      </c>
    </row>
    <row r="4489" spans="1:16" x14ac:dyDescent="0.25">
      <c r="A4489" t="s">
        <v>1804</v>
      </c>
      <c r="B4489">
        <v>165</v>
      </c>
      <c r="C4489" t="s">
        <v>7334</v>
      </c>
      <c r="D4489" t="s">
        <v>184</v>
      </c>
      <c r="E4489" s="13">
        <v>100</v>
      </c>
      <c r="F4489" s="12">
        <v>17.66</v>
      </c>
      <c r="G4489" t="str">
        <f>IFERROR(INDEX(tEditais[Órgão],MATCH(tItens[[#This Row],[Edital]],tEditais[Edital],0)),"")</f>
        <v>MUNICIPIO DE BREJO DOS SANTOS</v>
      </c>
      <c r="H4489" t="str">
        <f>IFERROR(INDEX(tEditais[UF],MATCH(tItens[[#This Row],[Edital]],tEditais[Edital],0)),"")</f>
        <v>PB</v>
      </c>
      <c r="I4489" s="11">
        <f>IFERROR(INDEX(tEditais[Encerramento],MATCH(tItens[[#This Row],[Edital]],tEditais[Edital],0)),"")</f>
        <v>46309.374305555553</v>
      </c>
      <c r="J4489" t="str">
        <f>IFERROR(INDEX(tProdutos[Classe],MATCH(tItens[[#This Row],[Produto]],tProdutos[Produto],0)),"produto não cadastrado")</f>
        <v>FORA</v>
      </c>
      <c r="K4489" s="12">
        <f>tItens[[#This Row],[Qtd]]*tItens[[#This Row],[Vlr unit]]</f>
        <v>1766</v>
      </c>
      <c r="L4489" s="6">
        <f>IFERROR(IF(INDEX(tProdutos[Desconto homologado],MATCH(tItens[[#This Row],[Produto]],tProdutos[Produto],0))="",DescontoPadrao,INDEX(tProdutos[Desconto homologado],MATCH(tItens[[#This Row],[Produto]],tProdutos[Produto],0))),DescontoPadrao)</f>
        <v>0.363567906332742</v>
      </c>
      <c r="M4489" s="12">
        <f>tItens[[#This Row],[Valor]]*(1-tItens[[#This Row],[Desconto]])</f>
        <v>1123.9390774163778</v>
      </c>
      <c r="N4489" t="str">
        <f>IFERROR(INDEX(tProdutos[Foco],MATCH(tItens[[#This Row],[Produto]],tProdutos[Produto],0)),"Não")</f>
        <v>Não</v>
      </c>
      <c r="O4489" t="str">
        <f>IFERROR(INDEX(tEditais[SRP],MATCH(tItens[[#This Row],[Edital]],tEditais[Edital],0)),"Não")</f>
        <v>Não</v>
      </c>
      <c r="P4489" s="4">
        <f>IF(COUNTIFS(INDEX(tItens[Edital],1):tItens[[#This Row],[Edital]],tItens[[#This Row],[Edital]],INDEX(tItens[Produto],1):tItens[[#This Row],[Produto]],tItens[[#This Row],[Produto]])=1,1,0)</f>
        <v>0</v>
      </c>
    </row>
    <row r="4490" spans="1:16" x14ac:dyDescent="0.25">
      <c r="A4490" t="s">
        <v>1804</v>
      </c>
      <c r="B4490">
        <v>166</v>
      </c>
      <c r="C4490" t="s">
        <v>7335</v>
      </c>
      <c r="D4490" t="s">
        <v>253</v>
      </c>
      <c r="E4490" s="13">
        <v>100</v>
      </c>
      <c r="F4490" s="12">
        <v>10.39</v>
      </c>
      <c r="G4490" t="str">
        <f>IFERROR(INDEX(tEditais[Órgão],MATCH(tItens[[#This Row],[Edital]],tEditais[Edital],0)),"")</f>
        <v>MUNICIPIO DE BREJO DOS SANTOS</v>
      </c>
      <c r="H4490" t="str">
        <f>IFERROR(INDEX(tEditais[UF],MATCH(tItens[[#This Row],[Edital]],tEditais[Edital],0)),"")</f>
        <v>PB</v>
      </c>
      <c r="I4490" s="11">
        <f>IFERROR(INDEX(tEditais[Encerramento],MATCH(tItens[[#This Row],[Edital]],tEditais[Edital],0)),"")</f>
        <v>46309.374305555553</v>
      </c>
      <c r="J4490" t="str">
        <f>IFERROR(INDEX(tProdutos[Classe],MATCH(tItens[[#This Row],[Produto]],tProdutos[Produto],0)),"produto não cadastrado")</f>
        <v>FORA</v>
      </c>
      <c r="K4490" s="12">
        <f>tItens[[#This Row],[Qtd]]*tItens[[#This Row],[Vlr unit]]</f>
        <v>1039</v>
      </c>
      <c r="L4490" s="6">
        <f>IFERROR(IF(INDEX(tProdutos[Desconto homologado],MATCH(tItens[[#This Row],[Produto]],tProdutos[Produto],0))="",DescontoPadrao,INDEX(tProdutos[Desconto homologado],MATCH(tItens[[#This Row],[Produto]],tProdutos[Produto],0))),DescontoPadrao)</f>
        <v>0.31735159817351599</v>
      </c>
      <c r="M4490" s="12">
        <f>tItens[[#This Row],[Valor]]*(1-tItens[[#This Row],[Desconto]])</f>
        <v>709.27168949771692</v>
      </c>
      <c r="N4490" t="str">
        <f>IFERROR(INDEX(tProdutos[Foco],MATCH(tItens[[#This Row],[Produto]],tProdutos[Produto],0)),"Não")</f>
        <v>Não</v>
      </c>
      <c r="O4490" t="str">
        <f>IFERROR(INDEX(tEditais[SRP],MATCH(tItens[[#This Row],[Edital]],tEditais[Edital],0)),"Não")</f>
        <v>Não</v>
      </c>
      <c r="P4490" s="4">
        <f>IF(COUNTIFS(INDEX(tItens[Edital],1):tItens[[#This Row],[Edital]],tItens[[#This Row],[Edital]],INDEX(tItens[Produto],1):tItens[[#This Row],[Produto]],tItens[[#This Row],[Produto]])=1,1,0)</f>
        <v>1</v>
      </c>
    </row>
    <row r="4491" spans="1:16" x14ac:dyDescent="0.25">
      <c r="A4491" t="s">
        <v>1804</v>
      </c>
      <c r="B4491">
        <v>167</v>
      </c>
      <c r="C4491" t="s">
        <v>7336</v>
      </c>
      <c r="D4491" t="s">
        <v>253</v>
      </c>
      <c r="E4491" s="13">
        <v>100</v>
      </c>
      <c r="F4491" s="12">
        <v>10.78</v>
      </c>
      <c r="G4491" t="str">
        <f>IFERROR(INDEX(tEditais[Órgão],MATCH(tItens[[#This Row],[Edital]],tEditais[Edital],0)),"")</f>
        <v>MUNICIPIO DE BREJO DOS SANTOS</v>
      </c>
      <c r="H4491" t="str">
        <f>IFERROR(INDEX(tEditais[UF],MATCH(tItens[[#This Row],[Edital]],tEditais[Edital],0)),"")</f>
        <v>PB</v>
      </c>
      <c r="I4491" s="11">
        <f>IFERROR(INDEX(tEditais[Encerramento],MATCH(tItens[[#This Row],[Edital]],tEditais[Edital],0)),"")</f>
        <v>46309.374305555553</v>
      </c>
      <c r="J4491" t="str">
        <f>IFERROR(INDEX(tProdutos[Classe],MATCH(tItens[[#This Row],[Produto]],tProdutos[Produto],0)),"produto não cadastrado")</f>
        <v>FORA</v>
      </c>
      <c r="K4491" s="12">
        <f>tItens[[#This Row],[Qtd]]*tItens[[#This Row],[Vlr unit]]</f>
        <v>1078</v>
      </c>
      <c r="L4491" s="6">
        <f>IFERROR(IF(INDEX(tProdutos[Desconto homologado],MATCH(tItens[[#This Row],[Produto]],tProdutos[Produto],0))="",DescontoPadrao,INDEX(tProdutos[Desconto homologado],MATCH(tItens[[#This Row],[Produto]],tProdutos[Produto],0))),DescontoPadrao)</f>
        <v>0.31735159817351599</v>
      </c>
      <c r="M4491" s="12">
        <f>tItens[[#This Row],[Valor]]*(1-tItens[[#This Row],[Desconto]])</f>
        <v>735.89497716894971</v>
      </c>
      <c r="N4491" t="str">
        <f>IFERROR(INDEX(tProdutos[Foco],MATCH(tItens[[#This Row],[Produto]],tProdutos[Produto],0)),"Não")</f>
        <v>Não</v>
      </c>
      <c r="O4491" t="str">
        <f>IFERROR(INDEX(tEditais[SRP],MATCH(tItens[[#This Row],[Edital]],tEditais[Edital],0)),"Não")</f>
        <v>Não</v>
      </c>
      <c r="P4491" s="4">
        <f>IF(COUNTIFS(INDEX(tItens[Edital],1):tItens[[#This Row],[Edital]],tItens[[#This Row],[Edital]],INDEX(tItens[Produto],1):tItens[[#This Row],[Produto]],tItens[[#This Row],[Produto]])=1,1,0)</f>
        <v>0</v>
      </c>
    </row>
    <row r="4492" spans="1:16" x14ac:dyDescent="0.25">
      <c r="A4492" t="s">
        <v>1804</v>
      </c>
      <c r="B4492">
        <v>168</v>
      </c>
      <c r="C4492" t="s">
        <v>7337</v>
      </c>
      <c r="D4492" t="s">
        <v>110</v>
      </c>
      <c r="E4492" s="13">
        <v>10</v>
      </c>
      <c r="F4492" s="12">
        <v>1.1399999999999999</v>
      </c>
      <c r="G4492" t="str">
        <f>IFERROR(INDEX(tEditais[Órgão],MATCH(tItens[[#This Row],[Edital]],tEditais[Edital],0)),"")</f>
        <v>MUNICIPIO DE BREJO DOS SANTOS</v>
      </c>
      <c r="H4492" t="str">
        <f>IFERROR(INDEX(tEditais[UF],MATCH(tItens[[#This Row],[Edital]],tEditais[Edital],0)),"")</f>
        <v>PB</v>
      </c>
      <c r="I4492" s="11">
        <f>IFERROR(INDEX(tEditais[Encerramento],MATCH(tItens[[#This Row],[Edital]],tEditais[Edital],0)),"")</f>
        <v>46309.374305555553</v>
      </c>
      <c r="J4492" t="str">
        <f>IFERROR(INDEX(tProdutos[Classe],MATCH(tItens[[#This Row],[Produto]],tProdutos[Produto],0)),"produto não cadastrado")</f>
        <v>NÚCLEO</v>
      </c>
      <c r="K4492" s="12">
        <f>tItens[[#This Row],[Qtd]]*tItens[[#This Row],[Vlr unit]]</f>
        <v>11.399999999999999</v>
      </c>
      <c r="L4492" s="6">
        <f>IFERROR(IF(INDEX(tProdutos[Desconto homologado],MATCH(tItens[[#This Row],[Produto]],tProdutos[Produto],0))="",DescontoPadrao,INDEX(tProdutos[Desconto homologado],MATCH(tItens[[#This Row],[Produto]],tProdutos[Produto],0))),DescontoPadrao)</f>
        <v>0.30410958904109597</v>
      </c>
      <c r="M4492" s="12">
        <f>tItens[[#This Row],[Valor]]*(1-tItens[[#This Row],[Desconto]])</f>
        <v>7.9331506849315048</v>
      </c>
      <c r="N4492" t="str">
        <f>IFERROR(INDEX(tProdutos[Foco],MATCH(tItens[[#This Row],[Produto]],tProdutos[Produto],0)),"Não")</f>
        <v>Não</v>
      </c>
      <c r="O4492" t="str">
        <f>IFERROR(INDEX(tEditais[SRP],MATCH(tItens[[#This Row],[Edital]],tEditais[Edital],0)),"Não")</f>
        <v>Não</v>
      </c>
      <c r="P4492" s="4">
        <f>IF(COUNTIFS(INDEX(tItens[Edital],1):tItens[[#This Row],[Edital]],tItens[[#This Row],[Edital]],INDEX(tItens[Produto],1):tItens[[#This Row],[Produto]],tItens[[#This Row],[Produto]])=1,1,0)</f>
        <v>1</v>
      </c>
    </row>
    <row r="4493" spans="1:16" x14ac:dyDescent="0.25">
      <c r="A4493" t="s">
        <v>1804</v>
      </c>
      <c r="B4493">
        <v>169</v>
      </c>
      <c r="C4493" t="s">
        <v>7338</v>
      </c>
      <c r="D4493" t="s">
        <v>110</v>
      </c>
      <c r="E4493" s="13">
        <v>10</v>
      </c>
      <c r="F4493" s="12">
        <v>1.1399999999999999</v>
      </c>
      <c r="G4493" t="str">
        <f>IFERROR(INDEX(tEditais[Órgão],MATCH(tItens[[#This Row],[Edital]],tEditais[Edital],0)),"")</f>
        <v>MUNICIPIO DE BREJO DOS SANTOS</v>
      </c>
      <c r="H4493" t="str">
        <f>IFERROR(INDEX(tEditais[UF],MATCH(tItens[[#This Row],[Edital]],tEditais[Edital],0)),"")</f>
        <v>PB</v>
      </c>
      <c r="I4493" s="11">
        <f>IFERROR(INDEX(tEditais[Encerramento],MATCH(tItens[[#This Row],[Edital]],tEditais[Edital],0)),"")</f>
        <v>46309.374305555553</v>
      </c>
      <c r="J4493" t="str">
        <f>IFERROR(INDEX(tProdutos[Classe],MATCH(tItens[[#This Row],[Produto]],tProdutos[Produto],0)),"produto não cadastrado")</f>
        <v>NÚCLEO</v>
      </c>
      <c r="K4493" s="12">
        <f>tItens[[#This Row],[Qtd]]*tItens[[#This Row],[Vlr unit]]</f>
        <v>11.399999999999999</v>
      </c>
      <c r="L4493" s="6">
        <f>IFERROR(IF(INDEX(tProdutos[Desconto homologado],MATCH(tItens[[#This Row],[Produto]],tProdutos[Produto],0))="",DescontoPadrao,INDEX(tProdutos[Desconto homologado],MATCH(tItens[[#This Row],[Produto]],tProdutos[Produto],0))),DescontoPadrao)</f>
        <v>0.30410958904109597</v>
      </c>
      <c r="M4493" s="12">
        <f>tItens[[#This Row],[Valor]]*(1-tItens[[#This Row],[Desconto]])</f>
        <v>7.9331506849315048</v>
      </c>
      <c r="N4493" t="str">
        <f>IFERROR(INDEX(tProdutos[Foco],MATCH(tItens[[#This Row],[Produto]],tProdutos[Produto],0)),"Não")</f>
        <v>Não</v>
      </c>
      <c r="O4493" t="str">
        <f>IFERROR(INDEX(tEditais[SRP],MATCH(tItens[[#This Row],[Edital]],tEditais[Edital],0)),"Não")</f>
        <v>Não</v>
      </c>
      <c r="P4493" s="4">
        <f>IF(COUNTIFS(INDEX(tItens[Edital],1):tItens[[#This Row],[Edital]],tItens[[#This Row],[Edital]],INDEX(tItens[Produto],1):tItens[[#This Row],[Produto]],tItens[[#This Row],[Produto]])=1,1,0)</f>
        <v>0</v>
      </c>
    </row>
    <row r="4494" spans="1:16" x14ac:dyDescent="0.25">
      <c r="A4494" t="s">
        <v>1804</v>
      </c>
      <c r="B4494">
        <v>170</v>
      </c>
      <c r="C4494" t="s">
        <v>7339</v>
      </c>
      <c r="D4494" t="s">
        <v>110</v>
      </c>
      <c r="E4494" s="13">
        <v>10</v>
      </c>
      <c r="F4494" s="12">
        <v>1.1399999999999999</v>
      </c>
      <c r="G4494" t="str">
        <f>IFERROR(INDEX(tEditais[Órgão],MATCH(tItens[[#This Row],[Edital]],tEditais[Edital],0)),"")</f>
        <v>MUNICIPIO DE BREJO DOS SANTOS</v>
      </c>
      <c r="H4494" t="str">
        <f>IFERROR(INDEX(tEditais[UF],MATCH(tItens[[#This Row],[Edital]],tEditais[Edital],0)),"")</f>
        <v>PB</v>
      </c>
      <c r="I4494" s="11">
        <f>IFERROR(INDEX(tEditais[Encerramento],MATCH(tItens[[#This Row],[Edital]],tEditais[Edital],0)),"")</f>
        <v>46309.374305555553</v>
      </c>
      <c r="J4494" t="str">
        <f>IFERROR(INDEX(tProdutos[Classe],MATCH(tItens[[#This Row],[Produto]],tProdutos[Produto],0)),"produto não cadastrado")</f>
        <v>NÚCLEO</v>
      </c>
      <c r="K4494" s="12">
        <f>tItens[[#This Row],[Qtd]]*tItens[[#This Row],[Vlr unit]]</f>
        <v>11.399999999999999</v>
      </c>
      <c r="L4494" s="6">
        <f>IFERROR(IF(INDEX(tProdutos[Desconto homologado],MATCH(tItens[[#This Row],[Produto]],tProdutos[Produto],0))="",DescontoPadrao,INDEX(tProdutos[Desconto homologado],MATCH(tItens[[#This Row],[Produto]],tProdutos[Produto],0))),DescontoPadrao)</f>
        <v>0.30410958904109597</v>
      </c>
      <c r="M4494" s="12">
        <f>tItens[[#This Row],[Valor]]*(1-tItens[[#This Row],[Desconto]])</f>
        <v>7.9331506849315048</v>
      </c>
      <c r="N4494" t="str">
        <f>IFERROR(INDEX(tProdutos[Foco],MATCH(tItens[[#This Row],[Produto]],tProdutos[Produto],0)),"Não")</f>
        <v>Não</v>
      </c>
      <c r="O4494" t="str">
        <f>IFERROR(INDEX(tEditais[SRP],MATCH(tItens[[#This Row],[Edital]],tEditais[Edital],0)),"Não")</f>
        <v>Não</v>
      </c>
      <c r="P4494" s="4">
        <f>IF(COUNTIFS(INDEX(tItens[Edital],1):tItens[[#This Row],[Edital]],tItens[[#This Row],[Edital]],INDEX(tItens[Produto],1):tItens[[#This Row],[Produto]],tItens[[#This Row],[Produto]])=1,1,0)</f>
        <v>0</v>
      </c>
    </row>
    <row r="4495" spans="1:16" x14ac:dyDescent="0.25">
      <c r="A4495" t="s">
        <v>1804</v>
      </c>
      <c r="B4495">
        <v>171</v>
      </c>
      <c r="C4495" t="s">
        <v>7340</v>
      </c>
      <c r="D4495" t="s">
        <v>110</v>
      </c>
      <c r="E4495" s="13">
        <v>10</v>
      </c>
      <c r="F4495" s="12">
        <v>1.1399999999999999</v>
      </c>
      <c r="G4495" t="str">
        <f>IFERROR(INDEX(tEditais[Órgão],MATCH(tItens[[#This Row],[Edital]],tEditais[Edital],0)),"")</f>
        <v>MUNICIPIO DE BREJO DOS SANTOS</v>
      </c>
      <c r="H4495" t="str">
        <f>IFERROR(INDEX(tEditais[UF],MATCH(tItens[[#This Row],[Edital]],tEditais[Edital],0)),"")</f>
        <v>PB</v>
      </c>
      <c r="I4495" s="11">
        <f>IFERROR(INDEX(tEditais[Encerramento],MATCH(tItens[[#This Row],[Edital]],tEditais[Edital],0)),"")</f>
        <v>46309.374305555553</v>
      </c>
      <c r="J4495" t="str">
        <f>IFERROR(INDEX(tProdutos[Classe],MATCH(tItens[[#This Row],[Produto]],tProdutos[Produto],0)),"produto não cadastrado")</f>
        <v>NÚCLEO</v>
      </c>
      <c r="K4495" s="12">
        <f>tItens[[#This Row],[Qtd]]*tItens[[#This Row],[Vlr unit]]</f>
        <v>11.399999999999999</v>
      </c>
      <c r="L4495" s="6">
        <f>IFERROR(IF(INDEX(tProdutos[Desconto homologado],MATCH(tItens[[#This Row],[Produto]],tProdutos[Produto],0))="",DescontoPadrao,INDEX(tProdutos[Desconto homologado],MATCH(tItens[[#This Row],[Produto]],tProdutos[Produto],0))),DescontoPadrao)</f>
        <v>0.30410958904109597</v>
      </c>
      <c r="M4495" s="12">
        <f>tItens[[#This Row],[Valor]]*(1-tItens[[#This Row],[Desconto]])</f>
        <v>7.9331506849315048</v>
      </c>
      <c r="N4495" t="str">
        <f>IFERROR(INDEX(tProdutos[Foco],MATCH(tItens[[#This Row],[Produto]],tProdutos[Produto],0)),"Não")</f>
        <v>Não</v>
      </c>
      <c r="O4495" t="str">
        <f>IFERROR(INDEX(tEditais[SRP],MATCH(tItens[[#This Row],[Edital]],tEditais[Edital],0)),"Não")</f>
        <v>Não</v>
      </c>
      <c r="P4495" s="4">
        <f>IF(COUNTIFS(INDEX(tItens[Edital],1):tItens[[#This Row],[Edital]],tItens[[#This Row],[Edital]],INDEX(tItens[Produto],1):tItens[[#This Row],[Produto]],tItens[[#This Row],[Produto]])=1,1,0)</f>
        <v>0</v>
      </c>
    </row>
    <row r="4496" spans="1:16" x14ac:dyDescent="0.25">
      <c r="A4496" t="s">
        <v>1804</v>
      </c>
      <c r="B4496">
        <v>172</v>
      </c>
      <c r="C4496" t="s">
        <v>7341</v>
      </c>
      <c r="D4496" t="s">
        <v>110</v>
      </c>
      <c r="E4496" s="13">
        <v>10</v>
      </c>
      <c r="F4496" s="12">
        <v>1.1399999999999999</v>
      </c>
      <c r="G4496" t="str">
        <f>IFERROR(INDEX(tEditais[Órgão],MATCH(tItens[[#This Row],[Edital]],tEditais[Edital],0)),"")</f>
        <v>MUNICIPIO DE BREJO DOS SANTOS</v>
      </c>
      <c r="H4496" t="str">
        <f>IFERROR(INDEX(tEditais[UF],MATCH(tItens[[#This Row],[Edital]],tEditais[Edital],0)),"")</f>
        <v>PB</v>
      </c>
      <c r="I4496" s="11">
        <f>IFERROR(INDEX(tEditais[Encerramento],MATCH(tItens[[#This Row],[Edital]],tEditais[Edital],0)),"")</f>
        <v>46309.374305555553</v>
      </c>
      <c r="J4496" t="str">
        <f>IFERROR(INDEX(tProdutos[Classe],MATCH(tItens[[#This Row],[Produto]],tProdutos[Produto],0)),"produto não cadastrado")</f>
        <v>NÚCLEO</v>
      </c>
      <c r="K4496" s="12">
        <f>tItens[[#This Row],[Qtd]]*tItens[[#This Row],[Vlr unit]]</f>
        <v>11.399999999999999</v>
      </c>
      <c r="L4496" s="6">
        <f>IFERROR(IF(INDEX(tProdutos[Desconto homologado],MATCH(tItens[[#This Row],[Produto]],tProdutos[Produto],0))="",DescontoPadrao,INDEX(tProdutos[Desconto homologado],MATCH(tItens[[#This Row],[Produto]],tProdutos[Produto],0))),DescontoPadrao)</f>
        <v>0.30410958904109597</v>
      </c>
      <c r="M4496" s="12">
        <f>tItens[[#This Row],[Valor]]*(1-tItens[[#This Row],[Desconto]])</f>
        <v>7.9331506849315048</v>
      </c>
      <c r="N4496" t="str">
        <f>IFERROR(INDEX(tProdutos[Foco],MATCH(tItens[[#This Row],[Produto]],tProdutos[Produto],0)),"Não")</f>
        <v>Não</v>
      </c>
      <c r="O4496" t="str">
        <f>IFERROR(INDEX(tEditais[SRP],MATCH(tItens[[#This Row],[Edital]],tEditais[Edital],0)),"Não")</f>
        <v>Não</v>
      </c>
      <c r="P4496" s="4">
        <f>IF(COUNTIFS(INDEX(tItens[Edital],1):tItens[[#This Row],[Edital]],tItens[[#This Row],[Edital]],INDEX(tItens[Produto],1):tItens[[#This Row],[Produto]],tItens[[#This Row],[Produto]])=1,1,0)</f>
        <v>0</v>
      </c>
    </row>
    <row r="4497" spans="1:16" x14ac:dyDescent="0.25">
      <c r="A4497" t="s">
        <v>1804</v>
      </c>
      <c r="B4497">
        <v>173</v>
      </c>
      <c r="C4497" t="s">
        <v>7342</v>
      </c>
      <c r="D4497" t="s">
        <v>110</v>
      </c>
      <c r="E4497" s="13">
        <v>10</v>
      </c>
      <c r="F4497" s="12">
        <v>1.1399999999999999</v>
      </c>
      <c r="G4497" t="str">
        <f>IFERROR(INDEX(tEditais[Órgão],MATCH(tItens[[#This Row],[Edital]],tEditais[Edital],0)),"")</f>
        <v>MUNICIPIO DE BREJO DOS SANTOS</v>
      </c>
      <c r="H4497" t="str">
        <f>IFERROR(INDEX(tEditais[UF],MATCH(tItens[[#This Row],[Edital]],tEditais[Edital],0)),"")</f>
        <v>PB</v>
      </c>
      <c r="I4497" s="11">
        <f>IFERROR(INDEX(tEditais[Encerramento],MATCH(tItens[[#This Row],[Edital]],tEditais[Edital],0)),"")</f>
        <v>46309.374305555553</v>
      </c>
      <c r="J4497" t="str">
        <f>IFERROR(INDEX(tProdutos[Classe],MATCH(tItens[[#This Row],[Produto]],tProdutos[Produto],0)),"produto não cadastrado")</f>
        <v>NÚCLEO</v>
      </c>
      <c r="K4497" s="12">
        <f>tItens[[#This Row],[Qtd]]*tItens[[#This Row],[Vlr unit]]</f>
        <v>11.399999999999999</v>
      </c>
      <c r="L4497" s="6">
        <f>IFERROR(IF(INDEX(tProdutos[Desconto homologado],MATCH(tItens[[#This Row],[Produto]],tProdutos[Produto],0))="",DescontoPadrao,INDEX(tProdutos[Desconto homologado],MATCH(tItens[[#This Row],[Produto]],tProdutos[Produto],0))),DescontoPadrao)</f>
        <v>0.30410958904109597</v>
      </c>
      <c r="M4497" s="12">
        <f>tItens[[#This Row],[Valor]]*(1-tItens[[#This Row],[Desconto]])</f>
        <v>7.9331506849315048</v>
      </c>
      <c r="N4497" t="str">
        <f>IFERROR(INDEX(tProdutos[Foco],MATCH(tItens[[#This Row],[Produto]],tProdutos[Produto],0)),"Não")</f>
        <v>Não</v>
      </c>
      <c r="O4497" t="str">
        <f>IFERROR(INDEX(tEditais[SRP],MATCH(tItens[[#This Row],[Edital]],tEditais[Edital],0)),"Não")</f>
        <v>Não</v>
      </c>
      <c r="P4497" s="4">
        <f>IF(COUNTIFS(INDEX(tItens[Edital],1):tItens[[#This Row],[Edital]],tItens[[#This Row],[Edital]],INDEX(tItens[Produto],1):tItens[[#This Row],[Produto]],tItens[[#This Row],[Produto]])=1,1,0)</f>
        <v>0</v>
      </c>
    </row>
    <row r="4498" spans="1:16" x14ac:dyDescent="0.25">
      <c r="A4498" t="s">
        <v>1804</v>
      </c>
      <c r="B4498">
        <v>174</v>
      </c>
      <c r="C4498" t="s">
        <v>7343</v>
      </c>
      <c r="D4498" t="s">
        <v>110</v>
      </c>
      <c r="E4498" s="13">
        <v>10</v>
      </c>
      <c r="F4498" s="12">
        <v>1.1399999999999999</v>
      </c>
      <c r="G4498" t="str">
        <f>IFERROR(INDEX(tEditais[Órgão],MATCH(tItens[[#This Row],[Edital]],tEditais[Edital],0)),"")</f>
        <v>MUNICIPIO DE BREJO DOS SANTOS</v>
      </c>
      <c r="H4498" t="str">
        <f>IFERROR(INDEX(tEditais[UF],MATCH(tItens[[#This Row],[Edital]],tEditais[Edital],0)),"")</f>
        <v>PB</v>
      </c>
      <c r="I4498" s="11">
        <f>IFERROR(INDEX(tEditais[Encerramento],MATCH(tItens[[#This Row],[Edital]],tEditais[Edital],0)),"")</f>
        <v>46309.374305555553</v>
      </c>
      <c r="J4498" t="str">
        <f>IFERROR(INDEX(tProdutos[Classe],MATCH(tItens[[#This Row],[Produto]],tProdutos[Produto],0)),"produto não cadastrado")</f>
        <v>NÚCLEO</v>
      </c>
      <c r="K4498" s="12">
        <f>tItens[[#This Row],[Qtd]]*tItens[[#This Row],[Vlr unit]]</f>
        <v>11.399999999999999</v>
      </c>
      <c r="L4498" s="6">
        <f>IFERROR(IF(INDEX(tProdutos[Desconto homologado],MATCH(tItens[[#This Row],[Produto]],tProdutos[Produto],0))="",DescontoPadrao,INDEX(tProdutos[Desconto homologado],MATCH(tItens[[#This Row],[Produto]],tProdutos[Produto],0))),DescontoPadrao)</f>
        <v>0.30410958904109597</v>
      </c>
      <c r="M4498" s="12">
        <f>tItens[[#This Row],[Valor]]*(1-tItens[[#This Row],[Desconto]])</f>
        <v>7.9331506849315048</v>
      </c>
      <c r="N4498" t="str">
        <f>IFERROR(INDEX(tProdutos[Foco],MATCH(tItens[[#This Row],[Produto]],tProdutos[Produto],0)),"Não")</f>
        <v>Não</v>
      </c>
      <c r="O4498" t="str">
        <f>IFERROR(INDEX(tEditais[SRP],MATCH(tItens[[#This Row],[Edital]],tEditais[Edital],0)),"Não")</f>
        <v>Não</v>
      </c>
      <c r="P4498" s="4">
        <f>IF(COUNTIFS(INDEX(tItens[Edital],1):tItens[[#This Row],[Edital]],tItens[[#This Row],[Edital]],INDEX(tItens[Produto],1):tItens[[#This Row],[Produto]],tItens[[#This Row],[Produto]])=1,1,0)</f>
        <v>0</v>
      </c>
    </row>
    <row r="4499" spans="1:16" x14ac:dyDescent="0.25">
      <c r="A4499" t="s">
        <v>1804</v>
      </c>
      <c r="B4499">
        <v>175</v>
      </c>
      <c r="C4499" t="s">
        <v>7344</v>
      </c>
      <c r="D4499" t="s">
        <v>110</v>
      </c>
      <c r="E4499" s="13">
        <v>10</v>
      </c>
      <c r="F4499" s="12">
        <v>1.1399999999999999</v>
      </c>
      <c r="G4499" t="str">
        <f>IFERROR(INDEX(tEditais[Órgão],MATCH(tItens[[#This Row],[Edital]],tEditais[Edital],0)),"")</f>
        <v>MUNICIPIO DE BREJO DOS SANTOS</v>
      </c>
      <c r="H4499" t="str">
        <f>IFERROR(INDEX(tEditais[UF],MATCH(tItens[[#This Row],[Edital]],tEditais[Edital],0)),"")</f>
        <v>PB</v>
      </c>
      <c r="I4499" s="11">
        <f>IFERROR(INDEX(tEditais[Encerramento],MATCH(tItens[[#This Row],[Edital]],tEditais[Edital],0)),"")</f>
        <v>46309.374305555553</v>
      </c>
      <c r="J4499" t="str">
        <f>IFERROR(INDEX(tProdutos[Classe],MATCH(tItens[[#This Row],[Produto]],tProdutos[Produto],0)),"produto não cadastrado")</f>
        <v>NÚCLEO</v>
      </c>
      <c r="K4499" s="12">
        <f>tItens[[#This Row],[Qtd]]*tItens[[#This Row],[Vlr unit]]</f>
        <v>11.399999999999999</v>
      </c>
      <c r="L4499" s="6">
        <f>IFERROR(IF(INDEX(tProdutos[Desconto homologado],MATCH(tItens[[#This Row],[Produto]],tProdutos[Produto],0))="",DescontoPadrao,INDEX(tProdutos[Desconto homologado],MATCH(tItens[[#This Row],[Produto]],tProdutos[Produto],0))),DescontoPadrao)</f>
        <v>0.30410958904109597</v>
      </c>
      <c r="M4499" s="12">
        <f>tItens[[#This Row],[Valor]]*(1-tItens[[#This Row],[Desconto]])</f>
        <v>7.9331506849315048</v>
      </c>
      <c r="N4499" t="str">
        <f>IFERROR(INDEX(tProdutos[Foco],MATCH(tItens[[#This Row],[Produto]],tProdutos[Produto],0)),"Não")</f>
        <v>Não</v>
      </c>
      <c r="O4499" t="str">
        <f>IFERROR(INDEX(tEditais[SRP],MATCH(tItens[[#This Row],[Edital]],tEditais[Edital],0)),"Não")</f>
        <v>Não</v>
      </c>
      <c r="P4499" s="4">
        <f>IF(COUNTIFS(INDEX(tItens[Edital],1):tItens[[#This Row],[Edital]],tItens[[#This Row],[Edital]],INDEX(tItens[Produto],1):tItens[[#This Row],[Produto]],tItens[[#This Row],[Produto]])=1,1,0)</f>
        <v>0</v>
      </c>
    </row>
    <row r="4500" spans="1:16" x14ac:dyDescent="0.25">
      <c r="A4500" t="s">
        <v>1804</v>
      </c>
      <c r="B4500">
        <v>176</v>
      </c>
      <c r="C4500" t="s">
        <v>7345</v>
      </c>
      <c r="D4500" t="s">
        <v>110</v>
      </c>
      <c r="E4500" s="13">
        <v>10</v>
      </c>
      <c r="F4500" s="12">
        <v>1.1399999999999999</v>
      </c>
      <c r="G4500" t="str">
        <f>IFERROR(INDEX(tEditais[Órgão],MATCH(tItens[[#This Row],[Edital]],tEditais[Edital],0)),"")</f>
        <v>MUNICIPIO DE BREJO DOS SANTOS</v>
      </c>
      <c r="H4500" t="str">
        <f>IFERROR(INDEX(tEditais[UF],MATCH(tItens[[#This Row],[Edital]],tEditais[Edital],0)),"")</f>
        <v>PB</v>
      </c>
      <c r="I4500" s="11">
        <f>IFERROR(INDEX(tEditais[Encerramento],MATCH(tItens[[#This Row],[Edital]],tEditais[Edital],0)),"")</f>
        <v>46309.374305555553</v>
      </c>
      <c r="J4500" t="str">
        <f>IFERROR(INDEX(tProdutos[Classe],MATCH(tItens[[#This Row],[Produto]],tProdutos[Produto],0)),"produto não cadastrado")</f>
        <v>NÚCLEO</v>
      </c>
      <c r="K4500" s="12">
        <f>tItens[[#This Row],[Qtd]]*tItens[[#This Row],[Vlr unit]]</f>
        <v>11.399999999999999</v>
      </c>
      <c r="L4500" s="6">
        <f>IFERROR(IF(INDEX(tProdutos[Desconto homologado],MATCH(tItens[[#This Row],[Produto]],tProdutos[Produto],0))="",DescontoPadrao,INDEX(tProdutos[Desconto homologado],MATCH(tItens[[#This Row],[Produto]],tProdutos[Produto],0))),DescontoPadrao)</f>
        <v>0.30410958904109597</v>
      </c>
      <c r="M4500" s="12">
        <f>tItens[[#This Row],[Valor]]*(1-tItens[[#This Row],[Desconto]])</f>
        <v>7.9331506849315048</v>
      </c>
      <c r="N4500" t="str">
        <f>IFERROR(INDEX(tProdutos[Foco],MATCH(tItens[[#This Row],[Produto]],tProdutos[Produto],0)),"Não")</f>
        <v>Não</v>
      </c>
      <c r="O4500" t="str">
        <f>IFERROR(INDEX(tEditais[SRP],MATCH(tItens[[#This Row],[Edital]],tEditais[Edital],0)),"Não")</f>
        <v>Não</v>
      </c>
      <c r="P4500" s="4">
        <f>IF(COUNTIFS(INDEX(tItens[Edital],1):tItens[[#This Row],[Edital]],tItens[[#This Row],[Edital]],INDEX(tItens[Produto],1):tItens[[#This Row],[Produto]],tItens[[#This Row],[Produto]])=1,1,0)</f>
        <v>0</v>
      </c>
    </row>
    <row r="4501" spans="1:16" x14ac:dyDescent="0.25">
      <c r="A4501" t="s">
        <v>1804</v>
      </c>
      <c r="B4501">
        <v>177</v>
      </c>
      <c r="C4501" t="s">
        <v>7346</v>
      </c>
      <c r="D4501" t="s">
        <v>110</v>
      </c>
      <c r="E4501" s="13">
        <v>10</v>
      </c>
      <c r="F4501" s="12">
        <v>1.1399999999999999</v>
      </c>
      <c r="G4501" t="str">
        <f>IFERROR(INDEX(tEditais[Órgão],MATCH(tItens[[#This Row],[Edital]],tEditais[Edital],0)),"")</f>
        <v>MUNICIPIO DE BREJO DOS SANTOS</v>
      </c>
      <c r="H4501" t="str">
        <f>IFERROR(INDEX(tEditais[UF],MATCH(tItens[[#This Row],[Edital]],tEditais[Edital],0)),"")</f>
        <v>PB</v>
      </c>
      <c r="I4501" s="11">
        <f>IFERROR(INDEX(tEditais[Encerramento],MATCH(tItens[[#This Row],[Edital]],tEditais[Edital],0)),"")</f>
        <v>46309.374305555553</v>
      </c>
      <c r="J4501" t="str">
        <f>IFERROR(INDEX(tProdutos[Classe],MATCH(tItens[[#This Row],[Produto]],tProdutos[Produto],0)),"produto não cadastrado")</f>
        <v>NÚCLEO</v>
      </c>
      <c r="K4501" s="12">
        <f>tItens[[#This Row],[Qtd]]*tItens[[#This Row],[Vlr unit]]</f>
        <v>11.399999999999999</v>
      </c>
      <c r="L4501" s="6">
        <f>IFERROR(IF(INDEX(tProdutos[Desconto homologado],MATCH(tItens[[#This Row],[Produto]],tProdutos[Produto],0))="",DescontoPadrao,INDEX(tProdutos[Desconto homologado],MATCH(tItens[[#This Row],[Produto]],tProdutos[Produto],0))),DescontoPadrao)</f>
        <v>0.30410958904109597</v>
      </c>
      <c r="M4501" s="12">
        <f>tItens[[#This Row],[Valor]]*(1-tItens[[#This Row],[Desconto]])</f>
        <v>7.9331506849315048</v>
      </c>
      <c r="N4501" t="str">
        <f>IFERROR(INDEX(tProdutos[Foco],MATCH(tItens[[#This Row],[Produto]],tProdutos[Produto],0)),"Não")</f>
        <v>Não</v>
      </c>
      <c r="O4501" t="str">
        <f>IFERROR(INDEX(tEditais[SRP],MATCH(tItens[[#This Row],[Edital]],tEditais[Edital],0)),"Não")</f>
        <v>Não</v>
      </c>
      <c r="P4501" s="4">
        <f>IF(COUNTIFS(INDEX(tItens[Edital],1):tItens[[#This Row],[Edital]],tItens[[#This Row],[Edital]],INDEX(tItens[Produto],1):tItens[[#This Row],[Produto]],tItens[[#This Row],[Produto]])=1,1,0)</f>
        <v>0</v>
      </c>
    </row>
    <row r="4502" spans="1:16" x14ac:dyDescent="0.25">
      <c r="A4502" t="s">
        <v>1804</v>
      </c>
      <c r="B4502">
        <v>178</v>
      </c>
      <c r="C4502" t="s">
        <v>7347</v>
      </c>
      <c r="D4502" t="s">
        <v>110</v>
      </c>
      <c r="E4502" s="13">
        <v>10</v>
      </c>
      <c r="F4502" s="12">
        <v>1.1399999999999999</v>
      </c>
      <c r="G4502" t="str">
        <f>IFERROR(INDEX(tEditais[Órgão],MATCH(tItens[[#This Row],[Edital]],tEditais[Edital],0)),"")</f>
        <v>MUNICIPIO DE BREJO DOS SANTOS</v>
      </c>
      <c r="H4502" t="str">
        <f>IFERROR(INDEX(tEditais[UF],MATCH(tItens[[#This Row],[Edital]],tEditais[Edital],0)),"")</f>
        <v>PB</v>
      </c>
      <c r="I4502" s="11">
        <f>IFERROR(INDEX(tEditais[Encerramento],MATCH(tItens[[#This Row],[Edital]],tEditais[Edital],0)),"")</f>
        <v>46309.374305555553</v>
      </c>
      <c r="J4502" t="str">
        <f>IFERROR(INDEX(tProdutos[Classe],MATCH(tItens[[#This Row],[Produto]],tProdutos[Produto],0)),"produto não cadastrado")</f>
        <v>NÚCLEO</v>
      </c>
      <c r="K4502" s="12">
        <f>tItens[[#This Row],[Qtd]]*tItens[[#This Row],[Vlr unit]]</f>
        <v>11.399999999999999</v>
      </c>
      <c r="L4502" s="6">
        <f>IFERROR(IF(INDEX(tProdutos[Desconto homologado],MATCH(tItens[[#This Row],[Produto]],tProdutos[Produto],0))="",DescontoPadrao,INDEX(tProdutos[Desconto homologado],MATCH(tItens[[#This Row],[Produto]],tProdutos[Produto],0))),DescontoPadrao)</f>
        <v>0.30410958904109597</v>
      </c>
      <c r="M4502" s="12">
        <f>tItens[[#This Row],[Valor]]*(1-tItens[[#This Row],[Desconto]])</f>
        <v>7.9331506849315048</v>
      </c>
      <c r="N4502" t="str">
        <f>IFERROR(INDEX(tProdutos[Foco],MATCH(tItens[[#This Row],[Produto]],tProdutos[Produto],0)),"Não")</f>
        <v>Não</v>
      </c>
      <c r="O4502" t="str">
        <f>IFERROR(INDEX(tEditais[SRP],MATCH(tItens[[#This Row],[Edital]],tEditais[Edital],0)),"Não")</f>
        <v>Não</v>
      </c>
      <c r="P4502" s="4">
        <f>IF(COUNTIFS(INDEX(tItens[Edital],1):tItens[[#This Row],[Edital]],tItens[[#This Row],[Edital]],INDEX(tItens[Produto],1):tItens[[#This Row],[Produto]],tItens[[#This Row],[Produto]])=1,1,0)</f>
        <v>0</v>
      </c>
    </row>
    <row r="4503" spans="1:16" x14ac:dyDescent="0.25">
      <c r="A4503" t="s">
        <v>1804</v>
      </c>
      <c r="B4503">
        <v>179</v>
      </c>
      <c r="C4503" t="s">
        <v>7348</v>
      </c>
      <c r="D4503" t="s">
        <v>110</v>
      </c>
      <c r="E4503" s="13">
        <v>10</v>
      </c>
      <c r="F4503" s="12">
        <v>1.1399999999999999</v>
      </c>
      <c r="G4503" t="str">
        <f>IFERROR(INDEX(tEditais[Órgão],MATCH(tItens[[#This Row],[Edital]],tEditais[Edital],0)),"")</f>
        <v>MUNICIPIO DE BREJO DOS SANTOS</v>
      </c>
      <c r="H4503" t="str">
        <f>IFERROR(INDEX(tEditais[UF],MATCH(tItens[[#This Row],[Edital]],tEditais[Edital],0)),"")</f>
        <v>PB</v>
      </c>
      <c r="I4503" s="11">
        <f>IFERROR(INDEX(tEditais[Encerramento],MATCH(tItens[[#This Row],[Edital]],tEditais[Edital],0)),"")</f>
        <v>46309.374305555553</v>
      </c>
      <c r="J4503" t="str">
        <f>IFERROR(INDEX(tProdutos[Classe],MATCH(tItens[[#This Row],[Produto]],tProdutos[Produto],0)),"produto não cadastrado")</f>
        <v>NÚCLEO</v>
      </c>
      <c r="K4503" s="12">
        <f>tItens[[#This Row],[Qtd]]*tItens[[#This Row],[Vlr unit]]</f>
        <v>11.399999999999999</v>
      </c>
      <c r="L4503" s="6">
        <f>IFERROR(IF(INDEX(tProdutos[Desconto homologado],MATCH(tItens[[#This Row],[Produto]],tProdutos[Produto],0))="",DescontoPadrao,INDEX(tProdutos[Desconto homologado],MATCH(tItens[[#This Row],[Produto]],tProdutos[Produto],0))),DescontoPadrao)</f>
        <v>0.30410958904109597</v>
      </c>
      <c r="M4503" s="12">
        <f>tItens[[#This Row],[Valor]]*(1-tItens[[#This Row],[Desconto]])</f>
        <v>7.9331506849315048</v>
      </c>
      <c r="N4503" t="str">
        <f>IFERROR(INDEX(tProdutos[Foco],MATCH(tItens[[#This Row],[Produto]],tProdutos[Produto],0)),"Não")</f>
        <v>Não</v>
      </c>
      <c r="O4503" t="str">
        <f>IFERROR(INDEX(tEditais[SRP],MATCH(tItens[[#This Row],[Edital]],tEditais[Edital],0)),"Não")</f>
        <v>Não</v>
      </c>
      <c r="P4503" s="4">
        <f>IF(COUNTIFS(INDEX(tItens[Edital],1):tItens[[#This Row],[Edital]],tItens[[#This Row],[Edital]],INDEX(tItens[Produto],1):tItens[[#This Row],[Produto]],tItens[[#This Row],[Produto]])=1,1,0)</f>
        <v>0</v>
      </c>
    </row>
    <row r="4504" spans="1:16" x14ac:dyDescent="0.25">
      <c r="A4504" t="s">
        <v>1804</v>
      </c>
      <c r="B4504">
        <v>180</v>
      </c>
      <c r="C4504" t="s">
        <v>7349</v>
      </c>
      <c r="D4504" t="s">
        <v>110</v>
      </c>
      <c r="E4504" s="13">
        <v>10</v>
      </c>
      <c r="F4504" s="12">
        <v>1.59</v>
      </c>
      <c r="G4504" t="str">
        <f>IFERROR(INDEX(tEditais[Órgão],MATCH(tItens[[#This Row],[Edital]],tEditais[Edital],0)),"")</f>
        <v>MUNICIPIO DE BREJO DOS SANTOS</v>
      </c>
      <c r="H4504" t="str">
        <f>IFERROR(INDEX(tEditais[UF],MATCH(tItens[[#This Row],[Edital]],tEditais[Edital],0)),"")</f>
        <v>PB</v>
      </c>
      <c r="I4504" s="11">
        <f>IFERROR(INDEX(tEditais[Encerramento],MATCH(tItens[[#This Row],[Edital]],tEditais[Edital],0)),"")</f>
        <v>46309.374305555553</v>
      </c>
      <c r="J4504" t="str">
        <f>IFERROR(INDEX(tProdutos[Classe],MATCH(tItens[[#This Row],[Produto]],tProdutos[Produto],0)),"produto não cadastrado")</f>
        <v>NÚCLEO</v>
      </c>
      <c r="K4504" s="12">
        <f>tItens[[#This Row],[Qtd]]*tItens[[#This Row],[Vlr unit]]</f>
        <v>15.9</v>
      </c>
      <c r="L4504" s="6">
        <f>IFERROR(IF(INDEX(tProdutos[Desconto homologado],MATCH(tItens[[#This Row],[Produto]],tProdutos[Produto],0))="",DescontoPadrao,INDEX(tProdutos[Desconto homologado],MATCH(tItens[[#This Row],[Produto]],tProdutos[Produto],0))),DescontoPadrao)</f>
        <v>0.30410958904109597</v>
      </c>
      <c r="M4504" s="12">
        <f>tItens[[#This Row],[Valor]]*(1-tItens[[#This Row],[Desconto]])</f>
        <v>11.064657534246574</v>
      </c>
      <c r="N4504" t="str">
        <f>IFERROR(INDEX(tProdutos[Foco],MATCH(tItens[[#This Row],[Produto]],tProdutos[Produto],0)),"Não")</f>
        <v>Não</v>
      </c>
      <c r="O4504" t="str">
        <f>IFERROR(INDEX(tEditais[SRP],MATCH(tItens[[#This Row],[Edital]],tEditais[Edital],0)),"Não")</f>
        <v>Não</v>
      </c>
      <c r="P4504" s="4">
        <f>IF(COUNTIFS(INDEX(tItens[Edital],1):tItens[[#This Row],[Edital]],tItens[[#This Row],[Edital]],INDEX(tItens[Produto],1):tItens[[#This Row],[Produto]],tItens[[#This Row],[Produto]])=1,1,0)</f>
        <v>0</v>
      </c>
    </row>
    <row r="4505" spans="1:16" x14ac:dyDescent="0.25">
      <c r="A4505" t="s">
        <v>1804</v>
      </c>
      <c r="B4505">
        <v>181</v>
      </c>
      <c r="C4505" t="s">
        <v>7350</v>
      </c>
      <c r="D4505" t="s">
        <v>110</v>
      </c>
      <c r="E4505" s="13">
        <v>10</v>
      </c>
      <c r="F4505" s="12">
        <v>1.95</v>
      </c>
      <c r="G4505" t="str">
        <f>IFERROR(INDEX(tEditais[Órgão],MATCH(tItens[[#This Row],[Edital]],tEditais[Edital],0)),"")</f>
        <v>MUNICIPIO DE BREJO DOS SANTOS</v>
      </c>
      <c r="H4505" t="str">
        <f>IFERROR(INDEX(tEditais[UF],MATCH(tItens[[#This Row],[Edital]],tEditais[Edital],0)),"")</f>
        <v>PB</v>
      </c>
      <c r="I4505" s="11">
        <f>IFERROR(INDEX(tEditais[Encerramento],MATCH(tItens[[#This Row],[Edital]],tEditais[Edital],0)),"")</f>
        <v>46309.374305555553</v>
      </c>
      <c r="J4505" t="str">
        <f>IFERROR(INDEX(tProdutos[Classe],MATCH(tItens[[#This Row],[Produto]],tProdutos[Produto],0)),"produto não cadastrado")</f>
        <v>NÚCLEO</v>
      </c>
      <c r="K4505" s="12">
        <f>tItens[[#This Row],[Qtd]]*tItens[[#This Row],[Vlr unit]]</f>
        <v>19.5</v>
      </c>
      <c r="L4505" s="6">
        <f>IFERROR(IF(INDEX(tProdutos[Desconto homologado],MATCH(tItens[[#This Row],[Produto]],tProdutos[Produto],0))="",DescontoPadrao,INDEX(tProdutos[Desconto homologado],MATCH(tItens[[#This Row],[Produto]],tProdutos[Produto],0))),DescontoPadrao)</f>
        <v>0.30410958904109597</v>
      </c>
      <c r="M4505" s="12">
        <f>tItens[[#This Row],[Valor]]*(1-tItens[[#This Row],[Desconto]])</f>
        <v>13.569863013698628</v>
      </c>
      <c r="N4505" t="str">
        <f>IFERROR(INDEX(tProdutos[Foco],MATCH(tItens[[#This Row],[Produto]],tProdutos[Produto],0)),"Não")</f>
        <v>Não</v>
      </c>
      <c r="O4505" t="str">
        <f>IFERROR(INDEX(tEditais[SRP],MATCH(tItens[[#This Row],[Edital]],tEditais[Edital],0)),"Não")</f>
        <v>Não</v>
      </c>
      <c r="P4505" s="4">
        <f>IF(COUNTIFS(INDEX(tItens[Edital],1):tItens[[#This Row],[Edital]],tItens[[#This Row],[Edital]],INDEX(tItens[Produto],1):tItens[[#This Row],[Produto]],tItens[[#This Row],[Produto]])=1,1,0)</f>
        <v>0</v>
      </c>
    </row>
    <row r="4506" spans="1:16" x14ac:dyDescent="0.25">
      <c r="A4506" t="s">
        <v>1804</v>
      </c>
      <c r="B4506">
        <v>182</v>
      </c>
      <c r="C4506" t="s">
        <v>7351</v>
      </c>
      <c r="D4506" t="s">
        <v>110</v>
      </c>
      <c r="E4506" s="13">
        <v>10</v>
      </c>
      <c r="F4506" s="12">
        <v>2.21</v>
      </c>
      <c r="G4506" t="str">
        <f>IFERROR(INDEX(tEditais[Órgão],MATCH(tItens[[#This Row],[Edital]],tEditais[Edital],0)),"")</f>
        <v>MUNICIPIO DE BREJO DOS SANTOS</v>
      </c>
      <c r="H4506" t="str">
        <f>IFERROR(INDEX(tEditais[UF],MATCH(tItens[[#This Row],[Edital]],tEditais[Edital],0)),"")</f>
        <v>PB</v>
      </c>
      <c r="I4506" s="11">
        <f>IFERROR(INDEX(tEditais[Encerramento],MATCH(tItens[[#This Row],[Edital]],tEditais[Edital],0)),"")</f>
        <v>46309.374305555553</v>
      </c>
      <c r="J4506" t="str">
        <f>IFERROR(INDEX(tProdutos[Classe],MATCH(tItens[[#This Row],[Produto]],tProdutos[Produto],0)),"produto não cadastrado")</f>
        <v>NÚCLEO</v>
      </c>
      <c r="K4506" s="12">
        <f>tItens[[#This Row],[Qtd]]*tItens[[#This Row],[Vlr unit]]</f>
        <v>22.1</v>
      </c>
      <c r="L4506" s="6">
        <f>IFERROR(IF(INDEX(tProdutos[Desconto homologado],MATCH(tItens[[#This Row],[Produto]],tProdutos[Produto],0))="",DescontoPadrao,INDEX(tProdutos[Desconto homologado],MATCH(tItens[[#This Row],[Produto]],tProdutos[Produto],0))),DescontoPadrao)</f>
        <v>0.30410958904109597</v>
      </c>
      <c r="M4506" s="12">
        <f>tItens[[#This Row],[Valor]]*(1-tItens[[#This Row],[Desconto]])</f>
        <v>15.37917808219178</v>
      </c>
      <c r="N4506" t="str">
        <f>IFERROR(INDEX(tProdutos[Foco],MATCH(tItens[[#This Row],[Produto]],tProdutos[Produto],0)),"Não")</f>
        <v>Não</v>
      </c>
      <c r="O4506" t="str">
        <f>IFERROR(INDEX(tEditais[SRP],MATCH(tItens[[#This Row],[Edital]],tEditais[Edital],0)),"Não")</f>
        <v>Não</v>
      </c>
      <c r="P4506" s="4">
        <f>IF(COUNTIFS(INDEX(tItens[Edital],1):tItens[[#This Row],[Edital]],tItens[[#This Row],[Edital]],INDEX(tItens[Produto],1):tItens[[#This Row],[Produto]],tItens[[#This Row],[Produto]])=1,1,0)</f>
        <v>0</v>
      </c>
    </row>
    <row r="4507" spans="1:16" x14ac:dyDescent="0.25">
      <c r="A4507" t="s">
        <v>1804</v>
      </c>
      <c r="B4507">
        <v>183</v>
      </c>
      <c r="C4507" t="s">
        <v>7352</v>
      </c>
      <c r="D4507" t="s">
        <v>110</v>
      </c>
      <c r="E4507" s="13">
        <v>10</v>
      </c>
      <c r="F4507" s="12">
        <v>1.24</v>
      </c>
      <c r="G4507" t="str">
        <f>IFERROR(INDEX(tEditais[Órgão],MATCH(tItens[[#This Row],[Edital]],tEditais[Edital],0)),"")</f>
        <v>MUNICIPIO DE BREJO DOS SANTOS</v>
      </c>
      <c r="H4507" t="str">
        <f>IFERROR(INDEX(tEditais[UF],MATCH(tItens[[#This Row],[Edital]],tEditais[Edital],0)),"")</f>
        <v>PB</v>
      </c>
      <c r="I4507" s="11">
        <f>IFERROR(INDEX(tEditais[Encerramento],MATCH(tItens[[#This Row],[Edital]],tEditais[Edital],0)),"")</f>
        <v>46309.374305555553</v>
      </c>
      <c r="J4507" t="str">
        <f>IFERROR(INDEX(tProdutos[Classe],MATCH(tItens[[#This Row],[Produto]],tProdutos[Produto],0)),"produto não cadastrado")</f>
        <v>NÚCLEO</v>
      </c>
      <c r="K4507" s="12">
        <f>tItens[[#This Row],[Qtd]]*tItens[[#This Row],[Vlr unit]]</f>
        <v>12.4</v>
      </c>
      <c r="L4507" s="6">
        <f>IFERROR(IF(INDEX(tProdutos[Desconto homologado],MATCH(tItens[[#This Row],[Produto]],tProdutos[Produto],0))="",DescontoPadrao,INDEX(tProdutos[Desconto homologado],MATCH(tItens[[#This Row],[Produto]],tProdutos[Produto],0))),DescontoPadrao)</f>
        <v>0.30410958904109597</v>
      </c>
      <c r="M4507" s="12">
        <f>tItens[[#This Row],[Valor]]*(1-tItens[[#This Row],[Desconto]])</f>
        <v>8.6290410958904094</v>
      </c>
      <c r="N4507" t="str">
        <f>IFERROR(INDEX(tProdutos[Foco],MATCH(tItens[[#This Row],[Produto]],tProdutos[Produto],0)),"Não")</f>
        <v>Não</v>
      </c>
      <c r="O4507" t="str">
        <f>IFERROR(INDEX(tEditais[SRP],MATCH(tItens[[#This Row],[Edital]],tEditais[Edital],0)),"Não")</f>
        <v>Não</v>
      </c>
      <c r="P4507" s="4">
        <f>IF(COUNTIFS(INDEX(tItens[Edital],1):tItens[[#This Row],[Edital]],tItens[[#This Row],[Edital]],INDEX(tItens[Produto],1):tItens[[#This Row],[Produto]],tItens[[#This Row],[Produto]])=1,1,0)</f>
        <v>0</v>
      </c>
    </row>
    <row r="4508" spans="1:16" x14ac:dyDescent="0.25">
      <c r="A4508" t="s">
        <v>1804</v>
      </c>
      <c r="B4508">
        <v>194</v>
      </c>
      <c r="C4508" t="s">
        <v>7353</v>
      </c>
      <c r="D4508" t="s">
        <v>114</v>
      </c>
      <c r="E4508" s="13">
        <v>200</v>
      </c>
      <c r="F4508" s="12">
        <v>12.78</v>
      </c>
      <c r="G4508" t="str">
        <f>IFERROR(INDEX(tEditais[Órgão],MATCH(tItens[[#This Row],[Edital]],tEditais[Edital],0)),"")</f>
        <v>MUNICIPIO DE BREJO DOS SANTOS</v>
      </c>
      <c r="H4508" t="str">
        <f>IFERROR(INDEX(tEditais[UF],MATCH(tItens[[#This Row],[Edital]],tEditais[Edital],0)),"")</f>
        <v>PB</v>
      </c>
      <c r="I4508" s="11">
        <f>IFERROR(INDEX(tEditais[Encerramento],MATCH(tItens[[#This Row],[Edital]],tEditais[Edital],0)),"")</f>
        <v>46309.374305555553</v>
      </c>
      <c r="J4508" t="str">
        <f>IFERROR(INDEX(tProdutos[Classe],MATCH(tItens[[#This Row],[Produto]],tProdutos[Produto],0)),"produto não cadastrado")</f>
        <v>DISPUTADO</v>
      </c>
      <c r="K4508" s="12">
        <f>tItens[[#This Row],[Qtd]]*tItens[[#This Row],[Vlr unit]]</f>
        <v>2556</v>
      </c>
      <c r="L4508" s="6">
        <f>IFERROR(IF(INDEX(tProdutos[Desconto homologado],MATCH(tItens[[#This Row],[Produto]],tProdutos[Produto],0))="",DescontoPadrao,INDEX(tProdutos[Desconto homologado],MATCH(tItens[[#This Row],[Produto]],tProdutos[Produto],0))),DescontoPadrao)</f>
        <v>0.24332656063896899</v>
      </c>
      <c r="M4508" s="12">
        <f>tItens[[#This Row],[Valor]]*(1-tItens[[#This Row],[Desconto]])</f>
        <v>1934.0573110067953</v>
      </c>
      <c r="N4508" t="str">
        <f>IFERROR(INDEX(tProdutos[Foco],MATCH(tItens[[#This Row],[Produto]],tProdutos[Produto],0)),"Não")</f>
        <v>Não</v>
      </c>
      <c r="O4508" t="str">
        <f>IFERROR(INDEX(tEditais[SRP],MATCH(tItens[[#This Row],[Edital]],tEditais[Edital],0)),"Não")</f>
        <v>Não</v>
      </c>
      <c r="P4508" s="4">
        <f>IF(COUNTIFS(INDEX(tItens[Edital],1):tItens[[#This Row],[Edital]],tItens[[#This Row],[Edital]],INDEX(tItens[Produto],1):tItens[[#This Row],[Produto]],tItens[[#This Row],[Produto]])=1,1,0)</f>
        <v>1</v>
      </c>
    </row>
    <row r="4509" spans="1:16" x14ac:dyDescent="0.25">
      <c r="A4509" t="s">
        <v>1809</v>
      </c>
      <c r="B4509">
        <v>1</v>
      </c>
      <c r="C4509" t="s">
        <v>7354</v>
      </c>
      <c r="D4509" t="s">
        <v>345</v>
      </c>
      <c r="E4509" s="13">
        <v>62400</v>
      </c>
      <c r="F4509" s="12">
        <v>9.7100000000000009</v>
      </c>
      <c r="G4509" t="str">
        <f>IFERROR(INDEX(tEditais[Órgão],MATCH(tItens[[#This Row],[Edital]],tEditais[Edital],0)),"")</f>
        <v>MUNICIPIO DE MAMANGUAPE</v>
      </c>
      <c r="H4509" t="str">
        <f>IFERROR(INDEX(tEditais[UF],MATCH(tItens[[#This Row],[Edital]],tEditais[Edital],0)),"")</f>
        <v>PB</v>
      </c>
      <c r="I4509" s="11">
        <f>IFERROR(INDEX(tEditais[Encerramento],MATCH(tItens[[#This Row],[Edital]],tEditais[Edital],0)),"")</f>
        <v>46309.415972222225</v>
      </c>
      <c r="J4509" t="str">
        <f>IFERROR(INDEX(tProdutos[Classe],MATCH(tItens[[#This Row],[Produto]],tProdutos[Produto],0)),"produto não cadastrado")</f>
        <v>FORA</v>
      </c>
      <c r="K4509" s="12">
        <f>tItens[[#This Row],[Qtd]]*tItens[[#This Row],[Vlr unit]]</f>
        <v>605904</v>
      </c>
      <c r="L4509" s="6">
        <f>IFERROR(IF(INDEX(tProdutos[Desconto homologado],MATCH(tItens[[#This Row],[Produto]],tProdutos[Produto],0))="",DescontoPadrao,INDEX(tProdutos[Desconto homologado],MATCH(tItens[[#This Row],[Produto]],tProdutos[Produto],0))),DescontoPadrao)</f>
        <v>0.412394275616498</v>
      </c>
      <c r="M4509" s="12">
        <f>tItens[[#This Row],[Valor]]*(1-tItens[[#This Row],[Desconto]])</f>
        <v>356032.65882686141</v>
      </c>
      <c r="N4509" t="str">
        <f>IFERROR(INDEX(tProdutos[Foco],MATCH(tItens[[#This Row],[Produto]],tProdutos[Produto],0)),"Não")</f>
        <v>Não</v>
      </c>
      <c r="O4509" t="str">
        <f>IFERROR(INDEX(tEditais[SRP],MATCH(tItens[[#This Row],[Edital]],tEditais[Edital],0)),"Não")</f>
        <v>Não</v>
      </c>
      <c r="P4509" s="4">
        <f>IF(COUNTIFS(INDEX(tItens[Edital],1):tItens[[#This Row],[Edital]],tItens[[#This Row],[Edital]],INDEX(tItens[Produto],1):tItens[[#This Row],[Produto]],tItens[[#This Row],[Produto]])=1,1,0)</f>
        <v>1</v>
      </c>
    </row>
    <row r="4510" spans="1:16" x14ac:dyDescent="0.25">
      <c r="A4510" t="s">
        <v>1809</v>
      </c>
      <c r="B4510">
        <v>2</v>
      </c>
      <c r="C4510" t="s">
        <v>7355</v>
      </c>
      <c r="D4510" t="s">
        <v>345</v>
      </c>
      <c r="E4510" s="13">
        <v>45500</v>
      </c>
      <c r="F4510" s="12">
        <v>9.4600000000000009</v>
      </c>
      <c r="G4510" t="str">
        <f>IFERROR(INDEX(tEditais[Órgão],MATCH(tItens[[#This Row],[Edital]],tEditais[Edital],0)),"")</f>
        <v>MUNICIPIO DE MAMANGUAPE</v>
      </c>
      <c r="H4510" t="str">
        <f>IFERROR(INDEX(tEditais[UF],MATCH(tItens[[#This Row],[Edital]],tEditais[Edital],0)),"")</f>
        <v>PB</v>
      </c>
      <c r="I4510" s="11">
        <f>IFERROR(INDEX(tEditais[Encerramento],MATCH(tItens[[#This Row],[Edital]],tEditais[Edital],0)),"")</f>
        <v>46309.415972222225</v>
      </c>
      <c r="J4510" t="str">
        <f>IFERROR(INDEX(tProdutos[Classe],MATCH(tItens[[#This Row],[Produto]],tProdutos[Produto],0)),"produto não cadastrado")</f>
        <v>FORA</v>
      </c>
      <c r="K4510" s="12">
        <f>tItens[[#This Row],[Qtd]]*tItens[[#This Row],[Vlr unit]]</f>
        <v>430430.00000000006</v>
      </c>
      <c r="L4510" s="6">
        <f>IFERROR(IF(INDEX(tProdutos[Desconto homologado],MATCH(tItens[[#This Row],[Produto]],tProdutos[Produto],0))="",DescontoPadrao,INDEX(tProdutos[Desconto homologado],MATCH(tItens[[#This Row],[Produto]],tProdutos[Produto],0))),DescontoPadrao)</f>
        <v>0.412394275616498</v>
      </c>
      <c r="M4510" s="12">
        <f>tItens[[#This Row],[Valor]]*(1-tItens[[#This Row],[Desconto]])</f>
        <v>252923.13194639081</v>
      </c>
      <c r="N4510" t="str">
        <f>IFERROR(INDEX(tProdutos[Foco],MATCH(tItens[[#This Row],[Produto]],tProdutos[Produto],0)),"Não")</f>
        <v>Não</v>
      </c>
      <c r="O4510" t="str">
        <f>IFERROR(INDEX(tEditais[SRP],MATCH(tItens[[#This Row],[Edital]],tEditais[Edital],0)),"Não")</f>
        <v>Não</v>
      </c>
      <c r="P4510" s="4">
        <f>IF(COUNTIFS(INDEX(tItens[Edital],1):tItens[[#This Row],[Edital]],tItens[[#This Row],[Edital]],INDEX(tItens[Produto],1):tItens[[#This Row],[Produto]],tItens[[#This Row],[Produto]])=1,1,0)</f>
        <v>0</v>
      </c>
    </row>
    <row r="4511" spans="1:16" x14ac:dyDescent="0.25">
      <c r="A4511" t="s">
        <v>1809</v>
      </c>
      <c r="B4511">
        <v>3</v>
      </c>
      <c r="C4511" t="s">
        <v>7356</v>
      </c>
      <c r="D4511" t="s">
        <v>345</v>
      </c>
      <c r="E4511" s="13">
        <v>24960</v>
      </c>
      <c r="F4511" s="12">
        <v>9.4600000000000009</v>
      </c>
      <c r="G4511" t="str">
        <f>IFERROR(INDEX(tEditais[Órgão],MATCH(tItens[[#This Row],[Edital]],tEditais[Edital],0)),"")</f>
        <v>MUNICIPIO DE MAMANGUAPE</v>
      </c>
      <c r="H4511" t="str">
        <f>IFERROR(INDEX(tEditais[UF],MATCH(tItens[[#This Row],[Edital]],tEditais[Edital],0)),"")</f>
        <v>PB</v>
      </c>
      <c r="I4511" s="11">
        <f>IFERROR(INDEX(tEditais[Encerramento],MATCH(tItens[[#This Row],[Edital]],tEditais[Edital],0)),"")</f>
        <v>46309.415972222225</v>
      </c>
      <c r="J4511" t="str">
        <f>IFERROR(INDEX(tProdutos[Classe],MATCH(tItens[[#This Row],[Produto]],tProdutos[Produto],0)),"produto não cadastrado")</f>
        <v>FORA</v>
      </c>
      <c r="K4511" s="12">
        <f>tItens[[#This Row],[Qtd]]*tItens[[#This Row],[Vlr unit]]</f>
        <v>236121.60000000003</v>
      </c>
      <c r="L4511" s="6">
        <f>IFERROR(IF(INDEX(tProdutos[Desconto homologado],MATCH(tItens[[#This Row],[Produto]],tProdutos[Produto],0))="",DescontoPadrao,INDEX(tProdutos[Desconto homologado],MATCH(tItens[[#This Row],[Produto]],tProdutos[Produto],0))),DescontoPadrao)</f>
        <v>0.412394275616498</v>
      </c>
      <c r="M4511" s="12">
        <f>tItens[[#This Row],[Valor]]*(1-tItens[[#This Row],[Desconto]])</f>
        <v>138746.40381059152</v>
      </c>
      <c r="N4511" t="str">
        <f>IFERROR(INDEX(tProdutos[Foco],MATCH(tItens[[#This Row],[Produto]],tProdutos[Produto],0)),"Não")</f>
        <v>Não</v>
      </c>
      <c r="O4511" t="str">
        <f>IFERROR(INDEX(tEditais[SRP],MATCH(tItens[[#This Row],[Edital]],tEditais[Edital],0)),"Não")</f>
        <v>Não</v>
      </c>
      <c r="P4511" s="4">
        <f>IF(COUNTIFS(INDEX(tItens[Edital],1):tItens[[#This Row],[Edital]],tItens[[#This Row],[Edital]],INDEX(tItens[Produto],1):tItens[[#This Row],[Produto]],tItens[[#This Row],[Produto]])=1,1,0)</f>
        <v>0</v>
      </c>
    </row>
    <row r="4512" spans="1:16" x14ac:dyDescent="0.25">
      <c r="A4512" t="s">
        <v>1809</v>
      </c>
      <c r="B4512">
        <v>4</v>
      </c>
      <c r="C4512" t="s">
        <v>7357</v>
      </c>
      <c r="D4512" t="s">
        <v>345</v>
      </c>
      <c r="E4512" s="13">
        <v>63700</v>
      </c>
      <c r="F4512" s="12">
        <v>9.8000000000000007</v>
      </c>
      <c r="G4512" t="str">
        <f>IFERROR(INDEX(tEditais[Órgão],MATCH(tItens[[#This Row],[Edital]],tEditais[Edital],0)),"")</f>
        <v>MUNICIPIO DE MAMANGUAPE</v>
      </c>
      <c r="H4512" t="str">
        <f>IFERROR(INDEX(tEditais[UF],MATCH(tItens[[#This Row],[Edital]],tEditais[Edital],0)),"")</f>
        <v>PB</v>
      </c>
      <c r="I4512" s="11">
        <f>IFERROR(INDEX(tEditais[Encerramento],MATCH(tItens[[#This Row],[Edital]],tEditais[Edital],0)),"")</f>
        <v>46309.415972222225</v>
      </c>
      <c r="J4512" t="str">
        <f>IFERROR(INDEX(tProdutos[Classe],MATCH(tItens[[#This Row],[Produto]],tProdutos[Produto],0)),"produto não cadastrado")</f>
        <v>FORA</v>
      </c>
      <c r="K4512" s="12">
        <f>tItens[[#This Row],[Qtd]]*tItens[[#This Row],[Vlr unit]]</f>
        <v>624260</v>
      </c>
      <c r="L4512" s="6">
        <f>IFERROR(IF(INDEX(tProdutos[Desconto homologado],MATCH(tItens[[#This Row],[Produto]],tProdutos[Produto],0))="",DescontoPadrao,INDEX(tProdutos[Desconto homologado],MATCH(tItens[[#This Row],[Produto]],tProdutos[Produto],0))),DescontoPadrao)</f>
        <v>0.412394275616498</v>
      </c>
      <c r="M4512" s="12">
        <f>tItens[[#This Row],[Valor]]*(1-tItens[[#This Row],[Desconto]])</f>
        <v>366818.74950364494</v>
      </c>
      <c r="N4512" t="str">
        <f>IFERROR(INDEX(tProdutos[Foco],MATCH(tItens[[#This Row],[Produto]],tProdutos[Produto],0)),"Não")</f>
        <v>Não</v>
      </c>
      <c r="O4512" t="str">
        <f>IFERROR(INDEX(tEditais[SRP],MATCH(tItens[[#This Row],[Edital]],tEditais[Edital],0)),"Não")</f>
        <v>Não</v>
      </c>
      <c r="P4512" s="4">
        <f>IF(COUNTIFS(INDEX(tItens[Edital],1):tItens[[#This Row],[Edital]],tItens[[#This Row],[Edital]],INDEX(tItens[Produto],1):tItens[[#This Row],[Produto]],tItens[[#This Row],[Produto]])=1,1,0)</f>
        <v>0</v>
      </c>
    </row>
    <row r="4513" spans="1:16" x14ac:dyDescent="0.25">
      <c r="A4513" t="s">
        <v>1813</v>
      </c>
      <c r="B4513">
        <v>2</v>
      </c>
      <c r="C4513" t="s">
        <v>7358</v>
      </c>
      <c r="D4513" t="s">
        <v>351</v>
      </c>
      <c r="E4513" s="13">
        <v>1000</v>
      </c>
      <c r="F4513" s="12">
        <v>18.48</v>
      </c>
      <c r="G4513" t="str">
        <f>IFERROR(INDEX(tEditais[Órgão],MATCH(tItens[[#This Row],[Edital]],tEditais[Edital],0)),"")</f>
        <v>MUNICIPIO DE RIO TINTO</v>
      </c>
      <c r="H4513" t="str">
        <f>IFERROR(INDEX(tEditais[UF],MATCH(tItens[[#This Row],[Edital]],tEditais[Edital],0)),"")</f>
        <v>PB</v>
      </c>
      <c r="I4513" s="11">
        <f>IFERROR(INDEX(tEditais[Encerramento],MATCH(tItens[[#This Row],[Edital]],tEditais[Edital],0)),"")</f>
        <v>46310.374305555553</v>
      </c>
      <c r="J4513" t="str">
        <f>IFERROR(INDEX(tProdutos[Classe],MATCH(tItens[[#This Row],[Produto]],tProdutos[Produto],0)),"produto não cadastrado")</f>
        <v>FORA</v>
      </c>
      <c r="K4513" s="12">
        <f>tItens[[#This Row],[Qtd]]*tItens[[#This Row],[Vlr unit]]</f>
        <v>18480</v>
      </c>
      <c r="L4513" s="6">
        <f>IFERROR(IF(INDEX(tProdutos[Desconto homologado],MATCH(tItens[[#This Row],[Produto]],tProdutos[Produto],0))="",DescontoPadrao,INDEX(tProdutos[Desconto homologado],MATCH(tItens[[#This Row],[Produto]],tProdutos[Produto],0))),DescontoPadrao)</f>
        <v>0.33518005540166201</v>
      </c>
      <c r="M4513" s="12">
        <f>tItens[[#This Row],[Valor]]*(1-tItens[[#This Row],[Desconto]])</f>
        <v>12285.872576177288</v>
      </c>
      <c r="N4513" t="str">
        <f>IFERROR(INDEX(tProdutos[Foco],MATCH(tItens[[#This Row],[Produto]],tProdutos[Produto],0)),"Não")</f>
        <v>Não</v>
      </c>
      <c r="O4513" t="str">
        <f>IFERROR(INDEX(tEditais[SRP],MATCH(tItens[[#This Row],[Edital]],tEditais[Edital],0)),"Não")</f>
        <v>Não</v>
      </c>
      <c r="P4513" s="4">
        <f>IF(COUNTIFS(INDEX(tItens[Edital],1):tItens[[#This Row],[Edital]],tItens[[#This Row],[Edital]],INDEX(tItens[Produto],1):tItens[[#This Row],[Produto]],tItens[[#This Row],[Produto]])=1,1,0)</f>
        <v>1</v>
      </c>
    </row>
    <row r="4514" spans="1:16" x14ac:dyDescent="0.25">
      <c r="A4514" t="s">
        <v>1813</v>
      </c>
      <c r="B4514">
        <v>3</v>
      </c>
      <c r="C4514" t="s">
        <v>7359</v>
      </c>
      <c r="D4514" t="s">
        <v>351</v>
      </c>
      <c r="E4514" s="13">
        <v>1500</v>
      </c>
      <c r="F4514" s="12">
        <v>35.090000000000003</v>
      </c>
      <c r="G4514" t="str">
        <f>IFERROR(INDEX(tEditais[Órgão],MATCH(tItens[[#This Row],[Edital]],tEditais[Edital],0)),"")</f>
        <v>MUNICIPIO DE RIO TINTO</v>
      </c>
      <c r="H4514" t="str">
        <f>IFERROR(INDEX(tEditais[UF],MATCH(tItens[[#This Row],[Edital]],tEditais[Edital],0)),"")</f>
        <v>PB</v>
      </c>
      <c r="I4514" s="11">
        <f>IFERROR(INDEX(tEditais[Encerramento],MATCH(tItens[[#This Row],[Edital]],tEditais[Edital],0)),"")</f>
        <v>46310.374305555553</v>
      </c>
      <c r="J4514" t="str">
        <f>IFERROR(INDEX(tProdutos[Classe],MATCH(tItens[[#This Row],[Produto]],tProdutos[Produto],0)),"produto não cadastrado")</f>
        <v>FORA</v>
      </c>
      <c r="K4514" s="12">
        <f>tItens[[#This Row],[Qtd]]*tItens[[#This Row],[Vlr unit]]</f>
        <v>52635.000000000007</v>
      </c>
      <c r="L4514" s="6">
        <f>IFERROR(IF(INDEX(tProdutos[Desconto homologado],MATCH(tItens[[#This Row],[Produto]],tProdutos[Produto],0))="",DescontoPadrao,INDEX(tProdutos[Desconto homologado],MATCH(tItens[[#This Row],[Produto]],tProdutos[Produto],0))),DescontoPadrao)</f>
        <v>0.33518005540166201</v>
      </c>
      <c r="M4514" s="12">
        <f>tItens[[#This Row],[Valor]]*(1-tItens[[#This Row],[Desconto]])</f>
        <v>34992.797783933529</v>
      </c>
      <c r="N4514" t="str">
        <f>IFERROR(INDEX(tProdutos[Foco],MATCH(tItens[[#This Row],[Produto]],tProdutos[Produto],0)),"Não")</f>
        <v>Não</v>
      </c>
      <c r="O4514" t="str">
        <f>IFERROR(INDEX(tEditais[SRP],MATCH(tItens[[#This Row],[Edital]],tEditais[Edital],0)),"Não")</f>
        <v>Não</v>
      </c>
      <c r="P4514" s="4">
        <f>IF(COUNTIFS(INDEX(tItens[Edital],1):tItens[[#This Row],[Edital]],tItens[[#This Row],[Edital]],INDEX(tItens[Produto],1):tItens[[#This Row],[Produto]],tItens[[#This Row],[Produto]])=1,1,0)</f>
        <v>0</v>
      </c>
    </row>
    <row r="4515" spans="1:16" x14ac:dyDescent="0.25">
      <c r="A4515" t="s">
        <v>1813</v>
      </c>
      <c r="B4515">
        <v>4</v>
      </c>
      <c r="C4515" t="s">
        <v>7360</v>
      </c>
      <c r="D4515" t="s">
        <v>132</v>
      </c>
      <c r="E4515" s="13">
        <v>1500</v>
      </c>
      <c r="F4515" s="12">
        <v>11.36</v>
      </c>
      <c r="G4515" t="str">
        <f>IFERROR(INDEX(tEditais[Órgão],MATCH(tItens[[#This Row],[Edital]],tEditais[Edital],0)),"")</f>
        <v>MUNICIPIO DE RIO TINTO</v>
      </c>
      <c r="H4515" t="str">
        <f>IFERROR(INDEX(tEditais[UF],MATCH(tItens[[#This Row],[Edital]],tEditais[Edital],0)),"")</f>
        <v>PB</v>
      </c>
      <c r="I4515" s="11">
        <f>IFERROR(INDEX(tEditais[Encerramento],MATCH(tItens[[#This Row],[Edital]],tEditais[Edital],0)),"")</f>
        <v>46310.374305555553</v>
      </c>
      <c r="J4515" t="str">
        <f>IFERROR(INDEX(tProdutos[Classe],MATCH(tItens[[#This Row],[Produto]],tProdutos[Produto],0)),"produto não cadastrado")</f>
        <v>NÚCLEO</v>
      </c>
      <c r="K4515" s="12">
        <f>tItens[[#This Row],[Qtd]]*tItens[[#This Row],[Vlr unit]]</f>
        <v>17040</v>
      </c>
      <c r="L4515" s="6">
        <f>IFERROR(IF(INDEX(tProdutos[Desconto homologado],MATCH(tItens[[#This Row],[Produto]],tProdutos[Produto],0))="",DescontoPadrao,INDEX(tProdutos[Desconto homologado],MATCH(tItens[[#This Row],[Produto]],tProdutos[Produto],0))),DescontoPadrao)</f>
        <v>0.27</v>
      </c>
      <c r="M4515" s="12">
        <f>tItens[[#This Row],[Valor]]*(1-tItens[[#This Row],[Desconto]])</f>
        <v>12439.199999999999</v>
      </c>
      <c r="N4515" t="str">
        <f>IFERROR(INDEX(tProdutos[Foco],MATCH(tItens[[#This Row],[Produto]],tProdutos[Produto],0)),"Não")</f>
        <v>Sim</v>
      </c>
      <c r="O4515" t="str">
        <f>IFERROR(INDEX(tEditais[SRP],MATCH(tItens[[#This Row],[Edital]],tEditais[Edital],0)),"Não")</f>
        <v>Não</v>
      </c>
      <c r="P4515" s="4">
        <f>IF(COUNTIFS(INDEX(tItens[Edital],1):tItens[[#This Row],[Edital]],tItens[[#This Row],[Edital]],INDEX(tItens[Produto],1):tItens[[#This Row],[Produto]],tItens[[#This Row],[Produto]])=1,1,0)</f>
        <v>1</v>
      </c>
    </row>
    <row r="4516" spans="1:16" x14ac:dyDescent="0.25">
      <c r="A4516" t="s">
        <v>1813</v>
      </c>
      <c r="B4516">
        <v>7</v>
      </c>
      <c r="C4516" t="s">
        <v>7361</v>
      </c>
      <c r="D4516" t="s">
        <v>383</v>
      </c>
      <c r="E4516" s="13">
        <v>30000</v>
      </c>
      <c r="F4516" s="12">
        <v>0.87</v>
      </c>
      <c r="G4516" t="str">
        <f>IFERROR(INDEX(tEditais[Órgão],MATCH(tItens[[#This Row],[Edital]],tEditais[Edital],0)),"")</f>
        <v>MUNICIPIO DE RIO TINTO</v>
      </c>
      <c r="H4516" t="str">
        <f>IFERROR(INDEX(tEditais[UF],MATCH(tItens[[#This Row],[Edital]],tEditais[Edital],0)),"")</f>
        <v>PB</v>
      </c>
      <c r="I4516" s="11">
        <f>IFERROR(INDEX(tEditais[Encerramento],MATCH(tItens[[#This Row],[Edital]],tEditais[Edital],0)),"")</f>
        <v>46310.374305555553</v>
      </c>
      <c r="J4516" t="str">
        <f>IFERROR(INDEX(tProdutos[Classe],MATCH(tItens[[#This Row],[Produto]],tProdutos[Produto],0)),"produto não cadastrado")</f>
        <v>FORA</v>
      </c>
      <c r="K4516" s="12">
        <f>tItens[[#This Row],[Qtd]]*tItens[[#This Row],[Vlr unit]]</f>
        <v>26100</v>
      </c>
      <c r="L4516" s="6">
        <f>IFERROR(IF(INDEX(tProdutos[Desconto homologado],MATCH(tItens[[#This Row],[Produto]],tProdutos[Produto],0))="",DescontoPadrao,INDEX(tProdutos[Desconto homologado],MATCH(tItens[[#This Row],[Produto]],tProdutos[Produto],0))),DescontoPadrao)</f>
        <v>0.48749999999999999</v>
      </c>
      <c r="M4516" s="12">
        <f>tItens[[#This Row],[Valor]]*(1-tItens[[#This Row],[Desconto]])</f>
        <v>13376.249999999998</v>
      </c>
      <c r="N4516" t="str">
        <f>IFERROR(INDEX(tProdutos[Foco],MATCH(tItens[[#This Row],[Produto]],tProdutos[Produto],0)),"Não")</f>
        <v>Não</v>
      </c>
      <c r="O4516" t="str">
        <f>IFERROR(INDEX(tEditais[SRP],MATCH(tItens[[#This Row],[Edital]],tEditais[Edital],0)),"Não")</f>
        <v>Não</v>
      </c>
      <c r="P4516" s="4">
        <f>IF(COUNTIFS(INDEX(tItens[Edital],1):tItens[[#This Row],[Edital]],tItens[[#This Row],[Edital]],INDEX(tItens[Produto],1):tItens[[#This Row],[Produto]],tItens[[#This Row],[Produto]])=1,1,0)</f>
        <v>1</v>
      </c>
    </row>
    <row r="4517" spans="1:16" x14ac:dyDescent="0.25">
      <c r="A4517" t="s">
        <v>1813</v>
      </c>
      <c r="B4517">
        <v>8</v>
      </c>
      <c r="C4517" t="s">
        <v>7362</v>
      </c>
      <c r="D4517" t="s">
        <v>75</v>
      </c>
      <c r="E4517" s="13">
        <v>3000</v>
      </c>
      <c r="F4517" s="12">
        <v>3.27</v>
      </c>
      <c r="G4517" t="str">
        <f>IFERROR(INDEX(tEditais[Órgão],MATCH(tItens[[#This Row],[Edital]],tEditais[Edital],0)),"")</f>
        <v>MUNICIPIO DE RIO TINTO</v>
      </c>
      <c r="H4517" t="str">
        <f>IFERROR(INDEX(tEditais[UF],MATCH(tItens[[#This Row],[Edital]],tEditais[Edital],0)),"")</f>
        <v>PB</v>
      </c>
      <c r="I4517" s="11">
        <f>IFERROR(INDEX(tEditais[Encerramento],MATCH(tItens[[#This Row],[Edital]],tEditais[Edital],0)),"")</f>
        <v>46310.374305555553</v>
      </c>
      <c r="J4517" t="str">
        <f>IFERROR(INDEX(tProdutos[Classe],MATCH(tItens[[#This Row],[Produto]],tProdutos[Produto],0)),"produto não cadastrado")</f>
        <v>NÚCLEO</v>
      </c>
      <c r="K4517" s="12">
        <f>tItens[[#This Row],[Qtd]]*tItens[[#This Row],[Vlr unit]]</f>
        <v>9810</v>
      </c>
      <c r="L4517" s="6">
        <f>IFERROR(IF(INDEX(tProdutos[Desconto homologado],MATCH(tItens[[#This Row],[Produto]],tProdutos[Produto],0))="",DescontoPadrao,INDEX(tProdutos[Desconto homologado],MATCH(tItens[[#This Row],[Produto]],tProdutos[Produto],0))),DescontoPadrao)</f>
        <v>0.26</v>
      </c>
      <c r="M4517" s="12">
        <f>tItens[[#This Row],[Valor]]*(1-tItens[[#This Row],[Desconto]])</f>
        <v>7259.4</v>
      </c>
      <c r="N4517" t="str">
        <f>IFERROR(INDEX(tProdutos[Foco],MATCH(tItens[[#This Row],[Produto]],tProdutos[Produto],0)),"Não")</f>
        <v>Sim</v>
      </c>
      <c r="O4517" t="str">
        <f>IFERROR(INDEX(tEditais[SRP],MATCH(tItens[[#This Row],[Edital]],tEditais[Edital],0)),"Não")</f>
        <v>Não</v>
      </c>
      <c r="P4517" s="4">
        <f>IF(COUNTIFS(INDEX(tItens[Edital],1):tItens[[#This Row],[Edital]],tItens[[#This Row],[Edital]],INDEX(tItens[Produto],1):tItens[[#This Row],[Produto]],tItens[[#This Row],[Produto]])=1,1,0)</f>
        <v>1</v>
      </c>
    </row>
    <row r="4518" spans="1:16" x14ac:dyDescent="0.25">
      <c r="A4518" t="s">
        <v>1813</v>
      </c>
      <c r="B4518">
        <v>9</v>
      </c>
      <c r="C4518" t="s">
        <v>7363</v>
      </c>
      <c r="D4518" t="s">
        <v>75</v>
      </c>
      <c r="E4518" s="13">
        <v>3000</v>
      </c>
      <c r="F4518" s="12">
        <v>3.22</v>
      </c>
      <c r="G4518" t="str">
        <f>IFERROR(INDEX(tEditais[Órgão],MATCH(tItens[[#This Row],[Edital]],tEditais[Edital],0)),"")</f>
        <v>MUNICIPIO DE RIO TINTO</v>
      </c>
      <c r="H4518" t="str">
        <f>IFERROR(INDEX(tEditais[UF],MATCH(tItens[[#This Row],[Edital]],tEditais[Edital],0)),"")</f>
        <v>PB</v>
      </c>
      <c r="I4518" s="11">
        <f>IFERROR(INDEX(tEditais[Encerramento],MATCH(tItens[[#This Row],[Edital]],tEditais[Edital],0)),"")</f>
        <v>46310.374305555553</v>
      </c>
      <c r="J4518" t="str">
        <f>IFERROR(INDEX(tProdutos[Classe],MATCH(tItens[[#This Row],[Produto]],tProdutos[Produto],0)),"produto não cadastrado")</f>
        <v>NÚCLEO</v>
      </c>
      <c r="K4518" s="12">
        <f>tItens[[#This Row],[Qtd]]*tItens[[#This Row],[Vlr unit]]</f>
        <v>9660</v>
      </c>
      <c r="L4518" s="6">
        <f>IFERROR(IF(INDEX(tProdutos[Desconto homologado],MATCH(tItens[[#This Row],[Produto]],tProdutos[Produto],0))="",DescontoPadrao,INDEX(tProdutos[Desconto homologado],MATCH(tItens[[#This Row],[Produto]],tProdutos[Produto],0))),DescontoPadrao)</f>
        <v>0.26</v>
      </c>
      <c r="M4518" s="12">
        <f>tItens[[#This Row],[Valor]]*(1-tItens[[#This Row],[Desconto]])</f>
        <v>7148.4</v>
      </c>
      <c r="N4518" t="str">
        <f>IFERROR(INDEX(tProdutos[Foco],MATCH(tItens[[#This Row],[Produto]],tProdutos[Produto],0)),"Não")</f>
        <v>Sim</v>
      </c>
      <c r="O4518" t="str">
        <f>IFERROR(INDEX(tEditais[SRP],MATCH(tItens[[#This Row],[Edital]],tEditais[Edital],0)),"Não")</f>
        <v>Não</v>
      </c>
      <c r="P4518" s="4">
        <f>IF(COUNTIFS(INDEX(tItens[Edital],1):tItens[[#This Row],[Edital]],tItens[[#This Row],[Edital]],INDEX(tItens[Produto],1):tItens[[#This Row],[Produto]],tItens[[#This Row],[Produto]])=1,1,0)</f>
        <v>0</v>
      </c>
    </row>
    <row r="4519" spans="1:16" x14ac:dyDescent="0.25">
      <c r="A4519" t="s">
        <v>1813</v>
      </c>
      <c r="B4519">
        <v>11</v>
      </c>
      <c r="C4519" t="s">
        <v>7364</v>
      </c>
      <c r="D4519" t="s">
        <v>56</v>
      </c>
      <c r="E4519" s="13">
        <v>5000</v>
      </c>
      <c r="F4519" s="12">
        <v>0.73</v>
      </c>
      <c r="G4519" t="str">
        <f>IFERROR(INDEX(tEditais[Órgão],MATCH(tItens[[#This Row],[Edital]],tEditais[Edital],0)),"")</f>
        <v>MUNICIPIO DE RIO TINTO</v>
      </c>
      <c r="H4519" t="str">
        <f>IFERROR(INDEX(tEditais[UF],MATCH(tItens[[#This Row],[Edital]],tEditais[Edital],0)),"")</f>
        <v>PB</v>
      </c>
      <c r="I4519" s="11">
        <f>IFERROR(INDEX(tEditais[Encerramento],MATCH(tItens[[#This Row],[Edital]],tEditais[Edital],0)),"")</f>
        <v>46310.374305555553</v>
      </c>
      <c r="J4519" t="str">
        <f>IFERROR(INDEX(tProdutos[Classe],MATCH(tItens[[#This Row],[Produto]],tProdutos[Produto],0)),"produto não cadastrado")</f>
        <v>NÚCLEO</v>
      </c>
      <c r="K4519" s="12">
        <f>tItens[[#This Row],[Qtd]]*tItens[[#This Row],[Vlr unit]]</f>
        <v>3650</v>
      </c>
      <c r="L4519" s="6">
        <f>IFERROR(IF(INDEX(tProdutos[Desconto homologado],MATCH(tItens[[#This Row],[Produto]],tProdutos[Produto],0))="",DescontoPadrao,INDEX(tProdutos[Desconto homologado],MATCH(tItens[[#This Row],[Produto]],tProdutos[Produto],0))),DescontoPadrao)</f>
        <v>0.34</v>
      </c>
      <c r="M4519" s="12">
        <f>tItens[[#This Row],[Valor]]*(1-tItens[[#This Row],[Desconto]])</f>
        <v>2408.9999999999995</v>
      </c>
      <c r="N4519" t="str">
        <f>IFERROR(INDEX(tProdutos[Foco],MATCH(tItens[[#This Row],[Produto]],tProdutos[Produto],0)),"Não")</f>
        <v>Sim</v>
      </c>
      <c r="O4519" t="str">
        <f>IFERROR(INDEX(tEditais[SRP],MATCH(tItens[[#This Row],[Edital]],tEditais[Edital],0)),"Não")</f>
        <v>Não</v>
      </c>
      <c r="P4519" s="4">
        <f>IF(COUNTIFS(INDEX(tItens[Edital],1):tItens[[#This Row],[Edital]],tItens[[#This Row],[Edital]],INDEX(tItens[Produto],1):tItens[[#This Row],[Produto]],tItens[[#This Row],[Produto]])=1,1,0)</f>
        <v>1</v>
      </c>
    </row>
    <row r="4520" spans="1:16" x14ac:dyDescent="0.25">
      <c r="A4520" t="s">
        <v>1813</v>
      </c>
      <c r="B4520">
        <v>12</v>
      </c>
      <c r="C4520" t="s">
        <v>7365</v>
      </c>
      <c r="D4520" t="s">
        <v>56</v>
      </c>
      <c r="E4520" s="13">
        <v>5000</v>
      </c>
      <c r="F4520" s="12">
        <v>0.73</v>
      </c>
      <c r="G4520" t="str">
        <f>IFERROR(INDEX(tEditais[Órgão],MATCH(tItens[[#This Row],[Edital]],tEditais[Edital],0)),"")</f>
        <v>MUNICIPIO DE RIO TINTO</v>
      </c>
      <c r="H4520" t="str">
        <f>IFERROR(INDEX(tEditais[UF],MATCH(tItens[[#This Row],[Edital]],tEditais[Edital],0)),"")</f>
        <v>PB</v>
      </c>
      <c r="I4520" s="11">
        <f>IFERROR(INDEX(tEditais[Encerramento],MATCH(tItens[[#This Row],[Edital]],tEditais[Edital],0)),"")</f>
        <v>46310.374305555553</v>
      </c>
      <c r="J4520" t="str">
        <f>IFERROR(INDEX(tProdutos[Classe],MATCH(tItens[[#This Row],[Produto]],tProdutos[Produto],0)),"produto não cadastrado")</f>
        <v>NÚCLEO</v>
      </c>
      <c r="K4520" s="12">
        <f>tItens[[#This Row],[Qtd]]*tItens[[#This Row],[Vlr unit]]</f>
        <v>3650</v>
      </c>
      <c r="L4520" s="6">
        <f>IFERROR(IF(INDEX(tProdutos[Desconto homologado],MATCH(tItens[[#This Row],[Produto]],tProdutos[Produto],0))="",DescontoPadrao,INDEX(tProdutos[Desconto homologado],MATCH(tItens[[#This Row],[Produto]],tProdutos[Produto],0))),DescontoPadrao)</f>
        <v>0.34</v>
      </c>
      <c r="M4520" s="12">
        <f>tItens[[#This Row],[Valor]]*(1-tItens[[#This Row],[Desconto]])</f>
        <v>2408.9999999999995</v>
      </c>
      <c r="N4520" t="str">
        <f>IFERROR(INDEX(tProdutos[Foco],MATCH(tItens[[#This Row],[Produto]],tProdutos[Produto],0)),"Não")</f>
        <v>Sim</v>
      </c>
      <c r="O4520" t="str">
        <f>IFERROR(INDEX(tEditais[SRP],MATCH(tItens[[#This Row],[Edital]],tEditais[Edital],0)),"Não")</f>
        <v>Não</v>
      </c>
      <c r="P4520" s="4">
        <f>IF(COUNTIFS(INDEX(tItens[Edital],1):tItens[[#This Row],[Edital]],tItens[[#This Row],[Edital]],INDEX(tItens[Produto],1):tItens[[#This Row],[Produto]],tItens[[#This Row],[Produto]])=1,1,0)</f>
        <v>0</v>
      </c>
    </row>
    <row r="4521" spans="1:16" x14ac:dyDescent="0.25">
      <c r="A4521" t="s">
        <v>1813</v>
      </c>
      <c r="B4521">
        <v>13</v>
      </c>
      <c r="C4521" t="s">
        <v>7366</v>
      </c>
      <c r="D4521" t="s">
        <v>56</v>
      </c>
      <c r="E4521" s="13">
        <v>5000</v>
      </c>
      <c r="F4521" s="12">
        <v>0.56000000000000005</v>
      </c>
      <c r="G4521" t="str">
        <f>IFERROR(INDEX(tEditais[Órgão],MATCH(tItens[[#This Row],[Edital]],tEditais[Edital],0)),"")</f>
        <v>MUNICIPIO DE RIO TINTO</v>
      </c>
      <c r="H4521" t="str">
        <f>IFERROR(INDEX(tEditais[UF],MATCH(tItens[[#This Row],[Edital]],tEditais[Edital],0)),"")</f>
        <v>PB</v>
      </c>
      <c r="I4521" s="11">
        <f>IFERROR(INDEX(tEditais[Encerramento],MATCH(tItens[[#This Row],[Edital]],tEditais[Edital],0)),"")</f>
        <v>46310.374305555553</v>
      </c>
      <c r="J4521" t="str">
        <f>IFERROR(INDEX(tProdutos[Classe],MATCH(tItens[[#This Row],[Produto]],tProdutos[Produto],0)),"produto não cadastrado")</f>
        <v>NÚCLEO</v>
      </c>
      <c r="K4521" s="12">
        <f>tItens[[#This Row],[Qtd]]*tItens[[#This Row],[Vlr unit]]</f>
        <v>2800.0000000000005</v>
      </c>
      <c r="L4521" s="6">
        <f>IFERROR(IF(INDEX(tProdutos[Desconto homologado],MATCH(tItens[[#This Row],[Produto]],tProdutos[Produto],0))="",DescontoPadrao,INDEX(tProdutos[Desconto homologado],MATCH(tItens[[#This Row],[Produto]],tProdutos[Produto],0))),DescontoPadrao)</f>
        <v>0.34</v>
      </c>
      <c r="M4521" s="12">
        <f>tItens[[#This Row],[Valor]]*(1-tItens[[#This Row],[Desconto]])</f>
        <v>1848</v>
      </c>
      <c r="N4521" t="str">
        <f>IFERROR(INDEX(tProdutos[Foco],MATCH(tItens[[#This Row],[Produto]],tProdutos[Produto],0)),"Não")</f>
        <v>Sim</v>
      </c>
      <c r="O4521" t="str">
        <f>IFERROR(INDEX(tEditais[SRP],MATCH(tItens[[#This Row],[Edital]],tEditais[Edital],0)),"Não")</f>
        <v>Não</v>
      </c>
      <c r="P4521" s="4">
        <f>IF(COUNTIFS(INDEX(tItens[Edital],1):tItens[[#This Row],[Edital]],tItens[[#This Row],[Edital]],INDEX(tItens[Produto],1):tItens[[#This Row],[Produto]],tItens[[#This Row],[Produto]])=1,1,0)</f>
        <v>0</v>
      </c>
    </row>
    <row r="4522" spans="1:16" x14ac:dyDescent="0.25">
      <c r="A4522" t="s">
        <v>1813</v>
      </c>
      <c r="B4522">
        <v>14</v>
      </c>
      <c r="C4522" t="s">
        <v>7367</v>
      </c>
      <c r="D4522" t="s">
        <v>343</v>
      </c>
      <c r="E4522" s="13">
        <v>3000</v>
      </c>
      <c r="F4522" s="12">
        <v>3</v>
      </c>
      <c r="G4522" t="str">
        <f>IFERROR(INDEX(tEditais[Órgão],MATCH(tItens[[#This Row],[Edital]],tEditais[Edital],0)),"")</f>
        <v>MUNICIPIO DE RIO TINTO</v>
      </c>
      <c r="H4522" t="str">
        <f>IFERROR(INDEX(tEditais[UF],MATCH(tItens[[#This Row],[Edital]],tEditais[Edital],0)),"")</f>
        <v>PB</v>
      </c>
      <c r="I4522" s="11">
        <f>IFERROR(INDEX(tEditais[Encerramento],MATCH(tItens[[#This Row],[Edital]],tEditais[Edital],0)),"")</f>
        <v>46310.374305555553</v>
      </c>
      <c r="J4522" t="str">
        <f>IFERROR(INDEX(tProdutos[Classe],MATCH(tItens[[#This Row],[Produto]],tProdutos[Produto],0)),"produto não cadastrado")</f>
        <v>FORA</v>
      </c>
      <c r="K4522" s="12">
        <f>tItens[[#This Row],[Qtd]]*tItens[[#This Row],[Vlr unit]]</f>
        <v>9000</v>
      </c>
      <c r="L4522" s="6">
        <f>IFERROR(IF(INDEX(tProdutos[Desconto homologado],MATCH(tItens[[#This Row],[Produto]],tProdutos[Produto],0))="",DescontoPadrao,INDEX(tProdutos[Desconto homologado],MATCH(tItens[[#This Row],[Produto]],tProdutos[Produto],0))),DescontoPadrao)</f>
        <v>0.35412234042553198</v>
      </c>
      <c r="M4522" s="12">
        <f>tItens[[#This Row],[Valor]]*(1-tItens[[#This Row],[Desconto]])</f>
        <v>5812.8989361702115</v>
      </c>
      <c r="N4522" t="str">
        <f>IFERROR(INDEX(tProdutos[Foco],MATCH(tItens[[#This Row],[Produto]],tProdutos[Produto],0)),"Não")</f>
        <v>Não</v>
      </c>
      <c r="O4522" t="str">
        <f>IFERROR(INDEX(tEditais[SRP],MATCH(tItens[[#This Row],[Edital]],tEditais[Edital],0)),"Não")</f>
        <v>Não</v>
      </c>
      <c r="P4522" s="4">
        <f>IF(COUNTIFS(INDEX(tItens[Edital],1):tItens[[#This Row],[Edital]],tItens[[#This Row],[Edital]],INDEX(tItens[Produto],1):tItens[[#This Row],[Produto]],tItens[[#This Row],[Produto]])=1,1,0)</f>
        <v>1</v>
      </c>
    </row>
    <row r="4523" spans="1:16" x14ac:dyDescent="0.25">
      <c r="A4523" t="s">
        <v>1813</v>
      </c>
      <c r="B4523">
        <v>15</v>
      </c>
      <c r="C4523" t="s">
        <v>7368</v>
      </c>
      <c r="D4523" t="s">
        <v>343</v>
      </c>
      <c r="E4523" s="13">
        <v>3000</v>
      </c>
      <c r="F4523" s="12">
        <v>3.83</v>
      </c>
      <c r="G4523" t="str">
        <f>IFERROR(INDEX(tEditais[Órgão],MATCH(tItens[[#This Row],[Edital]],tEditais[Edital],0)),"")</f>
        <v>MUNICIPIO DE RIO TINTO</v>
      </c>
      <c r="H4523" t="str">
        <f>IFERROR(INDEX(tEditais[UF],MATCH(tItens[[#This Row],[Edital]],tEditais[Edital],0)),"")</f>
        <v>PB</v>
      </c>
      <c r="I4523" s="11">
        <f>IFERROR(INDEX(tEditais[Encerramento],MATCH(tItens[[#This Row],[Edital]],tEditais[Edital],0)),"")</f>
        <v>46310.374305555553</v>
      </c>
      <c r="J4523" t="str">
        <f>IFERROR(INDEX(tProdutos[Classe],MATCH(tItens[[#This Row],[Produto]],tProdutos[Produto],0)),"produto não cadastrado")</f>
        <v>FORA</v>
      </c>
      <c r="K4523" s="12">
        <f>tItens[[#This Row],[Qtd]]*tItens[[#This Row],[Vlr unit]]</f>
        <v>11490</v>
      </c>
      <c r="L4523" s="6">
        <f>IFERROR(IF(INDEX(tProdutos[Desconto homologado],MATCH(tItens[[#This Row],[Produto]],tProdutos[Produto],0))="",DescontoPadrao,INDEX(tProdutos[Desconto homologado],MATCH(tItens[[#This Row],[Produto]],tProdutos[Produto],0))),DescontoPadrao)</f>
        <v>0.35412234042553198</v>
      </c>
      <c r="M4523" s="12">
        <f>tItens[[#This Row],[Valor]]*(1-tItens[[#This Row],[Desconto]])</f>
        <v>7421.1343085106373</v>
      </c>
      <c r="N4523" t="str">
        <f>IFERROR(INDEX(tProdutos[Foco],MATCH(tItens[[#This Row],[Produto]],tProdutos[Produto],0)),"Não")</f>
        <v>Não</v>
      </c>
      <c r="O4523" t="str">
        <f>IFERROR(INDEX(tEditais[SRP],MATCH(tItens[[#This Row],[Edital]],tEditais[Edital],0)),"Não")</f>
        <v>Não</v>
      </c>
      <c r="P4523" s="4">
        <f>IF(COUNTIFS(INDEX(tItens[Edital],1):tItens[[#This Row],[Edital]],tItens[[#This Row],[Edital]],INDEX(tItens[Produto],1):tItens[[#This Row],[Produto]],tItens[[#This Row],[Produto]])=1,1,0)</f>
        <v>0</v>
      </c>
    </row>
    <row r="4524" spans="1:16" x14ac:dyDescent="0.25">
      <c r="A4524" t="s">
        <v>1813</v>
      </c>
      <c r="B4524">
        <v>18</v>
      </c>
      <c r="C4524" t="s">
        <v>7369</v>
      </c>
      <c r="D4524" t="s">
        <v>494</v>
      </c>
      <c r="E4524" s="13">
        <v>100</v>
      </c>
      <c r="F4524" s="12">
        <v>181.83</v>
      </c>
      <c r="G4524" t="str">
        <f>IFERROR(INDEX(tEditais[Órgão],MATCH(tItens[[#This Row],[Edital]],tEditais[Edital],0)),"")</f>
        <v>MUNICIPIO DE RIO TINTO</v>
      </c>
      <c r="H4524" t="str">
        <f>IFERROR(INDEX(tEditais[UF],MATCH(tItens[[#This Row],[Edital]],tEditais[Edital],0)),"")</f>
        <v>PB</v>
      </c>
      <c r="I4524" s="11">
        <f>IFERROR(INDEX(tEditais[Encerramento],MATCH(tItens[[#This Row],[Edital]],tEditais[Edital],0)),"")</f>
        <v>46310.374305555553</v>
      </c>
      <c r="J4524" t="str">
        <f>IFERROR(INDEX(tProdutos[Classe],MATCH(tItens[[#This Row],[Produto]],tProdutos[Produto],0)),"produto não cadastrado")</f>
        <v>FILA REBASE</v>
      </c>
      <c r="K4524" s="12">
        <f>tItens[[#This Row],[Qtd]]*tItens[[#This Row],[Vlr unit]]</f>
        <v>18183</v>
      </c>
      <c r="L4524" s="6">
        <f>IFERROR(IF(INDEX(tProdutos[Desconto homologado],MATCH(tItens[[#This Row],[Produto]],tProdutos[Produto],0))="",DescontoPadrao,INDEX(tProdutos[Desconto homologado],MATCH(tItens[[#This Row],[Produto]],tProdutos[Produto],0))),DescontoPadrao)</f>
        <v>0.253736324829619</v>
      </c>
      <c r="M4524" s="12">
        <f>tItens[[#This Row],[Valor]]*(1-tItens[[#This Row],[Desconto]])</f>
        <v>13569.312405623039</v>
      </c>
      <c r="N4524" t="str">
        <f>IFERROR(INDEX(tProdutos[Foco],MATCH(tItens[[#This Row],[Produto]],tProdutos[Produto],0)),"Não")</f>
        <v>Não</v>
      </c>
      <c r="O4524" t="str">
        <f>IFERROR(INDEX(tEditais[SRP],MATCH(tItens[[#This Row],[Edital]],tEditais[Edital],0)),"Não")</f>
        <v>Não</v>
      </c>
      <c r="P4524" s="4">
        <f>IF(COUNTIFS(INDEX(tItens[Edital],1):tItens[[#This Row],[Edital]],tItens[[#This Row],[Edital]],INDEX(tItens[Produto],1):tItens[[#This Row],[Produto]],tItens[[#This Row],[Produto]])=1,1,0)</f>
        <v>1</v>
      </c>
    </row>
    <row r="4525" spans="1:16" x14ac:dyDescent="0.25">
      <c r="A4525" t="s">
        <v>1818</v>
      </c>
      <c r="B4525">
        <v>5</v>
      </c>
      <c r="C4525" t="s">
        <v>7370</v>
      </c>
      <c r="D4525" t="s">
        <v>578</v>
      </c>
      <c r="E4525" s="13">
        <v>10</v>
      </c>
      <c r="F4525" s="12">
        <v>0</v>
      </c>
      <c r="G4525" t="str">
        <f>IFERROR(INDEX(tEditais[Órgão],MATCH(tItens[[#This Row],[Edital]],tEditais[Edital],0)),"")</f>
        <v>EMPRESA BRASILEIRA DE SERVICOS HOSPITALARES - EBSERH</v>
      </c>
      <c r="H4525" t="str">
        <f>IFERROR(INDEX(tEditais[UF],MATCH(tItens[[#This Row],[Edital]],tEditais[Edital],0)),"")</f>
        <v>PB</v>
      </c>
      <c r="I4525" s="11">
        <f>IFERROR(INDEX(tEditais[Encerramento],MATCH(tItens[[#This Row],[Edital]],tEditais[Edital],0)),"")</f>
        <v>46310.375</v>
      </c>
      <c r="J4525" t="str">
        <f>IFERROR(INDEX(tProdutos[Classe],MATCH(tItens[[#This Row],[Produto]],tProdutos[Produto],0)),"produto não cadastrado")</f>
        <v>FILA REBASE</v>
      </c>
      <c r="K4525" s="12">
        <f>tItens[[#This Row],[Qtd]]*tItens[[#This Row],[Vlr unit]]</f>
        <v>0</v>
      </c>
      <c r="L4525" s="6">
        <f>IFERROR(IF(INDEX(tProdutos[Desconto homologado],MATCH(tItens[[#This Row],[Produto]],tProdutos[Produto],0))="",DescontoPadrao,INDEX(tProdutos[Desconto homologado],MATCH(tItens[[#This Row],[Produto]],tProdutos[Produto],0))),DescontoPadrao)</f>
        <v>0.36014625228519198</v>
      </c>
      <c r="M4525" s="12">
        <f>tItens[[#This Row],[Valor]]*(1-tItens[[#This Row],[Desconto]])</f>
        <v>0</v>
      </c>
      <c r="N4525" t="str">
        <f>IFERROR(INDEX(tProdutos[Foco],MATCH(tItens[[#This Row],[Produto]],tProdutos[Produto],0)),"Não")</f>
        <v>Não</v>
      </c>
      <c r="O4525" t="str">
        <f>IFERROR(INDEX(tEditais[SRP],MATCH(tItens[[#This Row],[Edital]],tEditais[Edital],0)),"Não")</f>
        <v>Não</v>
      </c>
      <c r="P4525" s="4">
        <f>IF(COUNTIFS(INDEX(tItens[Edital],1):tItens[[#This Row],[Edital]],tItens[[#This Row],[Edital]],INDEX(tItens[Produto],1):tItens[[#This Row],[Produto]],tItens[[#This Row],[Produto]])=1,1,0)</f>
        <v>1</v>
      </c>
    </row>
    <row r="4526" spans="1:16" x14ac:dyDescent="0.25">
      <c r="A4526" t="s">
        <v>1822</v>
      </c>
      <c r="B4526">
        <v>59</v>
      </c>
      <c r="C4526" t="s">
        <v>7371</v>
      </c>
      <c r="D4526" t="s">
        <v>542</v>
      </c>
      <c r="E4526" s="13">
        <v>53</v>
      </c>
      <c r="F4526" s="12">
        <v>28.99</v>
      </c>
      <c r="G4526" t="str">
        <f>IFERROR(INDEX(tEditais[Órgão],MATCH(tItens[[#This Row],[Edital]],tEditais[Edital],0)),"")</f>
        <v>UNIVERSIDADE FEDERAL DA PARAIBA</v>
      </c>
      <c r="H4526" t="str">
        <f>IFERROR(INDEX(tEditais[UF],MATCH(tItens[[#This Row],[Edital]],tEditais[Edital],0)),"")</f>
        <v>PB</v>
      </c>
      <c r="I4526" s="11">
        <f>IFERROR(INDEX(tEditais[Encerramento],MATCH(tItens[[#This Row],[Edital]],tEditais[Edital],0)),"")</f>
        <v>46310.416666666664</v>
      </c>
      <c r="J4526" t="str">
        <f>IFERROR(INDEX(tProdutos[Classe],MATCH(tItens[[#This Row],[Produto]],tProdutos[Produto],0)),"produto não cadastrado")</f>
        <v>FILA REBASE</v>
      </c>
      <c r="K4526" s="12">
        <f>tItens[[#This Row],[Qtd]]*tItens[[#This Row],[Vlr unit]]</f>
        <v>1536.47</v>
      </c>
      <c r="L4526" s="6">
        <f>IFERROR(IF(INDEX(tProdutos[Desconto homologado],MATCH(tItens[[#This Row],[Produto]],tProdutos[Produto],0))="",DescontoPadrao,INDEX(tProdutos[Desconto homologado],MATCH(tItens[[#This Row],[Produto]],tProdutos[Produto],0))),DescontoPadrao)</f>
        <v>0.3</v>
      </c>
      <c r="M4526" s="12">
        <f>tItens[[#This Row],[Valor]]*(1-tItens[[#This Row],[Desconto]])</f>
        <v>1075.529</v>
      </c>
      <c r="N4526" t="str">
        <f>IFERROR(INDEX(tProdutos[Foco],MATCH(tItens[[#This Row],[Produto]],tProdutos[Produto],0)),"Não")</f>
        <v>Não</v>
      </c>
      <c r="O4526" t="str">
        <f>IFERROR(INDEX(tEditais[SRP],MATCH(tItens[[#This Row],[Edital]],tEditais[Edital],0)),"Não")</f>
        <v>Não</v>
      </c>
      <c r="P4526" s="4">
        <f>IF(COUNTIFS(INDEX(tItens[Edital],1):tItens[[#This Row],[Edital]],tItens[[#This Row],[Edital]],INDEX(tItens[Produto],1):tItens[[#This Row],[Produto]],tItens[[#This Row],[Produto]])=1,1,0)</f>
        <v>1</v>
      </c>
    </row>
    <row r="4527" spans="1:16" x14ac:dyDescent="0.25">
      <c r="A4527" t="s">
        <v>1826</v>
      </c>
      <c r="B4527">
        <v>1</v>
      </c>
      <c r="C4527" t="s">
        <v>7372</v>
      </c>
      <c r="D4527" t="s">
        <v>345</v>
      </c>
      <c r="E4527" s="13">
        <v>30000</v>
      </c>
      <c r="F4527" s="12">
        <v>1.8</v>
      </c>
      <c r="G4527" t="str">
        <f>IFERROR(INDEX(tEditais[Órgão],MATCH(tItens[[#This Row],[Edital]],tEditais[Edital],0)),"")</f>
        <v>MUNICIPIO DE CURRAL DE CIMA</v>
      </c>
      <c r="H4527" t="str">
        <f>IFERROR(INDEX(tEditais[UF],MATCH(tItens[[#This Row],[Edital]],tEditais[Edital],0)),"")</f>
        <v>PB</v>
      </c>
      <c r="I4527" s="11">
        <f>IFERROR(INDEX(tEditais[Encerramento],MATCH(tItens[[#This Row],[Edital]],tEditais[Edital],0)),"")</f>
        <v>46311.415972222225</v>
      </c>
      <c r="J4527" t="str">
        <f>IFERROR(INDEX(tProdutos[Classe],MATCH(tItens[[#This Row],[Produto]],tProdutos[Produto],0)),"produto não cadastrado")</f>
        <v>FORA</v>
      </c>
      <c r="K4527" s="12">
        <f>tItens[[#This Row],[Qtd]]*tItens[[#This Row],[Vlr unit]]</f>
        <v>54000</v>
      </c>
      <c r="L4527" s="6">
        <f>IFERROR(IF(INDEX(tProdutos[Desconto homologado],MATCH(tItens[[#This Row],[Produto]],tProdutos[Produto],0))="",DescontoPadrao,INDEX(tProdutos[Desconto homologado],MATCH(tItens[[#This Row],[Produto]],tProdutos[Produto],0))),DescontoPadrao)</f>
        <v>0.412394275616498</v>
      </c>
      <c r="M4527" s="12">
        <f>tItens[[#This Row],[Valor]]*(1-tItens[[#This Row],[Desconto]])</f>
        <v>31730.709116709109</v>
      </c>
      <c r="N4527" t="str">
        <f>IFERROR(INDEX(tProdutos[Foco],MATCH(tItens[[#This Row],[Produto]],tProdutos[Produto],0)),"Não")</f>
        <v>Não</v>
      </c>
      <c r="O4527" t="str">
        <f>IFERROR(INDEX(tEditais[SRP],MATCH(tItens[[#This Row],[Edital]],tEditais[Edital],0)),"Não")</f>
        <v>Não</v>
      </c>
      <c r="P4527" s="4">
        <f>IF(COUNTIFS(INDEX(tItens[Edital],1):tItens[[#This Row],[Edital]],tItens[[#This Row],[Edital]],INDEX(tItens[Produto],1):tItens[[#This Row],[Produto]],tItens[[#This Row],[Produto]])=1,1,0)</f>
        <v>1</v>
      </c>
    </row>
    <row r="4528" spans="1:16" x14ac:dyDescent="0.25">
      <c r="A4528" t="s">
        <v>1826</v>
      </c>
      <c r="B4528">
        <v>2</v>
      </c>
      <c r="C4528" t="s">
        <v>7373</v>
      </c>
      <c r="D4528" t="s">
        <v>345</v>
      </c>
      <c r="E4528" s="13">
        <v>80000</v>
      </c>
      <c r="F4528" s="12">
        <v>1.79</v>
      </c>
      <c r="G4528" t="str">
        <f>IFERROR(INDEX(tEditais[Órgão],MATCH(tItens[[#This Row],[Edital]],tEditais[Edital],0)),"")</f>
        <v>MUNICIPIO DE CURRAL DE CIMA</v>
      </c>
      <c r="H4528" t="str">
        <f>IFERROR(INDEX(tEditais[UF],MATCH(tItens[[#This Row],[Edital]],tEditais[Edital],0)),"")</f>
        <v>PB</v>
      </c>
      <c r="I4528" s="11">
        <f>IFERROR(INDEX(tEditais[Encerramento],MATCH(tItens[[#This Row],[Edital]],tEditais[Edital],0)),"")</f>
        <v>46311.415972222225</v>
      </c>
      <c r="J4528" t="str">
        <f>IFERROR(INDEX(tProdutos[Classe],MATCH(tItens[[#This Row],[Produto]],tProdutos[Produto],0)),"produto não cadastrado")</f>
        <v>FORA</v>
      </c>
      <c r="K4528" s="12">
        <f>tItens[[#This Row],[Qtd]]*tItens[[#This Row],[Vlr unit]]</f>
        <v>143200</v>
      </c>
      <c r="L4528" s="6">
        <f>IFERROR(IF(INDEX(tProdutos[Desconto homologado],MATCH(tItens[[#This Row],[Produto]],tProdutos[Produto],0))="",DescontoPadrao,INDEX(tProdutos[Desconto homologado],MATCH(tItens[[#This Row],[Produto]],tProdutos[Produto],0))),DescontoPadrao)</f>
        <v>0.412394275616498</v>
      </c>
      <c r="M4528" s="12">
        <f>tItens[[#This Row],[Valor]]*(1-tItens[[#This Row],[Desconto]])</f>
        <v>84145.139731717485</v>
      </c>
      <c r="N4528" t="str">
        <f>IFERROR(INDEX(tProdutos[Foco],MATCH(tItens[[#This Row],[Produto]],tProdutos[Produto],0)),"Não")</f>
        <v>Não</v>
      </c>
      <c r="O4528" t="str">
        <f>IFERROR(INDEX(tEditais[SRP],MATCH(tItens[[#This Row],[Edital]],tEditais[Edital],0)),"Não")</f>
        <v>Não</v>
      </c>
      <c r="P4528" s="4">
        <f>IF(COUNTIFS(INDEX(tItens[Edital],1):tItens[[#This Row],[Edital]],tItens[[#This Row],[Edital]],INDEX(tItens[Produto],1):tItens[[#This Row],[Produto]],tItens[[#This Row],[Produto]])=1,1,0)</f>
        <v>0</v>
      </c>
    </row>
    <row r="4529" spans="1:16" x14ac:dyDescent="0.25">
      <c r="A4529" t="s">
        <v>1826</v>
      </c>
      <c r="B4529">
        <v>3</v>
      </c>
      <c r="C4529" t="s">
        <v>7374</v>
      </c>
      <c r="D4529" t="s">
        <v>345</v>
      </c>
      <c r="E4529" s="13">
        <v>55000</v>
      </c>
      <c r="F4529" s="12">
        <v>1.69</v>
      </c>
      <c r="G4529" t="str">
        <f>IFERROR(INDEX(tEditais[Órgão],MATCH(tItens[[#This Row],[Edital]],tEditais[Edital],0)),"")</f>
        <v>MUNICIPIO DE CURRAL DE CIMA</v>
      </c>
      <c r="H4529" t="str">
        <f>IFERROR(INDEX(tEditais[UF],MATCH(tItens[[#This Row],[Edital]],tEditais[Edital],0)),"")</f>
        <v>PB</v>
      </c>
      <c r="I4529" s="11">
        <f>IFERROR(INDEX(tEditais[Encerramento],MATCH(tItens[[#This Row],[Edital]],tEditais[Edital],0)),"")</f>
        <v>46311.415972222225</v>
      </c>
      <c r="J4529" t="str">
        <f>IFERROR(INDEX(tProdutos[Classe],MATCH(tItens[[#This Row],[Produto]],tProdutos[Produto],0)),"produto não cadastrado")</f>
        <v>FORA</v>
      </c>
      <c r="K4529" s="12">
        <f>tItens[[#This Row],[Qtd]]*tItens[[#This Row],[Vlr unit]]</f>
        <v>92950</v>
      </c>
      <c r="L4529" s="6">
        <f>IFERROR(IF(INDEX(tProdutos[Desconto homologado],MATCH(tItens[[#This Row],[Produto]],tProdutos[Produto],0))="",DescontoPadrao,INDEX(tProdutos[Desconto homologado],MATCH(tItens[[#This Row],[Produto]],tProdutos[Produto],0))),DescontoPadrao)</f>
        <v>0.412394275616498</v>
      </c>
      <c r="M4529" s="12">
        <f>tItens[[#This Row],[Valor]]*(1-tItens[[#This Row],[Desconto]])</f>
        <v>54617.952081446514</v>
      </c>
      <c r="N4529" t="str">
        <f>IFERROR(INDEX(tProdutos[Foco],MATCH(tItens[[#This Row],[Produto]],tProdutos[Produto],0)),"Não")</f>
        <v>Não</v>
      </c>
      <c r="O4529" t="str">
        <f>IFERROR(INDEX(tEditais[SRP],MATCH(tItens[[#This Row],[Edital]],tEditais[Edital],0)),"Não")</f>
        <v>Não</v>
      </c>
      <c r="P4529" s="4">
        <f>IF(COUNTIFS(INDEX(tItens[Edital],1):tItens[[#This Row],[Edital]],tItens[[#This Row],[Edital]],INDEX(tItens[Produto],1):tItens[[#This Row],[Produto]],tItens[[#This Row],[Produto]])=1,1,0)</f>
        <v>0</v>
      </c>
    </row>
    <row r="4530" spans="1:16" x14ac:dyDescent="0.25">
      <c r="A4530" t="s">
        <v>1826</v>
      </c>
      <c r="B4530">
        <v>4</v>
      </c>
      <c r="C4530" t="s">
        <v>7375</v>
      </c>
      <c r="D4530" t="s">
        <v>339</v>
      </c>
      <c r="E4530" s="13">
        <v>28000</v>
      </c>
      <c r="F4530" s="12">
        <v>1.56</v>
      </c>
      <c r="G4530" t="str">
        <f>IFERROR(INDEX(tEditais[Órgão],MATCH(tItens[[#This Row],[Edital]],tEditais[Edital],0)),"")</f>
        <v>MUNICIPIO DE CURRAL DE CIMA</v>
      </c>
      <c r="H4530" t="str">
        <f>IFERROR(INDEX(tEditais[UF],MATCH(tItens[[#This Row],[Edital]],tEditais[Edital],0)),"")</f>
        <v>PB</v>
      </c>
      <c r="I4530" s="11">
        <f>IFERROR(INDEX(tEditais[Encerramento],MATCH(tItens[[#This Row],[Edital]],tEditais[Edital],0)),"")</f>
        <v>46311.415972222225</v>
      </c>
      <c r="J4530" t="str">
        <f>IFERROR(INDEX(tProdutos[Classe],MATCH(tItens[[#This Row],[Produto]],tProdutos[Produto],0)),"produto não cadastrado")</f>
        <v>FORA</v>
      </c>
      <c r="K4530" s="12">
        <f>tItens[[#This Row],[Qtd]]*tItens[[#This Row],[Vlr unit]]</f>
        <v>43680</v>
      </c>
      <c r="L4530" s="6">
        <f>IFERROR(IF(INDEX(tProdutos[Desconto homologado],MATCH(tItens[[#This Row],[Produto]],tProdutos[Produto],0))="",DescontoPadrao,INDEX(tProdutos[Desconto homologado],MATCH(tItens[[#This Row],[Produto]],tProdutos[Produto],0))),DescontoPadrao)</f>
        <v>0.35388629091804102</v>
      </c>
      <c r="M4530" s="12">
        <f>tItens[[#This Row],[Valor]]*(1-tItens[[#This Row],[Desconto]])</f>
        <v>28222.246812699967</v>
      </c>
      <c r="N4530" t="str">
        <f>IFERROR(INDEX(tProdutos[Foco],MATCH(tItens[[#This Row],[Produto]],tProdutos[Produto],0)),"Não")</f>
        <v>Não</v>
      </c>
      <c r="O4530" t="str">
        <f>IFERROR(INDEX(tEditais[SRP],MATCH(tItens[[#This Row],[Edital]],tEditais[Edital],0)),"Não")</f>
        <v>Não</v>
      </c>
      <c r="P4530" s="4">
        <f>IF(COUNTIFS(INDEX(tItens[Edital],1):tItens[[#This Row],[Edital]],tItens[[#This Row],[Edital]],INDEX(tItens[Produto],1):tItens[[#This Row],[Produto]],tItens[[#This Row],[Produto]])=1,1,0)</f>
        <v>1</v>
      </c>
    </row>
    <row r="4531" spans="1:16" x14ac:dyDescent="0.25">
      <c r="A4531" t="s">
        <v>1826</v>
      </c>
      <c r="B4531">
        <v>5</v>
      </c>
      <c r="C4531" t="s">
        <v>7376</v>
      </c>
      <c r="D4531" t="s">
        <v>339</v>
      </c>
      <c r="E4531" s="13">
        <v>28000</v>
      </c>
      <c r="F4531" s="12">
        <v>2.76</v>
      </c>
      <c r="G4531" t="str">
        <f>IFERROR(INDEX(tEditais[Órgão],MATCH(tItens[[#This Row],[Edital]],tEditais[Edital],0)),"")</f>
        <v>MUNICIPIO DE CURRAL DE CIMA</v>
      </c>
      <c r="H4531" t="str">
        <f>IFERROR(INDEX(tEditais[UF],MATCH(tItens[[#This Row],[Edital]],tEditais[Edital],0)),"")</f>
        <v>PB</v>
      </c>
      <c r="I4531" s="11">
        <f>IFERROR(INDEX(tEditais[Encerramento],MATCH(tItens[[#This Row],[Edital]],tEditais[Edital],0)),"")</f>
        <v>46311.415972222225</v>
      </c>
      <c r="J4531" t="str">
        <f>IFERROR(INDEX(tProdutos[Classe],MATCH(tItens[[#This Row],[Produto]],tProdutos[Produto],0)),"produto não cadastrado")</f>
        <v>FORA</v>
      </c>
      <c r="K4531" s="12">
        <f>tItens[[#This Row],[Qtd]]*tItens[[#This Row],[Vlr unit]]</f>
        <v>77280</v>
      </c>
      <c r="L4531" s="6">
        <f>IFERROR(IF(INDEX(tProdutos[Desconto homologado],MATCH(tItens[[#This Row],[Produto]],tProdutos[Produto],0))="",DescontoPadrao,INDEX(tProdutos[Desconto homologado],MATCH(tItens[[#This Row],[Produto]],tProdutos[Produto],0))),DescontoPadrao)</f>
        <v>0.35388629091804102</v>
      </c>
      <c r="M4531" s="12">
        <f>tItens[[#This Row],[Valor]]*(1-tItens[[#This Row],[Desconto]])</f>
        <v>49931.667437853786</v>
      </c>
      <c r="N4531" t="str">
        <f>IFERROR(INDEX(tProdutos[Foco],MATCH(tItens[[#This Row],[Produto]],tProdutos[Produto],0)),"Não")</f>
        <v>Não</v>
      </c>
      <c r="O4531" t="str">
        <f>IFERROR(INDEX(tEditais[SRP],MATCH(tItens[[#This Row],[Edital]],tEditais[Edital],0)),"Não")</f>
        <v>Não</v>
      </c>
      <c r="P4531" s="4">
        <f>IF(COUNTIFS(INDEX(tItens[Edital],1):tItens[[#This Row],[Edital]],tItens[[#This Row],[Edital]],INDEX(tItens[Produto],1):tItens[[#This Row],[Produto]],tItens[[#This Row],[Produto]])=1,1,0)</f>
        <v>0</v>
      </c>
    </row>
    <row r="4532" spans="1:16" x14ac:dyDescent="0.25">
      <c r="A4532" t="s">
        <v>1831</v>
      </c>
      <c r="B4532">
        <v>15</v>
      </c>
      <c r="C4532" t="s">
        <v>4026</v>
      </c>
      <c r="D4532" t="s">
        <v>578</v>
      </c>
      <c r="E4532" s="13">
        <v>4</v>
      </c>
      <c r="F4532" s="12">
        <v>0</v>
      </c>
      <c r="G4532" t="str">
        <f>IFERROR(INDEX(tEditais[Órgão],MATCH(tItens[[#This Row],[Edital]],tEditais[Edital],0)),"")</f>
        <v>EMPRESA BRASILEIRA DE SERVICOS HOSPITALARES - EBSERH</v>
      </c>
      <c r="H4532" t="str">
        <f>IFERROR(INDEX(tEditais[UF],MATCH(tItens[[#This Row],[Edital]],tEditais[Edital],0)),"")</f>
        <v>PB</v>
      </c>
      <c r="I4532" s="11">
        <f>IFERROR(INDEX(tEditais[Encerramento],MATCH(tItens[[#This Row],[Edital]],tEditais[Edital],0)),"")</f>
        <v>46314.374305555553</v>
      </c>
      <c r="J4532" t="str">
        <f>IFERROR(INDEX(tProdutos[Classe],MATCH(tItens[[#This Row],[Produto]],tProdutos[Produto],0)),"produto não cadastrado")</f>
        <v>FILA REBASE</v>
      </c>
      <c r="K4532" s="12">
        <f>tItens[[#This Row],[Qtd]]*tItens[[#This Row],[Vlr unit]]</f>
        <v>0</v>
      </c>
      <c r="L4532" s="6">
        <f>IFERROR(IF(INDEX(tProdutos[Desconto homologado],MATCH(tItens[[#This Row],[Produto]],tProdutos[Produto],0))="",DescontoPadrao,INDEX(tProdutos[Desconto homologado],MATCH(tItens[[#This Row],[Produto]],tProdutos[Produto],0))),DescontoPadrao)</f>
        <v>0.36014625228519198</v>
      </c>
      <c r="M4532" s="12">
        <f>tItens[[#This Row],[Valor]]*(1-tItens[[#This Row],[Desconto]])</f>
        <v>0</v>
      </c>
      <c r="N4532" t="str">
        <f>IFERROR(INDEX(tProdutos[Foco],MATCH(tItens[[#This Row],[Produto]],tProdutos[Produto],0)),"Não")</f>
        <v>Não</v>
      </c>
      <c r="O4532" t="str">
        <f>IFERROR(INDEX(tEditais[SRP],MATCH(tItens[[#This Row],[Edital]],tEditais[Edital],0)),"Não")</f>
        <v>Não</v>
      </c>
      <c r="P4532" s="4">
        <f>IF(COUNTIFS(INDEX(tItens[Edital],1):tItens[[#This Row],[Edital]],tItens[[#This Row],[Edital]],INDEX(tItens[Produto],1):tItens[[#This Row],[Produto]],tItens[[#This Row],[Produto]])=1,1,0)</f>
        <v>1</v>
      </c>
    </row>
    <row r="4533" spans="1:16" x14ac:dyDescent="0.25">
      <c r="A4533" t="s">
        <v>1834</v>
      </c>
      <c r="B4533">
        <v>8</v>
      </c>
      <c r="C4533" t="s">
        <v>6631</v>
      </c>
      <c r="D4533" t="s">
        <v>56</v>
      </c>
      <c r="E4533" s="13">
        <v>80</v>
      </c>
      <c r="F4533" s="12">
        <v>0</v>
      </c>
      <c r="G4533" t="str">
        <f>IFERROR(INDEX(tEditais[Órgão],MATCH(tItens[[#This Row],[Edital]],tEditais[Edital],0)),"")</f>
        <v>FUNDO MUNICIPAL DE SAUDE</v>
      </c>
      <c r="H4533" t="str">
        <f>IFERROR(INDEX(tEditais[UF],MATCH(tItens[[#This Row],[Edital]],tEditais[Edital],0)),"")</f>
        <v>PB</v>
      </c>
      <c r="I4533" s="11">
        <f>IFERROR(INDEX(tEditais[Encerramento],MATCH(tItens[[#This Row],[Edital]],tEditais[Edital],0)),"")</f>
        <v>46314.375</v>
      </c>
      <c r="J4533" t="str">
        <f>IFERROR(INDEX(tProdutos[Classe],MATCH(tItens[[#This Row],[Produto]],tProdutos[Produto],0)),"produto não cadastrado")</f>
        <v>NÚCLEO</v>
      </c>
      <c r="K4533" s="12">
        <f>tItens[[#This Row],[Qtd]]*tItens[[#This Row],[Vlr unit]]</f>
        <v>0</v>
      </c>
      <c r="L4533" s="6">
        <f>IFERROR(IF(INDEX(tProdutos[Desconto homologado],MATCH(tItens[[#This Row],[Produto]],tProdutos[Produto],0))="",DescontoPadrao,INDEX(tProdutos[Desconto homologado],MATCH(tItens[[#This Row],[Produto]],tProdutos[Produto],0))),DescontoPadrao)</f>
        <v>0.34</v>
      </c>
      <c r="M4533" s="12">
        <f>tItens[[#This Row],[Valor]]*(1-tItens[[#This Row],[Desconto]])</f>
        <v>0</v>
      </c>
      <c r="N4533" t="str">
        <f>IFERROR(INDEX(tProdutos[Foco],MATCH(tItens[[#This Row],[Produto]],tProdutos[Produto],0)),"Não")</f>
        <v>Sim</v>
      </c>
      <c r="O4533" t="str">
        <f>IFERROR(INDEX(tEditais[SRP],MATCH(tItens[[#This Row],[Edital]],tEditais[Edital],0)),"Não")</f>
        <v>Sim</v>
      </c>
      <c r="P4533" s="4">
        <f>IF(COUNTIFS(INDEX(tItens[Edital],1):tItens[[#This Row],[Edital]],tItens[[#This Row],[Edital]],INDEX(tItens[Produto],1):tItens[[#This Row],[Produto]],tItens[[#This Row],[Produto]])=1,1,0)</f>
        <v>1</v>
      </c>
    </row>
    <row r="4534" spans="1:16" x14ac:dyDescent="0.25">
      <c r="A4534" t="s">
        <v>1834</v>
      </c>
      <c r="B4534">
        <v>13</v>
      </c>
      <c r="C4534" t="s">
        <v>7377</v>
      </c>
      <c r="D4534" t="s">
        <v>229</v>
      </c>
      <c r="E4534" s="13">
        <v>600</v>
      </c>
      <c r="F4534" s="12">
        <v>0</v>
      </c>
      <c r="G4534" t="str">
        <f>IFERROR(INDEX(tEditais[Órgão],MATCH(tItens[[#This Row],[Edital]],tEditais[Edital],0)),"")</f>
        <v>FUNDO MUNICIPAL DE SAUDE</v>
      </c>
      <c r="H4534" t="str">
        <f>IFERROR(INDEX(tEditais[UF],MATCH(tItens[[#This Row],[Edital]],tEditais[Edital],0)),"")</f>
        <v>PB</v>
      </c>
      <c r="I4534" s="11">
        <f>IFERROR(INDEX(tEditais[Encerramento],MATCH(tItens[[#This Row],[Edital]],tEditais[Edital],0)),"")</f>
        <v>46314.375</v>
      </c>
      <c r="J4534" t="str">
        <f>IFERROR(INDEX(tProdutos[Classe],MATCH(tItens[[#This Row],[Produto]],tProdutos[Produto],0)),"produto não cadastrado")</f>
        <v>FORA</v>
      </c>
      <c r="K4534" s="12">
        <f>tItens[[#This Row],[Qtd]]*tItens[[#This Row],[Vlr unit]]</f>
        <v>0</v>
      </c>
      <c r="L4534" s="6">
        <f>IFERROR(IF(INDEX(tProdutos[Desconto homologado],MATCH(tItens[[#This Row],[Produto]],tProdutos[Produto],0))="",DescontoPadrao,INDEX(tProdutos[Desconto homologado],MATCH(tItens[[#This Row],[Produto]],tProdutos[Produto],0))),DescontoPadrao)</f>
        <v>0.33093491191658198</v>
      </c>
      <c r="M4534" s="12">
        <f>tItens[[#This Row],[Valor]]*(1-tItens[[#This Row],[Desconto]])</f>
        <v>0</v>
      </c>
      <c r="N4534" t="str">
        <f>IFERROR(INDEX(tProdutos[Foco],MATCH(tItens[[#This Row],[Produto]],tProdutos[Produto],0)),"Não")</f>
        <v>Não</v>
      </c>
      <c r="O4534" t="str">
        <f>IFERROR(INDEX(tEditais[SRP],MATCH(tItens[[#This Row],[Edital]],tEditais[Edital],0)),"Não")</f>
        <v>Sim</v>
      </c>
      <c r="P4534" s="4">
        <f>IF(COUNTIFS(INDEX(tItens[Edital],1):tItens[[#This Row],[Edital]],tItens[[#This Row],[Edital]],INDEX(tItens[Produto],1):tItens[[#This Row],[Produto]],tItens[[#This Row],[Produto]])=1,1,0)</f>
        <v>1</v>
      </c>
    </row>
    <row r="4535" spans="1:16" x14ac:dyDescent="0.25">
      <c r="A4535" t="s">
        <v>1837</v>
      </c>
      <c r="B4535">
        <v>1</v>
      </c>
      <c r="C4535" t="s">
        <v>7378</v>
      </c>
      <c r="D4535" t="s">
        <v>130</v>
      </c>
      <c r="E4535" s="13">
        <v>10400</v>
      </c>
      <c r="F4535" s="12">
        <v>9.16</v>
      </c>
      <c r="G4535" t="str">
        <f>IFERROR(INDEX(tEditais[Órgão],MATCH(tItens[[#This Row],[Edital]],tEditais[Edital],0)),"")</f>
        <v>FUNDACAO UNIVERSIDADE DE PERNAMBUCO</v>
      </c>
      <c r="H4535" t="str">
        <f>IFERROR(INDEX(tEditais[UF],MATCH(tItens[[#This Row],[Edital]],tEditais[Edital],0)),"")</f>
        <v>PE</v>
      </c>
      <c r="I4535" s="11">
        <f>IFERROR(INDEX(tEditais[Encerramento],MATCH(tItens[[#This Row],[Edital]],tEditais[Edital],0)),"")</f>
        <v>46304.354166666664</v>
      </c>
      <c r="J4535" t="str">
        <f>IFERROR(INDEX(tProdutos[Classe],MATCH(tItens[[#This Row],[Produto]],tProdutos[Produto],0)),"produto não cadastrado")</f>
        <v>DISPUTADO</v>
      </c>
      <c r="K4535" s="12">
        <f>tItens[[#This Row],[Qtd]]*tItens[[#This Row],[Vlr unit]]</f>
        <v>95264</v>
      </c>
      <c r="L4535" s="6">
        <f>IFERROR(IF(INDEX(tProdutos[Desconto homologado],MATCH(tItens[[#This Row],[Produto]],tProdutos[Produto],0))="",DescontoPadrao,INDEX(tProdutos[Desconto homologado],MATCH(tItens[[#This Row],[Produto]],tProdutos[Produto],0))),DescontoPadrao)</f>
        <v>0.32</v>
      </c>
      <c r="M4535" s="12">
        <f>tItens[[#This Row],[Valor]]*(1-tItens[[#This Row],[Desconto]])</f>
        <v>64779.519999999997</v>
      </c>
      <c r="N4535" t="str">
        <f>IFERROR(INDEX(tProdutos[Foco],MATCH(tItens[[#This Row],[Produto]],tProdutos[Produto],0)),"Não")</f>
        <v>Sim</v>
      </c>
      <c r="O4535" t="str">
        <f>IFERROR(INDEX(tEditais[SRP],MATCH(tItens[[#This Row],[Edital]],tEditais[Edital],0)),"Não")</f>
        <v>Sim</v>
      </c>
      <c r="P4535" s="4">
        <f>IF(COUNTIFS(INDEX(tItens[Edital],1):tItens[[#This Row],[Edital]],tItens[[#This Row],[Edital]],INDEX(tItens[Produto],1):tItens[[#This Row],[Produto]],tItens[[#This Row],[Produto]])=1,1,0)</f>
        <v>1</v>
      </c>
    </row>
    <row r="4536" spans="1:16" x14ac:dyDescent="0.25">
      <c r="A4536" t="s">
        <v>1837</v>
      </c>
      <c r="B4536">
        <v>5</v>
      </c>
      <c r="C4536" t="s">
        <v>7379</v>
      </c>
      <c r="D4536" t="s">
        <v>142</v>
      </c>
      <c r="E4536" s="13">
        <v>6000</v>
      </c>
      <c r="F4536" s="12">
        <v>4.05</v>
      </c>
      <c r="G4536" t="str">
        <f>IFERROR(INDEX(tEditais[Órgão],MATCH(tItens[[#This Row],[Edital]],tEditais[Edital],0)),"")</f>
        <v>FUNDACAO UNIVERSIDADE DE PERNAMBUCO</v>
      </c>
      <c r="H4536" t="str">
        <f>IFERROR(INDEX(tEditais[UF],MATCH(tItens[[#This Row],[Edital]],tEditais[Edital],0)),"")</f>
        <v>PE</v>
      </c>
      <c r="I4536" s="11">
        <f>IFERROR(INDEX(tEditais[Encerramento],MATCH(tItens[[#This Row],[Edital]],tEditais[Edital],0)),"")</f>
        <v>46304.354166666664</v>
      </c>
      <c r="J4536" t="str">
        <f>IFERROR(INDEX(tProdutos[Classe],MATCH(tItens[[#This Row],[Produto]],tProdutos[Produto],0)),"produto não cadastrado")</f>
        <v>DISPUTADO</v>
      </c>
      <c r="K4536" s="12">
        <f>tItens[[#This Row],[Qtd]]*tItens[[#This Row],[Vlr unit]]</f>
        <v>24300</v>
      </c>
      <c r="L4536" s="6">
        <f>IFERROR(IF(INDEX(tProdutos[Desconto homologado],MATCH(tItens[[#This Row],[Produto]],tProdutos[Produto],0))="",DescontoPadrao,INDEX(tProdutos[Desconto homologado],MATCH(tItens[[#This Row],[Produto]],tProdutos[Produto],0))),DescontoPadrao)</f>
        <v>0.37093619495691699</v>
      </c>
      <c r="M4536" s="12">
        <f>tItens[[#This Row],[Valor]]*(1-tItens[[#This Row],[Desconto]])</f>
        <v>15286.250462546917</v>
      </c>
      <c r="N4536" t="str">
        <f>IFERROR(INDEX(tProdutos[Foco],MATCH(tItens[[#This Row],[Produto]],tProdutos[Produto],0)),"Não")</f>
        <v>Não</v>
      </c>
      <c r="O4536" t="str">
        <f>IFERROR(INDEX(tEditais[SRP],MATCH(tItens[[#This Row],[Edital]],tEditais[Edital],0)),"Não")</f>
        <v>Sim</v>
      </c>
      <c r="P4536" s="4">
        <f>IF(COUNTIFS(INDEX(tItens[Edital],1):tItens[[#This Row],[Edital]],tItens[[#This Row],[Edital]],INDEX(tItens[Produto],1):tItens[[#This Row],[Produto]],tItens[[#This Row],[Produto]])=1,1,0)</f>
        <v>1</v>
      </c>
    </row>
    <row r="4537" spans="1:16" x14ac:dyDescent="0.25">
      <c r="A4537" t="s">
        <v>1837</v>
      </c>
      <c r="B4537">
        <v>13</v>
      </c>
      <c r="C4537" t="s">
        <v>7380</v>
      </c>
      <c r="D4537" t="s">
        <v>411</v>
      </c>
      <c r="E4537" s="13">
        <v>6600</v>
      </c>
      <c r="F4537" s="12">
        <v>21</v>
      </c>
      <c r="G4537" t="str">
        <f>IFERROR(INDEX(tEditais[Órgão],MATCH(tItens[[#This Row],[Edital]],tEditais[Edital],0)),"")</f>
        <v>FUNDACAO UNIVERSIDADE DE PERNAMBUCO</v>
      </c>
      <c r="H4537" t="str">
        <f>IFERROR(INDEX(tEditais[UF],MATCH(tItens[[#This Row],[Edital]],tEditais[Edital],0)),"")</f>
        <v>PE</v>
      </c>
      <c r="I4537" s="11">
        <f>IFERROR(INDEX(tEditais[Encerramento],MATCH(tItens[[#This Row],[Edital]],tEditais[Edital],0)),"")</f>
        <v>46304.354166666664</v>
      </c>
      <c r="J4537" t="str">
        <f>IFERROR(INDEX(tProdutos[Classe],MATCH(tItens[[#This Row],[Produto]],tProdutos[Produto],0)),"produto não cadastrado")</f>
        <v>FORA</v>
      </c>
      <c r="K4537" s="12">
        <f>tItens[[#This Row],[Qtd]]*tItens[[#This Row],[Vlr unit]]</f>
        <v>138600</v>
      </c>
      <c r="L4537" s="6">
        <f>IFERROR(IF(INDEX(tProdutos[Desconto homologado],MATCH(tItens[[#This Row],[Produto]],tProdutos[Produto],0))="",DescontoPadrao,INDEX(tProdutos[Desconto homologado],MATCH(tItens[[#This Row],[Produto]],tProdutos[Produto],0))),DescontoPadrao)</f>
        <v>0.50029835957199398</v>
      </c>
      <c r="M4537" s="12">
        <f>tItens[[#This Row],[Valor]]*(1-tItens[[#This Row],[Desconto]])</f>
        <v>69258.647363321637</v>
      </c>
      <c r="N4537" t="str">
        <f>IFERROR(INDEX(tProdutos[Foco],MATCH(tItens[[#This Row],[Produto]],tProdutos[Produto],0)),"Não")</f>
        <v>Não</v>
      </c>
      <c r="O4537" t="str">
        <f>IFERROR(INDEX(tEditais[SRP],MATCH(tItens[[#This Row],[Edital]],tEditais[Edital],0)),"Não")</f>
        <v>Sim</v>
      </c>
      <c r="P4537" s="4">
        <f>IF(COUNTIFS(INDEX(tItens[Edital],1):tItens[[#This Row],[Edital]],tItens[[#This Row],[Edital]],INDEX(tItens[Produto],1):tItens[[#This Row],[Produto]],tItens[[#This Row],[Produto]])=1,1,0)</f>
        <v>1</v>
      </c>
    </row>
    <row r="4538" spans="1:16" x14ac:dyDescent="0.25">
      <c r="A4538" t="s">
        <v>1837</v>
      </c>
      <c r="B4538">
        <v>16</v>
      </c>
      <c r="C4538" t="s">
        <v>7381</v>
      </c>
      <c r="D4538" t="s">
        <v>411</v>
      </c>
      <c r="E4538" s="13">
        <v>4020</v>
      </c>
      <c r="F4538" s="12">
        <v>26.45</v>
      </c>
      <c r="G4538" t="str">
        <f>IFERROR(INDEX(tEditais[Órgão],MATCH(tItens[[#This Row],[Edital]],tEditais[Edital],0)),"")</f>
        <v>FUNDACAO UNIVERSIDADE DE PERNAMBUCO</v>
      </c>
      <c r="H4538" t="str">
        <f>IFERROR(INDEX(tEditais[UF],MATCH(tItens[[#This Row],[Edital]],tEditais[Edital],0)),"")</f>
        <v>PE</v>
      </c>
      <c r="I4538" s="11">
        <f>IFERROR(INDEX(tEditais[Encerramento],MATCH(tItens[[#This Row],[Edital]],tEditais[Edital],0)),"")</f>
        <v>46304.354166666664</v>
      </c>
      <c r="J4538" t="str">
        <f>IFERROR(INDEX(tProdutos[Classe],MATCH(tItens[[#This Row],[Produto]],tProdutos[Produto],0)),"produto não cadastrado")</f>
        <v>FORA</v>
      </c>
      <c r="K4538" s="12">
        <f>tItens[[#This Row],[Qtd]]*tItens[[#This Row],[Vlr unit]]</f>
        <v>106329</v>
      </c>
      <c r="L4538" s="6">
        <f>IFERROR(IF(INDEX(tProdutos[Desconto homologado],MATCH(tItens[[#This Row],[Produto]],tProdutos[Produto],0))="",DescontoPadrao,INDEX(tProdutos[Desconto homologado],MATCH(tItens[[#This Row],[Produto]],tProdutos[Produto],0))),DescontoPadrao)</f>
        <v>0.50029835957199398</v>
      </c>
      <c r="M4538" s="12">
        <f>tItens[[#This Row],[Valor]]*(1-tItens[[#This Row],[Desconto]])</f>
        <v>53132.775725069456</v>
      </c>
      <c r="N4538" t="str">
        <f>IFERROR(INDEX(tProdutos[Foco],MATCH(tItens[[#This Row],[Produto]],tProdutos[Produto],0)),"Não")</f>
        <v>Não</v>
      </c>
      <c r="O4538" t="str">
        <f>IFERROR(INDEX(tEditais[SRP],MATCH(tItens[[#This Row],[Edital]],tEditais[Edital],0)),"Não")</f>
        <v>Sim</v>
      </c>
      <c r="P4538" s="4">
        <f>IF(COUNTIFS(INDEX(tItens[Edital],1):tItens[[#This Row],[Edital]],tItens[[#This Row],[Edital]],INDEX(tItens[Produto],1):tItens[[#This Row],[Produto]],tItens[[#This Row],[Produto]])=1,1,0)</f>
        <v>0</v>
      </c>
    </row>
    <row r="4539" spans="1:16" x14ac:dyDescent="0.25">
      <c r="A4539" t="s">
        <v>1842</v>
      </c>
      <c r="B4539">
        <v>1</v>
      </c>
      <c r="C4539" t="s">
        <v>7382</v>
      </c>
      <c r="D4539" t="s">
        <v>275</v>
      </c>
      <c r="E4539" s="13">
        <v>64500</v>
      </c>
      <c r="F4539" s="12">
        <v>0.42</v>
      </c>
      <c r="G4539" t="str">
        <f>IFERROR(INDEX(tEditais[Órgão],MATCH(tItens[[#This Row],[Edital]],tEditais[Edital],0)),"")</f>
        <v>FUNDACAO UNIVERSIDADE DE PERNAMBUCO</v>
      </c>
      <c r="H4539" t="str">
        <f>IFERROR(INDEX(tEditais[UF],MATCH(tItens[[#This Row],[Edital]],tEditais[Edital],0)),"")</f>
        <v>PE</v>
      </c>
      <c r="I4539" s="11">
        <f>IFERROR(INDEX(tEditais[Encerramento],MATCH(tItens[[#This Row],[Edital]],tEditais[Edital],0)),"")</f>
        <v>46304.375</v>
      </c>
      <c r="J4539" t="str">
        <f>IFERROR(INDEX(tProdutos[Classe],MATCH(tItens[[#This Row],[Produto]],tProdutos[Produto],0)),"produto não cadastrado")</f>
        <v>FORA</v>
      </c>
      <c r="K4539" s="12">
        <f>tItens[[#This Row],[Qtd]]*tItens[[#This Row],[Vlr unit]]</f>
        <v>27090</v>
      </c>
      <c r="L4539" s="6">
        <f>IFERROR(IF(INDEX(tProdutos[Desconto homologado],MATCH(tItens[[#This Row],[Produto]],tProdutos[Produto],0))="",DescontoPadrao,INDEX(tProdutos[Desconto homologado],MATCH(tItens[[#This Row],[Produto]],tProdutos[Produto],0))),DescontoPadrao)</f>
        <v>0.405797101449275</v>
      </c>
      <c r="M4539" s="12">
        <f>tItens[[#This Row],[Valor]]*(1-tItens[[#This Row],[Desconto]])</f>
        <v>16096.956521739141</v>
      </c>
      <c r="N4539" t="str">
        <f>IFERROR(INDEX(tProdutos[Foco],MATCH(tItens[[#This Row],[Produto]],tProdutos[Produto],0)),"Não")</f>
        <v>Não</v>
      </c>
      <c r="O4539" t="str">
        <f>IFERROR(INDEX(tEditais[SRP],MATCH(tItens[[#This Row],[Edital]],tEditais[Edital],0)),"Não")</f>
        <v>Sim</v>
      </c>
      <c r="P4539" s="4">
        <f>IF(COUNTIFS(INDEX(tItens[Edital],1):tItens[[#This Row],[Edital]],tItens[[#This Row],[Edital]],INDEX(tItens[Produto],1):tItens[[#This Row],[Produto]],tItens[[#This Row],[Produto]])=1,1,0)</f>
        <v>1</v>
      </c>
    </row>
    <row r="4540" spans="1:16" x14ac:dyDescent="0.25">
      <c r="A4540" t="s">
        <v>1842</v>
      </c>
      <c r="B4540">
        <v>2</v>
      </c>
      <c r="C4540" t="s">
        <v>7383</v>
      </c>
      <c r="D4540" t="s">
        <v>265</v>
      </c>
      <c r="E4540" s="13">
        <v>99800</v>
      </c>
      <c r="F4540" s="12">
        <v>0.41</v>
      </c>
      <c r="G4540" t="str">
        <f>IFERROR(INDEX(tEditais[Órgão],MATCH(tItens[[#This Row],[Edital]],tEditais[Edital],0)),"")</f>
        <v>FUNDACAO UNIVERSIDADE DE PERNAMBUCO</v>
      </c>
      <c r="H4540" t="str">
        <f>IFERROR(INDEX(tEditais[UF],MATCH(tItens[[#This Row],[Edital]],tEditais[Edital],0)),"")</f>
        <v>PE</v>
      </c>
      <c r="I4540" s="11">
        <f>IFERROR(INDEX(tEditais[Encerramento],MATCH(tItens[[#This Row],[Edital]],tEditais[Edital],0)),"")</f>
        <v>46304.375</v>
      </c>
      <c r="J4540" t="str">
        <f>IFERROR(INDEX(tProdutos[Classe],MATCH(tItens[[#This Row],[Produto]],tProdutos[Produto],0)),"produto não cadastrado")</f>
        <v>DISPUTADO</v>
      </c>
      <c r="K4540" s="12">
        <f>tItens[[#This Row],[Qtd]]*tItens[[#This Row],[Vlr unit]]</f>
        <v>40918</v>
      </c>
      <c r="L4540" s="6">
        <f>IFERROR(IF(INDEX(tProdutos[Desconto homologado],MATCH(tItens[[#This Row],[Produto]],tProdutos[Produto],0))="",DescontoPadrao,INDEX(tProdutos[Desconto homologado],MATCH(tItens[[#This Row],[Produto]],tProdutos[Produto],0))),DescontoPadrao)</f>
        <v>0.377587663709337</v>
      </c>
      <c r="M4540" s="12">
        <f>tItens[[#This Row],[Valor]]*(1-tItens[[#This Row],[Desconto]])</f>
        <v>25467.867976341349</v>
      </c>
      <c r="N4540" t="str">
        <f>IFERROR(INDEX(tProdutos[Foco],MATCH(tItens[[#This Row],[Produto]],tProdutos[Produto],0)),"Não")</f>
        <v>Não</v>
      </c>
      <c r="O4540" t="str">
        <f>IFERROR(INDEX(tEditais[SRP],MATCH(tItens[[#This Row],[Edital]],tEditais[Edital],0)),"Não")</f>
        <v>Sim</v>
      </c>
      <c r="P4540" s="4">
        <f>IF(COUNTIFS(INDEX(tItens[Edital],1):tItens[[#This Row],[Edital]],tItens[[#This Row],[Edital]],INDEX(tItens[Produto],1):tItens[[#This Row],[Produto]],tItens[[#This Row],[Produto]])=1,1,0)</f>
        <v>1</v>
      </c>
    </row>
    <row r="4541" spans="1:16" x14ac:dyDescent="0.25">
      <c r="A4541" t="s">
        <v>1842</v>
      </c>
      <c r="B4541">
        <v>3</v>
      </c>
      <c r="C4541" t="s">
        <v>7384</v>
      </c>
      <c r="D4541" t="s">
        <v>281</v>
      </c>
      <c r="E4541" s="13">
        <v>100700</v>
      </c>
      <c r="F4541" s="12">
        <v>1.0900000000000001</v>
      </c>
      <c r="G4541" t="str">
        <f>IFERROR(INDEX(tEditais[Órgão],MATCH(tItens[[#This Row],[Edital]],tEditais[Edital],0)),"")</f>
        <v>FUNDACAO UNIVERSIDADE DE PERNAMBUCO</v>
      </c>
      <c r="H4541" t="str">
        <f>IFERROR(INDEX(tEditais[UF],MATCH(tItens[[#This Row],[Edital]],tEditais[Edital],0)),"")</f>
        <v>PE</v>
      </c>
      <c r="I4541" s="11">
        <f>IFERROR(INDEX(tEditais[Encerramento],MATCH(tItens[[#This Row],[Edital]],tEditais[Edital],0)),"")</f>
        <v>46304.375</v>
      </c>
      <c r="J4541" t="str">
        <f>IFERROR(INDEX(tProdutos[Classe],MATCH(tItens[[#This Row],[Produto]],tProdutos[Produto],0)),"produto não cadastrado")</f>
        <v>DISPUTADO</v>
      </c>
      <c r="K4541" s="12">
        <f>tItens[[#This Row],[Qtd]]*tItens[[#This Row],[Vlr unit]]</f>
        <v>109763.00000000001</v>
      </c>
      <c r="L4541" s="6">
        <f>IFERROR(IF(INDEX(tProdutos[Desconto homologado],MATCH(tItens[[#This Row],[Produto]],tProdutos[Produto],0))="",DescontoPadrao,INDEX(tProdutos[Desconto homologado],MATCH(tItens[[#This Row],[Produto]],tProdutos[Produto],0))),DescontoPadrao)</f>
        <v>0.42461538461538501</v>
      </c>
      <c r="M4541" s="12">
        <f>tItens[[#This Row],[Valor]]*(1-tItens[[#This Row],[Desconto]])</f>
        <v>63155.941538461499</v>
      </c>
      <c r="N4541" t="str">
        <f>IFERROR(INDEX(tProdutos[Foco],MATCH(tItens[[#This Row],[Produto]],tProdutos[Produto],0)),"Não")</f>
        <v>Não</v>
      </c>
      <c r="O4541" t="str">
        <f>IFERROR(INDEX(tEditais[SRP],MATCH(tItens[[#This Row],[Edital]],tEditais[Edital],0)),"Não")</f>
        <v>Sim</v>
      </c>
      <c r="P4541" s="4">
        <f>IF(COUNTIFS(INDEX(tItens[Edital],1):tItens[[#This Row],[Edital]],tItens[[#This Row],[Edital]],INDEX(tItens[Produto],1):tItens[[#This Row],[Produto]],tItens[[#This Row],[Produto]])=1,1,0)</f>
        <v>1</v>
      </c>
    </row>
    <row r="4542" spans="1:16" x14ac:dyDescent="0.25">
      <c r="A4542" t="s">
        <v>1842</v>
      </c>
      <c r="B4542">
        <v>4</v>
      </c>
      <c r="C4542" t="s">
        <v>7385</v>
      </c>
      <c r="D4542" t="s">
        <v>289</v>
      </c>
      <c r="E4542" s="13">
        <v>99000</v>
      </c>
      <c r="F4542" s="12">
        <v>1.18</v>
      </c>
      <c r="G4542" t="str">
        <f>IFERROR(INDEX(tEditais[Órgão],MATCH(tItens[[#This Row],[Edital]],tEditais[Edital],0)),"")</f>
        <v>FUNDACAO UNIVERSIDADE DE PERNAMBUCO</v>
      </c>
      <c r="H4542" t="str">
        <f>IFERROR(INDEX(tEditais[UF],MATCH(tItens[[#This Row],[Edital]],tEditais[Edital],0)),"")</f>
        <v>PE</v>
      </c>
      <c r="I4542" s="11">
        <f>IFERROR(INDEX(tEditais[Encerramento],MATCH(tItens[[#This Row],[Edital]],tEditais[Edital],0)),"")</f>
        <v>46304.375</v>
      </c>
      <c r="J4542" t="str">
        <f>IFERROR(INDEX(tProdutos[Classe],MATCH(tItens[[#This Row],[Produto]],tProdutos[Produto],0)),"produto não cadastrado")</f>
        <v>DISPUTADO</v>
      </c>
      <c r="K4542" s="12">
        <f>tItens[[#This Row],[Qtd]]*tItens[[#This Row],[Vlr unit]]</f>
        <v>116820</v>
      </c>
      <c r="L4542" s="6">
        <f>IFERROR(IF(INDEX(tProdutos[Desconto homologado],MATCH(tItens[[#This Row],[Produto]],tProdutos[Produto],0))="",DescontoPadrao,INDEX(tProdutos[Desconto homologado],MATCH(tItens[[#This Row],[Produto]],tProdutos[Produto],0))),DescontoPadrao)</f>
        <v>0.35849056603773599</v>
      </c>
      <c r="M4542" s="12">
        <f>tItens[[#This Row],[Valor]]*(1-tItens[[#This Row],[Desconto]])</f>
        <v>74941.132075471687</v>
      </c>
      <c r="N4542" t="str">
        <f>IFERROR(INDEX(tProdutos[Foco],MATCH(tItens[[#This Row],[Produto]],tProdutos[Produto],0)),"Não")</f>
        <v>Não</v>
      </c>
      <c r="O4542" t="str">
        <f>IFERROR(INDEX(tEditais[SRP],MATCH(tItens[[#This Row],[Edital]],tEditais[Edital],0)),"Não")</f>
        <v>Sim</v>
      </c>
      <c r="P4542" s="4">
        <f>IF(COUNTIFS(INDEX(tItens[Edital],1):tItens[[#This Row],[Edital]],tItens[[#This Row],[Edital]],INDEX(tItens[Produto],1):tItens[[#This Row],[Produto]],tItens[[#This Row],[Produto]])=1,1,0)</f>
        <v>1</v>
      </c>
    </row>
    <row r="4543" spans="1:16" x14ac:dyDescent="0.25">
      <c r="A4543" t="s">
        <v>1842</v>
      </c>
      <c r="B4543">
        <v>6</v>
      </c>
      <c r="C4543" t="s">
        <v>7386</v>
      </c>
      <c r="D4543" t="s">
        <v>303</v>
      </c>
      <c r="E4543" s="13">
        <v>9500</v>
      </c>
      <c r="F4543" s="12">
        <v>1.18</v>
      </c>
      <c r="G4543" t="str">
        <f>IFERROR(INDEX(tEditais[Órgão],MATCH(tItens[[#This Row],[Edital]],tEditais[Edital],0)),"")</f>
        <v>FUNDACAO UNIVERSIDADE DE PERNAMBUCO</v>
      </c>
      <c r="H4543" t="str">
        <f>IFERROR(INDEX(tEditais[UF],MATCH(tItens[[#This Row],[Edital]],tEditais[Edital],0)),"")</f>
        <v>PE</v>
      </c>
      <c r="I4543" s="11">
        <f>IFERROR(INDEX(tEditais[Encerramento],MATCH(tItens[[#This Row],[Edital]],tEditais[Edital],0)),"")</f>
        <v>46304.375</v>
      </c>
      <c r="J4543" t="str">
        <f>IFERROR(INDEX(tProdutos[Classe],MATCH(tItens[[#This Row],[Produto]],tProdutos[Produto],0)),"produto não cadastrado")</f>
        <v>FORA</v>
      </c>
      <c r="K4543" s="12">
        <f>tItens[[#This Row],[Qtd]]*tItens[[#This Row],[Vlr unit]]</f>
        <v>11210</v>
      </c>
      <c r="L4543" s="6">
        <f>IFERROR(IF(INDEX(tProdutos[Desconto homologado],MATCH(tItens[[#This Row],[Produto]],tProdutos[Produto],0))="",DescontoPadrao,INDEX(tProdutos[Desconto homologado],MATCH(tItens[[#This Row],[Produto]],tProdutos[Produto],0))),DescontoPadrao)</f>
        <v>0.35748048048048098</v>
      </c>
      <c r="M4543" s="12">
        <f>tItens[[#This Row],[Valor]]*(1-tItens[[#This Row],[Desconto]])</f>
        <v>7202.6438138138083</v>
      </c>
      <c r="N4543" t="str">
        <f>IFERROR(INDEX(tProdutos[Foco],MATCH(tItens[[#This Row],[Produto]],tProdutos[Produto],0)),"Não")</f>
        <v>Não</v>
      </c>
      <c r="O4543" t="str">
        <f>IFERROR(INDEX(tEditais[SRP],MATCH(tItens[[#This Row],[Edital]],tEditais[Edital],0)),"Não")</f>
        <v>Sim</v>
      </c>
      <c r="P4543" s="4">
        <f>IF(COUNTIFS(INDEX(tItens[Edital],1):tItens[[#This Row],[Edital]],tItens[[#This Row],[Edital]],INDEX(tItens[Produto],1):tItens[[#This Row],[Produto]],tItens[[#This Row],[Produto]])=1,1,0)</f>
        <v>1</v>
      </c>
    </row>
    <row r="4544" spans="1:16" x14ac:dyDescent="0.25">
      <c r="A4544" t="s">
        <v>1844</v>
      </c>
      <c r="B4544">
        <v>3</v>
      </c>
      <c r="C4544" t="s">
        <v>3481</v>
      </c>
      <c r="D4544" t="s">
        <v>297</v>
      </c>
      <c r="E4544" s="13">
        <v>20000</v>
      </c>
      <c r="F4544" s="12">
        <v>0.22</v>
      </c>
      <c r="G4544" t="str">
        <f>IFERROR(INDEX(tEditais[Órgão],MATCH(tItens[[#This Row],[Edital]],tEditais[Edital],0)),"")</f>
        <v>FUNDO MUNICIPAL DE SAUDE</v>
      </c>
      <c r="H4544" t="str">
        <f>IFERROR(INDEX(tEditais[UF],MATCH(tItens[[#This Row],[Edital]],tEditais[Edital],0)),"")</f>
        <v>PE</v>
      </c>
      <c r="I4544" s="11">
        <f>IFERROR(INDEX(tEditais[Encerramento],MATCH(tItens[[#This Row],[Edital]],tEditais[Edital],0)),"")</f>
        <v>46304.375</v>
      </c>
      <c r="J4544" t="str">
        <f>IFERROR(INDEX(tProdutos[Classe],MATCH(tItens[[#This Row],[Produto]],tProdutos[Produto],0)),"produto não cadastrado")</f>
        <v>FORA</v>
      </c>
      <c r="K4544" s="12">
        <f>tItens[[#This Row],[Qtd]]*tItens[[#This Row],[Vlr unit]]</f>
        <v>4400</v>
      </c>
      <c r="L4544" s="6">
        <f>IFERROR(IF(INDEX(tProdutos[Desconto homologado],MATCH(tItens[[#This Row],[Produto]],tProdutos[Produto],0))="",DescontoPadrao,INDEX(tProdutos[Desconto homologado],MATCH(tItens[[#This Row],[Produto]],tProdutos[Produto],0))),DescontoPadrao)</f>
        <v>0.249544626593807</v>
      </c>
      <c r="M4544" s="12">
        <f>tItens[[#This Row],[Valor]]*(1-tItens[[#This Row],[Desconto]])</f>
        <v>3302.0036429872489</v>
      </c>
      <c r="N4544" t="str">
        <f>IFERROR(INDEX(tProdutos[Foco],MATCH(tItens[[#This Row],[Produto]],tProdutos[Produto],0)),"Não")</f>
        <v>Não</v>
      </c>
      <c r="O4544" t="str">
        <f>IFERROR(INDEX(tEditais[SRP],MATCH(tItens[[#This Row],[Edital]],tEditais[Edital],0)),"Não")</f>
        <v>Não</v>
      </c>
      <c r="P4544" s="4">
        <f>IF(COUNTIFS(INDEX(tItens[Edital],1):tItens[[#This Row],[Edital]],tItens[[#This Row],[Edital]],INDEX(tItens[Produto],1):tItens[[#This Row],[Produto]],tItens[[#This Row],[Produto]])=1,1,0)</f>
        <v>1</v>
      </c>
    </row>
    <row r="4545" spans="1:16" x14ac:dyDescent="0.25">
      <c r="A4545" t="s">
        <v>1844</v>
      </c>
      <c r="B4545">
        <v>4</v>
      </c>
      <c r="C4545" t="s">
        <v>3480</v>
      </c>
      <c r="D4545" t="s">
        <v>315</v>
      </c>
      <c r="E4545" s="13">
        <v>30000</v>
      </c>
      <c r="F4545" s="12">
        <v>0.23</v>
      </c>
      <c r="G4545" t="str">
        <f>IFERROR(INDEX(tEditais[Órgão],MATCH(tItens[[#This Row],[Edital]],tEditais[Edital],0)),"")</f>
        <v>FUNDO MUNICIPAL DE SAUDE</v>
      </c>
      <c r="H4545" t="str">
        <f>IFERROR(INDEX(tEditais[UF],MATCH(tItens[[#This Row],[Edital]],tEditais[Edital],0)),"")</f>
        <v>PE</v>
      </c>
      <c r="I4545" s="11">
        <f>IFERROR(INDEX(tEditais[Encerramento],MATCH(tItens[[#This Row],[Edital]],tEditais[Edital],0)),"")</f>
        <v>46304.375</v>
      </c>
      <c r="J4545" t="str">
        <f>IFERROR(INDEX(tProdutos[Classe],MATCH(tItens[[#This Row],[Produto]],tProdutos[Produto],0)),"produto não cadastrado")</f>
        <v>FORA</v>
      </c>
      <c r="K4545" s="12">
        <f>tItens[[#This Row],[Qtd]]*tItens[[#This Row],[Vlr unit]]</f>
        <v>6900</v>
      </c>
      <c r="L4545" s="6">
        <f>IFERROR(IF(INDEX(tProdutos[Desconto homologado],MATCH(tItens[[#This Row],[Produto]],tProdutos[Produto],0))="",DescontoPadrao,INDEX(tProdutos[Desconto homologado],MATCH(tItens[[#This Row],[Produto]],tProdutos[Produto],0))),DescontoPadrao)</f>
        <v>0.38432036097010702</v>
      </c>
      <c r="M4545" s="12">
        <f>tItens[[#This Row],[Valor]]*(1-tItens[[#This Row],[Desconto]])</f>
        <v>4248.1895093062612</v>
      </c>
      <c r="N4545" t="str">
        <f>IFERROR(INDEX(tProdutos[Foco],MATCH(tItens[[#This Row],[Produto]],tProdutos[Produto],0)),"Não")</f>
        <v>Não</v>
      </c>
      <c r="O4545" t="str">
        <f>IFERROR(INDEX(tEditais[SRP],MATCH(tItens[[#This Row],[Edital]],tEditais[Edital],0)),"Não")</f>
        <v>Não</v>
      </c>
      <c r="P4545" s="4">
        <f>IF(COUNTIFS(INDEX(tItens[Edital],1):tItens[[#This Row],[Edital]],tItens[[#This Row],[Edital]],INDEX(tItens[Produto],1):tItens[[#This Row],[Produto]],tItens[[#This Row],[Produto]])=1,1,0)</f>
        <v>1</v>
      </c>
    </row>
    <row r="4546" spans="1:16" x14ac:dyDescent="0.25">
      <c r="A4546" t="s">
        <v>1844</v>
      </c>
      <c r="B4546">
        <v>5</v>
      </c>
      <c r="C4546" t="s">
        <v>4181</v>
      </c>
      <c r="D4546" t="s">
        <v>315</v>
      </c>
      <c r="E4546" s="13">
        <v>30000</v>
      </c>
      <c r="F4546" s="12">
        <v>0.28000000000000003</v>
      </c>
      <c r="G4546" t="str">
        <f>IFERROR(INDEX(tEditais[Órgão],MATCH(tItens[[#This Row],[Edital]],tEditais[Edital],0)),"")</f>
        <v>FUNDO MUNICIPAL DE SAUDE</v>
      </c>
      <c r="H4546" t="str">
        <f>IFERROR(INDEX(tEditais[UF],MATCH(tItens[[#This Row],[Edital]],tEditais[Edital],0)),"")</f>
        <v>PE</v>
      </c>
      <c r="I4546" s="11">
        <f>IFERROR(INDEX(tEditais[Encerramento],MATCH(tItens[[#This Row],[Edital]],tEditais[Edital],0)),"")</f>
        <v>46304.375</v>
      </c>
      <c r="J4546" t="str">
        <f>IFERROR(INDEX(tProdutos[Classe],MATCH(tItens[[#This Row],[Produto]],tProdutos[Produto],0)),"produto não cadastrado")</f>
        <v>FORA</v>
      </c>
      <c r="K4546" s="12">
        <f>tItens[[#This Row],[Qtd]]*tItens[[#This Row],[Vlr unit]]</f>
        <v>8400</v>
      </c>
      <c r="L4546" s="6">
        <f>IFERROR(IF(INDEX(tProdutos[Desconto homologado],MATCH(tItens[[#This Row],[Produto]],tProdutos[Produto],0))="",DescontoPadrao,INDEX(tProdutos[Desconto homologado],MATCH(tItens[[#This Row],[Produto]],tProdutos[Produto],0))),DescontoPadrao)</f>
        <v>0.38432036097010702</v>
      </c>
      <c r="M4546" s="12">
        <f>tItens[[#This Row],[Valor]]*(1-tItens[[#This Row],[Desconto]])</f>
        <v>5171.7089678511011</v>
      </c>
      <c r="N4546" t="str">
        <f>IFERROR(INDEX(tProdutos[Foco],MATCH(tItens[[#This Row],[Produto]],tProdutos[Produto],0)),"Não")</f>
        <v>Não</v>
      </c>
      <c r="O4546" t="str">
        <f>IFERROR(INDEX(tEditais[SRP],MATCH(tItens[[#This Row],[Edital]],tEditais[Edital],0)),"Não")</f>
        <v>Não</v>
      </c>
      <c r="P4546" s="4">
        <f>IF(COUNTIFS(INDEX(tItens[Edital],1):tItens[[#This Row],[Edital]],tItens[[#This Row],[Edital]],INDEX(tItens[Produto],1):tItens[[#This Row],[Produto]],tItens[[#This Row],[Produto]])=1,1,0)</f>
        <v>0</v>
      </c>
    </row>
    <row r="4547" spans="1:16" x14ac:dyDescent="0.25">
      <c r="A4547" t="s">
        <v>1844</v>
      </c>
      <c r="B4547">
        <v>6</v>
      </c>
      <c r="C4547" t="s">
        <v>3479</v>
      </c>
      <c r="D4547" t="s">
        <v>315</v>
      </c>
      <c r="E4547" s="13">
        <v>50000</v>
      </c>
      <c r="F4547" s="12">
        <v>0.23</v>
      </c>
      <c r="G4547" t="str">
        <f>IFERROR(INDEX(tEditais[Órgão],MATCH(tItens[[#This Row],[Edital]],tEditais[Edital],0)),"")</f>
        <v>FUNDO MUNICIPAL DE SAUDE</v>
      </c>
      <c r="H4547" t="str">
        <f>IFERROR(INDEX(tEditais[UF],MATCH(tItens[[#This Row],[Edital]],tEditais[Edital],0)),"")</f>
        <v>PE</v>
      </c>
      <c r="I4547" s="11">
        <f>IFERROR(INDEX(tEditais[Encerramento],MATCH(tItens[[#This Row],[Edital]],tEditais[Edital],0)),"")</f>
        <v>46304.375</v>
      </c>
      <c r="J4547" t="str">
        <f>IFERROR(INDEX(tProdutos[Classe],MATCH(tItens[[#This Row],[Produto]],tProdutos[Produto],0)),"produto não cadastrado")</f>
        <v>FORA</v>
      </c>
      <c r="K4547" s="12">
        <f>tItens[[#This Row],[Qtd]]*tItens[[#This Row],[Vlr unit]]</f>
        <v>11500</v>
      </c>
      <c r="L4547" s="6">
        <f>IFERROR(IF(INDEX(tProdutos[Desconto homologado],MATCH(tItens[[#This Row],[Produto]],tProdutos[Produto],0))="",DescontoPadrao,INDEX(tProdutos[Desconto homologado],MATCH(tItens[[#This Row],[Produto]],tProdutos[Produto],0))),DescontoPadrao)</f>
        <v>0.38432036097010702</v>
      </c>
      <c r="M4547" s="12">
        <f>tItens[[#This Row],[Valor]]*(1-tItens[[#This Row],[Desconto]])</f>
        <v>7080.3158488437693</v>
      </c>
      <c r="N4547" t="str">
        <f>IFERROR(INDEX(tProdutos[Foco],MATCH(tItens[[#This Row],[Produto]],tProdutos[Produto],0)),"Não")</f>
        <v>Não</v>
      </c>
      <c r="O4547" t="str">
        <f>IFERROR(INDEX(tEditais[SRP],MATCH(tItens[[#This Row],[Edital]],tEditais[Edital],0)),"Não")</f>
        <v>Não</v>
      </c>
      <c r="P4547" s="4">
        <f>IF(COUNTIFS(INDEX(tItens[Edital],1):tItens[[#This Row],[Edital]],tItens[[#This Row],[Edital]],INDEX(tItens[Produto],1):tItens[[#This Row],[Produto]],tItens[[#This Row],[Produto]])=1,1,0)</f>
        <v>0</v>
      </c>
    </row>
    <row r="4548" spans="1:16" x14ac:dyDescent="0.25">
      <c r="A4548" t="s">
        <v>1844</v>
      </c>
      <c r="B4548">
        <v>7</v>
      </c>
      <c r="C4548" t="s">
        <v>3478</v>
      </c>
      <c r="D4548" t="s">
        <v>315</v>
      </c>
      <c r="E4548" s="13">
        <v>15000</v>
      </c>
      <c r="F4548" s="12">
        <v>0.23</v>
      </c>
      <c r="G4548" t="str">
        <f>IFERROR(INDEX(tEditais[Órgão],MATCH(tItens[[#This Row],[Edital]],tEditais[Edital],0)),"")</f>
        <v>FUNDO MUNICIPAL DE SAUDE</v>
      </c>
      <c r="H4548" t="str">
        <f>IFERROR(INDEX(tEditais[UF],MATCH(tItens[[#This Row],[Edital]],tEditais[Edital],0)),"")</f>
        <v>PE</v>
      </c>
      <c r="I4548" s="11">
        <f>IFERROR(INDEX(tEditais[Encerramento],MATCH(tItens[[#This Row],[Edital]],tEditais[Edital],0)),"")</f>
        <v>46304.375</v>
      </c>
      <c r="J4548" t="str">
        <f>IFERROR(INDEX(tProdutos[Classe],MATCH(tItens[[#This Row],[Produto]],tProdutos[Produto],0)),"produto não cadastrado")</f>
        <v>FORA</v>
      </c>
      <c r="K4548" s="12">
        <f>tItens[[#This Row],[Qtd]]*tItens[[#This Row],[Vlr unit]]</f>
        <v>3450</v>
      </c>
      <c r="L4548" s="6">
        <f>IFERROR(IF(INDEX(tProdutos[Desconto homologado],MATCH(tItens[[#This Row],[Produto]],tProdutos[Produto],0))="",DescontoPadrao,INDEX(tProdutos[Desconto homologado],MATCH(tItens[[#This Row],[Produto]],tProdutos[Produto],0))),DescontoPadrao)</f>
        <v>0.38432036097010702</v>
      </c>
      <c r="M4548" s="12">
        <f>tItens[[#This Row],[Valor]]*(1-tItens[[#This Row],[Desconto]])</f>
        <v>2124.0947546531306</v>
      </c>
      <c r="N4548" t="str">
        <f>IFERROR(INDEX(tProdutos[Foco],MATCH(tItens[[#This Row],[Produto]],tProdutos[Produto],0)),"Não")</f>
        <v>Não</v>
      </c>
      <c r="O4548" t="str">
        <f>IFERROR(INDEX(tEditais[SRP],MATCH(tItens[[#This Row],[Edital]],tEditais[Edital],0)),"Não")</f>
        <v>Não</v>
      </c>
      <c r="P4548" s="4">
        <f>IF(COUNTIFS(INDEX(tItens[Edital],1):tItens[[#This Row],[Edital]],tItens[[#This Row],[Edital]],INDEX(tItens[Produto],1):tItens[[#This Row],[Produto]],tItens[[#This Row],[Produto]])=1,1,0)</f>
        <v>0</v>
      </c>
    </row>
    <row r="4549" spans="1:16" x14ac:dyDescent="0.25">
      <c r="A4549" t="s">
        <v>1844</v>
      </c>
      <c r="B4549">
        <v>21</v>
      </c>
      <c r="C4549" t="s">
        <v>7387</v>
      </c>
      <c r="D4549" t="s">
        <v>299</v>
      </c>
      <c r="E4549" s="13">
        <v>600</v>
      </c>
      <c r="F4549" s="12">
        <v>24.34</v>
      </c>
      <c r="G4549" t="str">
        <f>IFERROR(INDEX(tEditais[Órgão],MATCH(tItens[[#This Row],[Edital]],tEditais[Edital],0)),"")</f>
        <v>FUNDO MUNICIPAL DE SAUDE</v>
      </c>
      <c r="H4549" t="str">
        <f>IFERROR(INDEX(tEditais[UF],MATCH(tItens[[#This Row],[Edital]],tEditais[Edital],0)),"")</f>
        <v>PE</v>
      </c>
      <c r="I4549" s="11">
        <f>IFERROR(INDEX(tEditais[Encerramento],MATCH(tItens[[#This Row],[Edital]],tEditais[Edital],0)),"")</f>
        <v>46304.375</v>
      </c>
      <c r="J4549" t="str">
        <f>IFERROR(INDEX(tProdutos[Classe],MATCH(tItens[[#This Row],[Produto]],tProdutos[Produto],0)),"produto não cadastrado")</f>
        <v>FORA</v>
      </c>
      <c r="K4549" s="12">
        <f>tItens[[#This Row],[Qtd]]*tItens[[#This Row],[Vlr unit]]</f>
        <v>14604</v>
      </c>
      <c r="L4549" s="6">
        <f>IFERROR(IF(INDEX(tProdutos[Desconto homologado],MATCH(tItens[[#This Row],[Produto]],tProdutos[Produto],0))="",DescontoPadrao,INDEX(tProdutos[Desconto homologado],MATCH(tItens[[#This Row],[Produto]],tProdutos[Produto],0))),DescontoPadrao)</f>
        <v>0.42211465163381601</v>
      </c>
      <c r="M4549" s="12">
        <f>tItens[[#This Row],[Valor]]*(1-tItens[[#This Row],[Desconto]])</f>
        <v>8439.4376275397517</v>
      </c>
      <c r="N4549" t="str">
        <f>IFERROR(INDEX(tProdutos[Foco],MATCH(tItens[[#This Row],[Produto]],tProdutos[Produto],0)),"Não")</f>
        <v>Não</v>
      </c>
      <c r="O4549" t="str">
        <f>IFERROR(INDEX(tEditais[SRP],MATCH(tItens[[#This Row],[Edital]],tEditais[Edital],0)),"Não")</f>
        <v>Não</v>
      </c>
      <c r="P4549" s="4">
        <f>IF(COUNTIFS(INDEX(tItens[Edital],1):tItens[[#This Row],[Edital]],tItens[[#This Row],[Edital]],INDEX(tItens[Produto],1):tItens[[#This Row],[Produto]],tItens[[#This Row],[Produto]])=1,1,0)</f>
        <v>1</v>
      </c>
    </row>
    <row r="4550" spans="1:16" x14ac:dyDescent="0.25">
      <c r="A4550" t="s">
        <v>1844</v>
      </c>
      <c r="B4550">
        <v>22</v>
      </c>
      <c r="C4550" t="s">
        <v>7388</v>
      </c>
      <c r="D4550" t="s">
        <v>277</v>
      </c>
      <c r="E4550" s="13">
        <v>50000</v>
      </c>
      <c r="F4550" s="12">
        <v>0.16</v>
      </c>
      <c r="G4550" t="str">
        <f>IFERROR(INDEX(tEditais[Órgão],MATCH(tItens[[#This Row],[Edital]],tEditais[Edital],0)),"")</f>
        <v>FUNDO MUNICIPAL DE SAUDE</v>
      </c>
      <c r="H4550" t="str">
        <f>IFERROR(INDEX(tEditais[UF],MATCH(tItens[[#This Row],[Edital]],tEditais[Edital],0)),"")</f>
        <v>PE</v>
      </c>
      <c r="I4550" s="11">
        <f>IFERROR(INDEX(tEditais[Encerramento],MATCH(tItens[[#This Row],[Edital]],tEditais[Edital],0)),"")</f>
        <v>46304.375</v>
      </c>
      <c r="J4550" t="str">
        <f>IFERROR(INDEX(tProdutos[Classe],MATCH(tItens[[#This Row],[Produto]],tProdutos[Produto],0)),"produto não cadastrado")</f>
        <v>DISPUTADO</v>
      </c>
      <c r="K4550" s="12">
        <f>tItens[[#This Row],[Qtd]]*tItens[[#This Row],[Vlr unit]]</f>
        <v>8000</v>
      </c>
      <c r="L4550" s="6">
        <f>IFERROR(IF(INDEX(tProdutos[Desconto homologado],MATCH(tItens[[#This Row],[Produto]],tProdutos[Produto],0))="",DescontoPadrao,INDEX(tProdutos[Desconto homologado],MATCH(tItens[[#This Row],[Produto]],tProdutos[Produto],0))),DescontoPadrao)</f>
        <v>0.50460666194188497</v>
      </c>
      <c r="M4550" s="12">
        <f>tItens[[#This Row],[Valor]]*(1-tItens[[#This Row],[Desconto]])</f>
        <v>3963.1467044649203</v>
      </c>
      <c r="N4550" t="str">
        <f>IFERROR(INDEX(tProdutos[Foco],MATCH(tItens[[#This Row],[Produto]],tProdutos[Produto],0)),"Não")</f>
        <v>Não</v>
      </c>
      <c r="O4550" t="str">
        <f>IFERROR(INDEX(tEditais[SRP],MATCH(tItens[[#This Row],[Edital]],tEditais[Edital],0)),"Não")</f>
        <v>Não</v>
      </c>
      <c r="P4550" s="4">
        <f>IF(COUNTIFS(INDEX(tItens[Edital],1):tItens[[#This Row],[Edital]],tItens[[#This Row],[Edital]],INDEX(tItens[Produto],1):tItens[[#This Row],[Produto]],tItens[[#This Row],[Produto]])=1,1,0)</f>
        <v>1</v>
      </c>
    </row>
    <row r="4551" spans="1:16" x14ac:dyDescent="0.25">
      <c r="A4551" t="s">
        <v>1844</v>
      </c>
      <c r="B4551">
        <v>32</v>
      </c>
      <c r="C4551" t="s">
        <v>7389</v>
      </c>
      <c r="D4551" t="s">
        <v>110</v>
      </c>
      <c r="E4551" s="13">
        <v>400</v>
      </c>
      <c r="F4551" s="12">
        <v>3.92</v>
      </c>
      <c r="G4551" t="str">
        <f>IFERROR(INDEX(tEditais[Órgão],MATCH(tItens[[#This Row],[Edital]],tEditais[Edital],0)),"")</f>
        <v>FUNDO MUNICIPAL DE SAUDE</v>
      </c>
      <c r="H4551" t="str">
        <f>IFERROR(INDEX(tEditais[UF],MATCH(tItens[[#This Row],[Edital]],tEditais[Edital],0)),"")</f>
        <v>PE</v>
      </c>
      <c r="I4551" s="11">
        <f>IFERROR(INDEX(tEditais[Encerramento],MATCH(tItens[[#This Row],[Edital]],tEditais[Edital],0)),"")</f>
        <v>46304.375</v>
      </c>
      <c r="J4551" t="str">
        <f>IFERROR(INDEX(tProdutos[Classe],MATCH(tItens[[#This Row],[Produto]],tProdutos[Produto],0)),"produto não cadastrado")</f>
        <v>NÚCLEO</v>
      </c>
      <c r="K4551" s="12">
        <f>tItens[[#This Row],[Qtd]]*tItens[[#This Row],[Vlr unit]]</f>
        <v>1568</v>
      </c>
      <c r="L4551" s="6">
        <f>IFERROR(IF(INDEX(tProdutos[Desconto homologado],MATCH(tItens[[#This Row],[Produto]],tProdutos[Produto],0))="",DescontoPadrao,INDEX(tProdutos[Desconto homologado],MATCH(tItens[[#This Row],[Produto]],tProdutos[Produto],0))),DescontoPadrao)</f>
        <v>0.30410958904109597</v>
      </c>
      <c r="M4551" s="12">
        <f>tItens[[#This Row],[Valor]]*(1-tItens[[#This Row],[Desconto]])</f>
        <v>1091.1561643835614</v>
      </c>
      <c r="N4551" t="str">
        <f>IFERROR(INDEX(tProdutos[Foco],MATCH(tItens[[#This Row],[Produto]],tProdutos[Produto],0)),"Não")</f>
        <v>Não</v>
      </c>
      <c r="O4551" t="str">
        <f>IFERROR(INDEX(tEditais[SRP],MATCH(tItens[[#This Row],[Edital]],tEditais[Edital],0)),"Não")</f>
        <v>Não</v>
      </c>
      <c r="P4551" s="4">
        <f>IF(COUNTIFS(INDEX(tItens[Edital],1):tItens[[#This Row],[Edital]],tItens[[#This Row],[Edital]],INDEX(tItens[Produto],1):tItens[[#This Row],[Produto]],tItens[[#This Row],[Produto]])=1,1,0)</f>
        <v>1</v>
      </c>
    </row>
    <row r="4552" spans="1:16" x14ac:dyDescent="0.25">
      <c r="A4552" t="s">
        <v>1844</v>
      </c>
      <c r="B4552">
        <v>33</v>
      </c>
      <c r="C4552" t="s">
        <v>4171</v>
      </c>
      <c r="D4552" t="s">
        <v>114</v>
      </c>
      <c r="E4552" s="13">
        <v>60000</v>
      </c>
      <c r="F4552" s="12">
        <v>0.2</v>
      </c>
      <c r="G4552" t="str">
        <f>IFERROR(INDEX(tEditais[Órgão],MATCH(tItens[[#This Row],[Edital]],tEditais[Edital],0)),"")</f>
        <v>FUNDO MUNICIPAL DE SAUDE</v>
      </c>
      <c r="H4552" t="str">
        <f>IFERROR(INDEX(tEditais[UF],MATCH(tItens[[#This Row],[Edital]],tEditais[Edital],0)),"")</f>
        <v>PE</v>
      </c>
      <c r="I4552" s="11">
        <f>IFERROR(INDEX(tEditais[Encerramento],MATCH(tItens[[#This Row],[Edital]],tEditais[Edital],0)),"")</f>
        <v>46304.375</v>
      </c>
      <c r="J4552" t="str">
        <f>IFERROR(INDEX(tProdutos[Classe],MATCH(tItens[[#This Row],[Produto]],tProdutos[Produto],0)),"produto não cadastrado")</f>
        <v>DISPUTADO</v>
      </c>
      <c r="K4552" s="12">
        <f>tItens[[#This Row],[Qtd]]*tItens[[#This Row],[Vlr unit]]</f>
        <v>12000</v>
      </c>
      <c r="L4552" s="6">
        <f>IFERROR(IF(INDEX(tProdutos[Desconto homologado],MATCH(tItens[[#This Row],[Produto]],tProdutos[Produto],0))="",DescontoPadrao,INDEX(tProdutos[Desconto homologado],MATCH(tItens[[#This Row],[Produto]],tProdutos[Produto],0))),DescontoPadrao)</f>
        <v>0.24332656063896899</v>
      </c>
      <c r="M4552" s="12">
        <f>tItens[[#This Row],[Valor]]*(1-tItens[[#This Row],[Desconto]])</f>
        <v>9080.0812723323725</v>
      </c>
      <c r="N4552" t="str">
        <f>IFERROR(INDEX(tProdutos[Foco],MATCH(tItens[[#This Row],[Produto]],tProdutos[Produto],0)),"Não")</f>
        <v>Não</v>
      </c>
      <c r="O4552" t="str">
        <f>IFERROR(INDEX(tEditais[SRP],MATCH(tItens[[#This Row],[Edital]],tEditais[Edital],0)),"Não")</f>
        <v>Não</v>
      </c>
      <c r="P4552" s="4">
        <f>IF(COUNTIFS(INDEX(tItens[Edital],1):tItens[[#This Row],[Edital]],tItens[[#This Row],[Edital]],INDEX(tItens[Produto],1):tItens[[#This Row],[Produto]],tItens[[#This Row],[Produto]])=1,1,0)</f>
        <v>1</v>
      </c>
    </row>
    <row r="4553" spans="1:16" x14ac:dyDescent="0.25">
      <c r="A4553" t="s">
        <v>1844</v>
      </c>
      <c r="B4553">
        <v>36</v>
      </c>
      <c r="C4553" t="s">
        <v>7390</v>
      </c>
      <c r="D4553" t="s">
        <v>464</v>
      </c>
      <c r="E4553" s="13">
        <v>1000</v>
      </c>
      <c r="F4553" s="12">
        <v>12.23</v>
      </c>
      <c r="G4553" t="str">
        <f>IFERROR(INDEX(tEditais[Órgão],MATCH(tItens[[#This Row],[Edital]],tEditais[Edital],0)),"")</f>
        <v>FUNDO MUNICIPAL DE SAUDE</v>
      </c>
      <c r="H4553" t="str">
        <f>IFERROR(INDEX(tEditais[UF],MATCH(tItens[[#This Row],[Edital]],tEditais[Edital],0)),"")</f>
        <v>PE</v>
      </c>
      <c r="I4553" s="11">
        <f>IFERROR(INDEX(tEditais[Encerramento],MATCH(tItens[[#This Row],[Edital]],tEditais[Edital],0)),"")</f>
        <v>46304.375</v>
      </c>
      <c r="J4553" t="str">
        <f>IFERROR(INDEX(tProdutos[Classe],MATCH(tItens[[#This Row],[Produto]],tProdutos[Produto],0)),"produto não cadastrado")</f>
        <v>FILA REBASE</v>
      </c>
      <c r="K4553" s="12">
        <f>tItens[[#This Row],[Qtd]]*tItens[[#This Row],[Vlr unit]]</f>
        <v>12230</v>
      </c>
      <c r="L4553" s="6">
        <f>IFERROR(IF(INDEX(tProdutos[Desconto homologado],MATCH(tItens[[#This Row],[Produto]],tProdutos[Produto],0))="",DescontoPadrao,INDEX(tProdutos[Desconto homologado],MATCH(tItens[[#This Row],[Produto]],tProdutos[Produto],0))),DescontoPadrao)</f>
        <v>0.3</v>
      </c>
      <c r="M4553" s="12">
        <f>tItens[[#This Row],[Valor]]*(1-tItens[[#This Row],[Desconto]])</f>
        <v>8561</v>
      </c>
      <c r="N4553" t="str">
        <f>IFERROR(INDEX(tProdutos[Foco],MATCH(tItens[[#This Row],[Produto]],tProdutos[Produto],0)),"Não")</f>
        <v>Não</v>
      </c>
      <c r="O4553" t="str">
        <f>IFERROR(INDEX(tEditais[SRP],MATCH(tItens[[#This Row],[Edital]],tEditais[Edital],0)),"Não")</f>
        <v>Não</v>
      </c>
      <c r="P4553" s="4">
        <f>IF(COUNTIFS(INDEX(tItens[Edital],1):tItens[[#This Row],[Edital]],tItens[[#This Row],[Edital]],INDEX(tItens[Produto],1):tItens[[#This Row],[Produto]],tItens[[#This Row],[Produto]])=1,1,0)</f>
        <v>1</v>
      </c>
    </row>
    <row r="4554" spans="1:16" x14ac:dyDescent="0.25">
      <c r="A4554" t="s">
        <v>1844</v>
      </c>
      <c r="B4554">
        <v>37</v>
      </c>
      <c r="C4554" t="s">
        <v>7391</v>
      </c>
      <c r="D4554" t="s">
        <v>464</v>
      </c>
      <c r="E4554" s="13">
        <v>250</v>
      </c>
      <c r="F4554" s="12">
        <v>14.35</v>
      </c>
      <c r="G4554" t="str">
        <f>IFERROR(INDEX(tEditais[Órgão],MATCH(tItens[[#This Row],[Edital]],tEditais[Edital],0)),"")</f>
        <v>FUNDO MUNICIPAL DE SAUDE</v>
      </c>
      <c r="H4554" t="str">
        <f>IFERROR(INDEX(tEditais[UF],MATCH(tItens[[#This Row],[Edital]],tEditais[Edital],0)),"")</f>
        <v>PE</v>
      </c>
      <c r="I4554" s="11">
        <f>IFERROR(INDEX(tEditais[Encerramento],MATCH(tItens[[#This Row],[Edital]],tEditais[Edital],0)),"")</f>
        <v>46304.375</v>
      </c>
      <c r="J4554" t="str">
        <f>IFERROR(INDEX(tProdutos[Classe],MATCH(tItens[[#This Row],[Produto]],tProdutos[Produto],0)),"produto não cadastrado")</f>
        <v>FILA REBASE</v>
      </c>
      <c r="K4554" s="12">
        <f>tItens[[#This Row],[Qtd]]*tItens[[#This Row],[Vlr unit]]</f>
        <v>3587.5</v>
      </c>
      <c r="L4554" s="6">
        <f>IFERROR(IF(INDEX(tProdutos[Desconto homologado],MATCH(tItens[[#This Row],[Produto]],tProdutos[Produto],0))="",DescontoPadrao,INDEX(tProdutos[Desconto homologado],MATCH(tItens[[#This Row],[Produto]],tProdutos[Produto],0))),DescontoPadrao)</f>
        <v>0.3</v>
      </c>
      <c r="M4554" s="12">
        <f>tItens[[#This Row],[Valor]]*(1-tItens[[#This Row],[Desconto]])</f>
        <v>2511.25</v>
      </c>
      <c r="N4554" t="str">
        <f>IFERROR(INDEX(tProdutos[Foco],MATCH(tItens[[#This Row],[Produto]],tProdutos[Produto],0)),"Não")</f>
        <v>Não</v>
      </c>
      <c r="O4554" t="str">
        <f>IFERROR(INDEX(tEditais[SRP],MATCH(tItens[[#This Row],[Edital]],tEditais[Edital],0)),"Não")</f>
        <v>Não</v>
      </c>
      <c r="P4554" s="4">
        <f>IF(COUNTIFS(INDEX(tItens[Edital],1):tItens[[#This Row],[Edital]],tItens[[#This Row],[Edital]],INDEX(tItens[Produto],1):tItens[[#This Row],[Produto]],tItens[[#This Row],[Produto]])=1,1,0)</f>
        <v>0</v>
      </c>
    </row>
    <row r="4555" spans="1:16" x14ac:dyDescent="0.25">
      <c r="A4555" t="s">
        <v>1844</v>
      </c>
      <c r="B4555">
        <v>38</v>
      </c>
      <c r="C4555" t="s">
        <v>7392</v>
      </c>
      <c r="D4555" t="s">
        <v>142</v>
      </c>
      <c r="E4555" s="13">
        <v>1200</v>
      </c>
      <c r="F4555" s="12">
        <v>5.31</v>
      </c>
      <c r="G4555" t="str">
        <f>IFERROR(INDEX(tEditais[Órgão],MATCH(tItens[[#This Row],[Edital]],tEditais[Edital],0)),"")</f>
        <v>FUNDO MUNICIPAL DE SAUDE</v>
      </c>
      <c r="H4555" t="str">
        <f>IFERROR(INDEX(tEditais[UF],MATCH(tItens[[#This Row],[Edital]],tEditais[Edital],0)),"")</f>
        <v>PE</v>
      </c>
      <c r="I4555" s="11">
        <f>IFERROR(INDEX(tEditais[Encerramento],MATCH(tItens[[#This Row],[Edital]],tEditais[Edital],0)),"")</f>
        <v>46304.375</v>
      </c>
      <c r="J4555" t="str">
        <f>IFERROR(INDEX(tProdutos[Classe],MATCH(tItens[[#This Row],[Produto]],tProdutos[Produto],0)),"produto não cadastrado")</f>
        <v>DISPUTADO</v>
      </c>
      <c r="K4555" s="12">
        <f>tItens[[#This Row],[Qtd]]*tItens[[#This Row],[Vlr unit]]</f>
        <v>6371.9999999999991</v>
      </c>
      <c r="L4555" s="6">
        <f>IFERROR(IF(INDEX(tProdutos[Desconto homologado],MATCH(tItens[[#This Row],[Produto]],tProdutos[Produto],0))="",DescontoPadrao,INDEX(tProdutos[Desconto homologado],MATCH(tItens[[#This Row],[Produto]],tProdutos[Produto],0))),DescontoPadrao)</f>
        <v>0.37093619495691699</v>
      </c>
      <c r="M4555" s="12">
        <f>tItens[[#This Row],[Valor]]*(1-tItens[[#This Row],[Desconto]])</f>
        <v>4008.3945657345243</v>
      </c>
      <c r="N4555" t="str">
        <f>IFERROR(INDEX(tProdutos[Foco],MATCH(tItens[[#This Row],[Produto]],tProdutos[Produto],0)),"Não")</f>
        <v>Não</v>
      </c>
      <c r="O4555" t="str">
        <f>IFERROR(INDEX(tEditais[SRP],MATCH(tItens[[#This Row],[Edital]],tEditais[Edital],0)),"Não")</f>
        <v>Não</v>
      </c>
      <c r="P4555" s="4">
        <f>IF(COUNTIFS(INDEX(tItens[Edital],1):tItens[[#This Row],[Edital]],tItens[[#This Row],[Edital]],INDEX(tItens[Produto],1):tItens[[#This Row],[Produto]],tItens[[#This Row],[Produto]])=1,1,0)</f>
        <v>1</v>
      </c>
    </row>
    <row r="4556" spans="1:16" x14ac:dyDescent="0.25">
      <c r="A4556" t="s">
        <v>1844</v>
      </c>
      <c r="B4556">
        <v>40</v>
      </c>
      <c r="C4556" t="s">
        <v>7393</v>
      </c>
      <c r="D4556" t="s">
        <v>170</v>
      </c>
      <c r="E4556" s="13">
        <v>60</v>
      </c>
      <c r="F4556" s="12">
        <v>28.29</v>
      </c>
      <c r="G4556" t="str">
        <f>IFERROR(INDEX(tEditais[Órgão],MATCH(tItens[[#This Row],[Edital]],tEditais[Edital],0)),"")</f>
        <v>FUNDO MUNICIPAL DE SAUDE</v>
      </c>
      <c r="H4556" t="str">
        <f>IFERROR(INDEX(tEditais[UF],MATCH(tItens[[#This Row],[Edital]],tEditais[Edital],0)),"")</f>
        <v>PE</v>
      </c>
      <c r="I4556" s="11">
        <f>IFERROR(INDEX(tEditais[Encerramento],MATCH(tItens[[#This Row],[Edital]],tEditais[Edital],0)),"")</f>
        <v>46304.375</v>
      </c>
      <c r="J4556" t="str">
        <f>IFERROR(INDEX(tProdutos[Classe],MATCH(tItens[[#This Row],[Produto]],tProdutos[Produto],0)),"produto não cadastrado")</f>
        <v>DISPUTADO</v>
      </c>
      <c r="K4556" s="12">
        <f>tItens[[#This Row],[Qtd]]*tItens[[#This Row],[Vlr unit]]</f>
        <v>1697.3999999999999</v>
      </c>
      <c r="L4556" s="6">
        <f>IFERROR(IF(INDEX(tProdutos[Desconto homologado],MATCH(tItens[[#This Row],[Produto]],tProdutos[Produto],0))="",DescontoPadrao,INDEX(tProdutos[Desconto homologado],MATCH(tItens[[#This Row],[Produto]],tProdutos[Produto],0))),DescontoPadrao)</f>
        <v>0.36</v>
      </c>
      <c r="M4556" s="12">
        <f>tItens[[#This Row],[Valor]]*(1-tItens[[#This Row],[Desconto]])</f>
        <v>1086.336</v>
      </c>
      <c r="N4556" t="str">
        <f>IFERROR(INDEX(tProdutos[Foco],MATCH(tItens[[#This Row],[Produto]],tProdutos[Produto],0)),"Não")</f>
        <v>Sim</v>
      </c>
      <c r="O4556" t="str">
        <f>IFERROR(INDEX(tEditais[SRP],MATCH(tItens[[#This Row],[Edital]],tEditais[Edital],0)),"Não")</f>
        <v>Não</v>
      </c>
      <c r="P4556" s="4">
        <f>IF(COUNTIFS(INDEX(tItens[Edital],1):tItens[[#This Row],[Edital]],tItens[[#This Row],[Edital]],INDEX(tItens[Produto],1):tItens[[#This Row],[Produto]],tItens[[#This Row],[Produto]])=1,1,0)</f>
        <v>1</v>
      </c>
    </row>
    <row r="4557" spans="1:16" x14ac:dyDescent="0.25">
      <c r="A4557" t="s">
        <v>1844</v>
      </c>
      <c r="B4557">
        <v>42</v>
      </c>
      <c r="C4557" t="s">
        <v>4162</v>
      </c>
      <c r="D4557" t="s">
        <v>69</v>
      </c>
      <c r="E4557" s="13">
        <v>1000</v>
      </c>
      <c r="F4557" s="12">
        <v>0.83</v>
      </c>
      <c r="G4557" t="str">
        <f>IFERROR(INDEX(tEditais[Órgão],MATCH(tItens[[#This Row],[Edital]],tEditais[Edital],0)),"")</f>
        <v>FUNDO MUNICIPAL DE SAUDE</v>
      </c>
      <c r="H4557" t="str">
        <f>IFERROR(INDEX(tEditais[UF],MATCH(tItens[[#This Row],[Edital]],tEditais[Edital],0)),"")</f>
        <v>PE</v>
      </c>
      <c r="I4557" s="11">
        <f>IFERROR(INDEX(tEditais[Encerramento],MATCH(tItens[[#This Row],[Edital]],tEditais[Edital],0)),"")</f>
        <v>46304.375</v>
      </c>
      <c r="J4557" t="str">
        <f>IFERROR(INDEX(tProdutos[Classe],MATCH(tItens[[#This Row],[Produto]],tProdutos[Produto],0)),"produto não cadastrado")</f>
        <v>NÚCLEO</v>
      </c>
      <c r="K4557" s="12">
        <f>tItens[[#This Row],[Qtd]]*tItens[[#This Row],[Vlr unit]]</f>
        <v>830</v>
      </c>
      <c r="L4557" s="6">
        <f>IFERROR(IF(INDEX(tProdutos[Desconto homologado],MATCH(tItens[[#This Row],[Produto]],tProdutos[Produto],0))="",DescontoPadrao,INDEX(tProdutos[Desconto homologado],MATCH(tItens[[#This Row],[Produto]],tProdutos[Produto],0))),DescontoPadrao)</f>
        <v>0.38829259638568803</v>
      </c>
      <c r="M4557" s="12">
        <f>tItens[[#This Row],[Valor]]*(1-tItens[[#This Row],[Desconto]])</f>
        <v>507.71714499987894</v>
      </c>
      <c r="N4557" t="str">
        <f>IFERROR(INDEX(tProdutos[Foco],MATCH(tItens[[#This Row],[Produto]],tProdutos[Produto],0)),"Não")</f>
        <v>Não</v>
      </c>
      <c r="O4557" t="str">
        <f>IFERROR(INDEX(tEditais[SRP],MATCH(tItens[[#This Row],[Edital]],tEditais[Edital],0)),"Não")</f>
        <v>Não</v>
      </c>
      <c r="P4557" s="4">
        <f>IF(COUNTIFS(INDEX(tItens[Edital],1):tItens[[#This Row],[Edital]],tItens[[#This Row],[Edital]],INDEX(tItens[Produto],1):tItens[[#This Row],[Produto]],tItens[[#This Row],[Produto]])=1,1,0)</f>
        <v>1</v>
      </c>
    </row>
    <row r="4558" spans="1:16" x14ac:dyDescent="0.25">
      <c r="A4558" t="s">
        <v>1844</v>
      </c>
      <c r="B4558">
        <v>43</v>
      </c>
      <c r="C4558" t="s">
        <v>7394</v>
      </c>
      <c r="D4558" t="s">
        <v>69</v>
      </c>
      <c r="E4558" s="13">
        <v>1000</v>
      </c>
      <c r="F4558" s="12">
        <v>0.77</v>
      </c>
      <c r="G4558" t="str">
        <f>IFERROR(INDEX(tEditais[Órgão],MATCH(tItens[[#This Row],[Edital]],tEditais[Edital],0)),"")</f>
        <v>FUNDO MUNICIPAL DE SAUDE</v>
      </c>
      <c r="H4558" t="str">
        <f>IFERROR(INDEX(tEditais[UF],MATCH(tItens[[#This Row],[Edital]],tEditais[Edital],0)),"")</f>
        <v>PE</v>
      </c>
      <c r="I4558" s="11">
        <f>IFERROR(INDEX(tEditais[Encerramento],MATCH(tItens[[#This Row],[Edital]],tEditais[Edital],0)),"")</f>
        <v>46304.375</v>
      </c>
      <c r="J4558" t="str">
        <f>IFERROR(INDEX(tProdutos[Classe],MATCH(tItens[[#This Row],[Produto]],tProdutos[Produto],0)),"produto não cadastrado")</f>
        <v>NÚCLEO</v>
      </c>
      <c r="K4558" s="12">
        <f>tItens[[#This Row],[Qtd]]*tItens[[#This Row],[Vlr unit]]</f>
        <v>770</v>
      </c>
      <c r="L4558" s="6">
        <f>IFERROR(IF(INDEX(tProdutos[Desconto homologado],MATCH(tItens[[#This Row],[Produto]],tProdutos[Produto],0))="",DescontoPadrao,INDEX(tProdutos[Desconto homologado],MATCH(tItens[[#This Row],[Produto]],tProdutos[Produto],0))),DescontoPadrao)</f>
        <v>0.38829259638568803</v>
      </c>
      <c r="M4558" s="12">
        <f>tItens[[#This Row],[Valor]]*(1-tItens[[#This Row],[Desconto]])</f>
        <v>471.0147007830202</v>
      </c>
      <c r="N4558" t="str">
        <f>IFERROR(INDEX(tProdutos[Foco],MATCH(tItens[[#This Row],[Produto]],tProdutos[Produto],0)),"Não")</f>
        <v>Não</v>
      </c>
      <c r="O4558" t="str">
        <f>IFERROR(INDEX(tEditais[SRP],MATCH(tItens[[#This Row],[Edital]],tEditais[Edital],0)),"Não")</f>
        <v>Não</v>
      </c>
      <c r="P4558" s="4">
        <f>IF(COUNTIFS(INDEX(tItens[Edital],1):tItens[[#This Row],[Edital]],tItens[[#This Row],[Edital]],INDEX(tItens[Produto],1):tItens[[#This Row],[Produto]],tItens[[#This Row],[Produto]])=1,1,0)</f>
        <v>0</v>
      </c>
    </row>
    <row r="4559" spans="1:16" x14ac:dyDescent="0.25">
      <c r="A4559" t="s">
        <v>1844</v>
      </c>
      <c r="B4559">
        <v>44</v>
      </c>
      <c r="C4559" t="s">
        <v>7395</v>
      </c>
      <c r="D4559" t="s">
        <v>69</v>
      </c>
      <c r="E4559" s="13">
        <v>1000</v>
      </c>
      <c r="F4559" s="12">
        <v>0.82</v>
      </c>
      <c r="G4559" t="str">
        <f>IFERROR(INDEX(tEditais[Órgão],MATCH(tItens[[#This Row],[Edital]],tEditais[Edital],0)),"")</f>
        <v>FUNDO MUNICIPAL DE SAUDE</v>
      </c>
      <c r="H4559" t="str">
        <f>IFERROR(INDEX(tEditais[UF],MATCH(tItens[[#This Row],[Edital]],tEditais[Edital],0)),"")</f>
        <v>PE</v>
      </c>
      <c r="I4559" s="11">
        <f>IFERROR(INDEX(tEditais[Encerramento],MATCH(tItens[[#This Row],[Edital]],tEditais[Edital],0)),"")</f>
        <v>46304.375</v>
      </c>
      <c r="J4559" t="str">
        <f>IFERROR(INDEX(tProdutos[Classe],MATCH(tItens[[#This Row],[Produto]],tProdutos[Produto],0)),"produto não cadastrado")</f>
        <v>NÚCLEO</v>
      </c>
      <c r="K4559" s="12">
        <f>tItens[[#This Row],[Qtd]]*tItens[[#This Row],[Vlr unit]]</f>
        <v>820</v>
      </c>
      <c r="L4559" s="6">
        <f>IFERROR(IF(INDEX(tProdutos[Desconto homologado],MATCH(tItens[[#This Row],[Produto]],tProdutos[Produto],0))="",DescontoPadrao,INDEX(tProdutos[Desconto homologado],MATCH(tItens[[#This Row],[Produto]],tProdutos[Produto],0))),DescontoPadrao)</f>
        <v>0.38829259638568803</v>
      </c>
      <c r="M4559" s="12">
        <f>tItens[[#This Row],[Valor]]*(1-tItens[[#This Row],[Desconto]])</f>
        <v>501.60007096373585</v>
      </c>
      <c r="N4559" t="str">
        <f>IFERROR(INDEX(tProdutos[Foco],MATCH(tItens[[#This Row],[Produto]],tProdutos[Produto],0)),"Não")</f>
        <v>Não</v>
      </c>
      <c r="O4559" t="str">
        <f>IFERROR(INDEX(tEditais[SRP],MATCH(tItens[[#This Row],[Edital]],tEditais[Edital],0)),"Não")</f>
        <v>Não</v>
      </c>
      <c r="P4559" s="4">
        <f>IF(COUNTIFS(INDEX(tItens[Edital],1):tItens[[#This Row],[Edital]],tItens[[#This Row],[Edital]],INDEX(tItens[Produto],1):tItens[[#This Row],[Produto]],tItens[[#This Row],[Produto]])=1,1,0)</f>
        <v>0</v>
      </c>
    </row>
    <row r="4560" spans="1:16" x14ac:dyDescent="0.25">
      <c r="A4560" t="s">
        <v>1844</v>
      </c>
      <c r="B4560">
        <v>45</v>
      </c>
      <c r="C4560" t="s">
        <v>4200</v>
      </c>
      <c r="D4560" t="s">
        <v>245</v>
      </c>
      <c r="E4560" s="13">
        <v>80</v>
      </c>
      <c r="F4560" s="12">
        <v>62.98</v>
      </c>
      <c r="G4560" t="str">
        <f>IFERROR(INDEX(tEditais[Órgão],MATCH(tItens[[#This Row],[Edital]],tEditais[Edital],0)),"")</f>
        <v>FUNDO MUNICIPAL DE SAUDE</v>
      </c>
      <c r="H4560" t="str">
        <f>IFERROR(INDEX(tEditais[UF],MATCH(tItens[[#This Row],[Edital]],tEditais[Edital],0)),"")</f>
        <v>PE</v>
      </c>
      <c r="I4560" s="11">
        <f>IFERROR(INDEX(tEditais[Encerramento],MATCH(tItens[[#This Row],[Edital]],tEditais[Edital],0)),"")</f>
        <v>46304.375</v>
      </c>
      <c r="J4560" t="str">
        <f>IFERROR(INDEX(tProdutos[Classe],MATCH(tItens[[#This Row],[Produto]],tProdutos[Produto],0)),"produto não cadastrado")</f>
        <v>FORA</v>
      </c>
      <c r="K4560" s="12">
        <f>tItens[[#This Row],[Qtd]]*tItens[[#This Row],[Vlr unit]]</f>
        <v>5038.3999999999996</v>
      </c>
      <c r="L4560" s="6">
        <f>IFERROR(IF(INDEX(tProdutos[Desconto homologado],MATCH(tItens[[#This Row],[Produto]],tProdutos[Produto],0))="",DescontoPadrao,INDEX(tProdutos[Desconto homologado],MATCH(tItens[[#This Row],[Produto]],tProdutos[Produto],0))),DescontoPadrao)</f>
        <v>0.34516963542284401</v>
      </c>
      <c r="M4560" s="12">
        <f>tItens[[#This Row],[Valor]]*(1-tItens[[#This Row],[Desconto]])</f>
        <v>3299.2973088855429</v>
      </c>
      <c r="N4560" t="str">
        <f>IFERROR(INDEX(tProdutos[Foco],MATCH(tItens[[#This Row],[Produto]],tProdutos[Produto],0)),"Não")</f>
        <v>Não</v>
      </c>
      <c r="O4560" t="str">
        <f>IFERROR(INDEX(tEditais[SRP],MATCH(tItens[[#This Row],[Edital]],tEditais[Edital],0)),"Não")</f>
        <v>Não</v>
      </c>
      <c r="P4560" s="4">
        <f>IF(COUNTIFS(INDEX(tItens[Edital],1):tItens[[#This Row],[Edital]],tItens[[#This Row],[Edital]],INDEX(tItens[Produto],1):tItens[[#This Row],[Produto]],tItens[[#This Row],[Produto]])=1,1,0)</f>
        <v>1</v>
      </c>
    </row>
    <row r="4561" spans="1:16" x14ac:dyDescent="0.25">
      <c r="A4561" t="s">
        <v>1844</v>
      </c>
      <c r="B4561">
        <v>46</v>
      </c>
      <c r="C4561" t="s">
        <v>7396</v>
      </c>
      <c r="D4561" t="s">
        <v>73</v>
      </c>
      <c r="E4561" s="13">
        <v>12000</v>
      </c>
      <c r="F4561" s="12">
        <v>1.87</v>
      </c>
      <c r="G4561" t="str">
        <f>IFERROR(INDEX(tEditais[Órgão],MATCH(tItens[[#This Row],[Edital]],tEditais[Edital],0)),"")</f>
        <v>FUNDO MUNICIPAL DE SAUDE</v>
      </c>
      <c r="H4561" t="str">
        <f>IFERROR(INDEX(tEditais[UF],MATCH(tItens[[#This Row],[Edital]],tEditais[Edital],0)),"")</f>
        <v>PE</v>
      </c>
      <c r="I4561" s="11">
        <f>IFERROR(INDEX(tEditais[Encerramento],MATCH(tItens[[#This Row],[Edital]],tEditais[Edital],0)),"")</f>
        <v>46304.375</v>
      </c>
      <c r="J4561" t="str">
        <f>IFERROR(INDEX(tProdutos[Classe],MATCH(tItens[[#This Row],[Produto]],tProdutos[Produto],0)),"produto não cadastrado")</f>
        <v>NÚCLEO</v>
      </c>
      <c r="K4561" s="12">
        <f>tItens[[#This Row],[Qtd]]*tItens[[#This Row],[Vlr unit]]</f>
        <v>22440</v>
      </c>
      <c r="L4561" s="6">
        <f>IFERROR(IF(INDEX(tProdutos[Desconto homologado],MATCH(tItens[[#This Row],[Produto]],tProdutos[Produto],0))="",DescontoPadrao,INDEX(tProdutos[Desconto homologado],MATCH(tItens[[#This Row],[Produto]],tProdutos[Produto],0))),DescontoPadrao)</f>
        <v>0.37</v>
      </c>
      <c r="M4561" s="12">
        <f>tItens[[#This Row],[Valor]]*(1-tItens[[#This Row],[Desconto]])</f>
        <v>14137.2</v>
      </c>
      <c r="N4561" t="str">
        <f>IFERROR(INDEX(tProdutos[Foco],MATCH(tItens[[#This Row],[Produto]],tProdutos[Produto],0)),"Não")</f>
        <v>Sim</v>
      </c>
      <c r="O4561" t="str">
        <f>IFERROR(INDEX(tEditais[SRP],MATCH(tItens[[#This Row],[Edital]],tEditais[Edital],0)),"Não")</f>
        <v>Não</v>
      </c>
      <c r="P4561" s="4">
        <f>IF(COUNTIFS(INDEX(tItens[Edital],1):tItens[[#This Row],[Edital]],tItens[[#This Row],[Edital]],INDEX(tItens[Produto],1):tItens[[#This Row],[Produto]],tItens[[#This Row],[Produto]])=1,1,0)</f>
        <v>1</v>
      </c>
    </row>
    <row r="4562" spans="1:16" x14ac:dyDescent="0.25">
      <c r="A4562" t="s">
        <v>1848</v>
      </c>
      <c r="B4562">
        <v>32</v>
      </c>
      <c r="C4562" t="s">
        <v>7397</v>
      </c>
      <c r="D4562" t="s">
        <v>494</v>
      </c>
      <c r="E4562" s="13">
        <v>3</v>
      </c>
      <c r="F4562" s="12">
        <v>577.03</v>
      </c>
      <c r="G4562" t="str">
        <f>IFERROR(INDEX(tEditais[Órgão],MATCH(tItens[[#This Row],[Edital]],tEditais[Edital],0)),"")</f>
        <v>MUNICIPIO DE MORENO</v>
      </c>
      <c r="H4562" t="str">
        <f>IFERROR(INDEX(tEditais[UF],MATCH(tItens[[#This Row],[Edital]],tEditais[Edital],0)),"")</f>
        <v>PE</v>
      </c>
      <c r="I4562" s="11">
        <f>IFERROR(INDEX(tEditais[Encerramento],MATCH(tItens[[#This Row],[Edital]],tEditais[Edital],0)),"")</f>
        <v>46304.395833333336</v>
      </c>
      <c r="J4562" t="str">
        <f>IFERROR(INDEX(tProdutos[Classe],MATCH(tItens[[#This Row],[Produto]],tProdutos[Produto],0)),"produto não cadastrado")</f>
        <v>FILA REBASE</v>
      </c>
      <c r="K4562" s="12">
        <f>tItens[[#This Row],[Qtd]]*tItens[[#This Row],[Vlr unit]]</f>
        <v>1731.09</v>
      </c>
      <c r="L4562" s="6">
        <f>IFERROR(IF(INDEX(tProdutos[Desconto homologado],MATCH(tItens[[#This Row],[Produto]],tProdutos[Produto],0))="",DescontoPadrao,INDEX(tProdutos[Desconto homologado],MATCH(tItens[[#This Row],[Produto]],tProdutos[Produto],0))),DescontoPadrao)</f>
        <v>0.253736324829619</v>
      </c>
      <c r="M4562" s="12">
        <f>tItens[[#This Row],[Valor]]*(1-tItens[[#This Row],[Desconto]])</f>
        <v>1291.8495854506948</v>
      </c>
      <c r="N4562" t="str">
        <f>IFERROR(INDEX(tProdutos[Foco],MATCH(tItens[[#This Row],[Produto]],tProdutos[Produto],0)),"Não")</f>
        <v>Não</v>
      </c>
      <c r="O4562" t="str">
        <f>IFERROR(INDEX(tEditais[SRP],MATCH(tItens[[#This Row],[Edital]],tEditais[Edital],0)),"Não")</f>
        <v>Não</v>
      </c>
      <c r="P4562" s="4">
        <f>IF(COUNTIFS(INDEX(tItens[Edital],1):tItens[[#This Row],[Edital]],tItens[[#This Row],[Edital]],INDEX(tItens[Produto],1):tItens[[#This Row],[Produto]],tItens[[#This Row],[Produto]])=1,1,0)</f>
        <v>1</v>
      </c>
    </row>
    <row r="4563" spans="1:16" x14ac:dyDescent="0.25">
      <c r="A4563" t="s">
        <v>1853</v>
      </c>
      <c r="B4563">
        <v>148</v>
      </c>
      <c r="C4563" t="s">
        <v>7398</v>
      </c>
      <c r="D4563" t="s">
        <v>154</v>
      </c>
      <c r="E4563" s="13">
        <v>1200</v>
      </c>
      <c r="F4563" s="12">
        <v>43.35</v>
      </c>
      <c r="G4563" t="str">
        <f>IFERROR(INDEX(tEditais[Órgão],MATCH(tItens[[#This Row],[Edital]],tEditais[Edital],0)),"")</f>
        <v>MUNICIPIO DE AFRANIO</v>
      </c>
      <c r="H4563" t="str">
        <f>IFERROR(INDEX(tEditais[UF],MATCH(tItens[[#This Row],[Edital]],tEditais[Edital],0)),"")</f>
        <v>PE</v>
      </c>
      <c r="I4563" s="11">
        <f>IFERROR(INDEX(tEditais[Encerramento],MATCH(tItens[[#This Row],[Edital]],tEditais[Edital],0)),"")</f>
        <v>46304.583333333336</v>
      </c>
      <c r="J4563" t="str">
        <f>IFERROR(INDEX(tProdutos[Classe],MATCH(tItens[[#This Row],[Produto]],tProdutos[Produto],0)),"produto não cadastrado")</f>
        <v>DISPUTADO</v>
      </c>
      <c r="K4563" s="12">
        <f>tItens[[#This Row],[Qtd]]*tItens[[#This Row],[Vlr unit]]</f>
        <v>52020</v>
      </c>
      <c r="L4563" s="6">
        <f>IFERROR(IF(INDEX(tProdutos[Desconto homologado],MATCH(tItens[[#This Row],[Produto]],tProdutos[Produto],0))="",DescontoPadrao,INDEX(tProdutos[Desconto homologado],MATCH(tItens[[#This Row],[Produto]],tProdutos[Produto],0))),DescontoPadrao)</f>
        <v>0.48690097134476601</v>
      </c>
      <c r="M4563" s="12">
        <f>tItens[[#This Row],[Valor]]*(1-tItens[[#This Row],[Desconto]])</f>
        <v>26691.411470645271</v>
      </c>
      <c r="N4563" t="str">
        <f>IFERROR(INDEX(tProdutos[Foco],MATCH(tItens[[#This Row],[Produto]],tProdutos[Produto],0)),"Não")</f>
        <v>Não</v>
      </c>
      <c r="O4563" t="str">
        <f>IFERROR(INDEX(tEditais[SRP],MATCH(tItens[[#This Row],[Edital]],tEditais[Edital],0)),"Não")</f>
        <v>Sim</v>
      </c>
      <c r="P4563" s="4">
        <f>IF(COUNTIFS(INDEX(tItens[Edital],1):tItens[[#This Row],[Edital]],tItens[[#This Row],[Edital]],INDEX(tItens[Produto],1):tItens[[#This Row],[Produto]],tItens[[#This Row],[Produto]])=1,1,0)</f>
        <v>1</v>
      </c>
    </row>
    <row r="4564" spans="1:16" x14ac:dyDescent="0.25">
      <c r="A4564" t="s">
        <v>1858</v>
      </c>
      <c r="B4564">
        <v>2</v>
      </c>
      <c r="C4564" t="s">
        <v>7399</v>
      </c>
      <c r="D4564" t="s">
        <v>265</v>
      </c>
      <c r="E4564" s="13">
        <v>31000</v>
      </c>
      <c r="F4564" s="12">
        <v>0.5</v>
      </c>
      <c r="G4564" t="str">
        <f>IFERROR(INDEX(tEditais[Órgão],MATCH(tItens[[#This Row],[Edital]],tEditais[Edital],0)),"")</f>
        <v>INSTITUTO DE RECURSOS HUMANOS DE PERNAMBUCO - IRH-PE</v>
      </c>
      <c r="H4564" t="str">
        <f>IFERROR(INDEX(tEditais[UF],MATCH(tItens[[#This Row],[Edital]],tEditais[Edital],0)),"")</f>
        <v>PE</v>
      </c>
      <c r="I4564" s="11">
        <f>IFERROR(INDEX(tEditais[Encerramento],MATCH(tItens[[#This Row],[Edital]],tEditais[Edital],0)),"")</f>
        <v>46307.583333333336</v>
      </c>
      <c r="J4564" t="str">
        <f>IFERROR(INDEX(tProdutos[Classe],MATCH(tItens[[#This Row],[Produto]],tProdutos[Produto],0)),"produto não cadastrado")</f>
        <v>DISPUTADO</v>
      </c>
      <c r="K4564" s="12">
        <f>tItens[[#This Row],[Qtd]]*tItens[[#This Row],[Vlr unit]]</f>
        <v>15500</v>
      </c>
      <c r="L4564" s="6">
        <f>IFERROR(IF(INDEX(tProdutos[Desconto homologado],MATCH(tItens[[#This Row],[Produto]],tProdutos[Produto],0))="",DescontoPadrao,INDEX(tProdutos[Desconto homologado],MATCH(tItens[[#This Row],[Produto]],tProdutos[Produto],0))),DescontoPadrao)</f>
        <v>0.377587663709337</v>
      </c>
      <c r="M4564" s="12">
        <f>tItens[[#This Row],[Valor]]*(1-tItens[[#This Row],[Desconto]])</f>
        <v>9647.3912125052775</v>
      </c>
      <c r="N4564" t="str">
        <f>IFERROR(INDEX(tProdutos[Foco],MATCH(tItens[[#This Row],[Produto]],tProdutos[Produto],0)),"Não")</f>
        <v>Não</v>
      </c>
      <c r="O4564" t="str">
        <f>IFERROR(INDEX(tEditais[SRP],MATCH(tItens[[#This Row],[Edital]],tEditais[Edital],0)),"Não")</f>
        <v>Não</v>
      </c>
      <c r="P4564" s="4">
        <f>IF(COUNTIFS(INDEX(tItens[Edital],1):tItens[[#This Row],[Edital]],tItens[[#This Row],[Edital]],INDEX(tItens[Produto],1):tItens[[#This Row],[Produto]],tItens[[#This Row],[Produto]])=1,1,0)</f>
        <v>1</v>
      </c>
    </row>
    <row r="4565" spans="1:16" x14ac:dyDescent="0.25">
      <c r="A4565" t="s">
        <v>1858</v>
      </c>
      <c r="B4565">
        <v>3</v>
      </c>
      <c r="C4565" t="s">
        <v>7400</v>
      </c>
      <c r="D4565" t="s">
        <v>503</v>
      </c>
      <c r="E4565" s="13">
        <v>150</v>
      </c>
      <c r="F4565" s="12">
        <v>38</v>
      </c>
      <c r="G4565" t="str">
        <f>IFERROR(INDEX(tEditais[Órgão],MATCH(tItens[[#This Row],[Edital]],tEditais[Edital],0)),"")</f>
        <v>INSTITUTO DE RECURSOS HUMANOS DE PERNAMBUCO - IRH-PE</v>
      </c>
      <c r="H4565" t="str">
        <f>IFERROR(INDEX(tEditais[UF],MATCH(tItens[[#This Row],[Edital]],tEditais[Edital],0)),"")</f>
        <v>PE</v>
      </c>
      <c r="I4565" s="11">
        <f>IFERROR(INDEX(tEditais[Encerramento],MATCH(tItens[[#This Row],[Edital]],tEditais[Edital],0)),"")</f>
        <v>46307.583333333336</v>
      </c>
      <c r="J4565" t="str">
        <f>IFERROR(INDEX(tProdutos[Classe],MATCH(tItens[[#This Row],[Produto]],tProdutos[Produto],0)),"produto não cadastrado")</f>
        <v>FILA REBASE</v>
      </c>
      <c r="K4565" s="12">
        <f>tItens[[#This Row],[Qtd]]*tItens[[#This Row],[Vlr unit]]</f>
        <v>5700</v>
      </c>
      <c r="L4565" s="6">
        <f>IFERROR(IF(INDEX(tProdutos[Desconto homologado],MATCH(tItens[[#This Row],[Produto]],tProdutos[Produto],0))="",DescontoPadrao,INDEX(tProdutos[Desconto homologado],MATCH(tItens[[#This Row],[Produto]],tProdutos[Produto],0))),DescontoPadrao)</f>
        <v>0.54492561591744004</v>
      </c>
      <c r="M4565" s="12">
        <f>tItens[[#This Row],[Valor]]*(1-tItens[[#This Row],[Desconto]])</f>
        <v>2593.9239892705918</v>
      </c>
      <c r="N4565" t="str">
        <f>IFERROR(INDEX(tProdutos[Foco],MATCH(tItens[[#This Row],[Produto]],tProdutos[Produto],0)),"Não")</f>
        <v>Não</v>
      </c>
      <c r="O4565" t="str">
        <f>IFERROR(INDEX(tEditais[SRP],MATCH(tItens[[#This Row],[Edital]],tEditais[Edital],0)),"Não")</f>
        <v>Não</v>
      </c>
      <c r="P4565" s="4">
        <f>IF(COUNTIFS(INDEX(tItens[Edital],1):tItens[[#This Row],[Edital]],tItens[[#This Row],[Edital]],INDEX(tItens[Produto],1):tItens[[#This Row],[Produto]],tItens[[#This Row],[Produto]])=1,1,0)</f>
        <v>1</v>
      </c>
    </row>
    <row r="4566" spans="1:16" x14ac:dyDescent="0.25">
      <c r="A4566" t="s">
        <v>1858</v>
      </c>
      <c r="B4566">
        <v>7</v>
      </c>
      <c r="C4566" t="s">
        <v>7401</v>
      </c>
      <c r="D4566" t="s">
        <v>275</v>
      </c>
      <c r="E4566" s="13">
        <v>20500</v>
      </c>
      <c r="F4566" s="12">
        <v>0.49</v>
      </c>
      <c r="G4566" t="str">
        <f>IFERROR(INDEX(tEditais[Órgão],MATCH(tItens[[#This Row],[Edital]],tEditais[Edital],0)),"")</f>
        <v>INSTITUTO DE RECURSOS HUMANOS DE PERNAMBUCO - IRH-PE</v>
      </c>
      <c r="H4566" t="str">
        <f>IFERROR(INDEX(tEditais[UF],MATCH(tItens[[#This Row],[Edital]],tEditais[Edital],0)),"")</f>
        <v>PE</v>
      </c>
      <c r="I4566" s="11">
        <f>IFERROR(INDEX(tEditais[Encerramento],MATCH(tItens[[#This Row],[Edital]],tEditais[Edital],0)),"")</f>
        <v>46307.583333333336</v>
      </c>
      <c r="J4566" t="str">
        <f>IFERROR(INDEX(tProdutos[Classe],MATCH(tItens[[#This Row],[Produto]],tProdutos[Produto],0)),"produto não cadastrado")</f>
        <v>FORA</v>
      </c>
      <c r="K4566" s="12">
        <f>tItens[[#This Row],[Qtd]]*tItens[[#This Row],[Vlr unit]]</f>
        <v>10045</v>
      </c>
      <c r="L4566" s="6">
        <f>IFERROR(IF(INDEX(tProdutos[Desconto homologado],MATCH(tItens[[#This Row],[Produto]],tProdutos[Produto],0))="",DescontoPadrao,INDEX(tProdutos[Desconto homologado],MATCH(tItens[[#This Row],[Produto]],tProdutos[Produto],0))),DescontoPadrao)</f>
        <v>0.405797101449275</v>
      </c>
      <c r="M4566" s="12">
        <f>tItens[[#This Row],[Valor]]*(1-tItens[[#This Row],[Desconto]])</f>
        <v>5968.7681159420335</v>
      </c>
      <c r="N4566" t="str">
        <f>IFERROR(INDEX(tProdutos[Foco],MATCH(tItens[[#This Row],[Produto]],tProdutos[Produto],0)),"Não")</f>
        <v>Não</v>
      </c>
      <c r="O4566" t="str">
        <f>IFERROR(INDEX(tEditais[SRP],MATCH(tItens[[#This Row],[Edital]],tEditais[Edital],0)),"Não")</f>
        <v>Não</v>
      </c>
      <c r="P4566" s="4">
        <f>IF(COUNTIFS(INDEX(tItens[Edital],1):tItens[[#This Row],[Edital]],tItens[[#This Row],[Edital]],INDEX(tItens[Produto],1):tItens[[#This Row],[Produto]],tItens[[#This Row],[Produto]])=1,1,0)</f>
        <v>1</v>
      </c>
    </row>
    <row r="4567" spans="1:16" x14ac:dyDescent="0.25">
      <c r="A4567" t="s">
        <v>1861</v>
      </c>
      <c r="B4567">
        <v>8</v>
      </c>
      <c r="C4567" t="s">
        <v>7402</v>
      </c>
      <c r="D4567" t="s">
        <v>315</v>
      </c>
      <c r="E4567" s="13">
        <v>10000</v>
      </c>
      <c r="F4567" s="12">
        <v>0.21</v>
      </c>
      <c r="G4567" t="str">
        <f>IFERROR(INDEX(tEditais[Órgão],MATCH(tItens[[#This Row],[Edital]],tEditais[Edital],0)),"")</f>
        <v>FUNDO MUNICIPAL DE SAUDE DE CAMOCIM DE SAO FELIX</v>
      </c>
      <c r="H4567" t="str">
        <f>IFERROR(INDEX(tEditais[UF],MATCH(tItens[[#This Row],[Edital]],tEditais[Edital],0)),"")</f>
        <v>PE</v>
      </c>
      <c r="I4567" s="11">
        <f>IFERROR(INDEX(tEditais[Encerramento],MATCH(tItens[[#This Row],[Edital]],tEditais[Edital],0)),"")</f>
        <v>46308.333333333336</v>
      </c>
      <c r="J4567" t="str">
        <f>IFERROR(INDEX(tProdutos[Classe],MATCH(tItens[[#This Row],[Produto]],tProdutos[Produto],0)),"produto não cadastrado")</f>
        <v>FORA</v>
      </c>
      <c r="K4567" s="12">
        <f>tItens[[#This Row],[Qtd]]*tItens[[#This Row],[Vlr unit]]</f>
        <v>2100</v>
      </c>
      <c r="L4567" s="6">
        <f>IFERROR(IF(INDEX(tProdutos[Desconto homologado],MATCH(tItens[[#This Row],[Produto]],tProdutos[Produto],0))="",DescontoPadrao,INDEX(tProdutos[Desconto homologado],MATCH(tItens[[#This Row],[Produto]],tProdutos[Produto],0))),DescontoPadrao)</f>
        <v>0.38432036097010702</v>
      </c>
      <c r="M4567" s="12">
        <f>tItens[[#This Row],[Valor]]*(1-tItens[[#This Row],[Desconto]])</f>
        <v>1292.9272419627753</v>
      </c>
      <c r="N4567" t="str">
        <f>IFERROR(INDEX(tProdutos[Foco],MATCH(tItens[[#This Row],[Produto]],tProdutos[Produto],0)),"Não")</f>
        <v>Não</v>
      </c>
      <c r="O4567" t="str">
        <f>IFERROR(INDEX(tEditais[SRP],MATCH(tItens[[#This Row],[Edital]],tEditais[Edital],0)),"Não")</f>
        <v>Sim</v>
      </c>
      <c r="P4567" s="4">
        <f>IF(COUNTIFS(INDEX(tItens[Edital],1):tItens[[#This Row],[Edital]],tItens[[#This Row],[Edital]],INDEX(tItens[Produto],1):tItens[[#This Row],[Produto]],tItens[[#This Row],[Produto]])=1,1,0)</f>
        <v>1</v>
      </c>
    </row>
    <row r="4568" spans="1:16" x14ac:dyDescent="0.25">
      <c r="A4568" t="s">
        <v>1861</v>
      </c>
      <c r="B4568">
        <v>9</v>
      </c>
      <c r="C4568" t="s">
        <v>7403</v>
      </c>
      <c r="D4568" t="s">
        <v>315</v>
      </c>
      <c r="E4568" s="13">
        <v>10000</v>
      </c>
      <c r="F4568" s="12">
        <v>0.21</v>
      </c>
      <c r="G4568" t="str">
        <f>IFERROR(INDEX(tEditais[Órgão],MATCH(tItens[[#This Row],[Edital]],tEditais[Edital],0)),"")</f>
        <v>FUNDO MUNICIPAL DE SAUDE DE CAMOCIM DE SAO FELIX</v>
      </c>
      <c r="H4568" t="str">
        <f>IFERROR(INDEX(tEditais[UF],MATCH(tItens[[#This Row],[Edital]],tEditais[Edital],0)),"")</f>
        <v>PE</v>
      </c>
      <c r="I4568" s="11">
        <f>IFERROR(INDEX(tEditais[Encerramento],MATCH(tItens[[#This Row],[Edital]],tEditais[Edital],0)),"")</f>
        <v>46308.333333333336</v>
      </c>
      <c r="J4568" t="str">
        <f>IFERROR(INDEX(tProdutos[Classe],MATCH(tItens[[#This Row],[Produto]],tProdutos[Produto],0)),"produto não cadastrado")</f>
        <v>FORA</v>
      </c>
      <c r="K4568" s="12">
        <f>tItens[[#This Row],[Qtd]]*tItens[[#This Row],[Vlr unit]]</f>
        <v>2100</v>
      </c>
      <c r="L4568" s="6">
        <f>IFERROR(IF(INDEX(tProdutos[Desconto homologado],MATCH(tItens[[#This Row],[Produto]],tProdutos[Produto],0))="",DescontoPadrao,INDEX(tProdutos[Desconto homologado],MATCH(tItens[[#This Row],[Produto]],tProdutos[Produto],0))),DescontoPadrao)</f>
        <v>0.38432036097010702</v>
      </c>
      <c r="M4568" s="12">
        <f>tItens[[#This Row],[Valor]]*(1-tItens[[#This Row],[Desconto]])</f>
        <v>1292.9272419627753</v>
      </c>
      <c r="N4568" t="str">
        <f>IFERROR(INDEX(tProdutos[Foco],MATCH(tItens[[#This Row],[Produto]],tProdutos[Produto],0)),"Não")</f>
        <v>Não</v>
      </c>
      <c r="O4568" t="str">
        <f>IFERROR(INDEX(tEditais[SRP],MATCH(tItens[[#This Row],[Edital]],tEditais[Edital],0)),"Não")</f>
        <v>Sim</v>
      </c>
      <c r="P4568" s="4">
        <f>IF(COUNTIFS(INDEX(tItens[Edital],1):tItens[[#This Row],[Edital]],tItens[[#This Row],[Edital]],INDEX(tItens[Produto],1):tItens[[#This Row],[Produto]],tItens[[#This Row],[Produto]])=1,1,0)</f>
        <v>0</v>
      </c>
    </row>
    <row r="4569" spans="1:16" x14ac:dyDescent="0.25">
      <c r="A4569" t="s">
        <v>1861</v>
      </c>
      <c r="B4569">
        <v>10</v>
      </c>
      <c r="C4569" t="s">
        <v>7404</v>
      </c>
      <c r="D4569" t="s">
        <v>315</v>
      </c>
      <c r="E4569" s="13">
        <v>10000</v>
      </c>
      <c r="F4569" s="12">
        <v>0.15</v>
      </c>
      <c r="G4569" t="str">
        <f>IFERROR(INDEX(tEditais[Órgão],MATCH(tItens[[#This Row],[Edital]],tEditais[Edital],0)),"")</f>
        <v>FUNDO MUNICIPAL DE SAUDE DE CAMOCIM DE SAO FELIX</v>
      </c>
      <c r="H4569" t="str">
        <f>IFERROR(INDEX(tEditais[UF],MATCH(tItens[[#This Row],[Edital]],tEditais[Edital],0)),"")</f>
        <v>PE</v>
      </c>
      <c r="I4569" s="11">
        <f>IFERROR(INDEX(tEditais[Encerramento],MATCH(tItens[[#This Row],[Edital]],tEditais[Edital],0)),"")</f>
        <v>46308.333333333336</v>
      </c>
      <c r="J4569" t="str">
        <f>IFERROR(INDEX(tProdutos[Classe],MATCH(tItens[[#This Row],[Produto]],tProdutos[Produto],0)),"produto não cadastrado")</f>
        <v>FORA</v>
      </c>
      <c r="K4569" s="12">
        <f>tItens[[#This Row],[Qtd]]*tItens[[#This Row],[Vlr unit]]</f>
        <v>1500</v>
      </c>
      <c r="L4569" s="6">
        <f>IFERROR(IF(INDEX(tProdutos[Desconto homologado],MATCH(tItens[[#This Row],[Produto]],tProdutos[Produto],0))="",DescontoPadrao,INDEX(tProdutos[Desconto homologado],MATCH(tItens[[#This Row],[Produto]],tProdutos[Produto],0))),DescontoPadrao)</f>
        <v>0.38432036097010702</v>
      </c>
      <c r="M4569" s="12">
        <f>tItens[[#This Row],[Valor]]*(1-tItens[[#This Row],[Desconto]])</f>
        <v>923.51945854483949</v>
      </c>
      <c r="N4569" t="str">
        <f>IFERROR(INDEX(tProdutos[Foco],MATCH(tItens[[#This Row],[Produto]],tProdutos[Produto],0)),"Não")</f>
        <v>Não</v>
      </c>
      <c r="O4569" t="str">
        <f>IFERROR(INDEX(tEditais[SRP],MATCH(tItens[[#This Row],[Edital]],tEditais[Edital],0)),"Não")</f>
        <v>Sim</v>
      </c>
      <c r="P4569" s="4">
        <f>IF(COUNTIFS(INDEX(tItens[Edital],1):tItens[[#This Row],[Edital]],tItens[[#This Row],[Edital]],INDEX(tItens[Produto],1):tItens[[#This Row],[Produto]],tItens[[#This Row],[Produto]])=1,1,0)</f>
        <v>0</v>
      </c>
    </row>
    <row r="4570" spans="1:16" x14ac:dyDescent="0.25">
      <c r="A4570" t="s">
        <v>1861</v>
      </c>
      <c r="B4570">
        <v>11</v>
      </c>
      <c r="C4570" t="s">
        <v>7405</v>
      </c>
      <c r="D4570" t="s">
        <v>315</v>
      </c>
      <c r="E4570" s="13">
        <v>10000</v>
      </c>
      <c r="F4570" s="12">
        <v>0.19</v>
      </c>
      <c r="G4570" t="str">
        <f>IFERROR(INDEX(tEditais[Órgão],MATCH(tItens[[#This Row],[Edital]],tEditais[Edital],0)),"")</f>
        <v>FUNDO MUNICIPAL DE SAUDE DE CAMOCIM DE SAO FELIX</v>
      </c>
      <c r="H4570" t="str">
        <f>IFERROR(INDEX(tEditais[UF],MATCH(tItens[[#This Row],[Edital]],tEditais[Edital],0)),"")</f>
        <v>PE</v>
      </c>
      <c r="I4570" s="11">
        <f>IFERROR(INDEX(tEditais[Encerramento],MATCH(tItens[[#This Row],[Edital]],tEditais[Edital],0)),"")</f>
        <v>46308.333333333336</v>
      </c>
      <c r="J4570" t="str">
        <f>IFERROR(INDEX(tProdutos[Classe],MATCH(tItens[[#This Row],[Produto]],tProdutos[Produto],0)),"produto não cadastrado")</f>
        <v>FORA</v>
      </c>
      <c r="K4570" s="12">
        <f>tItens[[#This Row],[Qtd]]*tItens[[#This Row],[Vlr unit]]</f>
        <v>1900</v>
      </c>
      <c r="L4570" s="6">
        <f>IFERROR(IF(INDEX(tProdutos[Desconto homologado],MATCH(tItens[[#This Row],[Produto]],tProdutos[Produto],0))="",DescontoPadrao,INDEX(tProdutos[Desconto homologado],MATCH(tItens[[#This Row],[Produto]],tProdutos[Produto],0))),DescontoPadrao)</f>
        <v>0.38432036097010702</v>
      </c>
      <c r="M4570" s="12">
        <f>tItens[[#This Row],[Valor]]*(1-tItens[[#This Row],[Desconto]])</f>
        <v>1169.7913141567967</v>
      </c>
      <c r="N4570" t="str">
        <f>IFERROR(INDEX(tProdutos[Foco],MATCH(tItens[[#This Row],[Produto]],tProdutos[Produto],0)),"Não")</f>
        <v>Não</v>
      </c>
      <c r="O4570" t="str">
        <f>IFERROR(INDEX(tEditais[SRP],MATCH(tItens[[#This Row],[Edital]],tEditais[Edital],0)),"Não")</f>
        <v>Sim</v>
      </c>
      <c r="P4570" s="4">
        <f>IF(COUNTIFS(INDEX(tItens[Edital],1):tItens[[#This Row],[Edital]],tItens[[#This Row],[Edital]],INDEX(tItens[Produto],1):tItens[[#This Row],[Produto]],tItens[[#This Row],[Produto]])=1,1,0)</f>
        <v>0</v>
      </c>
    </row>
    <row r="4571" spans="1:16" x14ac:dyDescent="0.25">
      <c r="A4571" t="s">
        <v>1861</v>
      </c>
      <c r="B4571">
        <v>12</v>
      </c>
      <c r="C4571" t="s">
        <v>7406</v>
      </c>
      <c r="D4571" t="s">
        <v>315</v>
      </c>
      <c r="E4571" s="13">
        <v>3000</v>
      </c>
      <c r="F4571" s="12">
        <v>0.21</v>
      </c>
      <c r="G4571" t="str">
        <f>IFERROR(INDEX(tEditais[Órgão],MATCH(tItens[[#This Row],[Edital]],tEditais[Edital],0)),"")</f>
        <v>FUNDO MUNICIPAL DE SAUDE DE CAMOCIM DE SAO FELIX</v>
      </c>
      <c r="H4571" t="str">
        <f>IFERROR(INDEX(tEditais[UF],MATCH(tItens[[#This Row],[Edital]],tEditais[Edital],0)),"")</f>
        <v>PE</v>
      </c>
      <c r="I4571" s="11">
        <f>IFERROR(INDEX(tEditais[Encerramento],MATCH(tItens[[#This Row],[Edital]],tEditais[Edital],0)),"")</f>
        <v>46308.333333333336</v>
      </c>
      <c r="J4571" t="str">
        <f>IFERROR(INDEX(tProdutos[Classe],MATCH(tItens[[#This Row],[Produto]],tProdutos[Produto],0)),"produto não cadastrado")</f>
        <v>FORA</v>
      </c>
      <c r="K4571" s="12">
        <f>tItens[[#This Row],[Qtd]]*tItens[[#This Row],[Vlr unit]]</f>
        <v>630</v>
      </c>
      <c r="L4571" s="6">
        <f>IFERROR(IF(INDEX(tProdutos[Desconto homologado],MATCH(tItens[[#This Row],[Produto]],tProdutos[Produto],0))="",DescontoPadrao,INDEX(tProdutos[Desconto homologado],MATCH(tItens[[#This Row],[Produto]],tProdutos[Produto],0))),DescontoPadrao)</f>
        <v>0.38432036097010702</v>
      </c>
      <c r="M4571" s="12">
        <f>tItens[[#This Row],[Valor]]*(1-tItens[[#This Row],[Desconto]])</f>
        <v>387.87817258883257</v>
      </c>
      <c r="N4571" t="str">
        <f>IFERROR(INDEX(tProdutos[Foco],MATCH(tItens[[#This Row],[Produto]],tProdutos[Produto],0)),"Não")</f>
        <v>Não</v>
      </c>
      <c r="O4571" t="str">
        <f>IFERROR(INDEX(tEditais[SRP],MATCH(tItens[[#This Row],[Edital]],tEditais[Edital],0)),"Não")</f>
        <v>Sim</v>
      </c>
      <c r="P4571" s="4">
        <f>IF(COUNTIFS(INDEX(tItens[Edital],1):tItens[[#This Row],[Edital]],tItens[[#This Row],[Edital]],INDEX(tItens[Produto],1):tItens[[#This Row],[Produto]],tItens[[#This Row],[Produto]])=1,1,0)</f>
        <v>0</v>
      </c>
    </row>
    <row r="4572" spans="1:16" x14ac:dyDescent="0.25">
      <c r="A4572" t="s">
        <v>1861</v>
      </c>
      <c r="B4572">
        <v>19</v>
      </c>
      <c r="C4572" t="s">
        <v>7407</v>
      </c>
      <c r="D4572" t="s">
        <v>351</v>
      </c>
      <c r="E4572" s="13">
        <v>12000</v>
      </c>
      <c r="F4572" s="12">
        <v>2.63</v>
      </c>
      <c r="G4572" t="str">
        <f>IFERROR(INDEX(tEditais[Órgão],MATCH(tItens[[#This Row],[Edital]],tEditais[Edital],0)),"")</f>
        <v>FUNDO MUNICIPAL DE SAUDE DE CAMOCIM DE SAO FELIX</v>
      </c>
      <c r="H4572" t="str">
        <f>IFERROR(INDEX(tEditais[UF],MATCH(tItens[[#This Row],[Edital]],tEditais[Edital],0)),"")</f>
        <v>PE</v>
      </c>
      <c r="I4572" s="11">
        <f>IFERROR(INDEX(tEditais[Encerramento],MATCH(tItens[[#This Row],[Edital]],tEditais[Edital],0)),"")</f>
        <v>46308.333333333336</v>
      </c>
      <c r="J4572" t="str">
        <f>IFERROR(INDEX(tProdutos[Classe],MATCH(tItens[[#This Row],[Produto]],tProdutos[Produto],0)),"produto não cadastrado")</f>
        <v>FORA</v>
      </c>
      <c r="K4572" s="12">
        <f>tItens[[#This Row],[Qtd]]*tItens[[#This Row],[Vlr unit]]</f>
        <v>31560</v>
      </c>
      <c r="L4572" s="6">
        <f>IFERROR(IF(INDEX(tProdutos[Desconto homologado],MATCH(tItens[[#This Row],[Produto]],tProdutos[Produto],0))="",DescontoPadrao,INDEX(tProdutos[Desconto homologado],MATCH(tItens[[#This Row],[Produto]],tProdutos[Produto],0))),DescontoPadrao)</f>
        <v>0.33518005540166201</v>
      </c>
      <c r="M4572" s="12">
        <f>tItens[[#This Row],[Valor]]*(1-tItens[[#This Row],[Desconto]])</f>
        <v>20981.717451523549</v>
      </c>
      <c r="N4572" t="str">
        <f>IFERROR(INDEX(tProdutos[Foco],MATCH(tItens[[#This Row],[Produto]],tProdutos[Produto],0)),"Não")</f>
        <v>Não</v>
      </c>
      <c r="O4572" t="str">
        <f>IFERROR(INDEX(tEditais[SRP],MATCH(tItens[[#This Row],[Edital]],tEditais[Edital],0)),"Não")</f>
        <v>Sim</v>
      </c>
      <c r="P4572" s="4">
        <f>IF(COUNTIFS(INDEX(tItens[Edital],1):tItens[[#This Row],[Edital]],tItens[[#This Row],[Edital]],INDEX(tItens[Produto],1):tItens[[#This Row],[Produto]],tItens[[#This Row],[Produto]])=1,1,0)</f>
        <v>1</v>
      </c>
    </row>
    <row r="4573" spans="1:16" x14ac:dyDescent="0.25">
      <c r="A4573" t="s">
        <v>1861</v>
      </c>
      <c r="B4573">
        <v>20</v>
      </c>
      <c r="C4573" t="s">
        <v>7408</v>
      </c>
      <c r="D4573" t="s">
        <v>351</v>
      </c>
      <c r="E4573" s="13">
        <v>12000</v>
      </c>
      <c r="F4573" s="12">
        <v>0.68</v>
      </c>
      <c r="G4573" t="str">
        <f>IFERROR(INDEX(tEditais[Órgão],MATCH(tItens[[#This Row],[Edital]],tEditais[Edital],0)),"")</f>
        <v>FUNDO MUNICIPAL DE SAUDE DE CAMOCIM DE SAO FELIX</v>
      </c>
      <c r="H4573" t="str">
        <f>IFERROR(INDEX(tEditais[UF],MATCH(tItens[[#This Row],[Edital]],tEditais[Edital],0)),"")</f>
        <v>PE</v>
      </c>
      <c r="I4573" s="11">
        <f>IFERROR(INDEX(tEditais[Encerramento],MATCH(tItens[[#This Row],[Edital]],tEditais[Edital],0)),"")</f>
        <v>46308.333333333336</v>
      </c>
      <c r="J4573" t="str">
        <f>IFERROR(INDEX(tProdutos[Classe],MATCH(tItens[[#This Row],[Produto]],tProdutos[Produto],0)),"produto não cadastrado")</f>
        <v>FORA</v>
      </c>
      <c r="K4573" s="12">
        <f>tItens[[#This Row],[Qtd]]*tItens[[#This Row],[Vlr unit]]</f>
        <v>8160.0000000000009</v>
      </c>
      <c r="L4573" s="6">
        <f>IFERROR(IF(INDEX(tProdutos[Desconto homologado],MATCH(tItens[[#This Row],[Produto]],tProdutos[Produto],0))="",DescontoPadrao,INDEX(tProdutos[Desconto homologado],MATCH(tItens[[#This Row],[Produto]],tProdutos[Produto],0))),DescontoPadrao)</f>
        <v>0.33518005540166201</v>
      </c>
      <c r="M4573" s="12">
        <f>tItens[[#This Row],[Valor]]*(1-tItens[[#This Row],[Desconto]])</f>
        <v>5424.930747922439</v>
      </c>
      <c r="N4573" t="str">
        <f>IFERROR(INDEX(tProdutos[Foco],MATCH(tItens[[#This Row],[Produto]],tProdutos[Produto],0)),"Não")</f>
        <v>Não</v>
      </c>
      <c r="O4573" t="str">
        <f>IFERROR(INDEX(tEditais[SRP],MATCH(tItens[[#This Row],[Edital]],tEditais[Edital],0)),"Não")</f>
        <v>Sim</v>
      </c>
      <c r="P4573" s="4">
        <f>IF(COUNTIFS(INDEX(tItens[Edital],1):tItens[[#This Row],[Edital]],tItens[[#This Row],[Edital]],INDEX(tItens[Produto],1):tItens[[#This Row],[Produto]],tItens[[#This Row],[Produto]])=1,1,0)</f>
        <v>0</v>
      </c>
    </row>
    <row r="4574" spans="1:16" x14ac:dyDescent="0.25">
      <c r="A4574" t="s">
        <v>1861</v>
      </c>
      <c r="B4574">
        <v>21</v>
      </c>
      <c r="C4574" t="s">
        <v>7409</v>
      </c>
      <c r="D4574" t="s">
        <v>351</v>
      </c>
      <c r="E4574" s="13">
        <v>6000</v>
      </c>
      <c r="F4574" s="12">
        <v>1.37</v>
      </c>
      <c r="G4574" t="str">
        <f>IFERROR(INDEX(tEditais[Órgão],MATCH(tItens[[#This Row],[Edital]],tEditais[Edital],0)),"")</f>
        <v>FUNDO MUNICIPAL DE SAUDE DE CAMOCIM DE SAO FELIX</v>
      </c>
      <c r="H4574" t="str">
        <f>IFERROR(INDEX(tEditais[UF],MATCH(tItens[[#This Row],[Edital]],tEditais[Edital],0)),"")</f>
        <v>PE</v>
      </c>
      <c r="I4574" s="11">
        <f>IFERROR(INDEX(tEditais[Encerramento],MATCH(tItens[[#This Row],[Edital]],tEditais[Edital],0)),"")</f>
        <v>46308.333333333336</v>
      </c>
      <c r="J4574" t="str">
        <f>IFERROR(INDEX(tProdutos[Classe],MATCH(tItens[[#This Row],[Produto]],tProdutos[Produto],0)),"produto não cadastrado")</f>
        <v>FORA</v>
      </c>
      <c r="K4574" s="12">
        <f>tItens[[#This Row],[Qtd]]*tItens[[#This Row],[Vlr unit]]</f>
        <v>8220</v>
      </c>
      <c r="L4574" s="6">
        <f>IFERROR(IF(INDEX(tProdutos[Desconto homologado],MATCH(tItens[[#This Row],[Produto]],tProdutos[Produto],0))="",DescontoPadrao,INDEX(tProdutos[Desconto homologado],MATCH(tItens[[#This Row],[Produto]],tProdutos[Produto],0))),DescontoPadrao)</f>
        <v>0.33518005540166201</v>
      </c>
      <c r="M4574" s="12">
        <f>tItens[[#This Row],[Valor]]*(1-tItens[[#This Row],[Desconto]])</f>
        <v>5464.8199445983391</v>
      </c>
      <c r="N4574" t="str">
        <f>IFERROR(INDEX(tProdutos[Foco],MATCH(tItens[[#This Row],[Produto]],tProdutos[Produto],0)),"Não")</f>
        <v>Não</v>
      </c>
      <c r="O4574" t="str">
        <f>IFERROR(INDEX(tEditais[SRP],MATCH(tItens[[#This Row],[Edital]],tEditais[Edital],0)),"Não")</f>
        <v>Sim</v>
      </c>
      <c r="P4574" s="4">
        <f>IF(COUNTIFS(INDEX(tItens[Edital],1):tItens[[#This Row],[Edital]],tItens[[#This Row],[Edital]],INDEX(tItens[Produto],1):tItens[[#This Row],[Produto]],tItens[[#This Row],[Produto]])=1,1,0)</f>
        <v>0</v>
      </c>
    </row>
    <row r="4575" spans="1:16" x14ac:dyDescent="0.25">
      <c r="A4575" t="s">
        <v>1861</v>
      </c>
      <c r="B4575">
        <v>22</v>
      </c>
      <c r="C4575" t="s">
        <v>7410</v>
      </c>
      <c r="D4575" t="s">
        <v>351</v>
      </c>
      <c r="E4575" s="13">
        <v>4000</v>
      </c>
      <c r="F4575" s="12">
        <v>2.0699999999999998</v>
      </c>
      <c r="G4575" t="str">
        <f>IFERROR(INDEX(tEditais[Órgão],MATCH(tItens[[#This Row],[Edital]],tEditais[Edital],0)),"")</f>
        <v>FUNDO MUNICIPAL DE SAUDE DE CAMOCIM DE SAO FELIX</v>
      </c>
      <c r="H4575" t="str">
        <f>IFERROR(INDEX(tEditais[UF],MATCH(tItens[[#This Row],[Edital]],tEditais[Edital],0)),"")</f>
        <v>PE</v>
      </c>
      <c r="I4575" s="11">
        <f>IFERROR(INDEX(tEditais[Encerramento],MATCH(tItens[[#This Row],[Edital]],tEditais[Edital],0)),"")</f>
        <v>46308.333333333336</v>
      </c>
      <c r="J4575" t="str">
        <f>IFERROR(INDEX(tProdutos[Classe],MATCH(tItens[[#This Row],[Produto]],tProdutos[Produto],0)),"produto não cadastrado")</f>
        <v>FORA</v>
      </c>
      <c r="K4575" s="12">
        <f>tItens[[#This Row],[Qtd]]*tItens[[#This Row],[Vlr unit]]</f>
        <v>8280</v>
      </c>
      <c r="L4575" s="6">
        <f>IFERROR(IF(INDEX(tProdutos[Desconto homologado],MATCH(tItens[[#This Row],[Produto]],tProdutos[Produto],0))="",DescontoPadrao,INDEX(tProdutos[Desconto homologado],MATCH(tItens[[#This Row],[Produto]],tProdutos[Produto],0))),DescontoPadrao)</f>
        <v>0.33518005540166201</v>
      </c>
      <c r="M4575" s="12">
        <f>tItens[[#This Row],[Valor]]*(1-tItens[[#This Row],[Desconto]])</f>
        <v>5504.7091412742393</v>
      </c>
      <c r="N4575" t="str">
        <f>IFERROR(INDEX(tProdutos[Foco],MATCH(tItens[[#This Row],[Produto]],tProdutos[Produto],0)),"Não")</f>
        <v>Não</v>
      </c>
      <c r="O4575" t="str">
        <f>IFERROR(INDEX(tEditais[SRP],MATCH(tItens[[#This Row],[Edital]],tEditais[Edital],0)),"Não")</f>
        <v>Sim</v>
      </c>
      <c r="P4575" s="4">
        <f>IF(COUNTIFS(INDEX(tItens[Edital],1):tItens[[#This Row],[Edital]],tItens[[#This Row],[Edital]],INDEX(tItens[Produto],1):tItens[[#This Row],[Produto]],tItens[[#This Row],[Produto]])=1,1,0)</f>
        <v>0</v>
      </c>
    </row>
    <row r="4576" spans="1:16" x14ac:dyDescent="0.25">
      <c r="A4576" t="s">
        <v>1861</v>
      </c>
      <c r="B4576">
        <v>23</v>
      </c>
      <c r="C4576" t="s">
        <v>7411</v>
      </c>
      <c r="D4576" t="s">
        <v>351</v>
      </c>
      <c r="E4576" s="13">
        <v>4000</v>
      </c>
      <c r="F4576" s="12">
        <v>3.21</v>
      </c>
      <c r="G4576" t="str">
        <f>IFERROR(INDEX(tEditais[Órgão],MATCH(tItens[[#This Row],[Edital]],tEditais[Edital],0)),"")</f>
        <v>FUNDO MUNICIPAL DE SAUDE DE CAMOCIM DE SAO FELIX</v>
      </c>
      <c r="H4576" t="str">
        <f>IFERROR(INDEX(tEditais[UF],MATCH(tItens[[#This Row],[Edital]],tEditais[Edital],0)),"")</f>
        <v>PE</v>
      </c>
      <c r="I4576" s="11">
        <f>IFERROR(INDEX(tEditais[Encerramento],MATCH(tItens[[#This Row],[Edital]],tEditais[Edital],0)),"")</f>
        <v>46308.333333333336</v>
      </c>
      <c r="J4576" t="str">
        <f>IFERROR(INDEX(tProdutos[Classe],MATCH(tItens[[#This Row],[Produto]],tProdutos[Produto],0)),"produto não cadastrado")</f>
        <v>FORA</v>
      </c>
      <c r="K4576" s="12">
        <f>tItens[[#This Row],[Qtd]]*tItens[[#This Row],[Vlr unit]]</f>
        <v>12840</v>
      </c>
      <c r="L4576" s="6">
        <f>IFERROR(IF(INDEX(tProdutos[Desconto homologado],MATCH(tItens[[#This Row],[Produto]],tProdutos[Produto],0))="",DescontoPadrao,INDEX(tProdutos[Desconto homologado],MATCH(tItens[[#This Row],[Produto]],tProdutos[Produto],0))),DescontoPadrao)</f>
        <v>0.33518005540166201</v>
      </c>
      <c r="M4576" s="12">
        <f>tItens[[#This Row],[Valor]]*(1-tItens[[#This Row],[Desconto]])</f>
        <v>8536.288088642661</v>
      </c>
      <c r="N4576" t="str">
        <f>IFERROR(INDEX(tProdutos[Foco],MATCH(tItens[[#This Row],[Produto]],tProdutos[Produto],0)),"Não")</f>
        <v>Não</v>
      </c>
      <c r="O4576" t="str">
        <f>IFERROR(INDEX(tEditais[SRP],MATCH(tItens[[#This Row],[Edital]],tEditais[Edital],0)),"Não")</f>
        <v>Sim</v>
      </c>
      <c r="P4576" s="4">
        <f>IF(COUNTIFS(INDEX(tItens[Edital],1):tItens[[#This Row],[Edital]],tItens[[#This Row],[Edital]],INDEX(tItens[Produto],1):tItens[[#This Row],[Produto]],tItens[[#This Row],[Produto]])=1,1,0)</f>
        <v>0</v>
      </c>
    </row>
    <row r="4577" spans="1:16" x14ac:dyDescent="0.25">
      <c r="A4577" t="s">
        <v>1861</v>
      </c>
      <c r="B4577">
        <v>25</v>
      </c>
      <c r="C4577" t="s">
        <v>7412</v>
      </c>
      <c r="D4577" t="s">
        <v>124</v>
      </c>
      <c r="E4577" s="13">
        <v>300</v>
      </c>
      <c r="F4577" s="12">
        <v>26.19</v>
      </c>
      <c r="G4577" t="str">
        <f>IFERROR(INDEX(tEditais[Órgão],MATCH(tItens[[#This Row],[Edital]],tEditais[Edital],0)),"")</f>
        <v>FUNDO MUNICIPAL DE SAUDE DE CAMOCIM DE SAO FELIX</v>
      </c>
      <c r="H4577" t="str">
        <f>IFERROR(INDEX(tEditais[UF],MATCH(tItens[[#This Row],[Edital]],tEditais[Edital],0)),"")</f>
        <v>PE</v>
      </c>
      <c r="I4577" s="11">
        <f>IFERROR(INDEX(tEditais[Encerramento],MATCH(tItens[[#This Row],[Edital]],tEditais[Edital],0)),"")</f>
        <v>46308.333333333336</v>
      </c>
      <c r="J4577" t="str">
        <f>IFERROR(INDEX(tProdutos[Classe],MATCH(tItens[[#This Row],[Produto]],tProdutos[Produto],0)),"produto não cadastrado")</f>
        <v>DISPUTADO</v>
      </c>
      <c r="K4577" s="12">
        <f>tItens[[#This Row],[Qtd]]*tItens[[#This Row],[Vlr unit]]</f>
        <v>7857</v>
      </c>
      <c r="L4577" s="6">
        <f>IFERROR(IF(INDEX(tProdutos[Desconto homologado],MATCH(tItens[[#This Row],[Produto]],tProdutos[Produto],0))="",DescontoPadrao,INDEX(tProdutos[Desconto homologado],MATCH(tItens[[#This Row],[Produto]],tProdutos[Produto],0))),DescontoPadrao)</f>
        <v>0.34</v>
      </c>
      <c r="M4577" s="12">
        <f>tItens[[#This Row],[Valor]]*(1-tItens[[#This Row],[Desconto]])</f>
        <v>5185.619999999999</v>
      </c>
      <c r="N4577" t="str">
        <f>IFERROR(INDEX(tProdutos[Foco],MATCH(tItens[[#This Row],[Produto]],tProdutos[Produto],0)),"Não")</f>
        <v>Sim</v>
      </c>
      <c r="O4577" t="str">
        <f>IFERROR(INDEX(tEditais[SRP],MATCH(tItens[[#This Row],[Edital]],tEditais[Edital],0)),"Não")</f>
        <v>Sim</v>
      </c>
      <c r="P4577" s="4">
        <f>IF(COUNTIFS(INDEX(tItens[Edital],1):tItens[[#This Row],[Edital]],tItens[[#This Row],[Edital]],INDEX(tItens[Produto],1):tItens[[#This Row],[Produto]],tItens[[#This Row],[Produto]])=1,1,0)</f>
        <v>1</v>
      </c>
    </row>
    <row r="4578" spans="1:16" x14ac:dyDescent="0.25">
      <c r="A4578" t="s">
        <v>1861</v>
      </c>
      <c r="B4578">
        <v>47</v>
      </c>
      <c r="C4578" t="s">
        <v>7413</v>
      </c>
      <c r="D4578" t="s">
        <v>245</v>
      </c>
      <c r="E4578" s="13">
        <v>50</v>
      </c>
      <c r="F4578" s="12">
        <v>49.34</v>
      </c>
      <c r="G4578" t="str">
        <f>IFERROR(INDEX(tEditais[Órgão],MATCH(tItens[[#This Row],[Edital]],tEditais[Edital],0)),"")</f>
        <v>FUNDO MUNICIPAL DE SAUDE DE CAMOCIM DE SAO FELIX</v>
      </c>
      <c r="H4578" t="str">
        <f>IFERROR(INDEX(tEditais[UF],MATCH(tItens[[#This Row],[Edital]],tEditais[Edital],0)),"")</f>
        <v>PE</v>
      </c>
      <c r="I4578" s="11">
        <f>IFERROR(INDEX(tEditais[Encerramento],MATCH(tItens[[#This Row],[Edital]],tEditais[Edital],0)),"")</f>
        <v>46308.333333333336</v>
      </c>
      <c r="J4578" t="str">
        <f>IFERROR(INDEX(tProdutos[Classe],MATCH(tItens[[#This Row],[Produto]],tProdutos[Produto],0)),"produto não cadastrado")</f>
        <v>FORA</v>
      </c>
      <c r="K4578" s="12">
        <f>tItens[[#This Row],[Qtd]]*tItens[[#This Row],[Vlr unit]]</f>
        <v>2467</v>
      </c>
      <c r="L4578" s="6">
        <f>IFERROR(IF(INDEX(tProdutos[Desconto homologado],MATCH(tItens[[#This Row],[Produto]],tProdutos[Produto],0))="",DescontoPadrao,INDEX(tProdutos[Desconto homologado],MATCH(tItens[[#This Row],[Produto]],tProdutos[Produto],0))),DescontoPadrao)</f>
        <v>0.34516963542284401</v>
      </c>
      <c r="M4578" s="12">
        <f>tItens[[#This Row],[Valor]]*(1-tItens[[#This Row],[Desconto]])</f>
        <v>1615.4665094118441</v>
      </c>
      <c r="N4578" t="str">
        <f>IFERROR(INDEX(tProdutos[Foco],MATCH(tItens[[#This Row],[Produto]],tProdutos[Produto],0)),"Não")</f>
        <v>Não</v>
      </c>
      <c r="O4578" t="str">
        <f>IFERROR(INDEX(tEditais[SRP],MATCH(tItens[[#This Row],[Edital]],tEditais[Edital],0)),"Não")</f>
        <v>Sim</v>
      </c>
      <c r="P4578" s="4">
        <f>IF(COUNTIFS(INDEX(tItens[Edital],1):tItens[[#This Row],[Edital]],tItens[[#This Row],[Edital]],INDEX(tItens[Produto],1):tItens[[#This Row],[Produto]],tItens[[#This Row],[Produto]])=1,1,0)</f>
        <v>1</v>
      </c>
    </row>
    <row r="4579" spans="1:16" x14ac:dyDescent="0.25">
      <c r="A4579" t="s">
        <v>1861</v>
      </c>
      <c r="B4579">
        <v>57</v>
      </c>
      <c r="C4579" t="s">
        <v>7414</v>
      </c>
      <c r="D4579" t="s">
        <v>172</v>
      </c>
      <c r="E4579" s="13">
        <v>1000</v>
      </c>
      <c r="F4579" s="12">
        <v>1.38</v>
      </c>
      <c r="G4579" t="str">
        <f>IFERROR(INDEX(tEditais[Órgão],MATCH(tItens[[#This Row],[Edital]],tEditais[Edital],0)),"")</f>
        <v>FUNDO MUNICIPAL DE SAUDE DE CAMOCIM DE SAO FELIX</v>
      </c>
      <c r="H4579" t="str">
        <f>IFERROR(INDEX(tEditais[UF],MATCH(tItens[[#This Row],[Edital]],tEditais[Edital],0)),"")</f>
        <v>PE</v>
      </c>
      <c r="I4579" s="11">
        <f>IFERROR(INDEX(tEditais[Encerramento],MATCH(tItens[[#This Row],[Edital]],tEditais[Edital],0)),"")</f>
        <v>46308.333333333336</v>
      </c>
      <c r="J4579" t="str">
        <f>IFERROR(INDEX(tProdutos[Classe],MATCH(tItens[[#This Row],[Produto]],tProdutos[Produto],0)),"produto não cadastrado")</f>
        <v>DISPUTADO</v>
      </c>
      <c r="K4579" s="12">
        <f>tItens[[#This Row],[Qtd]]*tItens[[#This Row],[Vlr unit]]</f>
        <v>1380</v>
      </c>
      <c r="L4579" s="6">
        <f>IFERROR(IF(INDEX(tProdutos[Desconto homologado],MATCH(tItens[[#This Row],[Produto]],tProdutos[Produto],0))="",DescontoPadrao,INDEX(tProdutos[Desconto homologado],MATCH(tItens[[#This Row],[Produto]],tProdutos[Produto],0))),DescontoPadrao)</f>
        <v>0.33578431372549</v>
      </c>
      <c r="M4579" s="12">
        <f>tItens[[#This Row],[Valor]]*(1-tItens[[#This Row],[Desconto]])</f>
        <v>916.61764705882376</v>
      </c>
      <c r="N4579" t="str">
        <f>IFERROR(INDEX(tProdutos[Foco],MATCH(tItens[[#This Row],[Produto]],tProdutos[Produto],0)),"Não")</f>
        <v>Não</v>
      </c>
      <c r="O4579" t="str">
        <f>IFERROR(INDEX(tEditais[SRP],MATCH(tItens[[#This Row],[Edital]],tEditais[Edital],0)),"Não")</f>
        <v>Sim</v>
      </c>
      <c r="P4579" s="4">
        <f>IF(COUNTIFS(INDEX(tItens[Edital],1):tItens[[#This Row],[Edital]],tItens[[#This Row],[Edital]],INDEX(tItens[Produto],1):tItens[[#This Row],[Produto]],tItens[[#This Row],[Produto]])=1,1,0)</f>
        <v>1</v>
      </c>
    </row>
    <row r="4580" spans="1:16" x14ac:dyDescent="0.25">
      <c r="A4580" t="s">
        <v>1861</v>
      </c>
      <c r="B4580">
        <v>66</v>
      </c>
      <c r="C4580" t="s">
        <v>7415</v>
      </c>
      <c r="D4580" t="s">
        <v>279</v>
      </c>
      <c r="E4580" s="13">
        <v>1500</v>
      </c>
      <c r="F4580" s="12">
        <v>1.49</v>
      </c>
      <c r="G4580" t="str">
        <f>IFERROR(INDEX(tEditais[Órgão],MATCH(tItens[[#This Row],[Edital]],tEditais[Edital],0)),"")</f>
        <v>FUNDO MUNICIPAL DE SAUDE DE CAMOCIM DE SAO FELIX</v>
      </c>
      <c r="H4580" t="str">
        <f>IFERROR(INDEX(tEditais[UF],MATCH(tItens[[#This Row],[Edital]],tEditais[Edital],0)),"")</f>
        <v>PE</v>
      </c>
      <c r="I4580" s="11">
        <f>IFERROR(INDEX(tEditais[Encerramento],MATCH(tItens[[#This Row],[Edital]],tEditais[Edital],0)),"")</f>
        <v>46308.333333333336</v>
      </c>
      <c r="J4580" t="str">
        <f>IFERROR(INDEX(tProdutos[Classe],MATCH(tItens[[#This Row],[Produto]],tProdutos[Produto],0)),"produto não cadastrado")</f>
        <v>FORA</v>
      </c>
      <c r="K4580" s="12">
        <f>tItens[[#This Row],[Qtd]]*tItens[[#This Row],[Vlr unit]]</f>
        <v>2235</v>
      </c>
      <c r="L4580" s="6">
        <f>IFERROR(IF(INDEX(tProdutos[Desconto homologado],MATCH(tItens[[#This Row],[Produto]],tProdutos[Produto],0))="",DescontoPadrao,INDEX(tProdutos[Desconto homologado],MATCH(tItens[[#This Row],[Produto]],tProdutos[Produto],0))),DescontoPadrao)</f>
        <v>0.28909090909090901</v>
      </c>
      <c r="M4580" s="12">
        <f>tItens[[#This Row],[Valor]]*(1-tItens[[#This Row],[Desconto]])</f>
        <v>1588.8818181818183</v>
      </c>
      <c r="N4580" t="str">
        <f>IFERROR(INDEX(tProdutos[Foco],MATCH(tItens[[#This Row],[Produto]],tProdutos[Produto],0)),"Não")</f>
        <v>Não</v>
      </c>
      <c r="O4580" t="str">
        <f>IFERROR(INDEX(tEditais[SRP],MATCH(tItens[[#This Row],[Edital]],tEditais[Edital],0)),"Não")</f>
        <v>Sim</v>
      </c>
      <c r="P4580" s="4">
        <f>IF(COUNTIFS(INDEX(tItens[Edital],1):tItens[[#This Row],[Edital]],tItens[[#This Row],[Edital]],INDEX(tItens[Produto],1):tItens[[#This Row],[Produto]],tItens[[#This Row],[Produto]])=1,1,0)</f>
        <v>1</v>
      </c>
    </row>
    <row r="4581" spans="1:16" x14ac:dyDescent="0.25">
      <c r="A4581" t="s">
        <v>1861</v>
      </c>
      <c r="B4581">
        <v>67</v>
      </c>
      <c r="C4581" t="s">
        <v>7416</v>
      </c>
      <c r="D4581" t="s">
        <v>279</v>
      </c>
      <c r="E4581" s="13">
        <v>500</v>
      </c>
      <c r="F4581" s="12">
        <v>1.7</v>
      </c>
      <c r="G4581" t="str">
        <f>IFERROR(INDEX(tEditais[Órgão],MATCH(tItens[[#This Row],[Edital]],tEditais[Edital],0)),"")</f>
        <v>FUNDO MUNICIPAL DE SAUDE DE CAMOCIM DE SAO FELIX</v>
      </c>
      <c r="H4581" t="str">
        <f>IFERROR(INDEX(tEditais[UF],MATCH(tItens[[#This Row],[Edital]],tEditais[Edital],0)),"")</f>
        <v>PE</v>
      </c>
      <c r="I4581" s="11">
        <f>IFERROR(INDEX(tEditais[Encerramento],MATCH(tItens[[#This Row],[Edital]],tEditais[Edital],0)),"")</f>
        <v>46308.333333333336</v>
      </c>
      <c r="J4581" t="str">
        <f>IFERROR(INDEX(tProdutos[Classe],MATCH(tItens[[#This Row],[Produto]],tProdutos[Produto],0)),"produto não cadastrado")</f>
        <v>FORA</v>
      </c>
      <c r="K4581" s="12">
        <f>tItens[[#This Row],[Qtd]]*tItens[[#This Row],[Vlr unit]]</f>
        <v>850</v>
      </c>
      <c r="L4581" s="6">
        <f>IFERROR(IF(INDEX(tProdutos[Desconto homologado],MATCH(tItens[[#This Row],[Produto]],tProdutos[Produto],0))="",DescontoPadrao,INDEX(tProdutos[Desconto homologado],MATCH(tItens[[#This Row],[Produto]],tProdutos[Produto],0))),DescontoPadrao)</f>
        <v>0.28909090909090901</v>
      </c>
      <c r="M4581" s="12">
        <f>tItens[[#This Row],[Valor]]*(1-tItens[[#This Row],[Desconto]])</f>
        <v>604.27272727272725</v>
      </c>
      <c r="N4581" t="str">
        <f>IFERROR(INDEX(tProdutos[Foco],MATCH(tItens[[#This Row],[Produto]],tProdutos[Produto],0)),"Não")</f>
        <v>Não</v>
      </c>
      <c r="O4581" t="str">
        <f>IFERROR(INDEX(tEditais[SRP],MATCH(tItens[[#This Row],[Edital]],tEditais[Edital],0)),"Não")</f>
        <v>Sim</v>
      </c>
      <c r="P4581" s="4">
        <f>IF(COUNTIFS(INDEX(tItens[Edital],1):tItens[[#This Row],[Edital]],tItens[[#This Row],[Edital]],INDEX(tItens[Produto],1):tItens[[#This Row],[Produto]],tItens[[#This Row],[Produto]])=1,1,0)</f>
        <v>0</v>
      </c>
    </row>
    <row r="4582" spans="1:16" x14ac:dyDescent="0.25">
      <c r="A4582" t="s">
        <v>1861</v>
      </c>
      <c r="B4582">
        <v>68</v>
      </c>
      <c r="C4582" t="s">
        <v>7417</v>
      </c>
      <c r="D4582" t="s">
        <v>80</v>
      </c>
      <c r="E4582" s="13">
        <v>200</v>
      </c>
      <c r="F4582" s="12">
        <v>0.67</v>
      </c>
      <c r="G4582" t="str">
        <f>IFERROR(INDEX(tEditais[Órgão],MATCH(tItens[[#This Row],[Edital]],tEditais[Edital],0)),"")</f>
        <v>FUNDO MUNICIPAL DE SAUDE DE CAMOCIM DE SAO FELIX</v>
      </c>
      <c r="H4582" t="str">
        <f>IFERROR(INDEX(tEditais[UF],MATCH(tItens[[#This Row],[Edital]],tEditais[Edital],0)),"")</f>
        <v>PE</v>
      </c>
      <c r="I4582" s="11">
        <f>IFERROR(INDEX(tEditais[Encerramento],MATCH(tItens[[#This Row],[Edital]],tEditais[Edital],0)),"")</f>
        <v>46308.333333333336</v>
      </c>
      <c r="J4582" t="str">
        <f>IFERROR(INDEX(tProdutos[Classe],MATCH(tItens[[#This Row],[Produto]],tProdutos[Produto],0)),"produto não cadastrado")</f>
        <v>NÚCLEO</v>
      </c>
      <c r="K4582" s="12">
        <f>tItens[[#This Row],[Qtd]]*tItens[[#This Row],[Vlr unit]]</f>
        <v>134</v>
      </c>
      <c r="L4582" s="6">
        <f>IFERROR(IF(INDEX(tProdutos[Desconto homologado],MATCH(tItens[[#This Row],[Produto]],tProdutos[Produto],0))="",DescontoPadrao,INDEX(tProdutos[Desconto homologado],MATCH(tItens[[#This Row],[Produto]],tProdutos[Produto],0))),DescontoPadrao)</f>
        <v>0.33</v>
      </c>
      <c r="M4582" s="12">
        <f>tItens[[#This Row],[Valor]]*(1-tItens[[#This Row],[Desconto]])</f>
        <v>89.779999999999987</v>
      </c>
      <c r="N4582" t="str">
        <f>IFERROR(INDEX(tProdutos[Foco],MATCH(tItens[[#This Row],[Produto]],tProdutos[Produto],0)),"Não")</f>
        <v>Sim</v>
      </c>
      <c r="O4582" t="str">
        <f>IFERROR(INDEX(tEditais[SRP],MATCH(tItens[[#This Row],[Edital]],tEditais[Edital],0)),"Não")</f>
        <v>Sim</v>
      </c>
      <c r="P4582" s="4">
        <f>IF(COUNTIFS(INDEX(tItens[Edital],1):tItens[[#This Row],[Edital]],tItens[[#This Row],[Edital]],INDEX(tItens[Produto],1):tItens[[#This Row],[Produto]],tItens[[#This Row],[Produto]])=1,1,0)</f>
        <v>1</v>
      </c>
    </row>
    <row r="4583" spans="1:16" x14ac:dyDescent="0.25">
      <c r="A4583" t="s">
        <v>1861</v>
      </c>
      <c r="B4583">
        <v>69</v>
      </c>
      <c r="C4583" t="s">
        <v>7418</v>
      </c>
      <c r="D4583" t="s">
        <v>80</v>
      </c>
      <c r="E4583" s="13">
        <v>200</v>
      </c>
      <c r="F4583" s="12">
        <v>0.8</v>
      </c>
      <c r="G4583" t="str">
        <f>IFERROR(INDEX(tEditais[Órgão],MATCH(tItens[[#This Row],[Edital]],tEditais[Edital],0)),"")</f>
        <v>FUNDO MUNICIPAL DE SAUDE DE CAMOCIM DE SAO FELIX</v>
      </c>
      <c r="H4583" t="str">
        <f>IFERROR(INDEX(tEditais[UF],MATCH(tItens[[#This Row],[Edital]],tEditais[Edital],0)),"")</f>
        <v>PE</v>
      </c>
      <c r="I4583" s="11">
        <f>IFERROR(INDEX(tEditais[Encerramento],MATCH(tItens[[#This Row],[Edital]],tEditais[Edital],0)),"")</f>
        <v>46308.333333333336</v>
      </c>
      <c r="J4583" t="str">
        <f>IFERROR(INDEX(tProdutos[Classe],MATCH(tItens[[#This Row],[Produto]],tProdutos[Produto],0)),"produto não cadastrado")</f>
        <v>NÚCLEO</v>
      </c>
      <c r="K4583" s="12">
        <f>tItens[[#This Row],[Qtd]]*tItens[[#This Row],[Vlr unit]]</f>
        <v>160</v>
      </c>
      <c r="L4583" s="6">
        <f>IFERROR(IF(INDEX(tProdutos[Desconto homologado],MATCH(tItens[[#This Row],[Produto]],tProdutos[Produto],0))="",DescontoPadrao,INDEX(tProdutos[Desconto homologado],MATCH(tItens[[#This Row],[Produto]],tProdutos[Produto],0))),DescontoPadrao)</f>
        <v>0.33</v>
      </c>
      <c r="M4583" s="12">
        <f>tItens[[#This Row],[Valor]]*(1-tItens[[#This Row],[Desconto]])</f>
        <v>107.19999999999999</v>
      </c>
      <c r="N4583" t="str">
        <f>IFERROR(INDEX(tProdutos[Foco],MATCH(tItens[[#This Row],[Produto]],tProdutos[Produto],0)),"Não")</f>
        <v>Sim</v>
      </c>
      <c r="O4583" t="str">
        <f>IFERROR(INDEX(tEditais[SRP],MATCH(tItens[[#This Row],[Edital]],tEditais[Edital],0)),"Não")</f>
        <v>Sim</v>
      </c>
      <c r="P4583" s="4">
        <f>IF(COUNTIFS(INDEX(tItens[Edital],1):tItens[[#This Row],[Edital]],tItens[[#This Row],[Edital]],INDEX(tItens[Produto],1):tItens[[#This Row],[Produto]],tItens[[#This Row],[Produto]])=1,1,0)</f>
        <v>0</v>
      </c>
    </row>
    <row r="4584" spans="1:16" x14ac:dyDescent="0.25">
      <c r="A4584" t="s">
        <v>1861</v>
      </c>
      <c r="B4584">
        <v>70</v>
      </c>
      <c r="C4584" t="s">
        <v>7419</v>
      </c>
      <c r="D4584" t="s">
        <v>279</v>
      </c>
      <c r="E4584" s="13">
        <v>2000</v>
      </c>
      <c r="F4584" s="12">
        <v>3.52</v>
      </c>
      <c r="G4584" t="str">
        <f>IFERROR(INDEX(tEditais[Órgão],MATCH(tItens[[#This Row],[Edital]],tEditais[Edital],0)),"")</f>
        <v>FUNDO MUNICIPAL DE SAUDE DE CAMOCIM DE SAO FELIX</v>
      </c>
      <c r="H4584" t="str">
        <f>IFERROR(INDEX(tEditais[UF],MATCH(tItens[[#This Row],[Edital]],tEditais[Edital],0)),"")</f>
        <v>PE</v>
      </c>
      <c r="I4584" s="11">
        <f>IFERROR(INDEX(tEditais[Encerramento],MATCH(tItens[[#This Row],[Edital]],tEditais[Edital],0)),"")</f>
        <v>46308.333333333336</v>
      </c>
      <c r="J4584" t="str">
        <f>IFERROR(INDEX(tProdutos[Classe],MATCH(tItens[[#This Row],[Produto]],tProdutos[Produto],0)),"produto não cadastrado")</f>
        <v>FORA</v>
      </c>
      <c r="K4584" s="12">
        <f>tItens[[#This Row],[Qtd]]*tItens[[#This Row],[Vlr unit]]</f>
        <v>7040</v>
      </c>
      <c r="L4584" s="6">
        <f>IFERROR(IF(INDEX(tProdutos[Desconto homologado],MATCH(tItens[[#This Row],[Produto]],tProdutos[Produto],0))="",DescontoPadrao,INDEX(tProdutos[Desconto homologado],MATCH(tItens[[#This Row],[Produto]],tProdutos[Produto],0))),DescontoPadrao)</f>
        <v>0.28909090909090901</v>
      </c>
      <c r="M4584" s="12">
        <f>tItens[[#This Row],[Valor]]*(1-tItens[[#This Row],[Desconto]])</f>
        <v>5004.8</v>
      </c>
      <c r="N4584" t="str">
        <f>IFERROR(INDEX(tProdutos[Foco],MATCH(tItens[[#This Row],[Produto]],tProdutos[Produto],0)),"Não")</f>
        <v>Não</v>
      </c>
      <c r="O4584" t="str">
        <f>IFERROR(INDEX(tEditais[SRP],MATCH(tItens[[#This Row],[Edital]],tEditais[Edital],0)),"Não")</f>
        <v>Sim</v>
      </c>
      <c r="P4584" s="4">
        <f>IF(COUNTIFS(INDEX(tItens[Edital],1):tItens[[#This Row],[Edital]],tItens[[#This Row],[Edital]],INDEX(tItens[Produto],1):tItens[[#This Row],[Produto]],tItens[[#This Row],[Produto]])=1,1,0)</f>
        <v>0</v>
      </c>
    </row>
    <row r="4585" spans="1:16" x14ac:dyDescent="0.25">
      <c r="A4585" t="s">
        <v>1861</v>
      </c>
      <c r="B4585">
        <v>71</v>
      </c>
      <c r="C4585" t="s">
        <v>7420</v>
      </c>
      <c r="D4585" t="s">
        <v>371</v>
      </c>
      <c r="E4585" s="13">
        <v>20000</v>
      </c>
      <c r="F4585" s="12">
        <v>0.49</v>
      </c>
      <c r="G4585" t="str">
        <f>IFERROR(INDEX(tEditais[Órgão],MATCH(tItens[[#This Row],[Edital]],tEditais[Edital],0)),"")</f>
        <v>FUNDO MUNICIPAL DE SAUDE DE CAMOCIM DE SAO FELIX</v>
      </c>
      <c r="H4585" t="str">
        <f>IFERROR(INDEX(tEditais[UF],MATCH(tItens[[#This Row],[Edital]],tEditais[Edital],0)),"")</f>
        <v>PE</v>
      </c>
      <c r="I4585" s="11">
        <f>IFERROR(INDEX(tEditais[Encerramento],MATCH(tItens[[#This Row],[Edital]],tEditais[Edital],0)),"")</f>
        <v>46308.333333333336</v>
      </c>
      <c r="J4585" t="str">
        <f>IFERROR(INDEX(tProdutos[Classe],MATCH(tItens[[#This Row],[Produto]],tProdutos[Produto],0)),"produto não cadastrado")</f>
        <v>FORA</v>
      </c>
      <c r="K4585" s="12">
        <f>tItens[[#This Row],[Qtd]]*tItens[[#This Row],[Vlr unit]]</f>
        <v>9800</v>
      </c>
      <c r="L4585" s="6">
        <f>IFERROR(IF(INDEX(tProdutos[Desconto homologado],MATCH(tItens[[#This Row],[Produto]],tProdutos[Produto],0))="",DescontoPadrao,INDEX(tProdutos[Desconto homologado],MATCH(tItens[[#This Row],[Produto]],tProdutos[Produto],0))),DescontoPadrao)</f>
        <v>0.217826086956522</v>
      </c>
      <c r="M4585" s="12">
        <f>tItens[[#This Row],[Valor]]*(1-tItens[[#This Row],[Desconto]])</f>
        <v>7665.3043478260843</v>
      </c>
      <c r="N4585" t="str">
        <f>IFERROR(INDEX(tProdutos[Foco],MATCH(tItens[[#This Row],[Produto]],tProdutos[Produto],0)),"Não")</f>
        <v>Não</v>
      </c>
      <c r="O4585" t="str">
        <f>IFERROR(INDEX(tEditais[SRP],MATCH(tItens[[#This Row],[Edital]],tEditais[Edital],0)),"Não")</f>
        <v>Sim</v>
      </c>
      <c r="P4585" s="4">
        <f>IF(COUNTIFS(INDEX(tItens[Edital],1):tItens[[#This Row],[Edital]],tItens[[#This Row],[Edital]],INDEX(tItens[Produto],1):tItens[[#This Row],[Produto]],tItens[[#This Row],[Produto]])=1,1,0)</f>
        <v>1</v>
      </c>
    </row>
    <row r="4586" spans="1:16" x14ac:dyDescent="0.25">
      <c r="A4586" t="s">
        <v>1861</v>
      </c>
      <c r="B4586">
        <v>72</v>
      </c>
      <c r="C4586" t="s">
        <v>7421</v>
      </c>
      <c r="D4586" t="s">
        <v>269</v>
      </c>
      <c r="E4586" s="13">
        <v>3000</v>
      </c>
      <c r="F4586" s="12">
        <v>6.26</v>
      </c>
      <c r="G4586" t="str">
        <f>IFERROR(INDEX(tEditais[Órgão],MATCH(tItens[[#This Row],[Edital]],tEditais[Edital],0)),"")</f>
        <v>FUNDO MUNICIPAL DE SAUDE DE CAMOCIM DE SAO FELIX</v>
      </c>
      <c r="H4586" t="str">
        <f>IFERROR(INDEX(tEditais[UF],MATCH(tItens[[#This Row],[Edital]],tEditais[Edital],0)),"")</f>
        <v>PE</v>
      </c>
      <c r="I4586" s="11">
        <f>IFERROR(INDEX(tEditais[Encerramento],MATCH(tItens[[#This Row],[Edital]],tEditais[Edital],0)),"")</f>
        <v>46308.333333333336</v>
      </c>
      <c r="J4586" t="str">
        <f>IFERROR(INDEX(tProdutos[Classe],MATCH(tItens[[#This Row],[Produto]],tProdutos[Produto],0)),"produto não cadastrado")</f>
        <v>FORA</v>
      </c>
      <c r="K4586" s="12">
        <f>tItens[[#This Row],[Qtd]]*tItens[[#This Row],[Vlr unit]]</f>
        <v>18780</v>
      </c>
      <c r="L4586" s="6">
        <f>IFERROR(IF(INDEX(tProdutos[Desconto homologado],MATCH(tItens[[#This Row],[Produto]],tProdutos[Produto],0))="",DescontoPadrao,INDEX(tProdutos[Desconto homologado],MATCH(tItens[[#This Row],[Produto]],tProdutos[Produto],0))),DescontoPadrao)</f>
        <v>0.28935117103332197</v>
      </c>
      <c r="M4586" s="12">
        <f>tItens[[#This Row],[Valor]]*(1-tItens[[#This Row],[Desconto]])</f>
        <v>13345.985007994213</v>
      </c>
      <c r="N4586" t="str">
        <f>IFERROR(INDEX(tProdutos[Foco],MATCH(tItens[[#This Row],[Produto]],tProdutos[Produto],0)),"Não")</f>
        <v>Não</v>
      </c>
      <c r="O4586" t="str">
        <f>IFERROR(INDEX(tEditais[SRP],MATCH(tItens[[#This Row],[Edital]],tEditais[Edital],0)),"Não")</f>
        <v>Sim</v>
      </c>
      <c r="P4586" s="4">
        <f>IF(COUNTIFS(INDEX(tItens[Edital],1):tItens[[#This Row],[Edital]],tItens[[#This Row],[Edital]],INDEX(tItens[Produto],1):tItens[[#This Row],[Produto]],tItens[[#This Row],[Produto]])=1,1,0)</f>
        <v>1</v>
      </c>
    </row>
    <row r="4587" spans="1:16" x14ac:dyDescent="0.25">
      <c r="A4587" t="s">
        <v>1861</v>
      </c>
      <c r="B4587">
        <v>73</v>
      </c>
      <c r="C4587" t="s">
        <v>7422</v>
      </c>
      <c r="D4587" t="s">
        <v>269</v>
      </c>
      <c r="E4587" s="13">
        <v>300</v>
      </c>
      <c r="F4587" s="12">
        <v>41.51</v>
      </c>
      <c r="G4587" t="str">
        <f>IFERROR(INDEX(tEditais[Órgão],MATCH(tItens[[#This Row],[Edital]],tEditais[Edital],0)),"")</f>
        <v>FUNDO MUNICIPAL DE SAUDE DE CAMOCIM DE SAO FELIX</v>
      </c>
      <c r="H4587" t="str">
        <f>IFERROR(INDEX(tEditais[UF],MATCH(tItens[[#This Row],[Edital]],tEditais[Edital],0)),"")</f>
        <v>PE</v>
      </c>
      <c r="I4587" s="11">
        <f>IFERROR(INDEX(tEditais[Encerramento],MATCH(tItens[[#This Row],[Edital]],tEditais[Edital],0)),"")</f>
        <v>46308.333333333336</v>
      </c>
      <c r="J4587" t="str">
        <f>IFERROR(INDEX(tProdutos[Classe],MATCH(tItens[[#This Row],[Produto]],tProdutos[Produto],0)),"produto não cadastrado")</f>
        <v>FORA</v>
      </c>
      <c r="K4587" s="12">
        <f>tItens[[#This Row],[Qtd]]*tItens[[#This Row],[Vlr unit]]</f>
        <v>12453</v>
      </c>
      <c r="L4587" s="6">
        <f>IFERROR(IF(INDEX(tProdutos[Desconto homologado],MATCH(tItens[[#This Row],[Produto]],tProdutos[Produto],0))="",DescontoPadrao,INDEX(tProdutos[Desconto homologado],MATCH(tItens[[#This Row],[Produto]],tProdutos[Produto],0))),DescontoPadrao)</f>
        <v>0.28935117103332197</v>
      </c>
      <c r="M4587" s="12">
        <f>tItens[[#This Row],[Valor]]*(1-tItens[[#This Row],[Desconto]])</f>
        <v>8849.709867122041</v>
      </c>
      <c r="N4587" t="str">
        <f>IFERROR(INDEX(tProdutos[Foco],MATCH(tItens[[#This Row],[Produto]],tProdutos[Produto],0)),"Não")</f>
        <v>Não</v>
      </c>
      <c r="O4587" t="str">
        <f>IFERROR(INDEX(tEditais[SRP],MATCH(tItens[[#This Row],[Edital]],tEditais[Edital],0)),"Não")</f>
        <v>Sim</v>
      </c>
      <c r="P4587" s="4">
        <f>IF(COUNTIFS(INDEX(tItens[Edital],1):tItens[[#This Row],[Edital]],tItens[[#This Row],[Edital]],INDEX(tItens[Produto],1):tItens[[#This Row],[Produto]],tItens[[#This Row],[Produto]])=1,1,0)</f>
        <v>0</v>
      </c>
    </row>
    <row r="4588" spans="1:16" x14ac:dyDescent="0.25">
      <c r="A4588" t="s">
        <v>1861</v>
      </c>
      <c r="B4588">
        <v>77</v>
      </c>
      <c r="C4588" t="s">
        <v>7423</v>
      </c>
      <c r="D4588" t="s">
        <v>299</v>
      </c>
      <c r="E4588" s="13">
        <v>300</v>
      </c>
      <c r="F4588" s="12">
        <v>10.23</v>
      </c>
      <c r="G4588" t="str">
        <f>IFERROR(INDEX(tEditais[Órgão],MATCH(tItens[[#This Row],[Edital]],tEditais[Edital],0)),"")</f>
        <v>FUNDO MUNICIPAL DE SAUDE DE CAMOCIM DE SAO FELIX</v>
      </c>
      <c r="H4588" t="str">
        <f>IFERROR(INDEX(tEditais[UF],MATCH(tItens[[#This Row],[Edital]],tEditais[Edital],0)),"")</f>
        <v>PE</v>
      </c>
      <c r="I4588" s="11">
        <f>IFERROR(INDEX(tEditais[Encerramento],MATCH(tItens[[#This Row],[Edital]],tEditais[Edital],0)),"")</f>
        <v>46308.333333333336</v>
      </c>
      <c r="J4588" t="str">
        <f>IFERROR(INDEX(tProdutos[Classe],MATCH(tItens[[#This Row],[Produto]],tProdutos[Produto],0)),"produto não cadastrado")</f>
        <v>FORA</v>
      </c>
      <c r="K4588" s="12">
        <f>tItens[[#This Row],[Qtd]]*tItens[[#This Row],[Vlr unit]]</f>
        <v>3069</v>
      </c>
      <c r="L4588" s="6">
        <f>IFERROR(IF(INDEX(tProdutos[Desconto homologado],MATCH(tItens[[#This Row],[Produto]],tProdutos[Produto],0))="",DescontoPadrao,INDEX(tProdutos[Desconto homologado],MATCH(tItens[[#This Row],[Produto]],tProdutos[Produto],0))),DescontoPadrao)</f>
        <v>0.42211465163381601</v>
      </c>
      <c r="M4588" s="12">
        <f>tItens[[#This Row],[Valor]]*(1-tItens[[#This Row],[Desconto]])</f>
        <v>1773.5301341358186</v>
      </c>
      <c r="N4588" t="str">
        <f>IFERROR(INDEX(tProdutos[Foco],MATCH(tItens[[#This Row],[Produto]],tProdutos[Produto],0)),"Não")</f>
        <v>Não</v>
      </c>
      <c r="O4588" t="str">
        <f>IFERROR(INDEX(tEditais[SRP],MATCH(tItens[[#This Row],[Edital]],tEditais[Edital],0)),"Não")</f>
        <v>Sim</v>
      </c>
      <c r="P4588" s="4">
        <f>IF(COUNTIFS(INDEX(tItens[Edital],1):tItens[[#This Row],[Edital]],tItens[[#This Row],[Edital]],INDEX(tItens[Produto],1):tItens[[#This Row],[Produto]],tItens[[#This Row],[Produto]])=1,1,0)</f>
        <v>1</v>
      </c>
    </row>
    <row r="4589" spans="1:16" x14ac:dyDescent="0.25">
      <c r="A4589" t="s">
        <v>1861</v>
      </c>
      <c r="B4589">
        <v>79</v>
      </c>
      <c r="C4589" t="s">
        <v>7424</v>
      </c>
      <c r="D4589" t="s">
        <v>209</v>
      </c>
      <c r="E4589" s="13">
        <v>1500</v>
      </c>
      <c r="F4589" s="12">
        <v>2.0699999999999998</v>
      </c>
      <c r="G4589" t="str">
        <f>IFERROR(INDEX(tEditais[Órgão],MATCH(tItens[[#This Row],[Edital]],tEditais[Edital],0)),"")</f>
        <v>FUNDO MUNICIPAL DE SAUDE DE CAMOCIM DE SAO FELIX</v>
      </c>
      <c r="H4589" t="str">
        <f>IFERROR(INDEX(tEditais[UF],MATCH(tItens[[#This Row],[Edital]],tEditais[Edital],0)),"")</f>
        <v>PE</v>
      </c>
      <c r="I4589" s="11">
        <f>IFERROR(INDEX(tEditais[Encerramento],MATCH(tItens[[#This Row],[Edital]],tEditais[Edital],0)),"")</f>
        <v>46308.333333333336</v>
      </c>
      <c r="J4589" t="str">
        <f>IFERROR(INDEX(tProdutos[Classe],MATCH(tItens[[#This Row],[Produto]],tProdutos[Produto],0)),"produto não cadastrado")</f>
        <v>FORA</v>
      </c>
      <c r="K4589" s="12">
        <f>tItens[[#This Row],[Qtd]]*tItens[[#This Row],[Vlr unit]]</f>
        <v>3104.9999999999995</v>
      </c>
      <c r="L4589" s="6">
        <f>IFERROR(IF(INDEX(tProdutos[Desconto homologado],MATCH(tItens[[#This Row],[Produto]],tProdutos[Produto],0))="",DescontoPadrao,INDEX(tProdutos[Desconto homologado],MATCH(tItens[[#This Row],[Produto]],tProdutos[Produto],0))),DescontoPadrao)</f>
        <v>0.16442507504040599</v>
      </c>
      <c r="M4589" s="12">
        <f>tItens[[#This Row],[Valor]]*(1-tItens[[#This Row],[Desconto]])</f>
        <v>2594.4601419995392</v>
      </c>
      <c r="N4589" t="str">
        <f>IFERROR(INDEX(tProdutos[Foco],MATCH(tItens[[#This Row],[Produto]],tProdutos[Produto],0)),"Não")</f>
        <v>Não</v>
      </c>
      <c r="O4589" t="str">
        <f>IFERROR(INDEX(tEditais[SRP],MATCH(tItens[[#This Row],[Edital]],tEditais[Edital],0)),"Não")</f>
        <v>Sim</v>
      </c>
      <c r="P4589" s="4">
        <f>IF(COUNTIFS(INDEX(tItens[Edital],1):tItens[[#This Row],[Edital]],tItens[[#This Row],[Edital]],INDEX(tItens[Produto],1):tItens[[#This Row],[Produto]],tItens[[#This Row],[Produto]])=1,1,0)</f>
        <v>1</v>
      </c>
    </row>
    <row r="4590" spans="1:16" x14ac:dyDescent="0.25">
      <c r="A4590" t="s">
        <v>1861</v>
      </c>
      <c r="B4590">
        <v>82</v>
      </c>
      <c r="C4590" t="s">
        <v>7425</v>
      </c>
      <c r="D4590" t="s">
        <v>102</v>
      </c>
      <c r="E4590" s="13">
        <v>1000</v>
      </c>
      <c r="F4590" s="12">
        <v>3.41</v>
      </c>
      <c r="G4590" t="str">
        <f>IFERROR(INDEX(tEditais[Órgão],MATCH(tItens[[#This Row],[Edital]],tEditais[Edital],0)),"")</f>
        <v>FUNDO MUNICIPAL DE SAUDE DE CAMOCIM DE SAO FELIX</v>
      </c>
      <c r="H4590" t="str">
        <f>IFERROR(INDEX(tEditais[UF],MATCH(tItens[[#This Row],[Edital]],tEditais[Edital],0)),"")</f>
        <v>PE</v>
      </c>
      <c r="I4590" s="11">
        <f>IFERROR(INDEX(tEditais[Encerramento],MATCH(tItens[[#This Row],[Edital]],tEditais[Edital],0)),"")</f>
        <v>46308.333333333336</v>
      </c>
      <c r="J4590" t="str">
        <f>IFERROR(INDEX(tProdutos[Classe],MATCH(tItens[[#This Row],[Produto]],tProdutos[Produto],0)),"produto não cadastrado")</f>
        <v>DISPUTADO</v>
      </c>
      <c r="K4590" s="12">
        <f>tItens[[#This Row],[Qtd]]*tItens[[#This Row],[Vlr unit]]</f>
        <v>3410</v>
      </c>
      <c r="L4590" s="6">
        <f>IFERROR(IF(INDEX(tProdutos[Desconto homologado],MATCH(tItens[[#This Row],[Produto]],tProdutos[Produto],0))="",DescontoPadrao,INDEX(tProdutos[Desconto homologado],MATCH(tItens[[#This Row],[Produto]],tProdutos[Produto],0))),DescontoPadrao)</f>
        <v>0.38053097345132803</v>
      </c>
      <c r="M4590" s="12">
        <f>tItens[[#This Row],[Valor]]*(1-tItens[[#This Row],[Desconto]])</f>
        <v>2112.3893805309713</v>
      </c>
      <c r="N4590" t="str">
        <f>IFERROR(INDEX(tProdutos[Foco],MATCH(tItens[[#This Row],[Produto]],tProdutos[Produto],0)),"Não")</f>
        <v>Não</v>
      </c>
      <c r="O4590" t="str">
        <f>IFERROR(INDEX(tEditais[SRP],MATCH(tItens[[#This Row],[Edital]],tEditais[Edital],0)),"Não")</f>
        <v>Sim</v>
      </c>
      <c r="P4590" s="4">
        <f>IF(COUNTIFS(INDEX(tItens[Edital],1):tItens[[#This Row],[Edital]],tItens[[#This Row],[Edital]],INDEX(tItens[Produto],1):tItens[[#This Row],[Produto]],tItens[[#This Row],[Produto]])=1,1,0)</f>
        <v>1</v>
      </c>
    </row>
    <row r="4591" spans="1:16" x14ac:dyDescent="0.25">
      <c r="A4591" t="s">
        <v>1861</v>
      </c>
      <c r="B4591">
        <v>87</v>
      </c>
      <c r="C4591" t="s">
        <v>7426</v>
      </c>
      <c r="D4591" t="s">
        <v>90</v>
      </c>
      <c r="E4591" s="13">
        <v>2000</v>
      </c>
      <c r="F4591" s="12">
        <v>7.24</v>
      </c>
      <c r="G4591" t="str">
        <f>IFERROR(INDEX(tEditais[Órgão],MATCH(tItens[[#This Row],[Edital]],tEditais[Edital],0)),"")</f>
        <v>FUNDO MUNICIPAL DE SAUDE DE CAMOCIM DE SAO FELIX</v>
      </c>
      <c r="H4591" t="str">
        <f>IFERROR(INDEX(tEditais[UF],MATCH(tItens[[#This Row],[Edital]],tEditais[Edital],0)),"")</f>
        <v>PE</v>
      </c>
      <c r="I4591" s="11">
        <f>IFERROR(INDEX(tEditais[Encerramento],MATCH(tItens[[#This Row],[Edital]],tEditais[Edital],0)),"")</f>
        <v>46308.333333333336</v>
      </c>
      <c r="J4591" t="str">
        <f>IFERROR(INDEX(tProdutos[Classe],MATCH(tItens[[#This Row],[Produto]],tProdutos[Produto],0)),"produto não cadastrado")</f>
        <v>DISPUTADO</v>
      </c>
      <c r="K4591" s="12">
        <f>tItens[[#This Row],[Qtd]]*tItens[[#This Row],[Vlr unit]]</f>
        <v>14480</v>
      </c>
      <c r="L4591" s="6">
        <f>IFERROR(IF(INDEX(tProdutos[Desconto homologado],MATCH(tItens[[#This Row],[Produto]],tProdutos[Produto],0))="",DescontoPadrao,INDEX(tProdutos[Desconto homologado],MATCH(tItens[[#This Row],[Produto]],tProdutos[Produto],0))),DescontoPadrao)</f>
        <v>0.25393823957010597</v>
      </c>
      <c r="M4591" s="12">
        <f>tItens[[#This Row],[Valor]]*(1-tItens[[#This Row],[Desconto]])</f>
        <v>10802.974291024866</v>
      </c>
      <c r="N4591" t="str">
        <f>IFERROR(INDEX(tProdutos[Foco],MATCH(tItens[[#This Row],[Produto]],tProdutos[Produto],0)),"Não")</f>
        <v>Não</v>
      </c>
      <c r="O4591" t="str">
        <f>IFERROR(INDEX(tEditais[SRP],MATCH(tItens[[#This Row],[Edital]],tEditais[Edital],0)),"Não")</f>
        <v>Sim</v>
      </c>
      <c r="P4591" s="4">
        <f>IF(COUNTIFS(INDEX(tItens[Edital],1):tItens[[#This Row],[Edital]],tItens[[#This Row],[Edital]],INDEX(tItens[Produto],1):tItens[[#This Row],[Produto]],tItens[[#This Row],[Produto]])=1,1,0)</f>
        <v>1</v>
      </c>
    </row>
    <row r="4592" spans="1:16" x14ac:dyDescent="0.25">
      <c r="A4592" t="s">
        <v>1861</v>
      </c>
      <c r="B4592">
        <v>88</v>
      </c>
      <c r="C4592" t="s">
        <v>7427</v>
      </c>
      <c r="D4592" t="s">
        <v>90</v>
      </c>
      <c r="E4592" s="13">
        <v>1000</v>
      </c>
      <c r="F4592" s="12">
        <v>7.27</v>
      </c>
      <c r="G4592" t="str">
        <f>IFERROR(INDEX(tEditais[Órgão],MATCH(tItens[[#This Row],[Edital]],tEditais[Edital],0)),"")</f>
        <v>FUNDO MUNICIPAL DE SAUDE DE CAMOCIM DE SAO FELIX</v>
      </c>
      <c r="H4592" t="str">
        <f>IFERROR(INDEX(tEditais[UF],MATCH(tItens[[#This Row],[Edital]],tEditais[Edital],0)),"")</f>
        <v>PE</v>
      </c>
      <c r="I4592" s="11">
        <f>IFERROR(INDEX(tEditais[Encerramento],MATCH(tItens[[#This Row],[Edital]],tEditais[Edital],0)),"")</f>
        <v>46308.333333333336</v>
      </c>
      <c r="J4592" t="str">
        <f>IFERROR(INDEX(tProdutos[Classe],MATCH(tItens[[#This Row],[Produto]],tProdutos[Produto],0)),"produto não cadastrado")</f>
        <v>DISPUTADO</v>
      </c>
      <c r="K4592" s="12">
        <f>tItens[[#This Row],[Qtd]]*tItens[[#This Row],[Vlr unit]]</f>
        <v>7270</v>
      </c>
      <c r="L4592" s="6">
        <f>IFERROR(IF(INDEX(tProdutos[Desconto homologado],MATCH(tItens[[#This Row],[Produto]],tProdutos[Produto],0))="",DescontoPadrao,INDEX(tProdutos[Desconto homologado],MATCH(tItens[[#This Row],[Produto]],tProdutos[Produto],0))),DescontoPadrao)</f>
        <v>0.25393823957010597</v>
      </c>
      <c r="M4592" s="12">
        <f>tItens[[#This Row],[Valor]]*(1-tItens[[#This Row],[Desconto]])</f>
        <v>5423.8689983253298</v>
      </c>
      <c r="N4592" t="str">
        <f>IFERROR(INDEX(tProdutos[Foco],MATCH(tItens[[#This Row],[Produto]],tProdutos[Produto],0)),"Não")</f>
        <v>Não</v>
      </c>
      <c r="O4592" t="str">
        <f>IFERROR(INDEX(tEditais[SRP],MATCH(tItens[[#This Row],[Edital]],tEditais[Edital],0)),"Não")</f>
        <v>Sim</v>
      </c>
      <c r="P4592" s="4">
        <f>IF(COUNTIFS(INDEX(tItens[Edital],1):tItens[[#This Row],[Edital]],tItens[[#This Row],[Edital]],INDEX(tItens[Produto],1):tItens[[#This Row],[Produto]],tItens[[#This Row],[Produto]])=1,1,0)</f>
        <v>0</v>
      </c>
    </row>
    <row r="4593" spans="1:16" x14ac:dyDescent="0.25">
      <c r="A4593" t="s">
        <v>1861</v>
      </c>
      <c r="B4593">
        <v>89</v>
      </c>
      <c r="C4593" t="s">
        <v>7428</v>
      </c>
      <c r="D4593" t="s">
        <v>90</v>
      </c>
      <c r="E4593" s="13">
        <v>1500</v>
      </c>
      <c r="F4593" s="12">
        <v>6.59</v>
      </c>
      <c r="G4593" t="str">
        <f>IFERROR(INDEX(tEditais[Órgão],MATCH(tItens[[#This Row],[Edital]],tEditais[Edital],0)),"")</f>
        <v>FUNDO MUNICIPAL DE SAUDE DE CAMOCIM DE SAO FELIX</v>
      </c>
      <c r="H4593" t="str">
        <f>IFERROR(INDEX(tEditais[UF],MATCH(tItens[[#This Row],[Edital]],tEditais[Edital],0)),"")</f>
        <v>PE</v>
      </c>
      <c r="I4593" s="11">
        <f>IFERROR(INDEX(tEditais[Encerramento],MATCH(tItens[[#This Row],[Edital]],tEditais[Edital],0)),"")</f>
        <v>46308.333333333336</v>
      </c>
      <c r="J4593" t="str">
        <f>IFERROR(INDEX(tProdutos[Classe],MATCH(tItens[[#This Row],[Produto]],tProdutos[Produto],0)),"produto não cadastrado")</f>
        <v>DISPUTADO</v>
      </c>
      <c r="K4593" s="12">
        <f>tItens[[#This Row],[Qtd]]*tItens[[#This Row],[Vlr unit]]</f>
        <v>9885</v>
      </c>
      <c r="L4593" s="6">
        <f>IFERROR(IF(INDEX(tProdutos[Desconto homologado],MATCH(tItens[[#This Row],[Produto]],tProdutos[Produto],0))="",DescontoPadrao,INDEX(tProdutos[Desconto homologado],MATCH(tItens[[#This Row],[Produto]],tProdutos[Produto],0))),DescontoPadrao)</f>
        <v>0.25393823957010597</v>
      </c>
      <c r="M4593" s="12">
        <f>tItens[[#This Row],[Valor]]*(1-tItens[[#This Row],[Desconto]])</f>
        <v>7374.8205018495028</v>
      </c>
      <c r="N4593" t="str">
        <f>IFERROR(INDEX(tProdutos[Foco],MATCH(tItens[[#This Row],[Produto]],tProdutos[Produto],0)),"Não")</f>
        <v>Não</v>
      </c>
      <c r="O4593" t="str">
        <f>IFERROR(INDEX(tEditais[SRP],MATCH(tItens[[#This Row],[Edital]],tEditais[Edital],0)),"Não")</f>
        <v>Sim</v>
      </c>
      <c r="P4593" s="4">
        <f>IF(COUNTIFS(INDEX(tItens[Edital],1):tItens[[#This Row],[Edital]],tItens[[#This Row],[Edital]],INDEX(tItens[Produto],1):tItens[[#This Row],[Produto]],tItens[[#This Row],[Produto]])=1,1,0)</f>
        <v>0</v>
      </c>
    </row>
    <row r="4594" spans="1:16" x14ac:dyDescent="0.25">
      <c r="A4594" t="s">
        <v>1861</v>
      </c>
      <c r="B4594">
        <v>90</v>
      </c>
      <c r="C4594" t="s">
        <v>7429</v>
      </c>
      <c r="D4594" t="s">
        <v>90</v>
      </c>
      <c r="E4594" s="13">
        <v>1000</v>
      </c>
      <c r="F4594" s="12">
        <v>5.85</v>
      </c>
      <c r="G4594" t="str">
        <f>IFERROR(INDEX(tEditais[Órgão],MATCH(tItens[[#This Row],[Edital]],tEditais[Edital],0)),"")</f>
        <v>FUNDO MUNICIPAL DE SAUDE DE CAMOCIM DE SAO FELIX</v>
      </c>
      <c r="H4594" t="str">
        <f>IFERROR(INDEX(tEditais[UF],MATCH(tItens[[#This Row],[Edital]],tEditais[Edital],0)),"")</f>
        <v>PE</v>
      </c>
      <c r="I4594" s="11">
        <f>IFERROR(INDEX(tEditais[Encerramento],MATCH(tItens[[#This Row],[Edital]],tEditais[Edital],0)),"")</f>
        <v>46308.333333333336</v>
      </c>
      <c r="J4594" t="str">
        <f>IFERROR(INDEX(tProdutos[Classe],MATCH(tItens[[#This Row],[Produto]],tProdutos[Produto],0)),"produto não cadastrado")</f>
        <v>DISPUTADO</v>
      </c>
      <c r="K4594" s="12">
        <f>tItens[[#This Row],[Qtd]]*tItens[[#This Row],[Vlr unit]]</f>
        <v>5850</v>
      </c>
      <c r="L4594" s="6">
        <f>IFERROR(IF(INDEX(tProdutos[Desconto homologado],MATCH(tItens[[#This Row],[Produto]],tProdutos[Produto],0))="",DescontoPadrao,INDEX(tProdutos[Desconto homologado],MATCH(tItens[[#This Row],[Produto]],tProdutos[Produto],0))),DescontoPadrao)</f>
        <v>0.25393823957010597</v>
      </c>
      <c r="M4594" s="12">
        <f>tItens[[#This Row],[Valor]]*(1-tItens[[#This Row],[Desconto]])</f>
        <v>4364.4612985148797</v>
      </c>
      <c r="N4594" t="str">
        <f>IFERROR(INDEX(tProdutos[Foco],MATCH(tItens[[#This Row],[Produto]],tProdutos[Produto],0)),"Não")</f>
        <v>Não</v>
      </c>
      <c r="O4594" t="str">
        <f>IFERROR(INDEX(tEditais[SRP],MATCH(tItens[[#This Row],[Edital]],tEditais[Edital],0)),"Não")</f>
        <v>Sim</v>
      </c>
      <c r="P4594" s="4">
        <f>IF(COUNTIFS(INDEX(tItens[Edital],1):tItens[[#This Row],[Edital]],tItens[[#This Row],[Edital]],INDEX(tItens[Produto],1):tItens[[#This Row],[Produto]],tItens[[#This Row],[Produto]])=1,1,0)</f>
        <v>0</v>
      </c>
    </row>
    <row r="4595" spans="1:16" x14ac:dyDescent="0.25">
      <c r="A4595" t="s">
        <v>1861</v>
      </c>
      <c r="B4595">
        <v>92</v>
      </c>
      <c r="C4595" t="s">
        <v>7430</v>
      </c>
      <c r="D4595" t="s">
        <v>405</v>
      </c>
      <c r="E4595" s="13">
        <v>300</v>
      </c>
      <c r="F4595" s="12">
        <v>12.55</v>
      </c>
      <c r="G4595" t="str">
        <f>IFERROR(INDEX(tEditais[Órgão],MATCH(tItens[[#This Row],[Edital]],tEditais[Edital],0)),"")</f>
        <v>FUNDO MUNICIPAL DE SAUDE DE CAMOCIM DE SAO FELIX</v>
      </c>
      <c r="H4595" t="str">
        <f>IFERROR(INDEX(tEditais[UF],MATCH(tItens[[#This Row],[Edital]],tEditais[Edital],0)),"")</f>
        <v>PE</v>
      </c>
      <c r="I4595" s="11">
        <f>IFERROR(INDEX(tEditais[Encerramento],MATCH(tItens[[#This Row],[Edital]],tEditais[Edital],0)),"")</f>
        <v>46308.333333333336</v>
      </c>
      <c r="J4595" t="str">
        <f>IFERROR(INDEX(tProdutos[Classe],MATCH(tItens[[#This Row],[Produto]],tProdutos[Produto],0)),"produto não cadastrado")</f>
        <v>FORA</v>
      </c>
      <c r="K4595" s="12">
        <f>tItens[[#This Row],[Qtd]]*tItens[[#This Row],[Vlr unit]]</f>
        <v>3765</v>
      </c>
      <c r="L4595" s="6">
        <f>IFERROR(IF(INDEX(tProdutos[Desconto homologado],MATCH(tItens[[#This Row],[Produto]],tProdutos[Produto],0))="",DescontoPadrao,INDEX(tProdutos[Desconto homologado],MATCH(tItens[[#This Row],[Produto]],tProdutos[Produto],0))),DescontoPadrao)</f>
        <v>0.43839061190276601</v>
      </c>
      <c r="M4595" s="12">
        <f>tItens[[#This Row],[Valor]]*(1-tItens[[#This Row],[Desconto]])</f>
        <v>2114.4593461860859</v>
      </c>
      <c r="N4595" t="str">
        <f>IFERROR(INDEX(tProdutos[Foco],MATCH(tItens[[#This Row],[Produto]],tProdutos[Produto],0)),"Não")</f>
        <v>Não</v>
      </c>
      <c r="O4595" t="str">
        <f>IFERROR(INDEX(tEditais[SRP],MATCH(tItens[[#This Row],[Edital]],tEditais[Edital],0)),"Não")</f>
        <v>Sim</v>
      </c>
      <c r="P4595" s="4">
        <f>IF(COUNTIFS(INDEX(tItens[Edital],1):tItens[[#This Row],[Edital]],tItens[[#This Row],[Edital]],INDEX(tItens[Produto],1):tItens[[#This Row],[Produto]],tItens[[#This Row],[Produto]])=1,1,0)</f>
        <v>1</v>
      </c>
    </row>
    <row r="4596" spans="1:16" x14ac:dyDescent="0.25">
      <c r="A4596" t="s">
        <v>1861</v>
      </c>
      <c r="B4596">
        <v>110</v>
      </c>
      <c r="C4596" t="s">
        <v>7431</v>
      </c>
      <c r="D4596" t="s">
        <v>142</v>
      </c>
      <c r="E4596" s="13">
        <v>500</v>
      </c>
      <c r="F4596" s="12">
        <v>3.57</v>
      </c>
      <c r="G4596" t="str">
        <f>IFERROR(INDEX(tEditais[Órgão],MATCH(tItens[[#This Row],[Edital]],tEditais[Edital],0)),"")</f>
        <v>FUNDO MUNICIPAL DE SAUDE DE CAMOCIM DE SAO FELIX</v>
      </c>
      <c r="H4596" t="str">
        <f>IFERROR(INDEX(tEditais[UF],MATCH(tItens[[#This Row],[Edital]],tEditais[Edital],0)),"")</f>
        <v>PE</v>
      </c>
      <c r="I4596" s="11">
        <f>IFERROR(INDEX(tEditais[Encerramento],MATCH(tItens[[#This Row],[Edital]],tEditais[Edital],0)),"")</f>
        <v>46308.333333333336</v>
      </c>
      <c r="J4596" t="str">
        <f>IFERROR(INDEX(tProdutos[Classe],MATCH(tItens[[#This Row],[Produto]],tProdutos[Produto],0)),"produto não cadastrado")</f>
        <v>DISPUTADO</v>
      </c>
      <c r="K4596" s="12">
        <f>tItens[[#This Row],[Qtd]]*tItens[[#This Row],[Vlr unit]]</f>
        <v>1785</v>
      </c>
      <c r="L4596" s="6">
        <f>IFERROR(IF(INDEX(tProdutos[Desconto homologado],MATCH(tItens[[#This Row],[Produto]],tProdutos[Produto],0))="",DescontoPadrao,INDEX(tProdutos[Desconto homologado],MATCH(tItens[[#This Row],[Produto]],tProdutos[Produto],0))),DescontoPadrao)</f>
        <v>0.37093619495691699</v>
      </c>
      <c r="M4596" s="12">
        <f>tItens[[#This Row],[Valor]]*(1-tItens[[#This Row],[Desconto]])</f>
        <v>1122.8788920019031</v>
      </c>
      <c r="N4596" t="str">
        <f>IFERROR(INDEX(tProdutos[Foco],MATCH(tItens[[#This Row],[Produto]],tProdutos[Produto],0)),"Não")</f>
        <v>Não</v>
      </c>
      <c r="O4596" t="str">
        <f>IFERROR(INDEX(tEditais[SRP],MATCH(tItens[[#This Row],[Edital]],tEditais[Edital],0)),"Não")</f>
        <v>Sim</v>
      </c>
      <c r="P4596" s="4">
        <f>IF(COUNTIFS(INDEX(tItens[Edital],1):tItens[[#This Row],[Edital]],tItens[[#This Row],[Edital]],INDEX(tItens[Produto],1):tItens[[#This Row],[Produto]],tItens[[#This Row],[Produto]])=1,1,0)</f>
        <v>1</v>
      </c>
    </row>
    <row r="4597" spans="1:16" x14ac:dyDescent="0.25">
      <c r="A4597" t="s">
        <v>1861</v>
      </c>
      <c r="B4597">
        <v>117</v>
      </c>
      <c r="C4597" t="s">
        <v>7432</v>
      </c>
      <c r="D4597" t="s">
        <v>339</v>
      </c>
      <c r="E4597" s="13">
        <v>15000</v>
      </c>
      <c r="F4597" s="12">
        <v>1.88</v>
      </c>
      <c r="G4597" t="str">
        <f>IFERROR(INDEX(tEditais[Órgão],MATCH(tItens[[#This Row],[Edital]],tEditais[Edital],0)),"")</f>
        <v>FUNDO MUNICIPAL DE SAUDE DE CAMOCIM DE SAO FELIX</v>
      </c>
      <c r="H4597" t="str">
        <f>IFERROR(INDEX(tEditais[UF],MATCH(tItens[[#This Row],[Edital]],tEditais[Edital],0)),"")</f>
        <v>PE</v>
      </c>
      <c r="I4597" s="11">
        <f>IFERROR(INDEX(tEditais[Encerramento],MATCH(tItens[[#This Row],[Edital]],tEditais[Edital],0)),"")</f>
        <v>46308.333333333336</v>
      </c>
      <c r="J4597" t="str">
        <f>IFERROR(INDEX(tProdutos[Classe],MATCH(tItens[[#This Row],[Produto]],tProdutos[Produto],0)),"produto não cadastrado")</f>
        <v>FORA</v>
      </c>
      <c r="K4597" s="12">
        <f>tItens[[#This Row],[Qtd]]*tItens[[#This Row],[Vlr unit]]</f>
        <v>28200</v>
      </c>
      <c r="L4597" s="6">
        <f>IFERROR(IF(INDEX(tProdutos[Desconto homologado],MATCH(tItens[[#This Row],[Produto]],tProdutos[Produto],0))="",DescontoPadrao,INDEX(tProdutos[Desconto homologado],MATCH(tItens[[#This Row],[Produto]],tProdutos[Produto],0))),DescontoPadrao)</f>
        <v>0.35388629091804102</v>
      </c>
      <c r="M4597" s="12">
        <f>tItens[[#This Row],[Valor]]*(1-tItens[[#This Row],[Desconto]])</f>
        <v>18220.406596111243</v>
      </c>
      <c r="N4597" t="str">
        <f>IFERROR(INDEX(tProdutos[Foco],MATCH(tItens[[#This Row],[Produto]],tProdutos[Produto],0)),"Não")</f>
        <v>Não</v>
      </c>
      <c r="O4597" t="str">
        <f>IFERROR(INDEX(tEditais[SRP],MATCH(tItens[[#This Row],[Edital]],tEditais[Edital],0)),"Não")</f>
        <v>Sim</v>
      </c>
      <c r="P4597" s="4">
        <f>IF(COUNTIFS(INDEX(tItens[Edital],1):tItens[[#This Row],[Edital]],tItens[[#This Row],[Edital]],INDEX(tItens[Produto],1):tItens[[#This Row],[Produto]],tItens[[#This Row],[Produto]])=1,1,0)</f>
        <v>1</v>
      </c>
    </row>
    <row r="4598" spans="1:16" x14ac:dyDescent="0.25">
      <c r="A4598" t="s">
        <v>1861</v>
      </c>
      <c r="B4598">
        <v>118</v>
      </c>
      <c r="C4598" t="s">
        <v>7433</v>
      </c>
      <c r="D4598" t="s">
        <v>339</v>
      </c>
      <c r="E4598" s="13">
        <v>15000</v>
      </c>
      <c r="F4598" s="12">
        <v>2</v>
      </c>
      <c r="G4598" t="str">
        <f>IFERROR(INDEX(tEditais[Órgão],MATCH(tItens[[#This Row],[Edital]],tEditais[Edital],0)),"")</f>
        <v>FUNDO MUNICIPAL DE SAUDE DE CAMOCIM DE SAO FELIX</v>
      </c>
      <c r="H4598" t="str">
        <f>IFERROR(INDEX(tEditais[UF],MATCH(tItens[[#This Row],[Edital]],tEditais[Edital],0)),"")</f>
        <v>PE</v>
      </c>
      <c r="I4598" s="11">
        <f>IFERROR(INDEX(tEditais[Encerramento],MATCH(tItens[[#This Row],[Edital]],tEditais[Edital],0)),"")</f>
        <v>46308.333333333336</v>
      </c>
      <c r="J4598" t="str">
        <f>IFERROR(INDEX(tProdutos[Classe],MATCH(tItens[[#This Row],[Produto]],tProdutos[Produto],0)),"produto não cadastrado")</f>
        <v>FORA</v>
      </c>
      <c r="K4598" s="12">
        <f>tItens[[#This Row],[Qtd]]*tItens[[#This Row],[Vlr unit]]</f>
        <v>30000</v>
      </c>
      <c r="L4598" s="6">
        <f>IFERROR(IF(INDEX(tProdutos[Desconto homologado],MATCH(tItens[[#This Row],[Produto]],tProdutos[Produto],0))="",DescontoPadrao,INDEX(tProdutos[Desconto homologado],MATCH(tItens[[#This Row],[Produto]],tProdutos[Produto],0))),DescontoPadrao)</f>
        <v>0.35388629091804102</v>
      </c>
      <c r="M4598" s="12">
        <f>tItens[[#This Row],[Valor]]*(1-tItens[[#This Row],[Desconto]])</f>
        <v>19383.411272458769</v>
      </c>
      <c r="N4598" t="str">
        <f>IFERROR(INDEX(tProdutos[Foco],MATCH(tItens[[#This Row],[Produto]],tProdutos[Produto],0)),"Não")</f>
        <v>Não</v>
      </c>
      <c r="O4598" t="str">
        <f>IFERROR(INDEX(tEditais[SRP],MATCH(tItens[[#This Row],[Edital]],tEditais[Edital],0)),"Não")</f>
        <v>Sim</v>
      </c>
      <c r="P4598" s="4">
        <f>IF(COUNTIFS(INDEX(tItens[Edital],1):tItens[[#This Row],[Edital]],tItens[[#This Row],[Edital]],INDEX(tItens[Produto],1):tItens[[#This Row],[Produto]],tItens[[#This Row],[Produto]])=1,1,0)</f>
        <v>0</v>
      </c>
    </row>
    <row r="4599" spans="1:16" x14ac:dyDescent="0.25">
      <c r="A4599" t="s">
        <v>1861</v>
      </c>
      <c r="B4599">
        <v>119</v>
      </c>
      <c r="C4599" t="s">
        <v>7434</v>
      </c>
      <c r="D4599" t="s">
        <v>339</v>
      </c>
      <c r="E4599" s="13">
        <v>3000</v>
      </c>
      <c r="F4599" s="12">
        <v>2.0699999999999998</v>
      </c>
      <c r="G4599" t="str">
        <f>IFERROR(INDEX(tEditais[Órgão],MATCH(tItens[[#This Row],[Edital]],tEditais[Edital],0)),"")</f>
        <v>FUNDO MUNICIPAL DE SAUDE DE CAMOCIM DE SAO FELIX</v>
      </c>
      <c r="H4599" t="str">
        <f>IFERROR(INDEX(tEditais[UF],MATCH(tItens[[#This Row],[Edital]],tEditais[Edital],0)),"")</f>
        <v>PE</v>
      </c>
      <c r="I4599" s="11">
        <f>IFERROR(INDEX(tEditais[Encerramento],MATCH(tItens[[#This Row],[Edital]],tEditais[Edital],0)),"")</f>
        <v>46308.333333333336</v>
      </c>
      <c r="J4599" t="str">
        <f>IFERROR(INDEX(tProdutos[Classe],MATCH(tItens[[#This Row],[Produto]],tProdutos[Produto],0)),"produto não cadastrado")</f>
        <v>FORA</v>
      </c>
      <c r="K4599" s="12">
        <f>tItens[[#This Row],[Qtd]]*tItens[[#This Row],[Vlr unit]]</f>
        <v>6209.9999999999991</v>
      </c>
      <c r="L4599" s="6">
        <f>IFERROR(IF(INDEX(tProdutos[Desconto homologado],MATCH(tItens[[#This Row],[Produto]],tProdutos[Produto],0))="",DescontoPadrao,INDEX(tProdutos[Desconto homologado],MATCH(tItens[[#This Row],[Produto]],tProdutos[Produto],0))),DescontoPadrao)</f>
        <v>0.35388629091804102</v>
      </c>
      <c r="M4599" s="12">
        <f>tItens[[#This Row],[Valor]]*(1-tItens[[#This Row],[Desconto]])</f>
        <v>4012.3661333989648</v>
      </c>
      <c r="N4599" t="str">
        <f>IFERROR(INDEX(tProdutos[Foco],MATCH(tItens[[#This Row],[Produto]],tProdutos[Produto],0)),"Não")</f>
        <v>Não</v>
      </c>
      <c r="O4599" t="str">
        <f>IFERROR(INDEX(tEditais[SRP],MATCH(tItens[[#This Row],[Edital]],tEditais[Edital],0)),"Não")</f>
        <v>Sim</v>
      </c>
      <c r="P4599" s="4">
        <f>IF(COUNTIFS(INDEX(tItens[Edital],1):tItens[[#This Row],[Edital]],tItens[[#This Row],[Edital]],INDEX(tItens[Produto],1):tItens[[#This Row],[Produto]],tItens[[#This Row],[Produto]])=1,1,0)</f>
        <v>0</v>
      </c>
    </row>
    <row r="4600" spans="1:16" x14ac:dyDescent="0.25">
      <c r="A4600" t="s">
        <v>1861</v>
      </c>
      <c r="B4600">
        <v>120</v>
      </c>
      <c r="C4600" t="s">
        <v>7435</v>
      </c>
      <c r="D4600" t="s">
        <v>339</v>
      </c>
      <c r="E4600" s="13">
        <v>3000</v>
      </c>
      <c r="F4600" s="12">
        <v>2.21</v>
      </c>
      <c r="G4600" t="str">
        <f>IFERROR(INDEX(tEditais[Órgão],MATCH(tItens[[#This Row],[Edital]],tEditais[Edital],0)),"")</f>
        <v>FUNDO MUNICIPAL DE SAUDE DE CAMOCIM DE SAO FELIX</v>
      </c>
      <c r="H4600" t="str">
        <f>IFERROR(INDEX(tEditais[UF],MATCH(tItens[[#This Row],[Edital]],tEditais[Edital],0)),"")</f>
        <v>PE</v>
      </c>
      <c r="I4600" s="11">
        <f>IFERROR(INDEX(tEditais[Encerramento],MATCH(tItens[[#This Row],[Edital]],tEditais[Edital],0)),"")</f>
        <v>46308.333333333336</v>
      </c>
      <c r="J4600" t="str">
        <f>IFERROR(INDEX(tProdutos[Classe],MATCH(tItens[[#This Row],[Produto]],tProdutos[Produto],0)),"produto não cadastrado")</f>
        <v>FORA</v>
      </c>
      <c r="K4600" s="12">
        <f>tItens[[#This Row],[Qtd]]*tItens[[#This Row],[Vlr unit]]</f>
        <v>6630</v>
      </c>
      <c r="L4600" s="6">
        <f>IFERROR(IF(INDEX(tProdutos[Desconto homologado],MATCH(tItens[[#This Row],[Produto]],tProdutos[Produto],0))="",DescontoPadrao,INDEX(tProdutos[Desconto homologado],MATCH(tItens[[#This Row],[Produto]],tProdutos[Produto],0))),DescontoPadrao)</f>
        <v>0.35388629091804102</v>
      </c>
      <c r="M4600" s="12">
        <f>tItens[[#This Row],[Valor]]*(1-tItens[[#This Row],[Desconto]])</f>
        <v>4283.7338912133882</v>
      </c>
      <c r="N4600" t="str">
        <f>IFERROR(INDEX(tProdutos[Foco],MATCH(tItens[[#This Row],[Produto]],tProdutos[Produto],0)),"Não")</f>
        <v>Não</v>
      </c>
      <c r="O4600" t="str">
        <f>IFERROR(INDEX(tEditais[SRP],MATCH(tItens[[#This Row],[Edital]],tEditais[Edital],0)),"Não")</f>
        <v>Sim</v>
      </c>
      <c r="P4600" s="4">
        <f>IF(COUNTIFS(INDEX(tItens[Edital],1):tItens[[#This Row],[Edital]],tItens[[#This Row],[Edital]],INDEX(tItens[Produto],1):tItens[[#This Row],[Produto]],tItens[[#This Row],[Produto]])=1,1,0)</f>
        <v>0</v>
      </c>
    </row>
    <row r="4601" spans="1:16" x14ac:dyDescent="0.25">
      <c r="A4601" t="s">
        <v>1861</v>
      </c>
      <c r="B4601">
        <v>124</v>
      </c>
      <c r="C4601" t="s">
        <v>7436</v>
      </c>
      <c r="D4601" t="s">
        <v>134</v>
      </c>
      <c r="E4601" s="13">
        <v>3000</v>
      </c>
      <c r="F4601" s="12">
        <v>5.16</v>
      </c>
      <c r="G4601" t="str">
        <f>IFERROR(INDEX(tEditais[Órgão],MATCH(tItens[[#This Row],[Edital]],tEditais[Edital],0)),"")</f>
        <v>FUNDO MUNICIPAL DE SAUDE DE CAMOCIM DE SAO FELIX</v>
      </c>
      <c r="H4601" t="str">
        <f>IFERROR(INDEX(tEditais[UF],MATCH(tItens[[#This Row],[Edital]],tEditais[Edital],0)),"")</f>
        <v>PE</v>
      </c>
      <c r="I4601" s="11">
        <f>IFERROR(INDEX(tEditais[Encerramento],MATCH(tItens[[#This Row],[Edital]],tEditais[Edital],0)),"")</f>
        <v>46308.333333333336</v>
      </c>
      <c r="J4601" t="str">
        <f>IFERROR(INDEX(tProdutos[Classe],MATCH(tItens[[#This Row],[Produto]],tProdutos[Produto],0)),"produto não cadastrado")</f>
        <v>DISPUTADO</v>
      </c>
      <c r="K4601" s="12">
        <f>tItens[[#This Row],[Qtd]]*tItens[[#This Row],[Vlr unit]]</f>
        <v>15480</v>
      </c>
      <c r="L4601" s="6">
        <f>IFERROR(IF(INDEX(tProdutos[Desconto homologado],MATCH(tItens[[#This Row],[Produto]],tProdutos[Produto],0))="",DescontoPadrao,INDEX(tProdutos[Desconto homologado],MATCH(tItens[[#This Row],[Produto]],tProdutos[Produto],0))),DescontoPadrao)</f>
        <v>0.38</v>
      </c>
      <c r="M4601" s="12">
        <f>tItens[[#This Row],[Valor]]*(1-tItens[[#This Row],[Desconto]])</f>
        <v>9597.6</v>
      </c>
      <c r="N4601" t="str">
        <f>IFERROR(INDEX(tProdutos[Foco],MATCH(tItens[[#This Row],[Produto]],tProdutos[Produto],0)),"Não")</f>
        <v>Sim</v>
      </c>
      <c r="O4601" t="str">
        <f>IFERROR(INDEX(tEditais[SRP],MATCH(tItens[[#This Row],[Edital]],tEditais[Edital],0)),"Não")</f>
        <v>Sim</v>
      </c>
      <c r="P4601" s="4">
        <f>IF(COUNTIFS(INDEX(tItens[Edital],1):tItens[[#This Row],[Edital]],tItens[[#This Row],[Edital]],INDEX(tItens[Produto],1):tItens[[#This Row],[Produto]],tItens[[#This Row],[Produto]])=1,1,0)</f>
        <v>1</v>
      </c>
    </row>
    <row r="4602" spans="1:16" x14ac:dyDescent="0.25">
      <c r="A4602" t="s">
        <v>1861</v>
      </c>
      <c r="B4602">
        <v>125</v>
      </c>
      <c r="C4602" t="s">
        <v>7437</v>
      </c>
      <c r="D4602" t="s">
        <v>134</v>
      </c>
      <c r="E4602" s="13">
        <v>4000</v>
      </c>
      <c r="F4602" s="12">
        <v>3.89</v>
      </c>
      <c r="G4602" t="str">
        <f>IFERROR(INDEX(tEditais[Órgão],MATCH(tItens[[#This Row],[Edital]],tEditais[Edital],0)),"")</f>
        <v>FUNDO MUNICIPAL DE SAUDE DE CAMOCIM DE SAO FELIX</v>
      </c>
      <c r="H4602" t="str">
        <f>IFERROR(INDEX(tEditais[UF],MATCH(tItens[[#This Row],[Edital]],tEditais[Edital],0)),"")</f>
        <v>PE</v>
      </c>
      <c r="I4602" s="11">
        <f>IFERROR(INDEX(tEditais[Encerramento],MATCH(tItens[[#This Row],[Edital]],tEditais[Edital],0)),"")</f>
        <v>46308.333333333336</v>
      </c>
      <c r="J4602" t="str">
        <f>IFERROR(INDEX(tProdutos[Classe],MATCH(tItens[[#This Row],[Produto]],tProdutos[Produto],0)),"produto não cadastrado")</f>
        <v>DISPUTADO</v>
      </c>
      <c r="K4602" s="12">
        <f>tItens[[#This Row],[Qtd]]*tItens[[#This Row],[Vlr unit]]</f>
        <v>15560</v>
      </c>
      <c r="L4602" s="6">
        <f>IFERROR(IF(INDEX(tProdutos[Desconto homologado],MATCH(tItens[[#This Row],[Produto]],tProdutos[Produto],0))="",DescontoPadrao,INDEX(tProdutos[Desconto homologado],MATCH(tItens[[#This Row],[Produto]],tProdutos[Produto],0))),DescontoPadrao)</f>
        <v>0.38</v>
      </c>
      <c r="M4602" s="12">
        <f>tItens[[#This Row],[Valor]]*(1-tItens[[#This Row],[Desconto]])</f>
        <v>9647.2000000000007</v>
      </c>
      <c r="N4602" t="str">
        <f>IFERROR(INDEX(tProdutos[Foco],MATCH(tItens[[#This Row],[Produto]],tProdutos[Produto],0)),"Não")</f>
        <v>Sim</v>
      </c>
      <c r="O4602" t="str">
        <f>IFERROR(INDEX(tEditais[SRP],MATCH(tItens[[#This Row],[Edital]],tEditais[Edital],0)),"Não")</f>
        <v>Sim</v>
      </c>
      <c r="P4602" s="4">
        <f>IF(COUNTIFS(INDEX(tItens[Edital],1):tItens[[#This Row],[Edital]],tItens[[#This Row],[Edital]],INDEX(tItens[Produto],1):tItens[[#This Row],[Produto]],tItens[[#This Row],[Produto]])=1,1,0)</f>
        <v>0</v>
      </c>
    </row>
    <row r="4603" spans="1:16" x14ac:dyDescent="0.25">
      <c r="A4603" t="s">
        <v>1861</v>
      </c>
      <c r="B4603">
        <v>126</v>
      </c>
      <c r="C4603" t="s">
        <v>7438</v>
      </c>
      <c r="D4603" t="s">
        <v>134</v>
      </c>
      <c r="E4603" s="13">
        <v>3000</v>
      </c>
      <c r="F4603" s="12">
        <v>2.66</v>
      </c>
      <c r="G4603" t="str">
        <f>IFERROR(INDEX(tEditais[Órgão],MATCH(tItens[[#This Row],[Edital]],tEditais[Edital],0)),"")</f>
        <v>FUNDO MUNICIPAL DE SAUDE DE CAMOCIM DE SAO FELIX</v>
      </c>
      <c r="H4603" t="str">
        <f>IFERROR(INDEX(tEditais[UF],MATCH(tItens[[#This Row],[Edital]],tEditais[Edital],0)),"")</f>
        <v>PE</v>
      </c>
      <c r="I4603" s="11">
        <f>IFERROR(INDEX(tEditais[Encerramento],MATCH(tItens[[#This Row],[Edital]],tEditais[Edital],0)),"")</f>
        <v>46308.333333333336</v>
      </c>
      <c r="J4603" t="str">
        <f>IFERROR(INDEX(tProdutos[Classe],MATCH(tItens[[#This Row],[Produto]],tProdutos[Produto],0)),"produto não cadastrado")</f>
        <v>DISPUTADO</v>
      </c>
      <c r="K4603" s="12">
        <f>tItens[[#This Row],[Qtd]]*tItens[[#This Row],[Vlr unit]]</f>
        <v>7980</v>
      </c>
      <c r="L4603" s="6">
        <f>IFERROR(IF(INDEX(tProdutos[Desconto homologado],MATCH(tItens[[#This Row],[Produto]],tProdutos[Produto],0))="",DescontoPadrao,INDEX(tProdutos[Desconto homologado],MATCH(tItens[[#This Row],[Produto]],tProdutos[Produto],0))),DescontoPadrao)</f>
        <v>0.38</v>
      </c>
      <c r="M4603" s="12">
        <f>tItens[[#This Row],[Valor]]*(1-tItens[[#This Row],[Desconto]])</f>
        <v>4947.6000000000004</v>
      </c>
      <c r="N4603" t="str">
        <f>IFERROR(INDEX(tProdutos[Foco],MATCH(tItens[[#This Row],[Produto]],tProdutos[Produto],0)),"Não")</f>
        <v>Sim</v>
      </c>
      <c r="O4603" t="str">
        <f>IFERROR(INDEX(tEditais[SRP],MATCH(tItens[[#This Row],[Edital]],tEditais[Edital],0)),"Não")</f>
        <v>Sim</v>
      </c>
      <c r="P4603" s="4">
        <f>IF(COUNTIFS(INDEX(tItens[Edital],1):tItens[[#This Row],[Edital]],tItens[[#This Row],[Edital]],INDEX(tItens[Produto],1):tItens[[#This Row],[Produto]],tItens[[#This Row],[Produto]])=1,1,0)</f>
        <v>0</v>
      </c>
    </row>
    <row r="4604" spans="1:16" x14ac:dyDescent="0.25">
      <c r="A4604" t="s">
        <v>1861</v>
      </c>
      <c r="B4604">
        <v>127</v>
      </c>
      <c r="C4604" t="s">
        <v>7439</v>
      </c>
      <c r="D4604" t="s">
        <v>56</v>
      </c>
      <c r="E4604" s="13">
        <v>100</v>
      </c>
      <c r="F4604" s="12">
        <v>26.23</v>
      </c>
      <c r="G4604" t="str">
        <f>IFERROR(INDEX(tEditais[Órgão],MATCH(tItens[[#This Row],[Edital]],tEditais[Edital],0)),"")</f>
        <v>FUNDO MUNICIPAL DE SAUDE DE CAMOCIM DE SAO FELIX</v>
      </c>
      <c r="H4604" t="str">
        <f>IFERROR(INDEX(tEditais[UF],MATCH(tItens[[#This Row],[Edital]],tEditais[Edital],0)),"")</f>
        <v>PE</v>
      </c>
      <c r="I4604" s="11">
        <f>IFERROR(INDEX(tEditais[Encerramento],MATCH(tItens[[#This Row],[Edital]],tEditais[Edital],0)),"")</f>
        <v>46308.333333333336</v>
      </c>
      <c r="J4604" t="str">
        <f>IFERROR(INDEX(tProdutos[Classe],MATCH(tItens[[#This Row],[Produto]],tProdutos[Produto],0)),"produto não cadastrado")</f>
        <v>NÚCLEO</v>
      </c>
      <c r="K4604" s="12">
        <f>tItens[[#This Row],[Qtd]]*tItens[[#This Row],[Vlr unit]]</f>
        <v>2623</v>
      </c>
      <c r="L4604" s="6">
        <f>IFERROR(IF(INDEX(tProdutos[Desconto homologado],MATCH(tItens[[#This Row],[Produto]],tProdutos[Produto],0))="",DescontoPadrao,INDEX(tProdutos[Desconto homologado],MATCH(tItens[[#This Row],[Produto]],tProdutos[Produto],0))),DescontoPadrao)</f>
        <v>0.34</v>
      </c>
      <c r="M4604" s="12">
        <f>tItens[[#This Row],[Valor]]*(1-tItens[[#This Row],[Desconto]])</f>
        <v>1731.1799999999998</v>
      </c>
      <c r="N4604" t="str">
        <f>IFERROR(INDEX(tProdutos[Foco],MATCH(tItens[[#This Row],[Produto]],tProdutos[Produto],0)),"Não")</f>
        <v>Sim</v>
      </c>
      <c r="O4604" t="str">
        <f>IFERROR(INDEX(tEditais[SRP],MATCH(tItens[[#This Row],[Edital]],tEditais[Edital],0)),"Não")</f>
        <v>Sim</v>
      </c>
      <c r="P4604" s="4">
        <f>IF(COUNTIFS(INDEX(tItens[Edital],1):tItens[[#This Row],[Edital]],tItens[[#This Row],[Edital]],INDEX(tItens[Produto],1):tItens[[#This Row],[Produto]],tItens[[#This Row],[Produto]])=1,1,0)</f>
        <v>1</v>
      </c>
    </row>
    <row r="4605" spans="1:16" x14ac:dyDescent="0.25">
      <c r="A4605" t="s">
        <v>1861</v>
      </c>
      <c r="B4605">
        <v>128</v>
      </c>
      <c r="C4605" t="s">
        <v>7440</v>
      </c>
      <c r="D4605" t="s">
        <v>56</v>
      </c>
      <c r="E4605" s="13">
        <v>100</v>
      </c>
      <c r="F4605" s="12">
        <v>21.06</v>
      </c>
      <c r="G4605" t="str">
        <f>IFERROR(INDEX(tEditais[Órgão],MATCH(tItens[[#This Row],[Edital]],tEditais[Edital],0)),"")</f>
        <v>FUNDO MUNICIPAL DE SAUDE DE CAMOCIM DE SAO FELIX</v>
      </c>
      <c r="H4605" t="str">
        <f>IFERROR(INDEX(tEditais[UF],MATCH(tItens[[#This Row],[Edital]],tEditais[Edital],0)),"")</f>
        <v>PE</v>
      </c>
      <c r="I4605" s="11">
        <f>IFERROR(INDEX(tEditais[Encerramento],MATCH(tItens[[#This Row],[Edital]],tEditais[Edital],0)),"")</f>
        <v>46308.333333333336</v>
      </c>
      <c r="J4605" t="str">
        <f>IFERROR(INDEX(tProdutos[Classe],MATCH(tItens[[#This Row],[Produto]],tProdutos[Produto],0)),"produto não cadastrado")</f>
        <v>NÚCLEO</v>
      </c>
      <c r="K4605" s="12">
        <f>tItens[[#This Row],[Qtd]]*tItens[[#This Row],[Vlr unit]]</f>
        <v>2106</v>
      </c>
      <c r="L4605" s="6">
        <f>IFERROR(IF(INDEX(tProdutos[Desconto homologado],MATCH(tItens[[#This Row],[Produto]],tProdutos[Produto],0))="",DescontoPadrao,INDEX(tProdutos[Desconto homologado],MATCH(tItens[[#This Row],[Produto]],tProdutos[Produto],0))),DescontoPadrao)</f>
        <v>0.34</v>
      </c>
      <c r="M4605" s="12">
        <f>tItens[[#This Row],[Valor]]*(1-tItens[[#This Row],[Desconto]])</f>
        <v>1389.9599999999998</v>
      </c>
      <c r="N4605" t="str">
        <f>IFERROR(INDEX(tProdutos[Foco],MATCH(tItens[[#This Row],[Produto]],tProdutos[Produto],0)),"Não")</f>
        <v>Sim</v>
      </c>
      <c r="O4605" t="str">
        <f>IFERROR(INDEX(tEditais[SRP],MATCH(tItens[[#This Row],[Edital]],tEditais[Edital],0)),"Não")</f>
        <v>Sim</v>
      </c>
      <c r="P4605" s="4">
        <f>IF(COUNTIFS(INDEX(tItens[Edital],1):tItens[[#This Row],[Edital]],tItens[[#This Row],[Edital]],INDEX(tItens[Produto],1):tItens[[#This Row],[Produto]],tItens[[#This Row],[Produto]])=1,1,0)</f>
        <v>0</v>
      </c>
    </row>
    <row r="4606" spans="1:16" x14ac:dyDescent="0.25">
      <c r="A4606" t="s">
        <v>1861</v>
      </c>
      <c r="B4606">
        <v>129</v>
      </c>
      <c r="C4606" t="s">
        <v>7441</v>
      </c>
      <c r="D4606" t="s">
        <v>56</v>
      </c>
      <c r="E4606" s="13">
        <v>100</v>
      </c>
      <c r="F4606" s="12">
        <v>24.92</v>
      </c>
      <c r="G4606" t="str">
        <f>IFERROR(INDEX(tEditais[Órgão],MATCH(tItens[[#This Row],[Edital]],tEditais[Edital],0)),"")</f>
        <v>FUNDO MUNICIPAL DE SAUDE DE CAMOCIM DE SAO FELIX</v>
      </c>
      <c r="H4606" t="str">
        <f>IFERROR(INDEX(tEditais[UF],MATCH(tItens[[#This Row],[Edital]],tEditais[Edital],0)),"")</f>
        <v>PE</v>
      </c>
      <c r="I4606" s="11">
        <f>IFERROR(INDEX(tEditais[Encerramento],MATCH(tItens[[#This Row],[Edital]],tEditais[Edital],0)),"")</f>
        <v>46308.333333333336</v>
      </c>
      <c r="J4606" t="str">
        <f>IFERROR(INDEX(tProdutos[Classe],MATCH(tItens[[#This Row],[Produto]],tProdutos[Produto],0)),"produto não cadastrado")</f>
        <v>NÚCLEO</v>
      </c>
      <c r="K4606" s="12">
        <f>tItens[[#This Row],[Qtd]]*tItens[[#This Row],[Vlr unit]]</f>
        <v>2492</v>
      </c>
      <c r="L4606" s="6">
        <f>IFERROR(IF(INDEX(tProdutos[Desconto homologado],MATCH(tItens[[#This Row],[Produto]],tProdutos[Produto],0))="",DescontoPadrao,INDEX(tProdutos[Desconto homologado],MATCH(tItens[[#This Row],[Produto]],tProdutos[Produto],0))),DescontoPadrao)</f>
        <v>0.34</v>
      </c>
      <c r="M4606" s="12">
        <f>tItens[[#This Row],[Valor]]*(1-tItens[[#This Row],[Desconto]])</f>
        <v>1644.7199999999998</v>
      </c>
      <c r="N4606" t="str">
        <f>IFERROR(INDEX(tProdutos[Foco],MATCH(tItens[[#This Row],[Produto]],tProdutos[Produto],0)),"Não")</f>
        <v>Sim</v>
      </c>
      <c r="O4606" t="str">
        <f>IFERROR(INDEX(tEditais[SRP],MATCH(tItens[[#This Row],[Edital]],tEditais[Edital],0)),"Não")</f>
        <v>Sim</v>
      </c>
      <c r="P4606" s="4">
        <f>IF(COUNTIFS(INDEX(tItens[Edital],1):tItens[[#This Row],[Edital]],tItens[[#This Row],[Edital]],INDEX(tItens[Produto],1):tItens[[#This Row],[Produto]],tItens[[#This Row],[Produto]])=1,1,0)</f>
        <v>0</v>
      </c>
    </row>
    <row r="4607" spans="1:16" x14ac:dyDescent="0.25">
      <c r="A4607" t="s">
        <v>1861</v>
      </c>
      <c r="B4607">
        <v>130</v>
      </c>
      <c r="C4607" t="s">
        <v>7442</v>
      </c>
      <c r="D4607" t="s">
        <v>56</v>
      </c>
      <c r="E4607" s="13">
        <v>100</v>
      </c>
      <c r="F4607" s="12">
        <v>24.02</v>
      </c>
      <c r="G4607" t="str">
        <f>IFERROR(INDEX(tEditais[Órgão],MATCH(tItens[[#This Row],[Edital]],tEditais[Edital],0)),"")</f>
        <v>FUNDO MUNICIPAL DE SAUDE DE CAMOCIM DE SAO FELIX</v>
      </c>
      <c r="H4607" t="str">
        <f>IFERROR(INDEX(tEditais[UF],MATCH(tItens[[#This Row],[Edital]],tEditais[Edital],0)),"")</f>
        <v>PE</v>
      </c>
      <c r="I4607" s="11">
        <f>IFERROR(INDEX(tEditais[Encerramento],MATCH(tItens[[#This Row],[Edital]],tEditais[Edital],0)),"")</f>
        <v>46308.333333333336</v>
      </c>
      <c r="J4607" t="str">
        <f>IFERROR(INDEX(tProdutos[Classe],MATCH(tItens[[#This Row],[Produto]],tProdutos[Produto],0)),"produto não cadastrado")</f>
        <v>NÚCLEO</v>
      </c>
      <c r="K4607" s="12">
        <f>tItens[[#This Row],[Qtd]]*tItens[[#This Row],[Vlr unit]]</f>
        <v>2402</v>
      </c>
      <c r="L4607" s="6">
        <f>IFERROR(IF(INDEX(tProdutos[Desconto homologado],MATCH(tItens[[#This Row],[Produto]],tProdutos[Produto],0))="",DescontoPadrao,INDEX(tProdutos[Desconto homologado],MATCH(tItens[[#This Row],[Produto]],tProdutos[Produto],0))),DescontoPadrao)</f>
        <v>0.34</v>
      </c>
      <c r="M4607" s="12">
        <f>tItens[[#This Row],[Valor]]*(1-tItens[[#This Row],[Desconto]])</f>
        <v>1585.3199999999997</v>
      </c>
      <c r="N4607" t="str">
        <f>IFERROR(INDEX(tProdutos[Foco],MATCH(tItens[[#This Row],[Produto]],tProdutos[Produto],0)),"Não")</f>
        <v>Sim</v>
      </c>
      <c r="O4607" t="str">
        <f>IFERROR(INDEX(tEditais[SRP],MATCH(tItens[[#This Row],[Edital]],tEditais[Edital],0)),"Não")</f>
        <v>Sim</v>
      </c>
      <c r="P4607" s="4">
        <f>IF(COUNTIFS(INDEX(tItens[Edital],1):tItens[[#This Row],[Edital]],tItens[[#This Row],[Edital]],INDEX(tItens[Produto],1):tItens[[#This Row],[Produto]],tItens[[#This Row],[Produto]])=1,1,0)</f>
        <v>0</v>
      </c>
    </row>
    <row r="4608" spans="1:16" x14ac:dyDescent="0.25">
      <c r="A4608" t="s">
        <v>1861</v>
      </c>
      <c r="B4608">
        <v>132</v>
      </c>
      <c r="C4608" t="s">
        <v>7443</v>
      </c>
      <c r="D4608" t="s">
        <v>277</v>
      </c>
      <c r="E4608" s="13">
        <v>1000</v>
      </c>
      <c r="F4608" s="12">
        <v>10.16</v>
      </c>
      <c r="G4608" t="str">
        <f>IFERROR(INDEX(tEditais[Órgão],MATCH(tItens[[#This Row],[Edital]],tEditais[Edital],0)),"")</f>
        <v>FUNDO MUNICIPAL DE SAUDE DE CAMOCIM DE SAO FELIX</v>
      </c>
      <c r="H4608" t="str">
        <f>IFERROR(INDEX(tEditais[UF],MATCH(tItens[[#This Row],[Edital]],tEditais[Edital],0)),"")</f>
        <v>PE</v>
      </c>
      <c r="I4608" s="11">
        <f>IFERROR(INDEX(tEditais[Encerramento],MATCH(tItens[[#This Row],[Edital]],tEditais[Edital],0)),"")</f>
        <v>46308.333333333336</v>
      </c>
      <c r="J4608" t="str">
        <f>IFERROR(INDEX(tProdutos[Classe],MATCH(tItens[[#This Row],[Produto]],tProdutos[Produto],0)),"produto não cadastrado")</f>
        <v>DISPUTADO</v>
      </c>
      <c r="K4608" s="12">
        <f>tItens[[#This Row],[Qtd]]*tItens[[#This Row],[Vlr unit]]</f>
        <v>10160</v>
      </c>
      <c r="L4608" s="6">
        <f>IFERROR(IF(INDEX(tProdutos[Desconto homologado],MATCH(tItens[[#This Row],[Produto]],tProdutos[Produto],0))="",DescontoPadrao,INDEX(tProdutos[Desconto homologado],MATCH(tItens[[#This Row],[Produto]],tProdutos[Produto],0))),DescontoPadrao)</f>
        <v>0.50460666194188497</v>
      </c>
      <c r="M4608" s="12">
        <f>tItens[[#This Row],[Valor]]*(1-tItens[[#This Row],[Desconto]])</f>
        <v>5033.1963146704484</v>
      </c>
      <c r="N4608" t="str">
        <f>IFERROR(INDEX(tProdutos[Foco],MATCH(tItens[[#This Row],[Produto]],tProdutos[Produto],0)),"Não")</f>
        <v>Não</v>
      </c>
      <c r="O4608" t="str">
        <f>IFERROR(INDEX(tEditais[SRP],MATCH(tItens[[#This Row],[Edital]],tEditais[Edital],0)),"Não")</f>
        <v>Sim</v>
      </c>
      <c r="P4608" s="4">
        <f>IF(COUNTIFS(INDEX(tItens[Edital],1):tItens[[#This Row],[Edital]],tItens[[#This Row],[Edital]],INDEX(tItens[Produto],1):tItens[[#This Row],[Produto]],tItens[[#This Row],[Produto]])=1,1,0)</f>
        <v>1</v>
      </c>
    </row>
    <row r="4609" spans="1:16" x14ac:dyDescent="0.25">
      <c r="A4609" t="s">
        <v>1861</v>
      </c>
      <c r="B4609">
        <v>133</v>
      </c>
      <c r="C4609" t="s">
        <v>7444</v>
      </c>
      <c r="D4609" t="s">
        <v>267</v>
      </c>
      <c r="E4609" s="13">
        <v>800</v>
      </c>
      <c r="F4609" s="12">
        <v>11.27</v>
      </c>
      <c r="G4609" t="str">
        <f>IFERROR(INDEX(tEditais[Órgão],MATCH(tItens[[#This Row],[Edital]],tEditais[Edital],0)),"")</f>
        <v>FUNDO MUNICIPAL DE SAUDE DE CAMOCIM DE SAO FELIX</v>
      </c>
      <c r="H4609" t="str">
        <f>IFERROR(INDEX(tEditais[UF],MATCH(tItens[[#This Row],[Edital]],tEditais[Edital],0)),"")</f>
        <v>PE</v>
      </c>
      <c r="I4609" s="11">
        <f>IFERROR(INDEX(tEditais[Encerramento],MATCH(tItens[[#This Row],[Edital]],tEditais[Edital],0)),"")</f>
        <v>46308.333333333336</v>
      </c>
      <c r="J4609" t="str">
        <f>IFERROR(INDEX(tProdutos[Classe],MATCH(tItens[[#This Row],[Produto]],tProdutos[Produto],0)),"produto não cadastrado")</f>
        <v>FORA</v>
      </c>
      <c r="K4609" s="12">
        <f>tItens[[#This Row],[Qtd]]*tItens[[#This Row],[Vlr unit]]</f>
        <v>9016</v>
      </c>
      <c r="L4609" s="6">
        <f>IFERROR(IF(INDEX(tProdutos[Desconto homologado],MATCH(tItens[[#This Row],[Produto]],tProdutos[Produto],0))="",DescontoPadrao,INDEX(tProdutos[Desconto homologado],MATCH(tItens[[#This Row],[Produto]],tProdutos[Produto],0))),DescontoPadrao)</f>
        <v>0.19963672657401599</v>
      </c>
      <c r="M4609" s="12">
        <f>tItens[[#This Row],[Valor]]*(1-tItens[[#This Row],[Desconto]])</f>
        <v>7216.0752732086721</v>
      </c>
      <c r="N4609" t="str">
        <f>IFERROR(INDEX(tProdutos[Foco],MATCH(tItens[[#This Row],[Produto]],tProdutos[Produto],0)),"Não")</f>
        <v>Não</v>
      </c>
      <c r="O4609" t="str">
        <f>IFERROR(INDEX(tEditais[SRP],MATCH(tItens[[#This Row],[Edital]],tEditais[Edital],0)),"Não")</f>
        <v>Sim</v>
      </c>
      <c r="P4609" s="4">
        <f>IF(COUNTIFS(INDEX(tItens[Edital],1):tItens[[#This Row],[Edital]],tItens[[#This Row],[Edital]],INDEX(tItens[Produto],1):tItens[[#This Row],[Produto]],tItens[[#This Row],[Produto]])=1,1,0)</f>
        <v>1</v>
      </c>
    </row>
    <row r="4610" spans="1:16" x14ac:dyDescent="0.25">
      <c r="A4610" t="s">
        <v>1861</v>
      </c>
      <c r="B4610">
        <v>134</v>
      </c>
      <c r="C4610" t="s">
        <v>7445</v>
      </c>
      <c r="D4610" t="s">
        <v>251</v>
      </c>
      <c r="E4610" s="13">
        <v>2000</v>
      </c>
      <c r="F4610" s="12">
        <v>21.09</v>
      </c>
      <c r="G4610" t="str">
        <f>IFERROR(INDEX(tEditais[Órgão],MATCH(tItens[[#This Row],[Edital]],tEditais[Edital],0)),"")</f>
        <v>FUNDO MUNICIPAL DE SAUDE DE CAMOCIM DE SAO FELIX</v>
      </c>
      <c r="H4610" t="str">
        <f>IFERROR(INDEX(tEditais[UF],MATCH(tItens[[#This Row],[Edital]],tEditais[Edital],0)),"")</f>
        <v>PE</v>
      </c>
      <c r="I4610" s="11">
        <f>IFERROR(INDEX(tEditais[Encerramento],MATCH(tItens[[#This Row],[Edital]],tEditais[Edital],0)),"")</f>
        <v>46308.333333333336</v>
      </c>
      <c r="J4610" t="str">
        <f>IFERROR(INDEX(tProdutos[Classe],MATCH(tItens[[#This Row],[Produto]],tProdutos[Produto],0)),"produto não cadastrado")</f>
        <v>FORA</v>
      </c>
      <c r="K4610" s="12">
        <f>tItens[[#This Row],[Qtd]]*tItens[[#This Row],[Vlr unit]]</f>
        <v>42180</v>
      </c>
      <c r="L4610" s="6">
        <f>IFERROR(IF(INDEX(tProdutos[Desconto homologado],MATCH(tItens[[#This Row],[Produto]],tProdutos[Produto],0))="",DescontoPadrao,INDEX(tProdutos[Desconto homologado],MATCH(tItens[[#This Row],[Produto]],tProdutos[Produto],0))),DescontoPadrao)</f>
        <v>0.36759020274436599</v>
      </c>
      <c r="M4610" s="12">
        <f>tItens[[#This Row],[Valor]]*(1-tItens[[#This Row],[Desconto]])</f>
        <v>26675.045248242641</v>
      </c>
      <c r="N4610" t="str">
        <f>IFERROR(INDEX(tProdutos[Foco],MATCH(tItens[[#This Row],[Produto]],tProdutos[Produto],0)),"Não")</f>
        <v>Não</v>
      </c>
      <c r="O4610" t="str">
        <f>IFERROR(INDEX(tEditais[SRP],MATCH(tItens[[#This Row],[Edital]],tEditais[Edital],0)),"Não")</f>
        <v>Sim</v>
      </c>
      <c r="P4610" s="4">
        <f>IF(COUNTIFS(INDEX(tItens[Edital],1):tItens[[#This Row],[Edital]],tItens[[#This Row],[Edital]],INDEX(tItens[Produto],1):tItens[[#This Row],[Produto]],tItens[[#This Row],[Produto]])=1,1,0)</f>
        <v>1</v>
      </c>
    </row>
    <row r="4611" spans="1:16" x14ac:dyDescent="0.25">
      <c r="A4611" t="s">
        <v>1861</v>
      </c>
      <c r="B4611">
        <v>135</v>
      </c>
      <c r="C4611" t="s">
        <v>7446</v>
      </c>
      <c r="D4611" t="s">
        <v>251</v>
      </c>
      <c r="E4611" s="13">
        <v>3000</v>
      </c>
      <c r="F4611" s="12">
        <v>23.8</v>
      </c>
      <c r="G4611" t="str">
        <f>IFERROR(INDEX(tEditais[Órgão],MATCH(tItens[[#This Row],[Edital]],tEditais[Edital],0)),"")</f>
        <v>FUNDO MUNICIPAL DE SAUDE DE CAMOCIM DE SAO FELIX</v>
      </c>
      <c r="H4611" t="str">
        <f>IFERROR(INDEX(tEditais[UF],MATCH(tItens[[#This Row],[Edital]],tEditais[Edital],0)),"")</f>
        <v>PE</v>
      </c>
      <c r="I4611" s="11">
        <f>IFERROR(INDEX(tEditais[Encerramento],MATCH(tItens[[#This Row],[Edital]],tEditais[Edital],0)),"")</f>
        <v>46308.333333333336</v>
      </c>
      <c r="J4611" t="str">
        <f>IFERROR(INDEX(tProdutos[Classe],MATCH(tItens[[#This Row],[Produto]],tProdutos[Produto],0)),"produto não cadastrado")</f>
        <v>FORA</v>
      </c>
      <c r="K4611" s="12">
        <f>tItens[[#This Row],[Qtd]]*tItens[[#This Row],[Vlr unit]]</f>
        <v>71400</v>
      </c>
      <c r="L4611" s="6">
        <f>IFERROR(IF(INDEX(tProdutos[Desconto homologado],MATCH(tItens[[#This Row],[Produto]],tProdutos[Produto],0))="",DescontoPadrao,INDEX(tProdutos[Desconto homologado],MATCH(tItens[[#This Row],[Produto]],tProdutos[Produto],0))),DescontoPadrao)</f>
        <v>0.36759020274436599</v>
      </c>
      <c r="M4611" s="12">
        <f>tItens[[#This Row],[Valor]]*(1-tItens[[#This Row],[Desconto]])</f>
        <v>45154.059524052267</v>
      </c>
      <c r="N4611" t="str">
        <f>IFERROR(INDEX(tProdutos[Foco],MATCH(tItens[[#This Row],[Produto]],tProdutos[Produto],0)),"Não")</f>
        <v>Não</v>
      </c>
      <c r="O4611" t="str">
        <f>IFERROR(INDEX(tEditais[SRP],MATCH(tItens[[#This Row],[Edital]],tEditais[Edital],0)),"Não")</f>
        <v>Sim</v>
      </c>
      <c r="P4611" s="4">
        <f>IF(COUNTIFS(INDEX(tItens[Edital],1):tItens[[#This Row],[Edital]],tItens[[#This Row],[Edital]],INDEX(tItens[Produto],1):tItens[[#This Row],[Produto]],tItens[[#This Row],[Produto]])=1,1,0)</f>
        <v>0</v>
      </c>
    </row>
    <row r="4612" spans="1:16" x14ac:dyDescent="0.25">
      <c r="A4612" t="s">
        <v>1861</v>
      </c>
      <c r="B4612">
        <v>136</v>
      </c>
      <c r="C4612" t="s">
        <v>7446</v>
      </c>
      <c r="D4612" t="s">
        <v>251</v>
      </c>
      <c r="E4612" s="13">
        <v>1000</v>
      </c>
      <c r="F4612" s="12">
        <v>23.8</v>
      </c>
      <c r="G4612" t="str">
        <f>IFERROR(INDEX(tEditais[Órgão],MATCH(tItens[[#This Row],[Edital]],tEditais[Edital],0)),"")</f>
        <v>FUNDO MUNICIPAL DE SAUDE DE CAMOCIM DE SAO FELIX</v>
      </c>
      <c r="H4612" t="str">
        <f>IFERROR(INDEX(tEditais[UF],MATCH(tItens[[#This Row],[Edital]],tEditais[Edital],0)),"")</f>
        <v>PE</v>
      </c>
      <c r="I4612" s="11">
        <f>IFERROR(INDEX(tEditais[Encerramento],MATCH(tItens[[#This Row],[Edital]],tEditais[Edital],0)),"")</f>
        <v>46308.333333333336</v>
      </c>
      <c r="J4612" t="str">
        <f>IFERROR(INDEX(tProdutos[Classe],MATCH(tItens[[#This Row],[Produto]],tProdutos[Produto],0)),"produto não cadastrado")</f>
        <v>FORA</v>
      </c>
      <c r="K4612" s="12">
        <f>tItens[[#This Row],[Qtd]]*tItens[[#This Row],[Vlr unit]]</f>
        <v>23800</v>
      </c>
      <c r="L4612" s="6">
        <f>IFERROR(IF(INDEX(tProdutos[Desconto homologado],MATCH(tItens[[#This Row],[Produto]],tProdutos[Produto],0))="",DescontoPadrao,INDEX(tProdutos[Desconto homologado],MATCH(tItens[[#This Row],[Produto]],tProdutos[Produto],0))),DescontoPadrao)</f>
        <v>0.36759020274436599</v>
      </c>
      <c r="M4612" s="12">
        <f>tItens[[#This Row],[Valor]]*(1-tItens[[#This Row],[Desconto]])</f>
        <v>15051.353174684087</v>
      </c>
      <c r="N4612" t="str">
        <f>IFERROR(INDEX(tProdutos[Foco],MATCH(tItens[[#This Row],[Produto]],tProdutos[Produto],0)),"Não")</f>
        <v>Não</v>
      </c>
      <c r="O4612" t="str">
        <f>IFERROR(INDEX(tEditais[SRP],MATCH(tItens[[#This Row],[Edital]],tEditais[Edital],0)),"Não")</f>
        <v>Sim</v>
      </c>
      <c r="P4612" s="4">
        <f>IF(COUNTIFS(INDEX(tItens[Edital],1):tItens[[#This Row],[Edital]],tItens[[#This Row],[Edital]],INDEX(tItens[Produto],1):tItens[[#This Row],[Produto]],tItens[[#This Row],[Produto]])=1,1,0)</f>
        <v>0</v>
      </c>
    </row>
    <row r="4613" spans="1:16" x14ac:dyDescent="0.25">
      <c r="A4613" t="s">
        <v>1861</v>
      </c>
      <c r="B4613">
        <v>137</v>
      </c>
      <c r="C4613" t="s">
        <v>7447</v>
      </c>
      <c r="D4613" t="s">
        <v>251</v>
      </c>
      <c r="E4613" s="13">
        <v>4500</v>
      </c>
      <c r="F4613" s="12">
        <v>25.49</v>
      </c>
      <c r="G4613" t="str">
        <f>IFERROR(INDEX(tEditais[Órgão],MATCH(tItens[[#This Row],[Edital]],tEditais[Edital],0)),"")</f>
        <v>FUNDO MUNICIPAL DE SAUDE DE CAMOCIM DE SAO FELIX</v>
      </c>
      <c r="H4613" t="str">
        <f>IFERROR(INDEX(tEditais[UF],MATCH(tItens[[#This Row],[Edital]],tEditais[Edital],0)),"")</f>
        <v>PE</v>
      </c>
      <c r="I4613" s="11">
        <f>IFERROR(INDEX(tEditais[Encerramento],MATCH(tItens[[#This Row],[Edital]],tEditais[Edital],0)),"")</f>
        <v>46308.333333333336</v>
      </c>
      <c r="J4613" t="str">
        <f>IFERROR(INDEX(tProdutos[Classe],MATCH(tItens[[#This Row],[Produto]],tProdutos[Produto],0)),"produto não cadastrado")</f>
        <v>FORA</v>
      </c>
      <c r="K4613" s="12">
        <f>tItens[[#This Row],[Qtd]]*tItens[[#This Row],[Vlr unit]]</f>
        <v>114705</v>
      </c>
      <c r="L4613" s="6">
        <f>IFERROR(IF(INDEX(tProdutos[Desconto homologado],MATCH(tItens[[#This Row],[Produto]],tProdutos[Produto],0))="",DescontoPadrao,INDEX(tProdutos[Desconto homologado],MATCH(tItens[[#This Row],[Produto]],tProdutos[Produto],0))),DescontoPadrao)</f>
        <v>0.36759020274436599</v>
      </c>
      <c r="M4613" s="12">
        <f>tItens[[#This Row],[Valor]]*(1-tItens[[#This Row],[Desconto]])</f>
        <v>72540.56579420749</v>
      </c>
      <c r="N4613" t="str">
        <f>IFERROR(INDEX(tProdutos[Foco],MATCH(tItens[[#This Row],[Produto]],tProdutos[Produto],0)),"Não")</f>
        <v>Não</v>
      </c>
      <c r="O4613" t="str">
        <f>IFERROR(INDEX(tEditais[SRP],MATCH(tItens[[#This Row],[Edital]],tEditais[Edital],0)),"Não")</f>
        <v>Sim</v>
      </c>
      <c r="P4613" s="4">
        <f>IF(COUNTIFS(INDEX(tItens[Edital],1):tItens[[#This Row],[Edital]],tItens[[#This Row],[Edital]],INDEX(tItens[Produto],1):tItens[[#This Row],[Produto]],tItens[[#This Row],[Produto]])=1,1,0)</f>
        <v>0</v>
      </c>
    </row>
    <row r="4614" spans="1:16" x14ac:dyDescent="0.25">
      <c r="A4614" t="s">
        <v>1861</v>
      </c>
      <c r="B4614">
        <v>138</v>
      </c>
      <c r="C4614" t="s">
        <v>7447</v>
      </c>
      <c r="D4614" t="s">
        <v>251</v>
      </c>
      <c r="E4614" s="13">
        <v>1500</v>
      </c>
      <c r="F4614" s="12">
        <v>25.49</v>
      </c>
      <c r="G4614" t="str">
        <f>IFERROR(INDEX(tEditais[Órgão],MATCH(tItens[[#This Row],[Edital]],tEditais[Edital],0)),"")</f>
        <v>FUNDO MUNICIPAL DE SAUDE DE CAMOCIM DE SAO FELIX</v>
      </c>
      <c r="H4614" t="str">
        <f>IFERROR(INDEX(tEditais[UF],MATCH(tItens[[#This Row],[Edital]],tEditais[Edital],0)),"")</f>
        <v>PE</v>
      </c>
      <c r="I4614" s="11">
        <f>IFERROR(INDEX(tEditais[Encerramento],MATCH(tItens[[#This Row],[Edital]],tEditais[Edital],0)),"")</f>
        <v>46308.333333333336</v>
      </c>
      <c r="J4614" t="str">
        <f>IFERROR(INDEX(tProdutos[Classe],MATCH(tItens[[#This Row],[Produto]],tProdutos[Produto],0)),"produto não cadastrado")</f>
        <v>FORA</v>
      </c>
      <c r="K4614" s="12">
        <f>tItens[[#This Row],[Qtd]]*tItens[[#This Row],[Vlr unit]]</f>
        <v>38235</v>
      </c>
      <c r="L4614" s="6">
        <f>IFERROR(IF(INDEX(tProdutos[Desconto homologado],MATCH(tItens[[#This Row],[Produto]],tProdutos[Produto],0))="",DescontoPadrao,INDEX(tProdutos[Desconto homologado],MATCH(tItens[[#This Row],[Produto]],tProdutos[Produto],0))),DescontoPadrao)</f>
        <v>0.36759020274436599</v>
      </c>
      <c r="M4614" s="12">
        <f>tItens[[#This Row],[Valor]]*(1-tItens[[#This Row],[Desconto]])</f>
        <v>24180.188598069166</v>
      </c>
      <c r="N4614" t="str">
        <f>IFERROR(INDEX(tProdutos[Foco],MATCH(tItens[[#This Row],[Produto]],tProdutos[Produto],0)),"Não")</f>
        <v>Não</v>
      </c>
      <c r="O4614" t="str">
        <f>IFERROR(INDEX(tEditais[SRP],MATCH(tItens[[#This Row],[Edital]],tEditais[Edital],0)),"Não")</f>
        <v>Sim</v>
      </c>
      <c r="P4614" s="4">
        <f>IF(COUNTIFS(INDEX(tItens[Edital],1):tItens[[#This Row],[Edital]],tItens[[#This Row],[Edital]],INDEX(tItens[Produto],1):tItens[[#This Row],[Produto]],tItens[[#This Row],[Produto]])=1,1,0)</f>
        <v>0</v>
      </c>
    </row>
    <row r="4615" spans="1:16" x14ac:dyDescent="0.25">
      <c r="A4615" t="s">
        <v>1861</v>
      </c>
      <c r="B4615">
        <v>139</v>
      </c>
      <c r="C4615" t="s">
        <v>7448</v>
      </c>
      <c r="D4615" t="s">
        <v>251</v>
      </c>
      <c r="E4615" s="13">
        <v>3750</v>
      </c>
      <c r="F4615" s="12">
        <v>17.5</v>
      </c>
      <c r="G4615" t="str">
        <f>IFERROR(INDEX(tEditais[Órgão],MATCH(tItens[[#This Row],[Edital]],tEditais[Edital],0)),"")</f>
        <v>FUNDO MUNICIPAL DE SAUDE DE CAMOCIM DE SAO FELIX</v>
      </c>
      <c r="H4615" t="str">
        <f>IFERROR(INDEX(tEditais[UF],MATCH(tItens[[#This Row],[Edital]],tEditais[Edital],0)),"")</f>
        <v>PE</v>
      </c>
      <c r="I4615" s="11">
        <f>IFERROR(INDEX(tEditais[Encerramento],MATCH(tItens[[#This Row],[Edital]],tEditais[Edital],0)),"")</f>
        <v>46308.333333333336</v>
      </c>
      <c r="J4615" t="str">
        <f>IFERROR(INDEX(tProdutos[Classe],MATCH(tItens[[#This Row],[Produto]],tProdutos[Produto],0)),"produto não cadastrado")</f>
        <v>FORA</v>
      </c>
      <c r="K4615" s="12">
        <f>tItens[[#This Row],[Qtd]]*tItens[[#This Row],[Vlr unit]]</f>
        <v>65625</v>
      </c>
      <c r="L4615" s="6">
        <f>IFERROR(IF(INDEX(tProdutos[Desconto homologado],MATCH(tItens[[#This Row],[Produto]],tProdutos[Produto],0))="",DescontoPadrao,INDEX(tProdutos[Desconto homologado],MATCH(tItens[[#This Row],[Produto]],tProdutos[Produto],0))),DescontoPadrao)</f>
        <v>0.36759020274436599</v>
      </c>
      <c r="M4615" s="12">
        <f>tItens[[#This Row],[Valor]]*(1-tItens[[#This Row],[Desconto]])</f>
        <v>41501.892944900981</v>
      </c>
      <c r="N4615" t="str">
        <f>IFERROR(INDEX(tProdutos[Foco],MATCH(tItens[[#This Row],[Produto]],tProdutos[Produto],0)),"Não")</f>
        <v>Não</v>
      </c>
      <c r="O4615" t="str">
        <f>IFERROR(INDEX(tEditais[SRP],MATCH(tItens[[#This Row],[Edital]],tEditais[Edital],0)),"Não")</f>
        <v>Sim</v>
      </c>
      <c r="P4615" s="4">
        <f>IF(COUNTIFS(INDEX(tItens[Edital],1):tItens[[#This Row],[Edital]],tItens[[#This Row],[Edital]],INDEX(tItens[Produto],1):tItens[[#This Row],[Produto]],tItens[[#This Row],[Produto]])=1,1,0)</f>
        <v>0</v>
      </c>
    </row>
    <row r="4616" spans="1:16" x14ac:dyDescent="0.25">
      <c r="A4616" t="s">
        <v>1861</v>
      </c>
      <c r="B4616">
        <v>140</v>
      </c>
      <c r="C4616" t="s">
        <v>7448</v>
      </c>
      <c r="D4616" t="s">
        <v>251</v>
      </c>
      <c r="E4616" s="13">
        <v>1250</v>
      </c>
      <c r="F4616" s="12">
        <v>17.5</v>
      </c>
      <c r="G4616" t="str">
        <f>IFERROR(INDEX(tEditais[Órgão],MATCH(tItens[[#This Row],[Edital]],tEditais[Edital],0)),"")</f>
        <v>FUNDO MUNICIPAL DE SAUDE DE CAMOCIM DE SAO FELIX</v>
      </c>
      <c r="H4616" t="str">
        <f>IFERROR(INDEX(tEditais[UF],MATCH(tItens[[#This Row],[Edital]],tEditais[Edital],0)),"")</f>
        <v>PE</v>
      </c>
      <c r="I4616" s="11">
        <f>IFERROR(INDEX(tEditais[Encerramento],MATCH(tItens[[#This Row],[Edital]],tEditais[Edital],0)),"")</f>
        <v>46308.333333333336</v>
      </c>
      <c r="J4616" t="str">
        <f>IFERROR(INDEX(tProdutos[Classe],MATCH(tItens[[#This Row],[Produto]],tProdutos[Produto],0)),"produto não cadastrado")</f>
        <v>FORA</v>
      </c>
      <c r="K4616" s="12">
        <f>tItens[[#This Row],[Qtd]]*tItens[[#This Row],[Vlr unit]]</f>
        <v>21875</v>
      </c>
      <c r="L4616" s="6">
        <f>IFERROR(IF(INDEX(tProdutos[Desconto homologado],MATCH(tItens[[#This Row],[Produto]],tProdutos[Produto],0))="",DescontoPadrao,INDEX(tProdutos[Desconto homologado],MATCH(tItens[[#This Row],[Produto]],tProdutos[Produto],0))),DescontoPadrao)</f>
        <v>0.36759020274436599</v>
      </c>
      <c r="M4616" s="12">
        <f>tItens[[#This Row],[Valor]]*(1-tItens[[#This Row],[Desconto]])</f>
        <v>13833.964314966992</v>
      </c>
      <c r="N4616" t="str">
        <f>IFERROR(INDEX(tProdutos[Foco],MATCH(tItens[[#This Row],[Produto]],tProdutos[Produto],0)),"Não")</f>
        <v>Não</v>
      </c>
      <c r="O4616" t="str">
        <f>IFERROR(INDEX(tEditais[SRP],MATCH(tItens[[#This Row],[Edital]],tEditais[Edital],0)),"Não")</f>
        <v>Sim</v>
      </c>
      <c r="P4616" s="4">
        <f>IF(COUNTIFS(INDEX(tItens[Edital],1):tItens[[#This Row],[Edital]],tItens[[#This Row],[Edital]],INDEX(tItens[Produto],1):tItens[[#This Row],[Produto]],tItens[[#This Row],[Produto]])=1,1,0)</f>
        <v>0</v>
      </c>
    </row>
    <row r="4617" spans="1:16" x14ac:dyDescent="0.25">
      <c r="A4617" t="s">
        <v>1861</v>
      </c>
      <c r="B4617">
        <v>141</v>
      </c>
      <c r="C4617" t="s">
        <v>7449</v>
      </c>
      <c r="D4617" t="s">
        <v>343</v>
      </c>
      <c r="E4617" s="13">
        <v>4000</v>
      </c>
      <c r="F4617" s="12">
        <v>2.57</v>
      </c>
      <c r="G4617" t="str">
        <f>IFERROR(INDEX(tEditais[Órgão],MATCH(tItens[[#This Row],[Edital]],tEditais[Edital],0)),"")</f>
        <v>FUNDO MUNICIPAL DE SAUDE DE CAMOCIM DE SAO FELIX</v>
      </c>
      <c r="H4617" t="str">
        <f>IFERROR(INDEX(tEditais[UF],MATCH(tItens[[#This Row],[Edital]],tEditais[Edital],0)),"")</f>
        <v>PE</v>
      </c>
      <c r="I4617" s="11">
        <f>IFERROR(INDEX(tEditais[Encerramento],MATCH(tItens[[#This Row],[Edital]],tEditais[Edital],0)),"")</f>
        <v>46308.333333333336</v>
      </c>
      <c r="J4617" t="str">
        <f>IFERROR(INDEX(tProdutos[Classe],MATCH(tItens[[#This Row],[Produto]],tProdutos[Produto],0)),"produto não cadastrado")</f>
        <v>FORA</v>
      </c>
      <c r="K4617" s="12">
        <f>tItens[[#This Row],[Qtd]]*tItens[[#This Row],[Vlr unit]]</f>
        <v>10280</v>
      </c>
      <c r="L4617" s="6">
        <f>IFERROR(IF(INDEX(tProdutos[Desconto homologado],MATCH(tItens[[#This Row],[Produto]],tProdutos[Produto],0))="",DescontoPadrao,INDEX(tProdutos[Desconto homologado],MATCH(tItens[[#This Row],[Produto]],tProdutos[Produto],0))),DescontoPadrao)</f>
        <v>0.35412234042553198</v>
      </c>
      <c r="M4617" s="12">
        <f>tItens[[#This Row],[Valor]]*(1-tItens[[#This Row],[Desconto]])</f>
        <v>6639.6223404255306</v>
      </c>
      <c r="N4617" t="str">
        <f>IFERROR(INDEX(tProdutos[Foco],MATCH(tItens[[#This Row],[Produto]],tProdutos[Produto],0)),"Não")</f>
        <v>Não</v>
      </c>
      <c r="O4617" t="str">
        <f>IFERROR(INDEX(tEditais[SRP],MATCH(tItens[[#This Row],[Edital]],tEditais[Edital],0)),"Não")</f>
        <v>Sim</v>
      </c>
      <c r="P4617" s="4">
        <f>IF(COUNTIFS(INDEX(tItens[Edital],1):tItens[[#This Row],[Edital]],tItens[[#This Row],[Edital]],INDEX(tItens[Produto],1):tItens[[#This Row],[Produto]],tItens[[#This Row],[Produto]])=1,1,0)</f>
        <v>1</v>
      </c>
    </row>
    <row r="4618" spans="1:16" x14ac:dyDescent="0.25">
      <c r="A4618" t="s">
        <v>1861</v>
      </c>
      <c r="B4618">
        <v>142</v>
      </c>
      <c r="C4618" t="s">
        <v>7450</v>
      </c>
      <c r="D4618" t="s">
        <v>343</v>
      </c>
      <c r="E4618" s="13">
        <v>6000</v>
      </c>
      <c r="F4618" s="12">
        <v>2.5099999999999998</v>
      </c>
      <c r="G4618" t="str">
        <f>IFERROR(INDEX(tEditais[Órgão],MATCH(tItens[[#This Row],[Edital]],tEditais[Edital],0)),"")</f>
        <v>FUNDO MUNICIPAL DE SAUDE DE CAMOCIM DE SAO FELIX</v>
      </c>
      <c r="H4618" t="str">
        <f>IFERROR(INDEX(tEditais[UF],MATCH(tItens[[#This Row],[Edital]],tEditais[Edital],0)),"")</f>
        <v>PE</v>
      </c>
      <c r="I4618" s="11">
        <f>IFERROR(INDEX(tEditais[Encerramento],MATCH(tItens[[#This Row],[Edital]],tEditais[Edital],0)),"")</f>
        <v>46308.333333333336</v>
      </c>
      <c r="J4618" t="str">
        <f>IFERROR(INDEX(tProdutos[Classe],MATCH(tItens[[#This Row],[Produto]],tProdutos[Produto],0)),"produto não cadastrado")</f>
        <v>FORA</v>
      </c>
      <c r="K4618" s="12">
        <f>tItens[[#This Row],[Qtd]]*tItens[[#This Row],[Vlr unit]]</f>
        <v>15059.999999999998</v>
      </c>
      <c r="L4618" s="6">
        <f>IFERROR(IF(INDEX(tProdutos[Desconto homologado],MATCH(tItens[[#This Row],[Produto]],tProdutos[Produto],0))="",DescontoPadrao,INDEX(tProdutos[Desconto homologado],MATCH(tItens[[#This Row],[Produto]],tProdutos[Produto],0))),DescontoPadrao)</f>
        <v>0.35412234042553198</v>
      </c>
      <c r="M4618" s="12">
        <f>tItens[[#This Row],[Valor]]*(1-tItens[[#This Row],[Desconto]])</f>
        <v>9726.9175531914861</v>
      </c>
      <c r="N4618" t="str">
        <f>IFERROR(INDEX(tProdutos[Foco],MATCH(tItens[[#This Row],[Produto]],tProdutos[Produto],0)),"Não")</f>
        <v>Não</v>
      </c>
      <c r="O4618" t="str">
        <f>IFERROR(INDEX(tEditais[SRP],MATCH(tItens[[#This Row],[Edital]],tEditais[Edital],0)),"Não")</f>
        <v>Sim</v>
      </c>
      <c r="P4618" s="4">
        <f>IF(COUNTIFS(INDEX(tItens[Edital],1):tItens[[#This Row],[Edital]],tItens[[#This Row],[Edital]],INDEX(tItens[Produto],1):tItens[[#This Row],[Produto]],tItens[[#This Row],[Produto]])=1,1,0)</f>
        <v>0</v>
      </c>
    </row>
    <row r="4619" spans="1:16" x14ac:dyDescent="0.25">
      <c r="A4619" t="s">
        <v>1861</v>
      </c>
      <c r="B4619">
        <v>143</v>
      </c>
      <c r="C4619" t="s">
        <v>7451</v>
      </c>
      <c r="D4619" t="s">
        <v>343</v>
      </c>
      <c r="E4619" s="13">
        <v>6000</v>
      </c>
      <c r="F4619" s="12">
        <v>3.49</v>
      </c>
      <c r="G4619" t="str">
        <f>IFERROR(INDEX(tEditais[Órgão],MATCH(tItens[[#This Row],[Edital]],tEditais[Edital],0)),"")</f>
        <v>FUNDO MUNICIPAL DE SAUDE DE CAMOCIM DE SAO FELIX</v>
      </c>
      <c r="H4619" t="str">
        <f>IFERROR(INDEX(tEditais[UF],MATCH(tItens[[#This Row],[Edital]],tEditais[Edital],0)),"")</f>
        <v>PE</v>
      </c>
      <c r="I4619" s="11">
        <f>IFERROR(INDEX(tEditais[Encerramento],MATCH(tItens[[#This Row],[Edital]],tEditais[Edital],0)),"")</f>
        <v>46308.333333333336</v>
      </c>
      <c r="J4619" t="str">
        <f>IFERROR(INDEX(tProdutos[Classe],MATCH(tItens[[#This Row],[Produto]],tProdutos[Produto],0)),"produto não cadastrado")</f>
        <v>FORA</v>
      </c>
      <c r="K4619" s="12">
        <f>tItens[[#This Row],[Qtd]]*tItens[[#This Row],[Vlr unit]]</f>
        <v>20940</v>
      </c>
      <c r="L4619" s="6">
        <f>IFERROR(IF(INDEX(tProdutos[Desconto homologado],MATCH(tItens[[#This Row],[Produto]],tProdutos[Produto],0))="",DescontoPadrao,INDEX(tProdutos[Desconto homologado],MATCH(tItens[[#This Row],[Produto]],tProdutos[Produto],0))),DescontoPadrao)</f>
        <v>0.35412234042553198</v>
      </c>
      <c r="M4619" s="12">
        <f>tItens[[#This Row],[Valor]]*(1-tItens[[#This Row],[Desconto]])</f>
        <v>13524.67819148936</v>
      </c>
      <c r="N4619" t="str">
        <f>IFERROR(INDEX(tProdutos[Foco],MATCH(tItens[[#This Row],[Produto]],tProdutos[Produto],0)),"Não")</f>
        <v>Não</v>
      </c>
      <c r="O4619" t="str">
        <f>IFERROR(INDEX(tEditais[SRP],MATCH(tItens[[#This Row],[Edital]],tEditais[Edital],0)),"Não")</f>
        <v>Sim</v>
      </c>
      <c r="P4619" s="4">
        <f>IF(COUNTIFS(INDEX(tItens[Edital],1):tItens[[#This Row],[Edital]],tItens[[#This Row],[Edital]],INDEX(tItens[Produto],1):tItens[[#This Row],[Produto]],tItens[[#This Row],[Produto]])=1,1,0)</f>
        <v>0</v>
      </c>
    </row>
    <row r="4620" spans="1:16" x14ac:dyDescent="0.25">
      <c r="A4620" t="s">
        <v>1861</v>
      </c>
      <c r="B4620">
        <v>144</v>
      </c>
      <c r="C4620" t="s">
        <v>7452</v>
      </c>
      <c r="D4620" t="s">
        <v>343</v>
      </c>
      <c r="E4620" s="13">
        <v>5000</v>
      </c>
      <c r="F4620" s="12">
        <v>2.1</v>
      </c>
      <c r="G4620" t="str">
        <f>IFERROR(INDEX(tEditais[Órgão],MATCH(tItens[[#This Row],[Edital]],tEditais[Edital],0)),"")</f>
        <v>FUNDO MUNICIPAL DE SAUDE DE CAMOCIM DE SAO FELIX</v>
      </c>
      <c r="H4620" t="str">
        <f>IFERROR(INDEX(tEditais[UF],MATCH(tItens[[#This Row],[Edital]],tEditais[Edital],0)),"")</f>
        <v>PE</v>
      </c>
      <c r="I4620" s="11">
        <f>IFERROR(INDEX(tEditais[Encerramento],MATCH(tItens[[#This Row],[Edital]],tEditais[Edital],0)),"")</f>
        <v>46308.333333333336</v>
      </c>
      <c r="J4620" t="str">
        <f>IFERROR(INDEX(tProdutos[Classe],MATCH(tItens[[#This Row],[Produto]],tProdutos[Produto],0)),"produto não cadastrado")</f>
        <v>FORA</v>
      </c>
      <c r="K4620" s="12">
        <f>tItens[[#This Row],[Qtd]]*tItens[[#This Row],[Vlr unit]]</f>
        <v>10500</v>
      </c>
      <c r="L4620" s="6">
        <f>IFERROR(IF(INDEX(tProdutos[Desconto homologado],MATCH(tItens[[#This Row],[Produto]],tProdutos[Produto],0))="",DescontoPadrao,INDEX(tProdutos[Desconto homologado],MATCH(tItens[[#This Row],[Produto]],tProdutos[Produto],0))),DescontoPadrao)</f>
        <v>0.35412234042553198</v>
      </c>
      <c r="M4620" s="12">
        <f>tItens[[#This Row],[Valor]]*(1-tItens[[#This Row],[Desconto]])</f>
        <v>6781.7154255319138</v>
      </c>
      <c r="N4620" t="str">
        <f>IFERROR(INDEX(tProdutos[Foco],MATCH(tItens[[#This Row],[Produto]],tProdutos[Produto],0)),"Não")</f>
        <v>Não</v>
      </c>
      <c r="O4620" t="str">
        <f>IFERROR(INDEX(tEditais[SRP],MATCH(tItens[[#This Row],[Edital]],tEditais[Edital],0)),"Não")</f>
        <v>Sim</v>
      </c>
      <c r="P4620" s="4">
        <f>IF(COUNTIFS(INDEX(tItens[Edital],1):tItens[[#This Row],[Edital]],tItens[[#This Row],[Edital]],INDEX(tItens[Produto],1):tItens[[#This Row],[Produto]],tItens[[#This Row],[Produto]])=1,1,0)</f>
        <v>0</v>
      </c>
    </row>
    <row r="4621" spans="1:16" x14ac:dyDescent="0.25">
      <c r="A4621" t="s">
        <v>1861</v>
      </c>
      <c r="B4621">
        <v>145</v>
      </c>
      <c r="C4621" t="s">
        <v>7453</v>
      </c>
      <c r="D4621" t="s">
        <v>343</v>
      </c>
      <c r="E4621" s="13">
        <v>5000</v>
      </c>
      <c r="F4621" s="12">
        <v>2.27</v>
      </c>
      <c r="G4621" t="str">
        <f>IFERROR(INDEX(tEditais[Órgão],MATCH(tItens[[#This Row],[Edital]],tEditais[Edital],0)),"")</f>
        <v>FUNDO MUNICIPAL DE SAUDE DE CAMOCIM DE SAO FELIX</v>
      </c>
      <c r="H4621" t="str">
        <f>IFERROR(INDEX(tEditais[UF],MATCH(tItens[[#This Row],[Edital]],tEditais[Edital],0)),"")</f>
        <v>PE</v>
      </c>
      <c r="I4621" s="11">
        <f>IFERROR(INDEX(tEditais[Encerramento],MATCH(tItens[[#This Row],[Edital]],tEditais[Edital],0)),"")</f>
        <v>46308.333333333336</v>
      </c>
      <c r="J4621" t="str">
        <f>IFERROR(INDEX(tProdutos[Classe],MATCH(tItens[[#This Row],[Produto]],tProdutos[Produto],0)),"produto não cadastrado")</f>
        <v>FORA</v>
      </c>
      <c r="K4621" s="12">
        <f>tItens[[#This Row],[Qtd]]*tItens[[#This Row],[Vlr unit]]</f>
        <v>11350</v>
      </c>
      <c r="L4621" s="6">
        <f>IFERROR(IF(INDEX(tProdutos[Desconto homologado],MATCH(tItens[[#This Row],[Produto]],tProdutos[Produto],0))="",DescontoPadrao,INDEX(tProdutos[Desconto homologado],MATCH(tItens[[#This Row],[Produto]],tProdutos[Produto],0))),DescontoPadrao)</f>
        <v>0.35412234042553198</v>
      </c>
      <c r="M4621" s="12">
        <f>tItens[[#This Row],[Valor]]*(1-tItens[[#This Row],[Desconto]])</f>
        <v>7330.7114361702115</v>
      </c>
      <c r="N4621" t="str">
        <f>IFERROR(INDEX(tProdutos[Foco],MATCH(tItens[[#This Row],[Produto]],tProdutos[Produto],0)),"Não")</f>
        <v>Não</v>
      </c>
      <c r="O4621" t="str">
        <f>IFERROR(INDEX(tEditais[SRP],MATCH(tItens[[#This Row],[Edital]],tEditais[Edital],0)),"Não")</f>
        <v>Sim</v>
      </c>
      <c r="P4621" s="4">
        <f>IF(COUNTIFS(INDEX(tItens[Edital],1):tItens[[#This Row],[Edital]],tItens[[#This Row],[Edital]],INDEX(tItens[Produto],1):tItens[[#This Row],[Produto]],tItens[[#This Row],[Produto]])=1,1,0)</f>
        <v>0</v>
      </c>
    </row>
    <row r="4622" spans="1:16" x14ac:dyDescent="0.25">
      <c r="A4622" t="s">
        <v>1861</v>
      </c>
      <c r="B4622">
        <v>147</v>
      </c>
      <c r="C4622" t="s">
        <v>7454</v>
      </c>
      <c r="D4622" t="s">
        <v>257</v>
      </c>
      <c r="E4622" s="13">
        <v>150</v>
      </c>
      <c r="F4622" s="12">
        <v>15.3</v>
      </c>
      <c r="G4622" t="str">
        <f>IFERROR(INDEX(tEditais[Órgão],MATCH(tItens[[#This Row],[Edital]],tEditais[Edital],0)),"")</f>
        <v>FUNDO MUNICIPAL DE SAUDE DE CAMOCIM DE SAO FELIX</v>
      </c>
      <c r="H4622" t="str">
        <f>IFERROR(INDEX(tEditais[UF],MATCH(tItens[[#This Row],[Edital]],tEditais[Edital],0)),"")</f>
        <v>PE</v>
      </c>
      <c r="I4622" s="11">
        <f>IFERROR(INDEX(tEditais[Encerramento],MATCH(tItens[[#This Row],[Edital]],tEditais[Edital],0)),"")</f>
        <v>46308.333333333336</v>
      </c>
      <c r="J4622" t="str">
        <f>IFERROR(INDEX(tProdutos[Classe],MATCH(tItens[[#This Row],[Produto]],tProdutos[Produto],0)),"produto não cadastrado")</f>
        <v>FORA</v>
      </c>
      <c r="K4622" s="12">
        <f>tItens[[#This Row],[Qtd]]*tItens[[#This Row],[Vlr unit]]</f>
        <v>2295</v>
      </c>
      <c r="L4622" s="6">
        <f>IFERROR(IF(INDEX(tProdutos[Desconto homologado],MATCH(tItens[[#This Row],[Produto]],tProdutos[Produto],0))="",DescontoPadrao,INDEX(tProdutos[Desconto homologado],MATCH(tItens[[#This Row],[Produto]],tProdutos[Produto],0))),DescontoPadrao)</f>
        <v>0.500812004991805</v>
      </c>
      <c r="M4622" s="12">
        <f>tItens[[#This Row],[Valor]]*(1-tItens[[#This Row],[Desconto]])</f>
        <v>1145.6364485438075</v>
      </c>
      <c r="N4622" t="str">
        <f>IFERROR(INDEX(tProdutos[Foco],MATCH(tItens[[#This Row],[Produto]],tProdutos[Produto],0)),"Não")</f>
        <v>Não</v>
      </c>
      <c r="O4622" t="str">
        <f>IFERROR(INDEX(tEditais[SRP],MATCH(tItens[[#This Row],[Edital]],tEditais[Edital],0)),"Não")</f>
        <v>Sim</v>
      </c>
      <c r="P4622" s="4">
        <f>IF(COUNTIFS(INDEX(tItens[Edital],1):tItens[[#This Row],[Edital]],tItens[[#This Row],[Edital]],INDEX(tItens[Produto],1):tItens[[#This Row],[Produto]],tItens[[#This Row],[Produto]])=1,1,0)</f>
        <v>1</v>
      </c>
    </row>
    <row r="4623" spans="1:16" x14ac:dyDescent="0.25">
      <c r="A4623" t="s">
        <v>1861</v>
      </c>
      <c r="B4623">
        <v>148</v>
      </c>
      <c r="C4623" t="s">
        <v>7455</v>
      </c>
      <c r="D4623" t="s">
        <v>249</v>
      </c>
      <c r="E4623" s="13">
        <v>150</v>
      </c>
      <c r="F4623" s="12">
        <v>14.32</v>
      </c>
      <c r="G4623" t="str">
        <f>IFERROR(INDEX(tEditais[Órgão],MATCH(tItens[[#This Row],[Edital]],tEditais[Edital],0)),"")</f>
        <v>FUNDO MUNICIPAL DE SAUDE DE CAMOCIM DE SAO FELIX</v>
      </c>
      <c r="H4623" t="str">
        <f>IFERROR(INDEX(tEditais[UF],MATCH(tItens[[#This Row],[Edital]],tEditais[Edital],0)),"")</f>
        <v>PE</v>
      </c>
      <c r="I4623" s="11">
        <f>IFERROR(INDEX(tEditais[Encerramento],MATCH(tItens[[#This Row],[Edital]],tEditais[Edital],0)),"")</f>
        <v>46308.333333333336</v>
      </c>
      <c r="J4623" t="str">
        <f>IFERROR(INDEX(tProdutos[Classe],MATCH(tItens[[#This Row],[Produto]],tProdutos[Produto],0)),"produto não cadastrado")</f>
        <v>FORA</v>
      </c>
      <c r="K4623" s="12">
        <f>tItens[[#This Row],[Qtd]]*tItens[[#This Row],[Vlr unit]]</f>
        <v>2148</v>
      </c>
      <c r="L4623" s="6">
        <f>IFERROR(IF(INDEX(tProdutos[Desconto homologado],MATCH(tItens[[#This Row],[Produto]],tProdutos[Produto],0))="",DescontoPadrao,INDEX(tProdutos[Desconto homologado],MATCH(tItens[[#This Row],[Produto]],tProdutos[Produto],0))),DescontoPadrao)</f>
        <v>0.45399945399945402</v>
      </c>
      <c r="M4623" s="12">
        <f>tItens[[#This Row],[Valor]]*(1-tItens[[#This Row],[Desconto]])</f>
        <v>1172.8091728091727</v>
      </c>
      <c r="N4623" t="str">
        <f>IFERROR(INDEX(tProdutos[Foco],MATCH(tItens[[#This Row],[Produto]],tProdutos[Produto],0)),"Não")</f>
        <v>Não</v>
      </c>
      <c r="O4623" t="str">
        <f>IFERROR(INDEX(tEditais[SRP],MATCH(tItens[[#This Row],[Edital]],tEditais[Edital],0)),"Não")</f>
        <v>Sim</v>
      </c>
      <c r="P4623" s="4">
        <f>IF(COUNTIFS(INDEX(tItens[Edital],1):tItens[[#This Row],[Edital]],tItens[[#This Row],[Edital]],INDEX(tItens[Produto],1):tItens[[#This Row],[Produto]],tItens[[#This Row],[Produto]])=1,1,0)</f>
        <v>1</v>
      </c>
    </row>
    <row r="4624" spans="1:16" x14ac:dyDescent="0.25">
      <c r="A4624" t="s">
        <v>1861</v>
      </c>
      <c r="B4624">
        <v>149</v>
      </c>
      <c r="C4624" t="s">
        <v>7456</v>
      </c>
      <c r="D4624" t="s">
        <v>293</v>
      </c>
      <c r="E4624" s="13">
        <v>600</v>
      </c>
      <c r="F4624" s="12">
        <v>9.68</v>
      </c>
      <c r="G4624" t="str">
        <f>IFERROR(INDEX(tEditais[Órgão],MATCH(tItens[[#This Row],[Edital]],tEditais[Edital],0)),"")</f>
        <v>FUNDO MUNICIPAL DE SAUDE DE CAMOCIM DE SAO FELIX</v>
      </c>
      <c r="H4624" t="str">
        <f>IFERROR(INDEX(tEditais[UF],MATCH(tItens[[#This Row],[Edital]],tEditais[Edital],0)),"")</f>
        <v>PE</v>
      </c>
      <c r="I4624" s="11">
        <f>IFERROR(INDEX(tEditais[Encerramento],MATCH(tItens[[#This Row],[Edital]],tEditais[Edital],0)),"")</f>
        <v>46308.333333333336</v>
      </c>
      <c r="J4624" t="str">
        <f>IFERROR(INDEX(tProdutos[Classe],MATCH(tItens[[#This Row],[Produto]],tProdutos[Produto],0)),"produto não cadastrado")</f>
        <v>FORA</v>
      </c>
      <c r="K4624" s="12">
        <f>tItens[[#This Row],[Qtd]]*tItens[[#This Row],[Vlr unit]]</f>
        <v>5808</v>
      </c>
      <c r="L4624" s="6">
        <f>IFERROR(IF(INDEX(tProdutos[Desconto homologado],MATCH(tItens[[#This Row],[Produto]],tProdutos[Produto],0))="",DescontoPadrao,INDEX(tProdutos[Desconto homologado],MATCH(tItens[[#This Row],[Produto]],tProdutos[Produto],0))),DescontoPadrao)</f>
        <v>0.45236440369319098</v>
      </c>
      <c r="M4624" s="12">
        <f>tItens[[#This Row],[Valor]]*(1-tItens[[#This Row],[Desconto]])</f>
        <v>3180.6675433499468</v>
      </c>
      <c r="N4624" t="str">
        <f>IFERROR(INDEX(tProdutos[Foco],MATCH(tItens[[#This Row],[Produto]],tProdutos[Produto],0)),"Não")</f>
        <v>Não</v>
      </c>
      <c r="O4624" t="str">
        <f>IFERROR(INDEX(tEditais[SRP],MATCH(tItens[[#This Row],[Edital]],tEditais[Edital],0)),"Não")</f>
        <v>Sim</v>
      </c>
      <c r="P4624" s="4">
        <f>IF(COUNTIFS(INDEX(tItens[Edital],1):tItens[[#This Row],[Edital]],tItens[[#This Row],[Edital]],INDEX(tItens[Produto],1):tItens[[#This Row],[Produto]],tItens[[#This Row],[Produto]])=1,1,0)</f>
        <v>1</v>
      </c>
    </row>
    <row r="4625" spans="1:16" x14ac:dyDescent="0.25">
      <c r="A4625" t="s">
        <v>1861</v>
      </c>
      <c r="B4625">
        <v>150</v>
      </c>
      <c r="C4625" t="s">
        <v>7457</v>
      </c>
      <c r="D4625" t="s">
        <v>223</v>
      </c>
      <c r="E4625" s="13">
        <v>600</v>
      </c>
      <c r="F4625" s="12">
        <v>9.9</v>
      </c>
      <c r="G4625" t="str">
        <f>IFERROR(INDEX(tEditais[Órgão],MATCH(tItens[[#This Row],[Edital]],tEditais[Edital],0)),"")</f>
        <v>FUNDO MUNICIPAL DE SAUDE DE CAMOCIM DE SAO FELIX</v>
      </c>
      <c r="H4625" t="str">
        <f>IFERROR(INDEX(tEditais[UF],MATCH(tItens[[#This Row],[Edital]],tEditais[Edital],0)),"")</f>
        <v>PE</v>
      </c>
      <c r="I4625" s="11">
        <f>IFERROR(INDEX(tEditais[Encerramento],MATCH(tItens[[#This Row],[Edital]],tEditais[Edital],0)),"")</f>
        <v>46308.333333333336</v>
      </c>
      <c r="J4625" t="str">
        <f>IFERROR(INDEX(tProdutos[Classe],MATCH(tItens[[#This Row],[Produto]],tProdutos[Produto],0)),"produto não cadastrado")</f>
        <v>FORA</v>
      </c>
      <c r="K4625" s="12">
        <f>tItens[[#This Row],[Qtd]]*tItens[[#This Row],[Vlr unit]]</f>
        <v>5940</v>
      </c>
      <c r="L4625" s="6">
        <f>IFERROR(IF(INDEX(tProdutos[Desconto homologado],MATCH(tItens[[#This Row],[Produto]],tProdutos[Produto],0))="",DescontoPadrao,INDEX(tProdutos[Desconto homologado],MATCH(tItens[[#This Row],[Produto]],tProdutos[Produto],0))),DescontoPadrao)</f>
        <v>0.36263736263736301</v>
      </c>
      <c r="M4625" s="12">
        <f>tItens[[#This Row],[Valor]]*(1-tItens[[#This Row],[Desconto]])</f>
        <v>3785.9340659340637</v>
      </c>
      <c r="N4625" t="str">
        <f>IFERROR(INDEX(tProdutos[Foco],MATCH(tItens[[#This Row],[Produto]],tProdutos[Produto],0)),"Não")</f>
        <v>Não</v>
      </c>
      <c r="O4625" t="str">
        <f>IFERROR(INDEX(tEditais[SRP],MATCH(tItens[[#This Row],[Edital]],tEditais[Edital],0)),"Não")</f>
        <v>Sim</v>
      </c>
      <c r="P4625" s="4">
        <f>IF(COUNTIFS(INDEX(tItens[Edital],1):tItens[[#This Row],[Edital]],tItens[[#This Row],[Edital]],INDEX(tItens[Produto],1):tItens[[#This Row],[Produto]],tItens[[#This Row],[Produto]])=1,1,0)</f>
        <v>1</v>
      </c>
    </row>
    <row r="4626" spans="1:16" x14ac:dyDescent="0.25">
      <c r="A4626" t="s">
        <v>1861</v>
      </c>
      <c r="B4626">
        <v>158</v>
      </c>
      <c r="C4626" t="s">
        <v>7458</v>
      </c>
      <c r="D4626" t="s">
        <v>494</v>
      </c>
      <c r="E4626" s="13">
        <v>40</v>
      </c>
      <c r="F4626" s="12">
        <v>39.92</v>
      </c>
      <c r="G4626" t="str">
        <f>IFERROR(INDEX(tEditais[Órgão],MATCH(tItens[[#This Row],[Edital]],tEditais[Edital],0)),"")</f>
        <v>FUNDO MUNICIPAL DE SAUDE DE CAMOCIM DE SAO FELIX</v>
      </c>
      <c r="H4626" t="str">
        <f>IFERROR(INDEX(tEditais[UF],MATCH(tItens[[#This Row],[Edital]],tEditais[Edital],0)),"")</f>
        <v>PE</v>
      </c>
      <c r="I4626" s="11">
        <f>IFERROR(INDEX(tEditais[Encerramento],MATCH(tItens[[#This Row],[Edital]],tEditais[Edital],0)),"")</f>
        <v>46308.333333333336</v>
      </c>
      <c r="J4626" t="str">
        <f>IFERROR(INDEX(tProdutos[Classe],MATCH(tItens[[#This Row],[Produto]],tProdutos[Produto],0)),"produto não cadastrado")</f>
        <v>FILA REBASE</v>
      </c>
      <c r="K4626" s="12">
        <f>tItens[[#This Row],[Qtd]]*tItens[[#This Row],[Vlr unit]]</f>
        <v>1596.8000000000002</v>
      </c>
      <c r="L4626" s="6">
        <f>IFERROR(IF(INDEX(tProdutos[Desconto homologado],MATCH(tItens[[#This Row],[Produto]],tProdutos[Produto],0))="",DescontoPadrao,INDEX(tProdutos[Desconto homologado],MATCH(tItens[[#This Row],[Produto]],tProdutos[Produto],0))),DescontoPadrao)</f>
        <v>0.253736324829619</v>
      </c>
      <c r="M4626" s="12">
        <f>tItens[[#This Row],[Valor]]*(1-tItens[[#This Row],[Desconto]])</f>
        <v>1191.6338365120646</v>
      </c>
      <c r="N4626" t="str">
        <f>IFERROR(INDEX(tProdutos[Foco],MATCH(tItens[[#This Row],[Produto]],tProdutos[Produto],0)),"Não")</f>
        <v>Não</v>
      </c>
      <c r="O4626" t="str">
        <f>IFERROR(INDEX(tEditais[SRP],MATCH(tItens[[#This Row],[Edital]],tEditais[Edital],0)),"Não")</f>
        <v>Sim</v>
      </c>
      <c r="P4626" s="4">
        <f>IF(COUNTIFS(INDEX(tItens[Edital],1):tItens[[#This Row],[Edital]],tItens[[#This Row],[Edital]],INDEX(tItens[Produto],1):tItens[[#This Row],[Produto]],tItens[[#This Row],[Produto]])=1,1,0)</f>
        <v>1</v>
      </c>
    </row>
    <row r="4627" spans="1:16" x14ac:dyDescent="0.25">
      <c r="A4627" t="s">
        <v>1861</v>
      </c>
      <c r="B4627">
        <v>159</v>
      </c>
      <c r="C4627" t="s">
        <v>7459</v>
      </c>
      <c r="D4627" t="s">
        <v>494</v>
      </c>
      <c r="E4627" s="13">
        <v>40</v>
      </c>
      <c r="F4627" s="12">
        <v>48.78</v>
      </c>
      <c r="G4627" t="str">
        <f>IFERROR(INDEX(tEditais[Órgão],MATCH(tItens[[#This Row],[Edital]],tEditais[Edital],0)),"")</f>
        <v>FUNDO MUNICIPAL DE SAUDE DE CAMOCIM DE SAO FELIX</v>
      </c>
      <c r="H4627" t="str">
        <f>IFERROR(INDEX(tEditais[UF],MATCH(tItens[[#This Row],[Edital]],tEditais[Edital],0)),"")</f>
        <v>PE</v>
      </c>
      <c r="I4627" s="11">
        <f>IFERROR(INDEX(tEditais[Encerramento],MATCH(tItens[[#This Row],[Edital]],tEditais[Edital],0)),"")</f>
        <v>46308.333333333336</v>
      </c>
      <c r="J4627" t="str">
        <f>IFERROR(INDEX(tProdutos[Classe],MATCH(tItens[[#This Row],[Produto]],tProdutos[Produto],0)),"produto não cadastrado")</f>
        <v>FILA REBASE</v>
      </c>
      <c r="K4627" s="12">
        <f>tItens[[#This Row],[Qtd]]*tItens[[#This Row],[Vlr unit]]</f>
        <v>1951.2</v>
      </c>
      <c r="L4627" s="6">
        <f>IFERROR(IF(INDEX(tProdutos[Desconto homologado],MATCH(tItens[[#This Row],[Produto]],tProdutos[Produto],0))="",DescontoPadrao,INDEX(tProdutos[Desconto homologado],MATCH(tItens[[#This Row],[Produto]],tProdutos[Produto],0))),DescontoPadrao)</f>
        <v>0.253736324829619</v>
      </c>
      <c r="M4627" s="12">
        <f>tItens[[#This Row],[Valor]]*(1-tItens[[#This Row],[Desconto]])</f>
        <v>1456.1096829924475</v>
      </c>
      <c r="N4627" t="str">
        <f>IFERROR(INDEX(tProdutos[Foco],MATCH(tItens[[#This Row],[Produto]],tProdutos[Produto],0)),"Não")</f>
        <v>Não</v>
      </c>
      <c r="O4627" t="str">
        <f>IFERROR(INDEX(tEditais[SRP],MATCH(tItens[[#This Row],[Edital]],tEditais[Edital],0)),"Não")</f>
        <v>Sim</v>
      </c>
      <c r="P4627" s="4">
        <f>IF(COUNTIFS(INDEX(tItens[Edital],1):tItens[[#This Row],[Edital]],tItens[[#This Row],[Edital]],INDEX(tItens[Produto],1):tItens[[#This Row],[Produto]],tItens[[#This Row],[Produto]])=1,1,0)</f>
        <v>0</v>
      </c>
    </row>
    <row r="4628" spans="1:16" x14ac:dyDescent="0.25">
      <c r="A4628" t="s">
        <v>1861</v>
      </c>
      <c r="B4628">
        <v>160</v>
      </c>
      <c r="C4628" t="s">
        <v>7460</v>
      </c>
      <c r="D4628" t="s">
        <v>494</v>
      </c>
      <c r="E4628" s="13">
        <v>40</v>
      </c>
      <c r="F4628" s="12">
        <v>64.7</v>
      </c>
      <c r="G4628" t="str">
        <f>IFERROR(INDEX(tEditais[Órgão],MATCH(tItens[[#This Row],[Edital]],tEditais[Edital],0)),"")</f>
        <v>FUNDO MUNICIPAL DE SAUDE DE CAMOCIM DE SAO FELIX</v>
      </c>
      <c r="H4628" t="str">
        <f>IFERROR(INDEX(tEditais[UF],MATCH(tItens[[#This Row],[Edital]],tEditais[Edital],0)),"")</f>
        <v>PE</v>
      </c>
      <c r="I4628" s="11">
        <f>IFERROR(INDEX(tEditais[Encerramento],MATCH(tItens[[#This Row],[Edital]],tEditais[Edital],0)),"")</f>
        <v>46308.333333333336</v>
      </c>
      <c r="J4628" t="str">
        <f>IFERROR(INDEX(tProdutos[Classe],MATCH(tItens[[#This Row],[Produto]],tProdutos[Produto],0)),"produto não cadastrado")</f>
        <v>FILA REBASE</v>
      </c>
      <c r="K4628" s="12">
        <f>tItens[[#This Row],[Qtd]]*tItens[[#This Row],[Vlr unit]]</f>
        <v>2588</v>
      </c>
      <c r="L4628" s="6">
        <f>IFERROR(IF(INDEX(tProdutos[Desconto homologado],MATCH(tItens[[#This Row],[Produto]],tProdutos[Produto],0))="",DescontoPadrao,INDEX(tProdutos[Desconto homologado],MATCH(tItens[[#This Row],[Produto]],tProdutos[Produto],0))),DescontoPadrao)</f>
        <v>0.253736324829619</v>
      </c>
      <c r="M4628" s="12">
        <f>tItens[[#This Row],[Valor]]*(1-tItens[[#This Row],[Desconto]])</f>
        <v>1931.3303913409461</v>
      </c>
      <c r="N4628" t="str">
        <f>IFERROR(INDEX(tProdutos[Foco],MATCH(tItens[[#This Row],[Produto]],tProdutos[Produto],0)),"Não")</f>
        <v>Não</v>
      </c>
      <c r="O4628" t="str">
        <f>IFERROR(INDEX(tEditais[SRP],MATCH(tItens[[#This Row],[Edital]],tEditais[Edital],0)),"Não")</f>
        <v>Sim</v>
      </c>
      <c r="P4628" s="4">
        <f>IF(COUNTIFS(INDEX(tItens[Edital],1):tItens[[#This Row],[Edital]],tItens[[#This Row],[Edital]],INDEX(tItens[Produto],1):tItens[[#This Row],[Produto]],tItens[[#This Row],[Produto]])=1,1,0)</f>
        <v>0</v>
      </c>
    </row>
    <row r="4629" spans="1:16" x14ac:dyDescent="0.25">
      <c r="A4629" t="s">
        <v>1861</v>
      </c>
      <c r="B4629">
        <v>161</v>
      </c>
      <c r="C4629" t="s">
        <v>7461</v>
      </c>
      <c r="D4629" t="s">
        <v>494</v>
      </c>
      <c r="E4629" s="13">
        <v>40</v>
      </c>
      <c r="F4629" s="12">
        <v>82.73</v>
      </c>
      <c r="G4629" t="str">
        <f>IFERROR(INDEX(tEditais[Órgão],MATCH(tItens[[#This Row],[Edital]],tEditais[Edital],0)),"")</f>
        <v>FUNDO MUNICIPAL DE SAUDE DE CAMOCIM DE SAO FELIX</v>
      </c>
      <c r="H4629" t="str">
        <f>IFERROR(INDEX(tEditais[UF],MATCH(tItens[[#This Row],[Edital]],tEditais[Edital],0)),"")</f>
        <v>PE</v>
      </c>
      <c r="I4629" s="11">
        <f>IFERROR(INDEX(tEditais[Encerramento],MATCH(tItens[[#This Row],[Edital]],tEditais[Edital],0)),"")</f>
        <v>46308.333333333336</v>
      </c>
      <c r="J4629" t="str">
        <f>IFERROR(INDEX(tProdutos[Classe],MATCH(tItens[[#This Row],[Produto]],tProdutos[Produto],0)),"produto não cadastrado")</f>
        <v>FILA REBASE</v>
      </c>
      <c r="K4629" s="12">
        <f>tItens[[#This Row],[Qtd]]*tItens[[#This Row],[Vlr unit]]</f>
        <v>3309.2000000000003</v>
      </c>
      <c r="L4629" s="6">
        <f>IFERROR(IF(INDEX(tProdutos[Desconto homologado],MATCH(tItens[[#This Row],[Produto]],tProdutos[Produto],0))="",DescontoPadrao,INDEX(tProdutos[Desconto homologado],MATCH(tItens[[#This Row],[Produto]],tProdutos[Produto],0))),DescontoPadrao)</f>
        <v>0.253736324829619</v>
      </c>
      <c r="M4629" s="12">
        <f>tItens[[#This Row],[Valor]]*(1-tItens[[#This Row],[Desconto]])</f>
        <v>2469.5357538738253</v>
      </c>
      <c r="N4629" t="str">
        <f>IFERROR(INDEX(tProdutos[Foco],MATCH(tItens[[#This Row],[Produto]],tProdutos[Produto],0)),"Não")</f>
        <v>Não</v>
      </c>
      <c r="O4629" t="str">
        <f>IFERROR(INDEX(tEditais[SRP],MATCH(tItens[[#This Row],[Edital]],tEditais[Edital],0)),"Não")</f>
        <v>Sim</v>
      </c>
      <c r="P4629" s="4">
        <f>IF(COUNTIFS(INDEX(tItens[Edital],1):tItens[[#This Row],[Edital]],tItens[[#This Row],[Edital]],INDEX(tItens[Produto],1):tItens[[#This Row],[Produto]],tItens[[#This Row],[Produto]])=1,1,0)</f>
        <v>0</v>
      </c>
    </row>
    <row r="4630" spans="1:16" x14ac:dyDescent="0.25">
      <c r="A4630" t="s">
        <v>1861</v>
      </c>
      <c r="B4630">
        <v>162</v>
      </c>
      <c r="C4630" t="s">
        <v>7462</v>
      </c>
      <c r="D4630" t="s">
        <v>494</v>
      </c>
      <c r="E4630" s="13">
        <v>40</v>
      </c>
      <c r="F4630" s="12">
        <v>104.11</v>
      </c>
      <c r="G4630" t="str">
        <f>IFERROR(INDEX(tEditais[Órgão],MATCH(tItens[[#This Row],[Edital]],tEditais[Edital],0)),"")</f>
        <v>FUNDO MUNICIPAL DE SAUDE DE CAMOCIM DE SAO FELIX</v>
      </c>
      <c r="H4630" t="str">
        <f>IFERROR(INDEX(tEditais[UF],MATCH(tItens[[#This Row],[Edital]],tEditais[Edital],0)),"")</f>
        <v>PE</v>
      </c>
      <c r="I4630" s="11">
        <f>IFERROR(INDEX(tEditais[Encerramento],MATCH(tItens[[#This Row],[Edital]],tEditais[Edital],0)),"")</f>
        <v>46308.333333333336</v>
      </c>
      <c r="J4630" t="str">
        <f>IFERROR(INDEX(tProdutos[Classe],MATCH(tItens[[#This Row],[Produto]],tProdutos[Produto],0)),"produto não cadastrado")</f>
        <v>FILA REBASE</v>
      </c>
      <c r="K4630" s="12">
        <f>tItens[[#This Row],[Qtd]]*tItens[[#This Row],[Vlr unit]]</f>
        <v>4164.3999999999996</v>
      </c>
      <c r="L4630" s="6">
        <f>IFERROR(IF(INDEX(tProdutos[Desconto homologado],MATCH(tItens[[#This Row],[Produto]],tProdutos[Produto],0))="",DescontoPadrao,INDEX(tProdutos[Desconto homologado],MATCH(tItens[[#This Row],[Produto]],tProdutos[Produto],0))),DescontoPadrao)</f>
        <v>0.253736324829619</v>
      </c>
      <c r="M4630" s="12">
        <f>tItens[[#This Row],[Valor]]*(1-tItens[[#This Row],[Desconto]])</f>
        <v>3107.7404488795346</v>
      </c>
      <c r="N4630" t="str">
        <f>IFERROR(INDEX(tProdutos[Foco],MATCH(tItens[[#This Row],[Produto]],tProdutos[Produto],0)),"Não")</f>
        <v>Não</v>
      </c>
      <c r="O4630" t="str">
        <f>IFERROR(INDEX(tEditais[SRP],MATCH(tItens[[#This Row],[Edital]],tEditais[Edital],0)),"Não")</f>
        <v>Sim</v>
      </c>
      <c r="P4630" s="4">
        <f>IF(COUNTIFS(INDEX(tItens[Edital],1):tItens[[#This Row],[Edital]],tItens[[#This Row],[Edital]],INDEX(tItens[Produto],1):tItens[[#This Row],[Produto]],tItens[[#This Row],[Produto]])=1,1,0)</f>
        <v>0</v>
      </c>
    </row>
    <row r="4631" spans="1:16" x14ac:dyDescent="0.25">
      <c r="A4631" t="s">
        <v>1861</v>
      </c>
      <c r="B4631">
        <v>174</v>
      </c>
      <c r="C4631" t="s">
        <v>7463</v>
      </c>
      <c r="D4631" t="s">
        <v>297</v>
      </c>
      <c r="E4631" s="13">
        <v>1000</v>
      </c>
      <c r="F4631" s="12">
        <v>0.51</v>
      </c>
      <c r="G4631" t="str">
        <f>IFERROR(INDEX(tEditais[Órgão],MATCH(tItens[[#This Row],[Edital]],tEditais[Edital],0)),"")</f>
        <v>FUNDO MUNICIPAL DE SAUDE DE CAMOCIM DE SAO FELIX</v>
      </c>
      <c r="H4631" t="str">
        <f>IFERROR(INDEX(tEditais[UF],MATCH(tItens[[#This Row],[Edital]],tEditais[Edital],0)),"")</f>
        <v>PE</v>
      </c>
      <c r="I4631" s="11">
        <f>IFERROR(INDEX(tEditais[Encerramento],MATCH(tItens[[#This Row],[Edital]],tEditais[Edital],0)),"")</f>
        <v>46308.333333333336</v>
      </c>
      <c r="J4631" t="str">
        <f>IFERROR(INDEX(tProdutos[Classe],MATCH(tItens[[#This Row],[Produto]],tProdutos[Produto],0)),"produto não cadastrado")</f>
        <v>FORA</v>
      </c>
      <c r="K4631" s="12">
        <f>tItens[[#This Row],[Qtd]]*tItens[[#This Row],[Vlr unit]]</f>
        <v>510</v>
      </c>
      <c r="L4631" s="6">
        <f>IFERROR(IF(INDEX(tProdutos[Desconto homologado],MATCH(tItens[[#This Row],[Produto]],tProdutos[Produto],0))="",DescontoPadrao,INDEX(tProdutos[Desconto homologado],MATCH(tItens[[#This Row],[Produto]],tProdutos[Produto],0))),DescontoPadrao)</f>
        <v>0.249544626593807</v>
      </c>
      <c r="M4631" s="12">
        <f>tItens[[#This Row],[Valor]]*(1-tItens[[#This Row],[Desconto]])</f>
        <v>382.7322404371584</v>
      </c>
      <c r="N4631" t="str">
        <f>IFERROR(INDEX(tProdutos[Foco],MATCH(tItens[[#This Row],[Produto]],tProdutos[Produto],0)),"Não")</f>
        <v>Não</v>
      </c>
      <c r="O4631" t="str">
        <f>IFERROR(INDEX(tEditais[SRP],MATCH(tItens[[#This Row],[Edital]],tEditais[Edital],0)),"Não")</f>
        <v>Sim</v>
      </c>
      <c r="P4631" s="4">
        <f>IF(COUNTIFS(INDEX(tItens[Edital],1):tItens[[#This Row],[Edital]],tItens[[#This Row],[Edital]],INDEX(tItens[Produto],1):tItens[[#This Row],[Produto]],tItens[[#This Row],[Produto]])=1,1,0)</f>
        <v>1</v>
      </c>
    </row>
    <row r="4632" spans="1:16" x14ac:dyDescent="0.25">
      <c r="A4632" t="s">
        <v>1861</v>
      </c>
      <c r="B4632">
        <v>175</v>
      </c>
      <c r="C4632" t="s">
        <v>7464</v>
      </c>
      <c r="D4632" t="s">
        <v>297</v>
      </c>
      <c r="E4632" s="13">
        <v>4500</v>
      </c>
      <c r="F4632" s="12">
        <v>0.39</v>
      </c>
      <c r="G4632" t="str">
        <f>IFERROR(INDEX(tEditais[Órgão],MATCH(tItens[[#This Row],[Edital]],tEditais[Edital],0)),"")</f>
        <v>FUNDO MUNICIPAL DE SAUDE DE CAMOCIM DE SAO FELIX</v>
      </c>
      <c r="H4632" t="str">
        <f>IFERROR(INDEX(tEditais[UF],MATCH(tItens[[#This Row],[Edital]],tEditais[Edital],0)),"")</f>
        <v>PE</v>
      </c>
      <c r="I4632" s="11">
        <f>IFERROR(INDEX(tEditais[Encerramento],MATCH(tItens[[#This Row],[Edital]],tEditais[Edital],0)),"")</f>
        <v>46308.333333333336</v>
      </c>
      <c r="J4632" t="str">
        <f>IFERROR(INDEX(tProdutos[Classe],MATCH(tItens[[#This Row],[Produto]],tProdutos[Produto],0)),"produto não cadastrado")</f>
        <v>FORA</v>
      </c>
      <c r="K4632" s="12">
        <f>tItens[[#This Row],[Qtd]]*tItens[[#This Row],[Vlr unit]]</f>
        <v>1755</v>
      </c>
      <c r="L4632" s="6">
        <f>IFERROR(IF(INDEX(tProdutos[Desconto homologado],MATCH(tItens[[#This Row],[Produto]],tProdutos[Produto],0))="",DescontoPadrao,INDEX(tProdutos[Desconto homologado],MATCH(tItens[[#This Row],[Produto]],tProdutos[Produto],0))),DescontoPadrao)</f>
        <v>0.249544626593807</v>
      </c>
      <c r="M4632" s="12">
        <f>tItens[[#This Row],[Valor]]*(1-tItens[[#This Row],[Desconto]])</f>
        <v>1317.0491803278687</v>
      </c>
      <c r="N4632" t="str">
        <f>IFERROR(INDEX(tProdutos[Foco],MATCH(tItens[[#This Row],[Produto]],tProdutos[Produto],0)),"Não")</f>
        <v>Não</v>
      </c>
      <c r="O4632" t="str">
        <f>IFERROR(INDEX(tEditais[SRP],MATCH(tItens[[#This Row],[Edital]],tEditais[Edital],0)),"Não")</f>
        <v>Sim</v>
      </c>
      <c r="P4632" s="4">
        <f>IF(COUNTIFS(INDEX(tItens[Edital],1):tItens[[#This Row],[Edital]],tItens[[#This Row],[Edital]],INDEX(tItens[Produto],1):tItens[[#This Row],[Produto]],tItens[[#This Row],[Produto]])=1,1,0)</f>
        <v>0</v>
      </c>
    </row>
    <row r="4633" spans="1:16" x14ac:dyDescent="0.25">
      <c r="A4633" t="s">
        <v>1861</v>
      </c>
      <c r="B4633">
        <v>176</v>
      </c>
      <c r="C4633" t="s">
        <v>7465</v>
      </c>
      <c r="D4633" t="s">
        <v>297</v>
      </c>
      <c r="E4633" s="13">
        <v>4500</v>
      </c>
      <c r="F4633" s="12">
        <v>0.43</v>
      </c>
      <c r="G4633" t="str">
        <f>IFERROR(INDEX(tEditais[Órgão],MATCH(tItens[[#This Row],[Edital]],tEditais[Edital],0)),"")</f>
        <v>FUNDO MUNICIPAL DE SAUDE DE CAMOCIM DE SAO FELIX</v>
      </c>
      <c r="H4633" t="str">
        <f>IFERROR(INDEX(tEditais[UF],MATCH(tItens[[#This Row],[Edital]],tEditais[Edital],0)),"")</f>
        <v>PE</v>
      </c>
      <c r="I4633" s="11">
        <f>IFERROR(INDEX(tEditais[Encerramento],MATCH(tItens[[#This Row],[Edital]],tEditais[Edital],0)),"")</f>
        <v>46308.333333333336</v>
      </c>
      <c r="J4633" t="str">
        <f>IFERROR(INDEX(tProdutos[Classe],MATCH(tItens[[#This Row],[Produto]],tProdutos[Produto],0)),"produto não cadastrado")</f>
        <v>FORA</v>
      </c>
      <c r="K4633" s="12">
        <f>tItens[[#This Row],[Qtd]]*tItens[[#This Row],[Vlr unit]]</f>
        <v>1935</v>
      </c>
      <c r="L4633" s="6">
        <f>IFERROR(IF(INDEX(tProdutos[Desconto homologado],MATCH(tItens[[#This Row],[Produto]],tProdutos[Produto],0))="",DescontoPadrao,INDEX(tProdutos[Desconto homologado],MATCH(tItens[[#This Row],[Produto]],tProdutos[Produto],0))),DescontoPadrao)</f>
        <v>0.249544626593807</v>
      </c>
      <c r="M4633" s="12">
        <f>tItens[[#This Row],[Valor]]*(1-tItens[[#This Row],[Desconto]])</f>
        <v>1452.1311475409834</v>
      </c>
      <c r="N4633" t="str">
        <f>IFERROR(INDEX(tProdutos[Foco],MATCH(tItens[[#This Row],[Produto]],tProdutos[Produto],0)),"Não")</f>
        <v>Não</v>
      </c>
      <c r="O4633" t="str">
        <f>IFERROR(INDEX(tEditais[SRP],MATCH(tItens[[#This Row],[Edital]],tEditais[Edital],0)),"Não")</f>
        <v>Sim</v>
      </c>
      <c r="P4633" s="4">
        <f>IF(COUNTIFS(INDEX(tItens[Edital],1):tItens[[#This Row],[Edital]],tItens[[#This Row],[Edital]],INDEX(tItens[Produto],1):tItens[[#This Row],[Produto]],tItens[[#This Row],[Produto]])=1,1,0)</f>
        <v>0</v>
      </c>
    </row>
    <row r="4634" spans="1:16" x14ac:dyDescent="0.25">
      <c r="A4634" t="s">
        <v>1861</v>
      </c>
      <c r="B4634">
        <v>179</v>
      </c>
      <c r="C4634" t="s">
        <v>7466</v>
      </c>
      <c r="D4634" t="s">
        <v>281</v>
      </c>
      <c r="E4634" s="13">
        <v>50000</v>
      </c>
      <c r="F4634" s="12">
        <v>0.75</v>
      </c>
      <c r="G4634" t="str">
        <f>IFERROR(INDEX(tEditais[Órgão],MATCH(tItens[[#This Row],[Edital]],tEditais[Edital],0)),"")</f>
        <v>FUNDO MUNICIPAL DE SAUDE DE CAMOCIM DE SAO FELIX</v>
      </c>
      <c r="H4634" t="str">
        <f>IFERROR(INDEX(tEditais[UF],MATCH(tItens[[#This Row],[Edital]],tEditais[Edital],0)),"")</f>
        <v>PE</v>
      </c>
      <c r="I4634" s="11">
        <f>IFERROR(INDEX(tEditais[Encerramento],MATCH(tItens[[#This Row],[Edital]],tEditais[Edital],0)),"")</f>
        <v>46308.333333333336</v>
      </c>
      <c r="J4634" t="str">
        <f>IFERROR(INDEX(tProdutos[Classe],MATCH(tItens[[#This Row],[Produto]],tProdutos[Produto],0)),"produto não cadastrado")</f>
        <v>DISPUTADO</v>
      </c>
      <c r="K4634" s="12">
        <f>tItens[[#This Row],[Qtd]]*tItens[[#This Row],[Vlr unit]]</f>
        <v>37500</v>
      </c>
      <c r="L4634" s="6">
        <f>IFERROR(IF(INDEX(tProdutos[Desconto homologado],MATCH(tItens[[#This Row],[Produto]],tProdutos[Produto],0))="",DescontoPadrao,INDEX(tProdutos[Desconto homologado],MATCH(tItens[[#This Row],[Produto]],tProdutos[Produto],0))),DescontoPadrao)</f>
        <v>0.42461538461538501</v>
      </c>
      <c r="M4634" s="12">
        <f>tItens[[#This Row],[Valor]]*(1-tItens[[#This Row],[Desconto]])</f>
        <v>21576.92307692306</v>
      </c>
      <c r="N4634" t="str">
        <f>IFERROR(INDEX(tProdutos[Foco],MATCH(tItens[[#This Row],[Produto]],tProdutos[Produto],0)),"Não")</f>
        <v>Não</v>
      </c>
      <c r="O4634" t="str">
        <f>IFERROR(INDEX(tEditais[SRP],MATCH(tItens[[#This Row],[Edital]],tEditais[Edital],0)),"Não")</f>
        <v>Sim</v>
      </c>
      <c r="P4634" s="4">
        <f>IF(COUNTIFS(INDEX(tItens[Edital],1):tItens[[#This Row],[Edital]],tItens[[#This Row],[Edital]],INDEX(tItens[Produto],1):tItens[[#This Row],[Produto]],tItens[[#This Row],[Produto]])=1,1,0)</f>
        <v>1</v>
      </c>
    </row>
    <row r="4635" spans="1:16" x14ac:dyDescent="0.25">
      <c r="A4635" t="s">
        <v>1861</v>
      </c>
      <c r="B4635">
        <v>180</v>
      </c>
      <c r="C4635" t="s">
        <v>7467</v>
      </c>
      <c r="D4635" t="s">
        <v>275</v>
      </c>
      <c r="E4635" s="13">
        <v>50000</v>
      </c>
      <c r="F4635" s="12">
        <v>0.44</v>
      </c>
      <c r="G4635" t="str">
        <f>IFERROR(INDEX(tEditais[Órgão],MATCH(tItens[[#This Row],[Edital]],tEditais[Edital],0)),"")</f>
        <v>FUNDO MUNICIPAL DE SAUDE DE CAMOCIM DE SAO FELIX</v>
      </c>
      <c r="H4635" t="str">
        <f>IFERROR(INDEX(tEditais[UF],MATCH(tItens[[#This Row],[Edital]],tEditais[Edital],0)),"")</f>
        <v>PE</v>
      </c>
      <c r="I4635" s="11">
        <f>IFERROR(INDEX(tEditais[Encerramento],MATCH(tItens[[#This Row],[Edital]],tEditais[Edital],0)),"")</f>
        <v>46308.333333333336</v>
      </c>
      <c r="J4635" t="str">
        <f>IFERROR(INDEX(tProdutos[Classe],MATCH(tItens[[#This Row],[Produto]],tProdutos[Produto],0)),"produto não cadastrado")</f>
        <v>FORA</v>
      </c>
      <c r="K4635" s="12">
        <f>tItens[[#This Row],[Qtd]]*tItens[[#This Row],[Vlr unit]]</f>
        <v>22000</v>
      </c>
      <c r="L4635" s="6">
        <f>IFERROR(IF(INDEX(tProdutos[Desconto homologado],MATCH(tItens[[#This Row],[Produto]],tProdutos[Produto],0))="",DescontoPadrao,INDEX(tProdutos[Desconto homologado],MATCH(tItens[[#This Row],[Produto]],tProdutos[Produto],0))),DescontoPadrao)</f>
        <v>0.405797101449275</v>
      </c>
      <c r="M4635" s="12">
        <f>tItens[[#This Row],[Valor]]*(1-tItens[[#This Row],[Desconto]])</f>
        <v>13072.463768115951</v>
      </c>
      <c r="N4635" t="str">
        <f>IFERROR(INDEX(tProdutos[Foco],MATCH(tItens[[#This Row],[Produto]],tProdutos[Produto],0)),"Não")</f>
        <v>Não</v>
      </c>
      <c r="O4635" t="str">
        <f>IFERROR(INDEX(tEditais[SRP],MATCH(tItens[[#This Row],[Edital]],tEditais[Edital],0)),"Não")</f>
        <v>Sim</v>
      </c>
      <c r="P4635" s="4">
        <f>IF(COUNTIFS(INDEX(tItens[Edital],1):tItens[[#This Row],[Edital]],tItens[[#This Row],[Edital]],INDEX(tItens[Produto],1):tItens[[#This Row],[Produto]],tItens[[#This Row],[Produto]])=1,1,0)</f>
        <v>1</v>
      </c>
    </row>
    <row r="4636" spans="1:16" x14ac:dyDescent="0.25">
      <c r="A4636" t="s">
        <v>1861</v>
      </c>
      <c r="B4636">
        <v>181</v>
      </c>
      <c r="C4636" t="s">
        <v>7468</v>
      </c>
      <c r="D4636" t="s">
        <v>289</v>
      </c>
      <c r="E4636" s="13">
        <v>50000</v>
      </c>
      <c r="F4636" s="12">
        <v>0.7</v>
      </c>
      <c r="G4636" t="str">
        <f>IFERROR(INDEX(tEditais[Órgão],MATCH(tItens[[#This Row],[Edital]],tEditais[Edital],0)),"")</f>
        <v>FUNDO MUNICIPAL DE SAUDE DE CAMOCIM DE SAO FELIX</v>
      </c>
      <c r="H4636" t="str">
        <f>IFERROR(INDEX(tEditais[UF],MATCH(tItens[[#This Row],[Edital]],tEditais[Edital],0)),"")</f>
        <v>PE</v>
      </c>
      <c r="I4636" s="11">
        <f>IFERROR(INDEX(tEditais[Encerramento],MATCH(tItens[[#This Row],[Edital]],tEditais[Edital],0)),"")</f>
        <v>46308.333333333336</v>
      </c>
      <c r="J4636" t="str">
        <f>IFERROR(INDEX(tProdutos[Classe],MATCH(tItens[[#This Row],[Produto]],tProdutos[Produto],0)),"produto não cadastrado")</f>
        <v>DISPUTADO</v>
      </c>
      <c r="K4636" s="12">
        <f>tItens[[#This Row],[Qtd]]*tItens[[#This Row],[Vlr unit]]</f>
        <v>35000</v>
      </c>
      <c r="L4636" s="6">
        <f>IFERROR(IF(INDEX(tProdutos[Desconto homologado],MATCH(tItens[[#This Row],[Produto]],tProdutos[Produto],0))="",DescontoPadrao,INDEX(tProdutos[Desconto homologado],MATCH(tItens[[#This Row],[Produto]],tProdutos[Produto],0))),DescontoPadrao)</f>
        <v>0.35849056603773599</v>
      </c>
      <c r="M4636" s="12">
        <f>tItens[[#This Row],[Valor]]*(1-tItens[[#This Row],[Desconto]])</f>
        <v>22452.83018867924</v>
      </c>
      <c r="N4636" t="str">
        <f>IFERROR(INDEX(tProdutos[Foco],MATCH(tItens[[#This Row],[Produto]],tProdutos[Produto],0)),"Não")</f>
        <v>Não</v>
      </c>
      <c r="O4636" t="str">
        <f>IFERROR(INDEX(tEditais[SRP],MATCH(tItens[[#This Row],[Edital]],tEditais[Edital],0)),"Não")</f>
        <v>Sim</v>
      </c>
      <c r="P4636" s="4">
        <f>IF(COUNTIFS(INDEX(tItens[Edital],1):tItens[[#This Row],[Edital]],tItens[[#This Row],[Edital]],INDEX(tItens[Produto],1):tItens[[#This Row],[Produto]],tItens[[#This Row],[Produto]])=1,1,0)</f>
        <v>1</v>
      </c>
    </row>
    <row r="4637" spans="1:16" x14ac:dyDescent="0.25">
      <c r="A4637" t="s">
        <v>1861</v>
      </c>
      <c r="B4637">
        <v>182</v>
      </c>
      <c r="C4637" t="s">
        <v>7469</v>
      </c>
      <c r="D4637" t="s">
        <v>283</v>
      </c>
      <c r="E4637" s="13">
        <v>80000</v>
      </c>
      <c r="F4637" s="12">
        <v>0.65</v>
      </c>
      <c r="G4637" t="str">
        <f>IFERROR(INDEX(tEditais[Órgão],MATCH(tItens[[#This Row],[Edital]],tEditais[Edital],0)),"")</f>
        <v>FUNDO MUNICIPAL DE SAUDE DE CAMOCIM DE SAO FELIX</v>
      </c>
      <c r="H4637" t="str">
        <f>IFERROR(INDEX(tEditais[UF],MATCH(tItens[[#This Row],[Edital]],tEditais[Edital],0)),"")</f>
        <v>PE</v>
      </c>
      <c r="I4637" s="11">
        <f>IFERROR(INDEX(tEditais[Encerramento],MATCH(tItens[[#This Row],[Edital]],tEditais[Edital],0)),"")</f>
        <v>46308.333333333336</v>
      </c>
      <c r="J4637" t="str">
        <f>IFERROR(INDEX(tProdutos[Classe],MATCH(tItens[[#This Row],[Produto]],tProdutos[Produto],0)),"produto não cadastrado")</f>
        <v>FORA</v>
      </c>
      <c r="K4637" s="12">
        <f>tItens[[#This Row],[Qtd]]*tItens[[#This Row],[Vlr unit]]</f>
        <v>52000</v>
      </c>
      <c r="L4637" s="6">
        <f>IFERROR(IF(INDEX(tProdutos[Desconto homologado],MATCH(tItens[[#This Row],[Produto]],tProdutos[Produto],0))="",DescontoPadrao,INDEX(tProdutos[Desconto homologado],MATCH(tItens[[#This Row],[Produto]],tProdutos[Produto],0))),DescontoPadrao)</f>
        <v>0.40540540540540498</v>
      </c>
      <c r="M4637" s="12">
        <f>tItens[[#This Row],[Valor]]*(1-tItens[[#This Row],[Desconto]])</f>
        <v>30918.918918918938</v>
      </c>
      <c r="N4637" t="str">
        <f>IFERROR(INDEX(tProdutos[Foco],MATCH(tItens[[#This Row],[Produto]],tProdutos[Produto],0)),"Não")</f>
        <v>Não</v>
      </c>
      <c r="O4637" t="str">
        <f>IFERROR(INDEX(tEditais[SRP],MATCH(tItens[[#This Row],[Edital]],tEditais[Edital],0)),"Não")</f>
        <v>Sim</v>
      </c>
      <c r="P4637" s="4">
        <f>IF(COUNTIFS(INDEX(tItens[Edital],1):tItens[[#This Row],[Edital]],tItens[[#This Row],[Edital]],INDEX(tItens[Produto],1):tItens[[#This Row],[Produto]],tItens[[#This Row],[Produto]])=1,1,0)</f>
        <v>1</v>
      </c>
    </row>
    <row r="4638" spans="1:16" x14ac:dyDescent="0.25">
      <c r="A4638" t="s">
        <v>1861</v>
      </c>
      <c r="B4638">
        <v>183</v>
      </c>
      <c r="C4638" t="s">
        <v>7470</v>
      </c>
      <c r="D4638" t="s">
        <v>265</v>
      </c>
      <c r="E4638" s="13">
        <v>80000</v>
      </c>
      <c r="F4638" s="12">
        <v>0.3</v>
      </c>
      <c r="G4638" t="str">
        <f>IFERROR(INDEX(tEditais[Órgão],MATCH(tItens[[#This Row],[Edital]],tEditais[Edital],0)),"")</f>
        <v>FUNDO MUNICIPAL DE SAUDE DE CAMOCIM DE SAO FELIX</v>
      </c>
      <c r="H4638" t="str">
        <f>IFERROR(INDEX(tEditais[UF],MATCH(tItens[[#This Row],[Edital]],tEditais[Edital],0)),"")</f>
        <v>PE</v>
      </c>
      <c r="I4638" s="11">
        <f>IFERROR(INDEX(tEditais[Encerramento],MATCH(tItens[[#This Row],[Edital]],tEditais[Edital],0)),"")</f>
        <v>46308.333333333336</v>
      </c>
      <c r="J4638" t="str">
        <f>IFERROR(INDEX(tProdutos[Classe],MATCH(tItens[[#This Row],[Produto]],tProdutos[Produto],0)),"produto não cadastrado")</f>
        <v>DISPUTADO</v>
      </c>
      <c r="K4638" s="12">
        <f>tItens[[#This Row],[Qtd]]*tItens[[#This Row],[Vlr unit]]</f>
        <v>24000</v>
      </c>
      <c r="L4638" s="6">
        <f>IFERROR(IF(INDEX(tProdutos[Desconto homologado],MATCH(tItens[[#This Row],[Produto]],tProdutos[Produto],0))="",DescontoPadrao,INDEX(tProdutos[Desconto homologado],MATCH(tItens[[#This Row],[Produto]],tProdutos[Produto],0))),DescontoPadrao)</f>
        <v>0.377587663709337</v>
      </c>
      <c r="M4638" s="12">
        <f>tItens[[#This Row],[Valor]]*(1-tItens[[#This Row],[Desconto]])</f>
        <v>14937.896070975914</v>
      </c>
      <c r="N4638" t="str">
        <f>IFERROR(INDEX(tProdutos[Foco],MATCH(tItens[[#This Row],[Produto]],tProdutos[Produto],0)),"Não")</f>
        <v>Não</v>
      </c>
      <c r="O4638" t="str">
        <f>IFERROR(INDEX(tEditais[SRP],MATCH(tItens[[#This Row],[Edital]],tEditais[Edital],0)),"Não")</f>
        <v>Sim</v>
      </c>
      <c r="P4638" s="4">
        <f>IF(COUNTIFS(INDEX(tItens[Edital],1):tItens[[#This Row],[Edital]],tItens[[#This Row],[Edital]],INDEX(tItens[Produto],1):tItens[[#This Row],[Produto]],tItens[[#This Row],[Produto]])=1,1,0)</f>
        <v>1</v>
      </c>
    </row>
    <row r="4639" spans="1:16" x14ac:dyDescent="0.25">
      <c r="A4639" t="s">
        <v>1861</v>
      </c>
      <c r="B4639">
        <v>202</v>
      </c>
      <c r="C4639" t="s">
        <v>7471</v>
      </c>
      <c r="D4639" t="s">
        <v>164</v>
      </c>
      <c r="E4639" s="13">
        <v>500</v>
      </c>
      <c r="F4639" s="12">
        <v>10.3</v>
      </c>
      <c r="G4639" t="str">
        <f>IFERROR(INDEX(tEditais[Órgão],MATCH(tItens[[#This Row],[Edital]],tEditais[Edital],0)),"")</f>
        <v>FUNDO MUNICIPAL DE SAUDE DE CAMOCIM DE SAO FELIX</v>
      </c>
      <c r="H4639" t="str">
        <f>IFERROR(INDEX(tEditais[UF],MATCH(tItens[[#This Row],[Edital]],tEditais[Edital],0)),"")</f>
        <v>PE</v>
      </c>
      <c r="I4639" s="11">
        <f>IFERROR(INDEX(tEditais[Encerramento],MATCH(tItens[[#This Row],[Edital]],tEditais[Edital],0)),"")</f>
        <v>46308.333333333336</v>
      </c>
      <c r="J4639" t="str">
        <f>IFERROR(INDEX(tProdutos[Classe],MATCH(tItens[[#This Row],[Produto]],tProdutos[Produto],0)),"produto não cadastrado")</f>
        <v>DISPUTADO</v>
      </c>
      <c r="K4639" s="12">
        <f>tItens[[#This Row],[Qtd]]*tItens[[#This Row],[Vlr unit]]</f>
        <v>5150</v>
      </c>
      <c r="L4639" s="6">
        <f>IFERROR(IF(INDEX(tProdutos[Desconto homologado],MATCH(tItens[[#This Row],[Produto]],tProdutos[Produto],0))="",DescontoPadrao,INDEX(tProdutos[Desconto homologado],MATCH(tItens[[#This Row],[Produto]],tProdutos[Produto],0))),DescontoPadrao)</f>
        <v>0.445300462249615</v>
      </c>
      <c r="M4639" s="12">
        <f>tItens[[#This Row],[Valor]]*(1-tItens[[#This Row],[Desconto]])</f>
        <v>2856.7026194144823</v>
      </c>
      <c r="N4639" t="str">
        <f>IFERROR(INDEX(tProdutos[Foco],MATCH(tItens[[#This Row],[Produto]],tProdutos[Produto],0)),"Não")</f>
        <v>Não</v>
      </c>
      <c r="O4639" t="str">
        <f>IFERROR(INDEX(tEditais[SRP],MATCH(tItens[[#This Row],[Edital]],tEditais[Edital],0)),"Não")</f>
        <v>Sim</v>
      </c>
      <c r="P4639" s="4">
        <f>IF(COUNTIFS(INDEX(tItens[Edital],1):tItens[[#This Row],[Edital]],tItens[[#This Row],[Edital]],INDEX(tItens[Produto],1):tItens[[#This Row],[Produto]],tItens[[#This Row],[Produto]])=1,1,0)</f>
        <v>1</v>
      </c>
    </row>
    <row r="4640" spans="1:16" x14ac:dyDescent="0.25">
      <c r="A4640" t="s">
        <v>1861</v>
      </c>
      <c r="B4640">
        <v>203</v>
      </c>
      <c r="C4640" t="s">
        <v>7472</v>
      </c>
      <c r="D4640" t="s">
        <v>164</v>
      </c>
      <c r="E4640" s="13">
        <v>500</v>
      </c>
      <c r="F4640" s="12">
        <v>9.81</v>
      </c>
      <c r="G4640" t="str">
        <f>IFERROR(INDEX(tEditais[Órgão],MATCH(tItens[[#This Row],[Edital]],tEditais[Edital],0)),"")</f>
        <v>FUNDO MUNICIPAL DE SAUDE DE CAMOCIM DE SAO FELIX</v>
      </c>
      <c r="H4640" t="str">
        <f>IFERROR(INDEX(tEditais[UF],MATCH(tItens[[#This Row],[Edital]],tEditais[Edital],0)),"")</f>
        <v>PE</v>
      </c>
      <c r="I4640" s="11">
        <f>IFERROR(INDEX(tEditais[Encerramento],MATCH(tItens[[#This Row],[Edital]],tEditais[Edital],0)),"")</f>
        <v>46308.333333333336</v>
      </c>
      <c r="J4640" t="str">
        <f>IFERROR(INDEX(tProdutos[Classe],MATCH(tItens[[#This Row],[Produto]],tProdutos[Produto],0)),"produto não cadastrado")</f>
        <v>DISPUTADO</v>
      </c>
      <c r="K4640" s="12">
        <f>tItens[[#This Row],[Qtd]]*tItens[[#This Row],[Vlr unit]]</f>
        <v>4905</v>
      </c>
      <c r="L4640" s="6">
        <f>IFERROR(IF(INDEX(tProdutos[Desconto homologado],MATCH(tItens[[#This Row],[Produto]],tProdutos[Produto],0))="",DescontoPadrao,INDEX(tProdutos[Desconto homologado],MATCH(tItens[[#This Row],[Produto]],tProdutos[Produto],0))),DescontoPadrao)</f>
        <v>0.445300462249615</v>
      </c>
      <c r="M4640" s="12">
        <f>tItens[[#This Row],[Valor]]*(1-tItens[[#This Row],[Desconto]])</f>
        <v>2720.8012326656381</v>
      </c>
      <c r="N4640" t="str">
        <f>IFERROR(INDEX(tProdutos[Foco],MATCH(tItens[[#This Row],[Produto]],tProdutos[Produto],0)),"Não")</f>
        <v>Não</v>
      </c>
      <c r="O4640" t="str">
        <f>IFERROR(INDEX(tEditais[SRP],MATCH(tItens[[#This Row],[Edital]],tEditais[Edital],0)),"Não")</f>
        <v>Sim</v>
      </c>
      <c r="P4640" s="4">
        <f>IF(COUNTIFS(INDEX(tItens[Edital],1):tItens[[#This Row],[Edital]],tItens[[#This Row],[Edital]],INDEX(tItens[Produto],1):tItens[[#This Row],[Produto]],tItens[[#This Row],[Produto]])=1,1,0)</f>
        <v>0</v>
      </c>
    </row>
    <row r="4641" spans="1:16" x14ac:dyDescent="0.25">
      <c r="A4641" t="s">
        <v>1861</v>
      </c>
      <c r="B4641">
        <v>204</v>
      </c>
      <c r="C4641" t="s">
        <v>7473</v>
      </c>
      <c r="D4641" t="s">
        <v>164</v>
      </c>
      <c r="E4641" s="13">
        <v>500</v>
      </c>
      <c r="F4641" s="12">
        <v>8.7899999999999991</v>
      </c>
      <c r="G4641" t="str">
        <f>IFERROR(INDEX(tEditais[Órgão],MATCH(tItens[[#This Row],[Edital]],tEditais[Edital],0)),"")</f>
        <v>FUNDO MUNICIPAL DE SAUDE DE CAMOCIM DE SAO FELIX</v>
      </c>
      <c r="H4641" t="str">
        <f>IFERROR(INDEX(tEditais[UF],MATCH(tItens[[#This Row],[Edital]],tEditais[Edital],0)),"")</f>
        <v>PE</v>
      </c>
      <c r="I4641" s="11">
        <f>IFERROR(INDEX(tEditais[Encerramento],MATCH(tItens[[#This Row],[Edital]],tEditais[Edital],0)),"")</f>
        <v>46308.333333333336</v>
      </c>
      <c r="J4641" t="str">
        <f>IFERROR(INDEX(tProdutos[Classe],MATCH(tItens[[#This Row],[Produto]],tProdutos[Produto],0)),"produto não cadastrado")</f>
        <v>DISPUTADO</v>
      </c>
      <c r="K4641" s="12">
        <f>tItens[[#This Row],[Qtd]]*tItens[[#This Row],[Vlr unit]]</f>
        <v>4395</v>
      </c>
      <c r="L4641" s="6">
        <f>IFERROR(IF(INDEX(tProdutos[Desconto homologado],MATCH(tItens[[#This Row],[Produto]],tProdutos[Produto],0))="",DescontoPadrao,INDEX(tProdutos[Desconto homologado],MATCH(tItens[[#This Row],[Produto]],tProdutos[Produto],0))),DescontoPadrao)</f>
        <v>0.445300462249615</v>
      </c>
      <c r="M4641" s="12">
        <f>tItens[[#This Row],[Valor]]*(1-tItens[[#This Row],[Desconto]])</f>
        <v>2437.9044684129417</v>
      </c>
      <c r="N4641" t="str">
        <f>IFERROR(INDEX(tProdutos[Foco],MATCH(tItens[[#This Row],[Produto]],tProdutos[Produto],0)),"Não")</f>
        <v>Não</v>
      </c>
      <c r="O4641" t="str">
        <f>IFERROR(INDEX(tEditais[SRP],MATCH(tItens[[#This Row],[Edital]],tEditais[Edital],0)),"Não")</f>
        <v>Sim</v>
      </c>
      <c r="P4641" s="4">
        <f>IF(COUNTIFS(INDEX(tItens[Edital],1):tItens[[#This Row],[Edital]],tItens[[#This Row],[Edital]],INDEX(tItens[Produto],1):tItens[[#This Row],[Produto]],tItens[[#This Row],[Produto]])=1,1,0)</f>
        <v>0</v>
      </c>
    </row>
    <row r="4642" spans="1:16" x14ac:dyDescent="0.25">
      <c r="A4642" t="s">
        <v>1861</v>
      </c>
      <c r="B4642">
        <v>205</v>
      </c>
      <c r="C4642" t="s">
        <v>7474</v>
      </c>
      <c r="D4642" t="s">
        <v>164</v>
      </c>
      <c r="E4642" s="13">
        <v>300</v>
      </c>
      <c r="F4642" s="12">
        <v>8.7899999999999991</v>
      </c>
      <c r="G4642" t="str">
        <f>IFERROR(INDEX(tEditais[Órgão],MATCH(tItens[[#This Row],[Edital]],tEditais[Edital],0)),"")</f>
        <v>FUNDO MUNICIPAL DE SAUDE DE CAMOCIM DE SAO FELIX</v>
      </c>
      <c r="H4642" t="str">
        <f>IFERROR(INDEX(tEditais[UF],MATCH(tItens[[#This Row],[Edital]],tEditais[Edital],0)),"")</f>
        <v>PE</v>
      </c>
      <c r="I4642" s="11">
        <f>IFERROR(INDEX(tEditais[Encerramento],MATCH(tItens[[#This Row],[Edital]],tEditais[Edital],0)),"")</f>
        <v>46308.333333333336</v>
      </c>
      <c r="J4642" t="str">
        <f>IFERROR(INDEX(tProdutos[Classe],MATCH(tItens[[#This Row],[Produto]],tProdutos[Produto],0)),"produto não cadastrado")</f>
        <v>DISPUTADO</v>
      </c>
      <c r="K4642" s="12">
        <f>tItens[[#This Row],[Qtd]]*tItens[[#This Row],[Vlr unit]]</f>
        <v>2636.9999999999995</v>
      </c>
      <c r="L4642" s="6">
        <f>IFERROR(IF(INDEX(tProdutos[Desconto homologado],MATCH(tItens[[#This Row],[Produto]],tProdutos[Produto],0))="",DescontoPadrao,INDEX(tProdutos[Desconto homologado],MATCH(tItens[[#This Row],[Produto]],tProdutos[Produto],0))),DescontoPadrao)</f>
        <v>0.445300462249615</v>
      </c>
      <c r="M4642" s="12">
        <f>tItens[[#This Row],[Valor]]*(1-tItens[[#This Row],[Desconto]])</f>
        <v>1462.7426810477648</v>
      </c>
      <c r="N4642" t="str">
        <f>IFERROR(INDEX(tProdutos[Foco],MATCH(tItens[[#This Row],[Produto]],tProdutos[Produto],0)),"Não")</f>
        <v>Não</v>
      </c>
      <c r="O4642" t="str">
        <f>IFERROR(INDEX(tEditais[SRP],MATCH(tItens[[#This Row],[Edital]],tEditais[Edital],0)),"Não")</f>
        <v>Sim</v>
      </c>
      <c r="P4642" s="4">
        <f>IF(COUNTIFS(INDEX(tItens[Edital],1):tItens[[#This Row],[Edital]],tItens[[#This Row],[Edital]],INDEX(tItens[Produto],1):tItens[[#This Row],[Produto]],tItens[[#This Row],[Produto]])=1,1,0)</f>
        <v>0</v>
      </c>
    </row>
    <row r="4643" spans="1:16" x14ac:dyDescent="0.25">
      <c r="A4643" t="s">
        <v>1861</v>
      </c>
      <c r="B4643">
        <v>206</v>
      </c>
      <c r="C4643" t="s">
        <v>7475</v>
      </c>
      <c r="D4643" t="s">
        <v>110</v>
      </c>
      <c r="E4643" s="13">
        <v>3000</v>
      </c>
      <c r="F4643" s="12">
        <v>1.01</v>
      </c>
      <c r="G4643" t="str">
        <f>IFERROR(INDEX(tEditais[Órgão],MATCH(tItens[[#This Row],[Edital]],tEditais[Edital],0)),"")</f>
        <v>FUNDO MUNICIPAL DE SAUDE DE CAMOCIM DE SAO FELIX</v>
      </c>
      <c r="H4643" t="str">
        <f>IFERROR(INDEX(tEditais[UF],MATCH(tItens[[#This Row],[Edital]],tEditais[Edital],0)),"")</f>
        <v>PE</v>
      </c>
      <c r="I4643" s="11">
        <f>IFERROR(INDEX(tEditais[Encerramento],MATCH(tItens[[#This Row],[Edital]],tEditais[Edital],0)),"")</f>
        <v>46308.333333333336</v>
      </c>
      <c r="J4643" t="str">
        <f>IFERROR(INDEX(tProdutos[Classe],MATCH(tItens[[#This Row],[Produto]],tProdutos[Produto],0)),"produto não cadastrado")</f>
        <v>NÚCLEO</v>
      </c>
      <c r="K4643" s="12">
        <f>tItens[[#This Row],[Qtd]]*tItens[[#This Row],[Vlr unit]]</f>
        <v>3030</v>
      </c>
      <c r="L4643" s="6">
        <f>IFERROR(IF(INDEX(tProdutos[Desconto homologado],MATCH(tItens[[#This Row],[Produto]],tProdutos[Produto],0))="",DescontoPadrao,INDEX(tProdutos[Desconto homologado],MATCH(tItens[[#This Row],[Produto]],tProdutos[Produto],0))),DescontoPadrao)</f>
        <v>0.30410958904109597</v>
      </c>
      <c r="M4643" s="12">
        <f>tItens[[#This Row],[Valor]]*(1-tItens[[#This Row],[Desconto]])</f>
        <v>2108.5479452054792</v>
      </c>
      <c r="N4643" t="str">
        <f>IFERROR(INDEX(tProdutos[Foco],MATCH(tItens[[#This Row],[Produto]],tProdutos[Produto],0)),"Não")</f>
        <v>Não</v>
      </c>
      <c r="O4643" t="str">
        <f>IFERROR(INDEX(tEditais[SRP],MATCH(tItens[[#This Row],[Edital]],tEditais[Edital],0)),"Não")</f>
        <v>Sim</v>
      </c>
      <c r="P4643" s="4">
        <f>IF(COUNTIFS(INDEX(tItens[Edital],1):tItens[[#This Row],[Edital]],tItens[[#This Row],[Edital]],INDEX(tItens[Produto],1):tItens[[#This Row],[Produto]],tItens[[#This Row],[Produto]])=1,1,0)</f>
        <v>1</v>
      </c>
    </row>
    <row r="4644" spans="1:16" x14ac:dyDescent="0.25">
      <c r="A4644" t="s">
        <v>1861</v>
      </c>
      <c r="B4644">
        <v>207</v>
      </c>
      <c r="C4644" t="s">
        <v>7476</v>
      </c>
      <c r="D4644" t="s">
        <v>110</v>
      </c>
      <c r="E4644" s="13">
        <v>1200</v>
      </c>
      <c r="F4644" s="12">
        <v>0.97</v>
      </c>
      <c r="G4644" t="str">
        <f>IFERROR(INDEX(tEditais[Órgão],MATCH(tItens[[#This Row],[Edital]],tEditais[Edital],0)),"")</f>
        <v>FUNDO MUNICIPAL DE SAUDE DE CAMOCIM DE SAO FELIX</v>
      </c>
      <c r="H4644" t="str">
        <f>IFERROR(INDEX(tEditais[UF],MATCH(tItens[[#This Row],[Edital]],tEditais[Edital],0)),"")</f>
        <v>PE</v>
      </c>
      <c r="I4644" s="11">
        <f>IFERROR(INDEX(tEditais[Encerramento],MATCH(tItens[[#This Row],[Edital]],tEditais[Edital],0)),"")</f>
        <v>46308.333333333336</v>
      </c>
      <c r="J4644" t="str">
        <f>IFERROR(INDEX(tProdutos[Classe],MATCH(tItens[[#This Row],[Produto]],tProdutos[Produto],0)),"produto não cadastrado")</f>
        <v>NÚCLEO</v>
      </c>
      <c r="K4644" s="12">
        <f>tItens[[#This Row],[Qtd]]*tItens[[#This Row],[Vlr unit]]</f>
        <v>1164</v>
      </c>
      <c r="L4644" s="6">
        <f>IFERROR(IF(INDEX(tProdutos[Desconto homologado],MATCH(tItens[[#This Row],[Produto]],tProdutos[Produto],0))="",DescontoPadrao,INDEX(tProdutos[Desconto homologado],MATCH(tItens[[#This Row],[Produto]],tProdutos[Produto],0))),DescontoPadrao)</f>
        <v>0.30410958904109597</v>
      </c>
      <c r="M4644" s="12">
        <f>tItens[[#This Row],[Valor]]*(1-tItens[[#This Row],[Desconto]])</f>
        <v>810.01643835616426</v>
      </c>
      <c r="N4644" t="str">
        <f>IFERROR(INDEX(tProdutos[Foco],MATCH(tItens[[#This Row],[Produto]],tProdutos[Produto],0)),"Não")</f>
        <v>Não</v>
      </c>
      <c r="O4644" t="str">
        <f>IFERROR(INDEX(tEditais[SRP],MATCH(tItens[[#This Row],[Edital]],tEditais[Edital],0)),"Não")</f>
        <v>Sim</v>
      </c>
      <c r="P4644" s="4">
        <f>IF(COUNTIFS(INDEX(tItens[Edital],1):tItens[[#This Row],[Edital]],tItens[[#This Row],[Edital]],INDEX(tItens[Produto],1):tItens[[#This Row],[Produto]],tItens[[#This Row],[Produto]])=1,1,0)</f>
        <v>0</v>
      </c>
    </row>
    <row r="4645" spans="1:16" x14ac:dyDescent="0.25">
      <c r="A4645" t="s">
        <v>1861</v>
      </c>
      <c r="B4645">
        <v>208</v>
      </c>
      <c r="C4645" t="s">
        <v>7477</v>
      </c>
      <c r="D4645" t="s">
        <v>110</v>
      </c>
      <c r="E4645" s="13">
        <v>3000</v>
      </c>
      <c r="F4645" s="12">
        <v>0.92</v>
      </c>
      <c r="G4645" t="str">
        <f>IFERROR(INDEX(tEditais[Órgão],MATCH(tItens[[#This Row],[Edital]],tEditais[Edital],0)),"")</f>
        <v>FUNDO MUNICIPAL DE SAUDE DE CAMOCIM DE SAO FELIX</v>
      </c>
      <c r="H4645" t="str">
        <f>IFERROR(INDEX(tEditais[UF],MATCH(tItens[[#This Row],[Edital]],tEditais[Edital],0)),"")</f>
        <v>PE</v>
      </c>
      <c r="I4645" s="11">
        <f>IFERROR(INDEX(tEditais[Encerramento],MATCH(tItens[[#This Row],[Edital]],tEditais[Edital],0)),"")</f>
        <v>46308.333333333336</v>
      </c>
      <c r="J4645" t="str">
        <f>IFERROR(INDEX(tProdutos[Classe],MATCH(tItens[[#This Row],[Produto]],tProdutos[Produto],0)),"produto não cadastrado")</f>
        <v>NÚCLEO</v>
      </c>
      <c r="K4645" s="12">
        <f>tItens[[#This Row],[Qtd]]*tItens[[#This Row],[Vlr unit]]</f>
        <v>2760</v>
      </c>
      <c r="L4645" s="6">
        <f>IFERROR(IF(INDEX(tProdutos[Desconto homologado],MATCH(tItens[[#This Row],[Produto]],tProdutos[Produto],0))="",DescontoPadrao,INDEX(tProdutos[Desconto homologado],MATCH(tItens[[#This Row],[Produto]],tProdutos[Produto],0))),DescontoPadrao)</f>
        <v>0.30410958904109597</v>
      </c>
      <c r="M4645" s="12">
        <f>tItens[[#This Row],[Valor]]*(1-tItens[[#This Row],[Desconto]])</f>
        <v>1920.6575342465751</v>
      </c>
      <c r="N4645" t="str">
        <f>IFERROR(INDEX(tProdutos[Foco],MATCH(tItens[[#This Row],[Produto]],tProdutos[Produto],0)),"Não")</f>
        <v>Não</v>
      </c>
      <c r="O4645" t="str">
        <f>IFERROR(INDEX(tEditais[SRP],MATCH(tItens[[#This Row],[Edital]],tEditais[Edital],0)),"Não")</f>
        <v>Sim</v>
      </c>
      <c r="P4645" s="4">
        <f>IF(COUNTIFS(INDEX(tItens[Edital],1):tItens[[#This Row],[Edital]],tItens[[#This Row],[Edital]],INDEX(tItens[Produto],1):tItens[[#This Row],[Produto]],tItens[[#This Row],[Produto]])=1,1,0)</f>
        <v>0</v>
      </c>
    </row>
    <row r="4646" spans="1:16" x14ac:dyDescent="0.25">
      <c r="A4646" t="s">
        <v>1861</v>
      </c>
      <c r="B4646">
        <v>209</v>
      </c>
      <c r="C4646" t="s">
        <v>7478</v>
      </c>
      <c r="D4646" t="s">
        <v>110</v>
      </c>
      <c r="E4646" s="13">
        <v>1500</v>
      </c>
      <c r="F4646" s="12">
        <v>1.02</v>
      </c>
      <c r="G4646" t="str">
        <f>IFERROR(INDEX(tEditais[Órgão],MATCH(tItens[[#This Row],[Edital]],tEditais[Edital],0)),"")</f>
        <v>FUNDO MUNICIPAL DE SAUDE DE CAMOCIM DE SAO FELIX</v>
      </c>
      <c r="H4646" t="str">
        <f>IFERROR(INDEX(tEditais[UF],MATCH(tItens[[#This Row],[Edital]],tEditais[Edital],0)),"")</f>
        <v>PE</v>
      </c>
      <c r="I4646" s="11">
        <f>IFERROR(INDEX(tEditais[Encerramento],MATCH(tItens[[#This Row],[Edital]],tEditais[Edital],0)),"")</f>
        <v>46308.333333333336</v>
      </c>
      <c r="J4646" t="str">
        <f>IFERROR(INDEX(tProdutos[Classe],MATCH(tItens[[#This Row],[Produto]],tProdutos[Produto],0)),"produto não cadastrado")</f>
        <v>NÚCLEO</v>
      </c>
      <c r="K4646" s="12">
        <f>tItens[[#This Row],[Qtd]]*tItens[[#This Row],[Vlr unit]]</f>
        <v>1530</v>
      </c>
      <c r="L4646" s="6">
        <f>IFERROR(IF(INDEX(tProdutos[Desconto homologado],MATCH(tItens[[#This Row],[Produto]],tProdutos[Produto],0))="",DescontoPadrao,INDEX(tProdutos[Desconto homologado],MATCH(tItens[[#This Row],[Produto]],tProdutos[Produto],0))),DescontoPadrao)</f>
        <v>0.30410958904109597</v>
      </c>
      <c r="M4646" s="12">
        <f>tItens[[#This Row],[Valor]]*(1-tItens[[#This Row],[Desconto]])</f>
        <v>1064.7123287671232</v>
      </c>
      <c r="N4646" t="str">
        <f>IFERROR(INDEX(tProdutos[Foco],MATCH(tItens[[#This Row],[Produto]],tProdutos[Produto],0)),"Não")</f>
        <v>Não</v>
      </c>
      <c r="O4646" t="str">
        <f>IFERROR(INDEX(tEditais[SRP],MATCH(tItens[[#This Row],[Edital]],tEditais[Edital],0)),"Não")</f>
        <v>Sim</v>
      </c>
      <c r="P4646" s="4">
        <f>IF(COUNTIFS(INDEX(tItens[Edital],1):tItens[[#This Row],[Edital]],tItens[[#This Row],[Edital]],INDEX(tItens[Produto],1):tItens[[#This Row],[Produto]],tItens[[#This Row],[Produto]])=1,1,0)</f>
        <v>0</v>
      </c>
    </row>
    <row r="4647" spans="1:16" x14ac:dyDescent="0.25">
      <c r="A4647" t="s">
        <v>1861</v>
      </c>
      <c r="B4647">
        <v>210</v>
      </c>
      <c r="C4647" t="s">
        <v>7479</v>
      </c>
      <c r="D4647" t="s">
        <v>110</v>
      </c>
      <c r="E4647" s="13">
        <v>1500</v>
      </c>
      <c r="F4647" s="12">
        <v>1.2</v>
      </c>
      <c r="G4647" t="str">
        <f>IFERROR(INDEX(tEditais[Órgão],MATCH(tItens[[#This Row],[Edital]],tEditais[Edital],0)),"")</f>
        <v>FUNDO MUNICIPAL DE SAUDE DE CAMOCIM DE SAO FELIX</v>
      </c>
      <c r="H4647" t="str">
        <f>IFERROR(INDEX(tEditais[UF],MATCH(tItens[[#This Row],[Edital]],tEditais[Edital],0)),"")</f>
        <v>PE</v>
      </c>
      <c r="I4647" s="11">
        <f>IFERROR(INDEX(tEditais[Encerramento],MATCH(tItens[[#This Row],[Edital]],tEditais[Edital],0)),"")</f>
        <v>46308.333333333336</v>
      </c>
      <c r="J4647" t="str">
        <f>IFERROR(INDEX(tProdutos[Classe],MATCH(tItens[[#This Row],[Produto]],tProdutos[Produto],0)),"produto não cadastrado")</f>
        <v>NÚCLEO</v>
      </c>
      <c r="K4647" s="12">
        <f>tItens[[#This Row],[Qtd]]*tItens[[#This Row],[Vlr unit]]</f>
        <v>1800</v>
      </c>
      <c r="L4647" s="6">
        <f>IFERROR(IF(INDEX(tProdutos[Desconto homologado],MATCH(tItens[[#This Row],[Produto]],tProdutos[Produto],0))="",DescontoPadrao,INDEX(tProdutos[Desconto homologado],MATCH(tItens[[#This Row],[Produto]],tProdutos[Produto],0))),DescontoPadrao)</f>
        <v>0.30410958904109597</v>
      </c>
      <c r="M4647" s="12">
        <f>tItens[[#This Row],[Valor]]*(1-tItens[[#This Row],[Desconto]])</f>
        <v>1252.6027397260273</v>
      </c>
      <c r="N4647" t="str">
        <f>IFERROR(INDEX(tProdutos[Foco],MATCH(tItens[[#This Row],[Produto]],tProdutos[Produto],0)),"Não")</f>
        <v>Não</v>
      </c>
      <c r="O4647" t="str">
        <f>IFERROR(INDEX(tEditais[SRP],MATCH(tItens[[#This Row],[Edital]],tEditais[Edital],0)),"Não")</f>
        <v>Sim</v>
      </c>
      <c r="P4647" s="4">
        <f>IF(COUNTIFS(INDEX(tItens[Edital],1):tItens[[#This Row],[Edital]],tItens[[#This Row],[Edital]],INDEX(tItens[Produto],1):tItens[[#This Row],[Produto]],tItens[[#This Row],[Produto]])=1,1,0)</f>
        <v>0</v>
      </c>
    </row>
    <row r="4648" spans="1:16" x14ac:dyDescent="0.25">
      <c r="A4648" t="s">
        <v>1861</v>
      </c>
      <c r="B4648">
        <v>211</v>
      </c>
      <c r="C4648" t="s">
        <v>7480</v>
      </c>
      <c r="D4648" t="s">
        <v>110</v>
      </c>
      <c r="E4648" s="13">
        <v>1500</v>
      </c>
      <c r="F4648" s="12">
        <v>1.1299999999999999</v>
      </c>
      <c r="G4648" t="str">
        <f>IFERROR(INDEX(tEditais[Órgão],MATCH(tItens[[#This Row],[Edital]],tEditais[Edital],0)),"")</f>
        <v>FUNDO MUNICIPAL DE SAUDE DE CAMOCIM DE SAO FELIX</v>
      </c>
      <c r="H4648" t="str">
        <f>IFERROR(INDEX(tEditais[UF],MATCH(tItens[[#This Row],[Edital]],tEditais[Edital],0)),"")</f>
        <v>PE</v>
      </c>
      <c r="I4648" s="11">
        <f>IFERROR(INDEX(tEditais[Encerramento],MATCH(tItens[[#This Row],[Edital]],tEditais[Edital],0)),"")</f>
        <v>46308.333333333336</v>
      </c>
      <c r="J4648" t="str">
        <f>IFERROR(INDEX(tProdutos[Classe],MATCH(tItens[[#This Row],[Produto]],tProdutos[Produto],0)),"produto não cadastrado")</f>
        <v>NÚCLEO</v>
      </c>
      <c r="K4648" s="12">
        <f>tItens[[#This Row],[Qtd]]*tItens[[#This Row],[Vlr unit]]</f>
        <v>1694.9999999999998</v>
      </c>
      <c r="L4648" s="6">
        <f>IFERROR(IF(INDEX(tProdutos[Desconto homologado],MATCH(tItens[[#This Row],[Produto]],tProdutos[Produto],0))="",DescontoPadrao,INDEX(tProdutos[Desconto homologado],MATCH(tItens[[#This Row],[Produto]],tProdutos[Produto],0))),DescontoPadrao)</f>
        <v>0.30410958904109597</v>
      </c>
      <c r="M4648" s="12">
        <f>tItens[[#This Row],[Valor]]*(1-tItens[[#This Row],[Desconto]])</f>
        <v>1179.5342465753422</v>
      </c>
      <c r="N4648" t="str">
        <f>IFERROR(INDEX(tProdutos[Foco],MATCH(tItens[[#This Row],[Produto]],tProdutos[Produto],0)),"Não")</f>
        <v>Não</v>
      </c>
      <c r="O4648" t="str">
        <f>IFERROR(INDEX(tEditais[SRP],MATCH(tItens[[#This Row],[Edital]],tEditais[Edital],0)),"Não")</f>
        <v>Sim</v>
      </c>
      <c r="P4648" s="4">
        <f>IF(COUNTIFS(INDEX(tItens[Edital],1):tItens[[#This Row],[Edital]],tItens[[#This Row],[Edital]],INDEX(tItens[Produto],1):tItens[[#This Row],[Produto]],tItens[[#This Row],[Produto]])=1,1,0)</f>
        <v>0</v>
      </c>
    </row>
    <row r="4649" spans="1:16" x14ac:dyDescent="0.25">
      <c r="A4649" t="s">
        <v>1861</v>
      </c>
      <c r="B4649">
        <v>212</v>
      </c>
      <c r="C4649" t="s">
        <v>7481</v>
      </c>
      <c r="D4649" t="s">
        <v>110</v>
      </c>
      <c r="E4649" s="13">
        <v>1500</v>
      </c>
      <c r="F4649" s="12">
        <v>0.77</v>
      </c>
      <c r="G4649" t="str">
        <f>IFERROR(INDEX(tEditais[Órgão],MATCH(tItens[[#This Row],[Edital]],tEditais[Edital],0)),"")</f>
        <v>FUNDO MUNICIPAL DE SAUDE DE CAMOCIM DE SAO FELIX</v>
      </c>
      <c r="H4649" t="str">
        <f>IFERROR(INDEX(tEditais[UF],MATCH(tItens[[#This Row],[Edital]],tEditais[Edital],0)),"")</f>
        <v>PE</v>
      </c>
      <c r="I4649" s="11">
        <f>IFERROR(INDEX(tEditais[Encerramento],MATCH(tItens[[#This Row],[Edital]],tEditais[Edital],0)),"")</f>
        <v>46308.333333333336</v>
      </c>
      <c r="J4649" t="str">
        <f>IFERROR(INDEX(tProdutos[Classe],MATCH(tItens[[#This Row],[Produto]],tProdutos[Produto],0)),"produto não cadastrado")</f>
        <v>NÚCLEO</v>
      </c>
      <c r="K4649" s="12">
        <f>tItens[[#This Row],[Qtd]]*tItens[[#This Row],[Vlr unit]]</f>
        <v>1155</v>
      </c>
      <c r="L4649" s="6">
        <f>IFERROR(IF(INDEX(tProdutos[Desconto homologado],MATCH(tItens[[#This Row],[Produto]],tProdutos[Produto],0))="",DescontoPadrao,INDEX(tProdutos[Desconto homologado],MATCH(tItens[[#This Row],[Produto]],tProdutos[Produto],0))),DescontoPadrao)</f>
        <v>0.30410958904109597</v>
      </c>
      <c r="M4649" s="12">
        <f>tItens[[#This Row],[Valor]]*(1-tItens[[#This Row],[Desconto]])</f>
        <v>803.7534246575342</v>
      </c>
      <c r="N4649" t="str">
        <f>IFERROR(INDEX(tProdutos[Foco],MATCH(tItens[[#This Row],[Produto]],tProdutos[Produto],0)),"Não")</f>
        <v>Não</v>
      </c>
      <c r="O4649" t="str">
        <f>IFERROR(INDEX(tEditais[SRP],MATCH(tItens[[#This Row],[Edital]],tEditais[Edital],0)),"Não")</f>
        <v>Sim</v>
      </c>
      <c r="P4649" s="4">
        <f>IF(COUNTIFS(INDEX(tItens[Edital],1):tItens[[#This Row],[Edital]],tItens[[#This Row],[Edital]],INDEX(tItens[Produto],1):tItens[[#This Row],[Produto]],tItens[[#This Row],[Produto]])=1,1,0)</f>
        <v>0</v>
      </c>
    </row>
    <row r="4650" spans="1:16" x14ac:dyDescent="0.25">
      <c r="A4650" t="s">
        <v>1861</v>
      </c>
      <c r="B4650">
        <v>213</v>
      </c>
      <c r="C4650" t="s">
        <v>7480</v>
      </c>
      <c r="D4650" t="s">
        <v>110</v>
      </c>
      <c r="E4650" s="13">
        <v>1500</v>
      </c>
      <c r="F4650" s="12">
        <v>1.21</v>
      </c>
      <c r="G4650" t="str">
        <f>IFERROR(INDEX(tEditais[Órgão],MATCH(tItens[[#This Row],[Edital]],tEditais[Edital],0)),"")</f>
        <v>FUNDO MUNICIPAL DE SAUDE DE CAMOCIM DE SAO FELIX</v>
      </c>
      <c r="H4650" t="str">
        <f>IFERROR(INDEX(tEditais[UF],MATCH(tItens[[#This Row],[Edital]],tEditais[Edital],0)),"")</f>
        <v>PE</v>
      </c>
      <c r="I4650" s="11">
        <f>IFERROR(INDEX(tEditais[Encerramento],MATCH(tItens[[#This Row],[Edital]],tEditais[Edital],0)),"")</f>
        <v>46308.333333333336</v>
      </c>
      <c r="J4650" t="str">
        <f>IFERROR(INDEX(tProdutos[Classe],MATCH(tItens[[#This Row],[Produto]],tProdutos[Produto],0)),"produto não cadastrado")</f>
        <v>NÚCLEO</v>
      </c>
      <c r="K4650" s="12">
        <f>tItens[[#This Row],[Qtd]]*tItens[[#This Row],[Vlr unit]]</f>
        <v>1815</v>
      </c>
      <c r="L4650" s="6">
        <f>IFERROR(IF(INDEX(tProdutos[Desconto homologado],MATCH(tItens[[#This Row],[Produto]],tProdutos[Produto],0))="",DescontoPadrao,INDEX(tProdutos[Desconto homologado],MATCH(tItens[[#This Row],[Produto]],tProdutos[Produto],0))),DescontoPadrao)</f>
        <v>0.30410958904109597</v>
      </c>
      <c r="M4650" s="12">
        <f>tItens[[#This Row],[Valor]]*(1-tItens[[#This Row],[Desconto]])</f>
        <v>1263.0410958904108</v>
      </c>
      <c r="N4650" t="str">
        <f>IFERROR(INDEX(tProdutos[Foco],MATCH(tItens[[#This Row],[Produto]],tProdutos[Produto],0)),"Não")</f>
        <v>Não</v>
      </c>
      <c r="O4650" t="str">
        <f>IFERROR(INDEX(tEditais[SRP],MATCH(tItens[[#This Row],[Edital]],tEditais[Edital],0)),"Não")</f>
        <v>Sim</v>
      </c>
      <c r="P4650" s="4">
        <f>IF(COUNTIFS(INDEX(tItens[Edital],1):tItens[[#This Row],[Edital]],tItens[[#This Row],[Edital]],INDEX(tItens[Produto],1):tItens[[#This Row],[Produto]],tItens[[#This Row],[Produto]])=1,1,0)</f>
        <v>0</v>
      </c>
    </row>
    <row r="4651" spans="1:16" x14ac:dyDescent="0.25">
      <c r="A4651" t="s">
        <v>1861</v>
      </c>
      <c r="B4651">
        <v>214</v>
      </c>
      <c r="C4651" t="s">
        <v>7481</v>
      </c>
      <c r="D4651" t="s">
        <v>110</v>
      </c>
      <c r="E4651" s="13">
        <v>1500</v>
      </c>
      <c r="F4651" s="12">
        <v>0.79</v>
      </c>
      <c r="G4651" t="str">
        <f>IFERROR(INDEX(tEditais[Órgão],MATCH(tItens[[#This Row],[Edital]],tEditais[Edital],0)),"")</f>
        <v>FUNDO MUNICIPAL DE SAUDE DE CAMOCIM DE SAO FELIX</v>
      </c>
      <c r="H4651" t="str">
        <f>IFERROR(INDEX(tEditais[UF],MATCH(tItens[[#This Row],[Edital]],tEditais[Edital],0)),"")</f>
        <v>PE</v>
      </c>
      <c r="I4651" s="11">
        <f>IFERROR(INDEX(tEditais[Encerramento],MATCH(tItens[[#This Row],[Edital]],tEditais[Edital],0)),"")</f>
        <v>46308.333333333336</v>
      </c>
      <c r="J4651" t="str">
        <f>IFERROR(INDEX(tProdutos[Classe],MATCH(tItens[[#This Row],[Produto]],tProdutos[Produto],0)),"produto não cadastrado")</f>
        <v>NÚCLEO</v>
      </c>
      <c r="K4651" s="12">
        <f>tItens[[#This Row],[Qtd]]*tItens[[#This Row],[Vlr unit]]</f>
        <v>1185</v>
      </c>
      <c r="L4651" s="6">
        <f>IFERROR(IF(INDEX(tProdutos[Desconto homologado],MATCH(tItens[[#This Row],[Produto]],tProdutos[Produto],0))="",DescontoPadrao,INDEX(tProdutos[Desconto homologado],MATCH(tItens[[#This Row],[Produto]],tProdutos[Produto],0))),DescontoPadrao)</f>
        <v>0.30410958904109597</v>
      </c>
      <c r="M4651" s="12">
        <f>tItens[[#This Row],[Valor]]*(1-tItens[[#This Row],[Desconto]])</f>
        <v>824.6301369863013</v>
      </c>
      <c r="N4651" t="str">
        <f>IFERROR(INDEX(tProdutos[Foco],MATCH(tItens[[#This Row],[Produto]],tProdutos[Produto],0)),"Não")</f>
        <v>Não</v>
      </c>
      <c r="O4651" t="str">
        <f>IFERROR(INDEX(tEditais[SRP],MATCH(tItens[[#This Row],[Edital]],tEditais[Edital],0)),"Não")</f>
        <v>Sim</v>
      </c>
      <c r="P4651" s="4">
        <f>IF(COUNTIFS(INDEX(tItens[Edital],1):tItens[[#This Row],[Edital]],tItens[[#This Row],[Edital]],INDEX(tItens[Produto],1):tItens[[#This Row],[Produto]],tItens[[#This Row],[Produto]])=1,1,0)</f>
        <v>0</v>
      </c>
    </row>
    <row r="4652" spans="1:16" x14ac:dyDescent="0.25">
      <c r="A4652" t="s">
        <v>1861</v>
      </c>
      <c r="B4652">
        <v>215</v>
      </c>
      <c r="C4652" t="s">
        <v>7482</v>
      </c>
      <c r="D4652" t="s">
        <v>110</v>
      </c>
      <c r="E4652" s="13">
        <v>1500</v>
      </c>
      <c r="F4652" s="12">
        <v>0.76</v>
      </c>
      <c r="G4652" t="str">
        <f>IFERROR(INDEX(tEditais[Órgão],MATCH(tItens[[#This Row],[Edital]],tEditais[Edital],0)),"")</f>
        <v>FUNDO MUNICIPAL DE SAUDE DE CAMOCIM DE SAO FELIX</v>
      </c>
      <c r="H4652" t="str">
        <f>IFERROR(INDEX(tEditais[UF],MATCH(tItens[[#This Row],[Edital]],tEditais[Edital],0)),"")</f>
        <v>PE</v>
      </c>
      <c r="I4652" s="11">
        <f>IFERROR(INDEX(tEditais[Encerramento],MATCH(tItens[[#This Row],[Edital]],tEditais[Edital],0)),"")</f>
        <v>46308.333333333336</v>
      </c>
      <c r="J4652" t="str">
        <f>IFERROR(INDEX(tProdutos[Classe],MATCH(tItens[[#This Row],[Produto]],tProdutos[Produto],0)),"produto não cadastrado")</f>
        <v>NÚCLEO</v>
      </c>
      <c r="K4652" s="12">
        <f>tItens[[#This Row],[Qtd]]*tItens[[#This Row],[Vlr unit]]</f>
        <v>1140</v>
      </c>
      <c r="L4652" s="6">
        <f>IFERROR(IF(INDEX(tProdutos[Desconto homologado],MATCH(tItens[[#This Row],[Produto]],tProdutos[Produto],0))="",DescontoPadrao,INDEX(tProdutos[Desconto homologado],MATCH(tItens[[#This Row],[Produto]],tProdutos[Produto],0))),DescontoPadrao)</f>
        <v>0.30410958904109597</v>
      </c>
      <c r="M4652" s="12">
        <f>tItens[[#This Row],[Valor]]*(1-tItens[[#This Row],[Desconto]])</f>
        <v>793.31506849315053</v>
      </c>
      <c r="N4652" t="str">
        <f>IFERROR(INDEX(tProdutos[Foco],MATCH(tItens[[#This Row],[Produto]],tProdutos[Produto],0)),"Não")</f>
        <v>Não</v>
      </c>
      <c r="O4652" t="str">
        <f>IFERROR(INDEX(tEditais[SRP],MATCH(tItens[[#This Row],[Edital]],tEditais[Edital],0)),"Não")</f>
        <v>Sim</v>
      </c>
      <c r="P4652" s="4">
        <f>IF(COUNTIFS(INDEX(tItens[Edital],1):tItens[[#This Row],[Edital]],tItens[[#This Row],[Edital]],INDEX(tItens[Produto],1):tItens[[#This Row],[Produto]],tItens[[#This Row],[Produto]])=1,1,0)</f>
        <v>0</v>
      </c>
    </row>
    <row r="4653" spans="1:16" x14ac:dyDescent="0.25">
      <c r="A4653" t="s">
        <v>1861</v>
      </c>
      <c r="B4653">
        <v>216</v>
      </c>
      <c r="C4653" t="s">
        <v>7483</v>
      </c>
      <c r="D4653" t="s">
        <v>110</v>
      </c>
      <c r="E4653" s="13">
        <v>1500</v>
      </c>
      <c r="F4653" s="12">
        <v>0.9</v>
      </c>
      <c r="G4653" t="str">
        <f>IFERROR(INDEX(tEditais[Órgão],MATCH(tItens[[#This Row],[Edital]],tEditais[Edital],0)),"")</f>
        <v>FUNDO MUNICIPAL DE SAUDE DE CAMOCIM DE SAO FELIX</v>
      </c>
      <c r="H4653" t="str">
        <f>IFERROR(INDEX(tEditais[UF],MATCH(tItens[[#This Row],[Edital]],tEditais[Edital],0)),"")</f>
        <v>PE</v>
      </c>
      <c r="I4653" s="11">
        <f>IFERROR(INDEX(tEditais[Encerramento],MATCH(tItens[[#This Row],[Edital]],tEditais[Edital],0)),"")</f>
        <v>46308.333333333336</v>
      </c>
      <c r="J4653" t="str">
        <f>IFERROR(INDEX(tProdutos[Classe],MATCH(tItens[[#This Row],[Produto]],tProdutos[Produto],0)),"produto não cadastrado")</f>
        <v>NÚCLEO</v>
      </c>
      <c r="K4653" s="12">
        <f>tItens[[#This Row],[Qtd]]*tItens[[#This Row],[Vlr unit]]</f>
        <v>1350</v>
      </c>
      <c r="L4653" s="6">
        <f>IFERROR(IF(INDEX(tProdutos[Desconto homologado],MATCH(tItens[[#This Row],[Produto]],tProdutos[Produto],0))="",DescontoPadrao,INDEX(tProdutos[Desconto homologado],MATCH(tItens[[#This Row],[Produto]],tProdutos[Produto],0))),DescontoPadrao)</f>
        <v>0.30410958904109597</v>
      </c>
      <c r="M4653" s="12">
        <f>tItens[[#This Row],[Valor]]*(1-tItens[[#This Row],[Desconto]])</f>
        <v>939.45205479452045</v>
      </c>
      <c r="N4653" t="str">
        <f>IFERROR(INDEX(tProdutos[Foco],MATCH(tItens[[#This Row],[Produto]],tProdutos[Produto],0)),"Não")</f>
        <v>Não</v>
      </c>
      <c r="O4653" t="str">
        <f>IFERROR(INDEX(tEditais[SRP],MATCH(tItens[[#This Row],[Edital]],tEditais[Edital],0)),"Não")</f>
        <v>Sim</v>
      </c>
      <c r="P4653" s="4">
        <f>IF(COUNTIFS(INDEX(tItens[Edital],1):tItens[[#This Row],[Edital]],tItens[[#This Row],[Edital]],INDEX(tItens[Produto],1):tItens[[#This Row],[Produto]],tItens[[#This Row],[Produto]])=1,1,0)</f>
        <v>0</v>
      </c>
    </row>
    <row r="4654" spans="1:16" x14ac:dyDescent="0.25">
      <c r="A4654" t="s">
        <v>1861</v>
      </c>
      <c r="B4654">
        <v>217</v>
      </c>
      <c r="C4654" t="s">
        <v>7484</v>
      </c>
      <c r="D4654" t="s">
        <v>110</v>
      </c>
      <c r="E4654" s="13">
        <v>1500</v>
      </c>
      <c r="F4654" s="12">
        <v>1</v>
      </c>
      <c r="G4654" t="str">
        <f>IFERROR(INDEX(tEditais[Órgão],MATCH(tItens[[#This Row],[Edital]],tEditais[Edital],0)),"")</f>
        <v>FUNDO MUNICIPAL DE SAUDE DE CAMOCIM DE SAO FELIX</v>
      </c>
      <c r="H4654" t="str">
        <f>IFERROR(INDEX(tEditais[UF],MATCH(tItens[[#This Row],[Edital]],tEditais[Edital],0)),"")</f>
        <v>PE</v>
      </c>
      <c r="I4654" s="11">
        <f>IFERROR(INDEX(tEditais[Encerramento],MATCH(tItens[[#This Row],[Edital]],tEditais[Edital],0)),"")</f>
        <v>46308.333333333336</v>
      </c>
      <c r="J4654" t="str">
        <f>IFERROR(INDEX(tProdutos[Classe],MATCH(tItens[[#This Row],[Produto]],tProdutos[Produto],0)),"produto não cadastrado")</f>
        <v>NÚCLEO</v>
      </c>
      <c r="K4654" s="12">
        <f>tItens[[#This Row],[Qtd]]*tItens[[#This Row],[Vlr unit]]</f>
        <v>1500</v>
      </c>
      <c r="L4654" s="6">
        <f>IFERROR(IF(INDEX(tProdutos[Desconto homologado],MATCH(tItens[[#This Row],[Produto]],tProdutos[Produto],0))="",DescontoPadrao,INDEX(tProdutos[Desconto homologado],MATCH(tItens[[#This Row],[Produto]],tProdutos[Produto],0))),DescontoPadrao)</f>
        <v>0.30410958904109597</v>
      </c>
      <c r="M4654" s="12">
        <f>tItens[[#This Row],[Valor]]*(1-tItens[[#This Row],[Desconto]])</f>
        <v>1043.8356164383561</v>
      </c>
      <c r="N4654" t="str">
        <f>IFERROR(INDEX(tProdutos[Foco],MATCH(tItens[[#This Row],[Produto]],tProdutos[Produto],0)),"Não")</f>
        <v>Não</v>
      </c>
      <c r="O4654" t="str">
        <f>IFERROR(INDEX(tEditais[SRP],MATCH(tItens[[#This Row],[Edital]],tEditais[Edital],0)),"Não")</f>
        <v>Sim</v>
      </c>
      <c r="P4654" s="4">
        <f>IF(COUNTIFS(INDEX(tItens[Edital],1):tItens[[#This Row],[Edital]],tItens[[#This Row],[Edital]],INDEX(tItens[Produto],1):tItens[[#This Row],[Produto]],tItens[[#This Row],[Produto]])=1,1,0)</f>
        <v>0</v>
      </c>
    </row>
    <row r="4655" spans="1:16" x14ac:dyDescent="0.25">
      <c r="A4655" t="s">
        <v>1861</v>
      </c>
      <c r="B4655">
        <v>218</v>
      </c>
      <c r="C4655" t="s">
        <v>7485</v>
      </c>
      <c r="D4655" t="s">
        <v>110</v>
      </c>
      <c r="E4655" s="13">
        <v>1500</v>
      </c>
      <c r="F4655" s="12">
        <v>1.99</v>
      </c>
      <c r="G4655" t="str">
        <f>IFERROR(INDEX(tEditais[Órgão],MATCH(tItens[[#This Row],[Edital]],tEditais[Edital],0)),"")</f>
        <v>FUNDO MUNICIPAL DE SAUDE DE CAMOCIM DE SAO FELIX</v>
      </c>
      <c r="H4655" t="str">
        <f>IFERROR(INDEX(tEditais[UF],MATCH(tItens[[#This Row],[Edital]],tEditais[Edital],0)),"")</f>
        <v>PE</v>
      </c>
      <c r="I4655" s="11">
        <f>IFERROR(INDEX(tEditais[Encerramento],MATCH(tItens[[#This Row],[Edital]],tEditais[Edital],0)),"")</f>
        <v>46308.333333333336</v>
      </c>
      <c r="J4655" t="str">
        <f>IFERROR(INDEX(tProdutos[Classe],MATCH(tItens[[#This Row],[Produto]],tProdutos[Produto],0)),"produto não cadastrado")</f>
        <v>NÚCLEO</v>
      </c>
      <c r="K4655" s="12">
        <f>tItens[[#This Row],[Qtd]]*tItens[[#This Row],[Vlr unit]]</f>
        <v>2985</v>
      </c>
      <c r="L4655" s="6">
        <f>IFERROR(IF(INDEX(tProdutos[Desconto homologado],MATCH(tItens[[#This Row],[Produto]],tProdutos[Produto],0))="",DescontoPadrao,INDEX(tProdutos[Desconto homologado],MATCH(tItens[[#This Row],[Produto]],tProdutos[Produto],0))),DescontoPadrao)</f>
        <v>0.30410958904109597</v>
      </c>
      <c r="M4655" s="12">
        <f>tItens[[#This Row],[Valor]]*(1-tItens[[#This Row],[Desconto]])</f>
        <v>2077.2328767123286</v>
      </c>
      <c r="N4655" t="str">
        <f>IFERROR(INDEX(tProdutos[Foco],MATCH(tItens[[#This Row],[Produto]],tProdutos[Produto],0)),"Não")</f>
        <v>Não</v>
      </c>
      <c r="O4655" t="str">
        <f>IFERROR(INDEX(tEditais[SRP],MATCH(tItens[[#This Row],[Edital]],tEditais[Edital],0)),"Não")</f>
        <v>Sim</v>
      </c>
      <c r="P4655" s="4">
        <f>IF(COUNTIFS(INDEX(tItens[Edital],1):tItens[[#This Row],[Edital]],tItens[[#This Row],[Edital]],INDEX(tItens[Produto],1):tItens[[#This Row],[Produto]],tItens[[#This Row],[Produto]])=1,1,0)</f>
        <v>0</v>
      </c>
    </row>
    <row r="4656" spans="1:16" x14ac:dyDescent="0.25">
      <c r="A4656" t="s">
        <v>1861</v>
      </c>
      <c r="B4656">
        <v>219</v>
      </c>
      <c r="C4656" t="s">
        <v>7486</v>
      </c>
      <c r="D4656" t="s">
        <v>110</v>
      </c>
      <c r="E4656" s="13">
        <v>1500</v>
      </c>
      <c r="F4656" s="12">
        <v>1.04</v>
      </c>
      <c r="G4656" t="str">
        <f>IFERROR(INDEX(tEditais[Órgão],MATCH(tItens[[#This Row],[Edital]],tEditais[Edital],0)),"")</f>
        <v>FUNDO MUNICIPAL DE SAUDE DE CAMOCIM DE SAO FELIX</v>
      </c>
      <c r="H4656" t="str">
        <f>IFERROR(INDEX(tEditais[UF],MATCH(tItens[[#This Row],[Edital]],tEditais[Edital],0)),"")</f>
        <v>PE</v>
      </c>
      <c r="I4656" s="11">
        <f>IFERROR(INDEX(tEditais[Encerramento],MATCH(tItens[[#This Row],[Edital]],tEditais[Edital],0)),"")</f>
        <v>46308.333333333336</v>
      </c>
      <c r="J4656" t="str">
        <f>IFERROR(INDEX(tProdutos[Classe],MATCH(tItens[[#This Row],[Produto]],tProdutos[Produto],0)),"produto não cadastrado")</f>
        <v>NÚCLEO</v>
      </c>
      <c r="K4656" s="12">
        <f>tItens[[#This Row],[Qtd]]*tItens[[#This Row],[Vlr unit]]</f>
        <v>1560</v>
      </c>
      <c r="L4656" s="6">
        <f>IFERROR(IF(INDEX(tProdutos[Desconto homologado],MATCH(tItens[[#This Row],[Produto]],tProdutos[Produto],0))="",DescontoPadrao,INDEX(tProdutos[Desconto homologado],MATCH(tItens[[#This Row],[Produto]],tProdutos[Produto],0))),DescontoPadrao)</f>
        <v>0.30410958904109597</v>
      </c>
      <c r="M4656" s="12">
        <f>tItens[[#This Row],[Valor]]*(1-tItens[[#This Row],[Desconto]])</f>
        <v>1085.5890410958903</v>
      </c>
      <c r="N4656" t="str">
        <f>IFERROR(INDEX(tProdutos[Foco],MATCH(tItens[[#This Row],[Produto]],tProdutos[Produto],0)),"Não")</f>
        <v>Não</v>
      </c>
      <c r="O4656" t="str">
        <f>IFERROR(INDEX(tEditais[SRP],MATCH(tItens[[#This Row],[Edital]],tEditais[Edital],0)),"Não")</f>
        <v>Sim</v>
      </c>
      <c r="P4656" s="4">
        <f>IF(COUNTIFS(INDEX(tItens[Edital],1):tItens[[#This Row],[Edital]],tItens[[#This Row],[Edital]],INDEX(tItens[Produto],1):tItens[[#This Row],[Produto]],tItens[[#This Row],[Produto]])=1,1,0)</f>
        <v>0</v>
      </c>
    </row>
    <row r="4657" spans="1:16" x14ac:dyDescent="0.25">
      <c r="A4657" t="s">
        <v>1861</v>
      </c>
      <c r="B4657">
        <v>220</v>
      </c>
      <c r="C4657" t="s">
        <v>7487</v>
      </c>
      <c r="D4657" t="s">
        <v>110</v>
      </c>
      <c r="E4657" s="13">
        <v>1500</v>
      </c>
      <c r="F4657" s="12">
        <v>1.28</v>
      </c>
      <c r="G4657" t="str">
        <f>IFERROR(INDEX(tEditais[Órgão],MATCH(tItens[[#This Row],[Edital]],tEditais[Edital],0)),"")</f>
        <v>FUNDO MUNICIPAL DE SAUDE DE CAMOCIM DE SAO FELIX</v>
      </c>
      <c r="H4657" t="str">
        <f>IFERROR(INDEX(tEditais[UF],MATCH(tItens[[#This Row],[Edital]],tEditais[Edital],0)),"")</f>
        <v>PE</v>
      </c>
      <c r="I4657" s="11">
        <f>IFERROR(INDEX(tEditais[Encerramento],MATCH(tItens[[#This Row],[Edital]],tEditais[Edital],0)),"")</f>
        <v>46308.333333333336</v>
      </c>
      <c r="J4657" t="str">
        <f>IFERROR(INDEX(tProdutos[Classe],MATCH(tItens[[#This Row],[Produto]],tProdutos[Produto],0)),"produto não cadastrado")</f>
        <v>NÚCLEO</v>
      </c>
      <c r="K4657" s="12">
        <f>tItens[[#This Row],[Qtd]]*tItens[[#This Row],[Vlr unit]]</f>
        <v>1920</v>
      </c>
      <c r="L4657" s="6">
        <f>IFERROR(IF(INDEX(tProdutos[Desconto homologado],MATCH(tItens[[#This Row],[Produto]],tProdutos[Produto],0))="",DescontoPadrao,INDEX(tProdutos[Desconto homologado],MATCH(tItens[[#This Row],[Produto]],tProdutos[Produto],0))),DescontoPadrao)</f>
        <v>0.30410958904109597</v>
      </c>
      <c r="M4657" s="12">
        <f>tItens[[#This Row],[Valor]]*(1-tItens[[#This Row],[Desconto]])</f>
        <v>1336.1095890410957</v>
      </c>
      <c r="N4657" t="str">
        <f>IFERROR(INDEX(tProdutos[Foco],MATCH(tItens[[#This Row],[Produto]],tProdutos[Produto],0)),"Não")</f>
        <v>Não</v>
      </c>
      <c r="O4657" t="str">
        <f>IFERROR(INDEX(tEditais[SRP],MATCH(tItens[[#This Row],[Edital]],tEditais[Edital],0)),"Não")</f>
        <v>Sim</v>
      </c>
      <c r="P4657" s="4">
        <f>IF(COUNTIFS(INDEX(tItens[Edital],1):tItens[[#This Row],[Edital]],tItens[[#This Row],[Edital]],INDEX(tItens[Produto],1):tItens[[#This Row],[Produto]],tItens[[#This Row],[Produto]])=1,1,0)</f>
        <v>0</v>
      </c>
    </row>
    <row r="4658" spans="1:16" x14ac:dyDescent="0.25">
      <c r="A4658" t="s">
        <v>1861</v>
      </c>
      <c r="B4658">
        <v>221</v>
      </c>
      <c r="C4658" t="s">
        <v>7488</v>
      </c>
      <c r="D4658" t="s">
        <v>110</v>
      </c>
      <c r="E4658" s="13">
        <v>1500</v>
      </c>
      <c r="F4658" s="12">
        <v>1.27</v>
      </c>
      <c r="G4658" t="str">
        <f>IFERROR(INDEX(tEditais[Órgão],MATCH(tItens[[#This Row],[Edital]],tEditais[Edital],0)),"")</f>
        <v>FUNDO MUNICIPAL DE SAUDE DE CAMOCIM DE SAO FELIX</v>
      </c>
      <c r="H4658" t="str">
        <f>IFERROR(INDEX(tEditais[UF],MATCH(tItens[[#This Row],[Edital]],tEditais[Edital],0)),"")</f>
        <v>PE</v>
      </c>
      <c r="I4658" s="11">
        <f>IFERROR(INDEX(tEditais[Encerramento],MATCH(tItens[[#This Row],[Edital]],tEditais[Edital],0)),"")</f>
        <v>46308.333333333336</v>
      </c>
      <c r="J4658" t="str">
        <f>IFERROR(INDEX(tProdutos[Classe],MATCH(tItens[[#This Row],[Produto]],tProdutos[Produto],0)),"produto não cadastrado")</f>
        <v>NÚCLEO</v>
      </c>
      <c r="K4658" s="12">
        <f>tItens[[#This Row],[Qtd]]*tItens[[#This Row],[Vlr unit]]</f>
        <v>1905</v>
      </c>
      <c r="L4658" s="6">
        <f>IFERROR(IF(INDEX(tProdutos[Desconto homologado],MATCH(tItens[[#This Row],[Produto]],tProdutos[Produto],0))="",DescontoPadrao,INDEX(tProdutos[Desconto homologado],MATCH(tItens[[#This Row],[Produto]],tProdutos[Produto],0))),DescontoPadrao)</f>
        <v>0.30410958904109597</v>
      </c>
      <c r="M4658" s="12">
        <f>tItens[[#This Row],[Valor]]*(1-tItens[[#This Row],[Desconto]])</f>
        <v>1325.6712328767121</v>
      </c>
      <c r="N4658" t="str">
        <f>IFERROR(INDEX(tProdutos[Foco],MATCH(tItens[[#This Row],[Produto]],tProdutos[Produto],0)),"Não")</f>
        <v>Não</v>
      </c>
      <c r="O4658" t="str">
        <f>IFERROR(INDEX(tEditais[SRP],MATCH(tItens[[#This Row],[Edital]],tEditais[Edital],0)),"Não")</f>
        <v>Sim</v>
      </c>
      <c r="P4658" s="4">
        <f>IF(COUNTIFS(INDEX(tItens[Edital],1):tItens[[#This Row],[Edital]],tItens[[#This Row],[Edital]],INDEX(tItens[Produto],1):tItens[[#This Row],[Produto]],tItens[[#This Row],[Produto]])=1,1,0)</f>
        <v>0</v>
      </c>
    </row>
    <row r="4659" spans="1:16" x14ac:dyDescent="0.25">
      <c r="A4659" t="s">
        <v>1861</v>
      </c>
      <c r="B4659">
        <v>222</v>
      </c>
      <c r="C4659" t="s">
        <v>7489</v>
      </c>
      <c r="D4659" t="s">
        <v>110</v>
      </c>
      <c r="E4659" s="13">
        <v>1500</v>
      </c>
      <c r="F4659" s="12">
        <v>1.47</v>
      </c>
      <c r="G4659" t="str">
        <f>IFERROR(INDEX(tEditais[Órgão],MATCH(tItens[[#This Row],[Edital]],tEditais[Edital],0)),"")</f>
        <v>FUNDO MUNICIPAL DE SAUDE DE CAMOCIM DE SAO FELIX</v>
      </c>
      <c r="H4659" t="str">
        <f>IFERROR(INDEX(tEditais[UF],MATCH(tItens[[#This Row],[Edital]],tEditais[Edital],0)),"")</f>
        <v>PE</v>
      </c>
      <c r="I4659" s="11">
        <f>IFERROR(INDEX(tEditais[Encerramento],MATCH(tItens[[#This Row],[Edital]],tEditais[Edital],0)),"")</f>
        <v>46308.333333333336</v>
      </c>
      <c r="J4659" t="str">
        <f>IFERROR(INDEX(tProdutos[Classe],MATCH(tItens[[#This Row],[Produto]],tProdutos[Produto],0)),"produto não cadastrado")</f>
        <v>NÚCLEO</v>
      </c>
      <c r="K4659" s="12">
        <f>tItens[[#This Row],[Qtd]]*tItens[[#This Row],[Vlr unit]]</f>
        <v>2205</v>
      </c>
      <c r="L4659" s="6">
        <f>IFERROR(IF(INDEX(tProdutos[Desconto homologado],MATCH(tItens[[#This Row],[Produto]],tProdutos[Produto],0))="",DescontoPadrao,INDEX(tProdutos[Desconto homologado],MATCH(tItens[[#This Row],[Produto]],tProdutos[Produto],0))),DescontoPadrao)</f>
        <v>0.30410958904109597</v>
      </c>
      <c r="M4659" s="12">
        <f>tItens[[#This Row],[Valor]]*(1-tItens[[#This Row],[Desconto]])</f>
        <v>1534.4383561643833</v>
      </c>
      <c r="N4659" t="str">
        <f>IFERROR(INDEX(tProdutos[Foco],MATCH(tItens[[#This Row],[Produto]],tProdutos[Produto],0)),"Não")</f>
        <v>Não</v>
      </c>
      <c r="O4659" t="str">
        <f>IFERROR(INDEX(tEditais[SRP],MATCH(tItens[[#This Row],[Edital]],tEditais[Edital],0)),"Não")</f>
        <v>Sim</v>
      </c>
      <c r="P4659" s="4">
        <f>IF(COUNTIFS(INDEX(tItens[Edital],1):tItens[[#This Row],[Edital]],tItens[[#This Row],[Edital]],INDEX(tItens[Produto],1):tItens[[#This Row],[Produto]],tItens[[#This Row],[Produto]])=1,1,0)</f>
        <v>0</v>
      </c>
    </row>
    <row r="4660" spans="1:16" x14ac:dyDescent="0.25">
      <c r="A4660" t="s">
        <v>1861</v>
      </c>
      <c r="B4660">
        <v>223</v>
      </c>
      <c r="C4660" t="s">
        <v>7490</v>
      </c>
      <c r="D4660" t="s">
        <v>110</v>
      </c>
      <c r="E4660" s="13">
        <v>1500</v>
      </c>
      <c r="F4660" s="12">
        <v>0.84</v>
      </c>
      <c r="G4660" t="str">
        <f>IFERROR(INDEX(tEditais[Órgão],MATCH(tItens[[#This Row],[Edital]],tEditais[Edital],0)),"")</f>
        <v>FUNDO MUNICIPAL DE SAUDE DE CAMOCIM DE SAO FELIX</v>
      </c>
      <c r="H4660" t="str">
        <f>IFERROR(INDEX(tEditais[UF],MATCH(tItens[[#This Row],[Edital]],tEditais[Edital],0)),"")</f>
        <v>PE</v>
      </c>
      <c r="I4660" s="11">
        <f>IFERROR(INDEX(tEditais[Encerramento],MATCH(tItens[[#This Row],[Edital]],tEditais[Edital],0)),"")</f>
        <v>46308.333333333336</v>
      </c>
      <c r="J4660" t="str">
        <f>IFERROR(INDEX(tProdutos[Classe],MATCH(tItens[[#This Row],[Produto]],tProdutos[Produto],0)),"produto não cadastrado")</f>
        <v>NÚCLEO</v>
      </c>
      <c r="K4660" s="12">
        <f>tItens[[#This Row],[Qtd]]*tItens[[#This Row],[Vlr unit]]</f>
        <v>1260</v>
      </c>
      <c r="L4660" s="6">
        <f>IFERROR(IF(INDEX(tProdutos[Desconto homologado],MATCH(tItens[[#This Row],[Produto]],tProdutos[Produto],0))="",DescontoPadrao,INDEX(tProdutos[Desconto homologado],MATCH(tItens[[#This Row],[Produto]],tProdutos[Produto],0))),DescontoPadrao)</f>
        <v>0.30410958904109597</v>
      </c>
      <c r="M4660" s="12">
        <f>tItens[[#This Row],[Valor]]*(1-tItens[[#This Row],[Desconto]])</f>
        <v>876.82191780821904</v>
      </c>
      <c r="N4660" t="str">
        <f>IFERROR(INDEX(tProdutos[Foco],MATCH(tItens[[#This Row],[Produto]],tProdutos[Produto],0)),"Não")</f>
        <v>Não</v>
      </c>
      <c r="O4660" t="str">
        <f>IFERROR(INDEX(tEditais[SRP],MATCH(tItens[[#This Row],[Edital]],tEditais[Edital],0)),"Não")</f>
        <v>Sim</v>
      </c>
      <c r="P4660" s="4">
        <f>IF(COUNTIFS(INDEX(tItens[Edital],1):tItens[[#This Row],[Edital]],tItens[[#This Row],[Edital]],INDEX(tItens[Produto],1):tItens[[#This Row],[Produto]],tItens[[#This Row],[Produto]])=1,1,0)</f>
        <v>0</v>
      </c>
    </row>
    <row r="4661" spans="1:16" x14ac:dyDescent="0.25">
      <c r="A4661" t="s">
        <v>1861</v>
      </c>
      <c r="B4661">
        <v>224</v>
      </c>
      <c r="C4661" t="s">
        <v>7491</v>
      </c>
      <c r="D4661" t="s">
        <v>110</v>
      </c>
      <c r="E4661" s="13">
        <v>1500</v>
      </c>
      <c r="F4661" s="12">
        <v>0.81</v>
      </c>
      <c r="G4661" t="str">
        <f>IFERROR(INDEX(tEditais[Órgão],MATCH(tItens[[#This Row],[Edital]],tEditais[Edital],0)),"")</f>
        <v>FUNDO MUNICIPAL DE SAUDE DE CAMOCIM DE SAO FELIX</v>
      </c>
      <c r="H4661" t="str">
        <f>IFERROR(INDEX(tEditais[UF],MATCH(tItens[[#This Row],[Edital]],tEditais[Edital],0)),"")</f>
        <v>PE</v>
      </c>
      <c r="I4661" s="11">
        <f>IFERROR(INDEX(tEditais[Encerramento],MATCH(tItens[[#This Row],[Edital]],tEditais[Edital],0)),"")</f>
        <v>46308.333333333336</v>
      </c>
      <c r="J4661" t="str">
        <f>IFERROR(INDEX(tProdutos[Classe],MATCH(tItens[[#This Row],[Produto]],tProdutos[Produto],0)),"produto não cadastrado")</f>
        <v>NÚCLEO</v>
      </c>
      <c r="K4661" s="12">
        <f>tItens[[#This Row],[Qtd]]*tItens[[#This Row],[Vlr unit]]</f>
        <v>1215</v>
      </c>
      <c r="L4661" s="6">
        <f>IFERROR(IF(INDEX(tProdutos[Desconto homologado],MATCH(tItens[[#This Row],[Produto]],tProdutos[Produto],0))="",DescontoPadrao,INDEX(tProdutos[Desconto homologado],MATCH(tItens[[#This Row],[Produto]],tProdutos[Produto],0))),DescontoPadrao)</f>
        <v>0.30410958904109597</v>
      </c>
      <c r="M4661" s="12">
        <f>tItens[[#This Row],[Valor]]*(1-tItens[[#This Row],[Desconto]])</f>
        <v>845.50684931506839</v>
      </c>
      <c r="N4661" t="str">
        <f>IFERROR(INDEX(tProdutos[Foco],MATCH(tItens[[#This Row],[Produto]],tProdutos[Produto],0)),"Não")</f>
        <v>Não</v>
      </c>
      <c r="O4661" t="str">
        <f>IFERROR(INDEX(tEditais[SRP],MATCH(tItens[[#This Row],[Edital]],tEditais[Edital],0)),"Não")</f>
        <v>Sim</v>
      </c>
      <c r="P4661" s="4">
        <f>IF(COUNTIFS(INDEX(tItens[Edital],1):tItens[[#This Row],[Edital]],tItens[[#This Row],[Edital]],INDEX(tItens[Produto],1):tItens[[#This Row],[Produto]],tItens[[#This Row],[Produto]])=1,1,0)</f>
        <v>0</v>
      </c>
    </row>
    <row r="4662" spans="1:16" x14ac:dyDescent="0.25">
      <c r="A4662" t="s">
        <v>1861</v>
      </c>
      <c r="B4662">
        <v>225</v>
      </c>
      <c r="C4662" t="s">
        <v>7492</v>
      </c>
      <c r="D4662" t="s">
        <v>110</v>
      </c>
      <c r="E4662" s="13">
        <v>1500</v>
      </c>
      <c r="F4662" s="12">
        <v>0.95</v>
      </c>
      <c r="G4662" t="str">
        <f>IFERROR(INDEX(tEditais[Órgão],MATCH(tItens[[#This Row],[Edital]],tEditais[Edital],0)),"")</f>
        <v>FUNDO MUNICIPAL DE SAUDE DE CAMOCIM DE SAO FELIX</v>
      </c>
      <c r="H4662" t="str">
        <f>IFERROR(INDEX(tEditais[UF],MATCH(tItens[[#This Row],[Edital]],tEditais[Edital],0)),"")</f>
        <v>PE</v>
      </c>
      <c r="I4662" s="11">
        <f>IFERROR(INDEX(tEditais[Encerramento],MATCH(tItens[[#This Row],[Edital]],tEditais[Edital],0)),"")</f>
        <v>46308.333333333336</v>
      </c>
      <c r="J4662" t="str">
        <f>IFERROR(INDEX(tProdutos[Classe],MATCH(tItens[[#This Row],[Produto]],tProdutos[Produto],0)),"produto não cadastrado")</f>
        <v>NÚCLEO</v>
      </c>
      <c r="K4662" s="12">
        <f>tItens[[#This Row],[Qtd]]*tItens[[#This Row],[Vlr unit]]</f>
        <v>1425</v>
      </c>
      <c r="L4662" s="6">
        <f>IFERROR(IF(INDEX(tProdutos[Desconto homologado],MATCH(tItens[[#This Row],[Produto]],tProdutos[Produto],0))="",DescontoPadrao,INDEX(tProdutos[Desconto homologado],MATCH(tItens[[#This Row],[Produto]],tProdutos[Produto],0))),DescontoPadrao)</f>
        <v>0.30410958904109597</v>
      </c>
      <c r="M4662" s="12">
        <f>tItens[[#This Row],[Valor]]*(1-tItens[[#This Row],[Desconto]])</f>
        <v>991.6438356164382</v>
      </c>
      <c r="N4662" t="str">
        <f>IFERROR(INDEX(tProdutos[Foco],MATCH(tItens[[#This Row],[Produto]],tProdutos[Produto],0)),"Não")</f>
        <v>Não</v>
      </c>
      <c r="O4662" t="str">
        <f>IFERROR(INDEX(tEditais[SRP],MATCH(tItens[[#This Row],[Edital]],tEditais[Edital],0)),"Não")</f>
        <v>Sim</v>
      </c>
      <c r="P4662" s="4">
        <f>IF(COUNTIFS(INDEX(tItens[Edital],1):tItens[[#This Row],[Edital]],tItens[[#This Row],[Edital]],INDEX(tItens[Produto],1):tItens[[#This Row],[Produto]],tItens[[#This Row],[Produto]])=1,1,0)</f>
        <v>0</v>
      </c>
    </row>
    <row r="4663" spans="1:16" x14ac:dyDescent="0.25">
      <c r="A4663" t="s">
        <v>1861</v>
      </c>
      <c r="B4663">
        <v>226</v>
      </c>
      <c r="C4663" t="s">
        <v>7493</v>
      </c>
      <c r="D4663" t="s">
        <v>120</v>
      </c>
      <c r="E4663" s="13">
        <v>12000</v>
      </c>
      <c r="F4663" s="12">
        <v>0.71</v>
      </c>
      <c r="G4663" t="str">
        <f>IFERROR(INDEX(tEditais[Órgão],MATCH(tItens[[#This Row],[Edital]],tEditais[Edital],0)),"")</f>
        <v>FUNDO MUNICIPAL DE SAUDE DE CAMOCIM DE SAO FELIX</v>
      </c>
      <c r="H4663" t="str">
        <f>IFERROR(INDEX(tEditais[UF],MATCH(tItens[[#This Row],[Edital]],tEditais[Edital],0)),"")</f>
        <v>PE</v>
      </c>
      <c r="I4663" s="11">
        <f>IFERROR(INDEX(tEditais[Encerramento],MATCH(tItens[[#This Row],[Edital]],tEditais[Edital],0)),"")</f>
        <v>46308.333333333336</v>
      </c>
      <c r="J4663" t="str">
        <f>IFERROR(INDEX(tProdutos[Classe],MATCH(tItens[[#This Row],[Produto]],tProdutos[Produto],0)),"produto não cadastrado")</f>
        <v>DISPUTADO</v>
      </c>
      <c r="K4663" s="12">
        <f>tItens[[#This Row],[Qtd]]*tItens[[#This Row],[Vlr unit]]</f>
        <v>8520</v>
      </c>
      <c r="L4663" s="6">
        <f>IFERROR(IF(INDEX(tProdutos[Desconto homologado],MATCH(tItens[[#This Row],[Produto]],tProdutos[Produto],0))="",DescontoPadrao,INDEX(tProdutos[Desconto homologado],MATCH(tItens[[#This Row],[Produto]],tProdutos[Produto],0))),DescontoPadrao)</f>
        <v>0.40909090909090901</v>
      </c>
      <c r="M4663" s="12">
        <f>tItens[[#This Row],[Valor]]*(1-tItens[[#This Row],[Desconto]])</f>
        <v>5034.5454545454559</v>
      </c>
      <c r="N4663" t="str">
        <f>IFERROR(INDEX(tProdutos[Foco],MATCH(tItens[[#This Row],[Produto]],tProdutos[Produto],0)),"Não")</f>
        <v>Não</v>
      </c>
      <c r="O4663" t="str">
        <f>IFERROR(INDEX(tEditais[SRP],MATCH(tItens[[#This Row],[Edital]],tEditais[Edital],0)),"Não")</f>
        <v>Sim</v>
      </c>
      <c r="P4663" s="4">
        <f>IF(COUNTIFS(INDEX(tItens[Edital],1):tItens[[#This Row],[Edital]],tItens[[#This Row],[Edital]],INDEX(tItens[Produto],1):tItens[[#This Row],[Produto]],tItens[[#This Row],[Produto]])=1,1,0)</f>
        <v>1</v>
      </c>
    </row>
    <row r="4664" spans="1:16" x14ac:dyDescent="0.25">
      <c r="A4664" t="s">
        <v>1861</v>
      </c>
      <c r="B4664">
        <v>227</v>
      </c>
      <c r="C4664" t="s">
        <v>7494</v>
      </c>
      <c r="D4664" t="s">
        <v>120</v>
      </c>
      <c r="E4664" s="13">
        <v>8000</v>
      </c>
      <c r="F4664" s="12">
        <v>0.9</v>
      </c>
      <c r="G4664" t="str">
        <f>IFERROR(INDEX(tEditais[Órgão],MATCH(tItens[[#This Row],[Edital]],tEditais[Edital],0)),"")</f>
        <v>FUNDO MUNICIPAL DE SAUDE DE CAMOCIM DE SAO FELIX</v>
      </c>
      <c r="H4664" t="str">
        <f>IFERROR(INDEX(tEditais[UF],MATCH(tItens[[#This Row],[Edital]],tEditais[Edital],0)),"")</f>
        <v>PE</v>
      </c>
      <c r="I4664" s="11">
        <f>IFERROR(INDEX(tEditais[Encerramento],MATCH(tItens[[#This Row],[Edital]],tEditais[Edital],0)),"")</f>
        <v>46308.333333333336</v>
      </c>
      <c r="J4664" t="str">
        <f>IFERROR(INDEX(tProdutos[Classe],MATCH(tItens[[#This Row],[Produto]],tProdutos[Produto],0)),"produto não cadastrado")</f>
        <v>DISPUTADO</v>
      </c>
      <c r="K4664" s="12">
        <f>tItens[[#This Row],[Qtd]]*tItens[[#This Row],[Vlr unit]]</f>
        <v>7200</v>
      </c>
      <c r="L4664" s="6">
        <f>IFERROR(IF(INDEX(tProdutos[Desconto homologado],MATCH(tItens[[#This Row],[Produto]],tProdutos[Produto],0))="",DescontoPadrao,INDEX(tProdutos[Desconto homologado],MATCH(tItens[[#This Row],[Produto]],tProdutos[Produto],0))),DescontoPadrao)</f>
        <v>0.40909090909090901</v>
      </c>
      <c r="M4664" s="12">
        <f>tItens[[#This Row],[Valor]]*(1-tItens[[#This Row],[Desconto]])</f>
        <v>4254.5454545454559</v>
      </c>
      <c r="N4664" t="str">
        <f>IFERROR(INDEX(tProdutos[Foco],MATCH(tItens[[#This Row],[Produto]],tProdutos[Produto],0)),"Não")</f>
        <v>Não</v>
      </c>
      <c r="O4664" t="str">
        <f>IFERROR(INDEX(tEditais[SRP],MATCH(tItens[[#This Row],[Edital]],tEditais[Edital],0)),"Não")</f>
        <v>Sim</v>
      </c>
      <c r="P4664" s="4">
        <f>IF(COUNTIFS(INDEX(tItens[Edital],1):tItens[[#This Row],[Edital]],tItens[[#This Row],[Edital]],INDEX(tItens[Produto],1):tItens[[#This Row],[Produto]],tItens[[#This Row],[Produto]])=1,1,0)</f>
        <v>0</v>
      </c>
    </row>
    <row r="4665" spans="1:16" x14ac:dyDescent="0.25">
      <c r="A4665" t="s">
        <v>1861</v>
      </c>
      <c r="B4665">
        <v>228</v>
      </c>
      <c r="C4665" t="s">
        <v>7495</v>
      </c>
      <c r="D4665" t="s">
        <v>120</v>
      </c>
      <c r="E4665" s="13">
        <v>6000</v>
      </c>
      <c r="F4665" s="12">
        <v>0.74</v>
      </c>
      <c r="G4665" t="str">
        <f>IFERROR(INDEX(tEditais[Órgão],MATCH(tItens[[#This Row],[Edital]],tEditais[Edital],0)),"")</f>
        <v>FUNDO MUNICIPAL DE SAUDE DE CAMOCIM DE SAO FELIX</v>
      </c>
      <c r="H4665" t="str">
        <f>IFERROR(INDEX(tEditais[UF],MATCH(tItens[[#This Row],[Edital]],tEditais[Edital],0)),"")</f>
        <v>PE</v>
      </c>
      <c r="I4665" s="11">
        <f>IFERROR(INDEX(tEditais[Encerramento],MATCH(tItens[[#This Row],[Edital]],tEditais[Edital],0)),"")</f>
        <v>46308.333333333336</v>
      </c>
      <c r="J4665" t="str">
        <f>IFERROR(INDEX(tProdutos[Classe],MATCH(tItens[[#This Row],[Produto]],tProdutos[Produto],0)),"produto não cadastrado")</f>
        <v>DISPUTADO</v>
      </c>
      <c r="K4665" s="12">
        <f>tItens[[#This Row],[Qtd]]*tItens[[#This Row],[Vlr unit]]</f>
        <v>4440</v>
      </c>
      <c r="L4665" s="6">
        <f>IFERROR(IF(INDEX(tProdutos[Desconto homologado],MATCH(tItens[[#This Row],[Produto]],tProdutos[Produto],0))="",DescontoPadrao,INDEX(tProdutos[Desconto homologado],MATCH(tItens[[#This Row],[Produto]],tProdutos[Produto],0))),DescontoPadrao)</f>
        <v>0.40909090909090901</v>
      </c>
      <c r="M4665" s="12">
        <f>tItens[[#This Row],[Valor]]*(1-tItens[[#This Row],[Desconto]])</f>
        <v>2623.6363636363644</v>
      </c>
      <c r="N4665" t="str">
        <f>IFERROR(INDEX(tProdutos[Foco],MATCH(tItens[[#This Row],[Produto]],tProdutos[Produto],0)),"Não")</f>
        <v>Não</v>
      </c>
      <c r="O4665" t="str">
        <f>IFERROR(INDEX(tEditais[SRP],MATCH(tItens[[#This Row],[Edital]],tEditais[Edital],0)),"Não")</f>
        <v>Sim</v>
      </c>
      <c r="P4665" s="4">
        <f>IF(COUNTIFS(INDEX(tItens[Edital],1):tItens[[#This Row],[Edital]],tItens[[#This Row],[Edital]],INDEX(tItens[Produto],1):tItens[[#This Row],[Produto]],tItens[[#This Row],[Produto]])=1,1,0)</f>
        <v>0</v>
      </c>
    </row>
    <row r="4666" spans="1:16" x14ac:dyDescent="0.25">
      <c r="A4666" t="s">
        <v>1861</v>
      </c>
      <c r="B4666">
        <v>229</v>
      </c>
      <c r="C4666" t="s">
        <v>7496</v>
      </c>
      <c r="D4666" t="s">
        <v>120</v>
      </c>
      <c r="E4666" s="13">
        <v>10000</v>
      </c>
      <c r="F4666" s="12">
        <v>0.65</v>
      </c>
      <c r="G4666" t="str">
        <f>IFERROR(INDEX(tEditais[Órgão],MATCH(tItens[[#This Row],[Edital]],tEditais[Edital],0)),"")</f>
        <v>FUNDO MUNICIPAL DE SAUDE DE CAMOCIM DE SAO FELIX</v>
      </c>
      <c r="H4666" t="str">
        <f>IFERROR(INDEX(tEditais[UF],MATCH(tItens[[#This Row],[Edital]],tEditais[Edital],0)),"")</f>
        <v>PE</v>
      </c>
      <c r="I4666" s="11">
        <f>IFERROR(INDEX(tEditais[Encerramento],MATCH(tItens[[#This Row],[Edital]],tEditais[Edital],0)),"")</f>
        <v>46308.333333333336</v>
      </c>
      <c r="J4666" t="str">
        <f>IFERROR(INDEX(tProdutos[Classe],MATCH(tItens[[#This Row],[Produto]],tProdutos[Produto],0)),"produto não cadastrado")</f>
        <v>DISPUTADO</v>
      </c>
      <c r="K4666" s="12">
        <f>tItens[[#This Row],[Qtd]]*tItens[[#This Row],[Vlr unit]]</f>
        <v>6500</v>
      </c>
      <c r="L4666" s="6">
        <f>IFERROR(IF(INDEX(tProdutos[Desconto homologado],MATCH(tItens[[#This Row],[Produto]],tProdutos[Produto],0))="",DescontoPadrao,INDEX(tProdutos[Desconto homologado],MATCH(tItens[[#This Row],[Produto]],tProdutos[Produto],0))),DescontoPadrao)</f>
        <v>0.40909090909090901</v>
      </c>
      <c r="M4666" s="12">
        <f>tItens[[#This Row],[Valor]]*(1-tItens[[#This Row],[Desconto]])</f>
        <v>3840.9090909090919</v>
      </c>
      <c r="N4666" t="str">
        <f>IFERROR(INDEX(tProdutos[Foco],MATCH(tItens[[#This Row],[Produto]],tProdutos[Produto],0)),"Não")</f>
        <v>Não</v>
      </c>
      <c r="O4666" t="str">
        <f>IFERROR(INDEX(tEditais[SRP],MATCH(tItens[[#This Row],[Edital]],tEditais[Edital],0)),"Não")</f>
        <v>Sim</v>
      </c>
      <c r="P4666" s="4">
        <f>IF(COUNTIFS(INDEX(tItens[Edital],1):tItens[[#This Row],[Edital]],tItens[[#This Row],[Edital]],INDEX(tItens[Produto],1):tItens[[#This Row],[Produto]],tItens[[#This Row],[Produto]])=1,1,0)</f>
        <v>0</v>
      </c>
    </row>
    <row r="4667" spans="1:16" x14ac:dyDescent="0.25">
      <c r="A4667" t="s">
        <v>1861</v>
      </c>
      <c r="B4667">
        <v>230</v>
      </c>
      <c r="C4667" t="s">
        <v>7497</v>
      </c>
      <c r="D4667" t="s">
        <v>120</v>
      </c>
      <c r="E4667" s="13">
        <v>20000</v>
      </c>
      <c r="F4667" s="12">
        <v>0.7</v>
      </c>
      <c r="G4667" t="str">
        <f>IFERROR(INDEX(tEditais[Órgão],MATCH(tItens[[#This Row],[Edital]],tEditais[Edital],0)),"")</f>
        <v>FUNDO MUNICIPAL DE SAUDE DE CAMOCIM DE SAO FELIX</v>
      </c>
      <c r="H4667" t="str">
        <f>IFERROR(INDEX(tEditais[UF],MATCH(tItens[[#This Row],[Edital]],tEditais[Edital],0)),"")</f>
        <v>PE</v>
      </c>
      <c r="I4667" s="11">
        <f>IFERROR(INDEX(tEditais[Encerramento],MATCH(tItens[[#This Row],[Edital]],tEditais[Edital],0)),"")</f>
        <v>46308.333333333336</v>
      </c>
      <c r="J4667" t="str">
        <f>IFERROR(INDEX(tProdutos[Classe],MATCH(tItens[[#This Row],[Produto]],tProdutos[Produto],0)),"produto não cadastrado")</f>
        <v>DISPUTADO</v>
      </c>
      <c r="K4667" s="12">
        <f>tItens[[#This Row],[Qtd]]*tItens[[#This Row],[Vlr unit]]</f>
        <v>14000</v>
      </c>
      <c r="L4667" s="6">
        <f>IFERROR(IF(INDEX(tProdutos[Desconto homologado],MATCH(tItens[[#This Row],[Produto]],tProdutos[Produto],0))="",DescontoPadrao,INDEX(tProdutos[Desconto homologado],MATCH(tItens[[#This Row],[Produto]],tProdutos[Produto],0))),DescontoPadrao)</f>
        <v>0.40909090909090901</v>
      </c>
      <c r="M4667" s="12">
        <f>tItens[[#This Row],[Valor]]*(1-tItens[[#This Row],[Desconto]])</f>
        <v>8272.7272727272739</v>
      </c>
      <c r="N4667" t="str">
        <f>IFERROR(INDEX(tProdutos[Foco],MATCH(tItens[[#This Row],[Produto]],tProdutos[Produto],0)),"Não")</f>
        <v>Não</v>
      </c>
      <c r="O4667" t="str">
        <f>IFERROR(INDEX(tEditais[SRP],MATCH(tItens[[#This Row],[Edital]],tEditais[Edital],0)),"Não")</f>
        <v>Sim</v>
      </c>
      <c r="P4667" s="4">
        <f>IF(COUNTIFS(INDEX(tItens[Edital],1):tItens[[#This Row],[Edital]],tItens[[#This Row],[Edital]],INDEX(tItens[Produto],1):tItens[[#This Row],[Produto]],tItens[[#This Row],[Produto]])=1,1,0)</f>
        <v>0</v>
      </c>
    </row>
    <row r="4668" spans="1:16" x14ac:dyDescent="0.25">
      <c r="A4668" t="s">
        <v>1861</v>
      </c>
      <c r="B4668">
        <v>231</v>
      </c>
      <c r="C4668" t="s">
        <v>7498</v>
      </c>
      <c r="D4668" t="s">
        <v>120</v>
      </c>
      <c r="E4668" s="13">
        <v>6000</v>
      </c>
      <c r="F4668" s="12">
        <v>0.79</v>
      </c>
      <c r="G4668" t="str">
        <f>IFERROR(INDEX(tEditais[Órgão],MATCH(tItens[[#This Row],[Edital]],tEditais[Edital],0)),"")</f>
        <v>FUNDO MUNICIPAL DE SAUDE DE CAMOCIM DE SAO FELIX</v>
      </c>
      <c r="H4668" t="str">
        <f>IFERROR(INDEX(tEditais[UF],MATCH(tItens[[#This Row],[Edital]],tEditais[Edital],0)),"")</f>
        <v>PE</v>
      </c>
      <c r="I4668" s="11">
        <f>IFERROR(INDEX(tEditais[Encerramento],MATCH(tItens[[#This Row],[Edital]],tEditais[Edital],0)),"")</f>
        <v>46308.333333333336</v>
      </c>
      <c r="J4668" t="str">
        <f>IFERROR(INDEX(tProdutos[Classe],MATCH(tItens[[#This Row],[Produto]],tProdutos[Produto],0)),"produto não cadastrado")</f>
        <v>DISPUTADO</v>
      </c>
      <c r="K4668" s="12">
        <f>tItens[[#This Row],[Qtd]]*tItens[[#This Row],[Vlr unit]]</f>
        <v>4740</v>
      </c>
      <c r="L4668" s="6">
        <f>IFERROR(IF(INDEX(tProdutos[Desconto homologado],MATCH(tItens[[#This Row],[Produto]],tProdutos[Produto],0))="",DescontoPadrao,INDEX(tProdutos[Desconto homologado],MATCH(tItens[[#This Row],[Produto]],tProdutos[Produto],0))),DescontoPadrao)</f>
        <v>0.40909090909090901</v>
      </c>
      <c r="M4668" s="12">
        <f>tItens[[#This Row],[Valor]]*(1-tItens[[#This Row],[Desconto]])</f>
        <v>2800.9090909090914</v>
      </c>
      <c r="N4668" t="str">
        <f>IFERROR(INDEX(tProdutos[Foco],MATCH(tItens[[#This Row],[Produto]],tProdutos[Produto],0)),"Não")</f>
        <v>Não</v>
      </c>
      <c r="O4668" t="str">
        <f>IFERROR(INDEX(tEditais[SRP],MATCH(tItens[[#This Row],[Edital]],tEditais[Edital],0)),"Não")</f>
        <v>Sim</v>
      </c>
      <c r="P4668" s="4">
        <f>IF(COUNTIFS(INDEX(tItens[Edital],1):tItens[[#This Row],[Edital]],tItens[[#This Row],[Edital]],INDEX(tItens[Produto],1):tItens[[#This Row],[Produto]],tItens[[#This Row],[Produto]])=1,1,0)</f>
        <v>0</v>
      </c>
    </row>
    <row r="4669" spans="1:16" x14ac:dyDescent="0.25">
      <c r="A4669" t="s">
        <v>1861</v>
      </c>
      <c r="B4669">
        <v>232</v>
      </c>
      <c r="C4669" t="s">
        <v>7499</v>
      </c>
      <c r="D4669" t="s">
        <v>120</v>
      </c>
      <c r="E4669" s="13">
        <v>6000</v>
      </c>
      <c r="F4669" s="12">
        <v>0.82</v>
      </c>
      <c r="G4669" t="str">
        <f>IFERROR(INDEX(tEditais[Órgão],MATCH(tItens[[#This Row],[Edital]],tEditais[Edital],0)),"")</f>
        <v>FUNDO MUNICIPAL DE SAUDE DE CAMOCIM DE SAO FELIX</v>
      </c>
      <c r="H4669" t="str">
        <f>IFERROR(INDEX(tEditais[UF],MATCH(tItens[[#This Row],[Edital]],tEditais[Edital],0)),"")</f>
        <v>PE</v>
      </c>
      <c r="I4669" s="11">
        <f>IFERROR(INDEX(tEditais[Encerramento],MATCH(tItens[[#This Row],[Edital]],tEditais[Edital],0)),"")</f>
        <v>46308.333333333336</v>
      </c>
      <c r="J4669" t="str">
        <f>IFERROR(INDEX(tProdutos[Classe],MATCH(tItens[[#This Row],[Produto]],tProdutos[Produto],0)),"produto não cadastrado")</f>
        <v>DISPUTADO</v>
      </c>
      <c r="K4669" s="12">
        <f>tItens[[#This Row],[Qtd]]*tItens[[#This Row],[Vlr unit]]</f>
        <v>4920</v>
      </c>
      <c r="L4669" s="6">
        <f>IFERROR(IF(INDEX(tProdutos[Desconto homologado],MATCH(tItens[[#This Row],[Produto]],tProdutos[Produto],0))="",DescontoPadrao,INDEX(tProdutos[Desconto homologado],MATCH(tItens[[#This Row],[Produto]],tProdutos[Produto],0))),DescontoPadrao)</f>
        <v>0.40909090909090901</v>
      </c>
      <c r="M4669" s="12">
        <f>tItens[[#This Row],[Valor]]*(1-tItens[[#This Row],[Desconto]])</f>
        <v>2907.2727272727279</v>
      </c>
      <c r="N4669" t="str">
        <f>IFERROR(INDEX(tProdutos[Foco],MATCH(tItens[[#This Row],[Produto]],tProdutos[Produto],0)),"Não")</f>
        <v>Não</v>
      </c>
      <c r="O4669" t="str">
        <f>IFERROR(INDEX(tEditais[SRP],MATCH(tItens[[#This Row],[Edital]],tEditais[Edital],0)),"Não")</f>
        <v>Sim</v>
      </c>
      <c r="P4669" s="4">
        <f>IF(COUNTIFS(INDEX(tItens[Edital],1):tItens[[#This Row],[Edital]],tItens[[#This Row],[Edital]],INDEX(tItens[Produto],1):tItens[[#This Row],[Produto]],tItens[[#This Row],[Produto]])=1,1,0)</f>
        <v>0</v>
      </c>
    </row>
    <row r="4670" spans="1:16" x14ac:dyDescent="0.25">
      <c r="A4670" t="s">
        <v>1861</v>
      </c>
      <c r="B4670">
        <v>233</v>
      </c>
      <c r="C4670" t="s">
        <v>7500</v>
      </c>
      <c r="D4670" t="s">
        <v>120</v>
      </c>
      <c r="E4670" s="13">
        <v>4000</v>
      </c>
      <c r="F4670" s="12">
        <v>1.17</v>
      </c>
      <c r="G4670" t="str">
        <f>IFERROR(INDEX(tEditais[Órgão],MATCH(tItens[[#This Row],[Edital]],tEditais[Edital],0)),"")</f>
        <v>FUNDO MUNICIPAL DE SAUDE DE CAMOCIM DE SAO FELIX</v>
      </c>
      <c r="H4670" t="str">
        <f>IFERROR(INDEX(tEditais[UF],MATCH(tItens[[#This Row],[Edital]],tEditais[Edital],0)),"")</f>
        <v>PE</v>
      </c>
      <c r="I4670" s="11">
        <f>IFERROR(INDEX(tEditais[Encerramento],MATCH(tItens[[#This Row],[Edital]],tEditais[Edital],0)),"")</f>
        <v>46308.333333333336</v>
      </c>
      <c r="J4670" t="str">
        <f>IFERROR(INDEX(tProdutos[Classe],MATCH(tItens[[#This Row],[Produto]],tProdutos[Produto],0)),"produto não cadastrado")</f>
        <v>DISPUTADO</v>
      </c>
      <c r="K4670" s="12">
        <f>tItens[[#This Row],[Qtd]]*tItens[[#This Row],[Vlr unit]]</f>
        <v>4680</v>
      </c>
      <c r="L4670" s="6">
        <f>IFERROR(IF(INDEX(tProdutos[Desconto homologado],MATCH(tItens[[#This Row],[Produto]],tProdutos[Produto],0))="",DescontoPadrao,INDEX(tProdutos[Desconto homologado],MATCH(tItens[[#This Row],[Produto]],tProdutos[Produto],0))),DescontoPadrao)</f>
        <v>0.40909090909090901</v>
      </c>
      <c r="M4670" s="12">
        <f>tItens[[#This Row],[Valor]]*(1-tItens[[#This Row],[Desconto]])</f>
        <v>2765.454545454546</v>
      </c>
      <c r="N4670" t="str">
        <f>IFERROR(INDEX(tProdutos[Foco],MATCH(tItens[[#This Row],[Produto]],tProdutos[Produto],0)),"Não")</f>
        <v>Não</v>
      </c>
      <c r="O4670" t="str">
        <f>IFERROR(INDEX(tEditais[SRP],MATCH(tItens[[#This Row],[Edital]],tEditais[Edital],0)),"Não")</f>
        <v>Sim</v>
      </c>
      <c r="P4670" s="4">
        <f>IF(COUNTIFS(INDEX(tItens[Edital],1):tItens[[#This Row],[Edital]],tItens[[#This Row],[Edital]],INDEX(tItens[Produto],1):tItens[[#This Row],[Produto]],tItens[[#This Row],[Produto]])=1,1,0)</f>
        <v>0</v>
      </c>
    </row>
    <row r="4671" spans="1:16" x14ac:dyDescent="0.25">
      <c r="A4671" t="s">
        <v>1861</v>
      </c>
      <c r="B4671">
        <v>235</v>
      </c>
      <c r="C4671" t="s">
        <v>7501</v>
      </c>
      <c r="D4671" t="s">
        <v>156</v>
      </c>
      <c r="E4671" s="13">
        <v>150</v>
      </c>
      <c r="F4671" s="12">
        <v>16.05</v>
      </c>
      <c r="G4671" t="str">
        <f>IFERROR(INDEX(tEditais[Órgão],MATCH(tItens[[#This Row],[Edital]],tEditais[Edital],0)),"")</f>
        <v>FUNDO MUNICIPAL DE SAUDE DE CAMOCIM DE SAO FELIX</v>
      </c>
      <c r="H4671" t="str">
        <f>IFERROR(INDEX(tEditais[UF],MATCH(tItens[[#This Row],[Edital]],tEditais[Edital],0)),"")</f>
        <v>PE</v>
      </c>
      <c r="I4671" s="11">
        <f>IFERROR(INDEX(tEditais[Encerramento],MATCH(tItens[[#This Row],[Edital]],tEditais[Edital],0)),"")</f>
        <v>46308.333333333336</v>
      </c>
      <c r="J4671" t="str">
        <f>IFERROR(INDEX(tProdutos[Classe],MATCH(tItens[[#This Row],[Produto]],tProdutos[Produto],0)),"produto não cadastrado")</f>
        <v>DISPUTADO</v>
      </c>
      <c r="K4671" s="12">
        <f>tItens[[#This Row],[Qtd]]*tItens[[#This Row],[Vlr unit]]</f>
        <v>2407.5</v>
      </c>
      <c r="L4671" s="6">
        <f>IFERROR(IF(INDEX(tProdutos[Desconto homologado],MATCH(tItens[[#This Row],[Produto]],tProdutos[Produto],0))="",DescontoPadrao,INDEX(tProdutos[Desconto homologado],MATCH(tItens[[#This Row],[Produto]],tProdutos[Produto],0))),DescontoPadrao)</f>
        <v>0.27131852489802799</v>
      </c>
      <c r="M4671" s="12">
        <f>tItens[[#This Row],[Valor]]*(1-tItens[[#This Row],[Desconto]])</f>
        <v>1754.3006513079977</v>
      </c>
      <c r="N4671" t="str">
        <f>IFERROR(INDEX(tProdutos[Foco],MATCH(tItens[[#This Row],[Produto]],tProdutos[Produto],0)),"Não")</f>
        <v>Não</v>
      </c>
      <c r="O4671" t="str">
        <f>IFERROR(INDEX(tEditais[SRP],MATCH(tItens[[#This Row],[Edital]],tEditais[Edital],0)),"Não")</f>
        <v>Sim</v>
      </c>
      <c r="P4671" s="4">
        <f>IF(COUNTIFS(INDEX(tItens[Edital],1):tItens[[#This Row],[Edital]],tItens[[#This Row],[Edital]],INDEX(tItens[Produto],1):tItens[[#This Row],[Produto]],tItens[[#This Row],[Produto]])=1,1,0)</f>
        <v>1</v>
      </c>
    </row>
    <row r="4672" spans="1:16" x14ac:dyDescent="0.25">
      <c r="A4672" t="s">
        <v>1866</v>
      </c>
      <c r="B4672">
        <v>13</v>
      </c>
      <c r="C4672" t="s">
        <v>7502</v>
      </c>
      <c r="D4672" t="s">
        <v>611</v>
      </c>
      <c r="E4672" s="13">
        <v>5</v>
      </c>
      <c r="F4672" s="12">
        <v>168.28</v>
      </c>
      <c r="G4672" t="str">
        <f>IFERROR(INDEX(tEditais[Órgão],MATCH(tItens[[#This Row],[Edital]],tEditais[Edital],0)),"")</f>
        <v>FUNDO MUNICIPAL DE SAUDE</v>
      </c>
      <c r="H4672" t="str">
        <f>IFERROR(INDEX(tEditais[UF],MATCH(tItens[[#This Row],[Edital]],tEditais[Edital],0)),"")</f>
        <v>PE</v>
      </c>
      <c r="I4672" s="11">
        <f>IFERROR(INDEX(tEditais[Encerramento],MATCH(tItens[[#This Row],[Edital]],tEditais[Edital],0)),"")</f>
        <v>46308.375</v>
      </c>
      <c r="J4672" t="str">
        <f>IFERROR(INDEX(tProdutos[Classe],MATCH(tItens[[#This Row],[Produto]],tProdutos[Produto],0)),"produto não cadastrado")</f>
        <v>FILA REBASE</v>
      </c>
      <c r="K4672" s="12">
        <f>tItens[[#This Row],[Qtd]]*tItens[[#This Row],[Vlr unit]]</f>
        <v>841.4</v>
      </c>
      <c r="L4672" s="6">
        <f>IFERROR(IF(INDEX(tProdutos[Desconto homologado],MATCH(tItens[[#This Row],[Produto]],tProdutos[Produto],0))="",DescontoPadrao,INDEX(tProdutos[Desconto homologado],MATCH(tItens[[#This Row],[Produto]],tProdutos[Produto],0))),DescontoPadrao)</f>
        <v>0.3</v>
      </c>
      <c r="M4672" s="12">
        <f>tItens[[#This Row],[Valor]]*(1-tItens[[#This Row],[Desconto]])</f>
        <v>588.9799999999999</v>
      </c>
      <c r="N4672" t="str">
        <f>IFERROR(INDEX(tProdutos[Foco],MATCH(tItens[[#This Row],[Produto]],tProdutos[Produto],0)),"Não")</f>
        <v>Não</v>
      </c>
      <c r="O4672" t="str">
        <f>IFERROR(INDEX(tEditais[SRP],MATCH(tItens[[#This Row],[Edital]],tEditais[Edital],0)),"Não")</f>
        <v>Sim</v>
      </c>
      <c r="P4672" s="4">
        <f>IF(COUNTIFS(INDEX(tItens[Edital],1):tItens[[#This Row],[Edital]],tItens[[#This Row],[Edital]],INDEX(tItens[Produto],1):tItens[[#This Row],[Produto]],tItens[[#This Row],[Produto]])=1,1,0)</f>
        <v>1</v>
      </c>
    </row>
    <row r="4673" spans="1:16" x14ac:dyDescent="0.25">
      <c r="A4673" t="s">
        <v>1866</v>
      </c>
      <c r="B4673">
        <v>38</v>
      </c>
      <c r="C4673" t="s">
        <v>7503</v>
      </c>
      <c r="D4673" t="s">
        <v>311</v>
      </c>
      <c r="E4673" s="13">
        <v>3</v>
      </c>
      <c r="F4673" s="12">
        <v>27.58</v>
      </c>
      <c r="G4673" t="str">
        <f>IFERROR(INDEX(tEditais[Órgão],MATCH(tItens[[#This Row],[Edital]],tEditais[Edital],0)),"")</f>
        <v>FUNDO MUNICIPAL DE SAUDE</v>
      </c>
      <c r="H4673" t="str">
        <f>IFERROR(INDEX(tEditais[UF],MATCH(tItens[[#This Row],[Edital]],tEditais[Edital],0)),"")</f>
        <v>PE</v>
      </c>
      <c r="I4673" s="11">
        <f>IFERROR(INDEX(tEditais[Encerramento],MATCH(tItens[[#This Row],[Edital]],tEditais[Edital],0)),"")</f>
        <v>46308.375</v>
      </c>
      <c r="J4673" t="str">
        <f>IFERROR(INDEX(tProdutos[Classe],MATCH(tItens[[#This Row],[Produto]],tProdutos[Produto],0)),"produto não cadastrado")</f>
        <v>FORA</v>
      </c>
      <c r="K4673" s="12">
        <f>tItens[[#This Row],[Qtd]]*tItens[[#This Row],[Vlr unit]]</f>
        <v>82.74</v>
      </c>
      <c r="L4673" s="6">
        <f>IFERROR(IF(INDEX(tProdutos[Desconto homologado],MATCH(tItens[[#This Row],[Produto]],tProdutos[Produto],0))="",DescontoPadrao,INDEX(tProdutos[Desconto homologado],MATCH(tItens[[#This Row],[Produto]],tProdutos[Produto],0))),DescontoPadrao)</f>
        <v>0.29046182846371399</v>
      </c>
      <c r="M4673" s="12">
        <f>tItens[[#This Row],[Valor]]*(1-tItens[[#This Row],[Desconto]])</f>
        <v>58.707188312912308</v>
      </c>
      <c r="N4673" t="str">
        <f>IFERROR(INDEX(tProdutos[Foco],MATCH(tItens[[#This Row],[Produto]],tProdutos[Produto],0)),"Não")</f>
        <v>Não</v>
      </c>
      <c r="O4673" t="str">
        <f>IFERROR(INDEX(tEditais[SRP],MATCH(tItens[[#This Row],[Edital]],tEditais[Edital],0)),"Não")</f>
        <v>Sim</v>
      </c>
      <c r="P4673" s="4">
        <f>IF(COUNTIFS(INDEX(tItens[Edital],1):tItens[[#This Row],[Edital]],tItens[[#This Row],[Edital]],INDEX(tItens[Produto],1):tItens[[#This Row],[Produto]],tItens[[#This Row],[Produto]])=1,1,0)</f>
        <v>1</v>
      </c>
    </row>
    <row r="4674" spans="1:16" x14ac:dyDescent="0.25">
      <c r="A4674" t="s">
        <v>1870</v>
      </c>
      <c r="B4674">
        <v>3</v>
      </c>
      <c r="C4674" t="s">
        <v>7504</v>
      </c>
      <c r="D4674" t="s">
        <v>213</v>
      </c>
      <c r="E4674" s="13">
        <v>600</v>
      </c>
      <c r="F4674" s="12">
        <v>21.83</v>
      </c>
      <c r="G4674" t="str">
        <f>IFERROR(INDEX(tEditais[Órgão],MATCH(tItens[[#This Row],[Edital]],tEditais[Edital],0)),"")</f>
        <v>MUNICIPIO DE FREI MIGUELINHO</v>
      </c>
      <c r="H4674" t="str">
        <f>IFERROR(INDEX(tEditais[UF],MATCH(tItens[[#This Row],[Edital]],tEditais[Edital],0)),"")</f>
        <v>PE</v>
      </c>
      <c r="I4674" s="11">
        <f>IFERROR(INDEX(tEditais[Encerramento],MATCH(tItens[[#This Row],[Edital]],tEditais[Edital],0)),"")</f>
        <v>46308.375</v>
      </c>
      <c r="J4674" t="str">
        <f>IFERROR(INDEX(tProdutos[Classe],MATCH(tItens[[#This Row],[Produto]],tProdutos[Produto],0)),"produto não cadastrado")</f>
        <v>DISPUTADO</v>
      </c>
      <c r="K4674" s="12">
        <f>tItens[[#This Row],[Qtd]]*tItens[[#This Row],[Vlr unit]]</f>
        <v>13097.999999999998</v>
      </c>
      <c r="L4674" s="6">
        <f>IFERROR(IF(INDEX(tProdutos[Desconto homologado],MATCH(tItens[[#This Row],[Produto]],tProdutos[Produto],0))="",DescontoPadrao,INDEX(tProdutos[Desconto homologado],MATCH(tItens[[#This Row],[Produto]],tProdutos[Produto],0))),DescontoPadrao)</f>
        <v>0.35909822866344598</v>
      </c>
      <c r="M4674" s="12">
        <f>tItens[[#This Row],[Valor]]*(1-tItens[[#This Row],[Desconto]])</f>
        <v>8394.5314009661834</v>
      </c>
      <c r="N4674" t="str">
        <f>IFERROR(INDEX(tProdutos[Foco],MATCH(tItens[[#This Row],[Produto]],tProdutos[Produto],0)),"Não")</f>
        <v>Não</v>
      </c>
      <c r="O4674" t="str">
        <f>IFERROR(INDEX(tEditais[SRP],MATCH(tItens[[#This Row],[Edital]],tEditais[Edital],0)),"Não")</f>
        <v>Não</v>
      </c>
      <c r="P4674" s="4">
        <f>IF(COUNTIFS(INDEX(tItens[Edital],1):tItens[[#This Row],[Edital]],tItens[[#This Row],[Edital]],INDEX(tItens[Produto],1):tItens[[#This Row],[Produto]],tItens[[#This Row],[Produto]])=1,1,0)</f>
        <v>1</v>
      </c>
    </row>
    <row r="4675" spans="1:16" x14ac:dyDescent="0.25">
      <c r="A4675" t="s">
        <v>1870</v>
      </c>
      <c r="B4675">
        <v>6</v>
      </c>
      <c r="C4675" t="s">
        <v>7505</v>
      </c>
      <c r="D4675" t="s">
        <v>315</v>
      </c>
      <c r="E4675" s="13">
        <v>7800</v>
      </c>
      <c r="F4675" s="12">
        <v>0.23</v>
      </c>
      <c r="G4675" t="str">
        <f>IFERROR(INDEX(tEditais[Órgão],MATCH(tItens[[#This Row],[Edital]],tEditais[Edital],0)),"")</f>
        <v>MUNICIPIO DE FREI MIGUELINHO</v>
      </c>
      <c r="H4675" t="str">
        <f>IFERROR(INDEX(tEditais[UF],MATCH(tItens[[#This Row],[Edital]],tEditais[Edital],0)),"")</f>
        <v>PE</v>
      </c>
      <c r="I4675" s="11">
        <f>IFERROR(INDEX(tEditais[Encerramento],MATCH(tItens[[#This Row],[Edital]],tEditais[Edital],0)),"")</f>
        <v>46308.375</v>
      </c>
      <c r="J4675" t="str">
        <f>IFERROR(INDEX(tProdutos[Classe],MATCH(tItens[[#This Row],[Produto]],tProdutos[Produto],0)),"produto não cadastrado")</f>
        <v>FORA</v>
      </c>
      <c r="K4675" s="12">
        <f>tItens[[#This Row],[Qtd]]*tItens[[#This Row],[Vlr unit]]</f>
        <v>1794</v>
      </c>
      <c r="L4675" s="6">
        <f>IFERROR(IF(INDEX(tProdutos[Desconto homologado],MATCH(tItens[[#This Row],[Produto]],tProdutos[Produto],0))="",DescontoPadrao,INDEX(tProdutos[Desconto homologado],MATCH(tItens[[#This Row],[Produto]],tProdutos[Produto],0))),DescontoPadrao)</f>
        <v>0.38432036097010702</v>
      </c>
      <c r="M4675" s="12">
        <f>tItens[[#This Row],[Valor]]*(1-tItens[[#This Row],[Desconto]])</f>
        <v>1104.5292724196281</v>
      </c>
      <c r="N4675" t="str">
        <f>IFERROR(INDEX(tProdutos[Foco],MATCH(tItens[[#This Row],[Produto]],tProdutos[Produto],0)),"Não")</f>
        <v>Não</v>
      </c>
      <c r="O4675" t="str">
        <f>IFERROR(INDEX(tEditais[SRP],MATCH(tItens[[#This Row],[Edital]],tEditais[Edital],0)),"Não")</f>
        <v>Não</v>
      </c>
      <c r="P4675" s="4">
        <f>IF(COUNTIFS(INDEX(tItens[Edital],1):tItens[[#This Row],[Edital]],tItens[[#This Row],[Edital]],INDEX(tItens[Produto],1):tItens[[#This Row],[Produto]],tItens[[#This Row],[Produto]])=1,1,0)</f>
        <v>1</v>
      </c>
    </row>
    <row r="4676" spans="1:16" x14ac:dyDescent="0.25">
      <c r="A4676" t="s">
        <v>1870</v>
      </c>
      <c r="B4676">
        <v>7</v>
      </c>
      <c r="C4676" t="s">
        <v>7506</v>
      </c>
      <c r="D4676" t="s">
        <v>315</v>
      </c>
      <c r="E4676" s="13">
        <v>26000</v>
      </c>
      <c r="F4676" s="12">
        <v>0.48</v>
      </c>
      <c r="G4676" t="str">
        <f>IFERROR(INDEX(tEditais[Órgão],MATCH(tItens[[#This Row],[Edital]],tEditais[Edital],0)),"")</f>
        <v>MUNICIPIO DE FREI MIGUELINHO</v>
      </c>
      <c r="H4676" t="str">
        <f>IFERROR(INDEX(tEditais[UF],MATCH(tItens[[#This Row],[Edital]],tEditais[Edital],0)),"")</f>
        <v>PE</v>
      </c>
      <c r="I4676" s="11">
        <f>IFERROR(INDEX(tEditais[Encerramento],MATCH(tItens[[#This Row],[Edital]],tEditais[Edital],0)),"")</f>
        <v>46308.375</v>
      </c>
      <c r="J4676" t="str">
        <f>IFERROR(INDEX(tProdutos[Classe],MATCH(tItens[[#This Row],[Produto]],tProdutos[Produto],0)),"produto não cadastrado")</f>
        <v>FORA</v>
      </c>
      <c r="K4676" s="12">
        <f>tItens[[#This Row],[Qtd]]*tItens[[#This Row],[Vlr unit]]</f>
        <v>12480</v>
      </c>
      <c r="L4676" s="6">
        <f>IFERROR(IF(INDEX(tProdutos[Desconto homologado],MATCH(tItens[[#This Row],[Produto]],tProdutos[Produto],0))="",DescontoPadrao,INDEX(tProdutos[Desconto homologado],MATCH(tItens[[#This Row],[Produto]],tProdutos[Produto],0))),DescontoPadrao)</f>
        <v>0.38432036097010702</v>
      </c>
      <c r="M4676" s="12">
        <f>tItens[[#This Row],[Valor]]*(1-tItens[[#This Row],[Desconto]])</f>
        <v>7683.6818950930647</v>
      </c>
      <c r="N4676" t="str">
        <f>IFERROR(INDEX(tProdutos[Foco],MATCH(tItens[[#This Row],[Produto]],tProdutos[Produto],0)),"Não")</f>
        <v>Não</v>
      </c>
      <c r="O4676" t="str">
        <f>IFERROR(INDEX(tEditais[SRP],MATCH(tItens[[#This Row],[Edital]],tEditais[Edital],0)),"Não")</f>
        <v>Não</v>
      </c>
      <c r="P4676" s="4">
        <f>IF(COUNTIFS(INDEX(tItens[Edital],1):tItens[[#This Row],[Edital]],tItens[[#This Row],[Edital]],INDEX(tItens[Produto],1):tItens[[#This Row],[Produto]],tItens[[#This Row],[Produto]])=1,1,0)</f>
        <v>0</v>
      </c>
    </row>
    <row r="4677" spans="1:16" x14ac:dyDescent="0.25">
      <c r="A4677" t="s">
        <v>1870</v>
      </c>
      <c r="B4677">
        <v>8</v>
      </c>
      <c r="C4677" t="s">
        <v>7507</v>
      </c>
      <c r="D4677" t="s">
        <v>315</v>
      </c>
      <c r="E4677" s="13">
        <v>7800</v>
      </c>
      <c r="F4677" s="12">
        <v>0.41</v>
      </c>
      <c r="G4677" t="str">
        <f>IFERROR(INDEX(tEditais[Órgão],MATCH(tItens[[#This Row],[Edital]],tEditais[Edital],0)),"")</f>
        <v>MUNICIPIO DE FREI MIGUELINHO</v>
      </c>
      <c r="H4677" t="str">
        <f>IFERROR(INDEX(tEditais[UF],MATCH(tItens[[#This Row],[Edital]],tEditais[Edital],0)),"")</f>
        <v>PE</v>
      </c>
      <c r="I4677" s="11">
        <f>IFERROR(INDEX(tEditais[Encerramento],MATCH(tItens[[#This Row],[Edital]],tEditais[Edital],0)),"")</f>
        <v>46308.375</v>
      </c>
      <c r="J4677" t="str">
        <f>IFERROR(INDEX(tProdutos[Classe],MATCH(tItens[[#This Row],[Produto]],tProdutos[Produto],0)),"produto não cadastrado")</f>
        <v>FORA</v>
      </c>
      <c r="K4677" s="12">
        <f>tItens[[#This Row],[Qtd]]*tItens[[#This Row],[Vlr unit]]</f>
        <v>3198</v>
      </c>
      <c r="L4677" s="6">
        <f>IFERROR(IF(INDEX(tProdutos[Desconto homologado],MATCH(tItens[[#This Row],[Produto]],tProdutos[Produto],0))="",DescontoPadrao,INDEX(tProdutos[Desconto homologado],MATCH(tItens[[#This Row],[Produto]],tProdutos[Produto],0))),DescontoPadrao)</f>
        <v>0.38432036097010702</v>
      </c>
      <c r="M4677" s="12">
        <f>tItens[[#This Row],[Valor]]*(1-tItens[[#This Row],[Desconto]])</f>
        <v>1968.9434856175978</v>
      </c>
      <c r="N4677" t="str">
        <f>IFERROR(INDEX(tProdutos[Foco],MATCH(tItens[[#This Row],[Produto]],tProdutos[Produto],0)),"Não")</f>
        <v>Não</v>
      </c>
      <c r="O4677" t="str">
        <f>IFERROR(INDEX(tEditais[SRP],MATCH(tItens[[#This Row],[Edital]],tEditais[Edital],0)),"Não")</f>
        <v>Não</v>
      </c>
      <c r="P4677" s="4">
        <f>IF(COUNTIFS(INDEX(tItens[Edital],1):tItens[[#This Row],[Edital]],tItens[[#This Row],[Edital]],INDEX(tItens[Produto],1):tItens[[#This Row],[Produto]],tItens[[#This Row],[Produto]])=1,1,0)</f>
        <v>0</v>
      </c>
    </row>
    <row r="4678" spans="1:16" x14ac:dyDescent="0.25">
      <c r="A4678" t="s">
        <v>1870</v>
      </c>
      <c r="B4678">
        <v>9</v>
      </c>
      <c r="C4678" t="s">
        <v>7508</v>
      </c>
      <c r="D4678" t="s">
        <v>315</v>
      </c>
      <c r="E4678" s="13">
        <v>7800</v>
      </c>
      <c r="F4678" s="12">
        <v>0.21</v>
      </c>
      <c r="G4678" t="str">
        <f>IFERROR(INDEX(tEditais[Órgão],MATCH(tItens[[#This Row],[Edital]],tEditais[Edital],0)),"")</f>
        <v>MUNICIPIO DE FREI MIGUELINHO</v>
      </c>
      <c r="H4678" t="str">
        <f>IFERROR(INDEX(tEditais[UF],MATCH(tItens[[#This Row],[Edital]],tEditais[Edital],0)),"")</f>
        <v>PE</v>
      </c>
      <c r="I4678" s="11">
        <f>IFERROR(INDEX(tEditais[Encerramento],MATCH(tItens[[#This Row],[Edital]],tEditais[Edital],0)),"")</f>
        <v>46308.375</v>
      </c>
      <c r="J4678" t="str">
        <f>IFERROR(INDEX(tProdutos[Classe],MATCH(tItens[[#This Row],[Produto]],tProdutos[Produto],0)),"produto não cadastrado")</f>
        <v>FORA</v>
      </c>
      <c r="K4678" s="12">
        <f>tItens[[#This Row],[Qtd]]*tItens[[#This Row],[Vlr unit]]</f>
        <v>1638</v>
      </c>
      <c r="L4678" s="6">
        <f>IFERROR(IF(INDEX(tProdutos[Desconto homologado],MATCH(tItens[[#This Row],[Produto]],tProdutos[Produto],0))="",DescontoPadrao,INDEX(tProdutos[Desconto homologado],MATCH(tItens[[#This Row],[Produto]],tProdutos[Produto],0))),DescontoPadrao)</f>
        <v>0.38432036097010702</v>
      </c>
      <c r="M4678" s="12">
        <f>tItens[[#This Row],[Valor]]*(1-tItens[[#This Row],[Desconto]])</f>
        <v>1008.4832487309646</v>
      </c>
      <c r="N4678" t="str">
        <f>IFERROR(INDEX(tProdutos[Foco],MATCH(tItens[[#This Row],[Produto]],tProdutos[Produto],0)),"Não")</f>
        <v>Não</v>
      </c>
      <c r="O4678" t="str">
        <f>IFERROR(INDEX(tEditais[SRP],MATCH(tItens[[#This Row],[Edital]],tEditais[Edital],0)),"Não")</f>
        <v>Não</v>
      </c>
      <c r="P4678" s="4">
        <f>IF(COUNTIFS(INDEX(tItens[Edital],1):tItens[[#This Row],[Edital]],tItens[[#This Row],[Edital]],INDEX(tItens[Produto],1):tItens[[#This Row],[Produto]],tItens[[#This Row],[Produto]])=1,1,0)</f>
        <v>0</v>
      </c>
    </row>
    <row r="4679" spans="1:16" x14ac:dyDescent="0.25">
      <c r="A4679" t="s">
        <v>1870</v>
      </c>
      <c r="B4679">
        <v>10</v>
      </c>
      <c r="C4679" t="s">
        <v>7509</v>
      </c>
      <c r="D4679" t="s">
        <v>315</v>
      </c>
      <c r="E4679" s="13">
        <v>7800</v>
      </c>
      <c r="F4679" s="12">
        <v>0.37</v>
      </c>
      <c r="G4679" t="str">
        <f>IFERROR(INDEX(tEditais[Órgão],MATCH(tItens[[#This Row],[Edital]],tEditais[Edital],0)),"")</f>
        <v>MUNICIPIO DE FREI MIGUELINHO</v>
      </c>
      <c r="H4679" t="str">
        <f>IFERROR(INDEX(tEditais[UF],MATCH(tItens[[#This Row],[Edital]],tEditais[Edital],0)),"")</f>
        <v>PE</v>
      </c>
      <c r="I4679" s="11">
        <f>IFERROR(INDEX(tEditais[Encerramento],MATCH(tItens[[#This Row],[Edital]],tEditais[Edital],0)),"")</f>
        <v>46308.375</v>
      </c>
      <c r="J4679" t="str">
        <f>IFERROR(INDEX(tProdutos[Classe],MATCH(tItens[[#This Row],[Produto]],tProdutos[Produto],0)),"produto não cadastrado")</f>
        <v>FORA</v>
      </c>
      <c r="K4679" s="12">
        <f>tItens[[#This Row],[Qtd]]*tItens[[#This Row],[Vlr unit]]</f>
        <v>2886</v>
      </c>
      <c r="L4679" s="6">
        <f>IFERROR(IF(INDEX(tProdutos[Desconto homologado],MATCH(tItens[[#This Row],[Produto]],tProdutos[Produto],0))="",DescontoPadrao,INDEX(tProdutos[Desconto homologado],MATCH(tItens[[#This Row],[Produto]],tProdutos[Produto],0))),DescontoPadrao)</f>
        <v>0.38432036097010702</v>
      </c>
      <c r="M4679" s="12">
        <f>tItens[[#This Row],[Valor]]*(1-tItens[[#This Row],[Desconto]])</f>
        <v>1776.8514382402711</v>
      </c>
      <c r="N4679" t="str">
        <f>IFERROR(INDEX(tProdutos[Foco],MATCH(tItens[[#This Row],[Produto]],tProdutos[Produto],0)),"Não")</f>
        <v>Não</v>
      </c>
      <c r="O4679" t="str">
        <f>IFERROR(INDEX(tEditais[SRP],MATCH(tItens[[#This Row],[Edital]],tEditais[Edital],0)),"Não")</f>
        <v>Não</v>
      </c>
      <c r="P4679" s="4">
        <f>IF(COUNTIFS(INDEX(tItens[Edital],1):tItens[[#This Row],[Edital]],tItens[[#This Row],[Edital]],INDEX(tItens[Produto],1):tItens[[#This Row],[Produto]],tItens[[#This Row],[Produto]])=1,1,0)</f>
        <v>0</v>
      </c>
    </row>
    <row r="4680" spans="1:16" x14ac:dyDescent="0.25">
      <c r="A4680" t="s">
        <v>1870</v>
      </c>
      <c r="B4680">
        <v>11</v>
      </c>
      <c r="C4680" t="s">
        <v>7510</v>
      </c>
      <c r="D4680" t="s">
        <v>315</v>
      </c>
      <c r="E4680" s="13">
        <v>26000</v>
      </c>
      <c r="F4680" s="12">
        <v>0.26</v>
      </c>
      <c r="G4680" t="str">
        <f>IFERROR(INDEX(tEditais[Órgão],MATCH(tItens[[#This Row],[Edital]],tEditais[Edital],0)),"")</f>
        <v>MUNICIPIO DE FREI MIGUELINHO</v>
      </c>
      <c r="H4680" t="str">
        <f>IFERROR(INDEX(tEditais[UF],MATCH(tItens[[#This Row],[Edital]],tEditais[Edital],0)),"")</f>
        <v>PE</v>
      </c>
      <c r="I4680" s="11">
        <f>IFERROR(INDEX(tEditais[Encerramento],MATCH(tItens[[#This Row],[Edital]],tEditais[Edital],0)),"")</f>
        <v>46308.375</v>
      </c>
      <c r="J4680" t="str">
        <f>IFERROR(INDEX(tProdutos[Classe],MATCH(tItens[[#This Row],[Produto]],tProdutos[Produto],0)),"produto não cadastrado")</f>
        <v>FORA</v>
      </c>
      <c r="K4680" s="12">
        <f>tItens[[#This Row],[Qtd]]*tItens[[#This Row],[Vlr unit]]</f>
        <v>6760</v>
      </c>
      <c r="L4680" s="6">
        <f>IFERROR(IF(INDEX(tProdutos[Desconto homologado],MATCH(tItens[[#This Row],[Produto]],tProdutos[Produto],0))="",DescontoPadrao,INDEX(tProdutos[Desconto homologado],MATCH(tItens[[#This Row],[Produto]],tProdutos[Produto],0))),DescontoPadrao)</f>
        <v>0.38432036097010702</v>
      </c>
      <c r="M4680" s="12">
        <f>tItens[[#This Row],[Valor]]*(1-tItens[[#This Row],[Desconto]])</f>
        <v>4161.9943598420768</v>
      </c>
      <c r="N4680" t="str">
        <f>IFERROR(INDEX(tProdutos[Foco],MATCH(tItens[[#This Row],[Produto]],tProdutos[Produto],0)),"Não")</f>
        <v>Não</v>
      </c>
      <c r="O4680" t="str">
        <f>IFERROR(INDEX(tEditais[SRP],MATCH(tItens[[#This Row],[Edital]],tEditais[Edital],0)),"Não")</f>
        <v>Não</v>
      </c>
      <c r="P4680" s="4">
        <f>IF(COUNTIFS(INDEX(tItens[Edital],1):tItens[[#This Row],[Edital]],tItens[[#This Row],[Edital]],INDEX(tItens[Produto],1):tItens[[#This Row],[Produto]],tItens[[#This Row],[Produto]])=1,1,0)</f>
        <v>0</v>
      </c>
    </row>
    <row r="4681" spans="1:16" x14ac:dyDescent="0.25">
      <c r="A4681" t="s">
        <v>1870</v>
      </c>
      <c r="B4681">
        <v>12</v>
      </c>
      <c r="C4681" t="s">
        <v>7511</v>
      </c>
      <c r="D4681" t="s">
        <v>315</v>
      </c>
      <c r="E4681" s="13">
        <v>3200</v>
      </c>
      <c r="F4681" s="12">
        <v>0.41</v>
      </c>
      <c r="G4681" t="str">
        <f>IFERROR(INDEX(tEditais[Órgão],MATCH(tItens[[#This Row],[Edital]],tEditais[Edital],0)),"")</f>
        <v>MUNICIPIO DE FREI MIGUELINHO</v>
      </c>
      <c r="H4681" t="str">
        <f>IFERROR(INDEX(tEditais[UF],MATCH(tItens[[#This Row],[Edital]],tEditais[Edital],0)),"")</f>
        <v>PE</v>
      </c>
      <c r="I4681" s="11">
        <f>IFERROR(INDEX(tEditais[Encerramento],MATCH(tItens[[#This Row],[Edital]],tEditais[Edital],0)),"")</f>
        <v>46308.375</v>
      </c>
      <c r="J4681" t="str">
        <f>IFERROR(INDEX(tProdutos[Classe],MATCH(tItens[[#This Row],[Produto]],tProdutos[Produto],0)),"produto não cadastrado")</f>
        <v>FORA</v>
      </c>
      <c r="K4681" s="12">
        <f>tItens[[#This Row],[Qtd]]*tItens[[#This Row],[Vlr unit]]</f>
        <v>1312</v>
      </c>
      <c r="L4681" s="6">
        <f>IFERROR(IF(INDEX(tProdutos[Desconto homologado],MATCH(tItens[[#This Row],[Produto]],tProdutos[Produto],0))="",DescontoPadrao,INDEX(tProdutos[Desconto homologado],MATCH(tItens[[#This Row],[Produto]],tProdutos[Produto],0))),DescontoPadrao)</f>
        <v>0.38432036097010702</v>
      </c>
      <c r="M4681" s="12">
        <f>tItens[[#This Row],[Valor]]*(1-tItens[[#This Row],[Desconto]])</f>
        <v>807.77168640721959</v>
      </c>
      <c r="N4681" t="str">
        <f>IFERROR(INDEX(tProdutos[Foco],MATCH(tItens[[#This Row],[Produto]],tProdutos[Produto],0)),"Não")</f>
        <v>Não</v>
      </c>
      <c r="O4681" t="str">
        <f>IFERROR(INDEX(tEditais[SRP],MATCH(tItens[[#This Row],[Edital]],tEditais[Edital],0)),"Não")</f>
        <v>Não</v>
      </c>
      <c r="P4681" s="4">
        <f>IF(COUNTIFS(INDEX(tItens[Edital],1):tItens[[#This Row],[Edital]],tItens[[#This Row],[Edital]],INDEX(tItens[Produto],1):tItens[[#This Row],[Produto]],tItens[[#This Row],[Produto]])=1,1,0)</f>
        <v>0</v>
      </c>
    </row>
    <row r="4682" spans="1:16" x14ac:dyDescent="0.25">
      <c r="A4682" t="s">
        <v>1870</v>
      </c>
      <c r="B4682">
        <v>15</v>
      </c>
      <c r="C4682" t="s">
        <v>7512</v>
      </c>
      <c r="D4682" t="s">
        <v>351</v>
      </c>
      <c r="E4682" s="13">
        <v>24000</v>
      </c>
      <c r="F4682" s="12">
        <v>2.72</v>
      </c>
      <c r="G4682" t="str">
        <f>IFERROR(INDEX(tEditais[Órgão],MATCH(tItens[[#This Row],[Edital]],tEditais[Edital],0)),"")</f>
        <v>MUNICIPIO DE FREI MIGUELINHO</v>
      </c>
      <c r="H4682" t="str">
        <f>IFERROR(INDEX(tEditais[UF],MATCH(tItens[[#This Row],[Edital]],tEditais[Edital],0)),"")</f>
        <v>PE</v>
      </c>
      <c r="I4682" s="11">
        <f>IFERROR(INDEX(tEditais[Encerramento],MATCH(tItens[[#This Row],[Edital]],tEditais[Edital],0)),"")</f>
        <v>46308.375</v>
      </c>
      <c r="J4682" t="str">
        <f>IFERROR(INDEX(tProdutos[Classe],MATCH(tItens[[#This Row],[Produto]],tProdutos[Produto],0)),"produto não cadastrado")</f>
        <v>FORA</v>
      </c>
      <c r="K4682" s="12">
        <f>tItens[[#This Row],[Qtd]]*tItens[[#This Row],[Vlr unit]]</f>
        <v>65280.000000000007</v>
      </c>
      <c r="L4682" s="6">
        <f>IFERROR(IF(INDEX(tProdutos[Desconto homologado],MATCH(tItens[[#This Row],[Produto]],tProdutos[Produto],0))="",DescontoPadrao,INDEX(tProdutos[Desconto homologado],MATCH(tItens[[#This Row],[Produto]],tProdutos[Produto],0))),DescontoPadrao)</f>
        <v>0.33518005540166201</v>
      </c>
      <c r="M4682" s="12">
        <f>tItens[[#This Row],[Valor]]*(1-tItens[[#This Row],[Desconto]])</f>
        <v>43399.445983379512</v>
      </c>
      <c r="N4682" t="str">
        <f>IFERROR(INDEX(tProdutos[Foco],MATCH(tItens[[#This Row],[Produto]],tProdutos[Produto],0)),"Não")</f>
        <v>Não</v>
      </c>
      <c r="O4682" t="str">
        <f>IFERROR(INDEX(tEditais[SRP],MATCH(tItens[[#This Row],[Edital]],tEditais[Edital],0)),"Não")</f>
        <v>Não</v>
      </c>
      <c r="P4682" s="4">
        <f>IF(COUNTIFS(INDEX(tItens[Edital],1):tItens[[#This Row],[Edital]],tItens[[#This Row],[Edital]],INDEX(tItens[Produto],1):tItens[[#This Row],[Produto]],tItens[[#This Row],[Produto]])=1,1,0)</f>
        <v>1</v>
      </c>
    </row>
    <row r="4683" spans="1:16" x14ac:dyDescent="0.25">
      <c r="A4683" t="s">
        <v>1870</v>
      </c>
      <c r="B4683">
        <v>16</v>
      </c>
      <c r="C4683" t="s">
        <v>7513</v>
      </c>
      <c r="D4683" t="s">
        <v>351</v>
      </c>
      <c r="E4683" s="13">
        <v>24000</v>
      </c>
      <c r="F4683" s="12">
        <v>2.6</v>
      </c>
      <c r="G4683" t="str">
        <f>IFERROR(INDEX(tEditais[Órgão],MATCH(tItens[[#This Row],[Edital]],tEditais[Edital],0)),"")</f>
        <v>MUNICIPIO DE FREI MIGUELINHO</v>
      </c>
      <c r="H4683" t="str">
        <f>IFERROR(INDEX(tEditais[UF],MATCH(tItens[[#This Row],[Edital]],tEditais[Edital],0)),"")</f>
        <v>PE</v>
      </c>
      <c r="I4683" s="11">
        <f>IFERROR(INDEX(tEditais[Encerramento],MATCH(tItens[[#This Row],[Edital]],tEditais[Edital],0)),"")</f>
        <v>46308.375</v>
      </c>
      <c r="J4683" t="str">
        <f>IFERROR(INDEX(tProdutos[Classe],MATCH(tItens[[#This Row],[Produto]],tProdutos[Produto],0)),"produto não cadastrado")</f>
        <v>FORA</v>
      </c>
      <c r="K4683" s="12">
        <f>tItens[[#This Row],[Qtd]]*tItens[[#This Row],[Vlr unit]]</f>
        <v>62400</v>
      </c>
      <c r="L4683" s="6">
        <f>IFERROR(IF(INDEX(tProdutos[Desconto homologado],MATCH(tItens[[#This Row],[Produto]],tProdutos[Produto],0))="",DescontoPadrao,INDEX(tProdutos[Desconto homologado],MATCH(tItens[[#This Row],[Produto]],tProdutos[Produto],0))),DescontoPadrao)</f>
        <v>0.33518005540166201</v>
      </c>
      <c r="M4683" s="12">
        <f>tItens[[#This Row],[Valor]]*(1-tItens[[#This Row],[Desconto]])</f>
        <v>41484.764542936296</v>
      </c>
      <c r="N4683" t="str">
        <f>IFERROR(INDEX(tProdutos[Foco],MATCH(tItens[[#This Row],[Produto]],tProdutos[Produto],0)),"Não")</f>
        <v>Não</v>
      </c>
      <c r="O4683" t="str">
        <f>IFERROR(INDEX(tEditais[SRP],MATCH(tItens[[#This Row],[Edital]],tEditais[Edital],0)),"Não")</f>
        <v>Não</v>
      </c>
      <c r="P4683" s="4">
        <f>IF(COUNTIFS(INDEX(tItens[Edital],1):tItens[[#This Row],[Edital]],tItens[[#This Row],[Edital]],INDEX(tItens[Produto],1):tItens[[#This Row],[Produto]],tItens[[#This Row],[Produto]])=1,1,0)</f>
        <v>0</v>
      </c>
    </row>
    <row r="4684" spans="1:16" x14ac:dyDescent="0.25">
      <c r="A4684" t="s">
        <v>1870</v>
      </c>
      <c r="B4684">
        <v>17</v>
      </c>
      <c r="C4684" t="s">
        <v>7514</v>
      </c>
      <c r="D4684" t="s">
        <v>351</v>
      </c>
      <c r="E4684" s="13">
        <v>13000</v>
      </c>
      <c r="F4684" s="12">
        <v>3.45</v>
      </c>
      <c r="G4684" t="str">
        <f>IFERROR(INDEX(tEditais[Órgão],MATCH(tItens[[#This Row],[Edital]],tEditais[Edital],0)),"")</f>
        <v>MUNICIPIO DE FREI MIGUELINHO</v>
      </c>
      <c r="H4684" t="str">
        <f>IFERROR(INDEX(tEditais[UF],MATCH(tItens[[#This Row],[Edital]],tEditais[Edital],0)),"")</f>
        <v>PE</v>
      </c>
      <c r="I4684" s="11">
        <f>IFERROR(INDEX(tEditais[Encerramento],MATCH(tItens[[#This Row],[Edital]],tEditais[Edital],0)),"")</f>
        <v>46308.375</v>
      </c>
      <c r="J4684" t="str">
        <f>IFERROR(INDEX(tProdutos[Classe],MATCH(tItens[[#This Row],[Produto]],tProdutos[Produto],0)),"produto não cadastrado")</f>
        <v>FORA</v>
      </c>
      <c r="K4684" s="12">
        <f>tItens[[#This Row],[Qtd]]*tItens[[#This Row],[Vlr unit]]</f>
        <v>44850</v>
      </c>
      <c r="L4684" s="6">
        <f>IFERROR(IF(INDEX(tProdutos[Desconto homologado],MATCH(tItens[[#This Row],[Produto]],tProdutos[Produto],0))="",DescontoPadrao,INDEX(tProdutos[Desconto homologado],MATCH(tItens[[#This Row],[Produto]],tProdutos[Produto],0))),DescontoPadrao)</f>
        <v>0.33518005540166201</v>
      </c>
      <c r="M4684" s="12">
        <f>tItens[[#This Row],[Valor]]*(1-tItens[[#This Row],[Desconto]])</f>
        <v>29817.17451523546</v>
      </c>
      <c r="N4684" t="str">
        <f>IFERROR(INDEX(tProdutos[Foco],MATCH(tItens[[#This Row],[Produto]],tProdutos[Produto],0)),"Não")</f>
        <v>Não</v>
      </c>
      <c r="O4684" t="str">
        <f>IFERROR(INDEX(tEditais[SRP],MATCH(tItens[[#This Row],[Edital]],tEditais[Edital],0)),"Não")</f>
        <v>Não</v>
      </c>
      <c r="P4684" s="4">
        <f>IF(COUNTIFS(INDEX(tItens[Edital],1):tItens[[#This Row],[Edital]],tItens[[#This Row],[Edital]],INDEX(tItens[Produto],1):tItens[[#This Row],[Produto]],tItens[[#This Row],[Produto]])=1,1,0)</f>
        <v>0</v>
      </c>
    </row>
    <row r="4685" spans="1:16" x14ac:dyDescent="0.25">
      <c r="A4685" t="s">
        <v>1870</v>
      </c>
      <c r="B4685">
        <v>24</v>
      </c>
      <c r="C4685" t="s">
        <v>7515</v>
      </c>
      <c r="D4685" t="s">
        <v>389</v>
      </c>
      <c r="E4685" s="13">
        <v>130</v>
      </c>
      <c r="F4685" s="12">
        <v>40.1</v>
      </c>
      <c r="G4685" t="str">
        <f>IFERROR(INDEX(tEditais[Órgão],MATCH(tItens[[#This Row],[Edital]],tEditais[Edital],0)),"")</f>
        <v>MUNICIPIO DE FREI MIGUELINHO</v>
      </c>
      <c r="H4685" t="str">
        <f>IFERROR(INDEX(tEditais[UF],MATCH(tItens[[#This Row],[Edital]],tEditais[Edital],0)),"")</f>
        <v>PE</v>
      </c>
      <c r="I4685" s="11">
        <f>IFERROR(INDEX(tEditais[Encerramento],MATCH(tItens[[#This Row],[Edital]],tEditais[Edital],0)),"")</f>
        <v>46308.375</v>
      </c>
      <c r="J4685" t="str">
        <f>IFERROR(INDEX(tProdutos[Classe],MATCH(tItens[[#This Row],[Produto]],tProdutos[Produto],0)),"produto não cadastrado")</f>
        <v>FORA</v>
      </c>
      <c r="K4685" s="12">
        <f>tItens[[#This Row],[Qtd]]*tItens[[#This Row],[Vlr unit]]</f>
        <v>5213</v>
      </c>
      <c r="L4685" s="6">
        <f>IFERROR(IF(INDEX(tProdutos[Desconto homologado],MATCH(tItens[[#This Row],[Produto]],tProdutos[Produto],0))="",DescontoPadrao,INDEX(tProdutos[Desconto homologado],MATCH(tItens[[#This Row],[Produto]],tProdutos[Produto],0))),DescontoPadrao)</f>
        <v>0.39163140573577798</v>
      </c>
      <c r="M4685" s="12">
        <f>tItens[[#This Row],[Valor]]*(1-tItens[[#This Row],[Desconto]])</f>
        <v>3171.4254818993895</v>
      </c>
      <c r="N4685" t="str">
        <f>IFERROR(INDEX(tProdutos[Foco],MATCH(tItens[[#This Row],[Produto]],tProdutos[Produto],0)),"Não")</f>
        <v>Não</v>
      </c>
      <c r="O4685" t="str">
        <f>IFERROR(INDEX(tEditais[SRP],MATCH(tItens[[#This Row],[Edital]],tEditais[Edital],0)),"Não")</f>
        <v>Não</v>
      </c>
      <c r="P4685" s="4">
        <f>IF(COUNTIFS(INDEX(tItens[Edital],1):tItens[[#This Row],[Edital]],tItens[[#This Row],[Edital]],INDEX(tItens[Produto],1):tItens[[#This Row],[Produto]],tItens[[#This Row],[Produto]])=1,1,0)</f>
        <v>1</v>
      </c>
    </row>
    <row r="4686" spans="1:16" x14ac:dyDescent="0.25">
      <c r="A4686" t="s">
        <v>1870</v>
      </c>
      <c r="B4686">
        <v>26</v>
      </c>
      <c r="C4686" t="s">
        <v>7516</v>
      </c>
      <c r="D4686" t="s">
        <v>62</v>
      </c>
      <c r="E4686" s="13">
        <v>390</v>
      </c>
      <c r="F4686" s="12">
        <v>4.88</v>
      </c>
      <c r="G4686" t="str">
        <f>IFERROR(INDEX(tEditais[Órgão],MATCH(tItens[[#This Row],[Edital]],tEditais[Edital],0)),"")</f>
        <v>MUNICIPIO DE FREI MIGUELINHO</v>
      </c>
      <c r="H4686" t="str">
        <f>IFERROR(INDEX(tEditais[UF],MATCH(tItens[[#This Row],[Edital]],tEditais[Edital],0)),"")</f>
        <v>PE</v>
      </c>
      <c r="I4686" s="11">
        <f>IFERROR(INDEX(tEditais[Encerramento],MATCH(tItens[[#This Row],[Edital]],tEditais[Edital],0)),"")</f>
        <v>46308.375</v>
      </c>
      <c r="J4686" t="str">
        <f>IFERROR(INDEX(tProdutos[Classe],MATCH(tItens[[#This Row],[Produto]],tProdutos[Produto],0)),"produto não cadastrado")</f>
        <v>NÚCLEO</v>
      </c>
      <c r="K4686" s="12">
        <f>tItens[[#This Row],[Qtd]]*tItens[[#This Row],[Vlr unit]]</f>
        <v>1903.2</v>
      </c>
      <c r="L4686" s="6">
        <f>IFERROR(IF(INDEX(tProdutos[Desconto homologado],MATCH(tItens[[#This Row],[Produto]],tProdutos[Produto],0))="",DescontoPadrao,INDEX(tProdutos[Desconto homologado],MATCH(tItens[[#This Row],[Produto]],tProdutos[Produto],0))),DescontoPadrao)</f>
        <v>0.3</v>
      </c>
      <c r="M4686" s="12">
        <f>tItens[[#This Row],[Valor]]*(1-tItens[[#This Row],[Desconto]])</f>
        <v>1332.24</v>
      </c>
      <c r="N4686" t="str">
        <f>IFERROR(INDEX(tProdutos[Foco],MATCH(tItens[[#This Row],[Produto]],tProdutos[Produto],0)),"Não")</f>
        <v>Sim</v>
      </c>
      <c r="O4686" t="str">
        <f>IFERROR(INDEX(tEditais[SRP],MATCH(tItens[[#This Row],[Edital]],tEditais[Edital],0)),"Não")</f>
        <v>Não</v>
      </c>
      <c r="P4686" s="4">
        <f>IF(COUNTIFS(INDEX(tItens[Edital],1):tItens[[#This Row],[Edital]],tItens[[#This Row],[Edital]],INDEX(tItens[Produto],1):tItens[[#This Row],[Produto]],tItens[[#This Row],[Produto]])=1,1,0)</f>
        <v>1</v>
      </c>
    </row>
    <row r="4687" spans="1:16" x14ac:dyDescent="0.25">
      <c r="A4687" t="s">
        <v>1870</v>
      </c>
      <c r="B4687">
        <v>33</v>
      </c>
      <c r="C4687" t="s">
        <v>7517</v>
      </c>
      <c r="D4687" t="s">
        <v>269</v>
      </c>
      <c r="E4687" s="13">
        <v>100</v>
      </c>
      <c r="F4687" s="12">
        <v>81.12</v>
      </c>
      <c r="G4687" t="str">
        <f>IFERROR(INDEX(tEditais[Órgão],MATCH(tItens[[#This Row],[Edital]],tEditais[Edital],0)),"")</f>
        <v>MUNICIPIO DE FREI MIGUELINHO</v>
      </c>
      <c r="H4687" t="str">
        <f>IFERROR(INDEX(tEditais[UF],MATCH(tItens[[#This Row],[Edital]],tEditais[Edital],0)),"")</f>
        <v>PE</v>
      </c>
      <c r="I4687" s="11">
        <f>IFERROR(INDEX(tEditais[Encerramento],MATCH(tItens[[#This Row],[Edital]],tEditais[Edital],0)),"")</f>
        <v>46308.375</v>
      </c>
      <c r="J4687" t="str">
        <f>IFERROR(INDEX(tProdutos[Classe],MATCH(tItens[[#This Row],[Produto]],tProdutos[Produto],0)),"produto não cadastrado")</f>
        <v>FORA</v>
      </c>
      <c r="K4687" s="12">
        <f>tItens[[#This Row],[Qtd]]*tItens[[#This Row],[Vlr unit]]</f>
        <v>8112</v>
      </c>
      <c r="L4687" s="6">
        <f>IFERROR(IF(INDEX(tProdutos[Desconto homologado],MATCH(tItens[[#This Row],[Produto]],tProdutos[Produto],0))="",DescontoPadrao,INDEX(tProdutos[Desconto homologado],MATCH(tItens[[#This Row],[Produto]],tProdutos[Produto],0))),DescontoPadrao)</f>
        <v>0.28935117103332197</v>
      </c>
      <c r="M4687" s="12">
        <f>tItens[[#This Row],[Valor]]*(1-tItens[[#This Row],[Desconto]])</f>
        <v>5764.783300577692</v>
      </c>
      <c r="N4687" t="str">
        <f>IFERROR(INDEX(tProdutos[Foco],MATCH(tItens[[#This Row],[Produto]],tProdutos[Produto],0)),"Não")</f>
        <v>Não</v>
      </c>
      <c r="O4687" t="str">
        <f>IFERROR(INDEX(tEditais[SRP],MATCH(tItens[[#This Row],[Edital]],tEditais[Edital],0)),"Não")</f>
        <v>Não</v>
      </c>
      <c r="P4687" s="4">
        <f>IF(COUNTIFS(INDEX(tItens[Edital],1):tItens[[#This Row],[Edital]],tItens[[#This Row],[Edital]],INDEX(tItens[Produto],1):tItens[[#This Row],[Produto]],tItens[[#This Row],[Produto]])=1,1,0)</f>
        <v>1</v>
      </c>
    </row>
    <row r="4688" spans="1:16" x14ac:dyDescent="0.25">
      <c r="A4688" t="s">
        <v>1870</v>
      </c>
      <c r="B4688">
        <v>37</v>
      </c>
      <c r="C4688" t="s">
        <v>7518</v>
      </c>
      <c r="D4688" t="s">
        <v>221</v>
      </c>
      <c r="E4688" s="13">
        <v>1600</v>
      </c>
      <c r="F4688" s="12">
        <v>1.91</v>
      </c>
      <c r="G4688" t="str">
        <f>IFERROR(INDEX(tEditais[Órgão],MATCH(tItens[[#This Row],[Edital]],tEditais[Edital],0)),"")</f>
        <v>MUNICIPIO DE FREI MIGUELINHO</v>
      </c>
      <c r="H4688" t="str">
        <f>IFERROR(INDEX(tEditais[UF],MATCH(tItens[[#This Row],[Edital]],tEditais[Edital],0)),"")</f>
        <v>PE</v>
      </c>
      <c r="I4688" s="11">
        <f>IFERROR(INDEX(tEditais[Encerramento],MATCH(tItens[[#This Row],[Edital]],tEditais[Edital],0)),"")</f>
        <v>46308.375</v>
      </c>
      <c r="J4688" t="str">
        <f>IFERROR(INDEX(tProdutos[Classe],MATCH(tItens[[#This Row],[Produto]],tProdutos[Produto],0)),"produto não cadastrado")</f>
        <v>FORA</v>
      </c>
      <c r="K4688" s="12">
        <f>tItens[[#This Row],[Qtd]]*tItens[[#This Row],[Vlr unit]]</f>
        <v>3056</v>
      </c>
      <c r="L4688" s="6">
        <f>IFERROR(IF(INDEX(tProdutos[Desconto homologado],MATCH(tItens[[#This Row],[Produto]],tProdutos[Produto],0))="",DescontoPadrao,INDEX(tProdutos[Desconto homologado],MATCH(tItens[[#This Row],[Produto]],tProdutos[Produto],0))),DescontoPadrao)</f>
        <v>0.35408560311283999</v>
      </c>
      <c r="M4688" s="12">
        <f>tItens[[#This Row],[Valor]]*(1-tItens[[#This Row],[Desconto]])</f>
        <v>1973.914396887161</v>
      </c>
      <c r="N4688" t="str">
        <f>IFERROR(INDEX(tProdutos[Foco],MATCH(tItens[[#This Row],[Produto]],tProdutos[Produto],0)),"Não")</f>
        <v>Não</v>
      </c>
      <c r="O4688" t="str">
        <f>IFERROR(INDEX(tEditais[SRP],MATCH(tItens[[#This Row],[Edital]],tEditais[Edital],0)),"Não")</f>
        <v>Não</v>
      </c>
      <c r="P4688" s="4">
        <f>IF(COUNTIFS(INDEX(tItens[Edital],1):tItens[[#This Row],[Edital]],tItens[[#This Row],[Edital]],INDEX(tItens[Produto],1):tItens[[#This Row],[Produto]],tItens[[#This Row],[Produto]])=1,1,0)</f>
        <v>1</v>
      </c>
    </row>
    <row r="4689" spans="1:16" x14ac:dyDescent="0.25">
      <c r="A4689" t="s">
        <v>1870</v>
      </c>
      <c r="B4689">
        <v>38</v>
      </c>
      <c r="C4689" t="s">
        <v>7519</v>
      </c>
      <c r="D4689" t="s">
        <v>221</v>
      </c>
      <c r="E4689" s="13">
        <v>1600</v>
      </c>
      <c r="F4689" s="12">
        <v>1.64</v>
      </c>
      <c r="G4689" t="str">
        <f>IFERROR(INDEX(tEditais[Órgão],MATCH(tItens[[#This Row],[Edital]],tEditais[Edital],0)),"")</f>
        <v>MUNICIPIO DE FREI MIGUELINHO</v>
      </c>
      <c r="H4689" t="str">
        <f>IFERROR(INDEX(tEditais[UF],MATCH(tItens[[#This Row],[Edital]],tEditais[Edital],0)),"")</f>
        <v>PE</v>
      </c>
      <c r="I4689" s="11">
        <f>IFERROR(INDEX(tEditais[Encerramento],MATCH(tItens[[#This Row],[Edital]],tEditais[Edital],0)),"")</f>
        <v>46308.375</v>
      </c>
      <c r="J4689" t="str">
        <f>IFERROR(INDEX(tProdutos[Classe],MATCH(tItens[[#This Row],[Produto]],tProdutos[Produto],0)),"produto não cadastrado")</f>
        <v>FORA</v>
      </c>
      <c r="K4689" s="12">
        <f>tItens[[#This Row],[Qtd]]*tItens[[#This Row],[Vlr unit]]</f>
        <v>2624</v>
      </c>
      <c r="L4689" s="6">
        <f>IFERROR(IF(INDEX(tProdutos[Desconto homologado],MATCH(tItens[[#This Row],[Produto]],tProdutos[Produto],0))="",DescontoPadrao,INDEX(tProdutos[Desconto homologado],MATCH(tItens[[#This Row],[Produto]],tProdutos[Produto],0))),DescontoPadrao)</f>
        <v>0.35408560311283999</v>
      </c>
      <c r="M4689" s="12">
        <f>tItens[[#This Row],[Valor]]*(1-tItens[[#This Row],[Desconto]])</f>
        <v>1694.8793774319079</v>
      </c>
      <c r="N4689" t="str">
        <f>IFERROR(INDEX(tProdutos[Foco],MATCH(tItens[[#This Row],[Produto]],tProdutos[Produto],0)),"Não")</f>
        <v>Não</v>
      </c>
      <c r="O4689" t="str">
        <f>IFERROR(INDEX(tEditais[SRP],MATCH(tItens[[#This Row],[Edital]],tEditais[Edital],0)),"Não")</f>
        <v>Não</v>
      </c>
      <c r="P4689" s="4">
        <f>IF(COUNTIFS(INDEX(tItens[Edital],1):tItens[[#This Row],[Edital]],tItens[[#This Row],[Edital]],INDEX(tItens[Produto],1):tItens[[#This Row],[Produto]],tItens[[#This Row],[Produto]])=1,1,0)</f>
        <v>0</v>
      </c>
    </row>
    <row r="4690" spans="1:16" x14ac:dyDescent="0.25">
      <c r="A4690" t="s">
        <v>1870</v>
      </c>
      <c r="B4690">
        <v>39</v>
      </c>
      <c r="C4690" t="s">
        <v>7520</v>
      </c>
      <c r="D4690" t="s">
        <v>221</v>
      </c>
      <c r="E4690" s="13">
        <v>2000</v>
      </c>
      <c r="F4690" s="12">
        <v>2.11</v>
      </c>
      <c r="G4690" t="str">
        <f>IFERROR(INDEX(tEditais[Órgão],MATCH(tItens[[#This Row],[Edital]],tEditais[Edital],0)),"")</f>
        <v>MUNICIPIO DE FREI MIGUELINHO</v>
      </c>
      <c r="H4690" t="str">
        <f>IFERROR(INDEX(tEditais[UF],MATCH(tItens[[#This Row],[Edital]],tEditais[Edital],0)),"")</f>
        <v>PE</v>
      </c>
      <c r="I4690" s="11">
        <f>IFERROR(INDEX(tEditais[Encerramento],MATCH(tItens[[#This Row],[Edital]],tEditais[Edital],0)),"")</f>
        <v>46308.375</v>
      </c>
      <c r="J4690" t="str">
        <f>IFERROR(INDEX(tProdutos[Classe],MATCH(tItens[[#This Row],[Produto]],tProdutos[Produto],0)),"produto não cadastrado")</f>
        <v>FORA</v>
      </c>
      <c r="K4690" s="12">
        <f>tItens[[#This Row],[Qtd]]*tItens[[#This Row],[Vlr unit]]</f>
        <v>4220</v>
      </c>
      <c r="L4690" s="6">
        <f>IFERROR(IF(INDEX(tProdutos[Desconto homologado],MATCH(tItens[[#This Row],[Produto]],tProdutos[Produto],0))="",DescontoPadrao,INDEX(tProdutos[Desconto homologado],MATCH(tItens[[#This Row],[Produto]],tProdutos[Produto],0))),DescontoPadrao)</f>
        <v>0.35408560311283999</v>
      </c>
      <c r="M4690" s="12">
        <f>tItens[[#This Row],[Valor]]*(1-tItens[[#This Row],[Desconto]])</f>
        <v>2725.7587548638153</v>
      </c>
      <c r="N4690" t="str">
        <f>IFERROR(INDEX(tProdutos[Foco],MATCH(tItens[[#This Row],[Produto]],tProdutos[Produto],0)),"Não")</f>
        <v>Não</v>
      </c>
      <c r="O4690" t="str">
        <f>IFERROR(INDEX(tEditais[SRP],MATCH(tItens[[#This Row],[Edital]],tEditais[Edital],0)),"Não")</f>
        <v>Não</v>
      </c>
      <c r="P4690" s="4">
        <f>IF(COUNTIFS(INDEX(tItens[Edital],1):tItens[[#This Row],[Edital]],tItens[[#This Row],[Edital]],INDEX(tItens[Produto],1):tItens[[#This Row],[Produto]],tItens[[#This Row],[Produto]])=1,1,0)</f>
        <v>0</v>
      </c>
    </row>
    <row r="4691" spans="1:16" x14ac:dyDescent="0.25">
      <c r="A4691" t="s">
        <v>1870</v>
      </c>
      <c r="B4691">
        <v>40</v>
      </c>
      <c r="C4691" t="s">
        <v>7521</v>
      </c>
      <c r="D4691" t="s">
        <v>221</v>
      </c>
      <c r="E4691" s="13">
        <v>14400</v>
      </c>
      <c r="F4691" s="12">
        <v>2.0699999999999998</v>
      </c>
      <c r="G4691" t="str">
        <f>IFERROR(INDEX(tEditais[Órgão],MATCH(tItens[[#This Row],[Edital]],tEditais[Edital],0)),"")</f>
        <v>MUNICIPIO DE FREI MIGUELINHO</v>
      </c>
      <c r="H4691" t="str">
        <f>IFERROR(INDEX(tEditais[UF],MATCH(tItens[[#This Row],[Edital]],tEditais[Edital],0)),"")</f>
        <v>PE</v>
      </c>
      <c r="I4691" s="11">
        <f>IFERROR(INDEX(tEditais[Encerramento],MATCH(tItens[[#This Row],[Edital]],tEditais[Edital],0)),"")</f>
        <v>46308.375</v>
      </c>
      <c r="J4691" t="str">
        <f>IFERROR(INDEX(tProdutos[Classe],MATCH(tItens[[#This Row],[Produto]],tProdutos[Produto],0)),"produto não cadastrado")</f>
        <v>FORA</v>
      </c>
      <c r="K4691" s="12">
        <f>tItens[[#This Row],[Qtd]]*tItens[[#This Row],[Vlr unit]]</f>
        <v>29807.999999999996</v>
      </c>
      <c r="L4691" s="6">
        <f>IFERROR(IF(INDEX(tProdutos[Desconto homologado],MATCH(tItens[[#This Row],[Produto]],tProdutos[Produto],0))="",DescontoPadrao,INDEX(tProdutos[Desconto homologado],MATCH(tItens[[#This Row],[Produto]],tProdutos[Produto],0))),DescontoPadrao)</f>
        <v>0.35408560311283999</v>
      </c>
      <c r="M4691" s="12">
        <f>tItens[[#This Row],[Valor]]*(1-tItens[[#This Row],[Desconto]])</f>
        <v>19253.416342412464</v>
      </c>
      <c r="N4691" t="str">
        <f>IFERROR(INDEX(tProdutos[Foco],MATCH(tItens[[#This Row],[Produto]],tProdutos[Produto],0)),"Não")</f>
        <v>Não</v>
      </c>
      <c r="O4691" t="str">
        <f>IFERROR(INDEX(tEditais[SRP],MATCH(tItens[[#This Row],[Edital]],tEditais[Edital],0)),"Não")</f>
        <v>Não</v>
      </c>
      <c r="P4691" s="4">
        <f>IF(COUNTIFS(INDEX(tItens[Edital],1):tItens[[#This Row],[Edital]],tItens[[#This Row],[Edital]],INDEX(tItens[Produto],1):tItens[[#This Row],[Produto]],tItens[[#This Row],[Produto]])=1,1,0)</f>
        <v>0</v>
      </c>
    </row>
    <row r="4692" spans="1:16" x14ac:dyDescent="0.25">
      <c r="A4692" t="s">
        <v>1870</v>
      </c>
      <c r="B4692">
        <v>41</v>
      </c>
      <c r="C4692" t="s">
        <v>7522</v>
      </c>
      <c r="D4692" t="s">
        <v>247</v>
      </c>
      <c r="E4692" s="13">
        <v>8000</v>
      </c>
      <c r="F4692" s="12">
        <v>1.81</v>
      </c>
      <c r="G4692" t="str">
        <f>IFERROR(INDEX(tEditais[Órgão],MATCH(tItens[[#This Row],[Edital]],tEditais[Edital],0)),"")</f>
        <v>MUNICIPIO DE FREI MIGUELINHO</v>
      </c>
      <c r="H4692" t="str">
        <f>IFERROR(INDEX(tEditais[UF],MATCH(tItens[[#This Row],[Edital]],tEditais[Edital],0)),"")</f>
        <v>PE</v>
      </c>
      <c r="I4692" s="11">
        <f>IFERROR(INDEX(tEditais[Encerramento],MATCH(tItens[[#This Row],[Edital]],tEditais[Edital],0)),"")</f>
        <v>46308.375</v>
      </c>
      <c r="J4692" t="str">
        <f>IFERROR(INDEX(tProdutos[Classe],MATCH(tItens[[#This Row],[Produto]],tProdutos[Produto],0)),"produto não cadastrado")</f>
        <v>FORA</v>
      </c>
      <c r="K4692" s="12">
        <f>tItens[[#This Row],[Qtd]]*tItens[[#This Row],[Vlr unit]]</f>
        <v>14480</v>
      </c>
      <c r="L4692" s="6">
        <f>IFERROR(IF(INDEX(tProdutos[Desconto homologado],MATCH(tItens[[#This Row],[Produto]],tProdutos[Produto],0))="",DescontoPadrao,INDEX(tProdutos[Desconto homologado],MATCH(tItens[[#This Row],[Produto]],tProdutos[Produto],0))),DescontoPadrao)</f>
        <v>0.27353256199762999</v>
      </c>
      <c r="M4692" s="12">
        <f>tItens[[#This Row],[Valor]]*(1-tItens[[#This Row],[Desconto]])</f>
        <v>10519.248502274319</v>
      </c>
      <c r="N4692" t="str">
        <f>IFERROR(INDEX(tProdutos[Foco],MATCH(tItens[[#This Row],[Produto]],tProdutos[Produto],0)),"Não")</f>
        <v>Não</v>
      </c>
      <c r="O4692" t="str">
        <f>IFERROR(INDEX(tEditais[SRP],MATCH(tItens[[#This Row],[Edital]],tEditais[Edital],0)),"Não")</f>
        <v>Não</v>
      </c>
      <c r="P4692" s="4">
        <f>IF(COUNTIFS(INDEX(tItens[Edital],1):tItens[[#This Row],[Edital]],tItens[[#This Row],[Edital]],INDEX(tItens[Produto],1):tItens[[#This Row],[Produto]],tItens[[#This Row],[Produto]])=1,1,0)</f>
        <v>1</v>
      </c>
    </row>
    <row r="4693" spans="1:16" x14ac:dyDescent="0.25">
      <c r="A4693" t="s">
        <v>1870</v>
      </c>
      <c r="B4693">
        <v>42</v>
      </c>
      <c r="C4693" t="s">
        <v>7523</v>
      </c>
      <c r="D4693" t="s">
        <v>221</v>
      </c>
      <c r="E4693" s="13">
        <v>8000</v>
      </c>
      <c r="F4693" s="12">
        <v>1.75</v>
      </c>
      <c r="G4693" t="str">
        <f>IFERROR(INDEX(tEditais[Órgão],MATCH(tItens[[#This Row],[Edital]],tEditais[Edital],0)),"")</f>
        <v>MUNICIPIO DE FREI MIGUELINHO</v>
      </c>
      <c r="H4693" t="str">
        <f>IFERROR(INDEX(tEditais[UF],MATCH(tItens[[#This Row],[Edital]],tEditais[Edital],0)),"")</f>
        <v>PE</v>
      </c>
      <c r="I4693" s="11">
        <f>IFERROR(INDEX(tEditais[Encerramento],MATCH(tItens[[#This Row],[Edital]],tEditais[Edital],0)),"")</f>
        <v>46308.375</v>
      </c>
      <c r="J4693" t="str">
        <f>IFERROR(INDEX(tProdutos[Classe],MATCH(tItens[[#This Row],[Produto]],tProdutos[Produto],0)),"produto não cadastrado")</f>
        <v>FORA</v>
      </c>
      <c r="K4693" s="12">
        <f>tItens[[#This Row],[Qtd]]*tItens[[#This Row],[Vlr unit]]</f>
        <v>14000</v>
      </c>
      <c r="L4693" s="6">
        <f>IFERROR(IF(INDEX(tProdutos[Desconto homologado],MATCH(tItens[[#This Row],[Produto]],tProdutos[Produto],0))="",DescontoPadrao,INDEX(tProdutos[Desconto homologado],MATCH(tItens[[#This Row],[Produto]],tProdutos[Produto],0))),DescontoPadrao)</f>
        <v>0.35408560311283999</v>
      </c>
      <c r="M4693" s="12">
        <f>tItens[[#This Row],[Valor]]*(1-tItens[[#This Row],[Desconto]])</f>
        <v>9042.8015564202396</v>
      </c>
      <c r="N4693" t="str">
        <f>IFERROR(INDEX(tProdutos[Foco],MATCH(tItens[[#This Row],[Produto]],tProdutos[Produto],0)),"Não")</f>
        <v>Não</v>
      </c>
      <c r="O4693" t="str">
        <f>IFERROR(INDEX(tEditais[SRP],MATCH(tItens[[#This Row],[Edital]],tEditais[Edital],0)),"Não")</f>
        <v>Não</v>
      </c>
      <c r="P4693" s="4">
        <f>IF(COUNTIFS(INDEX(tItens[Edital],1):tItens[[#This Row],[Edital]],tItens[[#This Row],[Edital]],INDEX(tItens[Produto],1):tItens[[#This Row],[Produto]],tItens[[#This Row],[Produto]])=1,1,0)</f>
        <v>0</v>
      </c>
    </row>
    <row r="4694" spans="1:16" x14ac:dyDescent="0.25">
      <c r="A4694" t="s">
        <v>1870</v>
      </c>
      <c r="B4694">
        <v>43</v>
      </c>
      <c r="C4694" t="s">
        <v>7524</v>
      </c>
      <c r="D4694" t="s">
        <v>409</v>
      </c>
      <c r="E4694" s="13">
        <v>50</v>
      </c>
      <c r="F4694" s="12">
        <v>69.73</v>
      </c>
      <c r="G4694" t="str">
        <f>IFERROR(INDEX(tEditais[Órgão],MATCH(tItens[[#This Row],[Edital]],tEditais[Edital],0)),"")</f>
        <v>MUNICIPIO DE FREI MIGUELINHO</v>
      </c>
      <c r="H4694" t="str">
        <f>IFERROR(INDEX(tEditais[UF],MATCH(tItens[[#This Row],[Edital]],tEditais[Edital],0)),"")</f>
        <v>PE</v>
      </c>
      <c r="I4694" s="11">
        <f>IFERROR(INDEX(tEditais[Encerramento],MATCH(tItens[[#This Row],[Edital]],tEditais[Edital],0)),"")</f>
        <v>46308.375</v>
      </c>
      <c r="J4694" t="str">
        <f>IFERROR(INDEX(tProdutos[Classe],MATCH(tItens[[#This Row],[Produto]],tProdutos[Produto],0)),"produto não cadastrado")</f>
        <v>FORA</v>
      </c>
      <c r="K4694" s="12">
        <f>tItens[[#This Row],[Qtd]]*tItens[[#This Row],[Vlr unit]]</f>
        <v>3486.5</v>
      </c>
      <c r="L4694" s="6">
        <f>IFERROR(IF(INDEX(tProdutos[Desconto homologado],MATCH(tItens[[#This Row],[Produto]],tProdutos[Produto],0))="",DescontoPadrao,INDEX(tProdutos[Desconto homologado],MATCH(tItens[[#This Row],[Produto]],tProdutos[Produto],0))),DescontoPadrao)</f>
        <v>0.24924924924924899</v>
      </c>
      <c r="M4694" s="12">
        <f>tItens[[#This Row],[Valor]]*(1-tItens[[#This Row],[Desconto]])</f>
        <v>2617.4924924924935</v>
      </c>
      <c r="N4694" t="str">
        <f>IFERROR(INDEX(tProdutos[Foco],MATCH(tItens[[#This Row],[Produto]],tProdutos[Produto],0)),"Não")</f>
        <v>Não</v>
      </c>
      <c r="O4694" t="str">
        <f>IFERROR(INDEX(tEditais[SRP],MATCH(tItens[[#This Row],[Edital]],tEditais[Edital],0)),"Não")</f>
        <v>Não</v>
      </c>
      <c r="P4694" s="4">
        <f>IF(COUNTIFS(INDEX(tItens[Edital],1):tItens[[#This Row],[Edital]],tItens[[#This Row],[Edital]],INDEX(tItens[Produto],1):tItens[[#This Row],[Produto]],tItens[[#This Row],[Produto]])=1,1,0)</f>
        <v>1</v>
      </c>
    </row>
    <row r="4695" spans="1:16" x14ac:dyDescent="0.25">
      <c r="A4695" t="s">
        <v>1870</v>
      </c>
      <c r="B4695">
        <v>44</v>
      </c>
      <c r="C4695" t="s">
        <v>7525</v>
      </c>
      <c r="D4695" t="s">
        <v>409</v>
      </c>
      <c r="E4695" s="13">
        <v>500</v>
      </c>
      <c r="F4695" s="12">
        <v>67.56</v>
      </c>
      <c r="G4695" t="str">
        <f>IFERROR(INDEX(tEditais[Órgão],MATCH(tItens[[#This Row],[Edital]],tEditais[Edital],0)),"")</f>
        <v>MUNICIPIO DE FREI MIGUELINHO</v>
      </c>
      <c r="H4695" t="str">
        <f>IFERROR(INDEX(tEditais[UF],MATCH(tItens[[#This Row],[Edital]],tEditais[Edital],0)),"")</f>
        <v>PE</v>
      </c>
      <c r="I4695" s="11">
        <f>IFERROR(INDEX(tEditais[Encerramento],MATCH(tItens[[#This Row],[Edital]],tEditais[Edital],0)),"")</f>
        <v>46308.375</v>
      </c>
      <c r="J4695" t="str">
        <f>IFERROR(INDEX(tProdutos[Classe],MATCH(tItens[[#This Row],[Produto]],tProdutos[Produto],0)),"produto não cadastrado")</f>
        <v>FORA</v>
      </c>
      <c r="K4695" s="12">
        <f>tItens[[#This Row],[Qtd]]*tItens[[#This Row],[Vlr unit]]</f>
        <v>33780</v>
      </c>
      <c r="L4695" s="6">
        <f>IFERROR(IF(INDEX(tProdutos[Desconto homologado],MATCH(tItens[[#This Row],[Produto]],tProdutos[Produto],0))="",DescontoPadrao,INDEX(tProdutos[Desconto homologado],MATCH(tItens[[#This Row],[Produto]],tProdutos[Produto],0))),DescontoPadrao)</f>
        <v>0.24924924924924899</v>
      </c>
      <c r="M4695" s="12">
        <f>tItens[[#This Row],[Valor]]*(1-tItens[[#This Row],[Desconto]])</f>
        <v>25360.36036036037</v>
      </c>
      <c r="N4695" t="str">
        <f>IFERROR(INDEX(tProdutos[Foco],MATCH(tItens[[#This Row],[Produto]],tProdutos[Produto],0)),"Não")</f>
        <v>Não</v>
      </c>
      <c r="O4695" t="str">
        <f>IFERROR(INDEX(tEditais[SRP],MATCH(tItens[[#This Row],[Edital]],tEditais[Edital],0)),"Não")</f>
        <v>Não</v>
      </c>
      <c r="P4695" s="4">
        <f>IF(COUNTIFS(INDEX(tItens[Edital],1):tItens[[#This Row],[Edital]],tItens[[#This Row],[Edital]],INDEX(tItens[Produto],1):tItens[[#This Row],[Produto]],tItens[[#This Row],[Produto]])=1,1,0)</f>
        <v>0</v>
      </c>
    </row>
    <row r="4696" spans="1:16" x14ac:dyDescent="0.25">
      <c r="A4696" t="s">
        <v>1870</v>
      </c>
      <c r="B4696">
        <v>45</v>
      </c>
      <c r="C4696" t="s">
        <v>7526</v>
      </c>
      <c r="D4696" t="s">
        <v>409</v>
      </c>
      <c r="E4696" s="13">
        <v>50</v>
      </c>
      <c r="F4696" s="12">
        <v>54.06</v>
      </c>
      <c r="G4696" t="str">
        <f>IFERROR(INDEX(tEditais[Órgão],MATCH(tItens[[#This Row],[Edital]],tEditais[Edital],0)),"")</f>
        <v>MUNICIPIO DE FREI MIGUELINHO</v>
      </c>
      <c r="H4696" t="str">
        <f>IFERROR(INDEX(tEditais[UF],MATCH(tItens[[#This Row],[Edital]],tEditais[Edital],0)),"")</f>
        <v>PE</v>
      </c>
      <c r="I4696" s="11">
        <f>IFERROR(INDEX(tEditais[Encerramento],MATCH(tItens[[#This Row],[Edital]],tEditais[Edital],0)),"")</f>
        <v>46308.375</v>
      </c>
      <c r="J4696" t="str">
        <f>IFERROR(INDEX(tProdutos[Classe],MATCH(tItens[[#This Row],[Produto]],tProdutos[Produto],0)),"produto não cadastrado")</f>
        <v>FORA</v>
      </c>
      <c r="K4696" s="12">
        <f>tItens[[#This Row],[Qtd]]*tItens[[#This Row],[Vlr unit]]</f>
        <v>2703</v>
      </c>
      <c r="L4696" s="6">
        <f>IFERROR(IF(INDEX(tProdutos[Desconto homologado],MATCH(tItens[[#This Row],[Produto]],tProdutos[Produto],0))="",DescontoPadrao,INDEX(tProdutos[Desconto homologado],MATCH(tItens[[#This Row],[Produto]],tProdutos[Produto],0))),DescontoPadrao)</f>
        <v>0.24924924924924899</v>
      </c>
      <c r="M4696" s="12">
        <f>tItens[[#This Row],[Valor]]*(1-tItens[[#This Row],[Desconto]])</f>
        <v>2029.27927927928</v>
      </c>
      <c r="N4696" t="str">
        <f>IFERROR(INDEX(tProdutos[Foco],MATCH(tItens[[#This Row],[Produto]],tProdutos[Produto],0)),"Não")</f>
        <v>Não</v>
      </c>
      <c r="O4696" t="str">
        <f>IFERROR(INDEX(tEditais[SRP],MATCH(tItens[[#This Row],[Edital]],tEditais[Edital],0)),"Não")</f>
        <v>Não</v>
      </c>
      <c r="P4696" s="4">
        <f>IF(COUNTIFS(INDEX(tItens[Edital],1):tItens[[#This Row],[Edital]],tItens[[#This Row],[Edital]],INDEX(tItens[Produto],1):tItens[[#This Row],[Produto]],tItens[[#This Row],[Produto]])=1,1,0)</f>
        <v>0</v>
      </c>
    </row>
    <row r="4697" spans="1:16" x14ac:dyDescent="0.25">
      <c r="A4697" t="s">
        <v>1870</v>
      </c>
      <c r="B4697">
        <v>48</v>
      </c>
      <c r="C4697" t="s">
        <v>7527</v>
      </c>
      <c r="D4697" t="s">
        <v>269</v>
      </c>
      <c r="E4697" s="13">
        <v>600</v>
      </c>
      <c r="F4697" s="12">
        <v>2.38</v>
      </c>
      <c r="G4697" t="str">
        <f>IFERROR(INDEX(tEditais[Órgão],MATCH(tItens[[#This Row],[Edital]],tEditais[Edital],0)),"")</f>
        <v>MUNICIPIO DE FREI MIGUELINHO</v>
      </c>
      <c r="H4697" t="str">
        <f>IFERROR(INDEX(tEditais[UF],MATCH(tItens[[#This Row],[Edital]],tEditais[Edital],0)),"")</f>
        <v>PE</v>
      </c>
      <c r="I4697" s="11">
        <f>IFERROR(INDEX(tEditais[Encerramento],MATCH(tItens[[#This Row],[Edital]],tEditais[Edital],0)),"")</f>
        <v>46308.375</v>
      </c>
      <c r="J4697" t="str">
        <f>IFERROR(INDEX(tProdutos[Classe],MATCH(tItens[[#This Row],[Produto]],tProdutos[Produto],0)),"produto não cadastrado")</f>
        <v>FORA</v>
      </c>
      <c r="K4697" s="12">
        <f>tItens[[#This Row],[Qtd]]*tItens[[#This Row],[Vlr unit]]</f>
        <v>1428</v>
      </c>
      <c r="L4697" s="6">
        <f>IFERROR(IF(INDEX(tProdutos[Desconto homologado],MATCH(tItens[[#This Row],[Produto]],tProdutos[Produto],0))="",DescontoPadrao,INDEX(tProdutos[Desconto homologado],MATCH(tItens[[#This Row],[Produto]],tProdutos[Produto],0))),DescontoPadrao)</f>
        <v>0.28935117103332197</v>
      </c>
      <c r="M4697" s="12">
        <f>tItens[[#This Row],[Valor]]*(1-tItens[[#This Row],[Desconto]])</f>
        <v>1014.8065277644163</v>
      </c>
      <c r="N4697" t="str">
        <f>IFERROR(INDEX(tProdutos[Foco],MATCH(tItens[[#This Row],[Produto]],tProdutos[Produto],0)),"Não")</f>
        <v>Não</v>
      </c>
      <c r="O4697" t="str">
        <f>IFERROR(INDEX(tEditais[SRP],MATCH(tItens[[#This Row],[Edital]],tEditais[Edital],0)),"Não")</f>
        <v>Não</v>
      </c>
      <c r="P4697" s="4">
        <f>IF(COUNTIFS(INDEX(tItens[Edital],1):tItens[[#This Row],[Edital]],tItens[[#This Row],[Edital]],INDEX(tItens[Produto],1):tItens[[#This Row],[Produto]],tItens[[#This Row],[Produto]])=1,1,0)</f>
        <v>0</v>
      </c>
    </row>
    <row r="4698" spans="1:16" x14ac:dyDescent="0.25">
      <c r="A4698" t="s">
        <v>1870</v>
      </c>
      <c r="B4698">
        <v>49</v>
      </c>
      <c r="C4698" t="s">
        <v>7528</v>
      </c>
      <c r="D4698" t="s">
        <v>73</v>
      </c>
      <c r="E4698" s="13">
        <v>2000</v>
      </c>
      <c r="F4698" s="12">
        <v>1.03</v>
      </c>
      <c r="G4698" t="str">
        <f>IFERROR(INDEX(tEditais[Órgão],MATCH(tItens[[#This Row],[Edital]],tEditais[Edital],0)),"")</f>
        <v>MUNICIPIO DE FREI MIGUELINHO</v>
      </c>
      <c r="H4698" t="str">
        <f>IFERROR(INDEX(tEditais[UF],MATCH(tItens[[#This Row],[Edital]],tEditais[Edital],0)),"")</f>
        <v>PE</v>
      </c>
      <c r="I4698" s="11">
        <f>IFERROR(INDEX(tEditais[Encerramento],MATCH(tItens[[#This Row],[Edital]],tEditais[Edital],0)),"")</f>
        <v>46308.375</v>
      </c>
      <c r="J4698" t="str">
        <f>IFERROR(INDEX(tProdutos[Classe],MATCH(tItens[[#This Row],[Produto]],tProdutos[Produto],0)),"produto não cadastrado")</f>
        <v>NÚCLEO</v>
      </c>
      <c r="K4698" s="12">
        <f>tItens[[#This Row],[Qtd]]*tItens[[#This Row],[Vlr unit]]</f>
        <v>2060</v>
      </c>
      <c r="L4698" s="6">
        <f>IFERROR(IF(INDEX(tProdutos[Desconto homologado],MATCH(tItens[[#This Row],[Produto]],tProdutos[Produto],0))="",DescontoPadrao,INDEX(tProdutos[Desconto homologado],MATCH(tItens[[#This Row],[Produto]],tProdutos[Produto],0))),DescontoPadrao)</f>
        <v>0.37</v>
      </c>
      <c r="M4698" s="12">
        <f>tItens[[#This Row],[Valor]]*(1-tItens[[#This Row],[Desconto]])</f>
        <v>1297.8</v>
      </c>
      <c r="N4698" t="str">
        <f>IFERROR(INDEX(tProdutos[Foco],MATCH(tItens[[#This Row],[Produto]],tProdutos[Produto],0)),"Não")</f>
        <v>Sim</v>
      </c>
      <c r="O4698" t="str">
        <f>IFERROR(INDEX(tEditais[SRP],MATCH(tItens[[#This Row],[Edital]],tEditais[Edital],0)),"Não")</f>
        <v>Não</v>
      </c>
      <c r="P4698" s="4">
        <f>IF(COUNTIFS(INDEX(tItens[Edital],1):tItens[[#This Row],[Edital]],tItens[[#This Row],[Edital]],INDEX(tItens[Produto],1):tItens[[#This Row],[Produto]],tItens[[#This Row],[Produto]])=1,1,0)</f>
        <v>1</v>
      </c>
    </row>
    <row r="4699" spans="1:16" x14ac:dyDescent="0.25">
      <c r="A4699" t="s">
        <v>1870</v>
      </c>
      <c r="B4699">
        <v>50</v>
      </c>
      <c r="C4699" t="s">
        <v>7529</v>
      </c>
      <c r="D4699" t="s">
        <v>73</v>
      </c>
      <c r="E4699" s="13">
        <v>900</v>
      </c>
      <c r="F4699" s="12">
        <v>0.84</v>
      </c>
      <c r="G4699" t="str">
        <f>IFERROR(INDEX(tEditais[Órgão],MATCH(tItens[[#This Row],[Edital]],tEditais[Edital],0)),"")</f>
        <v>MUNICIPIO DE FREI MIGUELINHO</v>
      </c>
      <c r="H4699" t="str">
        <f>IFERROR(INDEX(tEditais[UF],MATCH(tItens[[#This Row],[Edital]],tEditais[Edital],0)),"")</f>
        <v>PE</v>
      </c>
      <c r="I4699" s="11">
        <f>IFERROR(INDEX(tEditais[Encerramento],MATCH(tItens[[#This Row],[Edital]],tEditais[Edital],0)),"")</f>
        <v>46308.375</v>
      </c>
      <c r="J4699" t="str">
        <f>IFERROR(INDEX(tProdutos[Classe],MATCH(tItens[[#This Row],[Produto]],tProdutos[Produto],0)),"produto não cadastrado")</f>
        <v>NÚCLEO</v>
      </c>
      <c r="K4699" s="12">
        <f>tItens[[#This Row],[Qtd]]*tItens[[#This Row],[Vlr unit]]</f>
        <v>756</v>
      </c>
      <c r="L4699" s="6">
        <f>IFERROR(IF(INDEX(tProdutos[Desconto homologado],MATCH(tItens[[#This Row],[Produto]],tProdutos[Produto],0))="",DescontoPadrao,INDEX(tProdutos[Desconto homologado],MATCH(tItens[[#This Row],[Produto]],tProdutos[Produto],0))),DescontoPadrao)</f>
        <v>0.37</v>
      </c>
      <c r="M4699" s="12">
        <f>tItens[[#This Row],[Valor]]*(1-tItens[[#This Row],[Desconto]])</f>
        <v>476.28000000000003</v>
      </c>
      <c r="N4699" t="str">
        <f>IFERROR(INDEX(tProdutos[Foco],MATCH(tItens[[#This Row],[Produto]],tProdutos[Produto],0)),"Não")</f>
        <v>Sim</v>
      </c>
      <c r="O4699" t="str">
        <f>IFERROR(INDEX(tEditais[SRP],MATCH(tItens[[#This Row],[Edital]],tEditais[Edital],0)),"Não")</f>
        <v>Não</v>
      </c>
      <c r="P4699" s="4">
        <f>IF(COUNTIFS(INDEX(tItens[Edital],1):tItens[[#This Row],[Edital]],tItens[[#This Row],[Edital]],INDEX(tItens[Produto],1):tItens[[#This Row],[Produto]],tItens[[#This Row],[Produto]])=1,1,0)</f>
        <v>0</v>
      </c>
    </row>
    <row r="4700" spans="1:16" x14ac:dyDescent="0.25">
      <c r="A4700" t="s">
        <v>1870</v>
      </c>
      <c r="B4700">
        <v>51</v>
      </c>
      <c r="C4700" t="s">
        <v>7530</v>
      </c>
      <c r="D4700" t="s">
        <v>98</v>
      </c>
      <c r="E4700" s="13">
        <v>13</v>
      </c>
      <c r="F4700" s="12">
        <v>3.64</v>
      </c>
      <c r="G4700" t="str">
        <f>IFERROR(INDEX(tEditais[Órgão],MATCH(tItens[[#This Row],[Edital]],tEditais[Edital],0)),"")</f>
        <v>MUNICIPIO DE FREI MIGUELINHO</v>
      </c>
      <c r="H4700" t="str">
        <f>IFERROR(INDEX(tEditais[UF],MATCH(tItens[[#This Row],[Edital]],tEditais[Edital],0)),"")</f>
        <v>PE</v>
      </c>
      <c r="I4700" s="11">
        <f>IFERROR(INDEX(tEditais[Encerramento],MATCH(tItens[[#This Row],[Edital]],tEditais[Edital],0)),"")</f>
        <v>46308.375</v>
      </c>
      <c r="J4700" t="str">
        <f>IFERROR(INDEX(tProdutos[Classe],MATCH(tItens[[#This Row],[Produto]],tProdutos[Produto],0)),"produto não cadastrado")</f>
        <v>NÚCLEO</v>
      </c>
      <c r="K4700" s="12">
        <f>tItens[[#This Row],[Qtd]]*tItens[[#This Row],[Vlr unit]]</f>
        <v>47.32</v>
      </c>
      <c r="L4700" s="6">
        <f>IFERROR(IF(INDEX(tProdutos[Desconto homologado],MATCH(tItens[[#This Row],[Produto]],tProdutos[Produto],0))="",DescontoPadrao,INDEX(tProdutos[Desconto homologado],MATCH(tItens[[#This Row],[Produto]],tProdutos[Produto],0))),DescontoPadrao)</f>
        <v>0.39</v>
      </c>
      <c r="M4700" s="12">
        <f>tItens[[#This Row],[Valor]]*(1-tItens[[#This Row],[Desconto]])</f>
        <v>28.865199999999998</v>
      </c>
      <c r="N4700" t="str">
        <f>IFERROR(INDEX(tProdutos[Foco],MATCH(tItens[[#This Row],[Produto]],tProdutos[Produto],0)),"Não")</f>
        <v>Sim</v>
      </c>
      <c r="O4700" t="str">
        <f>IFERROR(INDEX(tEditais[SRP],MATCH(tItens[[#This Row],[Edital]],tEditais[Edital],0)),"Não")</f>
        <v>Não</v>
      </c>
      <c r="P4700" s="4">
        <f>IF(COUNTIFS(INDEX(tItens[Edital],1):tItens[[#This Row],[Edital]],tItens[[#This Row],[Edital]],INDEX(tItens[Produto],1):tItens[[#This Row],[Produto]],tItens[[#This Row],[Produto]])=1,1,0)</f>
        <v>1</v>
      </c>
    </row>
    <row r="4701" spans="1:16" x14ac:dyDescent="0.25">
      <c r="A4701" t="s">
        <v>1870</v>
      </c>
      <c r="B4701">
        <v>52</v>
      </c>
      <c r="C4701" t="s">
        <v>7531</v>
      </c>
      <c r="D4701" t="s">
        <v>98</v>
      </c>
      <c r="E4701" s="13">
        <v>13</v>
      </c>
      <c r="F4701" s="12">
        <v>1.84</v>
      </c>
      <c r="G4701" t="str">
        <f>IFERROR(INDEX(tEditais[Órgão],MATCH(tItens[[#This Row],[Edital]],tEditais[Edital],0)),"")</f>
        <v>MUNICIPIO DE FREI MIGUELINHO</v>
      </c>
      <c r="H4701" t="str">
        <f>IFERROR(INDEX(tEditais[UF],MATCH(tItens[[#This Row],[Edital]],tEditais[Edital],0)),"")</f>
        <v>PE</v>
      </c>
      <c r="I4701" s="11">
        <f>IFERROR(INDEX(tEditais[Encerramento],MATCH(tItens[[#This Row],[Edital]],tEditais[Edital],0)),"")</f>
        <v>46308.375</v>
      </c>
      <c r="J4701" t="str">
        <f>IFERROR(INDEX(tProdutos[Classe],MATCH(tItens[[#This Row],[Produto]],tProdutos[Produto],0)),"produto não cadastrado")</f>
        <v>NÚCLEO</v>
      </c>
      <c r="K4701" s="12">
        <f>tItens[[#This Row],[Qtd]]*tItens[[#This Row],[Vlr unit]]</f>
        <v>23.92</v>
      </c>
      <c r="L4701" s="6">
        <f>IFERROR(IF(INDEX(tProdutos[Desconto homologado],MATCH(tItens[[#This Row],[Produto]],tProdutos[Produto],0))="",DescontoPadrao,INDEX(tProdutos[Desconto homologado],MATCH(tItens[[#This Row],[Produto]],tProdutos[Produto],0))),DescontoPadrao)</f>
        <v>0.39</v>
      </c>
      <c r="M4701" s="12">
        <f>tItens[[#This Row],[Valor]]*(1-tItens[[#This Row],[Desconto]])</f>
        <v>14.591200000000001</v>
      </c>
      <c r="N4701" t="str">
        <f>IFERROR(INDEX(tProdutos[Foco],MATCH(tItens[[#This Row],[Produto]],tProdutos[Produto],0)),"Não")</f>
        <v>Sim</v>
      </c>
      <c r="O4701" t="str">
        <f>IFERROR(INDEX(tEditais[SRP],MATCH(tItens[[#This Row],[Edital]],tEditais[Edital],0)),"Não")</f>
        <v>Não</v>
      </c>
      <c r="P4701" s="4">
        <f>IF(COUNTIFS(INDEX(tItens[Edital],1):tItens[[#This Row],[Edital]],tItens[[#This Row],[Edital]],INDEX(tItens[Produto],1):tItens[[#This Row],[Produto]],tItens[[#This Row],[Produto]])=1,1,0)</f>
        <v>0</v>
      </c>
    </row>
    <row r="4702" spans="1:16" x14ac:dyDescent="0.25">
      <c r="A4702" t="s">
        <v>1870</v>
      </c>
      <c r="B4702">
        <v>53</v>
      </c>
      <c r="C4702" t="s">
        <v>7532</v>
      </c>
      <c r="D4702" t="s">
        <v>98</v>
      </c>
      <c r="E4702" s="13">
        <v>13</v>
      </c>
      <c r="F4702" s="12">
        <v>2.1</v>
      </c>
      <c r="G4702" t="str">
        <f>IFERROR(INDEX(tEditais[Órgão],MATCH(tItens[[#This Row],[Edital]],tEditais[Edital],0)),"")</f>
        <v>MUNICIPIO DE FREI MIGUELINHO</v>
      </c>
      <c r="H4702" t="str">
        <f>IFERROR(INDEX(tEditais[UF],MATCH(tItens[[#This Row],[Edital]],tEditais[Edital],0)),"")</f>
        <v>PE</v>
      </c>
      <c r="I4702" s="11">
        <f>IFERROR(INDEX(tEditais[Encerramento],MATCH(tItens[[#This Row],[Edital]],tEditais[Edital],0)),"")</f>
        <v>46308.375</v>
      </c>
      <c r="J4702" t="str">
        <f>IFERROR(INDEX(tProdutos[Classe],MATCH(tItens[[#This Row],[Produto]],tProdutos[Produto],0)),"produto não cadastrado")</f>
        <v>NÚCLEO</v>
      </c>
      <c r="K4702" s="12">
        <f>tItens[[#This Row],[Qtd]]*tItens[[#This Row],[Vlr unit]]</f>
        <v>27.3</v>
      </c>
      <c r="L4702" s="6">
        <f>IFERROR(IF(INDEX(tProdutos[Desconto homologado],MATCH(tItens[[#This Row],[Produto]],tProdutos[Produto],0))="",DescontoPadrao,INDEX(tProdutos[Desconto homologado],MATCH(tItens[[#This Row],[Produto]],tProdutos[Produto],0))),DescontoPadrao)</f>
        <v>0.39</v>
      </c>
      <c r="M4702" s="12">
        <f>tItens[[#This Row],[Valor]]*(1-tItens[[#This Row],[Desconto]])</f>
        <v>16.652999999999999</v>
      </c>
      <c r="N4702" t="str">
        <f>IFERROR(INDEX(tProdutos[Foco],MATCH(tItens[[#This Row],[Produto]],tProdutos[Produto],0)),"Não")</f>
        <v>Sim</v>
      </c>
      <c r="O4702" t="str">
        <f>IFERROR(INDEX(tEditais[SRP],MATCH(tItens[[#This Row],[Edital]],tEditais[Edital],0)),"Não")</f>
        <v>Não</v>
      </c>
      <c r="P4702" s="4">
        <f>IF(COUNTIFS(INDEX(tItens[Edital],1):tItens[[#This Row],[Edital]],tItens[[#This Row],[Edital]],INDEX(tItens[Produto],1):tItens[[#This Row],[Produto]],tItens[[#This Row],[Produto]])=1,1,0)</f>
        <v>0</v>
      </c>
    </row>
    <row r="4703" spans="1:16" x14ac:dyDescent="0.25">
      <c r="A4703" t="s">
        <v>1870</v>
      </c>
      <c r="B4703">
        <v>54</v>
      </c>
      <c r="C4703" t="s">
        <v>7533</v>
      </c>
      <c r="D4703" t="s">
        <v>98</v>
      </c>
      <c r="E4703" s="13">
        <v>13</v>
      </c>
      <c r="F4703" s="12">
        <v>3.03</v>
      </c>
      <c r="G4703" t="str">
        <f>IFERROR(INDEX(tEditais[Órgão],MATCH(tItens[[#This Row],[Edital]],tEditais[Edital],0)),"")</f>
        <v>MUNICIPIO DE FREI MIGUELINHO</v>
      </c>
      <c r="H4703" t="str">
        <f>IFERROR(INDEX(tEditais[UF],MATCH(tItens[[#This Row],[Edital]],tEditais[Edital],0)),"")</f>
        <v>PE</v>
      </c>
      <c r="I4703" s="11">
        <f>IFERROR(INDEX(tEditais[Encerramento],MATCH(tItens[[#This Row],[Edital]],tEditais[Edital],0)),"")</f>
        <v>46308.375</v>
      </c>
      <c r="J4703" t="str">
        <f>IFERROR(INDEX(tProdutos[Classe],MATCH(tItens[[#This Row],[Produto]],tProdutos[Produto],0)),"produto não cadastrado")</f>
        <v>NÚCLEO</v>
      </c>
      <c r="K4703" s="12">
        <f>tItens[[#This Row],[Qtd]]*tItens[[#This Row],[Vlr unit]]</f>
        <v>39.39</v>
      </c>
      <c r="L4703" s="6">
        <f>IFERROR(IF(INDEX(tProdutos[Desconto homologado],MATCH(tItens[[#This Row],[Produto]],tProdutos[Produto],0))="",DescontoPadrao,INDEX(tProdutos[Desconto homologado],MATCH(tItens[[#This Row],[Produto]],tProdutos[Produto],0))),DescontoPadrao)</f>
        <v>0.39</v>
      </c>
      <c r="M4703" s="12">
        <f>tItens[[#This Row],[Valor]]*(1-tItens[[#This Row],[Desconto]])</f>
        <v>24.027899999999999</v>
      </c>
      <c r="N4703" t="str">
        <f>IFERROR(INDEX(tProdutos[Foco],MATCH(tItens[[#This Row],[Produto]],tProdutos[Produto],0)),"Não")</f>
        <v>Sim</v>
      </c>
      <c r="O4703" t="str">
        <f>IFERROR(INDEX(tEditais[SRP],MATCH(tItens[[#This Row],[Edital]],tEditais[Edital],0)),"Não")</f>
        <v>Não</v>
      </c>
      <c r="P4703" s="4">
        <f>IF(COUNTIFS(INDEX(tItens[Edital],1):tItens[[#This Row],[Edital]],tItens[[#This Row],[Edital]],INDEX(tItens[Produto],1):tItens[[#This Row],[Produto]],tItens[[#This Row],[Produto]])=1,1,0)</f>
        <v>0</v>
      </c>
    </row>
    <row r="4704" spans="1:16" x14ac:dyDescent="0.25">
      <c r="A4704" t="s">
        <v>1870</v>
      </c>
      <c r="B4704">
        <v>55</v>
      </c>
      <c r="C4704" t="s">
        <v>7534</v>
      </c>
      <c r="D4704" t="s">
        <v>98</v>
      </c>
      <c r="E4704" s="13">
        <v>13</v>
      </c>
      <c r="F4704" s="12">
        <v>4.3499999999999996</v>
      </c>
      <c r="G4704" t="str">
        <f>IFERROR(INDEX(tEditais[Órgão],MATCH(tItens[[#This Row],[Edital]],tEditais[Edital],0)),"")</f>
        <v>MUNICIPIO DE FREI MIGUELINHO</v>
      </c>
      <c r="H4704" t="str">
        <f>IFERROR(INDEX(tEditais[UF],MATCH(tItens[[#This Row],[Edital]],tEditais[Edital],0)),"")</f>
        <v>PE</v>
      </c>
      <c r="I4704" s="11">
        <f>IFERROR(INDEX(tEditais[Encerramento],MATCH(tItens[[#This Row],[Edital]],tEditais[Edital],0)),"")</f>
        <v>46308.375</v>
      </c>
      <c r="J4704" t="str">
        <f>IFERROR(INDEX(tProdutos[Classe],MATCH(tItens[[#This Row],[Produto]],tProdutos[Produto],0)),"produto não cadastrado")</f>
        <v>NÚCLEO</v>
      </c>
      <c r="K4704" s="12">
        <f>tItens[[#This Row],[Qtd]]*tItens[[#This Row],[Vlr unit]]</f>
        <v>56.55</v>
      </c>
      <c r="L4704" s="6">
        <f>IFERROR(IF(INDEX(tProdutos[Desconto homologado],MATCH(tItens[[#This Row],[Produto]],tProdutos[Produto],0))="",DescontoPadrao,INDEX(tProdutos[Desconto homologado],MATCH(tItens[[#This Row],[Produto]],tProdutos[Produto],0))),DescontoPadrao)</f>
        <v>0.39</v>
      </c>
      <c r="M4704" s="12">
        <f>tItens[[#This Row],[Valor]]*(1-tItens[[#This Row],[Desconto]])</f>
        <v>34.4955</v>
      </c>
      <c r="N4704" t="str">
        <f>IFERROR(INDEX(tProdutos[Foco],MATCH(tItens[[#This Row],[Produto]],tProdutos[Produto],0)),"Não")</f>
        <v>Sim</v>
      </c>
      <c r="O4704" t="str">
        <f>IFERROR(INDEX(tEditais[SRP],MATCH(tItens[[#This Row],[Edital]],tEditais[Edital],0)),"Não")</f>
        <v>Não</v>
      </c>
      <c r="P4704" s="4">
        <f>IF(COUNTIFS(INDEX(tItens[Edital],1):tItens[[#This Row],[Edital]],tItens[[#This Row],[Edital]],INDEX(tItens[Produto],1):tItens[[#This Row],[Produto]],tItens[[#This Row],[Produto]])=1,1,0)</f>
        <v>0</v>
      </c>
    </row>
    <row r="4705" spans="1:16" x14ac:dyDescent="0.25">
      <c r="A4705" t="s">
        <v>1870</v>
      </c>
      <c r="B4705">
        <v>56</v>
      </c>
      <c r="C4705" t="s">
        <v>7535</v>
      </c>
      <c r="D4705" t="s">
        <v>98</v>
      </c>
      <c r="E4705" s="13">
        <v>13</v>
      </c>
      <c r="F4705" s="12">
        <v>4.6500000000000004</v>
      </c>
      <c r="G4705" t="str">
        <f>IFERROR(INDEX(tEditais[Órgão],MATCH(tItens[[#This Row],[Edital]],tEditais[Edital],0)),"")</f>
        <v>MUNICIPIO DE FREI MIGUELINHO</v>
      </c>
      <c r="H4705" t="str">
        <f>IFERROR(INDEX(tEditais[UF],MATCH(tItens[[#This Row],[Edital]],tEditais[Edital],0)),"")</f>
        <v>PE</v>
      </c>
      <c r="I4705" s="11">
        <f>IFERROR(INDEX(tEditais[Encerramento],MATCH(tItens[[#This Row],[Edital]],tEditais[Edital],0)),"")</f>
        <v>46308.375</v>
      </c>
      <c r="J4705" t="str">
        <f>IFERROR(INDEX(tProdutos[Classe],MATCH(tItens[[#This Row],[Produto]],tProdutos[Produto],0)),"produto não cadastrado")</f>
        <v>NÚCLEO</v>
      </c>
      <c r="K4705" s="12">
        <f>tItens[[#This Row],[Qtd]]*tItens[[#This Row],[Vlr unit]]</f>
        <v>60.45</v>
      </c>
      <c r="L4705" s="6">
        <f>IFERROR(IF(INDEX(tProdutos[Desconto homologado],MATCH(tItens[[#This Row],[Produto]],tProdutos[Produto],0))="",DescontoPadrao,INDEX(tProdutos[Desconto homologado],MATCH(tItens[[#This Row],[Produto]],tProdutos[Produto],0))),DescontoPadrao)</f>
        <v>0.39</v>
      </c>
      <c r="M4705" s="12">
        <f>tItens[[#This Row],[Valor]]*(1-tItens[[#This Row],[Desconto]])</f>
        <v>36.874499999999998</v>
      </c>
      <c r="N4705" t="str">
        <f>IFERROR(INDEX(tProdutos[Foco],MATCH(tItens[[#This Row],[Produto]],tProdutos[Produto],0)),"Não")</f>
        <v>Sim</v>
      </c>
      <c r="O4705" t="str">
        <f>IFERROR(INDEX(tEditais[SRP],MATCH(tItens[[#This Row],[Edital]],tEditais[Edital],0)),"Não")</f>
        <v>Não</v>
      </c>
      <c r="P4705" s="4">
        <f>IF(COUNTIFS(INDEX(tItens[Edital],1):tItens[[#This Row],[Edital]],tItens[[#This Row],[Edital]],INDEX(tItens[Produto],1):tItens[[#This Row],[Produto]],tItens[[#This Row],[Produto]])=1,1,0)</f>
        <v>0</v>
      </c>
    </row>
    <row r="4706" spans="1:16" x14ac:dyDescent="0.25">
      <c r="A4706" t="s">
        <v>1870</v>
      </c>
      <c r="B4706">
        <v>57</v>
      </c>
      <c r="C4706" t="s">
        <v>7536</v>
      </c>
      <c r="D4706" t="s">
        <v>279</v>
      </c>
      <c r="E4706" s="13">
        <v>3000</v>
      </c>
      <c r="F4706" s="12">
        <v>6.16</v>
      </c>
      <c r="G4706" t="str">
        <f>IFERROR(INDEX(tEditais[Órgão],MATCH(tItens[[#This Row],[Edital]],tEditais[Edital],0)),"")</f>
        <v>MUNICIPIO DE FREI MIGUELINHO</v>
      </c>
      <c r="H4706" t="str">
        <f>IFERROR(INDEX(tEditais[UF],MATCH(tItens[[#This Row],[Edital]],tEditais[Edital],0)),"")</f>
        <v>PE</v>
      </c>
      <c r="I4706" s="11">
        <f>IFERROR(INDEX(tEditais[Encerramento],MATCH(tItens[[#This Row],[Edital]],tEditais[Edital],0)),"")</f>
        <v>46308.375</v>
      </c>
      <c r="J4706" t="str">
        <f>IFERROR(INDEX(tProdutos[Classe],MATCH(tItens[[#This Row],[Produto]],tProdutos[Produto],0)),"produto não cadastrado")</f>
        <v>FORA</v>
      </c>
      <c r="K4706" s="12">
        <f>tItens[[#This Row],[Qtd]]*tItens[[#This Row],[Vlr unit]]</f>
        <v>18480</v>
      </c>
      <c r="L4706" s="6">
        <f>IFERROR(IF(INDEX(tProdutos[Desconto homologado],MATCH(tItens[[#This Row],[Produto]],tProdutos[Produto],0))="",DescontoPadrao,INDEX(tProdutos[Desconto homologado],MATCH(tItens[[#This Row],[Produto]],tProdutos[Produto],0))),DescontoPadrao)</f>
        <v>0.28909090909090901</v>
      </c>
      <c r="M4706" s="12">
        <f>tItens[[#This Row],[Valor]]*(1-tItens[[#This Row],[Desconto]])</f>
        <v>13137.6</v>
      </c>
      <c r="N4706" t="str">
        <f>IFERROR(INDEX(tProdutos[Foco],MATCH(tItens[[#This Row],[Produto]],tProdutos[Produto],0)),"Não")</f>
        <v>Não</v>
      </c>
      <c r="O4706" t="str">
        <f>IFERROR(INDEX(tEditais[SRP],MATCH(tItens[[#This Row],[Edital]],tEditais[Edital],0)),"Não")</f>
        <v>Não</v>
      </c>
      <c r="P4706" s="4">
        <f>IF(COUNTIFS(INDEX(tItens[Edital],1):tItens[[#This Row],[Edital]],tItens[[#This Row],[Edital]],INDEX(tItens[Produto],1):tItens[[#This Row],[Produto]],tItens[[#This Row],[Produto]])=1,1,0)</f>
        <v>1</v>
      </c>
    </row>
    <row r="4707" spans="1:16" x14ac:dyDescent="0.25">
      <c r="A4707" t="s">
        <v>1870</v>
      </c>
      <c r="B4707">
        <v>58</v>
      </c>
      <c r="C4707" t="s">
        <v>7537</v>
      </c>
      <c r="D4707" t="s">
        <v>172</v>
      </c>
      <c r="E4707" s="13">
        <v>260</v>
      </c>
      <c r="F4707" s="12">
        <v>1.08</v>
      </c>
      <c r="G4707" t="str">
        <f>IFERROR(INDEX(tEditais[Órgão],MATCH(tItens[[#This Row],[Edital]],tEditais[Edital],0)),"")</f>
        <v>MUNICIPIO DE FREI MIGUELINHO</v>
      </c>
      <c r="H4707" t="str">
        <f>IFERROR(INDEX(tEditais[UF],MATCH(tItens[[#This Row],[Edital]],tEditais[Edital],0)),"")</f>
        <v>PE</v>
      </c>
      <c r="I4707" s="11">
        <f>IFERROR(INDEX(tEditais[Encerramento],MATCH(tItens[[#This Row],[Edital]],tEditais[Edital],0)),"")</f>
        <v>46308.375</v>
      </c>
      <c r="J4707" t="str">
        <f>IFERROR(INDEX(tProdutos[Classe],MATCH(tItens[[#This Row],[Produto]],tProdutos[Produto],0)),"produto não cadastrado")</f>
        <v>DISPUTADO</v>
      </c>
      <c r="K4707" s="12">
        <f>tItens[[#This Row],[Qtd]]*tItens[[#This Row],[Vlr unit]]</f>
        <v>280.8</v>
      </c>
      <c r="L4707" s="6">
        <f>IFERROR(IF(INDEX(tProdutos[Desconto homologado],MATCH(tItens[[#This Row],[Produto]],tProdutos[Produto],0))="",DescontoPadrao,INDEX(tProdutos[Desconto homologado],MATCH(tItens[[#This Row],[Produto]],tProdutos[Produto],0))),DescontoPadrao)</f>
        <v>0.33578431372549</v>
      </c>
      <c r="M4707" s="12">
        <f>tItens[[#This Row],[Valor]]*(1-tItens[[#This Row],[Desconto]])</f>
        <v>186.51176470588243</v>
      </c>
      <c r="N4707" t="str">
        <f>IFERROR(INDEX(tProdutos[Foco],MATCH(tItens[[#This Row],[Produto]],tProdutos[Produto],0)),"Não")</f>
        <v>Não</v>
      </c>
      <c r="O4707" t="str">
        <f>IFERROR(INDEX(tEditais[SRP],MATCH(tItens[[#This Row],[Edital]],tEditais[Edital],0)),"Não")</f>
        <v>Não</v>
      </c>
      <c r="P4707" s="4">
        <f>IF(COUNTIFS(INDEX(tItens[Edital],1):tItens[[#This Row],[Edital]],tItens[[#This Row],[Edital]],INDEX(tItens[Produto],1):tItens[[#This Row],[Produto]],tItens[[#This Row],[Produto]])=1,1,0)</f>
        <v>1</v>
      </c>
    </row>
    <row r="4708" spans="1:16" x14ac:dyDescent="0.25">
      <c r="A4708" t="s">
        <v>1870</v>
      </c>
      <c r="B4708">
        <v>62</v>
      </c>
      <c r="C4708" t="s">
        <v>7538</v>
      </c>
      <c r="D4708" t="s">
        <v>641</v>
      </c>
      <c r="E4708" s="13">
        <v>20</v>
      </c>
      <c r="F4708" s="12">
        <v>65.930000000000007</v>
      </c>
      <c r="G4708" t="str">
        <f>IFERROR(INDEX(tEditais[Órgão],MATCH(tItens[[#This Row],[Edital]],tEditais[Edital],0)),"")</f>
        <v>MUNICIPIO DE FREI MIGUELINHO</v>
      </c>
      <c r="H4708" t="str">
        <f>IFERROR(INDEX(tEditais[UF],MATCH(tItens[[#This Row],[Edital]],tEditais[Edital],0)),"")</f>
        <v>PE</v>
      </c>
      <c r="I4708" s="11">
        <f>IFERROR(INDEX(tEditais[Encerramento],MATCH(tItens[[#This Row],[Edital]],tEditais[Edital],0)),"")</f>
        <v>46308.375</v>
      </c>
      <c r="J4708" t="str">
        <f>IFERROR(INDEX(tProdutos[Classe],MATCH(tItens[[#This Row],[Produto]],tProdutos[Produto],0)),"produto não cadastrado")</f>
        <v>FILA REBASE</v>
      </c>
      <c r="K4708" s="12">
        <f>tItens[[#This Row],[Qtd]]*tItens[[#This Row],[Vlr unit]]</f>
        <v>1318.6000000000001</v>
      </c>
      <c r="L4708" s="6">
        <f>IFERROR(IF(INDEX(tProdutos[Desconto homologado],MATCH(tItens[[#This Row],[Produto]],tProdutos[Produto],0))="",DescontoPadrao,INDEX(tProdutos[Desconto homologado],MATCH(tItens[[#This Row],[Produto]],tProdutos[Produto],0))),DescontoPadrao)</f>
        <v>0.3</v>
      </c>
      <c r="M4708" s="12">
        <f>tItens[[#This Row],[Valor]]*(1-tItens[[#This Row],[Desconto]])</f>
        <v>923.02</v>
      </c>
      <c r="N4708" t="str">
        <f>IFERROR(INDEX(tProdutos[Foco],MATCH(tItens[[#This Row],[Produto]],tProdutos[Produto],0)),"Não")</f>
        <v>Não</v>
      </c>
      <c r="O4708" t="str">
        <f>IFERROR(INDEX(tEditais[SRP],MATCH(tItens[[#This Row],[Edital]],tEditais[Edital],0)),"Não")</f>
        <v>Não</v>
      </c>
      <c r="P4708" s="4">
        <f>IF(COUNTIFS(INDEX(tItens[Edital],1):tItens[[#This Row],[Edital]],tItens[[#This Row],[Edital]],INDEX(tItens[Produto],1):tItens[[#This Row],[Produto]],tItens[[#This Row],[Produto]])=1,1,0)</f>
        <v>1</v>
      </c>
    </row>
    <row r="4709" spans="1:16" x14ac:dyDescent="0.25">
      <c r="A4709" t="s">
        <v>1870</v>
      </c>
      <c r="B4709">
        <v>67</v>
      </c>
      <c r="C4709" t="s">
        <v>7539</v>
      </c>
      <c r="D4709" t="s">
        <v>279</v>
      </c>
      <c r="E4709" s="13">
        <v>400</v>
      </c>
      <c r="F4709" s="12">
        <v>5.53</v>
      </c>
      <c r="G4709" t="str">
        <f>IFERROR(INDEX(tEditais[Órgão],MATCH(tItens[[#This Row],[Edital]],tEditais[Edital],0)),"")</f>
        <v>MUNICIPIO DE FREI MIGUELINHO</v>
      </c>
      <c r="H4709" t="str">
        <f>IFERROR(INDEX(tEditais[UF],MATCH(tItens[[#This Row],[Edital]],tEditais[Edital],0)),"")</f>
        <v>PE</v>
      </c>
      <c r="I4709" s="11">
        <f>IFERROR(INDEX(tEditais[Encerramento],MATCH(tItens[[#This Row],[Edital]],tEditais[Edital],0)),"")</f>
        <v>46308.375</v>
      </c>
      <c r="J4709" t="str">
        <f>IFERROR(INDEX(tProdutos[Classe],MATCH(tItens[[#This Row],[Produto]],tProdutos[Produto],0)),"produto não cadastrado")</f>
        <v>FORA</v>
      </c>
      <c r="K4709" s="12">
        <f>tItens[[#This Row],[Qtd]]*tItens[[#This Row],[Vlr unit]]</f>
        <v>2212</v>
      </c>
      <c r="L4709" s="6">
        <f>IFERROR(IF(INDEX(tProdutos[Desconto homologado],MATCH(tItens[[#This Row],[Produto]],tProdutos[Produto],0))="",DescontoPadrao,INDEX(tProdutos[Desconto homologado],MATCH(tItens[[#This Row],[Produto]],tProdutos[Produto],0))),DescontoPadrao)</f>
        <v>0.28909090909090901</v>
      </c>
      <c r="M4709" s="12">
        <f>tItens[[#This Row],[Valor]]*(1-tItens[[#This Row],[Desconto]])</f>
        <v>1572.5309090909091</v>
      </c>
      <c r="N4709" t="str">
        <f>IFERROR(INDEX(tProdutos[Foco],MATCH(tItens[[#This Row],[Produto]],tProdutos[Produto],0)),"Não")</f>
        <v>Não</v>
      </c>
      <c r="O4709" t="str">
        <f>IFERROR(INDEX(tEditais[SRP],MATCH(tItens[[#This Row],[Edital]],tEditais[Edital],0)),"Não")</f>
        <v>Não</v>
      </c>
      <c r="P4709" s="4">
        <f>IF(COUNTIFS(INDEX(tItens[Edital],1):tItens[[#This Row],[Edital]],tItens[[#This Row],[Edital]],INDEX(tItens[Produto],1):tItens[[#This Row],[Produto]],tItens[[#This Row],[Produto]])=1,1,0)</f>
        <v>0</v>
      </c>
    </row>
    <row r="4710" spans="1:16" x14ac:dyDescent="0.25">
      <c r="A4710" t="s">
        <v>1870</v>
      </c>
      <c r="B4710">
        <v>73</v>
      </c>
      <c r="C4710" t="s">
        <v>7540</v>
      </c>
      <c r="D4710" t="s">
        <v>126</v>
      </c>
      <c r="E4710" s="13">
        <v>250</v>
      </c>
      <c r="F4710" s="12">
        <v>12.28</v>
      </c>
      <c r="G4710" t="str">
        <f>IFERROR(INDEX(tEditais[Órgão],MATCH(tItens[[#This Row],[Edital]],tEditais[Edital],0)),"")</f>
        <v>MUNICIPIO DE FREI MIGUELINHO</v>
      </c>
      <c r="H4710" t="str">
        <f>IFERROR(INDEX(tEditais[UF],MATCH(tItens[[#This Row],[Edital]],tEditais[Edital],0)),"")</f>
        <v>PE</v>
      </c>
      <c r="I4710" s="11">
        <f>IFERROR(INDEX(tEditais[Encerramento],MATCH(tItens[[#This Row],[Edital]],tEditais[Edital],0)),"")</f>
        <v>46308.375</v>
      </c>
      <c r="J4710" t="str">
        <f>IFERROR(INDEX(tProdutos[Classe],MATCH(tItens[[#This Row],[Produto]],tProdutos[Produto],0)),"produto não cadastrado")</f>
        <v>DISPUTADO</v>
      </c>
      <c r="K4710" s="12">
        <f>tItens[[#This Row],[Qtd]]*tItens[[#This Row],[Vlr unit]]</f>
        <v>3070</v>
      </c>
      <c r="L4710" s="6">
        <f>IFERROR(IF(INDEX(tProdutos[Desconto homologado],MATCH(tItens[[#This Row],[Produto]],tProdutos[Produto],0))="",DescontoPadrao,INDEX(tProdutos[Desconto homologado],MATCH(tItens[[#This Row],[Produto]],tProdutos[Produto],0))),DescontoPadrao)</f>
        <v>0.21</v>
      </c>
      <c r="M4710" s="12">
        <f>tItens[[#This Row],[Valor]]*(1-tItens[[#This Row],[Desconto]])</f>
        <v>2425.3000000000002</v>
      </c>
      <c r="N4710" t="str">
        <f>IFERROR(INDEX(tProdutos[Foco],MATCH(tItens[[#This Row],[Produto]],tProdutos[Produto],0)),"Não")</f>
        <v>Sim</v>
      </c>
      <c r="O4710" t="str">
        <f>IFERROR(INDEX(tEditais[SRP],MATCH(tItens[[#This Row],[Edital]],tEditais[Edital],0)),"Não")</f>
        <v>Não</v>
      </c>
      <c r="P4710" s="4">
        <f>IF(COUNTIFS(INDEX(tItens[Edital],1):tItens[[#This Row],[Edital]],tItens[[#This Row],[Edital]],INDEX(tItens[Produto],1):tItens[[#This Row],[Produto]],tItens[[#This Row],[Produto]])=1,1,0)</f>
        <v>1</v>
      </c>
    </row>
    <row r="4711" spans="1:16" x14ac:dyDescent="0.25">
      <c r="A4711" t="s">
        <v>1870</v>
      </c>
      <c r="B4711">
        <v>74</v>
      </c>
      <c r="C4711" t="s">
        <v>7541</v>
      </c>
      <c r="D4711" t="s">
        <v>347</v>
      </c>
      <c r="E4711" s="13">
        <v>10</v>
      </c>
      <c r="F4711" s="12">
        <v>4.67</v>
      </c>
      <c r="G4711" t="str">
        <f>IFERROR(INDEX(tEditais[Órgão],MATCH(tItens[[#This Row],[Edital]],tEditais[Edital],0)),"")</f>
        <v>MUNICIPIO DE FREI MIGUELINHO</v>
      </c>
      <c r="H4711" t="str">
        <f>IFERROR(INDEX(tEditais[UF],MATCH(tItens[[#This Row],[Edital]],tEditais[Edital],0)),"")</f>
        <v>PE</v>
      </c>
      <c r="I4711" s="11">
        <f>IFERROR(INDEX(tEditais[Encerramento],MATCH(tItens[[#This Row],[Edital]],tEditais[Edital],0)),"")</f>
        <v>46308.375</v>
      </c>
      <c r="J4711" t="str">
        <f>IFERROR(INDEX(tProdutos[Classe],MATCH(tItens[[#This Row],[Produto]],tProdutos[Produto],0)),"produto não cadastrado")</f>
        <v>FORA</v>
      </c>
      <c r="K4711" s="12">
        <f>tItens[[#This Row],[Qtd]]*tItens[[#This Row],[Vlr unit]]</f>
        <v>46.7</v>
      </c>
      <c r="L4711" s="6">
        <f>IFERROR(IF(INDEX(tProdutos[Desconto homologado],MATCH(tItens[[#This Row],[Produto]],tProdutos[Produto],0))="",DescontoPadrao,INDEX(tProdutos[Desconto homologado],MATCH(tItens[[#This Row],[Produto]],tProdutos[Produto],0))),DescontoPadrao)</f>
        <v>0.26356465005931201</v>
      </c>
      <c r="M4711" s="12">
        <f>tItens[[#This Row],[Valor]]*(1-tItens[[#This Row],[Desconto]])</f>
        <v>34.391530842230125</v>
      </c>
      <c r="N4711" t="str">
        <f>IFERROR(INDEX(tProdutos[Foco],MATCH(tItens[[#This Row],[Produto]],tProdutos[Produto],0)),"Não")</f>
        <v>Não</v>
      </c>
      <c r="O4711" t="str">
        <f>IFERROR(INDEX(tEditais[SRP],MATCH(tItens[[#This Row],[Edital]],tEditais[Edital],0)),"Não")</f>
        <v>Não</v>
      </c>
      <c r="P4711" s="4">
        <f>IF(COUNTIFS(INDEX(tItens[Edital],1):tItens[[#This Row],[Edital]],tItens[[#This Row],[Edital]],INDEX(tItens[Produto],1):tItens[[#This Row],[Produto]],tItens[[#This Row],[Produto]])=1,1,0)</f>
        <v>1</v>
      </c>
    </row>
    <row r="4712" spans="1:16" x14ac:dyDescent="0.25">
      <c r="A4712" t="s">
        <v>1870</v>
      </c>
      <c r="B4712">
        <v>75</v>
      </c>
      <c r="C4712" t="s">
        <v>7542</v>
      </c>
      <c r="D4712" t="s">
        <v>347</v>
      </c>
      <c r="E4712" s="13">
        <v>10</v>
      </c>
      <c r="F4712" s="12">
        <v>4.83</v>
      </c>
      <c r="G4712" t="str">
        <f>IFERROR(INDEX(tEditais[Órgão],MATCH(tItens[[#This Row],[Edital]],tEditais[Edital],0)),"")</f>
        <v>MUNICIPIO DE FREI MIGUELINHO</v>
      </c>
      <c r="H4712" t="str">
        <f>IFERROR(INDEX(tEditais[UF],MATCH(tItens[[#This Row],[Edital]],tEditais[Edital],0)),"")</f>
        <v>PE</v>
      </c>
      <c r="I4712" s="11">
        <f>IFERROR(INDEX(tEditais[Encerramento],MATCH(tItens[[#This Row],[Edital]],tEditais[Edital],0)),"")</f>
        <v>46308.375</v>
      </c>
      <c r="J4712" t="str">
        <f>IFERROR(INDEX(tProdutos[Classe],MATCH(tItens[[#This Row],[Produto]],tProdutos[Produto],0)),"produto não cadastrado")</f>
        <v>FORA</v>
      </c>
      <c r="K4712" s="12">
        <f>tItens[[#This Row],[Qtd]]*tItens[[#This Row],[Vlr unit]]</f>
        <v>48.3</v>
      </c>
      <c r="L4712" s="6">
        <f>IFERROR(IF(INDEX(tProdutos[Desconto homologado],MATCH(tItens[[#This Row],[Produto]],tProdutos[Produto],0))="",DescontoPadrao,INDEX(tProdutos[Desconto homologado],MATCH(tItens[[#This Row],[Produto]],tProdutos[Produto],0))),DescontoPadrao)</f>
        <v>0.26356465005931201</v>
      </c>
      <c r="M4712" s="12">
        <f>tItens[[#This Row],[Valor]]*(1-tItens[[#This Row],[Desconto]])</f>
        <v>35.569827402135225</v>
      </c>
      <c r="N4712" t="str">
        <f>IFERROR(INDEX(tProdutos[Foco],MATCH(tItens[[#This Row],[Produto]],tProdutos[Produto],0)),"Não")</f>
        <v>Não</v>
      </c>
      <c r="O4712" t="str">
        <f>IFERROR(INDEX(tEditais[SRP],MATCH(tItens[[#This Row],[Edital]],tEditais[Edital],0)),"Não")</f>
        <v>Não</v>
      </c>
      <c r="P4712" s="4">
        <f>IF(COUNTIFS(INDEX(tItens[Edital],1):tItens[[#This Row],[Edital]],tItens[[#This Row],[Edital]],INDEX(tItens[Produto],1):tItens[[#This Row],[Produto]],tItens[[#This Row],[Produto]])=1,1,0)</f>
        <v>0</v>
      </c>
    </row>
    <row r="4713" spans="1:16" x14ac:dyDescent="0.25">
      <c r="A4713" t="s">
        <v>1870</v>
      </c>
      <c r="B4713">
        <v>76</v>
      </c>
      <c r="C4713" t="s">
        <v>7543</v>
      </c>
      <c r="D4713" t="s">
        <v>347</v>
      </c>
      <c r="E4713" s="13">
        <v>10</v>
      </c>
      <c r="F4713" s="12">
        <v>5.43</v>
      </c>
      <c r="G4713" t="str">
        <f>IFERROR(INDEX(tEditais[Órgão],MATCH(tItens[[#This Row],[Edital]],tEditais[Edital],0)),"")</f>
        <v>MUNICIPIO DE FREI MIGUELINHO</v>
      </c>
      <c r="H4713" t="str">
        <f>IFERROR(INDEX(tEditais[UF],MATCH(tItens[[#This Row],[Edital]],tEditais[Edital],0)),"")</f>
        <v>PE</v>
      </c>
      <c r="I4713" s="11">
        <f>IFERROR(INDEX(tEditais[Encerramento],MATCH(tItens[[#This Row],[Edital]],tEditais[Edital],0)),"")</f>
        <v>46308.375</v>
      </c>
      <c r="J4713" t="str">
        <f>IFERROR(INDEX(tProdutos[Classe],MATCH(tItens[[#This Row],[Produto]],tProdutos[Produto],0)),"produto não cadastrado")</f>
        <v>FORA</v>
      </c>
      <c r="K4713" s="12">
        <f>tItens[[#This Row],[Qtd]]*tItens[[#This Row],[Vlr unit]]</f>
        <v>54.3</v>
      </c>
      <c r="L4713" s="6">
        <f>IFERROR(IF(INDEX(tProdutos[Desconto homologado],MATCH(tItens[[#This Row],[Produto]],tProdutos[Produto],0))="",DescontoPadrao,INDEX(tProdutos[Desconto homologado],MATCH(tItens[[#This Row],[Produto]],tProdutos[Produto],0))),DescontoPadrao)</f>
        <v>0.26356465005931201</v>
      </c>
      <c r="M4713" s="12">
        <f>tItens[[#This Row],[Valor]]*(1-tItens[[#This Row],[Desconto]])</f>
        <v>39.988439501779354</v>
      </c>
      <c r="N4713" t="str">
        <f>IFERROR(INDEX(tProdutos[Foco],MATCH(tItens[[#This Row],[Produto]],tProdutos[Produto],0)),"Não")</f>
        <v>Não</v>
      </c>
      <c r="O4713" t="str">
        <f>IFERROR(INDEX(tEditais[SRP],MATCH(tItens[[#This Row],[Edital]],tEditais[Edital],0)),"Não")</f>
        <v>Não</v>
      </c>
      <c r="P4713" s="4">
        <f>IF(COUNTIFS(INDEX(tItens[Edital],1):tItens[[#This Row],[Edital]],tItens[[#This Row],[Edital]],INDEX(tItens[Produto],1):tItens[[#This Row],[Produto]],tItens[[#This Row],[Produto]])=1,1,0)</f>
        <v>0</v>
      </c>
    </row>
    <row r="4714" spans="1:16" x14ac:dyDescent="0.25">
      <c r="A4714" t="s">
        <v>1870</v>
      </c>
      <c r="B4714">
        <v>77</v>
      </c>
      <c r="C4714" t="s">
        <v>7544</v>
      </c>
      <c r="D4714" t="s">
        <v>347</v>
      </c>
      <c r="E4714" s="13">
        <v>10</v>
      </c>
      <c r="F4714" s="12">
        <v>5.39</v>
      </c>
      <c r="G4714" t="str">
        <f>IFERROR(INDEX(tEditais[Órgão],MATCH(tItens[[#This Row],[Edital]],tEditais[Edital],0)),"")</f>
        <v>MUNICIPIO DE FREI MIGUELINHO</v>
      </c>
      <c r="H4714" t="str">
        <f>IFERROR(INDEX(tEditais[UF],MATCH(tItens[[#This Row],[Edital]],tEditais[Edital],0)),"")</f>
        <v>PE</v>
      </c>
      <c r="I4714" s="11">
        <f>IFERROR(INDEX(tEditais[Encerramento],MATCH(tItens[[#This Row],[Edital]],tEditais[Edital],0)),"")</f>
        <v>46308.375</v>
      </c>
      <c r="J4714" t="str">
        <f>IFERROR(INDEX(tProdutos[Classe],MATCH(tItens[[#This Row],[Produto]],tProdutos[Produto],0)),"produto não cadastrado")</f>
        <v>FORA</v>
      </c>
      <c r="K4714" s="12">
        <f>tItens[[#This Row],[Qtd]]*tItens[[#This Row],[Vlr unit]]</f>
        <v>53.9</v>
      </c>
      <c r="L4714" s="6">
        <f>IFERROR(IF(INDEX(tProdutos[Desconto homologado],MATCH(tItens[[#This Row],[Produto]],tProdutos[Produto],0))="",DescontoPadrao,INDEX(tProdutos[Desconto homologado],MATCH(tItens[[#This Row],[Produto]],tProdutos[Produto],0))),DescontoPadrao)</f>
        <v>0.26356465005931201</v>
      </c>
      <c r="M4714" s="12">
        <f>tItens[[#This Row],[Valor]]*(1-tItens[[#This Row],[Desconto]])</f>
        <v>39.693865361803077</v>
      </c>
      <c r="N4714" t="str">
        <f>IFERROR(INDEX(tProdutos[Foco],MATCH(tItens[[#This Row],[Produto]],tProdutos[Produto],0)),"Não")</f>
        <v>Não</v>
      </c>
      <c r="O4714" t="str">
        <f>IFERROR(INDEX(tEditais[SRP],MATCH(tItens[[#This Row],[Edital]],tEditais[Edital],0)),"Não")</f>
        <v>Não</v>
      </c>
      <c r="P4714" s="4">
        <f>IF(COUNTIFS(INDEX(tItens[Edital],1):tItens[[#This Row],[Edital]],tItens[[#This Row],[Edital]],INDEX(tItens[Produto],1):tItens[[#This Row],[Produto]],tItens[[#This Row],[Produto]])=1,1,0)</f>
        <v>0</v>
      </c>
    </row>
    <row r="4715" spans="1:16" x14ac:dyDescent="0.25">
      <c r="A4715" t="s">
        <v>1870</v>
      </c>
      <c r="B4715">
        <v>78</v>
      </c>
      <c r="C4715" t="s">
        <v>7545</v>
      </c>
      <c r="D4715" t="s">
        <v>347</v>
      </c>
      <c r="E4715" s="13">
        <v>10</v>
      </c>
      <c r="F4715" s="12">
        <v>5.52</v>
      </c>
      <c r="G4715" t="str">
        <f>IFERROR(INDEX(tEditais[Órgão],MATCH(tItens[[#This Row],[Edital]],tEditais[Edital],0)),"")</f>
        <v>MUNICIPIO DE FREI MIGUELINHO</v>
      </c>
      <c r="H4715" t="str">
        <f>IFERROR(INDEX(tEditais[UF],MATCH(tItens[[#This Row],[Edital]],tEditais[Edital],0)),"")</f>
        <v>PE</v>
      </c>
      <c r="I4715" s="11">
        <f>IFERROR(INDEX(tEditais[Encerramento],MATCH(tItens[[#This Row],[Edital]],tEditais[Edital],0)),"")</f>
        <v>46308.375</v>
      </c>
      <c r="J4715" t="str">
        <f>IFERROR(INDEX(tProdutos[Classe],MATCH(tItens[[#This Row],[Produto]],tProdutos[Produto],0)),"produto não cadastrado")</f>
        <v>FORA</v>
      </c>
      <c r="K4715" s="12">
        <f>tItens[[#This Row],[Qtd]]*tItens[[#This Row],[Vlr unit]]</f>
        <v>55.199999999999996</v>
      </c>
      <c r="L4715" s="6">
        <f>IFERROR(IF(INDEX(tProdutos[Desconto homologado],MATCH(tItens[[#This Row],[Produto]],tProdutos[Produto],0))="",DescontoPadrao,INDEX(tProdutos[Desconto homologado],MATCH(tItens[[#This Row],[Produto]],tProdutos[Produto],0))),DescontoPadrao)</f>
        <v>0.26356465005931201</v>
      </c>
      <c r="M4715" s="12">
        <f>tItens[[#This Row],[Valor]]*(1-tItens[[#This Row],[Desconto]])</f>
        <v>40.651231316725969</v>
      </c>
      <c r="N4715" t="str">
        <f>IFERROR(INDEX(tProdutos[Foco],MATCH(tItens[[#This Row],[Produto]],tProdutos[Produto],0)),"Não")</f>
        <v>Não</v>
      </c>
      <c r="O4715" t="str">
        <f>IFERROR(INDEX(tEditais[SRP],MATCH(tItens[[#This Row],[Edital]],tEditais[Edital],0)),"Não")</f>
        <v>Não</v>
      </c>
      <c r="P4715" s="4">
        <f>IF(COUNTIFS(INDEX(tItens[Edital],1):tItens[[#This Row],[Edital]],tItens[[#This Row],[Edital]],INDEX(tItens[Produto],1):tItens[[#This Row],[Produto]],tItens[[#This Row],[Produto]])=1,1,0)</f>
        <v>0</v>
      </c>
    </row>
    <row r="4716" spans="1:16" x14ac:dyDescent="0.25">
      <c r="A4716" t="s">
        <v>1870</v>
      </c>
      <c r="B4716">
        <v>79</v>
      </c>
      <c r="C4716" t="s">
        <v>7546</v>
      </c>
      <c r="D4716" t="s">
        <v>347</v>
      </c>
      <c r="E4716" s="13">
        <v>10</v>
      </c>
      <c r="F4716" s="12">
        <v>6.04</v>
      </c>
      <c r="G4716" t="str">
        <f>IFERROR(INDEX(tEditais[Órgão],MATCH(tItens[[#This Row],[Edital]],tEditais[Edital],0)),"")</f>
        <v>MUNICIPIO DE FREI MIGUELINHO</v>
      </c>
      <c r="H4716" t="str">
        <f>IFERROR(INDEX(tEditais[UF],MATCH(tItens[[#This Row],[Edital]],tEditais[Edital],0)),"")</f>
        <v>PE</v>
      </c>
      <c r="I4716" s="11">
        <f>IFERROR(INDEX(tEditais[Encerramento],MATCH(tItens[[#This Row],[Edital]],tEditais[Edital],0)),"")</f>
        <v>46308.375</v>
      </c>
      <c r="J4716" t="str">
        <f>IFERROR(INDEX(tProdutos[Classe],MATCH(tItens[[#This Row],[Produto]],tProdutos[Produto],0)),"produto não cadastrado")</f>
        <v>FORA</v>
      </c>
      <c r="K4716" s="12">
        <f>tItens[[#This Row],[Qtd]]*tItens[[#This Row],[Vlr unit]]</f>
        <v>60.4</v>
      </c>
      <c r="L4716" s="6">
        <f>IFERROR(IF(INDEX(tProdutos[Desconto homologado],MATCH(tItens[[#This Row],[Produto]],tProdutos[Produto],0))="",DescontoPadrao,INDEX(tProdutos[Desconto homologado],MATCH(tItens[[#This Row],[Produto]],tProdutos[Produto],0))),DescontoPadrao)</f>
        <v>0.26356465005931201</v>
      </c>
      <c r="M4716" s="12">
        <f>tItens[[#This Row],[Valor]]*(1-tItens[[#This Row],[Desconto]])</f>
        <v>44.480695136417552</v>
      </c>
      <c r="N4716" t="str">
        <f>IFERROR(INDEX(tProdutos[Foco],MATCH(tItens[[#This Row],[Produto]],tProdutos[Produto],0)),"Não")</f>
        <v>Não</v>
      </c>
      <c r="O4716" t="str">
        <f>IFERROR(INDEX(tEditais[SRP],MATCH(tItens[[#This Row],[Edital]],tEditais[Edital],0)),"Não")</f>
        <v>Não</v>
      </c>
      <c r="P4716" s="4">
        <f>IF(COUNTIFS(INDEX(tItens[Edital],1):tItens[[#This Row],[Edital]],tItens[[#This Row],[Edital]],INDEX(tItens[Produto],1):tItens[[#This Row],[Produto]],tItens[[#This Row],[Produto]])=1,1,0)</f>
        <v>0</v>
      </c>
    </row>
    <row r="4717" spans="1:16" x14ac:dyDescent="0.25">
      <c r="A4717" t="s">
        <v>1870</v>
      </c>
      <c r="B4717">
        <v>80</v>
      </c>
      <c r="C4717" t="s">
        <v>7547</v>
      </c>
      <c r="D4717" t="s">
        <v>347</v>
      </c>
      <c r="E4717" s="13">
        <v>10</v>
      </c>
      <c r="F4717" s="12">
        <v>6.42</v>
      </c>
      <c r="G4717" t="str">
        <f>IFERROR(INDEX(tEditais[Órgão],MATCH(tItens[[#This Row],[Edital]],tEditais[Edital],0)),"")</f>
        <v>MUNICIPIO DE FREI MIGUELINHO</v>
      </c>
      <c r="H4717" t="str">
        <f>IFERROR(INDEX(tEditais[UF],MATCH(tItens[[#This Row],[Edital]],tEditais[Edital],0)),"")</f>
        <v>PE</v>
      </c>
      <c r="I4717" s="11">
        <f>IFERROR(INDEX(tEditais[Encerramento],MATCH(tItens[[#This Row],[Edital]],tEditais[Edital],0)),"")</f>
        <v>46308.375</v>
      </c>
      <c r="J4717" t="str">
        <f>IFERROR(INDEX(tProdutos[Classe],MATCH(tItens[[#This Row],[Produto]],tProdutos[Produto],0)),"produto não cadastrado")</f>
        <v>FORA</v>
      </c>
      <c r="K4717" s="12">
        <f>tItens[[#This Row],[Qtd]]*tItens[[#This Row],[Vlr unit]]</f>
        <v>64.2</v>
      </c>
      <c r="L4717" s="6">
        <f>IFERROR(IF(INDEX(tProdutos[Desconto homologado],MATCH(tItens[[#This Row],[Produto]],tProdutos[Produto],0))="",DescontoPadrao,INDEX(tProdutos[Desconto homologado],MATCH(tItens[[#This Row],[Produto]],tProdutos[Produto],0))),DescontoPadrao)</f>
        <v>0.26356465005931201</v>
      </c>
      <c r="M4717" s="12">
        <f>tItens[[#This Row],[Valor]]*(1-tItens[[#This Row],[Desconto]])</f>
        <v>47.279149466192166</v>
      </c>
      <c r="N4717" t="str">
        <f>IFERROR(INDEX(tProdutos[Foco],MATCH(tItens[[#This Row],[Produto]],tProdutos[Produto],0)),"Não")</f>
        <v>Não</v>
      </c>
      <c r="O4717" t="str">
        <f>IFERROR(INDEX(tEditais[SRP],MATCH(tItens[[#This Row],[Edital]],tEditais[Edital],0)),"Não")</f>
        <v>Não</v>
      </c>
      <c r="P4717" s="4">
        <f>IF(COUNTIFS(INDEX(tItens[Edital],1):tItens[[#This Row],[Edital]],tItens[[#This Row],[Edital]],INDEX(tItens[Produto],1):tItens[[#This Row],[Produto]],tItens[[#This Row],[Produto]])=1,1,0)</f>
        <v>0</v>
      </c>
    </row>
    <row r="4718" spans="1:16" x14ac:dyDescent="0.25">
      <c r="A4718" t="s">
        <v>1870</v>
      </c>
      <c r="B4718">
        <v>81</v>
      </c>
      <c r="C4718" t="s">
        <v>7548</v>
      </c>
      <c r="D4718" t="s">
        <v>347</v>
      </c>
      <c r="E4718" s="13">
        <v>10</v>
      </c>
      <c r="F4718" s="12">
        <v>7.84</v>
      </c>
      <c r="G4718" t="str">
        <f>IFERROR(INDEX(tEditais[Órgão],MATCH(tItens[[#This Row],[Edital]],tEditais[Edital],0)),"")</f>
        <v>MUNICIPIO DE FREI MIGUELINHO</v>
      </c>
      <c r="H4718" t="str">
        <f>IFERROR(INDEX(tEditais[UF],MATCH(tItens[[#This Row],[Edital]],tEditais[Edital],0)),"")</f>
        <v>PE</v>
      </c>
      <c r="I4718" s="11">
        <f>IFERROR(INDEX(tEditais[Encerramento],MATCH(tItens[[#This Row],[Edital]],tEditais[Edital],0)),"")</f>
        <v>46308.375</v>
      </c>
      <c r="J4718" t="str">
        <f>IFERROR(INDEX(tProdutos[Classe],MATCH(tItens[[#This Row],[Produto]],tProdutos[Produto],0)),"produto não cadastrado")</f>
        <v>FORA</v>
      </c>
      <c r="K4718" s="12">
        <f>tItens[[#This Row],[Qtd]]*tItens[[#This Row],[Vlr unit]]</f>
        <v>78.400000000000006</v>
      </c>
      <c r="L4718" s="6">
        <f>IFERROR(IF(INDEX(tProdutos[Desconto homologado],MATCH(tItens[[#This Row],[Produto]],tProdutos[Produto],0))="",DescontoPadrao,INDEX(tProdutos[Desconto homologado],MATCH(tItens[[#This Row],[Produto]],tProdutos[Produto],0))),DescontoPadrao)</f>
        <v>0.26356465005931201</v>
      </c>
      <c r="M4718" s="12">
        <f>tItens[[#This Row],[Valor]]*(1-tItens[[#This Row],[Desconto]])</f>
        <v>57.736531435349939</v>
      </c>
      <c r="N4718" t="str">
        <f>IFERROR(INDEX(tProdutos[Foco],MATCH(tItens[[#This Row],[Produto]],tProdutos[Produto],0)),"Não")</f>
        <v>Não</v>
      </c>
      <c r="O4718" t="str">
        <f>IFERROR(INDEX(tEditais[SRP],MATCH(tItens[[#This Row],[Edital]],tEditais[Edital],0)),"Não")</f>
        <v>Não</v>
      </c>
      <c r="P4718" s="4">
        <f>IF(COUNTIFS(INDEX(tItens[Edital],1):tItens[[#This Row],[Edital]],tItens[[#This Row],[Edital]],INDEX(tItens[Produto],1):tItens[[#This Row],[Produto]],tItens[[#This Row],[Produto]])=1,1,0)</f>
        <v>0</v>
      </c>
    </row>
    <row r="4719" spans="1:16" x14ac:dyDescent="0.25">
      <c r="A4719" t="s">
        <v>1870</v>
      </c>
      <c r="B4719">
        <v>82</v>
      </c>
      <c r="C4719" t="s">
        <v>7549</v>
      </c>
      <c r="D4719" t="s">
        <v>347</v>
      </c>
      <c r="E4719" s="13">
        <v>10</v>
      </c>
      <c r="F4719" s="12">
        <v>8.48</v>
      </c>
      <c r="G4719" t="str">
        <f>IFERROR(INDEX(tEditais[Órgão],MATCH(tItens[[#This Row],[Edital]],tEditais[Edital],0)),"")</f>
        <v>MUNICIPIO DE FREI MIGUELINHO</v>
      </c>
      <c r="H4719" t="str">
        <f>IFERROR(INDEX(tEditais[UF],MATCH(tItens[[#This Row],[Edital]],tEditais[Edital],0)),"")</f>
        <v>PE</v>
      </c>
      <c r="I4719" s="11">
        <f>IFERROR(INDEX(tEditais[Encerramento],MATCH(tItens[[#This Row],[Edital]],tEditais[Edital],0)),"")</f>
        <v>46308.375</v>
      </c>
      <c r="J4719" t="str">
        <f>IFERROR(INDEX(tProdutos[Classe],MATCH(tItens[[#This Row],[Produto]],tProdutos[Produto],0)),"produto não cadastrado")</f>
        <v>FORA</v>
      </c>
      <c r="K4719" s="12">
        <f>tItens[[#This Row],[Qtd]]*tItens[[#This Row],[Vlr unit]]</f>
        <v>84.800000000000011</v>
      </c>
      <c r="L4719" s="6">
        <f>IFERROR(IF(INDEX(tProdutos[Desconto homologado],MATCH(tItens[[#This Row],[Produto]],tProdutos[Produto],0))="",DescontoPadrao,INDEX(tProdutos[Desconto homologado],MATCH(tItens[[#This Row],[Produto]],tProdutos[Produto],0))),DescontoPadrao)</f>
        <v>0.26356465005931201</v>
      </c>
      <c r="M4719" s="12">
        <f>tItens[[#This Row],[Valor]]*(1-tItens[[#This Row],[Desconto]])</f>
        <v>62.449717674970344</v>
      </c>
      <c r="N4719" t="str">
        <f>IFERROR(INDEX(tProdutos[Foco],MATCH(tItens[[#This Row],[Produto]],tProdutos[Produto],0)),"Não")</f>
        <v>Não</v>
      </c>
      <c r="O4719" t="str">
        <f>IFERROR(INDEX(tEditais[SRP],MATCH(tItens[[#This Row],[Edital]],tEditais[Edital],0)),"Não")</f>
        <v>Não</v>
      </c>
      <c r="P4719" s="4">
        <f>IF(COUNTIFS(INDEX(tItens[Edital],1):tItens[[#This Row],[Edital]],tItens[[#This Row],[Edital]],INDEX(tItens[Produto],1):tItens[[#This Row],[Produto]],tItens[[#This Row],[Produto]])=1,1,0)</f>
        <v>0</v>
      </c>
    </row>
    <row r="4720" spans="1:16" x14ac:dyDescent="0.25">
      <c r="A4720" t="s">
        <v>1870</v>
      </c>
      <c r="B4720">
        <v>83</v>
      </c>
      <c r="C4720" t="s">
        <v>7550</v>
      </c>
      <c r="D4720" t="s">
        <v>347</v>
      </c>
      <c r="E4720" s="13">
        <v>10</v>
      </c>
      <c r="F4720" s="12">
        <v>7.25</v>
      </c>
      <c r="G4720" t="str">
        <f>IFERROR(INDEX(tEditais[Órgão],MATCH(tItens[[#This Row],[Edital]],tEditais[Edital],0)),"")</f>
        <v>MUNICIPIO DE FREI MIGUELINHO</v>
      </c>
      <c r="H4720" t="str">
        <f>IFERROR(INDEX(tEditais[UF],MATCH(tItens[[#This Row],[Edital]],tEditais[Edital],0)),"")</f>
        <v>PE</v>
      </c>
      <c r="I4720" s="11">
        <f>IFERROR(INDEX(tEditais[Encerramento],MATCH(tItens[[#This Row],[Edital]],tEditais[Edital],0)),"")</f>
        <v>46308.375</v>
      </c>
      <c r="J4720" t="str">
        <f>IFERROR(INDEX(tProdutos[Classe],MATCH(tItens[[#This Row],[Produto]],tProdutos[Produto],0)),"produto não cadastrado")</f>
        <v>FORA</v>
      </c>
      <c r="K4720" s="12">
        <f>tItens[[#This Row],[Qtd]]*tItens[[#This Row],[Vlr unit]]</f>
        <v>72.5</v>
      </c>
      <c r="L4720" s="6">
        <f>IFERROR(IF(INDEX(tProdutos[Desconto homologado],MATCH(tItens[[#This Row],[Produto]],tProdutos[Produto],0))="",DescontoPadrao,INDEX(tProdutos[Desconto homologado],MATCH(tItens[[#This Row],[Produto]],tProdutos[Produto],0))),DescontoPadrao)</f>
        <v>0.26356465005931201</v>
      </c>
      <c r="M4720" s="12">
        <f>tItens[[#This Row],[Valor]]*(1-tItens[[#This Row],[Desconto]])</f>
        <v>53.391562870699872</v>
      </c>
      <c r="N4720" t="str">
        <f>IFERROR(INDEX(tProdutos[Foco],MATCH(tItens[[#This Row],[Produto]],tProdutos[Produto],0)),"Não")</f>
        <v>Não</v>
      </c>
      <c r="O4720" t="str">
        <f>IFERROR(INDEX(tEditais[SRP],MATCH(tItens[[#This Row],[Edital]],tEditais[Edital],0)),"Não")</f>
        <v>Não</v>
      </c>
      <c r="P4720" s="4">
        <f>IF(COUNTIFS(INDEX(tItens[Edital],1):tItens[[#This Row],[Edital]],tItens[[#This Row],[Edital]],INDEX(tItens[Produto],1):tItens[[#This Row],[Produto]],tItens[[#This Row],[Produto]])=1,1,0)</f>
        <v>0</v>
      </c>
    </row>
    <row r="4721" spans="1:16" x14ac:dyDescent="0.25">
      <c r="A4721" t="s">
        <v>1870</v>
      </c>
      <c r="B4721">
        <v>84</v>
      </c>
      <c r="C4721" t="s">
        <v>7551</v>
      </c>
      <c r="D4721" t="s">
        <v>347</v>
      </c>
      <c r="E4721" s="13">
        <v>10</v>
      </c>
      <c r="F4721" s="12">
        <v>6.18</v>
      </c>
      <c r="G4721" t="str">
        <f>IFERROR(INDEX(tEditais[Órgão],MATCH(tItens[[#This Row],[Edital]],tEditais[Edital],0)),"")</f>
        <v>MUNICIPIO DE FREI MIGUELINHO</v>
      </c>
      <c r="H4721" t="str">
        <f>IFERROR(INDEX(tEditais[UF],MATCH(tItens[[#This Row],[Edital]],tEditais[Edital],0)),"")</f>
        <v>PE</v>
      </c>
      <c r="I4721" s="11">
        <f>IFERROR(INDEX(tEditais[Encerramento],MATCH(tItens[[#This Row],[Edital]],tEditais[Edital],0)),"")</f>
        <v>46308.375</v>
      </c>
      <c r="J4721" t="str">
        <f>IFERROR(INDEX(tProdutos[Classe],MATCH(tItens[[#This Row],[Produto]],tProdutos[Produto],0)),"produto não cadastrado")</f>
        <v>FORA</v>
      </c>
      <c r="K4721" s="12">
        <f>tItens[[#This Row],[Qtd]]*tItens[[#This Row],[Vlr unit]]</f>
        <v>61.8</v>
      </c>
      <c r="L4721" s="6">
        <f>IFERROR(IF(INDEX(tProdutos[Desconto homologado],MATCH(tItens[[#This Row],[Produto]],tProdutos[Produto],0))="",DescontoPadrao,INDEX(tProdutos[Desconto homologado],MATCH(tItens[[#This Row],[Produto]],tProdutos[Produto],0))),DescontoPadrao)</f>
        <v>0.26356465005931201</v>
      </c>
      <c r="M4721" s="12">
        <f>tItens[[#This Row],[Valor]]*(1-tItens[[#This Row],[Desconto]])</f>
        <v>45.511704626334513</v>
      </c>
      <c r="N4721" t="str">
        <f>IFERROR(INDEX(tProdutos[Foco],MATCH(tItens[[#This Row],[Produto]],tProdutos[Produto],0)),"Não")</f>
        <v>Não</v>
      </c>
      <c r="O4721" t="str">
        <f>IFERROR(INDEX(tEditais[SRP],MATCH(tItens[[#This Row],[Edital]],tEditais[Edital],0)),"Não")</f>
        <v>Não</v>
      </c>
      <c r="P4721" s="4">
        <f>IF(COUNTIFS(INDEX(tItens[Edital],1):tItens[[#This Row],[Edital]],tItens[[#This Row],[Edital]],INDEX(tItens[Produto],1):tItens[[#This Row],[Produto]],tItens[[#This Row],[Produto]])=1,1,0)</f>
        <v>0</v>
      </c>
    </row>
    <row r="4722" spans="1:16" x14ac:dyDescent="0.25">
      <c r="A4722" t="s">
        <v>1870</v>
      </c>
      <c r="B4722">
        <v>93</v>
      </c>
      <c r="C4722" t="s">
        <v>7552</v>
      </c>
      <c r="D4722" t="s">
        <v>102</v>
      </c>
      <c r="E4722" s="13">
        <v>1300</v>
      </c>
      <c r="F4722" s="12">
        <v>4.72</v>
      </c>
      <c r="G4722" t="str">
        <f>IFERROR(INDEX(tEditais[Órgão],MATCH(tItens[[#This Row],[Edital]],tEditais[Edital],0)),"")</f>
        <v>MUNICIPIO DE FREI MIGUELINHO</v>
      </c>
      <c r="H4722" t="str">
        <f>IFERROR(INDEX(tEditais[UF],MATCH(tItens[[#This Row],[Edital]],tEditais[Edital],0)),"")</f>
        <v>PE</v>
      </c>
      <c r="I4722" s="11">
        <f>IFERROR(INDEX(tEditais[Encerramento],MATCH(tItens[[#This Row],[Edital]],tEditais[Edital],0)),"")</f>
        <v>46308.375</v>
      </c>
      <c r="J4722" t="str">
        <f>IFERROR(INDEX(tProdutos[Classe],MATCH(tItens[[#This Row],[Produto]],tProdutos[Produto],0)),"produto não cadastrado")</f>
        <v>DISPUTADO</v>
      </c>
      <c r="K4722" s="12">
        <f>tItens[[#This Row],[Qtd]]*tItens[[#This Row],[Vlr unit]]</f>
        <v>6136</v>
      </c>
      <c r="L4722" s="6">
        <f>IFERROR(IF(INDEX(tProdutos[Desconto homologado],MATCH(tItens[[#This Row],[Produto]],tProdutos[Produto],0))="",DescontoPadrao,INDEX(tProdutos[Desconto homologado],MATCH(tItens[[#This Row],[Produto]],tProdutos[Produto],0))),DescontoPadrao)</f>
        <v>0.38053097345132803</v>
      </c>
      <c r="M4722" s="12">
        <f>tItens[[#This Row],[Valor]]*(1-tItens[[#This Row],[Desconto]])</f>
        <v>3801.061946902651</v>
      </c>
      <c r="N4722" t="str">
        <f>IFERROR(INDEX(tProdutos[Foco],MATCH(tItens[[#This Row],[Produto]],tProdutos[Produto],0)),"Não")</f>
        <v>Não</v>
      </c>
      <c r="O4722" t="str">
        <f>IFERROR(INDEX(tEditais[SRP],MATCH(tItens[[#This Row],[Edital]],tEditais[Edital],0)),"Não")</f>
        <v>Não</v>
      </c>
      <c r="P4722" s="4">
        <f>IF(COUNTIFS(INDEX(tItens[Edital],1):tItens[[#This Row],[Edital]],tItens[[#This Row],[Edital]],INDEX(tItens[Produto],1):tItens[[#This Row],[Produto]],tItens[[#This Row],[Produto]])=1,1,0)</f>
        <v>1</v>
      </c>
    </row>
    <row r="4723" spans="1:16" x14ac:dyDescent="0.25">
      <c r="A4723" t="s">
        <v>1870</v>
      </c>
      <c r="B4723">
        <v>97</v>
      </c>
      <c r="C4723" t="s">
        <v>7553</v>
      </c>
      <c r="D4723" t="s">
        <v>333</v>
      </c>
      <c r="E4723" s="13">
        <v>15000</v>
      </c>
      <c r="F4723" s="12">
        <v>1.19</v>
      </c>
      <c r="G4723" t="str">
        <f>IFERROR(INDEX(tEditais[Órgão],MATCH(tItens[[#This Row],[Edital]],tEditais[Edital],0)),"")</f>
        <v>MUNICIPIO DE FREI MIGUELINHO</v>
      </c>
      <c r="H4723" t="str">
        <f>IFERROR(INDEX(tEditais[UF],MATCH(tItens[[#This Row],[Edital]],tEditais[Edital],0)),"")</f>
        <v>PE</v>
      </c>
      <c r="I4723" s="11">
        <f>IFERROR(INDEX(tEditais[Encerramento],MATCH(tItens[[#This Row],[Edital]],tEditais[Edital],0)),"")</f>
        <v>46308.375</v>
      </c>
      <c r="J4723" t="str">
        <f>IFERROR(INDEX(tProdutos[Classe],MATCH(tItens[[#This Row],[Produto]],tProdutos[Produto],0)),"produto não cadastrado")</f>
        <v>FORA</v>
      </c>
      <c r="K4723" s="12">
        <f>tItens[[#This Row],[Qtd]]*tItens[[#This Row],[Vlr unit]]</f>
        <v>17850</v>
      </c>
      <c r="L4723" s="6">
        <f>IFERROR(IF(INDEX(tProdutos[Desconto homologado],MATCH(tItens[[#This Row],[Produto]],tProdutos[Produto],0))="",DescontoPadrao,INDEX(tProdutos[Desconto homologado],MATCH(tItens[[#This Row],[Produto]],tProdutos[Produto],0))),DescontoPadrao)</f>
        <v>0.48951048951048998</v>
      </c>
      <c r="M4723" s="12">
        <f>tItens[[#This Row],[Valor]]*(1-tItens[[#This Row],[Desconto]])</f>
        <v>9112.2377622377535</v>
      </c>
      <c r="N4723" t="str">
        <f>IFERROR(INDEX(tProdutos[Foco],MATCH(tItens[[#This Row],[Produto]],tProdutos[Produto],0)),"Não")</f>
        <v>Não</v>
      </c>
      <c r="O4723" t="str">
        <f>IFERROR(INDEX(tEditais[SRP],MATCH(tItens[[#This Row],[Edital]],tEditais[Edital],0)),"Não")</f>
        <v>Não</v>
      </c>
      <c r="P4723" s="4">
        <f>IF(COUNTIFS(INDEX(tItens[Edital],1):tItens[[#This Row],[Edital]],tItens[[#This Row],[Edital]],INDEX(tItens[Produto],1):tItens[[#This Row],[Produto]],tItens[[#This Row],[Produto]])=1,1,0)</f>
        <v>1</v>
      </c>
    </row>
    <row r="4724" spans="1:16" x14ac:dyDescent="0.25">
      <c r="A4724" t="s">
        <v>1870</v>
      </c>
      <c r="B4724">
        <v>103</v>
      </c>
      <c r="C4724" t="s">
        <v>7554</v>
      </c>
      <c r="D4724" t="s">
        <v>229</v>
      </c>
      <c r="E4724" s="13">
        <v>1560</v>
      </c>
      <c r="F4724" s="12">
        <v>25.16</v>
      </c>
      <c r="G4724" t="str">
        <f>IFERROR(INDEX(tEditais[Órgão],MATCH(tItens[[#This Row],[Edital]],tEditais[Edital],0)),"")</f>
        <v>MUNICIPIO DE FREI MIGUELINHO</v>
      </c>
      <c r="H4724" t="str">
        <f>IFERROR(INDEX(tEditais[UF],MATCH(tItens[[#This Row],[Edital]],tEditais[Edital],0)),"")</f>
        <v>PE</v>
      </c>
      <c r="I4724" s="11">
        <f>IFERROR(INDEX(tEditais[Encerramento],MATCH(tItens[[#This Row],[Edital]],tEditais[Edital],0)),"")</f>
        <v>46308.375</v>
      </c>
      <c r="J4724" t="str">
        <f>IFERROR(INDEX(tProdutos[Classe],MATCH(tItens[[#This Row],[Produto]],tProdutos[Produto],0)),"produto não cadastrado")</f>
        <v>FORA</v>
      </c>
      <c r="K4724" s="12">
        <f>tItens[[#This Row],[Qtd]]*tItens[[#This Row],[Vlr unit]]</f>
        <v>39249.599999999999</v>
      </c>
      <c r="L4724" s="6">
        <f>IFERROR(IF(INDEX(tProdutos[Desconto homologado],MATCH(tItens[[#This Row],[Produto]],tProdutos[Produto],0))="",DescontoPadrao,INDEX(tProdutos[Desconto homologado],MATCH(tItens[[#This Row],[Produto]],tProdutos[Produto],0))),DescontoPadrao)</f>
        <v>0.33093491191658198</v>
      </c>
      <c r="M4724" s="12">
        <f>tItens[[#This Row],[Valor]]*(1-tItens[[#This Row],[Desconto]])</f>
        <v>26260.537081238923</v>
      </c>
      <c r="N4724" t="str">
        <f>IFERROR(INDEX(tProdutos[Foco],MATCH(tItens[[#This Row],[Produto]],tProdutos[Produto],0)),"Não")</f>
        <v>Não</v>
      </c>
      <c r="O4724" t="str">
        <f>IFERROR(INDEX(tEditais[SRP],MATCH(tItens[[#This Row],[Edital]],tEditais[Edital],0)),"Não")</f>
        <v>Não</v>
      </c>
      <c r="P4724" s="4">
        <f>IF(COUNTIFS(INDEX(tItens[Edital],1):tItens[[#This Row],[Edital]],tItens[[#This Row],[Edital]],INDEX(tItens[Produto],1):tItens[[#This Row],[Produto]],tItens[[#This Row],[Produto]])=1,1,0)</f>
        <v>1</v>
      </c>
    </row>
    <row r="4725" spans="1:16" x14ac:dyDescent="0.25">
      <c r="A4725" t="s">
        <v>1870</v>
      </c>
      <c r="B4725">
        <v>105</v>
      </c>
      <c r="C4725" t="s">
        <v>7555</v>
      </c>
      <c r="D4725" t="s">
        <v>90</v>
      </c>
      <c r="E4725" s="13">
        <v>2500</v>
      </c>
      <c r="F4725" s="12">
        <v>7.58</v>
      </c>
      <c r="G4725" t="str">
        <f>IFERROR(INDEX(tEditais[Órgão],MATCH(tItens[[#This Row],[Edital]],tEditais[Edital],0)),"")</f>
        <v>MUNICIPIO DE FREI MIGUELINHO</v>
      </c>
      <c r="H4725" t="str">
        <f>IFERROR(INDEX(tEditais[UF],MATCH(tItens[[#This Row],[Edital]],tEditais[Edital],0)),"")</f>
        <v>PE</v>
      </c>
      <c r="I4725" s="11">
        <f>IFERROR(INDEX(tEditais[Encerramento],MATCH(tItens[[#This Row],[Edital]],tEditais[Edital],0)),"")</f>
        <v>46308.375</v>
      </c>
      <c r="J4725" t="str">
        <f>IFERROR(INDEX(tProdutos[Classe],MATCH(tItens[[#This Row],[Produto]],tProdutos[Produto],0)),"produto não cadastrado")</f>
        <v>DISPUTADO</v>
      </c>
      <c r="K4725" s="12">
        <f>tItens[[#This Row],[Qtd]]*tItens[[#This Row],[Vlr unit]]</f>
        <v>18950</v>
      </c>
      <c r="L4725" s="6">
        <f>IFERROR(IF(INDEX(tProdutos[Desconto homologado],MATCH(tItens[[#This Row],[Produto]],tProdutos[Produto],0))="",DescontoPadrao,INDEX(tProdutos[Desconto homologado],MATCH(tItens[[#This Row],[Produto]],tProdutos[Produto],0))),DescontoPadrao)</f>
        <v>0.25393823957010597</v>
      </c>
      <c r="M4725" s="12">
        <f>tItens[[#This Row],[Valor]]*(1-tItens[[#This Row],[Desconto]])</f>
        <v>14137.870360146491</v>
      </c>
      <c r="N4725" t="str">
        <f>IFERROR(INDEX(tProdutos[Foco],MATCH(tItens[[#This Row],[Produto]],tProdutos[Produto],0)),"Não")</f>
        <v>Não</v>
      </c>
      <c r="O4725" t="str">
        <f>IFERROR(INDEX(tEditais[SRP],MATCH(tItens[[#This Row],[Edital]],tEditais[Edital],0)),"Não")</f>
        <v>Não</v>
      </c>
      <c r="P4725" s="4">
        <f>IF(COUNTIFS(INDEX(tItens[Edital],1):tItens[[#This Row],[Edital]],tItens[[#This Row],[Edital]],INDEX(tItens[Produto],1):tItens[[#This Row],[Produto]],tItens[[#This Row],[Produto]])=1,1,0)</f>
        <v>1</v>
      </c>
    </row>
    <row r="4726" spans="1:16" x14ac:dyDescent="0.25">
      <c r="A4726" t="s">
        <v>1870</v>
      </c>
      <c r="B4726">
        <v>106</v>
      </c>
      <c r="C4726" t="s">
        <v>7556</v>
      </c>
      <c r="D4726" t="s">
        <v>90</v>
      </c>
      <c r="E4726" s="13">
        <v>1000</v>
      </c>
      <c r="F4726" s="12">
        <v>4.96</v>
      </c>
      <c r="G4726" t="str">
        <f>IFERROR(INDEX(tEditais[Órgão],MATCH(tItens[[#This Row],[Edital]],tEditais[Edital],0)),"")</f>
        <v>MUNICIPIO DE FREI MIGUELINHO</v>
      </c>
      <c r="H4726" t="str">
        <f>IFERROR(INDEX(tEditais[UF],MATCH(tItens[[#This Row],[Edital]],tEditais[Edital],0)),"")</f>
        <v>PE</v>
      </c>
      <c r="I4726" s="11">
        <f>IFERROR(INDEX(tEditais[Encerramento],MATCH(tItens[[#This Row],[Edital]],tEditais[Edital],0)),"")</f>
        <v>46308.375</v>
      </c>
      <c r="J4726" t="str">
        <f>IFERROR(INDEX(tProdutos[Classe],MATCH(tItens[[#This Row],[Produto]],tProdutos[Produto],0)),"produto não cadastrado")</f>
        <v>DISPUTADO</v>
      </c>
      <c r="K4726" s="12">
        <f>tItens[[#This Row],[Qtd]]*tItens[[#This Row],[Vlr unit]]</f>
        <v>4960</v>
      </c>
      <c r="L4726" s="6">
        <f>IFERROR(IF(INDEX(tProdutos[Desconto homologado],MATCH(tItens[[#This Row],[Produto]],tProdutos[Produto],0))="",DescontoPadrao,INDEX(tProdutos[Desconto homologado],MATCH(tItens[[#This Row],[Produto]],tProdutos[Produto],0))),DescontoPadrao)</f>
        <v>0.25393823957010597</v>
      </c>
      <c r="M4726" s="12">
        <f>tItens[[#This Row],[Valor]]*(1-tItens[[#This Row],[Desconto]])</f>
        <v>3700.4663317322743</v>
      </c>
      <c r="N4726" t="str">
        <f>IFERROR(INDEX(tProdutos[Foco],MATCH(tItens[[#This Row],[Produto]],tProdutos[Produto],0)),"Não")</f>
        <v>Não</v>
      </c>
      <c r="O4726" t="str">
        <f>IFERROR(INDEX(tEditais[SRP],MATCH(tItens[[#This Row],[Edital]],tEditais[Edital],0)),"Não")</f>
        <v>Não</v>
      </c>
      <c r="P4726" s="4">
        <f>IF(COUNTIFS(INDEX(tItens[Edital],1):tItens[[#This Row],[Edital]],tItens[[#This Row],[Edital]],INDEX(tItens[Produto],1):tItens[[#This Row],[Produto]],tItens[[#This Row],[Produto]])=1,1,0)</f>
        <v>0</v>
      </c>
    </row>
    <row r="4727" spans="1:16" x14ac:dyDescent="0.25">
      <c r="A4727" t="s">
        <v>1870</v>
      </c>
      <c r="B4727">
        <v>107</v>
      </c>
      <c r="C4727" t="s">
        <v>7557</v>
      </c>
      <c r="D4727" t="s">
        <v>77</v>
      </c>
      <c r="E4727" s="13">
        <v>2500</v>
      </c>
      <c r="F4727" s="12">
        <v>8.33</v>
      </c>
      <c r="G4727" t="str">
        <f>IFERROR(INDEX(tEditais[Órgão],MATCH(tItens[[#This Row],[Edital]],tEditais[Edital],0)),"")</f>
        <v>MUNICIPIO DE FREI MIGUELINHO</v>
      </c>
      <c r="H4727" t="str">
        <f>IFERROR(INDEX(tEditais[UF],MATCH(tItens[[#This Row],[Edital]],tEditais[Edital],0)),"")</f>
        <v>PE</v>
      </c>
      <c r="I4727" s="11">
        <f>IFERROR(INDEX(tEditais[Encerramento],MATCH(tItens[[#This Row],[Edital]],tEditais[Edital],0)),"")</f>
        <v>46308.375</v>
      </c>
      <c r="J4727" t="str">
        <f>IFERROR(INDEX(tProdutos[Classe],MATCH(tItens[[#This Row],[Produto]],tProdutos[Produto],0)),"produto não cadastrado")</f>
        <v>DISPUTADO</v>
      </c>
      <c r="K4727" s="12">
        <f>tItens[[#This Row],[Qtd]]*tItens[[#This Row],[Vlr unit]]</f>
        <v>20825</v>
      </c>
      <c r="L4727" s="6">
        <f>IFERROR(IF(INDEX(tProdutos[Desconto homologado],MATCH(tItens[[#This Row],[Produto]],tProdutos[Produto],0))="",DescontoPadrao,INDEX(tProdutos[Desconto homologado],MATCH(tItens[[#This Row],[Produto]],tProdutos[Produto],0))),DescontoPadrao)</f>
        <v>0.33</v>
      </c>
      <c r="M4727" s="12">
        <f>tItens[[#This Row],[Valor]]*(1-tItens[[#This Row],[Desconto]])</f>
        <v>13952.749999999998</v>
      </c>
      <c r="N4727" t="str">
        <f>IFERROR(INDEX(tProdutos[Foco],MATCH(tItens[[#This Row],[Produto]],tProdutos[Produto],0)),"Não")</f>
        <v>Sim</v>
      </c>
      <c r="O4727" t="str">
        <f>IFERROR(INDEX(tEditais[SRP],MATCH(tItens[[#This Row],[Edital]],tEditais[Edital],0)),"Não")</f>
        <v>Não</v>
      </c>
      <c r="P4727" s="4">
        <f>IF(COUNTIFS(INDEX(tItens[Edital],1):tItens[[#This Row],[Edital]],tItens[[#This Row],[Edital]],INDEX(tItens[Produto],1):tItens[[#This Row],[Produto]],tItens[[#This Row],[Produto]])=1,1,0)</f>
        <v>1</v>
      </c>
    </row>
    <row r="4728" spans="1:16" x14ac:dyDescent="0.25">
      <c r="A4728" t="s">
        <v>1870</v>
      </c>
      <c r="B4728">
        <v>115</v>
      </c>
      <c r="C4728" t="s">
        <v>7558</v>
      </c>
      <c r="D4728" t="s">
        <v>142</v>
      </c>
      <c r="E4728" s="13">
        <v>120</v>
      </c>
      <c r="F4728" s="12">
        <v>6.81</v>
      </c>
      <c r="G4728" t="str">
        <f>IFERROR(INDEX(tEditais[Órgão],MATCH(tItens[[#This Row],[Edital]],tEditais[Edital],0)),"")</f>
        <v>MUNICIPIO DE FREI MIGUELINHO</v>
      </c>
      <c r="H4728" t="str">
        <f>IFERROR(INDEX(tEditais[UF],MATCH(tItens[[#This Row],[Edital]],tEditais[Edital],0)),"")</f>
        <v>PE</v>
      </c>
      <c r="I4728" s="11">
        <f>IFERROR(INDEX(tEditais[Encerramento],MATCH(tItens[[#This Row],[Edital]],tEditais[Edital],0)),"")</f>
        <v>46308.375</v>
      </c>
      <c r="J4728" t="str">
        <f>IFERROR(INDEX(tProdutos[Classe],MATCH(tItens[[#This Row],[Produto]],tProdutos[Produto],0)),"produto não cadastrado")</f>
        <v>DISPUTADO</v>
      </c>
      <c r="K4728" s="12">
        <f>tItens[[#This Row],[Qtd]]*tItens[[#This Row],[Vlr unit]]</f>
        <v>817.19999999999993</v>
      </c>
      <c r="L4728" s="6">
        <f>IFERROR(IF(INDEX(tProdutos[Desconto homologado],MATCH(tItens[[#This Row],[Produto]],tProdutos[Produto],0))="",DescontoPadrao,INDEX(tProdutos[Desconto homologado],MATCH(tItens[[#This Row],[Produto]],tProdutos[Produto],0))),DescontoPadrao)</f>
        <v>0.37093619495691699</v>
      </c>
      <c r="M4728" s="12">
        <f>tItens[[#This Row],[Valor]]*(1-tItens[[#This Row],[Desconto]])</f>
        <v>514.07094148120734</v>
      </c>
      <c r="N4728" t="str">
        <f>IFERROR(INDEX(tProdutos[Foco],MATCH(tItens[[#This Row],[Produto]],tProdutos[Produto],0)),"Não")</f>
        <v>Não</v>
      </c>
      <c r="O4728" t="str">
        <f>IFERROR(INDEX(tEditais[SRP],MATCH(tItens[[#This Row],[Edital]],tEditais[Edital],0)),"Não")</f>
        <v>Não</v>
      </c>
      <c r="P4728" s="4">
        <f>IF(COUNTIFS(INDEX(tItens[Edital],1):tItens[[#This Row],[Edital]],tItens[[#This Row],[Edital]],INDEX(tItens[Produto],1):tItens[[#This Row],[Produto]],tItens[[#This Row],[Produto]])=1,1,0)</f>
        <v>1</v>
      </c>
    </row>
    <row r="4729" spans="1:16" x14ac:dyDescent="0.25">
      <c r="A4729" t="s">
        <v>1870</v>
      </c>
      <c r="B4729">
        <v>121</v>
      </c>
      <c r="C4729" t="s">
        <v>7559</v>
      </c>
      <c r="D4729" t="s">
        <v>461</v>
      </c>
      <c r="E4729" s="13">
        <v>16</v>
      </c>
      <c r="F4729" s="12">
        <v>32.6</v>
      </c>
      <c r="G4729" t="str">
        <f>IFERROR(INDEX(tEditais[Órgão],MATCH(tItens[[#This Row],[Edital]],tEditais[Edital],0)),"")</f>
        <v>MUNICIPIO DE FREI MIGUELINHO</v>
      </c>
      <c r="H4729" t="str">
        <f>IFERROR(INDEX(tEditais[UF],MATCH(tItens[[#This Row],[Edital]],tEditais[Edital],0)),"")</f>
        <v>PE</v>
      </c>
      <c r="I4729" s="11">
        <f>IFERROR(INDEX(tEditais[Encerramento],MATCH(tItens[[#This Row],[Edital]],tEditais[Edital],0)),"")</f>
        <v>46308.375</v>
      </c>
      <c r="J4729" t="str">
        <f>IFERROR(INDEX(tProdutos[Classe],MATCH(tItens[[#This Row],[Produto]],tProdutos[Produto],0)),"produto não cadastrado")</f>
        <v>FILA REBASE</v>
      </c>
      <c r="K4729" s="12">
        <f>tItens[[#This Row],[Qtd]]*tItens[[#This Row],[Vlr unit]]</f>
        <v>521.6</v>
      </c>
      <c r="L4729" s="6">
        <f>IFERROR(IF(INDEX(tProdutos[Desconto homologado],MATCH(tItens[[#This Row],[Produto]],tProdutos[Produto],0))="",DescontoPadrao,INDEX(tProdutos[Desconto homologado],MATCH(tItens[[#This Row],[Produto]],tProdutos[Produto],0))),DescontoPadrao)</f>
        <v>0.44096385542168698</v>
      </c>
      <c r="M4729" s="12">
        <f>tItens[[#This Row],[Valor]]*(1-tItens[[#This Row],[Desconto]])</f>
        <v>291.59325301204808</v>
      </c>
      <c r="N4729" t="str">
        <f>IFERROR(INDEX(tProdutos[Foco],MATCH(tItens[[#This Row],[Produto]],tProdutos[Produto],0)),"Não")</f>
        <v>Não</v>
      </c>
      <c r="O4729" t="str">
        <f>IFERROR(INDEX(tEditais[SRP],MATCH(tItens[[#This Row],[Edital]],tEditais[Edital],0)),"Não")</f>
        <v>Não</v>
      </c>
      <c r="P4729" s="4">
        <f>IF(COUNTIFS(INDEX(tItens[Edital],1):tItens[[#This Row],[Edital]],tItens[[#This Row],[Edital]],INDEX(tItens[Produto],1):tItens[[#This Row],[Produto]],tItens[[#This Row],[Produto]])=1,1,0)</f>
        <v>1</v>
      </c>
    </row>
    <row r="4730" spans="1:16" x14ac:dyDescent="0.25">
      <c r="A4730" t="s">
        <v>1870</v>
      </c>
      <c r="B4730">
        <v>122</v>
      </c>
      <c r="C4730" t="s">
        <v>7560</v>
      </c>
      <c r="D4730" t="s">
        <v>461</v>
      </c>
      <c r="E4730" s="13">
        <v>65</v>
      </c>
      <c r="F4730" s="12">
        <v>30.93</v>
      </c>
      <c r="G4730" t="str">
        <f>IFERROR(INDEX(tEditais[Órgão],MATCH(tItens[[#This Row],[Edital]],tEditais[Edital],0)),"")</f>
        <v>MUNICIPIO DE FREI MIGUELINHO</v>
      </c>
      <c r="H4730" t="str">
        <f>IFERROR(INDEX(tEditais[UF],MATCH(tItens[[#This Row],[Edital]],tEditais[Edital],0)),"")</f>
        <v>PE</v>
      </c>
      <c r="I4730" s="11">
        <f>IFERROR(INDEX(tEditais[Encerramento],MATCH(tItens[[#This Row],[Edital]],tEditais[Edital],0)),"")</f>
        <v>46308.375</v>
      </c>
      <c r="J4730" t="str">
        <f>IFERROR(INDEX(tProdutos[Classe],MATCH(tItens[[#This Row],[Produto]],tProdutos[Produto],0)),"produto não cadastrado")</f>
        <v>FILA REBASE</v>
      </c>
      <c r="K4730" s="12">
        <f>tItens[[#This Row],[Qtd]]*tItens[[#This Row],[Vlr unit]]</f>
        <v>2010.45</v>
      </c>
      <c r="L4730" s="6">
        <f>IFERROR(IF(INDEX(tProdutos[Desconto homologado],MATCH(tItens[[#This Row],[Produto]],tProdutos[Produto],0))="",DescontoPadrao,INDEX(tProdutos[Desconto homologado],MATCH(tItens[[#This Row],[Produto]],tProdutos[Produto],0))),DescontoPadrao)</f>
        <v>0.44096385542168698</v>
      </c>
      <c r="M4730" s="12">
        <f>tItens[[#This Row],[Valor]]*(1-tItens[[#This Row],[Desconto]])</f>
        <v>1123.9142168674693</v>
      </c>
      <c r="N4730" t="str">
        <f>IFERROR(INDEX(tProdutos[Foco],MATCH(tItens[[#This Row],[Produto]],tProdutos[Produto],0)),"Não")</f>
        <v>Não</v>
      </c>
      <c r="O4730" t="str">
        <f>IFERROR(INDEX(tEditais[SRP],MATCH(tItens[[#This Row],[Edital]],tEditais[Edital],0)),"Não")</f>
        <v>Não</v>
      </c>
      <c r="P4730" s="4">
        <f>IF(COUNTIFS(INDEX(tItens[Edital],1):tItens[[#This Row],[Edital]],tItens[[#This Row],[Edital]],INDEX(tItens[Produto],1):tItens[[#This Row],[Produto]],tItens[[#This Row],[Produto]])=1,1,0)</f>
        <v>0</v>
      </c>
    </row>
    <row r="4731" spans="1:16" x14ac:dyDescent="0.25">
      <c r="A4731" t="s">
        <v>1870</v>
      </c>
      <c r="B4731">
        <v>123</v>
      </c>
      <c r="C4731" t="s">
        <v>7561</v>
      </c>
      <c r="D4731" t="s">
        <v>461</v>
      </c>
      <c r="E4731" s="13">
        <v>26</v>
      </c>
      <c r="F4731" s="12">
        <v>44.69</v>
      </c>
      <c r="G4731" t="str">
        <f>IFERROR(INDEX(tEditais[Órgão],MATCH(tItens[[#This Row],[Edital]],tEditais[Edital],0)),"")</f>
        <v>MUNICIPIO DE FREI MIGUELINHO</v>
      </c>
      <c r="H4731" t="str">
        <f>IFERROR(INDEX(tEditais[UF],MATCH(tItens[[#This Row],[Edital]],tEditais[Edital],0)),"")</f>
        <v>PE</v>
      </c>
      <c r="I4731" s="11">
        <f>IFERROR(INDEX(tEditais[Encerramento],MATCH(tItens[[#This Row],[Edital]],tEditais[Edital],0)),"")</f>
        <v>46308.375</v>
      </c>
      <c r="J4731" t="str">
        <f>IFERROR(INDEX(tProdutos[Classe],MATCH(tItens[[#This Row],[Produto]],tProdutos[Produto],0)),"produto não cadastrado")</f>
        <v>FILA REBASE</v>
      </c>
      <c r="K4731" s="12">
        <f>tItens[[#This Row],[Qtd]]*tItens[[#This Row],[Vlr unit]]</f>
        <v>1161.94</v>
      </c>
      <c r="L4731" s="6">
        <f>IFERROR(IF(INDEX(tProdutos[Desconto homologado],MATCH(tItens[[#This Row],[Produto]],tProdutos[Produto],0))="",DescontoPadrao,INDEX(tProdutos[Desconto homologado],MATCH(tItens[[#This Row],[Produto]],tProdutos[Produto],0))),DescontoPadrao)</f>
        <v>0.44096385542168698</v>
      </c>
      <c r="M4731" s="12">
        <f>tItens[[#This Row],[Valor]]*(1-tItens[[#This Row],[Desconto]])</f>
        <v>649.56645783132501</v>
      </c>
      <c r="N4731" t="str">
        <f>IFERROR(INDEX(tProdutos[Foco],MATCH(tItens[[#This Row],[Produto]],tProdutos[Produto],0)),"Não")</f>
        <v>Não</v>
      </c>
      <c r="O4731" t="str">
        <f>IFERROR(INDEX(tEditais[SRP],MATCH(tItens[[#This Row],[Edital]],tEditais[Edital],0)),"Não")</f>
        <v>Não</v>
      </c>
      <c r="P4731" s="4">
        <f>IF(COUNTIFS(INDEX(tItens[Edital],1):tItens[[#This Row],[Edital]],tItens[[#This Row],[Edital]],INDEX(tItens[Produto],1):tItens[[#This Row],[Produto]],tItens[[#This Row],[Produto]])=1,1,0)</f>
        <v>0</v>
      </c>
    </row>
    <row r="4732" spans="1:16" x14ac:dyDescent="0.25">
      <c r="A4732" t="s">
        <v>1870</v>
      </c>
      <c r="B4732">
        <v>124</v>
      </c>
      <c r="C4732" t="s">
        <v>7562</v>
      </c>
      <c r="D4732" t="s">
        <v>461</v>
      </c>
      <c r="E4732" s="13">
        <v>16</v>
      </c>
      <c r="F4732" s="12">
        <v>32.479999999999997</v>
      </c>
      <c r="G4732" t="str">
        <f>IFERROR(INDEX(tEditais[Órgão],MATCH(tItens[[#This Row],[Edital]],tEditais[Edital],0)),"")</f>
        <v>MUNICIPIO DE FREI MIGUELINHO</v>
      </c>
      <c r="H4732" t="str">
        <f>IFERROR(INDEX(tEditais[UF],MATCH(tItens[[#This Row],[Edital]],tEditais[Edital],0)),"")</f>
        <v>PE</v>
      </c>
      <c r="I4732" s="11">
        <f>IFERROR(INDEX(tEditais[Encerramento],MATCH(tItens[[#This Row],[Edital]],tEditais[Edital],0)),"")</f>
        <v>46308.375</v>
      </c>
      <c r="J4732" t="str">
        <f>IFERROR(INDEX(tProdutos[Classe],MATCH(tItens[[#This Row],[Produto]],tProdutos[Produto],0)),"produto não cadastrado")</f>
        <v>FILA REBASE</v>
      </c>
      <c r="K4732" s="12">
        <f>tItens[[#This Row],[Qtd]]*tItens[[#This Row],[Vlr unit]]</f>
        <v>519.67999999999995</v>
      </c>
      <c r="L4732" s="6">
        <f>IFERROR(IF(INDEX(tProdutos[Desconto homologado],MATCH(tItens[[#This Row],[Produto]],tProdutos[Produto],0))="",DescontoPadrao,INDEX(tProdutos[Desconto homologado],MATCH(tItens[[#This Row],[Produto]],tProdutos[Produto],0))),DescontoPadrao)</f>
        <v>0.44096385542168698</v>
      </c>
      <c r="M4732" s="12">
        <f>tItens[[#This Row],[Valor]]*(1-tItens[[#This Row],[Desconto]])</f>
        <v>290.51990361445763</v>
      </c>
      <c r="N4732" t="str">
        <f>IFERROR(INDEX(tProdutos[Foco],MATCH(tItens[[#This Row],[Produto]],tProdutos[Produto],0)),"Não")</f>
        <v>Não</v>
      </c>
      <c r="O4732" t="str">
        <f>IFERROR(INDEX(tEditais[SRP],MATCH(tItens[[#This Row],[Edital]],tEditais[Edital],0)),"Não")</f>
        <v>Não</v>
      </c>
      <c r="P4732" s="4">
        <f>IF(COUNTIFS(INDEX(tItens[Edital],1):tItens[[#This Row],[Edital]],tItens[[#This Row],[Edital]],INDEX(tItens[Produto],1):tItens[[#This Row],[Produto]],tItens[[#This Row],[Produto]])=1,1,0)</f>
        <v>0</v>
      </c>
    </row>
    <row r="4733" spans="1:16" x14ac:dyDescent="0.25">
      <c r="A4733" t="s">
        <v>1870</v>
      </c>
      <c r="B4733">
        <v>126</v>
      </c>
      <c r="C4733" t="s">
        <v>7563</v>
      </c>
      <c r="D4733" t="s">
        <v>371</v>
      </c>
      <c r="E4733" s="13">
        <v>6500</v>
      </c>
      <c r="F4733" s="12">
        <v>1.1299999999999999</v>
      </c>
      <c r="G4733" t="str">
        <f>IFERROR(INDEX(tEditais[Órgão],MATCH(tItens[[#This Row],[Edital]],tEditais[Edital],0)),"")</f>
        <v>MUNICIPIO DE FREI MIGUELINHO</v>
      </c>
      <c r="H4733" t="str">
        <f>IFERROR(INDEX(tEditais[UF],MATCH(tItens[[#This Row],[Edital]],tEditais[Edital],0)),"")</f>
        <v>PE</v>
      </c>
      <c r="I4733" s="11">
        <f>IFERROR(INDEX(tEditais[Encerramento],MATCH(tItens[[#This Row],[Edital]],tEditais[Edital],0)),"")</f>
        <v>46308.375</v>
      </c>
      <c r="J4733" t="str">
        <f>IFERROR(INDEX(tProdutos[Classe],MATCH(tItens[[#This Row],[Produto]],tProdutos[Produto],0)),"produto não cadastrado")</f>
        <v>FORA</v>
      </c>
      <c r="K4733" s="12">
        <f>tItens[[#This Row],[Qtd]]*tItens[[#This Row],[Vlr unit]]</f>
        <v>7344.9999999999991</v>
      </c>
      <c r="L4733" s="6">
        <f>IFERROR(IF(INDEX(tProdutos[Desconto homologado],MATCH(tItens[[#This Row],[Produto]],tProdutos[Produto],0))="",DescontoPadrao,INDEX(tProdutos[Desconto homologado],MATCH(tItens[[#This Row],[Produto]],tProdutos[Produto],0))),DescontoPadrao)</f>
        <v>0.217826086956522</v>
      </c>
      <c r="M4733" s="12">
        <f>tItens[[#This Row],[Valor]]*(1-tItens[[#This Row],[Desconto]])</f>
        <v>5745.0673913043447</v>
      </c>
      <c r="N4733" t="str">
        <f>IFERROR(INDEX(tProdutos[Foco],MATCH(tItens[[#This Row],[Produto]],tProdutos[Produto],0)),"Não")</f>
        <v>Não</v>
      </c>
      <c r="O4733" t="str">
        <f>IFERROR(INDEX(tEditais[SRP],MATCH(tItens[[#This Row],[Edital]],tEditais[Edital],0)),"Não")</f>
        <v>Não</v>
      </c>
      <c r="P4733" s="4">
        <f>IF(COUNTIFS(INDEX(tItens[Edital],1):tItens[[#This Row],[Edital]],tItens[[#This Row],[Edital]],INDEX(tItens[Produto],1):tItens[[#This Row],[Produto]],tItens[[#This Row],[Produto]])=1,1,0)</f>
        <v>1</v>
      </c>
    </row>
    <row r="4734" spans="1:16" x14ac:dyDescent="0.25">
      <c r="A4734" t="s">
        <v>1870</v>
      </c>
      <c r="B4734">
        <v>127</v>
      </c>
      <c r="C4734" t="s">
        <v>7564</v>
      </c>
      <c r="D4734" t="s">
        <v>136</v>
      </c>
      <c r="E4734" s="13">
        <v>130</v>
      </c>
      <c r="F4734" s="12">
        <v>7.49</v>
      </c>
      <c r="G4734" t="str">
        <f>IFERROR(INDEX(tEditais[Órgão],MATCH(tItens[[#This Row],[Edital]],tEditais[Edital],0)),"")</f>
        <v>MUNICIPIO DE FREI MIGUELINHO</v>
      </c>
      <c r="H4734" t="str">
        <f>IFERROR(INDEX(tEditais[UF],MATCH(tItens[[#This Row],[Edital]],tEditais[Edital],0)),"")</f>
        <v>PE</v>
      </c>
      <c r="I4734" s="11">
        <f>IFERROR(INDEX(tEditais[Encerramento],MATCH(tItens[[#This Row],[Edital]],tEditais[Edital],0)),"")</f>
        <v>46308.375</v>
      </c>
      <c r="J4734" t="str">
        <f>IFERROR(INDEX(tProdutos[Classe],MATCH(tItens[[#This Row],[Produto]],tProdutos[Produto],0)),"produto não cadastrado")</f>
        <v>DISPUTADO</v>
      </c>
      <c r="K4734" s="12">
        <f>tItens[[#This Row],[Qtd]]*tItens[[#This Row],[Vlr unit]]</f>
        <v>973.7</v>
      </c>
      <c r="L4734" s="6">
        <f>IFERROR(IF(INDEX(tProdutos[Desconto homologado],MATCH(tItens[[#This Row],[Produto]],tProdutos[Produto],0))="",DescontoPadrao,INDEX(tProdutos[Desconto homologado],MATCH(tItens[[#This Row],[Produto]],tProdutos[Produto],0))),DescontoPadrao)</f>
        <v>0.330646209370899</v>
      </c>
      <c r="M4734" s="12">
        <f>tItens[[#This Row],[Valor]]*(1-tItens[[#This Row],[Desconto]])</f>
        <v>651.74978593555556</v>
      </c>
      <c r="N4734" t="str">
        <f>IFERROR(INDEX(tProdutos[Foco],MATCH(tItens[[#This Row],[Produto]],tProdutos[Produto],0)),"Não")</f>
        <v>Não</v>
      </c>
      <c r="O4734" t="str">
        <f>IFERROR(INDEX(tEditais[SRP],MATCH(tItens[[#This Row],[Edital]],tEditais[Edital],0)),"Não")</f>
        <v>Não</v>
      </c>
      <c r="P4734" s="4">
        <f>IF(COUNTIFS(INDEX(tItens[Edital],1):tItens[[#This Row],[Edital]],tItens[[#This Row],[Edital]],INDEX(tItens[Produto],1):tItens[[#This Row],[Produto]],tItens[[#This Row],[Produto]])=1,1,0)</f>
        <v>1</v>
      </c>
    </row>
    <row r="4735" spans="1:16" x14ac:dyDescent="0.25">
      <c r="A4735" t="s">
        <v>1870</v>
      </c>
      <c r="B4735">
        <v>130</v>
      </c>
      <c r="C4735" t="s">
        <v>7565</v>
      </c>
      <c r="D4735" t="s">
        <v>512</v>
      </c>
      <c r="E4735" s="13">
        <v>5</v>
      </c>
      <c r="F4735" s="12">
        <v>14.6</v>
      </c>
      <c r="G4735" t="str">
        <f>IFERROR(INDEX(tEditais[Órgão],MATCH(tItens[[#This Row],[Edital]],tEditais[Edital],0)),"")</f>
        <v>MUNICIPIO DE FREI MIGUELINHO</v>
      </c>
      <c r="H4735" t="str">
        <f>IFERROR(INDEX(tEditais[UF],MATCH(tItens[[#This Row],[Edital]],tEditais[Edital],0)),"")</f>
        <v>PE</v>
      </c>
      <c r="I4735" s="11">
        <f>IFERROR(INDEX(tEditais[Encerramento],MATCH(tItens[[#This Row],[Edital]],tEditais[Edital],0)),"")</f>
        <v>46308.375</v>
      </c>
      <c r="J4735" t="str">
        <f>IFERROR(INDEX(tProdutos[Classe],MATCH(tItens[[#This Row],[Produto]],tProdutos[Produto],0)),"produto não cadastrado")</f>
        <v>FILA REBASE</v>
      </c>
      <c r="K4735" s="12">
        <f>tItens[[#This Row],[Qtd]]*tItens[[#This Row],[Vlr unit]]</f>
        <v>73</v>
      </c>
      <c r="L4735" s="6">
        <f>IFERROR(IF(INDEX(tProdutos[Desconto homologado],MATCH(tItens[[#This Row],[Produto]],tProdutos[Produto],0))="",DescontoPadrao,INDEX(tProdutos[Desconto homologado],MATCH(tItens[[#This Row],[Produto]],tProdutos[Produto],0))),DescontoPadrao)</f>
        <v>0.32579365079365102</v>
      </c>
      <c r="M4735" s="12">
        <f>tItens[[#This Row],[Valor]]*(1-tItens[[#This Row],[Desconto]])</f>
        <v>49.217063492063481</v>
      </c>
      <c r="N4735" t="str">
        <f>IFERROR(INDEX(tProdutos[Foco],MATCH(tItens[[#This Row],[Produto]],tProdutos[Produto],0)),"Não")</f>
        <v>Não</v>
      </c>
      <c r="O4735" t="str">
        <f>IFERROR(INDEX(tEditais[SRP],MATCH(tItens[[#This Row],[Edital]],tEditais[Edital],0)),"Não")</f>
        <v>Não</v>
      </c>
      <c r="P4735" s="4">
        <f>IF(COUNTIFS(INDEX(tItens[Edital],1):tItens[[#This Row],[Edital]],tItens[[#This Row],[Edital]],INDEX(tItens[Produto],1):tItens[[#This Row],[Produto]],tItens[[#This Row],[Produto]])=1,1,0)</f>
        <v>1</v>
      </c>
    </row>
    <row r="4736" spans="1:16" x14ac:dyDescent="0.25">
      <c r="A4736" t="s">
        <v>1870</v>
      </c>
      <c r="B4736">
        <v>131</v>
      </c>
      <c r="C4736" t="s">
        <v>7566</v>
      </c>
      <c r="D4736" t="s">
        <v>512</v>
      </c>
      <c r="E4736" s="13">
        <v>5</v>
      </c>
      <c r="F4736" s="12">
        <v>10.62</v>
      </c>
      <c r="G4736" t="str">
        <f>IFERROR(INDEX(tEditais[Órgão],MATCH(tItens[[#This Row],[Edital]],tEditais[Edital],0)),"")</f>
        <v>MUNICIPIO DE FREI MIGUELINHO</v>
      </c>
      <c r="H4736" t="str">
        <f>IFERROR(INDEX(tEditais[UF],MATCH(tItens[[#This Row],[Edital]],tEditais[Edital],0)),"")</f>
        <v>PE</v>
      </c>
      <c r="I4736" s="11">
        <f>IFERROR(INDEX(tEditais[Encerramento],MATCH(tItens[[#This Row],[Edital]],tEditais[Edital],0)),"")</f>
        <v>46308.375</v>
      </c>
      <c r="J4736" t="str">
        <f>IFERROR(INDEX(tProdutos[Classe],MATCH(tItens[[#This Row],[Produto]],tProdutos[Produto],0)),"produto não cadastrado")</f>
        <v>FILA REBASE</v>
      </c>
      <c r="K4736" s="12">
        <f>tItens[[#This Row],[Qtd]]*tItens[[#This Row],[Vlr unit]]</f>
        <v>53.099999999999994</v>
      </c>
      <c r="L4736" s="6">
        <f>IFERROR(IF(INDEX(tProdutos[Desconto homologado],MATCH(tItens[[#This Row],[Produto]],tProdutos[Produto],0))="",DescontoPadrao,INDEX(tProdutos[Desconto homologado],MATCH(tItens[[#This Row],[Produto]],tProdutos[Produto],0))),DescontoPadrao)</f>
        <v>0.32579365079365102</v>
      </c>
      <c r="M4736" s="12">
        <f>tItens[[#This Row],[Valor]]*(1-tItens[[#This Row],[Desconto]])</f>
        <v>35.800357142857131</v>
      </c>
      <c r="N4736" t="str">
        <f>IFERROR(INDEX(tProdutos[Foco],MATCH(tItens[[#This Row],[Produto]],tProdutos[Produto],0)),"Não")</f>
        <v>Não</v>
      </c>
      <c r="O4736" t="str">
        <f>IFERROR(INDEX(tEditais[SRP],MATCH(tItens[[#This Row],[Edital]],tEditais[Edital],0)),"Não")</f>
        <v>Não</v>
      </c>
      <c r="P4736" s="4">
        <f>IF(COUNTIFS(INDEX(tItens[Edital],1):tItens[[#This Row],[Edital]],tItens[[#This Row],[Edital]],INDEX(tItens[Produto],1):tItens[[#This Row],[Produto]],tItens[[#This Row],[Produto]])=1,1,0)</f>
        <v>0</v>
      </c>
    </row>
    <row r="4737" spans="1:16" x14ac:dyDescent="0.25">
      <c r="A4737" t="s">
        <v>1870</v>
      </c>
      <c r="B4737">
        <v>138</v>
      </c>
      <c r="C4737" t="s">
        <v>7567</v>
      </c>
      <c r="D4737" t="s">
        <v>399</v>
      </c>
      <c r="E4737" s="13">
        <v>50</v>
      </c>
      <c r="F4737" s="12">
        <v>23.49</v>
      </c>
      <c r="G4737" t="str">
        <f>IFERROR(INDEX(tEditais[Órgão],MATCH(tItens[[#This Row],[Edital]],tEditais[Edital],0)),"")</f>
        <v>MUNICIPIO DE FREI MIGUELINHO</v>
      </c>
      <c r="H4737" t="str">
        <f>IFERROR(INDEX(tEditais[UF],MATCH(tItens[[#This Row],[Edital]],tEditais[Edital],0)),"")</f>
        <v>PE</v>
      </c>
      <c r="I4737" s="11">
        <f>IFERROR(INDEX(tEditais[Encerramento],MATCH(tItens[[#This Row],[Edital]],tEditais[Edital],0)),"")</f>
        <v>46308.375</v>
      </c>
      <c r="J4737" t="str">
        <f>IFERROR(INDEX(tProdutos[Classe],MATCH(tItens[[#This Row],[Produto]],tProdutos[Produto],0)),"produto não cadastrado")</f>
        <v>FORA</v>
      </c>
      <c r="K4737" s="12">
        <f>tItens[[#This Row],[Qtd]]*tItens[[#This Row],[Vlr unit]]</f>
        <v>1174.5</v>
      </c>
      <c r="L4737" s="6">
        <f>IFERROR(IF(INDEX(tProdutos[Desconto homologado],MATCH(tItens[[#This Row],[Produto]],tProdutos[Produto],0))="",DescontoPadrao,INDEX(tProdutos[Desconto homologado],MATCH(tItens[[#This Row],[Produto]],tProdutos[Produto],0))),DescontoPadrao)</f>
        <v>0.30009041591320101</v>
      </c>
      <c r="M4737" s="12">
        <f>tItens[[#This Row],[Valor]]*(1-tItens[[#This Row],[Desconto]])</f>
        <v>822.04380650994551</v>
      </c>
      <c r="N4737" t="str">
        <f>IFERROR(INDEX(tProdutos[Foco],MATCH(tItens[[#This Row],[Produto]],tProdutos[Produto],0)),"Não")</f>
        <v>Não</v>
      </c>
      <c r="O4737" t="str">
        <f>IFERROR(INDEX(tEditais[SRP],MATCH(tItens[[#This Row],[Edital]],tEditais[Edital],0)),"Não")</f>
        <v>Não</v>
      </c>
      <c r="P4737" s="4">
        <f>IF(COUNTIFS(INDEX(tItens[Edital],1):tItens[[#This Row],[Edital]],tItens[[#This Row],[Edital]],INDEX(tItens[Produto],1):tItens[[#This Row],[Produto]],tItens[[#This Row],[Produto]])=1,1,0)</f>
        <v>1</v>
      </c>
    </row>
    <row r="4738" spans="1:16" x14ac:dyDescent="0.25">
      <c r="A4738" t="s">
        <v>1870</v>
      </c>
      <c r="B4738">
        <v>139</v>
      </c>
      <c r="C4738" t="s">
        <v>7568</v>
      </c>
      <c r="D4738" t="s">
        <v>399</v>
      </c>
      <c r="E4738" s="13">
        <v>50</v>
      </c>
      <c r="F4738" s="12">
        <v>20.18</v>
      </c>
      <c r="G4738" t="str">
        <f>IFERROR(INDEX(tEditais[Órgão],MATCH(tItens[[#This Row],[Edital]],tEditais[Edital],0)),"")</f>
        <v>MUNICIPIO DE FREI MIGUELINHO</v>
      </c>
      <c r="H4738" t="str">
        <f>IFERROR(INDEX(tEditais[UF],MATCH(tItens[[#This Row],[Edital]],tEditais[Edital],0)),"")</f>
        <v>PE</v>
      </c>
      <c r="I4738" s="11">
        <f>IFERROR(INDEX(tEditais[Encerramento],MATCH(tItens[[#This Row],[Edital]],tEditais[Edital],0)),"")</f>
        <v>46308.375</v>
      </c>
      <c r="J4738" t="str">
        <f>IFERROR(INDEX(tProdutos[Classe],MATCH(tItens[[#This Row],[Produto]],tProdutos[Produto],0)),"produto não cadastrado")</f>
        <v>FORA</v>
      </c>
      <c r="K4738" s="12">
        <f>tItens[[#This Row],[Qtd]]*tItens[[#This Row],[Vlr unit]]</f>
        <v>1009</v>
      </c>
      <c r="L4738" s="6">
        <f>IFERROR(IF(INDEX(tProdutos[Desconto homologado],MATCH(tItens[[#This Row],[Produto]],tProdutos[Produto],0))="",DescontoPadrao,INDEX(tProdutos[Desconto homologado],MATCH(tItens[[#This Row],[Produto]],tProdutos[Produto],0))),DescontoPadrao)</f>
        <v>0.30009041591320101</v>
      </c>
      <c r="M4738" s="12">
        <f>tItens[[#This Row],[Valor]]*(1-tItens[[#This Row],[Desconto]])</f>
        <v>706.20877034358023</v>
      </c>
      <c r="N4738" t="str">
        <f>IFERROR(INDEX(tProdutos[Foco],MATCH(tItens[[#This Row],[Produto]],tProdutos[Produto],0)),"Não")</f>
        <v>Não</v>
      </c>
      <c r="O4738" t="str">
        <f>IFERROR(INDEX(tEditais[SRP],MATCH(tItens[[#This Row],[Edital]],tEditais[Edital],0)),"Não")</f>
        <v>Não</v>
      </c>
      <c r="P4738" s="4">
        <f>IF(COUNTIFS(INDEX(tItens[Edital],1):tItens[[#This Row],[Edital]],tItens[[#This Row],[Edital]],INDEX(tItens[Produto],1):tItens[[#This Row],[Produto]],tItens[[#This Row],[Produto]])=1,1,0)</f>
        <v>0</v>
      </c>
    </row>
    <row r="4739" spans="1:16" x14ac:dyDescent="0.25">
      <c r="A4739" t="s">
        <v>1870</v>
      </c>
      <c r="B4739">
        <v>143</v>
      </c>
      <c r="C4739" t="s">
        <v>7569</v>
      </c>
      <c r="D4739" t="s">
        <v>209</v>
      </c>
      <c r="E4739" s="13">
        <v>1560</v>
      </c>
      <c r="F4739" s="12">
        <v>5.09</v>
      </c>
      <c r="G4739" t="str">
        <f>IFERROR(INDEX(tEditais[Órgão],MATCH(tItens[[#This Row],[Edital]],tEditais[Edital],0)),"")</f>
        <v>MUNICIPIO DE FREI MIGUELINHO</v>
      </c>
      <c r="H4739" t="str">
        <f>IFERROR(INDEX(tEditais[UF],MATCH(tItens[[#This Row],[Edital]],tEditais[Edital],0)),"")</f>
        <v>PE</v>
      </c>
      <c r="I4739" s="11">
        <f>IFERROR(INDEX(tEditais[Encerramento],MATCH(tItens[[#This Row],[Edital]],tEditais[Edital],0)),"")</f>
        <v>46308.375</v>
      </c>
      <c r="J4739" t="str">
        <f>IFERROR(INDEX(tProdutos[Classe],MATCH(tItens[[#This Row],[Produto]],tProdutos[Produto],0)),"produto não cadastrado")</f>
        <v>FORA</v>
      </c>
      <c r="K4739" s="12">
        <f>tItens[[#This Row],[Qtd]]*tItens[[#This Row],[Vlr unit]]</f>
        <v>7940.4</v>
      </c>
      <c r="L4739" s="6">
        <f>IFERROR(IF(INDEX(tProdutos[Desconto homologado],MATCH(tItens[[#This Row],[Produto]],tProdutos[Produto],0))="",DescontoPadrao,INDEX(tProdutos[Desconto homologado],MATCH(tItens[[#This Row],[Produto]],tProdutos[Produto],0))),DescontoPadrao)</f>
        <v>0.16442507504040599</v>
      </c>
      <c r="M4739" s="12">
        <f>tItens[[#This Row],[Valor]]*(1-tItens[[#This Row],[Desconto]])</f>
        <v>6634.7991341491606</v>
      </c>
      <c r="N4739" t="str">
        <f>IFERROR(INDEX(tProdutos[Foco],MATCH(tItens[[#This Row],[Produto]],tProdutos[Produto],0)),"Não")</f>
        <v>Não</v>
      </c>
      <c r="O4739" t="str">
        <f>IFERROR(INDEX(tEditais[SRP],MATCH(tItens[[#This Row],[Edital]],tEditais[Edital],0)),"Não")</f>
        <v>Não</v>
      </c>
      <c r="P4739" s="4">
        <f>IF(COUNTIFS(INDEX(tItens[Edital],1):tItens[[#This Row],[Edital]],tItens[[#This Row],[Edital]],INDEX(tItens[Produto],1):tItens[[#This Row],[Produto]],tItens[[#This Row],[Produto]])=1,1,0)</f>
        <v>1</v>
      </c>
    </row>
    <row r="4740" spans="1:16" x14ac:dyDescent="0.25">
      <c r="A4740" t="s">
        <v>1870</v>
      </c>
      <c r="B4740">
        <v>144</v>
      </c>
      <c r="C4740" t="s">
        <v>7570</v>
      </c>
      <c r="D4740" t="s">
        <v>277</v>
      </c>
      <c r="E4740" s="13">
        <v>30000</v>
      </c>
      <c r="F4740" s="12">
        <v>0.12</v>
      </c>
      <c r="G4740" t="str">
        <f>IFERROR(INDEX(tEditais[Órgão],MATCH(tItens[[#This Row],[Edital]],tEditais[Edital],0)),"")</f>
        <v>MUNICIPIO DE FREI MIGUELINHO</v>
      </c>
      <c r="H4740" t="str">
        <f>IFERROR(INDEX(tEditais[UF],MATCH(tItens[[#This Row],[Edital]],tEditais[Edital],0)),"")</f>
        <v>PE</v>
      </c>
      <c r="I4740" s="11">
        <f>IFERROR(INDEX(tEditais[Encerramento],MATCH(tItens[[#This Row],[Edital]],tEditais[Edital],0)),"")</f>
        <v>46308.375</v>
      </c>
      <c r="J4740" t="str">
        <f>IFERROR(INDEX(tProdutos[Classe],MATCH(tItens[[#This Row],[Produto]],tProdutos[Produto],0)),"produto não cadastrado")</f>
        <v>DISPUTADO</v>
      </c>
      <c r="K4740" s="12">
        <f>tItens[[#This Row],[Qtd]]*tItens[[#This Row],[Vlr unit]]</f>
        <v>3600</v>
      </c>
      <c r="L4740" s="6">
        <f>IFERROR(IF(INDEX(tProdutos[Desconto homologado],MATCH(tItens[[#This Row],[Produto]],tProdutos[Produto],0))="",DescontoPadrao,INDEX(tProdutos[Desconto homologado],MATCH(tItens[[#This Row],[Produto]],tProdutos[Produto],0))),DescontoPadrao)</f>
        <v>0.50460666194188497</v>
      </c>
      <c r="M4740" s="12">
        <f>tItens[[#This Row],[Valor]]*(1-tItens[[#This Row],[Desconto]])</f>
        <v>1783.4160170092141</v>
      </c>
      <c r="N4740" t="str">
        <f>IFERROR(INDEX(tProdutos[Foco],MATCH(tItens[[#This Row],[Produto]],tProdutos[Produto],0)),"Não")</f>
        <v>Não</v>
      </c>
      <c r="O4740" t="str">
        <f>IFERROR(INDEX(tEditais[SRP],MATCH(tItens[[#This Row],[Edital]],tEditais[Edital],0)),"Não")</f>
        <v>Não</v>
      </c>
      <c r="P4740" s="4">
        <f>IF(COUNTIFS(INDEX(tItens[Edital],1):tItens[[#This Row],[Edital]],tItens[[#This Row],[Edital]],INDEX(tItens[Produto],1):tItens[[#This Row],[Produto]],tItens[[#This Row],[Produto]])=1,1,0)</f>
        <v>1</v>
      </c>
    </row>
    <row r="4741" spans="1:16" x14ac:dyDescent="0.25">
      <c r="A4741" t="s">
        <v>1870</v>
      </c>
      <c r="B4741">
        <v>145</v>
      </c>
      <c r="C4741" t="s">
        <v>7571</v>
      </c>
      <c r="D4741" t="s">
        <v>267</v>
      </c>
      <c r="E4741" s="13">
        <v>400</v>
      </c>
      <c r="F4741" s="12">
        <v>8.9499999999999993</v>
      </c>
      <c r="G4741" t="str">
        <f>IFERROR(INDEX(tEditais[Órgão],MATCH(tItens[[#This Row],[Edital]],tEditais[Edital],0)),"")</f>
        <v>MUNICIPIO DE FREI MIGUELINHO</v>
      </c>
      <c r="H4741" t="str">
        <f>IFERROR(INDEX(tEditais[UF],MATCH(tItens[[#This Row],[Edital]],tEditais[Edital],0)),"")</f>
        <v>PE</v>
      </c>
      <c r="I4741" s="11">
        <f>IFERROR(INDEX(tEditais[Encerramento],MATCH(tItens[[#This Row],[Edital]],tEditais[Edital],0)),"")</f>
        <v>46308.375</v>
      </c>
      <c r="J4741" t="str">
        <f>IFERROR(INDEX(tProdutos[Classe],MATCH(tItens[[#This Row],[Produto]],tProdutos[Produto],0)),"produto não cadastrado")</f>
        <v>FORA</v>
      </c>
      <c r="K4741" s="12">
        <f>tItens[[#This Row],[Qtd]]*tItens[[#This Row],[Vlr unit]]</f>
        <v>3579.9999999999995</v>
      </c>
      <c r="L4741" s="6">
        <f>IFERROR(IF(INDEX(tProdutos[Desconto homologado],MATCH(tItens[[#This Row],[Produto]],tProdutos[Produto],0))="",DescontoPadrao,INDEX(tProdutos[Desconto homologado],MATCH(tItens[[#This Row],[Produto]],tProdutos[Produto],0))),DescontoPadrao)</f>
        <v>0.19963672657401599</v>
      </c>
      <c r="M4741" s="12">
        <f>tItens[[#This Row],[Valor]]*(1-tItens[[#This Row],[Desconto]])</f>
        <v>2865.3005188650222</v>
      </c>
      <c r="N4741" t="str">
        <f>IFERROR(INDEX(tProdutos[Foco],MATCH(tItens[[#This Row],[Produto]],tProdutos[Produto],0)),"Não")</f>
        <v>Não</v>
      </c>
      <c r="O4741" t="str">
        <f>IFERROR(INDEX(tEditais[SRP],MATCH(tItens[[#This Row],[Edital]],tEditais[Edital],0)),"Não")</f>
        <v>Não</v>
      </c>
      <c r="P4741" s="4">
        <f>IF(COUNTIFS(INDEX(tItens[Edital],1):tItens[[#This Row],[Edital]],tItens[[#This Row],[Edital]],INDEX(tItens[Produto],1):tItens[[#This Row],[Produto]],tItens[[#This Row],[Produto]])=1,1,0)</f>
        <v>1</v>
      </c>
    </row>
    <row r="4742" spans="1:16" x14ac:dyDescent="0.25">
      <c r="A4742" t="s">
        <v>1870</v>
      </c>
      <c r="B4742">
        <v>146</v>
      </c>
      <c r="C4742" t="s">
        <v>7572</v>
      </c>
      <c r="D4742" t="s">
        <v>56</v>
      </c>
      <c r="E4742" s="13">
        <v>250</v>
      </c>
      <c r="F4742" s="12">
        <v>23.22</v>
      </c>
      <c r="G4742" t="str">
        <f>IFERROR(INDEX(tEditais[Órgão],MATCH(tItens[[#This Row],[Edital]],tEditais[Edital],0)),"")</f>
        <v>MUNICIPIO DE FREI MIGUELINHO</v>
      </c>
      <c r="H4742" t="str">
        <f>IFERROR(INDEX(tEditais[UF],MATCH(tItens[[#This Row],[Edital]],tEditais[Edital],0)),"")</f>
        <v>PE</v>
      </c>
      <c r="I4742" s="11">
        <f>IFERROR(INDEX(tEditais[Encerramento],MATCH(tItens[[#This Row],[Edital]],tEditais[Edital],0)),"")</f>
        <v>46308.375</v>
      </c>
      <c r="J4742" t="str">
        <f>IFERROR(INDEX(tProdutos[Classe],MATCH(tItens[[#This Row],[Produto]],tProdutos[Produto],0)),"produto não cadastrado")</f>
        <v>NÚCLEO</v>
      </c>
      <c r="K4742" s="12">
        <f>tItens[[#This Row],[Qtd]]*tItens[[#This Row],[Vlr unit]]</f>
        <v>5805</v>
      </c>
      <c r="L4742" s="6">
        <f>IFERROR(IF(INDEX(tProdutos[Desconto homologado],MATCH(tItens[[#This Row],[Produto]],tProdutos[Produto],0))="",DescontoPadrao,INDEX(tProdutos[Desconto homologado],MATCH(tItens[[#This Row],[Produto]],tProdutos[Produto],0))),DescontoPadrao)</f>
        <v>0.34</v>
      </c>
      <c r="M4742" s="12">
        <f>tItens[[#This Row],[Valor]]*(1-tItens[[#This Row],[Desconto]])</f>
        <v>3831.2999999999997</v>
      </c>
      <c r="N4742" t="str">
        <f>IFERROR(INDEX(tProdutos[Foco],MATCH(tItens[[#This Row],[Produto]],tProdutos[Produto],0)),"Não")</f>
        <v>Sim</v>
      </c>
      <c r="O4742" t="str">
        <f>IFERROR(INDEX(tEditais[SRP],MATCH(tItens[[#This Row],[Edital]],tEditais[Edital],0)),"Não")</f>
        <v>Não</v>
      </c>
      <c r="P4742" s="4">
        <f>IF(COUNTIFS(INDEX(tItens[Edital],1):tItens[[#This Row],[Edital]],tItens[[#This Row],[Edital]],INDEX(tItens[Produto],1):tItens[[#This Row],[Produto]],tItens[[#This Row],[Produto]])=1,1,0)</f>
        <v>1</v>
      </c>
    </row>
    <row r="4743" spans="1:16" x14ac:dyDescent="0.25">
      <c r="A4743" t="s">
        <v>1870</v>
      </c>
      <c r="B4743">
        <v>149</v>
      </c>
      <c r="C4743" t="s">
        <v>7573</v>
      </c>
      <c r="D4743" t="s">
        <v>343</v>
      </c>
      <c r="E4743" s="13">
        <v>3200</v>
      </c>
      <c r="F4743" s="12">
        <v>1.52</v>
      </c>
      <c r="G4743" t="str">
        <f>IFERROR(INDEX(tEditais[Órgão],MATCH(tItens[[#This Row],[Edital]],tEditais[Edital],0)),"")</f>
        <v>MUNICIPIO DE FREI MIGUELINHO</v>
      </c>
      <c r="H4743" t="str">
        <f>IFERROR(INDEX(tEditais[UF],MATCH(tItens[[#This Row],[Edital]],tEditais[Edital],0)),"")</f>
        <v>PE</v>
      </c>
      <c r="I4743" s="11">
        <f>IFERROR(INDEX(tEditais[Encerramento],MATCH(tItens[[#This Row],[Edital]],tEditais[Edital],0)),"")</f>
        <v>46308.375</v>
      </c>
      <c r="J4743" t="str">
        <f>IFERROR(INDEX(tProdutos[Classe],MATCH(tItens[[#This Row],[Produto]],tProdutos[Produto],0)),"produto não cadastrado")</f>
        <v>FORA</v>
      </c>
      <c r="K4743" s="12">
        <f>tItens[[#This Row],[Qtd]]*tItens[[#This Row],[Vlr unit]]</f>
        <v>4864</v>
      </c>
      <c r="L4743" s="6">
        <f>IFERROR(IF(INDEX(tProdutos[Desconto homologado],MATCH(tItens[[#This Row],[Produto]],tProdutos[Produto],0))="",DescontoPadrao,INDEX(tProdutos[Desconto homologado],MATCH(tItens[[#This Row],[Produto]],tProdutos[Produto],0))),DescontoPadrao)</f>
        <v>0.35412234042553198</v>
      </c>
      <c r="M4743" s="12">
        <f>tItens[[#This Row],[Valor]]*(1-tItens[[#This Row],[Desconto]])</f>
        <v>3141.5489361702121</v>
      </c>
      <c r="N4743" t="str">
        <f>IFERROR(INDEX(tProdutos[Foco],MATCH(tItens[[#This Row],[Produto]],tProdutos[Produto],0)),"Não")</f>
        <v>Não</v>
      </c>
      <c r="O4743" t="str">
        <f>IFERROR(INDEX(tEditais[SRP],MATCH(tItens[[#This Row],[Edital]],tEditais[Edital],0)),"Não")</f>
        <v>Não</v>
      </c>
      <c r="P4743" s="4">
        <f>IF(COUNTIFS(INDEX(tItens[Edital],1):tItens[[#This Row],[Edital]],tItens[[#This Row],[Edital]],INDEX(tItens[Produto],1):tItens[[#This Row],[Produto]],tItens[[#This Row],[Produto]])=1,1,0)</f>
        <v>1</v>
      </c>
    </row>
    <row r="4744" spans="1:16" x14ac:dyDescent="0.25">
      <c r="A4744" t="s">
        <v>1870</v>
      </c>
      <c r="B4744">
        <v>150</v>
      </c>
      <c r="C4744" t="s">
        <v>7574</v>
      </c>
      <c r="D4744" t="s">
        <v>343</v>
      </c>
      <c r="E4744" s="13">
        <v>3120</v>
      </c>
      <c r="F4744" s="12">
        <v>1.18</v>
      </c>
      <c r="G4744" t="str">
        <f>IFERROR(INDEX(tEditais[Órgão],MATCH(tItens[[#This Row],[Edital]],tEditais[Edital],0)),"")</f>
        <v>MUNICIPIO DE FREI MIGUELINHO</v>
      </c>
      <c r="H4744" t="str">
        <f>IFERROR(INDEX(tEditais[UF],MATCH(tItens[[#This Row],[Edital]],tEditais[Edital],0)),"")</f>
        <v>PE</v>
      </c>
      <c r="I4744" s="11">
        <f>IFERROR(INDEX(tEditais[Encerramento],MATCH(tItens[[#This Row],[Edital]],tEditais[Edital],0)),"")</f>
        <v>46308.375</v>
      </c>
      <c r="J4744" t="str">
        <f>IFERROR(INDEX(tProdutos[Classe],MATCH(tItens[[#This Row],[Produto]],tProdutos[Produto],0)),"produto não cadastrado")</f>
        <v>FORA</v>
      </c>
      <c r="K4744" s="12">
        <f>tItens[[#This Row],[Qtd]]*tItens[[#This Row],[Vlr unit]]</f>
        <v>3681.6</v>
      </c>
      <c r="L4744" s="6">
        <f>IFERROR(IF(INDEX(tProdutos[Desconto homologado],MATCH(tItens[[#This Row],[Produto]],tProdutos[Produto],0))="",DescontoPadrao,INDEX(tProdutos[Desconto homologado],MATCH(tItens[[#This Row],[Produto]],tProdutos[Produto],0))),DescontoPadrao)</f>
        <v>0.35412234042553198</v>
      </c>
      <c r="M4744" s="12">
        <f>tItens[[#This Row],[Valor]]*(1-tItens[[#This Row],[Desconto]])</f>
        <v>2377.8631914893613</v>
      </c>
      <c r="N4744" t="str">
        <f>IFERROR(INDEX(tProdutos[Foco],MATCH(tItens[[#This Row],[Produto]],tProdutos[Produto],0)),"Não")</f>
        <v>Não</v>
      </c>
      <c r="O4744" t="str">
        <f>IFERROR(INDEX(tEditais[SRP],MATCH(tItens[[#This Row],[Edital]],tEditais[Edital],0)),"Não")</f>
        <v>Não</v>
      </c>
      <c r="P4744" s="4">
        <f>IF(COUNTIFS(INDEX(tItens[Edital],1):tItens[[#This Row],[Edital]],tItens[[#This Row],[Edital]],INDEX(tItens[Produto],1):tItens[[#This Row],[Produto]],tItens[[#This Row],[Produto]])=1,1,0)</f>
        <v>0</v>
      </c>
    </row>
    <row r="4745" spans="1:16" x14ac:dyDescent="0.25">
      <c r="A4745" t="s">
        <v>1870</v>
      </c>
      <c r="B4745">
        <v>151</v>
      </c>
      <c r="C4745" t="s">
        <v>7575</v>
      </c>
      <c r="D4745" t="s">
        <v>343</v>
      </c>
      <c r="E4745" s="13">
        <v>3200</v>
      </c>
      <c r="F4745" s="12">
        <v>1.1499999999999999</v>
      </c>
      <c r="G4745" t="str">
        <f>IFERROR(INDEX(tEditais[Órgão],MATCH(tItens[[#This Row],[Edital]],tEditais[Edital],0)),"")</f>
        <v>MUNICIPIO DE FREI MIGUELINHO</v>
      </c>
      <c r="H4745" t="str">
        <f>IFERROR(INDEX(tEditais[UF],MATCH(tItens[[#This Row],[Edital]],tEditais[Edital],0)),"")</f>
        <v>PE</v>
      </c>
      <c r="I4745" s="11">
        <f>IFERROR(INDEX(tEditais[Encerramento],MATCH(tItens[[#This Row],[Edital]],tEditais[Edital],0)),"")</f>
        <v>46308.375</v>
      </c>
      <c r="J4745" t="str">
        <f>IFERROR(INDEX(tProdutos[Classe],MATCH(tItens[[#This Row],[Produto]],tProdutos[Produto],0)),"produto não cadastrado")</f>
        <v>FORA</v>
      </c>
      <c r="K4745" s="12">
        <f>tItens[[#This Row],[Qtd]]*tItens[[#This Row],[Vlr unit]]</f>
        <v>3679.9999999999995</v>
      </c>
      <c r="L4745" s="6">
        <f>IFERROR(IF(INDEX(tProdutos[Desconto homologado],MATCH(tItens[[#This Row],[Produto]],tProdutos[Produto],0))="",DescontoPadrao,INDEX(tProdutos[Desconto homologado],MATCH(tItens[[#This Row],[Produto]],tProdutos[Produto],0))),DescontoPadrao)</f>
        <v>0.35412234042553198</v>
      </c>
      <c r="M4745" s="12">
        <f>tItens[[#This Row],[Valor]]*(1-tItens[[#This Row],[Desconto]])</f>
        <v>2376.8297872340418</v>
      </c>
      <c r="N4745" t="str">
        <f>IFERROR(INDEX(tProdutos[Foco],MATCH(tItens[[#This Row],[Produto]],tProdutos[Produto],0)),"Não")</f>
        <v>Não</v>
      </c>
      <c r="O4745" t="str">
        <f>IFERROR(INDEX(tEditais[SRP],MATCH(tItens[[#This Row],[Edital]],tEditais[Edital],0)),"Não")</f>
        <v>Não</v>
      </c>
      <c r="P4745" s="4">
        <f>IF(COUNTIFS(INDEX(tItens[Edital],1):tItens[[#This Row],[Edital]],tItens[[#This Row],[Edital]],INDEX(tItens[Produto],1):tItens[[#This Row],[Produto]],tItens[[#This Row],[Produto]])=1,1,0)</f>
        <v>0</v>
      </c>
    </row>
    <row r="4746" spans="1:16" x14ac:dyDescent="0.25">
      <c r="A4746" t="s">
        <v>1870</v>
      </c>
      <c r="B4746">
        <v>152</v>
      </c>
      <c r="C4746" t="s">
        <v>7576</v>
      </c>
      <c r="D4746" t="s">
        <v>343</v>
      </c>
      <c r="E4746" s="13">
        <v>3200</v>
      </c>
      <c r="F4746" s="12">
        <v>1.31</v>
      </c>
      <c r="G4746" t="str">
        <f>IFERROR(INDEX(tEditais[Órgão],MATCH(tItens[[#This Row],[Edital]],tEditais[Edital],0)),"")</f>
        <v>MUNICIPIO DE FREI MIGUELINHO</v>
      </c>
      <c r="H4746" t="str">
        <f>IFERROR(INDEX(tEditais[UF],MATCH(tItens[[#This Row],[Edital]],tEditais[Edital],0)),"")</f>
        <v>PE</v>
      </c>
      <c r="I4746" s="11">
        <f>IFERROR(INDEX(tEditais[Encerramento],MATCH(tItens[[#This Row],[Edital]],tEditais[Edital],0)),"")</f>
        <v>46308.375</v>
      </c>
      <c r="J4746" t="str">
        <f>IFERROR(INDEX(tProdutos[Classe],MATCH(tItens[[#This Row],[Produto]],tProdutos[Produto],0)),"produto não cadastrado")</f>
        <v>FORA</v>
      </c>
      <c r="K4746" s="12">
        <f>tItens[[#This Row],[Qtd]]*tItens[[#This Row],[Vlr unit]]</f>
        <v>4192</v>
      </c>
      <c r="L4746" s="6">
        <f>IFERROR(IF(INDEX(tProdutos[Desconto homologado],MATCH(tItens[[#This Row],[Produto]],tProdutos[Produto],0))="",DescontoPadrao,INDEX(tProdutos[Desconto homologado],MATCH(tItens[[#This Row],[Produto]],tProdutos[Produto],0))),DescontoPadrao)</f>
        <v>0.35412234042553198</v>
      </c>
      <c r="M4746" s="12">
        <f>tItens[[#This Row],[Valor]]*(1-tItens[[#This Row],[Desconto]])</f>
        <v>2707.5191489361696</v>
      </c>
      <c r="N4746" t="str">
        <f>IFERROR(INDEX(tProdutos[Foco],MATCH(tItens[[#This Row],[Produto]],tProdutos[Produto],0)),"Não")</f>
        <v>Não</v>
      </c>
      <c r="O4746" t="str">
        <f>IFERROR(INDEX(tEditais[SRP],MATCH(tItens[[#This Row],[Edital]],tEditais[Edital],0)),"Não")</f>
        <v>Não</v>
      </c>
      <c r="P4746" s="4">
        <f>IF(COUNTIFS(INDEX(tItens[Edital],1):tItens[[#This Row],[Edital]],tItens[[#This Row],[Edital]],INDEX(tItens[Produto],1):tItens[[#This Row],[Produto]],tItens[[#This Row],[Produto]])=1,1,0)</f>
        <v>0</v>
      </c>
    </row>
    <row r="4747" spans="1:16" x14ac:dyDescent="0.25">
      <c r="A4747" t="s">
        <v>1870</v>
      </c>
      <c r="B4747">
        <v>153</v>
      </c>
      <c r="C4747" t="s">
        <v>7577</v>
      </c>
      <c r="D4747" t="s">
        <v>313</v>
      </c>
      <c r="E4747" s="13">
        <v>3000</v>
      </c>
      <c r="F4747" s="12">
        <v>26.17</v>
      </c>
      <c r="G4747" t="str">
        <f>IFERROR(INDEX(tEditais[Órgão],MATCH(tItens[[#This Row],[Edital]],tEditais[Edital],0)),"")</f>
        <v>MUNICIPIO DE FREI MIGUELINHO</v>
      </c>
      <c r="H4747" t="str">
        <f>IFERROR(INDEX(tEditais[UF],MATCH(tItens[[#This Row],[Edital]],tEditais[Edital],0)),"")</f>
        <v>PE</v>
      </c>
      <c r="I4747" s="11">
        <f>IFERROR(INDEX(tEditais[Encerramento],MATCH(tItens[[#This Row],[Edital]],tEditais[Edital],0)),"")</f>
        <v>46308.375</v>
      </c>
      <c r="J4747" t="str">
        <f>IFERROR(INDEX(tProdutos[Classe],MATCH(tItens[[#This Row],[Produto]],tProdutos[Produto],0)),"produto não cadastrado")</f>
        <v>FORA</v>
      </c>
      <c r="K4747" s="12">
        <f>tItens[[#This Row],[Qtd]]*tItens[[#This Row],[Vlr unit]]</f>
        <v>78510</v>
      </c>
      <c r="L4747" s="6">
        <f>IFERROR(IF(INDEX(tProdutos[Desconto homologado],MATCH(tItens[[#This Row],[Produto]],tProdutos[Produto],0))="",DescontoPadrao,INDEX(tProdutos[Desconto homologado],MATCH(tItens[[#This Row],[Produto]],tProdutos[Produto],0))),DescontoPadrao)</f>
        <v>0.35766373163696302</v>
      </c>
      <c r="M4747" s="12">
        <f>tItens[[#This Row],[Valor]]*(1-tItens[[#This Row],[Desconto]])</f>
        <v>50429.820429182029</v>
      </c>
      <c r="N4747" t="str">
        <f>IFERROR(INDEX(tProdutos[Foco],MATCH(tItens[[#This Row],[Produto]],tProdutos[Produto],0)),"Não")</f>
        <v>Não</v>
      </c>
      <c r="O4747" t="str">
        <f>IFERROR(INDEX(tEditais[SRP],MATCH(tItens[[#This Row],[Edital]],tEditais[Edital],0)),"Não")</f>
        <v>Não</v>
      </c>
      <c r="P4747" s="4">
        <f>IF(COUNTIFS(INDEX(tItens[Edital],1):tItens[[#This Row],[Edital]],tItens[[#This Row],[Edital]],INDEX(tItens[Produto],1):tItens[[#This Row],[Produto]],tItens[[#This Row],[Produto]])=1,1,0)</f>
        <v>1</v>
      </c>
    </row>
    <row r="4748" spans="1:16" x14ac:dyDescent="0.25">
      <c r="A4748" t="s">
        <v>1870</v>
      </c>
      <c r="B4748">
        <v>154</v>
      </c>
      <c r="C4748" t="s">
        <v>7578</v>
      </c>
      <c r="D4748" t="s">
        <v>313</v>
      </c>
      <c r="E4748" s="13">
        <v>3375</v>
      </c>
      <c r="F4748" s="12">
        <v>26.51</v>
      </c>
      <c r="G4748" t="str">
        <f>IFERROR(INDEX(tEditais[Órgão],MATCH(tItens[[#This Row],[Edital]],tEditais[Edital],0)),"")</f>
        <v>MUNICIPIO DE FREI MIGUELINHO</v>
      </c>
      <c r="H4748" t="str">
        <f>IFERROR(INDEX(tEditais[UF],MATCH(tItens[[#This Row],[Edital]],tEditais[Edital],0)),"")</f>
        <v>PE</v>
      </c>
      <c r="I4748" s="11">
        <f>IFERROR(INDEX(tEditais[Encerramento],MATCH(tItens[[#This Row],[Edital]],tEditais[Edital],0)),"")</f>
        <v>46308.375</v>
      </c>
      <c r="J4748" t="str">
        <f>IFERROR(INDEX(tProdutos[Classe],MATCH(tItens[[#This Row],[Produto]],tProdutos[Produto],0)),"produto não cadastrado")</f>
        <v>FORA</v>
      </c>
      <c r="K4748" s="12">
        <f>tItens[[#This Row],[Qtd]]*tItens[[#This Row],[Vlr unit]]</f>
        <v>89471.25</v>
      </c>
      <c r="L4748" s="6">
        <f>IFERROR(IF(INDEX(tProdutos[Desconto homologado],MATCH(tItens[[#This Row],[Produto]],tProdutos[Produto],0))="",DescontoPadrao,INDEX(tProdutos[Desconto homologado],MATCH(tItens[[#This Row],[Produto]],tProdutos[Produto],0))),DescontoPadrao)</f>
        <v>0.35766373163696302</v>
      </c>
      <c r="M4748" s="12">
        <f>tItens[[#This Row],[Valor]]*(1-tItens[[#This Row],[Desconto]])</f>
        <v>57470.628850776367</v>
      </c>
      <c r="N4748" t="str">
        <f>IFERROR(INDEX(tProdutos[Foco],MATCH(tItens[[#This Row],[Produto]],tProdutos[Produto],0)),"Não")</f>
        <v>Não</v>
      </c>
      <c r="O4748" t="str">
        <f>IFERROR(INDEX(tEditais[SRP],MATCH(tItens[[#This Row],[Edital]],tEditais[Edital],0)),"Não")</f>
        <v>Não</v>
      </c>
      <c r="P4748" s="4">
        <f>IF(COUNTIFS(INDEX(tItens[Edital],1):tItens[[#This Row],[Edital]],tItens[[#This Row],[Edital]],INDEX(tItens[Produto],1):tItens[[#This Row],[Produto]],tItens[[#This Row],[Produto]])=1,1,0)</f>
        <v>0</v>
      </c>
    </row>
    <row r="4749" spans="1:16" x14ac:dyDescent="0.25">
      <c r="A4749" t="s">
        <v>1870</v>
      </c>
      <c r="B4749">
        <v>155</v>
      </c>
      <c r="C4749" t="s">
        <v>7578</v>
      </c>
      <c r="D4749" t="s">
        <v>313</v>
      </c>
      <c r="E4749" s="13">
        <v>1125</v>
      </c>
      <c r="F4749" s="12">
        <v>26.51</v>
      </c>
      <c r="G4749" t="str">
        <f>IFERROR(INDEX(tEditais[Órgão],MATCH(tItens[[#This Row],[Edital]],tEditais[Edital],0)),"")</f>
        <v>MUNICIPIO DE FREI MIGUELINHO</v>
      </c>
      <c r="H4749" t="str">
        <f>IFERROR(INDEX(tEditais[UF],MATCH(tItens[[#This Row],[Edital]],tEditais[Edital],0)),"")</f>
        <v>PE</v>
      </c>
      <c r="I4749" s="11">
        <f>IFERROR(INDEX(tEditais[Encerramento],MATCH(tItens[[#This Row],[Edital]],tEditais[Edital],0)),"")</f>
        <v>46308.375</v>
      </c>
      <c r="J4749" t="str">
        <f>IFERROR(INDEX(tProdutos[Classe],MATCH(tItens[[#This Row],[Produto]],tProdutos[Produto],0)),"produto não cadastrado")</f>
        <v>FORA</v>
      </c>
      <c r="K4749" s="12">
        <f>tItens[[#This Row],[Qtd]]*tItens[[#This Row],[Vlr unit]]</f>
        <v>29823.75</v>
      </c>
      <c r="L4749" s="6">
        <f>IFERROR(IF(INDEX(tProdutos[Desconto homologado],MATCH(tItens[[#This Row],[Produto]],tProdutos[Produto],0))="",DescontoPadrao,INDEX(tProdutos[Desconto homologado],MATCH(tItens[[#This Row],[Produto]],tProdutos[Produto],0))),DescontoPadrao)</f>
        <v>0.35766373163696302</v>
      </c>
      <c r="M4749" s="12">
        <f>tItens[[#This Row],[Valor]]*(1-tItens[[#This Row],[Desconto]])</f>
        <v>19156.876283592122</v>
      </c>
      <c r="N4749" t="str">
        <f>IFERROR(INDEX(tProdutos[Foco],MATCH(tItens[[#This Row],[Produto]],tProdutos[Produto],0)),"Não")</f>
        <v>Não</v>
      </c>
      <c r="O4749" t="str">
        <f>IFERROR(INDEX(tEditais[SRP],MATCH(tItens[[#This Row],[Edital]],tEditais[Edital],0)),"Não")</f>
        <v>Não</v>
      </c>
      <c r="P4749" s="4">
        <f>IF(COUNTIFS(INDEX(tItens[Edital],1):tItens[[#This Row],[Edital]],tItens[[#This Row],[Edital]],INDEX(tItens[Produto],1):tItens[[#This Row],[Produto]],tItens[[#This Row],[Produto]])=1,1,0)</f>
        <v>0</v>
      </c>
    </row>
    <row r="4750" spans="1:16" x14ac:dyDescent="0.25">
      <c r="A4750" t="s">
        <v>1870</v>
      </c>
      <c r="B4750">
        <v>156</v>
      </c>
      <c r="C4750" t="s">
        <v>7579</v>
      </c>
      <c r="D4750" t="s">
        <v>313</v>
      </c>
      <c r="E4750" s="13">
        <v>2250</v>
      </c>
      <c r="F4750" s="12">
        <v>26.94</v>
      </c>
      <c r="G4750" t="str">
        <f>IFERROR(INDEX(tEditais[Órgão],MATCH(tItens[[#This Row],[Edital]],tEditais[Edital],0)),"")</f>
        <v>MUNICIPIO DE FREI MIGUELINHO</v>
      </c>
      <c r="H4750" t="str">
        <f>IFERROR(INDEX(tEditais[UF],MATCH(tItens[[#This Row],[Edital]],tEditais[Edital],0)),"")</f>
        <v>PE</v>
      </c>
      <c r="I4750" s="11">
        <f>IFERROR(INDEX(tEditais[Encerramento],MATCH(tItens[[#This Row],[Edital]],tEditais[Edital],0)),"")</f>
        <v>46308.375</v>
      </c>
      <c r="J4750" t="str">
        <f>IFERROR(INDEX(tProdutos[Classe],MATCH(tItens[[#This Row],[Produto]],tProdutos[Produto],0)),"produto não cadastrado")</f>
        <v>FORA</v>
      </c>
      <c r="K4750" s="12">
        <f>tItens[[#This Row],[Qtd]]*tItens[[#This Row],[Vlr unit]]</f>
        <v>60615</v>
      </c>
      <c r="L4750" s="6">
        <f>IFERROR(IF(INDEX(tProdutos[Desconto homologado],MATCH(tItens[[#This Row],[Produto]],tProdutos[Produto],0))="",DescontoPadrao,INDEX(tProdutos[Desconto homologado],MATCH(tItens[[#This Row],[Produto]],tProdutos[Produto],0))),DescontoPadrao)</f>
        <v>0.35766373163696302</v>
      </c>
      <c r="M4750" s="12">
        <f>tItens[[#This Row],[Valor]]*(1-tItens[[#This Row],[Desconto]])</f>
        <v>38935.21290682548</v>
      </c>
      <c r="N4750" t="str">
        <f>IFERROR(INDEX(tProdutos[Foco],MATCH(tItens[[#This Row],[Produto]],tProdutos[Produto],0)),"Não")</f>
        <v>Não</v>
      </c>
      <c r="O4750" t="str">
        <f>IFERROR(INDEX(tEditais[SRP],MATCH(tItens[[#This Row],[Edital]],tEditais[Edital],0)),"Não")</f>
        <v>Não</v>
      </c>
      <c r="P4750" s="4">
        <f>IF(COUNTIFS(INDEX(tItens[Edital],1):tItens[[#This Row],[Edital]],tItens[[#This Row],[Edital]],INDEX(tItens[Produto],1):tItens[[#This Row],[Produto]],tItens[[#This Row],[Produto]])=1,1,0)</f>
        <v>0</v>
      </c>
    </row>
    <row r="4751" spans="1:16" x14ac:dyDescent="0.25">
      <c r="A4751" t="s">
        <v>1870</v>
      </c>
      <c r="B4751">
        <v>157</v>
      </c>
      <c r="C4751" t="s">
        <v>7579</v>
      </c>
      <c r="D4751" t="s">
        <v>313</v>
      </c>
      <c r="E4751" s="13">
        <v>750</v>
      </c>
      <c r="F4751" s="12">
        <v>26.94</v>
      </c>
      <c r="G4751" t="str">
        <f>IFERROR(INDEX(tEditais[Órgão],MATCH(tItens[[#This Row],[Edital]],tEditais[Edital],0)),"")</f>
        <v>MUNICIPIO DE FREI MIGUELINHO</v>
      </c>
      <c r="H4751" t="str">
        <f>IFERROR(INDEX(tEditais[UF],MATCH(tItens[[#This Row],[Edital]],tEditais[Edital],0)),"")</f>
        <v>PE</v>
      </c>
      <c r="I4751" s="11">
        <f>IFERROR(INDEX(tEditais[Encerramento],MATCH(tItens[[#This Row],[Edital]],tEditais[Edital],0)),"")</f>
        <v>46308.375</v>
      </c>
      <c r="J4751" t="str">
        <f>IFERROR(INDEX(tProdutos[Classe],MATCH(tItens[[#This Row],[Produto]],tProdutos[Produto],0)),"produto não cadastrado")</f>
        <v>FORA</v>
      </c>
      <c r="K4751" s="12">
        <f>tItens[[#This Row],[Qtd]]*tItens[[#This Row],[Vlr unit]]</f>
        <v>20205</v>
      </c>
      <c r="L4751" s="6">
        <f>IFERROR(IF(INDEX(tProdutos[Desconto homologado],MATCH(tItens[[#This Row],[Produto]],tProdutos[Produto],0))="",DescontoPadrao,INDEX(tProdutos[Desconto homologado],MATCH(tItens[[#This Row],[Produto]],tProdutos[Produto],0))),DescontoPadrao)</f>
        <v>0.35766373163696302</v>
      </c>
      <c r="M4751" s="12">
        <f>tItens[[#This Row],[Valor]]*(1-tItens[[#This Row],[Desconto]])</f>
        <v>12978.404302275161</v>
      </c>
      <c r="N4751" t="str">
        <f>IFERROR(INDEX(tProdutos[Foco],MATCH(tItens[[#This Row],[Produto]],tProdutos[Produto],0)),"Não")</f>
        <v>Não</v>
      </c>
      <c r="O4751" t="str">
        <f>IFERROR(INDEX(tEditais[SRP],MATCH(tItens[[#This Row],[Edital]],tEditais[Edital],0)),"Não")</f>
        <v>Não</v>
      </c>
      <c r="P4751" s="4">
        <f>IF(COUNTIFS(INDEX(tItens[Edital],1):tItens[[#This Row],[Edital]],tItens[[#This Row],[Edital]],INDEX(tItens[Produto],1):tItens[[#This Row],[Produto]],tItens[[#This Row],[Produto]])=1,1,0)</f>
        <v>0</v>
      </c>
    </row>
    <row r="4752" spans="1:16" x14ac:dyDescent="0.25">
      <c r="A4752" t="s">
        <v>1870</v>
      </c>
      <c r="B4752">
        <v>160</v>
      </c>
      <c r="C4752" t="s">
        <v>7580</v>
      </c>
      <c r="D4752" t="s">
        <v>403</v>
      </c>
      <c r="E4752" s="13">
        <v>650</v>
      </c>
      <c r="F4752" s="12">
        <v>1.17</v>
      </c>
      <c r="G4752" t="str">
        <f>IFERROR(INDEX(tEditais[Órgão],MATCH(tItens[[#This Row],[Edital]],tEditais[Edital],0)),"")</f>
        <v>MUNICIPIO DE FREI MIGUELINHO</v>
      </c>
      <c r="H4752" t="str">
        <f>IFERROR(INDEX(tEditais[UF],MATCH(tItens[[#This Row],[Edital]],tEditais[Edital],0)),"")</f>
        <v>PE</v>
      </c>
      <c r="I4752" s="11">
        <f>IFERROR(INDEX(tEditais[Encerramento],MATCH(tItens[[#This Row],[Edital]],tEditais[Edital],0)),"")</f>
        <v>46308.375</v>
      </c>
      <c r="J4752" t="str">
        <f>IFERROR(INDEX(tProdutos[Classe],MATCH(tItens[[#This Row],[Produto]],tProdutos[Produto],0)),"produto não cadastrado")</f>
        <v>FORA</v>
      </c>
      <c r="K4752" s="12">
        <f>tItens[[#This Row],[Qtd]]*tItens[[#This Row],[Vlr unit]]</f>
        <v>760.5</v>
      </c>
      <c r="L4752" s="6">
        <f>IFERROR(IF(INDEX(tProdutos[Desconto homologado],MATCH(tItens[[#This Row],[Produto]],tProdutos[Produto],0))="",DescontoPadrao,INDEX(tProdutos[Desconto homologado],MATCH(tItens[[#This Row],[Produto]],tProdutos[Produto],0))),DescontoPadrao)</f>
        <v>0.35326086956521702</v>
      </c>
      <c r="M4752" s="12">
        <f>tItens[[#This Row],[Valor]]*(1-tItens[[#This Row],[Desconto]])</f>
        <v>491.84510869565241</v>
      </c>
      <c r="N4752" t="str">
        <f>IFERROR(INDEX(tProdutos[Foco],MATCH(tItens[[#This Row],[Produto]],tProdutos[Produto],0)),"Não")</f>
        <v>Não</v>
      </c>
      <c r="O4752" t="str">
        <f>IFERROR(INDEX(tEditais[SRP],MATCH(tItens[[#This Row],[Edital]],tEditais[Edital],0)),"Não")</f>
        <v>Não</v>
      </c>
      <c r="P4752" s="4">
        <f>IF(COUNTIFS(INDEX(tItens[Edital],1):tItens[[#This Row],[Edital]],tItens[[#This Row],[Edital]],INDEX(tItens[Produto],1):tItens[[#This Row],[Produto]],tItens[[#This Row],[Produto]])=1,1,0)</f>
        <v>1</v>
      </c>
    </row>
    <row r="4753" spans="1:16" x14ac:dyDescent="0.25">
      <c r="A4753" t="s">
        <v>1870</v>
      </c>
      <c r="B4753">
        <v>166</v>
      </c>
      <c r="C4753" t="s">
        <v>7581</v>
      </c>
      <c r="D4753" t="s">
        <v>257</v>
      </c>
      <c r="E4753" s="13">
        <v>130</v>
      </c>
      <c r="F4753" s="12">
        <v>20.59</v>
      </c>
      <c r="G4753" t="str">
        <f>IFERROR(INDEX(tEditais[Órgão],MATCH(tItens[[#This Row],[Edital]],tEditais[Edital],0)),"")</f>
        <v>MUNICIPIO DE FREI MIGUELINHO</v>
      </c>
      <c r="H4753" t="str">
        <f>IFERROR(INDEX(tEditais[UF],MATCH(tItens[[#This Row],[Edital]],tEditais[Edital],0)),"")</f>
        <v>PE</v>
      </c>
      <c r="I4753" s="11">
        <f>IFERROR(INDEX(tEditais[Encerramento],MATCH(tItens[[#This Row],[Edital]],tEditais[Edital],0)),"")</f>
        <v>46308.375</v>
      </c>
      <c r="J4753" t="str">
        <f>IFERROR(INDEX(tProdutos[Classe],MATCH(tItens[[#This Row],[Produto]],tProdutos[Produto],0)),"produto não cadastrado")</f>
        <v>FORA</v>
      </c>
      <c r="K4753" s="12">
        <f>tItens[[#This Row],[Qtd]]*tItens[[#This Row],[Vlr unit]]</f>
        <v>2676.7</v>
      </c>
      <c r="L4753" s="6">
        <f>IFERROR(IF(INDEX(tProdutos[Desconto homologado],MATCH(tItens[[#This Row],[Produto]],tProdutos[Produto],0))="",DescontoPadrao,INDEX(tProdutos[Desconto homologado],MATCH(tItens[[#This Row],[Produto]],tProdutos[Produto],0))),DescontoPadrao)</f>
        <v>0.500812004991805</v>
      </c>
      <c r="M4753" s="12">
        <f>tItens[[#This Row],[Valor]]*(1-tItens[[#This Row],[Desconto]])</f>
        <v>1336.1765062384354</v>
      </c>
      <c r="N4753" t="str">
        <f>IFERROR(INDEX(tProdutos[Foco],MATCH(tItens[[#This Row],[Produto]],tProdutos[Produto],0)),"Não")</f>
        <v>Não</v>
      </c>
      <c r="O4753" t="str">
        <f>IFERROR(INDEX(tEditais[SRP],MATCH(tItens[[#This Row],[Edital]],tEditais[Edital],0)),"Não")</f>
        <v>Não</v>
      </c>
      <c r="P4753" s="4">
        <f>IF(COUNTIFS(INDEX(tItens[Edital],1):tItens[[#This Row],[Edital]],tItens[[#This Row],[Edital]],INDEX(tItens[Produto],1):tItens[[#This Row],[Produto]],tItens[[#This Row],[Produto]])=1,1,0)</f>
        <v>1</v>
      </c>
    </row>
    <row r="4754" spans="1:16" x14ac:dyDescent="0.25">
      <c r="A4754" t="s">
        <v>1870</v>
      </c>
      <c r="B4754">
        <v>167</v>
      </c>
      <c r="C4754" t="s">
        <v>7582</v>
      </c>
      <c r="D4754" t="s">
        <v>249</v>
      </c>
      <c r="E4754" s="13">
        <v>65</v>
      </c>
      <c r="F4754" s="12">
        <v>9.5399999999999991</v>
      </c>
      <c r="G4754" t="str">
        <f>IFERROR(INDEX(tEditais[Órgão],MATCH(tItens[[#This Row],[Edital]],tEditais[Edital],0)),"")</f>
        <v>MUNICIPIO DE FREI MIGUELINHO</v>
      </c>
      <c r="H4754" t="str">
        <f>IFERROR(INDEX(tEditais[UF],MATCH(tItens[[#This Row],[Edital]],tEditais[Edital],0)),"")</f>
        <v>PE</v>
      </c>
      <c r="I4754" s="11">
        <f>IFERROR(INDEX(tEditais[Encerramento],MATCH(tItens[[#This Row],[Edital]],tEditais[Edital],0)),"")</f>
        <v>46308.375</v>
      </c>
      <c r="J4754" t="str">
        <f>IFERROR(INDEX(tProdutos[Classe],MATCH(tItens[[#This Row],[Produto]],tProdutos[Produto],0)),"produto não cadastrado")</f>
        <v>FORA</v>
      </c>
      <c r="K4754" s="12">
        <f>tItens[[#This Row],[Qtd]]*tItens[[#This Row],[Vlr unit]]</f>
        <v>620.09999999999991</v>
      </c>
      <c r="L4754" s="6">
        <f>IFERROR(IF(INDEX(tProdutos[Desconto homologado],MATCH(tItens[[#This Row],[Produto]],tProdutos[Produto],0))="",DescontoPadrao,INDEX(tProdutos[Desconto homologado],MATCH(tItens[[#This Row],[Produto]],tProdutos[Produto],0))),DescontoPadrao)</f>
        <v>0.45399945399945402</v>
      </c>
      <c r="M4754" s="12">
        <f>tItens[[#This Row],[Valor]]*(1-tItens[[#This Row],[Desconto]])</f>
        <v>338.57493857493847</v>
      </c>
      <c r="N4754" t="str">
        <f>IFERROR(INDEX(tProdutos[Foco],MATCH(tItens[[#This Row],[Produto]],tProdutos[Produto],0)),"Não")</f>
        <v>Não</v>
      </c>
      <c r="O4754" t="str">
        <f>IFERROR(INDEX(tEditais[SRP],MATCH(tItens[[#This Row],[Edital]],tEditais[Edital],0)),"Não")</f>
        <v>Não</v>
      </c>
      <c r="P4754" s="4">
        <f>IF(COUNTIFS(INDEX(tItens[Edital],1):tItens[[#This Row],[Edital]],tItens[[#This Row],[Edital]],INDEX(tItens[Produto],1):tItens[[#This Row],[Produto]],tItens[[#This Row],[Produto]])=1,1,0)</f>
        <v>1</v>
      </c>
    </row>
    <row r="4755" spans="1:16" x14ac:dyDescent="0.25">
      <c r="A4755" t="s">
        <v>1870</v>
      </c>
      <c r="B4755">
        <v>182</v>
      </c>
      <c r="C4755" t="s">
        <v>7583</v>
      </c>
      <c r="D4755" t="s">
        <v>494</v>
      </c>
      <c r="E4755" s="13">
        <v>30</v>
      </c>
      <c r="F4755" s="12">
        <v>59.91</v>
      </c>
      <c r="G4755" t="str">
        <f>IFERROR(INDEX(tEditais[Órgão],MATCH(tItens[[#This Row],[Edital]],tEditais[Edital],0)),"")</f>
        <v>MUNICIPIO DE FREI MIGUELINHO</v>
      </c>
      <c r="H4755" t="str">
        <f>IFERROR(INDEX(tEditais[UF],MATCH(tItens[[#This Row],[Edital]],tEditais[Edital],0)),"")</f>
        <v>PE</v>
      </c>
      <c r="I4755" s="11">
        <f>IFERROR(INDEX(tEditais[Encerramento],MATCH(tItens[[#This Row],[Edital]],tEditais[Edital],0)),"")</f>
        <v>46308.375</v>
      </c>
      <c r="J4755" t="str">
        <f>IFERROR(INDEX(tProdutos[Classe],MATCH(tItens[[#This Row],[Produto]],tProdutos[Produto],0)),"produto não cadastrado")</f>
        <v>FILA REBASE</v>
      </c>
      <c r="K4755" s="12">
        <f>tItens[[#This Row],[Qtd]]*tItens[[#This Row],[Vlr unit]]</f>
        <v>1797.3</v>
      </c>
      <c r="L4755" s="6">
        <f>IFERROR(IF(INDEX(tProdutos[Desconto homologado],MATCH(tItens[[#This Row],[Produto]],tProdutos[Produto],0))="",DescontoPadrao,INDEX(tProdutos[Desconto homologado],MATCH(tItens[[#This Row],[Produto]],tProdutos[Produto],0))),DescontoPadrao)</f>
        <v>0.253736324829619</v>
      </c>
      <c r="M4755" s="12">
        <f>tItens[[#This Row],[Valor]]*(1-tItens[[#This Row],[Desconto]])</f>
        <v>1341.2597033837258</v>
      </c>
      <c r="N4755" t="str">
        <f>IFERROR(INDEX(tProdutos[Foco],MATCH(tItens[[#This Row],[Produto]],tProdutos[Produto],0)),"Não")</f>
        <v>Não</v>
      </c>
      <c r="O4755" t="str">
        <f>IFERROR(INDEX(tEditais[SRP],MATCH(tItens[[#This Row],[Edital]],tEditais[Edital],0)),"Não")</f>
        <v>Não</v>
      </c>
      <c r="P4755" s="4">
        <f>IF(COUNTIFS(INDEX(tItens[Edital],1):tItens[[#This Row],[Edital]],tItens[[#This Row],[Edital]],INDEX(tItens[Produto],1):tItens[[#This Row],[Produto]],tItens[[#This Row],[Produto]])=1,1,0)</f>
        <v>1</v>
      </c>
    </row>
    <row r="4756" spans="1:16" x14ac:dyDescent="0.25">
      <c r="A4756" t="s">
        <v>1870</v>
      </c>
      <c r="B4756">
        <v>183</v>
      </c>
      <c r="C4756" t="s">
        <v>7584</v>
      </c>
      <c r="D4756" t="s">
        <v>494</v>
      </c>
      <c r="E4756" s="13">
        <v>30</v>
      </c>
      <c r="F4756" s="12">
        <v>88.23</v>
      </c>
      <c r="G4756" t="str">
        <f>IFERROR(INDEX(tEditais[Órgão],MATCH(tItens[[#This Row],[Edital]],tEditais[Edital],0)),"")</f>
        <v>MUNICIPIO DE FREI MIGUELINHO</v>
      </c>
      <c r="H4756" t="str">
        <f>IFERROR(INDEX(tEditais[UF],MATCH(tItens[[#This Row],[Edital]],tEditais[Edital],0)),"")</f>
        <v>PE</v>
      </c>
      <c r="I4756" s="11">
        <f>IFERROR(INDEX(tEditais[Encerramento],MATCH(tItens[[#This Row],[Edital]],tEditais[Edital],0)),"")</f>
        <v>46308.375</v>
      </c>
      <c r="J4756" t="str">
        <f>IFERROR(INDEX(tProdutos[Classe],MATCH(tItens[[#This Row],[Produto]],tProdutos[Produto],0)),"produto não cadastrado")</f>
        <v>FILA REBASE</v>
      </c>
      <c r="K4756" s="12">
        <f>tItens[[#This Row],[Qtd]]*tItens[[#This Row],[Vlr unit]]</f>
        <v>2646.9</v>
      </c>
      <c r="L4756" s="6">
        <f>IFERROR(IF(INDEX(tProdutos[Desconto homologado],MATCH(tItens[[#This Row],[Produto]],tProdutos[Produto],0))="",DescontoPadrao,INDEX(tProdutos[Desconto homologado],MATCH(tItens[[#This Row],[Produto]],tProdutos[Produto],0))),DescontoPadrao)</f>
        <v>0.253736324829619</v>
      </c>
      <c r="M4756" s="12">
        <f>tItens[[#This Row],[Valor]]*(1-tItens[[#This Row],[Desconto]])</f>
        <v>1975.2853218084817</v>
      </c>
      <c r="N4756" t="str">
        <f>IFERROR(INDEX(tProdutos[Foco],MATCH(tItens[[#This Row],[Produto]],tProdutos[Produto],0)),"Não")</f>
        <v>Não</v>
      </c>
      <c r="O4756" t="str">
        <f>IFERROR(INDEX(tEditais[SRP],MATCH(tItens[[#This Row],[Edital]],tEditais[Edital],0)),"Não")</f>
        <v>Não</v>
      </c>
      <c r="P4756" s="4">
        <f>IF(COUNTIFS(INDEX(tItens[Edital],1):tItens[[#This Row],[Edital]],tItens[[#This Row],[Edital]],INDEX(tItens[Produto],1):tItens[[#This Row],[Produto]],tItens[[#This Row],[Produto]])=1,1,0)</f>
        <v>0</v>
      </c>
    </row>
    <row r="4757" spans="1:16" x14ac:dyDescent="0.25">
      <c r="A4757" t="s">
        <v>1870</v>
      </c>
      <c r="B4757">
        <v>184</v>
      </c>
      <c r="C4757" t="s">
        <v>7585</v>
      </c>
      <c r="D4757" t="s">
        <v>494</v>
      </c>
      <c r="E4757" s="13">
        <v>30</v>
      </c>
      <c r="F4757" s="12">
        <v>171.61</v>
      </c>
      <c r="G4757" t="str">
        <f>IFERROR(INDEX(tEditais[Órgão],MATCH(tItens[[#This Row],[Edital]],tEditais[Edital],0)),"")</f>
        <v>MUNICIPIO DE FREI MIGUELINHO</v>
      </c>
      <c r="H4757" t="str">
        <f>IFERROR(INDEX(tEditais[UF],MATCH(tItens[[#This Row],[Edital]],tEditais[Edital],0)),"")</f>
        <v>PE</v>
      </c>
      <c r="I4757" s="11">
        <f>IFERROR(INDEX(tEditais[Encerramento],MATCH(tItens[[#This Row],[Edital]],tEditais[Edital],0)),"")</f>
        <v>46308.375</v>
      </c>
      <c r="J4757" t="str">
        <f>IFERROR(INDEX(tProdutos[Classe],MATCH(tItens[[#This Row],[Produto]],tProdutos[Produto],0)),"produto não cadastrado")</f>
        <v>FILA REBASE</v>
      </c>
      <c r="K4757" s="12">
        <f>tItens[[#This Row],[Qtd]]*tItens[[#This Row],[Vlr unit]]</f>
        <v>5148.3</v>
      </c>
      <c r="L4757" s="6">
        <f>IFERROR(IF(INDEX(tProdutos[Desconto homologado],MATCH(tItens[[#This Row],[Produto]],tProdutos[Produto],0))="",DescontoPadrao,INDEX(tProdutos[Desconto homologado],MATCH(tItens[[#This Row],[Produto]],tProdutos[Produto],0))),DescontoPadrao)</f>
        <v>0.253736324829619</v>
      </c>
      <c r="M4757" s="12">
        <f>tItens[[#This Row],[Valor]]*(1-tItens[[#This Row],[Desconto]])</f>
        <v>3841.9892788796728</v>
      </c>
      <c r="N4757" t="str">
        <f>IFERROR(INDEX(tProdutos[Foco],MATCH(tItens[[#This Row],[Produto]],tProdutos[Produto],0)),"Não")</f>
        <v>Não</v>
      </c>
      <c r="O4757" t="str">
        <f>IFERROR(INDEX(tEditais[SRP],MATCH(tItens[[#This Row],[Edital]],tEditais[Edital],0)),"Não")</f>
        <v>Não</v>
      </c>
      <c r="P4757" s="4">
        <f>IF(COUNTIFS(INDEX(tItens[Edital],1):tItens[[#This Row],[Edital]],tItens[[#This Row],[Edital]],INDEX(tItens[Produto],1):tItens[[#This Row],[Produto]],tItens[[#This Row],[Produto]])=1,1,0)</f>
        <v>0</v>
      </c>
    </row>
    <row r="4758" spans="1:16" x14ac:dyDescent="0.25">
      <c r="A4758" t="s">
        <v>1870</v>
      </c>
      <c r="B4758">
        <v>185</v>
      </c>
      <c r="C4758" t="s">
        <v>7586</v>
      </c>
      <c r="D4758" t="s">
        <v>494</v>
      </c>
      <c r="E4758" s="13">
        <v>30</v>
      </c>
      <c r="F4758" s="12">
        <v>180.63</v>
      </c>
      <c r="G4758" t="str">
        <f>IFERROR(INDEX(tEditais[Órgão],MATCH(tItens[[#This Row],[Edital]],tEditais[Edital],0)),"")</f>
        <v>MUNICIPIO DE FREI MIGUELINHO</v>
      </c>
      <c r="H4758" t="str">
        <f>IFERROR(INDEX(tEditais[UF],MATCH(tItens[[#This Row],[Edital]],tEditais[Edital],0)),"")</f>
        <v>PE</v>
      </c>
      <c r="I4758" s="11">
        <f>IFERROR(INDEX(tEditais[Encerramento],MATCH(tItens[[#This Row],[Edital]],tEditais[Edital],0)),"")</f>
        <v>46308.375</v>
      </c>
      <c r="J4758" t="str">
        <f>IFERROR(INDEX(tProdutos[Classe],MATCH(tItens[[#This Row],[Produto]],tProdutos[Produto],0)),"produto não cadastrado")</f>
        <v>FILA REBASE</v>
      </c>
      <c r="K4758" s="12">
        <f>tItens[[#This Row],[Qtd]]*tItens[[#This Row],[Vlr unit]]</f>
        <v>5418.9</v>
      </c>
      <c r="L4758" s="6">
        <f>IFERROR(IF(INDEX(tProdutos[Desconto homologado],MATCH(tItens[[#This Row],[Produto]],tProdutos[Produto],0))="",DescontoPadrao,INDEX(tProdutos[Desconto homologado],MATCH(tItens[[#This Row],[Produto]],tProdutos[Produto],0))),DescontoPadrao)</f>
        <v>0.253736324829619</v>
      </c>
      <c r="M4758" s="12">
        <f>tItens[[#This Row],[Valor]]*(1-tItens[[#This Row],[Desconto]])</f>
        <v>4043.9282293807778</v>
      </c>
      <c r="N4758" t="str">
        <f>IFERROR(INDEX(tProdutos[Foco],MATCH(tItens[[#This Row],[Produto]],tProdutos[Produto],0)),"Não")</f>
        <v>Não</v>
      </c>
      <c r="O4758" t="str">
        <f>IFERROR(INDEX(tEditais[SRP],MATCH(tItens[[#This Row],[Edital]],tEditais[Edital],0)),"Não")</f>
        <v>Não</v>
      </c>
      <c r="P4758" s="4">
        <f>IF(COUNTIFS(INDEX(tItens[Edital],1):tItens[[#This Row],[Edital]],tItens[[#This Row],[Edital]],INDEX(tItens[Produto],1):tItens[[#This Row],[Produto]],tItens[[#This Row],[Produto]])=1,1,0)</f>
        <v>0</v>
      </c>
    </row>
    <row r="4759" spans="1:16" x14ac:dyDescent="0.25">
      <c r="A4759" t="s">
        <v>1870</v>
      </c>
      <c r="B4759">
        <v>202</v>
      </c>
      <c r="C4759" t="s">
        <v>7587</v>
      </c>
      <c r="D4759" t="s">
        <v>275</v>
      </c>
      <c r="E4759" s="13">
        <v>20000</v>
      </c>
      <c r="F4759" s="12">
        <v>0.42</v>
      </c>
      <c r="G4759" t="str">
        <f>IFERROR(INDEX(tEditais[Órgão],MATCH(tItens[[#This Row],[Edital]],tEditais[Edital],0)),"")</f>
        <v>MUNICIPIO DE FREI MIGUELINHO</v>
      </c>
      <c r="H4759" t="str">
        <f>IFERROR(INDEX(tEditais[UF],MATCH(tItens[[#This Row],[Edital]],tEditais[Edital],0)),"")</f>
        <v>PE</v>
      </c>
      <c r="I4759" s="11">
        <f>IFERROR(INDEX(tEditais[Encerramento],MATCH(tItens[[#This Row],[Edital]],tEditais[Edital],0)),"")</f>
        <v>46308.375</v>
      </c>
      <c r="J4759" t="str">
        <f>IFERROR(INDEX(tProdutos[Classe],MATCH(tItens[[#This Row],[Produto]],tProdutos[Produto],0)),"produto não cadastrado")</f>
        <v>FORA</v>
      </c>
      <c r="K4759" s="12">
        <f>tItens[[#This Row],[Qtd]]*tItens[[#This Row],[Vlr unit]]</f>
        <v>8400</v>
      </c>
      <c r="L4759" s="6">
        <f>IFERROR(IF(INDEX(tProdutos[Desconto homologado],MATCH(tItens[[#This Row],[Produto]],tProdutos[Produto],0))="",DescontoPadrao,INDEX(tProdutos[Desconto homologado],MATCH(tItens[[#This Row],[Produto]],tProdutos[Produto],0))),DescontoPadrao)</f>
        <v>0.405797101449275</v>
      </c>
      <c r="M4759" s="12">
        <f>tItens[[#This Row],[Valor]]*(1-tItens[[#This Row],[Desconto]])</f>
        <v>4991.3043478260906</v>
      </c>
      <c r="N4759" t="str">
        <f>IFERROR(INDEX(tProdutos[Foco],MATCH(tItens[[#This Row],[Produto]],tProdutos[Produto],0)),"Não")</f>
        <v>Não</v>
      </c>
      <c r="O4759" t="str">
        <f>IFERROR(INDEX(tEditais[SRP],MATCH(tItens[[#This Row],[Edital]],tEditais[Edital],0)),"Não")</f>
        <v>Não</v>
      </c>
      <c r="P4759" s="4">
        <f>IF(COUNTIFS(INDEX(tItens[Edital],1):tItens[[#This Row],[Edital]],tItens[[#This Row],[Edital]],INDEX(tItens[Produto],1):tItens[[#This Row],[Produto]],tItens[[#This Row],[Produto]])=1,1,0)</f>
        <v>1</v>
      </c>
    </row>
    <row r="4760" spans="1:16" x14ac:dyDescent="0.25">
      <c r="A4760" t="s">
        <v>1870</v>
      </c>
      <c r="B4760">
        <v>203</v>
      </c>
      <c r="C4760" t="s">
        <v>7588</v>
      </c>
      <c r="D4760" t="s">
        <v>283</v>
      </c>
      <c r="E4760" s="13">
        <v>45000</v>
      </c>
      <c r="F4760" s="12">
        <v>0.45</v>
      </c>
      <c r="G4760" t="str">
        <f>IFERROR(INDEX(tEditais[Órgão],MATCH(tItens[[#This Row],[Edital]],tEditais[Edital],0)),"")</f>
        <v>MUNICIPIO DE FREI MIGUELINHO</v>
      </c>
      <c r="H4760" t="str">
        <f>IFERROR(INDEX(tEditais[UF],MATCH(tItens[[#This Row],[Edital]],tEditais[Edital],0)),"")</f>
        <v>PE</v>
      </c>
      <c r="I4760" s="11">
        <f>IFERROR(INDEX(tEditais[Encerramento],MATCH(tItens[[#This Row],[Edital]],tEditais[Edital],0)),"")</f>
        <v>46308.375</v>
      </c>
      <c r="J4760" t="str">
        <f>IFERROR(INDEX(tProdutos[Classe],MATCH(tItens[[#This Row],[Produto]],tProdutos[Produto],0)),"produto não cadastrado")</f>
        <v>FORA</v>
      </c>
      <c r="K4760" s="12">
        <f>tItens[[#This Row],[Qtd]]*tItens[[#This Row],[Vlr unit]]</f>
        <v>20250</v>
      </c>
      <c r="L4760" s="6">
        <f>IFERROR(IF(INDEX(tProdutos[Desconto homologado],MATCH(tItens[[#This Row],[Produto]],tProdutos[Produto],0))="",DescontoPadrao,INDEX(tProdutos[Desconto homologado],MATCH(tItens[[#This Row],[Produto]],tProdutos[Produto],0))),DescontoPadrao)</f>
        <v>0.40540540540540498</v>
      </c>
      <c r="M4760" s="12">
        <f>tItens[[#This Row],[Valor]]*(1-tItens[[#This Row],[Desconto]])</f>
        <v>12040.540540540547</v>
      </c>
      <c r="N4760" t="str">
        <f>IFERROR(INDEX(tProdutos[Foco],MATCH(tItens[[#This Row],[Produto]],tProdutos[Produto],0)),"Não")</f>
        <v>Não</v>
      </c>
      <c r="O4760" t="str">
        <f>IFERROR(INDEX(tEditais[SRP],MATCH(tItens[[#This Row],[Edital]],tEditais[Edital],0)),"Não")</f>
        <v>Não</v>
      </c>
      <c r="P4760" s="4">
        <f>IF(COUNTIFS(INDEX(tItens[Edital],1):tItens[[#This Row],[Edital]],tItens[[#This Row],[Edital]],INDEX(tItens[Produto],1):tItens[[#This Row],[Produto]],tItens[[#This Row],[Produto]])=1,1,0)</f>
        <v>1</v>
      </c>
    </row>
    <row r="4761" spans="1:16" x14ac:dyDescent="0.25">
      <c r="A4761" t="s">
        <v>1870</v>
      </c>
      <c r="B4761">
        <v>204</v>
      </c>
      <c r="C4761" t="s">
        <v>7589</v>
      </c>
      <c r="D4761" t="s">
        <v>265</v>
      </c>
      <c r="E4761" s="13">
        <v>45000</v>
      </c>
      <c r="F4761" s="12">
        <v>0.77</v>
      </c>
      <c r="G4761" t="str">
        <f>IFERROR(INDEX(tEditais[Órgão],MATCH(tItens[[#This Row],[Edital]],tEditais[Edital],0)),"")</f>
        <v>MUNICIPIO DE FREI MIGUELINHO</v>
      </c>
      <c r="H4761" t="str">
        <f>IFERROR(INDEX(tEditais[UF],MATCH(tItens[[#This Row],[Edital]],tEditais[Edital],0)),"")</f>
        <v>PE</v>
      </c>
      <c r="I4761" s="11">
        <f>IFERROR(INDEX(tEditais[Encerramento],MATCH(tItens[[#This Row],[Edital]],tEditais[Edital],0)),"")</f>
        <v>46308.375</v>
      </c>
      <c r="J4761" t="str">
        <f>IFERROR(INDEX(tProdutos[Classe],MATCH(tItens[[#This Row],[Produto]],tProdutos[Produto],0)),"produto não cadastrado")</f>
        <v>DISPUTADO</v>
      </c>
      <c r="K4761" s="12">
        <f>tItens[[#This Row],[Qtd]]*tItens[[#This Row],[Vlr unit]]</f>
        <v>34650</v>
      </c>
      <c r="L4761" s="6">
        <f>IFERROR(IF(INDEX(tProdutos[Desconto homologado],MATCH(tItens[[#This Row],[Produto]],tProdutos[Produto],0))="",DescontoPadrao,INDEX(tProdutos[Desconto homologado],MATCH(tItens[[#This Row],[Produto]],tProdutos[Produto],0))),DescontoPadrao)</f>
        <v>0.377587663709337</v>
      </c>
      <c r="M4761" s="12">
        <f>tItens[[#This Row],[Valor]]*(1-tItens[[#This Row],[Desconto]])</f>
        <v>21566.587452471475</v>
      </c>
      <c r="N4761" t="str">
        <f>IFERROR(INDEX(tProdutos[Foco],MATCH(tItens[[#This Row],[Produto]],tProdutos[Produto],0)),"Não")</f>
        <v>Não</v>
      </c>
      <c r="O4761" t="str">
        <f>IFERROR(INDEX(tEditais[SRP],MATCH(tItens[[#This Row],[Edital]],tEditais[Edital],0)),"Não")</f>
        <v>Não</v>
      </c>
      <c r="P4761" s="4">
        <f>IF(COUNTIFS(INDEX(tItens[Edital],1):tItens[[#This Row],[Edital]],tItens[[#This Row],[Edital]],INDEX(tItens[Produto],1):tItens[[#This Row],[Produto]],tItens[[#This Row],[Produto]])=1,1,0)</f>
        <v>1</v>
      </c>
    </row>
    <row r="4762" spans="1:16" x14ac:dyDescent="0.25">
      <c r="A4762" t="s">
        <v>1870</v>
      </c>
      <c r="B4762">
        <v>205</v>
      </c>
      <c r="C4762" t="s">
        <v>7590</v>
      </c>
      <c r="D4762" t="s">
        <v>281</v>
      </c>
      <c r="E4762" s="13">
        <v>50000</v>
      </c>
      <c r="F4762" s="12">
        <v>0.77</v>
      </c>
      <c r="G4762" t="str">
        <f>IFERROR(INDEX(tEditais[Órgão],MATCH(tItens[[#This Row],[Edital]],tEditais[Edital],0)),"")</f>
        <v>MUNICIPIO DE FREI MIGUELINHO</v>
      </c>
      <c r="H4762" t="str">
        <f>IFERROR(INDEX(tEditais[UF],MATCH(tItens[[#This Row],[Edital]],tEditais[Edital],0)),"")</f>
        <v>PE</v>
      </c>
      <c r="I4762" s="11">
        <f>IFERROR(INDEX(tEditais[Encerramento],MATCH(tItens[[#This Row],[Edital]],tEditais[Edital],0)),"")</f>
        <v>46308.375</v>
      </c>
      <c r="J4762" t="str">
        <f>IFERROR(INDEX(tProdutos[Classe],MATCH(tItens[[#This Row],[Produto]],tProdutos[Produto],0)),"produto não cadastrado")</f>
        <v>DISPUTADO</v>
      </c>
      <c r="K4762" s="12">
        <f>tItens[[#This Row],[Qtd]]*tItens[[#This Row],[Vlr unit]]</f>
        <v>38500</v>
      </c>
      <c r="L4762" s="6">
        <f>IFERROR(IF(INDEX(tProdutos[Desconto homologado],MATCH(tItens[[#This Row],[Produto]],tProdutos[Produto],0))="",DescontoPadrao,INDEX(tProdutos[Desconto homologado],MATCH(tItens[[#This Row],[Produto]],tProdutos[Produto],0))),DescontoPadrao)</f>
        <v>0.42461538461538501</v>
      </c>
      <c r="M4762" s="12">
        <f>tItens[[#This Row],[Valor]]*(1-tItens[[#This Row],[Desconto]])</f>
        <v>22152.307692307677</v>
      </c>
      <c r="N4762" t="str">
        <f>IFERROR(INDEX(tProdutos[Foco],MATCH(tItens[[#This Row],[Produto]],tProdutos[Produto],0)),"Não")</f>
        <v>Não</v>
      </c>
      <c r="O4762" t="str">
        <f>IFERROR(INDEX(tEditais[SRP],MATCH(tItens[[#This Row],[Edital]],tEditais[Edital],0)),"Não")</f>
        <v>Não</v>
      </c>
      <c r="P4762" s="4">
        <f>IF(COUNTIFS(INDEX(tItens[Edital],1):tItens[[#This Row],[Edital]],tItens[[#This Row],[Edital]],INDEX(tItens[Produto],1):tItens[[#This Row],[Produto]],tItens[[#This Row],[Produto]])=1,1,0)</f>
        <v>1</v>
      </c>
    </row>
    <row r="4763" spans="1:16" x14ac:dyDescent="0.25">
      <c r="A4763" t="s">
        <v>1870</v>
      </c>
      <c r="B4763">
        <v>206</v>
      </c>
      <c r="C4763" t="s">
        <v>7591</v>
      </c>
      <c r="D4763" t="s">
        <v>289</v>
      </c>
      <c r="E4763" s="13">
        <v>30000</v>
      </c>
      <c r="F4763" s="12">
        <v>0.6</v>
      </c>
      <c r="G4763" t="str">
        <f>IFERROR(INDEX(tEditais[Órgão],MATCH(tItens[[#This Row],[Edital]],tEditais[Edital],0)),"")</f>
        <v>MUNICIPIO DE FREI MIGUELINHO</v>
      </c>
      <c r="H4763" t="str">
        <f>IFERROR(INDEX(tEditais[UF],MATCH(tItens[[#This Row],[Edital]],tEditais[Edital],0)),"")</f>
        <v>PE</v>
      </c>
      <c r="I4763" s="11">
        <f>IFERROR(INDEX(tEditais[Encerramento],MATCH(tItens[[#This Row],[Edital]],tEditais[Edital],0)),"")</f>
        <v>46308.375</v>
      </c>
      <c r="J4763" t="str">
        <f>IFERROR(INDEX(tProdutos[Classe],MATCH(tItens[[#This Row],[Produto]],tProdutos[Produto],0)),"produto não cadastrado")</f>
        <v>DISPUTADO</v>
      </c>
      <c r="K4763" s="12">
        <f>tItens[[#This Row],[Qtd]]*tItens[[#This Row],[Vlr unit]]</f>
        <v>18000</v>
      </c>
      <c r="L4763" s="6">
        <f>IFERROR(IF(INDEX(tProdutos[Desconto homologado],MATCH(tItens[[#This Row],[Produto]],tProdutos[Produto],0))="",DescontoPadrao,INDEX(tProdutos[Desconto homologado],MATCH(tItens[[#This Row],[Produto]],tProdutos[Produto],0))),DescontoPadrao)</f>
        <v>0.35849056603773599</v>
      </c>
      <c r="M4763" s="12">
        <f>tItens[[#This Row],[Valor]]*(1-tItens[[#This Row],[Desconto]])</f>
        <v>11547.169811320751</v>
      </c>
      <c r="N4763" t="str">
        <f>IFERROR(INDEX(tProdutos[Foco],MATCH(tItens[[#This Row],[Produto]],tProdutos[Produto],0)),"Não")</f>
        <v>Não</v>
      </c>
      <c r="O4763" t="str">
        <f>IFERROR(INDEX(tEditais[SRP],MATCH(tItens[[#This Row],[Edital]],tEditais[Edital],0)),"Não")</f>
        <v>Não</v>
      </c>
      <c r="P4763" s="4">
        <f>IF(COUNTIFS(INDEX(tItens[Edital],1):tItens[[#This Row],[Edital]],tItens[[#This Row],[Edital]],INDEX(tItens[Produto],1):tItens[[#This Row],[Produto]],tItens[[#This Row],[Produto]])=1,1,0)</f>
        <v>1</v>
      </c>
    </row>
    <row r="4764" spans="1:16" x14ac:dyDescent="0.25">
      <c r="A4764" t="s">
        <v>1870</v>
      </c>
      <c r="B4764">
        <v>216</v>
      </c>
      <c r="C4764" t="s">
        <v>7592</v>
      </c>
      <c r="D4764" t="s">
        <v>120</v>
      </c>
      <c r="E4764" s="13">
        <v>200</v>
      </c>
      <c r="F4764" s="12">
        <v>0.54</v>
      </c>
      <c r="G4764" t="str">
        <f>IFERROR(INDEX(tEditais[Órgão],MATCH(tItens[[#This Row],[Edital]],tEditais[Edital],0)),"")</f>
        <v>MUNICIPIO DE FREI MIGUELINHO</v>
      </c>
      <c r="H4764" t="str">
        <f>IFERROR(INDEX(tEditais[UF],MATCH(tItens[[#This Row],[Edital]],tEditais[Edital],0)),"")</f>
        <v>PE</v>
      </c>
      <c r="I4764" s="11">
        <f>IFERROR(INDEX(tEditais[Encerramento],MATCH(tItens[[#This Row],[Edital]],tEditais[Edital],0)),"")</f>
        <v>46308.375</v>
      </c>
      <c r="J4764" t="str">
        <f>IFERROR(INDEX(tProdutos[Classe],MATCH(tItens[[#This Row],[Produto]],tProdutos[Produto],0)),"produto não cadastrado")</f>
        <v>DISPUTADO</v>
      </c>
      <c r="K4764" s="12">
        <f>tItens[[#This Row],[Qtd]]*tItens[[#This Row],[Vlr unit]]</f>
        <v>108</v>
      </c>
      <c r="L4764" s="6">
        <f>IFERROR(IF(INDEX(tProdutos[Desconto homologado],MATCH(tItens[[#This Row],[Produto]],tProdutos[Produto],0))="",DescontoPadrao,INDEX(tProdutos[Desconto homologado],MATCH(tItens[[#This Row],[Produto]],tProdutos[Produto],0))),DescontoPadrao)</f>
        <v>0.40909090909090901</v>
      </c>
      <c r="M4764" s="12">
        <f>tItens[[#This Row],[Valor]]*(1-tItens[[#This Row],[Desconto]])</f>
        <v>63.818181818181834</v>
      </c>
      <c r="N4764" t="str">
        <f>IFERROR(INDEX(tProdutos[Foco],MATCH(tItens[[#This Row],[Produto]],tProdutos[Produto],0)),"Não")</f>
        <v>Não</v>
      </c>
      <c r="O4764" t="str">
        <f>IFERROR(INDEX(tEditais[SRP],MATCH(tItens[[#This Row],[Edital]],tEditais[Edital],0)),"Não")</f>
        <v>Não</v>
      </c>
      <c r="P4764" s="4">
        <f>IF(COUNTIFS(INDEX(tItens[Edital],1):tItens[[#This Row],[Edital]],tItens[[#This Row],[Edital]],INDEX(tItens[Produto],1):tItens[[#This Row],[Produto]],tItens[[#This Row],[Produto]])=1,1,0)</f>
        <v>1</v>
      </c>
    </row>
    <row r="4765" spans="1:16" x14ac:dyDescent="0.25">
      <c r="A4765" t="s">
        <v>1870</v>
      </c>
      <c r="B4765">
        <v>217</v>
      </c>
      <c r="C4765" t="s">
        <v>7593</v>
      </c>
      <c r="D4765" t="s">
        <v>120</v>
      </c>
      <c r="E4765" s="13">
        <v>500</v>
      </c>
      <c r="F4765" s="12">
        <v>0.73</v>
      </c>
      <c r="G4765" t="str">
        <f>IFERROR(INDEX(tEditais[Órgão],MATCH(tItens[[#This Row],[Edital]],tEditais[Edital],0)),"")</f>
        <v>MUNICIPIO DE FREI MIGUELINHO</v>
      </c>
      <c r="H4765" t="str">
        <f>IFERROR(INDEX(tEditais[UF],MATCH(tItens[[#This Row],[Edital]],tEditais[Edital],0)),"")</f>
        <v>PE</v>
      </c>
      <c r="I4765" s="11">
        <f>IFERROR(INDEX(tEditais[Encerramento],MATCH(tItens[[#This Row],[Edital]],tEditais[Edital],0)),"")</f>
        <v>46308.375</v>
      </c>
      <c r="J4765" t="str">
        <f>IFERROR(INDEX(tProdutos[Classe],MATCH(tItens[[#This Row],[Produto]],tProdutos[Produto],0)),"produto não cadastrado")</f>
        <v>DISPUTADO</v>
      </c>
      <c r="K4765" s="12">
        <f>tItens[[#This Row],[Qtd]]*tItens[[#This Row],[Vlr unit]]</f>
        <v>365</v>
      </c>
      <c r="L4765" s="6">
        <f>IFERROR(IF(INDEX(tProdutos[Desconto homologado],MATCH(tItens[[#This Row],[Produto]],tProdutos[Produto],0))="",DescontoPadrao,INDEX(tProdutos[Desconto homologado],MATCH(tItens[[#This Row],[Produto]],tProdutos[Produto],0))),DescontoPadrao)</f>
        <v>0.40909090909090901</v>
      </c>
      <c r="M4765" s="12">
        <f>tItens[[#This Row],[Valor]]*(1-tItens[[#This Row],[Desconto]])</f>
        <v>215.68181818181824</v>
      </c>
      <c r="N4765" t="str">
        <f>IFERROR(INDEX(tProdutos[Foco],MATCH(tItens[[#This Row],[Produto]],tProdutos[Produto],0)),"Não")</f>
        <v>Não</v>
      </c>
      <c r="O4765" t="str">
        <f>IFERROR(INDEX(tEditais[SRP],MATCH(tItens[[#This Row],[Edital]],tEditais[Edital],0)),"Não")</f>
        <v>Não</v>
      </c>
      <c r="P4765" s="4">
        <f>IF(COUNTIFS(INDEX(tItens[Edital],1):tItens[[#This Row],[Edital]],tItens[[#This Row],[Edital]],INDEX(tItens[Produto],1):tItens[[#This Row],[Produto]],tItens[[#This Row],[Produto]])=1,1,0)</f>
        <v>0</v>
      </c>
    </row>
    <row r="4766" spans="1:16" x14ac:dyDescent="0.25">
      <c r="A4766" t="s">
        <v>1870</v>
      </c>
      <c r="B4766">
        <v>218</v>
      </c>
      <c r="C4766" t="s">
        <v>7594</v>
      </c>
      <c r="D4766" t="s">
        <v>120</v>
      </c>
      <c r="E4766" s="13">
        <v>4000</v>
      </c>
      <c r="F4766" s="12">
        <v>0.79</v>
      </c>
      <c r="G4766" t="str">
        <f>IFERROR(INDEX(tEditais[Órgão],MATCH(tItens[[#This Row],[Edital]],tEditais[Edital],0)),"")</f>
        <v>MUNICIPIO DE FREI MIGUELINHO</v>
      </c>
      <c r="H4766" t="str">
        <f>IFERROR(INDEX(tEditais[UF],MATCH(tItens[[#This Row],[Edital]],tEditais[Edital],0)),"")</f>
        <v>PE</v>
      </c>
      <c r="I4766" s="11">
        <f>IFERROR(INDEX(tEditais[Encerramento],MATCH(tItens[[#This Row],[Edital]],tEditais[Edital],0)),"")</f>
        <v>46308.375</v>
      </c>
      <c r="J4766" t="str">
        <f>IFERROR(INDEX(tProdutos[Classe],MATCH(tItens[[#This Row],[Produto]],tProdutos[Produto],0)),"produto não cadastrado")</f>
        <v>DISPUTADO</v>
      </c>
      <c r="K4766" s="12">
        <f>tItens[[#This Row],[Qtd]]*tItens[[#This Row],[Vlr unit]]</f>
        <v>3160</v>
      </c>
      <c r="L4766" s="6">
        <f>IFERROR(IF(INDEX(tProdutos[Desconto homologado],MATCH(tItens[[#This Row],[Produto]],tProdutos[Produto],0))="",DescontoPadrao,INDEX(tProdutos[Desconto homologado],MATCH(tItens[[#This Row],[Produto]],tProdutos[Produto],0))),DescontoPadrao)</f>
        <v>0.40909090909090901</v>
      </c>
      <c r="M4766" s="12">
        <f>tItens[[#This Row],[Valor]]*(1-tItens[[#This Row],[Desconto]])</f>
        <v>1867.2727272727277</v>
      </c>
      <c r="N4766" t="str">
        <f>IFERROR(INDEX(tProdutos[Foco],MATCH(tItens[[#This Row],[Produto]],tProdutos[Produto],0)),"Não")</f>
        <v>Não</v>
      </c>
      <c r="O4766" t="str">
        <f>IFERROR(INDEX(tEditais[SRP],MATCH(tItens[[#This Row],[Edital]],tEditais[Edital],0)),"Não")</f>
        <v>Não</v>
      </c>
      <c r="P4766" s="4">
        <f>IF(COUNTIFS(INDEX(tItens[Edital],1):tItens[[#This Row],[Edital]],tItens[[#This Row],[Edital]],INDEX(tItens[Produto],1):tItens[[#This Row],[Produto]],tItens[[#This Row],[Produto]])=1,1,0)</f>
        <v>0</v>
      </c>
    </row>
    <row r="4767" spans="1:16" x14ac:dyDescent="0.25">
      <c r="A4767" t="s">
        <v>1870</v>
      </c>
      <c r="B4767">
        <v>219</v>
      </c>
      <c r="C4767" t="s">
        <v>7595</v>
      </c>
      <c r="D4767" t="s">
        <v>120</v>
      </c>
      <c r="E4767" s="13">
        <v>4000</v>
      </c>
      <c r="F4767" s="12">
        <v>0.74</v>
      </c>
      <c r="G4767" t="str">
        <f>IFERROR(INDEX(tEditais[Órgão],MATCH(tItens[[#This Row],[Edital]],tEditais[Edital],0)),"")</f>
        <v>MUNICIPIO DE FREI MIGUELINHO</v>
      </c>
      <c r="H4767" t="str">
        <f>IFERROR(INDEX(tEditais[UF],MATCH(tItens[[#This Row],[Edital]],tEditais[Edital],0)),"")</f>
        <v>PE</v>
      </c>
      <c r="I4767" s="11">
        <f>IFERROR(INDEX(tEditais[Encerramento],MATCH(tItens[[#This Row],[Edital]],tEditais[Edital],0)),"")</f>
        <v>46308.375</v>
      </c>
      <c r="J4767" t="str">
        <f>IFERROR(INDEX(tProdutos[Classe],MATCH(tItens[[#This Row],[Produto]],tProdutos[Produto],0)),"produto não cadastrado")</f>
        <v>DISPUTADO</v>
      </c>
      <c r="K4767" s="12">
        <f>tItens[[#This Row],[Qtd]]*tItens[[#This Row],[Vlr unit]]</f>
        <v>2960</v>
      </c>
      <c r="L4767" s="6">
        <f>IFERROR(IF(INDEX(tProdutos[Desconto homologado],MATCH(tItens[[#This Row],[Produto]],tProdutos[Produto],0))="",DescontoPadrao,INDEX(tProdutos[Desconto homologado],MATCH(tItens[[#This Row],[Produto]],tProdutos[Produto],0))),DescontoPadrao)</f>
        <v>0.40909090909090901</v>
      </c>
      <c r="M4767" s="12">
        <f>tItens[[#This Row],[Valor]]*(1-tItens[[#This Row],[Desconto]])</f>
        <v>1749.0909090909095</v>
      </c>
      <c r="N4767" t="str">
        <f>IFERROR(INDEX(tProdutos[Foco],MATCH(tItens[[#This Row],[Produto]],tProdutos[Produto],0)),"Não")</f>
        <v>Não</v>
      </c>
      <c r="O4767" t="str">
        <f>IFERROR(INDEX(tEditais[SRP],MATCH(tItens[[#This Row],[Edital]],tEditais[Edital],0)),"Não")</f>
        <v>Não</v>
      </c>
      <c r="P4767" s="4">
        <f>IF(COUNTIFS(INDEX(tItens[Edital],1):tItens[[#This Row],[Edital]],tItens[[#This Row],[Edital]],INDEX(tItens[Produto],1):tItens[[#This Row],[Produto]],tItens[[#This Row],[Produto]])=1,1,0)</f>
        <v>0</v>
      </c>
    </row>
    <row r="4768" spans="1:16" x14ac:dyDescent="0.25">
      <c r="A4768" t="s">
        <v>1870</v>
      </c>
      <c r="B4768">
        <v>220</v>
      </c>
      <c r="C4768" t="s">
        <v>7596</v>
      </c>
      <c r="D4768" t="s">
        <v>120</v>
      </c>
      <c r="E4768" s="13">
        <v>4000</v>
      </c>
      <c r="F4768" s="12">
        <v>1.1000000000000001</v>
      </c>
      <c r="G4768" t="str">
        <f>IFERROR(INDEX(tEditais[Órgão],MATCH(tItens[[#This Row],[Edital]],tEditais[Edital],0)),"")</f>
        <v>MUNICIPIO DE FREI MIGUELINHO</v>
      </c>
      <c r="H4768" t="str">
        <f>IFERROR(INDEX(tEditais[UF],MATCH(tItens[[#This Row],[Edital]],tEditais[Edital],0)),"")</f>
        <v>PE</v>
      </c>
      <c r="I4768" s="11">
        <f>IFERROR(INDEX(tEditais[Encerramento],MATCH(tItens[[#This Row],[Edital]],tEditais[Edital],0)),"")</f>
        <v>46308.375</v>
      </c>
      <c r="J4768" t="str">
        <f>IFERROR(INDEX(tProdutos[Classe],MATCH(tItens[[#This Row],[Produto]],tProdutos[Produto],0)),"produto não cadastrado")</f>
        <v>DISPUTADO</v>
      </c>
      <c r="K4768" s="12">
        <f>tItens[[#This Row],[Qtd]]*tItens[[#This Row],[Vlr unit]]</f>
        <v>4400</v>
      </c>
      <c r="L4768" s="6">
        <f>IFERROR(IF(INDEX(tProdutos[Desconto homologado],MATCH(tItens[[#This Row],[Produto]],tProdutos[Produto],0))="",DescontoPadrao,INDEX(tProdutos[Desconto homologado],MATCH(tItens[[#This Row],[Produto]],tProdutos[Produto],0))),DescontoPadrao)</f>
        <v>0.40909090909090901</v>
      </c>
      <c r="M4768" s="12">
        <f>tItens[[#This Row],[Valor]]*(1-tItens[[#This Row],[Desconto]])</f>
        <v>2600.0000000000005</v>
      </c>
      <c r="N4768" t="str">
        <f>IFERROR(INDEX(tProdutos[Foco],MATCH(tItens[[#This Row],[Produto]],tProdutos[Produto],0)),"Não")</f>
        <v>Não</v>
      </c>
      <c r="O4768" t="str">
        <f>IFERROR(INDEX(tEditais[SRP],MATCH(tItens[[#This Row],[Edital]],tEditais[Edital],0)),"Não")</f>
        <v>Não</v>
      </c>
      <c r="P4768" s="4">
        <f>IF(COUNTIFS(INDEX(tItens[Edital],1):tItens[[#This Row],[Edital]],tItens[[#This Row],[Edital]],INDEX(tItens[Produto],1):tItens[[#This Row],[Produto]],tItens[[#This Row],[Produto]])=1,1,0)</f>
        <v>0</v>
      </c>
    </row>
    <row r="4769" spans="1:16" x14ac:dyDescent="0.25">
      <c r="A4769" t="s">
        <v>1870</v>
      </c>
      <c r="B4769">
        <v>221</v>
      </c>
      <c r="C4769" t="s">
        <v>7597</v>
      </c>
      <c r="D4769" t="s">
        <v>120</v>
      </c>
      <c r="E4769" s="13">
        <v>500</v>
      </c>
      <c r="F4769" s="12">
        <v>1.22</v>
      </c>
      <c r="G4769" t="str">
        <f>IFERROR(INDEX(tEditais[Órgão],MATCH(tItens[[#This Row],[Edital]],tEditais[Edital],0)),"")</f>
        <v>MUNICIPIO DE FREI MIGUELINHO</v>
      </c>
      <c r="H4769" t="str">
        <f>IFERROR(INDEX(tEditais[UF],MATCH(tItens[[#This Row],[Edital]],tEditais[Edital],0)),"")</f>
        <v>PE</v>
      </c>
      <c r="I4769" s="11">
        <f>IFERROR(INDEX(tEditais[Encerramento],MATCH(tItens[[#This Row],[Edital]],tEditais[Edital],0)),"")</f>
        <v>46308.375</v>
      </c>
      <c r="J4769" t="str">
        <f>IFERROR(INDEX(tProdutos[Classe],MATCH(tItens[[#This Row],[Produto]],tProdutos[Produto],0)),"produto não cadastrado")</f>
        <v>DISPUTADO</v>
      </c>
      <c r="K4769" s="12">
        <f>tItens[[#This Row],[Qtd]]*tItens[[#This Row],[Vlr unit]]</f>
        <v>610</v>
      </c>
      <c r="L4769" s="6">
        <f>IFERROR(IF(INDEX(tProdutos[Desconto homologado],MATCH(tItens[[#This Row],[Produto]],tProdutos[Produto],0))="",DescontoPadrao,INDEX(tProdutos[Desconto homologado],MATCH(tItens[[#This Row],[Produto]],tProdutos[Produto],0))),DescontoPadrao)</f>
        <v>0.40909090909090901</v>
      </c>
      <c r="M4769" s="12">
        <f>tItens[[#This Row],[Valor]]*(1-tItens[[#This Row],[Desconto]])</f>
        <v>360.45454545454555</v>
      </c>
      <c r="N4769" t="str">
        <f>IFERROR(INDEX(tProdutos[Foco],MATCH(tItens[[#This Row],[Produto]],tProdutos[Produto],0)),"Não")</f>
        <v>Não</v>
      </c>
      <c r="O4769" t="str">
        <f>IFERROR(INDEX(tEditais[SRP],MATCH(tItens[[#This Row],[Edital]],tEditais[Edital],0)),"Não")</f>
        <v>Não</v>
      </c>
      <c r="P4769" s="4">
        <f>IF(COUNTIFS(INDEX(tItens[Edital],1):tItens[[#This Row],[Edital]],tItens[[#This Row],[Edital]],INDEX(tItens[Produto],1):tItens[[#This Row],[Produto]],tItens[[#This Row],[Produto]])=1,1,0)</f>
        <v>0</v>
      </c>
    </row>
    <row r="4770" spans="1:16" x14ac:dyDescent="0.25">
      <c r="A4770" t="s">
        <v>1870</v>
      </c>
      <c r="B4770">
        <v>222</v>
      </c>
      <c r="C4770" t="s">
        <v>7598</v>
      </c>
      <c r="D4770" t="s">
        <v>120</v>
      </c>
      <c r="E4770" s="13">
        <v>580</v>
      </c>
      <c r="F4770" s="12">
        <v>0.78</v>
      </c>
      <c r="G4770" t="str">
        <f>IFERROR(INDEX(tEditais[Órgão],MATCH(tItens[[#This Row],[Edital]],tEditais[Edital],0)),"")</f>
        <v>MUNICIPIO DE FREI MIGUELINHO</v>
      </c>
      <c r="H4770" t="str">
        <f>IFERROR(INDEX(tEditais[UF],MATCH(tItens[[#This Row],[Edital]],tEditais[Edital],0)),"")</f>
        <v>PE</v>
      </c>
      <c r="I4770" s="11">
        <f>IFERROR(INDEX(tEditais[Encerramento],MATCH(tItens[[#This Row],[Edital]],tEditais[Edital],0)),"")</f>
        <v>46308.375</v>
      </c>
      <c r="J4770" t="str">
        <f>IFERROR(INDEX(tProdutos[Classe],MATCH(tItens[[#This Row],[Produto]],tProdutos[Produto],0)),"produto não cadastrado")</f>
        <v>DISPUTADO</v>
      </c>
      <c r="K4770" s="12">
        <f>tItens[[#This Row],[Qtd]]*tItens[[#This Row],[Vlr unit]]</f>
        <v>452.40000000000003</v>
      </c>
      <c r="L4770" s="6">
        <f>IFERROR(IF(INDEX(tProdutos[Desconto homologado],MATCH(tItens[[#This Row],[Produto]],tProdutos[Produto],0))="",DescontoPadrao,INDEX(tProdutos[Desconto homologado],MATCH(tItens[[#This Row],[Produto]],tProdutos[Produto],0))),DescontoPadrao)</f>
        <v>0.40909090909090901</v>
      </c>
      <c r="M4770" s="12">
        <f>tItens[[#This Row],[Valor]]*(1-tItens[[#This Row],[Desconto]])</f>
        <v>267.32727272727283</v>
      </c>
      <c r="N4770" t="str">
        <f>IFERROR(INDEX(tProdutos[Foco],MATCH(tItens[[#This Row],[Produto]],tProdutos[Produto],0)),"Não")</f>
        <v>Não</v>
      </c>
      <c r="O4770" t="str">
        <f>IFERROR(INDEX(tEditais[SRP],MATCH(tItens[[#This Row],[Edital]],tEditais[Edital],0)),"Não")</f>
        <v>Não</v>
      </c>
      <c r="P4770" s="4">
        <f>IF(COUNTIFS(INDEX(tItens[Edital],1):tItens[[#This Row],[Edital]],tItens[[#This Row],[Edital]],INDEX(tItens[Produto],1):tItens[[#This Row],[Produto]],tItens[[#This Row],[Produto]])=1,1,0)</f>
        <v>0</v>
      </c>
    </row>
    <row r="4771" spans="1:16" x14ac:dyDescent="0.25">
      <c r="A4771" t="s">
        <v>1870</v>
      </c>
      <c r="B4771">
        <v>223</v>
      </c>
      <c r="C4771" t="s">
        <v>7599</v>
      </c>
      <c r="D4771" t="s">
        <v>120</v>
      </c>
      <c r="E4771" s="13">
        <v>100</v>
      </c>
      <c r="F4771" s="12">
        <v>0.95</v>
      </c>
      <c r="G4771" t="str">
        <f>IFERROR(INDEX(tEditais[Órgão],MATCH(tItens[[#This Row],[Edital]],tEditais[Edital],0)),"")</f>
        <v>MUNICIPIO DE FREI MIGUELINHO</v>
      </c>
      <c r="H4771" t="str">
        <f>IFERROR(INDEX(tEditais[UF],MATCH(tItens[[#This Row],[Edital]],tEditais[Edital],0)),"")</f>
        <v>PE</v>
      </c>
      <c r="I4771" s="11">
        <f>IFERROR(INDEX(tEditais[Encerramento],MATCH(tItens[[#This Row],[Edital]],tEditais[Edital],0)),"")</f>
        <v>46308.375</v>
      </c>
      <c r="J4771" t="str">
        <f>IFERROR(INDEX(tProdutos[Classe],MATCH(tItens[[#This Row],[Produto]],tProdutos[Produto],0)),"produto não cadastrado")</f>
        <v>DISPUTADO</v>
      </c>
      <c r="K4771" s="12">
        <f>tItens[[#This Row],[Qtd]]*tItens[[#This Row],[Vlr unit]]</f>
        <v>95</v>
      </c>
      <c r="L4771" s="6">
        <f>IFERROR(IF(INDEX(tProdutos[Desconto homologado],MATCH(tItens[[#This Row],[Produto]],tProdutos[Produto],0))="",DescontoPadrao,INDEX(tProdutos[Desconto homologado],MATCH(tItens[[#This Row],[Produto]],tProdutos[Produto],0))),DescontoPadrao)</f>
        <v>0.40909090909090901</v>
      </c>
      <c r="M4771" s="12">
        <f>tItens[[#This Row],[Valor]]*(1-tItens[[#This Row],[Desconto]])</f>
        <v>56.136363636363647</v>
      </c>
      <c r="N4771" t="str">
        <f>IFERROR(INDEX(tProdutos[Foco],MATCH(tItens[[#This Row],[Produto]],tProdutos[Produto],0)),"Não")</f>
        <v>Não</v>
      </c>
      <c r="O4771" t="str">
        <f>IFERROR(INDEX(tEditais[SRP],MATCH(tItens[[#This Row],[Edital]],tEditais[Edital],0)),"Não")</f>
        <v>Não</v>
      </c>
      <c r="P4771" s="4">
        <f>IF(COUNTIFS(INDEX(tItens[Edital],1):tItens[[#This Row],[Edital]],tItens[[#This Row],[Edital]],INDEX(tItens[Produto],1):tItens[[#This Row],[Produto]],tItens[[#This Row],[Produto]])=1,1,0)</f>
        <v>0</v>
      </c>
    </row>
    <row r="4772" spans="1:16" x14ac:dyDescent="0.25">
      <c r="A4772" t="s">
        <v>1870</v>
      </c>
      <c r="B4772">
        <v>224</v>
      </c>
      <c r="C4772" t="s">
        <v>7600</v>
      </c>
      <c r="D4772" t="s">
        <v>120</v>
      </c>
      <c r="E4772" s="13">
        <v>100</v>
      </c>
      <c r="F4772" s="12">
        <v>1.41</v>
      </c>
      <c r="G4772" t="str">
        <f>IFERROR(INDEX(tEditais[Órgão],MATCH(tItens[[#This Row],[Edital]],tEditais[Edital],0)),"")</f>
        <v>MUNICIPIO DE FREI MIGUELINHO</v>
      </c>
      <c r="H4772" t="str">
        <f>IFERROR(INDEX(tEditais[UF],MATCH(tItens[[#This Row],[Edital]],tEditais[Edital],0)),"")</f>
        <v>PE</v>
      </c>
      <c r="I4772" s="11">
        <f>IFERROR(INDEX(tEditais[Encerramento],MATCH(tItens[[#This Row],[Edital]],tEditais[Edital],0)),"")</f>
        <v>46308.375</v>
      </c>
      <c r="J4772" t="str">
        <f>IFERROR(INDEX(tProdutos[Classe],MATCH(tItens[[#This Row],[Produto]],tProdutos[Produto],0)),"produto não cadastrado")</f>
        <v>DISPUTADO</v>
      </c>
      <c r="K4772" s="12">
        <f>tItens[[#This Row],[Qtd]]*tItens[[#This Row],[Vlr unit]]</f>
        <v>141</v>
      </c>
      <c r="L4772" s="6">
        <f>IFERROR(IF(INDEX(tProdutos[Desconto homologado],MATCH(tItens[[#This Row],[Produto]],tProdutos[Produto],0))="",DescontoPadrao,INDEX(tProdutos[Desconto homologado],MATCH(tItens[[#This Row],[Produto]],tProdutos[Produto],0))),DescontoPadrao)</f>
        <v>0.40909090909090901</v>
      </c>
      <c r="M4772" s="12">
        <f>tItens[[#This Row],[Valor]]*(1-tItens[[#This Row],[Desconto]])</f>
        <v>83.318181818181841</v>
      </c>
      <c r="N4772" t="str">
        <f>IFERROR(INDEX(tProdutos[Foco],MATCH(tItens[[#This Row],[Produto]],tProdutos[Produto],0)),"Não")</f>
        <v>Não</v>
      </c>
      <c r="O4772" t="str">
        <f>IFERROR(INDEX(tEditais[SRP],MATCH(tItens[[#This Row],[Edital]],tEditais[Edital],0)),"Não")</f>
        <v>Não</v>
      </c>
      <c r="P4772" s="4">
        <f>IF(COUNTIFS(INDEX(tItens[Edital],1):tItens[[#This Row],[Edital]],tItens[[#This Row],[Edital]],INDEX(tItens[Produto],1):tItens[[#This Row],[Produto]],tItens[[#This Row],[Produto]])=1,1,0)</f>
        <v>0</v>
      </c>
    </row>
    <row r="4773" spans="1:16" x14ac:dyDescent="0.25">
      <c r="A4773" t="s">
        <v>1870</v>
      </c>
      <c r="B4773">
        <v>240</v>
      </c>
      <c r="C4773" t="s">
        <v>7601</v>
      </c>
      <c r="D4773" t="s">
        <v>110</v>
      </c>
      <c r="E4773" s="13">
        <v>60</v>
      </c>
      <c r="F4773" s="12">
        <v>0.77</v>
      </c>
      <c r="G4773" t="str">
        <f>IFERROR(INDEX(tEditais[Órgão],MATCH(tItens[[#This Row],[Edital]],tEditais[Edital],0)),"")</f>
        <v>MUNICIPIO DE FREI MIGUELINHO</v>
      </c>
      <c r="H4773" t="str">
        <f>IFERROR(INDEX(tEditais[UF],MATCH(tItens[[#This Row],[Edital]],tEditais[Edital],0)),"")</f>
        <v>PE</v>
      </c>
      <c r="I4773" s="11">
        <f>IFERROR(INDEX(tEditais[Encerramento],MATCH(tItens[[#This Row],[Edital]],tEditais[Edital],0)),"")</f>
        <v>46308.375</v>
      </c>
      <c r="J4773" t="str">
        <f>IFERROR(INDEX(tProdutos[Classe],MATCH(tItens[[#This Row],[Produto]],tProdutos[Produto],0)),"produto não cadastrado")</f>
        <v>NÚCLEO</v>
      </c>
      <c r="K4773" s="12">
        <f>tItens[[#This Row],[Qtd]]*tItens[[#This Row],[Vlr unit]]</f>
        <v>46.2</v>
      </c>
      <c r="L4773" s="6">
        <f>IFERROR(IF(INDEX(tProdutos[Desconto homologado],MATCH(tItens[[#This Row],[Produto]],tProdutos[Produto],0))="",DescontoPadrao,INDEX(tProdutos[Desconto homologado],MATCH(tItens[[#This Row],[Produto]],tProdutos[Produto],0))),DescontoPadrao)</f>
        <v>0.30410958904109597</v>
      </c>
      <c r="M4773" s="12">
        <f>tItens[[#This Row],[Valor]]*(1-tItens[[#This Row],[Desconto]])</f>
        <v>32.150136986301369</v>
      </c>
      <c r="N4773" t="str">
        <f>IFERROR(INDEX(tProdutos[Foco],MATCH(tItens[[#This Row],[Produto]],tProdutos[Produto],0)),"Não")</f>
        <v>Não</v>
      </c>
      <c r="O4773" t="str">
        <f>IFERROR(INDEX(tEditais[SRP],MATCH(tItens[[#This Row],[Edital]],tEditais[Edital],0)),"Não")</f>
        <v>Não</v>
      </c>
      <c r="P4773" s="4">
        <f>IF(COUNTIFS(INDEX(tItens[Edital],1):tItens[[#This Row],[Edital]],tItens[[#This Row],[Edital]],INDEX(tItens[Produto],1):tItens[[#This Row],[Produto]],tItens[[#This Row],[Produto]])=1,1,0)</f>
        <v>1</v>
      </c>
    </row>
    <row r="4774" spans="1:16" x14ac:dyDescent="0.25">
      <c r="A4774" t="s">
        <v>1870</v>
      </c>
      <c r="B4774">
        <v>241</v>
      </c>
      <c r="C4774" t="s">
        <v>7602</v>
      </c>
      <c r="D4774" t="s">
        <v>110</v>
      </c>
      <c r="E4774" s="13">
        <v>60</v>
      </c>
      <c r="F4774" s="12">
        <v>0.86</v>
      </c>
      <c r="G4774" t="str">
        <f>IFERROR(INDEX(tEditais[Órgão],MATCH(tItens[[#This Row],[Edital]],tEditais[Edital],0)),"")</f>
        <v>MUNICIPIO DE FREI MIGUELINHO</v>
      </c>
      <c r="H4774" t="str">
        <f>IFERROR(INDEX(tEditais[UF],MATCH(tItens[[#This Row],[Edital]],tEditais[Edital],0)),"")</f>
        <v>PE</v>
      </c>
      <c r="I4774" s="11">
        <f>IFERROR(INDEX(tEditais[Encerramento],MATCH(tItens[[#This Row],[Edital]],tEditais[Edital],0)),"")</f>
        <v>46308.375</v>
      </c>
      <c r="J4774" t="str">
        <f>IFERROR(INDEX(tProdutos[Classe],MATCH(tItens[[#This Row],[Produto]],tProdutos[Produto],0)),"produto não cadastrado")</f>
        <v>NÚCLEO</v>
      </c>
      <c r="K4774" s="12">
        <f>tItens[[#This Row],[Qtd]]*tItens[[#This Row],[Vlr unit]]</f>
        <v>51.6</v>
      </c>
      <c r="L4774" s="6">
        <f>IFERROR(IF(INDEX(tProdutos[Desconto homologado],MATCH(tItens[[#This Row],[Produto]],tProdutos[Produto],0))="",DescontoPadrao,INDEX(tProdutos[Desconto homologado],MATCH(tItens[[#This Row],[Produto]],tProdutos[Produto],0))),DescontoPadrao)</f>
        <v>0.30410958904109597</v>
      </c>
      <c r="M4774" s="12">
        <f>tItens[[#This Row],[Valor]]*(1-tItens[[#This Row],[Desconto]])</f>
        <v>35.90794520547945</v>
      </c>
      <c r="N4774" t="str">
        <f>IFERROR(INDEX(tProdutos[Foco],MATCH(tItens[[#This Row],[Produto]],tProdutos[Produto],0)),"Não")</f>
        <v>Não</v>
      </c>
      <c r="O4774" t="str">
        <f>IFERROR(INDEX(tEditais[SRP],MATCH(tItens[[#This Row],[Edital]],tEditais[Edital],0)),"Não")</f>
        <v>Não</v>
      </c>
      <c r="P4774" s="4">
        <f>IF(COUNTIFS(INDEX(tItens[Edital],1):tItens[[#This Row],[Edital]],tItens[[#This Row],[Edital]],INDEX(tItens[Produto],1):tItens[[#This Row],[Produto]],tItens[[#This Row],[Produto]])=1,1,0)</f>
        <v>0</v>
      </c>
    </row>
    <row r="4775" spans="1:16" x14ac:dyDescent="0.25">
      <c r="A4775" t="s">
        <v>1870</v>
      </c>
      <c r="B4775">
        <v>242</v>
      </c>
      <c r="C4775" t="s">
        <v>7603</v>
      </c>
      <c r="D4775" t="s">
        <v>110</v>
      </c>
      <c r="E4775" s="13">
        <v>120</v>
      </c>
      <c r="F4775" s="12">
        <v>1.21</v>
      </c>
      <c r="G4775" t="str">
        <f>IFERROR(INDEX(tEditais[Órgão],MATCH(tItens[[#This Row],[Edital]],tEditais[Edital],0)),"")</f>
        <v>MUNICIPIO DE FREI MIGUELINHO</v>
      </c>
      <c r="H4775" t="str">
        <f>IFERROR(INDEX(tEditais[UF],MATCH(tItens[[#This Row],[Edital]],tEditais[Edital],0)),"")</f>
        <v>PE</v>
      </c>
      <c r="I4775" s="11">
        <f>IFERROR(INDEX(tEditais[Encerramento],MATCH(tItens[[#This Row],[Edital]],tEditais[Edital],0)),"")</f>
        <v>46308.375</v>
      </c>
      <c r="J4775" t="str">
        <f>IFERROR(INDEX(tProdutos[Classe],MATCH(tItens[[#This Row],[Produto]],tProdutos[Produto],0)),"produto não cadastrado")</f>
        <v>NÚCLEO</v>
      </c>
      <c r="K4775" s="12">
        <f>tItens[[#This Row],[Qtd]]*tItens[[#This Row],[Vlr unit]]</f>
        <v>145.19999999999999</v>
      </c>
      <c r="L4775" s="6">
        <f>IFERROR(IF(INDEX(tProdutos[Desconto homologado],MATCH(tItens[[#This Row],[Produto]],tProdutos[Produto],0))="",DescontoPadrao,INDEX(tProdutos[Desconto homologado],MATCH(tItens[[#This Row],[Produto]],tProdutos[Produto],0))),DescontoPadrao)</f>
        <v>0.30410958904109597</v>
      </c>
      <c r="M4775" s="12">
        <f>tItens[[#This Row],[Valor]]*(1-tItens[[#This Row],[Desconto]])</f>
        <v>101.04328767123286</v>
      </c>
      <c r="N4775" t="str">
        <f>IFERROR(INDEX(tProdutos[Foco],MATCH(tItens[[#This Row],[Produto]],tProdutos[Produto],0)),"Não")</f>
        <v>Não</v>
      </c>
      <c r="O4775" t="str">
        <f>IFERROR(INDEX(tEditais[SRP],MATCH(tItens[[#This Row],[Edital]],tEditais[Edital],0)),"Não")</f>
        <v>Não</v>
      </c>
      <c r="P4775" s="4">
        <f>IF(COUNTIFS(INDEX(tItens[Edital],1):tItens[[#This Row],[Edital]],tItens[[#This Row],[Edital]],INDEX(tItens[Produto],1):tItens[[#This Row],[Produto]],tItens[[#This Row],[Produto]])=1,1,0)</f>
        <v>0</v>
      </c>
    </row>
    <row r="4776" spans="1:16" x14ac:dyDescent="0.25">
      <c r="A4776" t="s">
        <v>1870</v>
      </c>
      <c r="B4776">
        <v>243</v>
      </c>
      <c r="C4776" t="s">
        <v>7604</v>
      </c>
      <c r="D4776" t="s">
        <v>110</v>
      </c>
      <c r="E4776" s="13">
        <v>120</v>
      </c>
      <c r="F4776" s="12">
        <v>0.83</v>
      </c>
      <c r="G4776" t="str">
        <f>IFERROR(INDEX(tEditais[Órgão],MATCH(tItens[[#This Row],[Edital]],tEditais[Edital],0)),"")</f>
        <v>MUNICIPIO DE FREI MIGUELINHO</v>
      </c>
      <c r="H4776" t="str">
        <f>IFERROR(INDEX(tEditais[UF],MATCH(tItens[[#This Row],[Edital]],tEditais[Edital],0)),"")</f>
        <v>PE</v>
      </c>
      <c r="I4776" s="11">
        <f>IFERROR(INDEX(tEditais[Encerramento],MATCH(tItens[[#This Row],[Edital]],tEditais[Edital],0)),"")</f>
        <v>46308.375</v>
      </c>
      <c r="J4776" t="str">
        <f>IFERROR(INDEX(tProdutos[Classe],MATCH(tItens[[#This Row],[Produto]],tProdutos[Produto],0)),"produto não cadastrado")</f>
        <v>NÚCLEO</v>
      </c>
      <c r="K4776" s="12">
        <f>tItens[[#This Row],[Qtd]]*tItens[[#This Row],[Vlr unit]]</f>
        <v>99.6</v>
      </c>
      <c r="L4776" s="6">
        <f>IFERROR(IF(INDEX(tProdutos[Desconto homologado],MATCH(tItens[[#This Row],[Produto]],tProdutos[Produto],0))="",DescontoPadrao,INDEX(tProdutos[Desconto homologado],MATCH(tItens[[#This Row],[Produto]],tProdutos[Produto],0))),DescontoPadrao)</f>
        <v>0.30410958904109597</v>
      </c>
      <c r="M4776" s="12">
        <f>tItens[[#This Row],[Valor]]*(1-tItens[[#This Row],[Desconto]])</f>
        <v>69.310684931506842</v>
      </c>
      <c r="N4776" t="str">
        <f>IFERROR(INDEX(tProdutos[Foco],MATCH(tItens[[#This Row],[Produto]],tProdutos[Produto],0)),"Não")</f>
        <v>Não</v>
      </c>
      <c r="O4776" t="str">
        <f>IFERROR(INDEX(tEditais[SRP],MATCH(tItens[[#This Row],[Edital]],tEditais[Edital],0)),"Não")</f>
        <v>Não</v>
      </c>
      <c r="P4776" s="4">
        <f>IF(COUNTIFS(INDEX(tItens[Edital],1):tItens[[#This Row],[Edital]],tItens[[#This Row],[Edital]],INDEX(tItens[Produto],1):tItens[[#This Row],[Produto]],tItens[[#This Row],[Produto]])=1,1,0)</f>
        <v>0</v>
      </c>
    </row>
    <row r="4777" spans="1:16" x14ac:dyDescent="0.25">
      <c r="A4777" t="s">
        <v>1870</v>
      </c>
      <c r="B4777">
        <v>244</v>
      </c>
      <c r="C4777" t="s">
        <v>7605</v>
      </c>
      <c r="D4777" t="s">
        <v>110</v>
      </c>
      <c r="E4777" s="13">
        <v>120</v>
      </c>
      <c r="F4777" s="12">
        <v>1.0900000000000001</v>
      </c>
      <c r="G4777" t="str">
        <f>IFERROR(INDEX(tEditais[Órgão],MATCH(tItens[[#This Row],[Edital]],tEditais[Edital],0)),"")</f>
        <v>MUNICIPIO DE FREI MIGUELINHO</v>
      </c>
      <c r="H4777" t="str">
        <f>IFERROR(INDEX(tEditais[UF],MATCH(tItens[[#This Row],[Edital]],tEditais[Edital],0)),"")</f>
        <v>PE</v>
      </c>
      <c r="I4777" s="11">
        <f>IFERROR(INDEX(tEditais[Encerramento],MATCH(tItens[[#This Row],[Edital]],tEditais[Edital],0)),"")</f>
        <v>46308.375</v>
      </c>
      <c r="J4777" t="str">
        <f>IFERROR(INDEX(tProdutos[Classe],MATCH(tItens[[#This Row],[Produto]],tProdutos[Produto],0)),"produto não cadastrado")</f>
        <v>NÚCLEO</v>
      </c>
      <c r="K4777" s="12">
        <f>tItens[[#This Row],[Qtd]]*tItens[[#This Row],[Vlr unit]]</f>
        <v>130.80000000000001</v>
      </c>
      <c r="L4777" s="6">
        <f>IFERROR(IF(INDEX(tProdutos[Desconto homologado],MATCH(tItens[[#This Row],[Produto]],tProdutos[Produto],0))="",DescontoPadrao,INDEX(tProdutos[Desconto homologado],MATCH(tItens[[#This Row],[Produto]],tProdutos[Produto],0))),DescontoPadrao)</f>
        <v>0.30410958904109597</v>
      </c>
      <c r="M4777" s="12">
        <f>tItens[[#This Row],[Valor]]*(1-tItens[[#This Row],[Desconto]])</f>
        <v>91.022465753424655</v>
      </c>
      <c r="N4777" t="str">
        <f>IFERROR(INDEX(tProdutos[Foco],MATCH(tItens[[#This Row],[Produto]],tProdutos[Produto],0)),"Não")</f>
        <v>Não</v>
      </c>
      <c r="O4777" t="str">
        <f>IFERROR(INDEX(tEditais[SRP],MATCH(tItens[[#This Row],[Edital]],tEditais[Edital],0)),"Não")</f>
        <v>Não</v>
      </c>
      <c r="P4777" s="4">
        <f>IF(COUNTIFS(INDEX(tItens[Edital],1):tItens[[#This Row],[Edital]],tItens[[#This Row],[Edital]],INDEX(tItens[Produto],1):tItens[[#This Row],[Produto]],tItens[[#This Row],[Produto]])=1,1,0)</f>
        <v>0</v>
      </c>
    </row>
    <row r="4778" spans="1:16" x14ac:dyDescent="0.25">
      <c r="A4778" t="s">
        <v>1870</v>
      </c>
      <c r="B4778">
        <v>245</v>
      </c>
      <c r="C4778" t="s">
        <v>7606</v>
      </c>
      <c r="D4778" t="s">
        <v>110</v>
      </c>
      <c r="E4778" s="13">
        <v>120</v>
      </c>
      <c r="F4778" s="12">
        <v>1.04</v>
      </c>
      <c r="G4778" t="str">
        <f>IFERROR(INDEX(tEditais[Órgão],MATCH(tItens[[#This Row],[Edital]],tEditais[Edital],0)),"")</f>
        <v>MUNICIPIO DE FREI MIGUELINHO</v>
      </c>
      <c r="H4778" t="str">
        <f>IFERROR(INDEX(tEditais[UF],MATCH(tItens[[#This Row],[Edital]],tEditais[Edital],0)),"")</f>
        <v>PE</v>
      </c>
      <c r="I4778" s="11">
        <f>IFERROR(INDEX(tEditais[Encerramento],MATCH(tItens[[#This Row],[Edital]],tEditais[Edital],0)),"")</f>
        <v>46308.375</v>
      </c>
      <c r="J4778" t="str">
        <f>IFERROR(INDEX(tProdutos[Classe],MATCH(tItens[[#This Row],[Produto]],tProdutos[Produto],0)),"produto não cadastrado")</f>
        <v>NÚCLEO</v>
      </c>
      <c r="K4778" s="12">
        <f>tItens[[#This Row],[Qtd]]*tItens[[#This Row],[Vlr unit]]</f>
        <v>124.80000000000001</v>
      </c>
      <c r="L4778" s="6">
        <f>IFERROR(IF(INDEX(tProdutos[Desconto homologado],MATCH(tItens[[#This Row],[Produto]],tProdutos[Produto],0))="",DescontoPadrao,INDEX(tProdutos[Desconto homologado],MATCH(tItens[[#This Row],[Produto]],tProdutos[Produto],0))),DescontoPadrao)</f>
        <v>0.30410958904109597</v>
      </c>
      <c r="M4778" s="12">
        <f>tItens[[#This Row],[Valor]]*(1-tItens[[#This Row],[Desconto]])</f>
        <v>86.847123287671224</v>
      </c>
      <c r="N4778" t="str">
        <f>IFERROR(INDEX(tProdutos[Foco],MATCH(tItens[[#This Row],[Produto]],tProdutos[Produto],0)),"Não")</f>
        <v>Não</v>
      </c>
      <c r="O4778" t="str">
        <f>IFERROR(INDEX(tEditais[SRP],MATCH(tItens[[#This Row],[Edital]],tEditais[Edital],0)),"Não")</f>
        <v>Não</v>
      </c>
      <c r="P4778" s="4">
        <f>IF(COUNTIFS(INDEX(tItens[Edital],1):tItens[[#This Row],[Edital]],tItens[[#This Row],[Edital]],INDEX(tItens[Produto],1):tItens[[#This Row],[Produto]],tItens[[#This Row],[Produto]])=1,1,0)</f>
        <v>0</v>
      </c>
    </row>
    <row r="4779" spans="1:16" x14ac:dyDescent="0.25">
      <c r="A4779" t="s">
        <v>1870</v>
      </c>
      <c r="B4779">
        <v>246</v>
      </c>
      <c r="C4779" t="s">
        <v>7607</v>
      </c>
      <c r="D4779" t="s">
        <v>110</v>
      </c>
      <c r="E4779" s="13">
        <v>120</v>
      </c>
      <c r="F4779" s="12">
        <v>1.24</v>
      </c>
      <c r="G4779" t="str">
        <f>IFERROR(INDEX(tEditais[Órgão],MATCH(tItens[[#This Row],[Edital]],tEditais[Edital],0)),"")</f>
        <v>MUNICIPIO DE FREI MIGUELINHO</v>
      </c>
      <c r="H4779" t="str">
        <f>IFERROR(INDEX(tEditais[UF],MATCH(tItens[[#This Row],[Edital]],tEditais[Edital],0)),"")</f>
        <v>PE</v>
      </c>
      <c r="I4779" s="11">
        <f>IFERROR(INDEX(tEditais[Encerramento],MATCH(tItens[[#This Row],[Edital]],tEditais[Edital],0)),"")</f>
        <v>46308.375</v>
      </c>
      <c r="J4779" t="str">
        <f>IFERROR(INDEX(tProdutos[Classe],MATCH(tItens[[#This Row],[Produto]],tProdutos[Produto],0)),"produto não cadastrado")</f>
        <v>NÚCLEO</v>
      </c>
      <c r="K4779" s="12">
        <f>tItens[[#This Row],[Qtd]]*tItens[[#This Row],[Vlr unit]]</f>
        <v>148.80000000000001</v>
      </c>
      <c r="L4779" s="6">
        <f>IFERROR(IF(INDEX(tProdutos[Desconto homologado],MATCH(tItens[[#This Row],[Produto]],tProdutos[Produto],0))="",DescontoPadrao,INDEX(tProdutos[Desconto homologado],MATCH(tItens[[#This Row],[Produto]],tProdutos[Produto],0))),DescontoPadrao)</f>
        <v>0.30410958904109597</v>
      </c>
      <c r="M4779" s="12">
        <f>tItens[[#This Row],[Valor]]*(1-tItens[[#This Row],[Desconto]])</f>
        <v>103.54849315068493</v>
      </c>
      <c r="N4779" t="str">
        <f>IFERROR(INDEX(tProdutos[Foco],MATCH(tItens[[#This Row],[Produto]],tProdutos[Produto],0)),"Não")</f>
        <v>Não</v>
      </c>
      <c r="O4779" t="str">
        <f>IFERROR(INDEX(tEditais[SRP],MATCH(tItens[[#This Row],[Edital]],tEditais[Edital],0)),"Não")</f>
        <v>Não</v>
      </c>
      <c r="P4779" s="4">
        <f>IF(COUNTIFS(INDEX(tItens[Edital],1):tItens[[#This Row],[Edital]],tItens[[#This Row],[Edital]],INDEX(tItens[Produto],1):tItens[[#This Row],[Produto]],tItens[[#This Row],[Produto]])=1,1,0)</f>
        <v>0</v>
      </c>
    </row>
    <row r="4780" spans="1:16" x14ac:dyDescent="0.25">
      <c r="A4780" t="s">
        <v>1870</v>
      </c>
      <c r="B4780">
        <v>247</v>
      </c>
      <c r="C4780" t="s">
        <v>7608</v>
      </c>
      <c r="D4780" t="s">
        <v>110</v>
      </c>
      <c r="E4780" s="13">
        <v>120</v>
      </c>
      <c r="F4780" s="12">
        <v>1.3</v>
      </c>
      <c r="G4780" t="str">
        <f>IFERROR(INDEX(tEditais[Órgão],MATCH(tItens[[#This Row],[Edital]],tEditais[Edital],0)),"")</f>
        <v>MUNICIPIO DE FREI MIGUELINHO</v>
      </c>
      <c r="H4780" t="str">
        <f>IFERROR(INDEX(tEditais[UF],MATCH(tItens[[#This Row],[Edital]],tEditais[Edital],0)),"")</f>
        <v>PE</v>
      </c>
      <c r="I4780" s="11">
        <f>IFERROR(INDEX(tEditais[Encerramento],MATCH(tItens[[#This Row],[Edital]],tEditais[Edital],0)),"")</f>
        <v>46308.375</v>
      </c>
      <c r="J4780" t="str">
        <f>IFERROR(INDEX(tProdutos[Classe],MATCH(tItens[[#This Row],[Produto]],tProdutos[Produto],0)),"produto não cadastrado")</f>
        <v>NÚCLEO</v>
      </c>
      <c r="K4780" s="12">
        <f>tItens[[#This Row],[Qtd]]*tItens[[#This Row],[Vlr unit]]</f>
        <v>156</v>
      </c>
      <c r="L4780" s="6">
        <f>IFERROR(IF(INDEX(tProdutos[Desconto homologado],MATCH(tItens[[#This Row],[Produto]],tProdutos[Produto],0))="",DescontoPadrao,INDEX(tProdutos[Desconto homologado],MATCH(tItens[[#This Row],[Produto]],tProdutos[Produto],0))),DescontoPadrao)</f>
        <v>0.30410958904109597</v>
      </c>
      <c r="M4780" s="12">
        <f>tItens[[#This Row],[Valor]]*(1-tItens[[#This Row],[Desconto]])</f>
        <v>108.55890410958902</v>
      </c>
      <c r="N4780" t="str">
        <f>IFERROR(INDEX(tProdutos[Foco],MATCH(tItens[[#This Row],[Produto]],tProdutos[Produto],0)),"Não")</f>
        <v>Não</v>
      </c>
      <c r="O4780" t="str">
        <f>IFERROR(INDEX(tEditais[SRP],MATCH(tItens[[#This Row],[Edital]],tEditais[Edital],0)),"Não")</f>
        <v>Não</v>
      </c>
      <c r="P4780" s="4">
        <f>IF(COUNTIFS(INDEX(tItens[Edital],1):tItens[[#This Row],[Edital]],tItens[[#This Row],[Edital]],INDEX(tItens[Produto],1):tItens[[#This Row],[Produto]],tItens[[#This Row],[Produto]])=1,1,0)</f>
        <v>0</v>
      </c>
    </row>
    <row r="4781" spans="1:16" x14ac:dyDescent="0.25">
      <c r="A4781" t="s">
        <v>1870</v>
      </c>
      <c r="B4781">
        <v>248</v>
      </c>
      <c r="C4781" t="s">
        <v>7609</v>
      </c>
      <c r="D4781" t="s">
        <v>110</v>
      </c>
      <c r="E4781" s="13">
        <v>120</v>
      </c>
      <c r="F4781" s="12">
        <v>1.64</v>
      </c>
      <c r="G4781" t="str">
        <f>IFERROR(INDEX(tEditais[Órgão],MATCH(tItens[[#This Row],[Edital]],tEditais[Edital],0)),"")</f>
        <v>MUNICIPIO DE FREI MIGUELINHO</v>
      </c>
      <c r="H4781" t="str">
        <f>IFERROR(INDEX(tEditais[UF],MATCH(tItens[[#This Row],[Edital]],tEditais[Edital],0)),"")</f>
        <v>PE</v>
      </c>
      <c r="I4781" s="11">
        <f>IFERROR(INDEX(tEditais[Encerramento],MATCH(tItens[[#This Row],[Edital]],tEditais[Edital],0)),"")</f>
        <v>46308.375</v>
      </c>
      <c r="J4781" t="str">
        <f>IFERROR(INDEX(tProdutos[Classe],MATCH(tItens[[#This Row],[Produto]],tProdutos[Produto],0)),"produto não cadastrado")</f>
        <v>NÚCLEO</v>
      </c>
      <c r="K4781" s="12">
        <f>tItens[[#This Row],[Qtd]]*tItens[[#This Row],[Vlr unit]]</f>
        <v>196.79999999999998</v>
      </c>
      <c r="L4781" s="6">
        <f>IFERROR(IF(INDEX(tProdutos[Desconto homologado],MATCH(tItens[[#This Row],[Produto]],tProdutos[Produto],0))="",DescontoPadrao,INDEX(tProdutos[Desconto homologado],MATCH(tItens[[#This Row],[Produto]],tProdutos[Produto],0))),DescontoPadrao)</f>
        <v>0.30410958904109597</v>
      </c>
      <c r="M4781" s="12">
        <f>tItens[[#This Row],[Valor]]*(1-tItens[[#This Row],[Desconto]])</f>
        <v>136.95123287671231</v>
      </c>
      <c r="N4781" t="str">
        <f>IFERROR(INDEX(tProdutos[Foco],MATCH(tItens[[#This Row],[Produto]],tProdutos[Produto],0)),"Não")</f>
        <v>Não</v>
      </c>
      <c r="O4781" t="str">
        <f>IFERROR(INDEX(tEditais[SRP],MATCH(tItens[[#This Row],[Edital]],tEditais[Edital],0)),"Não")</f>
        <v>Não</v>
      </c>
      <c r="P4781" s="4">
        <f>IF(COUNTIFS(INDEX(tItens[Edital],1):tItens[[#This Row],[Edital]],tItens[[#This Row],[Edital]],INDEX(tItens[Produto],1):tItens[[#This Row],[Produto]],tItens[[#This Row],[Produto]])=1,1,0)</f>
        <v>0</v>
      </c>
    </row>
    <row r="4782" spans="1:16" x14ac:dyDescent="0.25">
      <c r="A4782" t="s">
        <v>1870</v>
      </c>
      <c r="B4782">
        <v>249</v>
      </c>
      <c r="C4782" t="s">
        <v>7610</v>
      </c>
      <c r="D4782" t="s">
        <v>110</v>
      </c>
      <c r="E4782" s="13">
        <v>120</v>
      </c>
      <c r="F4782" s="12">
        <v>2.39</v>
      </c>
      <c r="G4782" t="str">
        <f>IFERROR(INDEX(tEditais[Órgão],MATCH(tItens[[#This Row],[Edital]],tEditais[Edital],0)),"")</f>
        <v>MUNICIPIO DE FREI MIGUELINHO</v>
      </c>
      <c r="H4782" t="str">
        <f>IFERROR(INDEX(tEditais[UF],MATCH(tItens[[#This Row],[Edital]],tEditais[Edital],0)),"")</f>
        <v>PE</v>
      </c>
      <c r="I4782" s="11">
        <f>IFERROR(INDEX(tEditais[Encerramento],MATCH(tItens[[#This Row],[Edital]],tEditais[Edital],0)),"")</f>
        <v>46308.375</v>
      </c>
      <c r="J4782" t="str">
        <f>IFERROR(INDEX(tProdutos[Classe],MATCH(tItens[[#This Row],[Produto]],tProdutos[Produto],0)),"produto não cadastrado")</f>
        <v>NÚCLEO</v>
      </c>
      <c r="K4782" s="12">
        <f>tItens[[#This Row],[Qtd]]*tItens[[#This Row],[Vlr unit]]</f>
        <v>286.8</v>
      </c>
      <c r="L4782" s="6">
        <f>IFERROR(IF(INDEX(tProdutos[Desconto homologado],MATCH(tItens[[#This Row],[Produto]],tProdutos[Produto],0))="",DescontoPadrao,INDEX(tProdutos[Desconto homologado],MATCH(tItens[[#This Row],[Produto]],tProdutos[Produto],0))),DescontoPadrao)</f>
        <v>0.30410958904109597</v>
      </c>
      <c r="M4782" s="12">
        <f>tItens[[#This Row],[Valor]]*(1-tItens[[#This Row],[Desconto]])</f>
        <v>199.58136986301369</v>
      </c>
      <c r="N4782" t="str">
        <f>IFERROR(INDEX(tProdutos[Foco],MATCH(tItens[[#This Row],[Produto]],tProdutos[Produto],0)),"Não")</f>
        <v>Não</v>
      </c>
      <c r="O4782" t="str">
        <f>IFERROR(INDEX(tEditais[SRP],MATCH(tItens[[#This Row],[Edital]],tEditais[Edital],0)),"Não")</f>
        <v>Não</v>
      </c>
      <c r="P4782" s="4">
        <f>IF(COUNTIFS(INDEX(tItens[Edital],1):tItens[[#This Row],[Edital]],tItens[[#This Row],[Edital]],INDEX(tItens[Produto],1):tItens[[#This Row],[Produto]],tItens[[#This Row],[Produto]])=1,1,0)</f>
        <v>0</v>
      </c>
    </row>
    <row r="4783" spans="1:16" x14ac:dyDescent="0.25">
      <c r="A4783" t="s">
        <v>1870</v>
      </c>
      <c r="B4783">
        <v>250</v>
      </c>
      <c r="C4783" t="s">
        <v>7611</v>
      </c>
      <c r="D4783" t="s">
        <v>110</v>
      </c>
      <c r="E4783" s="13">
        <v>120</v>
      </c>
      <c r="F4783" s="12">
        <v>1.67</v>
      </c>
      <c r="G4783" t="str">
        <f>IFERROR(INDEX(tEditais[Órgão],MATCH(tItens[[#This Row],[Edital]],tEditais[Edital],0)),"")</f>
        <v>MUNICIPIO DE FREI MIGUELINHO</v>
      </c>
      <c r="H4783" t="str">
        <f>IFERROR(INDEX(tEditais[UF],MATCH(tItens[[#This Row],[Edital]],tEditais[Edital],0)),"")</f>
        <v>PE</v>
      </c>
      <c r="I4783" s="11">
        <f>IFERROR(INDEX(tEditais[Encerramento],MATCH(tItens[[#This Row],[Edital]],tEditais[Edital],0)),"")</f>
        <v>46308.375</v>
      </c>
      <c r="J4783" t="str">
        <f>IFERROR(INDEX(tProdutos[Classe],MATCH(tItens[[#This Row],[Produto]],tProdutos[Produto],0)),"produto não cadastrado")</f>
        <v>NÚCLEO</v>
      </c>
      <c r="K4783" s="12">
        <f>tItens[[#This Row],[Qtd]]*tItens[[#This Row],[Vlr unit]]</f>
        <v>200.39999999999998</v>
      </c>
      <c r="L4783" s="6">
        <f>IFERROR(IF(INDEX(tProdutos[Desconto homologado],MATCH(tItens[[#This Row],[Produto]],tProdutos[Produto],0))="",DescontoPadrao,INDEX(tProdutos[Desconto homologado],MATCH(tItens[[#This Row],[Produto]],tProdutos[Produto],0))),DescontoPadrao)</f>
        <v>0.30410958904109597</v>
      </c>
      <c r="M4783" s="12">
        <f>tItens[[#This Row],[Valor]]*(1-tItens[[#This Row],[Desconto]])</f>
        <v>139.45643835616434</v>
      </c>
      <c r="N4783" t="str">
        <f>IFERROR(INDEX(tProdutos[Foco],MATCH(tItens[[#This Row],[Produto]],tProdutos[Produto],0)),"Não")</f>
        <v>Não</v>
      </c>
      <c r="O4783" t="str">
        <f>IFERROR(INDEX(tEditais[SRP],MATCH(tItens[[#This Row],[Edital]],tEditais[Edital],0)),"Não")</f>
        <v>Não</v>
      </c>
      <c r="P4783" s="4">
        <f>IF(COUNTIFS(INDEX(tItens[Edital],1):tItens[[#This Row],[Edital]],tItens[[#This Row],[Edital]],INDEX(tItens[Produto],1):tItens[[#This Row],[Produto]],tItens[[#This Row],[Produto]])=1,1,0)</f>
        <v>0</v>
      </c>
    </row>
    <row r="4784" spans="1:16" x14ac:dyDescent="0.25">
      <c r="A4784" t="s">
        <v>1870</v>
      </c>
      <c r="B4784">
        <v>251</v>
      </c>
      <c r="C4784" t="s">
        <v>7612</v>
      </c>
      <c r="D4784" t="s">
        <v>110</v>
      </c>
      <c r="E4784" s="13">
        <v>120</v>
      </c>
      <c r="F4784" s="12">
        <v>2.23</v>
      </c>
      <c r="G4784" t="str">
        <f>IFERROR(INDEX(tEditais[Órgão],MATCH(tItens[[#This Row],[Edital]],tEditais[Edital],0)),"")</f>
        <v>MUNICIPIO DE FREI MIGUELINHO</v>
      </c>
      <c r="H4784" t="str">
        <f>IFERROR(INDEX(tEditais[UF],MATCH(tItens[[#This Row],[Edital]],tEditais[Edital],0)),"")</f>
        <v>PE</v>
      </c>
      <c r="I4784" s="11">
        <f>IFERROR(INDEX(tEditais[Encerramento],MATCH(tItens[[#This Row],[Edital]],tEditais[Edital],0)),"")</f>
        <v>46308.375</v>
      </c>
      <c r="J4784" t="str">
        <f>IFERROR(INDEX(tProdutos[Classe],MATCH(tItens[[#This Row],[Produto]],tProdutos[Produto],0)),"produto não cadastrado")</f>
        <v>NÚCLEO</v>
      </c>
      <c r="K4784" s="12">
        <f>tItens[[#This Row],[Qtd]]*tItens[[#This Row],[Vlr unit]]</f>
        <v>267.60000000000002</v>
      </c>
      <c r="L4784" s="6">
        <f>IFERROR(IF(INDEX(tProdutos[Desconto homologado],MATCH(tItens[[#This Row],[Produto]],tProdutos[Produto],0))="",DescontoPadrao,INDEX(tProdutos[Desconto homologado],MATCH(tItens[[#This Row],[Produto]],tProdutos[Produto],0))),DescontoPadrao)</f>
        <v>0.30410958904109597</v>
      </c>
      <c r="M4784" s="12">
        <f>tItens[[#This Row],[Valor]]*(1-tItens[[#This Row],[Desconto]])</f>
        <v>186.22027397260274</v>
      </c>
      <c r="N4784" t="str">
        <f>IFERROR(INDEX(tProdutos[Foco],MATCH(tItens[[#This Row],[Produto]],tProdutos[Produto],0)),"Não")</f>
        <v>Não</v>
      </c>
      <c r="O4784" t="str">
        <f>IFERROR(INDEX(tEditais[SRP],MATCH(tItens[[#This Row],[Edital]],tEditais[Edital],0)),"Não")</f>
        <v>Não</v>
      </c>
      <c r="P4784" s="4">
        <f>IF(COUNTIFS(INDEX(tItens[Edital],1):tItens[[#This Row],[Edital]],tItens[[#This Row],[Edital]],INDEX(tItens[Produto],1):tItens[[#This Row],[Produto]],tItens[[#This Row],[Produto]])=1,1,0)</f>
        <v>0</v>
      </c>
    </row>
    <row r="4785" spans="1:16" x14ac:dyDescent="0.25">
      <c r="A4785" t="s">
        <v>1870</v>
      </c>
      <c r="B4785">
        <v>252</v>
      </c>
      <c r="C4785" t="s">
        <v>7613</v>
      </c>
      <c r="D4785" t="s">
        <v>110</v>
      </c>
      <c r="E4785" s="13">
        <v>120</v>
      </c>
      <c r="F4785" s="12">
        <v>2</v>
      </c>
      <c r="G4785" t="str">
        <f>IFERROR(INDEX(tEditais[Órgão],MATCH(tItens[[#This Row],[Edital]],tEditais[Edital],0)),"")</f>
        <v>MUNICIPIO DE FREI MIGUELINHO</v>
      </c>
      <c r="H4785" t="str">
        <f>IFERROR(INDEX(tEditais[UF],MATCH(tItens[[#This Row],[Edital]],tEditais[Edital],0)),"")</f>
        <v>PE</v>
      </c>
      <c r="I4785" s="11">
        <f>IFERROR(INDEX(tEditais[Encerramento],MATCH(tItens[[#This Row],[Edital]],tEditais[Edital],0)),"")</f>
        <v>46308.375</v>
      </c>
      <c r="J4785" t="str">
        <f>IFERROR(INDEX(tProdutos[Classe],MATCH(tItens[[#This Row],[Produto]],tProdutos[Produto],0)),"produto não cadastrado")</f>
        <v>NÚCLEO</v>
      </c>
      <c r="K4785" s="12">
        <f>tItens[[#This Row],[Qtd]]*tItens[[#This Row],[Vlr unit]]</f>
        <v>240</v>
      </c>
      <c r="L4785" s="6">
        <f>IFERROR(IF(INDEX(tProdutos[Desconto homologado],MATCH(tItens[[#This Row],[Produto]],tProdutos[Produto],0))="",DescontoPadrao,INDEX(tProdutos[Desconto homologado],MATCH(tItens[[#This Row],[Produto]],tProdutos[Produto],0))),DescontoPadrao)</f>
        <v>0.30410958904109597</v>
      </c>
      <c r="M4785" s="12">
        <f>tItens[[#This Row],[Valor]]*(1-tItens[[#This Row],[Desconto]])</f>
        <v>167.01369863013696</v>
      </c>
      <c r="N4785" t="str">
        <f>IFERROR(INDEX(tProdutos[Foco],MATCH(tItens[[#This Row],[Produto]],tProdutos[Produto],0)),"Não")</f>
        <v>Não</v>
      </c>
      <c r="O4785" t="str">
        <f>IFERROR(INDEX(tEditais[SRP],MATCH(tItens[[#This Row],[Edital]],tEditais[Edital],0)),"Não")</f>
        <v>Não</v>
      </c>
      <c r="P4785" s="4">
        <f>IF(COUNTIFS(INDEX(tItens[Edital],1):tItens[[#This Row],[Edital]],tItens[[#This Row],[Edital]],INDEX(tItens[Produto],1):tItens[[#This Row],[Produto]],tItens[[#This Row],[Produto]])=1,1,0)</f>
        <v>0</v>
      </c>
    </row>
    <row r="4786" spans="1:16" x14ac:dyDescent="0.25">
      <c r="A4786" t="s">
        <v>1870</v>
      </c>
      <c r="B4786">
        <v>254</v>
      </c>
      <c r="C4786" t="s">
        <v>7614</v>
      </c>
      <c r="D4786" t="s">
        <v>178</v>
      </c>
      <c r="E4786" s="13">
        <v>5000</v>
      </c>
      <c r="F4786" s="12">
        <v>1.44</v>
      </c>
      <c r="G4786" t="str">
        <f>IFERROR(INDEX(tEditais[Órgão],MATCH(tItens[[#This Row],[Edital]],tEditais[Edital],0)),"")</f>
        <v>MUNICIPIO DE FREI MIGUELINHO</v>
      </c>
      <c r="H4786" t="str">
        <f>IFERROR(INDEX(tEditais[UF],MATCH(tItens[[#This Row],[Edital]],tEditais[Edital],0)),"")</f>
        <v>PE</v>
      </c>
      <c r="I4786" s="11">
        <f>IFERROR(INDEX(tEditais[Encerramento],MATCH(tItens[[#This Row],[Edital]],tEditais[Edital],0)),"")</f>
        <v>46308.375</v>
      </c>
      <c r="J4786" t="str">
        <f>IFERROR(INDEX(tProdutos[Classe],MATCH(tItens[[#This Row],[Produto]],tProdutos[Produto],0)),"produto não cadastrado")</f>
        <v>DISPUTADO</v>
      </c>
      <c r="K4786" s="12">
        <f>tItens[[#This Row],[Qtd]]*tItens[[#This Row],[Vlr unit]]</f>
        <v>7200</v>
      </c>
      <c r="L4786" s="6">
        <f>IFERROR(IF(INDEX(tProdutos[Desconto homologado],MATCH(tItens[[#This Row],[Produto]],tProdutos[Produto],0))="",DescontoPadrao,INDEX(tProdutos[Desconto homologado],MATCH(tItens[[#This Row],[Produto]],tProdutos[Produto],0))),DescontoPadrao)</f>
        <v>0.49882919126848801</v>
      </c>
      <c r="M4786" s="12">
        <f>tItens[[#This Row],[Valor]]*(1-tItens[[#This Row],[Desconto]])</f>
        <v>3608.4298228668863</v>
      </c>
      <c r="N4786" t="str">
        <f>IFERROR(INDEX(tProdutos[Foco],MATCH(tItens[[#This Row],[Produto]],tProdutos[Produto],0)),"Não")</f>
        <v>Não</v>
      </c>
      <c r="O4786" t="str">
        <f>IFERROR(INDEX(tEditais[SRP],MATCH(tItens[[#This Row],[Edital]],tEditais[Edital],0)),"Não")</f>
        <v>Não</v>
      </c>
      <c r="P4786" s="4">
        <f>IF(COUNTIFS(INDEX(tItens[Edital],1):tItens[[#This Row],[Edital]],tItens[[#This Row],[Edital]],INDEX(tItens[Produto],1):tItens[[#This Row],[Produto]],tItens[[#This Row],[Produto]])=1,1,0)</f>
        <v>1</v>
      </c>
    </row>
    <row r="4787" spans="1:16" x14ac:dyDescent="0.25">
      <c r="A4787" t="s">
        <v>1870</v>
      </c>
      <c r="B4787">
        <v>259</v>
      </c>
      <c r="C4787" t="s">
        <v>7615</v>
      </c>
      <c r="D4787" t="s">
        <v>114</v>
      </c>
      <c r="E4787" s="13">
        <v>20600</v>
      </c>
      <c r="F4787" s="12">
        <v>0.1</v>
      </c>
      <c r="G4787" t="str">
        <f>IFERROR(INDEX(tEditais[Órgão],MATCH(tItens[[#This Row],[Edital]],tEditais[Edital],0)),"")</f>
        <v>MUNICIPIO DE FREI MIGUELINHO</v>
      </c>
      <c r="H4787" t="str">
        <f>IFERROR(INDEX(tEditais[UF],MATCH(tItens[[#This Row],[Edital]],tEditais[Edital],0)),"")</f>
        <v>PE</v>
      </c>
      <c r="I4787" s="11">
        <f>IFERROR(INDEX(tEditais[Encerramento],MATCH(tItens[[#This Row],[Edital]],tEditais[Edital],0)),"")</f>
        <v>46308.375</v>
      </c>
      <c r="J4787" t="str">
        <f>IFERROR(INDEX(tProdutos[Classe],MATCH(tItens[[#This Row],[Produto]],tProdutos[Produto],0)),"produto não cadastrado")</f>
        <v>DISPUTADO</v>
      </c>
      <c r="K4787" s="12">
        <f>tItens[[#This Row],[Qtd]]*tItens[[#This Row],[Vlr unit]]</f>
        <v>2060</v>
      </c>
      <c r="L4787" s="6">
        <f>IFERROR(IF(INDEX(tProdutos[Desconto homologado],MATCH(tItens[[#This Row],[Produto]],tProdutos[Produto],0))="",DescontoPadrao,INDEX(tProdutos[Desconto homologado],MATCH(tItens[[#This Row],[Produto]],tProdutos[Produto],0))),DescontoPadrao)</f>
        <v>0.24332656063896899</v>
      </c>
      <c r="M4787" s="12">
        <f>tItens[[#This Row],[Valor]]*(1-tItens[[#This Row],[Desconto]])</f>
        <v>1558.7472850837239</v>
      </c>
      <c r="N4787" t="str">
        <f>IFERROR(INDEX(tProdutos[Foco],MATCH(tItens[[#This Row],[Produto]],tProdutos[Produto],0)),"Não")</f>
        <v>Não</v>
      </c>
      <c r="O4787" t="str">
        <f>IFERROR(INDEX(tEditais[SRP],MATCH(tItens[[#This Row],[Edital]],tEditais[Edital],0)),"Não")</f>
        <v>Não</v>
      </c>
      <c r="P4787" s="4">
        <f>IF(COUNTIFS(INDEX(tItens[Edital],1):tItens[[#This Row],[Edital]],tItens[[#This Row],[Edital]],INDEX(tItens[Produto],1):tItens[[#This Row],[Produto]],tItens[[#This Row],[Produto]])=1,1,0)</f>
        <v>1</v>
      </c>
    </row>
    <row r="4788" spans="1:16" x14ac:dyDescent="0.25">
      <c r="A4788" t="s">
        <v>1870</v>
      </c>
      <c r="B4788">
        <v>260</v>
      </c>
      <c r="C4788" t="s">
        <v>7616</v>
      </c>
      <c r="D4788" t="s">
        <v>162</v>
      </c>
      <c r="E4788" s="13">
        <v>5000</v>
      </c>
      <c r="F4788" s="12">
        <v>1.1399999999999999</v>
      </c>
      <c r="G4788" t="str">
        <f>IFERROR(INDEX(tEditais[Órgão],MATCH(tItens[[#This Row],[Edital]],tEditais[Edital],0)),"")</f>
        <v>MUNICIPIO DE FREI MIGUELINHO</v>
      </c>
      <c r="H4788" t="str">
        <f>IFERROR(INDEX(tEditais[UF],MATCH(tItens[[#This Row],[Edital]],tEditais[Edital],0)),"")</f>
        <v>PE</v>
      </c>
      <c r="I4788" s="11">
        <f>IFERROR(INDEX(tEditais[Encerramento],MATCH(tItens[[#This Row],[Edital]],tEditais[Edital],0)),"")</f>
        <v>46308.375</v>
      </c>
      <c r="J4788" t="str">
        <f>IFERROR(INDEX(tProdutos[Classe],MATCH(tItens[[#This Row],[Produto]],tProdutos[Produto],0)),"produto não cadastrado")</f>
        <v>DISPUTADO</v>
      </c>
      <c r="K4788" s="12">
        <f>tItens[[#This Row],[Qtd]]*tItens[[#This Row],[Vlr unit]]</f>
        <v>5699.9999999999991</v>
      </c>
      <c r="L4788" s="6">
        <f>IFERROR(IF(INDEX(tProdutos[Desconto homologado],MATCH(tItens[[#This Row],[Produto]],tProdutos[Produto],0))="",DescontoPadrao,INDEX(tProdutos[Desconto homologado],MATCH(tItens[[#This Row],[Produto]],tProdutos[Produto],0))),DescontoPadrao)</f>
        <v>0.41269841269841301</v>
      </c>
      <c r="M4788" s="12">
        <f>tItens[[#This Row],[Valor]]*(1-tItens[[#This Row],[Desconto]])</f>
        <v>3347.6190476190454</v>
      </c>
      <c r="N4788" t="str">
        <f>IFERROR(INDEX(tProdutos[Foco],MATCH(tItens[[#This Row],[Produto]],tProdutos[Produto],0)),"Não")</f>
        <v>Não</v>
      </c>
      <c r="O4788" t="str">
        <f>IFERROR(INDEX(tEditais[SRP],MATCH(tItens[[#This Row],[Edital]],tEditais[Edital],0)),"Não")</f>
        <v>Não</v>
      </c>
      <c r="P4788" s="4">
        <f>IF(COUNTIFS(INDEX(tItens[Edital],1):tItens[[#This Row],[Edital]],tItens[[#This Row],[Edital]],INDEX(tItens[Produto],1):tItens[[#This Row],[Produto]],tItens[[#This Row],[Produto]])=1,1,0)</f>
        <v>1</v>
      </c>
    </row>
    <row r="4789" spans="1:16" x14ac:dyDescent="0.25">
      <c r="A4789" t="s">
        <v>1870</v>
      </c>
      <c r="B4789">
        <v>281</v>
      </c>
      <c r="C4789" t="s">
        <v>7617</v>
      </c>
      <c r="D4789" t="s">
        <v>156</v>
      </c>
      <c r="E4789" s="13">
        <v>52</v>
      </c>
      <c r="F4789" s="12">
        <v>18.52</v>
      </c>
      <c r="G4789" t="str">
        <f>IFERROR(INDEX(tEditais[Órgão],MATCH(tItens[[#This Row],[Edital]],tEditais[Edital],0)),"")</f>
        <v>MUNICIPIO DE FREI MIGUELINHO</v>
      </c>
      <c r="H4789" t="str">
        <f>IFERROR(INDEX(tEditais[UF],MATCH(tItens[[#This Row],[Edital]],tEditais[Edital],0)),"")</f>
        <v>PE</v>
      </c>
      <c r="I4789" s="11">
        <f>IFERROR(INDEX(tEditais[Encerramento],MATCH(tItens[[#This Row],[Edital]],tEditais[Edital],0)),"")</f>
        <v>46308.375</v>
      </c>
      <c r="J4789" t="str">
        <f>IFERROR(INDEX(tProdutos[Classe],MATCH(tItens[[#This Row],[Produto]],tProdutos[Produto],0)),"produto não cadastrado")</f>
        <v>DISPUTADO</v>
      </c>
      <c r="K4789" s="12">
        <f>tItens[[#This Row],[Qtd]]*tItens[[#This Row],[Vlr unit]]</f>
        <v>963.04</v>
      </c>
      <c r="L4789" s="6">
        <f>IFERROR(IF(INDEX(tProdutos[Desconto homologado],MATCH(tItens[[#This Row],[Produto]],tProdutos[Produto],0))="",DescontoPadrao,INDEX(tProdutos[Desconto homologado],MATCH(tItens[[#This Row],[Produto]],tProdutos[Produto],0))),DescontoPadrao)</f>
        <v>0.27131852489802799</v>
      </c>
      <c r="M4789" s="12">
        <f>tItens[[#This Row],[Valor]]*(1-tItens[[#This Row],[Desconto]])</f>
        <v>701.74940778220309</v>
      </c>
      <c r="N4789" t="str">
        <f>IFERROR(INDEX(tProdutos[Foco],MATCH(tItens[[#This Row],[Produto]],tProdutos[Produto],0)),"Não")</f>
        <v>Não</v>
      </c>
      <c r="O4789" t="str">
        <f>IFERROR(INDEX(tEditais[SRP],MATCH(tItens[[#This Row],[Edital]],tEditais[Edital],0)),"Não")</f>
        <v>Não</v>
      </c>
      <c r="P4789" s="4">
        <f>IF(COUNTIFS(INDEX(tItens[Edital],1):tItens[[#This Row],[Edital]],tItens[[#This Row],[Edital]],INDEX(tItens[Produto],1):tItens[[#This Row],[Produto]],tItens[[#This Row],[Produto]])=1,1,0)</f>
        <v>1</v>
      </c>
    </row>
    <row r="4790" spans="1:16" x14ac:dyDescent="0.25">
      <c r="A4790" t="s">
        <v>1870</v>
      </c>
      <c r="B4790">
        <v>285</v>
      </c>
      <c r="C4790" t="s">
        <v>7618</v>
      </c>
      <c r="D4790" t="s">
        <v>411</v>
      </c>
      <c r="E4790" s="13">
        <v>720</v>
      </c>
      <c r="F4790" s="12">
        <v>3.47</v>
      </c>
      <c r="G4790" t="str">
        <f>IFERROR(INDEX(tEditais[Órgão],MATCH(tItens[[#This Row],[Edital]],tEditais[Edital],0)),"")</f>
        <v>MUNICIPIO DE FREI MIGUELINHO</v>
      </c>
      <c r="H4790" t="str">
        <f>IFERROR(INDEX(tEditais[UF],MATCH(tItens[[#This Row],[Edital]],tEditais[Edital],0)),"")</f>
        <v>PE</v>
      </c>
      <c r="I4790" s="11">
        <f>IFERROR(INDEX(tEditais[Encerramento],MATCH(tItens[[#This Row],[Edital]],tEditais[Edital],0)),"")</f>
        <v>46308.375</v>
      </c>
      <c r="J4790" t="str">
        <f>IFERROR(INDEX(tProdutos[Classe],MATCH(tItens[[#This Row],[Produto]],tProdutos[Produto],0)),"produto não cadastrado")</f>
        <v>FORA</v>
      </c>
      <c r="K4790" s="12">
        <f>tItens[[#This Row],[Qtd]]*tItens[[#This Row],[Vlr unit]]</f>
        <v>2498.4</v>
      </c>
      <c r="L4790" s="6">
        <f>IFERROR(IF(INDEX(tProdutos[Desconto homologado],MATCH(tItens[[#This Row],[Produto]],tProdutos[Produto],0))="",DescontoPadrao,INDEX(tProdutos[Desconto homologado],MATCH(tItens[[#This Row],[Produto]],tProdutos[Produto],0))),DescontoPadrao)</f>
        <v>0.50029835957199398</v>
      </c>
      <c r="M4790" s="12">
        <f>tItens[[#This Row],[Valor]]*(1-tItens[[#This Row],[Desconto]])</f>
        <v>1248.4545784453303</v>
      </c>
      <c r="N4790" t="str">
        <f>IFERROR(INDEX(tProdutos[Foco],MATCH(tItens[[#This Row],[Produto]],tProdutos[Produto],0)),"Não")</f>
        <v>Não</v>
      </c>
      <c r="O4790" t="str">
        <f>IFERROR(INDEX(tEditais[SRP],MATCH(tItens[[#This Row],[Edital]],tEditais[Edital],0)),"Não")</f>
        <v>Não</v>
      </c>
      <c r="P4790" s="4">
        <f>IF(COUNTIFS(INDEX(tItens[Edital],1):tItens[[#This Row],[Edital]],tItens[[#This Row],[Edital]],INDEX(tItens[Produto],1):tItens[[#This Row],[Produto]],tItens[[#This Row],[Produto]])=1,1,0)</f>
        <v>1</v>
      </c>
    </row>
    <row r="4791" spans="1:16" x14ac:dyDescent="0.25">
      <c r="A4791" t="s">
        <v>1870</v>
      </c>
      <c r="B4791">
        <v>297</v>
      </c>
      <c r="C4791" t="s">
        <v>7619</v>
      </c>
      <c r="D4791" t="s">
        <v>110</v>
      </c>
      <c r="E4791" s="13">
        <v>100</v>
      </c>
      <c r="F4791" s="12">
        <v>0.84</v>
      </c>
      <c r="G4791" t="str">
        <f>IFERROR(INDEX(tEditais[Órgão],MATCH(tItens[[#This Row],[Edital]],tEditais[Edital],0)),"")</f>
        <v>MUNICIPIO DE FREI MIGUELINHO</v>
      </c>
      <c r="H4791" t="str">
        <f>IFERROR(INDEX(tEditais[UF],MATCH(tItens[[#This Row],[Edital]],tEditais[Edital],0)),"")</f>
        <v>PE</v>
      </c>
      <c r="I4791" s="11">
        <f>IFERROR(INDEX(tEditais[Encerramento],MATCH(tItens[[#This Row],[Edital]],tEditais[Edital],0)),"")</f>
        <v>46308.375</v>
      </c>
      <c r="J4791" t="str">
        <f>IFERROR(INDEX(tProdutos[Classe],MATCH(tItens[[#This Row],[Produto]],tProdutos[Produto],0)),"produto não cadastrado")</f>
        <v>NÚCLEO</v>
      </c>
      <c r="K4791" s="12">
        <f>tItens[[#This Row],[Qtd]]*tItens[[#This Row],[Vlr unit]]</f>
        <v>84</v>
      </c>
      <c r="L4791" s="6">
        <f>IFERROR(IF(INDEX(tProdutos[Desconto homologado],MATCH(tItens[[#This Row],[Produto]],tProdutos[Produto],0))="",DescontoPadrao,INDEX(tProdutos[Desconto homologado],MATCH(tItens[[#This Row],[Produto]],tProdutos[Produto],0))),DescontoPadrao)</f>
        <v>0.30410958904109597</v>
      </c>
      <c r="M4791" s="12">
        <f>tItens[[#This Row],[Valor]]*(1-tItens[[#This Row],[Desconto]])</f>
        <v>58.454794520547935</v>
      </c>
      <c r="N4791" t="str">
        <f>IFERROR(INDEX(tProdutos[Foco],MATCH(tItens[[#This Row],[Produto]],tProdutos[Produto],0)),"Não")</f>
        <v>Não</v>
      </c>
      <c r="O4791" t="str">
        <f>IFERROR(INDEX(tEditais[SRP],MATCH(tItens[[#This Row],[Edital]],tEditais[Edital],0)),"Não")</f>
        <v>Não</v>
      </c>
      <c r="P4791" s="4">
        <f>IF(COUNTIFS(INDEX(tItens[Edital],1):tItens[[#This Row],[Edital]],tItens[[#This Row],[Edital]],INDEX(tItens[Produto],1):tItens[[#This Row],[Produto]],tItens[[#This Row],[Produto]])=1,1,0)</f>
        <v>0</v>
      </c>
    </row>
    <row r="4792" spans="1:16" x14ac:dyDescent="0.25">
      <c r="A4792" t="s">
        <v>1870</v>
      </c>
      <c r="B4792">
        <v>298</v>
      </c>
      <c r="C4792" t="s">
        <v>7620</v>
      </c>
      <c r="D4792" t="s">
        <v>110</v>
      </c>
      <c r="E4792" s="13">
        <v>100</v>
      </c>
      <c r="F4792" s="12">
        <v>0.97</v>
      </c>
      <c r="G4792" t="str">
        <f>IFERROR(INDEX(tEditais[Órgão],MATCH(tItens[[#This Row],[Edital]],tEditais[Edital],0)),"")</f>
        <v>MUNICIPIO DE FREI MIGUELINHO</v>
      </c>
      <c r="H4792" t="str">
        <f>IFERROR(INDEX(tEditais[UF],MATCH(tItens[[#This Row],[Edital]],tEditais[Edital],0)),"")</f>
        <v>PE</v>
      </c>
      <c r="I4792" s="11">
        <f>IFERROR(INDEX(tEditais[Encerramento],MATCH(tItens[[#This Row],[Edital]],tEditais[Edital],0)),"")</f>
        <v>46308.375</v>
      </c>
      <c r="J4792" t="str">
        <f>IFERROR(INDEX(tProdutos[Classe],MATCH(tItens[[#This Row],[Produto]],tProdutos[Produto],0)),"produto não cadastrado")</f>
        <v>NÚCLEO</v>
      </c>
      <c r="K4792" s="12">
        <f>tItens[[#This Row],[Qtd]]*tItens[[#This Row],[Vlr unit]]</f>
        <v>97</v>
      </c>
      <c r="L4792" s="6">
        <f>IFERROR(IF(INDEX(tProdutos[Desconto homologado],MATCH(tItens[[#This Row],[Produto]],tProdutos[Produto],0))="",DescontoPadrao,INDEX(tProdutos[Desconto homologado],MATCH(tItens[[#This Row],[Produto]],tProdutos[Produto],0))),DescontoPadrao)</f>
        <v>0.30410958904109597</v>
      </c>
      <c r="M4792" s="12">
        <f>tItens[[#This Row],[Valor]]*(1-tItens[[#This Row],[Desconto]])</f>
        <v>67.501369863013693</v>
      </c>
      <c r="N4792" t="str">
        <f>IFERROR(INDEX(tProdutos[Foco],MATCH(tItens[[#This Row],[Produto]],tProdutos[Produto],0)),"Não")</f>
        <v>Não</v>
      </c>
      <c r="O4792" t="str">
        <f>IFERROR(INDEX(tEditais[SRP],MATCH(tItens[[#This Row],[Edital]],tEditais[Edital],0)),"Não")</f>
        <v>Não</v>
      </c>
      <c r="P4792" s="4">
        <f>IF(COUNTIFS(INDEX(tItens[Edital],1):tItens[[#This Row],[Edital]],tItens[[#This Row],[Edital]],INDEX(tItens[Produto],1):tItens[[#This Row],[Produto]],tItens[[#This Row],[Produto]])=1,1,0)</f>
        <v>0</v>
      </c>
    </row>
    <row r="4793" spans="1:16" x14ac:dyDescent="0.25">
      <c r="A4793" t="s">
        <v>1870</v>
      </c>
      <c r="B4793">
        <v>299</v>
      </c>
      <c r="C4793" t="s">
        <v>7621</v>
      </c>
      <c r="D4793" t="s">
        <v>110</v>
      </c>
      <c r="E4793" s="13">
        <v>100</v>
      </c>
      <c r="F4793" s="12">
        <v>1.1299999999999999</v>
      </c>
      <c r="G4793" t="str">
        <f>IFERROR(INDEX(tEditais[Órgão],MATCH(tItens[[#This Row],[Edital]],tEditais[Edital],0)),"")</f>
        <v>MUNICIPIO DE FREI MIGUELINHO</v>
      </c>
      <c r="H4793" t="str">
        <f>IFERROR(INDEX(tEditais[UF],MATCH(tItens[[#This Row],[Edital]],tEditais[Edital],0)),"")</f>
        <v>PE</v>
      </c>
      <c r="I4793" s="11">
        <f>IFERROR(INDEX(tEditais[Encerramento],MATCH(tItens[[#This Row],[Edital]],tEditais[Edital],0)),"")</f>
        <v>46308.375</v>
      </c>
      <c r="J4793" t="str">
        <f>IFERROR(INDEX(tProdutos[Classe],MATCH(tItens[[#This Row],[Produto]],tProdutos[Produto],0)),"produto não cadastrado")</f>
        <v>NÚCLEO</v>
      </c>
      <c r="K4793" s="12">
        <f>tItens[[#This Row],[Qtd]]*tItens[[#This Row],[Vlr unit]]</f>
        <v>112.99999999999999</v>
      </c>
      <c r="L4793" s="6">
        <f>IFERROR(IF(INDEX(tProdutos[Desconto homologado],MATCH(tItens[[#This Row],[Produto]],tProdutos[Produto],0))="",DescontoPadrao,INDEX(tProdutos[Desconto homologado],MATCH(tItens[[#This Row],[Produto]],tProdutos[Produto],0))),DescontoPadrao)</f>
        <v>0.30410958904109597</v>
      </c>
      <c r="M4793" s="12">
        <f>tItens[[#This Row],[Valor]]*(1-tItens[[#This Row],[Desconto]])</f>
        <v>78.635616438356152</v>
      </c>
      <c r="N4793" t="str">
        <f>IFERROR(INDEX(tProdutos[Foco],MATCH(tItens[[#This Row],[Produto]],tProdutos[Produto],0)),"Não")</f>
        <v>Não</v>
      </c>
      <c r="O4793" t="str">
        <f>IFERROR(INDEX(tEditais[SRP],MATCH(tItens[[#This Row],[Edital]],tEditais[Edital],0)),"Não")</f>
        <v>Não</v>
      </c>
      <c r="P4793" s="4">
        <f>IF(COUNTIFS(INDEX(tItens[Edital],1):tItens[[#This Row],[Edital]],tItens[[#This Row],[Edital]],INDEX(tItens[Produto],1):tItens[[#This Row],[Produto]],tItens[[#This Row],[Produto]])=1,1,0)</f>
        <v>0</v>
      </c>
    </row>
    <row r="4794" spans="1:16" x14ac:dyDescent="0.25">
      <c r="A4794" t="s">
        <v>1870</v>
      </c>
      <c r="B4794">
        <v>300</v>
      </c>
      <c r="C4794" t="s">
        <v>7622</v>
      </c>
      <c r="D4794" t="s">
        <v>110</v>
      </c>
      <c r="E4794" s="13">
        <v>100</v>
      </c>
      <c r="F4794" s="12">
        <v>1.1000000000000001</v>
      </c>
      <c r="G4794" t="str">
        <f>IFERROR(INDEX(tEditais[Órgão],MATCH(tItens[[#This Row],[Edital]],tEditais[Edital],0)),"")</f>
        <v>MUNICIPIO DE FREI MIGUELINHO</v>
      </c>
      <c r="H4794" t="str">
        <f>IFERROR(INDEX(tEditais[UF],MATCH(tItens[[#This Row],[Edital]],tEditais[Edital],0)),"")</f>
        <v>PE</v>
      </c>
      <c r="I4794" s="11">
        <f>IFERROR(INDEX(tEditais[Encerramento],MATCH(tItens[[#This Row],[Edital]],tEditais[Edital],0)),"")</f>
        <v>46308.375</v>
      </c>
      <c r="J4794" t="str">
        <f>IFERROR(INDEX(tProdutos[Classe],MATCH(tItens[[#This Row],[Produto]],tProdutos[Produto],0)),"produto não cadastrado")</f>
        <v>NÚCLEO</v>
      </c>
      <c r="K4794" s="12">
        <f>tItens[[#This Row],[Qtd]]*tItens[[#This Row],[Vlr unit]]</f>
        <v>110.00000000000001</v>
      </c>
      <c r="L4794" s="6">
        <f>IFERROR(IF(INDEX(tProdutos[Desconto homologado],MATCH(tItens[[#This Row],[Produto]],tProdutos[Produto],0))="",DescontoPadrao,INDEX(tProdutos[Desconto homologado],MATCH(tItens[[#This Row],[Produto]],tProdutos[Produto],0))),DescontoPadrao)</f>
        <v>0.30410958904109597</v>
      </c>
      <c r="M4794" s="12">
        <f>tItens[[#This Row],[Valor]]*(1-tItens[[#This Row],[Desconto]])</f>
        <v>76.547945205479451</v>
      </c>
      <c r="N4794" t="str">
        <f>IFERROR(INDEX(tProdutos[Foco],MATCH(tItens[[#This Row],[Produto]],tProdutos[Produto],0)),"Não")</f>
        <v>Não</v>
      </c>
      <c r="O4794" t="str">
        <f>IFERROR(INDEX(tEditais[SRP],MATCH(tItens[[#This Row],[Edital]],tEditais[Edital],0)),"Não")</f>
        <v>Não</v>
      </c>
      <c r="P4794" s="4">
        <f>IF(COUNTIFS(INDEX(tItens[Edital],1):tItens[[#This Row],[Edital]],tItens[[#This Row],[Edital]],INDEX(tItens[Produto],1):tItens[[#This Row],[Produto]],tItens[[#This Row],[Produto]])=1,1,0)</f>
        <v>0</v>
      </c>
    </row>
    <row r="4795" spans="1:16" x14ac:dyDescent="0.25">
      <c r="A4795" t="s">
        <v>1870</v>
      </c>
      <c r="B4795">
        <v>301</v>
      </c>
      <c r="C4795" t="s">
        <v>7623</v>
      </c>
      <c r="D4795" t="s">
        <v>110</v>
      </c>
      <c r="E4795" s="13">
        <v>100</v>
      </c>
      <c r="F4795" s="12">
        <v>1.19</v>
      </c>
      <c r="G4795" t="str">
        <f>IFERROR(INDEX(tEditais[Órgão],MATCH(tItens[[#This Row],[Edital]],tEditais[Edital],0)),"")</f>
        <v>MUNICIPIO DE FREI MIGUELINHO</v>
      </c>
      <c r="H4795" t="str">
        <f>IFERROR(INDEX(tEditais[UF],MATCH(tItens[[#This Row],[Edital]],tEditais[Edital],0)),"")</f>
        <v>PE</v>
      </c>
      <c r="I4795" s="11">
        <f>IFERROR(INDEX(tEditais[Encerramento],MATCH(tItens[[#This Row],[Edital]],tEditais[Edital],0)),"")</f>
        <v>46308.375</v>
      </c>
      <c r="J4795" t="str">
        <f>IFERROR(INDEX(tProdutos[Classe],MATCH(tItens[[#This Row],[Produto]],tProdutos[Produto],0)),"produto não cadastrado")</f>
        <v>NÚCLEO</v>
      </c>
      <c r="K4795" s="12">
        <f>tItens[[#This Row],[Qtd]]*tItens[[#This Row],[Vlr unit]]</f>
        <v>119</v>
      </c>
      <c r="L4795" s="6">
        <f>IFERROR(IF(INDEX(tProdutos[Desconto homologado],MATCH(tItens[[#This Row],[Produto]],tProdutos[Produto],0))="",DescontoPadrao,INDEX(tProdutos[Desconto homologado],MATCH(tItens[[#This Row],[Produto]],tProdutos[Produto],0))),DescontoPadrao)</f>
        <v>0.30410958904109597</v>
      </c>
      <c r="M4795" s="12">
        <f>tItens[[#This Row],[Valor]]*(1-tItens[[#This Row],[Desconto]])</f>
        <v>82.810958904109583</v>
      </c>
      <c r="N4795" t="str">
        <f>IFERROR(INDEX(tProdutos[Foco],MATCH(tItens[[#This Row],[Produto]],tProdutos[Produto],0)),"Não")</f>
        <v>Não</v>
      </c>
      <c r="O4795" t="str">
        <f>IFERROR(INDEX(tEditais[SRP],MATCH(tItens[[#This Row],[Edital]],tEditais[Edital],0)),"Não")</f>
        <v>Não</v>
      </c>
      <c r="P4795" s="4">
        <f>IF(COUNTIFS(INDEX(tItens[Edital],1):tItens[[#This Row],[Edital]],tItens[[#This Row],[Edital]],INDEX(tItens[Produto],1):tItens[[#This Row],[Produto]],tItens[[#This Row],[Produto]])=1,1,0)</f>
        <v>0</v>
      </c>
    </row>
    <row r="4796" spans="1:16" x14ac:dyDescent="0.25">
      <c r="A4796" t="s">
        <v>1870</v>
      </c>
      <c r="B4796">
        <v>302</v>
      </c>
      <c r="C4796" t="s">
        <v>7624</v>
      </c>
      <c r="D4796" t="s">
        <v>110</v>
      </c>
      <c r="E4796" s="13">
        <v>50</v>
      </c>
      <c r="F4796" s="12">
        <v>1.29</v>
      </c>
      <c r="G4796" t="str">
        <f>IFERROR(INDEX(tEditais[Órgão],MATCH(tItens[[#This Row],[Edital]],tEditais[Edital],0)),"")</f>
        <v>MUNICIPIO DE FREI MIGUELINHO</v>
      </c>
      <c r="H4796" t="str">
        <f>IFERROR(INDEX(tEditais[UF],MATCH(tItens[[#This Row],[Edital]],tEditais[Edital],0)),"")</f>
        <v>PE</v>
      </c>
      <c r="I4796" s="11">
        <f>IFERROR(INDEX(tEditais[Encerramento],MATCH(tItens[[#This Row],[Edital]],tEditais[Edital],0)),"")</f>
        <v>46308.375</v>
      </c>
      <c r="J4796" t="str">
        <f>IFERROR(INDEX(tProdutos[Classe],MATCH(tItens[[#This Row],[Produto]],tProdutos[Produto],0)),"produto não cadastrado")</f>
        <v>NÚCLEO</v>
      </c>
      <c r="K4796" s="12">
        <f>tItens[[#This Row],[Qtd]]*tItens[[#This Row],[Vlr unit]]</f>
        <v>64.5</v>
      </c>
      <c r="L4796" s="6">
        <f>IFERROR(IF(INDEX(tProdutos[Desconto homologado],MATCH(tItens[[#This Row],[Produto]],tProdutos[Produto],0))="",DescontoPadrao,INDEX(tProdutos[Desconto homologado],MATCH(tItens[[#This Row],[Produto]],tProdutos[Produto],0))),DescontoPadrao)</f>
        <v>0.30410958904109597</v>
      </c>
      <c r="M4796" s="12">
        <f>tItens[[#This Row],[Valor]]*(1-tItens[[#This Row],[Desconto]])</f>
        <v>44.884931506849313</v>
      </c>
      <c r="N4796" t="str">
        <f>IFERROR(INDEX(tProdutos[Foco],MATCH(tItens[[#This Row],[Produto]],tProdutos[Produto],0)),"Não")</f>
        <v>Não</v>
      </c>
      <c r="O4796" t="str">
        <f>IFERROR(INDEX(tEditais[SRP],MATCH(tItens[[#This Row],[Edital]],tEditais[Edital],0)),"Não")</f>
        <v>Não</v>
      </c>
      <c r="P4796" s="4">
        <f>IF(COUNTIFS(INDEX(tItens[Edital],1):tItens[[#This Row],[Edital]],tItens[[#This Row],[Edital]],INDEX(tItens[Produto],1):tItens[[#This Row],[Produto]],tItens[[#This Row],[Produto]])=1,1,0)</f>
        <v>0</v>
      </c>
    </row>
    <row r="4797" spans="1:16" x14ac:dyDescent="0.25">
      <c r="A4797" t="s">
        <v>1870</v>
      </c>
      <c r="B4797">
        <v>303</v>
      </c>
      <c r="C4797" t="s">
        <v>7625</v>
      </c>
      <c r="D4797" t="s">
        <v>110</v>
      </c>
      <c r="E4797" s="13">
        <v>50</v>
      </c>
      <c r="F4797" s="12">
        <v>0.98</v>
      </c>
      <c r="G4797" t="str">
        <f>IFERROR(INDEX(tEditais[Órgão],MATCH(tItens[[#This Row],[Edital]],tEditais[Edital],0)),"")</f>
        <v>MUNICIPIO DE FREI MIGUELINHO</v>
      </c>
      <c r="H4797" t="str">
        <f>IFERROR(INDEX(tEditais[UF],MATCH(tItens[[#This Row],[Edital]],tEditais[Edital],0)),"")</f>
        <v>PE</v>
      </c>
      <c r="I4797" s="11">
        <f>IFERROR(INDEX(tEditais[Encerramento],MATCH(tItens[[#This Row],[Edital]],tEditais[Edital],0)),"")</f>
        <v>46308.375</v>
      </c>
      <c r="J4797" t="str">
        <f>IFERROR(INDEX(tProdutos[Classe],MATCH(tItens[[#This Row],[Produto]],tProdutos[Produto],0)),"produto não cadastrado")</f>
        <v>NÚCLEO</v>
      </c>
      <c r="K4797" s="12">
        <f>tItens[[#This Row],[Qtd]]*tItens[[#This Row],[Vlr unit]]</f>
        <v>49</v>
      </c>
      <c r="L4797" s="6">
        <f>IFERROR(IF(INDEX(tProdutos[Desconto homologado],MATCH(tItens[[#This Row],[Produto]],tProdutos[Produto],0))="",DescontoPadrao,INDEX(tProdutos[Desconto homologado],MATCH(tItens[[#This Row],[Produto]],tProdutos[Produto],0))),DescontoPadrao)</f>
        <v>0.30410958904109597</v>
      </c>
      <c r="M4797" s="12">
        <f>tItens[[#This Row],[Valor]]*(1-tItens[[#This Row],[Desconto]])</f>
        <v>34.098630136986294</v>
      </c>
      <c r="N4797" t="str">
        <f>IFERROR(INDEX(tProdutos[Foco],MATCH(tItens[[#This Row],[Produto]],tProdutos[Produto],0)),"Não")</f>
        <v>Não</v>
      </c>
      <c r="O4797" t="str">
        <f>IFERROR(INDEX(tEditais[SRP],MATCH(tItens[[#This Row],[Edital]],tEditais[Edital],0)),"Não")</f>
        <v>Não</v>
      </c>
      <c r="P4797" s="4">
        <f>IF(COUNTIFS(INDEX(tItens[Edital],1):tItens[[#This Row],[Edital]],tItens[[#This Row],[Edital]],INDEX(tItens[Produto],1):tItens[[#This Row],[Produto]],tItens[[#This Row],[Produto]])=1,1,0)</f>
        <v>0</v>
      </c>
    </row>
    <row r="4798" spans="1:16" x14ac:dyDescent="0.25">
      <c r="A4798" t="s">
        <v>1870</v>
      </c>
      <c r="B4798">
        <v>316</v>
      </c>
      <c r="C4798" t="s">
        <v>7626</v>
      </c>
      <c r="D4798" t="s">
        <v>75</v>
      </c>
      <c r="E4798" s="13">
        <v>1000</v>
      </c>
      <c r="F4798" s="12">
        <v>1.29</v>
      </c>
      <c r="G4798" t="str">
        <f>IFERROR(INDEX(tEditais[Órgão],MATCH(tItens[[#This Row],[Edital]],tEditais[Edital],0)),"")</f>
        <v>MUNICIPIO DE FREI MIGUELINHO</v>
      </c>
      <c r="H4798" t="str">
        <f>IFERROR(INDEX(tEditais[UF],MATCH(tItens[[#This Row],[Edital]],tEditais[Edital],0)),"")</f>
        <v>PE</v>
      </c>
      <c r="I4798" s="11">
        <f>IFERROR(INDEX(tEditais[Encerramento],MATCH(tItens[[#This Row],[Edital]],tEditais[Edital],0)),"")</f>
        <v>46308.375</v>
      </c>
      <c r="J4798" t="str">
        <f>IFERROR(INDEX(tProdutos[Classe],MATCH(tItens[[#This Row],[Produto]],tProdutos[Produto],0)),"produto não cadastrado")</f>
        <v>NÚCLEO</v>
      </c>
      <c r="K4798" s="12">
        <f>tItens[[#This Row],[Qtd]]*tItens[[#This Row],[Vlr unit]]</f>
        <v>1290</v>
      </c>
      <c r="L4798" s="6">
        <f>IFERROR(IF(INDEX(tProdutos[Desconto homologado],MATCH(tItens[[#This Row],[Produto]],tProdutos[Produto],0))="",DescontoPadrao,INDEX(tProdutos[Desconto homologado],MATCH(tItens[[#This Row],[Produto]],tProdutos[Produto],0))),DescontoPadrao)</f>
        <v>0.26</v>
      </c>
      <c r="M4798" s="12">
        <f>tItens[[#This Row],[Valor]]*(1-tItens[[#This Row],[Desconto]])</f>
        <v>954.6</v>
      </c>
      <c r="N4798" t="str">
        <f>IFERROR(INDEX(tProdutos[Foco],MATCH(tItens[[#This Row],[Produto]],tProdutos[Produto],0)),"Não")</f>
        <v>Sim</v>
      </c>
      <c r="O4798" t="str">
        <f>IFERROR(INDEX(tEditais[SRP],MATCH(tItens[[#This Row],[Edital]],tEditais[Edital],0)),"Não")</f>
        <v>Não</v>
      </c>
      <c r="P4798" s="4">
        <f>IF(COUNTIFS(INDEX(tItens[Edital],1):tItens[[#This Row],[Edital]],tItens[[#This Row],[Edital]],INDEX(tItens[Produto],1):tItens[[#This Row],[Produto]],tItens[[#This Row],[Produto]])=1,1,0)</f>
        <v>1</v>
      </c>
    </row>
    <row r="4799" spans="1:16" x14ac:dyDescent="0.25">
      <c r="A4799" t="s">
        <v>1870</v>
      </c>
      <c r="B4799">
        <v>317</v>
      </c>
      <c r="C4799" t="s">
        <v>7627</v>
      </c>
      <c r="D4799" t="s">
        <v>75</v>
      </c>
      <c r="E4799" s="13">
        <v>1000</v>
      </c>
      <c r="F4799" s="12">
        <v>1.45</v>
      </c>
      <c r="G4799" t="str">
        <f>IFERROR(INDEX(tEditais[Órgão],MATCH(tItens[[#This Row],[Edital]],tEditais[Edital],0)),"")</f>
        <v>MUNICIPIO DE FREI MIGUELINHO</v>
      </c>
      <c r="H4799" t="str">
        <f>IFERROR(INDEX(tEditais[UF],MATCH(tItens[[#This Row],[Edital]],tEditais[Edital],0)),"")</f>
        <v>PE</v>
      </c>
      <c r="I4799" s="11">
        <f>IFERROR(INDEX(tEditais[Encerramento],MATCH(tItens[[#This Row],[Edital]],tEditais[Edital],0)),"")</f>
        <v>46308.375</v>
      </c>
      <c r="J4799" t="str">
        <f>IFERROR(INDEX(tProdutos[Classe],MATCH(tItens[[#This Row],[Produto]],tProdutos[Produto],0)),"produto não cadastrado")</f>
        <v>NÚCLEO</v>
      </c>
      <c r="K4799" s="12">
        <f>tItens[[#This Row],[Qtd]]*tItens[[#This Row],[Vlr unit]]</f>
        <v>1450</v>
      </c>
      <c r="L4799" s="6">
        <f>IFERROR(IF(INDEX(tProdutos[Desconto homologado],MATCH(tItens[[#This Row],[Produto]],tProdutos[Produto],0))="",DescontoPadrao,INDEX(tProdutos[Desconto homologado],MATCH(tItens[[#This Row],[Produto]],tProdutos[Produto],0))),DescontoPadrao)</f>
        <v>0.26</v>
      </c>
      <c r="M4799" s="12">
        <f>tItens[[#This Row],[Valor]]*(1-tItens[[#This Row],[Desconto]])</f>
        <v>1073</v>
      </c>
      <c r="N4799" t="str">
        <f>IFERROR(INDEX(tProdutos[Foco],MATCH(tItens[[#This Row],[Produto]],tProdutos[Produto],0)),"Não")</f>
        <v>Sim</v>
      </c>
      <c r="O4799" t="str">
        <f>IFERROR(INDEX(tEditais[SRP],MATCH(tItens[[#This Row],[Edital]],tEditais[Edital],0)),"Não")</f>
        <v>Não</v>
      </c>
      <c r="P4799" s="4">
        <f>IF(COUNTIFS(INDEX(tItens[Edital],1):tItens[[#This Row],[Edital]],tItens[[#This Row],[Edital]],INDEX(tItens[Produto],1):tItens[[#This Row],[Produto]],tItens[[#This Row],[Produto]])=1,1,0)</f>
        <v>0</v>
      </c>
    </row>
    <row r="4800" spans="1:16" x14ac:dyDescent="0.25">
      <c r="A4800" t="s">
        <v>1875</v>
      </c>
      <c r="B4800">
        <v>3</v>
      </c>
      <c r="C4800" t="s">
        <v>7628</v>
      </c>
      <c r="D4800" t="s">
        <v>98</v>
      </c>
      <c r="E4800" s="13">
        <v>10</v>
      </c>
      <c r="F4800" s="12">
        <v>2.98</v>
      </c>
      <c r="G4800" t="str">
        <f>IFERROR(INDEX(tEditais[Órgão],MATCH(tItens[[#This Row],[Edital]],tEditais[Edital],0)),"")</f>
        <v>FUNDO MUNICIPAL DE SAUDE</v>
      </c>
      <c r="H4800" t="str">
        <f>IFERROR(INDEX(tEditais[UF],MATCH(tItens[[#This Row],[Edital]],tEditais[Edital],0)),"")</f>
        <v>PE</v>
      </c>
      <c r="I4800" s="11">
        <f>IFERROR(INDEX(tEditais[Encerramento],MATCH(tItens[[#This Row],[Edital]],tEditais[Edital],0)),"")</f>
        <v>46308.375</v>
      </c>
      <c r="J4800" t="str">
        <f>IFERROR(INDEX(tProdutos[Classe],MATCH(tItens[[#This Row],[Produto]],tProdutos[Produto],0)),"produto não cadastrado")</f>
        <v>NÚCLEO</v>
      </c>
      <c r="K4800" s="12">
        <f>tItens[[#This Row],[Qtd]]*tItens[[#This Row],[Vlr unit]]</f>
        <v>29.8</v>
      </c>
      <c r="L4800" s="6">
        <f>IFERROR(IF(INDEX(tProdutos[Desconto homologado],MATCH(tItens[[#This Row],[Produto]],tProdutos[Produto],0))="",DescontoPadrao,INDEX(tProdutos[Desconto homologado],MATCH(tItens[[#This Row],[Produto]],tProdutos[Produto],0))),DescontoPadrao)</f>
        <v>0.39</v>
      </c>
      <c r="M4800" s="12">
        <f>tItens[[#This Row],[Valor]]*(1-tItens[[#This Row],[Desconto]])</f>
        <v>18.178000000000001</v>
      </c>
      <c r="N4800" t="str">
        <f>IFERROR(INDEX(tProdutos[Foco],MATCH(tItens[[#This Row],[Produto]],tProdutos[Produto],0)),"Não")</f>
        <v>Sim</v>
      </c>
      <c r="O4800" t="str">
        <f>IFERROR(INDEX(tEditais[SRP],MATCH(tItens[[#This Row],[Edital]],tEditais[Edital],0)),"Não")</f>
        <v>Sim</v>
      </c>
      <c r="P4800" s="4">
        <f>IF(COUNTIFS(INDEX(tItens[Edital],1):tItens[[#This Row],[Edital]],tItens[[#This Row],[Edital]],INDEX(tItens[Produto],1):tItens[[#This Row],[Produto]],tItens[[#This Row],[Produto]])=1,1,0)</f>
        <v>1</v>
      </c>
    </row>
    <row r="4801" spans="1:16" x14ac:dyDescent="0.25">
      <c r="A4801" t="s">
        <v>1875</v>
      </c>
      <c r="B4801">
        <v>4</v>
      </c>
      <c r="C4801" t="s">
        <v>7629</v>
      </c>
      <c r="D4801" t="s">
        <v>98</v>
      </c>
      <c r="E4801" s="13">
        <v>10</v>
      </c>
      <c r="F4801" s="12">
        <v>3</v>
      </c>
      <c r="G4801" t="str">
        <f>IFERROR(INDEX(tEditais[Órgão],MATCH(tItens[[#This Row],[Edital]],tEditais[Edital],0)),"")</f>
        <v>FUNDO MUNICIPAL DE SAUDE</v>
      </c>
      <c r="H4801" t="str">
        <f>IFERROR(INDEX(tEditais[UF],MATCH(tItens[[#This Row],[Edital]],tEditais[Edital],0)),"")</f>
        <v>PE</v>
      </c>
      <c r="I4801" s="11">
        <f>IFERROR(INDEX(tEditais[Encerramento],MATCH(tItens[[#This Row],[Edital]],tEditais[Edital],0)),"")</f>
        <v>46308.375</v>
      </c>
      <c r="J4801" t="str">
        <f>IFERROR(INDEX(tProdutos[Classe],MATCH(tItens[[#This Row],[Produto]],tProdutos[Produto],0)),"produto não cadastrado")</f>
        <v>NÚCLEO</v>
      </c>
      <c r="K4801" s="12">
        <f>tItens[[#This Row],[Qtd]]*tItens[[#This Row],[Vlr unit]]</f>
        <v>30</v>
      </c>
      <c r="L4801" s="6">
        <f>IFERROR(IF(INDEX(tProdutos[Desconto homologado],MATCH(tItens[[#This Row],[Produto]],tProdutos[Produto],0))="",DescontoPadrao,INDEX(tProdutos[Desconto homologado],MATCH(tItens[[#This Row],[Produto]],tProdutos[Produto],0))),DescontoPadrao)</f>
        <v>0.39</v>
      </c>
      <c r="M4801" s="12">
        <f>tItens[[#This Row],[Valor]]*(1-tItens[[#This Row],[Desconto]])</f>
        <v>18.3</v>
      </c>
      <c r="N4801" t="str">
        <f>IFERROR(INDEX(tProdutos[Foco],MATCH(tItens[[#This Row],[Produto]],tProdutos[Produto],0)),"Não")</f>
        <v>Sim</v>
      </c>
      <c r="O4801" t="str">
        <f>IFERROR(INDEX(tEditais[SRP],MATCH(tItens[[#This Row],[Edital]],tEditais[Edital],0)),"Não")</f>
        <v>Sim</v>
      </c>
      <c r="P4801" s="4">
        <f>IF(COUNTIFS(INDEX(tItens[Edital],1):tItens[[#This Row],[Edital]],tItens[[#This Row],[Edital]],INDEX(tItens[Produto],1):tItens[[#This Row],[Produto]],tItens[[#This Row],[Produto]])=1,1,0)</f>
        <v>0</v>
      </c>
    </row>
    <row r="4802" spans="1:16" x14ac:dyDescent="0.25">
      <c r="A4802" t="s">
        <v>1875</v>
      </c>
      <c r="B4802">
        <v>9</v>
      </c>
      <c r="C4802" t="s">
        <v>7630</v>
      </c>
      <c r="D4802" t="s">
        <v>275</v>
      </c>
      <c r="E4802" s="13">
        <v>80000</v>
      </c>
      <c r="F4802" s="12">
        <v>0.44</v>
      </c>
      <c r="G4802" t="str">
        <f>IFERROR(INDEX(tEditais[Órgão],MATCH(tItens[[#This Row],[Edital]],tEditais[Edital],0)),"")</f>
        <v>FUNDO MUNICIPAL DE SAUDE</v>
      </c>
      <c r="H4802" t="str">
        <f>IFERROR(INDEX(tEditais[UF],MATCH(tItens[[#This Row],[Edital]],tEditais[Edital],0)),"")</f>
        <v>PE</v>
      </c>
      <c r="I4802" s="11">
        <f>IFERROR(INDEX(tEditais[Encerramento],MATCH(tItens[[#This Row],[Edital]],tEditais[Edital],0)),"")</f>
        <v>46308.375</v>
      </c>
      <c r="J4802" t="str">
        <f>IFERROR(INDEX(tProdutos[Classe],MATCH(tItens[[#This Row],[Produto]],tProdutos[Produto],0)),"produto não cadastrado")</f>
        <v>FORA</v>
      </c>
      <c r="K4802" s="12">
        <f>tItens[[#This Row],[Qtd]]*tItens[[#This Row],[Vlr unit]]</f>
        <v>35200</v>
      </c>
      <c r="L4802" s="6">
        <f>IFERROR(IF(INDEX(tProdutos[Desconto homologado],MATCH(tItens[[#This Row],[Produto]],tProdutos[Produto],0))="",DescontoPadrao,INDEX(tProdutos[Desconto homologado],MATCH(tItens[[#This Row],[Produto]],tProdutos[Produto],0))),DescontoPadrao)</f>
        <v>0.405797101449275</v>
      </c>
      <c r="M4802" s="12">
        <f>tItens[[#This Row],[Valor]]*(1-tItens[[#This Row],[Desconto]])</f>
        <v>20915.942028985522</v>
      </c>
      <c r="N4802" t="str">
        <f>IFERROR(INDEX(tProdutos[Foco],MATCH(tItens[[#This Row],[Produto]],tProdutos[Produto],0)),"Não")</f>
        <v>Não</v>
      </c>
      <c r="O4802" t="str">
        <f>IFERROR(INDEX(tEditais[SRP],MATCH(tItens[[#This Row],[Edital]],tEditais[Edital],0)),"Não")</f>
        <v>Sim</v>
      </c>
      <c r="P4802" s="4">
        <f>IF(COUNTIFS(INDEX(tItens[Edital],1):tItens[[#This Row],[Edital]],tItens[[#This Row],[Edital]],INDEX(tItens[Produto],1):tItens[[#This Row],[Produto]],tItens[[#This Row],[Produto]])=1,1,0)</f>
        <v>1</v>
      </c>
    </row>
    <row r="4803" spans="1:16" x14ac:dyDescent="0.25">
      <c r="A4803" t="s">
        <v>1875</v>
      </c>
      <c r="B4803">
        <v>10</v>
      </c>
      <c r="C4803" t="s">
        <v>7631</v>
      </c>
      <c r="D4803" t="s">
        <v>265</v>
      </c>
      <c r="E4803" s="13">
        <v>18000</v>
      </c>
      <c r="F4803" s="12">
        <v>0.26</v>
      </c>
      <c r="G4803" t="str">
        <f>IFERROR(INDEX(tEditais[Órgão],MATCH(tItens[[#This Row],[Edital]],tEditais[Edital],0)),"")</f>
        <v>FUNDO MUNICIPAL DE SAUDE</v>
      </c>
      <c r="H4803" t="str">
        <f>IFERROR(INDEX(tEditais[UF],MATCH(tItens[[#This Row],[Edital]],tEditais[Edital],0)),"")</f>
        <v>PE</v>
      </c>
      <c r="I4803" s="11">
        <f>IFERROR(INDEX(tEditais[Encerramento],MATCH(tItens[[#This Row],[Edital]],tEditais[Edital],0)),"")</f>
        <v>46308.375</v>
      </c>
      <c r="J4803" t="str">
        <f>IFERROR(INDEX(tProdutos[Classe],MATCH(tItens[[#This Row],[Produto]],tProdutos[Produto],0)),"produto não cadastrado")</f>
        <v>DISPUTADO</v>
      </c>
      <c r="K4803" s="12">
        <f>tItens[[#This Row],[Qtd]]*tItens[[#This Row],[Vlr unit]]</f>
        <v>4680</v>
      </c>
      <c r="L4803" s="6">
        <f>IFERROR(IF(INDEX(tProdutos[Desconto homologado],MATCH(tItens[[#This Row],[Produto]],tProdutos[Produto],0))="",DescontoPadrao,INDEX(tProdutos[Desconto homologado],MATCH(tItens[[#This Row],[Produto]],tProdutos[Produto],0))),DescontoPadrao)</f>
        <v>0.377587663709337</v>
      </c>
      <c r="M4803" s="12">
        <f>tItens[[#This Row],[Valor]]*(1-tItens[[#This Row],[Desconto]])</f>
        <v>2912.8897338403031</v>
      </c>
      <c r="N4803" t="str">
        <f>IFERROR(INDEX(tProdutos[Foco],MATCH(tItens[[#This Row],[Produto]],tProdutos[Produto],0)),"Não")</f>
        <v>Não</v>
      </c>
      <c r="O4803" t="str">
        <f>IFERROR(INDEX(tEditais[SRP],MATCH(tItens[[#This Row],[Edital]],tEditais[Edital],0)),"Não")</f>
        <v>Sim</v>
      </c>
      <c r="P4803" s="4">
        <f>IF(COUNTIFS(INDEX(tItens[Edital],1):tItens[[#This Row],[Edital]],tItens[[#This Row],[Edital]],INDEX(tItens[Produto],1):tItens[[#This Row],[Produto]],tItens[[#This Row],[Produto]])=1,1,0)</f>
        <v>1</v>
      </c>
    </row>
    <row r="4804" spans="1:16" x14ac:dyDescent="0.25">
      <c r="A4804" t="s">
        <v>1875</v>
      </c>
      <c r="B4804">
        <v>11</v>
      </c>
      <c r="C4804" t="s">
        <v>7632</v>
      </c>
      <c r="D4804" t="s">
        <v>281</v>
      </c>
      <c r="E4804" s="13">
        <v>18000</v>
      </c>
      <c r="F4804" s="12">
        <v>0.38</v>
      </c>
      <c r="G4804" t="str">
        <f>IFERROR(INDEX(tEditais[Órgão],MATCH(tItens[[#This Row],[Edital]],tEditais[Edital],0)),"")</f>
        <v>FUNDO MUNICIPAL DE SAUDE</v>
      </c>
      <c r="H4804" t="str">
        <f>IFERROR(INDEX(tEditais[UF],MATCH(tItens[[#This Row],[Edital]],tEditais[Edital],0)),"")</f>
        <v>PE</v>
      </c>
      <c r="I4804" s="11">
        <f>IFERROR(INDEX(tEditais[Encerramento],MATCH(tItens[[#This Row],[Edital]],tEditais[Edital],0)),"")</f>
        <v>46308.375</v>
      </c>
      <c r="J4804" t="str">
        <f>IFERROR(INDEX(tProdutos[Classe],MATCH(tItens[[#This Row],[Produto]],tProdutos[Produto],0)),"produto não cadastrado")</f>
        <v>DISPUTADO</v>
      </c>
      <c r="K4804" s="12">
        <f>tItens[[#This Row],[Qtd]]*tItens[[#This Row],[Vlr unit]]</f>
        <v>6840</v>
      </c>
      <c r="L4804" s="6">
        <f>IFERROR(IF(INDEX(tProdutos[Desconto homologado],MATCH(tItens[[#This Row],[Produto]],tProdutos[Produto],0))="",DescontoPadrao,INDEX(tProdutos[Desconto homologado],MATCH(tItens[[#This Row],[Produto]],tProdutos[Produto],0))),DescontoPadrao)</f>
        <v>0.42461538461538501</v>
      </c>
      <c r="M4804" s="12">
        <f>tItens[[#This Row],[Valor]]*(1-tItens[[#This Row],[Desconto]])</f>
        <v>3935.630769230766</v>
      </c>
      <c r="N4804" t="str">
        <f>IFERROR(INDEX(tProdutos[Foco],MATCH(tItens[[#This Row],[Produto]],tProdutos[Produto],0)),"Não")</f>
        <v>Não</v>
      </c>
      <c r="O4804" t="str">
        <f>IFERROR(INDEX(tEditais[SRP],MATCH(tItens[[#This Row],[Edital]],tEditais[Edital],0)),"Não")</f>
        <v>Sim</v>
      </c>
      <c r="P4804" s="4">
        <f>IF(COUNTIFS(INDEX(tItens[Edital],1):tItens[[#This Row],[Edital]],tItens[[#This Row],[Edital]],INDEX(tItens[Produto],1):tItens[[#This Row],[Produto]],tItens[[#This Row],[Produto]])=1,1,0)</f>
        <v>1</v>
      </c>
    </row>
    <row r="4805" spans="1:16" x14ac:dyDescent="0.25">
      <c r="A4805" t="s">
        <v>1875</v>
      </c>
      <c r="B4805">
        <v>12</v>
      </c>
      <c r="C4805" t="s">
        <v>7633</v>
      </c>
      <c r="D4805" t="s">
        <v>289</v>
      </c>
      <c r="E4805" s="13">
        <v>15000</v>
      </c>
      <c r="F4805" s="12">
        <v>0.42</v>
      </c>
      <c r="G4805" t="str">
        <f>IFERROR(INDEX(tEditais[Órgão],MATCH(tItens[[#This Row],[Edital]],tEditais[Edital],0)),"")</f>
        <v>FUNDO MUNICIPAL DE SAUDE</v>
      </c>
      <c r="H4805" t="str">
        <f>IFERROR(INDEX(tEditais[UF],MATCH(tItens[[#This Row],[Edital]],tEditais[Edital],0)),"")</f>
        <v>PE</v>
      </c>
      <c r="I4805" s="11">
        <f>IFERROR(INDEX(tEditais[Encerramento],MATCH(tItens[[#This Row],[Edital]],tEditais[Edital],0)),"")</f>
        <v>46308.375</v>
      </c>
      <c r="J4805" t="str">
        <f>IFERROR(INDEX(tProdutos[Classe],MATCH(tItens[[#This Row],[Produto]],tProdutos[Produto],0)),"produto não cadastrado")</f>
        <v>DISPUTADO</v>
      </c>
      <c r="K4805" s="12">
        <f>tItens[[#This Row],[Qtd]]*tItens[[#This Row],[Vlr unit]]</f>
        <v>6300</v>
      </c>
      <c r="L4805" s="6">
        <f>IFERROR(IF(INDEX(tProdutos[Desconto homologado],MATCH(tItens[[#This Row],[Produto]],tProdutos[Produto],0))="",DescontoPadrao,INDEX(tProdutos[Desconto homologado],MATCH(tItens[[#This Row],[Produto]],tProdutos[Produto],0))),DescontoPadrao)</f>
        <v>0.35849056603773599</v>
      </c>
      <c r="M4805" s="12">
        <f>tItens[[#This Row],[Valor]]*(1-tItens[[#This Row],[Desconto]])</f>
        <v>4041.5094339622633</v>
      </c>
      <c r="N4805" t="str">
        <f>IFERROR(INDEX(tProdutos[Foco],MATCH(tItens[[#This Row],[Produto]],tProdutos[Produto],0)),"Não")</f>
        <v>Não</v>
      </c>
      <c r="O4805" t="str">
        <f>IFERROR(INDEX(tEditais[SRP],MATCH(tItens[[#This Row],[Edital]],tEditais[Edital],0)),"Não")</f>
        <v>Sim</v>
      </c>
      <c r="P4805" s="4">
        <f>IF(COUNTIFS(INDEX(tItens[Edital],1):tItens[[#This Row],[Edital]],tItens[[#This Row],[Edital]],INDEX(tItens[Produto],1):tItens[[#This Row],[Produto]],tItens[[#This Row],[Produto]])=1,1,0)</f>
        <v>1</v>
      </c>
    </row>
    <row r="4806" spans="1:16" x14ac:dyDescent="0.25">
      <c r="A4806" t="s">
        <v>1875</v>
      </c>
      <c r="B4806">
        <v>13</v>
      </c>
      <c r="C4806" t="s">
        <v>7634</v>
      </c>
      <c r="D4806" t="s">
        <v>98</v>
      </c>
      <c r="E4806" s="13">
        <v>10</v>
      </c>
      <c r="F4806" s="12">
        <v>16.3</v>
      </c>
      <c r="G4806" t="str">
        <f>IFERROR(INDEX(tEditais[Órgão],MATCH(tItens[[#This Row],[Edital]],tEditais[Edital],0)),"")</f>
        <v>FUNDO MUNICIPAL DE SAUDE</v>
      </c>
      <c r="H4806" t="str">
        <f>IFERROR(INDEX(tEditais[UF],MATCH(tItens[[#This Row],[Edital]],tEditais[Edital],0)),"")</f>
        <v>PE</v>
      </c>
      <c r="I4806" s="11">
        <f>IFERROR(INDEX(tEditais[Encerramento],MATCH(tItens[[#This Row],[Edital]],tEditais[Edital],0)),"")</f>
        <v>46308.375</v>
      </c>
      <c r="J4806" t="str">
        <f>IFERROR(INDEX(tProdutos[Classe],MATCH(tItens[[#This Row],[Produto]],tProdutos[Produto],0)),"produto não cadastrado")</f>
        <v>NÚCLEO</v>
      </c>
      <c r="K4806" s="12">
        <f>tItens[[#This Row],[Qtd]]*tItens[[#This Row],[Vlr unit]]</f>
        <v>163</v>
      </c>
      <c r="L4806" s="6">
        <f>IFERROR(IF(INDEX(tProdutos[Desconto homologado],MATCH(tItens[[#This Row],[Produto]],tProdutos[Produto],0))="",DescontoPadrao,INDEX(tProdutos[Desconto homologado],MATCH(tItens[[#This Row],[Produto]],tProdutos[Produto],0))),DescontoPadrao)</f>
        <v>0.39</v>
      </c>
      <c r="M4806" s="12">
        <f>tItens[[#This Row],[Valor]]*(1-tItens[[#This Row],[Desconto]])</f>
        <v>99.429999999999993</v>
      </c>
      <c r="N4806" t="str">
        <f>IFERROR(INDEX(tProdutos[Foco],MATCH(tItens[[#This Row],[Produto]],tProdutos[Produto],0)),"Não")</f>
        <v>Sim</v>
      </c>
      <c r="O4806" t="str">
        <f>IFERROR(INDEX(tEditais[SRP],MATCH(tItens[[#This Row],[Edital]],tEditais[Edital],0)),"Não")</f>
        <v>Sim</v>
      </c>
      <c r="P4806" s="4">
        <f>IF(COUNTIFS(INDEX(tItens[Edital],1):tItens[[#This Row],[Edital]],tItens[[#This Row],[Edital]],INDEX(tItens[Produto],1):tItens[[#This Row],[Produto]],tItens[[#This Row],[Produto]])=1,1,0)</f>
        <v>0</v>
      </c>
    </row>
    <row r="4807" spans="1:16" x14ac:dyDescent="0.25">
      <c r="A4807" t="s">
        <v>1875</v>
      </c>
      <c r="B4807">
        <v>22</v>
      </c>
      <c r="C4807" t="s">
        <v>7635</v>
      </c>
      <c r="D4807" t="s">
        <v>104</v>
      </c>
      <c r="E4807" s="13">
        <v>48</v>
      </c>
      <c r="F4807" s="12">
        <v>11.55</v>
      </c>
      <c r="G4807" t="str">
        <f>IFERROR(INDEX(tEditais[Órgão],MATCH(tItens[[#This Row],[Edital]],tEditais[Edital],0)),"")</f>
        <v>FUNDO MUNICIPAL DE SAUDE</v>
      </c>
      <c r="H4807" t="str">
        <f>IFERROR(INDEX(tEditais[UF],MATCH(tItens[[#This Row],[Edital]],tEditais[Edital],0)),"")</f>
        <v>PE</v>
      </c>
      <c r="I4807" s="11">
        <f>IFERROR(INDEX(tEditais[Encerramento],MATCH(tItens[[#This Row],[Edital]],tEditais[Edital],0)),"")</f>
        <v>46308.375</v>
      </c>
      <c r="J4807" t="str">
        <f>IFERROR(INDEX(tProdutos[Classe],MATCH(tItens[[#This Row],[Produto]],tProdutos[Produto],0)),"produto não cadastrado")</f>
        <v>DISPUTADO</v>
      </c>
      <c r="K4807" s="12">
        <f>tItens[[#This Row],[Qtd]]*tItens[[#This Row],[Vlr unit]]</f>
        <v>554.40000000000009</v>
      </c>
      <c r="L4807" s="6">
        <f>IFERROR(IF(INDEX(tProdutos[Desconto homologado],MATCH(tItens[[#This Row],[Produto]],tProdutos[Produto],0))="",DescontoPadrao,INDEX(tProdutos[Desconto homologado],MATCH(tItens[[#This Row],[Produto]],tProdutos[Produto],0))),DescontoPadrao)</f>
        <v>0.51</v>
      </c>
      <c r="M4807" s="12">
        <f>tItens[[#This Row],[Valor]]*(1-tItens[[#This Row],[Desconto]])</f>
        <v>271.65600000000006</v>
      </c>
      <c r="N4807" t="str">
        <f>IFERROR(INDEX(tProdutos[Foco],MATCH(tItens[[#This Row],[Produto]],tProdutos[Produto],0)),"Não")</f>
        <v>Sim</v>
      </c>
      <c r="O4807" t="str">
        <f>IFERROR(INDEX(tEditais[SRP],MATCH(tItens[[#This Row],[Edital]],tEditais[Edital],0)),"Não")</f>
        <v>Sim</v>
      </c>
      <c r="P4807" s="4">
        <f>IF(COUNTIFS(INDEX(tItens[Edital],1):tItens[[#This Row],[Edital]],tItens[[#This Row],[Edital]],INDEX(tItens[Produto],1):tItens[[#This Row],[Produto]],tItens[[#This Row],[Produto]])=1,1,0)</f>
        <v>1</v>
      </c>
    </row>
    <row r="4808" spans="1:16" x14ac:dyDescent="0.25">
      <c r="A4808" t="s">
        <v>1875</v>
      </c>
      <c r="B4808">
        <v>25</v>
      </c>
      <c r="C4808" t="s">
        <v>7636</v>
      </c>
      <c r="D4808" t="s">
        <v>69</v>
      </c>
      <c r="E4808" s="13">
        <v>400</v>
      </c>
      <c r="F4808" s="12">
        <v>0.56999999999999995</v>
      </c>
      <c r="G4808" t="str">
        <f>IFERROR(INDEX(tEditais[Órgão],MATCH(tItens[[#This Row],[Edital]],tEditais[Edital],0)),"")</f>
        <v>FUNDO MUNICIPAL DE SAUDE</v>
      </c>
      <c r="H4808" t="str">
        <f>IFERROR(INDEX(tEditais[UF],MATCH(tItens[[#This Row],[Edital]],tEditais[Edital],0)),"")</f>
        <v>PE</v>
      </c>
      <c r="I4808" s="11">
        <f>IFERROR(INDEX(tEditais[Encerramento],MATCH(tItens[[#This Row],[Edital]],tEditais[Edital],0)),"")</f>
        <v>46308.375</v>
      </c>
      <c r="J4808" t="str">
        <f>IFERROR(INDEX(tProdutos[Classe],MATCH(tItens[[#This Row],[Produto]],tProdutos[Produto],0)),"produto não cadastrado")</f>
        <v>NÚCLEO</v>
      </c>
      <c r="K4808" s="12">
        <f>tItens[[#This Row],[Qtd]]*tItens[[#This Row],[Vlr unit]]</f>
        <v>227.99999999999997</v>
      </c>
      <c r="L4808" s="6">
        <f>IFERROR(IF(INDEX(tProdutos[Desconto homologado],MATCH(tItens[[#This Row],[Produto]],tProdutos[Produto],0))="",DescontoPadrao,INDEX(tProdutos[Desconto homologado],MATCH(tItens[[#This Row],[Produto]],tProdutos[Produto],0))),DescontoPadrao)</f>
        <v>0.38829259638568803</v>
      </c>
      <c r="M4808" s="12">
        <f>tItens[[#This Row],[Valor]]*(1-tItens[[#This Row],[Desconto]])</f>
        <v>139.4692880240631</v>
      </c>
      <c r="N4808" t="str">
        <f>IFERROR(INDEX(tProdutos[Foco],MATCH(tItens[[#This Row],[Produto]],tProdutos[Produto],0)),"Não")</f>
        <v>Não</v>
      </c>
      <c r="O4808" t="str">
        <f>IFERROR(INDEX(tEditais[SRP],MATCH(tItens[[#This Row],[Edital]],tEditais[Edital],0)),"Não")</f>
        <v>Sim</v>
      </c>
      <c r="P4808" s="4">
        <f>IF(COUNTIFS(INDEX(tItens[Edital],1):tItens[[#This Row],[Edital]],tItens[[#This Row],[Edital]],INDEX(tItens[Produto],1):tItens[[#This Row],[Produto]],tItens[[#This Row],[Produto]])=1,1,0)</f>
        <v>1</v>
      </c>
    </row>
    <row r="4809" spans="1:16" x14ac:dyDescent="0.25">
      <c r="A4809" t="s">
        <v>1875</v>
      </c>
      <c r="B4809">
        <v>26</v>
      </c>
      <c r="C4809" t="s">
        <v>7637</v>
      </c>
      <c r="D4809" t="s">
        <v>69</v>
      </c>
      <c r="E4809" s="13">
        <v>300</v>
      </c>
      <c r="F4809" s="12">
        <v>0.67</v>
      </c>
      <c r="G4809" t="str">
        <f>IFERROR(INDEX(tEditais[Órgão],MATCH(tItens[[#This Row],[Edital]],tEditais[Edital],0)),"")</f>
        <v>FUNDO MUNICIPAL DE SAUDE</v>
      </c>
      <c r="H4809" t="str">
        <f>IFERROR(INDEX(tEditais[UF],MATCH(tItens[[#This Row],[Edital]],tEditais[Edital],0)),"")</f>
        <v>PE</v>
      </c>
      <c r="I4809" s="11">
        <f>IFERROR(INDEX(tEditais[Encerramento],MATCH(tItens[[#This Row],[Edital]],tEditais[Edital],0)),"")</f>
        <v>46308.375</v>
      </c>
      <c r="J4809" t="str">
        <f>IFERROR(INDEX(tProdutos[Classe],MATCH(tItens[[#This Row],[Produto]],tProdutos[Produto],0)),"produto não cadastrado")</f>
        <v>NÚCLEO</v>
      </c>
      <c r="K4809" s="12">
        <f>tItens[[#This Row],[Qtd]]*tItens[[#This Row],[Vlr unit]]</f>
        <v>201</v>
      </c>
      <c r="L4809" s="6">
        <f>IFERROR(IF(INDEX(tProdutos[Desconto homologado],MATCH(tItens[[#This Row],[Produto]],tProdutos[Produto],0))="",DescontoPadrao,INDEX(tProdutos[Desconto homologado],MATCH(tItens[[#This Row],[Produto]],tProdutos[Produto],0))),DescontoPadrao)</f>
        <v>0.38829259638568803</v>
      </c>
      <c r="M4809" s="12">
        <f>tItens[[#This Row],[Valor]]*(1-tItens[[#This Row],[Desconto]])</f>
        <v>122.9531881264767</v>
      </c>
      <c r="N4809" t="str">
        <f>IFERROR(INDEX(tProdutos[Foco],MATCH(tItens[[#This Row],[Produto]],tProdutos[Produto],0)),"Não")</f>
        <v>Não</v>
      </c>
      <c r="O4809" t="str">
        <f>IFERROR(INDEX(tEditais[SRP],MATCH(tItens[[#This Row],[Edital]],tEditais[Edital],0)),"Não")</f>
        <v>Sim</v>
      </c>
      <c r="P4809" s="4">
        <f>IF(COUNTIFS(INDEX(tItens[Edital],1):tItens[[#This Row],[Edital]],tItens[[#This Row],[Edital]],INDEX(tItens[Produto],1):tItens[[#This Row],[Produto]],tItens[[#This Row],[Produto]])=1,1,0)</f>
        <v>0</v>
      </c>
    </row>
    <row r="4810" spans="1:16" x14ac:dyDescent="0.25">
      <c r="A4810" t="s">
        <v>1875</v>
      </c>
      <c r="B4810">
        <v>28</v>
      </c>
      <c r="C4810" t="s">
        <v>7638</v>
      </c>
      <c r="D4810" t="s">
        <v>299</v>
      </c>
      <c r="E4810" s="13">
        <v>1500</v>
      </c>
      <c r="F4810" s="12">
        <v>0.23</v>
      </c>
      <c r="G4810" t="str">
        <f>IFERROR(INDEX(tEditais[Órgão],MATCH(tItens[[#This Row],[Edital]],tEditais[Edital],0)),"")</f>
        <v>FUNDO MUNICIPAL DE SAUDE</v>
      </c>
      <c r="H4810" t="str">
        <f>IFERROR(INDEX(tEditais[UF],MATCH(tItens[[#This Row],[Edital]],tEditais[Edital],0)),"")</f>
        <v>PE</v>
      </c>
      <c r="I4810" s="11">
        <f>IFERROR(INDEX(tEditais[Encerramento],MATCH(tItens[[#This Row],[Edital]],tEditais[Edital],0)),"")</f>
        <v>46308.375</v>
      </c>
      <c r="J4810" t="str">
        <f>IFERROR(INDEX(tProdutos[Classe],MATCH(tItens[[#This Row],[Produto]],tProdutos[Produto],0)),"produto não cadastrado")</f>
        <v>FORA</v>
      </c>
      <c r="K4810" s="12">
        <f>tItens[[#This Row],[Qtd]]*tItens[[#This Row],[Vlr unit]]</f>
        <v>345</v>
      </c>
      <c r="L4810" s="6">
        <f>IFERROR(IF(INDEX(tProdutos[Desconto homologado],MATCH(tItens[[#This Row],[Produto]],tProdutos[Produto],0))="",DescontoPadrao,INDEX(tProdutos[Desconto homologado],MATCH(tItens[[#This Row],[Produto]],tProdutos[Produto],0))),DescontoPadrao)</f>
        <v>0.42211465163381601</v>
      </c>
      <c r="M4810" s="12">
        <f>tItens[[#This Row],[Valor]]*(1-tItens[[#This Row],[Desconto]])</f>
        <v>199.37044518633348</v>
      </c>
      <c r="N4810" t="str">
        <f>IFERROR(INDEX(tProdutos[Foco],MATCH(tItens[[#This Row],[Produto]],tProdutos[Produto],0)),"Não")</f>
        <v>Não</v>
      </c>
      <c r="O4810" t="str">
        <f>IFERROR(INDEX(tEditais[SRP],MATCH(tItens[[#This Row],[Edital]],tEditais[Edital],0)),"Não")</f>
        <v>Sim</v>
      </c>
      <c r="P4810" s="4">
        <f>IF(COUNTIFS(INDEX(tItens[Edital],1):tItens[[#This Row],[Edital]],tItens[[#This Row],[Edital]],INDEX(tItens[Produto],1):tItens[[#This Row],[Produto]],tItens[[#This Row],[Produto]])=1,1,0)</f>
        <v>1</v>
      </c>
    </row>
    <row r="4811" spans="1:16" x14ac:dyDescent="0.25">
      <c r="A4811" t="s">
        <v>1878</v>
      </c>
      <c r="B4811">
        <v>19</v>
      </c>
      <c r="C4811" t="s">
        <v>7639</v>
      </c>
      <c r="D4811" t="s">
        <v>71</v>
      </c>
      <c r="E4811" s="13">
        <v>170</v>
      </c>
      <c r="F4811" s="12">
        <v>25.6</v>
      </c>
      <c r="G4811" t="str">
        <f>IFERROR(INDEX(tEditais[Órgão],MATCH(tItens[[#This Row],[Edital]],tEditais[Edital],0)),"")</f>
        <v>MUNICIPIO DE BELEM DE SAO FRANCISCO</v>
      </c>
      <c r="H4811" t="str">
        <f>IFERROR(INDEX(tEditais[UF],MATCH(tItens[[#This Row],[Edital]],tEditais[Edital],0)),"")</f>
        <v>PE</v>
      </c>
      <c r="I4811" s="11">
        <f>IFERROR(INDEX(tEditais[Encerramento],MATCH(tItens[[#This Row],[Edital]],tEditais[Edital],0)),"")</f>
        <v>46308.416666666664</v>
      </c>
      <c r="J4811" t="str">
        <f>IFERROR(INDEX(tProdutos[Classe],MATCH(tItens[[#This Row],[Produto]],tProdutos[Produto],0)),"produto não cadastrado")</f>
        <v>NÚCLEO</v>
      </c>
      <c r="K4811" s="12">
        <f>tItens[[#This Row],[Qtd]]*tItens[[#This Row],[Vlr unit]]</f>
        <v>4352</v>
      </c>
      <c r="L4811" s="6">
        <f>IFERROR(IF(INDEX(tProdutos[Desconto homologado],MATCH(tItens[[#This Row],[Produto]],tProdutos[Produto],0))="",DescontoPadrao,INDEX(tProdutos[Desconto homologado],MATCH(tItens[[#This Row],[Produto]],tProdutos[Produto],0))),DescontoPadrao)</f>
        <v>0.44981412639405199</v>
      </c>
      <c r="M4811" s="12">
        <f>tItens[[#This Row],[Valor]]*(1-tItens[[#This Row],[Desconto]])</f>
        <v>2394.4089219330854</v>
      </c>
      <c r="N4811" t="str">
        <f>IFERROR(INDEX(tProdutos[Foco],MATCH(tItens[[#This Row],[Produto]],tProdutos[Produto],0)),"Não")</f>
        <v>Não</v>
      </c>
      <c r="O4811" t="str">
        <f>IFERROR(INDEX(tEditais[SRP],MATCH(tItens[[#This Row],[Edital]],tEditais[Edital],0)),"Não")</f>
        <v>Sim</v>
      </c>
      <c r="P4811" s="4">
        <f>IF(COUNTIFS(INDEX(tItens[Edital],1):tItens[[#This Row],[Edital]],tItens[[#This Row],[Edital]],INDEX(tItens[Produto],1):tItens[[#This Row],[Produto]],tItens[[#This Row],[Produto]])=1,1,0)</f>
        <v>1</v>
      </c>
    </row>
    <row r="4812" spans="1:16" x14ac:dyDescent="0.25">
      <c r="A4812" t="s">
        <v>1878</v>
      </c>
      <c r="B4812">
        <v>20</v>
      </c>
      <c r="C4812" t="s">
        <v>7640</v>
      </c>
      <c r="D4812" t="s">
        <v>112</v>
      </c>
      <c r="E4812" s="13">
        <v>50</v>
      </c>
      <c r="F4812" s="12">
        <v>30.98</v>
      </c>
      <c r="G4812" t="str">
        <f>IFERROR(INDEX(tEditais[Órgão],MATCH(tItens[[#This Row],[Edital]],tEditais[Edital],0)),"")</f>
        <v>MUNICIPIO DE BELEM DE SAO FRANCISCO</v>
      </c>
      <c r="H4812" t="str">
        <f>IFERROR(INDEX(tEditais[UF],MATCH(tItens[[#This Row],[Edital]],tEditais[Edital],0)),"")</f>
        <v>PE</v>
      </c>
      <c r="I4812" s="11">
        <f>IFERROR(INDEX(tEditais[Encerramento],MATCH(tItens[[#This Row],[Edital]],tEditais[Edital],0)),"")</f>
        <v>46308.416666666664</v>
      </c>
      <c r="J4812" t="str">
        <f>IFERROR(INDEX(tProdutos[Classe],MATCH(tItens[[#This Row],[Produto]],tProdutos[Produto],0)),"produto não cadastrado")</f>
        <v>DISPUTADO</v>
      </c>
      <c r="K4812" s="12">
        <f>tItens[[#This Row],[Qtd]]*tItens[[#This Row],[Vlr unit]]</f>
        <v>1549</v>
      </c>
      <c r="L4812" s="6">
        <f>IFERROR(IF(INDEX(tProdutos[Desconto homologado],MATCH(tItens[[#This Row],[Produto]],tProdutos[Produto],0))="",DescontoPadrao,INDEX(tProdutos[Desconto homologado],MATCH(tItens[[#This Row],[Produto]],tProdutos[Produto],0))),DescontoPadrao)</f>
        <v>0.35273348841447499</v>
      </c>
      <c r="M4812" s="12">
        <f>tItens[[#This Row],[Valor]]*(1-tItens[[#This Row],[Desconto]])</f>
        <v>1002.6158264459782</v>
      </c>
      <c r="N4812" t="str">
        <f>IFERROR(INDEX(tProdutos[Foco],MATCH(tItens[[#This Row],[Produto]],tProdutos[Produto],0)),"Não")</f>
        <v>Não</v>
      </c>
      <c r="O4812" t="str">
        <f>IFERROR(INDEX(tEditais[SRP],MATCH(tItens[[#This Row],[Edital]],tEditais[Edital],0)),"Não")</f>
        <v>Sim</v>
      </c>
      <c r="P4812" s="4">
        <f>IF(COUNTIFS(INDEX(tItens[Edital],1):tItens[[#This Row],[Edital]],tItens[[#This Row],[Edital]],INDEX(tItens[Produto],1):tItens[[#This Row],[Produto]],tItens[[#This Row],[Produto]])=1,1,0)</f>
        <v>1</v>
      </c>
    </row>
    <row r="4813" spans="1:16" x14ac:dyDescent="0.25">
      <c r="A4813" t="s">
        <v>1878</v>
      </c>
      <c r="B4813">
        <v>21</v>
      </c>
      <c r="C4813" t="s">
        <v>7641</v>
      </c>
      <c r="D4813" t="s">
        <v>315</v>
      </c>
      <c r="E4813" s="13">
        <v>10</v>
      </c>
      <c r="F4813" s="12">
        <v>0.13</v>
      </c>
      <c r="G4813" t="str">
        <f>IFERROR(INDEX(tEditais[Órgão],MATCH(tItens[[#This Row],[Edital]],tEditais[Edital],0)),"")</f>
        <v>MUNICIPIO DE BELEM DE SAO FRANCISCO</v>
      </c>
      <c r="H4813" t="str">
        <f>IFERROR(INDEX(tEditais[UF],MATCH(tItens[[#This Row],[Edital]],tEditais[Edital],0)),"")</f>
        <v>PE</v>
      </c>
      <c r="I4813" s="11">
        <f>IFERROR(INDEX(tEditais[Encerramento],MATCH(tItens[[#This Row],[Edital]],tEditais[Edital],0)),"")</f>
        <v>46308.416666666664</v>
      </c>
      <c r="J4813" t="str">
        <f>IFERROR(INDEX(tProdutos[Classe],MATCH(tItens[[#This Row],[Produto]],tProdutos[Produto],0)),"produto não cadastrado")</f>
        <v>FORA</v>
      </c>
      <c r="K4813" s="12">
        <f>tItens[[#This Row],[Qtd]]*tItens[[#This Row],[Vlr unit]]</f>
        <v>1.3</v>
      </c>
      <c r="L4813" s="6">
        <f>IFERROR(IF(INDEX(tProdutos[Desconto homologado],MATCH(tItens[[#This Row],[Produto]],tProdutos[Produto],0))="",DescontoPadrao,INDEX(tProdutos[Desconto homologado],MATCH(tItens[[#This Row],[Produto]],tProdutos[Produto],0))),DescontoPadrao)</f>
        <v>0.38432036097010702</v>
      </c>
      <c r="M4813" s="12">
        <f>tItens[[#This Row],[Valor]]*(1-tItens[[#This Row],[Desconto]])</f>
        <v>0.80038353073886093</v>
      </c>
      <c r="N4813" t="str">
        <f>IFERROR(INDEX(tProdutos[Foco],MATCH(tItens[[#This Row],[Produto]],tProdutos[Produto],0)),"Não")</f>
        <v>Não</v>
      </c>
      <c r="O4813" t="str">
        <f>IFERROR(INDEX(tEditais[SRP],MATCH(tItens[[#This Row],[Edital]],tEditais[Edital],0)),"Não")</f>
        <v>Sim</v>
      </c>
      <c r="P4813" s="4">
        <f>IF(COUNTIFS(INDEX(tItens[Edital],1):tItens[[#This Row],[Edital]],tItens[[#This Row],[Edital]],INDEX(tItens[Produto],1):tItens[[#This Row],[Produto]],tItens[[#This Row],[Produto]])=1,1,0)</f>
        <v>1</v>
      </c>
    </row>
    <row r="4814" spans="1:16" x14ac:dyDescent="0.25">
      <c r="A4814" t="s">
        <v>1878</v>
      </c>
      <c r="B4814">
        <v>35</v>
      </c>
      <c r="C4814" t="s">
        <v>7642</v>
      </c>
      <c r="D4814" t="s">
        <v>241</v>
      </c>
      <c r="E4814" s="13">
        <v>300</v>
      </c>
      <c r="F4814" s="12">
        <v>7.15</v>
      </c>
      <c r="G4814" t="str">
        <f>IFERROR(INDEX(tEditais[Órgão],MATCH(tItens[[#This Row],[Edital]],tEditais[Edital],0)),"")</f>
        <v>MUNICIPIO DE BELEM DE SAO FRANCISCO</v>
      </c>
      <c r="H4814" t="str">
        <f>IFERROR(INDEX(tEditais[UF],MATCH(tItens[[#This Row],[Edital]],tEditais[Edital],0)),"")</f>
        <v>PE</v>
      </c>
      <c r="I4814" s="11">
        <f>IFERROR(INDEX(tEditais[Encerramento],MATCH(tItens[[#This Row],[Edital]],tEditais[Edital],0)),"")</f>
        <v>46308.416666666664</v>
      </c>
      <c r="J4814" t="str">
        <f>IFERROR(INDEX(tProdutos[Classe],MATCH(tItens[[#This Row],[Produto]],tProdutos[Produto],0)),"produto não cadastrado")</f>
        <v>DISPUTADO</v>
      </c>
      <c r="K4814" s="12">
        <f>tItens[[#This Row],[Qtd]]*tItens[[#This Row],[Vlr unit]]</f>
        <v>2145</v>
      </c>
      <c r="L4814" s="6">
        <f>IFERROR(IF(INDEX(tProdutos[Desconto homologado],MATCH(tItens[[#This Row],[Produto]],tProdutos[Produto],0))="",DescontoPadrao,INDEX(tProdutos[Desconto homologado],MATCH(tItens[[#This Row],[Produto]],tProdutos[Produto],0))),DescontoPadrao)</f>
        <v>0.36881329157903497</v>
      </c>
      <c r="M4814" s="12">
        <f>tItens[[#This Row],[Valor]]*(1-tItens[[#This Row],[Desconto]])</f>
        <v>1353.8954895629699</v>
      </c>
      <c r="N4814" t="str">
        <f>IFERROR(INDEX(tProdutos[Foco],MATCH(tItens[[#This Row],[Produto]],tProdutos[Produto],0)),"Não")</f>
        <v>Não</v>
      </c>
      <c r="O4814" t="str">
        <f>IFERROR(INDEX(tEditais[SRP],MATCH(tItens[[#This Row],[Edital]],tEditais[Edital],0)),"Não")</f>
        <v>Sim</v>
      </c>
      <c r="P4814" s="4">
        <f>IF(COUNTIFS(INDEX(tItens[Edital],1):tItens[[#This Row],[Edital]],tItens[[#This Row],[Edital]],INDEX(tItens[Produto],1):tItens[[#This Row],[Produto]],tItens[[#This Row],[Produto]])=1,1,0)</f>
        <v>1</v>
      </c>
    </row>
    <row r="4815" spans="1:16" x14ac:dyDescent="0.25">
      <c r="A4815" t="s">
        <v>1878</v>
      </c>
      <c r="B4815">
        <v>39</v>
      </c>
      <c r="C4815" t="s">
        <v>7643</v>
      </c>
      <c r="D4815" t="s">
        <v>114</v>
      </c>
      <c r="E4815" s="13">
        <v>100</v>
      </c>
      <c r="F4815" s="12">
        <v>6.23</v>
      </c>
      <c r="G4815" t="str">
        <f>IFERROR(INDEX(tEditais[Órgão],MATCH(tItens[[#This Row],[Edital]],tEditais[Edital],0)),"")</f>
        <v>MUNICIPIO DE BELEM DE SAO FRANCISCO</v>
      </c>
      <c r="H4815" t="str">
        <f>IFERROR(INDEX(tEditais[UF],MATCH(tItens[[#This Row],[Edital]],tEditais[Edital],0)),"")</f>
        <v>PE</v>
      </c>
      <c r="I4815" s="11">
        <f>IFERROR(INDEX(tEditais[Encerramento],MATCH(tItens[[#This Row],[Edital]],tEditais[Edital],0)),"")</f>
        <v>46308.416666666664</v>
      </c>
      <c r="J4815" t="str">
        <f>IFERROR(INDEX(tProdutos[Classe],MATCH(tItens[[#This Row],[Produto]],tProdutos[Produto],0)),"produto não cadastrado")</f>
        <v>DISPUTADO</v>
      </c>
      <c r="K4815" s="12">
        <f>tItens[[#This Row],[Qtd]]*tItens[[#This Row],[Vlr unit]]</f>
        <v>623</v>
      </c>
      <c r="L4815" s="6">
        <f>IFERROR(IF(INDEX(tProdutos[Desconto homologado],MATCH(tItens[[#This Row],[Produto]],tProdutos[Produto],0))="",DescontoPadrao,INDEX(tProdutos[Desconto homologado],MATCH(tItens[[#This Row],[Produto]],tProdutos[Produto],0))),DescontoPadrao)</f>
        <v>0.24332656063896899</v>
      </c>
      <c r="M4815" s="12">
        <f>tItens[[#This Row],[Valor]]*(1-tItens[[#This Row],[Desconto]])</f>
        <v>471.40755272192234</v>
      </c>
      <c r="N4815" t="str">
        <f>IFERROR(INDEX(tProdutos[Foco],MATCH(tItens[[#This Row],[Produto]],tProdutos[Produto],0)),"Não")</f>
        <v>Não</v>
      </c>
      <c r="O4815" t="str">
        <f>IFERROR(INDEX(tEditais[SRP],MATCH(tItens[[#This Row],[Edital]],tEditais[Edital],0)),"Não")</f>
        <v>Sim</v>
      </c>
      <c r="P4815" s="4">
        <f>IF(COUNTIFS(INDEX(tItens[Edital],1):tItens[[#This Row],[Edital]],tItens[[#This Row],[Edital]],INDEX(tItens[Produto],1):tItens[[#This Row],[Produto]],tItens[[#This Row],[Produto]])=1,1,0)</f>
        <v>1</v>
      </c>
    </row>
    <row r="4816" spans="1:16" x14ac:dyDescent="0.25">
      <c r="A4816" t="s">
        <v>1878</v>
      </c>
      <c r="B4816">
        <v>41</v>
      </c>
      <c r="C4816" t="s">
        <v>7644</v>
      </c>
      <c r="D4816" t="s">
        <v>311</v>
      </c>
      <c r="E4816" s="13">
        <v>15</v>
      </c>
      <c r="F4816" s="12">
        <v>2.8</v>
      </c>
      <c r="G4816" t="str">
        <f>IFERROR(INDEX(tEditais[Órgão],MATCH(tItens[[#This Row],[Edital]],tEditais[Edital],0)),"")</f>
        <v>MUNICIPIO DE BELEM DE SAO FRANCISCO</v>
      </c>
      <c r="H4816" t="str">
        <f>IFERROR(INDEX(tEditais[UF],MATCH(tItens[[#This Row],[Edital]],tEditais[Edital],0)),"")</f>
        <v>PE</v>
      </c>
      <c r="I4816" s="11">
        <f>IFERROR(INDEX(tEditais[Encerramento],MATCH(tItens[[#This Row],[Edital]],tEditais[Edital],0)),"")</f>
        <v>46308.416666666664</v>
      </c>
      <c r="J4816" t="str">
        <f>IFERROR(INDEX(tProdutos[Classe],MATCH(tItens[[#This Row],[Produto]],tProdutos[Produto],0)),"produto não cadastrado")</f>
        <v>FORA</v>
      </c>
      <c r="K4816" s="12">
        <f>tItens[[#This Row],[Qtd]]*tItens[[#This Row],[Vlr unit]]</f>
        <v>42</v>
      </c>
      <c r="L4816" s="6">
        <f>IFERROR(IF(INDEX(tProdutos[Desconto homologado],MATCH(tItens[[#This Row],[Produto]],tProdutos[Produto],0))="",DescontoPadrao,INDEX(tProdutos[Desconto homologado],MATCH(tItens[[#This Row],[Produto]],tProdutos[Produto],0))),DescontoPadrao)</f>
        <v>0.29046182846371399</v>
      </c>
      <c r="M4816" s="12">
        <f>tItens[[#This Row],[Valor]]*(1-tItens[[#This Row],[Desconto]])</f>
        <v>29.800603204524016</v>
      </c>
      <c r="N4816" t="str">
        <f>IFERROR(INDEX(tProdutos[Foco],MATCH(tItens[[#This Row],[Produto]],tProdutos[Produto],0)),"Não")</f>
        <v>Não</v>
      </c>
      <c r="O4816" t="str">
        <f>IFERROR(INDEX(tEditais[SRP],MATCH(tItens[[#This Row],[Edital]],tEditais[Edital],0)),"Não")</f>
        <v>Sim</v>
      </c>
      <c r="P4816" s="4">
        <f>IF(COUNTIFS(INDEX(tItens[Edital],1):tItens[[#This Row],[Edital]],tItens[[#This Row],[Edital]],INDEX(tItens[Produto],1):tItens[[#This Row],[Produto]],tItens[[#This Row],[Produto]])=1,1,0)</f>
        <v>1</v>
      </c>
    </row>
    <row r="4817" spans="1:16" x14ac:dyDescent="0.25">
      <c r="A4817" t="s">
        <v>1878</v>
      </c>
      <c r="B4817">
        <v>52</v>
      </c>
      <c r="C4817" t="s">
        <v>7645</v>
      </c>
      <c r="D4817" t="s">
        <v>461</v>
      </c>
      <c r="E4817" s="13">
        <v>25</v>
      </c>
      <c r="F4817" s="12">
        <v>10.37</v>
      </c>
      <c r="G4817" t="str">
        <f>IFERROR(INDEX(tEditais[Órgão],MATCH(tItens[[#This Row],[Edital]],tEditais[Edital],0)),"")</f>
        <v>MUNICIPIO DE BELEM DE SAO FRANCISCO</v>
      </c>
      <c r="H4817" t="str">
        <f>IFERROR(INDEX(tEditais[UF],MATCH(tItens[[#This Row],[Edital]],tEditais[Edital],0)),"")</f>
        <v>PE</v>
      </c>
      <c r="I4817" s="11">
        <f>IFERROR(INDEX(tEditais[Encerramento],MATCH(tItens[[#This Row],[Edital]],tEditais[Edital],0)),"")</f>
        <v>46308.416666666664</v>
      </c>
      <c r="J4817" t="str">
        <f>IFERROR(INDEX(tProdutos[Classe],MATCH(tItens[[#This Row],[Produto]],tProdutos[Produto],0)),"produto não cadastrado")</f>
        <v>FILA REBASE</v>
      </c>
      <c r="K4817" s="12">
        <f>tItens[[#This Row],[Qtd]]*tItens[[#This Row],[Vlr unit]]</f>
        <v>259.25</v>
      </c>
      <c r="L4817" s="6">
        <f>IFERROR(IF(INDEX(tProdutos[Desconto homologado],MATCH(tItens[[#This Row],[Produto]],tProdutos[Produto],0))="",DescontoPadrao,INDEX(tProdutos[Desconto homologado],MATCH(tItens[[#This Row],[Produto]],tProdutos[Produto],0))),DescontoPadrao)</f>
        <v>0.44096385542168698</v>
      </c>
      <c r="M4817" s="12">
        <f>tItens[[#This Row],[Valor]]*(1-tItens[[#This Row],[Desconto]])</f>
        <v>144.93012048192764</v>
      </c>
      <c r="N4817" t="str">
        <f>IFERROR(INDEX(tProdutos[Foco],MATCH(tItens[[#This Row],[Produto]],tProdutos[Produto],0)),"Não")</f>
        <v>Não</v>
      </c>
      <c r="O4817" t="str">
        <f>IFERROR(INDEX(tEditais[SRP],MATCH(tItens[[#This Row],[Edital]],tEditais[Edital],0)),"Não")</f>
        <v>Sim</v>
      </c>
      <c r="P4817" s="4">
        <f>IF(COUNTIFS(INDEX(tItens[Edital],1):tItens[[#This Row],[Edital]],tItens[[#This Row],[Edital]],INDEX(tItens[Produto],1):tItens[[#This Row],[Produto]],tItens[[#This Row],[Produto]])=1,1,0)</f>
        <v>1</v>
      </c>
    </row>
    <row r="4818" spans="1:16" x14ac:dyDescent="0.25">
      <c r="A4818" t="s">
        <v>1878</v>
      </c>
      <c r="B4818">
        <v>53</v>
      </c>
      <c r="C4818" t="s">
        <v>7646</v>
      </c>
      <c r="D4818" t="s">
        <v>321</v>
      </c>
      <c r="E4818" s="13">
        <v>150</v>
      </c>
      <c r="F4818" s="12">
        <v>1.2</v>
      </c>
      <c r="G4818" t="str">
        <f>IFERROR(INDEX(tEditais[Órgão],MATCH(tItens[[#This Row],[Edital]],tEditais[Edital],0)),"")</f>
        <v>MUNICIPIO DE BELEM DE SAO FRANCISCO</v>
      </c>
      <c r="H4818" t="str">
        <f>IFERROR(INDEX(tEditais[UF],MATCH(tItens[[#This Row],[Edital]],tEditais[Edital],0)),"")</f>
        <v>PE</v>
      </c>
      <c r="I4818" s="11">
        <f>IFERROR(INDEX(tEditais[Encerramento],MATCH(tItens[[#This Row],[Edital]],tEditais[Edital],0)),"")</f>
        <v>46308.416666666664</v>
      </c>
      <c r="J4818" t="str">
        <f>IFERROR(INDEX(tProdutos[Classe],MATCH(tItens[[#This Row],[Produto]],tProdutos[Produto],0)),"produto não cadastrado")</f>
        <v>FORA</v>
      </c>
      <c r="K4818" s="12">
        <f>tItens[[#This Row],[Qtd]]*tItens[[#This Row],[Vlr unit]]</f>
        <v>180</v>
      </c>
      <c r="L4818" s="6">
        <f>IFERROR(IF(INDEX(tProdutos[Desconto homologado],MATCH(tItens[[#This Row],[Produto]],tProdutos[Produto],0))="",DescontoPadrao,INDEX(tProdutos[Desconto homologado],MATCH(tItens[[#This Row],[Produto]],tProdutos[Produto],0))),DescontoPadrao)</f>
        <v>0.380257510729614</v>
      </c>
      <c r="M4818" s="12">
        <f>tItens[[#This Row],[Valor]]*(1-tItens[[#This Row],[Desconto]])</f>
        <v>111.55364806866947</v>
      </c>
      <c r="N4818" t="str">
        <f>IFERROR(INDEX(tProdutos[Foco],MATCH(tItens[[#This Row],[Produto]],tProdutos[Produto],0)),"Não")</f>
        <v>Não</v>
      </c>
      <c r="O4818" t="str">
        <f>IFERROR(INDEX(tEditais[SRP],MATCH(tItens[[#This Row],[Edital]],tEditais[Edital],0)),"Não")</f>
        <v>Sim</v>
      </c>
      <c r="P4818" s="4">
        <f>IF(COUNTIFS(INDEX(tItens[Edital],1):tItens[[#This Row],[Edital]],tItens[[#This Row],[Edital]],INDEX(tItens[Produto],1):tItens[[#This Row],[Produto]],tItens[[#This Row],[Produto]])=1,1,0)</f>
        <v>1</v>
      </c>
    </row>
    <row r="4819" spans="1:16" x14ac:dyDescent="0.25">
      <c r="A4819" t="s">
        <v>1878</v>
      </c>
      <c r="B4819">
        <v>68</v>
      </c>
      <c r="C4819" t="s">
        <v>7647</v>
      </c>
      <c r="D4819" t="s">
        <v>142</v>
      </c>
      <c r="E4819" s="13">
        <v>200</v>
      </c>
      <c r="F4819" s="12">
        <v>4.66</v>
      </c>
      <c r="G4819" t="str">
        <f>IFERROR(INDEX(tEditais[Órgão],MATCH(tItens[[#This Row],[Edital]],tEditais[Edital],0)),"")</f>
        <v>MUNICIPIO DE BELEM DE SAO FRANCISCO</v>
      </c>
      <c r="H4819" t="str">
        <f>IFERROR(INDEX(tEditais[UF],MATCH(tItens[[#This Row],[Edital]],tEditais[Edital],0)),"")</f>
        <v>PE</v>
      </c>
      <c r="I4819" s="11">
        <f>IFERROR(INDEX(tEditais[Encerramento],MATCH(tItens[[#This Row],[Edital]],tEditais[Edital],0)),"")</f>
        <v>46308.416666666664</v>
      </c>
      <c r="J4819" t="str">
        <f>IFERROR(INDEX(tProdutos[Classe],MATCH(tItens[[#This Row],[Produto]],tProdutos[Produto],0)),"produto não cadastrado")</f>
        <v>DISPUTADO</v>
      </c>
      <c r="K4819" s="12">
        <f>tItens[[#This Row],[Qtd]]*tItens[[#This Row],[Vlr unit]]</f>
        <v>932</v>
      </c>
      <c r="L4819" s="6">
        <f>IFERROR(IF(INDEX(tProdutos[Desconto homologado],MATCH(tItens[[#This Row],[Produto]],tProdutos[Produto],0))="",DescontoPadrao,INDEX(tProdutos[Desconto homologado],MATCH(tItens[[#This Row],[Produto]],tProdutos[Produto],0))),DescontoPadrao)</f>
        <v>0.37093619495691699</v>
      </c>
      <c r="M4819" s="12">
        <f>tItens[[#This Row],[Valor]]*(1-tItens[[#This Row],[Desconto]])</f>
        <v>586.28746630015337</v>
      </c>
      <c r="N4819" t="str">
        <f>IFERROR(INDEX(tProdutos[Foco],MATCH(tItens[[#This Row],[Produto]],tProdutos[Produto],0)),"Não")</f>
        <v>Não</v>
      </c>
      <c r="O4819" t="str">
        <f>IFERROR(INDEX(tEditais[SRP],MATCH(tItens[[#This Row],[Edital]],tEditais[Edital],0)),"Não")</f>
        <v>Sim</v>
      </c>
      <c r="P4819" s="4">
        <f>IF(COUNTIFS(INDEX(tItens[Edital],1):tItens[[#This Row],[Edital]],tItens[[#This Row],[Edital]],INDEX(tItens[Produto],1):tItens[[#This Row],[Produto]],tItens[[#This Row],[Produto]])=1,1,0)</f>
        <v>1</v>
      </c>
    </row>
    <row r="4820" spans="1:16" x14ac:dyDescent="0.25">
      <c r="A4820" t="s">
        <v>1878</v>
      </c>
      <c r="B4820">
        <v>109</v>
      </c>
      <c r="C4820" t="s">
        <v>7648</v>
      </c>
      <c r="D4820" t="s">
        <v>542</v>
      </c>
      <c r="E4820" s="13">
        <v>50</v>
      </c>
      <c r="F4820" s="12">
        <v>27.65</v>
      </c>
      <c r="G4820" t="str">
        <f>IFERROR(INDEX(tEditais[Órgão],MATCH(tItens[[#This Row],[Edital]],tEditais[Edital],0)),"")</f>
        <v>MUNICIPIO DE BELEM DE SAO FRANCISCO</v>
      </c>
      <c r="H4820" t="str">
        <f>IFERROR(INDEX(tEditais[UF],MATCH(tItens[[#This Row],[Edital]],tEditais[Edital],0)),"")</f>
        <v>PE</v>
      </c>
      <c r="I4820" s="11">
        <f>IFERROR(INDEX(tEditais[Encerramento],MATCH(tItens[[#This Row],[Edital]],tEditais[Edital],0)),"")</f>
        <v>46308.416666666664</v>
      </c>
      <c r="J4820" t="str">
        <f>IFERROR(INDEX(tProdutos[Classe],MATCH(tItens[[#This Row],[Produto]],tProdutos[Produto],0)),"produto não cadastrado")</f>
        <v>FILA REBASE</v>
      </c>
      <c r="K4820" s="12">
        <f>tItens[[#This Row],[Qtd]]*tItens[[#This Row],[Vlr unit]]</f>
        <v>1382.5</v>
      </c>
      <c r="L4820" s="6">
        <f>IFERROR(IF(INDEX(tProdutos[Desconto homologado],MATCH(tItens[[#This Row],[Produto]],tProdutos[Produto],0))="",DescontoPadrao,INDEX(tProdutos[Desconto homologado],MATCH(tItens[[#This Row],[Produto]],tProdutos[Produto],0))),DescontoPadrao)</f>
        <v>0.3</v>
      </c>
      <c r="M4820" s="12">
        <f>tItens[[#This Row],[Valor]]*(1-tItens[[#This Row],[Desconto]])</f>
        <v>967.74999999999989</v>
      </c>
      <c r="N4820" t="str">
        <f>IFERROR(INDEX(tProdutos[Foco],MATCH(tItens[[#This Row],[Produto]],tProdutos[Produto],0)),"Não")</f>
        <v>Não</v>
      </c>
      <c r="O4820" t="str">
        <f>IFERROR(INDEX(tEditais[SRP],MATCH(tItens[[#This Row],[Edital]],tEditais[Edital],0)),"Não")</f>
        <v>Sim</v>
      </c>
      <c r="P4820" s="4">
        <f>IF(COUNTIFS(INDEX(tItens[Edital],1):tItens[[#This Row],[Edital]],tItens[[#This Row],[Edital]],INDEX(tItens[Produto],1):tItens[[#This Row],[Produto]],tItens[[#This Row],[Produto]])=1,1,0)</f>
        <v>1</v>
      </c>
    </row>
    <row r="4821" spans="1:16" x14ac:dyDescent="0.25">
      <c r="A4821" t="s">
        <v>1883</v>
      </c>
      <c r="B4821">
        <v>1</v>
      </c>
      <c r="C4821" t="s">
        <v>3478</v>
      </c>
      <c r="D4821" t="s">
        <v>315</v>
      </c>
      <c r="E4821" s="13">
        <v>3</v>
      </c>
      <c r="F4821" s="12">
        <v>33.619999999999997</v>
      </c>
      <c r="G4821" t="str">
        <f>IFERROR(INDEX(tEditais[Órgão],MATCH(tItens[[#This Row],[Edital]],tEditais[Edital],0)),"")</f>
        <v>EMPRESA BRASILEIRA DE PESQUISA AGROPECUARIA</v>
      </c>
      <c r="H4821" t="str">
        <f>IFERROR(INDEX(tEditais[UF],MATCH(tItens[[#This Row],[Edital]],tEditais[Edital],0)),"")</f>
        <v>PE</v>
      </c>
      <c r="I4821" s="11">
        <f>IFERROR(INDEX(tEditais[Encerramento],MATCH(tItens[[#This Row],[Edital]],tEditais[Edital],0)),"")</f>
        <v>46309.333333333336</v>
      </c>
      <c r="J4821" t="str">
        <f>IFERROR(INDEX(tProdutos[Classe],MATCH(tItens[[#This Row],[Produto]],tProdutos[Produto],0)),"produto não cadastrado")</f>
        <v>FORA</v>
      </c>
      <c r="K4821" s="12">
        <f>tItens[[#This Row],[Qtd]]*tItens[[#This Row],[Vlr unit]]</f>
        <v>100.85999999999999</v>
      </c>
      <c r="L4821" s="6">
        <f>IFERROR(IF(INDEX(tProdutos[Desconto homologado],MATCH(tItens[[#This Row],[Produto]],tProdutos[Produto],0))="",DescontoPadrao,INDEX(tProdutos[Desconto homologado],MATCH(tItens[[#This Row],[Produto]],tProdutos[Produto],0))),DescontoPadrao)</f>
        <v>0.38432036097010702</v>
      </c>
      <c r="M4821" s="12">
        <f>tItens[[#This Row],[Valor]]*(1-tItens[[#This Row],[Desconto]])</f>
        <v>62.097448392554995</v>
      </c>
      <c r="N4821" t="str">
        <f>IFERROR(INDEX(tProdutos[Foco],MATCH(tItens[[#This Row],[Produto]],tProdutos[Produto],0)),"Não")</f>
        <v>Não</v>
      </c>
      <c r="O4821" t="str">
        <f>IFERROR(INDEX(tEditais[SRP],MATCH(tItens[[#This Row],[Edital]],tEditais[Edital],0)),"Não")</f>
        <v>Não</v>
      </c>
      <c r="P4821" s="4">
        <f>IF(COUNTIFS(INDEX(tItens[Edital],1):tItens[[#This Row],[Edital]],tItens[[#This Row],[Edital]],INDEX(tItens[Produto],1):tItens[[#This Row],[Produto]],tItens[[#This Row],[Produto]])=1,1,0)</f>
        <v>1</v>
      </c>
    </row>
    <row r="4822" spans="1:16" x14ac:dyDescent="0.25">
      <c r="A4822" t="s">
        <v>1883</v>
      </c>
      <c r="B4822">
        <v>4</v>
      </c>
      <c r="C4822" t="s">
        <v>7649</v>
      </c>
      <c r="D4822" t="s">
        <v>375</v>
      </c>
      <c r="E4822" s="13">
        <v>2</v>
      </c>
      <c r="F4822" s="12">
        <v>488.25</v>
      </c>
      <c r="G4822" t="str">
        <f>IFERROR(INDEX(tEditais[Órgão],MATCH(tItens[[#This Row],[Edital]],tEditais[Edital],0)),"")</f>
        <v>EMPRESA BRASILEIRA DE PESQUISA AGROPECUARIA</v>
      </c>
      <c r="H4822" t="str">
        <f>IFERROR(INDEX(tEditais[UF],MATCH(tItens[[#This Row],[Edital]],tEditais[Edital],0)),"")</f>
        <v>PE</v>
      </c>
      <c r="I4822" s="11">
        <f>IFERROR(INDEX(tEditais[Encerramento],MATCH(tItens[[#This Row],[Edital]],tEditais[Edital],0)),"")</f>
        <v>46309.333333333336</v>
      </c>
      <c r="J4822" t="str">
        <f>IFERROR(INDEX(tProdutos[Classe],MATCH(tItens[[#This Row],[Produto]],tProdutos[Produto],0)),"produto não cadastrado")</f>
        <v>FORA</v>
      </c>
      <c r="K4822" s="12">
        <f>tItens[[#This Row],[Qtd]]*tItens[[#This Row],[Vlr unit]]</f>
        <v>976.5</v>
      </c>
      <c r="L4822" s="6">
        <f>IFERROR(IF(INDEX(tProdutos[Desconto homologado],MATCH(tItens[[#This Row],[Produto]],tProdutos[Produto],0))="",DescontoPadrao,INDEX(tProdutos[Desconto homologado],MATCH(tItens[[#This Row],[Produto]],tProdutos[Produto],0))),DescontoPadrao)</f>
        <v>0.25005895299481201</v>
      </c>
      <c r="M4822" s="12">
        <f>tItens[[#This Row],[Valor]]*(1-tItens[[#This Row],[Desconto]])</f>
        <v>732.31743240056596</v>
      </c>
      <c r="N4822" t="str">
        <f>IFERROR(INDEX(tProdutos[Foco],MATCH(tItens[[#This Row],[Produto]],tProdutos[Produto],0)),"Não")</f>
        <v>Não</v>
      </c>
      <c r="O4822" t="str">
        <f>IFERROR(INDEX(tEditais[SRP],MATCH(tItens[[#This Row],[Edital]],tEditais[Edital],0)),"Não")</f>
        <v>Não</v>
      </c>
      <c r="P4822" s="4">
        <f>IF(COUNTIFS(INDEX(tItens[Edital],1):tItens[[#This Row],[Edital]],tItens[[#This Row],[Edital]],INDEX(tItens[Produto],1):tItens[[#This Row],[Produto]],tItens[[#This Row],[Produto]])=1,1,0)</f>
        <v>1</v>
      </c>
    </row>
    <row r="4823" spans="1:16" x14ac:dyDescent="0.25">
      <c r="A4823" t="s">
        <v>1888</v>
      </c>
      <c r="B4823">
        <v>13</v>
      </c>
      <c r="C4823" t="s">
        <v>7650</v>
      </c>
      <c r="D4823" t="s">
        <v>641</v>
      </c>
      <c r="E4823" s="13">
        <v>10</v>
      </c>
      <c r="F4823" s="12">
        <v>60.91</v>
      </c>
      <c r="G4823" t="str">
        <f>IFERROR(INDEX(tEditais[Órgão],MATCH(tItens[[#This Row],[Edital]],tEditais[Edital],0)),"")</f>
        <v>FUNDO MUNICIPAL DE SAUDE DE CUPIRA</v>
      </c>
      <c r="H4823" t="str">
        <f>IFERROR(INDEX(tEditais[UF],MATCH(tItens[[#This Row],[Edital]],tEditais[Edital],0)),"")</f>
        <v>PE</v>
      </c>
      <c r="I4823" s="11">
        <f>IFERROR(INDEX(tEditais[Encerramento],MATCH(tItens[[#This Row],[Edital]],tEditais[Edital],0)),"")</f>
        <v>46309.333333333336</v>
      </c>
      <c r="J4823" t="str">
        <f>IFERROR(INDEX(tProdutos[Classe],MATCH(tItens[[#This Row],[Produto]],tProdutos[Produto],0)),"produto não cadastrado")</f>
        <v>FILA REBASE</v>
      </c>
      <c r="K4823" s="12">
        <f>tItens[[#This Row],[Qtd]]*tItens[[#This Row],[Vlr unit]]</f>
        <v>609.09999999999991</v>
      </c>
      <c r="L4823" s="6">
        <f>IFERROR(IF(INDEX(tProdutos[Desconto homologado],MATCH(tItens[[#This Row],[Produto]],tProdutos[Produto],0))="",DescontoPadrao,INDEX(tProdutos[Desconto homologado],MATCH(tItens[[#This Row],[Produto]],tProdutos[Produto],0))),DescontoPadrao)</f>
        <v>0.3</v>
      </c>
      <c r="M4823" s="12">
        <f>tItens[[#This Row],[Valor]]*(1-tItens[[#This Row],[Desconto]])</f>
        <v>426.36999999999989</v>
      </c>
      <c r="N4823" t="str">
        <f>IFERROR(INDEX(tProdutos[Foco],MATCH(tItens[[#This Row],[Produto]],tProdutos[Produto],0)),"Não")</f>
        <v>Não</v>
      </c>
      <c r="O4823" t="str">
        <f>IFERROR(INDEX(tEditais[SRP],MATCH(tItens[[#This Row],[Edital]],tEditais[Edital],0)),"Não")</f>
        <v>Sim</v>
      </c>
      <c r="P4823" s="4">
        <f>IF(COUNTIFS(INDEX(tItens[Edital],1):tItens[[#This Row],[Edital]],tItens[[#This Row],[Edital]],INDEX(tItens[Produto],1):tItens[[#This Row],[Produto]],tItens[[#This Row],[Produto]])=1,1,0)</f>
        <v>1</v>
      </c>
    </row>
    <row r="4824" spans="1:16" x14ac:dyDescent="0.25">
      <c r="A4824" t="s">
        <v>1893</v>
      </c>
      <c r="B4824">
        <v>3</v>
      </c>
      <c r="C4824" t="s">
        <v>7651</v>
      </c>
      <c r="D4824" t="s">
        <v>245</v>
      </c>
      <c r="E4824" s="13">
        <v>192</v>
      </c>
      <c r="F4824" s="12">
        <v>200.97</v>
      </c>
      <c r="G4824" t="str">
        <f>IFERROR(INDEX(tEditais[Órgão],MATCH(tItens[[#This Row],[Edital]],tEditais[Edital],0)),"")</f>
        <v>FUNDACAO UNIVERSIDADE DE PERNAMBUCO</v>
      </c>
      <c r="H4824" t="str">
        <f>IFERROR(INDEX(tEditais[UF],MATCH(tItens[[#This Row],[Edital]],tEditais[Edital],0)),"")</f>
        <v>PE</v>
      </c>
      <c r="I4824" s="11">
        <f>IFERROR(INDEX(tEditais[Encerramento],MATCH(tItens[[#This Row],[Edital]],tEditais[Edital],0)),"")</f>
        <v>46309.374305555553</v>
      </c>
      <c r="J4824" t="str">
        <f>IFERROR(INDEX(tProdutos[Classe],MATCH(tItens[[#This Row],[Produto]],tProdutos[Produto],0)),"produto não cadastrado")</f>
        <v>FORA</v>
      </c>
      <c r="K4824" s="12">
        <f>tItens[[#This Row],[Qtd]]*tItens[[#This Row],[Vlr unit]]</f>
        <v>38586.239999999998</v>
      </c>
      <c r="L4824" s="6">
        <f>IFERROR(IF(INDEX(tProdutos[Desconto homologado],MATCH(tItens[[#This Row],[Produto]],tProdutos[Produto],0))="",DescontoPadrao,INDEX(tProdutos[Desconto homologado],MATCH(tItens[[#This Row],[Produto]],tProdutos[Produto],0))),DescontoPadrao)</f>
        <v>0.34516963542284401</v>
      </c>
      <c r="M4824" s="12">
        <f>tItens[[#This Row],[Valor]]*(1-tItens[[#This Row],[Desconto]])</f>
        <v>25267.441606861641</v>
      </c>
      <c r="N4824" t="str">
        <f>IFERROR(INDEX(tProdutos[Foco],MATCH(tItens[[#This Row],[Produto]],tProdutos[Produto],0)),"Não")</f>
        <v>Não</v>
      </c>
      <c r="O4824" t="str">
        <f>IFERROR(INDEX(tEditais[SRP],MATCH(tItens[[#This Row],[Edital]],tEditais[Edital],0)),"Não")</f>
        <v>Sim</v>
      </c>
      <c r="P4824" s="4">
        <f>IF(COUNTIFS(INDEX(tItens[Edital],1):tItens[[#This Row],[Edital]],tItens[[#This Row],[Edital]],INDEX(tItens[Produto],1):tItens[[#This Row],[Produto]],tItens[[#This Row],[Produto]])=1,1,0)</f>
        <v>1</v>
      </c>
    </row>
    <row r="4825" spans="1:16" x14ac:dyDescent="0.25">
      <c r="A4825" t="s">
        <v>1896</v>
      </c>
      <c r="B4825">
        <v>1</v>
      </c>
      <c r="C4825" t="s">
        <v>7652</v>
      </c>
      <c r="D4825" t="s">
        <v>461</v>
      </c>
      <c r="E4825" s="13">
        <v>360</v>
      </c>
      <c r="F4825" s="12">
        <v>16.78</v>
      </c>
      <c r="G4825" t="str">
        <f>IFERROR(INDEX(tEditais[Órgão],MATCH(tItens[[#This Row],[Edital]],tEditais[Edital],0)),"")</f>
        <v>DIRETORIA  DE APOIO ADMINISTRATIVO AO SISTEMA DE SAUDE-DASIS</v>
      </c>
      <c r="H4825" t="str">
        <f>IFERROR(INDEX(tEditais[UF],MATCH(tItens[[#This Row],[Edital]],tEditais[Edital],0)),"")</f>
        <v>PE</v>
      </c>
      <c r="I4825" s="11">
        <f>IFERROR(INDEX(tEditais[Encerramento],MATCH(tItens[[#This Row],[Edital]],tEditais[Edital],0)),"")</f>
        <v>46309.375</v>
      </c>
      <c r="J4825" t="str">
        <f>IFERROR(INDEX(tProdutos[Classe],MATCH(tItens[[#This Row],[Produto]],tProdutos[Produto],0)),"produto não cadastrado")</f>
        <v>FILA REBASE</v>
      </c>
      <c r="K4825" s="12">
        <f>tItens[[#This Row],[Qtd]]*tItens[[#This Row],[Vlr unit]]</f>
        <v>6040.8</v>
      </c>
      <c r="L4825" s="6">
        <f>IFERROR(IF(INDEX(tProdutos[Desconto homologado],MATCH(tItens[[#This Row],[Produto]],tProdutos[Produto],0))="",DescontoPadrao,INDEX(tProdutos[Desconto homologado],MATCH(tItens[[#This Row],[Produto]],tProdutos[Produto],0))),DescontoPadrao)</f>
        <v>0.44096385542168698</v>
      </c>
      <c r="M4825" s="12">
        <f>tItens[[#This Row],[Valor]]*(1-tItens[[#This Row],[Desconto]])</f>
        <v>3377.0255421686729</v>
      </c>
      <c r="N4825" t="str">
        <f>IFERROR(INDEX(tProdutos[Foco],MATCH(tItens[[#This Row],[Produto]],tProdutos[Produto],0)),"Não")</f>
        <v>Não</v>
      </c>
      <c r="O4825" t="str">
        <f>IFERROR(INDEX(tEditais[SRP],MATCH(tItens[[#This Row],[Edital]],tEditais[Edital],0)),"Não")</f>
        <v>Não</v>
      </c>
      <c r="P4825" s="4">
        <f>IF(COUNTIFS(INDEX(tItens[Edital],1):tItens[[#This Row],[Edital]],tItens[[#This Row],[Edital]],INDEX(tItens[Produto],1):tItens[[#This Row],[Produto]],tItens[[#This Row],[Produto]])=1,1,0)</f>
        <v>1</v>
      </c>
    </row>
    <row r="4826" spans="1:16" x14ac:dyDescent="0.25">
      <c r="A4826" t="s">
        <v>1896</v>
      </c>
      <c r="B4826">
        <v>4</v>
      </c>
      <c r="C4826" t="s">
        <v>7653</v>
      </c>
      <c r="D4826" t="s">
        <v>461</v>
      </c>
      <c r="E4826" s="13">
        <v>240</v>
      </c>
      <c r="F4826" s="12">
        <v>3.35</v>
      </c>
      <c r="G4826" t="str">
        <f>IFERROR(INDEX(tEditais[Órgão],MATCH(tItens[[#This Row],[Edital]],tEditais[Edital],0)),"")</f>
        <v>DIRETORIA  DE APOIO ADMINISTRATIVO AO SISTEMA DE SAUDE-DASIS</v>
      </c>
      <c r="H4826" t="str">
        <f>IFERROR(INDEX(tEditais[UF],MATCH(tItens[[#This Row],[Edital]],tEditais[Edital],0)),"")</f>
        <v>PE</v>
      </c>
      <c r="I4826" s="11">
        <f>IFERROR(INDEX(tEditais[Encerramento],MATCH(tItens[[#This Row],[Edital]],tEditais[Edital],0)),"")</f>
        <v>46309.375</v>
      </c>
      <c r="J4826" t="str">
        <f>IFERROR(INDEX(tProdutos[Classe],MATCH(tItens[[#This Row],[Produto]],tProdutos[Produto],0)),"produto não cadastrado")</f>
        <v>FILA REBASE</v>
      </c>
      <c r="K4826" s="12">
        <f>tItens[[#This Row],[Qtd]]*tItens[[#This Row],[Vlr unit]]</f>
        <v>804</v>
      </c>
      <c r="L4826" s="6">
        <f>IFERROR(IF(INDEX(tProdutos[Desconto homologado],MATCH(tItens[[#This Row],[Produto]],tProdutos[Produto],0))="",DescontoPadrao,INDEX(tProdutos[Desconto homologado],MATCH(tItens[[#This Row],[Produto]],tProdutos[Produto],0))),DescontoPadrao)</f>
        <v>0.44096385542168698</v>
      </c>
      <c r="M4826" s="12">
        <f>tItens[[#This Row],[Valor]]*(1-tItens[[#This Row],[Desconto]])</f>
        <v>449.46506024096362</v>
      </c>
      <c r="N4826" t="str">
        <f>IFERROR(INDEX(tProdutos[Foco],MATCH(tItens[[#This Row],[Produto]],tProdutos[Produto],0)),"Não")</f>
        <v>Não</v>
      </c>
      <c r="O4826" t="str">
        <f>IFERROR(INDEX(tEditais[SRP],MATCH(tItens[[#This Row],[Edital]],tEditais[Edital],0)),"Não")</f>
        <v>Não</v>
      </c>
      <c r="P4826" s="4">
        <f>IF(COUNTIFS(INDEX(tItens[Edital],1):tItens[[#This Row],[Edital]],tItens[[#This Row],[Edital]],INDEX(tItens[Produto],1):tItens[[#This Row],[Produto]],tItens[[#This Row],[Produto]])=1,1,0)</f>
        <v>0</v>
      </c>
    </row>
    <row r="4827" spans="1:16" x14ac:dyDescent="0.25">
      <c r="A4827" t="s">
        <v>1896</v>
      </c>
      <c r="B4827">
        <v>6</v>
      </c>
      <c r="C4827" t="s">
        <v>7654</v>
      </c>
      <c r="D4827" t="s">
        <v>461</v>
      </c>
      <c r="E4827" s="13">
        <v>200</v>
      </c>
      <c r="F4827" s="12">
        <v>4.87</v>
      </c>
      <c r="G4827" t="str">
        <f>IFERROR(INDEX(tEditais[Órgão],MATCH(tItens[[#This Row],[Edital]],tEditais[Edital],0)),"")</f>
        <v>DIRETORIA  DE APOIO ADMINISTRATIVO AO SISTEMA DE SAUDE-DASIS</v>
      </c>
      <c r="H4827" t="str">
        <f>IFERROR(INDEX(tEditais[UF],MATCH(tItens[[#This Row],[Edital]],tEditais[Edital],0)),"")</f>
        <v>PE</v>
      </c>
      <c r="I4827" s="11">
        <f>IFERROR(INDEX(tEditais[Encerramento],MATCH(tItens[[#This Row],[Edital]],tEditais[Edital],0)),"")</f>
        <v>46309.375</v>
      </c>
      <c r="J4827" t="str">
        <f>IFERROR(INDEX(tProdutos[Classe],MATCH(tItens[[#This Row],[Produto]],tProdutos[Produto],0)),"produto não cadastrado")</f>
        <v>FILA REBASE</v>
      </c>
      <c r="K4827" s="12">
        <f>tItens[[#This Row],[Qtd]]*tItens[[#This Row],[Vlr unit]]</f>
        <v>974</v>
      </c>
      <c r="L4827" s="6">
        <f>IFERROR(IF(INDEX(tProdutos[Desconto homologado],MATCH(tItens[[#This Row],[Produto]],tProdutos[Produto],0))="",DescontoPadrao,INDEX(tProdutos[Desconto homologado],MATCH(tItens[[#This Row],[Produto]],tProdutos[Produto],0))),DescontoPadrao)</f>
        <v>0.44096385542168698</v>
      </c>
      <c r="M4827" s="12">
        <f>tItens[[#This Row],[Valor]]*(1-tItens[[#This Row],[Desconto]])</f>
        <v>544.50120481927684</v>
      </c>
      <c r="N4827" t="str">
        <f>IFERROR(INDEX(tProdutos[Foco],MATCH(tItens[[#This Row],[Produto]],tProdutos[Produto],0)),"Não")</f>
        <v>Não</v>
      </c>
      <c r="O4827" t="str">
        <f>IFERROR(INDEX(tEditais[SRP],MATCH(tItens[[#This Row],[Edital]],tEditais[Edital],0)),"Não")</f>
        <v>Não</v>
      </c>
      <c r="P4827" s="4">
        <f>IF(COUNTIFS(INDEX(tItens[Edital],1):tItens[[#This Row],[Edital]],tItens[[#This Row],[Edital]],INDEX(tItens[Produto],1):tItens[[#This Row],[Produto]],tItens[[#This Row],[Produto]])=1,1,0)</f>
        <v>0</v>
      </c>
    </row>
    <row r="4828" spans="1:16" x14ac:dyDescent="0.25">
      <c r="A4828" t="s">
        <v>1896</v>
      </c>
      <c r="B4828">
        <v>9</v>
      </c>
      <c r="C4828" t="s">
        <v>7655</v>
      </c>
      <c r="D4828" t="s">
        <v>461</v>
      </c>
      <c r="E4828" s="13">
        <v>312</v>
      </c>
      <c r="F4828" s="12">
        <v>15.64</v>
      </c>
      <c r="G4828" t="str">
        <f>IFERROR(INDEX(tEditais[Órgão],MATCH(tItens[[#This Row],[Edital]],tEditais[Edital],0)),"")</f>
        <v>DIRETORIA  DE APOIO ADMINISTRATIVO AO SISTEMA DE SAUDE-DASIS</v>
      </c>
      <c r="H4828" t="str">
        <f>IFERROR(INDEX(tEditais[UF],MATCH(tItens[[#This Row],[Edital]],tEditais[Edital],0)),"")</f>
        <v>PE</v>
      </c>
      <c r="I4828" s="11">
        <f>IFERROR(INDEX(tEditais[Encerramento],MATCH(tItens[[#This Row],[Edital]],tEditais[Edital],0)),"")</f>
        <v>46309.375</v>
      </c>
      <c r="J4828" t="str">
        <f>IFERROR(INDEX(tProdutos[Classe],MATCH(tItens[[#This Row],[Produto]],tProdutos[Produto],0)),"produto não cadastrado")</f>
        <v>FILA REBASE</v>
      </c>
      <c r="K4828" s="12">
        <f>tItens[[#This Row],[Qtd]]*tItens[[#This Row],[Vlr unit]]</f>
        <v>4879.68</v>
      </c>
      <c r="L4828" s="6">
        <f>IFERROR(IF(INDEX(tProdutos[Desconto homologado],MATCH(tItens[[#This Row],[Produto]],tProdutos[Produto],0))="",DescontoPadrao,INDEX(tProdutos[Desconto homologado],MATCH(tItens[[#This Row],[Produto]],tProdutos[Produto],0))),DescontoPadrao)</f>
        <v>0.44096385542168698</v>
      </c>
      <c r="M4828" s="12">
        <f>tItens[[#This Row],[Valor]]*(1-tItens[[#This Row],[Desconto]])</f>
        <v>2727.9174939759023</v>
      </c>
      <c r="N4828" t="str">
        <f>IFERROR(INDEX(tProdutos[Foco],MATCH(tItens[[#This Row],[Produto]],tProdutos[Produto],0)),"Não")</f>
        <v>Não</v>
      </c>
      <c r="O4828" t="str">
        <f>IFERROR(INDEX(tEditais[SRP],MATCH(tItens[[#This Row],[Edital]],tEditais[Edital],0)),"Não")</f>
        <v>Não</v>
      </c>
      <c r="P4828" s="4">
        <f>IF(COUNTIFS(INDEX(tItens[Edital],1):tItens[[#This Row],[Edital]],tItens[[#This Row],[Edital]],INDEX(tItens[Produto],1):tItens[[#This Row],[Produto]],tItens[[#This Row],[Produto]])=1,1,0)</f>
        <v>0</v>
      </c>
    </row>
    <row r="4829" spans="1:16" x14ac:dyDescent="0.25">
      <c r="A4829" t="s">
        <v>1899</v>
      </c>
      <c r="B4829">
        <v>40</v>
      </c>
      <c r="C4829" t="s">
        <v>7656</v>
      </c>
      <c r="D4829" t="s">
        <v>423</v>
      </c>
      <c r="E4829" s="13">
        <v>200</v>
      </c>
      <c r="F4829" s="12">
        <v>9.2799999999999994</v>
      </c>
      <c r="G4829" t="str">
        <f>IFERROR(INDEX(tEditais[Órgão],MATCH(tItens[[#This Row],[Edital]],tEditais[Edital],0)),"")</f>
        <v>FUNDO MUNICIPAL DE SAUDE</v>
      </c>
      <c r="H4829" t="str">
        <f>IFERROR(INDEX(tEditais[UF],MATCH(tItens[[#This Row],[Edital]],tEditais[Edital],0)),"")</f>
        <v>PE</v>
      </c>
      <c r="I4829" s="11">
        <f>IFERROR(INDEX(tEditais[Encerramento],MATCH(tItens[[#This Row],[Edital]],tEditais[Edital],0)),"")</f>
        <v>46309.375</v>
      </c>
      <c r="J4829" t="str">
        <f>IFERROR(INDEX(tProdutos[Classe],MATCH(tItens[[#This Row],[Produto]],tProdutos[Produto],0)),"produto não cadastrado")</f>
        <v>FORA</v>
      </c>
      <c r="K4829" s="12">
        <f>tItens[[#This Row],[Qtd]]*tItens[[#This Row],[Vlr unit]]</f>
        <v>1855.9999999999998</v>
      </c>
      <c r="L4829" s="6">
        <f>IFERROR(IF(INDEX(tProdutos[Desconto homologado],MATCH(tItens[[#This Row],[Produto]],tProdutos[Produto],0))="",DescontoPadrao,INDEX(tProdutos[Desconto homologado],MATCH(tItens[[#This Row],[Produto]],tProdutos[Produto],0))),DescontoPadrao)</f>
        <v>0.38271604938271597</v>
      </c>
      <c r="M4829" s="12">
        <f>tItens[[#This Row],[Valor]]*(1-tItens[[#This Row],[Desconto]])</f>
        <v>1145.679012345679</v>
      </c>
      <c r="N4829" t="str">
        <f>IFERROR(INDEX(tProdutos[Foco],MATCH(tItens[[#This Row],[Produto]],tProdutos[Produto],0)),"Não")</f>
        <v>Não</v>
      </c>
      <c r="O4829" t="str">
        <f>IFERROR(INDEX(tEditais[SRP],MATCH(tItens[[#This Row],[Edital]],tEditais[Edital],0)),"Não")</f>
        <v>Não</v>
      </c>
      <c r="P4829" s="4">
        <f>IF(COUNTIFS(INDEX(tItens[Edital],1):tItens[[#This Row],[Edital]],tItens[[#This Row],[Edital]],INDEX(tItens[Produto],1):tItens[[#This Row],[Produto]],tItens[[#This Row],[Produto]])=1,1,0)</f>
        <v>1</v>
      </c>
    </row>
    <row r="4830" spans="1:16" x14ac:dyDescent="0.25">
      <c r="A4830" t="s">
        <v>1899</v>
      </c>
      <c r="B4830">
        <v>53</v>
      </c>
      <c r="C4830" t="s">
        <v>7657</v>
      </c>
      <c r="D4830" t="s">
        <v>542</v>
      </c>
      <c r="E4830" s="13">
        <v>300</v>
      </c>
      <c r="F4830" s="12">
        <v>58.7</v>
      </c>
      <c r="G4830" t="str">
        <f>IFERROR(INDEX(tEditais[Órgão],MATCH(tItens[[#This Row],[Edital]],tEditais[Edital],0)),"")</f>
        <v>FUNDO MUNICIPAL DE SAUDE</v>
      </c>
      <c r="H4830" t="str">
        <f>IFERROR(INDEX(tEditais[UF],MATCH(tItens[[#This Row],[Edital]],tEditais[Edital],0)),"")</f>
        <v>PE</v>
      </c>
      <c r="I4830" s="11">
        <f>IFERROR(INDEX(tEditais[Encerramento],MATCH(tItens[[#This Row],[Edital]],tEditais[Edital],0)),"")</f>
        <v>46309.375</v>
      </c>
      <c r="J4830" t="str">
        <f>IFERROR(INDEX(tProdutos[Classe],MATCH(tItens[[#This Row],[Produto]],tProdutos[Produto],0)),"produto não cadastrado")</f>
        <v>FILA REBASE</v>
      </c>
      <c r="K4830" s="12">
        <f>tItens[[#This Row],[Qtd]]*tItens[[#This Row],[Vlr unit]]</f>
        <v>17610</v>
      </c>
      <c r="L4830" s="6">
        <f>IFERROR(IF(INDEX(tProdutos[Desconto homologado],MATCH(tItens[[#This Row],[Produto]],tProdutos[Produto],0))="",DescontoPadrao,INDEX(tProdutos[Desconto homologado],MATCH(tItens[[#This Row],[Produto]],tProdutos[Produto],0))),DescontoPadrao)</f>
        <v>0.3</v>
      </c>
      <c r="M4830" s="12">
        <f>tItens[[#This Row],[Valor]]*(1-tItens[[#This Row],[Desconto]])</f>
        <v>12327</v>
      </c>
      <c r="N4830" t="str">
        <f>IFERROR(INDEX(tProdutos[Foco],MATCH(tItens[[#This Row],[Produto]],tProdutos[Produto],0)),"Não")</f>
        <v>Não</v>
      </c>
      <c r="O4830" t="str">
        <f>IFERROR(INDEX(tEditais[SRP],MATCH(tItens[[#This Row],[Edital]],tEditais[Edital],0)),"Não")</f>
        <v>Não</v>
      </c>
      <c r="P4830" s="4">
        <f>IF(COUNTIFS(INDEX(tItens[Edital],1):tItens[[#This Row],[Edital]],tItens[[#This Row],[Edital]],INDEX(tItens[Produto],1):tItens[[#This Row],[Produto]],tItens[[#This Row],[Produto]])=1,1,0)</f>
        <v>1</v>
      </c>
    </row>
    <row r="4831" spans="1:16" x14ac:dyDescent="0.25">
      <c r="A4831" t="s">
        <v>1903</v>
      </c>
      <c r="B4831">
        <v>1</v>
      </c>
      <c r="C4831" t="s">
        <v>7658</v>
      </c>
      <c r="D4831" t="s">
        <v>411</v>
      </c>
      <c r="E4831" s="13">
        <v>69</v>
      </c>
      <c r="F4831" s="12">
        <v>717.46</v>
      </c>
      <c r="G4831" t="str">
        <f>IFERROR(INDEX(tEditais[Órgão],MATCH(tItens[[#This Row],[Edital]],tEditais[Edital],0)),"")</f>
        <v>SECRETARIA DE SAUDE</v>
      </c>
      <c r="H4831" t="str">
        <f>IFERROR(INDEX(tEditais[UF],MATCH(tItens[[#This Row],[Edital]],tEditais[Edital],0)),"")</f>
        <v>PE</v>
      </c>
      <c r="I4831" s="11">
        <f>IFERROR(INDEX(tEditais[Encerramento],MATCH(tItens[[#This Row],[Edital]],tEditais[Edital],0)),"")</f>
        <v>46309.395833333336</v>
      </c>
      <c r="J4831" t="str">
        <f>IFERROR(INDEX(tProdutos[Classe],MATCH(tItens[[#This Row],[Produto]],tProdutos[Produto],0)),"produto não cadastrado")</f>
        <v>FORA</v>
      </c>
      <c r="K4831" s="12">
        <f>tItens[[#This Row],[Qtd]]*tItens[[#This Row],[Vlr unit]]</f>
        <v>49504.740000000005</v>
      </c>
      <c r="L4831" s="6">
        <f>IFERROR(IF(INDEX(tProdutos[Desconto homologado],MATCH(tItens[[#This Row],[Produto]],tProdutos[Produto],0))="",DescontoPadrao,INDEX(tProdutos[Desconto homologado],MATCH(tItens[[#This Row],[Produto]],tProdutos[Produto],0))),DescontoPadrao)</f>
        <v>0.50029835957199398</v>
      </c>
      <c r="M4831" s="12">
        <f>tItens[[#This Row],[Valor]]*(1-tItens[[#This Row],[Desconto]])</f>
        <v>24737.599786961928</v>
      </c>
      <c r="N4831" t="str">
        <f>IFERROR(INDEX(tProdutos[Foco],MATCH(tItens[[#This Row],[Produto]],tProdutos[Produto],0)),"Não")</f>
        <v>Não</v>
      </c>
      <c r="O4831" t="str">
        <f>IFERROR(INDEX(tEditais[SRP],MATCH(tItens[[#This Row],[Edital]],tEditais[Edital],0)),"Não")</f>
        <v>Não</v>
      </c>
      <c r="P4831" s="4">
        <f>IF(COUNTIFS(INDEX(tItens[Edital],1):tItens[[#This Row],[Edital]],tItens[[#This Row],[Edital]],INDEX(tItens[Produto],1):tItens[[#This Row],[Produto]],tItens[[#This Row],[Produto]])=1,1,0)</f>
        <v>1</v>
      </c>
    </row>
    <row r="4832" spans="1:16" x14ac:dyDescent="0.25">
      <c r="A4832" t="s">
        <v>1906</v>
      </c>
      <c r="B4832">
        <v>3</v>
      </c>
      <c r="C4832" t="s">
        <v>7659</v>
      </c>
      <c r="D4832" t="s">
        <v>315</v>
      </c>
      <c r="E4832" s="13">
        <v>64900</v>
      </c>
      <c r="F4832" s="12">
        <v>0.15</v>
      </c>
      <c r="G4832" t="str">
        <f>IFERROR(INDEX(tEditais[Órgão],MATCH(tItens[[#This Row],[Edital]],tEditais[Edital],0)),"")</f>
        <v>MUNICIPIO DE JABOATAO DOS GUARARAPES</v>
      </c>
      <c r="H4832" t="str">
        <f>IFERROR(INDEX(tEditais[UF],MATCH(tItens[[#This Row],[Edital]],tEditais[Edital],0)),"")</f>
        <v>PE</v>
      </c>
      <c r="I4832" s="11">
        <f>IFERROR(INDEX(tEditais[Encerramento],MATCH(tItens[[#This Row],[Edital]],tEditais[Edital],0)),"")</f>
        <v>46309.416666666664</v>
      </c>
      <c r="J4832" t="str">
        <f>IFERROR(INDEX(tProdutos[Classe],MATCH(tItens[[#This Row],[Produto]],tProdutos[Produto],0)),"produto não cadastrado")</f>
        <v>FORA</v>
      </c>
      <c r="K4832" s="12">
        <f>tItens[[#This Row],[Qtd]]*tItens[[#This Row],[Vlr unit]]</f>
        <v>9735</v>
      </c>
      <c r="L4832" s="6">
        <f>IFERROR(IF(INDEX(tProdutos[Desconto homologado],MATCH(tItens[[#This Row],[Produto]],tProdutos[Produto],0))="",DescontoPadrao,INDEX(tProdutos[Desconto homologado],MATCH(tItens[[#This Row],[Produto]],tProdutos[Produto],0))),DescontoPadrao)</f>
        <v>0.38432036097010702</v>
      </c>
      <c r="M4832" s="12">
        <f>tItens[[#This Row],[Valor]]*(1-tItens[[#This Row],[Desconto]])</f>
        <v>5993.6412859560078</v>
      </c>
      <c r="N4832" t="str">
        <f>IFERROR(INDEX(tProdutos[Foco],MATCH(tItens[[#This Row],[Produto]],tProdutos[Produto],0)),"Não")</f>
        <v>Não</v>
      </c>
      <c r="O4832" t="str">
        <f>IFERROR(INDEX(tEditais[SRP],MATCH(tItens[[#This Row],[Edital]],tEditais[Edital],0)),"Não")</f>
        <v>Sim</v>
      </c>
      <c r="P4832" s="4">
        <f>IF(COUNTIFS(INDEX(tItens[Edital],1):tItens[[#This Row],[Edital]],tItens[[#This Row],[Edital]],INDEX(tItens[Produto],1):tItens[[#This Row],[Produto]],tItens[[#This Row],[Produto]])=1,1,0)</f>
        <v>1</v>
      </c>
    </row>
    <row r="4833" spans="1:16" x14ac:dyDescent="0.25">
      <c r="A4833" t="s">
        <v>1906</v>
      </c>
      <c r="B4833">
        <v>4</v>
      </c>
      <c r="C4833" t="s">
        <v>7660</v>
      </c>
      <c r="D4833" t="s">
        <v>315</v>
      </c>
      <c r="E4833" s="13">
        <v>26000</v>
      </c>
      <c r="F4833" s="12">
        <v>0.15</v>
      </c>
      <c r="G4833" t="str">
        <f>IFERROR(INDEX(tEditais[Órgão],MATCH(tItens[[#This Row],[Edital]],tEditais[Edital],0)),"")</f>
        <v>MUNICIPIO DE JABOATAO DOS GUARARAPES</v>
      </c>
      <c r="H4833" t="str">
        <f>IFERROR(INDEX(tEditais[UF],MATCH(tItens[[#This Row],[Edital]],tEditais[Edital],0)),"")</f>
        <v>PE</v>
      </c>
      <c r="I4833" s="11">
        <f>IFERROR(INDEX(tEditais[Encerramento],MATCH(tItens[[#This Row],[Edital]],tEditais[Edital],0)),"")</f>
        <v>46309.416666666664</v>
      </c>
      <c r="J4833" t="str">
        <f>IFERROR(INDEX(tProdutos[Classe],MATCH(tItens[[#This Row],[Produto]],tProdutos[Produto],0)),"produto não cadastrado")</f>
        <v>FORA</v>
      </c>
      <c r="K4833" s="12">
        <f>tItens[[#This Row],[Qtd]]*tItens[[#This Row],[Vlr unit]]</f>
        <v>3900</v>
      </c>
      <c r="L4833" s="6">
        <f>IFERROR(IF(INDEX(tProdutos[Desconto homologado],MATCH(tItens[[#This Row],[Produto]],tProdutos[Produto],0))="",DescontoPadrao,INDEX(tProdutos[Desconto homologado],MATCH(tItens[[#This Row],[Produto]],tProdutos[Produto],0))),DescontoPadrao)</f>
        <v>0.38432036097010702</v>
      </c>
      <c r="M4833" s="12">
        <f>tItens[[#This Row],[Valor]]*(1-tItens[[#This Row],[Desconto]])</f>
        <v>2401.1505922165825</v>
      </c>
      <c r="N4833" t="str">
        <f>IFERROR(INDEX(tProdutos[Foco],MATCH(tItens[[#This Row],[Produto]],tProdutos[Produto],0)),"Não")</f>
        <v>Não</v>
      </c>
      <c r="O4833" t="str">
        <f>IFERROR(INDEX(tEditais[SRP],MATCH(tItens[[#This Row],[Edital]],tEditais[Edital],0)),"Não")</f>
        <v>Sim</v>
      </c>
      <c r="P4833" s="4">
        <f>IF(COUNTIFS(INDEX(tItens[Edital],1):tItens[[#This Row],[Edital]],tItens[[#This Row],[Edital]],INDEX(tItens[Produto],1):tItens[[#This Row],[Produto]],tItens[[#This Row],[Produto]])=1,1,0)</f>
        <v>0</v>
      </c>
    </row>
    <row r="4834" spans="1:16" x14ac:dyDescent="0.25">
      <c r="A4834" t="s">
        <v>1906</v>
      </c>
      <c r="B4834">
        <v>5</v>
      </c>
      <c r="C4834" t="s">
        <v>7661</v>
      </c>
      <c r="D4834" t="s">
        <v>315</v>
      </c>
      <c r="E4834" s="13">
        <v>18600</v>
      </c>
      <c r="F4834" s="12">
        <v>0.22</v>
      </c>
      <c r="G4834" t="str">
        <f>IFERROR(INDEX(tEditais[Órgão],MATCH(tItens[[#This Row],[Edital]],tEditais[Edital],0)),"")</f>
        <v>MUNICIPIO DE JABOATAO DOS GUARARAPES</v>
      </c>
      <c r="H4834" t="str">
        <f>IFERROR(INDEX(tEditais[UF],MATCH(tItens[[#This Row],[Edital]],tEditais[Edital],0)),"")</f>
        <v>PE</v>
      </c>
      <c r="I4834" s="11">
        <f>IFERROR(INDEX(tEditais[Encerramento],MATCH(tItens[[#This Row],[Edital]],tEditais[Edital],0)),"")</f>
        <v>46309.416666666664</v>
      </c>
      <c r="J4834" t="str">
        <f>IFERROR(INDEX(tProdutos[Classe],MATCH(tItens[[#This Row],[Produto]],tProdutos[Produto],0)),"produto não cadastrado")</f>
        <v>FORA</v>
      </c>
      <c r="K4834" s="12">
        <f>tItens[[#This Row],[Qtd]]*tItens[[#This Row],[Vlr unit]]</f>
        <v>4092</v>
      </c>
      <c r="L4834" s="6">
        <f>IFERROR(IF(INDEX(tProdutos[Desconto homologado],MATCH(tItens[[#This Row],[Produto]],tProdutos[Produto],0))="",DescontoPadrao,INDEX(tProdutos[Desconto homologado],MATCH(tItens[[#This Row],[Produto]],tProdutos[Produto],0))),DescontoPadrao)</f>
        <v>0.38432036097010702</v>
      </c>
      <c r="M4834" s="12">
        <f>tItens[[#This Row],[Valor]]*(1-tItens[[#This Row],[Desconto]])</f>
        <v>2519.3610829103222</v>
      </c>
      <c r="N4834" t="str">
        <f>IFERROR(INDEX(tProdutos[Foco],MATCH(tItens[[#This Row],[Produto]],tProdutos[Produto],0)),"Não")</f>
        <v>Não</v>
      </c>
      <c r="O4834" t="str">
        <f>IFERROR(INDEX(tEditais[SRP],MATCH(tItens[[#This Row],[Edital]],tEditais[Edital],0)),"Não")</f>
        <v>Sim</v>
      </c>
      <c r="P4834" s="4">
        <f>IF(COUNTIFS(INDEX(tItens[Edital],1):tItens[[#This Row],[Edital]],tItens[[#This Row],[Edital]],INDEX(tItens[Produto],1):tItens[[#This Row],[Produto]],tItens[[#This Row],[Produto]])=1,1,0)</f>
        <v>0</v>
      </c>
    </row>
    <row r="4835" spans="1:16" x14ac:dyDescent="0.25">
      <c r="A4835" t="s">
        <v>1906</v>
      </c>
      <c r="B4835">
        <v>11</v>
      </c>
      <c r="C4835" t="s">
        <v>7662</v>
      </c>
      <c r="D4835" t="s">
        <v>389</v>
      </c>
      <c r="E4835" s="13">
        <v>277313</v>
      </c>
      <c r="F4835" s="12">
        <v>3.8</v>
      </c>
      <c r="G4835" t="str">
        <f>IFERROR(INDEX(tEditais[Órgão],MATCH(tItens[[#This Row],[Edital]],tEditais[Edital],0)),"")</f>
        <v>MUNICIPIO DE JABOATAO DOS GUARARAPES</v>
      </c>
      <c r="H4835" t="str">
        <f>IFERROR(INDEX(tEditais[UF],MATCH(tItens[[#This Row],[Edital]],tEditais[Edital],0)),"")</f>
        <v>PE</v>
      </c>
      <c r="I4835" s="11">
        <f>IFERROR(INDEX(tEditais[Encerramento],MATCH(tItens[[#This Row],[Edital]],tEditais[Edital],0)),"")</f>
        <v>46309.416666666664</v>
      </c>
      <c r="J4835" t="str">
        <f>IFERROR(INDEX(tProdutos[Classe],MATCH(tItens[[#This Row],[Produto]],tProdutos[Produto],0)),"produto não cadastrado")</f>
        <v>FORA</v>
      </c>
      <c r="K4835" s="12">
        <f>tItens[[#This Row],[Qtd]]*tItens[[#This Row],[Vlr unit]]</f>
        <v>1053789.3999999999</v>
      </c>
      <c r="L4835" s="6">
        <f>IFERROR(IF(INDEX(tProdutos[Desconto homologado],MATCH(tItens[[#This Row],[Produto]],tProdutos[Produto],0))="",DescontoPadrao,INDEX(tProdutos[Desconto homologado],MATCH(tItens[[#This Row],[Produto]],tProdutos[Produto],0))),DescontoPadrao)</f>
        <v>0.39163140573577798</v>
      </c>
      <c r="M4835" s="12">
        <f>tItens[[#This Row],[Valor]]*(1-tItens[[#This Row],[Desconto]])</f>
        <v>641092.37592853792</v>
      </c>
      <c r="N4835" t="str">
        <f>IFERROR(INDEX(tProdutos[Foco],MATCH(tItens[[#This Row],[Produto]],tProdutos[Produto],0)),"Não")</f>
        <v>Não</v>
      </c>
      <c r="O4835" t="str">
        <f>IFERROR(INDEX(tEditais[SRP],MATCH(tItens[[#This Row],[Edital]],tEditais[Edital],0)),"Não")</f>
        <v>Sim</v>
      </c>
      <c r="P4835" s="4">
        <f>IF(COUNTIFS(INDEX(tItens[Edital],1):tItens[[#This Row],[Edital]],tItens[[#This Row],[Edital]],INDEX(tItens[Produto],1):tItens[[#This Row],[Produto]],tItens[[#This Row],[Produto]])=1,1,0)</f>
        <v>1</v>
      </c>
    </row>
    <row r="4836" spans="1:16" x14ac:dyDescent="0.25">
      <c r="A4836" t="s">
        <v>1906</v>
      </c>
      <c r="B4836">
        <v>12</v>
      </c>
      <c r="C4836" t="s">
        <v>7662</v>
      </c>
      <c r="D4836" t="s">
        <v>389</v>
      </c>
      <c r="E4836" s="13">
        <v>92437</v>
      </c>
      <c r="F4836" s="12">
        <v>3.8</v>
      </c>
      <c r="G4836" t="str">
        <f>IFERROR(INDEX(tEditais[Órgão],MATCH(tItens[[#This Row],[Edital]],tEditais[Edital],0)),"")</f>
        <v>MUNICIPIO DE JABOATAO DOS GUARARAPES</v>
      </c>
      <c r="H4836" t="str">
        <f>IFERROR(INDEX(tEditais[UF],MATCH(tItens[[#This Row],[Edital]],tEditais[Edital],0)),"")</f>
        <v>PE</v>
      </c>
      <c r="I4836" s="11">
        <f>IFERROR(INDEX(tEditais[Encerramento],MATCH(tItens[[#This Row],[Edital]],tEditais[Edital],0)),"")</f>
        <v>46309.416666666664</v>
      </c>
      <c r="J4836" t="str">
        <f>IFERROR(INDEX(tProdutos[Classe],MATCH(tItens[[#This Row],[Produto]],tProdutos[Produto],0)),"produto não cadastrado")</f>
        <v>FORA</v>
      </c>
      <c r="K4836" s="12">
        <f>tItens[[#This Row],[Qtd]]*tItens[[#This Row],[Vlr unit]]</f>
        <v>351260.6</v>
      </c>
      <c r="L4836" s="6">
        <f>IFERROR(IF(INDEX(tProdutos[Desconto homologado],MATCH(tItens[[#This Row],[Produto]],tProdutos[Produto],0))="",DescontoPadrao,INDEX(tProdutos[Desconto homologado],MATCH(tItens[[#This Row],[Produto]],tProdutos[Produto],0))),DescontoPadrao)</f>
        <v>0.39163140573577798</v>
      </c>
      <c r="M4836" s="12">
        <f>tItens[[#This Row],[Valor]]*(1-tItens[[#This Row],[Desconto]])</f>
        <v>213695.9174424072</v>
      </c>
      <c r="N4836" t="str">
        <f>IFERROR(INDEX(tProdutos[Foco],MATCH(tItens[[#This Row],[Produto]],tProdutos[Produto],0)),"Não")</f>
        <v>Não</v>
      </c>
      <c r="O4836" t="str">
        <f>IFERROR(INDEX(tEditais[SRP],MATCH(tItens[[#This Row],[Edital]],tEditais[Edital],0)),"Não")</f>
        <v>Sim</v>
      </c>
      <c r="P4836" s="4">
        <f>IF(COUNTIFS(INDEX(tItens[Edital],1):tItens[[#This Row],[Edital]],tItens[[#This Row],[Edital]],INDEX(tItens[Produto],1):tItens[[#This Row],[Produto]],tItens[[#This Row],[Produto]])=1,1,0)</f>
        <v>0</v>
      </c>
    </row>
    <row r="4837" spans="1:16" x14ac:dyDescent="0.25">
      <c r="A4837" t="s">
        <v>1906</v>
      </c>
      <c r="B4837">
        <v>13</v>
      </c>
      <c r="C4837" t="s">
        <v>7663</v>
      </c>
      <c r="D4837" t="s">
        <v>389</v>
      </c>
      <c r="E4837" s="13">
        <v>83198</v>
      </c>
      <c r="F4837" s="12">
        <v>6.22</v>
      </c>
      <c r="G4837" t="str">
        <f>IFERROR(INDEX(tEditais[Órgão],MATCH(tItens[[#This Row],[Edital]],tEditais[Edital],0)),"")</f>
        <v>MUNICIPIO DE JABOATAO DOS GUARARAPES</v>
      </c>
      <c r="H4837" t="str">
        <f>IFERROR(INDEX(tEditais[UF],MATCH(tItens[[#This Row],[Edital]],tEditais[Edital],0)),"")</f>
        <v>PE</v>
      </c>
      <c r="I4837" s="11">
        <f>IFERROR(INDEX(tEditais[Encerramento],MATCH(tItens[[#This Row],[Edital]],tEditais[Edital],0)),"")</f>
        <v>46309.416666666664</v>
      </c>
      <c r="J4837" t="str">
        <f>IFERROR(INDEX(tProdutos[Classe],MATCH(tItens[[#This Row],[Produto]],tProdutos[Produto],0)),"produto não cadastrado")</f>
        <v>FORA</v>
      </c>
      <c r="K4837" s="12">
        <f>tItens[[#This Row],[Qtd]]*tItens[[#This Row],[Vlr unit]]</f>
        <v>517491.56</v>
      </c>
      <c r="L4837" s="6">
        <f>IFERROR(IF(INDEX(tProdutos[Desconto homologado],MATCH(tItens[[#This Row],[Produto]],tProdutos[Produto],0))="",DescontoPadrao,INDEX(tProdutos[Desconto homologado],MATCH(tItens[[#This Row],[Produto]],tProdutos[Produto],0))),DescontoPadrao)</f>
        <v>0.39163140573577798</v>
      </c>
      <c r="M4837" s="12">
        <f>tItens[[#This Row],[Valor]]*(1-tItens[[#This Row],[Desconto]])</f>
        <v>314825.61290079931</v>
      </c>
      <c r="N4837" t="str">
        <f>IFERROR(INDEX(tProdutos[Foco],MATCH(tItens[[#This Row],[Produto]],tProdutos[Produto],0)),"Não")</f>
        <v>Não</v>
      </c>
      <c r="O4837" t="str">
        <f>IFERROR(INDEX(tEditais[SRP],MATCH(tItens[[#This Row],[Edital]],tEditais[Edital],0)),"Não")</f>
        <v>Sim</v>
      </c>
      <c r="P4837" s="4">
        <f>IF(COUNTIFS(INDEX(tItens[Edital],1):tItens[[#This Row],[Edital]],tItens[[#This Row],[Edital]],INDEX(tItens[Produto],1):tItens[[#This Row],[Produto]],tItens[[#This Row],[Produto]])=1,1,0)</f>
        <v>0</v>
      </c>
    </row>
    <row r="4838" spans="1:16" x14ac:dyDescent="0.25">
      <c r="A4838" t="s">
        <v>1906</v>
      </c>
      <c r="B4838">
        <v>14</v>
      </c>
      <c r="C4838" t="s">
        <v>7663</v>
      </c>
      <c r="D4838" t="s">
        <v>389</v>
      </c>
      <c r="E4838" s="13">
        <v>27732</v>
      </c>
      <c r="F4838" s="12">
        <v>6.22</v>
      </c>
      <c r="G4838" t="str">
        <f>IFERROR(INDEX(tEditais[Órgão],MATCH(tItens[[#This Row],[Edital]],tEditais[Edital],0)),"")</f>
        <v>MUNICIPIO DE JABOATAO DOS GUARARAPES</v>
      </c>
      <c r="H4838" t="str">
        <f>IFERROR(INDEX(tEditais[UF],MATCH(tItens[[#This Row],[Edital]],tEditais[Edital],0)),"")</f>
        <v>PE</v>
      </c>
      <c r="I4838" s="11">
        <f>IFERROR(INDEX(tEditais[Encerramento],MATCH(tItens[[#This Row],[Edital]],tEditais[Edital],0)),"")</f>
        <v>46309.416666666664</v>
      </c>
      <c r="J4838" t="str">
        <f>IFERROR(INDEX(tProdutos[Classe],MATCH(tItens[[#This Row],[Produto]],tProdutos[Produto],0)),"produto não cadastrado")</f>
        <v>FORA</v>
      </c>
      <c r="K4838" s="12">
        <f>tItens[[#This Row],[Qtd]]*tItens[[#This Row],[Vlr unit]]</f>
        <v>172493.03999999998</v>
      </c>
      <c r="L4838" s="6">
        <f>IFERROR(IF(INDEX(tProdutos[Desconto homologado],MATCH(tItens[[#This Row],[Produto]],tProdutos[Produto],0))="",DescontoPadrao,INDEX(tProdutos[Desconto homologado],MATCH(tItens[[#This Row],[Produto]],tProdutos[Produto],0))),DescontoPadrao)</f>
        <v>0.39163140573577798</v>
      </c>
      <c r="M4838" s="12">
        <f>tItens[[#This Row],[Valor]]*(1-tItens[[#This Row],[Desconto]])</f>
        <v>104939.34826516222</v>
      </c>
      <c r="N4838" t="str">
        <f>IFERROR(INDEX(tProdutos[Foco],MATCH(tItens[[#This Row],[Produto]],tProdutos[Produto],0)),"Não")</f>
        <v>Não</v>
      </c>
      <c r="O4838" t="str">
        <f>IFERROR(INDEX(tEditais[SRP],MATCH(tItens[[#This Row],[Edital]],tEditais[Edital],0)),"Não")</f>
        <v>Sim</v>
      </c>
      <c r="P4838" s="4">
        <f>IF(COUNTIFS(INDEX(tItens[Edital],1):tItens[[#This Row],[Edital]],tItens[[#This Row],[Edital]],INDEX(tItens[Produto],1):tItens[[#This Row],[Produto]],tItens[[#This Row],[Produto]])=1,1,0)</f>
        <v>0</v>
      </c>
    </row>
    <row r="4839" spans="1:16" x14ac:dyDescent="0.25">
      <c r="A4839" t="s">
        <v>1906</v>
      </c>
      <c r="B4839">
        <v>15</v>
      </c>
      <c r="C4839" t="s">
        <v>7664</v>
      </c>
      <c r="D4839" t="s">
        <v>413</v>
      </c>
      <c r="E4839" s="13">
        <v>120</v>
      </c>
      <c r="F4839" s="12">
        <v>22.23</v>
      </c>
      <c r="G4839" t="str">
        <f>IFERROR(INDEX(tEditais[Órgão],MATCH(tItens[[#This Row],[Edital]],tEditais[Edital],0)),"")</f>
        <v>MUNICIPIO DE JABOATAO DOS GUARARAPES</v>
      </c>
      <c r="H4839" t="str">
        <f>IFERROR(INDEX(tEditais[UF],MATCH(tItens[[#This Row],[Edital]],tEditais[Edital],0)),"")</f>
        <v>PE</v>
      </c>
      <c r="I4839" s="11">
        <f>IFERROR(INDEX(tEditais[Encerramento],MATCH(tItens[[#This Row],[Edital]],tEditais[Edital],0)),"")</f>
        <v>46309.416666666664</v>
      </c>
      <c r="J4839" t="str">
        <f>IFERROR(INDEX(tProdutos[Classe],MATCH(tItens[[#This Row],[Produto]],tProdutos[Produto],0)),"produto não cadastrado")</f>
        <v>FORA</v>
      </c>
      <c r="K4839" s="12">
        <f>tItens[[#This Row],[Qtd]]*tItens[[#This Row],[Vlr unit]]</f>
        <v>2667.6</v>
      </c>
      <c r="L4839" s="6">
        <f>IFERROR(IF(INDEX(tProdutos[Desconto homologado],MATCH(tItens[[#This Row],[Produto]],tProdutos[Produto],0))="",DescontoPadrao,INDEX(tProdutos[Desconto homologado],MATCH(tItens[[#This Row],[Produto]],tProdutos[Produto],0))),DescontoPadrao)</f>
        <v>0.477732793522267</v>
      </c>
      <c r="M4839" s="12">
        <f>tItens[[#This Row],[Valor]]*(1-tItens[[#This Row],[Desconto]])</f>
        <v>1393.2000000000003</v>
      </c>
      <c r="N4839" t="str">
        <f>IFERROR(INDEX(tProdutos[Foco],MATCH(tItens[[#This Row],[Produto]],tProdutos[Produto],0)),"Não")</f>
        <v>Não</v>
      </c>
      <c r="O4839" t="str">
        <f>IFERROR(INDEX(tEditais[SRP],MATCH(tItens[[#This Row],[Edital]],tEditais[Edital],0)),"Não")</f>
        <v>Sim</v>
      </c>
      <c r="P4839" s="4">
        <f>IF(COUNTIFS(INDEX(tItens[Edital],1):tItens[[#This Row],[Edital]],tItens[[#This Row],[Edital]],INDEX(tItens[Produto],1):tItens[[#This Row],[Produto]],tItens[[#This Row],[Produto]])=1,1,0)</f>
        <v>1</v>
      </c>
    </row>
    <row r="4840" spans="1:16" x14ac:dyDescent="0.25">
      <c r="A4840" t="s">
        <v>1906</v>
      </c>
      <c r="B4840">
        <v>16</v>
      </c>
      <c r="C4840" t="s">
        <v>7665</v>
      </c>
      <c r="D4840" t="s">
        <v>251</v>
      </c>
      <c r="E4840" s="13">
        <v>74588</v>
      </c>
      <c r="F4840" s="12">
        <v>1.81</v>
      </c>
      <c r="G4840" t="str">
        <f>IFERROR(INDEX(tEditais[Órgão],MATCH(tItens[[#This Row],[Edital]],tEditais[Edital],0)),"")</f>
        <v>MUNICIPIO DE JABOATAO DOS GUARARAPES</v>
      </c>
      <c r="H4840" t="str">
        <f>IFERROR(INDEX(tEditais[UF],MATCH(tItens[[#This Row],[Edital]],tEditais[Edital],0)),"")</f>
        <v>PE</v>
      </c>
      <c r="I4840" s="11">
        <f>IFERROR(INDEX(tEditais[Encerramento],MATCH(tItens[[#This Row],[Edital]],tEditais[Edital],0)),"")</f>
        <v>46309.416666666664</v>
      </c>
      <c r="J4840" t="str">
        <f>IFERROR(INDEX(tProdutos[Classe],MATCH(tItens[[#This Row],[Produto]],tProdutos[Produto],0)),"produto não cadastrado")</f>
        <v>FORA</v>
      </c>
      <c r="K4840" s="12">
        <f>tItens[[#This Row],[Qtd]]*tItens[[#This Row],[Vlr unit]]</f>
        <v>135004.28</v>
      </c>
      <c r="L4840" s="6">
        <f>IFERROR(IF(INDEX(tProdutos[Desconto homologado],MATCH(tItens[[#This Row],[Produto]],tProdutos[Produto],0))="",DescontoPadrao,INDEX(tProdutos[Desconto homologado],MATCH(tItens[[#This Row],[Produto]],tProdutos[Produto],0))),DescontoPadrao)</f>
        <v>0.36759020274436599</v>
      </c>
      <c r="M4840" s="12">
        <f>tItens[[#This Row],[Valor]]*(1-tItens[[#This Row],[Desconto]])</f>
        <v>85378.029343442831</v>
      </c>
      <c r="N4840" t="str">
        <f>IFERROR(INDEX(tProdutos[Foco],MATCH(tItens[[#This Row],[Produto]],tProdutos[Produto],0)),"Não")</f>
        <v>Não</v>
      </c>
      <c r="O4840" t="str">
        <f>IFERROR(INDEX(tEditais[SRP],MATCH(tItens[[#This Row],[Edital]],tEditais[Edital],0)),"Não")</f>
        <v>Sim</v>
      </c>
      <c r="P4840" s="4">
        <f>IF(COUNTIFS(INDEX(tItens[Edital],1):tItens[[#This Row],[Edital]],tItens[[#This Row],[Edital]],INDEX(tItens[Produto],1):tItens[[#This Row],[Produto]],tItens[[#This Row],[Produto]])=1,1,0)</f>
        <v>1</v>
      </c>
    </row>
    <row r="4841" spans="1:16" x14ac:dyDescent="0.25">
      <c r="A4841" t="s">
        <v>1906</v>
      </c>
      <c r="B4841">
        <v>17</v>
      </c>
      <c r="C4841" t="s">
        <v>7665</v>
      </c>
      <c r="D4841" t="s">
        <v>251</v>
      </c>
      <c r="E4841" s="13">
        <v>24862</v>
      </c>
      <c r="F4841" s="12">
        <v>1.81</v>
      </c>
      <c r="G4841" t="str">
        <f>IFERROR(INDEX(tEditais[Órgão],MATCH(tItens[[#This Row],[Edital]],tEditais[Edital],0)),"")</f>
        <v>MUNICIPIO DE JABOATAO DOS GUARARAPES</v>
      </c>
      <c r="H4841" t="str">
        <f>IFERROR(INDEX(tEditais[UF],MATCH(tItens[[#This Row],[Edital]],tEditais[Edital],0)),"")</f>
        <v>PE</v>
      </c>
      <c r="I4841" s="11">
        <f>IFERROR(INDEX(tEditais[Encerramento],MATCH(tItens[[#This Row],[Edital]],tEditais[Edital],0)),"")</f>
        <v>46309.416666666664</v>
      </c>
      <c r="J4841" t="str">
        <f>IFERROR(INDEX(tProdutos[Classe],MATCH(tItens[[#This Row],[Produto]],tProdutos[Produto],0)),"produto não cadastrado")</f>
        <v>FORA</v>
      </c>
      <c r="K4841" s="12">
        <f>tItens[[#This Row],[Qtd]]*tItens[[#This Row],[Vlr unit]]</f>
        <v>45000.22</v>
      </c>
      <c r="L4841" s="6">
        <f>IFERROR(IF(INDEX(tProdutos[Desconto homologado],MATCH(tItens[[#This Row],[Produto]],tProdutos[Produto],0))="",DescontoPadrao,INDEX(tProdutos[Desconto homologado],MATCH(tItens[[#This Row],[Produto]],tProdutos[Produto],0))),DescontoPadrao)</f>
        <v>0.36759020274436599</v>
      </c>
      <c r="M4841" s="12">
        <f>tItens[[#This Row],[Valor]]*(1-tItens[[#This Row],[Desconto]])</f>
        <v>28458.580006658925</v>
      </c>
      <c r="N4841" t="str">
        <f>IFERROR(INDEX(tProdutos[Foco],MATCH(tItens[[#This Row],[Produto]],tProdutos[Produto],0)),"Não")</f>
        <v>Não</v>
      </c>
      <c r="O4841" t="str">
        <f>IFERROR(INDEX(tEditais[SRP],MATCH(tItens[[#This Row],[Edital]],tEditais[Edital],0)),"Não")</f>
        <v>Sim</v>
      </c>
      <c r="P4841" s="4">
        <f>IF(COUNTIFS(INDEX(tItens[Edital],1):tItens[[#This Row],[Edital]],tItens[[#This Row],[Edital]],INDEX(tItens[Produto],1):tItens[[#This Row],[Produto]],tItens[[#This Row],[Produto]])=1,1,0)</f>
        <v>0</v>
      </c>
    </row>
    <row r="4842" spans="1:16" x14ac:dyDescent="0.25">
      <c r="A4842" t="s">
        <v>1906</v>
      </c>
      <c r="B4842">
        <v>18</v>
      </c>
      <c r="C4842" t="s">
        <v>7666</v>
      </c>
      <c r="D4842" t="s">
        <v>114</v>
      </c>
      <c r="E4842" s="13">
        <v>3402</v>
      </c>
      <c r="F4842" s="12">
        <v>9.57</v>
      </c>
      <c r="G4842" t="str">
        <f>IFERROR(INDEX(tEditais[Órgão],MATCH(tItens[[#This Row],[Edital]],tEditais[Edital],0)),"")</f>
        <v>MUNICIPIO DE JABOATAO DOS GUARARAPES</v>
      </c>
      <c r="H4842" t="str">
        <f>IFERROR(INDEX(tEditais[UF],MATCH(tItens[[#This Row],[Edital]],tEditais[Edital],0)),"")</f>
        <v>PE</v>
      </c>
      <c r="I4842" s="11">
        <f>IFERROR(INDEX(tEditais[Encerramento],MATCH(tItens[[#This Row],[Edital]],tEditais[Edital],0)),"")</f>
        <v>46309.416666666664</v>
      </c>
      <c r="J4842" t="str">
        <f>IFERROR(INDEX(tProdutos[Classe],MATCH(tItens[[#This Row],[Produto]],tProdutos[Produto],0)),"produto não cadastrado")</f>
        <v>DISPUTADO</v>
      </c>
      <c r="K4842" s="12">
        <f>tItens[[#This Row],[Qtd]]*tItens[[#This Row],[Vlr unit]]</f>
        <v>32557.14</v>
      </c>
      <c r="L4842" s="6">
        <f>IFERROR(IF(INDEX(tProdutos[Desconto homologado],MATCH(tItens[[#This Row],[Produto]],tProdutos[Produto],0))="",DescontoPadrao,INDEX(tProdutos[Desconto homologado],MATCH(tItens[[#This Row],[Produto]],tProdutos[Produto],0))),DescontoPadrao)</f>
        <v>0.24332656063896899</v>
      </c>
      <c r="M4842" s="12">
        <f>tItens[[#This Row],[Valor]]*(1-tItens[[#This Row],[Desconto]])</f>
        <v>24635.123099558597</v>
      </c>
      <c r="N4842" t="str">
        <f>IFERROR(INDEX(tProdutos[Foco],MATCH(tItens[[#This Row],[Produto]],tProdutos[Produto],0)),"Não")</f>
        <v>Não</v>
      </c>
      <c r="O4842" t="str">
        <f>IFERROR(INDEX(tEditais[SRP],MATCH(tItens[[#This Row],[Edital]],tEditais[Edital],0)),"Não")</f>
        <v>Sim</v>
      </c>
      <c r="P4842" s="4">
        <f>IF(COUNTIFS(INDEX(tItens[Edital],1):tItens[[#This Row],[Edital]],tItens[[#This Row],[Edital]],INDEX(tItens[Produto],1):tItens[[#This Row],[Produto]],tItens[[#This Row],[Produto]])=1,1,0)</f>
        <v>1</v>
      </c>
    </row>
    <row r="4843" spans="1:16" x14ac:dyDescent="0.25">
      <c r="A4843" t="s">
        <v>1906</v>
      </c>
      <c r="B4843">
        <v>19</v>
      </c>
      <c r="C4843" t="s">
        <v>7667</v>
      </c>
      <c r="D4843" t="s">
        <v>281</v>
      </c>
      <c r="E4843" s="13">
        <v>55500</v>
      </c>
      <c r="F4843" s="12">
        <v>0.55000000000000004</v>
      </c>
      <c r="G4843" t="str">
        <f>IFERROR(INDEX(tEditais[Órgão],MATCH(tItens[[#This Row],[Edital]],tEditais[Edital],0)),"")</f>
        <v>MUNICIPIO DE JABOATAO DOS GUARARAPES</v>
      </c>
      <c r="H4843" t="str">
        <f>IFERROR(INDEX(tEditais[UF],MATCH(tItens[[#This Row],[Edital]],tEditais[Edital],0)),"")</f>
        <v>PE</v>
      </c>
      <c r="I4843" s="11">
        <f>IFERROR(INDEX(tEditais[Encerramento],MATCH(tItens[[#This Row],[Edital]],tEditais[Edital],0)),"")</f>
        <v>46309.416666666664</v>
      </c>
      <c r="J4843" t="str">
        <f>IFERROR(INDEX(tProdutos[Classe],MATCH(tItens[[#This Row],[Produto]],tProdutos[Produto],0)),"produto não cadastrado")</f>
        <v>DISPUTADO</v>
      </c>
      <c r="K4843" s="12">
        <f>tItens[[#This Row],[Qtd]]*tItens[[#This Row],[Vlr unit]]</f>
        <v>30525.000000000004</v>
      </c>
      <c r="L4843" s="6">
        <f>IFERROR(IF(INDEX(tProdutos[Desconto homologado],MATCH(tItens[[#This Row],[Produto]],tProdutos[Produto],0))="",DescontoPadrao,INDEX(tProdutos[Desconto homologado],MATCH(tItens[[#This Row],[Produto]],tProdutos[Produto],0))),DescontoPadrao)</f>
        <v>0.42461538461538501</v>
      </c>
      <c r="M4843" s="12">
        <f>tItens[[#This Row],[Valor]]*(1-tItens[[#This Row],[Desconto]])</f>
        <v>17563.615384615372</v>
      </c>
      <c r="N4843" t="str">
        <f>IFERROR(INDEX(tProdutos[Foco],MATCH(tItens[[#This Row],[Produto]],tProdutos[Produto],0)),"Não")</f>
        <v>Não</v>
      </c>
      <c r="O4843" t="str">
        <f>IFERROR(INDEX(tEditais[SRP],MATCH(tItens[[#This Row],[Edital]],tEditais[Edital],0)),"Não")</f>
        <v>Sim</v>
      </c>
      <c r="P4843" s="4">
        <f>IF(COUNTIFS(INDEX(tItens[Edital],1):tItens[[#This Row],[Edital]],tItens[[#This Row],[Edital]],INDEX(tItens[Produto],1):tItens[[#This Row],[Produto]],tItens[[#This Row],[Produto]])=1,1,0)</f>
        <v>1</v>
      </c>
    </row>
    <row r="4844" spans="1:16" x14ac:dyDescent="0.25">
      <c r="A4844" t="s">
        <v>1906</v>
      </c>
      <c r="B4844">
        <v>20</v>
      </c>
      <c r="C4844" t="s">
        <v>7668</v>
      </c>
      <c r="D4844" t="s">
        <v>289</v>
      </c>
      <c r="E4844" s="13">
        <v>30400</v>
      </c>
      <c r="F4844" s="12">
        <v>0.78</v>
      </c>
      <c r="G4844" t="str">
        <f>IFERROR(INDEX(tEditais[Órgão],MATCH(tItens[[#This Row],[Edital]],tEditais[Edital],0)),"")</f>
        <v>MUNICIPIO DE JABOATAO DOS GUARARAPES</v>
      </c>
      <c r="H4844" t="str">
        <f>IFERROR(INDEX(tEditais[UF],MATCH(tItens[[#This Row],[Edital]],tEditais[Edital],0)),"")</f>
        <v>PE</v>
      </c>
      <c r="I4844" s="11">
        <f>IFERROR(INDEX(tEditais[Encerramento],MATCH(tItens[[#This Row],[Edital]],tEditais[Edital],0)),"")</f>
        <v>46309.416666666664</v>
      </c>
      <c r="J4844" t="str">
        <f>IFERROR(INDEX(tProdutos[Classe],MATCH(tItens[[#This Row],[Produto]],tProdutos[Produto],0)),"produto não cadastrado")</f>
        <v>DISPUTADO</v>
      </c>
      <c r="K4844" s="12">
        <f>tItens[[#This Row],[Qtd]]*tItens[[#This Row],[Vlr unit]]</f>
        <v>23712</v>
      </c>
      <c r="L4844" s="6">
        <f>IFERROR(IF(INDEX(tProdutos[Desconto homologado],MATCH(tItens[[#This Row],[Produto]],tProdutos[Produto],0))="",DescontoPadrao,INDEX(tProdutos[Desconto homologado],MATCH(tItens[[#This Row],[Produto]],tProdutos[Produto],0))),DescontoPadrao)</f>
        <v>0.35849056603773599</v>
      </c>
      <c r="M4844" s="12">
        <f>tItens[[#This Row],[Valor]]*(1-tItens[[#This Row],[Desconto]])</f>
        <v>15211.471698113204</v>
      </c>
      <c r="N4844" t="str">
        <f>IFERROR(INDEX(tProdutos[Foco],MATCH(tItens[[#This Row],[Produto]],tProdutos[Produto],0)),"Não")</f>
        <v>Não</v>
      </c>
      <c r="O4844" t="str">
        <f>IFERROR(INDEX(tEditais[SRP],MATCH(tItens[[#This Row],[Edital]],tEditais[Edital],0)),"Não")</f>
        <v>Sim</v>
      </c>
      <c r="P4844" s="4">
        <f>IF(COUNTIFS(INDEX(tItens[Edital],1):tItens[[#This Row],[Edital]],tItens[[#This Row],[Edital]],INDEX(tItens[Produto],1):tItens[[#This Row],[Produto]],tItens[[#This Row],[Produto]])=1,1,0)</f>
        <v>1</v>
      </c>
    </row>
    <row r="4845" spans="1:16" x14ac:dyDescent="0.25">
      <c r="A4845" t="s">
        <v>1911</v>
      </c>
      <c r="B4845">
        <v>1</v>
      </c>
      <c r="C4845" t="s">
        <v>7669</v>
      </c>
      <c r="D4845" t="s">
        <v>213</v>
      </c>
      <c r="E4845" s="13">
        <v>60</v>
      </c>
      <c r="F4845" s="12">
        <v>13.76</v>
      </c>
      <c r="G4845" t="str">
        <f>IFERROR(INDEX(tEditais[Órgão],MATCH(tItens[[#This Row],[Edital]],tEditais[Edital],0)),"")</f>
        <v>FUNDO MUNICIPAL DE SAUDE</v>
      </c>
      <c r="H4845" t="str">
        <f>IFERROR(INDEX(tEditais[UF],MATCH(tItens[[#This Row],[Edital]],tEditais[Edital],0)),"")</f>
        <v>PE</v>
      </c>
      <c r="I4845" s="11">
        <f>IFERROR(INDEX(tEditais[Encerramento],MATCH(tItens[[#This Row],[Edital]],tEditais[Edital],0)),"")</f>
        <v>46310.333333333336</v>
      </c>
      <c r="J4845" t="str">
        <f>IFERROR(INDEX(tProdutos[Classe],MATCH(tItens[[#This Row],[Produto]],tProdutos[Produto],0)),"produto não cadastrado")</f>
        <v>DISPUTADO</v>
      </c>
      <c r="K4845" s="12">
        <f>tItens[[#This Row],[Qtd]]*tItens[[#This Row],[Vlr unit]]</f>
        <v>825.6</v>
      </c>
      <c r="L4845" s="6">
        <f>IFERROR(IF(INDEX(tProdutos[Desconto homologado],MATCH(tItens[[#This Row],[Produto]],tProdutos[Produto],0))="",DescontoPadrao,INDEX(tProdutos[Desconto homologado],MATCH(tItens[[#This Row],[Produto]],tProdutos[Produto],0))),DescontoPadrao)</f>
        <v>0.35909822866344598</v>
      </c>
      <c r="M4845" s="12">
        <f>tItens[[#This Row],[Valor]]*(1-tItens[[#This Row],[Desconto]])</f>
        <v>529.12850241545902</v>
      </c>
      <c r="N4845" t="str">
        <f>IFERROR(INDEX(tProdutos[Foco],MATCH(tItens[[#This Row],[Produto]],tProdutos[Produto],0)),"Não")</f>
        <v>Não</v>
      </c>
      <c r="O4845" t="str">
        <f>IFERROR(INDEX(tEditais[SRP],MATCH(tItens[[#This Row],[Edital]],tEditais[Edital],0)),"Não")</f>
        <v>Sim</v>
      </c>
      <c r="P4845" s="4">
        <f>IF(COUNTIFS(INDEX(tItens[Edital],1):tItens[[#This Row],[Edital]],tItens[[#This Row],[Edital]],INDEX(tItens[Produto],1):tItens[[#This Row],[Produto]],tItens[[#This Row],[Produto]])=1,1,0)</f>
        <v>1</v>
      </c>
    </row>
    <row r="4846" spans="1:16" x14ac:dyDescent="0.25">
      <c r="A4846" t="s">
        <v>1911</v>
      </c>
      <c r="B4846">
        <v>8</v>
      </c>
      <c r="C4846" t="s">
        <v>7670</v>
      </c>
      <c r="D4846" t="s">
        <v>245</v>
      </c>
      <c r="E4846" s="13">
        <v>15</v>
      </c>
      <c r="F4846" s="12">
        <v>92.44</v>
      </c>
      <c r="G4846" t="str">
        <f>IFERROR(INDEX(tEditais[Órgão],MATCH(tItens[[#This Row],[Edital]],tEditais[Edital],0)),"")</f>
        <v>FUNDO MUNICIPAL DE SAUDE</v>
      </c>
      <c r="H4846" t="str">
        <f>IFERROR(INDEX(tEditais[UF],MATCH(tItens[[#This Row],[Edital]],tEditais[Edital],0)),"")</f>
        <v>PE</v>
      </c>
      <c r="I4846" s="11">
        <f>IFERROR(INDEX(tEditais[Encerramento],MATCH(tItens[[#This Row],[Edital]],tEditais[Edital],0)),"")</f>
        <v>46310.333333333336</v>
      </c>
      <c r="J4846" t="str">
        <f>IFERROR(INDEX(tProdutos[Classe],MATCH(tItens[[#This Row],[Produto]],tProdutos[Produto],0)),"produto não cadastrado")</f>
        <v>FORA</v>
      </c>
      <c r="K4846" s="12">
        <f>tItens[[#This Row],[Qtd]]*tItens[[#This Row],[Vlr unit]]</f>
        <v>1386.6</v>
      </c>
      <c r="L4846" s="6">
        <f>IFERROR(IF(INDEX(tProdutos[Desconto homologado],MATCH(tItens[[#This Row],[Produto]],tProdutos[Produto],0))="",DescontoPadrao,INDEX(tProdutos[Desconto homologado],MATCH(tItens[[#This Row],[Produto]],tProdutos[Produto],0))),DescontoPadrao)</f>
        <v>0.34516963542284401</v>
      </c>
      <c r="M4846" s="12">
        <f>tItens[[#This Row],[Valor]]*(1-tItens[[#This Row],[Desconto]])</f>
        <v>907.98778352268448</v>
      </c>
      <c r="N4846" t="str">
        <f>IFERROR(INDEX(tProdutos[Foco],MATCH(tItens[[#This Row],[Produto]],tProdutos[Produto],0)),"Não")</f>
        <v>Não</v>
      </c>
      <c r="O4846" t="str">
        <f>IFERROR(INDEX(tEditais[SRP],MATCH(tItens[[#This Row],[Edital]],tEditais[Edital],0)),"Não")</f>
        <v>Sim</v>
      </c>
      <c r="P4846" s="4">
        <f>IF(COUNTIFS(INDEX(tItens[Edital],1):tItens[[#This Row],[Edital]],tItens[[#This Row],[Edital]],INDEX(tItens[Produto],1):tItens[[#This Row],[Produto]],tItens[[#This Row],[Produto]])=1,1,0)</f>
        <v>1</v>
      </c>
    </row>
    <row r="4847" spans="1:16" x14ac:dyDescent="0.25">
      <c r="A4847" t="s">
        <v>1911</v>
      </c>
      <c r="B4847">
        <v>9</v>
      </c>
      <c r="C4847" t="s">
        <v>7671</v>
      </c>
      <c r="D4847" t="s">
        <v>69</v>
      </c>
      <c r="E4847" s="13">
        <v>200</v>
      </c>
      <c r="F4847" s="12">
        <v>0.7</v>
      </c>
      <c r="G4847" t="str">
        <f>IFERROR(INDEX(tEditais[Órgão],MATCH(tItens[[#This Row],[Edital]],tEditais[Edital],0)),"")</f>
        <v>FUNDO MUNICIPAL DE SAUDE</v>
      </c>
      <c r="H4847" t="str">
        <f>IFERROR(INDEX(tEditais[UF],MATCH(tItens[[#This Row],[Edital]],tEditais[Edital],0)),"")</f>
        <v>PE</v>
      </c>
      <c r="I4847" s="11">
        <f>IFERROR(INDEX(tEditais[Encerramento],MATCH(tItens[[#This Row],[Edital]],tEditais[Edital],0)),"")</f>
        <v>46310.333333333336</v>
      </c>
      <c r="J4847" t="str">
        <f>IFERROR(INDEX(tProdutos[Classe],MATCH(tItens[[#This Row],[Produto]],tProdutos[Produto],0)),"produto não cadastrado")</f>
        <v>NÚCLEO</v>
      </c>
      <c r="K4847" s="12">
        <f>tItens[[#This Row],[Qtd]]*tItens[[#This Row],[Vlr unit]]</f>
        <v>140</v>
      </c>
      <c r="L4847" s="6">
        <f>IFERROR(IF(INDEX(tProdutos[Desconto homologado],MATCH(tItens[[#This Row],[Produto]],tProdutos[Produto],0))="",DescontoPadrao,INDEX(tProdutos[Desconto homologado],MATCH(tItens[[#This Row],[Produto]],tProdutos[Produto],0))),DescontoPadrao)</f>
        <v>0.38829259638568803</v>
      </c>
      <c r="M4847" s="12">
        <f>tItens[[#This Row],[Valor]]*(1-tItens[[#This Row],[Desconto]])</f>
        <v>85.639036506003677</v>
      </c>
      <c r="N4847" t="str">
        <f>IFERROR(INDEX(tProdutos[Foco],MATCH(tItens[[#This Row],[Produto]],tProdutos[Produto],0)),"Não")</f>
        <v>Não</v>
      </c>
      <c r="O4847" t="str">
        <f>IFERROR(INDEX(tEditais[SRP],MATCH(tItens[[#This Row],[Edital]],tEditais[Edital],0)),"Não")</f>
        <v>Sim</v>
      </c>
      <c r="P4847" s="4">
        <f>IF(COUNTIFS(INDEX(tItens[Edital],1):tItens[[#This Row],[Edital]],tItens[[#This Row],[Edital]],INDEX(tItens[Produto],1):tItens[[#This Row],[Produto]],tItens[[#This Row],[Produto]])=1,1,0)</f>
        <v>1</v>
      </c>
    </row>
    <row r="4848" spans="1:16" x14ac:dyDescent="0.25">
      <c r="A4848" t="s">
        <v>1911</v>
      </c>
      <c r="B4848">
        <v>10</v>
      </c>
      <c r="C4848" t="s">
        <v>7672</v>
      </c>
      <c r="D4848" t="s">
        <v>69</v>
      </c>
      <c r="E4848" s="13">
        <v>500</v>
      </c>
      <c r="F4848" s="12">
        <v>0.82</v>
      </c>
      <c r="G4848" t="str">
        <f>IFERROR(INDEX(tEditais[Órgão],MATCH(tItens[[#This Row],[Edital]],tEditais[Edital],0)),"")</f>
        <v>FUNDO MUNICIPAL DE SAUDE</v>
      </c>
      <c r="H4848" t="str">
        <f>IFERROR(INDEX(tEditais[UF],MATCH(tItens[[#This Row],[Edital]],tEditais[Edital],0)),"")</f>
        <v>PE</v>
      </c>
      <c r="I4848" s="11">
        <f>IFERROR(INDEX(tEditais[Encerramento],MATCH(tItens[[#This Row],[Edital]],tEditais[Edital],0)),"")</f>
        <v>46310.333333333336</v>
      </c>
      <c r="J4848" t="str">
        <f>IFERROR(INDEX(tProdutos[Classe],MATCH(tItens[[#This Row],[Produto]],tProdutos[Produto],0)),"produto não cadastrado")</f>
        <v>NÚCLEO</v>
      </c>
      <c r="K4848" s="12">
        <f>tItens[[#This Row],[Qtd]]*tItens[[#This Row],[Vlr unit]]</f>
        <v>410</v>
      </c>
      <c r="L4848" s="6">
        <f>IFERROR(IF(INDEX(tProdutos[Desconto homologado],MATCH(tItens[[#This Row],[Produto]],tProdutos[Produto],0))="",DescontoPadrao,INDEX(tProdutos[Desconto homologado],MATCH(tItens[[#This Row],[Produto]],tProdutos[Produto],0))),DescontoPadrao)</f>
        <v>0.38829259638568803</v>
      </c>
      <c r="M4848" s="12">
        <f>tItens[[#This Row],[Valor]]*(1-tItens[[#This Row],[Desconto]])</f>
        <v>250.80003548186792</v>
      </c>
      <c r="N4848" t="str">
        <f>IFERROR(INDEX(tProdutos[Foco],MATCH(tItens[[#This Row],[Produto]],tProdutos[Produto],0)),"Não")</f>
        <v>Não</v>
      </c>
      <c r="O4848" t="str">
        <f>IFERROR(INDEX(tEditais[SRP],MATCH(tItens[[#This Row],[Edital]],tEditais[Edital],0)),"Não")</f>
        <v>Sim</v>
      </c>
      <c r="P4848" s="4">
        <f>IF(COUNTIFS(INDEX(tItens[Edital],1):tItens[[#This Row],[Edital]],tItens[[#This Row],[Edital]],INDEX(tItens[Produto],1):tItens[[#This Row],[Produto]],tItens[[#This Row],[Produto]])=1,1,0)</f>
        <v>0</v>
      </c>
    </row>
    <row r="4849" spans="1:16" x14ac:dyDescent="0.25">
      <c r="A4849" t="s">
        <v>1911</v>
      </c>
      <c r="B4849">
        <v>11</v>
      </c>
      <c r="C4849" t="s">
        <v>7673</v>
      </c>
      <c r="D4849" t="s">
        <v>69</v>
      </c>
      <c r="E4849" s="13">
        <v>200</v>
      </c>
      <c r="F4849" s="12">
        <v>0.94</v>
      </c>
      <c r="G4849" t="str">
        <f>IFERROR(INDEX(tEditais[Órgão],MATCH(tItens[[#This Row],[Edital]],tEditais[Edital],0)),"")</f>
        <v>FUNDO MUNICIPAL DE SAUDE</v>
      </c>
      <c r="H4849" t="str">
        <f>IFERROR(INDEX(tEditais[UF],MATCH(tItens[[#This Row],[Edital]],tEditais[Edital],0)),"")</f>
        <v>PE</v>
      </c>
      <c r="I4849" s="11">
        <f>IFERROR(INDEX(tEditais[Encerramento],MATCH(tItens[[#This Row],[Edital]],tEditais[Edital],0)),"")</f>
        <v>46310.333333333336</v>
      </c>
      <c r="J4849" t="str">
        <f>IFERROR(INDEX(tProdutos[Classe],MATCH(tItens[[#This Row],[Produto]],tProdutos[Produto],0)),"produto não cadastrado")</f>
        <v>NÚCLEO</v>
      </c>
      <c r="K4849" s="12">
        <f>tItens[[#This Row],[Qtd]]*tItens[[#This Row],[Vlr unit]]</f>
        <v>188</v>
      </c>
      <c r="L4849" s="6">
        <f>IFERROR(IF(INDEX(tProdutos[Desconto homologado],MATCH(tItens[[#This Row],[Produto]],tProdutos[Produto],0))="",DescontoPadrao,INDEX(tProdutos[Desconto homologado],MATCH(tItens[[#This Row],[Produto]],tProdutos[Produto],0))),DescontoPadrao)</f>
        <v>0.38829259638568803</v>
      </c>
      <c r="M4849" s="12">
        <f>tItens[[#This Row],[Valor]]*(1-tItens[[#This Row],[Desconto]])</f>
        <v>115.00099187949066</v>
      </c>
      <c r="N4849" t="str">
        <f>IFERROR(INDEX(tProdutos[Foco],MATCH(tItens[[#This Row],[Produto]],tProdutos[Produto],0)),"Não")</f>
        <v>Não</v>
      </c>
      <c r="O4849" t="str">
        <f>IFERROR(INDEX(tEditais[SRP],MATCH(tItens[[#This Row],[Edital]],tEditais[Edital],0)),"Não")</f>
        <v>Sim</v>
      </c>
      <c r="P4849" s="4">
        <f>IF(COUNTIFS(INDEX(tItens[Edital],1):tItens[[#This Row],[Edital]],tItens[[#This Row],[Edital]],INDEX(tItens[Produto],1):tItens[[#This Row],[Produto]],tItens[[#This Row],[Produto]])=1,1,0)</f>
        <v>0</v>
      </c>
    </row>
    <row r="4850" spans="1:16" x14ac:dyDescent="0.25">
      <c r="A4850" t="s">
        <v>1911</v>
      </c>
      <c r="B4850">
        <v>12</v>
      </c>
      <c r="C4850" t="s">
        <v>7674</v>
      </c>
      <c r="D4850" t="s">
        <v>69</v>
      </c>
      <c r="E4850" s="13">
        <v>200</v>
      </c>
      <c r="F4850" s="12">
        <v>0.93</v>
      </c>
      <c r="G4850" t="str">
        <f>IFERROR(INDEX(tEditais[Órgão],MATCH(tItens[[#This Row],[Edital]],tEditais[Edital],0)),"")</f>
        <v>FUNDO MUNICIPAL DE SAUDE</v>
      </c>
      <c r="H4850" t="str">
        <f>IFERROR(INDEX(tEditais[UF],MATCH(tItens[[#This Row],[Edital]],tEditais[Edital],0)),"")</f>
        <v>PE</v>
      </c>
      <c r="I4850" s="11">
        <f>IFERROR(INDEX(tEditais[Encerramento],MATCH(tItens[[#This Row],[Edital]],tEditais[Edital],0)),"")</f>
        <v>46310.333333333336</v>
      </c>
      <c r="J4850" t="str">
        <f>IFERROR(INDEX(tProdutos[Classe],MATCH(tItens[[#This Row],[Produto]],tProdutos[Produto],0)),"produto não cadastrado")</f>
        <v>NÚCLEO</v>
      </c>
      <c r="K4850" s="12">
        <f>tItens[[#This Row],[Qtd]]*tItens[[#This Row],[Vlr unit]]</f>
        <v>186</v>
      </c>
      <c r="L4850" s="6">
        <f>IFERROR(IF(INDEX(tProdutos[Desconto homologado],MATCH(tItens[[#This Row],[Produto]],tProdutos[Produto],0))="",DescontoPadrao,INDEX(tProdutos[Desconto homologado],MATCH(tItens[[#This Row],[Produto]],tProdutos[Produto],0))),DescontoPadrao)</f>
        <v>0.38829259638568803</v>
      </c>
      <c r="M4850" s="12">
        <f>tItens[[#This Row],[Valor]]*(1-tItens[[#This Row],[Desconto]])</f>
        <v>113.77757707226203</v>
      </c>
      <c r="N4850" t="str">
        <f>IFERROR(INDEX(tProdutos[Foco],MATCH(tItens[[#This Row],[Produto]],tProdutos[Produto],0)),"Não")</f>
        <v>Não</v>
      </c>
      <c r="O4850" t="str">
        <f>IFERROR(INDEX(tEditais[SRP],MATCH(tItens[[#This Row],[Edital]],tEditais[Edital],0)),"Não")</f>
        <v>Sim</v>
      </c>
      <c r="P4850" s="4">
        <f>IF(COUNTIFS(INDEX(tItens[Edital],1):tItens[[#This Row],[Edital]],tItens[[#This Row],[Edital]],INDEX(tItens[Produto],1):tItens[[#This Row],[Produto]],tItens[[#This Row],[Produto]])=1,1,0)</f>
        <v>0</v>
      </c>
    </row>
    <row r="4851" spans="1:16" x14ac:dyDescent="0.25">
      <c r="A4851" t="s">
        <v>1911</v>
      </c>
      <c r="B4851">
        <v>13</v>
      </c>
      <c r="C4851" t="s">
        <v>7675</v>
      </c>
      <c r="D4851" t="s">
        <v>69</v>
      </c>
      <c r="E4851" s="13">
        <v>200</v>
      </c>
      <c r="F4851" s="12">
        <v>1.44</v>
      </c>
      <c r="G4851" t="str">
        <f>IFERROR(INDEX(tEditais[Órgão],MATCH(tItens[[#This Row],[Edital]],tEditais[Edital],0)),"")</f>
        <v>FUNDO MUNICIPAL DE SAUDE</v>
      </c>
      <c r="H4851" t="str">
        <f>IFERROR(INDEX(tEditais[UF],MATCH(tItens[[#This Row],[Edital]],tEditais[Edital],0)),"")</f>
        <v>PE</v>
      </c>
      <c r="I4851" s="11">
        <f>IFERROR(INDEX(tEditais[Encerramento],MATCH(tItens[[#This Row],[Edital]],tEditais[Edital],0)),"")</f>
        <v>46310.333333333336</v>
      </c>
      <c r="J4851" t="str">
        <f>IFERROR(INDEX(tProdutos[Classe],MATCH(tItens[[#This Row],[Produto]],tProdutos[Produto],0)),"produto não cadastrado")</f>
        <v>NÚCLEO</v>
      </c>
      <c r="K4851" s="12">
        <f>tItens[[#This Row],[Qtd]]*tItens[[#This Row],[Vlr unit]]</f>
        <v>288</v>
      </c>
      <c r="L4851" s="6">
        <f>IFERROR(IF(INDEX(tProdutos[Desconto homologado],MATCH(tItens[[#This Row],[Produto]],tProdutos[Produto],0))="",DescontoPadrao,INDEX(tProdutos[Desconto homologado],MATCH(tItens[[#This Row],[Produto]],tProdutos[Produto],0))),DescontoPadrao)</f>
        <v>0.38829259638568803</v>
      </c>
      <c r="M4851" s="12">
        <f>tItens[[#This Row],[Valor]]*(1-tItens[[#This Row],[Desconto]])</f>
        <v>176.17173224092184</v>
      </c>
      <c r="N4851" t="str">
        <f>IFERROR(INDEX(tProdutos[Foco],MATCH(tItens[[#This Row],[Produto]],tProdutos[Produto],0)),"Não")</f>
        <v>Não</v>
      </c>
      <c r="O4851" t="str">
        <f>IFERROR(INDEX(tEditais[SRP],MATCH(tItens[[#This Row],[Edital]],tEditais[Edital],0)),"Não")</f>
        <v>Sim</v>
      </c>
      <c r="P4851" s="4">
        <f>IF(COUNTIFS(INDEX(tItens[Edital],1):tItens[[#This Row],[Edital]],tItens[[#This Row],[Edital]],INDEX(tItens[Produto],1):tItens[[#This Row],[Produto]],tItens[[#This Row],[Produto]])=1,1,0)</f>
        <v>0</v>
      </c>
    </row>
    <row r="4852" spans="1:16" x14ac:dyDescent="0.25">
      <c r="A4852" t="s">
        <v>1911</v>
      </c>
      <c r="B4852">
        <v>19</v>
      </c>
      <c r="C4852" t="s">
        <v>7676</v>
      </c>
      <c r="D4852" t="s">
        <v>371</v>
      </c>
      <c r="E4852" s="13">
        <v>30000</v>
      </c>
      <c r="F4852" s="12">
        <v>1.05</v>
      </c>
      <c r="G4852" t="str">
        <f>IFERROR(INDEX(tEditais[Órgão],MATCH(tItens[[#This Row],[Edital]],tEditais[Edital],0)),"")</f>
        <v>FUNDO MUNICIPAL DE SAUDE</v>
      </c>
      <c r="H4852" t="str">
        <f>IFERROR(INDEX(tEditais[UF],MATCH(tItens[[#This Row],[Edital]],tEditais[Edital],0)),"")</f>
        <v>PE</v>
      </c>
      <c r="I4852" s="11">
        <f>IFERROR(INDEX(tEditais[Encerramento],MATCH(tItens[[#This Row],[Edital]],tEditais[Edital],0)),"")</f>
        <v>46310.333333333336</v>
      </c>
      <c r="J4852" t="str">
        <f>IFERROR(INDEX(tProdutos[Classe],MATCH(tItens[[#This Row],[Produto]],tProdutos[Produto],0)),"produto não cadastrado")</f>
        <v>FORA</v>
      </c>
      <c r="K4852" s="12">
        <f>tItens[[#This Row],[Qtd]]*tItens[[#This Row],[Vlr unit]]</f>
        <v>31500</v>
      </c>
      <c r="L4852" s="6">
        <f>IFERROR(IF(INDEX(tProdutos[Desconto homologado],MATCH(tItens[[#This Row],[Produto]],tProdutos[Produto],0))="",DescontoPadrao,INDEX(tProdutos[Desconto homologado],MATCH(tItens[[#This Row],[Produto]],tProdutos[Produto],0))),DescontoPadrao)</f>
        <v>0.217826086956522</v>
      </c>
      <c r="M4852" s="12">
        <f>tItens[[#This Row],[Valor]]*(1-tItens[[#This Row],[Desconto]])</f>
        <v>24638.478260869557</v>
      </c>
      <c r="N4852" t="str">
        <f>IFERROR(INDEX(tProdutos[Foco],MATCH(tItens[[#This Row],[Produto]],tProdutos[Produto],0)),"Não")</f>
        <v>Não</v>
      </c>
      <c r="O4852" t="str">
        <f>IFERROR(INDEX(tEditais[SRP],MATCH(tItens[[#This Row],[Edital]],tEditais[Edital],0)),"Não")</f>
        <v>Sim</v>
      </c>
      <c r="P4852" s="4">
        <f>IF(COUNTIFS(INDEX(tItens[Edital],1):tItens[[#This Row],[Edital]],tItens[[#This Row],[Edital]],INDEX(tItens[Produto],1):tItens[[#This Row],[Produto]],tItens[[#This Row],[Produto]])=1,1,0)</f>
        <v>1</v>
      </c>
    </row>
    <row r="4853" spans="1:16" x14ac:dyDescent="0.25">
      <c r="A4853" t="s">
        <v>1911</v>
      </c>
      <c r="B4853">
        <v>25</v>
      </c>
      <c r="C4853" t="s">
        <v>7677</v>
      </c>
      <c r="D4853" t="s">
        <v>347</v>
      </c>
      <c r="E4853" s="13">
        <v>10</v>
      </c>
      <c r="F4853" s="12">
        <v>92.27</v>
      </c>
      <c r="G4853" t="str">
        <f>IFERROR(INDEX(tEditais[Órgão],MATCH(tItens[[#This Row],[Edital]],tEditais[Edital],0)),"")</f>
        <v>FUNDO MUNICIPAL DE SAUDE</v>
      </c>
      <c r="H4853" t="str">
        <f>IFERROR(INDEX(tEditais[UF],MATCH(tItens[[#This Row],[Edital]],tEditais[Edital],0)),"")</f>
        <v>PE</v>
      </c>
      <c r="I4853" s="11">
        <f>IFERROR(INDEX(tEditais[Encerramento],MATCH(tItens[[#This Row],[Edital]],tEditais[Edital],0)),"")</f>
        <v>46310.333333333336</v>
      </c>
      <c r="J4853" t="str">
        <f>IFERROR(INDEX(tProdutos[Classe],MATCH(tItens[[#This Row],[Produto]],tProdutos[Produto],0)),"produto não cadastrado")</f>
        <v>FORA</v>
      </c>
      <c r="K4853" s="12">
        <f>tItens[[#This Row],[Qtd]]*tItens[[#This Row],[Vlr unit]]</f>
        <v>922.69999999999993</v>
      </c>
      <c r="L4853" s="6">
        <f>IFERROR(IF(INDEX(tProdutos[Desconto homologado],MATCH(tItens[[#This Row],[Produto]],tProdutos[Produto],0))="",DescontoPadrao,INDEX(tProdutos[Desconto homologado],MATCH(tItens[[#This Row],[Produto]],tProdutos[Produto],0))),DescontoPadrao)</f>
        <v>0.26356465005931201</v>
      </c>
      <c r="M4853" s="12">
        <f>tItens[[#This Row],[Valor]]*(1-tItens[[#This Row],[Desconto]])</f>
        <v>679.50889739027275</v>
      </c>
      <c r="N4853" t="str">
        <f>IFERROR(INDEX(tProdutos[Foco],MATCH(tItens[[#This Row],[Produto]],tProdutos[Produto],0)),"Não")</f>
        <v>Não</v>
      </c>
      <c r="O4853" t="str">
        <f>IFERROR(INDEX(tEditais[SRP],MATCH(tItens[[#This Row],[Edital]],tEditais[Edital],0)),"Não")</f>
        <v>Sim</v>
      </c>
      <c r="P4853" s="4">
        <f>IF(COUNTIFS(INDEX(tItens[Edital],1):tItens[[#This Row],[Edital]],tItens[[#This Row],[Edital]],INDEX(tItens[Produto],1):tItens[[#This Row],[Produto]],tItens[[#This Row],[Produto]])=1,1,0)</f>
        <v>1</v>
      </c>
    </row>
    <row r="4854" spans="1:16" x14ac:dyDescent="0.25">
      <c r="A4854" t="s">
        <v>1911</v>
      </c>
      <c r="B4854">
        <v>26</v>
      </c>
      <c r="C4854" t="s">
        <v>7678</v>
      </c>
      <c r="D4854" t="s">
        <v>347</v>
      </c>
      <c r="E4854" s="13">
        <v>5</v>
      </c>
      <c r="F4854" s="12">
        <v>16.13</v>
      </c>
      <c r="G4854" t="str">
        <f>IFERROR(INDEX(tEditais[Órgão],MATCH(tItens[[#This Row],[Edital]],tEditais[Edital],0)),"")</f>
        <v>FUNDO MUNICIPAL DE SAUDE</v>
      </c>
      <c r="H4854" t="str">
        <f>IFERROR(INDEX(tEditais[UF],MATCH(tItens[[#This Row],[Edital]],tEditais[Edital],0)),"")</f>
        <v>PE</v>
      </c>
      <c r="I4854" s="11">
        <f>IFERROR(INDEX(tEditais[Encerramento],MATCH(tItens[[#This Row],[Edital]],tEditais[Edital],0)),"")</f>
        <v>46310.333333333336</v>
      </c>
      <c r="J4854" t="str">
        <f>IFERROR(INDEX(tProdutos[Classe],MATCH(tItens[[#This Row],[Produto]],tProdutos[Produto],0)),"produto não cadastrado")</f>
        <v>FORA</v>
      </c>
      <c r="K4854" s="12">
        <f>tItens[[#This Row],[Qtd]]*tItens[[#This Row],[Vlr unit]]</f>
        <v>80.649999999999991</v>
      </c>
      <c r="L4854" s="6">
        <f>IFERROR(IF(INDEX(tProdutos[Desconto homologado],MATCH(tItens[[#This Row],[Produto]],tProdutos[Produto],0))="",DescontoPadrao,INDEX(tProdutos[Desconto homologado],MATCH(tItens[[#This Row],[Produto]],tProdutos[Produto],0))),DescontoPadrao)</f>
        <v>0.26356465005931201</v>
      </c>
      <c r="M4854" s="12">
        <f>tItens[[#This Row],[Valor]]*(1-tItens[[#This Row],[Desconto]])</f>
        <v>59.393510972716477</v>
      </c>
      <c r="N4854" t="str">
        <f>IFERROR(INDEX(tProdutos[Foco],MATCH(tItens[[#This Row],[Produto]],tProdutos[Produto],0)),"Não")</f>
        <v>Não</v>
      </c>
      <c r="O4854" t="str">
        <f>IFERROR(INDEX(tEditais[SRP],MATCH(tItens[[#This Row],[Edital]],tEditais[Edital],0)),"Não")</f>
        <v>Sim</v>
      </c>
      <c r="P4854" s="4">
        <f>IF(COUNTIFS(INDEX(tItens[Edital],1):tItens[[#This Row],[Edital]],tItens[[#This Row],[Edital]],INDEX(tItens[Produto],1):tItens[[#This Row],[Produto]],tItens[[#This Row],[Produto]])=1,1,0)</f>
        <v>0</v>
      </c>
    </row>
    <row r="4855" spans="1:16" x14ac:dyDescent="0.25">
      <c r="A4855" t="s">
        <v>1911</v>
      </c>
      <c r="B4855">
        <v>27</v>
      </c>
      <c r="C4855" t="s">
        <v>7679</v>
      </c>
      <c r="D4855" t="s">
        <v>347</v>
      </c>
      <c r="E4855" s="13">
        <v>30</v>
      </c>
      <c r="F4855" s="12">
        <v>3.45</v>
      </c>
      <c r="G4855" t="str">
        <f>IFERROR(INDEX(tEditais[Órgão],MATCH(tItens[[#This Row],[Edital]],tEditais[Edital],0)),"")</f>
        <v>FUNDO MUNICIPAL DE SAUDE</v>
      </c>
      <c r="H4855" t="str">
        <f>IFERROR(INDEX(tEditais[UF],MATCH(tItens[[#This Row],[Edital]],tEditais[Edital],0)),"")</f>
        <v>PE</v>
      </c>
      <c r="I4855" s="11">
        <f>IFERROR(INDEX(tEditais[Encerramento],MATCH(tItens[[#This Row],[Edital]],tEditais[Edital],0)),"")</f>
        <v>46310.333333333336</v>
      </c>
      <c r="J4855" t="str">
        <f>IFERROR(INDEX(tProdutos[Classe],MATCH(tItens[[#This Row],[Produto]],tProdutos[Produto],0)),"produto não cadastrado")</f>
        <v>FORA</v>
      </c>
      <c r="K4855" s="12">
        <f>tItens[[#This Row],[Qtd]]*tItens[[#This Row],[Vlr unit]]</f>
        <v>103.5</v>
      </c>
      <c r="L4855" s="6">
        <f>IFERROR(IF(INDEX(tProdutos[Desconto homologado],MATCH(tItens[[#This Row],[Produto]],tProdutos[Produto],0))="",DescontoPadrao,INDEX(tProdutos[Desconto homologado],MATCH(tItens[[#This Row],[Produto]],tProdutos[Produto],0))),DescontoPadrao)</f>
        <v>0.26356465005931201</v>
      </c>
      <c r="M4855" s="12">
        <f>tItens[[#This Row],[Valor]]*(1-tItens[[#This Row],[Desconto]])</f>
        <v>76.221058718861201</v>
      </c>
      <c r="N4855" t="str">
        <f>IFERROR(INDEX(tProdutos[Foco],MATCH(tItens[[#This Row],[Produto]],tProdutos[Produto],0)),"Não")</f>
        <v>Não</v>
      </c>
      <c r="O4855" t="str">
        <f>IFERROR(INDEX(tEditais[SRP],MATCH(tItens[[#This Row],[Edital]],tEditais[Edital],0)),"Não")</f>
        <v>Sim</v>
      </c>
      <c r="P4855" s="4">
        <f>IF(COUNTIFS(INDEX(tItens[Edital],1):tItens[[#This Row],[Edital]],tItens[[#This Row],[Edital]],INDEX(tItens[Produto],1):tItens[[#This Row],[Produto]],tItens[[#This Row],[Produto]])=1,1,0)</f>
        <v>0</v>
      </c>
    </row>
    <row r="4856" spans="1:16" x14ac:dyDescent="0.25">
      <c r="A4856" t="s">
        <v>1911</v>
      </c>
      <c r="B4856">
        <v>28</v>
      </c>
      <c r="C4856" t="s">
        <v>7680</v>
      </c>
      <c r="D4856" t="s">
        <v>347</v>
      </c>
      <c r="E4856" s="13">
        <v>30</v>
      </c>
      <c r="F4856" s="12">
        <v>3.65</v>
      </c>
      <c r="G4856" t="str">
        <f>IFERROR(INDEX(tEditais[Órgão],MATCH(tItens[[#This Row],[Edital]],tEditais[Edital],0)),"")</f>
        <v>FUNDO MUNICIPAL DE SAUDE</v>
      </c>
      <c r="H4856" t="str">
        <f>IFERROR(INDEX(tEditais[UF],MATCH(tItens[[#This Row],[Edital]],tEditais[Edital],0)),"")</f>
        <v>PE</v>
      </c>
      <c r="I4856" s="11">
        <f>IFERROR(INDEX(tEditais[Encerramento],MATCH(tItens[[#This Row],[Edital]],tEditais[Edital],0)),"")</f>
        <v>46310.333333333336</v>
      </c>
      <c r="J4856" t="str">
        <f>IFERROR(INDEX(tProdutos[Classe],MATCH(tItens[[#This Row],[Produto]],tProdutos[Produto],0)),"produto não cadastrado")</f>
        <v>FORA</v>
      </c>
      <c r="K4856" s="12">
        <f>tItens[[#This Row],[Qtd]]*tItens[[#This Row],[Vlr unit]]</f>
        <v>109.5</v>
      </c>
      <c r="L4856" s="6">
        <f>IFERROR(IF(INDEX(tProdutos[Desconto homologado],MATCH(tItens[[#This Row],[Produto]],tProdutos[Produto],0))="",DescontoPadrao,INDEX(tProdutos[Desconto homologado],MATCH(tItens[[#This Row],[Produto]],tProdutos[Produto],0))),DescontoPadrao)</f>
        <v>0.26356465005931201</v>
      </c>
      <c r="M4856" s="12">
        <f>tItens[[#This Row],[Valor]]*(1-tItens[[#This Row],[Desconto]])</f>
        <v>80.639670818505323</v>
      </c>
      <c r="N4856" t="str">
        <f>IFERROR(INDEX(tProdutos[Foco],MATCH(tItens[[#This Row],[Produto]],tProdutos[Produto],0)),"Não")</f>
        <v>Não</v>
      </c>
      <c r="O4856" t="str">
        <f>IFERROR(INDEX(tEditais[SRP],MATCH(tItens[[#This Row],[Edital]],tEditais[Edital],0)),"Não")</f>
        <v>Sim</v>
      </c>
      <c r="P4856" s="4">
        <f>IF(COUNTIFS(INDEX(tItens[Edital],1):tItens[[#This Row],[Edital]],tItens[[#This Row],[Edital]],INDEX(tItens[Produto],1):tItens[[#This Row],[Produto]],tItens[[#This Row],[Produto]])=1,1,0)</f>
        <v>0</v>
      </c>
    </row>
    <row r="4857" spans="1:16" x14ac:dyDescent="0.25">
      <c r="A4857" t="s">
        <v>1911</v>
      </c>
      <c r="B4857">
        <v>29</v>
      </c>
      <c r="C4857" t="s">
        <v>7681</v>
      </c>
      <c r="D4857" t="s">
        <v>347</v>
      </c>
      <c r="E4857" s="13">
        <v>5</v>
      </c>
      <c r="F4857" s="12">
        <v>29.88</v>
      </c>
      <c r="G4857" t="str">
        <f>IFERROR(INDEX(tEditais[Órgão],MATCH(tItens[[#This Row],[Edital]],tEditais[Edital],0)),"")</f>
        <v>FUNDO MUNICIPAL DE SAUDE</v>
      </c>
      <c r="H4857" t="str">
        <f>IFERROR(INDEX(tEditais[UF],MATCH(tItens[[#This Row],[Edital]],tEditais[Edital],0)),"")</f>
        <v>PE</v>
      </c>
      <c r="I4857" s="11">
        <f>IFERROR(INDEX(tEditais[Encerramento],MATCH(tItens[[#This Row],[Edital]],tEditais[Edital],0)),"")</f>
        <v>46310.333333333336</v>
      </c>
      <c r="J4857" t="str">
        <f>IFERROR(INDEX(tProdutos[Classe],MATCH(tItens[[#This Row],[Produto]],tProdutos[Produto],0)),"produto não cadastrado")</f>
        <v>FORA</v>
      </c>
      <c r="K4857" s="12">
        <f>tItens[[#This Row],[Qtd]]*tItens[[#This Row],[Vlr unit]]</f>
        <v>149.4</v>
      </c>
      <c r="L4857" s="6">
        <f>IFERROR(IF(INDEX(tProdutos[Desconto homologado],MATCH(tItens[[#This Row],[Produto]],tProdutos[Produto],0))="",DescontoPadrao,INDEX(tProdutos[Desconto homologado],MATCH(tItens[[#This Row],[Produto]],tProdutos[Produto],0))),DescontoPadrao)</f>
        <v>0.26356465005931201</v>
      </c>
      <c r="M4857" s="12">
        <f>tItens[[#This Row],[Valor]]*(1-tItens[[#This Row],[Desconto]])</f>
        <v>110.02344128113879</v>
      </c>
      <c r="N4857" t="str">
        <f>IFERROR(INDEX(tProdutos[Foco],MATCH(tItens[[#This Row],[Produto]],tProdutos[Produto],0)),"Não")</f>
        <v>Não</v>
      </c>
      <c r="O4857" t="str">
        <f>IFERROR(INDEX(tEditais[SRP],MATCH(tItens[[#This Row],[Edital]],tEditais[Edital],0)),"Não")</f>
        <v>Sim</v>
      </c>
      <c r="P4857" s="4">
        <f>IF(COUNTIFS(INDEX(tItens[Edital],1):tItens[[#This Row],[Edital]],tItens[[#This Row],[Edital]],INDEX(tItens[Produto],1):tItens[[#This Row],[Produto]],tItens[[#This Row],[Produto]])=1,1,0)</f>
        <v>0</v>
      </c>
    </row>
    <row r="4858" spans="1:16" x14ac:dyDescent="0.25">
      <c r="A4858" t="s">
        <v>1911</v>
      </c>
      <c r="B4858">
        <v>30</v>
      </c>
      <c r="C4858" t="s">
        <v>7682</v>
      </c>
      <c r="D4858" t="s">
        <v>347</v>
      </c>
      <c r="E4858" s="13">
        <v>5</v>
      </c>
      <c r="F4858" s="12">
        <v>30.92</v>
      </c>
      <c r="G4858" t="str">
        <f>IFERROR(INDEX(tEditais[Órgão],MATCH(tItens[[#This Row],[Edital]],tEditais[Edital],0)),"")</f>
        <v>FUNDO MUNICIPAL DE SAUDE</v>
      </c>
      <c r="H4858" t="str">
        <f>IFERROR(INDEX(tEditais[UF],MATCH(tItens[[#This Row],[Edital]],tEditais[Edital],0)),"")</f>
        <v>PE</v>
      </c>
      <c r="I4858" s="11">
        <f>IFERROR(INDEX(tEditais[Encerramento],MATCH(tItens[[#This Row],[Edital]],tEditais[Edital],0)),"")</f>
        <v>46310.333333333336</v>
      </c>
      <c r="J4858" t="str">
        <f>IFERROR(INDEX(tProdutos[Classe],MATCH(tItens[[#This Row],[Produto]],tProdutos[Produto],0)),"produto não cadastrado")</f>
        <v>FORA</v>
      </c>
      <c r="K4858" s="12">
        <f>tItens[[#This Row],[Qtd]]*tItens[[#This Row],[Vlr unit]]</f>
        <v>154.60000000000002</v>
      </c>
      <c r="L4858" s="6">
        <f>IFERROR(IF(INDEX(tProdutos[Desconto homologado],MATCH(tItens[[#This Row],[Produto]],tProdutos[Produto],0))="",DescontoPadrao,INDEX(tProdutos[Desconto homologado],MATCH(tItens[[#This Row],[Produto]],tProdutos[Produto],0))),DescontoPadrao)</f>
        <v>0.26356465005931201</v>
      </c>
      <c r="M4858" s="12">
        <f>tItens[[#This Row],[Valor]]*(1-tItens[[#This Row],[Desconto]])</f>
        <v>113.85290510083037</v>
      </c>
      <c r="N4858" t="str">
        <f>IFERROR(INDEX(tProdutos[Foco],MATCH(tItens[[#This Row],[Produto]],tProdutos[Produto],0)),"Não")</f>
        <v>Não</v>
      </c>
      <c r="O4858" t="str">
        <f>IFERROR(INDEX(tEditais[SRP],MATCH(tItens[[#This Row],[Edital]],tEditais[Edital],0)),"Não")</f>
        <v>Sim</v>
      </c>
      <c r="P4858" s="4">
        <f>IF(COUNTIFS(INDEX(tItens[Edital],1):tItens[[#This Row],[Edital]],tItens[[#This Row],[Edital]],INDEX(tItens[Produto],1):tItens[[#This Row],[Produto]],tItens[[#This Row],[Produto]])=1,1,0)</f>
        <v>0</v>
      </c>
    </row>
    <row r="4859" spans="1:16" x14ac:dyDescent="0.25">
      <c r="A4859" t="s">
        <v>1911</v>
      </c>
      <c r="B4859">
        <v>31</v>
      </c>
      <c r="C4859" t="s">
        <v>7683</v>
      </c>
      <c r="D4859" t="s">
        <v>347</v>
      </c>
      <c r="E4859" s="13">
        <v>5</v>
      </c>
      <c r="F4859" s="12">
        <v>29.42</v>
      </c>
      <c r="G4859" t="str">
        <f>IFERROR(INDEX(tEditais[Órgão],MATCH(tItens[[#This Row],[Edital]],tEditais[Edital],0)),"")</f>
        <v>FUNDO MUNICIPAL DE SAUDE</v>
      </c>
      <c r="H4859" t="str">
        <f>IFERROR(INDEX(tEditais[UF],MATCH(tItens[[#This Row],[Edital]],tEditais[Edital],0)),"")</f>
        <v>PE</v>
      </c>
      <c r="I4859" s="11">
        <f>IFERROR(INDEX(tEditais[Encerramento],MATCH(tItens[[#This Row],[Edital]],tEditais[Edital],0)),"")</f>
        <v>46310.333333333336</v>
      </c>
      <c r="J4859" t="str">
        <f>IFERROR(INDEX(tProdutos[Classe],MATCH(tItens[[#This Row],[Produto]],tProdutos[Produto],0)),"produto não cadastrado")</f>
        <v>FORA</v>
      </c>
      <c r="K4859" s="12">
        <f>tItens[[#This Row],[Qtd]]*tItens[[#This Row],[Vlr unit]]</f>
        <v>147.10000000000002</v>
      </c>
      <c r="L4859" s="6">
        <f>IFERROR(IF(INDEX(tProdutos[Desconto homologado],MATCH(tItens[[#This Row],[Produto]],tProdutos[Produto],0))="",DescontoPadrao,INDEX(tProdutos[Desconto homologado],MATCH(tItens[[#This Row],[Produto]],tProdutos[Produto],0))),DescontoPadrao)</f>
        <v>0.26356465005931201</v>
      </c>
      <c r="M4859" s="12">
        <f>tItens[[#This Row],[Valor]]*(1-tItens[[#This Row],[Desconto]])</f>
        <v>108.32963997627522</v>
      </c>
      <c r="N4859" t="str">
        <f>IFERROR(INDEX(tProdutos[Foco],MATCH(tItens[[#This Row],[Produto]],tProdutos[Produto],0)),"Não")</f>
        <v>Não</v>
      </c>
      <c r="O4859" t="str">
        <f>IFERROR(INDEX(tEditais[SRP],MATCH(tItens[[#This Row],[Edital]],tEditais[Edital],0)),"Não")</f>
        <v>Sim</v>
      </c>
      <c r="P4859" s="4">
        <f>IF(COUNTIFS(INDEX(tItens[Edital],1):tItens[[#This Row],[Edital]],tItens[[#This Row],[Edital]],INDEX(tItens[Produto],1):tItens[[#This Row],[Produto]],tItens[[#This Row],[Produto]])=1,1,0)</f>
        <v>0</v>
      </c>
    </row>
    <row r="4860" spans="1:16" x14ac:dyDescent="0.25">
      <c r="A4860" t="s">
        <v>1911</v>
      </c>
      <c r="B4860">
        <v>34</v>
      </c>
      <c r="C4860" t="s">
        <v>7684</v>
      </c>
      <c r="D4860" t="s">
        <v>299</v>
      </c>
      <c r="E4860" s="13">
        <v>2000</v>
      </c>
      <c r="F4860" s="12">
        <v>0.34</v>
      </c>
      <c r="G4860" t="str">
        <f>IFERROR(INDEX(tEditais[Órgão],MATCH(tItens[[#This Row],[Edital]],tEditais[Edital],0)),"")</f>
        <v>FUNDO MUNICIPAL DE SAUDE</v>
      </c>
      <c r="H4860" t="str">
        <f>IFERROR(INDEX(tEditais[UF],MATCH(tItens[[#This Row],[Edital]],tEditais[Edital],0)),"")</f>
        <v>PE</v>
      </c>
      <c r="I4860" s="11">
        <f>IFERROR(INDEX(tEditais[Encerramento],MATCH(tItens[[#This Row],[Edital]],tEditais[Edital],0)),"")</f>
        <v>46310.333333333336</v>
      </c>
      <c r="J4860" t="str">
        <f>IFERROR(INDEX(tProdutos[Classe],MATCH(tItens[[#This Row],[Produto]],tProdutos[Produto],0)),"produto não cadastrado")</f>
        <v>FORA</v>
      </c>
      <c r="K4860" s="12">
        <f>tItens[[#This Row],[Qtd]]*tItens[[#This Row],[Vlr unit]]</f>
        <v>680</v>
      </c>
      <c r="L4860" s="6">
        <f>IFERROR(IF(INDEX(tProdutos[Desconto homologado],MATCH(tItens[[#This Row],[Produto]],tProdutos[Produto],0))="",DescontoPadrao,INDEX(tProdutos[Desconto homologado],MATCH(tItens[[#This Row],[Produto]],tProdutos[Produto],0))),DescontoPadrao)</f>
        <v>0.42211465163381601</v>
      </c>
      <c r="M4860" s="12">
        <f>tItens[[#This Row],[Valor]]*(1-tItens[[#This Row],[Desconto]])</f>
        <v>392.96203688900511</v>
      </c>
      <c r="N4860" t="str">
        <f>IFERROR(INDEX(tProdutos[Foco],MATCH(tItens[[#This Row],[Produto]],tProdutos[Produto],0)),"Não")</f>
        <v>Não</v>
      </c>
      <c r="O4860" t="str">
        <f>IFERROR(INDEX(tEditais[SRP],MATCH(tItens[[#This Row],[Edital]],tEditais[Edital],0)),"Não")</f>
        <v>Sim</v>
      </c>
      <c r="P4860" s="4">
        <f>IF(COUNTIFS(INDEX(tItens[Edital],1):tItens[[#This Row],[Edital]],tItens[[#This Row],[Edital]],INDEX(tItens[Produto],1):tItens[[#This Row],[Produto]],tItens[[#This Row],[Produto]])=1,1,0)</f>
        <v>1</v>
      </c>
    </row>
    <row r="4861" spans="1:16" x14ac:dyDescent="0.25">
      <c r="A4861" t="s">
        <v>1911</v>
      </c>
      <c r="B4861">
        <v>35</v>
      </c>
      <c r="C4861" t="s">
        <v>7685</v>
      </c>
      <c r="D4861" t="s">
        <v>333</v>
      </c>
      <c r="E4861" s="13">
        <v>12000</v>
      </c>
      <c r="F4861" s="12">
        <v>1.83</v>
      </c>
      <c r="G4861" t="str">
        <f>IFERROR(INDEX(tEditais[Órgão],MATCH(tItens[[#This Row],[Edital]],tEditais[Edital],0)),"")</f>
        <v>FUNDO MUNICIPAL DE SAUDE</v>
      </c>
      <c r="H4861" t="str">
        <f>IFERROR(INDEX(tEditais[UF],MATCH(tItens[[#This Row],[Edital]],tEditais[Edital],0)),"")</f>
        <v>PE</v>
      </c>
      <c r="I4861" s="11">
        <f>IFERROR(INDEX(tEditais[Encerramento],MATCH(tItens[[#This Row],[Edital]],tEditais[Edital],0)),"")</f>
        <v>46310.333333333336</v>
      </c>
      <c r="J4861" t="str">
        <f>IFERROR(INDEX(tProdutos[Classe],MATCH(tItens[[#This Row],[Produto]],tProdutos[Produto],0)),"produto não cadastrado")</f>
        <v>FORA</v>
      </c>
      <c r="K4861" s="12">
        <f>tItens[[#This Row],[Qtd]]*tItens[[#This Row],[Vlr unit]]</f>
        <v>21960</v>
      </c>
      <c r="L4861" s="6">
        <f>IFERROR(IF(INDEX(tProdutos[Desconto homologado],MATCH(tItens[[#This Row],[Produto]],tProdutos[Produto],0))="",DescontoPadrao,INDEX(tProdutos[Desconto homologado],MATCH(tItens[[#This Row],[Produto]],tProdutos[Produto],0))),DescontoPadrao)</f>
        <v>0.48951048951048998</v>
      </c>
      <c r="M4861" s="12">
        <f>tItens[[#This Row],[Valor]]*(1-tItens[[#This Row],[Desconto]])</f>
        <v>11210.349650349639</v>
      </c>
      <c r="N4861" t="str">
        <f>IFERROR(INDEX(tProdutos[Foco],MATCH(tItens[[#This Row],[Produto]],tProdutos[Produto],0)),"Não")</f>
        <v>Não</v>
      </c>
      <c r="O4861" t="str">
        <f>IFERROR(INDEX(tEditais[SRP],MATCH(tItens[[#This Row],[Edital]],tEditais[Edital],0)),"Não")</f>
        <v>Sim</v>
      </c>
      <c r="P4861" s="4">
        <f>IF(COUNTIFS(INDEX(tItens[Edital],1):tItens[[#This Row],[Edital]],tItens[[#This Row],[Edital]],INDEX(tItens[Produto],1):tItens[[#This Row],[Produto]],tItens[[#This Row],[Produto]])=1,1,0)</f>
        <v>1</v>
      </c>
    </row>
    <row r="4862" spans="1:16" x14ac:dyDescent="0.25">
      <c r="A4862" t="s">
        <v>1911</v>
      </c>
      <c r="B4862">
        <v>37</v>
      </c>
      <c r="C4862" t="s">
        <v>7686</v>
      </c>
      <c r="D4862" t="s">
        <v>229</v>
      </c>
      <c r="E4862" s="13">
        <v>250</v>
      </c>
      <c r="F4862" s="12">
        <v>30.13</v>
      </c>
      <c r="G4862" t="str">
        <f>IFERROR(INDEX(tEditais[Órgão],MATCH(tItens[[#This Row],[Edital]],tEditais[Edital],0)),"")</f>
        <v>FUNDO MUNICIPAL DE SAUDE</v>
      </c>
      <c r="H4862" t="str">
        <f>IFERROR(INDEX(tEditais[UF],MATCH(tItens[[#This Row],[Edital]],tEditais[Edital],0)),"")</f>
        <v>PE</v>
      </c>
      <c r="I4862" s="11">
        <f>IFERROR(INDEX(tEditais[Encerramento],MATCH(tItens[[#This Row],[Edital]],tEditais[Edital],0)),"")</f>
        <v>46310.333333333336</v>
      </c>
      <c r="J4862" t="str">
        <f>IFERROR(INDEX(tProdutos[Classe],MATCH(tItens[[#This Row],[Produto]],tProdutos[Produto],0)),"produto não cadastrado")</f>
        <v>FORA</v>
      </c>
      <c r="K4862" s="12">
        <f>tItens[[#This Row],[Qtd]]*tItens[[#This Row],[Vlr unit]]</f>
        <v>7532.5</v>
      </c>
      <c r="L4862" s="6">
        <f>IFERROR(IF(INDEX(tProdutos[Desconto homologado],MATCH(tItens[[#This Row],[Produto]],tProdutos[Produto],0))="",DescontoPadrao,INDEX(tProdutos[Desconto homologado],MATCH(tItens[[#This Row],[Produto]],tProdutos[Produto],0))),DescontoPadrao)</f>
        <v>0.33093491191658198</v>
      </c>
      <c r="M4862" s="12">
        <f>tItens[[#This Row],[Valor]]*(1-tItens[[#This Row],[Desconto]])</f>
        <v>5039.7327759883465</v>
      </c>
      <c r="N4862" t="str">
        <f>IFERROR(INDEX(tProdutos[Foco],MATCH(tItens[[#This Row],[Produto]],tProdutos[Produto],0)),"Não")</f>
        <v>Não</v>
      </c>
      <c r="O4862" t="str">
        <f>IFERROR(INDEX(tEditais[SRP],MATCH(tItens[[#This Row],[Edital]],tEditais[Edital],0)),"Não")</f>
        <v>Sim</v>
      </c>
      <c r="P4862" s="4">
        <f>IF(COUNTIFS(INDEX(tItens[Edital],1):tItens[[#This Row],[Edital]],tItens[[#This Row],[Edital]],INDEX(tItens[Produto],1):tItens[[#This Row],[Produto]],tItens[[#This Row],[Produto]])=1,1,0)</f>
        <v>1</v>
      </c>
    </row>
    <row r="4863" spans="1:16" x14ac:dyDescent="0.25">
      <c r="A4863" t="s">
        <v>1911</v>
      </c>
      <c r="B4863">
        <v>38</v>
      </c>
      <c r="C4863" t="s">
        <v>7687</v>
      </c>
      <c r="D4863" t="s">
        <v>77</v>
      </c>
      <c r="E4863" s="13">
        <v>1500</v>
      </c>
      <c r="F4863" s="12">
        <v>7.19</v>
      </c>
      <c r="G4863" t="str">
        <f>IFERROR(INDEX(tEditais[Órgão],MATCH(tItens[[#This Row],[Edital]],tEditais[Edital],0)),"")</f>
        <v>FUNDO MUNICIPAL DE SAUDE</v>
      </c>
      <c r="H4863" t="str">
        <f>IFERROR(INDEX(tEditais[UF],MATCH(tItens[[#This Row],[Edital]],tEditais[Edital],0)),"")</f>
        <v>PE</v>
      </c>
      <c r="I4863" s="11">
        <f>IFERROR(INDEX(tEditais[Encerramento],MATCH(tItens[[#This Row],[Edital]],tEditais[Edital],0)),"")</f>
        <v>46310.333333333336</v>
      </c>
      <c r="J4863" t="str">
        <f>IFERROR(INDEX(tProdutos[Classe],MATCH(tItens[[#This Row],[Produto]],tProdutos[Produto],0)),"produto não cadastrado")</f>
        <v>DISPUTADO</v>
      </c>
      <c r="K4863" s="12">
        <f>tItens[[#This Row],[Qtd]]*tItens[[#This Row],[Vlr unit]]</f>
        <v>10785</v>
      </c>
      <c r="L4863" s="6">
        <f>IFERROR(IF(INDEX(tProdutos[Desconto homologado],MATCH(tItens[[#This Row],[Produto]],tProdutos[Produto],0))="",DescontoPadrao,INDEX(tProdutos[Desconto homologado],MATCH(tItens[[#This Row],[Produto]],tProdutos[Produto],0))),DescontoPadrao)</f>
        <v>0.33</v>
      </c>
      <c r="M4863" s="12">
        <f>tItens[[#This Row],[Valor]]*(1-tItens[[#This Row],[Desconto]])</f>
        <v>7225.9499999999989</v>
      </c>
      <c r="N4863" t="str">
        <f>IFERROR(INDEX(tProdutos[Foco],MATCH(tItens[[#This Row],[Produto]],tProdutos[Produto],0)),"Não")</f>
        <v>Sim</v>
      </c>
      <c r="O4863" t="str">
        <f>IFERROR(INDEX(tEditais[SRP],MATCH(tItens[[#This Row],[Edital]],tEditais[Edital],0)),"Não")</f>
        <v>Sim</v>
      </c>
      <c r="P4863" s="4">
        <f>IF(COUNTIFS(INDEX(tItens[Edital],1):tItens[[#This Row],[Edital]],tItens[[#This Row],[Edital]],INDEX(tItens[Produto],1):tItens[[#This Row],[Produto]],tItens[[#This Row],[Produto]])=1,1,0)</f>
        <v>1</v>
      </c>
    </row>
    <row r="4864" spans="1:16" x14ac:dyDescent="0.25">
      <c r="A4864" t="s">
        <v>1911</v>
      </c>
      <c r="B4864">
        <v>39</v>
      </c>
      <c r="C4864" t="s">
        <v>7688</v>
      </c>
      <c r="D4864" t="s">
        <v>90</v>
      </c>
      <c r="E4864" s="13">
        <v>1000</v>
      </c>
      <c r="F4864" s="12">
        <v>10.41</v>
      </c>
      <c r="G4864" t="str">
        <f>IFERROR(INDEX(tEditais[Órgão],MATCH(tItens[[#This Row],[Edital]],tEditais[Edital],0)),"")</f>
        <v>FUNDO MUNICIPAL DE SAUDE</v>
      </c>
      <c r="H4864" t="str">
        <f>IFERROR(INDEX(tEditais[UF],MATCH(tItens[[#This Row],[Edital]],tEditais[Edital],0)),"")</f>
        <v>PE</v>
      </c>
      <c r="I4864" s="11">
        <f>IFERROR(INDEX(tEditais[Encerramento],MATCH(tItens[[#This Row],[Edital]],tEditais[Edital],0)),"")</f>
        <v>46310.333333333336</v>
      </c>
      <c r="J4864" t="str">
        <f>IFERROR(INDEX(tProdutos[Classe],MATCH(tItens[[#This Row],[Produto]],tProdutos[Produto],0)),"produto não cadastrado")</f>
        <v>DISPUTADO</v>
      </c>
      <c r="K4864" s="12">
        <f>tItens[[#This Row],[Qtd]]*tItens[[#This Row],[Vlr unit]]</f>
        <v>10410</v>
      </c>
      <c r="L4864" s="6">
        <f>IFERROR(IF(INDEX(tProdutos[Desconto homologado],MATCH(tItens[[#This Row],[Produto]],tProdutos[Produto],0))="",DescontoPadrao,INDEX(tProdutos[Desconto homologado],MATCH(tItens[[#This Row],[Produto]],tProdutos[Produto],0))),DescontoPadrao)</f>
        <v>0.25393823957010597</v>
      </c>
      <c r="M4864" s="12">
        <f>tItens[[#This Row],[Valor]]*(1-tItens[[#This Row],[Desconto]])</f>
        <v>7766.5029260751971</v>
      </c>
      <c r="N4864" t="str">
        <f>IFERROR(INDEX(tProdutos[Foco],MATCH(tItens[[#This Row],[Produto]],tProdutos[Produto],0)),"Não")</f>
        <v>Não</v>
      </c>
      <c r="O4864" t="str">
        <f>IFERROR(INDEX(tEditais[SRP],MATCH(tItens[[#This Row],[Edital]],tEditais[Edital],0)),"Não")</f>
        <v>Sim</v>
      </c>
      <c r="P4864" s="4">
        <f>IF(COUNTIFS(INDEX(tItens[Edital],1):tItens[[#This Row],[Edital]],tItens[[#This Row],[Edital]],INDEX(tItens[Produto],1):tItens[[#This Row],[Produto]],tItens[[#This Row],[Produto]])=1,1,0)</f>
        <v>1</v>
      </c>
    </row>
    <row r="4865" spans="1:16" x14ac:dyDescent="0.25">
      <c r="A4865" t="s">
        <v>1911</v>
      </c>
      <c r="B4865">
        <v>44</v>
      </c>
      <c r="C4865" t="s">
        <v>7689</v>
      </c>
      <c r="D4865" t="s">
        <v>375</v>
      </c>
      <c r="E4865" s="13">
        <v>288</v>
      </c>
      <c r="F4865" s="12">
        <v>1.88</v>
      </c>
      <c r="G4865" t="str">
        <f>IFERROR(INDEX(tEditais[Órgão],MATCH(tItens[[#This Row],[Edital]],tEditais[Edital],0)),"")</f>
        <v>FUNDO MUNICIPAL DE SAUDE</v>
      </c>
      <c r="H4865" t="str">
        <f>IFERROR(INDEX(tEditais[UF],MATCH(tItens[[#This Row],[Edital]],tEditais[Edital],0)),"")</f>
        <v>PE</v>
      </c>
      <c r="I4865" s="11">
        <f>IFERROR(INDEX(tEditais[Encerramento],MATCH(tItens[[#This Row],[Edital]],tEditais[Edital],0)),"")</f>
        <v>46310.333333333336</v>
      </c>
      <c r="J4865" t="str">
        <f>IFERROR(INDEX(tProdutos[Classe],MATCH(tItens[[#This Row],[Produto]],tProdutos[Produto],0)),"produto não cadastrado")</f>
        <v>FORA</v>
      </c>
      <c r="K4865" s="12">
        <f>tItens[[#This Row],[Qtd]]*tItens[[#This Row],[Vlr unit]]</f>
        <v>541.43999999999994</v>
      </c>
      <c r="L4865" s="6">
        <f>IFERROR(IF(INDEX(tProdutos[Desconto homologado],MATCH(tItens[[#This Row],[Produto]],tProdutos[Produto],0))="",DescontoPadrao,INDEX(tProdutos[Desconto homologado],MATCH(tItens[[#This Row],[Produto]],tProdutos[Produto],0))),DescontoPadrao)</f>
        <v>0.25005895299481201</v>
      </c>
      <c r="M4865" s="12">
        <f>tItens[[#This Row],[Valor]]*(1-tItens[[#This Row],[Desconto]])</f>
        <v>406.04808049048893</v>
      </c>
      <c r="N4865" t="str">
        <f>IFERROR(INDEX(tProdutos[Foco],MATCH(tItens[[#This Row],[Produto]],tProdutos[Produto],0)),"Não")</f>
        <v>Não</v>
      </c>
      <c r="O4865" t="str">
        <f>IFERROR(INDEX(tEditais[SRP],MATCH(tItens[[#This Row],[Edital]],tEditais[Edital],0)),"Não")</f>
        <v>Sim</v>
      </c>
      <c r="P4865" s="4">
        <f>IF(COUNTIFS(INDEX(tItens[Edital],1):tItens[[#This Row],[Edital]],tItens[[#This Row],[Edital]],INDEX(tItens[Produto],1):tItens[[#This Row],[Produto]],tItens[[#This Row],[Produto]])=1,1,0)</f>
        <v>1</v>
      </c>
    </row>
    <row r="4866" spans="1:16" x14ac:dyDescent="0.25">
      <c r="A4866" t="s">
        <v>1911</v>
      </c>
      <c r="B4866">
        <v>45</v>
      </c>
      <c r="C4866" t="s">
        <v>7690</v>
      </c>
      <c r="D4866" t="s">
        <v>375</v>
      </c>
      <c r="E4866" s="13">
        <v>288</v>
      </c>
      <c r="F4866" s="12">
        <v>4.26</v>
      </c>
      <c r="G4866" t="str">
        <f>IFERROR(INDEX(tEditais[Órgão],MATCH(tItens[[#This Row],[Edital]],tEditais[Edital],0)),"")</f>
        <v>FUNDO MUNICIPAL DE SAUDE</v>
      </c>
      <c r="H4866" t="str">
        <f>IFERROR(INDEX(tEditais[UF],MATCH(tItens[[#This Row],[Edital]],tEditais[Edital],0)),"")</f>
        <v>PE</v>
      </c>
      <c r="I4866" s="11">
        <f>IFERROR(INDEX(tEditais[Encerramento],MATCH(tItens[[#This Row],[Edital]],tEditais[Edital],0)),"")</f>
        <v>46310.333333333336</v>
      </c>
      <c r="J4866" t="str">
        <f>IFERROR(INDEX(tProdutos[Classe],MATCH(tItens[[#This Row],[Produto]],tProdutos[Produto],0)),"produto não cadastrado")</f>
        <v>FORA</v>
      </c>
      <c r="K4866" s="12">
        <f>tItens[[#This Row],[Qtd]]*tItens[[#This Row],[Vlr unit]]</f>
        <v>1226.8799999999999</v>
      </c>
      <c r="L4866" s="6">
        <f>IFERROR(IF(INDEX(tProdutos[Desconto homologado],MATCH(tItens[[#This Row],[Produto]],tProdutos[Produto],0))="",DescontoPadrao,INDEX(tProdutos[Desconto homologado],MATCH(tItens[[#This Row],[Produto]],tProdutos[Produto],0))),DescontoPadrao)</f>
        <v>0.25005895299481201</v>
      </c>
      <c r="M4866" s="12">
        <f>tItens[[#This Row],[Valor]]*(1-tItens[[#This Row],[Desconto]])</f>
        <v>920.0876717497249</v>
      </c>
      <c r="N4866" t="str">
        <f>IFERROR(INDEX(tProdutos[Foco],MATCH(tItens[[#This Row],[Produto]],tProdutos[Produto],0)),"Não")</f>
        <v>Não</v>
      </c>
      <c r="O4866" t="str">
        <f>IFERROR(INDEX(tEditais[SRP],MATCH(tItens[[#This Row],[Edital]],tEditais[Edital],0)),"Não")</f>
        <v>Sim</v>
      </c>
      <c r="P4866" s="4">
        <f>IF(COUNTIFS(INDEX(tItens[Edital],1):tItens[[#This Row],[Edital]],tItens[[#This Row],[Edital]],INDEX(tItens[Produto],1):tItens[[#This Row],[Produto]],tItens[[#This Row],[Produto]])=1,1,0)</f>
        <v>0</v>
      </c>
    </row>
    <row r="4867" spans="1:16" x14ac:dyDescent="0.25">
      <c r="A4867" t="s">
        <v>1911</v>
      </c>
      <c r="B4867">
        <v>46</v>
      </c>
      <c r="C4867" t="s">
        <v>7691</v>
      </c>
      <c r="D4867" t="s">
        <v>461</v>
      </c>
      <c r="E4867" s="13">
        <v>120</v>
      </c>
      <c r="F4867" s="12">
        <v>1.55</v>
      </c>
      <c r="G4867" t="str">
        <f>IFERROR(INDEX(tEditais[Órgão],MATCH(tItens[[#This Row],[Edital]],tEditais[Edital],0)),"")</f>
        <v>FUNDO MUNICIPAL DE SAUDE</v>
      </c>
      <c r="H4867" t="str">
        <f>IFERROR(INDEX(tEditais[UF],MATCH(tItens[[#This Row],[Edital]],tEditais[Edital],0)),"")</f>
        <v>PE</v>
      </c>
      <c r="I4867" s="11">
        <f>IFERROR(INDEX(tEditais[Encerramento],MATCH(tItens[[#This Row],[Edital]],tEditais[Edital],0)),"")</f>
        <v>46310.333333333336</v>
      </c>
      <c r="J4867" t="str">
        <f>IFERROR(INDEX(tProdutos[Classe],MATCH(tItens[[#This Row],[Produto]],tProdutos[Produto],0)),"produto não cadastrado")</f>
        <v>FILA REBASE</v>
      </c>
      <c r="K4867" s="12">
        <f>tItens[[#This Row],[Qtd]]*tItens[[#This Row],[Vlr unit]]</f>
        <v>186</v>
      </c>
      <c r="L4867" s="6">
        <f>IFERROR(IF(INDEX(tProdutos[Desconto homologado],MATCH(tItens[[#This Row],[Produto]],tProdutos[Produto],0))="",DescontoPadrao,INDEX(tProdutos[Desconto homologado],MATCH(tItens[[#This Row],[Produto]],tProdutos[Produto],0))),DescontoPadrao)</f>
        <v>0.44096385542168698</v>
      </c>
      <c r="M4867" s="12">
        <f>tItens[[#This Row],[Valor]]*(1-tItens[[#This Row],[Desconto]])</f>
        <v>103.98072289156622</v>
      </c>
      <c r="N4867" t="str">
        <f>IFERROR(INDEX(tProdutos[Foco],MATCH(tItens[[#This Row],[Produto]],tProdutos[Produto],0)),"Não")</f>
        <v>Não</v>
      </c>
      <c r="O4867" t="str">
        <f>IFERROR(INDEX(tEditais[SRP],MATCH(tItens[[#This Row],[Edital]],tEditais[Edital],0)),"Não")</f>
        <v>Sim</v>
      </c>
      <c r="P4867" s="4">
        <f>IF(COUNTIFS(INDEX(tItens[Edital],1):tItens[[#This Row],[Edital]],tItens[[#This Row],[Edital]],INDEX(tItens[Produto],1):tItens[[#This Row],[Produto]],tItens[[#This Row],[Produto]])=1,1,0)</f>
        <v>1</v>
      </c>
    </row>
    <row r="4868" spans="1:16" x14ac:dyDescent="0.25">
      <c r="A4868" t="s">
        <v>1911</v>
      </c>
      <c r="B4868">
        <v>47</v>
      </c>
      <c r="C4868" t="s">
        <v>7692</v>
      </c>
      <c r="D4868" t="s">
        <v>461</v>
      </c>
      <c r="E4868" s="13">
        <v>120</v>
      </c>
      <c r="F4868" s="12">
        <v>1.77</v>
      </c>
      <c r="G4868" t="str">
        <f>IFERROR(INDEX(tEditais[Órgão],MATCH(tItens[[#This Row],[Edital]],tEditais[Edital],0)),"")</f>
        <v>FUNDO MUNICIPAL DE SAUDE</v>
      </c>
      <c r="H4868" t="str">
        <f>IFERROR(INDEX(tEditais[UF],MATCH(tItens[[#This Row],[Edital]],tEditais[Edital],0)),"")</f>
        <v>PE</v>
      </c>
      <c r="I4868" s="11">
        <f>IFERROR(INDEX(tEditais[Encerramento],MATCH(tItens[[#This Row],[Edital]],tEditais[Edital],0)),"")</f>
        <v>46310.333333333336</v>
      </c>
      <c r="J4868" t="str">
        <f>IFERROR(INDEX(tProdutos[Classe],MATCH(tItens[[#This Row],[Produto]],tProdutos[Produto],0)),"produto não cadastrado")</f>
        <v>FILA REBASE</v>
      </c>
      <c r="K4868" s="12">
        <f>tItens[[#This Row],[Qtd]]*tItens[[#This Row],[Vlr unit]]</f>
        <v>212.4</v>
      </c>
      <c r="L4868" s="6">
        <f>IFERROR(IF(INDEX(tProdutos[Desconto homologado],MATCH(tItens[[#This Row],[Produto]],tProdutos[Produto],0))="",DescontoPadrao,INDEX(tProdutos[Desconto homologado],MATCH(tItens[[#This Row],[Produto]],tProdutos[Produto],0))),DescontoPadrao)</f>
        <v>0.44096385542168698</v>
      </c>
      <c r="M4868" s="12">
        <f>tItens[[#This Row],[Valor]]*(1-tItens[[#This Row],[Desconto]])</f>
        <v>118.73927710843368</v>
      </c>
      <c r="N4868" t="str">
        <f>IFERROR(INDEX(tProdutos[Foco],MATCH(tItens[[#This Row],[Produto]],tProdutos[Produto],0)),"Não")</f>
        <v>Não</v>
      </c>
      <c r="O4868" t="str">
        <f>IFERROR(INDEX(tEditais[SRP],MATCH(tItens[[#This Row],[Edital]],tEditais[Edital],0)),"Não")</f>
        <v>Sim</v>
      </c>
      <c r="P4868" s="4">
        <f>IF(COUNTIFS(INDEX(tItens[Edital],1):tItens[[#This Row],[Edital]],tItens[[#This Row],[Edital]],INDEX(tItens[Produto],1):tItens[[#This Row],[Produto]],tItens[[#This Row],[Produto]])=1,1,0)</f>
        <v>0</v>
      </c>
    </row>
    <row r="4869" spans="1:16" x14ac:dyDescent="0.25">
      <c r="A4869" t="s">
        <v>1911</v>
      </c>
      <c r="B4869">
        <v>48</v>
      </c>
      <c r="C4869" t="s">
        <v>7693</v>
      </c>
      <c r="D4869" t="s">
        <v>461</v>
      </c>
      <c r="E4869" s="13">
        <v>120</v>
      </c>
      <c r="F4869" s="12">
        <v>3.16</v>
      </c>
      <c r="G4869" t="str">
        <f>IFERROR(INDEX(tEditais[Órgão],MATCH(tItens[[#This Row],[Edital]],tEditais[Edital],0)),"")</f>
        <v>FUNDO MUNICIPAL DE SAUDE</v>
      </c>
      <c r="H4869" t="str">
        <f>IFERROR(INDEX(tEditais[UF],MATCH(tItens[[#This Row],[Edital]],tEditais[Edital],0)),"")</f>
        <v>PE</v>
      </c>
      <c r="I4869" s="11">
        <f>IFERROR(INDEX(tEditais[Encerramento],MATCH(tItens[[#This Row],[Edital]],tEditais[Edital],0)),"")</f>
        <v>46310.333333333336</v>
      </c>
      <c r="J4869" t="str">
        <f>IFERROR(INDEX(tProdutos[Classe],MATCH(tItens[[#This Row],[Produto]],tProdutos[Produto],0)),"produto não cadastrado")</f>
        <v>FILA REBASE</v>
      </c>
      <c r="K4869" s="12">
        <f>tItens[[#This Row],[Qtd]]*tItens[[#This Row],[Vlr unit]]</f>
        <v>379.20000000000005</v>
      </c>
      <c r="L4869" s="6">
        <f>IFERROR(IF(INDEX(tProdutos[Desconto homologado],MATCH(tItens[[#This Row],[Produto]],tProdutos[Produto],0))="",DescontoPadrao,INDEX(tProdutos[Desconto homologado],MATCH(tItens[[#This Row],[Produto]],tProdutos[Produto],0))),DescontoPadrao)</f>
        <v>0.44096385542168698</v>
      </c>
      <c r="M4869" s="12">
        <f>tItens[[#This Row],[Valor]]*(1-tItens[[#This Row],[Desconto]])</f>
        <v>211.98650602409631</v>
      </c>
      <c r="N4869" t="str">
        <f>IFERROR(INDEX(tProdutos[Foco],MATCH(tItens[[#This Row],[Produto]],tProdutos[Produto],0)),"Não")</f>
        <v>Não</v>
      </c>
      <c r="O4869" t="str">
        <f>IFERROR(INDEX(tEditais[SRP],MATCH(tItens[[#This Row],[Edital]],tEditais[Edital],0)),"Não")</f>
        <v>Sim</v>
      </c>
      <c r="P4869" s="4">
        <f>IF(COUNTIFS(INDEX(tItens[Edital],1):tItens[[#This Row],[Edital]],tItens[[#This Row],[Edital]],INDEX(tItens[Produto],1):tItens[[#This Row],[Produto]],tItens[[#This Row],[Produto]])=1,1,0)</f>
        <v>0</v>
      </c>
    </row>
    <row r="4870" spans="1:16" x14ac:dyDescent="0.25">
      <c r="A4870" t="s">
        <v>1911</v>
      </c>
      <c r="B4870">
        <v>49</v>
      </c>
      <c r="C4870" t="s">
        <v>7694</v>
      </c>
      <c r="D4870" t="s">
        <v>461</v>
      </c>
      <c r="E4870" s="13">
        <v>288</v>
      </c>
      <c r="F4870" s="12">
        <v>2.2400000000000002</v>
      </c>
      <c r="G4870" t="str">
        <f>IFERROR(INDEX(tEditais[Órgão],MATCH(tItens[[#This Row],[Edital]],tEditais[Edital],0)),"")</f>
        <v>FUNDO MUNICIPAL DE SAUDE</v>
      </c>
      <c r="H4870" t="str">
        <f>IFERROR(INDEX(tEditais[UF],MATCH(tItens[[#This Row],[Edital]],tEditais[Edital],0)),"")</f>
        <v>PE</v>
      </c>
      <c r="I4870" s="11">
        <f>IFERROR(INDEX(tEditais[Encerramento],MATCH(tItens[[#This Row],[Edital]],tEditais[Edital],0)),"")</f>
        <v>46310.333333333336</v>
      </c>
      <c r="J4870" t="str">
        <f>IFERROR(INDEX(tProdutos[Classe],MATCH(tItens[[#This Row],[Produto]],tProdutos[Produto],0)),"produto não cadastrado")</f>
        <v>FILA REBASE</v>
      </c>
      <c r="K4870" s="12">
        <f>tItens[[#This Row],[Qtd]]*tItens[[#This Row],[Vlr unit]]</f>
        <v>645.12000000000012</v>
      </c>
      <c r="L4870" s="6">
        <f>IFERROR(IF(INDEX(tProdutos[Desconto homologado],MATCH(tItens[[#This Row],[Produto]],tProdutos[Produto],0))="",DescontoPadrao,INDEX(tProdutos[Desconto homologado],MATCH(tItens[[#This Row],[Produto]],tProdutos[Produto],0))),DescontoPadrao)</f>
        <v>0.44096385542168698</v>
      </c>
      <c r="M4870" s="12">
        <f>tItens[[#This Row],[Valor]]*(1-tItens[[#This Row],[Desconto]])</f>
        <v>360.64539759036131</v>
      </c>
      <c r="N4870" t="str">
        <f>IFERROR(INDEX(tProdutos[Foco],MATCH(tItens[[#This Row],[Produto]],tProdutos[Produto],0)),"Não")</f>
        <v>Não</v>
      </c>
      <c r="O4870" t="str">
        <f>IFERROR(INDEX(tEditais[SRP],MATCH(tItens[[#This Row],[Edital]],tEditais[Edital],0)),"Não")</f>
        <v>Sim</v>
      </c>
      <c r="P4870" s="4">
        <f>IF(COUNTIFS(INDEX(tItens[Edital],1):tItens[[#This Row],[Edital]],tItens[[#This Row],[Edital]],INDEX(tItens[Produto],1):tItens[[#This Row],[Produto]],tItens[[#This Row],[Produto]])=1,1,0)</f>
        <v>0</v>
      </c>
    </row>
    <row r="4871" spans="1:16" x14ac:dyDescent="0.25">
      <c r="A4871" t="s">
        <v>1911</v>
      </c>
      <c r="B4871">
        <v>50</v>
      </c>
      <c r="C4871" t="s">
        <v>7695</v>
      </c>
      <c r="D4871" t="s">
        <v>375</v>
      </c>
      <c r="E4871" s="13">
        <v>360</v>
      </c>
      <c r="F4871" s="12">
        <v>6.86</v>
      </c>
      <c r="G4871" t="str">
        <f>IFERROR(INDEX(tEditais[Órgão],MATCH(tItens[[#This Row],[Edital]],tEditais[Edital],0)),"")</f>
        <v>FUNDO MUNICIPAL DE SAUDE</v>
      </c>
      <c r="H4871" t="str">
        <f>IFERROR(INDEX(tEditais[UF],MATCH(tItens[[#This Row],[Edital]],tEditais[Edital],0)),"")</f>
        <v>PE</v>
      </c>
      <c r="I4871" s="11">
        <f>IFERROR(INDEX(tEditais[Encerramento],MATCH(tItens[[#This Row],[Edital]],tEditais[Edital],0)),"")</f>
        <v>46310.333333333336</v>
      </c>
      <c r="J4871" t="str">
        <f>IFERROR(INDEX(tProdutos[Classe],MATCH(tItens[[#This Row],[Produto]],tProdutos[Produto],0)),"produto não cadastrado")</f>
        <v>FORA</v>
      </c>
      <c r="K4871" s="12">
        <f>tItens[[#This Row],[Qtd]]*tItens[[#This Row],[Vlr unit]]</f>
        <v>2469.6</v>
      </c>
      <c r="L4871" s="6">
        <f>IFERROR(IF(INDEX(tProdutos[Desconto homologado],MATCH(tItens[[#This Row],[Produto]],tProdutos[Produto],0))="",DescontoPadrao,INDEX(tProdutos[Desconto homologado],MATCH(tItens[[#This Row],[Produto]],tProdutos[Produto],0))),DescontoPadrao)</f>
        <v>0.25005895299481201</v>
      </c>
      <c r="M4871" s="12">
        <f>tItens[[#This Row],[Valor]]*(1-tItens[[#This Row],[Desconto]])</f>
        <v>1852.0544096840119</v>
      </c>
      <c r="N4871" t="str">
        <f>IFERROR(INDEX(tProdutos[Foco],MATCH(tItens[[#This Row],[Produto]],tProdutos[Produto],0)),"Não")</f>
        <v>Não</v>
      </c>
      <c r="O4871" t="str">
        <f>IFERROR(INDEX(tEditais[SRP],MATCH(tItens[[#This Row],[Edital]],tEditais[Edital],0)),"Não")</f>
        <v>Sim</v>
      </c>
      <c r="P4871" s="4">
        <f>IF(COUNTIFS(INDEX(tItens[Edital],1):tItens[[#This Row],[Edital]],tItens[[#This Row],[Edital]],INDEX(tItens[Produto],1):tItens[[#This Row],[Produto]],tItens[[#This Row],[Produto]])=1,1,0)</f>
        <v>0</v>
      </c>
    </row>
    <row r="4872" spans="1:16" x14ac:dyDescent="0.25">
      <c r="A4872" t="s">
        <v>1911</v>
      </c>
      <c r="B4872">
        <v>51</v>
      </c>
      <c r="C4872" t="s">
        <v>7696</v>
      </c>
      <c r="D4872" t="s">
        <v>375</v>
      </c>
      <c r="E4872" s="13">
        <v>15</v>
      </c>
      <c r="F4872" s="12">
        <v>279.85000000000002</v>
      </c>
      <c r="G4872" t="str">
        <f>IFERROR(INDEX(tEditais[Órgão],MATCH(tItens[[#This Row],[Edital]],tEditais[Edital],0)),"")</f>
        <v>FUNDO MUNICIPAL DE SAUDE</v>
      </c>
      <c r="H4872" t="str">
        <f>IFERROR(INDEX(tEditais[UF],MATCH(tItens[[#This Row],[Edital]],tEditais[Edital],0)),"")</f>
        <v>PE</v>
      </c>
      <c r="I4872" s="11">
        <f>IFERROR(INDEX(tEditais[Encerramento],MATCH(tItens[[#This Row],[Edital]],tEditais[Edital],0)),"")</f>
        <v>46310.333333333336</v>
      </c>
      <c r="J4872" t="str">
        <f>IFERROR(INDEX(tProdutos[Classe],MATCH(tItens[[#This Row],[Produto]],tProdutos[Produto],0)),"produto não cadastrado")</f>
        <v>FORA</v>
      </c>
      <c r="K4872" s="12">
        <f>tItens[[#This Row],[Qtd]]*tItens[[#This Row],[Vlr unit]]</f>
        <v>4197.75</v>
      </c>
      <c r="L4872" s="6">
        <f>IFERROR(IF(INDEX(tProdutos[Desconto homologado],MATCH(tItens[[#This Row],[Produto]],tProdutos[Produto],0))="",DescontoPadrao,INDEX(tProdutos[Desconto homologado],MATCH(tItens[[#This Row],[Produto]],tProdutos[Produto],0))),DescontoPadrao)</f>
        <v>0.25005895299481201</v>
      </c>
      <c r="M4872" s="12">
        <f>tItens[[#This Row],[Valor]]*(1-tItens[[#This Row],[Desconto]])</f>
        <v>3148.0650300660277</v>
      </c>
      <c r="N4872" t="str">
        <f>IFERROR(INDEX(tProdutos[Foco],MATCH(tItens[[#This Row],[Produto]],tProdutos[Produto],0)),"Não")</f>
        <v>Não</v>
      </c>
      <c r="O4872" t="str">
        <f>IFERROR(INDEX(tEditais[SRP],MATCH(tItens[[#This Row],[Edital]],tEditais[Edital],0)),"Não")</f>
        <v>Sim</v>
      </c>
      <c r="P4872" s="4">
        <f>IF(COUNTIFS(INDEX(tItens[Edital],1):tItens[[#This Row],[Edital]],tItens[[#This Row],[Edital]],INDEX(tItens[Produto],1):tItens[[#This Row],[Produto]],tItens[[#This Row],[Produto]])=1,1,0)</f>
        <v>0</v>
      </c>
    </row>
    <row r="4873" spans="1:16" x14ac:dyDescent="0.25">
      <c r="A4873" t="s">
        <v>1911</v>
      </c>
      <c r="B4873">
        <v>61</v>
      </c>
      <c r="C4873" t="s">
        <v>7697</v>
      </c>
      <c r="D4873" t="s">
        <v>56</v>
      </c>
      <c r="E4873" s="13">
        <v>12</v>
      </c>
      <c r="F4873" s="12">
        <v>36</v>
      </c>
      <c r="G4873" t="str">
        <f>IFERROR(INDEX(tEditais[Órgão],MATCH(tItens[[#This Row],[Edital]],tEditais[Edital],0)),"")</f>
        <v>FUNDO MUNICIPAL DE SAUDE</v>
      </c>
      <c r="H4873" t="str">
        <f>IFERROR(INDEX(tEditais[UF],MATCH(tItens[[#This Row],[Edital]],tEditais[Edital],0)),"")</f>
        <v>PE</v>
      </c>
      <c r="I4873" s="11">
        <f>IFERROR(INDEX(tEditais[Encerramento],MATCH(tItens[[#This Row],[Edital]],tEditais[Edital],0)),"")</f>
        <v>46310.333333333336</v>
      </c>
      <c r="J4873" t="str">
        <f>IFERROR(INDEX(tProdutos[Classe],MATCH(tItens[[#This Row],[Produto]],tProdutos[Produto],0)),"produto não cadastrado")</f>
        <v>NÚCLEO</v>
      </c>
      <c r="K4873" s="12">
        <f>tItens[[#This Row],[Qtd]]*tItens[[#This Row],[Vlr unit]]</f>
        <v>432</v>
      </c>
      <c r="L4873" s="6">
        <f>IFERROR(IF(INDEX(tProdutos[Desconto homologado],MATCH(tItens[[#This Row],[Produto]],tProdutos[Produto],0))="",DescontoPadrao,INDEX(tProdutos[Desconto homologado],MATCH(tItens[[#This Row],[Produto]],tProdutos[Produto],0))),DescontoPadrao)</f>
        <v>0.34</v>
      </c>
      <c r="M4873" s="12">
        <f>tItens[[#This Row],[Valor]]*(1-tItens[[#This Row],[Desconto]])</f>
        <v>285.11999999999995</v>
      </c>
      <c r="N4873" t="str">
        <f>IFERROR(INDEX(tProdutos[Foco],MATCH(tItens[[#This Row],[Produto]],tProdutos[Produto],0)),"Não")</f>
        <v>Sim</v>
      </c>
      <c r="O4873" t="str">
        <f>IFERROR(INDEX(tEditais[SRP],MATCH(tItens[[#This Row],[Edital]],tEditais[Edital],0)),"Não")</f>
        <v>Sim</v>
      </c>
      <c r="P4873" s="4">
        <f>IF(COUNTIFS(INDEX(tItens[Edital],1):tItens[[#This Row],[Edital]],tItens[[#This Row],[Edital]],INDEX(tItens[Produto],1):tItens[[#This Row],[Produto]],tItens[[#This Row],[Produto]])=1,1,0)</f>
        <v>1</v>
      </c>
    </row>
    <row r="4874" spans="1:16" x14ac:dyDescent="0.25">
      <c r="A4874" t="s">
        <v>1911</v>
      </c>
      <c r="B4874">
        <v>62</v>
      </c>
      <c r="C4874" t="s">
        <v>7698</v>
      </c>
      <c r="D4874" t="s">
        <v>56</v>
      </c>
      <c r="E4874" s="13">
        <v>12</v>
      </c>
      <c r="F4874" s="12">
        <v>38.08</v>
      </c>
      <c r="G4874" t="str">
        <f>IFERROR(INDEX(tEditais[Órgão],MATCH(tItens[[#This Row],[Edital]],tEditais[Edital],0)),"")</f>
        <v>FUNDO MUNICIPAL DE SAUDE</v>
      </c>
      <c r="H4874" t="str">
        <f>IFERROR(INDEX(tEditais[UF],MATCH(tItens[[#This Row],[Edital]],tEditais[Edital],0)),"")</f>
        <v>PE</v>
      </c>
      <c r="I4874" s="11">
        <f>IFERROR(INDEX(tEditais[Encerramento],MATCH(tItens[[#This Row],[Edital]],tEditais[Edital],0)),"")</f>
        <v>46310.333333333336</v>
      </c>
      <c r="J4874" t="str">
        <f>IFERROR(INDEX(tProdutos[Classe],MATCH(tItens[[#This Row],[Produto]],tProdutos[Produto],0)),"produto não cadastrado")</f>
        <v>NÚCLEO</v>
      </c>
      <c r="K4874" s="12">
        <f>tItens[[#This Row],[Qtd]]*tItens[[#This Row],[Vlr unit]]</f>
        <v>456.96</v>
      </c>
      <c r="L4874" s="6">
        <f>IFERROR(IF(INDEX(tProdutos[Desconto homologado],MATCH(tItens[[#This Row],[Produto]],tProdutos[Produto],0))="",DescontoPadrao,INDEX(tProdutos[Desconto homologado],MATCH(tItens[[#This Row],[Produto]],tProdutos[Produto],0))),DescontoPadrao)</f>
        <v>0.34</v>
      </c>
      <c r="M4874" s="12">
        <f>tItens[[#This Row],[Valor]]*(1-tItens[[#This Row],[Desconto]])</f>
        <v>301.59359999999992</v>
      </c>
      <c r="N4874" t="str">
        <f>IFERROR(INDEX(tProdutos[Foco],MATCH(tItens[[#This Row],[Produto]],tProdutos[Produto],0)),"Não")</f>
        <v>Sim</v>
      </c>
      <c r="O4874" t="str">
        <f>IFERROR(INDEX(tEditais[SRP],MATCH(tItens[[#This Row],[Edital]],tEditais[Edital],0)),"Não")</f>
        <v>Sim</v>
      </c>
      <c r="P4874" s="4">
        <f>IF(COUNTIFS(INDEX(tItens[Edital],1):tItens[[#This Row],[Edital]],tItens[[#This Row],[Edital]],INDEX(tItens[Produto],1):tItens[[#This Row],[Produto]],tItens[[#This Row],[Produto]])=1,1,0)</f>
        <v>0</v>
      </c>
    </row>
    <row r="4875" spans="1:16" x14ac:dyDescent="0.25">
      <c r="A4875" t="s">
        <v>1911</v>
      </c>
      <c r="B4875">
        <v>63</v>
      </c>
      <c r="C4875" t="s">
        <v>7699</v>
      </c>
      <c r="D4875" t="s">
        <v>277</v>
      </c>
      <c r="E4875" s="13">
        <v>300</v>
      </c>
      <c r="F4875" s="12">
        <v>15.79</v>
      </c>
      <c r="G4875" t="str">
        <f>IFERROR(INDEX(tEditais[Órgão],MATCH(tItens[[#This Row],[Edital]],tEditais[Edital],0)),"")</f>
        <v>FUNDO MUNICIPAL DE SAUDE</v>
      </c>
      <c r="H4875" t="str">
        <f>IFERROR(INDEX(tEditais[UF],MATCH(tItens[[#This Row],[Edital]],tEditais[Edital],0)),"")</f>
        <v>PE</v>
      </c>
      <c r="I4875" s="11">
        <f>IFERROR(INDEX(tEditais[Encerramento],MATCH(tItens[[#This Row],[Edital]],tEditais[Edital],0)),"")</f>
        <v>46310.333333333336</v>
      </c>
      <c r="J4875" t="str">
        <f>IFERROR(INDEX(tProdutos[Classe],MATCH(tItens[[#This Row],[Produto]],tProdutos[Produto],0)),"produto não cadastrado")</f>
        <v>DISPUTADO</v>
      </c>
      <c r="K4875" s="12">
        <f>tItens[[#This Row],[Qtd]]*tItens[[#This Row],[Vlr unit]]</f>
        <v>4737</v>
      </c>
      <c r="L4875" s="6">
        <f>IFERROR(IF(INDEX(tProdutos[Desconto homologado],MATCH(tItens[[#This Row],[Produto]],tProdutos[Produto],0))="",DescontoPadrao,INDEX(tProdutos[Desconto homologado],MATCH(tItens[[#This Row],[Produto]],tProdutos[Produto],0))),DescontoPadrao)</f>
        <v>0.50460666194188497</v>
      </c>
      <c r="M4875" s="12">
        <f>tItens[[#This Row],[Valor]]*(1-tItens[[#This Row],[Desconto]])</f>
        <v>2346.6782423812911</v>
      </c>
      <c r="N4875" t="str">
        <f>IFERROR(INDEX(tProdutos[Foco],MATCH(tItens[[#This Row],[Produto]],tProdutos[Produto],0)),"Não")</f>
        <v>Não</v>
      </c>
      <c r="O4875" t="str">
        <f>IFERROR(INDEX(tEditais[SRP],MATCH(tItens[[#This Row],[Edital]],tEditais[Edital],0)),"Não")</f>
        <v>Sim</v>
      </c>
      <c r="P4875" s="4">
        <f>IF(COUNTIFS(INDEX(tItens[Edital],1):tItens[[#This Row],[Edital]],tItens[[#This Row],[Edital]],INDEX(tItens[Produto],1):tItens[[#This Row],[Produto]],tItens[[#This Row],[Produto]])=1,1,0)</f>
        <v>1</v>
      </c>
    </row>
    <row r="4876" spans="1:16" x14ac:dyDescent="0.25">
      <c r="A4876" t="s">
        <v>1911</v>
      </c>
      <c r="B4876">
        <v>64</v>
      </c>
      <c r="C4876" t="s">
        <v>7700</v>
      </c>
      <c r="D4876" t="s">
        <v>413</v>
      </c>
      <c r="E4876" s="13">
        <v>3000</v>
      </c>
      <c r="F4876" s="12">
        <v>2.4900000000000002</v>
      </c>
      <c r="G4876" t="str">
        <f>IFERROR(INDEX(tEditais[Órgão],MATCH(tItens[[#This Row],[Edital]],tEditais[Edital],0)),"")</f>
        <v>FUNDO MUNICIPAL DE SAUDE</v>
      </c>
      <c r="H4876" t="str">
        <f>IFERROR(INDEX(tEditais[UF],MATCH(tItens[[#This Row],[Edital]],tEditais[Edital],0)),"")</f>
        <v>PE</v>
      </c>
      <c r="I4876" s="11">
        <f>IFERROR(INDEX(tEditais[Encerramento],MATCH(tItens[[#This Row],[Edital]],tEditais[Edital],0)),"")</f>
        <v>46310.333333333336</v>
      </c>
      <c r="J4876" t="str">
        <f>IFERROR(INDEX(tProdutos[Classe],MATCH(tItens[[#This Row],[Produto]],tProdutos[Produto],0)),"produto não cadastrado")</f>
        <v>FORA</v>
      </c>
      <c r="K4876" s="12">
        <f>tItens[[#This Row],[Qtd]]*tItens[[#This Row],[Vlr unit]]</f>
        <v>7470.0000000000009</v>
      </c>
      <c r="L4876" s="6">
        <f>IFERROR(IF(INDEX(tProdutos[Desconto homologado],MATCH(tItens[[#This Row],[Produto]],tProdutos[Produto],0))="",DescontoPadrao,INDEX(tProdutos[Desconto homologado],MATCH(tItens[[#This Row],[Produto]],tProdutos[Produto],0))),DescontoPadrao)</f>
        <v>0.477732793522267</v>
      </c>
      <c r="M4876" s="12">
        <f>tItens[[#This Row],[Valor]]*(1-tItens[[#This Row],[Desconto]])</f>
        <v>3901.3360323886654</v>
      </c>
      <c r="N4876" t="str">
        <f>IFERROR(INDEX(tProdutos[Foco],MATCH(tItens[[#This Row],[Produto]],tProdutos[Produto],0)),"Não")</f>
        <v>Não</v>
      </c>
      <c r="O4876" t="str">
        <f>IFERROR(INDEX(tEditais[SRP],MATCH(tItens[[#This Row],[Edital]],tEditais[Edital],0)),"Não")</f>
        <v>Sim</v>
      </c>
      <c r="P4876" s="4">
        <f>IF(COUNTIFS(INDEX(tItens[Edital],1):tItens[[#This Row],[Edital]],tItens[[#This Row],[Edital]],INDEX(tItens[Produto],1):tItens[[#This Row],[Produto]],tItens[[#This Row],[Produto]])=1,1,0)</f>
        <v>1</v>
      </c>
    </row>
    <row r="4877" spans="1:16" x14ac:dyDescent="0.25">
      <c r="A4877" t="s">
        <v>1911</v>
      </c>
      <c r="B4877">
        <v>65</v>
      </c>
      <c r="C4877" t="s">
        <v>7701</v>
      </c>
      <c r="D4877" t="s">
        <v>399</v>
      </c>
      <c r="E4877" s="13">
        <v>10</v>
      </c>
      <c r="F4877" s="12">
        <v>12.04</v>
      </c>
      <c r="G4877" t="str">
        <f>IFERROR(INDEX(tEditais[Órgão],MATCH(tItens[[#This Row],[Edital]],tEditais[Edital],0)),"")</f>
        <v>FUNDO MUNICIPAL DE SAUDE</v>
      </c>
      <c r="H4877" t="str">
        <f>IFERROR(INDEX(tEditais[UF],MATCH(tItens[[#This Row],[Edital]],tEditais[Edital],0)),"")</f>
        <v>PE</v>
      </c>
      <c r="I4877" s="11">
        <f>IFERROR(INDEX(tEditais[Encerramento],MATCH(tItens[[#This Row],[Edital]],tEditais[Edital],0)),"")</f>
        <v>46310.333333333336</v>
      </c>
      <c r="J4877" t="str">
        <f>IFERROR(INDEX(tProdutos[Classe],MATCH(tItens[[#This Row],[Produto]],tProdutos[Produto],0)),"produto não cadastrado")</f>
        <v>FORA</v>
      </c>
      <c r="K4877" s="12">
        <f>tItens[[#This Row],[Qtd]]*tItens[[#This Row],[Vlr unit]]</f>
        <v>120.39999999999999</v>
      </c>
      <c r="L4877" s="6">
        <f>IFERROR(IF(INDEX(tProdutos[Desconto homologado],MATCH(tItens[[#This Row],[Produto]],tProdutos[Produto],0))="",DescontoPadrao,INDEX(tProdutos[Desconto homologado],MATCH(tItens[[#This Row],[Produto]],tProdutos[Produto],0))),DescontoPadrao)</f>
        <v>0.30009041591320101</v>
      </c>
      <c r="M4877" s="12">
        <f>tItens[[#This Row],[Valor]]*(1-tItens[[#This Row],[Desconto]])</f>
        <v>84.2691139240506</v>
      </c>
      <c r="N4877" t="str">
        <f>IFERROR(INDEX(tProdutos[Foco],MATCH(tItens[[#This Row],[Produto]],tProdutos[Produto],0)),"Não")</f>
        <v>Não</v>
      </c>
      <c r="O4877" t="str">
        <f>IFERROR(INDEX(tEditais[SRP],MATCH(tItens[[#This Row],[Edital]],tEditais[Edital],0)),"Não")</f>
        <v>Sim</v>
      </c>
      <c r="P4877" s="4">
        <f>IF(COUNTIFS(INDEX(tItens[Edital],1):tItens[[#This Row],[Edital]],tItens[[#This Row],[Edital]],INDEX(tItens[Produto],1):tItens[[#This Row],[Produto]],tItens[[#This Row],[Produto]])=1,1,0)</f>
        <v>1</v>
      </c>
    </row>
    <row r="4878" spans="1:16" x14ac:dyDescent="0.25">
      <c r="A4878" t="s">
        <v>1911</v>
      </c>
      <c r="B4878">
        <v>73</v>
      </c>
      <c r="C4878" t="s">
        <v>7702</v>
      </c>
      <c r="D4878" t="s">
        <v>494</v>
      </c>
      <c r="E4878" s="13">
        <v>5</v>
      </c>
      <c r="F4878" s="12">
        <v>61.89</v>
      </c>
      <c r="G4878" t="str">
        <f>IFERROR(INDEX(tEditais[Órgão],MATCH(tItens[[#This Row],[Edital]],tEditais[Edital],0)),"")</f>
        <v>FUNDO MUNICIPAL DE SAUDE</v>
      </c>
      <c r="H4878" t="str">
        <f>IFERROR(INDEX(tEditais[UF],MATCH(tItens[[#This Row],[Edital]],tEditais[Edital],0)),"")</f>
        <v>PE</v>
      </c>
      <c r="I4878" s="11">
        <f>IFERROR(INDEX(tEditais[Encerramento],MATCH(tItens[[#This Row],[Edital]],tEditais[Edital],0)),"")</f>
        <v>46310.333333333336</v>
      </c>
      <c r="J4878" t="str">
        <f>IFERROR(INDEX(tProdutos[Classe],MATCH(tItens[[#This Row],[Produto]],tProdutos[Produto],0)),"produto não cadastrado")</f>
        <v>FILA REBASE</v>
      </c>
      <c r="K4878" s="12">
        <f>tItens[[#This Row],[Qtd]]*tItens[[#This Row],[Vlr unit]]</f>
        <v>309.45</v>
      </c>
      <c r="L4878" s="6">
        <f>IFERROR(IF(INDEX(tProdutos[Desconto homologado],MATCH(tItens[[#This Row],[Produto]],tProdutos[Produto],0))="",DescontoPadrao,INDEX(tProdutos[Desconto homologado],MATCH(tItens[[#This Row],[Produto]],tProdutos[Produto],0))),DescontoPadrao)</f>
        <v>0.253736324829619</v>
      </c>
      <c r="M4878" s="12">
        <f>tItens[[#This Row],[Valor]]*(1-tItens[[#This Row],[Desconto]])</f>
        <v>230.93129428147441</v>
      </c>
      <c r="N4878" t="str">
        <f>IFERROR(INDEX(tProdutos[Foco],MATCH(tItens[[#This Row],[Produto]],tProdutos[Produto],0)),"Não")</f>
        <v>Não</v>
      </c>
      <c r="O4878" t="str">
        <f>IFERROR(INDEX(tEditais[SRP],MATCH(tItens[[#This Row],[Edital]],tEditais[Edital],0)),"Não")</f>
        <v>Sim</v>
      </c>
      <c r="P4878" s="4">
        <f>IF(COUNTIFS(INDEX(tItens[Edital],1):tItens[[#This Row],[Edital]],tItens[[#This Row],[Edital]],INDEX(tItens[Produto],1):tItens[[#This Row],[Produto]],tItens[[#This Row],[Produto]])=1,1,0)</f>
        <v>1</v>
      </c>
    </row>
    <row r="4879" spans="1:16" x14ac:dyDescent="0.25">
      <c r="A4879" t="s">
        <v>1911</v>
      </c>
      <c r="B4879">
        <v>74</v>
      </c>
      <c r="C4879" t="s">
        <v>7703</v>
      </c>
      <c r="D4879" t="s">
        <v>494</v>
      </c>
      <c r="E4879" s="13">
        <v>5</v>
      </c>
      <c r="F4879" s="12">
        <v>77.58</v>
      </c>
      <c r="G4879" t="str">
        <f>IFERROR(INDEX(tEditais[Órgão],MATCH(tItens[[#This Row],[Edital]],tEditais[Edital],0)),"")</f>
        <v>FUNDO MUNICIPAL DE SAUDE</v>
      </c>
      <c r="H4879" t="str">
        <f>IFERROR(INDEX(tEditais[UF],MATCH(tItens[[#This Row],[Edital]],tEditais[Edital],0)),"")</f>
        <v>PE</v>
      </c>
      <c r="I4879" s="11">
        <f>IFERROR(INDEX(tEditais[Encerramento],MATCH(tItens[[#This Row],[Edital]],tEditais[Edital],0)),"")</f>
        <v>46310.333333333336</v>
      </c>
      <c r="J4879" t="str">
        <f>IFERROR(INDEX(tProdutos[Classe],MATCH(tItens[[#This Row],[Produto]],tProdutos[Produto],0)),"produto não cadastrado")</f>
        <v>FILA REBASE</v>
      </c>
      <c r="K4879" s="12">
        <f>tItens[[#This Row],[Qtd]]*tItens[[#This Row],[Vlr unit]]</f>
        <v>387.9</v>
      </c>
      <c r="L4879" s="6">
        <f>IFERROR(IF(INDEX(tProdutos[Desconto homologado],MATCH(tItens[[#This Row],[Produto]],tProdutos[Produto],0))="",DescontoPadrao,INDEX(tProdutos[Desconto homologado],MATCH(tItens[[#This Row],[Produto]],tProdutos[Produto],0))),DescontoPadrao)</f>
        <v>0.253736324829619</v>
      </c>
      <c r="M4879" s="12">
        <f>tItens[[#This Row],[Valor]]*(1-tItens[[#This Row],[Desconto]])</f>
        <v>289.47567959859077</v>
      </c>
      <c r="N4879" t="str">
        <f>IFERROR(INDEX(tProdutos[Foco],MATCH(tItens[[#This Row],[Produto]],tProdutos[Produto],0)),"Não")</f>
        <v>Não</v>
      </c>
      <c r="O4879" t="str">
        <f>IFERROR(INDEX(tEditais[SRP],MATCH(tItens[[#This Row],[Edital]],tEditais[Edital],0)),"Não")</f>
        <v>Sim</v>
      </c>
      <c r="P4879" s="4">
        <f>IF(COUNTIFS(INDEX(tItens[Edital],1):tItens[[#This Row],[Edital]],tItens[[#This Row],[Edital]],INDEX(tItens[Produto],1):tItens[[#This Row],[Produto]],tItens[[#This Row],[Produto]])=1,1,0)</f>
        <v>0</v>
      </c>
    </row>
    <row r="4880" spans="1:16" x14ac:dyDescent="0.25">
      <c r="A4880" t="s">
        <v>1911</v>
      </c>
      <c r="B4880">
        <v>75</v>
      </c>
      <c r="C4880" t="s">
        <v>7704</v>
      </c>
      <c r="D4880" t="s">
        <v>494</v>
      </c>
      <c r="E4880" s="13">
        <v>10</v>
      </c>
      <c r="F4880" s="12">
        <v>103.89</v>
      </c>
      <c r="G4880" t="str">
        <f>IFERROR(INDEX(tEditais[Órgão],MATCH(tItens[[#This Row],[Edital]],tEditais[Edital],0)),"")</f>
        <v>FUNDO MUNICIPAL DE SAUDE</v>
      </c>
      <c r="H4880" t="str">
        <f>IFERROR(INDEX(tEditais[UF],MATCH(tItens[[#This Row],[Edital]],tEditais[Edital],0)),"")</f>
        <v>PE</v>
      </c>
      <c r="I4880" s="11">
        <f>IFERROR(INDEX(tEditais[Encerramento],MATCH(tItens[[#This Row],[Edital]],tEditais[Edital],0)),"")</f>
        <v>46310.333333333336</v>
      </c>
      <c r="J4880" t="str">
        <f>IFERROR(INDEX(tProdutos[Classe],MATCH(tItens[[#This Row],[Produto]],tProdutos[Produto],0)),"produto não cadastrado")</f>
        <v>FILA REBASE</v>
      </c>
      <c r="K4880" s="12">
        <f>tItens[[#This Row],[Qtd]]*tItens[[#This Row],[Vlr unit]]</f>
        <v>1038.9000000000001</v>
      </c>
      <c r="L4880" s="6">
        <f>IFERROR(IF(INDEX(tProdutos[Desconto homologado],MATCH(tItens[[#This Row],[Produto]],tProdutos[Produto],0))="",DescontoPadrao,INDEX(tProdutos[Desconto homologado],MATCH(tItens[[#This Row],[Produto]],tProdutos[Produto],0))),DescontoPadrao)</f>
        <v>0.253736324829619</v>
      </c>
      <c r="M4880" s="12">
        <f>tItens[[#This Row],[Valor]]*(1-tItens[[#This Row],[Desconto]])</f>
        <v>775.293332134509</v>
      </c>
      <c r="N4880" t="str">
        <f>IFERROR(INDEX(tProdutos[Foco],MATCH(tItens[[#This Row],[Produto]],tProdutos[Produto],0)),"Não")</f>
        <v>Não</v>
      </c>
      <c r="O4880" t="str">
        <f>IFERROR(INDEX(tEditais[SRP],MATCH(tItens[[#This Row],[Edital]],tEditais[Edital],0)),"Não")</f>
        <v>Sim</v>
      </c>
      <c r="P4880" s="4">
        <f>IF(COUNTIFS(INDEX(tItens[Edital],1):tItens[[#This Row],[Edital]],tItens[[#This Row],[Edital]],INDEX(tItens[Produto],1):tItens[[#This Row],[Produto]],tItens[[#This Row],[Produto]])=1,1,0)</f>
        <v>0</v>
      </c>
    </row>
    <row r="4881" spans="1:16" x14ac:dyDescent="0.25">
      <c r="A4881" t="s">
        <v>1911</v>
      </c>
      <c r="B4881">
        <v>76</v>
      </c>
      <c r="C4881" t="s">
        <v>7705</v>
      </c>
      <c r="D4881" t="s">
        <v>494</v>
      </c>
      <c r="E4881" s="13">
        <v>10</v>
      </c>
      <c r="F4881" s="12">
        <v>193.53</v>
      </c>
      <c r="G4881" t="str">
        <f>IFERROR(INDEX(tEditais[Órgão],MATCH(tItens[[#This Row],[Edital]],tEditais[Edital],0)),"")</f>
        <v>FUNDO MUNICIPAL DE SAUDE</v>
      </c>
      <c r="H4881" t="str">
        <f>IFERROR(INDEX(tEditais[UF],MATCH(tItens[[#This Row],[Edital]],tEditais[Edital],0)),"")</f>
        <v>PE</v>
      </c>
      <c r="I4881" s="11">
        <f>IFERROR(INDEX(tEditais[Encerramento],MATCH(tItens[[#This Row],[Edital]],tEditais[Edital],0)),"")</f>
        <v>46310.333333333336</v>
      </c>
      <c r="J4881" t="str">
        <f>IFERROR(INDEX(tProdutos[Classe],MATCH(tItens[[#This Row],[Produto]],tProdutos[Produto],0)),"produto não cadastrado")</f>
        <v>FILA REBASE</v>
      </c>
      <c r="K4881" s="12">
        <f>tItens[[#This Row],[Qtd]]*tItens[[#This Row],[Vlr unit]]</f>
        <v>1935.3</v>
      </c>
      <c r="L4881" s="6">
        <f>IFERROR(IF(INDEX(tProdutos[Desconto homologado],MATCH(tItens[[#This Row],[Produto]],tProdutos[Produto],0))="",DescontoPadrao,INDEX(tProdutos[Desconto homologado],MATCH(tItens[[#This Row],[Produto]],tProdutos[Produto],0))),DescontoPadrao)</f>
        <v>0.253736324829619</v>
      </c>
      <c r="M4881" s="12">
        <f>tItens[[#This Row],[Valor]]*(1-tItens[[#This Row],[Desconto]])</f>
        <v>1444.2440905572385</v>
      </c>
      <c r="N4881" t="str">
        <f>IFERROR(INDEX(tProdutos[Foco],MATCH(tItens[[#This Row],[Produto]],tProdutos[Produto],0)),"Não")</f>
        <v>Não</v>
      </c>
      <c r="O4881" t="str">
        <f>IFERROR(INDEX(tEditais[SRP],MATCH(tItens[[#This Row],[Edital]],tEditais[Edital],0)),"Não")</f>
        <v>Sim</v>
      </c>
      <c r="P4881" s="4">
        <f>IF(COUNTIFS(INDEX(tItens[Edital],1):tItens[[#This Row],[Edital]],tItens[[#This Row],[Edital]],INDEX(tItens[Produto],1):tItens[[#This Row],[Produto]],tItens[[#This Row],[Produto]])=1,1,0)</f>
        <v>0</v>
      </c>
    </row>
    <row r="4882" spans="1:16" x14ac:dyDescent="0.25">
      <c r="A4882" t="s">
        <v>1911</v>
      </c>
      <c r="B4882">
        <v>77</v>
      </c>
      <c r="C4882" t="s">
        <v>7706</v>
      </c>
      <c r="D4882" t="s">
        <v>494</v>
      </c>
      <c r="E4882" s="13">
        <v>6</v>
      </c>
      <c r="F4882" s="12">
        <v>166.67</v>
      </c>
      <c r="G4882" t="str">
        <f>IFERROR(INDEX(tEditais[Órgão],MATCH(tItens[[#This Row],[Edital]],tEditais[Edital],0)),"")</f>
        <v>FUNDO MUNICIPAL DE SAUDE</v>
      </c>
      <c r="H4882" t="str">
        <f>IFERROR(INDEX(tEditais[UF],MATCH(tItens[[#This Row],[Edital]],tEditais[Edital],0)),"")</f>
        <v>PE</v>
      </c>
      <c r="I4882" s="11">
        <f>IFERROR(INDEX(tEditais[Encerramento],MATCH(tItens[[#This Row],[Edital]],tEditais[Edital],0)),"")</f>
        <v>46310.333333333336</v>
      </c>
      <c r="J4882" t="str">
        <f>IFERROR(INDEX(tProdutos[Classe],MATCH(tItens[[#This Row],[Produto]],tProdutos[Produto],0)),"produto não cadastrado")</f>
        <v>FILA REBASE</v>
      </c>
      <c r="K4882" s="12">
        <f>tItens[[#This Row],[Qtd]]*tItens[[#This Row],[Vlr unit]]</f>
        <v>1000.02</v>
      </c>
      <c r="L4882" s="6">
        <f>IFERROR(IF(INDEX(tProdutos[Desconto homologado],MATCH(tItens[[#This Row],[Produto]],tProdutos[Produto],0))="",DescontoPadrao,INDEX(tProdutos[Desconto homologado],MATCH(tItens[[#This Row],[Produto]],tProdutos[Produto],0))),DescontoPadrao)</f>
        <v>0.253736324829619</v>
      </c>
      <c r="M4882" s="12">
        <f>tItens[[#This Row],[Valor]]*(1-tItens[[#This Row],[Desconto]])</f>
        <v>746.27860044388444</v>
      </c>
      <c r="N4882" t="str">
        <f>IFERROR(INDEX(tProdutos[Foco],MATCH(tItens[[#This Row],[Produto]],tProdutos[Produto],0)),"Não")</f>
        <v>Não</v>
      </c>
      <c r="O4882" t="str">
        <f>IFERROR(INDEX(tEditais[SRP],MATCH(tItens[[#This Row],[Edital]],tEditais[Edital],0)),"Não")</f>
        <v>Sim</v>
      </c>
      <c r="P4882" s="4">
        <f>IF(COUNTIFS(INDEX(tItens[Edital],1):tItens[[#This Row],[Edital]],tItens[[#This Row],[Edital]],INDEX(tItens[Produto],1):tItens[[#This Row],[Produto]],tItens[[#This Row],[Produto]])=1,1,0)</f>
        <v>0</v>
      </c>
    </row>
    <row r="4883" spans="1:16" x14ac:dyDescent="0.25">
      <c r="A4883" t="s">
        <v>1911</v>
      </c>
      <c r="B4883">
        <v>80</v>
      </c>
      <c r="C4883" t="s">
        <v>7707</v>
      </c>
      <c r="D4883" t="s">
        <v>184</v>
      </c>
      <c r="E4883" s="13">
        <v>50</v>
      </c>
      <c r="F4883" s="12">
        <v>4.84</v>
      </c>
      <c r="G4883" t="str">
        <f>IFERROR(INDEX(tEditais[Órgão],MATCH(tItens[[#This Row],[Edital]],tEditais[Edital],0)),"")</f>
        <v>FUNDO MUNICIPAL DE SAUDE</v>
      </c>
      <c r="H4883" t="str">
        <f>IFERROR(INDEX(tEditais[UF],MATCH(tItens[[#This Row],[Edital]],tEditais[Edital],0)),"")</f>
        <v>PE</v>
      </c>
      <c r="I4883" s="11">
        <f>IFERROR(INDEX(tEditais[Encerramento],MATCH(tItens[[#This Row],[Edital]],tEditais[Edital],0)),"")</f>
        <v>46310.333333333336</v>
      </c>
      <c r="J4883" t="str">
        <f>IFERROR(INDEX(tProdutos[Classe],MATCH(tItens[[#This Row],[Produto]],tProdutos[Produto],0)),"produto não cadastrado")</f>
        <v>FORA</v>
      </c>
      <c r="K4883" s="12">
        <f>tItens[[#This Row],[Qtd]]*tItens[[#This Row],[Vlr unit]]</f>
        <v>242</v>
      </c>
      <c r="L4883" s="6">
        <f>IFERROR(IF(INDEX(tProdutos[Desconto homologado],MATCH(tItens[[#This Row],[Produto]],tProdutos[Produto],0))="",DescontoPadrao,INDEX(tProdutos[Desconto homologado],MATCH(tItens[[#This Row],[Produto]],tProdutos[Produto],0))),DescontoPadrao)</f>
        <v>0.363567906332742</v>
      </c>
      <c r="M4883" s="12">
        <f>tItens[[#This Row],[Valor]]*(1-tItens[[#This Row],[Desconto]])</f>
        <v>154.01656666747644</v>
      </c>
      <c r="N4883" t="str">
        <f>IFERROR(INDEX(tProdutos[Foco],MATCH(tItens[[#This Row],[Produto]],tProdutos[Produto],0)),"Não")</f>
        <v>Não</v>
      </c>
      <c r="O4883" t="str">
        <f>IFERROR(INDEX(tEditais[SRP],MATCH(tItens[[#This Row],[Edital]],tEditais[Edital],0)),"Não")</f>
        <v>Sim</v>
      </c>
      <c r="P4883" s="4">
        <f>IF(COUNTIFS(INDEX(tItens[Edital],1):tItens[[#This Row],[Edital]],tItens[[#This Row],[Edital]],INDEX(tItens[Produto],1):tItens[[#This Row],[Produto]],tItens[[#This Row],[Produto]])=1,1,0)</f>
        <v>1</v>
      </c>
    </row>
    <row r="4884" spans="1:16" x14ac:dyDescent="0.25">
      <c r="A4884" t="s">
        <v>1911</v>
      </c>
      <c r="B4884">
        <v>81</v>
      </c>
      <c r="C4884" t="s">
        <v>7708</v>
      </c>
      <c r="D4884" t="s">
        <v>184</v>
      </c>
      <c r="E4884" s="13">
        <v>100</v>
      </c>
      <c r="F4884" s="12">
        <v>4.8499999999999996</v>
      </c>
      <c r="G4884" t="str">
        <f>IFERROR(INDEX(tEditais[Órgão],MATCH(tItens[[#This Row],[Edital]],tEditais[Edital],0)),"")</f>
        <v>FUNDO MUNICIPAL DE SAUDE</v>
      </c>
      <c r="H4884" t="str">
        <f>IFERROR(INDEX(tEditais[UF],MATCH(tItens[[#This Row],[Edital]],tEditais[Edital],0)),"")</f>
        <v>PE</v>
      </c>
      <c r="I4884" s="11">
        <f>IFERROR(INDEX(tEditais[Encerramento],MATCH(tItens[[#This Row],[Edital]],tEditais[Edital],0)),"")</f>
        <v>46310.333333333336</v>
      </c>
      <c r="J4884" t="str">
        <f>IFERROR(INDEX(tProdutos[Classe],MATCH(tItens[[#This Row],[Produto]],tProdutos[Produto],0)),"produto não cadastrado")</f>
        <v>FORA</v>
      </c>
      <c r="K4884" s="12">
        <f>tItens[[#This Row],[Qtd]]*tItens[[#This Row],[Vlr unit]]</f>
        <v>484.99999999999994</v>
      </c>
      <c r="L4884" s="6">
        <f>IFERROR(IF(INDEX(tProdutos[Desconto homologado],MATCH(tItens[[#This Row],[Produto]],tProdutos[Produto],0))="",DescontoPadrao,INDEX(tProdutos[Desconto homologado],MATCH(tItens[[#This Row],[Produto]],tProdutos[Produto],0))),DescontoPadrao)</f>
        <v>0.363567906332742</v>
      </c>
      <c r="M4884" s="12">
        <f>tItens[[#This Row],[Valor]]*(1-tItens[[#This Row],[Desconto]])</f>
        <v>308.6695654286201</v>
      </c>
      <c r="N4884" t="str">
        <f>IFERROR(INDEX(tProdutos[Foco],MATCH(tItens[[#This Row],[Produto]],tProdutos[Produto],0)),"Não")</f>
        <v>Não</v>
      </c>
      <c r="O4884" t="str">
        <f>IFERROR(INDEX(tEditais[SRP],MATCH(tItens[[#This Row],[Edital]],tEditais[Edital],0)),"Não")</f>
        <v>Sim</v>
      </c>
      <c r="P4884" s="4">
        <f>IF(COUNTIFS(INDEX(tItens[Edital],1):tItens[[#This Row],[Edital]],tItens[[#This Row],[Edital]],INDEX(tItens[Produto],1):tItens[[#This Row],[Produto]],tItens[[#This Row],[Produto]])=1,1,0)</f>
        <v>0</v>
      </c>
    </row>
    <row r="4885" spans="1:16" x14ac:dyDescent="0.25">
      <c r="A4885" t="s">
        <v>1911</v>
      </c>
      <c r="B4885">
        <v>82</v>
      </c>
      <c r="C4885" t="s">
        <v>7709</v>
      </c>
      <c r="D4885" t="s">
        <v>184</v>
      </c>
      <c r="E4885" s="13">
        <v>50</v>
      </c>
      <c r="F4885" s="12">
        <v>4.43</v>
      </c>
      <c r="G4885" t="str">
        <f>IFERROR(INDEX(tEditais[Órgão],MATCH(tItens[[#This Row],[Edital]],tEditais[Edital],0)),"")</f>
        <v>FUNDO MUNICIPAL DE SAUDE</v>
      </c>
      <c r="H4885" t="str">
        <f>IFERROR(INDEX(tEditais[UF],MATCH(tItens[[#This Row],[Edital]],tEditais[Edital],0)),"")</f>
        <v>PE</v>
      </c>
      <c r="I4885" s="11">
        <f>IFERROR(INDEX(tEditais[Encerramento],MATCH(tItens[[#This Row],[Edital]],tEditais[Edital],0)),"")</f>
        <v>46310.333333333336</v>
      </c>
      <c r="J4885" t="str">
        <f>IFERROR(INDEX(tProdutos[Classe],MATCH(tItens[[#This Row],[Produto]],tProdutos[Produto],0)),"produto não cadastrado")</f>
        <v>FORA</v>
      </c>
      <c r="K4885" s="12">
        <f>tItens[[#This Row],[Qtd]]*tItens[[#This Row],[Vlr unit]]</f>
        <v>221.5</v>
      </c>
      <c r="L4885" s="6">
        <f>IFERROR(IF(INDEX(tProdutos[Desconto homologado],MATCH(tItens[[#This Row],[Produto]],tProdutos[Produto],0))="",DescontoPadrao,INDEX(tProdutos[Desconto homologado],MATCH(tItens[[#This Row],[Produto]],tProdutos[Produto],0))),DescontoPadrao)</f>
        <v>0.363567906332742</v>
      </c>
      <c r="M4885" s="12">
        <f>tItens[[#This Row],[Valor]]*(1-tItens[[#This Row],[Desconto]])</f>
        <v>140.96970874729766</v>
      </c>
      <c r="N4885" t="str">
        <f>IFERROR(INDEX(tProdutos[Foco],MATCH(tItens[[#This Row],[Produto]],tProdutos[Produto],0)),"Não")</f>
        <v>Não</v>
      </c>
      <c r="O4885" t="str">
        <f>IFERROR(INDEX(tEditais[SRP],MATCH(tItens[[#This Row],[Edital]],tEditais[Edital],0)),"Não")</f>
        <v>Sim</v>
      </c>
      <c r="P4885" s="4">
        <f>IF(COUNTIFS(INDEX(tItens[Edital],1):tItens[[#This Row],[Edital]],tItens[[#This Row],[Edital]],INDEX(tItens[Produto],1):tItens[[#This Row],[Produto]],tItens[[#This Row],[Produto]])=1,1,0)</f>
        <v>0</v>
      </c>
    </row>
    <row r="4886" spans="1:16" x14ac:dyDescent="0.25">
      <c r="A4886" t="s">
        <v>1911</v>
      </c>
      <c r="B4886">
        <v>83</v>
      </c>
      <c r="C4886" t="s">
        <v>7710</v>
      </c>
      <c r="D4886" t="s">
        <v>184</v>
      </c>
      <c r="E4886" s="13">
        <v>50</v>
      </c>
      <c r="F4886" s="12">
        <v>4.05</v>
      </c>
      <c r="G4886" t="str">
        <f>IFERROR(INDEX(tEditais[Órgão],MATCH(tItens[[#This Row],[Edital]],tEditais[Edital],0)),"")</f>
        <v>FUNDO MUNICIPAL DE SAUDE</v>
      </c>
      <c r="H4886" t="str">
        <f>IFERROR(INDEX(tEditais[UF],MATCH(tItens[[#This Row],[Edital]],tEditais[Edital],0)),"")</f>
        <v>PE</v>
      </c>
      <c r="I4886" s="11">
        <f>IFERROR(INDEX(tEditais[Encerramento],MATCH(tItens[[#This Row],[Edital]],tEditais[Edital],0)),"")</f>
        <v>46310.333333333336</v>
      </c>
      <c r="J4886" t="str">
        <f>IFERROR(INDEX(tProdutos[Classe],MATCH(tItens[[#This Row],[Produto]],tProdutos[Produto],0)),"produto não cadastrado")</f>
        <v>FORA</v>
      </c>
      <c r="K4886" s="12">
        <f>tItens[[#This Row],[Qtd]]*tItens[[#This Row],[Vlr unit]]</f>
        <v>202.5</v>
      </c>
      <c r="L4886" s="6">
        <f>IFERROR(IF(INDEX(tProdutos[Desconto homologado],MATCH(tItens[[#This Row],[Produto]],tProdutos[Produto],0))="",DescontoPadrao,INDEX(tProdutos[Desconto homologado],MATCH(tItens[[#This Row],[Produto]],tProdutos[Produto],0))),DescontoPadrao)</f>
        <v>0.363567906332742</v>
      </c>
      <c r="M4886" s="12">
        <f>tItens[[#This Row],[Valor]]*(1-tItens[[#This Row],[Desconto]])</f>
        <v>128.87749896761974</v>
      </c>
      <c r="N4886" t="str">
        <f>IFERROR(INDEX(tProdutos[Foco],MATCH(tItens[[#This Row],[Produto]],tProdutos[Produto],0)),"Não")</f>
        <v>Não</v>
      </c>
      <c r="O4886" t="str">
        <f>IFERROR(INDEX(tEditais[SRP],MATCH(tItens[[#This Row],[Edital]],tEditais[Edital],0)),"Não")</f>
        <v>Sim</v>
      </c>
      <c r="P4886" s="4">
        <f>IF(COUNTIFS(INDEX(tItens[Edital],1):tItens[[#This Row],[Edital]],tItens[[#This Row],[Edital]],INDEX(tItens[Produto],1):tItens[[#This Row],[Produto]],tItens[[#This Row],[Produto]])=1,1,0)</f>
        <v>0</v>
      </c>
    </row>
    <row r="4887" spans="1:16" x14ac:dyDescent="0.25">
      <c r="A4887" t="s">
        <v>1911</v>
      </c>
      <c r="B4887">
        <v>84</v>
      </c>
      <c r="C4887" t="s">
        <v>7711</v>
      </c>
      <c r="D4887" t="s">
        <v>184</v>
      </c>
      <c r="E4887" s="13">
        <v>60</v>
      </c>
      <c r="F4887" s="12">
        <v>6.12</v>
      </c>
      <c r="G4887" t="str">
        <f>IFERROR(INDEX(tEditais[Órgão],MATCH(tItens[[#This Row],[Edital]],tEditais[Edital],0)),"")</f>
        <v>FUNDO MUNICIPAL DE SAUDE</v>
      </c>
      <c r="H4887" t="str">
        <f>IFERROR(INDEX(tEditais[UF],MATCH(tItens[[#This Row],[Edital]],tEditais[Edital],0)),"")</f>
        <v>PE</v>
      </c>
      <c r="I4887" s="11">
        <f>IFERROR(INDEX(tEditais[Encerramento],MATCH(tItens[[#This Row],[Edital]],tEditais[Edital],0)),"")</f>
        <v>46310.333333333336</v>
      </c>
      <c r="J4887" t="str">
        <f>IFERROR(INDEX(tProdutos[Classe],MATCH(tItens[[#This Row],[Produto]],tProdutos[Produto],0)),"produto não cadastrado")</f>
        <v>FORA</v>
      </c>
      <c r="K4887" s="12">
        <f>tItens[[#This Row],[Qtd]]*tItens[[#This Row],[Vlr unit]]</f>
        <v>367.2</v>
      </c>
      <c r="L4887" s="6">
        <f>IFERROR(IF(INDEX(tProdutos[Desconto homologado],MATCH(tItens[[#This Row],[Produto]],tProdutos[Produto],0))="",DescontoPadrao,INDEX(tProdutos[Desconto homologado],MATCH(tItens[[#This Row],[Produto]],tProdutos[Produto],0))),DescontoPadrao)</f>
        <v>0.363567906332742</v>
      </c>
      <c r="M4887" s="12">
        <f>tItens[[#This Row],[Valor]]*(1-tItens[[#This Row],[Desconto]])</f>
        <v>233.69786479461715</v>
      </c>
      <c r="N4887" t="str">
        <f>IFERROR(INDEX(tProdutos[Foco],MATCH(tItens[[#This Row],[Produto]],tProdutos[Produto],0)),"Não")</f>
        <v>Não</v>
      </c>
      <c r="O4887" t="str">
        <f>IFERROR(INDEX(tEditais[SRP],MATCH(tItens[[#This Row],[Edital]],tEditais[Edital],0)),"Não")</f>
        <v>Sim</v>
      </c>
      <c r="P4887" s="4">
        <f>IF(COUNTIFS(INDEX(tItens[Edital],1):tItens[[#This Row],[Edital]],tItens[[#This Row],[Edital]],INDEX(tItens[Produto],1):tItens[[#This Row],[Produto]],tItens[[#This Row],[Produto]])=1,1,0)</f>
        <v>0</v>
      </c>
    </row>
    <row r="4888" spans="1:16" x14ac:dyDescent="0.25">
      <c r="A4888" t="s">
        <v>1911</v>
      </c>
      <c r="B4888">
        <v>85</v>
      </c>
      <c r="C4888" t="s">
        <v>7712</v>
      </c>
      <c r="D4888" t="s">
        <v>184</v>
      </c>
      <c r="E4888" s="13">
        <v>60</v>
      </c>
      <c r="F4888" s="12">
        <v>3.77</v>
      </c>
      <c r="G4888" t="str">
        <f>IFERROR(INDEX(tEditais[Órgão],MATCH(tItens[[#This Row],[Edital]],tEditais[Edital],0)),"")</f>
        <v>FUNDO MUNICIPAL DE SAUDE</v>
      </c>
      <c r="H4888" t="str">
        <f>IFERROR(INDEX(tEditais[UF],MATCH(tItens[[#This Row],[Edital]],tEditais[Edital],0)),"")</f>
        <v>PE</v>
      </c>
      <c r="I4888" s="11">
        <f>IFERROR(INDEX(tEditais[Encerramento],MATCH(tItens[[#This Row],[Edital]],tEditais[Edital],0)),"")</f>
        <v>46310.333333333336</v>
      </c>
      <c r="J4888" t="str">
        <f>IFERROR(INDEX(tProdutos[Classe],MATCH(tItens[[#This Row],[Produto]],tProdutos[Produto],0)),"produto não cadastrado")</f>
        <v>FORA</v>
      </c>
      <c r="K4888" s="12">
        <f>tItens[[#This Row],[Qtd]]*tItens[[#This Row],[Vlr unit]]</f>
        <v>226.2</v>
      </c>
      <c r="L4888" s="6">
        <f>IFERROR(IF(INDEX(tProdutos[Desconto homologado],MATCH(tItens[[#This Row],[Produto]],tProdutos[Produto],0))="",DescontoPadrao,INDEX(tProdutos[Desconto homologado],MATCH(tItens[[#This Row],[Produto]],tProdutos[Produto],0))),DescontoPadrao)</f>
        <v>0.363567906332742</v>
      </c>
      <c r="M4888" s="12">
        <f>tItens[[#This Row],[Valor]]*(1-tItens[[#This Row],[Desconto]])</f>
        <v>143.96093958753377</v>
      </c>
      <c r="N4888" t="str">
        <f>IFERROR(INDEX(tProdutos[Foco],MATCH(tItens[[#This Row],[Produto]],tProdutos[Produto],0)),"Não")</f>
        <v>Não</v>
      </c>
      <c r="O4888" t="str">
        <f>IFERROR(INDEX(tEditais[SRP],MATCH(tItens[[#This Row],[Edital]],tEditais[Edital],0)),"Não")</f>
        <v>Sim</v>
      </c>
      <c r="P4888" s="4">
        <f>IF(COUNTIFS(INDEX(tItens[Edital],1):tItens[[#This Row],[Edital]],tItens[[#This Row],[Edital]],INDEX(tItens[Produto],1):tItens[[#This Row],[Produto]],tItens[[#This Row],[Produto]])=1,1,0)</f>
        <v>0</v>
      </c>
    </row>
    <row r="4889" spans="1:16" x14ac:dyDescent="0.25">
      <c r="A4889" t="s">
        <v>1911</v>
      </c>
      <c r="B4889">
        <v>86</v>
      </c>
      <c r="C4889" t="s">
        <v>7713</v>
      </c>
      <c r="D4889" t="s">
        <v>110</v>
      </c>
      <c r="E4889" s="13">
        <v>50</v>
      </c>
      <c r="F4889" s="12">
        <v>1.36</v>
      </c>
      <c r="G4889" t="str">
        <f>IFERROR(INDEX(tEditais[Órgão],MATCH(tItens[[#This Row],[Edital]],tEditais[Edital],0)),"")</f>
        <v>FUNDO MUNICIPAL DE SAUDE</v>
      </c>
      <c r="H4889" t="str">
        <f>IFERROR(INDEX(tEditais[UF],MATCH(tItens[[#This Row],[Edital]],tEditais[Edital],0)),"")</f>
        <v>PE</v>
      </c>
      <c r="I4889" s="11">
        <f>IFERROR(INDEX(tEditais[Encerramento],MATCH(tItens[[#This Row],[Edital]],tEditais[Edital],0)),"")</f>
        <v>46310.333333333336</v>
      </c>
      <c r="J4889" t="str">
        <f>IFERROR(INDEX(tProdutos[Classe],MATCH(tItens[[#This Row],[Produto]],tProdutos[Produto],0)),"produto não cadastrado")</f>
        <v>NÚCLEO</v>
      </c>
      <c r="K4889" s="12">
        <f>tItens[[#This Row],[Qtd]]*tItens[[#This Row],[Vlr unit]]</f>
        <v>68</v>
      </c>
      <c r="L4889" s="6">
        <f>IFERROR(IF(INDEX(tProdutos[Desconto homologado],MATCH(tItens[[#This Row],[Produto]],tProdutos[Produto],0))="",DescontoPadrao,INDEX(tProdutos[Desconto homologado],MATCH(tItens[[#This Row],[Produto]],tProdutos[Produto],0))),DescontoPadrao)</f>
        <v>0.30410958904109597</v>
      </c>
      <c r="M4889" s="12">
        <f>tItens[[#This Row],[Valor]]*(1-tItens[[#This Row],[Desconto]])</f>
        <v>47.320547945205476</v>
      </c>
      <c r="N4889" t="str">
        <f>IFERROR(INDEX(tProdutos[Foco],MATCH(tItens[[#This Row],[Produto]],tProdutos[Produto],0)),"Não")</f>
        <v>Não</v>
      </c>
      <c r="O4889" t="str">
        <f>IFERROR(INDEX(tEditais[SRP],MATCH(tItens[[#This Row],[Edital]],tEditais[Edital],0)),"Não")</f>
        <v>Sim</v>
      </c>
      <c r="P4889" s="4">
        <f>IF(COUNTIFS(INDEX(tItens[Edital],1):tItens[[#This Row],[Edital]],tItens[[#This Row],[Edital]],INDEX(tItens[Produto],1):tItens[[#This Row],[Produto]],tItens[[#This Row],[Produto]])=1,1,0)</f>
        <v>1</v>
      </c>
    </row>
    <row r="4890" spans="1:16" x14ac:dyDescent="0.25">
      <c r="A4890" t="s">
        <v>1911</v>
      </c>
      <c r="B4890">
        <v>87</v>
      </c>
      <c r="C4890" t="s">
        <v>7714</v>
      </c>
      <c r="D4890" t="s">
        <v>110</v>
      </c>
      <c r="E4890" s="13">
        <v>50</v>
      </c>
      <c r="F4890" s="12">
        <v>1.4</v>
      </c>
      <c r="G4890" t="str">
        <f>IFERROR(INDEX(tEditais[Órgão],MATCH(tItens[[#This Row],[Edital]],tEditais[Edital],0)),"")</f>
        <v>FUNDO MUNICIPAL DE SAUDE</v>
      </c>
      <c r="H4890" t="str">
        <f>IFERROR(INDEX(tEditais[UF],MATCH(tItens[[#This Row],[Edital]],tEditais[Edital],0)),"")</f>
        <v>PE</v>
      </c>
      <c r="I4890" s="11">
        <f>IFERROR(INDEX(tEditais[Encerramento],MATCH(tItens[[#This Row],[Edital]],tEditais[Edital],0)),"")</f>
        <v>46310.333333333336</v>
      </c>
      <c r="J4890" t="str">
        <f>IFERROR(INDEX(tProdutos[Classe],MATCH(tItens[[#This Row],[Produto]],tProdutos[Produto],0)),"produto não cadastrado")</f>
        <v>NÚCLEO</v>
      </c>
      <c r="K4890" s="12">
        <f>tItens[[#This Row],[Qtd]]*tItens[[#This Row],[Vlr unit]]</f>
        <v>70</v>
      </c>
      <c r="L4890" s="6">
        <f>IFERROR(IF(INDEX(tProdutos[Desconto homologado],MATCH(tItens[[#This Row],[Produto]],tProdutos[Produto],0))="",DescontoPadrao,INDEX(tProdutos[Desconto homologado],MATCH(tItens[[#This Row],[Produto]],tProdutos[Produto],0))),DescontoPadrao)</f>
        <v>0.30410958904109597</v>
      </c>
      <c r="M4890" s="12">
        <f>tItens[[#This Row],[Valor]]*(1-tItens[[#This Row],[Desconto]])</f>
        <v>48.712328767123282</v>
      </c>
      <c r="N4890" t="str">
        <f>IFERROR(INDEX(tProdutos[Foco],MATCH(tItens[[#This Row],[Produto]],tProdutos[Produto],0)),"Não")</f>
        <v>Não</v>
      </c>
      <c r="O4890" t="str">
        <f>IFERROR(INDEX(tEditais[SRP],MATCH(tItens[[#This Row],[Edital]],tEditais[Edital],0)),"Não")</f>
        <v>Sim</v>
      </c>
      <c r="P4890" s="4">
        <f>IF(COUNTIFS(INDEX(tItens[Edital],1):tItens[[#This Row],[Edital]],tItens[[#This Row],[Edital]],INDEX(tItens[Produto],1):tItens[[#This Row],[Produto]],tItens[[#This Row],[Produto]])=1,1,0)</f>
        <v>0</v>
      </c>
    </row>
    <row r="4891" spans="1:16" x14ac:dyDescent="0.25">
      <c r="A4891" t="s">
        <v>1911</v>
      </c>
      <c r="B4891">
        <v>88</v>
      </c>
      <c r="C4891" t="s">
        <v>7715</v>
      </c>
      <c r="D4891" t="s">
        <v>110</v>
      </c>
      <c r="E4891" s="13">
        <v>50</v>
      </c>
      <c r="F4891" s="12">
        <v>2.2200000000000002</v>
      </c>
      <c r="G4891" t="str">
        <f>IFERROR(INDEX(tEditais[Órgão],MATCH(tItens[[#This Row],[Edital]],tEditais[Edital],0)),"")</f>
        <v>FUNDO MUNICIPAL DE SAUDE</v>
      </c>
      <c r="H4891" t="str">
        <f>IFERROR(INDEX(tEditais[UF],MATCH(tItens[[#This Row],[Edital]],tEditais[Edital],0)),"")</f>
        <v>PE</v>
      </c>
      <c r="I4891" s="11">
        <f>IFERROR(INDEX(tEditais[Encerramento],MATCH(tItens[[#This Row],[Edital]],tEditais[Edital],0)),"")</f>
        <v>46310.333333333336</v>
      </c>
      <c r="J4891" t="str">
        <f>IFERROR(INDEX(tProdutos[Classe],MATCH(tItens[[#This Row],[Produto]],tProdutos[Produto],0)),"produto não cadastrado")</f>
        <v>NÚCLEO</v>
      </c>
      <c r="K4891" s="12">
        <f>tItens[[#This Row],[Qtd]]*tItens[[#This Row],[Vlr unit]]</f>
        <v>111.00000000000001</v>
      </c>
      <c r="L4891" s="6">
        <f>IFERROR(IF(INDEX(tProdutos[Desconto homologado],MATCH(tItens[[#This Row],[Produto]],tProdutos[Produto],0))="",DescontoPadrao,INDEX(tProdutos[Desconto homologado],MATCH(tItens[[#This Row],[Produto]],tProdutos[Produto],0))),DescontoPadrao)</f>
        <v>0.30410958904109597</v>
      </c>
      <c r="M4891" s="12">
        <f>tItens[[#This Row],[Valor]]*(1-tItens[[#This Row],[Desconto]])</f>
        <v>77.243835616438361</v>
      </c>
      <c r="N4891" t="str">
        <f>IFERROR(INDEX(tProdutos[Foco],MATCH(tItens[[#This Row],[Produto]],tProdutos[Produto],0)),"Não")</f>
        <v>Não</v>
      </c>
      <c r="O4891" t="str">
        <f>IFERROR(INDEX(tEditais[SRP],MATCH(tItens[[#This Row],[Edital]],tEditais[Edital],0)),"Não")</f>
        <v>Sim</v>
      </c>
      <c r="P4891" s="4">
        <f>IF(COUNTIFS(INDEX(tItens[Edital],1):tItens[[#This Row],[Edital]],tItens[[#This Row],[Edital]],INDEX(tItens[Produto],1):tItens[[#This Row],[Produto]],tItens[[#This Row],[Produto]])=1,1,0)</f>
        <v>0</v>
      </c>
    </row>
    <row r="4892" spans="1:16" x14ac:dyDescent="0.25">
      <c r="A4892" t="s">
        <v>1911</v>
      </c>
      <c r="B4892">
        <v>89</v>
      </c>
      <c r="C4892" t="s">
        <v>7716</v>
      </c>
      <c r="D4892" t="s">
        <v>110</v>
      </c>
      <c r="E4892" s="13">
        <v>50</v>
      </c>
      <c r="F4892" s="12">
        <v>3.03</v>
      </c>
      <c r="G4892" t="str">
        <f>IFERROR(INDEX(tEditais[Órgão],MATCH(tItens[[#This Row],[Edital]],tEditais[Edital],0)),"")</f>
        <v>FUNDO MUNICIPAL DE SAUDE</v>
      </c>
      <c r="H4892" t="str">
        <f>IFERROR(INDEX(tEditais[UF],MATCH(tItens[[#This Row],[Edital]],tEditais[Edital],0)),"")</f>
        <v>PE</v>
      </c>
      <c r="I4892" s="11">
        <f>IFERROR(INDEX(tEditais[Encerramento],MATCH(tItens[[#This Row],[Edital]],tEditais[Edital],0)),"")</f>
        <v>46310.333333333336</v>
      </c>
      <c r="J4892" t="str">
        <f>IFERROR(INDEX(tProdutos[Classe],MATCH(tItens[[#This Row],[Produto]],tProdutos[Produto],0)),"produto não cadastrado")</f>
        <v>NÚCLEO</v>
      </c>
      <c r="K4892" s="12">
        <f>tItens[[#This Row],[Qtd]]*tItens[[#This Row],[Vlr unit]]</f>
        <v>151.5</v>
      </c>
      <c r="L4892" s="6">
        <f>IFERROR(IF(INDEX(tProdutos[Desconto homologado],MATCH(tItens[[#This Row],[Produto]],tProdutos[Produto],0))="",DescontoPadrao,INDEX(tProdutos[Desconto homologado],MATCH(tItens[[#This Row],[Produto]],tProdutos[Produto],0))),DescontoPadrao)</f>
        <v>0.30410958904109597</v>
      </c>
      <c r="M4892" s="12">
        <f>tItens[[#This Row],[Valor]]*(1-tItens[[#This Row],[Desconto]])</f>
        <v>105.42739726027396</v>
      </c>
      <c r="N4892" t="str">
        <f>IFERROR(INDEX(tProdutos[Foco],MATCH(tItens[[#This Row],[Produto]],tProdutos[Produto],0)),"Não")</f>
        <v>Não</v>
      </c>
      <c r="O4892" t="str">
        <f>IFERROR(INDEX(tEditais[SRP],MATCH(tItens[[#This Row],[Edital]],tEditais[Edital],0)),"Não")</f>
        <v>Sim</v>
      </c>
      <c r="P4892" s="4">
        <f>IF(COUNTIFS(INDEX(tItens[Edital],1):tItens[[#This Row],[Edital]],tItens[[#This Row],[Edital]],INDEX(tItens[Produto],1):tItens[[#This Row],[Produto]],tItens[[#This Row],[Produto]])=1,1,0)</f>
        <v>0</v>
      </c>
    </row>
    <row r="4893" spans="1:16" x14ac:dyDescent="0.25">
      <c r="A4893" t="s">
        <v>1911</v>
      </c>
      <c r="B4893">
        <v>90</v>
      </c>
      <c r="C4893" t="s">
        <v>7717</v>
      </c>
      <c r="D4893" t="s">
        <v>110</v>
      </c>
      <c r="E4893" s="13">
        <v>50</v>
      </c>
      <c r="F4893" s="12">
        <v>3.87</v>
      </c>
      <c r="G4893" t="str">
        <f>IFERROR(INDEX(tEditais[Órgão],MATCH(tItens[[#This Row],[Edital]],tEditais[Edital],0)),"")</f>
        <v>FUNDO MUNICIPAL DE SAUDE</v>
      </c>
      <c r="H4893" t="str">
        <f>IFERROR(INDEX(tEditais[UF],MATCH(tItens[[#This Row],[Edital]],tEditais[Edital],0)),"")</f>
        <v>PE</v>
      </c>
      <c r="I4893" s="11">
        <f>IFERROR(INDEX(tEditais[Encerramento],MATCH(tItens[[#This Row],[Edital]],tEditais[Edital],0)),"")</f>
        <v>46310.333333333336</v>
      </c>
      <c r="J4893" t="str">
        <f>IFERROR(INDEX(tProdutos[Classe],MATCH(tItens[[#This Row],[Produto]],tProdutos[Produto],0)),"produto não cadastrado")</f>
        <v>NÚCLEO</v>
      </c>
      <c r="K4893" s="12">
        <f>tItens[[#This Row],[Qtd]]*tItens[[#This Row],[Vlr unit]]</f>
        <v>193.5</v>
      </c>
      <c r="L4893" s="6">
        <f>IFERROR(IF(INDEX(tProdutos[Desconto homologado],MATCH(tItens[[#This Row],[Produto]],tProdutos[Produto],0))="",DescontoPadrao,INDEX(tProdutos[Desconto homologado],MATCH(tItens[[#This Row],[Produto]],tProdutos[Produto],0))),DescontoPadrao)</f>
        <v>0.30410958904109597</v>
      </c>
      <c r="M4893" s="12">
        <f>tItens[[#This Row],[Valor]]*(1-tItens[[#This Row],[Desconto]])</f>
        <v>134.65479452054794</v>
      </c>
      <c r="N4893" t="str">
        <f>IFERROR(INDEX(tProdutos[Foco],MATCH(tItens[[#This Row],[Produto]],tProdutos[Produto],0)),"Não")</f>
        <v>Não</v>
      </c>
      <c r="O4893" t="str">
        <f>IFERROR(INDEX(tEditais[SRP],MATCH(tItens[[#This Row],[Edital]],tEditais[Edital],0)),"Não")</f>
        <v>Sim</v>
      </c>
      <c r="P4893" s="4">
        <f>IF(COUNTIFS(INDEX(tItens[Edital],1):tItens[[#This Row],[Edital]],tItens[[#This Row],[Edital]],INDEX(tItens[Produto],1):tItens[[#This Row],[Produto]],tItens[[#This Row],[Produto]])=1,1,0)</f>
        <v>0</v>
      </c>
    </row>
    <row r="4894" spans="1:16" x14ac:dyDescent="0.25">
      <c r="A4894" t="s">
        <v>1911</v>
      </c>
      <c r="B4894">
        <v>95</v>
      </c>
      <c r="C4894" t="s">
        <v>7718</v>
      </c>
      <c r="D4894" t="s">
        <v>114</v>
      </c>
      <c r="E4894" s="13">
        <v>10000</v>
      </c>
      <c r="F4894" s="12">
        <v>0.13</v>
      </c>
      <c r="G4894" t="str">
        <f>IFERROR(INDEX(tEditais[Órgão],MATCH(tItens[[#This Row],[Edital]],tEditais[Edital],0)),"")</f>
        <v>FUNDO MUNICIPAL DE SAUDE</v>
      </c>
      <c r="H4894" t="str">
        <f>IFERROR(INDEX(tEditais[UF],MATCH(tItens[[#This Row],[Edital]],tEditais[Edital],0)),"")</f>
        <v>PE</v>
      </c>
      <c r="I4894" s="11">
        <f>IFERROR(INDEX(tEditais[Encerramento],MATCH(tItens[[#This Row],[Edital]],tEditais[Edital],0)),"")</f>
        <v>46310.333333333336</v>
      </c>
      <c r="J4894" t="str">
        <f>IFERROR(INDEX(tProdutos[Classe],MATCH(tItens[[#This Row],[Produto]],tProdutos[Produto],0)),"produto não cadastrado")</f>
        <v>DISPUTADO</v>
      </c>
      <c r="K4894" s="12">
        <f>tItens[[#This Row],[Qtd]]*tItens[[#This Row],[Vlr unit]]</f>
        <v>1300</v>
      </c>
      <c r="L4894" s="6">
        <f>IFERROR(IF(INDEX(tProdutos[Desconto homologado],MATCH(tItens[[#This Row],[Produto]],tProdutos[Produto],0))="",DescontoPadrao,INDEX(tProdutos[Desconto homologado],MATCH(tItens[[#This Row],[Produto]],tProdutos[Produto],0))),DescontoPadrao)</f>
        <v>0.24332656063896899</v>
      </c>
      <c r="M4894" s="12">
        <f>tItens[[#This Row],[Valor]]*(1-tItens[[#This Row],[Desconto]])</f>
        <v>983.67547116934031</v>
      </c>
      <c r="N4894" t="str">
        <f>IFERROR(INDEX(tProdutos[Foco],MATCH(tItens[[#This Row],[Produto]],tProdutos[Produto],0)),"Não")</f>
        <v>Não</v>
      </c>
      <c r="O4894" t="str">
        <f>IFERROR(INDEX(tEditais[SRP],MATCH(tItens[[#This Row],[Edital]],tEditais[Edital],0)),"Não")</f>
        <v>Sim</v>
      </c>
      <c r="P4894" s="4">
        <f>IF(COUNTIFS(INDEX(tItens[Edital],1):tItens[[#This Row],[Edital]],tItens[[#This Row],[Edital]],INDEX(tItens[Produto],1):tItens[[#This Row],[Produto]],tItens[[#This Row],[Produto]])=1,1,0)</f>
        <v>1</v>
      </c>
    </row>
    <row r="4895" spans="1:16" x14ac:dyDescent="0.25">
      <c r="A4895" t="s">
        <v>1915</v>
      </c>
      <c r="B4895">
        <v>12</v>
      </c>
      <c r="C4895" t="s">
        <v>7719</v>
      </c>
      <c r="D4895" t="s">
        <v>77</v>
      </c>
      <c r="E4895" s="13">
        <v>15</v>
      </c>
      <c r="F4895" s="12">
        <v>3.98</v>
      </c>
      <c r="G4895" t="str">
        <f>IFERROR(INDEX(tEditais[Órgão],MATCH(tItens[[#This Row],[Edital]],tEditais[Edital],0)),"")</f>
        <v>SUPERINTENDENCIA DO DESENVOLVIMENTO DO NORDESTE - SUDENE</v>
      </c>
      <c r="H4895" t="str">
        <f>IFERROR(INDEX(tEditais[UF],MATCH(tItens[[#This Row],[Edital]],tEditais[Edital],0)),"")</f>
        <v>PE</v>
      </c>
      <c r="I4895" s="11">
        <f>IFERROR(INDEX(tEditais[Encerramento],MATCH(tItens[[#This Row],[Edital]],tEditais[Edital],0)),"")</f>
        <v>46310.333333333336</v>
      </c>
      <c r="J4895" t="str">
        <f>IFERROR(INDEX(tProdutos[Classe],MATCH(tItens[[#This Row],[Produto]],tProdutos[Produto],0)),"produto não cadastrado")</f>
        <v>DISPUTADO</v>
      </c>
      <c r="K4895" s="12">
        <f>tItens[[#This Row],[Qtd]]*tItens[[#This Row],[Vlr unit]]</f>
        <v>59.7</v>
      </c>
      <c r="L4895" s="6">
        <f>IFERROR(IF(INDEX(tProdutos[Desconto homologado],MATCH(tItens[[#This Row],[Produto]],tProdutos[Produto],0))="",DescontoPadrao,INDEX(tProdutos[Desconto homologado],MATCH(tItens[[#This Row],[Produto]],tProdutos[Produto],0))),DescontoPadrao)</f>
        <v>0.33</v>
      </c>
      <c r="M4895" s="12">
        <f>tItens[[#This Row],[Valor]]*(1-tItens[[#This Row],[Desconto]])</f>
        <v>39.998999999999995</v>
      </c>
      <c r="N4895" t="str">
        <f>IFERROR(INDEX(tProdutos[Foco],MATCH(tItens[[#This Row],[Produto]],tProdutos[Produto],0)),"Não")</f>
        <v>Sim</v>
      </c>
      <c r="O4895" t="str">
        <f>IFERROR(INDEX(tEditais[SRP],MATCH(tItens[[#This Row],[Edital]],tEditais[Edital],0)),"Não")</f>
        <v>Não</v>
      </c>
      <c r="P4895" s="4">
        <f>IF(COUNTIFS(INDEX(tItens[Edital],1):tItens[[#This Row],[Edital]],tItens[[#This Row],[Edital]],INDEX(tItens[Produto],1):tItens[[#This Row],[Produto]],tItens[[#This Row],[Produto]])=1,1,0)</f>
        <v>1</v>
      </c>
    </row>
    <row r="4896" spans="1:16" x14ac:dyDescent="0.25">
      <c r="A4896" t="s">
        <v>1915</v>
      </c>
      <c r="B4896">
        <v>13</v>
      </c>
      <c r="C4896" t="s">
        <v>7720</v>
      </c>
      <c r="D4896" t="s">
        <v>467</v>
      </c>
      <c r="E4896" s="13">
        <v>12</v>
      </c>
      <c r="F4896" s="12">
        <v>29.55</v>
      </c>
      <c r="G4896" t="str">
        <f>IFERROR(INDEX(tEditais[Órgão],MATCH(tItens[[#This Row],[Edital]],tEditais[Edital],0)),"")</f>
        <v>SUPERINTENDENCIA DO DESENVOLVIMENTO DO NORDESTE - SUDENE</v>
      </c>
      <c r="H4896" t="str">
        <f>IFERROR(INDEX(tEditais[UF],MATCH(tItens[[#This Row],[Edital]],tEditais[Edital],0)),"")</f>
        <v>PE</v>
      </c>
      <c r="I4896" s="11">
        <f>IFERROR(INDEX(tEditais[Encerramento],MATCH(tItens[[#This Row],[Edital]],tEditais[Edital],0)),"")</f>
        <v>46310.333333333336</v>
      </c>
      <c r="J4896" t="str">
        <f>IFERROR(INDEX(tProdutos[Classe],MATCH(tItens[[#This Row],[Produto]],tProdutos[Produto],0)),"produto não cadastrado")</f>
        <v>FILA REBASE</v>
      </c>
      <c r="K4896" s="12">
        <f>tItens[[#This Row],[Qtd]]*tItens[[#This Row],[Vlr unit]]</f>
        <v>354.6</v>
      </c>
      <c r="L4896" s="6">
        <f>IFERROR(IF(INDEX(tProdutos[Desconto homologado],MATCH(tItens[[#This Row],[Produto]],tProdutos[Produto],0))="",DescontoPadrao,INDEX(tProdutos[Desconto homologado],MATCH(tItens[[#This Row],[Produto]],tProdutos[Produto],0))),DescontoPadrao)</f>
        <v>0.25007144898542499</v>
      </c>
      <c r="M4896" s="12">
        <f>tItens[[#This Row],[Valor]]*(1-tItens[[#This Row],[Desconto]])</f>
        <v>265.92466418976829</v>
      </c>
      <c r="N4896" t="str">
        <f>IFERROR(INDEX(tProdutos[Foco],MATCH(tItens[[#This Row],[Produto]],tProdutos[Produto],0)),"Não")</f>
        <v>Não</v>
      </c>
      <c r="O4896" t="str">
        <f>IFERROR(INDEX(tEditais[SRP],MATCH(tItens[[#This Row],[Edital]],tEditais[Edital],0)),"Não")</f>
        <v>Não</v>
      </c>
      <c r="P4896" s="4">
        <f>IF(COUNTIFS(INDEX(tItens[Edital],1):tItens[[#This Row],[Edital]],tItens[[#This Row],[Edital]],INDEX(tItens[Produto],1):tItens[[#This Row],[Produto]],tItens[[#This Row],[Produto]])=1,1,0)</f>
        <v>1</v>
      </c>
    </row>
    <row r="4897" spans="1:16" x14ac:dyDescent="0.25">
      <c r="A4897" t="s">
        <v>1915</v>
      </c>
      <c r="B4897">
        <v>14</v>
      </c>
      <c r="C4897" t="s">
        <v>4243</v>
      </c>
      <c r="D4897" t="s">
        <v>413</v>
      </c>
      <c r="E4897" s="13">
        <v>300</v>
      </c>
      <c r="F4897" s="12">
        <v>1.2</v>
      </c>
      <c r="G4897" t="str">
        <f>IFERROR(INDEX(tEditais[Órgão],MATCH(tItens[[#This Row],[Edital]],tEditais[Edital],0)),"")</f>
        <v>SUPERINTENDENCIA DO DESENVOLVIMENTO DO NORDESTE - SUDENE</v>
      </c>
      <c r="H4897" t="str">
        <f>IFERROR(INDEX(tEditais[UF],MATCH(tItens[[#This Row],[Edital]],tEditais[Edital],0)),"")</f>
        <v>PE</v>
      </c>
      <c r="I4897" s="11">
        <f>IFERROR(INDEX(tEditais[Encerramento],MATCH(tItens[[#This Row],[Edital]],tEditais[Edital],0)),"")</f>
        <v>46310.333333333336</v>
      </c>
      <c r="J4897" t="str">
        <f>IFERROR(INDEX(tProdutos[Classe],MATCH(tItens[[#This Row],[Produto]],tProdutos[Produto],0)),"produto não cadastrado")</f>
        <v>FORA</v>
      </c>
      <c r="K4897" s="12">
        <f>tItens[[#This Row],[Qtd]]*tItens[[#This Row],[Vlr unit]]</f>
        <v>360</v>
      </c>
      <c r="L4897" s="6">
        <f>IFERROR(IF(INDEX(tProdutos[Desconto homologado],MATCH(tItens[[#This Row],[Produto]],tProdutos[Produto],0))="",DescontoPadrao,INDEX(tProdutos[Desconto homologado],MATCH(tItens[[#This Row],[Produto]],tProdutos[Produto],0))),DescontoPadrao)</f>
        <v>0.477732793522267</v>
      </c>
      <c r="M4897" s="12">
        <f>tItens[[#This Row],[Valor]]*(1-tItens[[#This Row],[Desconto]])</f>
        <v>188.01619433198385</v>
      </c>
      <c r="N4897" t="str">
        <f>IFERROR(INDEX(tProdutos[Foco],MATCH(tItens[[#This Row],[Produto]],tProdutos[Produto],0)),"Não")</f>
        <v>Não</v>
      </c>
      <c r="O4897" t="str">
        <f>IFERROR(INDEX(tEditais[SRP],MATCH(tItens[[#This Row],[Edital]],tEditais[Edital],0)),"Não")</f>
        <v>Não</v>
      </c>
      <c r="P4897" s="4">
        <f>IF(COUNTIFS(INDEX(tItens[Edital],1):tItens[[#This Row],[Edital]],tItens[[#This Row],[Edital]],INDEX(tItens[Produto],1):tItens[[#This Row],[Produto]],tItens[[#This Row],[Produto]])=1,1,0)</f>
        <v>1</v>
      </c>
    </row>
    <row r="4898" spans="1:16" x14ac:dyDescent="0.25">
      <c r="A4898" t="s">
        <v>1915</v>
      </c>
      <c r="B4898">
        <v>36</v>
      </c>
      <c r="C4898" t="s">
        <v>7721</v>
      </c>
      <c r="D4898" t="s">
        <v>277</v>
      </c>
      <c r="E4898" s="13">
        <v>200</v>
      </c>
      <c r="F4898" s="12">
        <v>4.43</v>
      </c>
      <c r="G4898" t="str">
        <f>IFERROR(INDEX(tEditais[Órgão],MATCH(tItens[[#This Row],[Edital]],tEditais[Edital],0)),"")</f>
        <v>SUPERINTENDENCIA DO DESENVOLVIMENTO DO NORDESTE - SUDENE</v>
      </c>
      <c r="H4898" t="str">
        <f>IFERROR(INDEX(tEditais[UF],MATCH(tItens[[#This Row],[Edital]],tEditais[Edital],0)),"")</f>
        <v>PE</v>
      </c>
      <c r="I4898" s="11">
        <f>IFERROR(INDEX(tEditais[Encerramento],MATCH(tItens[[#This Row],[Edital]],tEditais[Edital],0)),"")</f>
        <v>46310.333333333336</v>
      </c>
      <c r="J4898" t="str">
        <f>IFERROR(INDEX(tProdutos[Classe],MATCH(tItens[[#This Row],[Produto]],tProdutos[Produto],0)),"produto não cadastrado")</f>
        <v>DISPUTADO</v>
      </c>
      <c r="K4898" s="12">
        <f>tItens[[#This Row],[Qtd]]*tItens[[#This Row],[Vlr unit]]</f>
        <v>886</v>
      </c>
      <c r="L4898" s="6">
        <f>IFERROR(IF(INDEX(tProdutos[Desconto homologado],MATCH(tItens[[#This Row],[Produto]],tProdutos[Produto],0))="",DescontoPadrao,INDEX(tProdutos[Desconto homologado],MATCH(tItens[[#This Row],[Produto]],tProdutos[Produto],0))),DescontoPadrao)</f>
        <v>0.50460666194188497</v>
      </c>
      <c r="M4898" s="12">
        <f>tItens[[#This Row],[Valor]]*(1-tItens[[#This Row],[Desconto]])</f>
        <v>438.9184975194899</v>
      </c>
      <c r="N4898" t="str">
        <f>IFERROR(INDEX(tProdutos[Foco],MATCH(tItens[[#This Row],[Produto]],tProdutos[Produto],0)),"Não")</f>
        <v>Não</v>
      </c>
      <c r="O4898" t="str">
        <f>IFERROR(INDEX(tEditais[SRP],MATCH(tItens[[#This Row],[Edital]],tEditais[Edital],0)),"Não")</f>
        <v>Não</v>
      </c>
      <c r="P4898" s="4">
        <f>IF(COUNTIFS(INDEX(tItens[Edital],1):tItens[[#This Row],[Edital]],tItens[[#This Row],[Edital]],INDEX(tItens[Produto],1):tItens[[#This Row],[Produto]],tItens[[#This Row],[Produto]])=1,1,0)</f>
        <v>1</v>
      </c>
    </row>
    <row r="4899" spans="1:16" x14ac:dyDescent="0.25">
      <c r="A4899" t="s">
        <v>1919</v>
      </c>
      <c r="B4899">
        <v>6</v>
      </c>
      <c r="C4899" t="s">
        <v>7722</v>
      </c>
      <c r="D4899" t="s">
        <v>82</v>
      </c>
      <c r="E4899" s="13">
        <v>35</v>
      </c>
      <c r="F4899" s="12">
        <v>43.03</v>
      </c>
      <c r="G4899" t="str">
        <f>IFERROR(INDEX(tEditais[Órgão],MATCH(tItens[[#This Row],[Edital]],tEditais[Edital],0)),"")</f>
        <v>MUNICIPIO DE FREI MIGUELINHO</v>
      </c>
      <c r="H4899" t="str">
        <f>IFERROR(INDEX(tEditais[UF],MATCH(tItens[[#This Row],[Edital]],tEditais[Edital],0)),"")</f>
        <v>PE</v>
      </c>
      <c r="I4899" s="11">
        <f>IFERROR(INDEX(tEditais[Encerramento],MATCH(tItens[[#This Row],[Edital]],tEditais[Edital],0)),"")</f>
        <v>46310.375</v>
      </c>
      <c r="J4899" t="str">
        <f>IFERROR(INDEX(tProdutos[Classe],MATCH(tItens[[#This Row],[Produto]],tProdutos[Produto],0)),"produto não cadastrado")</f>
        <v>NÚCLEO</v>
      </c>
      <c r="K4899" s="12">
        <f>tItens[[#This Row],[Qtd]]*tItens[[#This Row],[Vlr unit]]</f>
        <v>1506.05</v>
      </c>
      <c r="L4899" s="6">
        <f>IFERROR(IF(INDEX(tProdutos[Desconto homologado],MATCH(tItens[[#This Row],[Produto]],tProdutos[Produto],0))="",DescontoPadrao,INDEX(tProdutos[Desconto homologado],MATCH(tItens[[#This Row],[Produto]],tProdutos[Produto],0))),DescontoPadrao)</f>
        <v>0.40487090276506099</v>
      </c>
      <c r="M4899" s="12">
        <f>tItens[[#This Row],[Valor]]*(1-tItens[[#This Row],[Desconto]])</f>
        <v>896.29417689067986</v>
      </c>
      <c r="N4899" t="str">
        <f>IFERROR(INDEX(tProdutos[Foco],MATCH(tItens[[#This Row],[Produto]],tProdutos[Produto],0)),"Não")</f>
        <v>Não</v>
      </c>
      <c r="O4899" t="str">
        <f>IFERROR(INDEX(tEditais[SRP],MATCH(tItens[[#This Row],[Edital]],tEditais[Edital],0)),"Não")</f>
        <v>Não</v>
      </c>
      <c r="P4899" s="4">
        <f>IF(COUNTIFS(INDEX(tItens[Edital],1):tItens[[#This Row],[Edital]],tItens[[#This Row],[Edital]],INDEX(tItens[Produto],1):tItens[[#This Row],[Produto]],tItens[[#This Row],[Produto]])=1,1,0)</f>
        <v>1</v>
      </c>
    </row>
    <row r="4900" spans="1:16" x14ac:dyDescent="0.25">
      <c r="A4900" t="s">
        <v>1919</v>
      </c>
      <c r="B4900">
        <v>60</v>
      </c>
      <c r="C4900" t="s">
        <v>7723</v>
      </c>
      <c r="D4900" t="s">
        <v>461</v>
      </c>
      <c r="E4900" s="13">
        <v>60</v>
      </c>
      <c r="F4900" s="12">
        <v>51.14</v>
      </c>
      <c r="G4900" t="str">
        <f>IFERROR(INDEX(tEditais[Órgão],MATCH(tItens[[#This Row],[Edital]],tEditais[Edital],0)),"")</f>
        <v>MUNICIPIO DE FREI MIGUELINHO</v>
      </c>
      <c r="H4900" t="str">
        <f>IFERROR(INDEX(tEditais[UF],MATCH(tItens[[#This Row],[Edital]],tEditais[Edital],0)),"")</f>
        <v>PE</v>
      </c>
      <c r="I4900" s="11">
        <f>IFERROR(INDEX(tEditais[Encerramento],MATCH(tItens[[#This Row],[Edital]],tEditais[Edital],0)),"")</f>
        <v>46310.375</v>
      </c>
      <c r="J4900" t="str">
        <f>IFERROR(INDEX(tProdutos[Classe],MATCH(tItens[[#This Row],[Produto]],tProdutos[Produto],0)),"produto não cadastrado")</f>
        <v>FILA REBASE</v>
      </c>
      <c r="K4900" s="12">
        <f>tItens[[#This Row],[Qtd]]*tItens[[#This Row],[Vlr unit]]</f>
        <v>3068.4</v>
      </c>
      <c r="L4900" s="6">
        <f>IFERROR(IF(INDEX(tProdutos[Desconto homologado],MATCH(tItens[[#This Row],[Produto]],tProdutos[Produto],0))="",DescontoPadrao,INDEX(tProdutos[Desconto homologado],MATCH(tItens[[#This Row],[Produto]],tProdutos[Produto],0))),DescontoPadrao)</f>
        <v>0.44096385542168698</v>
      </c>
      <c r="M4900" s="12">
        <f>tItens[[#This Row],[Valor]]*(1-tItens[[#This Row],[Desconto]])</f>
        <v>1715.3465060240956</v>
      </c>
      <c r="N4900" t="str">
        <f>IFERROR(INDEX(tProdutos[Foco],MATCH(tItens[[#This Row],[Produto]],tProdutos[Produto],0)),"Não")</f>
        <v>Não</v>
      </c>
      <c r="O4900" t="str">
        <f>IFERROR(INDEX(tEditais[SRP],MATCH(tItens[[#This Row],[Edital]],tEditais[Edital],0)),"Não")</f>
        <v>Não</v>
      </c>
      <c r="P4900" s="4">
        <f>IF(COUNTIFS(INDEX(tItens[Edital],1):tItens[[#This Row],[Edital]],tItens[[#This Row],[Edital]],INDEX(tItens[Produto],1):tItens[[#This Row],[Produto]],tItens[[#This Row],[Produto]])=1,1,0)</f>
        <v>1</v>
      </c>
    </row>
    <row r="4901" spans="1:16" x14ac:dyDescent="0.25">
      <c r="A4901" t="s">
        <v>1919</v>
      </c>
      <c r="B4901">
        <v>78</v>
      </c>
      <c r="C4901" t="s">
        <v>7724</v>
      </c>
      <c r="D4901" t="s">
        <v>313</v>
      </c>
      <c r="E4901" s="13">
        <v>30</v>
      </c>
      <c r="F4901" s="12">
        <v>32.04</v>
      </c>
      <c r="G4901" t="str">
        <f>IFERROR(INDEX(tEditais[Órgão],MATCH(tItens[[#This Row],[Edital]],tEditais[Edital],0)),"")</f>
        <v>MUNICIPIO DE FREI MIGUELINHO</v>
      </c>
      <c r="H4901" t="str">
        <f>IFERROR(INDEX(tEditais[UF],MATCH(tItens[[#This Row],[Edital]],tEditais[Edital],0)),"")</f>
        <v>PE</v>
      </c>
      <c r="I4901" s="11">
        <f>IFERROR(INDEX(tEditais[Encerramento],MATCH(tItens[[#This Row],[Edital]],tEditais[Edital],0)),"")</f>
        <v>46310.375</v>
      </c>
      <c r="J4901" t="str">
        <f>IFERROR(INDEX(tProdutos[Classe],MATCH(tItens[[#This Row],[Produto]],tProdutos[Produto],0)),"produto não cadastrado")</f>
        <v>FORA</v>
      </c>
      <c r="K4901" s="12">
        <f>tItens[[#This Row],[Qtd]]*tItens[[#This Row],[Vlr unit]]</f>
        <v>961.19999999999993</v>
      </c>
      <c r="L4901" s="6">
        <f>IFERROR(IF(INDEX(tProdutos[Desconto homologado],MATCH(tItens[[#This Row],[Produto]],tProdutos[Produto],0))="",DescontoPadrao,INDEX(tProdutos[Desconto homologado],MATCH(tItens[[#This Row],[Produto]],tProdutos[Produto],0))),DescontoPadrao)</f>
        <v>0.35766373163696302</v>
      </c>
      <c r="M4901" s="12">
        <f>tItens[[#This Row],[Valor]]*(1-tItens[[#This Row],[Desconto]])</f>
        <v>617.41362115055108</v>
      </c>
      <c r="N4901" t="str">
        <f>IFERROR(INDEX(tProdutos[Foco],MATCH(tItens[[#This Row],[Produto]],tProdutos[Produto],0)),"Não")</f>
        <v>Não</v>
      </c>
      <c r="O4901" t="str">
        <f>IFERROR(INDEX(tEditais[SRP],MATCH(tItens[[#This Row],[Edital]],tEditais[Edital],0)),"Não")</f>
        <v>Não</v>
      </c>
      <c r="P4901" s="4">
        <f>IF(COUNTIFS(INDEX(tItens[Edital],1):tItens[[#This Row],[Edital]],tItens[[#This Row],[Edital]],INDEX(tItens[Produto],1):tItens[[#This Row],[Produto]],tItens[[#This Row],[Produto]])=1,1,0)</f>
        <v>1</v>
      </c>
    </row>
    <row r="4902" spans="1:16" x14ac:dyDescent="0.25">
      <c r="A4902" t="s">
        <v>1919</v>
      </c>
      <c r="B4902">
        <v>79</v>
      </c>
      <c r="C4902" t="s">
        <v>7725</v>
      </c>
      <c r="D4902" t="s">
        <v>313</v>
      </c>
      <c r="E4902" s="13">
        <v>70</v>
      </c>
      <c r="F4902" s="12">
        <v>37.21</v>
      </c>
      <c r="G4902" t="str">
        <f>IFERROR(INDEX(tEditais[Órgão],MATCH(tItens[[#This Row],[Edital]],tEditais[Edital],0)),"")</f>
        <v>MUNICIPIO DE FREI MIGUELINHO</v>
      </c>
      <c r="H4902" t="str">
        <f>IFERROR(INDEX(tEditais[UF],MATCH(tItens[[#This Row],[Edital]],tEditais[Edital],0)),"")</f>
        <v>PE</v>
      </c>
      <c r="I4902" s="11">
        <f>IFERROR(INDEX(tEditais[Encerramento],MATCH(tItens[[#This Row],[Edital]],tEditais[Edital],0)),"")</f>
        <v>46310.375</v>
      </c>
      <c r="J4902" t="str">
        <f>IFERROR(INDEX(tProdutos[Classe],MATCH(tItens[[#This Row],[Produto]],tProdutos[Produto],0)),"produto não cadastrado")</f>
        <v>FORA</v>
      </c>
      <c r="K4902" s="12">
        <f>tItens[[#This Row],[Qtd]]*tItens[[#This Row],[Vlr unit]]</f>
        <v>2604.7000000000003</v>
      </c>
      <c r="L4902" s="6">
        <f>IFERROR(IF(INDEX(tProdutos[Desconto homologado],MATCH(tItens[[#This Row],[Produto]],tProdutos[Produto],0))="",DescontoPadrao,INDEX(tProdutos[Desconto homologado],MATCH(tItens[[#This Row],[Produto]],tProdutos[Produto],0))),DescontoPadrao)</f>
        <v>0.35766373163696302</v>
      </c>
      <c r="M4902" s="12">
        <f>tItens[[#This Row],[Valor]]*(1-tItens[[#This Row],[Desconto]])</f>
        <v>1673.0932782052025</v>
      </c>
      <c r="N4902" t="str">
        <f>IFERROR(INDEX(tProdutos[Foco],MATCH(tItens[[#This Row],[Produto]],tProdutos[Produto],0)),"Não")</f>
        <v>Não</v>
      </c>
      <c r="O4902" t="str">
        <f>IFERROR(INDEX(tEditais[SRP],MATCH(tItens[[#This Row],[Edital]],tEditais[Edital],0)),"Não")</f>
        <v>Não</v>
      </c>
      <c r="P4902" s="4">
        <f>IF(COUNTIFS(INDEX(tItens[Edital],1):tItens[[#This Row],[Edital]],tItens[[#This Row],[Edital]],INDEX(tItens[Produto],1):tItens[[#This Row],[Produto]],tItens[[#This Row],[Produto]])=1,1,0)</f>
        <v>0</v>
      </c>
    </row>
    <row r="4903" spans="1:16" x14ac:dyDescent="0.25">
      <c r="A4903" t="s">
        <v>1919</v>
      </c>
      <c r="B4903">
        <v>96</v>
      </c>
      <c r="C4903" t="s">
        <v>7726</v>
      </c>
      <c r="D4903" t="s">
        <v>542</v>
      </c>
      <c r="E4903" s="13">
        <v>50</v>
      </c>
      <c r="F4903" s="12">
        <v>56.03</v>
      </c>
      <c r="G4903" t="str">
        <f>IFERROR(INDEX(tEditais[Órgão],MATCH(tItens[[#This Row],[Edital]],tEditais[Edital],0)),"")</f>
        <v>MUNICIPIO DE FREI MIGUELINHO</v>
      </c>
      <c r="H4903" t="str">
        <f>IFERROR(INDEX(tEditais[UF],MATCH(tItens[[#This Row],[Edital]],tEditais[Edital],0)),"")</f>
        <v>PE</v>
      </c>
      <c r="I4903" s="11">
        <f>IFERROR(INDEX(tEditais[Encerramento],MATCH(tItens[[#This Row],[Edital]],tEditais[Edital],0)),"")</f>
        <v>46310.375</v>
      </c>
      <c r="J4903" t="str">
        <f>IFERROR(INDEX(tProdutos[Classe],MATCH(tItens[[#This Row],[Produto]],tProdutos[Produto],0)),"produto não cadastrado")</f>
        <v>FILA REBASE</v>
      </c>
      <c r="K4903" s="12">
        <f>tItens[[#This Row],[Qtd]]*tItens[[#This Row],[Vlr unit]]</f>
        <v>2801.5</v>
      </c>
      <c r="L4903" s="6">
        <f>IFERROR(IF(INDEX(tProdutos[Desconto homologado],MATCH(tItens[[#This Row],[Produto]],tProdutos[Produto],0))="",DescontoPadrao,INDEX(tProdutos[Desconto homologado],MATCH(tItens[[#This Row],[Produto]],tProdutos[Produto],0))),DescontoPadrao)</f>
        <v>0.3</v>
      </c>
      <c r="M4903" s="12">
        <f>tItens[[#This Row],[Valor]]*(1-tItens[[#This Row],[Desconto]])</f>
        <v>1961.05</v>
      </c>
      <c r="N4903" t="str">
        <f>IFERROR(INDEX(tProdutos[Foco],MATCH(tItens[[#This Row],[Produto]],tProdutos[Produto],0)),"Não")</f>
        <v>Não</v>
      </c>
      <c r="O4903" t="str">
        <f>IFERROR(INDEX(tEditais[SRP],MATCH(tItens[[#This Row],[Edital]],tEditais[Edital],0)),"Não")</f>
        <v>Não</v>
      </c>
      <c r="P4903" s="4">
        <f>IF(COUNTIFS(INDEX(tItens[Edital],1):tItens[[#This Row],[Edital]],tItens[[#This Row],[Edital]],INDEX(tItens[Produto],1):tItens[[#This Row],[Produto]],tItens[[#This Row],[Produto]])=1,1,0)</f>
        <v>1</v>
      </c>
    </row>
    <row r="4904" spans="1:16" x14ac:dyDescent="0.25">
      <c r="A4904" t="s">
        <v>1919</v>
      </c>
      <c r="B4904">
        <v>103</v>
      </c>
      <c r="C4904" t="s">
        <v>7727</v>
      </c>
      <c r="D4904" t="s">
        <v>114</v>
      </c>
      <c r="E4904" s="13">
        <v>20</v>
      </c>
      <c r="F4904" s="12">
        <v>10.76</v>
      </c>
      <c r="G4904" t="str">
        <f>IFERROR(INDEX(tEditais[Órgão],MATCH(tItens[[#This Row],[Edital]],tEditais[Edital],0)),"")</f>
        <v>MUNICIPIO DE FREI MIGUELINHO</v>
      </c>
      <c r="H4904" t="str">
        <f>IFERROR(INDEX(tEditais[UF],MATCH(tItens[[#This Row],[Edital]],tEditais[Edital],0)),"")</f>
        <v>PE</v>
      </c>
      <c r="I4904" s="11">
        <f>IFERROR(INDEX(tEditais[Encerramento],MATCH(tItens[[#This Row],[Edital]],tEditais[Edital],0)),"")</f>
        <v>46310.375</v>
      </c>
      <c r="J4904" t="str">
        <f>IFERROR(INDEX(tProdutos[Classe],MATCH(tItens[[#This Row],[Produto]],tProdutos[Produto],0)),"produto não cadastrado")</f>
        <v>DISPUTADO</v>
      </c>
      <c r="K4904" s="12">
        <f>tItens[[#This Row],[Qtd]]*tItens[[#This Row],[Vlr unit]]</f>
        <v>215.2</v>
      </c>
      <c r="L4904" s="6">
        <f>IFERROR(IF(INDEX(tProdutos[Desconto homologado],MATCH(tItens[[#This Row],[Produto]],tProdutos[Produto],0))="",DescontoPadrao,INDEX(tProdutos[Desconto homologado],MATCH(tItens[[#This Row],[Produto]],tProdutos[Produto],0))),DescontoPadrao)</f>
        <v>0.24332656063896899</v>
      </c>
      <c r="M4904" s="12">
        <f>tItens[[#This Row],[Valor]]*(1-tItens[[#This Row],[Desconto]])</f>
        <v>162.83612415049387</v>
      </c>
      <c r="N4904" t="str">
        <f>IFERROR(INDEX(tProdutos[Foco],MATCH(tItens[[#This Row],[Produto]],tProdutos[Produto],0)),"Não")</f>
        <v>Não</v>
      </c>
      <c r="O4904" t="str">
        <f>IFERROR(INDEX(tEditais[SRP],MATCH(tItens[[#This Row],[Edital]],tEditais[Edital],0)),"Não")</f>
        <v>Não</v>
      </c>
      <c r="P4904" s="4">
        <f>IF(COUNTIFS(INDEX(tItens[Edital],1):tItens[[#This Row],[Edital]],tItens[[#This Row],[Edital]],INDEX(tItens[Produto],1):tItens[[#This Row],[Produto]],tItens[[#This Row],[Produto]])=1,1,0)</f>
        <v>1</v>
      </c>
    </row>
    <row r="4905" spans="1:16" x14ac:dyDescent="0.25">
      <c r="A4905" t="s">
        <v>1919</v>
      </c>
      <c r="B4905">
        <v>116</v>
      </c>
      <c r="C4905" t="s">
        <v>7728</v>
      </c>
      <c r="D4905" t="s">
        <v>104</v>
      </c>
      <c r="E4905" s="13">
        <v>10</v>
      </c>
      <c r="F4905" s="12">
        <v>72.099999999999994</v>
      </c>
      <c r="G4905" t="str">
        <f>IFERROR(INDEX(tEditais[Órgão],MATCH(tItens[[#This Row],[Edital]],tEditais[Edital],0)),"")</f>
        <v>MUNICIPIO DE FREI MIGUELINHO</v>
      </c>
      <c r="H4905" t="str">
        <f>IFERROR(INDEX(tEditais[UF],MATCH(tItens[[#This Row],[Edital]],tEditais[Edital],0)),"")</f>
        <v>PE</v>
      </c>
      <c r="I4905" s="11">
        <f>IFERROR(INDEX(tEditais[Encerramento],MATCH(tItens[[#This Row],[Edital]],tEditais[Edital],0)),"")</f>
        <v>46310.375</v>
      </c>
      <c r="J4905" t="str">
        <f>IFERROR(INDEX(tProdutos[Classe],MATCH(tItens[[#This Row],[Produto]],tProdutos[Produto],0)),"produto não cadastrado")</f>
        <v>DISPUTADO</v>
      </c>
      <c r="K4905" s="12">
        <f>tItens[[#This Row],[Qtd]]*tItens[[#This Row],[Vlr unit]]</f>
        <v>721</v>
      </c>
      <c r="L4905" s="6">
        <f>IFERROR(IF(INDEX(tProdutos[Desconto homologado],MATCH(tItens[[#This Row],[Produto]],tProdutos[Produto],0))="",DescontoPadrao,INDEX(tProdutos[Desconto homologado],MATCH(tItens[[#This Row],[Produto]],tProdutos[Produto],0))),DescontoPadrao)</f>
        <v>0.51</v>
      </c>
      <c r="M4905" s="12">
        <f>tItens[[#This Row],[Valor]]*(1-tItens[[#This Row],[Desconto]])</f>
        <v>353.29</v>
      </c>
      <c r="N4905" t="str">
        <f>IFERROR(INDEX(tProdutos[Foco],MATCH(tItens[[#This Row],[Produto]],tProdutos[Produto],0)),"Não")</f>
        <v>Sim</v>
      </c>
      <c r="O4905" t="str">
        <f>IFERROR(INDEX(tEditais[SRP],MATCH(tItens[[#This Row],[Edital]],tEditais[Edital],0)),"Não")</f>
        <v>Não</v>
      </c>
      <c r="P4905" s="4">
        <f>IF(COUNTIFS(INDEX(tItens[Edital],1):tItens[[#This Row],[Edital]],tItens[[#This Row],[Edital]],INDEX(tItens[Produto],1):tItens[[#This Row],[Produto]],tItens[[#This Row],[Produto]])=1,1,0)</f>
        <v>1</v>
      </c>
    </row>
    <row r="4906" spans="1:16" x14ac:dyDescent="0.25">
      <c r="A4906" t="s">
        <v>1922</v>
      </c>
      <c r="B4906">
        <v>1</v>
      </c>
      <c r="C4906" t="s">
        <v>7729</v>
      </c>
      <c r="D4906" t="s">
        <v>566</v>
      </c>
      <c r="E4906" s="13">
        <v>40</v>
      </c>
      <c r="F4906" s="12">
        <v>92.72</v>
      </c>
      <c r="G4906" t="str">
        <f>IFERROR(INDEX(tEditais[Órgão],MATCH(tItens[[#This Row],[Edital]],tEditais[Edital],0)),"")</f>
        <v>FUNDACAO DE HEMATOLOGIA E HEMOTERAPIA DE PERNAMBUCO-HEMOPE</v>
      </c>
      <c r="H4906" t="str">
        <f>IFERROR(INDEX(tEditais[UF],MATCH(tItens[[#This Row],[Edital]],tEditais[Edital],0)),"")</f>
        <v>PE</v>
      </c>
      <c r="I4906" s="11">
        <f>IFERROR(INDEX(tEditais[Encerramento],MATCH(tItens[[#This Row],[Edital]],tEditais[Edital],0)),"")</f>
        <v>46311.333333333336</v>
      </c>
      <c r="J4906" t="str">
        <f>IFERROR(INDEX(tProdutos[Classe],MATCH(tItens[[#This Row],[Produto]],tProdutos[Produto],0)),"produto não cadastrado")</f>
        <v>FILA REBASE</v>
      </c>
      <c r="K4906" s="12">
        <f>tItens[[#This Row],[Qtd]]*tItens[[#This Row],[Vlr unit]]</f>
        <v>3708.8</v>
      </c>
      <c r="L4906" s="6">
        <f>IFERROR(IF(INDEX(tProdutos[Desconto homologado],MATCH(tItens[[#This Row],[Produto]],tProdutos[Produto],0))="",DescontoPadrao,INDEX(tProdutos[Desconto homologado],MATCH(tItens[[#This Row],[Produto]],tProdutos[Produto],0))),DescontoPadrao)</f>
        <v>0.1816062551698</v>
      </c>
      <c r="M4906" s="12">
        <f>tItens[[#This Row],[Valor]]*(1-tItens[[#This Row],[Desconto]])</f>
        <v>3035.2587208262457</v>
      </c>
      <c r="N4906" t="str">
        <f>IFERROR(INDEX(tProdutos[Foco],MATCH(tItens[[#This Row],[Produto]],tProdutos[Produto],0)),"Não")</f>
        <v>Não</v>
      </c>
      <c r="O4906" t="str">
        <f>IFERROR(INDEX(tEditais[SRP],MATCH(tItens[[#This Row],[Edital]],tEditais[Edital],0)),"Não")</f>
        <v>Não</v>
      </c>
      <c r="P4906" s="4">
        <f>IF(COUNTIFS(INDEX(tItens[Edital],1):tItens[[#This Row],[Edital]],tItens[[#This Row],[Edital]],INDEX(tItens[Produto],1):tItens[[#This Row],[Produto]],tItens[[#This Row],[Produto]])=1,1,0)</f>
        <v>1</v>
      </c>
    </row>
    <row r="4907" spans="1:16" x14ac:dyDescent="0.25">
      <c r="A4907" t="s">
        <v>1922</v>
      </c>
      <c r="B4907">
        <v>32</v>
      </c>
      <c r="C4907" t="s">
        <v>7730</v>
      </c>
      <c r="D4907" t="s">
        <v>461</v>
      </c>
      <c r="E4907" s="13">
        <v>240</v>
      </c>
      <c r="F4907" s="12">
        <v>31.9</v>
      </c>
      <c r="G4907" t="str">
        <f>IFERROR(INDEX(tEditais[Órgão],MATCH(tItens[[#This Row],[Edital]],tEditais[Edital],0)),"")</f>
        <v>FUNDACAO DE HEMATOLOGIA E HEMOTERAPIA DE PERNAMBUCO-HEMOPE</v>
      </c>
      <c r="H4907" t="str">
        <f>IFERROR(INDEX(tEditais[UF],MATCH(tItens[[#This Row],[Edital]],tEditais[Edital],0)),"")</f>
        <v>PE</v>
      </c>
      <c r="I4907" s="11">
        <f>IFERROR(INDEX(tEditais[Encerramento],MATCH(tItens[[#This Row],[Edital]],tEditais[Edital],0)),"")</f>
        <v>46311.333333333336</v>
      </c>
      <c r="J4907" t="str">
        <f>IFERROR(INDEX(tProdutos[Classe],MATCH(tItens[[#This Row],[Produto]],tProdutos[Produto],0)),"produto não cadastrado")</f>
        <v>FILA REBASE</v>
      </c>
      <c r="K4907" s="12">
        <f>tItens[[#This Row],[Qtd]]*tItens[[#This Row],[Vlr unit]]</f>
        <v>7656</v>
      </c>
      <c r="L4907" s="6">
        <f>IFERROR(IF(INDEX(tProdutos[Desconto homologado],MATCH(tItens[[#This Row],[Produto]],tProdutos[Produto],0))="",DescontoPadrao,INDEX(tProdutos[Desconto homologado],MATCH(tItens[[#This Row],[Produto]],tProdutos[Produto],0))),DescontoPadrao)</f>
        <v>0.44096385542168698</v>
      </c>
      <c r="M4907" s="12">
        <f>tItens[[#This Row],[Valor]]*(1-tItens[[#This Row],[Desconto]])</f>
        <v>4279.9807228915643</v>
      </c>
      <c r="N4907" t="str">
        <f>IFERROR(INDEX(tProdutos[Foco],MATCH(tItens[[#This Row],[Produto]],tProdutos[Produto],0)),"Não")</f>
        <v>Não</v>
      </c>
      <c r="O4907" t="str">
        <f>IFERROR(INDEX(tEditais[SRP],MATCH(tItens[[#This Row],[Edital]],tEditais[Edital],0)),"Não")</f>
        <v>Não</v>
      </c>
      <c r="P4907" s="4">
        <f>IF(COUNTIFS(INDEX(tItens[Edital],1):tItens[[#This Row],[Edital]],tItens[[#This Row],[Edital]],INDEX(tItens[Produto],1):tItens[[#This Row],[Produto]],tItens[[#This Row],[Produto]])=1,1,0)</f>
        <v>1</v>
      </c>
    </row>
    <row r="4908" spans="1:16" x14ac:dyDescent="0.25">
      <c r="A4908" t="s">
        <v>1926</v>
      </c>
      <c r="B4908">
        <v>9</v>
      </c>
      <c r="C4908" t="s">
        <v>7731</v>
      </c>
      <c r="D4908" t="s">
        <v>313</v>
      </c>
      <c r="E4908" s="13">
        <v>10</v>
      </c>
      <c r="F4908" s="12">
        <v>28.84</v>
      </c>
      <c r="G4908" t="str">
        <f>IFERROR(INDEX(tEditais[Órgão],MATCH(tItens[[#This Row],[Edital]],tEditais[Edital],0)),"")</f>
        <v>FUNDACAO NACIONAL DE SAUDE</v>
      </c>
      <c r="H4908" t="str">
        <f>IFERROR(INDEX(tEditais[UF],MATCH(tItens[[#This Row],[Edital]],tEditais[Edital],0)),"")</f>
        <v>PE</v>
      </c>
      <c r="I4908" s="11">
        <f>IFERROR(INDEX(tEditais[Encerramento],MATCH(tItens[[#This Row],[Edital]],tEditais[Edital],0)),"")</f>
        <v>46311.333333333336</v>
      </c>
      <c r="J4908" t="str">
        <f>IFERROR(INDEX(tProdutos[Classe],MATCH(tItens[[#This Row],[Produto]],tProdutos[Produto],0)),"produto não cadastrado")</f>
        <v>FORA</v>
      </c>
      <c r="K4908" s="12">
        <f>tItens[[#This Row],[Qtd]]*tItens[[#This Row],[Vlr unit]]</f>
        <v>288.39999999999998</v>
      </c>
      <c r="L4908" s="6">
        <f>IFERROR(IF(INDEX(tProdutos[Desconto homologado],MATCH(tItens[[#This Row],[Produto]],tProdutos[Produto],0))="",DescontoPadrao,INDEX(tProdutos[Desconto homologado],MATCH(tItens[[#This Row],[Produto]],tProdutos[Produto],0))),DescontoPadrao)</f>
        <v>0.35766373163696302</v>
      </c>
      <c r="M4908" s="12">
        <f>tItens[[#This Row],[Valor]]*(1-tItens[[#This Row],[Desconto]])</f>
        <v>185.24977979589983</v>
      </c>
      <c r="N4908" t="str">
        <f>IFERROR(INDEX(tProdutos[Foco],MATCH(tItens[[#This Row],[Produto]],tProdutos[Produto],0)),"Não")</f>
        <v>Não</v>
      </c>
      <c r="O4908" t="str">
        <f>IFERROR(INDEX(tEditais[SRP],MATCH(tItens[[#This Row],[Edital]],tEditais[Edital],0)),"Não")</f>
        <v>Não</v>
      </c>
      <c r="P4908" s="4">
        <f>IF(COUNTIFS(INDEX(tItens[Edital],1):tItens[[#This Row],[Edital]],tItens[[#This Row],[Edital]],INDEX(tItens[Produto],1):tItens[[#This Row],[Produto]],tItens[[#This Row],[Produto]])=1,1,0)</f>
        <v>1</v>
      </c>
    </row>
    <row r="4909" spans="1:16" x14ac:dyDescent="0.25">
      <c r="A4909" t="s">
        <v>1930</v>
      </c>
      <c r="B4909">
        <v>1</v>
      </c>
      <c r="C4909" t="s">
        <v>7732</v>
      </c>
      <c r="D4909" t="s">
        <v>494</v>
      </c>
      <c r="E4909" s="13">
        <v>120</v>
      </c>
      <c r="F4909" s="12">
        <v>64.010000000000005</v>
      </c>
      <c r="G4909" t="str">
        <f>IFERROR(INDEX(tEditais[Órgão],MATCH(tItens[[#This Row],[Edital]],tEditais[Edital],0)),"")</f>
        <v>FUNDACAO UNIVERSIDADE DE PERNAMBUCO</v>
      </c>
      <c r="H4909" t="str">
        <f>IFERROR(INDEX(tEditais[UF],MATCH(tItens[[#This Row],[Edital]],tEditais[Edital],0)),"")</f>
        <v>PE</v>
      </c>
      <c r="I4909" s="11">
        <f>IFERROR(INDEX(tEditais[Encerramento],MATCH(tItens[[#This Row],[Edital]],tEditais[Edital],0)),"")</f>
        <v>46311.354166666664</v>
      </c>
      <c r="J4909" t="str">
        <f>IFERROR(INDEX(tProdutos[Classe],MATCH(tItens[[#This Row],[Produto]],tProdutos[Produto],0)),"produto não cadastrado")</f>
        <v>FILA REBASE</v>
      </c>
      <c r="K4909" s="12">
        <f>tItens[[#This Row],[Qtd]]*tItens[[#This Row],[Vlr unit]]</f>
        <v>7681.2000000000007</v>
      </c>
      <c r="L4909" s="6">
        <f>IFERROR(IF(INDEX(tProdutos[Desconto homologado],MATCH(tItens[[#This Row],[Produto]],tProdutos[Produto],0))="",DescontoPadrao,INDEX(tProdutos[Desconto homologado],MATCH(tItens[[#This Row],[Produto]],tProdutos[Produto],0))),DescontoPadrao)</f>
        <v>0.253736324829619</v>
      </c>
      <c r="M4909" s="12">
        <f>tItens[[#This Row],[Valor]]*(1-tItens[[#This Row],[Desconto]])</f>
        <v>5732.2005417187311</v>
      </c>
      <c r="N4909" t="str">
        <f>IFERROR(INDEX(tProdutos[Foco],MATCH(tItens[[#This Row],[Produto]],tProdutos[Produto],0)),"Não")</f>
        <v>Não</v>
      </c>
      <c r="O4909" t="str">
        <f>IFERROR(INDEX(tEditais[SRP],MATCH(tItens[[#This Row],[Edital]],tEditais[Edital],0)),"Não")</f>
        <v>Sim</v>
      </c>
      <c r="P4909" s="4">
        <f>IF(COUNTIFS(INDEX(tItens[Edital],1):tItens[[#This Row],[Edital]],tItens[[#This Row],[Edital]],INDEX(tItens[Produto],1):tItens[[#This Row],[Produto]],tItens[[#This Row],[Produto]])=1,1,0)</f>
        <v>1</v>
      </c>
    </row>
    <row r="4910" spans="1:16" x14ac:dyDescent="0.25">
      <c r="A4910" t="s">
        <v>1930</v>
      </c>
      <c r="B4910">
        <v>2</v>
      </c>
      <c r="C4910" t="s">
        <v>7733</v>
      </c>
      <c r="D4910" t="s">
        <v>494</v>
      </c>
      <c r="E4910" s="13">
        <v>120</v>
      </c>
      <c r="F4910" s="12">
        <v>52.41</v>
      </c>
      <c r="G4910" t="str">
        <f>IFERROR(INDEX(tEditais[Órgão],MATCH(tItens[[#This Row],[Edital]],tEditais[Edital],0)),"")</f>
        <v>FUNDACAO UNIVERSIDADE DE PERNAMBUCO</v>
      </c>
      <c r="H4910" t="str">
        <f>IFERROR(INDEX(tEditais[UF],MATCH(tItens[[#This Row],[Edital]],tEditais[Edital],0)),"")</f>
        <v>PE</v>
      </c>
      <c r="I4910" s="11">
        <f>IFERROR(INDEX(tEditais[Encerramento],MATCH(tItens[[#This Row],[Edital]],tEditais[Edital],0)),"")</f>
        <v>46311.354166666664</v>
      </c>
      <c r="J4910" t="str">
        <f>IFERROR(INDEX(tProdutos[Classe],MATCH(tItens[[#This Row],[Produto]],tProdutos[Produto],0)),"produto não cadastrado")</f>
        <v>FILA REBASE</v>
      </c>
      <c r="K4910" s="12">
        <f>tItens[[#This Row],[Qtd]]*tItens[[#This Row],[Vlr unit]]</f>
        <v>6289.2</v>
      </c>
      <c r="L4910" s="6">
        <f>IFERROR(IF(INDEX(tProdutos[Desconto homologado],MATCH(tItens[[#This Row],[Produto]],tProdutos[Produto],0))="",DescontoPadrao,INDEX(tProdutos[Desconto homologado],MATCH(tItens[[#This Row],[Produto]],tProdutos[Produto],0))),DescontoPadrao)</f>
        <v>0.253736324829619</v>
      </c>
      <c r="M4910" s="12">
        <f>tItens[[#This Row],[Valor]]*(1-tItens[[#This Row],[Desconto]])</f>
        <v>4693.4015058815603</v>
      </c>
      <c r="N4910" t="str">
        <f>IFERROR(INDEX(tProdutos[Foco],MATCH(tItens[[#This Row],[Produto]],tProdutos[Produto],0)),"Não")</f>
        <v>Não</v>
      </c>
      <c r="O4910" t="str">
        <f>IFERROR(INDEX(tEditais[SRP],MATCH(tItens[[#This Row],[Edital]],tEditais[Edital],0)),"Não")</f>
        <v>Sim</v>
      </c>
      <c r="P4910" s="4">
        <f>IF(COUNTIFS(INDEX(tItens[Edital],1):tItens[[#This Row],[Edital]],tItens[[#This Row],[Edital]],INDEX(tItens[Produto],1):tItens[[#This Row],[Produto]],tItens[[#This Row],[Produto]])=1,1,0)</f>
        <v>0</v>
      </c>
    </row>
    <row r="4911" spans="1:16" x14ac:dyDescent="0.25">
      <c r="A4911" t="s">
        <v>1930</v>
      </c>
      <c r="B4911">
        <v>3</v>
      </c>
      <c r="C4911" t="s">
        <v>7734</v>
      </c>
      <c r="D4911" t="s">
        <v>494</v>
      </c>
      <c r="E4911" s="13">
        <v>120</v>
      </c>
      <c r="F4911" s="12">
        <v>63.98</v>
      </c>
      <c r="G4911" t="str">
        <f>IFERROR(INDEX(tEditais[Órgão],MATCH(tItens[[#This Row],[Edital]],tEditais[Edital],0)),"")</f>
        <v>FUNDACAO UNIVERSIDADE DE PERNAMBUCO</v>
      </c>
      <c r="H4911" t="str">
        <f>IFERROR(INDEX(tEditais[UF],MATCH(tItens[[#This Row],[Edital]],tEditais[Edital],0)),"")</f>
        <v>PE</v>
      </c>
      <c r="I4911" s="11">
        <f>IFERROR(INDEX(tEditais[Encerramento],MATCH(tItens[[#This Row],[Edital]],tEditais[Edital],0)),"")</f>
        <v>46311.354166666664</v>
      </c>
      <c r="J4911" t="str">
        <f>IFERROR(INDEX(tProdutos[Classe],MATCH(tItens[[#This Row],[Produto]],tProdutos[Produto],0)),"produto não cadastrado")</f>
        <v>FILA REBASE</v>
      </c>
      <c r="K4911" s="12">
        <f>tItens[[#This Row],[Qtd]]*tItens[[#This Row],[Vlr unit]]</f>
        <v>7677.5999999999995</v>
      </c>
      <c r="L4911" s="6">
        <f>IFERROR(IF(INDEX(tProdutos[Desconto homologado],MATCH(tItens[[#This Row],[Produto]],tProdutos[Produto],0))="",DescontoPadrao,INDEX(tProdutos[Desconto homologado],MATCH(tItens[[#This Row],[Produto]],tProdutos[Produto],0))),DescontoPadrao)</f>
        <v>0.253736324829619</v>
      </c>
      <c r="M4911" s="12">
        <f>tItens[[#This Row],[Valor]]*(1-tItens[[#This Row],[Desconto]])</f>
        <v>5729.5139924881169</v>
      </c>
      <c r="N4911" t="str">
        <f>IFERROR(INDEX(tProdutos[Foco],MATCH(tItens[[#This Row],[Produto]],tProdutos[Produto],0)),"Não")</f>
        <v>Não</v>
      </c>
      <c r="O4911" t="str">
        <f>IFERROR(INDEX(tEditais[SRP],MATCH(tItens[[#This Row],[Edital]],tEditais[Edital],0)),"Não")</f>
        <v>Sim</v>
      </c>
      <c r="P4911" s="4">
        <f>IF(COUNTIFS(INDEX(tItens[Edital],1):tItens[[#This Row],[Edital]],tItens[[#This Row],[Edital]],INDEX(tItens[Produto],1):tItens[[#This Row],[Produto]],tItens[[#This Row],[Produto]])=1,1,0)</f>
        <v>0</v>
      </c>
    </row>
    <row r="4912" spans="1:16" x14ac:dyDescent="0.25">
      <c r="A4912" t="s">
        <v>1930</v>
      </c>
      <c r="B4912">
        <v>4</v>
      </c>
      <c r="C4912" t="s">
        <v>7735</v>
      </c>
      <c r="D4912" t="s">
        <v>494</v>
      </c>
      <c r="E4912" s="13">
        <v>200</v>
      </c>
      <c r="F4912" s="12">
        <v>85.09</v>
      </c>
      <c r="G4912" t="str">
        <f>IFERROR(INDEX(tEditais[Órgão],MATCH(tItens[[#This Row],[Edital]],tEditais[Edital],0)),"")</f>
        <v>FUNDACAO UNIVERSIDADE DE PERNAMBUCO</v>
      </c>
      <c r="H4912" t="str">
        <f>IFERROR(INDEX(tEditais[UF],MATCH(tItens[[#This Row],[Edital]],tEditais[Edital],0)),"")</f>
        <v>PE</v>
      </c>
      <c r="I4912" s="11">
        <f>IFERROR(INDEX(tEditais[Encerramento],MATCH(tItens[[#This Row],[Edital]],tEditais[Edital],0)),"")</f>
        <v>46311.354166666664</v>
      </c>
      <c r="J4912" t="str">
        <f>IFERROR(INDEX(tProdutos[Classe],MATCH(tItens[[#This Row],[Produto]],tProdutos[Produto],0)),"produto não cadastrado")</f>
        <v>FILA REBASE</v>
      </c>
      <c r="K4912" s="12">
        <f>tItens[[#This Row],[Qtd]]*tItens[[#This Row],[Vlr unit]]</f>
        <v>17018</v>
      </c>
      <c r="L4912" s="6">
        <f>IFERROR(IF(INDEX(tProdutos[Desconto homologado],MATCH(tItens[[#This Row],[Produto]],tProdutos[Produto],0))="",DescontoPadrao,INDEX(tProdutos[Desconto homologado],MATCH(tItens[[#This Row],[Produto]],tProdutos[Produto],0))),DescontoPadrao)</f>
        <v>0.253736324829619</v>
      </c>
      <c r="M4912" s="12">
        <f>tItens[[#This Row],[Valor]]*(1-tItens[[#This Row],[Desconto]])</f>
        <v>12699.915224049544</v>
      </c>
      <c r="N4912" t="str">
        <f>IFERROR(INDEX(tProdutos[Foco],MATCH(tItens[[#This Row],[Produto]],tProdutos[Produto],0)),"Não")</f>
        <v>Não</v>
      </c>
      <c r="O4912" t="str">
        <f>IFERROR(INDEX(tEditais[SRP],MATCH(tItens[[#This Row],[Edital]],tEditais[Edital],0)),"Não")</f>
        <v>Sim</v>
      </c>
      <c r="P4912" s="4">
        <f>IF(COUNTIFS(INDEX(tItens[Edital],1):tItens[[#This Row],[Edital]],tItens[[#This Row],[Edital]],INDEX(tItens[Produto],1):tItens[[#This Row],[Produto]],tItens[[#This Row],[Produto]])=1,1,0)</f>
        <v>0</v>
      </c>
    </row>
    <row r="4913" spans="1:16" x14ac:dyDescent="0.25">
      <c r="A4913" t="s">
        <v>1930</v>
      </c>
      <c r="B4913">
        <v>5</v>
      </c>
      <c r="C4913" t="s">
        <v>7736</v>
      </c>
      <c r="D4913" t="s">
        <v>494</v>
      </c>
      <c r="E4913" s="13">
        <v>200</v>
      </c>
      <c r="F4913" s="12">
        <v>97.38</v>
      </c>
      <c r="G4913" t="str">
        <f>IFERROR(INDEX(tEditais[Órgão],MATCH(tItens[[#This Row],[Edital]],tEditais[Edital],0)),"")</f>
        <v>FUNDACAO UNIVERSIDADE DE PERNAMBUCO</v>
      </c>
      <c r="H4913" t="str">
        <f>IFERROR(INDEX(tEditais[UF],MATCH(tItens[[#This Row],[Edital]],tEditais[Edital],0)),"")</f>
        <v>PE</v>
      </c>
      <c r="I4913" s="11">
        <f>IFERROR(INDEX(tEditais[Encerramento],MATCH(tItens[[#This Row],[Edital]],tEditais[Edital],0)),"")</f>
        <v>46311.354166666664</v>
      </c>
      <c r="J4913" t="str">
        <f>IFERROR(INDEX(tProdutos[Classe],MATCH(tItens[[#This Row],[Produto]],tProdutos[Produto],0)),"produto não cadastrado")</f>
        <v>FILA REBASE</v>
      </c>
      <c r="K4913" s="12">
        <f>tItens[[#This Row],[Qtd]]*tItens[[#This Row],[Vlr unit]]</f>
        <v>19476</v>
      </c>
      <c r="L4913" s="6">
        <f>IFERROR(IF(INDEX(tProdutos[Desconto homologado],MATCH(tItens[[#This Row],[Produto]],tProdutos[Produto],0))="",DescontoPadrao,INDEX(tProdutos[Desconto homologado],MATCH(tItens[[#This Row],[Produto]],tProdutos[Produto],0))),DescontoPadrao)</f>
        <v>0.253736324829619</v>
      </c>
      <c r="M4913" s="12">
        <f>tItens[[#This Row],[Valor]]*(1-tItens[[#This Row],[Desconto]])</f>
        <v>14534.231337618341</v>
      </c>
      <c r="N4913" t="str">
        <f>IFERROR(INDEX(tProdutos[Foco],MATCH(tItens[[#This Row],[Produto]],tProdutos[Produto],0)),"Não")</f>
        <v>Não</v>
      </c>
      <c r="O4913" t="str">
        <f>IFERROR(INDEX(tEditais[SRP],MATCH(tItens[[#This Row],[Edital]],tEditais[Edital],0)),"Não")</f>
        <v>Sim</v>
      </c>
      <c r="P4913" s="4">
        <f>IF(COUNTIFS(INDEX(tItens[Edital],1):tItens[[#This Row],[Edital]],tItens[[#This Row],[Edital]],INDEX(tItens[Produto],1):tItens[[#This Row],[Produto]],tItens[[#This Row],[Produto]])=1,1,0)</f>
        <v>0</v>
      </c>
    </row>
    <row r="4914" spans="1:16" x14ac:dyDescent="0.25">
      <c r="A4914" t="s">
        <v>1930</v>
      </c>
      <c r="B4914">
        <v>6</v>
      </c>
      <c r="C4914" t="s">
        <v>7737</v>
      </c>
      <c r="D4914" t="s">
        <v>494</v>
      </c>
      <c r="E4914" s="13">
        <v>200</v>
      </c>
      <c r="F4914" s="12">
        <v>186.12</v>
      </c>
      <c r="G4914" t="str">
        <f>IFERROR(INDEX(tEditais[Órgão],MATCH(tItens[[#This Row],[Edital]],tEditais[Edital],0)),"")</f>
        <v>FUNDACAO UNIVERSIDADE DE PERNAMBUCO</v>
      </c>
      <c r="H4914" t="str">
        <f>IFERROR(INDEX(tEditais[UF],MATCH(tItens[[#This Row],[Edital]],tEditais[Edital],0)),"")</f>
        <v>PE</v>
      </c>
      <c r="I4914" s="11">
        <f>IFERROR(INDEX(tEditais[Encerramento],MATCH(tItens[[#This Row],[Edital]],tEditais[Edital],0)),"")</f>
        <v>46311.354166666664</v>
      </c>
      <c r="J4914" t="str">
        <f>IFERROR(INDEX(tProdutos[Classe],MATCH(tItens[[#This Row],[Produto]],tProdutos[Produto],0)),"produto não cadastrado")</f>
        <v>FILA REBASE</v>
      </c>
      <c r="K4914" s="12">
        <f>tItens[[#This Row],[Qtd]]*tItens[[#This Row],[Vlr unit]]</f>
        <v>37224</v>
      </c>
      <c r="L4914" s="6">
        <f>IFERROR(IF(INDEX(tProdutos[Desconto homologado],MATCH(tItens[[#This Row],[Produto]],tProdutos[Produto],0))="",DescontoPadrao,INDEX(tProdutos[Desconto homologado],MATCH(tItens[[#This Row],[Produto]],tProdutos[Produto],0))),DescontoPadrao)</f>
        <v>0.253736324829619</v>
      </c>
      <c r="M4914" s="12">
        <f>tItens[[#This Row],[Valor]]*(1-tItens[[#This Row],[Desconto]])</f>
        <v>27778.919044542265</v>
      </c>
      <c r="N4914" t="str">
        <f>IFERROR(INDEX(tProdutos[Foco],MATCH(tItens[[#This Row],[Produto]],tProdutos[Produto],0)),"Não")</f>
        <v>Não</v>
      </c>
      <c r="O4914" t="str">
        <f>IFERROR(INDEX(tEditais[SRP],MATCH(tItens[[#This Row],[Edital]],tEditais[Edital],0)),"Não")</f>
        <v>Sim</v>
      </c>
      <c r="P4914" s="4">
        <f>IF(COUNTIFS(INDEX(tItens[Edital],1):tItens[[#This Row],[Edital]],tItens[[#This Row],[Edital]],INDEX(tItens[Produto],1):tItens[[#This Row],[Produto]],tItens[[#This Row],[Produto]])=1,1,0)</f>
        <v>0</v>
      </c>
    </row>
    <row r="4915" spans="1:16" x14ac:dyDescent="0.25">
      <c r="A4915" t="s">
        <v>1930</v>
      </c>
      <c r="B4915">
        <v>7</v>
      </c>
      <c r="C4915" t="s">
        <v>7738</v>
      </c>
      <c r="D4915" t="s">
        <v>494</v>
      </c>
      <c r="E4915" s="13">
        <v>176</v>
      </c>
      <c r="F4915" s="12">
        <v>149.4</v>
      </c>
      <c r="G4915" t="str">
        <f>IFERROR(INDEX(tEditais[Órgão],MATCH(tItens[[#This Row],[Edital]],tEditais[Edital],0)),"")</f>
        <v>FUNDACAO UNIVERSIDADE DE PERNAMBUCO</v>
      </c>
      <c r="H4915" t="str">
        <f>IFERROR(INDEX(tEditais[UF],MATCH(tItens[[#This Row],[Edital]],tEditais[Edital],0)),"")</f>
        <v>PE</v>
      </c>
      <c r="I4915" s="11">
        <f>IFERROR(INDEX(tEditais[Encerramento],MATCH(tItens[[#This Row],[Edital]],tEditais[Edital],0)),"")</f>
        <v>46311.354166666664</v>
      </c>
      <c r="J4915" t="str">
        <f>IFERROR(INDEX(tProdutos[Classe],MATCH(tItens[[#This Row],[Produto]],tProdutos[Produto],0)),"produto não cadastrado")</f>
        <v>FILA REBASE</v>
      </c>
      <c r="K4915" s="12">
        <f>tItens[[#This Row],[Qtd]]*tItens[[#This Row],[Vlr unit]]</f>
        <v>26294.400000000001</v>
      </c>
      <c r="L4915" s="6">
        <f>IFERROR(IF(INDEX(tProdutos[Desconto homologado],MATCH(tItens[[#This Row],[Produto]],tProdutos[Produto],0))="",DescontoPadrao,INDEX(tProdutos[Desconto homologado],MATCH(tItens[[#This Row],[Produto]],tProdutos[Produto],0))),DescontoPadrao)</f>
        <v>0.253736324829619</v>
      </c>
      <c r="M4915" s="12">
        <f>tItens[[#This Row],[Valor]]*(1-tItens[[#This Row],[Desconto]])</f>
        <v>19622.555580400069</v>
      </c>
      <c r="N4915" t="str">
        <f>IFERROR(INDEX(tProdutos[Foco],MATCH(tItens[[#This Row],[Produto]],tProdutos[Produto],0)),"Não")</f>
        <v>Não</v>
      </c>
      <c r="O4915" t="str">
        <f>IFERROR(INDEX(tEditais[SRP],MATCH(tItens[[#This Row],[Edital]],tEditais[Edital],0)),"Não")</f>
        <v>Sim</v>
      </c>
      <c r="P4915" s="4">
        <f>IF(COUNTIFS(INDEX(tItens[Edital],1):tItens[[#This Row],[Edital]],tItens[[#This Row],[Edital]],INDEX(tItens[Produto],1):tItens[[#This Row],[Produto]],tItens[[#This Row],[Produto]])=1,1,0)</f>
        <v>0</v>
      </c>
    </row>
    <row r="4916" spans="1:16" x14ac:dyDescent="0.25">
      <c r="A4916" t="s">
        <v>1930</v>
      </c>
      <c r="B4916">
        <v>8</v>
      </c>
      <c r="C4916" t="s">
        <v>7739</v>
      </c>
      <c r="D4916" t="s">
        <v>494</v>
      </c>
      <c r="E4916" s="13">
        <v>10</v>
      </c>
      <c r="F4916" s="12">
        <v>345.25</v>
      </c>
      <c r="G4916" t="str">
        <f>IFERROR(INDEX(tEditais[Órgão],MATCH(tItens[[#This Row],[Edital]],tEditais[Edital],0)),"")</f>
        <v>FUNDACAO UNIVERSIDADE DE PERNAMBUCO</v>
      </c>
      <c r="H4916" t="str">
        <f>IFERROR(INDEX(tEditais[UF],MATCH(tItens[[#This Row],[Edital]],tEditais[Edital],0)),"")</f>
        <v>PE</v>
      </c>
      <c r="I4916" s="11">
        <f>IFERROR(INDEX(tEditais[Encerramento],MATCH(tItens[[#This Row],[Edital]],tEditais[Edital],0)),"")</f>
        <v>46311.354166666664</v>
      </c>
      <c r="J4916" t="str">
        <f>IFERROR(INDEX(tProdutos[Classe],MATCH(tItens[[#This Row],[Produto]],tProdutos[Produto],0)),"produto não cadastrado")</f>
        <v>FILA REBASE</v>
      </c>
      <c r="K4916" s="12">
        <f>tItens[[#This Row],[Qtd]]*tItens[[#This Row],[Vlr unit]]</f>
        <v>3452.5</v>
      </c>
      <c r="L4916" s="6">
        <f>IFERROR(IF(INDEX(tProdutos[Desconto homologado],MATCH(tItens[[#This Row],[Produto]],tProdutos[Produto],0))="",DescontoPadrao,INDEX(tProdutos[Desconto homologado],MATCH(tItens[[#This Row],[Produto]],tProdutos[Produto],0))),DescontoPadrao)</f>
        <v>0.253736324829619</v>
      </c>
      <c r="M4916" s="12">
        <f>tItens[[#This Row],[Valor]]*(1-tItens[[#This Row],[Desconto]])</f>
        <v>2576.4753385257404</v>
      </c>
      <c r="N4916" t="str">
        <f>IFERROR(INDEX(tProdutos[Foco],MATCH(tItens[[#This Row],[Produto]],tProdutos[Produto],0)),"Não")</f>
        <v>Não</v>
      </c>
      <c r="O4916" t="str">
        <f>IFERROR(INDEX(tEditais[SRP],MATCH(tItens[[#This Row],[Edital]],tEditais[Edital],0)),"Não")</f>
        <v>Sim</v>
      </c>
      <c r="P4916" s="4">
        <f>IF(COUNTIFS(INDEX(tItens[Edital],1):tItens[[#This Row],[Edital]],tItens[[#This Row],[Edital]],INDEX(tItens[Produto],1):tItens[[#This Row],[Produto]],tItens[[#This Row],[Produto]])=1,1,0)</f>
        <v>0</v>
      </c>
    </row>
    <row r="4917" spans="1:16" x14ac:dyDescent="0.25">
      <c r="A4917" t="s">
        <v>1930</v>
      </c>
      <c r="B4917">
        <v>9</v>
      </c>
      <c r="C4917" t="s">
        <v>7740</v>
      </c>
      <c r="D4917" t="s">
        <v>494</v>
      </c>
      <c r="E4917" s="13">
        <v>10</v>
      </c>
      <c r="F4917" s="12">
        <v>315.48</v>
      </c>
      <c r="G4917" t="str">
        <f>IFERROR(INDEX(tEditais[Órgão],MATCH(tItens[[#This Row],[Edital]],tEditais[Edital],0)),"")</f>
        <v>FUNDACAO UNIVERSIDADE DE PERNAMBUCO</v>
      </c>
      <c r="H4917" t="str">
        <f>IFERROR(INDEX(tEditais[UF],MATCH(tItens[[#This Row],[Edital]],tEditais[Edital],0)),"")</f>
        <v>PE</v>
      </c>
      <c r="I4917" s="11">
        <f>IFERROR(INDEX(tEditais[Encerramento],MATCH(tItens[[#This Row],[Edital]],tEditais[Edital],0)),"")</f>
        <v>46311.354166666664</v>
      </c>
      <c r="J4917" t="str">
        <f>IFERROR(INDEX(tProdutos[Classe],MATCH(tItens[[#This Row],[Produto]],tProdutos[Produto],0)),"produto não cadastrado")</f>
        <v>FILA REBASE</v>
      </c>
      <c r="K4917" s="12">
        <f>tItens[[#This Row],[Qtd]]*tItens[[#This Row],[Vlr unit]]</f>
        <v>3154.8</v>
      </c>
      <c r="L4917" s="6">
        <f>IFERROR(IF(INDEX(tProdutos[Desconto homologado],MATCH(tItens[[#This Row],[Produto]],tProdutos[Produto],0))="",DescontoPadrao,INDEX(tProdutos[Desconto homologado],MATCH(tItens[[#This Row],[Produto]],tProdutos[Produto],0))),DescontoPadrao)</f>
        <v>0.253736324829619</v>
      </c>
      <c r="M4917" s="12">
        <f>tItens[[#This Row],[Valor]]*(1-tItens[[#This Row],[Desconto]])</f>
        <v>2354.3126424275183</v>
      </c>
      <c r="N4917" t="str">
        <f>IFERROR(INDEX(tProdutos[Foco],MATCH(tItens[[#This Row],[Produto]],tProdutos[Produto],0)),"Não")</f>
        <v>Não</v>
      </c>
      <c r="O4917" t="str">
        <f>IFERROR(INDEX(tEditais[SRP],MATCH(tItens[[#This Row],[Edital]],tEditais[Edital],0)),"Não")</f>
        <v>Sim</v>
      </c>
      <c r="P4917" s="4">
        <f>IF(COUNTIFS(INDEX(tItens[Edital],1):tItens[[#This Row],[Edital]],tItens[[#This Row],[Edital]],INDEX(tItens[Produto],1):tItens[[#This Row],[Produto]],tItens[[#This Row],[Produto]])=1,1,0)</f>
        <v>0</v>
      </c>
    </row>
    <row r="4918" spans="1:16" x14ac:dyDescent="0.25">
      <c r="A4918" t="s">
        <v>1930</v>
      </c>
      <c r="B4918">
        <v>12</v>
      </c>
      <c r="C4918" t="s">
        <v>7741</v>
      </c>
      <c r="D4918" t="s">
        <v>130</v>
      </c>
      <c r="E4918" s="13">
        <v>234000</v>
      </c>
      <c r="F4918" s="12">
        <v>0.28000000000000003</v>
      </c>
      <c r="G4918" t="str">
        <f>IFERROR(INDEX(tEditais[Órgão],MATCH(tItens[[#This Row],[Edital]],tEditais[Edital],0)),"")</f>
        <v>FUNDACAO UNIVERSIDADE DE PERNAMBUCO</v>
      </c>
      <c r="H4918" t="str">
        <f>IFERROR(INDEX(tEditais[UF],MATCH(tItens[[#This Row],[Edital]],tEditais[Edital],0)),"")</f>
        <v>PE</v>
      </c>
      <c r="I4918" s="11">
        <f>IFERROR(INDEX(tEditais[Encerramento],MATCH(tItens[[#This Row],[Edital]],tEditais[Edital],0)),"")</f>
        <v>46311.354166666664</v>
      </c>
      <c r="J4918" t="str">
        <f>IFERROR(INDEX(tProdutos[Classe],MATCH(tItens[[#This Row],[Produto]],tProdutos[Produto],0)),"produto não cadastrado")</f>
        <v>DISPUTADO</v>
      </c>
      <c r="K4918" s="12">
        <f>tItens[[#This Row],[Qtd]]*tItens[[#This Row],[Vlr unit]]</f>
        <v>65520.000000000007</v>
      </c>
      <c r="L4918" s="6">
        <f>IFERROR(IF(INDEX(tProdutos[Desconto homologado],MATCH(tItens[[#This Row],[Produto]],tProdutos[Produto],0))="",DescontoPadrao,INDEX(tProdutos[Desconto homologado],MATCH(tItens[[#This Row],[Produto]],tProdutos[Produto],0))),DescontoPadrao)</f>
        <v>0.32</v>
      </c>
      <c r="M4918" s="12">
        <f>tItens[[#This Row],[Valor]]*(1-tItens[[#This Row],[Desconto]])</f>
        <v>44553.599999999999</v>
      </c>
      <c r="N4918" t="str">
        <f>IFERROR(INDEX(tProdutos[Foco],MATCH(tItens[[#This Row],[Produto]],tProdutos[Produto],0)),"Não")</f>
        <v>Sim</v>
      </c>
      <c r="O4918" t="str">
        <f>IFERROR(INDEX(tEditais[SRP],MATCH(tItens[[#This Row],[Edital]],tEditais[Edital],0)),"Não")</f>
        <v>Sim</v>
      </c>
      <c r="P4918" s="4">
        <f>IF(COUNTIFS(INDEX(tItens[Edital],1):tItens[[#This Row],[Edital]],tItens[[#This Row],[Edital]],INDEX(tItens[Produto],1):tItens[[#This Row],[Produto]],tItens[[#This Row],[Produto]])=1,1,0)</f>
        <v>1</v>
      </c>
    </row>
    <row r="4919" spans="1:16" x14ac:dyDescent="0.25">
      <c r="A4919" t="s">
        <v>1932</v>
      </c>
      <c r="B4919">
        <v>4</v>
      </c>
      <c r="C4919" t="s">
        <v>7742</v>
      </c>
      <c r="D4919" t="s">
        <v>315</v>
      </c>
      <c r="E4919" s="13">
        <v>400</v>
      </c>
      <c r="F4919" s="12">
        <v>0.47</v>
      </c>
      <c r="G4919" t="str">
        <f>IFERROR(INDEX(tEditais[Órgão],MATCH(tItens[[#This Row],[Edital]],tEditais[Edital],0)),"")</f>
        <v>COMANDO DA AERONAUTICA</v>
      </c>
      <c r="H4919" t="str">
        <f>IFERROR(INDEX(tEditais[UF],MATCH(tItens[[#This Row],[Edital]],tEditais[Edital],0)),"")</f>
        <v>PE</v>
      </c>
      <c r="I4919" s="11">
        <f>IFERROR(INDEX(tEditais[Encerramento],MATCH(tItens[[#This Row],[Edital]],tEditais[Edital],0)),"")</f>
        <v>46311.375</v>
      </c>
      <c r="J4919" t="str">
        <f>IFERROR(INDEX(tProdutos[Classe],MATCH(tItens[[#This Row],[Produto]],tProdutos[Produto],0)),"produto não cadastrado")</f>
        <v>FORA</v>
      </c>
      <c r="K4919" s="12">
        <f>tItens[[#This Row],[Qtd]]*tItens[[#This Row],[Vlr unit]]</f>
        <v>188</v>
      </c>
      <c r="L4919" s="6">
        <f>IFERROR(IF(INDEX(tProdutos[Desconto homologado],MATCH(tItens[[#This Row],[Produto]],tProdutos[Produto],0))="",DescontoPadrao,INDEX(tProdutos[Desconto homologado],MATCH(tItens[[#This Row],[Produto]],tProdutos[Produto],0))),DescontoPadrao)</f>
        <v>0.38432036097010702</v>
      </c>
      <c r="M4919" s="12">
        <f>tItens[[#This Row],[Valor]]*(1-tItens[[#This Row],[Desconto]])</f>
        <v>115.74777213761988</v>
      </c>
      <c r="N4919" t="str">
        <f>IFERROR(INDEX(tProdutos[Foco],MATCH(tItens[[#This Row],[Produto]],tProdutos[Produto],0)),"Não")</f>
        <v>Não</v>
      </c>
      <c r="O4919" t="str">
        <f>IFERROR(INDEX(tEditais[SRP],MATCH(tItens[[#This Row],[Edital]],tEditais[Edital],0)),"Não")</f>
        <v>Sim</v>
      </c>
      <c r="P4919" s="4">
        <f>IF(COUNTIFS(INDEX(tItens[Edital],1):tItens[[#This Row],[Edital]],tItens[[#This Row],[Edital]],INDEX(tItens[Produto],1):tItens[[#This Row],[Produto]],tItens[[#This Row],[Produto]])=1,1,0)</f>
        <v>1</v>
      </c>
    </row>
    <row r="4920" spans="1:16" x14ac:dyDescent="0.25">
      <c r="A4920" t="s">
        <v>1932</v>
      </c>
      <c r="B4920">
        <v>9</v>
      </c>
      <c r="C4920" t="s">
        <v>7743</v>
      </c>
      <c r="D4920" t="s">
        <v>409</v>
      </c>
      <c r="E4920" s="13">
        <v>200</v>
      </c>
      <c r="F4920" s="12">
        <v>38.5</v>
      </c>
      <c r="G4920" t="str">
        <f>IFERROR(INDEX(tEditais[Órgão],MATCH(tItens[[#This Row],[Edital]],tEditais[Edital],0)),"")</f>
        <v>COMANDO DA AERONAUTICA</v>
      </c>
      <c r="H4920" t="str">
        <f>IFERROR(INDEX(tEditais[UF],MATCH(tItens[[#This Row],[Edital]],tEditais[Edital],0)),"")</f>
        <v>PE</v>
      </c>
      <c r="I4920" s="11">
        <f>IFERROR(INDEX(tEditais[Encerramento],MATCH(tItens[[#This Row],[Edital]],tEditais[Edital],0)),"")</f>
        <v>46311.375</v>
      </c>
      <c r="J4920" t="str">
        <f>IFERROR(INDEX(tProdutos[Classe],MATCH(tItens[[#This Row],[Produto]],tProdutos[Produto],0)),"produto não cadastrado")</f>
        <v>FORA</v>
      </c>
      <c r="K4920" s="12">
        <f>tItens[[#This Row],[Qtd]]*tItens[[#This Row],[Vlr unit]]</f>
        <v>7700</v>
      </c>
      <c r="L4920" s="6">
        <f>IFERROR(IF(INDEX(tProdutos[Desconto homologado],MATCH(tItens[[#This Row],[Produto]],tProdutos[Produto],0))="",DescontoPadrao,INDEX(tProdutos[Desconto homologado],MATCH(tItens[[#This Row],[Produto]],tProdutos[Produto],0))),DescontoPadrao)</f>
        <v>0.24924924924924899</v>
      </c>
      <c r="M4920" s="12">
        <f>tItens[[#This Row],[Valor]]*(1-tItens[[#This Row],[Desconto]])</f>
        <v>5780.7807807807831</v>
      </c>
      <c r="N4920" t="str">
        <f>IFERROR(INDEX(tProdutos[Foco],MATCH(tItens[[#This Row],[Produto]],tProdutos[Produto],0)),"Não")</f>
        <v>Não</v>
      </c>
      <c r="O4920" t="str">
        <f>IFERROR(INDEX(tEditais[SRP],MATCH(tItens[[#This Row],[Edital]],tEditais[Edital],0)),"Não")</f>
        <v>Sim</v>
      </c>
      <c r="P4920" s="4">
        <f>IF(COUNTIFS(INDEX(tItens[Edital],1):tItens[[#This Row],[Edital]],tItens[[#This Row],[Edital]],INDEX(tItens[Produto],1):tItens[[#This Row],[Produto]],tItens[[#This Row],[Produto]])=1,1,0)</f>
        <v>1</v>
      </c>
    </row>
    <row r="4921" spans="1:16" x14ac:dyDescent="0.25">
      <c r="A4921" t="s">
        <v>1932</v>
      </c>
      <c r="B4921">
        <v>10</v>
      </c>
      <c r="C4921" t="s">
        <v>7744</v>
      </c>
      <c r="D4921" t="s">
        <v>98</v>
      </c>
      <c r="E4921" s="13">
        <v>10</v>
      </c>
      <c r="F4921" s="12">
        <v>5.26</v>
      </c>
      <c r="G4921" t="str">
        <f>IFERROR(INDEX(tEditais[Órgão],MATCH(tItens[[#This Row],[Edital]],tEditais[Edital],0)),"")</f>
        <v>COMANDO DA AERONAUTICA</v>
      </c>
      <c r="H4921" t="str">
        <f>IFERROR(INDEX(tEditais[UF],MATCH(tItens[[#This Row],[Edital]],tEditais[Edital],0)),"")</f>
        <v>PE</v>
      </c>
      <c r="I4921" s="11">
        <f>IFERROR(INDEX(tEditais[Encerramento],MATCH(tItens[[#This Row],[Edital]],tEditais[Edital],0)),"")</f>
        <v>46311.375</v>
      </c>
      <c r="J4921" t="str">
        <f>IFERROR(INDEX(tProdutos[Classe],MATCH(tItens[[#This Row],[Produto]],tProdutos[Produto],0)),"produto não cadastrado")</f>
        <v>NÚCLEO</v>
      </c>
      <c r="K4921" s="12">
        <f>tItens[[#This Row],[Qtd]]*tItens[[#This Row],[Vlr unit]]</f>
        <v>52.599999999999994</v>
      </c>
      <c r="L4921" s="6">
        <f>IFERROR(IF(INDEX(tProdutos[Desconto homologado],MATCH(tItens[[#This Row],[Produto]],tProdutos[Produto],0))="",DescontoPadrao,INDEX(tProdutos[Desconto homologado],MATCH(tItens[[#This Row],[Produto]],tProdutos[Produto],0))),DescontoPadrao)</f>
        <v>0.39</v>
      </c>
      <c r="M4921" s="12">
        <f>tItens[[#This Row],[Valor]]*(1-tItens[[#This Row],[Desconto]])</f>
        <v>32.085999999999999</v>
      </c>
      <c r="N4921" t="str">
        <f>IFERROR(INDEX(tProdutos[Foco],MATCH(tItens[[#This Row],[Produto]],tProdutos[Produto],0)),"Não")</f>
        <v>Sim</v>
      </c>
      <c r="O4921" t="str">
        <f>IFERROR(INDEX(tEditais[SRP],MATCH(tItens[[#This Row],[Edital]],tEditais[Edital],0)),"Não")</f>
        <v>Sim</v>
      </c>
      <c r="P4921" s="4">
        <f>IF(COUNTIFS(INDEX(tItens[Edital],1):tItens[[#This Row],[Edital]],tItens[[#This Row],[Edital]],INDEX(tItens[Produto],1):tItens[[#This Row],[Produto]],tItens[[#This Row],[Produto]])=1,1,0)</f>
        <v>1</v>
      </c>
    </row>
    <row r="4922" spans="1:16" x14ac:dyDescent="0.25">
      <c r="A4922" t="s">
        <v>1932</v>
      </c>
      <c r="B4922">
        <v>11</v>
      </c>
      <c r="C4922" t="s">
        <v>7745</v>
      </c>
      <c r="D4922" t="s">
        <v>98</v>
      </c>
      <c r="E4922" s="13">
        <v>10</v>
      </c>
      <c r="F4922" s="12">
        <v>4.92</v>
      </c>
      <c r="G4922" t="str">
        <f>IFERROR(INDEX(tEditais[Órgão],MATCH(tItens[[#This Row],[Edital]],tEditais[Edital],0)),"")</f>
        <v>COMANDO DA AERONAUTICA</v>
      </c>
      <c r="H4922" t="str">
        <f>IFERROR(INDEX(tEditais[UF],MATCH(tItens[[#This Row],[Edital]],tEditais[Edital],0)),"")</f>
        <v>PE</v>
      </c>
      <c r="I4922" s="11">
        <f>IFERROR(INDEX(tEditais[Encerramento],MATCH(tItens[[#This Row],[Edital]],tEditais[Edital],0)),"")</f>
        <v>46311.375</v>
      </c>
      <c r="J4922" t="str">
        <f>IFERROR(INDEX(tProdutos[Classe],MATCH(tItens[[#This Row],[Produto]],tProdutos[Produto],0)),"produto não cadastrado")</f>
        <v>NÚCLEO</v>
      </c>
      <c r="K4922" s="12">
        <f>tItens[[#This Row],[Qtd]]*tItens[[#This Row],[Vlr unit]]</f>
        <v>49.2</v>
      </c>
      <c r="L4922" s="6">
        <f>IFERROR(IF(INDEX(tProdutos[Desconto homologado],MATCH(tItens[[#This Row],[Produto]],tProdutos[Produto],0))="",DescontoPadrao,INDEX(tProdutos[Desconto homologado],MATCH(tItens[[#This Row],[Produto]],tProdutos[Produto],0))),DescontoPadrao)</f>
        <v>0.39</v>
      </c>
      <c r="M4922" s="12">
        <f>tItens[[#This Row],[Valor]]*(1-tItens[[#This Row],[Desconto]])</f>
        <v>30.012</v>
      </c>
      <c r="N4922" t="str">
        <f>IFERROR(INDEX(tProdutos[Foco],MATCH(tItens[[#This Row],[Produto]],tProdutos[Produto],0)),"Não")</f>
        <v>Sim</v>
      </c>
      <c r="O4922" t="str">
        <f>IFERROR(INDEX(tEditais[SRP],MATCH(tItens[[#This Row],[Edital]],tEditais[Edital],0)),"Não")</f>
        <v>Sim</v>
      </c>
      <c r="P4922" s="4">
        <f>IF(COUNTIFS(INDEX(tItens[Edital],1):tItens[[#This Row],[Edital]],tItens[[#This Row],[Edital]],INDEX(tItens[Produto],1):tItens[[#This Row],[Produto]],tItens[[#This Row],[Produto]])=1,1,0)</f>
        <v>0</v>
      </c>
    </row>
    <row r="4923" spans="1:16" x14ac:dyDescent="0.25">
      <c r="A4923" t="s">
        <v>1932</v>
      </c>
      <c r="B4923">
        <v>12</v>
      </c>
      <c r="C4923" t="s">
        <v>7746</v>
      </c>
      <c r="D4923" t="s">
        <v>98</v>
      </c>
      <c r="E4923" s="13">
        <v>10</v>
      </c>
      <c r="F4923" s="12">
        <v>8.14</v>
      </c>
      <c r="G4923" t="str">
        <f>IFERROR(INDEX(tEditais[Órgão],MATCH(tItens[[#This Row],[Edital]],tEditais[Edital],0)),"")</f>
        <v>COMANDO DA AERONAUTICA</v>
      </c>
      <c r="H4923" t="str">
        <f>IFERROR(INDEX(tEditais[UF],MATCH(tItens[[#This Row],[Edital]],tEditais[Edital],0)),"")</f>
        <v>PE</v>
      </c>
      <c r="I4923" s="11">
        <f>IFERROR(INDEX(tEditais[Encerramento],MATCH(tItens[[#This Row],[Edital]],tEditais[Edital],0)),"")</f>
        <v>46311.375</v>
      </c>
      <c r="J4923" t="str">
        <f>IFERROR(INDEX(tProdutos[Classe],MATCH(tItens[[#This Row],[Produto]],tProdutos[Produto],0)),"produto não cadastrado")</f>
        <v>NÚCLEO</v>
      </c>
      <c r="K4923" s="12">
        <f>tItens[[#This Row],[Qtd]]*tItens[[#This Row],[Vlr unit]]</f>
        <v>81.400000000000006</v>
      </c>
      <c r="L4923" s="6">
        <f>IFERROR(IF(INDEX(tProdutos[Desconto homologado],MATCH(tItens[[#This Row],[Produto]],tProdutos[Produto],0))="",DescontoPadrao,INDEX(tProdutos[Desconto homologado],MATCH(tItens[[#This Row],[Produto]],tProdutos[Produto],0))),DescontoPadrao)</f>
        <v>0.39</v>
      </c>
      <c r="M4923" s="12">
        <f>tItens[[#This Row],[Valor]]*(1-tItens[[#This Row],[Desconto]])</f>
        <v>49.654000000000003</v>
      </c>
      <c r="N4923" t="str">
        <f>IFERROR(INDEX(tProdutos[Foco],MATCH(tItens[[#This Row],[Produto]],tProdutos[Produto],0)),"Não")</f>
        <v>Sim</v>
      </c>
      <c r="O4923" t="str">
        <f>IFERROR(INDEX(tEditais[SRP],MATCH(tItens[[#This Row],[Edital]],tEditais[Edital],0)),"Não")</f>
        <v>Sim</v>
      </c>
      <c r="P4923" s="4">
        <f>IF(COUNTIFS(INDEX(tItens[Edital],1):tItens[[#This Row],[Edital]],tItens[[#This Row],[Edital]],INDEX(tItens[Produto],1):tItens[[#This Row],[Produto]],tItens[[#This Row],[Produto]])=1,1,0)</f>
        <v>0</v>
      </c>
    </row>
    <row r="4924" spans="1:16" x14ac:dyDescent="0.25">
      <c r="A4924" t="s">
        <v>1932</v>
      </c>
      <c r="B4924">
        <v>13</v>
      </c>
      <c r="C4924" t="s">
        <v>7747</v>
      </c>
      <c r="D4924" t="s">
        <v>98</v>
      </c>
      <c r="E4924" s="13">
        <v>10</v>
      </c>
      <c r="F4924" s="12">
        <v>9.2799999999999994</v>
      </c>
      <c r="G4924" t="str">
        <f>IFERROR(INDEX(tEditais[Órgão],MATCH(tItens[[#This Row],[Edital]],tEditais[Edital],0)),"")</f>
        <v>COMANDO DA AERONAUTICA</v>
      </c>
      <c r="H4924" t="str">
        <f>IFERROR(INDEX(tEditais[UF],MATCH(tItens[[#This Row],[Edital]],tEditais[Edital],0)),"")</f>
        <v>PE</v>
      </c>
      <c r="I4924" s="11">
        <f>IFERROR(INDEX(tEditais[Encerramento],MATCH(tItens[[#This Row],[Edital]],tEditais[Edital],0)),"")</f>
        <v>46311.375</v>
      </c>
      <c r="J4924" t="str">
        <f>IFERROR(INDEX(tProdutos[Classe],MATCH(tItens[[#This Row],[Produto]],tProdutos[Produto],0)),"produto não cadastrado")</f>
        <v>NÚCLEO</v>
      </c>
      <c r="K4924" s="12">
        <f>tItens[[#This Row],[Qtd]]*tItens[[#This Row],[Vlr unit]]</f>
        <v>92.8</v>
      </c>
      <c r="L4924" s="6">
        <f>IFERROR(IF(INDEX(tProdutos[Desconto homologado],MATCH(tItens[[#This Row],[Produto]],tProdutos[Produto],0))="",DescontoPadrao,INDEX(tProdutos[Desconto homologado],MATCH(tItens[[#This Row],[Produto]],tProdutos[Produto],0))),DescontoPadrao)</f>
        <v>0.39</v>
      </c>
      <c r="M4924" s="12">
        <f>tItens[[#This Row],[Valor]]*(1-tItens[[#This Row],[Desconto]])</f>
        <v>56.607999999999997</v>
      </c>
      <c r="N4924" t="str">
        <f>IFERROR(INDEX(tProdutos[Foco],MATCH(tItens[[#This Row],[Produto]],tProdutos[Produto],0)),"Não")</f>
        <v>Sim</v>
      </c>
      <c r="O4924" t="str">
        <f>IFERROR(INDEX(tEditais[SRP],MATCH(tItens[[#This Row],[Edital]],tEditais[Edital],0)),"Não")</f>
        <v>Sim</v>
      </c>
      <c r="P4924" s="4">
        <f>IF(COUNTIFS(INDEX(tItens[Edital],1):tItens[[#This Row],[Edital]],tItens[[#This Row],[Edital]],INDEX(tItens[Produto],1):tItens[[#This Row],[Produto]],tItens[[#This Row],[Produto]])=1,1,0)</f>
        <v>0</v>
      </c>
    </row>
    <row r="4925" spans="1:16" x14ac:dyDescent="0.25">
      <c r="A4925" t="s">
        <v>1932</v>
      </c>
      <c r="B4925">
        <v>14</v>
      </c>
      <c r="C4925" t="s">
        <v>7748</v>
      </c>
      <c r="D4925" t="s">
        <v>98</v>
      </c>
      <c r="E4925" s="13">
        <v>10</v>
      </c>
      <c r="F4925" s="12">
        <v>9.1999999999999993</v>
      </c>
      <c r="G4925" t="str">
        <f>IFERROR(INDEX(tEditais[Órgão],MATCH(tItens[[#This Row],[Edital]],tEditais[Edital],0)),"")</f>
        <v>COMANDO DA AERONAUTICA</v>
      </c>
      <c r="H4925" t="str">
        <f>IFERROR(INDEX(tEditais[UF],MATCH(tItens[[#This Row],[Edital]],tEditais[Edital],0)),"")</f>
        <v>PE</v>
      </c>
      <c r="I4925" s="11">
        <f>IFERROR(INDEX(tEditais[Encerramento],MATCH(tItens[[#This Row],[Edital]],tEditais[Edital],0)),"")</f>
        <v>46311.375</v>
      </c>
      <c r="J4925" t="str">
        <f>IFERROR(INDEX(tProdutos[Classe],MATCH(tItens[[#This Row],[Produto]],tProdutos[Produto],0)),"produto não cadastrado")</f>
        <v>NÚCLEO</v>
      </c>
      <c r="K4925" s="12">
        <f>tItens[[#This Row],[Qtd]]*tItens[[#This Row],[Vlr unit]]</f>
        <v>92</v>
      </c>
      <c r="L4925" s="6">
        <f>IFERROR(IF(INDEX(tProdutos[Desconto homologado],MATCH(tItens[[#This Row],[Produto]],tProdutos[Produto],0))="",DescontoPadrao,INDEX(tProdutos[Desconto homologado],MATCH(tItens[[#This Row],[Produto]],tProdutos[Produto],0))),DescontoPadrao)</f>
        <v>0.39</v>
      </c>
      <c r="M4925" s="12">
        <f>tItens[[#This Row],[Valor]]*(1-tItens[[#This Row],[Desconto]])</f>
        <v>56.12</v>
      </c>
      <c r="N4925" t="str">
        <f>IFERROR(INDEX(tProdutos[Foco],MATCH(tItens[[#This Row],[Produto]],tProdutos[Produto],0)),"Não")</f>
        <v>Sim</v>
      </c>
      <c r="O4925" t="str">
        <f>IFERROR(INDEX(tEditais[SRP],MATCH(tItens[[#This Row],[Edital]],tEditais[Edital],0)),"Não")</f>
        <v>Sim</v>
      </c>
      <c r="P4925" s="4">
        <f>IF(COUNTIFS(INDEX(tItens[Edital],1):tItens[[#This Row],[Edital]],tItens[[#This Row],[Edital]],INDEX(tItens[Produto],1):tItens[[#This Row],[Produto]],tItens[[#This Row],[Produto]])=1,1,0)</f>
        <v>0</v>
      </c>
    </row>
    <row r="4926" spans="1:16" x14ac:dyDescent="0.25">
      <c r="A4926" t="s">
        <v>1932</v>
      </c>
      <c r="B4926">
        <v>15</v>
      </c>
      <c r="C4926" t="s">
        <v>7749</v>
      </c>
      <c r="D4926" t="s">
        <v>98</v>
      </c>
      <c r="E4926" s="13">
        <v>10</v>
      </c>
      <c r="F4926" s="12">
        <v>8.64</v>
      </c>
      <c r="G4926" t="str">
        <f>IFERROR(INDEX(tEditais[Órgão],MATCH(tItens[[#This Row],[Edital]],tEditais[Edital],0)),"")</f>
        <v>COMANDO DA AERONAUTICA</v>
      </c>
      <c r="H4926" t="str">
        <f>IFERROR(INDEX(tEditais[UF],MATCH(tItens[[#This Row],[Edital]],tEditais[Edital],0)),"")</f>
        <v>PE</v>
      </c>
      <c r="I4926" s="11">
        <f>IFERROR(INDEX(tEditais[Encerramento],MATCH(tItens[[#This Row],[Edital]],tEditais[Edital],0)),"")</f>
        <v>46311.375</v>
      </c>
      <c r="J4926" t="str">
        <f>IFERROR(INDEX(tProdutos[Classe],MATCH(tItens[[#This Row],[Produto]],tProdutos[Produto],0)),"produto não cadastrado")</f>
        <v>NÚCLEO</v>
      </c>
      <c r="K4926" s="12">
        <f>tItens[[#This Row],[Qtd]]*tItens[[#This Row],[Vlr unit]]</f>
        <v>86.4</v>
      </c>
      <c r="L4926" s="6">
        <f>IFERROR(IF(INDEX(tProdutos[Desconto homologado],MATCH(tItens[[#This Row],[Produto]],tProdutos[Produto],0))="",DescontoPadrao,INDEX(tProdutos[Desconto homologado],MATCH(tItens[[#This Row],[Produto]],tProdutos[Produto],0))),DescontoPadrao)</f>
        <v>0.39</v>
      </c>
      <c r="M4926" s="12">
        <f>tItens[[#This Row],[Valor]]*(1-tItens[[#This Row],[Desconto]])</f>
        <v>52.704000000000001</v>
      </c>
      <c r="N4926" t="str">
        <f>IFERROR(INDEX(tProdutos[Foco],MATCH(tItens[[#This Row],[Produto]],tProdutos[Produto],0)),"Não")</f>
        <v>Sim</v>
      </c>
      <c r="O4926" t="str">
        <f>IFERROR(INDEX(tEditais[SRP],MATCH(tItens[[#This Row],[Edital]],tEditais[Edital],0)),"Não")</f>
        <v>Sim</v>
      </c>
      <c r="P4926" s="4">
        <f>IF(COUNTIFS(INDEX(tItens[Edital],1):tItens[[#This Row],[Edital]],tItens[[#This Row],[Edital]],INDEX(tItens[Produto],1):tItens[[#This Row],[Produto]],tItens[[#This Row],[Produto]])=1,1,0)</f>
        <v>0</v>
      </c>
    </row>
    <row r="4927" spans="1:16" x14ac:dyDescent="0.25">
      <c r="A4927" t="s">
        <v>1932</v>
      </c>
      <c r="B4927">
        <v>19</v>
      </c>
      <c r="C4927" t="s">
        <v>7750</v>
      </c>
      <c r="D4927" t="s">
        <v>347</v>
      </c>
      <c r="E4927" s="13">
        <v>30</v>
      </c>
      <c r="F4927" s="12">
        <v>5.85</v>
      </c>
      <c r="G4927" t="str">
        <f>IFERROR(INDEX(tEditais[Órgão],MATCH(tItens[[#This Row],[Edital]],tEditais[Edital],0)),"")</f>
        <v>COMANDO DA AERONAUTICA</v>
      </c>
      <c r="H4927" t="str">
        <f>IFERROR(INDEX(tEditais[UF],MATCH(tItens[[#This Row],[Edital]],tEditais[Edital],0)),"")</f>
        <v>PE</v>
      </c>
      <c r="I4927" s="11">
        <f>IFERROR(INDEX(tEditais[Encerramento],MATCH(tItens[[#This Row],[Edital]],tEditais[Edital],0)),"")</f>
        <v>46311.375</v>
      </c>
      <c r="J4927" t="str">
        <f>IFERROR(INDEX(tProdutos[Classe],MATCH(tItens[[#This Row],[Produto]],tProdutos[Produto],0)),"produto não cadastrado")</f>
        <v>FORA</v>
      </c>
      <c r="K4927" s="12">
        <f>tItens[[#This Row],[Qtd]]*tItens[[#This Row],[Vlr unit]]</f>
        <v>175.5</v>
      </c>
      <c r="L4927" s="6">
        <f>IFERROR(IF(INDEX(tProdutos[Desconto homologado],MATCH(tItens[[#This Row],[Produto]],tProdutos[Produto],0))="",DescontoPadrao,INDEX(tProdutos[Desconto homologado],MATCH(tItens[[#This Row],[Produto]],tProdutos[Produto],0))),DescontoPadrao)</f>
        <v>0.26356465005931201</v>
      </c>
      <c r="M4927" s="12">
        <f>tItens[[#This Row],[Valor]]*(1-tItens[[#This Row],[Desconto]])</f>
        <v>129.24440391459072</v>
      </c>
      <c r="N4927" t="str">
        <f>IFERROR(INDEX(tProdutos[Foco],MATCH(tItens[[#This Row],[Produto]],tProdutos[Produto],0)),"Não")</f>
        <v>Não</v>
      </c>
      <c r="O4927" t="str">
        <f>IFERROR(INDEX(tEditais[SRP],MATCH(tItens[[#This Row],[Edital]],tEditais[Edital],0)),"Não")</f>
        <v>Sim</v>
      </c>
      <c r="P4927" s="4">
        <f>IF(COUNTIFS(INDEX(tItens[Edital],1):tItens[[#This Row],[Edital]],tItens[[#This Row],[Edital]],INDEX(tItens[Produto],1):tItens[[#This Row],[Produto]],tItens[[#This Row],[Produto]])=1,1,0)</f>
        <v>1</v>
      </c>
    </row>
    <row r="4928" spans="1:16" x14ac:dyDescent="0.25">
      <c r="A4928" t="s">
        <v>1932</v>
      </c>
      <c r="B4928">
        <v>20</v>
      </c>
      <c r="C4928" t="s">
        <v>7751</v>
      </c>
      <c r="D4928" t="s">
        <v>347</v>
      </c>
      <c r="E4928" s="13">
        <v>60</v>
      </c>
      <c r="F4928" s="12">
        <v>7.63</v>
      </c>
      <c r="G4928" t="str">
        <f>IFERROR(INDEX(tEditais[Órgão],MATCH(tItens[[#This Row],[Edital]],tEditais[Edital],0)),"")</f>
        <v>COMANDO DA AERONAUTICA</v>
      </c>
      <c r="H4928" t="str">
        <f>IFERROR(INDEX(tEditais[UF],MATCH(tItens[[#This Row],[Edital]],tEditais[Edital],0)),"")</f>
        <v>PE</v>
      </c>
      <c r="I4928" s="11">
        <f>IFERROR(INDEX(tEditais[Encerramento],MATCH(tItens[[#This Row],[Edital]],tEditais[Edital],0)),"")</f>
        <v>46311.375</v>
      </c>
      <c r="J4928" t="str">
        <f>IFERROR(INDEX(tProdutos[Classe],MATCH(tItens[[#This Row],[Produto]],tProdutos[Produto],0)),"produto não cadastrado")</f>
        <v>FORA</v>
      </c>
      <c r="K4928" s="12">
        <f>tItens[[#This Row],[Qtd]]*tItens[[#This Row],[Vlr unit]]</f>
        <v>457.8</v>
      </c>
      <c r="L4928" s="6">
        <f>IFERROR(IF(INDEX(tProdutos[Desconto homologado],MATCH(tItens[[#This Row],[Produto]],tProdutos[Produto],0))="",DescontoPadrao,INDEX(tProdutos[Desconto homologado],MATCH(tItens[[#This Row],[Produto]],tProdutos[Produto],0))),DescontoPadrao)</f>
        <v>0.26356465005931201</v>
      </c>
      <c r="M4928" s="12">
        <f>tItens[[#This Row],[Valor]]*(1-tItens[[#This Row],[Desconto]])</f>
        <v>337.14010320284694</v>
      </c>
      <c r="N4928" t="str">
        <f>IFERROR(INDEX(tProdutos[Foco],MATCH(tItens[[#This Row],[Produto]],tProdutos[Produto],0)),"Não")</f>
        <v>Não</v>
      </c>
      <c r="O4928" t="str">
        <f>IFERROR(INDEX(tEditais[SRP],MATCH(tItens[[#This Row],[Edital]],tEditais[Edital],0)),"Não")</f>
        <v>Sim</v>
      </c>
      <c r="P4928" s="4">
        <f>IF(COUNTIFS(INDEX(tItens[Edital],1):tItens[[#This Row],[Edital]],tItens[[#This Row],[Edital]],INDEX(tItens[Produto],1):tItens[[#This Row],[Produto]],tItens[[#This Row],[Produto]])=1,1,0)</f>
        <v>0</v>
      </c>
    </row>
    <row r="4929" spans="1:16" x14ac:dyDescent="0.25">
      <c r="A4929" t="s">
        <v>1932</v>
      </c>
      <c r="B4929">
        <v>21</v>
      </c>
      <c r="C4929" t="s">
        <v>7752</v>
      </c>
      <c r="D4929" t="s">
        <v>347</v>
      </c>
      <c r="E4929" s="13">
        <v>20</v>
      </c>
      <c r="F4929" s="12">
        <v>11.19</v>
      </c>
      <c r="G4929" t="str">
        <f>IFERROR(INDEX(tEditais[Órgão],MATCH(tItens[[#This Row],[Edital]],tEditais[Edital],0)),"")</f>
        <v>COMANDO DA AERONAUTICA</v>
      </c>
      <c r="H4929" t="str">
        <f>IFERROR(INDEX(tEditais[UF],MATCH(tItens[[#This Row],[Edital]],tEditais[Edital],0)),"")</f>
        <v>PE</v>
      </c>
      <c r="I4929" s="11">
        <f>IFERROR(INDEX(tEditais[Encerramento],MATCH(tItens[[#This Row],[Edital]],tEditais[Edital],0)),"")</f>
        <v>46311.375</v>
      </c>
      <c r="J4929" t="str">
        <f>IFERROR(INDEX(tProdutos[Classe],MATCH(tItens[[#This Row],[Produto]],tProdutos[Produto],0)),"produto não cadastrado")</f>
        <v>FORA</v>
      </c>
      <c r="K4929" s="12">
        <f>tItens[[#This Row],[Qtd]]*tItens[[#This Row],[Vlr unit]]</f>
        <v>223.79999999999998</v>
      </c>
      <c r="L4929" s="6">
        <f>IFERROR(IF(INDEX(tProdutos[Desconto homologado],MATCH(tItens[[#This Row],[Produto]],tProdutos[Produto],0))="",DescontoPadrao,INDEX(tProdutos[Desconto homologado],MATCH(tItens[[#This Row],[Produto]],tProdutos[Produto],0))),DescontoPadrao)</f>
        <v>0.26356465005931201</v>
      </c>
      <c r="M4929" s="12">
        <f>tItens[[#This Row],[Valor]]*(1-tItens[[#This Row],[Desconto]])</f>
        <v>164.81423131672594</v>
      </c>
      <c r="N4929" t="str">
        <f>IFERROR(INDEX(tProdutos[Foco],MATCH(tItens[[#This Row],[Produto]],tProdutos[Produto],0)),"Não")</f>
        <v>Não</v>
      </c>
      <c r="O4929" t="str">
        <f>IFERROR(INDEX(tEditais[SRP],MATCH(tItens[[#This Row],[Edital]],tEditais[Edital],0)),"Não")</f>
        <v>Sim</v>
      </c>
      <c r="P4929" s="4">
        <f>IF(COUNTIFS(INDEX(tItens[Edital],1):tItens[[#This Row],[Edital]],tItens[[#This Row],[Edital]],INDEX(tItens[Produto],1):tItens[[#This Row],[Produto]],tItens[[#This Row],[Produto]])=1,1,0)</f>
        <v>0</v>
      </c>
    </row>
    <row r="4930" spans="1:16" x14ac:dyDescent="0.25">
      <c r="A4930" t="s">
        <v>1932</v>
      </c>
      <c r="B4930">
        <v>22</v>
      </c>
      <c r="C4930" t="s">
        <v>7753</v>
      </c>
      <c r="D4930" t="s">
        <v>347</v>
      </c>
      <c r="E4930" s="13">
        <v>60</v>
      </c>
      <c r="F4930" s="12">
        <v>51.27</v>
      </c>
      <c r="G4930" t="str">
        <f>IFERROR(INDEX(tEditais[Órgão],MATCH(tItens[[#This Row],[Edital]],tEditais[Edital],0)),"")</f>
        <v>COMANDO DA AERONAUTICA</v>
      </c>
      <c r="H4930" t="str">
        <f>IFERROR(INDEX(tEditais[UF],MATCH(tItens[[#This Row],[Edital]],tEditais[Edital],0)),"")</f>
        <v>PE</v>
      </c>
      <c r="I4930" s="11">
        <f>IFERROR(INDEX(tEditais[Encerramento],MATCH(tItens[[#This Row],[Edital]],tEditais[Edital],0)),"")</f>
        <v>46311.375</v>
      </c>
      <c r="J4930" t="str">
        <f>IFERROR(INDEX(tProdutos[Classe],MATCH(tItens[[#This Row],[Produto]],tProdutos[Produto],0)),"produto não cadastrado")</f>
        <v>FORA</v>
      </c>
      <c r="K4930" s="12">
        <f>tItens[[#This Row],[Qtd]]*tItens[[#This Row],[Vlr unit]]</f>
        <v>3076.2000000000003</v>
      </c>
      <c r="L4930" s="6">
        <f>IFERROR(IF(INDEX(tProdutos[Desconto homologado],MATCH(tItens[[#This Row],[Produto]],tProdutos[Produto],0))="",DescontoPadrao,INDEX(tProdutos[Desconto homologado],MATCH(tItens[[#This Row],[Produto]],tProdutos[Produto],0))),DescontoPadrao)</f>
        <v>0.26356465005931201</v>
      </c>
      <c r="M4930" s="12">
        <f>tItens[[#This Row],[Valor]]*(1-tItens[[#This Row],[Desconto]])</f>
        <v>2265.4224234875446</v>
      </c>
      <c r="N4930" t="str">
        <f>IFERROR(INDEX(tProdutos[Foco],MATCH(tItens[[#This Row],[Produto]],tProdutos[Produto],0)),"Não")</f>
        <v>Não</v>
      </c>
      <c r="O4930" t="str">
        <f>IFERROR(INDEX(tEditais[SRP],MATCH(tItens[[#This Row],[Edital]],tEditais[Edital],0)),"Não")</f>
        <v>Sim</v>
      </c>
      <c r="P4930" s="4">
        <f>IF(COUNTIFS(INDEX(tItens[Edital],1):tItens[[#This Row],[Edital]],tItens[[#This Row],[Edital]],INDEX(tItens[Produto],1):tItens[[#This Row],[Produto]],tItens[[#This Row],[Produto]])=1,1,0)</f>
        <v>0</v>
      </c>
    </row>
    <row r="4931" spans="1:16" x14ac:dyDescent="0.25">
      <c r="A4931" t="s">
        <v>1932</v>
      </c>
      <c r="B4931">
        <v>23</v>
      </c>
      <c r="C4931" t="s">
        <v>7754</v>
      </c>
      <c r="D4931" t="s">
        <v>347</v>
      </c>
      <c r="E4931" s="13">
        <v>60</v>
      </c>
      <c r="F4931" s="12">
        <v>36.75</v>
      </c>
      <c r="G4931" t="str">
        <f>IFERROR(INDEX(tEditais[Órgão],MATCH(tItens[[#This Row],[Edital]],tEditais[Edital],0)),"")</f>
        <v>COMANDO DA AERONAUTICA</v>
      </c>
      <c r="H4931" t="str">
        <f>IFERROR(INDEX(tEditais[UF],MATCH(tItens[[#This Row],[Edital]],tEditais[Edital],0)),"")</f>
        <v>PE</v>
      </c>
      <c r="I4931" s="11">
        <f>IFERROR(INDEX(tEditais[Encerramento],MATCH(tItens[[#This Row],[Edital]],tEditais[Edital],0)),"")</f>
        <v>46311.375</v>
      </c>
      <c r="J4931" t="str">
        <f>IFERROR(INDEX(tProdutos[Classe],MATCH(tItens[[#This Row],[Produto]],tProdutos[Produto],0)),"produto não cadastrado")</f>
        <v>FORA</v>
      </c>
      <c r="K4931" s="12">
        <f>tItens[[#This Row],[Qtd]]*tItens[[#This Row],[Vlr unit]]</f>
        <v>2205</v>
      </c>
      <c r="L4931" s="6">
        <f>IFERROR(IF(INDEX(tProdutos[Desconto homologado],MATCH(tItens[[#This Row],[Produto]],tProdutos[Produto],0))="",DescontoPadrao,INDEX(tProdutos[Desconto homologado],MATCH(tItens[[#This Row],[Produto]],tProdutos[Produto],0))),DescontoPadrao)</f>
        <v>0.26356465005931201</v>
      </c>
      <c r="M4931" s="12">
        <f>tItens[[#This Row],[Valor]]*(1-tItens[[#This Row],[Desconto]])</f>
        <v>1623.8399466192168</v>
      </c>
      <c r="N4931" t="str">
        <f>IFERROR(INDEX(tProdutos[Foco],MATCH(tItens[[#This Row],[Produto]],tProdutos[Produto],0)),"Não")</f>
        <v>Não</v>
      </c>
      <c r="O4931" t="str">
        <f>IFERROR(INDEX(tEditais[SRP],MATCH(tItens[[#This Row],[Edital]],tEditais[Edital],0)),"Não")</f>
        <v>Sim</v>
      </c>
      <c r="P4931" s="4">
        <f>IF(COUNTIFS(INDEX(tItens[Edital],1):tItens[[#This Row],[Edital]],tItens[[#This Row],[Edital]],INDEX(tItens[Produto],1):tItens[[#This Row],[Produto]],tItens[[#This Row],[Produto]])=1,1,0)</f>
        <v>0</v>
      </c>
    </row>
    <row r="4932" spans="1:16" x14ac:dyDescent="0.25">
      <c r="A4932" t="s">
        <v>1932</v>
      </c>
      <c r="B4932">
        <v>24</v>
      </c>
      <c r="C4932" t="s">
        <v>7755</v>
      </c>
      <c r="D4932" t="s">
        <v>347</v>
      </c>
      <c r="E4932" s="13">
        <v>30</v>
      </c>
      <c r="F4932" s="12">
        <v>85.19</v>
      </c>
      <c r="G4932" t="str">
        <f>IFERROR(INDEX(tEditais[Órgão],MATCH(tItens[[#This Row],[Edital]],tEditais[Edital],0)),"")</f>
        <v>COMANDO DA AERONAUTICA</v>
      </c>
      <c r="H4932" t="str">
        <f>IFERROR(INDEX(tEditais[UF],MATCH(tItens[[#This Row],[Edital]],tEditais[Edital],0)),"")</f>
        <v>PE</v>
      </c>
      <c r="I4932" s="11">
        <f>IFERROR(INDEX(tEditais[Encerramento],MATCH(tItens[[#This Row],[Edital]],tEditais[Edital],0)),"")</f>
        <v>46311.375</v>
      </c>
      <c r="J4932" t="str">
        <f>IFERROR(INDEX(tProdutos[Classe],MATCH(tItens[[#This Row],[Produto]],tProdutos[Produto],0)),"produto não cadastrado")</f>
        <v>FORA</v>
      </c>
      <c r="K4932" s="12">
        <f>tItens[[#This Row],[Qtd]]*tItens[[#This Row],[Vlr unit]]</f>
        <v>2555.6999999999998</v>
      </c>
      <c r="L4932" s="6">
        <f>IFERROR(IF(INDEX(tProdutos[Desconto homologado],MATCH(tItens[[#This Row],[Produto]],tProdutos[Produto],0))="",DescontoPadrao,INDEX(tProdutos[Desconto homologado],MATCH(tItens[[#This Row],[Produto]],tProdutos[Produto],0))),DescontoPadrao)</f>
        <v>0.26356465005931201</v>
      </c>
      <c r="M4932" s="12">
        <f>tItens[[#This Row],[Valor]]*(1-tItens[[#This Row],[Desconto]])</f>
        <v>1882.1078238434161</v>
      </c>
      <c r="N4932" t="str">
        <f>IFERROR(INDEX(tProdutos[Foco],MATCH(tItens[[#This Row],[Produto]],tProdutos[Produto],0)),"Não")</f>
        <v>Não</v>
      </c>
      <c r="O4932" t="str">
        <f>IFERROR(INDEX(tEditais[SRP],MATCH(tItens[[#This Row],[Edital]],tEditais[Edital],0)),"Não")</f>
        <v>Sim</v>
      </c>
      <c r="P4932" s="4">
        <f>IF(COUNTIFS(INDEX(tItens[Edital],1):tItens[[#This Row],[Edital]],tItens[[#This Row],[Edital]],INDEX(tItens[Produto],1):tItens[[#This Row],[Produto]],tItens[[#This Row],[Produto]])=1,1,0)</f>
        <v>0</v>
      </c>
    </row>
    <row r="4933" spans="1:16" x14ac:dyDescent="0.25">
      <c r="A4933" t="s">
        <v>1932</v>
      </c>
      <c r="B4933">
        <v>31</v>
      </c>
      <c r="C4933" t="s">
        <v>7756</v>
      </c>
      <c r="D4933" t="s">
        <v>512</v>
      </c>
      <c r="E4933" s="13">
        <v>100</v>
      </c>
      <c r="F4933" s="12">
        <v>23.7</v>
      </c>
      <c r="G4933" t="str">
        <f>IFERROR(INDEX(tEditais[Órgão],MATCH(tItens[[#This Row],[Edital]],tEditais[Edital],0)),"")</f>
        <v>COMANDO DA AERONAUTICA</v>
      </c>
      <c r="H4933" t="str">
        <f>IFERROR(INDEX(tEditais[UF],MATCH(tItens[[#This Row],[Edital]],tEditais[Edital],0)),"")</f>
        <v>PE</v>
      </c>
      <c r="I4933" s="11">
        <f>IFERROR(INDEX(tEditais[Encerramento],MATCH(tItens[[#This Row],[Edital]],tEditais[Edital],0)),"")</f>
        <v>46311.375</v>
      </c>
      <c r="J4933" t="str">
        <f>IFERROR(INDEX(tProdutos[Classe],MATCH(tItens[[#This Row],[Produto]],tProdutos[Produto],0)),"produto não cadastrado")</f>
        <v>FILA REBASE</v>
      </c>
      <c r="K4933" s="12">
        <f>tItens[[#This Row],[Qtd]]*tItens[[#This Row],[Vlr unit]]</f>
        <v>2370</v>
      </c>
      <c r="L4933" s="6">
        <f>IFERROR(IF(INDEX(tProdutos[Desconto homologado],MATCH(tItens[[#This Row],[Produto]],tProdutos[Produto],0))="",DescontoPadrao,INDEX(tProdutos[Desconto homologado],MATCH(tItens[[#This Row],[Produto]],tProdutos[Produto],0))),DescontoPadrao)</f>
        <v>0.32579365079365102</v>
      </c>
      <c r="M4933" s="12">
        <f>tItens[[#This Row],[Valor]]*(1-tItens[[#This Row],[Desconto]])</f>
        <v>1597.8690476190473</v>
      </c>
      <c r="N4933" t="str">
        <f>IFERROR(INDEX(tProdutos[Foco],MATCH(tItens[[#This Row],[Produto]],tProdutos[Produto],0)),"Não")</f>
        <v>Não</v>
      </c>
      <c r="O4933" t="str">
        <f>IFERROR(INDEX(tEditais[SRP],MATCH(tItens[[#This Row],[Edital]],tEditais[Edital],0)),"Não")</f>
        <v>Sim</v>
      </c>
      <c r="P4933" s="4">
        <f>IF(COUNTIFS(INDEX(tItens[Edital],1):tItens[[#This Row],[Edital]],tItens[[#This Row],[Edital]],INDEX(tItens[Produto],1):tItens[[#This Row],[Produto]],tItens[[#This Row],[Produto]])=1,1,0)</f>
        <v>1</v>
      </c>
    </row>
    <row r="4934" spans="1:16" x14ac:dyDescent="0.25">
      <c r="A4934" t="s">
        <v>1932</v>
      </c>
      <c r="B4934">
        <v>32</v>
      </c>
      <c r="C4934" t="s">
        <v>7757</v>
      </c>
      <c r="D4934" t="s">
        <v>413</v>
      </c>
      <c r="E4934" s="13">
        <v>500</v>
      </c>
      <c r="F4934" s="12">
        <v>11.63</v>
      </c>
      <c r="G4934" t="str">
        <f>IFERROR(INDEX(tEditais[Órgão],MATCH(tItens[[#This Row],[Edital]],tEditais[Edital],0)),"")</f>
        <v>COMANDO DA AERONAUTICA</v>
      </c>
      <c r="H4934" t="str">
        <f>IFERROR(INDEX(tEditais[UF],MATCH(tItens[[#This Row],[Edital]],tEditais[Edital],0)),"")</f>
        <v>PE</v>
      </c>
      <c r="I4934" s="11">
        <f>IFERROR(INDEX(tEditais[Encerramento],MATCH(tItens[[#This Row],[Edital]],tEditais[Edital],0)),"")</f>
        <v>46311.375</v>
      </c>
      <c r="J4934" t="str">
        <f>IFERROR(INDEX(tProdutos[Classe],MATCH(tItens[[#This Row],[Produto]],tProdutos[Produto],0)),"produto não cadastrado")</f>
        <v>FORA</v>
      </c>
      <c r="K4934" s="12">
        <f>tItens[[#This Row],[Qtd]]*tItens[[#This Row],[Vlr unit]]</f>
        <v>5815</v>
      </c>
      <c r="L4934" s="6">
        <f>IFERROR(IF(INDEX(tProdutos[Desconto homologado],MATCH(tItens[[#This Row],[Produto]],tProdutos[Produto],0))="",DescontoPadrao,INDEX(tProdutos[Desconto homologado],MATCH(tItens[[#This Row],[Produto]],tProdutos[Produto],0))),DescontoPadrao)</f>
        <v>0.477732793522267</v>
      </c>
      <c r="M4934" s="12">
        <f>tItens[[#This Row],[Valor]]*(1-tItens[[#This Row],[Desconto]])</f>
        <v>3036.9838056680169</v>
      </c>
      <c r="N4934" t="str">
        <f>IFERROR(INDEX(tProdutos[Foco],MATCH(tItens[[#This Row],[Produto]],tProdutos[Produto],0)),"Não")</f>
        <v>Não</v>
      </c>
      <c r="O4934" t="str">
        <f>IFERROR(INDEX(tEditais[SRP],MATCH(tItens[[#This Row],[Edital]],tEditais[Edital],0)),"Não")</f>
        <v>Sim</v>
      </c>
      <c r="P4934" s="4">
        <f>IF(COUNTIFS(INDEX(tItens[Edital],1):tItens[[#This Row],[Edital]],tItens[[#This Row],[Edital]],INDEX(tItens[Produto],1):tItens[[#This Row],[Produto]],tItens[[#This Row],[Produto]])=1,1,0)</f>
        <v>1</v>
      </c>
    </row>
    <row r="4935" spans="1:16" x14ac:dyDescent="0.25">
      <c r="A4935" t="s">
        <v>1932</v>
      </c>
      <c r="B4935">
        <v>33</v>
      </c>
      <c r="C4935" t="s">
        <v>7758</v>
      </c>
      <c r="D4935" t="s">
        <v>413</v>
      </c>
      <c r="E4935" s="13">
        <v>300</v>
      </c>
      <c r="F4935" s="12">
        <v>10.96</v>
      </c>
      <c r="G4935" t="str">
        <f>IFERROR(INDEX(tEditais[Órgão],MATCH(tItens[[#This Row],[Edital]],tEditais[Edital],0)),"")</f>
        <v>COMANDO DA AERONAUTICA</v>
      </c>
      <c r="H4935" t="str">
        <f>IFERROR(INDEX(tEditais[UF],MATCH(tItens[[#This Row],[Edital]],tEditais[Edital],0)),"")</f>
        <v>PE</v>
      </c>
      <c r="I4935" s="11">
        <f>IFERROR(INDEX(tEditais[Encerramento],MATCH(tItens[[#This Row],[Edital]],tEditais[Edital],0)),"")</f>
        <v>46311.375</v>
      </c>
      <c r="J4935" t="str">
        <f>IFERROR(INDEX(tProdutos[Classe],MATCH(tItens[[#This Row],[Produto]],tProdutos[Produto],0)),"produto não cadastrado")</f>
        <v>FORA</v>
      </c>
      <c r="K4935" s="12">
        <f>tItens[[#This Row],[Qtd]]*tItens[[#This Row],[Vlr unit]]</f>
        <v>3288.0000000000005</v>
      </c>
      <c r="L4935" s="6">
        <f>IFERROR(IF(INDEX(tProdutos[Desconto homologado],MATCH(tItens[[#This Row],[Produto]],tProdutos[Produto],0))="",DescontoPadrao,INDEX(tProdutos[Desconto homologado],MATCH(tItens[[#This Row],[Produto]],tProdutos[Produto],0))),DescontoPadrao)</f>
        <v>0.477732793522267</v>
      </c>
      <c r="M4935" s="12">
        <f>tItens[[#This Row],[Valor]]*(1-tItens[[#This Row],[Desconto]])</f>
        <v>1717.2145748987862</v>
      </c>
      <c r="N4935" t="str">
        <f>IFERROR(INDEX(tProdutos[Foco],MATCH(tItens[[#This Row],[Produto]],tProdutos[Produto],0)),"Não")</f>
        <v>Não</v>
      </c>
      <c r="O4935" t="str">
        <f>IFERROR(INDEX(tEditais[SRP],MATCH(tItens[[#This Row],[Edital]],tEditais[Edital],0)),"Não")</f>
        <v>Sim</v>
      </c>
      <c r="P4935" s="4">
        <f>IF(COUNTIFS(INDEX(tItens[Edital],1):tItens[[#This Row],[Edital]],tItens[[#This Row],[Edital]],INDEX(tItens[Produto],1):tItens[[#This Row],[Produto]],tItens[[#This Row],[Produto]])=1,1,0)</f>
        <v>0</v>
      </c>
    </row>
    <row r="4936" spans="1:16" x14ac:dyDescent="0.25">
      <c r="A4936" t="s">
        <v>1932</v>
      </c>
      <c r="B4936">
        <v>34</v>
      </c>
      <c r="C4936" t="s">
        <v>7759</v>
      </c>
      <c r="D4936" t="s">
        <v>413</v>
      </c>
      <c r="E4936" s="13">
        <v>100</v>
      </c>
      <c r="F4936" s="12">
        <v>4.88</v>
      </c>
      <c r="G4936" t="str">
        <f>IFERROR(INDEX(tEditais[Órgão],MATCH(tItens[[#This Row],[Edital]],tEditais[Edital],0)),"")</f>
        <v>COMANDO DA AERONAUTICA</v>
      </c>
      <c r="H4936" t="str">
        <f>IFERROR(INDEX(tEditais[UF],MATCH(tItens[[#This Row],[Edital]],tEditais[Edital],0)),"")</f>
        <v>PE</v>
      </c>
      <c r="I4936" s="11">
        <f>IFERROR(INDEX(tEditais[Encerramento],MATCH(tItens[[#This Row],[Edital]],tEditais[Edital],0)),"")</f>
        <v>46311.375</v>
      </c>
      <c r="J4936" t="str">
        <f>IFERROR(INDEX(tProdutos[Classe],MATCH(tItens[[#This Row],[Produto]],tProdutos[Produto],0)),"produto não cadastrado")</f>
        <v>FORA</v>
      </c>
      <c r="K4936" s="12">
        <f>tItens[[#This Row],[Qtd]]*tItens[[#This Row],[Vlr unit]]</f>
        <v>488</v>
      </c>
      <c r="L4936" s="6">
        <f>IFERROR(IF(INDEX(tProdutos[Desconto homologado],MATCH(tItens[[#This Row],[Produto]],tProdutos[Produto],0))="",DescontoPadrao,INDEX(tProdutos[Desconto homologado],MATCH(tItens[[#This Row],[Produto]],tProdutos[Produto],0))),DescontoPadrao)</f>
        <v>0.477732793522267</v>
      </c>
      <c r="M4936" s="12">
        <f>tItens[[#This Row],[Valor]]*(1-tItens[[#This Row],[Desconto]])</f>
        <v>254.86639676113367</v>
      </c>
      <c r="N4936" t="str">
        <f>IFERROR(INDEX(tProdutos[Foco],MATCH(tItens[[#This Row],[Produto]],tProdutos[Produto],0)),"Não")</f>
        <v>Não</v>
      </c>
      <c r="O4936" t="str">
        <f>IFERROR(INDEX(tEditais[SRP],MATCH(tItens[[#This Row],[Edital]],tEditais[Edital],0)),"Não")</f>
        <v>Sim</v>
      </c>
      <c r="P4936" s="4">
        <f>IF(COUNTIFS(INDEX(tItens[Edital],1):tItens[[#This Row],[Edital]],tItens[[#This Row],[Edital]],INDEX(tItens[Produto],1):tItens[[#This Row],[Produto]],tItens[[#This Row],[Produto]])=1,1,0)</f>
        <v>0</v>
      </c>
    </row>
    <row r="4937" spans="1:16" x14ac:dyDescent="0.25">
      <c r="A4937" t="s">
        <v>1932</v>
      </c>
      <c r="B4937">
        <v>39</v>
      </c>
      <c r="C4937" t="s">
        <v>7760</v>
      </c>
      <c r="D4937" t="s">
        <v>275</v>
      </c>
      <c r="E4937" s="13">
        <v>25000</v>
      </c>
      <c r="F4937" s="12">
        <v>3.63</v>
      </c>
      <c r="G4937" t="str">
        <f>IFERROR(INDEX(tEditais[Órgão],MATCH(tItens[[#This Row],[Edital]],tEditais[Edital],0)),"")</f>
        <v>COMANDO DA AERONAUTICA</v>
      </c>
      <c r="H4937" t="str">
        <f>IFERROR(INDEX(tEditais[UF],MATCH(tItens[[#This Row],[Edital]],tEditais[Edital],0)),"")</f>
        <v>PE</v>
      </c>
      <c r="I4937" s="11">
        <f>IFERROR(INDEX(tEditais[Encerramento],MATCH(tItens[[#This Row],[Edital]],tEditais[Edital],0)),"")</f>
        <v>46311.375</v>
      </c>
      <c r="J4937" t="str">
        <f>IFERROR(INDEX(tProdutos[Classe],MATCH(tItens[[#This Row],[Produto]],tProdutos[Produto],0)),"produto não cadastrado")</f>
        <v>FORA</v>
      </c>
      <c r="K4937" s="12">
        <f>tItens[[#This Row],[Qtd]]*tItens[[#This Row],[Vlr unit]]</f>
        <v>90750</v>
      </c>
      <c r="L4937" s="6">
        <f>IFERROR(IF(INDEX(tProdutos[Desconto homologado],MATCH(tItens[[#This Row],[Produto]],tProdutos[Produto],0))="",DescontoPadrao,INDEX(tProdutos[Desconto homologado],MATCH(tItens[[#This Row],[Produto]],tProdutos[Produto],0))),DescontoPadrao)</f>
        <v>0.405797101449275</v>
      </c>
      <c r="M4937" s="12">
        <f>tItens[[#This Row],[Valor]]*(1-tItens[[#This Row],[Desconto]])</f>
        <v>53923.9130434783</v>
      </c>
      <c r="N4937" t="str">
        <f>IFERROR(INDEX(tProdutos[Foco],MATCH(tItens[[#This Row],[Produto]],tProdutos[Produto],0)),"Não")</f>
        <v>Não</v>
      </c>
      <c r="O4937" t="str">
        <f>IFERROR(INDEX(tEditais[SRP],MATCH(tItens[[#This Row],[Edital]],tEditais[Edital],0)),"Não")</f>
        <v>Sim</v>
      </c>
      <c r="P4937" s="4">
        <f>IF(COUNTIFS(INDEX(tItens[Edital],1):tItens[[#This Row],[Edital]],tItens[[#This Row],[Edital]],INDEX(tItens[Produto],1):tItens[[#This Row],[Produto]],tItens[[#This Row],[Produto]])=1,1,0)</f>
        <v>1</v>
      </c>
    </row>
    <row r="4938" spans="1:16" x14ac:dyDescent="0.25">
      <c r="A4938" t="s">
        <v>1936</v>
      </c>
      <c r="B4938">
        <v>13</v>
      </c>
      <c r="C4938" t="s">
        <v>6973</v>
      </c>
      <c r="D4938" t="s">
        <v>311</v>
      </c>
      <c r="E4938" s="13">
        <v>3000</v>
      </c>
      <c r="F4938" s="12">
        <v>4.2</v>
      </c>
      <c r="G4938" t="str">
        <f>IFERROR(INDEX(tEditais[Órgão],MATCH(tItens[[#This Row],[Edital]],tEditais[Edital],0)),"")</f>
        <v>MINISTERIO DA SAUDE</v>
      </c>
      <c r="H4938" t="str">
        <f>IFERROR(INDEX(tEditais[UF],MATCH(tItens[[#This Row],[Edital]],tEditais[Edital],0)),"")</f>
        <v>PE</v>
      </c>
      <c r="I4938" s="11">
        <f>IFERROR(INDEX(tEditais[Encerramento],MATCH(tItens[[#This Row],[Edital]],tEditais[Edital],0)),"")</f>
        <v>46311.375</v>
      </c>
      <c r="J4938" t="str">
        <f>IFERROR(INDEX(tProdutos[Classe],MATCH(tItens[[#This Row],[Produto]],tProdutos[Produto],0)),"produto não cadastrado")</f>
        <v>FORA</v>
      </c>
      <c r="K4938" s="12">
        <f>tItens[[#This Row],[Qtd]]*tItens[[#This Row],[Vlr unit]]</f>
        <v>12600</v>
      </c>
      <c r="L4938" s="6">
        <f>IFERROR(IF(INDEX(tProdutos[Desconto homologado],MATCH(tItens[[#This Row],[Produto]],tProdutos[Produto],0))="",DescontoPadrao,INDEX(tProdutos[Desconto homologado],MATCH(tItens[[#This Row],[Produto]],tProdutos[Produto],0))),DescontoPadrao)</f>
        <v>0.29046182846371399</v>
      </c>
      <c r="M4938" s="12">
        <f>tItens[[#This Row],[Valor]]*(1-tItens[[#This Row],[Desconto]])</f>
        <v>8940.1809613572041</v>
      </c>
      <c r="N4938" t="str">
        <f>IFERROR(INDEX(tProdutos[Foco],MATCH(tItens[[#This Row],[Produto]],tProdutos[Produto],0)),"Não")</f>
        <v>Não</v>
      </c>
      <c r="O4938" t="str">
        <f>IFERROR(INDEX(tEditais[SRP],MATCH(tItens[[#This Row],[Edital]],tEditais[Edital],0)),"Não")</f>
        <v>Não</v>
      </c>
      <c r="P4938" s="4">
        <f>IF(COUNTIFS(INDEX(tItens[Edital],1):tItens[[#This Row],[Edital]],tItens[[#This Row],[Edital]],INDEX(tItens[Produto],1):tItens[[#This Row],[Produto]],tItens[[#This Row],[Produto]])=1,1,0)</f>
        <v>1</v>
      </c>
    </row>
    <row r="4939" spans="1:16" x14ac:dyDescent="0.25">
      <c r="A4939" t="s">
        <v>1936</v>
      </c>
      <c r="B4939">
        <v>14</v>
      </c>
      <c r="C4939" t="s">
        <v>4252</v>
      </c>
      <c r="D4939" t="s">
        <v>311</v>
      </c>
      <c r="E4939" s="13">
        <v>2000</v>
      </c>
      <c r="F4939" s="12">
        <v>5.24</v>
      </c>
      <c r="G4939" t="str">
        <f>IFERROR(INDEX(tEditais[Órgão],MATCH(tItens[[#This Row],[Edital]],tEditais[Edital],0)),"")</f>
        <v>MINISTERIO DA SAUDE</v>
      </c>
      <c r="H4939" t="str">
        <f>IFERROR(INDEX(tEditais[UF],MATCH(tItens[[#This Row],[Edital]],tEditais[Edital],0)),"")</f>
        <v>PE</v>
      </c>
      <c r="I4939" s="11">
        <f>IFERROR(INDEX(tEditais[Encerramento],MATCH(tItens[[#This Row],[Edital]],tEditais[Edital],0)),"")</f>
        <v>46311.375</v>
      </c>
      <c r="J4939" t="str">
        <f>IFERROR(INDEX(tProdutos[Classe],MATCH(tItens[[#This Row],[Produto]],tProdutos[Produto],0)),"produto não cadastrado")</f>
        <v>FORA</v>
      </c>
      <c r="K4939" s="12">
        <f>tItens[[#This Row],[Qtd]]*tItens[[#This Row],[Vlr unit]]</f>
        <v>10480</v>
      </c>
      <c r="L4939" s="6">
        <f>IFERROR(IF(INDEX(tProdutos[Desconto homologado],MATCH(tItens[[#This Row],[Produto]],tProdutos[Produto],0))="",DescontoPadrao,INDEX(tProdutos[Desconto homologado],MATCH(tItens[[#This Row],[Produto]],tProdutos[Produto],0))),DescontoPadrao)</f>
        <v>0.29046182846371399</v>
      </c>
      <c r="M4939" s="12">
        <f>tItens[[#This Row],[Valor]]*(1-tItens[[#This Row],[Desconto]])</f>
        <v>7435.960037700278</v>
      </c>
      <c r="N4939" t="str">
        <f>IFERROR(INDEX(tProdutos[Foco],MATCH(tItens[[#This Row],[Produto]],tProdutos[Produto],0)),"Não")</f>
        <v>Não</v>
      </c>
      <c r="O4939" t="str">
        <f>IFERROR(INDEX(tEditais[SRP],MATCH(tItens[[#This Row],[Edital]],tEditais[Edital],0)),"Não")</f>
        <v>Não</v>
      </c>
      <c r="P4939" s="4">
        <f>IF(COUNTIFS(INDEX(tItens[Edital],1):tItens[[#This Row],[Edital]],tItens[[#This Row],[Edital]],INDEX(tItens[Produto],1):tItens[[#This Row],[Produto]],tItens[[#This Row],[Produto]])=1,1,0)</f>
        <v>0</v>
      </c>
    </row>
    <row r="4940" spans="1:16" x14ac:dyDescent="0.25">
      <c r="A4940" t="s">
        <v>1936</v>
      </c>
      <c r="B4940">
        <v>18</v>
      </c>
      <c r="C4940" t="s">
        <v>4155</v>
      </c>
      <c r="D4940" t="s">
        <v>77</v>
      </c>
      <c r="E4940" s="13">
        <v>600</v>
      </c>
      <c r="F4940" s="12">
        <v>4.29</v>
      </c>
      <c r="G4940" t="str">
        <f>IFERROR(INDEX(tEditais[Órgão],MATCH(tItens[[#This Row],[Edital]],tEditais[Edital],0)),"")</f>
        <v>MINISTERIO DA SAUDE</v>
      </c>
      <c r="H4940" t="str">
        <f>IFERROR(INDEX(tEditais[UF],MATCH(tItens[[#This Row],[Edital]],tEditais[Edital],0)),"")</f>
        <v>PE</v>
      </c>
      <c r="I4940" s="11">
        <f>IFERROR(INDEX(tEditais[Encerramento],MATCH(tItens[[#This Row],[Edital]],tEditais[Edital],0)),"")</f>
        <v>46311.375</v>
      </c>
      <c r="J4940" t="str">
        <f>IFERROR(INDEX(tProdutos[Classe],MATCH(tItens[[#This Row],[Produto]],tProdutos[Produto],0)),"produto não cadastrado")</f>
        <v>DISPUTADO</v>
      </c>
      <c r="K4940" s="12">
        <f>tItens[[#This Row],[Qtd]]*tItens[[#This Row],[Vlr unit]]</f>
        <v>2574</v>
      </c>
      <c r="L4940" s="6">
        <f>IFERROR(IF(INDEX(tProdutos[Desconto homologado],MATCH(tItens[[#This Row],[Produto]],tProdutos[Produto],0))="",DescontoPadrao,INDEX(tProdutos[Desconto homologado],MATCH(tItens[[#This Row],[Produto]],tProdutos[Produto],0))),DescontoPadrao)</f>
        <v>0.33</v>
      </c>
      <c r="M4940" s="12">
        <f>tItens[[#This Row],[Valor]]*(1-tItens[[#This Row],[Desconto]])</f>
        <v>1724.58</v>
      </c>
      <c r="N4940" t="str">
        <f>IFERROR(INDEX(tProdutos[Foco],MATCH(tItens[[#This Row],[Produto]],tProdutos[Produto],0)),"Não")</f>
        <v>Sim</v>
      </c>
      <c r="O4940" t="str">
        <f>IFERROR(INDEX(tEditais[SRP],MATCH(tItens[[#This Row],[Edital]],tEditais[Edital],0)),"Não")</f>
        <v>Não</v>
      </c>
      <c r="P4940" s="4">
        <f>IF(COUNTIFS(INDEX(tItens[Edital],1):tItens[[#This Row],[Edital]],tItens[[#This Row],[Edital]],INDEX(tItens[Produto],1):tItens[[#This Row],[Produto]],tItens[[#This Row],[Produto]])=1,1,0)</f>
        <v>1</v>
      </c>
    </row>
    <row r="4941" spans="1:16" x14ac:dyDescent="0.25">
      <c r="A4941" t="s">
        <v>1936</v>
      </c>
      <c r="B4941">
        <v>24</v>
      </c>
      <c r="C4941" t="s">
        <v>7761</v>
      </c>
      <c r="D4941" t="s">
        <v>339</v>
      </c>
      <c r="E4941" s="13">
        <v>10000</v>
      </c>
      <c r="F4941" s="12">
        <v>0.69</v>
      </c>
      <c r="G4941" t="str">
        <f>IFERROR(INDEX(tEditais[Órgão],MATCH(tItens[[#This Row],[Edital]],tEditais[Edital],0)),"")</f>
        <v>MINISTERIO DA SAUDE</v>
      </c>
      <c r="H4941" t="str">
        <f>IFERROR(INDEX(tEditais[UF],MATCH(tItens[[#This Row],[Edital]],tEditais[Edital],0)),"")</f>
        <v>PE</v>
      </c>
      <c r="I4941" s="11">
        <f>IFERROR(INDEX(tEditais[Encerramento],MATCH(tItens[[#This Row],[Edital]],tEditais[Edital],0)),"")</f>
        <v>46311.375</v>
      </c>
      <c r="J4941" t="str">
        <f>IFERROR(INDEX(tProdutos[Classe],MATCH(tItens[[#This Row],[Produto]],tProdutos[Produto],0)),"produto não cadastrado")</f>
        <v>FORA</v>
      </c>
      <c r="K4941" s="12">
        <f>tItens[[#This Row],[Qtd]]*tItens[[#This Row],[Vlr unit]]</f>
        <v>6899.9999999999991</v>
      </c>
      <c r="L4941" s="6">
        <f>IFERROR(IF(INDEX(tProdutos[Desconto homologado],MATCH(tItens[[#This Row],[Produto]],tProdutos[Produto],0))="",DescontoPadrao,INDEX(tProdutos[Desconto homologado],MATCH(tItens[[#This Row],[Produto]],tProdutos[Produto],0))),DescontoPadrao)</f>
        <v>0.35388629091804102</v>
      </c>
      <c r="M4941" s="12">
        <f>tItens[[#This Row],[Valor]]*(1-tItens[[#This Row],[Desconto]])</f>
        <v>4458.184592665516</v>
      </c>
      <c r="N4941" t="str">
        <f>IFERROR(INDEX(tProdutos[Foco],MATCH(tItens[[#This Row],[Produto]],tProdutos[Produto],0)),"Não")</f>
        <v>Não</v>
      </c>
      <c r="O4941" t="str">
        <f>IFERROR(INDEX(tEditais[SRP],MATCH(tItens[[#This Row],[Edital]],tEditais[Edital],0)),"Não")</f>
        <v>Não</v>
      </c>
      <c r="P4941" s="4">
        <f>IF(COUNTIFS(INDEX(tItens[Edital],1):tItens[[#This Row],[Edital]],tItens[[#This Row],[Edital]],INDEX(tItens[Produto],1):tItens[[#This Row],[Produto]],tItens[[#This Row],[Produto]])=1,1,0)</f>
        <v>1</v>
      </c>
    </row>
    <row r="4942" spans="1:16" x14ac:dyDescent="0.25">
      <c r="A4942" t="s">
        <v>1936</v>
      </c>
      <c r="B4942">
        <v>25</v>
      </c>
      <c r="C4942" t="s">
        <v>7762</v>
      </c>
      <c r="D4942" t="s">
        <v>339</v>
      </c>
      <c r="E4942" s="13">
        <v>25000</v>
      </c>
      <c r="F4942" s="12">
        <v>0.56999999999999995</v>
      </c>
      <c r="G4942" t="str">
        <f>IFERROR(INDEX(tEditais[Órgão],MATCH(tItens[[#This Row],[Edital]],tEditais[Edital],0)),"")</f>
        <v>MINISTERIO DA SAUDE</v>
      </c>
      <c r="H4942" t="str">
        <f>IFERROR(INDEX(tEditais[UF],MATCH(tItens[[#This Row],[Edital]],tEditais[Edital],0)),"")</f>
        <v>PE</v>
      </c>
      <c r="I4942" s="11">
        <f>IFERROR(INDEX(tEditais[Encerramento],MATCH(tItens[[#This Row],[Edital]],tEditais[Edital],0)),"")</f>
        <v>46311.375</v>
      </c>
      <c r="J4942" t="str">
        <f>IFERROR(INDEX(tProdutos[Classe],MATCH(tItens[[#This Row],[Produto]],tProdutos[Produto],0)),"produto não cadastrado")</f>
        <v>FORA</v>
      </c>
      <c r="K4942" s="12">
        <f>tItens[[#This Row],[Qtd]]*tItens[[#This Row],[Vlr unit]]</f>
        <v>14249.999999999998</v>
      </c>
      <c r="L4942" s="6">
        <f>IFERROR(IF(INDEX(tProdutos[Desconto homologado],MATCH(tItens[[#This Row],[Produto]],tProdutos[Produto],0))="",DescontoPadrao,INDEX(tProdutos[Desconto homologado],MATCH(tItens[[#This Row],[Produto]],tProdutos[Produto],0))),DescontoPadrao)</f>
        <v>0.35388629091804102</v>
      </c>
      <c r="M4942" s="12">
        <f>tItens[[#This Row],[Valor]]*(1-tItens[[#This Row],[Desconto]])</f>
        <v>9207.1203544179134</v>
      </c>
      <c r="N4942" t="str">
        <f>IFERROR(INDEX(tProdutos[Foco],MATCH(tItens[[#This Row],[Produto]],tProdutos[Produto],0)),"Não")</f>
        <v>Não</v>
      </c>
      <c r="O4942" t="str">
        <f>IFERROR(INDEX(tEditais[SRP],MATCH(tItens[[#This Row],[Edital]],tEditais[Edital],0)),"Não")</f>
        <v>Não</v>
      </c>
      <c r="P4942" s="4">
        <f>IF(COUNTIFS(INDEX(tItens[Edital],1):tItens[[#This Row],[Edital]],tItens[[#This Row],[Edital]],INDEX(tItens[Produto],1):tItens[[#This Row],[Produto]],tItens[[#This Row],[Produto]])=1,1,0)</f>
        <v>0</v>
      </c>
    </row>
    <row r="4943" spans="1:16" x14ac:dyDescent="0.25">
      <c r="A4943" t="s">
        <v>1936</v>
      </c>
      <c r="B4943">
        <v>26</v>
      </c>
      <c r="C4943" t="s">
        <v>7763</v>
      </c>
      <c r="D4943" t="s">
        <v>339</v>
      </c>
      <c r="E4943" s="13">
        <v>20000</v>
      </c>
      <c r="F4943" s="12">
        <v>0.51</v>
      </c>
      <c r="G4943" t="str">
        <f>IFERROR(INDEX(tEditais[Órgão],MATCH(tItens[[#This Row],[Edital]],tEditais[Edital],0)),"")</f>
        <v>MINISTERIO DA SAUDE</v>
      </c>
      <c r="H4943" t="str">
        <f>IFERROR(INDEX(tEditais[UF],MATCH(tItens[[#This Row],[Edital]],tEditais[Edital],0)),"")</f>
        <v>PE</v>
      </c>
      <c r="I4943" s="11">
        <f>IFERROR(INDEX(tEditais[Encerramento],MATCH(tItens[[#This Row],[Edital]],tEditais[Edital],0)),"")</f>
        <v>46311.375</v>
      </c>
      <c r="J4943" t="str">
        <f>IFERROR(INDEX(tProdutos[Classe],MATCH(tItens[[#This Row],[Produto]],tProdutos[Produto],0)),"produto não cadastrado")</f>
        <v>FORA</v>
      </c>
      <c r="K4943" s="12">
        <f>tItens[[#This Row],[Qtd]]*tItens[[#This Row],[Vlr unit]]</f>
        <v>10200</v>
      </c>
      <c r="L4943" s="6">
        <f>IFERROR(IF(INDEX(tProdutos[Desconto homologado],MATCH(tItens[[#This Row],[Produto]],tProdutos[Produto],0))="",DescontoPadrao,INDEX(tProdutos[Desconto homologado],MATCH(tItens[[#This Row],[Produto]],tProdutos[Produto],0))),DescontoPadrao)</f>
        <v>0.35388629091804102</v>
      </c>
      <c r="M4943" s="12">
        <f>tItens[[#This Row],[Valor]]*(1-tItens[[#This Row],[Desconto]])</f>
        <v>6590.3598326359815</v>
      </c>
      <c r="N4943" t="str">
        <f>IFERROR(INDEX(tProdutos[Foco],MATCH(tItens[[#This Row],[Produto]],tProdutos[Produto],0)),"Não")</f>
        <v>Não</v>
      </c>
      <c r="O4943" t="str">
        <f>IFERROR(INDEX(tEditais[SRP],MATCH(tItens[[#This Row],[Edital]],tEditais[Edital],0)),"Não")</f>
        <v>Não</v>
      </c>
      <c r="P4943" s="4">
        <f>IF(COUNTIFS(INDEX(tItens[Edital],1):tItens[[#This Row],[Edital]],tItens[[#This Row],[Edital]],INDEX(tItens[Produto],1):tItens[[#This Row],[Produto]],tItens[[#This Row],[Produto]])=1,1,0)</f>
        <v>0</v>
      </c>
    </row>
    <row r="4944" spans="1:16" x14ac:dyDescent="0.25">
      <c r="A4944" t="s">
        <v>1936</v>
      </c>
      <c r="B4944">
        <v>27</v>
      </c>
      <c r="C4944" t="s">
        <v>7764</v>
      </c>
      <c r="D4944" t="s">
        <v>339</v>
      </c>
      <c r="E4944" s="13">
        <v>15000</v>
      </c>
      <c r="F4944" s="12">
        <v>0.44</v>
      </c>
      <c r="G4944" t="str">
        <f>IFERROR(INDEX(tEditais[Órgão],MATCH(tItens[[#This Row],[Edital]],tEditais[Edital],0)),"")</f>
        <v>MINISTERIO DA SAUDE</v>
      </c>
      <c r="H4944" t="str">
        <f>IFERROR(INDEX(tEditais[UF],MATCH(tItens[[#This Row],[Edital]],tEditais[Edital],0)),"")</f>
        <v>PE</v>
      </c>
      <c r="I4944" s="11">
        <f>IFERROR(INDEX(tEditais[Encerramento],MATCH(tItens[[#This Row],[Edital]],tEditais[Edital],0)),"")</f>
        <v>46311.375</v>
      </c>
      <c r="J4944" t="str">
        <f>IFERROR(INDEX(tProdutos[Classe],MATCH(tItens[[#This Row],[Produto]],tProdutos[Produto],0)),"produto não cadastrado")</f>
        <v>FORA</v>
      </c>
      <c r="K4944" s="12">
        <f>tItens[[#This Row],[Qtd]]*tItens[[#This Row],[Vlr unit]]</f>
        <v>6600</v>
      </c>
      <c r="L4944" s="6">
        <f>IFERROR(IF(INDEX(tProdutos[Desconto homologado],MATCH(tItens[[#This Row],[Produto]],tProdutos[Produto],0))="",DescontoPadrao,INDEX(tProdutos[Desconto homologado],MATCH(tItens[[#This Row],[Produto]],tProdutos[Produto],0))),DescontoPadrao)</f>
        <v>0.35388629091804102</v>
      </c>
      <c r="M4944" s="12">
        <f>tItens[[#This Row],[Valor]]*(1-tItens[[#This Row],[Desconto]])</f>
        <v>4264.3504799409293</v>
      </c>
      <c r="N4944" t="str">
        <f>IFERROR(INDEX(tProdutos[Foco],MATCH(tItens[[#This Row],[Produto]],tProdutos[Produto],0)),"Não")</f>
        <v>Não</v>
      </c>
      <c r="O4944" t="str">
        <f>IFERROR(INDEX(tEditais[SRP],MATCH(tItens[[#This Row],[Edital]],tEditais[Edital],0)),"Não")</f>
        <v>Não</v>
      </c>
      <c r="P4944" s="4">
        <f>IF(COUNTIFS(INDEX(tItens[Edital],1):tItens[[#This Row],[Edital]],tItens[[#This Row],[Edital]],INDEX(tItens[Produto],1):tItens[[#This Row],[Produto]],tItens[[#This Row],[Produto]])=1,1,0)</f>
        <v>0</v>
      </c>
    </row>
    <row r="4945" spans="1:16" x14ac:dyDescent="0.25">
      <c r="A4945" t="s">
        <v>1936</v>
      </c>
      <c r="B4945">
        <v>28</v>
      </c>
      <c r="C4945" t="s">
        <v>3496</v>
      </c>
      <c r="D4945" t="s">
        <v>371</v>
      </c>
      <c r="E4945" s="13">
        <v>26000</v>
      </c>
      <c r="F4945" s="12">
        <v>0.4</v>
      </c>
      <c r="G4945" t="str">
        <f>IFERROR(INDEX(tEditais[Órgão],MATCH(tItens[[#This Row],[Edital]],tEditais[Edital],0)),"")</f>
        <v>MINISTERIO DA SAUDE</v>
      </c>
      <c r="H4945" t="str">
        <f>IFERROR(INDEX(tEditais[UF],MATCH(tItens[[#This Row],[Edital]],tEditais[Edital],0)),"")</f>
        <v>PE</v>
      </c>
      <c r="I4945" s="11">
        <f>IFERROR(INDEX(tEditais[Encerramento],MATCH(tItens[[#This Row],[Edital]],tEditais[Edital],0)),"")</f>
        <v>46311.375</v>
      </c>
      <c r="J4945" t="str">
        <f>IFERROR(INDEX(tProdutos[Classe],MATCH(tItens[[#This Row],[Produto]],tProdutos[Produto],0)),"produto não cadastrado")</f>
        <v>FORA</v>
      </c>
      <c r="K4945" s="12">
        <f>tItens[[#This Row],[Qtd]]*tItens[[#This Row],[Vlr unit]]</f>
        <v>10400</v>
      </c>
      <c r="L4945" s="6">
        <f>IFERROR(IF(INDEX(tProdutos[Desconto homologado],MATCH(tItens[[#This Row],[Produto]],tProdutos[Produto],0))="",DescontoPadrao,INDEX(tProdutos[Desconto homologado],MATCH(tItens[[#This Row],[Produto]],tProdutos[Produto],0))),DescontoPadrao)</f>
        <v>0.217826086956522</v>
      </c>
      <c r="M4945" s="12">
        <f>tItens[[#This Row],[Valor]]*(1-tItens[[#This Row],[Desconto]])</f>
        <v>8134.6086956521704</v>
      </c>
      <c r="N4945" t="str">
        <f>IFERROR(INDEX(tProdutos[Foco],MATCH(tItens[[#This Row],[Produto]],tProdutos[Produto],0)),"Não")</f>
        <v>Não</v>
      </c>
      <c r="O4945" t="str">
        <f>IFERROR(INDEX(tEditais[SRP],MATCH(tItens[[#This Row],[Edital]],tEditais[Edital],0)),"Não")</f>
        <v>Não</v>
      </c>
      <c r="P4945" s="4">
        <f>IF(COUNTIFS(INDEX(tItens[Edital],1):tItens[[#This Row],[Edital]],tItens[[#This Row],[Edital]],INDEX(tItens[Produto],1):tItens[[#This Row],[Produto]],tItens[[#This Row],[Produto]])=1,1,0)</f>
        <v>1</v>
      </c>
    </row>
    <row r="4946" spans="1:16" x14ac:dyDescent="0.25">
      <c r="A4946" t="s">
        <v>1936</v>
      </c>
      <c r="B4946">
        <v>34</v>
      </c>
      <c r="C4946" t="s">
        <v>7765</v>
      </c>
      <c r="D4946" t="s">
        <v>56</v>
      </c>
      <c r="E4946" s="13">
        <v>50</v>
      </c>
      <c r="F4946" s="12">
        <v>27.77</v>
      </c>
      <c r="G4946" t="str">
        <f>IFERROR(INDEX(tEditais[Órgão],MATCH(tItens[[#This Row],[Edital]],tEditais[Edital],0)),"")</f>
        <v>MINISTERIO DA SAUDE</v>
      </c>
      <c r="H4946" t="str">
        <f>IFERROR(INDEX(tEditais[UF],MATCH(tItens[[#This Row],[Edital]],tEditais[Edital],0)),"")</f>
        <v>PE</v>
      </c>
      <c r="I4946" s="11">
        <f>IFERROR(INDEX(tEditais[Encerramento],MATCH(tItens[[#This Row],[Edital]],tEditais[Edital],0)),"")</f>
        <v>46311.375</v>
      </c>
      <c r="J4946" t="str">
        <f>IFERROR(INDEX(tProdutos[Classe],MATCH(tItens[[#This Row],[Produto]],tProdutos[Produto],0)),"produto não cadastrado")</f>
        <v>NÚCLEO</v>
      </c>
      <c r="K4946" s="12">
        <f>tItens[[#This Row],[Qtd]]*tItens[[#This Row],[Vlr unit]]</f>
        <v>1388.5</v>
      </c>
      <c r="L4946" s="6">
        <f>IFERROR(IF(INDEX(tProdutos[Desconto homologado],MATCH(tItens[[#This Row],[Produto]],tProdutos[Produto],0))="",DescontoPadrao,INDEX(tProdutos[Desconto homologado],MATCH(tItens[[#This Row],[Produto]],tProdutos[Produto],0))),DescontoPadrao)</f>
        <v>0.34</v>
      </c>
      <c r="M4946" s="12">
        <f>tItens[[#This Row],[Valor]]*(1-tItens[[#This Row],[Desconto]])</f>
        <v>916.40999999999985</v>
      </c>
      <c r="N4946" t="str">
        <f>IFERROR(INDEX(tProdutos[Foco],MATCH(tItens[[#This Row],[Produto]],tProdutos[Produto],0)),"Não")</f>
        <v>Sim</v>
      </c>
      <c r="O4946" t="str">
        <f>IFERROR(INDEX(tEditais[SRP],MATCH(tItens[[#This Row],[Edital]],tEditais[Edital],0)),"Não")</f>
        <v>Não</v>
      </c>
      <c r="P4946" s="4">
        <f>IF(COUNTIFS(INDEX(tItens[Edital],1):tItens[[#This Row],[Edital]],tItens[[#This Row],[Edital]],INDEX(tItens[Produto],1):tItens[[#This Row],[Produto]],tItens[[#This Row],[Produto]])=1,1,0)</f>
        <v>1</v>
      </c>
    </row>
    <row r="4947" spans="1:16" x14ac:dyDescent="0.25">
      <c r="A4947" t="s">
        <v>1936</v>
      </c>
      <c r="B4947">
        <v>35</v>
      </c>
      <c r="C4947" t="s">
        <v>7236</v>
      </c>
      <c r="D4947" t="s">
        <v>267</v>
      </c>
      <c r="E4947" s="13">
        <v>2000</v>
      </c>
      <c r="F4947" s="12">
        <v>7.05</v>
      </c>
      <c r="G4947" t="str">
        <f>IFERROR(INDEX(tEditais[Órgão],MATCH(tItens[[#This Row],[Edital]],tEditais[Edital],0)),"")</f>
        <v>MINISTERIO DA SAUDE</v>
      </c>
      <c r="H4947" t="str">
        <f>IFERROR(INDEX(tEditais[UF],MATCH(tItens[[#This Row],[Edital]],tEditais[Edital],0)),"")</f>
        <v>PE</v>
      </c>
      <c r="I4947" s="11">
        <f>IFERROR(INDEX(tEditais[Encerramento],MATCH(tItens[[#This Row],[Edital]],tEditais[Edital],0)),"")</f>
        <v>46311.375</v>
      </c>
      <c r="J4947" t="str">
        <f>IFERROR(INDEX(tProdutos[Classe],MATCH(tItens[[#This Row],[Produto]],tProdutos[Produto],0)),"produto não cadastrado")</f>
        <v>FORA</v>
      </c>
      <c r="K4947" s="12">
        <f>tItens[[#This Row],[Qtd]]*tItens[[#This Row],[Vlr unit]]</f>
        <v>14100</v>
      </c>
      <c r="L4947" s="6">
        <f>IFERROR(IF(INDEX(tProdutos[Desconto homologado],MATCH(tItens[[#This Row],[Produto]],tProdutos[Produto],0))="",DescontoPadrao,INDEX(tProdutos[Desconto homologado],MATCH(tItens[[#This Row],[Produto]],tProdutos[Produto],0))),DescontoPadrao)</f>
        <v>0.19963672657401599</v>
      </c>
      <c r="M4947" s="12">
        <f>tItens[[#This Row],[Valor]]*(1-tItens[[#This Row],[Desconto]])</f>
        <v>11285.122155306375</v>
      </c>
      <c r="N4947" t="str">
        <f>IFERROR(INDEX(tProdutos[Foco],MATCH(tItens[[#This Row],[Produto]],tProdutos[Produto],0)),"Não")</f>
        <v>Não</v>
      </c>
      <c r="O4947" t="str">
        <f>IFERROR(INDEX(tEditais[SRP],MATCH(tItens[[#This Row],[Edital]],tEditais[Edital],0)),"Não")</f>
        <v>Não</v>
      </c>
      <c r="P4947" s="4">
        <f>IF(COUNTIFS(INDEX(tItens[Edital],1):tItens[[#This Row],[Edital]],tItens[[#This Row],[Edital]],INDEX(tItens[Produto],1):tItens[[#This Row],[Produto]],tItens[[#This Row],[Produto]])=1,1,0)</f>
        <v>1</v>
      </c>
    </row>
    <row r="4948" spans="1:16" x14ac:dyDescent="0.25">
      <c r="A4948" t="s">
        <v>1936</v>
      </c>
      <c r="B4948">
        <v>36</v>
      </c>
      <c r="C4948" t="s">
        <v>3238</v>
      </c>
      <c r="D4948" t="s">
        <v>413</v>
      </c>
      <c r="E4948" s="13">
        <v>2000</v>
      </c>
      <c r="F4948" s="12">
        <v>1.17</v>
      </c>
      <c r="G4948" t="str">
        <f>IFERROR(INDEX(tEditais[Órgão],MATCH(tItens[[#This Row],[Edital]],tEditais[Edital],0)),"")</f>
        <v>MINISTERIO DA SAUDE</v>
      </c>
      <c r="H4948" t="str">
        <f>IFERROR(INDEX(tEditais[UF],MATCH(tItens[[#This Row],[Edital]],tEditais[Edital],0)),"")</f>
        <v>PE</v>
      </c>
      <c r="I4948" s="11">
        <f>IFERROR(INDEX(tEditais[Encerramento],MATCH(tItens[[#This Row],[Edital]],tEditais[Edital],0)),"")</f>
        <v>46311.375</v>
      </c>
      <c r="J4948" t="str">
        <f>IFERROR(INDEX(tProdutos[Classe],MATCH(tItens[[#This Row],[Produto]],tProdutos[Produto],0)),"produto não cadastrado")</f>
        <v>FORA</v>
      </c>
      <c r="K4948" s="12">
        <f>tItens[[#This Row],[Qtd]]*tItens[[#This Row],[Vlr unit]]</f>
        <v>2340</v>
      </c>
      <c r="L4948" s="6">
        <f>IFERROR(IF(INDEX(tProdutos[Desconto homologado],MATCH(tItens[[#This Row],[Produto]],tProdutos[Produto],0))="",DescontoPadrao,INDEX(tProdutos[Desconto homologado],MATCH(tItens[[#This Row],[Produto]],tProdutos[Produto],0))),DescontoPadrao)</f>
        <v>0.477732793522267</v>
      </c>
      <c r="M4948" s="12">
        <f>tItens[[#This Row],[Valor]]*(1-tItens[[#This Row],[Desconto]])</f>
        <v>1222.105263157895</v>
      </c>
      <c r="N4948" t="str">
        <f>IFERROR(INDEX(tProdutos[Foco],MATCH(tItens[[#This Row],[Produto]],tProdutos[Produto],0)),"Não")</f>
        <v>Não</v>
      </c>
      <c r="O4948" t="str">
        <f>IFERROR(INDEX(tEditais[SRP],MATCH(tItens[[#This Row],[Edital]],tEditais[Edital],0)),"Não")</f>
        <v>Não</v>
      </c>
      <c r="P4948" s="4">
        <f>IF(COUNTIFS(INDEX(tItens[Edital],1):tItens[[#This Row],[Edital]],tItens[[#This Row],[Edital]],INDEX(tItens[Produto],1):tItens[[#This Row],[Produto]],tItens[[#This Row],[Produto]])=1,1,0)</f>
        <v>1</v>
      </c>
    </row>
    <row r="4949" spans="1:16" x14ac:dyDescent="0.25">
      <c r="A4949" t="s">
        <v>1936</v>
      </c>
      <c r="B4949">
        <v>37</v>
      </c>
      <c r="C4949" t="s">
        <v>4242</v>
      </c>
      <c r="D4949" t="s">
        <v>413</v>
      </c>
      <c r="E4949" s="13">
        <v>2700</v>
      </c>
      <c r="F4949" s="12">
        <v>1.17</v>
      </c>
      <c r="G4949" t="str">
        <f>IFERROR(INDEX(tEditais[Órgão],MATCH(tItens[[#This Row],[Edital]],tEditais[Edital],0)),"")</f>
        <v>MINISTERIO DA SAUDE</v>
      </c>
      <c r="H4949" t="str">
        <f>IFERROR(INDEX(tEditais[UF],MATCH(tItens[[#This Row],[Edital]],tEditais[Edital],0)),"")</f>
        <v>PE</v>
      </c>
      <c r="I4949" s="11">
        <f>IFERROR(INDEX(tEditais[Encerramento],MATCH(tItens[[#This Row],[Edital]],tEditais[Edital],0)),"")</f>
        <v>46311.375</v>
      </c>
      <c r="J4949" t="str">
        <f>IFERROR(INDEX(tProdutos[Classe],MATCH(tItens[[#This Row],[Produto]],tProdutos[Produto],0)),"produto não cadastrado")</f>
        <v>FORA</v>
      </c>
      <c r="K4949" s="12">
        <f>tItens[[#This Row],[Qtd]]*tItens[[#This Row],[Vlr unit]]</f>
        <v>3159</v>
      </c>
      <c r="L4949" s="6">
        <f>IFERROR(IF(INDEX(tProdutos[Desconto homologado],MATCH(tItens[[#This Row],[Produto]],tProdutos[Produto],0))="",DescontoPadrao,INDEX(tProdutos[Desconto homologado],MATCH(tItens[[#This Row],[Produto]],tProdutos[Produto],0))),DescontoPadrao)</f>
        <v>0.477732793522267</v>
      </c>
      <c r="M4949" s="12">
        <f>tItens[[#This Row],[Valor]]*(1-tItens[[#This Row],[Desconto]])</f>
        <v>1649.8421052631584</v>
      </c>
      <c r="N4949" t="str">
        <f>IFERROR(INDEX(tProdutos[Foco],MATCH(tItens[[#This Row],[Produto]],tProdutos[Produto],0)),"Não")</f>
        <v>Não</v>
      </c>
      <c r="O4949" t="str">
        <f>IFERROR(INDEX(tEditais[SRP],MATCH(tItens[[#This Row],[Edital]],tEditais[Edital],0)),"Não")</f>
        <v>Não</v>
      </c>
      <c r="P4949" s="4">
        <f>IF(COUNTIFS(INDEX(tItens[Edital],1):tItens[[#This Row],[Edital]],tItens[[#This Row],[Edital]],INDEX(tItens[Produto],1):tItens[[#This Row],[Produto]],tItens[[#This Row],[Produto]])=1,1,0)</f>
        <v>0</v>
      </c>
    </row>
    <row r="4950" spans="1:16" x14ac:dyDescent="0.25">
      <c r="A4950" t="s">
        <v>1936</v>
      </c>
      <c r="B4950">
        <v>38</v>
      </c>
      <c r="C4950" t="s">
        <v>4243</v>
      </c>
      <c r="D4950" t="s">
        <v>413</v>
      </c>
      <c r="E4950" s="13">
        <v>1200</v>
      </c>
      <c r="F4950" s="12">
        <v>1.18</v>
      </c>
      <c r="G4950" t="str">
        <f>IFERROR(INDEX(tEditais[Órgão],MATCH(tItens[[#This Row],[Edital]],tEditais[Edital],0)),"")</f>
        <v>MINISTERIO DA SAUDE</v>
      </c>
      <c r="H4950" t="str">
        <f>IFERROR(INDEX(tEditais[UF],MATCH(tItens[[#This Row],[Edital]],tEditais[Edital],0)),"")</f>
        <v>PE</v>
      </c>
      <c r="I4950" s="11">
        <f>IFERROR(INDEX(tEditais[Encerramento],MATCH(tItens[[#This Row],[Edital]],tEditais[Edital],0)),"")</f>
        <v>46311.375</v>
      </c>
      <c r="J4950" t="str">
        <f>IFERROR(INDEX(tProdutos[Classe],MATCH(tItens[[#This Row],[Produto]],tProdutos[Produto],0)),"produto não cadastrado")</f>
        <v>FORA</v>
      </c>
      <c r="K4950" s="12">
        <f>tItens[[#This Row],[Qtd]]*tItens[[#This Row],[Vlr unit]]</f>
        <v>1416</v>
      </c>
      <c r="L4950" s="6">
        <f>IFERROR(IF(INDEX(tProdutos[Desconto homologado],MATCH(tItens[[#This Row],[Produto]],tProdutos[Produto],0))="",DescontoPadrao,INDEX(tProdutos[Desconto homologado],MATCH(tItens[[#This Row],[Produto]],tProdutos[Produto],0))),DescontoPadrao)</f>
        <v>0.477732793522267</v>
      </c>
      <c r="M4950" s="12">
        <f>tItens[[#This Row],[Valor]]*(1-tItens[[#This Row],[Desconto]])</f>
        <v>739.53036437246988</v>
      </c>
      <c r="N4950" t="str">
        <f>IFERROR(INDEX(tProdutos[Foco],MATCH(tItens[[#This Row],[Produto]],tProdutos[Produto],0)),"Não")</f>
        <v>Não</v>
      </c>
      <c r="O4950" t="str">
        <f>IFERROR(INDEX(tEditais[SRP],MATCH(tItens[[#This Row],[Edital]],tEditais[Edital],0)),"Não")</f>
        <v>Não</v>
      </c>
      <c r="P4950" s="4">
        <f>IF(COUNTIFS(INDEX(tItens[Edital],1):tItens[[#This Row],[Edital]],tItens[[#This Row],[Edital]],INDEX(tItens[Produto],1):tItens[[#This Row],[Produto]],tItens[[#This Row],[Produto]])=1,1,0)</f>
        <v>0</v>
      </c>
    </row>
    <row r="4951" spans="1:16" x14ac:dyDescent="0.25">
      <c r="A4951" t="s">
        <v>1936</v>
      </c>
      <c r="B4951">
        <v>39</v>
      </c>
      <c r="C4951" t="s">
        <v>3332</v>
      </c>
      <c r="D4951" t="s">
        <v>313</v>
      </c>
      <c r="E4951" s="13">
        <v>3000</v>
      </c>
      <c r="F4951" s="12">
        <v>18.809999999999999</v>
      </c>
      <c r="G4951" t="str">
        <f>IFERROR(INDEX(tEditais[Órgão],MATCH(tItens[[#This Row],[Edital]],tEditais[Edital],0)),"")</f>
        <v>MINISTERIO DA SAUDE</v>
      </c>
      <c r="H4951" t="str">
        <f>IFERROR(INDEX(tEditais[UF],MATCH(tItens[[#This Row],[Edital]],tEditais[Edital],0)),"")</f>
        <v>PE</v>
      </c>
      <c r="I4951" s="11">
        <f>IFERROR(INDEX(tEditais[Encerramento],MATCH(tItens[[#This Row],[Edital]],tEditais[Edital],0)),"")</f>
        <v>46311.375</v>
      </c>
      <c r="J4951" t="str">
        <f>IFERROR(INDEX(tProdutos[Classe],MATCH(tItens[[#This Row],[Produto]],tProdutos[Produto],0)),"produto não cadastrado")</f>
        <v>FORA</v>
      </c>
      <c r="K4951" s="12">
        <f>tItens[[#This Row],[Qtd]]*tItens[[#This Row],[Vlr unit]]</f>
        <v>56429.999999999993</v>
      </c>
      <c r="L4951" s="6">
        <f>IFERROR(IF(INDEX(tProdutos[Desconto homologado],MATCH(tItens[[#This Row],[Produto]],tProdutos[Produto],0))="",DescontoPadrao,INDEX(tProdutos[Desconto homologado],MATCH(tItens[[#This Row],[Produto]],tProdutos[Produto],0))),DescontoPadrao)</f>
        <v>0.35766373163696302</v>
      </c>
      <c r="M4951" s="12">
        <f>tItens[[#This Row],[Valor]]*(1-tItens[[#This Row],[Desconto]])</f>
        <v>36247.035623726166</v>
      </c>
      <c r="N4951" t="str">
        <f>IFERROR(INDEX(tProdutos[Foco],MATCH(tItens[[#This Row],[Produto]],tProdutos[Produto],0)),"Não")</f>
        <v>Não</v>
      </c>
      <c r="O4951" t="str">
        <f>IFERROR(INDEX(tEditais[SRP],MATCH(tItens[[#This Row],[Edital]],tEditais[Edital],0)),"Não")</f>
        <v>Não</v>
      </c>
      <c r="P4951" s="4">
        <f>IF(COUNTIFS(INDEX(tItens[Edital],1):tItens[[#This Row],[Edital]],tItens[[#This Row],[Edital]],INDEX(tItens[Produto],1):tItens[[#This Row],[Produto]],tItens[[#This Row],[Produto]])=1,1,0)</f>
        <v>1</v>
      </c>
    </row>
    <row r="4952" spans="1:16" x14ac:dyDescent="0.25">
      <c r="A4952" t="s">
        <v>1936</v>
      </c>
      <c r="B4952">
        <v>40</v>
      </c>
      <c r="C4952" t="s">
        <v>3475</v>
      </c>
      <c r="D4952" t="s">
        <v>313</v>
      </c>
      <c r="E4952" s="13">
        <v>3500</v>
      </c>
      <c r="F4952" s="12">
        <v>18.2</v>
      </c>
      <c r="G4952" t="str">
        <f>IFERROR(INDEX(tEditais[Órgão],MATCH(tItens[[#This Row],[Edital]],tEditais[Edital],0)),"")</f>
        <v>MINISTERIO DA SAUDE</v>
      </c>
      <c r="H4952" t="str">
        <f>IFERROR(INDEX(tEditais[UF],MATCH(tItens[[#This Row],[Edital]],tEditais[Edital],0)),"")</f>
        <v>PE</v>
      </c>
      <c r="I4952" s="11">
        <f>IFERROR(INDEX(tEditais[Encerramento],MATCH(tItens[[#This Row],[Edital]],tEditais[Edital],0)),"")</f>
        <v>46311.375</v>
      </c>
      <c r="J4952" t="str">
        <f>IFERROR(INDEX(tProdutos[Classe],MATCH(tItens[[#This Row],[Produto]],tProdutos[Produto],0)),"produto não cadastrado")</f>
        <v>FORA</v>
      </c>
      <c r="K4952" s="12">
        <f>tItens[[#This Row],[Qtd]]*tItens[[#This Row],[Vlr unit]]</f>
        <v>63700</v>
      </c>
      <c r="L4952" s="6">
        <f>IFERROR(IF(INDEX(tProdutos[Desconto homologado],MATCH(tItens[[#This Row],[Produto]],tProdutos[Produto],0))="",DescontoPadrao,INDEX(tProdutos[Desconto homologado],MATCH(tItens[[#This Row],[Produto]],tProdutos[Produto],0))),DescontoPadrao)</f>
        <v>0.35766373163696302</v>
      </c>
      <c r="M4952" s="12">
        <f>tItens[[#This Row],[Valor]]*(1-tItens[[#This Row],[Desconto]])</f>
        <v>40916.820294725454</v>
      </c>
      <c r="N4952" t="str">
        <f>IFERROR(INDEX(tProdutos[Foco],MATCH(tItens[[#This Row],[Produto]],tProdutos[Produto],0)),"Não")</f>
        <v>Não</v>
      </c>
      <c r="O4952" t="str">
        <f>IFERROR(INDEX(tEditais[SRP],MATCH(tItens[[#This Row],[Edital]],tEditais[Edital],0)),"Não")</f>
        <v>Não</v>
      </c>
      <c r="P4952" s="4">
        <f>IF(COUNTIFS(INDEX(tItens[Edital],1):tItens[[#This Row],[Edital]],tItens[[#This Row],[Edital]],INDEX(tItens[Produto],1):tItens[[#This Row],[Produto]],tItens[[#This Row],[Produto]])=1,1,0)</f>
        <v>0</v>
      </c>
    </row>
    <row r="4953" spans="1:16" x14ac:dyDescent="0.25">
      <c r="A4953" t="s">
        <v>1936</v>
      </c>
      <c r="B4953">
        <v>41</v>
      </c>
      <c r="C4953" t="s">
        <v>3474</v>
      </c>
      <c r="D4953" t="s">
        <v>313</v>
      </c>
      <c r="E4953" s="13">
        <v>2500</v>
      </c>
      <c r="F4953" s="12">
        <v>18.2</v>
      </c>
      <c r="G4953" t="str">
        <f>IFERROR(INDEX(tEditais[Órgão],MATCH(tItens[[#This Row],[Edital]],tEditais[Edital],0)),"")</f>
        <v>MINISTERIO DA SAUDE</v>
      </c>
      <c r="H4953" t="str">
        <f>IFERROR(INDEX(tEditais[UF],MATCH(tItens[[#This Row],[Edital]],tEditais[Edital],0)),"")</f>
        <v>PE</v>
      </c>
      <c r="I4953" s="11">
        <f>IFERROR(INDEX(tEditais[Encerramento],MATCH(tItens[[#This Row],[Edital]],tEditais[Edital],0)),"")</f>
        <v>46311.375</v>
      </c>
      <c r="J4953" t="str">
        <f>IFERROR(INDEX(tProdutos[Classe],MATCH(tItens[[#This Row],[Produto]],tProdutos[Produto],0)),"produto não cadastrado")</f>
        <v>FORA</v>
      </c>
      <c r="K4953" s="12">
        <f>tItens[[#This Row],[Qtd]]*tItens[[#This Row],[Vlr unit]]</f>
        <v>45500</v>
      </c>
      <c r="L4953" s="6">
        <f>IFERROR(IF(INDEX(tProdutos[Desconto homologado],MATCH(tItens[[#This Row],[Produto]],tProdutos[Produto],0))="",DescontoPadrao,INDEX(tProdutos[Desconto homologado],MATCH(tItens[[#This Row],[Produto]],tProdutos[Produto],0))),DescontoPadrao)</f>
        <v>0.35766373163696302</v>
      </c>
      <c r="M4953" s="12">
        <f>tItens[[#This Row],[Valor]]*(1-tItens[[#This Row],[Desconto]])</f>
        <v>29226.30021051818</v>
      </c>
      <c r="N4953" t="str">
        <f>IFERROR(INDEX(tProdutos[Foco],MATCH(tItens[[#This Row],[Produto]],tProdutos[Produto],0)),"Não")</f>
        <v>Não</v>
      </c>
      <c r="O4953" t="str">
        <f>IFERROR(INDEX(tEditais[SRP],MATCH(tItens[[#This Row],[Edital]],tEditais[Edital],0)),"Não")</f>
        <v>Não</v>
      </c>
      <c r="P4953" s="4">
        <f>IF(COUNTIFS(INDEX(tItens[Edital],1):tItens[[#This Row],[Edital]],tItens[[#This Row],[Edital]],INDEX(tItens[Produto],1):tItens[[#This Row],[Produto]],tItens[[#This Row],[Produto]])=1,1,0)</f>
        <v>0</v>
      </c>
    </row>
    <row r="4954" spans="1:16" x14ac:dyDescent="0.25">
      <c r="A4954" t="s">
        <v>1936</v>
      </c>
      <c r="B4954">
        <v>62</v>
      </c>
      <c r="C4954" t="s">
        <v>4236</v>
      </c>
      <c r="D4954" t="s">
        <v>315</v>
      </c>
      <c r="E4954" s="13">
        <v>1500</v>
      </c>
      <c r="F4954" s="12">
        <v>0.25</v>
      </c>
      <c r="G4954" t="str">
        <f>IFERROR(INDEX(tEditais[Órgão],MATCH(tItens[[#This Row],[Edital]],tEditais[Edital],0)),"")</f>
        <v>MINISTERIO DA SAUDE</v>
      </c>
      <c r="H4954" t="str">
        <f>IFERROR(INDEX(tEditais[UF],MATCH(tItens[[#This Row],[Edital]],tEditais[Edital],0)),"")</f>
        <v>PE</v>
      </c>
      <c r="I4954" s="11">
        <f>IFERROR(INDEX(tEditais[Encerramento],MATCH(tItens[[#This Row],[Edital]],tEditais[Edital],0)),"")</f>
        <v>46311.375</v>
      </c>
      <c r="J4954" t="str">
        <f>IFERROR(INDEX(tProdutos[Classe],MATCH(tItens[[#This Row],[Produto]],tProdutos[Produto],0)),"produto não cadastrado")</f>
        <v>FORA</v>
      </c>
      <c r="K4954" s="12">
        <f>tItens[[#This Row],[Qtd]]*tItens[[#This Row],[Vlr unit]]</f>
        <v>375</v>
      </c>
      <c r="L4954" s="6">
        <f>IFERROR(IF(INDEX(tProdutos[Desconto homologado],MATCH(tItens[[#This Row],[Produto]],tProdutos[Produto],0))="",DescontoPadrao,INDEX(tProdutos[Desconto homologado],MATCH(tItens[[#This Row],[Produto]],tProdutos[Produto],0))),DescontoPadrao)</f>
        <v>0.38432036097010702</v>
      </c>
      <c r="M4954" s="12">
        <f>tItens[[#This Row],[Valor]]*(1-tItens[[#This Row],[Desconto]])</f>
        <v>230.87986463620987</v>
      </c>
      <c r="N4954" t="str">
        <f>IFERROR(INDEX(tProdutos[Foco],MATCH(tItens[[#This Row],[Produto]],tProdutos[Produto],0)),"Não")</f>
        <v>Não</v>
      </c>
      <c r="O4954" t="str">
        <f>IFERROR(INDEX(tEditais[SRP],MATCH(tItens[[#This Row],[Edital]],tEditais[Edital],0)),"Não")</f>
        <v>Não</v>
      </c>
      <c r="P4954" s="4">
        <f>IF(COUNTIFS(INDEX(tItens[Edital],1):tItens[[#This Row],[Edital]],tItens[[#This Row],[Edital]],INDEX(tItens[Produto],1):tItens[[#This Row],[Produto]],tItens[[#This Row],[Produto]])=1,1,0)</f>
        <v>1</v>
      </c>
    </row>
    <row r="4955" spans="1:16" x14ac:dyDescent="0.25">
      <c r="A4955" t="s">
        <v>1936</v>
      </c>
      <c r="B4955">
        <v>69</v>
      </c>
      <c r="C4955" t="s">
        <v>4185</v>
      </c>
      <c r="D4955" t="s">
        <v>114</v>
      </c>
      <c r="E4955" s="13">
        <v>45</v>
      </c>
      <c r="F4955" s="12">
        <v>6.39</v>
      </c>
      <c r="G4955" t="str">
        <f>IFERROR(INDEX(tEditais[Órgão],MATCH(tItens[[#This Row],[Edital]],tEditais[Edital],0)),"")</f>
        <v>MINISTERIO DA SAUDE</v>
      </c>
      <c r="H4955" t="str">
        <f>IFERROR(INDEX(tEditais[UF],MATCH(tItens[[#This Row],[Edital]],tEditais[Edital],0)),"")</f>
        <v>PE</v>
      </c>
      <c r="I4955" s="11">
        <f>IFERROR(INDEX(tEditais[Encerramento],MATCH(tItens[[#This Row],[Edital]],tEditais[Edital],0)),"")</f>
        <v>46311.375</v>
      </c>
      <c r="J4955" t="str">
        <f>IFERROR(INDEX(tProdutos[Classe],MATCH(tItens[[#This Row],[Produto]],tProdutos[Produto],0)),"produto não cadastrado")</f>
        <v>DISPUTADO</v>
      </c>
      <c r="K4955" s="12">
        <f>tItens[[#This Row],[Qtd]]*tItens[[#This Row],[Vlr unit]]</f>
        <v>287.55</v>
      </c>
      <c r="L4955" s="6">
        <f>IFERROR(IF(INDEX(tProdutos[Desconto homologado],MATCH(tItens[[#This Row],[Produto]],tProdutos[Produto],0))="",DescontoPadrao,INDEX(tProdutos[Desconto homologado],MATCH(tItens[[#This Row],[Produto]],tProdutos[Produto],0))),DescontoPadrao)</f>
        <v>0.24332656063896899</v>
      </c>
      <c r="M4955" s="12">
        <f>tItens[[#This Row],[Valor]]*(1-tItens[[#This Row],[Desconto]])</f>
        <v>217.58144748826447</v>
      </c>
      <c r="N4955" t="str">
        <f>IFERROR(INDEX(tProdutos[Foco],MATCH(tItens[[#This Row],[Produto]],tProdutos[Produto],0)),"Não")</f>
        <v>Não</v>
      </c>
      <c r="O4955" t="str">
        <f>IFERROR(INDEX(tEditais[SRP],MATCH(tItens[[#This Row],[Edital]],tEditais[Edital],0)),"Não")</f>
        <v>Não</v>
      </c>
      <c r="P4955" s="4">
        <f>IF(COUNTIFS(INDEX(tItens[Edital],1):tItens[[#This Row],[Edital]],tItens[[#This Row],[Edital]],INDEX(tItens[Produto],1):tItens[[#This Row],[Produto]],tItens[[#This Row],[Produto]])=1,1,0)</f>
        <v>1</v>
      </c>
    </row>
    <row r="4956" spans="1:16" x14ac:dyDescent="0.25">
      <c r="A4956" t="s">
        <v>1936</v>
      </c>
      <c r="B4956">
        <v>75</v>
      </c>
      <c r="C4956" t="s">
        <v>7766</v>
      </c>
      <c r="D4956" t="s">
        <v>120</v>
      </c>
      <c r="E4956" s="13">
        <v>450</v>
      </c>
      <c r="F4956" s="12">
        <v>0.56999999999999995</v>
      </c>
      <c r="G4956" t="str">
        <f>IFERROR(INDEX(tEditais[Órgão],MATCH(tItens[[#This Row],[Edital]],tEditais[Edital],0)),"")</f>
        <v>MINISTERIO DA SAUDE</v>
      </c>
      <c r="H4956" t="str">
        <f>IFERROR(INDEX(tEditais[UF],MATCH(tItens[[#This Row],[Edital]],tEditais[Edital],0)),"")</f>
        <v>PE</v>
      </c>
      <c r="I4956" s="11">
        <f>IFERROR(INDEX(tEditais[Encerramento],MATCH(tItens[[#This Row],[Edital]],tEditais[Edital],0)),"")</f>
        <v>46311.375</v>
      </c>
      <c r="J4956" t="str">
        <f>IFERROR(INDEX(tProdutos[Classe],MATCH(tItens[[#This Row],[Produto]],tProdutos[Produto],0)),"produto não cadastrado")</f>
        <v>DISPUTADO</v>
      </c>
      <c r="K4956" s="12">
        <f>tItens[[#This Row],[Qtd]]*tItens[[#This Row],[Vlr unit]]</f>
        <v>256.5</v>
      </c>
      <c r="L4956" s="6">
        <f>IFERROR(IF(INDEX(tProdutos[Desconto homologado],MATCH(tItens[[#This Row],[Produto]],tProdutos[Produto],0))="",DescontoPadrao,INDEX(tProdutos[Desconto homologado],MATCH(tItens[[#This Row],[Produto]],tProdutos[Produto],0))),DescontoPadrao)</f>
        <v>0.40909090909090901</v>
      </c>
      <c r="M4956" s="12">
        <f>tItens[[#This Row],[Valor]]*(1-tItens[[#This Row],[Desconto]])</f>
        <v>151.56818181818184</v>
      </c>
      <c r="N4956" t="str">
        <f>IFERROR(INDEX(tProdutos[Foco],MATCH(tItens[[#This Row],[Produto]],tProdutos[Produto],0)),"Não")</f>
        <v>Não</v>
      </c>
      <c r="O4956" t="str">
        <f>IFERROR(INDEX(tEditais[SRP],MATCH(tItens[[#This Row],[Edital]],tEditais[Edital],0)),"Não")</f>
        <v>Não</v>
      </c>
      <c r="P4956" s="4">
        <f>IF(COUNTIFS(INDEX(tItens[Edital],1):tItens[[#This Row],[Edital]],tItens[[#This Row],[Edital]],INDEX(tItens[Produto],1):tItens[[#This Row],[Produto]],tItens[[#This Row],[Produto]])=1,1,0)</f>
        <v>1</v>
      </c>
    </row>
    <row r="4957" spans="1:16" x14ac:dyDescent="0.25">
      <c r="A4957" t="s">
        <v>1936</v>
      </c>
      <c r="B4957">
        <v>78</v>
      </c>
      <c r="C4957" t="s">
        <v>7767</v>
      </c>
      <c r="D4957" t="s">
        <v>75</v>
      </c>
      <c r="E4957" s="13">
        <v>1200</v>
      </c>
      <c r="F4957" s="12">
        <v>1.39</v>
      </c>
      <c r="G4957" t="str">
        <f>IFERROR(INDEX(tEditais[Órgão],MATCH(tItens[[#This Row],[Edital]],tEditais[Edital],0)),"")</f>
        <v>MINISTERIO DA SAUDE</v>
      </c>
      <c r="H4957" t="str">
        <f>IFERROR(INDEX(tEditais[UF],MATCH(tItens[[#This Row],[Edital]],tEditais[Edital],0)),"")</f>
        <v>PE</v>
      </c>
      <c r="I4957" s="11">
        <f>IFERROR(INDEX(tEditais[Encerramento],MATCH(tItens[[#This Row],[Edital]],tEditais[Edital],0)),"")</f>
        <v>46311.375</v>
      </c>
      <c r="J4957" t="str">
        <f>IFERROR(INDEX(tProdutos[Classe],MATCH(tItens[[#This Row],[Produto]],tProdutos[Produto],0)),"produto não cadastrado")</f>
        <v>NÚCLEO</v>
      </c>
      <c r="K4957" s="12">
        <f>tItens[[#This Row],[Qtd]]*tItens[[#This Row],[Vlr unit]]</f>
        <v>1667.9999999999998</v>
      </c>
      <c r="L4957" s="6">
        <f>IFERROR(IF(INDEX(tProdutos[Desconto homologado],MATCH(tItens[[#This Row],[Produto]],tProdutos[Produto],0))="",DescontoPadrao,INDEX(tProdutos[Desconto homologado],MATCH(tItens[[#This Row],[Produto]],tProdutos[Produto],0))),DescontoPadrao)</f>
        <v>0.26</v>
      </c>
      <c r="M4957" s="12">
        <f>tItens[[#This Row],[Valor]]*(1-tItens[[#This Row],[Desconto]])</f>
        <v>1234.3199999999997</v>
      </c>
      <c r="N4957" t="str">
        <f>IFERROR(INDEX(tProdutos[Foco],MATCH(tItens[[#This Row],[Produto]],tProdutos[Produto],0)),"Não")</f>
        <v>Sim</v>
      </c>
      <c r="O4957" t="str">
        <f>IFERROR(INDEX(tEditais[SRP],MATCH(tItens[[#This Row],[Edital]],tEditais[Edital],0)),"Não")</f>
        <v>Não</v>
      </c>
      <c r="P4957" s="4">
        <f>IF(COUNTIFS(INDEX(tItens[Edital],1):tItens[[#This Row],[Edital]],tItens[[#This Row],[Edital]],INDEX(tItens[Produto],1):tItens[[#This Row],[Produto]],tItens[[#This Row],[Produto]])=1,1,0)</f>
        <v>1</v>
      </c>
    </row>
    <row r="4958" spans="1:16" x14ac:dyDescent="0.25">
      <c r="A4958" t="s">
        <v>1936</v>
      </c>
      <c r="B4958">
        <v>79</v>
      </c>
      <c r="C4958" t="s">
        <v>7768</v>
      </c>
      <c r="D4958" t="s">
        <v>75</v>
      </c>
      <c r="E4958" s="13">
        <v>8000</v>
      </c>
      <c r="F4958" s="12">
        <v>1.31</v>
      </c>
      <c r="G4958" t="str">
        <f>IFERROR(INDEX(tEditais[Órgão],MATCH(tItens[[#This Row],[Edital]],tEditais[Edital],0)),"")</f>
        <v>MINISTERIO DA SAUDE</v>
      </c>
      <c r="H4958" t="str">
        <f>IFERROR(INDEX(tEditais[UF],MATCH(tItens[[#This Row],[Edital]],tEditais[Edital],0)),"")</f>
        <v>PE</v>
      </c>
      <c r="I4958" s="11">
        <f>IFERROR(INDEX(tEditais[Encerramento],MATCH(tItens[[#This Row],[Edital]],tEditais[Edital],0)),"")</f>
        <v>46311.375</v>
      </c>
      <c r="J4958" t="str">
        <f>IFERROR(INDEX(tProdutos[Classe],MATCH(tItens[[#This Row],[Produto]],tProdutos[Produto],0)),"produto não cadastrado")</f>
        <v>NÚCLEO</v>
      </c>
      <c r="K4958" s="12">
        <f>tItens[[#This Row],[Qtd]]*tItens[[#This Row],[Vlr unit]]</f>
        <v>10480</v>
      </c>
      <c r="L4958" s="6">
        <f>IFERROR(IF(INDEX(tProdutos[Desconto homologado],MATCH(tItens[[#This Row],[Produto]],tProdutos[Produto],0))="",DescontoPadrao,INDEX(tProdutos[Desconto homologado],MATCH(tItens[[#This Row],[Produto]],tProdutos[Produto],0))),DescontoPadrao)</f>
        <v>0.26</v>
      </c>
      <c r="M4958" s="12">
        <f>tItens[[#This Row],[Valor]]*(1-tItens[[#This Row],[Desconto]])</f>
        <v>7755.2</v>
      </c>
      <c r="N4958" t="str">
        <f>IFERROR(INDEX(tProdutos[Foco],MATCH(tItens[[#This Row],[Produto]],tProdutos[Produto],0)),"Não")</f>
        <v>Sim</v>
      </c>
      <c r="O4958" t="str">
        <f>IFERROR(INDEX(tEditais[SRP],MATCH(tItens[[#This Row],[Edital]],tEditais[Edital],0)),"Não")</f>
        <v>Não</v>
      </c>
      <c r="P4958" s="4">
        <f>IF(COUNTIFS(INDEX(tItens[Edital],1):tItens[[#This Row],[Edital]],tItens[[#This Row],[Edital]],INDEX(tItens[Produto],1):tItens[[#This Row],[Produto]],tItens[[#This Row],[Produto]])=1,1,0)</f>
        <v>0</v>
      </c>
    </row>
    <row r="4959" spans="1:16" x14ac:dyDescent="0.25">
      <c r="A4959" t="s">
        <v>1936</v>
      </c>
      <c r="B4959">
        <v>80</v>
      </c>
      <c r="C4959" t="s">
        <v>7769</v>
      </c>
      <c r="D4959" t="s">
        <v>75</v>
      </c>
      <c r="E4959" s="13">
        <v>3500</v>
      </c>
      <c r="F4959" s="12">
        <v>1.39</v>
      </c>
      <c r="G4959" t="str">
        <f>IFERROR(INDEX(tEditais[Órgão],MATCH(tItens[[#This Row],[Edital]],tEditais[Edital],0)),"")</f>
        <v>MINISTERIO DA SAUDE</v>
      </c>
      <c r="H4959" t="str">
        <f>IFERROR(INDEX(tEditais[UF],MATCH(tItens[[#This Row],[Edital]],tEditais[Edital],0)),"")</f>
        <v>PE</v>
      </c>
      <c r="I4959" s="11">
        <f>IFERROR(INDEX(tEditais[Encerramento],MATCH(tItens[[#This Row],[Edital]],tEditais[Edital],0)),"")</f>
        <v>46311.375</v>
      </c>
      <c r="J4959" t="str">
        <f>IFERROR(INDEX(tProdutos[Classe],MATCH(tItens[[#This Row],[Produto]],tProdutos[Produto],0)),"produto não cadastrado")</f>
        <v>NÚCLEO</v>
      </c>
      <c r="K4959" s="12">
        <f>tItens[[#This Row],[Qtd]]*tItens[[#This Row],[Vlr unit]]</f>
        <v>4865</v>
      </c>
      <c r="L4959" s="6">
        <f>IFERROR(IF(INDEX(tProdutos[Desconto homologado],MATCH(tItens[[#This Row],[Produto]],tProdutos[Produto],0))="",DescontoPadrao,INDEX(tProdutos[Desconto homologado],MATCH(tItens[[#This Row],[Produto]],tProdutos[Produto],0))),DescontoPadrao)</f>
        <v>0.26</v>
      </c>
      <c r="M4959" s="12">
        <f>tItens[[#This Row],[Valor]]*(1-tItens[[#This Row],[Desconto]])</f>
        <v>3600.1</v>
      </c>
      <c r="N4959" t="str">
        <f>IFERROR(INDEX(tProdutos[Foco],MATCH(tItens[[#This Row],[Produto]],tProdutos[Produto],0)),"Não")</f>
        <v>Sim</v>
      </c>
      <c r="O4959" t="str">
        <f>IFERROR(INDEX(tEditais[SRP],MATCH(tItens[[#This Row],[Edital]],tEditais[Edital],0)),"Não")</f>
        <v>Não</v>
      </c>
      <c r="P4959" s="4">
        <f>IF(COUNTIFS(INDEX(tItens[Edital],1):tItens[[#This Row],[Edital]],tItens[[#This Row],[Edital]],INDEX(tItens[Produto],1):tItens[[#This Row],[Produto]],tItens[[#This Row],[Produto]])=1,1,0)</f>
        <v>0</v>
      </c>
    </row>
    <row r="4960" spans="1:16" x14ac:dyDescent="0.25">
      <c r="A4960" t="s">
        <v>1936</v>
      </c>
      <c r="B4960">
        <v>85</v>
      </c>
      <c r="C4960" t="s">
        <v>7770</v>
      </c>
      <c r="D4960" t="s">
        <v>160</v>
      </c>
      <c r="E4960" s="13">
        <v>100</v>
      </c>
      <c r="F4960" s="12">
        <v>25</v>
      </c>
      <c r="G4960" t="str">
        <f>IFERROR(INDEX(tEditais[Órgão],MATCH(tItens[[#This Row],[Edital]],tEditais[Edital],0)),"")</f>
        <v>MINISTERIO DA SAUDE</v>
      </c>
      <c r="H4960" t="str">
        <f>IFERROR(INDEX(tEditais[UF],MATCH(tItens[[#This Row],[Edital]],tEditais[Edital],0)),"")</f>
        <v>PE</v>
      </c>
      <c r="I4960" s="11">
        <f>IFERROR(INDEX(tEditais[Encerramento],MATCH(tItens[[#This Row],[Edital]],tEditais[Edital],0)),"")</f>
        <v>46311.375</v>
      </c>
      <c r="J4960" t="str">
        <f>IFERROR(INDEX(tProdutos[Classe],MATCH(tItens[[#This Row],[Produto]],tProdutos[Produto],0)),"produto não cadastrado")</f>
        <v>DISPUTADO</v>
      </c>
      <c r="K4960" s="12">
        <f>tItens[[#This Row],[Qtd]]*tItens[[#This Row],[Vlr unit]]</f>
        <v>2500</v>
      </c>
      <c r="L4960" s="6">
        <f>IFERROR(IF(INDEX(tProdutos[Desconto homologado],MATCH(tItens[[#This Row],[Produto]],tProdutos[Produto],0))="",DescontoPadrao,INDEX(tProdutos[Desconto homologado],MATCH(tItens[[#This Row],[Produto]],tProdutos[Produto],0))),DescontoPadrao)</f>
        <v>0.28000000000000003</v>
      </c>
      <c r="M4960" s="12">
        <f>tItens[[#This Row],[Valor]]*(1-tItens[[#This Row],[Desconto]])</f>
        <v>1800</v>
      </c>
      <c r="N4960" t="str">
        <f>IFERROR(INDEX(tProdutos[Foco],MATCH(tItens[[#This Row],[Produto]],tProdutos[Produto],0)),"Não")</f>
        <v>Sim</v>
      </c>
      <c r="O4960" t="str">
        <f>IFERROR(INDEX(tEditais[SRP],MATCH(tItens[[#This Row],[Edital]],tEditais[Edital],0)),"Não")</f>
        <v>Não</v>
      </c>
      <c r="P4960" s="4">
        <f>IF(COUNTIFS(INDEX(tItens[Edital],1):tItens[[#This Row],[Edital]],tItens[[#This Row],[Edital]],INDEX(tItens[Produto],1):tItens[[#This Row],[Produto]],tItens[[#This Row],[Produto]])=1,1,0)</f>
        <v>1</v>
      </c>
    </row>
    <row r="4961" spans="1:16" x14ac:dyDescent="0.25">
      <c r="A4961" t="s">
        <v>1939</v>
      </c>
      <c r="B4961">
        <v>1</v>
      </c>
      <c r="C4961" t="s">
        <v>7771</v>
      </c>
      <c r="D4961" t="s">
        <v>275</v>
      </c>
      <c r="E4961" s="13">
        <v>228375</v>
      </c>
      <c r="F4961" s="12">
        <v>0.28000000000000003</v>
      </c>
      <c r="G4961" t="str">
        <f>IFERROR(INDEX(tEditais[Órgão],MATCH(tItens[[#This Row],[Edital]],tEditais[Edital],0)),"")</f>
        <v>MUNICIPIO DE PETROLINA</v>
      </c>
      <c r="H4961" t="str">
        <f>IFERROR(INDEX(tEditais[UF],MATCH(tItens[[#This Row],[Edital]],tEditais[Edital],0)),"")</f>
        <v>PE</v>
      </c>
      <c r="I4961" s="11">
        <f>IFERROR(INDEX(tEditais[Encerramento],MATCH(tItens[[#This Row],[Edital]],tEditais[Edital],0)),"")</f>
        <v>46314.374305555553</v>
      </c>
      <c r="J4961" t="str">
        <f>IFERROR(INDEX(tProdutos[Classe],MATCH(tItens[[#This Row],[Produto]],tProdutos[Produto],0)),"produto não cadastrado")</f>
        <v>FORA</v>
      </c>
      <c r="K4961" s="12">
        <f>tItens[[#This Row],[Qtd]]*tItens[[#This Row],[Vlr unit]]</f>
        <v>63945.000000000007</v>
      </c>
      <c r="L4961" s="6">
        <f>IFERROR(IF(INDEX(tProdutos[Desconto homologado],MATCH(tItens[[#This Row],[Produto]],tProdutos[Produto],0))="",DescontoPadrao,INDEX(tProdutos[Desconto homologado],MATCH(tItens[[#This Row],[Produto]],tProdutos[Produto],0))),DescontoPadrao)</f>
        <v>0.405797101449275</v>
      </c>
      <c r="M4961" s="12">
        <f>tItens[[#This Row],[Valor]]*(1-tItens[[#This Row],[Desconto]])</f>
        <v>37996.304347826117</v>
      </c>
      <c r="N4961" t="str">
        <f>IFERROR(INDEX(tProdutos[Foco],MATCH(tItens[[#This Row],[Produto]],tProdutos[Produto],0)),"Não")</f>
        <v>Não</v>
      </c>
      <c r="O4961" t="str">
        <f>IFERROR(INDEX(tEditais[SRP],MATCH(tItens[[#This Row],[Edital]],tEditais[Edital],0)),"Não")</f>
        <v>Não</v>
      </c>
      <c r="P4961" s="4">
        <f>IF(COUNTIFS(INDEX(tItens[Edital],1):tItens[[#This Row],[Edital]],tItens[[#This Row],[Edital]],INDEX(tItens[Produto],1):tItens[[#This Row],[Produto]],tItens[[#This Row],[Produto]])=1,1,0)</f>
        <v>1</v>
      </c>
    </row>
    <row r="4962" spans="1:16" x14ac:dyDescent="0.25">
      <c r="A4962" t="s">
        <v>1939</v>
      </c>
      <c r="B4962">
        <v>2</v>
      </c>
      <c r="C4962" t="s">
        <v>7771</v>
      </c>
      <c r="D4962" t="s">
        <v>275</v>
      </c>
      <c r="E4962" s="13">
        <v>76125</v>
      </c>
      <c r="F4962" s="12">
        <v>0.28000000000000003</v>
      </c>
      <c r="G4962" t="str">
        <f>IFERROR(INDEX(tEditais[Órgão],MATCH(tItens[[#This Row],[Edital]],tEditais[Edital],0)),"")</f>
        <v>MUNICIPIO DE PETROLINA</v>
      </c>
      <c r="H4962" t="str">
        <f>IFERROR(INDEX(tEditais[UF],MATCH(tItens[[#This Row],[Edital]],tEditais[Edital],0)),"")</f>
        <v>PE</v>
      </c>
      <c r="I4962" s="11">
        <f>IFERROR(INDEX(tEditais[Encerramento],MATCH(tItens[[#This Row],[Edital]],tEditais[Edital],0)),"")</f>
        <v>46314.374305555553</v>
      </c>
      <c r="J4962" t="str">
        <f>IFERROR(INDEX(tProdutos[Classe],MATCH(tItens[[#This Row],[Produto]],tProdutos[Produto],0)),"produto não cadastrado")</f>
        <v>FORA</v>
      </c>
      <c r="K4962" s="12">
        <f>tItens[[#This Row],[Qtd]]*tItens[[#This Row],[Vlr unit]]</f>
        <v>21315.000000000004</v>
      </c>
      <c r="L4962" s="6">
        <f>IFERROR(IF(INDEX(tProdutos[Desconto homologado],MATCH(tItens[[#This Row],[Produto]],tProdutos[Produto],0))="",DescontoPadrao,INDEX(tProdutos[Desconto homologado],MATCH(tItens[[#This Row],[Produto]],tProdutos[Produto],0))),DescontoPadrao)</f>
        <v>0.405797101449275</v>
      </c>
      <c r="M4962" s="12">
        <f>tItens[[#This Row],[Valor]]*(1-tItens[[#This Row],[Desconto]])</f>
        <v>12665.434782608707</v>
      </c>
      <c r="N4962" t="str">
        <f>IFERROR(INDEX(tProdutos[Foco],MATCH(tItens[[#This Row],[Produto]],tProdutos[Produto],0)),"Não")</f>
        <v>Não</v>
      </c>
      <c r="O4962" t="str">
        <f>IFERROR(INDEX(tEditais[SRP],MATCH(tItens[[#This Row],[Edital]],tEditais[Edital],0)),"Não")</f>
        <v>Não</v>
      </c>
      <c r="P4962" s="4">
        <f>IF(COUNTIFS(INDEX(tItens[Edital],1):tItens[[#This Row],[Edital]],tItens[[#This Row],[Edital]],INDEX(tItens[Produto],1):tItens[[#This Row],[Produto]],tItens[[#This Row],[Produto]])=1,1,0)</f>
        <v>0</v>
      </c>
    </row>
    <row r="4963" spans="1:16" x14ac:dyDescent="0.25">
      <c r="A4963" t="s">
        <v>1943</v>
      </c>
      <c r="B4963">
        <v>5</v>
      </c>
      <c r="C4963" t="s">
        <v>7772</v>
      </c>
      <c r="D4963" t="s">
        <v>90</v>
      </c>
      <c r="E4963" s="13">
        <v>1450</v>
      </c>
      <c r="F4963" s="12">
        <v>14.99</v>
      </c>
      <c r="G4963" t="str">
        <f>IFERROR(INDEX(tEditais[Órgão],MATCH(tItens[[#This Row],[Edital]],tEditais[Edital],0)),"")</f>
        <v>MUNICIPIO DO RECIFE</v>
      </c>
      <c r="H4963" t="str">
        <f>IFERROR(INDEX(tEditais[UF],MATCH(tItens[[#This Row],[Edital]],tEditais[Edital],0)),"")</f>
        <v>PE</v>
      </c>
      <c r="I4963" s="11">
        <f>IFERROR(INDEX(tEditais[Encerramento],MATCH(tItens[[#This Row],[Edital]],tEditais[Edital],0)),"")</f>
        <v>46314.375</v>
      </c>
      <c r="J4963" t="str">
        <f>IFERROR(INDEX(tProdutos[Classe],MATCH(tItens[[#This Row],[Produto]],tProdutos[Produto],0)),"produto não cadastrado")</f>
        <v>DISPUTADO</v>
      </c>
      <c r="K4963" s="12">
        <f>tItens[[#This Row],[Qtd]]*tItens[[#This Row],[Vlr unit]]</f>
        <v>21735.5</v>
      </c>
      <c r="L4963" s="6">
        <f>IFERROR(IF(INDEX(tProdutos[Desconto homologado],MATCH(tItens[[#This Row],[Produto]],tProdutos[Produto],0))="",DescontoPadrao,INDEX(tProdutos[Desconto homologado],MATCH(tItens[[#This Row],[Produto]],tProdutos[Produto],0))),DescontoPadrao)</f>
        <v>0.25393823957010597</v>
      </c>
      <c r="M4963" s="12">
        <f>tItens[[#This Row],[Valor]]*(1-tItens[[#This Row],[Desconto]])</f>
        <v>16216.025393823962</v>
      </c>
      <c r="N4963" t="str">
        <f>IFERROR(INDEX(tProdutos[Foco],MATCH(tItens[[#This Row],[Produto]],tProdutos[Produto],0)),"Não")</f>
        <v>Não</v>
      </c>
      <c r="O4963" t="str">
        <f>IFERROR(INDEX(tEditais[SRP],MATCH(tItens[[#This Row],[Edital]],tEditais[Edital],0)),"Não")</f>
        <v>Não</v>
      </c>
      <c r="P4963" s="4">
        <f>IF(COUNTIFS(INDEX(tItens[Edital],1):tItens[[#This Row],[Edital]],tItens[[#This Row],[Edital]],INDEX(tItens[Produto],1):tItens[[#This Row],[Produto]],tItens[[#This Row],[Produto]])=1,1,0)</f>
        <v>1</v>
      </c>
    </row>
    <row r="4964" spans="1:16" x14ac:dyDescent="0.25">
      <c r="A4964" t="s">
        <v>1943</v>
      </c>
      <c r="B4964">
        <v>6</v>
      </c>
      <c r="C4964" t="s">
        <v>7773</v>
      </c>
      <c r="D4964" t="s">
        <v>77</v>
      </c>
      <c r="E4964" s="13">
        <v>1100</v>
      </c>
      <c r="F4964" s="12">
        <v>16.04</v>
      </c>
      <c r="G4964" t="str">
        <f>IFERROR(INDEX(tEditais[Órgão],MATCH(tItens[[#This Row],[Edital]],tEditais[Edital],0)),"")</f>
        <v>MUNICIPIO DO RECIFE</v>
      </c>
      <c r="H4964" t="str">
        <f>IFERROR(INDEX(tEditais[UF],MATCH(tItens[[#This Row],[Edital]],tEditais[Edital],0)),"")</f>
        <v>PE</v>
      </c>
      <c r="I4964" s="11">
        <f>IFERROR(INDEX(tEditais[Encerramento],MATCH(tItens[[#This Row],[Edital]],tEditais[Edital],0)),"")</f>
        <v>46314.375</v>
      </c>
      <c r="J4964" t="str">
        <f>IFERROR(INDEX(tProdutos[Classe],MATCH(tItens[[#This Row],[Produto]],tProdutos[Produto],0)),"produto não cadastrado")</f>
        <v>DISPUTADO</v>
      </c>
      <c r="K4964" s="12">
        <f>tItens[[#This Row],[Qtd]]*tItens[[#This Row],[Vlr unit]]</f>
        <v>17644</v>
      </c>
      <c r="L4964" s="6">
        <f>IFERROR(IF(INDEX(tProdutos[Desconto homologado],MATCH(tItens[[#This Row],[Produto]],tProdutos[Produto],0))="",DescontoPadrao,INDEX(tProdutos[Desconto homologado],MATCH(tItens[[#This Row],[Produto]],tProdutos[Produto],0))),DescontoPadrao)</f>
        <v>0.33</v>
      </c>
      <c r="M4964" s="12">
        <f>tItens[[#This Row],[Valor]]*(1-tItens[[#This Row],[Desconto]])</f>
        <v>11821.48</v>
      </c>
      <c r="N4964" t="str">
        <f>IFERROR(INDEX(tProdutos[Foco],MATCH(tItens[[#This Row],[Produto]],tProdutos[Produto],0)),"Não")</f>
        <v>Sim</v>
      </c>
      <c r="O4964" t="str">
        <f>IFERROR(INDEX(tEditais[SRP],MATCH(tItens[[#This Row],[Edital]],tEditais[Edital],0)),"Não")</f>
        <v>Não</v>
      </c>
      <c r="P4964" s="4">
        <f>IF(COUNTIFS(INDEX(tItens[Edital],1):tItens[[#This Row],[Edital]],tItens[[#This Row],[Edital]],INDEX(tItens[Produto],1):tItens[[#This Row],[Produto]],tItens[[#This Row],[Produto]])=1,1,0)</f>
        <v>1</v>
      </c>
    </row>
    <row r="4965" spans="1:16" x14ac:dyDescent="0.25">
      <c r="A4965" t="s">
        <v>1943</v>
      </c>
      <c r="B4965">
        <v>10</v>
      </c>
      <c r="C4965" t="s">
        <v>7774</v>
      </c>
      <c r="D4965" t="s">
        <v>315</v>
      </c>
      <c r="E4965" s="13">
        <v>7950</v>
      </c>
      <c r="F4965" s="12">
        <v>0.43</v>
      </c>
      <c r="G4965" t="str">
        <f>IFERROR(INDEX(tEditais[Órgão],MATCH(tItens[[#This Row],[Edital]],tEditais[Edital],0)),"")</f>
        <v>MUNICIPIO DO RECIFE</v>
      </c>
      <c r="H4965" t="str">
        <f>IFERROR(INDEX(tEditais[UF],MATCH(tItens[[#This Row],[Edital]],tEditais[Edital],0)),"")</f>
        <v>PE</v>
      </c>
      <c r="I4965" s="11">
        <f>IFERROR(INDEX(tEditais[Encerramento],MATCH(tItens[[#This Row],[Edital]],tEditais[Edital],0)),"")</f>
        <v>46314.375</v>
      </c>
      <c r="J4965" t="str">
        <f>IFERROR(INDEX(tProdutos[Classe],MATCH(tItens[[#This Row],[Produto]],tProdutos[Produto],0)),"produto não cadastrado")</f>
        <v>FORA</v>
      </c>
      <c r="K4965" s="12">
        <f>tItens[[#This Row],[Qtd]]*tItens[[#This Row],[Vlr unit]]</f>
        <v>3418.5</v>
      </c>
      <c r="L4965" s="6">
        <f>IFERROR(IF(INDEX(tProdutos[Desconto homologado],MATCH(tItens[[#This Row],[Produto]],tProdutos[Produto],0))="",DescontoPadrao,INDEX(tProdutos[Desconto homologado],MATCH(tItens[[#This Row],[Produto]],tProdutos[Produto],0))),DescontoPadrao)</f>
        <v>0.38432036097010702</v>
      </c>
      <c r="M4965" s="12">
        <f>tItens[[#This Row],[Valor]]*(1-tItens[[#This Row],[Desconto]])</f>
        <v>2104.7008460236893</v>
      </c>
      <c r="N4965" t="str">
        <f>IFERROR(INDEX(tProdutos[Foco],MATCH(tItens[[#This Row],[Produto]],tProdutos[Produto],0)),"Não")</f>
        <v>Não</v>
      </c>
      <c r="O4965" t="str">
        <f>IFERROR(INDEX(tEditais[SRP],MATCH(tItens[[#This Row],[Edital]],tEditais[Edital],0)),"Não")</f>
        <v>Não</v>
      </c>
      <c r="P4965" s="4">
        <f>IF(COUNTIFS(INDEX(tItens[Edital],1):tItens[[#This Row],[Edital]],tItens[[#This Row],[Edital]],INDEX(tItens[Produto],1):tItens[[#This Row],[Produto]],tItens[[#This Row],[Produto]])=1,1,0)</f>
        <v>1</v>
      </c>
    </row>
    <row r="4966" spans="1:16" x14ac:dyDescent="0.25">
      <c r="A4966" t="s">
        <v>1943</v>
      </c>
      <c r="B4966">
        <v>11</v>
      </c>
      <c r="C4966" t="s">
        <v>7775</v>
      </c>
      <c r="D4966" t="s">
        <v>315</v>
      </c>
      <c r="E4966" s="13">
        <v>100000</v>
      </c>
      <c r="F4966" s="12">
        <v>0.08</v>
      </c>
      <c r="G4966" t="str">
        <f>IFERROR(INDEX(tEditais[Órgão],MATCH(tItens[[#This Row],[Edital]],tEditais[Edital],0)),"")</f>
        <v>MUNICIPIO DO RECIFE</v>
      </c>
      <c r="H4966" t="str">
        <f>IFERROR(INDEX(tEditais[UF],MATCH(tItens[[#This Row],[Edital]],tEditais[Edital],0)),"")</f>
        <v>PE</v>
      </c>
      <c r="I4966" s="11">
        <f>IFERROR(INDEX(tEditais[Encerramento],MATCH(tItens[[#This Row],[Edital]],tEditais[Edital],0)),"")</f>
        <v>46314.375</v>
      </c>
      <c r="J4966" t="str">
        <f>IFERROR(INDEX(tProdutos[Classe],MATCH(tItens[[#This Row],[Produto]],tProdutos[Produto],0)),"produto não cadastrado")</f>
        <v>FORA</v>
      </c>
      <c r="K4966" s="12">
        <f>tItens[[#This Row],[Qtd]]*tItens[[#This Row],[Vlr unit]]</f>
        <v>8000</v>
      </c>
      <c r="L4966" s="6">
        <f>IFERROR(IF(INDEX(tProdutos[Desconto homologado],MATCH(tItens[[#This Row],[Produto]],tProdutos[Produto],0))="",DescontoPadrao,INDEX(tProdutos[Desconto homologado],MATCH(tItens[[#This Row],[Produto]],tProdutos[Produto],0))),DescontoPadrao)</f>
        <v>0.38432036097010702</v>
      </c>
      <c r="M4966" s="12">
        <f>tItens[[#This Row],[Valor]]*(1-tItens[[#This Row],[Desconto]])</f>
        <v>4925.437112239144</v>
      </c>
      <c r="N4966" t="str">
        <f>IFERROR(INDEX(tProdutos[Foco],MATCH(tItens[[#This Row],[Produto]],tProdutos[Produto],0)),"Não")</f>
        <v>Não</v>
      </c>
      <c r="O4966" t="str">
        <f>IFERROR(INDEX(tEditais[SRP],MATCH(tItens[[#This Row],[Edital]],tEditais[Edital],0)),"Não")</f>
        <v>Não</v>
      </c>
      <c r="P4966" s="4">
        <f>IF(COUNTIFS(INDEX(tItens[Edital],1):tItens[[#This Row],[Edital]],tItens[[#This Row],[Edital]],INDEX(tItens[Produto],1):tItens[[#This Row],[Produto]],tItens[[#This Row],[Produto]])=1,1,0)</f>
        <v>0</v>
      </c>
    </row>
    <row r="4967" spans="1:16" x14ac:dyDescent="0.25">
      <c r="A4967" t="s">
        <v>1943</v>
      </c>
      <c r="B4967">
        <v>12</v>
      </c>
      <c r="C4967" t="s">
        <v>7776</v>
      </c>
      <c r="D4967" t="s">
        <v>315</v>
      </c>
      <c r="E4967" s="13">
        <v>110000</v>
      </c>
      <c r="F4967" s="12">
        <v>7.0000000000000007E-2</v>
      </c>
      <c r="G4967" t="str">
        <f>IFERROR(INDEX(tEditais[Órgão],MATCH(tItens[[#This Row],[Edital]],tEditais[Edital],0)),"")</f>
        <v>MUNICIPIO DO RECIFE</v>
      </c>
      <c r="H4967" t="str">
        <f>IFERROR(INDEX(tEditais[UF],MATCH(tItens[[#This Row],[Edital]],tEditais[Edital],0)),"")</f>
        <v>PE</v>
      </c>
      <c r="I4967" s="11">
        <f>IFERROR(INDEX(tEditais[Encerramento],MATCH(tItens[[#This Row],[Edital]],tEditais[Edital],0)),"")</f>
        <v>46314.375</v>
      </c>
      <c r="J4967" t="str">
        <f>IFERROR(INDEX(tProdutos[Classe],MATCH(tItens[[#This Row],[Produto]],tProdutos[Produto],0)),"produto não cadastrado")</f>
        <v>FORA</v>
      </c>
      <c r="K4967" s="12">
        <f>tItens[[#This Row],[Qtd]]*tItens[[#This Row],[Vlr unit]]</f>
        <v>7700.0000000000009</v>
      </c>
      <c r="L4967" s="6">
        <f>IFERROR(IF(INDEX(tProdutos[Desconto homologado],MATCH(tItens[[#This Row],[Produto]],tProdutos[Produto],0))="",DescontoPadrao,INDEX(tProdutos[Desconto homologado],MATCH(tItens[[#This Row],[Produto]],tProdutos[Produto],0))),DescontoPadrao)</f>
        <v>0.38432036097010702</v>
      </c>
      <c r="M4967" s="12">
        <f>tItens[[#This Row],[Valor]]*(1-tItens[[#This Row],[Desconto]])</f>
        <v>4740.7332205301764</v>
      </c>
      <c r="N4967" t="str">
        <f>IFERROR(INDEX(tProdutos[Foco],MATCH(tItens[[#This Row],[Produto]],tProdutos[Produto],0)),"Não")</f>
        <v>Não</v>
      </c>
      <c r="O4967" t="str">
        <f>IFERROR(INDEX(tEditais[SRP],MATCH(tItens[[#This Row],[Edital]],tEditais[Edital],0)),"Não")</f>
        <v>Não</v>
      </c>
      <c r="P4967" s="4">
        <f>IF(COUNTIFS(INDEX(tItens[Edital],1):tItens[[#This Row],[Edital]],tItens[[#This Row],[Edital]],INDEX(tItens[Produto],1):tItens[[#This Row],[Produto]],tItens[[#This Row],[Produto]])=1,1,0)</f>
        <v>0</v>
      </c>
    </row>
    <row r="4968" spans="1:16" x14ac:dyDescent="0.25">
      <c r="A4968" t="s">
        <v>1943</v>
      </c>
      <c r="B4968">
        <v>13</v>
      </c>
      <c r="C4968" t="s">
        <v>7777</v>
      </c>
      <c r="D4968" t="s">
        <v>315</v>
      </c>
      <c r="E4968" s="13">
        <v>75000</v>
      </c>
      <c r="F4968" s="12">
        <v>7.0000000000000007E-2</v>
      </c>
      <c r="G4968" t="str">
        <f>IFERROR(INDEX(tEditais[Órgão],MATCH(tItens[[#This Row],[Edital]],tEditais[Edital],0)),"")</f>
        <v>MUNICIPIO DO RECIFE</v>
      </c>
      <c r="H4968" t="str">
        <f>IFERROR(INDEX(tEditais[UF],MATCH(tItens[[#This Row],[Edital]],tEditais[Edital],0)),"")</f>
        <v>PE</v>
      </c>
      <c r="I4968" s="11">
        <f>IFERROR(INDEX(tEditais[Encerramento],MATCH(tItens[[#This Row],[Edital]],tEditais[Edital],0)),"")</f>
        <v>46314.375</v>
      </c>
      <c r="J4968" t="str">
        <f>IFERROR(INDEX(tProdutos[Classe],MATCH(tItens[[#This Row],[Produto]],tProdutos[Produto],0)),"produto não cadastrado")</f>
        <v>FORA</v>
      </c>
      <c r="K4968" s="12">
        <f>tItens[[#This Row],[Qtd]]*tItens[[#This Row],[Vlr unit]]</f>
        <v>5250.0000000000009</v>
      </c>
      <c r="L4968" s="6">
        <f>IFERROR(IF(INDEX(tProdutos[Desconto homologado],MATCH(tItens[[#This Row],[Produto]],tProdutos[Produto],0))="",DescontoPadrao,INDEX(tProdutos[Desconto homologado],MATCH(tItens[[#This Row],[Produto]],tProdutos[Produto],0))),DescontoPadrao)</f>
        <v>0.38432036097010702</v>
      </c>
      <c r="M4968" s="12">
        <f>tItens[[#This Row],[Valor]]*(1-tItens[[#This Row],[Desconto]])</f>
        <v>3232.3181049069385</v>
      </c>
      <c r="N4968" t="str">
        <f>IFERROR(INDEX(tProdutos[Foco],MATCH(tItens[[#This Row],[Produto]],tProdutos[Produto],0)),"Não")</f>
        <v>Não</v>
      </c>
      <c r="O4968" t="str">
        <f>IFERROR(INDEX(tEditais[SRP],MATCH(tItens[[#This Row],[Edital]],tEditais[Edital],0)),"Não")</f>
        <v>Não</v>
      </c>
      <c r="P4968" s="4">
        <f>IF(COUNTIFS(INDEX(tItens[Edital],1):tItens[[#This Row],[Edital]],tItens[[#This Row],[Edital]],INDEX(tItens[Produto],1):tItens[[#This Row],[Produto]],tItens[[#This Row],[Produto]])=1,1,0)</f>
        <v>0</v>
      </c>
    </row>
    <row r="4969" spans="1:16" x14ac:dyDescent="0.25">
      <c r="A4969" t="s">
        <v>1943</v>
      </c>
      <c r="B4969">
        <v>14</v>
      </c>
      <c r="C4969" t="s">
        <v>7778</v>
      </c>
      <c r="D4969" t="s">
        <v>281</v>
      </c>
      <c r="E4969" s="13">
        <v>12350</v>
      </c>
      <c r="F4969" s="12">
        <v>0.4</v>
      </c>
      <c r="G4969" t="str">
        <f>IFERROR(INDEX(tEditais[Órgão],MATCH(tItens[[#This Row],[Edital]],tEditais[Edital],0)),"")</f>
        <v>MUNICIPIO DO RECIFE</v>
      </c>
      <c r="H4969" t="str">
        <f>IFERROR(INDEX(tEditais[UF],MATCH(tItens[[#This Row],[Edital]],tEditais[Edital],0)),"")</f>
        <v>PE</v>
      </c>
      <c r="I4969" s="11">
        <f>IFERROR(INDEX(tEditais[Encerramento],MATCH(tItens[[#This Row],[Edital]],tEditais[Edital],0)),"")</f>
        <v>46314.375</v>
      </c>
      <c r="J4969" t="str">
        <f>IFERROR(INDEX(tProdutos[Classe],MATCH(tItens[[#This Row],[Produto]],tProdutos[Produto],0)),"produto não cadastrado")</f>
        <v>DISPUTADO</v>
      </c>
      <c r="K4969" s="12">
        <f>tItens[[#This Row],[Qtd]]*tItens[[#This Row],[Vlr unit]]</f>
        <v>4940</v>
      </c>
      <c r="L4969" s="6">
        <f>IFERROR(IF(INDEX(tProdutos[Desconto homologado],MATCH(tItens[[#This Row],[Produto]],tProdutos[Produto],0))="",DescontoPadrao,INDEX(tProdutos[Desconto homologado],MATCH(tItens[[#This Row],[Produto]],tProdutos[Produto],0))),DescontoPadrao)</f>
        <v>0.42461538461538501</v>
      </c>
      <c r="M4969" s="12">
        <f>tItens[[#This Row],[Valor]]*(1-tItens[[#This Row],[Desconto]])</f>
        <v>2842.3999999999978</v>
      </c>
      <c r="N4969" t="str">
        <f>IFERROR(INDEX(tProdutos[Foco],MATCH(tItens[[#This Row],[Produto]],tProdutos[Produto],0)),"Não")</f>
        <v>Não</v>
      </c>
      <c r="O4969" t="str">
        <f>IFERROR(INDEX(tEditais[SRP],MATCH(tItens[[#This Row],[Edital]],tEditais[Edital],0)),"Não")</f>
        <v>Não</v>
      </c>
      <c r="P4969" s="4">
        <f>IF(COUNTIFS(INDEX(tItens[Edital],1):tItens[[#This Row],[Edital]],tItens[[#This Row],[Edital]],INDEX(tItens[Produto],1):tItens[[#This Row],[Produto]],tItens[[#This Row],[Produto]])=1,1,0)</f>
        <v>1</v>
      </c>
    </row>
    <row r="4970" spans="1:16" x14ac:dyDescent="0.25">
      <c r="A4970" t="s">
        <v>1943</v>
      </c>
      <c r="B4970">
        <v>15</v>
      </c>
      <c r="C4970" t="s">
        <v>7779</v>
      </c>
      <c r="D4970" t="s">
        <v>289</v>
      </c>
      <c r="E4970" s="13">
        <v>5300</v>
      </c>
      <c r="F4970" s="12">
        <v>0.65</v>
      </c>
      <c r="G4970" t="str">
        <f>IFERROR(INDEX(tEditais[Órgão],MATCH(tItens[[#This Row],[Edital]],tEditais[Edital],0)),"")</f>
        <v>MUNICIPIO DO RECIFE</v>
      </c>
      <c r="H4970" t="str">
        <f>IFERROR(INDEX(tEditais[UF],MATCH(tItens[[#This Row],[Edital]],tEditais[Edital],0)),"")</f>
        <v>PE</v>
      </c>
      <c r="I4970" s="11">
        <f>IFERROR(INDEX(tEditais[Encerramento],MATCH(tItens[[#This Row],[Edital]],tEditais[Edital],0)),"")</f>
        <v>46314.375</v>
      </c>
      <c r="J4970" t="str">
        <f>IFERROR(INDEX(tProdutos[Classe],MATCH(tItens[[#This Row],[Produto]],tProdutos[Produto],0)),"produto não cadastrado")</f>
        <v>DISPUTADO</v>
      </c>
      <c r="K4970" s="12">
        <f>tItens[[#This Row],[Qtd]]*tItens[[#This Row],[Vlr unit]]</f>
        <v>3445</v>
      </c>
      <c r="L4970" s="6">
        <f>IFERROR(IF(INDEX(tProdutos[Desconto homologado],MATCH(tItens[[#This Row],[Produto]],tProdutos[Produto],0))="",DescontoPadrao,INDEX(tProdutos[Desconto homologado],MATCH(tItens[[#This Row],[Produto]],tProdutos[Produto],0))),DescontoPadrao)</f>
        <v>0.35849056603773599</v>
      </c>
      <c r="M4970" s="12">
        <f>tItens[[#This Row],[Valor]]*(1-tItens[[#This Row],[Desconto]])</f>
        <v>2209.9999999999995</v>
      </c>
      <c r="N4970" t="str">
        <f>IFERROR(INDEX(tProdutos[Foco],MATCH(tItens[[#This Row],[Produto]],tProdutos[Produto],0)),"Não")</f>
        <v>Não</v>
      </c>
      <c r="O4970" t="str">
        <f>IFERROR(INDEX(tEditais[SRP],MATCH(tItens[[#This Row],[Edital]],tEditais[Edital],0)),"Não")</f>
        <v>Não</v>
      </c>
      <c r="P4970" s="4">
        <f>IF(COUNTIFS(INDEX(tItens[Edital],1):tItens[[#This Row],[Edital]],tItens[[#This Row],[Edital]],INDEX(tItens[Produto],1):tItens[[#This Row],[Produto]],tItens[[#This Row],[Produto]])=1,1,0)</f>
        <v>1</v>
      </c>
    </row>
    <row r="4971" spans="1:16" x14ac:dyDescent="0.25">
      <c r="A4971" t="s">
        <v>1943</v>
      </c>
      <c r="B4971">
        <v>16</v>
      </c>
      <c r="C4971" t="s">
        <v>7780</v>
      </c>
      <c r="D4971" t="s">
        <v>283</v>
      </c>
      <c r="E4971" s="13">
        <v>48400</v>
      </c>
      <c r="F4971" s="12">
        <v>0.39</v>
      </c>
      <c r="G4971" t="str">
        <f>IFERROR(INDEX(tEditais[Órgão],MATCH(tItens[[#This Row],[Edital]],tEditais[Edital],0)),"")</f>
        <v>MUNICIPIO DO RECIFE</v>
      </c>
      <c r="H4971" t="str">
        <f>IFERROR(INDEX(tEditais[UF],MATCH(tItens[[#This Row],[Edital]],tEditais[Edital],0)),"")</f>
        <v>PE</v>
      </c>
      <c r="I4971" s="11">
        <f>IFERROR(INDEX(tEditais[Encerramento],MATCH(tItens[[#This Row],[Edital]],tEditais[Edital],0)),"")</f>
        <v>46314.375</v>
      </c>
      <c r="J4971" t="str">
        <f>IFERROR(INDEX(tProdutos[Classe],MATCH(tItens[[#This Row],[Produto]],tProdutos[Produto],0)),"produto não cadastrado")</f>
        <v>FORA</v>
      </c>
      <c r="K4971" s="12">
        <f>tItens[[#This Row],[Qtd]]*tItens[[#This Row],[Vlr unit]]</f>
        <v>18876</v>
      </c>
      <c r="L4971" s="6">
        <f>IFERROR(IF(INDEX(tProdutos[Desconto homologado],MATCH(tItens[[#This Row],[Produto]],tProdutos[Produto],0))="",DescontoPadrao,INDEX(tProdutos[Desconto homologado],MATCH(tItens[[#This Row],[Produto]],tProdutos[Produto],0))),DescontoPadrao)</f>
        <v>0.40540540540540498</v>
      </c>
      <c r="M4971" s="12">
        <f>tItens[[#This Row],[Valor]]*(1-tItens[[#This Row],[Desconto]])</f>
        <v>11223.567567567574</v>
      </c>
      <c r="N4971" t="str">
        <f>IFERROR(INDEX(tProdutos[Foco],MATCH(tItens[[#This Row],[Produto]],tProdutos[Produto],0)),"Não")</f>
        <v>Não</v>
      </c>
      <c r="O4971" t="str">
        <f>IFERROR(INDEX(tEditais[SRP],MATCH(tItens[[#This Row],[Edital]],tEditais[Edital],0)),"Não")</f>
        <v>Não</v>
      </c>
      <c r="P4971" s="4">
        <f>IF(COUNTIFS(INDEX(tItens[Edital],1):tItens[[#This Row],[Edital]],tItens[[#This Row],[Edital]],INDEX(tItens[Produto],1):tItens[[#This Row],[Produto]],tItens[[#This Row],[Produto]])=1,1,0)</f>
        <v>1</v>
      </c>
    </row>
    <row r="4972" spans="1:16" x14ac:dyDescent="0.25">
      <c r="A4972" t="s">
        <v>1943</v>
      </c>
      <c r="B4972">
        <v>17</v>
      </c>
      <c r="C4972" t="s">
        <v>7781</v>
      </c>
      <c r="D4972" t="s">
        <v>265</v>
      </c>
      <c r="E4972" s="13">
        <v>33450</v>
      </c>
      <c r="F4972" s="12">
        <v>0.28000000000000003</v>
      </c>
      <c r="G4972" t="str">
        <f>IFERROR(INDEX(tEditais[Órgão],MATCH(tItens[[#This Row],[Edital]],tEditais[Edital],0)),"")</f>
        <v>MUNICIPIO DO RECIFE</v>
      </c>
      <c r="H4972" t="str">
        <f>IFERROR(INDEX(tEditais[UF],MATCH(tItens[[#This Row],[Edital]],tEditais[Edital],0)),"")</f>
        <v>PE</v>
      </c>
      <c r="I4972" s="11">
        <f>IFERROR(INDEX(tEditais[Encerramento],MATCH(tItens[[#This Row],[Edital]],tEditais[Edital],0)),"")</f>
        <v>46314.375</v>
      </c>
      <c r="J4972" t="str">
        <f>IFERROR(INDEX(tProdutos[Classe],MATCH(tItens[[#This Row],[Produto]],tProdutos[Produto],0)),"produto não cadastrado")</f>
        <v>DISPUTADO</v>
      </c>
      <c r="K4972" s="12">
        <f>tItens[[#This Row],[Qtd]]*tItens[[#This Row],[Vlr unit]]</f>
        <v>9366</v>
      </c>
      <c r="L4972" s="6">
        <f>IFERROR(IF(INDEX(tProdutos[Desconto homologado],MATCH(tItens[[#This Row],[Produto]],tProdutos[Produto],0))="",DescontoPadrao,INDEX(tProdutos[Desconto homologado],MATCH(tItens[[#This Row],[Produto]],tProdutos[Produto],0))),DescontoPadrao)</f>
        <v>0.377587663709337</v>
      </c>
      <c r="M4972" s="12">
        <f>tItens[[#This Row],[Valor]]*(1-tItens[[#This Row],[Desconto]])</f>
        <v>5829.5139416983502</v>
      </c>
      <c r="N4972" t="str">
        <f>IFERROR(INDEX(tProdutos[Foco],MATCH(tItens[[#This Row],[Produto]],tProdutos[Produto],0)),"Não")</f>
        <v>Não</v>
      </c>
      <c r="O4972" t="str">
        <f>IFERROR(INDEX(tEditais[SRP],MATCH(tItens[[#This Row],[Edital]],tEditais[Edital],0)),"Não")</f>
        <v>Não</v>
      </c>
      <c r="P4972" s="4">
        <f>IF(COUNTIFS(INDEX(tItens[Edital],1):tItens[[#This Row],[Edital]],tItens[[#This Row],[Edital]],INDEX(tItens[Produto],1):tItens[[#This Row],[Produto]],tItens[[#This Row],[Produto]])=1,1,0)</f>
        <v>1</v>
      </c>
    </row>
    <row r="4973" spans="1:16" x14ac:dyDescent="0.25">
      <c r="A4973" t="s">
        <v>1943</v>
      </c>
      <c r="B4973">
        <v>18</v>
      </c>
      <c r="C4973" t="s">
        <v>7782</v>
      </c>
      <c r="D4973" t="s">
        <v>275</v>
      </c>
      <c r="E4973" s="13">
        <v>29570</v>
      </c>
      <c r="F4973" s="12">
        <v>0.24</v>
      </c>
      <c r="G4973" t="str">
        <f>IFERROR(INDEX(tEditais[Órgão],MATCH(tItens[[#This Row],[Edital]],tEditais[Edital],0)),"")</f>
        <v>MUNICIPIO DO RECIFE</v>
      </c>
      <c r="H4973" t="str">
        <f>IFERROR(INDEX(tEditais[UF],MATCH(tItens[[#This Row],[Edital]],tEditais[Edital],0)),"")</f>
        <v>PE</v>
      </c>
      <c r="I4973" s="11">
        <f>IFERROR(INDEX(tEditais[Encerramento],MATCH(tItens[[#This Row],[Edital]],tEditais[Edital],0)),"")</f>
        <v>46314.375</v>
      </c>
      <c r="J4973" t="str">
        <f>IFERROR(INDEX(tProdutos[Classe],MATCH(tItens[[#This Row],[Produto]],tProdutos[Produto],0)),"produto não cadastrado")</f>
        <v>FORA</v>
      </c>
      <c r="K4973" s="12">
        <f>tItens[[#This Row],[Qtd]]*tItens[[#This Row],[Vlr unit]]</f>
        <v>7096.8</v>
      </c>
      <c r="L4973" s="6">
        <f>IFERROR(IF(INDEX(tProdutos[Desconto homologado],MATCH(tItens[[#This Row],[Produto]],tProdutos[Produto],0))="",DescontoPadrao,INDEX(tProdutos[Desconto homologado],MATCH(tItens[[#This Row],[Produto]],tProdutos[Produto],0))),DescontoPadrao)</f>
        <v>0.405797101449275</v>
      </c>
      <c r="M4973" s="12">
        <f>tItens[[#This Row],[Valor]]*(1-tItens[[#This Row],[Desconto]])</f>
        <v>4216.9391304347855</v>
      </c>
      <c r="N4973" t="str">
        <f>IFERROR(INDEX(tProdutos[Foco],MATCH(tItens[[#This Row],[Produto]],tProdutos[Produto],0)),"Não")</f>
        <v>Não</v>
      </c>
      <c r="O4973" t="str">
        <f>IFERROR(INDEX(tEditais[SRP],MATCH(tItens[[#This Row],[Edital]],tEditais[Edital],0)),"Não")</f>
        <v>Não</v>
      </c>
      <c r="P4973" s="4">
        <f>IF(COUNTIFS(INDEX(tItens[Edital],1):tItens[[#This Row],[Edital]],tItens[[#This Row],[Edital]],INDEX(tItens[Produto],1):tItens[[#This Row],[Produto]],tItens[[#This Row],[Produto]])=1,1,0)</f>
        <v>1</v>
      </c>
    </row>
    <row r="4974" spans="1:16" x14ac:dyDescent="0.25">
      <c r="A4974" t="s">
        <v>1946</v>
      </c>
      <c r="B4974">
        <v>23</v>
      </c>
      <c r="C4974" t="s">
        <v>7783</v>
      </c>
      <c r="D4974" t="s">
        <v>62</v>
      </c>
      <c r="E4974" s="13">
        <v>150</v>
      </c>
      <c r="F4974" s="12">
        <v>5.84</v>
      </c>
      <c r="G4974" t="str">
        <f>IFERROR(INDEX(tEditais[Órgão],MATCH(tItens[[#This Row],[Edital]],tEditais[Edital],0)),"")</f>
        <v>MUNICIPIO DE ANGICAL DO PIAUI</v>
      </c>
      <c r="H4974" t="str">
        <f>IFERROR(INDEX(tEditais[UF],MATCH(tItens[[#This Row],[Edital]],tEditais[Edital],0)),"")</f>
        <v>PI</v>
      </c>
      <c r="I4974" s="11">
        <f>IFERROR(INDEX(tEditais[Encerramento],MATCH(tItens[[#This Row],[Edital]],tEditais[Edital],0)),"")</f>
        <v>46308.291666666664</v>
      </c>
      <c r="J4974" t="str">
        <f>IFERROR(INDEX(tProdutos[Classe],MATCH(tItens[[#This Row],[Produto]],tProdutos[Produto],0)),"produto não cadastrado")</f>
        <v>NÚCLEO</v>
      </c>
      <c r="K4974" s="12">
        <f>tItens[[#This Row],[Qtd]]*tItens[[#This Row],[Vlr unit]]</f>
        <v>876</v>
      </c>
      <c r="L4974" s="6">
        <f>IFERROR(IF(INDEX(tProdutos[Desconto homologado],MATCH(tItens[[#This Row],[Produto]],tProdutos[Produto],0))="",DescontoPadrao,INDEX(tProdutos[Desconto homologado],MATCH(tItens[[#This Row],[Produto]],tProdutos[Produto],0))),DescontoPadrao)</f>
        <v>0.3</v>
      </c>
      <c r="M4974" s="12">
        <f>tItens[[#This Row],[Valor]]*(1-tItens[[#This Row],[Desconto]])</f>
        <v>613.19999999999993</v>
      </c>
      <c r="N4974" t="str">
        <f>IFERROR(INDEX(tProdutos[Foco],MATCH(tItens[[#This Row],[Produto]],tProdutos[Produto],0)),"Não")</f>
        <v>Sim</v>
      </c>
      <c r="O4974" t="str">
        <f>IFERROR(INDEX(tEditais[SRP],MATCH(tItens[[#This Row],[Edital]],tEditais[Edital],0)),"Não")</f>
        <v>Sim</v>
      </c>
      <c r="P4974" s="4">
        <f>IF(COUNTIFS(INDEX(tItens[Edital],1):tItens[[#This Row],[Edital]],tItens[[#This Row],[Edital]],INDEX(tItens[Produto],1):tItens[[#This Row],[Produto]],tItens[[#This Row],[Produto]])=1,1,0)</f>
        <v>1</v>
      </c>
    </row>
    <row r="4975" spans="1:16" x14ac:dyDescent="0.25">
      <c r="A4975" t="s">
        <v>1946</v>
      </c>
      <c r="B4975">
        <v>24</v>
      </c>
      <c r="C4975" t="s">
        <v>7784</v>
      </c>
      <c r="D4975" t="s">
        <v>62</v>
      </c>
      <c r="E4975" s="13">
        <v>300</v>
      </c>
      <c r="F4975" s="12">
        <v>8.48</v>
      </c>
      <c r="G4975" t="str">
        <f>IFERROR(INDEX(tEditais[Órgão],MATCH(tItens[[#This Row],[Edital]],tEditais[Edital],0)),"")</f>
        <v>MUNICIPIO DE ANGICAL DO PIAUI</v>
      </c>
      <c r="H4975" t="str">
        <f>IFERROR(INDEX(tEditais[UF],MATCH(tItens[[#This Row],[Edital]],tEditais[Edital],0)),"")</f>
        <v>PI</v>
      </c>
      <c r="I4975" s="11">
        <f>IFERROR(INDEX(tEditais[Encerramento],MATCH(tItens[[#This Row],[Edital]],tEditais[Edital],0)),"")</f>
        <v>46308.291666666664</v>
      </c>
      <c r="J4975" t="str">
        <f>IFERROR(INDEX(tProdutos[Classe],MATCH(tItens[[#This Row],[Produto]],tProdutos[Produto],0)),"produto não cadastrado")</f>
        <v>NÚCLEO</v>
      </c>
      <c r="K4975" s="12">
        <f>tItens[[#This Row],[Qtd]]*tItens[[#This Row],[Vlr unit]]</f>
        <v>2544</v>
      </c>
      <c r="L4975" s="6">
        <f>IFERROR(IF(INDEX(tProdutos[Desconto homologado],MATCH(tItens[[#This Row],[Produto]],tProdutos[Produto],0))="",DescontoPadrao,INDEX(tProdutos[Desconto homologado],MATCH(tItens[[#This Row],[Produto]],tProdutos[Produto],0))),DescontoPadrao)</f>
        <v>0.3</v>
      </c>
      <c r="M4975" s="12">
        <f>tItens[[#This Row],[Valor]]*(1-tItens[[#This Row],[Desconto]])</f>
        <v>1780.8</v>
      </c>
      <c r="N4975" t="str">
        <f>IFERROR(INDEX(tProdutos[Foco],MATCH(tItens[[#This Row],[Produto]],tProdutos[Produto],0)),"Não")</f>
        <v>Sim</v>
      </c>
      <c r="O4975" t="str">
        <f>IFERROR(INDEX(tEditais[SRP],MATCH(tItens[[#This Row],[Edital]],tEditais[Edital],0)),"Não")</f>
        <v>Sim</v>
      </c>
      <c r="P4975" s="4">
        <f>IF(COUNTIFS(INDEX(tItens[Edital],1):tItens[[#This Row],[Edital]],tItens[[#This Row],[Edital]],INDEX(tItens[Produto],1):tItens[[#This Row],[Produto]],tItens[[#This Row],[Produto]])=1,1,0)</f>
        <v>0</v>
      </c>
    </row>
    <row r="4976" spans="1:16" x14ac:dyDescent="0.25">
      <c r="A4976" t="s">
        <v>1946</v>
      </c>
      <c r="B4976">
        <v>34</v>
      </c>
      <c r="C4976" t="s">
        <v>7785</v>
      </c>
      <c r="D4976" t="s">
        <v>329</v>
      </c>
      <c r="E4976" s="13">
        <v>3000</v>
      </c>
      <c r="F4976" s="12">
        <v>1.45</v>
      </c>
      <c r="G4976" t="str">
        <f>IFERROR(INDEX(tEditais[Órgão],MATCH(tItens[[#This Row],[Edital]],tEditais[Edital],0)),"")</f>
        <v>MUNICIPIO DE ANGICAL DO PIAUI</v>
      </c>
      <c r="H4976" t="str">
        <f>IFERROR(INDEX(tEditais[UF],MATCH(tItens[[#This Row],[Edital]],tEditais[Edital],0)),"")</f>
        <v>PI</v>
      </c>
      <c r="I4976" s="11">
        <f>IFERROR(INDEX(tEditais[Encerramento],MATCH(tItens[[#This Row],[Edital]],tEditais[Edital],0)),"")</f>
        <v>46308.291666666664</v>
      </c>
      <c r="J4976" t="str">
        <f>IFERROR(INDEX(tProdutos[Classe],MATCH(tItens[[#This Row],[Produto]],tProdutos[Produto],0)),"produto não cadastrado")</f>
        <v>FORA</v>
      </c>
      <c r="K4976" s="12">
        <f>tItens[[#This Row],[Qtd]]*tItens[[#This Row],[Vlr unit]]</f>
        <v>4350</v>
      </c>
      <c r="L4976" s="6">
        <f>IFERROR(IF(INDEX(tProdutos[Desconto homologado],MATCH(tItens[[#This Row],[Produto]],tProdutos[Produto],0))="",DescontoPadrao,INDEX(tProdutos[Desconto homologado],MATCH(tItens[[#This Row],[Produto]],tProdutos[Produto],0))),DescontoPadrao)</f>
        <v>0.46441781031074703</v>
      </c>
      <c r="M4976" s="12">
        <f>tItens[[#This Row],[Valor]]*(1-tItens[[#This Row],[Desconto]])</f>
        <v>2329.7825251482504</v>
      </c>
      <c r="N4976" t="str">
        <f>IFERROR(INDEX(tProdutos[Foco],MATCH(tItens[[#This Row],[Produto]],tProdutos[Produto],0)),"Não")</f>
        <v>Não</v>
      </c>
      <c r="O4976" t="str">
        <f>IFERROR(INDEX(tEditais[SRP],MATCH(tItens[[#This Row],[Edital]],tEditais[Edital],0)),"Não")</f>
        <v>Sim</v>
      </c>
      <c r="P4976" s="4">
        <f>IF(COUNTIFS(INDEX(tItens[Edital],1):tItens[[#This Row],[Edital]],tItens[[#This Row],[Edital]],INDEX(tItens[Produto],1):tItens[[#This Row],[Produto]],tItens[[#This Row],[Produto]])=1,1,0)</f>
        <v>1</v>
      </c>
    </row>
    <row r="4977" spans="1:16" x14ac:dyDescent="0.25">
      <c r="A4977" t="s">
        <v>1946</v>
      </c>
      <c r="B4977">
        <v>35</v>
      </c>
      <c r="C4977" t="s">
        <v>7786</v>
      </c>
      <c r="D4977" t="s">
        <v>365</v>
      </c>
      <c r="E4977" s="13">
        <v>3000</v>
      </c>
      <c r="F4977" s="12">
        <v>1.45</v>
      </c>
      <c r="G4977" t="str">
        <f>IFERROR(INDEX(tEditais[Órgão],MATCH(tItens[[#This Row],[Edital]],tEditais[Edital],0)),"")</f>
        <v>MUNICIPIO DE ANGICAL DO PIAUI</v>
      </c>
      <c r="H4977" t="str">
        <f>IFERROR(INDEX(tEditais[UF],MATCH(tItens[[#This Row],[Edital]],tEditais[Edital],0)),"")</f>
        <v>PI</v>
      </c>
      <c r="I4977" s="11">
        <f>IFERROR(INDEX(tEditais[Encerramento],MATCH(tItens[[#This Row],[Edital]],tEditais[Edital],0)),"")</f>
        <v>46308.291666666664</v>
      </c>
      <c r="J4977" t="str">
        <f>IFERROR(INDEX(tProdutos[Classe],MATCH(tItens[[#This Row],[Produto]],tProdutos[Produto],0)),"produto não cadastrado")</f>
        <v>FORA</v>
      </c>
      <c r="K4977" s="12">
        <f>tItens[[#This Row],[Qtd]]*tItens[[#This Row],[Vlr unit]]</f>
        <v>4350</v>
      </c>
      <c r="L4977" s="6">
        <f>IFERROR(IF(INDEX(tProdutos[Desconto homologado],MATCH(tItens[[#This Row],[Produto]],tProdutos[Produto],0))="",DescontoPadrao,INDEX(tProdutos[Desconto homologado],MATCH(tItens[[#This Row],[Produto]],tProdutos[Produto],0))),DescontoPadrao)</f>
        <v>0.41120529659182697</v>
      </c>
      <c r="M4977" s="12">
        <f>tItens[[#This Row],[Valor]]*(1-tItens[[#This Row],[Desconto]])</f>
        <v>2561.2569598255527</v>
      </c>
      <c r="N4977" t="str">
        <f>IFERROR(INDEX(tProdutos[Foco],MATCH(tItens[[#This Row],[Produto]],tProdutos[Produto],0)),"Não")</f>
        <v>Não</v>
      </c>
      <c r="O4977" t="str">
        <f>IFERROR(INDEX(tEditais[SRP],MATCH(tItens[[#This Row],[Edital]],tEditais[Edital],0)),"Não")</f>
        <v>Sim</v>
      </c>
      <c r="P4977" s="4">
        <f>IF(COUNTIFS(INDEX(tItens[Edital],1):tItens[[#This Row],[Edital]],tItens[[#This Row],[Edital]],INDEX(tItens[Produto],1):tItens[[#This Row],[Produto]],tItens[[#This Row],[Produto]])=1,1,0)</f>
        <v>1</v>
      </c>
    </row>
    <row r="4978" spans="1:16" x14ac:dyDescent="0.25">
      <c r="A4978" t="s">
        <v>1946</v>
      </c>
      <c r="B4978">
        <v>36</v>
      </c>
      <c r="C4978" t="s">
        <v>7787</v>
      </c>
      <c r="D4978" t="s">
        <v>379</v>
      </c>
      <c r="E4978" s="13">
        <v>3000</v>
      </c>
      <c r="F4978" s="12">
        <v>1.37</v>
      </c>
      <c r="G4978" t="str">
        <f>IFERROR(INDEX(tEditais[Órgão],MATCH(tItens[[#This Row],[Edital]],tEditais[Edital],0)),"")</f>
        <v>MUNICIPIO DE ANGICAL DO PIAUI</v>
      </c>
      <c r="H4978" t="str">
        <f>IFERROR(INDEX(tEditais[UF],MATCH(tItens[[#This Row],[Edital]],tEditais[Edital],0)),"")</f>
        <v>PI</v>
      </c>
      <c r="I4978" s="11">
        <f>IFERROR(INDEX(tEditais[Encerramento],MATCH(tItens[[#This Row],[Edital]],tEditais[Edital],0)),"")</f>
        <v>46308.291666666664</v>
      </c>
      <c r="J4978" t="str">
        <f>IFERROR(INDEX(tProdutos[Classe],MATCH(tItens[[#This Row],[Produto]],tProdutos[Produto],0)),"produto não cadastrado")</f>
        <v>FORA</v>
      </c>
      <c r="K4978" s="12">
        <f>tItens[[#This Row],[Qtd]]*tItens[[#This Row],[Vlr unit]]</f>
        <v>4110</v>
      </c>
      <c r="L4978" s="6">
        <f>IFERROR(IF(INDEX(tProdutos[Desconto homologado],MATCH(tItens[[#This Row],[Produto]],tProdutos[Produto],0))="",DescontoPadrao,INDEX(tProdutos[Desconto homologado],MATCH(tItens[[#This Row],[Produto]],tProdutos[Produto],0))),DescontoPadrao)</f>
        <v>0.49504950495049499</v>
      </c>
      <c r="M4978" s="12">
        <f>tItens[[#This Row],[Valor]]*(1-tItens[[#This Row],[Desconto]])</f>
        <v>2075.3465346534654</v>
      </c>
      <c r="N4978" t="str">
        <f>IFERROR(INDEX(tProdutos[Foco],MATCH(tItens[[#This Row],[Produto]],tProdutos[Produto],0)),"Não")</f>
        <v>Não</v>
      </c>
      <c r="O4978" t="str">
        <f>IFERROR(INDEX(tEditais[SRP],MATCH(tItens[[#This Row],[Edital]],tEditais[Edital],0)),"Não")</f>
        <v>Sim</v>
      </c>
      <c r="P4978" s="4">
        <f>IF(COUNTIFS(INDEX(tItens[Edital],1):tItens[[#This Row],[Edital]],tItens[[#This Row],[Edital]],INDEX(tItens[Produto],1):tItens[[#This Row],[Produto]],tItens[[#This Row],[Produto]])=1,1,0)</f>
        <v>1</v>
      </c>
    </row>
    <row r="4979" spans="1:16" x14ac:dyDescent="0.25">
      <c r="A4979" t="s">
        <v>1946</v>
      </c>
      <c r="B4979">
        <v>37</v>
      </c>
      <c r="C4979" t="s">
        <v>7788</v>
      </c>
      <c r="D4979" t="s">
        <v>247</v>
      </c>
      <c r="E4979" s="13">
        <v>5000</v>
      </c>
      <c r="F4979" s="12">
        <v>1.46</v>
      </c>
      <c r="G4979" t="str">
        <f>IFERROR(INDEX(tEditais[Órgão],MATCH(tItens[[#This Row],[Edital]],tEditais[Edital],0)),"")</f>
        <v>MUNICIPIO DE ANGICAL DO PIAUI</v>
      </c>
      <c r="H4979" t="str">
        <f>IFERROR(INDEX(tEditais[UF],MATCH(tItens[[#This Row],[Edital]],tEditais[Edital],0)),"")</f>
        <v>PI</v>
      </c>
      <c r="I4979" s="11">
        <f>IFERROR(INDEX(tEditais[Encerramento],MATCH(tItens[[#This Row],[Edital]],tEditais[Edital],0)),"")</f>
        <v>46308.291666666664</v>
      </c>
      <c r="J4979" t="str">
        <f>IFERROR(INDEX(tProdutos[Classe],MATCH(tItens[[#This Row],[Produto]],tProdutos[Produto],0)),"produto não cadastrado")</f>
        <v>FORA</v>
      </c>
      <c r="K4979" s="12">
        <f>tItens[[#This Row],[Qtd]]*tItens[[#This Row],[Vlr unit]]</f>
        <v>7300</v>
      </c>
      <c r="L4979" s="6">
        <f>IFERROR(IF(INDEX(tProdutos[Desconto homologado],MATCH(tItens[[#This Row],[Produto]],tProdutos[Produto],0))="",DescontoPadrao,INDEX(tProdutos[Desconto homologado],MATCH(tItens[[#This Row],[Produto]],tProdutos[Produto],0))),DescontoPadrao)</f>
        <v>0.27353256199762999</v>
      </c>
      <c r="M4979" s="12">
        <f>tItens[[#This Row],[Valor]]*(1-tItens[[#This Row],[Desconto]])</f>
        <v>5303.2122974173008</v>
      </c>
      <c r="N4979" t="str">
        <f>IFERROR(INDEX(tProdutos[Foco],MATCH(tItens[[#This Row],[Produto]],tProdutos[Produto],0)),"Não")</f>
        <v>Não</v>
      </c>
      <c r="O4979" t="str">
        <f>IFERROR(INDEX(tEditais[SRP],MATCH(tItens[[#This Row],[Edital]],tEditais[Edital],0)),"Não")</f>
        <v>Sim</v>
      </c>
      <c r="P4979" s="4">
        <f>IF(COUNTIFS(INDEX(tItens[Edital],1):tItens[[#This Row],[Edital]],tItens[[#This Row],[Edital]],INDEX(tItens[Produto],1):tItens[[#This Row],[Produto]],tItens[[#This Row],[Produto]])=1,1,0)</f>
        <v>1</v>
      </c>
    </row>
    <row r="4980" spans="1:16" x14ac:dyDescent="0.25">
      <c r="A4980" t="s">
        <v>1946</v>
      </c>
      <c r="B4980">
        <v>38</v>
      </c>
      <c r="C4980" t="s">
        <v>7789</v>
      </c>
      <c r="D4980" t="s">
        <v>287</v>
      </c>
      <c r="E4980" s="13">
        <v>5000</v>
      </c>
      <c r="F4980" s="12">
        <v>1.37</v>
      </c>
      <c r="G4980" t="str">
        <f>IFERROR(INDEX(tEditais[Órgão],MATCH(tItens[[#This Row],[Edital]],tEditais[Edital],0)),"")</f>
        <v>MUNICIPIO DE ANGICAL DO PIAUI</v>
      </c>
      <c r="H4980" t="str">
        <f>IFERROR(INDEX(tEditais[UF],MATCH(tItens[[#This Row],[Edital]],tEditais[Edital],0)),"")</f>
        <v>PI</v>
      </c>
      <c r="I4980" s="11">
        <f>IFERROR(INDEX(tEditais[Encerramento],MATCH(tItens[[#This Row],[Edital]],tEditais[Edital],0)),"")</f>
        <v>46308.291666666664</v>
      </c>
      <c r="J4980" t="str">
        <f>IFERROR(INDEX(tProdutos[Classe],MATCH(tItens[[#This Row],[Produto]],tProdutos[Produto],0)),"produto não cadastrado")</f>
        <v>FORA</v>
      </c>
      <c r="K4980" s="12">
        <f>tItens[[#This Row],[Qtd]]*tItens[[#This Row],[Vlr unit]]</f>
        <v>6850.0000000000009</v>
      </c>
      <c r="L4980" s="6">
        <f>IFERROR(IF(INDEX(tProdutos[Desconto homologado],MATCH(tItens[[#This Row],[Produto]],tProdutos[Produto],0))="",DescontoPadrao,INDEX(tProdutos[Desconto homologado],MATCH(tItens[[#This Row],[Produto]],tProdutos[Produto],0))),DescontoPadrao)</f>
        <v>0.46344491178876002</v>
      </c>
      <c r="M4980" s="12">
        <f>tItens[[#This Row],[Valor]]*(1-tItens[[#This Row],[Desconto]])</f>
        <v>3675.4023542469945</v>
      </c>
      <c r="N4980" t="str">
        <f>IFERROR(INDEX(tProdutos[Foco],MATCH(tItens[[#This Row],[Produto]],tProdutos[Produto],0)),"Não")</f>
        <v>Não</v>
      </c>
      <c r="O4980" t="str">
        <f>IFERROR(INDEX(tEditais[SRP],MATCH(tItens[[#This Row],[Edital]],tEditais[Edital],0)),"Não")</f>
        <v>Sim</v>
      </c>
      <c r="P4980" s="4">
        <f>IF(COUNTIFS(INDEX(tItens[Edital],1):tItens[[#This Row],[Edital]],tItens[[#This Row],[Edital]],INDEX(tItens[Produto],1):tItens[[#This Row],[Produto]],tItens[[#This Row],[Produto]])=1,1,0)</f>
        <v>1</v>
      </c>
    </row>
    <row r="4981" spans="1:16" x14ac:dyDescent="0.25">
      <c r="A4981" t="s">
        <v>1946</v>
      </c>
      <c r="B4981">
        <v>40</v>
      </c>
      <c r="C4981" t="s">
        <v>7790</v>
      </c>
      <c r="D4981" t="s">
        <v>172</v>
      </c>
      <c r="E4981" s="13">
        <v>100</v>
      </c>
      <c r="F4981" s="12">
        <v>0.77</v>
      </c>
      <c r="G4981" t="str">
        <f>IFERROR(INDEX(tEditais[Órgão],MATCH(tItens[[#This Row],[Edital]],tEditais[Edital],0)),"")</f>
        <v>MUNICIPIO DE ANGICAL DO PIAUI</v>
      </c>
      <c r="H4981" t="str">
        <f>IFERROR(INDEX(tEditais[UF],MATCH(tItens[[#This Row],[Edital]],tEditais[Edital],0)),"")</f>
        <v>PI</v>
      </c>
      <c r="I4981" s="11">
        <f>IFERROR(INDEX(tEditais[Encerramento],MATCH(tItens[[#This Row],[Edital]],tEditais[Edital],0)),"")</f>
        <v>46308.291666666664</v>
      </c>
      <c r="J4981" t="str">
        <f>IFERROR(INDEX(tProdutos[Classe],MATCH(tItens[[#This Row],[Produto]],tProdutos[Produto],0)),"produto não cadastrado")</f>
        <v>DISPUTADO</v>
      </c>
      <c r="K4981" s="12">
        <f>tItens[[#This Row],[Qtd]]*tItens[[#This Row],[Vlr unit]]</f>
        <v>77</v>
      </c>
      <c r="L4981" s="6">
        <f>IFERROR(IF(INDEX(tProdutos[Desconto homologado],MATCH(tItens[[#This Row],[Produto]],tProdutos[Produto],0))="",DescontoPadrao,INDEX(tProdutos[Desconto homologado],MATCH(tItens[[#This Row],[Produto]],tProdutos[Produto],0))),DescontoPadrao)</f>
        <v>0.33578431372549</v>
      </c>
      <c r="M4981" s="12">
        <f>tItens[[#This Row],[Valor]]*(1-tItens[[#This Row],[Desconto]])</f>
        <v>51.144607843137273</v>
      </c>
      <c r="N4981" t="str">
        <f>IFERROR(INDEX(tProdutos[Foco],MATCH(tItens[[#This Row],[Produto]],tProdutos[Produto],0)),"Não")</f>
        <v>Não</v>
      </c>
      <c r="O4981" t="str">
        <f>IFERROR(INDEX(tEditais[SRP],MATCH(tItens[[#This Row],[Edital]],tEditais[Edital],0)),"Não")</f>
        <v>Sim</v>
      </c>
      <c r="P4981" s="4">
        <f>IF(COUNTIFS(INDEX(tItens[Edital],1):tItens[[#This Row],[Edital]],tItens[[#This Row],[Edital]],INDEX(tItens[Produto],1):tItens[[#This Row],[Produto]],tItens[[#This Row],[Produto]])=1,1,0)</f>
        <v>1</v>
      </c>
    </row>
    <row r="4982" spans="1:16" x14ac:dyDescent="0.25">
      <c r="A4982" t="s">
        <v>1946</v>
      </c>
      <c r="B4982">
        <v>45</v>
      </c>
      <c r="C4982" t="s">
        <v>7791</v>
      </c>
      <c r="D4982" t="s">
        <v>611</v>
      </c>
      <c r="E4982" s="13">
        <v>2</v>
      </c>
      <c r="F4982" s="12">
        <v>346.18</v>
      </c>
      <c r="G4982" t="str">
        <f>IFERROR(INDEX(tEditais[Órgão],MATCH(tItens[[#This Row],[Edital]],tEditais[Edital],0)),"")</f>
        <v>MUNICIPIO DE ANGICAL DO PIAUI</v>
      </c>
      <c r="H4982" t="str">
        <f>IFERROR(INDEX(tEditais[UF],MATCH(tItens[[#This Row],[Edital]],tEditais[Edital],0)),"")</f>
        <v>PI</v>
      </c>
      <c r="I4982" s="11">
        <f>IFERROR(INDEX(tEditais[Encerramento],MATCH(tItens[[#This Row],[Edital]],tEditais[Edital],0)),"")</f>
        <v>46308.291666666664</v>
      </c>
      <c r="J4982" t="str">
        <f>IFERROR(INDEX(tProdutos[Classe],MATCH(tItens[[#This Row],[Produto]],tProdutos[Produto],0)),"produto não cadastrado")</f>
        <v>FILA REBASE</v>
      </c>
      <c r="K4982" s="12">
        <f>tItens[[#This Row],[Qtd]]*tItens[[#This Row],[Vlr unit]]</f>
        <v>692.36</v>
      </c>
      <c r="L4982" s="6">
        <f>IFERROR(IF(INDEX(tProdutos[Desconto homologado],MATCH(tItens[[#This Row],[Produto]],tProdutos[Produto],0))="",DescontoPadrao,INDEX(tProdutos[Desconto homologado],MATCH(tItens[[#This Row],[Produto]],tProdutos[Produto],0))),DescontoPadrao)</f>
        <v>0.3</v>
      </c>
      <c r="M4982" s="12">
        <f>tItens[[#This Row],[Valor]]*(1-tItens[[#This Row],[Desconto]])</f>
        <v>484.65199999999999</v>
      </c>
      <c r="N4982" t="str">
        <f>IFERROR(INDEX(tProdutos[Foco],MATCH(tItens[[#This Row],[Produto]],tProdutos[Produto],0)),"Não")</f>
        <v>Não</v>
      </c>
      <c r="O4982" t="str">
        <f>IFERROR(INDEX(tEditais[SRP],MATCH(tItens[[#This Row],[Edital]],tEditais[Edital],0)),"Não")</f>
        <v>Sim</v>
      </c>
      <c r="P4982" s="4">
        <f>IF(COUNTIFS(INDEX(tItens[Edital],1):tItens[[#This Row],[Edital]],tItens[[#This Row],[Edital]],INDEX(tItens[Produto],1):tItens[[#This Row],[Produto]],tItens[[#This Row],[Produto]])=1,1,0)</f>
        <v>1</v>
      </c>
    </row>
    <row r="4983" spans="1:16" x14ac:dyDescent="0.25">
      <c r="A4983" t="s">
        <v>1946</v>
      </c>
      <c r="B4983">
        <v>46</v>
      </c>
      <c r="C4983" t="s">
        <v>7792</v>
      </c>
      <c r="D4983" t="s">
        <v>383</v>
      </c>
      <c r="E4983" s="13">
        <v>4500</v>
      </c>
      <c r="F4983" s="12">
        <v>6.79</v>
      </c>
      <c r="G4983" t="str">
        <f>IFERROR(INDEX(tEditais[Órgão],MATCH(tItens[[#This Row],[Edital]],tEditais[Edital],0)),"")</f>
        <v>MUNICIPIO DE ANGICAL DO PIAUI</v>
      </c>
      <c r="H4983" t="str">
        <f>IFERROR(INDEX(tEditais[UF],MATCH(tItens[[#This Row],[Edital]],tEditais[Edital],0)),"")</f>
        <v>PI</v>
      </c>
      <c r="I4983" s="11">
        <f>IFERROR(INDEX(tEditais[Encerramento],MATCH(tItens[[#This Row],[Edital]],tEditais[Edital],0)),"")</f>
        <v>46308.291666666664</v>
      </c>
      <c r="J4983" t="str">
        <f>IFERROR(INDEX(tProdutos[Classe],MATCH(tItens[[#This Row],[Produto]],tProdutos[Produto],0)),"produto não cadastrado")</f>
        <v>FORA</v>
      </c>
      <c r="K4983" s="12">
        <f>tItens[[#This Row],[Qtd]]*tItens[[#This Row],[Vlr unit]]</f>
        <v>30555</v>
      </c>
      <c r="L4983" s="6">
        <f>IFERROR(IF(INDEX(tProdutos[Desconto homologado],MATCH(tItens[[#This Row],[Produto]],tProdutos[Produto],0))="",DescontoPadrao,INDEX(tProdutos[Desconto homologado],MATCH(tItens[[#This Row],[Produto]],tProdutos[Produto],0))),DescontoPadrao)</f>
        <v>0.48749999999999999</v>
      </c>
      <c r="M4983" s="12">
        <f>tItens[[#This Row],[Valor]]*(1-tItens[[#This Row],[Desconto]])</f>
        <v>15659.437499999998</v>
      </c>
      <c r="N4983" t="str">
        <f>IFERROR(INDEX(tProdutos[Foco],MATCH(tItens[[#This Row],[Produto]],tProdutos[Produto],0)),"Não")</f>
        <v>Não</v>
      </c>
      <c r="O4983" t="str">
        <f>IFERROR(INDEX(tEditais[SRP],MATCH(tItens[[#This Row],[Edital]],tEditais[Edital],0)),"Não")</f>
        <v>Sim</v>
      </c>
      <c r="P4983" s="4">
        <f>IF(COUNTIFS(INDEX(tItens[Edital],1):tItens[[#This Row],[Edital]],tItens[[#This Row],[Edital]],INDEX(tItens[Produto],1):tItens[[#This Row],[Produto]],tItens[[#This Row],[Produto]])=1,1,0)</f>
        <v>1</v>
      </c>
    </row>
    <row r="4984" spans="1:16" x14ac:dyDescent="0.25">
      <c r="A4984" t="s">
        <v>1946</v>
      </c>
      <c r="B4984">
        <v>55</v>
      </c>
      <c r="C4984" t="s">
        <v>7793</v>
      </c>
      <c r="D4984" t="s">
        <v>333</v>
      </c>
      <c r="E4984" s="13">
        <v>7000</v>
      </c>
      <c r="F4984" s="12">
        <v>1.61</v>
      </c>
      <c r="G4984" t="str">
        <f>IFERROR(INDEX(tEditais[Órgão],MATCH(tItens[[#This Row],[Edital]],tEditais[Edital],0)),"")</f>
        <v>MUNICIPIO DE ANGICAL DO PIAUI</v>
      </c>
      <c r="H4984" t="str">
        <f>IFERROR(INDEX(tEditais[UF],MATCH(tItens[[#This Row],[Edital]],tEditais[Edital],0)),"")</f>
        <v>PI</v>
      </c>
      <c r="I4984" s="11">
        <f>IFERROR(INDEX(tEditais[Encerramento],MATCH(tItens[[#This Row],[Edital]],tEditais[Edital],0)),"")</f>
        <v>46308.291666666664</v>
      </c>
      <c r="J4984" t="str">
        <f>IFERROR(INDEX(tProdutos[Classe],MATCH(tItens[[#This Row],[Produto]],tProdutos[Produto],0)),"produto não cadastrado")</f>
        <v>FORA</v>
      </c>
      <c r="K4984" s="12">
        <f>tItens[[#This Row],[Qtd]]*tItens[[#This Row],[Vlr unit]]</f>
        <v>11270</v>
      </c>
      <c r="L4984" s="6">
        <f>IFERROR(IF(INDEX(tProdutos[Desconto homologado],MATCH(tItens[[#This Row],[Produto]],tProdutos[Produto],0))="",DescontoPadrao,INDEX(tProdutos[Desconto homologado],MATCH(tItens[[#This Row],[Produto]],tProdutos[Produto],0))),DescontoPadrao)</f>
        <v>0.48951048951048998</v>
      </c>
      <c r="M4984" s="12">
        <f>tItens[[#This Row],[Valor]]*(1-tItens[[#This Row],[Desconto]])</f>
        <v>5753.216783216777</v>
      </c>
      <c r="N4984" t="str">
        <f>IFERROR(INDEX(tProdutos[Foco],MATCH(tItens[[#This Row],[Produto]],tProdutos[Produto],0)),"Não")</f>
        <v>Não</v>
      </c>
      <c r="O4984" t="str">
        <f>IFERROR(INDEX(tEditais[SRP],MATCH(tItens[[#This Row],[Edital]],tEditais[Edital],0)),"Não")</f>
        <v>Sim</v>
      </c>
      <c r="P4984" s="4">
        <f>IF(COUNTIFS(INDEX(tItens[Edital],1):tItens[[#This Row],[Edital]],tItens[[#This Row],[Edital]],INDEX(tItens[Produto],1):tItens[[#This Row],[Produto]],tItens[[#This Row],[Produto]])=1,1,0)</f>
        <v>1</v>
      </c>
    </row>
    <row r="4985" spans="1:16" x14ac:dyDescent="0.25">
      <c r="A4985" t="s">
        <v>1946</v>
      </c>
      <c r="B4985">
        <v>56</v>
      </c>
      <c r="C4985" t="s">
        <v>7794</v>
      </c>
      <c r="D4985" t="s">
        <v>187</v>
      </c>
      <c r="E4985" s="13">
        <v>6240</v>
      </c>
      <c r="F4985" s="12">
        <v>3.34</v>
      </c>
      <c r="G4985" t="str">
        <f>IFERROR(INDEX(tEditais[Órgão],MATCH(tItens[[#This Row],[Edital]],tEditais[Edital],0)),"")</f>
        <v>MUNICIPIO DE ANGICAL DO PIAUI</v>
      </c>
      <c r="H4985" t="str">
        <f>IFERROR(INDEX(tEditais[UF],MATCH(tItens[[#This Row],[Edital]],tEditais[Edital],0)),"")</f>
        <v>PI</v>
      </c>
      <c r="I4985" s="11">
        <f>IFERROR(INDEX(tEditais[Encerramento],MATCH(tItens[[#This Row],[Edital]],tEditais[Edital],0)),"")</f>
        <v>46308.291666666664</v>
      </c>
      <c r="J4985" t="str">
        <f>IFERROR(INDEX(tProdutos[Classe],MATCH(tItens[[#This Row],[Produto]],tProdutos[Produto],0)),"produto não cadastrado")</f>
        <v>DISPUTADO</v>
      </c>
      <c r="K4985" s="12">
        <f>tItens[[#This Row],[Qtd]]*tItens[[#This Row],[Vlr unit]]</f>
        <v>20841.599999999999</v>
      </c>
      <c r="L4985" s="6">
        <f>IFERROR(IF(INDEX(tProdutos[Desconto homologado],MATCH(tItens[[#This Row],[Produto]],tProdutos[Produto],0))="",DescontoPadrao,INDEX(tProdutos[Desconto homologado],MATCH(tItens[[#This Row],[Produto]],tProdutos[Produto],0))),DescontoPadrao)</f>
        <v>0.44298820445609399</v>
      </c>
      <c r="M4985" s="12">
        <f>tItens[[#This Row],[Valor]]*(1-tItens[[#This Row],[Desconto]])</f>
        <v>11609.017038007871</v>
      </c>
      <c r="N4985" t="str">
        <f>IFERROR(INDEX(tProdutos[Foco],MATCH(tItens[[#This Row],[Produto]],tProdutos[Produto],0)),"Não")</f>
        <v>Não</v>
      </c>
      <c r="O4985" t="str">
        <f>IFERROR(INDEX(tEditais[SRP],MATCH(tItens[[#This Row],[Edital]],tEditais[Edital],0)),"Não")</f>
        <v>Sim</v>
      </c>
      <c r="P4985" s="4">
        <f>IF(COUNTIFS(INDEX(tItens[Edital],1):tItens[[#This Row],[Edital]],tItens[[#This Row],[Edital]],INDEX(tItens[Produto],1):tItens[[#This Row],[Produto]],tItens[[#This Row],[Produto]])=1,1,0)</f>
        <v>1</v>
      </c>
    </row>
    <row r="4986" spans="1:16" x14ac:dyDescent="0.25">
      <c r="A4986" t="s">
        <v>1946</v>
      </c>
      <c r="B4986">
        <v>57</v>
      </c>
      <c r="C4986" t="s">
        <v>7795</v>
      </c>
      <c r="D4986" t="s">
        <v>229</v>
      </c>
      <c r="E4986" s="13">
        <v>5</v>
      </c>
      <c r="F4986" s="12">
        <v>38.58</v>
      </c>
      <c r="G4986" t="str">
        <f>IFERROR(INDEX(tEditais[Órgão],MATCH(tItens[[#This Row],[Edital]],tEditais[Edital],0)),"")</f>
        <v>MUNICIPIO DE ANGICAL DO PIAUI</v>
      </c>
      <c r="H4986" t="str">
        <f>IFERROR(INDEX(tEditais[UF],MATCH(tItens[[#This Row],[Edital]],tEditais[Edital],0)),"")</f>
        <v>PI</v>
      </c>
      <c r="I4986" s="11">
        <f>IFERROR(INDEX(tEditais[Encerramento],MATCH(tItens[[#This Row],[Edital]],tEditais[Edital],0)),"")</f>
        <v>46308.291666666664</v>
      </c>
      <c r="J4986" t="str">
        <f>IFERROR(INDEX(tProdutos[Classe],MATCH(tItens[[#This Row],[Produto]],tProdutos[Produto],0)),"produto não cadastrado")</f>
        <v>FORA</v>
      </c>
      <c r="K4986" s="12">
        <f>tItens[[#This Row],[Qtd]]*tItens[[#This Row],[Vlr unit]]</f>
        <v>192.89999999999998</v>
      </c>
      <c r="L4986" s="6">
        <f>IFERROR(IF(INDEX(tProdutos[Desconto homologado],MATCH(tItens[[#This Row],[Produto]],tProdutos[Produto],0))="",DescontoPadrao,INDEX(tProdutos[Desconto homologado],MATCH(tItens[[#This Row],[Produto]],tProdutos[Produto],0))),DescontoPadrao)</f>
        <v>0.33093491191658198</v>
      </c>
      <c r="M4986" s="12">
        <f>tItens[[#This Row],[Valor]]*(1-tItens[[#This Row],[Desconto]])</f>
        <v>129.06265549129131</v>
      </c>
      <c r="N4986" t="str">
        <f>IFERROR(INDEX(tProdutos[Foco],MATCH(tItens[[#This Row],[Produto]],tProdutos[Produto],0)),"Não")</f>
        <v>Não</v>
      </c>
      <c r="O4986" t="str">
        <f>IFERROR(INDEX(tEditais[SRP],MATCH(tItens[[#This Row],[Edital]],tEditais[Edital],0)),"Não")</f>
        <v>Sim</v>
      </c>
      <c r="P4986" s="4">
        <f>IF(COUNTIFS(INDEX(tItens[Edital],1):tItens[[#This Row],[Edital]],tItens[[#This Row],[Edital]],INDEX(tItens[Produto],1):tItens[[#This Row],[Produto]],tItens[[#This Row],[Produto]])=1,1,0)</f>
        <v>1</v>
      </c>
    </row>
    <row r="4987" spans="1:16" x14ac:dyDescent="0.25">
      <c r="A4987" t="s">
        <v>1946</v>
      </c>
      <c r="B4987">
        <v>59</v>
      </c>
      <c r="C4987" t="s">
        <v>7796</v>
      </c>
      <c r="D4987" t="s">
        <v>90</v>
      </c>
      <c r="E4987" s="13">
        <v>700</v>
      </c>
      <c r="F4987" s="12">
        <v>17.920000000000002</v>
      </c>
      <c r="G4987" t="str">
        <f>IFERROR(INDEX(tEditais[Órgão],MATCH(tItens[[#This Row],[Edital]],tEditais[Edital],0)),"")</f>
        <v>MUNICIPIO DE ANGICAL DO PIAUI</v>
      </c>
      <c r="H4987" t="str">
        <f>IFERROR(INDEX(tEditais[UF],MATCH(tItens[[#This Row],[Edital]],tEditais[Edital],0)),"")</f>
        <v>PI</v>
      </c>
      <c r="I4987" s="11">
        <f>IFERROR(INDEX(tEditais[Encerramento],MATCH(tItens[[#This Row],[Edital]],tEditais[Edital],0)),"")</f>
        <v>46308.291666666664</v>
      </c>
      <c r="J4987" t="str">
        <f>IFERROR(INDEX(tProdutos[Classe],MATCH(tItens[[#This Row],[Produto]],tProdutos[Produto],0)),"produto não cadastrado")</f>
        <v>DISPUTADO</v>
      </c>
      <c r="K4987" s="12">
        <f>tItens[[#This Row],[Qtd]]*tItens[[#This Row],[Vlr unit]]</f>
        <v>12544.000000000002</v>
      </c>
      <c r="L4987" s="6">
        <f>IFERROR(IF(INDEX(tProdutos[Desconto homologado],MATCH(tItens[[#This Row],[Produto]],tProdutos[Produto],0))="",DescontoPadrao,INDEX(tProdutos[Desconto homologado],MATCH(tItens[[#This Row],[Produto]],tProdutos[Produto],0))),DescontoPadrao)</f>
        <v>0.25393823957010597</v>
      </c>
      <c r="M4987" s="12">
        <f>tItens[[#This Row],[Valor]]*(1-tItens[[#This Row],[Desconto]])</f>
        <v>9358.5987228325921</v>
      </c>
      <c r="N4987" t="str">
        <f>IFERROR(INDEX(tProdutos[Foco],MATCH(tItens[[#This Row],[Produto]],tProdutos[Produto],0)),"Não")</f>
        <v>Não</v>
      </c>
      <c r="O4987" t="str">
        <f>IFERROR(INDEX(tEditais[SRP],MATCH(tItens[[#This Row],[Edital]],tEditais[Edital],0)),"Não")</f>
        <v>Sim</v>
      </c>
      <c r="P4987" s="4">
        <f>IF(COUNTIFS(INDEX(tItens[Edital],1):tItens[[#This Row],[Edital]],tItens[[#This Row],[Edital]],INDEX(tItens[Produto],1):tItens[[#This Row],[Produto]],tItens[[#This Row],[Produto]])=1,1,0)</f>
        <v>1</v>
      </c>
    </row>
    <row r="4988" spans="1:16" x14ac:dyDescent="0.25">
      <c r="A4988" t="s">
        <v>1946</v>
      </c>
      <c r="B4988">
        <v>60</v>
      </c>
      <c r="C4988" t="s">
        <v>7797</v>
      </c>
      <c r="D4988" t="s">
        <v>233</v>
      </c>
      <c r="E4988" s="13">
        <v>15</v>
      </c>
      <c r="F4988" s="12">
        <v>17.73</v>
      </c>
      <c r="G4988" t="str">
        <f>IFERROR(INDEX(tEditais[Órgão],MATCH(tItens[[#This Row],[Edital]],tEditais[Edital],0)),"")</f>
        <v>MUNICIPIO DE ANGICAL DO PIAUI</v>
      </c>
      <c r="H4988" t="str">
        <f>IFERROR(INDEX(tEditais[UF],MATCH(tItens[[#This Row],[Edital]],tEditais[Edital],0)),"")</f>
        <v>PI</v>
      </c>
      <c r="I4988" s="11">
        <f>IFERROR(INDEX(tEditais[Encerramento],MATCH(tItens[[#This Row],[Edital]],tEditais[Edital],0)),"")</f>
        <v>46308.291666666664</v>
      </c>
      <c r="J4988" t="str">
        <f>IFERROR(INDEX(tProdutos[Classe],MATCH(tItens[[#This Row],[Produto]],tProdutos[Produto],0)),"produto não cadastrado")</f>
        <v>FORA</v>
      </c>
      <c r="K4988" s="12">
        <f>tItens[[#This Row],[Qtd]]*tItens[[#This Row],[Vlr unit]]</f>
        <v>265.95</v>
      </c>
      <c r="L4988" s="6">
        <f>IFERROR(IF(INDEX(tProdutos[Desconto homologado],MATCH(tItens[[#This Row],[Produto]],tProdutos[Produto],0))="",DescontoPadrao,INDEX(tProdutos[Desconto homologado],MATCH(tItens[[#This Row],[Produto]],tProdutos[Produto],0))),DescontoPadrao)</f>
        <v>0.246270084162204</v>
      </c>
      <c r="M4988" s="12">
        <f>tItens[[#This Row],[Valor]]*(1-tItens[[#This Row],[Desconto]])</f>
        <v>200.45447111706184</v>
      </c>
      <c r="N4988" t="str">
        <f>IFERROR(INDEX(tProdutos[Foco],MATCH(tItens[[#This Row],[Produto]],tProdutos[Produto],0)),"Não")</f>
        <v>Não</v>
      </c>
      <c r="O4988" t="str">
        <f>IFERROR(INDEX(tEditais[SRP],MATCH(tItens[[#This Row],[Edital]],tEditais[Edital],0)),"Não")</f>
        <v>Sim</v>
      </c>
      <c r="P4988" s="4">
        <f>IF(COUNTIFS(INDEX(tItens[Edital],1):tItens[[#This Row],[Edital]],tItens[[#This Row],[Edital]],INDEX(tItens[Produto],1):tItens[[#This Row],[Produto]],tItens[[#This Row],[Produto]])=1,1,0)</f>
        <v>1</v>
      </c>
    </row>
    <row r="4989" spans="1:16" x14ac:dyDescent="0.25">
      <c r="A4989" t="s">
        <v>1946</v>
      </c>
      <c r="B4989">
        <v>71</v>
      </c>
      <c r="C4989" t="s">
        <v>7798</v>
      </c>
      <c r="D4989" t="s">
        <v>142</v>
      </c>
      <c r="E4989" s="13">
        <v>80</v>
      </c>
      <c r="F4989" s="12">
        <v>10.85</v>
      </c>
      <c r="G4989" t="str">
        <f>IFERROR(INDEX(tEditais[Órgão],MATCH(tItens[[#This Row],[Edital]],tEditais[Edital],0)),"")</f>
        <v>MUNICIPIO DE ANGICAL DO PIAUI</v>
      </c>
      <c r="H4989" t="str">
        <f>IFERROR(INDEX(tEditais[UF],MATCH(tItens[[#This Row],[Edital]],tEditais[Edital],0)),"")</f>
        <v>PI</v>
      </c>
      <c r="I4989" s="11">
        <f>IFERROR(INDEX(tEditais[Encerramento],MATCH(tItens[[#This Row],[Edital]],tEditais[Edital],0)),"")</f>
        <v>46308.291666666664</v>
      </c>
      <c r="J4989" t="str">
        <f>IFERROR(INDEX(tProdutos[Classe],MATCH(tItens[[#This Row],[Produto]],tProdutos[Produto],0)),"produto não cadastrado")</f>
        <v>DISPUTADO</v>
      </c>
      <c r="K4989" s="12">
        <f>tItens[[#This Row],[Qtd]]*tItens[[#This Row],[Vlr unit]]</f>
        <v>868</v>
      </c>
      <c r="L4989" s="6">
        <f>IFERROR(IF(INDEX(tProdutos[Desconto homologado],MATCH(tItens[[#This Row],[Produto]],tProdutos[Produto],0))="",DescontoPadrao,INDEX(tProdutos[Desconto homologado],MATCH(tItens[[#This Row],[Produto]],tProdutos[Produto],0))),DescontoPadrao)</f>
        <v>0.37093619495691699</v>
      </c>
      <c r="M4989" s="12">
        <f>tItens[[#This Row],[Valor]]*(1-tItens[[#This Row],[Desconto]])</f>
        <v>546.02738277739604</v>
      </c>
      <c r="N4989" t="str">
        <f>IFERROR(INDEX(tProdutos[Foco],MATCH(tItens[[#This Row],[Produto]],tProdutos[Produto],0)),"Não")</f>
        <v>Não</v>
      </c>
      <c r="O4989" t="str">
        <f>IFERROR(INDEX(tEditais[SRP],MATCH(tItens[[#This Row],[Edital]],tEditais[Edital],0)),"Não")</f>
        <v>Sim</v>
      </c>
      <c r="P4989" s="4">
        <f>IF(COUNTIFS(INDEX(tItens[Edital],1):tItens[[#This Row],[Edital]],tItens[[#This Row],[Edital]],INDEX(tItens[Produto],1):tItens[[#This Row],[Produto]],tItens[[#This Row],[Produto]])=1,1,0)</f>
        <v>1</v>
      </c>
    </row>
    <row r="4990" spans="1:16" x14ac:dyDescent="0.25">
      <c r="A4990" t="s">
        <v>1946</v>
      </c>
      <c r="B4990">
        <v>73</v>
      </c>
      <c r="C4990" t="s">
        <v>7799</v>
      </c>
      <c r="D4990" t="s">
        <v>77</v>
      </c>
      <c r="E4990" s="13">
        <v>250</v>
      </c>
      <c r="F4990" s="12">
        <v>11.44</v>
      </c>
      <c r="G4990" t="str">
        <f>IFERROR(INDEX(tEditais[Órgão],MATCH(tItens[[#This Row],[Edital]],tEditais[Edital],0)),"")</f>
        <v>MUNICIPIO DE ANGICAL DO PIAUI</v>
      </c>
      <c r="H4990" t="str">
        <f>IFERROR(INDEX(tEditais[UF],MATCH(tItens[[#This Row],[Edital]],tEditais[Edital],0)),"")</f>
        <v>PI</v>
      </c>
      <c r="I4990" s="11">
        <f>IFERROR(INDEX(tEditais[Encerramento],MATCH(tItens[[#This Row],[Edital]],tEditais[Edital],0)),"")</f>
        <v>46308.291666666664</v>
      </c>
      <c r="J4990" t="str">
        <f>IFERROR(INDEX(tProdutos[Classe],MATCH(tItens[[#This Row],[Produto]],tProdutos[Produto],0)),"produto não cadastrado")</f>
        <v>DISPUTADO</v>
      </c>
      <c r="K4990" s="12">
        <f>tItens[[#This Row],[Qtd]]*tItens[[#This Row],[Vlr unit]]</f>
        <v>2860</v>
      </c>
      <c r="L4990" s="6">
        <f>IFERROR(IF(INDEX(tProdutos[Desconto homologado],MATCH(tItens[[#This Row],[Produto]],tProdutos[Produto],0))="",DescontoPadrao,INDEX(tProdutos[Desconto homologado],MATCH(tItens[[#This Row],[Produto]],tProdutos[Produto],0))),DescontoPadrao)</f>
        <v>0.33</v>
      </c>
      <c r="M4990" s="12">
        <f>tItens[[#This Row],[Valor]]*(1-tItens[[#This Row],[Desconto]])</f>
        <v>1916.1999999999998</v>
      </c>
      <c r="N4990" t="str">
        <f>IFERROR(INDEX(tProdutos[Foco],MATCH(tItens[[#This Row],[Produto]],tProdutos[Produto],0)),"Não")</f>
        <v>Sim</v>
      </c>
      <c r="O4990" t="str">
        <f>IFERROR(INDEX(tEditais[SRP],MATCH(tItens[[#This Row],[Edital]],tEditais[Edital],0)),"Não")</f>
        <v>Sim</v>
      </c>
      <c r="P4990" s="4">
        <f>IF(COUNTIFS(INDEX(tItens[Edital],1):tItens[[#This Row],[Edital]],tItens[[#This Row],[Edital]],INDEX(tItens[Produto],1):tItens[[#This Row],[Produto]],tItens[[#This Row],[Produto]])=1,1,0)</f>
        <v>1</v>
      </c>
    </row>
    <row r="4991" spans="1:16" x14ac:dyDescent="0.25">
      <c r="A4991" t="s">
        <v>1946</v>
      </c>
      <c r="B4991">
        <v>74</v>
      </c>
      <c r="C4991" t="s">
        <v>7800</v>
      </c>
      <c r="D4991" t="s">
        <v>77</v>
      </c>
      <c r="E4991" s="13">
        <v>250</v>
      </c>
      <c r="F4991" s="12">
        <v>7.91</v>
      </c>
      <c r="G4991" t="str">
        <f>IFERROR(INDEX(tEditais[Órgão],MATCH(tItens[[#This Row],[Edital]],tEditais[Edital],0)),"")</f>
        <v>MUNICIPIO DE ANGICAL DO PIAUI</v>
      </c>
      <c r="H4991" t="str">
        <f>IFERROR(INDEX(tEditais[UF],MATCH(tItens[[#This Row],[Edital]],tEditais[Edital],0)),"")</f>
        <v>PI</v>
      </c>
      <c r="I4991" s="11">
        <f>IFERROR(INDEX(tEditais[Encerramento],MATCH(tItens[[#This Row],[Edital]],tEditais[Edital],0)),"")</f>
        <v>46308.291666666664</v>
      </c>
      <c r="J4991" t="str">
        <f>IFERROR(INDEX(tProdutos[Classe],MATCH(tItens[[#This Row],[Produto]],tProdutos[Produto],0)),"produto não cadastrado")</f>
        <v>DISPUTADO</v>
      </c>
      <c r="K4991" s="12">
        <f>tItens[[#This Row],[Qtd]]*tItens[[#This Row],[Vlr unit]]</f>
        <v>1977.5</v>
      </c>
      <c r="L4991" s="6">
        <f>IFERROR(IF(INDEX(tProdutos[Desconto homologado],MATCH(tItens[[#This Row],[Produto]],tProdutos[Produto],0))="",DescontoPadrao,INDEX(tProdutos[Desconto homologado],MATCH(tItens[[#This Row],[Produto]],tProdutos[Produto],0))),DescontoPadrao)</f>
        <v>0.33</v>
      </c>
      <c r="M4991" s="12">
        <f>tItens[[#This Row],[Valor]]*(1-tItens[[#This Row],[Desconto]])</f>
        <v>1324.925</v>
      </c>
      <c r="N4991" t="str">
        <f>IFERROR(INDEX(tProdutos[Foco],MATCH(tItens[[#This Row],[Produto]],tProdutos[Produto],0)),"Não")</f>
        <v>Sim</v>
      </c>
      <c r="O4991" t="str">
        <f>IFERROR(INDEX(tEditais[SRP],MATCH(tItens[[#This Row],[Edital]],tEditais[Edital],0)),"Não")</f>
        <v>Sim</v>
      </c>
      <c r="P4991" s="4">
        <f>IF(COUNTIFS(INDEX(tItens[Edital],1):tItens[[#This Row],[Edital]],tItens[[#This Row],[Edital]],INDEX(tItens[Produto],1):tItens[[#This Row],[Produto]],tItens[[#This Row],[Produto]])=1,1,0)</f>
        <v>0</v>
      </c>
    </row>
    <row r="4992" spans="1:16" x14ac:dyDescent="0.25">
      <c r="A4992" t="s">
        <v>1946</v>
      </c>
      <c r="B4992">
        <v>80</v>
      </c>
      <c r="C4992" t="s">
        <v>7801</v>
      </c>
      <c r="D4992" t="s">
        <v>56</v>
      </c>
      <c r="E4992" s="13">
        <v>60</v>
      </c>
      <c r="F4992" s="12">
        <v>45.43</v>
      </c>
      <c r="G4992" t="str">
        <f>IFERROR(INDEX(tEditais[Órgão],MATCH(tItens[[#This Row],[Edital]],tEditais[Edital],0)),"")</f>
        <v>MUNICIPIO DE ANGICAL DO PIAUI</v>
      </c>
      <c r="H4992" t="str">
        <f>IFERROR(INDEX(tEditais[UF],MATCH(tItens[[#This Row],[Edital]],tEditais[Edital],0)),"")</f>
        <v>PI</v>
      </c>
      <c r="I4992" s="11">
        <f>IFERROR(INDEX(tEditais[Encerramento],MATCH(tItens[[#This Row],[Edital]],tEditais[Edital],0)),"")</f>
        <v>46308.291666666664</v>
      </c>
      <c r="J4992" t="str">
        <f>IFERROR(INDEX(tProdutos[Classe],MATCH(tItens[[#This Row],[Produto]],tProdutos[Produto],0)),"produto não cadastrado")</f>
        <v>NÚCLEO</v>
      </c>
      <c r="K4992" s="12">
        <f>tItens[[#This Row],[Qtd]]*tItens[[#This Row],[Vlr unit]]</f>
        <v>2725.8</v>
      </c>
      <c r="L4992" s="6">
        <f>IFERROR(IF(INDEX(tProdutos[Desconto homologado],MATCH(tItens[[#This Row],[Produto]],tProdutos[Produto],0))="",DescontoPadrao,INDEX(tProdutos[Desconto homologado],MATCH(tItens[[#This Row],[Produto]],tProdutos[Produto],0))),DescontoPadrao)</f>
        <v>0.34</v>
      </c>
      <c r="M4992" s="12">
        <f>tItens[[#This Row],[Valor]]*(1-tItens[[#This Row],[Desconto]])</f>
        <v>1799.0279999999998</v>
      </c>
      <c r="N4992" t="str">
        <f>IFERROR(INDEX(tProdutos[Foco],MATCH(tItens[[#This Row],[Produto]],tProdutos[Produto],0)),"Não")</f>
        <v>Sim</v>
      </c>
      <c r="O4992" t="str">
        <f>IFERROR(INDEX(tEditais[SRP],MATCH(tItens[[#This Row],[Edital]],tEditais[Edital],0)),"Não")</f>
        <v>Sim</v>
      </c>
      <c r="P4992" s="4">
        <f>IF(COUNTIFS(INDEX(tItens[Edital],1):tItens[[#This Row],[Edital]],tItens[[#This Row],[Edital]],INDEX(tItens[Produto],1):tItens[[#This Row],[Produto]],tItens[[#This Row],[Produto]])=1,1,0)</f>
        <v>1</v>
      </c>
    </row>
    <row r="4993" spans="1:16" x14ac:dyDescent="0.25">
      <c r="A4993" t="s">
        <v>1946</v>
      </c>
      <c r="B4993">
        <v>81</v>
      </c>
      <c r="C4993" t="s">
        <v>7802</v>
      </c>
      <c r="D4993" t="s">
        <v>56</v>
      </c>
      <c r="E4993" s="13">
        <v>60</v>
      </c>
      <c r="F4993" s="12">
        <v>45.3</v>
      </c>
      <c r="G4993" t="str">
        <f>IFERROR(INDEX(tEditais[Órgão],MATCH(tItens[[#This Row],[Edital]],tEditais[Edital],0)),"")</f>
        <v>MUNICIPIO DE ANGICAL DO PIAUI</v>
      </c>
      <c r="H4993" t="str">
        <f>IFERROR(INDEX(tEditais[UF],MATCH(tItens[[#This Row],[Edital]],tEditais[Edital],0)),"")</f>
        <v>PI</v>
      </c>
      <c r="I4993" s="11">
        <f>IFERROR(INDEX(tEditais[Encerramento],MATCH(tItens[[#This Row],[Edital]],tEditais[Edital],0)),"")</f>
        <v>46308.291666666664</v>
      </c>
      <c r="J4993" t="str">
        <f>IFERROR(INDEX(tProdutos[Classe],MATCH(tItens[[#This Row],[Produto]],tProdutos[Produto],0)),"produto não cadastrado")</f>
        <v>NÚCLEO</v>
      </c>
      <c r="K4993" s="12">
        <f>tItens[[#This Row],[Qtd]]*tItens[[#This Row],[Vlr unit]]</f>
        <v>2718</v>
      </c>
      <c r="L4993" s="6">
        <f>IFERROR(IF(INDEX(tProdutos[Desconto homologado],MATCH(tItens[[#This Row],[Produto]],tProdutos[Produto],0))="",DescontoPadrao,INDEX(tProdutos[Desconto homologado],MATCH(tItens[[#This Row],[Produto]],tProdutos[Produto],0))),DescontoPadrao)</f>
        <v>0.34</v>
      </c>
      <c r="M4993" s="12">
        <f>tItens[[#This Row],[Valor]]*(1-tItens[[#This Row],[Desconto]])</f>
        <v>1793.8799999999999</v>
      </c>
      <c r="N4993" t="str">
        <f>IFERROR(INDEX(tProdutos[Foco],MATCH(tItens[[#This Row],[Produto]],tProdutos[Produto],0)),"Não")</f>
        <v>Sim</v>
      </c>
      <c r="O4993" t="str">
        <f>IFERROR(INDEX(tEditais[SRP],MATCH(tItens[[#This Row],[Edital]],tEditais[Edital],0)),"Não")</f>
        <v>Sim</v>
      </c>
      <c r="P4993" s="4">
        <f>IF(COUNTIFS(INDEX(tItens[Edital],1):tItens[[#This Row],[Edital]],tItens[[#This Row],[Edital]],INDEX(tItens[Produto],1):tItens[[#This Row],[Produto]],tItens[[#This Row],[Produto]])=1,1,0)</f>
        <v>0</v>
      </c>
    </row>
    <row r="4994" spans="1:16" x14ac:dyDescent="0.25">
      <c r="A4994" t="s">
        <v>1946</v>
      </c>
      <c r="B4994">
        <v>82</v>
      </c>
      <c r="C4994" t="s">
        <v>7803</v>
      </c>
      <c r="D4994" t="s">
        <v>56</v>
      </c>
      <c r="E4994" s="13">
        <v>60</v>
      </c>
      <c r="F4994" s="12">
        <v>45.43</v>
      </c>
      <c r="G4994" t="str">
        <f>IFERROR(INDEX(tEditais[Órgão],MATCH(tItens[[#This Row],[Edital]],tEditais[Edital],0)),"")</f>
        <v>MUNICIPIO DE ANGICAL DO PIAUI</v>
      </c>
      <c r="H4994" t="str">
        <f>IFERROR(INDEX(tEditais[UF],MATCH(tItens[[#This Row],[Edital]],tEditais[Edital],0)),"")</f>
        <v>PI</v>
      </c>
      <c r="I4994" s="11">
        <f>IFERROR(INDEX(tEditais[Encerramento],MATCH(tItens[[#This Row],[Edital]],tEditais[Edital],0)),"")</f>
        <v>46308.291666666664</v>
      </c>
      <c r="J4994" t="str">
        <f>IFERROR(INDEX(tProdutos[Classe],MATCH(tItens[[#This Row],[Produto]],tProdutos[Produto],0)),"produto não cadastrado")</f>
        <v>NÚCLEO</v>
      </c>
      <c r="K4994" s="12">
        <f>tItens[[#This Row],[Qtd]]*tItens[[#This Row],[Vlr unit]]</f>
        <v>2725.8</v>
      </c>
      <c r="L4994" s="6">
        <f>IFERROR(IF(INDEX(tProdutos[Desconto homologado],MATCH(tItens[[#This Row],[Produto]],tProdutos[Produto],0))="",DescontoPadrao,INDEX(tProdutos[Desconto homologado],MATCH(tItens[[#This Row],[Produto]],tProdutos[Produto],0))),DescontoPadrao)</f>
        <v>0.34</v>
      </c>
      <c r="M4994" s="12">
        <f>tItens[[#This Row],[Valor]]*(1-tItens[[#This Row],[Desconto]])</f>
        <v>1799.0279999999998</v>
      </c>
      <c r="N4994" t="str">
        <f>IFERROR(INDEX(tProdutos[Foco],MATCH(tItens[[#This Row],[Produto]],tProdutos[Produto],0)),"Não")</f>
        <v>Sim</v>
      </c>
      <c r="O4994" t="str">
        <f>IFERROR(INDEX(tEditais[SRP],MATCH(tItens[[#This Row],[Edital]],tEditais[Edital],0)),"Não")</f>
        <v>Sim</v>
      </c>
      <c r="P4994" s="4">
        <f>IF(COUNTIFS(INDEX(tItens[Edital],1):tItens[[#This Row],[Edital]],tItens[[#This Row],[Edital]],INDEX(tItens[Produto],1):tItens[[#This Row],[Produto]],tItens[[#This Row],[Produto]])=1,1,0)</f>
        <v>0</v>
      </c>
    </row>
    <row r="4995" spans="1:16" x14ac:dyDescent="0.25">
      <c r="A4995" t="s">
        <v>1946</v>
      </c>
      <c r="B4995">
        <v>84</v>
      </c>
      <c r="C4995" t="s">
        <v>7804</v>
      </c>
      <c r="D4995" t="s">
        <v>277</v>
      </c>
      <c r="E4995" s="13">
        <v>350</v>
      </c>
      <c r="F4995" s="12">
        <v>16.21</v>
      </c>
      <c r="G4995" t="str">
        <f>IFERROR(INDEX(tEditais[Órgão],MATCH(tItens[[#This Row],[Edital]],tEditais[Edital],0)),"")</f>
        <v>MUNICIPIO DE ANGICAL DO PIAUI</v>
      </c>
      <c r="H4995" t="str">
        <f>IFERROR(INDEX(tEditais[UF],MATCH(tItens[[#This Row],[Edital]],tEditais[Edital],0)),"")</f>
        <v>PI</v>
      </c>
      <c r="I4995" s="11">
        <f>IFERROR(INDEX(tEditais[Encerramento],MATCH(tItens[[#This Row],[Edital]],tEditais[Edital],0)),"")</f>
        <v>46308.291666666664</v>
      </c>
      <c r="J4995" t="str">
        <f>IFERROR(INDEX(tProdutos[Classe],MATCH(tItens[[#This Row],[Produto]],tProdutos[Produto],0)),"produto não cadastrado")</f>
        <v>DISPUTADO</v>
      </c>
      <c r="K4995" s="12">
        <f>tItens[[#This Row],[Qtd]]*tItens[[#This Row],[Vlr unit]]</f>
        <v>5673.5</v>
      </c>
      <c r="L4995" s="6">
        <f>IFERROR(IF(INDEX(tProdutos[Desconto homologado],MATCH(tItens[[#This Row],[Produto]],tProdutos[Produto],0))="",DescontoPadrao,INDEX(tProdutos[Desconto homologado],MATCH(tItens[[#This Row],[Produto]],tProdutos[Produto],0))),DescontoPadrao)</f>
        <v>0.50460666194188497</v>
      </c>
      <c r="M4995" s="12">
        <f>tItens[[#This Row],[Valor]]*(1-tItens[[#This Row],[Desconto]])</f>
        <v>2810.6141034727157</v>
      </c>
      <c r="N4995" t="str">
        <f>IFERROR(INDEX(tProdutos[Foco],MATCH(tItens[[#This Row],[Produto]],tProdutos[Produto],0)),"Não")</f>
        <v>Não</v>
      </c>
      <c r="O4995" t="str">
        <f>IFERROR(INDEX(tEditais[SRP],MATCH(tItens[[#This Row],[Edital]],tEditais[Edital],0)),"Não")</f>
        <v>Sim</v>
      </c>
      <c r="P4995" s="4">
        <f>IF(COUNTIFS(INDEX(tItens[Edital],1):tItens[[#This Row],[Edital]],tItens[[#This Row],[Edital]],INDEX(tItens[Produto],1):tItens[[#This Row],[Produto]],tItens[[#This Row],[Produto]])=1,1,0)</f>
        <v>1</v>
      </c>
    </row>
    <row r="4996" spans="1:16" x14ac:dyDescent="0.25">
      <c r="A4996" t="s">
        <v>1946</v>
      </c>
      <c r="B4996">
        <v>85</v>
      </c>
      <c r="C4996" t="s">
        <v>7805</v>
      </c>
      <c r="D4996" t="s">
        <v>267</v>
      </c>
      <c r="E4996" s="13">
        <v>150</v>
      </c>
      <c r="F4996" s="12">
        <v>22.98</v>
      </c>
      <c r="G4996" t="str">
        <f>IFERROR(INDEX(tEditais[Órgão],MATCH(tItens[[#This Row],[Edital]],tEditais[Edital],0)),"")</f>
        <v>MUNICIPIO DE ANGICAL DO PIAUI</v>
      </c>
      <c r="H4996" t="str">
        <f>IFERROR(INDEX(tEditais[UF],MATCH(tItens[[#This Row],[Edital]],tEditais[Edital],0)),"")</f>
        <v>PI</v>
      </c>
      <c r="I4996" s="11">
        <f>IFERROR(INDEX(tEditais[Encerramento],MATCH(tItens[[#This Row],[Edital]],tEditais[Edital],0)),"")</f>
        <v>46308.291666666664</v>
      </c>
      <c r="J4996" t="str">
        <f>IFERROR(INDEX(tProdutos[Classe],MATCH(tItens[[#This Row],[Produto]],tProdutos[Produto],0)),"produto não cadastrado")</f>
        <v>FORA</v>
      </c>
      <c r="K4996" s="12">
        <f>tItens[[#This Row],[Qtd]]*tItens[[#This Row],[Vlr unit]]</f>
        <v>3447</v>
      </c>
      <c r="L4996" s="6">
        <f>IFERROR(IF(INDEX(tProdutos[Desconto homologado],MATCH(tItens[[#This Row],[Produto]],tProdutos[Produto],0))="",DescontoPadrao,INDEX(tProdutos[Desconto homologado],MATCH(tItens[[#This Row],[Produto]],tProdutos[Produto],0))),DescontoPadrao)</f>
        <v>0.19963672657401599</v>
      </c>
      <c r="M4996" s="12">
        <f>tItens[[#This Row],[Valor]]*(1-tItens[[#This Row],[Desconto]])</f>
        <v>2758.8522034993671</v>
      </c>
      <c r="N4996" t="str">
        <f>IFERROR(INDEX(tProdutos[Foco],MATCH(tItens[[#This Row],[Produto]],tProdutos[Produto],0)),"Não")</f>
        <v>Não</v>
      </c>
      <c r="O4996" t="str">
        <f>IFERROR(INDEX(tEditais[SRP],MATCH(tItens[[#This Row],[Edital]],tEditais[Edital],0)),"Não")</f>
        <v>Sim</v>
      </c>
      <c r="P4996" s="4">
        <f>IF(COUNTIFS(INDEX(tItens[Edital],1):tItens[[#This Row],[Edital]],tItens[[#This Row],[Edital]],INDEX(tItens[Produto],1):tItens[[#This Row],[Produto]],tItens[[#This Row],[Produto]])=1,1,0)</f>
        <v>1</v>
      </c>
    </row>
    <row r="4997" spans="1:16" x14ac:dyDescent="0.25">
      <c r="A4997" t="s">
        <v>1946</v>
      </c>
      <c r="B4997">
        <v>86</v>
      </c>
      <c r="C4997" t="s">
        <v>7806</v>
      </c>
      <c r="D4997" t="s">
        <v>267</v>
      </c>
      <c r="E4997" s="13">
        <v>300</v>
      </c>
      <c r="F4997" s="12">
        <v>21.25</v>
      </c>
      <c r="G4997" t="str">
        <f>IFERROR(INDEX(tEditais[Órgão],MATCH(tItens[[#This Row],[Edital]],tEditais[Edital],0)),"")</f>
        <v>MUNICIPIO DE ANGICAL DO PIAUI</v>
      </c>
      <c r="H4997" t="str">
        <f>IFERROR(INDEX(tEditais[UF],MATCH(tItens[[#This Row],[Edital]],tEditais[Edital],0)),"")</f>
        <v>PI</v>
      </c>
      <c r="I4997" s="11">
        <f>IFERROR(INDEX(tEditais[Encerramento],MATCH(tItens[[#This Row],[Edital]],tEditais[Edital],0)),"")</f>
        <v>46308.291666666664</v>
      </c>
      <c r="J4997" t="str">
        <f>IFERROR(INDEX(tProdutos[Classe],MATCH(tItens[[#This Row],[Produto]],tProdutos[Produto],0)),"produto não cadastrado")</f>
        <v>FORA</v>
      </c>
      <c r="K4997" s="12">
        <f>tItens[[#This Row],[Qtd]]*tItens[[#This Row],[Vlr unit]]</f>
        <v>6375</v>
      </c>
      <c r="L4997" s="6">
        <f>IFERROR(IF(INDEX(tProdutos[Desconto homologado],MATCH(tItens[[#This Row],[Produto]],tProdutos[Produto],0))="",DescontoPadrao,INDEX(tProdutos[Desconto homologado],MATCH(tItens[[#This Row],[Produto]],tProdutos[Produto],0))),DescontoPadrao)</f>
        <v>0.19963672657401599</v>
      </c>
      <c r="M4997" s="12">
        <f>tItens[[#This Row],[Valor]]*(1-tItens[[#This Row],[Desconto]])</f>
        <v>5102.3158680906481</v>
      </c>
      <c r="N4997" t="str">
        <f>IFERROR(INDEX(tProdutos[Foco],MATCH(tItens[[#This Row],[Produto]],tProdutos[Produto],0)),"Não")</f>
        <v>Não</v>
      </c>
      <c r="O4997" t="str">
        <f>IFERROR(INDEX(tEditais[SRP],MATCH(tItens[[#This Row],[Edital]],tEditais[Edital],0)),"Não")</f>
        <v>Sim</v>
      </c>
      <c r="P4997" s="4">
        <f>IF(COUNTIFS(INDEX(tItens[Edital],1):tItens[[#This Row],[Edital]],tItens[[#This Row],[Edital]],INDEX(tItens[Produto],1):tItens[[#This Row],[Produto]],tItens[[#This Row],[Produto]])=1,1,0)</f>
        <v>0</v>
      </c>
    </row>
    <row r="4998" spans="1:16" x14ac:dyDescent="0.25">
      <c r="A4998" t="s">
        <v>1946</v>
      </c>
      <c r="B4998">
        <v>87</v>
      </c>
      <c r="C4998" t="s">
        <v>7807</v>
      </c>
      <c r="D4998" t="s">
        <v>267</v>
      </c>
      <c r="E4998" s="13">
        <v>300</v>
      </c>
      <c r="F4998" s="12">
        <v>23.09</v>
      </c>
      <c r="G4998" t="str">
        <f>IFERROR(INDEX(tEditais[Órgão],MATCH(tItens[[#This Row],[Edital]],tEditais[Edital],0)),"")</f>
        <v>MUNICIPIO DE ANGICAL DO PIAUI</v>
      </c>
      <c r="H4998" t="str">
        <f>IFERROR(INDEX(tEditais[UF],MATCH(tItens[[#This Row],[Edital]],tEditais[Edital],0)),"")</f>
        <v>PI</v>
      </c>
      <c r="I4998" s="11">
        <f>IFERROR(INDEX(tEditais[Encerramento],MATCH(tItens[[#This Row],[Edital]],tEditais[Edital],0)),"")</f>
        <v>46308.291666666664</v>
      </c>
      <c r="J4998" t="str">
        <f>IFERROR(INDEX(tProdutos[Classe],MATCH(tItens[[#This Row],[Produto]],tProdutos[Produto],0)),"produto não cadastrado")</f>
        <v>FORA</v>
      </c>
      <c r="K4998" s="12">
        <f>tItens[[#This Row],[Qtd]]*tItens[[#This Row],[Vlr unit]]</f>
        <v>6927</v>
      </c>
      <c r="L4998" s="6">
        <f>IFERROR(IF(INDEX(tProdutos[Desconto homologado],MATCH(tItens[[#This Row],[Produto]],tProdutos[Produto],0))="",DescontoPadrao,INDEX(tProdutos[Desconto homologado],MATCH(tItens[[#This Row],[Produto]],tProdutos[Produto],0))),DescontoPadrao)</f>
        <v>0.19963672657401599</v>
      </c>
      <c r="M4998" s="12">
        <f>tItens[[#This Row],[Valor]]*(1-tItens[[#This Row],[Desconto]])</f>
        <v>5544.1163950217915</v>
      </c>
      <c r="N4998" t="str">
        <f>IFERROR(INDEX(tProdutos[Foco],MATCH(tItens[[#This Row],[Produto]],tProdutos[Produto],0)),"Não")</f>
        <v>Não</v>
      </c>
      <c r="O4998" t="str">
        <f>IFERROR(INDEX(tEditais[SRP],MATCH(tItens[[#This Row],[Edital]],tEditais[Edital],0)),"Não")</f>
        <v>Sim</v>
      </c>
      <c r="P4998" s="4">
        <f>IF(COUNTIFS(INDEX(tItens[Edital],1):tItens[[#This Row],[Edital]],tItens[[#This Row],[Edital]],INDEX(tItens[Produto],1):tItens[[#This Row],[Produto]],tItens[[#This Row],[Produto]])=1,1,0)</f>
        <v>0</v>
      </c>
    </row>
    <row r="4999" spans="1:16" x14ac:dyDescent="0.25">
      <c r="A4999" t="s">
        <v>1946</v>
      </c>
      <c r="B4999">
        <v>91</v>
      </c>
      <c r="C4999" t="s">
        <v>7808</v>
      </c>
      <c r="D4999" t="s">
        <v>313</v>
      </c>
      <c r="E4999" s="13">
        <v>1000</v>
      </c>
      <c r="F4999" s="12">
        <v>40.93</v>
      </c>
      <c r="G4999" t="str">
        <f>IFERROR(INDEX(tEditais[Órgão],MATCH(tItens[[#This Row],[Edital]],tEditais[Edital],0)),"")</f>
        <v>MUNICIPIO DE ANGICAL DO PIAUI</v>
      </c>
      <c r="H4999" t="str">
        <f>IFERROR(INDEX(tEditais[UF],MATCH(tItens[[#This Row],[Edital]],tEditais[Edital],0)),"")</f>
        <v>PI</v>
      </c>
      <c r="I4999" s="11">
        <f>IFERROR(INDEX(tEditais[Encerramento],MATCH(tItens[[#This Row],[Edital]],tEditais[Edital],0)),"")</f>
        <v>46308.291666666664</v>
      </c>
      <c r="J4999" t="str">
        <f>IFERROR(INDEX(tProdutos[Classe],MATCH(tItens[[#This Row],[Produto]],tProdutos[Produto],0)),"produto não cadastrado")</f>
        <v>FORA</v>
      </c>
      <c r="K4999" s="12">
        <f>tItens[[#This Row],[Qtd]]*tItens[[#This Row],[Vlr unit]]</f>
        <v>40930</v>
      </c>
      <c r="L4999" s="6">
        <f>IFERROR(IF(INDEX(tProdutos[Desconto homologado],MATCH(tItens[[#This Row],[Produto]],tProdutos[Produto],0))="",DescontoPadrao,INDEX(tProdutos[Desconto homologado],MATCH(tItens[[#This Row],[Produto]],tProdutos[Produto],0))),DescontoPadrao)</f>
        <v>0.35766373163696302</v>
      </c>
      <c r="M4999" s="12">
        <f>tItens[[#This Row],[Valor]]*(1-tItens[[#This Row],[Desconto]])</f>
        <v>26290.8234640991</v>
      </c>
      <c r="N4999" t="str">
        <f>IFERROR(INDEX(tProdutos[Foco],MATCH(tItens[[#This Row],[Produto]],tProdutos[Produto],0)),"Não")</f>
        <v>Não</v>
      </c>
      <c r="O4999" t="str">
        <f>IFERROR(INDEX(tEditais[SRP],MATCH(tItens[[#This Row],[Edital]],tEditais[Edital],0)),"Não")</f>
        <v>Sim</v>
      </c>
      <c r="P4999" s="4">
        <f>IF(COUNTIFS(INDEX(tItens[Edital],1):tItens[[#This Row],[Edital]],tItens[[#This Row],[Edital]],INDEX(tItens[Produto],1):tItens[[#This Row],[Produto]],tItens[[#This Row],[Produto]])=1,1,0)</f>
        <v>1</v>
      </c>
    </row>
    <row r="5000" spans="1:16" x14ac:dyDescent="0.25">
      <c r="A5000" t="s">
        <v>1946</v>
      </c>
      <c r="B5000">
        <v>92</v>
      </c>
      <c r="C5000" t="s">
        <v>7809</v>
      </c>
      <c r="D5000" t="s">
        <v>313</v>
      </c>
      <c r="E5000" s="13">
        <v>1000</v>
      </c>
      <c r="F5000" s="12">
        <v>40.49</v>
      </c>
      <c r="G5000" t="str">
        <f>IFERROR(INDEX(tEditais[Órgão],MATCH(tItens[[#This Row],[Edital]],tEditais[Edital],0)),"")</f>
        <v>MUNICIPIO DE ANGICAL DO PIAUI</v>
      </c>
      <c r="H5000" t="str">
        <f>IFERROR(INDEX(tEditais[UF],MATCH(tItens[[#This Row],[Edital]],tEditais[Edital],0)),"")</f>
        <v>PI</v>
      </c>
      <c r="I5000" s="11">
        <f>IFERROR(INDEX(tEditais[Encerramento],MATCH(tItens[[#This Row],[Edital]],tEditais[Edital],0)),"")</f>
        <v>46308.291666666664</v>
      </c>
      <c r="J5000" t="str">
        <f>IFERROR(INDEX(tProdutos[Classe],MATCH(tItens[[#This Row],[Produto]],tProdutos[Produto],0)),"produto não cadastrado")</f>
        <v>FORA</v>
      </c>
      <c r="K5000" s="12">
        <f>tItens[[#This Row],[Qtd]]*tItens[[#This Row],[Vlr unit]]</f>
        <v>40490</v>
      </c>
      <c r="L5000" s="6">
        <f>IFERROR(IF(INDEX(tProdutos[Desconto homologado],MATCH(tItens[[#This Row],[Produto]],tProdutos[Produto],0))="",DescontoPadrao,INDEX(tProdutos[Desconto homologado],MATCH(tItens[[#This Row],[Produto]],tProdutos[Produto],0))),DescontoPadrao)</f>
        <v>0.35766373163696302</v>
      </c>
      <c r="M5000" s="12">
        <f>tItens[[#This Row],[Valor]]*(1-tItens[[#This Row],[Desconto]])</f>
        <v>26008.195506019365</v>
      </c>
      <c r="N5000" t="str">
        <f>IFERROR(INDEX(tProdutos[Foco],MATCH(tItens[[#This Row],[Produto]],tProdutos[Produto],0)),"Não")</f>
        <v>Não</v>
      </c>
      <c r="O5000" t="str">
        <f>IFERROR(INDEX(tEditais[SRP],MATCH(tItens[[#This Row],[Edital]],tEditais[Edital],0)),"Não")</f>
        <v>Sim</v>
      </c>
      <c r="P5000" s="4">
        <f>IF(COUNTIFS(INDEX(tItens[Edital],1):tItens[[#This Row],[Edital]],tItens[[#This Row],[Edital]],INDEX(tItens[Produto],1):tItens[[#This Row],[Produto]],tItens[[#This Row],[Produto]])=1,1,0)</f>
        <v>0</v>
      </c>
    </row>
    <row r="5001" spans="1:16" x14ac:dyDescent="0.25">
      <c r="A5001" t="s">
        <v>1946</v>
      </c>
      <c r="B5001">
        <v>93</v>
      </c>
      <c r="C5001" t="s">
        <v>7810</v>
      </c>
      <c r="D5001" t="s">
        <v>313</v>
      </c>
      <c r="E5001" s="13">
        <v>1000</v>
      </c>
      <c r="F5001" s="12">
        <v>41.66</v>
      </c>
      <c r="G5001" t="str">
        <f>IFERROR(INDEX(tEditais[Órgão],MATCH(tItens[[#This Row],[Edital]],tEditais[Edital],0)),"")</f>
        <v>MUNICIPIO DE ANGICAL DO PIAUI</v>
      </c>
      <c r="H5001" t="str">
        <f>IFERROR(INDEX(tEditais[UF],MATCH(tItens[[#This Row],[Edital]],tEditais[Edital],0)),"")</f>
        <v>PI</v>
      </c>
      <c r="I5001" s="11">
        <f>IFERROR(INDEX(tEditais[Encerramento],MATCH(tItens[[#This Row],[Edital]],tEditais[Edital],0)),"")</f>
        <v>46308.291666666664</v>
      </c>
      <c r="J5001" t="str">
        <f>IFERROR(INDEX(tProdutos[Classe],MATCH(tItens[[#This Row],[Produto]],tProdutos[Produto],0)),"produto não cadastrado")</f>
        <v>FORA</v>
      </c>
      <c r="K5001" s="12">
        <f>tItens[[#This Row],[Qtd]]*tItens[[#This Row],[Vlr unit]]</f>
        <v>41660</v>
      </c>
      <c r="L5001" s="6">
        <f>IFERROR(IF(INDEX(tProdutos[Desconto homologado],MATCH(tItens[[#This Row],[Produto]],tProdutos[Produto],0))="",DescontoPadrao,INDEX(tProdutos[Desconto homologado],MATCH(tItens[[#This Row],[Produto]],tProdutos[Produto],0))),DescontoPadrao)</f>
        <v>0.35766373163696302</v>
      </c>
      <c r="M5001" s="12">
        <f>tItens[[#This Row],[Valor]]*(1-tItens[[#This Row],[Desconto]])</f>
        <v>26759.728940004119</v>
      </c>
      <c r="N5001" t="str">
        <f>IFERROR(INDEX(tProdutos[Foco],MATCH(tItens[[#This Row],[Produto]],tProdutos[Produto],0)),"Não")</f>
        <v>Não</v>
      </c>
      <c r="O5001" t="str">
        <f>IFERROR(INDEX(tEditais[SRP],MATCH(tItens[[#This Row],[Edital]],tEditais[Edital],0)),"Não")</f>
        <v>Sim</v>
      </c>
      <c r="P5001" s="4">
        <f>IF(COUNTIFS(INDEX(tItens[Edital],1):tItens[[#This Row],[Edital]],tItens[[#This Row],[Edital]],INDEX(tItens[Produto],1):tItens[[#This Row],[Produto]],tItens[[#This Row],[Produto]])=1,1,0)</f>
        <v>0</v>
      </c>
    </row>
    <row r="5002" spans="1:16" x14ac:dyDescent="0.25">
      <c r="A5002" t="s">
        <v>1946</v>
      </c>
      <c r="B5002">
        <v>94</v>
      </c>
      <c r="C5002" t="s">
        <v>7811</v>
      </c>
      <c r="D5002" t="s">
        <v>313</v>
      </c>
      <c r="E5002" s="13">
        <v>500</v>
      </c>
      <c r="F5002" s="12">
        <v>38.17</v>
      </c>
      <c r="G5002" t="str">
        <f>IFERROR(INDEX(tEditais[Órgão],MATCH(tItens[[#This Row],[Edital]],tEditais[Edital],0)),"")</f>
        <v>MUNICIPIO DE ANGICAL DO PIAUI</v>
      </c>
      <c r="H5002" t="str">
        <f>IFERROR(INDEX(tEditais[UF],MATCH(tItens[[#This Row],[Edital]],tEditais[Edital],0)),"")</f>
        <v>PI</v>
      </c>
      <c r="I5002" s="11">
        <f>IFERROR(INDEX(tEditais[Encerramento],MATCH(tItens[[#This Row],[Edital]],tEditais[Edital],0)),"")</f>
        <v>46308.291666666664</v>
      </c>
      <c r="J5002" t="str">
        <f>IFERROR(INDEX(tProdutos[Classe],MATCH(tItens[[#This Row],[Produto]],tProdutos[Produto],0)),"produto não cadastrado")</f>
        <v>FORA</v>
      </c>
      <c r="K5002" s="12">
        <f>tItens[[#This Row],[Qtd]]*tItens[[#This Row],[Vlr unit]]</f>
        <v>19085</v>
      </c>
      <c r="L5002" s="6">
        <f>IFERROR(IF(INDEX(tProdutos[Desconto homologado],MATCH(tItens[[#This Row],[Produto]],tProdutos[Produto],0))="",DescontoPadrao,INDEX(tProdutos[Desconto homologado],MATCH(tItens[[#This Row],[Produto]],tProdutos[Produto],0))),DescontoPadrao)</f>
        <v>0.35766373163696302</v>
      </c>
      <c r="M5002" s="12">
        <f>tItens[[#This Row],[Valor]]*(1-tItens[[#This Row],[Desconto]])</f>
        <v>12258.987681708561</v>
      </c>
      <c r="N5002" t="str">
        <f>IFERROR(INDEX(tProdutos[Foco],MATCH(tItens[[#This Row],[Produto]],tProdutos[Produto],0)),"Não")</f>
        <v>Não</v>
      </c>
      <c r="O5002" t="str">
        <f>IFERROR(INDEX(tEditais[SRP],MATCH(tItens[[#This Row],[Edital]],tEditais[Edital],0)),"Não")</f>
        <v>Sim</v>
      </c>
      <c r="P5002" s="4">
        <f>IF(COUNTIFS(INDEX(tItens[Edital],1):tItens[[#This Row],[Edital]],tItens[[#This Row],[Edital]],INDEX(tItens[Produto],1):tItens[[#This Row],[Produto]],tItens[[#This Row],[Produto]])=1,1,0)</f>
        <v>0</v>
      </c>
    </row>
    <row r="5003" spans="1:16" x14ac:dyDescent="0.25">
      <c r="A5003" t="s">
        <v>1946</v>
      </c>
      <c r="B5003">
        <v>96</v>
      </c>
      <c r="C5003" t="s">
        <v>7812</v>
      </c>
      <c r="D5003" t="s">
        <v>249</v>
      </c>
      <c r="E5003" s="13">
        <v>100</v>
      </c>
      <c r="F5003" s="12">
        <v>42.33</v>
      </c>
      <c r="G5003" t="str">
        <f>IFERROR(INDEX(tEditais[Órgão],MATCH(tItens[[#This Row],[Edital]],tEditais[Edital],0)),"")</f>
        <v>MUNICIPIO DE ANGICAL DO PIAUI</v>
      </c>
      <c r="H5003" t="str">
        <f>IFERROR(INDEX(tEditais[UF],MATCH(tItens[[#This Row],[Edital]],tEditais[Edital],0)),"")</f>
        <v>PI</v>
      </c>
      <c r="I5003" s="11">
        <f>IFERROR(INDEX(tEditais[Encerramento],MATCH(tItens[[#This Row],[Edital]],tEditais[Edital],0)),"")</f>
        <v>46308.291666666664</v>
      </c>
      <c r="J5003" t="str">
        <f>IFERROR(INDEX(tProdutos[Classe],MATCH(tItens[[#This Row],[Produto]],tProdutos[Produto],0)),"produto não cadastrado")</f>
        <v>FORA</v>
      </c>
      <c r="K5003" s="12">
        <f>tItens[[#This Row],[Qtd]]*tItens[[#This Row],[Vlr unit]]</f>
        <v>4233</v>
      </c>
      <c r="L5003" s="6">
        <f>IFERROR(IF(INDEX(tProdutos[Desconto homologado],MATCH(tItens[[#This Row],[Produto]],tProdutos[Produto],0))="",DescontoPadrao,INDEX(tProdutos[Desconto homologado],MATCH(tItens[[#This Row],[Produto]],tProdutos[Produto],0))),DescontoPadrao)</f>
        <v>0.45399945399945402</v>
      </c>
      <c r="M5003" s="12">
        <f>tItens[[#This Row],[Valor]]*(1-tItens[[#This Row],[Desconto]])</f>
        <v>2311.220311220311</v>
      </c>
      <c r="N5003" t="str">
        <f>IFERROR(INDEX(tProdutos[Foco],MATCH(tItens[[#This Row],[Produto]],tProdutos[Produto],0)),"Não")</f>
        <v>Não</v>
      </c>
      <c r="O5003" t="str">
        <f>IFERROR(INDEX(tEditais[SRP],MATCH(tItens[[#This Row],[Edital]],tEditais[Edital],0)),"Não")</f>
        <v>Sim</v>
      </c>
      <c r="P5003" s="4">
        <f>IF(COUNTIFS(INDEX(tItens[Edital],1):tItens[[#This Row],[Edital]],tItens[[#This Row],[Edital]],INDEX(tItens[Produto],1):tItens[[#This Row],[Produto]],tItens[[#This Row],[Produto]])=1,1,0)</f>
        <v>1</v>
      </c>
    </row>
    <row r="5004" spans="1:16" x14ac:dyDescent="0.25">
      <c r="A5004" t="s">
        <v>1946</v>
      </c>
      <c r="B5004">
        <v>99</v>
      </c>
      <c r="C5004" t="s">
        <v>7813</v>
      </c>
      <c r="D5004" t="s">
        <v>223</v>
      </c>
      <c r="E5004" s="13">
        <v>100</v>
      </c>
      <c r="F5004" s="12">
        <v>13.9</v>
      </c>
      <c r="G5004" t="str">
        <f>IFERROR(INDEX(tEditais[Órgão],MATCH(tItens[[#This Row],[Edital]],tEditais[Edital],0)),"")</f>
        <v>MUNICIPIO DE ANGICAL DO PIAUI</v>
      </c>
      <c r="H5004" t="str">
        <f>IFERROR(INDEX(tEditais[UF],MATCH(tItens[[#This Row],[Edital]],tEditais[Edital],0)),"")</f>
        <v>PI</v>
      </c>
      <c r="I5004" s="11">
        <f>IFERROR(INDEX(tEditais[Encerramento],MATCH(tItens[[#This Row],[Edital]],tEditais[Edital],0)),"")</f>
        <v>46308.291666666664</v>
      </c>
      <c r="J5004" t="str">
        <f>IFERROR(INDEX(tProdutos[Classe],MATCH(tItens[[#This Row],[Produto]],tProdutos[Produto],0)),"produto não cadastrado")</f>
        <v>FORA</v>
      </c>
      <c r="K5004" s="12">
        <f>tItens[[#This Row],[Qtd]]*tItens[[#This Row],[Vlr unit]]</f>
        <v>1390</v>
      </c>
      <c r="L5004" s="6">
        <f>IFERROR(IF(INDEX(tProdutos[Desconto homologado],MATCH(tItens[[#This Row],[Produto]],tProdutos[Produto],0))="",DescontoPadrao,INDEX(tProdutos[Desconto homologado],MATCH(tItens[[#This Row],[Produto]],tProdutos[Produto],0))),DescontoPadrao)</f>
        <v>0.36263736263736301</v>
      </c>
      <c r="M5004" s="12">
        <f>tItens[[#This Row],[Valor]]*(1-tItens[[#This Row],[Desconto]])</f>
        <v>885.93406593406542</v>
      </c>
      <c r="N5004" t="str">
        <f>IFERROR(INDEX(tProdutos[Foco],MATCH(tItens[[#This Row],[Produto]],tProdutos[Produto],0)),"Não")</f>
        <v>Não</v>
      </c>
      <c r="O5004" t="str">
        <f>IFERROR(INDEX(tEditais[SRP],MATCH(tItens[[#This Row],[Edital]],tEditais[Edital],0)),"Não")</f>
        <v>Sim</v>
      </c>
      <c r="P5004" s="4">
        <f>IF(COUNTIFS(INDEX(tItens[Edital],1):tItens[[#This Row],[Edital]],tItens[[#This Row],[Edital]],INDEX(tItens[Produto],1):tItens[[#This Row],[Produto]],tItens[[#This Row],[Produto]])=1,1,0)</f>
        <v>1</v>
      </c>
    </row>
    <row r="5005" spans="1:16" x14ac:dyDescent="0.25">
      <c r="A5005" t="s">
        <v>1946</v>
      </c>
      <c r="B5005">
        <v>102</v>
      </c>
      <c r="C5005" t="s">
        <v>7814</v>
      </c>
      <c r="D5005" t="s">
        <v>670</v>
      </c>
      <c r="E5005" s="13">
        <v>2</v>
      </c>
      <c r="F5005" s="12">
        <v>242.29</v>
      </c>
      <c r="G5005" t="str">
        <f>IFERROR(INDEX(tEditais[Órgão],MATCH(tItens[[#This Row],[Edital]],tEditais[Edital],0)),"")</f>
        <v>MUNICIPIO DE ANGICAL DO PIAUI</v>
      </c>
      <c r="H5005" t="str">
        <f>IFERROR(INDEX(tEditais[UF],MATCH(tItens[[#This Row],[Edital]],tEditais[Edital],0)),"")</f>
        <v>PI</v>
      </c>
      <c r="I5005" s="11">
        <f>IFERROR(INDEX(tEditais[Encerramento],MATCH(tItens[[#This Row],[Edital]],tEditais[Edital],0)),"")</f>
        <v>46308.291666666664</v>
      </c>
      <c r="J5005" t="str">
        <f>IFERROR(INDEX(tProdutos[Classe],MATCH(tItens[[#This Row],[Produto]],tProdutos[Produto],0)),"produto não cadastrado")</f>
        <v>FILA REBASE</v>
      </c>
      <c r="K5005" s="12">
        <f>tItens[[#This Row],[Qtd]]*tItens[[#This Row],[Vlr unit]]</f>
        <v>484.58</v>
      </c>
      <c r="L5005" s="6">
        <f>IFERROR(IF(INDEX(tProdutos[Desconto homologado],MATCH(tItens[[#This Row],[Produto]],tProdutos[Produto],0))="",DescontoPadrao,INDEX(tProdutos[Desconto homologado],MATCH(tItens[[#This Row],[Produto]],tProdutos[Produto],0))),DescontoPadrao)</f>
        <v>0.53825503355704696</v>
      </c>
      <c r="M5005" s="12">
        <f>tItens[[#This Row],[Valor]]*(1-tItens[[#This Row],[Desconto]])</f>
        <v>223.75237583892618</v>
      </c>
      <c r="N5005" t="str">
        <f>IFERROR(INDEX(tProdutos[Foco],MATCH(tItens[[#This Row],[Produto]],tProdutos[Produto],0)),"Não")</f>
        <v>Não</v>
      </c>
      <c r="O5005" t="str">
        <f>IFERROR(INDEX(tEditais[SRP],MATCH(tItens[[#This Row],[Edital]],tEditais[Edital],0)),"Não")</f>
        <v>Sim</v>
      </c>
      <c r="P5005" s="4">
        <f>IF(COUNTIFS(INDEX(tItens[Edital],1):tItens[[#This Row],[Edital]],tItens[[#This Row],[Edital]],INDEX(tItens[Produto],1):tItens[[#This Row],[Produto]],tItens[[#This Row],[Produto]])=1,1,0)</f>
        <v>1</v>
      </c>
    </row>
    <row r="5006" spans="1:16" x14ac:dyDescent="0.25">
      <c r="A5006" t="s">
        <v>1946</v>
      </c>
      <c r="B5006">
        <v>103</v>
      </c>
      <c r="C5006" t="s">
        <v>7815</v>
      </c>
      <c r="D5006" t="s">
        <v>494</v>
      </c>
      <c r="E5006" s="13">
        <v>24</v>
      </c>
      <c r="F5006" s="12">
        <v>79.709999999999994</v>
      </c>
      <c r="G5006" t="str">
        <f>IFERROR(INDEX(tEditais[Órgão],MATCH(tItens[[#This Row],[Edital]],tEditais[Edital],0)),"")</f>
        <v>MUNICIPIO DE ANGICAL DO PIAUI</v>
      </c>
      <c r="H5006" t="str">
        <f>IFERROR(INDEX(tEditais[UF],MATCH(tItens[[#This Row],[Edital]],tEditais[Edital],0)),"")</f>
        <v>PI</v>
      </c>
      <c r="I5006" s="11">
        <f>IFERROR(INDEX(tEditais[Encerramento],MATCH(tItens[[#This Row],[Edital]],tEditais[Edital],0)),"")</f>
        <v>46308.291666666664</v>
      </c>
      <c r="J5006" t="str">
        <f>IFERROR(INDEX(tProdutos[Classe],MATCH(tItens[[#This Row],[Produto]],tProdutos[Produto],0)),"produto não cadastrado")</f>
        <v>FILA REBASE</v>
      </c>
      <c r="K5006" s="12">
        <f>tItens[[#This Row],[Qtd]]*tItens[[#This Row],[Vlr unit]]</f>
        <v>1913.04</v>
      </c>
      <c r="L5006" s="6">
        <f>IFERROR(IF(INDEX(tProdutos[Desconto homologado],MATCH(tItens[[#This Row],[Produto]],tProdutos[Produto],0))="",DescontoPadrao,INDEX(tProdutos[Desconto homologado],MATCH(tItens[[#This Row],[Produto]],tProdutos[Produto],0))),DescontoPadrao)</f>
        <v>0.253736324829619</v>
      </c>
      <c r="M5006" s="12">
        <f>tItens[[#This Row],[Valor]]*(1-tItens[[#This Row],[Desconto]])</f>
        <v>1427.6322611479457</v>
      </c>
      <c r="N5006" t="str">
        <f>IFERROR(INDEX(tProdutos[Foco],MATCH(tItens[[#This Row],[Produto]],tProdutos[Produto],0)),"Não")</f>
        <v>Não</v>
      </c>
      <c r="O5006" t="str">
        <f>IFERROR(INDEX(tEditais[SRP],MATCH(tItens[[#This Row],[Edital]],tEditais[Edital],0)),"Não")</f>
        <v>Sim</v>
      </c>
      <c r="P5006" s="4">
        <f>IF(COUNTIFS(INDEX(tItens[Edital],1):tItens[[#This Row],[Edital]],tItens[[#This Row],[Edital]],INDEX(tItens[Produto],1):tItens[[#This Row],[Produto]],tItens[[#This Row],[Produto]])=1,1,0)</f>
        <v>1</v>
      </c>
    </row>
    <row r="5007" spans="1:16" x14ac:dyDescent="0.25">
      <c r="A5007" t="s">
        <v>1946</v>
      </c>
      <c r="B5007">
        <v>104</v>
      </c>
      <c r="C5007" t="s">
        <v>7816</v>
      </c>
      <c r="D5007" t="s">
        <v>494</v>
      </c>
      <c r="E5007" s="13">
        <v>24</v>
      </c>
      <c r="F5007" s="12">
        <v>145.6</v>
      </c>
      <c r="G5007" t="str">
        <f>IFERROR(INDEX(tEditais[Órgão],MATCH(tItens[[#This Row],[Edital]],tEditais[Edital],0)),"")</f>
        <v>MUNICIPIO DE ANGICAL DO PIAUI</v>
      </c>
      <c r="H5007" t="str">
        <f>IFERROR(INDEX(tEditais[UF],MATCH(tItens[[#This Row],[Edital]],tEditais[Edital],0)),"")</f>
        <v>PI</v>
      </c>
      <c r="I5007" s="11">
        <f>IFERROR(INDEX(tEditais[Encerramento],MATCH(tItens[[#This Row],[Edital]],tEditais[Edital],0)),"")</f>
        <v>46308.291666666664</v>
      </c>
      <c r="J5007" t="str">
        <f>IFERROR(INDEX(tProdutos[Classe],MATCH(tItens[[#This Row],[Produto]],tProdutos[Produto],0)),"produto não cadastrado")</f>
        <v>FILA REBASE</v>
      </c>
      <c r="K5007" s="12">
        <f>tItens[[#This Row],[Qtd]]*tItens[[#This Row],[Vlr unit]]</f>
        <v>3494.3999999999996</v>
      </c>
      <c r="L5007" s="6">
        <f>IFERROR(IF(INDEX(tProdutos[Desconto homologado],MATCH(tItens[[#This Row],[Produto]],tProdutos[Produto],0))="",DescontoPadrao,INDEX(tProdutos[Desconto homologado],MATCH(tItens[[#This Row],[Produto]],tProdutos[Produto],0))),DescontoPadrao)</f>
        <v>0.253736324829619</v>
      </c>
      <c r="M5007" s="12">
        <f>tItens[[#This Row],[Valor]]*(1-tItens[[#This Row],[Desconto]])</f>
        <v>2607.7437865153793</v>
      </c>
      <c r="N5007" t="str">
        <f>IFERROR(INDEX(tProdutos[Foco],MATCH(tItens[[#This Row],[Produto]],tProdutos[Produto],0)),"Não")</f>
        <v>Não</v>
      </c>
      <c r="O5007" t="str">
        <f>IFERROR(INDEX(tEditais[SRP],MATCH(tItens[[#This Row],[Edital]],tEditais[Edital],0)),"Não")</f>
        <v>Sim</v>
      </c>
      <c r="P5007" s="4">
        <f>IF(COUNTIFS(INDEX(tItens[Edital],1):tItens[[#This Row],[Edital]],tItens[[#This Row],[Edital]],INDEX(tItens[Produto],1):tItens[[#This Row],[Produto]],tItens[[#This Row],[Produto]])=1,1,0)</f>
        <v>0</v>
      </c>
    </row>
    <row r="5008" spans="1:16" x14ac:dyDescent="0.25">
      <c r="A5008" t="s">
        <v>1946</v>
      </c>
      <c r="B5008">
        <v>105</v>
      </c>
      <c r="C5008" t="s">
        <v>7817</v>
      </c>
      <c r="D5008" t="s">
        <v>494</v>
      </c>
      <c r="E5008" s="13">
        <v>50</v>
      </c>
      <c r="F5008" s="12">
        <v>168.09</v>
      </c>
      <c r="G5008" t="str">
        <f>IFERROR(INDEX(tEditais[Órgão],MATCH(tItens[[#This Row],[Edital]],tEditais[Edital],0)),"")</f>
        <v>MUNICIPIO DE ANGICAL DO PIAUI</v>
      </c>
      <c r="H5008" t="str">
        <f>IFERROR(INDEX(tEditais[UF],MATCH(tItens[[#This Row],[Edital]],tEditais[Edital],0)),"")</f>
        <v>PI</v>
      </c>
      <c r="I5008" s="11">
        <f>IFERROR(INDEX(tEditais[Encerramento],MATCH(tItens[[#This Row],[Edital]],tEditais[Edital],0)),"")</f>
        <v>46308.291666666664</v>
      </c>
      <c r="J5008" t="str">
        <f>IFERROR(INDEX(tProdutos[Classe],MATCH(tItens[[#This Row],[Produto]],tProdutos[Produto],0)),"produto não cadastrado")</f>
        <v>FILA REBASE</v>
      </c>
      <c r="K5008" s="12">
        <f>tItens[[#This Row],[Qtd]]*tItens[[#This Row],[Vlr unit]]</f>
        <v>8404.5</v>
      </c>
      <c r="L5008" s="6">
        <f>IFERROR(IF(INDEX(tProdutos[Desconto homologado],MATCH(tItens[[#This Row],[Produto]],tProdutos[Produto],0))="",DescontoPadrao,INDEX(tProdutos[Desconto homologado],MATCH(tItens[[#This Row],[Produto]],tProdutos[Produto],0))),DescontoPadrao)</f>
        <v>0.253736324829619</v>
      </c>
      <c r="M5008" s="12">
        <f>tItens[[#This Row],[Valor]]*(1-tItens[[#This Row],[Desconto]])</f>
        <v>6271.9730579694678</v>
      </c>
      <c r="N5008" t="str">
        <f>IFERROR(INDEX(tProdutos[Foco],MATCH(tItens[[#This Row],[Produto]],tProdutos[Produto],0)),"Não")</f>
        <v>Não</v>
      </c>
      <c r="O5008" t="str">
        <f>IFERROR(INDEX(tEditais[SRP],MATCH(tItens[[#This Row],[Edital]],tEditais[Edital],0)),"Não")</f>
        <v>Sim</v>
      </c>
      <c r="P5008" s="4">
        <f>IF(COUNTIFS(INDEX(tItens[Edital],1):tItens[[#This Row],[Edital]],tItens[[#This Row],[Edital]],INDEX(tItens[Produto],1):tItens[[#This Row],[Produto]],tItens[[#This Row],[Produto]])=1,1,0)</f>
        <v>0</v>
      </c>
    </row>
    <row r="5009" spans="1:16" x14ac:dyDescent="0.25">
      <c r="A5009" t="s">
        <v>1946</v>
      </c>
      <c r="B5009">
        <v>106</v>
      </c>
      <c r="C5009" t="s">
        <v>7818</v>
      </c>
      <c r="D5009" t="s">
        <v>494</v>
      </c>
      <c r="E5009" s="13">
        <v>24</v>
      </c>
      <c r="F5009" s="12">
        <v>186.75</v>
      </c>
      <c r="G5009" t="str">
        <f>IFERROR(INDEX(tEditais[Órgão],MATCH(tItens[[#This Row],[Edital]],tEditais[Edital],0)),"")</f>
        <v>MUNICIPIO DE ANGICAL DO PIAUI</v>
      </c>
      <c r="H5009" t="str">
        <f>IFERROR(INDEX(tEditais[UF],MATCH(tItens[[#This Row],[Edital]],tEditais[Edital],0)),"")</f>
        <v>PI</v>
      </c>
      <c r="I5009" s="11">
        <f>IFERROR(INDEX(tEditais[Encerramento],MATCH(tItens[[#This Row],[Edital]],tEditais[Edital],0)),"")</f>
        <v>46308.291666666664</v>
      </c>
      <c r="J5009" t="str">
        <f>IFERROR(INDEX(tProdutos[Classe],MATCH(tItens[[#This Row],[Produto]],tProdutos[Produto],0)),"produto não cadastrado")</f>
        <v>FILA REBASE</v>
      </c>
      <c r="K5009" s="12">
        <f>tItens[[#This Row],[Qtd]]*tItens[[#This Row],[Vlr unit]]</f>
        <v>4482</v>
      </c>
      <c r="L5009" s="6">
        <f>IFERROR(IF(INDEX(tProdutos[Desconto homologado],MATCH(tItens[[#This Row],[Produto]],tProdutos[Produto],0))="",DescontoPadrao,INDEX(tProdutos[Desconto homologado],MATCH(tItens[[#This Row],[Produto]],tProdutos[Produto],0))),DescontoPadrao)</f>
        <v>0.253736324829619</v>
      </c>
      <c r="M5009" s="12">
        <f>tItens[[#This Row],[Valor]]*(1-tItens[[#This Row],[Desconto]])</f>
        <v>3344.7537921136477</v>
      </c>
      <c r="N5009" t="str">
        <f>IFERROR(INDEX(tProdutos[Foco],MATCH(tItens[[#This Row],[Produto]],tProdutos[Produto],0)),"Não")</f>
        <v>Não</v>
      </c>
      <c r="O5009" t="str">
        <f>IFERROR(INDEX(tEditais[SRP],MATCH(tItens[[#This Row],[Edital]],tEditais[Edital],0)),"Não")</f>
        <v>Sim</v>
      </c>
      <c r="P5009" s="4">
        <f>IF(COUNTIFS(INDEX(tItens[Edital],1):tItens[[#This Row],[Edital]],tItens[[#This Row],[Edital]],INDEX(tItens[Produto],1):tItens[[#This Row],[Produto]],tItens[[#This Row],[Produto]])=1,1,0)</f>
        <v>0</v>
      </c>
    </row>
    <row r="5010" spans="1:16" x14ac:dyDescent="0.25">
      <c r="A5010" t="s">
        <v>1946</v>
      </c>
      <c r="B5010">
        <v>107</v>
      </c>
      <c r="C5010" t="s">
        <v>7819</v>
      </c>
      <c r="D5010" t="s">
        <v>494</v>
      </c>
      <c r="E5010" s="13">
        <v>24</v>
      </c>
      <c r="F5010" s="12">
        <v>203.17</v>
      </c>
      <c r="G5010" t="str">
        <f>IFERROR(INDEX(tEditais[Órgão],MATCH(tItens[[#This Row],[Edital]],tEditais[Edital],0)),"")</f>
        <v>MUNICIPIO DE ANGICAL DO PIAUI</v>
      </c>
      <c r="H5010" t="str">
        <f>IFERROR(INDEX(tEditais[UF],MATCH(tItens[[#This Row],[Edital]],tEditais[Edital],0)),"")</f>
        <v>PI</v>
      </c>
      <c r="I5010" s="11">
        <f>IFERROR(INDEX(tEditais[Encerramento],MATCH(tItens[[#This Row],[Edital]],tEditais[Edital],0)),"")</f>
        <v>46308.291666666664</v>
      </c>
      <c r="J5010" t="str">
        <f>IFERROR(INDEX(tProdutos[Classe],MATCH(tItens[[#This Row],[Produto]],tProdutos[Produto],0)),"produto não cadastrado")</f>
        <v>FILA REBASE</v>
      </c>
      <c r="K5010" s="12">
        <f>tItens[[#This Row],[Qtd]]*tItens[[#This Row],[Vlr unit]]</f>
        <v>4876.08</v>
      </c>
      <c r="L5010" s="6">
        <f>IFERROR(IF(INDEX(tProdutos[Desconto homologado],MATCH(tItens[[#This Row],[Produto]],tProdutos[Produto],0))="",DescontoPadrao,INDEX(tProdutos[Desconto homologado],MATCH(tItens[[#This Row],[Produto]],tProdutos[Produto],0))),DescontoPadrao)</f>
        <v>0.253736324829619</v>
      </c>
      <c r="M5010" s="12">
        <f>tItens[[#This Row],[Valor]]*(1-tItens[[#This Row],[Desconto]])</f>
        <v>3638.8413812247918</v>
      </c>
      <c r="N5010" t="str">
        <f>IFERROR(INDEX(tProdutos[Foco],MATCH(tItens[[#This Row],[Produto]],tProdutos[Produto],0)),"Não")</f>
        <v>Não</v>
      </c>
      <c r="O5010" t="str">
        <f>IFERROR(INDEX(tEditais[SRP],MATCH(tItens[[#This Row],[Edital]],tEditais[Edital],0)),"Não")</f>
        <v>Sim</v>
      </c>
      <c r="P5010" s="4">
        <f>IF(COUNTIFS(INDEX(tItens[Edital],1):tItens[[#This Row],[Edital]],tItens[[#This Row],[Edital]],INDEX(tItens[Produto],1):tItens[[#This Row],[Produto]],tItens[[#This Row],[Produto]])=1,1,0)</f>
        <v>0</v>
      </c>
    </row>
    <row r="5011" spans="1:16" x14ac:dyDescent="0.25">
      <c r="A5011" t="s">
        <v>1946</v>
      </c>
      <c r="B5011">
        <v>118</v>
      </c>
      <c r="C5011" t="s">
        <v>7820</v>
      </c>
      <c r="D5011" t="s">
        <v>281</v>
      </c>
      <c r="E5011" s="13">
        <v>25000</v>
      </c>
      <c r="F5011" s="12">
        <v>0.56000000000000005</v>
      </c>
      <c r="G5011" t="str">
        <f>IFERROR(INDEX(tEditais[Órgão],MATCH(tItens[[#This Row],[Edital]],tEditais[Edital],0)),"")</f>
        <v>MUNICIPIO DE ANGICAL DO PIAUI</v>
      </c>
      <c r="H5011" t="str">
        <f>IFERROR(INDEX(tEditais[UF],MATCH(tItens[[#This Row],[Edital]],tEditais[Edital],0)),"")</f>
        <v>PI</v>
      </c>
      <c r="I5011" s="11">
        <f>IFERROR(INDEX(tEditais[Encerramento],MATCH(tItens[[#This Row],[Edital]],tEditais[Edital],0)),"")</f>
        <v>46308.291666666664</v>
      </c>
      <c r="J5011" t="str">
        <f>IFERROR(INDEX(tProdutos[Classe],MATCH(tItens[[#This Row],[Produto]],tProdutos[Produto],0)),"produto não cadastrado")</f>
        <v>DISPUTADO</v>
      </c>
      <c r="K5011" s="12">
        <f>tItens[[#This Row],[Qtd]]*tItens[[#This Row],[Vlr unit]]</f>
        <v>14000.000000000002</v>
      </c>
      <c r="L5011" s="6">
        <f>IFERROR(IF(INDEX(tProdutos[Desconto homologado],MATCH(tItens[[#This Row],[Produto]],tProdutos[Produto],0))="",DescontoPadrao,INDEX(tProdutos[Desconto homologado],MATCH(tItens[[#This Row],[Produto]],tProdutos[Produto],0))),DescontoPadrao)</f>
        <v>0.42461538461538501</v>
      </c>
      <c r="M5011" s="12">
        <f>tItens[[#This Row],[Valor]]*(1-tItens[[#This Row],[Desconto]])</f>
        <v>8055.3846153846098</v>
      </c>
      <c r="N5011" t="str">
        <f>IFERROR(INDEX(tProdutos[Foco],MATCH(tItens[[#This Row],[Produto]],tProdutos[Produto],0)),"Não")</f>
        <v>Não</v>
      </c>
      <c r="O5011" t="str">
        <f>IFERROR(INDEX(tEditais[SRP],MATCH(tItens[[#This Row],[Edital]],tEditais[Edital],0)),"Não")</f>
        <v>Sim</v>
      </c>
      <c r="P5011" s="4">
        <f>IF(COUNTIFS(INDEX(tItens[Edital],1):tItens[[#This Row],[Edital]],tItens[[#This Row],[Edital]],INDEX(tItens[Produto],1):tItens[[#This Row],[Produto]],tItens[[#This Row],[Produto]])=1,1,0)</f>
        <v>1</v>
      </c>
    </row>
    <row r="5012" spans="1:16" x14ac:dyDescent="0.25">
      <c r="A5012" t="s">
        <v>1946</v>
      </c>
      <c r="B5012">
        <v>119</v>
      </c>
      <c r="C5012" t="s">
        <v>7821</v>
      </c>
      <c r="D5012" t="s">
        <v>275</v>
      </c>
      <c r="E5012" s="13">
        <v>4000</v>
      </c>
      <c r="F5012" s="12">
        <v>0.52</v>
      </c>
      <c r="G5012" t="str">
        <f>IFERROR(INDEX(tEditais[Órgão],MATCH(tItens[[#This Row],[Edital]],tEditais[Edital],0)),"")</f>
        <v>MUNICIPIO DE ANGICAL DO PIAUI</v>
      </c>
      <c r="H5012" t="str">
        <f>IFERROR(INDEX(tEditais[UF],MATCH(tItens[[#This Row],[Edital]],tEditais[Edital],0)),"")</f>
        <v>PI</v>
      </c>
      <c r="I5012" s="11">
        <f>IFERROR(INDEX(tEditais[Encerramento],MATCH(tItens[[#This Row],[Edital]],tEditais[Edital],0)),"")</f>
        <v>46308.291666666664</v>
      </c>
      <c r="J5012" t="str">
        <f>IFERROR(INDEX(tProdutos[Classe],MATCH(tItens[[#This Row],[Produto]],tProdutos[Produto],0)),"produto não cadastrado")</f>
        <v>FORA</v>
      </c>
      <c r="K5012" s="12">
        <f>tItens[[#This Row],[Qtd]]*tItens[[#This Row],[Vlr unit]]</f>
        <v>2080</v>
      </c>
      <c r="L5012" s="6">
        <f>IFERROR(IF(INDEX(tProdutos[Desconto homologado],MATCH(tItens[[#This Row],[Produto]],tProdutos[Produto],0))="",DescontoPadrao,INDEX(tProdutos[Desconto homologado],MATCH(tItens[[#This Row],[Produto]],tProdutos[Produto],0))),DescontoPadrao)</f>
        <v>0.405797101449275</v>
      </c>
      <c r="M5012" s="12">
        <f>tItens[[#This Row],[Valor]]*(1-tItens[[#This Row],[Desconto]])</f>
        <v>1235.9420289855082</v>
      </c>
      <c r="N5012" t="str">
        <f>IFERROR(INDEX(tProdutos[Foco],MATCH(tItens[[#This Row],[Produto]],tProdutos[Produto],0)),"Não")</f>
        <v>Não</v>
      </c>
      <c r="O5012" t="str">
        <f>IFERROR(INDEX(tEditais[SRP],MATCH(tItens[[#This Row],[Edital]],tEditais[Edital],0)),"Não")</f>
        <v>Sim</v>
      </c>
      <c r="P5012" s="4">
        <f>IF(COUNTIFS(INDEX(tItens[Edital],1):tItens[[#This Row],[Edital]],tItens[[#This Row],[Edital]],INDEX(tItens[Produto],1):tItens[[#This Row],[Produto]],tItens[[#This Row],[Produto]])=1,1,0)</f>
        <v>1</v>
      </c>
    </row>
    <row r="5013" spans="1:16" x14ac:dyDescent="0.25">
      <c r="A5013" t="s">
        <v>1946</v>
      </c>
      <c r="B5013">
        <v>120</v>
      </c>
      <c r="C5013" t="s">
        <v>7822</v>
      </c>
      <c r="D5013" t="s">
        <v>289</v>
      </c>
      <c r="E5013" s="13">
        <v>25000</v>
      </c>
      <c r="F5013" s="12">
        <v>1.02</v>
      </c>
      <c r="G5013" t="str">
        <f>IFERROR(INDEX(tEditais[Órgão],MATCH(tItens[[#This Row],[Edital]],tEditais[Edital],0)),"")</f>
        <v>MUNICIPIO DE ANGICAL DO PIAUI</v>
      </c>
      <c r="H5013" t="str">
        <f>IFERROR(INDEX(tEditais[UF],MATCH(tItens[[#This Row],[Edital]],tEditais[Edital],0)),"")</f>
        <v>PI</v>
      </c>
      <c r="I5013" s="11">
        <f>IFERROR(INDEX(tEditais[Encerramento],MATCH(tItens[[#This Row],[Edital]],tEditais[Edital],0)),"")</f>
        <v>46308.291666666664</v>
      </c>
      <c r="J5013" t="str">
        <f>IFERROR(INDEX(tProdutos[Classe],MATCH(tItens[[#This Row],[Produto]],tProdutos[Produto],0)),"produto não cadastrado")</f>
        <v>DISPUTADO</v>
      </c>
      <c r="K5013" s="12">
        <f>tItens[[#This Row],[Qtd]]*tItens[[#This Row],[Vlr unit]]</f>
        <v>25500</v>
      </c>
      <c r="L5013" s="6">
        <f>IFERROR(IF(INDEX(tProdutos[Desconto homologado],MATCH(tItens[[#This Row],[Produto]],tProdutos[Produto],0))="",DescontoPadrao,INDEX(tProdutos[Desconto homologado],MATCH(tItens[[#This Row],[Produto]],tProdutos[Produto],0))),DescontoPadrao)</f>
        <v>0.35849056603773599</v>
      </c>
      <c r="M5013" s="12">
        <f>tItens[[#This Row],[Valor]]*(1-tItens[[#This Row],[Desconto]])</f>
        <v>16358.490566037732</v>
      </c>
      <c r="N5013" t="str">
        <f>IFERROR(INDEX(tProdutos[Foco],MATCH(tItens[[#This Row],[Produto]],tProdutos[Produto],0)),"Não")</f>
        <v>Não</v>
      </c>
      <c r="O5013" t="str">
        <f>IFERROR(INDEX(tEditais[SRP],MATCH(tItens[[#This Row],[Edital]],tEditais[Edital],0)),"Não")</f>
        <v>Sim</v>
      </c>
      <c r="P5013" s="4">
        <f>IF(COUNTIFS(INDEX(tItens[Edital],1):tItens[[#This Row],[Edital]],tItens[[#This Row],[Edital]],INDEX(tItens[Produto],1):tItens[[#This Row],[Produto]],tItens[[#This Row],[Produto]])=1,1,0)</f>
        <v>1</v>
      </c>
    </row>
    <row r="5014" spans="1:16" x14ac:dyDescent="0.25">
      <c r="A5014" t="s">
        <v>1946</v>
      </c>
      <c r="B5014">
        <v>121</v>
      </c>
      <c r="C5014" t="s">
        <v>7823</v>
      </c>
      <c r="D5014" t="s">
        <v>283</v>
      </c>
      <c r="E5014" s="13">
        <v>1000</v>
      </c>
      <c r="F5014" s="12">
        <v>0.37</v>
      </c>
      <c r="G5014" t="str">
        <f>IFERROR(INDEX(tEditais[Órgão],MATCH(tItens[[#This Row],[Edital]],tEditais[Edital],0)),"")</f>
        <v>MUNICIPIO DE ANGICAL DO PIAUI</v>
      </c>
      <c r="H5014" t="str">
        <f>IFERROR(INDEX(tEditais[UF],MATCH(tItens[[#This Row],[Edital]],tEditais[Edital],0)),"")</f>
        <v>PI</v>
      </c>
      <c r="I5014" s="11">
        <f>IFERROR(INDEX(tEditais[Encerramento],MATCH(tItens[[#This Row],[Edital]],tEditais[Edital],0)),"")</f>
        <v>46308.291666666664</v>
      </c>
      <c r="J5014" t="str">
        <f>IFERROR(INDEX(tProdutos[Classe],MATCH(tItens[[#This Row],[Produto]],tProdutos[Produto],0)),"produto não cadastrado")</f>
        <v>FORA</v>
      </c>
      <c r="K5014" s="12">
        <f>tItens[[#This Row],[Qtd]]*tItens[[#This Row],[Vlr unit]]</f>
        <v>370</v>
      </c>
      <c r="L5014" s="6">
        <f>IFERROR(IF(INDEX(tProdutos[Desconto homologado],MATCH(tItens[[#This Row],[Produto]],tProdutos[Produto],0))="",DescontoPadrao,INDEX(tProdutos[Desconto homologado],MATCH(tItens[[#This Row],[Produto]],tProdutos[Produto],0))),DescontoPadrao)</f>
        <v>0.40540540540540498</v>
      </c>
      <c r="M5014" s="12">
        <f>tItens[[#This Row],[Valor]]*(1-tItens[[#This Row],[Desconto]])</f>
        <v>220.00000000000014</v>
      </c>
      <c r="N5014" t="str">
        <f>IFERROR(INDEX(tProdutos[Foco],MATCH(tItens[[#This Row],[Produto]],tProdutos[Produto],0)),"Não")</f>
        <v>Não</v>
      </c>
      <c r="O5014" t="str">
        <f>IFERROR(INDEX(tEditais[SRP],MATCH(tItens[[#This Row],[Edital]],tEditais[Edital],0)),"Não")</f>
        <v>Sim</v>
      </c>
      <c r="P5014" s="4">
        <f>IF(COUNTIFS(INDEX(tItens[Edital],1):tItens[[#This Row],[Edital]],tItens[[#This Row],[Edital]],INDEX(tItens[Produto],1):tItens[[#This Row],[Produto]],tItens[[#This Row],[Produto]])=1,1,0)</f>
        <v>1</v>
      </c>
    </row>
    <row r="5015" spans="1:16" x14ac:dyDescent="0.25">
      <c r="A5015" t="s">
        <v>1946</v>
      </c>
      <c r="B5015">
        <v>122</v>
      </c>
      <c r="C5015" t="s">
        <v>7824</v>
      </c>
      <c r="D5015" t="s">
        <v>265</v>
      </c>
      <c r="E5015" s="13">
        <v>25000</v>
      </c>
      <c r="F5015" s="12">
        <v>0.57999999999999996</v>
      </c>
      <c r="G5015" t="str">
        <f>IFERROR(INDEX(tEditais[Órgão],MATCH(tItens[[#This Row],[Edital]],tEditais[Edital],0)),"")</f>
        <v>MUNICIPIO DE ANGICAL DO PIAUI</v>
      </c>
      <c r="H5015" t="str">
        <f>IFERROR(INDEX(tEditais[UF],MATCH(tItens[[#This Row],[Edital]],tEditais[Edital],0)),"")</f>
        <v>PI</v>
      </c>
      <c r="I5015" s="11">
        <f>IFERROR(INDEX(tEditais[Encerramento],MATCH(tItens[[#This Row],[Edital]],tEditais[Edital],0)),"")</f>
        <v>46308.291666666664</v>
      </c>
      <c r="J5015" t="str">
        <f>IFERROR(INDEX(tProdutos[Classe],MATCH(tItens[[#This Row],[Produto]],tProdutos[Produto],0)),"produto não cadastrado")</f>
        <v>DISPUTADO</v>
      </c>
      <c r="K5015" s="12">
        <f>tItens[[#This Row],[Qtd]]*tItens[[#This Row],[Vlr unit]]</f>
        <v>14499.999999999998</v>
      </c>
      <c r="L5015" s="6">
        <f>IFERROR(IF(INDEX(tProdutos[Desconto homologado],MATCH(tItens[[#This Row],[Produto]],tProdutos[Produto],0))="",DescontoPadrao,INDEX(tProdutos[Desconto homologado],MATCH(tItens[[#This Row],[Produto]],tProdutos[Produto],0))),DescontoPadrao)</f>
        <v>0.377587663709337</v>
      </c>
      <c r="M5015" s="12">
        <f>tItens[[#This Row],[Valor]]*(1-tItens[[#This Row],[Desconto]])</f>
        <v>9024.9788762146127</v>
      </c>
      <c r="N5015" t="str">
        <f>IFERROR(INDEX(tProdutos[Foco],MATCH(tItens[[#This Row],[Produto]],tProdutos[Produto],0)),"Não")</f>
        <v>Não</v>
      </c>
      <c r="O5015" t="str">
        <f>IFERROR(INDEX(tEditais[SRP],MATCH(tItens[[#This Row],[Edital]],tEditais[Edital],0)),"Não")</f>
        <v>Sim</v>
      </c>
      <c r="P5015" s="4">
        <f>IF(COUNTIFS(INDEX(tItens[Edital],1):tItens[[#This Row],[Edital]],tItens[[#This Row],[Edital]],INDEX(tItens[Produto],1):tItens[[#This Row],[Produto]],tItens[[#This Row],[Produto]])=1,1,0)</f>
        <v>1</v>
      </c>
    </row>
    <row r="5016" spans="1:16" x14ac:dyDescent="0.25">
      <c r="A5016" t="s">
        <v>1946</v>
      </c>
      <c r="B5016">
        <v>128</v>
      </c>
      <c r="C5016" t="s">
        <v>7825</v>
      </c>
      <c r="D5016" t="s">
        <v>184</v>
      </c>
      <c r="E5016" s="13">
        <v>100</v>
      </c>
      <c r="F5016" s="12">
        <v>6.84</v>
      </c>
      <c r="G5016" t="str">
        <f>IFERROR(INDEX(tEditais[Órgão],MATCH(tItens[[#This Row],[Edital]],tEditais[Edital],0)),"")</f>
        <v>MUNICIPIO DE ANGICAL DO PIAUI</v>
      </c>
      <c r="H5016" t="str">
        <f>IFERROR(INDEX(tEditais[UF],MATCH(tItens[[#This Row],[Edital]],tEditais[Edital],0)),"")</f>
        <v>PI</v>
      </c>
      <c r="I5016" s="11">
        <f>IFERROR(INDEX(tEditais[Encerramento],MATCH(tItens[[#This Row],[Edital]],tEditais[Edital],0)),"")</f>
        <v>46308.291666666664</v>
      </c>
      <c r="J5016" t="str">
        <f>IFERROR(INDEX(tProdutos[Classe],MATCH(tItens[[#This Row],[Produto]],tProdutos[Produto],0)),"produto não cadastrado")</f>
        <v>FORA</v>
      </c>
      <c r="K5016" s="12">
        <f>tItens[[#This Row],[Qtd]]*tItens[[#This Row],[Vlr unit]]</f>
        <v>684</v>
      </c>
      <c r="L5016" s="6">
        <f>IFERROR(IF(INDEX(tProdutos[Desconto homologado],MATCH(tItens[[#This Row],[Produto]],tProdutos[Produto],0))="",DescontoPadrao,INDEX(tProdutos[Desconto homologado],MATCH(tItens[[#This Row],[Produto]],tProdutos[Produto],0))),DescontoPadrao)</f>
        <v>0.363567906332742</v>
      </c>
      <c r="M5016" s="12">
        <f>tItens[[#This Row],[Valor]]*(1-tItens[[#This Row],[Desconto]])</f>
        <v>435.31955206840451</v>
      </c>
      <c r="N5016" t="str">
        <f>IFERROR(INDEX(tProdutos[Foco],MATCH(tItens[[#This Row],[Produto]],tProdutos[Produto],0)),"Não")</f>
        <v>Não</v>
      </c>
      <c r="O5016" t="str">
        <f>IFERROR(INDEX(tEditais[SRP],MATCH(tItens[[#This Row],[Edital]],tEditais[Edital],0)),"Não")</f>
        <v>Sim</v>
      </c>
      <c r="P5016" s="4">
        <f>IF(COUNTIFS(INDEX(tItens[Edital],1):tItens[[#This Row],[Edital]],tItens[[#This Row],[Edital]],INDEX(tItens[Produto],1):tItens[[#This Row],[Produto]],tItens[[#This Row],[Produto]])=1,1,0)</f>
        <v>1</v>
      </c>
    </row>
    <row r="5017" spans="1:16" x14ac:dyDescent="0.25">
      <c r="A5017" t="s">
        <v>1946</v>
      </c>
      <c r="B5017">
        <v>129</v>
      </c>
      <c r="C5017" t="s">
        <v>7826</v>
      </c>
      <c r="D5017" t="s">
        <v>184</v>
      </c>
      <c r="E5017" s="13">
        <v>100</v>
      </c>
      <c r="F5017" s="12">
        <v>5.72</v>
      </c>
      <c r="G5017" t="str">
        <f>IFERROR(INDEX(tEditais[Órgão],MATCH(tItens[[#This Row],[Edital]],tEditais[Edital],0)),"")</f>
        <v>MUNICIPIO DE ANGICAL DO PIAUI</v>
      </c>
      <c r="H5017" t="str">
        <f>IFERROR(INDEX(tEditais[UF],MATCH(tItens[[#This Row],[Edital]],tEditais[Edital],0)),"")</f>
        <v>PI</v>
      </c>
      <c r="I5017" s="11">
        <f>IFERROR(INDEX(tEditais[Encerramento],MATCH(tItens[[#This Row],[Edital]],tEditais[Edital],0)),"")</f>
        <v>46308.291666666664</v>
      </c>
      <c r="J5017" t="str">
        <f>IFERROR(INDEX(tProdutos[Classe],MATCH(tItens[[#This Row],[Produto]],tProdutos[Produto],0)),"produto não cadastrado")</f>
        <v>FORA</v>
      </c>
      <c r="K5017" s="12">
        <f>tItens[[#This Row],[Qtd]]*tItens[[#This Row],[Vlr unit]]</f>
        <v>572</v>
      </c>
      <c r="L5017" s="6">
        <f>IFERROR(IF(INDEX(tProdutos[Desconto homologado],MATCH(tItens[[#This Row],[Produto]],tProdutos[Produto],0))="",DescontoPadrao,INDEX(tProdutos[Desconto homologado],MATCH(tItens[[#This Row],[Produto]],tProdutos[Produto],0))),DescontoPadrao)</f>
        <v>0.363567906332742</v>
      </c>
      <c r="M5017" s="12">
        <f>tItens[[#This Row],[Valor]]*(1-tItens[[#This Row],[Desconto]])</f>
        <v>364.03915757767163</v>
      </c>
      <c r="N5017" t="str">
        <f>IFERROR(INDEX(tProdutos[Foco],MATCH(tItens[[#This Row],[Produto]],tProdutos[Produto],0)),"Não")</f>
        <v>Não</v>
      </c>
      <c r="O5017" t="str">
        <f>IFERROR(INDEX(tEditais[SRP],MATCH(tItens[[#This Row],[Edital]],tEditais[Edital],0)),"Não")</f>
        <v>Sim</v>
      </c>
      <c r="P5017" s="4">
        <f>IF(COUNTIFS(INDEX(tItens[Edital],1):tItens[[#This Row],[Edital]],tItens[[#This Row],[Edital]],INDEX(tItens[Produto],1):tItens[[#This Row],[Produto]],tItens[[#This Row],[Produto]])=1,1,0)</f>
        <v>0</v>
      </c>
    </row>
    <row r="5018" spans="1:16" x14ac:dyDescent="0.25">
      <c r="A5018" t="s">
        <v>1946</v>
      </c>
      <c r="B5018">
        <v>130</v>
      </c>
      <c r="C5018" t="s">
        <v>7827</v>
      </c>
      <c r="D5018" t="s">
        <v>184</v>
      </c>
      <c r="E5018" s="13">
        <v>100</v>
      </c>
      <c r="F5018" s="12">
        <v>5.51</v>
      </c>
      <c r="G5018" t="str">
        <f>IFERROR(INDEX(tEditais[Órgão],MATCH(tItens[[#This Row],[Edital]],tEditais[Edital],0)),"")</f>
        <v>MUNICIPIO DE ANGICAL DO PIAUI</v>
      </c>
      <c r="H5018" t="str">
        <f>IFERROR(INDEX(tEditais[UF],MATCH(tItens[[#This Row],[Edital]],tEditais[Edital],0)),"")</f>
        <v>PI</v>
      </c>
      <c r="I5018" s="11">
        <f>IFERROR(INDEX(tEditais[Encerramento],MATCH(tItens[[#This Row],[Edital]],tEditais[Edital],0)),"")</f>
        <v>46308.291666666664</v>
      </c>
      <c r="J5018" t="str">
        <f>IFERROR(INDEX(tProdutos[Classe],MATCH(tItens[[#This Row],[Produto]],tProdutos[Produto],0)),"produto não cadastrado")</f>
        <v>FORA</v>
      </c>
      <c r="K5018" s="12">
        <f>tItens[[#This Row],[Qtd]]*tItens[[#This Row],[Vlr unit]]</f>
        <v>551</v>
      </c>
      <c r="L5018" s="6">
        <f>IFERROR(IF(INDEX(tProdutos[Desconto homologado],MATCH(tItens[[#This Row],[Produto]],tProdutos[Produto],0))="",DescontoPadrao,INDEX(tProdutos[Desconto homologado],MATCH(tItens[[#This Row],[Produto]],tProdutos[Produto],0))),DescontoPadrao)</f>
        <v>0.363567906332742</v>
      </c>
      <c r="M5018" s="12">
        <f>tItens[[#This Row],[Valor]]*(1-tItens[[#This Row],[Desconto]])</f>
        <v>350.67408361065918</v>
      </c>
      <c r="N5018" t="str">
        <f>IFERROR(INDEX(tProdutos[Foco],MATCH(tItens[[#This Row],[Produto]],tProdutos[Produto],0)),"Não")</f>
        <v>Não</v>
      </c>
      <c r="O5018" t="str">
        <f>IFERROR(INDEX(tEditais[SRP],MATCH(tItens[[#This Row],[Edital]],tEditais[Edital],0)),"Não")</f>
        <v>Sim</v>
      </c>
      <c r="P5018" s="4">
        <f>IF(COUNTIFS(INDEX(tItens[Edital],1):tItens[[#This Row],[Edital]],tItens[[#This Row],[Edital]],INDEX(tItens[Produto],1):tItens[[#This Row],[Produto]],tItens[[#This Row],[Produto]])=1,1,0)</f>
        <v>0</v>
      </c>
    </row>
    <row r="5019" spans="1:16" x14ac:dyDescent="0.25">
      <c r="A5019" t="s">
        <v>1946</v>
      </c>
      <c r="B5019">
        <v>131</v>
      </c>
      <c r="C5019" t="s">
        <v>7828</v>
      </c>
      <c r="D5019" t="s">
        <v>184</v>
      </c>
      <c r="E5019" s="13">
        <v>100</v>
      </c>
      <c r="F5019" s="12">
        <v>5.56</v>
      </c>
      <c r="G5019" t="str">
        <f>IFERROR(INDEX(tEditais[Órgão],MATCH(tItens[[#This Row],[Edital]],tEditais[Edital],0)),"")</f>
        <v>MUNICIPIO DE ANGICAL DO PIAUI</v>
      </c>
      <c r="H5019" t="str">
        <f>IFERROR(INDEX(tEditais[UF],MATCH(tItens[[#This Row],[Edital]],tEditais[Edital],0)),"")</f>
        <v>PI</v>
      </c>
      <c r="I5019" s="11">
        <f>IFERROR(INDEX(tEditais[Encerramento],MATCH(tItens[[#This Row],[Edital]],tEditais[Edital],0)),"")</f>
        <v>46308.291666666664</v>
      </c>
      <c r="J5019" t="str">
        <f>IFERROR(INDEX(tProdutos[Classe],MATCH(tItens[[#This Row],[Produto]],tProdutos[Produto],0)),"produto não cadastrado")</f>
        <v>FORA</v>
      </c>
      <c r="K5019" s="12">
        <f>tItens[[#This Row],[Qtd]]*tItens[[#This Row],[Vlr unit]]</f>
        <v>556</v>
      </c>
      <c r="L5019" s="6">
        <f>IFERROR(IF(INDEX(tProdutos[Desconto homologado],MATCH(tItens[[#This Row],[Produto]],tProdutos[Produto],0))="",DescontoPadrao,INDEX(tProdutos[Desconto homologado],MATCH(tItens[[#This Row],[Produto]],tProdutos[Produto],0))),DescontoPadrao)</f>
        <v>0.363567906332742</v>
      </c>
      <c r="M5019" s="12">
        <f>tItens[[#This Row],[Valor]]*(1-tItens[[#This Row],[Desconto]])</f>
        <v>353.85624407899547</v>
      </c>
      <c r="N5019" t="str">
        <f>IFERROR(INDEX(tProdutos[Foco],MATCH(tItens[[#This Row],[Produto]],tProdutos[Produto],0)),"Não")</f>
        <v>Não</v>
      </c>
      <c r="O5019" t="str">
        <f>IFERROR(INDEX(tEditais[SRP],MATCH(tItens[[#This Row],[Edital]],tEditais[Edital],0)),"Não")</f>
        <v>Sim</v>
      </c>
      <c r="P5019" s="4">
        <f>IF(COUNTIFS(INDEX(tItens[Edital],1):tItens[[#This Row],[Edital]],tItens[[#This Row],[Edital]],INDEX(tItens[Produto],1):tItens[[#This Row],[Produto]],tItens[[#This Row],[Produto]])=1,1,0)</f>
        <v>0</v>
      </c>
    </row>
    <row r="5020" spans="1:16" x14ac:dyDescent="0.25">
      <c r="A5020" t="s">
        <v>1946</v>
      </c>
      <c r="B5020">
        <v>132</v>
      </c>
      <c r="C5020" t="s">
        <v>7829</v>
      </c>
      <c r="D5020" t="s">
        <v>184</v>
      </c>
      <c r="E5020" s="13">
        <v>100</v>
      </c>
      <c r="F5020" s="12">
        <v>6.02</v>
      </c>
      <c r="G5020" t="str">
        <f>IFERROR(INDEX(tEditais[Órgão],MATCH(tItens[[#This Row],[Edital]],tEditais[Edital],0)),"")</f>
        <v>MUNICIPIO DE ANGICAL DO PIAUI</v>
      </c>
      <c r="H5020" t="str">
        <f>IFERROR(INDEX(tEditais[UF],MATCH(tItens[[#This Row],[Edital]],tEditais[Edital],0)),"")</f>
        <v>PI</v>
      </c>
      <c r="I5020" s="11">
        <f>IFERROR(INDEX(tEditais[Encerramento],MATCH(tItens[[#This Row],[Edital]],tEditais[Edital],0)),"")</f>
        <v>46308.291666666664</v>
      </c>
      <c r="J5020" t="str">
        <f>IFERROR(INDEX(tProdutos[Classe],MATCH(tItens[[#This Row],[Produto]],tProdutos[Produto],0)),"produto não cadastrado")</f>
        <v>FORA</v>
      </c>
      <c r="K5020" s="12">
        <f>tItens[[#This Row],[Qtd]]*tItens[[#This Row],[Vlr unit]]</f>
        <v>602</v>
      </c>
      <c r="L5020" s="6">
        <f>IFERROR(IF(INDEX(tProdutos[Desconto homologado],MATCH(tItens[[#This Row],[Produto]],tProdutos[Produto],0))="",DescontoPadrao,INDEX(tProdutos[Desconto homologado],MATCH(tItens[[#This Row],[Produto]],tProdutos[Produto],0))),DescontoPadrao)</f>
        <v>0.363567906332742</v>
      </c>
      <c r="M5020" s="12">
        <f>tItens[[#This Row],[Valor]]*(1-tItens[[#This Row],[Desconto]])</f>
        <v>383.13212038768933</v>
      </c>
      <c r="N5020" t="str">
        <f>IFERROR(INDEX(tProdutos[Foco],MATCH(tItens[[#This Row],[Produto]],tProdutos[Produto],0)),"Não")</f>
        <v>Não</v>
      </c>
      <c r="O5020" t="str">
        <f>IFERROR(INDEX(tEditais[SRP],MATCH(tItens[[#This Row],[Edital]],tEditais[Edital],0)),"Não")</f>
        <v>Sim</v>
      </c>
      <c r="P5020" s="4">
        <f>IF(COUNTIFS(INDEX(tItens[Edital],1):tItens[[#This Row],[Edital]],tItens[[#This Row],[Edital]],INDEX(tItens[Produto],1):tItens[[#This Row],[Produto]],tItens[[#This Row],[Produto]])=1,1,0)</f>
        <v>0</v>
      </c>
    </row>
    <row r="5021" spans="1:16" x14ac:dyDescent="0.25">
      <c r="A5021" t="s">
        <v>1946</v>
      </c>
      <c r="B5021">
        <v>133</v>
      </c>
      <c r="C5021" t="s">
        <v>7830</v>
      </c>
      <c r="D5021" t="s">
        <v>184</v>
      </c>
      <c r="E5021" s="13">
        <v>100</v>
      </c>
      <c r="F5021" s="12">
        <v>6.12</v>
      </c>
      <c r="G5021" t="str">
        <f>IFERROR(INDEX(tEditais[Órgão],MATCH(tItens[[#This Row],[Edital]],tEditais[Edital],0)),"")</f>
        <v>MUNICIPIO DE ANGICAL DO PIAUI</v>
      </c>
      <c r="H5021" t="str">
        <f>IFERROR(INDEX(tEditais[UF],MATCH(tItens[[#This Row],[Edital]],tEditais[Edital],0)),"")</f>
        <v>PI</v>
      </c>
      <c r="I5021" s="11">
        <f>IFERROR(INDEX(tEditais[Encerramento],MATCH(tItens[[#This Row],[Edital]],tEditais[Edital],0)),"")</f>
        <v>46308.291666666664</v>
      </c>
      <c r="J5021" t="str">
        <f>IFERROR(INDEX(tProdutos[Classe],MATCH(tItens[[#This Row],[Produto]],tProdutos[Produto],0)),"produto não cadastrado")</f>
        <v>FORA</v>
      </c>
      <c r="K5021" s="12">
        <f>tItens[[#This Row],[Qtd]]*tItens[[#This Row],[Vlr unit]]</f>
        <v>612</v>
      </c>
      <c r="L5021" s="6">
        <f>IFERROR(IF(INDEX(tProdutos[Desconto homologado],MATCH(tItens[[#This Row],[Produto]],tProdutos[Produto],0))="",DescontoPadrao,INDEX(tProdutos[Desconto homologado],MATCH(tItens[[#This Row],[Produto]],tProdutos[Produto],0))),DescontoPadrao)</f>
        <v>0.363567906332742</v>
      </c>
      <c r="M5021" s="12">
        <f>tItens[[#This Row],[Valor]]*(1-tItens[[#This Row],[Desconto]])</f>
        <v>389.49644132436191</v>
      </c>
      <c r="N5021" t="str">
        <f>IFERROR(INDEX(tProdutos[Foco],MATCH(tItens[[#This Row],[Produto]],tProdutos[Produto],0)),"Não")</f>
        <v>Não</v>
      </c>
      <c r="O5021" t="str">
        <f>IFERROR(INDEX(tEditais[SRP],MATCH(tItens[[#This Row],[Edital]],tEditais[Edital],0)),"Não")</f>
        <v>Sim</v>
      </c>
      <c r="P5021" s="4">
        <f>IF(COUNTIFS(INDEX(tItens[Edital],1):tItens[[#This Row],[Edital]],tItens[[#This Row],[Edital]],INDEX(tItens[Produto],1):tItens[[#This Row],[Produto]],tItens[[#This Row],[Produto]])=1,1,0)</f>
        <v>0</v>
      </c>
    </row>
    <row r="5022" spans="1:16" x14ac:dyDescent="0.25">
      <c r="A5022" t="s">
        <v>1946</v>
      </c>
      <c r="B5022">
        <v>134</v>
      </c>
      <c r="C5022" t="s">
        <v>7831</v>
      </c>
      <c r="D5022" t="s">
        <v>164</v>
      </c>
      <c r="E5022" s="13">
        <v>100</v>
      </c>
      <c r="F5022" s="12">
        <v>19.690000000000001</v>
      </c>
      <c r="G5022" t="str">
        <f>IFERROR(INDEX(tEditais[Órgão],MATCH(tItens[[#This Row],[Edital]],tEditais[Edital],0)),"")</f>
        <v>MUNICIPIO DE ANGICAL DO PIAUI</v>
      </c>
      <c r="H5022" t="str">
        <f>IFERROR(INDEX(tEditais[UF],MATCH(tItens[[#This Row],[Edital]],tEditais[Edital],0)),"")</f>
        <v>PI</v>
      </c>
      <c r="I5022" s="11">
        <f>IFERROR(INDEX(tEditais[Encerramento],MATCH(tItens[[#This Row],[Edital]],tEditais[Edital],0)),"")</f>
        <v>46308.291666666664</v>
      </c>
      <c r="J5022" t="str">
        <f>IFERROR(INDEX(tProdutos[Classe],MATCH(tItens[[#This Row],[Produto]],tProdutos[Produto],0)),"produto não cadastrado")</f>
        <v>DISPUTADO</v>
      </c>
      <c r="K5022" s="12">
        <f>tItens[[#This Row],[Qtd]]*tItens[[#This Row],[Vlr unit]]</f>
        <v>1969.0000000000002</v>
      </c>
      <c r="L5022" s="6">
        <f>IFERROR(IF(INDEX(tProdutos[Desconto homologado],MATCH(tItens[[#This Row],[Produto]],tProdutos[Produto],0))="",DescontoPadrao,INDEX(tProdutos[Desconto homologado],MATCH(tItens[[#This Row],[Produto]],tProdutos[Produto],0))),DescontoPadrao)</f>
        <v>0.445300462249615</v>
      </c>
      <c r="M5022" s="12">
        <f>tItens[[#This Row],[Valor]]*(1-tItens[[#This Row],[Desconto]])</f>
        <v>1092.2033898305081</v>
      </c>
      <c r="N5022" t="str">
        <f>IFERROR(INDEX(tProdutos[Foco],MATCH(tItens[[#This Row],[Produto]],tProdutos[Produto],0)),"Não")</f>
        <v>Não</v>
      </c>
      <c r="O5022" t="str">
        <f>IFERROR(INDEX(tEditais[SRP],MATCH(tItens[[#This Row],[Edital]],tEditais[Edital],0)),"Não")</f>
        <v>Sim</v>
      </c>
      <c r="P5022" s="4">
        <f>IF(COUNTIFS(INDEX(tItens[Edital],1):tItens[[#This Row],[Edital]],tItens[[#This Row],[Edital]],INDEX(tItens[Produto],1):tItens[[#This Row],[Produto]],tItens[[#This Row],[Produto]])=1,1,0)</f>
        <v>1</v>
      </c>
    </row>
    <row r="5023" spans="1:16" x14ac:dyDescent="0.25">
      <c r="A5023" t="s">
        <v>1946</v>
      </c>
      <c r="B5023">
        <v>135</v>
      </c>
      <c r="C5023" t="s">
        <v>7832</v>
      </c>
      <c r="D5023" t="s">
        <v>164</v>
      </c>
      <c r="E5023" s="13">
        <v>100</v>
      </c>
      <c r="F5023" s="12">
        <v>19.170000000000002</v>
      </c>
      <c r="G5023" t="str">
        <f>IFERROR(INDEX(tEditais[Órgão],MATCH(tItens[[#This Row],[Edital]],tEditais[Edital],0)),"")</f>
        <v>MUNICIPIO DE ANGICAL DO PIAUI</v>
      </c>
      <c r="H5023" t="str">
        <f>IFERROR(INDEX(tEditais[UF],MATCH(tItens[[#This Row],[Edital]],tEditais[Edital],0)),"")</f>
        <v>PI</v>
      </c>
      <c r="I5023" s="11">
        <f>IFERROR(INDEX(tEditais[Encerramento],MATCH(tItens[[#This Row],[Edital]],tEditais[Edital],0)),"")</f>
        <v>46308.291666666664</v>
      </c>
      <c r="J5023" t="str">
        <f>IFERROR(INDEX(tProdutos[Classe],MATCH(tItens[[#This Row],[Produto]],tProdutos[Produto],0)),"produto não cadastrado")</f>
        <v>DISPUTADO</v>
      </c>
      <c r="K5023" s="12">
        <f>tItens[[#This Row],[Qtd]]*tItens[[#This Row],[Vlr unit]]</f>
        <v>1917.0000000000002</v>
      </c>
      <c r="L5023" s="6">
        <f>IFERROR(IF(INDEX(tProdutos[Desconto homologado],MATCH(tItens[[#This Row],[Produto]],tProdutos[Produto],0))="",DescontoPadrao,INDEX(tProdutos[Desconto homologado],MATCH(tItens[[#This Row],[Produto]],tProdutos[Produto],0))),DescontoPadrao)</f>
        <v>0.445300462249615</v>
      </c>
      <c r="M5023" s="12">
        <f>tItens[[#This Row],[Valor]]*(1-tItens[[#This Row],[Desconto]])</f>
        <v>1063.3590138674881</v>
      </c>
      <c r="N5023" t="str">
        <f>IFERROR(INDEX(tProdutos[Foco],MATCH(tItens[[#This Row],[Produto]],tProdutos[Produto],0)),"Não")</f>
        <v>Não</v>
      </c>
      <c r="O5023" t="str">
        <f>IFERROR(INDEX(tEditais[SRP],MATCH(tItens[[#This Row],[Edital]],tEditais[Edital],0)),"Não")</f>
        <v>Sim</v>
      </c>
      <c r="P5023" s="4">
        <f>IF(COUNTIFS(INDEX(tItens[Edital],1):tItens[[#This Row],[Edital]],tItens[[#This Row],[Edital]],INDEX(tItens[Produto],1):tItens[[#This Row],[Produto]],tItens[[#This Row],[Produto]])=1,1,0)</f>
        <v>0</v>
      </c>
    </row>
    <row r="5024" spans="1:16" x14ac:dyDescent="0.25">
      <c r="A5024" t="s">
        <v>1946</v>
      </c>
      <c r="B5024">
        <v>136</v>
      </c>
      <c r="C5024" t="s">
        <v>7833</v>
      </c>
      <c r="D5024" t="s">
        <v>164</v>
      </c>
      <c r="E5024" s="13">
        <v>100</v>
      </c>
      <c r="F5024" s="12">
        <v>17.489999999999998</v>
      </c>
      <c r="G5024" t="str">
        <f>IFERROR(INDEX(tEditais[Órgão],MATCH(tItens[[#This Row],[Edital]],tEditais[Edital],0)),"")</f>
        <v>MUNICIPIO DE ANGICAL DO PIAUI</v>
      </c>
      <c r="H5024" t="str">
        <f>IFERROR(INDEX(tEditais[UF],MATCH(tItens[[#This Row],[Edital]],tEditais[Edital],0)),"")</f>
        <v>PI</v>
      </c>
      <c r="I5024" s="11">
        <f>IFERROR(INDEX(tEditais[Encerramento],MATCH(tItens[[#This Row],[Edital]],tEditais[Edital],0)),"")</f>
        <v>46308.291666666664</v>
      </c>
      <c r="J5024" t="str">
        <f>IFERROR(INDEX(tProdutos[Classe],MATCH(tItens[[#This Row],[Produto]],tProdutos[Produto],0)),"produto não cadastrado")</f>
        <v>DISPUTADO</v>
      </c>
      <c r="K5024" s="12">
        <f>tItens[[#This Row],[Qtd]]*tItens[[#This Row],[Vlr unit]]</f>
        <v>1748.9999999999998</v>
      </c>
      <c r="L5024" s="6">
        <f>IFERROR(IF(INDEX(tProdutos[Desconto homologado],MATCH(tItens[[#This Row],[Produto]],tProdutos[Produto],0))="",DescontoPadrao,INDEX(tProdutos[Desconto homologado],MATCH(tItens[[#This Row],[Produto]],tProdutos[Produto],0))),DescontoPadrao)</f>
        <v>0.445300462249615</v>
      </c>
      <c r="M5024" s="12">
        <f>tItens[[#This Row],[Valor]]*(1-tItens[[#This Row],[Desconto]])</f>
        <v>970.16949152542315</v>
      </c>
      <c r="N5024" t="str">
        <f>IFERROR(INDEX(tProdutos[Foco],MATCH(tItens[[#This Row],[Produto]],tProdutos[Produto],0)),"Não")</f>
        <v>Não</v>
      </c>
      <c r="O5024" t="str">
        <f>IFERROR(INDEX(tEditais[SRP],MATCH(tItens[[#This Row],[Edital]],tEditais[Edital],0)),"Não")</f>
        <v>Sim</v>
      </c>
      <c r="P5024" s="4">
        <f>IF(COUNTIFS(INDEX(tItens[Edital],1):tItens[[#This Row],[Edital]],tItens[[#This Row],[Edital]],INDEX(tItens[Produto],1):tItens[[#This Row],[Produto]],tItens[[#This Row],[Produto]])=1,1,0)</f>
        <v>0</v>
      </c>
    </row>
    <row r="5025" spans="1:16" x14ac:dyDescent="0.25">
      <c r="A5025" t="s">
        <v>1946</v>
      </c>
      <c r="B5025">
        <v>137</v>
      </c>
      <c r="C5025" t="s">
        <v>7834</v>
      </c>
      <c r="D5025" t="s">
        <v>110</v>
      </c>
      <c r="E5025" s="13">
        <v>100</v>
      </c>
      <c r="F5025" s="12">
        <v>1.61</v>
      </c>
      <c r="G5025" t="str">
        <f>IFERROR(INDEX(tEditais[Órgão],MATCH(tItens[[#This Row],[Edital]],tEditais[Edital],0)),"")</f>
        <v>MUNICIPIO DE ANGICAL DO PIAUI</v>
      </c>
      <c r="H5025" t="str">
        <f>IFERROR(INDEX(tEditais[UF],MATCH(tItens[[#This Row],[Edital]],tEditais[Edital],0)),"")</f>
        <v>PI</v>
      </c>
      <c r="I5025" s="11">
        <f>IFERROR(INDEX(tEditais[Encerramento],MATCH(tItens[[#This Row],[Edital]],tEditais[Edital],0)),"")</f>
        <v>46308.291666666664</v>
      </c>
      <c r="J5025" t="str">
        <f>IFERROR(INDEX(tProdutos[Classe],MATCH(tItens[[#This Row],[Produto]],tProdutos[Produto],0)),"produto não cadastrado")</f>
        <v>NÚCLEO</v>
      </c>
      <c r="K5025" s="12">
        <f>tItens[[#This Row],[Qtd]]*tItens[[#This Row],[Vlr unit]]</f>
        <v>161</v>
      </c>
      <c r="L5025" s="6">
        <f>IFERROR(IF(INDEX(tProdutos[Desconto homologado],MATCH(tItens[[#This Row],[Produto]],tProdutos[Produto],0))="",DescontoPadrao,INDEX(tProdutos[Desconto homologado],MATCH(tItens[[#This Row],[Produto]],tProdutos[Produto],0))),DescontoPadrao)</f>
        <v>0.30410958904109597</v>
      </c>
      <c r="M5025" s="12">
        <f>tItens[[#This Row],[Valor]]*(1-tItens[[#This Row],[Desconto]])</f>
        <v>112.03835616438354</v>
      </c>
      <c r="N5025" t="str">
        <f>IFERROR(INDEX(tProdutos[Foco],MATCH(tItens[[#This Row],[Produto]],tProdutos[Produto],0)),"Não")</f>
        <v>Não</v>
      </c>
      <c r="O5025" t="str">
        <f>IFERROR(INDEX(tEditais[SRP],MATCH(tItens[[#This Row],[Edital]],tEditais[Edital],0)),"Não")</f>
        <v>Sim</v>
      </c>
      <c r="P5025" s="4">
        <f>IF(COUNTIFS(INDEX(tItens[Edital],1):tItens[[#This Row],[Edital]],tItens[[#This Row],[Edital]],INDEX(tItens[Produto],1):tItens[[#This Row],[Produto]],tItens[[#This Row],[Produto]])=1,1,0)</f>
        <v>1</v>
      </c>
    </row>
    <row r="5026" spans="1:16" x14ac:dyDescent="0.25">
      <c r="A5026" t="s">
        <v>1946</v>
      </c>
      <c r="B5026">
        <v>138</v>
      </c>
      <c r="C5026" t="s">
        <v>7835</v>
      </c>
      <c r="D5026" t="s">
        <v>110</v>
      </c>
      <c r="E5026" s="13">
        <v>100</v>
      </c>
      <c r="F5026" s="12">
        <v>1.76</v>
      </c>
      <c r="G5026" t="str">
        <f>IFERROR(INDEX(tEditais[Órgão],MATCH(tItens[[#This Row],[Edital]],tEditais[Edital],0)),"")</f>
        <v>MUNICIPIO DE ANGICAL DO PIAUI</v>
      </c>
      <c r="H5026" t="str">
        <f>IFERROR(INDEX(tEditais[UF],MATCH(tItens[[#This Row],[Edital]],tEditais[Edital],0)),"")</f>
        <v>PI</v>
      </c>
      <c r="I5026" s="11">
        <f>IFERROR(INDEX(tEditais[Encerramento],MATCH(tItens[[#This Row],[Edital]],tEditais[Edital],0)),"")</f>
        <v>46308.291666666664</v>
      </c>
      <c r="J5026" t="str">
        <f>IFERROR(INDEX(tProdutos[Classe],MATCH(tItens[[#This Row],[Produto]],tProdutos[Produto],0)),"produto não cadastrado")</f>
        <v>NÚCLEO</v>
      </c>
      <c r="K5026" s="12">
        <f>tItens[[#This Row],[Qtd]]*tItens[[#This Row],[Vlr unit]]</f>
        <v>176</v>
      </c>
      <c r="L5026" s="6">
        <f>IFERROR(IF(INDEX(tProdutos[Desconto homologado],MATCH(tItens[[#This Row],[Produto]],tProdutos[Produto],0))="",DescontoPadrao,INDEX(tProdutos[Desconto homologado],MATCH(tItens[[#This Row],[Produto]],tProdutos[Produto],0))),DescontoPadrao)</f>
        <v>0.30410958904109597</v>
      </c>
      <c r="M5026" s="12">
        <f>tItens[[#This Row],[Valor]]*(1-tItens[[#This Row],[Desconto]])</f>
        <v>122.47671232876711</v>
      </c>
      <c r="N5026" t="str">
        <f>IFERROR(INDEX(tProdutos[Foco],MATCH(tItens[[#This Row],[Produto]],tProdutos[Produto],0)),"Não")</f>
        <v>Não</v>
      </c>
      <c r="O5026" t="str">
        <f>IFERROR(INDEX(tEditais[SRP],MATCH(tItens[[#This Row],[Edital]],tEditais[Edital],0)),"Não")</f>
        <v>Sim</v>
      </c>
      <c r="P5026" s="4">
        <f>IF(COUNTIFS(INDEX(tItens[Edital],1):tItens[[#This Row],[Edital]],tItens[[#This Row],[Edital]],INDEX(tItens[Produto],1):tItens[[#This Row],[Produto]],tItens[[#This Row],[Produto]])=1,1,0)</f>
        <v>0</v>
      </c>
    </row>
    <row r="5027" spans="1:16" x14ac:dyDescent="0.25">
      <c r="A5027" t="s">
        <v>1946</v>
      </c>
      <c r="B5027">
        <v>139</v>
      </c>
      <c r="C5027" t="s">
        <v>7836</v>
      </c>
      <c r="D5027" t="s">
        <v>110</v>
      </c>
      <c r="E5027" s="13">
        <v>100</v>
      </c>
      <c r="F5027" s="12">
        <v>1.31</v>
      </c>
      <c r="G5027" t="str">
        <f>IFERROR(INDEX(tEditais[Órgão],MATCH(tItens[[#This Row],[Edital]],tEditais[Edital],0)),"")</f>
        <v>MUNICIPIO DE ANGICAL DO PIAUI</v>
      </c>
      <c r="H5027" t="str">
        <f>IFERROR(INDEX(tEditais[UF],MATCH(tItens[[#This Row],[Edital]],tEditais[Edital],0)),"")</f>
        <v>PI</v>
      </c>
      <c r="I5027" s="11">
        <f>IFERROR(INDEX(tEditais[Encerramento],MATCH(tItens[[#This Row],[Edital]],tEditais[Edital],0)),"")</f>
        <v>46308.291666666664</v>
      </c>
      <c r="J5027" t="str">
        <f>IFERROR(INDEX(tProdutos[Classe],MATCH(tItens[[#This Row],[Produto]],tProdutos[Produto],0)),"produto não cadastrado")</f>
        <v>NÚCLEO</v>
      </c>
      <c r="K5027" s="12">
        <f>tItens[[#This Row],[Qtd]]*tItens[[#This Row],[Vlr unit]]</f>
        <v>131</v>
      </c>
      <c r="L5027" s="6">
        <f>IFERROR(IF(INDEX(tProdutos[Desconto homologado],MATCH(tItens[[#This Row],[Produto]],tProdutos[Produto],0))="",DescontoPadrao,INDEX(tProdutos[Desconto homologado],MATCH(tItens[[#This Row],[Produto]],tProdutos[Produto],0))),DescontoPadrao)</f>
        <v>0.30410958904109597</v>
      </c>
      <c r="M5027" s="12">
        <f>tItens[[#This Row],[Valor]]*(1-tItens[[#This Row],[Desconto]])</f>
        <v>91.161643835616431</v>
      </c>
      <c r="N5027" t="str">
        <f>IFERROR(INDEX(tProdutos[Foco],MATCH(tItens[[#This Row],[Produto]],tProdutos[Produto],0)),"Não")</f>
        <v>Não</v>
      </c>
      <c r="O5027" t="str">
        <f>IFERROR(INDEX(tEditais[SRP],MATCH(tItens[[#This Row],[Edital]],tEditais[Edital],0)),"Não")</f>
        <v>Sim</v>
      </c>
      <c r="P5027" s="4">
        <f>IF(COUNTIFS(INDEX(tItens[Edital],1):tItens[[#This Row],[Edital]],tItens[[#This Row],[Edital]],INDEX(tItens[Produto],1):tItens[[#This Row],[Produto]],tItens[[#This Row],[Produto]])=1,1,0)</f>
        <v>0</v>
      </c>
    </row>
    <row r="5028" spans="1:16" x14ac:dyDescent="0.25">
      <c r="A5028" t="s">
        <v>1946</v>
      </c>
      <c r="B5028">
        <v>140</v>
      </c>
      <c r="C5028" t="s">
        <v>7837</v>
      </c>
      <c r="D5028" t="s">
        <v>110</v>
      </c>
      <c r="E5028" s="13">
        <v>100</v>
      </c>
      <c r="F5028" s="12">
        <v>1.42</v>
      </c>
      <c r="G5028" t="str">
        <f>IFERROR(INDEX(tEditais[Órgão],MATCH(tItens[[#This Row],[Edital]],tEditais[Edital],0)),"")</f>
        <v>MUNICIPIO DE ANGICAL DO PIAUI</v>
      </c>
      <c r="H5028" t="str">
        <f>IFERROR(INDEX(tEditais[UF],MATCH(tItens[[#This Row],[Edital]],tEditais[Edital],0)),"")</f>
        <v>PI</v>
      </c>
      <c r="I5028" s="11">
        <f>IFERROR(INDEX(tEditais[Encerramento],MATCH(tItens[[#This Row],[Edital]],tEditais[Edital],0)),"")</f>
        <v>46308.291666666664</v>
      </c>
      <c r="J5028" t="str">
        <f>IFERROR(INDEX(tProdutos[Classe],MATCH(tItens[[#This Row],[Produto]],tProdutos[Produto],0)),"produto não cadastrado")</f>
        <v>NÚCLEO</v>
      </c>
      <c r="K5028" s="12">
        <f>tItens[[#This Row],[Qtd]]*tItens[[#This Row],[Vlr unit]]</f>
        <v>142</v>
      </c>
      <c r="L5028" s="6">
        <f>IFERROR(IF(INDEX(tProdutos[Desconto homologado],MATCH(tItens[[#This Row],[Produto]],tProdutos[Produto],0))="",DescontoPadrao,INDEX(tProdutos[Desconto homologado],MATCH(tItens[[#This Row],[Produto]],tProdutos[Produto],0))),DescontoPadrao)</f>
        <v>0.30410958904109597</v>
      </c>
      <c r="M5028" s="12">
        <f>tItens[[#This Row],[Valor]]*(1-tItens[[#This Row],[Desconto]])</f>
        <v>98.816438356164369</v>
      </c>
      <c r="N5028" t="str">
        <f>IFERROR(INDEX(tProdutos[Foco],MATCH(tItens[[#This Row],[Produto]],tProdutos[Produto],0)),"Não")</f>
        <v>Não</v>
      </c>
      <c r="O5028" t="str">
        <f>IFERROR(INDEX(tEditais[SRP],MATCH(tItens[[#This Row],[Edital]],tEditais[Edital],0)),"Não")</f>
        <v>Sim</v>
      </c>
      <c r="P5028" s="4">
        <f>IF(COUNTIFS(INDEX(tItens[Edital],1):tItens[[#This Row],[Edital]],tItens[[#This Row],[Edital]],INDEX(tItens[Produto],1):tItens[[#This Row],[Produto]],tItens[[#This Row],[Produto]])=1,1,0)</f>
        <v>0</v>
      </c>
    </row>
    <row r="5029" spans="1:16" x14ac:dyDescent="0.25">
      <c r="A5029" t="s">
        <v>1946</v>
      </c>
      <c r="B5029">
        <v>141</v>
      </c>
      <c r="C5029" t="s">
        <v>7838</v>
      </c>
      <c r="D5029" t="s">
        <v>110</v>
      </c>
      <c r="E5029" s="13">
        <v>100</v>
      </c>
      <c r="F5029" s="12">
        <v>1.87</v>
      </c>
      <c r="G5029" t="str">
        <f>IFERROR(INDEX(tEditais[Órgão],MATCH(tItens[[#This Row],[Edital]],tEditais[Edital],0)),"")</f>
        <v>MUNICIPIO DE ANGICAL DO PIAUI</v>
      </c>
      <c r="H5029" t="str">
        <f>IFERROR(INDEX(tEditais[UF],MATCH(tItens[[#This Row],[Edital]],tEditais[Edital],0)),"")</f>
        <v>PI</v>
      </c>
      <c r="I5029" s="11">
        <f>IFERROR(INDEX(tEditais[Encerramento],MATCH(tItens[[#This Row],[Edital]],tEditais[Edital],0)),"")</f>
        <v>46308.291666666664</v>
      </c>
      <c r="J5029" t="str">
        <f>IFERROR(INDEX(tProdutos[Classe],MATCH(tItens[[#This Row],[Produto]],tProdutos[Produto],0)),"produto não cadastrado")</f>
        <v>NÚCLEO</v>
      </c>
      <c r="K5029" s="12">
        <f>tItens[[#This Row],[Qtd]]*tItens[[#This Row],[Vlr unit]]</f>
        <v>187</v>
      </c>
      <c r="L5029" s="6">
        <f>IFERROR(IF(INDEX(tProdutos[Desconto homologado],MATCH(tItens[[#This Row],[Produto]],tProdutos[Produto],0))="",DescontoPadrao,INDEX(tProdutos[Desconto homologado],MATCH(tItens[[#This Row],[Produto]],tProdutos[Produto],0))),DescontoPadrao)</f>
        <v>0.30410958904109597</v>
      </c>
      <c r="M5029" s="12">
        <f>tItens[[#This Row],[Valor]]*(1-tItens[[#This Row],[Desconto]])</f>
        <v>130.13150684931506</v>
      </c>
      <c r="N5029" t="str">
        <f>IFERROR(INDEX(tProdutos[Foco],MATCH(tItens[[#This Row],[Produto]],tProdutos[Produto],0)),"Não")</f>
        <v>Não</v>
      </c>
      <c r="O5029" t="str">
        <f>IFERROR(INDEX(tEditais[SRP],MATCH(tItens[[#This Row],[Edital]],tEditais[Edital],0)),"Não")</f>
        <v>Sim</v>
      </c>
      <c r="P5029" s="4">
        <f>IF(COUNTIFS(INDEX(tItens[Edital],1):tItens[[#This Row],[Edital]],tItens[[#This Row],[Edital]],INDEX(tItens[Produto],1):tItens[[#This Row],[Produto]],tItens[[#This Row],[Produto]])=1,1,0)</f>
        <v>0</v>
      </c>
    </row>
    <row r="5030" spans="1:16" x14ac:dyDescent="0.25">
      <c r="A5030" t="s">
        <v>1946</v>
      </c>
      <c r="B5030">
        <v>142</v>
      </c>
      <c r="C5030" t="s">
        <v>7839</v>
      </c>
      <c r="D5030" t="s">
        <v>110</v>
      </c>
      <c r="E5030" s="13">
        <v>100</v>
      </c>
      <c r="F5030" s="12">
        <v>2.7</v>
      </c>
      <c r="G5030" t="str">
        <f>IFERROR(INDEX(tEditais[Órgão],MATCH(tItens[[#This Row],[Edital]],tEditais[Edital],0)),"")</f>
        <v>MUNICIPIO DE ANGICAL DO PIAUI</v>
      </c>
      <c r="H5030" t="str">
        <f>IFERROR(INDEX(tEditais[UF],MATCH(tItens[[#This Row],[Edital]],tEditais[Edital],0)),"")</f>
        <v>PI</v>
      </c>
      <c r="I5030" s="11">
        <f>IFERROR(INDEX(tEditais[Encerramento],MATCH(tItens[[#This Row],[Edital]],tEditais[Edital],0)),"")</f>
        <v>46308.291666666664</v>
      </c>
      <c r="J5030" t="str">
        <f>IFERROR(INDEX(tProdutos[Classe],MATCH(tItens[[#This Row],[Produto]],tProdutos[Produto],0)),"produto não cadastrado")</f>
        <v>NÚCLEO</v>
      </c>
      <c r="K5030" s="12">
        <f>tItens[[#This Row],[Qtd]]*tItens[[#This Row],[Vlr unit]]</f>
        <v>270</v>
      </c>
      <c r="L5030" s="6">
        <f>IFERROR(IF(INDEX(tProdutos[Desconto homologado],MATCH(tItens[[#This Row],[Produto]],tProdutos[Produto],0))="",DescontoPadrao,INDEX(tProdutos[Desconto homologado],MATCH(tItens[[#This Row],[Produto]],tProdutos[Produto],0))),DescontoPadrao)</f>
        <v>0.30410958904109597</v>
      </c>
      <c r="M5030" s="12">
        <f>tItens[[#This Row],[Valor]]*(1-tItens[[#This Row],[Desconto]])</f>
        <v>187.89041095890408</v>
      </c>
      <c r="N5030" t="str">
        <f>IFERROR(INDEX(tProdutos[Foco],MATCH(tItens[[#This Row],[Produto]],tProdutos[Produto],0)),"Não")</f>
        <v>Não</v>
      </c>
      <c r="O5030" t="str">
        <f>IFERROR(INDEX(tEditais[SRP],MATCH(tItens[[#This Row],[Edital]],tEditais[Edital],0)),"Não")</f>
        <v>Sim</v>
      </c>
      <c r="P5030" s="4">
        <f>IF(COUNTIFS(INDEX(tItens[Edital],1):tItens[[#This Row],[Edital]],tItens[[#This Row],[Edital]],INDEX(tItens[Produto],1):tItens[[#This Row],[Produto]],tItens[[#This Row],[Produto]])=1,1,0)</f>
        <v>0</v>
      </c>
    </row>
    <row r="5031" spans="1:16" x14ac:dyDescent="0.25">
      <c r="A5031" t="s">
        <v>1946</v>
      </c>
      <c r="B5031">
        <v>143</v>
      </c>
      <c r="C5031" t="s">
        <v>7840</v>
      </c>
      <c r="D5031" t="s">
        <v>110</v>
      </c>
      <c r="E5031" s="13">
        <v>100</v>
      </c>
      <c r="F5031" s="12">
        <v>2.96</v>
      </c>
      <c r="G5031" t="str">
        <f>IFERROR(INDEX(tEditais[Órgão],MATCH(tItens[[#This Row],[Edital]],tEditais[Edital],0)),"")</f>
        <v>MUNICIPIO DE ANGICAL DO PIAUI</v>
      </c>
      <c r="H5031" t="str">
        <f>IFERROR(INDEX(tEditais[UF],MATCH(tItens[[#This Row],[Edital]],tEditais[Edital],0)),"")</f>
        <v>PI</v>
      </c>
      <c r="I5031" s="11">
        <f>IFERROR(INDEX(tEditais[Encerramento],MATCH(tItens[[#This Row],[Edital]],tEditais[Edital],0)),"")</f>
        <v>46308.291666666664</v>
      </c>
      <c r="J5031" t="str">
        <f>IFERROR(INDEX(tProdutos[Classe],MATCH(tItens[[#This Row],[Produto]],tProdutos[Produto],0)),"produto não cadastrado")</f>
        <v>NÚCLEO</v>
      </c>
      <c r="K5031" s="12">
        <f>tItens[[#This Row],[Qtd]]*tItens[[#This Row],[Vlr unit]]</f>
        <v>296</v>
      </c>
      <c r="L5031" s="6">
        <f>IFERROR(IF(INDEX(tProdutos[Desconto homologado],MATCH(tItens[[#This Row],[Produto]],tProdutos[Produto],0))="",DescontoPadrao,INDEX(tProdutos[Desconto homologado],MATCH(tItens[[#This Row],[Produto]],tProdutos[Produto],0))),DescontoPadrao)</f>
        <v>0.30410958904109597</v>
      </c>
      <c r="M5031" s="12">
        <f>tItens[[#This Row],[Valor]]*(1-tItens[[#This Row],[Desconto]])</f>
        <v>205.9835616438356</v>
      </c>
      <c r="N5031" t="str">
        <f>IFERROR(INDEX(tProdutos[Foco],MATCH(tItens[[#This Row],[Produto]],tProdutos[Produto],0)),"Não")</f>
        <v>Não</v>
      </c>
      <c r="O5031" t="str">
        <f>IFERROR(INDEX(tEditais[SRP],MATCH(tItens[[#This Row],[Edital]],tEditais[Edital],0)),"Não")</f>
        <v>Sim</v>
      </c>
      <c r="P5031" s="4">
        <f>IF(COUNTIFS(INDEX(tItens[Edital],1):tItens[[#This Row],[Edital]],tItens[[#This Row],[Edital]],INDEX(tItens[Produto],1):tItens[[#This Row],[Produto]],tItens[[#This Row],[Produto]])=1,1,0)</f>
        <v>0</v>
      </c>
    </row>
    <row r="5032" spans="1:16" x14ac:dyDescent="0.25">
      <c r="A5032" t="s">
        <v>1946</v>
      </c>
      <c r="B5032">
        <v>144</v>
      </c>
      <c r="C5032" t="s">
        <v>7841</v>
      </c>
      <c r="D5032" t="s">
        <v>120</v>
      </c>
      <c r="E5032" s="13">
        <v>100</v>
      </c>
      <c r="F5032" s="12">
        <v>1.47</v>
      </c>
      <c r="G5032" t="str">
        <f>IFERROR(INDEX(tEditais[Órgão],MATCH(tItens[[#This Row],[Edital]],tEditais[Edital],0)),"")</f>
        <v>MUNICIPIO DE ANGICAL DO PIAUI</v>
      </c>
      <c r="H5032" t="str">
        <f>IFERROR(INDEX(tEditais[UF],MATCH(tItens[[#This Row],[Edital]],tEditais[Edital],0)),"")</f>
        <v>PI</v>
      </c>
      <c r="I5032" s="11">
        <f>IFERROR(INDEX(tEditais[Encerramento],MATCH(tItens[[#This Row],[Edital]],tEditais[Edital],0)),"")</f>
        <v>46308.291666666664</v>
      </c>
      <c r="J5032" t="str">
        <f>IFERROR(INDEX(tProdutos[Classe],MATCH(tItens[[#This Row],[Produto]],tProdutos[Produto],0)),"produto não cadastrado")</f>
        <v>DISPUTADO</v>
      </c>
      <c r="K5032" s="12">
        <f>tItens[[#This Row],[Qtd]]*tItens[[#This Row],[Vlr unit]]</f>
        <v>147</v>
      </c>
      <c r="L5032" s="6">
        <f>IFERROR(IF(INDEX(tProdutos[Desconto homologado],MATCH(tItens[[#This Row],[Produto]],tProdutos[Produto],0))="",DescontoPadrao,INDEX(tProdutos[Desconto homologado],MATCH(tItens[[#This Row],[Produto]],tProdutos[Produto],0))),DescontoPadrao)</f>
        <v>0.40909090909090901</v>
      </c>
      <c r="M5032" s="12">
        <f>tItens[[#This Row],[Valor]]*(1-tItens[[#This Row],[Desconto]])</f>
        <v>86.863636363636388</v>
      </c>
      <c r="N5032" t="str">
        <f>IFERROR(INDEX(tProdutos[Foco],MATCH(tItens[[#This Row],[Produto]],tProdutos[Produto],0)),"Não")</f>
        <v>Não</v>
      </c>
      <c r="O5032" t="str">
        <f>IFERROR(INDEX(tEditais[SRP],MATCH(tItens[[#This Row],[Edital]],tEditais[Edital],0)),"Não")</f>
        <v>Sim</v>
      </c>
      <c r="P5032" s="4">
        <f>IF(COUNTIFS(INDEX(tItens[Edital],1):tItens[[#This Row],[Edital]],tItens[[#This Row],[Edital]],INDEX(tItens[Produto],1):tItens[[#This Row],[Produto]],tItens[[#This Row],[Produto]])=1,1,0)</f>
        <v>1</v>
      </c>
    </row>
    <row r="5033" spans="1:16" x14ac:dyDescent="0.25">
      <c r="A5033" t="s">
        <v>1946</v>
      </c>
      <c r="B5033">
        <v>145</v>
      </c>
      <c r="C5033" t="s">
        <v>7842</v>
      </c>
      <c r="D5033" t="s">
        <v>120</v>
      </c>
      <c r="E5033" s="13">
        <v>100</v>
      </c>
      <c r="F5033" s="12">
        <v>1.35</v>
      </c>
      <c r="G5033" t="str">
        <f>IFERROR(INDEX(tEditais[Órgão],MATCH(tItens[[#This Row],[Edital]],tEditais[Edital],0)),"")</f>
        <v>MUNICIPIO DE ANGICAL DO PIAUI</v>
      </c>
      <c r="H5033" t="str">
        <f>IFERROR(INDEX(tEditais[UF],MATCH(tItens[[#This Row],[Edital]],tEditais[Edital],0)),"")</f>
        <v>PI</v>
      </c>
      <c r="I5033" s="11">
        <f>IFERROR(INDEX(tEditais[Encerramento],MATCH(tItens[[#This Row],[Edital]],tEditais[Edital],0)),"")</f>
        <v>46308.291666666664</v>
      </c>
      <c r="J5033" t="str">
        <f>IFERROR(INDEX(tProdutos[Classe],MATCH(tItens[[#This Row],[Produto]],tProdutos[Produto],0)),"produto não cadastrado")</f>
        <v>DISPUTADO</v>
      </c>
      <c r="K5033" s="12">
        <f>tItens[[#This Row],[Qtd]]*tItens[[#This Row],[Vlr unit]]</f>
        <v>135</v>
      </c>
      <c r="L5033" s="6">
        <f>IFERROR(IF(INDEX(tProdutos[Desconto homologado],MATCH(tItens[[#This Row],[Produto]],tProdutos[Produto],0))="",DescontoPadrao,INDEX(tProdutos[Desconto homologado],MATCH(tItens[[#This Row],[Produto]],tProdutos[Produto],0))),DescontoPadrao)</f>
        <v>0.40909090909090901</v>
      </c>
      <c r="M5033" s="12">
        <f>tItens[[#This Row],[Valor]]*(1-tItens[[#This Row],[Desconto]])</f>
        <v>79.772727272727295</v>
      </c>
      <c r="N5033" t="str">
        <f>IFERROR(INDEX(tProdutos[Foco],MATCH(tItens[[#This Row],[Produto]],tProdutos[Produto],0)),"Não")</f>
        <v>Não</v>
      </c>
      <c r="O5033" t="str">
        <f>IFERROR(INDEX(tEditais[SRP],MATCH(tItens[[#This Row],[Edital]],tEditais[Edital],0)),"Não")</f>
        <v>Sim</v>
      </c>
      <c r="P5033" s="4">
        <f>IF(COUNTIFS(INDEX(tItens[Edital],1):tItens[[#This Row],[Edital]],tItens[[#This Row],[Edital]],INDEX(tItens[Produto],1):tItens[[#This Row],[Produto]],tItens[[#This Row],[Produto]])=1,1,0)</f>
        <v>0</v>
      </c>
    </row>
    <row r="5034" spans="1:16" x14ac:dyDescent="0.25">
      <c r="A5034" t="s">
        <v>1946</v>
      </c>
      <c r="B5034">
        <v>146</v>
      </c>
      <c r="C5034" t="s">
        <v>7843</v>
      </c>
      <c r="D5034" t="s">
        <v>120</v>
      </c>
      <c r="E5034" s="13">
        <v>100</v>
      </c>
      <c r="F5034" s="12">
        <v>1.66</v>
      </c>
      <c r="G5034" t="str">
        <f>IFERROR(INDEX(tEditais[Órgão],MATCH(tItens[[#This Row],[Edital]],tEditais[Edital],0)),"")</f>
        <v>MUNICIPIO DE ANGICAL DO PIAUI</v>
      </c>
      <c r="H5034" t="str">
        <f>IFERROR(INDEX(tEditais[UF],MATCH(tItens[[#This Row],[Edital]],tEditais[Edital],0)),"")</f>
        <v>PI</v>
      </c>
      <c r="I5034" s="11">
        <f>IFERROR(INDEX(tEditais[Encerramento],MATCH(tItens[[#This Row],[Edital]],tEditais[Edital],0)),"")</f>
        <v>46308.291666666664</v>
      </c>
      <c r="J5034" t="str">
        <f>IFERROR(INDEX(tProdutos[Classe],MATCH(tItens[[#This Row],[Produto]],tProdutos[Produto],0)),"produto não cadastrado")</f>
        <v>DISPUTADO</v>
      </c>
      <c r="K5034" s="12">
        <f>tItens[[#This Row],[Qtd]]*tItens[[#This Row],[Vlr unit]]</f>
        <v>166</v>
      </c>
      <c r="L5034" s="6">
        <f>IFERROR(IF(INDEX(tProdutos[Desconto homologado],MATCH(tItens[[#This Row],[Produto]],tProdutos[Produto],0))="",DescontoPadrao,INDEX(tProdutos[Desconto homologado],MATCH(tItens[[#This Row],[Produto]],tProdutos[Produto],0))),DescontoPadrao)</f>
        <v>0.40909090909090901</v>
      </c>
      <c r="M5034" s="12">
        <f>tItens[[#This Row],[Valor]]*(1-tItens[[#This Row],[Desconto]])</f>
        <v>98.090909090909108</v>
      </c>
      <c r="N5034" t="str">
        <f>IFERROR(INDEX(tProdutos[Foco],MATCH(tItens[[#This Row],[Produto]],tProdutos[Produto],0)),"Não")</f>
        <v>Não</v>
      </c>
      <c r="O5034" t="str">
        <f>IFERROR(INDEX(tEditais[SRP],MATCH(tItens[[#This Row],[Edital]],tEditais[Edital],0)),"Não")</f>
        <v>Sim</v>
      </c>
      <c r="P5034" s="4">
        <f>IF(COUNTIFS(INDEX(tItens[Edital],1):tItens[[#This Row],[Edital]],tItens[[#This Row],[Edital]],INDEX(tItens[Produto],1):tItens[[#This Row],[Produto]],tItens[[#This Row],[Produto]])=1,1,0)</f>
        <v>0</v>
      </c>
    </row>
    <row r="5035" spans="1:16" x14ac:dyDescent="0.25">
      <c r="A5035" t="s">
        <v>1946</v>
      </c>
      <c r="B5035">
        <v>147</v>
      </c>
      <c r="C5035" t="s">
        <v>7844</v>
      </c>
      <c r="D5035" t="s">
        <v>120</v>
      </c>
      <c r="E5035" s="13">
        <v>100</v>
      </c>
      <c r="F5035" s="12">
        <v>1.33</v>
      </c>
      <c r="G5035" t="str">
        <f>IFERROR(INDEX(tEditais[Órgão],MATCH(tItens[[#This Row],[Edital]],tEditais[Edital],0)),"")</f>
        <v>MUNICIPIO DE ANGICAL DO PIAUI</v>
      </c>
      <c r="H5035" t="str">
        <f>IFERROR(INDEX(tEditais[UF],MATCH(tItens[[#This Row],[Edital]],tEditais[Edital],0)),"")</f>
        <v>PI</v>
      </c>
      <c r="I5035" s="11">
        <f>IFERROR(INDEX(tEditais[Encerramento],MATCH(tItens[[#This Row],[Edital]],tEditais[Edital],0)),"")</f>
        <v>46308.291666666664</v>
      </c>
      <c r="J5035" t="str">
        <f>IFERROR(INDEX(tProdutos[Classe],MATCH(tItens[[#This Row],[Produto]],tProdutos[Produto],0)),"produto não cadastrado")</f>
        <v>DISPUTADO</v>
      </c>
      <c r="K5035" s="12">
        <f>tItens[[#This Row],[Qtd]]*tItens[[#This Row],[Vlr unit]]</f>
        <v>133</v>
      </c>
      <c r="L5035" s="6">
        <f>IFERROR(IF(INDEX(tProdutos[Desconto homologado],MATCH(tItens[[#This Row],[Produto]],tProdutos[Produto],0))="",DescontoPadrao,INDEX(tProdutos[Desconto homologado],MATCH(tItens[[#This Row],[Produto]],tProdutos[Produto],0))),DescontoPadrao)</f>
        <v>0.40909090909090901</v>
      </c>
      <c r="M5035" s="12">
        <f>tItens[[#This Row],[Valor]]*(1-tItens[[#This Row],[Desconto]])</f>
        <v>78.590909090909108</v>
      </c>
      <c r="N5035" t="str">
        <f>IFERROR(INDEX(tProdutos[Foco],MATCH(tItens[[#This Row],[Produto]],tProdutos[Produto],0)),"Não")</f>
        <v>Não</v>
      </c>
      <c r="O5035" t="str">
        <f>IFERROR(INDEX(tEditais[SRP],MATCH(tItens[[#This Row],[Edital]],tEditais[Edital],0)),"Não")</f>
        <v>Sim</v>
      </c>
      <c r="P5035" s="4">
        <f>IF(COUNTIFS(INDEX(tItens[Edital],1):tItens[[#This Row],[Edital]],tItens[[#This Row],[Edital]],INDEX(tItens[Produto],1):tItens[[#This Row],[Produto]],tItens[[#This Row],[Produto]])=1,1,0)</f>
        <v>0</v>
      </c>
    </row>
    <row r="5036" spans="1:16" x14ac:dyDescent="0.25">
      <c r="A5036" t="s">
        <v>1946</v>
      </c>
      <c r="B5036">
        <v>148</v>
      </c>
      <c r="C5036" t="s">
        <v>7845</v>
      </c>
      <c r="D5036" t="s">
        <v>120</v>
      </c>
      <c r="E5036" s="13">
        <v>100</v>
      </c>
      <c r="F5036" s="12">
        <v>1.42</v>
      </c>
      <c r="G5036" t="str">
        <f>IFERROR(INDEX(tEditais[Órgão],MATCH(tItens[[#This Row],[Edital]],tEditais[Edital],0)),"")</f>
        <v>MUNICIPIO DE ANGICAL DO PIAUI</v>
      </c>
      <c r="H5036" t="str">
        <f>IFERROR(INDEX(tEditais[UF],MATCH(tItens[[#This Row],[Edital]],tEditais[Edital],0)),"")</f>
        <v>PI</v>
      </c>
      <c r="I5036" s="11">
        <f>IFERROR(INDEX(tEditais[Encerramento],MATCH(tItens[[#This Row],[Edital]],tEditais[Edital],0)),"")</f>
        <v>46308.291666666664</v>
      </c>
      <c r="J5036" t="str">
        <f>IFERROR(INDEX(tProdutos[Classe],MATCH(tItens[[#This Row],[Produto]],tProdutos[Produto],0)),"produto não cadastrado")</f>
        <v>DISPUTADO</v>
      </c>
      <c r="K5036" s="12">
        <f>tItens[[#This Row],[Qtd]]*tItens[[#This Row],[Vlr unit]]</f>
        <v>142</v>
      </c>
      <c r="L5036" s="6">
        <f>IFERROR(IF(INDEX(tProdutos[Desconto homologado],MATCH(tItens[[#This Row],[Produto]],tProdutos[Produto],0))="",DescontoPadrao,INDEX(tProdutos[Desconto homologado],MATCH(tItens[[#This Row],[Produto]],tProdutos[Produto],0))),DescontoPadrao)</f>
        <v>0.40909090909090901</v>
      </c>
      <c r="M5036" s="12">
        <f>tItens[[#This Row],[Valor]]*(1-tItens[[#This Row],[Desconto]])</f>
        <v>83.909090909090935</v>
      </c>
      <c r="N5036" t="str">
        <f>IFERROR(INDEX(tProdutos[Foco],MATCH(tItens[[#This Row],[Produto]],tProdutos[Produto],0)),"Não")</f>
        <v>Não</v>
      </c>
      <c r="O5036" t="str">
        <f>IFERROR(INDEX(tEditais[SRP],MATCH(tItens[[#This Row],[Edital]],tEditais[Edital],0)),"Não")</f>
        <v>Sim</v>
      </c>
      <c r="P5036" s="4">
        <f>IF(COUNTIFS(INDEX(tItens[Edital],1):tItens[[#This Row],[Edital]],tItens[[#This Row],[Edital]],INDEX(tItens[Produto],1):tItens[[#This Row],[Produto]],tItens[[#This Row],[Produto]])=1,1,0)</f>
        <v>0</v>
      </c>
    </row>
    <row r="5037" spans="1:16" x14ac:dyDescent="0.25">
      <c r="A5037" t="s">
        <v>1946</v>
      </c>
      <c r="B5037">
        <v>151</v>
      </c>
      <c r="C5037" t="s">
        <v>7846</v>
      </c>
      <c r="D5037" t="s">
        <v>114</v>
      </c>
      <c r="E5037" s="13">
        <v>60</v>
      </c>
      <c r="F5037" s="12">
        <v>14.12</v>
      </c>
      <c r="G5037" t="str">
        <f>IFERROR(INDEX(tEditais[Órgão],MATCH(tItens[[#This Row],[Edital]],tEditais[Edital],0)),"")</f>
        <v>MUNICIPIO DE ANGICAL DO PIAUI</v>
      </c>
      <c r="H5037" t="str">
        <f>IFERROR(INDEX(tEditais[UF],MATCH(tItens[[#This Row],[Edital]],tEditais[Edital],0)),"")</f>
        <v>PI</v>
      </c>
      <c r="I5037" s="11">
        <f>IFERROR(INDEX(tEditais[Encerramento],MATCH(tItens[[#This Row],[Edital]],tEditais[Edital],0)),"")</f>
        <v>46308.291666666664</v>
      </c>
      <c r="J5037" t="str">
        <f>IFERROR(INDEX(tProdutos[Classe],MATCH(tItens[[#This Row],[Produto]],tProdutos[Produto],0)),"produto não cadastrado")</f>
        <v>DISPUTADO</v>
      </c>
      <c r="K5037" s="12">
        <f>tItens[[#This Row],[Qtd]]*tItens[[#This Row],[Vlr unit]]</f>
        <v>847.19999999999993</v>
      </c>
      <c r="L5037" s="6">
        <f>IFERROR(IF(INDEX(tProdutos[Desconto homologado],MATCH(tItens[[#This Row],[Produto]],tProdutos[Produto],0))="",DescontoPadrao,INDEX(tProdutos[Desconto homologado],MATCH(tItens[[#This Row],[Produto]],tProdutos[Produto],0))),DescontoPadrao)</f>
        <v>0.24332656063896899</v>
      </c>
      <c r="M5037" s="12">
        <f>tItens[[#This Row],[Valor]]*(1-tItens[[#This Row],[Desconto]])</f>
        <v>641.0537378266655</v>
      </c>
      <c r="N5037" t="str">
        <f>IFERROR(INDEX(tProdutos[Foco],MATCH(tItens[[#This Row],[Produto]],tProdutos[Produto],0)),"Não")</f>
        <v>Não</v>
      </c>
      <c r="O5037" t="str">
        <f>IFERROR(INDEX(tEditais[SRP],MATCH(tItens[[#This Row],[Edital]],tEditais[Edital],0)),"Não")</f>
        <v>Sim</v>
      </c>
      <c r="P5037" s="4">
        <f>IF(COUNTIFS(INDEX(tItens[Edital],1):tItens[[#This Row],[Edital]],tItens[[#This Row],[Edital]],INDEX(tItens[Produto],1):tItens[[#This Row],[Produto]],tItens[[#This Row],[Produto]])=1,1,0)</f>
        <v>1</v>
      </c>
    </row>
    <row r="5038" spans="1:16" x14ac:dyDescent="0.25">
      <c r="A5038" t="s">
        <v>1946</v>
      </c>
      <c r="B5038">
        <v>152</v>
      </c>
      <c r="C5038" t="s">
        <v>7847</v>
      </c>
      <c r="D5038" t="s">
        <v>156</v>
      </c>
      <c r="E5038" s="13">
        <v>2</v>
      </c>
      <c r="F5038" s="12">
        <v>18.22</v>
      </c>
      <c r="G5038" t="str">
        <f>IFERROR(INDEX(tEditais[Órgão],MATCH(tItens[[#This Row],[Edital]],tEditais[Edital],0)),"")</f>
        <v>MUNICIPIO DE ANGICAL DO PIAUI</v>
      </c>
      <c r="H5038" t="str">
        <f>IFERROR(INDEX(tEditais[UF],MATCH(tItens[[#This Row],[Edital]],tEditais[Edital],0)),"")</f>
        <v>PI</v>
      </c>
      <c r="I5038" s="11">
        <f>IFERROR(INDEX(tEditais[Encerramento],MATCH(tItens[[#This Row],[Edital]],tEditais[Edital],0)),"")</f>
        <v>46308.291666666664</v>
      </c>
      <c r="J5038" t="str">
        <f>IFERROR(INDEX(tProdutos[Classe],MATCH(tItens[[#This Row],[Produto]],tProdutos[Produto],0)),"produto não cadastrado")</f>
        <v>DISPUTADO</v>
      </c>
      <c r="K5038" s="12">
        <f>tItens[[#This Row],[Qtd]]*tItens[[#This Row],[Vlr unit]]</f>
        <v>36.44</v>
      </c>
      <c r="L5038" s="6">
        <f>IFERROR(IF(INDEX(tProdutos[Desconto homologado],MATCH(tItens[[#This Row],[Produto]],tProdutos[Produto],0))="",DescontoPadrao,INDEX(tProdutos[Desconto homologado],MATCH(tItens[[#This Row],[Produto]],tProdutos[Produto],0))),DescontoPadrao)</f>
        <v>0.27131852489802799</v>
      </c>
      <c r="M5038" s="12">
        <f>tItens[[#This Row],[Valor]]*(1-tItens[[#This Row],[Desconto]])</f>
        <v>26.553152952715859</v>
      </c>
      <c r="N5038" t="str">
        <f>IFERROR(INDEX(tProdutos[Foco],MATCH(tItens[[#This Row],[Produto]],tProdutos[Produto],0)),"Não")</f>
        <v>Não</v>
      </c>
      <c r="O5038" t="str">
        <f>IFERROR(INDEX(tEditais[SRP],MATCH(tItens[[#This Row],[Edital]],tEditais[Edital],0)),"Não")</f>
        <v>Sim</v>
      </c>
      <c r="P5038" s="4">
        <f>IF(COUNTIFS(INDEX(tItens[Edital],1):tItens[[#This Row],[Edital]],tItens[[#This Row],[Edital]],INDEX(tItens[Produto],1):tItens[[#This Row],[Produto]],tItens[[#This Row],[Produto]])=1,1,0)</f>
        <v>1</v>
      </c>
    </row>
    <row r="5039" spans="1:16" x14ac:dyDescent="0.25">
      <c r="A5039" t="s">
        <v>1952</v>
      </c>
      <c r="B5039">
        <v>17</v>
      </c>
      <c r="C5039" t="s">
        <v>7848</v>
      </c>
      <c r="D5039" t="s">
        <v>423</v>
      </c>
      <c r="E5039" s="13">
        <v>100</v>
      </c>
      <c r="F5039" s="12">
        <v>1130.07</v>
      </c>
      <c r="G5039" t="str">
        <f>IFERROR(INDEX(tEditais[Órgão],MATCH(tItens[[#This Row],[Edital]],tEditais[Edital],0)),"")</f>
        <v>FUNDACAO MUNICIPAL DE SAUDE</v>
      </c>
      <c r="H5039" t="str">
        <f>IFERROR(INDEX(tEditais[UF],MATCH(tItens[[#This Row],[Edital]],tEditais[Edital],0)),"")</f>
        <v>PI</v>
      </c>
      <c r="I5039" s="11">
        <f>IFERROR(INDEX(tEditais[Encerramento],MATCH(tItens[[#This Row],[Edital]],tEditais[Edital],0)),"")</f>
        <v>46309.333333333336</v>
      </c>
      <c r="J5039" t="str">
        <f>IFERROR(INDEX(tProdutos[Classe],MATCH(tItens[[#This Row],[Produto]],tProdutos[Produto],0)),"produto não cadastrado")</f>
        <v>FORA</v>
      </c>
      <c r="K5039" s="12">
        <f>tItens[[#This Row],[Qtd]]*tItens[[#This Row],[Vlr unit]]</f>
        <v>113007</v>
      </c>
      <c r="L5039" s="6">
        <f>IFERROR(IF(INDEX(tProdutos[Desconto homologado],MATCH(tItens[[#This Row],[Produto]],tProdutos[Produto],0))="",DescontoPadrao,INDEX(tProdutos[Desconto homologado],MATCH(tItens[[#This Row],[Produto]],tProdutos[Produto],0))),DescontoPadrao)</f>
        <v>0.38271604938271597</v>
      </c>
      <c r="M5039" s="12">
        <f>tItens[[#This Row],[Valor]]*(1-tItens[[#This Row],[Desconto]])</f>
        <v>69757.407407407416</v>
      </c>
      <c r="N5039" t="str">
        <f>IFERROR(INDEX(tProdutos[Foco],MATCH(tItens[[#This Row],[Produto]],tProdutos[Produto],0)),"Não")</f>
        <v>Não</v>
      </c>
      <c r="O5039" t="str">
        <f>IFERROR(INDEX(tEditais[SRP],MATCH(tItens[[#This Row],[Edital]],tEditais[Edital],0)),"Não")</f>
        <v>Não</v>
      </c>
      <c r="P5039" s="4">
        <f>IF(COUNTIFS(INDEX(tItens[Edital],1):tItens[[#This Row],[Edital]],tItens[[#This Row],[Edital]],INDEX(tItens[Produto],1):tItens[[#This Row],[Produto]],tItens[[#This Row],[Produto]])=1,1,0)</f>
        <v>1</v>
      </c>
    </row>
    <row r="5040" spans="1:16" x14ac:dyDescent="0.25">
      <c r="A5040" t="s">
        <v>1952</v>
      </c>
      <c r="B5040">
        <v>34</v>
      </c>
      <c r="C5040" t="s">
        <v>7849</v>
      </c>
      <c r="D5040" t="s">
        <v>421</v>
      </c>
      <c r="E5040" s="13">
        <v>4</v>
      </c>
      <c r="F5040" s="12">
        <v>135.75</v>
      </c>
      <c r="G5040" t="str">
        <f>IFERROR(INDEX(tEditais[Órgão],MATCH(tItens[[#This Row],[Edital]],tEditais[Edital],0)),"")</f>
        <v>FUNDACAO MUNICIPAL DE SAUDE</v>
      </c>
      <c r="H5040" t="str">
        <f>IFERROR(INDEX(tEditais[UF],MATCH(tItens[[#This Row],[Edital]],tEditais[Edital],0)),"")</f>
        <v>PI</v>
      </c>
      <c r="I5040" s="11">
        <f>IFERROR(INDEX(tEditais[Encerramento],MATCH(tItens[[#This Row],[Edital]],tEditais[Edital],0)),"")</f>
        <v>46309.333333333336</v>
      </c>
      <c r="J5040" t="str">
        <f>IFERROR(INDEX(tProdutos[Classe],MATCH(tItens[[#This Row],[Produto]],tProdutos[Produto],0)),"produto não cadastrado")</f>
        <v>FORA</v>
      </c>
      <c r="K5040" s="12">
        <f>tItens[[#This Row],[Qtd]]*tItens[[#This Row],[Vlr unit]]</f>
        <v>543</v>
      </c>
      <c r="L5040" s="6">
        <f>IFERROR(IF(INDEX(tProdutos[Desconto homologado],MATCH(tItens[[#This Row],[Produto]],tProdutos[Produto],0))="",DescontoPadrao,INDEX(tProdutos[Desconto homologado],MATCH(tItens[[#This Row],[Produto]],tProdutos[Produto],0))),DescontoPadrao)</f>
        <v>0.43</v>
      </c>
      <c r="M5040" s="12">
        <f>tItens[[#This Row],[Valor]]*(1-tItens[[#This Row],[Desconto]])</f>
        <v>309.51000000000005</v>
      </c>
      <c r="N5040" t="str">
        <f>IFERROR(INDEX(tProdutos[Foco],MATCH(tItens[[#This Row],[Produto]],tProdutos[Produto],0)),"Não")</f>
        <v>Sim</v>
      </c>
      <c r="O5040" t="str">
        <f>IFERROR(INDEX(tEditais[SRP],MATCH(tItens[[#This Row],[Edital]],tEditais[Edital],0)),"Não")</f>
        <v>Não</v>
      </c>
      <c r="P5040" s="4">
        <f>IF(COUNTIFS(INDEX(tItens[Edital],1):tItens[[#This Row],[Edital]],tItens[[#This Row],[Edital]],INDEX(tItens[Produto],1):tItens[[#This Row],[Produto]],tItens[[#This Row],[Produto]])=1,1,0)</f>
        <v>1</v>
      </c>
    </row>
    <row r="5041" spans="1:16" x14ac:dyDescent="0.25">
      <c r="A5041" t="s">
        <v>1952</v>
      </c>
      <c r="B5041">
        <v>54</v>
      </c>
      <c r="C5041" t="s">
        <v>7850</v>
      </c>
      <c r="D5041" t="s">
        <v>566</v>
      </c>
      <c r="E5041" s="13">
        <v>10</v>
      </c>
      <c r="F5041" s="12">
        <v>318.75</v>
      </c>
      <c r="G5041" t="str">
        <f>IFERROR(INDEX(tEditais[Órgão],MATCH(tItens[[#This Row],[Edital]],tEditais[Edital],0)),"")</f>
        <v>FUNDACAO MUNICIPAL DE SAUDE</v>
      </c>
      <c r="H5041" t="str">
        <f>IFERROR(INDEX(tEditais[UF],MATCH(tItens[[#This Row],[Edital]],tEditais[Edital],0)),"")</f>
        <v>PI</v>
      </c>
      <c r="I5041" s="11">
        <f>IFERROR(INDEX(tEditais[Encerramento],MATCH(tItens[[#This Row],[Edital]],tEditais[Edital],0)),"")</f>
        <v>46309.333333333336</v>
      </c>
      <c r="J5041" t="str">
        <f>IFERROR(INDEX(tProdutos[Classe],MATCH(tItens[[#This Row],[Produto]],tProdutos[Produto],0)),"produto não cadastrado")</f>
        <v>FILA REBASE</v>
      </c>
      <c r="K5041" s="12">
        <f>tItens[[#This Row],[Qtd]]*tItens[[#This Row],[Vlr unit]]</f>
        <v>3187.5</v>
      </c>
      <c r="L5041" s="6">
        <f>IFERROR(IF(INDEX(tProdutos[Desconto homologado],MATCH(tItens[[#This Row],[Produto]],tProdutos[Produto],0))="",DescontoPadrao,INDEX(tProdutos[Desconto homologado],MATCH(tItens[[#This Row],[Produto]],tProdutos[Produto],0))),DescontoPadrao)</f>
        <v>0.1816062551698</v>
      </c>
      <c r="M5041" s="12">
        <f>tItens[[#This Row],[Valor]]*(1-tItens[[#This Row],[Desconto]])</f>
        <v>2608.6300616462627</v>
      </c>
      <c r="N5041" t="str">
        <f>IFERROR(INDEX(tProdutos[Foco],MATCH(tItens[[#This Row],[Produto]],tProdutos[Produto],0)),"Não")</f>
        <v>Não</v>
      </c>
      <c r="O5041" t="str">
        <f>IFERROR(INDEX(tEditais[SRP],MATCH(tItens[[#This Row],[Edital]],tEditais[Edital],0)),"Não")</f>
        <v>Não</v>
      </c>
      <c r="P5041" s="4">
        <f>IF(COUNTIFS(INDEX(tItens[Edital],1):tItens[[#This Row],[Edital]],tItens[[#This Row],[Edital]],INDEX(tItens[Produto],1):tItens[[#This Row],[Produto]],tItens[[#This Row],[Produto]])=1,1,0)</f>
        <v>1</v>
      </c>
    </row>
    <row r="5042" spans="1:16" x14ac:dyDescent="0.25">
      <c r="A5042" t="s">
        <v>1957</v>
      </c>
      <c r="B5042">
        <v>37</v>
      </c>
      <c r="C5042" t="s">
        <v>7851</v>
      </c>
      <c r="D5042" t="s">
        <v>311</v>
      </c>
      <c r="E5042" s="13">
        <v>940</v>
      </c>
      <c r="F5042" s="12">
        <v>11.88</v>
      </c>
      <c r="G5042" t="str">
        <f>IFERROR(INDEX(tEditais[Órgão],MATCH(tItens[[#This Row],[Edital]],tEditais[Edital],0)),"")</f>
        <v>MUNICIPIO DE CAMPO GRANDE DO PIAUI</v>
      </c>
      <c r="H5042" t="str">
        <f>IFERROR(INDEX(tEditais[UF],MATCH(tItens[[#This Row],[Edital]],tEditais[Edital],0)),"")</f>
        <v>PI</v>
      </c>
      <c r="I5042" s="11">
        <f>IFERROR(INDEX(tEditais[Encerramento],MATCH(tItens[[#This Row],[Edital]],tEditais[Edital],0)),"")</f>
        <v>46310.374305555553</v>
      </c>
      <c r="J5042" t="str">
        <f>IFERROR(INDEX(tProdutos[Classe],MATCH(tItens[[#This Row],[Produto]],tProdutos[Produto],0)),"produto não cadastrado")</f>
        <v>FORA</v>
      </c>
      <c r="K5042" s="12">
        <f>tItens[[#This Row],[Qtd]]*tItens[[#This Row],[Vlr unit]]</f>
        <v>11167.2</v>
      </c>
      <c r="L5042" s="6">
        <f>IFERROR(IF(INDEX(tProdutos[Desconto homologado],MATCH(tItens[[#This Row],[Produto]],tProdutos[Produto],0))="",DescontoPadrao,INDEX(tProdutos[Desconto homologado],MATCH(tItens[[#This Row],[Produto]],tProdutos[Produto],0))),DescontoPadrao)</f>
        <v>0.29046182846371399</v>
      </c>
      <c r="M5042" s="12">
        <f>tItens[[#This Row],[Valor]]*(1-tItens[[#This Row],[Desconto]])</f>
        <v>7923.5546691800146</v>
      </c>
      <c r="N5042" t="str">
        <f>IFERROR(INDEX(tProdutos[Foco],MATCH(tItens[[#This Row],[Produto]],tProdutos[Produto],0)),"Não")</f>
        <v>Não</v>
      </c>
      <c r="O5042" t="str">
        <f>IFERROR(INDEX(tEditais[SRP],MATCH(tItens[[#This Row],[Edital]],tEditais[Edital],0)),"Não")</f>
        <v>Não</v>
      </c>
      <c r="P5042" s="4">
        <f>IF(COUNTIFS(INDEX(tItens[Edital],1):tItens[[#This Row],[Edital]],tItens[[#This Row],[Edital]],INDEX(tItens[Produto],1):tItens[[#This Row],[Produto]],tItens[[#This Row],[Produto]])=1,1,0)</f>
        <v>1</v>
      </c>
    </row>
    <row r="5043" spans="1:16" x14ac:dyDescent="0.25">
      <c r="A5043" t="s">
        <v>1957</v>
      </c>
      <c r="B5043">
        <v>38</v>
      </c>
      <c r="C5043" t="s">
        <v>7852</v>
      </c>
      <c r="D5043" t="s">
        <v>311</v>
      </c>
      <c r="E5043" s="13">
        <v>940</v>
      </c>
      <c r="F5043" s="12">
        <v>8.39</v>
      </c>
      <c r="G5043" t="str">
        <f>IFERROR(INDEX(tEditais[Órgão],MATCH(tItens[[#This Row],[Edital]],tEditais[Edital],0)),"")</f>
        <v>MUNICIPIO DE CAMPO GRANDE DO PIAUI</v>
      </c>
      <c r="H5043" t="str">
        <f>IFERROR(INDEX(tEditais[UF],MATCH(tItens[[#This Row],[Edital]],tEditais[Edital],0)),"")</f>
        <v>PI</v>
      </c>
      <c r="I5043" s="11">
        <f>IFERROR(INDEX(tEditais[Encerramento],MATCH(tItens[[#This Row],[Edital]],tEditais[Edital],0)),"")</f>
        <v>46310.374305555553</v>
      </c>
      <c r="J5043" t="str">
        <f>IFERROR(INDEX(tProdutos[Classe],MATCH(tItens[[#This Row],[Produto]],tProdutos[Produto],0)),"produto não cadastrado")</f>
        <v>FORA</v>
      </c>
      <c r="K5043" s="12">
        <f>tItens[[#This Row],[Qtd]]*tItens[[#This Row],[Vlr unit]]</f>
        <v>7886.6</v>
      </c>
      <c r="L5043" s="6">
        <f>IFERROR(IF(INDEX(tProdutos[Desconto homologado],MATCH(tItens[[#This Row],[Produto]],tProdutos[Produto],0))="",DescontoPadrao,INDEX(tProdutos[Desconto homologado],MATCH(tItens[[#This Row],[Produto]],tProdutos[Produto],0))),DescontoPadrao)</f>
        <v>0.29046182846371399</v>
      </c>
      <c r="M5043" s="12">
        <f>tItens[[#This Row],[Valor]]*(1-tItens[[#This Row],[Desconto]])</f>
        <v>5595.8437436380736</v>
      </c>
      <c r="N5043" t="str">
        <f>IFERROR(INDEX(tProdutos[Foco],MATCH(tItens[[#This Row],[Produto]],tProdutos[Produto],0)),"Não")</f>
        <v>Não</v>
      </c>
      <c r="O5043" t="str">
        <f>IFERROR(INDEX(tEditais[SRP],MATCH(tItens[[#This Row],[Edital]],tEditais[Edital],0)),"Não")</f>
        <v>Não</v>
      </c>
      <c r="P5043" s="4">
        <f>IF(COUNTIFS(INDEX(tItens[Edital],1):tItens[[#This Row],[Edital]],tItens[[#This Row],[Edital]],INDEX(tItens[Produto],1):tItens[[#This Row],[Produto]],tItens[[#This Row],[Produto]])=1,1,0)</f>
        <v>0</v>
      </c>
    </row>
    <row r="5044" spans="1:16" x14ac:dyDescent="0.25">
      <c r="A5044" t="s">
        <v>1957</v>
      </c>
      <c r="B5044">
        <v>39</v>
      </c>
      <c r="C5044" t="s">
        <v>7853</v>
      </c>
      <c r="D5044" t="s">
        <v>279</v>
      </c>
      <c r="E5044" s="13">
        <v>1800</v>
      </c>
      <c r="F5044" s="12">
        <v>5.59</v>
      </c>
      <c r="G5044" t="str">
        <f>IFERROR(INDEX(tEditais[Órgão],MATCH(tItens[[#This Row],[Edital]],tEditais[Edital],0)),"")</f>
        <v>MUNICIPIO DE CAMPO GRANDE DO PIAUI</v>
      </c>
      <c r="H5044" t="str">
        <f>IFERROR(INDEX(tEditais[UF],MATCH(tItens[[#This Row],[Edital]],tEditais[Edital],0)),"")</f>
        <v>PI</v>
      </c>
      <c r="I5044" s="11">
        <f>IFERROR(INDEX(tEditais[Encerramento],MATCH(tItens[[#This Row],[Edital]],tEditais[Edital],0)),"")</f>
        <v>46310.374305555553</v>
      </c>
      <c r="J5044" t="str">
        <f>IFERROR(INDEX(tProdutos[Classe],MATCH(tItens[[#This Row],[Produto]],tProdutos[Produto],0)),"produto não cadastrado")</f>
        <v>FORA</v>
      </c>
      <c r="K5044" s="12">
        <f>tItens[[#This Row],[Qtd]]*tItens[[#This Row],[Vlr unit]]</f>
        <v>10062</v>
      </c>
      <c r="L5044" s="6">
        <f>IFERROR(IF(INDEX(tProdutos[Desconto homologado],MATCH(tItens[[#This Row],[Produto]],tProdutos[Produto],0))="",DescontoPadrao,INDEX(tProdutos[Desconto homologado],MATCH(tItens[[#This Row],[Produto]],tProdutos[Produto],0))),DescontoPadrao)</f>
        <v>0.28909090909090901</v>
      </c>
      <c r="M5044" s="12">
        <f>tItens[[#This Row],[Valor]]*(1-tItens[[#This Row],[Desconto]])</f>
        <v>7153.1672727272726</v>
      </c>
      <c r="N5044" t="str">
        <f>IFERROR(INDEX(tProdutos[Foco],MATCH(tItens[[#This Row],[Produto]],tProdutos[Produto],0)),"Não")</f>
        <v>Não</v>
      </c>
      <c r="O5044" t="str">
        <f>IFERROR(INDEX(tEditais[SRP],MATCH(tItens[[#This Row],[Edital]],tEditais[Edital],0)),"Não")</f>
        <v>Não</v>
      </c>
      <c r="P5044" s="4">
        <f>IF(COUNTIFS(INDEX(tItens[Edital],1):tItens[[#This Row],[Edital]],tItens[[#This Row],[Edital]],INDEX(tItens[Produto],1):tItens[[#This Row],[Produto]],tItens[[#This Row],[Produto]])=1,1,0)</f>
        <v>1</v>
      </c>
    </row>
    <row r="5045" spans="1:16" x14ac:dyDescent="0.25">
      <c r="A5045" t="s">
        <v>1957</v>
      </c>
      <c r="B5045">
        <v>41</v>
      </c>
      <c r="C5045" t="s">
        <v>7854</v>
      </c>
      <c r="D5045" t="s">
        <v>383</v>
      </c>
      <c r="E5045" s="13">
        <v>1400</v>
      </c>
      <c r="F5045" s="12">
        <v>27.15</v>
      </c>
      <c r="G5045" t="str">
        <f>IFERROR(INDEX(tEditais[Órgão],MATCH(tItens[[#This Row],[Edital]],tEditais[Edital],0)),"")</f>
        <v>MUNICIPIO DE CAMPO GRANDE DO PIAUI</v>
      </c>
      <c r="H5045" t="str">
        <f>IFERROR(INDEX(tEditais[UF],MATCH(tItens[[#This Row],[Edital]],tEditais[Edital],0)),"")</f>
        <v>PI</v>
      </c>
      <c r="I5045" s="11">
        <f>IFERROR(INDEX(tEditais[Encerramento],MATCH(tItens[[#This Row],[Edital]],tEditais[Edital],0)),"")</f>
        <v>46310.374305555553</v>
      </c>
      <c r="J5045" t="str">
        <f>IFERROR(INDEX(tProdutos[Classe],MATCH(tItens[[#This Row],[Produto]],tProdutos[Produto],0)),"produto não cadastrado")</f>
        <v>FORA</v>
      </c>
      <c r="K5045" s="12">
        <f>tItens[[#This Row],[Qtd]]*tItens[[#This Row],[Vlr unit]]</f>
        <v>38010</v>
      </c>
      <c r="L5045" s="6">
        <f>IFERROR(IF(INDEX(tProdutos[Desconto homologado],MATCH(tItens[[#This Row],[Produto]],tProdutos[Produto],0))="",DescontoPadrao,INDEX(tProdutos[Desconto homologado],MATCH(tItens[[#This Row],[Produto]],tProdutos[Produto],0))),DescontoPadrao)</f>
        <v>0.48749999999999999</v>
      </c>
      <c r="M5045" s="12">
        <f>tItens[[#This Row],[Valor]]*(1-tItens[[#This Row],[Desconto]])</f>
        <v>19480.125</v>
      </c>
      <c r="N5045" t="str">
        <f>IFERROR(INDEX(tProdutos[Foco],MATCH(tItens[[#This Row],[Produto]],tProdutos[Produto],0)),"Não")</f>
        <v>Não</v>
      </c>
      <c r="O5045" t="str">
        <f>IFERROR(INDEX(tEditais[SRP],MATCH(tItens[[#This Row],[Edital]],tEditais[Edital],0)),"Não")</f>
        <v>Não</v>
      </c>
      <c r="P5045" s="4">
        <f>IF(COUNTIFS(INDEX(tItens[Edital],1):tItens[[#This Row],[Edital]],tItens[[#This Row],[Edital]],INDEX(tItens[Produto],1):tItens[[#This Row],[Produto]],tItens[[#This Row],[Produto]])=1,1,0)</f>
        <v>1</v>
      </c>
    </row>
    <row r="5046" spans="1:16" x14ac:dyDescent="0.25">
      <c r="A5046" t="s">
        <v>1957</v>
      </c>
      <c r="B5046">
        <v>43</v>
      </c>
      <c r="C5046" t="s">
        <v>7855</v>
      </c>
      <c r="D5046" t="s">
        <v>333</v>
      </c>
      <c r="E5046" s="13">
        <v>1100</v>
      </c>
      <c r="F5046" s="12">
        <v>42.52</v>
      </c>
      <c r="G5046" t="str">
        <f>IFERROR(INDEX(tEditais[Órgão],MATCH(tItens[[#This Row],[Edital]],tEditais[Edital],0)),"")</f>
        <v>MUNICIPIO DE CAMPO GRANDE DO PIAUI</v>
      </c>
      <c r="H5046" t="str">
        <f>IFERROR(INDEX(tEditais[UF],MATCH(tItens[[#This Row],[Edital]],tEditais[Edital],0)),"")</f>
        <v>PI</v>
      </c>
      <c r="I5046" s="11">
        <f>IFERROR(INDEX(tEditais[Encerramento],MATCH(tItens[[#This Row],[Edital]],tEditais[Edital],0)),"")</f>
        <v>46310.374305555553</v>
      </c>
      <c r="J5046" t="str">
        <f>IFERROR(INDEX(tProdutos[Classe],MATCH(tItens[[#This Row],[Produto]],tProdutos[Produto],0)),"produto não cadastrado")</f>
        <v>FORA</v>
      </c>
      <c r="K5046" s="12">
        <f>tItens[[#This Row],[Qtd]]*tItens[[#This Row],[Vlr unit]]</f>
        <v>46772</v>
      </c>
      <c r="L5046" s="6">
        <f>IFERROR(IF(INDEX(tProdutos[Desconto homologado],MATCH(tItens[[#This Row],[Produto]],tProdutos[Produto],0))="",DescontoPadrao,INDEX(tProdutos[Desconto homologado],MATCH(tItens[[#This Row],[Produto]],tProdutos[Produto],0))),DescontoPadrao)</f>
        <v>0.48951048951048998</v>
      </c>
      <c r="M5046" s="12">
        <f>tItens[[#This Row],[Valor]]*(1-tItens[[#This Row],[Desconto]])</f>
        <v>23876.615384615361</v>
      </c>
      <c r="N5046" t="str">
        <f>IFERROR(INDEX(tProdutos[Foco],MATCH(tItens[[#This Row],[Produto]],tProdutos[Produto],0)),"Não")</f>
        <v>Não</v>
      </c>
      <c r="O5046" t="str">
        <f>IFERROR(INDEX(tEditais[SRP],MATCH(tItens[[#This Row],[Edital]],tEditais[Edital],0)),"Não")</f>
        <v>Não</v>
      </c>
      <c r="P5046" s="4">
        <f>IF(COUNTIFS(INDEX(tItens[Edital],1):tItens[[#This Row],[Edital]],tItens[[#This Row],[Edital]],INDEX(tItens[Produto],1):tItens[[#This Row],[Produto]],tItens[[#This Row],[Produto]])=1,1,0)</f>
        <v>1</v>
      </c>
    </row>
    <row r="5047" spans="1:16" x14ac:dyDescent="0.25">
      <c r="A5047" t="s">
        <v>1957</v>
      </c>
      <c r="B5047">
        <v>45</v>
      </c>
      <c r="C5047" t="s">
        <v>7856</v>
      </c>
      <c r="D5047" t="s">
        <v>90</v>
      </c>
      <c r="E5047" s="13">
        <v>1170</v>
      </c>
      <c r="F5047" s="12">
        <v>15.15</v>
      </c>
      <c r="G5047" t="str">
        <f>IFERROR(INDEX(tEditais[Órgão],MATCH(tItens[[#This Row],[Edital]],tEditais[Edital],0)),"")</f>
        <v>MUNICIPIO DE CAMPO GRANDE DO PIAUI</v>
      </c>
      <c r="H5047" t="str">
        <f>IFERROR(INDEX(tEditais[UF],MATCH(tItens[[#This Row],[Edital]],tEditais[Edital],0)),"")</f>
        <v>PI</v>
      </c>
      <c r="I5047" s="11">
        <f>IFERROR(INDEX(tEditais[Encerramento],MATCH(tItens[[#This Row],[Edital]],tEditais[Edital],0)),"")</f>
        <v>46310.374305555553</v>
      </c>
      <c r="J5047" t="str">
        <f>IFERROR(INDEX(tProdutos[Classe],MATCH(tItens[[#This Row],[Produto]],tProdutos[Produto],0)),"produto não cadastrado")</f>
        <v>DISPUTADO</v>
      </c>
      <c r="K5047" s="12">
        <f>tItens[[#This Row],[Qtd]]*tItens[[#This Row],[Vlr unit]]</f>
        <v>17725.5</v>
      </c>
      <c r="L5047" s="6">
        <f>IFERROR(IF(INDEX(tProdutos[Desconto homologado],MATCH(tItens[[#This Row],[Produto]],tProdutos[Produto],0))="",DescontoPadrao,INDEX(tProdutos[Desconto homologado],MATCH(tItens[[#This Row],[Produto]],tProdutos[Produto],0))),DescontoPadrao)</f>
        <v>0.25393823957010597</v>
      </c>
      <c r="M5047" s="12">
        <f>tItens[[#This Row],[Valor]]*(1-tItens[[#This Row],[Desconto]])</f>
        <v>13224.317734500086</v>
      </c>
      <c r="N5047" t="str">
        <f>IFERROR(INDEX(tProdutos[Foco],MATCH(tItens[[#This Row],[Produto]],tProdutos[Produto],0)),"Não")</f>
        <v>Não</v>
      </c>
      <c r="O5047" t="str">
        <f>IFERROR(INDEX(tEditais[SRP],MATCH(tItens[[#This Row],[Edital]],tEditais[Edital],0)),"Não")</f>
        <v>Não</v>
      </c>
      <c r="P5047" s="4">
        <f>IF(COUNTIFS(INDEX(tItens[Edital],1):tItens[[#This Row],[Edital]],tItens[[#This Row],[Edital]],INDEX(tItens[Produto],1):tItens[[#This Row],[Produto]],tItens[[#This Row],[Produto]])=1,1,0)</f>
        <v>1</v>
      </c>
    </row>
    <row r="5048" spans="1:16" x14ac:dyDescent="0.25">
      <c r="A5048" t="s">
        <v>1957</v>
      </c>
      <c r="B5048">
        <v>46</v>
      </c>
      <c r="C5048" t="s">
        <v>7857</v>
      </c>
      <c r="D5048" t="s">
        <v>90</v>
      </c>
      <c r="E5048" s="13">
        <v>930</v>
      </c>
      <c r="F5048" s="12">
        <v>10.02</v>
      </c>
      <c r="G5048" t="str">
        <f>IFERROR(INDEX(tEditais[Órgão],MATCH(tItens[[#This Row],[Edital]],tEditais[Edital],0)),"")</f>
        <v>MUNICIPIO DE CAMPO GRANDE DO PIAUI</v>
      </c>
      <c r="H5048" t="str">
        <f>IFERROR(INDEX(tEditais[UF],MATCH(tItens[[#This Row],[Edital]],tEditais[Edital],0)),"")</f>
        <v>PI</v>
      </c>
      <c r="I5048" s="11">
        <f>IFERROR(INDEX(tEditais[Encerramento],MATCH(tItens[[#This Row],[Edital]],tEditais[Edital],0)),"")</f>
        <v>46310.374305555553</v>
      </c>
      <c r="J5048" t="str">
        <f>IFERROR(INDEX(tProdutos[Classe],MATCH(tItens[[#This Row],[Produto]],tProdutos[Produto],0)),"produto não cadastrado")</f>
        <v>DISPUTADO</v>
      </c>
      <c r="K5048" s="12">
        <f>tItens[[#This Row],[Qtd]]*tItens[[#This Row],[Vlr unit]]</f>
        <v>9318.6</v>
      </c>
      <c r="L5048" s="6">
        <f>IFERROR(IF(INDEX(tProdutos[Desconto homologado],MATCH(tItens[[#This Row],[Produto]],tProdutos[Produto],0))="",DescontoPadrao,INDEX(tProdutos[Desconto homologado],MATCH(tItens[[#This Row],[Produto]],tProdutos[Produto],0))),DescontoPadrao)</f>
        <v>0.25393823957010597</v>
      </c>
      <c r="M5048" s="12">
        <f>tItens[[#This Row],[Valor]]*(1-tItens[[#This Row],[Desconto]])</f>
        <v>6952.2511207420112</v>
      </c>
      <c r="N5048" t="str">
        <f>IFERROR(INDEX(tProdutos[Foco],MATCH(tItens[[#This Row],[Produto]],tProdutos[Produto],0)),"Não")</f>
        <v>Não</v>
      </c>
      <c r="O5048" t="str">
        <f>IFERROR(INDEX(tEditais[SRP],MATCH(tItens[[#This Row],[Edital]],tEditais[Edital],0)),"Não")</f>
        <v>Não</v>
      </c>
      <c r="P5048" s="4">
        <f>IF(COUNTIFS(INDEX(tItens[Edital],1):tItens[[#This Row],[Edital]],tItens[[#This Row],[Edital]],INDEX(tItens[Produto],1):tItens[[#This Row],[Produto]],tItens[[#This Row],[Produto]])=1,1,0)</f>
        <v>0</v>
      </c>
    </row>
    <row r="5049" spans="1:16" x14ac:dyDescent="0.25">
      <c r="A5049" t="s">
        <v>1957</v>
      </c>
      <c r="B5049">
        <v>47</v>
      </c>
      <c r="C5049" t="s">
        <v>7858</v>
      </c>
      <c r="D5049" t="s">
        <v>233</v>
      </c>
      <c r="E5049" s="13">
        <v>460</v>
      </c>
      <c r="F5049" s="12">
        <v>16.11</v>
      </c>
      <c r="G5049" t="str">
        <f>IFERROR(INDEX(tEditais[Órgão],MATCH(tItens[[#This Row],[Edital]],tEditais[Edital],0)),"")</f>
        <v>MUNICIPIO DE CAMPO GRANDE DO PIAUI</v>
      </c>
      <c r="H5049" t="str">
        <f>IFERROR(INDEX(tEditais[UF],MATCH(tItens[[#This Row],[Edital]],tEditais[Edital],0)),"")</f>
        <v>PI</v>
      </c>
      <c r="I5049" s="11">
        <f>IFERROR(INDEX(tEditais[Encerramento],MATCH(tItens[[#This Row],[Edital]],tEditais[Edital],0)),"")</f>
        <v>46310.374305555553</v>
      </c>
      <c r="J5049" t="str">
        <f>IFERROR(INDEX(tProdutos[Classe],MATCH(tItens[[#This Row],[Produto]],tProdutos[Produto],0)),"produto não cadastrado")</f>
        <v>FORA</v>
      </c>
      <c r="K5049" s="12">
        <f>tItens[[#This Row],[Qtd]]*tItens[[#This Row],[Vlr unit]]</f>
        <v>7410.5999999999995</v>
      </c>
      <c r="L5049" s="6">
        <f>IFERROR(IF(INDEX(tProdutos[Desconto homologado],MATCH(tItens[[#This Row],[Produto]],tProdutos[Produto],0))="",DescontoPadrao,INDEX(tProdutos[Desconto homologado],MATCH(tItens[[#This Row],[Produto]],tProdutos[Produto],0))),DescontoPadrao)</f>
        <v>0.246270084162204</v>
      </c>
      <c r="M5049" s="12">
        <f>tItens[[#This Row],[Valor]]*(1-tItens[[#This Row],[Desconto]])</f>
        <v>5585.5909143075705</v>
      </c>
      <c r="N5049" t="str">
        <f>IFERROR(INDEX(tProdutos[Foco],MATCH(tItens[[#This Row],[Produto]],tProdutos[Produto],0)),"Não")</f>
        <v>Não</v>
      </c>
      <c r="O5049" t="str">
        <f>IFERROR(INDEX(tEditais[SRP],MATCH(tItens[[#This Row],[Edital]],tEditais[Edital],0)),"Não")</f>
        <v>Não</v>
      </c>
      <c r="P5049" s="4">
        <f>IF(COUNTIFS(INDEX(tItens[Edital],1):tItens[[#This Row],[Edital]],tItens[[#This Row],[Edital]],INDEX(tItens[Produto],1):tItens[[#This Row],[Produto]],tItens[[#This Row],[Produto]])=1,1,0)</f>
        <v>1</v>
      </c>
    </row>
    <row r="5050" spans="1:16" x14ac:dyDescent="0.25">
      <c r="A5050" t="s">
        <v>1957</v>
      </c>
      <c r="B5050">
        <v>48</v>
      </c>
      <c r="C5050" t="s">
        <v>7859</v>
      </c>
      <c r="D5050" t="s">
        <v>75</v>
      </c>
      <c r="E5050" s="13">
        <v>4600</v>
      </c>
      <c r="F5050" s="12">
        <v>2.38</v>
      </c>
      <c r="G5050" t="str">
        <f>IFERROR(INDEX(tEditais[Órgão],MATCH(tItens[[#This Row],[Edital]],tEditais[Edital],0)),"")</f>
        <v>MUNICIPIO DE CAMPO GRANDE DO PIAUI</v>
      </c>
      <c r="H5050" t="str">
        <f>IFERROR(INDEX(tEditais[UF],MATCH(tItens[[#This Row],[Edital]],tEditais[Edital],0)),"")</f>
        <v>PI</v>
      </c>
      <c r="I5050" s="11">
        <f>IFERROR(INDEX(tEditais[Encerramento],MATCH(tItens[[#This Row],[Edital]],tEditais[Edital],0)),"")</f>
        <v>46310.374305555553</v>
      </c>
      <c r="J5050" t="str">
        <f>IFERROR(INDEX(tProdutos[Classe],MATCH(tItens[[#This Row],[Produto]],tProdutos[Produto],0)),"produto não cadastrado")</f>
        <v>NÚCLEO</v>
      </c>
      <c r="K5050" s="12">
        <f>tItens[[#This Row],[Qtd]]*tItens[[#This Row],[Vlr unit]]</f>
        <v>10948</v>
      </c>
      <c r="L5050" s="6">
        <f>IFERROR(IF(INDEX(tProdutos[Desconto homologado],MATCH(tItens[[#This Row],[Produto]],tProdutos[Produto],0))="",DescontoPadrao,INDEX(tProdutos[Desconto homologado],MATCH(tItens[[#This Row],[Produto]],tProdutos[Produto],0))),DescontoPadrao)</f>
        <v>0.26</v>
      </c>
      <c r="M5050" s="12">
        <f>tItens[[#This Row],[Valor]]*(1-tItens[[#This Row],[Desconto]])</f>
        <v>8101.5199999999995</v>
      </c>
      <c r="N5050" t="str">
        <f>IFERROR(INDEX(tProdutos[Foco],MATCH(tItens[[#This Row],[Produto]],tProdutos[Produto],0)),"Não")</f>
        <v>Sim</v>
      </c>
      <c r="O5050" t="str">
        <f>IFERROR(INDEX(tEditais[SRP],MATCH(tItens[[#This Row],[Edital]],tEditais[Edital],0)),"Não")</f>
        <v>Não</v>
      </c>
      <c r="P5050" s="4">
        <f>IF(COUNTIFS(INDEX(tItens[Edital],1):tItens[[#This Row],[Edital]],tItens[[#This Row],[Edital]],INDEX(tItens[Produto],1):tItens[[#This Row],[Produto]],tItens[[#This Row],[Produto]])=1,1,0)</f>
        <v>1</v>
      </c>
    </row>
    <row r="5051" spans="1:16" x14ac:dyDescent="0.25">
      <c r="A5051" t="s">
        <v>1957</v>
      </c>
      <c r="B5051">
        <v>49</v>
      </c>
      <c r="C5051" t="s">
        <v>7860</v>
      </c>
      <c r="D5051" t="s">
        <v>75</v>
      </c>
      <c r="E5051" s="13">
        <v>4600</v>
      </c>
      <c r="F5051" s="12">
        <v>2.92</v>
      </c>
      <c r="G5051" t="str">
        <f>IFERROR(INDEX(tEditais[Órgão],MATCH(tItens[[#This Row],[Edital]],tEditais[Edital],0)),"")</f>
        <v>MUNICIPIO DE CAMPO GRANDE DO PIAUI</v>
      </c>
      <c r="H5051" t="str">
        <f>IFERROR(INDEX(tEditais[UF],MATCH(tItens[[#This Row],[Edital]],tEditais[Edital],0)),"")</f>
        <v>PI</v>
      </c>
      <c r="I5051" s="11">
        <f>IFERROR(INDEX(tEditais[Encerramento],MATCH(tItens[[#This Row],[Edital]],tEditais[Edital],0)),"")</f>
        <v>46310.374305555553</v>
      </c>
      <c r="J5051" t="str">
        <f>IFERROR(INDEX(tProdutos[Classe],MATCH(tItens[[#This Row],[Produto]],tProdutos[Produto],0)),"produto não cadastrado")</f>
        <v>NÚCLEO</v>
      </c>
      <c r="K5051" s="12">
        <f>tItens[[#This Row],[Qtd]]*tItens[[#This Row],[Vlr unit]]</f>
        <v>13432</v>
      </c>
      <c r="L5051" s="6">
        <f>IFERROR(IF(INDEX(tProdutos[Desconto homologado],MATCH(tItens[[#This Row],[Produto]],tProdutos[Produto],0))="",DescontoPadrao,INDEX(tProdutos[Desconto homologado],MATCH(tItens[[#This Row],[Produto]],tProdutos[Produto],0))),DescontoPadrao)</f>
        <v>0.26</v>
      </c>
      <c r="M5051" s="12">
        <f>tItens[[#This Row],[Valor]]*(1-tItens[[#This Row],[Desconto]])</f>
        <v>9939.68</v>
      </c>
      <c r="N5051" t="str">
        <f>IFERROR(INDEX(tProdutos[Foco],MATCH(tItens[[#This Row],[Produto]],tProdutos[Produto],0)),"Não")</f>
        <v>Sim</v>
      </c>
      <c r="O5051" t="str">
        <f>IFERROR(INDEX(tEditais[SRP],MATCH(tItens[[#This Row],[Edital]],tEditais[Edital],0)),"Não")</f>
        <v>Não</v>
      </c>
      <c r="P5051" s="4">
        <f>IF(COUNTIFS(INDEX(tItens[Edital],1):tItens[[#This Row],[Edital]],tItens[[#This Row],[Edital]],INDEX(tItens[Produto],1):tItens[[#This Row],[Produto]],tItens[[#This Row],[Produto]])=1,1,0)</f>
        <v>0</v>
      </c>
    </row>
    <row r="5052" spans="1:16" x14ac:dyDescent="0.25">
      <c r="A5052" t="s">
        <v>1957</v>
      </c>
      <c r="B5052">
        <v>50</v>
      </c>
      <c r="C5052" t="s">
        <v>7861</v>
      </c>
      <c r="D5052" t="s">
        <v>142</v>
      </c>
      <c r="E5052" s="13">
        <v>930</v>
      </c>
      <c r="F5052" s="12">
        <v>12.78</v>
      </c>
      <c r="G5052" t="str">
        <f>IFERROR(INDEX(tEditais[Órgão],MATCH(tItens[[#This Row],[Edital]],tEditais[Edital],0)),"")</f>
        <v>MUNICIPIO DE CAMPO GRANDE DO PIAUI</v>
      </c>
      <c r="H5052" t="str">
        <f>IFERROR(INDEX(tEditais[UF],MATCH(tItens[[#This Row],[Edital]],tEditais[Edital],0)),"")</f>
        <v>PI</v>
      </c>
      <c r="I5052" s="11">
        <f>IFERROR(INDEX(tEditais[Encerramento],MATCH(tItens[[#This Row],[Edital]],tEditais[Edital],0)),"")</f>
        <v>46310.374305555553</v>
      </c>
      <c r="J5052" t="str">
        <f>IFERROR(INDEX(tProdutos[Classe],MATCH(tItens[[#This Row],[Produto]],tProdutos[Produto],0)),"produto não cadastrado")</f>
        <v>DISPUTADO</v>
      </c>
      <c r="K5052" s="12">
        <f>tItens[[#This Row],[Qtd]]*tItens[[#This Row],[Vlr unit]]</f>
        <v>11885.4</v>
      </c>
      <c r="L5052" s="6">
        <f>IFERROR(IF(INDEX(tProdutos[Desconto homologado],MATCH(tItens[[#This Row],[Produto]],tProdutos[Produto],0))="",DescontoPadrao,INDEX(tProdutos[Desconto homologado],MATCH(tItens[[#This Row],[Produto]],tProdutos[Produto],0))),DescontoPadrao)</f>
        <v>0.37093619495691699</v>
      </c>
      <c r="M5052" s="12">
        <f>tItens[[#This Row],[Valor]]*(1-tItens[[#This Row],[Desconto]])</f>
        <v>7476.6749484590582</v>
      </c>
      <c r="N5052" t="str">
        <f>IFERROR(INDEX(tProdutos[Foco],MATCH(tItens[[#This Row],[Produto]],tProdutos[Produto],0)),"Não")</f>
        <v>Não</v>
      </c>
      <c r="O5052" t="str">
        <f>IFERROR(INDEX(tEditais[SRP],MATCH(tItens[[#This Row],[Edital]],tEditais[Edital],0)),"Não")</f>
        <v>Não</v>
      </c>
      <c r="P5052" s="4">
        <f>IF(COUNTIFS(INDEX(tItens[Edital],1):tItens[[#This Row],[Edital]],tItens[[#This Row],[Edital]],INDEX(tItens[Produto],1):tItens[[#This Row],[Produto]],tItens[[#This Row],[Produto]])=1,1,0)</f>
        <v>1</v>
      </c>
    </row>
    <row r="5053" spans="1:16" x14ac:dyDescent="0.25">
      <c r="A5053" t="s">
        <v>1957</v>
      </c>
      <c r="B5053">
        <v>56</v>
      </c>
      <c r="C5053" t="s">
        <v>7862</v>
      </c>
      <c r="D5053" t="s">
        <v>56</v>
      </c>
      <c r="E5053" s="13">
        <v>200</v>
      </c>
      <c r="F5053" s="12">
        <v>66.19</v>
      </c>
      <c r="G5053" t="str">
        <f>IFERROR(INDEX(tEditais[Órgão],MATCH(tItens[[#This Row],[Edital]],tEditais[Edital],0)),"")</f>
        <v>MUNICIPIO DE CAMPO GRANDE DO PIAUI</v>
      </c>
      <c r="H5053" t="str">
        <f>IFERROR(INDEX(tEditais[UF],MATCH(tItens[[#This Row],[Edital]],tEditais[Edital],0)),"")</f>
        <v>PI</v>
      </c>
      <c r="I5053" s="11">
        <f>IFERROR(INDEX(tEditais[Encerramento],MATCH(tItens[[#This Row],[Edital]],tEditais[Edital],0)),"")</f>
        <v>46310.374305555553</v>
      </c>
      <c r="J5053" t="str">
        <f>IFERROR(INDEX(tProdutos[Classe],MATCH(tItens[[#This Row],[Produto]],tProdutos[Produto],0)),"produto não cadastrado")</f>
        <v>NÚCLEO</v>
      </c>
      <c r="K5053" s="12">
        <f>tItens[[#This Row],[Qtd]]*tItens[[#This Row],[Vlr unit]]</f>
        <v>13238</v>
      </c>
      <c r="L5053" s="6">
        <f>IFERROR(IF(INDEX(tProdutos[Desconto homologado],MATCH(tItens[[#This Row],[Produto]],tProdutos[Produto],0))="",DescontoPadrao,INDEX(tProdutos[Desconto homologado],MATCH(tItens[[#This Row],[Produto]],tProdutos[Produto],0))),DescontoPadrao)</f>
        <v>0.34</v>
      </c>
      <c r="M5053" s="12">
        <f>tItens[[#This Row],[Valor]]*(1-tItens[[#This Row],[Desconto]])</f>
        <v>8737.0799999999981</v>
      </c>
      <c r="N5053" t="str">
        <f>IFERROR(INDEX(tProdutos[Foco],MATCH(tItens[[#This Row],[Produto]],tProdutos[Produto],0)),"Não")</f>
        <v>Sim</v>
      </c>
      <c r="O5053" t="str">
        <f>IFERROR(INDEX(tEditais[SRP],MATCH(tItens[[#This Row],[Edital]],tEditais[Edital],0)),"Não")</f>
        <v>Não</v>
      </c>
      <c r="P5053" s="4">
        <f>IF(COUNTIFS(INDEX(tItens[Edital],1):tItens[[#This Row],[Edital]],tItens[[#This Row],[Edital]],INDEX(tItens[Produto],1):tItens[[#This Row],[Produto]],tItens[[#This Row],[Produto]])=1,1,0)</f>
        <v>1</v>
      </c>
    </row>
    <row r="5054" spans="1:16" x14ac:dyDescent="0.25">
      <c r="A5054" t="s">
        <v>1957</v>
      </c>
      <c r="B5054">
        <v>58</v>
      </c>
      <c r="C5054" t="s">
        <v>7863</v>
      </c>
      <c r="D5054" t="s">
        <v>277</v>
      </c>
      <c r="E5054" s="13">
        <v>460</v>
      </c>
      <c r="F5054" s="12">
        <v>14.49</v>
      </c>
      <c r="G5054" t="str">
        <f>IFERROR(INDEX(tEditais[Órgão],MATCH(tItens[[#This Row],[Edital]],tEditais[Edital],0)),"")</f>
        <v>MUNICIPIO DE CAMPO GRANDE DO PIAUI</v>
      </c>
      <c r="H5054" t="str">
        <f>IFERROR(INDEX(tEditais[UF],MATCH(tItens[[#This Row],[Edital]],tEditais[Edital],0)),"")</f>
        <v>PI</v>
      </c>
      <c r="I5054" s="11">
        <f>IFERROR(INDEX(tEditais[Encerramento],MATCH(tItens[[#This Row],[Edital]],tEditais[Edital],0)),"")</f>
        <v>46310.374305555553</v>
      </c>
      <c r="J5054" t="str">
        <f>IFERROR(INDEX(tProdutos[Classe],MATCH(tItens[[#This Row],[Produto]],tProdutos[Produto],0)),"produto não cadastrado")</f>
        <v>DISPUTADO</v>
      </c>
      <c r="K5054" s="12">
        <f>tItens[[#This Row],[Qtd]]*tItens[[#This Row],[Vlr unit]]</f>
        <v>6665.4000000000005</v>
      </c>
      <c r="L5054" s="6">
        <f>IFERROR(IF(INDEX(tProdutos[Desconto homologado],MATCH(tItens[[#This Row],[Produto]],tProdutos[Produto],0))="",DescontoPadrao,INDEX(tProdutos[Desconto homologado],MATCH(tItens[[#This Row],[Produto]],tProdutos[Produto],0))),DescontoPadrao)</f>
        <v>0.50460666194188497</v>
      </c>
      <c r="M5054" s="12">
        <f>tItens[[#This Row],[Valor]]*(1-tItens[[#This Row],[Desconto]])</f>
        <v>3301.9947554925602</v>
      </c>
      <c r="N5054" t="str">
        <f>IFERROR(INDEX(tProdutos[Foco],MATCH(tItens[[#This Row],[Produto]],tProdutos[Produto],0)),"Não")</f>
        <v>Não</v>
      </c>
      <c r="O5054" t="str">
        <f>IFERROR(INDEX(tEditais[SRP],MATCH(tItens[[#This Row],[Edital]],tEditais[Edital],0)),"Não")</f>
        <v>Não</v>
      </c>
      <c r="P5054" s="4">
        <f>IF(COUNTIFS(INDEX(tItens[Edital],1):tItens[[#This Row],[Edital]],tItens[[#This Row],[Edital]],INDEX(tItens[Produto],1):tItens[[#This Row],[Produto]],tItens[[#This Row],[Produto]])=1,1,0)</f>
        <v>1</v>
      </c>
    </row>
    <row r="5055" spans="1:16" x14ac:dyDescent="0.25">
      <c r="A5055" t="s">
        <v>1957</v>
      </c>
      <c r="B5055">
        <v>60</v>
      </c>
      <c r="C5055" t="s">
        <v>7864</v>
      </c>
      <c r="D5055" t="s">
        <v>267</v>
      </c>
      <c r="E5055" s="13">
        <v>700</v>
      </c>
      <c r="F5055" s="12">
        <v>20.48</v>
      </c>
      <c r="G5055" t="str">
        <f>IFERROR(INDEX(tEditais[Órgão],MATCH(tItens[[#This Row],[Edital]],tEditais[Edital],0)),"")</f>
        <v>MUNICIPIO DE CAMPO GRANDE DO PIAUI</v>
      </c>
      <c r="H5055" t="str">
        <f>IFERROR(INDEX(tEditais[UF],MATCH(tItens[[#This Row],[Edital]],tEditais[Edital],0)),"")</f>
        <v>PI</v>
      </c>
      <c r="I5055" s="11">
        <f>IFERROR(INDEX(tEditais[Encerramento],MATCH(tItens[[#This Row],[Edital]],tEditais[Edital],0)),"")</f>
        <v>46310.374305555553</v>
      </c>
      <c r="J5055" t="str">
        <f>IFERROR(INDEX(tProdutos[Classe],MATCH(tItens[[#This Row],[Produto]],tProdutos[Produto],0)),"produto não cadastrado")</f>
        <v>FORA</v>
      </c>
      <c r="K5055" s="12">
        <f>tItens[[#This Row],[Qtd]]*tItens[[#This Row],[Vlr unit]]</f>
        <v>14336</v>
      </c>
      <c r="L5055" s="6">
        <f>IFERROR(IF(INDEX(tProdutos[Desconto homologado],MATCH(tItens[[#This Row],[Produto]],tProdutos[Produto],0))="",DescontoPadrao,INDEX(tProdutos[Desconto homologado],MATCH(tItens[[#This Row],[Produto]],tProdutos[Produto],0))),DescontoPadrao)</f>
        <v>0.19963672657401599</v>
      </c>
      <c r="M5055" s="12">
        <f>tItens[[#This Row],[Valor]]*(1-tItens[[#This Row],[Desconto]])</f>
        <v>11474.007887834907</v>
      </c>
      <c r="N5055" t="str">
        <f>IFERROR(INDEX(tProdutos[Foco],MATCH(tItens[[#This Row],[Produto]],tProdutos[Produto],0)),"Não")</f>
        <v>Não</v>
      </c>
      <c r="O5055" t="str">
        <f>IFERROR(INDEX(tEditais[SRP],MATCH(tItens[[#This Row],[Edital]],tEditais[Edital],0)),"Não")</f>
        <v>Não</v>
      </c>
      <c r="P5055" s="4">
        <f>IF(COUNTIFS(INDEX(tItens[Edital],1):tItens[[#This Row],[Edital]],tItens[[#This Row],[Edital]],INDEX(tItens[Produto],1):tItens[[#This Row],[Produto]],tItens[[#This Row],[Produto]])=1,1,0)</f>
        <v>1</v>
      </c>
    </row>
    <row r="5056" spans="1:16" x14ac:dyDescent="0.25">
      <c r="A5056" t="s">
        <v>1957</v>
      </c>
      <c r="B5056">
        <v>85</v>
      </c>
      <c r="C5056" t="s">
        <v>7865</v>
      </c>
      <c r="D5056" t="s">
        <v>275</v>
      </c>
      <c r="E5056" s="13">
        <v>23000</v>
      </c>
      <c r="F5056" s="12">
        <v>0.43</v>
      </c>
      <c r="G5056" t="str">
        <f>IFERROR(INDEX(tEditais[Órgão],MATCH(tItens[[#This Row],[Edital]],tEditais[Edital],0)),"")</f>
        <v>MUNICIPIO DE CAMPO GRANDE DO PIAUI</v>
      </c>
      <c r="H5056" t="str">
        <f>IFERROR(INDEX(tEditais[UF],MATCH(tItens[[#This Row],[Edital]],tEditais[Edital],0)),"")</f>
        <v>PI</v>
      </c>
      <c r="I5056" s="11">
        <f>IFERROR(INDEX(tEditais[Encerramento],MATCH(tItens[[#This Row],[Edital]],tEditais[Edital],0)),"")</f>
        <v>46310.374305555553</v>
      </c>
      <c r="J5056" t="str">
        <f>IFERROR(INDEX(tProdutos[Classe],MATCH(tItens[[#This Row],[Produto]],tProdutos[Produto],0)),"produto não cadastrado")</f>
        <v>FORA</v>
      </c>
      <c r="K5056" s="12">
        <f>tItens[[#This Row],[Qtd]]*tItens[[#This Row],[Vlr unit]]</f>
        <v>9890</v>
      </c>
      <c r="L5056" s="6">
        <f>IFERROR(IF(INDEX(tProdutos[Desconto homologado],MATCH(tItens[[#This Row],[Produto]],tProdutos[Produto],0))="",DescontoPadrao,INDEX(tProdutos[Desconto homologado],MATCH(tItens[[#This Row],[Produto]],tProdutos[Produto],0))),DescontoPadrao)</f>
        <v>0.405797101449275</v>
      </c>
      <c r="M5056" s="12">
        <f>tItens[[#This Row],[Valor]]*(1-tItens[[#This Row],[Desconto]])</f>
        <v>5876.6666666666706</v>
      </c>
      <c r="N5056" t="str">
        <f>IFERROR(INDEX(tProdutos[Foco],MATCH(tItens[[#This Row],[Produto]],tProdutos[Produto],0)),"Não")</f>
        <v>Não</v>
      </c>
      <c r="O5056" t="str">
        <f>IFERROR(INDEX(tEditais[SRP],MATCH(tItens[[#This Row],[Edital]],tEditais[Edital],0)),"Não")</f>
        <v>Não</v>
      </c>
      <c r="P5056" s="4">
        <f>IF(COUNTIFS(INDEX(tItens[Edital],1):tItens[[#This Row],[Edital]],tItens[[#This Row],[Edital]],INDEX(tItens[Produto],1):tItens[[#This Row],[Produto]],tItens[[#This Row],[Produto]])=1,1,0)</f>
        <v>1</v>
      </c>
    </row>
    <row r="5057" spans="1:16" x14ac:dyDescent="0.25">
      <c r="A5057" t="s">
        <v>1957</v>
      </c>
      <c r="B5057">
        <v>86</v>
      </c>
      <c r="C5057" t="s">
        <v>7866</v>
      </c>
      <c r="D5057" t="s">
        <v>283</v>
      </c>
      <c r="E5057" s="13">
        <v>18000</v>
      </c>
      <c r="F5057" s="12">
        <v>0.48</v>
      </c>
      <c r="G5057" t="str">
        <f>IFERROR(INDEX(tEditais[Órgão],MATCH(tItens[[#This Row],[Edital]],tEditais[Edital],0)),"")</f>
        <v>MUNICIPIO DE CAMPO GRANDE DO PIAUI</v>
      </c>
      <c r="H5057" t="str">
        <f>IFERROR(INDEX(tEditais[UF],MATCH(tItens[[#This Row],[Edital]],tEditais[Edital],0)),"")</f>
        <v>PI</v>
      </c>
      <c r="I5057" s="11">
        <f>IFERROR(INDEX(tEditais[Encerramento],MATCH(tItens[[#This Row],[Edital]],tEditais[Edital],0)),"")</f>
        <v>46310.374305555553</v>
      </c>
      <c r="J5057" t="str">
        <f>IFERROR(INDEX(tProdutos[Classe],MATCH(tItens[[#This Row],[Produto]],tProdutos[Produto],0)),"produto não cadastrado")</f>
        <v>FORA</v>
      </c>
      <c r="K5057" s="12">
        <f>tItens[[#This Row],[Qtd]]*tItens[[#This Row],[Vlr unit]]</f>
        <v>8640</v>
      </c>
      <c r="L5057" s="6">
        <f>IFERROR(IF(INDEX(tProdutos[Desconto homologado],MATCH(tItens[[#This Row],[Produto]],tProdutos[Produto],0))="",DescontoPadrao,INDEX(tProdutos[Desconto homologado],MATCH(tItens[[#This Row],[Produto]],tProdutos[Produto],0))),DescontoPadrao)</f>
        <v>0.40540540540540498</v>
      </c>
      <c r="M5057" s="12">
        <f>tItens[[#This Row],[Valor]]*(1-tItens[[#This Row],[Desconto]])</f>
        <v>5137.2972972973002</v>
      </c>
      <c r="N5057" t="str">
        <f>IFERROR(INDEX(tProdutos[Foco],MATCH(tItens[[#This Row],[Produto]],tProdutos[Produto],0)),"Não")</f>
        <v>Não</v>
      </c>
      <c r="O5057" t="str">
        <f>IFERROR(INDEX(tEditais[SRP],MATCH(tItens[[#This Row],[Edital]],tEditais[Edital],0)),"Não")</f>
        <v>Não</v>
      </c>
      <c r="P5057" s="4">
        <f>IF(COUNTIFS(INDEX(tItens[Edital],1):tItens[[#This Row],[Edital]],tItens[[#This Row],[Edital]],INDEX(tItens[Produto],1):tItens[[#This Row],[Produto]],tItens[[#This Row],[Produto]])=1,1,0)</f>
        <v>1</v>
      </c>
    </row>
    <row r="5058" spans="1:16" x14ac:dyDescent="0.25">
      <c r="A5058" t="s">
        <v>1957</v>
      </c>
      <c r="B5058">
        <v>87</v>
      </c>
      <c r="C5058" t="s">
        <v>7867</v>
      </c>
      <c r="D5058" t="s">
        <v>265</v>
      </c>
      <c r="E5058" s="13">
        <v>14000</v>
      </c>
      <c r="F5058" s="12">
        <v>0.5</v>
      </c>
      <c r="G5058" t="str">
        <f>IFERROR(INDEX(tEditais[Órgão],MATCH(tItens[[#This Row],[Edital]],tEditais[Edital],0)),"")</f>
        <v>MUNICIPIO DE CAMPO GRANDE DO PIAUI</v>
      </c>
      <c r="H5058" t="str">
        <f>IFERROR(INDEX(tEditais[UF],MATCH(tItens[[#This Row],[Edital]],tEditais[Edital],0)),"")</f>
        <v>PI</v>
      </c>
      <c r="I5058" s="11">
        <f>IFERROR(INDEX(tEditais[Encerramento],MATCH(tItens[[#This Row],[Edital]],tEditais[Edital],0)),"")</f>
        <v>46310.374305555553</v>
      </c>
      <c r="J5058" t="str">
        <f>IFERROR(INDEX(tProdutos[Classe],MATCH(tItens[[#This Row],[Produto]],tProdutos[Produto],0)),"produto não cadastrado")</f>
        <v>DISPUTADO</v>
      </c>
      <c r="K5058" s="12">
        <f>tItens[[#This Row],[Qtd]]*tItens[[#This Row],[Vlr unit]]</f>
        <v>7000</v>
      </c>
      <c r="L5058" s="6">
        <f>IFERROR(IF(INDEX(tProdutos[Desconto homologado],MATCH(tItens[[#This Row],[Produto]],tProdutos[Produto],0))="",DescontoPadrao,INDEX(tProdutos[Desconto homologado],MATCH(tItens[[#This Row],[Produto]],tProdutos[Produto],0))),DescontoPadrao)</f>
        <v>0.377587663709337</v>
      </c>
      <c r="M5058" s="12">
        <f>tItens[[#This Row],[Valor]]*(1-tItens[[#This Row],[Desconto]])</f>
        <v>4356.886354034641</v>
      </c>
      <c r="N5058" t="str">
        <f>IFERROR(INDEX(tProdutos[Foco],MATCH(tItens[[#This Row],[Produto]],tProdutos[Produto],0)),"Não")</f>
        <v>Não</v>
      </c>
      <c r="O5058" t="str">
        <f>IFERROR(INDEX(tEditais[SRP],MATCH(tItens[[#This Row],[Edital]],tEditais[Edital],0)),"Não")</f>
        <v>Não</v>
      </c>
      <c r="P5058" s="4">
        <f>IF(COUNTIFS(INDEX(tItens[Edital],1):tItens[[#This Row],[Edital]],tItens[[#This Row],[Edital]],INDEX(tItens[Produto],1):tItens[[#This Row],[Produto]],tItens[[#This Row],[Produto]])=1,1,0)</f>
        <v>1</v>
      </c>
    </row>
    <row r="5059" spans="1:16" x14ac:dyDescent="0.25">
      <c r="A5059" t="s">
        <v>1957</v>
      </c>
      <c r="B5059">
        <v>88</v>
      </c>
      <c r="C5059" t="s">
        <v>7868</v>
      </c>
      <c r="D5059" t="s">
        <v>281</v>
      </c>
      <c r="E5059" s="13">
        <v>7800</v>
      </c>
      <c r="F5059" s="12">
        <v>0.86</v>
      </c>
      <c r="G5059" t="str">
        <f>IFERROR(INDEX(tEditais[Órgão],MATCH(tItens[[#This Row],[Edital]],tEditais[Edital],0)),"")</f>
        <v>MUNICIPIO DE CAMPO GRANDE DO PIAUI</v>
      </c>
      <c r="H5059" t="str">
        <f>IFERROR(INDEX(tEditais[UF],MATCH(tItens[[#This Row],[Edital]],tEditais[Edital],0)),"")</f>
        <v>PI</v>
      </c>
      <c r="I5059" s="11">
        <f>IFERROR(INDEX(tEditais[Encerramento],MATCH(tItens[[#This Row],[Edital]],tEditais[Edital],0)),"")</f>
        <v>46310.374305555553</v>
      </c>
      <c r="J5059" t="str">
        <f>IFERROR(INDEX(tProdutos[Classe],MATCH(tItens[[#This Row],[Produto]],tProdutos[Produto],0)),"produto não cadastrado")</f>
        <v>DISPUTADO</v>
      </c>
      <c r="K5059" s="12">
        <f>tItens[[#This Row],[Qtd]]*tItens[[#This Row],[Vlr unit]]</f>
        <v>6708</v>
      </c>
      <c r="L5059" s="6">
        <f>IFERROR(IF(INDEX(tProdutos[Desconto homologado],MATCH(tItens[[#This Row],[Produto]],tProdutos[Produto],0))="",DescontoPadrao,INDEX(tProdutos[Desconto homologado],MATCH(tItens[[#This Row],[Produto]],tProdutos[Produto],0))),DescontoPadrao)</f>
        <v>0.42461538461538501</v>
      </c>
      <c r="M5059" s="12">
        <f>tItens[[#This Row],[Valor]]*(1-tItens[[#This Row],[Desconto]])</f>
        <v>3859.6799999999971</v>
      </c>
      <c r="N5059" t="str">
        <f>IFERROR(INDEX(tProdutos[Foco],MATCH(tItens[[#This Row],[Produto]],tProdutos[Produto],0)),"Não")</f>
        <v>Não</v>
      </c>
      <c r="O5059" t="str">
        <f>IFERROR(INDEX(tEditais[SRP],MATCH(tItens[[#This Row],[Edital]],tEditais[Edital],0)),"Não")</f>
        <v>Não</v>
      </c>
      <c r="P5059" s="4">
        <f>IF(COUNTIFS(INDEX(tItens[Edital],1):tItens[[#This Row],[Edital]],tItens[[#This Row],[Edital]],INDEX(tItens[Produto],1):tItens[[#This Row],[Produto]],tItens[[#This Row],[Produto]])=1,1,0)</f>
        <v>1</v>
      </c>
    </row>
    <row r="5060" spans="1:16" x14ac:dyDescent="0.25">
      <c r="A5060" t="s">
        <v>1957</v>
      </c>
      <c r="B5060">
        <v>89</v>
      </c>
      <c r="C5060" t="s">
        <v>7869</v>
      </c>
      <c r="D5060" t="s">
        <v>289</v>
      </c>
      <c r="E5060" s="13">
        <v>6250</v>
      </c>
      <c r="F5060" s="12">
        <v>0.98</v>
      </c>
      <c r="G5060" t="str">
        <f>IFERROR(INDEX(tEditais[Órgão],MATCH(tItens[[#This Row],[Edital]],tEditais[Edital],0)),"")</f>
        <v>MUNICIPIO DE CAMPO GRANDE DO PIAUI</v>
      </c>
      <c r="H5060" t="str">
        <f>IFERROR(INDEX(tEditais[UF],MATCH(tItens[[#This Row],[Edital]],tEditais[Edital],0)),"")</f>
        <v>PI</v>
      </c>
      <c r="I5060" s="11">
        <f>IFERROR(INDEX(tEditais[Encerramento],MATCH(tItens[[#This Row],[Edital]],tEditais[Edital],0)),"")</f>
        <v>46310.374305555553</v>
      </c>
      <c r="J5060" t="str">
        <f>IFERROR(INDEX(tProdutos[Classe],MATCH(tItens[[#This Row],[Produto]],tProdutos[Produto],0)),"produto não cadastrado")</f>
        <v>DISPUTADO</v>
      </c>
      <c r="K5060" s="12">
        <f>tItens[[#This Row],[Qtd]]*tItens[[#This Row],[Vlr unit]]</f>
        <v>6125</v>
      </c>
      <c r="L5060" s="6">
        <f>IFERROR(IF(INDEX(tProdutos[Desconto homologado],MATCH(tItens[[#This Row],[Produto]],tProdutos[Produto],0))="",DescontoPadrao,INDEX(tProdutos[Desconto homologado],MATCH(tItens[[#This Row],[Produto]],tProdutos[Produto],0))),DescontoPadrao)</f>
        <v>0.35849056603773599</v>
      </c>
      <c r="M5060" s="12">
        <f>tItens[[#This Row],[Valor]]*(1-tItens[[#This Row],[Desconto]])</f>
        <v>3929.2452830188672</v>
      </c>
      <c r="N5060" t="str">
        <f>IFERROR(INDEX(tProdutos[Foco],MATCH(tItens[[#This Row],[Produto]],tProdutos[Produto],0)),"Não")</f>
        <v>Não</v>
      </c>
      <c r="O5060" t="str">
        <f>IFERROR(INDEX(tEditais[SRP],MATCH(tItens[[#This Row],[Edital]],tEditais[Edital],0)),"Não")</f>
        <v>Não</v>
      </c>
      <c r="P5060" s="4">
        <f>IF(COUNTIFS(INDEX(tItens[Edital],1):tItens[[#This Row],[Edital]],tItens[[#This Row],[Edital]],INDEX(tItens[Produto],1):tItens[[#This Row],[Produto]],tItens[[#This Row],[Produto]])=1,1,0)</f>
        <v>1</v>
      </c>
    </row>
    <row r="5061" spans="1:16" x14ac:dyDescent="0.25">
      <c r="A5061" t="s">
        <v>1957</v>
      </c>
      <c r="B5061">
        <v>98</v>
      </c>
      <c r="C5061" t="s">
        <v>7870</v>
      </c>
      <c r="D5061" t="s">
        <v>120</v>
      </c>
      <c r="E5061" s="13">
        <v>1800</v>
      </c>
      <c r="F5061" s="12">
        <v>1.32</v>
      </c>
      <c r="G5061" t="str">
        <f>IFERROR(INDEX(tEditais[Órgão],MATCH(tItens[[#This Row],[Edital]],tEditais[Edital],0)),"")</f>
        <v>MUNICIPIO DE CAMPO GRANDE DO PIAUI</v>
      </c>
      <c r="H5061" t="str">
        <f>IFERROR(INDEX(tEditais[UF],MATCH(tItens[[#This Row],[Edital]],tEditais[Edital],0)),"")</f>
        <v>PI</v>
      </c>
      <c r="I5061" s="11">
        <f>IFERROR(INDEX(tEditais[Encerramento],MATCH(tItens[[#This Row],[Edital]],tEditais[Edital],0)),"")</f>
        <v>46310.374305555553</v>
      </c>
      <c r="J5061" t="str">
        <f>IFERROR(INDEX(tProdutos[Classe],MATCH(tItens[[#This Row],[Produto]],tProdutos[Produto],0)),"produto não cadastrado")</f>
        <v>DISPUTADO</v>
      </c>
      <c r="K5061" s="12">
        <f>tItens[[#This Row],[Qtd]]*tItens[[#This Row],[Vlr unit]]</f>
        <v>2376</v>
      </c>
      <c r="L5061" s="6">
        <f>IFERROR(IF(INDEX(tProdutos[Desconto homologado],MATCH(tItens[[#This Row],[Produto]],tProdutos[Produto],0))="",DescontoPadrao,INDEX(tProdutos[Desconto homologado],MATCH(tItens[[#This Row],[Produto]],tProdutos[Produto],0))),DescontoPadrao)</f>
        <v>0.40909090909090901</v>
      </c>
      <c r="M5061" s="12">
        <f>tItens[[#This Row],[Valor]]*(1-tItens[[#This Row],[Desconto]])</f>
        <v>1404.0000000000002</v>
      </c>
      <c r="N5061" t="str">
        <f>IFERROR(INDEX(tProdutos[Foco],MATCH(tItens[[#This Row],[Produto]],tProdutos[Produto],0)),"Não")</f>
        <v>Não</v>
      </c>
      <c r="O5061" t="str">
        <f>IFERROR(INDEX(tEditais[SRP],MATCH(tItens[[#This Row],[Edital]],tEditais[Edital],0)),"Não")</f>
        <v>Não</v>
      </c>
      <c r="P5061" s="4">
        <f>IF(COUNTIFS(INDEX(tItens[Edital],1):tItens[[#This Row],[Edital]],tItens[[#This Row],[Edital]],INDEX(tItens[Produto],1):tItens[[#This Row],[Produto]],tItens[[#This Row],[Produto]])=1,1,0)</f>
        <v>1</v>
      </c>
    </row>
    <row r="5062" spans="1:16" x14ac:dyDescent="0.25">
      <c r="A5062" t="s">
        <v>1957</v>
      </c>
      <c r="B5062">
        <v>99</v>
      </c>
      <c r="C5062" t="s">
        <v>7871</v>
      </c>
      <c r="D5062" t="s">
        <v>120</v>
      </c>
      <c r="E5062" s="13">
        <v>1800</v>
      </c>
      <c r="F5062" s="12">
        <v>1.89</v>
      </c>
      <c r="G5062" t="str">
        <f>IFERROR(INDEX(tEditais[Órgão],MATCH(tItens[[#This Row],[Edital]],tEditais[Edital],0)),"")</f>
        <v>MUNICIPIO DE CAMPO GRANDE DO PIAUI</v>
      </c>
      <c r="H5062" t="str">
        <f>IFERROR(INDEX(tEditais[UF],MATCH(tItens[[#This Row],[Edital]],tEditais[Edital],0)),"")</f>
        <v>PI</v>
      </c>
      <c r="I5062" s="11">
        <f>IFERROR(INDEX(tEditais[Encerramento],MATCH(tItens[[#This Row],[Edital]],tEditais[Edital],0)),"")</f>
        <v>46310.374305555553</v>
      </c>
      <c r="J5062" t="str">
        <f>IFERROR(INDEX(tProdutos[Classe],MATCH(tItens[[#This Row],[Produto]],tProdutos[Produto],0)),"produto não cadastrado")</f>
        <v>DISPUTADO</v>
      </c>
      <c r="K5062" s="12">
        <f>tItens[[#This Row],[Qtd]]*tItens[[#This Row],[Vlr unit]]</f>
        <v>3402</v>
      </c>
      <c r="L5062" s="6">
        <f>IFERROR(IF(INDEX(tProdutos[Desconto homologado],MATCH(tItens[[#This Row],[Produto]],tProdutos[Produto],0))="",DescontoPadrao,INDEX(tProdutos[Desconto homologado],MATCH(tItens[[#This Row],[Produto]],tProdutos[Produto],0))),DescontoPadrao)</f>
        <v>0.40909090909090901</v>
      </c>
      <c r="M5062" s="12">
        <f>tItens[[#This Row],[Valor]]*(1-tItens[[#This Row],[Desconto]])</f>
        <v>2010.2727272727277</v>
      </c>
      <c r="N5062" t="str">
        <f>IFERROR(INDEX(tProdutos[Foco],MATCH(tItens[[#This Row],[Produto]],tProdutos[Produto],0)),"Não")</f>
        <v>Não</v>
      </c>
      <c r="O5062" t="str">
        <f>IFERROR(INDEX(tEditais[SRP],MATCH(tItens[[#This Row],[Edital]],tEditais[Edital],0)),"Não")</f>
        <v>Não</v>
      </c>
      <c r="P5062" s="4">
        <f>IF(COUNTIFS(INDEX(tItens[Edital],1):tItens[[#This Row],[Edital]],tItens[[#This Row],[Edital]],INDEX(tItens[Produto],1):tItens[[#This Row],[Produto]],tItens[[#This Row],[Produto]])=1,1,0)</f>
        <v>0</v>
      </c>
    </row>
    <row r="5063" spans="1:16" x14ac:dyDescent="0.25">
      <c r="A5063" t="s">
        <v>1957</v>
      </c>
      <c r="B5063">
        <v>100</v>
      </c>
      <c r="C5063" t="s">
        <v>4888</v>
      </c>
      <c r="D5063" t="s">
        <v>120</v>
      </c>
      <c r="E5063" s="13">
        <v>1800</v>
      </c>
      <c r="F5063" s="12">
        <v>1.95</v>
      </c>
      <c r="G5063" t="str">
        <f>IFERROR(INDEX(tEditais[Órgão],MATCH(tItens[[#This Row],[Edital]],tEditais[Edital],0)),"")</f>
        <v>MUNICIPIO DE CAMPO GRANDE DO PIAUI</v>
      </c>
      <c r="H5063" t="str">
        <f>IFERROR(INDEX(tEditais[UF],MATCH(tItens[[#This Row],[Edital]],tEditais[Edital],0)),"")</f>
        <v>PI</v>
      </c>
      <c r="I5063" s="11">
        <f>IFERROR(INDEX(tEditais[Encerramento],MATCH(tItens[[#This Row],[Edital]],tEditais[Edital],0)),"")</f>
        <v>46310.374305555553</v>
      </c>
      <c r="J5063" t="str">
        <f>IFERROR(INDEX(tProdutos[Classe],MATCH(tItens[[#This Row],[Produto]],tProdutos[Produto],0)),"produto não cadastrado")</f>
        <v>DISPUTADO</v>
      </c>
      <c r="K5063" s="12">
        <f>tItens[[#This Row],[Qtd]]*tItens[[#This Row],[Vlr unit]]</f>
        <v>3510</v>
      </c>
      <c r="L5063" s="6">
        <f>IFERROR(IF(INDEX(tProdutos[Desconto homologado],MATCH(tItens[[#This Row],[Produto]],tProdutos[Produto],0))="",DescontoPadrao,INDEX(tProdutos[Desconto homologado],MATCH(tItens[[#This Row],[Produto]],tProdutos[Produto],0))),DescontoPadrao)</f>
        <v>0.40909090909090901</v>
      </c>
      <c r="M5063" s="12">
        <f>tItens[[#This Row],[Valor]]*(1-tItens[[#This Row],[Desconto]])</f>
        <v>2074.0909090909095</v>
      </c>
      <c r="N5063" t="str">
        <f>IFERROR(INDEX(tProdutos[Foco],MATCH(tItens[[#This Row],[Produto]],tProdutos[Produto],0)),"Não")</f>
        <v>Não</v>
      </c>
      <c r="O5063" t="str">
        <f>IFERROR(INDEX(tEditais[SRP],MATCH(tItens[[#This Row],[Edital]],tEditais[Edital],0)),"Não")</f>
        <v>Não</v>
      </c>
      <c r="P5063" s="4">
        <f>IF(COUNTIFS(INDEX(tItens[Edital],1):tItens[[#This Row],[Edital]],tItens[[#This Row],[Edital]],INDEX(tItens[Produto],1):tItens[[#This Row],[Produto]],tItens[[#This Row],[Produto]])=1,1,0)</f>
        <v>0</v>
      </c>
    </row>
    <row r="5064" spans="1:16" x14ac:dyDescent="0.25">
      <c r="A5064" t="s">
        <v>1957</v>
      </c>
      <c r="B5064">
        <v>105</v>
      </c>
      <c r="C5064" t="s">
        <v>7872</v>
      </c>
      <c r="D5064" t="s">
        <v>114</v>
      </c>
      <c r="E5064" s="13">
        <v>1200</v>
      </c>
      <c r="F5064" s="12">
        <v>16.02</v>
      </c>
      <c r="G5064" t="str">
        <f>IFERROR(INDEX(tEditais[Órgão],MATCH(tItens[[#This Row],[Edital]],tEditais[Edital],0)),"")</f>
        <v>MUNICIPIO DE CAMPO GRANDE DO PIAUI</v>
      </c>
      <c r="H5064" t="str">
        <f>IFERROR(INDEX(tEditais[UF],MATCH(tItens[[#This Row],[Edital]],tEditais[Edital],0)),"")</f>
        <v>PI</v>
      </c>
      <c r="I5064" s="11">
        <f>IFERROR(INDEX(tEditais[Encerramento],MATCH(tItens[[#This Row],[Edital]],tEditais[Edital],0)),"")</f>
        <v>46310.374305555553</v>
      </c>
      <c r="J5064" t="str">
        <f>IFERROR(INDEX(tProdutos[Classe],MATCH(tItens[[#This Row],[Produto]],tProdutos[Produto],0)),"produto não cadastrado")</f>
        <v>DISPUTADO</v>
      </c>
      <c r="K5064" s="12">
        <f>tItens[[#This Row],[Qtd]]*tItens[[#This Row],[Vlr unit]]</f>
        <v>19224</v>
      </c>
      <c r="L5064" s="6">
        <f>IFERROR(IF(INDEX(tProdutos[Desconto homologado],MATCH(tItens[[#This Row],[Produto]],tProdutos[Produto],0))="",DescontoPadrao,INDEX(tProdutos[Desconto homologado],MATCH(tItens[[#This Row],[Produto]],tProdutos[Produto],0))),DescontoPadrao)</f>
        <v>0.24332656063896899</v>
      </c>
      <c r="M5064" s="12">
        <f>tItens[[#This Row],[Valor]]*(1-tItens[[#This Row],[Desconto]])</f>
        <v>14546.290198276462</v>
      </c>
      <c r="N5064" t="str">
        <f>IFERROR(INDEX(tProdutos[Foco],MATCH(tItens[[#This Row],[Produto]],tProdutos[Produto],0)),"Não")</f>
        <v>Não</v>
      </c>
      <c r="O5064" t="str">
        <f>IFERROR(INDEX(tEditais[SRP],MATCH(tItens[[#This Row],[Edital]],tEditais[Edital],0)),"Não")</f>
        <v>Não</v>
      </c>
      <c r="P5064" s="4">
        <f>IF(COUNTIFS(INDEX(tItens[Edital],1):tItens[[#This Row],[Edital]],tItens[[#This Row],[Edital]],INDEX(tItens[Produto],1):tItens[[#This Row],[Produto]],tItens[[#This Row],[Produto]])=1,1,0)</f>
        <v>1</v>
      </c>
    </row>
    <row r="5065" spans="1:16" x14ac:dyDescent="0.25">
      <c r="A5065" t="s">
        <v>1961</v>
      </c>
      <c r="B5065">
        <v>7</v>
      </c>
      <c r="C5065" t="s">
        <v>7873</v>
      </c>
      <c r="D5065" t="s">
        <v>156</v>
      </c>
      <c r="E5065" s="13">
        <v>20</v>
      </c>
      <c r="F5065" s="12">
        <v>166.67</v>
      </c>
      <c r="G5065" t="str">
        <f>IFERROR(INDEX(tEditais[Órgão],MATCH(tItens[[#This Row],[Edital]],tEditais[Edital],0)),"")</f>
        <v>MUNICIPIO DE SAO FRANCISCO DO PIAUI</v>
      </c>
      <c r="H5065" t="str">
        <f>IFERROR(INDEX(tEditais[UF],MATCH(tItens[[#This Row],[Edital]],tEditais[Edital],0)),"")</f>
        <v>PI</v>
      </c>
      <c r="I5065" s="11">
        <f>IFERROR(INDEX(tEditais[Encerramento],MATCH(tItens[[#This Row],[Edital]],tEditais[Edital],0)),"")</f>
        <v>46311.333333333336</v>
      </c>
      <c r="J5065" t="str">
        <f>IFERROR(INDEX(tProdutos[Classe],MATCH(tItens[[#This Row],[Produto]],tProdutos[Produto],0)),"produto não cadastrado")</f>
        <v>DISPUTADO</v>
      </c>
      <c r="K5065" s="12">
        <f>tItens[[#This Row],[Qtd]]*tItens[[#This Row],[Vlr unit]]</f>
        <v>3333.3999999999996</v>
      </c>
      <c r="L5065" s="6">
        <f>IFERROR(IF(INDEX(tProdutos[Desconto homologado],MATCH(tItens[[#This Row],[Produto]],tProdutos[Produto],0))="",DescontoPadrao,INDEX(tProdutos[Desconto homologado],MATCH(tItens[[#This Row],[Produto]],tProdutos[Produto],0))),DescontoPadrao)</f>
        <v>0.27131852489802799</v>
      </c>
      <c r="M5065" s="12">
        <f>tItens[[#This Row],[Valor]]*(1-tItens[[#This Row],[Desconto]])</f>
        <v>2428.9868291049133</v>
      </c>
      <c r="N5065" t="str">
        <f>IFERROR(INDEX(tProdutos[Foco],MATCH(tItens[[#This Row],[Produto]],tProdutos[Produto],0)),"Não")</f>
        <v>Não</v>
      </c>
      <c r="O5065" t="str">
        <f>IFERROR(INDEX(tEditais[SRP],MATCH(tItens[[#This Row],[Edital]],tEditais[Edital],0)),"Não")</f>
        <v>Não</v>
      </c>
      <c r="P5065" s="4">
        <f>IF(COUNTIFS(INDEX(tItens[Edital],1):tItens[[#This Row],[Edital]],tItens[[#This Row],[Edital]],INDEX(tItens[Produto],1):tItens[[#This Row],[Produto]],tItens[[#This Row],[Produto]])=1,1,0)</f>
        <v>1</v>
      </c>
    </row>
    <row r="5066" spans="1:16" x14ac:dyDescent="0.25">
      <c r="A5066" t="s">
        <v>1961</v>
      </c>
      <c r="B5066">
        <v>9</v>
      </c>
      <c r="C5066" t="s">
        <v>7874</v>
      </c>
      <c r="D5066" t="s">
        <v>73</v>
      </c>
      <c r="E5066" s="13">
        <v>20</v>
      </c>
      <c r="F5066" s="12">
        <v>76.67</v>
      </c>
      <c r="G5066" t="str">
        <f>IFERROR(INDEX(tEditais[Órgão],MATCH(tItens[[#This Row],[Edital]],tEditais[Edital],0)),"")</f>
        <v>MUNICIPIO DE SAO FRANCISCO DO PIAUI</v>
      </c>
      <c r="H5066" t="str">
        <f>IFERROR(INDEX(tEditais[UF],MATCH(tItens[[#This Row],[Edital]],tEditais[Edital],0)),"")</f>
        <v>PI</v>
      </c>
      <c r="I5066" s="11">
        <f>IFERROR(INDEX(tEditais[Encerramento],MATCH(tItens[[#This Row],[Edital]],tEditais[Edital],0)),"")</f>
        <v>46311.333333333336</v>
      </c>
      <c r="J5066" t="str">
        <f>IFERROR(INDEX(tProdutos[Classe],MATCH(tItens[[#This Row],[Produto]],tProdutos[Produto],0)),"produto não cadastrado")</f>
        <v>NÚCLEO</v>
      </c>
      <c r="K5066" s="12">
        <f>tItens[[#This Row],[Qtd]]*tItens[[#This Row],[Vlr unit]]</f>
        <v>1533.4</v>
      </c>
      <c r="L5066" s="6">
        <f>IFERROR(IF(INDEX(tProdutos[Desconto homologado],MATCH(tItens[[#This Row],[Produto]],tProdutos[Produto],0))="",DescontoPadrao,INDEX(tProdutos[Desconto homologado],MATCH(tItens[[#This Row],[Produto]],tProdutos[Produto],0))),DescontoPadrao)</f>
        <v>0.37</v>
      </c>
      <c r="M5066" s="12">
        <f>tItens[[#This Row],[Valor]]*(1-tItens[[#This Row],[Desconto]])</f>
        <v>966.04200000000003</v>
      </c>
      <c r="N5066" t="str">
        <f>IFERROR(INDEX(tProdutos[Foco],MATCH(tItens[[#This Row],[Produto]],tProdutos[Produto],0)),"Não")</f>
        <v>Sim</v>
      </c>
      <c r="O5066" t="str">
        <f>IFERROR(INDEX(tEditais[SRP],MATCH(tItens[[#This Row],[Edital]],tEditais[Edital],0)),"Não")</f>
        <v>Não</v>
      </c>
      <c r="P5066" s="4">
        <f>IF(COUNTIFS(INDEX(tItens[Edital],1):tItens[[#This Row],[Edital]],tItens[[#This Row],[Edital]],INDEX(tItens[Produto],1):tItens[[#This Row],[Produto]],tItens[[#This Row],[Produto]])=1,1,0)</f>
        <v>1</v>
      </c>
    </row>
    <row r="5067" spans="1:16" x14ac:dyDescent="0.25">
      <c r="A5067" t="s">
        <v>1966</v>
      </c>
      <c r="B5067">
        <v>4</v>
      </c>
      <c r="C5067" t="s">
        <v>7875</v>
      </c>
      <c r="D5067" t="s">
        <v>569</v>
      </c>
      <c r="E5067" s="13">
        <v>150</v>
      </c>
      <c r="F5067" s="12">
        <v>71.400000000000006</v>
      </c>
      <c r="G5067" t="str">
        <f>IFERROR(INDEX(tEditais[Órgão],MATCH(tItens[[#This Row],[Edital]],tEditais[Edital],0)),"")</f>
        <v>MUNICIPIO DE CRISTINO CASTRO</v>
      </c>
      <c r="H5067" t="str">
        <f>IFERROR(INDEX(tEditais[UF],MATCH(tItens[[#This Row],[Edital]],tEditais[Edital],0)),"")</f>
        <v>PI</v>
      </c>
      <c r="I5067" s="11">
        <f>IFERROR(INDEX(tEditais[Encerramento],MATCH(tItens[[#This Row],[Edital]],tEditais[Edital],0)),"")</f>
        <v>46314.291666666664</v>
      </c>
      <c r="J5067" t="str">
        <f>IFERROR(INDEX(tProdutos[Classe],MATCH(tItens[[#This Row],[Produto]],tProdutos[Produto],0)),"produto não cadastrado")</f>
        <v>FILA REBASE</v>
      </c>
      <c r="K5067" s="12">
        <f>tItens[[#This Row],[Qtd]]*tItens[[#This Row],[Vlr unit]]</f>
        <v>10710</v>
      </c>
      <c r="L5067" s="6">
        <f>IFERROR(IF(INDEX(tProdutos[Desconto homologado],MATCH(tItens[[#This Row],[Produto]],tProdutos[Produto],0))="",DescontoPadrao,INDEX(tProdutos[Desconto homologado],MATCH(tItens[[#This Row],[Produto]],tProdutos[Produto],0))),DescontoPadrao)</f>
        <v>0.3</v>
      </c>
      <c r="M5067" s="12">
        <f>tItens[[#This Row],[Valor]]*(1-tItens[[#This Row],[Desconto]])</f>
        <v>7496.9999999999991</v>
      </c>
      <c r="N5067" t="str">
        <f>IFERROR(INDEX(tProdutos[Foco],MATCH(tItens[[#This Row],[Produto]],tProdutos[Produto],0)),"Não")</f>
        <v>Não</v>
      </c>
      <c r="O5067" t="str">
        <f>IFERROR(INDEX(tEditais[SRP],MATCH(tItens[[#This Row],[Edital]],tEditais[Edital],0)),"Não")</f>
        <v>Sim</v>
      </c>
      <c r="P5067" s="4">
        <f>IF(COUNTIFS(INDEX(tItens[Edital],1):tItens[[#This Row],[Edital]],tItens[[#This Row],[Edital]],INDEX(tItens[Produto],1):tItens[[#This Row],[Produto]],tItens[[#This Row],[Produto]])=1,1,0)</f>
        <v>1</v>
      </c>
    </row>
    <row r="5068" spans="1:16" x14ac:dyDescent="0.25">
      <c r="A5068" t="s">
        <v>1966</v>
      </c>
      <c r="B5068">
        <v>31</v>
      </c>
      <c r="C5068" t="s">
        <v>7876</v>
      </c>
      <c r="D5068" t="s">
        <v>569</v>
      </c>
      <c r="E5068" s="13">
        <v>100</v>
      </c>
      <c r="F5068" s="12">
        <v>277.94</v>
      </c>
      <c r="G5068" t="str">
        <f>IFERROR(INDEX(tEditais[Órgão],MATCH(tItens[[#This Row],[Edital]],tEditais[Edital],0)),"")</f>
        <v>MUNICIPIO DE CRISTINO CASTRO</v>
      </c>
      <c r="H5068" t="str">
        <f>IFERROR(INDEX(tEditais[UF],MATCH(tItens[[#This Row],[Edital]],tEditais[Edital],0)),"")</f>
        <v>PI</v>
      </c>
      <c r="I5068" s="11">
        <f>IFERROR(INDEX(tEditais[Encerramento],MATCH(tItens[[#This Row],[Edital]],tEditais[Edital],0)),"")</f>
        <v>46314.291666666664</v>
      </c>
      <c r="J5068" t="str">
        <f>IFERROR(INDEX(tProdutos[Classe],MATCH(tItens[[#This Row],[Produto]],tProdutos[Produto],0)),"produto não cadastrado")</f>
        <v>FILA REBASE</v>
      </c>
      <c r="K5068" s="12">
        <f>tItens[[#This Row],[Qtd]]*tItens[[#This Row],[Vlr unit]]</f>
        <v>27794</v>
      </c>
      <c r="L5068" s="6">
        <f>IFERROR(IF(INDEX(tProdutos[Desconto homologado],MATCH(tItens[[#This Row],[Produto]],tProdutos[Produto],0))="",DescontoPadrao,INDEX(tProdutos[Desconto homologado],MATCH(tItens[[#This Row],[Produto]],tProdutos[Produto],0))),DescontoPadrao)</f>
        <v>0.3</v>
      </c>
      <c r="M5068" s="12">
        <f>tItens[[#This Row],[Valor]]*(1-tItens[[#This Row],[Desconto]])</f>
        <v>19455.8</v>
      </c>
      <c r="N5068" t="str">
        <f>IFERROR(INDEX(tProdutos[Foco],MATCH(tItens[[#This Row],[Produto]],tProdutos[Produto],0)),"Não")</f>
        <v>Não</v>
      </c>
      <c r="O5068" t="str">
        <f>IFERROR(INDEX(tEditais[SRP],MATCH(tItens[[#This Row],[Edital]],tEditais[Edital],0)),"Não")</f>
        <v>Sim</v>
      </c>
      <c r="P5068" s="4">
        <f>IF(COUNTIFS(INDEX(tItens[Edital],1):tItens[[#This Row],[Edital]],tItens[[#This Row],[Edital]],INDEX(tItens[Produto],1):tItens[[#This Row],[Produto]],tItens[[#This Row],[Produto]])=1,1,0)</f>
        <v>0</v>
      </c>
    </row>
    <row r="5069" spans="1:16" x14ac:dyDescent="0.25">
      <c r="A5069" t="s">
        <v>1970</v>
      </c>
      <c r="B5069">
        <v>12</v>
      </c>
      <c r="C5069" t="s">
        <v>7877</v>
      </c>
      <c r="D5069" t="s">
        <v>164</v>
      </c>
      <c r="E5069" s="13">
        <v>150</v>
      </c>
      <c r="F5069" s="12">
        <v>12.3</v>
      </c>
      <c r="G5069" t="str">
        <f>IFERROR(INDEX(tEditais[Órgão],MATCH(tItens[[#This Row],[Edital]],tEditais[Edital],0)),"")</f>
        <v>MUNICIPIO DE MARINGA</v>
      </c>
      <c r="H5069" t="str">
        <f>IFERROR(INDEX(tEditais[UF],MATCH(tItens[[#This Row],[Edital]],tEditais[Edital],0)),"")</f>
        <v>PR</v>
      </c>
      <c r="I5069" s="11">
        <f>IFERROR(INDEX(tEditais[Encerramento],MATCH(tItens[[#This Row],[Edital]],tEditais[Edital],0)),"")</f>
        <v>46304.354166666664</v>
      </c>
      <c r="J5069" t="str">
        <f>IFERROR(INDEX(tProdutos[Classe],MATCH(tItens[[#This Row],[Produto]],tProdutos[Produto],0)),"produto não cadastrado")</f>
        <v>DISPUTADO</v>
      </c>
      <c r="K5069" s="12">
        <f>tItens[[#This Row],[Qtd]]*tItens[[#This Row],[Vlr unit]]</f>
        <v>1845</v>
      </c>
      <c r="L5069" s="6">
        <f>IFERROR(IF(INDEX(tProdutos[Desconto homologado],MATCH(tItens[[#This Row],[Produto]],tProdutos[Produto],0))="",DescontoPadrao,INDEX(tProdutos[Desconto homologado],MATCH(tItens[[#This Row],[Produto]],tProdutos[Produto],0))),DescontoPadrao)</f>
        <v>0.445300462249615</v>
      </c>
      <c r="M5069" s="12">
        <f>tItens[[#This Row],[Valor]]*(1-tItens[[#This Row],[Desconto]])</f>
        <v>1023.4206471494603</v>
      </c>
      <c r="N5069" t="str">
        <f>IFERROR(INDEX(tProdutos[Foco],MATCH(tItens[[#This Row],[Produto]],tProdutos[Produto],0)),"Não")</f>
        <v>Não</v>
      </c>
      <c r="O5069" t="str">
        <f>IFERROR(INDEX(tEditais[SRP],MATCH(tItens[[#This Row],[Edital]],tEditais[Edital],0)),"Não")</f>
        <v>Sim</v>
      </c>
      <c r="P5069" s="4">
        <f>IF(COUNTIFS(INDEX(tItens[Edital],1):tItens[[#This Row],[Edital]],tItens[[#This Row],[Edital]],INDEX(tItens[Produto],1):tItens[[#This Row],[Produto]],tItens[[#This Row],[Produto]])=1,1,0)</f>
        <v>1</v>
      </c>
    </row>
    <row r="5070" spans="1:16" x14ac:dyDescent="0.25">
      <c r="A5070" t="s">
        <v>1976</v>
      </c>
      <c r="B5070">
        <v>28</v>
      </c>
      <c r="C5070" t="s">
        <v>7875</v>
      </c>
      <c r="D5070" t="s">
        <v>569</v>
      </c>
      <c r="E5070" s="13">
        <v>430</v>
      </c>
      <c r="F5070" s="12">
        <v>40</v>
      </c>
      <c r="G5070" t="str">
        <f>IFERROR(INDEX(tEditais[Órgão],MATCH(tItens[[#This Row],[Edital]],tEditais[Edital],0)),"")</f>
        <v>MUNICIPIO DE PALMEIRA</v>
      </c>
      <c r="H5070" t="str">
        <f>IFERROR(INDEX(tEditais[UF],MATCH(tItens[[#This Row],[Edital]],tEditais[Edital],0)),"")</f>
        <v>PR</v>
      </c>
      <c r="I5070" s="11">
        <f>IFERROR(INDEX(tEditais[Encerramento],MATCH(tItens[[#This Row],[Edital]],tEditais[Edital],0)),"")</f>
        <v>46304.354166666664</v>
      </c>
      <c r="J5070" t="str">
        <f>IFERROR(INDEX(tProdutos[Classe],MATCH(tItens[[#This Row],[Produto]],tProdutos[Produto],0)),"produto não cadastrado")</f>
        <v>FILA REBASE</v>
      </c>
      <c r="K5070" s="12">
        <f>tItens[[#This Row],[Qtd]]*tItens[[#This Row],[Vlr unit]]</f>
        <v>17200</v>
      </c>
      <c r="L5070" s="6">
        <f>IFERROR(IF(INDEX(tProdutos[Desconto homologado],MATCH(tItens[[#This Row],[Produto]],tProdutos[Produto],0))="",DescontoPadrao,INDEX(tProdutos[Desconto homologado],MATCH(tItens[[#This Row],[Produto]],tProdutos[Produto],0))),DescontoPadrao)</f>
        <v>0.3</v>
      </c>
      <c r="M5070" s="12">
        <f>tItens[[#This Row],[Valor]]*(1-tItens[[#This Row],[Desconto]])</f>
        <v>12040</v>
      </c>
      <c r="N5070" t="str">
        <f>IFERROR(INDEX(tProdutos[Foco],MATCH(tItens[[#This Row],[Produto]],tProdutos[Produto],0)),"Não")</f>
        <v>Não</v>
      </c>
      <c r="O5070" t="str">
        <f>IFERROR(INDEX(tEditais[SRP],MATCH(tItens[[#This Row],[Edital]],tEditais[Edital],0)),"Não")</f>
        <v>Sim</v>
      </c>
      <c r="P5070" s="4">
        <f>IF(COUNTIFS(INDEX(tItens[Edital],1):tItens[[#This Row],[Edital]],tItens[[#This Row],[Edital]],INDEX(tItens[Produto],1):tItens[[#This Row],[Produto]],tItens[[#This Row],[Produto]])=1,1,0)</f>
        <v>1</v>
      </c>
    </row>
    <row r="5071" spans="1:16" x14ac:dyDescent="0.25">
      <c r="A5071" t="s">
        <v>1980</v>
      </c>
      <c r="B5071">
        <v>11</v>
      </c>
      <c r="C5071" t="s">
        <v>7878</v>
      </c>
      <c r="D5071" t="s">
        <v>461</v>
      </c>
      <c r="E5071" s="13">
        <v>1000</v>
      </c>
      <c r="F5071" s="12">
        <v>1.59</v>
      </c>
      <c r="G5071" t="str">
        <f>IFERROR(INDEX(tEditais[Órgão],MATCH(tItens[[#This Row],[Edital]],tEditais[Edital],0)),"")</f>
        <v>MUNICIPIO DE NOVA ESPERANCA</v>
      </c>
      <c r="H5071" t="str">
        <f>IFERROR(INDEX(tEditais[UF],MATCH(tItens[[#This Row],[Edital]],tEditais[Edital],0)),"")</f>
        <v>PR</v>
      </c>
      <c r="I5071" s="11">
        <f>IFERROR(INDEX(tEditais[Encerramento],MATCH(tItens[[#This Row],[Edital]],tEditais[Edital],0)),"")</f>
        <v>46304.374305555553</v>
      </c>
      <c r="J5071" t="str">
        <f>IFERROR(INDEX(tProdutos[Classe],MATCH(tItens[[#This Row],[Produto]],tProdutos[Produto],0)),"produto não cadastrado")</f>
        <v>FILA REBASE</v>
      </c>
      <c r="K5071" s="12">
        <f>tItens[[#This Row],[Qtd]]*tItens[[#This Row],[Vlr unit]]</f>
        <v>1590</v>
      </c>
      <c r="L5071" s="6">
        <f>IFERROR(IF(INDEX(tProdutos[Desconto homologado],MATCH(tItens[[#This Row],[Produto]],tProdutos[Produto],0))="",DescontoPadrao,INDEX(tProdutos[Desconto homologado],MATCH(tItens[[#This Row],[Produto]],tProdutos[Produto],0))),DescontoPadrao)</f>
        <v>0.44096385542168698</v>
      </c>
      <c r="M5071" s="12">
        <f>tItens[[#This Row],[Valor]]*(1-tItens[[#This Row],[Desconto]])</f>
        <v>888.86746987951767</v>
      </c>
      <c r="N5071" t="str">
        <f>IFERROR(INDEX(tProdutos[Foco],MATCH(tItens[[#This Row],[Produto]],tProdutos[Produto],0)),"Não")</f>
        <v>Não</v>
      </c>
      <c r="O5071" t="str">
        <f>IFERROR(INDEX(tEditais[SRP],MATCH(tItens[[#This Row],[Edital]],tEditais[Edital],0)),"Não")</f>
        <v>Sim</v>
      </c>
      <c r="P5071" s="4">
        <f>IF(COUNTIFS(INDEX(tItens[Edital],1):tItens[[#This Row],[Edital]],tItens[[#This Row],[Edital]],INDEX(tItens[Produto],1):tItens[[#This Row],[Produto]],tItens[[#This Row],[Produto]])=1,1,0)</f>
        <v>1</v>
      </c>
    </row>
    <row r="5072" spans="1:16" x14ac:dyDescent="0.25">
      <c r="A5072" t="s">
        <v>1980</v>
      </c>
      <c r="B5072">
        <v>12</v>
      </c>
      <c r="C5072" t="s">
        <v>3490</v>
      </c>
      <c r="D5072" t="s">
        <v>461</v>
      </c>
      <c r="E5072" s="13">
        <v>1000</v>
      </c>
      <c r="F5072" s="12">
        <v>1.56</v>
      </c>
      <c r="G5072" t="str">
        <f>IFERROR(INDEX(tEditais[Órgão],MATCH(tItens[[#This Row],[Edital]],tEditais[Edital],0)),"")</f>
        <v>MUNICIPIO DE NOVA ESPERANCA</v>
      </c>
      <c r="H5072" t="str">
        <f>IFERROR(INDEX(tEditais[UF],MATCH(tItens[[#This Row],[Edital]],tEditais[Edital],0)),"")</f>
        <v>PR</v>
      </c>
      <c r="I5072" s="11">
        <f>IFERROR(INDEX(tEditais[Encerramento],MATCH(tItens[[#This Row],[Edital]],tEditais[Edital],0)),"")</f>
        <v>46304.374305555553</v>
      </c>
      <c r="J5072" t="str">
        <f>IFERROR(INDEX(tProdutos[Classe],MATCH(tItens[[#This Row],[Produto]],tProdutos[Produto],0)),"produto não cadastrado")</f>
        <v>FILA REBASE</v>
      </c>
      <c r="K5072" s="12">
        <f>tItens[[#This Row],[Qtd]]*tItens[[#This Row],[Vlr unit]]</f>
        <v>1560</v>
      </c>
      <c r="L5072" s="6">
        <f>IFERROR(IF(INDEX(tProdutos[Desconto homologado],MATCH(tItens[[#This Row],[Produto]],tProdutos[Produto],0))="",DescontoPadrao,INDEX(tProdutos[Desconto homologado],MATCH(tItens[[#This Row],[Produto]],tProdutos[Produto],0))),DescontoPadrao)</f>
        <v>0.44096385542168698</v>
      </c>
      <c r="M5072" s="12">
        <f>tItens[[#This Row],[Valor]]*(1-tItens[[#This Row],[Desconto]])</f>
        <v>872.09638554216826</v>
      </c>
      <c r="N5072" t="str">
        <f>IFERROR(INDEX(tProdutos[Foco],MATCH(tItens[[#This Row],[Produto]],tProdutos[Produto],0)),"Não")</f>
        <v>Não</v>
      </c>
      <c r="O5072" t="str">
        <f>IFERROR(INDEX(tEditais[SRP],MATCH(tItens[[#This Row],[Edital]],tEditais[Edital],0)),"Não")</f>
        <v>Sim</v>
      </c>
      <c r="P5072" s="4">
        <f>IF(COUNTIFS(INDEX(tItens[Edital],1):tItens[[#This Row],[Edital]],tItens[[#This Row],[Edital]],INDEX(tItens[Produto],1):tItens[[#This Row],[Produto]],tItens[[#This Row],[Produto]])=1,1,0)</f>
        <v>0</v>
      </c>
    </row>
    <row r="5073" spans="1:16" x14ac:dyDescent="0.25">
      <c r="A5073" t="s">
        <v>1980</v>
      </c>
      <c r="B5073">
        <v>13</v>
      </c>
      <c r="C5073" t="s">
        <v>7879</v>
      </c>
      <c r="D5073" t="s">
        <v>461</v>
      </c>
      <c r="E5073" s="13">
        <v>1000</v>
      </c>
      <c r="F5073" s="12">
        <v>1.74</v>
      </c>
      <c r="G5073" t="str">
        <f>IFERROR(INDEX(tEditais[Órgão],MATCH(tItens[[#This Row],[Edital]],tEditais[Edital],0)),"")</f>
        <v>MUNICIPIO DE NOVA ESPERANCA</v>
      </c>
      <c r="H5073" t="str">
        <f>IFERROR(INDEX(tEditais[UF],MATCH(tItens[[#This Row],[Edital]],tEditais[Edital],0)),"")</f>
        <v>PR</v>
      </c>
      <c r="I5073" s="11">
        <f>IFERROR(INDEX(tEditais[Encerramento],MATCH(tItens[[#This Row],[Edital]],tEditais[Edital],0)),"")</f>
        <v>46304.374305555553</v>
      </c>
      <c r="J5073" t="str">
        <f>IFERROR(INDEX(tProdutos[Classe],MATCH(tItens[[#This Row],[Produto]],tProdutos[Produto],0)),"produto não cadastrado")</f>
        <v>FILA REBASE</v>
      </c>
      <c r="K5073" s="12">
        <f>tItens[[#This Row],[Qtd]]*tItens[[#This Row],[Vlr unit]]</f>
        <v>1740</v>
      </c>
      <c r="L5073" s="6">
        <f>IFERROR(IF(INDEX(tProdutos[Desconto homologado],MATCH(tItens[[#This Row],[Produto]],tProdutos[Produto],0))="",DescontoPadrao,INDEX(tProdutos[Desconto homologado],MATCH(tItens[[#This Row],[Produto]],tProdutos[Produto],0))),DescontoPadrao)</f>
        <v>0.44096385542168698</v>
      </c>
      <c r="M5073" s="12">
        <f>tItens[[#This Row],[Valor]]*(1-tItens[[#This Row],[Desconto]])</f>
        <v>972.72289156626459</v>
      </c>
      <c r="N5073" t="str">
        <f>IFERROR(INDEX(tProdutos[Foco],MATCH(tItens[[#This Row],[Produto]],tProdutos[Produto],0)),"Não")</f>
        <v>Não</v>
      </c>
      <c r="O5073" t="str">
        <f>IFERROR(INDEX(tEditais[SRP],MATCH(tItens[[#This Row],[Edital]],tEditais[Edital],0)),"Não")</f>
        <v>Sim</v>
      </c>
      <c r="P5073" s="4">
        <f>IF(COUNTIFS(INDEX(tItens[Edital],1):tItens[[#This Row],[Edital]],tItens[[#This Row],[Edital]],INDEX(tItens[Produto],1):tItens[[#This Row],[Produto]],tItens[[#This Row],[Produto]])=1,1,0)</f>
        <v>0</v>
      </c>
    </row>
    <row r="5074" spans="1:16" x14ac:dyDescent="0.25">
      <c r="A5074" t="s">
        <v>1980</v>
      </c>
      <c r="B5074">
        <v>14</v>
      </c>
      <c r="C5074" t="s">
        <v>7880</v>
      </c>
      <c r="D5074" t="s">
        <v>461</v>
      </c>
      <c r="E5074" s="13">
        <v>1000</v>
      </c>
      <c r="F5074" s="12">
        <v>1.57</v>
      </c>
      <c r="G5074" t="str">
        <f>IFERROR(INDEX(tEditais[Órgão],MATCH(tItens[[#This Row],[Edital]],tEditais[Edital],0)),"")</f>
        <v>MUNICIPIO DE NOVA ESPERANCA</v>
      </c>
      <c r="H5074" t="str">
        <f>IFERROR(INDEX(tEditais[UF],MATCH(tItens[[#This Row],[Edital]],tEditais[Edital],0)),"")</f>
        <v>PR</v>
      </c>
      <c r="I5074" s="11">
        <f>IFERROR(INDEX(tEditais[Encerramento],MATCH(tItens[[#This Row],[Edital]],tEditais[Edital],0)),"")</f>
        <v>46304.374305555553</v>
      </c>
      <c r="J5074" t="str">
        <f>IFERROR(INDEX(tProdutos[Classe],MATCH(tItens[[#This Row],[Produto]],tProdutos[Produto],0)),"produto não cadastrado")</f>
        <v>FILA REBASE</v>
      </c>
      <c r="K5074" s="12">
        <f>tItens[[#This Row],[Qtd]]*tItens[[#This Row],[Vlr unit]]</f>
        <v>1570</v>
      </c>
      <c r="L5074" s="6">
        <f>IFERROR(IF(INDEX(tProdutos[Desconto homologado],MATCH(tItens[[#This Row],[Produto]],tProdutos[Produto],0))="",DescontoPadrao,INDEX(tProdutos[Desconto homologado],MATCH(tItens[[#This Row],[Produto]],tProdutos[Produto],0))),DescontoPadrao)</f>
        <v>0.44096385542168698</v>
      </c>
      <c r="M5074" s="12">
        <f>tItens[[#This Row],[Valor]]*(1-tItens[[#This Row],[Desconto]])</f>
        <v>877.68674698795132</v>
      </c>
      <c r="N5074" t="str">
        <f>IFERROR(INDEX(tProdutos[Foco],MATCH(tItens[[#This Row],[Produto]],tProdutos[Produto],0)),"Não")</f>
        <v>Não</v>
      </c>
      <c r="O5074" t="str">
        <f>IFERROR(INDEX(tEditais[SRP],MATCH(tItens[[#This Row],[Edital]],tEditais[Edital],0)),"Não")</f>
        <v>Sim</v>
      </c>
      <c r="P5074" s="4">
        <f>IF(COUNTIFS(INDEX(tItens[Edital],1):tItens[[#This Row],[Edital]],tItens[[#This Row],[Edital]],INDEX(tItens[Produto],1):tItens[[#This Row],[Produto]],tItens[[#This Row],[Produto]])=1,1,0)</f>
        <v>0</v>
      </c>
    </row>
    <row r="5075" spans="1:16" x14ac:dyDescent="0.25">
      <c r="A5075" t="s">
        <v>1980</v>
      </c>
      <c r="B5075">
        <v>15</v>
      </c>
      <c r="C5075" t="s">
        <v>7881</v>
      </c>
      <c r="D5075" t="s">
        <v>461</v>
      </c>
      <c r="E5075" s="13">
        <v>1000</v>
      </c>
      <c r="F5075" s="12">
        <v>1.25</v>
      </c>
      <c r="G5075" t="str">
        <f>IFERROR(INDEX(tEditais[Órgão],MATCH(tItens[[#This Row],[Edital]],tEditais[Edital],0)),"")</f>
        <v>MUNICIPIO DE NOVA ESPERANCA</v>
      </c>
      <c r="H5075" t="str">
        <f>IFERROR(INDEX(tEditais[UF],MATCH(tItens[[#This Row],[Edital]],tEditais[Edital],0)),"")</f>
        <v>PR</v>
      </c>
      <c r="I5075" s="11">
        <f>IFERROR(INDEX(tEditais[Encerramento],MATCH(tItens[[#This Row],[Edital]],tEditais[Edital],0)),"")</f>
        <v>46304.374305555553</v>
      </c>
      <c r="J5075" t="str">
        <f>IFERROR(INDEX(tProdutos[Classe],MATCH(tItens[[#This Row],[Produto]],tProdutos[Produto],0)),"produto não cadastrado")</f>
        <v>FILA REBASE</v>
      </c>
      <c r="K5075" s="12">
        <f>tItens[[#This Row],[Qtd]]*tItens[[#This Row],[Vlr unit]]</f>
        <v>1250</v>
      </c>
      <c r="L5075" s="6">
        <f>IFERROR(IF(INDEX(tProdutos[Desconto homologado],MATCH(tItens[[#This Row],[Produto]],tProdutos[Produto],0))="",DescontoPadrao,INDEX(tProdutos[Desconto homologado],MATCH(tItens[[#This Row],[Produto]],tProdutos[Produto],0))),DescontoPadrao)</f>
        <v>0.44096385542168698</v>
      </c>
      <c r="M5075" s="12">
        <f>tItens[[#This Row],[Valor]]*(1-tItens[[#This Row],[Desconto]])</f>
        <v>698.79518072289125</v>
      </c>
      <c r="N5075" t="str">
        <f>IFERROR(INDEX(tProdutos[Foco],MATCH(tItens[[#This Row],[Produto]],tProdutos[Produto],0)),"Não")</f>
        <v>Não</v>
      </c>
      <c r="O5075" t="str">
        <f>IFERROR(INDEX(tEditais[SRP],MATCH(tItens[[#This Row],[Edital]],tEditais[Edital],0)),"Não")</f>
        <v>Sim</v>
      </c>
      <c r="P5075" s="4">
        <f>IF(COUNTIFS(INDEX(tItens[Edital],1):tItens[[#This Row],[Edital]],tItens[[#This Row],[Edital]],INDEX(tItens[Produto],1):tItens[[#This Row],[Produto]],tItens[[#This Row],[Produto]])=1,1,0)</f>
        <v>0</v>
      </c>
    </row>
    <row r="5076" spans="1:16" x14ac:dyDescent="0.25">
      <c r="A5076" t="s">
        <v>1980</v>
      </c>
      <c r="B5076">
        <v>16</v>
      </c>
      <c r="C5076" t="s">
        <v>4151</v>
      </c>
      <c r="D5076" t="s">
        <v>461</v>
      </c>
      <c r="E5076" s="13">
        <v>500</v>
      </c>
      <c r="F5076" s="12">
        <v>1.35</v>
      </c>
      <c r="G5076" t="str">
        <f>IFERROR(INDEX(tEditais[Órgão],MATCH(tItens[[#This Row],[Edital]],tEditais[Edital],0)),"")</f>
        <v>MUNICIPIO DE NOVA ESPERANCA</v>
      </c>
      <c r="H5076" t="str">
        <f>IFERROR(INDEX(tEditais[UF],MATCH(tItens[[#This Row],[Edital]],tEditais[Edital],0)),"")</f>
        <v>PR</v>
      </c>
      <c r="I5076" s="11">
        <f>IFERROR(INDEX(tEditais[Encerramento],MATCH(tItens[[#This Row],[Edital]],tEditais[Edital],0)),"")</f>
        <v>46304.374305555553</v>
      </c>
      <c r="J5076" t="str">
        <f>IFERROR(INDEX(tProdutos[Classe],MATCH(tItens[[#This Row],[Produto]],tProdutos[Produto],0)),"produto não cadastrado")</f>
        <v>FILA REBASE</v>
      </c>
      <c r="K5076" s="12">
        <f>tItens[[#This Row],[Qtd]]*tItens[[#This Row],[Vlr unit]]</f>
        <v>675</v>
      </c>
      <c r="L5076" s="6">
        <f>IFERROR(IF(INDEX(tProdutos[Desconto homologado],MATCH(tItens[[#This Row],[Produto]],tProdutos[Produto],0))="",DescontoPadrao,INDEX(tProdutos[Desconto homologado],MATCH(tItens[[#This Row],[Produto]],tProdutos[Produto],0))),DescontoPadrao)</f>
        <v>0.44096385542168698</v>
      </c>
      <c r="M5076" s="12">
        <f>tItens[[#This Row],[Valor]]*(1-tItens[[#This Row],[Desconto]])</f>
        <v>377.34939759036126</v>
      </c>
      <c r="N5076" t="str">
        <f>IFERROR(INDEX(tProdutos[Foco],MATCH(tItens[[#This Row],[Produto]],tProdutos[Produto],0)),"Não")</f>
        <v>Não</v>
      </c>
      <c r="O5076" t="str">
        <f>IFERROR(INDEX(tEditais[SRP],MATCH(tItens[[#This Row],[Edital]],tEditais[Edital],0)),"Não")</f>
        <v>Sim</v>
      </c>
      <c r="P5076" s="4">
        <f>IF(COUNTIFS(INDEX(tItens[Edital],1):tItens[[#This Row],[Edital]],tItens[[#This Row],[Edital]],INDEX(tItens[Produto],1):tItens[[#This Row],[Produto]],tItens[[#This Row],[Produto]])=1,1,0)</f>
        <v>0</v>
      </c>
    </row>
    <row r="5077" spans="1:16" x14ac:dyDescent="0.25">
      <c r="A5077" t="s">
        <v>1980</v>
      </c>
      <c r="B5077">
        <v>17</v>
      </c>
      <c r="C5077" t="s">
        <v>7882</v>
      </c>
      <c r="D5077" t="s">
        <v>461</v>
      </c>
      <c r="E5077" s="13">
        <v>500</v>
      </c>
      <c r="F5077" s="12">
        <v>1.24</v>
      </c>
      <c r="G5077" t="str">
        <f>IFERROR(INDEX(tEditais[Órgão],MATCH(tItens[[#This Row],[Edital]],tEditais[Edital],0)),"")</f>
        <v>MUNICIPIO DE NOVA ESPERANCA</v>
      </c>
      <c r="H5077" t="str">
        <f>IFERROR(INDEX(tEditais[UF],MATCH(tItens[[#This Row],[Edital]],tEditais[Edital],0)),"")</f>
        <v>PR</v>
      </c>
      <c r="I5077" s="11">
        <f>IFERROR(INDEX(tEditais[Encerramento],MATCH(tItens[[#This Row],[Edital]],tEditais[Edital],0)),"")</f>
        <v>46304.374305555553</v>
      </c>
      <c r="J5077" t="str">
        <f>IFERROR(INDEX(tProdutos[Classe],MATCH(tItens[[#This Row],[Produto]],tProdutos[Produto],0)),"produto não cadastrado")</f>
        <v>FILA REBASE</v>
      </c>
      <c r="K5077" s="12">
        <f>tItens[[#This Row],[Qtd]]*tItens[[#This Row],[Vlr unit]]</f>
        <v>620</v>
      </c>
      <c r="L5077" s="6">
        <f>IFERROR(IF(INDEX(tProdutos[Desconto homologado],MATCH(tItens[[#This Row],[Produto]],tProdutos[Produto],0))="",DescontoPadrao,INDEX(tProdutos[Desconto homologado],MATCH(tItens[[#This Row],[Produto]],tProdutos[Produto],0))),DescontoPadrao)</f>
        <v>0.44096385542168698</v>
      </c>
      <c r="M5077" s="12">
        <f>tItens[[#This Row],[Valor]]*(1-tItens[[#This Row],[Desconto]])</f>
        <v>346.60240963855404</v>
      </c>
      <c r="N5077" t="str">
        <f>IFERROR(INDEX(tProdutos[Foco],MATCH(tItens[[#This Row],[Produto]],tProdutos[Produto],0)),"Não")</f>
        <v>Não</v>
      </c>
      <c r="O5077" t="str">
        <f>IFERROR(INDEX(tEditais[SRP],MATCH(tItens[[#This Row],[Edital]],tEditais[Edital],0)),"Não")</f>
        <v>Sim</v>
      </c>
      <c r="P5077" s="4">
        <f>IF(COUNTIFS(INDEX(tItens[Edital],1):tItens[[#This Row],[Edital]],tItens[[#This Row],[Edital]],INDEX(tItens[Produto],1):tItens[[#This Row],[Produto]],tItens[[#This Row],[Produto]])=1,1,0)</f>
        <v>0</v>
      </c>
    </row>
    <row r="5078" spans="1:16" x14ac:dyDescent="0.25">
      <c r="A5078" t="s">
        <v>1980</v>
      </c>
      <c r="B5078">
        <v>18</v>
      </c>
      <c r="C5078" t="s">
        <v>7883</v>
      </c>
      <c r="D5078" t="s">
        <v>461</v>
      </c>
      <c r="E5078" s="13">
        <v>500</v>
      </c>
      <c r="F5078" s="12">
        <v>1.19</v>
      </c>
      <c r="G5078" t="str">
        <f>IFERROR(INDEX(tEditais[Órgão],MATCH(tItens[[#This Row],[Edital]],tEditais[Edital],0)),"")</f>
        <v>MUNICIPIO DE NOVA ESPERANCA</v>
      </c>
      <c r="H5078" t="str">
        <f>IFERROR(INDEX(tEditais[UF],MATCH(tItens[[#This Row],[Edital]],tEditais[Edital],0)),"")</f>
        <v>PR</v>
      </c>
      <c r="I5078" s="11">
        <f>IFERROR(INDEX(tEditais[Encerramento],MATCH(tItens[[#This Row],[Edital]],tEditais[Edital],0)),"")</f>
        <v>46304.374305555553</v>
      </c>
      <c r="J5078" t="str">
        <f>IFERROR(INDEX(tProdutos[Classe],MATCH(tItens[[#This Row],[Produto]],tProdutos[Produto],0)),"produto não cadastrado")</f>
        <v>FILA REBASE</v>
      </c>
      <c r="K5078" s="12">
        <f>tItens[[#This Row],[Qtd]]*tItens[[#This Row],[Vlr unit]]</f>
        <v>595</v>
      </c>
      <c r="L5078" s="6">
        <f>IFERROR(IF(INDEX(tProdutos[Desconto homologado],MATCH(tItens[[#This Row],[Produto]],tProdutos[Produto],0))="",DescontoPadrao,INDEX(tProdutos[Desconto homologado],MATCH(tItens[[#This Row],[Produto]],tProdutos[Produto],0))),DescontoPadrao)</f>
        <v>0.44096385542168698</v>
      </c>
      <c r="M5078" s="12">
        <f>tItens[[#This Row],[Valor]]*(1-tItens[[#This Row],[Desconto]])</f>
        <v>332.62650602409622</v>
      </c>
      <c r="N5078" t="str">
        <f>IFERROR(INDEX(tProdutos[Foco],MATCH(tItens[[#This Row],[Produto]],tProdutos[Produto],0)),"Não")</f>
        <v>Não</v>
      </c>
      <c r="O5078" t="str">
        <f>IFERROR(INDEX(tEditais[SRP],MATCH(tItens[[#This Row],[Edital]],tEditais[Edital],0)),"Não")</f>
        <v>Sim</v>
      </c>
      <c r="P5078" s="4">
        <f>IF(COUNTIFS(INDEX(tItens[Edital],1):tItens[[#This Row],[Edital]],tItens[[#This Row],[Edital]],INDEX(tItens[Produto],1):tItens[[#This Row],[Produto]],tItens[[#This Row],[Produto]])=1,1,0)</f>
        <v>0</v>
      </c>
    </row>
    <row r="5079" spans="1:16" x14ac:dyDescent="0.25">
      <c r="A5079" t="s">
        <v>1980</v>
      </c>
      <c r="B5079">
        <v>19</v>
      </c>
      <c r="C5079" t="s">
        <v>7884</v>
      </c>
      <c r="D5079" t="s">
        <v>375</v>
      </c>
      <c r="E5079" s="13">
        <v>1000</v>
      </c>
      <c r="F5079" s="12">
        <v>3.97</v>
      </c>
      <c r="G5079" t="str">
        <f>IFERROR(INDEX(tEditais[Órgão],MATCH(tItens[[#This Row],[Edital]],tEditais[Edital],0)),"")</f>
        <v>MUNICIPIO DE NOVA ESPERANCA</v>
      </c>
      <c r="H5079" t="str">
        <f>IFERROR(INDEX(tEditais[UF],MATCH(tItens[[#This Row],[Edital]],tEditais[Edital],0)),"")</f>
        <v>PR</v>
      </c>
      <c r="I5079" s="11">
        <f>IFERROR(INDEX(tEditais[Encerramento],MATCH(tItens[[#This Row],[Edital]],tEditais[Edital],0)),"")</f>
        <v>46304.374305555553</v>
      </c>
      <c r="J5079" t="str">
        <f>IFERROR(INDEX(tProdutos[Classe],MATCH(tItens[[#This Row],[Produto]],tProdutos[Produto],0)),"produto não cadastrado")</f>
        <v>FORA</v>
      </c>
      <c r="K5079" s="12">
        <f>tItens[[#This Row],[Qtd]]*tItens[[#This Row],[Vlr unit]]</f>
        <v>3970</v>
      </c>
      <c r="L5079" s="6">
        <f>IFERROR(IF(INDEX(tProdutos[Desconto homologado],MATCH(tItens[[#This Row],[Produto]],tProdutos[Produto],0))="",DescontoPadrao,INDEX(tProdutos[Desconto homologado],MATCH(tItens[[#This Row],[Produto]],tProdutos[Produto],0))),DescontoPadrao)</f>
        <v>0.25005895299481201</v>
      </c>
      <c r="M5079" s="12">
        <f>tItens[[#This Row],[Valor]]*(1-tItens[[#This Row],[Desconto]])</f>
        <v>2977.2659566105963</v>
      </c>
      <c r="N5079" t="str">
        <f>IFERROR(INDEX(tProdutos[Foco],MATCH(tItens[[#This Row],[Produto]],tProdutos[Produto],0)),"Não")</f>
        <v>Não</v>
      </c>
      <c r="O5079" t="str">
        <f>IFERROR(INDEX(tEditais[SRP],MATCH(tItens[[#This Row],[Edital]],tEditais[Edital],0)),"Não")</f>
        <v>Sim</v>
      </c>
      <c r="P5079" s="4">
        <f>IF(COUNTIFS(INDEX(tItens[Edital],1):tItens[[#This Row],[Edital]],tItens[[#This Row],[Edital]],INDEX(tItens[Produto],1):tItens[[#This Row],[Produto]],tItens[[#This Row],[Produto]])=1,1,0)</f>
        <v>1</v>
      </c>
    </row>
    <row r="5080" spans="1:16" x14ac:dyDescent="0.25">
      <c r="A5080" t="s">
        <v>1980</v>
      </c>
      <c r="B5080">
        <v>20</v>
      </c>
      <c r="C5080" t="s">
        <v>7885</v>
      </c>
      <c r="D5080" t="s">
        <v>375</v>
      </c>
      <c r="E5080" s="13">
        <v>600</v>
      </c>
      <c r="F5080" s="12">
        <v>3.92</v>
      </c>
      <c r="G5080" t="str">
        <f>IFERROR(INDEX(tEditais[Órgão],MATCH(tItens[[#This Row],[Edital]],tEditais[Edital],0)),"")</f>
        <v>MUNICIPIO DE NOVA ESPERANCA</v>
      </c>
      <c r="H5080" t="str">
        <f>IFERROR(INDEX(tEditais[UF],MATCH(tItens[[#This Row],[Edital]],tEditais[Edital],0)),"")</f>
        <v>PR</v>
      </c>
      <c r="I5080" s="11">
        <f>IFERROR(INDEX(tEditais[Encerramento],MATCH(tItens[[#This Row],[Edital]],tEditais[Edital],0)),"")</f>
        <v>46304.374305555553</v>
      </c>
      <c r="J5080" t="str">
        <f>IFERROR(INDEX(tProdutos[Classe],MATCH(tItens[[#This Row],[Produto]],tProdutos[Produto],0)),"produto não cadastrado")</f>
        <v>FORA</v>
      </c>
      <c r="K5080" s="12">
        <f>tItens[[#This Row],[Qtd]]*tItens[[#This Row],[Vlr unit]]</f>
        <v>2352</v>
      </c>
      <c r="L5080" s="6">
        <f>IFERROR(IF(INDEX(tProdutos[Desconto homologado],MATCH(tItens[[#This Row],[Produto]],tProdutos[Produto],0))="",DescontoPadrao,INDEX(tProdutos[Desconto homologado],MATCH(tItens[[#This Row],[Produto]],tProdutos[Produto],0))),DescontoPadrao)</f>
        <v>0.25005895299481201</v>
      </c>
      <c r="M5080" s="12">
        <f>tItens[[#This Row],[Valor]]*(1-tItens[[#This Row],[Desconto]])</f>
        <v>1763.8613425562021</v>
      </c>
      <c r="N5080" t="str">
        <f>IFERROR(INDEX(tProdutos[Foco],MATCH(tItens[[#This Row],[Produto]],tProdutos[Produto],0)),"Não")</f>
        <v>Não</v>
      </c>
      <c r="O5080" t="str">
        <f>IFERROR(INDEX(tEditais[SRP],MATCH(tItens[[#This Row],[Edital]],tEditais[Edital],0)),"Não")</f>
        <v>Sim</v>
      </c>
      <c r="P5080" s="4">
        <f>IF(COUNTIFS(INDEX(tItens[Edital],1):tItens[[#This Row],[Edital]],tItens[[#This Row],[Edital]],INDEX(tItens[Produto],1):tItens[[#This Row],[Produto]],tItens[[#This Row],[Produto]])=1,1,0)</f>
        <v>0</v>
      </c>
    </row>
    <row r="5081" spans="1:16" x14ac:dyDescent="0.25">
      <c r="A5081" t="s">
        <v>1980</v>
      </c>
      <c r="B5081">
        <v>21</v>
      </c>
      <c r="C5081" t="s">
        <v>7885</v>
      </c>
      <c r="D5081" t="s">
        <v>375</v>
      </c>
      <c r="E5081" s="13">
        <v>600</v>
      </c>
      <c r="F5081" s="12">
        <v>3.89</v>
      </c>
      <c r="G5081" t="str">
        <f>IFERROR(INDEX(tEditais[Órgão],MATCH(tItens[[#This Row],[Edital]],tEditais[Edital],0)),"")</f>
        <v>MUNICIPIO DE NOVA ESPERANCA</v>
      </c>
      <c r="H5081" t="str">
        <f>IFERROR(INDEX(tEditais[UF],MATCH(tItens[[#This Row],[Edital]],tEditais[Edital],0)),"")</f>
        <v>PR</v>
      </c>
      <c r="I5081" s="11">
        <f>IFERROR(INDEX(tEditais[Encerramento],MATCH(tItens[[#This Row],[Edital]],tEditais[Edital],0)),"")</f>
        <v>46304.374305555553</v>
      </c>
      <c r="J5081" t="str">
        <f>IFERROR(INDEX(tProdutos[Classe],MATCH(tItens[[#This Row],[Produto]],tProdutos[Produto],0)),"produto não cadastrado")</f>
        <v>FORA</v>
      </c>
      <c r="K5081" s="12">
        <f>tItens[[#This Row],[Qtd]]*tItens[[#This Row],[Vlr unit]]</f>
        <v>2334</v>
      </c>
      <c r="L5081" s="6">
        <f>IFERROR(IF(INDEX(tProdutos[Desconto homologado],MATCH(tItens[[#This Row],[Produto]],tProdutos[Produto],0))="",DescontoPadrao,INDEX(tProdutos[Desconto homologado],MATCH(tItens[[#This Row],[Produto]],tProdutos[Produto],0))),DescontoPadrao)</f>
        <v>0.25005895299481201</v>
      </c>
      <c r="M5081" s="12">
        <f>tItens[[#This Row],[Valor]]*(1-tItens[[#This Row],[Desconto]])</f>
        <v>1750.3624037101085</v>
      </c>
      <c r="N5081" t="str">
        <f>IFERROR(INDEX(tProdutos[Foco],MATCH(tItens[[#This Row],[Produto]],tProdutos[Produto],0)),"Não")</f>
        <v>Não</v>
      </c>
      <c r="O5081" t="str">
        <f>IFERROR(INDEX(tEditais[SRP],MATCH(tItens[[#This Row],[Edital]],tEditais[Edital],0)),"Não")</f>
        <v>Sim</v>
      </c>
      <c r="P5081" s="4">
        <f>IF(COUNTIFS(INDEX(tItens[Edital],1):tItens[[#This Row],[Edital]],tItens[[#This Row],[Edital]],INDEX(tItens[Produto],1):tItens[[#This Row],[Produto]],tItens[[#This Row],[Produto]])=1,1,0)</f>
        <v>0</v>
      </c>
    </row>
    <row r="5082" spans="1:16" x14ac:dyDescent="0.25">
      <c r="A5082" t="s">
        <v>1980</v>
      </c>
      <c r="B5082">
        <v>22</v>
      </c>
      <c r="C5082" t="s">
        <v>7886</v>
      </c>
      <c r="D5082" t="s">
        <v>375</v>
      </c>
      <c r="E5082" s="13">
        <v>500</v>
      </c>
      <c r="F5082" s="12">
        <v>4.47</v>
      </c>
      <c r="G5082" t="str">
        <f>IFERROR(INDEX(tEditais[Órgão],MATCH(tItens[[#This Row],[Edital]],tEditais[Edital],0)),"")</f>
        <v>MUNICIPIO DE NOVA ESPERANCA</v>
      </c>
      <c r="H5082" t="str">
        <f>IFERROR(INDEX(tEditais[UF],MATCH(tItens[[#This Row],[Edital]],tEditais[Edital],0)),"")</f>
        <v>PR</v>
      </c>
      <c r="I5082" s="11">
        <f>IFERROR(INDEX(tEditais[Encerramento],MATCH(tItens[[#This Row],[Edital]],tEditais[Edital],0)),"")</f>
        <v>46304.374305555553</v>
      </c>
      <c r="J5082" t="str">
        <f>IFERROR(INDEX(tProdutos[Classe],MATCH(tItens[[#This Row],[Produto]],tProdutos[Produto],0)),"produto não cadastrado")</f>
        <v>FORA</v>
      </c>
      <c r="K5082" s="12">
        <f>tItens[[#This Row],[Qtd]]*tItens[[#This Row],[Vlr unit]]</f>
        <v>2235</v>
      </c>
      <c r="L5082" s="6">
        <f>IFERROR(IF(INDEX(tProdutos[Desconto homologado],MATCH(tItens[[#This Row],[Produto]],tProdutos[Produto],0))="",DescontoPadrao,INDEX(tProdutos[Desconto homologado],MATCH(tItens[[#This Row],[Produto]],tProdutos[Produto],0))),DescontoPadrao)</f>
        <v>0.25005895299481201</v>
      </c>
      <c r="M5082" s="12">
        <f>tItens[[#This Row],[Valor]]*(1-tItens[[#This Row],[Desconto]])</f>
        <v>1676.1182400565951</v>
      </c>
      <c r="N5082" t="str">
        <f>IFERROR(INDEX(tProdutos[Foco],MATCH(tItens[[#This Row],[Produto]],tProdutos[Produto],0)),"Não")</f>
        <v>Não</v>
      </c>
      <c r="O5082" t="str">
        <f>IFERROR(INDEX(tEditais[SRP],MATCH(tItens[[#This Row],[Edital]],tEditais[Edital],0)),"Não")</f>
        <v>Sim</v>
      </c>
      <c r="P5082" s="4">
        <f>IF(COUNTIFS(INDEX(tItens[Edital],1):tItens[[#This Row],[Edital]],tItens[[#This Row],[Edital]],INDEX(tItens[Produto],1):tItens[[#This Row],[Produto]],tItens[[#This Row],[Produto]])=1,1,0)</f>
        <v>0</v>
      </c>
    </row>
    <row r="5083" spans="1:16" x14ac:dyDescent="0.25">
      <c r="A5083" t="s">
        <v>1980</v>
      </c>
      <c r="B5083">
        <v>23</v>
      </c>
      <c r="C5083" t="s">
        <v>7886</v>
      </c>
      <c r="D5083" t="s">
        <v>375</v>
      </c>
      <c r="E5083" s="13">
        <v>500</v>
      </c>
      <c r="F5083" s="12">
        <v>4.28</v>
      </c>
      <c r="G5083" t="str">
        <f>IFERROR(INDEX(tEditais[Órgão],MATCH(tItens[[#This Row],[Edital]],tEditais[Edital],0)),"")</f>
        <v>MUNICIPIO DE NOVA ESPERANCA</v>
      </c>
      <c r="H5083" t="str">
        <f>IFERROR(INDEX(tEditais[UF],MATCH(tItens[[#This Row],[Edital]],tEditais[Edital],0)),"")</f>
        <v>PR</v>
      </c>
      <c r="I5083" s="11">
        <f>IFERROR(INDEX(tEditais[Encerramento],MATCH(tItens[[#This Row],[Edital]],tEditais[Edital],0)),"")</f>
        <v>46304.374305555553</v>
      </c>
      <c r="J5083" t="str">
        <f>IFERROR(INDEX(tProdutos[Classe],MATCH(tItens[[#This Row],[Produto]],tProdutos[Produto],0)),"produto não cadastrado")</f>
        <v>FORA</v>
      </c>
      <c r="K5083" s="12">
        <f>tItens[[#This Row],[Qtd]]*tItens[[#This Row],[Vlr unit]]</f>
        <v>2140</v>
      </c>
      <c r="L5083" s="6">
        <f>IFERROR(IF(INDEX(tProdutos[Desconto homologado],MATCH(tItens[[#This Row],[Produto]],tProdutos[Produto],0))="",DescontoPadrao,INDEX(tProdutos[Desconto homologado],MATCH(tItens[[#This Row],[Produto]],tProdutos[Produto],0))),DescontoPadrao)</f>
        <v>0.25005895299481201</v>
      </c>
      <c r="M5083" s="12">
        <f>tItens[[#This Row],[Valor]]*(1-tItens[[#This Row],[Desconto]])</f>
        <v>1604.8738405911022</v>
      </c>
      <c r="N5083" t="str">
        <f>IFERROR(INDEX(tProdutos[Foco],MATCH(tItens[[#This Row],[Produto]],tProdutos[Produto],0)),"Não")</f>
        <v>Não</v>
      </c>
      <c r="O5083" t="str">
        <f>IFERROR(INDEX(tEditais[SRP],MATCH(tItens[[#This Row],[Edital]],tEditais[Edital],0)),"Não")</f>
        <v>Sim</v>
      </c>
      <c r="P5083" s="4">
        <f>IF(COUNTIFS(INDEX(tItens[Edital],1):tItens[[#This Row],[Edital]],tItens[[#This Row],[Edital]],INDEX(tItens[Produto],1):tItens[[#This Row],[Produto]],tItens[[#This Row],[Produto]])=1,1,0)</f>
        <v>0</v>
      </c>
    </row>
    <row r="5084" spans="1:16" x14ac:dyDescent="0.25">
      <c r="A5084" t="s">
        <v>1980</v>
      </c>
      <c r="B5084">
        <v>24</v>
      </c>
      <c r="C5084" t="s">
        <v>7887</v>
      </c>
      <c r="D5084" t="s">
        <v>375</v>
      </c>
      <c r="E5084" s="13">
        <v>500</v>
      </c>
      <c r="F5084" s="12">
        <v>5.41</v>
      </c>
      <c r="G5084" t="str">
        <f>IFERROR(INDEX(tEditais[Órgão],MATCH(tItens[[#This Row],[Edital]],tEditais[Edital],0)),"")</f>
        <v>MUNICIPIO DE NOVA ESPERANCA</v>
      </c>
      <c r="H5084" t="str">
        <f>IFERROR(INDEX(tEditais[UF],MATCH(tItens[[#This Row],[Edital]],tEditais[Edital],0)),"")</f>
        <v>PR</v>
      </c>
      <c r="I5084" s="11">
        <f>IFERROR(INDEX(tEditais[Encerramento],MATCH(tItens[[#This Row],[Edital]],tEditais[Edital],0)),"")</f>
        <v>46304.374305555553</v>
      </c>
      <c r="J5084" t="str">
        <f>IFERROR(INDEX(tProdutos[Classe],MATCH(tItens[[#This Row],[Produto]],tProdutos[Produto],0)),"produto não cadastrado")</f>
        <v>FORA</v>
      </c>
      <c r="K5084" s="12">
        <f>tItens[[#This Row],[Qtd]]*tItens[[#This Row],[Vlr unit]]</f>
        <v>2705</v>
      </c>
      <c r="L5084" s="6">
        <f>IFERROR(IF(INDEX(tProdutos[Desconto homologado],MATCH(tItens[[#This Row],[Produto]],tProdutos[Produto],0))="",DescontoPadrao,INDEX(tProdutos[Desconto homologado],MATCH(tItens[[#This Row],[Produto]],tProdutos[Produto],0))),DescontoPadrao)</f>
        <v>0.25005895299481201</v>
      </c>
      <c r="M5084" s="12">
        <f>tItens[[#This Row],[Valor]]*(1-tItens[[#This Row],[Desconto]])</f>
        <v>2028.5905321490334</v>
      </c>
      <c r="N5084" t="str">
        <f>IFERROR(INDEX(tProdutos[Foco],MATCH(tItens[[#This Row],[Produto]],tProdutos[Produto],0)),"Não")</f>
        <v>Não</v>
      </c>
      <c r="O5084" t="str">
        <f>IFERROR(INDEX(tEditais[SRP],MATCH(tItens[[#This Row],[Edital]],tEditais[Edital],0)),"Não")</f>
        <v>Sim</v>
      </c>
      <c r="P5084" s="4">
        <f>IF(COUNTIFS(INDEX(tItens[Edital],1):tItens[[#This Row],[Edital]],tItens[[#This Row],[Edital]],INDEX(tItens[Produto],1):tItens[[#This Row],[Produto]],tItens[[#This Row],[Produto]])=1,1,0)</f>
        <v>0</v>
      </c>
    </row>
    <row r="5085" spans="1:16" x14ac:dyDescent="0.25">
      <c r="A5085" t="s">
        <v>1980</v>
      </c>
      <c r="B5085">
        <v>25</v>
      </c>
      <c r="C5085" t="s">
        <v>7887</v>
      </c>
      <c r="D5085" t="s">
        <v>375</v>
      </c>
      <c r="E5085" s="13">
        <v>500</v>
      </c>
      <c r="F5085" s="12">
        <v>3.69</v>
      </c>
      <c r="G5085" t="str">
        <f>IFERROR(INDEX(tEditais[Órgão],MATCH(tItens[[#This Row],[Edital]],tEditais[Edital],0)),"")</f>
        <v>MUNICIPIO DE NOVA ESPERANCA</v>
      </c>
      <c r="H5085" t="str">
        <f>IFERROR(INDEX(tEditais[UF],MATCH(tItens[[#This Row],[Edital]],tEditais[Edital],0)),"")</f>
        <v>PR</v>
      </c>
      <c r="I5085" s="11">
        <f>IFERROR(INDEX(tEditais[Encerramento],MATCH(tItens[[#This Row],[Edital]],tEditais[Edital],0)),"")</f>
        <v>46304.374305555553</v>
      </c>
      <c r="J5085" t="str">
        <f>IFERROR(INDEX(tProdutos[Classe],MATCH(tItens[[#This Row],[Produto]],tProdutos[Produto],0)),"produto não cadastrado")</f>
        <v>FORA</v>
      </c>
      <c r="K5085" s="12">
        <f>tItens[[#This Row],[Qtd]]*tItens[[#This Row],[Vlr unit]]</f>
        <v>1845</v>
      </c>
      <c r="L5085" s="6">
        <f>IFERROR(IF(INDEX(tProdutos[Desconto homologado],MATCH(tItens[[#This Row],[Produto]],tProdutos[Produto],0))="",DescontoPadrao,INDEX(tProdutos[Desconto homologado],MATCH(tItens[[#This Row],[Produto]],tProdutos[Produto],0))),DescontoPadrao)</f>
        <v>0.25005895299481201</v>
      </c>
      <c r="M5085" s="12">
        <f>tItens[[#This Row],[Valor]]*(1-tItens[[#This Row],[Desconto]])</f>
        <v>1383.6412317245718</v>
      </c>
      <c r="N5085" t="str">
        <f>IFERROR(INDEX(tProdutos[Foco],MATCH(tItens[[#This Row],[Produto]],tProdutos[Produto],0)),"Não")</f>
        <v>Não</v>
      </c>
      <c r="O5085" t="str">
        <f>IFERROR(INDEX(tEditais[SRP],MATCH(tItens[[#This Row],[Edital]],tEditais[Edital],0)),"Não")</f>
        <v>Sim</v>
      </c>
      <c r="P5085" s="4">
        <f>IF(COUNTIFS(INDEX(tItens[Edital],1):tItens[[#This Row],[Edital]],tItens[[#This Row],[Edital]],INDEX(tItens[Produto],1):tItens[[#This Row],[Produto]],tItens[[#This Row],[Produto]])=1,1,0)</f>
        <v>0</v>
      </c>
    </row>
    <row r="5086" spans="1:16" x14ac:dyDescent="0.25">
      <c r="A5086" t="s">
        <v>1980</v>
      </c>
      <c r="B5086">
        <v>26</v>
      </c>
      <c r="C5086" t="s">
        <v>7888</v>
      </c>
      <c r="D5086" t="s">
        <v>375</v>
      </c>
      <c r="E5086" s="13">
        <v>500</v>
      </c>
      <c r="F5086" s="12">
        <v>3.44</v>
      </c>
      <c r="G5086" t="str">
        <f>IFERROR(INDEX(tEditais[Órgão],MATCH(tItens[[#This Row],[Edital]],tEditais[Edital],0)),"")</f>
        <v>MUNICIPIO DE NOVA ESPERANCA</v>
      </c>
      <c r="H5086" t="str">
        <f>IFERROR(INDEX(tEditais[UF],MATCH(tItens[[#This Row],[Edital]],tEditais[Edital],0)),"")</f>
        <v>PR</v>
      </c>
      <c r="I5086" s="11">
        <f>IFERROR(INDEX(tEditais[Encerramento],MATCH(tItens[[#This Row],[Edital]],tEditais[Edital],0)),"")</f>
        <v>46304.374305555553</v>
      </c>
      <c r="J5086" t="str">
        <f>IFERROR(INDEX(tProdutos[Classe],MATCH(tItens[[#This Row],[Produto]],tProdutos[Produto],0)),"produto não cadastrado")</f>
        <v>FORA</v>
      </c>
      <c r="K5086" s="12">
        <f>tItens[[#This Row],[Qtd]]*tItens[[#This Row],[Vlr unit]]</f>
        <v>1720</v>
      </c>
      <c r="L5086" s="6">
        <f>IFERROR(IF(INDEX(tProdutos[Desconto homologado],MATCH(tItens[[#This Row],[Produto]],tProdutos[Produto],0))="",DescontoPadrao,INDEX(tProdutos[Desconto homologado],MATCH(tItens[[#This Row],[Produto]],tProdutos[Produto],0))),DescontoPadrao)</f>
        <v>0.25005895299481201</v>
      </c>
      <c r="M5086" s="12">
        <f>tItens[[#This Row],[Valor]]*(1-tItens[[#This Row],[Desconto]])</f>
        <v>1289.8986008489233</v>
      </c>
      <c r="N5086" t="str">
        <f>IFERROR(INDEX(tProdutos[Foco],MATCH(tItens[[#This Row],[Produto]],tProdutos[Produto],0)),"Não")</f>
        <v>Não</v>
      </c>
      <c r="O5086" t="str">
        <f>IFERROR(INDEX(tEditais[SRP],MATCH(tItens[[#This Row],[Edital]],tEditais[Edital],0)),"Não")</f>
        <v>Sim</v>
      </c>
      <c r="P5086" s="4">
        <f>IF(COUNTIFS(INDEX(tItens[Edital],1):tItens[[#This Row],[Edital]],tItens[[#This Row],[Edital]],INDEX(tItens[Produto],1):tItens[[#This Row],[Produto]],tItens[[#This Row],[Produto]])=1,1,0)</f>
        <v>0</v>
      </c>
    </row>
    <row r="5087" spans="1:16" x14ac:dyDescent="0.25">
      <c r="A5087" t="s">
        <v>1980</v>
      </c>
      <c r="B5087">
        <v>27</v>
      </c>
      <c r="C5087" t="s">
        <v>7888</v>
      </c>
      <c r="D5087" t="s">
        <v>375</v>
      </c>
      <c r="E5087" s="13">
        <v>500</v>
      </c>
      <c r="F5087" s="12">
        <v>4.2300000000000004</v>
      </c>
      <c r="G5087" t="str">
        <f>IFERROR(INDEX(tEditais[Órgão],MATCH(tItens[[#This Row],[Edital]],tEditais[Edital],0)),"")</f>
        <v>MUNICIPIO DE NOVA ESPERANCA</v>
      </c>
      <c r="H5087" t="str">
        <f>IFERROR(INDEX(tEditais[UF],MATCH(tItens[[#This Row],[Edital]],tEditais[Edital],0)),"")</f>
        <v>PR</v>
      </c>
      <c r="I5087" s="11">
        <f>IFERROR(INDEX(tEditais[Encerramento],MATCH(tItens[[#This Row],[Edital]],tEditais[Edital],0)),"")</f>
        <v>46304.374305555553</v>
      </c>
      <c r="J5087" t="str">
        <f>IFERROR(INDEX(tProdutos[Classe],MATCH(tItens[[#This Row],[Produto]],tProdutos[Produto],0)),"produto não cadastrado")</f>
        <v>FORA</v>
      </c>
      <c r="K5087" s="12">
        <f>tItens[[#This Row],[Qtd]]*tItens[[#This Row],[Vlr unit]]</f>
        <v>2115</v>
      </c>
      <c r="L5087" s="6">
        <f>IFERROR(IF(INDEX(tProdutos[Desconto homologado],MATCH(tItens[[#This Row],[Produto]],tProdutos[Produto],0))="",DescontoPadrao,INDEX(tProdutos[Desconto homologado],MATCH(tItens[[#This Row],[Produto]],tProdutos[Produto],0))),DescontoPadrao)</f>
        <v>0.25005895299481201</v>
      </c>
      <c r="M5087" s="12">
        <f>tItens[[#This Row],[Valor]]*(1-tItens[[#This Row],[Desconto]])</f>
        <v>1586.1253144159725</v>
      </c>
      <c r="N5087" t="str">
        <f>IFERROR(INDEX(tProdutos[Foco],MATCH(tItens[[#This Row],[Produto]],tProdutos[Produto],0)),"Não")</f>
        <v>Não</v>
      </c>
      <c r="O5087" t="str">
        <f>IFERROR(INDEX(tEditais[SRP],MATCH(tItens[[#This Row],[Edital]],tEditais[Edital],0)),"Não")</f>
        <v>Sim</v>
      </c>
      <c r="P5087" s="4">
        <f>IF(COUNTIFS(INDEX(tItens[Edital],1):tItens[[#This Row],[Edital]],tItens[[#This Row],[Edital]],INDEX(tItens[Produto],1):tItens[[#This Row],[Produto]],tItens[[#This Row],[Produto]])=1,1,0)</f>
        <v>0</v>
      </c>
    </row>
    <row r="5088" spans="1:16" x14ac:dyDescent="0.25">
      <c r="A5088" t="s">
        <v>1980</v>
      </c>
      <c r="B5088">
        <v>28</v>
      </c>
      <c r="C5088" t="s">
        <v>7889</v>
      </c>
      <c r="D5088" t="s">
        <v>375</v>
      </c>
      <c r="E5088" s="13">
        <v>500</v>
      </c>
      <c r="F5088" s="12">
        <v>3.75</v>
      </c>
      <c r="G5088" t="str">
        <f>IFERROR(INDEX(tEditais[Órgão],MATCH(tItens[[#This Row],[Edital]],tEditais[Edital],0)),"")</f>
        <v>MUNICIPIO DE NOVA ESPERANCA</v>
      </c>
      <c r="H5088" t="str">
        <f>IFERROR(INDEX(tEditais[UF],MATCH(tItens[[#This Row],[Edital]],tEditais[Edital],0)),"")</f>
        <v>PR</v>
      </c>
      <c r="I5088" s="11">
        <f>IFERROR(INDEX(tEditais[Encerramento],MATCH(tItens[[#This Row],[Edital]],tEditais[Edital],0)),"")</f>
        <v>46304.374305555553</v>
      </c>
      <c r="J5088" t="str">
        <f>IFERROR(INDEX(tProdutos[Classe],MATCH(tItens[[#This Row],[Produto]],tProdutos[Produto],0)),"produto não cadastrado")</f>
        <v>FORA</v>
      </c>
      <c r="K5088" s="12">
        <f>tItens[[#This Row],[Qtd]]*tItens[[#This Row],[Vlr unit]]</f>
        <v>1875</v>
      </c>
      <c r="L5088" s="6">
        <f>IFERROR(IF(INDEX(tProdutos[Desconto homologado],MATCH(tItens[[#This Row],[Produto]],tProdutos[Produto],0))="",DescontoPadrao,INDEX(tProdutos[Desconto homologado],MATCH(tItens[[#This Row],[Produto]],tProdutos[Produto],0))),DescontoPadrao)</f>
        <v>0.25005895299481201</v>
      </c>
      <c r="M5088" s="12">
        <f>tItens[[#This Row],[Valor]]*(1-tItens[[#This Row],[Desconto]])</f>
        <v>1406.1394631347273</v>
      </c>
      <c r="N5088" t="str">
        <f>IFERROR(INDEX(tProdutos[Foco],MATCH(tItens[[#This Row],[Produto]],tProdutos[Produto],0)),"Não")</f>
        <v>Não</v>
      </c>
      <c r="O5088" t="str">
        <f>IFERROR(INDEX(tEditais[SRP],MATCH(tItens[[#This Row],[Edital]],tEditais[Edital],0)),"Não")</f>
        <v>Sim</v>
      </c>
      <c r="P5088" s="4">
        <f>IF(COUNTIFS(INDEX(tItens[Edital],1):tItens[[#This Row],[Edital]],tItens[[#This Row],[Edital]],INDEX(tItens[Produto],1):tItens[[#This Row],[Produto]],tItens[[#This Row],[Produto]])=1,1,0)</f>
        <v>0</v>
      </c>
    </row>
    <row r="5089" spans="1:16" x14ac:dyDescent="0.25">
      <c r="A5089" t="s">
        <v>1980</v>
      </c>
      <c r="B5089">
        <v>29</v>
      </c>
      <c r="C5089" t="s">
        <v>7890</v>
      </c>
      <c r="D5089" t="s">
        <v>375</v>
      </c>
      <c r="E5089" s="13">
        <v>100</v>
      </c>
      <c r="F5089" s="12">
        <v>8.8699999999999992</v>
      </c>
      <c r="G5089" t="str">
        <f>IFERROR(INDEX(tEditais[Órgão],MATCH(tItens[[#This Row],[Edital]],tEditais[Edital],0)),"")</f>
        <v>MUNICIPIO DE NOVA ESPERANCA</v>
      </c>
      <c r="H5089" t="str">
        <f>IFERROR(INDEX(tEditais[UF],MATCH(tItens[[#This Row],[Edital]],tEditais[Edital],0)),"")</f>
        <v>PR</v>
      </c>
      <c r="I5089" s="11">
        <f>IFERROR(INDEX(tEditais[Encerramento],MATCH(tItens[[#This Row],[Edital]],tEditais[Edital],0)),"")</f>
        <v>46304.374305555553</v>
      </c>
      <c r="J5089" t="str">
        <f>IFERROR(INDEX(tProdutos[Classe],MATCH(tItens[[#This Row],[Produto]],tProdutos[Produto],0)),"produto não cadastrado")</f>
        <v>FORA</v>
      </c>
      <c r="K5089" s="12">
        <f>tItens[[#This Row],[Qtd]]*tItens[[#This Row],[Vlr unit]]</f>
        <v>886.99999999999989</v>
      </c>
      <c r="L5089" s="6">
        <f>IFERROR(IF(INDEX(tProdutos[Desconto homologado],MATCH(tItens[[#This Row],[Produto]],tProdutos[Produto],0))="",DescontoPadrao,INDEX(tProdutos[Desconto homologado],MATCH(tItens[[#This Row],[Produto]],tProdutos[Produto],0))),DescontoPadrao)</f>
        <v>0.25005895299481201</v>
      </c>
      <c r="M5089" s="12">
        <f>tItens[[#This Row],[Valor]]*(1-tItens[[#This Row],[Desconto]])</f>
        <v>665.19770869360161</v>
      </c>
      <c r="N5089" t="str">
        <f>IFERROR(INDEX(tProdutos[Foco],MATCH(tItens[[#This Row],[Produto]],tProdutos[Produto],0)),"Não")</f>
        <v>Não</v>
      </c>
      <c r="O5089" t="str">
        <f>IFERROR(INDEX(tEditais[SRP],MATCH(tItens[[#This Row],[Edital]],tEditais[Edital],0)),"Não")</f>
        <v>Sim</v>
      </c>
      <c r="P5089" s="4">
        <f>IF(COUNTIFS(INDEX(tItens[Edital],1):tItens[[#This Row],[Edital]],tItens[[#This Row],[Edital]],INDEX(tItens[Produto],1):tItens[[#This Row],[Produto]],tItens[[#This Row],[Produto]])=1,1,0)</f>
        <v>0</v>
      </c>
    </row>
    <row r="5090" spans="1:16" x14ac:dyDescent="0.25">
      <c r="A5090" t="s">
        <v>1980</v>
      </c>
      <c r="B5090">
        <v>30</v>
      </c>
      <c r="C5090" t="s">
        <v>7891</v>
      </c>
      <c r="D5090" t="s">
        <v>375</v>
      </c>
      <c r="E5090" s="13">
        <v>250</v>
      </c>
      <c r="F5090" s="12">
        <v>8.26</v>
      </c>
      <c r="G5090" t="str">
        <f>IFERROR(INDEX(tEditais[Órgão],MATCH(tItens[[#This Row],[Edital]],tEditais[Edital],0)),"")</f>
        <v>MUNICIPIO DE NOVA ESPERANCA</v>
      </c>
      <c r="H5090" t="str">
        <f>IFERROR(INDEX(tEditais[UF],MATCH(tItens[[#This Row],[Edital]],tEditais[Edital],0)),"")</f>
        <v>PR</v>
      </c>
      <c r="I5090" s="11">
        <f>IFERROR(INDEX(tEditais[Encerramento],MATCH(tItens[[#This Row],[Edital]],tEditais[Edital],0)),"")</f>
        <v>46304.374305555553</v>
      </c>
      <c r="J5090" t="str">
        <f>IFERROR(INDEX(tProdutos[Classe],MATCH(tItens[[#This Row],[Produto]],tProdutos[Produto],0)),"produto não cadastrado")</f>
        <v>FORA</v>
      </c>
      <c r="K5090" s="12">
        <f>tItens[[#This Row],[Qtd]]*tItens[[#This Row],[Vlr unit]]</f>
        <v>2065</v>
      </c>
      <c r="L5090" s="6">
        <f>IFERROR(IF(INDEX(tProdutos[Desconto homologado],MATCH(tItens[[#This Row],[Produto]],tProdutos[Produto],0))="",DescontoPadrao,INDEX(tProdutos[Desconto homologado],MATCH(tItens[[#This Row],[Produto]],tProdutos[Produto],0))),DescontoPadrao)</f>
        <v>0.25005895299481201</v>
      </c>
      <c r="M5090" s="12">
        <f>tItens[[#This Row],[Valor]]*(1-tItens[[#This Row],[Desconto]])</f>
        <v>1548.628262065713</v>
      </c>
      <c r="N5090" t="str">
        <f>IFERROR(INDEX(tProdutos[Foco],MATCH(tItens[[#This Row],[Produto]],tProdutos[Produto],0)),"Não")</f>
        <v>Não</v>
      </c>
      <c r="O5090" t="str">
        <f>IFERROR(INDEX(tEditais[SRP],MATCH(tItens[[#This Row],[Edital]],tEditais[Edital],0)),"Não")</f>
        <v>Sim</v>
      </c>
      <c r="P5090" s="4">
        <f>IF(COUNTIFS(INDEX(tItens[Edital],1):tItens[[#This Row],[Edital]],tItens[[#This Row],[Edital]],INDEX(tItens[Produto],1):tItens[[#This Row],[Produto]],tItens[[#This Row],[Produto]])=1,1,0)</f>
        <v>0</v>
      </c>
    </row>
    <row r="5091" spans="1:16" x14ac:dyDescent="0.25">
      <c r="A5091" t="s">
        <v>1980</v>
      </c>
      <c r="B5091">
        <v>31</v>
      </c>
      <c r="C5091" t="s">
        <v>7892</v>
      </c>
      <c r="D5091" t="s">
        <v>375</v>
      </c>
      <c r="E5091" s="13">
        <v>200</v>
      </c>
      <c r="F5091" s="12">
        <v>11.27</v>
      </c>
      <c r="G5091" t="str">
        <f>IFERROR(INDEX(tEditais[Órgão],MATCH(tItens[[#This Row],[Edital]],tEditais[Edital],0)),"")</f>
        <v>MUNICIPIO DE NOVA ESPERANCA</v>
      </c>
      <c r="H5091" t="str">
        <f>IFERROR(INDEX(tEditais[UF],MATCH(tItens[[#This Row],[Edital]],tEditais[Edital],0)),"")</f>
        <v>PR</v>
      </c>
      <c r="I5091" s="11">
        <f>IFERROR(INDEX(tEditais[Encerramento],MATCH(tItens[[#This Row],[Edital]],tEditais[Edital],0)),"")</f>
        <v>46304.374305555553</v>
      </c>
      <c r="J5091" t="str">
        <f>IFERROR(INDEX(tProdutos[Classe],MATCH(tItens[[#This Row],[Produto]],tProdutos[Produto],0)),"produto não cadastrado")</f>
        <v>FORA</v>
      </c>
      <c r="K5091" s="12">
        <f>tItens[[#This Row],[Qtd]]*tItens[[#This Row],[Vlr unit]]</f>
        <v>2254</v>
      </c>
      <c r="L5091" s="6">
        <f>IFERROR(IF(INDEX(tProdutos[Desconto homologado],MATCH(tItens[[#This Row],[Produto]],tProdutos[Produto],0))="",DescontoPadrao,INDEX(tProdutos[Desconto homologado],MATCH(tItens[[#This Row],[Produto]],tProdutos[Produto],0))),DescontoPadrao)</f>
        <v>0.25005895299481201</v>
      </c>
      <c r="M5091" s="12">
        <f>tItens[[#This Row],[Valor]]*(1-tItens[[#This Row],[Desconto]])</f>
        <v>1690.3671199496937</v>
      </c>
      <c r="N5091" t="str">
        <f>IFERROR(INDEX(tProdutos[Foco],MATCH(tItens[[#This Row],[Produto]],tProdutos[Produto],0)),"Não")</f>
        <v>Não</v>
      </c>
      <c r="O5091" t="str">
        <f>IFERROR(INDEX(tEditais[SRP],MATCH(tItens[[#This Row],[Edital]],tEditais[Edital],0)),"Não")</f>
        <v>Sim</v>
      </c>
      <c r="P5091" s="4">
        <f>IF(COUNTIFS(INDEX(tItens[Edital],1):tItens[[#This Row],[Edital]],tItens[[#This Row],[Edital]],INDEX(tItens[Produto],1):tItens[[#This Row],[Produto]],tItens[[#This Row],[Produto]])=1,1,0)</f>
        <v>0</v>
      </c>
    </row>
    <row r="5092" spans="1:16" x14ac:dyDescent="0.25">
      <c r="A5092" t="s">
        <v>1980</v>
      </c>
      <c r="B5092">
        <v>32</v>
      </c>
      <c r="C5092" t="s">
        <v>7893</v>
      </c>
      <c r="D5092" t="s">
        <v>461</v>
      </c>
      <c r="E5092" s="13">
        <v>500</v>
      </c>
      <c r="F5092" s="12">
        <v>9.6300000000000008</v>
      </c>
      <c r="G5092" t="str">
        <f>IFERROR(INDEX(tEditais[Órgão],MATCH(tItens[[#This Row],[Edital]],tEditais[Edital],0)),"")</f>
        <v>MUNICIPIO DE NOVA ESPERANCA</v>
      </c>
      <c r="H5092" t="str">
        <f>IFERROR(INDEX(tEditais[UF],MATCH(tItens[[#This Row],[Edital]],tEditais[Edital],0)),"")</f>
        <v>PR</v>
      </c>
      <c r="I5092" s="11">
        <f>IFERROR(INDEX(tEditais[Encerramento],MATCH(tItens[[#This Row],[Edital]],tEditais[Edital],0)),"")</f>
        <v>46304.374305555553</v>
      </c>
      <c r="J5092" t="str">
        <f>IFERROR(INDEX(tProdutos[Classe],MATCH(tItens[[#This Row],[Produto]],tProdutos[Produto],0)),"produto não cadastrado")</f>
        <v>FILA REBASE</v>
      </c>
      <c r="K5092" s="12">
        <f>tItens[[#This Row],[Qtd]]*tItens[[#This Row],[Vlr unit]]</f>
        <v>4815</v>
      </c>
      <c r="L5092" s="6">
        <f>IFERROR(IF(INDEX(tProdutos[Desconto homologado],MATCH(tItens[[#This Row],[Produto]],tProdutos[Produto],0))="",DescontoPadrao,INDEX(tProdutos[Desconto homologado],MATCH(tItens[[#This Row],[Produto]],tProdutos[Produto],0))),DescontoPadrao)</f>
        <v>0.44096385542168698</v>
      </c>
      <c r="M5092" s="12">
        <f>tItens[[#This Row],[Valor]]*(1-tItens[[#This Row],[Desconto]])</f>
        <v>2691.7590361445768</v>
      </c>
      <c r="N5092" t="str">
        <f>IFERROR(INDEX(tProdutos[Foco],MATCH(tItens[[#This Row],[Produto]],tProdutos[Produto],0)),"Não")</f>
        <v>Não</v>
      </c>
      <c r="O5092" t="str">
        <f>IFERROR(INDEX(tEditais[SRP],MATCH(tItens[[#This Row],[Edital]],tEditais[Edital],0)),"Não")</f>
        <v>Sim</v>
      </c>
      <c r="P5092" s="4">
        <f>IF(COUNTIFS(INDEX(tItens[Edital],1):tItens[[#This Row],[Edital]],tItens[[#This Row],[Edital]],INDEX(tItens[Produto],1):tItens[[#This Row],[Produto]],tItens[[#This Row],[Produto]])=1,1,0)</f>
        <v>0</v>
      </c>
    </row>
    <row r="5093" spans="1:16" x14ac:dyDescent="0.25">
      <c r="A5093" t="s">
        <v>1980</v>
      </c>
      <c r="B5093">
        <v>33</v>
      </c>
      <c r="C5093" t="s">
        <v>7894</v>
      </c>
      <c r="D5093" t="s">
        <v>375</v>
      </c>
      <c r="E5093" s="13">
        <v>200</v>
      </c>
      <c r="F5093" s="12">
        <v>2.62</v>
      </c>
      <c r="G5093" t="str">
        <f>IFERROR(INDEX(tEditais[Órgão],MATCH(tItens[[#This Row],[Edital]],tEditais[Edital],0)),"")</f>
        <v>MUNICIPIO DE NOVA ESPERANCA</v>
      </c>
      <c r="H5093" t="str">
        <f>IFERROR(INDEX(tEditais[UF],MATCH(tItens[[#This Row],[Edital]],tEditais[Edital],0)),"")</f>
        <v>PR</v>
      </c>
      <c r="I5093" s="11">
        <f>IFERROR(INDEX(tEditais[Encerramento],MATCH(tItens[[#This Row],[Edital]],tEditais[Edital],0)),"")</f>
        <v>46304.374305555553</v>
      </c>
      <c r="J5093" t="str">
        <f>IFERROR(INDEX(tProdutos[Classe],MATCH(tItens[[#This Row],[Produto]],tProdutos[Produto],0)),"produto não cadastrado")</f>
        <v>FORA</v>
      </c>
      <c r="K5093" s="12">
        <f>tItens[[#This Row],[Qtd]]*tItens[[#This Row],[Vlr unit]]</f>
        <v>524</v>
      </c>
      <c r="L5093" s="6">
        <f>IFERROR(IF(INDEX(tProdutos[Desconto homologado],MATCH(tItens[[#This Row],[Produto]],tProdutos[Produto],0))="",DescontoPadrao,INDEX(tProdutos[Desconto homologado],MATCH(tItens[[#This Row],[Produto]],tProdutos[Produto],0))),DescontoPadrao)</f>
        <v>0.25005895299481201</v>
      </c>
      <c r="M5093" s="12">
        <f>tItens[[#This Row],[Valor]]*(1-tItens[[#This Row],[Desconto]])</f>
        <v>392.96910863071849</v>
      </c>
      <c r="N5093" t="str">
        <f>IFERROR(INDEX(tProdutos[Foco],MATCH(tItens[[#This Row],[Produto]],tProdutos[Produto],0)),"Não")</f>
        <v>Não</v>
      </c>
      <c r="O5093" t="str">
        <f>IFERROR(INDEX(tEditais[SRP],MATCH(tItens[[#This Row],[Edital]],tEditais[Edital],0)),"Não")</f>
        <v>Sim</v>
      </c>
      <c r="P5093" s="4">
        <f>IF(COUNTIFS(INDEX(tItens[Edital],1):tItens[[#This Row],[Edital]],tItens[[#This Row],[Edital]],INDEX(tItens[Produto],1):tItens[[#This Row],[Produto]],tItens[[#This Row],[Produto]])=1,1,0)</f>
        <v>0</v>
      </c>
    </row>
    <row r="5094" spans="1:16" x14ac:dyDescent="0.25">
      <c r="A5094" t="s">
        <v>1985</v>
      </c>
      <c r="B5094">
        <v>11</v>
      </c>
      <c r="C5094" t="s">
        <v>7895</v>
      </c>
      <c r="D5094" t="s">
        <v>461</v>
      </c>
      <c r="E5094" s="13">
        <v>1000</v>
      </c>
      <c r="F5094" s="12">
        <v>1.59</v>
      </c>
      <c r="G5094" t="str">
        <f>IFERROR(INDEX(tEditais[Órgão],MATCH(tItens[[#This Row],[Edital]],tEditais[Edital],0)),"")</f>
        <v>MUNICIPIO DE NOVA ESPERANCA</v>
      </c>
      <c r="H5094" t="str">
        <f>IFERROR(INDEX(tEditais[UF],MATCH(tItens[[#This Row],[Edital]],tEditais[Edital],0)),"")</f>
        <v>PR</v>
      </c>
      <c r="I5094" s="11">
        <f>IFERROR(INDEX(tEditais[Encerramento],MATCH(tItens[[#This Row],[Edital]],tEditais[Edital],0)),"")</f>
        <v>46304.374305555553</v>
      </c>
      <c r="J5094" t="str">
        <f>IFERROR(INDEX(tProdutos[Classe],MATCH(tItens[[#This Row],[Produto]],tProdutos[Produto],0)),"produto não cadastrado")</f>
        <v>FILA REBASE</v>
      </c>
      <c r="K5094" s="12">
        <f>tItens[[#This Row],[Qtd]]*tItens[[#This Row],[Vlr unit]]</f>
        <v>1590</v>
      </c>
      <c r="L5094" s="6">
        <f>IFERROR(IF(INDEX(tProdutos[Desconto homologado],MATCH(tItens[[#This Row],[Produto]],tProdutos[Produto],0))="",DescontoPadrao,INDEX(tProdutos[Desconto homologado],MATCH(tItens[[#This Row],[Produto]],tProdutos[Produto],0))),DescontoPadrao)</f>
        <v>0.44096385542168698</v>
      </c>
      <c r="M5094" s="12">
        <f>tItens[[#This Row],[Valor]]*(1-tItens[[#This Row],[Desconto]])</f>
        <v>888.86746987951767</v>
      </c>
      <c r="N5094" t="str">
        <f>IFERROR(INDEX(tProdutos[Foco],MATCH(tItens[[#This Row],[Produto]],tProdutos[Produto],0)),"Não")</f>
        <v>Não</v>
      </c>
      <c r="O5094" t="str">
        <f>IFERROR(INDEX(tEditais[SRP],MATCH(tItens[[#This Row],[Edital]],tEditais[Edital],0)),"Não")</f>
        <v>Sim</v>
      </c>
      <c r="P5094" s="4">
        <f>IF(COUNTIFS(INDEX(tItens[Edital],1):tItens[[#This Row],[Edital]],tItens[[#This Row],[Edital]],INDEX(tItens[Produto],1):tItens[[#This Row],[Produto]],tItens[[#This Row],[Produto]])=1,1,0)</f>
        <v>1</v>
      </c>
    </row>
    <row r="5095" spans="1:16" x14ac:dyDescent="0.25">
      <c r="A5095" t="s">
        <v>1985</v>
      </c>
      <c r="B5095">
        <v>12</v>
      </c>
      <c r="C5095" t="s">
        <v>7896</v>
      </c>
      <c r="D5095" t="s">
        <v>461</v>
      </c>
      <c r="E5095" s="13">
        <v>1000</v>
      </c>
      <c r="F5095" s="12">
        <v>1.56</v>
      </c>
      <c r="G5095" t="str">
        <f>IFERROR(INDEX(tEditais[Órgão],MATCH(tItens[[#This Row],[Edital]],tEditais[Edital],0)),"")</f>
        <v>MUNICIPIO DE NOVA ESPERANCA</v>
      </c>
      <c r="H5095" t="str">
        <f>IFERROR(INDEX(tEditais[UF],MATCH(tItens[[#This Row],[Edital]],tEditais[Edital],0)),"")</f>
        <v>PR</v>
      </c>
      <c r="I5095" s="11">
        <f>IFERROR(INDEX(tEditais[Encerramento],MATCH(tItens[[#This Row],[Edital]],tEditais[Edital],0)),"")</f>
        <v>46304.374305555553</v>
      </c>
      <c r="J5095" t="str">
        <f>IFERROR(INDEX(tProdutos[Classe],MATCH(tItens[[#This Row],[Produto]],tProdutos[Produto],0)),"produto não cadastrado")</f>
        <v>FILA REBASE</v>
      </c>
      <c r="K5095" s="12">
        <f>tItens[[#This Row],[Qtd]]*tItens[[#This Row],[Vlr unit]]</f>
        <v>1560</v>
      </c>
      <c r="L5095" s="6">
        <f>IFERROR(IF(INDEX(tProdutos[Desconto homologado],MATCH(tItens[[#This Row],[Produto]],tProdutos[Produto],0))="",DescontoPadrao,INDEX(tProdutos[Desconto homologado],MATCH(tItens[[#This Row],[Produto]],tProdutos[Produto],0))),DescontoPadrao)</f>
        <v>0.44096385542168698</v>
      </c>
      <c r="M5095" s="12">
        <f>tItens[[#This Row],[Valor]]*(1-tItens[[#This Row],[Desconto]])</f>
        <v>872.09638554216826</v>
      </c>
      <c r="N5095" t="str">
        <f>IFERROR(INDEX(tProdutos[Foco],MATCH(tItens[[#This Row],[Produto]],tProdutos[Produto],0)),"Não")</f>
        <v>Não</v>
      </c>
      <c r="O5095" t="str">
        <f>IFERROR(INDEX(tEditais[SRP],MATCH(tItens[[#This Row],[Edital]],tEditais[Edital],0)),"Não")</f>
        <v>Sim</v>
      </c>
      <c r="P5095" s="4">
        <f>IF(COUNTIFS(INDEX(tItens[Edital],1):tItens[[#This Row],[Edital]],tItens[[#This Row],[Edital]],INDEX(tItens[Produto],1):tItens[[#This Row],[Produto]],tItens[[#This Row],[Produto]])=1,1,0)</f>
        <v>0</v>
      </c>
    </row>
    <row r="5096" spans="1:16" x14ac:dyDescent="0.25">
      <c r="A5096" t="s">
        <v>1985</v>
      </c>
      <c r="B5096">
        <v>13</v>
      </c>
      <c r="C5096" t="s">
        <v>7897</v>
      </c>
      <c r="D5096" t="s">
        <v>461</v>
      </c>
      <c r="E5096" s="13">
        <v>1000</v>
      </c>
      <c r="F5096" s="12">
        <v>1.74</v>
      </c>
      <c r="G5096" t="str">
        <f>IFERROR(INDEX(tEditais[Órgão],MATCH(tItens[[#This Row],[Edital]],tEditais[Edital],0)),"")</f>
        <v>MUNICIPIO DE NOVA ESPERANCA</v>
      </c>
      <c r="H5096" t="str">
        <f>IFERROR(INDEX(tEditais[UF],MATCH(tItens[[#This Row],[Edital]],tEditais[Edital],0)),"")</f>
        <v>PR</v>
      </c>
      <c r="I5096" s="11">
        <f>IFERROR(INDEX(tEditais[Encerramento],MATCH(tItens[[#This Row],[Edital]],tEditais[Edital],0)),"")</f>
        <v>46304.374305555553</v>
      </c>
      <c r="J5096" t="str">
        <f>IFERROR(INDEX(tProdutos[Classe],MATCH(tItens[[#This Row],[Produto]],tProdutos[Produto],0)),"produto não cadastrado")</f>
        <v>FILA REBASE</v>
      </c>
      <c r="K5096" s="12">
        <f>tItens[[#This Row],[Qtd]]*tItens[[#This Row],[Vlr unit]]</f>
        <v>1740</v>
      </c>
      <c r="L5096" s="6">
        <f>IFERROR(IF(INDEX(tProdutos[Desconto homologado],MATCH(tItens[[#This Row],[Produto]],tProdutos[Produto],0))="",DescontoPadrao,INDEX(tProdutos[Desconto homologado],MATCH(tItens[[#This Row],[Produto]],tProdutos[Produto],0))),DescontoPadrao)</f>
        <v>0.44096385542168698</v>
      </c>
      <c r="M5096" s="12">
        <f>tItens[[#This Row],[Valor]]*(1-tItens[[#This Row],[Desconto]])</f>
        <v>972.72289156626459</v>
      </c>
      <c r="N5096" t="str">
        <f>IFERROR(INDEX(tProdutos[Foco],MATCH(tItens[[#This Row],[Produto]],tProdutos[Produto],0)),"Não")</f>
        <v>Não</v>
      </c>
      <c r="O5096" t="str">
        <f>IFERROR(INDEX(tEditais[SRP],MATCH(tItens[[#This Row],[Edital]],tEditais[Edital],0)),"Não")</f>
        <v>Sim</v>
      </c>
      <c r="P5096" s="4">
        <f>IF(COUNTIFS(INDEX(tItens[Edital],1):tItens[[#This Row],[Edital]],tItens[[#This Row],[Edital]],INDEX(tItens[Produto],1):tItens[[#This Row],[Produto]],tItens[[#This Row],[Produto]])=1,1,0)</f>
        <v>0</v>
      </c>
    </row>
    <row r="5097" spans="1:16" x14ac:dyDescent="0.25">
      <c r="A5097" t="s">
        <v>1985</v>
      </c>
      <c r="B5097">
        <v>16</v>
      </c>
      <c r="C5097" t="s">
        <v>7898</v>
      </c>
      <c r="D5097" t="s">
        <v>461</v>
      </c>
      <c r="E5097" s="13">
        <v>500</v>
      </c>
      <c r="F5097" s="12">
        <v>1.35</v>
      </c>
      <c r="G5097" t="str">
        <f>IFERROR(INDEX(tEditais[Órgão],MATCH(tItens[[#This Row],[Edital]],tEditais[Edital],0)),"")</f>
        <v>MUNICIPIO DE NOVA ESPERANCA</v>
      </c>
      <c r="H5097" t="str">
        <f>IFERROR(INDEX(tEditais[UF],MATCH(tItens[[#This Row],[Edital]],tEditais[Edital],0)),"")</f>
        <v>PR</v>
      </c>
      <c r="I5097" s="11">
        <f>IFERROR(INDEX(tEditais[Encerramento],MATCH(tItens[[#This Row],[Edital]],tEditais[Edital],0)),"")</f>
        <v>46304.374305555553</v>
      </c>
      <c r="J5097" t="str">
        <f>IFERROR(INDEX(tProdutos[Classe],MATCH(tItens[[#This Row],[Produto]],tProdutos[Produto],0)),"produto não cadastrado")</f>
        <v>FILA REBASE</v>
      </c>
      <c r="K5097" s="12">
        <f>tItens[[#This Row],[Qtd]]*tItens[[#This Row],[Vlr unit]]</f>
        <v>675</v>
      </c>
      <c r="L5097" s="6">
        <f>IFERROR(IF(INDEX(tProdutos[Desconto homologado],MATCH(tItens[[#This Row],[Produto]],tProdutos[Produto],0))="",DescontoPadrao,INDEX(tProdutos[Desconto homologado],MATCH(tItens[[#This Row],[Produto]],tProdutos[Produto],0))),DescontoPadrao)</f>
        <v>0.44096385542168698</v>
      </c>
      <c r="M5097" s="12">
        <f>tItens[[#This Row],[Valor]]*(1-tItens[[#This Row],[Desconto]])</f>
        <v>377.34939759036126</v>
      </c>
      <c r="N5097" t="str">
        <f>IFERROR(INDEX(tProdutos[Foco],MATCH(tItens[[#This Row],[Produto]],tProdutos[Produto],0)),"Não")</f>
        <v>Não</v>
      </c>
      <c r="O5097" t="str">
        <f>IFERROR(INDEX(tEditais[SRP],MATCH(tItens[[#This Row],[Edital]],tEditais[Edital],0)),"Não")</f>
        <v>Sim</v>
      </c>
      <c r="P5097" s="4">
        <f>IF(COUNTIFS(INDEX(tItens[Edital],1):tItens[[#This Row],[Edital]],tItens[[#This Row],[Edital]],INDEX(tItens[Produto],1):tItens[[#This Row],[Produto]],tItens[[#This Row],[Produto]])=1,1,0)</f>
        <v>0</v>
      </c>
    </row>
    <row r="5098" spans="1:16" x14ac:dyDescent="0.25">
      <c r="A5098" t="s">
        <v>1985</v>
      </c>
      <c r="B5098">
        <v>17</v>
      </c>
      <c r="C5098" t="s">
        <v>7899</v>
      </c>
      <c r="D5098" t="s">
        <v>461</v>
      </c>
      <c r="E5098" s="13">
        <v>500</v>
      </c>
      <c r="F5098" s="12">
        <v>1.24</v>
      </c>
      <c r="G5098" t="str">
        <f>IFERROR(INDEX(tEditais[Órgão],MATCH(tItens[[#This Row],[Edital]],tEditais[Edital],0)),"")</f>
        <v>MUNICIPIO DE NOVA ESPERANCA</v>
      </c>
      <c r="H5098" t="str">
        <f>IFERROR(INDEX(tEditais[UF],MATCH(tItens[[#This Row],[Edital]],tEditais[Edital],0)),"")</f>
        <v>PR</v>
      </c>
      <c r="I5098" s="11">
        <f>IFERROR(INDEX(tEditais[Encerramento],MATCH(tItens[[#This Row],[Edital]],tEditais[Edital],0)),"")</f>
        <v>46304.374305555553</v>
      </c>
      <c r="J5098" t="str">
        <f>IFERROR(INDEX(tProdutos[Classe],MATCH(tItens[[#This Row],[Produto]],tProdutos[Produto],0)),"produto não cadastrado")</f>
        <v>FILA REBASE</v>
      </c>
      <c r="K5098" s="12">
        <f>tItens[[#This Row],[Qtd]]*tItens[[#This Row],[Vlr unit]]</f>
        <v>620</v>
      </c>
      <c r="L5098" s="6">
        <f>IFERROR(IF(INDEX(tProdutos[Desconto homologado],MATCH(tItens[[#This Row],[Produto]],tProdutos[Produto],0))="",DescontoPadrao,INDEX(tProdutos[Desconto homologado],MATCH(tItens[[#This Row],[Produto]],tProdutos[Produto],0))),DescontoPadrao)</f>
        <v>0.44096385542168698</v>
      </c>
      <c r="M5098" s="12">
        <f>tItens[[#This Row],[Valor]]*(1-tItens[[#This Row],[Desconto]])</f>
        <v>346.60240963855404</v>
      </c>
      <c r="N5098" t="str">
        <f>IFERROR(INDEX(tProdutos[Foco],MATCH(tItens[[#This Row],[Produto]],tProdutos[Produto],0)),"Não")</f>
        <v>Não</v>
      </c>
      <c r="O5098" t="str">
        <f>IFERROR(INDEX(tEditais[SRP],MATCH(tItens[[#This Row],[Edital]],tEditais[Edital],0)),"Não")</f>
        <v>Sim</v>
      </c>
      <c r="P5098" s="4">
        <f>IF(COUNTIFS(INDEX(tItens[Edital],1):tItens[[#This Row],[Edital]],tItens[[#This Row],[Edital]],INDEX(tItens[Produto],1):tItens[[#This Row],[Produto]],tItens[[#This Row],[Produto]])=1,1,0)</f>
        <v>0</v>
      </c>
    </row>
    <row r="5099" spans="1:16" x14ac:dyDescent="0.25">
      <c r="A5099" t="s">
        <v>1985</v>
      </c>
      <c r="B5099">
        <v>18</v>
      </c>
      <c r="C5099" t="s">
        <v>7900</v>
      </c>
      <c r="D5099" t="s">
        <v>461</v>
      </c>
      <c r="E5099" s="13">
        <v>500</v>
      </c>
      <c r="F5099" s="12">
        <v>1.19</v>
      </c>
      <c r="G5099" t="str">
        <f>IFERROR(INDEX(tEditais[Órgão],MATCH(tItens[[#This Row],[Edital]],tEditais[Edital],0)),"")</f>
        <v>MUNICIPIO DE NOVA ESPERANCA</v>
      </c>
      <c r="H5099" t="str">
        <f>IFERROR(INDEX(tEditais[UF],MATCH(tItens[[#This Row],[Edital]],tEditais[Edital],0)),"")</f>
        <v>PR</v>
      </c>
      <c r="I5099" s="11">
        <f>IFERROR(INDEX(tEditais[Encerramento],MATCH(tItens[[#This Row],[Edital]],tEditais[Edital],0)),"")</f>
        <v>46304.374305555553</v>
      </c>
      <c r="J5099" t="str">
        <f>IFERROR(INDEX(tProdutos[Classe],MATCH(tItens[[#This Row],[Produto]],tProdutos[Produto],0)),"produto não cadastrado")</f>
        <v>FILA REBASE</v>
      </c>
      <c r="K5099" s="12">
        <f>tItens[[#This Row],[Qtd]]*tItens[[#This Row],[Vlr unit]]</f>
        <v>595</v>
      </c>
      <c r="L5099" s="6">
        <f>IFERROR(IF(INDEX(tProdutos[Desconto homologado],MATCH(tItens[[#This Row],[Produto]],tProdutos[Produto],0))="",DescontoPadrao,INDEX(tProdutos[Desconto homologado],MATCH(tItens[[#This Row],[Produto]],tProdutos[Produto],0))),DescontoPadrao)</f>
        <v>0.44096385542168698</v>
      </c>
      <c r="M5099" s="12">
        <f>tItens[[#This Row],[Valor]]*(1-tItens[[#This Row],[Desconto]])</f>
        <v>332.62650602409622</v>
      </c>
      <c r="N5099" t="str">
        <f>IFERROR(INDEX(tProdutos[Foco],MATCH(tItens[[#This Row],[Produto]],tProdutos[Produto],0)),"Não")</f>
        <v>Não</v>
      </c>
      <c r="O5099" t="str">
        <f>IFERROR(INDEX(tEditais[SRP],MATCH(tItens[[#This Row],[Edital]],tEditais[Edital],0)),"Não")</f>
        <v>Sim</v>
      </c>
      <c r="P5099" s="4">
        <f>IF(COUNTIFS(INDEX(tItens[Edital],1):tItens[[#This Row],[Edital]],tItens[[#This Row],[Edital]],INDEX(tItens[Produto],1):tItens[[#This Row],[Produto]],tItens[[#This Row],[Produto]])=1,1,0)</f>
        <v>0</v>
      </c>
    </row>
    <row r="5100" spans="1:16" x14ac:dyDescent="0.25">
      <c r="A5100" t="s">
        <v>1985</v>
      </c>
      <c r="B5100">
        <v>30</v>
      </c>
      <c r="C5100" t="s">
        <v>7901</v>
      </c>
      <c r="D5100" t="s">
        <v>375</v>
      </c>
      <c r="E5100" s="13">
        <v>250</v>
      </c>
      <c r="F5100" s="12">
        <v>8.26</v>
      </c>
      <c r="G5100" t="str">
        <f>IFERROR(INDEX(tEditais[Órgão],MATCH(tItens[[#This Row],[Edital]],tEditais[Edital],0)),"")</f>
        <v>MUNICIPIO DE NOVA ESPERANCA</v>
      </c>
      <c r="H5100" t="str">
        <f>IFERROR(INDEX(tEditais[UF],MATCH(tItens[[#This Row],[Edital]],tEditais[Edital],0)),"")</f>
        <v>PR</v>
      </c>
      <c r="I5100" s="11">
        <f>IFERROR(INDEX(tEditais[Encerramento],MATCH(tItens[[#This Row],[Edital]],tEditais[Edital],0)),"")</f>
        <v>46304.374305555553</v>
      </c>
      <c r="J5100" t="str">
        <f>IFERROR(INDEX(tProdutos[Classe],MATCH(tItens[[#This Row],[Produto]],tProdutos[Produto],0)),"produto não cadastrado")</f>
        <v>FORA</v>
      </c>
      <c r="K5100" s="12">
        <f>tItens[[#This Row],[Qtd]]*tItens[[#This Row],[Vlr unit]]</f>
        <v>2065</v>
      </c>
      <c r="L5100" s="6">
        <f>IFERROR(IF(INDEX(tProdutos[Desconto homologado],MATCH(tItens[[#This Row],[Produto]],tProdutos[Produto],0))="",DescontoPadrao,INDEX(tProdutos[Desconto homologado],MATCH(tItens[[#This Row],[Produto]],tProdutos[Produto],0))),DescontoPadrao)</f>
        <v>0.25005895299481201</v>
      </c>
      <c r="M5100" s="12">
        <f>tItens[[#This Row],[Valor]]*(1-tItens[[#This Row],[Desconto]])</f>
        <v>1548.628262065713</v>
      </c>
      <c r="N5100" t="str">
        <f>IFERROR(INDEX(tProdutos[Foco],MATCH(tItens[[#This Row],[Produto]],tProdutos[Produto],0)),"Não")</f>
        <v>Não</v>
      </c>
      <c r="O5100" t="str">
        <f>IFERROR(INDEX(tEditais[SRP],MATCH(tItens[[#This Row],[Edital]],tEditais[Edital],0)),"Não")</f>
        <v>Sim</v>
      </c>
      <c r="P5100" s="4">
        <f>IF(COUNTIFS(INDEX(tItens[Edital],1):tItens[[#This Row],[Edital]],tItens[[#This Row],[Edital]],INDEX(tItens[Produto],1):tItens[[#This Row],[Produto]],tItens[[#This Row],[Produto]])=1,1,0)</f>
        <v>1</v>
      </c>
    </row>
    <row r="5101" spans="1:16" x14ac:dyDescent="0.25">
      <c r="A5101" t="s">
        <v>1985</v>
      </c>
      <c r="B5101">
        <v>31</v>
      </c>
      <c r="C5101" t="s">
        <v>7902</v>
      </c>
      <c r="D5101" t="s">
        <v>375</v>
      </c>
      <c r="E5101" s="13">
        <v>200</v>
      </c>
      <c r="F5101" s="12">
        <v>11.27</v>
      </c>
      <c r="G5101" t="str">
        <f>IFERROR(INDEX(tEditais[Órgão],MATCH(tItens[[#This Row],[Edital]],tEditais[Edital],0)),"")</f>
        <v>MUNICIPIO DE NOVA ESPERANCA</v>
      </c>
      <c r="H5101" t="str">
        <f>IFERROR(INDEX(tEditais[UF],MATCH(tItens[[#This Row],[Edital]],tEditais[Edital],0)),"")</f>
        <v>PR</v>
      </c>
      <c r="I5101" s="11">
        <f>IFERROR(INDEX(tEditais[Encerramento],MATCH(tItens[[#This Row],[Edital]],tEditais[Edital],0)),"")</f>
        <v>46304.374305555553</v>
      </c>
      <c r="J5101" t="str">
        <f>IFERROR(INDEX(tProdutos[Classe],MATCH(tItens[[#This Row],[Produto]],tProdutos[Produto],0)),"produto não cadastrado")</f>
        <v>FORA</v>
      </c>
      <c r="K5101" s="12">
        <f>tItens[[#This Row],[Qtd]]*tItens[[#This Row],[Vlr unit]]</f>
        <v>2254</v>
      </c>
      <c r="L5101" s="6">
        <f>IFERROR(IF(INDEX(tProdutos[Desconto homologado],MATCH(tItens[[#This Row],[Produto]],tProdutos[Produto],0))="",DescontoPadrao,INDEX(tProdutos[Desconto homologado],MATCH(tItens[[#This Row],[Produto]],tProdutos[Produto],0))),DescontoPadrao)</f>
        <v>0.25005895299481201</v>
      </c>
      <c r="M5101" s="12">
        <f>tItens[[#This Row],[Valor]]*(1-tItens[[#This Row],[Desconto]])</f>
        <v>1690.3671199496937</v>
      </c>
      <c r="N5101" t="str">
        <f>IFERROR(INDEX(tProdutos[Foco],MATCH(tItens[[#This Row],[Produto]],tProdutos[Produto],0)),"Não")</f>
        <v>Não</v>
      </c>
      <c r="O5101" t="str">
        <f>IFERROR(INDEX(tEditais[SRP],MATCH(tItens[[#This Row],[Edital]],tEditais[Edital],0)),"Não")</f>
        <v>Sim</v>
      </c>
      <c r="P5101" s="4">
        <f>IF(COUNTIFS(INDEX(tItens[Edital],1):tItens[[#This Row],[Edital]],tItens[[#This Row],[Edital]],INDEX(tItens[Produto],1):tItens[[#This Row],[Produto]],tItens[[#This Row],[Produto]])=1,1,0)</f>
        <v>0</v>
      </c>
    </row>
    <row r="5102" spans="1:16" x14ac:dyDescent="0.25">
      <c r="A5102" t="s">
        <v>1985</v>
      </c>
      <c r="B5102">
        <v>32</v>
      </c>
      <c r="C5102" t="s">
        <v>7903</v>
      </c>
      <c r="D5102" t="s">
        <v>189</v>
      </c>
      <c r="E5102" s="13">
        <v>500</v>
      </c>
      <c r="F5102" s="12">
        <v>9.6300000000000008</v>
      </c>
      <c r="G5102" t="str">
        <f>IFERROR(INDEX(tEditais[Órgão],MATCH(tItens[[#This Row],[Edital]],tEditais[Edital],0)),"")</f>
        <v>MUNICIPIO DE NOVA ESPERANCA</v>
      </c>
      <c r="H5102" t="str">
        <f>IFERROR(INDEX(tEditais[UF],MATCH(tItens[[#This Row],[Edital]],tEditais[Edital],0)),"")</f>
        <v>PR</v>
      </c>
      <c r="I5102" s="11">
        <f>IFERROR(INDEX(tEditais[Encerramento],MATCH(tItens[[#This Row],[Edital]],tEditais[Edital],0)),"")</f>
        <v>46304.374305555553</v>
      </c>
      <c r="J5102" t="str">
        <f>IFERROR(INDEX(tProdutos[Classe],MATCH(tItens[[#This Row],[Produto]],tProdutos[Produto],0)),"produto não cadastrado")</f>
        <v>DISPUTADO</v>
      </c>
      <c r="K5102" s="12">
        <f>tItens[[#This Row],[Qtd]]*tItens[[#This Row],[Vlr unit]]</f>
        <v>4815</v>
      </c>
      <c r="L5102" s="6">
        <f>IFERROR(IF(INDEX(tProdutos[Desconto homologado],MATCH(tItens[[#This Row],[Produto]],tProdutos[Produto],0))="",DescontoPadrao,INDEX(tProdutos[Desconto homologado],MATCH(tItens[[#This Row],[Produto]],tProdutos[Produto],0))),DescontoPadrao)</f>
        <v>0.33088052268966101</v>
      </c>
      <c r="M5102" s="12">
        <f>tItens[[#This Row],[Valor]]*(1-tItens[[#This Row],[Desconto]])</f>
        <v>3221.8102832492827</v>
      </c>
      <c r="N5102" t="str">
        <f>IFERROR(INDEX(tProdutos[Foco],MATCH(tItens[[#This Row],[Produto]],tProdutos[Produto],0)),"Não")</f>
        <v>Não</v>
      </c>
      <c r="O5102" t="str">
        <f>IFERROR(INDEX(tEditais[SRP],MATCH(tItens[[#This Row],[Edital]],tEditais[Edital],0)),"Não")</f>
        <v>Sim</v>
      </c>
      <c r="P5102" s="4">
        <f>IF(COUNTIFS(INDEX(tItens[Edital],1):tItens[[#This Row],[Edital]],tItens[[#This Row],[Edital]],INDEX(tItens[Produto],1):tItens[[#This Row],[Produto]],tItens[[#This Row],[Produto]])=1,1,0)</f>
        <v>1</v>
      </c>
    </row>
    <row r="5103" spans="1:16" x14ac:dyDescent="0.25">
      <c r="A5103" t="s">
        <v>1987</v>
      </c>
      <c r="B5103">
        <v>7</v>
      </c>
      <c r="C5103" t="s">
        <v>4743</v>
      </c>
      <c r="D5103" t="s">
        <v>138</v>
      </c>
      <c r="E5103" s="13">
        <v>10</v>
      </c>
      <c r="F5103" s="12">
        <v>45.44</v>
      </c>
      <c r="G5103" t="str">
        <f>IFERROR(INDEX(tEditais[Órgão],MATCH(tItens[[#This Row],[Edital]],tEditais[Edital],0)),"")</f>
        <v>MUNICIPIO DE VERA CRUZ DO OESTE</v>
      </c>
      <c r="H5103" t="str">
        <f>IFERROR(INDEX(tEditais[UF],MATCH(tItens[[#This Row],[Edital]],tEditais[Edital],0)),"")</f>
        <v>PR</v>
      </c>
      <c r="I5103" s="11">
        <f>IFERROR(INDEX(tEditais[Encerramento],MATCH(tItens[[#This Row],[Edital]],tEditais[Edital],0)),"")</f>
        <v>46304.375</v>
      </c>
      <c r="J5103" t="str">
        <f>IFERROR(INDEX(tProdutos[Classe],MATCH(tItens[[#This Row],[Produto]],tProdutos[Produto],0)),"produto não cadastrado")</f>
        <v>DISPUTADO</v>
      </c>
      <c r="K5103" s="12">
        <f>tItens[[#This Row],[Qtd]]*tItens[[#This Row],[Vlr unit]]</f>
        <v>454.4</v>
      </c>
      <c r="L5103" s="6">
        <f>IFERROR(IF(INDEX(tProdutos[Desconto homologado],MATCH(tItens[[#This Row],[Produto]],tProdutos[Produto],0))="",DescontoPadrao,INDEX(tProdutos[Desconto homologado],MATCH(tItens[[#This Row],[Produto]],tProdutos[Produto],0))),DescontoPadrao)</f>
        <v>0.26998708082016998</v>
      </c>
      <c r="M5103" s="12">
        <f>tItens[[#This Row],[Valor]]*(1-tItens[[#This Row],[Desconto]])</f>
        <v>331.71787047531473</v>
      </c>
      <c r="N5103" t="str">
        <f>IFERROR(INDEX(tProdutos[Foco],MATCH(tItens[[#This Row],[Produto]],tProdutos[Produto],0)),"Não")</f>
        <v>Não</v>
      </c>
      <c r="O5103" t="str">
        <f>IFERROR(INDEX(tEditais[SRP],MATCH(tItens[[#This Row],[Edital]],tEditais[Edital],0)),"Não")</f>
        <v>Não</v>
      </c>
      <c r="P5103" s="4">
        <f>IF(COUNTIFS(INDEX(tItens[Edital],1):tItens[[#This Row],[Edital]],tItens[[#This Row],[Edital]],INDEX(tItens[Produto],1):tItens[[#This Row],[Produto]],tItens[[#This Row],[Produto]])=1,1,0)</f>
        <v>1</v>
      </c>
    </row>
    <row r="5104" spans="1:16" x14ac:dyDescent="0.25">
      <c r="A5104" t="s">
        <v>1987</v>
      </c>
      <c r="B5104">
        <v>8</v>
      </c>
      <c r="C5104" t="s">
        <v>7904</v>
      </c>
      <c r="D5104" t="s">
        <v>88</v>
      </c>
      <c r="E5104" s="13">
        <v>5</v>
      </c>
      <c r="F5104" s="12">
        <v>50.17</v>
      </c>
      <c r="G5104" t="str">
        <f>IFERROR(INDEX(tEditais[Órgão],MATCH(tItens[[#This Row],[Edital]],tEditais[Edital],0)),"")</f>
        <v>MUNICIPIO DE VERA CRUZ DO OESTE</v>
      </c>
      <c r="H5104" t="str">
        <f>IFERROR(INDEX(tEditais[UF],MATCH(tItens[[#This Row],[Edital]],tEditais[Edital],0)),"")</f>
        <v>PR</v>
      </c>
      <c r="I5104" s="11">
        <f>IFERROR(INDEX(tEditais[Encerramento],MATCH(tItens[[#This Row],[Edital]],tEditais[Edital],0)),"")</f>
        <v>46304.375</v>
      </c>
      <c r="J5104" t="str">
        <f>IFERROR(INDEX(tProdutos[Classe],MATCH(tItens[[#This Row],[Produto]],tProdutos[Produto],0)),"produto não cadastrado")</f>
        <v>NÚCLEO</v>
      </c>
      <c r="K5104" s="12">
        <f>tItens[[#This Row],[Qtd]]*tItens[[#This Row],[Vlr unit]]</f>
        <v>250.85000000000002</v>
      </c>
      <c r="L5104" s="6">
        <f>IFERROR(IF(INDEX(tProdutos[Desconto homologado],MATCH(tItens[[#This Row],[Produto]],tProdutos[Produto],0))="",DescontoPadrao,INDEX(tProdutos[Desconto homologado],MATCH(tItens[[#This Row],[Produto]],tProdutos[Produto],0))),DescontoPadrao)</f>
        <v>0.30251202565473001</v>
      </c>
      <c r="M5104" s="12">
        <f>tItens[[#This Row],[Valor]]*(1-tItens[[#This Row],[Desconto]])</f>
        <v>174.964858364511</v>
      </c>
      <c r="N5104" t="str">
        <f>IFERROR(INDEX(tProdutos[Foco],MATCH(tItens[[#This Row],[Produto]],tProdutos[Produto],0)),"Não")</f>
        <v>Não</v>
      </c>
      <c r="O5104" t="str">
        <f>IFERROR(INDEX(tEditais[SRP],MATCH(tItens[[#This Row],[Edital]],tEditais[Edital],0)),"Não")</f>
        <v>Não</v>
      </c>
      <c r="P5104" s="4">
        <f>IF(COUNTIFS(INDEX(tItens[Edital],1):tItens[[#This Row],[Edital]],tItens[[#This Row],[Edital]],INDEX(tItens[Produto],1):tItens[[#This Row],[Produto]],tItens[[#This Row],[Produto]])=1,1,0)</f>
        <v>1</v>
      </c>
    </row>
    <row r="5105" spans="1:16" x14ac:dyDescent="0.25">
      <c r="A5105" t="s">
        <v>1987</v>
      </c>
      <c r="B5105">
        <v>9</v>
      </c>
      <c r="C5105" t="s">
        <v>7905</v>
      </c>
      <c r="D5105" t="s">
        <v>112</v>
      </c>
      <c r="E5105" s="13">
        <v>4</v>
      </c>
      <c r="F5105" s="12">
        <v>49.9</v>
      </c>
      <c r="G5105" t="str">
        <f>IFERROR(INDEX(tEditais[Órgão],MATCH(tItens[[#This Row],[Edital]],tEditais[Edital],0)),"")</f>
        <v>MUNICIPIO DE VERA CRUZ DO OESTE</v>
      </c>
      <c r="H5105" t="str">
        <f>IFERROR(INDEX(tEditais[UF],MATCH(tItens[[#This Row],[Edital]],tEditais[Edital],0)),"")</f>
        <v>PR</v>
      </c>
      <c r="I5105" s="11">
        <f>IFERROR(INDEX(tEditais[Encerramento],MATCH(tItens[[#This Row],[Edital]],tEditais[Edital],0)),"")</f>
        <v>46304.375</v>
      </c>
      <c r="J5105" t="str">
        <f>IFERROR(INDEX(tProdutos[Classe],MATCH(tItens[[#This Row],[Produto]],tProdutos[Produto],0)),"produto não cadastrado")</f>
        <v>DISPUTADO</v>
      </c>
      <c r="K5105" s="12">
        <f>tItens[[#This Row],[Qtd]]*tItens[[#This Row],[Vlr unit]]</f>
        <v>199.6</v>
      </c>
      <c r="L5105" s="6">
        <f>IFERROR(IF(INDEX(tProdutos[Desconto homologado],MATCH(tItens[[#This Row],[Produto]],tProdutos[Produto],0))="",DescontoPadrao,INDEX(tProdutos[Desconto homologado],MATCH(tItens[[#This Row],[Produto]],tProdutos[Produto],0))),DescontoPadrao)</f>
        <v>0.35273348841447499</v>
      </c>
      <c r="M5105" s="12">
        <f>tItens[[#This Row],[Valor]]*(1-tItens[[#This Row],[Desconto]])</f>
        <v>129.19439571247077</v>
      </c>
      <c r="N5105" t="str">
        <f>IFERROR(INDEX(tProdutos[Foco],MATCH(tItens[[#This Row],[Produto]],tProdutos[Produto],0)),"Não")</f>
        <v>Não</v>
      </c>
      <c r="O5105" t="str">
        <f>IFERROR(INDEX(tEditais[SRP],MATCH(tItens[[#This Row],[Edital]],tEditais[Edital],0)),"Não")</f>
        <v>Não</v>
      </c>
      <c r="P5105" s="4">
        <f>IF(COUNTIFS(INDEX(tItens[Edital],1):tItens[[#This Row],[Edital]],tItens[[#This Row],[Edital]],INDEX(tItens[Produto],1):tItens[[#This Row],[Produto]],tItens[[#This Row],[Produto]])=1,1,0)</f>
        <v>1</v>
      </c>
    </row>
    <row r="5106" spans="1:16" x14ac:dyDescent="0.25">
      <c r="A5106" t="s">
        <v>1987</v>
      </c>
      <c r="B5106">
        <v>104</v>
      </c>
      <c r="C5106" t="s">
        <v>7906</v>
      </c>
      <c r="D5106" t="s">
        <v>56</v>
      </c>
      <c r="E5106" s="13">
        <v>2</v>
      </c>
      <c r="F5106" s="12">
        <v>34.799999999999997</v>
      </c>
      <c r="G5106" t="str">
        <f>IFERROR(INDEX(tEditais[Órgão],MATCH(tItens[[#This Row],[Edital]],tEditais[Edital],0)),"")</f>
        <v>MUNICIPIO DE VERA CRUZ DO OESTE</v>
      </c>
      <c r="H5106" t="str">
        <f>IFERROR(INDEX(tEditais[UF],MATCH(tItens[[#This Row],[Edital]],tEditais[Edital],0)),"")</f>
        <v>PR</v>
      </c>
      <c r="I5106" s="11">
        <f>IFERROR(INDEX(tEditais[Encerramento],MATCH(tItens[[#This Row],[Edital]],tEditais[Edital],0)),"")</f>
        <v>46304.375</v>
      </c>
      <c r="J5106" t="str">
        <f>IFERROR(INDEX(tProdutos[Classe],MATCH(tItens[[#This Row],[Produto]],tProdutos[Produto],0)),"produto não cadastrado")</f>
        <v>NÚCLEO</v>
      </c>
      <c r="K5106" s="12">
        <f>tItens[[#This Row],[Qtd]]*tItens[[#This Row],[Vlr unit]]</f>
        <v>69.599999999999994</v>
      </c>
      <c r="L5106" s="6">
        <f>IFERROR(IF(INDEX(tProdutos[Desconto homologado],MATCH(tItens[[#This Row],[Produto]],tProdutos[Produto],0))="",DescontoPadrao,INDEX(tProdutos[Desconto homologado],MATCH(tItens[[#This Row],[Produto]],tProdutos[Produto],0))),DescontoPadrao)</f>
        <v>0.34</v>
      </c>
      <c r="M5106" s="12">
        <f>tItens[[#This Row],[Valor]]*(1-tItens[[#This Row],[Desconto]])</f>
        <v>45.935999999999993</v>
      </c>
      <c r="N5106" t="str">
        <f>IFERROR(INDEX(tProdutos[Foco],MATCH(tItens[[#This Row],[Produto]],tProdutos[Produto],0)),"Não")</f>
        <v>Sim</v>
      </c>
      <c r="O5106" t="str">
        <f>IFERROR(INDEX(tEditais[SRP],MATCH(tItens[[#This Row],[Edital]],tEditais[Edital],0)),"Não")</f>
        <v>Não</v>
      </c>
      <c r="P5106" s="4">
        <f>IF(COUNTIFS(INDEX(tItens[Edital],1):tItens[[#This Row],[Edital]],tItens[[#This Row],[Edital]],INDEX(tItens[Produto],1):tItens[[#This Row],[Produto]],tItens[[#This Row],[Produto]])=1,1,0)</f>
        <v>1</v>
      </c>
    </row>
    <row r="5107" spans="1:16" x14ac:dyDescent="0.25">
      <c r="A5107" t="s">
        <v>1987</v>
      </c>
      <c r="B5107">
        <v>105</v>
      </c>
      <c r="C5107" t="s">
        <v>7907</v>
      </c>
      <c r="D5107" t="s">
        <v>56</v>
      </c>
      <c r="E5107" s="13">
        <v>2</v>
      </c>
      <c r="F5107" s="12">
        <v>34.53</v>
      </c>
      <c r="G5107" t="str">
        <f>IFERROR(INDEX(tEditais[Órgão],MATCH(tItens[[#This Row],[Edital]],tEditais[Edital],0)),"")</f>
        <v>MUNICIPIO DE VERA CRUZ DO OESTE</v>
      </c>
      <c r="H5107" t="str">
        <f>IFERROR(INDEX(tEditais[UF],MATCH(tItens[[#This Row],[Edital]],tEditais[Edital],0)),"")</f>
        <v>PR</v>
      </c>
      <c r="I5107" s="11">
        <f>IFERROR(INDEX(tEditais[Encerramento],MATCH(tItens[[#This Row],[Edital]],tEditais[Edital],0)),"")</f>
        <v>46304.375</v>
      </c>
      <c r="J5107" t="str">
        <f>IFERROR(INDEX(tProdutos[Classe],MATCH(tItens[[#This Row],[Produto]],tProdutos[Produto],0)),"produto não cadastrado")</f>
        <v>NÚCLEO</v>
      </c>
      <c r="K5107" s="12">
        <f>tItens[[#This Row],[Qtd]]*tItens[[#This Row],[Vlr unit]]</f>
        <v>69.06</v>
      </c>
      <c r="L5107" s="6">
        <f>IFERROR(IF(INDEX(tProdutos[Desconto homologado],MATCH(tItens[[#This Row],[Produto]],tProdutos[Produto],0))="",DescontoPadrao,INDEX(tProdutos[Desconto homologado],MATCH(tItens[[#This Row],[Produto]],tProdutos[Produto],0))),DescontoPadrao)</f>
        <v>0.34</v>
      </c>
      <c r="M5107" s="12">
        <f>tItens[[#This Row],[Valor]]*(1-tItens[[#This Row],[Desconto]])</f>
        <v>45.579599999999999</v>
      </c>
      <c r="N5107" t="str">
        <f>IFERROR(INDEX(tProdutos[Foco],MATCH(tItens[[#This Row],[Produto]],tProdutos[Produto],0)),"Não")</f>
        <v>Sim</v>
      </c>
      <c r="O5107" t="str">
        <f>IFERROR(INDEX(tEditais[SRP],MATCH(tItens[[#This Row],[Edital]],tEditais[Edital],0)),"Não")</f>
        <v>Não</v>
      </c>
      <c r="P5107" s="4">
        <f>IF(COUNTIFS(INDEX(tItens[Edital],1):tItens[[#This Row],[Edital]],tItens[[#This Row],[Edital]],INDEX(tItens[Produto],1):tItens[[#This Row],[Produto]],tItens[[#This Row],[Produto]])=1,1,0)</f>
        <v>0</v>
      </c>
    </row>
    <row r="5108" spans="1:16" x14ac:dyDescent="0.25">
      <c r="A5108" t="s">
        <v>1987</v>
      </c>
      <c r="B5108">
        <v>111</v>
      </c>
      <c r="C5108" t="s">
        <v>7908</v>
      </c>
      <c r="D5108" t="s">
        <v>343</v>
      </c>
      <c r="E5108" s="13">
        <v>8</v>
      </c>
      <c r="F5108" s="12">
        <v>137.66</v>
      </c>
      <c r="G5108" t="str">
        <f>IFERROR(INDEX(tEditais[Órgão],MATCH(tItens[[#This Row],[Edital]],tEditais[Edital],0)),"")</f>
        <v>MUNICIPIO DE VERA CRUZ DO OESTE</v>
      </c>
      <c r="H5108" t="str">
        <f>IFERROR(INDEX(tEditais[UF],MATCH(tItens[[#This Row],[Edital]],tEditais[Edital],0)),"")</f>
        <v>PR</v>
      </c>
      <c r="I5108" s="11">
        <f>IFERROR(INDEX(tEditais[Encerramento],MATCH(tItens[[#This Row],[Edital]],tEditais[Edital],0)),"")</f>
        <v>46304.375</v>
      </c>
      <c r="J5108" t="str">
        <f>IFERROR(INDEX(tProdutos[Classe],MATCH(tItens[[#This Row],[Produto]],tProdutos[Produto],0)),"produto não cadastrado")</f>
        <v>FORA</v>
      </c>
      <c r="K5108" s="12">
        <f>tItens[[#This Row],[Qtd]]*tItens[[#This Row],[Vlr unit]]</f>
        <v>1101.28</v>
      </c>
      <c r="L5108" s="6">
        <f>IFERROR(IF(INDEX(tProdutos[Desconto homologado],MATCH(tItens[[#This Row],[Produto]],tProdutos[Produto],0))="",DescontoPadrao,INDEX(tProdutos[Desconto homologado],MATCH(tItens[[#This Row],[Produto]],tProdutos[Produto],0))),DescontoPadrao)</f>
        <v>0.35412234042553198</v>
      </c>
      <c r="M5108" s="12">
        <f>tItens[[#This Row],[Valor]]*(1-tItens[[#This Row],[Desconto]])</f>
        <v>711.29214893617007</v>
      </c>
      <c r="N5108" t="str">
        <f>IFERROR(INDEX(tProdutos[Foco],MATCH(tItens[[#This Row],[Produto]],tProdutos[Produto],0)),"Não")</f>
        <v>Não</v>
      </c>
      <c r="O5108" t="str">
        <f>IFERROR(INDEX(tEditais[SRP],MATCH(tItens[[#This Row],[Edital]],tEditais[Edital],0)),"Não")</f>
        <v>Não</v>
      </c>
      <c r="P5108" s="4">
        <f>IF(COUNTIFS(INDEX(tItens[Edital],1):tItens[[#This Row],[Edital]],tItens[[#This Row],[Edital]],INDEX(tItens[Produto],1):tItens[[#This Row],[Produto]],tItens[[#This Row],[Produto]])=1,1,0)</f>
        <v>1</v>
      </c>
    </row>
    <row r="5109" spans="1:16" x14ac:dyDescent="0.25">
      <c r="A5109" t="s">
        <v>1987</v>
      </c>
      <c r="B5109">
        <v>112</v>
      </c>
      <c r="C5109" t="s">
        <v>7909</v>
      </c>
      <c r="D5109" t="s">
        <v>313</v>
      </c>
      <c r="E5109" s="13">
        <v>300</v>
      </c>
      <c r="F5109" s="12">
        <v>38.21</v>
      </c>
      <c r="G5109" t="str">
        <f>IFERROR(INDEX(tEditais[Órgão],MATCH(tItens[[#This Row],[Edital]],tEditais[Edital],0)),"")</f>
        <v>MUNICIPIO DE VERA CRUZ DO OESTE</v>
      </c>
      <c r="H5109" t="str">
        <f>IFERROR(INDEX(tEditais[UF],MATCH(tItens[[#This Row],[Edital]],tEditais[Edital],0)),"")</f>
        <v>PR</v>
      </c>
      <c r="I5109" s="11">
        <f>IFERROR(INDEX(tEditais[Encerramento],MATCH(tItens[[#This Row],[Edital]],tEditais[Edital],0)),"")</f>
        <v>46304.375</v>
      </c>
      <c r="J5109" t="str">
        <f>IFERROR(INDEX(tProdutos[Classe],MATCH(tItens[[#This Row],[Produto]],tProdutos[Produto],0)),"produto não cadastrado")</f>
        <v>FORA</v>
      </c>
      <c r="K5109" s="12">
        <f>tItens[[#This Row],[Qtd]]*tItens[[#This Row],[Vlr unit]]</f>
        <v>11463</v>
      </c>
      <c r="L5109" s="6">
        <f>IFERROR(IF(INDEX(tProdutos[Desconto homologado],MATCH(tItens[[#This Row],[Produto]],tProdutos[Produto],0))="",DescontoPadrao,INDEX(tProdutos[Desconto homologado],MATCH(tItens[[#This Row],[Produto]],tProdutos[Produto],0))),DescontoPadrao)</f>
        <v>0.35766373163696302</v>
      </c>
      <c r="M5109" s="12">
        <f>tItens[[#This Row],[Valor]]*(1-tItens[[#This Row],[Desconto]])</f>
        <v>7363.1006442454918</v>
      </c>
      <c r="N5109" t="str">
        <f>IFERROR(INDEX(tProdutos[Foco],MATCH(tItens[[#This Row],[Produto]],tProdutos[Produto],0)),"Não")</f>
        <v>Não</v>
      </c>
      <c r="O5109" t="str">
        <f>IFERROR(INDEX(tEditais[SRP],MATCH(tItens[[#This Row],[Edital]],tEditais[Edital],0)),"Não")</f>
        <v>Não</v>
      </c>
      <c r="P5109" s="4">
        <f>IF(COUNTIFS(INDEX(tItens[Edital],1):tItens[[#This Row],[Edital]],tItens[[#This Row],[Edital]],INDEX(tItens[Produto],1):tItens[[#This Row],[Produto]],tItens[[#This Row],[Produto]])=1,1,0)</f>
        <v>1</v>
      </c>
    </row>
    <row r="5110" spans="1:16" x14ac:dyDescent="0.25">
      <c r="A5110" t="s">
        <v>1987</v>
      </c>
      <c r="B5110">
        <v>144</v>
      </c>
      <c r="C5110" t="s">
        <v>7910</v>
      </c>
      <c r="D5110" t="s">
        <v>114</v>
      </c>
      <c r="E5110" s="13">
        <v>100</v>
      </c>
      <c r="F5110" s="12">
        <v>24.83</v>
      </c>
      <c r="G5110" t="str">
        <f>IFERROR(INDEX(tEditais[Órgão],MATCH(tItens[[#This Row],[Edital]],tEditais[Edital],0)),"")</f>
        <v>MUNICIPIO DE VERA CRUZ DO OESTE</v>
      </c>
      <c r="H5110" t="str">
        <f>IFERROR(INDEX(tEditais[UF],MATCH(tItens[[#This Row],[Edital]],tEditais[Edital],0)),"")</f>
        <v>PR</v>
      </c>
      <c r="I5110" s="11">
        <f>IFERROR(INDEX(tEditais[Encerramento],MATCH(tItens[[#This Row],[Edital]],tEditais[Edital],0)),"")</f>
        <v>46304.375</v>
      </c>
      <c r="J5110" t="str">
        <f>IFERROR(INDEX(tProdutos[Classe],MATCH(tItens[[#This Row],[Produto]],tProdutos[Produto],0)),"produto não cadastrado")</f>
        <v>DISPUTADO</v>
      </c>
      <c r="K5110" s="12">
        <f>tItens[[#This Row],[Qtd]]*tItens[[#This Row],[Vlr unit]]</f>
        <v>2483</v>
      </c>
      <c r="L5110" s="6">
        <f>IFERROR(IF(INDEX(tProdutos[Desconto homologado],MATCH(tItens[[#This Row],[Produto]],tProdutos[Produto],0))="",DescontoPadrao,INDEX(tProdutos[Desconto homologado],MATCH(tItens[[#This Row],[Produto]],tProdutos[Produto],0))),DescontoPadrao)</f>
        <v>0.24332656063896899</v>
      </c>
      <c r="M5110" s="12">
        <f>tItens[[#This Row],[Valor]]*(1-tItens[[#This Row],[Desconto]])</f>
        <v>1878.82014993344</v>
      </c>
      <c r="N5110" t="str">
        <f>IFERROR(INDEX(tProdutos[Foco],MATCH(tItens[[#This Row],[Produto]],tProdutos[Produto],0)),"Não")</f>
        <v>Não</v>
      </c>
      <c r="O5110" t="str">
        <f>IFERROR(INDEX(tEditais[SRP],MATCH(tItens[[#This Row],[Edital]],tEditais[Edital],0)),"Não")</f>
        <v>Não</v>
      </c>
      <c r="P5110" s="4">
        <f>IF(COUNTIFS(INDEX(tItens[Edital],1):tItens[[#This Row],[Edital]],tItens[[#This Row],[Edital]],INDEX(tItens[Produto],1):tItens[[#This Row],[Produto]],tItens[[#This Row],[Produto]])=1,1,0)</f>
        <v>1</v>
      </c>
    </row>
    <row r="5111" spans="1:16" x14ac:dyDescent="0.25">
      <c r="A5111" t="s">
        <v>1987</v>
      </c>
      <c r="B5111">
        <v>179</v>
      </c>
      <c r="C5111" t="s">
        <v>7911</v>
      </c>
      <c r="D5111" t="s">
        <v>461</v>
      </c>
      <c r="E5111" s="13">
        <v>80</v>
      </c>
      <c r="F5111" s="12">
        <v>92.29</v>
      </c>
      <c r="G5111" t="str">
        <f>IFERROR(INDEX(tEditais[Órgão],MATCH(tItens[[#This Row],[Edital]],tEditais[Edital],0)),"")</f>
        <v>MUNICIPIO DE VERA CRUZ DO OESTE</v>
      </c>
      <c r="H5111" t="str">
        <f>IFERROR(INDEX(tEditais[UF],MATCH(tItens[[#This Row],[Edital]],tEditais[Edital],0)),"")</f>
        <v>PR</v>
      </c>
      <c r="I5111" s="11">
        <f>IFERROR(INDEX(tEditais[Encerramento],MATCH(tItens[[#This Row],[Edital]],tEditais[Edital],0)),"")</f>
        <v>46304.375</v>
      </c>
      <c r="J5111" t="str">
        <f>IFERROR(INDEX(tProdutos[Classe],MATCH(tItens[[#This Row],[Produto]],tProdutos[Produto],0)),"produto não cadastrado")</f>
        <v>FILA REBASE</v>
      </c>
      <c r="K5111" s="12">
        <f>tItens[[#This Row],[Qtd]]*tItens[[#This Row],[Vlr unit]]</f>
        <v>7383.2000000000007</v>
      </c>
      <c r="L5111" s="6">
        <f>IFERROR(IF(INDEX(tProdutos[Desconto homologado],MATCH(tItens[[#This Row],[Produto]],tProdutos[Produto],0))="",DescontoPadrao,INDEX(tProdutos[Desconto homologado],MATCH(tItens[[#This Row],[Produto]],tProdutos[Produto],0))),DescontoPadrao)</f>
        <v>0.44096385542168698</v>
      </c>
      <c r="M5111" s="12">
        <f>tItens[[#This Row],[Valor]]*(1-tItens[[#This Row],[Desconto]])</f>
        <v>4127.4756626506005</v>
      </c>
      <c r="N5111" t="str">
        <f>IFERROR(INDEX(tProdutos[Foco],MATCH(tItens[[#This Row],[Produto]],tProdutos[Produto],0)),"Não")</f>
        <v>Não</v>
      </c>
      <c r="O5111" t="str">
        <f>IFERROR(INDEX(tEditais[SRP],MATCH(tItens[[#This Row],[Edital]],tEditais[Edital],0)),"Não")</f>
        <v>Não</v>
      </c>
      <c r="P5111" s="4">
        <f>IF(COUNTIFS(INDEX(tItens[Edital],1):tItens[[#This Row],[Edital]],tItens[[#This Row],[Edital]],INDEX(tItens[Produto],1):tItens[[#This Row],[Produto]],tItens[[#This Row],[Produto]])=1,1,0)</f>
        <v>1</v>
      </c>
    </row>
    <row r="5112" spans="1:16" x14ac:dyDescent="0.25">
      <c r="A5112" t="s">
        <v>1987</v>
      </c>
      <c r="B5112">
        <v>183</v>
      </c>
      <c r="C5112" t="s">
        <v>6629</v>
      </c>
      <c r="D5112" t="s">
        <v>313</v>
      </c>
      <c r="E5112" s="13">
        <v>100</v>
      </c>
      <c r="F5112" s="12">
        <v>60.91</v>
      </c>
      <c r="G5112" t="str">
        <f>IFERROR(INDEX(tEditais[Órgão],MATCH(tItens[[#This Row],[Edital]],tEditais[Edital],0)),"")</f>
        <v>MUNICIPIO DE VERA CRUZ DO OESTE</v>
      </c>
      <c r="H5112" t="str">
        <f>IFERROR(INDEX(tEditais[UF],MATCH(tItens[[#This Row],[Edital]],tEditais[Edital],0)),"")</f>
        <v>PR</v>
      </c>
      <c r="I5112" s="11">
        <f>IFERROR(INDEX(tEditais[Encerramento],MATCH(tItens[[#This Row],[Edital]],tEditais[Edital],0)),"")</f>
        <v>46304.375</v>
      </c>
      <c r="J5112" t="str">
        <f>IFERROR(INDEX(tProdutos[Classe],MATCH(tItens[[#This Row],[Produto]],tProdutos[Produto],0)),"produto não cadastrado")</f>
        <v>FORA</v>
      </c>
      <c r="K5112" s="12">
        <f>tItens[[#This Row],[Qtd]]*tItens[[#This Row],[Vlr unit]]</f>
        <v>6091</v>
      </c>
      <c r="L5112" s="6">
        <f>IFERROR(IF(INDEX(tProdutos[Desconto homologado],MATCH(tItens[[#This Row],[Produto]],tProdutos[Produto],0))="",DescontoPadrao,INDEX(tProdutos[Desconto homologado],MATCH(tItens[[#This Row],[Produto]],tProdutos[Produto],0))),DescontoPadrao)</f>
        <v>0.35766373163696302</v>
      </c>
      <c r="M5112" s="12">
        <f>tItens[[#This Row],[Valor]]*(1-tItens[[#This Row],[Desconto]])</f>
        <v>3912.4702105992578</v>
      </c>
      <c r="N5112" t="str">
        <f>IFERROR(INDEX(tProdutos[Foco],MATCH(tItens[[#This Row],[Produto]],tProdutos[Produto],0)),"Não")</f>
        <v>Não</v>
      </c>
      <c r="O5112" t="str">
        <f>IFERROR(INDEX(tEditais[SRP],MATCH(tItens[[#This Row],[Edital]],tEditais[Edital],0)),"Não")</f>
        <v>Não</v>
      </c>
      <c r="P5112" s="4">
        <f>IF(COUNTIFS(INDEX(tItens[Edital],1):tItens[[#This Row],[Edital]],tItens[[#This Row],[Edital]],INDEX(tItens[Produto],1):tItens[[#This Row],[Produto]],tItens[[#This Row],[Produto]])=1,1,0)</f>
        <v>0</v>
      </c>
    </row>
    <row r="5113" spans="1:16" x14ac:dyDescent="0.25">
      <c r="A5113" t="s">
        <v>1992</v>
      </c>
      <c r="B5113">
        <v>5</v>
      </c>
      <c r="C5113" t="s">
        <v>7912</v>
      </c>
      <c r="D5113" t="s">
        <v>315</v>
      </c>
      <c r="E5113" s="13">
        <v>100</v>
      </c>
      <c r="F5113" s="12">
        <v>23.56</v>
      </c>
      <c r="G5113" t="str">
        <f>IFERROR(INDEX(tEditais[Órgão],MATCH(tItens[[#This Row],[Edital]],tEditais[Edital],0)),"")</f>
        <v>AUTARQUIA MUNICIPAL DE SAUDE DE RIO BOM - AMS - RB</v>
      </c>
      <c r="H5113" t="str">
        <f>IFERROR(INDEX(tEditais[UF],MATCH(tItens[[#This Row],[Edital]],tEditais[Edital],0)),"")</f>
        <v>PR</v>
      </c>
      <c r="I5113" s="11">
        <f>IFERROR(INDEX(tEditais[Encerramento],MATCH(tItens[[#This Row],[Edital]],tEditais[Edital],0)),"")</f>
        <v>46308.333333333336</v>
      </c>
      <c r="J5113" t="str">
        <f>IFERROR(INDEX(tProdutos[Classe],MATCH(tItens[[#This Row],[Produto]],tProdutos[Produto],0)),"produto não cadastrado")</f>
        <v>FORA</v>
      </c>
      <c r="K5113" s="12">
        <f>tItens[[#This Row],[Qtd]]*tItens[[#This Row],[Vlr unit]]</f>
        <v>2356</v>
      </c>
      <c r="L5113" s="6">
        <f>IFERROR(IF(INDEX(tProdutos[Desconto homologado],MATCH(tItens[[#This Row],[Produto]],tProdutos[Produto],0))="",DescontoPadrao,INDEX(tProdutos[Desconto homologado],MATCH(tItens[[#This Row],[Produto]],tProdutos[Produto],0))),DescontoPadrao)</f>
        <v>0.38432036097010702</v>
      </c>
      <c r="M5113" s="12">
        <f>tItens[[#This Row],[Valor]]*(1-tItens[[#This Row],[Desconto]])</f>
        <v>1450.5412295544279</v>
      </c>
      <c r="N5113" t="str">
        <f>IFERROR(INDEX(tProdutos[Foco],MATCH(tItens[[#This Row],[Produto]],tProdutos[Produto],0)),"Não")</f>
        <v>Não</v>
      </c>
      <c r="O5113" t="str">
        <f>IFERROR(INDEX(tEditais[SRP],MATCH(tItens[[#This Row],[Edital]],tEditais[Edital],0)),"Não")</f>
        <v>Sim</v>
      </c>
      <c r="P5113" s="4">
        <f>IF(COUNTIFS(INDEX(tItens[Edital],1):tItens[[#This Row],[Edital]],tItens[[#This Row],[Edital]],INDEX(tItens[Produto],1):tItens[[#This Row],[Produto]],tItens[[#This Row],[Produto]])=1,1,0)</f>
        <v>1</v>
      </c>
    </row>
    <row r="5114" spans="1:16" x14ac:dyDescent="0.25">
      <c r="A5114" t="s">
        <v>1992</v>
      </c>
      <c r="B5114">
        <v>6</v>
      </c>
      <c r="C5114" t="s">
        <v>7913</v>
      </c>
      <c r="D5114" t="s">
        <v>315</v>
      </c>
      <c r="E5114" s="13">
        <v>80</v>
      </c>
      <c r="F5114" s="12">
        <v>24.05</v>
      </c>
      <c r="G5114" t="str">
        <f>IFERROR(INDEX(tEditais[Órgão],MATCH(tItens[[#This Row],[Edital]],tEditais[Edital],0)),"")</f>
        <v>AUTARQUIA MUNICIPAL DE SAUDE DE RIO BOM - AMS - RB</v>
      </c>
      <c r="H5114" t="str">
        <f>IFERROR(INDEX(tEditais[UF],MATCH(tItens[[#This Row],[Edital]],tEditais[Edital],0)),"")</f>
        <v>PR</v>
      </c>
      <c r="I5114" s="11">
        <f>IFERROR(INDEX(tEditais[Encerramento],MATCH(tItens[[#This Row],[Edital]],tEditais[Edital],0)),"")</f>
        <v>46308.333333333336</v>
      </c>
      <c r="J5114" t="str">
        <f>IFERROR(INDEX(tProdutos[Classe],MATCH(tItens[[#This Row],[Produto]],tProdutos[Produto],0)),"produto não cadastrado")</f>
        <v>FORA</v>
      </c>
      <c r="K5114" s="12">
        <f>tItens[[#This Row],[Qtd]]*tItens[[#This Row],[Vlr unit]]</f>
        <v>1924</v>
      </c>
      <c r="L5114" s="6">
        <f>IFERROR(IF(INDEX(tProdutos[Desconto homologado],MATCH(tItens[[#This Row],[Produto]],tProdutos[Produto],0))="",DescontoPadrao,INDEX(tProdutos[Desconto homologado],MATCH(tItens[[#This Row],[Produto]],tProdutos[Produto],0))),DescontoPadrao)</f>
        <v>0.38432036097010702</v>
      </c>
      <c r="M5114" s="12">
        <f>tItens[[#This Row],[Valor]]*(1-tItens[[#This Row],[Desconto]])</f>
        <v>1184.567625493514</v>
      </c>
      <c r="N5114" t="str">
        <f>IFERROR(INDEX(tProdutos[Foco],MATCH(tItens[[#This Row],[Produto]],tProdutos[Produto],0)),"Não")</f>
        <v>Não</v>
      </c>
      <c r="O5114" t="str">
        <f>IFERROR(INDEX(tEditais[SRP],MATCH(tItens[[#This Row],[Edital]],tEditais[Edital],0)),"Não")</f>
        <v>Sim</v>
      </c>
      <c r="P5114" s="4">
        <f>IF(COUNTIFS(INDEX(tItens[Edital],1):tItens[[#This Row],[Edital]],tItens[[#This Row],[Edital]],INDEX(tItens[Produto],1):tItens[[#This Row],[Produto]],tItens[[#This Row],[Produto]])=1,1,0)</f>
        <v>0</v>
      </c>
    </row>
    <row r="5115" spans="1:16" x14ac:dyDescent="0.25">
      <c r="A5115" t="s">
        <v>1992</v>
      </c>
      <c r="B5115">
        <v>7</v>
      </c>
      <c r="C5115" t="s">
        <v>7914</v>
      </c>
      <c r="D5115" t="s">
        <v>315</v>
      </c>
      <c r="E5115" s="13">
        <v>80</v>
      </c>
      <c r="F5115" s="12">
        <v>23.57</v>
      </c>
      <c r="G5115" t="str">
        <f>IFERROR(INDEX(tEditais[Órgão],MATCH(tItens[[#This Row],[Edital]],tEditais[Edital],0)),"")</f>
        <v>AUTARQUIA MUNICIPAL DE SAUDE DE RIO BOM - AMS - RB</v>
      </c>
      <c r="H5115" t="str">
        <f>IFERROR(INDEX(tEditais[UF],MATCH(tItens[[#This Row],[Edital]],tEditais[Edital],0)),"")</f>
        <v>PR</v>
      </c>
      <c r="I5115" s="11">
        <f>IFERROR(INDEX(tEditais[Encerramento],MATCH(tItens[[#This Row],[Edital]],tEditais[Edital],0)),"")</f>
        <v>46308.333333333336</v>
      </c>
      <c r="J5115" t="str">
        <f>IFERROR(INDEX(tProdutos[Classe],MATCH(tItens[[#This Row],[Produto]],tProdutos[Produto],0)),"produto não cadastrado")</f>
        <v>FORA</v>
      </c>
      <c r="K5115" s="12">
        <f>tItens[[#This Row],[Qtd]]*tItens[[#This Row],[Vlr unit]]</f>
        <v>1885.6</v>
      </c>
      <c r="L5115" s="6">
        <f>IFERROR(IF(INDEX(tProdutos[Desconto homologado],MATCH(tItens[[#This Row],[Produto]],tProdutos[Produto],0))="",DescontoPadrao,INDEX(tProdutos[Desconto homologado],MATCH(tItens[[#This Row],[Produto]],tProdutos[Produto],0))),DescontoPadrao)</f>
        <v>0.38432036097010702</v>
      </c>
      <c r="M5115" s="12">
        <f>tItens[[#This Row],[Valor]]*(1-tItens[[#This Row],[Desconto]])</f>
        <v>1160.9255273547662</v>
      </c>
      <c r="N5115" t="str">
        <f>IFERROR(INDEX(tProdutos[Foco],MATCH(tItens[[#This Row],[Produto]],tProdutos[Produto],0)),"Não")</f>
        <v>Não</v>
      </c>
      <c r="O5115" t="str">
        <f>IFERROR(INDEX(tEditais[SRP],MATCH(tItens[[#This Row],[Edital]],tEditais[Edital],0)),"Não")</f>
        <v>Sim</v>
      </c>
      <c r="P5115" s="4">
        <f>IF(COUNTIFS(INDEX(tItens[Edital],1):tItens[[#This Row],[Edital]],tItens[[#This Row],[Edital]],INDEX(tItens[Produto],1):tItens[[#This Row],[Produto]],tItens[[#This Row],[Produto]])=1,1,0)</f>
        <v>0</v>
      </c>
    </row>
    <row r="5116" spans="1:16" x14ac:dyDescent="0.25">
      <c r="A5116" t="s">
        <v>1992</v>
      </c>
      <c r="B5116">
        <v>8</v>
      </c>
      <c r="C5116" t="s">
        <v>7915</v>
      </c>
      <c r="D5116" t="s">
        <v>297</v>
      </c>
      <c r="E5116" s="13">
        <v>150</v>
      </c>
      <c r="F5116" s="12">
        <v>17.850000000000001</v>
      </c>
      <c r="G5116" t="str">
        <f>IFERROR(INDEX(tEditais[Órgão],MATCH(tItens[[#This Row],[Edital]],tEditais[Edital],0)),"")</f>
        <v>AUTARQUIA MUNICIPAL DE SAUDE DE RIO BOM - AMS - RB</v>
      </c>
      <c r="H5116" t="str">
        <f>IFERROR(INDEX(tEditais[UF],MATCH(tItens[[#This Row],[Edital]],tEditais[Edital],0)),"")</f>
        <v>PR</v>
      </c>
      <c r="I5116" s="11">
        <f>IFERROR(INDEX(tEditais[Encerramento],MATCH(tItens[[#This Row],[Edital]],tEditais[Edital],0)),"")</f>
        <v>46308.333333333336</v>
      </c>
      <c r="J5116" t="str">
        <f>IFERROR(INDEX(tProdutos[Classe],MATCH(tItens[[#This Row],[Produto]],tProdutos[Produto],0)),"produto não cadastrado")</f>
        <v>FORA</v>
      </c>
      <c r="K5116" s="12">
        <f>tItens[[#This Row],[Qtd]]*tItens[[#This Row],[Vlr unit]]</f>
        <v>2677.5</v>
      </c>
      <c r="L5116" s="6">
        <f>IFERROR(IF(INDEX(tProdutos[Desconto homologado],MATCH(tItens[[#This Row],[Produto]],tProdutos[Produto],0))="",DescontoPadrao,INDEX(tProdutos[Desconto homologado],MATCH(tItens[[#This Row],[Produto]],tProdutos[Produto],0))),DescontoPadrao)</f>
        <v>0.249544626593807</v>
      </c>
      <c r="M5116" s="12">
        <f>tItens[[#This Row],[Valor]]*(1-tItens[[#This Row],[Desconto]])</f>
        <v>2009.3442622950815</v>
      </c>
      <c r="N5116" t="str">
        <f>IFERROR(INDEX(tProdutos[Foco],MATCH(tItens[[#This Row],[Produto]],tProdutos[Produto],0)),"Não")</f>
        <v>Não</v>
      </c>
      <c r="O5116" t="str">
        <f>IFERROR(INDEX(tEditais[SRP],MATCH(tItens[[#This Row],[Edital]],tEditais[Edital],0)),"Não")</f>
        <v>Sim</v>
      </c>
      <c r="P5116" s="4">
        <f>IF(COUNTIFS(INDEX(tItens[Edital],1):tItens[[#This Row],[Edital]],tItens[[#This Row],[Edital]],INDEX(tItens[Produto],1):tItens[[#This Row],[Produto]],tItens[[#This Row],[Produto]])=1,1,0)</f>
        <v>1</v>
      </c>
    </row>
    <row r="5117" spans="1:16" x14ac:dyDescent="0.25">
      <c r="A5117" t="s">
        <v>1992</v>
      </c>
      <c r="B5117">
        <v>9</v>
      </c>
      <c r="C5117" t="s">
        <v>7916</v>
      </c>
      <c r="D5117" t="s">
        <v>315</v>
      </c>
      <c r="E5117" s="13">
        <v>150</v>
      </c>
      <c r="F5117" s="12">
        <v>17.5</v>
      </c>
      <c r="G5117" t="str">
        <f>IFERROR(INDEX(tEditais[Órgão],MATCH(tItens[[#This Row],[Edital]],tEditais[Edital],0)),"")</f>
        <v>AUTARQUIA MUNICIPAL DE SAUDE DE RIO BOM - AMS - RB</v>
      </c>
      <c r="H5117" t="str">
        <f>IFERROR(INDEX(tEditais[UF],MATCH(tItens[[#This Row],[Edital]],tEditais[Edital],0)),"")</f>
        <v>PR</v>
      </c>
      <c r="I5117" s="11">
        <f>IFERROR(INDEX(tEditais[Encerramento],MATCH(tItens[[#This Row],[Edital]],tEditais[Edital],0)),"")</f>
        <v>46308.333333333336</v>
      </c>
      <c r="J5117" t="str">
        <f>IFERROR(INDEX(tProdutos[Classe],MATCH(tItens[[#This Row],[Produto]],tProdutos[Produto],0)),"produto não cadastrado")</f>
        <v>FORA</v>
      </c>
      <c r="K5117" s="12">
        <f>tItens[[#This Row],[Qtd]]*tItens[[#This Row],[Vlr unit]]</f>
        <v>2625</v>
      </c>
      <c r="L5117" s="6">
        <f>IFERROR(IF(INDEX(tProdutos[Desconto homologado],MATCH(tItens[[#This Row],[Produto]],tProdutos[Produto],0))="",DescontoPadrao,INDEX(tProdutos[Desconto homologado],MATCH(tItens[[#This Row],[Produto]],tProdutos[Produto],0))),DescontoPadrao)</f>
        <v>0.38432036097010702</v>
      </c>
      <c r="M5117" s="12">
        <f>tItens[[#This Row],[Valor]]*(1-tItens[[#This Row],[Desconto]])</f>
        <v>1616.159052453469</v>
      </c>
      <c r="N5117" t="str">
        <f>IFERROR(INDEX(tProdutos[Foco],MATCH(tItens[[#This Row],[Produto]],tProdutos[Produto],0)),"Não")</f>
        <v>Não</v>
      </c>
      <c r="O5117" t="str">
        <f>IFERROR(INDEX(tEditais[SRP],MATCH(tItens[[#This Row],[Edital]],tEditais[Edital],0)),"Não")</f>
        <v>Sim</v>
      </c>
      <c r="P5117" s="4">
        <f>IF(COUNTIFS(INDEX(tItens[Edital],1):tItens[[#This Row],[Edital]],tItens[[#This Row],[Edital]],INDEX(tItens[Produto],1):tItens[[#This Row],[Produto]],tItens[[#This Row],[Produto]])=1,1,0)</f>
        <v>0</v>
      </c>
    </row>
    <row r="5118" spans="1:16" x14ac:dyDescent="0.25">
      <c r="A5118" t="s">
        <v>1992</v>
      </c>
      <c r="B5118">
        <v>10</v>
      </c>
      <c r="C5118" t="s">
        <v>7917</v>
      </c>
      <c r="D5118" t="s">
        <v>297</v>
      </c>
      <c r="E5118" s="13">
        <v>60</v>
      </c>
      <c r="F5118" s="12">
        <v>18.649999999999999</v>
      </c>
      <c r="G5118" t="str">
        <f>IFERROR(INDEX(tEditais[Órgão],MATCH(tItens[[#This Row],[Edital]],tEditais[Edital],0)),"")</f>
        <v>AUTARQUIA MUNICIPAL DE SAUDE DE RIO BOM - AMS - RB</v>
      </c>
      <c r="H5118" t="str">
        <f>IFERROR(INDEX(tEditais[UF],MATCH(tItens[[#This Row],[Edital]],tEditais[Edital],0)),"")</f>
        <v>PR</v>
      </c>
      <c r="I5118" s="11">
        <f>IFERROR(INDEX(tEditais[Encerramento],MATCH(tItens[[#This Row],[Edital]],tEditais[Edital],0)),"")</f>
        <v>46308.333333333336</v>
      </c>
      <c r="J5118" t="str">
        <f>IFERROR(INDEX(tProdutos[Classe],MATCH(tItens[[#This Row],[Produto]],tProdutos[Produto],0)),"produto não cadastrado")</f>
        <v>FORA</v>
      </c>
      <c r="K5118" s="12">
        <f>tItens[[#This Row],[Qtd]]*tItens[[#This Row],[Vlr unit]]</f>
        <v>1119</v>
      </c>
      <c r="L5118" s="6">
        <f>IFERROR(IF(INDEX(tProdutos[Desconto homologado],MATCH(tItens[[#This Row],[Produto]],tProdutos[Produto],0))="",DescontoPadrao,INDEX(tProdutos[Desconto homologado],MATCH(tItens[[#This Row],[Produto]],tProdutos[Produto],0))),DescontoPadrao)</f>
        <v>0.249544626593807</v>
      </c>
      <c r="M5118" s="12">
        <f>tItens[[#This Row],[Valor]]*(1-tItens[[#This Row],[Desconto]])</f>
        <v>839.75956284152994</v>
      </c>
      <c r="N5118" t="str">
        <f>IFERROR(INDEX(tProdutos[Foco],MATCH(tItens[[#This Row],[Produto]],tProdutos[Produto],0)),"Não")</f>
        <v>Não</v>
      </c>
      <c r="O5118" t="str">
        <f>IFERROR(INDEX(tEditais[SRP],MATCH(tItens[[#This Row],[Edital]],tEditais[Edital],0)),"Não")</f>
        <v>Sim</v>
      </c>
      <c r="P5118" s="4">
        <f>IF(COUNTIFS(INDEX(tItens[Edital],1):tItens[[#This Row],[Edital]],tItens[[#This Row],[Edital]],INDEX(tItens[Produto],1):tItens[[#This Row],[Produto]],tItens[[#This Row],[Produto]])=1,1,0)</f>
        <v>0</v>
      </c>
    </row>
    <row r="5119" spans="1:16" x14ac:dyDescent="0.25">
      <c r="A5119" t="s">
        <v>1992</v>
      </c>
      <c r="B5119">
        <v>11</v>
      </c>
      <c r="C5119" t="s">
        <v>7918</v>
      </c>
      <c r="D5119" t="s">
        <v>315</v>
      </c>
      <c r="E5119" s="13">
        <v>150</v>
      </c>
      <c r="F5119" s="12">
        <v>18.52</v>
      </c>
      <c r="G5119" t="str">
        <f>IFERROR(INDEX(tEditais[Órgão],MATCH(tItens[[#This Row],[Edital]],tEditais[Edital],0)),"")</f>
        <v>AUTARQUIA MUNICIPAL DE SAUDE DE RIO BOM - AMS - RB</v>
      </c>
      <c r="H5119" t="str">
        <f>IFERROR(INDEX(tEditais[UF],MATCH(tItens[[#This Row],[Edital]],tEditais[Edital],0)),"")</f>
        <v>PR</v>
      </c>
      <c r="I5119" s="11">
        <f>IFERROR(INDEX(tEditais[Encerramento],MATCH(tItens[[#This Row],[Edital]],tEditais[Edital],0)),"")</f>
        <v>46308.333333333336</v>
      </c>
      <c r="J5119" t="str">
        <f>IFERROR(INDEX(tProdutos[Classe],MATCH(tItens[[#This Row],[Produto]],tProdutos[Produto],0)),"produto não cadastrado")</f>
        <v>FORA</v>
      </c>
      <c r="K5119" s="12">
        <f>tItens[[#This Row],[Qtd]]*tItens[[#This Row],[Vlr unit]]</f>
        <v>2778</v>
      </c>
      <c r="L5119" s="6">
        <f>IFERROR(IF(INDEX(tProdutos[Desconto homologado],MATCH(tItens[[#This Row],[Produto]],tProdutos[Produto],0))="",DescontoPadrao,INDEX(tProdutos[Desconto homologado],MATCH(tItens[[#This Row],[Produto]],tProdutos[Produto],0))),DescontoPadrao)</f>
        <v>0.38432036097010702</v>
      </c>
      <c r="M5119" s="12">
        <f>tItens[[#This Row],[Valor]]*(1-tItens[[#This Row],[Desconto]])</f>
        <v>1710.3580372250426</v>
      </c>
      <c r="N5119" t="str">
        <f>IFERROR(INDEX(tProdutos[Foco],MATCH(tItens[[#This Row],[Produto]],tProdutos[Produto],0)),"Não")</f>
        <v>Não</v>
      </c>
      <c r="O5119" t="str">
        <f>IFERROR(INDEX(tEditais[SRP],MATCH(tItens[[#This Row],[Edital]],tEditais[Edital],0)),"Não")</f>
        <v>Sim</v>
      </c>
      <c r="P5119" s="4">
        <f>IF(COUNTIFS(INDEX(tItens[Edital],1):tItens[[#This Row],[Edital]],tItens[[#This Row],[Edital]],INDEX(tItens[Produto],1):tItens[[#This Row],[Produto]],tItens[[#This Row],[Produto]])=1,1,0)</f>
        <v>0</v>
      </c>
    </row>
    <row r="5120" spans="1:16" x14ac:dyDescent="0.25">
      <c r="A5120" t="s">
        <v>1992</v>
      </c>
      <c r="B5120">
        <v>12</v>
      </c>
      <c r="C5120" t="s">
        <v>7919</v>
      </c>
      <c r="D5120" t="s">
        <v>315</v>
      </c>
      <c r="E5120" s="13">
        <v>300</v>
      </c>
      <c r="F5120" s="12">
        <v>18.309999999999999</v>
      </c>
      <c r="G5120" t="str">
        <f>IFERROR(INDEX(tEditais[Órgão],MATCH(tItens[[#This Row],[Edital]],tEditais[Edital],0)),"")</f>
        <v>AUTARQUIA MUNICIPAL DE SAUDE DE RIO BOM - AMS - RB</v>
      </c>
      <c r="H5120" t="str">
        <f>IFERROR(INDEX(tEditais[UF],MATCH(tItens[[#This Row],[Edital]],tEditais[Edital],0)),"")</f>
        <v>PR</v>
      </c>
      <c r="I5120" s="11">
        <f>IFERROR(INDEX(tEditais[Encerramento],MATCH(tItens[[#This Row],[Edital]],tEditais[Edital],0)),"")</f>
        <v>46308.333333333336</v>
      </c>
      <c r="J5120" t="str">
        <f>IFERROR(INDEX(tProdutos[Classe],MATCH(tItens[[#This Row],[Produto]],tProdutos[Produto],0)),"produto não cadastrado")</f>
        <v>FORA</v>
      </c>
      <c r="K5120" s="12">
        <f>tItens[[#This Row],[Qtd]]*tItens[[#This Row],[Vlr unit]]</f>
        <v>5493</v>
      </c>
      <c r="L5120" s="6">
        <f>IFERROR(IF(INDEX(tProdutos[Desconto homologado],MATCH(tItens[[#This Row],[Produto]],tProdutos[Produto],0))="",DescontoPadrao,INDEX(tProdutos[Desconto homologado],MATCH(tItens[[#This Row],[Produto]],tProdutos[Produto],0))),DescontoPadrao)</f>
        <v>0.38432036097010702</v>
      </c>
      <c r="M5120" s="12">
        <f>tItens[[#This Row],[Valor]]*(1-tItens[[#This Row],[Desconto]])</f>
        <v>3381.9282571912022</v>
      </c>
      <c r="N5120" t="str">
        <f>IFERROR(INDEX(tProdutos[Foco],MATCH(tItens[[#This Row],[Produto]],tProdutos[Produto],0)),"Não")</f>
        <v>Não</v>
      </c>
      <c r="O5120" t="str">
        <f>IFERROR(INDEX(tEditais[SRP],MATCH(tItens[[#This Row],[Edital]],tEditais[Edital],0)),"Não")</f>
        <v>Sim</v>
      </c>
      <c r="P5120" s="4">
        <f>IF(COUNTIFS(INDEX(tItens[Edital],1):tItens[[#This Row],[Edital]],tItens[[#This Row],[Edital]],INDEX(tItens[Produto],1):tItens[[#This Row],[Produto]],tItens[[#This Row],[Produto]])=1,1,0)</f>
        <v>0</v>
      </c>
    </row>
    <row r="5121" spans="1:16" x14ac:dyDescent="0.25">
      <c r="A5121" t="s">
        <v>1992</v>
      </c>
      <c r="B5121">
        <v>30</v>
      </c>
      <c r="C5121" t="s">
        <v>7920</v>
      </c>
      <c r="D5121" t="s">
        <v>421</v>
      </c>
      <c r="E5121" s="13">
        <v>10</v>
      </c>
      <c r="F5121" s="12">
        <v>32.950000000000003</v>
      </c>
      <c r="G5121" t="str">
        <f>IFERROR(INDEX(tEditais[Órgão],MATCH(tItens[[#This Row],[Edital]],tEditais[Edital],0)),"")</f>
        <v>AUTARQUIA MUNICIPAL DE SAUDE DE RIO BOM - AMS - RB</v>
      </c>
      <c r="H5121" t="str">
        <f>IFERROR(INDEX(tEditais[UF],MATCH(tItens[[#This Row],[Edital]],tEditais[Edital],0)),"")</f>
        <v>PR</v>
      </c>
      <c r="I5121" s="11">
        <f>IFERROR(INDEX(tEditais[Encerramento],MATCH(tItens[[#This Row],[Edital]],tEditais[Edital],0)),"")</f>
        <v>46308.333333333336</v>
      </c>
      <c r="J5121" t="str">
        <f>IFERROR(INDEX(tProdutos[Classe],MATCH(tItens[[#This Row],[Produto]],tProdutos[Produto],0)),"produto não cadastrado")</f>
        <v>FORA</v>
      </c>
      <c r="K5121" s="12">
        <f>tItens[[#This Row],[Qtd]]*tItens[[#This Row],[Vlr unit]]</f>
        <v>329.5</v>
      </c>
      <c r="L5121" s="6">
        <f>IFERROR(IF(INDEX(tProdutos[Desconto homologado],MATCH(tItens[[#This Row],[Produto]],tProdutos[Produto],0))="",DescontoPadrao,INDEX(tProdutos[Desconto homologado],MATCH(tItens[[#This Row],[Produto]],tProdutos[Produto],0))),DescontoPadrao)</f>
        <v>0.43</v>
      </c>
      <c r="M5121" s="12">
        <f>tItens[[#This Row],[Valor]]*(1-tItens[[#This Row],[Desconto]])</f>
        <v>187.81500000000003</v>
      </c>
      <c r="N5121" t="str">
        <f>IFERROR(INDEX(tProdutos[Foco],MATCH(tItens[[#This Row],[Produto]],tProdutos[Produto],0)),"Não")</f>
        <v>Sim</v>
      </c>
      <c r="O5121" t="str">
        <f>IFERROR(INDEX(tEditais[SRP],MATCH(tItens[[#This Row],[Edital]],tEditais[Edital],0)),"Não")</f>
        <v>Sim</v>
      </c>
      <c r="P5121" s="4">
        <f>IF(COUNTIFS(INDEX(tItens[Edital],1):tItens[[#This Row],[Edital]],tItens[[#This Row],[Edital]],INDEX(tItens[Produto],1):tItens[[#This Row],[Produto]],tItens[[#This Row],[Produto]])=1,1,0)</f>
        <v>1</v>
      </c>
    </row>
    <row r="5122" spans="1:16" x14ac:dyDescent="0.25">
      <c r="A5122" t="s">
        <v>1992</v>
      </c>
      <c r="B5122">
        <v>31</v>
      </c>
      <c r="C5122" t="s">
        <v>7921</v>
      </c>
      <c r="D5122" t="s">
        <v>423</v>
      </c>
      <c r="E5122" s="13">
        <v>20</v>
      </c>
      <c r="F5122" s="12">
        <v>31.74</v>
      </c>
      <c r="G5122" t="str">
        <f>IFERROR(INDEX(tEditais[Órgão],MATCH(tItens[[#This Row],[Edital]],tEditais[Edital],0)),"")</f>
        <v>AUTARQUIA MUNICIPAL DE SAUDE DE RIO BOM - AMS - RB</v>
      </c>
      <c r="H5122" t="str">
        <f>IFERROR(INDEX(tEditais[UF],MATCH(tItens[[#This Row],[Edital]],tEditais[Edital],0)),"")</f>
        <v>PR</v>
      </c>
      <c r="I5122" s="11">
        <f>IFERROR(INDEX(tEditais[Encerramento],MATCH(tItens[[#This Row],[Edital]],tEditais[Edital],0)),"")</f>
        <v>46308.333333333336</v>
      </c>
      <c r="J5122" t="str">
        <f>IFERROR(INDEX(tProdutos[Classe],MATCH(tItens[[#This Row],[Produto]],tProdutos[Produto],0)),"produto não cadastrado")</f>
        <v>FORA</v>
      </c>
      <c r="K5122" s="12">
        <f>tItens[[#This Row],[Qtd]]*tItens[[#This Row],[Vlr unit]]</f>
        <v>634.79999999999995</v>
      </c>
      <c r="L5122" s="6">
        <f>IFERROR(IF(INDEX(tProdutos[Desconto homologado],MATCH(tItens[[#This Row],[Produto]],tProdutos[Produto],0))="",DescontoPadrao,INDEX(tProdutos[Desconto homologado],MATCH(tItens[[#This Row],[Produto]],tProdutos[Produto],0))),DescontoPadrao)</f>
        <v>0.38271604938271597</v>
      </c>
      <c r="M5122" s="12">
        <f>tItens[[#This Row],[Valor]]*(1-tItens[[#This Row],[Desconto]])</f>
        <v>391.85185185185185</v>
      </c>
      <c r="N5122" t="str">
        <f>IFERROR(INDEX(tProdutos[Foco],MATCH(tItens[[#This Row],[Produto]],tProdutos[Produto],0)),"Não")</f>
        <v>Não</v>
      </c>
      <c r="O5122" t="str">
        <f>IFERROR(INDEX(tEditais[SRP],MATCH(tItens[[#This Row],[Edital]],tEditais[Edital],0)),"Não")</f>
        <v>Sim</v>
      </c>
      <c r="P5122" s="4">
        <f>IF(COUNTIFS(INDEX(tItens[Edital],1):tItens[[#This Row],[Edital]],tItens[[#This Row],[Edital]],INDEX(tItens[Produto],1):tItens[[#This Row],[Produto]],tItens[[#This Row],[Produto]])=1,1,0)</f>
        <v>1</v>
      </c>
    </row>
    <row r="5123" spans="1:16" x14ac:dyDescent="0.25">
      <c r="A5123" t="s">
        <v>1992</v>
      </c>
      <c r="B5123">
        <v>44</v>
      </c>
      <c r="C5123" t="s">
        <v>7922</v>
      </c>
      <c r="D5123" t="s">
        <v>73</v>
      </c>
      <c r="E5123" s="13">
        <v>500</v>
      </c>
      <c r="F5123" s="12">
        <v>1.95</v>
      </c>
      <c r="G5123" t="str">
        <f>IFERROR(INDEX(tEditais[Órgão],MATCH(tItens[[#This Row],[Edital]],tEditais[Edital],0)),"")</f>
        <v>AUTARQUIA MUNICIPAL DE SAUDE DE RIO BOM - AMS - RB</v>
      </c>
      <c r="H5123" t="str">
        <f>IFERROR(INDEX(tEditais[UF],MATCH(tItens[[#This Row],[Edital]],tEditais[Edital],0)),"")</f>
        <v>PR</v>
      </c>
      <c r="I5123" s="11">
        <f>IFERROR(INDEX(tEditais[Encerramento],MATCH(tItens[[#This Row],[Edital]],tEditais[Edital],0)),"")</f>
        <v>46308.333333333336</v>
      </c>
      <c r="J5123" t="str">
        <f>IFERROR(INDEX(tProdutos[Classe],MATCH(tItens[[#This Row],[Produto]],tProdutos[Produto],0)),"produto não cadastrado")</f>
        <v>NÚCLEO</v>
      </c>
      <c r="K5123" s="12">
        <f>tItens[[#This Row],[Qtd]]*tItens[[#This Row],[Vlr unit]]</f>
        <v>975</v>
      </c>
      <c r="L5123" s="6">
        <f>IFERROR(IF(INDEX(tProdutos[Desconto homologado],MATCH(tItens[[#This Row],[Produto]],tProdutos[Produto],0))="",DescontoPadrao,INDEX(tProdutos[Desconto homologado],MATCH(tItens[[#This Row],[Produto]],tProdutos[Produto],0))),DescontoPadrao)</f>
        <v>0.37</v>
      </c>
      <c r="M5123" s="12">
        <f>tItens[[#This Row],[Valor]]*(1-tItens[[#This Row],[Desconto]])</f>
        <v>614.25</v>
      </c>
      <c r="N5123" t="str">
        <f>IFERROR(INDEX(tProdutos[Foco],MATCH(tItens[[#This Row],[Produto]],tProdutos[Produto],0)),"Não")</f>
        <v>Sim</v>
      </c>
      <c r="O5123" t="str">
        <f>IFERROR(INDEX(tEditais[SRP],MATCH(tItens[[#This Row],[Edital]],tEditais[Edital],0)),"Não")</f>
        <v>Sim</v>
      </c>
      <c r="P5123" s="4">
        <f>IF(COUNTIFS(INDEX(tItens[Edital],1):tItens[[#This Row],[Edital]],tItens[[#This Row],[Edital]],INDEX(tItens[Produto],1):tItens[[#This Row],[Produto]],tItens[[#This Row],[Produto]])=1,1,0)</f>
        <v>1</v>
      </c>
    </row>
    <row r="5124" spans="1:16" x14ac:dyDescent="0.25">
      <c r="A5124" t="s">
        <v>1992</v>
      </c>
      <c r="B5124">
        <v>57</v>
      </c>
      <c r="C5124" t="s">
        <v>7923</v>
      </c>
      <c r="D5124" t="s">
        <v>193</v>
      </c>
      <c r="E5124" s="13">
        <v>100</v>
      </c>
      <c r="F5124" s="12">
        <v>19.940000000000001</v>
      </c>
      <c r="G5124" t="str">
        <f>IFERROR(INDEX(tEditais[Órgão],MATCH(tItens[[#This Row],[Edital]],tEditais[Edital],0)),"")</f>
        <v>AUTARQUIA MUNICIPAL DE SAUDE DE RIO BOM - AMS - RB</v>
      </c>
      <c r="H5124" t="str">
        <f>IFERROR(INDEX(tEditais[UF],MATCH(tItens[[#This Row],[Edital]],tEditais[Edital],0)),"")</f>
        <v>PR</v>
      </c>
      <c r="I5124" s="11">
        <f>IFERROR(INDEX(tEditais[Encerramento],MATCH(tItens[[#This Row],[Edital]],tEditais[Edital],0)),"")</f>
        <v>46308.333333333336</v>
      </c>
      <c r="J5124" t="str">
        <f>IFERROR(INDEX(tProdutos[Classe],MATCH(tItens[[#This Row],[Produto]],tProdutos[Produto],0)),"produto não cadastrado")</f>
        <v>DISPUTADO</v>
      </c>
      <c r="K5124" s="12">
        <f>tItens[[#This Row],[Qtd]]*tItens[[#This Row],[Vlr unit]]</f>
        <v>1994.0000000000002</v>
      </c>
      <c r="L5124" s="6">
        <f>IFERROR(IF(INDEX(tProdutos[Desconto homologado],MATCH(tItens[[#This Row],[Produto]],tProdutos[Produto],0))="",DescontoPadrao,INDEX(tProdutos[Desconto homologado],MATCH(tItens[[#This Row],[Produto]],tProdutos[Produto],0))),DescontoPadrao)</f>
        <v>0.293849658314351</v>
      </c>
      <c r="M5124" s="12">
        <f>tItens[[#This Row],[Valor]]*(1-tItens[[#This Row],[Desconto]])</f>
        <v>1408.0637813211843</v>
      </c>
      <c r="N5124" t="str">
        <f>IFERROR(INDEX(tProdutos[Foco],MATCH(tItens[[#This Row],[Produto]],tProdutos[Produto],0)),"Não")</f>
        <v>Não</v>
      </c>
      <c r="O5124" t="str">
        <f>IFERROR(INDEX(tEditais[SRP],MATCH(tItens[[#This Row],[Edital]],tEditais[Edital],0)),"Não")</f>
        <v>Sim</v>
      </c>
      <c r="P5124" s="4">
        <f>IF(COUNTIFS(INDEX(tItens[Edital],1):tItens[[#This Row],[Edital]],tItens[[#This Row],[Edital]],INDEX(tItens[Produto],1):tItens[[#This Row],[Produto]],tItens[[#This Row],[Produto]])=1,1,0)</f>
        <v>1</v>
      </c>
    </row>
    <row r="5125" spans="1:16" x14ac:dyDescent="0.25">
      <c r="A5125" t="s">
        <v>1992</v>
      </c>
      <c r="B5125">
        <v>58</v>
      </c>
      <c r="C5125" t="s">
        <v>7924</v>
      </c>
      <c r="D5125" t="s">
        <v>193</v>
      </c>
      <c r="E5125" s="13">
        <v>60</v>
      </c>
      <c r="F5125" s="12">
        <v>19.14</v>
      </c>
      <c r="G5125" t="str">
        <f>IFERROR(INDEX(tEditais[Órgão],MATCH(tItens[[#This Row],[Edital]],tEditais[Edital],0)),"")</f>
        <v>AUTARQUIA MUNICIPAL DE SAUDE DE RIO BOM - AMS - RB</v>
      </c>
      <c r="H5125" t="str">
        <f>IFERROR(INDEX(tEditais[UF],MATCH(tItens[[#This Row],[Edital]],tEditais[Edital],0)),"")</f>
        <v>PR</v>
      </c>
      <c r="I5125" s="11">
        <f>IFERROR(INDEX(tEditais[Encerramento],MATCH(tItens[[#This Row],[Edital]],tEditais[Edital],0)),"")</f>
        <v>46308.333333333336</v>
      </c>
      <c r="J5125" t="str">
        <f>IFERROR(INDEX(tProdutos[Classe],MATCH(tItens[[#This Row],[Produto]],tProdutos[Produto],0)),"produto não cadastrado")</f>
        <v>DISPUTADO</v>
      </c>
      <c r="K5125" s="12">
        <f>tItens[[#This Row],[Qtd]]*tItens[[#This Row],[Vlr unit]]</f>
        <v>1148.4000000000001</v>
      </c>
      <c r="L5125" s="6">
        <f>IFERROR(IF(INDEX(tProdutos[Desconto homologado],MATCH(tItens[[#This Row],[Produto]],tProdutos[Produto],0))="",DescontoPadrao,INDEX(tProdutos[Desconto homologado],MATCH(tItens[[#This Row],[Produto]],tProdutos[Produto],0))),DescontoPadrao)</f>
        <v>0.293849658314351</v>
      </c>
      <c r="M5125" s="12">
        <f>tItens[[#This Row],[Valor]]*(1-tItens[[#This Row],[Desconto]])</f>
        <v>810.94305239179926</v>
      </c>
      <c r="N5125" t="str">
        <f>IFERROR(INDEX(tProdutos[Foco],MATCH(tItens[[#This Row],[Produto]],tProdutos[Produto],0)),"Não")</f>
        <v>Não</v>
      </c>
      <c r="O5125" t="str">
        <f>IFERROR(INDEX(tEditais[SRP],MATCH(tItens[[#This Row],[Edital]],tEditais[Edital],0)),"Não")</f>
        <v>Sim</v>
      </c>
      <c r="P5125" s="4">
        <f>IF(COUNTIFS(INDEX(tItens[Edital],1):tItens[[#This Row],[Edital]],tItens[[#This Row],[Edital]],INDEX(tItens[Produto],1):tItens[[#This Row],[Produto]],tItens[[#This Row],[Produto]])=1,1,0)</f>
        <v>0</v>
      </c>
    </row>
    <row r="5126" spans="1:16" x14ac:dyDescent="0.25">
      <c r="A5126" t="s">
        <v>1992</v>
      </c>
      <c r="B5126">
        <v>64</v>
      </c>
      <c r="C5126" t="s">
        <v>7925</v>
      </c>
      <c r="D5126" t="s">
        <v>279</v>
      </c>
      <c r="E5126" s="13">
        <v>30</v>
      </c>
      <c r="F5126" s="12">
        <v>2.42</v>
      </c>
      <c r="G5126" t="str">
        <f>IFERROR(INDEX(tEditais[Órgão],MATCH(tItens[[#This Row],[Edital]],tEditais[Edital],0)),"")</f>
        <v>AUTARQUIA MUNICIPAL DE SAUDE DE RIO BOM - AMS - RB</v>
      </c>
      <c r="H5126" t="str">
        <f>IFERROR(INDEX(tEditais[UF],MATCH(tItens[[#This Row],[Edital]],tEditais[Edital],0)),"")</f>
        <v>PR</v>
      </c>
      <c r="I5126" s="11">
        <f>IFERROR(INDEX(tEditais[Encerramento],MATCH(tItens[[#This Row],[Edital]],tEditais[Edital],0)),"")</f>
        <v>46308.333333333336</v>
      </c>
      <c r="J5126" t="str">
        <f>IFERROR(INDEX(tProdutos[Classe],MATCH(tItens[[#This Row],[Produto]],tProdutos[Produto],0)),"produto não cadastrado")</f>
        <v>FORA</v>
      </c>
      <c r="K5126" s="12">
        <f>tItens[[#This Row],[Qtd]]*tItens[[#This Row],[Vlr unit]]</f>
        <v>72.599999999999994</v>
      </c>
      <c r="L5126" s="6">
        <f>IFERROR(IF(INDEX(tProdutos[Desconto homologado],MATCH(tItens[[#This Row],[Produto]],tProdutos[Produto],0))="",DescontoPadrao,INDEX(tProdutos[Desconto homologado],MATCH(tItens[[#This Row],[Produto]],tProdutos[Produto],0))),DescontoPadrao)</f>
        <v>0.28909090909090901</v>
      </c>
      <c r="M5126" s="12">
        <f>tItens[[#This Row],[Valor]]*(1-tItens[[#This Row],[Desconto]])</f>
        <v>51.611999999999995</v>
      </c>
      <c r="N5126" t="str">
        <f>IFERROR(INDEX(tProdutos[Foco],MATCH(tItens[[#This Row],[Produto]],tProdutos[Produto],0)),"Não")</f>
        <v>Não</v>
      </c>
      <c r="O5126" t="str">
        <f>IFERROR(INDEX(tEditais[SRP],MATCH(tItens[[#This Row],[Edital]],tEditais[Edital],0)),"Não")</f>
        <v>Sim</v>
      </c>
      <c r="P5126" s="4">
        <f>IF(COUNTIFS(INDEX(tItens[Edital],1):tItens[[#This Row],[Edital]],tItens[[#This Row],[Edital]],INDEX(tItens[Produto],1):tItens[[#This Row],[Produto]],tItens[[#This Row],[Produto]])=1,1,0)</f>
        <v>1</v>
      </c>
    </row>
    <row r="5127" spans="1:16" x14ac:dyDescent="0.25">
      <c r="A5127" t="s">
        <v>1992</v>
      </c>
      <c r="B5127">
        <v>65</v>
      </c>
      <c r="C5127" t="s">
        <v>7926</v>
      </c>
      <c r="D5127" t="s">
        <v>279</v>
      </c>
      <c r="E5127" s="13">
        <v>150</v>
      </c>
      <c r="F5127" s="12">
        <v>9.85</v>
      </c>
      <c r="G5127" t="str">
        <f>IFERROR(INDEX(tEditais[Órgão],MATCH(tItens[[#This Row],[Edital]],tEditais[Edital],0)),"")</f>
        <v>AUTARQUIA MUNICIPAL DE SAUDE DE RIO BOM - AMS - RB</v>
      </c>
      <c r="H5127" t="str">
        <f>IFERROR(INDEX(tEditais[UF],MATCH(tItens[[#This Row],[Edital]],tEditais[Edital],0)),"")</f>
        <v>PR</v>
      </c>
      <c r="I5127" s="11">
        <f>IFERROR(INDEX(tEditais[Encerramento],MATCH(tItens[[#This Row],[Edital]],tEditais[Edital],0)),"")</f>
        <v>46308.333333333336</v>
      </c>
      <c r="J5127" t="str">
        <f>IFERROR(INDEX(tProdutos[Classe],MATCH(tItens[[#This Row],[Produto]],tProdutos[Produto],0)),"produto não cadastrado")</f>
        <v>FORA</v>
      </c>
      <c r="K5127" s="12">
        <f>tItens[[#This Row],[Qtd]]*tItens[[#This Row],[Vlr unit]]</f>
        <v>1477.5</v>
      </c>
      <c r="L5127" s="6">
        <f>IFERROR(IF(INDEX(tProdutos[Desconto homologado],MATCH(tItens[[#This Row],[Produto]],tProdutos[Produto],0))="",DescontoPadrao,INDEX(tProdutos[Desconto homologado],MATCH(tItens[[#This Row],[Produto]],tProdutos[Produto],0))),DescontoPadrao)</f>
        <v>0.28909090909090901</v>
      </c>
      <c r="M5127" s="12">
        <f>tItens[[#This Row],[Valor]]*(1-tItens[[#This Row],[Desconto]])</f>
        <v>1050.3681818181819</v>
      </c>
      <c r="N5127" t="str">
        <f>IFERROR(INDEX(tProdutos[Foco],MATCH(tItens[[#This Row],[Produto]],tProdutos[Produto],0)),"Não")</f>
        <v>Não</v>
      </c>
      <c r="O5127" t="str">
        <f>IFERROR(INDEX(tEditais[SRP],MATCH(tItens[[#This Row],[Edital]],tEditais[Edital],0)),"Não")</f>
        <v>Sim</v>
      </c>
      <c r="P5127" s="4">
        <f>IF(COUNTIFS(INDEX(tItens[Edital],1):tItens[[#This Row],[Edital]],tItens[[#This Row],[Edital]],INDEX(tItens[Produto],1):tItens[[#This Row],[Produto]],tItens[[#This Row],[Produto]])=1,1,0)</f>
        <v>0</v>
      </c>
    </row>
    <row r="5128" spans="1:16" x14ac:dyDescent="0.25">
      <c r="A5128" t="s">
        <v>1992</v>
      </c>
      <c r="B5128">
        <v>66</v>
      </c>
      <c r="C5128" t="s">
        <v>7927</v>
      </c>
      <c r="D5128" t="s">
        <v>279</v>
      </c>
      <c r="E5128" s="13">
        <v>10</v>
      </c>
      <c r="F5128" s="12">
        <v>51.75</v>
      </c>
      <c r="G5128" t="str">
        <f>IFERROR(INDEX(tEditais[Órgão],MATCH(tItens[[#This Row],[Edital]],tEditais[Edital],0)),"")</f>
        <v>AUTARQUIA MUNICIPAL DE SAUDE DE RIO BOM - AMS - RB</v>
      </c>
      <c r="H5128" t="str">
        <f>IFERROR(INDEX(tEditais[UF],MATCH(tItens[[#This Row],[Edital]],tEditais[Edital],0)),"")</f>
        <v>PR</v>
      </c>
      <c r="I5128" s="11">
        <f>IFERROR(INDEX(tEditais[Encerramento],MATCH(tItens[[#This Row],[Edital]],tEditais[Edital],0)),"")</f>
        <v>46308.333333333336</v>
      </c>
      <c r="J5128" t="str">
        <f>IFERROR(INDEX(tProdutos[Classe],MATCH(tItens[[#This Row],[Produto]],tProdutos[Produto],0)),"produto não cadastrado")</f>
        <v>FORA</v>
      </c>
      <c r="K5128" s="12">
        <f>tItens[[#This Row],[Qtd]]*tItens[[#This Row],[Vlr unit]]</f>
        <v>517.5</v>
      </c>
      <c r="L5128" s="6">
        <f>IFERROR(IF(INDEX(tProdutos[Desconto homologado],MATCH(tItens[[#This Row],[Produto]],tProdutos[Produto],0))="",DescontoPadrao,INDEX(tProdutos[Desconto homologado],MATCH(tItens[[#This Row],[Produto]],tProdutos[Produto],0))),DescontoPadrao)</f>
        <v>0.28909090909090901</v>
      </c>
      <c r="M5128" s="12">
        <f>tItens[[#This Row],[Valor]]*(1-tItens[[#This Row],[Desconto]])</f>
        <v>367.89545454545458</v>
      </c>
      <c r="N5128" t="str">
        <f>IFERROR(INDEX(tProdutos[Foco],MATCH(tItens[[#This Row],[Produto]],tProdutos[Produto],0)),"Não")</f>
        <v>Não</v>
      </c>
      <c r="O5128" t="str">
        <f>IFERROR(INDEX(tEditais[SRP],MATCH(tItens[[#This Row],[Edital]],tEditais[Edital],0)),"Não")</f>
        <v>Sim</v>
      </c>
      <c r="P5128" s="4">
        <f>IF(COUNTIFS(INDEX(tItens[Edital],1):tItens[[#This Row],[Edital]],tItens[[#This Row],[Edital]],INDEX(tItens[Produto],1):tItens[[#This Row],[Produto]],tItens[[#This Row],[Produto]])=1,1,0)</f>
        <v>0</v>
      </c>
    </row>
    <row r="5129" spans="1:16" x14ac:dyDescent="0.25">
      <c r="A5129" t="s">
        <v>1992</v>
      </c>
      <c r="B5129">
        <v>67</v>
      </c>
      <c r="C5129" t="s">
        <v>7928</v>
      </c>
      <c r="D5129" t="s">
        <v>279</v>
      </c>
      <c r="E5129" s="13">
        <v>20</v>
      </c>
      <c r="F5129" s="12">
        <v>33.229999999999997</v>
      </c>
      <c r="G5129" t="str">
        <f>IFERROR(INDEX(tEditais[Órgão],MATCH(tItens[[#This Row],[Edital]],tEditais[Edital],0)),"")</f>
        <v>AUTARQUIA MUNICIPAL DE SAUDE DE RIO BOM - AMS - RB</v>
      </c>
      <c r="H5129" t="str">
        <f>IFERROR(INDEX(tEditais[UF],MATCH(tItens[[#This Row],[Edital]],tEditais[Edital],0)),"")</f>
        <v>PR</v>
      </c>
      <c r="I5129" s="11">
        <f>IFERROR(INDEX(tEditais[Encerramento],MATCH(tItens[[#This Row],[Edital]],tEditais[Edital],0)),"")</f>
        <v>46308.333333333336</v>
      </c>
      <c r="J5129" t="str">
        <f>IFERROR(INDEX(tProdutos[Classe],MATCH(tItens[[#This Row],[Produto]],tProdutos[Produto],0)),"produto não cadastrado")</f>
        <v>FORA</v>
      </c>
      <c r="K5129" s="12">
        <f>tItens[[#This Row],[Qtd]]*tItens[[#This Row],[Vlr unit]]</f>
        <v>664.59999999999991</v>
      </c>
      <c r="L5129" s="6">
        <f>IFERROR(IF(INDEX(tProdutos[Desconto homologado],MATCH(tItens[[#This Row],[Produto]],tProdutos[Produto],0))="",DescontoPadrao,INDEX(tProdutos[Desconto homologado],MATCH(tItens[[#This Row],[Produto]],tProdutos[Produto],0))),DescontoPadrao)</f>
        <v>0.28909090909090901</v>
      </c>
      <c r="M5129" s="12">
        <f>tItens[[#This Row],[Valor]]*(1-tItens[[#This Row],[Desconto]])</f>
        <v>472.47018181818174</v>
      </c>
      <c r="N5129" t="str">
        <f>IFERROR(INDEX(tProdutos[Foco],MATCH(tItens[[#This Row],[Produto]],tProdutos[Produto],0)),"Não")</f>
        <v>Não</v>
      </c>
      <c r="O5129" t="str">
        <f>IFERROR(INDEX(tEditais[SRP],MATCH(tItens[[#This Row],[Edital]],tEditais[Edital],0)),"Não")</f>
        <v>Sim</v>
      </c>
      <c r="P5129" s="4">
        <f>IF(COUNTIFS(INDEX(tItens[Edital],1):tItens[[#This Row],[Edital]],tItens[[#This Row],[Edital]],INDEX(tItens[Produto],1):tItens[[#This Row],[Produto]],tItens[[#This Row],[Produto]])=1,1,0)</f>
        <v>0</v>
      </c>
    </row>
    <row r="5130" spans="1:16" x14ac:dyDescent="0.25">
      <c r="A5130" t="s">
        <v>1992</v>
      </c>
      <c r="B5130">
        <v>68</v>
      </c>
      <c r="C5130" t="s">
        <v>7929</v>
      </c>
      <c r="D5130" t="s">
        <v>279</v>
      </c>
      <c r="E5130" s="13">
        <v>100</v>
      </c>
      <c r="F5130" s="12">
        <v>14.26</v>
      </c>
      <c r="G5130" t="str">
        <f>IFERROR(INDEX(tEditais[Órgão],MATCH(tItens[[#This Row],[Edital]],tEditais[Edital],0)),"")</f>
        <v>AUTARQUIA MUNICIPAL DE SAUDE DE RIO BOM - AMS - RB</v>
      </c>
      <c r="H5130" t="str">
        <f>IFERROR(INDEX(tEditais[UF],MATCH(tItens[[#This Row],[Edital]],tEditais[Edital],0)),"")</f>
        <v>PR</v>
      </c>
      <c r="I5130" s="11">
        <f>IFERROR(INDEX(tEditais[Encerramento],MATCH(tItens[[#This Row],[Edital]],tEditais[Edital],0)),"")</f>
        <v>46308.333333333336</v>
      </c>
      <c r="J5130" t="str">
        <f>IFERROR(INDEX(tProdutos[Classe],MATCH(tItens[[#This Row],[Produto]],tProdutos[Produto],0)),"produto não cadastrado")</f>
        <v>FORA</v>
      </c>
      <c r="K5130" s="12">
        <f>tItens[[#This Row],[Qtd]]*tItens[[#This Row],[Vlr unit]]</f>
        <v>1426</v>
      </c>
      <c r="L5130" s="6">
        <f>IFERROR(IF(INDEX(tProdutos[Desconto homologado],MATCH(tItens[[#This Row],[Produto]],tProdutos[Produto],0))="",DescontoPadrao,INDEX(tProdutos[Desconto homologado],MATCH(tItens[[#This Row],[Produto]],tProdutos[Produto],0))),DescontoPadrao)</f>
        <v>0.28909090909090901</v>
      </c>
      <c r="M5130" s="12">
        <f>tItens[[#This Row],[Valor]]*(1-tItens[[#This Row],[Desconto]])</f>
        <v>1013.7563636363636</v>
      </c>
      <c r="N5130" t="str">
        <f>IFERROR(INDEX(tProdutos[Foco],MATCH(tItens[[#This Row],[Produto]],tProdutos[Produto],0)),"Não")</f>
        <v>Não</v>
      </c>
      <c r="O5130" t="str">
        <f>IFERROR(INDEX(tEditais[SRP],MATCH(tItens[[#This Row],[Edital]],tEditais[Edital],0)),"Não")</f>
        <v>Sim</v>
      </c>
      <c r="P5130" s="4">
        <f>IF(COUNTIFS(INDEX(tItens[Edital],1):tItens[[#This Row],[Edital]],tItens[[#This Row],[Edital]],INDEX(tItens[Produto],1):tItens[[#This Row],[Produto]],tItens[[#This Row],[Produto]])=1,1,0)</f>
        <v>0</v>
      </c>
    </row>
    <row r="5131" spans="1:16" x14ac:dyDescent="0.25">
      <c r="A5131" t="s">
        <v>1992</v>
      </c>
      <c r="B5131">
        <v>77</v>
      </c>
      <c r="C5131" t="s">
        <v>7930</v>
      </c>
      <c r="D5131" t="s">
        <v>299</v>
      </c>
      <c r="E5131" s="13">
        <v>100</v>
      </c>
      <c r="F5131" s="12">
        <v>29.85</v>
      </c>
      <c r="G5131" t="str">
        <f>IFERROR(INDEX(tEditais[Órgão],MATCH(tItens[[#This Row],[Edital]],tEditais[Edital],0)),"")</f>
        <v>AUTARQUIA MUNICIPAL DE SAUDE DE RIO BOM - AMS - RB</v>
      </c>
      <c r="H5131" t="str">
        <f>IFERROR(INDEX(tEditais[UF],MATCH(tItens[[#This Row],[Edital]],tEditais[Edital],0)),"")</f>
        <v>PR</v>
      </c>
      <c r="I5131" s="11">
        <f>IFERROR(INDEX(tEditais[Encerramento],MATCH(tItens[[#This Row],[Edital]],tEditais[Edital],0)),"")</f>
        <v>46308.333333333336</v>
      </c>
      <c r="J5131" t="str">
        <f>IFERROR(INDEX(tProdutos[Classe],MATCH(tItens[[#This Row],[Produto]],tProdutos[Produto],0)),"produto não cadastrado")</f>
        <v>FORA</v>
      </c>
      <c r="K5131" s="12">
        <f>tItens[[#This Row],[Qtd]]*tItens[[#This Row],[Vlr unit]]</f>
        <v>2985</v>
      </c>
      <c r="L5131" s="6">
        <f>IFERROR(IF(INDEX(tProdutos[Desconto homologado],MATCH(tItens[[#This Row],[Produto]],tProdutos[Produto],0))="",DescontoPadrao,INDEX(tProdutos[Desconto homologado],MATCH(tItens[[#This Row],[Produto]],tProdutos[Produto],0))),DescontoPadrao)</f>
        <v>0.42211465163381601</v>
      </c>
      <c r="M5131" s="12">
        <f>tItens[[#This Row],[Valor]]*(1-tItens[[#This Row],[Desconto]])</f>
        <v>1724.9877648730592</v>
      </c>
      <c r="N5131" t="str">
        <f>IFERROR(INDEX(tProdutos[Foco],MATCH(tItens[[#This Row],[Produto]],tProdutos[Produto],0)),"Não")</f>
        <v>Não</v>
      </c>
      <c r="O5131" t="str">
        <f>IFERROR(INDEX(tEditais[SRP],MATCH(tItens[[#This Row],[Edital]],tEditais[Edital],0)),"Não")</f>
        <v>Sim</v>
      </c>
      <c r="P5131" s="4">
        <f>IF(COUNTIFS(INDEX(tItens[Edital],1):tItens[[#This Row],[Edital]],tItens[[#This Row],[Edital]],INDEX(tItens[Produto],1):tItens[[#This Row],[Produto]],tItens[[#This Row],[Produto]])=1,1,0)</f>
        <v>1</v>
      </c>
    </row>
    <row r="5132" spans="1:16" x14ac:dyDescent="0.25">
      <c r="A5132" t="s">
        <v>1992</v>
      </c>
      <c r="B5132">
        <v>78</v>
      </c>
      <c r="C5132" t="s">
        <v>7931</v>
      </c>
      <c r="D5132" t="s">
        <v>333</v>
      </c>
      <c r="E5132" s="13">
        <v>500</v>
      </c>
      <c r="F5132" s="12">
        <v>36.39</v>
      </c>
      <c r="G5132" t="str">
        <f>IFERROR(INDEX(tEditais[Órgão],MATCH(tItens[[#This Row],[Edital]],tEditais[Edital],0)),"")</f>
        <v>AUTARQUIA MUNICIPAL DE SAUDE DE RIO BOM - AMS - RB</v>
      </c>
      <c r="H5132" t="str">
        <f>IFERROR(INDEX(tEditais[UF],MATCH(tItens[[#This Row],[Edital]],tEditais[Edital],0)),"")</f>
        <v>PR</v>
      </c>
      <c r="I5132" s="11">
        <f>IFERROR(INDEX(tEditais[Encerramento],MATCH(tItens[[#This Row],[Edital]],tEditais[Edital],0)),"")</f>
        <v>46308.333333333336</v>
      </c>
      <c r="J5132" t="str">
        <f>IFERROR(INDEX(tProdutos[Classe],MATCH(tItens[[#This Row],[Produto]],tProdutos[Produto],0)),"produto não cadastrado")</f>
        <v>FORA</v>
      </c>
      <c r="K5132" s="12">
        <f>tItens[[#This Row],[Qtd]]*tItens[[#This Row],[Vlr unit]]</f>
        <v>18195</v>
      </c>
      <c r="L5132" s="6">
        <f>IFERROR(IF(INDEX(tProdutos[Desconto homologado],MATCH(tItens[[#This Row],[Produto]],tProdutos[Produto],0))="",DescontoPadrao,INDEX(tProdutos[Desconto homologado],MATCH(tItens[[#This Row],[Produto]],tProdutos[Produto],0))),DescontoPadrao)</f>
        <v>0.48951048951048998</v>
      </c>
      <c r="M5132" s="12">
        <f>tItens[[#This Row],[Valor]]*(1-tItens[[#This Row],[Desconto]])</f>
        <v>9288.3566433566339</v>
      </c>
      <c r="N5132" t="str">
        <f>IFERROR(INDEX(tProdutos[Foco],MATCH(tItens[[#This Row],[Produto]],tProdutos[Produto],0)),"Não")</f>
        <v>Não</v>
      </c>
      <c r="O5132" t="str">
        <f>IFERROR(INDEX(tEditais[SRP],MATCH(tItens[[#This Row],[Edital]],tEditais[Edital],0)),"Não")</f>
        <v>Sim</v>
      </c>
      <c r="P5132" s="4">
        <f>IF(COUNTIFS(INDEX(tItens[Edital],1):tItens[[#This Row],[Edital]],tItens[[#This Row],[Edital]],INDEX(tItens[Produto],1):tItens[[#This Row],[Produto]],tItens[[#This Row],[Produto]])=1,1,0)</f>
        <v>1</v>
      </c>
    </row>
    <row r="5133" spans="1:16" x14ac:dyDescent="0.25">
      <c r="A5133" t="s">
        <v>1992</v>
      </c>
      <c r="B5133">
        <v>79</v>
      </c>
      <c r="C5133" t="s">
        <v>7932</v>
      </c>
      <c r="D5133" t="s">
        <v>333</v>
      </c>
      <c r="E5133" s="13">
        <v>5000</v>
      </c>
      <c r="F5133" s="12">
        <v>18.940000000000001</v>
      </c>
      <c r="G5133" t="str">
        <f>IFERROR(INDEX(tEditais[Órgão],MATCH(tItens[[#This Row],[Edital]],tEditais[Edital],0)),"")</f>
        <v>AUTARQUIA MUNICIPAL DE SAUDE DE RIO BOM - AMS - RB</v>
      </c>
      <c r="H5133" t="str">
        <f>IFERROR(INDEX(tEditais[UF],MATCH(tItens[[#This Row],[Edital]],tEditais[Edital],0)),"")</f>
        <v>PR</v>
      </c>
      <c r="I5133" s="11">
        <f>IFERROR(INDEX(tEditais[Encerramento],MATCH(tItens[[#This Row],[Edital]],tEditais[Edital],0)),"")</f>
        <v>46308.333333333336</v>
      </c>
      <c r="J5133" t="str">
        <f>IFERROR(INDEX(tProdutos[Classe],MATCH(tItens[[#This Row],[Produto]],tProdutos[Produto],0)),"produto não cadastrado")</f>
        <v>FORA</v>
      </c>
      <c r="K5133" s="12">
        <f>tItens[[#This Row],[Qtd]]*tItens[[#This Row],[Vlr unit]]</f>
        <v>94700</v>
      </c>
      <c r="L5133" s="6">
        <f>IFERROR(IF(INDEX(tProdutos[Desconto homologado],MATCH(tItens[[#This Row],[Produto]],tProdutos[Produto],0))="",DescontoPadrao,INDEX(tProdutos[Desconto homologado],MATCH(tItens[[#This Row],[Produto]],tProdutos[Produto],0))),DescontoPadrao)</f>
        <v>0.48951048951048998</v>
      </c>
      <c r="M5133" s="12">
        <f>tItens[[#This Row],[Valor]]*(1-tItens[[#This Row],[Desconto]])</f>
        <v>48343.356643356594</v>
      </c>
      <c r="N5133" t="str">
        <f>IFERROR(INDEX(tProdutos[Foco],MATCH(tItens[[#This Row],[Produto]],tProdutos[Produto],0)),"Não")</f>
        <v>Não</v>
      </c>
      <c r="O5133" t="str">
        <f>IFERROR(INDEX(tEditais[SRP],MATCH(tItens[[#This Row],[Edital]],tEditais[Edital],0)),"Não")</f>
        <v>Sim</v>
      </c>
      <c r="P5133" s="4">
        <f>IF(COUNTIFS(INDEX(tItens[Edital],1):tItens[[#This Row],[Edital]],tItens[[#This Row],[Edital]],INDEX(tItens[Produto],1):tItens[[#This Row],[Produto]],tItens[[#This Row],[Produto]])=1,1,0)</f>
        <v>0</v>
      </c>
    </row>
    <row r="5134" spans="1:16" x14ac:dyDescent="0.25">
      <c r="A5134" t="s">
        <v>1992</v>
      </c>
      <c r="B5134">
        <v>82</v>
      </c>
      <c r="C5134" t="s">
        <v>7933</v>
      </c>
      <c r="D5134" t="s">
        <v>90</v>
      </c>
      <c r="E5134" s="13">
        <v>700</v>
      </c>
      <c r="F5134" s="12">
        <v>17.920000000000002</v>
      </c>
      <c r="G5134" t="str">
        <f>IFERROR(INDEX(tEditais[Órgão],MATCH(tItens[[#This Row],[Edital]],tEditais[Edital],0)),"")</f>
        <v>AUTARQUIA MUNICIPAL DE SAUDE DE RIO BOM - AMS - RB</v>
      </c>
      <c r="H5134" t="str">
        <f>IFERROR(INDEX(tEditais[UF],MATCH(tItens[[#This Row],[Edital]],tEditais[Edital],0)),"")</f>
        <v>PR</v>
      </c>
      <c r="I5134" s="11">
        <f>IFERROR(INDEX(tEditais[Encerramento],MATCH(tItens[[#This Row],[Edital]],tEditais[Edital],0)),"")</f>
        <v>46308.333333333336</v>
      </c>
      <c r="J5134" t="str">
        <f>IFERROR(INDEX(tProdutos[Classe],MATCH(tItens[[#This Row],[Produto]],tProdutos[Produto],0)),"produto não cadastrado")</f>
        <v>DISPUTADO</v>
      </c>
      <c r="K5134" s="12">
        <f>tItens[[#This Row],[Qtd]]*tItens[[#This Row],[Vlr unit]]</f>
        <v>12544.000000000002</v>
      </c>
      <c r="L5134" s="6">
        <f>IFERROR(IF(INDEX(tProdutos[Desconto homologado],MATCH(tItens[[#This Row],[Produto]],tProdutos[Produto],0))="",DescontoPadrao,INDEX(tProdutos[Desconto homologado],MATCH(tItens[[#This Row],[Produto]],tProdutos[Produto],0))),DescontoPadrao)</f>
        <v>0.25393823957010597</v>
      </c>
      <c r="M5134" s="12">
        <f>tItens[[#This Row],[Valor]]*(1-tItens[[#This Row],[Desconto]])</f>
        <v>9358.5987228325921</v>
      </c>
      <c r="N5134" t="str">
        <f>IFERROR(INDEX(tProdutos[Foco],MATCH(tItens[[#This Row],[Produto]],tProdutos[Produto],0)),"Não")</f>
        <v>Não</v>
      </c>
      <c r="O5134" t="str">
        <f>IFERROR(INDEX(tEditais[SRP],MATCH(tItens[[#This Row],[Edital]],tEditais[Edital],0)),"Não")</f>
        <v>Sim</v>
      </c>
      <c r="P5134" s="4">
        <f>IF(COUNTIFS(INDEX(tItens[Edital],1):tItens[[#This Row],[Edital]],tItens[[#This Row],[Edital]],INDEX(tItens[Produto],1):tItens[[#This Row],[Produto]],tItens[[#This Row],[Produto]])=1,1,0)</f>
        <v>1</v>
      </c>
    </row>
    <row r="5135" spans="1:16" x14ac:dyDescent="0.25">
      <c r="A5135" t="s">
        <v>1992</v>
      </c>
      <c r="B5135">
        <v>83</v>
      </c>
      <c r="C5135" t="s">
        <v>7934</v>
      </c>
      <c r="D5135" t="s">
        <v>90</v>
      </c>
      <c r="E5135" s="13">
        <v>700</v>
      </c>
      <c r="F5135" s="12">
        <v>5.58</v>
      </c>
      <c r="G5135" t="str">
        <f>IFERROR(INDEX(tEditais[Órgão],MATCH(tItens[[#This Row],[Edital]],tEditais[Edital],0)),"")</f>
        <v>AUTARQUIA MUNICIPAL DE SAUDE DE RIO BOM - AMS - RB</v>
      </c>
      <c r="H5135" t="str">
        <f>IFERROR(INDEX(tEditais[UF],MATCH(tItens[[#This Row],[Edital]],tEditais[Edital],0)),"")</f>
        <v>PR</v>
      </c>
      <c r="I5135" s="11">
        <f>IFERROR(INDEX(tEditais[Encerramento],MATCH(tItens[[#This Row],[Edital]],tEditais[Edital],0)),"")</f>
        <v>46308.333333333336</v>
      </c>
      <c r="J5135" t="str">
        <f>IFERROR(INDEX(tProdutos[Classe],MATCH(tItens[[#This Row],[Produto]],tProdutos[Produto],0)),"produto não cadastrado")</f>
        <v>DISPUTADO</v>
      </c>
      <c r="K5135" s="12">
        <f>tItens[[#This Row],[Qtd]]*tItens[[#This Row],[Vlr unit]]</f>
        <v>3906</v>
      </c>
      <c r="L5135" s="6">
        <f>IFERROR(IF(INDEX(tProdutos[Desconto homologado],MATCH(tItens[[#This Row],[Produto]],tProdutos[Produto],0))="",DescontoPadrao,INDEX(tProdutos[Desconto homologado],MATCH(tItens[[#This Row],[Produto]],tProdutos[Produto],0))),DescontoPadrao)</f>
        <v>0.25393823957010597</v>
      </c>
      <c r="M5135" s="12">
        <f>tItens[[#This Row],[Valor]]*(1-tItens[[#This Row],[Desconto]])</f>
        <v>2914.1172362391662</v>
      </c>
      <c r="N5135" t="str">
        <f>IFERROR(INDEX(tProdutos[Foco],MATCH(tItens[[#This Row],[Produto]],tProdutos[Produto],0)),"Não")</f>
        <v>Não</v>
      </c>
      <c r="O5135" t="str">
        <f>IFERROR(INDEX(tEditais[SRP],MATCH(tItens[[#This Row],[Edital]],tEditais[Edital],0)),"Não")</f>
        <v>Sim</v>
      </c>
      <c r="P5135" s="4">
        <f>IF(COUNTIFS(INDEX(tItens[Edital],1):tItens[[#This Row],[Edital]],tItens[[#This Row],[Edital]],INDEX(tItens[Produto],1):tItens[[#This Row],[Produto]],tItens[[#This Row],[Produto]])=1,1,0)</f>
        <v>0</v>
      </c>
    </row>
    <row r="5136" spans="1:16" x14ac:dyDescent="0.25">
      <c r="A5136" t="s">
        <v>1992</v>
      </c>
      <c r="B5136">
        <v>84</v>
      </c>
      <c r="C5136" t="s">
        <v>7935</v>
      </c>
      <c r="D5136" t="s">
        <v>75</v>
      </c>
      <c r="E5136" s="13">
        <v>500</v>
      </c>
      <c r="F5136" s="12">
        <v>3.42</v>
      </c>
      <c r="G5136" t="str">
        <f>IFERROR(INDEX(tEditais[Órgão],MATCH(tItens[[#This Row],[Edital]],tEditais[Edital],0)),"")</f>
        <v>AUTARQUIA MUNICIPAL DE SAUDE DE RIO BOM - AMS - RB</v>
      </c>
      <c r="H5136" t="str">
        <f>IFERROR(INDEX(tEditais[UF],MATCH(tItens[[#This Row],[Edital]],tEditais[Edital],0)),"")</f>
        <v>PR</v>
      </c>
      <c r="I5136" s="11">
        <f>IFERROR(INDEX(tEditais[Encerramento],MATCH(tItens[[#This Row],[Edital]],tEditais[Edital],0)),"")</f>
        <v>46308.333333333336</v>
      </c>
      <c r="J5136" t="str">
        <f>IFERROR(INDEX(tProdutos[Classe],MATCH(tItens[[#This Row],[Produto]],tProdutos[Produto],0)),"produto não cadastrado")</f>
        <v>NÚCLEO</v>
      </c>
      <c r="K5136" s="12">
        <f>tItens[[#This Row],[Qtd]]*tItens[[#This Row],[Vlr unit]]</f>
        <v>1710</v>
      </c>
      <c r="L5136" s="6">
        <f>IFERROR(IF(INDEX(tProdutos[Desconto homologado],MATCH(tItens[[#This Row],[Produto]],tProdutos[Produto],0))="",DescontoPadrao,INDEX(tProdutos[Desconto homologado],MATCH(tItens[[#This Row],[Produto]],tProdutos[Produto],0))),DescontoPadrao)</f>
        <v>0.26</v>
      </c>
      <c r="M5136" s="12">
        <f>tItens[[#This Row],[Valor]]*(1-tItens[[#This Row],[Desconto]])</f>
        <v>1265.4000000000001</v>
      </c>
      <c r="N5136" t="str">
        <f>IFERROR(INDEX(tProdutos[Foco],MATCH(tItens[[#This Row],[Produto]],tProdutos[Produto],0)),"Não")</f>
        <v>Sim</v>
      </c>
      <c r="O5136" t="str">
        <f>IFERROR(INDEX(tEditais[SRP],MATCH(tItens[[#This Row],[Edital]],tEditais[Edital],0)),"Não")</f>
        <v>Sim</v>
      </c>
      <c r="P5136" s="4">
        <f>IF(COUNTIFS(INDEX(tItens[Edital],1):tItens[[#This Row],[Edital]],tItens[[#This Row],[Edital]],INDEX(tItens[Produto],1):tItens[[#This Row],[Produto]],tItens[[#This Row],[Produto]])=1,1,0)</f>
        <v>1</v>
      </c>
    </row>
    <row r="5137" spans="1:16" x14ac:dyDescent="0.25">
      <c r="A5137" t="s">
        <v>1992</v>
      </c>
      <c r="B5137">
        <v>85</v>
      </c>
      <c r="C5137" t="s">
        <v>7936</v>
      </c>
      <c r="D5137" t="s">
        <v>75</v>
      </c>
      <c r="E5137" s="13">
        <v>1000</v>
      </c>
      <c r="F5137" s="12">
        <v>5.96</v>
      </c>
      <c r="G5137" t="str">
        <f>IFERROR(INDEX(tEditais[Órgão],MATCH(tItens[[#This Row],[Edital]],tEditais[Edital],0)),"")</f>
        <v>AUTARQUIA MUNICIPAL DE SAUDE DE RIO BOM - AMS - RB</v>
      </c>
      <c r="H5137" t="str">
        <f>IFERROR(INDEX(tEditais[UF],MATCH(tItens[[#This Row],[Edital]],tEditais[Edital],0)),"")</f>
        <v>PR</v>
      </c>
      <c r="I5137" s="11">
        <f>IFERROR(INDEX(tEditais[Encerramento],MATCH(tItens[[#This Row],[Edital]],tEditais[Edital],0)),"")</f>
        <v>46308.333333333336</v>
      </c>
      <c r="J5137" t="str">
        <f>IFERROR(INDEX(tProdutos[Classe],MATCH(tItens[[#This Row],[Produto]],tProdutos[Produto],0)),"produto não cadastrado")</f>
        <v>NÚCLEO</v>
      </c>
      <c r="K5137" s="12">
        <f>tItens[[#This Row],[Qtd]]*tItens[[#This Row],[Vlr unit]]</f>
        <v>5960</v>
      </c>
      <c r="L5137" s="6">
        <f>IFERROR(IF(INDEX(tProdutos[Desconto homologado],MATCH(tItens[[#This Row],[Produto]],tProdutos[Produto],0))="",DescontoPadrao,INDEX(tProdutos[Desconto homologado],MATCH(tItens[[#This Row],[Produto]],tProdutos[Produto],0))),DescontoPadrao)</f>
        <v>0.26</v>
      </c>
      <c r="M5137" s="12">
        <f>tItens[[#This Row],[Valor]]*(1-tItens[[#This Row],[Desconto]])</f>
        <v>4410.3999999999996</v>
      </c>
      <c r="N5137" t="str">
        <f>IFERROR(INDEX(tProdutos[Foco],MATCH(tItens[[#This Row],[Produto]],tProdutos[Produto],0)),"Não")</f>
        <v>Sim</v>
      </c>
      <c r="O5137" t="str">
        <f>IFERROR(INDEX(tEditais[SRP],MATCH(tItens[[#This Row],[Edital]],tEditais[Edital],0)),"Não")</f>
        <v>Sim</v>
      </c>
      <c r="P5137" s="4">
        <f>IF(COUNTIFS(INDEX(tItens[Edital],1):tItens[[#This Row],[Edital]],tItens[[#This Row],[Edital]],INDEX(tItens[Produto],1):tItens[[#This Row],[Produto]],tItens[[#This Row],[Produto]])=1,1,0)</f>
        <v>0</v>
      </c>
    </row>
    <row r="5138" spans="1:16" x14ac:dyDescent="0.25">
      <c r="A5138" t="s">
        <v>1992</v>
      </c>
      <c r="B5138">
        <v>86</v>
      </c>
      <c r="C5138" t="s">
        <v>7937</v>
      </c>
      <c r="D5138" t="s">
        <v>75</v>
      </c>
      <c r="E5138" s="13">
        <v>700</v>
      </c>
      <c r="F5138" s="12">
        <v>3.04</v>
      </c>
      <c r="G5138" t="str">
        <f>IFERROR(INDEX(tEditais[Órgão],MATCH(tItens[[#This Row],[Edital]],tEditais[Edital],0)),"")</f>
        <v>AUTARQUIA MUNICIPAL DE SAUDE DE RIO BOM - AMS - RB</v>
      </c>
      <c r="H5138" t="str">
        <f>IFERROR(INDEX(tEditais[UF],MATCH(tItens[[#This Row],[Edital]],tEditais[Edital],0)),"")</f>
        <v>PR</v>
      </c>
      <c r="I5138" s="11">
        <f>IFERROR(INDEX(tEditais[Encerramento],MATCH(tItens[[#This Row],[Edital]],tEditais[Edital],0)),"")</f>
        <v>46308.333333333336</v>
      </c>
      <c r="J5138" t="str">
        <f>IFERROR(INDEX(tProdutos[Classe],MATCH(tItens[[#This Row],[Produto]],tProdutos[Produto],0)),"produto não cadastrado")</f>
        <v>NÚCLEO</v>
      </c>
      <c r="K5138" s="12">
        <f>tItens[[#This Row],[Qtd]]*tItens[[#This Row],[Vlr unit]]</f>
        <v>2128</v>
      </c>
      <c r="L5138" s="6">
        <f>IFERROR(IF(INDEX(tProdutos[Desconto homologado],MATCH(tItens[[#This Row],[Produto]],tProdutos[Produto],0))="",DescontoPadrao,INDEX(tProdutos[Desconto homologado],MATCH(tItens[[#This Row],[Produto]],tProdutos[Produto],0))),DescontoPadrao)</f>
        <v>0.26</v>
      </c>
      <c r="M5138" s="12">
        <f>tItens[[#This Row],[Valor]]*(1-tItens[[#This Row],[Desconto]])</f>
        <v>1574.72</v>
      </c>
      <c r="N5138" t="str">
        <f>IFERROR(INDEX(tProdutos[Foco],MATCH(tItens[[#This Row],[Produto]],tProdutos[Produto],0)),"Não")</f>
        <v>Sim</v>
      </c>
      <c r="O5138" t="str">
        <f>IFERROR(INDEX(tEditais[SRP],MATCH(tItens[[#This Row],[Edital]],tEditais[Edital],0)),"Não")</f>
        <v>Sim</v>
      </c>
      <c r="P5138" s="4">
        <f>IF(COUNTIFS(INDEX(tItens[Edital],1):tItens[[#This Row],[Edital]],tItens[[#This Row],[Edital]],INDEX(tItens[Produto],1):tItens[[#This Row],[Produto]],tItens[[#This Row],[Produto]])=1,1,0)</f>
        <v>0</v>
      </c>
    </row>
    <row r="5139" spans="1:16" x14ac:dyDescent="0.25">
      <c r="A5139" t="s">
        <v>1992</v>
      </c>
      <c r="B5139">
        <v>87</v>
      </c>
      <c r="C5139" t="s">
        <v>7938</v>
      </c>
      <c r="D5139" t="s">
        <v>75</v>
      </c>
      <c r="E5139" s="13">
        <v>200</v>
      </c>
      <c r="F5139" s="12">
        <v>137.62</v>
      </c>
      <c r="G5139" t="str">
        <f>IFERROR(INDEX(tEditais[Órgão],MATCH(tItens[[#This Row],[Edital]],tEditais[Edital],0)),"")</f>
        <v>AUTARQUIA MUNICIPAL DE SAUDE DE RIO BOM - AMS - RB</v>
      </c>
      <c r="H5139" t="str">
        <f>IFERROR(INDEX(tEditais[UF],MATCH(tItens[[#This Row],[Edital]],tEditais[Edital],0)),"")</f>
        <v>PR</v>
      </c>
      <c r="I5139" s="11">
        <f>IFERROR(INDEX(tEditais[Encerramento],MATCH(tItens[[#This Row],[Edital]],tEditais[Edital],0)),"")</f>
        <v>46308.333333333336</v>
      </c>
      <c r="J5139" t="str">
        <f>IFERROR(INDEX(tProdutos[Classe],MATCH(tItens[[#This Row],[Produto]],tProdutos[Produto],0)),"produto não cadastrado")</f>
        <v>NÚCLEO</v>
      </c>
      <c r="K5139" s="12">
        <f>tItens[[#This Row],[Qtd]]*tItens[[#This Row],[Vlr unit]]</f>
        <v>27524</v>
      </c>
      <c r="L5139" s="6">
        <f>IFERROR(IF(INDEX(tProdutos[Desconto homologado],MATCH(tItens[[#This Row],[Produto]],tProdutos[Produto],0))="",DescontoPadrao,INDEX(tProdutos[Desconto homologado],MATCH(tItens[[#This Row],[Produto]],tProdutos[Produto],0))),DescontoPadrao)</f>
        <v>0.26</v>
      </c>
      <c r="M5139" s="12">
        <f>tItens[[#This Row],[Valor]]*(1-tItens[[#This Row],[Desconto]])</f>
        <v>20367.759999999998</v>
      </c>
      <c r="N5139" t="str">
        <f>IFERROR(INDEX(tProdutos[Foco],MATCH(tItens[[#This Row],[Produto]],tProdutos[Produto],0)),"Não")</f>
        <v>Sim</v>
      </c>
      <c r="O5139" t="str">
        <f>IFERROR(INDEX(tEditais[SRP],MATCH(tItens[[#This Row],[Edital]],tEditais[Edital],0)),"Não")</f>
        <v>Sim</v>
      </c>
      <c r="P5139" s="4">
        <f>IF(COUNTIFS(INDEX(tItens[Edital],1):tItens[[#This Row],[Edital]],tItens[[#This Row],[Edital]],INDEX(tItens[Produto],1):tItens[[#This Row],[Produto]],tItens[[#This Row],[Produto]])=1,1,0)</f>
        <v>0</v>
      </c>
    </row>
    <row r="5140" spans="1:16" x14ac:dyDescent="0.25">
      <c r="A5140" t="s">
        <v>1992</v>
      </c>
      <c r="B5140">
        <v>91</v>
      </c>
      <c r="C5140" t="s">
        <v>7939</v>
      </c>
      <c r="D5140" t="s">
        <v>401</v>
      </c>
      <c r="E5140" s="13">
        <v>500</v>
      </c>
      <c r="F5140" s="12">
        <v>2.21</v>
      </c>
      <c r="G5140" t="str">
        <f>IFERROR(INDEX(tEditais[Órgão],MATCH(tItens[[#This Row],[Edital]],tEditais[Edital],0)),"")</f>
        <v>AUTARQUIA MUNICIPAL DE SAUDE DE RIO BOM - AMS - RB</v>
      </c>
      <c r="H5140" t="str">
        <f>IFERROR(INDEX(tEditais[UF],MATCH(tItens[[#This Row],[Edital]],tEditais[Edital],0)),"")</f>
        <v>PR</v>
      </c>
      <c r="I5140" s="11">
        <f>IFERROR(INDEX(tEditais[Encerramento],MATCH(tItens[[#This Row],[Edital]],tEditais[Edital],0)),"")</f>
        <v>46308.333333333336</v>
      </c>
      <c r="J5140" t="str">
        <f>IFERROR(INDEX(tProdutos[Classe],MATCH(tItens[[#This Row],[Produto]],tProdutos[Produto],0)),"produto não cadastrado")</f>
        <v>FORA</v>
      </c>
      <c r="K5140" s="12">
        <f>tItens[[#This Row],[Qtd]]*tItens[[#This Row],[Vlr unit]]</f>
        <v>1105</v>
      </c>
      <c r="L5140" s="6">
        <f>IFERROR(IF(INDEX(tProdutos[Desconto homologado],MATCH(tItens[[#This Row],[Produto]],tProdutos[Produto],0))="",DescontoPadrao,INDEX(tProdutos[Desconto homologado],MATCH(tItens[[#This Row],[Produto]],tProdutos[Produto],0))),DescontoPadrao)</f>
        <v>0.38211382113821102</v>
      </c>
      <c r="M5140" s="12">
        <f>tItens[[#This Row],[Valor]]*(1-tItens[[#This Row],[Desconto]])</f>
        <v>682.76422764227686</v>
      </c>
      <c r="N5140" t="str">
        <f>IFERROR(INDEX(tProdutos[Foco],MATCH(tItens[[#This Row],[Produto]],tProdutos[Produto],0)),"Não")</f>
        <v>Não</v>
      </c>
      <c r="O5140" t="str">
        <f>IFERROR(INDEX(tEditais[SRP],MATCH(tItens[[#This Row],[Edital]],tEditais[Edital],0)),"Não")</f>
        <v>Sim</v>
      </c>
      <c r="P5140" s="4">
        <f>IF(COUNTIFS(INDEX(tItens[Edital],1):tItens[[#This Row],[Edital]],tItens[[#This Row],[Edital]],INDEX(tItens[Produto],1):tItens[[#This Row],[Produto]],tItens[[#This Row],[Produto]])=1,1,0)</f>
        <v>1</v>
      </c>
    </row>
    <row r="5141" spans="1:16" x14ac:dyDescent="0.25">
      <c r="A5141" t="s">
        <v>1992</v>
      </c>
      <c r="B5141">
        <v>99</v>
      </c>
      <c r="C5141" t="s">
        <v>7940</v>
      </c>
      <c r="D5141" t="s">
        <v>142</v>
      </c>
      <c r="E5141" s="13">
        <v>100</v>
      </c>
      <c r="F5141" s="12">
        <v>11.45</v>
      </c>
      <c r="G5141" t="str">
        <f>IFERROR(INDEX(tEditais[Órgão],MATCH(tItens[[#This Row],[Edital]],tEditais[Edital],0)),"")</f>
        <v>AUTARQUIA MUNICIPAL DE SAUDE DE RIO BOM - AMS - RB</v>
      </c>
      <c r="H5141" t="str">
        <f>IFERROR(INDEX(tEditais[UF],MATCH(tItens[[#This Row],[Edital]],tEditais[Edital],0)),"")</f>
        <v>PR</v>
      </c>
      <c r="I5141" s="11">
        <f>IFERROR(INDEX(tEditais[Encerramento],MATCH(tItens[[#This Row],[Edital]],tEditais[Edital],0)),"")</f>
        <v>46308.333333333336</v>
      </c>
      <c r="J5141" t="str">
        <f>IFERROR(INDEX(tProdutos[Classe],MATCH(tItens[[#This Row],[Produto]],tProdutos[Produto],0)),"produto não cadastrado")</f>
        <v>DISPUTADO</v>
      </c>
      <c r="K5141" s="12">
        <f>tItens[[#This Row],[Qtd]]*tItens[[#This Row],[Vlr unit]]</f>
        <v>1145</v>
      </c>
      <c r="L5141" s="6">
        <f>IFERROR(IF(INDEX(tProdutos[Desconto homologado],MATCH(tItens[[#This Row],[Produto]],tProdutos[Produto],0))="",DescontoPadrao,INDEX(tProdutos[Desconto homologado],MATCH(tItens[[#This Row],[Produto]],tProdutos[Produto],0))),DescontoPadrao)</f>
        <v>0.37093619495691699</v>
      </c>
      <c r="M5141" s="12">
        <f>tItens[[#This Row],[Valor]]*(1-tItens[[#This Row],[Desconto]])</f>
        <v>720.27805677433003</v>
      </c>
      <c r="N5141" t="str">
        <f>IFERROR(INDEX(tProdutos[Foco],MATCH(tItens[[#This Row],[Produto]],tProdutos[Produto],0)),"Não")</f>
        <v>Não</v>
      </c>
      <c r="O5141" t="str">
        <f>IFERROR(INDEX(tEditais[SRP],MATCH(tItens[[#This Row],[Edital]],tEditais[Edital],0)),"Não")</f>
        <v>Sim</v>
      </c>
      <c r="P5141" s="4">
        <f>IF(COUNTIFS(INDEX(tItens[Edital],1):tItens[[#This Row],[Edital]],tItens[[#This Row],[Edital]],INDEX(tItens[Produto],1):tItens[[#This Row],[Produto]],tItens[[#This Row],[Produto]])=1,1,0)</f>
        <v>1</v>
      </c>
    </row>
    <row r="5142" spans="1:16" x14ac:dyDescent="0.25">
      <c r="A5142" t="s">
        <v>1992</v>
      </c>
      <c r="B5142">
        <v>101</v>
      </c>
      <c r="C5142" t="s">
        <v>7941</v>
      </c>
      <c r="D5142" t="s">
        <v>77</v>
      </c>
      <c r="E5142" s="13">
        <v>700</v>
      </c>
      <c r="F5142" s="12">
        <v>17.16</v>
      </c>
      <c r="G5142" t="str">
        <f>IFERROR(INDEX(tEditais[Órgão],MATCH(tItens[[#This Row],[Edital]],tEditais[Edital],0)),"")</f>
        <v>AUTARQUIA MUNICIPAL DE SAUDE DE RIO BOM - AMS - RB</v>
      </c>
      <c r="H5142" t="str">
        <f>IFERROR(INDEX(tEditais[UF],MATCH(tItens[[#This Row],[Edital]],tEditais[Edital],0)),"")</f>
        <v>PR</v>
      </c>
      <c r="I5142" s="11">
        <f>IFERROR(INDEX(tEditais[Encerramento],MATCH(tItens[[#This Row],[Edital]],tEditais[Edital],0)),"")</f>
        <v>46308.333333333336</v>
      </c>
      <c r="J5142" t="str">
        <f>IFERROR(INDEX(tProdutos[Classe],MATCH(tItens[[#This Row],[Produto]],tProdutos[Produto],0)),"produto não cadastrado")</f>
        <v>DISPUTADO</v>
      </c>
      <c r="K5142" s="12">
        <f>tItens[[#This Row],[Qtd]]*tItens[[#This Row],[Vlr unit]]</f>
        <v>12012</v>
      </c>
      <c r="L5142" s="6">
        <f>IFERROR(IF(INDEX(tProdutos[Desconto homologado],MATCH(tItens[[#This Row],[Produto]],tProdutos[Produto],0))="",DescontoPadrao,INDEX(tProdutos[Desconto homologado],MATCH(tItens[[#This Row],[Produto]],tProdutos[Produto],0))),DescontoPadrao)</f>
        <v>0.33</v>
      </c>
      <c r="M5142" s="12">
        <f>tItens[[#This Row],[Valor]]*(1-tItens[[#This Row],[Desconto]])</f>
        <v>8048.0399999999991</v>
      </c>
      <c r="N5142" t="str">
        <f>IFERROR(INDEX(tProdutos[Foco],MATCH(tItens[[#This Row],[Produto]],tProdutos[Produto],0)),"Não")</f>
        <v>Sim</v>
      </c>
      <c r="O5142" t="str">
        <f>IFERROR(INDEX(tEditais[SRP],MATCH(tItens[[#This Row],[Edital]],tEditais[Edital],0)),"Não")</f>
        <v>Sim</v>
      </c>
      <c r="P5142" s="4">
        <f>IF(COUNTIFS(INDEX(tItens[Edital],1):tItens[[#This Row],[Edital]],tItens[[#This Row],[Edital]],INDEX(tItens[Produto],1):tItens[[#This Row],[Produto]],tItens[[#This Row],[Produto]])=1,1,0)</f>
        <v>1</v>
      </c>
    </row>
    <row r="5143" spans="1:16" x14ac:dyDescent="0.25">
      <c r="A5143" t="s">
        <v>1992</v>
      </c>
      <c r="B5143">
        <v>102</v>
      </c>
      <c r="C5143" t="s">
        <v>7942</v>
      </c>
      <c r="D5143" t="s">
        <v>77</v>
      </c>
      <c r="E5143" s="13">
        <v>700</v>
      </c>
      <c r="F5143" s="12">
        <v>8.7100000000000009</v>
      </c>
      <c r="G5143" t="str">
        <f>IFERROR(INDEX(tEditais[Órgão],MATCH(tItens[[#This Row],[Edital]],tEditais[Edital],0)),"")</f>
        <v>AUTARQUIA MUNICIPAL DE SAUDE DE RIO BOM - AMS - RB</v>
      </c>
      <c r="H5143" t="str">
        <f>IFERROR(INDEX(tEditais[UF],MATCH(tItens[[#This Row],[Edital]],tEditais[Edital],0)),"")</f>
        <v>PR</v>
      </c>
      <c r="I5143" s="11">
        <f>IFERROR(INDEX(tEditais[Encerramento],MATCH(tItens[[#This Row],[Edital]],tEditais[Edital],0)),"")</f>
        <v>46308.333333333336</v>
      </c>
      <c r="J5143" t="str">
        <f>IFERROR(INDEX(tProdutos[Classe],MATCH(tItens[[#This Row],[Produto]],tProdutos[Produto],0)),"produto não cadastrado")</f>
        <v>DISPUTADO</v>
      </c>
      <c r="K5143" s="12">
        <f>tItens[[#This Row],[Qtd]]*tItens[[#This Row],[Vlr unit]]</f>
        <v>6097.0000000000009</v>
      </c>
      <c r="L5143" s="6">
        <f>IFERROR(IF(INDEX(tProdutos[Desconto homologado],MATCH(tItens[[#This Row],[Produto]],tProdutos[Produto],0))="",DescontoPadrao,INDEX(tProdutos[Desconto homologado],MATCH(tItens[[#This Row],[Produto]],tProdutos[Produto],0))),DescontoPadrao)</f>
        <v>0.33</v>
      </c>
      <c r="M5143" s="12">
        <f>tItens[[#This Row],[Valor]]*(1-tItens[[#This Row],[Desconto]])</f>
        <v>4084.9900000000002</v>
      </c>
      <c r="N5143" t="str">
        <f>IFERROR(INDEX(tProdutos[Foco],MATCH(tItens[[#This Row],[Produto]],tProdutos[Produto],0)),"Não")</f>
        <v>Sim</v>
      </c>
      <c r="O5143" t="str">
        <f>IFERROR(INDEX(tEditais[SRP],MATCH(tItens[[#This Row],[Edital]],tEditais[Edital],0)),"Não")</f>
        <v>Sim</v>
      </c>
      <c r="P5143" s="4">
        <f>IF(COUNTIFS(INDEX(tItens[Edital],1):tItens[[#This Row],[Edital]],tItens[[#This Row],[Edital]],INDEX(tItens[Produto],1):tItens[[#This Row],[Produto]],tItens[[#This Row],[Produto]])=1,1,0)</f>
        <v>0</v>
      </c>
    </row>
    <row r="5144" spans="1:16" x14ac:dyDescent="0.25">
      <c r="A5144" t="s">
        <v>1992</v>
      </c>
      <c r="B5144">
        <v>104</v>
      </c>
      <c r="C5144" t="s">
        <v>7943</v>
      </c>
      <c r="D5144" t="s">
        <v>345</v>
      </c>
      <c r="E5144" s="13">
        <v>300</v>
      </c>
      <c r="F5144" s="12">
        <v>81.069999999999993</v>
      </c>
      <c r="G5144" t="str">
        <f>IFERROR(INDEX(tEditais[Órgão],MATCH(tItens[[#This Row],[Edital]],tEditais[Edital],0)),"")</f>
        <v>AUTARQUIA MUNICIPAL DE SAUDE DE RIO BOM - AMS - RB</v>
      </c>
      <c r="H5144" t="str">
        <f>IFERROR(INDEX(tEditais[UF],MATCH(tItens[[#This Row],[Edital]],tEditais[Edital],0)),"")</f>
        <v>PR</v>
      </c>
      <c r="I5144" s="11">
        <f>IFERROR(INDEX(tEditais[Encerramento],MATCH(tItens[[#This Row],[Edital]],tEditais[Edital],0)),"")</f>
        <v>46308.333333333336</v>
      </c>
      <c r="J5144" t="str">
        <f>IFERROR(INDEX(tProdutos[Classe],MATCH(tItens[[#This Row],[Produto]],tProdutos[Produto],0)),"produto não cadastrado")</f>
        <v>FORA</v>
      </c>
      <c r="K5144" s="12">
        <f>tItens[[#This Row],[Qtd]]*tItens[[#This Row],[Vlr unit]]</f>
        <v>24320.999999999996</v>
      </c>
      <c r="L5144" s="6">
        <f>IFERROR(IF(INDEX(tProdutos[Desconto homologado],MATCH(tItens[[#This Row],[Produto]],tProdutos[Produto],0))="",DescontoPadrao,INDEX(tProdutos[Desconto homologado],MATCH(tItens[[#This Row],[Produto]],tProdutos[Produto],0))),DescontoPadrao)</f>
        <v>0.412394275616498</v>
      </c>
      <c r="M5144" s="12">
        <f>tItens[[#This Row],[Valor]]*(1-tItens[[#This Row],[Desconto]])</f>
        <v>14291.158822731149</v>
      </c>
      <c r="N5144" t="str">
        <f>IFERROR(INDEX(tProdutos[Foco],MATCH(tItens[[#This Row],[Produto]],tProdutos[Produto],0)),"Não")</f>
        <v>Não</v>
      </c>
      <c r="O5144" t="str">
        <f>IFERROR(INDEX(tEditais[SRP],MATCH(tItens[[#This Row],[Edital]],tEditais[Edital],0)),"Não")</f>
        <v>Sim</v>
      </c>
      <c r="P5144" s="4">
        <f>IF(COUNTIFS(INDEX(tItens[Edital],1):tItens[[#This Row],[Edital]],tItens[[#This Row],[Edital]],INDEX(tItens[Produto],1):tItens[[#This Row],[Produto]],tItens[[#This Row],[Produto]])=1,1,0)</f>
        <v>1</v>
      </c>
    </row>
    <row r="5145" spans="1:16" x14ac:dyDescent="0.25">
      <c r="A5145" t="s">
        <v>1992</v>
      </c>
      <c r="B5145">
        <v>105</v>
      </c>
      <c r="C5145" t="s">
        <v>7944</v>
      </c>
      <c r="D5145" t="s">
        <v>345</v>
      </c>
      <c r="E5145" s="13">
        <v>300</v>
      </c>
      <c r="F5145" s="12">
        <v>82.08</v>
      </c>
      <c r="G5145" t="str">
        <f>IFERROR(INDEX(tEditais[Órgão],MATCH(tItens[[#This Row],[Edital]],tEditais[Edital],0)),"")</f>
        <v>AUTARQUIA MUNICIPAL DE SAUDE DE RIO BOM - AMS - RB</v>
      </c>
      <c r="H5145" t="str">
        <f>IFERROR(INDEX(tEditais[UF],MATCH(tItens[[#This Row],[Edital]],tEditais[Edital],0)),"")</f>
        <v>PR</v>
      </c>
      <c r="I5145" s="11">
        <f>IFERROR(INDEX(tEditais[Encerramento],MATCH(tItens[[#This Row],[Edital]],tEditais[Edital],0)),"")</f>
        <v>46308.333333333336</v>
      </c>
      <c r="J5145" t="str">
        <f>IFERROR(INDEX(tProdutos[Classe],MATCH(tItens[[#This Row],[Produto]],tProdutos[Produto],0)),"produto não cadastrado")</f>
        <v>FORA</v>
      </c>
      <c r="K5145" s="12">
        <f>tItens[[#This Row],[Qtd]]*tItens[[#This Row],[Vlr unit]]</f>
        <v>24624</v>
      </c>
      <c r="L5145" s="6">
        <f>IFERROR(IF(INDEX(tProdutos[Desconto homologado],MATCH(tItens[[#This Row],[Produto]],tProdutos[Produto],0))="",DescontoPadrao,INDEX(tProdutos[Desconto homologado],MATCH(tItens[[#This Row],[Produto]],tProdutos[Produto],0))),DescontoPadrao)</f>
        <v>0.412394275616498</v>
      </c>
      <c r="M5145" s="12">
        <f>tItens[[#This Row],[Valor]]*(1-tItens[[#This Row],[Desconto]])</f>
        <v>14469.203357219354</v>
      </c>
      <c r="N5145" t="str">
        <f>IFERROR(INDEX(tProdutos[Foco],MATCH(tItens[[#This Row],[Produto]],tProdutos[Produto],0)),"Não")</f>
        <v>Não</v>
      </c>
      <c r="O5145" t="str">
        <f>IFERROR(INDEX(tEditais[SRP],MATCH(tItens[[#This Row],[Edital]],tEditais[Edital],0)),"Não")</f>
        <v>Sim</v>
      </c>
      <c r="P5145" s="4">
        <f>IF(COUNTIFS(INDEX(tItens[Edital],1):tItens[[#This Row],[Edital]],tItens[[#This Row],[Edital]],INDEX(tItens[Produto],1):tItens[[#This Row],[Produto]],tItens[[#This Row],[Produto]])=1,1,0)</f>
        <v>0</v>
      </c>
    </row>
    <row r="5146" spans="1:16" x14ac:dyDescent="0.25">
      <c r="A5146" t="s">
        <v>1992</v>
      </c>
      <c r="B5146">
        <v>106</v>
      </c>
      <c r="C5146" t="s">
        <v>7945</v>
      </c>
      <c r="D5146" t="s">
        <v>345</v>
      </c>
      <c r="E5146" s="13">
        <v>300</v>
      </c>
      <c r="F5146" s="12">
        <v>89.59</v>
      </c>
      <c r="G5146" t="str">
        <f>IFERROR(INDEX(tEditais[Órgão],MATCH(tItens[[#This Row],[Edital]],tEditais[Edital],0)),"")</f>
        <v>AUTARQUIA MUNICIPAL DE SAUDE DE RIO BOM - AMS - RB</v>
      </c>
      <c r="H5146" t="str">
        <f>IFERROR(INDEX(tEditais[UF],MATCH(tItens[[#This Row],[Edital]],tEditais[Edital],0)),"")</f>
        <v>PR</v>
      </c>
      <c r="I5146" s="11">
        <f>IFERROR(INDEX(tEditais[Encerramento],MATCH(tItens[[#This Row],[Edital]],tEditais[Edital],0)),"")</f>
        <v>46308.333333333336</v>
      </c>
      <c r="J5146" t="str">
        <f>IFERROR(INDEX(tProdutos[Classe],MATCH(tItens[[#This Row],[Produto]],tProdutos[Produto],0)),"produto não cadastrado")</f>
        <v>FORA</v>
      </c>
      <c r="K5146" s="12">
        <f>tItens[[#This Row],[Qtd]]*tItens[[#This Row],[Vlr unit]]</f>
        <v>26877</v>
      </c>
      <c r="L5146" s="6">
        <f>IFERROR(IF(INDEX(tProdutos[Desconto homologado],MATCH(tItens[[#This Row],[Produto]],tProdutos[Produto],0))="",DescontoPadrao,INDEX(tProdutos[Desconto homologado],MATCH(tItens[[#This Row],[Produto]],tProdutos[Produto],0))),DescontoPadrao)</f>
        <v>0.412394275616498</v>
      </c>
      <c r="M5146" s="12">
        <f>tItens[[#This Row],[Valor]]*(1-tItens[[#This Row],[Desconto]])</f>
        <v>15793.079054255384</v>
      </c>
      <c r="N5146" t="str">
        <f>IFERROR(INDEX(tProdutos[Foco],MATCH(tItens[[#This Row],[Produto]],tProdutos[Produto],0)),"Não")</f>
        <v>Não</v>
      </c>
      <c r="O5146" t="str">
        <f>IFERROR(INDEX(tEditais[SRP],MATCH(tItens[[#This Row],[Edital]],tEditais[Edital],0)),"Não")</f>
        <v>Sim</v>
      </c>
      <c r="P5146" s="4">
        <f>IF(COUNTIFS(INDEX(tItens[Edital],1):tItens[[#This Row],[Edital]],tItens[[#This Row],[Edital]],INDEX(tItens[Produto],1):tItens[[#This Row],[Produto]],tItens[[#This Row],[Produto]])=1,1,0)</f>
        <v>0</v>
      </c>
    </row>
    <row r="5147" spans="1:16" x14ac:dyDescent="0.25">
      <c r="A5147" t="s">
        <v>1992</v>
      </c>
      <c r="B5147">
        <v>107</v>
      </c>
      <c r="C5147" t="s">
        <v>7946</v>
      </c>
      <c r="D5147" t="s">
        <v>345</v>
      </c>
      <c r="E5147" s="13">
        <v>800</v>
      </c>
      <c r="F5147" s="12">
        <v>95.23</v>
      </c>
      <c r="G5147" t="str">
        <f>IFERROR(INDEX(tEditais[Órgão],MATCH(tItens[[#This Row],[Edital]],tEditais[Edital],0)),"")</f>
        <v>AUTARQUIA MUNICIPAL DE SAUDE DE RIO BOM - AMS - RB</v>
      </c>
      <c r="H5147" t="str">
        <f>IFERROR(INDEX(tEditais[UF],MATCH(tItens[[#This Row],[Edital]],tEditais[Edital],0)),"")</f>
        <v>PR</v>
      </c>
      <c r="I5147" s="11">
        <f>IFERROR(INDEX(tEditais[Encerramento],MATCH(tItens[[#This Row],[Edital]],tEditais[Edital],0)),"")</f>
        <v>46308.333333333336</v>
      </c>
      <c r="J5147" t="str">
        <f>IFERROR(INDEX(tProdutos[Classe],MATCH(tItens[[#This Row],[Produto]],tProdutos[Produto],0)),"produto não cadastrado")</f>
        <v>FORA</v>
      </c>
      <c r="K5147" s="12">
        <f>tItens[[#This Row],[Qtd]]*tItens[[#This Row],[Vlr unit]]</f>
        <v>76184</v>
      </c>
      <c r="L5147" s="6">
        <f>IFERROR(IF(INDEX(tProdutos[Desconto homologado],MATCH(tItens[[#This Row],[Produto]],tProdutos[Produto],0))="",DescontoPadrao,INDEX(tProdutos[Desconto homologado],MATCH(tItens[[#This Row],[Produto]],tProdutos[Produto],0))),DescontoPadrao)</f>
        <v>0.412394275616498</v>
      </c>
      <c r="M5147" s="12">
        <f>tItens[[#This Row],[Valor]]*(1-tItens[[#This Row],[Desconto]])</f>
        <v>44766.154506432715</v>
      </c>
      <c r="N5147" t="str">
        <f>IFERROR(INDEX(tProdutos[Foco],MATCH(tItens[[#This Row],[Produto]],tProdutos[Produto],0)),"Não")</f>
        <v>Não</v>
      </c>
      <c r="O5147" t="str">
        <f>IFERROR(INDEX(tEditais[SRP],MATCH(tItens[[#This Row],[Edital]],tEditais[Edital],0)),"Não")</f>
        <v>Sim</v>
      </c>
      <c r="P5147" s="4">
        <f>IF(COUNTIFS(INDEX(tItens[Edital],1):tItens[[#This Row],[Edital]],tItens[[#This Row],[Edital]],INDEX(tItens[Produto],1):tItens[[#This Row],[Produto]],tItens[[#This Row],[Produto]])=1,1,0)</f>
        <v>0</v>
      </c>
    </row>
    <row r="5148" spans="1:16" x14ac:dyDescent="0.25">
      <c r="A5148" t="s">
        <v>1992</v>
      </c>
      <c r="B5148">
        <v>111</v>
      </c>
      <c r="C5148" t="s">
        <v>7947</v>
      </c>
      <c r="D5148" t="s">
        <v>467</v>
      </c>
      <c r="E5148" s="13">
        <v>30</v>
      </c>
      <c r="F5148" s="12">
        <v>49.89</v>
      </c>
      <c r="G5148" t="str">
        <f>IFERROR(INDEX(tEditais[Órgão],MATCH(tItens[[#This Row],[Edital]],tEditais[Edital],0)),"")</f>
        <v>AUTARQUIA MUNICIPAL DE SAUDE DE RIO BOM - AMS - RB</v>
      </c>
      <c r="H5148" t="str">
        <f>IFERROR(INDEX(tEditais[UF],MATCH(tItens[[#This Row],[Edital]],tEditais[Edital],0)),"")</f>
        <v>PR</v>
      </c>
      <c r="I5148" s="11">
        <f>IFERROR(INDEX(tEditais[Encerramento],MATCH(tItens[[#This Row],[Edital]],tEditais[Edital],0)),"")</f>
        <v>46308.333333333336</v>
      </c>
      <c r="J5148" t="str">
        <f>IFERROR(INDEX(tProdutos[Classe],MATCH(tItens[[#This Row],[Produto]],tProdutos[Produto],0)),"produto não cadastrado")</f>
        <v>FILA REBASE</v>
      </c>
      <c r="K5148" s="12">
        <f>tItens[[#This Row],[Qtd]]*tItens[[#This Row],[Vlr unit]]</f>
        <v>1496.7</v>
      </c>
      <c r="L5148" s="6">
        <f>IFERROR(IF(INDEX(tProdutos[Desconto homologado],MATCH(tItens[[#This Row],[Produto]],tProdutos[Produto],0))="",DescontoPadrao,INDEX(tProdutos[Desconto homologado],MATCH(tItens[[#This Row],[Produto]],tProdutos[Produto],0))),DescontoPadrao)</f>
        <v>0.25007144898542499</v>
      </c>
      <c r="M5148" s="12">
        <f>tItens[[#This Row],[Valor]]*(1-tItens[[#This Row],[Desconto]])</f>
        <v>1122.4180623035145</v>
      </c>
      <c r="N5148" t="str">
        <f>IFERROR(INDEX(tProdutos[Foco],MATCH(tItens[[#This Row],[Produto]],tProdutos[Produto],0)),"Não")</f>
        <v>Não</v>
      </c>
      <c r="O5148" t="str">
        <f>IFERROR(INDEX(tEditais[SRP],MATCH(tItens[[#This Row],[Edital]],tEditais[Edital],0)),"Não")</f>
        <v>Sim</v>
      </c>
      <c r="P5148" s="4">
        <f>IF(COUNTIFS(INDEX(tItens[Edital],1):tItens[[#This Row],[Edital]],tItens[[#This Row],[Edital]],INDEX(tItens[Produto],1):tItens[[#This Row],[Produto]],tItens[[#This Row],[Produto]])=1,1,0)</f>
        <v>1</v>
      </c>
    </row>
    <row r="5149" spans="1:16" x14ac:dyDescent="0.25">
      <c r="A5149" t="s">
        <v>1992</v>
      </c>
      <c r="B5149">
        <v>122</v>
      </c>
      <c r="C5149" t="s">
        <v>7948</v>
      </c>
      <c r="D5149" t="s">
        <v>56</v>
      </c>
      <c r="E5149" s="13">
        <v>20</v>
      </c>
      <c r="F5149" s="12">
        <v>45.06</v>
      </c>
      <c r="G5149" t="str">
        <f>IFERROR(INDEX(tEditais[Órgão],MATCH(tItens[[#This Row],[Edital]],tEditais[Edital],0)),"")</f>
        <v>AUTARQUIA MUNICIPAL DE SAUDE DE RIO BOM - AMS - RB</v>
      </c>
      <c r="H5149" t="str">
        <f>IFERROR(INDEX(tEditais[UF],MATCH(tItens[[#This Row],[Edital]],tEditais[Edital],0)),"")</f>
        <v>PR</v>
      </c>
      <c r="I5149" s="11">
        <f>IFERROR(INDEX(tEditais[Encerramento],MATCH(tItens[[#This Row],[Edital]],tEditais[Edital],0)),"")</f>
        <v>46308.333333333336</v>
      </c>
      <c r="J5149" t="str">
        <f>IFERROR(INDEX(tProdutos[Classe],MATCH(tItens[[#This Row],[Produto]],tProdutos[Produto],0)),"produto não cadastrado")</f>
        <v>NÚCLEO</v>
      </c>
      <c r="K5149" s="12">
        <f>tItens[[#This Row],[Qtd]]*tItens[[#This Row],[Vlr unit]]</f>
        <v>901.2</v>
      </c>
      <c r="L5149" s="6">
        <f>IFERROR(IF(INDEX(tProdutos[Desconto homologado],MATCH(tItens[[#This Row],[Produto]],tProdutos[Produto],0))="",DescontoPadrao,INDEX(tProdutos[Desconto homologado],MATCH(tItens[[#This Row],[Produto]],tProdutos[Produto],0))),DescontoPadrao)</f>
        <v>0.34</v>
      </c>
      <c r="M5149" s="12">
        <f>tItens[[#This Row],[Valor]]*(1-tItens[[#This Row],[Desconto]])</f>
        <v>594.79199999999992</v>
      </c>
      <c r="N5149" t="str">
        <f>IFERROR(INDEX(tProdutos[Foco],MATCH(tItens[[#This Row],[Produto]],tProdutos[Produto],0)),"Não")</f>
        <v>Sim</v>
      </c>
      <c r="O5149" t="str">
        <f>IFERROR(INDEX(tEditais[SRP],MATCH(tItens[[#This Row],[Edital]],tEditais[Edital],0)),"Não")</f>
        <v>Sim</v>
      </c>
      <c r="P5149" s="4">
        <f>IF(COUNTIFS(INDEX(tItens[Edital],1):tItens[[#This Row],[Edital]],tItens[[#This Row],[Edital]],INDEX(tItens[Produto],1):tItens[[#This Row],[Produto]],tItens[[#This Row],[Produto]])=1,1,0)</f>
        <v>1</v>
      </c>
    </row>
    <row r="5150" spans="1:16" x14ac:dyDescent="0.25">
      <c r="A5150" t="s">
        <v>1992</v>
      </c>
      <c r="B5150">
        <v>123</v>
      </c>
      <c r="C5150" t="s">
        <v>7949</v>
      </c>
      <c r="D5150" t="s">
        <v>56</v>
      </c>
      <c r="E5150" s="13">
        <v>10</v>
      </c>
      <c r="F5150" s="12">
        <v>47.95</v>
      </c>
      <c r="G5150" t="str">
        <f>IFERROR(INDEX(tEditais[Órgão],MATCH(tItens[[#This Row],[Edital]],tEditais[Edital],0)),"")</f>
        <v>AUTARQUIA MUNICIPAL DE SAUDE DE RIO BOM - AMS - RB</v>
      </c>
      <c r="H5150" t="str">
        <f>IFERROR(INDEX(tEditais[UF],MATCH(tItens[[#This Row],[Edital]],tEditais[Edital],0)),"")</f>
        <v>PR</v>
      </c>
      <c r="I5150" s="11">
        <f>IFERROR(INDEX(tEditais[Encerramento],MATCH(tItens[[#This Row],[Edital]],tEditais[Edital],0)),"")</f>
        <v>46308.333333333336</v>
      </c>
      <c r="J5150" t="str">
        <f>IFERROR(INDEX(tProdutos[Classe],MATCH(tItens[[#This Row],[Produto]],tProdutos[Produto],0)),"produto não cadastrado")</f>
        <v>NÚCLEO</v>
      </c>
      <c r="K5150" s="12">
        <f>tItens[[#This Row],[Qtd]]*tItens[[#This Row],[Vlr unit]]</f>
        <v>479.5</v>
      </c>
      <c r="L5150" s="6">
        <f>IFERROR(IF(INDEX(tProdutos[Desconto homologado],MATCH(tItens[[#This Row],[Produto]],tProdutos[Produto],0))="",DescontoPadrao,INDEX(tProdutos[Desconto homologado],MATCH(tItens[[#This Row],[Produto]],tProdutos[Produto],0))),DescontoPadrao)</f>
        <v>0.34</v>
      </c>
      <c r="M5150" s="12">
        <f>tItens[[#This Row],[Valor]]*(1-tItens[[#This Row],[Desconto]])</f>
        <v>316.46999999999997</v>
      </c>
      <c r="N5150" t="str">
        <f>IFERROR(INDEX(tProdutos[Foco],MATCH(tItens[[#This Row],[Produto]],tProdutos[Produto],0)),"Não")</f>
        <v>Sim</v>
      </c>
      <c r="O5150" t="str">
        <f>IFERROR(INDEX(tEditais[SRP],MATCH(tItens[[#This Row],[Edital]],tEditais[Edital],0)),"Não")</f>
        <v>Sim</v>
      </c>
      <c r="P5150" s="4">
        <f>IF(COUNTIFS(INDEX(tItens[Edital],1):tItens[[#This Row],[Edital]],tItens[[#This Row],[Edital]],INDEX(tItens[Produto],1):tItens[[#This Row],[Produto]],tItens[[#This Row],[Produto]])=1,1,0)</f>
        <v>0</v>
      </c>
    </row>
    <row r="5151" spans="1:16" x14ac:dyDescent="0.25">
      <c r="A5151" t="s">
        <v>1992</v>
      </c>
      <c r="B5151">
        <v>124</v>
      </c>
      <c r="C5151" t="s">
        <v>7950</v>
      </c>
      <c r="D5151" t="s">
        <v>56</v>
      </c>
      <c r="E5151" s="13">
        <v>30</v>
      </c>
      <c r="F5151" s="12">
        <v>45.74</v>
      </c>
      <c r="G5151" t="str">
        <f>IFERROR(INDEX(tEditais[Órgão],MATCH(tItens[[#This Row],[Edital]],tEditais[Edital],0)),"")</f>
        <v>AUTARQUIA MUNICIPAL DE SAUDE DE RIO BOM - AMS - RB</v>
      </c>
      <c r="H5151" t="str">
        <f>IFERROR(INDEX(tEditais[UF],MATCH(tItens[[#This Row],[Edital]],tEditais[Edital],0)),"")</f>
        <v>PR</v>
      </c>
      <c r="I5151" s="11">
        <f>IFERROR(INDEX(tEditais[Encerramento],MATCH(tItens[[#This Row],[Edital]],tEditais[Edital],0)),"")</f>
        <v>46308.333333333336</v>
      </c>
      <c r="J5151" t="str">
        <f>IFERROR(INDEX(tProdutos[Classe],MATCH(tItens[[#This Row],[Produto]],tProdutos[Produto],0)),"produto não cadastrado")</f>
        <v>NÚCLEO</v>
      </c>
      <c r="K5151" s="12">
        <f>tItens[[#This Row],[Qtd]]*tItens[[#This Row],[Vlr unit]]</f>
        <v>1372.2</v>
      </c>
      <c r="L5151" s="6">
        <f>IFERROR(IF(INDEX(tProdutos[Desconto homologado],MATCH(tItens[[#This Row],[Produto]],tProdutos[Produto],0))="",DescontoPadrao,INDEX(tProdutos[Desconto homologado],MATCH(tItens[[#This Row],[Produto]],tProdutos[Produto],0))),DescontoPadrao)</f>
        <v>0.34</v>
      </c>
      <c r="M5151" s="12">
        <f>tItens[[#This Row],[Valor]]*(1-tItens[[#This Row],[Desconto]])</f>
        <v>905.65199999999993</v>
      </c>
      <c r="N5151" t="str">
        <f>IFERROR(INDEX(tProdutos[Foco],MATCH(tItens[[#This Row],[Produto]],tProdutos[Produto],0)),"Não")</f>
        <v>Sim</v>
      </c>
      <c r="O5151" t="str">
        <f>IFERROR(INDEX(tEditais[SRP],MATCH(tItens[[#This Row],[Edital]],tEditais[Edital],0)),"Não")</f>
        <v>Sim</v>
      </c>
      <c r="P5151" s="4">
        <f>IF(COUNTIFS(INDEX(tItens[Edital],1):tItens[[#This Row],[Edital]],tItens[[#This Row],[Edital]],INDEX(tItens[Produto],1):tItens[[#This Row],[Produto]],tItens[[#This Row],[Produto]])=1,1,0)</f>
        <v>0</v>
      </c>
    </row>
    <row r="5152" spans="1:16" x14ac:dyDescent="0.25">
      <c r="A5152" t="s">
        <v>1992</v>
      </c>
      <c r="B5152">
        <v>125</v>
      </c>
      <c r="C5152" t="s">
        <v>7951</v>
      </c>
      <c r="D5152" t="s">
        <v>56</v>
      </c>
      <c r="E5152" s="13">
        <v>20</v>
      </c>
      <c r="F5152" s="12">
        <v>49.72</v>
      </c>
      <c r="G5152" t="str">
        <f>IFERROR(INDEX(tEditais[Órgão],MATCH(tItens[[#This Row],[Edital]],tEditais[Edital],0)),"")</f>
        <v>AUTARQUIA MUNICIPAL DE SAUDE DE RIO BOM - AMS - RB</v>
      </c>
      <c r="H5152" t="str">
        <f>IFERROR(INDEX(tEditais[UF],MATCH(tItens[[#This Row],[Edital]],tEditais[Edital],0)),"")</f>
        <v>PR</v>
      </c>
      <c r="I5152" s="11">
        <f>IFERROR(INDEX(tEditais[Encerramento],MATCH(tItens[[#This Row],[Edital]],tEditais[Edital],0)),"")</f>
        <v>46308.333333333336</v>
      </c>
      <c r="J5152" t="str">
        <f>IFERROR(INDEX(tProdutos[Classe],MATCH(tItens[[#This Row],[Produto]],tProdutos[Produto],0)),"produto não cadastrado")</f>
        <v>NÚCLEO</v>
      </c>
      <c r="K5152" s="12">
        <f>tItens[[#This Row],[Qtd]]*tItens[[#This Row],[Vlr unit]]</f>
        <v>994.4</v>
      </c>
      <c r="L5152" s="6">
        <f>IFERROR(IF(INDEX(tProdutos[Desconto homologado],MATCH(tItens[[#This Row],[Produto]],tProdutos[Produto],0))="",DescontoPadrao,INDEX(tProdutos[Desconto homologado],MATCH(tItens[[#This Row],[Produto]],tProdutos[Produto],0))),DescontoPadrao)</f>
        <v>0.34</v>
      </c>
      <c r="M5152" s="12">
        <f>tItens[[#This Row],[Valor]]*(1-tItens[[#This Row],[Desconto]])</f>
        <v>656.30399999999986</v>
      </c>
      <c r="N5152" t="str">
        <f>IFERROR(INDEX(tProdutos[Foco],MATCH(tItens[[#This Row],[Produto]],tProdutos[Produto],0)),"Não")</f>
        <v>Sim</v>
      </c>
      <c r="O5152" t="str">
        <f>IFERROR(INDEX(tEditais[SRP],MATCH(tItens[[#This Row],[Edital]],tEditais[Edital],0)),"Não")</f>
        <v>Sim</v>
      </c>
      <c r="P5152" s="4">
        <f>IF(COUNTIFS(INDEX(tItens[Edital],1):tItens[[#This Row],[Edital]],tItens[[#This Row],[Edital]],INDEX(tItens[Produto],1):tItens[[#This Row],[Produto]],tItens[[#This Row],[Produto]])=1,1,0)</f>
        <v>0</v>
      </c>
    </row>
    <row r="5153" spans="1:16" x14ac:dyDescent="0.25">
      <c r="A5153" t="s">
        <v>1992</v>
      </c>
      <c r="B5153">
        <v>126</v>
      </c>
      <c r="C5153" t="s">
        <v>7952</v>
      </c>
      <c r="D5153" t="s">
        <v>56</v>
      </c>
      <c r="E5153" s="13">
        <v>10</v>
      </c>
      <c r="F5153" s="12">
        <v>47.13</v>
      </c>
      <c r="G5153" t="str">
        <f>IFERROR(INDEX(tEditais[Órgão],MATCH(tItens[[#This Row],[Edital]],tEditais[Edital],0)),"")</f>
        <v>AUTARQUIA MUNICIPAL DE SAUDE DE RIO BOM - AMS - RB</v>
      </c>
      <c r="H5153" t="str">
        <f>IFERROR(INDEX(tEditais[UF],MATCH(tItens[[#This Row],[Edital]],tEditais[Edital],0)),"")</f>
        <v>PR</v>
      </c>
      <c r="I5153" s="11">
        <f>IFERROR(INDEX(tEditais[Encerramento],MATCH(tItens[[#This Row],[Edital]],tEditais[Edital],0)),"")</f>
        <v>46308.333333333336</v>
      </c>
      <c r="J5153" t="str">
        <f>IFERROR(INDEX(tProdutos[Classe],MATCH(tItens[[#This Row],[Produto]],tProdutos[Produto],0)),"produto não cadastrado")</f>
        <v>NÚCLEO</v>
      </c>
      <c r="K5153" s="12">
        <f>tItens[[#This Row],[Qtd]]*tItens[[#This Row],[Vlr unit]]</f>
        <v>471.3</v>
      </c>
      <c r="L5153" s="6">
        <f>IFERROR(IF(INDEX(tProdutos[Desconto homologado],MATCH(tItens[[#This Row],[Produto]],tProdutos[Produto],0))="",DescontoPadrao,INDEX(tProdutos[Desconto homologado],MATCH(tItens[[#This Row],[Produto]],tProdutos[Produto],0))),DescontoPadrao)</f>
        <v>0.34</v>
      </c>
      <c r="M5153" s="12">
        <f>tItens[[#This Row],[Valor]]*(1-tItens[[#This Row],[Desconto]])</f>
        <v>311.05799999999999</v>
      </c>
      <c r="N5153" t="str">
        <f>IFERROR(INDEX(tProdutos[Foco],MATCH(tItens[[#This Row],[Produto]],tProdutos[Produto],0)),"Não")</f>
        <v>Sim</v>
      </c>
      <c r="O5153" t="str">
        <f>IFERROR(INDEX(tEditais[SRP],MATCH(tItens[[#This Row],[Edital]],tEditais[Edital],0)),"Não")</f>
        <v>Sim</v>
      </c>
      <c r="P5153" s="4">
        <f>IF(COUNTIFS(INDEX(tItens[Edital],1):tItens[[#This Row],[Edital]],tItens[[#This Row],[Edital]],INDEX(tItens[Produto],1):tItens[[#This Row],[Produto]],tItens[[#This Row],[Produto]])=1,1,0)</f>
        <v>0</v>
      </c>
    </row>
    <row r="5154" spans="1:16" x14ac:dyDescent="0.25">
      <c r="A5154" t="s">
        <v>1992</v>
      </c>
      <c r="B5154">
        <v>127</v>
      </c>
      <c r="C5154" t="s">
        <v>7953</v>
      </c>
      <c r="D5154" t="s">
        <v>56</v>
      </c>
      <c r="E5154" s="13">
        <v>10</v>
      </c>
      <c r="F5154" s="12">
        <v>51.93</v>
      </c>
      <c r="G5154" t="str">
        <f>IFERROR(INDEX(tEditais[Órgão],MATCH(tItens[[#This Row],[Edital]],tEditais[Edital],0)),"")</f>
        <v>AUTARQUIA MUNICIPAL DE SAUDE DE RIO BOM - AMS - RB</v>
      </c>
      <c r="H5154" t="str">
        <f>IFERROR(INDEX(tEditais[UF],MATCH(tItens[[#This Row],[Edital]],tEditais[Edital],0)),"")</f>
        <v>PR</v>
      </c>
      <c r="I5154" s="11">
        <f>IFERROR(INDEX(tEditais[Encerramento],MATCH(tItens[[#This Row],[Edital]],tEditais[Edital],0)),"")</f>
        <v>46308.333333333336</v>
      </c>
      <c r="J5154" t="str">
        <f>IFERROR(INDEX(tProdutos[Classe],MATCH(tItens[[#This Row],[Produto]],tProdutos[Produto],0)),"produto não cadastrado")</f>
        <v>NÚCLEO</v>
      </c>
      <c r="K5154" s="12">
        <f>tItens[[#This Row],[Qtd]]*tItens[[#This Row],[Vlr unit]]</f>
        <v>519.29999999999995</v>
      </c>
      <c r="L5154" s="6">
        <f>IFERROR(IF(INDEX(tProdutos[Desconto homologado],MATCH(tItens[[#This Row],[Produto]],tProdutos[Produto],0))="",DescontoPadrao,INDEX(tProdutos[Desconto homologado],MATCH(tItens[[#This Row],[Produto]],tProdutos[Produto],0))),DescontoPadrao)</f>
        <v>0.34</v>
      </c>
      <c r="M5154" s="12">
        <f>tItens[[#This Row],[Valor]]*(1-tItens[[#This Row],[Desconto]])</f>
        <v>342.73799999999994</v>
      </c>
      <c r="N5154" t="str">
        <f>IFERROR(INDEX(tProdutos[Foco],MATCH(tItens[[#This Row],[Produto]],tProdutos[Produto],0)),"Não")</f>
        <v>Sim</v>
      </c>
      <c r="O5154" t="str">
        <f>IFERROR(INDEX(tEditais[SRP],MATCH(tItens[[#This Row],[Edital]],tEditais[Edital],0)),"Não")</f>
        <v>Sim</v>
      </c>
      <c r="P5154" s="4">
        <f>IF(COUNTIFS(INDEX(tItens[Edital],1):tItens[[#This Row],[Edital]],tItens[[#This Row],[Edital]],INDEX(tItens[Produto],1):tItens[[#This Row],[Produto]],tItens[[#This Row],[Produto]])=1,1,0)</f>
        <v>0</v>
      </c>
    </row>
    <row r="5155" spans="1:16" x14ac:dyDescent="0.25">
      <c r="A5155" t="s">
        <v>1992</v>
      </c>
      <c r="B5155">
        <v>128</v>
      </c>
      <c r="C5155" t="s">
        <v>7954</v>
      </c>
      <c r="D5155" t="s">
        <v>56</v>
      </c>
      <c r="E5155" s="13">
        <v>10</v>
      </c>
      <c r="F5155" s="12">
        <v>47.74</v>
      </c>
      <c r="G5155" t="str">
        <f>IFERROR(INDEX(tEditais[Órgão],MATCH(tItens[[#This Row],[Edital]],tEditais[Edital],0)),"")</f>
        <v>AUTARQUIA MUNICIPAL DE SAUDE DE RIO BOM - AMS - RB</v>
      </c>
      <c r="H5155" t="str">
        <f>IFERROR(INDEX(tEditais[UF],MATCH(tItens[[#This Row],[Edital]],tEditais[Edital],0)),"")</f>
        <v>PR</v>
      </c>
      <c r="I5155" s="11">
        <f>IFERROR(INDEX(tEditais[Encerramento],MATCH(tItens[[#This Row],[Edital]],tEditais[Edital],0)),"")</f>
        <v>46308.333333333336</v>
      </c>
      <c r="J5155" t="str">
        <f>IFERROR(INDEX(tProdutos[Classe],MATCH(tItens[[#This Row],[Produto]],tProdutos[Produto],0)),"produto não cadastrado")</f>
        <v>NÚCLEO</v>
      </c>
      <c r="K5155" s="12">
        <f>tItens[[#This Row],[Qtd]]*tItens[[#This Row],[Vlr unit]]</f>
        <v>477.40000000000003</v>
      </c>
      <c r="L5155" s="6">
        <f>IFERROR(IF(INDEX(tProdutos[Desconto homologado],MATCH(tItens[[#This Row],[Produto]],tProdutos[Produto],0))="",DescontoPadrao,INDEX(tProdutos[Desconto homologado],MATCH(tItens[[#This Row],[Produto]],tProdutos[Produto],0))),DescontoPadrao)</f>
        <v>0.34</v>
      </c>
      <c r="M5155" s="12">
        <f>tItens[[#This Row],[Valor]]*(1-tItens[[#This Row],[Desconto]])</f>
        <v>315.084</v>
      </c>
      <c r="N5155" t="str">
        <f>IFERROR(INDEX(tProdutos[Foco],MATCH(tItens[[#This Row],[Produto]],tProdutos[Produto],0)),"Não")</f>
        <v>Sim</v>
      </c>
      <c r="O5155" t="str">
        <f>IFERROR(INDEX(tEditais[SRP],MATCH(tItens[[#This Row],[Edital]],tEditais[Edital],0)),"Não")</f>
        <v>Sim</v>
      </c>
      <c r="P5155" s="4">
        <f>IF(COUNTIFS(INDEX(tItens[Edital],1):tItens[[#This Row],[Edital]],tItens[[#This Row],[Edital]],INDEX(tItens[Produto],1):tItens[[#This Row],[Produto]],tItens[[#This Row],[Produto]])=1,1,0)</f>
        <v>0</v>
      </c>
    </row>
    <row r="5156" spans="1:16" x14ac:dyDescent="0.25">
      <c r="A5156" t="s">
        <v>1992</v>
      </c>
      <c r="B5156">
        <v>130</v>
      </c>
      <c r="C5156" t="s">
        <v>7955</v>
      </c>
      <c r="D5156" t="s">
        <v>267</v>
      </c>
      <c r="E5156" s="13">
        <v>400</v>
      </c>
      <c r="F5156" s="12">
        <v>34.92</v>
      </c>
      <c r="G5156" t="str">
        <f>IFERROR(INDEX(tEditais[Órgão],MATCH(tItens[[#This Row],[Edital]],tEditais[Edital],0)),"")</f>
        <v>AUTARQUIA MUNICIPAL DE SAUDE DE RIO BOM - AMS - RB</v>
      </c>
      <c r="H5156" t="str">
        <f>IFERROR(INDEX(tEditais[UF],MATCH(tItens[[#This Row],[Edital]],tEditais[Edital],0)),"")</f>
        <v>PR</v>
      </c>
      <c r="I5156" s="11">
        <f>IFERROR(INDEX(tEditais[Encerramento],MATCH(tItens[[#This Row],[Edital]],tEditais[Edital],0)),"")</f>
        <v>46308.333333333336</v>
      </c>
      <c r="J5156" t="str">
        <f>IFERROR(INDEX(tProdutos[Classe],MATCH(tItens[[#This Row],[Produto]],tProdutos[Produto],0)),"produto não cadastrado")</f>
        <v>FORA</v>
      </c>
      <c r="K5156" s="12">
        <f>tItens[[#This Row],[Qtd]]*tItens[[#This Row],[Vlr unit]]</f>
        <v>13968</v>
      </c>
      <c r="L5156" s="6">
        <f>IFERROR(IF(INDEX(tProdutos[Desconto homologado],MATCH(tItens[[#This Row],[Produto]],tProdutos[Produto],0))="",DescontoPadrao,INDEX(tProdutos[Desconto homologado],MATCH(tItens[[#This Row],[Produto]],tProdutos[Produto],0))),DescontoPadrao)</f>
        <v>0.19963672657401599</v>
      </c>
      <c r="M5156" s="12">
        <f>tItens[[#This Row],[Valor]]*(1-tItens[[#This Row],[Desconto]])</f>
        <v>11179.474203214144</v>
      </c>
      <c r="N5156" t="str">
        <f>IFERROR(INDEX(tProdutos[Foco],MATCH(tItens[[#This Row],[Produto]],tProdutos[Produto],0)),"Não")</f>
        <v>Não</v>
      </c>
      <c r="O5156" t="str">
        <f>IFERROR(INDEX(tEditais[SRP],MATCH(tItens[[#This Row],[Edital]],tEditais[Edital],0)),"Não")</f>
        <v>Sim</v>
      </c>
      <c r="P5156" s="4">
        <f>IF(COUNTIFS(INDEX(tItens[Edital],1):tItens[[#This Row],[Edital]],tItens[[#This Row],[Edital]],INDEX(tItens[Produto],1):tItens[[#This Row],[Produto]],tItens[[#This Row],[Produto]])=1,1,0)</f>
        <v>1</v>
      </c>
    </row>
    <row r="5157" spans="1:16" x14ac:dyDescent="0.25">
      <c r="A5157" t="s">
        <v>1992</v>
      </c>
      <c r="B5157">
        <v>131</v>
      </c>
      <c r="C5157" t="s">
        <v>7956</v>
      </c>
      <c r="D5157" t="s">
        <v>343</v>
      </c>
      <c r="E5157" s="13">
        <v>200</v>
      </c>
      <c r="F5157" s="12">
        <v>1.79</v>
      </c>
      <c r="G5157" t="str">
        <f>IFERROR(INDEX(tEditais[Órgão],MATCH(tItens[[#This Row],[Edital]],tEditais[Edital],0)),"")</f>
        <v>AUTARQUIA MUNICIPAL DE SAUDE DE RIO BOM - AMS - RB</v>
      </c>
      <c r="H5157" t="str">
        <f>IFERROR(INDEX(tEditais[UF],MATCH(tItens[[#This Row],[Edital]],tEditais[Edital],0)),"")</f>
        <v>PR</v>
      </c>
      <c r="I5157" s="11">
        <f>IFERROR(INDEX(tEditais[Encerramento],MATCH(tItens[[#This Row],[Edital]],tEditais[Edital],0)),"")</f>
        <v>46308.333333333336</v>
      </c>
      <c r="J5157" t="str">
        <f>IFERROR(INDEX(tProdutos[Classe],MATCH(tItens[[#This Row],[Produto]],tProdutos[Produto],0)),"produto não cadastrado")</f>
        <v>FORA</v>
      </c>
      <c r="K5157" s="12">
        <f>tItens[[#This Row],[Qtd]]*tItens[[#This Row],[Vlr unit]]</f>
        <v>358</v>
      </c>
      <c r="L5157" s="6">
        <f>IFERROR(IF(INDEX(tProdutos[Desconto homologado],MATCH(tItens[[#This Row],[Produto]],tProdutos[Produto],0))="",DescontoPadrao,INDEX(tProdutos[Desconto homologado],MATCH(tItens[[#This Row],[Produto]],tProdutos[Produto],0))),DescontoPadrao)</f>
        <v>0.35412234042553198</v>
      </c>
      <c r="M5157" s="12">
        <f>tItens[[#This Row],[Valor]]*(1-tItens[[#This Row],[Desconto]])</f>
        <v>231.22420212765954</v>
      </c>
      <c r="N5157" t="str">
        <f>IFERROR(INDEX(tProdutos[Foco],MATCH(tItens[[#This Row],[Produto]],tProdutos[Produto],0)),"Não")</f>
        <v>Não</v>
      </c>
      <c r="O5157" t="str">
        <f>IFERROR(INDEX(tEditais[SRP],MATCH(tItens[[#This Row],[Edital]],tEditais[Edital],0)),"Não")</f>
        <v>Sim</v>
      </c>
      <c r="P5157" s="4">
        <f>IF(COUNTIFS(INDEX(tItens[Edital],1):tItens[[#This Row],[Edital]],tItens[[#This Row],[Edital]],INDEX(tItens[Produto],1):tItens[[#This Row],[Produto]],tItens[[#This Row],[Produto]])=1,1,0)</f>
        <v>1</v>
      </c>
    </row>
    <row r="5158" spans="1:16" x14ac:dyDescent="0.25">
      <c r="A5158" t="s">
        <v>1992</v>
      </c>
      <c r="B5158">
        <v>132</v>
      </c>
      <c r="C5158" t="s">
        <v>7957</v>
      </c>
      <c r="D5158" t="s">
        <v>343</v>
      </c>
      <c r="E5158" s="13">
        <v>300</v>
      </c>
      <c r="F5158" s="12">
        <v>2.68</v>
      </c>
      <c r="G5158" t="str">
        <f>IFERROR(INDEX(tEditais[Órgão],MATCH(tItens[[#This Row],[Edital]],tEditais[Edital],0)),"")</f>
        <v>AUTARQUIA MUNICIPAL DE SAUDE DE RIO BOM - AMS - RB</v>
      </c>
      <c r="H5158" t="str">
        <f>IFERROR(INDEX(tEditais[UF],MATCH(tItens[[#This Row],[Edital]],tEditais[Edital],0)),"")</f>
        <v>PR</v>
      </c>
      <c r="I5158" s="11">
        <f>IFERROR(INDEX(tEditais[Encerramento],MATCH(tItens[[#This Row],[Edital]],tEditais[Edital],0)),"")</f>
        <v>46308.333333333336</v>
      </c>
      <c r="J5158" t="str">
        <f>IFERROR(INDEX(tProdutos[Classe],MATCH(tItens[[#This Row],[Produto]],tProdutos[Produto],0)),"produto não cadastrado")</f>
        <v>FORA</v>
      </c>
      <c r="K5158" s="12">
        <f>tItens[[#This Row],[Qtd]]*tItens[[#This Row],[Vlr unit]]</f>
        <v>804</v>
      </c>
      <c r="L5158" s="6">
        <f>IFERROR(IF(INDEX(tProdutos[Desconto homologado],MATCH(tItens[[#This Row],[Produto]],tProdutos[Produto],0))="",DescontoPadrao,INDEX(tProdutos[Desconto homologado],MATCH(tItens[[#This Row],[Produto]],tProdutos[Produto],0))),DescontoPadrao)</f>
        <v>0.35412234042553198</v>
      </c>
      <c r="M5158" s="12">
        <f>tItens[[#This Row],[Valor]]*(1-tItens[[#This Row],[Desconto]])</f>
        <v>519.2856382978722</v>
      </c>
      <c r="N5158" t="str">
        <f>IFERROR(INDEX(tProdutos[Foco],MATCH(tItens[[#This Row],[Produto]],tProdutos[Produto],0)),"Não")</f>
        <v>Não</v>
      </c>
      <c r="O5158" t="str">
        <f>IFERROR(INDEX(tEditais[SRP],MATCH(tItens[[#This Row],[Edital]],tEditais[Edital],0)),"Não")</f>
        <v>Sim</v>
      </c>
      <c r="P5158" s="4">
        <f>IF(COUNTIFS(INDEX(tItens[Edital],1):tItens[[#This Row],[Edital]],tItens[[#This Row],[Edital]],INDEX(tItens[Produto],1):tItens[[#This Row],[Produto]],tItens[[#This Row],[Produto]])=1,1,0)</f>
        <v>0</v>
      </c>
    </row>
    <row r="5159" spans="1:16" x14ac:dyDescent="0.25">
      <c r="A5159" t="s">
        <v>1992</v>
      </c>
      <c r="B5159">
        <v>133</v>
      </c>
      <c r="C5159" t="s">
        <v>7958</v>
      </c>
      <c r="D5159" t="s">
        <v>343</v>
      </c>
      <c r="E5159" s="13">
        <v>500</v>
      </c>
      <c r="F5159" s="12">
        <v>2.94</v>
      </c>
      <c r="G5159" t="str">
        <f>IFERROR(INDEX(tEditais[Órgão],MATCH(tItens[[#This Row],[Edital]],tEditais[Edital],0)),"")</f>
        <v>AUTARQUIA MUNICIPAL DE SAUDE DE RIO BOM - AMS - RB</v>
      </c>
      <c r="H5159" t="str">
        <f>IFERROR(INDEX(tEditais[UF],MATCH(tItens[[#This Row],[Edital]],tEditais[Edital],0)),"")</f>
        <v>PR</v>
      </c>
      <c r="I5159" s="11">
        <f>IFERROR(INDEX(tEditais[Encerramento],MATCH(tItens[[#This Row],[Edital]],tEditais[Edital],0)),"")</f>
        <v>46308.333333333336</v>
      </c>
      <c r="J5159" t="str">
        <f>IFERROR(INDEX(tProdutos[Classe],MATCH(tItens[[#This Row],[Produto]],tProdutos[Produto],0)),"produto não cadastrado")</f>
        <v>FORA</v>
      </c>
      <c r="K5159" s="12">
        <f>tItens[[#This Row],[Qtd]]*tItens[[#This Row],[Vlr unit]]</f>
        <v>1470</v>
      </c>
      <c r="L5159" s="6">
        <f>IFERROR(IF(INDEX(tProdutos[Desconto homologado],MATCH(tItens[[#This Row],[Produto]],tProdutos[Produto],0))="",DescontoPadrao,INDEX(tProdutos[Desconto homologado],MATCH(tItens[[#This Row],[Produto]],tProdutos[Produto],0))),DescontoPadrao)</f>
        <v>0.35412234042553198</v>
      </c>
      <c r="M5159" s="12">
        <f>tItens[[#This Row],[Valor]]*(1-tItens[[#This Row],[Desconto]])</f>
        <v>949.44015957446788</v>
      </c>
      <c r="N5159" t="str">
        <f>IFERROR(INDEX(tProdutos[Foco],MATCH(tItens[[#This Row],[Produto]],tProdutos[Produto],0)),"Não")</f>
        <v>Não</v>
      </c>
      <c r="O5159" t="str">
        <f>IFERROR(INDEX(tEditais[SRP],MATCH(tItens[[#This Row],[Edital]],tEditais[Edital],0)),"Não")</f>
        <v>Sim</v>
      </c>
      <c r="P5159" s="4">
        <f>IF(COUNTIFS(INDEX(tItens[Edital],1):tItens[[#This Row],[Edital]],tItens[[#This Row],[Edital]],INDEX(tItens[Produto],1):tItens[[#This Row],[Produto]],tItens[[#This Row],[Produto]])=1,1,0)</f>
        <v>0</v>
      </c>
    </row>
    <row r="5160" spans="1:16" x14ac:dyDescent="0.25">
      <c r="A5160" t="s">
        <v>1992</v>
      </c>
      <c r="B5160">
        <v>134</v>
      </c>
      <c r="C5160" t="s">
        <v>7959</v>
      </c>
      <c r="D5160" t="s">
        <v>343</v>
      </c>
      <c r="E5160" s="13">
        <v>150</v>
      </c>
      <c r="F5160" s="12">
        <v>2.6</v>
      </c>
      <c r="G5160" t="str">
        <f>IFERROR(INDEX(tEditais[Órgão],MATCH(tItens[[#This Row],[Edital]],tEditais[Edital],0)),"")</f>
        <v>AUTARQUIA MUNICIPAL DE SAUDE DE RIO BOM - AMS - RB</v>
      </c>
      <c r="H5160" t="str">
        <f>IFERROR(INDEX(tEditais[UF],MATCH(tItens[[#This Row],[Edital]],tEditais[Edital],0)),"")</f>
        <v>PR</v>
      </c>
      <c r="I5160" s="11">
        <f>IFERROR(INDEX(tEditais[Encerramento],MATCH(tItens[[#This Row],[Edital]],tEditais[Edital],0)),"")</f>
        <v>46308.333333333336</v>
      </c>
      <c r="J5160" t="str">
        <f>IFERROR(INDEX(tProdutos[Classe],MATCH(tItens[[#This Row],[Produto]],tProdutos[Produto],0)),"produto não cadastrado")</f>
        <v>FORA</v>
      </c>
      <c r="K5160" s="12">
        <f>tItens[[#This Row],[Qtd]]*tItens[[#This Row],[Vlr unit]]</f>
        <v>390</v>
      </c>
      <c r="L5160" s="6">
        <f>IFERROR(IF(INDEX(tProdutos[Desconto homologado],MATCH(tItens[[#This Row],[Produto]],tProdutos[Produto],0))="",DescontoPadrao,INDEX(tProdutos[Desconto homologado],MATCH(tItens[[#This Row],[Produto]],tProdutos[Produto],0))),DescontoPadrao)</f>
        <v>0.35412234042553198</v>
      </c>
      <c r="M5160" s="12">
        <f>tItens[[#This Row],[Valor]]*(1-tItens[[#This Row],[Desconto]])</f>
        <v>251.8922872340425</v>
      </c>
      <c r="N5160" t="str">
        <f>IFERROR(INDEX(tProdutos[Foco],MATCH(tItens[[#This Row],[Produto]],tProdutos[Produto],0)),"Não")</f>
        <v>Não</v>
      </c>
      <c r="O5160" t="str">
        <f>IFERROR(INDEX(tEditais[SRP],MATCH(tItens[[#This Row],[Edital]],tEditais[Edital],0)),"Não")</f>
        <v>Sim</v>
      </c>
      <c r="P5160" s="4">
        <f>IF(COUNTIFS(INDEX(tItens[Edital],1):tItens[[#This Row],[Edital]],tItens[[#This Row],[Edital]],INDEX(tItens[Produto],1):tItens[[#This Row],[Produto]],tItens[[#This Row],[Produto]])=1,1,0)</f>
        <v>0</v>
      </c>
    </row>
    <row r="5161" spans="1:16" x14ac:dyDescent="0.25">
      <c r="A5161" t="s">
        <v>1992</v>
      </c>
      <c r="B5161">
        <v>135</v>
      </c>
      <c r="C5161" t="s">
        <v>7960</v>
      </c>
      <c r="D5161" t="s">
        <v>343</v>
      </c>
      <c r="E5161" s="13">
        <v>100</v>
      </c>
      <c r="F5161" s="12">
        <v>2.67</v>
      </c>
      <c r="G5161" t="str">
        <f>IFERROR(INDEX(tEditais[Órgão],MATCH(tItens[[#This Row],[Edital]],tEditais[Edital],0)),"")</f>
        <v>AUTARQUIA MUNICIPAL DE SAUDE DE RIO BOM - AMS - RB</v>
      </c>
      <c r="H5161" t="str">
        <f>IFERROR(INDEX(tEditais[UF],MATCH(tItens[[#This Row],[Edital]],tEditais[Edital],0)),"")</f>
        <v>PR</v>
      </c>
      <c r="I5161" s="11">
        <f>IFERROR(INDEX(tEditais[Encerramento],MATCH(tItens[[#This Row],[Edital]],tEditais[Edital],0)),"")</f>
        <v>46308.333333333336</v>
      </c>
      <c r="J5161" t="str">
        <f>IFERROR(INDEX(tProdutos[Classe],MATCH(tItens[[#This Row],[Produto]],tProdutos[Produto],0)),"produto não cadastrado")</f>
        <v>FORA</v>
      </c>
      <c r="K5161" s="12">
        <f>tItens[[#This Row],[Qtd]]*tItens[[#This Row],[Vlr unit]]</f>
        <v>267</v>
      </c>
      <c r="L5161" s="6">
        <f>IFERROR(IF(INDEX(tProdutos[Desconto homologado],MATCH(tItens[[#This Row],[Produto]],tProdutos[Produto],0))="",DescontoPadrao,INDEX(tProdutos[Desconto homologado],MATCH(tItens[[#This Row],[Produto]],tProdutos[Produto],0))),DescontoPadrao)</f>
        <v>0.35412234042553198</v>
      </c>
      <c r="M5161" s="12">
        <f>tItens[[#This Row],[Valor]]*(1-tItens[[#This Row],[Desconto]])</f>
        <v>172.44933510638296</v>
      </c>
      <c r="N5161" t="str">
        <f>IFERROR(INDEX(tProdutos[Foco],MATCH(tItens[[#This Row],[Produto]],tProdutos[Produto],0)),"Não")</f>
        <v>Não</v>
      </c>
      <c r="O5161" t="str">
        <f>IFERROR(INDEX(tEditais[SRP],MATCH(tItens[[#This Row],[Edital]],tEditais[Edital],0)),"Não")</f>
        <v>Sim</v>
      </c>
      <c r="P5161" s="4">
        <f>IF(COUNTIFS(INDEX(tItens[Edital],1):tItens[[#This Row],[Edital]],tItens[[#This Row],[Edital]],INDEX(tItens[Produto],1):tItens[[#This Row],[Produto]],tItens[[#This Row],[Produto]])=1,1,0)</f>
        <v>0</v>
      </c>
    </row>
    <row r="5162" spans="1:16" x14ac:dyDescent="0.25">
      <c r="A5162" t="s">
        <v>1992</v>
      </c>
      <c r="B5162">
        <v>141</v>
      </c>
      <c r="C5162" t="s">
        <v>7961</v>
      </c>
      <c r="D5162" t="s">
        <v>235</v>
      </c>
      <c r="E5162" s="13">
        <v>70</v>
      </c>
      <c r="F5162" s="12">
        <v>22.71</v>
      </c>
      <c r="G5162" t="str">
        <f>IFERROR(INDEX(tEditais[Órgão],MATCH(tItens[[#This Row],[Edital]],tEditais[Edital],0)),"")</f>
        <v>AUTARQUIA MUNICIPAL DE SAUDE DE RIO BOM - AMS - RB</v>
      </c>
      <c r="H5162" t="str">
        <f>IFERROR(INDEX(tEditais[UF],MATCH(tItens[[#This Row],[Edital]],tEditais[Edital],0)),"")</f>
        <v>PR</v>
      </c>
      <c r="I5162" s="11">
        <f>IFERROR(INDEX(tEditais[Encerramento],MATCH(tItens[[#This Row],[Edital]],tEditais[Edital],0)),"")</f>
        <v>46308.333333333336</v>
      </c>
      <c r="J5162" t="str">
        <f>IFERROR(INDEX(tProdutos[Classe],MATCH(tItens[[#This Row],[Produto]],tProdutos[Produto],0)),"produto não cadastrado")</f>
        <v>FORA</v>
      </c>
      <c r="K5162" s="12">
        <f>tItens[[#This Row],[Qtd]]*tItens[[#This Row],[Vlr unit]]</f>
        <v>1589.7</v>
      </c>
      <c r="L5162" s="6">
        <f>IFERROR(IF(INDEX(tProdutos[Desconto homologado],MATCH(tItens[[#This Row],[Produto]],tProdutos[Produto],0))="",DescontoPadrao,INDEX(tProdutos[Desconto homologado],MATCH(tItens[[#This Row],[Produto]],tProdutos[Produto],0))),DescontoPadrao)</f>
        <v>0.39258144764429198</v>
      </c>
      <c r="M5162" s="12">
        <f>tItens[[#This Row],[Valor]]*(1-tItens[[#This Row],[Desconto]])</f>
        <v>965.61327267986917</v>
      </c>
      <c r="N5162" t="str">
        <f>IFERROR(INDEX(tProdutos[Foco],MATCH(tItens[[#This Row],[Produto]],tProdutos[Produto],0)),"Não")</f>
        <v>Não</v>
      </c>
      <c r="O5162" t="str">
        <f>IFERROR(INDEX(tEditais[SRP],MATCH(tItens[[#This Row],[Edital]],tEditais[Edital],0)),"Não")</f>
        <v>Sim</v>
      </c>
      <c r="P5162" s="4">
        <f>IF(COUNTIFS(INDEX(tItens[Edital],1):tItens[[#This Row],[Edital]],tItens[[#This Row],[Edital]],INDEX(tItens[Produto],1):tItens[[#This Row],[Produto]],tItens[[#This Row],[Produto]])=1,1,0)</f>
        <v>1</v>
      </c>
    </row>
    <row r="5163" spans="1:16" x14ac:dyDescent="0.25">
      <c r="A5163" t="s">
        <v>1992</v>
      </c>
      <c r="B5163">
        <v>142</v>
      </c>
      <c r="C5163" t="s">
        <v>7962</v>
      </c>
      <c r="D5163" t="s">
        <v>235</v>
      </c>
      <c r="E5163" s="13">
        <v>30</v>
      </c>
      <c r="F5163" s="12">
        <v>20.55</v>
      </c>
      <c r="G5163" t="str">
        <f>IFERROR(INDEX(tEditais[Órgão],MATCH(tItens[[#This Row],[Edital]],tEditais[Edital],0)),"")</f>
        <v>AUTARQUIA MUNICIPAL DE SAUDE DE RIO BOM - AMS - RB</v>
      </c>
      <c r="H5163" t="str">
        <f>IFERROR(INDEX(tEditais[UF],MATCH(tItens[[#This Row],[Edital]],tEditais[Edital],0)),"")</f>
        <v>PR</v>
      </c>
      <c r="I5163" s="11">
        <f>IFERROR(INDEX(tEditais[Encerramento],MATCH(tItens[[#This Row],[Edital]],tEditais[Edital],0)),"")</f>
        <v>46308.333333333336</v>
      </c>
      <c r="J5163" t="str">
        <f>IFERROR(INDEX(tProdutos[Classe],MATCH(tItens[[#This Row],[Produto]],tProdutos[Produto],0)),"produto não cadastrado")</f>
        <v>FORA</v>
      </c>
      <c r="K5163" s="12">
        <f>tItens[[#This Row],[Qtd]]*tItens[[#This Row],[Vlr unit]]</f>
        <v>616.5</v>
      </c>
      <c r="L5163" s="6">
        <f>IFERROR(IF(INDEX(tProdutos[Desconto homologado],MATCH(tItens[[#This Row],[Produto]],tProdutos[Produto],0))="",DescontoPadrao,INDEX(tProdutos[Desconto homologado],MATCH(tItens[[#This Row],[Produto]],tProdutos[Produto],0))),DescontoPadrao)</f>
        <v>0.39258144764429198</v>
      </c>
      <c r="M5163" s="12">
        <f>tItens[[#This Row],[Valor]]*(1-tItens[[#This Row],[Desconto]])</f>
        <v>374.47353752729401</v>
      </c>
      <c r="N5163" t="str">
        <f>IFERROR(INDEX(tProdutos[Foco],MATCH(tItens[[#This Row],[Produto]],tProdutos[Produto],0)),"Não")</f>
        <v>Não</v>
      </c>
      <c r="O5163" t="str">
        <f>IFERROR(INDEX(tEditais[SRP],MATCH(tItens[[#This Row],[Edital]],tEditais[Edital],0)),"Não")</f>
        <v>Sim</v>
      </c>
      <c r="P5163" s="4">
        <f>IF(COUNTIFS(INDEX(tItens[Edital],1):tItens[[#This Row],[Edital]],tItens[[#This Row],[Edital]],INDEX(tItens[Produto],1):tItens[[#This Row],[Produto]],tItens[[#This Row],[Produto]])=1,1,0)</f>
        <v>0</v>
      </c>
    </row>
    <row r="5164" spans="1:16" x14ac:dyDescent="0.25">
      <c r="A5164" t="s">
        <v>1992</v>
      </c>
      <c r="B5164">
        <v>143</v>
      </c>
      <c r="C5164" t="s">
        <v>7963</v>
      </c>
      <c r="D5164" t="s">
        <v>399</v>
      </c>
      <c r="E5164" s="13">
        <v>30</v>
      </c>
      <c r="F5164" s="12">
        <v>27.72</v>
      </c>
      <c r="G5164" t="str">
        <f>IFERROR(INDEX(tEditais[Órgão],MATCH(tItens[[#This Row],[Edital]],tEditais[Edital],0)),"")</f>
        <v>AUTARQUIA MUNICIPAL DE SAUDE DE RIO BOM - AMS - RB</v>
      </c>
      <c r="H5164" t="str">
        <f>IFERROR(INDEX(tEditais[UF],MATCH(tItens[[#This Row],[Edital]],tEditais[Edital],0)),"")</f>
        <v>PR</v>
      </c>
      <c r="I5164" s="11">
        <f>IFERROR(INDEX(tEditais[Encerramento],MATCH(tItens[[#This Row],[Edital]],tEditais[Edital],0)),"")</f>
        <v>46308.333333333336</v>
      </c>
      <c r="J5164" t="str">
        <f>IFERROR(INDEX(tProdutos[Classe],MATCH(tItens[[#This Row],[Produto]],tProdutos[Produto],0)),"produto não cadastrado")</f>
        <v>FORA</v>
      </c>
      <c r="K5164" s="12">
        <f>tItens[[#This Row],[Qtd]]*tItens[[#This Row],[Vlr unit]]</f>
        <v>831.59999999999991</v>
      </c>
      <c r="L5164" s="6">
        <f>IFERROR(IF(INDEX(tProdutos[Desconto homologado],MATCH(tItens[[#This Row],[Produto]],tProdutos[Produto],0))="",DescontoPadrao,INDEX(tProdutos[Desconto homologado],MATCH(tItens[[#This Row],[Produto]],tProdutos[Produto],0))),DescontoPadrao)</f>
        <v>0.30009041591320101</v>
      </c>
      <c r="M5164" s="12">
        <f>tItens[[#This Row],[Valor]]*(1-tItens[[#This Row],[Desconto]])</f>
        <v>582.04481012658198</v>
      </c>
      <c r="N5164" t="str">
        <f>IFERROR(INDEX(tProdutos[Foco],MATCH(tItens[[#This Row],[Produto]],tProdutos[Produto],0)),"Não")</f>
        <v>Não</v>
      </c>
      <c r="O5164" t="str">
        <f>IFERROR(INDEX(tEditais[SRP],MATCH(tItens[[#This Row],[Edital]],tEditais[Edital],0)),"Não")</f>
        <v>Sim</v>
      </c>
      <c r="P5164" s="4">
        <f>IF(COUNTIFS(INDEX(tItens[Edital],1):tItens[[#This Row],[Edital]],tItens[[#This Row],[Edital]],INDEX(tItens[Produto],1):tItens[[#This Row],[Produto]],tItens[[#This Row],[Produto]])=1,1,0)</f>
        <v>1</v>
      </c>
    </row>
    <row r="5165" spans="1:16" x14ac:dyDescent="0.25">
      <c r="A5165" t="s">
        <v>1992</v>
      </c>
      <c r="B5165">
        <v>144</v>
      </c>
      <c r="C5165" t="s">
        <v>7964</v>
      </c>
      <c r="D5165" t="s">
        <v>399</v>
      </c>
      <c r="E5165" s="13">
        <v>20</v>
      </c>
      <c r="F5165" s="12">
        <v>24.27</v>
      </c>
      <c r="G5165" t="str">
        <f>IFERROR(INDEX(tEditais[Órgão],MATCH(tItens[[#This Row],[Edital]],tEditais[Edital],0)),"")</f>
        <v>AUTARQUIA MUNICIPAL DE SAUDE DE RIO BOM - AMS - RB</v>
      </c>
      <c r="H5165" t="str">
        <f>IFERROR(INDEX(tEditais[UF],MATCH(tItens[[#This Row],[Edital]],tEditais[Edital],0)),"")</f>
        <v>PR</v>
      </c>
      <c r="I5165" s="11">
        <f>IFERROR(INDEX(tEditais[Encerramento],MATCH(tItens[[#This Row],[Edital]],tEditais[Edital],0)),"")</f>
        <v>46308.333333333336</v>
      </c>
      <c r="J5165" t="str">
        <f>IFERROR(INDEX(tProdutos[Classe],MATCH(tItens[[#This Row],[Produto]],tProdutos[Produto],0)),"produto não cadastrado")</f>
        <v>FORA</v>
      </c>
      <c r="K5165" s="12">
        <f>tItens[[#This Row],[Qtd]]*tItens[[#This Row],[Vlr unit]]</f>
        <v>485.4</v>
      </c>
      <c r="L5165" s="6">
        <f>IFERROR(IF(INDEX(tProdutos[Desconto homologado],MATCH(tItens[[#This Row],[Produto]],tProdutos[Produto],0))="",DescontoPadrao,INDEX(tProdutos[Desconto homologado],MATCH(tItens[[#This Row],[Produto]],tProdutos[Produto],0))),DescontoPadrao)</f>
        <v>0.30009041591320101</v>
      </c>
      <c r="M5165" s="12">
        <f>tItens[[#This Row],[Valor]]*(1-tItens[[#This Row],[Desconto]])</f>
        <v>339.73611211573223</v>
      </c>
      <c r="N5165" t="str">
        <f>IFERROR(INDEX(tProdutos[Foco],MATCH(tItens[[#This Row],[Produto]],tProdutos[Produto],0)),"Não")</f>
        <v>Não</v>
      </c>
      <c r="O5165" t="str">
        <f>IFERROR(INDEX(tEditais[SRP],MATCH(tItens[[#This Row],[Edital]],tEditais[Edital],0)),"Não")</f>
        <v>Sim</v>
      </c>
      <c r="P5165" s="4">
        <f>IF(COUNTIFS(INDEX(tItens[Edital],1):tItens[[#This Row],[Edital]],tItens[[#This Row],[Edital]],INDEX(tItens[Produto],1):tItens[[#This Row],[Produto]],tItens[[#This Row],[Produto]])=1,1,0)</f>
        <v>0</v>
      </c>
    </row>
    <row r="5166" spans="1:16" x14ac:dyDescent="0.25">
      <c r="A5166" t="s">
        <v>1992</v>
      </c>
      <c r="B5166">
        <v>145</v>
      </c>
      <c r="C5166" t="s">
        <v>7965</v>
      </c>
      <c r="D5166" t="s">
        <v>385</v>
      </c>
      <c r="E5166" s="13">
        <v>400</v>
      </c>
      <c r="F5166" s="12">
        <v>13.82</v>
      </c>
      <c r="G5166" t="str">
        <f>IFERROR(INDEX(tEditais[Órgão],MATCH(tItens[[#This Row],[Edital]],tEditais[Edital],0)),"")</f>
        <v>AUTARQUIA MUNICIPAL DE SAUDE DE RIO BOM - AMS - RB</v>
      </c>
      <c r="H5166" t="str">
        <f>IFERROR(INDEX(tEditais[UF],MATCH(tItens[[#This Row],[Edital]],tEditais[Edital],0)),"")</f>
        <v>PR</v>
      </c>
      <c r="I5166" s="11">
        <f>IFERROR(INDEX(tEditais[Encerramento],MATCH(tItens[[#This Row],[Edital]],tEditais[Edital],0)),"")</f>
        <v>46308.333333333336</v>
      </c>
      <c r="J5166" t="str">
        <f>IFERROR(INDEX(tProdutos[Classe],MATCH(tItens[[#This Row],[Produto]],tProdutos[Produto],0)),"produto não cadastrado")</f>
        <v>FORA</v>
      </c>
      <c r="K5166" s="12">
        <f>tItens[[#This Row],[Qtd]]*tItens[[#This Row],[Vlr unit]]</f>
        <v>5528</v>
      </c>
      <c r="L5166" s="6">
        <f>IFERROR(IF(INDEX(tProdutos[Desconto homologado],MATCH(tItens[[#This Row],[Produto]],tProdutos[Produto],0))="",DescontoPadrao,INDEX(tProdutos[Desconto homologado],MATCH(tItens[[#This Row],[Produto]],tProdutos[Produto],0))),DescontoPadrao)</f>
        <v>0.46969696969697</v>
      </c>
      <c r="M5166" s="12">
        <f>tItens[[#This Row],[Valor]]*(1-tItens[[#This Row],[Desconto]])</f>
        <v>2931.5151515151501</v>
      </c>
      <c r="N5166" t="str">
        <f>IFERROR(INDEX(tProdutos[Foco],MATCH(tItens[[#This Row],[Produto]],tProdutos[Produto],0)),"Não")</f>
        <v>Não</v>
      </c>
      <c r="O5166" t="str">
        <f>IFERROR(INDEX(tEditais[SRP],MATCH(tItens[[#This Row],[Edital]],tEditais[Edital],0)),"Não")</f>
        <v>Sim</v>
      </c>
      <c r="P5166" s="4">
        <f>IF(COUNTIFS(INDEX(tItens[Edital],1):tItens[[#This Row],[Edital]],tItens[[#This Row],[Edital]],INDEX(tItens[Produto],1):tItens[[#This Row],[Produto]],tItens[[#This Row],[Produto]])=1,1,0)</f>
        <v>1</v>
      </c>
    </row>
    <row r="5167" spans="1:16" x14ac:dyDescent="0.25">
      <c r="A5167" t="s">
        <v>1992</v>
      </c>
      <c r="B5167">
        <v>146</v>
      </c>
      <c r="C5167" t="s">
        <v>7966</v>
      </c>
      <c r="D5167" t="s">
        <v>170</v>
      </c>
      <c r="E5167" s="13">
        <v>12</v>
      </c>
      <c r="F5167" s="12">
        <v>178.67</v>
      </c>
      <c r="G5167" t="str">
        <f>IFERROR(INDEX(tEditais[Órgão],MATCH(tItens[[#This Row],[Edital]],tEditais[Edital],0)),"")</f>
        <v>AUTARQUIA MUNICIPAL DE SAUDE DE RIO BOM - AMS - RB</v>
      </c>
      <c r="H5167" t="str">
        <f>IFERROR(INDEX(tEditais[UF],MATCH(tItens[[#This Row],[Edital]],tEditais[Edital],0)),"")</f>
        <v>PR</v>
      </c>
      <c r="I5167" s="11">
        <f>IFERROR(INDEX(tEditais[Encerramento],MATCH(tItens[[#This Row],[Edital]],tEditais[Edital],0)),"")</f>
        <v>46308.333333333336</v>
      </c>
      <c r="J5167" t="str">
        <f>IFERROR(INDEX(tProdutos[Classe],MATCH(tItens[[#This Row],[Produto]],tProdutos[Produto],0)),"produto não cadastrado")</f>
        <v>DISPUTADO</v>
      </c>
      <c r="K5167" s="12">
        <f>tItens[[#This Row],[Qtd]]*tItens[[#This Row],[Vlr unit]]</f>
        <v>2144.04</v>
      </c>
      <c r="L5167" s="6">
        <f>IFERROR(IF(INDEX(tProdutos[Desconto homologado],MATCH(tItens[[#This Row],[Produto]],tProdutos[Produto],0))="",DescontoPadrao,INDEX(tProdutos[Desconto homologado],MATCH(tItens[[#This Row],[Produto]],tProdutos[Produto],0))),DescontoPadrao)</f>
        <v>0.36</v>
      </c>
      <c r="M5167" s="12">
        <f>tItens[[#This Row],[Valor]]*(1-tItens[[#This Row],[Desconto]])</f>
        <v>1372.1856</v>
      </c>
      <c r="N5167" t="str">
        <f>IFERROR(INDEX(tProdutos[Foco],MATCH(tItens[[#This Row],[Produto]],tProdutos[Produto],0)),"Não")</f>
        <v>Sim</v>
      </c>
      <c r="O5167" t="str">
        <f>IFERROR(INDEX(tEditais[SRP],MATCH(tItens[[#This Row],[Edital]],tEditais[Edital],0)),"Não")</f>
        <v>Sim</v>
      </c>
      <c r="P5167" s="4">
        <f>IF(COUNTIFS(INDEX(tItens[Edital],1):tItens[[#This Row],[Edital]],tItens[[#This Row],[Edital]],INDEX(tItens[Produto],1):tItens[[#This Row],[Produto]],tItens[[#This Row],[Produto]])=1,1,0)</f>
        <v>1</v>
      </c>
    </row>
    <row r="5168" spans="1:16" x14ac:dyDescent="0.25">
      <c r="A5168" t="s">
        <v>1992</v>
      </c>
      <c r="B5168">
        <v>147</v>
      </c>
      <c r="C5168" t="s">
        <v>7967</v>
      </c>
      <c r="D5168" t="s">
        <v>170</v>
      </c>
      <c r="E5168" s="13">
        <v>12</v>
      </c>
      <c r="F5168" s="12">
        <v>174.33</v>
      </c>
      <c r="G5168" t="str">
        <f>IFERROR(INDEX(tEditais[Órgão],MATCH(tItens[[#This Row],[Edital]],tEditais[Edital],0)),"")</f>
        <v>AUTARQUIA MUNICIPAL DE SAUDE DE RIO BOM - AMS - RB</v>
      </c>
      <c r="H5168" t="str">
        <f>IFERROR(INDEX(tEditais[UF],MATCH(tItens[[#This Row],[Edital]],tEditais[Edital],0)),"")</f>
        <v>PR</v>
      </c>
      <c r="I5168" s="11">
        <f>IFERROR(INDEX(tEditais[Encerramento],MATCH(tItens[[#This Row],[Edital]],tEditais[Edital],0)),"")</f>
        <v>46308.333333333336</v>
      </c>
      <c r="J5168" t="str">
        <f>IFERROR(INDEX(tProdutos[Classe],MATCH(tItens[[#This Row],[Produto]],tProdutos[Produto],0)),"produto não cadastrado")</f>
        <v>DISPUTADO</v>
      </c>
      <c r="K5168" s="12">
        <f>tItens[[#This Row],[Qtd]]*tItens[[#This Row],[Vlr unit]]</f>
        <v>2091.96</v>
      </c>
      <c r="L5168" s="6">
        <f>IFERROR(IF(INDEX(tProdutos[Desconto homologado],MATCH(tItens[[#This Row],[Produto]],tProdutos[Produto],0))="",DescontoPadrao,INDEX(tProdutos[Desconto homologado],MATCH(tItens[[#This Row],[Produto]],tProdutos[Produto],0))),DescontoPadrao)</f>
        <v>0.36</v>
      </c>
      <c r="M5168" s="12">
        <f>tItens[[#This Row],[Valor]]*(1-tItens[[#This Row],[Desconto]])</f>
        <v>1338.8543999999999</v>
      </c>
      <c r="N5168" t="str">
        <f>IFERROR(INDEX(tProdutos[Foco],MATCH(tItens[[#This Row],[Produto]],tProdutos[Produto],0)),"Não")</f>
        <v>Sim</v>
      </c>
      <c r="O5168" t="str">
        <f>IFERROR(INDEX(tEditais[SRP],MATCH(tItens[[#This Row],[Edital]],tEditais[Edital],0)),"Não")</f>
        <v>Sim</v>
      </c>
      <c r="P5168" s="4">
        <f>IF(COUNTIFS(INDEX(tItens[Edital],1):tItens[[#This Row],[Edital]],tItens[[#This Row],[Edital]],INDEX(tItens[Produto],1):tItens[[#This Row],[Produto]],tItens[[#This Row],[Produto]])=1,1,0)</f>
        <v>0</v>
      </c>
    </row>
    <row r="5169" spans="1:16" x14ac:dyDescent="0.25">
      <c r="A5169" t="s">
        <v>1992</v>
      </c>
      <c r="B5169">
        <v>148</v>
      </c>
      <c r="C5169" t="s">
        <v>7968</v>
      </c>
      <c r="D5169" t="s">
        <v>170</v>
      </c>
      <c r="E5169" s="13">
        <v>12</v>
      </c>
      <c r="F5169" s="12">
        <v>150</v>
      </c>
      <c r="G5169" t="str">
        <f>IFERROR(INDEX(tEditais[Órgão],MATCH(tItens[[#This Row],[Edital]],tEditais[Edital],0)),"")</f>
        <v>AUTARQUIA MUNICIPAL DE SAUDE DE RIO BOM - AMS - RB</v>
      </c>
      <c r="H5169" t="str">
        <f>IFERROR(INDEX(tEditais[UF],MATCH(tItens[[#This Row],[Edital]],tEditais[Edital],0)),"")</f>
        <v>PR</v>
      </c>
      <c r="I5169" s="11">
        <f>IFERROR(INDEX(tEditais[Encerramento],MATCH(tItens[[#This Row],[Edital]],tEditais[Edital],0)),"")</f>
        <v>46308.333333333336</v>
      </c>
      <c r="J5169" t="str">
        <f>IFERROR(INDEX(tProdutos[Classe],MATCH(tItens[[#This Row],[Produto]],tProdutos[Produto],0)),"produto não cadastrado")</f>
        <v>DISPUTADO</v>
      </c>
      <c r="K5169" s="12">
        <f>tItens[[#This Row],[Qtd]]*tItens[[#This Row],[Vlr unit]]</f>
        <v>1800</v>
      </c>
      <c r="L5169" s="6">
        <f>IFERROR(IF(INDEX(tProdutos[Desconto homologado],MATCH(tItens[[#This Row],[Produto]],tProdutos[Produto],0))="",DescontoPadrao,INDEX(tProdutos[Desconto homologado],MATCH(tItens[[#This Row],[Produto]],tProdutos[Produto],0))),DescontoPadrao)</f>
        <v>0.36</v>
      </c>
      <c r="M5169" s="12">
        <f>tItens[[#This Row],[Valor]]*(1-tItens[[#This Row],[Desconto]])</f>
        <v>1152</v>
      </c>
      <c r="N5169" t="str">
        <f>IFERROR(INDEX(tProdutos[Foco],MATCH(tItens[[#This Row],[Produto]],tProdutos[Produto],0)),"Não")</f>
        <v>Sim</v>
      </c>
      <c r="O5169" t="str">
        <f>IFERROR(INDEX(tEditais[SRP],MATCH(tItens[[#This Row],[Edital]],tEditais[Edital],0)),"Não")</f>
        <v>Sim</v>
      </c>
      <c r="P5169" s="4">
        <f>IF(COUNTIFS(INDEX(tItens[Edital],1):tItens[[#This Row],[Edital]],tItens[[#This Row],[Edital]],INDEX(tItens[Produto],1):tItens[[#This Row],[Produto]],tItens[[#This Row],[Produto]])=1,1,0)</f>
        <v>0</v>
      </c>
    </row>
    <row r="5170" spans="1:16" x14ac:dyDescent="0.25">
      <c r="A5170" t="s">
        <v>1992</v>
      </c>
      <c r="B5170">
        <v>149</v>
      </c>
      <c r="C5170" t="s">
        <v>7969</v>
      </c>
      <c r="D5170" t="s">
        <v>170</v>
      </c>
      <c r="E5170" s="13">
        <v>12</v>
      </c>
      <c r="F5170" s="12">
        <v>115.78</v>
      </c>
      <c r="G5170" t="str">
        <f>IFERROR(INDEX(tEditais[Órgão],MATCH(tItens[[#This Row],[Edital]],tEditais[Edital],0)),"")</f>
        <v>AUTARQUIA MUNICIPAL DE SAUDE DE RIO BOM - AMS - RB</v>
      </c>
      <c r="H5170" t="str">
        <f>IFERROR(INDEX(tEditais[UF],MATCH(tItens[[#This Row],[Edital]],tEditais[Edital],0)),"")</f>
        <v>PR</v>
      </c>
      <c r="I5170" s="11">
        <f>IFERROR(INDEX(tEditais[Encerramento],MATCH(tItens[[#This Row],[Edital]],tEditais[Edital],0)),"")</f>
        <v>46308.333333333336</v>
      </c>
      <c r="J5170" t="str">
        <f>IFERROR(INDEX(tProdutos[Classe],MATCH(tItens[[#This Row],[Produto]],tProdutos[Produto],0)),"produto não cadastrado")</f>
        <v>DISPUTADO</v>
      </c>
      <c r="K5170" s="12">
        <f>tItens[[#This Row],[Qtd]]*tItens[[#This Row],[Vlr unit]]</f>
        <v>1389.3600000000001</v>
      </c>
      <c r="L5170" s="6">
        <f>IFERROR(IF(INDEX(tProdutos[Desconto homologado],MATCH(tItens[[#This Row],[Produto]],tProdutos[Produto],0))="",DescontoPadrao,INDEX(tProdutos[Desconto homologado],MATCH(tItens[[#This Row],[Produto]],tProdutos[Produto],0))),DescontoPadrao)</f>
        <v>0.36</v>
      </c>
      <c r="M5170" s="12">
        <f>tItens[[#This Row],[Valor]]*(1-tItens[[#This Row],[Desconto]])</f>
        <v>889.19040000000007</v>
      </c>
      <c r="N5170" t="str">
        <f>IFERROR(INDEX(tProdutos[Foco],MATCH(tItens[[#This Row],[Produto]],tProdutos[Produto],0)),"Não")</f>
        <v>Sim</v>
      </c>
      <c r="O5170" t="str">
        <f>IFERROR(INDEX(tEditais[SRP],MATCH(tItens[[#This Row],[Edital]],tEditais[Edital],0)),"Não")</f>
        <v>Sim</v>
      </c>
      <c r="P5170" s="4">
        <f>IF(COUNTIFS(INDEX(tItens[Edital],1):tItens[[#This Row],[Edital]],tItens[[#This Row],[Edital]],INDEX(tItens[Produto],1):tItens[[#This Row],[Produto]],tItens[[#This Row],[Produto]])=1,1,0)</f>
        <v>0</v>
      </c>
    </row>
    <row r="5171" spans="1:16" x14ac:dyDescent="0.25">
      <c r="A5171" t="s">
        <v>1992</v>
      </c>
      <c r="B5171">
        <v>150</v>
      </c>
      <c r="C5171" t="s">
        <v>7970</v>
      </c>
      <c r="D5171" t="s">
        <v>170</v>
      </c>
      <c r="E5171" s="13">
        <v>12</v>
      </c>
      <c r="F5171" s="12">
        <v>157.33000000000001</v>
      </c>
      <c r="G5171" t="str">
        <f>IFERROR(INDEX(tEditais[Órgão],MATCH(tItens[[#This Row],[Edital]],tEditais[Edital],0)),"")</f>
        <v>AUTARQUIA MUNICIPAL DE SAUDE DE RIO BOM - AMS - RB</v>
      </c>
      <c r="H5171" t="str">
        <f>IFERROR(INDEX(tEditais[UF],MATCH(tItens[[#This Row],[Edital]],tEditais[Edital],0)),"")</f>
        <v>PR</v>
      </c>
      <c r="I5171" s="11">
        <f>IFERROR(INDEX(tEditais[Encerramento],MATCH(tItens[[#This Row],[Edital]],tEditais[Edital],0)),"")</f>
        <v>46308.333333333336</v>
      </c>
      <c r="J5171" t="str">
        <f>IFERROR(INDEX(tProdutos[Classe],MATCH(tItens[[#This Row],[Produto]],tProdutos[Produto],0)),"produto não cadastrado")</f>
        <v>DISPUTADO</v>
      </c>
      <c r="K5171" s="12">
        <f>tItens[[#This Row],[Qtd]]*tItens[[#This Row],[Vlr unit]]</f>
        <v>1887.96</v>
      </c>
      <c r="L5171" s="6">
        <f>IFERROR(IF(INDEX(tProdutos[Desconto homologado],MATCH(tItens[[#This Row],[Produto]],tProdutos[Produto],0))="",DescontoPadrao,INDEX(tProdutos[Desconto homologado],MATCH(tItens[[#This Row],[Produto]],tProdutos[Produto],0))),DescontoPadrao)</f>
        <v>0.36</v>
      </c>
      <c r="M5171" s="12">
        <f>tItens[[#This Row],[Valor]]*(1-tItens[[#This Row],[Desconto]])</f>
        <v>1208.2944</v>
      </c>
      <c r="N5171" t="str">
        <f>IFERROR(INDEX(tProdutos[Foco],MATCH(tItens[[#This Row],[Produto]],tProdutos[Produto],0)),"Não")</f>
        <v>Sim</v>
      </c>
      <c r="O5171" t="str">
        <f>IFERROR(INDEX(tEditais[SRP],MATCH(tItens[[#This Row],[Edital]],tEditais[Edital],0)),"Não")</f>
        <v>Sim</v>
      </c>
      <c r="P5171" s="4">
        <f>IF(COUNTIFS(INDEX(tItens[Edital],1):tItens[[#This Row],[Edital]],tItens[[#This Row],[Edital]],INDEX(tItens[Produto],1):tItens[[#This Row],[Produto]],tItens[[#This Row],[Produto]])=1,1,0)</f>
        <v>0</v>
      </c>
    </row>
    <row r="5172" spans="1:16" x14ac:dyDescent="0.25">
      <c r="A5172" t="s">
        <v>1992</v>
      </c>
      <c r="B5172">
        <v>151</v>
      </c>
      <c r="C5172" t="s">
        <v>7971</v>
      </c>
      <c r="D5172" t="s">
        <v>170</v>
      </c>
      <c r="E5172" s="13">
        <v>12</v>
      </c>
      <c r="F5172" s="12">
        <v>170.94</v>
      </c>
      <c r="G5172" t="str">
        <f>IFERROR(INDEX(tEditais[Órgão],MATCH(tItens[[#This Row],[Edital]],tEditais[Edital],0)),"")</f>
        <v>AUTARQUIA MUNICIPAL DE SAUDE DE RIO BOM - AMS - RB</v>
      </c>
      <c r="H5172" t="str">
        <f>IFERROR(INDEX(tEditais[UF],MATCH(tItens[[#This Row],[Edital]],tEditais[Edital],0)),"")</f>
        <v>PR</v>
      </c>
      <c r="I5172" s="11">
        <f>IFERROR(INDEX(tEditais[Encerramento],MATCH(tItens[[#This Row],[Edital]],tEditais[Edital],0)),"")</f>
        <v>46308.333333333336</v>
      </c>
      <c r="J5172" t="str">
        <f>IFERROR(INDEX(tProdutos[Classe],MATCH(tItens[[#This Row],[Produto]],tProdutos[Produto],0)),"produto não cadastrado")</f>
        <v>DISPUTADO</v>
      </c>
      <c r="K5172" s="12">
        <f>tItens[[#This Row],[Qtd]]*tItens[[#This Row],[Vlr unit]]</f>
        <v>2051.2799999999997</v>
      </c>
      <c r="L5172" s="6">
        <f>IFERROR(IF(INDEX(tProdutos[Desconto homologado],MATCH(tItens[[#This Row],[Produto]],tProdutos[Produto],0))="",DescontoPadrao,INDEX(tProdutos[Desconto homologado],MATCH(tItens[[#This Row],[Produto]],tProdutos[Produto],0))),DescontoPadrao)</f>
        <v>0.36</v>
      </c>
      <c r="M5172" s="12">
        <f>tItens[[#This Row],[Valor]]*(1-tItens[[#This Row],[Desconto]])</f>
        <v>1312.8191999999999</v>
      </c>
      <c r="N5172" t="str">
        <f>IFERROR(INDEX(tProdutos[Foco],MATCH(tItens[[#This Row],[Produto]],tProdutos[Produto],0)),"Não")</f>
        <v>Sim</v>
      </c>
      <c r="O5172" t="str">
        <f>IFERROR(INDEX(tEditais[SRP],MATCH(tItens[[#This Row],[Edital]],tEditais[Edital],0)),"Não")</f>
        <v>Sim</v>
      </c>
      <c r="P5172" s="4">
        <f>IF(COUNTIFS(INDEX(tItens[Edital],1):tItens[[#This Row],[Edital]],tItens[[#This Row],[Edital]],INDEX(tItens[Produto],1):tItens[[#This Row],[Produto]],tItens[[#This Row],[Produto]])=1,1,0)</f>
        <v>0</v>
      </c>
    </row>
    <row r="5173" spans="1:16" x14ac:dyDescent="0.25">
      <c r="A5173" t="s">
        <v>1992</v>
      </c>
      <c r="B5173">
        <v>155</v>
      </c>
      <c r="C5173" t="s">
        <v>7972</v>
      </c>
      <c r="D5173" t="s">
        <v>494</v>
      </c>
      <c r="E5173" s="13">
        <v>60</v>
      </c>
      <c r="F5173" s="12">
        <v>105.48</v>
      </c>
      <c r="G5173" t="str">
        <f>IFERROR(INDEX(tEditais[Órgão],MATCH(tItens[[#This Row],[Edital]],tEditais[Edital],0)),"")</f>
        <v>AUTARQUIA MUNICIPAL DE SAUDE DE RIO BOM - AMS - RB</v>
      </c>
      <c r="H5173" t="str">
        <f>IFERROR(INDEX(tEditais[UF],MATCH(tItens[[#This Row],[Edital]],tEditais[Edital],0)),"")</f>
        <v>PR</v>
      </c>
      <c r="I5173" s="11">
        <f>IFERROR(INDEX(tEditais[Encerramento],MATCH(tItens[[#This Row],[Edital]],tEditais[Edital],0)),"")</f>
        <v>46308.333333333336</v>
      </c>
      <c r="J5173" t="str">
        <f>IFERROR(INDEX(tProdutos[Classe],MATCH(tItens[[#This Row],[Produto]],tProdutos[Produto],0)),"produto não cadastrado")</f>
        <v>FILA REBASE</v>
      </c>
      <c r="K5173" s="12">
        <f>tItens[[#This Row],[Qtd]]*tItens[[#This Row],[Vlr unit]]</f>
        <v>6328.8</v>
      </c>
      <c r="L5173" s="6">
        <f>IFERROR(IF(INDEX(tProdutos[Desconto homologado],MATCH(tItens[[#This Row],[Produto]],tProdutos[Produto],0))="",DescontoPadrao,INDEX(tProdutos[Desconto homologado],MATCH(tItens[[#This Row],[Produto]],tProdutos[Produto],0))),DescontoPadrao)</f>
        <v>0.253736324829619</v>
      </c>
      <c r="M5173" s="12">
        <f>tItens[[#This Row],[Valor]]*(1-tItens[[#This Row],[Desconto]])</f>
        <v>4722.9535474183076</v>
      </c>
      <c r="N5173" t="str">
        <f>IFERROR(INDEX(tProdutos[Foco],MATCH(tItens[[#This Row],[Produto]],tProdutos[Produto],0)),"Não")</f>
        <v>Não</v>
      </c>
      <c r="O5173" t="str">
        <f>IFERROR(INDEX(tEditais[SRP],MATCH(tItens[[#This Row],[Edital]],tEditais[Edital],0)),"Não")</f>
        <v>Sim</v>
      </c>
      <c r="P5173" s="4">
        <f>IF(COUNTIFS(INDEX(tItens[Edital],1):tItens[[#This Row],[Edital]],tItens[[#This Row],[Edital]],INDEX(tItens[Produto],1):tItens[[#This Row],[Produto]],tItens[[#This Row],[Produto]])=1,1,0)</f>
        <v>1</v>
      </c>
    </row>
    <row r="5174" spans="1:16" x14ac:dyDescent="0.25">
      <c r="A5174" t="s">
        <v>1992</v>
      </c>
      <c r="B5174">
        <v>156</v>
      </c>
      <c r="C5174" t="s">
        <v>7973</v>
      </c>
      <c r="D5174" t="s">
        <v>494</v>
      </c>
      <c r="E5174" s="13">
        <v>50</v>
      </c>
      <c r="F5174" s="12">
        <v>133.43</v>
      </c>
      <c r="G5174" t="str">
        <f>IFERROR(INDEX(tEditais[Órgão],MATCH(tItens[[#This Row],[Edital]],tEditais[Edital],0)),"")</f>
        <v>AUTARQUIA MUNICIPAL DE SAUDE DE RIO BOM - AMS - RB</v>
      </c>
      <c r="H5174" t="str">
        <f>IFERROR(INDEX(tEditais[UF],MATCH(tItens[[#This Row],[Edital]],tEditais[Edital],0)),"")</f>
        <v>PR</v>
      </c>
      <c r="I5174" s="11">
        <f>IFERROR(INDEX(tEditais[Encerramento],MATCH(tItens[[#This Row],[Edital]],tEditais[Edital],0)),"")</f>
        <v>46308.333333333336</v>
      </c>
      <c r="J5174" t="str">
        <f>IFERROR(INDEX(tProdutos[Classe],MATCH(tItens[[#This Row],[Produto]],tProdutos[Produto],0)),"produto não cadastrado")</f>
        <v>FILA REBASE</v>
      </c>
      <c r="K5174" s="12">
        <f>tItens[[#This Row],[Qtd]]*tItens[[#This Row],[Vlr unit]]</f>
        <v>6671.5</v>
      </c>
      <c r="L5174" s="6">
        <f>IFERROR(IF(INDEX(tProdutos[Desconto homologado],MATCH(tItens[[#This Row],[Produto]],tProdutos[Produto],0))="",DescontoPadrao,INDEX(tProdutos[Desconto homologado],MATCH(tItens[[#This Row],[Produto]],tProdutos[Produto],0))),DescontoPadrao)</f>
        <v>0.253736324829619</v>
      </c>
      <c r="M5174" s="12">
        <f>tItens[[#This Row],[Valor]]*(1-tItens[[#This Row],[Desconto]])</f>
        <v>4978.698108899197</v>
      </c>
      <c r="N5174" t="str">
        <f>IFERROR(INDEX(tProdutos[Foco],MATCH(tItens[[#This Row],[Produto]],tProdutos[Produto],0)),"Não")</f>
        <v>Não</v>
      </c>
      <c r="O5174" t="str">
        <f>IFERROR(INDEX(tEditais[SRP],MATCH(tItens[[#This Row],[Edital]],tEditais[Edital],0)),"Não")</f>
        <v>Sim</v>
      </c>
      <c r="P5174" s="4">
        <f>IF(COUNTIFS(INDEX(tItens[Edital],1):tItens[[#This Row],[Edital]],tItens[[#This Row],[Edital]],INDEX(tItens[Produto],1):tItens[[#This Row],[Produto]],tItens[[#This Row],[Produto]])=1,1,0)</f>
        <v>0</v>
      </c>
    </row>
    <row r="5175" spans="1:16" x14ac:dyDescent="0.25">
      <c r="A5175" t="s">
        <v>1992</v>
      </c>
      <c r="B5175">
        <v>157</v>
      </c>
      <c r="C5175" t="s">
        <v>7974</v>
      </c>
      <c r="D5175" t="s">
        <v>494</v>
      </c>
      <c r="E5175" s="13">
        <v>50</v>
      </c>
      <c r="F5175" s="12">
        <v>197.81</v>
      </c>
      <c r="G5175" t="str">
        <f>IFERROR(INDEX(tEditais[Órgão],MATCH(tItens[[#This Row],[Edital]],tEditais[Edital],0)),"")</f>
        <v>AUTARQUIA MUNICIPAL DE SAUDE DE RIO BOM - AMS - RB</v>
      </c>
      <c r="H5175" t="str">
        <f>IFERROR(INDEX(tEditais[UF],MATCH(tItens[[#This Row],[Edital]],tEditais[Edital],0)),"")</f>
        <v>PR</v>
      </c>
      <c r="I5175" s="11">
        <f>IFERROR(INDEX(tEditais[Encerramento],MATCH(tItens[[#This Row],[Edital]],tEditais[Edital],0)),"")</f>
        <v>46308.333333333336</v>
      </c>
      <c r="J5175" t="str">
        <f>IFERROR(INDEX(tProdutos[Classe],MATCH(tItens[[#This Row],[Produto]],tProdutos[Produto],0)),"produto não cadastrado")</f>
        <v>FILA REBASE</v>
      </c>
      <c r="K5175" s="12">
        <f>tItens[[#This Row],[Qtd]]*tItens[[#This Row],[Vlr unit]]</f>
        <v>9890.5</v>
      </c>
      <c r="L5175" s="6">
        <f>IFERROR(IF(INDEX(tProdutos[Desconto homologado],MATCH(tItens[[#This Row],[Produto]],tProdutos[Produto],0))="",DescontoPadrao,INDEX(tProdutos[Desconto homologado],MATCH(tItens[[#This Row],[Produto]],tProdutos[Produto],0))),DescontoPadrao)</f>
        <v>0.253736324829619</v>
      </c>
      <c r="M5175" s="12">
        <f>tItens[[#This Row],[Valor]]*(1-tItens[[#This Row],[Desconto]])</f>
        <v>7380.920879272654</v>
      </c>
      <c r="N5175" t="str">
        <f>IFERROR(INDEX(tProdutos[Foco],MATCH(tItens[[#This Row],[Produto]],tProdutos[Produto],0)),"Não")</f>
        <v>Não</v>
      </c>
      <c r="O5175" t="str">
        <f>IFERROR(INDEX(tEditais[SRP],MATCH(tItens[[#This Row],[Edital]],tEditais[Edital],0)),"Não")</f>
        <v>Sim</v>
      </c>
      <c r="P5175" s="4">
        <f>IF(COUNTIFS(INDEX(tItens[Edital],1):tItens[[#This Row],[Edital]],tItens[[#This Row],[Edital]],INDEX(tItens[Produto],1):tItens[[#This Row],[Produto]],tItens[[#This Row],[Produto]])=1,1,0)</f>
        <v>0</v>
      </c>
    </row>
    <row r="5176" spans="1:16" x14ac:dyDescent="0.25">
      <c r="A5176" t="s">
        <v>1992</v>
      </c>
      <c r="B5176">
        <v>158</v>
      </c>
      <c r="C5176" t="s">
        <v>7975</v>
      </c>
      <c r="D5176" t="s">
        <v>267</v>
      </c>
      <c r="E5176" s="13">
        <v>200</v>
      </c>
      <c r="F5176" s="12">
        <v>21.81</v>
      </c>
      <c r="G5176" t="str">
        <f>IFERROR(INDEX(tEditais[Órgão],MATCH(tItens[[#This Row],[Edital]],tEditais[Edital],0)),"")</f>
        <v>AUTARQUIA MUNICIPAL DE SAUDE DE RIO BOM - AMS - RB</v>
      </c>
      <c r="H5176" t="str">
        <f>IFERROR(INDEX(tEditais[UF],MATCH(tItens[[#This Row],[Edital]],tEditais[Edital],0)),"")</f>
        <v>PR</v>
      </c>
      <c r="I5176" s="11">
        <f>IFERROR(INDEX(tEditais[Encerramento],MATCH(tItens[[#This Row],[Edital]],tEditais[Edital],0)),"")</f>
        <v>46308.333333333336</v>
      </c>
      <c r="J5176" t="str">
        <f>IFERROR(INDEX(tProdutos[Classe],MATCH(tItens[[#This Row],[Produto]],tProdutos[Produto],0)),"produto não cadastrado")</f>
        <v>FORA</v>
      </c>
      <c r="K5176" s="12">
        <f>tItens[[#This Row],[Qtd]]*tItens[[#This Row],[Vlr unit]]</f>
        <v>4362</v>
      </c>
      <c r="L5176" s="6">
        <f>IFERROR(IF(INDEX(tProdutos[Desconto homologado],MATCH(tItens[[#This Row],[Produto]],tProdutos[Produto],0))="",DescontoPadrao,INDEX(tProdutos[Desconto homologado],MATCH(tItens[[#This Row],[Produto]],tProdutos[Produto],0))),DescontoPadrao)</f>
        <v>0.19963672657401599</v>
      </c>
      <c r="M5176" s="12">
        <f>tItens[[#This Row],[Valor]]*(1-tItens[[#This Row],[Desconto]])</f>
        <v>3491.1845986841422</v>
      </c>
      <c r="N5176" t="str">
        <f>IFERROR(INDEX(tProdutos[Foco],MATCH(tItens[[#This Row],[Produto]],tProdutos[Produto],0)),"Não")</f>
        <v>Não</v>
      </c>
      <c r="O5176" t="str">
        <f>IFERROR(INDEX(tEditais[SRP],MATCH(tItens[[#This Row],[Edital]],tEditais[Edital],0)),"Não")</f>
        <v>Sim</v>
      </c>
      <c r="P5176" s="4">
        <f>IF(COUNTIFS(INDEX(tItens[Edital],1):tItens[[#This Row],[Edital]],tItens[[#This Row],[Edital]],INDEX(tItens[Produto],1):tItens[[#This Row],[Produto]],tItens[[#This Row],[Produto]])=1,1,0)</f>
        <v>0</v>
      </c>
    </row>
    <row r="5177" spans="1:16" x14ac:dyDescent="0.25">
      <c r="A5177" t="s">
        <v>1992</v>
      </c>
      <c r="B5177">
        <v>159</v>
      </c>
      <c r="C5177" t="s">
        <v>7976</v>
      </c>
      <c r="D5177" t="s">
        <v>267</v>
      </c>
      <c r="E5177" s="13">
        <v>200</v>
      </c>
      <c r="F5177" s="12">
        <v>29.12</v>
      </c>
      <c r="G5177" t="str">
        <f>IFERROR(INDEX(tEditais[Órgão],MATCH(tItens[[#This Row],[Edital]],tEditais[Edital],0)),"")</f>
        <v>AUTARQUIA MUNICIPAL DE SAUDE DE RIO BOM - AMS - RB</v>
      </c>
      <c r="H5177" t="str">
        <f>IFERROR(INDEX(tEditais[UF],MATCH(tItens[[#This Row],[Edital]],tEditais[Edital],0)),"")</f>
        <v>PR</v>
      </c>
      <c r="I5177" s="11">
        <f>IFERROR(INDEX(tEditais[Encerramento],MATCH(tItens[[#This Row],[Edital]],tEditais[Edital],0)),"")</f>
        <v>46308.333333333336</v>
      </c>
      <c r="J5177" t="str">
        <f>IFERROR(INDEX(tProdutos[Classe],MATCH(tItens[[#This Row],[Produto]],tProdutos[Produto],0)),"produto não cadastrado")</f>
        <v>FORA</v>
      </c>
      <c r="K5177" s="12">
        <f>tItens[[#This Row],[Qtd]]*tItens[[#This Row],[Vlr unit]]</f>
        <v>5824</v>
      </c>
      <c r="L5177" s="6">
        <f>IFERROR(IF(INDEX(tProdutos[Desconto homologado],MATCH(tItens[[#This Row],[Produto]],tProdutos[Produto],0))="",DescontoPadrao,INDEX(tProdutos[Desconto homologado],MATCH(tItens[[#This Row],[Produto]],tProdutos[Produto],0))),DescontoPadrao)</f>
        <v>0.19963672657401599</v>
      </c>
      <c r="M5177" s="12">
        <f>tItens[[#This Row],[Valor]]*(1-tItens[[#This Row],[Desconto]])</f>
        <v>4661.3157044329309</v>
      </c>
      <c r="N5177" t="str">
        <f>IFERROR(INDEX(tProdutos[Foco],MATCH(tItens[[#This Row],[Produto]],tProdutos[Produto],0)),"Não")</f>
        <v>Não</v>
      </c>
      <c r="O5177" t="str">
        <f>IFERROR(INDEX(tEditais[SRP],MATCH(tItens[[#This Row],[Edital]],tEditais[Edital],0)),"Não")</f>
        <v>Sim</v>
      </c>
      <c r="P5177" s="4">
        <f>IF(COUNTIFS(INDEX(tItens[Edital],1):tItens[[#This Row],[Edital]],tItens[[#This Row],[Edital]],INDEX(tItens[Produto],1):tItens[[#This Row],[Produto]],tItens[[#This Row],[Produto]])=1,1,0)</f>
        <v>0</v>
      </c>
    </row>
    <row r="5178" spans="1:16" x14ac:dyDescent="0.25">
      <c r="A5178" t="s">
        <v>1992</v>
      </c>
      <c r="B5178">
        <v>179</v>
      </c>
      <c r="C5178" t="s">
        <v>7977</v>
      </c>
      <c r="D5178" t="s">
        <v>255</v>
      </c>
      <c r="E5178" s="13">
        <v>30</v>
      </c>
      <c r="F5178" s="12">
        <v>99.93</v>
      </c>
      <c r="G5178" t="str">
        <f>IFERROR(INDEX(tEditais[Órgão],MATCH(tItens[[#This Row],[Edital]],tEditais[Edital],0)),"")</f>
        <v>AUTARQUIA MUNICIPAL DE SAUDE DE RIO BOM - AMS - RB</v>
      </c>
      <c r="H5178" t="str">
        <f>IFERROR(INDEX(tEditais[UF],MATCH(tItens[[#This Row],[Edital]],tEditais[Edital],0)),"")</f>
        <v>PR</v>
      </c>
      <c r="I5178" s="11">
        <f>IFERROR(INDEX(tEditais[Encerramento],MATCH(tItens[[#This Row],[Edital]],tEditais[Edital],0)),"")</f>
        <v>46308.333333333336</v>
      </c>
      <c r="J5178" t="str">
        <f>IFERROR(INDEX(tProdutos[Classe],MATCH(tItens[[#This Row],[Produto]],tProdutos[Produto],0)),"produto não cadastrado")</f>
        <v>DISPUTADO</v>
      </c>
      <c r="K5178" s="12">
        <f>tItens[[#This Row],[Qtd]]*tItens[[#This Row],[Vlr unit]]</f>
        <v>2997.9</v>
      </c>
      <c r="L5178" s="6">
        <f>IFERROR(IF(INDEX(tProdutos[Desconto homologado],MATCH(tItens[[#This Row],[Produto]],tProdutos[Produto],0))="",DescontoPadrao,INDEX(tProdutos[Desconto homologado],MATCH(tItens[[#This Row],[Produto]],tProdutos[Produto],0))),DescontoPadrao)</f>
        <v>0.30555555555555602</v>
      </c>
      <c r="M5178" s="12">
        <f>tItens[[#This Row],[Valor]]*(1-tItens[[#This Row],[Desconto]])</f>
        <v>2081.8749999999986</v>
      </c>
      <c r="N5178" t="str">
        <f>IFERROR(INDEX(tProdutos[Foco],MATCH(tItens[[#This Row],[Produto]],tProdutos[Produto],0)),"Não")</f>
        <v>Não</v>
      </c>
      <c r="O5178" t="str">
        <f>IFERROR(INDEX(tEditais[SRP],MATCH(tItens[[#This Row],[Edital]],tEditais[Edital],0)),"Não")</f>
        <v>Sim</v>
      </c>
      <c r="P5178" s="4">
        <f>IF(COUNTIFS(INDEX(tItens[Edital],1):tItens[[#This Row],[Edital]],tItens[[#This Row],[Edital]],INDEX(tItens[Produto],1):tItens[[#This Row],[Produto]],tItens[[#This Row],[Produto]])=1,1,0)</f>
        <v>1</v>
      </c>
    </row>
    <row r="5179" spans="1:16" x14ac:dyDescent="0.25">
      <c r="A5179" t="s">
        <v>1992</v>
      </c>
      <c r="B5179">
        <v>180</v>
      </c>
      <c r="C5179" t="s">
        <v>7978</v>
      </c>
      <c r="D5179" t="s">
        <v>255</v>
      </c>
      <c r="E5179" s="13">
        <v>12</v>
      </c>
      <c r="F5179" s="12">
        <v>102.3</v>
      </c>
      <c r="G5179" t="str">
        <f>IFERROR(INDEX(tEditais[Órgão],MATCH(tItens[[#This Row],[Edital]],tEditais[Edital],0)),"")</f>
        <v>AUTARQUIA MUNICIPAL DE SAUDE DE RIO BOM - AMS - RB</v>
      </c>
      <c r="H5179" t="str">
        <f>IFERROR(INDEX(tEditais[UF],MATCH(tItens[[#This Row],[Edital]],tEditais[Edital],0)),"")</f>
        <v>PR</v>
      </c>
      <c r="I5179" s="11">
        <f>IFERROR(INDEX(tEditais[Encerramento],MATCH(tItens[[#This Row],[Edital]],tEditais[Edital],0)),"")</f>
        <v>46308.333333333336</v>
      </c>
      <c r="J5179" t="str">
        <f>IFERROR(INDEX(tProdutos[Classe],MATCH(tItens[[#This Row],[Produto]],tProdutos[Produto],0)),"produto não cadastrado")</f>
        <v>DISPUTADO</v>
      </c>
      <c r="K5179" s="12">
        <f>tItens[[#This Row],[Qtd]]*tItens[[#This Row],[Vlr unit]]</f>
        <v>1227.5999999999999</v>
      </c>
      <c r="L5179" s="6">
        <f>IFERROR(IF(INDEX(tProdutos[Desconto homologado],MATCH(tItens[[#This Row],[Produto]],tProdutos[Produto],0))="",DescontoPadrao,INDEX(tProdutos[Desconto homologado],MATCH(tItens[[#This Row],[Produto]],tProdutos[Produto],0))),DescontoPadrao)</f>
        <v>0.30555555555555602</v>
      </c>
      <c r="M5179" s="12">
        <f>tItens[[#This Row],[Valor]]*(1-tItens[[#This Row],[Desconto]])</f>
        <v>852.49999999999932</v>
      </c>
      <c r="N5179" t="str">
        <f>IFERROR(INDEX(tProdutos[Foco],MATCH(tItens[[#This Row],[Produto]],tProdutos[Produto],0)),"Não")</f>
        <v>Não</v>
      </c>
      <c r="O5179" t="str">
        <f>IFERROR(INDEX(tEditais[SRP],MATCH(tItens[[#This Row],[Edital]],tEditais[Edital],0)),"Não")</f>
        <v>Sim</v>
      </c>
      <c r="P5179" s="4">
        <f>IF(COUNTIFS(INDEX(tItens[Edital],1):tItens[[#This Row],[Edital]],tItens[[#This Row],[Edital]],INDEX(tItens[Produto],1):tItens[[#This Row],[Produto]],tItens[[#This Row],[Produto]])=1,1,0)</f>
        <v>0</v>
      </c>
    </row>
    <row r="5180" spans="1:16" x14ac:dyDescent="0.25">
      <c r="A5180" t="s">
        <v>1992</v>
      </c>
      <c r="B5180">
        <v>181</v>
      </c>
      <c r="C5180" t="s">
        <v>7979</v>
      </c>
      <c r="D5180" t="s">
        <v>255</v>
      </c>
      <c r="E5180" s="13">
        <v>20</v>
      </c>
      <c r="F5180" s="12">
        <v>1918.22</v>
      </c>
      <c r="G5180" t="str">
        <f>IFERROR(INDEX(tEditais[Órgão],MATCH(tItens[[#This Row],[Edital]],tEditais[Edital],0)),"")</f>
        <v>AUTARQUIA MUNICIPAL DE SAUDE DE RIO BOM - AMS - RB</v>
      </c>
      <c r="H5180" t="str">
        <f>IFERROR(INDEX(tEditais[UF],MATCH(tItens[[#This Row],[Edital]],tEditais[Edital],0)),"")</f>
        <v>PR</v>
      </c>
      <c r="I5180" s="11">
        <f>IFERROR(INDEX(tEditais[Encerramento],MATCH(tItens[[#This Row],[Edital]],tEditais[Edital],0)),"")</f>
        <v>46308.333333333336</v>
      </c>
      <c r="J5180" t="str">
        <f>IFERROR(INDEX(tProdutos[Classe],MATCH(tItens[[#This Row],[Produto]],tProdutos[Produto],0)),"produto não cadastrado")</f>
        <v>DISPUTADO</v>
      </c>
      <c r="K5180" s="12">
        <f>tItens[[#This Row],[Qtd]]*tItens[[#This Row],[Vlr unit]]</f>
        <v>38364.400000000001</v>
      </c>
      <c r="L5180" s="6">
        <f>IFERROR(IF(INDEX(tProdutos[Desconto homologado],MATCH(tItens[[#This Row],[Produto]],tProdutos[Produto],0))="",DescontoPadrao,INDEX(tProdutos[Desconto homologado],MATCH(tItens[[#This Row],[Produto]],tProdutos[Produto],0))),DescontoPadrao)</f>
        <v>0.30555555555555602</v>
      </c>
      <c r="M5180" s="12">
        <f>tItens[[#This Row],[Valor]]*(1-tItens[[#This Row],[Desconto]])</f>
        <v>26641.944444444427</v>
      </c>
      <c r="N5180" t="str">
        <f>IFERROR(INDEX(tProdutos[Foco],MATCH(tItens[[#This Row],[Produto]],tProdutos[Produto],0)),"Não")</f>
        <v>Não</v>
      </c>
      <c r="O5180" t="str">
        <f>IFERROR(INDEX(tEditais[SRP],MATCH(tItens[[#This Row],[Edital]],tEditais[Edital],0)),"Não")</f>
        <v>Sim</v>
      </c>
      <c r="P5180" s="4">
        <f>IF(COUNTIFS(INDEX(tItens[Edital],1):tItens[[#This Row],[Edital]],tItens[[#This Row],[Edital]],INDEX(tItens[Produto],1):tItens[[#This Row],[Produto]],tItens[[#This Row],[Produto]])=1,1,0)</f>
        <v>0</v>
      </c>
    </row>
    <row r="5181" spans="1:16" x14ac:dyDescent="0.25">
      <c r="A5181" t="s">
        <v>1992</v>
      </c>
      <c r="B5181">
        <v>185</v>
      </c>
      <c r="C5181" t="s">
        <v>7980</v>
      </c>
      <c r="D5181" t="s">
        <v>281</v>
      </c>
      <c r="E5181" s="13">
        <v>15000</v>
      </c>
      <c r="F5181" s="12">
        <v>0.53</v>
      </c>
      <c r="G5181" t="str">
        <f>IFERROR(INDEX(tEditais[Órgão],MATCH(tItens[[#This Row],[Edital]],tEditais[Edital],0)),"")</f>
        <v>AUTARQUIA MUNICIPAL DE SAUDE DE RIO BOM - AMS - RB</v>
      </c>
      <c r="H5181" t="str">
        <f>IFERROR(INDEX(tEditais[UF],MATCH(tItens[[#This Row],[Edital]],tEditais[Edital],0)),"")</f>
        <v>PR</v>
      </c>
      <c r="I5181" s="11">
        <f>IFERROR(INDEX(tEditais[Encerramento],MATCH(tItens[[#This Row],[Edital]],tEditais[Edital],0)),"")</f>
        <v>46308.333333333336</v>
      </c>
      <c r="J5181" t="str">
        <f>IFERROR(INDEX(tProdutos[Classe],MATCH(tItens[[#This Row],[Produto]],tProdutos[Produto],0)),"produto não cadastrado")</f>
        <v>DISPUTADO</v>
      </c>
      <c r="K5181" s="12">
        <f>tItens[[#This Row],[Qtd]]*tItens[[#This Row],[Vlr unit]]</f>
        <v>7950</v>
      </c>
      <c r="L5181" s="6">
        <f>IFERROR(IF(INDEX(tProdutos[Desconto homologado],MATCH(tItens[[#This Row],[Produto]],tProdutos[Produto],0))="",DescontoPadrao,INDEX(tProdutos[Desconto homologado],MATCH(tItens[[#This Row],[Produto]],tProdutos[Produto],0))),DescontoPadrao)</f>
        <v>0.42461538461538501</v>
      </c>
      <c r="M5181" s="12">
        <f>tItens[[#This Row],[Valor]]*(1-tItens[[#This Row],[Desconto]])</f>
        <v>4574.3076923076887</v>
      </c>
      <c r="N5181" t="str">
        <f>IFERROR(INDEX(tProdutos[Foco],MATCH(tItens[[#This Row],[Produto]],tProdutos[Produto],0)),"Não")</f>
        <v>Não</v>
      </c>
      <c r="O5181" t="str">
        <f>IFERROR(INDEX(tEditais[SRP],MATCH(tItens[[#This Row],[Edital]],tEditais[Edital],0)),"Não")</f>
        <v>Sim</v>
      </c>
      <c r="P5181" s="4">
        <f>IF(COUNTIFS(INDEX(tItens[Edital],1):tItens[[#This Row],[Edital]],tItens[[#This Row],[Edital]],INDEX(tItens[Produto],1):tItens[[#This Row],[Produto]],tItens[[#This Row],[Produto]])=1,1,0)</f>
        <v>1</v>
      </c>
    </row>
    <row r="5182" spans="1:16" x14ac:dyDescent="0.25">
      <c r="A5182" t="s">
        <v>1992</v>
      </c>
      <c r="B5182">
        <v>186</v>
      </c>
      <c r="C5182" t="s">
        <v>7981</v>
      </c>
      <c r="D5182" t="s">
        <v>289</v>
      </c>
      <c r="E5182" s="13">
        <v>15000</v>
      </c>
      <c r="F5182" s="12">
        <v>1.27</v>
      </c>
      <c r="G5182" t="str">
        <f>IFERROR(INDEX(tEditais[Órgão],MATCH(tItens[[#This Row],[Edital]],tEditais[Edital],0)),"")</f>
        <v>AUTARQUIA MUNICIPAL DE SAUDE DE RIO BOM - AMS - RB</v>
      </c>
      <c r="H5182" t="str">
        <f>IFERROR(INDEX(tEditais[UF],MATCH(tItens[[#This Row],[Edital]],tEditais[Edital],0)),"")</f>
        <v>PR</v>
      </c>
      <c r="I5182" s="11">
        <f>IFERROR(INDEX(tEditais[Encerramento],MATCH(tItens[[#This Row],[Edital]],tEditais[Edital],0)),"")</f>
        <v>46308.333333333336</v>
      </c>
      <c r="J5182" t="str">
        <f>IFERROR(INDEX(tProdutos[Classe],MATCH(tItens[[#This Row],[Produto]],tProdutos[Produto],0)),"produto não cadastrado")</f>
        <v>DISPUTADO</v>
      </c>
      <c r="K5182" s="12">
        <f>tItens[[#This Row],[Qtd]]*tItens[[#This Row],[Vlr unit]]</f>
        <v>19050</v>
      </c>
      <c r="L5182" s="6">
        <f>IFERROR(IF(INDEX(tProdutos[Desconto homologado],MATCH(tItens[[#This Row],[Produto]],tProdutos[Produto],0))="",DescontoPadrao,INDEX(tProdutos[Desconto homologado],MATCH(tItens[[#This Row],[Produto]],tProdutos[Produto],0))),DescontoPadrao)</f>
        <v>0.35849056603773599</v>
      </c>
      <c r="M5182" s="12">
        <f>tItens[[#This Row],[Valor]]*(1-tItens[[#This Row],[Desconto]])</f>
        <v>12220.75471698113</v>
      </c>
      <c r="N5182" t="str">
        <f>IFERROR(INDEX(tProdutos[Foco],MATCH(tItens[[#This Row],[Produto]],tProdutos[Produto],0)),"Não")</f>
        <v>Não</v>
      </c>
      <c r="O5182" t="str">
        <f>IFERROR(INDEX(tEditais[SRP],MATCH(tItens[[#This Row],[Edital]],tEditais[Edital],0)),"Não")</f>
        <v>Sim</v>
      </c>
      <c r="P5182" s="4">
        <f>IF(COUNTIFS(INDEX(tItens[Edital],1):tItens[[#This Row],[Edital]],tItens[[#This Row],[Edital]],INDEX(tItens[Produto],1):tItens[[#This Row],[Produto]],tItens[[#This Row],[Produto]])=1,1,0)</f>
        <v>1</v>
      </c>
    </row>
    <row r="5183" spans="1:16" x14ac:dyDescent="0.25">
      <c r="A5183" t="s">
        <v>1992</v>
      </c>
      <c r="B5183">
        <v>187</v>
      </c>
      <c r="C5183" t="s">
        <v>7982</v>
      </c>
      <c r="D5183" t="s">
        <v>283</v>
      </c>
      <c r="E5183" s="13">
        <v>8000</v>
      </c>
      <c r="F5183" s="12">
        <v>0.68</v>
      </c>
      <c r="G5183" t="str">
        <f>IFERROR(INDEX(tEditais[Órgão],MATCH(tItens[[#This Row],[Edital]],tEditais[Edital],0)),"")</f>
        <v>AUTARQUIA MUNICIPAL DE SAUDE DE RIO BOM - AMS - RB</v>
      </c>
      <c r="H5183" t="str">
        <f>IFERROR(INDEX(tEditais[UF],MATCH(tItens[[#This Row],[Edital]],tEditais[Edital],0)),"")</f>
        <v>PR</v>
      </c>
      <c r="I5183" s="11">
        <f>IFERROR(INDEX(tEditais[Encerramento],MATCH(tItens[[#This Row],[Edital]],tEditais[Edital],0)),"")</f>
        <v>46308.333333333336</v>
      </c>
      <c r="J5183" t="str">
        <f>IFERROR(INDEX(tProdutos[Classe],MATCH(tItens[[#This Row],[Produto]],tProdutos[Produto],0)),"produto não cadastrado")</f>
        <v>FORA</v>
      </c>
      <c r="K5183" s="12">
        <f>tItens[[#This Row],[Qtd]]*tItens[[#This Row],[Vlr unit]]</f>
        <v>5440</v>
      </c>
      <c r="L5183" s="6">
        <f>IFERROR(IF(INDEX(tProdutos[Desconto homologado],MATCH(tItens[[#This Row],[Produto]],tProdutos[Produto],0))="",DescontoPadrao,INDEX(tProdutos[Desconto homologado],MATCH(tItens[[#This Row],[Produto]],tProdutos[Produto],0))),DescontoPadrao)</f>
        <v>0.40540540540540498</v>
      </c>
      <c r="M5183" s="12">
        <f>tItens[[#This Row],[Valor]]*(1-tItens[[#This Row],[Desconto]])</f>
        <v>3234.5945945945964</v>
      </c>
      <c r="N5183" t="str">
        <f>IFERROR(INDEX(tProdutos[Foco],MATCH(tItens[[#This Row],[Produto]],tProdutos[Produto],0)),"Não")</f>
        <v>Não</v>
      </c>
      <c r="O5183" t="str">
        <f>IFERROR(INDEX(tEditais[SRP],MATCH(tItens[[#This Row],[Edital]],tEditais[Edital],0)),"Não")</f>
        <v>Sim</v>
      </c>
      <c r="P5183" s="4">
        <f>IF(COUNTIFS(INDEX(tItens[Edital],1):tItens[[#This Row],[Edital]],tItens[[#This Row],[Edital]],INDEX(tItens[Produto],1):tItens[[#This Row],[Produto]],tItens[[#This Row],[Produto]])=1,1,0)</f>
        <v>1</v>
      </c>
    </row>
    <row r="5184" spans="1:16" x14ac:dyDescent="0.25">
      <c r="A5184" t="s">
        <v>1992</v>
      </c>
      <c r="B5184">
        <v>188</v>
      </c>
      <c r="C5184" t="s">
        <v>7983</v>
      </c>
      <c r="D5184" t="s">
        <v>265</v>
      </c>
      <c r="E5184" s="13">
        <v>15000</v>
      </c>
      <c r="F5184" s="12">
        <v>0.61</v>
      </c>
      <c r="G5184" t="str">
        <f>IFERROR(INDEX(tEditais[Órgão],MATCH(tItens[[#This Row],[Edital]],tEditais[Edital],0)),"")</f>
        <v>AUTARQUIA MUNICIPAL DE SAUDE DE RIO BOM - AMS - RB</v>
      </c>
      <c r="H5184" t="str">
        <f>IFERROR(INDEX(tEditais[UF],MATCH(tItens[[#This Row],[Edital]],tEditais[Edital],0)),"")</f>
        <v>PR</v>
      </c>
      <c r="I5184" s="11">
        <f>IFERROR(INDEX(tEditais[Encerramento],MATCH(tItens[[#This Row],[Edital]],tEditais[Edital],0)),"")</f>
        <v>46308.333333333336</v>
      </c>
      <c r="J5184" t="str">
        <f>IFERROR(INDEX(tProdutos[Classe],MATCH(tItens[[#This Row],[Produto]],tProdutos[Produto],0)),"produto não cadastrado")</f>
        <v>DISPUTADO</v>
      </c>
      <c r="K5184" s="12">
        <f>tItens[[#This Row],[Qtd]]*tItens[[#This Row],[Vlr unit]]</f>
        <v>9150</v>
      </c>
      <c r="L5184" s="6">
        <f>IFERROR(IF(INDEX(tProdutos[Desconto homologado],MATCH(tItens[[#This Row],[Produto]],tProdutos[Produto],0))="",DescontoPadrao,INDEX(tProdutos[Desconto homologado],MATCH(tItens[[#This Row],[Produto]],tProdutos[Produto],0))),DescontoPadrao)</f>
        <v>0.377587663709337</v>
      </c>
      <c r="M5184" s="12">
        <f>tItens[[#This Row],[Valor]]*(1-tItens[[#This Row],[Desconto]])</f>
        <v>5695.072877059567</v>
      </c>
      <c r="N5184" t="str">
        <f>IFERROR(INDEX(tProdutos[Foco],MATCH(tItens[[#This Row],[Produto]],tProdutos[Produto],0)),"Não")</f>
        <v>Não</v>
      </c>
      <c r="O5184" t="str">
        <f>IFERROR(INDEX(tEditais[SRP],MATCH(tItens[[#This Row],[Edital]],tEditais[Edital],0)),"Não")</f>
        <v>Sim</v>
      </c>
      <c r="P5184" s="4">
        <f>IF(COUNTIFS(INDEX(tItens[Edital],1):tItens[[#This Row],[Edital]],tItens[[#This Row],[Edital]],INDEX(tItens[Produto],1):tItens[[#This Row],[Produto]],tItens[[#This Row],[Produto]])=1,1,0)</f>
        <v>1</v>
      </c>
    </row>
    <row r="5185" spans="1:16" x14ac:dyDescent="0.25">
      <c r="A5185" t="s">
        <v>1992</v>
      </c>
      <c r="B5185">
        <v>190</v>
      </c>
      <c r="C5185" t="s">
        <v>7984</v>
      </c>
      <c r="D5185" t="s">
        <v>110</v>
      </c>
      <c r="E5185" s="13">
        <v>200</v>
      </c>
      <c r="F5185" s="12">
        <v>18.170000000000002</v>
      </c>
      <c r="G5185" t="str">
        <f>IFERROR(INDEX(tEditais[Órgão],MATCH(tItens[[#This Row],[Edital]],tEditais[Edital],0)),"")</f>
        <v>AUTARQUIA MUNICIPAL DE SAUDE DE RIO BOM - AMS - RB</v>
      </c>
      <c r="H5185" t="str">
        <f>IFERROR(INDEX(tEditais[UF],MATCH(tItens[[#This Row],[Edital]],tEditais[Edital],0)),"")</f>
        <v>PR</v>
      </c>
      <c r="I5185" s="11">
        <f>IFERROR(INDEX(tEditais[Encerramento],MATCH(tItens[[#This Row],[Edital]],tEditais[Edital],0)),"")</f>
        <v>46308.333333333336</v>
      </c>
      <c r="J5185" t="str">
        <f>IFERROR(INDEX(tProdutos[Classe],MATCH(tItens[[#This Row],[Produto]],tProdutos[Produto],0)),"produto não cadastrado")</f>
        <v>NÚCLEO</v>
      </c>
      <c r="K5185" s="12">
        <f>tItens[[#This Row],[Qtd]]*tItens[[#This Row],[Vlr unit]]</f>
        <v>3634.0000000000005</v>
      </c>
      <c r="L5185" s="6">
        <f>IFERROR(IF(INDEX(tProdutos[Desconto homologado],MATCH(tItens[[#This Row],[Produto]],tProdutos[Produto],0))="",DescontoPadrao,INDEX(tProdutos[Desconto homologado],MATCH(tItens[[#This Row],[Produto]],tProdutos[Produto],0))),DescontoPadrao)</f>
        <v>0.30410958904109597</v>
      </c>
      <c r="M5185" s="12">
        <f>tItens[[#This Row],[Valor]]*(1-tItens[[#This Row],[Desconto]])</f>
        <v>2528.8657534246577</v>
      </c>
      <c r="N5185" t="str">
        <f>IFERROR(INDEX(tProdutos[Foco],MATCH(tItens[[#This Row],[Produto]],tProdutos[Produto],0)),"Não")</f>
        <v>Não</v>
      </c>
      <c r="O5185" t="str">
        <f>IFERROR(INDEX(tEditais[SRP],MATCH(tItens[[#This Row],[Edital]],tEditais[Edital],0)),"Não")</f>
        <v>Sim</v>
      </c>
      <c r="P5185" s="4">
        <f>IF(COUNTIFS(INDEX(tItens[Edital],1):tItens[[#This Row],[Edital]],tItens[[#This Row],[Edital]],INDEX(tItens[Produto],1):tItens[[#This Row],[Produto]],tItens[[#This Row],[Produto]])=1,1,0)</f>
        <v>1</v>
      </c>
    </row>
    <row r="5186" spans="1:16" x14ac:dyDescent="0.25">
      <c r="A5186" t="s">
        <v>1992</v>
      </c>
      <c r="B5186">
        <v>203</v>
      </c>
      <c r="C5186" t="s">
        <v>7985</v>
      </c>
      <c r="D5186" t="s">
        <v>184</v>
      </c>
      <c r="E5186" s="13">
        <v>25</v>
      </c>
      <c r="F5186" s="12">
        <v>8.42</v>
      </c>
      <c r="G5186" t="str">
        <f>IFERROR(INDEX(tEditais[Órgão],MATCH(tItens[[#This Row],[Edital]],tEditais[Edital],0)),"")</f>
        <v>AUTARQUIA MUNICIPAL DE SAUDE DE RIO BOM - AMS - RB</v>
      </c>
      <c r="H5186" t="str">
        <f>IFERROR(INDEX(tEditais[UF],MATCH(tItens[[#This Row],[Edital]],tEditais[Edital],0)),"")</f>
        <v>PR</v>
      </c>
      <c r="I5186" s="11">
        <f>IFERROR(INDEX(tEditais[Encerramento],MATCH(tItens[[#This Row],[Edital]],tEditais[Edital],0)),"")</f>
        <v>46308.333333333336</v>
      </c>
      <c r="J5186" t="str">
        <f>IFERROR(INDEX(tProdutos[Classe],MATCH(tItens[[#This Row],[Produto]],tProdutos[Produto],0)),"produto não cadastrado")</f>
        <v>FORA</v>
      </c>
      <c r="K5186" s="12">
        <f>tItens[[#This Row],[Qtd]]*tItens[[#This Row],[Vlr unit]]</f>
        <v>210.5</v>
      </c>
      <c r="L5186" s="6">
        <f>IFERROR(IF(INDEX(tProdutos[Desconto homologado],MATCH(tItens[[#This Row],[Produto]],tProdutos[Produto],0))="",DescontoPadrao,INDEX(tProdutos[Desconto homologado],MATCH(tItens[[#This Row],[Produto]],tProdutos[Produto],0))),DescontoPadrao)</f>
        <v>0.363567906332742</v>
      </c>
      <c r="M5186" s="12">
        <f>tItens[[#This Row],[Valor]]*(1-tItens[[#This Row],[Desconto]])</f>
        <v>133.96895571695782</v>
      </c>
      <c r="N5186" t="str">
        <f>IFERROR(INDEX(tProdutos[Foco],MATCH(tItens[[#This Row],[Produto]],tProdutos[Produto],0)),"Não")</f>
        <v>Não</v>
      </c>
      <c r="O5186" t="str">
        <f>IFERROR(INDEX(tEditais[SRP],MATCH(tItens[[#This Row],[Edital]],tEditais[Edital],0)),"Não")</f>
        <v>Sim</v>
      </c>
      <c r="P5186" s="4">
        <f>IF(COUNTIFS(INDEX(tItens[Edital],1):tItens[[#This Row],[Edital]],tItens[[#This Row],[Edital]],INDEX(tItens[Produto],1):tItens[[#This Row],[Produto]],tItens[[#This Row],[Produto]])=1,1,0)</f>
        <v>1</v>
      </c>
    </row>
    <row r="5187" spans="1:16" x14ac:dyDescent="0.25">
      <c r="A5187" t="s">
        <v>1992</v>
      </c>
      <c r="B5187">
        <v>204</v>
      </c>
      <c r="C5187" t="s">
        <v>7986</v>
      </c>
      <c r="D5187" t="s">
        <v>184</v>
      </c>
      <c r="E5187" s="13">
        <v>50</v>
      </c>
      <c r="F5187" s="12">
        <v>8.64</v>
      </c>
      <c r="G5187" t="str">
        <f>IFERROR(INDEX(tEditais[Órgão],MATCH(tItens[[#This Row],[Edital]],tEditais[Edital],0)),"")</f>
        <v>AUTARQUIA MUNICIPAL DE SAUDE DE RIO BOM - AMS - RB</v>
      </c>
      <c r="H5187" t="str">
        <f>IFERROR(INDEX(tEditais[UF],MATCH(tItens[[#This Row],[Edital]],tEditais[Edital],0)),"")</f>
        <v>PR</v>
      </c>
      <c r="I5187" s="11">
        <f>IFERROR(INDEX(tEditais[Encerramento],MATCH(tItens[[#This Row],[Edital]],tEditais[Edital],0)),"")</f>
        <v>46308.333333333336</v>
      </c>
      <c r="J5187" t="str">
        <f>IFERROR(INDEX(tProdutos[Classe],MATCH(tItens[[#This Row],[Produto]],tProdutos[Produto],0)),"produto não cadastrado")</f>
        <v>FORA</v>
      </c>
      <c r="K5187" s="12">
        <f>tItens[[#This Row],[Qtd]]*tItens[[#This Row],[Vlr unit]]</f>
        <v>432</v>
      </c>
      <c r="L5187" s="6">
        <f>IFERROR(IF(INDEX(tProdutos[Desconto homologado],MATCH(tItens[[#This Row],[Produto]],tProdutos[Produto],0))="",DescontoPadrao,INDEX(tProdutos[Desconto homologado],MATCH(tItens[[#This Row],[Produto]],tProdutos[Produto],0))),DescontoPadrao)</f>
        <v>0.363567906332742</v>
      </c>
      <c r="M5187" s="12">
        <f>tItens[[#This Row],[Valor]]*(1-tItens[[#This Row],[Desconto]])</f>
        <v>274.93866446425545</v>
      </c>
      <c r="N5187" t="str">
        <f>IFERROR(INDEX(tProdutos[Foco],MATCH(tItens[[#This Row],[Produto]],tProdutos[Produto],0)),"Não")</f>
        <v>Não</v>
      </c>
      <c r="O5187" t="str">
        <f>IFERROR(INDEX(tEditais[SRP],MATCH(tItens[[#This Row],[Edital]],tEditais[Edital],0)),"Não")</f>
        <v>Sim</v>
      </c>
      <c r="P5187" s="4">
        <f>IF(COUNTIFS(INDEX(tItens[Edital],1):tItens[[#This Row],[Edital]],tItens[[#This Row],[Edital]],INDEX(tItens[Produto],1):tItens[[#This Row],[Produto]],tItens[[#This Row],[Produto]])=1,1,0)</f>
        <v>0</v>
      </c>
    </row>
    <row r="5188" spans="1:16" x14ac:dyDescent="0.25">
      <c r="A5188" t="s">
        <v>1992</v>
      </c>
      <c r="B5188">
        <v>205</v>
      </c>
      <c r="C5188" t="s">
        <v>7987</v>
      </c>
      <c r="D5188" t="s">
        <v>184</v>
      </c>
      <c r="E5188" s="13">
        <v>50</v>
      </c>
      <c r="F5188" s="12">
        <v>7.41</v>
      </c>
      <c r="G5188" t="str">
        <f>IFERROR(INDEX(tEditais[Órgão],MATCH(tItens[[#This Row],[Edital]],tEditais[Edital],0)),"")</f>
        <v>AUTARQUIA MUNICIPAL DE SAUDE DE RIO BOM - AMS - RB</v>
      </c>
      <c r="H5188" t="str">
        <f>IFERROR(INDEX(tEditais[UF],MATCH(tItens[[#This Row],[Edital]],tEditais[Edital],0)),"")</f>
        <v>PR</v>
      </c>
      <c r="I5188" s="11">
        <f>IFERROR(INDEX(tEditais[Encerramento],MATCH(tItens[[#This Row],[Edital]],tEditais[Edital],0)),"")</f>
        <v>46308.333333333336</v>
      </c>
      <c r="J5188" t="str">
        <f>IFERROR(INDEX(tProdutos[Classe],MATCH(tItens[[#This Row],[Produto]],tProdutos[Produto],0)),"produto não cadastrado")</f>
        <v>FORA</v>
      </c>
      <c r="K5188" s="12">
        <f>tItens[[#This Row],[Qtd]]*tItens[[#This Row],[Vlr unit]]</f>
        <v>370.5</v>
      </c>
      <c r="L5188" s="6">
        <f>IFERROR(IF(INDEX(tProdutos[Desconto homologado],MATCH(tItens[[#This Row],[Produto]],tProdutos[Produto],0))="",DescontoPadrao,INDEX(tProdutos[Desconto homologado],MATCH(tItens[[#This Row],[Produto]],tProdutos[Produto],0))),DescontoPadrao)</f>
        <v>0.363567906332742</v>
      </c>
      <c r="M5188" s="12">
        <f>tItens[[#This Row],[Valor]]*(1-tItens[[#This Row],[Desconto]])</f>
        <v>235.79809070371911</v>
      </c>
      <c r="N5188" t="str">
        <f>IFERROR(INDEX(tProdutos[Foco],MATCH(tItens[[#This Row],[Produto]],tProdutos[Produto],0)),"Não")</f>
        <v>Não</v>
      </c>
      <c r="O5188" t="str">
        <f>IFERROR(INDEX(tEditais[SRP],MATCH(tItens[[#This Row],[Edital]],tEditais[Edital],0)),"Não")</f>
        <v>Sim</v>
      </c>
      <c r="P5188" s="4">
        <f>IF(COUNTIFS(INDEX(tItens[Edital],1):tItens[[#This Row],[Edital]],tItens[[#This Row],[Edital]],INDEX(tItens[Produto],1):tItens[[#This Row],[Produto]],tItens[[#This Row],[Produto]])=1,1,0)</f>
        <v>0</v>
      </c>
    </row>
    <row r="5189" spans="1:16" x14ac:dyDescent="0.25">
      <c r="A5189" t="s">
        <v>1992</v>
      </c>
      <c r="B5189">
        <v>206</v>
      </c>
      <c r="C5189" t="s">
        <v>7988</v>
      </c>
      <c r="D5189" t="s">
        <v>184</v>
      </c>
      <c r="E5189" s="13">
        <v>50</v>
      </c>
      <c r="F5189" s="12">
        <v>7.41</v>
      </c>
      <c r="G5189" t="str">
        <f>IFERROR(INDEX(tEditais[Órgão],MATCH(tItens[[#This Row],[Edital]],tEditais[Edital],0)),"")</f>
        <v>AUTARQUIA MUNICIPAL DE SAUDE DE RIO BOM - AMS - RB</v>
      </c>
      <c r="H5189" t="str">
        <f>IFERROR(INDEX(tEditais[UF],MATCH(tItens[[#This Row],[Edital]],tEditais[Edital],0)),"")</f>
        <v>PR</v>
      </c>
      <c r="I5189" s="11">
        <f>IFERROR(INDEX(tEditais[Encerramento],MATCH(tItens[[#This Row],[Edital]],tEditais[Edital],0)),"")</f>
        <v>46308.333333333336</v>
      </c>
      <c r="J5189" t="str">
        <f>IFERROR(INDEX(tProdutos[Classe],MATCH(tItens[[#This Row],[Produto]],tProdutos[Produto],0)),"produto não cadastrado")</f>
        <v>FORA</v>
      </c>
      <c r="K5189" s="12">
        <f>tItens[[#This Row],[Qtd]]*tItens[[#This Row],[Vlr unit]]</f>
        <v>370.5</v>
      </c>
      <c r="L5189" s="6">
        <f>IFERROR(IF(INDEX(tProdutos[Desconto homologado],MATCH(tItens[[#This Row],[Produto]],tProdutos[Produto],0))="",DescontoPadrao,INDEX(tProdutos[Desconto homologado],MATCH(tItens[[#This Row],[Produto]],tProdutos[Produto],0))),DescontoPadrao)</f>
        <v>0.363567906332742</v>
      </c>
      <c r="M5189" s="12">
        <f>tItens[[#This Row],[Valor]]*(1-tItens[[#This Row],[Desconto]])</f>
        <v>235.79809070371911</v>
      </c>
      <c r="N5189" t="str">
        <f>IFERROR(INDEX(tProdutos[Foco],MATCH(tItens[[#This Row],[Produto]],tProdutos[Produto],0)),"Não")</f>
        <v>Não</v>
      </c>
      <c r="O5189" t="str">
        <f>IFERROR(INDEX(tEditais[SRP],MATCH(tItens[[#This Row],[Edital]],tEditais[Edital],0)),"Não")</f>
        <v>Sim</v>
      </c>
      <c r="P5189" s="4">
        <f>IF(COUNTIFS(INDEX(tItens[Edital],1):tItens[[#This Row],[Edital]],tItens[[#This Row],[Edital]],INDEX(tItens[Produto],1):tItens[[#This Row],[Produto]],tItens[[#This Row],[Produto]])=1,1,0)</f>
        <v>0</v>
      </c>
    </row>
    <row r="5190" spans="1:16" x14ac:dyDescent="0.25">
      <c r="A5190" t="s">
        <v>1992</v>
      </c>
      <c r="B5190">
        <v>207</v>
      </c>
      <c r="C5190" t="s">
        <v>7989</v>
      </c>
      <c r="D5190" t="s">
        <v>184</v>
      </c>
      <c r="E5190" s="13">
        <v>30</v>
      </c>
      <c r="F5190" s="12">
        <v>7.38</v>
      </c>
      <c r="G5190" t="str">
        <f>IFERROR(INDEX(tEditais[Órgão],MATCH(tItens[[#This Row],[Edital]],tEditais[Edital],0)),"")</f>
        <v>AUTARQUIA MUNICIPAL DE SAUDE DE RIO BOM - AMS - RB</v>
      </c>
      <c r="H5190" t="str">
        <f>IFERROR(INDEX(tEditais[UF],MATCH(tItens[[#This Row],[Edital]],tEditais[Edital],0)),"")</f>
        <v>PR</v>
      </c>
      <c r="I5190" s="11">
        <f>IFERROR(INDEX(tEditais[Encerramento],MATCH(tItens[[#This Row],[Edital]],tEditais[Edital],0)),"")</f>
        <v>46308.333333333336</v>
      </c>
      <c r="J5190" t="str">
        <f>IFERROR(INDEX(tProdutos[Classe],MATCH(tItens[[#This Row],[Produto]],tProdutos[Produto],0)),"produto não cadastrado")</f>
        <v>FORA</v>
      </c>
      <c r="K5190" s="12">
        <f>tItens[[#This Row],[Qtd]]*tItens[[#This Row],[Vlr unit]]</f>
        <v>221.4</v>
      </c>
      <c r="L5190" s="6">
        <f>IFERROR(IF(INDEX(tProdutos[Desconto homologado],MATCH(tItens[[#This Row],[Produto]],tProdutos[Produto],0))="",DescontoPadrao,INDEX(tProdutos[Desconto homologado],MATCH(tItens[[#This Row],[Produto]],tProdutos[Produto],0))),DescontoPadrao)</f>
        <v>0.363567906332742</v>
      </c>
      <c r="M5190" s="12">
        <f>tItens[[#This Row],[Valor]]*(1-tItens[[#This Row],[Desconto]])</f>
        <v>140.90606553793094</v>
      </c>
      <c r="N5190" t="str">
        <f>IFERROR(INDEX(tProdutos[Foco],MATCH(tItens[[#This Row],[Produto]],tProdutos[Produto],0)),"Não")</f>
        <v>Não</v>
      </c>
      <c r="O5190" t="str">
        <f>IFERROR(INDEX(tEditais[SRP],MATCH(tItens[[#This Row],[Edital]],tEditais[Edital],0)),"Não")</f>
        <v>Sim</v>
      </c>
      <c r="P5190" s="4">
        <f>IF(COUNTIFS(INDEX(tItens[Edital],1):tItens[[#This Row],[Edital]],tItens[[#This Row],[Edital]],INDEX(tItens[Produto],1):tItens[[#This Row],[Produto]],tItens[[#This Row],[Produto]])=1,1,0)</f>
        <v>0</v>
      </c>
    </row>
    <row r="5191" spans="1:16" x14ac:dyDescent="0.25">
      <c r="A5191" t="s">
        <v>1992</v>
      </c>
      <c r="B5191">
        <v>208</v>
      </c>
      <c r="C5191" t="s">
        <v>7990</v>
      </c>
      <c r="D5191" t="s">
        <v>184</v>
      </c>
      <c r="E5191" s="13">
        <v>25</v>
      </c>
      <c r="F5191" s="12">
        <v>7.39</v>
      </c>
      <c r="G5191" t="str">
        <f>IFERROR(INDEX(tEditais[Órgão],MATCH(tItens[[#This Row],[Edital]],tEditais[Edital],0)),"")</f>
        <v>AUTARQUIA MUNICIPAL DE SAUDE DE RIO BOM - AMS - RB</v>
      </c>
      <c r="H5191" t="str">
        <f>IFERROR(INDEX(tEditais[UF],MATCH(tItens[[#This Row],[Edital]],tEditais[Edital],0)),"")</f>
        <v>PR</v>
      </c>
      <c r="I5191" s="11">
        <f>IFERROR(INDEX(tEditais[Encerramento],MATCH(tItens[[#This Row],[Edital]],tEditais[Edital],0)),"")</f>
        <v>46308.333333333336</v>
      </c>
      <c r="J5191" t="str">
        <f>IFERROR(INDEX(tProdutos[Classe],MATCH(tItens[[#This Row],[Produto]],tProdutos[Produto],0)),"produto não cadastrado")</f>
        <v>FORA</v>
      </c>
      <c r="K5191" s="12">
        <f>tItens[[#This Row],[Qtd]]*tItens[[#This Row],[Vlr unit]]</f>
        <v>184.75</v>
      </c>
      <c r="L5191" s="6">
        <f>IFERROR(IF(INDEX(tProdutos[Desconto homologado],MATCH(tItens[[#This Row],[Produto]],tProdutos[Produto],0))="",DescontoPadrao,INDEX(tProdutos[Desconto homologado],MATCH(tItens[[#This Row],[Produto]],tProdutos[Produto],0))),DescontoPadrao)</f>
        <v>0.363567906332742</v>
      </c>
      <c r="M5191" s="12">
        <f>tItens[[#This Row],[Valor]]*(1-tItens[[#This Row],[Desconto]])</f>
        <v>117.58082930502593</v>
      </c>
      <c r="N5191" t="str">
        <f>IFERROR(INDEX(tProdutos[Foco],MATCH(tItens[[#This Row],[Produto]],tProdutos[Produto],0)),"Não")</f>
        <v>Não</v>
      </c>
      <c r="O5191" t="str">
        <f>IFERROR(INDEX(tEditais[SRP],MATCH(tItens[[#This Row],[Edital]],tEditais[Edital],0)),"Não")</f>
        <v>Sim</v>
      </c>
      <c r="P5191" s="4">
        <f>IF(COUNTIFS(INDEX(tItens[Edital],1):tItens[[#This Row],[Edital]],tItens[[#This Row],[Edital]],INDEX(tItens[Produto],1):tItens[[#This Row],[Produto]],tItens[[#This Row],[Produto]])=1,1,0)</f>
        <v>0</v>
      </c>
    </row>
    <row r="5192" spans="1:16" x14ac:dyDescent="0.25">
      <c r="A5192" t="s">
        <v>1992</v>
      </c>
      <c r="B5192">
        <v>209</v>
      </c>
      <c r="C5192" t="s">
        <v>7991</v>
      </c>
      <c r="D5192" t="s">
        <v>184</v>
      </c>
      <c r="E5192" s="13">
        <v>25</v>
      </c>
      <c r="F5192" s="12">
        <v>7.71</v>
      </c>
      <c r="G5192" t="str">
        <f>IFERROR(INDEX(tEditais[Órgão],MATCH(tItens[[#This Row],[Edital]],tEditais[Edital],0)),"")</f>
        <v>AUTARQUIA MUNICIPAL DE SAUDE DE RIO BOM - AMS - RB</v>
      </c>
      <c r="H5192" t="str">
        <f>IFERROR(INDEX(tEditais[UF],MATCH(tItens[[#This Row],[Edital]],tEditais[Edital],0)),"")</f>
        <v>PR</v>
      </c>
      <c r="I5192" s="11">
        <f>IFERROR(INDEX(tEditais[Encerramento],MATCH(tItens[[#This Row],[Edital]],tEditais[Edital],0)),"")</f>
        <v>46308.333333333336</v>
      </c>
      <c r="J5192" t="str">
        <f>IFERROR(INDEX(tProdutos[Classe],MATCH(tItens[[#This Row],[Produto]],tProdutos[Produto],0)),"produto não cadastrado")</f>
        <v>FORA</v>
      </c>
      <c r="K5192" s="12">
        <f>tItens[[#This Row],[Qtd]]*tItens[[#This Row],[Vlr unit]]</f>
        <v>192.75</v>
      </c>
      <c r="L5192" s="6">
        <f>IFERROR(IF(INDEX(tProdutos[Desconto homologado],MATCH(tItens[[#This Row],[Produto]],tProdutos[Produto],0))="",DescontoPadrao,INDEX(tProdutos[Desconto homologado],MATCH(tItens[[#This Row],[Produto]],tProdutos[Produto],0))),DescontoPadrao)</f>
        <v>0.363567906332742</v>
      </c>
      <c r="M5192" s="12">
        <f>tItens[[#This Row],[Valor]]*(1-tItens[[#This Row],[Desconto]])</f>
        <v>122.67228605436399</v>
      </c>
      <c r="N5192" t="str">
        <f>IFERROR(INDEX(tProdutos[Foco],MATCH(tItens[[#This Row],[Produto]],tProdutos[Produto],0)),"Não")</f>
        <v>Não</v>
      </c>
      <c r="O5192" t="str">
        <f>IFERROR(INDEX(tEditais[SRP],MATCH(tItens[[#This Row],[Edital]],tEditais[Edital],0)),"Não")</f>
        <v>Sim</v>
      </c>
      <c r="P5192" s="4">
        <f>IF(COUNTIFS(INDEX(tItens[Edital],1):tItens[[#This Row],[Edital]],tItens[[#This Row],[Edital]],INDEX(tItens[Produto],1):tItens[[#This Row],[Produto]],tItens[[#This Row],[Produto]])=1,1,0)</f>
        <v>0</v>
      </c>
    </row>
    <row r="5193" spans="1:16" x14ac:dyDescent="0.25">
      <c r="A5193" t="s">
        <v>1992</v>
      </c>
      <c r="B5193">
        <v>210</v>
      </c>
      <c r="C5193" t="s">
        <v>7992</v>
      </c>
      <c r="D5193" t="s">
        <v>184</v>
      </c>
      <c r="E5193" s="13">
        <v>25</v>
      </c>
      <c r="F5193" s="12">
        <v>10.49</v>
      </c>
      <c r="G5193" t="str">
        <f>IFERROR(INDEX(tEditais[Órgão],MATCH(tItens[[#This Row],[Edital]],tEditais[Edital],0)),"")</f>
        <v>AUTARQUIA MUNICIPAL DE SAUDE DE RIO BOM - AMS - RB</v>
      </c>
      <c r="H5193" t="str">
        <f>IFERROR(INDEX(tEditais[UF],MATCH(tItens[[#This Row],[Edital]],tEditais[Edital],0)),"")</f>
        <v>PR</v>
      </c>
      <c r="I5193" s="11">
        <f>IFERROR(INDEX(tEditais[Encerramento],MATCH(tItens[[#This Row],[Edital]],tEditais[Edital],0)),"")</f>
        <v>46308.333333333336</v>
      </c>
      <c r="J5193" t="str">
        <f>IFERROR(INDEX(tProdutos[Classe],MATCH(tItens[[#This Row],[Produto]],tProdutos[Produto],0)),"produto não cadastrado")</f>
        <v>FORA</v>
      </c>
      <c r="K5193" s="12">
        <f>tItens[[#This Row],[Qtd]]*tItens[[#This Row],[Vlr unit]]</f>
        <v>262.25</v>
      </c>
      <c r="L5193" s="6">
        <f>IFERROR(IF(INDEX(tProdutos[Desconto homologado],MATCH(tItens[[#This Row],[Produto]],tProdutos[Produto],0))="",DescontoPadrao,INDEX(tProdutos[Desconto homologado],MATCH(tItens[[#This Row],[Produto]],tProdutos[Produto],0))),DescontoPadrao)</f>
        <v>0.363567906332742</v>
      </c>
      <c r="M5193" s="12">
        <f>tItens[[#This Row],[Valor]]*(1-tItens[[#This Row],[Desconto]])</f>
        <v>166.90431656423843</v>
      </c>
      <c r="N5193" t="str">
        <f>IFERROR(INDEX(tProdutos[Foco],MATCH(tItens[[#This Row],[Produto]],tProdutos[Produto],0)),"Não")</f>
        <v>Não</v>
      </c>
      <c r="O5193" t="str">
        <f>IFERROR(INDEX(tEditais[SRP],MATCH(tItens[[#This Row],[Edital]],tEditais[Edital],0)),"Não")</f>
        <v>Sim</v>
      </c>
      <c r="P5193" s="4">
        <f>IF(COUNTIFS(INDEX(tItens[Edital],1):tItens[[#This Row],[Edital]],tItens[[#This Row],[Edital]],INDEX(tItens[Produto],1):tItens[[#This Row],[Produto]],tItens[[#This Row],[Produto]])=1,1,0)</f>
        <v>0</v>
      </c>
    </row>
    <row r="5194" spans="1:16" x14ac:dyDescent="0.25">
      <c r="A5194" t="s">
        <v>1992</v>
      </c>
      <c r="B5194">
        <v>211</v>
      </c>
      <c r="C5194" t="s">
        <v>7993</v>
      </c>
      <c r="D5194" t="s">
        <v>184</v>
      </c>
      <c r="E5194" s="13">
        <v>25</v>
      </c>
      <c r="F5194" s="12">
        <v>10.72</v>
      </c>
      <c r="G5194" t="str">
        <f>IFERROR(INDEX(tEditais[Órgão],MATCH(tItens[[#This Row],[Edital]],tEditais[Edital],0)),"")</f>
        <v>AUTARQUIA MUNICIPAL DE SAUDE DE RIO BOM - AMS - RB</v>
      </c>
      <c r="H5194" t="str">
        <f>IFERROR(INDEX(tEditais[UF],MATCH(tItens[[#This Row],[Edital]],tEditais[Edital],0)),"")</f>
        <v>PR</v>
      </c>
      <c r="I5194" s="11">
        <f>IFERROR(INDEX(tEditais[Encerramento],MATCH(tItens[[#This Row],[Edital]],tEditais[Edital],0)),"")</f>
        <v>46308.333333333336</v>
      </c>
      <c r="J5194" t="str">
        <f>IFERROR(INDEX(tProdutos[Classe],MATCH(tItens[[#This Row],[Produto]],tProdutos[Produto],0)),"produto não cadastrado")</f>
        <v>FORA</v>
      </c>
      <c r="K5194" s="12">
        <f>tItens[[#This Row],[Qtd]]*tItens[[#This Row],[Vlr unit]]</f>
        <v>268</v>
      </c>
      <c r="L5194" s="6">
        <f>IFERROR(IF(INDEX(tProdutos[Desconto homologado],MATCH(tItens[[#This Row],[Produto]],tProdutos[Produto],0))="",DescontoPadrao,INDEX(tProdutos[Desconto homologado],MATCH(tItens[[#This Row],[Produto]],tProdutos[Produto],0))),DescontoPadrao)</f>
        <v>0.363567906332742</v>
      </c>
      <c r="M5194" s="12">
        <f>tItens[[#This Row],[Valor]]*(1-tItens[[#This Row],[Desconto]])</f>
        <v>170.56380110282515</v>
      </c>
      <c r="N5194" t="str">
        <f>IFERROR(INDEX(tProdutos[Foco],MATCH(tItens[[#This Row],[Produto]],tProdutos[Produto],0)),"Não")</f>
        <v>Não</v>
      </c>
      <c r="O5194" t="str">
        <f>IFERROR(INDEX(tEditais[SRP],MATCH(tItens[[#This Row],[Edital]],tEditais[Edital],0)),"Não")</f>
        <v>Sim</v>
      </c>
      <c r="P5194" s="4">
        <f>IF(COUNTIFS(INDEX(tItens[Edital],1):tItens[[#This Row],[Edital]],tItens[[#This Row],[Edital]],INDEX(tItens[Produto],1):tItens[[#This Row],[Produto]],tItens[[#This Row],[Produto]])=1,1,0)</f>
        <v>0</v>
      </c>
    </row>
    <row r="5195" spans="1:16" x14ac:dyDescent="0.25">
      <c r="A5195" t="s">
        <v>1992</v>
      </c>
      <c r="B5195">
        <v>212</v>
      </c>
      <c r="C5195" t="s">
        <v>7994</v>
      </c>
      <c r="D5195" t="s">
        <v>110</v>
      </c>
      <c r="E5195" s="13">
        <v>200</v>
      </c>
      <c r="F5195" s="12">
        <v>2.2599999999999998</v>
      </c>
      <c r="G5195" t="str">
        <f>IFERROR(INDEX(tEditais[Órgão],MATCH(tItens[[#This Row],[Edital]],tEditais[Edital],0)),"")</f>
        <v>AUTARQUIA MUNICIPAL DE SAUDE DE RIO BOM - AMS - RB</v>
      </c>
      <c r="H5195" t="str">
        <f>IFERROR(INDEX(tEditais[UF],MATCH(tItens[[#This Row],[Edital]],tEditais[Edital],0)),"")</f>
        <v>PR</v>
      </c>
      <c r="I5195" s="11">
        <f>IFERROR(INDEX(tEditais[Encerramento],MATCH(tItens[[#This Row],[Edital]],tEditais[Edital],0)),"")</f>
        <v>46308.333333333336</v>
      </c>
      <c r="J5195" t="str">
        <f>IFERROR(INDEX(tProdutos[Classe],MATCH(tItens[[#This Row],[Produto]],tProdutos[Produto],0)),"produto não cadastrado")</f>
        <v>NÚCLEO</v>
      </c>
      <c r="K5195" s="12">
        <f>tItens[[#This Row],[Qtd]]*tItens[[#This Row],[Vlr unit]]</f>
        <v>451.99999999999994</v>
      </c>
      <c r="L5195" s="6">
        <f>IFERROR(IF(INDEX(tProdutos[Desconto homologado],MATCH(tItens[[#This Row],[Produto]],tProdutos[Produto],0))="",DescontoPadrao,INDEX(tProdutos[Desconto homologado],MATCH(tItens[[#This Row],[Produto]],tProdutos[Produto],0))),DescontoPadrao)</f>
        <v>0.30410958904109597</v>
      </c>
      <c r="M5195" s="12">
        <f>tItens[[#This Row],[Valor]]*(1-tItens[[#This Row],[Desconto]])</f>
        <v>314.54246575342461</v>
      </c>
      <c r="N5195" t="str">
        <f>IFERROR(INDEX(tProdutos[Foco],MATCH(tItens[[#This Row],[Produto]],tProdutos[Produto],0)),"Não")</f>
        <v>Não</v>
      </c>
      <c r="O5195" t="str">
        <f>IFERROR(INDEX(tEditais[SRP],MATCH(tItens[[#This Row],[Edital]],tEditais[Edital],0)),"Não")</f>
        <v>Sim</v>
      </c>
      <c r="P5195" s="4">
        <f>IF(COUNTIFS(INDEX(tItens[Edital],1):tItens[[#This Row],[Edital]],tItens[[#This Row],[Edital]],INDEX(tItens[Produto],1):tItens[[#This Row],[Produto]],tItens[[#This Row],[Produto]])=1,1,0)</f>
        <v>0</v>
      </c>
    </row>
    <row r="5196" spans="1:16" x14ac:dyDescent="0.25">
      <c r="A5196" t="s">
        <v>1992</v>
      </c>
      <c r="B5196">
        <v>213</v>
      </c>
      <c r="C5196" t="s">
        <v>7995</v>
      </c>
      <c r="D5196" t="s">
        <v>110</v>
      </c>
      <c r="E5196" s="13">
        <v>300</v>
      </c>
      <c r="F5196" s="12">
        <v>2.34</v>
      </c>
      <c r="G5196" t="str">
        <f>IFERROR(INDEX(tEditais[Órgão],MATCH(tItens[[#This Row],[Edital]],tEditais[Edital],0)),"")</f>
        <v>AUTARQUIA MUNICIPAL DE SAUDE DE RIO BOM - AMS - RB</v>
      </c>
      <c r="H5196" t="str">
        <f>IFERROR(INDEX(tEditais[UF],MATCH(tItens[[#This Row],[Edital]],tEditais[Edital],0)),"")</f>
        <v>PR</v>
      </c>
      <c r="I5196" s="11">
        <f>IFERROR(INDEX(tEditais[Encerramento],MATCH(tItens[[#This Row],[Edital]],tEditais[Edital],0)),"")</f>
        <v>46308.333333333336</v>
      </c>
      <c r="J5196" t="str">
        <f>IFERROR(INDEX(tProdutos[Classe],MATCH(tItens[[#This Row],[Produto]],tProdutos[Produto],0)),"produto não cadastrado")</f>
        <v>NÚCLEO</v>
      </c>
      <c r="K5196" s="12">
        <f>tItens[[#This Row],[Qtd]]*tItens[[#This Row],[Vlr unit]]</f>
        <v>702</v>
      </c>
      <c r="L5196" s="6">
        <f>IFERROR(IF(INDEX(tProdutos[Desconto homologado],MATCH(tItens[[#This Row],[Produto]],tProdutos[Produto],0))="",DescontoPadrao,INDEX(tProdutos[Desconto homologado],MATCH(tItens[[#This Row],[Produto]],tProdutos[Produto],0))),DescontoPadrao)</f>
        <v>0.30410958904109597</v>
      </c>
      <c r="M5196" s="12">
        <f>tItens[[#This Row],[Valor]]*(1-tItens[[#This Row],[Desconto]])</f>
        <v>488.51506849315064</v>
      </c>
      <c r="N5196" t="str">
        <f>IFERROR(INDEX(tProdutos[Foco],MATCH(tItens[[#This Row],[Produto]],tProdutos[Produto],0)),"Não")</f>
        <v>Não</v>
      </c>
      <c r="O5196" t="str">
        <f>IFERROR(INDEX(tEditais[SRP],MATCH(tItens[[#This Row],[Edital]],tEditais[Edital],0)),"Não")</f>
        <v>Sim</v>
      </c>
      <c r="P5196" s="4">
        <f>IF(COUNTIFS(INDEX(tItens[Edital],1):tItens[[#This Row],[Edital]],tItens[[#This Row],[Edital]],INDEX(tItens[Produto],1):tItens[[#This Row],[Produto]],tItens[[#This Row],[Produto]])=1,1,0)</f>
        <v>0</v>
      </c>
    </row>
    <row r="5197" spans="1:16" x14ac:dyDescent="0.25">
      <c r="A5197" t="s">
        <v>1992</v>
      </c>
      <c r="B5197">
        <v>214</v>
      </c>
      <c r="C5197" t="s">
        <v>7996</v>
      </c>
      <c r="D5197" t="s">
        <v>110</v>
      </c>
      <c r="E5197" s="13">
        <v>200</v>
      </c>
      <c r="F5197" s="12">
        <v>2.4500000000000002</v>
      </c>
      <c r="G5197" t="str">
        <f>IFERROR(INDEX(tEditais[Órgão],MATCH(tItens[[#This Row],[Edital]],tEditais[Edital],0)),"")</f>
        <v>AUTARQUIA MUNICIPAL DE SAUDE DE RIO BOM - AMS - RB</v>
      </c>
      <c r="H5197" t="str">
        <f>IFERROR(INDEX(tEditais[UF],MATCH(tItens[[#This Row],[Edital]],tEditais[Edital],0)),"")</f>
        <v>PR</v>
      </c>
      <c r="I5197" s="11">
        <f>IFERROR(INDEX(tEditais[Encerramento],MATCH(tItens[[#This Row],[Edital]],tEditais[Edital],0)),"")</f>
        <v>46308.333333333336</v>
      </c>
      <c r="J5197" t="str">
        <f>IFERROR(INDEX(tProdutos[Classe],MATCH(tItens[[#This Row],[Produto]],tProdutos[Produto],0)),"produto não cadastrado")</f>
        <v>NÚCLEO</v>
      </c>
      <c r="K5197" s="12">
        <f>tItens[[#This Row],[Qtd]]*tItens[[#This Row],[Vlr unit]]</f>
        <v>490.00000000000006</v>
      </c>
      <c r="L5197" s="6">
        <f>IFERROR(IF(INDEX(tProdutos[Desconto homologado],MATCH(tItens[[#This Row],[Produto]],tProdutos[Produto],0))="",DescontoPadrao,INDEX(tProdutos[Desconto homologado],MATCH(tItens[[#This Row],[Produto]],tProdutos[Produto],0))),DescontoPadrao)</f>
        <v>0.30410958904109597</v>
      </c>
      <c r="M5197" s="12">
        <f>tItens[[#This Row],[Valor]]*(1-tItens[[#This Row],[Desconto]])</f>
        <v>340.98630136986299</v>
      </c>
      <c r="N5197" t="str">
        <f>IFERROR(INDEX(tProdutos[Foco],MATCH(tItens[[#This Row],[Produto]],tProdutos[Produto],0)),"Não")</f>
        <v>Não</v>
      </c>
      <c r="O5197" t="str">
        <f>IFERROR(INDEX(tEditais[SRP],MATCH(tItens[[#This Row],[Edital]],tEditais[Edital],0)),"Não")</f>
        <v>Sim</v>
      </c>
      <c r="P5197" s="4">
        <f>IF(COUNTIFS(INDEX(tItens[Edital],1):tItens[[#This Row],[Edital]],tItens[[#This Row],[Edital]],INDEX(tItens[Produto],1):tItens[[#This Row],[Produto]],tItens[[#This Row],[Produto]])=1,1,0)</f>
        <v>0</v>
      </c>
    </row>
    <row r="5198" spans="1:16" x14ac:dyDescent="0.25">
      <c r="A5198" t="s">
        <v>1992</v>
      </c>
      <c r="B5198">
        <v>215</v>
      </c>
      <c r="C5198" t="s">
        <v>7997</v>
      </c>
      <c r="D5198" t="s">
        <v>110</v>
      </c>
      <c r="E5198" s="13">
        <v>300</v>
      </c>
      <c r="F5198" s="12">
        <v>3.91</v>
      </c>
      <c r="G5198" t="str">
        <f>IFERROR(INDEX(tEditais[Órgão],MATCH(tItens[[#This Row],[Edital]],tEditais[Edital],0)),"")</f>
        <v>AUTARQUIA MUNICIPAL DE SAUDE DE RIO BOM - AMS - RB</v>
      </c>
      <c r="H5198" t="str">
        <f>IFERROR(INDEX(tEditais[UF],MATCH(tItens[[#This Row],[Edital]],tEditais[Edital],0)),"")</f>
        <v>PR</v>
      </c>
      <c r="I5198" s="11">
        <f>IFERROR(INDEX(tEditais[Encerramento],MATCH(tItens[[#This Row],[Edital]],tEditais[Edital],0)),"")</f>
        <v>46308.333333333336</v>
      </c>
      <c r="J5198" t="str">
        <f>IFERROR(INDEX(tProdutos[Classe],MATCH(tItens[[#This Row],[Produto]],tProdutos[Produto],0)),"produto não cadastrado")</f>
        <v>NÚCLEO</v>
      </c>
      <c r="K5198" s="12">
        <f>tItens[[#This Row],[Qtd]]*tItens[[#This Row],[Vlr unit]]</f>
        <v>1173</v>
      </c>
      <c r="L5198" s="6">
        <f>IFERROR(IF(INDEX(tProdutos[Desconto homologado],MATCH(tItens[[#This Row],[Produto]],tProdutos[Produto],0))="",DescontoPadrao,INDEX(tProdutos[Desconto homologado],MATCH(tItens[[#This Row],[Produto]],tProdutos[Produto],0))),DescontoPadrao)</f>
        <v>0.30410958904109597</v>
      </c>
      <c r="M5198" s="12">
        <f>tItens[[#This Row],[Valor]]*(1-tItens[[#This Row],[Desconto]])</f>
        <v>816.27945205479443</v>
      </c>
      <c r="N5198" t="str">
        <f>IFERROR(INDEX(tProdutos[Foco],MATCH(tItens[[#This Row],[Produto]],tProdutos[Produto],0)),"Não")</f>
        <v>Não</v>
      </c>
      <c r="O5198" t="str">
        <f>IFERROR(INDEX(tEditais[SRP],MATCH(tItens[[#This Row],[Edital]],tEditais[Edital],0)),"Não")</f>
        <v>Sim</v>
      </c>
      <c r="P5198" s="4">
        <f>IF(COUNTIFS(INDEX(tItens[Edital],1):tItens[[#This Row],[Edital]],tItens[[#This Row],[Edital]],INDEX(tItens[Produto],1):tItens[[#This Row],[Produto]],tItens[[#This Row],[Produto]])=1,1,0)</f>
        <v>0</v>
      </c>
    </row>
    <row r="5199" spans="1:16" x14ac:dyDescent="0.25">
      <c r="A5199" t="s">
        <v>1992</v>
      </c>
      <c r="B5199">
        <v>217</v>
      </c>
      <c r="C5199" t="s">
        <v>7998</v>
      </c>
      <c r="D5199" t="s">
        <v>120</v>
      </c>
      <c r="E5199" s="13">
        <v>3000</v>
      </c>
      <c r="F5199" s="12">
        <v>2.34</v>
      </c>
      <c r="G5199" t="str">
        <f>IFERROR(INDEX(tEditais[Órgão],MATCH(tItens[[#This Row],[Edital]],tEditais[Edital],0)),"")</f>
        <v>AUTARQUIA MUNICIPAL DE SAUDE DE RIO BOM - AMS - RB</v>
      </c>
      <c r="H5199" t="str">
        <f>IFERROR(INDEX(tEditais[UF],MATCH(tItens[[#This Row],[Edital]],tEditais[Edital],0)),"")</f>
        <v>PR</v>
      </c>
      <c r="I5199" s="11">
        <f>IFERROR(INDEX(tEditais[Encerramento],MATCH(tItens[[#This Row],[Edital]],tEditais[Edital],0)),"")</f>
        <v>46308.333333333336</v>
      </c>
      <c r="J5199" t="str">
        <f>IFERROR(INDEX(tProdutos[Classe],MATCH(tItens[[#This Row],[Produto]],tProdutos[Produto],0)),"produto não cadastrado")</f>
        <v>DISPUTADO</v>
      </c>
      <c r="K5199" s="12">
        <f>tItens[[#This Row],[Qtd]]*tItens[[#This Row],[Vlr unit]]</f>
        <v>7020</v>
      </c>
      <c r="L5199" s="6">
        <f>IFERROR(IF(INDEX(tProdutos[Desconto homologado],MATCH(tItens[[#This Row],[Produto]],tProdutos[Produto],0))="",DescontoPadrao,INDEX(tProdutos[Desconto homologado],MATCH(tItens[[#This Row],[Produto]],tProdutos[Produto],0))),DescontoPadrao)</f>
        <v>0.40909090909090901</v>
      </c>
      <c r="M5199" s="12">
        <f>tItens[[#This Row],[Valor]]*(1-tItens[[#This Row],[Desconto]])</f>
        <v>4148.1818181818189</v>
      </c>
      <c r="N5199" t="str">
        <f>IFERROR(INDEX(tProdutos[Foco],MATCH(tItens[[#This Row],[Produto]],tProdutos[Produto],0)),"Não")</f>
        <v>Não</v>
      </c>
      <c r="O5199" t="str">
        <f>IFERROR(INDEX(tEditais[SRP],MATCH(tItens[[#This Row],[Edital]],tEditais[Edital],0)),"Não")</f>
        <v>Sim</v>
      </c>
      <c r="P5199" s="4">
        <f>IF(COUNTIFS(INDEX(tItens[Edital],1):tItens[[#This Row],[Edital]],tItens[[#This Row],[Edital]],INDEX(tItens[Produto],1):tItens[[#This Row],[Produto]],tItens[[#This Row],[Produto]])=1,1,0)</f>
        <v>1</v>
      </c>
    </row>
    <row r="5200" spans="1:16" x14ac:dyDescent="0.25">
      <c r="A5200" t="s">
        <v>1992</v>
      </c>
      <c r="B5200">
        <v>218</v>
      </c>
      <c r="C5200" t="s">
        <v>7999</v>
      </c>
      <c r="D5200" t="s">
        <v>120</v>
      </c>
      <c r="E5200" s="13">
        <v>10000</v>
      </c>
      <c r="F5200" s="12">
        <v>2.4500000000000002</v>
      </c>
      <c r="G5200" t="str">
        <f>IFERROR(INDEX(tEditais[Órgão],MATCH(tItens[[#This Row],[Edital]],tEditais[Edital],0)),"")</f>
        <v>AUTARQUIA MUNICIPAL DE SAUDE DE RIO BOM - AMS - RB</v>
      </c>
      <c r="H5200" t="str">
        <f>IFERROR(INDEX(tEditais[UF],MATCH(tItens[[#This Row],[Edital]],tEditais[Edital],0)),"")</f>
        <v>PR</v>
      </c>
      <c r="I5200" s="11">
        <f>IFERROR(INDEX(tEditais[Encerramento],MATCH(tItens[[#This Row],[Edital]],tEditais[Edital],0)),"")</f>
        <v>46308.333333333336</v>
      </c>
      <c r="J5200" t="str">
        <f>IFERROR(INDEX(tProdutos[Classe],MATCH(tItens[[#This Row],[Produto]],tProdutos[Produto],0)),"produto não cadastrado")</f>
        <v>DISPUTADO</v>
      </c>
      <c r="K5200" s="12">
        <f>tItens[[#This Row],[Qtd]]*tItens[[#This Row],[Vlr unit]]</f>
        <v>24500</v>
      </c>
      <c r="L5200" s="6">
        <f>IFERROR(IF(INDEX(tProdutos[Desconto homologado],MATCH(tItens[[#This Row],[Produto]],tProdutos[Produto],0))="",DescontoPadrao,INDEX(tProdutos[Desconto homologado],MATCH(tItens[[#This Row],[Produto]],tProdutos[Produto],0))),DescontoPadrao)</f>
        <v>0.40909090909090901</v>
      </c>
      <c r="M5200" s="12">
        <f>tItens[[#This Row],[Valor]]*(1-tItens[[#This Row],[Desconto]])</f>
        <v>14477.272727272732</v>
      </c>
      <c r="N5200" t="str">
        <f>IFERROR(INDEX(tProdutos[Foco],MATCH(tItens[[#This Row],[Produto]],tProdutos[Produto],0)),"Não")</f>
        <v>Não</v>
      </c>
      <c r="O5200" t="str">
        <f>IFERROR(INDEX(tEditais[SRP],MATCH(tItens[[#This Row],[Edital]],tEditais[Edital],0)),"Não")</f>
        <v>Sim</v>
      </c>
      <c r="P5200" s="4">
        <f>IF(COUNTIFS(INDEX(tItens[Edital],1):tItens[[#This Row],[Edital]],tItens[[#This Row],[Edital]],INDEX(tItens[Produto],1):tItens[[#This Row],[Produto]],tItens[[#This Row],[Produto]])=1,1,0)</f>
        <v>0</v>
      </c>
    </row>
    <row r="5201" spans="1:16" x14ac:dyDescent="0.25">
      <c r="A5201" t="s">
        <v>1992</v>
      </c>
      <c r="B5201">
        <v>242</v>
      </c>
      <c r="C5201" t="s">
        <v>8000</v>
      </c>
      <c r="D5201" t="s">
        <v>411</v>
      </c>
      <c r="E5201" s="13">
        <v>6</v>
      </c>
      <c r="F5201" s="12">
        <v>252.63</v>
      </c>
      <c r="G5201" t="str">
        <f>IFERROR(INDEX(tEditais[Órgão],MATCH(tItens[[#This Row],[Edital]],tEditais[Edital],0)),"")</f>
        <v>AUTARQUIA MUNICIPAL DE SAUDE DE RIO BOM - AMS - RB</v>
      </c>
      <c r="H5201" t="str">
        <f>IFERROR(INDEX(tEditais[UF],MATCH(tItens[[#This Row],[Edital]],tEditais[Edital],0)),"")</f>
        <v>PR</v>
      </c>
      <c r="I5201" s="11">
        <f>IFERROR(INDEX(tEditais[Encerramento],MATCH(tItens[[#This Row],[Edital]],tEditais[Edital],0)),"")</f>
        <v>46308.333333333336</v>
      </c>
      <c r="J5201" t="str">
        <f>IFERROR(INDEX(tProdutos[Classe],MATCH(tItens[[#This Row],[Produto]],tProdutos[Produto],0)),"produto não cadastrado")</f>
        <v>FORA</v>
      </c>
      <c r="K5201" s="12">
        <f>tItens[[#This Row],[Qtd]]*tItens[[#This Row],[Vlr unit]]</f>
        <v>1515.78</v>
      </c>
      <c r="L5201" s="6">
        <f>IFERROR(IF(INDEX(tProdutos[Desconto homologado],MATCH(tItens[[#This Row],[Produto]],tProdutos[Produto],0))="",DescontoPadrao,INDEX(tProdutos[Desconto homologado],MATCH(tItens[[#This Row],[Produto]],tProdutos[Produto],0))),DescontoPadrao)</f>
        <v>0.50029835957199398</v>
      </c>
      <c r="M5201" s="12">
        <f>tItens[[#This Row],[Valor]]*(1-tItens[[#This Row],[Desconto]])</f>
        <v>757.43775252796297</v>
      </c>
      <c r="N5201" t="str">
        <f>IFERROR(INDEX(tProdutos[Foco],MATCH(tItens[[#This Row],[Produto]],tProdutos[Produto],0)),"Não")</f>
        <v>Não</v>
      </c>
      <c r="O5201" t="str">
        <f>IFERROR(INDEX(tEditais[SRP],MATCH(tItens[[#This Row],[Edital]],tEditais[Edital],0)),"Não")</f>
        <v>Sim</v>
      </c>
      <c r="P5201" s="4">
        <f>IF(COUNTIFS(INDEX(tItens[Edital],1):tItens[[#This Row],[Edital]],tItens[[#This Row],[Edital]],INDEX(tItens[Produto],1):tItens[[#This Row],[Produto]],tItens[[#This Row],[Produto]])=1,1,0)</f>
        <v>1</v>
      </c>
    </row>
    <row r="5202" spans="1:16" x14ac:dyDescent="0.25">
      <c r="A5202" t="s">
        <v>1992</v>
      </c>
      <c r="B5202">
        <v>244</v>
      </c>
      <c r="C5202" t="s">
        <v>8001</v>
      </c>
      <c r="D5202" t="s">
        <v>114</v>
      </c>
      <c r="E5202" s="13">
        <v>30</v>
      </c>
      <c r="F5202" s="12">
        <v>17.88</v>
      </c>
      <c r="G5202" t="str">
        <f>IFERROR(INDEX(tEditais[Órgão],MATCH(tItens[[#This Row],[Edital]],tEditais[Edital],0)),"")</f>
        <v>AUTARQUIA MUNICIPAL DE SAUDE DE RIO BOM - AMS - RB</v>
      </c>
      <c r="H5202" t="str">
        <f>IFERROR(INDEX(tEditais[UF],MATCH(tItens[[#This Row],[Edital]],tEditais[Edital],0)),"")</f>
        <v>PR</v>
      </c>
      <c r="I5202" s="11">
        <f>IFERROR(INDEX(tEditais[Encerramento],MATCH(tItens[[#This Row],[Edital]],tEditais[Edital],0)),"")</f>
        <v>46308.333333333336</v>
      </c>
      <c r="J5202" t="str">
        <f>IFERROR(INDEX(tProdutos[Classe],MATCH(tItens[[#This Row],[Produto]],tProdutos[Produto],0)),"produto não cadastrado")</f>
        <v>DISPUTADO</v>
      </c>
      <c r="K5202" s="12">
        <f>tItens[[#This Row],[Qtd]]*tItens[[#This Row],[Vlr unit]]</f>
        <v>536.4</v>
      </c>
      <c r="L5202" s="6">
        <f>IFERROR(IF(INDEX(tProdutos[Desconto homologado],MATCH(tItens[[#This Row],[Produto]],tProdutos[Produto],0))="",DescontoPadrao,INDEX(tProdutos[Desconto homologado],MATCH(tItens[[#This Row],[Produto]],tProdutos[Produto],0))),DescontoPadrao)</f>
        <v>0.24332656063896899</v>
      </c>
      <c r="M5202" s="12">
        <f>tItens[[#This Row],[Valor]]*(1-tItens[[#This Row],[Desconto]])</f>
        <v>405.87963287325704</v>
      </c>
      <c r="N5202" t="str">
        <f>IFERROR(INDEX(tProdutos[Foco],MATCH(tItens[[#This Row],[Produto]],tProdutos[Produto],0)),"Não")</f>
        <v>Não</v>
      </c>
      <c r="O5202" t="str">
        <f>IFERROR(INDEX(tEditais[SRP],MATCH(tItens[[#This Row],[Edital]],tEditais[Edital],0)),"Não")</f>
        <v>Sim</v>
      </c>
      <c r="P5202" s="4">
        <f>IF(COUNTIFS(INDEX(tItens[Edital],1):tItens[[#This Row],[Edital]],tItens[[#This Row],[Edital]],INDEX(tItens[Produto],1):tItens[[#This Row],[Produto]],tItens[[#This Row],[Produto]])=1,1,0)</f>
        <v>1</v>
      </c>
    </row>
    <row r="5203" spans="1:16" x14ac:dyDescent="0.25">
      <c r="A5203" t="s">
        <v>1992</v>
      </c>
      <c r="B5203">
        <v>258</v>
      </c>
      <c r="C5203" t="s">
        <v>8002</v>
      </c>
      <c r="D5203" t="s">
        <v>156</v>
      </c>
      <c r="E5203" s="13">
        <v>100</v>
      </c>
      <c r="F5203" s="12">
        <v>63.27</v>
      </c>
      <c r="G5203" t="str">
        <f>IFERROR(INDEX(tEditais[Órgão],MATCH(tItens[[#This Row],[Edital]],tEditais[Edital],0)),"")</f>
        <v>AUTARQUIA MUNICIPAL DE SAUDE DE RIO BOM - AMS - RB</v>
      </c>
      <c r="H5203" t="str">
        <f>IFERROR(INDEX(tEditais[UF],MATCH(tItens[[#This Row],[Edital]],tEditais[Edital],0)),"")</f>
        <v>PR</v>
      </c>
      <c r="I5203" s="11">
        <f>IFERROR(INDEX(tEditais[Encerramento],MATCH(tItens[[#This Row],[Edital]],tEditais[Edital],0)),"")</f>
        <v>46308.333333333336</v>
      </c>
      <c r="J5203" t="str">
        <f>IFERROR(INDEX(tProdutos[Classe],MATCH(tItens[[#This Row],[Produto]],tProdutos[Produto],0)),"produto não cadastrado")</f>
        <v>DISPUTADO</v>
      </c>
      <c r="K5203" s="12">
        <f>tItens[[#This Row],[Qtd]]*tItens[[#This Row],[Vlr unit]]</f>
        <v>6327</v>
      </c>
      <c r="L5203" s="6">
        <f>IFERROR(IF(INDEX(tProdutos[Desconto homologado],MATCH(tItens[[#This Row],[Produto]],tProdutos[Produto],0))="",DescontoPadrao,INDEX(tProdutos[Desconto homologado],MATCH(tItens[[#This Row],[Produto]],tProdutos[Produto],0))),DescontoPadrao)</f>
        <v>0.27131852489802799</v>
      </c>
      <c r="M5203" s="12">
        <f>tItens[[#This Row],[Valor]]*(1-tItens[[#This Row],[Desconto]])</f>
        <v>4610.3676929701769</v>
      </c>
      <c r="N5203" t="str">
        <f>IFERROR(INDEX(tProdutos[Foco],MATCH(tItens[[#This Row],[Produto]],tProdutos[Produto],0)),"Não")</f>
        <v>Não</v>
      </c>
      <c r="O5203" t="str">
        <f>IFERROR(INDEX(tEditais[SRP],MATCH(tItens[[#This Row],[Edital]],tEditais[Edital],0)),"Não")</f>
        <v>Sim</v>
      </c>
      <c r="P5203" s="4">
        <f>IF(COUNTIFS(INDEX(tItens[Edital],1):tItens[[#This Row],[Edital]],tItens[[#This Row],[Edital]],INDEX(tItens[Produto],1):tItens[[#This Row],[Produto]],tItens[[#This Row],[Produto]])=1,1,0)</f>
        <v>1</v>
      </c>
    </row>
    <row r="5204" spans="1:16" x14ac:dyDescent="0.25">
      <c r="A5204" t="s">
        <v>1997</v>
      </c>
      <c r="B5204">
        <v>8</v>
      </c>
      <c r="C5204" t="s">
        <v>8003</v>
      </c>
      <c r="D5204" t="s">
        <v>405</v>
      </c>
      <c r="E5204" s="13">
        <v>20</v>
      </c>
      <c r="F5204" s="12">
        <v>16.899999999999999</v>
      </c>
      <c r="G5204" t="str">
        <f>IFERROR(INDEX(tEditais[Órgão],MATCH(tItens[[#This Row],[Edital]],tEditais[Edital],0)),"")</f>
        <v>MUNICIPIO DE IPIRANGA</v>
      </c>
      <c r="H5204" t="str">
        <f>IFERROR(INDEX(tEditais[UF],MATCH(tItens[[#This Row],[Edital]],tEditais[Edital],0)),"")</f>
        <v>PR</v>
      </c>
      <c r="I5204" s="11">
        <f>IFERROR(INDEX(tEditais[Encerramento],MATCH(tItens[[#This Row],[Edital]],tEditais[Edital],0)),"")</f>
        <v>46308.333333333336</v>
      </c>
      <c r="J5204" t="str">
        <f>IFERROR(INDEX(tProdutos[Classe],MATCH(tItens[[#This Row],[Produto]],tProdutos[Produto],0)),"produto não cadastrado")</f>
        <v>FORA</v>
      </c>
      <c r="K5204" s="12">
        <f>tItens[[#This Row],[Qtd]]*tItens[[#This Row],[Vlr unit]]</f>
        <v>338</v>
      </c>
      <c r="L5204" s="6">
        <f>IFERROR(IF(INDEX(tProdutos[Desconto homologado],MATCH(tItens[[#This Row],[Produto]],tProdutos[Produto],0))="",DescontoPadrao,INDEX(tProdutos[Desconto homologado],MATCH(tItens[[#This Row],[Produto]],tProdutos[Produto],0))),DescontoPadrao)</f>
        <v>0.43839061190276601</v>
      </c>
      <c r="M5204" s="12">
        <f>tItens[[#This Row],[Valor]]*(1-tItens[[#This Row],[Desconto]])</f>
        <v>189.82397317686508</v>
      </c>
      <c r="N5204" t="str">
        <f>IFERROR(INDEX(tProdutos[Foco],MATCH(tItens[[#This Row],[Produto]],tProdutos[Produto],0)),"Não")</f>
        <v>Não</v>
      </c>
      <c r="O5204" t="str">
        <f>IFERROR(INDEX(tEditais[SRP],MATCH(tItens[[#This Row],[Edital]],tEditais[Edital],0)),"Não")</f>
        <v>Sim</v>
      </c>
      <c r="P5204" s="4">
        <f>IF(COUNTIFS(INDEX(tItens[Edital],1):tItens[[#This Row],[Edital]],tItens[[#This Row],[Edital]],INDEX(tItens[Produto],1):tItens[[#This Row],[Produto]],tItens[[#This Row],[Produto]])=1,1,0)</f>
        <v>1</v>
      </c>
    </row>
    <row r="5205" spans="1:16" x14ac:dyDescent="0.25">
      <c r="A5205" t="s">
        <v>1997</v>
      </c>
      <c r="B5205">
        <v>9</v>
      </c>
      <c r="C5205" t="s">
        <v>8004</v>
      </c>
      <c r="D5205" t="s">
        <v>479</v>
      </c>
      <c r="E5205" s="13">
        <v>2</v>
      </c>
      <c r="F5205" s="12">
        <v>4.5</v>
      </c>
      <c r="G5205" t="str">
        <f>IFERROR(INDEX(tEditais[Órgão],MATCH(tItens[[#This Row],[Edital]],tEditais[Edital],0)),"")</f>
        <v>MUNICIPIO DE IPIRANGA</v>
      </c>
      <c r="H5205" t="str">
        <f>IFERROR(INDEX(tEditais[UF],MATCH(tItens[[#This Row],[Edital]],tEditais[Edital],0)),"")</f>
        <v>PR</v>
      </c>
      <c r="I5205" s="11">
        <f>IFERROR(INDEX(tEditais[Encerramento],MATCH(tItens[[#This Row],[Edital]],tEditais[Edital],0)),"")</f>
        <v>46308.333333333336</v>
      </c>
      <c r="J5205" t="str">
        <f>IFERROR(INDEX(tProdutos[Classe],MATCH(tItens[[#This Row],[Produto]],tProdutos[Produto],0)),"produto não cadastrado")</f>
        <v>FILA REBASE</v>
      </c>
      <c r="K5205" s="12">
        <f>tItens[[#This Row],[Qtd]]*tItens[[#This Row],[Vlr unit]]</f>
        <v>9</v>
      </c>
      <c r="L5205" s="6">
        <f>IFERROR(IF(INDEX(tProdutos[Desconto homologado],MATCH(tItens[[#This Row],[Produto]],tProdutos[Produto],0))="",DescontoPadrao,INDEX(tProdutos[Desconto homologado],MATCH(tItens[[#This Row],[Produto]],tProdutos[Produto],0))),DescontoPadrao)</f>
        <v>0.41266209000762799</v>
      </c>
      <c r="M5205" s="12">
        <f>tItens[[#This Row],[Valor]]*(1-tItens[[#This Row],[Desconto]])</f>
        <v>5.286041189931348</v>
      </c>
      <c r="N5205" t="str">
        <f>IFERROR(INDEX(tProdutos[Foco],MATCH(tItens[[#This Row],[Produto]],tProdutos[Produto],0)),"Não")</f>
        <v>Não</v>
      </c>
      <c r="O5205" t="str">
        <f>IFERROR(INDEX(tEditais[SRP],MATCH(tItens[[#This Row],[Edital]],tEditais[Edital],0)),"Não")</f>
        <v>Sim</v>
      </c>
      <c r="P5205" s="4">
        <f>IF(COUNTIFS(INDEX(tItens[Edital],1):tItens[[#This Row],[Edital]],tItens[[#This Row],[Edital]],INDEX(tItens[Produto],1):tItens[[#This Row],[Produto]],tItens[[#This Row],[Produto]])=1,1,0)</f>
        <v>1</v>
      </c>
    </row>
    <row r="5206" spans="1:16" x14ac:dyDescent="0.25">
      <c r="A5206" t="s">
        <v>1997</v>
      </c>
      <c r="B5206">
        <v>13</v>
      </c>
      <c r="C5206" t="s">
        <v>8005</v>
      </c>
      <c r="D5206" t="s">
        <v>132</v>
      </c>
      <c r="E5206" s="13">
        <v>5</v>
      </c>
      <c r="F5206" s="12">
        <v>31.9</v>
      </c>
      <c r="G5206" t="str">
        <f>IFERROR(INDEX(tEditais[Órgão],MATCH(tItens[[#This Row],[Edital]],tEditais[Edital],0)),"")</f>
        <v>MUNICIPIO DE IPIRANGA</v>
      </c>
      <c r="H5206" t="str">
        <f>IFERROR(INDEX(tEditais[UF],MATCH(tItens[[#This Row],[Edital]],tEditais[Edital],0)),"")</f>
        <v>PR</v>
      </c>
      <c r="I5206" s="11">
        <f>IFERROR(INDEX(tEditais[Encerramento],MATCH(tItens[[#This Row],[Edital]],tEditais[Edital],0)),"")</f>
        <v>46308.333333333336</v>
      </c>
      <c r="J5206" t="str">
        <f>IFERROR(INDEX(tProdutos[Classe],MATCH(tItens[[#This Row],[Produto]],tProdutos[Produto],0)),"produto não cadastrado")</f>
        <v>NÚCLEO</v>
      </c>
      <c r="K5206" s="12">
        <f>tItens[[#This Row],[Qtd]]*tItens[[#This Row],[Vlr unit]]</f>
        <v>159.5</v>
      </c>
      <c r="L5206" s="6">
        <f>IFERROR(IF(INDEX(tProdutos[Desconto homologado],MATCH(tItens[[#This Row],[Produto]],tProdutos[Produto],0))="",DescontoPadrao,INDEX(tProdutos[Desconto homologado],MATCH(tItens[[#This Row],[Produto]],tProdutos[Produto],0))),DescontoPadrao)</f>
        <v>0.27</v>
      </c>
      <c r="M5206" s="12">
        <f>tItens[[#This Row],[Valor]]*(1-tItens[[#This Row],[Desconto]])</f>
        <v>116.435</v>
      </c>
      <c r="N5206" t="str">
        <f>IFERROR(INDEX(tProdutos[Foco],MATCH(tItens[[#This Row],[Produto]],tProdutos[Produto],0)),"Não")</f>
        <v>Sim</v>
      </c>
      <c r="O5206" t="str">
        <f>IFERROR(INDEX(tEditais[SRP],MATCH(tItens[[#This Row],[Edital]],tEditais[Edital],0)),"Não")</f>
        <v>Sim</v>
      </c>
      <c r="P5206" s="4">
        <f>IF(COUNTIFS(INDEX(tItens[Edital],1):tItens[[#This Row],[Edital]],tItens[[#This Row],[Edital]],INDEX(tItens[Produto],1):tItens[[#This Row],[Produto]],tItens[[#This Row],[Produto]])=1,1,0)</f>
        <v>1</v>
      </c>
    </row>
    <row r="5207" spans="1:16" x14ac:dyDescent="0.25">
      <c r="A5207" t="s">
        <v>1997</v>
      </c>
      <c r="B5207">
        <v>18</v>
      </c>
      <c r="C5207" t="s">
        <v>8006</v>
      </c>
      <c r="D5207" t="s">
        <v>160</v>
      </c>
      <c r="E5207" s="13">
        <v>200</v>
      </c>
      <c r="F5207" s="12">
        <v>55</v>
      </c>
      <c r="G5207" t="str">
        <f>IFERROR(INDEX(tEditais[Órgão],MATCH(tItens[[#This Row],[Edital]],tEditais[Edital],0)),"")</f>
        <v>MUNICIPIO DE IPIRANGA</v>
      </c>
      <c r="H5207" t="str">
        <f>IFERROR(INDEX(tEditais[UF],MATCH(tItens[[#This Row],[Edital]],tEditais[Edital],0)),"")</f>
        <v>PR</v>
      </c>
      <c r="I5207" s="11">
        <f>IFERROR(INDEX(tEditais[Encerramento],MATCH(tItens[[#This Row],[Edital]],tEditais[Edital],0)),"")</f>
        <v>46308.333333333336</v>
      </c>
      <c r="J5207" t="str">
        <f>IFERROR(INDEX(tProdutos[Classe],MATCH(tItens[[#This Row],[Produto]],tProdutos[Produto],0)),"produto não cadastrado")</f>
        <v>DISPUTADO</v>
      </c>
      <c r="K5207" s="12">
        <f>tItens[[#This Row],[Qtd]]*tItens[[#This Row],[Vlr unit]]</f>
        <v>11000</v>
      </c>
      <c r="L5207" s="6">
        <f>IFERROR(IF(INDEX(tProdutos[Desconto homologado],MATCH(tItens[[#This Row],[Produto]],tProdutos[Produto],0))="",DescontoPadrao,INDEX(tProdutos[Desconto homologado],MATCH(tItens[[#This Row],[Produto]],tProdutos[Produto],0))),DescontoPadrao)</f>
        <v>0.28000000000000003</v>
      </c>
      <c r="M5207" s="12">
        <f>tItens[[#This Row],[Valor]]*(1-tItens[[#This Row],[Desconto]])</f>
        <v>7920</v>
      </c>
      <c r="N5207" t="str">
        <f>IFERROR(INDEX(tProdutos[Foco],MATCH(tItens[[#This Row],[Produto]],tProdutos[Produto],0)),"Não")</f>
        <v>Sim</v>
      </c>
      <c r="O5207" t="str">
        <f>IFERROR(INDEX(tEditais[SRP],MATCH(tItens[[#This Row],[Edital]],tEditais[Edital],0)),"Não")</f>
        <v>Sim</v>
      </c>
      <c r="P5207" s="4">
        <f>IF(COUNTIFS(INDEX(tItens[Edital],1):tItens[[#This Row],[Edital]],tItens[[#This Row],[Edital]],INDEX(tItens[Produto],1):tItens[[#This Row],[Produto]],tItens[[#This Row],[Produto]])=1,1,0)</f>
        <v>1</v>
      </c>
    </row>
    <row r="5208" spans="1:16" x14ac:dyDescent="0.25">
      <c r="A5208" t="s">
        <v>1997</v>
      </c>
      <c r="B5208">
        <v>19</v>
      </c>
      <c r="C5208" t="s">
        <v>8007</v>
      </c>
      <c r="D5208" t="s">
        <v>283</v>
      </c>
      <c r="E5208" s="13">
        <v>10000</v>
      </c>
      <c r="F5208" s="12">
        <v>2.75</v>
      </c>
      <c r="G5208" t="str">
        <f>IFERROR(INDEX(tEditais[Órgão],MATCH(tItens[[#This Row],[Edital]],tEditais[Edital],0)),"")</f>
        <v>MUNICIPIO DE IPIRANGA</v>
      </c>
      <c r="H5208" t="str">
        <f>IFERROR(INDEX(tEditais[UF],MATCH(tItens[[#This Row],[Edital]],tEditais[Edital],0)),"")</f>
        <v>PR</v>
      </c>
      <c r="I5208" s="11">
        <f>IFERROR(INDEX(tEditais[Encerramento],MATCH(tItens[[#This Row],[Edital]],tEditais[Edital],0)),"")</f>
        <v>46308.333333333336</v>
      </c>
      <c r="J5208" t="str">
        <f>IFERROR(INDEX(tProdutos[Classe],MATCH(tItens[[#This Row],[Produto]],tProdutos[Produto],0)),"produto não cadastrado")</f>
        <v>FORA</v>
      </c>
      <c r="K5208" s="12">
        <f>tItens[[#This Row],[Qtd]]*tItens[[#This Row],[Vlr unit]]</f>
        <v>27500</v>
      </c>
      <c r="L5208" s="6">
        <f>IFERROR(IF(INDEX(tProdutos[Desconto homologado],MATCH(tItens[[#This Row],[Produto]],tProdutos[Produto],0))="",DescontoPadrao,INDEX(tProdutos[Desconto homologado],MATCH(tItens[[#This Row],[Produto]],tProdutos[Produto],0))),DescontoPadrao)</f>
        <v>0.40540540540540498</v>
      </c>
      <c r="M5208" s="12">
        <f>tItens[[#This Row],[Valor]]*(1-tItens[[#This Row],[Desconto]])</f>
        <v>16351.351351351361</v>
      </c>
      <c r="N5208" t="str">
        <f>IFERROR(INDEX(tProdutos[Foco],MATCH(tItens[[#This Row],[Produto]],tProdutos[Produto],0)),"Não")</f>
        <v>Não</v>
      </c>
      <c r="O5208" t="str">
        <f>IFERROR(INDEX(tEditais[SRP],MATCH(tItens[[#This Row],[Edital]],tEditais[Edital],0)),"Não")</f>
        <v>Sim</v>
      </c>
      <c r="P5208" s="4">
        <f>IF(COUNTIFS(INDEX(tItens[Edital],1):tItens[[#This Row],[Edital]],tItens[[#This Row],[Edital]],INDEX(tItens[Produto],1):tItens[[#This Row],[Produto]],tItens[[#This Row],[Produto]])=1,1,0)</f>
        <v>1</v>
      </c>
    </row>
    <row r="5209" spans="1:16" x14ac:dyDescent="0.25">
      <c r="A5209" t="s">
        <v>1997</v>
      </c>
      <c r="B5209">
        <v>21</v>
      </c>
      <c r="C5209" t="s">
        <v>8008</v>
      </c>
      <c r="D5209" t="s">
        <v>77</v>
      </c>
      <c r="E5209" s="13">
        <v>300</v>
      </c>
      <c r="F5209" s="12">
        <v>19.899999999999999</v>
      </c>
      <c r="G5209" t="str">
        <f>IFERROR(INDEX(tEditais[Órgão],MATCH(tItens[[#This Row],[Edital]],tEditais[Edital],0)),"")</f>
        <v>MUNICIPIO DE IPIRANGA</v>
      </c>
      <c r="H5209" t="str">
        <f>IFERROR(INDEX(tEditais[UF],MATCH(tItens[[#This Row],[Edital]],tEditais[Edital],0)),"")</f>
        <v>PR</v>
      </c>
      <c r="I5209" s="11">
        <f>IFERROR(INDEX(tEditais[Encerramento],MATCH(tItens[[#This Row],[Edital]],tEditais[Edital],0)),"")</f>
        <v>46308.333333333336</v>
      </c>
      <c r="J5209" t="str">
        <f>IFERROR(INDEX(tProdutos[Classe],MATCH(tItens[[#This Row],[Produto]],tProdutos[Produto],0)),"produto não cadastrado")</f>
        <v>DISPUTADO</v>
      </c>
      <c r="K5209" s="12">
        <f>tItens[[#This Row],[Qtd]]*tItens[[#This Row],[Vlr unit]]</f>
        <v>5970</v>
      </c>
      <c r="L5209" s="6">
        <f>IFERROR(IF(INDEX(tProdutos[Desconto homologado],MATCH(tItens[[#This Row],[Produto]],tProdutos[Produto],0))="",DescontoPadrao,INDEX(tProdutos[Desconto homologado],MATCH(tItens[[#This Row],[Produto]],tProdutos[Produto],0))),DescontoPadrao)</f>
        <v>0.33</v>
      </c>
      <c r="M5209" s="12">
        <f>tItens[[#This Row],[Valor]]*(1-tItens[[#This Row],[Desconto]])</f>
        <v>3999.8999999999996</v>
      </c>
      <c r="N5209" t="str">
        <f>IFERROR(INDEX(tProdutos[Foco],MATCH(tItens[[#This Row],[Produto]],tProdutos[Produto],0)),"Não")</f>
        <v>Sim</v>
      </c>
      <c r="O5209" t="str">
        <f>IFERROR(INDEX(tEditais[SRP],MATCH(tItens[[#This Row],[Edital]],tEditais[Edital],0)),"Não")</f>
        <v>Sim</v>
      </c>
      <c r="P5209" s="4">
        <f>IF(COUNTIFS(INDEX(tItens[Edital],1):tItens[[#This Row],[Edital]],tItens[[#This Row],[Edital]],INDEX(tItens[Produto],1):tItens[[#This Row],[Produto]],tItens[[#This Row],[Produto]])=1,1,0)</f>
        <v>1</v>
      </c>
    </row>
    <row r="5210" spans="1:16" x14ac:dyDescent="0.25">
      <c r="A5210" t="s">
        <v>1997</v>
      </c>
      <c r="B5210">
        <v>23</v>
      </c>
      <c r="C5210" t="s">
        <v>8009</v>
      </c>
      <c r="D5210" t="s">
        <v>170</v>
      </c>
      <c r="E5210" s="13">
        <v>6</v>
      </c>
      <c r="F5210" s="12">
        <v>5.95</v>
      </c>
      <c r="G5210" t="str">
        <f>IFERROR(INDEX(tEditais[Órgão],MATCH(tItens[[#This Row],[Edital]],tEditais[Edital],0)),"")</f>
        <v>MUNICIPIO DE IPIRANGA</v>
      </c>
      <c r="H5210" t="str">
        <f>IFERROR(INDEX(tEditais[UF],MATCH(tItens[[#This Row],[Edital]],tEditais[Edital],0)),"")</f>
        <v>PR</v>
      </c>
      <c r="I5210" s="11">
        <f>IFERROR(INDEX(tEditais[Encerramento],MATCH(tItens[[#This Row],[Edital]],tEditais[Edital],0)),"")</f>
        <v>46308.333333333336</v>
      </c>
      <c r="J5210" t="str">
        <f>IFERROR(INDEX(tProdutos[Classe],MATCH(tItens[[#This Row],[Produto]],tProdutos[Produto],0)),"produto não cadastrado")</f>
        <v>DISPUTADO</v>
      </c>
      <c r="K5210" s="12">
        <f>tItens[[#This Row],[Qtd]]*tItens[[#This Row],[Vlr unit]]</f>
        <v>35.700000000000003</v>
      </c>
      <c r="L5210" s="6">
        <f>IFERROR(IF(INDEX(tProdutos[Desconto homologado],MATCH(tItens[[#This Row],[Produto]],tProdutos[Produto],0))="",DescontoPadrao,INDEX(tProdutos[Desconto homologado],MATCH(tItens[[#This Row],[Produto]],tProdutos[Produto],0))),DescontoPadrao)</f>
        <v>0.36</v>
      </c>
      <c r="M5210" s="12">
        <f>tItens[[#This Row],[Valor]]*(1-tItens[[#This Row],[Desconto]])</f>
        <v>22.848000000000003</v>
      </c>
      <c r="N5210" t="str">
        <f>IFERROR(INDEX(tProdutos[Foco],MATCH(tItens[[#This Row],[Produto]],tProdutos[Produto],0)),"Não")</f>
        <v>Sim</v>
      </c>
      <c r="O5210" t="str">
        <f>IFERROR(INDEX(tEditais[SRP],MATCH(tItens[[#This Row],[Edital]],tEditais[Edital],0)),"Não")</f>
        <v>Sim</v>
      </c>
      <c r="P5210" s="4">
        <f>IF(COUNTIFS(INDEX(tItens[Edital],1):tItens[[#This Row],[Edital]],tItens[[#This Row],[Edital]],INDEX(tItens[Produto],1):tItens[[#This Row],[Produto]],tItens[[#This Row],[Produto]])=1,1,0)</f>
        <v>1</v>
      </c>
    </row>
    <row r="5211" spans="1:16" x14ac:dyDescent="0.25">
      <c r="A5211" t="s">
        <v>1997</v>
      </c>
      <c r="B5211">
        <v>24</v>
      </c>
      <c r="C5211" t="s">
        <v>8010</v>
      </c>
      <c r="D5211" t="s">
        <v>170</v>
      </c>
      <c r="E5211" s="13">
        <v>5</v>
      </c>
      <c r="F5211" s="12">
        <v>5.95</v>
      </c>
      <c r="G5211" t="str">
        <f>IFERROR(INDEX(tEditais[Órgão],MATCH(tItens[[#This Row],[Edital]],tEditais[Edital],0)),"")</f>
        <v>MUNICIPIO DE IPIRANGA</v>
      </c>
      <c r="H5211" t="str">
        <f>IFERROR(INDEX(tEditais[UF],MATCH(tItens[[#This Row],[Edital]],tEditais[Edital],0)),"")</f>
        <v>PR</v>
      </c>
      <c r="I5211" s="11">
        <f>IFERROR(INDEX(tEditais[Encerramento],MATCH(tItens[[#This Row],[Edital]],tEditais[Edital],0)),"")</f>
        <v>46308.333333333336</v>
      </c>
      <c r="J5211" t="str">
        <f>IFERROR(INDEX(tProdutos[Classe],MATCH(tItens[[#This Row],[Produto]],tProdutos[Produto],0)),"produto não cadastrado")</f>
        <v>DISPUTADO</v>
      </c>
      <c r="K5211" s="12">
        <f>tItens[[#This Row],[Qtd]]*tItens[[#This Row],[Vlr unit]]</f>
        <v>29.75</v>
      </c>
      <c r="L5211" s="6">
        <f>IFERROR(IF(INDEX(tProdutos[Desconto homologado],MATCH(tItens[[#This Row],[Produto]],tProdutos[Produto],0))="",DescontoPadrao,INDEX(tProdutos[Desconto homologado],MATCH(tItens[[#This Row],[Produto]],tProdutos[Produto],0))),DescontoPadrao)</f>
        <v>0.36</v>
      </c>
      <c r="M5211" s="12">
        <f>tItens[[#This Row],[Valor]]*(1-tItens[[#This Row],[Desconto]])</f>
        <v>19.04</v>
      </c>
      <c r="N5211" t="str">
        <f>IFERROR(INDEX(tProdutos[Foco],MATCH(tItens[[#This Row],[Produto]],tProdutos[Produto],0)),"Não")</f>
        <v>Sim</v>
      </c>
      <c r="O5211" t="str">
        <f>IFERROR(INDEX(tEditais[SRP],MATCH(tItens[[#This Row],[Edital]],tEditais[Edital],0)),"Não")</f>
        <v>Sim</v>
      </c>
      <c r="P5211" s="4">
        <f>IF(COUNTIFS(INDEX(tItens[Edital],1):tItens[[#This Row],[Edital]],tItens[[#This Row],[Edital]],INDEX(tItens[Produto],1):tItens[[#This Row],[Produto]],tItens[[#This Row],[Produto]])=1,1,0)</f>
        <v>0</v>
      </c>
    </row>
    <row r="5212" spans="1:16" x14ac:dyDescent="0.25">
      <c r="A5212" t="s">
        <v>1997</v>
      </c>
      <c r="B5212">
        <v>25</v>
      </c>
      <c r="C5212" t="s">
        <v>8011</v>
      </c>
      <c r="D5212" t="s">
        <v>170</v>
      </c>
      <c r="E5212" s="13">
        <v>5</v>
      </c>
      <c r="F5212" s="12">
        <v>5.95</v>
      </c>
      <c r="G5212" t="str">
        <f>IFERROR(INDEX(tEditais[Órgão],MATCH(tItens[[#This Row],[Edital]],tEditais[Edital],0)),"")</f>
        <v>MUNICIPIO DE IPIRANGA</v>
      </c>
      <c r="H5212" t="str">
        <f>IFERROR(INDEX(tEditais[UF],MATCH(tItens[[#This Row],[Edital]],tEditais[Edital],0)),"")</f>
        <v>PR</v>
      </c>
      <c r="I5212" s="11">
        <f>IFERROR(INDEX(tEditais[Encerramento],MATCH(tItens[[#This Row],[Edital]],tEditais[Edital],0)),"")</f>
        <v>46308.333333333336</v>
      </c>
      <c r="J5212" t="str">
        <f>IFERROR(INDEX(tProdutos[Classe],MATCH(tItens[[#This Row],[Produto]],tProdutos[Produto],0)),"produto não cadastrado")</f>
        <v>DISPUTADO</v>
      </c>
      <c r="K5212" s="12">
        <f>tItens[[#This Row],[Qtd]]*tItens[[#This Row],[Vlr unit]]</f>
        <v>29.75</v>
      </c>
      <c r="L5212" s="6">
        <f>IFERROR(IF(INDEX(tProdutos[Desconto homologado],MATCH(tItens[[#This Row],[Produto]],tProdutos[Produto],0))="",DescontoPadrao,INDEX(tProdutos[Desconto homologado],MATCH(tItens[[#This Row],[Produto]],tProdutos[Produto],0))),DescontoPadrao)</f>
        <v>0.36</v>
      </c>
      <c r="M5212" s="12">
        <f>tItens[[#This Row],[Valor]]*(1-tItens[[#This Row],[Desconto]])</f>
        <v>19.04</v>
      </c>
      <c r="N5212" t="str">
        <f>IFERROR(INDEX(tProdutos[Foco],MATCH(tItens[[#This Row],[Produto]],tProdutos[Produto],0)),"Não")</f>
        <v>Sim</v>
      </c>
      <c r="O5212" t="str">
        <f>IFERROR(INDEX(tEditais[SRP],MATCH(tItens[[#This Row],[Edital]],tEditais[Edital],0)),"Não")</f>
        <v>Sim</v>
      </c>
      <c r="P5212" s="4">
        <f>IF(COUNTIFS(INDEX(tItens[Edital],1):tItens[[#This Row],[Edital]],tItens[[#This Row],[Edital]],INDEX(tItens[Produto],1):tItens[[#This Row],[Produto]],tItens[[#This Row],[Produto]])=1,1,0)</f>
        <v>0</v>
      </c>
    </row>
    <row r="5213" spans="1:16" x14ac:dyDescent="0.25">
      <c r="A5213" t="s">
        <v>1997</v>
      </c>
      <c r="B5213">
        <v>26</v>
      </c>
      <c r="C5213" t="s">
        <v>8012</v>
      </c>
      <c r="D5213" t="s">
        <v>170</v>
      </c>
      <c r="E5213" s="13">
        <v>2</v>
      </c>
      <c r="F5213" s="12">
        <v>5.95</v>
      </c>
      <c r="G5213" t="str">
        <f>IFERROR(INDEX(tEditais[Órgão],MATCH(tItens[[#This Row],[Edital]],tEditais[Edital],0)),"")</f>
        <v>MUNICIPIO DE IPIRANGA</v>
      </c>
      <c r="H5213" t="str">
        <f>IFERROR(INDEX(tEditais[UF],MATCH(tItens[[#This Row],[Edital]],tEditais[Edital],0)),"")</f>
        <v>PR</v>
      </c>
      <c r="I5213" s="11">
        <f>IFERROR(INDEX(tEditais[Encerramento],MATCH(tItens[[#This Row],[Edital]],tEditais[Edital],0)),"")</f>
        <v>46308.333333333336</v>
      </c>
      <c r="J5213" t="str">
        <f>IFERROR(INDEX(tProdutos[Classe],MATCH(tItens[[#This Row],[Produto]],tProdutos[Produto],0)),"produto não cadastrado")</f>
        <v>DISPUTADO</v>
      </c>
      <c r="K5213" s="12">
        <f>tItens[[#This Row],[Qtd]]*tItens[[#This Row],[Vlr unit]]</f>
        <v>11.9</v>
      </c>
      <c r="L5213" s="6">
        <f>IFERROR(IF(INDEX(tProdutos[Desconto homologado],MATCH(tItens[[#This Row],[Produto]],tProdutos[Produto],0))="",DescontoPadrao,INDEX(tProdutos[Desconto homologado],MATCH(tItens[[#This Row],[Produto]],tProdutos[Produto],0))),DescontoPadrao)</f>
        <v>0.36</v>
      </c>
      <c r="M5213" s="12">
        <f>tItens[[#This Row],[Valor]]*(1-tItens[[#This Row],[Desconto]])</f>
        <v>7.6160000000000005</v>
      </c>
      <c r="N5213" t="str">
        <f>IFERROR(INDEX(tProdutos[Foco],MATCH(tItens[[#This Row],[Produto]],tProdutos[Produto],0)),"Não")</f>
        <v>Sim</v>
      </c>
      <c r="O5213" t="str">
        <f>IFERROR(INDEX(tEditais[SRP],MATCH(tItens[[#This Row],[Edital]],tEditais[Edital],0)),"Não")</f>
        <v>Sim</v>
      </c>
      <c r="P5213" s="4">
        <f>IF(COUNTIFS(INDEX(tItens[Edital],1):tItens[[#This Row],[Edital]],tItens[[#This Row],[Edital]],INDEX(tItens[Produto],1):tItens[[#This Row],[Produto]],tItens[[#This Row],[Produto]])=1,1,0)</f>
        <v>0</v>
      </c>
    </row>
    <row r="5214" spans="1:16" x14ac:dyDescent="0.25">
      <c r="A5214" t="s">
        <v>1997</v>
      </c>
      <c r="B5214">
        <v>27</v>
      </c>
      <c r="C5214" t="s">
        <v>8013</v>
      </c>
      <c r="D5214" t="s">
        <v>170</v>
      </c>
      <c r="E5214" s="13">
        <v>2</v>
      </c>
      <c r="F5214" s="12">
        <v>5.95</v>
      </c>
      <c r="G5214" t="str">
        <f>IFERROR(INDEX(tEditais[Órgão],MATCH(tItens[[#This Row],[Edital]],tEditais[Edital],0)),"")</f>
        <v>MUNICIPIO DE IPIRANGA</v>
      </c>
      <c r="H5214" t="str">
        <f>IFERROR(INDEX(tEditais[UF],MATCH(tItens[[#This Row],[Edital]],tEditais[Edital],0)),"")</f>
        <v>PR</v>
      </c>
      <c r="I5214" s="11">
        <f>IFERROR(INDEX(tEditais[Encerramento],MATCH(tItens[[#This Row],[Edital]],tEditais[Edital],0)),"")</f>
        <v>46308.333333333336</v>
      </c>
      <c r="J5214" t="str">
        <f>IFERROR(INDEX(tProdutos[Classe],MATCH(tItens[[#This Row],[Produto]],tProdutos[Produto],0)),"produto não cadastrado")</f>
        <v>DISPUTADO</v>
      </c>
      <c r="K5214" s="12">
        <f>tItens[[#This Row],[Qtd]]*tItens[[#This Row],[Vlr unit]]</f>
        <v>11.9</v>
      </c>
      <c r="L5214" s="6">
        <f>IFERROR(IF(INDEX(tProdutos[Desconto homologado],MATCH(tItens[[#This Row],[Produto]],tProdutos[Produto],0))="",DescontoPadrao,INDEX(tProdutos[Desconto homologado],MATCH(tItens[[#This Row],[Produto]],tProdutos[Produto],0))),DescontoPadrao)</f>
        <v>0.36</v>
      </c>
      <c r="M5214" s="12">
        <f>tItens[[#This Row],[Valor]]*(1-tItens[[#This Row],[Desconto]])</f>
        <v>7.6160000000000005</v>
      </c>
      <c r="N5214" t="str">
        <f>IFERROR(INDEX(tProdutos[Foco],MATCH(tItens[[#This Row],[Produto]],tProdutos[Produto],0)),"Não")</f>
        <v>Sim</v>
      </c>
      <c r="O5214" t="str">
        <f>IFERROR(INDEX(tEditais[SRP],MATCH(tItens[[#This Row],[Edital]],tEditais[Edital],0)),"Não")</f>
        <v>Sim</v>
      </c>
      <c r="P5214" s="4">
        <f>IF(COUNTIFS(INDEX(tItens[Edital],1):tItens[[#This Row],[Edital]],tItens[[#This Row],[Edital]],INDEX(tItens[Produto],1):tItens[[#This Row],[Produto]],tItens[[#This Row],[Produto]])=1,1,0)</f>
        <v>0</v>
      </c>
    </row>
    <row r="5215" spans="1:16" x14ac:dyDescent="0.25">
      <c r="A5215" t="s">
        <v>1997</v>
      </c>
      <c r="B5215">
        <v>28</v>
      </c>
      <c r="C5215" t="s">
        <v>8014</v>
      </c>
      <c r="D5215" t="s">
        <v>170</v>
      </c>
      <c r="E5215" s="13">
        <v>2</v>
      </c>
      <c r="F5215" s="12">
        <v>0.28000000000000003</v>
      </c>
      <c r="G5215" t="str">
        <f>IFERROR(INDEX(tEditais[Órgão],MATCH(tItens[[#This Row],[Edital]],tEditais[Edital],0)),"")</f>
        <v>MUNICIPIO DE IPIRANGA</v>
      </c>
      <c r="H5215" t="str">
        <f>IFERROR(INDEX(tEditais[UF],MATCH(tItens[[#This Row],[Edital]],tEditais[Edital],0)),"")</f>
        <v>PR</v>
      </c>
      <c r="I5215" s="11">
        <f>IFERROR(INDEX(tEditais[Encerramento],MATCH(tItens[[#This Row],[Edital]],tEditais[Edital],0)),"")</f>
        <v>46308.333333333336</v>
      </c>
      <c r="J5215" t="str">
        <f>IFERROR(INDEX(tProdutos[Classe],MATCH(tItens[[#This Row],[Produto]],tProdutos[Produto],0)),"produto não cadastrado")</f>
        <v>DISPUTADO</v>
      </c>
      <c r="K5215" s="12">
        <f>tItens[[#This Row],[Qtd]]*tItens[[#This Row],[Vlr unit]]</f>
        <v>0.56000000000000005</v>
      </c>
      <c r="L5215" s="6">
        <f>IFERROR(IF(INDEX(tProdutos[Desconto homologado],MATCH(tItens[[#This Row],[Produto]],tProdutos[Produto],0))="",DescontoPadrao,INDEX(tProdutos[Desconto homologado],MATCH(tItens[[#This Row],[Produto]],tProdutos[Produto],0))),DescontoPadrao)</f>
        <v>0.36</v>
      </c>
      <c r="M5215" s="12">
        <f>tItens[[#This Row],[Valor]]*(1-tItens[[#This Row],[Desconto]])</f>
        <v>0.35840000000000005</v>
      </c>
      <c r="N5215" t="str">
        <f>IFERROR(INDEX(tProdutos[Foco],MATCH(tItens[[#This Row],[Produto]],tProdutos[Produto],0)),"Não")</f>
        <v>Sim</v>
      </c>
      <c r="O5215" t="str">
        <f>IFERROR(INDEX(tEditais[SRP],MATCH(tItens[[#This Row],[Edital]],tEditais[Edital],0)),"Não")</f>
        <v>Sim</v>
      </c>
      <c r="P5215" s="4">
        <f>IF(COUNTIFS(INDEX(tItens[Edital],1):tItens[[#This Row],[Edital]],tItens[[#This Row],[Edital]],INDEX(tItens[Produto],1):tItens[[#This Row],[Produto]],tItens[[#This Row],[Produto]])=1,1,0)</f>
        <v>0</v>
      </c>
    </row>
    <row r="5216" spans="1:16" x14ac:dyDescent="0.25">
      <c r="A5216" t="s">
        <v>1997</v>
      </c>
      <c r="B5216">
        <v>29</v>
      </c>
      <c r="C5216" t="s">
        <v>8015</v>
      </c>
      <c r="D5216" t="s">
        <v>170</v>
      </c>
      <c r="E5216" s="13">
        <v>2</v>
      </c>
      <c r="F5216" s="12">
        <v>2.75</v>
      </c>
      <c r="G5216" t="str">
        <f>IFERROR(INDEX(tEditais[Órgão],MATCH(tItens[[#This Row],[Edital]],tEditais[Edital],0)),"")</f>
        <v>MUNICIPIO DE IPIRANGA</v>
      </c>
      <c r="H5216" t="str">
        <f>IFERROR(INDEX(tEditais[UF],MATCH(tItens[[#This Row],[Edital]],tEditais[Edital],0)),"")</f>
        <v>PR</v>
      </c>
      <c r="I5216" s="11">
        <f>IFERROR(INDEX(tEditais[Encerramento],MATCH(tItens[[#This Row],[Edital]],tEditais[Edital],0)),"")</f>
        <v>46308.333333333336</v>
      </c>
      <c r="J5216" t="str">
        <f>IFERROR(INDEX(tProdutos[Classe],MATCH(tItens[[#This Row],[Produto]],tProdutos[Produto],0)),"produto não cadastrado")</f>
        <v>DISPUTADO</v>
      </c>
      <c r="K5216" s="12">
        <f>tItens[[#This Row],[Qtd]]*tItens[[#This Row],[Vlr unit]]</f>
        <v>5.5</v>
      </c>
      <c r="L5216" s="6">
        <f>IFERROR(IF(INDEX(tProdutos[Desconto homologado],MATCH(tItens[[#This Row],[Produto]],tProdutos[Produto],0))="",DescontoPadrao,INDEX(tProdutos[Desconto homologado],MATCH(tItens[[#This Row],[Produto]],tProdutos[Produto],0))),DescontoPadrao)</f>
        <v>0.36</v>
      </c>
      <c r="M5216" s="12">
        <f>tItens[[#This Row],[Valor]]*(1-tItens[[#This Row],[Desconto]])</f>
        <v>3.52</v>
      </c>
      <c r="N5216" t="str">
        <f>IFERROR(INDEX(tProdutos[Foco],MATCH(tItens[[#This Row],[Produto]],tProdutos[Produto],0)),"Não")</f>
        <v>Sim</v>
      </c>
      <c r="O5216" t="str">
        <f>IFERROR(INDEX(tEditais[SRP],MATCH(tItens[[#This Row],[Edital]],tEditais[Edital],0)),"Não")</f>
        <v>Sim</v>
      </c>
      <c r="P5216" s="4">
        <f>IF(COUNTIFS(INDEX(tItens[Edital],1):tItens[[#This Row],[Edital]],tItens[[#This Row],[Edital]],INDEX(tItens[Produto],1):tItens[[#This Row],[Produto]],tItens[[#This Row],[Produto]])=1,1,0)</f>
        <v>0</v>
      </c>
    </row>
    <row r="5217" spans="1:16" x14ac:dyDescent="0.25">
      <c r="A5217" t="s">
        <v>2002</v>
      </c>
      <c r="B5217">
        <v>53</v>
      </c>
      <c r="C5217" t="s">
        <v>8016</v>
      </c>
      <c r="D5217" t="s">
        <v>341</v>
      </c>
      <c r="E5217" s="13">
        <v>600</v>
      </c>
      <c r="F5217" s="12">
        <v>1.34</v>
      </c>
      <c r="G5217" t="str">
        <f>IFERROR(INDEX(tEditais[Órgão],MATCH(tItens[[#This Row],[Edital]],tEditais[Edital],0)),"")</f>
        <v>MUNICIPIO DE RIO BRANCO DO IVAI</v>
      </c>
      <c r="H5217" t="str">
        <f>IFERROR(INDEX(tEditais[UF],MATCH(tItens[[#This Row],[Edital]],tEditais[Edital],0)),"")</f>
        <v>PR</v>
      </c>
      <c r="I5217" s="11">
        <f>IFERROR(INDEX(tEditais[Encerramento],MATCH(tItens[[#This Row],[Edital]],tEditais[Edital],0)),"")</f>
        <v>46308.333333333336</v>
      </c>
      <c r="J5217" t="str">
        <f>IFERROR(INDEX(tProdutos[Classe],MATCH(tItens[[#This Row],[Produto]],tProdutos[Produto],0)),"produto não cadastrado")</f>
        <v>FORA</v>
      </c>
      <c r="K5217" s="12">
        <f>tItens[[#This Row],[Qtd]]*tItens[[#This Row],[Vlr unit]]</f>
        <v>804</v>
      </c>
      <c r="L5217" s="6">
        <f>IFERROR(IF(INDEX(tProdutos[Desconto homologado],MATCH(tItens[[#This Row],[Produto]],tProdutos[Produto],0))="",DescontoPadrao,INDEX(tProdutos[Desconto homologado],MATCH(tItens[[#This Row],[Produto]],tProdutos[Produto],0))),DescontoPadrao)</f>
        <v>0.46918578497525898</v>
      </c>
      <c r="M5217" s="12">
        <f>tItens[[#This Row],[Valor]]*(1-tItens[[#This Row],[Desconto]])</f>
        <v>426.77462887989179</v>
      </c>
      <c r="N5217" t="str">
        <f>IFERROR(INDEX(tProdutos[Foco],MATCH(tItens[[#This Row],[Produto]],tProdutos[Produto],0)),"Não")</f>
        <v>Não</v>
      </c>
      <c r="O5217" t="str">
        <f>IFERROR(INDEX(tEditais[SRP],MATCH(tItens[[#This Row],[Edital]],tEditais[Edital],0)),"Não")</f>
        <v>Não</v>
      </c>
      <c r="P5217" s="4">
        <f>IF(COUNTIFS(INDEX(tItens[Edital],1):tItens[[#This Row],[Edital]],tItens[[#This Row],[Edital]],INDEX(tItens[Produto],1):tItens[[#This Row],[Produto]],tItens[[#This Row],[Produto]])=1,1,0)</f>
        <v>1</v>
      </c>
    </row>
    <row r="5218" spans="1:16" x14ac:dyDescent="0.25">
      <c r="A5218" t="s">
        <v>2002</v>
      </c>
      <c r="B5218">
        <v>55</v>
      </c>
      <c r="C5218" t="s">
        <v>8017</v>
      </c>
      <c r="D5218" t="s">
        <v>75</v>
      </c>
      <c r="E5218" s="13">
        <v>1000</v>
      </c>
      <c r="F5218" s="12">
        <v>1.17</v>
      </c>
      <c r="G5218" t="str">
        <f>IFERROR(INDEX(tEditais[Órgão],MATCH(tItens[[#This Row],[Edital]],tEditais[Edital],0)),"")</f>
        <v>MUNICIPIO DE RIO BRANCO DO IVAI</v>
      </c>
      <c r="H5218" t="str">
        <f>IFERROR(INDEX(tEditais[UF],MATCH(tItens[[#This Row],[Edital]],tEditais[Edital],0)),"")</f>
        <v>PR</v>
      </c>
      <c r="I5218" s="11">
        <f>IFERROR(INDEX(tEditais[Encerramento],MATCH(tItens[[#This Row],[Edital]],tEditais[Edital],0)),"")</f>
        <v>46308.333333333336</v>
      </c>
      <c r="J5218" t="str">
        <f>IFERROR(INDEX(tProdutos[Classe],MATCH(tItens[[#This Row],[Produto]],tProdutos[Produto],0)),"produto não cadastrado")</f>
        <v>NÚCLEO</v>
      </c>
      <c r="K5218" s="12">
        <f>tItens[[#This Row],[Qtd]]*tItens[[#This Row],[Vlr unit]]</f>
        <v>1170</v>
      </c>
      <c r="L5218" s="6">
        <f>IFERROR(IF(INDEX(tProdutos[Desconto homologado],MATCH(tItens[[#This Row],[Produto]],tProdutos[Produto],0))="",DescontoPadrao,INDEX(tProdutos[Desconto homologado],MATCH(tItens[[#This Row],[Produto]],tProdutos[Produto],0))),DescontoPadrao)</f>
        <v>0.26</v>
      </c>
      <c r="M5218" s="12">
        <f>tItens[[#This Row],[Valor]]*(1-tItens[[#This Row],[Desconto]])</f>
        <v>865.8</v>
      </c>
      <c r="N5218" t="str">
        <f>IFERROR(INDEX(tProdutos[Foco],MATCH(tItens[[#This Row],[Produto]],tProdutos[Produto],0)),"Não")</f>
        <v>Sim</v>
      </c>
      <c r="O5218" t="str">
        <f>IFERROR(INDEX(tEditais[SRP],MATCH(tItens[[#This Row],[Edital]],tEditais[Edital],0)),"Não")</f>
        <v>Não</v>
      </c>
      <c r="P5218" s="4">
        <f>IF(COUNTIFS(INDEX(tItens[Edital],1):tItens[[#This Row],[Edital]],tItens[[#This Row],[Edital]],INDEX(tItens[Produto],1):tItens[[#This Row],[Produto]],tItens[[#This Row],[Produto]])=1,1,0)</f>
        <v>1</v>
      </c>
    </row>
    <row r="5219" spans="1:16" x14ac:dyDescent="0.25">
      <c r="A5219" t="s">
        <v>2002</v>
      </c>
      <c r="B5219">
        <v>56</v>
      </c>
      <c r="C5219" t="s">
        <v>8018</v>
      </c>
      <c r="D5219" t="s">
        <v>75</v>
      </c>
      <c r="E5219" s="13">
        <v>1000</v>
      </c>
      <c r="F5219" s="12">
        <v>1.17</v>
      </c>
      <c r="G5219" t="str">
        <f>IFERROR(INDEX(tEditais[Órgão],MATCH(tItens[[#This Row],[Edital]],tEditais[Edital],0)),"")</f>
        <v>MUNICIPIO DE RIO BRANCO DO IVAI</v>
      </c>
      <c r="H5219" t="str">
        <f>IFERROR(INDEX(tEditais[UF],MATCH(tItens[[#This Row],[Edital]],tEditais[Edital],0)),"")</f>
        <v>PR</v>
      </c>
      <c r="I5219" s="11">
        <f>IFERROR(INDEX(tEditais[Encerramento],MATCH(tItens[[#This Row],[Edital]],tEditais[Edital],0)),"")</f>
        <v>46308.333333333336</v>
      </c>
      <c r="J5219" t="str">
        <f>IFERROR(INDEX(tProdutos[Classe],MATCH(tItens[[#This Row],[Produto]],tProdutos[Produto],0)),"produto não cadastrado")</f>
        <v>NÚCLEO</v>
      </c>
      <c r="K5219" s="12">
        <f>tItens[[#This Row],[Qtd]]*tItens[[#This Row],[Vlr unit]]</f>
        <v>1170</v>
      </c>
      <c r="L5219" s="6">
        <f>IFERROR(IF(INDEX(tProdutos[Desconto homologado],MATCH(tItens[[#This Row],[Produto]],tProdutos[Produto],0))="",DescontoPadrao,INDEX(tProdutos[Desconto homologado],MATCH(tItens[[#This Row],[Produto]],tProdutos[Produto],0))),DescontoPadrao)</f>
        <v>0.26</v>
      </c>
      <c r="M5219" s="12">
        <f>tItens[[#This Row],[Valor]]*(1-tItens[[#This Row],[Desconto]])</f>
        <v>865.8</v>
      </c>
      <c r="N5219" t="str">
        <f>IFERROR(INDEX(tProdutos[Foco],MATCH(tItens[[#This Row],[Produto]],tProdutos[Produto],0)),"Não")</f>
        <v>Sim</v>
      </c>
      <c r="O5219" t="str">
        <f>IFERROR(INDEX(tEditais[SRP],MATCH(tItens[[#This Row],[Edital]],tEditais[Edital],0)),"Não")</f>
        <v>Não</v>
      </c>
      <c r="P5219" s="4">
        <f>IF(COUNTIFS(INDEX(tItens[Edital],1):tItens[[#This Row],[Edital]],tItens[[#This Row],[Edital]],INDEX(tItens[Produto],1):tItens[[#This Row],[Produto]],tItens[[#This Row],[Produto]])=1,1,0)</f>
        <v>0</v>
      </c>
    </row>
    <row r="5220" spans="1:16" x14ac:dyDescent="0.25">
      <c r="A5220" t="s">
        <v>2002</v>
      </c>
      <c r="B5220">
        <v>57</v>
      </c>
      <c r="C5220" t="s">
        <v>8019</v>
      </c>
      <c r="D5220" t="s">
        <v>281</v>
      </c>
      <c r="E5220" s="13">
        <v>2000</v>
      </c>
      <c r="F5220" s="12">
        <v>0.27</v>
      </c>
      <c r="G5220" t="str">
        <f>IFERROR(INDEX(tEditais[Órgão],MATCH(tItens[[#This Row],[Edital]],tEditais[Edital],0)),"")</f>
        <v>MUNICIPIO DE RIO BRANCO DO IVAI</v>
      </c>
      <c r="H5220" t="str">
        <f>IFERROR(INDEX(tEditais[UF],MATCH(tItens[[#This Row],[Edital]],tEditais[Edital],0)),"")</f>
        <v>PR</v>
      </c>
      <c r="I5220" s="11">
        <f>IFERROR(INDEX(tEditais[Encerramento],MATCH(tItens[[#This Row],[Edital]],tEditais[Edital],0)),"")</f>
        <v>46308.333333333336</v>
      </c>
      <c r="J5220" t="str">
        <f>IFERROR(INDEX(tProdutos[Classe],MATCH(tItens[[#This Row],[Produto]],tProdutos[Produto],0)),"produto não cadastrado")</f>
        <v>DISPUTADO</v>
      </c>
      <c r="K5220" s="12">
        <f>tItens[[#This Row],[Qtd]]*tItens[[#This Row],[Vlr unit]]</f>
        <v>540</v>
      </c>
      <c r="L5220" s="6">
        <f>IFERROR(IF(INDEX(tProdutos[Desconto homologado],MATCH(tItens[[#This Row],[Produto]],tProdutos[Produto],0))="",DescontoPadrao,INDEX(tProdutos[Desconto homologado],MATCH(tItens[[#This Row],[Produto]],tProdutos[Produto],0))),DescontoPadrao)</f>
        <v>0.42461538461538501</v>
      </c>
      <c r="M5220" s="12">
        <f>tItens[[#This Row],[Valor]]*(1-tItens[[#This Row],[Desconto]])</f>
        <v>310.70769230769207</v>
      </c>
      <c r="N5220" t="str">
        <f>IFERROR(INDEX(tProdutos[Foco],MATCH(tItens[[#This Row],[Produto]],tProdutos[Produto],0)),"Não")</f>
        <v>Não</v>
      </c>
      <c r="O5220" t="str">
        <f>IFERROR(INDEX(tEditais[SRP],MATCH(tItens[[#This Row],[Edital]],tEditais[Edital],0)),"Não")</f>
        <v>Não</v>
      </c>
      <c r="P5220" s="4">
        <f>IF(COUNTIFS(INDEX(tItens[Edital],1):tItens[[#This Row],[Edital]],tItens[[#This Row],[Edital]],INDEX(tItens[Produto],1):tItens[[#This Row],[Produto]],tItens[[#This Row],[Produto]])=1,1,0)</f>
        <v>1</v>
      </c>
    </row>
    <row r="5221" spans="1:16" x14ac:dyDescent="0.25">
      <c r="A5221" t="s">
        <v>2002</v>
      </c>
      <c r="B5221">
        <v>58</v>
      </c>
      <c r="C5221" t="s">
        <v>8020</v>
      </c>
      <c r="D5221" t="s">
        <v>289</v>
      </c>
      <c r="E5221" s="13">
        <v>2000</v>
      </c>
      <c r="F5221" s="12">
        <v>0.37</v>
      </c>
      <c r="G5221" t="str">
        <f>IFERROR(INDEX(tEditais[Órgão],MATCH(tItens[[#This Row],[Edital]],tEditais[Edital],0)),"")</f>
        <v>MUNICIPIO DE RIO BRANCO DO IVAI</v>
      </c>
      <c r="H5221" t="str">
        <f>IFERROR(INDEX(tEditais[UF],MATCH(tItens[[#This Row],[Edital]],tEditais[Edital],0)),"")</f>
        <v>PR</v>
      </c>
      <c r="I5221" s="11">
        <f>IFERROR(INDEX(tEditais[Encerramento],MATCH(tItens[[#This Row],[Edital]],tEditais[Edital],0)),"")</f>
        <v>46308.333333333336</v>
      </c>
      <c r="J5221" t="str">
        <f>IFERROR(INDEX(tProdutos[Classe],MATCH(tItens[[#This Row],[Produto]],tProdutos[Produto],0)),"produto não cadastrado")</f>
        <v>DISPUTADO</v>
      </c>
      <c r="K5221" s="12">
        <f>tItens[[#This Row],[Qtd]]*tItens[[#This Row],[Vlr unit]]</f>
        <v>740</v>
      </c>
      <c r="L5221" s="6">
        <f>IFERROR(IF(INDEX(tProdutos[Desconto homologado],MATCH(tItens[[#This Row],[Produto]],tProdutos[Produto],0))="",DescontoPadrao,INDEX(tProdutos[Desconto homologado],MATCH(tItens[[#This Row],[Produto]],tProdutos[Produto],0))),DescontoPadrao)</f>
        <v>0.35849056603773599</v>
      </c>
      <c r="M5221" s="12">
        <f>tItens[[#This Row],[Valor]]*(1-tItens[[#This Row],[Desconto]])</f>
        <v>474.71698113207538</v>
      </c>
      <c r="N5221" t="str">
        <f>IFERROR(INDEX(tProdutos[Foco],MATCH(tItens[[#This Row],[Produto]],tProdutos[Produto],0)),"Não")</f>
        <v>Não</v>
      </c>
      <c r="O5221" t="str">
        <f>IFERROR(INDEX(tEditais[SRP],MATCH(tItens[[#This Row],[Edital]],tEditais[Edital],0)),"Não")</f>
        <v>Não</v>
      </c>
      <c r="P5221" s="4">
        <f>IF(COUNTIFS(INDEX(tItens[Edital],1):tItens[[#This Row],[Edital]],tItens[[#This Row],[Edital]],INDEX(tItens[Produto],1):tItens[[#This Row],[Produto]],tItens[[#This Row],[Produto]])=1,1,0)</f>
        <v>1</v>
      </c>
    </row>
    <row r="5222" spans="1:16" x14ac:dyDescent="0.25">
      <c r="A5222" t="s">
        <v>2002</v>
      </c>
      <c r="B5222">
        <v>59</v>
      </c>
      <c r="C5222" t="s">
        <v>8021</v>
      </c>
      <c r="D5222" t="s">
        <v>265</v>
      </c>
      <c r="E5222" s="13">
        <v>2000</v>
      </c>
      <c r="F5222" s="12">
        <v>0.19</v>
      </c>
      <c r="G5222" t="str">
        <f>IFERROR(INDEX(tEditais[Órgão],MATCH(tItens[[#This Row],[Edital]],tEditais[Edital],0)),"")</f>
        <v>MUNICIPIO DE RIO BRANCO DO IVAI</v>
      </c>
      <c r="H5222" t="str">
        <f>IFERROR(INDEX(tEditais[UF],MATCH(tItens[[#This Row],[Edital]],tEditais[Edital],0)),"")</f>
        <v>PR</v>
      </c>
      <c r="I5222" s="11">
        <f>IFERROR(INDEX(tEditais[Encerramento],MATCH(tItens[[#This Row],[Edital]],tEditais[Edital],0)),"")</f>
        <v>46308.333333333336</v>
      </c>
      <c r="J5222" t="str">
        <f>IFERROR(INDEX(tProdutos[Classe],MATCH(tItens[[#This Row],[Produto]],tProdutos[Produto],0)),"produto não cadastrado")</f>
        <v>DISPUTADO</v>
      </c>
      <c r="K5222" s="12">
        <f>tItens[[#This Row],[Qtd]]*tItens[[#This Row],[Vlr unit]]</f>
        <v>380</v>
      </c>
      <c r="L5222" s="6">
        <f>IFERROR(IF(INDEX(tProdutos[Desconto homologado],MATCH(tItens[[#This Row],[Produto]],tProdutos[Produto],0))="",DescontoPadrao,INDEX(tProdutos[Desconto homologado],MATCH(tItens[[#This Row],[Produto]],tProdutos[Produto],0))),DescontoPadrao)</f>
        <v>0.377587663709337</v>
      </c>
      <c r="M5222" s="12">
        <f>tItens[[#This Row],[Valor]]*(1-tItens[[#This Row],[Desconto]])</f>
        <v>236.51668779045195</v>
      </c>
      <c r="N5222" t="str">
        <f>IFERROR(INDEX(tProdutos[Foco],MATCH(tItens[[#This Row],[Produto]],tProdutos[Produto],0)),"Não")</f>
        <v>Não</v>
      </c>
      <c r="O5222" t="str">
        <f>IFERROR(INDEX(tEditais[SRP],MATCH(tItens[[#This Row],[Edital]],tEditais[Edital],0)),"Não")</f>
        <v>Não</v>
      </c>
      <c r="P5222" s="4">
        <f>IF(COUNTIFS(INDEX(tItens[Edital],1):tItens[[#This Row],[Edital]],tItens[[#This Row],[Edital]],INDEX(tItens[Produto],1):tItens[[#This Row],[Produto]],tItens[[#This Row],[Produto]])=1,1,0)</f>
        <v>1</v>
      </c>
    </row>
    <row r="5223" spans="1:16" x14ac:dyDescent="0.25">
      <c r="A5223" t="s">
        <v>2006</v>
      </c>
      <c r="B5223">
        <v>2</v>
      </c>
      <c r="C5223" t="s">
        <v>8022</v>
      </c>
      <c r="D5223" t="s">
        <v>221</v>
      </c>
      <c r="E5223" s="13">
        <v>3600</v>
      </c>
      <c r="F5223" s="12">
        <v>1.1399999999999999</v>
      </c>
      <c r="G5223" t="str">
        <f>IFERROR(INDEX(tEditais[Órgão],MATCH(tItens[[#This Row],[Edital]],tEditais[Edital],0)),"")</f>
        <v>MUNICIPIO DE ANGULO</v>
      </c>
      <c r="H5223" t="str">
        <f>IFERROR(INDEX(tEditais[UF],MATCH(tItens[[#This Row],[Edital]],tEditais[Edital],0)),"")</f>
        <v>PR</v>
      </c>
      <c r="I5223" s="11">
        <f>IFERROR(INDEX(tEditais[Encerramento],MATCH(tItens[[#This Row],[Edital]],tEditais[Edital],0)),"")</f>
        <v>46308.34375</v>
      </c>
      <c r="J5223" t="str">
        <f>IFERROR(INDEX(tProdutos[Classe],MATCH(tItens[[#This Row],[Produto]],tProdutos[Produto],0)),"produto não cadastrado")</f>
        <v>FORA</v>
      </c>
      <c r="K5223" s="12">
        <f>tItens[[#This Row],[Qtd]]*tItens[[#This Row],[Vlr unit]]</f>
        <v>4104</v>
      </c>
      <c r="L5223" s="6">
        <f>IFERROR(IF(INDEX(tProdutos[Desconto homologado],MATCH(tItens[[#This Row],[Produto]],tProdutos[Produto],0))="",DescontoPadrao,INDEX(tProdutos[Desconto homologado],MATCH(tItens[[#This Row],[Produto]],tProdutos[Produto],0))),DescontoPadrao)</f>
        <v>0.35408560311283999</v>
      </c>
      <c r="M5223" s="12">
        <f>tItens[[#This Row],[Valor]]*(1-tItens[[#This Row],[Desconto]])</f>
        <v>2650.8326848249048</v>
      </c>
      <c r="N5223" t="str">
        <f>IFERROR(INDEX(tProdutos[Foco],MATCH(tItens[[#This Row],[Produto]],tProdutos[Produto],0)),"Não")</f>
        <v>Não</v>
      </c>
      <c r="O5223" t="str">
        <f>IFERROR(INDEX(tEditais[SRP],MATCH(tItens[[#This Row],[Edital]],tEditais[Edital],0)),"Não")</f>
        <v>Sim</v>
      </c>
      <c r="P5223" s="4">
        <f>IF(COUNTIFS(INDEX(tItens[Edital],1):tItens[[#This Row],[Edital]],tItens[[#This Row],[Edital]],INDEX(tItens[Produto],1):tItens[[#This Row],[Produto]],tItens[[#This Row],[Produto]])=1,1,0)</f>
        <v>1</v>
      </c>
    </row>
    <row r="5224" spans="1:16" x14ac:dyDescent="0.25">
      <c r="A5224" t="s">
        <v>2006</v>
      </c>
      <c r="B5224">
        <v>3</v>
      </c>
      <c r="C5224" t="s">
        <v>8023</v>
      </c>
      <c r="D5224" t="s">
        <v>221</v>
      </c>
      <c r="E5224" s="13">
        <v>3600</v>
      </c>
      <c r="F5224" s="12">
        <v>1.1200000000000001</v>
      </c>
      <c r="G5224" t="str">
        <f>IFERROR(INDEX(tEditais[Órgão],MATCH(tItens[[#This Row],[Edital]],tEditais[Edital],0)),"")</f>
        <v>MUNICIPIO DE ANGULO</v>
      </c>
      <c r="H5224" t="str">
        <f>IFERROR(INDEX(tEditais[UF],MATCH(tItens[[#This Row],[Edital]],tEditais[Edital],0)),"")</f>
        <v>PR</v>
      </c>
      <c r="I5224" s="11">
        <f>IFERROR(INDEX(tEditais[Encerramento],MATCH(tItens[[#This Row],[Edital]],tEditais[Edital],0)),"")</f>
        <v>46308.34375</v>
      </c>
      <c r="J5224" t="str">
        <f>IFERROR(INDEX(tProdutos[Classe],MATCH(tItens[[#This Row],[Produto]],tProdutos[Produto],0)),"produto não cadastrado")</f>
        <v>FORA</v>
      </c>
      <c r="K5224" s="12">
        <f>tItens[[#This Row],[Qtd]]*tItens[[#This Row],[Vlr unit]]</f>
        <v>4032.0000000000005</v>
      </c>
      <c r="L5224" s="6">
        <f>IFERROR(IF(INDEX(tProdutos[Desconto homologado],MATCH(tItens[[#This Row],[Produto]],tProdutos[Produto],0))="",DescontoPadrao,INDEX(tProdutos[Desconto homologado],MATCH(tItens[[#This Row],[Produto]],tProdutos[Produto],0))),DescontoPadrao)</f>
        <v>0.35408560311283999</v>
      </c>
      <c r="M5224" s="12">
        <f>tItens[[#This Row],[Valor]]*(1-tItens[[#This Row],[Desconto]])</f>
        <v>2604.3268482490294</v>
      </c>
      <c r="N5224" t="str">
        <f>IFERROR(INDEX(tProdutos[Foco],MATCH(tItens[[#This Row],[Produto]],tProdutos[Produto],0)),"Não")</f>
        <v>Não</v>
      </c>
      <c r="O5224" t="str">
        <f>IFERROR(INDEX(tEditais[SRP],MATCH(tItens[[#This Row],[Edital]],tEditais[Edital],0)),"Não")</f>
        <v>Sim</v>
      </c>
      <c r="P5224" s="4">
        <f>IF(COUNTIFS(INDEX(tItens[Edital],1):tItens[[#This Row],[Edital]],tItens[[#This Row],[Edital]],INDEX(tItens[Produto],1):tItens[[#This Row],[Produto]],tItens[[#This Row],[Produto]])=1,1,0)</f>
        <v>0</v>
      </c>
    </row>
    <row r="5225" spans="1:16" x14ac:dyDescent="0.25">
      <c r="A5225" t="s">
        <v>2006</v>
      </c>
      <c r="B5225">
        <v>4</v>
      </c>
      <c r="C5225" t="s">
        <v>8024</v>
      </c>
      <c r="D5225" t="s">
        <v>221</v>
      </c>
      <c r="E5225" s="13">
        <v>3600</v>
      </c>
      <c r="F5225" s="12">
        <v>0.8</v>
      </c>
      <c r="G5225" t="str">
        <f>IFERROR(INDEX(tEditais[Órgão],MATCH(tItens[[#This Row],[Edital]],tEditais[Edital],0)),"")</f>
        <v>MUNICIPIO DE ANGULO</v>
      </c>
      <c r="H5225" t="str">
        <f>IFERROR(INDEX(tEditais[UF],MATCH(tItens[[#This Row],[Edital]],tEditais[Edital],0)),"")</f>
        <v>PR</v>
      </c>
      <c r="I5225" s="11">
        <f>IFERROR(INDEX(tEditais[Encerramento],MATCH(tItens[[#This Row],[Edital]],tEditais[Edital],0)),"")</f>
        <v>46308.34375</v>
      </c>
      <c r="J5225" t="str">
        <f>IFERROR(INDEX(tProdutos[Classe],MATCH(tItens[[#This Row],[Produto]],tProdutos[Produto],0)),"produto não cadastrado")</f>
        <v>FORA</v>
      </c>
      <c r="K5225" s="12">
        <f>tItens[[#This Row],[Qtd]]*tItens[[#This Row],[Vlr unit]]</f>
        <v>2880</v>
      </c>
      <c r="L5225" s="6">
        <f>IFERROR(IF(INDEX(tProdutos[Desconto homologado],MATCH(tItens[[#This Row],[Produto]],tProdutos[Produto],0))="",DescontoPadrao,INDEX(tProdutos[Desconto homologado],MATCH(tItens[[#This Row],[Produto]],tProdutos[Produto],0))),DescontoPadrao)</f>
        <v>0.35408560311283999</v>
      </c>
      <c r="M5225" s="12">
        <f>tItens[[#This Row],[Valor]]*(1-tItens[[#This Row],[Desconto]])</f>
        <v>1860.2334630350208</v>
      </c>
      <c r="N5225" t="str">
        <f>IFERROR(INDEX(tProdutos[Foco],MATCH(tItens[[#This Row],[Produto]],tProdutos[Produto],0)),"Não")</f>
        <v>Não</v>
      </c>
      <c r="O5225" t="str">
        <f>IFERROR(INDEX(tEditais[SRP],MATCH(tItens[[#This Row],[Edital]],tEditais[Edital],0)),"Não")</f>
        <v>Sim</v>
      </c>
      <c r="P5225" s="4">
        <f>IF(COUNTIFS(INDEX(tItens[Edital],1):tItens[[#This Row],[Edital]],tItens[[#This Row],[Edital]],INDEX(tItens[Produto],1):tItens[[#This Row],[Produto]],tItens[[#This Row],[Produto]])=1,1,0)</f>
        <v>0</v>
      </c>
    </row>
    <row r="5226" spans="1:16" x14ac:dyDescent="0.25">
      <c r="A5226" t="s">
        <v>2006</v>
      </c>
      <c r="B5226">
        <v>5</v>
      </c>
      <c r="C5226" t="s">
        <v>8025</v>
      </c>
      <c r="D5226" t="s">
        <v>221</v>
      </c>
      <c r="E5226" s="13">
        <v>2500</v>
      </c>
      <c r="F5226" s="12">
        <v>0.8</v>
      </c>
      <c r="G5226" t="str">
        <f>IFERROR(INDEX(tEditais[Órgão],MATCH(tItens[[#This Row],[Edital]],tEditais[Edital],0)),"")</f>
        <v>MUNICIPIO DE ANGULO</v>
      </c>
      <c r="H5226" t="str">
        <f>IFERROR(INDEX(tEditais[UF],MATCH(tItens[[#This Row],[Edital]],tEditais[Edital],0)),"")</f>
        <v>PR</v>
      </c>
      <c r="I5226" s="11">
        <f>IFERROR(INDEX(tEditais[Encerramento],MATCH(tItens[[#This Row],[Edital]],tEditais[Edital],0)),"")</f>
        <v>46308.34375</v>
      </c>
      <c r="J5226" t="str">
        <f>IFERROR(INDEX(tProdutos[Classe],MATCH(tItens[[#This Row],[Produto]],tProdutos[Produto],0)),"produto não cadastrado")</f>
        <v>FORA</v>
      </c>
      <c r="K5226" s="12">
        <f>tItens[[#This Row],[Qtd]]*tItens[[#This Row],[Vlr unit]]</f>
        <v>2000</v>
      </c>
      <c r="L5226" s="6">
        <f>IFERROR(IF(INDEX(tProdutos[Desconto homologado],MATCH(tItens[[#This Row],[Produto]],tProdutos[Produto],0))="",DescontoPadrao,INDEX(tProdutos[Desconto homologado],MATCH(tItens[[#This Row],[Produto]],tProdutos[Produto],0))),DescontoPadrao)</f>
        <v>0.35408560311283999</v>
      </c>
      <c r="M5226" s="12">
        <f>tItens[[#This Row],[Valor]]*(1-tItens[[#This Row],[Desconto]])</f>
        <v>1291.82879377432</v>
      </c>
      <c r="N5226" t="str">
        <f>IFERROR(INDEX(tProdutos[Foco],MATCH(tItens[[#This Row],[Produto]],tProdutos[Produto],0)),"Não")</f>
        <v>Não</v>
      </c>
      <c r="O5226" t="str">
        <f>IFERROR(INDEX(tEditais[SRP],MATCH(tItens[[#This Row],[Edital]],tEditais[Edital],0)),"Não")</f>
        <v>Sim</v>
      </c>
      <c r="P5226" s="4">
        <f>IF(COUNTIFS(INDEX(tItens[Edital],1):tItens[[#This Row],[Edital]],tItens[[#This Row],[Edital]],INDEX(tItens[Produto],1):tItens[[#This Row],[Produto]],tItens[[#This Row],[Produto]])=1,1,0)</f>
        <v>0</v>
      </c>
    </row>
    <row r="5227" spans="1:16" x14ac:dyDescent="0.25">
      <c r="A5227" t="s">
        <v>2006</v>
      </c>
      <c r="B5227">
        <v>6</v>
      </c>
      <c r="C5227" t="s">
        <v>8026</v>
      </c>
      <c r="D5227" t="s">
        <v>221</v>
      </c>
      <c r="E5227" s="13">
        <v>5000</v>
      </c>
      <c r="F5227" s="12">
        <v>0.8</v>
      </c>
      <c r="G5227" t="str">
        <f>IFERROR(INDEX(tEditais[Órgão],MATCH(tItens[[#This Row],[Edital]],tEditais[Edital],0)),"")</f>
        <v>MUNICIPIO DE ANGULO</v>
      </c>
      <c r="H5227" t="str">
        <f>IFERROR(INDEX(tEditais[UF],MATCH(tItens[[#This Row],[Edital]],tEditais[Edital],0)),"")</f>
        <v>PR</v>
      </c>
      <c r="I5227" s="11">
        <f>IFERROR(INDEX(tEditais[Encerramento],MATCH(tItens[[#This Row],[Edital]],tEditais[Edital],0)),"")</f>
        <v>46308.34375</v>
      </c>
      <c r="J5227" t="str">
        <f>IFERROR(INDEX(tProdutos[Classe],MATCH(tItens[[#This Row],[Produto]],tProdutos[Produto],0)),"produto não cadastrado")</f>
        <v>FORA</v>
      </c>
      <c r="K5227" s="12">
        <f>tItens[[#This Row],[Qtd]]*tItens[[#This Row],[Vlr unit]]</f>
        <v>4000</v>
      </c>
      <c r="L5227" s="6">
        <f>IFERROR(IF(INDEX(tProdutos[Desconto homologado],MATCH(tItens[[#This Row],[Produto]],tProdutos[Produto],0))="",DescontoPadrao,INDEX(tProdutos[Desconto homologado],MATCH(tItens[[#This Row],[Produto]],tProdutos[Produto],0))),DescontoPadrao)</f>
        <v>0.35408560311283999</v>
      </c>
      <c r="M5227" s="12">
        <f>tItens[[#This Row],[Valor]]*(1-tItens[[#This Row],[Desconto]])</f>
        <v>2583.6575875486401</v>
      </c>
      <c r="N5227" t="str">
        <f>IFERROR(INDEX(tProdutos[Foco],MATCH(tItens[[#This Row],[Produto]],tProdutos[Produto],0)),"Não")</f>
        <v>Não</v>
      </c>
      <c r="O5227" t="str">
        <f>IFERROR(INDEX(tEditais[SRP],MATCH(tItens[[#This Row],[Edital]],tEditais[Edital],0)),"Não")</f>
        <v>Sim</v>
      </c>
      <c r="P5227" s="4">
        <f>IF(COUNTIFS(INDEX(tItens[Edital],1):tItens[[#This Row],[Edital]],tItens[[#This Row],[Edital]],INDEX(tItens[Produto],1):tItens[[#This Row],[Produto]],tItens[[#This Row],[Produto]])=1,1,0)</f>
        <v>0</v>
      </c>
    </row>
    <row r="5228" spans="1:16" x14ac:dyDescent="0.25">
      <c r="A5228" t="s">
        <v>2006</v>
      </c>
      <c r="B5228">
        <v>7</v>
      </c>
      <c r="C5228" t="s">
        <v>8027</v>
      </c>
      <c r="D5228" t="s">
        <v>221</v>
      </c>
      <c r="E5228" s="13">
        <v>5000</v>
      </c>
      <c r="F5228" s="12">
        <v>1.06</v>
      </c>
      <c r="G5228" t="str">
        <f>IFERROR(INDEX(tEditais[Órgão],MATCH(tItens[[#This Row],[Edital]],tEditais[Edital],0)),"")</f>
        <v>MUNICIPIO DE ANGULO</v>
      </c>
      <c r="H5228" t="str">
        <f>IFERROR(INDEX(tEditais[UF],MATCH(tItens[[#This Row],[Edital]],tEditais[Edital],0)),"")</f>
        <v>PR</v>
      </c>
      <c r="I5228" s="11">
        <f>IFERROR(INDEX(tEditais[Encerramento],MATCH(tItens[[#This Row],[Edital]],tEditais[Edital],0)),"")</f>
        <v>46308.34375</v>
      </c>
      <c r="J5228" t="str">
        <f>IFERROR(INDEX(tProdutos[Classe],MATCH(tItens[[#This Row],[Produto]],tProdutos[Produto],0)),"produto não cadastrado")</f>
        <v>FORA</v>
      </c>
      <c r="K5228" s="12">
        <f>tItens[[#This Row],[Qtd]]*tItens[[#This Row],[Vlr unit]]</f>
        <v>5300</v>
      </c>
      <c r="L5228" s="6">
        <f>IFERROR(IF(INDEX(tProdutos[Desconto homologado],MATCH(tItens[[#This Row],[Produto]],tProdutos[Produto],0))="",DescontoPadrao,INDEX(tProdutos[Desconto homologado],MATCH(tItens[[#This Row],[Produto]],tProdutos[Produto],0))),DescontoPadrao)</f>
        <v>0.35408560311283999</v>
      </c>
      <c r="M5228" s="12">
        <f>tItens[[#This Row],[Valor]]*(1-tItens[[#This Row],[Desconto]])</f>
        <v>3423.3463035019481</v>
      </c>
      <c r="N5228" t="str">
        <f>IFERROR(INDEX(tProdutos[Foco],MATCH(tItens[[#This Row],[Produto]],tProdutos[Produto],0)),"Não")</f>
        <v>Não</v>
      </c>
      <c r="O5228" t="str">
        <f>IFERROR(INDEX(tEditais[SRP],MATCH(tItens[[#This Row],[Edital]],tEditais[Edital],0)),"Não")</f>
        <v>Sim</v>
      </c>
      <c r="P5228" s="4">
        <f>IF(COUNTIFS(INDEX(tItens[Edital],1):tItens[[#This Row],[Edital]],tItens[[#This Row],[Edital]],INDEX(tItens[Produto],1):tItens[[#This Row],[Produto]],tItens[[#This Row],[Produto]])=1,1,0)</f>
        <v>0</v>
      </c>
    </row>
    <row r="5229" spans="1:16" x14ac:dyDescent="0.25">
      <c r="A5229" t="s">
        <v>2006</v>
      </c>
      <c r="B5229">
        <v>8</v>
      </c>
      <c r="C5229" t="s">
        <v>8028</v>
      </c>
      <c r="D5229" t="s">
        <v>221</v>
      </c>
      <c r="E5229" s="13">
        <v>5000</v>
      </c>
      <c r="F5229" s="12">
        <v>0.99</v>
      </c>
      <c r="G5229" t="str">
        <f>IFERROR(INDEX(tEditais[Órgão],MATCH(tItens[[#This Row],[Edital]],tEditais[Edital],0)),"")</f>
        <v>MUNICIPIO DE ANGULO</v>
      </c>
      <c r="H5229" t="str">
        <f>IFERROR(INDEX(tEditais[UF],MATCH(tItens[[#This Row],[Edital]],tEditais[Edital],0)),"")</f>
        <v>PR</v>
      </c>
      <c r="I5229" s="11">
        <f>IFERROR(INDEX(tEditais[Encerramento],MATCH(tItens[[#This Row],[Edital]],tEditais[Edital],0)),"")</f>
        <v>46308.34375</v>
      </c>
      <c r="J5229" t="str">
        <f>IFERROR(INDEX(tProdutos[Classe],MATCH(tItens[[#This Row],[Produto]],tProdutos[Produto],0)),"produto não cadastrado")</f>
        <v>FORA</v>
      </c>
      <c r="K5229" s="12">
        <f>tItens[[#This Row],[Qtd]]*tItens[[#This Row],[Vlr unit]]</f>
        <v>4950</v>
      </c>
      <c r="L5229" s="6">
        <f>IFERROR(IF(INDEX(tProdutos[Desconto homologado],MATCH(tItens[[#This Row],[Produto]],tProdutos[Produto],0))="",DescontoPadrao,INDEX(tProdutos[Desconto homologado],MATCH(tItens[[#This Row],[Produto]],tProdutos[Produto],0))),DescontoPadrao)</f>
        <v>0.35408560311283999</v>
      </c>
      <c r="M5229" s="12">
        <f>tItens[[#This Row],[Valor]]*(1-tItens[[#This Row],[Desconto]])</f>
        <v>3197.2762645914422</v>
      </c>
      <c r="N5229" t="str">
        <f>IFERROR(INDEX(tProdutos[Foco],MATCH(tItens[[#This Row],[Produto]],tProdutos[Produto],0)),"Não")</f>
        <v>Não</v>
      </c>
      <c r="O5229" t="str">
        <f>IFERROR(INDEX(tEditais[SRP],MATCH(tItens[[#This Row],[Edital]],tEditais[Edital],0)),"Não")</f>
        <v>Sim</v>
      </c>
      <c r="P5229" s="4">
        <f>IF(COUNTIFS(INDEX(tItens[Edital],1):tItens[[#This Row],[Edital]],tItens[[#This Row],[Edital]],INDEX(tItens[Produto],1):tItens[[#This Row],[Produto]],tItens[[#This Row],[Produto]])=1,1,0)</f>
        <v>0</v>
      </c>
    </row>
    <row r="5230" spans="1:16" x14ac:dyDescent="0.25">
      <c r="A5230" t="s">
        <v>2006</v>
      </c>
      <c r="B5230">
        <v>11</v>
      </c>
      <c r="C5230" t="s">
        <v>8029</v>
      </c>
      <c r="D5230" t="s">
        <v>315</v>
      </c>
      <c r="E5230" s="13">
        <v>480</v>
      </c>
      <c r="F5230" s="12">
        <v>6.96</v>
      </c>
      <c r="G5230" t="str">
        <f>IFERROR(INDEX(tEditais[Órgão],MATCH(tItens[[#This Row],[Edital]],tEditais[Edital],0)),"")</f>
        <v>MUNICIPIO DE ANGULO</v>
      </c>
      <c r="H5230" t="str">
        <f>IFERROR(INDEX(tEditais[UF],MATCH(tItens[[#This Row],[Edital]],tEditais[Edital],0)),"")</f>
        <v>PR</v>
      </c>
      <c r="I5230" s="11">
        <f>IFERROR(INDEX(tEditais[Encerramento],MATCH(tItens[[#This Row],[Edital]],tEditais[Edital],0)),"")</f>
        <v>46308.34375</v>
      </c>
      <c r="J5230" t="str">
        <f>IFERROR(INDEX(tProdutos[Classe],MATCH(tItens[[#This Row],[Produto]],tProdutos[Produto],0)),"produto não cadastrado")</f>
        <v>FORA</v>
      </c>
      <c r="K5230" s="12">
        <f>tItens[[#This Row],[Qtd]]*tItens[[#This Row],[Vlr unit]]</f>
        <v>3340.8</v>
      </c>
      <c r="L5230" s="6">
        <f>IFERROR(IF(INDEX(tProdutos[Desconto homologado],MATCH(tItens[[#This Row],[Produto]],tProdutos[Produto],0))="",DescontoPadrao,INDEX(tProdutos[Desconto homologado],MATCH(tItens[[#This Row],[Produto]],tProdutos[Produto],0))),DescontoPadrao)</f>
        <v>0.38432036097010702</v>
      </c>
      <c r="M5230" s="12">
        <f>tItens[[#This Row],[Valor]]*(1-tItens[[#This Row],[Desconto]])</f>
        <v>2056.8625380710664</v>
      </c>
      <c r="N5230" t="str">
        <f>IFERROR(INDEX(tProdutos[Foco],MATCH(tItens[[#This Row],[Produto]],tProdutos[Produto],0)),"Não")</f>
        <v>Não</v>
      </c>
      <c r="O5230" t="str">
        <f>IFERROR(INDEX(tEditais[SRP],MATCH(tItens[[#This Row],[Edital]],tEditais[Edital],0)),"Não")</f>
        <v>Sim</v>
      </c>
      <c r="P5230" s="4">
        <f>IF(COUNTIFS(INDEX(tItens[Edital],1):tItens[[#This Row],[Edital]],tItens[[#This Row],[Edital]],INDEX(tItens[Produto],1):tItens[[#This Row],[Produto]],tItens[[#This Row],[Produto]])=1,1,0)</f>
        <v>1</v>
      </c>
    </row>
    <row r="5231" spans="1:16" x14ac:dyDescent="0.25">
      <c r="A5231" t="s">
        <v>2006</v>
      </c>
      <c r="B5231">
        <v>12</v>
      </c>
      <c r="C5231" t="s">
        <v>8030</v>
      </c>
      <c r="D5231" t="s">
        <v>315</v>
      </c>
      <c r="E5231" s="13">
        <v>480</v>
      </c>
      <c r="F5231" s="12">
        <v>8.4600000000000009</v>
      </c>
      <c r="G5231" t="str">
        <f>IFERROR(INDEX(tEditais[Órgão],MATCH(tItens[[#This Row],[Edital]],tEditais[Edital],0)),"")</f>
        <v>MUNICIPIO DE ANGULO</v>
      </c>
      <c r="H5231" t="str">
        <f>IFERROR(INDEX(tEditais[UF],MATCH(tItens[[#This Row],[Edital]],tEditais[Edital],0)),"")</f>
        <v>PR</v>
      </c>
      <c r="I5231" s="11">
        <f>IFERROR(INDEX(tEditais[Encerramento],MATCH(tItens[[#This Row],[Edital]],tEditais[Edital],0)),"")</f>
        <v>46308.34375</v>
      </c>
      <c r="J5231" t="str">
        <f>IFERROR(INDEX(tProdutos[Classe],MATCH(tItens[[#This Row],[Produto]],tProdutos[Produto],0)),"produto não cadastrado")</f>
        <v>FORA</v>
      </c>
      <c r="K5231" s="12">
        <f>tItens[[#This Row],[Qtd]]*tItens[[#This Row],[Vlr unit]]</f>
        <v>4060.8</v>
      </c>
      <c r="L5231" s="6">
        <f>IFERROR(IF(INDEX(tProdutos[Desconto homologado],MATCH(tItens[[#This Row],[Produto]],tProdutos[Produto],0))="",DescontoPadrao,INDEX(tProdutos[Desconto homologado],MATCH(tItens[[#This Row],[Produto]],tProdutos[Produto],0))),DescontoPadrao)</f>
        <v>0.38432036097010702</v>
      </c>
      <c r="M5231" s="12">
        <f>tItens[[#This Row],[Valor]]*(1-tItens[[#This Row],[Desconto]])</f>
        <v>2500.1518781725895</v>
      </c>
      <c r="N5231" t="str">
        <f>IFERROR(INDEX(tProdutos[Foco],MATCH(tItens[[#This Row],[Produto]],tProdutos[Produto],0)),"Não")</f>
        <v>Não</v>
      </c>
      <c r="O5231" t="str">
        <f>IFERROR(INDEX(tEditais[SRP],MATCH(tItens[[#This Row],[Edital]],tEditais[Edital],0)),"Não")</f>
        <v>Sim</v>
      </c>
      <c r="P5231" s="4">
        <f>IF(COUNTIFS(INDEX(tItens[Edital],1):tItens[[#This Row],[Edital]],tItens[[#This Row],[Edital]],INDEX(tItens[Produto],1):tItens[[#This Row],[Produto]],tItens[[#This Row],[Produto]])=1,1,0)</f>
        <v>0</v>
      </c>
    </row>
    <row r="5232" spans="1:16" x14ac:dyDescent="0.25">
      <c r="A5232" t="s">
        <v>2006</v>
      </c>
      <c r="B5232">
        <v>13</v>
      </c>
      <c r="C5232" t="s">
        <v>8031</v>
      </c>
      <c r="D5232" t="s">
        <v>315</v>
      </c>
      <c r="E5232" s="13">
        <v>480</v>
      </c>
      <c r="F5232" s="12">
        <v>8.39</v>
      </c>
      <c r="G5232" t="str">
        <f>IFERROR(INDEX(tEditais[Órgão],MATCH(tItens[[#This Row],[Edital]],tEditais[Edital],0)),"")</f>
        <v>MUNICIPIO DE ANGULO</v>
      </c>
      <c r="H5232" t="str">
        <f>IFERROR(INDEX(tEditais[UF],MATCH(tItens[[#This Row],[Edital]],tEditais[Edital],0)),"")</f>
        <v>PR</v>
      </c>
      <c r="I5232" s="11">
        <f>IFERROR(INDEX(tEditais[Encerramento],MATCH(tItens[[#This Row],[Edital]],tEditais[Edital],0)),"")</f>
        <v>46308.34375</v>
      </c>
      <c r="J5232" t="str">
        <f>IFERROR(INDEX(tProdutos[Classe],MATCH(tItens[[#This Row],[Produto]],tProdutos[Produto],0)),"produto não cadastrado")</f>
        <v>FORA</v>
      </c>
      <c r="K5232" s="12">
        <f>tItens[[#This Row],[Qtd]]*tItens[[#This Row],[Vlr unit]]</f>
        <v>4027.2000000000003</v>
      </c>
      <c r="L5232" s="6">
        <f>IFERROR(IF(INDEX(tProdutos[Desconto homologado],MATCH(tItens[[#This Row],[Produto]],tProdutos[Produto],0))="",DescontoPadrao,INDEX(tProdutos[Desconto homologado],MATCH(tItens[[#This Row],[Produto]],tProdutos[Produto],0))),DescontoPadrao)</f>
        <v>0.38432036097010702</v>
      </c>
      <c r="M5232" s="12">
        <f>tItens[[#This Row],[Valor]]*(1-tItens[[#This Row],[Desconto]])</f>
        <v>2479.4650423011853</v>
      </c>
      <c r="N5232" t="str">
        <f>IFERROR(INDEX(tProdutos[Foco],MATCH(tItens[[#This Row],[Produto]],tProdutos[Produto],0)),"Não")</f>
        <v>Não</v>
      </c>
      <c r="O5232" t="str">
        <f>IFERROR(INDEX(tEditais[SRP],MATCH(tItens[[#This Row],[Edital]],tEditais[Edital],0)),"Não")</f>
        <v>Sim</v>
      </c>
      <c r="P5232" s="4">
        <f>IF(COUNTIFS(INDEX(tItens[Edital],1):tItens[[#This Row],[Edital]],tItens[[#This Row],[Edital]],INDEX(tItens[Produto],1):tItens[[#This Row],[Produto]],tItens[[#This Row],[Produto]])=1,1,0)</f>
        <v>0</v>
      </c>
    </row>
    <row r="5233" spans="1:16" x14ac:dyDescent="0.25">
      <c r="A5233" t="s">
        <v>2006</v>
      </c>
      <c r="B5233">
        <v>14</v>
      </c>
      <c r="C5233" t="s">
        <v>8032</v>
      </c>
      <c r="D5233" t="s">
        <v>315</v>
      </c>
      <c r="E5233" s="13">
        <v>480</v>
      </c>
      <c r="F5233" s="12">
        <v>8.7799999999999994</v>
      </c>
      <c r="G5233" t="str">
        <f>IFERROR(INDEX(tEditais[Órgão],MATCH(tItens[[#This Row],[Edital]],tEditais[Edital],0)),"")</f>
        <v>MUNICIPIO DE ANGULO</v>
      </c>
      <c r="H5233" t="str">
        <f>IFERROR(INDEX(tEditais[UF],MATCH(tItens[[#This Row],[Edital]],tEditais[Edital],0)),"")</f>
        <v>PR</v>
      </c>
      <c r="I5233" s="11">
        <f>IFERROR(INDEX(tEditais[Encerramento],MATCH(tItens[[#This Row],[Edital]],tEditais[Edital],0)),"")</f>
        <v>46308.34375</v>
      </c>
      <c r="J5233" t="str">
        <f>IFERROR(INDEX(tProdutos[Classe],MATCH(tItens[[#This Row],[Produto]],tProdutos[Produto],0)),"produto não cadastrado")</f>
        <v>FORA</v>
      </c>
      <c r="K5233" s="12">
        <f>tItens[[#This Row],[Qtd]]*tItens[[#This Row],[Vlr unit]]</f>
        <v>4214.3999999999996</v>
      </c>
      <c r="L5233" s="6">
        <f>IFERROR(IF(INDEX(tProdutos[Desconto homologado],MATCH(tItens[[#This Row],[Produto]],tProdutos[Produto],0))="",DescontoPadrao,INDEX(tProdutos[Desconto homologado],MATCH(tItens[[#This Row],[Produto]],tProdutos[Produto],0))),DescontoPadrao)</f>
        <v>0.38432036097010702</v>
      </c>
      <c r="M5233" s="12">
        <f>tItens[[#This Row],[Valor]]*(1-tItens[[#This Row],[Desconto]])</f>
        <v>2594.7202707275806</v>
      </c>
      <c r="N5233" t="str">
        <f>IFERROR(INDEX(tProdutos[Foco],MATCH(tItens[[#This Row],[Produto]],tProdutos[Produto],0)),"Não")</f>
        <v>Não</v>
      </c>
      <c r="O5233" t="str">
        <f>IFERROR(INDEX(tEditais[SRP],MATCH(tItens[[#This Row],[Edital]],tEditais[Edital],0)),"Não")</f>
        <v>Sim</v>
      </c>
      <c r="P5233" s="4">
        <f>IF(COUNTIFS(INDEX(tItens[Edital],1):tItens[[#This Row],[Edital]],tItens[[#This Row],[Edital]],INDEX(tItens[Produto],1):tItens[[#This Row],[Produto]],tItens[[#This Row],[Produto]])=1,1,0)</f>
        <v>0</v>
      </c>
    </row>
    <row r="5234" spans="1:16" x14ac:dyDescent="0.25">
      <c r="A5234" t="s">
        <v>2006</v>
      </c>
      <c r="B5234">
        <v>15</v>
      </c>
      <c r="C5234" t="s">
        <v>8033</v>
      </c>
      <c r="D5234" t="s">
        <v>315</v>
      </c>
      <c r="E5234" s="13">
        <v>480</v>
      </c>
      <c r="F5234" s="12">
        <v>13.7</v>
      </c>
      <c r="G5234" t="str">
        <f>IFERROR(INDEX(tEditais[Órgão],MATCH(tItens[[#This Row],[Edital]],tEditais[Edital],0)),"")</f>
        <v>MUNICIPIO DE ANGULO</v>
      </c>
      <c r="H5234" t="str">
        <f>IFERROR(INDEX(tEditais[UF],MATCH(tItens[[#This Row],[Edital]],tEditais[Edital],0)),"")</f>
        <v>PR</v>
      </c>
      <c r="I5234" s="11">
        <f>IFERROR(INDEX(tEditais[Encerramento],MATCH(tItens[[#This Row],[Edital]],tEditais[Edital],0)),"")</f>
        <v>46308.34375</v>
      </c>
      <c r="J5234" t="str">
        <f>IFERROR(INDEX(tProdutos[Classe],MATCH(tItens[[#This Row],[Produto]],tProdutos[Produto],0)),"produto não cadastrado")</f>
        <v>FORA</v>
      </c>
      <c r="K5234" s="12">
        <f>tItens[[#This Row],[Qtd]]*tItens[[#This Row],[Vlr unit]]</f>
        <v>6576</v>
      </c>
      <c r="L5234" s="6">
        <f>IFERROR(IF(INDEX(tProdutos[Desconto homologado],MATCH(tItens[[#This Row],[Produto]],tProdutos[Produto],0))="",DescontoPadrao,INDEX(tProdutos[Desconto homologado],MATCH(tItens[[#This Row],[Produto]],tProdutos[Produto],0))),DescontoPadrao)</f>
        <v>0.38432036097010702</v>
      </c>
      <c r="M5234" s="12">
        <f>tItens[[#This Row],[Valor]]*(1-tItens[[#This Row],[Desconto]])</f>
        <v>4048.7093062605763</v>
      </c>
      <c r="N5234" t="str">
        <f>IFERROR(INDEX(tProdutos[Foco],MATCH(tItens[[#This Row],[Produto]],tProdutos[Produto],0)),"Não")</f>
        <v>Não</v>
      </c>
      <c r="O5234" t="str">
        <f>IFERROR(INDEX(tEditais[SRP],MATCH(tItens[[#This Row],[Edital]],tEditais[Edital],0)),"Não")</f>
        <v>Sim</v>
      </c>
      <c r="P5234" s="4">
        <f>IF(COUNTIFS(INDEX(tItens[Edital],1):tItens[[#This Row],[Edital]],tItens[[#This Row],[Edital]],INDEX(tItens[Produto],1):tItens[[#This Row],[Produto]],tItens[[#This Row],[Produto]])=1,1,0)</f>
        <v>0</v>
      </c>
    </row>
    <row r="5235" spans="1:16" x14ac:dyDescent="0.25">
      <c r="A5235" t="s">
        <v>2006</v>
      </c>
      <c r="B5235">
        <v>63</v>
      </c>
      <c r="C5235" t="s">
        <v>8034</v>
      </c>
      <c r="D5235" t="s">
        <v>75</v>
      </c>
      <c r="E5235" s="13">
        <v>500</v>
      </c>
      <c r="F5235" s="12">
        <v>2.09</v>
      </c>
      <c r="G5235" t="str">
        <f>IFERROR(INDEX(tEditais[Órgão],MATCH(tItens[[#This Row],[Edital]],tEditais[Edital],0)),"")</f>
        <v>MUNICIPIO DE ANGULO</v>
      </c>
      <c r="H5235" t="str">
        <f>IFERROR(INDEX(tEditais[UF],MATCH(tItens[[#This Row],[Edital]],tEditais[Edital],0)),"")</f>
        <v>PR</v>
      </c>
      <c r="I5235" s="11">
        <f>IFERROR(INDEX(tEditais[Encerramento],MATCH(tItens[[#This Row],[Edital]],tEditais[Edital],0)),"")</f>
        <v>46308.34375</v>
      </c>
      <c r="J5235" t="str">
        <f>IFERROR(INDEX(tProdutos[Classe],MATCH(tItens[[#This Row],[Produto]],tProdutos[Produto],0)),"produto não cadastrado")</f>
        <v>NÚCLEO</v>
      </c>
      <c r="K5235" s="12">
        <f>tItens[[#This Row],[Qtd]]*tItens[[#This Row],[Vlr unit]]</f>
        <v>1045</v>
      </c>
      <c r="L5235" s="6">
        <f>IFERROR(IF(INDEX(tProdutos[Desconto homologado],MATCH(tItens[[#This Row],[Produto]],tProdutos[Produto],0))="",DescontoPadrao,INDEX(tProdutos[Desconto homologado],MATCH(tItens[[#This Row],[Produto]],tProdutos[Produto],0))),DescontoPadrao)</f>
        <v>0.26</v>
      </c>
      <c r="M5235" s="12">
        <f>tItens[[#This Row],[Valor]]*(1-tItens[[#This Row],[Desconto]])</f>
        <v>773.3</v>
      </c>
      <c r="N5235" t="str">
        <f>IFERROR(INDEX(tProdutos[Foco],MATCH(tItens[[#This Row],[Produto]],tProdutos[Produto],0)),"Não")</f>
        <v>Sim</v>
      </c>
      <c r="O5235" t="str">
        <f>IFERROR(INDEX(tEditais[SRP],MATCH(tItens[[#This Row],[Edital]],tEditais[Edital],0)),"Não")</f>
        <v>Sim</v>
      </c>
      <c r="P5235" s="4">
        <f>IF(COUNTIFS(INDEX(tItens[Edital],1):tItens[[#This Row],[Edital]],tItens[[#This Row],[Edital]],INDEX(tItens[Produto],1):tItens[[#This Row],[Produto]],tItens[[#This Row],[Produto]])=1,1,0)</f>
        <v>1</v>
      </c>
    </row>
    <row r="5236" spans="1:16" x14ac:dyDescent="0.25">
      <c r="A5236" t="s">
        <v>2010</v>
      </c>
      <c r="B5236">
        <v>3</v>
      </c>
      <c r="C5236" t="s">
        <v>8035</v>
      </c>
      <c r="D5236" t="s">
        <v>315</v>
      </c>
      <c r="E5236" s="13">
        <v>700</v>
      </c>
      <c r="F5236" s="12">
        <v>6.99</v>
      </c>
      <c r="G5236" t="str">
        <f>IFERROR(INDEX(tEditais[Órgão],MATCH(tItens[[#This Row],[Edital]],tEditais[Edital],0)),"")</f>
        <v>MUNICIPIO DE LOBATO</v>
      </c>
      <c r="H5236" t="str">
        <f>IFERROR(INDEX(tEditais[UF],MATCH(tItens[[#This Row],[Edital]],tEditais[Edital],0)),"")</f>
        <v>PR</v>
      </c>
      <c r="I5236" s="11">
        <f>IFERROR(INDEX(tEditais[Encerramento],MATCH(tItens[[#This Row],[Edital]],tEditais[Edital],0)),"")</f>
        <v>46308.347222222219</v>
      </c>
      <c r="J5236" t="str">
        <f>IFERROR(INDEX(tProdutos[Classe],MATCH(tItens[[#This Row],[Produto]],tProdutos[Produto],0)),"produto não cadastrado")</f>
        <v>FORA</v>
      </c>
      <c r="K5236" s="12">
        <f>tItens[[#This Row],[Qtd]]*tItens[[#This Row],[Vlr unit]]</f>
        <v>4893</v>
      </c>
      <c r="L5236" s="6">
        <f>IFERROR(IF(INDEX(tProdutos[Desconto homologado],MATCH(tItens[[#This Row],[Produto]],tProdutos[Produto],0))="",DescontoPadrao,INDEX(tProdutos[Desconto homologado],MATCH(tItens[[#This Row],[Produto]],tProdutos[Produto],0))),DescontoPadrao)</f>
        <v>0.38432036097010702</v>
      </c>
      <c r="M5236" s="12">
        <f>tItens[[#This Row],[Valor]]*(1-tItens[[#This Row],[Desconto]])</f>
        <v>3012.5204737732665</v>
      </c>
      <c r="N5236" t="str">
        <f>IFERROR(INDEX(tProdutos[Foco],MATCH(tItens[[#This Row],[Produto]],tProdutos[Produto],0)),"Não")</f>
        <v>Não</v>
      </c>
      <c r="O5236" t="str">
        <f>IFERROR(INDEX(tEditais[SRP],MATCH(tItens[[#This Row],[Edital]],tEditais[Edital],0)),"Não")</f>
        <v>Sim</v>
      </c>
      <c r="P5236" s="4">
        <f>IF(COUNTIFS(INDEX(tItens[Edital],1):tItens[[#This Row],[Edital]],tItens[[#This Row],[Edital]],INDEX(tItens[Produto],1):tItens[[#This Row],[Produto]],tItens[[#This Row],[Produto]])=1,1,0)</f>
        <v>1</v>
      </c>
    </row>
    <row r="5237" spans="1:16" x14ac:dyDescent="0.25">
      <c r="A5237" t="s">
        <v>2010</v>
      </c>
      <c r="B5237">
        <v>4</v>
      </c>
      <c r="C5237" t="s">
        <v>8036</v>
      </c>
      <c r="D5237" t="s">
        <v>315</v>
      </c>
      <c r="E5237" s="13">
        <v>400</v>
      </c>
      <c r="F5237" s="12">
        <v>7.89</v>
      </c>
      <c r="G5237" t="str">
        <f>IFERROR(INDEX(tEditais[Órgão],MATCH(tItens[[#This Row],[Edital]],tEditais[Edital],0)),"")</f>
        <v>MUNICIPIO DE LOBATO</v>
      </c>
      <c r="H5237" t="str">
        <f>IFERROR(INDEX(tEditais[UF],MATCH(tItens[[#This Row],[Edital]],tEditais[Edital],0)),"")</f>
        <v>PR</v>
      </c>
      <c r="I5237" s="11">
        <f>IFERROR(INDEX(tEditais[Encerramento],MATCH(tItens[[#This Row],[Edital]],tEditais[Edital],0)),"")</f>
        <v>46308.347222222219</v>
      </c>
      <c r="J5237" t="str">
        <f>IFERROR(INDEX(tProdutos[Classe],MATCH(tItens[[#This Row],[Produto]],tProdutos[Produto],0)),"produto não cadastrado")</f>
        <v>FORA</v>
      </c>
      <c r="K5237" s="12">
        <f>tItens[[#This Row],[Qtd]]*tItens[[#This Row],[Vlr unit]]</f>
        <v>3156</v>
      </c>
      <c r="L5237" s="6">
        <f>IFERROR(IF(INDEX(tProdutos[Desconto homologado],MATCH(tItens[[#This Row],[Produto]],tProdutos[Produto],0))="",DescontoPadrao,INDEX(tProdutos[Desconto homologado],MATCH(tItens[[#This Row],[Produto]],tProdutos[Produto],0))),DescontoPadrao)</f>
        <v>0.38432036097010702</v>
      </c>
      <c r="M5237" s="12">
        <f>tItens[[#This Row],[Valor]]*(1-tItens[[#This Row],[Desconto]])</f>
        <v>1943.0849407783423</v>
      </c>
      <c r="N5237" t="str">
        <f>IFERROR(INDEX(tProdutos[Foco],MATCH(tItens[[#This Row],[Produto]],tProdutos[Produto],0)),"Não")</f>
        <v>Não</v>
      </c>
      <c r="O5237" t="str">
        <f>IFERROR(INDEX(tEditais[SRP],MATCH(tItens[[#This Row],[Edital]],tEditais[Edital],0)),"Não")</f>
        <v>Sim</v>
      </c>
      <c r="P5237" s="4">
        <f>IF(COUNTIFS(INDEX(tItens[Edital],1):tItens[[#This Row],[Edital]],tItens[[#This Row],[Edital]],INDEX(tItens[Produto],1):tItens[[#This Row],[Produto]],tItens[[#This Row],[Produto]])=1,1,0)</f>
        <v>0</v>
      </c>
    </row>
    <row r="5238" spans="1:16" x14ac:dyDescent="0.25">
      <c r="A5238" t="s">
        <v>2010</v>
      </c>
      <c r="B5238">
        <v>5</v>
      </c>
      <c r="C5238" t="s">
        <v>8037</v>
      </c>
      <c r="D5238" t="s">
        <v>315</v>
      </c>
      <c r="E5238" s="13">
        <v>400</v>
      </c>
      <c r="F5238" s="12">
        <v>6.34</v>
      </c>
      <c r="G5238" t="str">
        <f>IFERROR(INDEX(tEditais[Órgão],MATCH(tItens[[#This Row],[Edital]],tEditais[Edital],0)),"")</f>
        <v>MUNICIPIO DE LOBATO</v>
      </c>
      <c r="H5238" t="str">
        <f>IFERROR(INDEX(tEditais[UF],MATCH(tItens[[#This Row],[Edital]],tEditais[Edital],0)),"")</f>
        <v>PR</v>
      </c>
      <c r="I5238" s="11">
        <f>IFERROR(INDEX(tEditais[Encerramento],MATCH(tItens[[#This Row],[Edital]],tEditais[Edital],0)),"")</f>
        <v>46308.347222222219</v>
      </c>
      <c r="J5238" t="str">
        <f>IFERROR(INDEX(tProdutos[Classe],MATCH(tItens[[#This Row],[Produto]],tProdutos[Produto],0)),"produto não cadastrado")</f>
        <v>FORA</v>
      </c>
      <c r="K5238" s="12">
        <f>tItens[[#This Row],[Qtd]]*tItens[[#This Row],[Vlr unit]]</f>
        <v>2536</v>
      </c>
      <c r="L5238" s="6">
        <f>IFERROR(IF(INDEX(tProdutos[Desconto homologado],MATCH(tItens[[#This Row],[Produto]],tProdutos[Produto],0))="",DescontoPadrao,INDEX(tProdutos[Desconto homologado],MATCH(tItens[[#This Row],[Produto]],tProdutos[Produto],0))),DescontoPadrao)</f>
        <v>0.38432036097010702</v>
      </c>
      <c r="M5238" s="12">
        <f>tItens[[#This Row],[Valor]]*(1-tItens[[#This Row],[Desconto]])</f>
        <v>1561.3635645798086</v>
      </c>
      <c r="N5238" t="str">
        <f>IFERROR(INDEX(tProdutos[Foco],MATCH(tItens[[#This Row],[Produto]],tProdutos[Produto],0)),"Não")</f>
        <v>Não</v>
      </c>
      <c r="O5238" t="str">
        <f>IFERROR(INDEX(tEditais[SRP],MATCH(tItens[[#This Row],[Edital]],tEditais[Edital],0)),"Não")</f>
        <v>Sim</v>
      </c>
      <c r="P5238" s="4">
        <f>IF(COUNTIFS(INDEX(tItens[Edital],1):tItens[[#This Row],[Edital]],tItens[[#This Row],[Edital]],INDEX(tItens[Produto],1):tItens[[#This Row],[Produto]],tItens[[#This Row],[Produto]])=1,1,0)</f>
        <v>0</v>
      </c>
    </row>
    <row r="5239" spans="1:16" x14ac:dyDescent="0.25">
      <c r="A5239" t="s">
        <v>2010</v>
      </c>
      <c r="B5239">
        <v>6</v>
      </c>
      <c r="C5239" t="s">
        <v>8038</v>
      </c>
      <c r="D5239" t="s">
        <v>315</v>
      </c>
      <c r="E5239" s="13">
        <v>400</v>
      </c>
      <c r="F5239" s="12">
        <v>7.02</v>
      </c>
      <c r="G5239" t="str">
        <f>IFERROR(INDEX(tEditais[Órgão],MATCH(tItens[[#This Row],[Edital]],tEditais[Edital],0)),"")</f>
        <v>MUNICIPIO DE LOBATO</v>
      </c>
      <c r="H5239" t="str">
        <f>IFERROR(INDEX(tEditais[UF],MATCH(tItens[[#This Row],[Edital]],tEditais[Edital],0)),"")</f>
        <v>PR</v>
      </c>
      <c r="I5239" s="11">
        <f>IFERROR(INDEX(tEditais[Encerramento],MATCH(tItens[[#This Row],[Edital]],tEditais[Edital],0)),"")</f>
        <v>46308.347222222219</v>
      </c>
      <c r="J5239" t="str">
        <f>IFERROR(INDEX(tProdutos[Classe],MATCH(tItens[[#This Row],[Produto]],tProdutos[Produto],0)),"produto não cadastrado")</f>
        <v>FORA</v>
      </c>
      <c r="K5239" s="12">
        <f>tItens[[#This Row],[Qtd]]*tItens[[#This Row],[Vlr unit]]</f>
        <v>2808</v>
      </c>
      <c r="L5239" s="6">
        <f>IFERROR(IF(INDEX(tProdutos[Desconto homologado],MATCH(tItens[[#This Row],[Produto]],tProdutos[Produto],0))="",DescontoPadrao,INDEX(tProdutos[Desconto homologado],MATCH(tItens[[#This Row],[Produto]],tProdutos[Produto],0))),DescontoPadrao)</f>
        <v>0.38432036097010702</v>
      </c>
      <c r="M5239" s="12">
        <f>tItens[[#This Row],[Valor]]*(1-tItens[[#This Row],[Desconto]])</f>
        <v>1728.8284263959395</v>
      </c>
      <c r="N5239" t="str">
        <f>IFERROR(INDEX(tProdutos[Foco],MATCH(tItens[[#This Row],[Produto]],tProdutos[Produto],0)),"Não")</f>
        <v>Não</v>
      </c>
      <c r="O5239" t="str">
        <f>IFERROR(INDEX(tEditais[SRP],MATCH(tItens[[#This Row],[Edital]],tEditais[Edital],0)),"Não")</f>
        <v>Sim</v>
      </c>
      <c r="P5239" s="4">
        <f>IF(COUNTIFS(INDEX(tItens[Edital],1):tItens[[#This Row],[Edital]],tItens[[#This Row],[Edital]],INDEX(tItens[Produto],1):tItens[[#This Row],[Produto]],tItens[[#This Row],[Produto]])=1,1,0)</f>
        <v>0</v>
      </c>
    </row>
    <row r="5240" spans="1:16" x14ac:dyDescent="0.25">
      <c r="A5240" t="s">
        <v>2010</v>
      </c>
      <c r="B5240">
        <v>7</v>
      </c>
      <c r="C5240" t="s">
        <v>8039</v>
      </c>
      <c r="D5240" t="s">
        <v>315</v>
      </c>
      <c r="E5240" s="13">
        <v>400</v>
      </c>
      <c r="F5240" s="12">
        <v>6.91</v>
      </c>
      <c r="G5240" t="str">
        <f>IFERROR(INDEX(tEditais[Órgão],MATCH(tItens[[#This Row],[Edital]],tEditais[Edital],0)),"")</f>
        <v>MUNICIPIO DE LOBATO</v>
      </c>
      <c r="H5240" t="str">
        <f>IFERROR(INDEX(tEditais[UF],MATCH(tItens[[#This Row],[Edital]],tEditais[Edital],0)),"")</f>
        <v>PR</v>
      </c>
      <c r="I5240" s="11">
        <f>IFERROR(INDEX(tEditais[Encerramento],MATCH(tItens[[#This Row],[Edital]],tEditais[Edital],0)),"")</f>
        <v>46308.347222222219</v>
      </c>
      <c r="J5240" t="str">
        <f>IFERROR(INDEX(tProdutos[Classe],MATCH(tItens[[#This Row],[Produto]],tProdutos[Produto],0)),"produto não cadastrado")</f>
        <v>FORA</v>
      </c>
      <c r="K5240" s="12">
        <f>tItens[[#This Row],[Qtd]]*tItens[[#This Row],[Vlr unit]]</f>
        <v>2764</v>
      </c>
      <c r="L5240" s="6">
        <f>IFERROR(IF(INDEX(tProdutos[Desconto homologado],MATCH(tItens[[#This Row],[Produto]],tProdutos[Produto],0))="",DescontoPadrao,INDEX(tProdutos[Desconto homologado],MATCH(tItens[[#This Row],[Produto]],tProdutos[Produto],0))),DescontoPadrao)</f>
        <v>0.38432036097010702</v>
      </c>
      <c r="M5240" s="12">
        <f>tItens[[#This Row],[Valor]]*(1-tItens[[#This Row],[Desconto]])</f>
        <v>1701.7385222786243</v>
      </c>
      <c r="N5240" t="str">
        <f>IFERROR(INDEX(tProdutos[Foco],MATCH(tItens[[#This Row],[Produto]],tProdutos[Produto],0)),"Não")</f>
        <v>Não</v>
      </c>
      <c r="O5240" t="str">
        <f>IFERROR(INDEX(tEditais[SRP],MATCH(tItens[[#This Row],[Edital]],tEditais[Edital],0)),"Não")</f>
        <v>Sim</v>
      </c>
      <c r="P5240" s="4">
        <f>IF(COUNTIFS(INDEX(tItens[Edital],1):tItens[[#This Row],[Edital]],tItens[[#This Row],[Edital]],INDEX(tItens[Produto],1):tItens[[#This Row],[Produto]],tItens[[#This Row],[Produto]])=1,1,0)</f>
        <v>0</v>
      </c>
    </row>
    <row r="5241" spans="1:16" x14ac:dyDescent="0.25">
      <c r="A5241" t="s">
        <v>2010</v>
      </c>
      <c r="B5241">
        <v>8</v>
      </c>
      <c r="C5241" t="s">
        <v>8040</v>
      </c>
      <c r="D5241" t="s">
        <v>315</v>
      </c>
      <c r="E5241" s="13">
        <v>400</v>
      </c>
      <c r="F5241" s="12">
        <v>7.69</v>
      </c>
      <c r="G5241" t="str">
        <f>IFERROR(INDEX(tEditais[Órgão],MATCH(tItens[[#This Row],[Edital]],tEditais[Edital],0)),"")</f>
        <v>MUNICIPIO DE LOBATO</v>
      </c>
      <c r="H5241" t="str">
        <f>IFERROR(INDEX(tEditais[UF],MATCH(tItens[[#This Row],[Edital]],tEditais[Edital],0)),"")</f>
        <v>PR</v>
      </c>
      <c r="I5241" s="11">
        <f>IFERROR(INDEX(tEditais[Encerramento],MATCH(tItens[[#This Row],[Edital]],tEditais[Edital],0)),"")</f>
        <v>46308.347222222219</v>
      </c>
      <c r="J5241" t="str">
        <f>IFERROR(INDEX(tProdutos[Classe],MATCH(tItens[[#This Row],[Produto]],tProdutos[Produto],0)),"produto não cadastrado")</f>
        <v>FORA</v>
      </c>
      <c r="K5241" s="12">
        <f>tItens[[#This Row],[Qtd]]*tItens[[#This Row],[Vlr unit]]</f>
        <v>3076</v>
      </c>
      <c r="L5241" s="6">
        <f>IFERROR(IF(INDEX(tProdutos[Desconto homologado],MATCH(tItens[[#This Row],[Produto]],tProdutos[Produto],0))="",DescontoPadrao,INDEX(tProdutos[Desconto homologado],MATCH(tItens[[#This Row],[Produto]],tProdutos[Produto],0))),DescontoPadrao)</f>
        <v>0.38432036097010702</v>
      </c>
      <c r="M5241" s="12">
        <f>tItens[[#This Row],[Valor]]*(1-tItens[[#This Row],[Desconto]])</f>
        <v>1893.8305696559507</v>
      </c>
      <c r="N5241" t="str">
        <f>IFERROR(INDEX(tProdutos[Foco],MATCH(tItens[[#This Row],[Produto]],tProdutos[Produto],0)),"Não")</f>
        <v>Não</v>
      </c>
      <c r="O5241" t="str">
        <f>IFERROR(INDEX(tEditais[SRP],MATCH(tItens[[#This Row],[Edital]],tEditais[Edital],0)),"Não")</f>
        <v>Sim</v>
      </c>
      <c r="P5241" s="4">
        <f>IF(COUNTIFS(INDEX(tItens[Edital],1):tItens[[#This Row],[Edital]],tItens[[#This Row],[Edital]],INDEX(tItens[Produto],1):tItens[[#This Row],[Produto]],tItens[[#This Row],[Produto]])=1,1,0)</f>
        <v>0</v>
      </c>
    </row>
    <row r="5242" spans="1:16" x14ac:dyDescent="0.25">
      <c r="A5242" t="s">
        <v>2010</v>
      </c>
      <c r="B5242">
        <v>9</v>
      </c>
      <c r="C5242" t="s">
        <v>8041</v>
      </c>
      <c r="D5242" t="s">
        <v>315</v>
      </c>
      <c r="E5242" s="13">
        <v>400</v>
      </c>
      <c r="F5242" s="12">
        <v>8.2799999999999994</v>
      </c>
      <c r="G5242" t="str">
        <f>IFERROR(INDEX(tEditais[Órgão],MATCH(tItens[[#This Row],[Edital]],tEditais[Edital],0)),"")</f>
        <v>MUNICIPIO DE LOBATO</v>
      </c>
      <c r="H5242" t="str">
        <f>IFERROR(INDEX(tEditais[UF],MATCH(tItens[[#This Row],[Edital]],tEditais[Edital],0)),"")</f>
        <v>PR</v>
      </c>
      <c r="I5242" s="11">
        <f>IFERROR(INDEX(tEditais[Encerramento],MATCH(tItens[[#This Row],[Edital]],tEditais[Edital],0)),"")</f>
        <v>46308.347222222219</v>
      </c>
      <c r="J5242" t="str">
        <f>IFERROR(INDEX(tProdutos[Classe],MATCH(tItens[[#This Row],[Produto]],tProdutos[Produto],0)),"produto não cadastrado")</f>
        <v>FORA</v>
      </c>
      <c r="K5242" s="12">
        <f>tItens[[#This Row],[Qtd]]*tItens[[#This Row],[Vlr unit]]</f>
        <v>3311.9999999999995</v>
      </c>
      <c r="L5242" s="6">
        <f>IFERROR(IF(INDEX(tProdutos[Desconto homologado],MATCH(tItens[[#This Row],[Produto]],tProdutos[Produto],0))="",DescontoPadrao,INDEX(tProdutos[Desconto homologado],MATCH(tItens[[#This Row],[Produto]],tProdutos[Produto],0))),DescontoPadrao)</f>
        <v>0.38432036097010702</v>
      </c>
      <c r="M5242" s="12">
        <f>tItens[[#This Row],[Valor]]*(1-tItens[[#This Row],[Desconto]])</f>
        <v>2039.1309644670052</v>
      </c>
      <c r="N5242" t="str">
        <f>IFERROR(INDEX(tProdutos[Foco],MATCH(tItens[[#This Row],[Produto]],tProdutos[Produto],0)),"Não")</f>
        <v>Não</v>
      </c>
      <c r="O5242" t="str">
        <f>IFERROR(INDEX(tEditais[SRP],MATCH(tItens[[#This Row],[Edital]],tEditais[Edital],0)),"Não")</f>
        <v>Sim</v>
      </c>
      <c r="P5242" s="4">
        <f>IF(COUNTIFS(INDEX(tItens[Edital],1):tItens[[#This Row],[Edital]],tItens[[#This Row],[Edital]],INDEX(tItens[Produto],1):tItens[[#This Row],[Produto]],tItens[[#This Row],[Produto]])=1,1,0)</f>
        <v>0</v>
      </c>
    </row>
    <row r="5243" spans="1:16" x14ac:dyDescent="0.25">
      <c r="A5243" t="s">
        <v>2010</v>
      </c>
      <c r="B5243">
        <v>10</v>
      </c>
      <c r="C5243" t="s">
        <v>8042</v>
      </c>
      <c r="D5243" t="s">
        <v>315</v>
      </c>
      <c r="E5243" s="13">
        <v>400</v>
      </c>
      <c r="F5243" s="12">
        <v>6.95</v>
      </c>
      <c r="G5243" t="str">
        <f>IFERROR(INDEX(tEditais[Órgão],MATCH(tItens[[#This Row],[Edital]],tEditais[Edital],0)),"")</f>
        <v>MUNICIPIO DE LOBATO</v>
      </c>
      <c r="H5243" t="str">
        <f>IFERROR(INDEX(tEditais[UF],MATCH(tItens[[#This Row],[Edital]],tEditais[Edital],0)),"")</f>
        <v>PR</v>
      </c>
      <c r="I5243" s="11">
        <f>IFERROR(INDEX(tEditais[Encerramento],MATCH(tItens[[#This Row],[Edital]],tEditais[Edital],0)),"")</f>
        <v>46308.347222222219</v>
      </c>
      <c r="J5243" t="str">
        <f>IFERROR(INDEX(tProdutos[Classe],MATCH(tItens[[#This Row],[Produto]],tProdutos[Produto],0)),"produto não cadastrado")</f>
        <v>FORA</v>
      </c>
      <c r="K5243" s="12">
        <f>tItens[[#This Row],[Qtd]]*tItens[[#This Row],[Vlr unit]]</f>
        <v>2780</v>
      </c>
      <c r="L5243" s="6">
        <f>IFERROR(IF(INDEX(tProdutos[Desconto homologado],MATCH(tItens[[#This Row],[Produto]],tProdutos[Produto],0))="",DescontoPadrao,INDEX(tProdutos[Desconto homologado],MATCH(tItens[[#This Row],[Produto]],tProdutos[Produto],0))),DescontoPadrao)</f>
        <v>0.38432036097010702</v>
      </c>
      <c r="M5243" s="12">
        <f>tItens[[#This Row],[Valor]]*(1-tItens[[#This Row],[Desconto]])</f>
        <v>1711.5893965031025</v>
      </c>
      <c r="N5243" t="str">
        <f>IFERROR(INDEX(tProdutos[Foco],MATCH(tItens[[#This Row],[Produto]],tProdutos[Produto],0)),"Não")</f>
        <v>Não</v>
      </c>
      <c r="O5243" t="str">
        <f>IFERROR(INDEX(tEditais[SRP],MATCH(tItens[[#This Row],[Edital]],tEditais[Edital],0)),"Não")</f>
        <v>Sim</v>
      </c>
      <c r="P5243" s="4">
        <f>IF(COUNTIFS(INDEX(tItens[Edital],1):tItens[[#This Row],[Edital]],tItens[[#This Row],[Edital]],INDEX(tItens[Produto],1):tItens[[#This Row],[Produto]],tItens[[#This Row],[Produto]])=1,1,0)</f>
        <v>0</v>
      </c>
    </row>
    <row r="5244" spans="1:16" x14ac:dyDescent="0.25">
      <c r="A5244" t="s">
        <v>2010</v>
      </c>
      <c r="B5244">
        <v>24</v>
      </c>
      <c r="C5244" t="s">
        <v>8043</v>
      </c>
      <c r="D5244" t="s">
        <v>389</v>
      </c>
      <c r="E5244" s="13">
        <v>5000</v>
      </c>
      <c r="F5244" s="12">
        <v>2.42</v>
      </c>
      <c r="G5244" t="str">
        <f>IFERROR(INDEX(tEditais[Órgão],MATCH(tItens[[#This Row],[Edital]],tEditais[Edital],0)),"")</f>
        <v>MUNICIPIO DE LOBATO</v>
      </c>
      <c r="H5244" t="str">
        <f>IFERROR(INDEX(tEditais[UF],MATCH(tItens[[#This Row],[Edital]],tEditais[Edital],0)),"")</f>
        <v>PR</v>
      </c>
      <c r="I5244" s="11">
        <f>IFERROR(INDEX(tEditais[Encerramento],MATCH(tItens[[#This Row],[Edital]],tEditais[Edital],0)),"")</f>
        <v>46308.347222222219</v>
      </c>
      <c r="J5244" t="str">
        <f>IFERROR(INDEX(tProdutos[Classe],MATCH(tItens[[#This Row],[Produto]],tProdutos[Produto],0)),"produto não cadastrado")</f>
        <v>FORA</v>
      </c>
      <c r="K5244" s="12">
        <f>tItens[[#This Row],[Qtd]]*tItens[[#This Row],[Vlr unit]]</f>
        <v>12100</v>
      </c>
      <c r="L5244" s="6">
        <f>IFERROR(IF(INDEX(tProdutos[Desconto homologado],MATCH(tItens[[#This Row],[Produto]],tProdutos[Produto],0))="",DescontoPadrao,INDEX(tProdutos[Desconto homologado],MATCH(tItens[[#This Row],[Produto]],tProdutos[Produto],0))),DescontoPadrao)</f>
        <v>0.39163140573577798</v>
      </c>
      <c r="M5244" s="12">
        <f>tItens[[#This Row],[Valor]]*(1-tItens[[#This Row],[Desconto]])</f>
        <v>7361.2599905970874</v>
      </c>
      <c r="N5244" t="str">
        <f>IFERROR(INDEX(tProdutos[Foco],MATCH(tItens[[#This Row],[Produto]],tProdutos[Produto],0)),"Não")</f>
        <v>Não</v>
      </c>
      <c r="O5244" t="str">
        <f>IFERROR(INDEX(tEditais[SRP],MATCH(tItens[[#This Row],[Edital]],tEditais[Edital],0)),"Não")</f>
        <v>Sim</v>
      </c>
      <c r="P5244" s="4">
        <f>IF(COUNTIFS(INDEX(tItens[Edital],1):tItens[[#This Row],[Edital]],tItens[[#This Row],[Edital]],INDEX(tItens[Produto],1):tItens[[#This Row],[Produto]],tItens[[#This Row],[Produto]])=1,1,0)</f>
        <v>1</v>
      </c>
    </row>
    <row r="5245" spans="1:16" x14ac:dyDescent="0.25">
      <c r="A5245" t="s">
        <v>2010</v>
      </c>
      <c r="B5245">
        <v>25</v>
      </c>
      <c r="C5245" t="s">
        <v>8044</v>
      </c>
      <c r="D5245" t="s">
        <v>569</v>
      </c>
      <c r="E5245" s="13">
        <v>3</v>
      </c>
      <c r="F5245" s="12">
        <v>54.15</v>
      </c>
      <c r="G5245" t="str">
        <f>IFERROR(INDEX(tEditais[Órgão],MATCH(tItens[[#This Row],[Edital]],tEditais[Edital],0)),"")</f>
        <v>MUNICIPIO DE LOBATO</v>
      </c>
      <c r="H5245" t="str">
        <f>IFERROR(INDEX(tEditais[UF],MATCH(tItens[[#This Row],[Edital]],tEditais[Edital],0)),"")</f>
        <v>PR</v>
      </c>
      <c r="I5245" s="11">
        <f>IFERROR(INDEX(tEditais[Encerramento],MATCH(tItens[[#This Row],[Edital]],tEditais[Edital],0)),"")</f>
        <v>46308.347222222219</v>
      </c>
      <c r="J5245" t="str">
        <f>IFERROR(INDEX(tProdutos[Classe],MATCH(tItens[[#This Row],[Produto]],tProdutos[Produto],0)),"produto não cadastrado")</f>
        <v>FILA REBASE</v>
      </c>
      <c r="K5245" s="12">
        <f>tItens[[#This Row],[Qtd]]*tItens[[#This Row],[Vlr unit]]</f>
        <v>162.44999999999999</v>
      </c>
      <c r="L5245" s="6">
        <f>IFERROR(IF(INDEX(tProdutos[Desconto homologado],MATCH(tItens[[#This Row],[Produto]],tProdutos[Produto],0))="",DescontoPadrao,INDEX(tProdutos[Desconto homologado],MATCH(tItens[[#This Row],[Produto]],tProdutos[Produto],0))),DescontoPadrao)</f>
        <v>0.3</v>
      </c>
      <c r="M5245" s="12">
        <f>tItens[[#This Row],[Valor]]*(1-tItens[[#This Row],[Desconto]])</f>
        <v>113.71499999999999</v>
      </c>
      <c r="N5245" t="str">
        <f>IFERROR(INDEX(tProdutos[Foco],MATCH(tItens[[#This Row],[Produto]],tProdutos[Produto],0)),"Não")</f>
        <v>Não</v>
      </c>
      <c r="O5245" t="str">
        <f>IFERROR(INDEX(tEditais[SRP],MATCH(tItens[[#This Row],[Edital]],tEditais[Edital],0)),"Não")</f>
        <v>Sim</v>
      </c>
      <c r="P5245" s="4">
        <f>IF(COUNTIFS(INDEX(tItens[Edital],1):tItens[[#This Row],[Edital]],tItens[[#This Row],[Edital]],INDEX(tItens[Produto],1):tItens[[#This Row],[Produto]],tItens[[#This Row],[Produto]])=1,1,0)</f>
        <v>1</v>
      </c>
    </row>
    <row r="5246" spans="1:16" x14ac:dyDescent="0.25">
      <c r="A5246" t="s">
        <v>2010</v>
      </c>
      <c r="B5246">
        <v>33</v>
      </c>
      <c r="C5246" t="s">
        <v>8045</v>
      </c>
      <c r="D5246" t="s">
        <v>423</v>
      </c>
      <c r="E5246" s="13">
        <v>30</v>
      </c>
      <c r="F5246" s="12">
        <v>8.33</v>
      </c>
      <c r="G5246" t="str">
        <f>IFERROR(INDEX(tEditais[Órgão],MATCH(tItens[[#This Row],[Edital]],tEditais[Edital],0)),"")</f>
        <v>MUNICIPIO DE LOBATO</v>
      </c>
      <c r="H5246" t="str">
        <f>IFERROR(INDEX(tEditais[UF],MATCH(tItens[[#This Row],[Edital]],tEditais[Edital],0)),"")</f>
        <v>PR</v>
      </c>
      <c r="I5246" s="11">
        <f>IFERROR(INDEX(tEditais[Encerramento],MATCH(tItens[[#This Row],[Edital]],tEditais[Edital],0)),"")</f>
        <v>46308.347222222219</v>
      </c>
      <c r="J5246" t="str">
        <f>IFERROR(INDEX(tProdutos[Classe],MATCH(tItens[[#This Row],[Produto]],tProdutos[Produto],0)),"produto não cadastrado")</f>
        <v>FORA</v>
      </c>
      <c r="K5246" s="12">
        <f>tItens[[#This Row],[Qtd]]*tItens[[#This Row],[Vlr unit]]</f>
        <v>249.9</v>
      </c>
      <c r="L5246" s="6">
        <f>IFERROR(IF(INDEX(tProdutos[Desconto homologado],MATCH(tItens[[#This Row],[Produto]],tProdutos[Produto],0))="",DescontoPadrao,INDEX(tProdutos[Desconto homologado],MATCH(tItens[[#This Row],[Produto]],tProdutos[Produto],0))),DescontoPadrao)</f>
        <v>0.38271604938271597</v>
      </c>
      <c r="M5246" s="12">
        <f>tItens[[#This Row],[Valor]]*(1-tItens[[#This Row],[Desconto]])</f>
        <v>154.2592592592593</v>
      </c>
      <c r="N5246" t="str">
        <f>IFERROR(INDEX(tProdutos[Foco],MATCH(tItens[[#This Row],[Produto]],tProdutos[Produto],0)),"Não")</f>
        <v>Não</v>
      </c>
      <c r="O5246" t="str">
        <f>IFERROR(INDEX(tEditais[SRP],MATCH(tItens[[#This Row],[Edital]],tEditais[Edital],0)),"Não")</f>
        <v>Sim</v>
      </c>
      <c r="P5246" s="4">
        <f>IF(COUNTIFS(INDEX(tItens[Edital],1):tItens[[#This Row],[Edital]],tItens[[#This Row],[Edital]],INDEX(tItens[Produto],1):tItens[[#This Row],[Produto]],tItens[[#This Row],[Produto]])=1,1,0)</f>
        <v>1</v>
      </c>
    </row>
    <row r="5247" spans="1:16" x14ac:dyDescent="0.25">
      <c r="A5247" t="s">
        <v>2010</v>
      </c>
      <c r="B5247">
        <v>35</v>
      </c>
      <c r="C5247" t="s">
        <v>8046</v>
      </c>
      <c r="D5247" t="s">
        <v>409</v>
      </c>
      <c r="E5247" s="13">
        <v>100</v>
      </c>
      <c r="F5247" s="12">
        <v>4.87</v>
      </c>
      <c r="G5247" t="str">
        <f>IFERROR(INDEX(tEditais[Órgão],MATCH(tItens[[#This Row],[Edital]],tEditais[Edital],0)),"")</f>
        <v>MUNICIPIO DE LOBATO</v>
      </c>
      <c r="H5247" t="str">
        <f>IFERROR(INDEX(tEditais[UF],MATCH(tItens[[#This Row],[Edital]],tEditais[Edital],0)),"")</f>
        <v>PR</v>
      </c>
      <c r="I5247" s="11">
        <f>IFERROR(INDEX(tEditais[Encerramento],MATCH(tItens[[#This Row],[Edital]],tEditais[Edital],0)),"")</f>
        <v>46308.347222222219</v>
      </c>
      <c r="J5247" t="str">
        <f>IFERROR(INDEX(tProdutos[Classe],MATCH(tItens[[#This Row],[Produto]],tProdutos[Produto],0)),"produto não cadastrado")</f>
        <v>FORA</v>
      </c>
      <c r="K5247" s="12">
        <f>tItens[[#This Row],[Qtd]]*tItens[[#This Row],[Vlr unit]]</f>
        <v>487</v>
      </c>
      <c r="L5247" s="6">
        <f>IFERROR(IF(INDEX(tProdutos[Desconto homologado],MATCH(tItens[[#This Row],[Produto]],tProdutos[Produto],0))="",DescontoPadrao,INDEX(tProdutos[Desconto homologado],MATCH(tItens[[#This Row],[Produto]],tProdutos[Produto],0))),DescontoPadrao)</f>
        <v>0.24924924924924899</v>
      </c>
      <c r="M5247" s="12">
        <f>tItens[[#This Row],[Valor]]*(1-tItens[[#This Row],[Desconto]])</f>
        <v>365.61561561561575</v>
      </c>
      <c r="N5247" t="str">
        <f>IFERROR(INDEX(tProdutos[Foco],MATCH(tItens[[#This Row],[Produto]],tProdutos[Produto],0)),"Não")</f>
        <v>Não</v>
      </c>
      <c r="O5247" t="str">
        <f>IFERROR(INDEX(tEditais[SRP],MATCH(tItens[[#This Row],[Edital]],tEditais[Edital],0)),"Não")</f>
        <v>Sim</v>
      </c>
      <c r="P5247" s="4">
        <f>IF(COUNTIFS(INDEX(tItens[Edital],1):tItens[[#This Row],[Edital]],tItens[[#This Row],[Edital]],INDEX(tItens[Produto],1):tItens[[#This Row],[Produto]],tItens[[#This Row],[Produto]])=1,1,0)</f>
        <v>1</v>
      </c>
    </row>
    <row r="5248" spans="1:16" x14ac:dyDescent="0.25">
      <c r="A5248" t="s">
        <v>2010</v>
      </c>
      <c r="B5248">
        <v>43</v>
      </c>
      <c r="C5248" t="s">
        <v>8047</v>
      </c>
      <c r="D5248" t="s">
        <v>69</v>
      </c>
      <c r="E5248" s="13">
        <v>10000</v>
      </c>
      <c r="F5248" s="12">
        <v>0.73</v>
      </c>
      <c r="G5248" t="str">
        <f>IFERROR(INDEX(tEditais[Órgão],MATCH(tItens[[#This Row],[Edital]],tEditais[Edital],0)),"")</f>
        <v>MUNICIPIO DE LOBATO</v>
      </c>
      <c r="H5248" t="str">
        <f>IFERROR(INDEX(tEditais[UF],MATCH(tItens[[#This Row],[Edital]],tEditais[Edital],0)),"")</f>
        <v>PR</v>
      </c>
      <c r="I5248" s="11">
        <f>IFERROR(INDEX(tEditais[Encerramento],MATCH(tItens[[#This Row],[Edital]],tEditais[Edital],0)),"")</f>
        <v>46308.347222222219</v>
      </c>
      <c r="J5248" t="str">
        <f>IFERROR(INDEX(tProdutos[Classe],MATCH(tItens[[#This Row],[Produto]],tProdutos[Produto],0)),"produto não cadastrado")</f>
        <v>NÚCLEO</v>
      </c>
      <c r="K5248" s="12">
        <f>tItens[[#This Row],[Qtd]]*tItens[[#This Row],[Vlr unit]]</f>
        <v>7300</v>
      </c>
      <c r="L5248" s="6">
        <f>IFERROR(IF(INDEX(tProdutos[Desconto homologado],MATCH(tItens[[#This Row],[Produto]],tProdutos[Produto],0))="",DescontoPadrao,INDEX(tProdutos[Desconto homologado],MATCH(tItens[[#This Row],[Produto]],tProdutos[Produto],0))),DescontoPadrao)</f>
        <v>0.38829259638568803</v>
      </c>
      <c r="M5248" s="12">
        <f>tItens[[#This Row],[Valor]]*(1-tItens[[#This Row],[Desconto]])</f>
        <v>4465.4640463844771</v>
      </c>
      <c r="N5248" t="str">
        <f>IFERROR(INDEX(tProdutos[Foco],MATCH(tItens[[#This Row],[Produto]],tProdutos[Produto],0)),"Não")</f>
        <v>Não</v>
      </c>
      <c r="O5248" t="str">
        <f>IFERROR(INDEX(tEditais[SRP],MATCH(tItens[[#This Row],[Edital]],tEditais[Edital],0)),"Não")</f>
        <v>Sim</v>
      </c>
      <c r="P5248" s="4">
        <f>IF(COUNTIFS(INDEX(tItens[Edital],1):tItens[[#This Row],[Edital]],tItens[[#This Row],[Edital]],INDEX(tItens[Produto],1):tItens[[#This Row],[Produto]],tItens[[#This Row],[Produto]])=1,1,0)</f>
        <v>1</v>
      </c>
    </row>
    <row r="5249" spans="1:16" x14ac:dyDescent="0.25">
      <c r="A5249" t="s">
        <v>2010</v>
      </c>
      <c r="B5249">
        <v>44</v>
      </c>
      <c r="C5249" t="s">
        <v>8048</v>
      </c>
      <c r="D5249" t="s">
        <v>69</v>
      </c>
      <c r="E5249" s="13">
        <v>100</v>
      </c>
      <c r="F5249" s="12">
        <v>1</v>
      </c>
      <c r="G5249" t="str">
        <f>IFERROR(INDEX(tEditais[Órgão],MATCH(tItens[[#This Row],[Edital]],tEditais[Edital],0)),"")</f>
        <v>MUNICIPIO DE LOBATO</v>
      </c>
      <c r="H5249" t="str">
        <f>IFERROR(INDEX(tEditais[UF],MATCH(tItens[[#This Row],[Edital]],tEditais[Edital],0)),"")</f>
        <v>PR</v>
      </c>
      <c r="I5249" s="11">
        <f>IFERROR(INDEX(tEditais[Encerramento],MATCH(tItens[[#This Row],[Edital]],tEditais[Edital],0)),"")</f>
        <v>46308.347222222219</v>
      </c>
      <c r="J5249" t="str">
        <f>IFERROR(INDEX(tProdutos[Classe],MATCH(tItens[[#This Row],[Produto]],tProdutos[Produto],0)),"produto não cadastrado")</f>
        <v>NÚCLEO</v>
      </c>
      <c r="K5249" s="12">
        <f>tItens[[#This Row],[Qtd]]*tItens[[#This Row],[Vlr unit]]</f>
        <v>100</v>
      </c>
      <c r="L5249" s="6">
        <f>IFERROR(IF(INDEX(tProdutos[Desconto homologado],MATCH(tItens[[#This Row],[Produto]],tProdutos[Produto],0))="",DescontoPadrao,INDEX(tProdutos[Desconto homologado],MATCH(tItens[[#This Row],[Produto]],tProdutos[Produto],0))),DescontoPadrao)</f>
        <v>0.38829259638568803</v>
      </c>
      <c r="M5249" s="12">
        <f>tItens[[#This Row],[Valor]]*(1-tItens[[#This Row],[Desconto]])</f>
        <v>61.1707403614312</v>
      </c>
      <c r="N5249" t="str">
        <f>IFERROR(INDEX(tProdutos[Foco],MATCH(tItens[[#This Row],[Produto]],tProdutos[Produto],0)),"Não")</f>
        <v>Não</v>
      </c>
      <c r="O5249" t="str">
        <f>IFERROR(INDEX(tEditais[SRP],MATCH(tItens[[#This Row],[Edital]],tEditais[Edital],0)),"Não")</f>
        <v>Sim</v>
      </c>
      <c r="P5249" s="4">
        <f>IF(COUNTIFS(INDEX(tItens[Edital],1):tItens[[#This Row],[Edital]],tItens[[#This Row],[Edital]],INDEX(tItens[Produto],1):tItens[[#This Row],[Produto]],tItens[[#This Row],[Produto]])=1,1,0)</f>
        <v>0</v>
      </c>
    </row>
    <row r="5250" spans="1:16" x14ac:dyDescent="0.25">
      <c r="A5250" t="s">
        <v>2010</v>
      </c>
      <c r="B5250">
        <v>45</v>
      </c>
      <c r="C5250" t="s">
        <v>8049</v>
      </c>
      <c r="D5250" t="s">
        <v>69</v>
      </c>
      <c r="E5250" s="13">
        <v>500</v>
      </c>
      <c r="F5250" s="12">
        <v>0.76</v>
      </c>
      <c r="G5250" t="str">
        <f>IFERROR(INDEX(tEditais[Órgão],MATCH(tItens[[#This Row],[Edital]],tEditais[Edital],0)),"")</f>
        <v>MUNICIPIO DE LOBATO</v>
      </c>
      <c r="H5250" t="str">
        <f>IFERROR(INDEX(tEditais[UF],MATCH(tItens[[#This Row],[Edital]],tEditais[Edital],0)),"")</f>
        <v>PR</v>
      </c>
      <c r="I5250" s="11">
        <f>IFERROR(INDEX(tEditais[Encerramento],MATCH(tItens[[#This Row],[Edital]],tEditais[Edital],0)),"")</f>
        <v>46308.347222222219</v>
      </c>
      <c r="J5250" t="str">
        <f>IFERROR(INDEX(tProdutos[Classe],MATCH(tItens[[#This Row],[Produto]],tProdutos[Produto],0)),"produto não cadastrado")</f>
        <v>NÚCLEO</v>
      </c>
      <c r="K5250" s="12">
        <f>tItens[[#This Row],[Qtd]]*tItens[[#This Row],[Vlr unit]]</f>
        <v>380</v>
      </c>
      <c r="L5250" s="6">
        <f>IFERROR(IF(INDEX(tProdutos[Desconto homologado],MATCH(tItens[[#This Row],[Produto]],tProdutos[Produto],0))="",DescontoPadrao,INDEX(tProdutos[Desconto homologado],MATCH(tItens[[#This Row],[Produto]],tProdutos[Produto],0))),DescontoPadrao)</f>
        <v>0.38829259638568803</v>
      </c>
      <c r="M5250" s="12">
        <f>tItens[[#This Row],[Valor]]*(1-tItens[[#This Row],[Desconto]])</f>
        <v>232.44881337343855</v>
      </c>
      <c r="N5250" t="str">
        <f>IFERROR(INDEX(tProdutos[Foco],MATCH(tItens[[#This Row],[Produto]],tProdutos[Produto],0)),"Não")</f>
        <v>Não</v>
      </c>
      <c r="O5250" t="str">
        <f>IFERROR(INDEX(tEditais[SRP],MATCH(tItens[[#This Row],[Edital]],tEditais[Edital],0)),"Não")</f>
        <v>Sim</v>
      </c>
      <c r="P5250" s="4">
        <f>IF(COUNTIFS(INDEX(tItens[Edital],1):tItens[[#This Row],[Edital]],tItens[[#This Row],[Edital]],INDEX(tItens[Produto],1):tItens[[#This Row],[Produto]],tItens[[#This Row],[Produto]])=1,1,0)</f>
        <v>0</v>
      </c>
    </row>
    <row r="5251" spans="1:16" x14ac:dyDescent="0.25">
      <c r="A5251" t="s">
        <v>2010</v>
      </c>
      <c r="B5251">
        <v>46</v>
      </c>
      <c r="C5251" t="s">
        <v>8050</v>
      </c>
      <c r="D5251" t="s">
        <v>69</v>
      </c>
      <c r="E5251" s="13">
        <v>500</v>
      </c>
      <c r="F5251" s="12">
        <v>0.77</v>
      </c>
      <c r="G5251" t="str">
        <f>IFERROR(INDEX(tEditais[Órgão],MATCH(tItens[[#This Row],[Edital]],tEditais[Edital],0)),"")</f>
        <v>MUNICIPIO DE LOBATO</v>
      </c>
      <c r="H5251" t="str">
        <f>IFERROR(INDEX(tEditais[UF],MATCH(tItens[[#This Row],[Edital]],tEditais[Edital],0)),"")</f>
        <v>PR</v>
      </c>
      <c r="I5251" s="11">
        <f>IFERROR(INDEX(tEditais[Encerramento],MATCH(tItens[[#This Row],[Edital]],tEditais[Edital],0)),"")</f>
        <v>46308.347222222219</v>
      </c>
      <c r="J5251" t="str">
        <f>IFERROR(INDEX(tProdutos[Classe],MATCH(tItens[[#This Row],[Produto]],tProdutos[Produto],0)),"produto não cadastrado")</f>
        <v>NÚCLEO</v>
      </c>
      <c r="K5251" s="12">
        <f>tItens[[#This Row],[Qtd]]*tItens[[#This Row],[Vlr unit]]</f>
        <v>385</v>
      </c>
      <c r="L5251" s="6">
        <f>IFERROR(IF(INDEX(tProdutos[Desconto homologado],MATCH(tItens[[#This Row],[Produto]],tProdutos[Produto],0))="",DescontoPadrao,INDEX(tProdutos[Desconto homologado],MATCH(tItens[[#This Row],[Produto]],tProdutos[Produto],0))),DescontoPadrao)</f>
        <v>0.38829259638568803</v>
      </c>
      <c r="M5251" s="12">
        <f>tItens[[#This Row],[Valor]]*(1-tItens[[#This Row],[Desconto]])</f>
        <v>235.5073503915101</v>
      </c>
      <c r="N5251" t="str">
        <f>IFERROR(INDEX(tProdutos[Foco],MATCH(tItens[[#This Row],[Produto]],tProdutos[Produto],0)),"Não")</f>
        <v>Não</v>
      </c>
      <c r="O5251" t="str">
        <f>IFERROR(INDEX(tEditais[SRP],MATCH(tItens[[#This Row],[Edital]],tEditais[Edital],0)),"Não")</f>
        <v>Sim</v>
      </c>
      <c r="P5251" s="4">
        <f>IF(COUNTIFS(INDEX(tItens[Edital],1):tItens[[#This Row],[Edital]],tItens[[#This Row],[Edital]],INDEX(tItens[Produto],1):tItens[[#This Row],[Produto]],tItens[[#This Row],[Produto]])=1,1,0)</f>
        <v>0</v>
      </c>
    </row>
    <row r="5252" spans="1:16" x14ac:dyDescent="0.25">
      <c r="A5252" t="s">
        <v>2010</v>
      </c>
      <c r="B5252">
        <v>47</v>
      </c>
      <c r="C5252" t="s">
        <v>8051</v>
      </c>
      <c r="D5252" t="s">
        <v>69</v>
      </c>
      <c r="E5252" s="13">
        <v>1000</v>
      </c>
      <c r="F5252" s="12">
        <v>0.72</v>
      </c>
      <c r="G5252" t="str">
        <f>IFERROR(INDEX(tEditais[Órgão],MATCH(tItens[[#This Row],[Edital]],tEditais[Edital],0)),"")</f>
        <v>MUNICIPIO DE LOBATO</v>
      </c>
      <c r="H5252" t="str">
        <f>IFERROR(INDEX(tEditais[UF],MATCH(tItens[[#This Row],[Edital]],tEditais[Edital],0)),"")</f>
        <v>PR</v>
      </c>
      <c r="I5252" s="11">
        <f>IFERROR(INDEX(tEditais[Encerramento],MATCH(tItens[[#This Row],[Edital]],tEditais[Edital],0)),"")</f>
        <v>46308.347222222219</v>
      </c>
      <c r="J5252" t="str">
        <f>IFERROR(INDEX(tProdutos[Classe],MATCH(tItens[[#This Row],[Produto]],tProdutos[Produto],0)),"produto não cadastrado")</f>
        <v>NÚCLEO</v>
      </c>
      <c r="K5252" s="12">
        <f>tItens[[#This Row],[Qtd]]*tItens[[#This Row],[Vlr unit]]</f>
        <v>720</v>
      </c>
      <c r="L5252" s="6">
        <f>IFERROR(IF(INDEX(tProdutos[Desconto homologado],MATCH(tItens[[#This Row],[Produto]],tProdutos[Produto],0))="",DescontoPadrao,INDEX(tProdutos[Desconto homologado],MATCH(tItens[[#This Row],[Produto]],tProdutos[Produto],0))),DescontoPadrao)</f>
        <v>0.38829259638568803</v>
      </c>
      <c r="M5252" s="12">
        <f>tItens[[#This Row],[Valor]]*(1-tItens[[#This Row],[Desconto]])</f>
        <v>440.42933060230462</v>
      </c>
      <c r="N5252" t="str">
        <f>IFERROR(INDEX(tProdutos[Foco],MATCH(tItens[[#This Row],[Produto]],tProdutos[Produto],0)),"Não")</f>
        <v>Não</v>
      </c>
      <c r="O5252" t="str">
        <f>IFERROR(INDEX(tEditais[SRP],MATCH(tItens[[#This Row],[Edital]],tEditais[Edital],0)),"Não")</f>
        <v>Sim</v>
      </c>
      <c r="P5252" s="4">
        <f>IF(COUNTIFS(INDEX(tItens[Edital],1):tItens[[#This Row],[Edital]],tItens[[#This Row],[Edital]],INDEX(tItens[Produto],1):tItens[[#This Row],[Produto]],tItens[[#This Row],[Produto]])=1,1,0)</f>
        <v>0</v>
      </c>
    </row>
    <row r="5253" spans="1:16" x14ac:dyDescent="0.25">
      <c r="A5253" t="s">
        <v>2010</v>
      </c>
      <c r="B5253">
        <v>48</v>
      </c>
      <c r="C5253" t="s">
        <v>8052</v>
      </c>
      <c r="D5253" t="s">
        <v>69</v>
      </c>
      <c r="E5253" s="13">
        <v>10000</v>
      </c>
      <c r="F5253" s="12">
        <v>0.66</v>
      </c>
      <c r="G5253" t="str">
        <f>IFERROR(INDEX(tEditais[Órgão],MATCH(tItens[[#This Row],[Edital]],tEditais[Edital],0)),"")</f>
        <v>MUNICIPIO DE LOBATO</v>
      </c>
      <c r="H5253" t="str">
        <f>IFERROR(INDEX(tEditais[UF],MATCH(tItens[[#This Row],[Edital]],tEditais[Edital],0)),"")</f>
        <v>PR</v>
      </c>
      <c r="I5253" s="11">
        <f>IFERROR(INDEX(tEditais[Encerramento],MATCH(tItens[[#This Row],[Edital]],tEditais[Edital],0)),"")</f>
        <v>46308.347222222219</v>
      </c>
      <c r="J5253" t="str">
        <f>IFERROR(INDEX(tProdutos[Classe],MATCH(tItens[[#This Row],[Produto]],tProdutos[Produto],0)),"produto não cadastrado")</f>
        <v>NÚCLEO</v>
      </c>
      <c r="K5253" s="12">
        <f>tItens[[#This Row],[Qtd]]*tItens[[#This Row],[Vlr unit]]</f>
        <v>6600</v>
      </c>
      <c r="L5253" s="6">
        <f>IFERROR(IF(INDEX(tProdutos[Desconto homologado],MATCH(tItens[[#This Row],[Produto]],tProdutos[Produto],0))="",DescontoPadrao,INDEX(tProdutos[Desconto homologado],MATCH(tItens[[#This Row],[Produto]],tProdutos[Produto],0))),DescontoPadrao)</f>
        <v>0.38829259638568803</v>
      </c>
      <c r="M5253" s="12">
        <f>tItens[[#This Row],[Valor]]*(1-tItens[[#This Row],[Desconto]])</f>
        <v>4037.2688638544591</v>
      </c>
      <c r="N5253" t="str">
        <f>IFERROR(INDEX(tProdutos[Foco],MATCH(tItens[[#This Row],[Produto]],tProdutos[Produto],0)),"Não")</f>
        <v>Não</v>
      </c>
      <c r="O5253" t="str">
        <f>IFERROR(INDEX(tEditais[SRP],MATCH(tItens[[#This Row],[Edital]],tEditais[Edital],0)),"Não")</f>
        <v>Sim</v>
      </c>
      <c r="P5253" s="4">
        <f>IF(COUNTIFS(INDEX(tItens[Edital],1):tItens[[#This Row],[Edital]],tItens[[#This Row],[Edital]],INDEX(tItens[Produto],1):tItens[[#This Row],[Produto]],tItens[[#This Row],[Produto]])=1,1,0)</f>
        <v>0</v>
      </c>
    </row>
    <row r="5254" spans="1:16" x14ac:dyDescent="0.25">
      <c r="A5254" t="s">
        <v>2010</v>
      </c>
      <c r="B5254">
        <v>49</v>
      </c>
      <c r="C5254" t="s">
        <v>8053</v>
      </c>
      <c r="D5254" t="s">
        <v>69</v>
      </c>
      <c r="E5254" s="13">
        <v>100</v>
      </c>
      <c r="F5254" s="12">
        <v>0.61</v>
      </c>
      <c r="G5254" t="str">
        <f>IFERROR(INDEX(tEditais[Órgão],MATCH(tItens[[#This Row],[Edital]],tEditais[Edital],0)),"")</f>
        <v>MUNICIPIO DE LOBATO</v>
      </c>
      <c r="H5254" t="str">
        <f>IFERROR(INDEX(tEditais[UF],MATCH(tItens[[#This Row],[Edital]],tEditais[Edital],0)),"")</f>
        <v>PR</v>
      </c>
      <c r="I5254" s="11">
        <f>IFERROR(INDEX(tEditais[Encerramento],MATCH(tItens[[#This Row],[Edital]],tEditais[Edital],0)),"")</f>
        <v>46308.347222222219</v>
      </c>
      <c r="J5254" t="str">
        <f>IFERROR(INDEX(tProdutos[Classe],MATCH(tItens[[#This Row],[Produto]],tProdutos[Produto],0)),"produto não cadastrado")</f>
        <v>NÚCLEO</v>
      </c>
      <c r="K5254" s="12">
        <f>tItens[[#This Row],[Qtd]]*tItens[[#This Row],[Vlr unit]]</f>
        <v>61</v>
      </c>
      <c r="L5254" s="6">
        <f>IFERROR(IF(INDEX(tProdutos[Desconto homologado],MATCH(tItens[[#This Row],[Produto]],tProdutos[Produto],0))="",DescontoPadrao,INDEX(tProdutos[Desconto homologado],MATCH(tItens[[#This Row],[Produto]],tProdutos[Produto],0))),DescontoPadrao)</f>
        <v>0.38829259638568803</v>
      </c>
      <c r="M5254" s="12">
        <f>tItens[[#This Row],[Valor]]*(1-tItens[[#This Row],[Desconto]])</f>
        <v>37.314151620473034</v>
      </c>
      <c r="N5254" t="str">
        <f>IFERROR(INDEX(tProdutos[Foco],MATCH(tItens[[#This Row],[Produto]],tProdutos[Produto],0)),"Não")</f>
        <v>Não</v>
      </c>
      <c r="O5254" t="str">
        <f>IFERROR(INDEX(tEditais[SRP],MATCH(tItens[[#This Row],[Edital]],tEditais[Edital],0)),"Não")</f>
        <v>Sim</v>
      </c>
      <c r="P5254" s="4">
        <f>IF(COUNTIFS(INDEX(tItens[Edital],1):tItens[[#This Row],[Edital]],tItens[[#This Row],[Edital]],INDEX(tItens[Produto],1):tItens[[#This Row],[Produto]],tItens[[#This Row],[Produto]])=1,1,0)</f>
        <v>0</v>
      </c>
    </row>
    <row r="5255" spans="1:16" x14ac:dyDescent="0.25">
      <c r="A5255" t="s">
        <v>2010</v>
      </c>
      <c r="B5255">
        <v>50</v>
      </c>
      <c r="C5255" t="s">
        <v>8054</v>
      </c>
      <c r="D5255" t="s">
        <v>73</v>
      </c>
      <c r="E5255" s="13">
        <v>500</v>
      </c>
      <c r="F5255" s="12">
        <v>1.59</v>
      </c>
      <c r="G5255" t="str">
        <f>IFERROR(INDEX(tEditais[Órgão],MATCH(tItens[[#This Row],[Edital]],tEditais[Edital],0)),"")</f>
        <v>MUNICIPIO DE LOBATO</v>
      </c>
      <c r="H5255" t="str">
        <f>IFERROR(INDEX(tEditais[UF],MATCH(tItens[[#This Row],[Edital]],tEditais[Edital],0)),"")</f>
        <v>PR</v>
      </c>
      <c r="I5255" s="11">
        <f>IFERROR(INDEX(tEditais[Encerramento],MATCH(tItens[[#This Row],[Edital]],tEditais[Edital],0)),"")</f>
        <v>46308.347222222219</v>
      </c>
      <c r="J5255" t="str">
        <f>IFERROR(INDEX(tProdutos[Classe],MATCH(tItens[[#This Row],[Produto]],tProdutos[Produto],0)),"produto não cadastrado")</f>
        <v>NÚCLEO</v>
      </c>
      <c r="K5255" s="12">
        <f>tItens[[#This Row],[Qtd]]*tItens[[#This Row],[Vlr unit]]</f>
        <v>795</v>
      </c>
      <c r="L5255" s="6">
        <f>IFERROR(IF(INDEX(tProdutos[Desconto homologado],MATCH(tItens[[#This Row],[Produto]],tProdutos[Produto],0))="",DescontoPadrao,INDEX(tProdutos[Desconto homologado],MATCH(tItens[[#This Row],[Produto]],tProdutos[Produto],0))),DescontoPadrao)</f>
        <v>0.37</v>
      </c>
      <c r="M5255" s="12">
        <f>tItens[[#This Row],[Valor]]*(1-tItens[[#This Row],[Desconto]])</f>
        <v>500.85</v>
      </c>
      <c r="N5255" t="str">
        <f>IFERROR(INDEX(tProdutos[Foco],MATCH(tItens[[#This Row],[Produto]],tProdutos[Produto],0)),"Não")</f>
        <v>Sim</v>
      </c>
      <c r="O5255" t="str">
        <f>IFERROR(INDEX(tEditais[SRP],MATCH(tItens[[#This Row],[Edital]],tEditais[Edital],0)),"Não")</f>
        <v>Sim</v>
      </c>
      <c r="P5255" s="4">
        <f>IF(COUNTIFS(INDEX(tItens[Edital],1):tItens[[#This Row],[Edital]],tItens[[#This Row],[Edital]],INDEX(tItens[Produto],1):tItens[[#This Row],[Produto]],tItens[[#This Row],[Produto]])=1,1,0)</f>
        <v>1</v>
      </c>
    </row>
    <row r="5256" spans="1:16" x14ac:dyDescent="0.25">
      <c r="A5256" t="s">
        <v>2010</v>
      </c>
      <c r="B5256">
        <v>70</v>
      </c>
      <c r="C5256" t="s">
        <v>8055</v>
      </c>
      <c r="D5256" t="s">
        <v>279</v>
      </c>
      <c r="E5256" s="13">
        <v>300</v>
      </c>
      <c r="F5256" s="12">
        <v>3.83</v>
      </c>
      <c r="G5256" t="str">
        <f>IFERROR(INDEX(tEditais[Órgão],MATCH(tItens[[#This Row],[Edital]],tEditais[Edital],0)),"")</f>
        <v>MUNICIPIO DE LOBATO</v>
      </c>
      <c r="H5256" t="str">
        <f>IFERROR(INDEX(tEditais[UF],MATCH(tItens[[#This Row],[Edital]],tEditais[Edital],0)),"")</f>
        <v>PR</v>
      </c>
      <c r="I5256" s="11">
        <f>IFERROR(INDEX(tEditais[Encerramento],MATCH(tItens[[#This Row],[Edital]],tEditais[Edital],0)),"")</f>
        <v>46308.347222222219</v>
      </c>
      <c r="J5256" t="str">
        <f>IFERROR(INDEX(tProdutos[Classe],MATCH(tItens[[#This Row],[Produto]],tProdutos[Produto],0)),"produto não cadastrado")</f>
        <v>FORA</v>
      </c>
      <c r="K5256" s="12">
        <f>tItens[[#This Row],[Qtd]]*tItens[[#This Row],[Vlr unit]]</f>
        <v>1149</v>
      </c>
      <c r="L5256" s="6">
        <f>IFERROR(IF(INDEX(tProdutos[Desconto homologado],MATCH(tItens[[#This Row],[Produto]],tProdutos[Produto],0))="",DescontoPadrao,INDEX(tProdutos[Desconto homologado],MATCH(tItens[[#This Row],[Produto]],tProdutos[Produto],0))),DescontoPadrao)</f>
        <v>0.28909090909090901</v>
      </c>
      <c r="M5256" s="12">
        <f>tItens[[#This Row],[Valor]]*(1-tItens[[#This Row],[Desconto]])</f>
        <v>816.83454545454549</v>
      </c>
      <c r="N5256" t="str">
        <f>IFERROR(INDEX(tProdutos[Foco],MATCH(tItens[[#This Row],[Produto]],tProdutos[Produto],0)),"Não")</f>
        <v>Não</v>
      </c>
      <c r="O5256" t="str">
        <f>IFERROR(INDEX(tEditais[SRP],MATCH(tItens[[#This Row],[Edital]],tEditais[Edital],0)),"Não")</f>
        <v>Sim</v>
      </c>
      <c r="P5256" s="4">
        <f>IF(COUNTIFS(INDEX(tItens[Edital],1):tItens[[#This Row],[Edital]],tItens[[#This Row],[Edital]],INDEX(tItens[Produto],1):tItens[[#This Row],[Produto]],tItens[[#This Row],[Produto]])=1,1,0)</f>
        <v>1</v>
      </c>
    </row>
    <row r="5257" spans="1:16" x14ac:dyDescent="0.25">
      <c r="A5257" t="s">
        <v>2010</v>
      </c>
      <c r="B5257">
        <v>71</v>
      </c>
      <c r="C5257" t="s">
        <v>8056</v>
      </c>
      <c r="D5257" t="s">
        <v>80</v>
      </c>
      <c r="E5257" s="13">
        <v>100</v>
      </c>
      <c r="F5257" s="12">
        <v>0.44</v>
      </c>
      <c r="G5257" t="str">
        <f>IFERROR(INDEX(tEditais[Órgão],MATCH(tItens[[#This Row],[Edital]],tEditais[Edital],0)),"")</f>
        <v>MUNICIPIO DE LOBATO</v>
      </c>
      <c r="H5257" t="str">
        <f>IFERROR(INDEX(tEditais[UF],MATCH(tItens[[#This Row],[Edital]],tEditais[Edital],0)),"")</f>
        <v>PR</v>
      </c>
      <c r="I5257" s="11">
        <f>IFERROR(INDEX(tEditais[Encerramento],MATCH(tItens[[#This Row],[Edital]],tEditais[Edital],0)),"")</f>
        <v>46308.347222222219</v>
      </c>
      <c r="J5257" t="str">
        <f>IFERROR(INDEX(tProdutos[Classe],MATCH(tItens[[#This Row],[Produto]],tProdutos[Produto],0)),"produto não cadastrado")</f>
        <v>NÚCLEO</v>
      </c>
      <c r="K5257" s="12">
        <f>tItens[[#This Row],[Qtd]]*tItens[[#This Row],[Vlr unit]]</f>
        <v>44</v>
      </c>
      <c r="L5257" s="6">
        <f>IFERROR(IF(INDEX(tProdutos[Desconto homologado],MATCH(tItens[[#This Row],[Produto]],tProdutos[Produto],0))="",DescontoPadrao,INDEX(tProdutos[Desconto homologado],MATCH(tItens[[#This Row],[Produto]],tProdutos[Produto],0))),DescontoPadrao)</f>
        <v>0.33</v>
      </c>
      <c r="M5257" s="12">
        <f>tItens[[#This Row],[Valor]]*(1-tItens[[#This Row],[Desconto]])</f>
        <v>29.479999999999997</v>
      </c>
      <c r="N5257" t="str">
        <f>IFERROR(INDEX(tProdutos[Foco],MATCH(tItens[[#This Row],[Produto]],tProdutos[Produto],0)),"Não")</f>
        <v>Sim</v>
      </c>
      <c r="O5257" t="str">
        <f>IFERROR(INDEX(tEditais[SRP],MATCH(tItens[[#This Row],[Edital]],tEditais[Edital],0)),"Não")</f>
        <v>Sim</v>
      </c>
      <c r="P5257" s="4">
        <f>IF(COUNTIFS(INDEX(tItens[Edital],1):tItens[[#This Row],[Edital]],tItens[[#This Row],[Edital]],INDEX(tItens[Produto],1):tItens[[#This Row],[Produto]],tItens[[#This Row],[Produto]])=1,1,0)</f>
        <v>1</v>
      </c>
    </row>
    <row r="5258" spans="1:16" x14ac:dyDescent="0.25">
      <c r="A5258" t="s">
        <v>2010</v>
      </c>
      <c r="B5258">
        <v>72</v>
      </c>
      <c r="C5258" t="s">
        <v>8057</v>
      </c>
      <c r="D5258" t="s">
        <v>311</v>
      </c>
      <c r="E5258" s="13">
        <v>800</v>
      </c>
      <c r="F5258" s="12">
        <v>6.08</v>
      </c>
      <c r="G5258" t="str">
        <f>IFERROR(INDEX(tEditais[Órgão],MATCH(tItens[[#This Row],[Edital]],tEditais[Edital],0)),"")</f>
        <v>MUNICIPIO DE LOBATO</v>
      </c>
      <c r="H5258" t="str">
        <f>IFERROR(INDEX(tEditais[UF],MATCH(tItens[[#This Row],[Edital]],tEditais[Edital],0)),"")</f>
        <v>PR</v>
      </c>
      <c r="I5258" s="11">
        <f>IFERROR(INDEX(tEditais[Encerramento],MATCH(tItens[[#This Row],[Edital]],tEditais[Edital],0)),"")</f>
        <v>46308.347222222219</v>
      </c>
      <c r="J5258" t="str">
        <f>IFERROR(INDEX(tProdutos[Classe],MATCH(tItens[[#This Row],[Produto]],tProdutos[Produto],0)),"produto não cadastrado")</f>
        <v>FORA</v>
      </c>
      <c r="K5258" s="12">
        <f>tItens[[#This Row],[Qtd]]*tItens[[#This Row],[Vlr unit]]</f>
        <v>4864</v>
      </c>
      <c r="L5258" s="6">
        <f>IFERROR(IF(INDEX(tProdutos[Desconto homologado],MATCH(tItens[[#This Row],[Produto]],tProdutos[Produto],0))="",DescontoPadrao,INDEX(tProdutos[Desconto homologado],MATCH(tItens[[#This Row],[Produto]],tProdutos[Produto],0))),DescontoPadrao)</f>
        <v>0.29046182846371399</v>
      </c>
      <c r="M5258" s="12">
        <f>tItens[[#This Row],[Valor]]*(1-tItens[[#This Row],[Desconto]])</f>
        <v>3451.1936663524953</v>
      </c>
      <c r="N5258" t="str">
        <f>IFERROR(INDEX(tProdutos[Foco],MATCH(tItens[[#This Row],[Produto]],tProdutos[Produto],0)),"Não")</f>
        <v>Não</v>
      </c>
      <c r="O5258" t="str">
        <f>IFERROR(INDEX(tEditais[SRP],MATCH(tItens[[#This Row],[Edital]],tEditais[Edital],0)),"Não")</f>
        <v>Sim</v>
      </c>
      <c r="P5258" s="4">
        <f>IF(COUNTIFS(INDEX(tItens[Edital],1):tItens[[#This Row],[Edital]],tItens[[#This Row],[Edital]],INDEX(tItens[Produto],1):tItens[[#This Row],[Produto]],tItens[[#This Row],[Produto]])=1,1,0)</f>
        <v>1</v>
      </c>
    </row>
    <row r="5259" spans="1:16" x14ac:dyDescent="0.25">
      <c r="A5259" t="s">
        <v>2010</v>
      </c>
      <c r="B5259">
        <v>73</v>
      </c>
      <c r="C5259" t="s">
        <v>8058</v>
      </c>
      <c r="D5259" t="s">
        <v>311</v>
      </c>
      <c r="E5259" s="13">
        <v>800</v>
      </c>
      <c r="F5259" s="12">
        <v>2.4700000000000002</v>
      </c>
      <c r="G5259" t="str">
        <f>IFERROR(INDEX(tEditais[Órgão],MATCH(tItens[[#This Row],[Edital]],tEditais[Edital],0)),"")</f>
        <v>MUNICIPIO DE LOBATO</v>
      </c>
      <c r="H5259" t="str">
        <f>IFERROR(INDEX(tEditais[UF],MATCH(tItens[[#This Row],[Edital]],tEditais[Edital],0)),"")</f>
        <v>PR</v>
      </c>
      <c r="I5259" s="11">
        <f>IFERROR(INDEX(tEditais[Encerramento],MATCH(tItens[[#This Row],[Edital]],tEditais[Edital],0)),"")</f>
        <v>46308.347222222219</v>
      </c>
      <c r="J5259" t="str">
        <f>IFERROR(INDEX(tProdutos[Classe],MATCH(tItens[[#This Row],[Produto]],tProdutos[Produto],0)),"produto não cadastrado")</f>
        <v>FORA</v>
      </c>
      <c r="K5259" s="12">
        <f>tItens[[#This Row],[Qtd]]*tItens[[#This Row],[Vlr unit]]</f>
        <v>1976.0000000000002</v>
      </c>
      <c r="L5259" s="6">
        <f>IFERROR(IF(INDEX(tProdutos[Desconto homologado],MATCH(tItens[[#This Row],[Produto]],tProdutos[Produto],0))="",DescontoPadrao,INDEX(tProdutos[Desconto homologado],MATCH(tItens[[#This Row],[Produto]],tProdutos[Produto],0))),DescontoPadrao)</f>
        <v>0.29046182846371399</v>
      </c>
      <c r="M5259" s="12">
        <f>tItens[[#This Row],[Valor]]*(1-tItens[[#This Row],[Desconto]])</f>
        <v>1402.0474269557014</v>
      </c>
      <c r="N5259" t="str">
        <f>IFERROR(INDEX(tProdutos[Foco],MATCH(tItens[[#This Row],[Produto]],tProdutos[Produto],0)),"Não")</f>
        <v>Não</v>
      </c>
      <c r="O5259" t="str">
        <f>IFERROR(INDEX(tEditais[SRP],MATCH(tItens[[#This Row],[Edital]],tEditais[Edital],0)),"Não")</f>
        <v>Sim</v>
      </c>
      <c r="P5259" s="4">
        <f>IF(COUNTIFS(INDEX(tItens[Edital],1):tItens[[#This Row],[Edital]],tItens[[#This Row],[Edital]],INDEX(tItens[Produto],1):tItens[[#This Row],[Produto]],tItens[[#This Row],[Produto]])=1,1,0)</f>
        <v>0</v>
      </c>
    </row>
    <row r="5260" spans="1:16" x14ac:dyDescent="0.25">
      <c r="A5260" t="s">
        <v>2010</v>
      </c>
      <c r="B5260">
        <v>74</v>
      </c>
      <c r="C5260" t="s">
        <v>8059</v>
      </c>
      <c r="D5260" t="s">
        <v>311</v>
      </c>
      <c r="E5260" s="13">
        <v>800</v>
      </c>
      <c r="F5260" s="12">
        <v>4.4000000000000004</v>
      </c>
      <c r="G5260" t="str">
        <f>IFERROR(INDEX(tEditais[Órgão],MATCH(tItens[[#This Row],[Edital]],tEditais[Edital],0)),"")</f>
        <v>MUNICIPIO DE LOBATO</v>
      </c>
      <c r="H5260" t="str">
        <f>IFERROR(INDEX(tEditais[UF],MATCH(tItens[[#This Row],[Edital]],tEditais[Edital],0)),"")</f>
        <v>PR</v>
      </c>
      <c r="I5260" s="11">
        <f>IFERROR(INDEX(tEditais[Encerramento],MATCH(tItens[[#This Row],[Edital]],tEditais[Edital],0)),"")</f>
        <v>46308.347222222219</v>
      </c>
      <c r="J5260" t="str">
        <f>IFERROR(INDEX(tProdutos[Classe],MATCH(tItens[[#This Row],[Produto]],tProdutos[Produto],0)),"produto não cadastrado")</f>
        <v>FORA</v>
      </c>
      <c r="K5260" s="12">
        <f>tItens[[#This Row],[Qtd]]*tItens[[#This Row],[Vlr unit]]</f>
        <v>3520.0000000000005</v>
      </c>
      <c r="L5260" s="6">
        <f>IFERROR(IF(INDEX(tProdutos[Desconto homologado],MATCH(tItens[[#This Row],[Produto]],tProdutos[Produto],0))="",DescontoPadrao,INDEX(tProdutos[Desconto homologado],MATCH(tItens[[#This Row],[Produto]],tProdutos[Produto],0))),DescontoPadrao)</f>
        <v>0.29046182846371399</v>
      </c>
      <c r="M5260" s="12">
        <f>tItens[[#This Row],[Valor]]*(1-tItens[[#This Row],[Desconto]])</f>
        <v>2497.5743638077274</v>
      </c>
      <c r="N5260" t="str">
        <f>IFERROR(INDEX(tProdutos[Foco],MATCH(tItens[[#This Row],[Produto]],tProdutos[Produto],0)),"Não")</f>
        <v>Não</v>
      </c>
      <c r="O5260" t="str">
        <f>IFERROR(INDEX(tEditais[SRP],MATCH(tItens[[#This Row],[Edital]],tEditais[Edital],0)),"Não")</f>
        <v>Sim</v>
      </c>
      <c r="P5260" s="4">
        <f>IF(COUNTIFS(INDEX(tItens[Edital],1):tItens[[#This Row],[Edital]],tItens[[#This Row],[Edital]],INDEX(tItens[Produto],1):tItens[[#This Row],[Produto]],tItens[[#This Row],[Produto]])=1,1,0)</f>
        <v>0</v>
      </c>
    </row>
    <row r="5261" spans="1:16" x14ac:dyDescent="0.25">
      <c r="A5261" t="s">
        <v>2010</v>
      </c>
      <c r="B5261">
        <v>76</v>
      </c>
      <c r="C5261" t="s">
        <v>8060</v>
      </c>
      <c r="D5261" t="s">
        <v>611</v>
      </c>
      <c r="E5261" s="13">
        <v>30</v>
      </c>
      <c r="F5261" s="12">
        <v>21.94</v>
      </c>
      <c r="G5261" t="str">
        <f>IFERROR(INDEX(tEditais[Órgão],MATCH(tItens[[#This Row],[Edital]],tEditais[Edital],0)),"")</f>
        <v>MUNICIPIO DE LOBATO</v>
      </c>
      <c r="H5261" t="str">
        <f>IFERROR(INDEX(tEditais[UF],MATCH(tItens[[#This Row],[Edital]],tEditais[Edital],0)),"")</f>
        <v>PR</v>
      </c>
      <c r="I5261" s="11">
        <f>IFERROR(INDEX(tEditais[Encerramento],MATCH(tItens[[#This Row],[Edital]],tEditais[Edital],0)),"")</f>
        <v>46308.347222222219</v>
      </c>
      <c r="J5261" t="str">
        <f>IFERROR(INDEX(tProdutos[Classe],MATCH(tItens[[#This Row],[Produto]],tProdutos[Produto],0)),"produto não cadastrado")</f>
        <v>FILA REBASE</v>
      </c>
      <c r="K5261" s="12">
        <f>tItens[[#This Row],[Qtd]]*tItens[[#This Row],[Vlr unit]]</f>
        <v>658.2</v>
      </c>
      <c r="L5261" s="6">
        <f>IFERROR(IF(INDEX(tProdutos[Desconto homologado],MATCH(tItens[[#This Row],[Produto]],tProdutos[Produto],0))="",DescontoPadrao,INDEX(tProdutos[Desconto homologado],MATCH(tItens[[#This Row],[Produto]],tProdutos[Produto],0))),DescontoPadrao)</f>
        <v>0.3</v>
      </c>
      <c r="M5261" s="12">
        <f>tItens[[#This Row],[Valor]]*(1-tItens[[#This Row],[Desconto]])</f>
        <v>460.74</v>
      </c>
      <c r="N5261" t="str">
        <f>IFERROR(INDEX(tProdutos[Foco],MATCH(tItens[[#This Row],[Produto]],tProdutos[Produto],0)),"Não")</f>
        <v>Não</v>
      </c>
      <c r="O5261" t="str">
        <f>IFERROR(INDEX(tEditais[SRP],MATCH(tItens[[#This Row],[Edital]],tEditais[Edital],0)),"Não")</f>
        <v>Sim</v>
      </c>
      <c r="P5261" s="4">
        <f>IF(COUNTIFS(INDEX(tItens[Edital],1):tItens[[#This Row],[Edital]],tItens[[#This Row],[Edital]],INDEX(tItens[Produto],1):tItens[[#This Row],[Produto]],tItens[[#This Row],[Produto]])=1,1,0)</f>
        <v>1</v>
      </c>
    </row>
    <row r="5262" spans="1:16" x14ac:dyDescent="0.25">
      <c r="A5262" t="s">
        <v>2010</v>
      </c>
      <c r="B5262">
        <v>80</v>
      </c>
      <c r="C5262" t="s">
        <v>8061</v>
      </c>
      <c r="D5262" t="s">
        <v>269</v>
      </c>
      <c r="E5262" s="13">
        <v>200</v>
      </c>
      <c r="F5262" s="12">
        <v>58.62</v>
      </c>
      <c r="G5262" t="str">
        <f>IFERROR(INDEX(tEditais[Órgão],MATCH(tItens[[#This Row],[Edital]],tEditais[Edital],0)),"")</f>
        <v>MUNICIPIO DE LOBATO</v>
      </c>
      <c r="H5262" t="str">
        <f>IFERROR(INDEX(tEditais[UF],MATCH(tItens[[#This Row],[Edital]],tEditais[Edital],0)),"")</f>
        <v>PR</v>
      </c>
      <c r="I5262" s="11">
        <f>IFERROR(INDEX(tEditais[Encerramento],MATCH(tItens[[#This Row],[Edital]],tEditais[Edital],0)),"")</f>
        <v>46308.347222222219</v>
      </c>
      <c r="J5262" t="str">
        <f>IFERROR(INDEX(tProdutos[Classe],MATCH(tItens[[#This Row],[Produto]],tProdutos[Produto],0)),"produto não cadastrado")</f>
        <v>FORA</v>
      </c>
      <c r="K5262" s="12">
        <f>tItens[[#This Row],[Qtd]]*tItens[[#This Row],[Vlr unit]]</f>
        <v>11724</v>
      </c>
      <c r="L5262" s="6">
        <f>IFERROR(IF(INDEX(tProdutos[Desconto homologado],MATCH(tItens[[#This Row],[Produto]],tProdutos[Produto],0))="",DescontoPadrao,INDEX(tProdutos[Desconto homologado],MATCH(tItens[[#This Row],[Produto]],tProdutos[Produto],0))),DescontoPadrao)</f>
        <v>0.28935117103332197</v>
      </c>
      <c r="M5262" s="12">
        <f>tItens[[#This Row],[Valor]]*(1-tItens[[#This Row],[Desconto]])</f>
        <v>8331.6468708053326</v>
      </c>
      <c r="N5262" t="str">
        <f>IFERROR(INDEX(tProdutos[Foco],MATCH(tItens[[#This Row],[Produto]],tProdutos[Produto],0)),"Não")</f>
        <v>Não</v>
      </c>
      <c r="O5262" t="str">
        <f>IFERROR(INDEX(tEditais[SRP],MATCH(tItens[[#This Row],[Edital]],tEditais[Edital],0)),"Não")</f>
        <v>Sim</v>
      </c>
      <c r="P5262" s="4">
        <f>IF(COUNTIFS(INDEX(tItens[Edital],1):tItens[[#This Row],[Edital]],tItens[[#This Row],[Edital]],INDEX(tItens[Produto],1):tItens[[#This Row],[Produto]],tItens[[#This Row],[Produto]])=1,1,0)</f>
        <v>1</v>
      </c>
    </row>
    <row r="5263" spans="1:16" x14ac:dyDescent="0.25">
      <c r="A5263" t="s">
        <v>2010</v>
      </c>
      <c r="B5263">
        <v>82</v>
      </c>
      <c r="C5263" t="s">
        <v>8062</v>
      </c>
      <c r="D5263" t="s">
        <v>140</v>
      </c>
      <c r="E5263" s="13">
        <v>40</v>
      </c>
      <c r="F5263" s="12">
        <v>15.34</v>
      </c>
      <c r="G5263" t="str">
        <f>IFERROR(INDEX(tEditais[Órgão],MATCH(tItens[[#This Row],[Edital]],tEditais[Edital],0)),"")</f>
        <v>MUNICIPIO DE LOBATO</v>
      </c>
      <c r="H5263" t="str">
        <f>IFERROR(INDEX(tEditais[UF],MATCH(tItens[[#This Row],[Edital]],tEditais[Edital],0)),"")</f>
        <v>PR</v>
      </c>
      <c r="I5263" s="11">
        <f>IFERROR(INDEX(tEditais[Encerramento],MATCH(tItens[[#This Row],[Edital]],tEditais[Edital],0)),"")</f>
        <v>46308.347222222219</v>
      </c>
      <c r="J5263" t="str">
        <f>IFERROR(INDEX(tProdutos[Classe],MATCH(tItens[[#This Row],[Produto]],tProdutos[Produto],0)),"produto não cadastrado")</f>
        <v>DISPUTADO</v>
      </c>
      <c r="K5263" s="12">
        <f>tItens[[#This Row],[Qtd]]*tItens[[#This Row],[Vlr unit]]</f>
        <v>613.6</v>
      </c>
      <c r="L5263" s="6">
        <f>IFERROR(IF(INDEX(tProdutos[Desconto homologado],MATCH(tItens[[#This Row],[Produto]],tProdutos[Produto],0))="",DescontoPadrao,INDEX(tProdutos[Desconto homologado],MATCH(tItens[[#This Row],[Produto]],tProdutos[Produto],0))),DescontoPadrao)</f>
        <v>0.48560177208958899</v>
      </c>
      <c r="M5263" s="12">
        <f>tItens[[#This Row],[Valor]]*(1-tItens[[#This Row],[Desconto]])</f>
        <v>315.6347526458282</v>
      </c>
      <c r="N5263" t="str">
        <f>IFERROR(INDEX(tProdutos[Foco],MATCH(tItens[[#This Row],[Produto]],tProdutos[Produto],0)),"Não")</f>
        <v>Não</v>
      </c>
      <c r="O5263" t="str">
        <f>IFERROR(INDEX(tEditais[SRP],MATCH(tItens[[#This Row],[Edital]],tEditais[Edital],0)),"Não")</f>
        <v>Sim</v>
      </c>
      <c r="P5263" s="4">
        <f>IF(COUNTIFS(INDEX(tItens[Edital],1):tItens[[#This Row],[Edital]],tItens[[#This Row],[Edital]],INDEX(tItens[Produto],1):tItens[[#This Row],[Produto]],tItens[[#This Row],[Produto]])=1,1,0)</f>
        <v>1</v>
      </c>
    </row>
    <row r="5264" spans="1:16" x14ac:dyDescent="0.25">
      <c r="A5264" t="s">
        <v>2010</v>
      </c>
      <c r="B5264">
        <v>84</v>
      </c>
      <c r="C5264" t="s">
        <v>8063</v>
      </c>
      <c r="D5264" t="s">
        <v>144</v>
      </c>
      <c r="E5264" s="13">
        <v>500</v>
      </c>
      <c r="F5264" s="12">
        <v>13.13</v>
      </c>
      <c r="G5264" t="str">
        <f>IFERROR(INDEX(tEditais[Órgão],MATCH(tItens[[#This Row],[Edital]],tEditais[Edital],0)),"")</f>
        <v>MUNICIPIO DE LOBATO</v>
      </c>
      <c r="H5264" t="str">
        <f>IFERROR(INDEX(tEditais[UF],MATCH(tItens[[#This Row],[Edital]],tEditais[Edital],0)),"")</f>
        <v>PR</v>
      </c>
      <c r="I5264" s="11">
        <f>IFERROR(INDEX(tEditais[Encerramento],MATCH(tItens[[#This Row],[Edital]],tEditais[Edital],0)),"")</f>
        <v>46308.347222222219</v>
      </c>
      <c r="J5264" t="str">
        <f>IFERROR(INDEX(tProdutos[Classe],MATCH(tItens[[#This Row],[Produto]],tProdutos[Produto],0)),"produto não cadastrado")</f>
        <v>DISPUTADO</v>
      </c>
      <c r="K5264" s="12">
        <f>tItens[[#This Row],[Qtd]]*tItens[[#This Row],[Vlr unit]]</f>
        <v>6565</v>
      </c>
      <c r="L5264" s="6">
        <f>IFERROR(IF(INDEX(tProdutos[Desconto homologado],MATCH(tItens[[#This Row],[Produto]],tProdutos[Produto],0))="",DescontoPadrao,INDEX(tProdutos[Desconto homologado],MATCH(tItens[[#This Row],[Produto]],tProdutos[Produto],0))),DescontoPadrao)</f>
        <v>0.371428571428571</v>
      </c>
      <c r="M5264" s="12">
        <f>tItens[[#This Row],[Valor]]*(1-tItens[[#This Row],[Desconto]])</f>
        <v>4126.5714285714312</v>
      </c>
      <c r="N5264" t="str">
        <f>IFERROR(INDEX(tProdutos[Foco],MATCH(tItens[[#This Row],[Produto]],tProdutos[Produto],0)),"Não")</f>
        <v>Não</v>
      </c>
      <c r="O5264" t="str">
        <f>IFERROR(INDEX(tEditais[SRP],MATCH(tItens[[#This Row],[Edital]],tEditais[Edital],0)),"Não")</f>
        <v>Sim</v>
      </c>
      <c r="P5264" s="4">
        <f>IF(COUNTIFS(INDEX(tItens[Edital],1):tItens[[#This Row],[Edital]],tItens[[#This Row],[Edital]],INDEX(tItens[Produto],1):tItens[[#This Row],[Produto]],tItens[[#This Row],[Produto]])=1,1,0)</f>
        <v>1</v>
      </c>
    </row>
    <row r="5265" spans="1:16" x14ac:dyDescent="0.25">
      <c r="A5265" t="s">
        <v>2010</v>
      </c>
      <c r="B5265">
        <v>85</v>
      </c>
      <c r="C5265" t="s">
        <v>8064</v>
      </c>
      <c r="D5265" t="s">
        <v>140</v>
      </c>
      <c r="E5265" s="13">
        <v>200</v>
      </c>
      <c r="F5265" s="12">
        <v>25.16</v>
      </c>
      <c r="G5265" t="str">
        <f>IFERROR(INDEX(tEditais[Órgão],MATCH(tItens[[#This Row],[Edital]],tEditais[Edital],0)),"")</f>
        <v>MUNICIPIO DE LOBATO</v>
      </c>
      <c r="H5265" t="str">
        <f>IFERROR(INDEX(tEditais[UF],MATCH(tItens[[#This Row],[Edital]],tEditais[Edital],0)),"")</f>
        <v>PR</v>
      </c>
      <c r="I5265" s="11">
        <f>IFERROR(INDEX(tEditais[Encerramento],MATCH(tItens[[#This Row],[Edital]],tEditais[Edital],0)),"")</f>
        <v>46308.347222222219</v>
      </c>
      <c r="J5265" t="str">
        <f>IFERROR(INDEX(tProdutos[Classe],MATCH(tItens[[#This Row],[Produto]],tProdutos[Produto],0)),"produto não cadastrado")</f>
        <v>DISPUTADO</v>
      </c>
      <c r="K5265" s="12">
        <f>tItens[[#This Row],[Qtd]]*tItens[[#This Row],[Vlr unit]]</f>
        <v>5032</v>
      </c>
      <c r="L5265" s="6">
        <f>IFERROR(IF(INDEX(tProdutos[Desconto homologado],MATCH(tItens[[#This Row],[Produto]],tProdutos[Produto],0))="",DescontoPadrao,INDEX(tProdutos[Desconto homologado],MATCH(tItens[[#This Row],[Produto]],tProdutos[Produto],0))),DescontoPadrao)</f>
        <v>0.48560177208958899</v>
      </c>
      <c r="M5265" s="12">
        <f>tItens[[#This Row],[Valor]]*(1-tItens[[#This Row],[Desconto]])</f>
        <v>2588.4518828451883</v>
      </c>
      <c r="N5265" t="str">
        <f>IFERROR(INDEX(tProdutos[Foco],MATCH(tItens[[#This Row],[Produto]],tProdutos[Produto],0)),"Não")</f>
        <v>Não</v>
      </c>
      <c r="O5265" t="str">
        <f>IFERROR(INDEX(tEditais[SRP],MATCH(tItens[[#This Row],[Edital]],tEditais[Edital],0)),"Não")</f>
        <v>Sim</v>
      </c>
      <c r="P5265" s="4">
        <f>IF(COUNTIFS(INDEX(tItens[Edital],1):tItens[[#This Row],[Edital]],tItens[[#This Row],[Edital]],INDEX(tItens[Produto],1):tItens[[#This Row],[Produto]],tItens[[#This Row],[Produto]])=1,1,0)</f>
        <v>0</v>
      </c>
    </row>
    <row r="5266" spans="1:16" x14ac:dyDescent="0.25">
      <c r="A5266" t="s">
        <v>2010</v>
      </c>
      <c r="B5266">
        <v>93</v>
      </c>
      <c r="C5266" t="s">
        <v>8065</v>
      </c>
      <c r="D5266" t="s">
        <v>299</v>
      </c>
      <c r="E5266" s="13">
        <v>100</v>
      </c>
      <c r="F5266" s="12">
        <v>12.02</v>
      </c>
      <c r="G5266" t="str">
        <f>IFERROR(INDEX(tEditais[Órgão],MATCH(tItens[[#This Row],[Edital]],tEditais[Edital],0)),"")</f>
        <v>MUNICIPIO DE LOBATO</v>
      </c>
      <c r="H5266" t="str">
        <f>IFERROR(INDEX(tEditais[UF],MATCH(tItens[[#This Row],[Edital]],tEditais[Edital],0)),"")</f>
        <v>PR</v>
      </c>
      <c r="I5266" s="11">
        <f>IFERROR(INDEX(tEditais[Encerramento],MATCH(tItens[[#This Row],[Edital]],tEditais[Edital],0)),"")</f>
        <v>46308.347222222219</v>
      </c>
      <c r="J5266" t="str">
        <f>IFERROR(INDEX(tProdutos[Classe],MATCH(tItens[[#This Row],[Produto]],tProdutos[Produto],0)),"produto não cadastrado")</f>
        <v>FORA</v>
      </c>
      <c r="K5266" s="12">
        <f>tItens[[#This Row],[Qtd]]*tItens[[#This Row],[Vlr unit]]</f>
        <v>1202</v>
      </c>
      <c r="L5266" s="6">
        <f>IFERROR(IF(INDEX(tProdutos[Desconto homologado],MATCH(tItens[[#This Row],[Produto]],tProdutos[Produto],0))="",DescontoPadrao,INDEX(tProdutos[Desconto homologado],MATCH(tItens[[#This Row],[Produto]],tProdutos[Produto],0))),DescontoPadrao)</f>
        <v>0.42211465163381601</v>
      </c>
      <c r="M5266" s="12">
        <f>tItens[[#This Row],[Valor]]*(1-tItens[[#This Row],[Desconto]])</f>
        <v>694.61818873615312</v>
      </c>
      <c r="N5266" t="str">
        <f>IFERROR(INDEX(tProdutos[Foco],MATCH(tItens[[#This Row],[Produto]],tProdutos[Produto],0)),"Não")</f>
        <v>Não</v>
      </c>
      <c r="O5266" t="str">
        <f>IFERROR(INDEX(tEditais[SRP],MATCH(tItens[[#This Row],[Edital]],tEditais[Edital],0)),"Não")</f>
        <v>Sim</v>
      </c>
      <c r="P5266" s="4">
        <f>IF(COUNTIFS(INDEX(tItens[Edital],1):tItens[[#This Row],[Edital]],tItens[[#This Row],[Edital]],INDEX(tItens[Produto],1):tItens[[#This Row],[Produto]],tItens[[#This Row],[Produto]])=1,1,0)</f>
        <v>1</v>
      </c>
    </row>
    <row r="5267" spans="1:16" x14ac:dyDescent="0.25">
      <c r="A5267" t="s">
        <v>2010</v>
      </c>
      <c r="B5267">
        <v>101</v>
      </c>
      <c r="C5267" t="s">
        <v>8066</v>
      </c>
      <c r="D5267" t="s">
        <v>333</v>
      </c>
      <c r="E5267" s="13">
        <v>10000</v>
      </c>
      <c r="F5267" s="12">
        <v>1.01</v>
      </c>
      <c r="G5267" t="str">
        <f>IFERROR(INDEX(tEditais[Órgão],MATCH(tItens[[#This Row],[Edital]],tEditais[Edital],0)),"")</f>
        <v>MUNICIPIO DE LOBATO</v>
      </c>
      <c r="H5267" t="str">
        <f>IFERROR(INDEX(tEditais[UF],MATCH(tItens[[#This Row],[Edital]],tEditais[Edital],0)),"")</f>
        <v>PR</v>
      </c>
      <c r="I5267" s="11">
        <f>IFERROR(INDEX(tEditais[Encerramento],MATCH(tItens[[#This Row],[Edital]],tEditais[Edital],0)),"")</f>
        <v>46308.347222222219</v>
      </c>
      <c r="J5267" t="str">
        <f>IFERROR(INDEX(tProdutos[Classe],MATCH(tItens[[#This Row],[Produto]],tProdutos[Produto],0)),"produto não cadastrado")</f>
        <v>FORA</v>
      </c>
      <c r="K5267" s="12">
        <f>tItens[[#This Row],[Qtd]]*tItens[[#This Row],[Vlr unit]]</f>
        <v>10100</v>
      </c>
      <c r="L5267" s="6">
        <f>IFERROR(IF(INDEX(tProdutos[Desconto homologado],MATCH(tItens[[#This Row],[Produto]],tProdutos[Produto],0))="",DescontoPadrao,INDEX(tProdutos[Desconto homologado],MATCH(tItens[[#This Row],[Produto]],tProdutos[Produto],0))),DescontoPadrao)</f>
        <v>0.48951048951048998</v>
      </c>
      <c r="M5267" s="12">
        <f>tItens[[#This Row],[Valor]]*(1-tItens[[#This Row],[Desconto]])</f>
        <v>5155.9440559440509</v>
      </c>
      <c r="N5267" t="str">
        <f>IFERROR(INDEX(tProdutos[Foco],MATCH(tItens[[#This Row],[Produto]],tProdutos[Produto],0)),"Não")</f>
        <v>Não</v>
      </c>
      <c r="O5267" t="str">
        <f>IFERROR(INDEX(tEditais[SRP],MATCH(tItens[[#This Row],[Edital]],tEditais[Edital],0)),"Não")</f>
        <v>Sim</v>
      </c>
      <c r="P5267" s="4">
        <f>IF(COUNTIFS(INDEX(tItens[Edital],1):tItens[[#This Row],[Edital]],tItens[[#This Row],[Edital]],INDEX(tItens[Produto],1):tItens[[#This Row],[Produto]],tItens[[#This Row],[Produto]])=1,1,0)</f>
        <v>1</v>
      </c>
    </row>
    <row r="5268" spans="1:16" x14ac:dyDescent="0.25">
      <c r="A5268" t="s">
        <v>2010</v>
      </c>
      <c r="B5268">
        <v>102</v>
      </c>
      <c r="C5268" t="s">
        <v>8067</v>
      </c>
      <c r="D5268" t="s">
        <v>187</v>
      </c>
      <c r="E5268" s="13">
        <v>2000</v>
      </c>
      <c r="F5268" s="12">
        <v>0.97</v>
      </c>
      <c r="G5268" t="str">
        <f>IFERROR(INDEX(tEditais[Órgão],MATCH(tItens[[#This Row],[Edital]],tEditais[Edital],0)),"")</f>
        <v>MUNICIPIO DE LOBATO</v>
      </c>
      <c r="H5268" t="str">
        <f>IFERROR(INDEX(tEditais[UF],MATCH(tItens[[#This Row],[Edital]],tEditais[Edital],0)),"")</f>
        <v>PR</v>
      </c>
      <c r="I5268" s="11">
        <f>IFERROR(INDEX(tEditais[Encerramento],MATCH(tItens[[#This Row],[Edital]],tEditais[Edital],0)),"")</f>
        <v>46308.347222222219</v>
      </c>
      <c r="J5268" t="str">
        <f>IFERROR(INDEX(tProdutos[Classe],MATCH(tItens[[#This Row],[Produto]],tProdutos[Produto],0)),"produto não cadastrado")</f>
        <v>DISPUTADO</v>
      </c>
      <c r="K5268" s="12">
        <f>tItens[[#This Row],[Qtd]]*tItens[[#This Row],[Vlr unit]]</f>
        <v>1940</v>
      </c>
      <c r="L5268" s="6">
        <f>IFERROR(IF(INDEX(tProdutos[Desconto homologado],MATCH(tItens[[#This Row],[Produto]],tProdutos[Produto],0))="",DescontoPadrao,INDEX(tProdutos[Desconto homologado],MATCH(tItens[[#This Row],[Produto]],tProdutos[Produto],0))),DescontoPadrao)</f>
        <v>0.44298820445609399</v>
      </c>
      <c r="M5268" s="12">
        <f>tItens[[#This Row],[Valor]]*(1-tItens[[#This Row],[Desconto]])</f>
        <v>1080.6028833551777</v>
      </c>
      <c r="N5268" t="str">
        <f>IFERROR(INDEX(tProdutos[Foco],MATCH(tItens[[#This Row],[Produto]],tProdutos[Produto],0)),"Não")</f>
        <v>Não</v>
      </c>
      <c r="O5268" t="str">
        <f>IFERROR(INDEX(tEditais[SRP],MATCH(tItens[[#This Row],[Edital]],tEditais[Edital],0)),"Não")</f>
        <v>Sim</v>
      </c>
      <c r="P5268" s="4">
        <f>IF(COUNTIFS(INDEX(tItens[Edital],1):tItens[[#This Row],[Edital]],tItens[[#This Row],[Edital]],INDEX(tItens[Produto],1):tItens[[#This Row],[Produto]],tItens[[#This Row],[Produto]])=1,1,0)</f>
        <v>1</v>
      </c>
    </row>
    <row r="5269" spans="1:16" x14ac:dyDescent="0.25">
      <c r="A5269" t="s">
        <v>2010</v>
      </c>
      <c r="B5269">
        <v>107</v>
      </c>
      <c r="C5269" t="s">
        <v>8068</v>
      </c>
      <c r="D5269" t="s">
        <v>75</v>
      </c>
      <c r="E5269" s="13">
        <v>50</v>
      </c>
      <c r="F5269" s="12">
        <v>1.98</v>
      </c>
      <c r="G5269" t="str">
        <f>IFERROR(INDEX(tEditais[Órgão],MATCH(tItens[[#This Row],[Edital]],tEditais[Edital],0)),"")</f>
        <v>MUNICIPIO DE LOBATO</v>
      </c>
      <c r="H5269" t="str">
        <f>IFERROR(INDEX(tEditais[UF],MATCH(tItens[[#This Row],[Edital]],tEditais[Edital],0)),"")</f>
        <v>PR</v>
      </c>
      <c r="I5269" s="11">
        <f>IFERROR(INDEX(tEditais[Encerramento],MATCH(tItens[[#This Row],[Edital]],tEditais[Edital],0)),"")</f>
        <v>46308.347222222219</v>
      </c>
      <c r="J5269" t="str">
        <f>IFERROR(INDEX(tProdutos[Classe],MATCH(tItens[[#This Row],[Produto]],tProdutos[Produto],0)),"produto não cadastrado")</f>
        <v>NÚCLEO</v>
      </c>
      <c r="K5269" s="12">
        <f>tItens[[#This Row],[Qtd]]*tItens[[#This Row],[Vlr unit]]</f>
        <v>99</v>
      </c>
      <c r="L5269" s="6">
        <f>IFERROR(IF(INDEX(tProdutos[Desconto homologado],MATCH(tItens[[#This Row],[Produto]],tProdutos[Produto],0))="",DescontoPadrao,INDEX(tProdutos[Desconto homologado],MATCH(tItens[[#This Row],[Produto]],tProdutos[Produto],0))),DescontoPadrao)</f>
        <v>0.26</v>
      </c>
      <c r="M5269" s="12">
        <f>tItens[[#This Row],[Valor]]*(1-tItens[[#This Row],[Desconto]])</f>
        <v>73.260000000000005</v>
      </c>
      <c r="N5269" t="str">
        <f>IFERROR(INDEX(tProdutos[Foco],MATCH(tItens[[#This Row],[Produto]],tProdutos[Produto],0)),"Não")</f>
        <v>Sim</v>
      </c>
      <c r="O5269" t="str">
        <f>IFERROR(INDEX(tEditais[SRP],MATCH(tItens[[#This Row],[Edital]],tEditais[Edital],0)),"Não")</f>
        <v>Sim</v>
      </c>
      <c r="P5269" s="4">
        <f>IF(COUNTIFS(INDEX(tItens[Edital],1):tItens[[#This Row],[Edital]],tItens[[#This Row],[Edital]],INDEX(tItens[Produto],1):tItens[[#This Row],[Produto]],tItens[[#This Row],[Produto]])=1,1,0)</f>
        <v>1</v>
      </c>
    </row>
    <row r="5270" spans="1:16" x14ac:dyDescent="0.25">
      <c r="A5270" t="s">
        <v>2010</v>
      </c>
      <c r="B5270">
        <v>108</v>
      </c>
      <c r="C5270" t="s">
        <v>8069</v>
      </c>
      <c r="D5270" t="s">
        <v>75</v>
      </c>
      <c r="E5270" s="13">
        <v>300</v>
      </c>
      <c r="F5270" s="12">
        <v>1.73</v>
      </c>
      <c r="G5270" t="str">
        <f>IFERROR(INDEX(tEditais[Órgão],MATCH(tItens[[#This Row],[Edital]],tEditais[Edital],0)),"")</f>
        <v>MUNICIPIO DE LOBATO</v>
      </c>
      <c r="H5270" t="str">
        <f>IFERROR(INDEX(tEditais[UF],MATCH(tItens[[#This Row],[Edital]],tEditais[Edital],0)),"")</f>
        <v>PR</v>
      </c>
      <c r="I5270" s="11">
        <f>IFERROR(INDEX(tEditais[Encerramento],MATCH(tItens[[#This Row],[Edital]],tEditais[Edital],0)),"")</f>
        <v>46308.347222222219</v>
      </c>
      <c r="J5270" t="str">
        <f>IFERROR(INDEX(tProdutos[Classe],MATCH(tItens[[#This Row],[Produto]],tProdutos[Produto],0)),"produto não cadastrado")</f>
        <v>NÚCLEO</v>
      </c>
      <c r="K5270" s="12">
        <f>tItens[[#This Row],[Qtd]]*tItens[[#This Row],[Vlr unit]]</f>
        <v>519</v>
      </c>
      <c r="L5270" s="6">
        <f>IFERROR(IF(INDEX(tProdutos[Desconto homologado],MATCH(tItens[[#This Row],[Produto]],tProdutos[Produto],0))="",DescontoPadrao,INDEX(tProdutos[Desconto homologado],MATCH(tItens[[#This Row],[Produto]],tProdutos[Produto],0))),DescontoPadrao)</f>
        <v>0.26</v>
      </c>
      <c r="M5270" s="12">
        <f>tItens[[#This Row],[Valor]]*(1-tItens[[#This Row],[Desconto]])</f>
        <v>384.06</v>
      </c>
      <c r="N5270" t="str">
        <f>IFERROR(INDEX(tProdutos[Foco],MATCH(tItens[[#This Row],[Produto]],tProdutos[Produto],0)),"Não")</f>
        <v>Sim</v>
      </c>
      <c r="O5270" t="str">
        <f>IFERROR(INDEX(tEditais[SRP],MATCH(tItens[[#This Row],[Edital]],tEditais[Edital],0)),"Não")</f>
        <v>Sim</v>
      </c>
      <c r="P5270" s="4">
        <f>IF(COUNTIFS(INDEX(tItens[Edital],1):tItens[[#This Row],[Edital]],tItens[[#This Row],[Edital]],INDEX(tItens[Produto],1):tItens[[#This Row],[Produto]],tItens[[#This Row],[Produto]])=1,1,0)</f>
        <v>0</v>
      </c>
    </row>
    <row r="5271" spans="1:16" x14ac:dyDescent="0.25">
      <c r="A5271" t="s">
        <v>2010</v>
      </c>
      <c r="B5271">
        <v>109</v>
      </c>
      <c r="C5271" t="s">
        <v>8070</v>
      </c>
      <c r="D5271" t="s">
        <v>75</v>
      </c>
      <c r="E5271" s="13">
        <v>500</v>
      </c>
      <c r="F5271" s="12">
        <v>1.51</v>
      </c>
      <c r="G5271" t="str">
        <f>IFERROR(INDEX(tEditais[Órgão],MATCH(tItens[[#This Row],[Edital]],tEditais[Edital],0)),"")</f>
        <v>MUNICIPIO DE LOBATO</v>
      </c>
      <c r="H5271" t="str">
        <f>IFERROR(INDEX(tEditais[UF],MATCH(tItens[[#This Row],[Edital]],tEditais[Edital],0)),"")</f>
        <v>PR</v>
      </c>
      <c r="I5271" s="11">
        <f>IFERROR(INDEX(tEditais[Encerramento],MATCH(tItens[[#This Row],[Edital]],tEditais[Edital],0)),"")</f>
        <v>46308.347222222219</v>
      </c>
      <c r="J5271" t="str">
        <f>IFERROR(INDEX(tProdutos[Classe],MATCH(tItens[[#This Row],[Produto]],tProdutos[Produto],0)),"produto não cadastrado")</f>
        <v>NÚCLEO</v>
      </c>
      <c r="K5271" s="12">
        <f>tItens[[#This Row],[Qtd]]*tItens[[#This Row],[Vlr unit]]</f>
        <v>755</v>
      </c>
      <c r="L5271" s="6">
        <f>IFERROR(IF(INDEX(tProdutos[Desconto homologado],MATCH(tItens[[#This Row],[Produto]],tProdutos[Produto],0))="",DescontoPadrao,INDEX(tProdutos[Desconto homologado],MATCH(tItens[[#This Row],[Produto]],tProdutos[Produto],0))),DescontoPadrao)</f>
        <v>0.26</v>
      </c>
      <c r="M5271" s="12">
        <f>tItens[[#This Row],[Valor]]*(1-tItens[[#This Row],[Desconto]])</f>
        <v>558.70000000000005</v>
      </c>
      <c r="N5271" t="str">
        <f>IFERROR(INDEX(tProdutos[Foco],MATCH(tItens[[#This Row],[Produto]],tProdutos[Produto],0)),"Não")</f>
        <v>Sim</v>
      </c>
      <c r="O5271" t="str">
        <f>IFERROR(INDEX(tEditais[SRP],MATCH(tItens[[#This Row],[Edital]],tEditais[Edital],0)),"Não")</f>
        <v>Sim</v>
      </c>
      <c r="P5271" s="4">
        <f>IF(COUNTIFS(INDEX(tItens[Edital],1):tItens[[#This Row],[Edital]],tItens[[#This Row],[Edital]],INDEX(tItens[Produto],1):tItens[[#This Row],[Produto]],tItens[[#This Row],[Produto]])=1,1,0)</f>
        <v>0</v>
      </c>
    </row>
    <row r="5272" spans="1:16" x14ac:dyDescent="0.25">
      <c r="A5272" t="s">
        <v>2010</v>
      </c>
      <c r="B5272">
        <v>116</v>
      </c>
      <c r="C5272" t="s">
        <v>8071</v>
      </c>
      <c r="D5272" t="s">
        <v>461</v>
      </c>
      <c r="E5272" s="13">
        <v>100</v>
      </c>
      <c r="F5272" s="12">
        <v>33.47</v>
      </c>
      <c r="G5272" t="str">
        <f>IFERROR(INDEX(tEditais[Órgão],MATCH(tItens[[#This Row],[Edital]],tEditais[Edital],0)),"")</f>
        <v>MUNICIPIO DE LOBATO</v>
      </c>
      <c r="H5272" t="str">
        <f>IFERROR(INDEX(tEditais[UF],MATCH(tItens[[#This Row],[Edital]],tEditais[Edital],0)),"")</f>
        <v>PR</v>
      </c>
      <c r="I5272" s="11">
        <f>IFERROR(INDEX(tEditais[Encerramento],MATCH(tItens[[#This Row],[Edital]],tEditais[Edital],0)),"")</f>
        <v>46308.347222222219</v>
      </c>
      <c r="J5272" t="str">
        <f>IFERROR(INDEX(tProdutos[Classe],MATCH(tItens[[#This Row],[Produto]],tProdutos[Produto],0)),"produto não cadastrado")</f>
        <v>FILA REBASE</v>
      </c>
      <c r="K5272" s="12">
        <f>tItens[[#This Row],[Qtd]]*tItens[[#This Row],[Vlr unit]]</f>
        <v>3347</v>
      </c>
      <c r="L5272" s="6">
        <f>IFERROR(IF(INDEX(tProdutos[Desconto homologado],MATCH(tItens[[#This Row],[Produto]],tProdutos[Produto],0))="",DescontoPadrao,INDEX(tProdutos[Desconto homologado],MATCH(tItens[[#This Row],[Produto]],tProdutos[Produto],0))),DescontoPadrao)</f>
        <v>0.44096385542168698</v>
      </c>
      <c r="M5272" s="12">
        <f>tItens[[#This Row],[Valor]]*(1-tItens[[#This Row],[Desconto]])</f>
        <v>1871.0939759036135</v>
      </c>
      <c r="N5272" t="str">
        <f>IFERROR(INDEX(tProdutos[Foco],MATCH(tItens[[#This Row],[Produto]],tProdutos[Produto],0)),"Não")</f>
        <v>Não</v>
      </c>
      <c r="O5272" t="str">
        <f>IFERROR(INDEX(tEditais[SRP],MATCH(tItens[[#This Row],[Edital]],tEditais[Edital],0)),"Não")</f>
        <v>Sim</v>
      </c>
      <c r="P5272" s="4">
        <f>IF(COUNTIFS(INDEX(tItens[Edital],1):tItens[[#This Row],[Edital]],tItens[[#This Row],[Edital]],INDEX(tItens[Produto],1):tItens[[#This Row],[Produto]],tItens[[#This Row],[Produto]])=1,1,0)</f>
        <v>1</v>
      </c>
    </row>
    <row r="5273" spans="1:16" x14ac:dyDescent="0.25">
      <c r="A5273" t="s">
        <v>2010</v>
      </c>
      <c r="B5273">
        <v>117</v>
      </c>
      <c r="C5273" t="s">
        <v>8072</v>
      </c>
      <c r="D5273" t="s">
        <v>461</v>
      </c>
      <c r="E5273" s="13">
        <v>100</v>
      </c>
      <c r="F5273" s="12">
        <v>27.88</v>
      </c>
      <c r="G5273" t="str">
        <f>IFERROR(INDEX(tEditais[Órgão],MATCH(tItens[[#This Row],[Edital]],tEditais[Edital],0)),"")</f>
        <v>MUNICIPIO DE LOBATO</v>
      </c>
      <c r="H5273" t="str">
        <f>IFERROR(INDEX(tEditais[UF],MATCH(tItens[[#This Row],[Edital]],tEditais[Edital],0)),"")</f>
        <v>PR</v>
      </c>
      <c r="I5273" s="11">
        <f>IFERROR(INDEX(tEditais[Encerramento],MATCH(tItens[[#This Row],[Edital]],tEditais[Edital],0)),"")</f>
        <v>46308.347222222219</v>
      </c>
      <c r="J5273" t="str">
        <f>IFERROR(INDEX(tProdutos[Classe],MATCH(tItens[[#This Row],[Produto]],tProdutos[Produto],0)),"produto não cadastrado")</f>
        <v>FILA REBASE</v>
      </c>
      <c r="K5273" s="12">
        <f>tItens[[#This Row],[Qtd]]*tItens[[#This Row],[Vlr unit]]</f>
        <v>2788</v>
      </c>
      <c r="L5273" s="6">
        <f>IFERROR(IF(INDEX(tProdutos[Desconto homologado],MATCH(tItens[[#This Row],[Produto]],tProdutos[Produto],0))="",DescontoPadrao,INDEX(tProdutos[Desconto homologado],MATCH(tItens[[#This Row],[Produto]],tProdutos[Produto],0))),DescontoPadrao)</f>
        <v>0.44096385542168698</v>
      </c>
      <c r="M5273" s="12">
        <f>tItens[[#This Row],[Valor]]*(1-tItens[[#This Row],[Desconto]])</f>
        <v>1558.5927710843366</v>
      </c>
      <c r="N5273" t="str">
        <f>IFERROR(INDEX(tProdutos[Foco],MATCH(tItens[[#This Row],[Produto]],tProdutos[Produto],0)),"Não")</f>
        <v>Não</v>
      </c>
      <c r="O5273" t="str">
        <f>IFERROR(INDEX(tEditais[SRP],MATCH(tItens[[#This Row],[Edital]],tEditais[Edital],0)),"Não")</f>
        <v>Sim</v>
      </c>
      <c r="P5273" s="4">
        <f>IF(COUNTIFS(INDEX(tItens[Edital],1):tItens[[#This Row],[Edital]],tItens[[#This Row],[Edital]],INDEX(tItens[Produto],1):tItens[[#This Row],[Produto]],tItens[[#This Row],[Produto]])=1,1,0)</f>
        <v>0</v>
      </c>
    </row>
    <row r="5274" spans="1:16" x14ac:dyDescent="0.25">
      <c r="A5274" t="s">
        <v>2010</v>
      </c>
      <c r="B5274">
        <v>118</v>
      </c>
      <c r="C5274" t="s">
        <v>8073</v>
      </c>
      <c r="D5274" t="s">
        <v>461</v>
      </c>
      <c r="E5274" s="13">
        <v>100</v>
      </c>
      <c r="F5274" s="12">
        <v>34.96</v>
      </c>
      <c r="G5274" t="str">
        <f>IFERROR(INDEX(tEditais[Órgão],MATCH(tItens[[#This Row],[Edital]],tEditais[Edital],0)),"")</f>
        <v>MUNICIPIO DE LOBATO</v>
      </c>
      <c r="H5274" t="str">
        <f>IFERROR(INDEX(tEditais[UF],MATCH(tItens[[#This Row],[Edital]],tEditais[Edital],0)),"")</f>
        <v>PR</v>
      </c>
      <c r="I5274" s="11">
        <f>IFERROR(INDEX(tEditais[Encerramento],MATCH(tItens[[#This Row],[Edital]],tEditais[Edital],0)),"")</f>
        <v>46308.347222222219</v>
      </c>
      <c r="J5274" t="str">
        <f>IFERROR(INDEX(tProdutos[Classe],MATCH(tItens[[#This Row],[Produto]],tProdutos[Produto],0)),"produto não cadastrado")</f>
        <v>FILA REBASE</v>
      </c>
      <c r="K5274" s="12">
        <f>tItens[[#This Row],[Qtd]]*tItens[[#This Row],[Vlr unit]]</f>
        <v>3496</v>
      </c>
      <c r="L5274" s="6">
        <f>IFERROR(IF(INDEX(tProdutos[Desconto homologado],MATCH(tItens[[#This Row],[Produto]],tProdutos[Produto],0))="",DescontoPadrao,INDEX(tProdutos[Desconto homologado],MATCH(tItens[[#This Row],[Produto]],tProdutos[Produto],0))),DescontoPadrao)</f>
        <v>0.44096385542168698</v>
      </c>
      <c r="M5274" s="12">
        <f>tItens[[#This Row],[Valor]]*(1-tItens[[#This Row],[Desconto]])</f>
        <v>1954.3903614457822</v>
      </c>
      <c r="N5274" t="str">
        <f>IFERROR(INDEX(tProdutos[Foco],MATCH(tItens[[#This Row],[Produto]],tProdutos[Produto],0)),"Não")</f>
        <v>Não</v>
      </c>
      <c r="O5274" t="str">
        <f>IFERROR(INDEX(tEditais[SRP],MATCH(tItens[[#This Row],[Edital]],tEditais[Edital],0)),"Não")</f>
        <v>Sim</v>
      </c>
      <c r="P5274" s="4">
        <f>IF(COUNTIFS(INDEX(tItens[Edital],1):tItens[[#This Row],[Edital]],tItens[[#This Row],[Edital]],INDEX(tItens[Produto],1):tItens[[#This Row],[Produto]],tItens[[#This Row],[Produto]])=1,1,0)</f>
        <v>0</v>
      </c>
    </row>
    <row r="5275" spans="1:16" x14ac:dyDescent="0.25">
      <c r="A5275" t="s">
        <v>2010</v>
      </c>
      <c r="B5275">
        <v>119</v>
      </c>
      <c r="C5275" t="s">
        <v>8074</v>
      </c>
      <c r="D5275" t="s">
        <v>461</v>
      </c>
      <c r="E5275" s="13">
        <v>100</v>
      </c>
      <c r="F5275" s="12">
        <v>34.9</v>
      </c>
      <c r="G5275" t="str">
        <f>IFERROR(INDEX(tEditais[Órgão],MATCH(tItens[[#This Row],[Edital]],tEditais[Edital],0)),"")</f>
        <v>MUNICIPIO DE LOBATO</v>
      </c>
      <c r="H5275" t="str">
        <f>IFERROR(INDEX(tEditais[UF],MATCH(tItens[[#This Row],[Edital]],tEditais[Edital],0)),"")</f>
        <v>PR</v>
      </c>
      <c r="I5275" s="11">
        <f>IFERROR(INDEX(tEditais[Encerramento],MATCH(tItens[[#This Row],[Edital]],tEditais[Edital],0)),"")</f>
        <v>46308.347222222219</v>
      </c>
      <c r="J5275" t="str">
        <f>IFERROR(INDEX(tProdutos[Classe],MATCH(tItens[[#This Row],[Produto]],tProdutos[Produto],0)),"produto não cadastrado")</f>
        <v>FILA REBASE</v>
      </c>
      <c r="K5275" s="12">
        <f>tItens[[#This Row],[Qtd]]*tItens[[#This Row],[Vlr unit]]</f>
        <v>3490</v>
      </c>
      <c r="L5275" s="6">
        <f>IFERROR(IF(INDEX(tProdutos[Desconto homologado],MATCH(tItens[[#This Row],[Produto]],tProdutos[Produto],0))="",DescontoPadrao,INDEX(tProdutos[Desconto homologado],MATCH(tItens[[#This Row],[Produto]],tProdutos[Produto],0))),DescontoPadrao)</f>
        <v>0.44096385542168698</v>
      </c>
      <c r="M5275" s="12">
        <f>tItens[[#This Row],[Valor]]*(1-tItens[[#This Row],[Desconto]])</f>
        <v>1951.0361445783124</v>
      </c>
      <c r="N5275" t="str">
        <f>IFERROR(INDEX(tProdutos[Foco],MATCH(tItens[[#This Row],[Produto]],tProdutos[Produto],0)),"Não")</f>
        <v>Não</v>
      </c>
      <c r="O5275" t="str">
        <f>IFERROR(INDEX(tEditais[SRP],MATCH(tItens[[#This Row],[Edital]],tEditais[Edital],0)),"Não")</f>
        <v>Sim</v>
      </c>
      <c r="P5275" s="4">
        <f>IF(COUNTIFS(INDEX(tItens[Edital],1):tItens[[#This Row],[Edital]],tItens[[#This Row],[Edital]],INDEX(tItens[Produto],1):tItens[[#This Row],[Produto]],tItens[[#This Row],[Produto]])=1,1,0)</f>
        <v>0</v>
      </c>
    </row>
    <row r="5276" spans="1:16" x14ac:dyDescent="0.25">
      <c r="A5276" t="s">
        <v>2010</v>
      </c>
      <c r="B5276">
        <v>123</v>
      </c>
      <c r="C5276" t="s">
        <v>8075</v>
      </c>
      <c r="D5276" t="s">
        <v>77</v>
      </c>
      <c r="E5276" s="13">
        <v>1500</v>
      </c>
      <c r="F5276" s="12">
        <v>2.78</v>
      </c>
      <c r="G5276" t="str">
        <f>IFERROR(INDEX(tEditais[Órgão],MATCH(tItens[[#This Row],[Edital]],tEditais[Edital],0)),"")</f>
        <v>MUNICIPIO DE LOBATO</v>
      </c>
      <c r="H5276" t="str">
        <f>IFERROR(INDEX(tEditais[UF],MATCH(tItens[[#This Row],[Edital]],tEditais[Edital],0)),"")</f>
        <v>PR</v>
      </c>
      <c r="I5276" s="11">
        <f>IFERROR(INDEX(tEditais[Encerramento],MATCH(tItens[[#This Row],[Edital]],tEditais[Edital],0)),"")</f>
        <v>46308.347222222219</v>
      </c>
      <c r="J5276" t="str">
        <f>IFERROR(INDEX(tProdutos[Classe],MATCH(tItens[[#This Row],[Produto]],tProdutos[Produto],0)),"produto não cadastrado")</f>
        <v>DISPUTADO</v>
      </c>
      <c r="K5276" s="12">
        <f>tItens[[#This Row],[Qtd]]*tItens[[#This Row],[Vlr unit]]</f>
        <v>4170</v>
      </c>
      <c r="L5276" s="6">
        <f>IFERROR(IF(INDEX(tProdutos[Desconto homologado],MATCH(tItens[[#This Row],[Produto]],tProdutos[Produto],0))="",DescontoPadrao,INDEX(tProdutos[Desconto homologado],MATCH(tItens[[#This Row],[Produto]],tProdutos[Produto],0))),DescontoPadrao)</f>
        <v>0.33</v>
      </c>
      <c r="M5276" s="12">
        <f>tItens[[#This Row],[Valor]]*(1-tItens[[#This Row],[Desconto]])</f>
        <v>2793.8999999999996</v>
      </c>
      <c r="N5276" t="str">
        <f>IFERROR(INDEX(tProdutos[Foco],MATCH(tItens[[#This Row],[Produto]],tProdutos[Produto],0)),"Não")</f>
        <v>Sim</v>
      </c>
      <c r="O5276" t="str">
        <f>IFERROR(INDEX(tEditais[SRP],MATCH(tItens[[#This Row],[Edital]],tEditais[Edital],0)),"Não")</f>
        <v>Sim</v>
      </c>
      <c r="P5276" s="4">
        <f>IF(COUNTIFS(INDEX(tItens[Edital],1):tItens[[#This Row],[Edital]],tItens[[#This Row],[Edital]],INDEX(tItens[Produto],1):tItens[[#This Row],[Produto]],tItens[[#This Row],[Produto]])=1,1,0)</f>
        <v>1</v>
      </c>
    </row>
    <row r="5277" spans="1:16" x14ac:dyDescent="0.25">
      <c r="A5277" t="s">
        <v>2010</v>
      </c>
      <c r="B5277">
        <v>124</v>
      </c>
      <c r="C5277" t="s">
        <v>8076</v>
      </c>
      <c r="D5277" t="s">
        <v>77</v>
      </c>
      <c r="E5277" s="13">
        <v>1500</v>
      </c>
      <c r="F5277" s="12">
        <v>3.65</v>
      </c>
      <c r="G5277" t="str">
        <f>IFERROR(INDEX(tEditais[Órgão],MATCH(tItens[[#This Row],[Edital]],tEditais[Edital],0)),"")</f>
        <v>MUNICIPIO DE LOBATO</v>
      </c>
      <c r="H5277" t="str">
        <f>IFERROR(INDEX(tEditais[UF],MATCH(tItens[[#This Row],[Edital]],tEditais[Edital],0)),"")</f>
        <v>PR</v>
      </c>
      <c r="I5277" s="11">
        <f>IFERROR(INDEX(tEditais[Encerramento],MATCH(tItens[[#This Row],[Edital]],tEditais[Edital],0)),"")</f>
        <v>46308.347222222219</v>
      </c>
      <c r="J5277" t="str">
        <f>IFERROR(INDEX(tProdutos[Classe],MATCH(tItens[[#This Row],[Produto]],tProdutos[Produto],0)),"produto não cadastrado")</f>
        <v>DISPUTADO</v>
      </c>
      <c r="K5277" s="12">
        <f>tItens[[#This Row],[Qtd]]*tItens[[#This Row],[Vlr unit]]</f>
        <v>5475</v>
      </c>
      <c r="L5277" s="6">
        <f>IFERROR(IF(INDEX(tProdutos[Desconto homologado],MATCH(tItens[[#This Row],[Produto]],tProdutos[Produto],0))="",DescontoPadrao,INDEX(tProdutos[Desconto homologado],MATCH(tItens[[#This Row],[Produto]],tProdutos[Produto],0))),DescontoPadrao)</f>
        <v>0.33</v>
      </c>
      <c r="M5277" s="12">
        <f>tItens[[#This Row],[Valor]]*(1-tItens[[#This Row],[Desconto]])</f>
        <v>3668.2499999999995</v>
      </c>
      <c r="N5277" t="str">
        <f>IFERROR(INDEX(tProdutos[Foco],MATCH(tItens[[#This Row],[Produto]],tProdutos[Produto],0)),"Não")</f>
        <v>Sim</v>
      </c>
      <c r="O5277" t="str">
        <f>IFERROR(INDEX(tEditais[SRP],MATCH(tItens[[#This Row],[Edital]],tEditais[Edital],0)),"Não")</f>
        <v>Sim</v>
      </c>
      <c r="P5277" s="4">
        <f>IF(COUNTIFS(INDEX(tItens[Edital],1):tItens[[#This Row],[Edital]],tItens[[#This Row],[Edital]],INDEX(tItens[Produto],1):tItens[[#This Row],[Produto]],tItens[[#This Row],[Produto]])=1,1,0)</f>
        <v>0</v>
      </c>
    </row>
    <row r="5278" spans="1:16" x14ac:dyDescent="0.25">
      <c r="A5278" t="s">
        <v>2010</v>
      </c>
      <c r="B5278">
        <v>135</v>
      </c>
      <c r="C5278" t="s">
        <v>8077</v>
      </c>
      <c r="D5278" t="s">
        <v>371</v>
      </c>
      <c r="E5278" s="13">
        <v>1000</v>
      </c>
      <c r="F5278" s="12">
        <v>0.41</v>
      </c>
      <c r="G5278" t="str">
        <f>IFERROR(INDEX(tEditais[Órgão],MATCH(tItens[[#This Row],[Edital]],tEditais[Edital],0)),"")</f>
        <v>MUNICIPIO DE LOBATO</v>
      </c>
      <c r="H5278" t="str">
        <f>IFERROR(INDEX(tEditais[UF],MATCH(tItens[[#This Row],[Edital]],tEditais[Edital],0)),"")</f>
        <v>PR</v>
      </c>
      <c r="I5278" s="11">
        <f>IFERROR(INDEX(tEditais[Encerramento],MATCH(tItens[[#This Row],[Edital]],tEditais[Edital],0)),"")</f>
        <v>46308.347222222219</v>
      </c>
      <c r="J5278" t="str">
        <f>IFERROR(INDEX(tProdutos[Classe],MATCH(tItens[[#This Row],[Produto]],tProdutos[Produto],0)),"produto não cadastrado")</f>
        <v>FORA</v>
      </c>
      <c r="K5278" s="12">
        <f>tItens[[#This Row],[Qtd]]*tItens[[#This Row],[Vlr unit]]</f>
        <v>410</v>
      </c>
      <c r="L5278" s="6">
        <f>IFERROR(IF(INDEX(tProdutos[Desconto homologado],MATCH(tItens[[#This Row],[Produto]],tProdutos[Produto],0))="",DescontoPadrao,INDEX(tProdutos[Desconto homologado],MATCH(tItens[[#This Row],[Produto]],tProdutos[Produto],0))),DescontoPadrao)</f>
        <v>0.217826086956522</v>
      </c>
      <c r="M5278" s="12">
        <f>tItens[[#This Row],[Valor]]*(1-tItens[[#This Row],[Desconto]])</f>
        <v>320.69130434782596</v>
      </c>
      <c r="N5278" t="str">
        <f>IFERROR(INDEX(tProdutos[Foco],MATCH(tItens[[#This Row],[Produto]],tProdutos[Produto],0)),"Não")</f>
        <v>Não</v>
      </c>
      <c r="O5278" t="str">
        <f>IFERROR(INDEX(tEditais[SRP],MATCH(tItens[[#This Row],[Edital]],tEditais[Edital],0)),"Não")</f>
        <v>Sim</v>
      </c>
      <c r="P5278" s="4">
        <f>IF(COUNTIFS(INDEX(tItens[Edital],1):tItens[[#This Row],[Edital]],tItens[[#This Row],[Edital]],INDEX(tItens[Produto],1):tItens[[#This Row],[Produto]],tItens[[#This Row],[Produto]])=1,1,0)</f>
        <v>1</v>
      </c>
    </row>
    <row r="5279" spans="1:16" x14ac:dyDescent="0.25">
      <c r="A5279" t="s">
        <v>2010</v>
      </c>
      <c r="B5279">
        <v>138</v>
      </c>
      <c r="C5279" t="s">
        <v>8078</v>
      </c>
      <c r="D5279" t="s">
        <v>467</v>
      </c>
      <c r="E5279" s="13">
        <v>100</v>
      </c>
      <c r="F5279" s="12">
        <v>5.37</v>
      </c>
      <c r="G5279" t="str">
        <f>IFERROR(INDEX(tEditais[Órgão],MATCH(tItens[[#This Row],[Edital]],tEditais[Edital],0)),"")</f>
        <v>MUNICIPIO DE LOBATO</v>
      </c>
      <c r="H5279" t="str">
        <f>IFERROR(INDEX(tEditais[UF],MATCH(tItens[[#This Row],[Edital]],tEditais[Edital],0)),"")</f>
        <v>PR</v>
      </c>
      <c r="I5279" s="11">
        <f>IFERROR(INDEX(tEditais[Encerramento],MATCH(tItens[[#This Row],[Edital]],tEditais[Edital],0)),"")</f>
        <v>46308.347222222219</v>
      </c>
      <c r="J5279" t="str">
        <f>IFERROR(INDEX(tProdutos[Classe],MATCH(tItens[[#This Row],[Produto]],tProdutos[Produto],0)),"produto não cadastrado")</f>
        <v>FILA REBASE</v>
      </c>
      <c r="K5279" s="12">
        <f>tItens[[#This Row],[Qtd]]*tItens[[#This Row],[Vlr unit]]</f>
        <v>537</v>
      </c>
      <c r="L5279" s="6">
        <f>IFERROR(IF(INDEX(tProdutos[Desconto homologado],MATCH(tItens[[#This Row],[Produto]],tProdutos[Produto],0))="",DescontoPadrao,INDEX(tProdutos[Desconto homologado],MATCH(tItens[[#This Row],[Produto]],tProdutos[Produto],0))),DescontoPadrao)</f>
        <v>0.25007144898542499</v>
      </c>
      <c r="M5279" s="12">
        <f>tItens[[#This Row],[Valor]]*(1-tItens[[#This Row],[Desconto]])</f>
        <v>402.71163189482678</v>
      </c>
      <c r="N5279" t="str">
        <f>IFERROR(INDEX(tProdutos[Foco],MATCH(tItens[[#This Row],[Produto]],tProdutos[Produto],0)),"Não")</f>
        <v>Não</v>
      </c>
      <c r="O5279" t="str">
        <f>IFERROR(INDEX(tEditais[SRP],MATCH(tItens[[#This Row],[Edital]],tEditais[Edital],0)),"Não")</f>
        <v>Sim</v>
      </c>
      <c r="P5279" s="4">
        <f>IF(COUNTIFS(INDEX(tItens[Edital],1):tItens[[#This Row],[Edital]],tItens[[#This Row],[Edital]],INDEX(tItens[Produto],1):tItens[[#This Row],[Produto]],tItens[[#This Row],[Produto]])=1,1,0)</f>
        <v>1</v>
      </c>
    </row>
    <row r="5280" spans="1:16" x14ac:dyDescent="0.25">
      <c r="A5280" t="s">
        <v>2010</v>
      </c>
      <c r="B5280">
        <v>155</v>
      </c>
      <c r="C5280" t="s">
        <v>8079</v>
      </c>
      <c r="D5280" t="s">
        <v>411</v>
      </c>
      <c r="E5280" s="13">
        <v>200</v>
      </c>
      <c r="F5280" s="12">
        <v>30.05</v>
      </c>
      <c r="G5280" t="str">
        <f>IFERROR(INDEX(tEditais[Órgão],MATCH(tItens[[#This Row],[Edital]],tEditais[Edital],0)),"")</f>
        <v>MUNICIPIO DE LOBATO</v>
      </c>
      <c r="H5280" t="str">
        <f>IFERROR(INDEX(tEditais[UF],MATCH(tItens[[#This Row],[Edital]],tEditais[Edital],0)),"")</f>
        <v>PR</v>
      </c>
      <c r="I5280" s="11">
        <f>IFERROR(INDEX(tEditais[Encerramento],MATCH(tItens[[#This Row],[Edital]],tEditais[Edital],0)),"")</f>
        <v>46308.347222222219</v>
      </c>
      <c r="J5280" t="str">
        <f>IFERROR(INDEX(tProdutos[Classe],MATCH(tItens[[#This Row],[Produto]],tProdutos[Produto],0)),"produto não cadastrado")</f>
        <v>FORA</v>
      </c>
      <c r="K5280" s="12">
        <f>tItens[[#This Row],[Qtd]]*tItens[[#This Row],[Vlr unit]]</f>
        <v>6010</v>
      </c>
      <c r="L5280" s="6">
        <f>IFERROR(IF(INDEX(tProdutos[Desconto homologado],MATCH(tItens[[#This Row],[Produto]],tProdutos[Produto],0))="",DescontoPadrao,INDEX(tProdutos[Desconto homologado],MATCH(tItens[[#This Row],[Produto]],tProdutos[Produto],0))),DescontoPadrao)</f>
        <v>0.50029835957199398</v>
      </c>
      <c r="M5280" s="12">
        <f>tItens[[#This Row],[Valor]]*(1-tItens[[#This Row],[Desconto]])</f>
        <v>3003.2068589723162</v>
      </c>
      <c r="N5280" t="str">
        <f>IFERROR(INDEX(tProdutos[Foco],MATCH(tItens[[#This Row],[Produto]],tProdutos[Produto],0)),"Não")</f>
        <v>Não</v>
      </c>
      <c r="O5280" t="str">
        <f>IFERROR(INDEX(tEditais[SRP],MATCH(tItens[[#This Row],[Edital]],tEditais[Edital],0)),"Não")</f>
        <v>Sim</v>
      </c>
      <c r="P5280" s="4">
        <f>IF(COUNTIFS(INDEX(tItens[Edital],1):tItens[[#This Row],[Edital]],tItens[[#This Row],[Edital]],INDEX(tItens[Produto],1):tItens[[#This Row],[Produto]],tItens[[#This Row],[Produto]])=1,1,0)</f>
        <v>1</v>
      </c>
    </row>
    <row r="5281" spans="1:16" x14ac:dyDescent="0.25">
      <c r="A5281" t="s">
        <v>2010</v>
      </c>
      <c r="B5281">
        <v>156</v>
      </c>
      <c r="C5281" t="s">
        <v>8080</v>
      </c>
      <c r="D5281" t="s">
        <v>130</v>
      </c>
      <c r="E5281" s="13">
        <v>20</v>
      </c>
      <c r="F5281" s="12">
        <v>64.86</v>
      </c>
      <c r="G5281" t="str">
        <f>IFERROR(INDEX(tEditais[Órgão],MATCH(tItens[[#This Row],[Edital]],tEditais[Edital],0)),"")</f>
        <v>MUNICIPIO DE LOBATO</v>
      </c>
      <c r="H5281" t="str">
        <f>IFERROR(INDEX(tEditais[UF],MATCH(tItens[[#This Row],[Edital]],tEditais[Edital],0)),"")</f>
        <v>PR</v>
      </c>
      <c r="I5281" s="11">
        <f>IFERROR(INDEX(tEditais[Encerramento],MATCH(tItens[[#This Row],[Edital]],tEditais[Edital],0)),"")</f>
        <v>46308.347222222219</v>
      </c>
      <c r="J5281" t="str">
        <f>IFERROR(INDEX(tProdutos[Classe],MATCH(tItens[[#This Row],[Produto]],tProdutos[Produto],0)),"produto não cadastrado")</f>
        <v>DISPUTADO</v>
      </c>
      <c r="K5281" s="12">
        <f>tItens[[#This Row],[Qtd]]*tItens[[#This Row],[Vlr unit]]</f>
        <v>1297.2</v>
      </c>
      <c r="L5281" s="6">
        <f>IFERROR(IF(INDEX(tProdutos[Desconto homologado],MATCH(tItens[[#This Row],[Produto]],tProdutos[Produto],0))="",DescontoPadrao,INDEX(tProdutos[Desconto homologado],MATCH(tItens[[#This Row],[Produto]],tProdutos[Produto],0))),DescontoPadrao)</f>
        <v>0.32</v>
      </c>
      <c r="M5281" s="12">
        <f>tItens[[#This Row],[Valor]]*(1-tItens[[#This Row],[Desconto]])</f>
        <v>882.096</v>
      </c>
      <c r="N5281" t="str">
        <f>IFERROR(INDEX(tProdutos[Foco],MATCH(tItens[[#This Row],[Produto]],tProdutos[Produto],0)),"Não")</f>
        <v>Sim</v>
      </c>
      <c r="O5281" t="str">
        <f>IFERROR(INDEX(tEditais[SRP],MATCH(tItens[[#This Row],[Edital]],tEditais[Edital],0)),"Não")</f>
        <v>Sim</v>
      </c>
      <c r="P5281" s="4">
        <f>IF(COUNTIFS(INDEX(tItens[Edital],1):tItens[[#This Row],[Edital]],tItens[[#This Row],[Edital]],INDEX(tItens[Produto],1):tItens[[#This Row],[Produto]],tItens[[#This Row],[Produto]])=1,1,0)</f>
        <v>1</v>
      </c>
    </row>
    <row r="5282" spans="1:16" x14ac:dyDescent="0.25">
      <c r="A5282" t="s">
        <v>2010</v>
      </c>
      <c r="B5282">
        <v>163</v>
      </c>
      <c r="C5282" t="s">
        <v>8081</v>
      </c>
      <c r="D5282" t="s">
        <v>267</v>
      </c>
      <c r="E5282" s="13">
        <v>500</v>
      </c>
      <c r="F5282" s="12">
        <v>10.220000000000001</v>
      </c>
      <c r="G5282" t="str">
        <f>IFERROR(INDEX(tEditais[Órgão],MATCH(tItens[[#This Row],[Edital]],tEditais[Edital],0)),"")</f>
        <v>MUNICIPIO DE LOBATO</v>
      </c>
      <c r="H5282" t="str">
        <f>IFERROR(INDEX(tEditais[UF],MATCH(tItens[[#This Row],[Edital]],tEditais[Edital],0)),"")</f>
        <v>PR</v>
      </c>
      <c r="I5282" s="11">
        <f>IFERROR(INDEX(tEditais[Encerramento],MATCH(tItens[[#This Row],[Edital]],tEditais[Edital],0)),"")</f>
        <v>46308.347222222219</v>
      </c>
      <c r="J5282" t="str">
        <f>IFERROR(INDEX(tProdutos[Classe],MATCH(tItens[[#This Row],[Produto]],tProdutos[Produto],0)),"produto não cadastrado")</f>
        <v>FORA</v>
      </c>
      <c r="K5282" s="12">
        <f>tItens[[#This Row],[Qtd]]*tItens[[#This Row],[Vlr unit]]</f>
        <v>5110</v>
      </c>
      <c r="L5282" s="6">
        <f>IFERROR(IF(INDEX(tProdutos[Desconto homologado],MATCH(tItens[[#This Row],[Produto]],tProdutos[Produto],0))="",DescontoPadrao,INDEX(tProdutos[Desconto homologado],MATCH(tItens[[#This Row],[Produto]],tProdutos[Produto],0))),DescontoPadrao)</f>
        <v>0.19963672657401599</v>
      </c>
      <c r="M5282" s="12">
        <f>tItens[[#This Row],[Valor]]*(1-tItens[[#This Row],[Desconto]])</f>
        <v>4089.8563272067781</v>
      </c>
      <c r="N5282" t="str">
        <f>IFERROR(INDEX(tProdutos[Foco],MATCH(tItens[[#This Row],[Produto]],tProdutos[Produto],0)),"Não")</f>
        <v>Não</v>
      </c>
      <c r="O5282" t="str">
        <f>IFERROR(INDEX(tEditais[SRP],MATCH(tItens[[#This Row],[Edital]],tEditais[Edital],0)),"Não")</f>
        <v>Sim</v>
      </c>
      <c r="P5282" s="4">
        <f>IF(COUNTIFS(INDEX(tItens[Edital],1):tItens[[#This Row],[Edital]],tItens[[#This Row],[Edital]],INDEX(tItens[Produto],1):tItens[[#This Row],[Produto]],tItens[[#This Row],[Produto]])=1,1,0)</f>
        <v>1</v>
      </c>
    </row>
    <row r="5283" spans="1:16" x14ac:dyDescent="0.25">
      <c r="A5283" t="s">
        <v>2010</v>
      </c>
      <c r="B5283">
        <v>165</v>
      </c>
      <c r="C5283" t="s">
        <v>8082</v>
      </c>
      <c r="D5283" t="s">
        <v>343</v>
      </c>
      <c r="E5283" s="13">
        <v>800</v>
      </c>
      <c r="F5283" s="12">
        <v>1.33</v>
      </c>
      <c r="G5283" t="str">
        <f>IFERROR(INDEX(tEditais[Órgão],MATCH(tItens[[#This Row],[Edital]],tEditais[Edital],0)),"")</f>
        <v>MUNICIPIO DE LOBATO</v>
      </c>
      <c r="H5283" t="str">
        <f>IFERROR(INDEX(tEditais[UF],MATCH(tItens[[#This Row],[Edital]],tEditais[Edital],0)),"")</f>
        <v>PR</v>
      </c>
      <c r="I5283" s="11">
        <f>IFERROR(INDEX(tEditais[Encerramento],MATCH(tItens[[#This Row],[Edital]],tEditais[Edital],0)),"")</f>
        <v>46308.347222222219</v>
      </c>
      <c r="J5283" t="str">
        <f>IFERROR(INDEX(tProdutos[Classe],MATCH(tItens[[#This Row],[Produto]],tProdutos[Produto],0)),"produto não cadastrado")</f>
        <v>FORA</v>
      </c>
      <c r="K5283" s="12">
        <f>tItens[[#This Row],[Qtd]]*tItens[[#This Row],[Vlr unit]]</f>
        <v>1064</v>
      </c>
      <c r="L5283" s="6">
        <f>IFERROR(IF(INDEX(tProdutos[Desconto homologado],MATCH(tItens[[#This Row],[Produto]],tProdutos[Produto],0))="",DescontoPadrao,INDEX(tProdutos[Desconto homologado],MATCH(tItens[[#This Row],[Produto]],tProdutos[Produto],0))),DescontoPadrao)</f>
        <v>0.35412234042553198</v>
      </c>
      <c r="M5283" s="12">
        <f>tItens[[#This Row],[Valor]]*(1-tItens[[#This Row],[Desconto]])</f>
        <v>687.21382978723386</v>
      </c>
      <c r="N5283" t="str">
        <f>IFERROR(INDEX(tProdutos[Foco],MATCH(tItens[[#This Row],[Produto]],tProdutos[Produto],0)),"Não")</f>
        <v>Não</v>
      </c>
      <c r="O5283" t="str">
        <f>IFERROR(INDEX(tEditais[SRP],MATCH(tItens[[#This Row],[Edital]],tEditais[Edital],0)),"Não")</f>
        <v>Sim</v>
      </c>
      <c r="P5283" s="4">
        <f>IF(COUNTIFS(INDEX(tItens[Edital],1):tItens[[#This Row],[Edital]],tItens[[#This Row],[Edital]],INDEX(tItens[Produto],1):tItens[[#This Row],[Produto]],tItens[[#This Row],[Produto]])=1,1,0)</f>
        <v>1</v>
      </c>
    </row>
    <row r="5284" spans="1:16" x14ac:dyDescent="0.25">
      <c r="A5284" t="s">
        <v>2010</v>
      </c>
      <c r="B5284">
        <v>167</v>
      </c>
      <c r="C5284" t="s">
        <v>8083</v>
      </c>
      <c r="D5284" t="s">
        <v>343</v>
      </c>
      <c r="E5284" s="13">
        <v>500</v>
      </c>
      <c r="F5284" s="12">
        <v>1.54</v>
      </c>
      <c r="G5284" t="str">
        <f>IFERROR(INDEX(tEditais[Órgão],MATCH(tItens[[#This Row],[Edital]],tEditais[Edital],0)),"")</f>
        <v>MUNICIPIO DE LOBATO</v>
      </c>
      <c r="H5284" t="str">
        <f>IFERROR(INDEX(tEditais[UF],MATCH(tItens[[#This Row],[Edital]],tEditais[Edital],0)),"")</f>
        <v>PR</v>
      </c>
      <c r="I5284" s="11">
        <f>IFERROR(INDEX(tEditais[Encerramento],MATCH(tItens[[#This Row],[Edital]],tEditais[Edital],0)),"")</f>
        <v>46308.347222222219</v>
      </c>
      <c r="J5284" t="str">
        <f>IFERROR(INDEX(tProdutos[Classe],MATCH(tItens[[#This Row],[Produto]],tProdutos[Produto],0)),"produto não cadastrado")</f>
        <v>FORA</v>
      </c>
      <c r="K5284" s="12">
        <f>tItens[[#This Row],[Qtd]]*tItens[[#This Row],[Vlr unit]]</f>
        <v>770</v>
      </c>
      <c r="L5284" s="6">
        <f>IFERROR(IF(INDEX(tProdutos[Desconto homologado],MATCH(tItens[[#This Row],[Produto]],tProdutos[Produto],0))="",DescontoPadrao,INDEX(tProdutos[Desconto homologado],MATCH(tItens[[#This Row],[Produto]],tProdutos[Produto],0))),DescontoPadrao)</f>
        <v>0.35412234042553198</v>
      </c>
      <c r="M5284" s="12">
        <f>tItens[[#This Row],[Valor]]*(1-tItens[[#This Row],[Desconto]])</f>
        <v>497.32579787234033</v>
      </c>
      <c r="N5284" t="str">
        <f>IFERROR(INDEX(tProdutos[Foco],MATCH(tItens[[#This Row],[Produto]],tProdutos[Produto],0)),"Não")</f>
        <v>Não</v>
      </c>
      <c r="O5284" t="str">
        <f>IFERROR(INDEX(tEditais[SRP],MATCH(tItens[[#This Row],[Edital]],tEditais[Edital],0)),"Não")</f>
        <v>Sim</v>
      </c>
      <c r="P5284" s="4">
        <f>IF(COUNTIFS(INDEX(tItens[Edital],1):tItens[[#This Row],[Edital]],tItens[[#This Row],[Edital]],INDEX(tItens[Produto],1):tItens[[#This Row],[Produto]],tItens[[#This Row],[Produto]])=1,1,0)</f>
        <v>0</v>
      </c>
    </row>
    <row r="5285" spans="1:16" x14ac:dyDescent="0.25">
      <c r="A5285" t="s">
        <v>2010</v>
      </c>
      <c r="B5285">
        <v>175</v>
      </c>
      <c r="C5285" t="s">
        <v>8084</v>
      </c>
      <c r="D5285" t="s">
        <v>313</v>
      </c>
      <c r="E5285" s="13">
        <v>500</v>
      </c>
      <c r="F5285" s="12">
        <v>25.84</v>
      </c>
      <c r="G5285" t="str">
        <f>IFERROR(INDEX(tEditais[Órgão],MATCH(tItens[[#This Row],[Edital]],tEditais[Edital],0)),"")</f>
        <v>MUNICIPIO DE LOBATO</v>
      </c>
      <c r="H5285" t="str">
        <f>IFERROR(INDEX(tEditais[UF],MATCH(tItens[[#This Row],[Edital]],tEditais[Edital],0)),"")</f>
        <v>PR</v>
      </c>
      <c r="I5285" s="11">
        <f>IFERROR(INDEX(tEditais[Encerramento],MATCH(tItens[[#This Row],[Edital]],tEditais[Edital],0)),"")</f>
        <v>46308.347222222219</v>
      </c>
      <c r="J5285" t="str">
        <f>IFERROR(INDEX(tProdutos[Classe],MATCH(tItens[[#This Row],[Produto]],tProdutos[Produto],0)),"produto não cadastrado")</f>
        <v>FORA</v>
      </c>
      <c r="K5285" s="12">
        <f>tItens[[#This Row],[Qtd]]*tItens[[#This Row],[Vlr unit]]</f>
        <v>12920</v>
      </c>
      <c r="L5285" s="6">
        <f>IFERROR(IF(INDEX(tProdutos[Desconto homologado],MATCH(tItens[[#This Row],[Produto]],tProdutos[Produto],0))="",DescontoPadrao,INDEX(tProdutos[Desconto homologado],MATCH(tItens[[#This Row],[Produto]],tProdutos[Produto],0))),DescontoPadrao)</f>
        <v>0.35766373163696302</v>
      </c>
      <c r="M5285" s="12">
        <f>tItens[[#This Row],[Valor]]*(1-tItens[[#This Row],[Desconto]])</f>
        <v>8298.9845872504375</v>
      </c>
      <c r="N5285" t="str">
        <f>IFERROR(INDEX(tProdutos[Foco],MATCH(tItens[[#This Row],[Produto]],tProdutos[Produto],0)),"Não")</f>
        <v>Não</v>
      </c>
      <c r="O5285" t="str">
        <f>IFERROR(INDEX(tEditais[SRP],MATCH(tItens[[#This Row],[Edital]],tEditais[Edital],0)),"Não")</f>
        <v>Sim</v>
      </c>
      <c r="P5285" s="4">
        <f>IF(COUNTIFS(INDEX(tItens[Edital],1):tItens[[#This Row],[Edital]],tItens[[#This Row],[Edital]],INDEX(tItens[Produto],1):tItens[[#This Row],[Produto]],tItens[[#This Row],[Produto]])=1,1,0)</f>
        <v>1</v>
      </c>
    </row>
    <row r="5286" spans="1:16" x14ac:dyDescent="0.25">
      <c r="A5286" t="s">
        <v>2010</v>
      </c>
      <c r="B5286">
        <v>216</v>
      </c>
      <c r="C5286" t="s">
        <v>8085</v>
      </c>
      <c r="D5286" t="s">
        <v>275</v>
      </c>
      <c r="E5286" s="13">
        <v>10000</v>
      </c>
      <c r="F5286" s="12">
        <v>0.28999999999999998</v>
      </c>
      <c r="G5286" t="str">
        <f>IFERROR(INDEX(tEditais[Órgão],MATCH(tItens[[#This Row],[Edital]],tEditais[Edital],0)),"")</f>
        <v>MUNICIPIO DE LOBATO</v>
      </c>
      <c r="H5286" t="str">
        <f>IFERROR(INDEX(tEditais[UF],MATCH(tItens[[#This Row],[Edital]],tEditais[Edital],0)),"")</f>
        <v>PR</v>
      </c>
      <c r="I5286" s="11">
        <f>IFERROR(INDEX(tEditais[Encerramento],MATCH(tItens[[#This Row],[Edital]],tEditais[Edital],0)),"")</f>
        <v>46308.347222222219</v>
      </c>
      <c r="J5286" t="str">
        <f>IFERROR(INDEX(tProdutos[Classe],MATCH(tItens[[#This Row],[Produto]],tProdutos[Produto],0)),"produto não cadastrado")</f>
        <v>FORA</v>
      </c>
      <c r="K5286" s="12">
        <f>tItens[[#This Row],[Qtd]]*tItens[[#This Row],[Vlr unit]]</f>
        <v>2900</v>
      </c>
      <c r="L5286" s="6">
        <f>IFERROR(IF(INDEX(tProdutos[Desconto homologado],MATCH(tItens[[#This Row],[Produto]],tProdutos[Produto],0))="",DescontoPadrao,INDEX(tProdutos[Desconto homologado],MATCH(tItens[[#This Row],[Produto]],tProdutos[Produto],0))),DescontoPadrao)</f>
        <v>0.405797101449275</v>
      </c>
      <c r="M5286" s="12">
        <f>tItens[[#This Row],[Valor]]*(1-tItens[[#This Row],[Desconto]])</f>
        <v>1723.1884057971026</v>
      </c>
      <c r="N5286" t="str">
        <f>IFERROR(INDEX(tProdutos[Foco],MATCH(tItens[[#This Row],[Produto]],tProdutos[Produto],0)),"Não")</f>
        <v>Não</v>
      </c>
      <c r="O5286" t="str">
        <f>IFERROR(INDEX(tEditais[SRP],MATCH(tItens[[#This Row],[Edital]],tEditais[Edital],0)),"Não")</f>
        <v>Sim</v>
      </c>
      <c r="P5286" s="4">
        <f>IF(COUNTIFS(INDEX(tItens[Edital],1):tItens[[#This Row],[Edital]],tItens[[#This Row],[Edital]],INDEX(tItens[Produto],1):tItens[[#This Row],[Produto]],tItens[[#This Row],[Produto]])=1,1,0)</f>
        <v>1</v>
      </c>
    </row>
    <row r="5287" spans="1:16" x14ac:dyDescent="0.25">
      <c r="A5287" t="s">
        <v>2010</v>
      </c>
      <c r="B5287">
        <v>217</v>
      </c>
      <c r="C5287" t="s">
        <v>8086</v>
      </c>
      <c r="D5287" t="s">
        <v>281</v>
      </c>
      <c r="E5287" s="13">
        <v>15000</v>
      </c>
      <c r="F5287" s="12">
        <v>0.28000000000000003</v>
      </c>
      <c r="G5287" t="str">
        <f>IFERROR(INDEX(tEditais[Órgão],MATCH(tItens[[#This Row],[Edital]],tEditais[Edital],0)),"")</f>
        <v>MUNICIPIO DE LOBATO</v>
      </c>
      <c r="H5287" t="str">
        <f>IFERROR(INDEX(tEditais[UF],MATCH(tItens[[#This Row],[Edital]],tEditais[Edital],0)),"")</f>
        <v>PR</v>
      </c>
      <c r="I5287" s="11">
        <f>IFERROR(INDEX(tEditais[Encerramento],MATCH(tItens[[#This Row],[Edital]],tEditais[Edital],0)),"")</f>
        <v>46308.347222222219</v>
      </c>
      <c r="J5287" t="str">
        <f>IFERROR(INDEX(tProdutos[Classe],MATCH(tItens[[#This Row],[Produto]],tProdutos[Produto],0)),"produto não cadastrado")</f>
        <v>DISPUTADO</v>
      </c>
      <c r="K5287" s="12">
        <f>tItens[[#This Row],[Qtd]]*tItens[[#This Row],[Vlr unit]]</f>
        <v>4200</v>
      </c>
      <c r="L5287" s="6">
        <f>IFERROR(IF(INDEX(tProdutos[Desconto homologado],MATCH(tItens[[#This Row],[Produto]],tProdutos[Produto],0))="",DescontoPadrao,INDEX(tProdutos[Desconto homologado],MATCH(tItens[[#This Row],[Produto]],tProdutos[Produto],0))),DescontoPadrao)</f>
        <v>0.42461538461538501</v>
      </c>
      <c r="M5287" s="12">
        <f>tItens[[#This Row],[Valor]]*(1-tItens[[#This Row],[Desconto]])</f>
        <v>2416.6153846153829</v>
      </c>
      <c r="N5287" t="str">
        <f>IFERROR(INDEX(tProdutos[Foco],MATCH(tItens[[#This Row],[Produto]],tProdutos[Produto],0)),"Não")</f>
        <v>Não</v>
      </c>
      <c r="O5287" t="str">
        <f>IFERROR(INDEX(tEditais[SRP],MATCH(tItens[[#This Row],[Edital]],tEditais[Edital],0)),"Não")</f>
        <v>Sim</v>
      </c>
      <c r="P5287" s="4">
        <f>IF(COUNTIFS(INDEX(tItens[Edital],1):tItens[[#This Row],[Edital]],tItens[[#This Row],[Edital]],INDEX(tItens[Produto],1):tItens[[#This Row],[Produto]],tItens[[#This Row],[Produto]])=1,1,0)</f>
        <v>1</v>
      </c>
    </row>
    <row r="5288" spans="1:16" x14ac:dyDescent="0.25">
      <c r="A5288" t="s">
        <v>2010</v>
      </c>
      <c r="B5288">
        <v>218</v>
      </c>
      <c r="C5288" t="s">
        <v>8087</v>
      </c>
      <c r="D5288" t="s">
        <v>303</v>
      </c>
      <c r="E5288" s="13">
        <v>12000</v>
      </c>
      <c r="F5288" s="12">
        <v>0.39</v>
      </c>
      <c r="G5288" t="str">
        <f>IFERROR(INDEX(tEditais[Órgão],MATCH(tItens[[#This Row],[Edital]],tEditais[Edital],0)),"")</f>
        <v>MUNICIPIO DE LOBATO</v>
      </c>
      <c r="H5288" t="str">
        <f>IFERROR(INDEX(tEditais[UF],MATCH(tItens[[#This Row],[Edital]],tEditais[Edital],0)),"")</f>
        <v>PR</v>
      </c>
      <c r="I5288" s="11">
        <f>IFERROR(INDEX(tEditais[Encerramento],MATCH(tItens[[#This Row],[Edital]],tEditais[Edital],0)),"")</f>
        <v>46308.347222222219</v>
      </c>
      <c r="J5288" t="str">
        <f>IFERROR(INDEX(tProdutos[Classe],MATCH(tItens[[#This Row],[Produto]],tProdutos[Produto],0)),"produto não cadastrado")</f>
        <v>FORA</v>
      </c>
      <c r="K5288" s="12">
        <f>tItens[[#This Row],[Qtd]]*tItens[[#This Row],[Vlr unit]]</f>
        <v>4680</v>
      </c>
      <c r="L5288" s="6">
        <f>IFERROR(IF(INDEX(tProdutos[Desconto homologado],MATCH(tItens[[#This Row],[Produto]],tProdutos[Produto],0))="",DescontoPadrao,INDEX(tProdutos[Desconto homologado],MATCH(tItens[[#This Row],[Produto]],tProdutos[Produto],0))),DescontoPadrao)</f>
        <v>0.35748048048048098</v>
      </c>
      <c r="M5288" s="12">
        <f>tItens[[#This Row],[Valor]]*(1-tItens[[#This Row],[Desconto]])</f>
        <v>3006.9913513513488</v>
      </c>
      <c r="N5288" t="str">
        <f>IFERROR(INDEX(tProdutos[Foco],MATCH(tItens[[#This Row],[Produto]],tProdutos[Produto],0)),"Não")</f>
        <v>Não</v>
      </c>
      <c r="O5288" t="str">
        <f>IFERROR(INDEX(tEditais[SRP],MATCH(tItens[[#This Row],[Edital]],tEditais[Edital],0)),"Não")</f>
        <v>Sim</v>
      </c>
      <c r="P5288" s="4">
        <f>IF(COUNTIFS(INDEX(tItens[Edital],1):tItens[[#This Row],[Edital]],tItens[[#This Row],[Edital]],INDEX(tItens[Produto],1):tItens[[#This Row],[Produto]],tItens[[#This Row],[Produto]])=1,1,0)</f>
        <v>1</v>
      </c>
    </row>
    <row r="5289" spans="1:16" x14ac:dyDescent="0.25">
      <c r="A5289" t="s">
        <v>2010</v>
      </c>
      <c r="B5289">
        <v>219</v>
      </c>
      <c r="C5289" t="s">
        <v>8088</v>
      </c>
      <c r="D5289" t="s">
        <v>283</v>
      </c>
      <c r="E5289" s="13">
        <v>12000</v>
      </c>
      <c r="F5289" s="12">
        <v>0.36</v>
      </c>
      <c r="G5289" t="str">
        <f>IFERROR(INDEX(tEditais[Órgão],MATCH(tItens[[#This Row],[Edital]],tEditais[Edital],0)),"")</f>
        <v>MUNICIPIO DE LOBATO</v>
      </c>
      <c r="H5289" t="str">
        <f>IFERROR(INDEX(tEditais[UF],MATCH(tItens[[#This Row],[Edital]],tEditais[Edital],0)),"")</f>
        <v>PR</v>
      </c>
      <c r="I5289" s="11">
        <f>IFERROR(INDEX(tEditais[Encerramento],MATCH(tItens[[#This Row],[Edital]],tEditais[Edital],0)),"")</f>
        <v>46308.347222222219</v>
      </c>
      <c r="J5289" t="str">
        <f>IFERROR(INDEX(tProdutos[Classe],MATCH(tItens[[#This Row],[Produto]],tProdutos[Produto],0)),"produto não cadastrado")</f>
        <v>FORA</v>
      </c>
      <c r="K5289" s="12">
        <f>tItens[[#This Row],[Qtd]]*tItens[[#This Row],[Vlr unit]]</f>
        <v>4320</v>
      </c>
      <c r="L5289" s="6">
        <f>IFERROR(IF(INDEX(tProdutos[Desconto homologado],MATCH(tItens[[#This Row],[Produto]],tProdutos[Produto],0))="",DescontoPadrao,INDEX(tProdutos[Desconto homologado],MATCH(tItens[[#This Row],[Produto]],tProdutos[Produto],0))),DescontoPadrao)</f>
        <v>0.40540540540540498</v>
      </c>
      <c r="M5289" s="12">
        <f>tItens[[#This Row],[Valor]]*(1-tItens[[#This Row],[Desconto]])</f>
        <v>2568.6486486486501</v>
      </c>
      <c r="N5289" t="str">
        <f>IFERROR(INDEX(tProdutos[Foco],MATCH(tItens[[#This Row],[Produto]],tProdutos[Produto],0)),"Não")</f>
        <v>Não</v>
      </c>
      <c r="O5289" t="str">
        <f>IFERROR(INDEX(tEditais[SRP],MATCH(tItens[[#This Row],[Edital]],tEditais[Edital],0)),"Não")</f>
        <v>Sim</v>
      </c>
      <c r="P5289" s="4">
        <f>IF(COUNTIFS(INDEX(tItens[Edital],1):tItens[[#This Row],[Edital]],tItens[[#This Row],[Edital]],INDEX(tItens[Produto],1):tItens[[#This Row],[Produto]],tItens[[#This Row],[Produto]])=1,1,0)</f>
        <v>1</v>
      </c>
    </row>
    <row r="5290" spans="1:16" x14ac:dyDescent="0.25">
      <c r="A5290" t="s">
        <v>2010</v>
      </c>
      <c r="B5290">
        <v>220</v>
      </c>
      <c r="C5290" t="s">
        <v>8089</v>
      </c>
      <c r="D5290" t="s">
        <v>265</v>
      </c>
      <c r="E5290" s="13">
        <v>10000</v>
      </c>
      <c r="F5290" s="12">
        <v>0.19</v>
      </c>
      <c r="G5290" t="str">
        <f>IFERROR(INDEX(tEditais[Órgão],MATCH(tItens[[#This Row],[Edital]],tEditais[Edital],0)),"")</f>
        <v>MUNICIPIO DE LOBATO</v>
      </c>
      <c r="H5290" t="str">
        <f>IFERROR(INDEX(tEditais[UF],MATCH(tItens[[#This Row],[Edital]],tEditais[Edital],0)),"")</f>
        <v>PR</v>
      </c>
      <c r="I5290" s="11">
        <f>IFERROR(INDEX(tEditais[Encerramento],MATCH(tItens[[#This Row],[Edital]],tEditais[Edital],0)),"")</f>
        <v>46308.347222222219</v>
      </c>
      <c r="J5290" t="str">
        <f>IFERROR(INDEX(tProdutos[Classe],MATCH(tItens[[#This Row],[Produto]],tProdutos[Produto],0)),"produto não cadastrado")</f>
        <v>DISPUTADO</v>
      </c>
      <c r="K5290" s="12">
        <f>tItens[[#This Row],[Qtd]]*tItens[[#This Row],[Vlr unit]]</f>
        <v>1900</v>
      </c>
      <c r="L5290" s="6">
        <f>IFERROR(IF(INDEX(tProdutos[Desconto homologado],MATCH(tItens[[#This Row],[Produto]],tProdutos[Produto],0))="",DescontoPadrao,INDEX(tProdutos[Desconto homologado],MATCH(tItens[[#This Row],[Produto]],tProdutos[Produto],0))),DescontoPadrao)</f>
        <v>0.377587663709337</v>
      </c>
      <c r="M5290" s="12">
        <f>tItens[[#This Row],[Valor]]*(1-tItens[[#This Row],[Desconto]])</f>
        <v>1182.5834389522597</v>
      </c>
      <c r="N5290" t="str">
        <f>IFERROR(INDEX(tProdutos[Foco],MATCH(tItens[[#This Row],[Produto]],tProdutos[Produto],0)),"Não")</f>
        <v>Não</v>
      </c>
      <c r="O5290" t="str">
        <f>IFERROR(INDEX(tEditais[SRP],MATCH(tItens[[#This Row],[Edital]],tEditais[Edital],0)),"Não")</f>
        <v>Sim</v>
      </c>
      <c r="P5290" s="4">
        <f>IF(COUNTIFS(INDEX(tItens[Edital],1):tItens[[#This Row],[Edital]],tItens[[#This Row],[Edital]],INDEX(tItens[Produto],1):tItens[[#This Row],[Produto]],tItens[[#This Row],[Produto]])=1,1,0)</f>
        <v>1</v>
      </c>
    </row>
    <row r="5291" spans="1:16" x14ac:dyDescent="0.25">
      <c r="A5291" t="s">
        <v>2010</v>
      </c>
      <c r="B5291">
        <v>221</v>
      </c>
      <c r="C5291" t="s">
        <v>8090</v>
      </c>
      <c r="D5291" t="s">
        <v>289</v>
      </c>
      <c r="E5291" s="13">
        <v>12000</v>
      </c>
      <c r="F5291" s="12">
        <v>0.39</v>
      </c>
      <c r="G5291" t="str">
        <f>IFERROR(INDEX(tEditais[Órgão],MATCH(tItens[[#This Row],[Edital]],tEditais[Edital],0)),"")</f>
        <v>MUNICIPIO DE LOBATO</v>
      </c>
      <c r="H5291" t="str">
        <f>IFERROR(INDEX(tEditais[UF],MATCH(tItens[[#This Row],[Edital]],tEditais[Edital],0)),"")</f>
        <v>PR</v>
      </c>
      <c r="I5291" s="11">
        <f>IFERROR(INDEX(tEditais[Encerramento],MATCH(tItens[[#This Row],[Edital]],tEditais[Edital],0)),"")</f>
        <v>46308.347222222219</v>
      </c>
      <c r="J5291" t="str">
        <f>IFERROR(INDEX(tProdutos[Classe],MATCH(tItens[[#This Row],[Produto]],tProdutos[Produto],0)),"produto não cadastrado")</f>
        <v>DISPUTADO</v>
      </c>
      <c r="K5291" s="12">
        <f>tItens[[#This Row],[Qtd]]*tItens[[#This Row],[Vlr unit]]</f>
        <v>4680</v>
      </c>
      <c r="L5291" s="6">
        <f>IFERROR(IF(INDEX(tProdutos[Desconto homologado],MATCH(tItens[[#This Row],[Produto]],tProdutos[Produto],0))="",DescontoPadrao,INDEX(tProdutos[Desconto homologado],MATCH(tItens[[#This Row],[Produto]],tProdutos[Produto],0))),DescontoPadrao)</f>
        <v>0.35849056603773599</v>
      </c>
      <c r="M5291" s="12">
        <f>tItens[[#This Row],[Valor]]*(1-tItens[[#This Row],[Desconto]])</f>
        <v>3002.2641509433956</v>
      </c>
      <c r="N5291" t="str">
        <f>IFERROR(INDEX(tProdutos[Foco],MATCH(tItens[[#This Row],[Produto]],tProdutos[Produto],0)),"Não")</f>
        <v>Não</v>
      </c>
      <c r="O5291" t="str">
        <f>IFERROR(INDEX(tEditais[SRP],MATCH(tItens[[#This Row],[Edital]],tEditais[Edital],0)),"Não")</f>
        <v>Sim</v>
      </c>
      <c r="P5291" s="4">
        <f>IF(COUNTIFS(INDEX(tItens[Edital],1):tItens[[#This Row],[Edital]],tItens[[#This Row],[Edital]],INDEX(tItens[Produto],1):tItens[[#This Row],[Produto]],tItens[[#This Row],[Produto]])=1,1,0)</f>
        <v>1</v>
      </c>
    </row>
    <row r="5292" spans="1:16" x14ac:dyDescent="0.25">
      <c r="A5292" t="s">
        <v>2010</v>
      </c>
      <c r="B5292">
        <v>223</v>
      </c>
      <c r="C5292" t="s">
        <v>8091</v>
      </c>
      <c r="D5292" t="s">
        <v>164</v>
      </c>
      <c r="E5292" s="13">
        <v>100</v>
      </c>
      <c r="F5292" s="12">
        <v>9.0500000000000007</v>
      </c>
      <c r="G5292" t="str">
        <f>IFERROR(INDEX(tEditais[Órgão],MATCH(tItens[[#This Row],[Edital]],tEditais[Edital],0)),"")</f>
        <v>MUNICIPIO DE LOBATO</v>
      </c>
      <c r="H5292" t="str">
        <f>IFERROR(INDEX(tEditais[UF],MATCH(tItens[[#This Row],[Edital]],tEditais[Edital],0)),"")</f>
        <v>PR</v>
      </c>
      <c r="I5292" s="11">
        <f>IFERROR(INDEX(tEditais[Encerramento],MATCH(tItens[[#This Row],[Edital]],tEditais[Edital],0)),"")</f>
        <v>46308.347222222219</v>
      </c>
      <c r="J5292" t="str">
        <f>IFERROR(INDEX(tProdutos[Classe],MATCH(tItens[[#This Row],[Produto]],tProdutos[Produto],0)),"produto não cadastrado")</f>
        <v>DISPUTADO</v>
      </c>
      <c r="K5292" s="12">
        <f>tItens[[#This Row],[Qtd]]*tItens[[#This Row],[Vlr unit]]</f>
        <v>905.00000000000011</v>
      </c>
      <c r="L5292" s="6">
        <f>IFERROR(IF(INDEX(tProdutos[Desconto homologado],MATCH(tItens[[#This Row],[Produto]],tProdutos[Produto],0))="",DescontoPadrao,INDEX(tProdutos[Desconto homologado],MATCH(tItens[[#This Row],[Produto]],tProdutos[Produto],0))),DescontoPadrao)</f>
        <v>0.445300462249615</v>
      </c>
      <c r="M5292" s="12">
        <f>tItens[[#This Row],[Valor]]*(1-tItens[[#This Row],[Desconto]])</f>
        <v>502.00308166409843</v>
      </c>
      <c r="N5292" t="str">
        <f>IFERROR(INDEX(tProdutos[Foco],MATCH(tItens[[#This Row],[Produto]],tProdutos[Produto],0)),"Não")</f>
        <v>Não</v>
      </c>
      <c r="O5292" t="str">
        <f>IFERROR(INDEX(tEditais[SRP],MATCH(tItens[[#This Row],[Edital]],tEditais[Edital],0)),"Não")</f>
        <v>Sim</v>
      </c>
      <c r="P5292" s="4">
        <f>IF(COUNTIFS(INDEX(tItens[Edital],1):tItens[[#This Row],[Edital]],tItens[[#This Row],[Edital]],INDEX(tItens[Produto],1):tItens[[#This Row],[Produto]],tItens[[#This Row],[Produto]])=1,1,0)</f>
        <v>1</v>
      </c>
    </row>
    <row r="5293" spans="1:16" x14ac:dyDescent="0.25">
      <c r="A5293" t="s">
        <v>2010</v>
      </c>
      <c r="B5293">
        <v>224</v>
      </c>
      <c r="C5293" t="s">
        <v>8092</v>
      </c>
      <c r="D5293" t="s">
        <v>110</v>
      </c>
      <c r="E5293" s="13">
        <v>100</v>
      </c>
      <c r="F5293" s="12">
        <v>1.35</v>
      </c>
      <c r="G5293" t="str">
        <f>IFERROR(INDEX(tEditais[Órgão],MATCH(tItens[[#This Row],[Edital]],tEditais[Edital],0)),"")</f>
        <v>MUNICIPIO DE LOBATO</v>
      </c>
      <c r="H5293" t="str">
        <f>IFERROR(INDEX(tEditais[UF],MATCH(tItens[[#This Row],[Edital]],tEditais[Edital],0)),"")</f>
        <v>PR</v>
      </c>
      <c r="I5293" s="11">
        <f>IFERROR(INDEX(tEditais[Encerramento],MATCH(tItens[[#This Row],[Edital]],tEditais[Edital],0)),"")</f>
        <v>46308.347222222219</v>
      </c>
      <c r="J5293" t="str">
        <f>IFERROR(INDEX(tProdutos[Classe],MATCH(tItens[[#This Row],[Produto]],tProdutos[Produto],0)),"produto não cadastrado")</f>
        <v>NÚCLEO</v>
      </c>
      <c r="K5293" s="12">
        <f>tItens[[#This Row],[Qtd]]*tItens[[#This Row],[Vlr unit]]</f>
        <v>135</v>
      </c>
      <c r="L5293" s="6">
        <f>IFERROR(IF(INDEX(tProdutos[Desconto homologado],MATCH(tItens[[#This Row],[Produto]],tProdutos[Produto],0))="",DescontoPadrao,INDEX(tProdutos[Desconto homologado],MATCH(tItens[[#This Row],[Produto]],tProdutos[Produto],0))),DescontoPadrao)</f>
        <v>0.30410958904109597</v>
      </c>
      <c r="M5293" s="12">
        <f>tItens[[#This Row],[Valor]]*(1-tItens[[#This Row],[Desconto]])</f>
        <v>93.945205479452042</v>
      </c>
      <c r="N5293" t="str">
        <f>IFERROR(INDEX(tProdutos[Foco],MATCH(tItens[[#This Row],[Produto]],tProdutos[Produto],0)),"Não")</f>
        <v>Não</v>
      </c>
      <c r="O5293" t="str">
        <f>IFERROR(INDEX(tEditais[SRP],MATCH(tItens[[#This Row],[Edital]],tEditais[Edital],0)),"Não")</f>
        <v>Sim</v>
      </c>
      <c r="P5293" s="4">
        <f>IF(COUNTIFS(INDEX(tItens[Edital],1):tItens[[#This Row],[Edital]],tItens[[#This Row],[Edital]],INDEX(tItens[Produto],1):tItens[[#This Row],[Produto]],tItens[[#This Row],[Produto]])=1,1,0)</f>
        <v>1</v>
      </c>
    </row>
    <row r="5294" spans="1:16" x14ac:dyDescent="0.25">
      <c r="A5294" t="s">
        <v>2010</v>
      </c>
      <c r="B5294">
        <v>225</v>
      </c>
      <c r="C5294" t="s">
        <v>8093</v>
      </c>
      <c r="D5294" t="s">
        <v>110</v>
      </c>
      <c r="E5294" s="13">
        <v>200</v>
      </c>
      <c r="F5294" s="12">
        <v>1.39</v>
      </c>
      <c r="G5294" t="str">
        <f>IFERROR(INDEX(tEditais[Órgão],MATCH(tItens[[#This Row],[Edital]],tEditais[Edital],0)),"")</f>
        <v>MUNICIPIO DE LOBATO</v>
      </c>
      <c r="H5294" t="str">
        <f>IFERROR(INDEX(tEditais[UF],MATCH(tItens[[#This Row],[Edital]],tEditais[Edital],0)),"")</f>
        <v>PR</v>
      </c>
      <c r="I5294" s="11">
        <f>IFERROR(INDEX(tEditais[Encerramento],MATCH(tItens[[#This Row],[Edital]],tEditais[Edital],0)),"")</f>
        <v>46308.347222222219</v>
      </c>
      <c r="J5294" t="str">
        <f>IFERROR(INDEX(tProdutos[Classe],MATCH(tItens[[#This Row],[Produto]],tProdutos[Produto],0)),"produto não cadastrado")</f>
        <v>NÚCLEO</v>
      </c>
      <c r="K5294" s="12">
        <f>tItens[[#This Row],[Qtd]]*tItens[[#This Row],[Vlr unit]]</f>
        <v>278</v>
      </c>
      <c r="L5294" s="6">
        <f>IFERROR(IF(INDEX(tProdutos[Desconto homologado],MATCH(tItens[[#This Row],[Produto]],tProdutos[Produto],0))="",DescontoPadrao,INDEX(tProdutos[Desconto homologado],MATCH(tItens[[#This Row],[Produto]],tProdutos[Produto],0))),DescontoPadrao)</f>
        <v>0.30410958904109597</v>
      </c>
      <c r="M5294" s="12">
        <f>tItens[[#This Row],[Valor]]*(1-tItens[[#This Row],[Desconto]])</f>
        <v>193.45753424657531</v>
      </c>
      <c r="N5294" t="str">
        <f>IFERROR(INDEX(tProdutos[Foco],MATCH(tItens[[#This Row],[Produto]],tProdutos[Produto],0)),"Não")</f>
        <v>Não</v>
      </c>
      <c r="O5294" t="str">
        <f>IFERROR(INDEX(tEditais[SRP],MATCH(tItens[[#This Row],[Edital]],tEditais[Edital],0)),"Não")</f>
        <v>Sim</v>
      </c>
      <c r="P5294" s="4">
        <f>IF(COUNTIFS(INDEX(tItens[Edital],1):tItens[[#This Row],[Edital]],tItens[[#This Row],[Edital]],INDEX(tItens[Produto],1):tItens[[#This Row],[Produto]],tItens[[#This Row],[Produto]])=1,1,0)</f>
        <v>0</v>
      </c>
    </row>
    <row r="5295" spans="1:16" x14ac:dyDescent="0.25">
      <c r="A5295" t="s">
        <v>2010</v>
      </c>
      <c r="B5295">
        <v>226</v>
      </c>
      <c r="C5295" t="s">
        <v>8094</v>
      </c>
      <c r="D5295" t="s">
        <v>110</v>
      </c>
      <c r="E5295" s="13">
        <v>200</v>
      </c>
      <c r="F5295" s="12">
        <v>1.24</v>
      </c>
      <c r="G5295" t="str">
        <f>IFERROR(INDEX(tEditais[Órgão],MATCH(tItens[[#This Row],[Edital]],tEditais[Edital],0)),"")</f>
        <v>MUNICIPIO DE LOBATO</v>
      </c>
      <c r="H5295" t="str">
        <f>IFERROR(INDEX(tEditais[UF],MATCH(tItens[[#This Row],[Edital]],tEditais[Edital],0)),"")</f>
        <v>PR</v>
      </c>
      <c r="I5295" s="11">
        <f>IFERROR(INDEX(tEditais[Encerramento],MATCH(tItens[[#This Row],[Edital]],tEditais[Edital],0)),"")</f>
        <v>46308.347222222219</v>
      </c>
      <c r="J5295" t="str">
        <f>IFERROR(INDEX(tProdutos[Classe],MATCH(tItens[[#This Row],[Produto]],tProdutos[Produto],0)),"produto não cadastrado")</f>
        <v>NÚCLEO</v>
      </c>
      <c r="K5295" s="12">
        <f>tItens[[#This Row],[Qtd]]*tItens[[#This Row],[Vlr unit]]</f>
        <v>248</v>
      </c>
      <c r="L5295" s="6">
        <f>IFERROR(IF(INDEX(tProdutos[Desconto homologado],MATCH(tItens[[#This Row],[Produto]],tProdutos[Produto],0))="",DescontoPadrao,INDEX(tProdutos[Desconto homologado],MATCH(tItens[[#This Row],[Produto]],tProdutos[Produto],0))),DescontoPadrao)</f>
        <v>0.30410958904109597</v>
      </c>
      <c r="M5295" s="12">
        <f>tItens[[#This Row],[Valor]]*(1-tItens[[#This Row],[Desconto]])</f>
        <v>172.58082191780821</v>
      </c>
      <c r="N5295" t="str">
        <f>IFERROR(INDEX(tProdutos[Foco],MATCH(tItens[[#This Row],[Produto]],tProdutos[Produto],0)),"Não")</f>
        <v>Não</v>
      </c>
      <c r="O5295" t="str">
        <f>IFERROR(INDEX(tEditais[SRP],MATCH(tItens[[#This Row],[Edital]],tEditais[Edital],0)),"Não")</f>
        <v>Sim</v>
      </c>
      <c r="P5295" s="4">
        <f>IF(COUNTIFS(INDEX(tItens[Edital],1):tItens[[#This Row],[Edital]],tItens[[#This Row],[Edital]],INDEX(tItens[Produto],1):tItens[[#This Row],[Produto]],tItens[[#This Row],[Produto]])=1,1,0)</f>
        <v>0</v>
      </c>
    </row>
    <row r="5296" spans="1:16" x14ac:dyDescent="0.25">
      <c r="A5296" t="s">
        <v>2010</v>
      </c>
      <c r="B5296">
        <v>227</v>
      </c>
      <c r="C5296" t="s">
        <v>8095</v>
      </c>
      <c r="D5296" t="s">
        <v>110</v>
      </c>
      <c r="E5296" s="13">
        <v>200</v>
      </c>
      <c r="F5296" s="12">
        <v>1.29</v>
      </c>
      <c r="G5296" t="str">
        <f>IFERROR(INDEX(tEditais[Órgão],MATCH(tItens[[#This Row],[Edital]],tEditais[Edital],0)),"")</f>
        <v>MUNICIPIO DE LOBATO</v>
      </c>
      <c r="H5296" t="str">
        <f>IFERROR(INDEX(tEditais[UF],MATCH(tItens[[#This Row],[Edital]],tEditais[Edital],0)),"")</f>
        <v>PR</v>
      </c>
      <c r="I5296" s="11">
        <f>IFERROR(INDEX(tEditais[Encerramento],MATCH(tItens[[#This Row],[Edital]],tEditais[Edital],0)),"")</f>
        <v>46308.347222222219</v>
      </c>
      <c r="J5296" t="str">
        <f>IFERROR(INDEX(tProdutos[Classe],MATCH(tItens[[#This Row],[Produto]],tProdutos[Produto],0)),"produto não cadastrado")</f>
        <v>NÚCLEO</v>
      </c>
      <c r="K5296" s="12">
        <f>tItens[[#This Row],[Qtd]]*tItens[[#This Row],[Vlr unit]]</f>
        <v>258</v>
      </c>
      <c r="L5296" s="6">
        <f>IFERROR(IF(INDEX(tProdutos[Desconto homologado],MATCH(tItens[[#This Row],[Produto]],tProdutos[Produto],0))="",DescontoPadrao,INDEX(tProdutos[Desconto homologado],MATCH(tItens[[#This Row],[Produto]],tProdutos[Produto],0))),DescontoPadrao)</f>
        <v>0.30410958904109597</v>
      </c>
      <c r="M5296" s="12">
        <f>tItens[[#This Row],[Valor]]*(1-tItens[[#This Row],[Desconto]])</f>
        <v>179.53972602739725</v>
      </c>
      <c r="N5296" t="str">
        <f>IFERROR(INDEX(tProdutos[Foco],MATCH(tItens[[#This Row],[Produto]],tProdutos[Produto],0)),"Não")</f>
        <v>Não</v>
      </c>
      <c r="O5296" t="str">
        <f>IFERROR(INDEX(tEditais[SRP],MATCH(tItens[[#This Row],[Edital]],tEditais[Edital],0)),"Não")</f>
        <v>Sim</v>
      </c>
      <c r="P5296" s="4">
        <f>IF(COUNTIFS(INDEX(tItens[Edital],1):tItens[[#This Row],[Edital]],tItens[[#This Row],[Edital]],INDEX(tItens[Produto],1):tItens[[#This Row],[Produto]],tItens[[#This Row],[Produto]])=1,1,0)</f>
        <v>0</v>
      </c>
    </row>
    <row r="5297" spans="1:16" x14ac:dyDescent="0.25">
      <c r="A5297" t="s">
        <v>2010</v>
      </c>
      <c r="B5297">
        <v>228</v>
      </c>
      <c r="C5297" t="s">
        <v>8096</v>
      </c>
      <c r="D5297" t="s">
        <v>110</v>
      </c>
      <c r="E5297" s="13">
        <v>200</v>
      </c>
      <c r="F5297" s="12">
        <v>1.36</v>
      </c>
      <c r="G5297" t="str">
        <f>IFERROR(INDEX(tEditais[Órgão],MATCH(tItens[[#This Row],[Edital]],tEditais[Edital],0)),"")</f>
        <v>MUNICIPIO DE LOBATO</v>
      </c>
      <c r="H5297" t="str">
        <f>IFERROR(INDEX(tEditais[UF],MATCH(tItens[[#This Row],[Edital]],tEditais[Edital],0)),"")</f>
        <v>PR</v>
      </c>
      <c r="I5297" s="11">
        <f>IFERROR(INDEX(tEditais[Encerramento],MATCH(tItens[[#This Row],[Edital]],tEditais[Edital],0)),"")</f>
        <v>46308.347222222219</v>
      </c>
      <c r="J5297" t="str">
        <f>IFERROR(INDEX(tProdutos[Classe],MATCH(tItens[[#This Row],[Produto]],tProdutos[Produto],0)),"produto não cadastrado")</f>
        <v>NÚCLEO</v>
      </c>
      <c r="K5297" s="12">
        <f>tItens[[#This Row],[Qtd]]*tItens[[#This Row],[Vlr unit]]</f>
        <v>272</v>
      </c>
      <c r="L5297" s="6">
        <f>IFERROR(IF(INDEX(tProdutos[Desconto homologado],MATCH(tItens[[#This Row],[Produto]],tProdutos[Produto],0))="",DescontoPadrao,INDEX(tProdutos[Desconto homologado],MATCH(tItens[[#This Row],[Produto]],tProdutos[Produto],0))),DescontoPadrao)</f>
        <v>0.30410958904109597</v>
      </c>
      <c r="M5297" s="12">
        <f>tItens[[#This Row],[Valor]]*(1-tItens[[#This Row],[Desconto]])</f>
        <v>189.2821917808219</v>
      </c>
      <c r="N5297" t="str">
        <f>IFERROR(INDEX(tProdutos[Foco],MATCH(tItens[[#This Row],[Produto]],tProdutos[Produto],0)),"Não")</f>
        <v>Não</v>
      </c>
      <c r="O5297" t="str">
        <f>IFERROR(INDEX(tEditais[SRP],MATCH(tItens[[#This Row],[Edital]],tEditais[Edital],0)),"Não")</f>
        <v>Sim</v>
      </c>
      <c r="P5297" s="4">
        <f>IF(COUNTIFS(INDEX(tItens[Edital],1):tItens[[#This Row],[Edital]],tItens[[#This Row],[Edital]],INDEX(tItens[Produto],1):tItens[[#This Row],[Produto]],tItens[[#This Row],[Produto]])=1,1,0)</f>
        <v>0</v>
      </c>
    </row>
    <row r="5298" spans="1:16" x14ac:dyDescent="0.25">
      <c r="A5298" t="s">
        <v>2010</v>
      </c>
      <c r="B5298">
        <v>229</v>
      </c>
      <c r="C5298" t="s">
        <v>8097</v>
      </c>
      <c r="D5298" t="s">
        <v>110</v>
      </c>
      <c r="E5298" s="13">
        <v>200</v>
      </c>
      <c r="F5298" s="12">
        <v>1.27</v>
      </c>
      <c r="G5298" t="str">
        <f>IFERROR(INDEX(tEditais[Órgão],MATCH(tItens[[#This Row],[Edital]],tEditais[Edital],0)),"")</f>
        <v>MUNICIPIO DE LOBATO</v>
      </c>
      <c r="H5298" t="str">
        <f>IFERROR(INDEX(tEditais[UF],MATCH(tItens[[#This Row],[Edital]],tEditais[Edital],0)),"")</f>
        <v>PR</v>
      </c>
      <c r="I5298" s="11">
        <f>IFERROR(INDEX(tEditais[Encerramento],MATCH(tItens[[#This Row],[Edital]],tEditais[Edital],0)),"")</f>
        <v>46308.347222222219</v>
      </c>
      <c r="J5298" t="str">
        <f>IFERROR(INDEX(tProdutos[Classe],MATCH(tItens[[#This Row],[Produto]],tProdutos[Produto],0)),"produto não cadastrado")</f>
        <v>NÚCLEO</v>
      </c>
      <c r="K5298" s="12">
        <f>tItens[[#This Row],[Qtd]]*tItens[[#This Row],[Vlr unit]]</f>
        <v>254</v>
      </c>
      <c r="L5298" s="6">
        <f>IFERROR(IF(INDEX(tProdutos[Desconto homologado],MATCH(tItens[[#This Row],[Produto]],tProdutos[Produto],0))="",DescontoPadrao,INDEX(tProdutos[Desconto homologado],MATCH(tItens[[#This Row],[Produto]],tProdutos[Produto],0))),DescontoPadrao)</f>
        <v>0.30410958904109597</v>
      </c>
      <c r="M5298" s="12">
        <f>tItens[[#This Row],[Valor]]*(1-tItens[[#This Row],[Desconto]])</f>
        <v>176.75616438356161</v>
      </c>
      <c r="N5298" t="str">
        <f>IFERROR(INDEX(tProdutos[Foco],MATCH(tItens[[#This Row],[Produto]],tProdutos[Produto],0)),"Não")</f>
        <v>Não</v>
      </c>
      <c r="O5298" t="str">
        <f>IFERROR(INDEX(tEditais[SRP],MATCH(tItens[[#This Row],[Edital]],tEditais[Edital],0)),"Não")</f>
        <v>Sim</v>
      </c>
      <c r="P5298" s="4">
        <f>IF(COUNTIFS(INDEX(tItens[Edital],1):tItens[[#This Row],[Edital]],tItens[[#This Row],[Edital]],INDEX(tItens[Produto],1):tItens[[#This Row],[Produto]],tItens[[#This Row],[Produto]])=1,1,0)</f>
        <v>0</v>
      </c>
    </row>
    <row r="5299" spans="1:16" x14ac:dyDescent="0.25">
      <c r="A5299" t="s">
        <v>2010</v>
      </c>
      <c r="B5299">
        <v>230</v>
      </c>
      <c r="C5299" t="s">
        <v>8098</v>
      </c>
      <c r="D5299" t="s">
        <v>110</v>
      </c>
      <c r="E5299" s="13">
        <v>100</v>
      </c>
      <c r="F5299" s="12">
        <v>1.03</v>
      </c>
      <c r="G5299" t="str">
        <f>IFERROR(INDEX(tEditais[Órgão],MATCH(tItens[[#This Row],[Edital]],tEditais[Edital],0)),"")</f>
        <v>MUNICIPIO DE LOBATO</v>
      </c>
      <c r="H5299" t="str">
        <f>IFERROR(INDEX(tEditais[UF],MATCH(tItens[[#This Row],[Edital]],tEditais[Edital],0)),"")</f>
        <v>PR</v>
      </c>
      <c r="I5299" s="11">
        <f>IFERROR(INDEX(tEditais[Encerramento],MATCH(tItens[[#This Row],[Edital]],tEditais[Edital],0)),"")</f>
        <v>46308.347222222219</v>
      </c>
      <c r="J5299" t="str">
        <f>IFERROR(INDEX(tProdutos[Classe],MATCH(tItens[[#This Row],[Produto]],tProdutos[Produto],0)),"produto não cadastrado")</f>
        <v>NÚCLEO</v>
      </c>
      <c r="K5299" s="12">
        <f>tItens[[#This Row],[Qtd]]*tItens[[#This Row],[Vlr unit]]</f>
        <v>103</v>
      </c>
      <c r="L5299" s="6">
        <f>IFERROR(IF(INDEX(tProdutos[Desconto homologado],MATCH(tItens[[#This Row],[Produto]],tProdutos[Produto],0))="",DescontoPadrao,INDEX(tProdutos[Desconto homologado],MATCH(tItens[[#This Row],[Produto]],tProdutos[Produto],0))),DescontoPadrao)</f>
        <v>0.30410958904109597</v>
      </c>
      <c r="M5299" s="12">
        <f>tItens[[#This Row],[Valor]]*(1-tItens[[#This Row],[Desconto]])</f>
        <v>71.67671232876711</v>
      </c>
      <c r="N5299" t="str">
        <f>IFERROR(INDEX(tProdutos[Foco],MATCH(tItens[[#This Row],[Produto]],tProdutos[Produto],0)),"Não")</f>
        <v>Não</v>
      </c>
      <c r="O5299" t="str">
        <f>IFERROR(INDEX(tEditais[SRP],MATCH(tItens[[#This Row],[Edital]],tEditais[Edital],0)),"Não")</f>
        <v>Sim</v>
      </c>
      <c r="P5299" s="4">
        <f>IF(COUNTIFS(INDEX(tItens[Edital],1):tItens[[#This Row],[Edital]],tItens[[#This Row],[Edital]],INDEX(tItens[Produto],1):tItens[[#This Row],[Produto]],tItens[[#This Row],[Produto]])=1,1,0)</f>
        <v>0</v>
      </c>
    </row>
    <row r="5300" spans="1:16" x14ac:dyDescent="0.25">
      <c r="A5300" t="s">
        <v>2010</v>
      </c>
      <c r="B5300">
        <v>231</v>
      </c>
      <c r="C5300" t="s">
        <v>8099</v>
      </c>
      <c r="D5300" t="s">
        <v>120</v>
      </c>
      <c r="E5300" s="13">
        <v>200</v>
      </c>
      <c r="F5300" s="12">
        <v>0.72</v>
      </c>
      <c r="G5300" t="str">
        <f>IFERROR(INDEX(tEditais[Órgão],MATCH(tItens[[#This Row],[Edital]],tEditais[Edital],0)),"")</f>
        <v>MUNICIPIO DE LOBATO</v>
      </c>
      <c r="H5300" t="str">
        <f>IFERROR(INDEX(tEditais[UF],MATCH(tItens[[#This Row],[Edital]],tEditais[Edital],0)),"")</f>
        <v>PR</v>
      </c>
      <c r="I5300" s="11">
        <f>IFERROR(INDEX(tEditais[Encerramento],MATCH(tItens[[#This Row],[Edital]],tEditais[Edital],0)),"")</f>
        <v>46308.347222222219</v>
      </c>
      <c r="J5300" t="str">
        <f>IFERROR(INDEX(tProdutos[Classe],MATCH(tItens[[#This Row],[Produto]],tProdutos[Produto],0)),"produto não cadastrado")</f>
        <v>DISPUTADO</v>
      </c>
      <c r="K5300" s="12">
        <f>tItens[[#This Row],[Qtd]]*tItens[[#This Row],[Vlr unit]]</f>
        <v>144</v>
      </c>
      <c r="L5300" s="6">
        <f>IFERROR(IF(INDEX(tProdutos[Desconto homologado],MATCH(tItens[[#This Row],[Produto]],tProdutos[Produto],0))="",DescontoPadrao,INDEX(tProdutos[Desconto homologado],MATCH(tItens[[#This Row],[Produto]],tProdutos[Produto],0))),DescontoPadrao)</f>
        <v>0.40909090909090901</v>
      </c>
      <c r="M5300" s="12">
        <f>tItens[[#This Row],[Valor]]*(1-tItens[[#This Row],[Desconto]])</f>
        <v>85.090909090909108</v>
      </c>
      <c r="N5300" t="str">
        <f>IFERROR(INDEX(tProdutos[Foco],MATCH(tItens[[#This Row],[Produto]],tProdutos[Produto],0)),"Não")</f>
        <v>Não</v>
      </c>
      <c r="O5300" t="str">
        <f>IFERROR(INDEX(tEditais[SRP],MATCH(tItens[[#This Row],[Edital]],tEditais[Edital],0)),"Não")</f>
        <v>Sim</v>
      </c>
      <c r="P5300" s="4">
        <f>IF(COUNTIFS(INDEX(tItens[Edital],1):tItens[[#This Row],[Edital]],tItens[[#This Row],[Edital]],INDEX(tItens[Produto],1):tItens[[#This Row],[Produto]],tItens[[#This Row],[Produto]])=1,1,0)</f>
        <v>1</v>
      </c>
    </row>
    <row r="5301" spans="1:16" x14ac:dyDescent="0.25">
      <c r="A5301" t="s">
        <v>2010</v>
      </c>
      <c r="B5301">
        <v>232</v>
      </c>
      <c r="C5301" t="s">
        <v>8100</v>
      </c>
      <c r="D5301" t="s">
        <v>120</v>
      </c>
      <c r="E5301" s="13">
        <v>10000</v>
      </c>
      <c r="F5301" s="12">
        <v>0.8</v>
      </c>
      <c r="G5301" t="str">
        <f>IFERROR(INDEX(tEditais[Órgão],MATCH(tItens[[#This Row],[Edital]],tEditais[Edital],0)),"")</f>
        <v>MUNICIPIO DE LOBATO</v>
      </c>
      <c r="H5301" t="str">
        <f>IFERROR(INDEX(tEditais[UF],MATCH(tItens[[#This Row],[Edital]],tEditais[Edital],0)),"")</f>
        <v>PR</v>
      </c>
      <c r="I5301" s="11">
        <f>IFERROR(INDEX(tEditais[Encerramento],MATCH(tItens[[#This Row],[Edital]],tEditais[Edital],0)),"")</f>
        <v>46308.347222222219</v>
      </c>
      <c r="J5301" t="str">
        <f>IFERROR(INDEX(tProdutos[Classe],MATCH(tItens[[#This Row],[Produto]],tProdutos[Produto],0)),"produto não cadastrado")</f>
        <v>DISPUTADO</v>
      </c>
      <c r="K5301" s="12">
        <f>tItens[[#This Row],[Qtd]]*tItens[[#This Row],[Vlr unit]]</f>
        <v>8000</v>
      </c>
      <c r="L5301" s="6">
        <f>IFERROR(IF(INDEX(tProdutos[Desconto homologado],MATCH(tItens[[#This Row],[Produto]],tProdutos[Produto],0))="",DescontoPadrao,INDEX(tProdutos[Desconto homologado],MATCH(tItens[[#This Row],[Produto]],tProdutos[Produto],0))),DescontoPadrao)</f>
        <v>0.40909090909090901</v>
      </c>
      <c r="M5301" s="12">
        <f>tItens[[#This Row],[Valor]]*(1-tItens[[#This Row],[Desconto]])</f>
        <v>4727.2727272727288</v>
      </c>
      <c r="N5301" t="str">
        <f>IFERROR(INDEX(tProdutos[Foco],MATCH(tItens[[#This Row],[Produto]],tProdutos[Produto],0)),"Não")</f>
        <v>Não</v>
      </c>
      <c r="O5301" t="str">
        <f>IFERROR(INDEX(tEditais[SRP],MATCH(tItens[[#This Row],[Edital]],tEditais[Edital],0)),"Não")</f>
        <v>Sim</v>
      </c>
      <c r="P5301" s="4">
        <f>IF(COUNTIFS(INDEX(tItens[Edital],1):tItens[[#This Row],[Edital]],tItens[[#This Row],[Edital]],INDEX(tItens[Produto],1):tItens[[#This Row],[Produto]],tItens[[#This Row],[Produto]])=1,1,0)</f>
        <v>0</v>
      </c>
    </row>
    <row r="5302" spans="1:16" x14ac:dyDescent="0.25">
      <c r="A5302" t="s">
        <v>2010</v>
      </c>
      <c r="B5302">
        <v>233</v>
      </c>
      <c r="C5302" t="s">
        <v>8101</v>
      </c>
      <c r="D5302" t="s">
        <v>120</v>
      </c>
      <c r="E5302" s="13">
        <v>10000</v>
      </c>
      <c r="F5302" s="12">
        <v>0.76</v>
      </c>
      <c r="G5302" t="str">
        <f>IFERROR(INDEX(tEditais[Órgão],MATCH(tItens[[#This Row],[Edital]],tEditais[Edital],0)),"")</f>
        <v>MUNICIPIO DE LOBATO</v>
      </c>
      <c r="H5302" t="str">
        <f>IFERROR(INDEX(tEditais[UF],MATCH(tItens[[#This Row],[Edital]],tEditais[Edital],0)),"")</f>
        <v>PR</v>
      </c>
      <c r="I5302" s="11">
        <f>IFERROR(INDEX(tEditais[Encerramento],MATCH(tItens[[#This Row],[Edital]],tEditais[Edital],0)),"")</f>
        <v>46308.347222222219</v>
      </c>
      <c r="J5302" t="str">
        <f>IFERROR(INDEX(tProdutos[Classe],MATCH(tItens[[#This Row],[Produto]],tProdutos[Produto],0)),"produto não cadastrado")</f>
        <v>DISPUTADO</v>
      </c>
      <c r="K5302" s="12">
        <f>tItens[[#This Row],[Qtd]]*tItens[[#This Row],[Vlr unit]]</f>
        <v>7600</v>
      </c>
      <c r="L5302" s="6">
        <f>IFERROR(IF(INDEX(tProdutos[Desconto homologado],MATCH(tItens[[#This Row],[Produto]],tProdutos[Produto],0))="",DescontoPadrao,INDEX(tProdutos[Desconto homologado],MATCH(tItens[[#This Row],[Produto]],tProdutos[Produto],0))),DescontoPadrao)</f>
        <v>0.40909090909090901</v>
      </c>
      <c r="M5302" s="12">
        <f>tItens[[#This Row],[Valor]]*(1-tItens[[#This Row],[Desconto]])</f>
        <v>4490.9090909090919</v>
      </c>
      <c r="N5302" t="str">
        <f>IFERROR(INDEX(tProdutos[Foco],MATCH(tItens[[#This Row],[Produto]],tProdutos[Produto],0)),"Não")</f>
        <v>Não</v>
      </c>
      <c r="O5302" t="str">
        <f>IFERROR(INDEX(tEditais[SRP],MATCH(tItens[[#This Row],[Edital]],tEditais[Edital],0)),"Não")</f>
        <v>Sim</v>
      </c>
      <c r="P5302" s="4">
        <f>IF(COUNTIFS(INDEX(tItens[Edital],1):tItens[[#This Row],[Edital]],tItens[[#This Row],[Edital]],INDEX(tItens[Produto],1):tItens[[#This Row],[Produto]],tItens[[#This Row],[Produto]])=1,1,0)</f>
        <v>0</v>
      </c>
    </row>
    <row r="5303" spans="1:16" x14ac:dyDescent="0.25">
      <c r="A5303" t="s">
        <v>2010</v>
      </c>
      <c r="B5303">
        <v>234</v>
      </c>
      <c r="C5303" t="s">
        <v>8102</v>
      </c>
      <c r="D5303" t="s">
        <v>120</v>
      </c>
      <c r="E5303" s="13">
        <v>200</v>
      </c>
      <c r="F5303" s="12">
        <v>0.8</v>
      </c>
      <c r="G5303" t="str">
        <f>IFERROR(INDEX(tEditais[Órgão],MATCH(tItens[[#This Row],[Edital]],tEditais[Edital],0)),"")</f>
        <v>MUNICIPIO DE LOBATO</v>
      </c>
      <c r="H5303" t="str">
        <f>IFERROR(INDEX(tEditais[UF],MATCH(tItens[[#This Row],[Edital]],tEditais[Edital],0)),"")</f>
        <v>PR</v>
      </c>
      <c r="I5303" s="11">
        <f>IFERROR(INDEX(tEditais[Encerramento],MATCH(tItens[[#This Row],[Edital]],tEditais[Edital],0)),"")</f>
        <v>46308.347222222219</v>
      </c>
      <c r="J5303" t="str">
        <f>IFERROR(INDEX(tProdutos[Classe],MATCH(tItens[[#This Row],[Produto]],tProdutos[Produto],0)),"produto não cadastrado")</f>
        <v>DISPUTADO</v>
      </c>
      <c r="K5303" s="12">
        <f>tItens[[#This Row],[Qtd]]*tItens[[#This Row],[Vlr unit]]</f>
        <v>160</v>
      </c>
      <c r="L5303" s="6">
        <f>IFERROR(IF(INDEX(tProdutos[Desconto homologado],MATCH(tItens[[#This Row],[Produto]],tProdutos[Produto],0))="",DescontoPadrao,INDEX(tProdutos[Desconto homologado],MATCH(tItens[[#This Row],[Produto]],tProdutos[Produto],0))),DescontoPadrao)</f>
        <v>0.40909090909090901</v>
      </c>
      <c r="M5303" s="12">
        <f>tItens[[#This Row],[Valor]]*(1-tItens[[#This Row],[Desconto]])</f>
        <v>94.545454545454561</v>
      </c>
      <c r="N5303" t="str">
        <f>IFERROR(INDEX(tProdutos[Foco],MATCH(tItens[[#This Row],[Produto]],tProdutos[Produto],0)),"Não")</f>
        <v>Não</v>
      </c>
      <c r="O5303" t="str">
        <f>IFERROR(INDEX(tEditais[SRP],MATCH(tItens[[#This Row],[Edital]],tEditais[Edital],0)),"Não")</f>
        <v>Sim</v>
      </c>
      <c r="P5303" s="4">
        <f>IF(COUNTIFS(INDEX(tItens[Edital],1):tItens[[#This Row],[Edital]],tItens[[#This Row],[Edital]],INDEX(tItens[Produto],1):tItens[[#This Row],[Produto]],tItens[[#This Row],[Produto]])=1,1,0)</f>
        <v>0</v>
      </c>
    </row>
    <row r="5304" spans="1:16" x14ac:dyDescent="0.25">
      <c r="A5304" t="s">
        <v>2010</v>
      </c>
      <c r="B5304">
        <v>235</v>
      </c>
      <c r="C5304" t="s">
        <v>8103</v>
      </c>
      <c r="D5304" t="s">
        <v>120</v>
      </c>
      <c r="E5304" s="13">
        <v>200</v>
      </c>
      <c r="F5304" s="12">
        <v>0.73</v>
      </c>
      <c r="G5304" t="str">
        <f>IFERROR(INDEX(tEditais[Órgão],MATCH(tItens[[#This Row],[Edital]],tEditais[Edital],0)),"")</f>
        <v>MUNICIPIO DE LOBATO</v>
      </c>
      <c r="H5304" t="str">
        <f>IFERROR(INDEX(tEditais[UF],MATCH(tItens[[#This Row],[Edital]],tEditais[Edital],0)),"")</f>
        <v>PR</v>
      </c>
      <c r="I5304" s="11">
        <f>IFERROR(INDEX(tEditais[Encerramento],MATCH(tItens[[#This Row],[Edital]],tEditais[Edital],0)),"")</f>
        <v>46308.347222222219</v>
      </c>
      <c r="J5304" t="str">
        <f>IFERROR(INDEX(tProdutos[Classe],MATCH(tItens[[#This Row],[Produto]],tProdutos[Produto],0)),"produto não cadastrado")</f>
        <v>DISPUTADO</v>
      </c>
      <c r="K5304" s="12">
        <f>tItens[[#This Row],[Qtd]]*tItens[[#This Row],[Vlr unit]]</f>
        <v>146</v>
      </c>
      <c r="L5304" s="6">
        <f>IFERROR(IF(INDEX(tProdutos[Desconto homologado],MATCH(tItens[[#This Row],[Produto]],tProdutos[Produto],0))="",DescontoPadrao,INDEX(tProdutos[Desconto homologado],MATCH(tItens[[#This Row],[Produto]],tProdutos[Produto],0))),DescontoPadrao)</f>
        <v>0.40909090909090901</v>
      </c>
      <c r="M5304" s="12">
        <f>tItens[[#This Row],[Valor]]*(1-tItens[[#This Row],[Desconto]])</f>
        <v>86.272727272727295</v>
      </c>
      <c r="N5304" t="str">
        <f>IFERROR(INDEX(tProdutos[Foco],MATCH(tItens[[#This Row],[Produto]],tProdutos[Produto],0)),"Não")</f>
        <v>Não</v>
      </c>
      <c r="O5304" t="str">
        <f>IFERROR(INDEX(tEditais[SRP],MATCH(tItens[[#This Row],[Edital]],tEditais[Edital],0)),"Não")</f>
        <v>Sim</v>
      </c>
      <c r="P5304" s="4">
        <f>IF(COUNTIFS(INDEX(tItens[Edital],1):tItens[[#This Row],[Edital]],tItens[[#This Row],[Edital]],INDEX(tItens[Produto],1):tItens[[#This Row],[Produto]],tItens[[#This Row],[Produto]])=1,1,0)</f>
        <v>0</v>
      </c>
    </row>
    <row r="5305" spans="1:16" x14ac:dyDescent="0.25">
      <c r="A5305" t="s">
        <v>2010</v>
      </c>
      <c r="B5305">
        <v>236</v>
      </c>
      <c r="C5305" t="s">
        <v>8104</v>
      </c>
      <c r="D5305" t="s">
        <v>120</v>
      </c>
      <c r="E5305" s="13">
        <v>200</v>
      </c>
      <c r="F5305" s="12">
        <v>0.59</v>
      </c>
      <c r="G5305" t="str">
        <f>IFERROR(INDEX(tEditais[Órgão],MATCH(tItens[[#This Row],[Edital]],tEditais[Edital],0)),"")</f>
        <v>MUNICIPIO DE LOBATO</v>
      </c>
      <c r="H5305" t="str">
        <f>IFERROR(INDEX(tEditais[UF],MATCH(tItens[[#This Row],[Edital]],tEditais[Edital],0)),"")</f>
        <v>PR</v>
      </c>
      <c r="I5305" s="11">
        <f>IFERROR(INDEX(tEditais[Encerramento],MATCH(tItens[[#This Row],[Edital]],tEditais[Edital],0)),"")</f>
        <v>46308.347222222219</v>
      </c>
      <c r="J5305" t="str">
        <f>IFERROR(INDEX(tProdutos[Classe],MATCH(tItens[[#This Row],[Produto]],tProdutos[Produto],0)),"produto não cadastrado")</f>
        <v>DISPUTADO</v>
      </c>
      <c r="K5305" s="12">
        <f>tItens[[#This Row],[Qtd]]*tItens[[#This Row],[Vlr unit]]</f>
        <v>118</v>
      </c>
      <c r="L5305" s="6">
        <f>IFERROR(IF(INDEX(tProdutos[Desconto homologado],MATCH(tItens[[#This Row],[Produto]],tProdutos[Produto],0))="",DescontoPadrao,INDEX(tProdutos[Desconto homologado],MATCH(tItens[[#This Row],[Produto]],tProdutos[Produto],0))),DescontoPadrao)</f>
        <v>0.40909090909090901</v>
      </c>
      <c r="M5305" s="12">
        <f>tItens[[#This Row],[Valor]]*(1-tItens[[#This Row],[Desconto]])</f>
        <v>69.727272727272748</v>
      </c>
      <c r="N5305" t="str">
        <f>IFERROR(INDEX(tProdutos[Foco],MATCH(tItens[[#This Row],[Produto]],tProdutos[Produto],0)),"Não")</f>
        <v>Não</v>
      </c>
      <c r="O5305" t="str">
        <f>IFERROR(INDEX(tEditais[SRP],MATCH(tItens[[#This Row],[Edital]],tEditais[Edital],0)),"Não")</f>
        <v>Sim</v>
      </c>
      <c r="P5305" s="4">
        <f>IF(COUNTIFS(INDEX(tItens[Edital],1):tItens[[#This Row],[Edital]],tItens[[#This Row],[Edital]],INDEX(tItens[Produto],1):tItens[[#This Row],[Produto]],tItens[[#This Row],[Produto]])=1,1,0)</f>
        <v>0</v>
      </c>
    </row>
    <row r="5306" spans="1:16" x14ac:dyDescent="0.25">
      <c r="A5306" t="s">
        <v>2010</v>
      </c>
      <c r="B5306">
        <v>237</v>
      </c>
      <c r="C5306" t="s">
        <v>8105</v>
      </c>
      <c r="D5306" t="s">
        <v>120</v>
      </c>
      <c r="E5306" s="13">
        <v>200</v>
      </c>
      <c r="F5306" s="12">
        <v>0.65</v>
      </c>
      <c r="G5306" t="str">
        <f>IFERROR(INDEX(tEditais[Órgão],MATCH(tItens[[#This Row],[Edital]],tEditais[Edital],0)),"")</f>
        <v>MUNICIPIO DE LOBATO</v>
      </c>
      <c r="H5306" t="str">
        <f>IFERROR(INDEX(tEditais[UF],MATCH(tItens[[#This Row],[Edital]],tEditais[Edital],0)),"")</f>
        <v>PR</v>
      </c>
      <c r="I5306" s="11">
        <f>IFERROR(INDEX(tEditais[Encerramento],MATCH(tItens[[#This Row],[Edital]],tEditais[Edital],0)),"")</f>
        <v>46308.347222222219</v>
      </c>
      <c r="J5306" t="str">
        <f>IFERROR(INDEX(tProdutos[Classe],MATCH(tItens[[#This Row],[Produto]],tProdutos[Produto],0)),"produto não cadastrado")</f>
        <v>DISPUTADO</v>
      </c>
      <c r="K5306" s="12">
        <f>tItens[[#This Row],[Qtd]]*tItens[[#This Row],[Vlr unit]]</f>
        <v>130</v>
      </c>
      <c r="L5306" s="6">
        <f>IFERROR(IF(INDEX(tProdutos[Desconto homologado],MATCH(tItens[[#This Row],[Produto]],tProdutos[Produto],0))="",DescontoPadrao,INDEX(tProdutos[Desconto homologado],MATCH(tItens[[#This Row],[Produto]],tProdutos[Produto],0))),DescontoPadrao)</f>
        <v>0.40909090909090901</v>
      </c>
      <c r="M5306" s="12">
        <f>tItens[[#This Row],[Valor]]*(1-tItens[[#This Row],[Desconto]])</f>
        <v>76.818181818181841</v>
      </c>
      <c r="N5306" t="str">
        <f>IFERROR(INDEX(tProdutos[Foco],MATCH(tItens[[#This Row],[Produto]],tProdutos[Produto],0)),"Não")</f>
        <v>Não</v>
      </c>
      <c r="O5306" t="str">
        <f>IFERROR(INDEX(tEditais[SRP],MATCH(tItens[[#This Row],[Edital]],tEditais[Edital],0)),"Não")</f>
        <v>Sim</v>
      </c>
      <c r="P5306" s="4">
        <f>IF(COUNTIFS(INDEX(tItens[Edital],1):tItens[[#This Row],[Edital]],tItens[[#This Row],[Edital]],INDEX(tItens[Produto],1):tItens[[#This Row],[Produto]],tItens[[#This Row],[Produto]])=1,1,0)</f>
        <v>0</v>
      </c>
    </row>
    <row r="5307" spans="1:16" x14ac:dyDescent="0.25">
      <c r="A5307" t="s">
        <v>2010</v>
      </c>
      <c r="B5307">
        <v>250</v>
      </c>
      <c r="C5307" t="s">
        <v>8106</v>
      </c>
      <c r="D5307" t="s">
        <v>114</v>
      </c>
      <c r="E5307" s="13">
        <v>50</v>
      </c>
      <c r="F5307" s="12">
        <v>9.14</v>
      </c>
      <c r="G5307" t="str">
        <f>IFERROR(INDEX(tEditais[Órgão],MATCH(tItens[[#This Row],[Edital]],tEditais[Edital],0)),"")</f>
        <v>MUNICIPIO DE LOBATO</v>
      </c>
      <c r="H5307" t="str">
        <f>IFERROR(INDEX(tEditais[UF],MATCH(tItens[[#This Row],[Edital]],tEditais[Edital],0)),"")</f>
        <v>PR</v>
      </c>
      <c r="I5307" s="11">
        <f>IFERROR(INDEX(tEditais[Encerramento],MATCH(tItens[[#This Row],[Edital]],tEditais[Edital],0)),"")</f>
        <v>46308.347222222219</v>
      </c>
      <c r="J5307" t="str">
        <f>IFERROR(INDEX(tProdutos[Classe],MATCH(tItens[[#This Row],[Produto]],tProdutos[Produto],0)),"produto não cadastrado")</f>
        <v>DISPUTADO</v>
      </c>
      <c r="K5307" s="12">
        <f>tItens[[#This Row],[Qtd]]*tItens[[#This Row],[Vlr unit]]</f>
        <v>457</v>
      </c>
      <c r="L5307" s="6">
        <f>IFERROR(IF(INDEX(tProdutos[Desconto homologado],MATCH(tItens[[#This Row],[Produto]],tProdutos[Produto],0))="",DescontoPadrao,INDEX(tProdutos[Desconto homologado],MATCH(tItens[[#This Row],[Produto]],tProdutos[Produto],0))),DescontoPadrao)</f>
        <v>0.24332656063896899</v>
      </c>
      <c r="M5307" s="12">
        <f>tItens[[#This Row],[Valor]]*(1-tItens[[#This Row],[Desconto]])</f>
        <v>345.7997617879912</v>
      </c>
      <c r="N5307" t="str">
        <f>IFERROR(INDEX(tProdutos[Foco],MATCH(tItens[[#This Row],[Produto]],tProdutos[Produto],0)),"Não")</f>
        <v>Não</v>
      </c>
      <c r="O5307" t="str">
        <f>IFERROR(INDEX(tEditais[SRP],MATCH(tItens[[#This Row],[Edital]],tEditais[Edital],0)),"Não")</f>
        <v>Sim</v>
      </c>
      <c r="P5307" s="4">
        <f>IF(COUNTIFS(INDEX(tItens[Edital],1):tItens[[#This Row],[Edital]],tItens[[#This Row],[Edital]],INDEX(tItens[Produto],1):tItens[[#This Row],[Produto]],tItens[[#This Row],[Produto]])=1,1,0)</f>
        <v>1</v>
      </c>
    </row>
    <row r="5308" spans="1:16" x14ac:dyDescent="0.25">
      <c r="A5308" t="s">
        <v>2010</v>
      </c>
      <c r="B5308">
        <v>261</v>
      </c>
      <c r="C5308" t="s">
        <v>8107</v>
      </c>
      <c r="D5308" t="s">
        <v>156</v>
      </c>
      <c r="E5308" s="13">
        <v>30</v>
      </c>
      <c r="F5308" s="12">
        <v>11.7</v>
      </c>
      <c r="G5308" t="str">
        <f>IFERROR(INDEX(tEditais[Órgão],MATCH(tItens[[#This Row],[Edital]],tEditais[Edital],0)),"")</f>
        <v>MUNICIPIO DE LOBATO</v>
      </c>
      <c r="H5308" t="str">
        <f>IFERROR(INDEX(tEditais[UF],MATCH(tItens[[#This Row],[Edital]],tEditais[Edital],0)),"")</f>
        <v>PR</v>
      </c>
      <c r="I5308" s="11">
        <f>IFERROR(INDEX(tEditais[Encerramento],MATCH(tItens[[#This Row],[Edital]],tEditais[Edital],0)),"")</f>
        <v>46308.347222222219</v>
      </c>
      <c r="J5308" t="str">
        <f>IFERROR(INDEX(tProdutos[Classe],MATCH(tItens[[#This Row],[Produto]],tProdutos[Produto],0)),"produto não cadastrado")</f>
        <v>DISPUTADO</v>
      </c>
      <c r="K5308" s="12">
        <f>tItens[[#This Row],[Qtd]]*tItens[[#This Row],[Vlr unit]]</f>
        <v>351</v>
      </c>
      <c r="L5308" s="6">
        <f>IFERROR(IF(INDEX(tProdutos[Desconto homologado],MATCH(tItens[[#This Row],[Produto]],tProdutos[Produto],0))="",DescontoPadrao,INDEX(tProdutos[Desconto homologado],MATCH(tItens[[#This Row],[Produto]],tProdutos[Produto],0))),DescontoPadrao)</f>
        <v>0.27131852489802799</v>
      </c>
      <c r="M5308" s="12">
        <f>tItens[[#This Row],[Valor]]*(1-tItens[[#This Row],[Desconto]])</f>
        <v>255.76719776079219</v>
      </c>
      <c r="N5308" t="str">
        <f>IFERROR(INDEX(tProdutos[Foco],MATCH(tItens[[#This Row],[Produto]],tProdutos[Produto],0)),"Não")</f>
        <v>Não</v>
      </c>
      <c r="O5308" t="str">
        <f>IFERROR(INDEX(tEditais[SRP],MATCH(tItens[[#This Row],[Edital]],tEditais[Edital],0)),"Não")</f>
        <v>Sim</v>
      </c>
      <c r="P5308" s="4">
        <f>IF(COUNTIFS(INDEX(tItens[Edital],1):tItens[[#This Row],[Edital]],tItens[[#This Row],[Edital]],INDEX(tItens[Produto],1):tItens[[#This Row],[Produto]],tItens[[#This Row],[Produto]])=1,1,0)</f>
        <v>1</v>
      </c>
    </row>
    <row r="5309" spans="1:16" x14ac:dyDescent="0.25">
      <c r="A5309" t="s">
        <v>2015</v>
      </c>
      <c r="B5309">
        <v>15</v>
      </c>
      <c r="C5309" t="s">
        <v>8108</v>
      </c>
      <c r="D5309" t="s">
        <v>114</v>
      </c>
      <c r="E5309" s="13">
        <v>500</v>
      </c>
      <c r="F5309" s="12">
        <v>37.590000000000003</v>
      </c>
      <c r="G5309" t="str">
        <f>IFERROR(INDEX(tEditais[Órgão],MATCH(tItens[[#This Row],[Edital]],tEditais[Edital],0)),"")</f>
        <v>MUNICIPIO DE BALSA NOVA</v>
      </c>
      <c r="H5309" t="str">
        <f>IFERROR(INDEX(tEditais[UF],MATCH(tItens[[#This Row],[Edital]],tEditais[Edital],0)),"")</f>
        <v>PR</v>
      </c>
      <c r="I5309" s="11">
        <f>IFERROR(INDEX(tEditais[Encerramento],MATCH(tItens[[#This Row],[Edital]],tEditais[Edital],0)),"")</f>
        <v>46308.353472222225</v>
      </c>
      <c r="J5309" t="str">
        <f>IFERROR(INDEX(tProdutos[Classe],MATCH(tItens[[#This Row],[Produto]],tProdutos[Produto],0)),"produto não cadastrado")</f>
        <v>DISPUTADO</v>
      </c>
      <c r="K5309" s="12">
        <f>tItens[[#This Row],[Qtd]]*tItens[[#This Row],[Vlr unit]]</f>
        <v>18795</v>
      </c>
      <c r="L5309" s="6">
        <f>IFERROR(IF(INDEX(tProdutos[Desconto homologado],MATCH(tItens[[#This Row],[Produto]],tProdutos[Produto],0))="",DescontoPadrao,INDEX(tProdutos[Desconto homologado],MATCH(tItens[[#This Row],[Produto]],tProdutos[Produto],0))),DescontoPadrao)</f>
        <v>0.24332656063896899</v>
      </c>
      <c r="M5309" s="12">
        <f>tItens[[#This Row],[Valor]]*(1-tItens[[#This Row],[Desconto]])</f>
        <v>14221.677292790579</v>
      </c>
      <c r="N5309" t="str">
        <f>IFERROR(INDEX(tProdutos[Foco],MATCH(tItens[[#This Row],[Produto]],tProdutos[Produto],0)),"Não")</f>
        <v>Não</v>
      </c>
      <c r="O5309" t="str">
        <f>IFERROR(INDEX(tEditais[SRP],MATCH(tItens[[#This Row],[Edital]],tEditais[Edital],0)),"Não")</f>
        <v>Não</v>
      </c>
      <c r="P5309" s="4">
        <f>IF(COUNTIFS(INDEX(tItens[Edital],1):tItens[[#This Row],[Edital]],tItens[[#This Row],[Edital]],INDEX(tItens[Produto],1):tItens[[#This Row],[Produto]],tItens[[#This Row],[Produto]])=1,1,0)</f>
        <v>1</v>
      </c>
    </row>
    <row r="5310" spans="1:16" x14ac:dyDescent="0.25">
      <c r="A5310" t="s">
        <v>2015</v>
      </c>
      <c r="B5310">
        <v>32</v>
      </c>
      <c r="C5310" t="s">
        <v>8109</v>
      </c>
      <c r="D5310" t="s">
        <v>313</v>
      </c>
      <c r="E5310" s="13">
        <v>51</v>
      </c>
      <c r="F5310" s="12">
        <v>28.5</v>
      </c>
      <c r="G5310" t="str">
        <f>IFERROR(INDEX(tEditais[Órgão],MATCH(tItens[[#This Row],[Edital]],tEditais[Edital],0)),"")</f>
        <v>MUNICIPIO DE BALSA NOVA</v>
      </c>
      <c r="H5310" t="str">
        <f>IFERROR(INDEX(tEditais[UF],MATCH(tItens[[#This Row],[Edital]],tEditais[Edital],0)),"")</f>
        <v>PR</v>
      </c>
      <c r="I5310" s="11">
        <f>IFERROR(INDEX(tEditais[Encerramento],MATCH(tItens[[#This Row],[Edital]],tEditais[Edital],0)),"")</f>
        <v>46308.353472222225</v>
      </c>
      <c r="J5310" t="str">
        <f>IFERROR(INDEX(tProdutos[Classe],MATCH(tItens[[#This Row],[Produto]],tProdutos[Produto],0)),"produto não cadastrado")</f>
        <v>FORA</v>
      </c>
      <c r="K5310" s="12">
        <f>tItens[[#This Row],[Qtd]]*tItens[[#This Row],[Vlr unit]]</f>
        <v>1453.5</v>
      </c>
      <c r="L5310" s="6">
        <f>IFERROR(IF(INDEX(tProdutos[Desconto homologado],MATCH(tItens[[#This Row],[Produto]],tProdutos[Produto],0))="",DescontoPadrao,INDEX(tProdutos[Desconto homologado],MATCH(tItens[[#This Row],[Produto]],tProdutos[Produto],0))),DescontoPadrao)</f>
        <v>0.35766373163696302</v>
      </c>
      <c r="M5310" s="12">
        <f>tItens[[#This Row],[Valor]]*(1-tItens[[#This Row],[Desconto]])</f>
        <v>933.63576606567415</v>
      </c>
      <c r="N5310" t="str">
        <f>IFERROR(INDEX(tProdutos[Foco],MATCH(tItens[[#This Row],[Produto]],tProdutos[Produto],0)),"Não")</f>
        <v>Não</v>
      </c>
      <c r="O5310" t="str">
        <f>IFERROR(INDEX(tEditais[SRP],MATCH(tItens[[#This Row],[Edital]],tEditais[Edital],0)),"Não")</f>
        <v>Não</v>
      </c>
      <c r="P5310" s="4">
        <f>IF(COUNTIFS(INDEX(tItens[Edital],1):tItens[[#This Row],[Edital]],tItens[[#This Row],[Edital]],INDEX(tItens[Produto],1):tItens[[#This Row],[Produto]],tItens[[#This Row],[Produto]])=1,1,0)</f>
        <v>1</v>
      </c>
    </row>
    <row r="5311" spans="1:16" x14ac:dyDescent="0.25">
      <c r="A5311" t="s">
        <v>2015</v>
      </c>
      <c r="B5311">
        <v>33</v>
      </c>
      <c r="C5311" t="s">
        <v>8110</v>
      </c>
      <c r="D5311" t="s">
        <v>313</v>
      </c>
      <c r="E5311" s="13">
        <v>265</v>
      </c>
      <c r="F5311" s="12">
        <v>28.5</v>
      </c>
      <c r="G5311" t="str">
        <f>IFERROR(INDEX(tEditais[Órgão],MATCH(tItens[[#This Row],[Edital]],tEditais[Edital],0)),"")</f>
        <v>MUNICIPIO DE BALSA NOVA</v>
      </c>
      <c r="H5311" t="str">
        <f>IFERROR(INDEX(tEditais[UF],MATCH(tItens[[#This Row],[Edital]],tEditais[Edital],0)),"")</f>
        <v>PR</v>
      </c>
      <c r="I5311" s="11">
        <f>IFERROR(INDEX(tEditais[Encerramento],MATCH(tItens[[#This Row],[Edital]],tEditais[Edital],0)),"")</f>
        <v>46308.353472222225</v>
      </c>
      <c r="J5311" t="str">
        <f>IFERROR(INDEX(tProdutos[Classe],MATCH(tItens[[#This Row],[Produto]],tProdutos[Produto],0)),"produto não cadastrado")</f>
        <v>FORA</v>
      </c>
      <c r="K5311" s="12">
        <f>tItens[[#This Row],[Qtd]]*tItens[[#This Row],[Vlr unit]]</f>
        <v>7552.5</v>
      </c>
      <c r="L5311" s="6">
        <f>IFERROR(IF(INDEX(tProdutos[Desconto homologado],MATCH(tItens[[#This Row],[Produto]],tProdutos[Produto],0))="",DescontoPadrao,INDEX(tProdutos[Desconto homologado],MATCH(tItens[[#This Row],[Produto]],tProdutos[Produto],0))),DescontoPadrao)</f>
        <v>0.35766373163696302</v>
      </c>
      <c r="M5311" s="12">
        <f>tItens[[#This Row],[Valor]]*(1-tItens[[#This Row],[Desconto]])</f>
        <v>4851.2446668118364</v>
      </c>
      <c r="N5311" t="str">
        <f>IFERROR(INDEX(tProdutos[Foco],MATCH(tItens[[#This Row],[Produto]],tProdutos[Produto],0)),"Não")</f>
        <v>Não</v>
      </c>
      <c r="O5311" t="str">
        <f>IFERROR(INDEX(tEditais[SRP],MATCH(tItens[[#This Row],[Edital]],tEditais[Edital],0)),"Não")</f>
        <v>Não</v>
      </c>
      <c r="P5311" s="4">
        <f>IF(COUNTIFS(INDEX(tItens[Edital],1):tItens[[#This Row],[Edital]],tItens[[#This Row],[Edital]],INDEX(tItens[Produto],1):tItens[[#This Row],[Produto]],tItens[[#This Row],[Produto]])=1,1,0)</f>
        <v>0</v>
      </c>
    </row>
    <row r="5312" spans="1:16" x14ac:dyDescent="0.25">
      <c r="A5312" t="s">
        <v>2015</v>
      </c>
      <c r="B5312">
        <v>34</v>
      </c>
      <c r="C5312" t="s">
        <v>8111</v>
      </c>
      <c r="D5312" t="s">
        <v>313</v>
      </c>
      <c r="E5312" s="13">
        <v>238</v>
      </c>
      <c r="F5312" s="12">
        <v>28.5</v>
      </c>
      <c r="G5312" t="str">
        <f>IFERROR(INDEX(tEditais[Órgão],MATCH(tItens[[#This Row],[Edital]],tEditais[Edital],0)),"")</f>
        <v>MUNICIPIO DE BALSA NOVA</v>
      </c>
      <c r="H5312" t="str">
        <f>IFERROR(INDEX(tEditais[UF],MATCH(tItens[[#This Row],[Edital]],tEditais[Edital],0)),"")</f>
        <v>PR</v>
      </c>
      <c r="I5312" s="11">
        <f>IFERROR(INDEX(tEditais[Encerramento],MATCH(tItens[[#This Row],[Edital]],tEditais[Edital],0)),"")</f>
        <v>46308.353472222225</v>
      </c>
      <c r="J5312" t="str">
        <f>IFERROR(INDEX(tProdutos[Classe],MATCH(tItens[[#This Row],[Produto]],tProdutos[Produto],0)),"produto não cadastrado")</f>
        <v>FORA</v>
      </c>
      <c r="K5312" s="12">
        <f>tItens[[#This Row],[Qtd]]*tItens[[#This Row],[Vlr unit]]</f>
        <v>6783</v>
      </c>
      <c r="L5312" s="6">
        <f>IFERROR(IF(INDEX(tProdutos[Desconto homologado],MATCH(tItens[[#This Row],[Produto]],tProdutos[Produto],0))="",DescontoPadrao,INDEX(tProdutos[Desconto homologado],MATCH(tItens[[#This Row],[Produto]],tProdutos[Produto],0))),DescontoPadrao)</f>
        <v>0.35766373163696302</v>
      </c>
      <c r="M5312" s="12">
        <f>tItens[[#This Row],[Valor]]*(1-tItens[[#This Row],[Desconto]])</f>
        <v>4356.9669083064791</v>
      </c>
      <c r="N5312" t="str">
        <f>IFERROR(INDEX(tProdutos[Foco],MATCH(tItens[[#This Row],[Produto]],tProdutos[Produto],0)),"Não")</f>
        <v>Não</v>
      </c>
      <c r="O5312" t="str">
        <f>IFERROR(INDEX(tEditais[SRP],MATCH(tItens[[#This Row],[Edital]],tEditais[Edital],0)),"Não")</f>
        <v>Não</v>
      </c>
      <c r="P5312" s="4">
        <f>IF(COUNTIFS(INDEX(tItens[Edital],1):tItens[[#This Row],[Edital]],tItens[[#This Row],[Edital]],INDEX(tItens[Produto],1):tItens[[#This Row],[Produto]],tItens[[#This Row],[Produto]])=1,1,0)</f>
        <v>0</v>
      </c>
    </row>
    <row r="5313" spans="1:16" x14ac:dyDescent="0.25">
      <c r="A5313" t="s">
        <v>2015</v>
      </c>
      <c r="B5313">
        <v>59</v>
      </c>
      <c r="C5313" t="s">
        <v>8112</v>
      </c>
      <c r="D5313" t="s">
        <v>403</v>
      </c>
      <c r="E5313" s="13">
        <v>222</v>
      </c>
      <c r="F5313" s="12">
        <v>1.54</v>
      </c>
      <c r="G5313" t="str">
        <f>IFERROR(INDEX(tEditais[Órgão],MATCH(tItens[[#This Row],[Edital]],tEditais[Edital],0)),"")</f>
        <v>MUNICIPIO DE BALSA NOVA</v>
      </c>
      <c r="H5313" t="str">
        <f>IFERROR(INDEX(tEditais[UF],MATCH(tItens[[#This Row],[Edital]],tEditais[Edital],0)),"")</f>
        <v>PR</v>
      </c>
      <c r="I5313" s="11">
        <f>IFERROR(INDEX(tEditais[Encerramento],MATCH(tItens[[#This Row],[Edital]],tEditais[Edital],0)),"")</f>
        <v>46308.353472222225</v>
      </c>
      <c r="J5313" t="str">
        <f>IFERROR(INDEX(tProdutos[Classe],MATCH(tItens[[#This Row],[Produto]],tProdutos[Produto],0)),"produto não cadastrado")</f>
        <v>FORA</v>
      </c>
      <c r="K5313" s="12">
        <f>tItens[[#This Row],[Qtd]]*tItens[[#This Row],[Vlr unit]]</f>
        <v>341.88</v>
      </c>
      <c r="L5313" s="6">
        <f>IFERROR(IF(INDEX(tProdutos[Desconto homologado],MATCH(tItens[[#This Row],[Produto]],tProdutos[Produto],0))="",DescontoPadrao,INDEX(tProdutos[Desconto homologado],MATCH(tItens[[#This Row],[Produto]],tProdutos[Produto],0))),DescontoPadrao)</f>
        <v>0.35326086956521702</v>
      </c>
      <c r="M5313" s="12">
        <f>tItens[[#This Row],[Valor]]*(1-tItens[[#This Row],[Desconto]])</f>
        <v>221.1071739130436</v>
      </c>
      <c r="N5313" t="str">
        <f>IFERROR(INDEX(tProdutos[Foco],MATCH(tItens[[#This Row],[Produto]],tProdutos[Produto],0)),"Não")</f>
        <v>Não</v>
      </c>
      <c r="O5313" t="str">
        <f>IFERROR(INDEX(tEditais[SRP],MATCH(tItens[[#This Row],[Edital]],tEditais[Edital],0)),"Não")</f>
        <v>Não</v>
      </c>
      <c r="P5313" s="4">
        <f>IF(COUNTIFS(INDEX(tItens[Edital],1):tItens[[#This Row],[Edital]],tItens[[#This Row],[Edital]],INDEX(tItens[Produto],1):tItens[[#This Row],[Produto]],tItens[[#This Row],[Produto]])=1,1,0)</f>
        <v>1</v>
      </c>
    </row>
    <row r="5314" spans="1:16" x14ac:dyDescent="0.25">
      <c r="A5314" t="s">
        <v>2019</v>
      </c>
      <c r="B5314">
        <v>25</v>
      </c>
      <c r="C5314" t="s">
        <v>8113</v>
      </c>
      <c r="D5314" t="s">
        <v>180</v>
      </c>
      <c r="E5314" s="13">
        <v>10</v>
      </c>
      <c r="F5314" s="12">
        <v>8.68</v>
      </c>
      <c r="G5314" t="str">
        <f>IFERROR(INDEX(tEditais[Órgão],MATCH(tItens[[#This Row],[Edital]],tEditais[Edital],0)),"")</f>
        <v>MUNICIPIO DE TURVO</v>
      </c>
      <c r="H5314" t="str">
        <f>IFERROR(INDEX(tEditais[UF],MATCH(tItens[[#This Row],[Edital]],tEditais[Edital],0)),"")</f>
        <v>PR</v>
      </c>
      <c r="I5314" s="11">
        <f>IFERROR(INDEX(tEditais[Encerramento],MATCH(tItens[[#This Row],[Edital]],tEditais[Edital],0)),"")</f>
        <v>46308.354166666664</v>
      </c>
      <c r="J5314" t="str">
        <f>IFERROR(INDEX(tProdutos[Classe],MATCH(tItens[[#This Row],[Produto]],tProdutos[Produto],0)),"produto não cadastrado")</f>
        <v>DISPUTADO</v>
      </c>
      <c r="K5314" s="12">
        <f>tItens[[#This Row],[Qtd]]*tItens[[#This Row],[Vlr unit]]</f>
        <v>86.8</v>
      </c>
      <c r="L5314" s="6">
        <f>IFERROR(IF(INDEX(tProdutos[Desconto homologado],MATCH(tItens[[#This Row],[Produto]],tProdutos[Produto],0))="",DescontoPadrao,INDEX(tProdutos[Desconto homologado],MATCH(tItens[[#This Row],[Produto]],tProdutos[Produto],0))),DescontoPadrao)</f>
        <v>0.33333333333333298</v>
      </c>
      <c r="M5314" s="12">
        <f>tItens[[#This Row],[Valor]]*(1-tItens[[#This Row],[Desconto]])</f>
        <v>57.866666666666688</v>
      </c>
      <c r="N5314" t="str">
        <f>IFERROR(INDEX(tProdutos[Foco],MATCH(tItens[[#This Row],[Produto]],tProdutos[Produto],0)),"Não")</f>
        <v>Não</v>
      </c>
      <c r="O5314" t="str">
        <f>IFERROR(INDEX(tEditais[SRP],MATCH(tItens[[#This Row],[Edital]],tEditais[Edital],0)),"Não")</f>
        <v>Sim</v>
      </c>
      <c r="P5314" s="4">
        <f>IF(COUNTIFS(INDEX(tItens[Edital],1):tItens[[#This Row],[Edital]],tItens[[#This Row],[Edital]],INDEX(tItens[Produto],1):tItens[[#This Row],[Produto]],tItens[[#This Row],[Produto]])=1,1,0)</f>
        <v>1</v>
      </c>
    </row>
    <row r="5315" spans="1:16" x14ac:dyDescent="0.25">
      <c r="A5315" t="s">
        <v>2019</v>
      </c>
      <c r="B5315">
        <v>26</v>
      </c>
      <c r="C5315" t="s">
        <v>8114</v>
      </c>
      <c r="D5315" t="s">
        <v>132</v>
      </c>
      <c r="E5315" s="13">
        <v>13</v>
      </c>
      <c r="F5315" s="12">
        <v>49.08</v>
      </c>
      <c r="G5315" t="str">
        <f>IFERROR(INDEX(tEditais[Órgão],MATCH(tItens[[#This Row],[Edital]],tEditais[Edital],0)),"")</f>
        <v>MUNICIPIO DE TURVO</v>
      </c>
      <c r="H5315" t="str">
        <f>IFERROR(INDEX(tEditais[UF],MATCH(tItens[[#This Row],[Edital]],tEditais[Edital],0)),"")</f>
        <v>PR</v>
      </c>
      <c r="I5315" s="11">
        <f>IFERROR(INDEX(tEditais[Encerramento],MATCH(tItens[[#This Row],[Edital]],tEditais[Edital],0)),"")</f>
        <v>46308.354166666664</v>
      </c>
      <c r="J5315" t="str">
        <f>IFERROR(INDEX(tProdutos[Classe],MATCH(tItens[[#This Row],[Produto]],tProdutos[Produto],0)),"produto não cadastrado")</f>
        <v>NÚCLEO</v>
      </c>
      <c r="K5315" s="12">
        <f>tItens[[#This Row],[Qtd]]*tItens[[#This Row],[Vlr unit]]</f>
        <v>638.04</v>
      </c>
      <c r="L5315" s="6">
        <f>IFERROR(IF(INDEX(tProdutos[Desconto homologado],MATCH(tItens[[#This Row],[Produto]],tProdutos[Produto],0))="",DescontoPadrao,INDEX(tProdutos[Desconto homologado],MATCH(tItens[[#This Row],[Produto]],tProdutos[Produto],0))),DescontoPadrao)</f>
        <v>0.27</v>
      </c>
      <c r="M5315" s="12">
        <f>tItens[[#This Row],[Valor]]*(1-tItens[[#This Row],[Desconto]])</f>
        <v>465.76919999999996</v>
      </c>
      <c r="N5315" t="str">
        <f>IFERROR(INDEX(tProdutos[Foco],MATCH(tItens[[#This Row],[Produto]],tProdutos[Produto],0)),"Não")</f>
        <v>Sim</v>
      </c>
      <c r="O5315" t="str">
        <f>IFERROR(INDEX(tEditais[SRP],MATCH(tItens[[#This Row],[Edital]],tEditais[Edital],0)),"Não")</f>
        <v>Sim</v>
      </c>
      <c r="P5315" s="4">
        <f>IF(COUNTIFS(INDEX(tItens[Edital],1):tItens[[#This Row],[Edital]],tItens[[#This Row],[Edital]],INDEX(tItens[Produto],1):tItens[[#This Row],[Produto]],tItens[[#This Row],[Produto]])=1,1,0)</f>
        <v>1</v>
      </c>
    </row>
    <row r="5316" spans="1:16" x14ac:dyDescent="0.25">
      <c r="A5316" t="s">
        <v>2019</v>
      </c>
      <c r="B5316">
        <v>27</v>
      </c>
      <c r="C5316" t="s">
        <v>8115</v>
      </c>
      <c r="D5316" t="s">
        <v>409</v>
      </c>
      <c r="E5316" s="13">
        <v>14</v>
      </c>
      <c r="F5316" s="12">
        <v>182.5</v>
      </c>
      <c r="G5316" t="str">
        <f>IFERROR(INDEX(tEditais[Órgão],MATCH(tItens[[#This Row],[Edital]],tEditais[Edital],0)),"")</f>
        <v>MUNICIPIO DE TURVO</v>
      </c>
      <c r="H5316" t="str">
        <f>IFERROR(INDEX(tEditais[UF],MATCH(tItens[[#This Row],[Edital]],tEditais[Edital],0)),"")</f>
        <v>PR</v>
      </c>
      <c r="I5316" s="11">
        <f>IFERROR(INDEX(tEditais[Encerramento],MATCH(tItens[[#This Row],[Edital]],tEditais[Edital],0)),"")</f>
        <v>46308.354166666664</v>
      </c>
      <c r="J5316" t="str">
        <f>IFERROR(INDEX(tProdutos[Classe],MATCH(tItens[[#This Row],[Produto]],tProdutos[Produto],0)),"produto não cadastrado")</f>
        <v>FORA</v>
      </c>
      <c r="K5316" s="12">
        <f>tItens[[#This Row],[Qtd]]*tItens[[#This Row],[Vlr unit]]</f>
        <v>2555</v>
      </c>
      <c r="L5316" s="6">
        <f>IFERROR(IF(INDEX(tProdutos[Desconto homologado],MATCH(tItens[[#This Row],[Produto]],tProdutos[Produto],0))="",DescontoPadrao,INDEX(tProdutos[Desconto homologado],MATCH(tItens[[#This Row],[Produto]],tProdutos[Produto],0))),DescontoPadrao)</f>
        <v>0.24924924924924899</v>
      </c>
      <c r="M5316" s="12">
        <f>tItens[[#This Row],[Valor]]*(1-tItens[[#This Row],[Desconto]])</f>
        <v>1918.1681681681689</v>
      </c>
      <c r="N5316" t="str">
        <f>IFERROR(INDEX(tProdutos[Foco],MATCH(tItens[[#This Row],[Produto]],tProdutos[Produto],0)),"Não")</f>
        <v>Não</v>
      </c>
      <c r="O5316" t="str">
        <f>IFERROR(INDEX(tEditais[SRP],MATCH(tItens[[#This Row],[Edital]],tEditais[Edital],0)),"Não")</f>
        <v>Sim</v>
      </c>
      <c r="P5316" s="4">
        <f>IF(COUNTIFS(INDEX(tItens[Edital],1):tItens[[#This Row],[Edital]],tItens[[#This Row],[Edital]],INDEX(tItens[Produto],1):tItens[[#This Row],[Produto]],tItens[[#This Row],[Produto]])=1,1,0)</f>
        <v>1</v>
      </c>
    </row>
    <row r="5317" spans="1:16" x14ac:dyDescent="0.25">
      <c r="A5317" t="s">
        <v>2019</v>
      </c>
      <c r="B5317">
        <v>28</v>
      </c>
      <c r="C5317" t="s">
        <v>8116</v>
      </c>
      <c r="D5317" t="s">
        <v>409</v>
      </c>
      <c r="E5317" s="13">
        <v>14</v>
      </c>
      <c r="F5317" s="12">
        <v>146.66999999999999</v>
      </c>
      <c r="G5317" t="str">
        <f>IFERROR(INDEX(tEditais[Órgão],MATCH(tItens[[#This Row],[Edital]],tEditais[Edital],0)),"")</f>
        <v>MUNICIPIO DE TURVO</v>
      </c>
      <c r="H5317" t="str">
        <f>IFERROR(INDEX(tEditais[UF],MATCH(tItens[[#This Row],[Edital]],tEditais[Edital],0)),"")</f>
        <v>PR</v>
      </c>
      <c r="I5317" s="11">
        <f>IFERROR(INDEX(tEditais[Encerramento],MATCH(tItens[[#This Row],[Edital]],tEditais[Edital],0)),"")</f>
        <v>46308.354166666664</v>
      </c>
      <c r="J5317" t="str">
        <f>IFERROR(INDEX(tProdutos[Classe],MATCH(tItens[[#This Row],[Produto]],tProdutos[Produto],0)),"produto não cadastrado")</f>
        <v>FORA</v>
      </c>
      <c r="K5317" s="12">
        <f>tItens[[#This Row],[Qtd]]*tItens[[#This Row],[Vlr unit]]</f>
        <v>2053.3799999999997</v>
      </c>
      <c r="L5317" s="6">
        <f>IFERROR(IF(INDEX(tProdutos[Desconto homologado],MATCH(tItens[[#This Row],[Produto]],tProdutos[Produto],0))="",DescontoPadrao,INDEX(tProdutos[Desconto homologado],MATCH(tItens[[#This Row],[Produto]],tProdutos[Produto],0))),DescontoPadrao)</f>
        <v>0.24924924924924899</v>
      </c>
      <c r="M5317" s="12">
        <f>tItens[[#This Row],[Valor]]*(1-tItens[[#This Row],[Desconto]])</f>
        <v>1541.5765765765768</v>
      </c>
      <c r="N5317" t="str">
        <f>IFERROR(INDEX(tProdutos[Foco],MATCH(tItens[[#This Row],[Produto]],tProdutos[Produto],0)),"Não")</f>
        <v>Não</v>
      </c>
      <c r="O5317" t="str">
        <f>IFERROR(INDEX(tEditais[SRP],MATCH(tItens[[#This Row],[Edital]],tEditais[Edital],0)),"Não")</f>
        <v>Sim</v>
      </c>
      <c r="P5317" s="4">
        <f>IF(COUNTIFS(INDEX(tItens[Edital],1):tItens[[#This Row],[Edital]],tItens[[#This Row],[Edital]],INDEX(tItens[Produto],1):tItens[[#This Row],[Produto]],tItens[[#This Row],[Produto]])=1,1,0)</f>
        <v>0</v>
      </c>
    </row>
    <row r="5318" spans="1:16" x14ac:dyDescent="0.25">
      <c r="A5318" t="s">
        <v>2024</v>
      </c>
      <c r="B5318">
        <v>10</v>
      </c>
      <c r="C5318" t="s">
        <v>8117</v>
      </c>
      <c r="D5318" t="s">
        <v>313</v>
      </c>
      <c r="E5318" s="13">
        <v>5325</v>
      </c>
      <c r="F5318" s="12">
        <v>23.97</v>
      </c>
      <c r="G5318" t="str">
        <f>IFERROR(INDEX(tEditais[Órgão],MATCH(tItens[[#This Row],[Edital]],tEditais[Edital],0)),"")</f>
        <v>MUNICIPIO DE IBAITI</v>
      </c>
      <c r="H5318" t="str">
        <f>IFERROR(INDEX(tEditais[UF],MATCH(tItens[[#This Row],[Edital]],tEditais[Edital],0)),"")</f>
        <v>PR</v>
      </c>
      <c r="I5318" s="11">
        <f>IFERROR(INDEX(tEditais[Encerramento],MATCH(tItens[[#This Row],[Edital]],tEditais[Edital],0)),"")</f>
        <v>46308.375</v>
      </c>
      <c r="J5318" t="str">
        <f>IFERROR(INDEX(tProdutos[Classe],MATCH(tItens[[#This Row],[Produto]],tProdutos[Produto],0)),"produto não cadastrado")</f>
        <v>FORA</v>
      </c>
      <c r="K5318" s="12">
        <f>tItens[[#This Row],[Qtd]]*tItens[[#This Row],[Vlr unit]]</f>
        <v>127640.25</v>
      </c>
      <c r="L5318" s="6">
        <f>IFERROR(IF(INDEX(tProdutos[Desconto homologado],MATCH(tItens[[#This Row],[Produto]],tProdutos[Produto],0))="",DescontoPadrao,INDEX(tProdutos[Desconto homologado],MATCH(tItens[[#This Row],[Produto]],tProdutos[Produto],0))),DescontoPadrao)</f>
        <v>0.35766373163696302</v>
      </c>
      <c r="M5318" s="12">
        <f>tItens[[#This Row],[Valor]]*(1-tItens[[#This Row],[Desconto]])</f>
        <v>81987.961877925118</v>
      </c>
      <c r="N5318" t="str">
        <f>IFERROR(INDEX(tProdutos[Foco],MATCH(tItens[[#This Row],[Produto]],tProdutos[Produto],0)),"Não")</f>
        <v>Não</v>
      </c>
      <c r="O5318" t="str">
        <f>IFERROR(INDEX(tEditais[SRP],MATCH(tItens[[#This Row],[Edital]],tEditais[Edital],0)),"Não")</f>
        <v>Sim</v>
      </c>
      <c r="P5318" s="4">
        <f>IF(COUNTIFS(INDEX(tItens[Edital],1):tItens[[#This Row],[Edital]],tItens[[#This Row],[Edital]],INDEX(tItens[Produto],1):tItens[[#This Row],[Produto]],tItens[[#This Row],[Produto]])=1,1,0)</f>
        <v>1</v>
      </c>
    </row>
    <row r="5319" spans="1:16" x14ac:dyDescent="0.25">
      <c r="A5319" t="s">
        <v>2024</v>
      </c>
      <c r="B5319">
        <v>11</v>
      </c>
      <c r="C5319" t="s">
        <v>8118</v>
      </c>
      <c r="D5319" t="s">
        <v>313</v>
      </c>
      <c r="E5319" s="13">
        <v>4500</v>
      </c>
      <c r="F5319" s="12">
        <v>24.02</v>
      </c>
      <c r="G5319" t="str">
        <f>IFERROR(INDEX(tEditais[Órgão],MATCH(tItens[[#This Row],[Edital]],tEditais[Edital],0)),"")</f>
        <v>MUNICIPIO DE IBAITI</v>
      </c>
      <c r="H5319" t="str">
        <f>IFERROR(INDEX(tEditais[UF],MATCH(tItens[[#This Row],[Edital]],tEditais[Edital],0)),"")</f>
        <v>PR</v>
      </c>
      <c r="I5319" s="11">
        <f>IFERROR(INDEX(tEditais[Encerramento],MATCH(tItens[[#This Row],[Edital]],tEditais[Edital],0)),"")</f>
        <v>46308.375</v>
      </c>
      <c r="J5319" t="str">
        <f>IFERROR(INDEX(tProdutos[Classe],MATCH(tItens[[#This Row],[Produto]],tProdutos[Produto],0)),"produto não cadastrado")</f>
        <v>FORA</v>
      </c>
      <c r="K5319" s="12">
        <f>tItens[[#This Row],[Qtd]]*tItens[[#This Row],[Vlr unit]]</f>
        <v>108090</v>
      </c>
      <c r="L5319" s="6">
        <f>IFERROR(IF(INDEX(tProdutos[Desconto homologado],MATCH(tItens[[#This Row],[Produto]],tProdutos[Produto],0))="",DescontoPadrao,INDEX(tProdutos[Desconto homologado],MATCH(tItens[[#This Row],[Produto]],tProdutos[Produto],0))),DescontoPadrao)</f>
        <v>0.35766373163696302</v>
      </c>
      <c r="M5319" s="12">
        <f>tItens[[#This Row],[Valor]]*(1-tItens[[#This Row],[Desconto]])</f>
        <v>69430.127247360666</v>
      </c>
      <c r="N5319" t="str">
        <f>IFERROR(INDEX(tProdutos[Foco],MATCH(tItens[[#This Row],[Produto]],tProdutos[Produto],0)),"Não")</f>
        <v>Não</v>
      </c>
      <c r="O5319" t="str">
        <f>IFERROR(INDEX(tEditais[SRP],MATCH(tItens[[#This Row],[Edital]],tEditais[Edital],0)),"Não")</f>
        <v>Sim</v>
      </c>
      <c r="P5319" s="4">
        <f>IF(COUNTIFS(INDEX(tItens[Edital],1):tItens[[#This Row],[Edital]],tItens[[#This Row],[Edital]],INDEX(tItens[Produto],1):tItens[[#This Row],[Produto]],tItens[[#This Row],[Produto]])=1,1,0)</f>
        <v>0</v>
      </c>
    </row>
    <row r="5320" spans="1:16" x14ac:dyDescent="0.25">
      <c r="A5320" t="s">
        <v>2024</v>
      </c>
      <c r="B5320">
        <v>12</v>
      </c>
      <c r="C5320" t="s">
        <v>8119</v>
      </c>
      <c r="D5320" t="s">
        <v>494</v>
      </c>
      <c r="E5320" s="13">
        <v>4652</v>
      </c>
      <c r="F5320" s="12">
        <v>47.7</v>
      </c>
      <c r="G5320" t="str">
        <f>IFERROR(INDEX(tEditais[Órgão],MATCH(tItens[[#This Row],[Edital]],tEditais[Edital],0)),"")</f>
        <v>MUNICIPIO DE IBAITI</v>
      </c>
      <c r="H5320" t="str">
        <f>IFERROR(INDEX(tEditais[UF],MATCH(tItens[[#This Row],[Edital]],tEditais[Edital],0)),"")</f>
        <v>PR</v>
      </c>
      <c r="I5320" s="11">
        <f>IFERROR(INDEX(tEditais[Encerramento],MATCH(tItens[[#This Row],[Edital]],tEditais[Edital],0)),"")</f>
        <v>46308.375</v>
      </c>
      <c r="J5320" t="str">
        <f>IFERROR(INDEX(tProdutos[Classe],MATCH(tItens[[#This Row],[Produto]],tProdutos[Produto],0)),"produto não cadastrado")</f>
        <v>FILA REBASE</v>
      </c>
      <c r="K5320" s="12">
        <f>tItens[[#This Row],[Qtd]]*tItens[[#This Row],[Vlr unit]]</f>
        <v>221900.40000000002</v>
      </c>
      <c r="L5320" s="6">
        <f>IFERROR(IF(INDEX(tProdutos[Desconto homologado],MATCH(tItens[[#This Row],[Produto]],tProdutos[Produto],0))="",DescontoPadrao,INDEX(tProdutos[Desconto homologado],MATCH(tItens[[#This Row],[Produto]],tProdutos[Produto],0))),DescontoPadrao)</f>
        <v>0.253736324829619</v>
      </c>
      <c r="M5320" s="12">
        <f>tItens[[#This Row],[Valor]]*(1-tItens[[#This Row],[Desconto]])</f>
        <v>165596.20802577765</v>
      </c>
      <c r="N5320" t="str">
        <f>IFERROR(INDEX(tProdutos[Foco],MATCH(tItens[[#This Row],[Produto]],tProdutos[Produto],0)),"Não")</f>
        <v>Não</v>
      </c>
      <c r="O5320" t="str">
        <f>IFERROR(INDEX(tEditais[SRP],MATCH(tItens[[#This Row],[Edital]],tEditais[Edital],0)),"Não")</f>
        <v>Sim</v>
      </c>
      <c r="P5320" s="4">
        <f>IF(COUNTIFS(INDEX(tItens[Edital],1):tItens[[#This Row],[Edital]],tItens[[#This Row],[Edital]],INDEX(tItens[Produto],1):tItens[[#This Row],[Produto]],tItens[[#This Row],[Produto]])=1,1,0)</f>
        <v>1</v>
      </c>
    </row>
    <row r="5321" spans="1:16" x14ac:dyDescent="0.25">
      <c r="A5321" t="s">
        <v>2024</v>
      </c>
      <c r="B5321">
        <v>13</v>
      </c>
      <c r="C5321" t="s">
        <v>8120</v>
      </c>
      <c r="D5321" t="s">
        <v>494</v>
      </c>
      <c r="E5321" s="13">
        <v>1707</v>
      </c>
      <c r="F5321" s="12">
        <v>94.15</v>
      </c>
      <c r="G5321" t="str">
        <f>IFERROR(INDEX(tEditais[Órgão],MATCH(tItens[[#This Row],[Edital]],tEditais[Edital],0)),"")</f>
        <v>MUNICIPIO DE IBAITI</v>
      </c>
      <c r="H5321" t="str">
        <f>IFERROR(INDEX(tEditais[UF],MATCH(tItens[[#This Row],[Edital]],tEditais[Edital],0)),"")</f>
        <v>PR</v>
      </c>
      <c r="I5321" s="11">
        <f>IFERROR(INDEX(tEditais[Encerramento],MATCH(tItens[[#This Row],[Edital]],tEditais[Edital],0)),"")</f>
        <v>46308.375</v>
      </c>
      <c r="J5321" t="str">
        <f>IFERROR(INDEX(tProdutos[Classe],MATCH(tItens[[#This Row],[Produto]],tProdutos[Produto],0)),"produto não cadastrado")</f>
        <v>FILA REBASE</v>
      </c>
      <c r="K5321" s="12">
        <f>tItens[[#This Row],[Qtd]]*tItens[[#This Row],[Vlr unit]]</f>
        <v>160714.05000000002</v>
      </c>
      <c r="L5321" s="6">
        <f>IFERROR(IF(INDEX(tProdutos[Desconto homologado],MATCH(tItens[[#This Row],[Produto]],tProdutos[Produto],0))="",DescontoPadrao,INDEX(tProdutos[Desconto homologado],MATCH(tItens[[#This Row],[Produto]],tProdutos[Produto],0))),DescontoPadrao)</f>
        <v>0.253736324829619</v>
      </c>
      <c r="M5321" s="12">
        <f>tItens[[#This Row],[Valor]]*(1-tItens[[#This Row],[Desconto]])</f>
        <v>119935.05760451639</v>
      </c>
      <c r="N5321" t="str">
        <f>IFERROR(INDEX(tProdutos[Foco],MATCH(tItens[[#This Row],[Produto]],tProdutos[Produto],0)),"Não")</f>
        <v>Não</v>
      </c>
      <c r="O5321" t="str">
        <f>IFERROR(INDEX(tEditais[SRP],MATCH(tItens[[#This Row],[Edital]],tEditais[Edital],0)),"Não")</f>
        <v>Sim</v>
      </c>
      <c r="P5321" s="4">
        <f>IF(COUNTIFS(INDEX(tItens[Edital],1):tItens[[#This Row],[Edital]],tItens[[#This Row],[Edital]],INDEX(tItens[Produto],1):tItens[[#This Row],[Produto]],tItens[[#This Row],[Produto]])=1,1,0)</f>
        <v>0</v>
      </c>
    </row>
    <row r="5322" spans="1:16" x14ac:dyDescent="0.25">
      <c r="A5322" t="s">
        <v>2024</v>
      </c>
      <c r="B5322">
        <v>29</v>
      </c>
      <c r="C5322" t="s">
        <v>8121</v>
      </c>
      <c r="D5322" t="s">
        <v>315</v>
      </c>
      <c r="E5322" s="13">
        <v>280</v>
      </c>
      <c r="F5322" s="12">
        <v>8.1</v>
      </c>
      <c r="G5322" t="str">
        <f>IFERROR(INDEX(tEditais[Órgão],MATCH(tItens[[#This Row],[Edital]],tEditais[Edital],0)),"")</f>
        <v>MUNICIPIO DE IBAITI</v>
      </c>
      <c r="H5322" t="str">
        <f>IFERROR(INDEX(tEditais[UF],MATCH(tItens[[#This Row],[Edital]],tEditais[Edital],0)),"")</f>
        <v>PR</v>
      </c>
      <c r="I5322" s="11">
        <f>IFERROR(INDEX(tEditais[Encerramento],MATCH(tItens[[#This Row],[Edital]],tEditais[Edital],0)),"")</f>
        <v>46308.375</v>
      </c>
      <c r="J5322" t="str">
        <f>IFERROR(INDEX(tProdutos[Classe],MATCH(tItens[[#This Row],[Produto]],tProdutos[Produto],0)),"produto não cadastrado")</f>
        <v>FORA</v>
      </c>
      <c r="K5322" s="12">
        <f>tItens[[#This Row],[Qtd]]*tItens[[#This Row],[Vlr unit]]</f>
        <v>2268</v>
      </c>
      <c r="L5322" s="6">
        <f>IFERROR(IF(INDEX(tProdutos[Desconto homologado],MATCH(tItens[[#This Row],[Produto]],tProdutos[Produto],0))="",DescontoPadrao,INDEX(tProdutos[Desconto homologado],MATCH(tItens[[#This Row],[Produto]],tProdutos[Produto],0))),DescontoPadrao)</f>
        <v>0.38432036097010702</v>
      </c>
      <c r="M5322" s="12">
        <f>tItens[[#This Row],[Valor]]*(1-tItens[[#This Row],[Desconto]])</f>
        <v>1396.3614213197973</v>
      </c>
      <c r="N5322" t="str">
        <f>IFERROR(INDEX(tProdutos[Foco],MATCH(tItens[[#This Row],[Produto]],tProdutos[Produto],0)),"Não")</f>
        <v>Não</v>
      </c>
      <c r="O5322" t="str">
        <f>IFERROR(INDEX(tEditais[SRP],MATCH(tItens[[#This Row],[Edital]],tEditais[Edital],0)),"Não")</f>
        <v>Sim</v>
      </c>
      <c r="P5322" s="4">
        <f>IF(COUNTIFS(INDEX(tItens[Edital],1):tItens[[#This Row],[Edital]],tItens[[#This Row],[Edital]],INDEX(tItens[Produto],1):tItens[[#This Row],[Produto]],tItens[[#This Row],[Produto]])=1,1,0)</f>
        <v>1</v>
      </c>
    </row>
    <row r="5323" spans="1:16" x14ac:dyDescent="0.25">
      <c r="A5323" t="s">
        <v>2024</v>
      </c>
      <c r="B5323">
        <v>30</v>
      </c>
      <c r="C5323" t="s">
        <v>8122</v>
      </c>
      <c r="D5323" t="s">
        <v>315</v>
      </c>
      <c r="E5323" s="13">
        <v>180</v>
      </c>
      <c r="F5323" s="12">
        <v>8.2200000000000006</v>
      </c>
      <c r="G5323" t="str">
        <f>IFERROR(INDEX(tEditais[Órgão],MATCH(tItens[[#This Row],[Edital]],tEditais[Edital],0)),"")</f>
        <v>MUNICIPIO DE IBAITI</v>
      </c>
      <c r="H5323" t="str">
        <f>IFERROR(INDEX(tEditais[UF],MATCH(tItens[[#This Row],[Edital]],tEditais[Edital],0)),"")</f>
        <v>PR</v>
      </c>
      <c r="I5323" s="11">
        <f>IFERROR(INDEX(tEditais[Encerramento],MATCH(tItens[[#This Row],[Edital]],tEditais[Edital],0)),"")</f>
        <v>46308.375</v>
      </c>
      <c r="J5323" t="str">
        <f>IFERROR(INDEX(tProdutos[Classe],MATCH(tItens[[#This Row],[Produto]],tProdutos[Produto],0)),"produto não cadastrado")</f>
        <v>FORA</v>
      </c>
      <c r="K5323" s="12">
        <f>tItens[[#This Row],[Qtd]]*tItens[[#This Row],[Vlr unit]]</f>
        <v>1479.6000000000001</v>
      </c>
      <c r="L5323" s="6">
        <f>IFERROR(IF(INDEX(tProdutos[Desconto homologado],MATCH(tItens[[#This Row],[Produto]],tProdutos[Produto],0))="",DescontoPadrao,INDEX(tProdutos[Desconto homologado],MATCH(tItens[[#This Row],[Produto]],tProdutos[Produto],0))),DescontoPadrao)</f>
        <v>0.38432036097010702</v>
      </c>
      <c r="M5323" s="12">
        <f>tItens[[#This Row],[Valor]]*(1-tItens[[#This Row],[Desconto]])</f>
        <v>910.9595939086297</v>
      </c>
      <c r="N5323" t="str">
        <f>IFERROR(INDEX(tProdutos[Foco],MATCH(tItens[[#This Row],[Produto]],tProdutos[Produto],0)),"Não")</f>
        <v>Não</v>
      </c>
      <c r="O5323" t="str">
        <f>IFERROR(INDEX(tEditais[SRP],MATCH(tItens[[#This Row],[Edital]],tEditais[Edital],0)),"Não")</f>
        <v>Sim</v>
      </c>
      <c r="P5323" s="4">
        <f>IF(COUNTIFS(INDEX(tItens[Edital],1):tItens[[#This Row],[Edital]],tItens[[#This Row],[Edital]],INDEX(tItens[Produto],1):tItens[[#This Row],[Produto]],tItens[[#This Row],[Produto]])=1,1,0)</f>
        <v>0</v>
      </c>
    </row>
    <row r="5324" spans="1:16" x14ac:dyDescent="0.25">
      <c r="A5324" t="s">
        <v>2024</v>
      </c>
      <c r="B5324">
        <v>31</v>
      </c>
      <c r="C5324" t="s">
        <v>8123</v>
      </c>
      <c r="D5324" t="s">
        <v>315</v>
      </c>
      <c r="E5324" s="13">
        <v>300</v>
      </c>
      <c r="F5324" s="12">
        <v>8</v>
      </c>
      <c r="G5324" t="str">
        <f>IFERROR(INDEX(tEditais[Órgão],MATCH(tItens[[#This Row],[Edital]],tEditais[Edital],0)),"")</f>
        <v>MUNICIPIO DE IBAITI</v>
      </c>
      <c r="H5324" t="str">
        <f>IFERROR(INDEX(tEditais[UF],MATCH(tItens[[#This Row],[Edital]],tEditais[Edital],0)),"")</f>
        <v>PR</v>
      </c>
      <c r="I5324" s="11">
        <f>IFERROR(INDEX(tEditais[Encerramento],MATCH(tItens[[#This Row],[Edital]],tEditais[Edital],0)),"")</f>
        <v>46308.375</v>
      </c>
      <c r="J5324" t="str">
        <f>IFERROR(INDEX(tProdutos[Classe],MATCH(tItens[[#This Row],[Produto]],tProdutos[Produto],0)),"produto não cadastrado")</f>
        <v>FORA</v>
      </c>
      <c r="K5324" s="12">
        <f>tItens[[#This Row],[Qtd]]*tItens[[#This Row],[Vlr unit]]</f>
        <v>2400</v>
      </c>
      <c r="L5324" s="6">
        <f>IFERROR(IF(INDEX(tProdutos[Desconto homologado],MATCH(tItens[[#This Row],[Produto]],tProdutos[Produto],0))="",DescontoPadrao,INDEX(tProdutos[Desconto homologado],MATCH(tItens[[#This Row],[Produto]],tProdutos[Produto],0))),DescontoPadrao)</f>
        <v>0.38432036097010702</v>
      </c>
      <c r="M5324" s="12">
        <f>tItens[[#This Row],[Valor]]*(1-tItens[[#This Row],[Desconto]])</f>
        <v>1477.6311336717431</v>
      </c>
      <c r="N5324" t="str">
        <f>IFERROR(INDEX(tProdutos[Foco],MATCH(tItens[[#This Row],[Produto]],tProdutos[Produto],0)),"Não")</f>
        <v>Não</v>
      </c>
      <c r="O5324" t="str">
        <f>IFERROR(INDEX(tEditais[SRP],MATCH(tItens[[#This Row],[Edital]],tEditais[Edital],0)),"Não")</f>
        <v>Sim</v>
      </c>
      <c r="P5324" s="4">
        <f>IF(COUNTIFS(INDEX(tItens[Edital],1):tItens[[#This Row],[Edital]],tItens[[#This Row],[Edital]],INDEX(tItens[Produto],1):tItens[[#This Row],[Produto]],tItens[[#This Row],[Produto]])=1,1,0)</f>
        <v>0</v>
      </c>
    </row>
    <row r="5325" spans="1:16" x14ac:dyDescent="0.25">
      <c r="A5325" t="s">
        <v>2024</v>
      </c>
      <c r="B5325">
        <v>32</v>
      </c>
      <c r="C5325" t="s">
        <v>8124</v>
      </c>
      <c r="D5325" t="s">
        <v>315</v>
      </c>
      <c r="E5325" s="13">
        <v>300</v>
      </c>
      <c r="F5325" s="12">
        <v>7.33</v>
      </c>
      <c r="G5325" t="str">
        <f>IFERROR(INDEX(tEditais[Órgão],MATCH(tItens[[#This Row],[Edital]],tEditais[Edital],0)),"")</f>
        <v>MUNICIPIO DE IBAITI</v>
      </c>
      <c r="H5325" t="str">
        <f>IFERROR(INDEX(tEditais[UF],MATCH(tItens[[#This Row],[Edital]],tEditais[Edital],0)),"")</f>
        <v>PR</v>
      </c>
      <c r="I5325" s="11">
        <f>IFERROR(INDEX(tEditais[Encerramento],MATCH(tItens[[#This Row],[Edital]],tEditais[Edital],0)),"")</f>
        <v>46308.375</v>
      </c>
      <c r="J5325" t="str">
        <f>IFERROR(INDEX(tProdutos[Classe],MATCH(tItens[[#This Row],[Produto]],tProdutos[Produto],0)),"produto não cadastrado")</f>
        <v>FORA</v>
      </c>
      <c r="K5325" s="12">
        <f>tItens[[#This Row],[Qtd]]*tItens[[#This Row],[Vlr unit]]</f>
        <v>2199</v>
      </c>
      <c r="L5325" s="6">
        <f>IFERROR(IF(INDEX(tProdutos[Desconto homologado],MATCH(tItens[[#This Row],[Produto]],tProdutos[Produto],0))="",DescontoPadrao,INDEX(tProdutos[Desconto homologado],MATCH(tItens[[#This Row],[Produto]],tProdutos[Produto],0))),DescontoPadrao)</f>
        <v>0.38432036097010702</v>
      </c>
      <c r="M5325" s="12">
        <f>tItens[[#This Row],[Valor]]*(1-tItens[[#This Row],[Desconto]])</f>
        <v>1353.8795262267347</v>
      </c>
      <c r="N5325" t="str">
        <f>IFERROR(INDEX(tProdutos[Foco],MATCH(tItens[[#This Row],[Produto]],tProdutos[Produto],0)),"Não")</f>
        <v>Não</v>
      </c>
      <c r="O5325" t="str">
        <f>IFERROR(INDEX(tEditais[SRP],MATCH(tItens[[#This Row],[Edital]],tEditais[Edital],0)),"Não")</f>
        <v>Sim</v>
      </c>
      <c r="P5325" s="4">
        <f>IF(COUNTIFS(INDEX(tItens[Edital],1):tItens[[#This Row],[Edital]],tItens[[#This Row],[Edital]],INDEX(tItens[Produto],1):tItens[[#This Row],[Produto]],tItens[[#This Row],[Produto]])=1,1,0)</f>
        <v>0</v>
      </c>
    </row>
    <row r="5326" spans="1:16" x14ac:dyDescent="0.25">
      <c r="A5326" t="s">
        <v>2024</v>
      </c>
      <c r="B5326">
        <v>33</v>
      </c>
      <c r="C5326" t="s">
        <v>8125</v>
      </c>
      <c r="D5326" t="s">
        <v>315</v>
      </c>
      <c r="E5326" s="13">
        <v>500</v>
      </c>
      <c r="F5326" s="12">
        <v>21.98</v>
      </c>
      <c r="G5326" t="str">
        <f>IFERROR(INDEX(tEditais[Órgão],MATCH(tItens[[#This Row],[Edital]],tEditais[Edital],0)),"")</f>
        <v>MUNICIPIO DE IBAITI</v>
      </c>
      <c r="H5326" t="str">
        <f>IFERROR(INDEX(tEditais[UF],MATCH(tItens[[#This Row],[Edital]],tEditais[Edital],0)),"")</f>
        <v>PR</v>
      </c>
      <c r="I5326" s="11">
        <f>IFERROR(INDEX(tEditais[Encerramento],MATCH(tItens[[#This Row],[Edital]],tEditais[Edital],0)),"")</f>
        <v>46308.375</v>
      </c>
      <c r="J5326" t="str">
        <f>IFERROR(INDEX(tProdutos[Classe],MATCH(tItens[[#This Row],[Produto]],tProdutos[Produto],0)),"produto não cadastrado")</f>
        <v>FORA</v>
      </c>
      <c r="K5326" s="12">
        <f>tItens[[#This Row],[Qtd]]*tItens[[#This Row],[Vlr unit]]</f>
        <v>10990</v>
      </c>
      <c r="L5326" s="6">
        <f>IFERROR(IF(INDEX(tProdutos[Desconto homologado],MATCH(tItens[[#This Row],[Produto]],tProdutos[Produto],0))="",DescontoPadrao,INDEX(tProdutos[Desconto homologado],MATCH(tItens[[#This Row],[Produto]],tProdutos[Produto],0))),DescontoPadrao)</f>
        <v>0.38432036097010702</v>
      </c>
      <c r="M5326" s="12">
        <f>tItens[[#This Row],[Valor]]*(1-tItens[[#This Row],[Desconto]])</f>
        <v>6766.3192329385238</v>
      </c>
      <c r="N5326" t="str">
        <f>IFERROR(INDEX(tProdutos[Foco],MATCH(tItens[[#This Row],[Produto]],tProdutos[Produto],0)),"Não")</f>
        <v>Não</v>
      </c>
      <c r="O5326" t="str">
        <f>IFERROR(INDEX(tEditais[SRP],MATCH(tItens[[#This Row],[Edital]],tEditais[Edital],0)),"Não")</f>
        <v>Sim</v>
      </c>
      <c r="P5326" s="4">
        <f>IF(COUNTIFS(INDEX(tItens[Edital],1):tItens[[#This Row],[Edital]],tItens[[#This Row],[Edital]],INDEX(tItens[Produto],1):tItens[[#This Row],[Produto]],tItens[[#This Row],[Produto]])=1,1,0)</f>
        <v>0</v>
      </c>
    </row>
    <row r="5327" spans="1:16" x14ac:dyDescent="0.25">
      <c r="A5327" t="s">
        <v>2024</v>
      </c>
      <c r="B5327">
        <v>34</v>
      </c>
      <c r="C5327" t="s">
        <v>8126</v>
      </c>
      <c r="D5327" t="s">
        <v>315</v>
      </c>
      <c r="E5327" s="13">
        <v>500</v>
      </c>
      <c r="F5327" s="12">
        <v>10.59</v>
      </c>
      <c r="G5327" t="str">
        <f>IFERROR(INDEX(tEditais[Órgão],MATCH(tItens[[#This Row],[Edital]],tEditais[Edital],0)),"")</f>
        <v>MUNICIPIO DE IBAITI</v>
      </c>
      <c r="H5327" t="str">
        <f>IFERROR(INDEX(tEditais[UF],MATCH(tItens[[#This Row],[Edital]],tEditais[Edital],0)),"")</f>
        <v>PR</v>
      </c>
      <c r="I5327" s="11">
        <f>IFERROR(INDEX(tEditais[Encerramento],MATCH(tItens[[#This Row],[Edital]],tEditais[Edital],0)),"")</f>
        <v>46308.375</v>
      </c>
      <c r="J5327" t="str">
        <f>IFERROR(INDEX(tProdutos[Classe],MATCH(tItens[[#This Row],[Produto]],tProdutos[Produto],0)),"produto não cadastrado")</f>
        <v>FORA</v>
      </c>
      <c r="K5327" s="12">
        <f>tItens[[#This Row],[Qtd]]*tItens[[#This Row],[Vlr unit]]</f>
        <v>5295</v>
      </c>
      <c r="L5327" s="6">
        <f>IFERROR(IF(INDEX(tProdutos[Desconto homologado],MATCH(tItens[[#This Row],[Produto]],tProdutos[Produto],0))="",DescontoPadrao,INDEX(tProdutos[Desconto homologado],MATCH(tItens[[#This Row],[Produto]],tProdutos[Produto],0))),DescontoPadrao)</f>
        <v>0.38432036097010702</v>
      </c>
      <c r="M5327" s="12">
        <f>tItens[[#This Row],[Valor]]*(1-tItens[[#This Row],[Desconto]])</f>
        <v>3260.0236886632833</v>
      </c>
      <c r="N5327" t="str">
        <f>IFERROR(INDEX(tProdutos[Foco],MATCH(tItens[[#This Row],[Produto]],tProdutos[Produto],0)),"Não")</f>
        <v>Não</v>
      </c>
      <c r="O5327" t="str">
        <f>IFERROR(INDEX(tEditais[SRP],MATCH(tItens[[#This Row],[Edital]],tEditais[Edital],0)),"Não")</f>
        <v>Sim</v>
      </c>
      <c r="P5327" s="4">
        <f>IF(COUNTIFS(INDEX(tItens[Edital],1):tItens[[#This Row],[Edital]],tItens[[#This Row],[Edital]],INDEX(tItens[Produto],1):tItens[[#This Row],[Produto]],tItens[[#This Row],[Produto]])=1,1,0)</f>
        <v>0</v>
      </c>
    </row>
    <row r="5328" spans="1:16" x14ac:dyDescent="0.25">
      <c r="A5328" t="s">
        <v>2024</v>
      </c>
      <c r="B5328">
        <v>53</v>
      </c>
      <c r="C5328" t="s">
        <v>8127</v>
      </c>
      <c r="D5328" t="s">
        <v>578</v>
      </c>
      <c r="E5328" s="13">
        <v>20</v>
      </c>
      <c r="F5328" s="12">
        <v>1306.67</v>
      </c>
      <c r="G5328" t="str">
        <f>IFERROR(INDEX(tEditais[Órgão],MATCH(tItens[[#This Row],[Edital]],tEditais[Edital],0)),"")</f>
        <v>MUNICIPIO DE IBAITI</v>
      </c>
      <c r="H5328" t="str">
        <f>IFERROR(INDEX(tEditais[UF],MATCH(tItens[[#This Row],[Edital]],tEditais[Edital],0)),"")</f>
        <v>PR</v>
      </c>
      <c r="I5328" s="11">
        <f>IFERROR(INDEX(tEditais[Encerramento],MATCH(tItens[[#This Row],[Edital]],tEditais[Edital],0)),"")</f>
        <v>46308.375</v>
      </c>
      <c r="J5328" t="str">
        <f>IFERROR(INDEX(tProdutos[Classe],MATCH(tItens[[#This Row],[Produto]],tProdutos[Produto],0)),"produto não cadastrado")</f>
        <v>FILA REBASE</v>
      </c>
      <c r="K5328" s="12">
        <f>tItens[[#This Row],[Qtd]]*tItens[[#This Row],[Vlr unit]]</f>
        <v>26133.4</v>
      </c>
      <c r="L5328" s="6">
        <f>IFERROR(IF(INDEX(tProdutos[Desconto homologado],MATCH(tItens[[#This Row],[Produto]],tProdutos[Produto],0))="",DescontoPadrao,INDEX(tProdutos[Desconto homologado],MATCH(tItens[[#This Row],[Produto]],tProdutos[Produto],0))),DescontoPadrao)</f>
        <v>0.36014625228519198</v>
      </c>
      <c r="M5328" s="12">
        <f>tItens[[#This Row],[Valor]]*(1-tItens[[#This Row],[Desconto]])</f>
        <v>16721.553930530165</v>
      </c>
      <c r="N5328" t="str">
        <f>IFERROR(INDEX(tProdutos[Foco],MATCH(tItens[[#This Row],[Produto]],tProdutos[Produto],0)),"Não")</f>
        <v>Não</v>
      </c>
      <c r="O5328" t="str">
        <f>IFERROR(INDEX(tEditais[SRP],MATCH(tItens[[#This Row],[Edital]],tEditais[Edital],0)),"Não")</f>
        <v>Sim</v>
      </c>
      <c r="P5328" s="4">
        <f>IF(COUNTIFS(INDEX(tItens[Edital],1):tItens[[#This Row],[Edital]],tItens[[#This Row],[Edital]],INDEX(tItens[Produto],1):tItens[[#This Row],[Produto]],tItens[[#This Row],[Produto]])=1,1,0)</f>
        <v>1</v>
      </c>
    </row>
    <row r="5329" spans="1:16" x14ac:dyDescent="0.25">
      <c r="A5329" t="s">
        <v>2024</v>
      </c>
      <c r="B5329">
        <v>54</v>
      </c>
      <c r="C5329" t="s">
        <v>8128</v>
      </c>
      <c r="D5329" t="s">
        <v>351</v>
      </c>
      <c r="E5329" s="13">
        <v>2100</v>
      </c>
      <c r="F5329" s="12">
        <v>6.01</v>
      </c>
      <c r="G5329" t="str">
        <f>IFERROR(INDEX(tEditais[Órgão],MATCH(tItens[[#This Row],[Edital]],tEditais[Edital],0)),"")</f>
        <v>MUNICIPIO DE IBAITI</v>
      </c>
      <c r="H5329" t="str">
        <f>IFERROR(INDEX(tEditais[UF],MATCH(tItens[[#This Row],[Edital]],tEditais[Edital],0)),"")</f>
        <v>PR</v>
      </c>
      <c r="I5329" s="11">
        <f>IFERROR(INDEX(tEditais[Encerramento],MATCH(tItens[[#This Row],[Edital]],tEditais[Edital],0)),"")</f>
        <v>46308.375</v>
      </c>
      <c r="J5329" t="str">
        <f>IFERROR(INDEX(tProdutos[Classe],MATCH(tItens[[#This Row],[Produto]],tProdutos[Produto],0)),"produto não cadastrado")</f>
        <v>FORA</v>
      </c>
      <c r="K5329" s="12">
        <f>tItens[[#This Row],[Qtd]]*tItens[[#This Row],[Vlr unit]]</f>
        <v>12621</v>
      </c>
      <c r="L5329" s="6">
        <f>IFERROR(IF(INDEX(tProdutos[Desconto homologado],MATCH(tItens[[#This Row],[Produto]],tProdutos[Produto],0))="",DescontoPadrao,INDEX(tProdutos[Desconto homologado],MATCH(tItens[[#This Row],[Produto]],tProdutos[Produto],0))),DescontoPadrao)</f>
        <v>0.33518005540166201</v>
      </c>
      <c r="M5329" s="12">
        <f>tItens[[#This Row],[Valor]]*(1-tItens[[#This Row],[Desconto]])</f>
        <v>8390.6925207756249</v>
      </c>
      <c r="N5329" t="str">
        <f>IFERROR(INDEX(tProdutos[Foco],MATCH(tItens[[#This Row],[Produto]],tProdutos[Produto],0)),"Não")</f>
        <v>Não</v>
      </c>
      <c r="O5329" t="str">
        <f>IFERROR(INDEX(tEditais[SRP],MATCH(tItens[[#This Row],[Edital]],tEditais[Edital],0)),"Não")</f>
        <v>Sim</v>
      </c>
      <c r="P5329" s="4">
        <f>IF(COUNTIFS(INDEX(tItens[Edital],1):tItens[[#This Row],[Edital]],tItens[[#This Row],[Edital]],INDEX(tItens[Produto],1):tItens[[#This Row],[Produto]],tItens[[#This Row],[Produto]])=1,1,0)</f>
        <v>1</v>
      </c>
    </row>
    <row r="5330" spans="1:16" x14ac:dyDescent="0.25">
      <c r="A5330" t="s">
        <v>2024</v>
      </c>
      <c r="B5330">
        <v>55</v>
      </c>
      <c r="C5330" t="s">
        <v>8129</v>
      </c>
      <c r="D5330" t="s">
        <v>351</v>
      </c>
      <c r="E5330" s="13">
        <v>2100</v>
      </c>
      <c r="F5330" s="12">
        <v>9.7100000000000009</v>
      </c>
      <c r="G5330" t="str">
        <f>IFERROR(INDEX(tEditais[Órgão],MATCH(tItens[[#This Row],[Edital]],tEditais[Edital],0)),"")</f>
        <v>MUNICIPIO DE IBAITI</v>
      </c>
      <c r="H5330" t="str">
        <f>IFERROR(INDEX(tEditais[UF],MATCH(tItens[[#This Row],[Edital]],tEditais[Edital],0)),"")</f>
        <v>PR</v>
      </c>
      <c r="I5330" s="11">
        <f>IFERROR(INDEX(tEditais[Encerramento],MATCH(tItens[[#This Row],[Edital]],tEditais[Edital],0)),"")</f>
        <v>46308.375</v>
      </c>
      <c r="J5330" t="str">
        <f>IFERROR(INDEX(tProdutos[Classe],MATCH(tItens[[#This Row],[Produto]],tProdutos[Produto],0)),"produto não cadastrado")</f>
        <v>FORA</v>
      </c>
      <c r="K5330" s="12">
        <f>tItens[[#This Row],[Qtd]]*tItens[[#This Row],[Vlr unit]]</f>
        <v>20391</v>
      </c>
      <c r="L5330" s="6">
        <f>IFERROR(IF(INDEX(tProdutos[Desconto homologado],MATCH(tItens[[#This Row],[Produto]],tProdutos[Produto],0))="",DescontoPadrao,INDEX(tProdutos[Desconto homologado],MATCH(tItens[[#This Row],[Produto]],tProdutos[Produto],0))),DescontoPadrao)</f>
        <v>0.33518005540166201</v>
      </c>
      <c r="M5330" s="12">
        <f>tItens[[#This Row],[Valor]]*(1-tItens[[#This Row],[Desconto]])</f>
        <v>13556.343490304711</v>
      </c>
      <c r="N5330" t="str">
        <f>IFERROR(INDEX(tProdutos[Foco],MATCH(tItens[[#This Row],[Produto]],tProdutos[Produto],0)),"Não")</f>
        <v>Não</v>
      </c>
      <c r="O5330" t="str">
        <f>IFERROR(INDEX(tEditais[SRP],MATCH(tItens[[#This Row],[Edital]],tEditais[Edital],0)),"Não")</f>
        <v>Sim</v>
      </c>
      <c r="P5330" s="4">
        <f>IF(COUNTIFS(INDEX(tItens[Edital],1):tItens[[#This Row],[Edital]],tItens[[#This Row],[Edital]],INDEX(tItens[Produto],1):tItens[[#This Row],[Produto]],tItens[[#This Row],[Produto]])=1,1,0)</f>
        <v>0</v>
      </c>
    </row>
    <row r="5331" spans="1:16" x14ac:dyDescent="0.25">
      <c r="A5331" t="s">
        <v>2024</v>
      </c>
      <c r="B5331">
        <v>56</v>
      </c>
      <c r="C5331" t="s">
        <v>8130</v>
      </c>
      <c r="D5331" t="s">
        <v>351</v>
      </c>
      <c r="E5331" s="13">
        <v>2000</v>
      </c>
      <c r="F5331" s="12">
        <v>10.96</v>
      </c>
      <c r="G5331" t="str">
        <f>IFERROR(INDEX(tEditais[Órgão],MATCH(tItens[[#This Row],[Edital]],tEditais[Edital],0)),"")</f>
        <v>MUNICIPIO DE IBAITI</v>
      </c>
      <c r="H5331" t="str">
        <f>IFERROR(INDEX(tEditais[UF],MATCH(tItens[[#This Row],[Edital]],tEditais[Edital],0)),"")</f>
        <v>PR</v>
      </c>
      <c r="I5331" s="11">
        <f>IFERROR(INDEX(tEditais[Encerramento],MATCH(tItens[[#This Row],[Edital]],tEditais[Edital],0)),"")</f>
        <v>46308.375</v>
      </c>
      <c r="J5331" t="str">
        <f>IFERROR(INDEX(tProdutos[Classe],MATCH(tItens[[#This Row],[Produto]],tProdutos[Produto],0)),"produto não cadastrado")</f>
        <v>FORA</v>
      </c>
      <c r="K5331" s="12">
        <f>tItens[[#This Row],[Qtd]]*tItens[[#This Row],[Vlr unit]]</f>
        <v>21920</v>
      </c>
      <c r="L5331" s="6">
        <f>IFERROR(IF(INDEX(tProdutos[Desconto homologado],MATCH(tItens[[#This Row],[Produto]],tProdutos[Produto],0))="",DescontoPadrao,INDEX(tProdutos[Desconto homologado],MATCH(tItens[[#This Row],[Produto]],tProdutos[Produto],0))),DescontoPadrao)</f>
        <v>0.33518005540166201</v>
      </c>
      <c r="M5331" s="12">
        <f>tItens[[#This Row],[Valor]]*(1-tItens[[#This Row],[Desconto]])</f>
        <v>14572.85318559557</v>
      </c>
      <c r="N5331" t="str">
        <f>IFERROR(INDEX(tProdutos[Foco],MATCH(tItens[[#This Row],[Produto]],tProdutos[Produto],0)),"Não")</f>
        <v>Não</v>
      </c>
      <c r="O5331" t="str">
        <f>IFERROR(INDEX(tEditais[SRP],MATCH(tItens[[#This Row],[Edital]],tEditais[Edital],0)),"Não")</f>
        <v>Sim</v>
      </c>
      <c r="P5331" s="4">
        <f>IF(COUNTIFS(INDEX(tItens[Edital],1):tItens[[#This Row],[Edital]],tItens[[#This Row],[Edital]],INDEX(tItens[Produto],1):tItens[[#This Row],[Produto]],tItens[[#This Row],[Produto]])=1,1,0)</f>
        <v>0</v>
      </c>
    </row>
    <row r="5332" spans="1:16" x14ac:dyDescent="0.25">
      <c r="A5332" t="s">
        <v>2024</v>
      </c>
      <c r="B5332">
        <v>57</v>
      </c>
      <c r="C5332" t="s">
        <v>8131</v>
      </c>
      <c r="D5332" t="s">
        <v>351</v>
      </c>
      <c r="E5332" s="13">
        <v>2000</v>
      </c>
      <c r="F5332" s="12">
        <v>5.63</v>
      </c>
      <c r="G5332" t="str">
        <f>IFERROR(INDEX(tEditais[Órgão],MATCH(tItens[[#This Row],[Edital]],tEditais[Edital],0)),"")</f>
        <v>MUNICIPIO DE IBAITI</v>
      </c>
      <c r="H5332" t="str">
        <f>IFERROR(INDEX(tEditais[UF],MATCH(tItens[[#This Row],[Edital]],tEditais[Edital],0)),"")</f>
        <v>PR</v>
      </c>
      <c r="I5332" s="11">
        <f>IFERROR(INDEX(tEditais[Encerramento],MATCH(tItens[[#This Row],[Edital]],tEditais[Edital],0)),"")</f>
        <v>46308.375</v>
      </c>
      <c r="J5332" t="str">
        <f>IFERROR(INDEX(tProdutos[Classe],MATCH(tItens[[#This Row],[Produto]],tProdutos[Produto],0)),"produto não cadastrado")</f>
        <v>FORA</v>
      </c>
      <c r="K5332" s="12">
        <f>tItens[[#This Row],[Qtd]]*tItens[[#This Row],[Vlr unit]]</f>
        <v>11260</v>
      </c>
      <c r="L5332" s="6">
        <f>IFERROR(IF(INDEX(tProdutos[Desconto homologado],MATCH(tItens[[#This Row],[Produto]],tProdutos[Produto],0))="",DescontoPadrao,INDEX(tProdutos[Desconto homologado],MATCH(tItens[[#This Row],[Produto]],tProdutos[Produto],0))),DescontoPadrao)</f>
        <v>0.33518005540166201</v>
      </c>
      <c r="M5332" s="12">
        <f>tItens[[#This Row],[Valor]]*(1-tItens[[#This Row],[Desconto]])</f>
        <v>7485.8725761772866</v>
      </c>
      <c r="N5332" t="str">
        <f>IFERROR(INDEX(tProdutos[Foco],MATCH(tItens[[#This Row],[Produto]],tProdutos[Produto],0)),"Não")</f>
        <v>Não</v>
      </c>
      <c r="O5332" t="str">
        <f>IFERROR(INDEX(tEditais[SRP],MATCH(tItens[[#This Row],[Edital]],tEditais[Edital],0)),"Não")</f>
        <v>Sim</v>
      </c>
      <c r="P5332" s="4">
        <f>IF(COUNTIFS(INDEX(tItens[Edital],1):tItens[[#This Row],[Edital]],tItens[[#This Row],[Edital]],INDEX(tItens[Produto],1):tItens[[#This Row],[Produto]],tItens[[#This Row],[Produto]])=1,1,0)</f>
        <v>0</v>
      </c>
    </row>
    <row r="5333" spans="1:16" x14ac:dyDescent="0.25">
      <c r="A5333" t="s">
        <v>2024</v>
      </c>
      <c r="B5333">
        <v>63</v>
      </c>
      <c r="C5333" t="s">
        <v>8132</v>
      </c>
      <c r="D5333" t="s">
        <v>387</v>
      </c>
      <c r="E5333" s="13">
        <v>1000</v>
      </c>
      <c r="F5333" s="12">
        <v>14.34</v>
      </c>
      <c r="G5333" t="str">
        <f>IFERROR(INDEX(tEditais[Órgão],MATCH(tItens[[#This Row],[Edital]],tEditais[Edital],0)),"")</f>
        <v>MUNICIPIO DE IBAITI</v>
      </c>
      <c r="H5333" t="str">
        <f>IFERROR(INDEX(tEditais[UF],MATCH(tItens[[#This Row],[Edital]],tEditais[Edital],0)),"")</f>
        <v>PR</v>
      </c>
      <c r="I5333" s="11">
        <f>IFERROR(INDEX(tEditais[Encerramento],MATCH(tItens[[#This Row],[Edital]],tEditais[Edital],0)),"")</f>
        <v>46308.375</v>
      </c>
      <c r="J5333" t="str">
        <f>IFERROR(INDEX(tProdutos[Classe],MATCH(tItens[[#This Row],[Produto]],tProdutos[Produto],0)),"produto não cadastrado")</f>
        <v>FORA</v>
      </c>
      <c r="K5333" s="12">
        <f>tItens[[#This Row],[Qtd]]*tItens[[#This Row],[Vlr unit]]</f>
        <v>14340</v>
      </c>
      <c r="L5333" s="6">
        <f>IFERROR(IF(INDEX(tProdutos[Desconto homologado],MATCH(tItens[[#This Row],[Produto]],tProdutos[Produto],0))="",DescontoPadrao,INDEX(tProdutos[Desconto homologado],MATCH(tItens[[#This Row],[Produto]],tProdutos[Produto],0))),DescontoPadrao)</f>
        <v>0.30458221024258803</v>
      </c>
      <c r="M5333" s="12">
        <f>tItens[[#This Row],[Valor]]*(1-tItens[[#This Row],[Desconto]])</f>
        <v>9972.2911051212868</v>
      </c>
      <c r="N5333" t="str">
        <f>IFERROR(INDEX(tProdutos[Foco],MATCH(tItens[[#This Row],[Produto]],tProdutos[Produto],0)),"Não")</f>
        <v>Não</v>
      </c>
      <c r="O5333" t="str">
        <f>IFERROR(INDEX(tEditais[SRP],MATCH(tItens[[#This Row],[Edital]],tEditais[Edital],0)),"Não")</f>
        <v>Sim</v>
      </c>
      <c r="P5333" s="4">
        <f>IF(COUNTIFS(INDEX(tItens[Edital],1):tItens[[#This Row],[Edital]],tItens[[#This Row],[Edital]],INDEX(tItens[Produto],1):tItens[[#This Row],[Produto]],tItens[[#This Row],[Produto]])=1,1,0)</f>
        <v>1</v>
      </c>
    </row>
    <row r="5334" spans="1:16" x14ac:dyDescent="0.25">
      <c r="A5334" t="s">
        <v>2024</v>
      </c>
      <c r="B5334">
        <v>75</v>
      </c>
      <c r="C5334" t="s">
        <v>8133</v>
      </c>
      <c r="D5334" t="s">
        <v>205</v>
      </c>
      <c r="E5334" s="13">
        <v>200</v>
      </c>
      <c r="F5334" s="12">
        <v>39.9</v>
      </c>
      <c r="G5334" t="str">
        <f>IFERROR(INDEX(tEditais[Órgão],MATCH(tItens[[#This Row],[Edital]],tEditais[Edital],0)),"")</f>
        <v>MUNICIPIO DE IBAITI</v>
      </c>
      <c r="H5334" t="str">
        <f>IFERROR(INDEX(tEditais[UF],MATCH(tItens[[#This Row],[Edital]],tEditais[Edital],0)),"")</f>
        <v>PR</v>
      </c>
      <c r="I5334" s="11">
        <f>IFERROR(INDEX(tEditais[Encerramento],MATCH(tItens[[#This Row],[Edital]],tEditais[Edital],0)),"")</f>
        <v>46308.375</v>
      </c>
      <c r="J5334" t="str">
        <f>IFERROR(INDEX(tProdutos[Classe],MATCH(tItens[[#This Row],[Produto]],tProdutos[Produto],0)),"produto não cadastrado")</f>
        <v>FORA</v>
      </c>
      <c r="K5334" s="12">
        <f>tItens[[#This Row],[Qtd]]*tItens[[#This Row],[Vlr unit]]</f>
        <v>7980</v>
      </c>
      <c r="L5334" s="6">
        <f>IFERROR(IF(INDEX(tProdutos[Desconto homologado],MATCH(tItens[[#This Row],[Produto]],tProdutos[Produto],0))="",DescontoPadrao,INDEX(tProdutos[Desconto homologado],MATCH(tItens[[#This Row],[Produto]],tProdutos[Produto],0))),DescontoPadrao)</f>
        <v>0.468911625815156</v>
      </c>
      <c r="M5334" s="12">
        <f>tItens[[#This Row],[Valor]]*(1-tItens[[#This Row],[Desconto]])</f>
        <v>4238.0852259950552</v>
      </c>
      <c r="N5334" t="str">
        <f>IFERROR(INDEX(tProdutos[Foco],MATCH(tItens[[#This Row],[Produto]],tProdutos[Produto],0)),"Não")</f>
        <v>Não</v>
      </c>
      <c r="O5334" t="str">
        <f>IFERROR(INDEX(tEditais[SRP],MATCH(tItens[[#This Row],[Edital]],tEditais[Edital],0)),"Não")</f>
        <v>Sim</v>
      </c>
      <c r="P5334" s="4">
        <f>IF(COUNTIFS(INDEX(tItens[Edital],1):tItens[[#This Row],[Edital]],tItens[[#This Row],[Edital]],INDEX(tItens[Produto],1):tItens[[#This Row],[Produto]],tItens[[#This Row],[Produto]])=1,1,0)</f>
        <v>1</v>
      </c>
    </row>
    <row r="5335" spans="1:16" x14ac:dyDescent="0.25">
      <c r="A5335" t="s">
        <v>2024</v>
      </c>
      <c r="B5335">
        <v>94</v>
      </c>
      <c r="C5335" t="s">
        <v>8134</v>
      </c>
      <c r="D5335" t="s">
        <v>245</v>
      </c>
      <c r="E5335" s="13">
        <v>500</v>
      </c>
      <c r="F5335" s="12">
        <v>66.09</v>
      </c>
      <c r="G5335" t="str">
        <f>IFERROR(INDEX(tEditais[Órgão],MATCH(tItens[[#This Row],[Edital]],tEditais[Edital],0)),"")</f>
        <v>MUNICIPIO DE IBAITI</v>
      </c>
      <c r="H5335" t="str">
        <f>IFERROR(INDEX(tEditais[UF],MATCH(tItens[[#This Row],[Edital]],tEditais[Edital],0)),"")</f>
        <v>PR</v>
      </c>
      <c r="I5335" s="11">
        <f>IFERROR(INDEX(tEditais[Encerramento],MATCH(tItens[[#This Row],[Edital]],tEditais[Edital],0)),"")</f>
        <v>46308.375</v>
      </c>
      <c r="J5335" t="str">
        <f>IFERROR(INDEX(tProdutos[Classe],MATCH(tItens[[#This Row],[Produto]],tProdutos[Produto],0)),"produto não cadastrado")</f>
        <v>FORA</v>
      </c>
      <c r="K5335" s="12">
        <f>tItens[[#This Row],[Qtd]]*tItens[[#This Row],[Vlr unit]]</f>
        <v>33045</v>
      </c>
      <c r="L5335" s="6">
        <f>IFERROR(IF(INDEX(tProdutos[Desconto homologado],MATCH(tItens[[#This Row],[Produto]],tProdutos[Produto],0))="",DescontoPadrao,INDEX(tProdutos[Desconto homologado],MATCH(tItens[[#This Row],[Produto]],tProdutos[Produto],0))),DescontoPadrao)</f>
        <v>0.34516963542284401</v>
      </c>
      <c r="M5335" s="12">
        <f>tItens[[#This Row],[Valor]]*(1-tItens[[#This Row],[Desconto]])</f>
        <v>21638.869397452123</v>
      </c>
      <c r="N5335" t="str">
        <f>IFERROR(INDEX(tProdutos[Foco],MATCH(tItens[[#This Row],[Produto]],tProdutos[Produto],0)),"Não")</f>
        <v>Não</v>
      </c>
      <c r="O5335" t="str">
        <f>IFERROR(INDEX(tEditais[SRP],MATCH(tItens[[#This Row],[Edital]],tEditais[Edital],0)),"Não")</f>
        <v>Sim</v>
      </c>
      <c r="P5335" s="4">
        <f>IF(COUNTIFS(INDEX(tItens[Edital],1):tItens[[#This Row],[Edital]],tItens[[#This Row],[Edital]],INDEX(tItens[Produto],1):tItens[[#This Row],[Produto]],tItens[[#This Row],[Produto]])=1,1,0)</f>
        <v>1</v>
      </c>
    </row>
    <row r="5336" spans="1:16" x14ac:dyDescent="0.25">
      <c r="A5336" t="s">
        <v>2024</v>
      </c>
      <c r="B5336">
        <v>95</v>
      </c>
      <c r="C5336" t="s">
        <v>8135</v>
      </c>
      <c r="D5336" t="s">
        <v>245</v>
      </c>
      <c r="E5336" s="13">
        <v>250</v>
      </c>
      <c r="F5336" s="12">
        <v>152.72999999999999</v>
      </c>
      <c r="G5336" t="str">
        <f>IFERROR(INDEX(tEditais[Órgão],MATCH(tItens[[#This Row],[Edital]],tEditais[Edital],0)),"")</f>
        <v>MUNICIPIO DE IBAITI</v>
      </c>
      <c r="H5336" t="str">
        <f>IFERROR(INDEX(tEditais[UF],MATCH(tItens[[#This Row],[Edital]],tEditais[Edital],0)),"")</f>
        <v>PR</v>
      </c>
      <c r="I5336" s="11">
        <f>IFERROR(INDEX(tEditais[Encerramento],MATCH(tItens[[#This Row],[Edital]],tEditais[Edital],0)),"")</f>
        <v>46308.375</v>
      </c>
      <c r="J5336" t="str">
        <f>IFERROR(INDEX(tProdutos[Classe],MATCH(tItens[[#This Row],[Produto]],tProdutos[Produto],0)),"produto não cadastrado")</f>
        <v>FORA</v>
      </c>
      <c r="K5336" s="12">
        <f>tItens[[#This Row],[Qtd]]*tItens[[#This Row],[Vlr unit]]</f>
        <v>38182.5</v>
      </c>
      <c r="L5336" s="6">
        <f>IFERROR(IF(INDEX(tProdutos[Desconto homologado],MATCH(tItens[[#This Row],[Produto]],tProdutos[Produto],0))="",DescontoPadrao,INDEX(tProdutos[Desconto homologado],MATCH(tItens[[#This Row],[Produto]],tProdutos[Produto],0))),DescontoPadrao)</f>
        <v>0.34516963542284401</v>
      </c>
      <c r="M5336" s="12">
        <f>tItens[[#This Row],[Valor]]*(1-tItens[[#This Row],[Desconto]])</f>
        <v>25003.060395467262</v>
      </c>
      <c r="N5336" t="str">
        <f>IFERROR(INDEX(tProdutos[Foco],MATCH(tItens[[#This Row],[Produto]],tProdutos[Produto],0)),"Não")</f>
        <v>Não</v>
      </c>
      <c r="O5336" t="str">
        <f>IFERROR(INDEX(tEditais[SRP],MATCH(tItens[[#This Row],[Edital]],tEditais[Edital],0)),"Não")</f>
        <v>Sim</v>
      </c>
      <c r="P5336" s="4">
        <f>IF(COUNTIFS(INDEX(tItens[Edital],1):tItens[[#This Row],[Edital]],tItens[[#This Row],[Edital]],INDEX(tItens[Produto],1):tItens[[#This Row],[Produto]],tItens[[#This Row],[Produto]])=1,1,0)</f>
        <v>0</v>
      </c>
    </row>
    <row r="5337" spans="1:16" x14ac:dyDescent="0.25">
      <c r="A5337" t="s">
        <v>2024</v>
      </c>
      <c r="B5337">
        <v>103</v>
      </c>
      <c r="C5337" t="s">
        <v>8136</v>
      </c>
      <c r="D5337" t="s">
        <v>73</v>
      </c>
      <c r="E5337" s="13">
        <v>6000</v>
      </c>
      <c r="F5337" s="12">
        <v>1.41</v>
      </c>
      <c r="G5337" t="str">
        <f>IFERROR(INDEX(tEditais[Órgão],MATCH(tItens[[#This Row],[Edital]],tEditais[Edital],0)),"")</f>
        <v>MUNICIPIO DE IBAITI</v>
      </c>
      <c r="H5337" t="str">
        <f>IFERROR(INDEX(tEditais[UF],MATCH(tItens[[#This Row],[Edital]],tEditais[Edital],0)),"")</f>
        <v>PR</v>
      </c>
      <c r="I5337" s="11">
        <f>IFERROR(INDEX(tEditais[Encerramento],MATCH(tItens[[#This Row],[Edital]],tEditais[Edital],0)),"")</f>
        <v>46308.375</v>
      </c>
      <c r="J5337" t="str">
        <f>IFERROR(INDEX(tProdutos[Classe],MATCH(tItens[[#This Row],[Produto]],tProdutos[Produto],0)),"produto não cadastrado")</f>
        <v>NÚCLEO</v>
      </c>
      <c r="K5337" s="12">
        <f>tItens[[#This Row],[Qtd]]*tItens[[#This Row],[Vlr unit]]</f>
        <v>8460</v>
      </c>
      <c r="L5337" s="6">
        <f>IFERROR(IF(INDEX(tProdutos[Desconto homologado],MATCH(tItens[[#This Row],[Produto]],tProdutos[Produto],0))="",DescontoPadrao,INDEX(tProdutos[Desconto homologado],MATCH(tItens[[#This Row],[Produto]],tProdutos[Produto],0))),DescontoPadrao)</f>
        <v>0.37</v>
      </c>
      <c r="M5337" s="12">
        <f>tItens[[#This Row],[Valor]]*(1-tItens[[#This Row],[Desconto]])</f>
        <v>5329.8</v>
      </c>
      <c r="N5337" t="str">
        <f>IFERROR(INDEX(tProdutos[Foco],MATCH(tItens[[#This Row],[Produto]],tProdutos[Produto],0)),"Não")</f>
        <v>Sim</v>
      </c>
      <c r="O5337" t="str">
        <f>IFERROR(INDEX(tEditais[SRP],MATCH(tItens[[#This Row],[Edital]],tEditais[Edital],0)),"Não")</f>
        <v>Sim</v>
      </c>
      <c r="P5337" s="4">
        <f>IF(COUNTIFS(INDEX(tItens[Edital],1):tItens[[#This Row],[Edital]],tItens[[#This Row],[Edital]],INDEX(tItens[Produto],1):tItens[[#This Row],[Produto]],tItens[[#This Row],[Produto]])=1,1,0)</f>
        <v>1</v>
      </c>
    </row>
    <row r="5338" spans="1:16" x14ac:dyDescent="0.25">
      <c r="A5338" t="s">
        <v>2024</v>
      </c>
      <c r="B5338">
        <v>104</v>
      </c>
      <c r="C5338" t="s">
        <v>8137</v>
      </c>
      <c r="D5338" t="s">
        <v>73</v>
      </c>
      <c r="E5338" s="13">
        <v>700</v>
      </c>
      <c r="F5338" s="12">
        <v>1.59</v>
      </c>
      <c r="G5338" t="str">
        <f>IFERROR(INDEX(tEditais[Órgão],MATCH(tItens[[#This Row],[Edital]],tEditais[Edital],0)),"")</f>
        <v>MUNICIPIO DE IBAITI</v>
      </c>
      <c r="H5338" t="str">
        <f>IFERROR(INDEX(tEditais[UF],MATCH(tItens[[#This Row],[Edital]],tEditais[Edital],0)),"")</f>
        <v>PR</v>
      </c>
      <c r="I5338" s="11">
        <f>IFERROR(INDEX(tEditais[Encerramento],MATCH(tItens[[#This Row],[Edital]],tEditais[Edital],0)),"")</f>
        <v>46308.375</v>
      </c>
      <c r="J5338" t="str">
        <f>IFERROR(INDEX(tProdutos[Classe],MATCH(tItens[[#This Row],[Produto]],tProdutos[Produto],0)),"produto não cadastrado")</f>
        <v>NÚCLEO</v>
      </c>
      <c r="K5338" s="12">
        <f>tItens[[#This Row],[Qtd]]*tItens[[#This Row],[Vlr unit]]</f>
        <v>1113</v>
      </c>
      <c r="L5338" s="6">
        <f>IFERROR(IF(INDEX(tProdutos[Desconto homologado],MATCH(tItens[[#This Row],[Produto]],tProdutos[Produto],0))="",DescontoPadrao,INDEX(tProdutos[Desconto homologado],MATCH(tItens[[#This Row],[Produto]],tProdutos[Produto],0))),DescontoPadrao)</f>
        <v>0.37</v>
      </c>
      <c r="M5338" s="12">
        <f>tItens[[#This Row],[Valor]]*(1-tItens[[#This Row],[Desconto]])</f>
        <v>701.19</v>
      </c>
      <c r="N5338" t="str">
        <f>IFERROR(INDEX(tProdutos[Foco],MATCH(tItens[[#This Row],[Produto]],tProdutos[Produto],0)),"Não")</f>
        <v>Sim</v>
      </c>
      <c r="O5338" t="str">
        <f>IFERROR(INDEX(tEditais[SRP],MATCH(tItens[[#This Row],[Edital]],tEditais[Edital],0)),"Não")</f>
        <v>Sim</v>
      </c>
      <c r="P5338" s="4">
        <f>IF(COUNTIFS(INDEX(tItens[Edital],1):tItens[[#This Row],[Edital]],tItens[[#This Row],[Edital]],INDEX(tItens[Produto],1):tItens[[#This Row],[Produto]],tItens[[#This Row],[Produto]])=1,1,0)</f>
        <v>0</v>
      </c>
    </row>
    <row r="5339" spans="1:16" x14ac:dyDescent="0.25">
      <c r="A5339" t="s">
        <v>2024</v>
      </c>
      <c r="B5339">
        <v>105</v>
      </c>
      <c r="C5339" t="s">
        <v>8138</v>
      </c>
      <c r="D5339" t="s">
        <v>353</v>
      </c>
      <c r="E5339" s="13">
        <v>100</v>
      </c>
      <c r="F5339" s="12">
        <v>40</v>
      </c>
      <c r="G5339" t="str">
        <f>IFERROR(INDEX(tEditais[Órgão],MATCH(tItens[[#This Row],[Edital]],tEditais[Edital],0)),"")</f>
        <v>MUNICIPIO DE IBAITI</v>
      </c>
      <c r="H5339" t="str">
        <f>IFERROR(INDEX(tEditais[UF],MATCH(tItens[[#This Row],[Edital]],tEditais[Edital],0)),"")</f>
        <v>PR</v>
      </c>
      <c r="I5339" s="11">
        <f>IFERROR(INDEX(tEditais[Encerramento],MATCH(tItens[[#This Row],[Edital]],tEditais[Edital],0)),"")</f>
        <v>46308.375</v>
      </c>
      <c r="J5339" t="str">
        <f>IFERROR(INDEX(tProdutos[Classe],MATCH(tItens[[#This Row],[Produto]],tProdutos[Produto],0)),"produto não cadastrado")</f>
        <v>FORA</v>
      </c>
      <c r="K5339" s="12">
        <f>tItens[[#This Row],[Qtd]]*tItens[[#This Row],[Vlr unit]]</f>
        <v>4000</v>
      </c>
      <c r="L5339" s="6">
        <f>IFERROR(IF(INDEX(tProdutos[Desconto homologado],MATCH(tItens[[#This Row],[Produto]],tProdutos[Produto],0))="",DescontoPadrao,INDEX(tProdutos[Desconto homologado],MATCH(tItens[[#This Row],[Produto]],tProdutos[Produto],0))),DescontoPadrao)</f>
        <v>0.44729172947442503</v>
      </c>
      <c r="M5339" s="12">
        <f>tItens[[#This Row],[Valor]]*(1-tItens[[#This Row],[Desconto]])</f>
        <v>2210.8330821023001</v>
      </c>
      <c r="N5339" t="str">
        <f>IFERROR(INDEX(tProdutos[Foco],MATCH(tItens[[#This Row],[Produto]],tProdutos[Produto],0)),"Não")</f>
        <v>Não</v>
      </c>
      <c r="O5339" t="str">
        <f>IFERROR(INDEX(tEditais[SRP],MATCH(tItens[[#This Row],[Edital]],tEditais[Edital],0)),"Não")</f>
        <v>Sim</v>
      </c>
      <c r="P5339" s="4">
        <f>IF(COUNTIFS(INDEX(tItens[Edital],1):tItens[[#This Row],[Edital]],tItens[[#This Row],[Edital]],INDEX(tItens[Produto],1):tItens[[#This Row],[Produto]],tItens[[#This Row],[Produto]])=1,1,0)</f>
        <v>1</v>
      </c>
    </row>
    <row r="5340" spans="1:16" x14ac:dyDescent="0.25">
      <c r="A5340" t="s">
        <v>2024</v>
      </c>
      <c r="B5340">
        <v>106</v>
      </c>
      <c r="C5340" t="s">
        <v>8139</v>
      </c>
      <c r="D5340" t="s">
        <v>353</v>
      </c>
      <c r="E5340" s="13">
        <v>100</v>
      </c>
      <c r="F5340" s="12">
        <v>102.31</v>
      </c>
      <c r="G5340" t="str">
        <f>IFERROR(INDEX(tEditais[Órgão],MATCH(tItens[[#This Row],[Edital]],tEditais[Edital],0)),"")</f>
        <v>MUNICIPIO DE IBAITI</v>
      </c>
      <c r="H5340" t="str">
        <f>IFERROR(INDEX(tEditais[UF],MATCH(tItens[[#This Row],[Edital]],tEditais[Edital],0)),"")</f>
        <v>PR</v>
      </c>
      <c r="I5340" s="11">
        <f>IFERROR(INDEX(tEditais[Encerramento],MATCH(tItens[[#This Row],[Edital]],tEditais[Edital],0)),"")</f>
        <v>46308.375</v>
      </c>
      <c r="J5340" t="str">
        <f>IFERROR(INDEX(tProdutos[Classe],MATCH(tItens[[#This Row],[Produto]],tProdutos[Produto],0)),"produto não cadastrado")</f>
        <v>FORA</v>
      </c>
      <c r="K5340" s="12">
        <f>tItens[[#This Row],[Qtd]]*tItens[[#This Row],[Vlr unit]]</f>
        <v>10231</v>
      </c>
      <c r="L5340" s="6">
        <f>IFERROR(IF(INDEX(tProdutos[Desconto homologado],MATCH(tItens[[#This Row],[Produto]],tProdutos[Produto],0))="",DescontoPadrao,INDEX(tProdutos[Desconto homologado],MATCH(tItens[[#This Row],[Produto]],tProdutos[Produto],0))),DescontoPadrao)</f>
        <v>0.44729172947442503</v>
      </c>
      <c r="M5340" s="12">
        <f>tItens[[#This Row],[Valor]]*(1-tItens[[#This Row],[Desconto]])</f>
        <v>5654.7583157471581</v>
      </c>
      <c r="N5340" t="str">
        <f>IFERROR(INDEX(tProdutos[Foco],MATCH(tItens[[#This Row],[Produto]],tProdutos[Produto],0)),"Não")</f>
        <v>Não</v>
      </c>
      <c r="O5340" t="str">
        <f>IFERROR(INDEX(tEditais[SRP],MATCH(tItens[[#This Row],[Edital]],tEditais[Edital],0)),"Não")</f>
        <v>Sim</v>
      </c>
      <c r="P5340" s="4">
        <f>IF(COUNTIFS(INDEX(tItens[Edital],1):tItens[[#This Row],[Edital]],tItens[[#This Row],[Edital]],INDEX(tItens[Produto],1):tItens[[#This Row],[Produto]],tItens[[#This Row],[Produto]])=1,1,0)</f>
        <v>0</v>
      </c>
    </row>
    <row r="5341" spans="1:16" x14ac:dyDescent="0.25">
      <c r="A5341" t="s">
        <v>2024</v>
      </c>
      <c r="B5341">
        <v>107</v>
      </c>
      <c r="C5341" t="s">
        <v>8140</v>
      </c>
      <c r="D5341" t="s">
        <v>353</v>
      </c>
      <c r="E5341" s="13">
        <v>100</v>
      </c>
      <c r="F5341" s="12">
        <v>127.1</v>
      </c>
      <c r="G5341" t="str">
        <f>IFERROR(INDEX(tEditais[Órgão],MATCH(tItens[[#This Row],[Edital]],tEditais[Edital],0)),"")</f>
        <v>MUNICIPIO DE IBAITI</v>
      </c>
      <c r="H5341" t="str">
        <f>IFERROR(INDEX(tEditais[UF],MATCH(tItens[[#This Row],[Edital]],tEditais[Edital],0)),"")</f>
        <v>PR</v>
      </c>
      <c r="I5341" s="11">
        <f>IFERROR(INDEX(tEditais[Encerramento],MATCH(tItens[[#This Row],[Edital]],tEditais[Edital],0)),"")</f>
        <v>46308.375</v>
      </c>
      <c r="J5341" t="str">
        <f>IFERROR(INDEX(tProdutos[Classe],MATCH(tItens[[#This Row],[Produto]],tProdutos[Produto],0)),"produto não cadastrado")</f>
        <v>FORA</v>
      </c>
      <c r="K5341" s="12">
        <f>tItens[[#This Row],[Qtd]]*tItens[[#This Row],[Vlr unit]]</f>
        <v>12710</v>
      </c>
      <c r="L5341" s="6">
        <f>IFERROR(IF(INDEX(tProdutos[Desconto homologado],MATCH(tItens[[#This Row],[Produto]],tProdutos[Produto],0))="",DescontoPadrao,INDEX(tProdutos[Desconto homologado],MATCH(tItens[[#This Row],[Produto]],tProdutos[Produto],0))),DescontoPadrao)</f>
        <v>0.44729172947442503</v>
      </c>
      <c r="M5341" s="12">
        <f>tItens[[#This Row],[Valor]]*(1-tItens[[#This Row],[Desconto]])</f>
        <v>7024.9221183800582</v>
      </c>
      <c r="N5341" t="str">
        <f>IFERROR(INDEX(tProdutos[Foco],MATCH(tItens[[#This Row],[Produto]],tProdutos[Produto],0)),"Não")</f>
        <v>Não</v>
      </c>
      <c r="O5341" t="str">
        <f>IFERROR(INDEX(tEditais[SRP],MATCH(tItens[[#This Row],[Edital]],tEditais[Edital],0)),"Não")</f>
        <v>Sim</v>
      </c>
      <c r="P5341" s="4">
        <f>IF(COUNTIFS(INDEX(tItens[Edital],1):tItens[[#This Row],[Edital]],tItens[[#This Row],[Edital]],INDEX(tItens[Produto],1):tItens[[#This Row],[Produto]],tItens[[#This Row],[Produto]])=1,1,0)</f>
        <v>0</v>
      </c>
    </row>
    <row r="5342" spans="1:16" x14ac:dyDescent="0.25">
      <c r="A5342" t="s">
        <v>2024</v>
      </c>
      <c r="B5342">
        <v>108</v>
      </c>
      <c r="C5342" t="s">
        <v>8141</v>
      </c>
      <c r="D5342" t="s">
        <v>353</v>
      </c>
      <c r="E5342" s="13">
        <v>100</v>
      </c>
      <c r="F5342" s="12">
        <v>30.52</v>
      </c>
      <c r="G5342" t="str">
        <f>IFERROR(INDEX(tEditais[Órgão],MATCH(tItens[[#This Row],[Edital]],tEditais[Edital],0)),"")</f>
        <v>MUNICIPIO DE IBAITI</v>
      </c>
      <c r="H5342" t="str">
        <f>IFERROR(INDEX(tEditais[UF],MATCH(tItens[[#This Row],[Edital]],tEditais[Edital],0)),"")</f>
        <v>PR</v>
      </c>
      <c r="I5342" s="11">
        <f>IFERROR(INDEX(tEditais[Encerramento],MATCH(tItens[[#This Row],[Edital]],tEditais[Edital],0)),"")</f>
        <v>46308.375</v>
      </c>
      <c r="J5342" t="str">
        <f>IFERROR(INDEX(tProdutos[Classe],MATCH(tItens[[#This Row],[Produto]],tProdutos[Produto],0)),"produto não cadastrado")</f>
        <v>FORA</v>
      </c>
      <c r="K5342" s="12">
        <f>tItens[[#This Row],[Qtd]]*tItens[[#This Row],[Vlr unit]]</f>
        <v>3052</v>
      </c>
      <c r="L5342" s="6">
        <f>IFERROR(IF(INDEX(tProdutos[Desconto homologado],MATCH(tItens[[#This Row],[Produto]],tProdutos[Produto],0))="",DescontoPadrao,INDEX(tProdutos[Desconto homologado],MATCH(tItens[[#This Row],[Produto]],tProdutos[Produto],0))),DescontoPadrao)</f>
        <v>0.44729172947442503</v>
      </c>
      <c r="M5342" s="12">
        <f>tItens[[#This Row],[Valor]]*(1-tItens[[#This Row],[Desconto]])</f>
        <v>1686.8656416440549</v>
      </c>
      <c r="N5342" t="str">
        <f>IFERROR(INDEX(tProdutos[Foco],MATCH(tItens[[#This Row],[Produto]],tProdutos[Produto],0)),"Não")</f>
        <v>Não</v>
      </c>
      <c r="O5342" t="str">
        <f>IFERROR(INDEX(tEditais[SRP],MATCH(tItens[[#This Row],[Edital]],tEditais[Edital],0)),"Não")</f>
        <v>Sim</v>
      </c>
      <c r="P5342" s="4">
        <f>IF(COUNTIFS(INDEX(tItens[Edital],1):tItens[[#This Row],[Edital]],tItens[[#This Row],[Edital]],INDEX(tItens[Produto],1):tItens[[#This Row],[Produto]],tItens[[#This Row],[Produto]])=1,1,0)</f>
        <v>0</v>
      </c>
    </row>
    <row r="5343" spans="1:16" x14ac:dyDescent="0.25">
      <c r="A5343" t="s">
        <v>2024</v>
      </c>
      <c r="B5343">
        <v>109</v>
      </c>
      <c r="C5343" t="s">
        <v>8142</v>
      </c>
      <c r="D5343" t="s">
        <v>353</v>
      </c>
      <c r="E5343" s="13">
        <v>100</v>
      </c>
      <c r="F5343" s="12">
        <v>18.14</v>
      </c>
      <c r="G5343" t="str">
        <f>IFERROR(INDEX(tEditais[Órgão],MATCH(tItens[[#This Row],[Edital]],tEditais[Edital],0)),"")</f>
        <v>MUNICIPIO DE IBAITI</v>
      </c>
      <c r="H5343" t="str">
        <f>IFERROR(INDEX(tEditais[UF],MATCH(tItens[[#This Row],[Edital]],tEditais[Edital],0)),"")</f>
        <v>PR</v>
      </c>
      <c r="I5343" s="11">
        <f>IFERROR(INDEX(tEditais[Encerramento],MATCH(tItens[[#This Row],[Edital]],tEditais[Edital],0)),"")</f>
        <v>46308.375</v>
      </c>
      <c r="J5343" t="str">
        <f>IFERROR(INDEX(tProdutos[Classe],MATCH(tItens[[#This Row],[Produto]],tProdutos[Produto],0)),"produto não cadastrado")</f>
        <v>FORA</v>
      </c>
      <c r="K5343" s="12">
        <f>tItens[[#This Row],[Qtd]]*tItens[[#This Row],[Vlr unit]]</f>
        <v>1814</v>
      </c>
      <c r="L5343" s="6">
        <f>IFERROR(IF(INDEX(tProdutos[Desconto homologado],MATCH(tItens[[#This Row],[Produto]],tProdutos[Produto],0))="",DescontoPadrao,INDEX(tProdutos[Desconto homologado],MATCH(tItens[[#This Row],[Produto]],tProdutos[Produto],0))),DescontoPadrao)</f>
        <v>0.44729172947442503</v>
      </c>
      <c r="M5343" s="12">
        <f>tItens[[#This Row],[Valor]]*(1-tItens[[#This Row],[Desconto]])</f>
        <v>1002.6128027333931</v>
      </c>
      <c r="N5343" t="str">
        <f>IFERROR(INDEX(tProdutos[Foco],MATCH(tItens[[#This Row],[Produto]],tProdutos[Produto],0)),"Não")</f>
        <v>Não</v>
      </c>
      <c r="O5343" t="str">
        <f>IFERROR(INDEX(tEditais[SRP],MATCH(tItens[[#This Row],[Edital]],tEditais[Edital],0)),"Não")</f>
        <v>Sim</v>
      </c>
      <c r="P5343" s="4">
        <f>IF(COUNTIFS(INDEX(tItens[Edital],1):tItens[[#This Row],[Edital]],tItens[[#This Row],[Edital]],INDEX(tItens[Produto],1):tItens[[#This Row],[Produto]],tItens[[#This Row],[Produto]])=1,1,0)</f>
        <v>0</v>
      </c>
    </row>
    <row r="5344" spans="1:16" x14ac:dyDescent="0.25">
      <c r="A5344" t="s">
        <v>2024</v>
      </c>
      <c r="B5344">
        <v>110</v>
      </c>
      <c r="C5344" t="s">
        <v>8143</v>
      </c>
      <c r="D5344" t="s">
        <v>353</v>
      </c>
      <c r="E5344" s="13">
        <v>100</v>
      </c>
      <c r="F5344" s="12">
        <v>35.53</v>
      </c>
      <c r="G5344" t="str">
        <f>IFERROR(INDEX(tEditais[Órgão],MATCH(tItens[[#This Row],[Edital]],tEditais[Edital],0)),"")</f>
        <v>MUNICIPIO DE IBAITI</v>
      </c>
      <c r="H5344" t="str">
        <f>IFERROR(INDEX(tEditais[UF],MATCH(tItens[[#This Row],[Edital]],tEditais[Edital],0)),"")</f>
        <v>PR</v>
      </c>
      <c r="I5344" s="11">
        <f>IFERROR(INDEX(tEditais[Encerramento],MATCH(tItens[[#This Row],[Edital]],tEditais[Edital],0)),"")</f>
        <v>46308.375</v>
      </c>
      <c r="J5344" t="str">
        <f>IFERROR(INDEX(tProdutos[Classe],MATCH(tItens[[#This Row],[Produto]],tProdutos[Produto],0)),"produto não cadastrado")</f>
        <v>FORA</v>
      </c>
      <c r="K5344" s="12">
        <f>tItens[[#This Row],[Qtd]]*tItens[[#This Row],[Vlr unit]]</f>
        <v>3553</v>
      </c>
      <c r="L5344" s="6">
        <f>IFERROR(IF(INDEX(tProdutos[Desconto homologado],MATCH(tItens[[#This Row],[Produto]],tProdutos[Produto],0))="",DescontoPadrao,INDEX(tProdutos[Desconto homologado],MATCH(tItens[[#This Row],[Produto]],tProdutos[Produto],0))),DescontoPadrao)</f>
        <v>0.44729172947442503</v>
      </c>
      <c r="M5344" s="12">
        <f>tItens[[#This Row],[Valor]]*(1-tItens[[#This Row],[Desconto]])</f>
        <v>1963.772485177368</v>
      </c>
      <c r="N5344" t="str">
        <f>IFERROR(INDEX(tProdutos[Foco],MATCH(tItens[[#This Row],[Produto]],tProdutos[Produto],0)),"Não")</f>
        <v>Não</v>
      </c>
      <c r="O5344" t="str">
        <f>IFERROR(INDEX(tEditais[SRP],MATCH(tItens[[#This Row],[Edital]],tEditais[Edital],0)),"Não")</f>
        <v>Sim</v>
      </c>
      <c r="P5344" s="4">
        <f>IF(COUNTIFS(INDEX(tItens[Edital],1):tItens[[#This Row],[Edital]],tItens[[#This Row],[Edital]],INDEX(tItens[Produto],1):tItens[[#This Row],[Produto]],tItens[[#This Row],[Produto]])=1,1,0)</f>
        <v>0</v>
      </c>
    </row>
    <row r="5345" spans="1:16" x14ac:dyDescent="0.25">
      <c r="A5345" t="s">
        <v>2024</v>
      </c>
      <c r="B5345">
        <v>111</v>
      </c>
      <c r="C5345" t="s">
        <v>3516</v>
      </c>
      <c r="D5345" t="s">
        <v>172</v>
      </c>
      <c r="E5345" s="13">
        <v>1000</v>
      </c>
      <c r="F5345" s="12">
        <v>0.55000000000000004</v>
      </c>
      <c r="G5345" t="str">
        <f>IFERROR(INDEX(tEditais[Órgão],MATCH(tItens[[#This Row],[Edital]],tEditais[Edital],0)),"")</f>
        <v>MUNICIPIO DE IBAITI</v>
      </c>
      <c r="H5345" t="str">
        <f>IFERROR(INDEX(tEditais[UF],MATCH(tItens[[#This Row],[Edital]],tEditais[Edital],0)),"")</f>
        <v>PR</v>
      </c>
      <c r="I5345" s="11">
        <f>IFERROR(INDEX(tEditais[Encerramento],MATCH(tItens[[#This Row],[Edital]],tEditais[Edital],0)),"")</f>
        <v>46308.375</v>
      </c>
      <c r="J5345" t="str">
        <f>IFERROR(INDEX(tProdutos[Classe],MATCH(tItens[[#This Row],[Produto]],tProdutos[Produto],0)),"produto não cadastrado")</f>
        <v>DISPUTADO</v>
      </c>
      <c r="K5345" s="12">
        <f>tItens[[#This Row],[Qtd]]*tItens[[#This Row],[Vlr unit]]</f>
        <v>550</v>
      </c>
      <c r="L5345" s="6">
        <f>IFERROR(IF(INDEX(tProdutos[Desconto homologado],MATCH(tItens[[#This Row],[Produto]],tProdutos[Produto],0))="",DescontoPadrao,INDEX(tProdutos[Desconto homologado],MATCH(tItens[[#This Row],[Produto]],tProdutos[Produto],0))),DescontoPadrao)</f>
        <v>0.33578431372549</v>
      </c>
      <c r="M5345" s="12">
        <f>tItens[[#This Row],[Valor]]*(1-tItens[[#This Row],[Desconto]])</f>
        <v>365.3186274509805</v>
      </c>
      <c r="N5345" t="str">
        <f>IFERROR(INDEX(tProdutos[Foco],MATCH(tItens[[#This Row],[Produto]],tProdutos[Produto],0)),"Não")</f>
        <v>Não</v>
      </c>
      <c r="O5345" t="str">
        <f>IFERROR(INDEX(tEditais[SRP],MATCH(tItens[[#This Row],[Edital]],tEditais[Edital],0)),"Não")</f>
        <v>Sim</v>
      </c>
      <c r="P5345" s="4">
        <f>IF(COUNTIFS(INDEX(tItens[Edital],1):tItens[[#This Row],[Edital]],tItens[[#This Row],[Edital]],INDEX(tItens[Produto],1):tItens[[#This Row],[Produto]],tItens[[#This Row],[Produto]])=1,1,0)</f>
        <v>1</v>
      </c>
    </row>
    <row r="5346" spans="1:16" x14ac:dyDescent="0.25">
      <c r="A5346" t="s">
        <v>2024</v>
      </c>
      <c r="B5346">
        <v>116</v>
      </c>
      <c r="C5346" t="s">
        <v>8144</v>
      </c>
      <c r="D5346" t="s">
        <v>279</v>
      </c>
      <c r="E5346" s="13">
        <v>700</v>
      </c>
      <c r="F5346" s="12">
        <v>1.1000000000000001</v>
      </c>
      <c r="G5346" t="str">
        <f>IFERROR(INDEX(tEditais[Órgão],MATCH(tItens[[#This Row],[Edital]],tEditais[Edital],0)),"")</f>
        <v>MUNICIPIO DE IBAITI</v>
      </c>
      <c r="H5346" t="str">
        <f>IFERROR(INDEX(tEditais[UF],MATCH(tItens[[#This Row],[Edital]],tEditais[Edital],0)),"")</f>
        <v>PR</v>
      </c>
      <c r="I5346" s="11">
        <f>IFERROR(INDEX(tEditais[Encerramento],MATCH(tItens[[#This Row],[Edital]],tEditais[Edital],0)),"")</f>
        <v>46308.375</v>
      </c>
      <c r="J5346" t="str">
        <f>IFERROR(INDEX(tProdutos[Classe],MATCH(tItens[[#This Row],[Produto]],tProdutos[Produto],0)),"produto não cadastrado")</f>
        <v>FORA</v>
      </c>
      <c r="K5346" s="12">
        <f>tItens[[#This Row],[Qtd]]*tItens[[#This Row],[Vlr unit]]</f>
        <v>770.00000000000011</v>
      </c>
      <c r="L5346" s="6">
        <f>IFERROR(IF(INDEX(tProdutos[Desconto homologado],MATCH(tItens[[#This Row],[Produto]],tProdutos[Produto],0))="",DescontoPadrao,INDEX(tProdutos[Desconto homologado],MATCH(tItens[[#This Row],[Produto]],tProdutos[Produto],0))),DescontoPadrao)</f>
        <v>0.28909090909090901</v>
      </c>
      <c r="M5346" s="12">
        <f>tItens[[#This Row],[Valor]]*(1-tItens[[#This Row],[Desconto]])</f>
        <v>547.40000000000009</v>
      </c>
      <c r="N5346" t="str">
        <f>IFERROR(INDEX(tProdutos[Foco],MATCH(tItens[[#This Row],[Produto]],tProdutos[Produto],0)),"Não")</f>
        <v>Não</v>
      </c>
      <c r="O5346" t="str">
        <f>IFERROR(INDEX(tEditais[SRP],MATCH(tItens[[#This Row],[Edital]],tEditais[Edital],0)),"Não")</f>
        <v>Sim</v>
      </c>
      <c r="P5346" s="4">
        <f>IF(COUNTIFS(INDEX(tItens[Edital],1):tItens[[#This Row],[Edital]],tItens[[#This Row],[Edital]],INDEX(tItens[Produto],1):tItens[[#This Row],[Produto]],tItens[[#This Row],[Produto]])=1,1,0)</f>
        <v>1</v>
      </c>
    </row>
    <row r="5347" spans="1:16" x14ac:dyDescent="0.25">
      <c r="A5347" t="s">
        <v>2024</v>
      </c>
      <c r="B5347">
        <v>117</v>
      </c>
      <c r="C5347" t="s">
        <v>8145</v>
      </c>
      <c r="D5347" t="s">
        <v>279</v>
      </c>
      <c r="E5347" s="13">
        <v>3500</v>
      </c>
      <c r="F5347" s="12">
        <v>3.46</v>
      </c>
      <c r="G5347" t="str">
        <f>IFERROR(INDEX(tEditais[Órgão],MATCH(tItens[[#This Row],[Edital]],tEditais[Edital],0)),"")</f>
        <v>MUNICIPIO DE IBAITI</v>
      </c>
      <c r="H5347" t="str">
        <f>IFERROR(INDEX(tEditais[UF],MATCH(tItens[[#This Row],[Edital]],tEditais[Edital],0)),"")</f>
        <v>PR</v>
      </c>
      <c r="I5347" s="11">
        <f>IFERROR(INDEX(tEditais[Encerramento],MATCH(tItens[[#This Row],[Edital]],tEditais[Edital],0)),"")</f>
        <v>46308.375</v>
      </c>
      <c r="J5347" t="str">
        <f>IFERROR(INDEX(tProdutos[Classe],MATCH(tItens[[#This Row],[Produto]],tProdutos[Produto],0)),"produto não cadastrado")</f>
        <v>FORA</v>
      </c>
      <c r="K5347" s="12">
        <f>tItens[[#This Row],[Qtd]]*tItens[[#This Row],[Vlr unit]]</f>
        <v>12110</v>
      </c>
      <c r="L5347" s="6">
        <f>IFERROR(IF(INDEX(tProdutos[Desconto homologado],MATCH(tItens[[#This Row],[Produto]],tProdutos[Produto],0))="",DescontoPadrao,INDEX(tProdutos[Desconto homologado],MATCH(tItens[[#This Row],[Produto]],tProdutos[Produto],0))),DescontoPadrao)</f>
        <v>0.28909090909090901</v>
      </c>
      <c r="M5347" s="12">
        <f>tItens[[#This Row],[Valor]]*(1-tItens[[#This Row],[Desconto]])</f>
        <v>8609.1090909090908</v>
      </c>
      <c r="N5347" t="str">
        <f>IFERROR(INDEX(tProdutos[Foco],MATCH(tItens[[#This Row],[Produto]],tProdutos[Produto],0)),"Não")</f>
        <v>Não</v>
      </c>
      <c r="O5347" t="str">
        <f>IFERROR(INDEX(tEditais[SRP],MATCH(tItens[[#This Row],[Edital]],tEditais[Edital],0)),"Não")</f>
        <v>Sim</v>
      </c>
      <c r="P5347" s="4">
        <f>IF(COUNTIFS(INDEX(tItens[Edital],1):tItens[[#This Row],[Edital]],tItens[[#This Row],[Edital]],INDEX(tItens[Produto],1):tItens[[#This Row],[Produto]],tItens[[#This Row],[Produto]])=1,1,0)</f>
        <v>0</v>
      </c>
    </row>
    <row r="5348" spans="1:16" x14ac:dyDescent="0.25">
      <c r="A5348" t="s">
        <v>2024</v>
      </c>
      <c r="B5348">
        <v>118</v>
      </c>
      <c r="C5348" t="s">
        <v>8146</v>
      </c>
      <c r="D5348" t="s">
        <v>349</v>
      </c>
      <c r="E5348" s="13">
        <v>600</v>
      </c>
      <c r="F5348" s="12">
        <v>0.62</v>
      </c>
      <c r="G5348" t="str">
        <f>IFERROR(INDEX(tEditais[Órgão],MATCH(tItens[[#This Row],[Edital]],tEditais[Edital],0)),"")</f>
        <v>MUNICIPIO DE IBAITI</v>
      </c>
      <c r="H5348" t="str">
        <f>IFERROR(INDEX(tEditais[UF],MATCH(tItens[[#This Row],[Edital]],tEditais[Edital],0)),"")</f>
        <v>PR</v>
      </c>
      <c r="I5348" s="11">
        <f>IFERROR(INDEX(tEditais[Encerramento],MATCH(tItens[[#This Row],[Edital]],tEditais[Edital],0)),"")</f>
        <v>46308.375</v>
      </c>
      <c r="J5348" t="str">
        <f>IFERROR(INDEX(tProdutos[Classe],MATCH(tItens[[#This Row],[Produto]],tProdutos[Produto],0)),"produto não cadastrado")</f>
        <v>FORA</v>
      </c>
      <c r="K5348" s="12">
        <f>tItens[[#This Row],[Qtd]]*tItens[[#This Row],[Vlr unit]]</f>
        <v>372</v>
      </c>
      <c r="L5348" s="6">
        <f>IFERROR(IF(INDEX(tProdutos[Desconto homologado],MATCH(tItens[[#This Row],[Produto]],tProdutos[Produto],0))="",DescontoPadrao,INDEX(tProdutos[Desconto homologado],MATCH(tItens[[#This Row],[Produto]],tProdutos[Produto],0))),DescontoPadrao)</f>
        <v>0.38826228254635797</v>
      </c>
      <c r="M5348" s="12">
        <f>tItens[[#This Row],[Valor]]*(1-tItens[[#This Row],[Desconto]])</f>
        <v>227.56643089275482</v>
      </c>
      <c r="N5348" t="str">
        <f>IFERROR(INDEX(tProdutos[Foco],MATCH(tItens[[#This Row],[Produto]],tProdutos[Produto],0)),"Não")</f>
        <v>Não</v>
      </c>
      <c r="O5348" t="str">
        <f>IFERROR(INDEX(tEditais[SRP],MATCH(tItens[[#This Row],[Edital]],tEditais[Edital],0)),"Não")</f>
        <v>Sim</v>
      </c>
      <c r="P5348" s="4">
        <f>IF(COUNTIFS(INDEX(tItens[Edital],1):tItens[[#This Row],[Edital]],tItens[[#This Row],[Edital]],INDEX(tItens[Produto],1):tItens[[#This Row],[Produto]],tItens[[#This Row],[Produto]])=1,1,0)</f>
        <v>1</v>
      </c>
    </row>
    <row r="5349" spans="1:16" x14ac:dyDescent="0.25">
      <c r="A5349" t="s">
        <v>2024</v>
      </c>
      <c r="B5349">
        <v>119</v>
      </c>
      <c r="C5349" t="s">
        <v>8147</v>
      </c>
      <c r="D5349" t="s">
        <v>611</v>
      </c>
      <c r="E5349" s="13">
        <v>60</v>
      </c>
      <c r="F5349" s="12">
        <v>153.82</v>
      </c>
      <c r="G5349" t="str">
        <f>IFERROR(INDEX(tEditais[Órgão],MATCH(tItens[[#This Row],[Edital]],tEditais[Edital],0)),"")</f>
        <v>MUNICIPIO DE IBAITI</v>
      </c>
      <c r="H5349" t="str">
        <f>IFERROR(INDEX(tEditais[UF],MATCH(tItens[[#This Row],[Edital]],tEditais[Edital],0)),"")</f>
        <v>PR</v>
      </c>
      <c r="I5349" s="11">
        <f>IFERROR(INDEX(tEditais[Encerramento],MATCH(tItens[[#This Row],[Edital]],tEditais[Edital],0)),"")</f>
        <v>46308.375</v>
      </c>
      <c r="J5349" t="str">
        <f>IFERROR(INDEX(tProdutos[Classe],MATCH(tItens[[#This Row],[Produto]],tProdutos[Produto],0)),"produto não cadastrado")</f>
        <v>FILA REBASE</v>
      </c>
      <c r="K5349" s="12">
        <f>tItens[[#This Row],[Qtd]]*tItens[[#This Row],[Vlr unit]]</f>
        <v>9229.1999999999989</v>
      </c>
      <c r="L5349" s="6">
        <f>IFERROR(IF(INDEX(tProdutos[Desconto homologado],MATCH(tItens[[#This Row],[Produto]],tProdutos[Produto],0))="",DescontoPadrao,INDEX(tProdutos[Desconto homologado],MATCH(tItens[[#This Row],[Produto]],tProdutos[Produto],0))),DescontoPadrao)</f>
        <v>0.3</v>
      </c>
      <c r="M5349" s="12">
        <f>tItens[[#This Row],[Valor]]*(1-tItens[[#This Row],[Desconto]])</f>
        <v>6460.4399999999987</v>
      </c>
      <c r="N5349" t="str">
        <f>IFERROR(INDEX(tProdutos[Foco],MATCH(tItens[[#This Row],[Produto]],tProdutos[Produto],0)),"Não")</f>
        <v>Não</v>
      </c>
      <c r="O5349" t="str">
        <f>IFERROR(INDEX(tEditais[SRP],MATCH(tItens[[#This Row],[Edital]],tEditais[Edital],0)),"Não")</f>
        <v>Sim</v>
      </c>
      <c r="P5349" s="4">
        <f>IF(COUNTIFS(INDEX(tItens[Edital],1):tItens[[#This Row],[Edital]],tItens[[#This Row],[Edital]],INDEX(tItens[Produto],1):tItens[[#This Row],[Produto]],tItens[[#This Row],[Produto]])=1,1,0)</f>
        <v>1</v>
      </c>
    </row>
    <row r="5350" spans="1:16" x14ac:dyDescent="0.25">
      <c r="A5350" t="s">
        <v>2024</v>
      </c>
      <c r="B5350">
        <v>124</v>
      </c>
      <c r="C5350" t="s">
        <v>8148</v>
      </c>
      <c r="D5350" t="s">
        <v>641</v>
      </c>
      <c r="E5350" s="13">
        <v>80</v>
      </c>
      <c r="F5350" s="12">
        <v>51.85</v>
      </c>
      <c r="G5350" t="str">
        <f>IFERROR(INDEX(tEditais[Órgão],MATCH(tItens[[#This Row],[Edital]],tEditais[Edital],0)),"")</f>
        <v>MUNICIPIO DE IBAITI</v>
      </c>
      <c r="H5350" t="str">
        <f>IFERROR(INDEX(tEditais[UF],MATCH(tItens[[#This Row],[Edital]],tEditais[Edital],0)),"")</f>
        <v>PR</v>
      </c>
      <c r="I5350" s="11">
        <f>IFERROR(INDEX(tEditais[Encerramento],MATCH(tItens[[#This Row],[Edital]],tEditais[Edital],0)),"")</f>
        <v>46308.375</v>
      </c>
      <c r="J5350" t="str">
        <f>IFERROR(INDEX(tProdutos[Classe],MATCH(tItens[[#This Row],[Produto]],tProdutos[Produto],0)),"produto não cadastrado")</f>
        <v>FILA REBASE</v>
      </c>
      <c r="K5350" s="12">
        <f>tItens[[#This Row],[Qtd]]*tItens[[#This Row],[Vlr unit]]</f>
        <v>4148</v>
      </c>
      <c r="L5350" s="6">
        <f>IFERROR(IF(INDEX(tProdutos[Desconto homologado],MATCH(tItens[[#This Row],[Produto]],tProdutos[Produto],0))="",DescontoPadrao,INDEX(tProdutos[Desconto homologado],MATCH(tItens[[#This Row],[Produto]],tProdutos[Produto],0))),DescontoPadrao)</f>
        <v>0.3</v>
      </c>
      <c r="M5350" s="12">
        <f>tItens[[#This Row],[Valor]]*(1-tItens[[#This Row],[Desconto]])</f>
        <v>2903.6</v>
      </c>
      <c r="N5350" t="str">
        <f>IFERROR(INDEX(tProdutos[Foco],MATCH(tItens[[#This Row],[Produto]],tProdutos[Produto],0)),"Não")</f>
        <v>Não</v>
      </c>
      <c r="O5350" t="str">
        <f>IFERROR(INDEX(tEditais[SRP],MATCH(tItens[[#This Row],[Edital]],tEditais[Edital],0)),"Não")</f>
        <v>Sim</v>
      </c>
      <c r="P5350" s="4">
        <f>IF(COUNTIFS(INDEX(tItens[Edital],1):tItens[[#This Row],[Edital]],tItens[[#This Row],[Edital]],INDEX(tItens[Produto],1):tItens[[#This Row],[Produto]],tItens[[#This Row],[Produto]])=1,1,0)</f>
        <v>1</v>
      </c>
    </row>
    <row r="5351" spans="1:16" x14ac:dyDescent="0.25">
      <c r="A5351" t="s">
        <v>2024</v>
      </c>
      <c r="B5351">
        <v>146</v>
      </c>
      <c r="C5351" t="s">
        <v>8149</v>
      </c>
      <c r="D5351" t="s">
        <v>333</v>
      </c>
      <c r="E5351" s="13">
        <v>55000</v>
      </c>
      <c r="F5351" s="12">
        <v>1.1000000000000001</v>
      </c>
      <c r="G5351" t="str">
        <f>IFERROR(INDEX(tEditais[Órgão],MATCH(tItens[[#This Row],[Edital]],tEditais[Edital],0)),"")</f>
        <v>MUNICIPIO DE IBAITI</v>
      </c>
      <c r="H5351" t="str">
        <f>IFERROR(INDEX(tEditais[UF],MATCH(tItens[[#This Row],[Edital]],tEditais[Edital],0)),"")</f>
        <v>PR</v>
      </c>
      <c r="I5351" s="11">
        <f>IFERROR(INDEX(tEditais[Encerramento],MATCH(tItens[[#This Row],[Edital]],tEditais[Edital],0)),"")</f>
        <v>46308.375</v>
      </c>
      <c r="J5351" t="str">
        <f>IFERROR(INDEX(tProdutos[Classe],MATCH(tItens[[#This Row],[Produto]],tProdutos[Produto],0)),"produto não cadastrado")</f>
        <v>FORA</v>
      </c>
      <c r="K5351" s="12">
        <f>tItens[[#This Row],[Qtd]]*tItens[[#This Row],[Vlr unit]]</f>
        <v>60500.000000000007</v>
      </c>
      <c r="L5351" s="6">
        <f>IFERROR(IF(INDEX(tProdutos[Desconto homologado],MATCH(tItens[[#This Row],[Produto]],tProdutos[Produto],0))="",DescontoPadrao,INDEX(tProdutos[Desconto homologado],MATCH(tItens[[#This Row],[Produto]],tProdutos[Produto],0))),DescontoPadrao)</f>
        <v>0.48951048951048998</v>
      </c>
      <c r="M5351" s="12">
        <f>tItens[[#This Row],[Valor]]*(1-tItens[[#This Row],[Desconto]])</f>
        <v>30884.615384615357</v>
      </c>
      <c r="N5351" t="str">
        <f>IFERROR(INDEX(tProdutos[Foco],MATCH(tItens[[#This Row],[Produto]],tProdutos[Produto],0)),"Não")</f>
        <v>Não</v>
      </c>
      <c r="O5351" t="str">
        <f>IFERROR(INDEX(tEditais[SRP],MATCH(tItens[[#This Row],[Edital]],tEditais[Edital],0)),"Não")</f>
        <v>Sim</v>
      </c>
      <c r="P5351" s="4">
        <f>IF(COUNTIFS(INDEX(tItens[Edital],1):tItens[[#This Row],[Edital]],tItens[[#This Row],[Edital]],INDEX(tItens[Produto],1):tItens[[#This Row],[Produto]],tItens[[#This Row],[Produto]])=1,1,0)</f>
        <v>1</v>
      </c>
    </row>
    <row r="5352" spans="1:16" x14ac:dyDescent="0.25">
      <c r="A5352" t="s">
        <v>2024</v>
      </c>
      <c r="B5352">
        <v>147</v>
      </c>
      <c r="C5352" t="s">
        <v>8150</v>
      </c>
      <c r="D5352" t="s">
        <v>333</v>
      </c>
      <c r="E5352" s="13">
        <v>600</v>
      </c>
      <c r="F5352" s="12">
        <v>1.24</v>
      </c>
      <c r="G5352" t="str">
        <f>IFERROR(INDEX(tEditais[Órgão],MATCH(tItens[[#This Row],[Edital]],tEditais[Edital],0)),"")</f>
        <v>MUNICIPIO DE IBAITI</v>
      </c>
      <c r="H5352" t="str">
        <f>IFERROR(INDEX(tEditais[UF],MATCH(tItens[[#This Row],[Edital]],tEditais[Edital],0)),"")</f>
        <v>PR</v>
      </c>
      <c r="I5352" s="11">
        <f>IFERROR(INDEX(tEditais[Encerramento],MATCH(tItens[[#This Row],[Edital]],tEditais[Edital],0)),"")</f>
        <v>46308.375</v>
      </c>
      <c r="J5352" t="str">
        <f>IFERROR(INDEX(tProdutos[Classe],MATCH(tItens[[#This Row],[Produto]],tProdutos[Produto],0)),"produto não cadastrado")</f>
        <v>FORA</v>
      </c>
      <c r="K5352" s="12">
        <f>tItens[[#This Row],[Qtd]]*tItens[[#This Row],[Vlr unit]]</f>
        <v>744</v>
      </c>
      <c r="L5352" s="6">
        <f>IFERROR(IF(INDEX(tProdutos[Desconto homologado],MATCH(tItens[[#This Row],[Produto]],tProdutos[Produto],0))="",DescontoPadrao,INDEX(tProdutos[Desconto homologado],MATCH(tItens[[#This Row],[Produto]],tProdutos[Produto],0))),DescontoPadrao)</f>
        <v>0.48951048951048998</v>
      </c>
      <c r="M5352" s="12">
        <f>tItens[[#This Row],[Valor]]*(1-tItens[[#This Row],[Desconto]])</f>
        <v>379.80419580419539</v>
      </c>
      <c r="N5352" t="str">
        <f>IFERROR(INDEX(tProdutos[Foco],MATCH(tItens[[#This Row],[Produto]],tProdutos[Produto],0)),"Não")</f>
        <v>Não</v>
      </c>
      <c r="O5352" t="str">
        <f>IFERROR(INDEX(tEditais[SRP],MATCH(tItens[[#This Row],[Edital]],tEditais[Edital],0)),"Não")</f>
        <v>Sim</v>
      </c>
      <c r="P5352" s="4">
        <f>IF(COUNTIFS(INDEX(tItens[Edital],1):tItens[[#This Row],[Edital]],tItens[[#This Row],[Edital]],INDEX(tItens[Produto],1):tItens[[#This Row],[Produto]],tItens[[#This Row],[Produto]])=1,1,0)</f>
        <v>0</v>
      </c>
    </row>
    <row r="5353" spans="1:16" x14ac:dyDescent="0.25">
      <c r="A5353" t="s">
        <v>2024</v>
      </c>
      <c r="B5353">
        <v>149</v>
      </c>
      <c r="C5353" t="s">
        <v>8151</v>
      </c>
      <c r="D5353" t="s">
        <v>187</v>
      </c>
      <c r="E5353" s="13">
        <v>15000</v>
      </c>
      <c r="F5353" s="12">
        <v>1.17</v>
      </c>
      <c r="G5353" t="str">
        <f>IFERROR(INDEX(tEditais[Órgão],MATCH(tItens[[#This Row],[Edital]],tEditais[Edital],0)),"")</f>
        <v>MUNICIPIO DE IBAITI</v>
      </c>
      <c r="H5353" t="str">
        <f>IFERROR(INDEX(tEditais[UF],MATCH(tItens[[#This Row],[Edital]],tEditais[Edital],0)),"")</f>
        <v>PR</v>
      </c>
      <c r="I5353" s="11">
        <f>IFERROR(INDEX(tEditais[Encerramento],MATCH(tItens[[#This Row],[Edital]],tEditais[Edital],0)),"")</f>
        <v>46308.375</v>
      </c>
      <c r="J5353" t="str">
        <f>IFERROR(INDEX(tProdutos[Classe],MATCH(tItens[[#This Row],[Produto]],tProdutos[Produto],0)),"produto não cadastrado")</f>
        <v>DISPUTADO</v>
      </c>
      <c r="K5353" s="12">
        <f>tItens[[#This Row],[Qtd]]*tItens[[#This Row],[Vlr unit]]</f>
        <v>17550</v>
      </c>
      <c r="L5353" s="6">
        <f>IFERROR(IF(INDEX(tProdutos[Desconto homologado],MATCH(tItens[[#This Row],[Produto]],tProdutos[Produto],0))="",DescontoPadrao,INDEX(tProdutos[Desconto homologado],MATCH(tItens[[#This Row],[Produto]],tProdutos[Produto],0))),DescontoPadrao)</f>
        <v>0.44298820445609399</v>
      </c>
      <c r="M5353" s="12">
        <f>tItens[[#This Row],[Valor]]*(1-tItens[[#This Row],[Desconto]])</f>
        <v>9775.5570117955504</v>
      </c>
      <c r="N5353" t="str">
        <f>IFERROR(INDEX(tProdutos[Foco],MATCH(tItens[[#This Row],[Produto]],tProdutos[Produto],0)),"Não")</f>
        <v>Não</v>
      </c>
      <c r="O5353" t="str">
        <f>IFERROR(INDEX(tEditais[SRP],MATCH(tItens[[#This Row],[Edital]],tEditais[Edital],0)),"Não")</f>
        <v>Sim</v>
      </c>
      <c r="P5353" s="4">
        <f>IF(COUNTIFS(INDEX(tItens[Edital],1):tItens[[#This Row],[Edital]],tItens[[#This Row],[Edital]],INDEX(tItens[Produto],1):tItens[[#This Row],[Produto]],tItens[[#This Row],[Produto]])=1,1,0)</f>
        <v>1</v>
      </c>
    </row>
    <row r="5354" spans="1:16" x14ac:dyDescent="0.25">
      <c r="A5354" t="s">
        <v>2024</v>
      </c>
      <c r="B5354">
        <v>151</v>
      </c>
      <c r="C5354" t="s">
        <v>8152</v>
      </c>
      <c r="D5354" t="s">
        <v>102</v>
      </c>
      <c r="E5354" s="13">
        <v>1700</v>
      </c>
      <c r="F5354" s="12">
        <v>4.38</v>
      </c>
      <c r="G5354" t="str">
        <f>IFERROR(INDEX(tEditais[Órgão],MATCH(tItens[[#This Row],[Edital]],tEditais[Edital],0)),"")</f>
        <v>MUNICIPIO DE IBAITI</v>
      </c>
      <c r="H5354" t="str">
        <f>IFERROR(INDEX(tEditais[UF],MATCH(tItens[[#This Row],[Edital]],tEditais[Edital],0)),"")</f>
        <v>PR</v>
      </c>
      <c r="I5354" s="11">
        <f>IFERROR(INDEX(tEditais[Encerramento],MATCH(tItens[[#This Row],[Edital]],tEditais[Edital],0)),"")</f>
        <v>46308.375</v>
      </c>
      <c r="J5354" t="str">
        <f>IFERROR(INDEX(tProdutos[Classe],MATCH(tItens[[#This Row],[Produto]],tProdutos[Produto],0)),"produto não cadastrado")</f>
        <v>DISPUTADO</v>
      </c>
      <c r="K5354" s="12">
        <f>tItens[[#This Row],[Qtd]]*tItens[[#This Row],[Vlr unit]]</f>
        <v>7446</v>
      </c>
      <c r="L5354" s="6">
        <f>IFERROR(IF(INDEX(tProdutos[Desconto homologado],MATCH(tItens[[#This Row],[Produto]],tProdutos[Produto],0))="",DescontoPadrao,INDEX(tProdutos[Desconto homologado],MATCH(tItens[[#This Row],[Produto]],tProdutos[Produto],0))),DescontoPadrao)</f>
        <v>0.38053097345132803</v>
      </c>
      <c r="M5354" s="12">
        <f>tItens[[#This Row],[Valor]]*(1-tItens[[#This Row],[Desconto]])</f>
        <v>4612.5663716814115</v>
      </c>
      <c r="N5354" t="str">
        <f>IFERROR(INDEX(tProdutos[Foco],MATCH(tItens[[#This Row],[Produto]],tProdutos[Produto],0)),"Não")</f>
        <v>Não</v>
      </c>
      <c r="O5354" t="str">
        <f>IFERROR(INDEX(tEditais[SRP],MATCH(tItens[[#This Row],[Edital]],tEditais[Edital],0)),"Não")</f>
        <v>Sim</v>
      </c>
      <c r="P5354" s="4">
        <f>IF(COUNTIFS(INDEX(tItens[Edital],1):tItens[[#This Row],[Edital]],tItens[[#This Row],[Edital]],INDEX(tItens[Produto],1):tItens[[#This Row],[Produto]],tItens[[#This Row],[Produto]])=1,1,0)</f>
        <v>1</v>
      </c>
    </row>
    <row r="5355" spans="1:16" x14ac:dyDescent="0.25">
      <c r="A5355" t="s">
        <v>2024</v>
      </c>
      <c r="B5355">
        <v>156</v>
      </c>
      <c r="C5355" t="s">
        <v>8153</v>
      </c>
      <c r="D5355" t="s">
        <v>90</v>
      </c>
      <c r="E5355" s="13">
        <v>6000</v>
      </c>
      <c r="F5355" s="12">
        <v>10.52</v>
      </c>
      <c r="G5355" t="str">
        <f>IFERROR(INDEX(tEditais[Órgão],MATCH(tItens[[#This Row],[Edital]],tEditais[Edital],0)),"")</f>
        <v>MUNICIPIO DE IBAITI</v>
      </c>
      <c r="H5355" t="str">
        <f>IFERROR(INDEX(tEditais[UF],MATCH(tItens[[#This Row],[Edital]],tEditais[Edital],0)),"")</f>
        <v>PR</v>
      </c>
      <c r="I5355" s="11">
        <f>IFERROR(INDEX(tEditais[Encerramento],MATCH(tItens[[#This Row],[Edital]],tEditais[Edital],0)),"")</f>
        <v>46308.375</v>
      </c>
      <c r="J5355" t="str">
        <f>IFERROR(INDEX(tProdutos[Classe],MATCH(tItens[[#This Row],[Produto]],tProdutos[Produto],0)),"produto não cadastrado")</f>
        <v>DISPUTADO</v>
      </c>
      <c r="K5355" s="12">
        <f>tItens[[#This Row],[Qtd]]*tItens[[#This Row],[Vlr unit]]</f>
        <v>63120</v>
      </c>
      <c r="L5355" s="6">
        <f>IFERROR(IF(INDEX(tProdutos[Desconto homologado],MATCH(tItens[[#This Row],[Produto]],tProdutos[Produto],0))="",DescontoPadrao,INDEX(tProdutos[Desconto homologado],MATCH(tItens[[#This Row],[Produto]],tProdutos[Produto],0))),DescontoPadrao)</f>
        <v>0.25393823957010597</v>
      </c>
      <c r="M5355" s="12">
        <f>tItens[[#This Row],[Valor]]*(1-tItens[[#This Row],[Desconto]])</f>
        <v>47091.418318334909</v>
      </c>
      <c r="N5355" t="str">
        <f>IFERROR(INDEX(tProdutos[Foco],MATCH(tItens[[#This Row],[Produto]],tProdutos[Produto],0)),"Não")</f>
        <v>Não</v>
      </c>
      <c r="O5355" t="str">
        <f>IFERROR(INDEX(tEditais[SRP],MATCH(tItens[[#This Row],[Edital]],tEditais[Edital],0)),"Não")</f>
        <v>Sim</v>
      </c>
      <c r="P5355" s="4">
        <f>IF(COUNTIFS(INDEX(tItens[Edital],1):tItens[[#This Row],[Edital]],tItens[[#This Row],[Edital]],INDEX(tItens[Produto],1):tItens[[#This Row],[Produto]],tItens[[#This Row],[Produto]])=1,1,0)</f>
        <v>1</v>
      </c>
    </row>
    <row r="5356" spans="1:16" x14ac:dyDescent="0.25">
      <c r="A5356" t="s">
        <v>2024</v>
      </c>
      <c r="B5356">
        <v>157</v>
      </c>
      <c r="C5356" t="s">
        <v>8154</v>
      </c>
      <c r="D5356" t="s">
        <v>75</v>
      </c>
      <c r="E5356" s="13">
        <v>1500</v>
      </c>
      <c r="F5356" s="12">
        <v>2.98</v>
      </c>
      <c r="G5356" t="str">
        <f>IFERROR(INDEX(tEditais[Órgão],MATCH(tItens[[#This Row],[Edital]],tEditais[Edital],0)),"")</f>
        <v>MUNICIPIO DE IBAITI</v>
      </c>
      <c r="H5356" t="str">
        <f>IFERROR(INDEX(tEditais[UF],MATCH(tItens[[#This Row],[Edital]],tEditais[Edital],0)),"")</f>
        <v>PR</v>
      </c>
      <c r="I5356" s="11">
        <f>IFERROR(INDEX(tEditais[Encerramento],MATCH(tItens[[#This Row],[Edital]],tEditais[Edital],0)),"")</f>
        <v>46308.375</v>
      </c>
      <c r="J5356" t="str">
        <f>IFERROR(INDEX(tProdutos[Classe],MATCH(tItens[[#This Row],[Produto]],tProdutos[Produto],0)),"produto não cadastrado")</f>
        <v>NÚCLEO</v>
      </c>
      <c r="K5356" s="12">
        <f>tItens[[#This Row],[Qtd]]*tItens[[#This Row],[Vlr unit]]</f>
        <v>4470</v>
      </c>
      <c r="L5356" s="6">
        <f>IFERROR(IF(INDEX(tProdutos[Desconto homologado],MATCH(tItens[[#This Row],[Produto]],tProdutos[Produto],0))="",DescontoPadrao,INDEX(tProdutos[Desconto homologado],MATCH(tItens[[#This Row],[Produto]],tProdutos[Produto],0))),DescontoPadrao)</f>
        <v>0.26</v>
      </c>
      <c r="M5356" s="12">
        <f>tItens[[#This Row],[Valor]]*(1-tItens[[#This Row],[Desconto]])</f>
        <v>3307.8</v>
      </c>
      <c r="N5356" t="str">
        <f>IFERROR(INDEX(tProdutos[Foco],MATCH(tItens[[#This Row],[Produto]],tProdutos[Produto],0)),"Não")</f>
        <v>Sim</v>
      </c>
      <c r="O5356" t="str">
        <f>IFERROR(INDEX(tEditais[SRP],MATCH(tItens[[#This Row],[Edital]],tEditais[Edital],0)),"Não")</f>
        <v>Sim</v>
      </c>
      <c r="P5356" s="4">
        <f>IF(COUNTIFS(INDEX(tItens[Edital],1):tItens[[#This Row],[Edital]],tItens[[#This Row],[Edital]],INDEX(tItens[Produto],1):tItens[[#This Row],[Produto]],tItens[[#This Row],[Produto]])=1,1,0)</f>
        <v>1</v>
      </c>
    </row>
    <row r="5357" spans="1:16" x14ac:dyDescent="0.25">
      <c r="A5357" t="s">
        <v>2024</v>
      </c>
      <c r="B5357">
        <v>158</v>
      </c>
      <c r="C5357" t="s">
        <v>8155</v>
      </c>
      <c r="D5357" t="s">
        <v>75</v>
      </c>
      <c r="E5357" s="13">
        <v>3500</v>
      </c>
      <c r="F5357" s="12">
        <v>2.72</v>
      </c>
      <c r="G5357" t="str">
        <f>IFERROR(INDEX(tEditais[Órgão],MATCH(tItens[[#This Row],[Edital]],tEditais[Edital],0)),"")</f>
        <v>MUNICIPIO DE IBAITI</v>
      </c>
      <c r="H5357" t="str">
        <f>IFERROR(INDEX(tEditais[UF],MATCH(tItens[[#This Row],[Edital]],tEditais[Edital],0)),"")</f>
        <v>PR</v>
      </c>
      <c r="I5357" s="11">
        <f>IFERROR(INDEX(tEditais[Encerramento],MATCH(tItens[[#This Row],[Edital]],tEditais[Edital],0)),"")</f>
        <v>46308.375</v>
      </c>
      <c r="J5357" t="str">
        <f>IFERROR(INDEX(tProdutos[Classe],MATCH(tItens[[#This Row],[Produto]],tProdutos[Produto],0)),"produto não cadastrado")</f>
        <v>NÚCLEO</v>
      </c>
      <c r="K5357" s="12">
        <f>tItens[[#This Row],[Qtd]]*tItens[[#This Row],[Vlr unit]]</f>
        <v>9520</v>
      </c>
      <c r="L5357" s="6">
        <f>IFERROR(IF(INDEX(tProdutos[Desconto homologado],MATCH(tItens[[#This Row],[Produto]],tProdutos[Produto],0))="",DescontoPadrao,INDEX(tProdutos[Desconto homologado],MATCH(tItens[[#This Row],[Produto]],tProdutos[Produto],0))),DescontoPadrao)</f>
        <v>0.26</v>
      </c>
      <c r="M5357" s="12">
        <f>tItens[[#This Row],[Valor]]*(1-tItens[[#This Row],[Desconto]])</f>
        <v>7044.8</v>
      </c>
      <c r="N5357" t="str">
        <f>IFERROR(INDEX(tProdutos[Foco],MATCH(tItens[[#This Row],[Produto]],tProdutos[Produto],0)),"Não")</f>
        <v>Sim</v>
      </c>
      <c r="O5357" t="str">
        <f>IFERROR(INDEX(tEditais[SRP],MATCH(tItens[[#This Row],[Edital]],tEditais[Edital],0)),"Não")</f>
        <v>Sim</v>
      </c>
      <c r="P5357" s="4">
        <f>IF(COUNTIFS(INDEX(tItens[Edital],1):tItens[[#This Row],[Edital]],tItens[[#This Row],[Edital]],INDEX(tItens[Produto],1):tItens[[#This Row],[Produto]],tItens[[#This Row],[Produto]])=1,1,0)</f>
        <v>0</v>
      </c>
    </row>
    <row r="5358" spans="1:16" x14ac:dyDescent="0.25">
      <c r="A5358" t="s">
        <v>2024</v>
      </c>
      <c r="B5358">
        <v>159</v>
      </c>
      <c r="C5358" t="s">
        <v>8156</v>
      </c>
      <c r="D5358" t="s">
        <v>75</v>
      </c>
      <c r="E5358" s="13">
        <v>3000</v>
      </c>
      <c r="F5358" s="12">
        <v>1.9</v>
      </c>
      <c r="G5358" t="str">
        <f>IFERROR(INDEX(tEditais[Órgão],MATCH(tItens[[#This Row],[Edital]],tEditais[Edital],0)),"")</f>
        <v>MUNICIPIO DE IBAITI</v>
      </c>
      <c r="H5358" t="str">
        <f>IFERROR(INDEX(tEditais[UF],MATCH(tItens[[#This Row],[Edital]],tEditais[Edital],0)),"")</f>
        <v>PR</v>
      </c>
      <c r="I5358" s="11">
        <f>IFERROR(INDEX(tEditais[Encerramento],MATCH(tItens[[#This Row],[Edital]],tEditais[Edital],0)),"")</f>
        <v>46308.375</v>
      </c>
      <c r="J5358" t="str">
        <f>IFERROR(INDEX(tProdutos[Classe],MATCH(tItens[[#This Row],[Produto]],tProdutos[Produto],0)),"produto não cadastrado")</f>
        <v>NÚCLEO</v>
      </c>
      <c r="K5358" s="12">
        <f>tItens[[#This Row],[Qtd]]*tItens[[#This Row],[Vlr unit]]</f>
        <v>5700</v>
      </c>
      <c r="L5358" s="6">
        <f>IFERROR(IF(INDEX(tProdutos[Desconto homologado],MATCH(tItens[[#This Row],[Produto]],tProdutos[Produto],0))="",DescontoPadrao,INDEX(tProdutos[Desconto homologado],MATCH(tItens[[#This Row],[Produto]],tProdutos[Produto],0))),DescontoPadrao)</f>
        <v>0.26</v>
      </c>
      <c r="M5358" s="12">
        <f>tItens[[#This Row],[Valor]]*(1-tItens[[#This Row],[Desconto]])</f>
        <v>4218</v>
      </c>
      <c r="N5358" t="str">
        <f>IFERROR(INDEX(tProdutos[Foco],MATCH(tItens[[#This Row],[Produto]],tProdutos[Produto],0)),"Não")</f>
        <v>Sim</v>
      </c>
      <c r="O5358" t="str">
        <f>IFERROR(INDEX(tEditais[SRP],MATCH(tItens[[#This Row],[Edital]],tEditais[Edital],0)),"Não")</f>
        <v>Sim</v>
      </c>
      <c r="P5358" s="4">
        <f>IF(COUNTIFS(INDEX(tItens[Edital],1):tItens[[#This Row],[Edital]],tItens[[#This Row],[Edital]],INDEX(tItens[Produto],1):tItens[[#This Row],[Produto]],tItens[[#This Row],[Produto]])=1,1,0)</f>
        <v>0</v>
      </c>
    </row>
    <row r="5359" spans="1:16" x14ac:dyDescent="0.25">
      <c r="A5359" t="s">
        <v>2024</v>
      </c>
      <c r="B5359">
        <v>202</v>
      </c>
      <c r="C5359" t="s">
        <v>8157</v>
      </c>
      <c r="D5359" t="s">
        <v>77</v>
      </c>
      <c r="E5359" s="13">
        <v>2000</v>
      </c>
      <c r="F5359" s="12">
        <v>2.21</v>
      </c>
      <c r="G5359" t="str">
        <f>IFERROR(INDEX(tEditais[Órgão],MATCH(tItens[[#This Row],[Edital]],tEditais[Edital],0)),"")</f>
        <v>MUNICIPIO DE IBAITI</v>
      </c>
      <c r="H5359" t="str">
        <f>IFERROR(INDEX(tEditais[UF],MATCH(tItens[[#This Row],[Edital]],tEditais[Edital],0)),"")</f>
        <v>PR</v>
      </c>
      <c r="I5359" s="11">
        <f>IFERROR(INDEX(tEditais[Encerramento],MATCH(tItens[[#This Row],[Edital]],tEditais[Edital],0)),"")</f>
        <v>46308.375</v>
      </c>
      <c r="J5359" t="str">
        <f>IFERROR(INDEX(tProdutos[Classe],MATCH(tItens[[#This Row],[Produto]],tProdutos[Produto],0)),"produto não cadastrado")</f>
        <v>DISPUTADO</v>
      </c>
      <c r="K5359" s="12">
        <f>tItens[[#This Row],[Qtd]]*tItens[[#This Row],[Vlr unit]]</f>
        <v>4420</v>
      </c>
      <c r="L5359" s="6">
        <f>IFERROR(IF(INDEX(tProdutos[Desconto homologado],MATCH(tItens[[#This Row],[Produto]],tProdutos[Produto],0))="",DescontoPadrao,INDEX(tProdutos[Desconto homologado],MATCH(tItens[[#This Row],[Produto]],tProdutos[Produto],0))),DescontoPadrao)</f>
        <v>0.33</v>
      </c>
      <c r="M5359" s="12">
        <f>tItens[[#This Row],[Valor]]*(1-tItens[[#This Row],[Desconto]])</f>
        <v>2961.3999999999996</v>
      </c>
      <c r="N5359" t="str">
        <f>IFERROR(INDEX(tProdutos[Foco],MATCH(tItens[[#This Row],[Produto]],tProdutos[Produto],0)),"Não")</f>
        <v>Sim</v>
      </c>
      <c r="O5359" t="str">
        <f>IFERROR(INDEX(tEditais[SRP],MATCH(tItens[[#This Row],[Edital]],tEditais[Edital],0)),"Não")</f>
        <v>Sim</v>
      </c>
      <c r="P5359" s="4">
        <f>IF(COUNTIFS(INDEX(tItens[Edital],1):tItens[[#This Row],[Edital]],tItens[[#This Row],[Edital]],INDEX(tItens[Produto],1):tItens[[#This Row],[Produto]],tItens[[#This Row],[Produto]])=1,1,0)</f>
        <v>1</v>
      </c>
    </row>
    <row r="5360" spans="1:16" x14ac:dyDescent="0.25">
      <c r="A5360" t="s">
        <v>2024</v>
      </c>
      <c r="B5360">
        <v>204</v>
      </c>
      <c r="C5360" t="s">
        <v>8158</v>
      </c>
      <c r="D5360" t="s">
        <v>142</v>
      </c>
      <c r="E5360" s="13">
        <v>1700</v>
      </c>
      <c r="F5360" s="12">
        <v>5.45</v>
      </c>
      <c r="G5360" t="str">
        <f>IFERROR(INDEX(tEditais[Órgão],MATCH(tItens[[#This Row],[Edital]],tEditais[Edital],0)),"")</f>
        <v>MUNICIPIO DE IBAITI</v>
      </c>
      <c r="H5360" t="str">
        <f>IFERROR(INDEX(tEditais[UF],MATCH(tItens[[#This Row],[Edital]],tEditais[Edital],0)),"")</f>
        <v>PR</v>
      </c>
      <c r="I5360" s="11">
        <f>IFERROR(INDEX(tEditais[Encerramento],MATCH(tItens[[#This Row],[Edital]],tEditais[Edital],0)),"")</f>
        <v>46308.375</v>
      </c>
      <c r="J5360" t="str">
        <f>IFERROR(INDEX(tProdutos[Classe],MATCH(tItens[[#This Row],[Produto]],tProdutos[Produto],0)),"produto não cadastrado")</f>
        <v>DISPUTADO</v>
      </c>
      <c r="K5360" s="12">
        <f>tItens[[#This Row],[Qtd]]*tItens[[#This Row],[Vlr unit]]</f>
        <v>9265</v>
      </c>
      <c r="L5360" s="6">
        <f>IFERROR(IF(INDEX(tProdutos[Desconto homologado],MATCH(tItens[[#This Row],[Produto]],tProdutos[Produto],0))="",DescontoPadrao,INDEX(tProdutos[Desconto homologado],MATCH(tItens[[#This Row],[Produto]],tProdutos[Produto],0))),DescontoPadrao)</f>
        <v>0.37093619495691699</v>
      </c>
      <c r="M5360" s="12">
        <f>tItens[[#This Row],[Valor]]*(1-tItens[[#This Row],[Desconto]])</f>
        <v>5828.276153724164</v>
      </c>
      <c r="N5360" t="str">
        <f>IFERROR(INDEX(tProdutos[Foco],MATCH(tItens[[#This Row],[Produto]],tProdutos[Produto],0)),"Não")</f>
        <v>Não</v>
      </c>
      <c r="O5360" t="str">
        <f>IFERROR(INDEX(tEditais[SRP],MATCH(tItens[[#This Row],[Edital]],tEditais[Edital],0)),"Não")</f>
        <v>Sim</v>
      </c>
      <c r="P5360" s="4">
        <f>IF(COUNTIFS(INDEX(tItens[Edital],1):tItens[[#This Row],[Edital]],tItens[[#This Row],[Edital]],INDEX(tItens[Produto],1):tItens[[#This Row],[Produto]],tItens[[#This Row],[Produto]])=1,1,0)</f>
        <v>1</v>
      </c>
    </row>
    <row r="5361" spans="1:16" x14ac:dyDescent="0.25">
      <c r="A5361" t="s">
        <v>2024</v>
      </c>
      <c r="B5361">
        <v>207</v>
      </c>
      <c r="C5361" t="s">
        <v>8159</v>
      </c>
      <c r="D5361" t="s">
        <v>345</v>
      </c>
      <c r="E5361" s="13">
        <v>1300</v>
      </c>
      <c r="F5361" s="12">
        <v>13.78</v>
      </c>
      <c r="G5361" t="str">
        <f>IFERROR(INDEX(tEditais[Órgão],MATCH(tItens[[#This Row],[Edital]],tEditais[Edital],0)),"")</f>
        <v>MUNICIPIO DE IBAITI</v>
      </c>
      <c r="H5361" t="str">
        <f>IFERROR(INDEX(tEditais[UF],MATCH(tItens[[#This Row],[Edital]],tEditais[Edital],0)),"")</f>
        <v>PR</v>
      </c>
      <c r="I5361" s="11">
        <f>IFERROR(INDEX(tEditais[Encerramento],MATCH(tItens[[#This Row],[Edital]],tEditais[Edital],0)),"")</f>
        <v>46308.375</v>
      </c>
      <c r="J5361" t="str">
        <f>IFERROR(INDEX(tProdutos[Classe],MATCH(tItens[[#This Row],[Produto]],tProdutos[Produto],0)),"produto não cadastrado")</f>
        <v>FORA</v>
      </c>
      <c r="K5361" s="12">
        <f>tItens[[#This Row],[Qtd]]*tItens[[#This Row],[Vlr unit]]</f>
        <v>17914</v>
      </c>
      <c r="L5361" s="6">
        <f>IFERROR(IF(INDEX(tProdutos[Desconto homologado],MATCH(tItens[[#This Row],[Produto]],tProdutos[Produto],0))="",DescontoPadrao,INDEX(tProdutos[Desconto homologado],MATCH(tItens[[#This Row],[Produto]],tProdutos[Produto],0))),DescontoPadrao)</f>
        <v>0.412394275616498</v>
      </c>
      <c r="M5361" s="12">
        <f>tItens[[#This Row],[Valor]]*(1-tItens[[#This Row],[Desconto]])</f>
        <v>10526.368946606055</v>
      </c>
      <c r="N5361" t="str">
        <f>IFERROR(INDEX(tProdutos[Foco],MATCH(tItens[[#This Row],[Produto]],tProdutos[Produto],0)),"Não")</f>
        <v>Não</v>
      </c>
      <c r="O5361" t="str">
        <f>IFERROR(INDEX(tEditais[SRP],MATCH(tItens[[#This Row],[Edital]],tEditais[Edital],0)),"Não")</f>
        <v>Sim</v>
      </c>
      <c r="P5361" s="4">
        <f>IF(COUNTIFS(INDEX(tItens[Edital],1):tItens[[#This Row],[Edital]],tItens[[#This Row],[Edital]],INDEX(tItens[Produto],1):tItens[[#This Row],[Produto]],tItens[[#This Row],[Produto]])=1,1,0)</f>
        <v>1</v>
      </c>
    </row>
    <row r="5362" spans="1:16" x14ac:dyDescent="0.25">
      <c r="A5362" t="s">
        <v>2024</v>
      </c>
      <c r="B5362">
        <v>208</v>
      </c>
      <c r="C5362" t="s">
        <v>8160</v>
      </c>
      <c r="D5362" t="s">
        <v>345</v>
      </c>
      <c r="E5362" s="13">
        <v>1300</v>
      </c>
      <c r="F5362" s="12">
        <v>16.02</v>
      </c>
      <c r="G5362" t="str">
        <f>IFERROR(INDEX(tEditais[Órgão],MATCH(tItens[[#This Row],[Edital]],tEditais[Edital],0)),"")</f>
        <v>MUNICIPIO DE IBAITI</v>
      </c>
      <c r="H5362" t="str">
        <f>IFERROR(INDEX(tEditais[UF],MATCH(tItens[[#This Row],[Edital]],tEditais[Edital],0)),"")</f>
        <v>PR</v>
      </c>
      <c r="I5362" s="11">
        <f>IFERROR(INDEX(tEditais[Encerramento],MATCH(tItens[[#This Row],[Edital]],tEditais[Edital],0)),"")</f>
        <v>46308.375</v>
      </c>
      <c r="J5362" t="str">
        <f>IFERROR(INDEX(tProdutos[Classe],MATCH(tItens[[#This Row],[Produto]],tProdutos[Produto],0)),"produto não cadastrado")</f>
        <v>FORA</v>
      </c>
      <c r="K5362" s="12">
        <f>tItens[[#This Row],[Qtd]]*tItens[[#This Row],[Vlr unit]]</f>
        <v>20826</v>
      </c>
      <c r="L5362" s="6">
        <f>IFERROR(IF(INDEX(tProdutos[Desconto homologado],MATCH(tItens[[#This Row],[Produto]],tProdutos[Produto],0))="",DescontoPadrao,INDEX(tProdutos[Desconto homologado],MATCH(tItens[[#This Row],[Produto]],tProdutos[Produto],0))),DescontoPadrao)</f>
        <v>0.412394275616498</v>
      </c>
      <c r="M5362" s="12">
        <f>tItens[[#This Row],[Valor]]*(1-tItens[[#This Row],[Desconto]])</f>
        <v>12237.476816010812</v>
      </c>
      <c r="N5362" t="str">
        <f>IFERROR(INDEX(tProdutos[Foco],MATCH(tItens[[#This Row],[Produto]],tProdutos[Produto],0)),"Não")</f>
        <v>Não</v>
      </c>
      <c r="O5362" t="str">
        <f>IFERROR(INDEX(tEditais[SRP],MATCH(tItens[[#This Row],[Edital]],tEditais[Edital],0)),"Não")</f>
        <v>Sim</v>
      </c>
      <c r="P5362" s="4">
        <f>IF(COUNTIFS(INDEX(tItens[Edital],1):tItens[[#This Row],[Edital]],tItens[[#This Row],[Edital]],INDEX(tItens[Produto],1):tItens[[#This Row],[Produto]],tItens[[#This Row],[Produto]])=1,1,0)</f>
        <v>0</v>
      </c>
    </row>
    <row r="5363" spans="1:16" x14ac:dyDescent="0.25">
      <c r="A5363" t="s">
        <v>2024</v>
      </c>
      <c r="B5363">
        <v>209</v>
      </c>
      <c r="C5363" t="s">
        <v>8161</v>
      </c>
      <c r="D5363" t="s">
        <v>345</v>
      </c>
      <c r="E5363" s="13">
        <v>1000</v>
      </c>
      <c r="F5363" s="12">
        <v>12.59</v>
      </c>
      <c r="G5363" t="str">
        <f>IFERROR(INDEX(tEditais[Órgão],MATCH(tItens[[#This Row],[Edital]],tEditais[Edital],0)),"")</f>
        <v>MUNICIPIO DE IBAITI</v>
      </c>
      <c r="H5363" t="str">
        <f>IFERROR(INDEX(tEditais[UF],MATCH(tItens[[#This Row],[Edital]],tEditais[Edital],0)),"")</f>
        <v>PR</v>
      </c>
      <c r="I5363" s="11">
        <f>IFERROR(INDEX(tEditais[Encerramento],MATCH(tItens[[#This Row],[Edital]],tEditais[Edital],0)),"")</f>
        <v>46308.375</v>
      </c>
      <c r="J5363" t="str">
        <f>IFERROR(INDEX(tProdutos[Classe],MATCH(tItens[[#This Row],[Produto]],tProdutos[Produto],0)),"produto não cadastrado")</f>
        <v>FORA</v>
      </c>
      <c r="K5363" s="12">
        <f>tItens[[#This Row],[Qtd]]*tItens[[#This Row],[Vlr unit]]</f>
        <v>12590</v>
      </c>
      <c r="L5363" s="6">
        <f>IFERROR(IF(INDEX(tProdutos[Desconto homologado],MATCH(tItens[[#This Row],[Produto]],tProdutos[Produto],0))="",DescontoPadrao,INDEX(tProdutos[Desconto homologado],MATCH(tItens[[#This Row],[Produto]],tProdutos[Produto],0))),DescontoPadrao)</f>
        <v>0.412394275616498</v>
      </c>
      <c r="M5363" s="12">
        <f>tItens[[#This Row],[Valor]]*(1-tItens[[#This Row],[Desconto]])</f>
        <v>7397.9560699882904</v>
      </c>
      <c r="N5363" t="str">
        <f>IFERROR(INDEX(tProdutos[Foco],MATCH(tItens[[#This Row],[Produto]],tProdutos[Produto],0)),"Não")</f>
        <v>Não</v>
      </c>
      <c r="O5363" t="str">
        <f>IFERROR(INDEX(tEditais[SRP],MATCH(tItens[[#This Row],[Edital]],tEditais[Edital],0)),"Não")</f>
        <v>Sim</v>
      </c>
      <c r="P5363" s="4">
        <f>IF(COUNTIFS(INDEX(tItens[Edital],1):tItens[[#This Row],[Edital]],tItens[[#This Row],[Edital]],INDEX(tItens[Produto],1):tItens[[#This Row],[Produto]],tItens[[#This Row],[Produto]])=1,1,0)</f>
        <v>0</v>
      </c>
    </row>
    <row r="5364" spans="1:16" x14ac:dyDescent="0.25">
      <c r="A5364" t="s">
        <v>2024</v>
      </c>
      <c r="B5364">
        <v>210</v>
      </c>
      <c r="C5364" t="s">
        <v>8162</v>
      </c>
      <c r="D5364" t="s">
        <v>345</v>
      </c>
      <c r="E5364" s="13">
        <v>1100</v>
      </c>
      <c r="F5364" s="12">
        <v>12.67</v>
      </c>
      <c r="G5364" t="str">
        <f>IFERROR(INDEX(tEditais[Órgão],MATCH(tItens[[#This Row],[Edital]],tEditais[Edital],0)),"")</f>
        <v>MUNICIPIO DE IBAITI</v>
      </c>
      <c r="H5364" t="str">
        <f>IFERROR(INDEX(tEditais[UF],MATCH(tItens[[#This Row],[Edital]],tEditais[Edital],0)),"")</f>
        <v>PR</v>
      </c>
      <c r="I5364" s="11">
        <f>IFERROR(INDEX(tEditais[Encerramento],MATCH(tItens[[#This Row],[Edital]],tEditais[Edital],0)),"")</f>
        <v>46308.375</v>
      </c>
      <c r="J5364" t="str">
        <f>IFERROR(INDEX(tProdutos[Classe],MATCH(tItens[[#This Row],[Produto]],tProdutos[Produto],0)),"produto não cadastrado")</f>
        <v>FORA</v>
      </c>
      <c r="K5364" s="12">
        <f>tItens[[#This Row],[Qtd]]*tItens[[#This Row],[Vlr unit]]</f>
        <v>13937</v>
      </c>
      <c r="L5364" s="6">
        <f>IFERROR(IF(INDEX(tProdutos[Desconto homologado],MATCH(tItens[[#This Row],[Produto]],tProdutos[Produto],0))="",DescontoPadrao,INDEX(tProdutos[Desconto homologado],MATCH(tItens[[#This Row],[Produto]],tProdutos[Produto],0))),DescontoPadrao)</f>
        <v>0.412394275616498</v>
      </c>
      <c r="M5364" s="12">
        <f>tItens[[#This Row],[Valor]]*(1-tItens[[#This Row],[Desconto]])</f>
        <v>8189.460980732867</v>
      </c>
      <c r="N5364" t="str">
        <f>IFERROR(INDEX(tProdutos[Foco],MATCH(tItens[[#This Row],[Produto]],tProdutos[Produto],0)),"Não")</f>
        <v>Não</v>
      </c>
      <c r="O5364" t="str">
        <f>IFERROR(INDEX(tEditais[SRP],MATCH(tItens[[#This Row],[Edital]],tEditais[Edital],0)),"Não")</f>
        <v>Sim</v>
      </c>
      <c r="P5364" s="4">
        <f>IF(COUNTIFS(INDEX(tItens[Edital],1):tItens[[#This Row],[Edital]],tItens[[#This Row],[Edital]],INDEX(tItens[Produto],1):tItens[[#This Row],[Produto]],tItens[[#This Row],[Produto]])=1,1,0)</f>
        <v>0</v>
      </c>
    </row>
    <row r="5365" spans="1:16" x14ac:dyDescent="0.25">
      <c r="A5365" t="s">
        <v>2024</v>
      </c>
      <c r="B5365">
        <v>211</v>
      </c>
      <c r="C5365" t="s">
        <v>8163</v>
      </c>
      <c r="D5365" t="s">
        <v>339</v>
      </c>
      <c r="E5365" s="13">
        <v>1300</v>
      </c>
      <c r="F5365" s="12">
        <v>7.26</v>
      </c>
      <c r="G5365" t="str">
        <f>IFERROR(INDEX(tEditais[Órgão],MATCH(tItens[[#This Row],[Edital]],tEditais[Edital],0)),"")</f>
        <v>MUNICIPIO DE IBAITI</v>
      </c>
      <c r="H5365" t="str">
        <f>IFERROR(INDEX(tEditais[UF],MATCH(tItens[[#This Row],[Edital]],tEditais[Edital],0)),"")</f>
        <v>PR</v>
      </c>
      <c r="I5365" s="11">
        <f>IFERROR(INDEX(tEditais[Encerramento],MATCH(tItens[[#This Row],[Edital]],tEditais[Edital],0)),"")</f>
        <v>46308.375</v>
      </c>
      <c r="J5365" t="str">
        <f>IFERROR(INDEX(tProdutos[Classe],MATCH(tItens[[#This Row],[Produto]],tProdutos[Produto],0)),"produto não cadastrado")</f>
        <v>FORA</v>
      </c>
      <c r="K5365" s="12">
        <f>tItens[[#This Row],[Qtd]]*tItens[[#This Row],[Vlr unit]]</f>
        <v>9438</v>
      </c>
      <c r="L5365" s="6">
        <f>IFERROR(IF(INDEX(tProdutos[Desconto homologado],MATCH(tItens[[#This Row],[Produto]],tProdutos[Produto],0))="",DescontoPadrao,INDEX(tProdutos[Desconto homologado],MATCH(tItens[[#This Row],[Produto]],tProdutos[Produto],0))),DescontoPadrao)</f>
        <v>0.35388629091804102</v>
      </c>
      <c r="M5365" s="12">
        <f>tItens[[#This Row],[Valor]]*(1-tItens[[#This Row],[Desconto]])</f>
        <v>6098.0211863155291</v>
      </c>
      <c r="N5365" t="str">
        <f>IFERROR(INDEX(tProdutos[Foco],MATCH(tItens[[#This Row],[Produto]],tProdutos[Produto],0)),"Não")</f>
        <v>Não</v>
      </c>
      <c r="O5365" t="str">
        <f>IFERROR(INDEX(tEditais[SRP],MATCH(tItens[[#This Row],[Edital]],tEditais[Edital],0)),"Não")</f>
        <v>Sim</v>
      </c>
      <c r="P5365" s="4">
        <f>IF(COUNTIFS(INDEX(tItens[Edital],1):tItens[[#This Row],[Edital]],tItens[[#This Row],[Edital]],INDEX(tItens[Produto],1):tItens[[#This Row],[Produto]],tItens[[#This Row],[Produto]])=1,1,0)</f>
        <v>1</v>
      </c>
    </row>
    <row r="5366" spans="1:16" x14ac:dyDescent="0.25">
      <c r="A5366" t="s">
        <v>2024</v>
      </c>
      <c r="B5366">
        <v>212</v>
      </c>
      <c r="C5366" t="s">
        <v>8164</v>
      </c>
      <c r="D5366" t="s">
        <v>339</v>
      </c>
      <c r="E5366" s="13">
        <v>1200</v>
      </c>
      <c r="F5366" s="12">
        <v>6.7</v>
      </c>
      <c r="G5366" t="str">
        <f>IFERROR(INDEX(tEditais[Órgão],MATCH(tItens[[#This Row],[Edital]],tEditais[Edital],0)),"")</f>
        <v>MUNICIPIO DE IBAITI</v>
      </c>
      <c r="H5366" t="str">
        <f>IFERROR(INDEX(tEditais[UF],MATCH(tItens[[#This Row],[Edital]],tEditais[Edital],0)),"")</f>
        <v>PR</v>
      </c>
      <c r="I5366" s="11">
        <f>IFERROR(INDEX(tEditais[Encerramento],MATCH(tItens[[#This Row],[Edital]],tEditais[Edital],0)),"")</f>
        <v>46308.375</v>
      </c>
      <c r="J5366" t="str">
        <f>IFERROR(INDEX(tProdutos[Classe],MATCH(tItens[[#This Row],[Produto]],tProdutos[Produto],0)),"produto não cadastrado")</f>
        <v>FORA</v>
      </c>
      <c r="K5366" s="12">
        <f>tItens[[#This Row],[Qtd]]*tItens[[#This Row],[Vlr unit]]</f>
        <v>8040</v>
      </c>
      <c r="L5366" s="6">
        <f>IFERROR(IF(INDEX(tProdutos[Desconto homologado],MATCH(tItens[[#This Row],[Produto]],tProdutos[Produto],0))="",DescontoPadrao,INDEX(tProdutos[Desconto homologado],MATCH(tItens[[#This Row],[Produto]],tProdutos[Produto],0))),DescontoPadrao)</f>
        <v>0.35388629091804102</v>
      </c>
      <c r="M5366" s="12">
        <f>tItens[[#This Row],[Valor]]*(1-tItens[[#This Row],[Desconto]])</f>
        <v>5194.7542210189504</v>
      </c>
      <c r="N5366" t="str">
        <f>IFERROR(INDEX(tProdutos[Foco],MATCH(tItens[[#This Row],[Produto]],tProdutos[Produto],0)),"Não")</f>
        <v>Não</v>
      </c>
      <c r="O5366" t="str">
        <f>IFERROR(INDEX(tEditais[SRP],MATCH(tItens[[#This Row],[Edital]],tEditais[Edital],0)),"Não")</f>
        <v>Sim</v>
      </c>
      <c r="P5366" s="4">
        <f>IF(COUNTIFS(INDEX(tItens[Edital],1):tItens[[#This Row],[Edital]],tItens[[#This Row],[Edital]],INDEX(tItens[Produto],1):tItens[[#This Row],[Produto]],tItens[[#This Row],[Produto]])=1,1,0)</f>
        <v>0</v>
      </c>
    </row>
    <row r="5367" spans="1:16" x14ac:dyDescent="0.25">
      <c r="A5367" t="s">
        <v>2024</v>
      </c>
      <c r="B5367">
        <v>213</v>
      </c>
      <c r="C5367" t="s">
        <v>8165</v>
      </c>
      <c r="D5367" t="s">
        <v>339</v>
      </c>
      <c r="E5367" s="13">
        <v>1300</v>
      </c>
      <c r="F5367" s="12">
        <v>6.8</v>
      </c>
      <c r="G5367" t="str">
        <f>IFERROR(INDEX(tEditais[Órgão],MATCH(tItens[[#This Row],[Edital]],tEditais[Edital],0)),"")</f>
        <v>MUNICIPIO DE IBAITI</v>
      </c>
      <c r="H5367" t="str">
        <f>IFERROR(INDEX(tEditais[UF],MATCH(tItens[[#This Row],[Edital]],tEditais[Edital],0)),"")</f>
        <v>PR</v>
      </c>
      <c r="I5367" s="11">
        <f>IFERROR(INDEX(tEditais[Encerramento],MATCH(tItens[[#This Row],[Edital]],tEditais[Edital],0)),"")</f>
        <v>46308.375</v>
      </c>
      <c r="J5367" t="str">
        <f>IFERROR(INDEX(tProdutos[Classe],MATCH(tItens[[#This Row],[Produto]],tProdutos[Produto],0)),"produto não cadastrado")</f>
        <v>FORA</v>
      </c>
      <c r="K5367" s="12">
        <f>tItens[[#This Row],[Qtd]]*tItens[[#This Row],[Vlr unit]]</f>
        <v>8840</v>
      </c>
      <c r="L5367" s="6">
        <f>IFERROR(IF(INDEX(tProdutos[Desconto homologado],MATCH(tItens[[#This Row],[Produto]],tProdutos[Produto],0))="",DescontoPadrao,INDEX(tProdutos[Desconto homologado],MATCH(tItens[[#This Row],[Produto]],tProdutos[Produto],0))),DescontoPadrao)</f>
        <v>0.35388629091804102</v>
      </c>
      <c r="M5367" s="12">
        <f>tItens[[#This Row],[Valor]]*(1-tItens[[#This Row],[Desconto]])</f>
        <v>5711.6451882845176</v>
      </c>
      <c r="N5367" t="str">
        <f>IFERROR(INDEX(tProdutos[Foco],MATCH(tItens[[#This Row],[Produto]],tProdutos[Produto],0)),"Não")</f>
        <v>Não</v>
      </c>
      <c r="O5367" t="str">
        <f>IFERROR(INDEX(tEditais[SRP],MATCH(tItens[[#This Row],[Edital]],tEditais[Edital],0)),"Não")</f>
        <v>Sim</v>
      </c>
      <c r="P5367" s="4">
        <f>IF(COUNTIFS(INDEX(tItens[Edital],1):tItens[[#This Row],[Edital]],tItens[[#This Row],[Edital]],INDEX(tItens[Produto],1):tItens[[#This Row],[Produto]],tItens[[#This Row],[Produto]])=1,1,0)</f>
        <v>0</v>
      </c>
    </row>
    <row r="5368" spans="1:16" x14ac:dyDescent="0.25">
      <c r="A5368" t="s">
        <v>2024</v>
      </c>
      <c r="B5368">
        <v>222</v>
      </c>
      <c r="C5368" t="s">
        <v>8166</v>
      </c>
      <c r="D5368" t="s">
        <v>411</v>
      </c>
      <c r="E5368" s="13">
        <v>35</v>
      </c>
      <c r="F5368" s="12">
        <v>350</v>
      </c>
      <c r="G5368" t="str">
        <f>IFERROR(INDEX(tEditais[Órgão],MATCH(tItens[[#This Row],[Edital]],tEditais[Edital],0)),"")</f>
        <v>MUNICIPIO DE IBAITI</v>
      </c>
      <c r="H5368" t="str">
        <f>IFERROR(INDEX(tEditais[UF],MATCH(tItens[[#This Row],[Edital]],tEditais[Edital],0)),"")</f>
        <v>PR</v>
      </c>
      <c r="I5368" s="11">
        <f>IFERROR(INDEX(tEditais[Encerramento],MATCH(tItens[[#This Row],[Edital]],tEditais[Edital],0)),"")</f>
        <v>46308.375</v>
      </c>
      <c r="J5368" t="str">
        <f>IFERROR(INDEX(tProdutos[Classe],MATCH(tItens[[#This Row],[Produto]],tProdutos[Produto],0)),"produto não cadastrado")</f>
        <v>FORA</v>
      </c>
      <c r="K5368" s="12">
        <f>tItens[[#This Row],[Qtd]]*tItens[[#This Row],[Vlr unit]]</f>
        <v>12250</v>
      </c>
      <c r="L5368" s="6">
        <f>IFERROR(IF(INDEX(tProdutos[Desconto homologado],MATCH(tItens[[#This Row],[Produto]],tProdutos[Produto],0))="",DescontoPadrao,INDEX(tProdutos[Desconto homologado],MATCH(tItens[[#This Row],[Produto]],tProdutos[Produto],0))),DescontoPadrao)</f>
        <v>0.50029835957199398</v>
      </c>
      <c r="M5368" s="12">
        <f>tItens[[#This Row],[Valor]]*(1-tItens[[#This Row],[Desconto]])</f>
        <v>6121.345095243074</v>
      </c>
      <c r="N5368" t="str">
        <f>IFERROR(INDEX(tProdutos[Foco],MATCH(tItens[[#This Row],[Produto]],tProdutos[Produto],0)),"Não")</f>
        <v>Não</v>
      </c>
      <c r="O5368" t="str">
        <f>IFERROR(INDEX(tEditais[SRP],MATCH(tItens[[#This Row],[Edital]],tEditais[Edital],0)),"Não")</f>
        <v>Sim</v>
      </c>
      <c r="P5368" s="4">
        <f>IF(COUNTIFS(INDEX(tItens[Edital],1):tItens[[#This Row],[Edital]],tItens[[#This Row],[Edital]],INDEX(tItens[Produto],1):tItens[[#This Row],[Produto]],tItens[[#This Row],[Produto]])=1,1,0)</f>
        <v>1</v>
      </c>
    </row>
    <row r="5369" spans="1:16" x14ac:dyDescent="0.25">
      <c r="A5369" t="s">
        <v>2024</v>
      </c>
      <c r="B5369">
        <v>228</v>
      </c>
      <c r="C5369" t="s">
        <v>8167</v>
      </c>
      <c r="D5369" t="s">
        <v>56</v>
      </c>
      <c r="E5369" s="13">
        <v>620</v>
      </c>
      <c r="F5369" s="12">
        <v>26.81</v>
      </c>
      <c r="G5369" t="str">
        <f>IFERROR(INDEX(tEditais[Órgão],MATCH(tItens[[#This Row],[Edital]],tEditais[Edital],0)),"")</f>
        <v>MUNICIPIO DE IBAITI</v>
      </c>
      <c r="H5369" t="str">
        <f>IFERROR(INDEX(tEditais[UF],MATCH(tItens[[#This Row],[Edital]],tEditais[Edital],0)),"")</f>
        <v>PR</v>
      </c>
      <c r="I5369" s="11">
        <f>IFERROR(INDEX(tEditais[Encerramento],MATCH(tItens[[#This Row],[Edital]],tEditais[Edital],0)),"")</f>
        <v>46308.375</v>
      </c>
      <c r="J5369" t="str">
        <f>IFERROR(INDEX(tProdutos[Classe],MATCH(tItens[[#This Row],[Produto]],tProdutos[Produto],0)),"produto não cadastrado")</f>
        <v>NÚCLEO</v>
      </c>
      <c r="K5369" s="12">
        <f>tItens[[#This Row],[Qtd]]*tItens[[#This Row],[Vlr unit]]</f>
        <v>16622.2</v>
      </c>
      <c r="L5369" s="6">
        <f>IFERROR(IF(INDEX(tProdutos[Desconto homologado],MATCH(tItens[[#This Row],[Produto]],tProdutos[Produto],0))="",DescontoPadrao,INDEX(tProdutos[Desconto homologado],MATCH(tItens[[#This Row],[Produto]],tProdutos[Produto],0))),DescontoPadrao)</f>
        <v>0.34</v>
      </c>
      <c r="M5369" s="12">
        <f>tItens[[#This Row],[Valor]]*(1-tItens[[#This Row],[Desconto]])</f>
        <v>10970.652</v>
      </c>
      <c r="N5369" t="str">
        <f>IFERROR(INDEX(tProdutos[Foco],MATCH(tItens[[#This Row],[Produto]],tProdutos[Produto],0)),"Não")</f>
        <v>Sim</v>
      </c>
      <c r="O5369" t="str">
        <f>IFERROR(INDEX(tEditais[SRP],MATCH(tItens[[#This Row],[Edital]],tEditais[Edital],0)),"Não")</f>
        <v>Sim</v>
      </c>
      <c r="P5369" s="4">
        <f>IF(COUNTIFS(INDEX(tItens[Edital],1):tItens[[#This Row],[Edital]],tItens[[#This Row],[Edital]],INDEX(tItens[Produto],1):tItens[[#This Row],[Produto]],tItens[[#This Row],[Produto]])=1,1,0)</f>
        <v>1</v>
      </c>
    </row>
    <row r="5370" spans="1:16" x14ac:dyDescent="0.25">
      <c r="A5370" t="s">
        <v>2024</v>
      </c>
      <c r="B5370">
        <v>229</v>
      </c>
      <c r="C5370" t="s">
        <v>8168</v>
      </c>
      <c r="D5370" t="s">
        <v>56</v>
      </c>
      <c r="E5370" s="13">
        <v>350</v>
      </c>
      <c r="F5370" s="12">
        <v>27.44</v>
      </c>
      <c r="G5370" t="str">
        <f>IFERROR(INDEX(tEditais[Órgão],MATCH(tItens[[#This Row],[Edital]],tEditais[Edital],0)),"")</f>
        <v>MUNICIPIO DE IBAITI</v>
      </c>
      <c r="H5370" t="str">
        <f>IFERROR(INDEX(tEditais[UF],MATCH(tItens[[#This Row],[Edital]],tEditais[Edital],0)),"")</f>
        <v>PR</v>
      </c>
      <c r="I5370" s="11">
        <f>IFERROR(INDEX(tEditais[Encerramento],MATCH(tItens[[#This Row],[Edital]],tEditais[Edital],0)),"")</f>
        <v>46308.375</v>
      </c>
      <c r="J5370" t="str">
        <f>IFERROR(INDEX(tProdutos[Classe],MATCH(tItens[[#This Row],[Produto]],tProdutos[Produto],0)),"produto não cadastrado")</f>
        <v>NÚCLEO</v>
      </c>
      <c r="K5370" s="12">
        <f>tItens[[#This Row],[Qtd]]*tItens[[#This Row],[Vlr unit]]</f>
        <v>9604</v>
      </c>
      <c r="L5370" s="6">
        <f>IFERROR(IF(INDEX(tProdutos[Desconto homologado],MATCH(tItens[[#This Row],[Produto]],tProdutos[Produto],0))="",DescontoPadrao,INDEX(tProdutos[Desconto homologado],MATCH(tItens[[#This Row],[Produto]],tProdutos[Produto],0))),DescontoPadrao)</f>
        <v>0.34</v>
      </c>
      <c r="M5370" s="12">
        <f>tItens[[#This Row],[Valor]]*(1-tItens[[#This Row],[Desconto]])</f>
        <v>6338.6399999999994</v>
      </c>
      <c r="N5370" t="str">
        <f>IFERROR(INDEX(tProdutos[Foco],MATCH(tItens[[#This Row],[Produto]],tProdutos[Produto],0)),"Não")</f>
        <v>Sim</v>
      </c>
      <c r="O5370" t="str">
        <f>IFERROR(INDEX(tEditais[SRP],MATCH(tItens[[#This Row],[Edital]],tEditais[Edital],0)),"Não")</f>
        <v>Sim</v>
      </c>
      <c r="P5370" s="4">
        <f>IF(COUNTIFS(INDEX(tItens[Edital],1):tItens[[#This Row],[Edital]],tItens[[#This Row],[Edital]],INDEX(tItens[Produto],1):tItens[[#This Row],[Produto]],tItens[[#This Row],[Produto]])=1,1,0)</f>
        <v>0</v>
      </c>
    </row>
    <row r="5371" spans="1:16" x14ac:dyDescent="0.25">
      <c r="A5371" t="s">
        <v>2024</v>
      </c>
      <c r="B5371">
        <v>231</v>
      </c>
      <c r="C5371" t="s">
        <v>8169</v>
      </c>
      <c r="D5371" t="s">
        <v>277</v>
      </c>
      <c r="E5371" s="13">
        <v>20000</v>
      </c>
      <c r="F5371" s="12">
        <v>0.2</v>
      </c>
      <c r="G5371" t="str">
        <f>IFERROR(INDEX(tEditais[Órgão],MATCH(tItens[[#This Row],[Edital]],tEditais[Edital],0)),"")</f>
        <v>MUNICIPIO DE IBAITI</v>
      </c>
      <c r="H5371" t="str">
        <f>IFERROR(INDEX(tEditais[UF],MATCH(tItens[[#This Row],[Edital]],tEditais[Edital],0)),"")</f>
        <v>PR</v>
      </c>
      <c r="I5371" s="11">
        <f>IFERROR(INDEX(tEditais[Encerramento],MATCH(tItens[[#This Row],[Edital]],tEditais[Edital],0)),"")</f>
        <v>46308.375</v>
      </c>
      <c r="J5371" t="str">
        <f>IFERROR(INDEX(tProdutos[Classe],MATCH(tItens[[#This Row],[Produto]],tProdutos[Produto],0)),"produto não cadastrado")</f>
        <v>DISPUTADO</v>
      </c>
      <c r="K5371" s="12">
        <f>tItens[[#This Row],[Qtd]]*tItens[[#This Row],[Vlr unit]]</f>
        <v>4000</v>
      </c>
      <c r="L5371" s="6">
        <f>IFERROR(IF(INDEX(tProdutos[Desconto homologado],MATCH(tItens[[#This Row],[Produto]],tProdutos[Produto],0))="",DescontoPadrao,INDEX(tProdutos[Desconto homologado],MATCH(tItens[[#This Row],[Produto]],tProdutos[Produto],0))),DescontoPadrao)</f>
        <v>0.50460666194188497</v>
      </c>
      <c r="M5371" s="12">
        <f>tItens[[#This Row],[Valor]]*(1-tItens[[#This Row],[Desconto]])</f>
        <v>1981.5733522324601</v>
      </c>
      <c r="N5371" t="str">
        <f>IFERROR(INDEX(tProdutos[Foco],MATCH(tItens[[#This Row],[Produto]],tProdutos[Produto],0)),"Não")</f>
        <v>Não</v>
      </c>
      <c r="O5371" t="str">
        <f>IFERROR(INDEX(tEditais[SRP],MATCH(tItens[[#This Row],[Edital]],tEditais[Edital],0)),"Não")</f>
        <v>Sim</v>
      </c>
      <c r="P5371" s="4">
        <f>IF(COUNTIFS(INDEX(tItens[Edital],1):tItens[[#This Row],[Edital]],tItens[[#This Row],[Edital]],INDEX(tItens[Produto],1):tItens[[#This Row],[Produto]],tItens[[#This Row],[Produto]])=1,1,0)</f>
        <v>1</v>
      </c>
    </row>
    <row r="5372" spans="1:16" x14ac:dyDescent="0.25">
      <c r="A5372" t="s">
        <v>2024</v>
      </c>
      <c r="B5372">
        <v>232</v>
      </c>
      <c r="C5372" t="s">
        <v>8170</v>
      </c>
      <c r="D5372" t="s">
        <v>267</v>
      </c>
      <c r="E5372" s="13">
        <v>2535</v>
      </c>
      <c r="F5372" s="12">
        <v>10.44</v>
      </c>
      <c r="G5372" t="str">
        <f>IFERROR(INDEX(tEditais[Órgão],MATCH(tItens[[#This Row],[Edital]],tEditais[Edital],0)),"")</f>
        <v>MUNICIPIO DE IBAITI</v>
      </c>
      <c r="H5372" t="str">
        <f>IFERROR(INDEX(tEditais[UF],MATCH(tItens[[#This Row],[Edital]],tEditais[Edital],0)),"")</f>
        <v>PR</v>
      </c>
      <c r="I5372" s="11">
        <f>IFERROR(INDEX(tEditais[Encerramento],MATCH(tItens[[#This Row],[Edital]],tEditais[Edital],0)),"")</f>
        <v>46308.375</v>
      </c>
      <c r="J5372" t="str">
        <f>IFERROR(INDEX(tProdutos[Classe],MATCH(tItens[[#This Row],[Produto]],tProdutos[Produto],0)),"produto não cadastrado")</f>
        <v>FORA</v>
      </c>
      <c r="K5372" s="12">
        <f>tItens[[#This Row],[Qtd]]*tItens[[#This Row],[Vlr unit]]</f>
        <v>26465.399999999998</v>
      </c>
      <c r="L5372" s="6">
        <f>IFERROR(IF(INDEX(tProdutos[Desconto homologado],MATCH(tItens[[#This Row],[Produto]],tProdutos[Produto],0))="",DescontoPadrao,INDEX(tProdutos[Desconto homologado],MATCH(tItens[[#This Row],[Produto]],tProdutos[Produto],0))),DescontoPadrao)</f>
        <v>0.19963672657401599</v>
      </c>
      <c r="M5372" s="12">
        <f>tItens[[#This Row],[Valor]]*(1-tItens[[#This Row],[Desconto]])</f>
        <v>21181.934176528037</v>
      </c>
      <c r="N5372" t="str">
        <f>IFERROR(INDEX(tProdutos[Foco],MATCH(tItens[[#This Row],[Produto]],tProdutos[Produto],0)),"Não")</f>
        <v>Não</v>
      </c>
      <c r="O5372" t="str">
        <f>IFERROR(INDEX(tEditais[SRP],MATCH(tItens[[#This Row],[Edital]],tEditais[Edital],0)),"Não")</f>
        <v>Sim</v>
      </c>
      <c r="P5372" s="4">
        <f>IF(COUNTIFS(INDEX(tItens[Edital],1):tItens[[#This Row],[Edital]],tItens[[#This Row],[Edital]],INDEX(tItens[Produto],1):tItens[[#This Row],[Produto]],tItens[[#This Row],[Produto]])=1,1,0)</f>
        <v>1</v>
      </c>
    </row>
    <row r="5373" spans="1:16" x14ac:dyDescent="0.25">
      <c r="A5373" t="s">
        <v>2024</v>
      </c>
      <c r="B5373">
        <v>240</v>
      </c>
      <c r="C5373" t="s">
        <v>8171</v>
      </c>
      <c r="D5373" t="s">
        <v>313</v>
      </c>
      <c r="E5373" s="13">
        <v>1700</v>
      </c>
      <c r="F5373" s="12">
        <v>23.88</v>
      </c>
      <c r="G5373" t="str">
        <f>IFERROR(INDEX(tEditais[Órgão],MATCH(tItens[[#This Row],[Edital]],tEditais[Edital],0)),"")</f>
        <v>MUNICIPIO DE IBAITI</v>
      </c>
      <c r="H5373" t="str">
        <f>IFERROR(INDEX(tEditais[UF],MATCH(tItens[[#This Row],[Edital]],tEditais[Edital],0)),"")</f>
        <v>PR</v>
      </c>
      <c r="I5373" s="11">
        <f>IFERROR(INDEX(tEditais[Encerramento],MATCH(tItens[[#This Row],[Edital]],tEditais[Edital],0)),"")</f>
        <v>46308.375</v>
      </c>
      <c r="J5373" t="str">
        <f>IFERROR(INDEX(tProdutos[Classe],MATCH(tItens[[#This Row],[Produto]],tProdutos[Produto],0)),"produto não cadastrado")</f>
        <v>FORA</v>
      </c>
      <c r="K5373" s="12">
        <f>tItens[[#This Row],[Qtd]]*tItens[[#This Row],[Vlr unit]]</f>
        <v>40596</v>
      </c>
      <c r="L5373" s="6">
        <f>IFERROR(IF(INDEX(tProdutos[Desconto homologado],MATCH(tItens[[#This Row],[Produto]],tProdutos[Produto],0))="",DescontoPadrao,INDEX(tProdutos[Desconto homologado],MATCH(tItens[[#This Row],[Produto]],tProdutos[Produto],0))),DescontoPadrao)</f>
        <v>0.35766373163696302</v>
      </c>
      <c r="M5373" s="12">
        <f>tItens[[#This Row],[Valor]]*(1-tItens[[#This Row],[Desconto]])</f>
        <v>26076.283150465846</v>
      </c>
      <c r="N5373" t="str">
        <f>IFERROR(INDEX(tProdutos[Foco],MATCH(tItens[[#This Row],[Produto]],tProdutos[Produto],0)),"Não")</f>
        <v>Não</v>
      </c>
      <c r="O5373" t="str">
        <f>IFERROR(INDEX(tEditais[SRP],MATCH(tItens[[#This Row],[Edital]],tEditais[Edital],0)),"Não")</f>
        <v>Sim</v>
      </c>
      <c r="P5373" s="4">
        <f>IF(COUNTIFS(INDEX(tItens[Edital],1):tItens[[#This Row],[Edital]],tItens[[#This Row],[Edital]],INDEX(tItens[Produto],1):tItens[[#This Row],[Produto]],tItens[[#This Row],[Produto]])=1,1,0)</f>
        <v>0</v>
      </c>
    </row>
    <row r="5374" spans="1:16" x14ac:dyDescent="0.25">
      <c r="A5374" t="s">
        <v>2024</v>
      </c>
      <c r="B5374">
        <v>241</v>
      </c>
      <c r="C5374" t="s">
        <v>8117</v>
      </c>
      <c r="D5374" t="s">
        <v>313</v>
      </c>
      <c r="E5374" s="13">
        <v>1775</v>
      </c>
      <c r="F5374" s="12">
        <v>23.97</v>
      </c>
      <c r="G5374" t="str">
        <f>IFERROR(INDEX(tEditais[Órgão],MATCH(tItens[[#This Row],[Edital]],tEditais[Edital],0)),"")</f>
        <v>MUNICIPIO DE IBAITI</v>
      </c>
      <c r="H5374" t="str">
        <f>IFERROR(INDEX(tEditais[UF],MATCH(tItens[[#This Row],[Edital]],tEditais[Edital],0)),"")</f>
        <v>PR</v>
      </c>
      <c r="I5374" s="11">
        <f>IFERROR(INDEX(tEditais[Encerramento],MATCH(tItens[[#This Row],[Edital]],tEditais[Edital],0)),"")</f>
        <v>46308.375</v>
      </c>
      <c r="J5374" t="str">
        <f>IFERROR(INDEX(tProdutos[Classe],MATCH(tItens[[#This Row],[Produto]],tProdutos[Produto],0)),"produto não cadastrado")</f>
        <v>FORA</v>
      </c>
      <c r="K5374" s="12">
        <f>tItens[[#This Row],[Qtd]]*tItens[[#This Row],[Vlr unit]]</f>
        <v>42546.75</v>
      </c>
      <c r="L5374" s="6">
        <f>IFERROR(IF(INDEX(tProdutos[Desconto homologado],MATCH(tItens[[#This Row],[Produto]],tProdutos[Produto],0))="",DescontoPadrao,INDEX(tProdutos[Desconto homologado],MATCH(tItens[[#This Row],[Produto]],tProdutos[Produto],0))),DescontoPadrao)</f>
        <v>0.35766373163696302</v>
      </c>
      <c r="M5374" s="12">
        <f>tItens[[#This Row],[Valor]]*(1-tItens[[#This Row],[Desconto]])</f>
        <v>27329.32062597504</v>
      </c>
      <c r="N5374" t="str">
        <f>IFERROR(INDEX(tProdutos[Foco],MATCH(tItens[[#This Row],[Produto]],tProdutos[Produto],0)),"Não")</f>
        <v>Não</v>
      </c>
      <c r="O5374" t="str">
        <f>IFERROR(INDEX(tEditais[SRP],MATCH(tItens[[#This Row],[Edital]],tEditais[Edital],0)),"Não")</f>
        <v>Sim</v>
      </c>
      <c r="P5374" s="4">
        <f>IF(COUNTIFS(INDEX(tItens[Edital],1):tItens[[#This Row],[Edital]],tItens[[#This Row],[Edital]],INDEX(tItens[Produto],1):tItens[[#This Row],[Produto]],tItens[[#This Row],[Produto]])=1,1,0)</f>
        <v>0</v>
      </c>
    </row>
    <row r="5375" spans="1:16" x14ac:dyDescent="0.25">
      <c r="A5375" t="s">
        <v>2024</v>
      </c>
      <c r="B5375">
        <v>242</v>
      </c>
      <c r="C5375" t="s">
        <v>8118</v>
      </c>
      <c r="D5375" t="s">
        <v>313</v>
      </c>
      <c r="E5375" s="13">
        <v>1300</v>
      </c>
      <c r="F5375" s="12">
        <v>24.02</v>
      </c>
      <c r="G5375" t="str">
        <f>IFERROR(INDEX(tEditais[Órgão],MATCH(tItens[[#This Row],[Edital]],tEditais[Edital],0)),"")</f>
        <v>MUNICIPIO DE IBAITI</v>
      </c>
      <c r="H5375" t="str">
        <f>IFERROR(INDEX(tEditais[UF],MATCH(tItens[[#This Row],[Edital]],tEditais[Edital],0)),"")</f>
        <v>PR</v>
      </c>
      <c r="I5375" s="11">
        <f>IFERROR(INDEX(tEditais[Encerramento],MATCH(tItens[[#This Row],[Edital]],tEditais[Edital],0)),"")</f>
        <v>46308.375</v>
      </c>
      <c r="J5375" t="str">
        <f>IFERROR(INDEX(tProdutos[Classe],MATCH(tItens[[#This Row],[Produto]],tProdutos[Produto],0)),"produto não cadastrado")</f>
        <v>FORA</v>
      </c>
      <c r="K5375" s="12">
        <f>tItens[[#This Row],[Qtd]]*tItens[[#This Row],[Vlr unit]]</f>
        <v>31226</v>
      </c>
      <c r="L5375" s="6">
        <f>IFERROR(IF(INDEX(tProdutos[Desconto homologado],MATCH(tItens[[#This Row],[Produto]],tProdutos[Produto],0))="",DescontoPadrao,INDEX(tProdutos[Desconto homologado],MATCH(tItens[[#This Row],[Produto]],tProdutos[Produto],0))),DescontoPadrao)</f>
        <v>0.35766373163696302</v>
      </c>
      <c r="M5375" s="12">
        <f>tItens[[#This Row],[Valor]]*(1-tItens[[#This Row],[Desconto]])</f>
        <v>20057.592315904192</v>
      </c>
      <c r="N5375" t="str">
        <f>IFERROR(INDEX(tProdutos[Foco],MATCH(tItens[[#This Row],[Produto]],tProdutos[Produto],0)),"Não")</f>
        <v>Não</v>
      </c>
      <c r="O5375" t="str">
        <f>IFERROR(INDEX(tEditais[SRP],MATCH(tItens[[#This Row],[Edital]],tEditais[Edital],0)),"Não")</f>
        <v>Sim</v>
      </c>
      <c r="P5375" s="4">
        <f>IF(COUNTIFS(INDEX(tItens[Edital],1):tItens[[#This Row],[Edital]],tItens[[#This Row],[Edital]],INDEX(tItens[Produto],1):tItens[[#This Row],[Produto]],tItens[[#This Row],[Produto]])=1,1,0)</f>
        <v>0</v>
      </c>
    </row>
    <row r="5376" spans="1:16" x14ac:dyDescent="0.25">
      <c r="A5376" t="s">
        <v>2024</v>
      </c>
      <c r="B5376">
        <v>243</v>
      </c>
      <c r="C5376" t="s">
        <v>8118</v>
      </c>
      <c r="D5376" t="s">
        <v>313</v>
      </c>
      <c r="E5376" s="13">
        <v>1500</v>
      </c>
      <c r="F5376" s="12">
        <v>24.02</v>
      </c>
      <c r="G5376" t="str">
        <f>IFERROR(INDEX(tEditais[Órgão],MATCH(tItens[[#This Row],[Edital]],tEditais[Edital],0)),"")</f>
        <v>MUNICIPIO DE IBAITI</v>
      </c>
      <c r="H5376" t="str">
        <f>IFERROR(INDEX(tEditais[UF],MATCH(tItens[[#This Row],[Edital]],tEditais[Edital],0)),"")</f>
        <v>PR</v>
      </c>
      <c r="I5376" s="11">
        <f>IFERROR(INDEX(tEditais[Encerramento],MATCH(tItens[[#This Row],[Edital]],tEditais[Edital],0)),"")</f>
        <v>46308.375</v>
      </c>
      <c r="J5376" t="str">
        <f>IFERROR(INDEX(tProdutos[Classe],MATCH(tItens[[#This Row],[Produto]],tProdutos[Produto],0)),"produto não cadastrado")</f>
        <v>FORA</v>
      </c>
      <c r="K5376" s="12">
        <f>tItens[[#This Row],[Qtd]]*tItens[[#This Row],[Vlr unit]]</f>
        <v>36030</v>
      </c>
      <c r="L5376" s="6">
        <f>IFERROR(IF(INDEX(tProdutos[Desconto homologado],MATCH(tItens[[#This Row],[Produto]],tProdutos[Produto],0))="",DescontoPadrao,INDEX(tProdutos[Desconto homologado],MATCH(tItens[[#This Row],[Produto]],tProdutos[Produto],0))),DescontoPadrao)</f>
        <v>0.35766373163696302</v>
      </c>
      <c r="M5376" s="12">
        <f>tItens[[#This Row],[Valor]]*(1-tItens[[#This Row],[Desconto]])</f>
        <v>23143.37574912022</v>
      </c>
      <c r="N5376" t="str">
        <f>IFERROR(INDEX(tProdutos[Foco],MATCH(tItens[[#This Row],[Produto]],tProdutos[Produto],0)),"Não")</f>
        <v>Não</v>
      </c>
      <c r="O5376" t="str">
        <f>IFERROR(INDEX(tEditais[SRP],MATCH(tItens[[#This Row],[Edital]],tEditais[Edital],0)),"Não")</f>
        <v>Sim</v>
      </c>
      <c r="P5376" s="4">
        <f>IF(COUNTIFS(INDEX(tItens[Edital],1):tItens[[#This Row],[Edital]],tItens[[#This Row],[Edital]],INDEX(tItens[Produto],1):tItens[[#This Row],[Produto]],tItens[[#This Row],[Produto]])=1,1,0)</f>
        <v>0</v>
      </c>
    </row>
    <row r="5377" spans="1:16" x14ac:dyDescent="0.25">
      <c r="A5377" t="s">
        <v>2024</v>
      </c>
      <c r="B5377">
        <v>244</v>
      </c>
      <c r="C5377" t="s">
        <v>8172</v>
      </c>
      <c r="D5377" t="s">
        <v>313</v>
      </c>
      <c r="E5377" s="13">
        <v>2400</v>
      </c>
      <c r="F5377" s="12">
        <v>20.8</v>
      </c>
      <c r="G5377" t="str">
        <f>IFERROR(INDEX(tEditais[Órgão],MATCH(tItens[[#This Row],[Edital]],tEditais[Edital],0)),"")</f>
        <v>MUNICIPIO DE IBAITI</v>
      </c>
      <c r="H5377" t="str">
        <f>IFERROR(INDEX(tEditais[UF],MATCH(tItens[[#This Row],[Edital]],tEditais[Edital],0)),"")</f>
        <v>PR</v>
      </c>
      <c r="I5377" s="11">
        <f>IFERROR(INDEX(tEditais[Encerramento],MATCH(tItens[[#This Row],[Edital]],tEditais[Edital],0)),"")</f>
        <v>46308.375</v>
      </c>
      <c r="J5377" t="str">
        <f>IFERROR(INDEX(tProdutos[Classe],MATCH(tItens[[#This Row],[Produto]],tProdutos[Produto],0)),"produto não cadastrado")</f>
        <v>FORA</v>
      </c>
      <c r="K5377" s="12">
        <f>tItens[[#This Row],[Qtd]]*tItens[[#This Row],[Vlr unit]]</f>
        <v>49920</v>
      </c>
      <c r="L5377" s="6">
        <f>IFERROR(IF(INDEX(tProdutos[Desconto homologado],MATCH(tItens[[#This Row],[Produto]],tProdutos[Produto],0))="",DescontoPadrao,INDEX(tProdutos[Desconto homologado],MATCH(tItens[[#This Row],[Produto]],tProdutos[Produto],0))),DescontoPadrao)</f>
        <v>0.35766373163696302</v>
      </c>
      <c r="M5377" s="12">
        <f>tItens[[#This Row],[Valor]]*(1-tItens[[#This Row],[Desconto]])</f>
        <v>32065.426516682805</v>
      </c>
      <c r="N5377" t="str">
        <f>IFERROR(INDEX(tProdutos[Foco],MATCH(tItens[[#This Row],[Produto]],tProdutos[Produto],0)),"Não")</f>
        <v>Não</v>
      </c>
      <c r="O5377" t="str">
        <f>IFERROR(INDEX(tEditais[SRP],MATCH(tItens[[#This Row],[Edital]],tEditais[Edital],0)),"Não")</f>
        <v>Sim</v>
      </c>
      <c r="P5377" s="4">
        <f>IF(COUNTIFS(INDEX(tItens[Edital],1):tItens[[#This Row],[Edital]],tItens[[#This Row],[Edital]],INDEX(tItens[Produto],1):tItens[[#This Row],[Produto]],tItens[[#This Row],[Produto]])=1,1,0)</f>
        <v>0</v>
      </c>
    </row>
    <row r="5378" spans="1:16" x14ac:dyDescent="0.25">
      <c r="A5378" t="s">
        <v>2024</v>
      </c>
      <c r="B5378">
        <v>250</v>
      </c>
      <c r="C5378" t="s">
        <v>8173</v>
      </c>
      <c r="D5378" t="s">
        <v>170</v>
      </c>
      <c r="E5378" s="13">
        <v>50</v>
      </c>
      <c r="F5378" s="12">
        <v>15.89</v>
      </c>
      <c r="G5378" t="str">
        <f>IFERROR(INDEX(tEditais[Órgão],MATCH(tItens[[#This Row],[Edital]],tEditais[Edital],0)),"")</f>
        <v>MUNICIPIO DE IBAITI</v>
      </c>
      <c r="H5378" t="str">
        <f>IFERROR(INDEX(tEditais[UF],MATCH(tItens[[#This Row],[Edital]],tEditais[Edital],0)),"")</f>
        <v>PR</v>
      </c>
      <c r="I5378" s="11">
        <f>IFERROR(INDEX(tEditais[Encerramento],MATCH(tItens[[#This Row],[Edital]],tEditais[Edital],0)),"")</f>
        <v>46308.375</v>
      </c>
      <c r="J5378" t="str">
        <f>IFERROR(INDEX(tProdutos[Classe],MATCH(tItens[[#This Row],[Produto]],tProdutos[Produto],0)),"produto não cadastrado")</f>
        <v>DISPUTADO</v>
      </c>
      <c r="K5378" s="12">
        <f>tItens[[#This Row],[Qtd]]*tItens[[#This Row],[Vlr unit]]</f>
        <v>794.5</v>
      </c>
      <c r="L5378" s="6">
        <f>IFERROR(IF(INDEX(tProdutos[Desconto homologado],MATCH(tItens[[#This Row],[Produto]],tProdutos[Produto],0))="",DescontoPadrao,INDEX(tProdutos[Desconto homologado],MATCH(tItens[[#This Row],[Produto]],tProdutos[Produto],0))),DescontoPadrao)</f>
        <v>0.36</v>
      </c>
      <c r="M5378" s="12">
        <f>tItens[[#This Row],[Valor]]*(1-tItens[[#This Row],[Desconto]])</f>
        <v>508.48</v>
      </c>
      <c r="N5378" t="str">
        <f>IFERROR(INDEX(tProdutos[Foco],MATCH(tItens[[#This Row],[Produto]],tProdutos[Produto],0)),"Não")</f>
        <v>Sim</v>
      </c>
      <c r="O5378" t="str">
        <f>IFERROR(INDEX(tEditais[SRP],MATCH(tItens[[#This Row],[Edital]],tEditais[Edital],0)),"Não")</f>
        <v>Sim</v>
      </c>
      <c r="P5378" s="4">
        <f>IF(COUNTIFS(INDEX(tItens[Edital],1):tItens[[#This Row],[Edital]],tItens[[#This Row],[Edital]],INDEX(tItens[Produto],1):tItens[[#This Row],[Produto]],tItens[[#This Row],[Produto]])=1,1,0)</f>
        <v>1</v>
      </c>
    </row>
    <row r="5379" spans="1:16" x14ac:dyDescent="0.25">
      <c r="A5379" t="s">
        <v>2024</v>
      </c>
      <c r="B5379">
        <v>251</v>
      </c>
      <c r="C5379" t="s">
        <v>8174</v>
      </c>
      <c r="D5379" t="s">
        <v>170</v>
      </c>
      <c r="E5379" s="13">
        <v>80</v>
      </c>
      <c r="F5379" s="12">
        <v>16.47</v>
      </c>
      <c r="G5379" t="str">
        <f>IFERROR(INDEX(tEditais[Órgão],MATCH(tItens[[#This Row],[Edital]],tEditais[Edital],0)),"")</f>
        <v>MUNICIPIO DE IBAITI</v>
      </c>
      <c r="H5379" t="str">
        <f>IFERROR(INDEX(tEditais[UF],MATCH(tItens[[#This Row],[Edital]],tEditais[Edital],0)),"")</f>
        <v>PR</v>
      </c>
      <c r="I5379" s="11">
        <f>IFERROR(INDEX(tEditais[Encerramento],MATCH(tItens[[#This Row],[Edital]],tEditais[Edital],0)),"")</f>
        <v>46308.375</v>
      </c>
      <c r="J5379" t="str">
        <f>IFERROR(INDEX(tProdutos[Classe],MATCH(tItens[[#This Row],[Produto]],tProdutos[Produto],0)),"produto não cadastrado")</f>
        <v>DISPUTADO</v>
      </c>
      <c r="K5379" s="12">
        <f>tItens[[#This Row],[Qtd]]*tItens[[#This Row],[Vlr unit]]</f>
        <v>1317.6</v>
      </c>
      <c r="L5379" s="6">
        <f>IFERROR(IF(INDEX(tProdutos[Desconto homologado],MATCH(tItens[[#This Row],[Produto]],tProdutos[Produto],0))="",DescontoPadrao,INDEX(tProdutos[Desconto homologado],MATCH(tItens[[#This Row],[Produto]],tProdutos[Produto],0))),DescontoPadrao)</f>
        <v>0.36</v>
      </c>
      <c r="M5379" s="12">
        <f>tItens[[#This Row],[Valor]]*(1-tItens[[#This Row],[Desconto]])</f>
        <v>843.26400000000001</v>
      </c>
      <c r="N5379" t="str">
        <f>IFERROR(INDEX(tProdutos[Foco],MATCH(tItens[[#This Row],[Produto]],tProdutos[Produto],0)),"Não")</f>
        <v>Sim</v>
      </c>
      <c r="O5379" t="str">
        <f>IFERROR(INDEX(tEditais[SRP],MATCH(tItens[[#This Row],[Edital]],tEditais[Edital],0)),"Não")</f>
        <v>Sim</v>
      </c>
      <c r="P5379" s="4">
        <f>IF(COUNTIFS(INDEX(tItens[Edital],1):tItens[[#This Row],[Edital]],tItens[[#This Row],[Edital]],INDEX(tItens[Produto],1):tItens[[#This Row],[Produto]],tItens[[#This Row],[Produto]])=1,1,0)</f>
        <v>0</v>
      </c>
    </row>
    <row r="5380" spans="1:16" x14ac:dyDescent="0.25">
      <c r="A5380" t="s">
        <v>2024</v>
      </c>
      <c r="B5380">
        <v>252</v>
      </c>
      <c r="C5380" t="s">
        <v>8175</v>
      </c>
      <c r="D5380" t="s">
        <v>170</v>
      </c>
      <c r="E5380" s="13">
        <v>100</v>
      </c>
      <c r="F5380" s="12">
        <v>26.45</v>
      </c>
      <c r="G5380" t="str">
        <f>IFERROR(INDEX(tEditais[Órgão],MATCH(tItens[[#This Row],[Edital]],tEditais[Edital],0)),"")</f>
        <v>MUNICIPIO DE IBAITI</v>
      </c>
      <c r="H5380" t="str">
        <f>IFERROR(INDEX(tEditais[UF],MATCH(tItens[[#This Row],[Edital]],tEditais[Edital],0)),"")</f>
        <v>PR</v>
      </c>
      <c r="I5380" s="11">
        <f>IFERROR(INDEX(tEditais[Encerramento],MATCH(tItens[[#This Row],[Edital]],tEditais[Edital],0)),"")</f>
        <v>46308.375</v>
      </c>
      <c r="J5380" t="str">
        <f>IFERROR(INDEX(tProdutos[Classe],MATCH(tItens[[#This Row],[Produto]],tProdutos[Produto],0)),"produto não cadastrado")</f>
        <v>DISPUTADO</v>
      </c>
      <c r="K5380" s="12">
        <f>tItens[[#This Row],[Qtd]]*tItens[[#This Row],[Vlr unit]]</f>
        <v>2645</v>
      </c>
      <c r="L5380" s="6">
        <f>IFERROR(IF(INDEX(tProdutos[Desconto homologado],MATCH(tItens[[#This Row],[Produto]],tProdutos[Produto],0))="",DescontoPadrao,INDEX(tProdutos[Desconto homologado],MATCH(tItens[[#This Row],[Produto]],tProdutos[Produto],0))),DescontoPadrao)</f>
        <v>0.36</v>
      </c>
      <c r="M5380" s="12">
        <f>tItens[[#This Row],[Valor]]*(1-tItens[[#This Row],[Desconto]])</f>
        <v>1692.8</v>
      </c>
      <c r="N5380" t="str">
        <f>IFERROR(INDEX(tProdutos[Foco],MATCH(tItens[[#This Row],[Produto]],tProdutos[Produto],0)),"Não")</f>
        <v>Sim</v>
      </c>
      <c r="O5380" t="str">
        <f>IFERROR(INDEX(tEditais[SRP],MATCH(tItens[[#This Row],[Edital]],tEditais[Edital],0)),"Não")</f>
        <v>Sim</v>
      </c>
      <c r="P5380" s="4">
        <f>IF(COUNTIFS(INDEX(tItens[Edital],1):tItens[[#This Row],[Edital]],tItens[[#This Row],[Edital]],INDEX(tItens[Produto],1):tItens[[#This Row],[Produto]],tItens[[#This Row],[Produto]])=1,1,0)</f>
        <v>0</v>
      </c>
    </row>
    <row r="5381" spans="1:16" x14ac:dyDescent="0.25">
      <c r="A5381" t="s">
        <v>2024</v>
      </c>
      <c r="B5381">
        <v>253</v>
      </c>
      <c r="C5381" t="s">
        <v>8176</v>
      </c>
      <c r="D5381" t="s">
        <v>170</v>
      </c>
      <c r="E5381" s="13">
        <v>100</v>
      </c>
      <c r="F5381" s="12">
        <v>15.55</v>
      </c>
      <c r="G5381" t="str">
        <f>IFERROR(INDEX(tEditais[Órgão],MATCH(tItens[[#This Row],[Edital]],tEditais[Edital],0)),"")</f>
        <v>MUNICIPIO DE IBAITI</v>
      </c>
      <c r="H5381" t="str">
        <f>IFERROR(INDEX(tEditais[UF],MATCH(tItens[[#This Row],[Edital]],tEditais[Edital],0)),"")</f>
        <v>PR</v>
      </c>
      <c r="I5381" s="11">
        <f>IFERROR(INDEX(tEditais[Encerramento],MATCH(tItens[[#This Row],[Edital]],tEditais[Edital],0)),"")</f>
        <v>46308.375</v>
      </c>
      <c r="J5381" t="str">
        <f>IFERROR(INDEX(tProdutos[Classe],MATCH(tItens[[#This Row],[Produto]],tProdutos[Produto],0)),"produto não cadastrado")</f>
        <v>DISPUTADO</v>
      </c>
      <c r="K5381" s="12">
        <f>tItens[[#This Row],[Qtd]]*tItens[[#This Row],[Vlr unit]]</f>
        <v>1555</v>
      </c>
      <c r="L5381" s="6">
        <f>IFERROR(IF(INDEX(tProdutos[Desconto homologado],MATCH(tItens[[#This Row],[Produto]],tProdutos[Produto],0))="",DescontoPadrao,INDEX(tProdutos[Desconto homologado],MATCH(tItens[[#This Row],[Produto]],tProdutos[Produto],0))),DescontoPadrao)</f>
        <v>0.36</v>
      </c>
      <c r="M5381" s="12">
        <f>tItens[[#This Row],[Valor]]*(1-tItens[[#This Row],[Desconto]])</f>
        <v>995.2</v>
      </c>
      <c r="N5381" t="str">
        <f>IFERROR(INDEX(tProdutos[Foco],MATCH(tItens[[#This Row],[Produto]],tProdutos[Produto],0)),"Não")</f>
        <v>Sim</v>
      </c>
      <c r="O5381" t="str">
        <f>IFERROR(INDEX(tEditais[SRP],MATCH(tItens[[#This Row],[Edital]],tEditais[Edital],0)),"Não")</f>
        <v>Sim</v>
      </c>
      <c r="P5381" s="4">
        <f>IF(COUNTIFS(INDEX(tItens[Edital],1):tItens[[#This Row],[Edital]],tItens[[#This Row],[Edital]],INDEX(tItens[Produto],1):tItens[[#This Row],[Produto]],tItens[[#This Row],[Produto]])=1,1,0)</f>
        <v>0</v>
      </c>
    </row>
    <row r="5382" spans="1:16" x14ac:dyDescent="0.25">
      <c r="A5382" t="s">
        <v>2024</v>
      </c>
      <c r="B5382">
        <v>254</v>
      </c>
      <c r="C5382" t="s">
        <v>8177</v>
      </c>
      <c r="D5382" t="s">
        <v>170</v>
      </c>
      <c r="E5382" s="13">
        <v>200</v>
      </c>
      <c r="F5382" s="12">
        <v>16.61</v>
      </c>
      <c r="G5382" t="str">
        <f>IFERROR(INDEX(tEditais[Órgão],MATCH(tItens[[#This Row],[Edital]],tEditais[Edital],0)),"")</f>
        <v>MUNICIPIO DE IBAITI</v>
      </c>
      <c r="H5382" t="str">
        <f>IFERROR(INDEX(tEditais[UF],MATCH(tItens[[#This Row],[Edital]],tEditais[Edital],0)),"")</f>
        <v>PR</v>
      </c>
      <c r="I5382" s="11">
        <f>IFERROR(INDEX(tEditais[Encerramento],MATCH(tItens[[#This Row],[Edital]],tEditais[Edital],0)),"")</f>
        <v>46308.375</v>
      </c>
      <c r="J5382" t="str">
        <f>IFERROR(INDEX(tProdutos[Classe],MATCH(tItens[[#This Row],[Produto]],tProdutos[Produto],0)),"produto não cadastrado")</f>
        <v>DISPUTADO</v>
      </c>
      <c r="K5382" s="12">
        <f>tItens[[#This Row],[Qtd]]*tItens[[#This Row],[Vlr unit]]</f>
        <v>3322</v>
      </c>
      <c r="L5382" s="6">
        <f>IFERROR(IF(INDEX(tProdutos[Desconto homologado],MATCH(tItens[[#This Row],[Produto]],tProdutos[Produto],0))="",DescontoPadrao,INDEX(tProdutos[Desconto homologado],MATCH(tItens[[#This Row],[Produto]],tProdutos[Produto],0))),DescontoPadrao)</f>
        <v>0.36</v>
      </c>
      <c r="M5382" s="12">
        <f>tItens[[#This Row],[Valor]]*(1-tItens[[#This Row],[Desconto]])</f>
        <v>2126.08</v>
      </c>
      <c r="N5382" t="str">
        <f>IFERROR(INDEX(tProdutos[Foco],MATCH(tItens[[#This Row],[Produto]],tProdutos[Produto],0)),"Não")</f>
        <v>Sim</v>
      </c>
      <c r="O5382" t="str">
        <f>IFERROR(INDEX(tEditais[SRP],MATCH(tItens[[#This Row],[Edital]],tEditais[Edital],0)),"Não")</f>
        <v>Sim</v>
      </c>
      <c r="P5382" s="4">
        <f>IF(COUNTIFS(INDEX(tItens[Edital],1):tItens[[#This Row],[Edital]],tItens[[#This Row],[Edital]],INDEX(tItens[Produto],1):tItens[[#This Row],[Produto]],tItens[[#This Row],[Produto]])=1,1,0)</f>
        <v>0</v>
      </c>
    </row>
    <row r="5383" spans="1:16" x14ac:dyDescent="0.25">
      <c r="A5383" t="s">
        <v>2024</v>
      </c>
      <c r="B5383">
        <v>255</v>
      </c>
      <c r="C5383" t="s">
        <v>8178</v>
      </c>
      <c r="D5383" t="s">
        <v>170</v>
      </c>
      <c r="E5383" s="13">
        <v>200</v>
      </c>
      <c r="F5383" s="12">
        <v>28.66</v>
      </c>
      <c r="G5383" t="str">
        <f>IFERROR(INDEX(tEditais[Órgão],MATCH(tItens[[#This Row],[Edital]],tEditais[Edital],0)),"")</f>
        <v>MUNICIPIO DE IBAITI</v>
      </c>
      <c r="H5383" t="str">
        <f>IFERROR(INDEX(tEditais[UF],MATCH(tItens[[#This Row],[Edital]],tEditais[Edital],0)),"")</f>
        <v>PR</v>
      </c>
      <c r="I5383" s="11">
        <f>IFERROR(INDEX(tEditais[Encerramento],MATCH(tItens[[#This Row],[Edital]],tEditais[Edital],0)),"")</f>
        <v>46308.375</v>
      </c>
      <c r="J5383" t="str">
        <f>IFERROR(INDEX(tProdutos[Classe],MATCH(tItens[[#This Row],[Produto]],tProdutos[Produto],0)),"produto não cadastrado")</f>
        <v>DISPUTADO</v>
      </c>
      <c r="K5383" s="12">
        <f>tItens[[#This Row],[Qtd]]*tItens[[#This Row],[Vlr unit]]</f>
        <v>5732</v>
      </c>
      <c r="L5383" s="6">
        <f>IFERROR(IF(INDEX(tProdutos[Desconto homologado],MATCH(tItens[[#This Row],[Produto]],tProdutos[Produto],0))="",DescontoPadrao,INDEX(tProdutos[Desconto homologado],MATCH(tItens[[#This Row],[Produto]],tProdutos[Produto],0))),DescontoPadrao)</f>
        <v>0.36</v>
      </c>
      <c r="M5383" s="12">
        <f>tItens[[#This Row],[Valor]]*(1-tItens[[#This Row],[Desconto]])</f>
        <v>3668.48</v>
      </c>
      <c r="N5383" t="str">
        <f>IFERROR(INDEX(tProdutos[Foco],MATCH(tItens[[#This Row],[Produto]],tProdutos[Produto],0)),"Não")</f>
        <v>Sim</v>
      </c>
      <c r="O5383" t="str">
        <f>IFERROR(INDEX(tEditais[SRP],MATCH(tItens[[#This Row],[Edital]],tEditais[Edital],0)),"Não")</f>
        <v>Sim</v>
      </c>
      <c r="P5383" s="4">
        <f>IF(COUNTIFS(INDEX(tItens[Edital],1):tItens[[#This Row],[Edital]],tItens[[#This Row],[Edital]],INDEX(tItens[Produto],1):tItens[[#This Row],[Produto]],tItens[[#This Row],[Produto]])=1,1,0)</f>
        <v>0</v>
      </c>
    </row>
    <row r="5384" spans="1:16" x14ac:dyDescent="0.25">
      <c r="A5384" t="s">
        <v>2024</v>
      </c>
      <c r="B5384">
        <v>256</v>
      </c>
      <c r="C5384" t="s">
        <v>8179</v>
      </c>
      <c r="D5384" t="s">
        <v>170</v>
      </c>
      <c r="E5384" s="13">
        <v>200</v>
      </c>
      <c r="F5384" s="12">
        <v>27.47</v>
      </c>
      <c r="G5384" t="str">
        <f>IFERROR(INDEX(tEditais[Órgão],MATCH(tItens[[#This Row],[Edital]],tEditais[Edital],0)),"")</f>
        <v>MUNICIPIO DE IBAITI</v>
      </c>
      <c r="H5384" t="str">
        <f>IFERROR(INDEX(tEditais[UF],MATCH(tItens[[#This Row],[Edital]],tEditais[Edital],0)),"")</f>
        <v>PR</v>
      </c>
      <c r="I5384" s="11">
        <f>IFERROR(INDEX(tEditais[Encerramento],MATCH(tItens[[#This Row],[Edital]],tEditais[Edital],0)),"")</f>
        <v>46308.375</v>
      </c>
      <c r="J5384" t="str">
        <f>IFERROR(INDEX(tProdutos[Classe],MATCH(tItens[[#This Row],[Produto]],tProdutos[Produto],0)),"produto não cadastrado")</f>
        <v>DISPUTADO</v>
      </c>
      <c r="K5384" s="12">
        <f>tItens[[#This Row],[Qtd]]*tItens[[#This Row],[Vlr unit]]</f>
        <v>5494</v>
      </c>
      <c r="L5384" s="6">
        <f>IFERROR(IF(INDEX(tProdutos[Desconto homologado],MATCH(tItens[[#This Row],[Produto]],tProdutos[Produto],0))="",DescontoPadrao,INDEX(tProdutos[Desconto homologado],MATCH(tItens[[#This Row],[Produto]],tProdutos[Produto],0))),DescontoPadrao)</f>
        <v>0.36</v>
      </c>
      <c r="M5384" s="12">
        <f>tItens[[#This Row],[Valor]]*(1-tItens[[#This Row],[Desconto]])</f>
        <v>3516.16</v>
      </c>
      <c r="N5384" t="str">
        <f>IFERROR(INDEX(tProdutos[Foco],MATCH(tItens[[#This Row],[Produto]],tProdutos[Produto],0)),"Não")</f>
        <v>Sim</v>
      </c>
      <c r="O5384" t="str">
        <f>IFERROR(INDEX(tEditais[SRP],MATCH(tItens[[#This Row],[Edital]],tEditais[Edital],0)),"Não")</f>
        <v>Sim</v>
      </c>
      <c r="P5384" s="4">
        <f>IF(COUNTIFS(INDEX(tItens[Edital],1):tItens[[#This Row],[Edital]],tItens[[#This Row],[Edital]],INDEX(tItens[Produto],1):tItens[[#This Row],[Produto]],tItens[[#This Row],[Produto]])=1,1,0)</f>
        <v>0</v>
      </c>
    </row>
    <row r="5385" spans="1:16" x14ac:dyDescent="0.25">
      <c r="A5385" t="s">
        <v>2024</v>
      </c>
      <c r="B5385">
        <v>257</v>
      </c>
      <c r="C5385" t="s">
        <v>8180</v>
      </c>
      <c r="D5385" t="s">
        <v>403</v>
      </c>
      <c r="E5385" s="13">
        <v>1000</v>
      </c>
      <c r="F5385" s="12">
        <v>0.97</v>
      </c>
      <c r="G5385" t="str">
        <f>IFERROR(INDEX(tEditais[Órgão],MATCH(tItens[[#This Row],[Edital]],tEditais[Edital],0)),"")</f>
        <v>MUNICIPIO DE IBAITI</v>
      </c>
      <c r="H5385" t="str">
        <f>IFERROR(INDEX(tEditais[UF],MATCH(tItens[[#This Row],[Edital]],tEditais[Edital],0)),"")</f>
        <v>PR</v>
      </c>
      <c r="I5385" s="11">
        <f>IFERROR(INDEX(tEditais[Encerramento],MATCH(tItens[[#This Row],[Edital]],tEditais[Edital],0)),"")</f>
        <v>46308.375</v>
      </c>
      <c r="J5385" t="str">
        <f>IFERROR(INDEX(tProdutos[Classe],MATCH(tItens[[#This Row],[Produto]],tProdutos[Produto],0)),"produto não cadastrado")</f>
        <v>FORA</v>
      </c>
      <c r="K5385" s="12">
        <f>tItens[[#This Row],[Qtd]]*tItens[[#This Row],[Vlr unit]]</f>
        <v>970</v>
      </c>
      <c r="L5385" s="6">
        <f>IFERROR(IF(INDEX(tProdutos[Desconto homologado],MATCH(tItens[[#This Row],[Produto]],tProdutos[Produto],0))="",DescontoPadrao,INDEX(tProdutos[Desconto homologado],MATCH(tItens[[#This Row],[Produto]],tProdutos[Produto],0))),DescontoPadrao)</f>
        <v>0.35326086956521702</v>
      </c>
      <c r="M5385" s="12">
        <f>tItens[[#This Row],[Valor]]*(1-tItens[[#This Row],[Desconto]])</f>
        <v>627.33695652173947</v>
      </c>
      <c r="N5385" t="str">
        <f>IFERROR(INDEX(tProdutos[Foco],MATCH(tItens[[#This Row],[Produto]],tProdutos[Produto],0)),"Não")</f>
        <v>Não</v>
      </c>
      <c r="O5385" t="str">
        <f>IFERROR(INDEX(tEditais[SRP],MATCH(tItens[[#This Row],[Edital]],tEditais[Edital],0)),"Não")</f>
        <v>Sim</v>
      </c>
      <c r="P5385" s="4">
        <f>IF(COUNTIFS(INDEX(tItens[Edital],1):tItens[[#This Row],[Edital]],tItens[[#This Row],[Edital]],INDEX(tItens[Produto],1):tItens[[#This Row],[Produto]],tItens[[#This Row],[Produto]])=1,1,0)</f>
        <v>1</v>
      </c>
    </row>
    <row r="5386" spans="1:16" x14ac:dyDescent="0.25">
      <c r="A5386" t="s">
        <v>2024</v>
      </c>
      <c r="B5386">
        <v>264</v>
      </c>
      <c r="C5386" t="s">
        <v>8181</v>
      </c>
      <c r="D5386" t="s">
        <v>670</v>
      </c>
      <c r="E5386" s="13">
        <v>45</v>
      </c>
      <c r="F5386" s="12">
        <v>117.66</v>
      </c>
      <c r="G5386" t="str">
        <f>IFERROR(INDEX(tEditais[Órgão],MATCH(tItens[[#This Row],[Edital]],tEditais[Edital],0)),"")</f>
        <v>MUNICIPIO DE IBAITI</v>
      </c>
      <c r="H5386" t="str">
        <f>IFERROR(INDEX(tEditais[UF],MATCH(tItens[[#This Row],[Edital]],tEditais[Edital],0)),"")</f>
        <v>PR</v>
      </c>
      <c r="I5386" s="11">
        <f>IFERROR(INDEX(tEditais[Encerramento],MATCH(tItens[[#This Row],[Edital]],tEditais[Edital],0)),"")</f>
        <v>46308.375</v>
      </c>
      <c r="J5386" t="str">
        <f>IFERROR(INDEX(tProdutos[Classe],MATCH(tItens[[#This Row],[Produto]],tProdutos[Produto],0)),"produto não cadastrado")</f>
        <v>FILA REBASE</v>
      </c>
      <c r="K5386" s="12">
        <f>tItens[[#This Row],[Qtd]]*tItens[[#This Row],[Vlr unit]]</f>
        <v>5294.7</v>
      </c>
      <c r="L5386" s="6">
        <f>IFERROR(IF(INDEX(tProdutos[Desconto homologado],MATCH(tItens[[#This Row],[Produto]],tProdutos[Produto],0))="",DescontoPadrao,INDEX(tProdutos[Desconto homologado],MATCH(tItens[[#This Row],[Produto]],tProdutos[Produto],0))),DescontoPadrao)</f>
        <v>0.53825503355704696</v>
      </c>
      <c r="M5386" s="12">
        <f>tItens[[#This Row],[Valor]]*(1-tItens[[#This Row],[Desconto]])</f>
        <v>2444.8010738255034</v>
      </c>
      <c r="N5386" t="str">
        <f>IFERROR(INDEX(tProdutos[Foco],MATCH(tItens[[#This Row],[Produto]],tProdutos[Produto],0)),"Não")</f>
        <v>Não</v>
      </c>
      <c r="O5386" t="str">
        <f>IFERROR(INDEX(tEditais[SRP],MATCH(tItens[[#This Row],[Edital]],tEditais[Edital],0)),"Não")</f>
        <v>Sim</v>
      </c>
      <c r="P5386" s="4">
        <f>IF(COUNTIFS(INDEX(tItens[Edital],1):tItens[[#This Row],[Edital]],tItens[[#This Row],[Edital]],INDEX(tItens[Produto],1):tItens[[#This Row],[Produto]],tItens[[#This Row],[Produto]])=1,1,0)</f>
        <v>1</v>
      </c>
    </row>
    <row r="5387" spans="1:16" x14ac:dyDescent="0.25">
      <c r="A5387" t="s">
        <v>2024</v>
      </c>
      <c r="B5387">
        <v>265</v>
      </c>
      <c r="C5387" t="s">
        <v>8119</v>
      </c>
      <c r="D5387" t="s">
        <v>494</v>
      </c>
      <c r="E5387" s="13">
        <v>1640</v>
      </c>
      <c r="F5387" s="12">
        <v>47.7</v>
      </c>
      <c r="G5387" t="str">
        <f>IFERROR(INDEX(tEditais[Órgão],MATCH(tItens[[#This Row],[Edital]],tEditais[Edital],0)),"")</f>
        <v>MUNICIPIO DE IBAITI</v>
      </c>
      <c r="H5387" t="str">
        <f>IFERROR(INDEX(tEditais[UF],MATCH(tItens[[#This Row],[Edital]],tEditais[Edital],0)),"")</f>
        <v>PR</v>
      </c>
      <c r="I5387" s="11">
        <f>IFERROR(INDEX(tEditais[Encerramento],MATCH(tItens[[#This Row],[Edital]],tEditais[Edital],0)),"")</f>
        <v>46308.375</v>
      </c>
      <c r="J5387" t="str">
        <f>IFERROR(INDEX(tProdutos[Classe],MATCH(tItens[[#This Row],[Produto]],tProdutos[Produto],0)),"produto não cadastrado")</f>
        <v>FILA REBASE</v>
      </c>
      <c r="K5387" s="12">
        <f>tItens[[#This Row],[Qtd]]*tItens[[#This Row],[Vlr unit]]</f>
        <v>78228</v>
      </c>
      <c r="L5387" s="6">
        <f>IFERROR(IF(INDEX(tProdutos[Desconto homologado],MATCH(tItens[[#This Row],[Produto]],tProdutos[Produto],0))="",DescontoPadrao,INDEX(tProdutos[Desconto homologado],MATCH(tItens[[#This Row],[Produto]],tProdutos[Produto],0))),DescontoPadrao)</f>
        <v>0.253736324829619</v>
      </c>
      <c r="M5387" s="12">
        <f>tItens[[#This Row],[Valor]]*(1-tItens[[#This Row],[Desconto]])</f>
        <v>58378.714781228569</v>
      </c>
      <c r="N5387" t="str">
        <f>IFERROR(INDEX(tProdutos[Foco],MATCH(tItens[[#This Row],[Produto]],tProdutos[Produto],0)),"Não")</f>
        <v>Não</v>
      </c>
      <c r="O5387" t="str">
        <f>IFERROR(INDEX(tEditais[SRP],MATCH(tItens[[#This Row],[Edital]],tEditais[Edital],0)),"Não")</f>
        <v>Sim</v>
      </c>
      <c r="P5387" s="4">
        <f>IF(COUNTIFS(INDEX(tItens[Edital],1):tItens[[#This Row],[Edital]],tItens[[#This Row],[Edital]],INDEX(tItens[Produto],1):tItens[[#This Row],[Produto]],tItens[[#This Row],[Produto]])=1,1,0)</f>
        <v>0</v>
      </c>
    </row>
    <row r="5388" spans="1:16" x14ac:dyDescent="0.25">
      <c r="A5388" t="s">
        <v>2024</v>
      </c>
      <c r="B5388">
        <v>266</v>
      </c>
      <c r="C5388" t="s">
        <v>8120</v>
      </c>
      <c r="D5388" t="s">
        <v>494</v>
      </c>
      <c r="E5388" s="13">
        <v>568</v>
      </c>
      <c r="F5388" s="12">
        <v>94.15</v>
      </c>
      <c r="G5388" t="str">
        <f>IFERROR(INDEX(tEditais[Órgão],MATCH(tItens[[#This Row],[Edital]],tEditais[Edital],0)),"")</f>
        <v>MUNICIPIO DE IBAITI</v>
      </c>
      <c r="H5388" t="str">
        <f>IFERROR(INDEX(tEditais[UF],MATCH(tItens[[#This Row],[Edital]],tEditais[Edital],0)),"")</f>
        <v>PR</v>
      </c>
      <c r="I5388" s="11">
        <f>IFERROR(INDEX(tEditais[Encerramento],MATCH(tItens[[#This Row],[Edital]],tEditais[Edital],0)),"")</f>
        <v>46308.375</v>
      </c>
      <c r="J5388" t="str">
        <f>IFERROR(INDEX(tProdutos[Classe],MATCH(tItens[[#This Row],[Produto]],tProdutos[Produto],0)),"produto não cadastrado")</f>
        <v>FILA REBASE</v>
      </c>
      <c r="K5388" s="12">
        <f>tItens[[#This Row],[Qtd]]*tItens[[#This Row],[Vlr unit]]</f>
        <v>53477.200000000004</v>
      </c>
      <c r="L5388" s="6">
        <f>IFERROR(IF(INDEX(tProdutos[Desconto homologado],MATCH(tItens[[#This Row],[Produto]],tProdutos[Produto],0))="",DescontoPadrao,INDEX(tProdutos[Desconto homologado],MATCH(tItens[[#This Row],[Produto]],tProdutos[Produto],0))),DescontoPadrao)</f>
        <v>0.253736324829619</v>
      </c>
      <c r="M5388" s="12">
        <f>tItens[[#This Row],[Valor]]*(1-tItens[[#This Row],[Desconto]])</f>
        <v>39908.091809821504</v>
      </c>
      <c r="N5388" t="str">
        <f>IFERROR(INDEX(tProdutos[Foco],MATCH(tItens[[#This Row],[Produto]],tProdutos[Produto],0)),"Não")</f>
        <v>Não</v>
      </c>
      <c r="O5388" t="str">
        <f>IFERROR(INDEX(tEditais[SRP],MATCH(tItens[[#This Row],[Edital]],tEditais[Edital],0)),"Não")</f>
        <v>Sim</v>
      </c>
      <c r="P5388" s="4">
        <f>IF(COUNTIFS(INDEX(tItens[Edital],1):tItens[[#This Row],[Edital]],tItens[[#This Row],[Edital]],INDEX(tItens[Produto],1):tItens[[#This Row],[Produto]],tItens[[#This Row],[Produto]])=1,1,0)</f>
        <v>0</v>
      </c>
    </row>
    <row r="5389" spans="1:16" x14ac:dyDescent="0.25">
      <c r="A5389" t="s">
        <v>2024</v>
      </c>
      <c r="B5389">
        <v>269</v>
      </c>
      <c r="C5389" t="s">
        <v>8182</v>
      </c>
      <c r="D5389" t="s">
        <v>479</v>
      </c>
      <c r="E5389" s="13">
        <v>200</v>
      </c>
      <c r="F5389" s="12">
        <v>28.48</v>
      </c>
      <c r="G5389" t="str">
        <f>IFERROR(INDEX(tEditais[Órgão],MATCH(tItens[[#This Row],[Edital]],tEditais[Edital],0)),"")</f>
        <v>MUNICIPIO DE IBAITI</v>
      </c>
      <c r="H5389" t="str">
        <f>IFERROR(INDEX(tEditais[UF],MATCH(tItens[[#This Row],[Edital]],tEditais[Edital],0)),"")</f>
        <v>PR</v>
      </c>
      <c r="I5389" s="11">
        <f>IFERROR(INDEX(tEditais[Encerramento],MATCH(tItens[[#This Row],[Edital]],tEditais[Edital],0)),"")</f>
        <v>46308.375</v>
      </c>
      <c r="J5389" t="str">
        <f>IFERROR(INDEX(tProdutos[Classe],MATCH(tItens[[#This Row],[Produto]],tProdutos[Produto],0)),"produto não cadastrado")</f>
        <v>FILA REBASE</v>
      </c>
      <c r="K5389" s="12">
        <f>tItens[[#This Row],[Qtd]]*tItens[[#This Row],[Vlr unit]]</f>
        <v>5696</v>
      </c>
      <c r="L5389" s="6">
        <f>IFERROR(IF(INDEX(tProdutos[Desconto homologado],MATCH(tItens[[#This Row],[Produto]],tProdutos[Produto],0))="",DescontoPadrao,INDEX(tProdutos[Desconto homologado],MATCH(tItens[[#This Row],[Produto]],tProdutos[Produto],0))),DescontoPadrao)</f>
        <v>0.41266209000762799</v>
      </c>
      <c r="M5389" s="12">
        <f>tItens[[#This Row],[Valor]]*(1-tItens[[#This Row],[Desconto]])</f>
        <v>3345.4767353165512</v>
      </c>
      <c r="N5389" t="str">
        <f>IFERROR(INDEX(tProdutos[Foco],MATCH(tItens[[#This Row],[Produto]],tProdutos[Produto],0)),"Não")</f>
        <v>Não</v>
      </c>
      <c r="O5389" t="str">
        <f>IFERROR(INDEX(tEditais[SRP],MATCH(tItens[[#This Row],[Edital]],tEditais[Edital],0)),"Não")</f>
        <v>Sim</v>
      </c>
      <c r="P5389" s="4">
        <f>IF(COUNTIFS(INDEX(tItens[Edital],1):tItens[[#This Row],[Edital]],tItens[[#This Row],[Edital]],INDEX(tItens[Produto],1):tItens[[#This Row],[Produto]],tItens[[#This Row],[Produto]])=1,1,0)</f>
        <v>1</v>
      </c>
    </row>
    <row r="5390" spans="1:16" x14ac:dyDescent="0.25">
      <c r="A5390" t="s">
        <v>2024</v>
      </c>
      <c r="B5390">
        <v>270</v>
      </c>
      <c r="C5390" t="s">
        <v>8183</v>
      </c>
      <c r="D5390" t="s">
        <v>479</v>
      </c>
      <c r="E5390" s="13">
        <v>200</v>
      </c>
      <c r="F5390" s="12">
        <v>26.15</v>
      </c>
      <c r="G5390" t="str">
        <f>IFERROR(INDEX(tEditais[Órgão],MATCH(tItens[[#This Row],[Edital]],tEditais[Edital],0)),"")</f>
        <v>MUNICIPIO DE IBAITI</v>
      </c>
      <c r="H5390" t="str">
        <f>IFERROR(INDEX(tEditais[UF],MATCH(tItens[[#This Row],[Edital]],tEditais[Edital],0)),"")</f>
        <v>PR</v>
      </c>
      <c r="I5390" s="11">
        <f>IFERROR(INDEX(tEditais[Encerramento],MATCH(tItens[[#This Row],[Edital]],tEditais[Edital],0)),"")</f>
        <v>46308.375</v>
      </c>
      <c r="J5390" t="str">
        <f>IFERROR(INDEX(tProdutos[Classe],MATCH(tItens[[#This Row],[Produto]],tProdutos[Produto],0)),"produto não cadastrado")</f>
        <v>FILA REBASE</v>
      </c>
      <c r="K5390" s="12">
        <f>tItens[[#This Row],[Qtd]]*tItens[[#This Row],[Vlr unit]]</f>
        <v>5230</v>
      </c>
      <c r="L5390" s="6">
        <f>IFERROR(IF(INDEX(tProdutos[Desconto homologado],MATCH(tItens[[#This Row],[Produto]],tProdutos[Produto],0))="",DescontoPadrao,INDEX(tProdutos[Desconto homologado],MATCH(tItens[[#This Row],[Produto]],tProdutos[Produto],0))),DescontoPadrao)</f>
        <v>0.41266209000762799</v>
      </c>
      <c r="M5390" s="12">
        <f>tItens[[#This Row],[Valor]]*(1-tItens[[#This Row],[Desconto]])</f>
        <v>3071.7772692601056</v>
      </c>
      <c r="N5390" t="str">
        <f>IFERROR(INDEX(tProdutos[Foco],MATCH(tItens[[#This Row],[Produto]],tProdutos[Produto],0)),"Não")</f>
        <v>Não</v>
      </c>
      <c r="O5390" t="str">
        <f>IFERROR(INDEX(tEditais[SRP],MATCH(tItens[[#This Row],[Edital]],tEditais[Edital],0)),"Não")</f>
        <v>Sim</v>
      </c>
      <c r="P5390" s="4">
        <f>IF(COUNTIFS(INDEX(tItens[Edital],1):tItens[[#This Row],[Edital]],tItens[[#This Row],[Edital]],INDEX(tItens[Produto],1):tItens[[#This Row],[Produto]],tItens[[#This Row],[Produto]])=1,1,0)</f>
        <v>0</v>
      </c>
    </row>
    <row r="5391" spans="1:16" x14ac:dyDescent="0.25">
      <c r="A5391" t="s">
        <v>2024</v>
      </c>
      <c r="B5391">
        <v>271</v>
      </c>
      <c r="C5391" t="s">
        <v>8184</v>
      </c>
      <c r="D5391" t="s">
        <v>479</v>
      </c>
      <c r="E5391" s="13">
        <v>250</v>
      </c>
      <c r="F5391" s="12">
        <v>26.5</v>
      </c>
      <c r="G5391" t="str">
        <f>IFERROR(INDEX(tEditais[Órgão],MATCH(tItens[[#This Row],[Edital]],tEditais[Edital],0)),"")</f>
        <v>MUNICIPIO DE IBAITI</v>
      </c>
      <c r="H5391" t="str">
        <f>IFERROR(INDEX(tEditais[UF],MATCH(tItens[[#This Row],[Edital]],tEditais[Edital],0)),"")</f>
        <v>PR</v>
      </c>
      <c r="I5391" s="11">
        <f>IFERROR(INDEX(tEditais[Encerramento],MATCH(tItens[[#This Row],[Edital]],tEditais[Edital],0)),"")</f>
        <v>46308.375</v>
      </c>
      <c r="J5391" t="str">
        <f>IFERROR(INDEX(tProdutos[Classe],MATCH(tItens[[#This Row],[Produto]],tProdutos[Produto],0)),"produto não cadastrado")</f>
        <v>FILA REBASE</v>
      </c>
      <c r="K5391" s="12">
        <f>tItens[[#This Row],[Qtd]]*tItens[[#This Row],[Vlr unit]]</f>
        <v>6625</v>
      </c>
      <c r="L5391" s="6">
        <f>IFERROR(IF(INDEX(tProdutos[Desconto homologado],MATCH(tItens[[#This Row],[Produto]],tProdutos[Produto],0))="",DescontoPadrao,INDEX(tProdutos[Desconto homologado],MATCH(tItens[[#This Row],[Produto]],tProdutos[Produto],0))),DescontoPadrao)</f>
        <v>0.41266209000762799</v>
      </c>
      <c r="M5391" s="12">
        <f>tItens[[#This Row],[Valor]]*(1-tItens[[#This Row],[Desconto]])</f>
        <v>3891.1136536994645</v>
      </c>
      <c r="N5391" t="str">
        <f>IFERROR(INDEX(tProdutos[Foco],MATCH(tItens[[#This Row],[Produto]],tProdutos[Produto],0)),"Não")</f>
        <v>Não</v>
      </c>
      <c r="O5391" t="str">
        <f>IFERROR(INDEX(tEditais[SRP],MATCH(tItens[[#This Row],[Edital]],tEditais[Edital],0)),"Não")</f>
        <v>Sim</v>
      </c>
      <c r="P5391" s="4">
        <f>IF(COUNTIFS(INDEX(tItens[Edital],1):tItens[[#This Row],[Edital]],tItens[[#This Row],[Edital]],INDEX(tItens[Produto],1):tItens[[#This Row],[Produto]],tItens[[#This Row],[Produto]])=1,1,0)</f>
        <v>0</v>
      </c>
    </row>
    <row r="5392" spans="1:16" x14ac:dyDescent="0.25">
      <c r="A5392" t="s">
        <v>2024</v>
      </c>
      <c r="B5392">
        <v>272</v>
      </c>
      <c r="C5392" t="s">
        <v>8185</v>
      </c>
      <c r="D5392" t="s">
        <v>479</v>
      </c>
      <c r="E5392" s="13">
        <v>250</v>
      </c>
      <c r="F5392" s="12">
        <v>28.01</v>
      </c>
      <c r="G5392" t="str">
        <f>IFERROR(INDEX(tEditais[Órgão],MATCH(tItens[[#This Row],[Edital]],tEditais[Edital],0)),"")</f>
        <v>MUNICIPIO DE IBAITI</v>
      </c>
      <c r="H5392" t="str">
        <f>IFERROR(INDEX(tEditais[UF],MATCH(tItens[[#This Row],[Edital]],tEditais[Edital],0)),"")</f>
        <v>PR</v>
      </c>
      <c r="I5392" s="11">
        <f>IFERROR(INDEX(tEditais[Encerramento],MATCH(tItens[[#This Row],[Edital]],tEditais[Edital],0)),"")</f>
        <v>46308.375</v>
      </c>
      <c r="J5392" t="str">
        <f>IFERROR(INDEX(tProdutos[Classe],MATCH(tItens[[#This Row],[Produto]],tProdutos[Produto],0)),"produto não cadastrado")</f>
        <v>FILA REBASE</v>
      </c>
      <c r="K5392" s="12">
        <f>tItens[[#This Row],[Qtd]]*tItens[[#This Row],[Vlr unit]]</f>
        <v>7002.5</v>
      </c>
      <c r="L5392" s="6">
        <f>IFERROR(IF(INDEX(tProdutos[Desconto homologado],MATCH(tItens[[#This Row],[Produto]],tProdutos[Produto],0))="",DescontoPadrao,INDEX(tProdutos[Desconto homologado],MATCH(tItens[[#This Row],[Produto]],tProdutos[Produto],0))),DescontoPadrao)</f>
        <v>0.41266209000762799</v>
      </c>
      <c r="M5392" s="12">
        <f>tItens[[#This Row],[Valor]]*(1-tItens[[#This Row],[Desconto]])</f>
        <v>4112.8337147215852</v>
      </c>
      <c r="N5392" t="str">
        <f>IFERROR(INDEX(tProdutos[Foco],MATCH(tItens[[#This Row],[Produto]],tProdutos[Produto],0)),"Não")</f>
        <v>Não</v>
      </c>
      <c r="O5392" t="str">
        <f>IFERROR(INDEX(tEditais[SRP],MATCH(tItens[[#This Row],[Edital]],tEditais[Edital],0)),"Não")</f>
        <v>Sim</v>
      </c>
      <c r="P5392" s="4">
        <f>IF(COUNTIFS(INDEX(tItens[Edital],1):tItens[[#This Row],[Edital]],tItens[[#This Row],[Edital]],INDEX(tItens[Produto],1):tItens[[#This Row],[Produto]],tItens[[#This Row],[Produto]])=1,1,0)</f>
        <v>0</v>
      </c>
    </row>
    <row r="5393" spans="1:16" x14ac:dyDescent="0.25">
      <c r="A5393" t="s">
        <v>2024</v>
      </c>
      <c r="B5393">
        <v>282</v>
      </c>
      <c r="C5393" t="s">
        <v>8186</v>
      </c>
      <c r="D5393" t="s">
        <v>327</v>
      </c>
      <c r="E5393" s="13">
        <v>150</v>
      </c>
      <c r="F5393" s="12">
        <v>14.56</v>
      </c>
      <c r="G5393" t="str">
        <f>IFERROR(INDEX(tEditais[Órgão],MATCH(tItens[[#This Row],[Edital]],tEditais[Edital],0)),"")</f>
        <v>MUNICIPIO DE IBAITI</v>
      </c>
      <c r="H5393" t="str">
        <f>IFERROR(INDEX(tEditais[UF],MATCH(tItens[[#This Row],[Edital]],tEditais[Edital],0)),"")</f>
        <v>PR</v>
      </c>
      <c r="I5393" s="11">
        <f>IFERROR(INDEX(tEditais[Encerramento],MATCH(tItens[[#This Row],[Edital]],tEditais[Edital],0)),"")</f>
        <v>46308.375</v>
      </c>
      <c r="J5393" t="str">
        <f>IFERROR(INDEX(tProdutos[Classe],MATCH(tItens[[#This Row],[Produto]],tProdutos[Produto],0)),"produto não cadastrado")</f>
        <v>FORA</v>
      </c>
      <c r="K5393" s="12">
        <f>tItens[[#This Row],[Qtd]]*tItens[[#This Row],[Vlr unit]]</f>
        <v>2184</v>
      </c>
      <c r="L5393" s="6">
        <f>IFERROR(IF(INDEX(tProdutos[Desconto homologado],MATCH(tItens[[#This Row],[Produto]],tProdutos[Produto],0))="",DescontoPadrao,INDEX(tProdutos[Desconto homologado],MATCH(tItens[[#This Row],[Produto]],tProdutos[Produto],0))),DescontoPadrao)</f>
        <v>0.49969483918783197</v>
      </c>
      <c r="M5393" s="12">
        <f>tItens[[#This Row],[Valor]]*(1-tItens[[#This Row],[Desconto]])</f>
        <v>1092.6664712137749</v>
      </c>
      <c r="N5393" t="str">
        <f>IFERROR(INDEX(tProdutos[Foco],MATCH(tItens[[#This Row],[Produto]],tProdutos[Produto],0)),"Não")</f>
        <v>Não</v>
      </c>
      <c r="O5393" t="str">
        <f>IFERROR(INDEX(tEditais[SRP],MATCH(tItens[[#This Row],[Edital]],tEditais[Edital],0)),"Não")</f>
        <v>Sim</v>
      </c>
      <c r="P5393" s="4">
        <f>IF(COUNTIFS(INDEX(tItens[Edital],1):tItens[[#This Row],[Edital]],tItens[[#This Row],[Edital]],INDEX(tItens[Produto],1):tItens[[#This Row],[Produto]],tItens[[#This Row],[Produto]])=1,1,0)</f>
        <v>1</v>
      </c>
    </row>
    <row r="5394" spans="1:16" x14ac:dyDescent="0.25">
      <c r="A5394" t="s">
        <v>2024</v>
      </c>
      <c r="B5394">
        <v>289</v>
      </c>
      <c r="C5394" t="s">
        <v>8187</v>
      </c>
      <c r="D5394" t="s">
        <v>289</v>
      </c>
      <c r="E5394" s="13">
        <v>85000</v>
      </c>
      <c r="F5394" s="12">
        <v>0.49</v>
      </c>
      <c r="G5394" t="str">
        <f>IFERROR(INDEX(tEditais[Órgão],MATCH(tItens[[#This Row],[Edital]],tEditais[Edital],0)),"")</f>
        <v>MUNICIPIO DE IBAITI</v>
      </c>
      <c r="H5394" t="str">
        <f>IFERROR(INDEX(tEditais[UF],MATCH(tItens[[#This Row],[Edital]],tEditais[Edital],0)),"")</f>
        <v>PR</v>
      </c>
      <c r="I5394" s="11">
        <f>IFERROR(INDEX(tEditais[Encerramento],MATCH(tItens[[#This Row],[Edital]],tEditais[Edital],0)),"")</f>
        <v>46308.375</v>
      </c>
      <c r="J5394" t="str">
        <f>IFERROR(INDEX(tProdutos[Classe],MATCH(tItens[[#This Row],[Produto]],tProdutos[Produto],0)),"produto não cadastrado")</f>
        <v>DISPUTADO</v>
      </c>
      <c r="K5394" s="12">
        <f>tItens[[#This Row],[Qtd]]*tItens[[#This Row],[Vlr unit]]</f>
        <v>41650</v>
      </c>
      <c r="L5394" s="6">
        <f>IFERROR(IF(INDEX(tProdutos[Desconto homologado],MATCH(tItens[[#This Row],[Produto]],tProdutos[Produto],0))="",DescontoPadrao,INDEX(tProdutos[Desconto homologado],MATCH(tItens[[#This Row],[Produto]],tProdutos[Produto],0))),DescontoPadrao)</f>
        <v>0.35849056603773599</v>
      </c>
      <c r="M5394" s="12">
        <f>tItens[[#This Row],[Valor]]*(1-tItens[[#This Row],[Desconto]])</f>
        <v>26718.867924528295</v>
      </c>
      <c r="N5394" t="str">
        <f>IFERROR(INDEX(tProdutos[Foco],MATCH(tItens[[#This Row],[Produto]],tProdutos[Produto],0)),"Não")</f>
        <v>Não</v>
      </c>
      <c r="O5394" t="str">
        <f>IFERROR(INDEX(tEditais[SRP],MATCH(tItens[[#This Row],[Edital]],tEditais[Edital],0)),"Não")</f>
        <v>Sim</v>
      </c>
      <c r="P5394" s="4">
        <f>IF(COUNTIFS(INDEX(tItens[Edital],1):tItens[[#This Row],[Edital]],tItens[[#This Row],[Edital]],INDEX(tItens[Produto],1):tItens[[#This Row],[Produto]],tItens[[#This Row],[Produto]])=1,1,0)</f>
        <v>1</v>
      </c>
    </row>
    <row r="5395" spans="1:16" x14ac:dyDescent="0.25">
      <c r="A5395" t="s">
        <v>2024</v>
      </c>
      <c r="B5395">
        <v>290</v>
      </c>
      <c r="C5395" t="s">
        <v>8188</v>
      </c>
      <c r="D5395" t="s">
        <v>275</v>
      </c>
      <c r="E5395" s="13">
        <v>50000</v>
      </c>
      <c r="F5395" s="12">
        <v>0.24</v>
      </c>
      <c r="G5395" t="str">
        <f>IFERROR(INDEX(tEditais[Órgão],MATCH(tItens[[#This Row],[Edital]],tEditais[Edital],0)),"")</f>
        <v>MUNICIPIO DE IBAITI</v>
      </c>
      <c r="H5395" t="str">
        <f>IFERROR(INDEX(tEditais[UF],MATCH(tItens[[#This Row],[Edital]],tEditais[Edital],0)),"")</f>
        <v>PR</v>
      </c>
      <c r="I5395" s="11">
        <f>IFERROR(INDEX(tEditais[Encerramento],MATCH(tItens[[#This Row],[Edital]],tEditais[Edital],0)),"")</f>
        <v>46308.375</v>
      </c>
      <c r="J5395" t="str">
        <f>IFERROR(INDEX(tProdutos[Classe],MATCH(tItens[[#This Row],[Produto]],tProdutos[Produto],0)),"produto não cadastrado")</f>
        <v>FORA</v>
      </c>
      <c r="K5395" s="12">
        <f>tItens[[#This Row],[Qtd]]*tItens[[#This Row],[Vlr unit]]</f>
        <v>12000</v>
      </c>
      <c r="L5395" s="6">
        <f>IFERROR(IF(INDEX(tProdutos[Desconto homologado],MATCH(tItens[[#This Row],[Produto]],tProdutos[Produto],0))="",DescontoPadrao,INDEX(tProdutos[Desconto homologado],MATCH(tItens[[#This Row],[Produto]],tProdutos[Produto],0))),DescontoPadrao)</f>
        <v>0.405797101449275</v>
      </c>
      <c r="M5395" s="12">
        <f>tItens[[#This Row],[Valor]]*(1-tItens[[#This Row],[Desconto]])</f>
        <v>7130.4347826087005</v>
      </c>
      <c r="N5395" t="str">
        <f>IFERROR(INDEX(tProdutos[Foco],MATCH(tItens[[#This Row],[Produto]],tProdutos[Produto],0)),"Não")</f>
        <v>Não</v>
      </c>
      <c r="O5395" t="str">
        <f>IFERROR(INDEX(tEditais[SRP],MATCH(tItens[[#This Row],[Edital]],tEditais[Edital],0)),"Não")</f>
        <v>Sim</v>
      </c>
      <c r="P5395" s="4">
        <f>IF(COUNTIFS(INDEX(tItens[Edital],1):tItens[[#This Row],[Edital]],tItens[[#This Row],[Edital]],INDEX(tItens[Produto],1):tItens[[#This Row],[Produto]],tItens[[#This Row],[Produto]])=1,1,0)</f>
        <v>1</v>
      </c>
    </row>
    <row r="5396" spans="1:16" x14ac:dyDescent="0.25">
      <c r="A5396" t="s">
        <v>2024</v>
      </c>
      <c r="B5396">
        <v>291</v>
      </c>
      <c r="C5396" t="s">
        <v>8189</v>
      </c>
      <c r="D5396" t="s">
        <v>281</v>
      </c>
      <c r="E5396" s="13">
        <v>75000</v>
      </c>
      <c r="F5396" s="12">
        <v>0.32</v>
      </c>
      <c r="G5396" t="str">
        <f>IFERROR(INDEX(tEditais[Órgão],MATCH(tItens[[#This Row],[Edital]],tEditais[Edital],0)),"")</f>
        <v>MUNICIPIO DE IBAITI</v>
      </c>
      <c r="H5396" t="str">
        <f>IFERROR(INDEX(tEditais[UF],MATCH(tItens[[#This Row],[Edital]],tEditais[Edital],0)),"")</f>
        <v>PR</v>
      </c>
      <c r="I5396" s="11">
        <f>IFERROR(INDEX(tEditais[Encerramento],MATCH(tItens[[#This Row],[Edital]],tEditais[Edital],0)),"")</f>
        <v>46308.375</v>
      </c>
      <c r="J5396" t="str">
        <f>IFERROR(INDEX(tProdutos[Classe],MATCH(tItens[[#This Row],[Produto]],tProdutos[Produto],0)),"produto não cadastrado")</f>
        <v>DISPUTADO</v>
      </c>
      <c r="K5396" s="12">
        <f>tItens[[#This Row],[Qtd]]*tItens[[#This Row],[Vlr unit]]</f>
        <v>24000</v>
      </c>
      <c r="L5396" s="6">
        <f>IFERROR(IF(INDEX(tProdutos[Desconto homologado],MATCH(tItens[[#This Row],[Produto]],tProdutos[Produto],0))="",DescontoPadrao,INDEX(tProdutos[Desconto homologado],MATCH(tItens[[#This Row],[Produto]],tProdutos[Produto],0))),DescontoPadrao)</f>
        <v>0.42461538461538501</v>
      </c>
      <c r="M5396" s="12">
        <f>tItens[[#This Row],[Valor]]*(1-tItens[[#This Row],[Desconto]])</f>
        <v>13809.230769230759</v>
      </c>
      <c r="N5396" t="str">
        <f>IFERROR(INDEX(tProdutos[Foco],MATCH(tItens[[#This Row],[Produto]],tProdutos[Produto],0)),"Não")</f>
        <v>Não</v>
      </c>
      <c r="O5396" t="str">
        <f>IFERROR(INDEX(tEditais[SRP],MATCH(tItens[[#This Row],[Edital]],tEditais[Edital],0)),"Não")</f>
        <v>Sim</v>
      </c>
      <c r="P5396" s="4">
        <f>IF(COUNTIFS(INDEX(tItens[Edital],1):tItens[[#This Row],[Edital]],tItens[[#This Row],[Edital]],INDEX(tItens[Produto],1):tItens[[#This Row],[Produto]],tItens[[#This Row],[Produto]])=1,1,0)</f>
        <v>1</v>
      </c>
    </row>
    <row r="5397" spans="1:16" x14ac:dyDescent="0.25">
      <c r="A5397" t="s">
        <v>2024</v>
      </c>
      <c r="B5397">
        <v>292</v>
      </c>
      <c r="C5397" t="s">
        <v>8190</v>
      </c>
      <c r="D5397" t="s">
        <v>265</v>
      </c>
      <c r="E5397" s="13">
        <v>65000</v>
      </c>
      <c r="F5397" s="12">
        <v>0.21</v>
      </c>
      <c r="G5397" t="str">
        <f>IFERROR(INDEX(tEditais[Órgão],MATCH(tItens[[#This Row],[Edital]],tEditais[Edital],0)),"")</f>
        <v>MUNICIPIO DE IBAITI</v>
      </c>
      <c r="H5397" t="str">
        <f>IFERROR(INDEX(tEditais[UF],MATCH(tItens[[#This Row],[Edital]],tEditais[Edital],0)),"")</f>
        <v>PR</v>
      </c>
      <c r="I5397" s="11">
        <f>IFERROR(INDEX(tEditais[Encerramento],MATCH(tItens[[#This Row],[Edital]],tEditais[Edital],0)),"")</f>
        <v>46308.375</v>
      </c>
      <c r="J5397" t="str">
        <f>IFERROR(INDEX(tProdutos[Classe],MATCH(tItens[[#This Row],[Produto]],tProdutos[Produto],0)),"produto não cadastrado")</f>
        <v>DISPUTADO</v>
      </c>
      <c r="K5397" s="12">
        <f>tItens[[#This Row],[Qtd]]*tItens[[#This Row],[Vlr unit]]</f>
        <v>13650</v>
      </c>
      <c r="L5397" s="6">
        <f>IFERROR(IF(INDEX(tProdutos[Desconto homologado],MATCH(tItens[[#This Row],[Produto]],tProdutos[Produto],0))="",DescontoPadrao,INDEX(tProdutos[Desconto homologado],MATCH(tItens[[#This Row],[Produto]],tProdutos[Produto],0))),DescontoPadrao)</f>
        <v>0.377587663709337</v>
      </c>
      <c r="M5397" s="12">
        <f>tItens[[#This Row],[Valor]]*(1-tItens[[#This Row],[Desconto]])</f>
        <v>8495.9283903675514</v>
      </c>
      <c r="N5397" t="str">
        <f>IFERROR(INDEX(tProdutos[Foco],MATCH(tItens[[#This Row],[Produto]],tProdutos[Produto],0)),"Não")</f>
        <v>Não</v>
      </c>
      <c r="O5397" t="str">
        <f>IFERROR(INDEX(tEditais[SRP],MATCH(tItens[[#This Row],[Edital]],tEditais[Edital],0)),"Não")</f>
        <v>Sim</v>
      </c>
      <c r="P5397" s="4">
        <f>IF(COUNTIFS(INDEX(tItens[Edital],1):tItens[[#This Row],[Edital]],tItens[[#This Row],[Edital]],INDEX(tItens[Produto],1):tItens[[#This Row],[Produto]],tItens[[#This Row],[Produto]])=1,1,0)</f>
        <v>1</v>
      </c>
    </row>
    <row r="5398" spans="1:16" x14ac:dyDescent="0.25">
      <c r="A5398" t="s">
        <v>2024</v>
      </c>
      <c r="B5398">
        <v>293</v>
      </c>
      <c r="C5398" t="s">
        <v>8191</v>
      </c>
      <c r="D5398" t="s">
        <v>283</v>
      </c>
      <c r="E5398" s="13">
        <v>50000</v>
      </c>
      <c r="F5398" s="12">
        <v>0.17</v>
      </c>
      <c r="G5398" t="str">
        <f>IFERROR(INDEX(tEditais[Órgão],MATCH(tItens[[#This Row],[Edital]],tEditais[Edital],0)),"")</f>
        <v>MUNICIPIO DE IBAITI</v>
      </c>
      <c r="H5398" t="str">
        <f>IFERROR(INDEX(tEditais[UF],MATCH(tItens[[#This Row],[Edital]],tEditais[Edital],0)),"")</f>
        <v>PR</v>
      </c>
      <c r="I5398" s="11">
        <f>IFERROR(INDEX(tEditais[Encerramento],MATCH(tItens[[#This Row],[Edital]],tEditais[Edital],0)),"")</f>
        <v>46308.375</v>
      </c>
      <c r="J5398" t="str">
        <f>IFERROR(INDEX(tProdutos[Classe],MATCH(tItens[[#This Row],[Produto]],tProdutos[Produto],0)),"produto não cadastrado")</f>
        <v>FORA</v>
      </c>
      <c r="K5398" s="12">
        <f>tItens[[#This Row],[Qtd]]*tItens[[#This Row],[Vlr unit]]</f>
        <v>8500</v>
      </c>
      <c r="L5398" s="6">
        <f>IFERROR(IF(INDEX(tProdutos[Desconto homologado],MATCH(tItens[[#This Row],[Produto]],tProdutos[Produto],0))="",DescontoPadrao,INDEX(tProdutos[Desconto homologado],MATCH(tItens[[#This Row],[Produto]],tProdutos[Produto],0))),DescontoPadrao)</f>
        <v>0.40540540540540498</v>
      </c>
      <c r="M5398" s="12">
        <f>tItens[[#This Row],[Valor]]*(1-tItens[[#This Row],[Desconto]])</f>
        <v>5054.0540540540569</v>
      </c>
      <c r="N5398" t="str">
        <f>IFERROR(INDEX(tProdutos[Foco],MATCH(tItens[[#This Row],[Produto]],tProdutos[Produto],0)),"Não")</f>
        <v>Não</v>
      </c>
      <c r="O5398" t="str">
        <f>IFERROR(INDEX(tEditais[SRP],MATCH(tItens[[#This Row],[Edital]],tEditais[Edital],0)),"Não")</f>
        <v>Sim</v>
      </c>
      <c r="P5398" s="4">
        <f>IF(COUNTIFS(INDEX(tItens[Edital],1):tItens[[#This Row],[Edital]],tItens[[#This Row],[Edital]],INDEX(tItens[Produto],1):tItens[[#This Row],[Produto]],tItens[[#This Row],[Produto]])=1,1,0)</f>
        <v>1</v>
      </c>
    </row>
    <row r="5399" spans="1:16" x14ac:dyDescent="0.25">
      <c r="A5399" t="s">
        <v>2024</v>
      </c>
      <c r="B5399">
        <v>311</v>
      </c>
      <c r="C5399" t="s">
        <v>8192</v>
      </c>
      <c r="D5399" t="s">
        <v>584</v>
      </c>
      <c r="E5399" s="13">
        <v>30</v>
      </c>
      <c r="F5399" s="12">
        <v>9.41</v>
      </c>
      <c r="G5399" t="str">
        <f>IFERROR(INDEX(tEditais[Órgão],MATCH(tItens[[#This Row],[Edital]],tEditais[Edital],0)),"")</f>
        <v>MUNICIPIO DE IBAITI</v>
      </c>
      <c r="H5399" t="str">
        <f>IFERROR(INDEX(tEditais[UF],MATCH(tItens[[#This Row],[Edital]],tEditais[Edital],0)),"")</f>
        <v>PR</v>
      </c>
      <c r="I5399" s="11">
        <f>IFERROR(INDEX(tEditais[Encerramento],MATCH(tItens[[#This Row],[Edital]],tEditais[Edital],0)),"")</f>
        <v>46308.375</v>
      </c>
      <c r="J5399" t="str">
        <f>IFERROR(INDEX(tProdutos[Classe],MATCH(tItens[[#This Row],[Produto]],tProdutos[Produto],0)),"produto não cadastrado")</f>
        <v>FILA REBASE</v>
      </c>
      <c r="K5399" s="12">
        <f>tItens[[#This Row],[Qtd]]*tItens[[#This Row],[Vlr unit]]</f>
        <v>282.3</v>
      </c>
      <c r="L5399" s="6">
        <f>IFERROR(IF(INDEX(tProdutos[Desconto homologado],MATCH(tItens[[#This Row],[Produto]],tProdutos[Produto],0))="",DescontoPadrao,INDEX(tProdutos[Desconto homologado],MATCH(tItens[[#This Row],[Produto]],tProdutos[Produto],0))),DescontoPadrao)</f>
        <v>1.8306728813864401E-2</v>
      </c>
      <c r="M5399" s="12">
        <f>tItens[[#This Row],[Valor]]*(1-tItens[[#This Row],[Desconto]])</f>
        <v>277.13201045584611</v>
      </c>
      <c r="N5399" t="str">
        <f>IFERROR(INDEX(tProdutos[Foco],MATCH(tItens[[#This Row],[Produto]],tProdutos[Produto],0)),"Não")</f>
        <v>Não</v>
      </c>
      <c r="O5399" t="str">
        <f>IFERROR(INDEX(tEditais[SRP],MATCH(tItens[[#This Row],[Edital]],tEditais[Edital],0)),"Não")</f>
        <v>Sim</v>
      </c>
      <c r="P5399" s="4">
        <f>IF(COUNTIFS(INDEX(tItens[Edital],1):tItens[[#This Row],[Edital]],tItens[[#This Row],[Edital]],INDEX(tItens[Produto],1):tItens[[#This Row],[Produto]],tItens[[#This Row],[Produto]])=1,1,0)</f>
        <v>1</v>
      </c>
    </row>
    <row r="5400" spans="1:16" x14ac:dyDescent="0.25">
      <c r="A5400" t="s">
        <v>2024</v>
      </c>
      <c r="B5400">
        <v>312</v>
      </c>
      <c r="C5400" t="s">
        <v>8193</v>
      </c>
      <c r="D5400" t="s">
        <v>584</v>
      </c>
      <c r="E5400" s="13">
        <v>30</v>
      </c>
      <c r="F5400" s="12">
        <v>9.86</v>
      </c>
      <c r="G5400" t="str">
        <f>IFERROR(INDEX(tEditais[Órgão],MATCH(tItens[[#This Row],[Edital]],tEditais[Edital],0)),"")</f>
        <v>MUNICIPIO DE IBAITI</v>
      </c>
      <c r="H5400" t="str">
        <f>IFERROR(INDEX(tEditais[UF],MATCH(tItens[[#This Row],[Edital]],tEditais[Edital],0)),"")</f>
        <v>PR</v>
      </c>
      <c r="I5400" s="11">
        <f>IFERROR(INDEX(tEditais[Encerramento],MATCH(tItens[[#This Row],[Edital]],tEditais[Edital],0)),"")</f>
        <v>46308.375</v>
      </c>
      <c r="J5400" t="str">
        <f>IFERROR(INDEX(tProdutos[Classe],MATCH(tItens[[#This Row],[Produto]],tProdutos[Produto],0)),"produto não cadastrado")</f>
        <v>FILA REBASE</v>
      </c>
      <c r="K5400" s="12">
        <f>tItens[[#This Row],[Qtd]]*tItens[[#This Row],[Vlr unit]]</f>
        <v>295.79999999999995</v>
      </c>
      <c r="L5400" s="6">
        <f>IFERROR(IF(INDEX(tProdutos[Desconto homologado],MATCH(tItens[[#This Row],[Produto]],tProdutos[Produto],0))="",DescontoPadrao,INDEX(tProdutos[Desconto homologado],MATCH(tItens[[#This Row],[Produto]],tProdutos[Produto],0))),DescontoPadrao)</f>
        <v>1.8306728813864401E-2</v>
      </c>
      <c r="M5400" s="12">
        <f>tItens[[#This Row],[Valor]]*(1-tItens[[#This Row],[Desconto]])</f>
        <v>290.38486961685885</v>
      </c>
      <c r="N5400" t="str">
        <f>IFERROR(INDEX(tProdutos[Foco],MATCH(tItens[[#This Row],[Produto]],tProdutos[Produto],0)),"Não")</f>
        <v>Não</v>
      </c>
      <c r="O5400" t="str">
        <f>IFERROR(INDEX(tEditais[SRP],MATCH(tItens[[#This Row],[Edital]],tEditais[Edital],0)),"Não")</f>
        <v>Sim</v>
      </c>
      <c r="P5400" s="4">
        <f>IF(COUNTIFS(INDEX(tItens[Edital],1):tItens[[#This Row],[Edital]],tItens[[#This Row],[Edital]],INDEX(tItens[Produto],1):tItens[[#This Row],[Produto]],tItens[[#This Row],[Produto]])=1,1,0)</f>
        <v>0</v>
      </c>
    </row>
    <row r="5401" spans="1:16" x14ac:dyDescent="0.25">
      <c r="A5401" t="s">
        <v>2024</v>
      </c>
      <c r="B5401">
        <v>313</v>
      </c>
      <c r="C5401" t="s">
        <v>8194</v>
      </c>
      <c r="D5401" t="s">
        <v>584</v>
      </c>
      <c r="E5401" s="13">
        <v>30</v>
      </c>
      <c r="F5401" s="12">
        <v>10.36</v>
      </c>
      <c r="G5401" t="str">
        <f>IFERROR(INDEX(tEditais[Órgão],MATCH(tItens[[#This Row],[Edital]],tEditais[Edital],0)),"")</f>
        <v>MUNICIPIO DE IBAITI</v>
      </c>
      <c r="H5401" t="str">
        <f>IFERROR(INDEX(tEditais[UF],MATCH(tItens[[#This Row],[Edital]],tEditais[Edital],0)),"")</f>
        <v>PR</v>
      </c>
      <c r="I5401" s="11">
        <f>IFERROR(INDEX(tEditais[Encerramento],MATCH(tItens[[#This Row],[Edital]],tEditais[Edital],0)),"")</f>
        <v>46308.375</v>
      </c>
      <c r="J5401" t="str">
        <f>IFERROR(INDEX(tProdutos[Classe],MATCH(tItens[[#This Row],[Produto]],tProdutos[Produto],0)),"produto não cadastrado")</f>
        <v>FILA REBASE</v>
      </c>
      <c r="K5401" s="12">
        <f>tItens[[#This Row],[Qtd]]*tItens[[#This Row],[Vlr unit]]</f>
        <v>310.79999999999995</v>
      </c>
      <c r="L5401" s="6">
        <f>IFERROR(IF(INDEX(tProdutos[Desconto homologado],MATCH(tItens[[#This Row],[Produto]],tProdutos[Produto],0))="",DescontoPadrao,INDEX(tProdutos[Desconto homologado],MATCH(tItens[[#This Row],[Produto]],tProdutos[Produto],0))),DescontoPadrao)</f>
        <v>1.8306728813864401E-2</v>
      </c>
      <c r="M5401" s="12">
        <f>tItens[[#This Row],[Valor]]*(1-tItens[[#This Row],[Desconto]])</f>
        <v>305.11026868465092</v>
      </c>
      <c r="N5401" t="str">
        <f>IFERROR(INDEX(tProdutos[Foco],MATCH(tItens[[#This Row],[Produto]],tProdutos[Produto],0)),"Não")</f>
        <v>Não</v>
      </c>
      <c r="O5401" t="str">
        <f>IFERROR(INDEX(tEditais[SRP],MATCH(tItens[[#This Row],[Edital]],tEditais[Edital],0)),"Não")</f>
        <v>Sim</v>
      </c>
      <c r="P5401" s="4">
        <f>IF(COUNTIFS(INDEX(tItens[Edital],1):tItens[[#This Row],[Edital]],tItens[[#This Row],[Edital]],INDEX(tItens[Produto],1):tItens[[#This Row],[Produto]],tItens[[#This Row],[Produto]])=1,1,0)</f>
        <v>0</v>
      </c>
    </row>
    <row r="5402" spans="1:16" x14ac:dyDescent="0.25">
      <c r="A5402" t="s">
        <v>2024</v>
      </c>
      <c r="B5402">
        <v>314</v>
      </c>
      <c r="C5402" t="s">
        <v>8195</v>
      </c>
      <c r="D5402" t="s">
        <v>584</v>
      </c>
      <c r="E5402" s="13">
        <v>30</v>
      </c>
      <c r="F5402" s="12">
        <v>10.67</v>
      </c>
      <c r="G5402" t="str">
        <f>IFERROR(INDEX(tEditais[Órgão],MATCH(tItens[[#This Row],[Edital]],tEditais[Edital],0)),"")</f>
        <v>MUNICIPIO DE IBAITI</v>
      </c>
      <c r="H5402" t="str">
        <f>IFERROR(INDEX(tEditais[UF],MATCH(tItens[[#This Row],[Edital]],tEditais[Edital],0)),"")</f>
        <v>PR</v>
      </c>
      <c r="I5402" s="11">
        <f>IFERROR(INDEX(tEditais[Encerramento],MATCH(tItens[[#This Row],[Edital]],tEditais[Edital],0)),"")</f>
        <v>46308.375</v>
      </c>
      <c r="J5402" t="str">
        <f>IFERROR(INDEX(tProdutos[Classe],MATCH(tItens[[#This Row],[Produto]],tProdutos[Produto],0)),"produto não cadastrado")</f>
        <v>FILA REBASE</v>
      </c>
      <c r="K5402" s="12">
        <f>tItens[[#This Row],[Qtd]]*tItens[[#This Row],[Vlr unit]]</f>
        <v>320.10000000000002</v>
      </c>
      <c r="L5402" s="6">
        <f>IFERROR(IF(INDEX(tProdutos[Desconto homologado],MATCH(tItens[[#This Row],[Produto]],tProdutos[Produto],0))="",DescontoPadrao,INDEX(tProdutos[Desconto homologado],MATCH(tItens[[#This Row],[Produto]],tProdutos[Produto],0))),DescontoPadrao)</f>
        <v>1.8306728813864401E-2</v>
      </c>
      <c r="M5402" s="12">
        <f>tItens[[#This Row],[Valor]]*(1-tItens[[#This Row],[Desconto]])</f>
        <v>314.24001610668205</v>
      </c>
      <c r="N5402" t="str">
        <f>IFERROR(INDEX(tProdutos[Foco],MATCH(tItens[[#This Row],[Produto]],tProdutos[Produto],0)),"Não")</f>
        <v>Não</v>
      </c>
      <c r="O5402" t="str">
        <f>IFERROR(INDEX(tEditais[SRP],MATCH(tItens[[#This Row],[Edital]],tEditais[Edital],0)),"Não")</f>
        <v>Sim</v>
      </c>
      <c r="P5402" s="4">
        <f>IF(COUNTIFS(INDEX(tItens[Edital],1):tItens[[#This Row],[Edital]],tItens[[#This Row],[Edital]],INDEX(tItens[Produto],1):tItens[[#This Row],[Produto]],tItens[[#This Row],[Produto]])=1,1,0)</f>
        <v>0</v>
      </c>
    </row>
    <row r="5403" spans="1:16" x14ac:dyDescent="0.25">
      <c r="A5403" t="s">
        <v>2024</v>
      </c>
      <c r="B5403">
        <v>315</v>
      </c>
      <c r="C5403" t="s">
        <v>8196</v>
      </c>
      <c r="D5403" t="s">
        <v>584</v>
      </c>
      <c r="E5403" s="13">
        <v>30</v>
      </c>
      <c r="F5403" s="12">
        <v>12.62</v>
      </c>
      <c r="G5403" t="str">
        <f>IFERROR(INDEX(tEditais[Órgão],MATCH(tItens[[#This Row],[Edital]],tEditais[Edital],0)),"")</f>
        <v>MUNICIPIO DE IBAITI</v>
      </c>
      <c r="H5403" t="str">
        <f>IFERROR(INDEX(tEditais[UF],MATCH(tItens[[#This Row],[Edital]],tEditais[Edital],0)),"")</f>
        <v>PR</v>
      </c>
      <c r="I5403" s="11">
        <f>IFERROR(INDEX(tEditais[Encerramento],MATCH(tItens[[#This Row],[Edital]],tEditais[Edital],0)),"")</f>
        <v>46308.375</v>
      </c>
      <c r="J5403" t="str">
        <f>IFERROR(INDEX(tProdutos[Classe],MATCH(tItens[[#This Row],[Produto]],tProdutos[Produto],0)),"produto não cadastrado")</f>
        <v>FILA REBASE</v>
      </c>
      <c r="K5403" s="12">
        <f>tItens[[#This Row],[Qtd]]*tItens[[#This Row],[Vlr unit]]</f>
        <v>378.59999999999997</v>
      </c>
      <c r="L5403" s="6">
        <f>IFERROR(IF(INDEX(tProdutos[Desconto homologado],MATCH(tItens[[#This Row],[Produto]],tProdutos[Produto],0))="",DescontoPadrao,INDEX(tProdutos[Desconto homologado],MATCH(tItens[[#This Row],[Produto]],tProdutos[Produto],0))),DescontoPadrao)</f>
        <v>1.8306728813864401E-2</v>
      </c>
      <c r="M5403" s="12">
        <f>tItens[[#This Row],[Valor]]*(1-tItens[[#This Row],[Desconto]])</f>
        <v>371.66907247107088</v>
      </c>
      <c r="N5403" t="str">
        <f>IFERROR(INDEX(tProdutos[Foco],MATCH(tItens[[#This Row],[Produto]],tProdutos[Produto],0)),"Não")</f>
        <v>Não</v>
      </c>
      <c r="O5403" t="str">
        <f>IFERROR(INDEX(tEditais[SRP],MATCH(tItens[[#This Row],[Edital]],tEditais[Edital],0)),"Não")</f>
        <v>Sim</v>
      </c>
      <c r="P5403" s="4">
        <f>IF(COUNTIFS(INDEX(tItens[Edital],1):tItens[[#This Row],[Edital]],tItens[[#This Row],[Edital]],INDEX(tItens[Produto],1):tItens[[#This Row],[Produto]],tItens[[#This Row],[Produto]])=1,1,0)</f>
        <v>0</v>
      </c>
    </row>
    <row r="5404" spans="1:16" x14ac:dyDescent="0.25">
      <c r="A5404" t="s">
        <v>2024</v>
      </c>
      <c r="B5404">
        <v>316</v>
      </c>
      <c r="C5404" t="s">
        <v>8197</v>
      </c>
      <c r="D5404" t="s">
        <v>584</v>
      </c>
      <c r="E5404" s="13">
        <v>30</v>
      </c>
      <c r="F5404" s="12">
        <v>14.87</v>
      </c>
      <c r="G5404" t="str">
        <f>IFERROR(INDEX(tEditais[Órgão],MATCH(tItens[[#This Row],[Edital]],tEditais[Edital],0)),"")</f>
        <v>MUNICIPIO DE IBAITI</v>
      </c>
      <c r="H5404" t="str">
        <f>IFERROR(INDEX(tEditais[UF],MATCH(tItens[[#This Row],[Edital]],tEditais[Edital],0)),"")</f>
        <v>PR</v>
      </c>
      <c r="I5404" s="11">
        <f>IFERROR(INDEX(tEditais[Encerramento],MATCH(tItens[[#This Row],[Edital]],tEditais[Edital],0)),"")</f>
        <v>46308.375</v>
      </c>
      <c r="J5404" t="str">
        <f>IFERROR(INDEX(tProdutos[Classe],MATCH(tItens[[#This Row],[Produto]],tProdutos[Produto],0)),"produto não cadastrado")</f>
        <v>FILA REBASE</v>
      </c>
      <c r="K5404" s="12">
        <f>tItens[[#This Row],[Qtd]]*tItens[[#This Row],[Vlr unit]]</f>
        <v>446.09999999999997</v>
      </c>
      <c r="L5404" s="6">
        <f>IFERROR(IF(INDEX(tProdutos[Desconto homologado],MATCH(tItens[[#This Row],[Produto]],tProdutos[Produto],0))="",DescontoPadrao,INDEX(tProdutos[Desconto homologado],MATCH(tItens[[#This Row],[Produto]],tProdutos[Produto],0))),DescontoPadrao)</f>
        <v>1.8306728813864401E-2</v>
      </c>
      <c r="M5404" s="12">
        <f>tItens[[#This Row],[Valor]]*(1-tItens[[#This Row],[Desconto]])</f>
        <v>437.93336827613507</v>
      </c>
      <c r="N5404" t="str">
        <f>IFERROR(INDEX(tProdutos[Foco],MATCH(tItens[[#This Row],[Produto]],tProdutos[Produto],0)),"Não")</f>
        <v>Não</v>
      </c>
      <c r="O5404" t="str">
        <f>IFERROR(INDEX(tEditais[SRP],MATCH(tItens[[#This Row],[Edital]],tEditais[Edital],0)),"Não")</f>
        <v>Sim</v>
      </c>
      <c r="P5404" s="4">
        <f>IF(COUNTIFS(INDEX(tItens[Edital],1):tItens[[#This Row],[Edital]],tItens[[#This Row],[Edital]],INDEX(tItens[Produto],1):tItens[[#This Row],[Produto]],tItens[[#This Row],[Produto]])=1,1,0)</f>
        <v>0</v>
      </c>
    </row>
    <row r="5405" spans="1:16" x14ac:dyDescent="0.25">
      <c r="A5405" t="s">
        <v>2024</v>
      </c>
      <c r="B5405">
        <v>317</v>
      </c>
      <c r="C5405" t="s">
        <v>8198</v>
      </c>
      <c r="D5405" t="s">
        <v>584</v>
      </c>
      <c r="E5405" s="13">
        <v>20</v>
      </c>
      <c r="F5405" s="12">
        <v>15.66</v>
      </c>
      <c r="G5405" t="str">
        <f>IFERROR(INDEX(tEditais[Órgão],MATCH(tItens[[#This Row],[Edital]],tEditais[Edital],0)),"")</f>
        <v>MUNICIPIO DE IBAITI</v>
      </c>
      <c r="H5405" t="str">
        <f>IFERROR(INDEX(tEditais[UF],MATCH(tItens[[#This Row],[Edital]],tEditais[Edital],0)),"")</f>
        <v>PR</v>
      </c>
      <c r="I5405" s="11">
        <f>IFERROR(INDEX(tEditais[Encerramento],MATCH(tItens[[#This Row],[Edital]],tEditais[Edital],0)),"")</f>
        <v>46308.375</v>
      </c>
      <c r="J5405" t="str">
        <f>IFERROR(INDEX(tProdutos[Classe],MATCH(tItens[[#This Row],[Produto]],tProdutos[Produto],0)),"produto não cadastrado")</f>
        <v>FILA REBASE</v>
      </c>
      <c r="K5405" s="12">
        <f>tItens[[#This Row],[Qtd]]*tItens[[#This Row],[Vlr unit]]</f>
        <v>313.2</v>
      </c>
      <c r="L5405" s="6">
        <f>IFERROR(IF(INDEX(tProdutos[Desconto homologado],MATCH(tItens[[#This Row],[Produto]],tProdutos[Produto],0))="",DescontoPadrao,INDEX(tProdutos[Desconto homologado],MATCH(tItens[[#This Row],[Produto]],tProdutos[Produto],0))),DescontoPadrao)</f>
        <v>1.8306728813864401E-2</v>
      </c>
      <c r="M5405" s="12">
        <f>tItens[[#This Row],[Valor]]*(1-tItens[[#This Row],[Desconto]])</f>
        <v>307.46633253549766</v>
      </c>
      <c r="N5405" t="str">
        <f>IFERROR(INDEX(tProdutos[Foco],MATCH(tItens[[#This Row],[Produto]],tProdutos[Produto],0)),"Não")</f>
        <v>Não</v>
      </c>
      <c r="O5405" t="str">
        <f>IFERROR(INDEX(tEditais[SRP],MATCH(tItens[[#This Row],[Edital]],tEditais[Edital],0)),"Não")</f>
        <v>Sim</v>
      </c>
      <c r="P5405" s="4">
        <f>IF(COUNTIFS(INDEX(tItens[Edital],1):tItens[[#This Row],[Edital]],tItens[[#This Row],[Edital]],INDEX(tItens[Produto],1):tItens[[#This Row],[Produto]],tItens[[#This Row],[Produto]])=1,1,0)</f>
        <v>0</v>
      </c>
    </row>
    <row r="5406" spans="1:16" x14ac:dyDescent="0.25">
      <c r="A5406" t="s">
        <v>2024</v>
      </c>
      <c r="B5406">
        <v>318</v>
      </c>
      <c r="C5406" t="s">
        <v>8199</v>
      </c>
      <c r="D5406" t="s">
        <v>164</v>
      </c>
      <c r="E5406" s="13">
        <v>100</v>
      </c>
      <c r="F5406" s="12">
        <v>9.7899999999999991</v>
      </c>
      <c r="G5406" t="str">
        <f>IFERROR(INDEX(tEditais[Órgão],MATCH(tItens[[#This Row],[Edital]],tEditais[Edital],0)),"")</f>
        <v>MUNICIPIO DE IBAITI</v>
      </c>
      <c r="H5406" t="str">
        <f>IFERROR(INDEX(tEditais[UF],MATCH(tItens[[#This Row],[Edital]],tEditais[Edital],0)),"")</f>
        <v>PR</v>
      </c>
      <c r="I5406" s="11">
        <f>IFERROR(INDEX(tEditais[Encerramento],MATCH(tItens[[#This Row],[Edital]],tEditais[Edital],0)),"")</f>
        <v>46308.375</v>
      </c>
      <c r="J5406" t="str">
        <f>IFERROR(INDEX(tProdutos[Classe],MATCH(tItens[[#This Row],[Produto]],tProdutos[Produto],0)),"produto não cadastrado")</f>
        <v>DISPUTADO</v>
      </c>
      <c r="K5406" s="12">
        <f>tItens[[#This Row],[Qtd]]*tItens[[#This Row],[Vlr unit]]</f>
        <v>978.99999999999989</v>
      </c>
      <c r="L5406" s="6">
        <f>IFERROR(IF(INDEX(tProdutos[Desconto homologado],MATCH(tItens[[#This Row],[Produto]],tProdutos[Produto],0))="",DescontoPadrao,INDEX(tProdutos[Desconto homologado],MATCH(tItens[[#This Row],[Produto]],tProdutos[Produto],0))),DescontoPadrao)</f>
        <v>0.445300462249615</v>
      </c>
      <c r="M5406" s="12">
        <f>tItens[[#This Row],[Valor]]*(1-tItens[[#This Row],[Desconto]])</f>
        <v>543.05084745762679</v>
      </c>
      <c r="N5406" t="str">
        <f>IFERROR(INDEX(tProdutos[Foco],MATCH(tItens[[#This Row],[Produto]],tProdutos[Produto],0)),"Não")</f>
        <v>Não</v>
      </c>
      <c r="O5406" t="str">
        <f>IFERROR(INDEX(tEditais[SRP],MATCH(tItens[[#This Row],[Edital]],tEditais[Edital],0)),"Não")</f>
        <v>Sim</v>
      </c>
      <c r="P5406" s="4">
        <f>IF(COUNTIFS(INDEX(tItens[Edital],1):tItens[[#This Row],[Edital]],tItens[[#This Row],[Edital]],INDEX(tItens[Produto],1):tItens[[#This Row],[Produto]],tItens[[#This Row],[Produto]])=1,1,0)</f>
        <v>1</v>
      </c>
    </row>
    <row r="5407" spans="1:16" x14ac:dyDescent="0.25">
      <c r="A5407" t="s">
        <v>2024</v>
      </c>
      <c r="B5407">
        <v>319</v>
      </c>
      <c r="C5407" t="s">
        <v>8200</v>
      </c>
      <c r="D5407" t="s">
        <v>164</v>
      </c>
      <c r="E5407" s="13">
        <v>100</v>
      </c>
      <c r="F5407" s="12">
        <v>9.9499999999999993</v>
      </c>
      <c r="G5407" t="str">
        <f>IFERROR(INDEX(tEditais[Órgão],MATCH(tItens[[#This Row],[Edital]],tEditais[Edital],0)),"")</f>
        <v>MUNICIPIO DE IBAITI</v>
      </c>
      <c r="H5407" t="str">
        <f>IFERROR(INDEX(tEditais[UF],MATCH(tItens[[#This Row],[Edital]],tEditais[Edital],0)),"")</f>
        <v>PR</v>
      </c>
      <c r="I5407" s="11">
        <f>IFERROR(INDEX(tEditais[Encerramento],MATCH(tItens[[#This Row],[Edital]],tEditais[Edital],0)),"")</f>
        <v>46308.375</v>
      </c>
      <c r="J5407" t="str">
        <f>IFERROR(INDEX(tProdutos[Classe],MATCH(tItens[[#This Row],[Produto]],tProdutos[Produto],0)),"produto não cadastrado")</f>
        <v>DISPUTADO</v>
      </c>
      <c r="K5407" s="12">
        <f>tItens[[#This Row],[Qtd]]*tItens[[#This Row],[Vlr unit]]</f>
        <v>994.99999999999989</v>
      </c>
      <c r="L5407" s="6">
        <f>IFERROR(IF(INDEX(tProdutos[Desconto homologado],MATCH(tItens[[#This Row],[Produto]],tProdutos[Produto],0))="",DescontoPadrao,INDEX(tProdutos[Desconto homologado],MATCH(tItens[[#This Row],[Produto]],tProdutos[Produto],0))),DescontoPadrao)</f>
        <v>0.445300462249615</v>
      </c>
      <c r="M5407" s="12">
        <f>tItens[[#This Row],[Valor]]*(1-tItens[[#This Row],[Desconto]])</f>
        <v>551.92604006163299</v>
      </c>
      <c r="N5407" t="str">
        <f>IFERROR(INDEX(tProdutos[Foco],MATCH(tItens[[#This Row],[Produto]],tProdutos[Produto],0)),"Não")</f>
        <v>Não</v>
      </c>
      <c r="O5407" t="str">
        <f>IFERROR(INDEX(tEditais[SRP],MATCH(tItens[[#This Row],[Edital]],tEditais[Edital],0)),"Não")</f>
        <v>Sim</v>
      </c>
      <c r="P5407" s="4">
        <f>IF(COUNTIFS(INDEX(tItens[Edital],1):tItens[[#This Row],[Edital]],tItens[[#This Row],[Edital]],INDEX(tItens[Produto],1):tItens[[#This Row],[Produto]],tItens[[#This Row],[Produto]])=1,1,0)</f>
        <v>0</v>
      </c>
    </row>
    <row r="5408" spans="1:16" x14ac:dyDescent="0.25">
      <c r="A5408" t="s">
        <v>2024</v>
      </c>
      <c r="B5408">
        <v>320</v>
      </c>
      <c r="C5408" t="s">
        <v>8201</v>
      </c>
      <c r="D5408" t="s">
        <v>110</v>
      </c>
      <c r="E5408" s="13">
        <v>20</v>
      </c>
      <c r="F5408" s="12">
        <v>8.66</v>
      </c>
      <c r="G5408" t="str">
        <f>IFERROR(INDEX(tEditais[Órgão],MATCH(tItens[[#This Row],[Edital]],tEditais[Edital],0)),"")</f>
        <v>MUNICIPIO DE IBAITI</v>
      </c>
      <c r="H5408" t="str">
        <f>IFERROR(INDEX(tEditais[UF],MATCH(tItens[[#This Row],[Edital]],tEditais[Edital],0)),"")</f>
        <v>PR</v>
      </c>
      <c r="I5408" s="11">
        <f>IFERROR(INDEX(tEditais[Encerramento],MATCH(tItens[[#This Row],[Edital]],tEditais[Edital],0)),"")</f>
        <v>46308.375</v>
      </c>
      <c r="J5408" t="str">
        <f>IFERROR(INDEX(tProdutos[Classe],MATCH(tItens[[#This Row],[Produto]],tProdutos[Produto],0)),"produto não cadastrado")</f>
        <v>NÚCLEO</v>
      </c>
      <c r="K5408" s="12">
        <f>tItens[[#This Row],[Qtd]]*tItens[[#This Row],[Vlr unit]]</f>
        <v>173.2</v>
      </c>
      <c r="L5408" s="6">
        <f>IFERROR(IF(INDEX(tProdutos[Desconto homologado],MATCH(tItens[[#This Row],[Produto]],tProdutos[Produto],0))="",DescontoPadrao,INDEX(tProdutos[Desconto homologado],MATCH(tItens[[#This Row],[Produto]],tProdutos[Produto],0))),DescontoPadrao)</f>
        <v>0.30410958904109597</v>
      </c>
      <c r="M5408" s="12">
        <f>tItens[[#This Row],[Valor]]*(1-tItens[[#This Row],[Desconto]])</f>
        <v>120.52821917808217</v>
      </c>
      <c r="N5408" t="str">
        <f>IFERROR(INDEX(tProdutos[Foco],MATCH(tItens[[#This Row],[Produto]],tProdutos[Produto],0)),"Não")</f>
        <v>Não</v>
      </c>
      <c r="O5408" t="str">
        <f>IFERROR(INDEX(tEditais[SRP],MATCH(tItens[[#This Row],[Edital]],tEditais[Edital],0)),"Não")</f>
        <v>Sim</v>
      </c>
      <c r="P5408" s="4">
        <f>IF(COUNTIFS(INDEX(tItens[Edital],1):tItens[[#This Row],[Edital]],tItens[[#This Row],[Edital]],INDEX(tItens[Produto],1):tItens[[#This Row],[Produto]],tItens[[#This Row],[Produto]])=1,1,0)</f>
        <v>1</v>
      </c>
    </row>
    <row r="5409" spans="1:16" x14ac:dyDescent="0.25">
      <c r="A5409" t="s">
        <v>2024</v>
      </c>
      <c r="B5409">
        <v>321</v>
      </c>
      <c r="C5409" t="s">
        <v>8202</v>
      </c>
      <c r="D5409" t="s">
        <v>110</v>
      </c>
      <c r="E5409" s="13">
        <v>20</v>
      </c>
      <c r="F5409" s="12">
        <v>9.33</v>
      </c>
      <c r="G5409" t="str">
        <f>IFERROR(INDEX(tEditais[Órgão],MATCH(tItens[[#This Row],[Edital]],tEditais[Edital],0)),"")</f>
        <v>MUNICIPIO DE IBAITI</v>
      </c>
      <c r="H5409" t="str">
        <f>IFERROR(INDEX(tEditais[UF],MATCH(tItens[[#This Row],[Edital]],tEditais[Edital],0)),"")</f>
        <v>PR</v>
      </c>
      <c r="I5409" s="11">
        <f>IFERROR(INDEX(tEditais[Encerramento],MATCH(tItens[[#This Row],[Edital]],tEditais[Edital],0)),"")</f>
        <v>46308.375</v>
      </c>
      <c r="J5409" t="str">
        <f>IFERROR(INDEX(tProdutos[Classe],MATCH(tItens[[#This Row],[Produto]],tProdutos[Produto],0)),"produto não cadastrado")</f>
        <v>NÚCLEO</v>
      </c>
      <c r="K5409" s="12">
        <f>tItens[[#This Row],[Qtd]]*tItens[[#This Row],[Vlr unit]]</f>
        <v>186.6</v>
      </c>
      <c r="L5409" s="6">
        <f>IFERROR(IF(INDEX(tProdutos[Desconto homologado],MATCH(tItens[[#This Row],[Produto]],tProdutos[Produto],0))="",DescontoPadrao,INDEX(tProdutos[Desconto homologado],MATCH(tItens[[#This Row],[Produto]],tProdutos[Produto],0))),DescontoPadrao)</f>
        <v>0.30410958904109597</v>
      </c>
      <c r="M5409" s="12">
        <f>tItens[[#This Row],[Valor]]*(1-tItens[[#This Row],[Desconto]])</f>
        <v>129.85315068493148</v>
      </c>
      <c r="N5409" t="str">
        <f>IFERROR(INDEX(tProdutos[Foco],MATCH(tItens[[#This Row],[Produto]],tProdutos[Produto],0)),"Não")</f>
        <v>Não</v>
      </c>
      <c r="O5409" t="str">
        <f>IFERROR(INDEX(tEditais[SRP],MATCH(tItens[[#This Row],[Edital]],tEditais[Edital],0)),"Não")</f>
        <v>Sim</v>
      </c>
      <c r="P5409" s="4">
        <f>IF(COUNTIFS(INDEX(tItens[Edital],1):tItens[[#This Row],[Edital]],tItens[[#This Row],[Edital]],INDEX(tItens[Produto],1):tItens[[#This Row],[Produto]],tItens[[#This Row],[Produto]])=1,1,0)</f>
        <v>0</v>
      </c>
    </row>
    <row r="5410" spans="1:16" x14ac:dyDescent="0.25">
      <c r="A5410" t="s">
        <v>2024</v>
      </c>
      <c r="B5410">
        <v>322</v>
      </c>
      <c r="C5410" t="s">
        <v>8203</v>
      </c>
      <c r="D5410" t="s">
        <v>110</v>
      </c>
      <c r="E5410" s="13">
        <v>20</v>
      </c>
      <c r="F5410" s="12">
        <v>8.81</v>
      </c>
      <c r="G5410" t="str">
        <f>IFERROR(INDEX(tEditais[Órgão],MATCH(tItens[[#This Row],[Edital]],tEditais[Edital],0)),"")</f>
        <v>MUNICIPIO DE IBAITI</v>
      </c>
      <c r="H5410" t="str">
        <f>IFERROR(INDEX(tEditais[UF],MATCH(tItens[[#This Row],[Edital]],tEditais[Edital],0)),"")</f>
        <v>PR</v>
      </c>
      <c r="I5410" s="11">
        <f>IFERROR(INDEX(tEditais[Encerramento],MATCH(tItens[[#This Row],[Edital]],tEditais[Edital],0)),"")</f>
        <v>46308.375</v>
      </c>
      <c r="J5410" t="str">
        <f>IFERROR(INDEX(tProdutos[Classe],MATCH(tItens[[#This Row],[Produto]],tProdutos[Produto],0)),"produto não cadastrado")</f>
        <v>NÚCLEO</v>
      </c>
      <c r="K5410" s="12">
        <f>tItens[[#This Row],[Qtd]]*tItens[[#This Row],[Vlr unit]]</f>
        <v>176.20000000000002</v>
      </c>
      <c r="L5410" s="6">
        <f>IFERROR(IF(INDEX(tProdutos[Desconto homologado],MATCH(tItens[[#This Row],[Produto]],tProdutos[Produto],0))="",DescontoPadrao,INDEX(tProdutos[Desconto homologado],MATCH(tItens[[#This Row],[Produto]],tProdutos[Produto],0))),DescontoPadrao)</f>
        <v>0.30410958904109597</v>
      </c>
      <c r="M5410" s="12">
        <f>tItens[[#This Row],[Valor]]*(1-tItens[[#This Row],[Desconto]])</f>
        <v>122.6158904109589</v>
      </c>
      <c r="N5410" t="str">
        <f>IFERROR(INDEX(tProdutos[Foco],MATCH(tItens[[#This Row],[Produto]],tProdutos[Produto],0)),"Não")</f>
        <v>Não</v>
      </c>
      <c r="O5410" t="str">
        <f>IFERROR(INDEX(tEditais[SRP],MATCH(tItens[[#This Row],[Edital]],tEditais[Edital],0)),"Não")</f>
        <v>Sim</v>
      </c>
      <c r="P5410" s="4">
        <f>IF(COUNTIFS(INDEX(tItens[Edital],1):tItens[[#This Row],[Edital]],tItens[[#This Row],[Edital]],INDEX(tItens[Produto],1):tItens[[#This Row],[Produto]],tItens[[#This Row],[Produto]])=1,1,0)</f>
        <v>0</v>
      </c>
    </row>
    <row r="5411" spans="1:16" x14ac:dyDescent="0.25">
      <c r="A5411" t="s">
        <v>2024</v>
      </c>
      <c r="B5411">
        <v>332</v>
      </c>
      <c r="C5411" t="s">
        <v>8204</v>
      </c>
      <c r="D5411" t="s">
        <v>120</v>
      </c>
      <c r="E5411" s="13">
        <v>70</v>
      </c>
      <c r="F5411" s="12">
        <v>6.47</v>
      </c>
      <c r="G5411" t="str">
        <f>IFERROR(INDEX(tEditais[Órgão],MATCH(tItens[[#This Row],[Edital]],tEditais[Edital],0)),"")</f>
        <v>MUNICIPIO DE IBAITI</v>
      </c>
      <c r="H5411" t="str">
        <f>IFERROR(INDEX(tEditais[UF],MATCH(tItens[[#This Row],[Edital]],tEditais[Edital],0)),"")</f>
        <v>PR</v>
      </c>
      <c r="I5411" s="11">
        <f>IFERROR(INDEX(tEditais[Encerramento],MATCH(tItens[[#This Row],[Edital]],tEditais[Edital],0)),"")</f>
        <v>46308.375</v>
      </c>
      <c r="J5411" t="str">
        <f>IFERROR(INDEX(tProdutos[Classe],MATCH(tItens[[#This Row],[Produto]],tProdutos[Produto],0)),"produto não cadastrado")</f>
        <v>DISPUTADO</v>
      </c>
      <c r="K5411" s="12">
        <f>tItens[[#This Row],[Qtd]]*tItens[[#This Row],[Vlr unit]]</f>
        <v>452.9</v>
      </c>
      <c r="L5411" s="6">
        <f>IFERROR(IF(INDEX(tProdutos[Desconto homologado],MATCH(tItens[[#This Row],[Produto]],tProdutos[Produto],0))="",DescontoPadrao,INDEX(tProdutos[Desconto homologado],MATCH(tItens[[#This Row],[Produto]],tProdutos[Produto],0))),DescontoPadrao)</f>
        <v>0.40909090909090901</v>
      </c>
      <c r="M5411" s="12">
        <f>tItens[[#This Row],[Valor]]*(1-tItens[[#This Row],[Desconto]])</f>
        <v>267.62272727272733</v>
      </c>
      <c r="N5411" t="str">
        <f>IFERROR(INDEX(tProdutos[Foco],MATCH(tItens[[#This Row],[Produto]],tProdutos[Produto],0)),"Não")</f>
        <v>Não</v>
      </c>
      <c r="O5411" t="str">
        <f>IFERROR(INDEX(tEditais[SRP],MATCH(tItens[[#This Row],[Edital]],tEditais[Edital],0)),"Não")</f>
        <v>Sim</v>
      </c>
      <c r="P5411" s="4">
        <f>IF(COUNTIFS(INDEX(tItens[Edital],1):tItens[[#This Row],[Edital]],tItens[[#This Row],[Edital]],INDEX(tItens[Produto],1):tItens[[#This Row],[Produto]],tItens[[#This Row],[Produto]])=1,1,0)</f>
        <v>1</v>
      </c>
    </row>
    <row r="5412" spans="1:16" x14ac:dyDescent="0.25">
      <c r="A5412" t="s">
        <v>2024</v>
      </c>
      <c r="B5412">
        <v>333</v>
      </c>
      <c r="C5412" t="s">
        <v>8205</v>
      </c>
      <c r="D5412" t="s">
        <v>120</v>
      </c>
      <c r="E5412" s="13">
        <v>70</v>
      </c>
      <c r="F5412" s="12">
        <v>6.91</v>
      </c>
      <c r="G5412" t="str">
        <f>IFERROR(INDEX(tEditais[Órgão],MATCH(tItens[[#This Row],[Edital]],tEditais[Edital],0)),"")</f>
        <v>MUNICIPIO DE IBAITI</v>
      </c>
      <c r="H5412" t="str">
        <f>IFERROR(INDEX(tEditais[UF],MATCH(tItens[[#This Row],[Edital]],tEditais[Edital],0)),"")</f>
        <v>PR</v>
      </c>
      <c r="I5412" s="11">
        <f>IFERROR(INDEX(tEditais[Encerramento],MATCH(tItens[[#This Row],[Edital]],tEditais[Edital],0)),"")</f>
        <v>46308.375</v>
      </c>
      <c r="J5412" t="str">
        <f>IFERROR(INDEX(tProdutos[Classe],MATCH(tItens[[#This Row],[Produto]],tProdutos[Produto],0)),"produto não cadastrado")</f>
        <v>DISPUTADO</v>
      </c>
      <c r="K5412" s="12">
        <f>tItens[[#This Row],[Qtd]]*tItens[[#This Row],[Vlr unit]]</f>
        <v>483.7</v>
      </c>
      <c r="L5412" s="6">
        <f>IFERROR(IF(INDEX(tProdutos[Desconto homologado],MATCH(tItens[[#This Row],[Produto]],tProdutos[Produto],0))="",DescontoPadrao,INDEX(tProdutos[Desconto homologado],MATCH(tItens[[#This Row],[Produto]],tProdutos[Produto],0))),DescontoPadrao)</f>
        <v>0.40909090909090901</v>
      </c>
      <c r="M5412" s="12">
        <f>tItens[[#This Row],[Valor]]*(1-tItens[[#This Row],[Desconto]])</f>
        <v>285.82272727272732</v>
      </c>
      <c r="N5412" t="str">
        <f>IFERROR(INDEX(tProdutos[Foco],MATCH(tItens[[#This Row],[Produto]],tProdutos[Produto],0)),"Não")</f>
        <v>Não</v>
      </c>
      <c r="O5412" t="str">
        <f>IFERROR(INDEX(tEditais[SRP],MATCH(tItens[[#This Row],[Edital]],tEditais[Edital],0)),"Não")</f>
        <v>Sim</v>
      </c>
      <c r="P5412" s="4">
        <f>IF(COUNTIFS(INDEX(tItens[Edital],1):tItens[[#This Row],[Edital]],tItens[[#This Row],[Edital]],INDEX(tItens[Produto],1):tItens[[#This Row],[Produto]],tItens[[#This Row],[Produto]])=1,1,0)</f>
        <v>0</v>
      </c>
    </row>
    <row r="5413" spans="1:16" x14ac:dyDescent="0.25">
      <c r="A5413" t="s">
        <v>2024</v>
      </c>
      <c r="B5413">
        <v>334</v>
      </c>
      <c r="C5413" t="s">
        <v>8206</v>
      </c>
      <c r="D5413" t="s">
        <v>120</v>
      </c>
      <c r="E5413" s="13">
        <v>70</v>
      </c>
      <c r="F5413" s="12">
        <v>7.04</v>
      </c>
      <c r="G5413" t="str">
        <f>IFERROR(INDEX(tEditais[Órgão],MATCH(tItens[[#This Row],[Edital]],tEditais[Edital],0)),"")</f>
        <v>MUNICIPIO DE IBAITI</v>
      </c>
      <c r="H5413" t="str">
        <f>IFERROR(INDEX(tEditais[UF],MATCH(tItens[[#This Row],[Edital]],tEditais[Edital],0)),"")</f>
        <v>PR</v>
      </c>
      <c r="I5413" s="11">
        <f>IFERROR(INDEX(tEditais[Encerramento],MATCH(tItens[[#This Row],[Edital]],tEditais[Edital],0)),"")</f>
        <v>46308.375</v>
      </c>
      <c r="J5413" t="str">
        <f>IFERROR(INDEX(tProdutos[Classe],MATCH(tItens[[#This Row],[Produto]],tProdutos[Produto],0)),"produto não cadastrado")</f>
        <v>DISPUTADO</v>
      </c>
      <c r="K5413" s="12">
        <f>tItens[[#This Row],[Qtd]]*tItens[[#This Row],[Vlr unit]]</f>
        <v>492.8</v>
      </c>
      <c r="L5413" s="6">
        <f>IFERROR(IF(INDEX(tProdutos[Desconto homologado],MATCH(tItens[[#This Row],[Produto]],tProdutos[Produto],0))="",DescontoPadrao,INDEX(tProdutos[Desconto homologado],MATCH(tItens[[#This Row],[Produto]],tProdutos[Produto],0))),DescontoPadrao)</f>
        <v>0.40909090909090901</v>
      </c>
      <c r="M5413" s="12">
        <f>tItens[[#This Row],[Valor]]*(1-tItens[[#This Row],[Desconto]])</f>
        <v>291.2000000000001</v>
      </c>
      <c r="N5413" t="str">
        <f>IFERROR(INDEX(tProdutos[Foco],MATCH(tItens[[#This Row],[Produto]],tProdutos[Produto],0)),"Não")</f>
        <v>Não</v>
      </c>
      <c r="O5413" t="str">
        <f>IFERROR(INDEX(tEditais[SRP],MATCH(tItens[[#This Row],[Edital]],tEditais[Edital],0)),"Não")</f>
        <v>Sim</v>
      </c>
      <c r="P5413" s="4">
        <f>IF(COUNTIFS(INDEX(tItens[Edital],1):tItens[[#This Row],[Edital]],tItens[[#This Row],[Edital]],INDEX(tItens[Produto],1):tItens[[#This Row],[Produto]],tItens[[#This Row],[Produto]])=1,1,0)</f>
        <v>0</v>
      </c>
    </row>
    <row r="5414" spans="1:16" x14ac:dyDescent="0.25">
      <c r="A5414" t="s">
        <v>2024</v>
      </c>
      <c r="B5414">
        <v>335</v>
      </c>
      <c r="C5414" t="s">
        <v>8207</v>
      </c>
      <c r="D5414" t="s">
        <v>120</v>
      </c>
      <c r="E5414" s="13">
        <v>150</v>
      </c>
      <c r="F5414" s="12">
        <v>6.35</v>
      </c>
      <c r="G5414" t="str">
        <f>IFERROR(INDEX(tEditais[Órgão],MATCH(tItens[[#This Row],[Edital]],tEditais[Edital],0)),"")</f>
        <v>MUNICIPIO DE IBAITI</v>
      </c>
      <c r="H5414" t="str">
        <f>IFERROR(INDEX(tEditais[UF],MATCH(tItens[[#This Row],[Edital]],tEditais[Edital],0)),"")</f>
        <v>PR</v>
      </c>
      <c r="I5414" s="11">
        <f>IFERROR(INDEX(tEditais[Encerramento],MATCH(tItens[[#This Row],[Edital]],tEditais[Edital],0)),"")</f>
        <v>46308.375</v>
      </c>
      <c r="J5414" t="str">
        <f>IFERROR(INDEX(tProdutos[Classe],MATCH(tItens[[#This Row],[Produto]],tProdutos[Produto],0)),"produto não cadastrado")</f>
        <v>DISPUTADO</v>
      </c>
      <c r="K5414" s="12">
        <f>tItens[[#This Row],[Qtd]]*tItens[[#This Row],[Vlr unit]]</f>
        <v>952.5</v>
      </c>
      <c r="L5414" s="6">
        <f>IFERROR(IF(INDEX(tProdutos[Desconto homologado],MATCH(tItens[[#This Row],[Produto]],tProdutos[Produto],0))="",DescontoPadrao,INDEX(tProdutos[Desconto homologado],MATCH(tItens[[#This Row],[Produto]],tProdutos[Produto],0))),DescontoPadrao)</f>
        <v>0.40909090909090901</v>
      </c>
      <c r="M5414" s="12">
        <f>tItens[[#This Row],[Valor]]*(1-tItens[[#This Row],[Desconto]])</f>
        <v>562.84090909090924</v>
      </c>
      <c r="N5414" t="str">
        <f>IFERROR(INDEX(tProdutos[Foco],MATCH(tItens[[#This Row],[Produto]],tProdutos[Produto],0)),"Não")</f>
        <v>Não</v>
      </c>
      <c r="O5414" t="str">
        <f>IFERROR(INDEX(tEditais[SRP],MATCH(tItens[[#This Row],[Edital]],tEditais[Edital],0)),"Não")</f>
        <v>Sim</v>
      </c>
      <c r="P5414" s="4">
        <f>IF(COUNTIFS(INDEX(tItens[Edital],1):tItens[[#This Row],[Edital]],tItens[[#This Row],[Edital]],INDEX(tItens[Produto],1):tItens[[#This Row],[Produto]],tItens[[#This Row],[Produto]])=1,1,0)</f>
        <v>0</v>
      </c>
    </row>
    <row r="5415" spans="1:16" x14ac:dyDescent="0.25">
      <c r="A5415" t="s">
        <v>2024</v>
      </c>
      <c r="B5415">
        <v>336</v>
      </c>
      <c r="C5415" t="s">
        <v>8208</v>
      </c>
      <c r="D5415" t="s">
        <v>120</v>
      </c>
      <c r="E5415" s="13">
        <v>3550</v>
      </c>
      <c r="F5415" s="12">
        <v>6.1</v>
      </c>
      <c r="G5415" t="str">
        <f>IFERROR(INDEX(tEditais[Órgão],MATCH(tItens[[#This Row],[Edital]],tEditais[Edital],0)),"")</f>
        <v>MUNICIPIO DE IBAITI</v>
      </c>
      <c r="H5415" t="str">
        <f>IFERROR(INDEX(tEditais[UF],MATCH(tItens[[#This Row],[Edital]],tEditais[Edital],0)),"")</f>
        <v>PR</v>
      </c>
      <c r="I5415" s="11">
        <f>IFERROR(INDEX(tEditais[Encerramento],MATCH(tItens[[#This Row],[Edital]],tEditais[Edital],0)),"")</f>
        <v>46308.375</v>
      </c>
      <c r="J5415" t="str">
        <f>IFERROR(INDEX(tProdutos[Classe],MATCH(tItens[[#This Row],[Produto]],tProdutos[Produto],0)),"produto não cadastrado")</f>
        <v>DISPUTADO</v>
      </c>
      <c r="K5415" s="12">
        <f>tItens[[#This Row],[Qtd]]*tItens[[#This Row],[Vlr unit]]</f>
        <v>21655</v>
      </c>
      <c r="L5415" s="6">
        <f>IFERROR(IF(INDEX(tProdutos[Desconto homologado],MATCH(tItens[[#This Row],[Produto]],tProdutos[Produto],0))="",DescontoPadrao,INDEX(tProdutos[Desconto homologado],MATCH(tItens[[#This Row],[Produto]],tProdutos[Produto],0))),DescontoPadrao)</f>
        <v>0.40909090909090901</v>
      </c>
      <c r="M5415" s="12">
        <f>tItens[[#This Row],[Valor]]*(1-tItens[[#This Row],[Desconto]])</f>
        <v>12796.136363636368</v>
      </c>
      <c r="N5415" t="str">
        <f>IFERROR(INDEX(tProdutos[Foco],MATCH(tItens[[#This Row],[Produto]],tProdutos[Produto],0)),"Não")</f>
        <v>Não</v>
      </c>
      <c r="O5415" t="str">
        <f>IFERROR(INDEX(tEditais[SRP],MATCH(tItens[[#This Row],[Edital]],tEditais[Edital],0)),"Não")</f>
        <v>Sim</v>
      </c>
      <c r="P5415" s="4">
        <f>IF(COUNTIFS(INDEX(tItens[Edital],1):tItens[[#This Row],[Edital]],tItens[[#This Row],[Edital]],INDEX(tItens[Produto],1):tItens[[#This Row],[Produto]],tItens[[#This Row],[Produto]])=1,1,0)</f>
        <v>0</v>
      </c>
    </row>
    <row r="5416" spans="1:16" x14ac:dyDescent="0.25">
      <c r="A5416" t="s">
        <v>2024</v>
      </c>
      <c r="B5416">
        <v>337</v>
      </c>
      <c r="C5416" t="s">
        <v>8209</v>
      </c>
      <c r="D5416" t="s">
        <v>120</v>
      </c>
      <c r="E5416" s="13">
        <v>150</v>
      </c>
      <c r="F5416" s="12">
        <v>6.76</v>
      </c>
      <c r="G5416" t="str">
        <f>IFERROR(INDEX(tEditais[Órgão],MATCH(tItens[[#This Row],[Edital]],tEditais[Edital],0)),"")</f>
        <v>MUNICIPIO DE IBAITI</v>
      </c>
      <c r="H5416" t="str">
        <f>IFERROR(INDEX(tEditais[UF],MATCH(tItens[[#This Row],[Edital]],tEditais[Edital],0)),"")</f>
        <v>PR</v>
      </c>
      <c r="I5416" s="11">
        <f>IFERROR(INDEX(tEditais[Encerramento],MATCH(tItens[[#This Row],[Edital]],tEditais[Edital],0)),"")</f>
        <v>46308.375</v>
      </c>
      <c r="J5416" t="str">
        <f>IFERROR(INDEX(tProdutos[Classe],MATCH(tItens[[#This Row],[Produto]],tProdutos[Produto],0)),"produto não cadastrado")</f>
        <v>DISPUTADO</v>
      </c>
      <c r="K5416" s="12">
        <f>tItens[[#This Row],[Qtd]]*tItens[[#This Row],[Vlr unit]]</f>
        <v>1014</v>
      </c>
      <c r="L5416" s="6">
        <f>IFERROR(IF(INDEX(tProdutos[Desconto homologado],MATCH(tItens[[#This Row],[Produto]],tProdutos[Produto],0))="",DescontoPadrao,INDEX(tProdutos[Desconto homologado],MATCH(tItens[[#This Row],[Produto]],tProdutos[Produto],0))),DescontoPadrao)</f>
        <v>0.40909090909090901</v>
      </c>
      <c r="M5416" s="12">
        <f>tItens[[#This Row],[Valor]]*(1-tItens[[#This Row],[Desconto]])</f>
        <v>599.18181818181836</v>
      </c>
      <c r="N5416" t="str">
        <f>IFERROR(INDEX(tProdutos[Foco],MATCH(tItens[[#This Row],[Produto]],tProdutos[Produto],0)),"Não")</f>
        <v>Não</v>
      </c>
      <c r="O5416" t="str">
        <f>IFERROR(INDEX(tEditais[SRP],MATCH(tItens[[#This Row],[Edital]],tEditais[Edital],0)),"Não")</f>
        <v>Sim</v>
      </c>
      <c r="P5416" s="4">
        <f>IF(COUNTIFS(INDEX(tItens[Edital],1):tItens[[#This Row],[Edital]],tItens[[#This Row],[Edital]],INDEX(tItens[Produto],1):tItens[[#This Row],[Produto]],tItens[[#This Row],[Produto]])=1,1,0)</f>
        <v>0</v>
      </c>
    </row>
    <row r="5417" spans="1:16" x14ac:dyDescent="0.25">
      <c r="A5417" t="s">
        <v>2024</v>
      </c>
      <c r="B5417">
        <v>338</v>
      </c>
      <c r="C5417" t="s">
        <v>8210</v>
      </c>
      <c r="D5417" t="s">
        <v>120</v>
      </c>
      <c r="E5417" s="13">
        <v>150</v>
      </c>
      <c r="F5417" s="12">
        <v>7.26</v>
      </c>
      <c r="G5417" t="str">
        <f>IFERROR(INDEX(tEditais[Órgão],MATCH(tItens[[#This Row],[Edital]],tEditais[Edital],0)),"")</f>
        <v>MUNICIPIO DE IBAITI</v>
      </c>
      <c r="H5417" t="str">
        <f>IFERROR(INDEX(tEditais[UF],MATCH(tItens[[#This Row],[Edital]],tEditais[Edital],0)),"")</f>
        <v>PR</v>
      </c>
      <c r="I5417" s="11">
        <f>IFERROR(INDEX(tEditais[Encerramento],MATCH(tItens[[#This Row],[Edital]],tEditais[Edital],0)),"")</f>
        <v>46308.375</v>
      </c>
      <c r="J5417" t="str">
        <f>IFERROR(INDEX(tProdutos[Classe],MATCH(tItens[[#This Row],[Produto]],tProdutos[Produto],0)),"produto não cadastrado")</f>
        <v>DISPUTADO</v>
      </c>
      <c r="K5417" s="12">
        <f>tItens[[#This Row],[Qtd]]*tItens[[#This Row],[Vlr unit]]</f>
        <v>1089</v>
      </c>
      <c r="L5417" s="6">
        <f>IFERROR(IF(INDEX(tProdutos[Desconto homologado],MATCH(tItens[[#This Row],[Produto]],tProdutos[Produto],0))="",DescontoPadrao,INDEX(tProdutos[Desconto homologado],MATCH(tItens[[#This Row],[Produto]],tProdutos[Produto],0))),DescontoPadrao)</f>
        <v>0.40909090909090901</v>
      </c>
      <c r="M5417" s="12">
        <f>tItens[[#This Row],[Valor]]*(1-tItens[[#This Row],[Desconto]])</f>
        <v>643.50000000000011</v>
      </c>
      <c r="N5417" t="str">
        <f>IFERROR(INDEX(tProdutos[Foco],MATCH(tItens[[#This Row],[Produto]],tProdutos[Produto],0)),"Não")</f>
        <v>Não</v>
      </c>
      <c r="O5417" t="str">
        <f>IFERROR(INDEX(tEditais[SRP],MATCH(tItens[[#This Row],[Edital]],tEditais[Edital],0)),"Não")</f>
        <v>Sim</v>
      </c>
      <c r="P5417" s="4">
        <f>IF(COUNTIFS(INDEX(tItens[Edital],1):tItens[[#This Row],[Edital]],tItens[[#This Row],[Edital]],INDEX(tItens[Produto],1):tItens[[#This Row],[Produto]],tItens[[#This Row],[Produto]])=1,1,0)</f>
        <v>0</v>
      </c>
    </row>
    <row r="5418" spans="1:16" x14ac:dyDescent="0.25">
      <c r="A5418" t="s">
        <v>2024</v>
      </c>
      <c r="B5418">
        <v>348</v>
      </c>
      <c r="C5418" t="s">
        <v>8211</v>
      </c>
      <c r="D5418" t="s">
        <v>162</v>
      </c>
      <c r="E5418" s="13">
        <v>25</v>
      </c>
      <c r="F5418" s="12">
        <v>46.25</v>
      </c>
      <c r="G5418" t="str">
        <f>IFERROR(INDEX(tEditais[Órgão],MATCH(tItens[[#This Row],[Edital]],tEditais[Edital],0)),"")</f>
        <v>MUNICIPIO DE IBAITI</v>
      </c>
      <c r="H5418" t="str">
        <f>IFERROR(INDEX(tEditais[UF],MATCH(tItens[[#This Row],[Edital]],tEditais[Edital],0)),"")</f>
        <v>PR</v>
      </c>
      <c r="I5418" s="11">
        <f>IFERROR(INDEX(tEditais[Encerramento],MATCH(tItens[[#This Row],[Edital]],tEditais[Edital],0)),"")</f>
        <v>46308.375</v>
      </c>
      <c r="J5418" t="str">
        <f>IFERROR(INDEX(tProdutos[Classe],MATCH(tItens[[#This Row],[Produto]],tProdutos[Produto],0)),"produto não cadastrado")</f>
        <v>DISPUTADO</v>
      </c>
      <c r="K5418" s="12">
        <f>tItens[[#This Row],[Qtd]]*tItens[[#This Row],[Vlr unit]]</f>
        <v>1156.25</v>
      </c>
      <c r="L5418" s="6">
        <f>IFERROR(IF(INDEX(tProdutos[Desconto homologado],MATCH(tItens[[#This Row],[Produto]],tProdutos[Produto],0))="",DescontoPadrao,INDEX(tProdutos[Desconto homologado],MATCH(tItens[[#This Row],[Produto]],tProdutos[Produto],0))),DescontoPadrao)</f>
        <v>0.41269841269841301</v>
      </c>
      <c r="M5418" s="12">
        <f>tItens[[#This Row],[Valor]]*(1-tItens[[#This Row],[Desconto]])</f>
        <v>679.0674603174599</v>
      </c>
      <c r="N5418" t="str">
        <f>IFERROR(INDEX(tProdutos[Foco],MATCH(tItens[[#This Row],[Produto]],tProdutos[Produto],0)),"Não")</f>
        <v>Não</v>
      </c>
      <c r="O5418" t="str">
        <f>IFERROR(INDEX(tEditais[SRP],MATCH(tItens[[#This Row],[Edital]],tEditais[Edital],0)),"Não")</f>
        <v>Sim</v>
      </c>
      <c r="P5418" s="4">
        <f>IF(COUNTIFS(INDEX(tItens[Edital],1):tItens[[#This Row],[Edital]],tItens[[#This Row],[Edital]],INDEX(tItens[Produto],1):tItens[[#This Row],[Produto]],tItens[[#This Row],[Produto]])=1,1,0)</f>
        <v>1</v>
      </c>
    </row>
    <row r="5419" spans="1:16" x14ac:dyDescent="0.25">
      <c r="A5419" t="s">
        <v>2024</v>
      </c>
      <c r="B5419">
        <v>349</v>
      </c>
      <c r="C5419" t="s">
        <v>8212</v>
      </c>
      <c r="D5419" t="s">
        <v>114</v>
      </c>
      <c r="E5419" s="13">
        <v>900</v>
      </c>
      <c r="F5419" s="12">
        <v>9.49</v>
      </c>
      <c r="G5419" t="str">
        <f>IFERROR(INDEX(tEditais[Órgão],MATCH(tItens[[#This Row],[Edital]],tEditais[Edital],0)),"")</f>
        <v>MUNICIPIO DE IBAITI</v>
      </c>
      <c r="H5419" t="str">
        <f>IFERROR(INDEX(tEditais[UF],MATCH(tItens[[#This Row],[Edital]],tEditais[Edital],0)),"")</f>
        <v>PR</v>
      </c>
      <c r="I5419" s="11">
        <f>IFERROR(INDEX(tEditais[Encerramento],MATCH(tItens[[#This Row],[Edital]],tEditais[Edital],0)),"")</f>
        <v>46308.375</v>
      </c>
      <c r="J5419" t="str">
        <f>IFERROR(INDEX(tProdutos[Classe],MATCH(tItens[[#This Row],[Produto]],tProdutos[Produto],0)),"produto não cadastrado")</f>
        <v>DISPUTADO</v>
      </c>
      <c r="K5419" s="12">
        <f>tItens[[#This Row],[Qtd]]*tItens[[#This Row],[Vlr unit]]</f>
        <v>8541</v>
      </c>
      <c r="L5419" s="6">
        <f>IFERROR(IF(INDEX(tProdutos[Desconto homologado],MATCH(tItens[[#This Row],[Produto]],tProdutos[Produto],0))="",DescontoPadrao,INDEX(tProdutos[Desconto homologado],MATCH(tItens[[#This Row],[Produto]],tProdutos[Produto],0))),DescontoPadrao)</f>
        <v>0.24332656063896899</v>
      </c>
      <c r="M5419" s="12">
        <f>tItens[[#This Row],[Valor]]*(1-tItens[[#This Row],[Desconto]])</f>
        <v>6462.7478455825658</v>
      </c>
      <c r="N5419" t="str">
        <f>IFERROR(INDEX(tProdutos[Foco],MATCH(tItens[[#This Row],[Produto]],tProdutos[Produto],0)),"Não")</f>
        <v>Não</v>
      </c>
      <c r="O5419" t="str">
        <f>IFERROR(INDEX(tEditais[SRP],MATCH(tItens[[#This Row],[Edital]],tEditais[Edital],0)),"Não")</f>
        <v>Sim</v>
      </c>
      <c r="P5419" s="4">
        <f>IF(COUNTIFS(INDEX(tItens[Edital],1):tItens[[#This Row],[Edital]],tItens[[#This Row],[Edital]],INDEX(tItens[Produto],1):tItens[[#This Row],[Produto]],tItens[[#This Row],[Produto]])=1,1,0)</f>
        <v>1</v>
      </c>
    </row>
    <row r="5420" spans="1:16" x14ac:dyDescent="0.25">
      <c r="A5420" t="s">
        <v>2024</v>
      </c>
      <c r="B5420">
        <v>352</v>
      </c>
      <c r="C5420" t="s">
        <v>8213</v>
      </c>
      <c r="D5420" t="s">
        <v>156</v>
      </c>
      <c r="E5420" s="13">
        <v>450</v>
      </c>
      <c r="F5420" s="12">
        <v>17.16</v>
      </c>
      <c r="G5420" t="str">
        <f>IFERROR(INDEX(tEditais[Órgão],MATCH(tItens[[#This Row],[Edital]],tEditais[Edital],0)),"")</f>
        <v>MUNICIPIO DE IBAITI</v>
      </c>
      <c r="H5420" t="str">
        <f>IFERROR(INDEX(tEditais[UF],MATCH(tItens[[#This Row],[Edital]],tEditais[Edital],0)),"")</f>
        <v>PR</v>
      </c>
      <c r="I5420" s="11">
        <f>IFERROR(INDEX(tEditais[Encerramento],MATCH(tItens[[#This Row],[Edital]],tEditais[Edital],0)),"")</f>
        <v>46308.375</v>
      </c>
      <c r="J5420" t="str">
        <f>IFERROR(INDEX(tProdutos[Classe],MATCH(tItens[[#This Row],[Produto]],tProdutos[Produto],0)),"produto não cadastrado")</f>
        <v>DISPUTADO</v>
      </c>
      <c r="K5420" s="12">
        <f>tItens[[#This Row],[Qtd]]*tItens[[#This Row],[Vlr unit]]</f>
        <v>7722</v>
      </c>
      <c r="L5420" s="6">
        <f>IFERROR(IF(INDEX(tProdutos[Desconto homologado],MATCH(tItens[[#This Row],[Produto]],tProdutos[Produto],0))="",DescontoPadrao,INDEX(tProdutos[Desconto homologado],MATCH(tItens[[#This Row],[Produto]],tProdutos[Produto],0))),DescontoPadrao)</f>
        <v>0.27131852489802799</v>
      </c>
      <c r="M5420" s="12">
        <f>tItens[[#This Row],[Valor]]*(1-tItens[[#This Row],[Desconto]])</f>
        <v>5626.8783507374283</v>
      </c>
      <c r="N5420" t="str">
        <f>IFERROR(INDEX(tProdutos[Foco],MATCH(tItens[[#This Row],[Produto]],tProdutos[Produto],0)),"Não")</f>
        <v>Não</v>
      </c>
      <c r="O5420" t="str">
        <f>IFERROR(INDEX(tEditais[SRP],MATCH(tItens[[#This Row],[Edital]],tEditais[Edital],0)),"Não")</f>
        <v>Sim</v>
      </c>
      <c r="P5420" s="4">
        <f>IF(COUNTIFS(INDEX(tItens[Edital],1):tItens[[#This Row],[Edital]],tItens[[#This Row],[Edital]],INDEX(tItens[Produto],1):tItens[[#This Row],[Produto]],tItens[[#This Row],[Produto]])=1,1,0)</f>
        <v>1</v>
      </c>
    </row>
    <row r="5421" spans="1:16" x14ac:dyDescent="0.25">
      <c r="A5421" t="s">
        <v>2028</v>
      </c>
      <c r="B5421">
        <v>4</v>
      </c>
      <c r="C5421" t="s">
        <v>8214</v>
      </c>
      <c r="D5421" t="s">
        <v>315</v>
      </c>
      <c r="E5421" s="13">
        <v>100</v>
      </c>
      <c r="F5421" s="12">
        <v>17.18</v>
      </c>
      <c r="G5421" t="str">
        <f>IFERROR(INDEX(tEditais[Órgão],MATCH(tItens[[#This Row],[Edital]],tEditais[Edital],0)),"")</f>
        <v>MUNICIPIO DE IMBAU</v>
      </c>
      <c r="H5421" t="str">
        <f>IFERROR(INDEX(tEditais[UF],MATCH(tItens[[#This Row],[Edital]],tEditais[Edital],0)),"")</f>
        <v>PR</v>
      </c>
      <c r="I5421" s="11">
        <f>IFERROR(INDEX(tEditais[Encerramento],MATCH(tItens[[#This Row],[Edital]],tEditais[Edital],0)),"")</f>
        <v>46308.375</v>
      </c>
      <c r="J5421" t="str">
        <f>IFERROR(INDEX(tProdutos[Classe],MATCH(tItens[[#This Row],[Produto]],tProdutos[Produto],0)),"produto não cadastrado")</f>
        <v>FORA</v>
      </c>
      <c r="K5421" s="12">
        <f>tItens[[#This Row],[Qtd]]*tItens[[#This Row],[Vlr unit]]</f>
        <v>1718</v>
      </c>
      <c r="L5421" s="6">
        <f>IFERROR(IF(INDEX(tProdutos[Desconto homologado],MATCH(tItens[[#This Row],[Produto]],tProdutos[Produto],0))="",DescontoPadrao,INDEX(tProdutos[Desconto homologado],MATCH(tItens[[#This Row],[Produto]],tProdutos[Produto],0))),DescontoPadrao)</f>
        <v>0.38432036097010702</v>
      </c>
      <c r="M5421" s="12">
        <f>tItens[[#This Row],[Valor]]*(1-tItens[[#This Row],[Desconto]])</f>
        <v>1057.7376198533561</v>
      </c>
      <c r="N5421" t="str">
        <f>IFERROR(INDEX(tProdutos[Foco],MATCH(tItens[[#This Row],[Produto]],tProdutos[Produto],0)),"Não")</f>
        <v>Não</v>
      </c>
      <c r="O5421" t="str">
        <f>IFERROR(INDEX(tEditais[SRP],MATCH(tItens[[#This Row],[Edital]],tEditais[Edital],0)),"Não")</f>
        <v>Não</v>
      </c>
      <c r="P5421" s="4">
        <f>IF(COUNTIFS(INDEX(tItens[Edital],1):tItens[[#This Row],[Edital]],tItens[[#This Row],[Edital]],INDEX(tItens[Produto],1):tItens[[#This Row],[Produto]],tItens[[#This Row],[Produto]])=1,1,0)</f>
        <v>1</v>
      </c>
    </row>
    <row r="5422" spans="1:16" x14ac:dyDescent="0.25">
      <c r="A5422" t="s">
        <v>2028</v>
      </c>
      <c r="B5422">
        <v>5</v>
      </c>
      <c r="C5422" t="s">
        <v>8215</v>
      </c>
      <c r="D5422" t="s">
        <v>315</v>
      </c>
      <c r="E5422" s="13">
        <v>100</v>
      </c>
      <c r="F5422" s="12">
        <v>14.76</v>
      </c>
      <c r="G5422" t="str">
        <f>IFERROR(INDEX(tEditais[Órgão],MATCH(tItens[[#This Row],[Edital]],tEditais[Edital],0)),"")</f>
        <v>MUNICIPIO DE IMBAU</v>
      </c>
      <c r="H5422" t="str">
        <f>IFERROR(INDEX(tEditais[UF],MATCH(tItens[[#This Row],[Edital]],tEditais[Edital],0)),"")</f>
        <v>PR</v>
      </c>
      <c r="I5422" s="11">
        <f>IFERROR(INDEX(tEditais[Encerramento],MATCH(tItens[[#This Row],[Edital]],tEditais[Edital],0)),"")</f>
        <v>46308.375</v>
      </c>
      <c r="J5422" t="str">
        <f>IFERROR(INDEX(tProdutos[Classe],MATCH(tItens[[#This Row],[Produto]],tProdutos[Produto],0)),"produto não cadastrado")</f>
        <v>FORA</v>
      </c>
      <c r="K5422" s="12">
        <f>tItens[[#This Row],[Qtd]]*tItens[[#This Row],[Vlr unit]]</f>
        <v>1476</v>
      </c>
      <c r="L5422" s="6">
        <f>IFERROR(IF(INDEX(tProdutos[Desconto homologado],MATCH(tItens[[#This Row],[Produto]],tProdutos[Produto],0))="",DescontoPadrao,INDEX(tProdutos[Desconto homologado],MATCH(tItens[[#This Row],[Produto]],tProdutos[Produto],0))),DescontoPadrao)</f>
        <v>0.38432036097010702</v>
      </c>
      <c r="M5422" s="12">
        <f>tItens[[#This Row],[Valor]]*(1-tItens[[#This Row],[Desconto]])</f>
        <v>908.74314720812208</v>
      </c>
      <c r="N5422" t="str">
        <f>IFERROR(INDEX(tProdutos[Foco],MATCH(tItens[[#This Row],[Produto]],tProdutos[Produto],0)),"Não")</f>
        <v>Não</v>
      </c>
      <c r="O5422" t="str">
        <f>IFERROR(INDEX(tEditais[SRP],MATCH(tItens[[#This Row],[Edital]],tEditais[Edital],0)),"Não")</f>
        <v>Não</v>
      </c>
      <c r="P5422" s="4">
        <f>IF(COUNTIFS(INDEX(tItens[Edital],1):tItens[[#This Row],[Edital]],tItens[[#This Row],[Edital]],INDEX(tItens[Produto],1):tItens[[#This Row],[Produto]],tItens[[#This Row],[Produto]])=1,1,0)</f>
        <v>0</v>
      </c>
    </row>
    <row r="5423" spans="1:16" x14ac:dyDescent="0.25">
      <c r="A5423" t="s">
        <v>2028</v>
      </c>
      <c r="B5423">
        <v>6</v>
      </c>
      <c r="C5423" t="s">
        <v>8216</v>
      </c>
      <c r="D5423" t="s">
        <v>297</v>
      </c>
      <c r="E5423" s="13">
        <v>450</v>
      </c>
      <c r="F5423" s="12">
        <v>13.64</v>
      </c>
      <c r="G5423" t="str">
        <f>IFERROR(INDEX(tEditais[Órgão],MATCH(tItens[[#This Row],[Edital]],tEditais[Edital],0)),"")</f>
        <v>MUNICIPIO DE IMBAU</v>
      </c>
      <c r="H5423" t="str">
        <f>IFERROR(INDEX(tEditais[UF],MATCH(tItens[[#This Row],[Edital]],tEditais[Edital],0)),"")</f>
        <v>PR</v>
      </c>
      <c r="I5423" s="11">
        <f>IFERROR(INDEX(tEditais[Encerramento],MATCH(tItens[[#This Row],[Edital]],tEditais[Edital],0)),"")</f>
        <v>46308.375</v>
      </c>
      <c r="J5423" t="str">
        <f>IFERROR(INDEX(tProdutos[Classe],MATCH(tItens[[#This Row],[Produto]],tProdutos[Produto],0)),"produto não cadastrado")</f>
        <v>FORA</v>
      </c>
      <c r="K5423" s="12">
        <f>tItens[[#This Row],[Qtd]]*tItens[[#This Row],[Vlr unit]]</f>
        <v>6138</v>
      </c>
      <c r="L5423" s="6">
        <f>IFERROR(IF(INDEX(tProdutos[Desconto homologado],MATCH(tItens[[#This Row],[Produto]],tProdutos[Produto],0))="",DescontoPadrao,INDEX(tProdutos[Desconto homologado],MATCH(tItens[[#This Row],[Produto]],tProdutos[Produto],0))),DescontoPadrao)</f>
        <v>0.249544626593807</v>
      </c>
      <c r="M5423" s="12">
        <f>tItens[[#This Row],[Valor]]*(1-tItens[[#This Row],[Desconto]])</f>
        <v>4606.2950819672124</v>
      </c>
      <c r="N5423" t="str">
        <f>IFERROR(INDEX(tProdutos[Foco],MATCH(tItens[[#This Row],[Produto]],tProdutos[Produto],0)),"Não")</f>
        <v>Não</v>
      </c>
      <c r="O5423" t="str">
        <f>IFERROR(INDEX(tEditais[SRP],MATCH(tItens[[#This Row],[Edital]],tEditais[Edital],0)),"Não")</f>
        <v>Não</v>
      </c>
      <c r="P5423" s="4">
        <f>IF(COUNTIFS(INDEX(tItens[Edital],1):tItens[[#This Row],[Edital]],tItens[[#This Row],[Edital]],INDEX(tItens[Produto],1):tItens[[#This Row],[Produto]],tItens[[#This Row],[Produto]])=1,1,0)</f>
        <v>1</v>
      </c>
    </row>
    <row r="5424" spans="1:16" x14ac:dyDescent="0.25">
      <c r="A5424" t="s">
        <v>2028</v>
      </c>
      <c r="B5424">
        <v>7</v>
      </c>
      <c r="C5424" t="s">
        <v>8217</v>
      </c>
      <c r="D5424" t="s">
        <v>315</v>
      </c>
      <c r="E5424" s="13">
        <v>450</v>
      </c>
      <c r="F5424" s="12">
        <v>19.71</v>
      </c>
      <c r="G5424" t="str">
        <f>IFERROR(INDEX(tEditais[Órgão],MATCH(tItens[[#This Row],[Edital]],tEditais[Edital],0)),"")</f>
        <v>MUNICIPIO DE IMBAU</v>
      </c>
      <c r="H5424" t="str">
        <f>IFERROR(INDEX(tEditais[UF],MATCH(tItens[[#This Row],[Edital]],tEditais[Edital],0)),"")</f>
        <v>PR</v>
      </c>
      <c r="I5424" s="11">
        <f>IFERROR(INDEX(tEditais[Encerramento],MATCH(tItens[[#This Row],[Edital]],tEditais[Edital],0)),"")</f>
        <v>46308.375</v>
      </c>
      <c r="J5424" t="str">
        <f>IFERROR(INDEX(tProdutos[Classe],MATCH(tItens[[#This Row],[Produto]],tProdutos[Produto],0)),"produto não cadastrado")</f>
        <v>FORA</v>
      </c>
      <c r="K5424" s="12">
        <f>tItens[[#This Row],[Qtd]]*tItens[[#This Row],[Vlr unit]]</f>
        <v>8869.5</v>
      </c>
      <c r="L5424" s="6">
        <f>IFERROR(IF(INDEX(tProdutos[Desconto homologado],MATCH(tItens[[#This Row],[Produto]],tProdutos[Produto],0))="",DescontoPadrao,INDEX(tProdutos[Desconto homologado],MATCH(tItens[[#This Row],[Produto]],tProdutos[Produto],0))),DescontoPadrao)</f>
        <v>0.38432036097010702</v>
      </c>
      <c r="M5424" s="12">
        <f>tItens[[#This Row],[Valor]]*(1-tItens[[#This Row],[Desconto]])</f>
        <v>5460.770558375636</v>
      </c>
      <c r="N5424" t="str">
        <f>IFERROR(INDEX(tProdutos[Foco],MATCH(tItens[[#This Row],[Produto]],tProdutos[Produto],0)),"Não")</f>
        <v>Não</v>
      </c>
      <c r="O5424" t="str">
        <f>IFERROR(INDEX(tEditais[SRP],MATCH(tItens[[#This Row],[Edital]],tEditais[Edital],0)),"Não")</f>
        <v>Não</v>
      </c>
      <c r="P5424" s="4">
        <f>IF(COUNTIFS(INDEX(tItens[Edital],1):tItens[[#This Row],[Edital]],tItens[[#This Row],[Edital]],INDEX(tItens[Produto],1):tItens[[#This Row],[Produto]],tItens[[#This Row],[Produto]])=1,1,0)</f>
        <v>0</v>
      </c>
    </row>
    <row r="5425" spans="1:16" x14ac:dyDescent="0.25">
      <c r="A5425" t="s">
        <v>2028</v>
      </c>
      <c r="B5425">
        <v>8</v>
      </c>
      <c r="C5425" t="s">
        <v>8218</v>
      </c>
      <c r="D5425" t="s">
        <v>315</v>
      </c>
      <c r="E5425" s="13">
        <v>450</v>
      </c>
      <c r="F5425" s="12">
        <v>17.309999999999999</v>
      </c>
      <c r="G5425" t="str">
        <f>IFERROR(INDEX(tEditais[Órgão],MATCH(tItens[[#This Row],[Edital]],tEditais[Edital],0)),"")</f>
        <v>MUNICIPIO DE IMBAU</v>
      </c>
      <c r="H5425" t="str">
        <f>IFERROR(INDEX(tEditais[UF],MATCH(tItens[[#This Row],[Edital]],tEditais[Edital],0)),"")</f>
        <v>PR</v>
      </c>
      <c r="I5425" s="11">
        <f>IFERROR(INDEX(tEditais[Encerramento],MATCH(tItens[[#This Row],[Edital]],tEditais[Edital],0)),"")</f>
        <v>46308.375</v>
      </c>
      <c r="J5425" t="str">
        <f>IFERROR(INDEX(tProdutos[Classe],MATCH(tItens[[#This Row],[Produto]],tProdutos[Produto],0)),"produto não cadastrado")</f>
        <v>FORA</v>
      </c>
      <c r="K5425" s="12">
        <f>tItens[[#This Row],[Qtd]]*tItens[[#This Row],[Vlr unit]]</f>
        <v>7789.4999999999991</v>
      </c>
      <c r="L5425" s="6">
        <f>IFERROR(IF(INDEX(tProdutos[Desconto homologado],MATCH(tItens[[#This Row],[Produto]],tProdutos[Produto],0))="",DescontoPadrao,INDEX(tProdutos[Desconto homologado],MATCH(tItens[[#This Row],[Produto]],tProdutos[Produto],0))),DescontoPadrao)</f>
        <v>0.38432036097010702</v>
      </c>
      <c r="M5425" s="12">
        <f>tItens[[#This Row],[Valor]]*(1-tItens[[#This Row],[Desconto]])</f>
        <v>4795.8365482233512</v>
      </c>
      <c r="N5425" t="str">
        <f>IFERROR(INDEX(tProdutos[Foco],MATCH(tItens[[#This Row],[Produto]],tProdutos[Produto],0)),"Não")</f>
        <v>Não</v>
      </c>
      <c r="O5425" t="str">
        <f>IFERROR(INDEX(tEditais[SRP],MATCH(tItens[[#This Row],[Edital]],tEditais[Edital],0)),"Não")</f>
        <v>Não</v>
      </c>
      <c r="P5425" s="4">
        <f>IF(COUNTIFS(INDEX(tItens[Edital],1):tItens[[#This Row],[Edital]],tItens[[#This Row],[Edital]],INDEX(tItens[Produto],1):tItens[[#This Row],[Produto]],tItens[[#This Row],[Produto]])=1,1,0)</f>
        <v>0</v>
      </c>
    </row>
    <row r="5426" spans="1:16" x14ac:dyDescent="0.25">
      <c r="A5426" t="s">
        <v>2028</v>
      </c>
      <c r="B5426">
        <v>18</v>
      </c>
      <c r="C5426" t="s">
        <v>8219</v>
      </c>
      <c r="D5426" t="s">
        <v>132</v>
      </c>
      <c r="E5426" s="13">
        <v>60</v>
      </c>
      <c r="F5426" s="12">
        <v>17.25</v>
      </c>
      <c r="G5426" t="str">
        <f>IFERROR(INDEX(tEditais[Órgão],MATCH(tItens[[#This Row],[Edital]],tEditais[Edital],0)),"")</f>
        <v>MUNICIPIO DE IMBAU</v>
      </c>
      <c r="H5426" t="str">
        <f>IFERROR(INDEX(tEditais[UF],MATCH(tItens[[#This Row],[Edital]],tEditais[Edital],0)),"")</f>
        <v>PR</v>
      </c>
      <c r="I5426" s="11">
        <f>IFERROR(INDEX(tEditais[Encerramento],MATCH(tItens[[#This Row],[Edital]],tEditais[Edital],0)),"")</f>
        <v>46308.375</v>
      </c>
      <c r="J5426" t="str">
        <f>IFERROR(INDEX(tProdutos[Classe],MATCH(tItens[[#This Row],[Produto]],tProdutos[Produto],0)),"produto não cadastrado")</f>
        <v>NÚCLEO</v>
      </c>
      <c r="K5426" s="12">
        <f>tItens[[#This Row],[Qtd]]*tItens[[#This Row],[Vlr unit]]</f>
        <v>1035</v>
      </c>
      <c r="L5426" s="6">
        <f>IFERROR(IF(INDEX(tProdutos[Desconto homologado],MATCH(tItens[[#This Row],[Produto]],tProdutos[Produto],0))="",DescontoPadrao,INDEX(tProdutos[Desconto homologado],MATCH(tItens[[#This Row],[Produto]],tProdutos[Produto],0))),DescontoPadrao)</f>
        <v>0.27</v>
      </c>
      <c r="M5426" s="12">
        <f>tItens[[#This Row],[Valor]]*(1-tItens[[#This Row],[Desconto]])</f>
        <v>755.55</v>
      </c>
      <c r="N5426" t="str">
        <f>IFERROR(INDEX(tProdutos[Foco],MATCH(tItens[[#This Row],[Produto]],tProdutos[Produto],0)),"Não")</f>
        <v>Sim</v>
      </c>
      <c r="O5426" t="str">
        <f>IFERROR(INDEX(tEditais[SRP],MATCH(tItens[[#This Row],[Edital]],tEditais[Edital],0)),"Não")</f>
        <v>Não</v>
      </c>
      <c r="P5426" s="4">
        <f>IF(COUNTIFS(INDEX(tItens[Edital],1):tItens[[#This Row],[Edital]],tItens[[#This Row],[Edital]],INDEX(tItens[Produto],1):tItens[[#This Row],[Produto]],tItens[[#This Row],[Produto]])=1,1,0)</f>
        <v>1</v>
      </c>
    </row>
    <row r="5427" spans="1:16" x14ac:dyDescent="0.25">
      <c r="A5427" t="s">
        <v>2028</v>
      </c>
      <c r="B5427">
        <v>20</v>
      </c>
      <c r="C5427" t="s">
        <v>8220</v>
      </c>
      <c r="D5427" t="s">
        <v>569</v>
      </c>
      <c r="E5427" s="13">
        <v>15</v>
      </c>
      <c r="F5427" s="12">
        <v>72.61</v>
      </c>
      <c r="G5427" t="str">
        <f>IFERROR(INDEX(tEditais[Órgão],MATCH(tItens[[#This Row],[Edital]],tEditais[Edital],0)),"")</f>
        <v>MUNICIPIO DE IMBAU</v>
      </c>
      <c r="H5427" t="str">
        <f>IFERROR(INDEX(tEditais[UF],MATCH(tItens[[#This Row],[Edital]],tEditais[Edital],0)),"")</f>
        <v>PR</v>
      </c>
      <c r="I5427" s="11">
        <f>IFERROR(INDEX(tEditais[Encerramento],MATCH(tItens[[#This Row],[Edital]],tEditais[Edital],0)),"")</f>
        <v>46308.375</v>
      </c>
      <c r="J5427" t="str">
        <f>IFERROR(INDEX(tProdutos[Classe],MATCH(tItens[[#This Row],[Produto]],tProdutos[Produto],0)),"produto não cadastrado")</f>
        <v>FILA REBASE</v>
      </c>
      <c r="K5427" s="12">
        <f>tItens[[#This Row],[Qtd]]*tItens[[#This Row],[Vlr unit]]</f>
        <v>1089.1500000000001</v>
      </c>
      <c r="L5427" s="6">
        <f>IFERROR(IF(INDEX(tProdutos[Desconto homologado],MATCH(tItens[[#This Row],[Produto]],tProdutos[Produto],0))="",DescontoPadrao,INDEX(tProdutos[Desconto homologado],MATCH(tItens[[#This Row],[Produto]],tProdutos[Produto],0))),DescontoPadrao)</f>
        <v>0.3</v>
      </c>
      <c r="M5427" s="12">
        <f>tItens[[#This Row],[Valor]]*(1-tItens[[#This Row],[Desconto]])</f>
        <v>762.40499999999997</v>
      </c>
      <c r="N5427" t="str">
        <f>IFERROR(INDEX(tProdutos[Foco],MATCH(tItens[[#This Row],[Produto]],tProdutos[Produto],0)),"Não")</f>
        <v>Não</v>
      </c>
      <c r="O5427" t="str">
        <f>IFERROR(INDEX(tEditais[SRP],MATCH(tItens[[#This Row],[Edital]],tEditais[Edital],0)),"Não")</f>
        <v>Não</v>
      </c>
      <c r="P5427" s="4">
        <f>IF(COUNTIFS(INDEX(tItens[Edital],1):tItens[[#This Row],[Edital]],tItens[[#This Row],[Edital]],INDEX(tItens[Produto],1):tItens[[#This Row],[Produto]],tItens[[#This Row],[Produto]])=1,1,0)</f>
        <v>1</v>
      </c>
    </row>
    <row r="5428" spans="1:16" x14ac:dyDescent="0.25">
      <c r="A5428" t="s">
        <v>2028</v>
      </c>
      <c r="B5428">
        <v>24</v>
      </c>
      <c r="C5428" t="s">
        <v>8221</v>
      </c>
      <c r="D5428" t="s">
        <v>62</v>
      </c>
      <c r="E5428" s="13">
        <v>800</v>
      </c>
      <c r="F5428" s="12">
        <v>9.1</v>
      </c>
      <c r="G5428" t="str">
        <f>IFERROR(INDEX(tEditais[Órgão],MATCH(tItens[[#This Row],[Edital]],tEditais[Edital],0)),"")</f>
        <v>MUNICIPIO DE IMBAU</v>
      </c>
      <c r="H5428" t="str">
        <f>IFERROR(INDEX(tEditais[UF],MATCH(tItens[[#This Row],[Edital]],tEditais[Edital],0)),"")</f>
        <v>PR</v>
      </c>
      <c r="I5428" s="11">
        <f>IFERROR(INDEX(tEditais[Encerramento],MATCH(tItens[[#This Row],[Edital]],tEditais[Edital],0)),"")</f>
        <v>46308.375</v>
      </c>
      <c r="J5428" t="str">
        <f>IFERROR(INDEX(tProdutos[Classe],MATCH(tItens[[#This Row],[Produto]],tProdutos[Produto],0)),"produto não cadastrado")</f>
        <v>NÚCLEO</v>
      </c>
      <c r="K5428" s="12">
        <f>tItens[[#This Row],[Qtd]]*tItens[[#This Row],[Vlr unit]]</f>
        <v>7280</v>
      </c>
      <c r="L5428" s="6">
        <f>IFERROR(IF(INDEX(tProdutos[Desconto homologado],MATCH(tItens[[#This Row],[Produto]],tProdutos[Produto],0))="",DescontoPadrao,INDEX(tProdutos[Desconto homologado],MATCH(tItens[[#This Row],[Produto]],tProdutos[Produto],0))),DescontoPadrao)</f>
        <v>0.3</v>
      </c>
      <c r="M5428" s="12">
        <f>tItens[[#This Row],[Valor]]*(1-tItens[[#This Row],[Desconto]])</f>
        <v>5096</v>
      </c>
      <c r="N5428" t="str">
        <f>IFERROR(INDEX(tProdutos[Foco],MATCH(tItens[[#This Row],[Produto]],tProdutos[Produto],0)),"Não")</f>
        <v>Sim</v>
      </c>
      <c r="O5428" t="str">
        <f>IFERROR(INDEX(tEditais[SRP],MATCH(tItens[[#This Row],[Edital]],tEditais[Edital],0)),"Não")</f>
        <v>Não</v>
      </c>
      <c r="P5428" s="4">
        <f>IF(COUNTIFS(INDEX(tItens[Edital],1):tItens[[#This Row],[Edital]],tItens[[#This Row],[Edital]],INDEX(tItens[Produto],1):tItens[[#This Row],[Produto]],tItens[[#This Row],[Produto]])=1,1,0)</f>
        <v>1</v>
      </c>
    </row>
    <row r="5429" spans="1:16" x14ac:dyDescent="0.25">
      <c r="A5429" t="s">
        <v>2028</v>
      </c>
      <c r="B5429">
        <v>26</v>
      </c>
      <c r="C5429" t="s">
        <v>8222</v>
      </c>
      <c r="D5429" t="s">
        <v>421</v>
      </c>
      <c r="E5429" s="13">
        <v>20</v>
      </c>
      <c r="F5429" s="12">
        <v>61.75</v>
      </c>
      <c r="G5429" t="str">
        <f>IFERROR(INDEX(tEditais[Órgão],MATCH(tItens[[#This Row],[Edital]],tEditais[Edital],0)),"")</f>
        <v>MUNICIPIO DE IMBAU</v>
      </c>
      <c r="H5429" t="str">
        <f>IFERROR(INDEX(tEditais[UF],MATCH(tItens[[#This Row],[Edital]],tEditais[Edital],0)),"")</f>
        <v>PR</v>
      </c>
      <c r="I5429" s="11">
        <f>IFERROR(INDEX(tEditais[Encerramento],MATCH(tItens[[#This Row],[Edital]],tEditais[Edital],0)),"")</f>
        <v>46308.375</v>
      </c>
      <c r="J5429" t="str">
        <f>IFERROR(INDEX(tProdutos[Classe],MATCH(tItens[[#This Row],[Produto]],tProdutos[Produto],0)),"produto não cadastrado")</f>
        <v>FORA</v>
      </c>
      <c r="K5429" s="12">
        <f>tItens[[#This Row],[Qtd]]*tItens[[#This Row],[Vlr unit]]</f>
        <v>1235</v>
      </c>
      <c r="L5429" s="6">
        <f>IFERROR(IF(INDEX(tProdutos[Desconto homologado],MATCH(tItens[[#This Row],[Produto]],tProdutos[Produto],0))="",DescontoPadrao,INDEX(tProdutos[Desconto homologado],MATCH(tItens[[#This Row],[Produto]],tProdutos[Produto],0))),DescontoPadrao)</f>
        <v>0.43</v>
      </c>
      <c r="M5429" s="12">
        <f>tItens[[#This Row],[Valor]]*(1-tItens[[#This Row],[Desconto]])</f>
        <v>703.95</v>
      </c>
      <c r="N5429" t="str">
        <f>IFERROR(INDEX(tProdutos[Foco],MATCH(tItens[[#This Row],[Produto]],tProdutos[Produto],0)),"Não")</f>
        <v>Sim</v>
      </c>
      <c r="O5429" t="str">
        <f>IFERROR(INDEX(tEditais[SRP],MATCH(tItens[[#This Row],[Edital]],tEditais[Edital],0)),"Não")</f>
        <v>Não</v>
      </c>
      <c r="P5429" s="4">
        <f>IF(COUNTIFS(INDEX(tItens[Edital],1):tItens[[#This Row],[Edital]],tItens[[#This Row],[Edital]],INDEX(tItens[Produto],1):tItens[[#This Row],[Produto]],tItens[[#This Row],[Produto]])=1,1,0)</f>
        <v>1</v>
      </c>
    </row>
    <row r="5430" spans="1:16" x14ac:dyDescent="0.25">
      <c r="A5430" t="s">
        <v>2028</v>
      </c>
      <c r="B5430">
        <v>27</v>
      </c>
      <c r="C5430" t="s">
        <v>8223</v>
      </c>
      <c r="D5430" t="s">
        <v>423</v>
      </c>
      <c r="E5430" s="13">
        <v>10</v>
      </c>
      <c r="F5430" s="12">
        <v>64.959999999999994</v>
      </c>
      <c r="G5430" t="str">
        <f>IFERROR(INDEX(tEditais[Órgão],MATCH(tItens[[#This Row],[Edital]],tEditais[Edital],0)),"")</f>
        <v>MUNICIPIO DE IMBAU</v>
      </c>
      <c r="H5430" t="str">
        <f>IFERROR(INDEX(tEditais[UF],MATCH(tItens[[#This Row],[Edital]],tEditais[Edital],0)),"")</f>
        <v>PR</v>
      </c>
      <c r="I5430" s="11">
        <f>IFERROR(INDEX(tEditais[Encerramento],MATCH(tItens[[#This Row],[Edital]],tEditais[Edital],0)),"")</f>
        <v>46308.375</v>
      </c>
      <c r="J5430" t="str">
        <f>IFERROR(INDEX(tProdutos[Classe],MATCH(tItens[[#This Row],[Produto]],tProdutos[Produto],0)),"produto não cadastrado")</f>
        <v>FORA</v>
      </c>
      <c r="K5430" s="12">
        <f>tItens[[#This Row],[Qtd]]*tItens[[#This Row],[Vlr unit]]</f>
        <v>649.59999999999991</v>
      </c>
      <c r="L5430" s="6">
        <f>IFERROR(IF(INDEX(tProdutos[Desconto homologado],MATCH(tItens[[#This Row],[Produto]],tProdutos[Produto],0))="",DescontoPadrao,INDEX(tProdutos[Desconto homologado],MATCH(tItens[[#This Row],[Produto]],tProdutos[Produto],0))),DescontoPadrao)</f>
        <v>0.38271604938271597</v>
      </c>
      <c r="M5430" s="12">
        <f>tItens[[#This Row],[Valor]]*(1-tItens[[#This Row],[Desconto]])</f>
        <v>400.98765432098764</v>
      </c>
      <c r="N5430" t="str">
        <f>IFERROR(INDEX(tProdutos[Foco],MATCH(tItens[[#This Row],[Produto]],tProdutos[Produto],0)),"Não")</f>
        <v>Não</v>
      </c>
      <c r="O5430" t="str">
        <f>IFERROR(INDEX(tEditais[SRP],MATCH(tItens[[#This Row],[Edital]],tEditais[Edital],0)),"Não")</f>
        <v>Não</v>
      </c>
      <c r="P5430" s="4">
        <f>IF(COUNTIFS(INDEX(tItens[Edital],1):tItens[[#This Row],[Edital]],tItens[[#This Row],[Edital]],INDEX(tItens[Produto],1):tItens[[#This Row],[Produto]],tItens[[#This Row],[Produto]])=1,1,0)</f>
        <v>1</v>
      </c>
    </row>
    <row r="5431" spans="1:16" x14ac:dyDescent="0.25">
      <c r="A5431" t="s">
        <v>2028</v>
      </c>
      <c r="B5431">
        <v>32</v>
      </c>
      <c r="C5431" t="s">
        <v>8224</v>
      </c>
      <c r="D5431" t="s">
        <v>329</v>
      </c>
      <c r="E5431" s="13">
        <v>10</v>
      </c>
      <c r="F5431" s="12">
        <v>120.05</v>
      </c>
      <c r="G5431" t="str">
        <f>IFERROR(INDEX(tEditais[Órgão],MATCH(tItens[[#This Row],[Edital]],tEditais[Edital],0)),"")</f>
        <v>MUNICIPIO DE IMBAU</v>
      </c>
      <c r="H5431" t="str">
        <f>IFERROR(INDEX(tEditais[UF],MATCH(tItens[[#This Row],[Edital]],tEditais[Edital],0)),"")</f>
        <v>PR</v>
      </c>
      <c r="I5431" s="11">
        <f>IFERROR(INDEX(tEditais[Encerramento],MATCH(tItens[[#This Row],[Edital]],tEditais[Edital],0)),"")</f>
        <v>46308.375</v>
      </c>
      <c r="J5431" t="str">
        <f>IFERROR(INDEX(tProdutos[Classe],MATCH(tItens[[#This Row],[Produto]],tProdutos[Produto],0)),"produto não cadastrado")</f>
        <v>FORA</v>
      </c>
      <c r="K5431" s="12">
        <f>tItens[[#This Row],[Qtd]]*tItens[[#This Row],[Vlr unit]]</f>
        <v>1200.5</v>
      </c>
      <c r="L5431" s="6">
        <f>IFERROR(IF(INDEX(tProdutos[Desconto homologado],MATCH(tItens[[#This Row],[Produto]],tProdutos[Produto],0))="",DescontoPadrao,INDEX(tProdutos[Desconto homologado],MATCH(tItens[[#This Row],[Produto]],tProdutos[Produto],0))),DescontoPadrao)</f>
        <v>0.46441781031074703</v>
      </c>
      <c r="M5431" s="12">
        <f>tItens[[#This Row],[Valor]]*(1-tItens[[#This Row],[Desconto]])</f>
        <v>642.96641872194823</v>
      </c>
      <c r="N5431" t="str">
        <f>IFERROR(INDEX(tProdutos[Foco],MATCH(tItens[[#This Row],[Produto]],tProdutos[Produto],0)),"Não")</f>
        <v>Não</v>
      </c>
      <c r="O5431" t="str">
        <f>IFERROR(INDEX(tEditais[SRP],MATCH(tItens[[#This Row],[Edital]],tEditais[Edital],0)),"Não")</f>
        <v>Não</v>
      </c>
      <c r="P5431" s="4">
        <f>IF(COUNTIFS(INDEX(tItens[Edital],1):tItens[[#This Row],[Edital]],tItens[[#This Row],[Edital]],INDEX(tItens[Produto],1):tItens[[#This Row],[Produto]],tItens[[#This Row],[Produto]])=1,1,0)</f>
        <v>1</v>
      </c>
    </row>
    <row r="5432" spans="1:16" x14ac:dyDescent="0.25">
      <c r="A5432" t="s">
        <v>2028</v>
      </c>
      <c r="B5432">
        <v>33</v>
      </c>
      <c r="C5432" t="s">
        <v>8225</v>
      </c>
      <c r="D5432" t="s">
        <v>335</v>
      </c>
      <c r="E5432" s="13">
        <v>10</v>
      </c>
      <c r="F5432" s="12">
        <v>119.34</v>
      </c>
      <c r="G5432" t="str">
        <f>IFERROR(INDEX(tEditais[Órgão],MATCH(tItens[[#This Row],[Edital]],tEditais[Edital],0)),"")</f>
        <v>MUNICIPIO DE IMBAU</v>
      </c>
      <c r="H5432" t="str">
        <f>IFERROR(INDEX(tEditais[UF],MATCH(tItens[[#This Row],[Edital]],tEditais[Edital],0)),"")</f>
        <v>PR</v>
      </c>
      <c r="I5432" s="11">
        <f>IFERROR(INDEX(tEditais[Encerramento],MATCH(tItens[[#This Row],[Edital]],tEditais[Edital],0)),"")</f>
        <v>46308.375</v>
      </c>
      <c r="J5432" t="str">
        <f>IFERROR(INDEX(tProdutos[Classe],MATCH(tItens[[#This Row],[Produto]],tProdutos[Produto],0)),"produto não cadastrado")</f>
        <v>FORA</v>
      </c>
      <c r="K5432" s="12">
        <f>tItens[[#This Row],[Qtd]]*tItens[[#This Row],[Vlr unit]]</f>
        <v>1193.4000000000001</v>
      </c>
      <c r="L5432" s="6">
        <f>IFERROR(IF(INDEX(tProdutos[Desconto homologado],MATCH(tItens[[#This Row],[Produto]],tProdutos[Produto],0))="",DescontoPadrao,INDEX(tProdutos[Desconto homologado],MATCH(tItens[[#This Row],[Produto]],tProdutos[Produto],0))),DescontoPadrao)</f>
        <v>0.419047619047619</v>
      </c>
      <c r="M5432" s="12">
        <f>tItens[[#This Row],[Valor]]*(1-tItens[[#This Row],[Desconto]])</f>
        <v>693.30857142857155</v>
      </c>
      <c r="N5432" t="str">
        <f>IFERROR(INDEX(tProdutos[Foco],MATCH(tItens[[#This Row],[Produto]],tProdutos[Produto],0)),"Não")</f>
        <v>Não</v>
      </c>
      <c r="O5432" t="str">
        <f>IFERROR(INDEX(tEditais[SRP],MATCH(tItens[[#This Row],[Edital]],tEditais[Edital],0)),"Não")</f>
        <v>Não</v>
      </c>
      <c r="P5432" s="4">
        <f>IF(COUNTIFS(INDEX(tItens[Edital],1):tItens[[#This Row],[Edital]],tItens[[#This Row],[Edital]],INDEX(tItens[Produto],1):tItens[[#This Row],[Produto]],tItens[[#This Row],[Produto]])=1,1,0)</f>
        <v>1</v>
      </c>
    </row>
    <row r="5433" spans="1:16" x14ac:dyDescent="0.25">
      <c r="A5433" t="s">
        <v>2028</v>
      </c>
      <c r="B5433">
        <v>34</v>
      </c>
      <c r="C5433" t="s">
        <v>8226</v>
      </c>
      <c r="D5433" t="s">
        <v>365</v>
      </c>
      <c r="E5433" s="13">
        <v>10</v>
      </c>
      <c r="F5433" s="12">
        <v>119.34</v>
      </c>
      <c r="G5433" t="str">
        <f>IFERROR(INDEX(tEditais[Órgão],MATCH(tItens[[#This Row],[Edital]],tEditais[Edital],0)),"")</f>
        <v>MUNICIPIO DE IMBAU</v>
      </c>
      <c r="H5433" t="str">
        <f>IFERROR(INDEX(tEditais[UF],MATCH(tItens[[#This Row],[Edital]],tEditais[Edital],0)),"")</f>
        <v>PR</v>
      </c>
      <c r="I5433" s="11">
        <f>IFERROR(INDEX(tEditais[Encerramento],MATCH(tItens[[#This Row],[Edital]],tEditais[Edital],0)),"")</f>
        <v>46308.375</v>
      </c>
      <c r="J5433" t="str">
        <f>IFERROR(INDEX(tProdutos[Classe],MATCH(tItens[[#This Row],[Produto]],tProdutos[Produto],0)),"produto não cadastrado")</f>
        <v>FORA</v>
      </c>
      <c r="K5433" s="12">
        <f>tItens[[#This Row],[Qtd]]*tItens[[#This Row],[Vlr unit]]</f>
        <v>1193.4000000000001</v>
      </c>
      <c r="L5433" s="6">
        <f>IFERROR(IF(INDEX(tProdutos[Desconto homologado],MATCH(tItens[[#This Row],[Produto]],tProdutos[Produto],0))="",DescontoPadrao,INDEX(tProdutos[Desconto homologado],MATCH(tItens[[#This Row],[Produto]],tProdutos[Produto],0))),DescontoPadrao)</f>
        <v>0.41120529659182697</v>
      </c>
      <c r="M5433" s="12">
        <f>tItens[[#This Row],[Valor]]*(1-tItens[[#This Row],[Desconto]])</f>
        <v>702.66759904731384</v>
      </c>
      <c r="N5433" t="str">
        <f>IFERROR(INDEX(tProdutos[Foco],MATCH(tItens[[#This Row],[Produto]],tProdutos[Produto],0)),"Não")</f>
        <v>Não</v>
      </c>
      <c r="O5433" t="str">
        <f>IFERROR(INDEX(tEditais[SRP],MATCH(tItens[[#This Row],[Edital]],tEditais[Edital],0)),"Não")</f>
        <v>Não</v>
      </c>
      <c r="P5433" s="4">
        <f>IF(COUNTIFS(INDEX(tItens[Edital],1):tItens[[#This Row],[Edital]],tItens[[#This Row],[Edital]],INDEX(tItens[Produto],1):tItens[[#This Row],[Produto]],tItens[[#This Row],[Produto]])=1,1,0)</f>
        <v>1</v>
      </c>
    </row>
    <row r="5434" spans="1:16" x14ac:dyDescent="0.25">
      <c r="A5434" t="s">
        <v>2028</v>
      </c>
      <c r="B5434">
        <v>35</v>
      </c>
      <c r="C5434" t="s">
        <v>8227</v>
      </c>
      <c r="D5434" t="s">
        <v>379</v>
      </c>
      <c r="E5434" s="13">
        <v>120</v>
      </c>
      <c r="F5434" s="12">
        <v>123.89</v>
      </c>
      <c r="G5434" t="str">
        <f>IFERROR(INDEX(tEditais[Órgão],MATCH(tItens[[#This Row],[Edital]],tEditais[Edital],0)),"")</f>
        <v>MUNICIPIO DE IMBAU</v>
      </c>
      <c r="H5434" t="str">
        <f>IFERROR(INDEX(tEditais[UF],MATCH(tItens[[#This Row],[Edital]],tEditais[Edital],0)),"")</f>
        <v>PR</v>
      </c>
      <c r="I5434" s="11">
        <f>IFERROR(INDEX(tEditais[Encerramento],MATCH(tItens[[#This Row],[Edital]],tEditais[Edital],0)),"")</f>
        <v>46308.375</v>
      </c>
      <c r="J5434" t="str">
        <f>IFERROR(INDEX(tProdutos[Classe],MATCH(tItens[[#This Row],[Produto]],tProdutos[Produto],0)),"produto não cadastrado")</f>
        <v>FORA</v>
      </c>
      <c r="K5434" s="12">
        <f>tItens[[#This Row],[Qtd]]*tItens[[#This Row],[Vlr unit]]</f>
        <v>14866.8</v>
      </c>
      <c r="L5434" s="6">
        <f>IFERROR(IF(INDEX(tProdutos[Desconto homologado],MATCH(tItens[[#This Row],[Produto]],tProdutos[Produto],0))="",DescontoPadrao,INDEX(tProdutos[Desconto homologado],MATCH(tItens[[#This Row],[Produto]],tProdutos[Produto],0))),DescontoPadrao)</f>
        <v>0.49504950495049499</v>
      </c>
      <c r="M5434" s="12">
        <f>tItens[[#This Row],[Valor]]*(1-tItens[[#This Row],[Desconto]])</f>
        <v>7506.9980198019803</v>
      </c>
      <c r="N5434" t="str">
        <f>IFERROR(INDEX(tProdutos[Foco],MATCH(tItens[[#This Row],[Produto]],tProdutos[Produto],0)),"Não")</f>
        <v>Não</v>
      </c>
      <c r="O5434" t="str">
        <f>IFERROR(INDEX(tEditais[SRP],MATCH(tItens[[#This Row],[Edital]],tEditais[Edital],0)),"Não")</f>
        <v>Não</v>
      </c>
      <c r="P5434" s="4">
        <f>IF(COUNTIFS(INDEX(tItens[Edital],1):tItens[[#This Row],[Edital]],tItens[[#This Row],[Edital]],INDEX(tItens[Produto],1):tItens[[#This Row],[Produto]],tItens[[#This Row],[Produto]])=1,1,0)</f>
        <v>1</v>
      </c>
    </row>
    <row r="5435" spans="1:16" x14ac:dyDescent="0.25">
      <c r="A5435" t="s">
        <v>2028</v>
      </c>
      <c r="B5435">
        <v>36</v>
      </c>
      <c r="C5435" t="s">
        <v>8228</v>
      </c>
      <c r="D5435" t="s">
        <v>247</v>
      </c>
      <c r="E5435" s="13">
        <v>150</v>
      </c>
      <c r="F5435" s="12">
        <v>123.05</v>
      </c>
      <c r="G5435" t="str">
        <f>IFERROR(INDEX(tEditais[Órgão],MATCH(tItens[[#This Row],[Edital]],tEditais[Edital],0)),"")</f>
        <v>MUNICIPIO DE IMBAU</v>
      </c>
      <c r="H5435" t="str">
        <f>IFERROR(INDEX(tEditais[UF],MATCH(tItens[[#This Row],[Edital]],tEditais[Edital],0)),"")</f>
        <v>PR</v>
      </c>
      <c r="I5435" s="11">
        <f>IFERROR(INDEX(tEditais[Encerramento],MATCH(tItens[[#This Row],[Edital]],tEditais[Edital],0)),"")</f>
        <v>46308.375</v>
      </c>
      <c r="J5435" t="str">
        <f>IFERROR(INDEX(tProdutos[Classe],MATCH(tItens[[#This Row],[Produto]],tProdutos[Produto],0)),"produto não cadastrado")</f>
        <v>FORA</v>
      </c>
      <c r="K5435" s="12">
        <f>tItens[[#This Row],[Qtd]]*tItens[[#This Row],[Vlr unit]]</f>
        <v>18457.5</v>
      </c>
      <c r="L5435" s="6">
        <f>IFERROR(IF(INDEX(tProdutos[Desconto homologado],MATCH(tItens[[#This Row],[Produto]],tProdutos[Produto],0))="",DescontoPadrao,INDEX(tProdutos[Desconto homologado],MATCH(tItens[[#This Row],[Produto]],tProdutos[Produto],0))),DescontoPadrao)</f>
        <v>0.27353256199762999</v>
      </c>
      <c r="M5435" s="12">
        <f>tItens[[#This Row],[Valor]]*(1-tItens[[#This Row],[Desconto]])</f>
        <v>13408.772736928744</v>
      </c>
      <c r="N5435" t="str">
        <f>IFERROR(INDEX(tProdutos[Foco],MATCH(tItens[[#This Row],[Produto]],tProdutos[Produto],0)),"Não")</f>
        <v>Não</v>
      </c>
      <c r="O5435" t="str">
        <f>IFERROR(INDEX(tEditais[SRP],MATCH(tItens[[#This Row],[Edital]],tEditais[Edital],0)),"Não")</f>
        <v>Não</v>
      </c>
      <c r="P5435" s="4">
        <f>IF(COUNTIFS(INDEX(tItens[Edital],1):tItens[[#This Row],[Edital]],tItens[[#This Row],[Edital]],INDEX(tItens[Produto],1):tItens[[#This Row],[Produto]],tItens[[#This Row],[Produto]])=1,1,0)</f>
        <v>1</v>
      </c>
    </row>
    <row r="5436" spans="1:16" x14ac:dyDescent="0.25">
      <c r="A5436" t="s">
        <v>2028</v>
      </c>
      <c r="B5436">
        <v>37</v>
      </c>
      <c r="C5436" t="s">
        <v>8229</v>
      </c>
      <c r="D5436" t="s">
        <v>287</v>
      </c>
      <c r="E5436" s="13">
        <v>150</v>
      </c>
      <c r="F5436" s="12">
        <v>124.31</v>
      </c>
      <c r="G5436" t="str">
        <f>IFERROR(INDEX(tEditais[Órgão],MATCH(tItens[[#This Row],[Edital]],tEditais[Edital],0)),"")</f>
        <v>MUNICIPIO DE IMBAU</v>
      </c>
      <c r="H5436" t="str">
        <f>IFERROR(INDEX(tEditais[UF],MATCH(tItens[[#This Row],[Edital]],tEditais[Edital],0)),"")</f>
        <v>PR</v>
      </c>
      <c r="I5436" s="11">
        <f>IFERROR(INDEX(tEditais[Encerramento],MATCH(tItens[[#This Row],[Edital]],tEditais[Edital],0)),"")</f>
        <v>46308.375</v>
      </c>
      <c r="J5436" t="str">
        <f>IFERROR(INDEX(tProdutos[Classe],MATCH(tItens[[#This Row],[Produto]],tProdutos[Produto],0)),"produto não cadastrado")</f>
        <v>FORA</v>
      </c>
      <c r="K5436" s="12">
        <f>tItens[[#This Row],[Qtd]]*tItens[[#This Row],[Vlr unit]]</f>
        <v>18646.5</v>
      </c>
      <c r="L5436" s="6">
        <f>IFERROR(IF(INDEX(tProdutos[Desconto homologado],MATCH(tItens[[#This Row],[Produto]],tProdutos[Produto],0))="",DescontoPadrao,INDEX(tProdutos[Desconto homologado],MATCH(tItens[[#This Row],[Produto]],tProdutos[Produto],0))),DescontoPadrao)</f>
        <v>0.46344491178876002</v>
      </c>
      <c r="M5436" s="12">
        <f>tItens[[#This Row],[Valor]]*(1-tItens[[#This Row],[Desconto]])</f>
        <v>10004.874452330887</v>
      </c>
      <c r="N5436" t="str">
        <f>IFERROR(INDEX(tProdutos[Foco],MATCH(tItens[[#This Row],[Produto]],tProdutos[Produto],0)),"Não")</f>
        <v>Não</v>
      </c>
      <c r="O5436" t="str">
        <f>IFERROR(INDEX(tEditais[SRP],MATCH(tItens[[#This Row],[Edital]],tEditais[Edital],0)),"Não")</f>
        <v>Não</v>
      </c>
      <c r="P5436" s="4">
        <f>IF(COUNTIFS(INDEX(tItens[Edital],1):tItens[[#This Row],[Edital]],tItens[[#This Row],[Edital]],INDEX(tItens[Produto],1):tItens[[#This Row],[Produto]],tItens[[#This Row],[Produto]])=1,1,0)</f>
        <v>1</v>
      </c>
    </row>
    <row r="5437" spans="1:16" x14ac:dyDescent="0.25">
      <c r="A5437" t="s">
        <v>2028</v>
      </c>
      <c r="B5437">
        <v>38</v>
      </c>
      <c r="C5437" t="s">
        <v>8230</v>
      </c>
      <c r="D5437" t="s">
        <v>73</v>
      </c>
      <c r="E5437" s="13">
        <v>450</v>
      </c>
      <c r="F5437" s="12">
        <v>2.62</v>
      </c>
      <c r="G5437" t="str">
        <f>IFERROR(INDEX(tEditais[Órgão],MATCH(tItens[[#This Row],[Edital]],tEditais[Edital],0)),"")</f>
        <v>MUNICIPIO DE IMBAU</v>
      </c>
      <c r="H5437" t="str">
        <f>IFERROR(INDEX(tEditais[UF],MATCH(tItens[[#This Row],[Edital]],tEditais[Edital],0)),"")</f>
        <v>PR</v>
      </c>
      <c r="I5437" s="11">
        <f>IFERROR(INDEX(tEditais[Encerramento],MATCH(tItens[[#This Row],[Edital]],tEditais[Edital],0)),"")</f>
        <v>46308.375</v>
      </c>
      <c r="J5437" t="str">
        <f>IFERROR(INDEX(tProdutos[Classe],MATCH(tItens[[#This Row],[Produto]],tProdutos[Produto],0)),"produto não cadastrado")</f>
        <v>NÚCLEO</v>
      </c>
      <c r="K5437" s="12">
        <f>tItens[[#This Row],[Qtd]]*tItens[[#This Row],[Vlr unit]]</f>
        <v>1179</v>
      </c>
      <c r="L5437" s="6">
        <f>IFERROR(IF(INDEX(tProdutos[Desconto homologado],MATCH(tItens[[#This Row],[Produto]],tProdutos[Produto],0))="",DescontoPadrao,INDEX(tProdutos[Desconto homologado],MATCH(tItens[[#This Row],[Produto]],tProdutos[Produto],0))),DescontoPadrao)</f>
        <v>0.37</v>
      </c>
      <c r="M5437" s="12">
        <f>tItens[[#This Row],[Valor]]*(1-tItens[[#This Row],[Desconto]])</f>
        <v>742.77</v>
      </c>
      <c r="N5437" t="str">
        <f>IFERROR(INDEX(tProdutos[Foco],MATCH(tItens[[#This Row],[Produto]],tProdutos[Produto],0)),"Não")</f>
        <v>Sim</v>
      </c>
      <c r="O5437" t="str">
        <f>IFERROR(INDEX(tEditais[SRP],MATCH(tItens[[#This Row],[Edital]],tEditais[Edital],0)),"Não")</f>
        <v>Não</v>
      </c>
      <c r="P5437" s="4">
        <f>IF(COUNTIFS(INDEX(tItens[Edital],1):tItens[[#This Row],[Edital]],tItens[[#This Row],[Edital]],INDEX(tItens[Produto],1):tItens[[#This Row],[Produto]],tItens[[#This Row],[Produto]])=1,1,0)</f>
        <v>1</v>
      </c>
    </row>
    <row r="5438" spans="1:16" x14ac:dyDescent="0.25">
      <c r="A5438" t="s">
        <v>2028</v>
      </c>
      <c r="B5438">
        <v>39</v>
      </c>
      <c r="C5438" t="s">
        <v>8231</v>
      </c>
      <c r="D5438" t="s">
        <v>73</v>
      </c>
      <c r="E5438" s="13">
        <v>450</v>
      </c>
      <c r="F5438" s="12">
        <v>2.82</v>
      </c>
      <c r="G5438" t="str">
        <f>IFERROR(INDEX(tEditais[Órgão],MATCH(tItens[[#This Row],[Edital]],tEditais[Edital],0)),"")</f>
        <v>MUNICIPIO DE IMBAU</v>
      </c>
      <c r="H5438" t="str">
        <f>IFERROR(INDEX(tEditais[UF],MATCH(tItens[[#This Row],[Edital]],tEditais[Edital],0)),"")</f>
        <v>PR</v>
      </c>
      <c r="I5438" s="11">
        <f>IFERROR(INDEX(tEditais[Encerramento],MATCH(tItens[[#This Row],[Edital]],tEditais[Edital],0)),"")</f>
        <v>46308.375</v>
      </c>
      <c r="J5438" t="str">
        <f>IFERROR(INDEX(tProdutos[Classe],MATCH(tItens[[#This Row],[Produto]],tProdutos[Produto],0)),"produto não cadastrado")</f>
        <v>NÚCLEO</v>
      </c>
      <c r="K5438" s="12">
        <f>tItens[[#This Row],[Qtd]]*tItens[[#This Row],[Vlr unit]]</f>
        <v>1269</v>
      </c>
      <c r="L5438" s="6">
        <f>IFERROR(IF(INDEX(tProdutos[Desconto homologado],MATCH(tItens[[#This Row],[Produto]],tProdutos[Produto],0))="",DescontoPadrao,INDEX(tProdutos[Desconto homologado],MATCH(tItens[[#This Row],[Produto]],tProdutos[Produto],0))),DescontoPadrao)</f>
        <v>0.37</v>
      </c>
      <c r="M5438" s="12">
        <f>tItens[[#This Row],[Valor]]*(1-tItens[[#This Row],[Desconto]])</f>
        <v>799.47</v>
      </c>
      <c r="N5438" t="str">
        <f>IFERROR(INDEX(tProdutos[Foco],MATCH(tItens[[#This Row],[Produto]],tProdutos[Produto],0)),"Não")</f>
        <v>Sim</v>
      </c>
      <c r="O5438" t="str">
        <f>IFERROR(INDEX(tEditais[SRP],MATCH(tItens[[#This Row],[Edital]],tEditais[Edital],0)),"Não")</f>
        <v>Não</v>
      </c>
      <c r="P5438" s="4">
        <f>IF(COUNTIFS(INDEX(tItens[Edital],1):tItens[[#This Row],[Edital]],tItens[[#This Row],[Edital]],INDEX(tItens[Produto],1):tItens[[#This Row],[Produto]],tItens[[#This Row],[Produto]])=1,1,0)</f>
        <v>0</v>
      </c>
    </row>
    <row r="5439" spans="1:16" x14ac:dyDescent="0.25">
      <c r="A5439" t="s">
        <v>2028</v>
      </c>
      <c r="B5439">
        <v>48</v>
      </c>
      <c r="C5439" t="s">
        <v>8232</v>
      </c>
      <c r="D5439" t="s">
        <v>311</v>
      </c>
      <c r="E5439" s="13">
        <v>600</v>
      </c>
      <c r="F5439" s="12">
        <v>13.59</v>
      </c>
      <c r="G5439" t="str">
        <f>IFERROR(INDEX(tEditais[Órgão],MATCH(tItens[[#This Row],[Edital]],tEditais[Edital],0)),"")</f>
        <v>MUNICIPIO DE IMBAU</v>
      </c>
      <c r="H5439" t="str">
        <f>IFERROR(INDEX(tEditais[UF],MATCH(tItens[[#This Row],[Edital]],tEditais[Edital],0)),"")</f>
        <v>PR</v>
      </c>
      <c r="I5439" s="11">
        <f>IFERROR(INDEX(tEditais[Encerramento],MATCH(tItens[[#This Row],[Edital]],tEditais[Edital],0)),"")</f>
        <v>46308.375</v>
      </c>
      <c r="J5439" t="str">
        <f>IFERROR(INDEX(tProdutos[Classe],MATCH(tItens[[#This Row],[Produto]],tProdutos[Produto],0)),"produto não cadastrado")</f>
        <v>FORA</v>
      </c>
      <c r="K5439" s="12">
        <f>tItens[[#This Row],[Qtd]]*tItens[[#This Row],[Vlr unit]]</f>
        <v>8154</v>
      </c>
      <c r="L5439" s="6">
        <f>IFERROR(IF(INDEX(tProdutos[Desconto homologado],MATCH(tItens[[#This Row],[Produto]],tProdutos[Produto],0))="",DescontoPadrao,INDEX(tProdutos[Desconto homologado],MATCH(tItens[[#This Row],[Produto]],tProdutos[Produto],0))),DescontoPadrao)</f>
        <v>0.29046182846371399</v>
      </c>
      <c r="M5439" s="12">
        <f>tItens[[#This Row],[Valor]]*(1-tItens[[#This Row],[Desconto]])</f>
        <v>5785.5742507068762</v>
      </c>
      <c r="N5439" t="str">
        <f>IFERROR(INDEX(tProdutos[Foco],MATCH(tItens[[#This Row],[Produto]],tProdutos[Produto],0)),"Não")</f>
        <v>Não</v>
      </c>
      <c r="O5439" t="str">
        <f>IFERROR(INDEX(tEditais[SRP],MATCH(tItens[[#This Row],[Edital]],tEditais[Edital],0)),"Não")</f>
        <v>Não</v>
      </c>
      <c r="P5439" s="4">
        <f>IF(COUNTIFS(INDEX(tItens[Edital],1):tItens[[#This Row],[Edital]],tItens[[#This Row],[Edital]],INDEX(tItens[Produto],1):tItens[[#This Row],[Produto]],tItens[[#This Row],[Produto]])=1,1,0)</f>
        <v>1</v>
      </c>
    </row>
    <row r="5440" spans="1:16" x14ac:dyDescent="0.25">
      <c r="A5440" t="s">
        <v>2028</v>
      </c>
      <c r="B5440">
        <v>49</v>
      </c>
      <c r="C5440" t="s">
        <v>8233</v>
      </c>
      <c r="D5440" t="s">
        <v>311</v>
      </c>
      <c r="E5440" s="13">
        <v>300</v>
      </c>
      <c r="F5440" s="12">
        <v>18.73</v>
      </c>
      <c r="G5440" t="str">
        <f>IFERROR(INDEX(tEditais[Órgão],MATCH(tItens[[#This Row],[Edital]],tEditais[Edital],0)),"")</f>
        <v>MUNICIPIO DE IMBAU</v>
      </c>
      <c r="H5440" t="str">
        <f>IFERROR(INDEX(tEditais[UF],MATCH(tItens[[#This Row],[Edital]],tEditais[Edital],0)),"")</f>
        <v>PR</v>
      </c>
      <c r="I5440" s="11">
        <f>IFERROR(INDEX(tEditais[Encerramento],MATCH(tItens[[#This Row],[Edital]],tEditais[Edital],0)),"")</f>
        <v>46308.375</v>
      </c>
      <c r="J5440" t="str">
        <f>IFERROR(INDEX(tProdutos[Classe],MATCH(tItens[[#This Row],[Produto]],tProdutos[Produto],0)),"produto não cadastrado")</f>
        <v>FORA</v>
      </c>
      <c r="K5440" s="12">
        <f>tItens[[#This Row],[Qtd]]*tItens[[#This Row],[Vlr unit]]</f>
        <v>5619</v>
      </c>
      <c r="L5440" s="6">
        <f>IFERROR(IF(INDEX(tProdutos[Desconto homologado],MATCH(tItens[[#This Row],[Produto]],tProdutos[Produto],0))="",DescontoPadrao,INDEX(tProdutos[Desconto homologado],MATCH(tItens[[#This Row],[Produto]],tProdutos[Produto],0))),DescontoPadrao)</f>
        <v>0.29046182846371399</v>
      </c>
      <c r="M5440" s="12">
        <f>tItens[[#This Row],[Valor]]*(1-tItens[[#This Row],[Desconto]])</f>
        <v>3986.8949858623914</v>
      </c>
      <c r="N5440" t="str">
        <f>IFERROR(INDEX(tProdutos[Foco],MATCH(tItens[[#This Row],[Produto]],tProdutos[Produto],0)),"Não")</f>
        <v>Não</v>
      </c>
      <c r="O5440" t="str">
        <f>IFERROR(INDEX(tEditais[SRP],MATCH(tItens[[#This Row],[Edital]],tEditais[Edital],0)),"Não")</f>
        <v>Não</v>
      </c>
      <c r="P5440" s="4">
        <f>IF(COUNTIFS(INDEX(tItens[Edital],1):tItens[[#This Row],[Edital]],tItens[[#This Row],[Edital]],INDEX(tItens[Produto],1):tItens[[#This Row],[Produto]],tItens[[#This Row],[Produto]])=1,1,0)</f>
        <v>0</v>
      </c>
    </row>
    <row r="5441" spans="1:16" x14ac:dyDescent="0.25">
      <c r="A5441" t="s">
        <v>2028</v>
      </c>
      <c r="B5441">
        <v>50</v>
      </c>
      <c r="C5441" t="s">
        <v>8234</v>
      </c>
      <c r="D5441" t="s">
        <v>279</v>
      </c>
      <c r="E5441" s="13">
        <v>20</v>
      </c>
      <c r="F5441" s="12">
        <v>101.7</v>
      </c>
      <c r="G5441" t="str">
        <f>IFERROR(INDEX(tEditais[Órgão],MATCH(tItens[[#This Row],[Edital]],tEditais[Edital],0)),"")</f>
        <v>MUNICIPIO DE IMBAU</v>
      </c>
      <c r="H5441" t="str">
        <f>IFERROR(INDEX(tEditais[UF],MATCH(tItens[[#This Row],[Edital]],tEditais[Edital],0)),"")</f>
        <v>PR</v>
      </c>
      <c r="I5441" s="11">
        <f>IFERROR(INDEX(tEditais[Encerramento],MATCH(tItens[[#This Row],[Edital]],tEditais[Edital],0)),"")</f>
        <v>46308.375</v>
      </c>
      <c r="J5441" t="str">
        <f>IFERROR(INDEX(tProdutos[Classe],MATCH(tItens[[#This Row],[Produto]],tProdutos[Produto],0)),"produto não cadastrado")</f>
        <v>FORA</v>
      </c>
      <c r="K5441" s="12">
        <f>tItens[[#This Row],[Qtd]]*tItens[[#This Row],[Vlr unit]]</f>
        <v>2034</v>
      </c>
      <c r="L5441" s="6">
        <f>IFERROR(IF(INDEX(tProdutos[Desconto homologado],MATCH(tItens[[#This Row],[Produto]],tProdutos[Produto],0))="",DescontoPadrao,INDEX(tProdutos[Desconto homologado],MATCH(tItens[[#This Row],[Produto]],tProdutos[Produto],0))),DescontoPadrao)</f>
        <v>0.28909090909090901</v>
      </c>
      <c r="M5441" s="12">
        <f>tItens[[#This Row],[Valor]]*(1-tItens[[#This Row],[Desconto]])</f>
        <v>1445.9890909090909</v>
      </c>
      <c r="N5441" t="str">
        <f>IFERROR(INDEX(tProdutos[Foco],MATCH(tItens[[#This Row],[Produto]],tProdutos[Produto],0)),"Não")</f>
        <v>Não</v>
      </c>
      <c r="O5441" t="str">
        <f>IFERROR(INDEX(tEditais[SRP],MATCH(tItens[[#This Row],[Edital]],tEditais[Edital],0)),"Não")</f>
        <v>Não</v>
      </c>
      <c r="P5441" s="4">
        <f>IF(COUNTIFS(INDEX(tItens[Edital],1):tItens[[#This Row],[Edital]],tItens[[#This Row],[Edital]],INDEX(tItens[Produto],1):tItens[[#This Row],[Produto]],tItens[[#This Row],[Produto]])=1,1,0)</f>
        <v>1</v>
      </c>
    </row>
    <row r="5442" spans="1:16" x14ac:dyDescent="0.25">
      <c r="A5442" t="s">
        <v>2028</v>
      </c>
      <c r="B5442">
        <v>51</v>
      </c>
      <c r="C5442" t="s">
        <v>8235</v>
      </c>
      <c r="D5442" t="s">
        <v>279</v>
      </c>
      <c r="E5442" s="13">
        <v>40</v>
      </c>
      <c r="F5442" s="12">
        <v>108.49</v>
      </c>
      <c r="G5442" t="str">
        <f>IFERROR(INDEX(tEditais[Órgão],MATCH(tItens[[#This Row],[Edital]],tEditais[Edital],0)),"")</f>
        <v>MUNICIPIO DE IMBAU</v>
      </c>
      <c r="H5442" t="str">
        <f>IFERROR(INDEX(tEditais[UF],MATCH(tItens[[#This Row],[Edital]],tEditais[Edital],0)),"")</f>
        <v>PR</v>
      </c>
      <c r="I5442" s="11">
        <f>IFERROR(INDEX(tEditais[Encerramento],MATCH(tItens[[#This Row],[Edital]],tEditais[Edital],0)),"")</f>
        <v>46308.375</v>
      </c>
      <c r="J5442" t="str">
        <f>IFERROR(INDEX(tProdutos[Classe],MATCH(tItens[[#This Row],[Produto]],tProdutos[Produto],0)),"produto não cadastrado")</f>
        <v>FORA</v>
      </c>
      <c r="K5442" s="12">
        <f>tItens[[#This Row],[Qtd]]*tItens[[#This Row],[Vlr unit]]</f>
        <v>4339.5999999999995</v>
      </c>
      <c r="L5442" s="6">
        <f>IFERROR(IF(INDEX(tProdutos[Desconto homologado],MATCH(tItens[[#This Row],[Produto]],tProdutos[Produto],0))="",DescontoPadrao,INDEX(tProdutos[Desconto homologado],MATCH(tItens[[#This Row],[Produto]],tProdutos[Produto],0))),DescontoPadrao)</f>
        <v>0.28909090909090901</v>
      </c>
      <c r="M5442" s="12">
        <f>tItens[[#This Row],[Valor]]*(1-tItens[[#This Row],[Desconto]])</f>
        <v>3085.0610909090906</v>
      </c>
      <c r="N5442" t="str">
        <f>IFERROR(INDEX(tProdutos[Foco],MATCH(tItens[[#This Row],[Produto]],tProdutos[Produto],0)),"Não")</f>
        <v>Não</v>
      </c>
      <c r="O5442" t="str">
        <f>IFERROR(INDEX(tEditais[SRP],MATCH(tItens[[#This Row],[Edital]],tEditais[Edital],0)),"Não")</f>
        <v>Não</v>
      </c>
      <c r="P5442" s="4">
        <f>IF(COUNTIFS(INDEX(tItens[Edital],1):tItens[[#This Row],[Edital]],tItens[[#This Row],[Edital]],INDEX(tItens[Produto],1):tItens[[#This Row],[Produto]],tItens[[#This Row],[Produto]])=1,1,0)</f>
        <v>0</v>
      </c>
    </row>
    <row r="5443" spans="1:16" x14ac:dyDescent="0.25">
      <c r="A5443" t="s">
        <v>2028</v>
      </c>
      <c r="B5443">
        <v>53</v>
      </c>
      <c r="C5443" t="s">
        <v>8236</v>
      </c>
      <c r="D5443" t="s">
        <v>341</v>
      </c>
      <c r="E5443" s="13">
        <v>2200</v>
      </c>
      <c r="F5443" s="12">
        <v>23.49</v>
      </c>
      <c r="G5443" t="str">
        <f>IFERROR(INDEX(tEditais[Órgão],MATCH(tItens[[#This Row],[Edital]],tEditais[Edital],0)),"")</f>
        <v>MUNICIPIO DE IMBAU</v>
      </c>
      <c r="H5443" t="str">
        <f>IFERROR(INDEX(tEditais[UF],MATCH(tItens[[#This Row],[Edital]],tEditais[Edital],0)),"")</f>
        <v>PR</v>
      </c>
      <c r="I5443" s="11">
        <f>IFERROR(INDEX(tEditais[Encerramento],MATCH(tItens[[#This Row],[Edital]],tEditais[Edital],0)),"")</f>
        <v>46308.375</v>
      </c>
      <c r="J5443" t="str">
        <f>IFERROR(INDEX(tProdutos[Classe],MATCH(tItens[[#This Row],[Produto]],tProdutos[Produto],0)),"produto não cadastrado")</f>
        <v>FORA</v>
      </c>
      <c r="K5443" s="12">
        <f>tItens[[#This Row],[Qtd]]*tItens[[#This Row],[Vlr unit]]</f>
        <v>51678</v>
      </c>
      <c r="L5443" s="6">
        <f>IFERROR(IF(INDEX(tProdutos[Desconto homologado],MATCH(tItens[[#This Row],[Produto]],tProdutos[Produto],0))="",DescontoPadrao,INDEX(tProdutos[Desconto homologado],MATCH(tItens[[#This Row],[Produto]],tProdutos[Produto],0))),DescontoPadrao)</f>
        <v>0.46918578497525898</v>
      </c>
      <c r="M5443" s="12">
        <f>tItens[[#This Row],[Valor]]*(1-tItens[[#This Row],[Desconto]])</f>
        <v>27431.417004048566</v>
      </c>
      <c r="N5443" t="str">
        <f>IFERROR(INDEX(tProdutos[Foco],MATCH(tItens[[#This Row],[Produto]],tProdutos[Produto],0)),"Não")</f>
        <v>Não</v>
      </c>
      <c r="O5443" t="str">
        <f>IFERROR(INDEX(tEditais[SRP],MATCH(tItens[[#This Row],[Edital]],tEditais[Edital],0)),"Não")</f>
        <v>Não</v>
      </c>
      <c r="P5443" s="4">
        <f>IF(COUNTIFS(INDEX(tItens[Edital],1):tItens[[#This Row],[Edital]],tItens[[#This Row],[Edital]],INDEX(tItens[Produto],1):tItens[[#This Row],[Produto]],tItens[[#This Row],[Produto]])=1,1,0)</f>
        <v>1</v>
      </c>
    </row>
    <row r="5444" spans="1:16" x14ac:dyDescent="0.25">
      <c r="A5444" t="s">
        <v>2028</v>
      </c>
      <c r="B5444">
        <v>55</v>
      </c>
      <c r="C5444" t="s">
        <v>8237</v>
      </c>
      <c r="D5444" t="s">
        <v>641</v>
      </c>
      <c r="E5444" s="13">
        <v>20</v>
      </c>
      <c r="F5444" s="12">
        <v>41.4</v>
      </c>
      <c r="G5444" t="str">
        <f>IFERROR(INDEX(tEditais[Órgão],MATCH(tItens[[#This Row],[Edital]],tEditais[Edital],0)),"")</f>
        <v>MUNICIPIO DE IMBAU</v>
      </c>
      <c r="H5444" t="str">
        <f>IFERROR(INDEX(tEditais[UF],MATCH(tItens[[#This Row],[Edital]],tEditais[Edital],0)),"")</f>
        <v>PR</v>
      </c>
      <c r="I5444" s="11">
        <f>IFERROR(INDEX(tEditais[Encerramento],MATCH(tItens[[#This Row],[Edital]],tEditais[Edital],0)),"")</f>
        <v>46308.375</v>
      </c>
      <c r="J5444" t="str">
        <f>IFERROR(INDEX(tProdutos[Classe],MATCH(tItens[[#This Row],[Produto]],tProdutos[Produto],0)),"produto não cadastrado")</f>
        <v>FILA REBASE</v>
      </c>
      <c r="K5444" s="12">
        <f>tItens[[#This Row],[Qtd]]*tItens[[#This Row],[Vlr unit]]</f>
        <v>828</v>
      </c>
      <c r="L5444" s="6">
        <f>IFERROR(IF(INDEX(tProdutos[Desconto homologado],MATCH(tItens[[#This Row],[Produto]],tProdutos[Produto],0))="",DescontoPadrao,INDEX(tProdutos[Desconto homologado],MATCH(tItens[[#This Row],[Produto]],tProdutos[Produto],0))),DescontoPadrao)</f>
        <v>0.3</v>
      </c>
      <c r="M5444" s="12">
        <f>tItens[[#This Row],[Valor]]*(1-tItens[[#This Row],[Desconto]])</f>
        <v>579.59999999999991</v>
      </c>
      <c r="N5444" t="str">
        <f>IFERROR(INDEX(tProdutos[Foco],MATCH(tItens[[#This Row],[Produto]],tProdutos[Produto],0)),"Não")</f>
        <v>Não</v>
      </c>
      <c r="O5444" t="str">
        <f>IFERROR(INDEX(tEditais[SRP],MATCH(tItens[[#This Row],[Edital]],tEditais[Edital],0)),"Não")</f>
        <v>Não</v>
      </c>
      <c r="P5444" s="4">
        <f>IF(COUNTIFS(INDEX(tItens[Edital],1):tItens[[#This Row],[Edital]],tItens[[#This Row],[Edital]],INDEX(tItens[Produto],1):tItens[[#This Row],[Produto]],tItens[[#This Row],[Produto]])=1,1,0)</f>
        <v>1</v>
      </c>
    </row>
    <row r="5445" spans="1:16" x14ac:dyDescent="0.25">
      <c r="A5445" t="s">
        <v>2028</v>
      </c>
      <c r="B5445">
        <v>59</v>
      </c>
      <c r="C5445" t="s">
        <v>8238</v>
      </c>
      <c r="D5445" t="s">
        <v>108</v>
      </c>
      <c r="E5445" s="13">
        <v>20</v>
      </c>
      <c r="F5445" s="12">
        <v>105.71</v>
      </c>
      <c r="G5445" t="str">
        <f>IFERROR(INDEX(tEditais[Órgão],MATCH(tItens[[#This Row],[Edital]],tEditais[Edital],0)),"")</f>
        <v>MUNICIPIO DE IMBAU</v>
      </c>
      <c r="H5445" t="str">
        <f>IFERROR(INDEX(tEditais[UF],MATCH(tItens[[#This Row],[Edital]],tEditais[Edital],0)),"")</f>
        <v>PR</v>
      </c>
      <c r="I5445" s="11">
        <f>IFERROR(INDEX(tEditais[Encerramento],MATCH(tItens[[#This Row],[Edital]],tEditais[Edital],0)),"")</f>
        <v>46308.375</v>
      </c>
      <c r="J5445" t="str">
        <f>IFERROR(INDEX(tProdutos[Classe],MATCH(tItens[[#This Row],[Produto]],tProdutos[Produto],0)),"produto não cadastrado")</f>
        <v>NÚCLEO</v>
      </c>
      <c r="K5445" s="12">
        <f>tItens[[#This Row],[Qtd]]*tItens[[#This Row],[Vlr unit]]</f>
        <v>2114.1999999999998</v>
      </c>
      <c r="L5445" s="6">
        <f>IFERROR(IF(INDEX(tProdutos[Desconto homologado],MATCH(tItens[[#This Row],[Produto]],tProdutos[Produto],0))="",DescontoPadrao,INDEX(tProdutos[Desconto homologado],MATCH(tItens[[#This Row],[Produto]],tProdutos[Produto],0))),DescontoPadrao)</f>
        <v>0.105498072631365</v>
      </c>
      <c r="M5445" s="12">
        <f>tItens[[#This Row],[Valor]]*(1-tItens[[#This Row],[Desconto]])</f>
        <v>1891.1559748427678</v>
      </c>
      <c r="N5445" t="str">
        <f>IFERROR(INDEX(tProdutos[Foco],MATCH(tItens[[#This Row],[Produto]],tProdutos[Produto],0)),"Não")</f>
        <v>Não</v>
      </c>
      <c r="O5445" t="str">
        <f>IFERROR(INDEX(tEditais[SRP],MATCH(tItens[[#This Row],[Edital]],tEditais[Edital],0)),"Não")</f>
        <v>Não</v>
      </c>
      <c r="P5445" s="4">
        <f>IF(COUNTIFS(INDEX(tItens[Edital],1):tItens[[#This Row],[Edital]],tItens[[#This Row],[Edital]],INDEX(tItens[Produto],1):tItens[[#This Row],[Produto]],tItens[[#This Row],[Produto]])=1,1,0)</f>
        <v>1</v>
      </c>
    </row>
    <row r="5446" spans="1:16" x14ac:dyDescent="0.25">
      <c r="A5446" t="s">
        <v>2028</v>
      </c>
      <c r="B5446">
        <v>62</v>
      </c>
      <c r="C5446" t="s">
        <v>8239</v>
      </c>
      <c r="D5446" t="s">
        <v>341</v>
      </c>
      <c r="E5446" s="13">
        <v>20</v>
      </c>
      <c r="F5446" s="12">
        <v>70.22</v>
      </c>
      <c r="G5446" t="str">
        <f>IFERROR(INDEX(tEditais[Órgão],MATCH(tItens[[#This Row],[Edital]],tEditais[Edital],0)),"")</f>
        <v>MUNICIPIO DE IMBAU</v>
      </c>
      <c r="H5446" t="str">
        <f>IFERROR(INDEX(tEditais[UF],MATCH(tItens[[#This Row],[Edital]],tEditais[Edital],0)),"")</f>
        <v>PR</v>
      </c>
      <c r="I5446" s="11">
        <f>IFERROR(INDEX(tEditais[Encerramento],MATCH(tItens[[#This Row],[Edital]],tEditais[Edital],0)),"")</f>
        <v>46308.375</v>
      </c>
      <c r="J5446" t="str">
        <f>IFERROR(INDEX(tProdutos[Classe],MATCH(tItens[[#This Row],[Produto]],tProdutos[Produto],0)),"produto não cadastrado")</f>
        <v>FORA</v>
      </c>
      <c r="K5446" s="12">
        <f>tItens[[#This Row],[Qtd]]*tItens[[#This Row],[Vlr unit]]</f>
        <v>1404.4</v>
      </c>
      <c r="L5446" s="6">
        <f>IFERROR(IF(INDEX(tProdutos[Desconto homologado],MATCH(tItens[[#This Row],[Produto]],tProdutos[Produto],0))="",DescontoPadrao,INDEX(tProdutos[Desconto homologado],MATCH(tItens[[#This Row],[Produto]],tProdutos[Produto],0))),DescontoPadrao)</f>
        <v>0.46918578497525898</v>
      </c>
      <c r="M5446" s="12">
        <f>tItens[[#This Row],[Valor]]*(1-tItens[[#This Row],[Desconto]])</f>
        <v>745.4754835807463</v>
      </c>
      <c r="N5446" t="str">
        <f>IFERROR(INDEX(tProdutos[Foco],MATCH(tItens[[#This Row],[Produto]],tProdutos[Produto],0)),"Não")</f>
        <v>Não</v>
      </c>
      <c r="O5446" t="str">
        <f>IFERROR(INDEX(tEditais[SRP],MATCH(tItens[[#This Row],[Edital]],tEditais[Edital],0)),"Não")</f>
        <v>Não</v>
      </c>
      <c r="P5446" s="4">
        <f>IF(COUNTIFS(INDEX(tItens[Edital],1):tItens[[#This Row],[Edital]],tItens[[#This Row],[Edital]],INDEX(tItens[Produto],1):tItens[[#This Row],[Produto]],tItens[[#This Row],[Produto]])=1,1,0)</f>
        <v>0</v>
      </c>
    </row>
    <row r="5447" spans="1:16" x14ac:dyDescent="0.25">
      <c r="A5447" t="s">
        <v>2028</v>
      </c>
      <c r="B5447">
        <v>83</v>
      </c>
      <c r="C5447" t="s">
        <v>8240</v>
      </c>
      <c r="D5447" t="s">
        <v>209</v>
      </c>
      <c r="E5447" s="13">
        <v>10</v>
      </c>
      <c r="F5447" s="12">
        <v>49.9</v>
      </c>
      <c r="G5447" t="str">
        <f>IFERROR(INDEX(tEditais[Órgão],MATCH(tItens[[#This Row],[Edital]],tEditais[Edital],0)),"")</f>
        <v>MUNICIPIO DE IMBAU</v>
      </c>
      <c r="H5447" t="str">
        <f>IFERROR(INDEX(tEditais[UF],MATCH(tItens[[#This Row],[Edital]],tEditais[Edital],0)),"")</f>
        <v>PR</v>
      </c>
      <c r="I5447" s="11">
        <f>IFERROR(INDEX(tEditais[Encerramento],MATCH(tItens[[#This Row],[Edital]],tEditais[Edital],0)),"")</f>
        <v>46308.375</v>
      </c>
      <c r="J5447" t="str">
        <f>IFERROR(INDEX(tProdutos[Classe],MATCH(tItens[[#This Row],[Produto]],tProdutos[Produto],0)),"produto não cadastrado")</f>
        <v>FORA</v>
      </c>
      <c r="K5447" s="12">
        <f>tItens[[#This Row],[Qtd]]*tItens[[#This Row],[Vlr unit]]</f>
        <v>499</v>
      </c>
      <c r="L5447" s="6">
        <f>IFERROR(IF(INDEX(tProdutos[Desconto homologado],MATCH(tItens[[#This Row],[Produto]],tProdutos[Produto],0))="",DescontoPadrao,INDEX(tProdutos[Desconto homologado],MATCH(tItens[[#This Row],[Produto]],tProdutos[Produto],0))),DescontoPadrao)</f>
        <v>0.16442507504040599</v>
      </c>
      <c r="M5447" s="12">
        <f>tItens[[#This Row],[Valor]]*(1-tItens[[#This Row],[Desconto]])</f>
        <v>416.95188755483741</v>
      </c>
      <c r="N5447" t="str">
        <f>IFERROR(INDEX(tProdutos[Foco],MATCH(tItens[[#This Row],[Produto]],tProdutos[Produto],0)),"Não")</f>
        <v>Não</v>
      </c>
      <c r="O5447" t="str">
        <f>IFERROR(INDEX(tEditais[SRP],MATCH(tItens[[#This Row],[Edital]],tEditais[Edital],0)),"Não")</f>
        <v>Não</v>
      </c>
      <c r="P5447" s="4">
        <f>IF(COUNTIFS(INDEX(tItens[Edital],1):tItens[[#This Row],[Edital]],tItens[[#This Row],[Edital]],INDEX(tItens[Produto],1):tItens[[#This Row],[Produto]],tItens[[#This Row],[Produto]])=1,1,0)</f>
        <v>1</v>
      </c>
    </row>
    <row r="5448" spans="1:16" x14ac:dyDescent="0.25">
      <c r="A5448" t="s">
        <v>2028</v>
      </c>
      <c r="B5448">
        <v>84</v>
      </c>
      <c r="C5448" t="s">
        <v>8241</v>
      </c>
      <c r="D5448" t="s">
        <v>187</v>
      </c>
      <c r="E5448" s="13">
        <v>50</v>
      </c>
      <c r="F5448" s="12">
        <v>79.989999999999995</v>
      </c>
      <c r="G5448" t="str">
        <f>IFERROR(INDEX(tEditais[Órgão],MATCH(tItens[[#This Row],[Edital]],tEditais[Edital],0)),"")</f>
        <v>MUNICIPIO DE IMBAU</v>
      </c>
      <c r="H5448" t="str">
        <f>IFERROR(INDEX(tEditais[UF],MATCH(tItens[[#This Row],[Edital]],tEditais[Edital],0)),"")</f>
        <v>PR</v>
      </c>
      <c r="I5448" s="11">
        <f>IFERROR(INDEX(tEditais[Encerramento],MATCH(tItens[[#This Row],[Edital]],tEditais[Edital],0)),"")</f>
        <v>46308.375</v>
      </c>
      <c r="J5448" t="str">
        <f>IFERROR(INDEX(tProdutos[Classe],MATCH(tItens[[#This Row],[Produto]],tProdutos[Produto],0)),"produto não cadastrado")</f>
        <v>DISPUTADO</v>
      </c>
      <c r="K5448" s="12">
        <f>tItens[[#This Row],[Qtd]]*tItens[[#This Row],[Vlr unit]]</f>
        <v>3999.4999999999995</v>
      </c>
      <c r="L5448" s="6">
        <f>IFERROR(IF(INDEX(tProdutos[Desconto homologado],MATCH(tItens[[#This Row],[Produto]],tProdutos[Produto],0))="",DescontoPadrao,INDEX(tProdutos[Desconto homologado],MATCH(tItens[[#This Row],[Produto]],tProdutos[Produto],0))),DescontoPadrao)</f>
        <v>0.44298820445609399</v>
      </c>
      <c r="M5448" s="12">
        <f>tItens[[#This Row],[Valor]]*(1-tItens[[#This Row],[Desconto]])</f>
        <v>2227.7686762778517</v>
      </c>
      <c r="N5448" t="str">
        <f>IFERROR(INDEX(tProdutos[Foco],MATCH(tItens[[#This Row],[Produto]],tProdutos[Produto],0)),"Não")</f>
        <v>Não</v>
      </c>
      <c r="O5448" t="str">
        <f>IFERROR(INDEX(tEditais[SRP],MATCH(tItens[[#This Row],[Edital]],tEditais[Edital],0)),"Não")</f>
        <v>Não</v>
      </c>
      <c r="P5448" s="4">
        <f>IF(COUNTIFS(INDEX(tItens[Edital],1):tItens[[#This Row],[Edital]],tItens[[#This Row],[Edital]],INDEX(tItens[Produto],1):tItens[[#This Row],[Produto]],tItens[[#This Row],[Produto]])=1,1,0)</f>
        <v>1</v>
      </c>
    </row>
    <row r="5449" spans="1:16" x14ac:dyDescent="0.25">
      <c r="A5449" t="s">
        <v>2028</v>
      </c>
      <c r="B5449">
        <v>85</v>
      </c>
      <c r="C5449" t="s">
        <v>8242</v>
      </c>
      <c r="D5449" t="s">
        <v>333</v>
      </c>
      <c r="E5449" s="13">
        <v>450</v>
      </c>
      <c r="F5449" s="12">
        <v>52.85</v>
      </c>
      <c r="G5449" t="str">
        <f>IFERROR(INDEX(tEditais[Órgão],MATCH(tItens[[#This Row],[Edital]],tEditais[Edital],0)),"")</f>
        <v>MUNICIPIO DE IMBAU</v>
      </c>
      <c r="H5449" t="str">
        <f>IFERROR(INDEX(tEditais[UF],MATCH(tItens[[#This Row],[Edital]],tEditais[Edital],0)),"")</f>
        <v>PR</v>
      </c>
      <c r="I5449" s="11">
        <f>IFERROR(INDEX(tEditais[Encerramento],MATCH(tItens[[#This Row],[Edital]],tEditais[Edital],0)),"")</f>
        <v>46308.375</v>
      </c>
      <c r="J5449" t="str">
        <f>IFERROR(INDEX(tProdutos[Classe],MATCH(tItens[[#This Row],[Produto]],tProdutos[Produto],0)),"produto não cadastrado")</f>
        <v>FORA</v>
      </c>
      <c r="K5449" s="12">
        <f>tItens[[#This Row],[Qtd]]*tItens[[#This Row],[Vlr unit]]</f>
        <v>23782.5</v>
      </c>
      <c r="L5449" s="6">
        <f>IFERROR(IF(INDEX(tProdutos[Desconto homologado],MATCH(tItens[[#This Row],[Produto]],tProdutos[Produto],0))="",DescontoPadrao,INDEX(tProdutos[Desconto homologado],MATCH(tItens[[#This Row],[Produto]],tProdutos[Produto],0))),DescontoPadrao)</f>
        <v>0.48951048951048998</v>
      </c>
      <c r="M5449" s="12">
        <f>tItens[[#This Row],[Valor]]*(1-tItens[[#This Row],[Desconto]])</f>
        <v>12140.716783216771</v>
      </c>
      <c r="N5449" t="str">
        <f>IFERROR(INDEX(tProdutos[Foco],MATCH(tItens[[#This Row],[Produto]],tProdutos[Produto],0)),"Não")</f>
        <v>Não</v>
      </c>
      <c r="O5449" t="str">
        <f>IFERROR(INDEX(tEditais[SRP],MATCH(tItens[[#This Row],[Edital]],tEditais[Edital],0)),"Não")</f>
        <v>Não</v>
      </c>
      <c r="P5449" s="4">
        <f>IF(COUNTIFS(INDEX(tItens[Edital],1):tItens[[#This Row],[Edital]],tItens[[#This Row],[Edital]],INDEX(tItens[Produto],1):tItens[[#This Row],[Produto]],tItens[[#This Row],[Produto]])=1,1,0)</f>
        <v>1</v>
      </c>
    </row>
    <row r="5450" spans="1:16" x14ac:dyDescent="0.25">
      <c r="A5450" t="s">
        <v>2028</v>
      </c>
      <c r="B5450">
        <v>94</v>
      </c>
      <c r="C5450" t="s">
        <v>8243</v>
      </c>
      <c r="D5450" t="s">
        <v>90</v>
      </c>
      <c r="E5450" s="13">
        <v>800</v>
      </c>
      <c r="F5450" s="12">
        <v>9.8000000000000007</v>
      </c>
      <c r="G5450" t="str">
        <f>IFERROR(INDEX(tEditais[Órgão],MATCH(tItens[[#This Row],[Edital]],tEditais[Edital],0)),"")</f>
        <v>MUNICIPIO DE IMBAU</v>
      </c>
      <c r="H5450" t="str">
        <f>IFERROR(INDEX(tEditais[UF],MATCH(tItens[[#This Row],[Edital]],tEditais[Edital],0)),"")</f>
        <v>PR</v>
      </c>
      <c r="I5450" s="11">
        <f>IFERROR(INDEX(tEditais[Encerramento],MATCH(tItens[[#This Row],[Edital]],tEditais[Edital],0)),"")</f>
        <v>46308.375</v>
      </c>
      <c r="J5450" t="str">
        <f>IFERROR(INDEX(tProdutos[Classe],MATCH(tItens[[#This Row],[Produto]],tProdutos[Produto],0)),"produto não cadastrado")</f>
        <v>DISPUTADO</v>
      </c>
      <c r="K5450" s="12">
        <f>tItens[[#This Row],[Qtd]]*tItens[[#This Row],[Vlr unit]]</f>
        <v>7840.0000000000009</v>
      </c>
      <c r="L5450" s="6">
        <f>IFERROR(IF(INDEX(tProdutos[Desconto homologado],MATCH(tItens[[#This Row],[Produto]],tProdutos[Produto],0))="",DescontoPadrao,INDEX(tProdutos[Desconto homologado],MATCH(tItens[[#This Row],[Produto]],tProdutos[Produto],0))),DescontoPadrao)</f>
        <v>0.25393823957010597</v>
      </c>
      <c r="M5450" s="12">
        <f>tItens[[#This Row],[Valor]]*(1-tItens[[#This Row],[Desconto]])</f>
        <v>5849.1242017703698</v>
      </c>
      <c r="N5450" t="str">
        <f>IFERROR(INDEX(tProdutos[Foco],MATCH(tItens[[#This Row],[Produto]],tProdutos[Produto],0)),"Não")</f>
        <v>Não</v>
      </c>
      <c r="O5450" t="str">
        <f>IFERROR(INDEX(tEditais[SRP],MATCH(tItens[[#This Row],[Edital]],tEditais[Edital],0)),"Não")</f>
        <v>Não</v>
      </c>
      <c r="P5450" s="4">
        <f>IF(COUNTIFS(INDEX(tItens[Edital],1):tItens[[#This Row],[Edital]],tItens[[#This Row],[Edital]],INDEX(tItens[Produto],1):tItens[[#This Row],[Produto]],tItens[[#This Row],[Produto]])=1,1,0)</f>
        <v>1</v>
      </c>
    </row>
    <row r="5451" spans="1:16" x14ac:dyDescent="0.25">
      <c r="A5451" t="s">
        <v>2028</v>
      </c>
      <c r="B5451">
        <v>95</v>
      </c>
      <c r="C5451" t="s">
        <v>8244</v>
      </c>
      <c r="D5451" t="s">
        <v>75</v>
      </c>
      <c r="E5451" s="13">
        <v>2800</v>
      </c>
      <c r="F5451" s="12">
        <v>3.5</v>
      </c>
      <c r="G5451" t="str">
        <f>IFERROR(INDEX(tEditais[Órgão],MATCH(tItens[[#This Row],[Edital]],tEditais[Edital],0)),"")</f>
        <v>MUNICIPIO DE IMBAU</v>
      </c>
      <c r="H5451" t="str">
        <f>IFERROR(INDEX(tEditais[UF],MATCH(tItens[[#This Row],[Edital]],tEditais[Edital],0)),"")</f>
        <v>PR</v>
      </c>
      <c r="I5451" s="11">
        <f>IFERROR(INDEX(tEditais[Encerramento],MATCH(tItens[[#This Row],[Edital]],tEditais[Edital],0)),"")</f>
        <v>46308.375</v>
      </c>
      <c r="J5451" t="str">
        <f>IFERROR(INDEX(tProdutos[Classe],MATCH(tItens[[#This Row],[Produto]],tProdutos[Produto],0)),"produto não cadastrado")</f>
        <v>NÚCLEO</v>
      </c>
      <c r="K5451" s="12">
        <f>tItens[[#This Row],[Qtd]]*tItens[[#This Row],[Vlr unit]]</f>
        <v>9800</v>
      </c>
      <c r="L5451" s="6">
        <f>IFERROR(IF(INDEX(tProdutos[Desconto homologado],MATCH(tItens[[#This Row],[Produto]],tProdutos[Produto],0))="",DescontoPadrao,INDEX(tProdutos[Desconto homologado],MATCH(tItens[[#This Row],[Produto]],tProdutos[Produto],0))),DescontoPadrao)</f>
        <v>0.26</v>
      </c>
      <c r="M5451" s="12">
        <f>tItens[[#This Row],[Valor]]*(1-tItens[[#This Row],[Desconto]])</f>
        <v>7252</v>
      </c>
      <c r="N5451" t="str">
        <f>IFERROR(INDEX(tProdutos[Foco],MATCH(tItens[[#This Row],[Produto]],tProdutos[Produto],0)),"Não")</f>
        <v>Sim</v>
      </c>
      <c r="O5451" t="str">
        <f>IFERROR(INDEX(tEditais[SRP],MATCH(tItens[[#This Row],[Edital]],tEditais[Edital],0)),"Não")</f>
        <v>Não</v>
      </c>
      <c r="P5451" s="4">
        <f>IF(COUNTIFS(INDEX(tItens[Edital],1):tItens[[#This Row],[Edital]],tItens[[#This Row],[Edital]],INDEX(tItens[Produto],1):tItens[[#This Row],[Produto]],tItens[[#This Row],[Produto]])=1,1,0)</f>
        <v>1</v>
      </c>
    </row>
    <row r="5452" spans="1:16" x14ac:dyDescent="0.25">
      <c r="A5452" t="s">
        <v>2028</v>
      </c>
      <c r="B5452">
        <v>96</v>
      </c>
      <c r="C5452" t="s">
        <v>8245</v>
      </c>
      <c r="D5452" t="s">
        <v>75</v>
      </c>
      <c r="E5452" s="13">
        <v>3000</v>
      </c>
      <c r="F5452" s="12">
        <v>3.18</v>
      </c>
      <c r="G5452" t="str">
        <f>IFERROR(INDEX(tEditais[Órgão],MATCH(tItens[[#This Row],[Edital]],tEditais[Edital],0)),"")</f>
        <v>MUNICIPIO DE IMBAU</v>
      </c>
      <c r="H5452" t="str">
        <f>IFERROR(INDEX(tEditais[UF],MATCH(tItens[[#This Row],[Edital]],tEditais[Edital],0)),"")</f>
        <v>PR</v>
      </c>
      <c r="I5452" s="11">
        <f>IFERROR(INDEX(tEditais[Encerramento],MATCH(tItens[[#This Row],[Edital]],tEditais[Edital],0)),"")</f>
        <v>46308.375</v>
      </c>
      <c r="J5452" t="str">
        <f>IFERROR(INDEX(tProdutos[Classe],MATCH(tItens[[#This Row],[Produto]],tProdutos[Produto],0)),"produto não cadastrado")</f>
        <v>NÚCLEO</v>
      </c>
      <c r="K5452" s="12">
        <f>tItens[[#This Row],[Qtd]]*tItens[[#This Row],[Vlr unit]]</f>
        <v>9540</v>
      </c>
      <c r="L5452" s="6">
        <f>IFERROR(IF(INDEX(tProdutos[Desconto homologado],MATCH(tItens[[#This Row],[Produto]],tProdutos[Produto],0))="",DescontoPadrao,INDEX(tProdutos[Desconto homologado],MATCH(tItens[[#This Row],[Produto]],tProdutos[Produto],0))),DescontoPadrao)</f>
        <v>0.26</v>
      </c>
      <c r="M5452" s="12">
        <f>tItens[[#This Row],[Valor]]*(1-tItens[[#This Row],[Desconto]])</f>
        <v>7059.6</v>
      </c>
      <c r="N5452" t="str">
        <f>IFERROR(INDEX(tProdutos[Foco],MATCH(tItens[[#This Row],[Produto]],tProdutos[Produto],0)),"Não")</f>
        <v>Sim</v>
      </c>
      <c r="O5452" t="str">
        <f>IFERROR(INDEX(tEditais[SRP],MATCH(tItens[[#This Row],[Edital]],tEditais[Edital],0)),"Não")</f>
        <v>Não</v>
      </c>
      <c r="P5452" s="4">
        <f>IF(COUNTIFS(INDEX(tItens[Edital],1):tItens[[#This Row],[Edital]],tItens[[#This Row],[Edital]],INDEX(tItens[Produto],1):tItens[[#This Row],[Produto]],tItens[[#This Row],[Produto]])=1,1,0)</f>
        <v>0</v>
      </c>
    </row>
    <row r="5453" spans="1:16" x14ac:dyDescent="0.25">
      <c r="A5453" t="s">
        <v>2028</v>
      </c>
      <c r="B5453">
        <v>97</v>
      </c>
      <c r="C5453" t="s">
        <v>8246</v>
      </c>
      <c r="D5453" t="s">
        <v>75</v>
      </c>
      <c r="E5453" s="13">
        <v>2800</v>
      </c>
      <c r="F5453" s="12">
        <v>2.8</v>
      </c>
      <c r="G5453" t="str">
        <f>IFERROR(INDEX(tEditais[Órgão],MATCH(tItens[[#This Row],[Edital]],tEditais[Edital],0)),"")</f>
        <v>MUNICIPIO DE IMBAU</v>
      </c>
      <c r="H5453" t="str">
        <f>IFERROR(INDEX(tEditais[UF],MATCH(tItens[[#This Row],[Edital]],tEditais[Edital],0)),"")</f>
        <v>PR</v>
      </c>
      <c r="I5453" s="11">
        <f>IFERROR(INDEX(tEditais[Encerramento],MATCH(tItens[[#This Row],[Edital]],tEditais[Edital],0)),"")</f>
        <v>46308.375</v>
      </c>
      <c r="J5453" t="str">
        <f>IFERROR(INDEX(tProdutos[Classe],MATCH(tItens[[#This Row],[Produto]],tProdutos[Produto],0)),"produto não cadastrado")</f>
        <v>NÚCLEO</v>
      </c>
      <c r="K5453" s="12">
        <f>tItens[[#This Row],[Qtd]]*tItens[[#This Row],[Vlr unit]]</f>
        <v>7839.9999999999991</v>
      </c>
      <c r="L5453" s="6">
        <f>IFERROR(IF(INDEX(tProdutos[Desconto homologado],MATCH(tItens[[#This Row],[Produto]],tProdutos[Produto],0))="",DescontoPadrao,INDEX(tProdutos[Desconto homologado],MATCH(tItens[[#This Row],[Produto]],tProdutos[Produto],0))),DescontoPadrao)</f>
        <v>0.26</v>
      </c>
      <c r="M5453" s="12">
        <f>tItens[[#This Row],[Valor]]*(1-tItens[[#This Row],[Desconto]])</f>
        <v>5801.5999999999995</v>
      </c>
      <c r="N5453" t="str">
        <f>IFERROR(INDEX(tProdutos[Foco],MATCH(tItens[[#This Row],[Produto]],tProdutos[Produto],0)),"Não")</f>
        <v>Sim</v>
      </c>
      <c r="O5453" t="str">
        <f>IFERROR(INDEX(tEditais[SRP],MATCH(tItens[[#This Row],[Edital]],tEditais[Edital],0)),"Não")</f>
        <v>Não</v>
      </c>
      <c r="P5453" s="4">
        <f>IF(COUNTIFS(INDEX(tItens[Edital],1):tItens[[#This Row],[Edital]],tItens[[#This Row],[Edital]],INDEX(tItens[Produto],1):tItens[[#This Row],[Produto]],tItens[[#This Row],[Produto]])=1,1,0)</f>
        <v>0</v>
      </c>
    </row>
    <row r="5454" spans="1:16" x14ac:dyDescent="0.25">
      <c r="A5454" t="s">
        <v>2028</v>
      </c>
      <c r="B5454">
        <v>98</v>
      </c>
      <c r="C5454" t="s">
        <v>8247</v>
      </c>
      <c r="D5454" t="s">
        <v>259</v>
      </c>
      <c r="E5454" s="13">
        <v>50</v>
      </c>
      <c r="F5454" s="12">
        <v>6.05</v>
      </c>
      <c r="G5454" t="str">
        <f>IFERROR(INDEX(tEditais[Órgão],MATCH(tItens[[#This Row],[Edital]],tEditais[Edital],0)),"")</f>
        <v>MUNICIPIO DE IMBAU</v>
      </c>
      <c r="H5454" t="str">
        <f>IFERROR(INDEX(tEditais[UF],MATCH(tItens[[#This Row],[Edital]],tEditais[Edital],0)),"")</f>
        <v>PR</v>
      </c>
      <c r="I5454" s="11">
        <f>IFERROR(INDEX(tEditais[Encerramento],MATCH(tItens[[#This Row],[Edital]],tEditais[Edital],0)),"")</f>
        <v>46308.375</v>
      </c>
      <c r="J5454" t="str">
        <f>IFERROR(INDEX(tProdutos[Classe],MATCH(tItens[[#This Row],[Produto]],tProdutos[Produto],0)),"produto não cadastrado")</f>
        <v>FORA</v>
      </c>
      <c r="K5454" s="12">
        <f>tItens[[#This Row],[Qtd]]*tItens[[#This Row],[Vlr unit]]</f>
        <v>302.5</v>
      </c>
      <c r="L5454" s="6">
        <f>IFERROR(IF(INDEX(tProdutos[Desconto homologado],MATCH(tItens[[#This Row],[Produto]],tProdutos[Produto],0))="",DescontoPadrao,INDEX(tProdutos[Desconto homologado],MATCH(tItens[[#This Row],[Produto]],tProdutos[Produto],0))),DescontoPadrao)</f>
        <v>0.374798283789543</v>
      </c>
      <c r="M5454" s="12">
        <f>tItens[[#This Row],[Valor]]*(1-tItens[[#This Row],[Desconto]])</f>
        <v>189.12351915366327</v>
      </c>
      <c r="N5454" t="str">
        <f>IFERROR(INDEX(tProdutos[Foco],MATCH(tItens[[#This Row],[Produto]],tProdutos[Produto],0)),"Não")</f>
        <v>Não</v>
      </c>
      <c r="O5454" t="str">
        <f>IFERROR(INDEX(tEditais[SRP],MATCH(tItens[[#This Row],[Edital]],tEditais[Edital],0)),"Não")</f>
        <v>Não</v>
      </c>
      <c r="P5454" s="4">
        <f>IF(COUNTIFS(INDEX(tItens[Edital],1):tItens[[#This Row],[Edital]],tItens[[#This Row],[Edital]],INDEX(tItens[Produto],1):tItens[[#This Row],[Produto]],tItens[[#This Row],[Produto]])=1,1,0)</f>
        <v>1</v>
      </c>
    </row>
    <row r="5455" spans="1:16" x14ac:dyDescent="0.25">
      <c r="A5455" t="s">
        <v>2028</v>
      </c>
      <c r="B5455">
        <v>103</v>
      </c>
      <c r="C5455" t="s">
        <v>8248</v>
      </c>
      <c r="D5455" t="s">
        <v>461</v>
      </c>
      <c r="E5455" s="13">
        <v>20</v>
      </c>
      <c r="F5455" s="12">
        <v>81.900000000000006</v>
      </c>
      <c r="G5455" t="str">
        <f>IFERROR(INDEX(tEditais[Órgão],MATCH(tItens[[#This Row],[Edital]],tEditais[Edital],0)),"")</f>
        <v>MUNICIPIO DE IMBAU</v>
      </c>
      <c r="H5455" t="str">
        <f>IFERROR(INDEX(tEditais[UF],MATCH(tItens[[#This Row],[Edital]],tEditais[Edital],0)),"")</f>
        <v>PR</v>
      </c>
      <c r="I5455" s="11">
        <f>IFERROR(INDEX(tEditais[Encerramento],MATCH(tItens[[#This Row],[Edital]],tEditais[Edital],0)),"")</f>
        <v>46308.375</v>
      </c>
      <c r="J5455" t="str">
        <f>IFERROR(INDEX(tProdutos[Classe],MATCH(tItens[[#This Row],[Produto]],tProdutos[Produto],0)),"produto não cadastrado")</f>
        <v>FILA REBASE</v>
      </c>
      <c r="K5455" s="12">
        <f>tItens[[#This Row],[Qtd]]*tItens[[#This Row],[Vlr unit]]</f>
        <v>1638</v>
      </c>
      <c r="L5455" s="6">
        <f>IFERROR(IF(INDEX(tProdutos[Desconto homologado],MATCH(tItens[[#This Row],[Produto]],tProdutos[Produto],0))="",DescontoPadrao,INDEX(tProdutos[Desconto homologado],MATCH(tItens[[#This Row],[Produto]],tProdutos[Produto],0))),DescontoPadrao)</f>
        <v>0.44096385542168698</v>
      </c>
      <c r="M5455" s="12">
        <f>tItens[[#This Row],[Valor]]*(1-tItens[[#This Row],[Desconto]])</f>
        <v>915.70120481927665</v>
      </c>
      <c r="N5455" t="str">
        <f>IFERROR(INDEX(tProdutos[Foco],MATCH(tItens[[#This Row],[Produto]],tProdutos[Produto],0)),"Não")</f>
        <v>Não</v>
      </c>
      <c r="O5455" t="str">
        <f>IFERROR(INDEX(tEditais[SRP],MATCH(tItens[[#This Row],[Edital]],tEditais[Edital],0)),"Não")</f>
        <v>Não</v>
      </c>
      <c r="P5455" s="4">
        <f>IF(COUNTIFS(INDEX(tItens[Edital],1):tItens[[#This Row],[Edital]],tItens[[#This Row],[Edital]],INDEX(tItens[Produto],1):tItens[[#This Row],[Produto]],tItens[[#This Row],[Produto]])=1,1,0)</f>
        <v>1</v>
      </c>
    </row>
    <row r="5456" spans="1:16" x14ac:dyDescent="0.25">
      <c r="A5456" t="s">
        <v>2028</v>
      </c>
      <c r="B5456">
        <v>104</v>
      </c>
      <c r="C5456" t="s">
        <v>8249</v>
      </c>
      <c r="D5456" t="s">
        <v>461</v>
      </c>
      <c r="E5456" s="13">
        <v>20</v>
      </c>
      <c r="F5456" s="12">
        <v>85.21</v>
      </c>
      <c r="G5456" t="str">
        <f>IFERROR(INDEX(tEditais[Órgão],MATCH(tItens[[#This Row],[Edital]],tEditais[Edital],0)),"")</f>
        <v>MUNICIPIO DE IMBAU</v>
      </c>
      <c r="H5456" t="str">
        <f>IFERROR(INDEX(tEditais[UF],MATCH(tItens[[#This Row],[Edital]],tEditais[Edital],0)),"")</f>
        <v>PR</v>
      </c>
      <c r="I5456" s="11">
        <f>IFERROR(INDEX(tEditais[Encerramento],MATCH(tItens[[#This Row],[Edital]],tEditais[Edital],0)),"")</f>
        <v>46308.375</v>
      </c>
      <c r="J5456" t="str">
        <f>IFERROR(INDEX(tProdutos[Classe],MATCH(tItens[[#This Row],[Produto]],tProdutos[Produto],0)),"produto não cadastrado")</f>
        <v>FILA REBASE</v>
      </c>
      <c r="K5456" s="12">
        <f>tItens[[#This Row],[Qtd]]*tItens[[#This Row],[Vlr unit]]</f>
        <v>1704.1999999999998</v>
      </c>
      <c r="L5456" s="6">
        <f>IFERROR(IF(INDEX(tProdutos[Desconto homologado],MATCH(tItens[[#This Row],[Produto]],tProdutos[Produto],0))="",DescontoPadrao,INDEX(tProdutos[Desconto homologado],MATCH(tItens[[#This Row],[Produto]],tProdutos[Produto],0))),DescontoPadrao)</f>
        <v>0.44096385542168698</v>
      </c>
      <c r="M5456" s="12">
        <f>tItens[[#This Row],[Valor]]*(1-tItens[[#This Row],[Desconto]])</f>
        <v>952.70939759036082</v>
      </c>
      <c r="N5456" t="str">
        <f>IFERROR(INDEX(tProdutos[Foco],MATCH(tItens[[#This Row],[Produto]],tProdutos[Produto],0)),"Não")</f>
        <v>Não</v>
      </c>
      <c r="O5456" t="str">
        <f>IFERROR(INDEX(tEditais[SRP],MATCH(tItens[[#This Row],[Edital]],tEditais[Edital],0)),"Não")</f>
        <v>Não</v>
      </c>
      <c r="P5456" s="4">
        <f>IF(COUNTIFS(INDEX(tItens[Edital],1):tItens[[#This Row],[Edital]],tItens[[#This Row],[Edital]],INDEX(tItens[Produto],1):tItens[[#This Row],[Produto]],tItens[[#This Row],[Produto]])=1,1,0)</f>
        <v>0</v>
      </c>
    </row>
    <row r="5457" spans="1:16" x14ac:dyDescent="0.25">
      <c r="A5457" t="s">
        <v>2028</v>
      </c>
      <c r="B5457">
        <v>105</v>
      </c>
      <c r="C5457" t="s">
        <v>8250</v>
      </c>
      <c r="D5457" t="s">
        <v>461</v>
      </c>
      <c r="E5457" s="13">
        <v>20</v>
      </c>
      <c r="F5457" s="12">
        <v>87.88</v>
      </c>
      <c r="G5457" t="str">
        <f>IFERROR(INDEX(tEditais[Órgão],MATCH(tItens[[#This Row],[Edital]],tEditais[Edital],0)),"")</f>
        <v>MUNICIPIO DE IMBAU</v>
      </c>
      <c r="H5457" t="str">
        <f>IFERROR(INDEX(tEditais[UF],MATCH(tItens[[#This Row],[Edital]],tEditais[Edital],0)),"")</f>
        <v>PR</v>
      </c>
      <c r="I5457" s="11">
        <f>IFERROR(INDEX(tEditais[Encerramento],MATCH(tItens[[#This Row],[Edital]],tEditais[Edital],0)),"")</f>
        <v>46308.375</v>
      </c>
      <c r="J5457" t="str">
        <f>IFERROR(INDEX(tProdutos[Classe],MATCH(tItens[[#This Row],[Produto]],tProdutos[Produto],0)),"produto não cadastrado")</f>
        <v>FILA REBASE</v>
      </c>
      <c r="K5457" s="12">
        <f>tItens[[#This Row],[Qtd]]*tItens[[#This Row],[Vlr unit]]</f>
        <v>1757.6</v>
      </c>
      <c r="L5457" s="6">
        <f>IFERROR(IF(INDEX(tProdutos[Desconto homologado],MATCH(tItens[[#This Row],[Produto]],tProdutos[Produto],0))="",DescontoPadrao,INDEX(tProdutos[Desconto homologado],MATCH(tItens[[#This Row],[Produto]],tProdutos[Produto],0))),DescontoPadrao)</f>
        <v>0.44096385542168698</v>
      </c>
      <c r="M5457" s="12">
        <f>tItens[[#This Row],[Valor]]*(1-tItens[[#This Row],[Desconto]])</f>
        <v>982.56192771084284</v>
      </c>
      <c r="N5457" t="str">
        <f>IFERROR(INDEX(tProdutos[Foco],MATCH(tItens[[#This Row],[Produto]],tProdutos[Produto],0)),"Não")</f>
        <v>Não</v>
      </c>
      <c r="O5457" t="str">
        <f>IFERROR(INDEX(tEditais[SRP],MATCH(tItens[[#This Row],[Edital]],tEditais[Edital],0)),"Não")</f>
        <v>Não</v>
      </c>
      <c r="P5457" s="4">
        <f>IF(COUNTIFS(INDEX(tItens[Edital],1):tItens[[#This Row],[Edital]],tItens[[#This Row],[Edital]],INDEX(tItens[Produto],1):tItens[[#This Row],[Produto]],tItens[[#This Row],[Produto]])=1,1,0)</f>
        <v>0</v>
      </c>
    </row>
    <row r="5458" spans="1:16" x14ac:dyDescent="0.25">
      <c r="A5458" t="s">
        <v>2028</v>
      </c>
      <c r="B5458">
        <v>106</v>
      </c>
      <c r="C5458" t="s">
        <v>8251</v>
      </c>
      <c r="D5458" t="s">
        <v>461</v>
      </c>
      <c r="E5458" s="13">
        <v>20</v>
      </c>
      <c r="F5458" s="12">
        <v>88.82</v>
      </c>
      <c r="G5458" t="str">
        <f>IFERROR(INDEX(tEditais[Órgão],MATCH(tItens[[#This Row],[Edital]],tEditais[Edital],0)),"")</f>
        <v>MUNICIPIO DE IMBAU</v>
      </c>
      <c r="H5458" t="str">
        <f>IFERROR(INDEX(tEditais[UF],MATCH(tItens[[#This Row],[Edital]],tEditais[Edital],0)),"")</f>
        <v>PR</v>
      </c>
      <c r="I5458" s="11">
        <f>IFERROR(INDEX(tEditais[Encerramento],MATCH(tItens[[#This Row],[Edital]],tEditais[Edital],0)),"")</f>
        <v>46308.375</v>
      </c>
      <c r="J5458" t="str">
        <f>IFERROR(INDEX(tProdutos[Classe],MATCH(tItens[[#This Row],[Produto]],tProdutos[Produto],0)),"produto não cadastrado")</f>
        <v>FILA REBASE</v>
      </c>
      <c r="K5458" s="12">
        <f>tItens[[#This Row],[Qtd]]*tItens[[#This Row],[Vlr unit]]</f>
        <v>1776.3999999999999</v>
      </c>
      <c r="L5458" s="6">
        <f>IFERROR(IF(INDEX(tProdutos[Desconto homologado],MATCH(tItens[[#This Row],[Produto]],tProdutos[Produto],0))="",DescontoPadrao,INDEX(tProdutos[Desconto homologado],MATCH(tItens[[#This Row],[Produto]],tProdutos[Produto],0))),DescontoPadrao)</f>
        <v>0.44096385542168698</v>
      </c>
      <c r="M5458" s="12">
        <f>tItens[[#This Row],[Valor]]*(1-tItens[[#This Row],[Desconto]])</f>
        <v>993.07180722891508</v>
      </c>
      <c r="N5458" t="str">
        <f>IFERROR(INDEX(tProdutos[Foco],MATCH(tItens[[#This Row],[Produto]],tProdutos[Produto],0)),"Não")</f>
        <v>Não</v>
      </c>
      <c r="O5458" t="str">
        <f>IFERROR(INDEX(tEditais[SRP],MATCH(tItens[[#This Row],[Edital]],tEditais[Edital],0)),"Não")</f>
        <v>Não</v>
      </c>
      <c r="P5458" s="4">
        <f>IF(COUNTIFS(INDEX(tItens[Edital],1):tItens[[#This Row],[Edital]],tItens[[#This Row],[Edital]],INDEX(tItens[Produto],1):tItens[[#This Row],[Produto]],tItens[[#This Row],[Produto]])=1,1,0)</f>
        <v>0</v>
      </c>
    </row>
    <row r="5459" spans="1:16" x14ac:dyDescent="0.25">
      <c r="A5459" t="s">
        <v>2028</v>
      </c>
      <c r="B5459">
        <v>107</v>
      </c>
      <c r="C5459" t="s">
        <v>8252</v>
      </c>
      <c r="D5459" t="s">
        <v>461</v>
      </c>
      <c r="E5459" s="13">
        <v>20</v>
      </c>
      <c r="F5459" s="12">
        <v>100.83</v>
      </c>
      <c r="G5459" t="str">
        <f>IFERROR(INDEX(tEditais[Órgão],MATCH(tItens[[#This Row],[Edital]],tEditais[Edital],0)),"")</f>
        <v>MUNICIPIO DE IMBAU</v>
      </c>
      <c r="H5459" t="str">
        <f>IFERROR(INDEX(tEditais[UF],MATCH(tItens[[#This Row],[Edital]],tEditais[Edital],0)),"")</f>
        <v>PR</v>
      </c>
      <c r="I5459" s="11">
        <f>IFERROR(INDEX(tEditais[Encerramento],MATCH(tItens[[#This Row],[Edital]],tEditais[Edital],0)),"")</f>
        <v>46308.375</v>
      </c>
      <c r="J5459" t="str">
        <f>IFERROR(INDEX(tProdutos[Classe],MATCH(tItens[[#This Row],[Produto]],tProdutos[Produto],0)),"produto não cadastrado")</f>
        <v>FILA REBASE</v>
      </c>
      <c r="K5459" s="12">
        <f>tItens[[#This Row],[Qtd]]*tItens[[#This Row],[Vlr unit]]</f>
        <v>2016.6</v>
      </c>
      <c r="L5459" s="6">
        <f>IFERROR(IF(INDEX(tProdutos[Desconto homologado],MATCH(tItens[[#This Row],[Produto]],tProdutos[Produto],0))="",DescontoPadrao,INDEX(tProdutos[Desconto homologado],MATCH(tItens[[#This Row],[Produto]],tProdutos[Produto],0))),DescontoPadrao)</f>
        <v>0.44096385542168698</v>
      </c>
      <c r="M5459" s="12">
        <f>tItens[[#This Row],[Valor]]*(1-tItens[[#This Row],[Desconto]])</f>
        <v>1127.3522891566258</v>
      </c>
      <c r="N5459" t="str">
        <f>IFERROR(INDEX(tProdutos[Foco],MATCH(tItens[[#This Row],[Produto]],tProdutos[Produto],0)),"Não")</f>
        <v>Não</v>
      </c>
      <c r="O5459" t="str">
        <f>IFERROR(INDEX(tEditais[SRP],MATCH(tItens[[#This Row],[Edital]],tEditais[Edital],0)),"Não")</f>
        <v>Não</v>
      </c>
      <c r="P5459" s="4">
        <f>IF(COUNTIFS(INDEX(tItens[Edital],1):tItens[[#This Row],[Edital]],tItens[[#This Row],[Edital]],INDEX(tItens[Produto],1):tItens[[#This Row],[Produto]],tItens[[#This Row],[Produto]])=1,1,0)</f>
        <v>0</v>
      </c>
    </row>
    <row r="5460" spans="1:16" x14ac:dyDescent="0.25">
      <c r="A5460" t="s">
        <v>2028</v>
      </c>
      <c r="B5460">
        <v>109</v>
      </c>
      <c r="C5460" t="s">
        <v>8253</v>
      </c>
      <c r="D5460" t="s">
        <v>142</v>
      </c>
      <c r="E5460" s="13">
        <v>250</v>
      </c>
      <c r="F5460" s="12">
        <v>9.01</v>
      </c>
      <c r="G5460" t="str">
        <f>IFERROR(INDEX(tEditais[Órgão],MATCH(tItens[[#This Row],[Edital]],tEditais[Edital],0)),"")</f>
        <v>MUNICIPIO DE IMBAU</v>
      </c>
      <c r="H5460" t="str">
        <f>IFERROR(INDEX(tEditais[UF],MATCH(tItens[[#This Row],[Edital]],tEditais[Edital],0)),"")</f>
        <v>PR</v>
      </c>
      <c r="I5460" s="11">
        <f>IFERROR(INDEX(tEditais[Encerramento],MATCH(tItens[[#This Row],[Edital]],tEditais[Edital],0)),"")</f>
        <v>46308.375</v>
      </c>
      <c r="J5460" t="str">
        <f>IFERROR(INDEX(tProdutos[Classe],MATCH(tItens[[#This Row],[Produto]],tProdutos[Produto],0)),"produto não cadastrado")</f>
        <v>DISPUTADO</v>
      </c>
      <c r="K5460" s="12">
        <f>tItens[[#This Row],[Qtd]]*tItens[[#This Row],[Vlr unit]]</f>
        <v>2252.5</v>
      </c>
      <c r="L5460" s="6">
        <f>IFERROR(IF(INDEX(tProdutos[Desconto homologado],MATCH(tItens[[#This Row],[Produto]],tProdutos[Produto],0))="",DescontoPadrao,INDEX(tProdutos[Desconto homologado],MATCH(tItens[[#This Row],[Produto]],tProdutos[Produto],0))),DescontoPadrao)</f>
        <v>0.37093619495691699</v>
      </c>
      <c r="M5460" s="12">
        <f>tItens[[#This Row],[Valor]]*(1-tItens[[#This Row],[Desconto]])</f>
        <v>1416.9662208595446</v>
      </c>
      <c r="N5460" t="str">
        <f>IFERROR(INDEX(tProdutos[Foco],MATCH(tItens[[#This Row],[Produto]],tProdutos[Produto],0)),"Não")</f>
        <v>Não</v>
      </c>
      <c r="O5460" t="str">
        <f>IFERROR(INDEX(tEditais[SRP],MATCH(tItens[[#This Row],[Edital]],tEditais[Edital],0)),"Não")</f>
        <v>Não</v>
      </c>
      <c r="P5460" s="4">
        <f>IF(COUNTIFS(INDEX(tItens[Edital],1):tItens[[#This Row],[Edital]],tItens[[#This Row],[Edital]],INDEX(tItens[Produto],1):tItens[[#This Row],[Produto]],tItens[[#This Row],[Produto]])=1,1,0)</f>
        <v>1</v>
      </c>
    </row>
    <row r="5461" spans="1:16" x14ac:dyDescent="0.25">
      <c r="A5461" t="s">
        <v>2028</v>
      </c>
      <c r="B5461">
        <v>110</v>
      </c>
      <c r="C5461" t="s">
        <v>8254</v>
      </c>
      <c r="D5461" t="s">
        <v>503</v>
      </c>
      <c r="E5461" s="13">
        <v>250</v>
      </c>
      <c r="F5461" s="12">
        <v>12.57</v>
      </c>
      <c r="G5461" t="str">
        <f>IFERROR(INDEX(tEditais[Órgão],MATCH(tItens[[#This Row],[Edital]],tEditais[Edital],0)),"")</f>
        <v>MUNICIPIO DE IMBAU</v>
      </c>
      <c r="H5461" t="str">
        <f>IFERROR(INDEX(tEditais[UF],MATCH(tItens[[#This Row],[Edital]],tEditais[Edital],0)),"")</f>
        <v>PR</v>
      </c>
      <c r="I5461" s="11">
        <f>IFERROR(INDEX(tEditais[Encerramento],MATCH(tItens[[#This Row],[Edital]],tEditais[Edital],0)),"")</f>
        <v>46308.375</v>
      </c>
      <c r="J5461" t="str">
        <f>IFERROR(INDEX(tProdutos[Classe],MATCH(tItens[[#This Row],[Produto]],tProdutos[Produto],0)),"produto não cadastrado")</f>
        <v>FILA REBASE</v>
      </c>
      <c r="K5461" s="12">
        <f>tItens[[#This Row],[Qtd]]*tItens[[#This Row],[Vlr unit]]</f>
        <v>3142.5</v>
      </c>
      <c r="L5461" s="6">
        <f>IFERROR(IF(INDEX(tProdutos[Desconto homologado],MATCH(tItens[[#This Row],[Produto]],tProdutos[Produto],0))="",DescontoPadrao,INDEX(tProdutos[Desconto homologado],MATCH(tItens[[#This Row],[Produto]],tProdutos[Produto],0))),DescontoPadrao)</f>
        <v>0.54492561591744004</v>
      </c>
      <c r="M5461" s="12">
        <f>tItens[[#This Row],[Valor]]*(1-tItens[[#This Row],[Desconto]])</f>
        <v>1430.0712519794447</v>
      </c>
      <c r="N5461" t="str">
        <f>IFERROR(INDEX(tProdutos[Foco],MATCH(tItens[[#This Row],[Produto]],tProdutos[Produto],0)),"Não")</f>
        <v>Não</v>
      </c>
      <c r="O5461" t="str">
        <f>IFERROR(INDEX(tEditais[SRP],MATCH(tItens[[#This Row],[Edital]],tEditais[Edital],0)),"Não")</f>
        <v>Não</v>
      </c>
      <c r="P5461" s="4">
        <f>IF(COUNTIFS(INDEX(tItens[Edital],1):tItens[[#This Row],[Edital]],tItens[[#This Row],[Edital]],INDEX(tItens[Produto],1):tItens[[#This Row],[Produto]],tItens[[#This Row],[Produto]])=1,1,0)</f>
        <v>1</v>
      </c>
    </row>
    <row r="5462" spans="1:16" x14ac:dyDescent="0.25">
      <c r="A5462" t="s">
        <v>2028</v>
      </c>
      <c r="B5462">
        <v>113</v>
      </c>
      <c r="C5462" t="s">
        <v>8255</v>
      </c>
      <c r="D5462" t="s">
        <v>77</v>
      </c>
      <c r="E5462" s="13">
        <v>600</v>
      </c>
      <c r="F5462" s="12">
        <v>6.15</v>
      </c>
      <c r="G5462" t="str">
        <f>IFERROR(INDEX(tEditais[Órgão],MATCH(tItens[[#This Row],[Edital]],tEditais[Edital],0)),"")</f>
        <v>MUNICIPIO DE IMBAU</v>
      </c>
      <c r="H5462" t="str">
        <f>IFERROR(INDEX(tEditais[UF],MATCH(tItens[[#This Row],[Edital]],tEditais[Edital],0)),"")</f>
        <v>PR</v>
      </c>
      <c r="I5462" s="11">
        <f>IFERROR(INDEX(tEditais[Encerramento],MATCH(tItens[[#This Row],[Edital]],tEditais[Edital],0)),"")</f>
        <v>46308.375</v>
      </c>
      <c r="J5462" t="str">
        <f>IFERROR(INDEX(tProdutos[Classe],MATCH(tItens[[#This Row],[Produto]],tProdutos[Produto],0)),"produto não cadastrado")</f>
        <v>DISPUTADO</v>
      </c>
      <c r="K5462" s="12">
        <f>tItens[[#This Row],[Qtd]]*tItens[[#This Row],[Vlr unit]]</f>
        <v>3690</v>
      </c>
      <c r="L5462" s="6">
        <f>IFERROR(IF(INDEX(tProdutos[Desconto homologado],MATCH(tItens[[#This Row],[Produto]],tProdutos[Produto],0))="",DescontoPadrao,INDEX(tProdutos[Desconto homologado],MATCH(tItens[[#This Row],[Produto]],tProdutos[Produto],0))),DescontoPadrao)</f>
        <v>0.33</v>
      </c>
      <c r="M5462" s="12">
        <f>tItens[[#This Row],[Valor]]*(1-tItens[[#This Row],[Desconto]])</f>
        <v>2472.2999999999997</v>
      </c>
      <c r="N5462" t="str">
        <f>IFERROR(INDEX(tProdutos[Foco],MATCH(tItens[[#This Row],[Produto]],tProdutos[Produto],0)),"Não")</f>
        <v>Sim</v>
      </c>
      <c r="O5462" t="str">
        <f>IFERROR(INDEX(tEditais[SRP],MATCH(tItens[[#This Row],[Edital]],tEditais[Edital],0)),"Não")</f>
        <v>Não</v>
      </c>
      <c r="P5462" s="4">
        <f>IF(COUNTIFS(INDEX(tItens[Edital],1):tItens[[#This Row],[Edital]],tItens[[#This Row],[Edital]],INDEX(tItens[Produto],1):tItens[[#This Row],[Produto]],tItens[[#This Row],[Produto]])=1,1,0)</f>
        <v>1</v>
      </c>
    </row>
    <row r="5463" spans="1:16" x14ac:dyDescent="0.25">
      <c r="A5463" t="s">
        <v>2028</v>
      </c>
      <c r="B5463">
        <v>114</v>
      </c>
      <c r="C5463" t="s">
        <v>8256</v>
      </c>
      <c r="D5463" t="s">
        <v>77</v>
      </c>
      <c r="E5463" s="13">
        <v>600</v>
      </c>
      <c r="F5463" s="12">
        <v>11.42</v>
      </c>
      <c r="G5463" t="str">
        <f>IFERROR(INDEX(tEditais[Órgão],MATCH(tItens[[#This Row],[Edital]],tEditais[Edital],0)),"")</f>
        <v>MUNICIPIO DE IMBAU</v>
      </c>
      <c r="H5463" t="str">
        <f>IFERROR(INDEX(tEditais[UF],MATCH(tItens[[#This Row],[Edital]],tEditais[Edital],0)),"")</f>
        <v>PR</v>
      </c>
      <c r="I5463" s="11">
        <f>IFERROR(INDEX(tEditais[Encerramento],MATCH(tItens[[#This Row],[Edital]],tEditais[Edital],0)),"")</f>
        <v>46308.375</v>
      </c>
      <c r="J5463" t="str">
        <f>IFERROR(INDEX(tProdutos[Classe],MATCH(tItens[[#This Row],[Produto]],tProdutos[Produto],0)),"produto não cadastrado")</f>
        <v>DISPUTADO</v>
      </c>
      <c r="K5463" s="12">
        <f>tItens[[#This Row],[Qtd]]*tItens[[#This Row],[Vlr unit]]</f>
        <v>6852</v>
      </c>
      <c r="L5463" s="6">
        <f>IFERROR(IF(INDEX(tProdutos[Desconto homologado],MATCH(tItens[[#This Row],[Produto]],tProdutos[Produto],0))="",DescontoPadrao,INDEX(tProdutos[Desconto homologado],MATCH(tItens[[#This Row],[Produto]],tProdutos[Produto],0))),DescontoPadrao)</f>
        <v>0.33</v>
      </c>
      <c r="M5463" s="12">
        <f>tItens[[#This Row],[Valor]]*(1-tItens[[#This Row],[Desconto]])</f>
        <v>4590.8399999999992</v>
      </c>
      <c r="N5463" t="str">
        <f>IFERROR(INDEX(tProdutos[Foco],MATCH(tItens[[#This Row],[Produto]],tProdutos[Produto],0)),"Não")</f>
        <v>Sim</v>
      </c>
      <c r="O5463" t="str">
        <f>IFERROR(INDEX(tEditais[SRP],MATCH(tItens[[#This Row],[Edital]],tEditais[Edital],0)),"Não")</f>
        <v>Não</v>
      </c>
      <c r="P5463" s="4">
        <f>IF(COUNTIFS(INDEX(tItens[Edital],1):tItens[[#This Row],[Edital]],tItens[[#This Row],[Edital]],INDEX(tItens[Produto],1):tItens[[#This Row],[Produto]],tItens[[#This Row],[Produto]])=1,1,0)</f>
        <v>0</v>
      </c>
    </row>
    <row r="5464" spans="1:16" x14ac:dyDescent="0.25">
      <c r="A5464" t="s">
        <v>2028</v>
      </c>
      <c r="B5464">
        <v>115</v>
      </c>
      <c r="C5464" t="s">
        <v>8257</v>
      </c>
      <c r="D5464" t="s">
        <v>341</v>
      </c>
      <c r="E5464" s="13">
        <v>50</v>
      </c>
      <c r="F5464" s="12">
        <v>51.13</v>
      </c>
      <c r="G5464" t="str">
        <f>IFERROR(INDEX(tEditais[Órgão],MATCH(tItens[[#This Row],[Edital]],tEditais[Edital],0)),"")</f>
        <v>MUNICIPIO DE IMBAU</v>
      </c>
      <c r="H5464" t="str">
        <f>IFERROR(INDEX(tEditais[UF],MATCH(tItens[[#This Row],[Edital]],tEditais[Edital],0)),"")</f>
        <v>PR</v>
      </c>
      <c r="I5464" s="11">
        <f>IFERROR(INDEX(tEditais[Encerramento],MATCH(tItens[[#This Row],[Edital]],tEditais[Edital],0)),"")</f>
        <v>46308.375</v>
      </c>
      <c r="J5464" t="str">
        <f>IFERROR(INDEX(tProdutos[Classe],MATCH(tItens[[#This Row],[Produto]],tProdutos[Produto],0)),"produto não cadastrado")</f>
        <v>FORA</v>
      </c>
      <c r="K5464" s="12">
        <f>tItens[[#This Row],[Qtd]]*tItens[[#This Row],[Vlr unit]]</f>
        <v>2556.5</v>
      </c>
      <c r="L5464" s="6">
        <f>IFERROR(IF(INDEX(tProdutos[Desconto homologado],MATCH(tItens[[#This Row],[Produto]],tProdutos[Produto],0))="",DescontoPadrao,INDEX(tProdutos[Desconto homologado],MATCH(tItens[[#This Row],[Produto]],tProdutos[Produto],0))),DescontoPadrao)</f>
        <v>0.46918578497525898</v>
      </c>
      <c r="M5464" s="12">
        <f>tItens[[#This Row],[Valor]]*(1-tItens[[#This Row],[Desconto]])</f>
        <v>1357.0265407107504</v>
      </c>
      <c r="N5464" t="str">
        <f>IFERROR(INDEX(tProdutos[Foco],MATCH(tItens[[#This Row],[Produto]],tProdutos[Produto],0)),"Não")</f>
        <v>Não</v>
      </c>
      <c r="O5464" t="str">
        <f>IFERROR(INDEX(tEditais[SRP],MATCH(tItens[[#This Row],[Edital]],tEditais[Edital],0)),"Não")</f>
        <v>Não</v>
      </c>
      <c r="P5464" s="4">
        <f>IF(COUNTIFS(INDEX(tItens[Edital],1):tItens[[#This Row],[Edital]],tItens[[#This Row],[Edital]],INDEX(tItens[Produto],1):tItens[[#This Row],[Produto]],tItens[[#This Row],[Produto]])=1,1,0)</f>
        <v>0</v>
      </c>
    </row>
    <row r="5465" spans="1:16" x14ac:dyDescent="0.25">
      <c r="A5465" t="s">
        <v>2028</v>
      </c>
      <c r="B5465">
        <v>116</v>
      </c>
      <c r="C5465" t="s">
        <v>8258</v>
      </c>
      <c r="D5465" t="s">
        <v>467</v>
      </c>
      <c r="E5465" s="13">
        <v>200</v>
      </c>
      <c r="F5465" s="12">
        <v>12.74</v>
      </c>
      <c r="G5465" t="str">
        <f>IFERROR(INDEX(tEditais[Órgão],MATCH(tItens[[#This Row],[Edital]],tEditais[Edital],0)),"")</f>
        <v>MUNICIPIO DE IMBAU</v>
      </c>
      <c r="H5465" t="str">
        <f>IFERROR(INDEX(tEditais[UF],MATCH(tItens[[#This Row],[Edital]],tEditais[Edital],0)),"")</f>
        <v>PR</v>
      </c>
      <c r="I5465" s="11">
        <f>IFERROR(INDEX(tEditais[Encerramento],MATCH(tItens[[#This Row],[Edital]],tEditais[Edital],0)),"")</f>
        <v>46308.375</v>
      </c>
      <c r="J5465" t="str">
        <f>IFERROR(INDEX(tProdutos[Classe],MATCH(tItens[[#This Row],[Produto]],tProdutos[Produto],0)),"produto não cadastrado")</f>
        <v>FILA REBASE</v>
      </c>
      <c r="K5465" s="12">
        <f>tItens[[#This Row],[Qtd]]*tItens[[#This Row],[Vlr unit]]</f>
        <v>2548</v>
      </c>
      <c r="L5465" s="6">
        <f>IFERROR(IF(INDEX(tProdutos[Desconto homologado],MATCH(tItens[[#This Row],[Produto]],tProdutos[Produto],0))="",DescontoPadrao,INDEX(tProdutos[Desconto homologado],MATCH(tItens[[#This Row],[Produto]],tProdutos[Produto],0))),DescontoPadrao)</f>
        <v>0.25007144898542499</v>
      </c>
      <c r="M5465" s="12">
        <f>tItens[[#This Row],[Valor]]*(1-tItens[[#This Row],[Desconto]])</f>
        <v>1910.8179479851372</v>
      </c>
      <c r="N5465" t="str">
        <f>IFERROR(INDEX(tProdutos[Foco],MATCH(tItens[[#This Row],[Produto]],tProdutos[Produto],0)),"Não")</f>
        <v>Não</v>
      </c>
      <c r="O5465" t="str">
        <f>IFERROR(INDEX(tEditais[SRP],MATCH(tItens[[#This Row],[Edital]],tEditais[Edital],0)),"Não")</f>
        <v>Não</v>
      </c>
      <c r="P5465" s="4">
        <f>IF(COUNTIFS(INDEX(tItens[Edital],1):tItens[[#This Row],[Edital]],tItens[[#This Row],[Edital]],INDEX(tItens[Produto],1):tItens[[#This Row],[Produto]],tItens[[#This Row],[Produto]])=1,1,0)</f>
        <v>1</v>
      </c>
    </row>
    <row r="5466" spans="1:16" x14ac:dyDescent="0.25">
      <c r="A5466" t="s">
        <v>2028</v>
      </c>
      <c r="B5466">
        <v>117</v>
      </c>
      <c r="C5466" t="s">
        <v>8259</v>
      </c>
      <c r="D5466" t="s">
        <v>205</v>
      </c>
      <c r="E5466" s="13">
        <v>10</v>
      </c>
      <c r="F5466" s="12">
        <v>67.63</v>
      </c>
      <c r="G5466" t="str">
        <f>IFERROR(INDEX(tEditais[Órgão],MATCH(tItens[[#This Row],[Edital]],tEditais[Edital],0)),"")</f>
        <v>MUNICIPIO DE IMBAU</v>
      </c>
      <c r="H5466" t="str">
        <f>IFERROR(INDEX(tEditais[UF],MATCH(tItens[[#This Row],[Edital]],tEditais[Edital],0)),"")</f>
        <v>PR</v>
      </c>
      <c r="I5466" s="11">
        <f>IFERROR(INDEX(tEditais[Encerramento],MATCH(tItens[[#This Row],[Edital]],tEditais[Edital],0)),"")</f>
        <v>46308.375</v>
      </c>
      <c r="J5466" t="str">
        <f>IFERROR(INDEX(tProdutos[Classe],MATCH(tItens[[#This Row],[Produto]],tProdutos[Produto],0)),"produto não cadastrado")</f>
        <v>FORA</v>
      </c>
      <c r="K5466" s="12">
        <f>tItens[[#This Row],[Qtd]]*tItens[[#This Row],[Vlr unit]]</f>
        <v>676.3</v>
      </c>
      <c r="L5466" s="6">
        <f>IFERROR(IF(INDEX(tProdutos[Desconto homologado],MATCH(tItens[[#This Row],[Produto]],tProdutos[Produto],0))="",DescontoPadrao,INDEX(tProdutos[Desconto homologado],MATCH(tItens[[#This Row],[Produto]],tProdutos[Produto],0))),DescontoPadrao)</f>
        <v>0.468911625815156</v>
      </c>
      <c r="M5466" s="12">
        <f>tItens[[#This Row],[Valor]]*(1-tItens[[#This Row],[Desconto]])</f>
        <v>359.17506746120995</v>
      </c>
      <c r="N5466" t="str">
        <f>IFERROR(INDEX(tProdutos[Foco],MATCH(tItens[[#This Row],[Produto]],tProdutos[Produto],0)),"Não")</f>
        <v>Não</v>
      </c>
      <c r="O5466" t="str">
        <f>IFERROR(INDEX(tEditais[SRP],MATCH(tItens[[#This Row],[Edital]],tEditais[Edital],0)),"Não")</f>
        <v>Não</v>
      </c>
      <c r="P5466" s="4">
        <f>IF(COUNTIFS(INDEX(tItens[Edital],1):tItens[[#This Row],[Edital]],tItens[[#This Row],[Edital]],INDEX(tItens[Produto],1):tItens[[#This Row],[Produto]],tItens[[#This Row],[Produto]])=1,1,0)</f>
        <v>1</v>
      </c>
    </row>
    <row r="5467" spans="1:16" x14ac:dyDescent="0.25">
      <c r="A5467" t="s">
        <v>2028</v>
      </c>
      <c r="B5467">
        <v>118</v>
      </c>
      <c r="C5467" t="s">
        <v>8260</v>
      </c>
      <c r="D5467" t="s">
        <v>205</v>
      </c>
      <c r="E5467" s="13">
        <v>10</v>
      </c>
      <c r="F5467" s="12">
        <v>77.819999999999993</v>
      </c>
      <c r="G5467" t="str">
        <f>IFERROR(INDEX(tEditais[Órgão],MATCH(tItens[[#This Row],[Edital]],tEditais[Edital],0)),"")</f>
        <v>MUNICIPIO DE IMBAU</v>
      </c>
      <c r="H5467" t="str">
        <f>IFERROR(INDEX(tEditais[UF],MATCH(tItens[[#This Row],[Edital]],tEditais[Edital],0)),"")</f>
        <v>PR</v>
      </c>
      <c r="I5467" s="11">
        <f>IFERROR(INDEX(tEditais[Encerramento],MATCH(tItens[[#This Row],[Edital]],tEditais[Edital],0)),"")</f>
        <v>46308.375</v>
      </c>
      <c r="J5467" t="str">
        <f>IFERROR(INDEX(tProdutos[Classe],MATCH(tItens[[#This Row],[Produto]],tProdutos[Produto],0)),"produto não cadastrado")</f>
        <v>FORA</v>
      </c>
      <c r="K5467" s="12">
        <f>tItens[[#This Row],[Qtd]]*tItens[[#This Row],[Vlr unit]]</f>
        <v>778.19999999999993</v>
      </c>
      <c r="L5467" s="6">
        <f>IFERROR(IF(INDEX(tProdutos[Desconto homologado],MATCH(tItens[[#This Row],[Produto]],tProdutos[Produto],0))="",DescontoPadrao,INDEX(tProdutos[Desconto homologado],MATCH(tItens[[#This Row],[Produto]],tProdutos[Produto],0))),DescontoPadrao)</f>
        <v>0.468911625815156</v>
      </c>
      <c r="M5467" s="12">
        <f>tItens[[#This Row],[Valor]]*(1-tItens[[#This Row],[Desconto]])</f>
        <v>413.29297279064559</v>
      </c>
      <c r="N5467" t="str">
        <f>IFERROR(INDEX(tProdutos[Foco],MATCH(tItens[[#This Row],[Produto]],tProdutos[Produto],0)),"Não")</f>
        <v>Não</v>
      </c>
      <c r="O5467" t="str">
        <f>IFERROR(INDEX(tEditais[SRP],MATCH(tItens[[#This Row],[Edital]],tEditais[Edital],0)),"Não")</f>
        <v>Não</v>
      </c>
      <c r="P5467" s="4">
        <f>IF(COUNTIFS(INDEX(tItens[Edital],1):tItens[[#This Row],[Edital]],tItens[[#This Row],[Edital]],INDEX(tItens[Produto],1):tItens[[#This Row],[Produto]],tItens[[#This Row],[Produto]])=1,1,0)</f>
        <v>0</v>
      </c>
    </row>
    <row r="5468" spans="1:16" x14ac:dyDescent="0.25">
      <c r="A5468" t="s">
        <v>2028</v>
      </c>
      <c r="B5468">
        <v>122</v>
      </c>
      <c r="C5468" t="s">
        <v>8261</v>
      </c>
      <c r="D5468" t="s">
        <v>411</v>
      </c>
      <c r="E5468" s="13">
        <v>50</v>
      </c>
      <c r="F5468" s="12">
        <v>194.54</v>
      </c>
      <c r="G5468" t="str">
        <f>IFERROR(INDEX(tEditais[Órgão],MATCH(tItens[[#This Row],[Edital]],tEditais[Edital],0)),"")</f>
        <v>MUNICIPIO DE IMBAU</v>
      </c>
      <c r="H5468" t="str">
        <f>IFERROR(INDEX(tEditais[UF],MATCH(tItens[[#This Row],[Edital]],tEditais[Edital],0)),"")</f>
        <v>PR</v>
      </c>
      <c r="I5468" s="11">
        <f>IFERROR(INDEX(tEditais[Encerramento],MATCH(tItens[[#This Row],[Edital]],tEditais[Edital],0)),"")</f>
        <v>46308.375</v>
      </c>
      <c r="J5468" t="str">
        <f>IFERROR(INDEX(tProdutos[Classe],MATCH(tItens[[#This Row],[Produto]],tProdutos[Produto],0)),"produto não cadastrado")</f>
        <v>FORA</v>
      </c>
      <c r="K5468" s="12">
        <f>tItens[[#This Row],[Qtd]]*tItens[[#This Row],[Vlr unit]]</f>
        <v>9727</v>
      </c>
      <c r="L5468" s="6">
        <f>IFERROR(IF(INDEX(tProdutos[Desconto homologado],MATCH(tItens[[#This Row],[Produto]],tProdutos[Produto],0))="",DescontoPadrao,INDEX(tProdutos[Desconto homologado],MATCH(tItens[[#This Row],[Produto]],tProdutos[Produto],0))),DescontoPadrao)</f>
        <v>0.50029835957199398</v>
      </c>
      <c r="M5468" s="12">
        <f>tItens[[#This Row],[Valor]]*(1-tItens[[#This Row],[Desconto]])</f>
        <v>4860.5978564432144</v>
      </c>
      <c r="N5468" t="str">
        <f>IFERROR(INDEX(tProdutos[Foco],MATCH(tItens[[#This Row],[Produto]],tProdutos[Produto],0)),"Não")</f>
        <v>Não</v>
      </c>
      <c r="O5468" t="str">
        <f>IFERROR(INDEX(tEditais[SRP],MATCH(tItens[[#This Row],[Edital]],tEditais[Edital],0)),"Não")</f>
        <v>Não</v>
      </c>
      <c r="P5468" s="4">
        <f>IF(COUNTIFS(INDEX(tItens[Edital],1):tItens[[#This Row],[Edital]],tItens[[#This Row],[Edital]],INDEX(tItens[Produto],1):tItens[[#This Row],[Produto]],tItens[[#This Row],[Produto]])=1,1,0)</f>
        <v>1</v>
      </c>
    </row>
    <row r="5469" spans="1:16" x14ac:dyDescent="0.25">
      <c r="A5469" t="s">
        <v>2028</v>
      </c>
      <c r="B5469">
        <v>131</v>
      </c>
      <c r="C5469" t="s">
        <v>8262</v>
      </c>
      <c r="D5469" t="s">
        <v>56</v>
      </c>
      <c r="E5469" s="13">
        <v>20</v>
      </c>
      <c r="F5469" s="12">
        <v>65.44</v>
      </c>
      <c r="G5469" t="str">
        <f>IFERROR(INDEX(tEditais[Órgão],MATCH(tItens[[#This Row],[Edital]],tEditais[Edital],0)),"")</f>
        <v>MUNICIPIO DE IMBAU</v>
      </c>
      <c r="H5469" t="str">
        <f>IFERROR(INDEX(tEditais[UF],MATCH(tItens[[#This Row],[Edital]],tEditais[Edital],0)),"")</f>
        <v>PR</v>
      </c>
      <c r="I5469" s="11">
        <f>IFERROR(INDEX(tEditais[Encerramento],MATCH(tItens[[#This Row],[Edital]],tEditais[Edital],0)),"")</f>
        <v>46308.375</v>
      </c>
      <c r="J5469" t="str">
        <f>IFERROR(INDEX(tProdutos[Classe],MATCH(tItens[[#This Row],[Produto]],tProdutos[Produto],0)),"produto não cadastrado")</f>
        <v>NÚCLEO</v>
      </c>
      <c r="K5469" s="12">
        <f>tItens[[#This Row],[Qtd]]*tItens[[#This Row],[Vlr unit]]</f>
        <v>1308.8</v>
      </c>
      <c r="L5469" s="6">
        <f>IFERROR(IF(INDEX(tProdutos[Desconto homologado],MATCH(tItens[[#This Row],[Produto]],tProdutos[Produto],0))="",DescontoPadrao,INDEX(tProdutos[Desconto homologado],MATCH(tItens[[#This Row],[Produto]],tProdutos[Produto],0))),DescontoPadrao)</f>
        <v>0.34</v>
      </c>
      <c r="M5469" s="12">
        <f>tItens[[#This Row],[Valor]]*(1-tItens[[#This Row],[Desconto]])</f>
        <v>863.80799999999988</v>
      </c>
      <c r="N5469" t="str">
        <f>IFERROR(INDEX(tProdutos[Foco],MATCH(tItens[[#This Row],[Produto]],tProdutos[Produto],0)),"Não")</f>
        <v>Sim</v>
      </c>
      <c r="O5469" t="str">
        <f>IFERROR(INDEX(tEditais[SRP],MATCH(tItens[[#This Row],[Edital]],tEditais[Edital],0)),"Não")</f>
        <v>Não</v>
      </c>
      <c r="P5469" s="4">
        <f>IF(COUNTIFS(INDEX(tItens[Edital],1):tItens[[#This Row],[Edital]],tItens[[#This Row],[Edital]],INDEX(tItens[Produto],1):tItens[[#This Row],[Produto]],tItens[[#This Row],[Produto]])=1,1,0)</f>
        <v>1</v>
      </c>
    </row>
    <row r="5470" spans="1:16" x14ac:dyDescent="0.25">
      <c r="A5470" t="s">
        <v>2028</v>
      </c>
      <c r="B5470">
        <v>132</v>
      </c>
      <c r="C5470" t="s">
        <v>8263</v>
      </c>
      <c r="D5470" t="s">
        <v>56</v>
      </c>
      <c r="E5470" s="13">
        <v>20</v>
      </c>
      <c r="F5470" s="12">
        <v>90.39</v>
      </c>
      <c r="G5470" t="str">
        <f>IFERROR(INDEX(tEditais[Órgão],MATCH(tItens[[#This Row],[Edital]],tEditais[Edital],0)),"")</f>
        <v>MUNICIPIO DE IMBAU</v>
      </c>
      <c r="H5470" t="str">
        <f>IFERROR(INDEX(tEditais[UF],MATCH(tItens[[#This Row],[Edital]],tEditais[Edital],0)),"")</f>
        <v>PR</v>
      </c>
      <c r="I5470" s="11">
        <f>IFERROR(INDEX(tEditais[Encerramento],MATCH(tItens[[#This Row],[Edital]],tEditais[Edital],0)),"")</f>
        <v>46308.375</v>
      </c>
      <c r="J5470" t="str">
        <f>IFERROR(INDEX(tProdutos[Classe],MATCH(tItens[[#This Row],[Produto]],tProdutos[Produto],0)),"produto não cadastrado")</f>
        <v>NÚCLEO</v>
      </c>
      <c r="K5470" s="12">
        <f>tItens[[#This Row],[Qtd]]*tItens[[#This Row],[Vlr unit]]</f>
        <v>1807.8</v>
      </c>
      <c r="L5470" s="6">
        <f>IFERROR(IF(INDEX(tProdutos[Desconto homologado],MATCH(tItens[[#This Row],[Produto]],tProdutos[Produto],0))="",DescontoPadrao,INDEX(tProdutos[Desconto homologado],MATCH(tItens[[#This Row],[Produto]],tProdutos[Produto],0))),DescontoPadrao)</f>
        <v>0.34</v>
      </c>
      <c r="M5470" s="12">
        <f>tItens[[#This Row],[Valor]]*(1-tItens[[#This Row],[Desconto]])</f>
        <v>1193.1479999999999</v>
      </c>
      <c r="N5470" t="str">
        <f>IFERROR(INDEX(tProdutos[Foco],MATCH(tItens[[#This Row],[Produto]],tProdutos[Produto],0)),"Não")</f>
        <v>Sim</v>
      </c>
      <c r="O5470" t="str">
        <f>IFERROR(INDEX(tEditais[SRP],MATCH(tItens[[#This Row],[Edital]],tEditais[Edital],0)),"Não")</f>
        <v>Não</v>
      </c>
      <c r="P5470" s="4">
        <f>IF(COUNTIFS(INDEX(tItens[Edital],1):tItens[[#This Row],[Edital]],tItens[[#This Row],[Edital]],INDEX(tItens[Produto],1):tItens[[#This Row],[Produto]],tItens[[#This Row],[Produto]])=1,1,0)</f>
        <v>0</v>
      </c>
    </row>
    <row r="5471" spans="1:16" x14ac:dyDescent="0.25">
      <c r="A5471" t="s">
        <v>2028</v>
      </c>
      <c r="B5471">
        <v>133</v>
      </c>
      <c r="C5471" t="s">
        <v>8264</v>
      </c>
      <c r="D5471" t="s">
        <v>267</v>
      </c>
      <c r="E5471" s="13">
        <v>1500</v>
      </c>
      <c r="F5471" s="12">
        <v>19.829999999999998</v>
      </c>
      <c r="G5471" t="str">
        <f>IFERROR(INDEX(tEditais[Órgão],MATCH(tItens[[#This Row],[Edital]],tEditais[Edital],0)),"")</f>
        <v>MUNICIPIO DE IMBAU</v>
      </c>
      <c r="H5471" t="str">
        <f>IFERROR(INDEX(tEditais[UF],MATCH(tItens[[#This Row],[Edital]],tEditais[Edital],0)),"")</f>
        <v>PR</v>
      </c>
      <c r="I5471" s="11">
        <f>IFERROR(INDEX(tEditais[Encerramento],MATCH(tItens[[#This Row],[Edital]],tEditais[Edital],0)),"")</f>
        <v>46308.375</v>
      </c>
      <c r="J5471" t="str">
        <f>IFERROR(INDEX(tProdutos[Classe],MATCH(tItens[[#This Row],[Produto]],tProdutos[Produto],0)),"produto não cadastrado")</f>
        <v>FORA</v>
      </c>
      <c r="K5471" s="12">
        <f>tItens[[#This Row],[Qtd]]*tItens[[#This Row],[Vlr unit]]</f>
        <v>29744.999999999996</v>
      </c>
      <c r="L5471" s="6">
        <f>IFERROR(IF(INDEX(tProdutos[Desconto homologado],MATCH(tItens[[#This Row],[Produto]],tProdutos[Produto],0))="",DescontoPadrao,INDEX(tProdutos[Desconto homologado],MATCH(tItens[[#This Row],[Produto]],tProdutos[Produto],0))),DescontoPadrao)</f>
        <v>0.19963672657401599</v>
      </c>
      <c r="M5471" s="12">
        <f>tItens[[#This Row],[Valor]]*(1-tItens[[#This Row],[Desconto]])</f>
        <v>23806.80556805589</v>
      </c>
      <c r="N5471" t="str">
        <f>IFERROR(INDEX(tProdutos[Foco],MATCH(tItens[[#This Row],[Produto]],tProdutos[Produto],0)),"Não")</f>
        <v>Não</v>
      </c>
      <c r="O5471" t="str">
        <f>IFERROR(INDEX(tEditais[SRP],MATCH(tItens[[#This Row],[Edital]],tEditais[Edital],0)),"Não")</f>
        <v>Não</v>
      </c>
      <c r="P5471" s="4">
        <f>IF(COUNTIFS(INDEX(tItens[Edital],1):tItens[[#This Row],[Edital]],tItens[[#This Row],[Edital]],INDEX(tItens[Produto],1):tItens[[#This Row],[Produto]],tItens[[#This Row],[Produto]])=1,1,0)</f>
        <v>1</v>
      </c>
    </row>
    <row r="5472" spans="1:16" x14ac:dyDescent="0.25">
      <c r="A5472" t="s">
        <v>2028</v>
      </c>
      <c r="B5472">
        <v>134</v>
      </c>
      <c r="C5472" t="s">
        <v>8265</v>
      </c>
      <c r="D5472" t="s">
        <v>267</v>
      </c>
      <c r="E5472" s="13">
        <v>2000</v>
      </c>
      <c r="F5472" s="12">
        <v>30.85</v>
      </c>
      <c r="G5472" t="str">
        <f>IFERROR(INDEX(tEditais[Órgão],MATCH(tItens[[#This Row],[Edital]],tEditais[Edital],0)),"")</f>
        <v>MUNICIPIO DE IMBAU</v>
      </c>
      <c r="H5472" t="str">
        <f>IFERROR(INDEX(tEditais[UF],MATCH(tItens[[#This Row],[Edital]],tEditais[Edital],0)),"")</f>
        <v>PR</v>
      </c>
      <c r="I5472" s="11">
        <f>IFERROR(INDEX(tEditais[Encerramento],MATCH(tItens[[#This Row],[Edital]],tEditais[Edital],0)),"")</f>
        <v>46308.375</v>
      </c>
      <c r="J5472" t="str">
        <f>IFERROR(INDEX(tProdutos[Classe],MATCH(tItens[[#This Row],[Produto]],tProdutos[Produto],0)),"produto não cadastrado")</f>
        <v>FORA</v>
      </c>
      <c r="K5472" s="12">
        <f>tItens[[#This Row],[Qtd]]*tItens[[#This Row],[Vlr unit]]</f>
        <v>61700</v>
      </c>
      <c r="L5472" s="6">
        <f>IFERROR(IF(INDEX(tProdutos[Desconto homologado],MATCH(tItens[[#This Row],[Produto]],tProdutos[Produto],0))="",DescontoPadrao,INDEX(tProdutos[Desconto homologado],MATCH(tItens[[#This Row],[Produto]],tProdutos[Produto],0))),DescontoPadrao)</f>
        <v>0.19963672657401599</v>
      </c>
      <c r="M5472" s="12">
        <f>tItens[[#This Row],[Valor]]*(1-tItens[[#This Row],[Desconto]])</f>
        <v>49382.413970383212</v>
      </c>
      <c r="N5472" t="str">
        <f>IFERROR(INDEX(tProdutos[Foco],MATCH(tItens[[#This Row],[Produto]],tProdutos[Produto],0)),"Não")</f>
        <v>Não</v>
      </c>
      <c r="O5472" t="str">
        <f>IFERROR(INDEX(tEditais[SRP],MATCH(tItens[[#This Row],[Edital]],tEditais[Edital],0)),"Não")</f>
        <v>Não</v>
      </c>
      <c r="P5472" s="4">
        <f>IF(COUNTIFS(INDEX(tItens[Edital],1):tItens[[#This Row],[Edital]],tItens[[#This Row],[Edital]],INDEX(tItens[Produto],1):tItens[[#This Row],[Produto]],tItens[[#This Row],[Produto]])=1,1,0)</f>
        <v>0</v>
      </c>
    </row>
    <row r="5473" spans="1:16" x14ac:dyDescent="0.25">
      <c r="A5473" t="s">
        <v>2028</v>
      </c>
      <c r="B5473">
        <v>139</v>
      </c>
      <c r="C5473" t="s">
        <v>8266</v>
      </c>
      <c r="D5473" t="s">
        <v>343</v>
      </c>
      <c r="E5473" s="13">
        <v>200</v>
      </c>
      <c r="F5473" s="12">
        <v>3.69</v>
      </c>
      <c r="G5473" t="str">
        <f>IFERROR(INDEX(tEditais[Órgão],MATCH(tItens[[#This Row],[Edital]],tEditais[Edital],0)),"")</f>
        <v>MUNICIPIO DE IMBAU</v>
      </c>
      <c r="H5473" t="str">
        <f>IFERROR(INDEX(tEditais[UF],MATCH(tItens[[#This Row],[Edital]],tEditais[Edital],0)),"")</f>
        <v>PR</v>
      </c>
      <c r="I5473" s="11">
        <f>IFERROR(INDEX(tEditais[Encerramento],MATCH(tItens[[#This Row],[Edital]],tEditais[Edital],0)),"")</f>
        <v>46308.375</v>
      </c>
      <c r="J5473" t="str">
        <f>IFERROR(INDEX(tProdutos[Classe],MATCH(tItens[[#This Row],[Produto]],tProdutos[Produto],0)),"produto não cadastrado")</f>
        <v>FORA</v>
      </c>
      <c r="K5473" s="12">
        <f>tItens[[#This Row],[Qtd]]*tItens[[#This Row],[Vlr unit]]</f>
        <v>738</v>
      </c>
      <c r="L5473" s="6">
        <f>IFERROR(IF(INDEX(tProdutos[Desconto homologado],MATCH(tItens[[#This Row],[Produto]],tProdutos[Produto],0))="",DescontoPadrao,INDEX(tProdutos[Desconto homologado],MATCH(tItens[[#This Row],[Produto]],tProdutos[Produto],0))),DescontoPadrao)</f>
        <v>0.35412234042553198</v>
      </c>
      <c r="M5473" s="12">
        <f>tItens[[#This Row],[Valor]]*(1-tItens[[#This Row],[Desconto]])</f>
        <v>476.65771276595734</v>
      </c>
      <c r="N5473" t="str">
        <f>IFERROR(INDEX(tProdutos[Foco],MATCH(tItens[[#This Row],[Produto]],tProdutos[Produto],0)),"Não")</f>
        <v>Não</v>
      </c>
      <c r="O5473" t="str">
        <f>IFERROR(INDEX(tEditais[SRP],MATCH(tItens[[#This Row],[Edital]],tEditais[Edital],0)),"Não")</f>
        <v>Não</v>
      </c>
      <c r="P5473" s="4">
        <f>IF(COUNTIFS(INDEX(tItens[Edital],1):tItens[[#This Row],[Edital]],tItens[[#This Row],[Edital]],INDEX(tItens[Produto],1):tItens[[#This Row],[Produto]],tItens[[#This Row],[Produto]])=1,1,0)</f>
        <v>1</v>
      </c>
    </row>
    <row r="5474" spans="1:16" x14ac:dyDescent="0.25">
      <c r="A5474" t="s">
        <v>2028</v>
      </c>
      <c r="B5474">
        <v>140</v>
      </c>
      <c r="C5474" t="s">
        <v>8267</v>
      </c>
      <c r="D5474" t="s">
        <v>343</v>
      </c>
      <c r="E5474" s="13">
        <v>250</v>
      </c>
      <c r="F5474" s="12">
        <v>3.74</v>
      </c>
      <c r="G5474" t="str">
        <f>IFERROR(INDEX(tEditais[Órgão],MATCH(tItens[[#This Row],[Edital]],tEditais[Edital],0)),"")</f>
        <v>MUNICIPIO DE IMBAU</v>
      </c>
      <c r="H5474" t="str">
        <f>IFERROR(INDEX(tEditais[UF],MATCH(tItens[[#This Row],[Edital]],tEditais[Edital],0)),"")</f>
        <v>PR</v>
      </c>
      <c r="I5474" s="11">
        <f>IFERROR(INDEX(tEditais[Encerramento],MATCH(tItens[[#This Row],[Edital]],tEditais[Edital],0)),"")</f>
        <v>46308.375</v>
      </c>
      <c r="J5474" t="str">
        <f>IFERROR(INDEX(tProdutos[Classe],MATCH(tItens[[#This Row],[Produto]],tProdutos[Produto],0)),"produto não cadastrado")</f>
        <v>FORA</v>
      </c>
      <c r="K5474" s="12">
        <f>tItens[[#This Row],[Qtd]]*tItens[[#This Row],[Vlr unit]]</f>
        <v>935</v>
      </c>
      <c r="L5474" s="6">
        <f>IFERROR(IF(INDEX(tProdutos[Desconto homologado],MATCH(tItens[[#This Row],[Produto]],tProdutos[Produto],0))="",DescontoPadrao,INDEX(tProdutos[Desconto homologado],MATCH(tItens[[#This Row],[Produto]],tProdutos[Produto],0))),DescontoPadrao)</f>
        <v>0.35412234042553198</v>
      </c>
      <c r="M5474" s="12">
        <f>tItens[[#This Row],[Valor]]*(1-tItens[[#This Row],[Desconto]])</f>
        <v>603.89561170212755</v>
      </c>
      <c r="N5474" t="str">
        <f>IFERROR(INDEX(tProdutos[Foco],MATCH(tItens[[#This Row],[Produto]],tProdutos[Produto],0)),"Não")</f>
        <v>Não</v>
      </c>
      <c r="O5474" t="str">
        <f>IFERROR(INDEX(tEditais[SRP],MATCH(tItens[[#This Row],[Edital]],tEditais[Edital],0)),"Não")</f>
        <v>Não</v>
      </c>
      <c r="P5474" s="4">
        <f>IF(COUNTIFS(INDEX(tItens[Edital],1):tItens[[#This Row],[Edital]],tItens[[#This Row],[Edital]],INDEX(tItens[Produto],1):tItens[[#This Row],[Produto]],tItens[[#This Row],[Produto]])=1,1,0)</f>
        <v>0</v>
      </c>
    </row>
    <row r="5475" spans="1:16" x14ac:dyDescent="0.25">
      <c r="A5475" t="s">
        <v>2028</v>
      </c>
      <c r="B5475">
        <v>141</v>
      </c>
      <c r="C5475" t="s">
        <v>8268</v>
      </c>
      <c r="D5475" t="s">
        <v>343</v>
      </c>
      <c r="E5475" s="13">
        <v>250</v>
      </c>
      <c r="F5475" s="12">
        <v>3.95</v>
      </c>
      <c r="G5475" t="str">
        <f>IFERROR(INDEX(tEditais[Órgão],MATCH(tItens[[#This Row],[Edital]],tEditais[Edital],0)),"")</f>
        <v>MUNICIPIO DE IMBAU</v>
      </c>
      <c r="H5475" t="str">
        <f>IFERROR(INDEX(tEditais[UF],MATCH(tItens[[#This Row],[Edital]],tEditais[Edital],0)),"")</f>
        <v>PR</v>
      </c>
      <c r="I5475" s="11">
        <f>IFERROR(INDEX(tEditais[Encerramento],MATCH(tItens[[#This Row],[Edital]],tEditais[Edital],0)),"")</f>
        <v>46308.375</v>
      </c>
      <c r="J5475" t="str">
        <f>IFERROR(INDEX(tProdutos[Classe],MATCH(tItens[[#This Row],[Produto]],tProdutos[Produto],0)),"produto não cadastrado")</f>
        <v>FORA</v>
      </c>
      <c r="K5475" s="12">
        <f>tItens[[#This Row],[Qtd]]*tItens[[#This Row],[Vlr unit]]</f>
        <v>987.5</v>
      </c>
      <c r="L5475" s="6">
        <f>IFERROR(IF(INDEX(tProdutos[Desconto homologado],MATCH(tItens[[#This Row],[Produto]],tProdutos[Produto],0))="",DescontoPadrao,INDEX(tProdutos[Desconto homologado],MATCH(tItens[[#This Row],[Produto]],tProdutos[Produto],0))),DescontoPadrao)</f>
        <v>0.35412234042553198</v>
      </c>
      <c r="M5475" s="12">
        <f>tItens[[#This Row],[Valor]]*(1-tItens[[#This Row],[Desconto]])</f>
        <v>637.80418882978711</v>
      </c>
      <c r="N5475" t="str">
        <f>IFERROR(INDEX(tProdutos[Foco],MATCH(tItens[[#This Row],[Produto]],tProdutos[Produto],0)),"Não")</f>
        <v>Não</v>
      </c>
      <c r="O5475" t="str">
        <f>IFERROR(INDEX(tEditais[SRP],MATCH(tItens[[#This Row],[Edital]],tEditais[Edital],0)),"Não")</f>
        <v>Não</v>
      </c>
      <c r="P5475" s="4">
        <f>IF(COUNTIFS(INDEX(tItens[Edital],1):tItens[[#This Row],[Edital]],tItens[[#This Row],[Edital]],INDEX(tItens[Produto],1):tItens[[#This Row],[Produto]],tItens[[#This Row],[Produto]])=1,1,0)</f>
        <v>0</v>
      </c>
    </row>
    <row r="5476" spans="1:16" x14ac:dyDescent="0.25">
      <c r="A5476" t="s">
        <v>2028</v>
      </c>
      <c r="B5476">
        <v>142</v>
      </c>
      <c r="C5476" t="s">
        <v>8269</v>
      </c>
      <c r="D5476" t="s">
        <v>343</v>
      </c>
      <c r="E5476" s="13">
        <v>250</v>
      </c>
      <c r="F5476" s="12">
        <v>3.92</v>
      </c>
      <c r="G5476" t="str">
        <f>IFERROR(INDEX(tEditais[Órgão],MATCH(tItens[[#This Row],[Edital]],tEditais[Edital],0)),"")</f>
        <v>MUNICIPIO DE IMBAU</v>
      </c>
      <c r="H5476" t="str">
        <f>IFERROR(INDEX(tEditais[UF],MATCH(tItens[[#This Row],[Edital]],tEditais[Edital],0)),"")</f>
        <v>PR</v>
      </c>
      <c r="I5476" s="11">
        <f>IFERROR(INDEX(tEditais[Encerramento],MATCH(tItens[[#This Row],[Edital]],tEditais[Edital],0)),"")</f>
        <v>46308.375</v>
      </c>
      <c r="J5476" t="str">
        <f>IFERROR(INDEX(tProdutos[Classe],MATCH(tItens[[#This Row],[Produto]],tProdutos[Produto],0)),"produto não cadastrado")</f>
        <v>FORA</v>
      </c>
      <c r="K5476" s="12">
        <f>tItens[[#This Row],[Qtd]]*tItens[[#This Row],[Vlr unit]]</f>
        <v>980</v>
      </c>
      <c r="L5476" s="6">
        <f>IFERROR(IF(INDEX(tProdutos[Desconto homologado],MATCH(tItens[[#This Row],[Produto]],tProdutos[Produto],0))="",DescontoPadrao,INDEX(tProdutos[Desconto homologado],MATCH(tItens[[#This Row],[Produto]],tProdutos[Produto],0))),DescontoPadrao)</f>
        <v>0.35412234042553198</v>
      </c>
      <c r="M5476" s="12">
        <f>tItens[[#This Row],[Valor]]*(1-tItens[[#This Row],[Desconto]])</f>
        <v>632.96010638297855</v>
      </c>
      <c r="N5476" t="str">
        <f>IFERROR(INDEX(tProdutos[Foco],MATCH(tItens[[#This Row],[Produto]],tProdutos[Produto],0)),"Não")</f>
        <v>Não</v>
      </c>
      <c r="O5476" t="str">
        <f>IFERROR(INDEX(tEditais[SRP],MATCH(tItens[[#This Row],[Edital]],tEditais[Edital],0)),"Não")</f>
        <v>Não</v>
      </c>
      <c r="P5476" s="4">
        <f>IF(COUNTIFS(INDEX(tItens[Edital],1):tItens[[#This Row],[Edital]],tItens[[#This Row],[Edital]],INDEX(tItens[Produto],1):tItens[[#This Row],[Produto]],tItens[[#This Row],[Produto]])=1,1,0)</f>
        <v>0</v>
      </c>
    </row>
    <row r="5477" spans="1:16" x14ac:dyDescent="0.25">
      <c r="A5477" t="s">
        <v>2028</v>
      </c>
      <c r="B5477">
        <v>143</v>
      </c>
      <c r="C5477" t="s">
        <v>8270</v>
      </c>
      <c r="D5477" t="s">
        <v>343</v>
      </c>
      <c r="E5477" s="13">
        <v>200</v>
      </c>
      <c r="F5477" s="12">
        <v>5.61</v>
      </c>
      <c r="G5477" t="str">
        <f>IFERROR(INDEX(tEditais[Órgão],MATCH(tItens[[#This Row],[Edital]],tEditais[Edital],0)),"")</f>
        <v>MUNICIPIO DE IMBAU</v>
      </c>
      <c r="H5477" t="str">
        <f>IFERROR(INDEX(tEditais[UF],MATCH(tItens[[#This Row],[Edital]],tEditais[Edital],0)),"")</f>
        <v>PR</v>
      </c>
      <c r="I5477" s="11">
        <f>IFERROR(INDEX(tEditais[Encerramento],MATCH(tItens[[#This Row],[Edital]],tEditais[Edital],0)),"")</f>
        <v>46308.375</v>
      </c>
      <c r="J5477" t="str">
        <f>IFERROR(INDEX(tProdutos[Classe],MATCH(tItens[[#This Row],[Produto]],tProdutos[Produto],0)),"produto não cadastrado")</f>
        <v>FORA</v>
      </c>
      <c r="K5477" s="12">
        <f>tItens[[#This Row],[Qtd]]*tItens[[#This Row],[Vlr unit]]</f>
        <v>1122</v>
      </c>
      <c r="L5477" s="6">
        <f>IFERROR(IF(INDEX(tProdutos[Desconto homologado],MATCH(tItens[[#This Row],[Produto]],tProdutos[Produto],0))="",DescontoPadrao,INDEX(tProdutos[Desconto homologado],MATCH(tItens[[#This Row],[Produto]],tProdutos[Produto],0))),DescontoPadrao)</f>
        <v>0.35412234042553198</v>
      </c>
      <c r="M5477" s="12">
        <f>tItens[[#This Row],[Valor]]*(1-tItens[[#This Row],[Desconto]])</f>
        <v>724.67473404255304</v>
      </c>
      <c r="N5477" t="str">
        <f>IFERROR(INDEX(tProdutos[Foco],MATCH(tItens[[#This Row],[Produto]],tProdutos[Produto],0)),"Não")</f>
        <v>Não</v>
      </c>
      <c r="O5477" t="str">
        <f>IFERROR(INDEX(tEditais[SRP],MATCH(tItens[[#This Row],[Edital]],tEditais[Edital],0)),"Não")</f>
        <v>Não</v>
      </c>
      <c r="P5477" s="4">
        <f>IF(COUNTIFS(INDEX(tItens[Edital],1):tItens[[#This Row],[Edital]],tItens[[#This Row],[Edital]],INDEX(tItens[Produto],1):tItens[[#This Row],[Produto]],tItens[[#This Row],[Produto]])=1,1,0)</f>
        <v>0</v>
      </c>
    </row>
    <row r="5478" spans="1:16" x14ac:dyDescent="0.25">
      <c r="A5478" t="s">
        <v>2028</v>
      </c>
      <c r="B5478">
        <v>144</v>
      </c>
      <c r="C5478" t="s">
        <v>8271</v>
      </c>
      <c r="D5478" t="s">
        <v>343</v>
      </c>
      <c r="E5478" s="13">
        <v>200</v>
      </c>
      <c r="F5478" s="12">
        <v>5.71</v>
      </c>
      <c r="G5478" t="str">
        <f>IFERROR(INDEX(tEditais[Órgão],MATCH(tItens[[#This Row],[Edital]],tEditais[Edital],0)),"")</f>
        <v>MUNICIPIO DE IMBAU</v>
      </c>
      <c r="H5478" t="str">
        <f>IFERROR(INDEX(tEditais[UF],MATCH(tItens[[#This Row],[Edital]],tEditais[Edital],0)),"")</f>
        <v>PR</v>
      </c>
      <c r="I5478" s="11">
        <f>IFERROR(INDEX(tEditais[Encerramento],MATCH(tItens[[#This Row],[Edital]],tEditais[Edital],0)),"")</f>
        <v>46308.375</v>
      </c>
      <c r="J5478" t="str">
        <f>IFERROR(INDEX(tProdutos[Classe],MATCH(tItens[[#This Row],[Produto]],tProdutos[Produto],0)),"produto não cadastrado")</f>
        <v>FORA</v>
      </c>
      <c r="K5478" s="12">
        <f>tItens[[#This Row],[Qtd]]*tItens[[#This Row],[Vlr unit]]</f>
        <v>1142</v>
      </c>
      <c r="L5478" s="6">
        <f>IFERROR(IF(INDEX(tProdutos[Desconto homologado],MATCH(tItens[[#This Row],[Produto]],tProdutos[Produto],0))="",DescontoPadrao,INDEX(tProdutos[Desconto homologado],MATCH(tItens[[#This Row],[Produto]],tProdutos[Produto],0))),DescontoPadrao)</f>
        <v>0.35412234042553198</v>
      </c>
      <c r="M5478" s="12">
        <f>tItens[[#This Row],[Valor]]*(1-tItens[[#This Row],[Desconto]])</f>
        <v>737.59228723404237</v>
      </c>
      <c r="N5478" t="str">
        <f>IFERROR(INDEX(tProdutos[Foco],MATCH(tItens[[#This Row],[Produto]],tProdutos[Produto],0)),"Não")</f>
        <v>Não</v>
      </c>
      <c r="O5478" t="str">
        <f>IFERROR(INDEX(tEditais[SRP],MATCH(tItens[[#This Row],[Edital]],tEditais[Edital],0)),"Não")</f>
        <v>Não</v>
      </c>
      <c r="P5478" s="4">
        <f>IF(COUNTIFS(INDEX(tItens[Edital],1):tItens[[#This Row],[Edital]],tItens[[#This Row],[Edital]],INDEX(tItens[Produto],1):tItens[[#This Row],[Produto]],tItens[[#This Row],[Produto]])=1,1,0)</f>
        <v>0</v>
      </c>
    </row>
    <row r="5479" spans="1:16" x14ac:dyDescent="0.25">
      <c r="A5479" t="s">
        <v>2028</v>
      </c>
      <c r="B5479">
        <v>145</v>
      </c>
      <c r="C5479" t="s">
        <v>8272</v>
      </c>
      <c r="D5479" t="s">
        <v>343</v>
      </c>
      <c r="E5479" s="13">
        <v>200</v>
      </c>
      <c r="F5479" s="12">
        <v>6.14</v>
      </c>
      <c r="G5479" t="str">
        <f>IFERROR(INDEX(tEditais[Órgão],MATCH(tItens[[#This Row],[Edital]],tEditais[Edital],0)),"")</f>
        <v>MUNICIPIO DE IMBAU</v>
      </c>
      <c r="H5479" t="str">
        <f>IFERROR(INDEX(tEditais[UF],MATCH(tItens[[#This Row],[Edital]],tEditais[Edital],0)),"")</f>
        <v>PR</v>
      </c>
      <c r="I5479" s="11">
        <f>IFERROR(INDEX(tEditais[Encerramento],MATCH(tItens[[#This Row],[Edital]],tEditais[Edital],0)),"")</f>
        <v>46308.375</v>
      </c>
      <c r="J5479" t="str">
        <f>IFERROR(INDEX(tProdutos[Classe],MATCH(tItens[[#This Row],[Produto]],tProdutos[Produto],0)),"produto não cadastrado")</f>
        <v>FORA</v>
      </c>
      <c r="K5479" s="12">
        <f>tItens[[#This Row],[Qtd]]*tItens[[#This Row],[Vlr unit]]</f>
        <v>1228</v>
      </c>
      <c r="L5479" s="6">
        <f>IFERROR(IF(INDEX(tProdutos[Desconto homologado],MATCH(tItens[[#This Row],[Produto]],tProdutos[Produto],0))="",DescontoPadrao,INDEX(tProdutos[Desconto homologado],MATCH(tItens[[#This Row],[Produto]],tProdutos[Produto],0))),DescontoPadrao)</f>
        <v>0.35412234042553198</v>
      </c>
      <c r="M5479" s="12">
        <f>tItens[[#This Row],[Valor]]*(1-tItens[[#This Row],[Desconto]])</f>
        <v>793.13776595744662</v>
      </c>
      <c r="N5479" t="str">
        <f>IFERROR(INDEX(tProdutos[Foco],MATCH(tItens[[#This Row],[Produto]],tProdutos[Produto],0)),"Não")</f>
        <v>Não</v>
      </c>
      <c r="O5479" t="str">
        <f>IFERROR(INDEX(tEditais[SRP],MATCH(tItens[[#This Row],[Edital]],tEditais[Edital],0)),"Não")</f>
        <v>Não</v>
      </c>
      <c r="P5479" s="4">
        <f>IF(COUNTIFS(INDEX(tItens[Edital],1):tItens[[#This Row],[Edital]],tItens[[#This Row],[Edital]],INDEX(tItens[Produto],1):tItens[[#This Row],[Produto]],tItens[[#This Row],[Produto]])=1,1,0)</f>
        <v>0</v>
      </c>
    </row>
    <row r="5480" spans="1:16" x14ac:dyDescent="0.25">
      <c r="A5480" t="s">
        <v>2028</v>
      </c>
      <c r="B5480">
        <v>146</v>
      </c>
      <c r="C5480" t="s">
        <v>8273</v>
      </c>
      <c r="D5480" t="s">
        <v>313</v>
      </c>
      <c r="E5480" s="13">
        <v>450</v>
      </c>
      <c r="F5480" s="12">
        <v>19.63</v>
      </c>
      <c r="G5480" t="str">
        <f>IFERROR(INDEX(tEditais[Órgão],MATCH(tItens[[#This Row],[Edital]],tEditais[Edital],0)),"")</f>
        <v>MUNICIPIO DE IMBAU</v>
      </c>
      <c r="H5480" t="str">
        <f>IFERROR(INDEX(tEditais[UF],MATCH(tItens[[#This Row],[Edital]],tEditais[Edital],0)),"")</f>
        <v>PR</v>
      </c>
      <c r="I5480" s="11">
        <f>IFERROR(INDEX(tEditais[Encerramento],MATCH(tItens[[#This Row],[Edital]],tEditais[Edital],0)),"")</f>
        <v>46308.375</v>
      </c>
      <c r="J5480" t="str">
        <f>IFERROR(INDEX(tProdutos[Classe],MATCH(tItens[[#This Row],[Produto]],tProdutos[Produto],0)),"produto não cadastrado")</f>
        <v>FORA</v>
      </c>
      <c r="K5480" s="12">
        <f>tItens[[#This Row],[Qtd]]*tItens[[#This Row],[Vlr unit]]</f>
        <v>8833.5</v>
      </c>
      <c r="L5480" s="6">
        <f>IFERROR(IF(INDEX(tProdutos[Desconto homologado],MATCH(tItens[[#This Row],[Produto]],tProdutos[Produto],0))="",DescontoPadrao,INDEX(tProdutos[Desconto homologado],MATCH(tItens[[#This Row],[Produto]],tProdutos[Produto],0))),DescontoPadrao)</f>
        <v>0.35766373163696302</v>
      </c>
      <c r="M5480" s="12">
        <f>tItens[[#This Row],[Valor]]*(1-tItens[[#This Row],[Desconto]])</f>
        <v>5674.0774265848868</v>
      </c>
      <c r="N5480" t="str">
        <f>IFERROR(INDEX(tProdutos[Foco],MATCH(tItens[[#This Row],[Produto]],tProdutos[Produto],0)),"Não")</f>
        <v>Não</v>
      </c>
      <c r="O5480" t="str">
        <f>IFERROR(INDEX(tEditais[SRP],MATCH(tItens[[#This Row],[Edital]],tEditais[Edital],0)),"Não")</f>
        <v>Não</v>
      </c>
      <c r="P5480" s="4">
        <f>IF(COUNTIFS(INDEX(tItens[Edital],1):tItens[[#This Row],[Edital]],tItens[[#This Row],[Edital]],INDEX(tItens[Produto],1):tItens[[#This Row],[Produto]],tItens[[#This Row],[Produto]])=1,1,0)</f>
        <v>1</v>
      </c>
    </row>
    <row r="5481" spans="1:16" x14ac:dyDescent="0.25">
      <c r="A5481" t="s">
        <v>2028</v>
      </c>
      <c r="B5481">
        <v>147</v>
      </c>
      <c r="C5481" t="s">
        <v>8274</v>
      </c>
      <c r="D5481" t="s">
        <v>313</v>
      </c>
      <c r="E5481" s="13">
        <v>450</v>
      </c>
      <c r="F5481" s="12">
        <v>21.71</v>
      </c>
      <c r="G5481" t="str">
        <f>IFERROR(INDEX(tEditais[Órgão],MATCH(tItens[[#This Row],[Edital]],tEditais[Edital],0)),"")</f>
        <v>MUNICIPIO DE IMBAU</v>
      </c>
      <c r="H5481" t="str">
        <f>IFERROR(INDEX(tEditais[UF],MATCH(tItens[[#This Row],[Edital]],tEditais[Edital],0)),"")</f>
        <v>PR</v>
      </c>
      <c r="I5481" s="11">
        <f>IFERROR(INDEX(tEditais[Encerramento],MATCH(tItens[[#This Row],[Edital]],tEditais[Edital],0)),"")</f>
        <v>46308.375</v>
      </c>
      <c r="J5481" t="str">
        <f>IFERROR(INDEX(tProdutos[Classe],MATCH(tItens[[#This Row],[Produto]],tProdutos[Produto],0)),"produto não cadastrado")</f>
        <v>FORA</v>
      </c>
      <c r="K5481" s="12">
        <f>tItens[[#This Row],[Qtd]]*tItens[[#This Row],[Vlr unit]]</f>
        <v>9769.5</v>
      </c>
      <c r="L5481" s="6">
        <f>IFERROR(IF(INDEX(tProdutos[Desconto homologado],MATCH(tItens[[#This Row],[Produto]],tProdutos[Produto],0))="",DescontoPadrao,INDEX(tProdutos[Desconto homologado],MATCH(tItens[[#This Row],[Produto]],tProdutos[Produto],0))),DescontoPadrao)</f>
        <v>0.35766373163696302</v>
      </c>
      <c r="M5481" s="12">
        <f>tItens[[#This Row],[Valor]]*(1-tItens[[#This Row],[Desconto]])</f>
        <v>6275.304173772689</v>
      </c>
      <c r="N5481" t="str">
        <f>IFERROR(INDEX(tProdutos[Foco],MATCH(tItens[[#This Row],[Produto]],tProdutos[Produto],0)),"Não")</f>
        <v>Não</v>
      </c>
      <c r="O5481" t="str">
        <f>IFERROR(INDEX(tEditais[SRP],MATCH(tItens[[#This Row],[Edital]],tEditais[Edital],0)),"Não")</f>
        <v>Não</v>
      </c>
      <c r="P5481" s="4">
        <f>IF(COUNTIFS(INDEX(tItens[Edital],1):tItens[[#This Row],[Edital]],tItens[[#This Row],[Edital]],INDEX(tItens[Produto],1):tItens[[#This Row],[Produto]],tItens[[#This Row],[Produto]])=1,1,0)</f>
        <v>0</v>
      </c>
    </row>
    <row r="5482" spans="1:16" x14ac:dyDescent="0.25">
      <c r="A5482" t="s">
        <v>2028</v>
      </c>
      <c r="B5482">
        <v>148</v>
      </c>
      <c r="C5482" t="s">
        <v>8275</v>
      </c>
      <c r="D5482" t="s">
        <v>313</v>
      </c>
      <c r="E5482" s="13">
        <v>450</v>
      </c>
      <c r="F5482" s="12">
        <v>20.45</v>
      </c>
      <c r="G5482" t="str">
        <f>IFERROR(INDEX(tEditais[Órgão],MATCH(tItens[[#This Row],[Edital]],tEditais[Edital],0)),"")</f>
        <v>MUNICIPIO DE IMBAU</v>
      </c>
      <c r="H5482" t="str">
        <f>IFERROR(INDEX(tEditais[UF],MATCH(tItens[[#This Row],[Edital]],tEditais[Edital],0)),"")</f>
        <v>PR</v>
      </c>
      <c r="I5482" s="11">
        <f>IFERROR(INDEX(tEditais[Encerramento],MATCH(tItens[[#This Row],[Edital]],tEditais[Edital],0)),"")</f>
        <v>46308.375</v>
      </c>
      <c r="J5482" t="str">
        <f>IFERROR(INDEX(tProdutos[Classe],MATCH(tItens[[#This Row],[Produto]],tProdutos[Produto],0)),"produto não cadastrado")</f>
        <v>FORA</v>
      </c>
      <c r="K5482" s="12">
        <f>tItens[[#This Row],[Qtd]]*tItens[[#This Row],[Vlr unit]]</f>
        <v>9202.5</v>
      </c>
      <c r="L5482" s="6">
        <f>IFERROR(IF(INDEX(tProdutos[Desconto homologado],MATCH(tItens[[#This Row],[Produto]],tProdutos[Produto],0))="",DescontoPadrao,INDEX(tProdutos[Desconto homologado],MATCH(tItens[[#This Row],[Produto]],tProdutos[Produto],0))),DescontoPadrao)</f>
        <v>0.35766373163696302</v>
      </c>
      <c r="M5482" s="12">
        <f>tItens[[#This Row],[Valor]]*(1-tItens[[#This Row],[Desconto]])</f>
        <v>5911.0995096108472</v>
      </c>
      <c r="N5482" t="str">
        <f>IFERROR(INDEX(tProdutos[Foco],MATCH(tItens[[#This Row],[Produto]],tProdutos[Produto],0)),"Não")</f>
        <v>Não</v>
      </c>
      <c r="O5482" t="str">
        <f>IFERROR(INDEX(tEditais[SRP],MATCH(tItens[[#This Row],[Edital]],tEditais[Edital],0)),"Não")</f>
        <v>Não</v>
      </c>
      <c r="P5482" s="4">
        <f>IF(COUNTIFS(INDEX(tItens[Edital],1):tItens[[#This Row],[Edital]],tItens[[#This Row],[Edital]],INDEX(tItens[Produto],1):tItens[[#This Row],[Produto]],tItens[[#This Row],[Produto]])=1,1,0)</f>
        <v>0</v>
      </c>
    </row>
    <row r="5483" spans="1:16" x14ac:dyDescent="0.25">
      <c r="A5483" t="s">
        <v>2028</v>
      </c>
      <c r="B5483">
        <v>149</v>
      </c>
      <c r="C5483" t="s">
        <v>8276</v>
      </c>
      <c r="D5483" t="s">
        <v>313</v>
      </c>
      <c r="E5483" s="13">
        <v>400</v>
      </c>
      <c r="F5483" s="12">
        <v>21.55</v>
      </c>
      <c r="G5483" t="str">
        <f>IFERROR(INDEX(tEditais[Órgão],MATCH(tItens[[#This Row],[Edital]],tEditais[Edital],0)),"")</f>
        <v>MUNICIPIO DE IMBAU</v>
      </c>
      <c r="H5483" t="str">
        <f>IFERROR(INDEX(tEditais[UF],MATCH(tItens[[#This Row],[Edital]],tEditais[Edital],0)),"")</f>
        <v>PR</v>
      </c>
      <c r="I5483" s="11">
        <f>IFERROR(INDEX(tEditais[Encerramento],MATCH(tItens[[#This Row],[Edital]],tEditais[Edital],0)),"")</f>
        <v>46308.375</v>
      </c>
      <c r="J5483" t="str">
        <f>IFERROR(INDEX(tProdutos[Classe],MATCH(tItens[[#This Row],[Produto]],tProdutos[Produto],0)),"produto não cadastrado")</f>
        <v>FORA</v>
      </c>
      <c r="K5483" s="12">
        <f>tItens[[#This Row],[Qtd]]*tItens[[#This Row],[Vlr unit]]</f>
        <v>8620</v>
      </c>
      <c r="L5483" s="6">
        <f>IFERROR(IF(INDEX(tProdutos[Desconto homologado],MATCH(tItens[[#This Row],[Produto]],tProdutos[Produto],0))="",DescontoPadrao,INDEX(tProdutos[Desconto homologado],MATCH(tItens[[#This Row],[Produto]],tProdutos[Produto],0))),DescontoPadrao)</f>
        <v>0.35766373163696302</v>
      </c>
      <c r="M5483" s="12">
        <f>tItens[[#This Row],[Valor]]*(1-tItens[[#This Row],[Desconto]])</f>
        <v>5536.9386332893782</v>
      </c>
      <c r="N5483" t="str">
        <f>IFERROR(INDEX(tProdutos[Foco],MATCH(tItens[[#This Row],[Produto]],tProdutos[Produto],0)),"Não")</f>
        <v>Não</v>
      </c>
      <c r="O5483" t="str">
        <f>IFERROR(INDEX(tEditais[SRP],MATCH(tItens[[#This Row],[Edital]],tEditais[Edital],0)),"Não")</f>
        <v>Não</v>
      </c>
      <c r="P5483" s="4">
        <f>IF(COUNTIFS(INDEX(tItens[Edital],1):tItens[[#This Row],[Edital]],tItens[[#This Row],[Edital]],INDEX(tItens[Produto],1):tItens[[#This Row],[Produto]],tItens[[#This Row],[Produto]])=1,1,0)</f>
        <v>0</v>
      </c>
    </row>
    <row r="5484" spans="1:16" x14ac:dyDescent="0.25">
      <c r="A5484" t="s">
        <v>2028</v>
      </c>
      <c r="B5484">
        <v>152</v>
      </c>
      <c r="C5484" t="s">
        <v>8277</v>
      </c>
      <c r="D5484" t="s">
        <v>385</v>
      </c>
      <c r="E5484" s="13">
        <v>50</v>
      </c>
      <c r="F5484" s="12">
        <v>16.75</v>
      </c>
      <c r="G5484" t="str">
        <f>IFERROR(INDEX(tEditais[Órgão],MATCH(tItens[[#This Row],[Edital]],tEditais[Edital],0)),"")</f>
        <v>MUNICIPIO DE IMBAU</v>
      </c>
      <c r="H5484" t="str">
        <f>IFERROR(INDEX(tEditais[UF],MATCH(tItens[[#This Row],[Edital]],tEditais[Edital],0)),"")</f>
        <v>PR</v>
      </c>
      <c r="I5484" s="11">
        <f>IFERROR(INDEX(tEditais[Encerramento],MATCH(tItens[[#This Row],[Edital]],tEditais[Edital],0)),"")</f>
        <v>46308.375</v>
      </c>
      <c r="J5484" t="str">
        <f>IFERROR(INDEX(tProdutos[Classe],MATCH(tItens[[#This Row],[Produto]],tProdutos[Produto],0)),"produto não cadastrado")</f>
        <v>FORA</v>
      </c>
      <c r="K5484" s="12">
        <f>tItens[[#This Row],[Qtd]]*tItens[[#This Row],[Vlr unit]]</f>
        <v>837.5</v>
      </c>
      <c r="L5484" s="6">
        <f>IFERROR(IF(INDEX(tProdutos[Desconto homologado],MATCH(tItens[[#This Row],[Produto]],tProdutos[Produto],0))="",DescontoPadrao,INDEX(tProdutos[Desconto homologado],MATCH(tItens[[#This Row],[Produto]],tProdutos[Produto],0))),DescontoPadrao)</f>
        <v>0.46969696969697</v>
      </c>
      <c r="M5484" s="12">
        <f>tItens[[#This Row],[Valor]]*(1-tItens[[#This Row],[Desconto]])</f>
        <v>444.12878787878765</v>
      </c>
      <c r="N5484" t="str">
        <f>IFERROR(INDEX(tProdutos[Foco],MATCH(tItens[[#This Row],[Produto]],tProdutos[Produto],0)),"Não")</f>
        <v>Não</v>
      </c>
      <c r="O5484" t="str">
        <f>IFERROR(INDEX(tEditais[SRP],MATCH(tItens[[#This Row],[Edital]],tEditais[Edital],0)),"Não")</f>
        <v>Não</v>
      </c>
      <c r="P5484" s="4">
        <f>IF(COUNTIFS(INDEX(tItens[Edital],1):tItens[[#This Row],[Edital]],tItens[[#This Row],[Edital]],INDEX(tItens[Produto],1):tItens[[#This Row],[Produto]],tItens[[#This Row],[Produto]])=1,1,0)</f>
        <v>1</v>
      </c>
    </row>
    <row r="5485" spans="1:16" x14ac:dyDescent="0.25">
      <c r="A5485" t="s">
        <v>2028</v>
      </c>
      <c r="B5485">
        <v>153</v>
      </c>
      <c r="C5485" t="s">
        <v>8278</v>
      </c>
      <c r="D5485" t="s">
        <v>257</v>
      </c>
      <c r="E5485" s="13">
        <v>50</v>
      </c>
      <c r="F5485" s="12">
        <v>40.729999999999997</v>
      </c>
      <c r="G5485" t="str">
        <f>IFERROR(INDEX(tEditais[Órgão],MATCH(tItens[[#This Row],[Edital]],tEditais[Edital],0)),"")</f>
        <v>MUNICIPIO DE IMBAU</v>
      </c>
      <c r="H5485" t="str">
        <f>IFERROR(INDEX(tEditais[UF],MATCH(tItens[[#This Row],[Edital]],tEditais[Edital],0)),"")</f>
        <v>PR</v>
      </c>
      <c r="I5485" s="11">
        <f>IFERROR(INDEX(tEditais[Encerramento],MATCH(tItens[[#This Row],[Edital]],tEditais[Edital],0)),"")</f>
        <v>46308.375</v>
      </c>
      <c r="J5485" t="str">
        <f>IFERROR(INDEX(tProdutos[Classe],MATCH(tItens[[#This Row],[Produto]],tProdutos[Produto],0)),"produto não cadastrado")</f>
        <v>FORA</v>
      </c>
      <c r="K5485" s="12">
        <f>tItens[[#This Row],[Qtd]]*tItens[[#This Row],[Vlr unit]]</f>
        <v>2036.4999999999998</v>
      </c>
      <c r="L5485" s="6">
        <f>IFERROR(IF(INDEX(tProdutos[Desconto homologado],MATCH(tItens[[#This Row],[Produto]],tProdutos[Produto],0))="",DescontoPadrao,INDEX(tProdutos[Desconto homologado],MATCH(tItens[[#This Row],[Produto]],tProdutos[Produto],0))),DescontoPadrao)</f>
        <v>0.500812004991805</v>
      </c>
      <c r="M5485" s="12">
        <f>tItens[[#This Row],[Valor]]*(1-tItens[[#This Row],[Desconto]])</f>
        <v>1016.596351834189</v>
      </c>
      <c r="N5485" t="str">
        <f>IFERROR(INDEX(tProdutos[Foco],MATCH(tItens[[#This Row],[Produto]],tProdutos[Produto],0)),"Não")</f>
        <v>Não</v>
      </c>
      <c r="O5485" t="str">
        <f>IFERROR(INDEX(tEditais[SRP],MATCH(tItens[[#This Row],[Edital]],tEditais[Edital],0)),"Não")</f>
        <v>Não</v>
      </c>
      <c r="P5485" s="4">
        <f>IF(COUNTIFS(INDEX(tItens[Edital],1):tItens[[#This Row],[Edital]],tItens[[#This Row],[Edital]],INDEX(tItens[Produto],1):tItens[[#This Row],[Produto]],tItens[[#This Row],[Produto]])=1,1,0)</f>
        <v>1</v>
      </c>
    </row>
    <row r="5486" spans="1:16" x14ac:dyDescent="0.25">
      <c r="A5486" t="s">
        <v>2028</v>
      </c>
      <c r="B5486">
        <v>155</v>
      </c>
      <c r="C5486" t="s">
        <v>8279</v>
      </c>
      <c r="D5486" t="s">
        <v>170</v>
      </c>
      <c r="E5486" s="13">
        <v>50</v>
      </c>
      <c r="F5486" s="12">
        <v>31.33</v>
      </c>
      <c r="G5486" t="str">
        <f>IFERROR(INDEX(tEditais[Órgão],MATCH(tItens[[#This Row],[Edital]],tEditais[Edital],0)),"")</f>
        <v>MUNICIPIO DE IMBAU</v>
      </c>
      <c r="H5486" t="str">
        <f>IFERROR(INDEX(tEditais[UF],MATCH(tItens[[#This Row],[Edital]],tEditais[Edital],0)),"")</f>
        <v>PR</v>
      </c>
      <c r="I5486" s="11">
        <f>IFERROR(INDEX(tEditais[Encerramento],MATCH(tItens[[#This Row],[Edital]],tEditais[Edital],0)),"")</f>
        <v>46308.375</v>
      </c>
      <c r="J5486" t="str">
        <f>IFERROR(INDEX(tProdutos[Classe],MATCH(tItens[[#This Row],[Produto]],tProdutos[Produto],0)),"produto não cadastrado")</f>
        <v>DISPUTADO</v>
      </c>
      <c r="K5486" s="12">
        <f>tItens[[#This Row],[Qtd]]*tItens[[#This Row],[Vlr unit]]</f>
        <v>1566.5</v>
      </c>
      <c r="L5486" s="6">
        <f>IFERROR(IF(INDEX(tProdutos[Desconto homologado],MATCH(tItens[[#This Row],[Produto]],tProdutos[Produto],0))="",DescontoPadrao,INDEX(tProdutos[Desconto homologado],MATCH(tItens[[#This Row],[Produto]],tProdutos[Produto],0))),DescontoPadrao)</f>
        <v>0.36</v>
      </c>
      <c r="M5486" s="12">
        <f>tItens[[#This Row],[Valor]]*(1-tItens[[#This Row],[Desconto]])</f>
        <v>1002.5600000000001</v>
      </c>
      <c r="N5486" t="str">
        <f>IFERROR(INDEX(tProdutos[Foco],MATCH(tItens[[#This Row],[Produto]],tProdutos[Produto],0)),"Não")</f>
        <v>Sim</v>
      </c>
      <c r="O5486" t="str">
        <f>IFERROR(INDEX(tEditais[SRP],MATCH(tItens[[#This Row],[Edital]],tEditais[Edital],0)),"Não")</f>
        <v>Não</v>
      </c>
      <c r="P5486" s="4">
        <f>IF(COUNTIFS(INDEX(tItens[Edital],1):tItens[[#This Row],[Edital]],tItens[[#This Row],[Edital]],INDEX(tItens[Produto],1):tItens[[#This Row],[Produto]],tItens[[#This Row],[Produto]])=1,1,0)</f>
        <v>1</v>
      </c>
    </row>
    <row r="5487" spans="1:16" x14ac:dyDescent="0.25">
      <c r="A5487" t="s">
        <v>2028</v>
      </c>
      <c r="B5487">
        <v>156</v>
      </c>
      <c r="C5487" t="s">
        <v>8280</v>
      </c>
      <c r="D5487" t="s">
        <v>170</v>
      </c>
      <c r="E5487" s="13">
        <v>50</v>
      </c>
      <c r="F5487" s="12">
        <v>52.35</v>
      </c>
      <c r="G5487" t="str">
        <f>IFERROR(INDEX(tEditais[Órgão],MATCH(tItens[[#This Row],[Edital]],tEditais[Edital],0)),"")</f>
        <v>MUNICIPIO DE IMBAU</v>
      </c>
      <c r="H5487" t="str">
        <f>IFERROR(INDEX(tEditais[UF],MATCH(tItens[[#This Row],[Edital]],tEditais[Edital],0)),"")</f>
        <v>PR</v>
      </c>
      <c r="I5487" s="11">
        <f>IFERROR(INDEX(tEditais[Encerramento],MATCH(tItens[[#This Row],[Edital]],tEditais[Edital],0)),"")</f>
        <v>46308.375</v>
      </c>
      <c r="J5487" t="str">
        <f>IFERROR(INDEX(tProdutos[Classe],MATCH(tItens[[#This Row],[Produto]],tProdutos[Produto],0)),"produto não cadastrado")</f>
        <v>DISPUTADO</v>
      </c>
      <c r="K5487" s="12">
        <f>tItens[[#This Row],[Qtd]]*tItens[[#This Row],[Vlr unit]]</f>
        <v>2617.5</v>
      </c>
      <c r="L5487" s="6">
        <f>IFERROR(IF(INDEX(tProdutos[Desconto homologado],MATCH(tItens[[#This Row],[Produto]],tProdutos[Produto],0))="",DescontoPadrao,INDEX(tProdutos[Desconto homologado],MATCH(tItens[[#This Row],[Produto]],tProdutos[Produto],0))),DescontoPadrao)</f>
        <v>0.36</v>
      </c>
      <c r="M5487" s="12">
        <f>tItens[[#This Row],[Valor]]*(1-tItens[[#This Row],[Desconto]])</f>
        <v>1675.2</v>
      </c>
      <c r="N5487" t="str">
        <f>IFERROR(INDEX(tProdutos[Foco],MATCH(tItens[[#This Row],[Produto]],tProdutos[Produto],0)),"Não")</f>
        <v>Sim</v>
      </c>
      <c r="O5487" t="str">
        <f>IFERROR(INDEX(tEditais[SRP],MATCH(tItens[[#This Row],[Edital]],tEditais[Edital],0)),"Não")</f>
        <v>Não</v>
      </c>
      <c r="P5487" s="4">
        <f>IF(COUNTIFS(INDEX(tItens[Edital],1):tItens[[#This Row],[Edital]],tItens[[#This Row],[Edital]],INDEX(tItens[Produto],1):tItens[[#This Row],[Produto]],tItens[[#This Row],[Produto]])=1,1,0)</f>
        <v>0</v>
      </c>
    </row>
    <row r="5488" spans="1:16" x14ac:dyDescent="0.25">
      <c r="A5488" t="s">
        <v>2028</v>
      </c>
      <c r="B5488">
        <v>157</v>
      </c>
      <c r="C5488" t="s">
        <v>8281</v>
      </c>
      <c r="D5488" t="s">
        <v>170</v>
      </c>
      <c r="E5488" s="13">
        <v>50</v>
      </c>
      <c r="F5488" s="12">
        <v>56.88</v>
      </c>
      <c r="G5488" t="str">
        <f>IFERROR(INDEX(tEditais[Órgão],MATCH(tItens[[#This Row],[Edital]],tEditais[Edital],0)),"")</f>
        <v>MUNICIPIO DE IMBAU</v>
      </c>
      <c r="H5488" t="str">
        <f>IFERROR(INDEX(tEditais[UF],MATCH(tItens[[#This Row],[Edital]],tEditais[Edital],0)),"")</f>
        <v>PR</v>
      </c>
      <c r="I5488" s="11">
        <f>IFERROR(INDEX(tEditais[Encerramento],MATCH(tItens[[#This Row],[Edital]],tEditais[Edital],0)),"")</f>
        <v>46308.375</v>
      </c>
      <c r="J5488" t="str">
        <f>IFERROR(INDEX(tProdutos[Classe],MATCH(tItens[[#This Row],[Produto]],tProdutos[Produto],0)),"produto não cadastrado")</f>
        <v>DISPUTADO</v>
      </c>
      <c r="K5488" s="12">
        <f>tItens[[#This Row],[Qtd]]*tItens[[#This Row],[Vlr unit]]</f>
        <v>2844</v>
      </c>
      <c r="L5488" s="6">
        <f>IFERROR(IF(INDEX(tProdutos[Desconto homologado],MATCH(tItens[[#This Row],[Produto]],tProdutos[Produto],0))="",DescontoPadrao,INDEX(tProdutos[Desconto homologado],MATCH(tItens[[#This Row],[Produto]],tProdutos[Produto],0))),DescontoPadrao)</f>
        <v>0.36</v>
      </c>
      <c r="M5488" s="12">
        <f>tItens[[#This Row],[Valor]]*(1-tItens[[#This Row],[Desconto]])</f>
        <v>1820.16</v>
      </c>
      <c r="N5488" t="str">
        <f>IFERROR(INDEX(tProdutos[Foco],MATCH(tItens[[#This Row],[Produto]],tProdutos[Produto],0)),"Não")</f>
        <v>Sim</v>
      </c>
      <c r="O5488" t="str">
        <f>IFERROR(INDEX(tEditais[SRP],MATCH(tItens[[#This Row],[Edital]],tEditais[Edital],0)),"Não")</f>
        <v>Não</v>
      </c>
      <c r="P5488" s="4">
        <f>IF(COUNTIFS(INDEX(tItens[Edital],1):tItens[[#This Row],[Edital]],tItens[[#This Row],[Edital]],INDEX(tItens[Produto],1):tItens[[#This Row],[Produto]],tItens[[#This Row],[Produto]])=1,1,0)</f>
        <v>0</v>
      </c>
    </row>
    <row r="5489" spans="1:16" x14ac:dyDescent="0.25">
      <c r="A5489" t="s">
        <v>2028</v>
      </c>
      <c r="B5489">
        <v>158</v>
      </c>
      <c r="C5489" t="s">
        <v>8282</v>
      </c>
      <c r="D5489" t="s">
        <v>170</v>
      </c>
      <c r="E5489" s="13">
        <v>50</v>
      </c>
      <c r="F5489" s="12">
        <v>66.89</v>
      </c>
      <c r="G5489" t="str">
        <f>IFERROR(INDEX(tEditais[Órgão],MATCH(tItens[[#This Row],[Edital]],tEditais[Edital],0)),"")</f>
        <v>MUNICIPIO DE IMBAU</v>
      </c>
      <c r="H5489" t="str">
        <f>IFERROR(INDEX(tEditais[UF],MATCH(tItens[[#This Row],[Edital]],tEditais[Edital],0)),"")</f>
        <v>PR</v>
      </c>
      <c r="I5489" s="11">
        <f>IFERROR(INDEX(tEditais[Encerramento],MATCH(tItens[[#This Row],[Edital]],tEditais[Edital],0)),"")</f>
        <v>46308.375</v>
      </c>
      <c r="J5489" t="str">
        <f>IFERROR(INDEX(tProdutos[Classe],MATCH(tItens[[#This Row],[Produto]],tProdutos[Produto],0)),"produto não cadastrado")</f>
        <v>DISPUTADO</v>
      </c>
      <c r="K5489" s="12">
        <f>tItens[[#This Row],[Qtd]]*tItens[[#This Row],[Vlr unit]]</f>
        <v>3344.5</v>
      </c>
      <c r="L5489" s="6">
        <f>IFERROR(IF(INDEX(tProdutos[Desconto homologado],MATCH(tItens[[#This Row],[Produto]],tProdutos[Produto],0))="",DescontoPadrao,INDEX(tProdutos[Desconto homologado],MATCH(tItens[[#This Row],[Produto]],tProdutos[Produto],0))),DescontoPadrao)</f>
        <v>0.36</v>
      </c>
      <c r="M5489" s="12">
        <f>tItens[[#This Row],[Valor]]*(1-tItens[[#This Row],[Desconto]])</f>
        <v>2140.48</v>
      </c>
      <c r="N5489" t="str">
        <f>IFERROR(INDEX(tProdutos[Foco],MATCH(tItens[[#This Row],[Produto]],tProdutos[Produto],0)),"Não")</f>
        <v>Sim</v>
      </c>
      <c r="O5489" t="str">
        <f>IFERROR(INDEX(tEditais[SRP],MATCH(tItens[[#This Row],[Edital]],tEditais[Edital],0)),"Não")</f>
        <v>Não</v>
      </c>
      <c r="P5489" s="4">
        <f>IF(COUNTIFS(INDEX(tItens[Edital],1):tItens[[#This Row],[Edital]],tItens[[#This Row],[Edital]],INDEX(tItens[Produto],1):tItens[[#This Row],[Produto]],tItens[[#This Row],[Produto]])=1,1,0)</f>
        <v>0</v>
      </c>
    </row>
    <row r="5490" spans="1:16" x14ac:dyDescent="0.25">
      <c r="A5490" t="s">
        <v>2028</v>
      </c>
      <c r="B5490">
        <v>159</v>
      </c>
      <c r="C5490" t="s">
        <v>8283</v>
      </c>
      <c r="D5490" t="s">
        <v>170</v>
      </c>
      <c r="E5490" s="13">
        <v>100</v>
      </c>
      <c r="F5490" s="12">
        <v>68.680000000000007</v>
      </c>
      <c r="G5490" t="str">
        <f>IFERROR(INDEX(tEditais[Órgão],MATCH(tItens[[#This Row],[Edital]],tEditais[Edital],0)),"")</f>
        <v>MUNICIPIO DE IMBAU</v>
      </c>
      <c r="H5490" t="str">
        <f>IFERROR(INDEX(tEditais[UF],MATCH(tItens[[#This Row],[Edital]],tEditais[Edital],0)),"")</f>
        <v>PR</v>
      </c>
      <c r="I5490" s="11">
        <f>IFERROR(INDEX(tEditais[Encerramento],MATCH(tItens[[#This Row],[Edital]],tEditais[Edital],0)),"")</f>
        <v>46308.375</v>
      </c>
      <c r="J5490" t="str">
        <f>IFERROR(INDEX(tProdutos[Classe],MATCH(tItens[[#This Row],[Produto]],tProdutos[Produto],0)),"produto não cadastrado")</f>
        <v>DISPUTADO</v>
      </c>
      <c r="K5490" s="12">
        <f>tItens[[#This Row],[Qtd]]*tItens[[#This Row],[Vlr unit]]</f>
        <v>6868.0000000000009</v>
      </c>
      <c r="L5490" s="6">
        <f>IFERROR(IF(INDEX(tProdutos[Desconto homologado],MATCH(tItens[[#This Row],[Produto]],tProdutos[Produto],0))="",DescontoPadrao,INDEX(tProdutos[Desconto homologado],MATCH(tItens[[#This Row],[Produto]],tProdutos[Produto],0))),DescontoPadrao)</f>
        <v>0.36</v>
      </c>
      <c r="M5490" s="12">
        <f>tItens[[#This Row],[Valor]]*(1-tItens[[#This Row],[Desconto]])</f>
        <v>4395.5200000000004</v>
      </c>
      <c r="N5490" t="str">
        <f>IFERROR(INDEX(tProdutos[Foco],MATCH(tItens[[#This Row],[Produto]],tProdutos[Produto],0)),"Não")</f>
        <v>Sim</v>
      </c>
      <c r="O5490" t="str">
        <f>IFERROR(INDEX(tEditais[SRP],MATCH(tItens[[#This Row],[Edital]],tEditais[Edital],0)),"Não")</f>
        <v>Não</v>
      </c>
      <c r="P5490" s="4">
        <f>IF(COUNTIFS(INDEX(tItens[Edital],1):tItens[[#This Row],[Edital]],tItens[[#This Row],[Edital]],INDEX(tItens[Produto],1):tItens[[#This Row],[Produto]],tItens[[#This Row],[Produto]])=1,1,0)</f>
        <v>0</v>
      </c>
    </row>
    <row r="5491" spans="1:16" x14ac:dyDescent="0.25">
      <c r="A5491" t="s">
        <v>2028</v>
      </c>
      <c r="B5491">
        <v>160</v>
      </c>
      <c r="C5491" t="s">
        <v>8284</v>
      </c>
      <c r="D5491" t="s">
        <v>170</v>
      </c>
      <c r="E5491" s="13">
        <v>100</v>
      </c>
      <c r="F5491" s="12">
        <v>72.11</v>
      </c>
      <c r="G5491" t="str">
        <f>IFERROR(INDEX(tEditais[Órgão],MATCH(tItens[[#This Row],[Edital]],tEditais[Edital],0)),"")</f>
        <v>MUNICIPIO DE IMBAU</v>
      </c>
      <c r="H5491" t="str">
        <f>IFERROR(INDEX(tEditais[UF],MATCH(tItens[[#This Row],[Edital]],tEditais[Edital],0)),"")</f>
        <v>PR</v>
      </c>
      <c r="I5491" s="11">
        <f>IFERROR(INDEX(tEditais[Encerramento],MATCH(tItens[[#This Row],[Edital]],tEditais[Edital],0)),"")</f>
        <v>46308.375</v>
      </c>
      <c r="J5491" t="str">
        <f>IFERROR(INDEX(tProdutos[Classe],MATCH(tItens[[#This Row],[Produto]],tProdutos[Produto],0)),"produto não cadastrado")</f>
        <v>DISPUTADO</v>
      </c>
      <c r="K5491" s="12">
        <f>tItens[[#This Row],[Qtd]]*tItens[[#This Row],[Vlr unit]]</f>
        <v>7211</v>
      </c>
      <c r="L5491" s="6">
        <f>IFERROR(IF(INDEX(tProdutos[Desconto homologado],MATCH(tItens[[#This Row],[Produto]],tProdutos[Produto],0))="",DescontoPadrao,INDEX(tProdutos[Desconto homologado],MATCH(tItens[[#This Row],[Produto]],tProdutos[Produto],0))),DescontoPadrao)</f>
        <v>0.36</v>
      </c>
      <c r="M5491" s="12">
        <f>tItens[[#This Row],[Valor]]*(1-tItens[[#This Row],[Desconto]])</f>
        <v>4615.04</v>
      </c>
      <c r="N5491" t="str">
        <f>IFERROR(INDEX(tProdutos[Foco],MATCH(tItens[[#This Row],[Produto]],tProdutos[Produto],0)),"Não")</f>
        <v>Sim</v>
      </c>
      <c r="O5491" t="str">
        <f>IFERROR(INDEX(tEditais[SRP],MATCH(tItens[[#This Row],[Edital]],tEditais[Edital],0)),"Não")</f>
        <v>Não</v>
      </c>
      <c r="P5491" s="4">
        <f>IF(COUNTIFS(INDEX(tItens[Edital],1):tItens[[#This Row],[Edital]],tItens[[#This Row],[Edital]],INDEX(tItens[Produto],1):tItens[[#This Row],[Produto]],tItens[[#This Row],[Produto]])=1,1,0)</f>
        <v>0</v>
      </c>
    </row>
    <row r="5492" spans="1:16" x14ac:dyDescent="0.25">
      <c r="A5492" t="s">
        <v>2028</v>
      </c>
      <c r="B5492">
        <v>161</v>
      </c>
      <c r="C5492" t="s">
        <v>8285</v>
      </c>
      <c r="D5492" t="s">
        <v>170</v>
      </c>
      <c r="E5492" s="13">
        <v>100</v>
      </c>
      <c r="F5492" s="12">
        <v>82.74</v>
      </c>
      <c r="G5492" t="str">
        <f>IFERROR(INDEX(tEditais[Órgão],MATCH(tItens[[#This Row],[Edital]],tEditais[Edital],0)),"")</f>
        <v>MUNICIPIO DE IMBAU</v>
      </c>
      <c r="H5492" t="str">
        <f>IFERROR(INDEX(tEditais[UF],MATCH(tItens[[#This Row],[Edital]],tEditais[Edital],0)),"")</f>
        <v>PR</v>
      </c>
      <c r="I5492" s="11">
        <f>IFERROR(INDEX(tEditais[Encerramento],MATCH(tItens[[#This Row],[Edital]],tEditais[Edital],0)),"")</f>
        <v>46308.375</v>
      </c>
      <c r="J5492" t="str">
        <f>IFERROR(INDEX(tProdutos[Classe],MATCH(tItens[[#This Row],[Produto]],tProdutos[Produto],0)),"produto não cadastrado")</f>
        <v>DISPUTADO</v>
      </c>
      <c r="K5492" s="12">
        <f>tItens[[#This Row],[Qtd]]*tItens[[#This Row],[Vlr unit]]</f>
        <v>8274</v>
      </c>
      <c r="L5492" s="6">
        <f>IFERROR(IF(INDEX(tProdutos[Desconto homologado],MATCH(tItens[[#This Row],[Produto]],tProdutos[Produto],0))="",DescontoPadrao,INDEX(tProdutos[Desconto homologado],MATCH(tItens[[#This Row],[Produto]],tProdutos[Produto],0))),DescontoPadrao)</f>
        <v>0.36</v>
      </c>
      <c r="M5492" s="12">
        <f>tItens[[#This Row],[Valor]]*(1-tItens[[#This Row],[Desconto]])</f>
        <v>5295.36</v>
      </c>
      <c r="N5492" t="str">
        <f>IFERROR(INDEX(tProdutos[Foco],MATCH(tItens[[#This Row],[Produto]],tProdutos[Produto],0)),"Não")</f>
        <v>Sim</v>
      </c>
      <c r="O5492" t="str">
        <f>IFERROR(INDEX(tEditais[SRP],MATCH(tItens[[#This Row],[Edital]],tEditais[Edital],0)),"Não")</f>
        <v>Não</v>
      </c>
      <c r="P5492" s="4">
        <f>IF(COUNTIFS(INDEX(tItens[Edital],1):tItens[[#This Row],[Edital]],tItens[[#This Row],[Edital]],INDEX(tItens[Produto],1):tItens[[#This Row],[Produto]],tItens[[#This Row],[Produto]])=1,1,0)</f>
        <v>0</v>
      </c>
    </row>
    <row r="5493" spans="1:16" x14ac:dyDescent="0.25">
      <c r="A5493" t="s">
        <v>2028</v>
      </c>
      <c r="B5493">
        <v>162</v>
      </c>
      <c r="C5493" t="s">
        <v>8286</v>
      </c>
      <c r="D5493" t="s">
        <v>170</v>
      </c>
      <c r="E5493" s="13">
        <v>50</v>
      </c>
      <c r="F5493" s="12">
        <v>85.74</v>
      </c>
      <c r="G5493" t="str">
        <f>IFERROR(INDEX(tEditais[Órgão],MATCH(tItens[[#This Row],[Edital]],tEditais[Edital],0)),"")</f>
        <v>MUNICIPIO DE IMBAU</v>
      </c>
      <c r="H5493" t="str">
        <f>IFERROR(INDEX(tEditais[UF],MATCH(tItens[[#This Row],[Edital]],tEditais[Edital],0)),"")</f>
        <v>PR</v>
      </c>
      <c r="I5493" s="11">
        <f>IFERROR(INDEX(tEditais[Encerramento],MATCH(tItens[[#This Row],[Edital]],tEditais[Edital],0)),"")</f>
        <v>46308.375</v>
      </c>
      <c r="J5493" t="str">
        <f>IFERROR(INDEX(tProdutos[Classe],MATCH(tItens[[#This Row],[Produto]],tProdutos[Produto],0)),"produto não cadastrado")</f>
        <v>DISPUTADO</v>
      </c>
      <c r="K5493" s="12">
        <f>tItens[[#This Row],[Qtd]]*tItens[[#This Row],[Vlr unit]]</f>
        <v>4287</v>
      </c>
      <c r="L5493" s="6">
        <f>IFERROR(IF(INDEX(tProdutos[Desconto homologado],MATCH(tItens[[#This Row],[Produto]],tProdutos[Produto],0))="",DescontoPadrao,INDEX(tProdutos[Desconto homologado],MATCH(tItens[[#This Row],[Produto]],tProdutos[Produto],0))),DescontoPadrao)</f>
        <v>0.36</v>
      </c>
      <c r="M5493" s="12">
        <f>tItens[[#This Row],[Valor]]*(1-tItens[[#This Row],[Desconto]])</f>
        <v>2743.68</v>
      </c>
      <c r="N5493" t="str">
        <f>IFERROR(INDEX(tProdutos[Foco],MATCH(tItens[[#This Row],[Produto]],tProdutos[Produto],0)),"Não")</f>
        <v>Sim</v>
      </c>
      <c r="O5493" t="str">
        <f>IFERROR(INDEX(tEditais[SRP],MATCH(tItens[[#This Row],[Edital]],tEditais[Edital],0)),"Não")</f>
        <v>Não</v>
      </c>
      <c r="P5493" s="4">
        <f>IF(COUNTIFS(INDEX(tItens[Edital],1):tItens[[#This Row],[Edital]],tItens[[#This Row],[Edital]],INDEX(tItens[Produto],1):tItens[[#This Row],[Produto]],tItens[[#This Row],[Produto]])=1,1,0)</f>
        <v>0</v>
      </c>
    </row>
    <row r="5494" spans="1:16" x14ac:dyDescent="0.25">
      <c r="A5494" t="s">
        <v>2028</v>
      </c>
      <c r="B5494">
        <v>163</v>
      </c>
      <c r="C5494" t="s">
        <v>8287</v>
      </c>
      <c r="D5494" t="s">
        <v>403</v>
      </c>
      <c r="E5494" s="13">
        <v>350</v>
      </c>
      <c r="F5494" s="12">
        <v>8.33</v>
      </c>
      <c r="G5494" t="str">
        <f>IFERROR(INDEX(tEditais[Órgão],MATCH(tItens[[#This Row],[Edital]],tEditais[Edital],0)),"")</f>
        <v>MUNICIPIO DE IMBAU</v>
      </c>
      <c r="H5494" t="str">
        <f>IFERROR(INDEX(tEditais[UF],MATCH(tItens[[#This Row],[Edital]],tEditais[Edital],0)),"")</f>
        <v>PR</v>
      </c>
      <c r="I5494" s="11">
        <f>IFERROR(INDEX(tEditais[Encerramento],MATCH(tItens[[#This Row],[Edital]],tEditais[Edital],0)),"")</f>
        <v>46308.375</v>
      </c>
      <c r="J5494" t="str">
        <f>IFERROR(INDEX(tProdutos[Classe],MATCH(tItens[[#This Row],[Produto]],tProdutos[Produto],0)),"produto não cadastrado")</f>
        <v>FORA</v>
      </c>
      <c r="K5494" s="12">
        <f>tItens[[#This Row],[Qtd]]*tItens[[#This Row],[Vlr unit]]</f>
        <v>2915.5</v>
      </c>
      <c r="L5494" s="6">
        <f>IFERROR(IF(INDEX(tProdutos[Desconto homologado],MATCH(tItens[[#This Row],[Produto]],tProdutos[Produto],0))="",DescontoPadrao,INDEX(tProdutos[Desconto homologado],MATCH(tItens[[#This Row],[Produto]],tProdutos[Produto],0))),DescontoPadrao)</f>
        <v>0.35326086956521702</v>
      </c>
      <c r="M5494" s="12">
        <f>tItens[[#This Row],[Valor]]*(1-tItens[[#This Row],[Desconto]])</f>
        <v>1885.5679347826097</v>
      </c>
      <c r="N5494" t="str">
        <f>IFERROR(INDEX(tProdutos[Foco],MATCH(tItens[[#This Row],[Produto]],tProdutos[Produto],0)),"Não")</f>
        <v>Não</v>
      </c>
      <c r="O5494" t="str">
        <f>IFERROR(INDEX(tEditais[SRP],MATCH(tItens[[#This Row],[Edital]],tEditais[Edital],0)),"Não")</f>
        <v>Não</v>
      </c>
      <c r="P5494" s="4">
        <f>IF(COUNTIFS(INDEX(tItens[Edital],1):tItens[[#This Row],[Edital]],tItens[[#This Row],[Edital]],INDEX(tItens[Produto],1):tItens[[#This Row],[Produto]],tItens[[#This Row],[Produto]])=1,1,0)</f>
        <v>1</v>
      </c>
    </row>
    <row r="5495" spans="1:16" x14ac:dyDescent="0.25">
      <c r="A5495" t="s">
        <v>2028</v>
      </c>
      <c r="B5495">
        <v>168</v>
      </c>
      <c r="C5495" t="s">
        <v>8288</v>
      </c>
      <c r="D5495" t="s">
        <v>494</v>
      </c>
      <c r="E5495" s="13">
        <v>100</v>
      </c>
      <c r="F5495" s="12">
        <v>52.43</v>
      </c>
      <c r="G5495" t="str">
        <f>IFERROR(INDEX(tEditais[Órgão],MATCH(tItens[[#This Row],[Edital]],tEditais[Edital],0)),"")</f>
        <v>MUNICIPIO DE IMBAU</v>
      </c>
      <c r="H5495" t="str">
        <f>IFERROR(INDEX(tEditais[UF],MATCH(tItens[[#This Row],[Edital]],tEditais[Edital],0)),"")</f>
        <v>PR</v>
      </c>
      <c r="I5495" s="11">
        <f>IFERROR(INDEX(tEditais[Encerramento],MATCH(tItens[[#This Row],[Edital]],tEditais[Edital],0)),"")</f>
        <v>46308.375</v>
      </c>
      <c r="J5495" t="str">
        <f>IFERROR(INDEX(tProdutos[Classe],MATCH(tItens[[#This Row],[Produto]],tProdutos[Produto],0)),"produto não cadastrado")</f>
        <v>FILA REBASE</v>
      </c>
      <c r="K5495" s="12">
        <f>tItens[[#This Row],[Qtd]]*tItens[[#This Row],[Vlr unit]]</f>
        <v>5243</v>
      </c>
      <c r="L5495" s="6">
        <f>IFERROR(IF(INDEX(tProdutos[Desconto homologado],MATCH(tItens[[#This Row],[Produto]],tProdutos[Produto],0))="",DescontoPadrao,INDEX(tProdutos[Desconto homologado],MATCH(tItens[[#This Row],[Produto]],tProdutos[Produto],0))),DescontoPadrao)</f>
        <v>0.253736324829619</v>
      </c>
      <c r="M5495" s="12">
        <f>tItens[[#This Row],[Valor]]*(1-tItens[[#This Row],[Desconto]])</f>
        <v>3912.6604489183078</v>
      </c>
      <c r="N5495" t="str">
        <f>IFERROR(INDEX(tProdutos[Foco],MATCH(tItens[[#This Row],[Produto]],tProdutos[Produto],0)),"Não")</f>
        <v>Não</v>
      </c>
      <c r="O5495" t="str">
        <f>IFERROR(INDEX(tEditais[SRP],MATCH(tItens[[#This Row],[Edital]],tEditais[Edital],0)),"Não")</f>
        <v>Não</v>
      </c>
      <c r="P5495" s="4">
        <f>IF(COUNTIFS(INDEX(tItens[Edital],1):tItens[[#This Row],[Edital]],tItens[[#This Row],[Edital]],INDEX(tItens[Produto],1):tItens[[#This Row],[Produto]],tItens[[#This Row],[Produto]])=1,1,0)</f>
        <v>1</v>
      </c>
    </row>
    <row r="5496" spans="1:16" x14ac:dyDescent="0.25">
      <c r="A5496" t="s">
        <v>2028</v>
      </c>
      <c r="B5496">
        <v>169</v>
      </c>
      <c r="C5496" t="s">
        <v>8289</v>
      </c>
      <c r="D5496" t="s">
        <v>494</v>
      </c>
      <c r="E5496" s="13">
        <v>100</v>
      </c>
      <c r="F5496" s="12">
        <v>91.11</v>
      </c>
      <c r="G5496" t="str">
        <f>IFERROR(INDEX(tEditais[Órgão],MATCH(tItens[[#This Row],[Edital]],tEditais[Edital],0)),"")</f>
        <v>MUNICIPIO DE IMBAU</v>
      </c>
      <c r="H5496" t="str">
        <f>IFERROR(INDEX(tEditais[UF],MATCH(tItens[[#This Row],[Edital]],tEditais[Edital],0)),"")</f>
        <v>PR</v>
      </c>
      <c r="I5496" s="11">
        <f>IFERROR(INDEX(tEditais[Encerramento],MATCH(tItens[[#This Row],[Edital]],tEditais[Edital],0)),"")</f>
        <v>46308.375</v>
      </c>
      <c r="J5496" t="str">
        <f>IFERROR(INDEX(tProdutos[Classe],MATCH(tItens[[#This Row],[Produto]],tProdutos[Produto],0)),"produto não cadastrado")</f>
        <v>FILA REBASE</v>
      </c>
      <c r="K5496" s="12">
        <f>tItens[[#This Row],[Qtd]]*tItens[[#This Row],[Vlr unit]]</f>
        <v>9111</v>
      </c>
      <c r="L5496" s="6">
        <f>IFERROR(IF(INDEX(tProdutos[Desconto homologado],MATCH(tItens[[#This Row],[Produto]],tProdutos[Produto],0))="",DescontoPadrao,INDEX(tProdutos[Desconto homologado],MATCH(tItens[[#This Row],[Produto]],tProdutos[Produto],0))),DescontoPadrao)</f>
        <v>0.253736324829619</v>
      </c>
      <c r="M5496" s="12">
        <f>tItens[[#This Row],[Valor]]*(1-tItens[[#This Row],[Desconto]])</f>
        <v>6799.2083444773416</v>
      </c>
      <c r="N5496" t="str">
        <f>IFERROR(INDEX(tProdutos[Foco],MATCH(tItens[[#This Row],[Produto]],tProdutos[Produto],0)),"Não")</f>
        <v>Não</v>
      </c>
      <c r="O5496" t="str">
        <f>IFERROR(INDEX(tEditais[SRP],MATCH(tItens[[#This Row],[Edital]],tEditais[Edital],0)),"Não")</f>
        <v>Não</v>
      </c>
      <c r="P5496" s="4">
        <f>IF(COUNTIFS(INDEX(tItens[Edital],1):tItens[[#This Row],[Edital]],tItens[[#This Row],[Edital]],INDEX(tItens[Produto],1):tItens[[#This Row],[Produto]],tItens[[#This Row],[Produto]])=1,1,0)</f>
        <v>0</v>
      </c>
    </row>
    <row r="5497" spans="1:16" x14ac:dyDescent="0.25">
      <c r="A5497" t="s">
        <v>2028</v>
      </c>
      <c r="B5497">
        <v>170</v>
      </c>
      <c r="C5497" t="s">
        <v>8290</v>
      </c>
      <c r="D5497" t="s">
        <v>494</v>
      </c>
      <c r="E5497" s="13">
        <v>100</v>
      </c>
      <c r="F5497" s="12">
        <v>121.32</v>
      </c>
      <c r="G5497" t="str">
        <f>IFERROR(INDEX(tEditais[Órgão],MATCH(tItens[[#This Row],[Edital]],tEditais[Edital],0)),"")</f>
        <v>MUNICIPIO DE IMBAU</v>
      </c>
      <c r="H5497" t="str">
        <f>IFERROR(INDEX(tEditais[UF],MATCH(tItens[[#This Row],[Edital]],tEditais[Edital],0)),"")</f>
        <v>PR</v>
      </c>
      <c r="I5497" s="11">
        <f>IFERROR(INDEX(tEditais[Encerramento],MATCH(tItens[[#This Row],[Edital]],tEditais[Edital],0)),"")</f>
        <v>46308.375</v>
      </c>
      <c r="J5497" t="str">
        <f>IFERROR(INDEX(tProdutos[Classe],MATCH(tItens[[#This Row],[Produto]],tProdutos[Produto],0)),"produto não cadastrado")</f>
        <v>FILA REBASE</v>
      </c>
      <c r="K5497" s="12">
        <f>tItens[[#This Row],[Qtd]]*tItens[[#This Row],[Vlr unit]]</f>
        <v>12132</v>
      </c>
      <c r="L5497" s="6">
        <f>IFERROR(IF(INDEX(tProdutos[Desconto homologado],MATCH(tItens[[#This Row],[Produto]],tProdutos[Produto],0))="",DescontoPadrao,INDEX(tProdutos[Desconto homologado],MATCH(tItens[[#This Row],[Produto]],tProdutos[Produto],0))),DescontoPadrao)</f>
        <v>0.253736324829619</v>
      </c>
      <c r="M5497" s="12">
        <f>tItens[[#This Row],[Valor]]*(1-tItens[[#This Row],[Desconto]])</f>
        <v>9053.670907167063</v>
      </c>
      <c r="N5497" t="str">
        <f>IFERROR(INDEX(tProdutos[Foco],MATCH(tItens[[#This Row],[Produto]],tProdutos[Produto],0)),"Não")</f>
        <v>Não</v>
      </c>
      <c r="O5497" t="str">
        <f>IFERROR(INDEX(tEditais[SRP],MATCH(tItens[[#This Row],[Edital]],tEditais[Edital],0)),"Não")</f>
        <v>Não</v>
      </c>
      <c r="P5497" s="4">
        <f>IF(COUNTIFS(INDEX(tItens[Edital],1):tItens[[#This Row],[Edital]],tItens[[#This Row],[Edital]],INDEX(tItens[Produto],1):tItens[[#This Row],[Produto]],tItens[[#This Row],[Produto]])=1,1,0)</f>
        <v>0</v>
      </c>
    </row>
    <row r="5498" spans="1:16" x14ac:dyDescent="0.25">
      <c r="A5498" t="s">
        <v>2028</v>
      </c>
      <c r="B5498">
        <v>171</v>
      </c>
      <c r="C5498" t="s">
        <v>8291</v>
      </c>
      <c r="D5498" t="s">
        <v>494</v>
      </c>
      <c r="E5498" s="13">
        <v>50</v>
      </c>
      <c r="F5498" s="12">
        <v>143.30000000000001</v>
      </c>
      <c r="G5498" t="str">
        <f>IFERROR(INDEX(tEditais[Órgão],MATCH(tItens[[#This Row],[Edital]],tEditais[Edital],0)),"")</f>
        <v>MUNICIPIO DE IMBAU</v>
      </c>
      <c r="H5498" t="str">
        <f>IFERROR(INDEX(tEditais[UF],MATCH(tItens[[#This Row],[Edital]],tEditais[Edital],0)),"")</f>
        <v>PR</v>
      </c>
      <c r="I5498" s="11">
        <f>IFERROR(INDEX(tEditais[Encerramento],MATCH(tItens[[#This Row],[Edital]],tEditais[Edital],0)),"")</f>
        <v>46308.375</v>
      </c>
      <c r="J5498" t="str">
        <f>IFERROR(INDEX(tProdutos[Classe],MATCH(tItens[[#This Row],[Produto]],tProdutos[Produto],0)),"produto não cadastrado")</f>
        <v>FILA REBASE</v>
      </c>
      <c r="K5498" s="12">
        <f>tItens[[#This Row],[Qtd]]*tItens[[#This Row],[Vlr unit]]</f>
        <v>7165.0000000000009</v>
      </c>
      <c r="L5498" s="6">
        <f>IFERROR(IF(INDEX(tProdutos[Desconto homologado],MATCH(tItens[[#This Row],[Produto]],tProdutos[Produto],0))="",DescontoPadrao,INDEX(tProdutos[Desconto homologado],MATCH(tItens[[#This Row],[Produto]],tProdutos[Produto],0))),DescontoPadrao)</f>
        <v>0.253736324829619</v>
      </c>
      <c r="M5498" s="12">
        <f>tItens[[#This Row],[Valor]]*(1-tItens[[#This Row],[Desconto]])</f>
        <v>5346.9792325957806</v>
      </c>
      <c r="N5498" t="str">
        <f>IFERROR(INDEX(tProdutos[Foco],MATCH(tItens[[#This Row],[Produto]],tProdutos[Produto],0)),"Não")</f>
        <v>Não</v>
      </c>
      <c r="O5498" t="str">
        <f>IFERROR(INDEX(tEditais[SRP],MATCH(tItens[[#This Row],[Edital]],tEditais[Edital],0)),"Não")</f>
        <v>Não</v>
      </c>
      <c r="P5498" s="4">
        <f>IF(COUNTIFS(INDEX(tItens[Edital],1):tItens[[#This Row],[Edital]],tItens[[#This Row],[Edital]],INDEX(tItens[Produto],1):tItens[[#This Row],[Produto]],tItens[[#This Row],[Produto]])=1,1,0)</f>
        <v>0</v>
      </c>
    </row>
    <row r="5499" spans="1:16" x14ac:dyDescent="0.25">
      <c r="A5499" t="s">
        <v>2028</v>
      </c>
      <c r="B5499">
        <v>172</v>
      </c>
      <c r="C5499" t="s">
        <v>8292</v>
      </c>
      <c r="D5499" t="s">
        <v>494</v>
      </c>
      <c r="E5499" s="13">
        <v>30</v>
      </c>
      <c r="F5499" s="12">
        <v>190.33</v>
      </c>
      <c r="G5499" t="str">
        <f>IFERROR(INDEX(tEditais[Órgão],MATCH(tItens[[#This Row],[Edital]],tEditais[Edital],0)),"")</f>
        <v>MUNICIPIO DE IMBAU</v>
      </c>
      <c r="H5499" t="str">
        <f>IFERROR(INDEX(tEditais[UF],MATCH(tItens[[#This Row],[Edital]],tEditais[Edital],0)),"")</f>
        <v>PR</v>
      </c>
      <c r="I5499" s="11">
        <f>IFERROR(INDEX(tEditais[Encerramento],MATCH(tItens[[#This Row],[Edital]],tEditais[Edital],0)),"")</f>
        <v>46308.375</v>
      </c>
      <c r="J5499" t="str">
        <f>IFERROR(INDEX(tProdutos[Classe],MATCH(tItens[[#This Row],[Produto]],tProdutos[Produto],0)),"produto não cadastrado")</f>
        <v>FILA REBASE</v>
      </c>
      <c r="K5499" s="12">
        <f>tItens[[#This Row],[Qtd]]*tItens[[#This Row],[Vlr unit]]</f>
        <v>5709.9000000000005</v>
      </c>
      <c r="L5499" s="6">
        <f>IFERROR(IF(INDEX(tProdutos[Desconto homologado],MATCH(tItens[[#This Row],[Produto]],tProdutos[Produto],0))="",DescontoPadrao,INDEX(tProdutos[Desconto homologado],MATCH(tItens[[#This Row],[Produto]],tProdutos[Produto],0))),DescontoPadrao)</f>
        <v>0.253736324829619</v>
      </c>
      <c r="M5499" s="12">
        <f>tItens[[#This Row],[Valor]]*(1-tItens[[#This Row],[Desconto]])</f>
        <v>4261.0909588553595</v>
      </c>
      <c r="N5499" t="str">
        <f>IFERROR(INDEX(tProdutos[Foco],MATCH(tItens[[#This Row],[Produto]],tProdutos[Produto],0)),"Não")</f>
        <v>Não</v>
      </c>
      <c r="O5499" t="str">
        <f>IFERROR(INDEX(tEditais[SRP],MATCH(tItens[[#This Row],[Edital]],tEditais[Edital],0)),"Não")</f>
        <v>Não</v>
      </c>
      <c r="P5499" s="4">
        <f>IF(COUNTIFS(INDEX(tItens[Edital],1):tItens[[#This Row],[Edital]],tItens[[#This Row],[Edital]],INDEX(tItens[Produto],1):tItens[[#This Row],[Produto]],tItens[[#This Row],[Produto]])=1,1,0)</f>
        <v>0</v>
      </c>
    </row>
    <row r="5500" spans="1:16" x14ac:dyDescent="0.25">
      <c r="A5500" t="s">
        <v>2028</v>
      </c>
      <c r="B5500">
        <v>173</v>
      </c>
      <c r="C5500" t="s">
        <v>8293</v>
      </c>
      <c r="D5500" t="s">
        <v>494</v>
      </c>
      <c r="E5500" s="13">
        <v>20</v>
      </c>
      <c r="F5500" s="12">
        <v>231.4</v>
      </c>
      <c r="G5500" t="str">
        <f>IFERROR(INDEX(tEditais[Órgão],MATCH(tItens[[#This Row],[Edital]],tEditais[Edital],0)),"")</f>
        <v>MUNICIPIO DE IMBAU</v>
      </c>
      <c r="H5500" t="str">
        <f>IFERROR(INDEX(tEditais[UF],MATCH(tItens[[#This Row],[Edital]],tEditais[Edital],0)),"")</f>
        <v>PR</v>
      </c>
      <c r="I5500" s="11">
        <f>IFERROR(INDEX(tEditais[Encerramento],MATCH(tItens[[#This Row],[Edital]],tEditais[Edital],0)),"")</f>
        <v>46308.375</v>
      </c>
      <c r="J5500" t="str">
        <f>IFERROR(INDEX(tProdutos[Classe],MATCH(tItens[[#This Row],[Produto]],tProdutos[Produto],0)),"produto não cadastrado")</f>
        <v>FILA REBASE</v>
      </c>
      <c r="K5500" s="12">
        <f>tItens[[#This Row],[Qtd]]*tItens[[#This Row],[Vlr unit]]</f>
        <v>4628</v>
      </c>
      <c r="L5500" s="6">
        <f>IFERROR(IF(INDEX(tProdutos[Desconto homologado],MATCH(tItens[[#This Row],[Produto]],tProdutos[Produto],0))="",DescontoPadrao,INDEX(tProdutos[Desconto homologado],MATCH(tItens[[#This Row],[Produto]],tProdutos[Produto],0))),DescontoPadrao)</f>
        <v>0.253736324829619</v>
      </c>
      <c r="M5500" s="12">
        <f>tItens[[#This Row],[Valor]]*(1-tItens[[#This Row],[Desconto]])</f>
        <v>3453.7082886885237</v>
      </c>
      <c r="N5500" t="str">
        <f>IFERROR(INDEX(tProdutos[Foco],MATCH(tItens[[#This Row],[Produto]],tProdutos[Produto],0)),"Não")</f>
        <v>Não</v>
      </c>
      <c r="O5500" t="str">
        <f>IFERROR(INDEX(tEditais[SRP],MATCH(tItens[[#This Row],[Edital]],tEditais[Edital],0)),"Não")</f>
        <v>Não</v>
      </c>
      <c r="P5500" s="4">
        <f>IF(COUNTIFS(INDEX(tItens[Edital],1):tItens[[#This Row],[Edital]],tItens[[#This Row],[Edital]],INDEX(tItens[Produto],1):tItens[[#This Row],[Produto]],tItens[[#This Row],[Produto]])=1,1,0)</f>
        <v>0</v>
      </c>
    </row>
    <row r="5501" spans="1:16" x14ac:dyDescent="0.25">
      <c r="A5501" t="s">
        <v>2028</v>
      </c>
      <c r="B5501">
        <v>174</v>
      </c>
      <c r="C5501" t="s">
        <v>8294</v>
      </c>
      <c r="D5501" t="s">
        <v>494</v>
      </c>
      <c r="E5501" s="13">
        <v>10</v>
      </c>
      <c r="F5501" s="12">
        <v>309.02999999999997</v>
      </c>
      <c r="G5501" t="str">
        <f>IFERROR(INDEX(tEditais[Órgão],MATCH(tItens[[#This Row],[Edital]],tEditais[Edital],0)),"")</f>
        <v>MUNICIPIO DE IMBAU</v>
      </c>
      <c r="H5501" t="str">
        <f>IFERROR(INDEX(tEditais[UF],MATCH(tItens[[#This Row],[Edital]],tEditais[Edital],0)),"")</f>
        <v>PR</v>
      </c>
      <c r="I5501" s="11">
        <f>IFERROR(INDEX(tEditais[Encerramento],MATCH(tItens[[#This Row],[Edital]],tEditais[Edital],0)),"")</f>
        <v>46308.375</v>
      </c>
      <c r="J5501" t="str">
        <f>IFERROR(INDEX(tProdutos[Classe],MATCH(tItens[[#This Row],[Produto]],tProdutos[Produto],0)),"produto não cadastrado")</f>
        <v>FILA REBASE</v>
      </c>
      <c r="K5501" s="12">
        <f>tItens[[#This Row],[Qtd]]*tItens[[#This Row],[Vlr unit]]</f>
        <v>3090.2999999999997</v>
      </c>
      <c r="L5501" s="6">
        <f>IFERROR(IF(INDEX(tProdutos[Desconto homologado],MATCH(tItens[[#This Row],[Produto]],tProdutos[Produto],0))="",DescontoPadrao,INDEX(tProdutos[Desconto homologado],MATCH(tItens[[#This Row],[Produto]],tProdutos[Produto],0))),DescontoPadrao)</f>
        <v>0.253736324829619</v>
      </c>
      <c r="M5501" s="12">
        <f>tItens[[#This Row],[Valor]]*(1-tItens[[#This Row],[Desconto]])</f>
        <v>2306.1786353790285</v>
      </c>
      <c r="N5501" t="str">
        <f>IFERROR(INDEX(tProdutos[Foco],MATCH(tItens[[#This Row],[Produto]],tProdutos[Produto],0)),"Não")</f>
        <v>Não</v>
      </c>
      <c r="O5501" t="str">
        <f>IFERROR(INDEX(tEditais[SRP],MATCH(tItens[[#This Row],[Edital]],tEditais[Edital],0)),"Não")</f>
        <v>Não</v>
      </c>
      <c r="P5501" s="4">
        <f>IF(COUNTIFS(INDEX(tItens[Edital],1):tItens[[#This Row],[Edital]],tItens[[#This Row],[Edital]],INDEX(tItens[Produto],1):tItens[[#This Row],[Produto]],tItens[[#This Row],[Produto]])=1,1,0)</f>
        <v>0</v>
      </c>
    </row>
    <row r="5502" spans="1:16" x14ac:dyDescent="0.25">
      <c r="A5502" t="s">
        <v>2028</v>
      </c>
      <c r="B5502">
        <v>198</v>
      </c>
      <c r="C5502" t="s">
        <v>8295</v>
      </c>
      <c r="D5502" t="s">
        <v>327</v>
      </c>
      <c r="E5502" s="13">
        <v>12</v>
      </c>
      <c r="F5502" s="12">
        <v>22.38</v>
      </c>
      <c r="G5502" t="str">
        <f>IFERROR(INDEX(tEditais[Órgão],MATCH(tItens[[#This Row],[Edital]],tEditais[Edital],0)),"")</f>
        <v>MUNICIPIO DE IMBAU</v>
      </c>
      <c r="H5502" t="str">
        <f>IFERROR(INDEX(tEditais[UF],MATCH(tItens[[#This Row],[Edital]],tEditais[Edital],0)),"")</f>
        <v>PR</v>
      </c>
      <c r="I5502" s="11">
        <f>IFERROR(INDEX(tEditais[Encerramento],MATCH(tItens[[#This Row],[Edital]],tEditais[Edital],0)),"")</f>
        <v>46308.375</v>
      </c>
      <c r="J5502" t="str">
        <f>IFERROR(INDEX(tProdutos[Classe],MATCH(tItens[[#This Row],[Produto]],tProdutos[Produto],0)),"produto não cadastrado")</f>
        <v>FORA</v>
      </c>
      <c r="K5502" s="12">
        <f>tItens[[#This Row],[Qtd]]*tItens[[#This Row],[Vlr unit]]</f>
        <v>268.56</v>
      </c>
      <c r="L5502" s="6">
        <f>IFERROR(IF(INDEX(tProdutos[Desconto homologado],MATCH(tItens[[#This Row],[Produto]],tProdutos[Produto],0))="",DescontoPadrao,INDEX(tProdutos[Desconto homologado],MATCH(tItens[[#This Row],[Produto]],tProdutos[Produto],0))),DescontoPadrao)</f>
        <v>0.49969483918783197</v>
      </c>
      <c r="M5502" s="12">
        <f>tItens[[#This Row],[Valor]]*(1-tItens[[#This Row],[Desconto]])</f>
        <v>134.36195398771585</v>
      </c>
      <c r="N5502" t="str">
        <f>IFERROR(INDEX(tProdutos[Foco],MATCH(tItens[[#This Row],[Produto]],tProdutos[Produto],0)),"Não")</f>
        <v>Não</v>
      </c>
      <c r="O5502" t="str">
        <f>IFERROR(INDEX(tEditais[SRP],MATCH(tItens[[#This Row],[Edital]],tEditais[Edital],0)),"Não")</f>
        <v>Não</v>
      </c>
      <c r="P5502" s="4">
        <f>IF(COUNTIFS(INDEX(tItens[Edital],1):tItens[[#This Row],[Edital]],tItens[[#This Row],[Edital]],INDEX(tItens[Produto],1):tItens[[#This Row],[Produto]],tItens[[#This Row],[Produto]])=1,1,0)</f>
        <v>1</v>
      </c>
    </row>
    <row r="5503" spans="1:16" x14ac:dyDescent="0.25">
      <c r="A5503" t="s">
        <v>2028</v>
      </c>
      <c r="B5503">
        <v>199</v>
      </c>
      <c r="C5503" t="s">
        <v>8296</v>
      </c>
      <c r="D5503" t="s">
        <v>283</v>
      </c>
      <c r="E5503" s="13">
        <v>200</v>
      </c>
      <c r="F5503" s="12">
        <v>30.63</v>
      </c>
      <c r="G5503" t="str">
        <f>IFERROR(INDEX(tEditais[Órgão],MATCH(tItens[[#This Row],[Edital]],tEditais[Edital],0)),"")</f>
        <v>MUNICIPIO DE IMBAU</v>
      </c>
      <c r="H5503" t="str">
        <f>IFERROR(INDEX(tEditais[UF],MATCH(tItens[[#This Row],[Edital]],tEditais[Edital],0)),"")</f>
        <v>PR</v>
      </c>
      <c r="I5503" s="11">
        <f>IFERROR(INDEX(tEditais[Encerramento],MATCH(tItens[[#This Row],[Edital]],tEditais[Edital],0)),"")</f>
        <v>46308.375</v>
      </c>
      <c r="J5503" t="str">
        <f>IFERROR(INDEX(tProdutos[Classe],MATCH(tItens[[#This Row],[Produto]],tProdutos[Produto],0)),"produto não cadastrado")</f>
        <v>FORA</v>
      </c>
      <c r="K5503" s="12">
        <f>tItens[[#This Row],[Qtd]]*tItens[[#This Row],[Vlr unit]]</f>
        <v>6126</v>
      </c>
      <c r="L5503" s="6">
        <f>IFERROR(IF(INDEX(tProdutos[Desconto homologado],MATCH(tItens[[#This Row],[Produto]],tProdutos[Produto],0))="",DescontoPadrao,INDEX(tProdutos[Desconto homologado],MATCH(tItens[[#This Row],[Produto]],tProdutos[Produto],0))),DescontoPadrao)</f>
        <v>0.40540540540540498</v>
      </c>
      <c r="M5503" s="12">
        <f>tItens[[#This Row],[Valor]]*(1-tItens[[#This Row],[Desconto]])</f>
        <v>3642.4864864864885</v>
      </c>
      <c r="N5503" t="str">
        <f>IFERROR(INDEX(tProdutos[Foco],MATCH(tItens[[#This Row],[Produto]],tProdutos[Produto],0)),"Não")</f>
        <v>Não</v>
      </c>
      <c r="O5503" t="str">
        <f>IFERROR(INDEX(tEditais[SRP],MATCH(tItens[[#This Row],[Edital]],tEditais[Edital],0)),"Não")</f>
        <v>Não</v>
      </c>
      <c r="P5503" s="4">
        <f>IF(COUNTIFS(INDEX(tItens[Edital],1):tItens[[#This Row],[Edital]],tItens[[#This Row],[Edital]],INDEX(tItens[Produto],1):tItens[[#This Row],[Produto]],tItens[[#This Row],[Produto]])=1,1,0)</f>
        <v>1</v>
      </c>
    </row>
    <row r="5504" spans="1:16" x14ac:dyDescent="0.25">
      <c r="A5504" t="s">
        <v>2028</v>
      </c>
      <c r="B5504">
        <v>200</v>
      </c>
      <c r="C5504" t="s">
        <v>8297</v>
      </c>
      <c r="D5504" t="s">
        <v>265</v>
      </c>
      <c r="E5504" s="13">
        <v>200</v>
      </c>
      <c r="F5504" s="12">
        <v>35.43</v>
      </c>
      <c r="G5504" t="str">
        <f>IFERROR(INDEX(tEditais[Órgão],MATCH(tItens[[#This Row],[Edital]],tEditais[Edital],0)),"")</f>
        <v>MUNICIPIO DE IMBAU</v>
      </c>
      <c r="H5504" t="str">
        <f>IFERROR(INDEX(tEditais[UF],MATCH(tItens[[#This Row],[Edital]],tEditais[Edital],0)),"")</f>
        <v>PR</v>
      </c>
      <c r="I5504" s="11">
        <f>IFERROR(INDEX(tEditais[Encerramento],MATCH(tItens[[#This Row],[Edital]],tEditais[Edital],0)),"")</f>
        <v>46308.375</v>
      </c>
      <c r="J5504" t="str">
        <f>IFERROR(INDEX(tProdutos[Classe],MATCH(tItens[[#This Row],[Produto]],tProdutos[Produto],0)),"produto não cadastrado")</f>
        <v>DISPUTADO</v>
      </c>
      <c r="K5504" s="12">
        <f>tItens[[#This Row],[Qtd]]*tItens[[#This Row],[Vlr unit]]</f>
        <v>7086</v>
      </c>
      <c r="L5504" s="6">
        <f>IFERROR(IF(INDEX(tProdutos[Desconto homologado],MATCH(tItens[[#This Row],[Produto]],tProdutos[Produto],0))="",DescontoPadrao,INDEX(tProdutos[Desconto homologado],MATCH(tItens[[#This Row],[Produto]],tProdutos[Produto],0))),DescontoPadrao)</f>
        <v>0.377587663709337</v>
      </c>
      <c r="M5504" s="12">
        <f>tItens[[#This Row],[Valor]]*(1-tItens[[#This Row],[Desconto]])</f>
        <v>4410.4138149556384</v>
      </c>
      <c r="N5504" t="str">
        <f>IFERROR(INDEX(tProdutos[Foco],MATCH(tItens[[#This Row],[Produto]],tProdutos[Produto],0)),"Não")</f>
        <v>Não</v>
      </c>
      <c r="O5504" t="str">
        <f>IFERROR(INDEX(tEditais[SRP],MATCH(tItens[[#This Row],[Edital]],tEditais[Edital],0)),"Não")</f>
        <v>Não</v>
      </c>
      <c r="P5504" s="4">
        <f>IF(COUNTIFS(INDEX(tItens[Edital],1):tItens[[#This Row],[Edital]],tItens[[#This Row],[Edital]],INDEX(tItens[Produto],1):tItens[[#This Row],[Produto]],tItens[[#This Row],[Produto]])=1,1,0)</f>
        <v>1</v>
      </c>
    </row>
    <row r="5505" spans="1:16" x14ac:dyDescent="0.25">
      <c r="A5505" t="s">
        <v>2028</v>
      </c>
      <c r="B5505">
        <v>201</v>
      </c>
      <c r="C5505" t="s">
        <v>8298</v>
      </c>
      <c r="D5505" t="s">
        <v>281</v>
      </c>
      <c r="E5505" s="13">
        <v>300</v>
      </c>
      <c r="F5505" s="12">
        <v>40.24</v>
      </c>
      <c r="G5505" t="str">
        <f>IFERROR(INDEX(tEditais[Órgão],MATCH(tItens[[#This Row],[Edital]],tEditais[Edital],0)),"")</f>
        <v>MUNICIPIO DE IMBAU</v>
      </c>
      <c r="H5505" t="str">
        <f>IFERROR(INDEX(tEditais[UF],MATCH(tItens[[#This Row],[Edital]],tEditais[Edital],0)),"")</f>
        <v>PR</v>
      </c>
      <c r="I5505" s="11">
        <f>IFERROR(INDEX(tEditais[Encerramento],MATCH(tItens[[#This Row],[Edital]],tEditais[Edital],0)),"")</f>
        <v>46308.375</v>
      </c>
      <c r="J5505" t="str">
        <f>IFERROR(INDEX(tProdutos[Classe],MATCH(tItens[[#This Row],[Produto]],tProdutos[Produto],0)),"produto não cadastrado")</f>
        <v>DISPUTADO</v>
      </c>
      <c r="K5505" s="12">
        <f>tItens[[#This Row],[Qtd]]*tItens[[#This Row],[Vlr unit]]</f>
        <v>12072</v>
      </c>
      <c r="L5505" s="6">
        <f>IFERROR(IF(INDEX(tProdutos[Desconto homologado],MATCH(tItens[[#This Row],[Produto]],tProdutos[Produto],0))="",DescontoPadrao,INDEX(tProdutos[Desconto homologado],MATCH(tItens[[#This Row],[Produto]],tProdutos[Produto],0))),DescontoPadrao)</f>
        <v>0.42461538461538501</v>
      </c>
      <c r="M5505" s="12">
        <f>tItens[[#This Row],[Valor]]*(1-tItens[[#This Row],[Desconto]])</f>
        <v>6946.0430769230716</v>
      </c>
      <c r="N5505" t="str">
        <f>IFERROR(INDEX(tProdutos[Foco],MATCH(tItens[[#This Row],[Produto]],tProdutos[Produto],0)),"Não")</f>
        <v>Não</v>
      </c>
      <c r="O5505" t="str">
        <f>IFERROR(INDEX(tEditais[SRP],MATCH(tItens[[#This Row],[Edital]],tEditais[Edital],0)),"Não")</f>
        <v>Não</v>
      </c>
      <c r="P5505" s="4">
        <f>IF(COUNTIFS(INDEX(tItens[Edital],1):tItens[[#This Row],[Edital]],tItens[[#This Row],[Edital]],INDEX(tItens[Produto],1):tItens[[#This Row],[Produto]],tItens[[#This Row],[Produto]])=1,1,0)</f>
        <v>1</v>
      </c>
    </row>
    <row r="5506" spans="1:16" x14ac:dyDescent="0.25">
      <c r="A5506" t="s">
        <v>2028</v>
      </c>
      <c r="B5506">
        <v>202</v>
      </c>
      <c r="C5506" t="s">
        <v>8299</v>
      </c>
      <c r="D5506" t="s">
        <v>289</v>
      </c>
      <c r="E5506" s="13">
        <v>300</v>
      </c>
      <c r="F5506" s="12">
        <v>45.31</v>
      </c>
      <c r="G5506" t="str">
        <f>IFERROR(INDEX(tEditais[Órgão],MATCH(tItens[[#This Row],[Edital]],tEditais[Edital],0)),"")</f>
        <v>MUNICIPIO DE IMBAU</v>
      </c>
      <c r="H5506" t="str">
        <f>IFERROR(INDEX(tEditais[UF],MATCH(tItens[[#This Row],[Edital]],tEditais[Edital],0)),"")</f>
        <v>PR</v>
      </c>
      <c r="I5506" s="11">
        <f>IFERROR(INDEX(tEditais[Encerramento],MATCH(tItens[[#This Row],[Edital]],tEditais[Edital],0)),"")</f>
        <v>46308.375</v>
      </c>
      <c r="J5506" t="str">
        <f>IFERROR(INDEX(tProdutos[Classe],MATCH(tItens[[#This Row],[Produto]],tProdutos[Produto],0)),"produto não cadastrado")</f>
        <v>DISPUTADO</v>
      </c>
      <c r="K5506" s="12">
        <f>tItens[[#This Row],[Qtd]]*tItens[[#This Row],[Vlr unit]]</f>
        <v>13593</v>
      </c>
      <c r="L5506" s="6">
        <f>IFERROR(IF(INDEX(tProdutos[Desconto homologado],MATCH(tItens[[#This Row],[Produto]],tProdutos[Produto],0))="",DescontoPadrao,INDEX(tProdutos[Desconto homologado],MATCH(tItens[[#This Row],[Produto]],tProdutos[Produto],0))),DescontoPadrao)</f>
        <v>0.35849056603773599</v>
      </c>
      <c r="M5506" s="12">
        <f>tItens[[#This Row],[Valor]]*(1-tItens[[#This Row],[Desconto]])</f>
        <v>8720.037735849055</v>
      </c>
      <c r="N5506" t="str">
        <f>IFERROR(INDEX(tProdutos[Foco],MATCH(tItens[[#This Row],[Produto]],tProdutos[Produto],0)),"Não")</f>
        <v>Não</v>
      </c>
      <c r="O5506" t="str">
        <f>IFERROR(INDEX(tEditais[SRP],MATCH(tItens[[#This Row],[Edital]],tEditais[Edital],0)),"Não")</f>
        <v>Não</v>
      </c>
      <c r="P5506" s="4">
        <f>IF(COUNTIFS(INDEX(tItens[Edital],1):tItens[[#This Row],[Edital]],tItens[[#This Row],[Edital]],INDEX(tItens[Produto],1):tItens[[#This Row],[Produto]],tItens[[#This Row],[Produto]])=1,1,0)</f>
        <v>1</v>
      </c>
    </row>
    <row r="5507" spans="1:16" x14ac:dyDescent="0.25">
      <c r="A5507" t="s">
        <v>2028</v>
      </c>
      <c r="B5507">
        <v>203</v>
      </c>
      <c r="C5507" t="s">
        <v>8300</v>
      </c>
      <c r="D5507" t="s">
        <v>275</v>
      </c>
      <c r="E5507" s="13">
        <v>100</v>
      </c>
      <c r="F5507" s="12">
        <v>53.24</v>
      </c>
      <c r="G5507" t="str">
        <f>IFERROR(INDEX(tEditais[Órgão],MATCH(tItens[[#This Row],[Edital]],tEditais[Edital],0)),"")</f>
        <v>MUNICIPIO DE IMBAU</v>
      </c>
      <c r="H5507" t="str">
        <f>IFERROR(INDEX(tEditais[UF],MATCH(tItens[[#This Row],[Edital]],tEditais[Edital],0)),"")</f>
        <v>PR</v>
      </c>
      <c r="I5507" s="11">
        <f>IFERROR(INDEX(tEditais[Encerramento],MATCH(tItens[[#This Row],[Edital]],tEditais[Edital],0)),"")</f>
        <v>46308.375</v>
      </c>
      <c r="J5507" t="str">
        <f>IFERROR(INDEX(tProdutos[Classe],MATCH(tItens[[#This Row],[Produto]],tProdutos[Produto],0)),"produto não cadastrado")</f>
        <v>FORA</v>
      </c>
      <c r="K5507" s="12">
        <f>tItens[[#This Row],[Qtd]]*tItens[[#This Row],[Vlr unit]]</f>
        <v>5324</v>
      </c>
      <c r="L5507" s="6">
        <f>IFERROR(IF(INDEX(tProdutos[Desconto homologado],MATCH(tItens[[#This Row],[Produto]],tProdutos[Produto],0))="",DescontoPadrao,INDEX(tProdutos[Desconto homologado],MATCH(tItens[[#This Row],[Produto]],tProdutos[Produto],0))),DescontoPadrao)</f>
        <v>0.405797101449275</v>
      </c>
      <c r="M5507" s="12">
        <f>tItens[[#This Row],[Valor]]*(1-tItens[[#This Row],[Desconto]])</f>
        <v>3163.5362318840603</v>
      </c>
      <c r="N5507" t="str">
        <f>IFERROR(INDEX(tProdutos[Foco],MATCH(tItens[[#This Row],[Produto]],tProdutos[Produto],0)),"Não")</f>
        <v>Não</v>
      </c>
      <c r="O5507" t="str">
        <f>IFERROR(INDEX(tEditais[SRP],MATCH(tItens[[#This Row],[Edital]],tEditais[Edital],0)),"Não")</f>
        <v>Não</v>
      </c>
      <c r="P5507" s="4">
        <f>IF(COUNTIFS(INDEX(tItens[Edital],1):tItens[[#This Row],[Edital]],tItens[[#This Row],[Edital]],INDEX(tItens[Produto],1):tItens[[#This Row],[Produto]],tItens[[#This Row],[Produto]])=1,1,0)</f>
        <v>1</v>
      </c>
    </row>
    <row r="5508" spans="1:16" x14ac:dyDescent="0.25">
      <c r="A5508" t="s">
        <v>2028</v>
      </c>
      <c r="B5508">
        <v>216</v>
      </c>
      <c r="C5508" t="s">
        <v>8301</v>
      </c>
      <c r="D5508" t="s">
        <v>110</v>
      </c>
      <c r="E5508" s="13">
        <v>200</v>
      </c>
      <c r="F5508" s="12">
        <v>2.59</v>
      </c>
      <c r="G5508" t="str">
        <f>IFERROR(INDEX(tEditais[Órgão],MATCH(tItens[[#This Row],[Edital]],tEditais[Edital],0)),"")</f>
        <v>MUNICIPIO DE IMBAU</v>
      </c>
      <c r="H5508" t="str">
        <f>IFERROR(INDEX(tEditais[UF],MATCH(tItens[[#This Row],[Edital]],tEditais[Edital],0)),"")</f>
        <v>PR</v>
      </c>
      <c r="I5508" s="11">
        <f>IFERROR(INDEX(tEditais[Encerramento],MATCH(tItens[[#This Row],[Edital]],tEditais[Edital],0)),"")</f>
        <v>46308.375</v>
      </c>
      <c r="J5508" t="str">
        <f>IFERROR(INDEX(tProdutos[Classe],MATCH(tItens[[#This Row],[Produto]],tProdutos[Produto],0)),"produto não cadastrado")</f>
        <v>NÚCLEO</v>
      </c>
      <c r="K5508" s="12">
        <f>tItens[[#This Row],[Qtd]]*tItens[[#This Row],[Vlr unit]]</f>
        <v>518</v>
      </c>
      <c r="L5508" s="6">
        <f>IFERROR(IF(INDEX(tProdutos[Desconto homologado],MATCH(tItens[[#This Row],[Produto]],tProdutos[Produto],0))="",DescontoPadrao,INDEX(tProdutos[Desconto homologado],MATCH(tItens[[#This Row],[Produto]],tProdutos[Produto],0))),DescontoPadrao)</f>
        <v>0.30410958904109597</v>
      </c>
      <c r="M5508" s="12">
        <f>tItens[[#This Row],[Valor]]*(1-tItens[[#This Row],[Desconto]])</f>
        <v>360.47123287671229</v>
      </c>
      <c r="N5508" t="str">
        <f>IFERROR(INDEX(tProdutos[Foco],MATCH(tItens[[#This Row],[Produto]],tProdutos[Produto],0)),"Não")</f>
        <v>Não</v>
      </c>
      <c r="O5508" t="str">
        <f>IFERROR(INDEX(tEditais[SRP],MATCH(tItens[[#This Row],[Edital]],tEditais[Edital],0)),"Não")</f>
        <v>Não</v>
      </c>
      <c r="P5508" s="4">
        <f>IF(COUNTIFS(INDEX(tItens[Edital],1):tItens[[#This Row],[Edital]],tItens[[#This Row],[Edital]],INDEX(tItens[Produto],1):tItens[[#This Row],[Produto]],tItens[[#This Row],[Produto]])=1,1,0)</f>
        <v>1</v>
      </c>
    </row>
    <row r="5509" spans="1:16" x14ac:dyDescent="0.25">
      <c r="A5509" t="s">
        <v>2028</v>
      </c>
      <c r="B5509">
        <v>217</v>
      </c>
      <c r="C5509" t="s">
        <v>8302</v>
      </c>
      <c r="D5509" t="s">
        <v>110</v>
      </c>
      <c r="E5509" s="13">
        <v>200</v>
      </c>
      <c r="F5509" s="12">
        <v>2.81</v>
      </c>
      <c r="G5509" t="str">
        <f>IFERROR(INDEX(tEditais[Órgão],MATCH(tItens[[#This Row],[Edital]],tEditais[Edital],0)),"")</f>
        <v>MUNICIPIO DE IMBAU</v>
      </c>
      <c r="H5509" t="str">
        <f>IFERROR(INDEX(tEditais[UF],MATCH(tItens[[#This Row],[Edital]],tEditais[Edital],0)),"")</f>
        <v>PR</v>
      </c>
      <c r="I5509" s="11">
        <f>IFERROR(INDEX(tEditais[Encerramento],MATCH(tItens[[#This Row],[Edital]],tEditais[Edital],0)),"")</f>
        <v>46308.375</v>
      </c>
      <c r="J5509" t="str">
        <f>IFERROR(INDEX(tProdutos[Classe],MATCH(tItens[[#This Row],[Produto]],tProdutos[Produto],0)),"produto não cadastrado")</f>
        <v>NÚCLEO</v>
      </c>
      <c r="K5509" s="12">
        <f>tItens[[#This Row],[Qtd]]*tItens[[#This Row],[Vlr unit]]</f>
        <v>562</v>
      </c>
      <c r="L5509" s="6">
        <f>IFERROR(IF(INDEX(tProdutos[Desconto homologado],MATCH(tItens[[#This Row],[Produto]],tProdutos[Produto],0))="",DescontoPadrao,INDEX(tProdutos[Desconto homologado],MATCH(tItens[[#This Row],[Produto]],tProdutos[Produto],0))),DescontoPadrao)</f>
        <v>0.30410958904109597</v>
      </c>
      <c r="M5509" s="12">
        <f>tItens[[#This Row],[Valor]]*(1-tItens[[#This Row],[Desconto]])</f>
        <v>391.09041095890404</v>
      </c>
      <c r="N5509" t="str">
        <f>IFERROR(INDEX(tProdutos[Foco],MATCH(tItens[[#This Row],[Produto]],tProdutos[Produto],0)),"Não")</f>
        <v>Não</v>
      </c>
      <c r="O5509" t="str">
        <f>IFERROR(INDEX(tEditais[SRP],MATCH(tItens[[#This Row],[Edital]],tEditais[Edital],0)),"Não")</f>
        <v>Não</v>
      </c>
      <c r="P5509" s="4">
        <f>IF(COUNTIFS(INDEX(tItens[Edital],1):tItens[[#This Row],[Edital]],tItens[[#This Row],[Edital]],INDEX(tItens[Produto],1):tItens[[#This Row],[Produto]],tItens[[#This Row],[Produto]])=1,1,0)</f>
        <v>0</v>
      </c>
    </row>
    <row r="5510" spans="1:16" x14ac:dyDescent="0.25">
      <c r="A5510" t="s">
        <v>2028</v>
      </c>
      <c r="B5510">
        <v>218</v>
      </c>
      <c r="C5510" t="s">
        <v>8303</v>
      </c>
      <c r="D5510" t="s">
        <v>110</v>
      </c>
      <c r="E5510" s="13">
        <v>200</v>
      </c>
      <c r="F5510" s="12">
        <v>2.88</v>
      </c>
      <c r="G5510" t="str">
        <f>IFERROR(INDEX(tEditais[Órgão],MATCH(tItens[[#This Row],[Edital]],tEditais[Edital],0)),"")</f>
        <v>MUNICIPIO DE IMBAU</v>
      </c>
      <c r="H5510" t="str">
        <f>IFERROR(INDEX(tEditais[UF],MATCH(tItens[[#This Row],[Edital]],tEditais[Edital],0)),"")</f>
        <v>PR</v>
      </c>
      <c r="I5510" s="11">
        <f>IFERROR(INDEX(tEditais[Encerramento],MATCH(tItens[[#This Row],[Edital]],tEditais[Edital],0)),"")</f>
        <v>46308.375</v>
      </c>
      <c r="J5510" t="str">
        <f>IFERROR(INDEX(tProdutos[Classe],MATCH(tItens[[#This Row],[Produto]],tProdutos[Produto],0)),"produto não cadastrado")</f>
        <v>NÚCLEO</v>
      </c>
      <c r="K5510" s="12">
        <f>tItens[[#This Row],[Qtd]]*tItens[[#This Row],[Vlr unit]]</f>
        <v>576</v>
      </c>
      <c r="L5510" s="6">
        <f>IFERROR(IF(INDEX(tProdutos[Desconto homologado],MATCH(tItens[[#This Row],[Produto]],tProdutos[Produto],0))="",DescontoPadrao,INDEX(tProdutos[Desconto homologado],MATCH(tItens[[#This Row],[Produto]],tProdutos[Produto],0))),DescontoPadrao)</f>
        <v>0.30410958904109597</v>
      </c>
      <c r="M5510" s="12">
        <f>tItens[[#This Row],[Valor]]*(1-tItens[[#This Row],[Desconto]])</f>
        <v>400.8328767123287</v>
      </c>
      <c r="N5510" t="str">
        <f>IFERROR(INDEX(tProdutos[Foco],MATCH(tItens[[#This Row],[Produto]],tProdutos[Produto],0)),"Não")</f>
        <v>Não</v>
      </c>
      <c r="O5510" t="str">
        <f>IFERROR(INDEX(tEditais[SRP],MATCH(tItens[[#This Row],[Edital]],tEditais[Edital],0)),"Não")</f>
        <v>Não</v>
      </c>
      <c r="P5510" s="4">
        <f>IF(COUNTIFS(INDEX(tItens[Edital],1):tItens[[#This Row],[Edital]],tItens[[#This Row],[Edital]],INDEX(tItens[Produto],1):tItens[[#This Row],[Produto]],tItens[[#This Row],[Produto]])=1,1,0)</f>
        <v>0</v>
      </c>
    </row>
    <row r="5511" spans="1:16" x14ac:dyDescent="0.25">
      <c r="A5511" t="s">
        <v>2028</v>
      </c>
      <c r="B5511">
        <v>219</v>
      </c>
      <c r="C5511" t="s">
        <v>8304</v>
      </c>
      <c r="D5511" t="s">
        <v>110</v>
      </c>
      <c r="E5511" s="13">
        <v>200</v>
      </c>
      <c r="F5511" s="12">
        <v>3.26</v>
      </c>
      <c r="G5511" t="str">
        <f>IFERROR(INDEX(tEditais[Órgão],MATCH(tItens[[#This Row],[Edital]],tEditais[Edital],0)),"")</f>
        <v>MUNICIPIO DE IMBAU</v>
      </c>
      <c r="H5511" t="str">
        <f>IFERROR(INDEX(tEditais[UF],MATCH(tItens[[#This Row],[Edital]],tEditais[Edital],0)),"")</f>
        <v>PR</v>
      </c>
      <c r="I5511" s="11">
        <f>IFERROR(INDEX(tEditais[Encerramento],MATCH(tItens[[#This Row],[Edital]],tEditais[Edital],0)),"")</f>
        <v>46308.375</v>
      </c>
      <c r="J5511" t="str">
        <f>IFERROR(INDEX(tProdutos[Classe],MATCH(tItens[[#This Row],[Produto]],tProdutos[Produto],0)),"produto não cadastrado")</f>
        <v>NÚCLEO</v>
      </c>
      <c r="K5511" s="12">
        <f>tItens[[#This Row],[Qtd]]*tItens[[#This Row],[Vlr unit]]</f>
        <v>652</v>
      </c>
      <c r="L5511" s="6">
        <f>IFERROR(IF(INDEX(tProdutos[Desconto homologado],MATCH(tItens[[#This Row],[Produto]],tProdutos[Produto],0))="",DescontoPadrao,INDEX(tProdutos[Desconto homologado],MATCH(tItens[[#This Row],[Produto]],tProdutos[Produto],0))),DescontoPadrao)</f>
        <v>0.30410958904109597</v>
      </c>
      <c r="M5511" s="12">
        <f>tItens[[#This Row],[Valor]]*(1-tItens[[#This Row],[Desconto]])</f>
        <v>453.72054794520545</v>
      </c>
      <c r="N5511" t="str">
        <f>IFERROR(INDEX(tProdutos[Foco],MATCH(tItens[[#This Row],[Produto]],tProdutos[Produto],0)),"Não")</f>
        <v>Não</v>
      </c>
      <c r="O5511" t="str">
        <f>IFERROR(INDEX(tEditais[SRP],MATCH(tItens[[#This Row],[Edital]],tEditais[Edital],0)),"Não")</f>
        <v>Não</v>
      </c>
      <c r="P5511" s="4">
        <f>IF(COUNTIFS(INDEX(tItens[Edital],1):tItens[[#This Row],[Edital]],tItens[[#This Row],[Edital]],INDEX(tItens[Produto],1):tItens[[#This Row],[Produto]],tItens[[#This Row],[Produto]])=1,1,0)</f>
        <v>0</v>
      </c>
    </row>
    <row r="5512" spans="1:16" x14ac:dyDescent="0.25">
      <c r="A5512" t="s">
        <v>2028</v>
      </c>
      <c r="B5512">
        <v>220</v>
      </c>
      <c r="C5512" t="s">
        <v>8305</v>
      </c>
      <c r="D5512" t="s">
        <v>110</v>
      </c>
      <c r="E5512" s="13">
        <v>200</v>
      </c>
      <c r="F5512" s="12">
        <v>3.55</v>
      </c>
      <c r="G5512" t="str">
        <f>IFERROR(INDEX(tEditais[Órgão],MATCH(tItens[[#This Row],[Edital]],tEditais[Edital],0)),"")</f>
        <v>MUNICIPIO DE IMBAU</v>
      </c>
      <c r="H5512" t="str">
        <f>IFERROR(INDEX(tEditais[UF],MATCH(tItens[[#This Row],[Edital]],tEditais[Edital],0)),"")</f>
        <v>PR</v>
      </c>
      <c r="I5512" s="11">
        <f>IFERROR(INDEX(tEditais[Encerramento],MATCH(tItens[[#This Row],[Edital]],tEditais[Edital],0)),"")</f>
        <v>46308.375</v>
      </c>
      <c r="J5512" t="str">
        <f>IFERROR(INDEX(tProdutos[Classe],MATCH(tItens[[#This Row],[Produto]],tProdutos[Produto],0)),"produto não cadastrado")</f>
        <v>NÚCLEO</v>
      </c>
      <c r="K5512" s="12">
        <f>tItens[[#This Row],[Qtd]]*tItens[[#This Row],[Vlr unit]]</f>
        <v>710</v>
      </c>
      <c r="L5512" s="6">
        <f>IFERROR(IF(INDEX(tProdutos[Desconto homologado],MATCH(tItens[[#This Row],[Produto]],tProdutos[Produto],0))="",DescontoPadrao,INDEX(tProdutos[Desconto homologado],MATCH(tItens[[#This Row],[Produto]],tProdutos[Produto],0))),DescontoPadrao)</f>
        <v>0.30410958904109597</v>
      </c>
      <c r="M5512" s="12">
        <f>tItens[[#This Row],[Valor]]*(1-tItens[[#This Row],[Desconto]])</f>
        <v>494.08219178082186</v>
      </c>
      <c r="N5512" t="str">
        <f>IFERROR(INDEX(tProdutos[Foco],MATCH(tItens[[#This Row],[Produto]],tProdutos[Produto],0)),"Não")</f>
        <v>Não</v>
      </c>
      <c r="O5512" t="str">
        <f>IFERROR(INDEX(tEditais[SRP],MATCH(tItens[[#This Row],[Edital]],tEditais[Edital],0)),"Não")</f>
        <v>Não</v>
      </c>
      <c r="P5512" s="4">
        <f>IF(COUNTIFS(INDEX(tItens[Edital],1):tItens[[#This Row],[Edital]],tItens[[#This Row],[Edital]],INDEX(tItens[Produto],1):tItens[[#This Row],[Produto]],tItens[[#This Row],[Produto]])=1,1,0)</f>
        <v>0</v>
      </c>
    </row>
    <row r="5513" spans="1:16" x14ac:dyDescent="0.25">
      <c r="A5513" t="s">
        <v>2028</v>
      </c>
      <c r="B5513">
        <v>221</v>
      </c>
      <c r="C5513" t="s">
        <v>8306</v>
      </c>
      <c r="D5513" t="s">
        <v>110</v>
      </c>
      <c r="E5513" s="13">
        <v>200</v>
      </c>
      <c r="F5513" s="12">
        <v>3.29</v>
      </c>
      <c r="G5513" t="str">
        <f>IFERROR(INDEX(tEditais[Órgão],MATCH(tItens[[#This Row],[Edital]],tEditais[Edital],0)),"")</f>
        <v>MUNICIPIO DE IMBAU</v>
      </c>
      <c r="H5513" t="str">
        <f>IFERROR(INDEX(tEditais[UF],MATCH(tItens[[#This Row],[Edital]],tEditais[Edital],0)),"")</f>
        <v>PR</v>
      </c>
      <c r="I5513" s="11">
        <f>IFERROR(INDEX(tEditais[Encerramento],MATCH(tItens[[#This Row],[Edital]],tEditais[Edital],0)),"")</f>
        <v>46308.375</v>
      </c>
      <c r="J5513" t="str">
        <f>IFERROR(INDEX(tProdutos[Classe],MATCH(tItens[[#This Row],[Produto]],tProdutos[Produto],0)),"produto não cadastrado")</f>
        <v>NÚCLEO</v>
      </c>
      <c r="K5513" s="12">
        <f>tItens[[#This Row],[Qtd]]*tItens[[#This Row],[Vlr unit]]</f>
        <v>658</v>
      </c>
      <c r="L5513" s="6">
        <f>IFERROR(IF(INDEX(tProdutos[Desconto homologado],MATCH(tItens[[#This Row],[Produto]],tProdutos[Produto],0))="",DescontoPadrao,INDEX(tProdutos[Desconto homologado],MATCH(tItens[[#This Row],[Produto]],tProdutos[Produto],0))),DescontoPadrao)</f>
        <v>0.30410958904109597</v>
      </c>
      <c r="M5513" s="12">
        <f>tItens[[#This Row],[Valor]]*(1-tItens[[#This Row],[Desconto]])</f>
        <v>457.89589041095883</v>
      </c>
      <c r="N5513" t="str">
        <f>IFERROR(INDEX(tProdutos[Foco],MATCH(tItens[[#This Row],[Produto]],tProdutos[Produto],0)),"Não")</f>
        <v>Não</v>
      </c>
      <c r="O5513" t="str">
        <f>IFERROR(INDEX(tEditais[SRP],MATCH(tItens[[#This Row],[Edital]],tEditais[Edital],0)),"Não")</f>
        <v>Não</v>
      </c>
      <c r="P5513" s="4">
        <f>IF(COUNTIFS(INDEX(tItens[Edital],1):tItens[[#This Row],[Edital]],tItens[[#This Row],[Edital]],INDEX(tItens[Produto],1):tItens[[#This Row],[Produto]],tItens[[#This Row],[Produto]])=1,1,0)</f>
        <v>0</v>
      </c>
    </row>
    <row r="5514" spans="1:16" x14ac:dyDescent="0.25">
      <c r="A5514" t="s">
        <v>2028</v>
      </c>
      <c r="B5514">
        <v>222</v>
      </c>
      <c r="C5514" t="s">
        <v>8307</v>
      </c>
      <c r="D5514" t="s">
        <v>110</v>
      </c>
      <c r="E5514" s="13">
        <v>100</v>
      </c>
      <c r="F5514" s="12">
        <v>2.09</v>
      </c>
      <c r="G5514" t="str">
        <f>IFERROR(INDEX(tEditais[Órgão],MATCH(tItens[[#This Row],[Edital]],tEditais[Edital],0)),"")</f>
        <v>MUNICIPIO DE IMBAU</v>
      </c>
      <c r="H5514" t="str">
        <f>IFERROR(INDEX(tEditais[UF],MATCH(tItens[[#This Row],[Edital]],tEditais[Edital],0)),"")</f>
        <v>PR</v>
      </c>
      <c r="I5514" s="11">
        <f>IFERROR(INDEX(tEditais[Encerramento],MATCH(tItens[[#This Row],[Edital]],tEditais[Edital],0)),"")</f>
        <v>46308.375</v>
      </c>
      <c r="J5514" t="str">
        <f>IFERROR(INDEX(tProdutos[Classe],MATCH(tItens[[#This Row],[Produto]],tProdutos[Produto],0)),"produto não cadastrado")</f>
        <v>NÚCLEO</v>
      </c>
      <c r="K5514" s="12">
        <f>tItens[[#This Row],[Qtd]]*tItens[[#This Row],[Vlr unit]]</f>
        <v>209</v>
      </c>
      <c r="L5514" s="6">
        <f>IFERROR(IF(INDEX(tProdutos[Desconto homologado],MATCH(tItens[[#This Row],[Produto]],tProdutos[Produto],0))="",DescontoPadrao,INDEX(tProdutos[Desconto homologado],MATCH(tItens[[#This Row],[Produto]],tProdutos[Produto],0))),DescontoPadrao)</f>
        <v>0.30410958904109597</v>
      </c>
      <c r="M5514" s="12">
        <f>tItens[[#This Row],[Valor]]*(1-tItens[[#This Row],[Desconto]])</f>
        <v>145.44109589041093</v>
      </c>
      <c r="N5514" t="str">
        <f>IFERROR(INDEX(tProdutos[Foco],MATCH(tItens[[#This Row],[Produto]],tProdutos[Produto],0)),"Não")</f>
        <v>Não</v>
      </c>
      <c r="O5514" t="str">
        <f>IFERROR(INDEX(tEditais[SRP],MATCH(tItens[[#This Row],[Edital]],tEditais[Edital],0)),"Não")</f>
        <v>Não</v>
      </c>
      <c r="P5514" s="4">
        <f>IF(COUNTIFS(INDEX(tItens[Edital],1):tItens[[#This Row],[Edital]],tItens[[#This Row],[Edital]],INDEX(tItens[Produto],1):tItens[[#This Row],[Produto]],tItens[[#This Row],[Produto]])=1,1,0)</f>
        <v>0</v>
      </c>
    </row>
    <row r="5515" spans="1:16" x14ac:dyDescent="0.25">
      <c r="A5515" t="s">
        <v>2028</v>
      </c>
      <c r="B5515">
        <v>223</v>
      </c>
      <c r="C5515" t="s">
        <v>8308</v>
      </c>
      <c r="D5515" t="s">
        <v>110</v>
      </c>
      <c r="E5515" s="13">
        <v>100</v>
      </c>
      <c r="F5515" s="12">
        <v>2.2400000000000002</v>
      </c>
      <c r="G5515" t="str">
        <f>IFERROR(INDEX(tEditais[Órgão],MATCH(tItens[[#This Row],[Edital]],tEditais[Edital],0)),"")</f>
        <v>MUNICIPIO DE IMBAU</v>
      </c>
      <c r="H5515" t="str">
        <f>IFERROR(INDEX(tEditais[UF],MATCH(tItens[[#This Row],[Edital]],tEditais[Edital],0)),"")</f>
        <v>PR</v>
      </c>
      <c r="I5515" s="11">
        <f>IFERROR(INDEX(tEditais[Encerramento],MATCH(tItens[[#This Row],[Edital]],tEditais[Edital],0)),"")</f>
        <v>46308.375</v>
      </c>
      <c r="J5515" t="str">
        <f>IFERROR(INDEX(tProdutos[Classe],MATCH(tItens[[#This Row],[Produto]],tProdutos[Produto],0)),"produto não cadastrado")</f>
        <v>NÚCLEO</v>
      </c>
      <c r="K5515" s="12">
        <f>tItens[[#This Row],[Qtd]]*tItens[[#This Row],[Vlr unit]]</f>
        <v>224.00000000000003</v>
      </c>
      <c r="L5515" s="6">
        <f>IFERROR(IF(INDEX(tProdutos[Desconto homologado],MATCH(tItens[[#This Row],[Produto]],tProdutos[Produto],0))="",DescontoPadrao,INDEX(tProdutos[Desconto homologado],MATCH(tItens[[#This Row],[Produto]],tProdutos[Produto],0))),DescontoPadrao)</f>
        <v>0.30410958904109597</v>
      </c>
      <c r="M5515" s="12">
        <f>tItens[[#This Row],[Valor]]*(1-tItens[[#This Row],[Desconto]])</f>
        <v>155.87945205479451</v>
      </c>
      <c r="N5515" t="str">
        <f>IFERROR(INDEX(tProdutos[Foco],MATCH(tItens[[#This Row],[Produto]],tProdutos[Produto],0)),"Não")</f>
        <v>Não</v>
      </c>
      <c r="O5515" t="str">
        <f>IFERROR(INDEX(tEditais[SRP],MATCH(tItens[[#This Row],[Edital]],tEditais[Edital],0)),"Não")</f>
        <v>Não</v>
      </c>
      <c r="P5515" s="4">
        <f>IF(COUNTIFS(INDEX(tItens[Edital],1):tItens[[#This Row],[Edital]],tItens[[#This Row],[Edital]],INDEX(tItens[Produto],1):tItens[[#This Row],[Produto]],tItens[[#This Row],[Produto]])=1,1,0)</f>
        <v>0</v>
      </c>
    </row>
    <row r="5516" spans="1:16" x14ac:dyDescent="0.25">
      <c r="A5516" t="s">
        <v>2028</v>
      </c>
      <c r="B5516">
        <v>224</v>
      </c>
      <c r="C5516" t="s">
        <v>8309</v>
      </c>
      <c r="D5516" t="s">
        <v>110</v>
      </c>
      <c r="E5516" s="13">
        <v>100</v>
      </c>
      <c r="F5516" s="12">
        <v>2.4</v>
      </c>
      <c r="G5516" t="str">
        <f>IFERROR(INDEX(tEditais[Órgão],MATCH(tItens[[#This Row],[Edital]],tEditais[Edital],0)),"")</f>
        <v>MUNICIPIO DE IMBAU</v>
      </c>
      <c r="H5516" t="str">
        <f>IFERROR(INDEX(tEditais[UF],MATCH(tItens[[#This Row],[Edital]],tEditais[Edital],0)),"")</f>
        <v>PR</v>
      </c>
      <c r="I5516" s="11">
        <f>IFERROR(INDEX(tEditais[Encerramento],MATCH(tItens[[#This Row],[Edital]],tEditais[Edital],0)),"")</f>
        <v>46308.375</v>
      </c>
      <c r="J5516" t="str">
        <f>IFERROR(INDEX(tProdutos[Classe],MATCH(tItens[[#This Row],[Produto]],tProdutos[Produto],0)),"produto não cadastrado")</f>
        <v>NÚCLEO</v>
      </c>
      <c r="K5516" s="12">
        <f>tItens[[#This Row],[Qtd]]*tItens[[#This Row],[Vlr unit]]</f>
        <v>240</v>
      </c>
      <c r="L5516" s="6">
        <f>IFERROR(IF(INDEX(tProdutos[Desconto homologado],MATCH(tItens[[#This Row],[Produto]],tProdutos[Produto],0))="",DescontoPadrao,INDEX(tProdutos[Desconto homologado],MATCH(tItens[[#This Row],[Produto]],tProdutos[Produto],0))),DescontoPadrao)</f>
        <v>0.30410958904109597</v>
      </c>
      <c r="M5516" s="12">
        <f>tItens[[#This Row],[Valor]]*(1-tItens[[#This Row],[Desconto]])</f>
        <v>167.01369863013696</v>
      </c>
      <c r="N5516" t="str">
        <f>IFERROR(INDEX(tProdutos[Foco],MATCH(tItens[[#This Row],[Produto]],tProdutos[Produto],0)),"Não")</f>
        <v>Não</v>
      </c>
      <c r="O5516" t="str">
        <f>IFERROR(INDEX(tEditais[SRP],MATCH(tItens[[#This Row],[Edital]],tEditais[Edital],0)),"Não")</f>
        <v>Não</v>
      </c>
      <c r="P5516" s="4">
        <f>IF(COUNTIFS(INDEX(tItens[Edital],1):tItens[[#This Row],[Edital]],tItens[[#This Row],[Edital]],INDEX(tItens[Produto],1):tItens[[#This Row],[Produto]],tItens[[#This Row],[Produto]])=1,1,0)</f>
        <v>0</v>
      </c>
    </row>
    <row r="5517" spans="1:16" x14ac:dyDescent="0.25">
      <c r="A5517" t="s">
        <v>2028</v>
      </c>
      <c r="B5517">
        <v>225</v>
      </c>
      <c r="C5517" t="s">
        <v>8310</v>
      </c>
      <c r="D5517" t="s">
        <v>120</v>
      </c>
      <c r="E5517" s="13">
        <v>100</v>
      </c>
      <c r="F5517" s="12">
        <v>4.8899999999999997</v>
      </c>
      <c r="G5517" t="str">
        <f>IFERROR(INDEX(tEditais[Órgão],MATCH(tItens[[#This Row],[Edital]],tEditais[Edital],0)),"")</f>
        <v>MUNICIPIO DE IMBAU</v>
      </c>
      <c r="H5517" t="str">
        <f>IFERROR(INDEX(tEditais[UF],MATCH(tItens[[#This Row],[Edital]],tEditais[Edital],0)),"")</f>
        <v>PR</v>
      </c>
      <c r="I5517" s="11">
        <f>IFERROR(INDEX(tEditais[Encerramento],MATCH(tItens[[#This Row],[Edital]],tEditais[Edital],0)),"")</f>
        <v>46308.375</v>
      </c>
      <c r="J5517" t="str">
        <f>IFERROR(INDEX(tProdutos[Classe],MATCH(tItens[[#This Row],[Produto]],tProdutos[Produto],0)),"produto não cadastrado")</f>
        <v>DISPUTADO</v>
      </c>
      <c r="K5517" s="12">
        <f>tItens[[#This Row],[Qtd]]*tItens[[#This Row],[Vlr unit]]</f>
        <v>488.99999999999994</v>
      </c>
      <c r="L5517" s="6">
        <f>IFERROR(IF(INDEX(tProdutos[Desconto homologado],MATCH(tItens[[#This Row],[Produto]],tProdutos[Produto],0))="",DescontoPadrao,INDEX(tProdutos[Desconto homologado],MATCH(tItens[[#This Row],[Produto]],tProdutos[Produto],0))),DescontoPadrao)</f>
        <v>0.40909090909090901</v>
      </c>
      <c r="M5517" s="12">
        <f>tItens[[#This Row],[Valor]]*(1-tItens[[#This Row],[Desconto]])</f>
        <v>288.9545454545455</v>
      </c>
      <c r="N5517" t="str">
        <f>IFERROR(INDEX(tProdutos[Foco],MATCH(tItens[[#This Row],[Produto]],tProdutos[Produto],0)),"Não")</f>
        <v>Não</v>
      </c>
      <c r="O5517" t="str">
        <f>IFERROR(INDEX(tEditais[SRP],MATCH(tItens[[#This Row],[Edital]],tEditais[Edital],0)),"Não")</f>
        <v>Não</v>
      </c>
      <c r="P5517" s="4">
        <f>IF(COUNTIFS(INDEX(tItens[Edital],1):tItens[[#This Row],[Edital]],tItens[[#This Row],[Edital]],INDEX(tItens[Produto],1):tItens[[#This Row],[Produto]],tItens[[#This Row],[Produto]])=1,1,0)</f>
        <v>1</v>
      </c>
    </row>
    <row r="5518" spans="1:16" x14ac:dyDescent="0.25">
      <c r="A5518" t="s">
        <v>2028</v>
      </c>
      <c r="B5518">
        <v>226</v>
      </c>
      <c r="C5518" t="s">
        <v>8311</v>
      </c>
      <c r="D5518" t="s">
        <v>120</v>
      </c>
      <c r="E5518" s="13">
        <v>100</v>
      </c>
      <c r="F5518" s="12">
        <v>5.23</v>
      </c>
      <c r="G5518" t="str">
        <f>IFERROR(INDEX(tEditais[Órgão],MATCH(tItens[[#This Row],[Edital]],tEditais[Edital],0)),"")</f>
        <v>MUNICIPIO DE IMBAU</v>
      </c>
      <c r="H5518" t="str">
        <f>IFERROR(INDEX(tEditais[UF],MATCH(tItens[[#This Row],[Edital]],tEditais[Edital],0)),"")</f>
        <v>PR</v>
      </c>
      <c r="I5518" s="11">
        <f>IFERROR(INDEX(tEditais[Encerramento],MATCH(tItens[[#This Row],[Edital]],tEditais[Edital],0)),"")</f>
        <v>46308.375</v>
      </c>
      <c r="J5518" t="str">
        <f>IFERROR(INDEX(tProdutos[Classe],MATCH(tItens[[#This Row],[Produto]],tProdutos[Produto],0)),"produto não cadastrado")</f>
        <v>DISPUTADO</v>
      </c>
      <c r="K5518" s="12">
        <f>tItens[[#This Row],[Qtd]]*tItens[[#This Row],[Vlr unit]]</f>
        <v>523</v>
      </c>
      <c r="L5518" s="6">
        <f>IFERROR(IF(INDEX(tProdutos[Desconto homologado],MATCH(tItens[[#This Row],[Produto]],tProdutos[Produto],0))="",DescontoPadrao,INDEX(tProdutos[Desconto homologado],MATCH(tItens[[#This Row],[Produto]],tProdutos[Produto],0))),DescontoPadrao)</f>
        <v>0.40909090909090901</v>
      </c>
      <c r="M5518" s="12">
        <f>tItens[[#This Row],[Valor]]*(1-tItens[[#This Row],[Desconto]])</f>
        <v>309.04545454545462</v>
      </c>
      <c r="N5518" t="str">
        <f>IFERROR(INDEX(tProdutos[Foco],MATCH(tItens[[#This Row],[Produto]],tProdutos[Produto],0)),"Não")</f>
        <v>Não</v>
      </c>
      <c r="O5518" t="str">
        <f>IFERROR(INDEX(tEditais[SRP],MATCH(tItens[[#This Row],[Edital]],tEditais[Edital],0)),"Não")</f>
        <v>Não</v>
      </c>
      <c r="P5518" s="4">
        <f>IF(COUNTIFS(INDEX(tItens[Edital],1):tItens[[#This Row],[Edital]],tItens[[#This Row],[Edital]],INDEX(tItens[Produto],1):tItens[[#This Row],[Produto]],tItens[[#This Row],[Produto]])=1,1,0)</f>
        <v>0</v>
      </c>
    </row>
    <row r="5519" spans="1:16" x14ac:dyDescent="0.25">
      <c r="A5519" t="s">
        <v>2028</v>
      </c>
      <c r="B5519">
        <v>227</v>
      </c>
      <c r="C5519" t="s">
        <v>8312</v>
      </c>
      <c r="D5519" t="s">
        <v>120</v>
      </c>
      <c r="E5519" s="13">
        <v>100</v>
      </c>
      <c r="F5519" s="12">
        <v>5.54</v>
      </c>
      <c r="G5519" t="str">
        <f>IFERROR(INDEX(tEditais[Órgão],MATCH(tItens[[#This Row],[Edital]],tEditais[Edital],0)),"")</f>
        <v>MUNICIPIO DE IMBAU</v>
      </c>
      <c r="H5519" t="str">
        <f>IFERROR(INDEX(tEditais[UF],MATCH(tItens[[#This Row],[Edital]],tEditais[Edital],0)),"")</f>
        <v>PR</v>
      </c>
      <c r="I5519" s="11">
        <f>IFERROR(INDEX(tEditais[Encerramento],MATCH(tItens[[#This Row],[Edital]],tEditais[Edital],0)),"")</f>
        <v>46308.375</v>
      </c>
      <c r="J5519" t="str">
        <f>IFERROR(INDEX(tProdutos[Classe],MATCH(tItens[[#This Row],[Produto]],tProdutos[Produto],0)),"produto não cadastrado")</f>
        <v>DISPUTADO</v>
      </c>
      <c r="K5519" s="12">
        <f>tItens[[#This Row],[Qtd]]*tItens[[#This Row],[Vlr unit]]</f>
        <v>554</v>
      </c>
      <c r="L5519" s="6">
        <f>IFERROR(IF(INDEX(tProdutos[Desconto homologado],MATCH(tItens[[#This Row],[Produto]],tProdutos[Produto],0))="",DescontoPadrao,INDEX(tProdutos[Desconto homologado],MATCH(tItens[[#This Row],[Produto]],tProdutos[Produto],0))),DescontoPadrao)</f>
        <v>0.40909090909090901</v>
      </c>
      <c r="M5519" s="12">
        <f>tItens[[#This Row],[Valor]]*(1-tItens[[#This Row],[Desconto]])</f>
        <v>327.36363636363643</v>
      </c>
      <c r="N5519" t="str">
        <f>IFERROR(INDEX(tProdutos[Foco],MATCH(tItens[[#This Row],[Produto]],tProdutos[Produto],0)),"Não")</f>
        <v>Não</v>
      </c>
      <c r="O5519" t="str">
        <f>IFERROR(INDEX(tEditais[SRP],MATCH(tItens[[#This Row],[Edital]],tEditais[Edital],0)),"Não")</f>
        <v>Não</v>
      </c>
      <c r="P5519" s="4">
        <f>IF(COUNTIFS(INDEX(tItens[Edital],1):tItens[[#This Row],[Edital]],tItens[[#This Row],[Edital]],INDEX(tItens[Produto],1):tItens[[#This Row],[Produto]],tItens[[#This Row],[Produto]])=1,1,0)</f>
        <v>0</v>
      </c>
    </row>
    <row r="5520" spans="1:16" x14ac:dyDescent="0.25">
      <c r="A5520" t="s">
        <v>2028</v>
      </c>
      <c r="B5520">
        <v>228</v>
      </c>
      <c r="C5520" t="s">
        <v>8313</v>
      </c>
      <c r="D5520" t="s">
        <v>120</v>
      </c>
      <c r="E5520" s="13">
        <v>200</v>
      </c>
      <c r="F5520" s="12">
        <v>5.88</v>
      </c>
      <c r="G5520" t="str">
        <f>IFERROR(INDEX(tEditais[Órgão],MATCH(tItens[[#This Row],[Edital]],tEditais[Edital],0)),"")</f>
        <v>MUNICIPIO DE IMBAU</v>
      </c>
      <c r="H5520" t="str">
        <f>IFERROR(INDEX(tEditais[UF],MATCH(tItens[[#This Row],[Edital]],tEditais[Edital],0)),"")</f>
        <v>PR</v>
      </c>
      <c r="I5520" s="11">
        <f>IFERROR(INDEX(tEditais[Encerramento],MATCH(tItens[[#This Row],[Edital]],tEditais[Edital],0)),"")</f>
        <v>46308.375</v>
      </c>
      <c r="J5520" t="str">
        <f>IFERROR(INDEX(tProdutos[Classe],MATCH(tItens[[#This Row],[Produto]],tProdutos[Produto],0)),"produto não cadastrado")</f>
        <v>DISPUTADO</v>
      </c>
      <c r="K5520" s="12">
        <f>tItens[[#This Row],[Qtd]]*tItens[[#This Row],[Vlr unit]]</f>
        <v>1176</v>
      </c>
      <c r="L5520" s="6">
        <f>IFERROR(IF(INDEX(tProdutos[Desconto homologado],MATCH(tItens[[#This Row],[Produto]],tProdutos[Produto],0))="",DescontoPadrao,INDEX(tProdutos[Desconto homologado],MATCH(tItens[[#This Row],[Produto]],tProdutos[Produto],0))),DescontoPadrao)</f>
        <v>0.40909090909090901</v>
      </c>
      <c r="M5520" s="12">
        <f>tItens[[#This Row],[Valor]]*(1-tItens[[#This Row],[Desconto]])</f>
        <v>694.90909090909111</v>
      </c>
      <c r="N5520" t="str">
        <f>IFERROR(INDEX(tProdutos[Foco],MATCH(tItens[[#This Row],[Produto]],tProdutos[Produto],0)),"Não")</f>
        <v>Não</v>
      </c>
      <c r="O5520" t="str">
        <f>IFERROR(INDEX(tEditais[SRP],MATCH(tItens[[#This Row],[Edital]],tEditais[Edital],0)),"Não")</f>
        <v>Não</v>
      </c>
      <c r="P5520" s="4">
        <f>IF(COUNTIFS(INDEX(tItens[Edital],1):tItens[[#This Row],[Edital]],tItens[[#This Row],[Edital]],INDEX(tItens[Produto],1):tItens[[#This Row],[Produto]],tItens[[#This Row],[Produto]])=1,1,0)</f>
        <v>0</v>
      </c>
    </row>
    <row r="5521" spans="1:16" x14ac:dyDescent="0.25">
      <c r="A5521" t="s">
        <v>2028</v>
      </c>
      <c r="B5521">
        <v>229</v>
      </c>
      <c r="C5521" t="s">
        <v>8314</v>
      </c>
      <c r="D5521" t="s">
        <v>120</v>
      </c>
      <c r="E5521" s="13">
        <v>3000</v>
      </c>
      <c r="F5521" s="12">
        <v>2.92</v>
      </c>
      <c r="G5521" t="str">
        <f>IFERROR(INDEX(tEditais[Órgão],MATCH(tItens[[#This Row],[Edital]],tEditais[Edital],0)),"")</f>
        <v>MUNICIPIO DE IMBAU</v>
      </c>
      <c r="H5521" t="str">
        <f>IFERROR(INDEX(tEditais[UF],MATCH(tItens[[#This Row],[Edital]],tEditais[Edital],0)),"")</f>
        <v>PR</v>
      </c>
      <c r="I5521" s="11">
        <f>IFERROR(INDEX(tEditais[Encerramento],MATCH(tItens[[#This Row],[Edital]],tEditais[Edital],0)),"")</f>
        <v>46308.375</v>
      </c>
      <c r="J5521" t="str">
        <f>IFERROR(INDEX(tProdutos[Classe],MATCH(tItens[[#This Row],[Produto]],tProdutos[Produto],0)),"produto não cadastrado")</f>
        <v>DISPUTADO</v>
      </c>
      <c r="K5521" s="12">
        <f>tItens[[#This Row],[Qtd]]*tItens[[#This Row],[Vlr unit]]</f>
        <v>8760</v>
      </c>
      <c r="L5521" s="6">
        <f>IFERROR(IF(INDEX(tProdutos[Desconto homologado],MATCH(tItens[[#This Row],[Produto]],tProdutos[Produto],0))="",DescontoPadrao,INDEX(tProdutos[Desconto homologado],MATCH(tItens[[#This Row],[Produto]],tProdutos[Produto],0))),DescontoPadrao)</f>
        <v>0.40909090909090901</v>
      </c>
      <c r="M5521" s="12">
        <f>tItens[[#This Row],[Valor]]*(1-tItens[[#This Row],[Desconto]])</f>
        <v>5176.3636363636379</v>
      </c>
      <c r="N5521" t="str">
        <f>IFERROR(INDEX(tProdutos[Foco],MATCH(tItens[[#This Row],[Produto]],tProdutos[Produto],0)),"Não")</f>
        <v>Não</v>
      </c>
      <c r="O5521" t="str">
        <f>IFERROR(INDEX(tEditais[SRP],MATCH(tItens[[#This Row],[Edital]],tEditais[Edital],0)),"Não")</f>
        <v>Não</v>
      </c>
      <c r="P5521" s="4">
        <f>IF(COUNTIFS(INDEX(tItens[Edital],1):tItens[[#This Row],[Edital]],tItens[[#This Row],[Edital]],INDEX(tItens[Produto],1):tItens[[#This Row],[Produto]],tItens[[#This Row],[Produto]])=1,1,0)</f>
        <v>0</v>
      </c>
    </row>
    <row r="5522" spans="1:16" x14ac:dyDescent="0.25">
      <c r="A5522" t="s">
        <v>2028</v>
      </c>
      <c r="B5522">
        <v>230</v>
      </c>
      <c r="C5522" t="s">
        <v>8315</v>
      </c>
      <c r="D5522" t="s">
        <v>120</v>
      </c>
      <c r="E5522" s="13">
        <v>200</v>
      </c>
      <c r="F5522" s="12">
        <v>3</v>
      </c>
      <c r="G5522" t="str">
        <f>IFERROR(INDEX(tEditais[Órgão],MATCH(tItens[[#This Row],[Edital]],tEditais[Edital],0)),"")</f>
        <v>MUNICIPIO DE IMBAU</v>
      </c>
      <c r="H5522" t="str">
        <f>IFERROR(INDEX(tEditais[UF],MATCH(tItens[[#This Row],[Edital]],tEditais[Edital],0)),"")</f>
        <v>PR</v>
      </c>
      <c r="I5522" s="11">
        <f>IFERROR(INDEX(tEditais[Encerramento],MATCH(tItens[[#This Row],[Edital]],tEditais[Edital],0)),"")</f>
        <v>46308.375</v>
      </c>
      <c r="J5522" t="str">
        <f>IFERROR(INDEX(tProdutos[Classe],MATCH(tItens[[#This Row],[Produto]],tProdutos[Produto],0)),"produto não cadastrado")</f>
        <v>DISPUTADO</v>
      </c>
      <c r="K5522" s="12">
        <f>tItens[[#This Row],[Qtd]]*tItens[[#This Row],[Vlr unit]]</f>
        <v>600</v>
      </c>
      <c r="L5522" s="6">
        <f>IFERROR(IF(INDEX(tProdutos[Desconto homologado],MATCH(tItens[[#This Row],[Produto]],tProdutos[Produto],0))="",DescontoPadrao,INDEX(tProdutos[Desconto homologado],MATCH(tItens[[#This Row],[Produto]],tProdutos[Produto],0))),DescontoPadrao)</f>
        <v>0.40909090909090901</v>
      </c>
      <c r="M5522" s="12">
        <f>tItens[[#This Row],[Valor]]*(1-tItens[[#This Row],[Desconto]])</f>
        <v>354.54545454545462</v>
      </c>
      <c r="N5522" t="str">
        <f>IFERROR(INDEX(tProdutos[Foco],MATCH(tItens[[#This Row],[Produto]],tProdutos[Produto],0)),"Não")</f>
        <v>Não</v>
      </c>
      <c r="O5522" t="str">
        <f>IFERROR(INDEX(tEditais[SRP],MATCH(tItens[[#This Row],[Edital]],tEditais[Edital],0)),"Não")</f>
        <v>Não</v>
      </c>
      <c r="P5522" s="4">
        <f>IF(COUNTIFS(INDEX(tItens[Edital],1):tItens[[#This Row],[Edital]],tItens[[#This Row],[Edital]],INDEX(tItens[Produto],1):tItens[[#This Row],[Produto]],tItens[[#This Row],[Produto]])=1,1,0)</f>
        <v>0</v>
      </c>
    </row>
    <row r="5523" spans="1:16" x14ac:dyDescent="0.25">
      <c r="A5523" t="s">
        <v>2028</v>
      </c>
      <c r="B5523">
        <v>231</v>
      </c>
      <c r="C5523" t="s">
        <v>8316</v>
      </c>
      <c r="D5523" t="s">
        <v>120</v>
      </c>
      <c r="E5523" s="13">
        <v>200</v>
      </c>
      <c r="F5523" s="12">
        <v>3.2</v>
      </c>
      <c r="G5523" t="str">
        <f>IFERROR(INDEX(tEditais[Órgão],MATCH(tItens[[#This Row],[Edital]],tEditais[Edital],0)),"")</f>
        <v>MUNICIPIO DE IMBAU</v>
      </c>
      <c r="H5523" t="str">
        <f>IFERROR(INDEX(tEditais[UF],MATCH(tItens[[#This Row],[Edital]],tEditais[Edital],0)),"")</f>
        <v>PR</v>
      </c>
      <c r="I5523" s="11">
        <f>IFERROR(INDEX(tEditais[Encerramento],MATCH(tItens[[#This Row],[Edital]],tEditais[Edital],0)),"")</f>
        <v>46308.375</v>
      </c>
      <c r="J5523" t="str">
        <f>IFERROR(INDEX(tProdutos[Classe],MATCH(tItens[[#This Row],[Produto]],tProdutos[Produto],0)),"produto não cadastrado")</f>
        <v>DISPUTADO</v>
      </c>
      <c r="K5523" s="12">
        <f>tItens[[#This Row],[Qtd]]*tItens[[#This Row],[Vlr unit]]</f>
        <v>640</v>
      </c>
      <c r="L5523" s="6">
        <f>IFERROR(IF(INDEX(tProdutos[Desconto homologado],MATCH(tItens[[#This Row],[Produto]],tProdutos[Produto],0))="",DescontoPadrao,INDEX(tProdutos[Desconto homologado],MATCH(tItens[[#This Row],[Produto]],tProdutos[Produto],0))),DescontoPadrao)</f>
        <v>0.40909090909090901</v>
      </c>
      <c r="M5523" s="12">
        <f>tItens[[#This Row],[Valor]]*(1-tItens[[#This Row],[Desconto]])</f>
        <v>378.18181818181824</v>
      </c>
      <c r="N5523" t="str">
        <f>IFERROR(INDEX(tProdutos[Foco],MATCH(tItens[[#This Row],[Produto]],tProdutos[Produto],0)),"Não")</f>
        <v>Não</v>
      </c>
      <c r="O5523" t="str">
        <f>IFERROR(INDEX(tEditais[SRP],MATCH(tItens[[#This Row],[Edital]],tEditais[Edital],0)),"Não")</f>
        <v>Não</v>
      </c>
      <c r="P5523" s="4">
        <f>IF(COUNTIFS(INDEX(tItens[Edital],1):tItens[[#This Row],[Edital]],tItens[[#This Row],[Edital]],INDEX(tItens[Produto],1):tItens[[#This Row],[Produto]],tItens[[#This Row],[Produto]])=1,1,0)</f>
        <v>0</v>
      </c>
    </row>
    <row r="5524" spans="1:16" x14ac:dyDescent="0.25">
      <c r="A5524" t="s">
        <v>2028</v>
      </c>
      <c r="B5524">
        <v>232</v>
      </c>
      <c r="C5524" t="s">
        <v>8317</v>
      </c>
      <c r="D5524" t="s">
        <v>120</v>
      </c>
      <c r="E5524" s="13">
        <v>200</v>
      </c>
      <c r="F5524" s="12">
        <v>3.25</v>
      </c>
      <c r="G5524" t="str">
        <f>IFERROR(INDEX(tEditais[Órgão],MATCH(tItens[[#This Row],[Edital]],tEditais[Edital],0)),"")</f>
        <v>MUNICIPIO DE IMBAU</v>
      </c>
      <c r="H5524" t="str">
        <f>IFERROR(INDEX(tEditais[UF],MATCH(tItens[[#This Row],[Edital]],tEditais[Edital],0)),"")</f>
        <v>PR</v>
      </c>
      <c r="I5524" s="11">
        <f>IFERROR(INDEX(tEditais[Encerramento],MATCH(tItens[[#This Row],[Edital]],tEditais[Edital],0)),"")</f>
        <v>46308.375</v>
      </c>
      <c r="J5524" t="str">
        <f>IFERROR(INDEX(tProdutos[Classe],MATCH(tItens[[#This Row],[Produto]],tProdutos[Produto],0)),"produto não cadastrado")</f>
        <v>DISPUTADO</v>
      </c>
      <c r="K5524" s="12">
        <f>tItens[[#This Row],[Qtd]]*tItens[[#This Row],[Vlr unit]]</f>
        <v>650</v>
      </c>
      <c r="L5524" s="6">
        <f>IFERROR(IF(INDEX(tProdutos[Desconto homologado],MATCH(tItens[[#This Row],[Produto]],tProdutos[Produto],0))="",DescontoPadrao,INDEX(tProdutos[Desconto homologado],MATCH(tItens[[#This Row],[Produto]],tProdutos[Produto],0))),DescontoPadrao)</f>
        <v>0.40909090909090901</v>
      </c>
      <c r="M5524" s="12">
        <f>tItens[[#This Row],[Valor]]*(1-tItens[[#This Row],[Desconto]])</f>
        <v>384.09090909090918</v>
      </c>
      <c r="N5524" t="str">
        <f>IFERROR(INDEX(tProdutos[Foco],MATCH(tItens[[#This Row],[Produto]],tProdutos[Produto],0)),"Não")</f>
        <v>Não</v>
      </c>
      <c r="O5524" t="str">
        <f>IFERROR(INDEX(tEditais[SRP],MATCH(tItens[[#This Row],[Edital]],tEditais[Edital],0)),"Não")</f>
        <v>Não</v>
      </c>
      <c r="P5524" s="4">
        <f>IF(COUNTIFS(INDEX(tItens[Edital],1):tItens[[#This Row],[Edital]],tItens[[#This Row],[Edital]],INDEX(tItens[Produto],1):tItens[[#This Row],[Produto]],tItens[[#This Row],[Produto]])=1,1,0)</f>
        <v>0</v>
      </c>
    </row>
    <row r="5525" spans="1:16" x14ac:dyDescent="0.25">
      <c r="A5525" t="s">
        <v>2028</v>
      </c>
      <c r="B5525">
        <v>233</v>
      </c>
      <c r="C5525" t="s">
        <v>8318</v>
      </c>
      <c r="D5525" t="s">
        <v>120</v>
      </c>
      <c r="E5525" s="13">
        <v>200</v>
      </c>
      <c r="F5525" s="12">
        <v>4.13</v>
      </c>
      <c r="G5525" t="str">
        <f>IFERROR(INDEX(tEditais[Órgão],MATCH(tItens[[#This Row],[Edital]],tEditais[Edital],0)),"")</f>
        <v>MUNICIPIO DE IMBAU</v>
      </c>
      <c r="H5525" t="str">
        <f>IFERROR(INDEX(tEditais[UF],MATCH(tItens[[#This Row],[Edital]],tEditais[Edital],0)),"")</f>
        <v>PR</v>
      </c>
      <c r="I5525" s="11">
        <f>IFERROR(INDEX(tEditais[Encerramento],MATCH(tItens[[#This Row],[Edital]],tEditais[Edital],0)),"")</f>
        <v>46308.375</v>
      </c>
      <c r="J5525" t="str">
        <f>IFERROR(INDEX(tProdutos[Classe],MATCH(tItens[[#This Row],[Produto]],tProdutos[Produto],0)),"produto não cadastrado")</f>
        <v>DISPUTADO</v>
      </c>
      <c r="K5525" s="12">
        <f>tItens[[#This Row],[Qtd]]*tItens[[#This Row],[Vlr unit]]</f>
        <v>826</v>
      </c>
      <c r="L5525" s="6">
        <f>IFERROR(IF(INDEX(tProdutos[Desconto homologado],MATCH(tItens[[#This Row],[Produto]],tProdutos[Produto],0))="",DescontoPadrao,INDEX(tProdutos[Desconto homologado],MATCH(tItens[[#This Row],[Produto]],tProdutos[Produto],0))),DescontoPadrao)</f>
        <v>0.40909090909090901</v>
      </c>
      <c r="M5525" s="12">
        <f>tItens[[#This Row],[Valor]]*(1-tItens[[#This Row],[Desconto]])</f>
        <v>488.09090909090924</v>
      </c>
      <c r="N5525" t="str">
        <f>IFERROR(INDEX(tProdutos[Foco],MATCH(tItens[[#This Row],[Produto]],tProdutos[Produto],0)),"Não")</f>
        <v>Não</v>
      </c>
      <c r="O5525" t="str">
        <f>IFERROR(INDEX(tEditais[SRP],MATCH(tItens[[#This Row],[Edital]],tEditais[Edital],0)),"Não")</f>
        <v>Não</v>
      </c>
      <c r="P5525" s="4">
        <f>IF(COUNTIFS(INDEX(tItens[Edital],1):tItens[[#This Row],[Edital]],tItens[[#This Row],[Edital]],INDEX(tItens[Produto],1):tItens[[#This Row],[Produto]],tItens[[#This Row],[Produto]])=1,1,0)</f>
        <v>0</v>
      </c>
    </row>
    <row r="5526" spans="1:16" x14ac:dyDescent="0.25">
      <c r="A5526" t="s">
        <v>2028</v>
      </c>
      <c r="B5526">
        <v>247</v>
      </c>
      <c r="C5526" t="s">
        <v>8319</v>
      </c>
      <c r="D5526" t="s">
        <v>311</v>
      </c>
      <c r="E5526" s="13">
        <v>20</v>
      </c>
      <c r="F5526" s="12">
        <v>30.34</v>
      </c>
      <c r="G5526" t="str">
        <f>IFERROR(INDEX(tEditais[Órgão],MATCH(tItens[[#This Row],[Edital]],tEditais[Edital],0)),"")</f>
        <v>MUNICIPIO DE IMBAU</v>
      </c>
      <c r="H5526" t="str">
        <f>IFERROR(INDEX(tEditais[UF],MATCH(tItens[[#This Row],[Edital]],tEditais[Edital],0)),"")</f>
        <v>PR</v>
      </c>
      <c r="I5526" s="11">
        <f>IFERROR(INDEX(tEditais[Encerramento],MATCH(tItens[[#This Row],[Edital]],tEditais[Edital],0)),"")</f>
        <v>46308.375</v>
      </c>
      <c r="J5526" t="str">
        <f>IFERROR(INDEX(tProdutos[Classe],MATCH(tItens[[#This Row],[Produto]],tProdutos[Produto],0)),"produto não cadastrado")</f>
        <v>FORA</v>
      </c>
      <c r="K5526" s="12">
        <f>tItens[[#This Row],[Qtd]]*tItens[[#This Row],[Vlr unit]]</f>
        <v>606.79999999999995</v>
      </c>
      <c r="L5526" s="6">
        <f>IFERROR(IF(INDEX(tProdutos[Desconto homologado],MATCH(tItens[[#This Row],[Produto]],tProdutos[Produto],0))="",DescontoPadrao,INDEX(tProdutos[Desconto homologado],MATCH(tItens[[#This Row],[Produto]],tProdutos[Produto],0))),DescontoPadrao)</f>
        <v>0.29046182846371399</v>
      </c>
      <c r="M5526" s="12">
        <f>tItens[[#This Row],[Valor]]*(1-tItens[[#This Row],[Desconto]])</f>
        <v>430.54776248821832</v>
      </c>
      <c r="N5526" t="str">
        <f>IFERROR(INDEX(tProdutos[Foco],MATCH(tItens[[#This Row],[Produto]],tProdutos[Produto],0)),"Não")</f>
        <v>Não</v>
      </c>
      <c r="O5526" t="str">
        <f>IFERROR(INDEX(tEditais[SRP],MATCH(tItens[[#This Row],[Edital]],tEditais[Edital],0)),"Não")</f>
        <v>Não</v>
      </c>
      <c r="P5526" s="4">
        <f>IF(COUNTIFS(INDEX(tItens[Edital],1):tItens[[#This Row],[Edital]],tItens[[#This Row],[Edital]],INDEX(tItens[Produto],1):tItens[[#This Row],[Produto]],tItens[[#This Row],[Produto]])=1,1,0)</f>
        <v>0</v>
      </c>
    </row>
    <row r="5527" spans="1:16" x14ac:dyDescent="0.25">
      <c r="A5527" t="s">
        <v>2028</v>
      </c>
      <c r="B5527">
        <v>248</v>
      </c>
      <c r="C5527" t="s">
        <v>8320</v>
      </c>
      <c r="D5527" t="s">
        <v>311</v>
      </c>
      <c r="E5527" s="13">
        <v>40</v>
      </c>
      <c r="F5527" s="12">
        <v>44.42</v>
      </c>
      <c r="G5527" t="str">
        <f>IFERROR(INDEX(tEditais[Órgão],MATCH(tItens[[#This Row],[Edital]],tEditais[Edital],0)),"")</f>
        <v>MUNICIPIO DE IMBAU</v>
      </c>
      <c r="H5527" t="str">
        <f>IFERROR(INDEX(tEditais[UF],MATCH(tItens[[#This Row],[Edital]],tEditais[Edital],0)),"")</f>
        <v>PR</v>
      </c>
      <c r="I5527" s="11">
        <f>IFERROR(INDEX(tEditais[Encerramento],MATCH(tItens[[#This Row],[Edital]],tEditais[Edital],0)),"")</f>
        <v>46308.375</v>
      </c>
      <c r="J5527" t="str">
        <f>IFERROR(INDEX(tProdutos[Classe],MATCH(tItens[[#This Row],[Produto]],tProdutos[Produto],0)),"produto não cadastrado")</f>
        <v>FORA</v>
      </c>
      <c r="K5527" s="12">
        <f>tItens[[#This Row],[Qtd]]*tItens[[#This Row],[Vlr unit]]</f>
        <v>1776.8000000000002</v>
      </c>
      <c r="L5527" s="6">
        <f>IFERROR(IF(INDEX(tProdutos[Desconto homologado],MATCH(tItens[[#This Row],[Produto]],tProdutos[Produto],0))="",DescontoPadrao,INDEX(tProdutos[Desconto homologado],MATCH(tItens[[#This Row],[Produto]],tProdutos[Produto],0))),DescontoPadrao)</f>
        <v>0.29046182846371399</v>
      </c>
      <c r="M5527" s="12">
        <f>tItens[[#This Row],[Valor]]*(1-tItens[[#This Row],[Desconto]])</f>
        <v>1260.7074231856732</v>
      </c>
      <c r="N5527" t="str">
        <f>IFERROR(INDEX(tProdutos[Foco],MATCH(tItens[[#This Row],[Produto]],tProdutos[Produto],0)),"Não")</f>
        <v>Não</v>
      </c>
      <c r="O5527" t="str">
        <f>IFERROR(INDEX(tEditais[SRP],MATCH(tItens[[#This Row],[Edital]],tEditais[Edital],0)),"Não")</f>
        <v>Não</v>
      </c>
      <c r="P5527" s="4">
        <f>IF(COUNTIFS(INDEX(tItens[Edital],1):tItens[[#This Row],[Edital]],tItens[[#This Row],[Edital]],INDEX(tItens[Produto],1):tItens[[#This Row],[Produto]],tItens[[#This Row],[Produto]])=1,1,0)</f>
        <v>0</v>
      </c>
    </row>
    <row r="5528" spans="1:16" x14ac:dyDescent="0.25">
      <c r="A5528" t="s">
        <v>2028</v>
      </c>
      <c r="B5528">
        <v>258</v>
      </c>
      <c r="C5528" t="s">
        <v>8321</v>
      </c>
      <c r="D5528" t="s">
        <v>114</v>
      </c>
      <c r="E5528" s="13">
        <v>50</v>
      </c>
      <c r="F5528" s="12">
        <v>15.81</v>
      </c>
      <c r="G5528" t="str">
        <f>IFERROR(INDEX(tEditais[Órgão],MATCH(tItens[[#This Row],[Edital]],tEditais[Edital],0)),"")</f>
        <v>MUNICIPIO DE IMBAU</v>
      </c>
      <c r="H5528" t="str">
        <f>IFERROR(INDEX(tEditais[UF],MATCH(tItens[[#This Row],[Edital]],tEditais[Edital],0)),"")</f>
        <v>PR</v>
      </c>
      <c r="I5528" s="11">
        <f>IFERROR(INDEX(tEditais[Encerramento],MATCH(tItens[[#This Row],[Edital]],tEditais[Edital],0)),"")</f>
        <v>46308.375</v>
      </c>
      <c r="J5528" t="str">
        <f>IFERROR(INDEX(tProdutos[Classe],MATCH(tItens[[#This Row],[Produto]],tProdutos[Produto],0)),"produto não cadastrado")</f>
        <v>DISPUTADO</v>
      </c>
      <c r="K5528" s="12">
        <f>tItens[[#This Row],[Qtd]]*tItens[[#This Row],[Vlr unit]]</f>
        <v>790.5</v>
      </c>
      <c r="L5528" s="6">
        <f>IFERROR(IF(INDEX(tProdutos[Desconto homologado],MATCH(tItens[[#This Row],[Produto]],tProdutos[Produto],0))="",DescontoPadrao,INDEX(tProdutos[Desconto homologado],MATCH(tItens[[#This Row],[Produto]],tProdutos[Produto],0))),DescontoPadrao)</f>
        <v>0.24332656063896899</v>
      </c>
      <c r="M5528" s="12">
        <f>tItens[[#This Row],[Valor]]*(1-tItens[[#This Row],[Desconto]])</f>
        <v>598.15035381489508</v>
      </c>
      <c r="N5528" t="str">
        <f>IFERROR(INDEX(tProdutos[Foco],MATCH(tItens[[#This Row],[Produto]],tProdutos[Produto],0)),"Não")</f>
        <v>Não</v>
      </c>
      <c r="O5528" t="str">
        <f>IFERROR(INDEX(tEditais[SRP],MATCH(tItens[[#This Row],[Edital]],tEditais[Edital],0)),"Não")</f>
        <v>Não</v>
      </c>
      <c r="P5528" s="4">
        <f>IF(COUNTIFS(INDEX(tItens[Edital],1):tItens[[#This Row],[Edital]],tItens[[#This Row],[Edital]],INDEX(tItens[Produto],1):tItens[[#This Row],[Produto]],tItens[[#This Row],[Produto]])=1,1,0)</f>
        <v>1</v>
      </c>
    </row>
    <row r="5529" spans="1:16" x14ac:dyDescent="0.25">
      <c r="A5529" t="s">
        <v>2028</v>
      </c>
      <c r="B5529">
        <v>288</v>
      </c>
      <c r="C5529" t="s">
        <v>8322</v>
      </c>
      <c r="D5529" t="s">
        <v>257</v>
      </c>
      <c r="E5529" s="13">
        <v>10</v>
      </c>
      <c r="F5529" s="12">
        <v>21.35</v>
      </c>
      <c r="G5529" t="str">
        <f>IFERROR(INDEX(tEditais[Órgão],MATCH(tItens[[#This Row],[Edital]],tEditais[Edital],0)),"")</f>
        <v>MUNICIPIO DE IMBAU</v>
      </c>
      <c r="H5529" t="str">
        <f>IFERROR(INDEX(tEditais[UF],MATCH(tItens[[#This Row],[Edital]],tEditais[Edital],0)),"")</f>
        <v>PR</v>
      </c>
      <c r="I5529" s="11">
        <f>IFERROR(INDEX(tEditais[Encerramento],MATCH(tItens[[#This Row],[Edital]],tEditais[Edital],0)),"")</f>
        <v>46308.375</v>
      </c>
      <c r="J5529" t="str">
        <f>IFERROR(INDEX(tProdutos[Classe],MATCH(tItens[[#This Row],[Produto]],tProdutos[Produto],0)),"produto não cadastrado")</f>
        <v>FORA</v>
      </c>
      <c r="K5529" s="12">
        <f>tItens[[#This Row],[Qtd]]*tItens[[#This Row],[Vlr unit]]</f>
        <v>213.5</v>
      </c>
      <c r="L5529" s="6">
        <f>IFERROR(IF(INDEX(tProdutos[Desconto homologado],MATCH(tItens[[#This Row],[Produto]],tProdutos[Produto],0))="",DescontoPadrao,INDEX(tProdutos[Desconto homologado],MATCH(tItens[[#This Row],[Produto]],tProdutos[Produto],0))),DescontoPadrao)</f>
        <v>0.500812004991805</v>
      </c>
      <c r="M5529" s="12">
        <f>tItens[[#This Row],[Valor]]*(1-tItens[[#This Row],[Desconto]])</f>
        <v>106.57663693424963</v>
      </c>
      <c r="N5529" t="str">
        <f>IFERROR(INDEX(tProdutos[Foco],MATCH(tItens[[#This Row],[Produto]],tProdutos[Produto],0)),"Não")</f>
        <v>Não</v>
      </c>
      <c r="O5529" t="str">
        <f>IFERROR(INDEX(tEditais[SRP],MATCH(tItens[[#This Row],[Edital]],tEditais[Edital],0)),"Não")</f>
        <v>Não</v>
      </c>
      <c r="P5529" s="4">
        <f>IF(COUNTIFS(INDEX(tItens[Edital],1):tItens[[#This Row],[Edital]],tItens[[#This Row],[Edital]],INDEX(tItens[Produto],1):tItens[[#This Row],[Produto]],tItens[[#This Row],[Produto]])=1,1,0)</f>
        <v>0</v>
      </c>
    </row>
    <row r="5530" spans="1:16" x14ac:dyDescent="0.25">
      <c r="A5530" t="s">
        <v>2028</v>
      </c>
      <c r="B5530">
        <v>289</v>
      </c>
      <c r="C5530" t="s">
        <v>8323</v>
      </c>
      <c r="D5530" t="s">
        <v>249</v>
      </c>
      <c r="E5530" s="13">
        <v>10</v>
      </c>
      <c r="F5530" s="12">
        <v>16.07</v>
      </c>
      <c r="G5530" t="str">
        <f>IFERROR(INDEX(tEditais[Órgão],MATCH(tItens[[#This Row],[Edital]],tEditais[Edital],0)),"")</f>
        <v>MUNICIPIO DE IMBAU</v>
      </c>
      <c r="H5530" t="str">
        <f>IFERROR(INDEX(tEditais[UF],MATCH(tItens[[#This Row],[Edital]],tEditais[Edital],0)),"")</f>
        <v>PR</v>
      </c>
      <c r="I5530" s="11">
        <f>IFERROR(INDEX(tEditais[Encerramento],MATCH(tItens[[#This Row],[Edital]],tEditais[Edital],0)),"")</f>
        <v>46308.375</v>
      </c>
      <c r="J5530" t="str">
        <f>IFERROR(INDEX(tProdutos[Classe],MATCH(tItens[[#This Row],[Produto]],tProdutos[Produto],0)),"produto não cadastrado")</f>
        <v>FORA</v>
      </c>
      <c r="K5530" s="12">
        <f>tItens[[#This Row],[Qtd]]*tItens[[#This Row],[Vlr unit]]</f>
        <v>160.69999999999999</v>
      </c>
      <c r="L5530" s="6">
        <f>IFERROR(IF(INDEX(tProdutos[Desconto homologado],MATCH(tItens[[#This Row],[Produto]],tProdutos[Produto],0))="",DescontoPadrao,INDEX(tProdutos[Desconto homologado],MATCH(tItens[[#This Row],[Produto]],tProdutos[Produto],0))),DescontoPadrao)</f>
        <v>0.45399945399945402</v>
      </c>
      <c r="M5530" s="12">
        <f>tItens[[#This Row],[Valor]]*(1-tItens[[#This Row],[Desconto]])</f>
        <v>87.742287742287729</v>
      </c>
      <c r="N5530" t="str">
        <f>IFERROR(INDEX(tProdutos[Foco],MATCH(tItens[[#This Row],[Produto]],tProdutos[Produto],0)),"Não")</f>
        <v>Não</v>
      </c>
      <c r="O5530" t="str">
        <f>IFERROR(INDEX(tEditais[SRP],MATCH(tItens[[#This Row],[Edital]],tEditais[Edital],0)),"Não")</f>
        <v>Não</v>
      </c>
      <c r="P5530" s="4">
        <f>IF(COUNTIFS(INDEX(tItens[Edital],1):tItens[[#This Row],[Edital]],tItens[[#This Row],[Edital]],INDEX(tItens[Produto],1):tItens[[#This Row],[Produto]],tItens[[#This Row],[Produto]])=1,1,0)</f>
        <v>1</v>
      </c>
    </row>
    <row r="5531" spans="1:16" x14ac:dyDescent="0.25">
      <c r="A5531" t="s">
        <v>2028</v>
      </c>
      <c r="B5531">
        <v>293</v>
      </c>
      <c r="C5531" t="s">
        <v>8324</v>
      </c>
      <c r="D5531" t="s">
        <v>512</v>
      </c>
      <c r="E5531" s="13">
        <v>10</v>
      </c>
      <c r="F5531" s="12">
        <v>39.729999999999997</v>
      </c>
      <c r="G5531" t="str">
        <f>IFERROR(INDEX(tEditais[Órgão],MATCH(tItens[[#This Row],[Edital]],tEditais[Edital],0)),"")</f>
        <v>MUNICIPIO DE IMBAU</v>
      </c>
      <c r="H5531" t="str">
        <f>IFERROR(INDEX(tEditais[UF],MATCH(tItens[[#This Row],[Edital]],tEditais[Edital],0)),"")</f>
        <v>PR</v>
      </c>
      <c r="I5531" s="11">
        <f>IFERROR(INDEX(tEditais[Encerramento],MATCH(tItens[[#This Row],[Edital]],tEditais[Edital],0)),"")</f>
        <v>46308.375</v>
      </c>
      <c r="J5531" t="str">
        <f>IFERROR(INDEX(tProdutos[Classe],MATCH(tItens[[#This Row],[Produto]],tProdutos[Produto],0)),"produto não cadastrado")</f>
        <v>FILA REBASE</v>
      </c>
      <c r="K5531" s="12">
        <f>tItens[[#This Row],[Qtd]]*tItens[[#This Row],[Vlr unit]]</f>
        <v>397.29999999999995</v>
      </c>
      <c r="L5531" s="6">
        <f>IFERROR(IF(INDEX(tProdutos[Desconto homologado],MATCH(tItens[[#This Row],[Produto]],tProdutos[Produto],0))="",DescontoPadrao,INDEX(tProdutos[Desconto homologado],MATCH(tItens[[#This Row],[Produto]],tProdutos[Produto],0))),DescontoPadrao)</f>
        <v>0.32579365079365102</v>
      </c>
      <c r="M5531" s="12">
        <f>tItens[[#This Row],[Valor]]*(1-tItens[[#This Row],[Desconto]])</f>
        <v>267.86218253968246</v>
      </c>
      <c r="N5531" t="str">
        <f>IFERROR(INDEX(tProdutos[Foco],MATCH(tItens[[#This Row],[Produto]],tProdutos[Produto],0)),"Não")</f>
        <v>Não</v>
      </c>
      <c r="O5531" t="str">
        <f>IFERROR(INDEX(tEditais[SRP],MATCH(tItens[[#This Row],[Edital]],tEditais[Edital],0)),"Não")</f>
        <v>Não</v>
      </c>
      <c r="P5531" s="4">
        <f>IF(COUNTIFS(INDEX(tItens[Edital],1):tItens[[#This Row],[Edital]],tItens[[#This Row],[Edital]],INDEX(tItens[Produto],1):tItens[[#This Row],[Produto]],tItens[[#This Row],[Produto]])=1,1,0)</f>
        <v>1</v>
      </c>
    </row>
    <row r="5532" spans="1:16" x14ac:dyDescent="0.25">
      <c r="A5532" t="s">
        <v>2028</v>
      </c>
      <c r="B5532">
        <v>302</v>
      </c>
      <c r="C5532" t="s">
        <v>8325</v>
      </c>
      <c r="D5532" t="s">
        <v>98</v>
      </c>
      <c r="E5532" s="13">
        <v>25</v>
      </c>
      <c r="F5532" s="12">
        <v>5.65</v>
      </c>
      <c r="G5532" t="str">
        <f>IFERROR(INDEX(tEditais[Órgão],MATCH(tItens[[#This Row],[Edital]],tEditais[Edital],0)),"")</f>
        <v>MUNICIPIO DE IMBAU</v>
      </c>
      <c r="H5532" t="str">
        <f>IFERROR(INDEX(tEditais[UF],MATCH(tItens[[#This Row],[Edital]],tEditais[Edital],0)),"")</f>
        <v>PR</v>
      </c>
      <c r="I5532" s="11">
        <f>IFERROR(INDEX(tEditais[Encerramento],MATCH(tItens[[#This Row],[Edital]],tEditais[Edital],0)),"")</f>
        <v>46308.375</v>
      </c>
      <c r="J5532" t="str">
        <f>IFERROR(INDEX(tProdutos[Classe],MATCH(tItens[[#This Row],[Produto]],tProdutos[Produto],0)),"produto não cadastrado")</f>
        <v>NÚCLEO</v>
      </c>
      <c r="K5532" s="12">
        <f>tItens[[#This Row],[Qtd]]*tItens[[#This Row],[Vlr unit]]</f>
        <v>141.25</v>
      </c>
      <c r="L5532" s="6">
        <f>IFERROR(IF(INDEX(tProdutos[Desconto homologado],MATCH(tItens[[#This Row],[Produto]],tProdutos[Produto],0))="",DescontoPadrao,INDEX(tProdutos[Desconto homologado],MATCH(tItens[[#This Row],[Produto]],tProdutos[Produto],0))),DescontoPadrao)</f>
        <v>0.39</v>
      </c>
      <c r="M5532" s="12">
        <f>tItens[[#This Row],[Valor]]*(1-tItens[[#This Row],[Desconto]])</f>
        <v>86.162499999999994</v>
      </c>
      <c r="N5532" t="str">
        <f>IFERROR(INDEX(tProdutos[Foco],MATCH(tItens[[#This Row],[Produto]],tProdutos[Produto],0)),"Não")</f>
        <v>Sim</v>
      </c>
      <c r="O5532" t="str">
        <f>IFERROR(INDEX(tEditais[SRP],MATCH(tItens[[#This Row],[Edital]],tEditais[Edital],0)),"Não")</f>
        <v>Não</v>
      </c>
      <c r="P5532" s="4">
        <f>IF(COUNTIFS(INDEX(tItens[Edital],1):tItens[[#This Row],[Edital]],tItens[[#This Row],[Edital]],INDEX(tItens[Produto],1):tItens[[#This Row],[Produto]],tItens[[#This Row],[Produto]])=1,1,0)</f>
        <v>1</v>
      </c>
    </row>
    <row r="5533" spans="1:16" x14ac:dyDescent="0.25">
      <c r="A5533" t="s">
        <v>2028</v>
      </c>
      <c r="B5533">
        <v>303</v>
      </c>
      <c r="C5533" t="s">
        <v>8326</v>
      </c>
      <c r="D5533" t="s">
        <v>98</v>
      </c>
      <c r="E5533" s="13">
        <v>25</v>
      </c>
      <c r="F5533" s="12">
        <v>6.11</v>
      </c>
      <c r="G5533" t="str">
        <f>IFERROR(INDEX(tEditais[Órgão],MATCH(tItens[[#This Row],[Edital]],tEditais[Edital],0)),"")</f>
        <v>MUNICIPIO DE IMBAU</v>
      </c>
      <c r="H5533" t="str">
        <f>IFERROR(INDEX(tEditais[UF],MATCH(tItens[[#This Row],[Edital]],tEditais[Edital],0)),"")</f>
        <v>PR</v>
      </c>
      <c r="I5533" s="11">
        <f>IFERROR(INDEX(tEditais[Encerramento],MATCH(tItens[[#This Row],[Edital]],tEditais[Edital],0)),"")</f>
        <v>46308.375</v>
      </c>
      <c r="J5533" t="str">
        <f>IFERROR(INDEX(tProdutos[Classe],MATCH(tItens[[#This Row],[Produto]],tProdutos[Produto],0)),"produto não cadastrado")</f>
        <v>NÚCLEO</v>
      </c>
      <c r="K5533" s="12">
        <f>tItens[[#This Row],[Qtd]]*tItens[[#This Row],[Vlr unit]]</f>
        <v>152.75</v>
      </c>
      <c r="L5533" s="6">
        <f>IFERROR(IF(INDEX(tProdutos[Desconto homologado],MATCH(tItens[[#This Row],[Produto]],tProdutos[Produto],0))="",DescontoPadrao,INDEX(tProdutos[Desconto homologado],MATCH(tItens[[#This Row],[Produto]],tProdutos[Produto],0))),DescontoPadrao)</f>
        <v>0.39</v>
      </c>
      <c r="M5533" s="12">
        <f>tItens[[#This Row],[Valor]]*(1-tItens[[#This Row],[Desconto]])</f>
        <v>93.177499999999995</v>
      </c>
      <c r="N5533" t="str">
        <f>IFERROR(INDEX(tProdutos[Foco],MATCH(tItens[[#This Row],[Produto]],tProdutos[Produto],0)),"Não")</f>
        <v>Sim</v>
      </c>
      <c r="O5533" t="str">
        <f>IFERROR(INDEX(tEditais[SRP],MATCH(tItens[[#This Row],[Edital]],tEditais[Edital],0)),"Não")</f>
        <v>Não</v>
      </c>
      <c r="P5533" s="4">
        <f>IF(COUNTIFS(INDEX(tItens[Edital],1):tItens[[#This Row],[Edital]],tItens[[#This Row],[Edital]],INDEX(tItens[Produto],1):tItens[[#This Row],[Produto]],tItens[[#This Row],[Produto]])=1,1,0)</f>
        <v>0</v>
      </c>
    </row>
    <row r="5534" spans="1:16" x14ac:dyDescent="0.25">
      <c r="A5534" t="s">
        <v>2028</v>
      </c>
      <c r="B5534">
        <v>304</v>
      </c>
      <c r="C5534" t="s">
        <v>8327</v>
      </c>
      <c r="D5534" t="s">
        <v>98</v>
      </c>
      <c r="E5534" s="13">
        <v>25</v>
      </c>
      <c r="F5534" s="12">
        <v>7.43</v>
      </c>
      <c r="G5534" t="str">
        <f>IFERROR(INDEX(tEditais[Órgão],MATCH(tItens[[#This Row],[Edital]],tEditais[Edital],0)),"")</f>
        <v>MUNICIPIO DE IMBAU</v>
      </c>
      <c r="H5534" t="str">
        <f>IFERROR(INDEX(tEditais[UF],MATCH(tItens[[#This Row],[Edital]],tEditais[Edital],0)),"")</f>
        <v>PR</v>
      </c>
      <c r="I5534" s="11">
        <f>IFERROR(INDEX(tEditais[Encerramento],MATCH(tItens[[#This Row],[Edital]],tEditais[Edital],0)),"")</f>
        <v>46308.375</v>
      </c>
      <c r="J5534" t="str">
        <f>IFERROR(INDEX(tProdutos[Classe],MATCH(tItens[[#This Row],[Produto]],tProdutos[Produto],0)),"produto não cadastrado")</f>
        <v>NÚCLEO</v>
      </c>
      <c r="K5534" s="12">
        <f>tItens[[#This Row],[Qtd]]*tItens[[#This Row],[Vlr unit]]</f>
        <v>185.75</v>
      </c>
      <c r="L5534" s="6">
        <f>IFERROR(IF(INDEX(tProdutos[Desconto homologado],MATCH(tItens[[#This Row],[Produto]],tProdutos[Produto],0))="",DescontoPadrao,INDEX(tProdutos[Desconto homologado],MATCH(tItens[[#This Row],[Produto]],tProdutos[Produto],0))),DescontoPadrao)</f>
        <v>0.39</v>
      </c>
      <c r="M5534" s="12">
        <f>tItens[[#This Row],[Valor]]*(1-tItens[[#This Row],[Desconto]])</f>
        <v>113.3075</v>
      </c>
      <c r="N5534" t="str">
        <f>IFERROR(INDEX(tProdutos[Foco],MATCH(tItens[[#This Row],[Produto]],tProdutos[Produto],0)),"Não")</f>
        <v>Sim</v>
      </c>
      <c r="O5534" t="str">
        <f>IFERROR(INDEX(tEditais[SRP],MATCH(tItens[[#This Row],[Edital]],tEditais[Edital],0)),"Não")</f>
        <v>Não</v>
      </c>
      <c r="P5534" s="4">
        <f>IF(COUNTIFS(INDEX(tItens[Edital],1):tItens[[#This Row],[Edital]],tItens[[#This Row],[Edital]],INDEX(tItens[Produto],1):tItens[[#This Row],[Produto]],tItens[[#This Row],[Produto]])=1,1,0)</f>
        <v>0</v>
      </c>
    </row>
    <row r="5535" spans="1:16" x14ac:dyDescent="0.25">
      <c r="A5535" t="s">
        <v>2028</v>
      </c>
      <c r="B5535">
        <v>305</v>
      </c>
      <c r="C5535" t="s">
        <v>8328</v>
      </c>
      <c r="D5535" t="s">
        <v>98</v>
      </c>
      <c r="E5535" s="13">
        <v>25</v>
      </c>
      <c r="F5535" s="12">
        <v>7.71</v>
      </c>
      <c r="G5535" t="str">
        <f>IFERROR(INDEX(tEditais[Órgão],MATCH(tItens[[#This Row],[Edital]],tEditais[Edital],0)),"")</f>
        <v>MUNICIPIO DE IMBAU</v>
      </c>
      <c r="H5535" t="str">
        <f>IFERROR(INDEX(tEditais[UF],MATCH(tItens[[#This Row],[Edital]],tEditais[Edital],0)),"")</f>
        <v>PR</v>
      </c>
      <c r="I5535" s="11">
        <f>IFERROR(INDEX(tEditais[Encerramento],MATCH(tItens[[#This Row],[Edital]],tEditais[Edital],0)),"")</f>
        <v>46308.375</v>
      </c>
      <c r="J5535" t="str">
        <f>IFERROR(INDEX(tProdutos[Classe],MATCH(tItens[[#This Row],[Produto]],tProdutos[Produto],0)),"produto não cadastrado")</f>
        <v>NÚCLEO</v>
      </c>
      <c r="K5535" s="12">
        <f>tItens[[#This Row],[Qtd]]*tItens[[#This Row],[Vlr unit]]</f>
        <v>192.75</v>
      </c>
      <c r="L5535" s="6">
        <f>IFERROR(IF(INDEX(tProdutos[Desconto homologado],MATCH(tItens[[#This Row],[Produto]],tProdutos[Produto],0))="",DescontoPadrao,INDEX(tProdutos[Desconto homologado],MATCH(tItens[[#This Row],[Produto]],tProdutos[Produto],0))),DescontoPadrao)</f>
        <v>0.39</v>
      </c>
      <c r="M5535" s="12">
        <f>tItens[[#This Row],[Valor]]*(1-tItens[[#This Row],[Desconto]])</f>
        <v>117.5775</v>
      </c>
      <c r="N5535" t="str">
        <f>IFERROR(INDEX(tProdutos[Foco],MATCH(tItens[[#This Row],[Produto]],tProdutos[Produto],0)),"Não")</f>
        <v>Sim</v>
      </c>
      <c r="O5535" t="str">
        <f>IFERROR(INDEX(tEditais[SRP],MATCH(tItens[[#This Row],[Edital]],tEditais[Edital],0)),"Não")</f>
        <v>Não</v>
      </c>
      <c r="P5535" s="4">
        <f>IF(COUNTIFS(INDEX(tItens[Edital],1):tItens[[#This Row],[Edital]],tItens[[#This Row],[Edital]],INDEX(tItens[Produto],1):tItens[[#This Row],[Produto]],tItens[[#This Row],[Produto]])=1,1,0)</f>
        <v>0</v>
      </c>
    </row>
    <row r="5536" spans="1:16" x14ac:dyDescent="0.25">
      <c r="A5536" t="s">
        <v>2028</v>
      </c>
      <c r="B5536">
        <v>306</v>
      </c>
      <c r="C5536" t="s">
        <v>8329</v>
      </c>
      <c r="D5536" t="s">
        <v>98</v>
      </c>
      <c r="E5536" s="13">
        <v>25</v>
      </c>
      <c r="F5536" s="12">
        <v>7.95</v>
      </c>
      <c r="G5536" t="str">
        <f>IFERROR(INDEX(tEditais[Órgão],MATCH(tItens[[#This Row],[Edital]],tEditais[Edital],0)),"")</f>
        <v>MUNICIPIO DE IMBAU</v>
      </c>
      <c r="H5536" t="str">
        <f>IFERROR(INDEX(tEditais[UF],MATCH(tItens[[#This Row],[Edital]],tEditais[Edital],0)),"")</f>
        <v>PR</v>
      </c>
      <c r="I5536" s="11">
        <f>IFERROR(INDEX(tEditais[Encerramento],MATCH(tItens[[#This Row],[Edital]],tEditais[Edital],0)),"")</f>
        <v>46308.375</v>
      </c>
      <c r="J5536" t="str">
        <f>IFERROR(INDEX(tProdutos[Classe],MATCH(tItens[[#This Row],[Produto]],tProdutos[Produto],0)),"produto não cadastrado")</f>
        <v>NÚCLEO</v>
      </c>
      <c r="K5536" s="12">
        <f>tItens[[#This Row],[Qtd]]*tItens[[#This Row],[Vlr unit]]</f>
        <v>198.75</v>
      </c>
      <c r="L5536" s="6">
        <f>IFERROR(IF(INDEX(tProdutos[Desconto homologado],MATCH(tItens[[#This Row],[Produto]],tProdutos[Produto],0))="",DescontoPadrao,INDEX(tProdutos[Desconto homologado],MATCH(tItens[[#This Row],[Produto]],tProdutos[Produto],0))),DescontoPadrao)</f>
        <v>0.39</v>
      </c>
      <c r="M5536" s="12">
        <f>tItens[[#This Row],[Valor]]*(1-tItens[[#This Row],[Desconto]])</f>
        <v>121.2375</v>
      </c>
      <c r="N5536" t="str">
        <f>IFERROR(INDEX(tProdutos[Foco],MATCH(tItens[[#This Row],[Produto]],tProdutos[Produto],0)),"Não")</f>
        <v>Sim</v>
      </c>
      <c r="O5536" t="str">
        <f>IFERROR(INDEX(tEditais[SRP],MATCH(tItens[[#This Row],[Edital]],tEditais[Edital],0)),"Não")</f>
        <v>Não</v>
      </c>
      <c r="P5536" s="4">
        <f>IF(COUNTIFS(INDEX(tItens[Edital],1):tItens[[#This Row],[Edital]],tItens[[#This Row],[Edital]],INDEX(tItens[Produto],1):tItens[[#This Row],[Produto]],tItens[[#This Row],[Produto]])=1,1,0)</f>
        <v>0</v>
      </c>
    </row>
    <row r="5537" spans="1:16" x14ac:dyDescent="0.25">
      <c r="A5537" t="s">
        <v>2028</v>
      </c>
      <c r="B5537">
        <v>307</v>
      </c>
      <c r="C5537" t="s">
        <v>8330</v>
      </c>
      <c r="D5537" t="s">
        <v>98</v>
      </c>
      <c r="E5537" s="13">
        <v>25</v>
      </c>
      <c r="F5537" s="12">
        <v>8.69</v>
      </c>
      <c r="G5537" t="str">
        <f>IFERROR(INDEX(tEditais[Órgão],MATCH(tItens[[#This Row],[Edital]],tEditais[Edital],0)),"")</f>
        <v>MUNICIPIO DE IMBAU</v>
      </c>
      <c r="H5537" t="str">
        <f>IFERROR(INDEX(tEditais[UF],MATCH(tItens[[#This Row],[Edital]],tEditais[Edital],0)),"")</f>
        <v>PR</v>
      </c>
      <c r="I5537" s="11">
        <f>IFERROR(INDEX(tEditais[Encerramento],MATCH(tItens[[#This Row],[Edital]],tEditais[Edital],0)),"")</f>
        <v>46308.375</v>
      </c>
      <c r="J5537" t="str">
        <f>IFERROR(INDEX(tProdutos[Classe],MATCH(tItens[[#This Row],[Produto]],tProdutos[Produto],0)),"produto não cadastrado")</f>
        <v>NÚCLEO</v>
      </c>
      <c r="K5537" s="12">
        <f>tItens[[#This Row],[Qtd]]*tItens[[#This Row],[Vlr unit]]</f>
        <v>217.25</v>
      </c>
      <c r="L5537" s="6">
        <f>IFERROR(IF(INDEX(tProdutos[Desconto homologado],MATCH(tItens[[#This Row],[Produto]],tProdutos[Produto],0))="",DescontoPadrao,INDEX(tProdutos[Desconto homologado],MATCH(tItens[[#This Row],[Produto]],tProdutos[Produto],0))),DescontoPadrao)</f>
        <v>0.39</v>
      </c>
      <c r="M5537" s="12">
        <f>tItens[[#This Row],[Valor]]*(1-tItens[[#This Row],[Desconto]])</f>
        <v>132.52250000000001</v>
      </c>
      <c r="N5537" t="str">
        <f>IFERROR(INDEX(tProdutos[Foco],MATCH(tItens[[#This Row],[Produto]],tProdutos[Produto],0)),"Não")</f>
        <v>Sim</v>
      </c>
      <c r="O5537" t="str">
        <f>IFERROR(INDEX(tEditais[SRP],MATCH(tItens[[#This Row],[Edital]],tEditais[Edital],0)),"Não")</f>
        <v>Não</v>
      </c>
      <c r="P5537" s="4">
        <f>IF(COUNTIFS(INDEX(tItens[Edital],1):tItens[[#This Row],[Edital]],tItens[[#This Row],[Edital]],INDEX(tItens[Produto],1):tItens[[#This Row],[Produto]],tItens[[#This Row],[Produto]])=1,1,0)</f>
        <v>0</v>
      </c>
    </row>
    <row r="5538" spans="1:16" x14ac:dyDescent="0.25">
      <c r="A5538" t="s">
        <v>2028</v>
      </c>
      <c r="B5538">
        <v>308</v>
      </c>
      <c r="C5538" t="s">
        <v>8331</v>
      </c>
      <c r="D5538" t="s">
        <v>98</v>
      </c>
      <c r="E5538" s="13">
        <v>25</v>
      </c>
      <c r="F5538" s="12">
        <v>9.56</v>
      </c>
      <c r="G5538" t="str">
        <f>IFERROR(INDEX(tEditais[Órgão],MATCH(tItens[[#This Row],[Edital]],tEditais[Edital],0)),"")</f>
        <v>MUNICIPIO DE IMBAU</v>
      </c>
      <c r="H5538" t="str">
        <f>IFERROR(INDEX(tEditais[UF],MATCH(tItens[[#This Row],[Edital]],tEditais[Edital],0)),"")</f>
        <v>PR</v>
      </c>
      <c r="I5538" s="11">
        <f>IFERROR(INDEX(tEditais[Encerramento],MATCH(tItens[[#This Row],[Edital]],tEditais[Edital],0)),"")</f>
        <v>46308.375</v>
      </c>
      <c r="J5538" t="str">
        <f>IFERROR(INDEX(tProdutos[Classe],MATCH(tItens[[#This Row],[Produto]],tProdutos[Produto],0)),"produto não cadastrado")</f>
        <v>NÚCLEO</v>
      </c>
      <c r="K5538" s="12">
        <f>tItens[[#This Row],[Qtd]]*tItens[[#This Row],[Vlr unit]]</f>
        <v>239</v>
      </c>
      <c r="L5538" s="6">
        <f>IFERROR(IF(INDEX(tProdutos[Desconto homologado],MATCH(tItens[[#This Row],[Produto]],tProdutos[Produto],0))="",DescontoPadrao,INDEX(tProdutos[Desconto homologado],MATCH(tItens[[#This Row],[Produto]],tProdutos[Produto],0))),DescontoPadrao)</f>
        <v>0.39</v>
      </c>
      <c r="M5538" s="12">
        <f>tItens[[#This Row],[Valor]]*(1-tItens[[#This Row],[Desconto]])</f>
        <v>145.79</v>
      </c>
      <c r="N5538" t="str">
        <f>IFERROR(INDEX(tProdutos[Foco],MATCH(tItens[[#This Row],[Produto]],tProdutos[Produto],0)),"Não")</f>
        <v>Sim</v>
      </c>
      <c r="O5538" t="str">
        <f>IFERROR(INDEX(tEditais[SRP],MATCH(tItens[[#This Row],[Edital]],tEditais[Edital],0)),"Não")</f>
        <v>Não</v>
      </c>
      <c r="P5538" s="4">
        <f>IF(COUNTIFS(INDEX(tItens[Edital],1):tItens[[#This Row],[Edital]],tItens[[#This Row],[Edital]],INDEX(tItens[Produto],1):tItens[[#This Row],[Produto]],tItens[[#This Row],[Produto]])=1,1,0)</f>
        <v>0</v>
      </c>
    </row>
    <row r="5539" spans="1:16" x14ac:dyDescent="0.25">
      <c r="A5539" t="s">
        <v>2028</v>
      </c>
      <c r="B5539">
        <v>309</v>
      </c>
      <c r="C5539" t="s">
        <v>8332</v>
      </c>
      <c r="D5539" t="s">
        <v>98</v>
      </c>
      <c r="E5539" s="13">
        <v>25</v>
      </c>
      <c r="F5539" s="12">
        <v>10.220000000000001</v>
      </c>
      <c r="G5539" t="str">
        <f>IFERROR(INDEX(tEditais[Órgão],MATCH(tItens[[#This Row],[Edital]],tEditais[Edital],0)),"")</f>
        <v>MUNICIPIO DE IMBAU</v>
      </c>
      <c r="H5539" t="str">
        <f>IFERROR(INDEX(tEditais[UF],MATCH(tItens[[#This Row],[Edital]],tEditais[Edital],0)),"")</f>
        <v>PR</v>
      </c>
      <c r="I5539" s="11">
        <f>IFERROR(INDEX(tEditais[Encerramento],MATCH(tItens[[#This Row],[Edital]],tEditais[Edital],0)),"")</f>
        <v>46308.375</v>
      </c>
      <c r="J5539" t="str">
        <f>IFERROR(INDEX(tProdutos[Classe],MATCH(tItens[[#This Row],[Produto]],tProdutos[Produto],0)),"produto não cadastrado")</f>
        <v>NÚCLEO</v>
      </c>
      <c r="K5539" s="12">
        <f>tItens[[#This Row],[Qtd]]*tItens[[#This Row],[Vlr unit]]</f>
        <v>255.50000000000003</v>
      </c>
      <c r="L5539" s="6">
        <f>IFERROR(IF(INDEX(tProdutos[Desconto homologado],MATCH(tItens[[#This Row],[Produto]],tProdutos[Produto],0))="",DescontoPadrao,INDEX(tProdutos[Desconto homologado],MATCH(tItens[[#This Row],[Produto]],tProdutos[Produto],0))),DescontoPadrao)</f>
        <v>0.39</v>
      </c>
      <c r="M5539" s="12">
        <f>tItens[[#This Row],[Valor]]*(1-tItens[[#This Row],[Desconto]])</f>
        <v>155.85500000000002</v>
      </c>
      <c r="N5539" t="str">
        <f>IFERROR(INDEX(tProdutos[Foco],MATCH(tItens[[#This Row],[Produto]],tProdutos[Produto],0)),"Não")</f>
        <v>Sim</v>
      </c>
      <c r="O5539" t="str">
        <f>IFERROR(INDEX(tEditais[SRP],MATCH(tItens[[#This Row],[Edital]],tEditais[Edital],0)),"Não")</f>
        <v>Não</v>
      </c>
      <c r="P5539" s="4">
        <f>IF(COUNTIFS(INDEX(tItens[Edital],1):tItens[[#This Row],[Edital]],tItens[[#This Row],[Edital]],INDEX(tItens[Produto],1):tItens[[#This Row],[Produto]],tItens[[#This Row],[Produto]])=1,1,0)</f>
        <v>0</v>
      </c>
    </row>
    <row r="5540" spans="1:16" x14ac:dyDescent="0.25">
      <c r="A5540" t="s">
        <v>2028</v>
      </c>
      <c r="B5540">
        <v>310</v>
      </c>
      <c r="C5540" t="s">
        <v>8333</v>
      </c>
      <c r="D5540" t="s">
        <v>315</v>
      </c>
      <c r="E5540" s="13">
        <v>150</v>
      </c>
      <c r="F5540" s="12">
        <v>16.18</v>
      </c>
      <c r="G5540" t="str">
        <f>IFERROR(INDEX(tEditais[Órgão],MATCH(tItens[[#This Row],[Edital]],tEditais[Edital],0)),"")</f>
        <v>MUNICIPIO DE IMBAU</v>
      </c>
      <c r="H5540" t="str">
        <f>IFERROR(INDEX(tEditais[UF],MATCH(tItens[[#This Row],[Edital]],tEditais[Edital],0)),"")</f>
        <v>PR</v>
      </c>
      <c r="I5540" s="11">
        <f>IFERROR(INDEX(tEditais[Encerramento],MATCH(tItens[[#This Row],[Edital]],tEditais[Edital],0)),"")</f>
        <v>46308.375</v>
      </c>
      <c r="J5540" t="str">
        <f>IFERROR(INDEX(tProdutos[Classe],MATCH(tItens[[#This Row],[Produto]],tProdutos[Produto],0)),"produto não cadastrado")</f>
        <v>FORA</v>
      </c>
      <c r="K5540" s="12">
        <f>tItens[[#This Row],[Qtd]]*tItens[[#This Row],[Vlr unit]]</f>
        <v>2427</v>
      </c>
      <c r="L5540" s="6">
        <f>IFERROR(IF(INDEX(tProdutos[Desconto homologado],MATCH(tItens[[#This Row],[Produto]],tProdutos[Produto],0))="",DescontoPadrao,INDEX(tProdutos[Desconto homologado],MATCH(tItens[[#This Row],[Produto]],tProdutos[Produto],0))),DescontoPadrao)</f>
        <v>0.38432036097010702</v>
      </c>
      <c r="M5540" s="12">
        <f>tItens[[#This Row],[Valor]]*(1-tItens[[#This Row],[Desconto]])</f>
        <v>1494.2544839255502</v>
      </c>
      <c r="N5540" t="str">
        <f>IFERROR(INDEX(tProdutos[Foco],MATCH(tItens[[#This Row],[Produto]],tProdutos[Produto],0)),"Não")</f>
        <v>Não</v>
      </c>
      <c r="O5540" t="str">
        <f>IFERROR(INDEX(tEditais[SRP],MATCH(tItens[[#This Row],[Edital]],tEditais[Edital],0)),"Não")</f>
        <v>Não</v>
      </c>
      <c r="P5540" s="4">
        <f>IF(COUNTIFS(INDEX(tItens[Edital],1):tItens[[#This Row],[Edital]],tItens[[#This Row],[Edital]],INDEX(tItens[Produto],1):tItens[[#This Row],[Produto]],tItens[[#This Row],[Produto]])=1,1,0)</f>
        <v>0</v>
      </c>
    </row>
    <row r="5541" spans="1:16" x14ac:dyDescent="0.25">
      <c r="A5541" t="s">
        <v>2032</v>
      </c>
      <c r="B5541">
        <v>1</v>
      </c>
      <c r="C5541" t="s">
        <v>8334</v>
      </c>
      <c r="D5541" t="s">
        <v>315</v>
      </c>
      <c r="E5541" s="13">
        <v>60</v>
      </c>
      <c r="F5541" s="12">
        <v>8.5500000000000007</v>
      </c>
      <c r="G5541" t="str">
        <f>IFERROR(INDEX(tEditais[Órgão],MATCH(tItens[[#This Row],[Edital]],tEditais[Edital],0)),"")</f>
        <v>MUNICIPIO DE SAO JOAO DO TRIUNFO</v>
      </c>
      <c r="H5541" t="str">
        <f>IFERROR(INDEX(tEditais[UF],MATCH(tItens[[#This Row],[Edital]],tEditais[Edital],0)),"")</f>
        <v>PR</v>
      </c>
      <c r="I5541" s="11">
        <f>IFERROR(INDEX(tEditais[Encerramento],MATCH(tItens[[#This Row],[Edital]],tEditais[Edital],0)),"")</f>
        <v>46309.332638888889</v>
      </c>
      <c r="J5541" t="str">
        <f>IFERROR(INDEX(tProdutos[Classe],MATCH(tItens[[#This Row],[Produto]],tProdutos[Produto],0)),"produto não cadastrado")</f>
        <v>FORA</v>
      </c>
      <c r="K5541" s="12">
        <f>tItens[[#This Row],[Qtd]]*tItens[[#This Row],[Vlr unit]]</f>
        <v>513</v>
      </c>
      <c r="L5541" s="6">
        <f>IFERROR(IF(INDEX(tProdutos[Desconto homologado],MATCH(tItens[[#This Row],[Produto]],tProdutos[Produto],0))="",DescontoPadrao,INDEX(tProdutos[Desconto homologado],MATCH(tItens[[#This Row],[Produto]],tProdutos[Produto],0))),DescontoPadrao)</f>
        <v>0.38432036097010702</v>
      </c>
      <c r="M5541" s="12">
        <f>tItens[[#This Row],[Valor]]*(1-tItens[[#This Row],[Desconto]])</f>
        <v>315.84365482233511</v>
      </c>
      <c r="N5541" t="str">
        <f>IFERROR(INDEX(tProdutos[Foco],MATCH(tItens[[#This Row],[Produto]],tProdutos[Produto],0)),"Não")</f>
        <v>Não</v>
      </c>
      <c r="O5541" t="str">
        <f>IFERROR(INDEX(tEditais[SRP],MATCH(tItens[[#This Row],[Edital]],tEditais[Edital],0)),"Não")</f>
        <v>Sim</v>
      </c>
      <c r="P5541" s="4">
        <f>IF(COUNTIFS(INDEX(tItens[Edital],1):tItens[[#This Row],[Edital]],tItens[[#This Row],[Edital]],INDEX(tItens[Produto],1):tItens[[#This Row],[Produto]],tItens[[#This Row],[Produto]])=1,1,0)</f>
        <v>1</v>
      </c>
    </row>
    <row r="5542" spans="1:16" x14ac:dyDescent="0.25">
      <c r="A5542" t="s">
        <v>2032</v>
      </c>
      <c r="B5542">
        <v>2</v>
      </c>
      <c r="C5542" t="s">
        <v>8335</v>
      </c>
      <c r="D5542" t="s">
        <v>315</v>
      </c>
      <c r="E5542" s="13">
        <v>80</v>
      </c>
      <c r="F5542" s="12">
        <v>7.95</v>
      </c>
      <c r="G5542" t="str">
        <f>IFERROR(INDEX(tEditais[Órgão],MATCH(tItens[[#This Row],[Edital]],tEditais[Edital],0)),"")</f>
        <v>MUNICIPIO DE SAO JOAO DO TRIUNFO</v>
      </c>
      <c r="H5542" t="str">
        <f>IFERROR(INDEX(tEditais[UF],MATCH(tItens[[#This Row],[Edital]],tEditais[Edital],0)),"")</f>
        <v>PR</v>
      </c>
      <c r="I5542" s="11">
        <f>IFERROR(INDEX(tEditais[Encerramento],MATCH(tItens[[#This Row],[Edital]],tEditais[Edital],0)),"")</f>
        <v>46309.332638888889</v>
      </c>
      <c r="J5542" t="str">
        <f>IFERROR(INDEX(tProdutos[Classe],MATCH(tItens[[#This Row],[Produto]],tProdutos[Produto],0)),"produto não cadastrado")</f>
        <v>FORA</v>
      </c>
      <c r="K5542" s="12">
        <f>tItens[[#This Row],[Qtd]]*tItens[[#This Row],[Vlr unit]]</f>
        <v>636</v>
      </c>
      <c r="L5542" s="6">
        <f>IFERROR(IF(INDEX(tProdutos[Desconto homologado],MATCH(tItens[[#This Row],[Produto]],tProdutos[Produto],0))="",DescontoPadrao,INDEX(tProdutos[Desconto homologado],MATCH(tItens[[#This Row],[Produto]],tProdutos[Produto],0))),DescontoPadrao)</f>
        <v>0.38432036097010702</v>
      </c>
      <c r="M5542" s="12">
        <f>tItens[[#This Row],[Valor]]*(1-tItens[[#This Row],[Desconto]])</f>
        <v>391.57225042301195</v>
      </c>
      <c r="N5542" t="str">
        <f>IFERROR(INDEX(tProdutos[Foco],MATCH(tItens[[#This Row],[Produto]],tProdutos[Produto],0)),"Não")</f>
        <v>Não</v>
      </c>
      <c r="O5542" t="str">
        <f>IFERROR(INDEX(tEditais[SRP],MATCH(tItens[[#This Row],[Edital]],tEditais[Edital],0)),"Não")</f>
        <v>Sim</v>
      </c>
      <c r="P5542" s="4">
        <f>IF(COUNTIFS(INDEX(tItens[Edital],1):tItens[[#This Row],[Edital]],tItens[[#This Row],[Edital]],INDEX(tItens[Produto],1):tItens[[#This Row],[Produto]],tItens[[#This Row],[Produto]])=1,1,0)</f>
        <v>0</v>
      </c>
    </row>
    <row r="5543" spans="1:16" x14ac:dyDescent="0.25">
      <c r="A5543" t="s">
        <v>2032</v>
      </c>
      <c r="B5543">
        <v>3</v>
      </c>
      <c r="C5543" t="s">
        <v>8336</v>
      </c>
      <c r="D5543" t="s">
        <v>315</v>
      </c>
      <c r="E5543" s="13">
        <v>150</v>
      </c>
      <c r="F5543" s="12">
        <v>11.46</v>
      </c>
      <c r="G5543" t="str">
        <f>IFERROR(INDEX(tEditais[Órgão],MATCH(tItens[[#This Row],[Edital]],tEditais[Edital],0)),"")</f>
        <v>MUNICIPIO DE SAO JOAO DO TRIUNFO</v>
      </c>
      <c r="H5543" t="str">
        <f>IFERROR(INDEX(tEditais[UF],MATCH(tItens[[#This Row],[Edital]],tEditais[Edital],0)),"")</f>
        <v>PR</v>
      </c>
      <c r="I5543" s="11">
        <f>IFERROR(INDEX(tEditais[Encerramento],MATCH(tItens[[#This Row],[Edital]],tEditais[Edital],0)),"")</f>
        <v>46309.332638888889</v>
      </c>
      <c r="J5543" t="str">
        <f>IFERROR(INDEX(tProdutos[Classe],MATCH(tItens[[#This Row],[Produto]],tProdutos[Produto],0)),"produto não cadastrado")</f>
        <v>FORA</v>
      </c>
      <c r="K5543" s="12">
        <f>tItens[[#This Row],[Qtd]]*tItens[[#This Row],[Vlr unit]]</f>
        <v>1719.0000000000002</v>
      </c>
      <c r="L5543" s="6">
        <f>IFERROR(IF(INDEX(tProdutos[Desconto homologado],MATCH(tItens[[#This Row],[Produto]],tProdutos[Produto],0))="",DescontoPadrao,INDEX(tProdutos[Desconto homologado],MATCH(tItens[[#This Row],[Produto]],tProdutos[Produto],0))),DescontoPadrao)</f>
        <v>0.38432036097010702</v>
      </c>
      <c r="M5543" s="12">
        <f>tItens[[#This Row],[Valor]]*(1-tItens[[#This Row],[Desconto]])</f>
        <v>1058.3532994923862</v>
      </c>
      <c r="N5543" t="str">
        <f>IFERROR(INDEX(tProdutos[Foco],MATCH(tItens[[#This Row],[Produto]],tProdutos[Produto],0)),"Não")</f>
        <v>Não</v>
      </c>
      <c r="O5543" t="str">
        <f>IFERROR(INDEX(tEditais[SRP],MATCH(tItens[[#This Row],[Edital]],tEditais[Edital],0)),"Não")</f>
        <v>Sim</v>
      </c>
      <c r="P5543" s="4">
        <f>IF(COUNTIFS(INDEX(tItens[Edital],1):tItens[[#This Row],[Edital]],tItens[[#This Row],[Edital]],INDEX(tItens[Produto],1):tItens[[#This Row],[Produto]],tItens[[#This Row],[Produto]])=1,1,0)</f>
        <v>0</v>
      </c>
    </row>
    <row r="5544" spans="1:16" x14ac:dyDescent="0.25">
      <c r="A5544" t="s">
        <v>2032</v>
      </c>
      <c r="B5544">
        <v>6</v>
      </c>
      <c r="C5544" t="s">
        <v>8337</v>
      </c>
      <c r="D5544" t="s">
        <v>287</v>
      </c>
      <c r="E5544" s="13">
        <v>400</v>
      </c>
      <c r="F5544" s="12">
        <v>1.1000000000000001</v>
      </c>
      <c r="G5544" t="str">
        <f>IFERROR(INDEX(tEditais[Órgão],MATCH(tItens[[#This Row],[Edital]],tEditais[Edital],0)),"")</f>
        <v>MUNICIPIO DE SAO JOAO DO TRIUNFO</v>
      </c>
      <c r="H5544" t="str">
        <f>IFERROR(INDEX(tEditais[UF],MATCH(tItens[[#This Row],[Edital]],tEditais[Edital],0)),"")</f>
        <v>PR</v>
      </c>
      <c r="I5544" s="11">
        <f>IFERROR(INDEX(tEditais[Encerramento],MATCH(tItens[[#This Row],[Edital]],tEditais[Edital],0)),"")</f>
        <v>46309.332638888889</v>
      </c>
      <c r="J5544" t="str">
        <f>IFERROR(INDEX(tProdutos[Classe],MATCH(tItens[[#This Row],[Produto]],tProdutos[Produto],0)),"produto não cadastrado")</f>
        <v>FORA</v>
      </c>
      <c r="K5544" s="12">
        <f>tItens[[#This Row],[Qtd]]*tItens[[#This Row],[Vlr unit]]</f>
        <v>440.00000000000006</v>
      </c>
      <c r="L5544" s="6">
        <f>IFERROR(IF(INDEX(tProdutos[Desconto homologado],MATCH(tItens[[#This Row],[Produto]],tProdutos[Produto],0))="",DescontoPadrao,INDEX(tProdutos[Desconto homologado],MATCH(tItens[[#This Row],[Produto]],tProdutos[Produto],0))),DescontoPadrao)</f>
        <v>0.46344491178876002</v>
      </c>
      <c r="M5544" s="12">
        <f>tItens[[#This Row],[Valor]]*(1-tItens[[#This Row],[Desconto]])</f>
        <v>236.08423881294561</v>
      </c>
      <c r="N5544" t="str">
        <f>IFERROR(INDEX(tProdutos[Foco],MATCH(tItens[[#This Row],[Produto]],tProdutos[Produto],0)),"Não")</f>
        <v>Não</v>
      </c>
      <c r="O5544" t="str">
        <f>IFERROR(INDEX(tEditais[SRP],MATCH(tItens[[#This Row],[Edital]],tEditais[Edital],0)),"Não")</f>
        <v>Sim</v>
      </c>
      <c r="P5544" s="4">
        <f>IF(COUNTIFS(INDEX(tItens[Edital],1):tItens[[#This Row],[Edital]],tItens[[#This Row],[Edital]],INDEX(tItens[Produto],1):tItens[[#This Row],[Produto]],tItens[[#This Row],[Produto]])=1,1,0)</f>
        <v>1</v>
      </c>
    </row>
    <row r="5545" spans="1:16" x14ac:dyDescent="0.25">
      <c r="A5545" t="s">
        <v>2032</v>
      </c>
      <c r="B5545">
        <v>7</v>
      </c>
      <c r="C5545" t="s">
        <v>8338</v>
      </c>
      <c r="D5545" t="s">
        <v>281</v>
      </c>
      <c r="E5545" s="13">
        <v>2000</v>
      </c>
      <c r="F5545" s="12">
        <v>0.26</v>
      </c>
      <c r="G5545" t="str">
        <f>IFERROR(INDEX(tEditais[Órgão],MATCH(tItens[[#This Row],[Edital]],tEditais[Edital],0)),"")</f>
        <v>MUNICIPIO DE SAO JOAO DO TRIUNFO</v>
      </c>
      <c r="H5545" t="str">
        <f>IFERROR(INDEX(tEditais[UF],MATCH(tItens[[#This Row],[Edital]],tEditais[Edital],0)),"")</f>
        <v>PR</v>
      </c>
      <c r="I5545" s="11">
        <f>IFERROR(INDEX(tEditais[Encerramento],MATCH(tItens[[#This Row],[Edital]],tEditais[Edital],0)),"")</f>
        <v>46309.332638888889</v>
      </c>
      <c r="J5545" t="str">
        <f>IFERROR(INDEX(tProdutos[Classe],MATCH(tItens[[#This Row],[Produto]],tProdutos[Produto],0)),"produto não cadastrado")</f>
        <v>DISPUTADO</v>
      </c>
      <c r="K5545" s="12">
        <f>tItens[[#This Row],[Qtd]]*tItens[[#This Row],[Vlr unit]]</f>
        <v>520</v>
      </c>
      <c r="L5545" s="6">
        <f>IFERROR(IF(INDEX(tProdutos[Desconto homologado],MATCH(tItens[[#This Row],[Produto]],tProdutos[Produto],0))="",DescontoPadrao,INDEX(tProdutos[Desconto homologado],MATCH(tItens[[#This Row],[Produto]],tProdutos[Produto],0))),DescontoPadrao)</f>
        <v>0.42461538461538501</v>
      </c>
      <c r="M5545" s="12">
        <f>tItens[[#This Row],[Valor]]*(1-tItens[[#This Row],[Desconto]])</f>
        <v>299.19999999999976</v>
      </c>
      <c r="N5545" t="str">
        <f>IFERROR(INDEX(tProdutos[Foco],MATCH(tItens[[#This Row],[Produto]],tProdutos[Produto],0)),"Não")</f>
        <v>Não</v>
      </c>
      <c r="O5545" t="str">
        <f>IFERROR(INDEX(tEditais[SRP],MATCH(tItens[[#This Row],[Edital]],tEditais[Edital],0)),"Não")</f>
        <v>Sim</v>
      </c>
      <c r="P5545" s="4">
        <f>IF(COUNTIFS(INDEX(tItens[Edital],1):tItens[[#This Row],[Edital]],tItens[[#This Row],[Edital]],INDEX(tItens[Produto],1):tItens[[#This Row],[Produto]],tItens[[#This Row],[Produto]])=1,1,0)</f>
        <v>1</v>
      </c>
    </row>
    <row r="5546" spans="1:16" x14ac:dyDescent="0.25">
      <c r="A5546" t="s">
        <v>2032</v>
      </c>
      <c r="B5546">
        <v>8</v>
      </c>
      <c r="C5546" t="s">
        <v>8339</v>
      </c>
      <c r="D5546" t="s">
        <v>265</v>
      </c>
      <c r="E5546" s="13">
        <v>3000</v>
      </c>
      <c r="F5546" s="12">
        <v>0.19</v>
      </c>
      <c r="G5546" t="str">
        <f>IFERROR(INDEX(tEditais[Órgão],MATCH(tItens[[#This Row],[Edital]],tEditais[Edital],0)),"")</f>
        <v>MUNICIPIO DE SAO JOAO DO TRIUNFO</v>
      </c>
      <c r="H5546" t="str">
        <f>IFERROR(INDEX(tEditais[UF],MATCH(tItens[[#This Row],[Edital]],tEditais[Edital],0)),"")</f>
        <v>PR</v>
      </c>
      <c r="I5546" s="11">
        <f>IFERROR(INDEX(tEditais[Encerramento],MATCH(tItens[[#This Row],[Edital]],tEditais[Edital],0)),"")</f>
        <v>46309.332638888889</v>
      </c>
      <c r="J5546" t="str">
        <f>IFERROR(INDEX(tProdutos[Classe],MATCH(tItens[[#This Row],[Produto]],tProdutos[Produto],0)),"produto não cadastrado")</f>
        <v>DISPUTADO</v>
      </c>
      <c r="K5546" s="12">
        <f>tItens[[#This Row],[Qtd]]*tItens[[#This Row],[Vlr unit]]</f>
        <v>570</v>
      </c>
      <c r="L5546" s="6">
        <f>IFERROR(IF(INDEX(tProdutos[Desconto homologado],MATCH(tItens[[#This Row],[Produto]],tProdutos[Produto],0))="",DescontoPadrao,INDEX(tProdutos[Desconto homologado],MATCH(tItens[[#This Row],[Produto]],tProdutos[Produto],0))),DescontoPadrao)</f>
        <v>0.377587663709337</v>
      </c>
      <c r="M5546" s="12">
        <f>tItens[[#This Row],[Valor]]*(1-tItens[[#This Row],[Desconto]])</f>
        <v>354.77503168567796</v>
      </c>
      <c r="N5546" t="str">
        <f>IFERROR(INDEX(tProdutos[Foco],MATCH(tItens[[#This Row],[Produto]],tProdutos[Produto],0)),"Não")</f>
        <v>Não</v>
      </c>
      <c r="O5546" t="str">
        <f>IFERROR(INDEX(tEditais[SRP],MATCH(tItens[[#This Row],[Edital]],tEditais[Edital],0)),"Não")</f>
        <v>Sim</v>
      </c>
      <c r="P5546" s="4">
        <f>IF(COUNTIFS(INDEX(tItens[Edital],1):tItens[[#This Row],[Edital]],tItens[[#This Row],[Edital]],INDEX(tItens[Produto],1):tItens[[#This Row],[Produto]],tItens[[#This Row],[Produto]])=1,1,0)</f>
        <v>1</v>
      </c>
    </row>
    <row r="5547" spans="1:16" x14ac:dyDescent="0.25">
      <c r="A5547" t="s">
        <v>2032</v>
      </c>
      <c r="B5547">
        <v>9</v>
      </c>
      <c r="C5547" t="s">
        <v>8340</v>
      </c>
      <c r="D5547" t="s">
        <v>303</v>
      </c>
      <c r="E5547" s="13">
        <v>2500</v>
      </c>
      <c r="F5547" s="12">
        <v>0.4</v>
      </c>
      <c r="G5547" t="str">
        <f>IFERROR(INDEX(tEditais[Órgão],MATCH(tItens[[#This Row],[Edital]],tEditais[Edital],0)),"")</f>
        <v>MUNICIPIO DE SAO JOAO DO TRIUNFO</v>
      </c>
      <c r="H5547" t="str">
        <f>IFERROR(INDEX(tEditais[UF],MATCH(tItens[[#This Row],[Edital]],tEditais[Edital],0)),"")</f>
        <v>PR</v>
      </c>
      <c r="I5547" s="11">
        <f>IFERROR(INDEX(tEditais[Encerramento],MATCH(tItens[[#This Row],[Edital]],tEditais[Edital],0)),"")</f>
        <v>46309.332638888889</v>
      </c>
      <c r="J5547" t="str">
        <f>IFERROR(INDEX(tProdutos[Classe],MATCH(tItens[[#This Row],[Produto]],tProdutos[Produto],0)),"produto não cadastrado")</f>
        <v>FORA</v>
      </c>
      <c r="K5547" s="12">
        <f>tItens[[#This Row],[Qtd]]*tItens[[#This Row],[Vlr unit]]</f>
        <v>1000</v>
      </c>
      <c r="L5547" s="6">
        <f>IFERROR(IF(INDEX(tProdutos[Desconto homologado],MATCH(tItens[[#This Row],[Produto]],tProdutos[Produto],0))="",DescontoPadrao,INDEX(tProdutos[Desconto homologado],MATCH(tItens[[#This Row],[Produto]],tProdutos[Produto],0))),DescontoPadrao)</f>
        <v>0.35748048048048098</v>
      </c>
      <c r="M5547" s="12">
        <f>tItens[[#This Row],[Valor]]*(1-tItens[[#This Row],[Desconto]])</f>
        <v>642.51951951951901</v>
      </c>
      <c r="N5547" t="str">
        <f>IFERROR(INDEX(tProdutos[Foco],MATCH(tItens[[#This Row],[Produto]],tProdutos[Produto],0)),"Não")</f>
        <v>Não</v>
      </c>
      <c r="O5547" t="str">
        <f>IFERROR(INDEX(tEditais[SRP],MATCH(tItens[[#This Row],[Edital]],tEditais[Edital],0)),"Não")</f>
        <v>Sim</v>
      </c>
      <c r="P5547" s="4">
        <f>IF(COUNTIFS(INDEX(tItens[Edital],1):tItens[[#This Row],[Edital]],tItens[[#This Row],[Edital]],INDEX(tItens[Produto],1):tItens[[#This Row],[Produto]],tItens[[#This Row],[Produto]])=1,1,0)</f>
        <v>1</v>
      </c>
    </row>
    <row r="5548" spans="1:16" x14ac:dyDescent="0.25">
      <c r="A5548" t="s">
        <v>2032</v>
      </c>
      <c r="B5548">
        <v>10</v>
      </c>
      <c r="C5548" t="s">
        <v>8341</v>
      </c>
      <c r="D5548" t="s">
        <v>275</v>
      </c>
      <c r="E5548" s="13">
        <v>5000</v>
      </c>
      <c r="F5548" s="12">
        <v>0.26</v>
      </c>
      <c r="G5548" t="str">
        <f>IFERROR(INDEX(tEditais[Órgão],MATCH(tItens[[#This Row],[Edital]],tEditais[Edital],0)),"")</f>
        <v>MUNICIPIO DE SAO JOAO DO TRIUNFO</v>
      </c>
      <c r="H5548" t="str">
        <f>IFERROR(INDEX(tEditais[UF],MATCH(tItens[[#This Row],[Edital]],tEditais[Edital],0)),"")</f>
        <v>PR</v>
      </c>
      <c r="I5548" s="11">
        <f>IFERROR(INDEX(tEditais[Encerramento],MATCH(tItens[[#This Row],[Edital]],tEditais[Edital],0)),"")</f>
        <v>46309.332638888889</v>
      </c>
      <c r="J5548" t="str">
        <f>IFERROR(INDEX(tProdutos[Classe],MATCH(tItens[[#This Row],[Produto]],tProdutos[Produto],0)),"produto não cadastrado")</f>
        <v>FORA</v>
      </c>
      <c r="K5548" s="12">
        <f>tItens[[#This Row],[Qtd]]*tItens[[#This Row],[Vlr unit]]</f>
        <v>1300</v>
      </c>
      <c r="L5548" s="6">
        <f>IFERROR(IF(INDEX(tProdutos[Desconto homologado],MATCH(tItens[[#This Row],[Produto]],tProdutos[Produto],0))="",DescontoPadrao,INDEX(tProdutos[Desconto homologado],MATCH(tItens[[#This Row],[Produto]],tProdutos[Produto],0))),DescontoPadrao)</f>
        <v>0.405797101449275</v>
      </c>
      <c r="M5548" s="12">
        <f>tItens[[#This Row],[Valor]]*(1-tItens[[#This Row],[Desconto]])</f>
        <v>772.46376811594257</v>
      </c>
      <c r="N5548" t="str">
        <f>IFERROR(INDEX(tProdutos[Foco],MATCH(tItens[[#This Row],[Produto]],tProdutos[Produto],0)),"Não")</f>
        <v>Não</v>
      </c>
      <c r="O5548" t="str">
        <f>IFERROR(INDEX(tEditais[SRP],MATCH(tItens[[#This Row],[Edital]],tEditais[Edital],0)),"Não")</f>
        <v>Sim</v>
      </c>
      <c r="P5548" s="4">
        <f>IF(COUNTIFS(INDEX(tItens[Edital],1):tItens[[#This Row],[Edital]],tItens[[#This Row],[Edital]],INDEX(tItens[Produto],1):tItens[[#This Row],[Produto]],tItens[[#This Row],[Produto]])=1,1,0)</f>
        <v>1</v>
      </c>
    </row>
    <row r="5549" spans="1:16" x14ac:dyDescent="0.25">
      <c r="A5549" t="s">
        <v>2032</v>
      </c>
      <c r="B5549">
        <v>40</v>
      </c>
      <c r="C5549" t="s">
        <v>8342</v>
      </c>
      <c r="D5549" t="s">
        <v>75</v>
      </c>
      <c r="E5549" s="13">
        <v>500</v>
      </c>
      <c r="F5549" s="12">
        <v>1.92</v>
      </c>
      <c r="G5549" t="str">
        <f>IFERROR(INDEX(tEditais[Órgão],MATCH(tItens[[#This Row],[Edital]],tEditais[Edital],0)),"")</f>
        <v>MUNICIPIO DE SAO JOAO DO TRIUNFO</v>
      </c>
      <c r="H5549" t="str">
        <f>IFERROR(INDEX(tEditais[UF],MATCH(tItens[[#This Row],[Edital]],tEditais[Edital],0)),"")</f>
        <v>PR</v>
      </c>
      <c r="I5549" s="11">
        <f>IFERROR(INDEX(tEditais[Encerramento],MATCH(tItens[[#This Row],[Edital]],tEditais[Edital],0)),"")</f>
        <v>46309.332638888889</v>
      </c>
      <c r="J5549" t="str">
        <f>IFERROR(INDEX(tProdutos[Classe],MATCH(tItens[[#This Row],[Produto]],tProdutos[Produto],0)),"produto não cadastrado")</f>
        <v>NÚCLEO</v>
      </c>
      <c r="K5549" s="12">
        <f>tItens[[#This Row],[Qtd]]*tItens[[#This Row],[Vlr unit]]</f>
        <v>960</v>
      </c>
      <c r="L5549" s="6">
        <f>IFERROR(IF(INDEX(tProdutos[Desconto homologado],MATCH(tItens[[#This Row],[Produto]],tProdutos[Produto],0))="",DescontoPadrao,INDEX(tProdutos[Desconto homologado],MATCH(tItens[[#This Row],[Produto]],tProdutos[Produto],0))),DescontoPadrao)</f>
        <v>0.26</v>
      </c>
      <c r="M5549" s="12">
        <f>tItens[[#This Row],[Valor]]*(1-tItens[[#This Row],[Desconto]])</f>
        <v>710.4</v>
      </c>
      <c r="N5549" t="str">
        <f>IFERROR(INDEX(tProdutos[Foco],MATCH(tItens[[#This Row],[Produto]],tProdutos[Produto],0)),"Não")</f>
        <v>Sim</v>
      </c>
      <c r="O5549" t="str">
        <f>IFERROR(INDEX(tEditais[SRP],MATCH(tItens[[#This Row],[Edital]],tEditais[Edital],0)),"Não")</f>
        <v>Sim</v>
      </c>
      <c r="P5549" s="4">
        <f>IF(COUNTIFS(INDEX(tItens[Edital],1):tItens[[#This Row],[Edital]],tItens[[#This Row],[Edital]],INDEX(tItens[Produto],1):tItens[[#This Row],[Produto]],tItens[[#This Row],[Produto]])=1,1,0)</f>
        <v>1</v>
      </c>
    </row>
    <row r="5550" spans="1:16" x14ac:dyDescent="0.25">
      <c r="A5550" t="s">
        <v>2032</v>
      </c>
      <c r="B5550">
        <v>41</v>
      </c>
      <c r="C5550" t="s">
        <v>8343</v>
      </c>
      <c r="D5550" t="s">
        <v>75</v>
      </c>
      <c r="E5550" s="13">
        <v>700</v>
      </c>
      <c r="F5550" s="12">
        <v>1.6</v>
      </c>
      <c r="G5550" t="str">
        <f>IFERROR(INDEX(tEditais[Órgão],MATCH(tItens[[#This Row],[Edital]],tEditais[Edital],0)),"")</f>
        <v>MUNICIPIO DE SAO JOAO DO TRIUNFO</v>
      </c>
      <c r="H5550" t="str">
        <f>IFERROR(INDEX(tEditais[UF],MATCH(tItens[[#This Row],[Edital]],tEditais[Edital],0)),"")</f>
        <v>PR</v>
      </c>
      <c r="I5550" s="11">
        <f>IFERROR(INDEX(tEditais[Encerramento],MATCH(tItens[[#This Row],[Edital]],tEditais[Edital],0)),"")</f>
        <v>46309.332638888889</v>
      </c>
      <c r="J5550" t="str">
        <f>IFERROR(INDEX(tProdutos[Classe],MATCH(tItens[[#This Row],[Produto]],tProdutos[Produto],0)),"produto não cadastrado")</f>
        <v>NÚCLEO</v>
      </c>
      <c r="K5550" s="12">
        <f>tItens[[#This Row],[Qtd]]*tItens[[#This Row],[Vlr unit]]</f>
        <v>1120</v>
      </c>
      <c r="L5550" s="6">
        <f>IFERROR(IF(INDEX(tProdutos[Desconto homologado],MATCH(tItens[[#This Row],[Produto]],tProdutos[Produto],0))="",DescontoPadrao,INDEX(tProdutos[Desconto homologado],MATCH(tItens[[#This Row],[Produto]],tProdutos[Produto],0))),DescontoPadrao)</f>
        <v>0.26</v>
      </c>
      <c r="M5550" s="12">
        <f>tItens[[#This Row],[Valor]]*(1-tItens[[#This Row],[Desconto]])</f>
        <v>828.8</v>
      </c>
      <c r="N5550" t="str">
        <f>IFERROR(INDEX(tProdutos[Foco],MATCH(tItens[[#This Row],[Produto]],tProdutos[Produto],0)),"Não")</f>
        <v>Sim</v>
      </c>
      <c r="O5550" t="str">
        <f>IFERROR(INDEX(tEditais[SRP],MATCH(tItens[[#This Row],[Edital]],tEditais[Edital],0)),"Não")</f>
        <v>Sim</v>
      </c>
      <c r="P5550" s="4">
        <f>IF(COUNTIFS(INDEX(tItens[Edital],1):tItens[[#This Row],[Edital]],tItens[[#This Row],[Edital]],INDEX(tItens[Produto],1):tItens[[#This Row],[Produto]],tItens[[#This Row],[Produto]])=1,1,0)</f>
        <v>0</v>
      </c>
    </row>
    <row r="5551" spans="1:16" x14ac:dyDescent="0.25">
      <c r="A5551" t="s">
        <v>2032</v>
      </c>
      <c r="B5551">
        <v>44</v>
      </c>
      <c r="C5551" t="s">
        <v>8344</v>
      </c>
      <c r="D5551" t="s">
        <v>77</v>
      </c>
      <c r="E5551" s="13">
        <v>500</v>
      </c>
      <c r="F5551" s="12">
        <v>2.46</v>
      </c>
      <c r="G5551" t="str">
        <f>IFERROR(INDEX(tEditais[Órgão],MATCH(tItens[[#This Row],[Edital]],tEditais[Edital],0)),"")</f>
        <v>MUNICIPIO DE SAO JOAO DO TRIUNFO</v>
      </c>
      <c r="H5551" t="str">
        <f>IFERROR(INDEX(tEditais[UF],MATCH(tItens[[#This Row],[Edital]],tEditais[Edital],0)),"")</f>
        <v>PR</v>
      </c>
      <c r="I5551" s="11">
        <f>IFERROR(INDEX(tEditais[Encerramento],MATCH(tItens[[#This Row],[Edital]],tEditais[Edital],0)),"")</f>
        <v>46309.332638888889</v>
      </c>
      <c r="J5551" t="str">
        <f>IFERROR(INDEX(tProdutos[Classe],MATCH(tItens[[#This Row],[Produto]],tProdutos[Produto],0)),"produto não cadastrado")</f>
        <v>DISPUTADO</v>
      </c>
      <c r="K5551" s="12">
        <f>tItens[[#This Row],[Qtd]]*tItens[[#This Row],[Vlr unit]]</f>
        <v>1230</v>
      </c>
      <c r="L5551" s="6">
        <f>IFERROR(IF(INDEX(tProdutos[Desconto homologado],MATCH(tItens[[#This Row],[Produto]],tProdutos[Produto],0))="",DescontoPadrao,INDEX(tProdutos[Desconto homologado],MATCH(tItens[[#This Row],[Produto]],tProdutos[Produto],0))),DescontoPadrao)</f>
        <v>0.33</v>
      </c>
      <c r="M5551" s="12">
        <f>tItens[[#This Row],[Valor]]*(1-tItens[[#This Row],[Desconto]])</f>
        <v>824.09999999999991</v>
      </c>
      <c r="N5551" t="str">
        <f>IFERROR(INDEX(tProdutos[Foco],MATCH(tItens[[#This Row],[Produto]],tProdutos[Produto],0)),"Não")</f>
        <v>Sim</v>
      </c>
      <c r="O5551" t="str">
        <f>IFERROR(INDEX(tEditais[SRP],MATCH(tItens[[#This Row],[Edital]],tEditais[Edital],0)),"Não")</f>
        <v>Sim</v>
      </c>
      <c r="P5551" s="4">
        <f>IF(COUNTIFS(INDEX(tItens[Edital],1):tItens[[#This Row],[Edital]],tItens[[#This Row],[Edital]],INDEX(tItens[Produto],1):tItens[[#This Row],[Produto]],tItens[[#This Row],[Produto]])=1,1,0)</f>
        <v>1</v>
      </c>
    </row>
    <row r="5552" spans="1:16" x14ac:dyDescent="0.25">
      <c r="A5552" t="s">
        <v>2032</v>
      </c>
      <c r="B5552">
        <v>45</v>
      </c>
      <c r="C5552" t="s">
        <v>8345</v>
      </c>
      <c r="D5552" t="s">
        <v>77</v>
      </c>
      <c r="E5552" s="13">
        <v>700</v>
      </c>
      <c r="F5552" s="12">
        <v>4.29</v>
      </c>
      <c r="G5552" t="str">
        <f>IFERROR(INDEX(tEditais[Órgão],MATCH(tItens[[#This Row],[Edital]],tEditais[Edital],0)),"")</f>
        <v>MUNICIPIO DE SAO JOAO DO TRIUNFO</v>
      </c>
      <c r="H5552" t="str">
        <f>IFERROR(INDEX(tEditais[UF],MATCH(tItens[[#This Row],[Edital]],tEditais[Edital],0)),"")</f>
        <v>PR</v>
      </c>
      <c r="I5552" s="11">
        <f>IFERROR(INDEX(tEditais[Encerramento],MATCH(tItens[[#This Row],[Edital]],tEditais[Edital],0)),"")</f>
        <v>46309.332638888889</v>
      </c>
      <c r="J5552" t="str">
        <f>IFERROR(INDEX(tProdutos[Classe],MATCH(tItens[[#This Row],[Produto]],tProdutos[Produto],0)),"produto não cadastrado")</f>
        <v>DISPUTADO</v>
      </c>
      <c r="K5552" s="12">
        <f>tItens[[#This Row],[Qtd]]*tItens[[#This Row],[Vlr unit]]</f>
        <v>3003</v>
      </c>
      <c r="L5552" s="6">
        <f>IFERROR(IF(INDEX(tProdutos[Desconto homologado],MATCH(tItens[[#This Row],[Produto]],tProdutos[Produto],0))="",DescontoPadrao,INDEX(tProdutos[Desconto homologado],MATCH(tItens[[#This Row],[Produto]],tProdutos[Produto],0))),DescontoPadrao)</f>
        <v>0.33</v>
      </c>
      <c r="M5552" s="12">
        <f>tItens[[#This Row],[Valor]]*(1-tItens[[#This Row],[Desconto]])</f>
        <v>2012.0099999999998</v>
      </c>
      <c r="N5552" t="str">
        <f>IFERROR(INDEX(tProdutos[Foco],MATCH(tItens[[#This Row],[Produto]],tProdutos[Produto],0)),"Não")</f>
        <v>Sim</v>
      </c>
      <c r="O5552" t="str">
        <f>IFERROR(INDEX(tEditais[SRP],MATCH(tItens[[#This Row],[Edital]],tEditais[Edital],0)),"Não")</f>
        <v>Sim</v>
      </c>
      <c r="P5552" s="4">
        <f>IF(COUNTIFS(INDEX(tItens[Edital],1):tItens[[#This Row],[Edital]],tItens[[#This Row],[Edital]],INDEX(tItens[Produto],1):tItens[[#This Row],[Produto]],tItens[[#This Row],[Produto]])=1,1,0)</f>
        <v>0</v>
      </c>
    </row>
    <row r="5553" spans="1:16" x14ac:dyDescent="0.25">
      <c r="A5553" t="s">
        <v>2032</v>
      </c>
      <c r="B5553">
        <v>46</v>
      </c>
      <c r="C5553" t="s">
        <v>8346</v>
      </c>
      <c r="D5553" t="s">
        <v>343</v>
      </c>
      <c r="E5553" s="13">
        <v>100</v>
      </c>
      <c r="F5553" s="12">
        <v>1.5</v>
      </c>
      <c r="G5553" t="str">
        <f>IFERROR(INDEX(tEditais[Órgão],MATCH(tItens[[#This Row],[Edital]],tEditais[Edital],0)),"")</f>
        <v>MUNICIPIO DE SAO JOAO DO TRIUNFO</v>
      </c>
      <c r="H5553" t="str">
        <f>IFERROR(INDEX(tEditais[UF],MATCH(tItens[[#This Row],[Edital]],tEditais[Edital],0)),"")</f>
        <v>PR</v>
      </c>
      <c r="I5553" s="11">
        <f>IFERROR(INDEX(tEditais[Encerramento],MATCH(tItens[[#This Row],[Edital]],tEditais[Edital],0)),"")</f>
        <v>46309.332638888889</v>
      </c>
      <c r="J5553" t="str">
        <f>IFERROR(INDEX(tProdutos[Classe],MATCH(tItens[[#This Row],[Produto]],tProdutos[Produto],0)),"produto não cadastrado")</f>
        <v>FORA</v>
      </c>
      <c r="K5553" s="12">
        <f>tItens[[#This Row],[Qtd]]*tItens[[#This Row],[Vlr unit]]</f>
        <v>150</v>
      </c>
      <c r="L5553" s="6">
        <f>IFERROR(IF(INDEX(tProdutos[Desconto homologado],MATCH(tItens[[#This Row],[Produto]],tProdutos[Produto],0))="",DescontoPadrao,INDEX(tProdutos[Desconto homologado],MATCH(tItens[[#This Row],[Produto]],tProdutos[Produto],0))),DescontoPadrao)</f>
        <v>0.35412234042553198</v>
      </c>
      <c r="M5553" s="12">
        <f>tItens[[#This Row],[Valor]]*(1-tItens[[#This Row],[Desconto]])</f>
        <v>96.881648936170194</v>
      </c>
      <c r="N5553" t="str">
        <f>IFERROR(INDEX(tProdutos[Foco],MATCH(tItens[[#This Row],[Produto]],tProdutos[Produto],0)),"Não")</f>
        <v>Não</v>
      </c>
      <c r="O5553" t="str">
        <f>IFERROR(INDEX(tEditais[SRP],MATCH(tItens[[#This Row],[Edital]],tEditais[Edital],0)),"Não")</f>
        <v>Sim</v>
      </c>
      <c r="P5553" s="4">
        <f>IF(COUNTIFS(INDEX(tItens[Edital],1):tItens[[#This Row],[Edital]],tItens[[#This Row],[Edital]],INDEX(tItens[Produto],1):tItens[[#This Row],[Produto]],tItens[[#This Row],[Produto]])=1,1,0)</f>
        <v>1</v>
      </c>
    </row>
    <row r="5554" spans="1:16" x14ac:dyDescent="0.25">
      <c r="A5554" t="s">
        <v>2032</v>
      </c>
      <c r="B5554">
        <v>47</v>
      </c>
      <c r="C5554" t="s">
        <v>8347</v>
      </c>
      <c r="D5554" t="s">
        <v>343</v>
      </c>
      <c r="E5554" s="13">
        <v>100</v>
      </c>
      <c r="F5554" s="12">
        <v>1.39</v>
      </c>
      <c r="G5554" t="str">
        <f>IFERROR(INDEX(tEditais[Órgão],MATCH(tItens[[#This Row],[Edital]],tEditais[Edital],0)),"")</f>
        <v>MUNICIPIO DE SAO JOAO DO TRIUNFO</v>
      </c>
      <c r="H5554" t="str">
        <f>IFERROR(INDEX(tEditais[UF],MATCH(tItens[[#This Row],[Edital]],tEditais[Edital],0)),"")</f>
        <v>PR</v>
      </c>
      <c r="I5554" s="11">
        <f>IFERROR(INDEX(tEditais[Encerramento],MATCH(tItens[[#This Row],[Edital]],tEditais[Edital],0)),"")</f>
        <v>46309.332638888889</v>
      </c>
      <c r="J5554" t="str">
        <f>IFERROR(INDEX(tProdutos[Classe],MATCH(tItens[[#This Row],[Produto]],tProdutos[Produto],0)),"produto não cadastrado")</f>
        <v>FORA</v>
      </c>
      <c r="K5554" s="12">
        <f>tItens[[#This Row],[Qtd]]*tItens[[#This Row],[Vlr unit]]</f>
        <v>139</v>
      </c>
      <c r="L5554" s="6">
        <f>IFERROR(IF(INDEX(tProdutos[Desconto homologado],MATCH(tItens[[#This Row],[Produto]],tProdutos[Produto],0))="",DescontoPadrao,INDEX(tProdutos[Desconto homologado],MATCH(tItens[[#This Row],[Produto]],tProdutos[Produto],0))),DescontoPadrao)</f>
        <v>0.35412234042553198</v>
      </c>
      <c r="M5554" s="12">
        <f>tItens[[#This Row],[Valor]]*(1-tItens[[#This Row],[Desconto]])</f>
        <v>89.776994680851047</v>
      </c>
      <c r="N5554" t="str">
        <f>IFERROR(INDEX(tProdutos[Foco],MATCH(tItens[[#This Row],[Produto]],tProdutos[Produto],0)),"Não")</f>
        <v>Não</v>
      </c>
      <c r="O5554" t="str">
        <f>IFERROR(INDEX(tEditais[SRP],MATCH(tItens[[#This Row],[Edital]],tEditais[Edital],0)),"Não")</f>
        <v>Sim</v>
      </c>
      <c r="P5554" s="4">
        <f>IF(COUNTIFS(INDEX(tItens[Edital],1):tItens[[#This Row],[Edital]],tItens[[#This Row],[Edital]],INDEX(tItens[Produto],1):tItens[[#This Row],[Produto]],tItens[[#This Row],[Produto]])=1,1,0)</f>
        <v>0</v>
      </c>
    </row>
    <row r="5555" spans="1:16" x14ac:dyDescent="0.25">
      <c r="A5555" t="s">
        <v>2032</v>
      </c>
      <c r="B5555">
        <v>48</v>
      </c>
      <c r="C5555" t="s">
        <v>8348</v>
      </c>
      <c r="D5555" t="s">
        <v>343</v>
      </c>
      <c r="E5555" s="13">
        <v>100</v>
      </c>
      <c r="F5555" s="12">
        <v>1.4</v>
      </c>
      <c r="G5555" t="str">
        <f>IFERROR(INDEX(tEditais[Órgão],MATCH(tItens[[#This Row],[Edital]],tEditais[Edital],0)),"")</f>
        <v>MUNICIPIO DE SAO JOAO DO TRIUNFO</v>
      </c>
      <c r="H5555" t="str">
        <f>IFERROR(INDEX(tEditais[UF],MATCH(tItens[[#This Row],[Edital]],tEditais[Edital],0)),"")</f>
        <v>PR</v>
      </c>
      <c r="I5555" s="11">
        <f>IFERROR(INDEX(tEditais[Encerramento],MATCH(tItens[[#This Row],[Edital]],tEditais[Edital],0)),"")</f>
        <v>46309.332638888889</v>
      </c>
      <c r="J5555" t="str">
        <f>IFERROR(INDEX(tProdutos[Classe],MATCH(tItens[[#This Row],[Produto]],tProdutos[Produto],0)),"produto não cadastrado")</f>
        <v>FORA</v>
      </c>
      <c r="K5555" s="12">
        <f>tItens[[#This Row],[Qtd]]*tItens[[#This Row],[Vlr unit]]</f>
        <v>140</v>
      </c>
      <c r="L5555" s="6">
        <f>IFERROR(IF(INDEX(tProdutos[Desconto homologado],MATCH(tItens[[#This Row],[Produto]],tProdutos[Produto],0))="",DescontoPadrao,INDEX(tProdutos[Desconto homologado],MATCH(tItens[[#This Row],[Produto]],tProdutos[Produto],0))),DescontoPadrao)</f>
        <v>0.35412234042553198</v>
      </c>
      <c r="M5555" s="12">
        <f>tItens[[#This Row],[Valor]]*(1-tItens[[#This Row],[Desconto]])</f>
        <v>90.422872340425513</v>
      </c>
      <c r="N5555" t="str">
        <f>IFERROR(INDEX(tProdutos[Foco],MATCH(tItens[[#This Row],[Produto]],tProdutos[Produto],0)),"Não")</f>
        <v>Não</v>
      </c>
      <c r="O5555" t="str">
        <f>IFERROR(INDEX(tEditais[SRP],MATCH(tItens[[#This Row],[Edital]],tEditais[Edital],0)),"Não")</f>
        <v>Sim</v>
      </c>
      <c r="P5555" s="4">
        <f>IF(COUNTIFS(INDEX(tItens[Edital],1):tItens[[#This Row],[Edital]],tItens[[#This Row],[Edital]],INDEX(tItens[Produto],1):tItens[[#This Row],[Produto]],tItens[[#This Row],[Produto]])=1,1,0)</f>
        <v>0</v>
      </c>
    </row>
    <row r="5556" spans="1:16" x14ac:dyDescent="0.25">
      <c r="A5556" t="s">
        <v>2032</v>
      </c>
      <c r="B5556">
        <v>49</v>
      </c>
      <c r="C5556" t="s">
        <v>8349</v>
      </c>
      <c r="D5556" t="s">
        <v>343</v>
      </c>
      <c r="E5556" s="13">
        <v>100</v>
      </c>
      <c r="F5556" s="12">
        <v>1.36</v>
      </c>
      <c r="G5556" t="str">
        <f>IFERROR(INDEX(tEditais[Órgão],MATCH(tItens[[#This Row],[Edital]],tEditais[Edital],0)),"")</f>
        <v>MUNICIPIO DE SAO JOAO DO TRIUNFO</v>
      </c>
      <c r="H5556" t="str">
        <f>IFERROR(INDEX(tEditais[UF],MATCH(tItens[[#This Row],[Edital]],tEditais[Edital],0)),"")</f>
        <v>PR</v>
      </c>
      <c r="I5556" s="11">
        <f>IFERROR(INDEX(tEditais[Encerramento],MATCH(tItens[[#This Row],[Edital]],tEditais[Edital],0)),"")</f>
        <v>46309.332638888889</v>
      </c>
      <c r="J5556" t="str">
        <f>IFERROR(INDEX(tProdutos[Classe],MATCH(tItens[[#This Row],[Produto]],tProdutos[Produto],0)),"produto não cadastrado")</f>
        <v>FORA</v>
      </c>
      <c r="K5556" s="12">
        <f>tItens[[#This Row],[Qtd]]*tItens[[#This Row],[Vlr unit]]</f>
        <v>136</v>
      </c>
      <c r="L5556" s="6">
        <f>IFERROR(IF(INDEX(tProdutos[Desconto homologado],MATCH(tItens[[#This Row],[Produto]],tProdutos[Produto],0))="",DescontoPadrao,INDEX(tProdutos[Desconto homologado],MATCH(tItens[[#This Row],[Produto]],tProdutos[Produto],0))),DescontoPadrao)</f>
        <v>0.35412234042553198</v>
      </c>
      <c r="M5556" s="12">
        <f>tItens[[#This Row],[Valor]]*(1-tItens[[#This Row],[Desconto]])</f>
        <v>87.839361702127647</v>
      </c>
      <c r="N5556" t="str">
        <f>IFERROR(INDEX(tProdutos[Foco],MATCH(tItens[[#This Row],[Produto]],tProdutos[Produto],0)),"Não")</f>
        <v>Não</v>
      </c>
      <c r="O5556" t="str">
        <f>IFERROR(INDEX(tEditais[SRP],MATCH(tItens[[#This Row],[Edital]],tEditais[Edital],0)),"Não")</f>
        <v>Sim</v>
      </c>
      <c r="P5556" s="4">
        <f>IF(COUNTIFS(INDEX(tItens[Edital],1):tItens[[#This Row],[Edital]],tItens[[#This Row],[Edital]],INDEX(tItens[Produto],1):tItens[[#This Row],[Produto]],tItens[[#This Row],[Produto]])=1,1,0)</f>
        <v>0</v>
      </c>
    </row>
    <row r="5557" spans="1:16" x14ac:dyDescent="0.25">
      <c r="A5557" t="s">
        <v>2032</v>
      </c>
      <c r="B5557">
        <v>50</v>
      </c>
      <c r="C5557" t="s">
        <v>8350</v>
      </c>
      <c r="D5557" t="s">
        <v>343</v>
      </c>
      <c r="E5557" s="13">
        <v>30</v>
      </c>
      <c r="F5557" s="12">
        <v>1.25</v>
      </c>
      <c r="G5557" t="str">
        <f>IFERROR(INDEX(tEditais[Órgão],MATCH(tItens[[#This Row],[Edital]],tEditais[Edital],0)),"")</f>
        <v>MUNICIPIO DE SAO JOAO DO TRIUNFO</v>
      </c>
      <c r="H5557" t="str">
        <f>IFERROR(INDEX(tEditais[UF],MATCH(tItens[[#This Row],[Edital]],tEditais[Edital],0)),"")</f>
        <v>PR</v>
      </c>
      <c r="I5557" s="11">
        <f>IFERROR(INDEX(tEditais[Encerramento],MATCH(tItens[[#This Row],[Edital]],tEditais[Edital],0)),"")</f>
        <v>46309.332638888889</v>
      </c>
      <c r="J5557" t="str">
        <f>IFERROR(INDEX(tProdutos[Classe],MATCH(tItens[[#This Row],[Produto]],tProdutos[Produto],0)),"produto não cadastrado")</f>
        <v>FORA</v>
      </c>
      <c r="K5557" s="12">
        <f>tItens[[#This Row],[Qtd]]*tItens[[#This Row],[Vlr unit]]</f>
        <v>37.5</v>
      </c>
      <c r="L5557" s="6">
        <f>IFERROR(IF(INDEX(tProdutos[Desconto homologado],MATCH(tItens[[#This Row],[Produto]],tProdutos[Produto],0))="",DescontoPadrao,INDEX(tProdutos[Desconto homologado],MATCH(tItens[[#This Row],[Produto]],tProdutos[Produto],0))),DescontoPadrao)</f>
        <v>0.35412234042553198</v>
      </c>
      <c r="M5557" s="12">
        <f>tItens[[#This Row],[Valor]]*(1-tItens[[#This Row],[Desconto]])</f>
        <v>24.220412234042549</v>
      </c>
      <c r="N5557" t="str">
        <f>IFERROR(INDEX(tProdutos[Foco],MATCH(tItens[[#This Row],[Produto]],tProdutos[Produto],0)),"Não")</f>
        <v>Não</v>
      </c>
      <c r="O5557" t="str">
        <f>IFERROR(INDEX(tEditais[SRP],MATCH(tItens[[#This Row],[Edital]],tEditais[Edital],0)),"Não")</f>
        <v>Sim</v>
      </c>
      <c r="P5557" s="4">
        <f>IF(COUNTIFS(INDEX(tItens[Edital],1):tItens[[#This Row],[Edital]],tItens[[#This Row],[Edital]],INDEX(tItens[Produto],1):tItens[[#This Row],[Produto]],tItens[[#This Row],[Produto]])=1,1,0)</f>
        <v>0</v>
      </c>
    </row>
    <row r="5558" spans="1:16" x14ac:dyDescent="0.25">
      <c r="A5558" t="s">
        <v>2032</v>
      </c>
      <c r="B5558">
        <v>51</v>
      </c>
      <c r="C5558" t="s">
        <v>8351</v>
      </c>
      <c r="D5558" t="s">
        <v>313</v>
      </c>
      <c r="E5558" s="13">
        <v>1200</v>
      </c>
      <c r="F5558" s="12">
        <v>22.3</v>
      </c>
      <c r="G5558" t="str">
        <f>IFERROR(INDEX(tEditais[Órgão],MATCH(tItens[[#This Row],[Edital]],tEditais[Edital],0)),"")</f>
        <v>MUNICIPIO DE SAO JOAO DO TRIUNFO</v>
      </c>
      <c r="H5558" t="str">
        <f>IFERROR(INDEX(tEditais[UF],MATCH(tItens[[#This Row],[Edital]],tEditais[Edital],0)),"")</f>
        <v>PR</v>
      </c>
      <c r="I5558" s="11">
        <f>IFERROR(INDEX(tEditais[Encerramento],MATCH(tItens[[#This Row],[Edital]],tEditais[Edital],0)),"")</f>
        <v>46309.332638888889</v>
      </c>
      <c r="J5558" t="str">
        <f>IFERROR(INDEX(tProdutos[Classe],MATCH(tItens[[#This Row],[Produto]],tProdutos[Produto],0)),"produto não cadastrado")</f>
        <v>FORA</v>
      </c>
      <c r="K5558" s="12">
        <f>tItens[[#This Row],[Qtd]]*tItens[[#This Row],[Vlr unit]]</f>
        <v>26760</v>
      </c>
      <c r="L5558" s="6">
        <f>IFERROR(IF(INDEX(tProdutos[Desconto homologado],MATCH(tItens[[#This Row],[Produto]],tProdutos[Produto],0))="",DescontoPadrao,INDEX(tProdutos[Desconto homologado],MATCH(tItens[[#This Row],[Produto]],tProdutos[Produto],0))),DescontoPadrao)</f>
        <v>0.35766373163696302</v>
      </c>
      <c r="M5558" s="12">
        <f>tItens[[#This Row],[Valor]]*(1-tItens[[#This Row],[Desconto]])</f>
        <v>17188.918541394869</v>
      </c>
      <c r="N5558" t="str">
        <f>IFERROR(INDEX(tProdutos[Foco],MATCH(tItens[[#This Row],[Produto]],tProdutos[Produto],0)),"Não")</f>
        <v>Não</v>
      </c>
      <c r="O5558" t="str">
        <f>IFERROR(INDEX(tEditais[SRP],MATCH(tItens[[#This Row],[Edital]],tEditais[Edital],0)),"Não")</f>
        <v>Sim</v>
      </c>
      <c r="P5558" s="4">
        <f>IF(COUNTIFS(INDEX(tItens[Edital],1):tItens[[#This Row],[Edital]],tItens[[#This Row],[Edital]],INDEX(tItens[Produto],1):tItens[[#This Row],[Produto]],tItens[[#This Row],[Produto]])=1,1,0)</f>
        <v>1</v>
      </c>
    </row>
    <row r="5559" spans="1:16" x14ac:dyDescent="0.25">
      <c r="A5559" t="s">
        <v>2032</v>
      </c>
      <c r="B5559">
        <v>52</v>
      </c>
      <c r="C5559" t="s">
        <v>8352</v>
      </c>
      <c r="D5559" t="s">
        <v>313</v>
      </c>
      <c r="E5559" s="13">
        <v>800</v>
      </c>
      <c r="F5559" s="12">
        <v>23.34</v>
      </c>
      <c r="G5559" t="str">
        <f>IFERROR(INDEX(tEditais[Órgão],MATCH(tItens[[#This Row],[Edital]],tEditais[Edital],0)),"")</f>
        <v>MUNICIPIO DE SAO JOAO DO TRIUNFO</v>
      </c>
      <c r="H5559" t="str">
        <f>IFERROR(INDEX(tEditais[UF],MATCH(tItens[[#This Row],[Edital]],tEditais[Edital],0)),"")</f>
        <v>PR</v>
      </c>
      <c r="I5559" s="11">
        <f>IFERROR(INDEX(tEditais[Encerramento],MATCH(tItens[[#This Row],[Edital]],tEditais[Edital],0)),"")</f>
        <v>46309.332638888889</v>
      </c>
      <c r="J5559" t="str">
        <f>IFERROR(INDEX(tProdutos[Classe],MATCH(tItens[[#This Row],[Produto]],tProdutos[Produto],0)),"produto não cadastrado")</f>
        <v>FORA</v>
      </c>
      <c r="K5559" s="12">
        <f>tItens[[#This Row],[Qtd]]*tItens[[#This Row],[Vlr unit]]</f>
        <v>18672</v>
      </c>
      <c r="L5559" s="6">
        <f>IFERROR(IF(INDEX(tProdutos[Desconto homologado],MATCH(tItens[[#This Row],[Produto]],tProdutos[Produto],0))="",DescontoPadrao,INDEX(tProdutos[Desconto homologado],MATCH(tItens[[#This Row],[Produto]],tProdutos[Produto],0))),DescontoPadrao)</f>
        <v>0.35766373163696302</v>
      </c>
      <c r="M5559" s="12">
        <f>tItens[[#This Row],[Valor]]*(1-tItens[[#This Row],[Desconto]])</f>
        <v>11993.702802874626</v>
      </c>
      <c r="N5559" t="str">
        <f>IFERROR(INDEX(tProdutos[Foco],MATCH(tItens[[#This Row],[Produto]],tProdutos[Produto],0)),"Não")</f>
        <v>Não</v>
      </c>
      <c r="O5559" t="str">
        <f>IFERROR(INDEX(tEditais[SRP],MATCH(tItens[[#This Row],[Edital]],tEditais[Edital],0)),"Não")</f>
        <v>Sim</v>
      </c>
      <c r="P5559" s="4">
        <f>IF(COUNTIFS(INDEX(tItens[Edital],1):tItens[[#This Row],[Edital]],tItens[[#This Row],[Edital]],INDEX(tItens[Produto],1):tItens[[#This Row],[Produto]],tItens[[#This Row],[Produto]])=1,1,0)</f>
        <v>0</v>
      </c>
    </row>
    <row r="5560" spans="1:16" x14ac:dyDescent="0.25">
      <c r="A5560" t="s">
        <v>2032</v>
      </c>
      <c r="B5560">
        <v>53</v>
      </c>
      <c r="C5560" t="s">
        <v>8353</v>
      </c>
      <c r="D5560" t="s">
        <v>313</v>
      </c>
      <c r="E5560" s="13">
        <v>300</v>
      </c>
      <c r="F5560" s="12">
        <v>23.65</v>
      </c>
      <c r="G5560" t="str">
        <f>IFERROR(INDEX(tEditais[Órgão],MATCH(tItens[[#This Row],[Edital]],tEditais[Edital],0)),"")</f>
        <v>MUNICIPIO DE SAO JOAO DO TRIUNFO</v>
      </c>
      <c r="H5560" t="str">
        <f>IFERROR(INDEX(tEditais[UF],MATCH(tItens[[#This Row],[Edital]],tEditais[Edital],0)),"")</f>
        <v>PR</v>
      </c>
      <c r="I5560" s="11">
        <f>IFERROR(INDEX(tEditais[Encerramento],MATCH(tItens[[#This Row],[Edital]],tEditais[Edital],0)),"")</f>
        <v>46309.332638888889</v>
      </c>
      <c r="J5560" t="str">
        <f>IFERROR(INDEX(tProdutos[Classe],MATCH(tItens[[#This Row],[Produto]],tProdutos[Produto],0)),"produto não cadastrado")</f>
        <v>FORA</v>
      </c>
      <c r="K5560" s="12">
        <f>tItens[[#This Row],[Qtd]]*tItens[[#This Row],[Vlr unit]]</f>
        <v>7095</v>
      </c>
      <c r="L5560" s="6">
        <f>IFERROR(IF(INDEX(tProdutos[Desconto homologado],MATCH(tItens[[#This Row],[Produto]],tProdutos[Produto],0))="",DescontoPadrao,INDEX(tProdutos[Desconto homologado],MATCH(tItens[[#This Row],[Produto]],tProdutos[Produto],0))),DescontoPadrao)</f>
        <v>0.35766373163696302</v>
      </c>
      <c r="M5560" s="12">
        <f>tItens[[#This Row],[Valor]]*(1-tItens[[#This Row],[Desconto]])</f>
        <v>4557.3758240357465</v>
      </c>
      <c r="N5560" t="str">
        <f>IFERROR(INDEX(tProdutos[Foco],MATCH(tItens[[#This Row],[Produto]],tProdutos[Produto],0)),"Não")</f>
        <v>Não</v>
      </c>
      <c r="O5560" t="str">
        <f>IFERROR(INDEX(tEditais[SRP],MATCH(tItens[[#This Row],[Edital]],tEditais[Edital],0)),"Não")</f>
        <v>Sim</v>
      </c>
      <c r="P5560" s="4">
        <f>IF(COUNTIFS(INDEX(tItens[Edital],1):tItens[[#This Row],[Edital]],tItens[[#This Row],[Edital]],INDEX(tItens[Produto],1):tItens[[#This Row],[Produto]],tItens[[#This Row],[Produto]])=1,1,0)</f>
        <v>0</v>
      </c>
    </row>
    <row r="5561" spans="1:16" x14ac:dyDescent="0.25">
      <c r="A5561" t="s">
        <v>2032</v>
      </c>
      <c r="B5561">
        <v>57</v>
      </c>
      <c r="C5561" t="s">
        <v>8354</v>
      </c>
      <c r="D5561" t="s">
        <v>120</v>
      </c>
      <c r="E5561" s="13">
        <v>7000</v>
      </c>
      <c r="F5561" s="12">
        <v>0.73</v>
      </c>
      <c r="G5561" t="str">
        <f>IFERROR(INDEX(tEditais[Órgão],MATCH(tItens[[#This Row],[Edital]],tEditais[Edital],0)),"")</f>
        <v>MUNICIPIO DE SAO JOAO DO TRIUNFO</v>
      </c>
      <c r="H5561" t="str">
        <f>IFERROR(INDEX(tEditais[UF],MATCH(tItens[[#This Row],[Edital]],tEditais[Edital],0)),"")</f>
        <v>PR</v>
      </c>
      <c r="I5561" s="11">
        <f>IFERROR(INDEX(tEditais[Encerramento],MATCH(tItens[[#This Row],[Edital]],tEditais[Edital],0)),"")</f>
        <v>46309.332638888889</v>
      </c>
      <c r="J5561" t="str">
        <f>IFERROR(INDEX(tProdutos[Classe],MATCH(tItens[[#This Row],[Produto]],tProdutos[Produto],0)),"produto não cadastrado")</f>
        <v>DISPUTADO</v>
      </c>
      <c r="K5561" s="12">
        <f>tItens[[#This Row],[Qtd]]*tItens[[#This Row],[Vlr unit]]</f>
        <v>5110</v>
      </c>
      <c r="L5561" s="6">
        <f>IFERROR(IF(INDEX(tProdutos[Desconto homologado],MATCH(tItens[[#This Row],[Produto]],tProdutos[Produto],0))="",DescontoPadrao,INDEX(tProdutos[Desconto homologado],MATCH(tItens[[#This Row],[Produto]],tProdutos[Produto],0))),DescontoPadrao)</f>
        <v>0.40909090909090901</v>
      </c>
      <c r="M5561" s="12">
        <f>tItens[[#This Row],[Valor]]*(1-tItens[[#This Row],[Desconto]])</f>
        <v>3019.5454545454554</v>
      </c>
      <c r="N5561" t="str">
        <f>IFERROR(INDEX(tProdutos[Foco],MATCH(tItens[[#This Row],[Produto]],tProdutos[Produto],0)),"Não")</f>
        <v>Não</v>
      </c>
      <c r="O5561" t="str">
        <f>IFERROR(INDEX(tEditais[SRP],MATCH(tItens[[#This Row],[Edital]],tEditais[Edital],0)),"Não")</f>
        <v>Sim</v>
      </c>
      <c r="P5561" s="4">
        <f>IF(COUNTIFS(INDEX(tItens[Edital],1):tItens[[#This Row],[Edital]],tItens[[#This Row],[Edital]],INDEX(tItens[Produto],1):tItens[[#This Row],[Produto]],tItens[[#This Row],[Produto]])=1,1,0)</f>
        <v>1</v>
      </c>
    </row>
    <row r="5562" spans="1:16" x14ac:dyDescent="0.25">
      <c r="A5562" t="s">
        <v>2032</v>
      </c>
      <c r="B5562">
        <v>67</v>
      </c>
      <c r="C5562" t="s">
        <v>8355</v>
      </c>
      <c r="D5562" t="s">
        <v>461</v>
      </c>
      <c r="E5562" s="13">
        <v>1000</v>
      </c>
      <c r="F5562" s="12">
        <v>1.47</v>
      </c>
      <c r="G5562" t="str">
        <f>IFERROR(INDEX(tEditais[Órgão],MATCH(tItens[[#This Row],[Edital]],tEditais[Edital],0)),"")</f>
        <v>MUNICIPIO DE SAO JOAO DO TRIUNFO</v>
      </c>
      <c r="H5562" t="str">
        <f>IFERROR(INDEX(tEditais[UF],MATCH(tItens[[#This Row],[Edital]],tEditais[Edital],0)),"")</f>
        <v>PR</v>
      </c>
      <c r="I5562" s="11">
        <f>IFERROR(INDEX(tEditais[Encerramento],MATCH(tItens[[#This Row],[Edital]],tEditais[Edital],0)),"")</f>
        <v>46309.332638888889</v>
      </c>
      <c r="J5562" t="str">
        <f>IFERROR(INDEX(tProdutos[Classe],MATCH(tItens[[#This Row],[Produto]],tProdutos[Produto],0)),"produto não cadastrado")</f>
        <v>FILA REBASE</v>
      </c>
      <c r="K5562" s="12">
        <f>tItens[[#This Row],[Qtd]]*tItens[[#This Row],[Vlr unit]]</f>
        <v>1470</v>
      </c>
      <c r="L5562" s="6">
        <f>IFERROR(IF(INDEX(tProdutos[Desconto homologado],MATCH(tItens[[#This Row],[Produto]],tProdutos[Produto],0))="",DescontoPadrao,INDEX(tProdutos[Desconto homologado],MATCH(tItens[[#This Row],[Produto]],tProdutos[Produto],0))),DescontoPadrao)</f>
        <v>0.44096385542168698</v>
      </c>
      <c r="M5562" s="12">
        <f>tItens[[#This Row],[Valor]]*(1-tItens[[#This Row],[Desconto]])</f>
        <v>821.78313253012004</v>
      </c>
      <c r="N5562" t="str">
        <f>IFERROR(INDEX(tProdutos[Foco],MATCH(tItens[[#This Row],[Produto]],tProdutos[Produto],0)),"Não")</f>
        <v>Não</v>
      </c>
      <c r="O5562" t="str">
        <f>IFERROR(INDEX(tEditais[SRP],MATCH(tItens[[#This Row],[Edital]],tEditais[Edital],0)),"Não")</f>
        <v>Sim</v>
      </c>
      <c r="P5562" s="4">
        <f>IF(COUNTIFS(INDEX(tItens[Edital],1):tItens[[#This Row],[Edital]],tItens[[#This Row],[Edital]],INDEX(tItens[Produto],1):tItens[[#This Row],[Produto]],tItens[[#This Row],[Produto]])=1,1,0)</f>
        <v>1</v>
      </c>
    </row>
    <row r="5563" spans="1:16" x14ac:dyDescent="0.25">
      <c r="A5563" t="s">
        <v>2032</v>
      </c>
      <c r="B5563">
        <v>68</v>
      </c>
      <c r="C5563" t="s">
        <v>8356</v>
      </c>
      <c r="D5563" t="s">
        <v>461</v>
      </c>
      <c r="E5563" s="13">
        <v>1000</v>
      </c>
      <c r="F5563" s="12">
        <v>1.62</v>
      </c>
      <c r="G5563" t="str">
        <f>IFERROR(INDEX(tEditais[Órgão],MATCH(tItens[[#This Row],[Edital]],tEditais[Edital],0)),"")</f>
        <v>MUNICIPIO DE SAO JOAO DO TRIUNFO</v>
      </c>
      <c r="H5563" t="str">
        <f>IFERROR(INDEX(tEditais[UF],MATCH(tItens[[#This Row],[Edital]],tEditais[Edital],0)),"")</f>
        <v>PR</v>
      </c>
      <c r="I5563" s="11">
        <f>IFERROR(INDEX(tEditais[Encerramento],MATCH(tItens[[#This Row],[Edital]],tEditais[Edital],0)),"")</f>
        <v>46309.332638888889</v>
      </c>
      <c r="J5563" t="str">
        <f>IFERROR(INDEX(tProdutos[Classe],MATCH(tItens[[#This Row],[Produto]],tProdutos[Produto],0)),"produto não cadastrado")</f>
        <v>FILA REBASE</v>
      </c>
      <c r="K5563" s="12">
        <f>tItens[[#This Row],[Qtd]]*tItens[[#This Row],[Vlr unit]]</f>
        <v>1620</v>
      </c>
      <c r="L5563" s="6">
        <f>IFERROR(IF(INDEX(tProdutos[Desconto homologado],MATCH(tItens[[#This Row],[Produto]],tProdutos[Produto],0))="",DescontoPadrao,INDEX(tProdutos[Desconto homologado],MATCH(tItens[[#This Row],[Produto]],tProdutos[Produto],0))),DescontoPadrao)</f>
        <v>0.44096385542168698</v>
      </c>
      <c r="M5563" s="12">
        <f>tItens[[#This Row],[Valor]]*(1-tItens[[#This Row],[Desconto]])</f>
        <v>905.63855421686696</v>
      </c>
      <c r="N5563" t="str">
        <f>IFERROR(INDEX(tProdutos[Foco],MATCH(tItens[[#This Row],[Produto]],tProdutos[Produto],0)),"Não")</f>
        <v>Não</v>
      </c>
      <c r="O5563" t="str">
        <f>IFERROR(INDEX(tEditais[SRP],MATCH(tItens[[#This Row],[Edital]],tEditais[Edital],0)),"Não")</f>
        <v>Sim</v>
      </c>
      <c r="P5563" s="4">
        <f>IF(COUNTIFS(INDEX(tItens[Edital],1):tItens[[#This Row],[Edital]],tItens[[#This Row],[Edital]],INDEX(tItens[Produto],1):tItens[[#This Row],[Produto]],tItens[[#This Row],[Produto]])=1,1,0)</f>
        <v>0</v>
      </c>
    </row>
    <row r="5564" spans="1:16" x14ac:dyDescent="0.25">
      <c r="A5564" t="s">
        <v>2032</v>
      </c>
      <c r="B5564">
        <v>75</v>
      </c>
      <c r="C5564" t="s">
        <v>8357</v>
      </c>
      <c r="D5564" t="s">
        <v>494</v>
      </c>
      <c r="E5564" s="13">
        <v>50</v>
      </c>
      <c r="F5564" s="12">
        <v>144.44</v>
      </c>
      <c r="G5564" t="str">
        <f>IFERROR(INDEX(tEditais[Órgão],MATCH(tItens[[#This Row],[Edital]],tEditais[Edital],0)),"")</f>
        <v>MUNICIPIO DE SAO JOAO DO TRIUNFO</v>
      </c>
      <c r="H5564" t="str">
        <f>IFERROR(INDEX(tEditais[UF],MATCH(tItens[[#This Row],[Edital]],tEditais[Edital],0)),"")</f>
        <v>PR</v>
      </c>
      <c r="I5564" s="11">
        <f>IFERROR(INDEX(tEditais[Encerramento],MATCH(tItens[[#This Row],[Edital]],tEditais[Edital],0)),"")</f>
        <v>46309.332638888889</v>
      </c>
      <c r="J5564" t="str">
        <f>IFERROR(INDEX(tProdutos[Classe],MATCH(tItens[[#This Row],[Produto]],tProdutos[Produto],0)),"produto não cadastrado")</f>
        <v>FILA REBASE</v>
      </c>
      <c r="K5564" s="12">
        <f>tItens[[#This Row],[Qtd]]*tItens[[#This Row],[Vlr unit]]</f>
        <v>7222</v>
      </c>
      <c r="L5564" s="6">
        <f>IFERROR(IF(INDEX(tProdutos[Desconto homologado],MATCH(tItens[[#This Row],[Produto]],tProdutos[Produto],0))="",DescontoPadrao,INDEX(tProdutos[Desconto homologado],MATCH(tItens[[#This Row],[Produto]],tProdutos[Produto],0))),DescontoPadrao)</f>
        <v>0.253736324829619</v>
      </c>
      <c r="M5564" s="12">
        <f>tItens[[#This Row],[Valor]]*(1-tItens[[#This Row],[Desconto]])</f>
        <v>5389.5162620804922</v>
      </c>
      <c r="N5564" t="str">
        <f>IFERROR(INDEX(tProdutos[Foco],MATCH(tItens[[#This Row],[Produto]],tProdutos[Produto],0)),"Não")</f>
        <v>Não</v>
      </c>
      <c r="O5564" t="str">
        <f>IFERROR(INDEX(tEditais[SRP],MATCH(tItens[[#This Row],[Edital]],tEditais[Edital],0)),"Não")</f>
        <v>Sim</v>
      </c>
      <c r="P5564" s="4">
        <f>IF(COUNTIFS(INDEX(tItens[Edital],1):tItens[[#This Row],[Edital]],tItens[[#This Row],[Edital]],INDEX(tItens[Produto],1):tItens[[#This Row],[Produto]],tItens[[#This Row],[Produto]])=1,1,0)</f>
        <v>1</v>
      </c>
    </row>
    <row r="5565" spans="1:16" x14ac:dyDescent="0.25">
      <c r="A5565" t="s">
        <v>2032</v>
      </c>
      <c r="B5565">
        <v>76</v>
      </c>
      <c r="C5565" t="s">
        <v>8358</v>
      </c>
      <c r="D5565" t="s">
        <v>494</v>
      </c>
      <c r="E5565" s="13">
        <v>100</v>
      </c>
      <c r="F5565" s="12">
        <v>81.59</v>
      </c>
      <c r="G5565" t="str">
        <f>IFERROR(INDEX(tEditais[Órgão],MATCH(tItens[[#This Row],[Edital]],tEditais[Edital],0)),"")</f>
        <v>MUNICIPIO DE SAO JOAO DO TRIUNFO</v>
      </c>
      <c r="H5565" t="str">
        <f>IFERROR(INDEX(tEditais[UF],MATCH(tItens[[#This Row],[Edital]],tEditais[Edital],0)),"")</f>
        <v>PR</v>
      </c>
      <c r="I5565" s="11">
        <f>IFERROR(INDEX(tEditais[Encerramento],MATCH(tItens[[#This Row],[Edital]],tEditais[Edital],0)),"")</f>
        <v>46309.332638888889</v>
      </c>
      <c r="J5565" t="str">
        <f>IFERROR(INDEX(tProdutos[Classe],MATCH(tItens[[#This Row],[Produto]],tProdutos[Produto],0)),"produto não cadastrado")</f>
        <v>FILA REBASE</v>
      </c>
      <c r="K5565" s="12">
        <f>tItens[[#This Row],[Qtd]]*tItens[[#This Row],[Vlr unit]]</f>
        <v>8159</v>
      </c>
      <c r="L5565" s="6">
        <f>IFERROR(IF(INDEX(tProdutos[Desconto homologado],MATCH(tItens[[#This Row],[Produto]],tProdutos[Produto],0))="",DescontoPadrao,INDEX(tProdutos[Desconto homologado],MATCH(tItens[[#This Row],[Produto]],tProdutos[Produto],0))),DescontoPadrao)</f>
        <v>0.253736324829619</v>
      </c>
      <c r="M5565" s="12">
        <f>tItens[[#This Row],[Valor]]*(1-tItens[[#This Row],[Desconto]])</f>
        <v>6088.7653257151387</v>
      </c>
      <c r="N5565" t="str">
        <f>IFERROR(INDEX(tProdutos[Foco],MATCH(tItens[[#This Row],[Produto]],tProdutos[Produto],0)),"Não")</f>
        <v>Não</v>
      </c>
      <c r="O5565" t="str">
        <f>IFERROR(INDEX(tEditais[SRP],MATCH(tItens[[#This Row],[Edital]],tEditais[Edital],0)),"Não")</f>
        <v>Sim</v>
      </c>
      <c r="P5565" s="4">
        <f>IF(COUNTIFS(INDEX(tItens[Edital],1):tItens[[#This Row],[Edital]],tItens[[#This Row],[Edital]],INDEX(tItens[Produto],1):tItens[[#This Row],[Produto]],tItens[[#This Row],[Produto]])=1,1,0)</f>
        <v>0</v>
      </c>
    </row>
    <row r="5566" spans="1:16" x14ac:dyDescent="0.25">
      <c r="A5566" t="s">
        <v>2032</v>
      </c>
      <c r="B5566">
        <v>77</v>
      </c>
      <c r="C5566" t="s">
        <v>8359</v>
      </c>
      <c r="D5566" t="s">
        <v>494</v>
      </c>
      <c r="E5566" s="13">
        <v>15</v>
      </c>
      <c r="F5566" s="12">
        <v>47.33</v>
      </c>
      <c r="G5566" t="str">
        <f>IFERROR(INDEX(tEditais[Órgão],MATCH(tItens[[#This Row],[Edital]],tEditais[Edital],0)),"")</f>
        <v>MUNICIPIO DE SAO JOAO DO TRIUNFO</v>
      </c>
      <c r="H5566" t="str">
        <f>IFERROR(INDEX(tEditais[UF],MATCH(tItens[[#This Row],[Edital]],tEditais[Edital],0)),"")</f>
        <v>PR</v>
      </c>
      <c r="I5566" s="11">
        <f>IFERROR(INDEX(tEditais[Encerramento],MATCH(tItens[[#This Row],[Edital]],tEditais[Edital],0)),"")</f>
        <v>46309.332638888889</v>
      </c>
      <c r="J5566" t="str">
        <f>IFERROR(INDEX(tProdutos[Classe],MATCH(tItens[[#This Row],[Produto]],tProdutos[Produto],0)),"produto não cadastrado")</f>
        <v>FILA REBASE</v>
      </c>
      <c r="K5566" s="12">
        <f>tItens[[#This Row],[Qtd]]*tItens[[#This Row],[Vlr unit]]</f>
        <v>709.94999999999993</v>
      </c>
      <c r="L5566" s="6">
        <f>IFERROR(IF(INDEX(tProdutos[Desconto homologado],MATCH(tItens[[#This Row],[Produto]],tProdutos[Produto],0))="",DescontoPadrao,INDEX(tProdutos[Desconto homologado],MATCH(tItens[[#This Row],[Produto]],tProdutos[Produto],0))),DescontoPadrao)</f>
        <v>0.253736324829619</v>
      </c>
      <c r="M5566" s="12">
        <f>tItens[[#This Row],[Valor]]*(1-tItens[[#This Row],[Desconto]])</f>
        <v>529.80989618721196</v>
      </c>
      <c r="N5566" t="str">
        <f>IFERROR(INDEX(tProdutos[Foco],MATCH(tItens[[#This Row],[Produto]],tProdutos[Produto],0)),"Não")</f>
        <v>Não</v>
      </c>
      <c r="O5566" t="str">
        <f>IFERROR(INDEX(tEditais[SRP],MATCH(tItens[[#This Row],[Edital]],tEditais[Edital],0)),"Não")</f>
        <v>Sim</v>
      </c>
      <c r="P5566" s="4">
        <f>IF(COUNTIFS(INDEX(tItens[Edital],1):tItens[[#This Row],[Edital]],tItens[[#This Row],[Edital]],INDEX(tItens[Produto],1):tItens[[#This Row],[Produto]],tItens[[#This Row],[Produto]])=1,1,0)</f>
        <v>0</v>
      </c>
    </row>
    <row r="5567" spans="1:16" x14ac:dyDescent="0.25">
      <c r="A5567" t="s">
        <v>2032</v>
      </c>
      <c r="B5567">
        <v>78</v>
      </c>
      <c r="C5567" t="s">
        <v>8360</v>
      </c>
      <c r="D5567" t="s">
        <v>257</v>
      </c>
      <c r="E5567" s="13">
        <v>10</v>
      </c>
      <c r="F5567" s="12">
        <v>35.83</v>
      </c>
      <c r="G5567" t="str">
        <f>IFERROR(INDEX(tEditais[Órgão],MATCH(tItens[[#This Row],[Edital]],tEditais[Edital],0)),"")</f>
        <v>MUNICIPIO DE SAO JOAO DO TRIUNFO</v>
      </c>
      <c r="H5567" t="str">
        <f>IFERROR(INDEX(tEditais[UF],MATCH(tItens[[#This Row],[Edital]],tEditais[Edital],0)),"")</f>
        <v>PR</v>
      </c>
      <c r="I5567" s="11">
        <f>IFERROR(INDEX(tEditais[Encerramento],MATCH(tItens[[#This Row],[Edital]],tEditais[Edital],0)),"")</f>
        <v>46309.332638888889</v>
      </c>
      <c r="J5567" t="str">
        <f>IFERROR(INDEX(tProdutos[Classe],MATCH(tItens[[#This Row],[Produto]],tProdutos[Produto],0)),"produto não cadastrado")</f>
        <v>FORA</v>
      </c>
      <c r="K5567" s="12">
        <f>tItens[[#This Row],[Qtd]]*tItens[[#This Row],[Vlr unit]]</f>
        <v>358.29999999999995</v>
      </c>
      <c r="L5567" s="6">
        <f>IFERROR(IF(INDEX(tProdutos[Desconto homologado],MATCH(tItens[[#This Row],[Produto]],tProdutos[Produto],0))="",DescontoPadrao,INDEX(tProdutos[Desconto homologado],MATCH(tItens[[#This Row],[Produto]],tProdutos[Produto],0))),DescontoPadrao)</f>
        <v>0.500812004991805</v>
      </c>
      <c r="M5567" s="12">
        <f>tItens[[#This Row],[Valor]]*(1-tItens[[#This Row],[Desconto]])</f>
        <v>178.85905861143624</v>
      </c>
      <c r="N5567" t="str">
        <f>IFERROR(INDEX(tProdutos[Foco],MATCH(tItens[[#This Row],[Produto]],tProdutos[Produto],0)),"Não")</f>
        <v>Não</v>
      </c>
      <c r="O5567" t="str">
        <f>IFERROR(INDEX(tEditais[SRP],MATCH(tItens[[#This Row],[Edital]],tEditais[Edital],0)),"Não")</f>
        <v>Sim</v>
      </c>
      <c r="P5567" s="4">
        <f>IF(COUNTIFS(INDEX(tItens[Edital],1):tItens[[#This Row],[Edital]],tItens[[#This Row],[Edital]],INDEX(tItens[Produto],1):tItens[[#This Row],[Produto]],tItens[[#This Row],[Produto]])=1,1,0)</f>
        <v>1</v>
      </c>
    </row>
    <row r="5568" spans="1:16" x14ac:dyDescent="0.25">
      <c r="A5568" t="s">
        <v>2032</v>
      </c>
      <c r="B5568">
        <v>79</v>
      </c>
      <c r="C5568" t="s">
        <v>8361</v>
      </c>
      <c r="D5568" t="s">
        <v>283</v>
      </c>
      <c r="E5568" s="13">
        <v>5000</v>
      </c>
      <c r="F5568" s="12">
        <v>0.16</v>
      </c>
      <c r="G5568" t="str">
        <f>IFERROR(INDEX(tEditais[Órgão],MATCH(tItens[[#This Row],[Edital]],tEditais[Edital],0)),"")</f>
        <v>MUNICIPIO DE SAO JOAO DO TRIUNFO</v>
      </c>
      <c r="H5568" t="str">
        <f>IFERROR(INDEX(tEditais[UF],MATCH(tItens[[#This Row],[Edital]],tEditais[Edital],0)),"")</f>
        <v>PR</v>
      </c>
      <c r="I5568" s="11">
        <f>IFERROR(INDEX(tEditais[Encerramento],MATCH(tItens[[#This Row],[Edital]],tEditais[Edital],0)),"")</f>
        <v>46309.332638888889</v>
      </c>
      <c r="J5568" t="str">
        <f>IFERROR(INDEX(tProdutos[Classe],MATCH(tItens[[#This Row],[Produto]],tProdutos[Produto],0)),"produto não cadastrado")</f>
        <v>FORA</v>
      </c>
      <c r="K5568" s="12">
        <f>tItens[[#This Row],[Qtd]]*tItens[[#This Row],[Vlr unit]]</f>
        <v>800</v>
      </c>
      <c r="L5568" s="6">
        <f>IFERROR(IF(INDEX(tProdutos[Desconto homologado],MATCH(tItens[[#This Row],[Produto]],tProdutos[Produto],0))="",DescontoPadrao,INDEX(tProdutos[Desconto homologado],MATCH(tItens[[#This Row],[Produto]],tProdutos[Produto],0))),DescontoPadrao)</f>
        <v>0.40540540540540498</v>
      </c>
      <c r="M5568" s="12">
        <f>tItens[[#This Row],[Valor]]*(1-tItens[[#This Row],[Desconto]])</f>
        <v>475.67567567567596</v>
      </c>
      <c r="N5568" t="str">
        <f>IFERROR(INDEX(tProdutos[Foco],MATCH(tItens[[#This Row],[Produto]],tProdutos[Produto],0)),"Não")</f>
        <v>Não</v>
      </c>
      <c r="O5568" t="str">
        <f>IFERROR(INDEX(tEditais[SRP],MATCH(tItens[[#This Row],[Edital]],tEditais[Edital],0)),"Não")</f>
        <v>Sim</v>
      </c>
      <c r="P5568" s="4">
        <f>IF(COUNTIFS(INDEX(tItens[Edital],1):tItens[[#This Row],[Edital]],tItens[[#This Row],[Edital]],INDEX(tItens[Produto],1):tItens[[#This Row],[Produto]],tItens[[#This Row],[Produto]])=1,1,0)</f>
        <v>1</v>
      </c>
    </row>
    <row r="5569" spans="1:16" x14ac:dyDescent="0.25">
      <c r="A5569" t="s">
        <v>2032</v>
      </c>
      <c r="B5569">
        <v>83</v>
      </c>
      <c r="C5569" t="s">
        <v>8362</v>
      </c>
      <c r="D5569" t="s">
        <v>411</v>
      </c>
      <c r="E5569" s="13">
        <v>100</v>
      </c>
      <c r="F5569" s="12">
        <v>3.59</v>
      </c>
      <c r="G5569" t="str">
        <f>IFERROR(INDEX(tEditais[Órgão],MATCH(tItens[[#This Row],[Edital]],tEditais[Edital],0)),"")</f>
        <v>MUNICIPIO DE SAO JOAO DO TRIUNFO</v>
      </c>
      <c r="H5569" t="str">
        <f>IFERROR(INDEX(tEditais[UF],MATCH(tItens[[#This Row],[Edital]],tEditais[Edital],0)),"")</f>
        <v>PR</v>
      </c>
      <c r="I5569" s="11">
        <f>IFERROR(INDEX(tEditais[Encerramento],MATCH(tItens[[#This Row],[Edital]],tEditais[Edital],0)),"")</f>
        <v>46309.332638888889</v>
      </c>
      <c r="J5569" t="str">
        <f>IFERROR(INDEX(tProdutos[Classe],MATCH(tItens[[#This Row],[Produto]],tProdutos[Produto],0)),"produto não cadastrado")</f>
        <v>FORA</v>
      </c>
      <c r="K5569" s="12">
        <f>tItens[[#This Row],[Qtd]]*tItens[[#This Row],[Vlr unit]]</f>
        <v>359</v>
      </c>
      <c r="L5569" s="6">
        <f>IFERROR(IF(INDEX(tProdutos[Desconto homologado],MATCH(tItens[[#This Row],[Produto]],tProdutos[Produto],0))="",DescontoPadrao,INDEX(tProdutos[Desconto homologado],MATCH(tItens[[#This Row],[Produto]],tProdutos[Produto],0))),DescontoPadrao)</f>
        <v>0.50029835957199398</v>
      </c>
      <c r="M5569" s="12">
        <f>tItens[[#This Row],[Valor]]*(1-tItens[[#This Row],[Desconto]])</f>
        <v>179.39288891365416</v>
      </c>
      <c r="N5569" t="str">
        <f>IFERROR(INDEX(tProdutos[Foco],MATCH(tItens[[#This Row],[Produto]],tProdutos[Produto],0)),"Não")</f>
        <v>Não</v>
      </c>
      <c r="O5569" t="str">
        <f>IFERROR(INDEX(tEditais[SRP],MATCH(tItens[[#This Row],[Edital]],tEditais[Edital],0)),"Não")</f>
        <v>Sim</v>
      </c>
      <c r="P5569" s="4">
        <f>IF(COUNTIFS(INDEX(tItens[Edital],1):tItens[[#This Row],[Edital]],tItens[[#This Row],[Edital]],INDEX(tItens[Produto],1):tItens[[#This Row],[Produto]],tItens[[#This Row],[Produto]])=1,1,0)</f>
        <v>1</v>
      </c>
    </row>
    <row r="5570" spans="1:16" x14ac:dyDescent="0.25">
      <c r="A5570" t="s">
        <v>2032</v>
      </c>
      <c r="B5570">
        <v>84</v>
      </c>
      <c r="C5570" t="s">
        <v>8363</v>
      </c>
      <c r="D5570" t="s">
        <v>267</v>
      </c>
      <c r="E5570" s="13">
        <v>500</v>
      </c>
      <c r="F5570" s="12">
        <v>10.47</v>
      </c>
      <c r="G5570" t="str">
        <f>IFERROR(INDEX(tEditais[Órgão],MATCH(tItens[[#This Row],[Edital]],tEditais[Edital],0)),"")</f>
        <v>MUNICIPIO DE SAO JOAO DO TRIUNFO</v>
      </c>
      <c r="H5570" t="str">
        <f>IFERROR(INDEX(tEditais[UF],MATCH(tItens[[#This Row],[Edital]],tEditais[Edital],0)),"")</f>
        <v>PR</v>
      </c>
      <c r="I5570" s="11">
        <f>IFERROR(INDEX(tEditais[Encerramento],MATCH(tItens[[#This Row],[Edital]],tEditais[Edital],0)),"")</f>
        <v>46309.332638888889</v>
      </c>
      <c r="J5570" t="str">
        <f>IFERROR(INDEX(tProdutos[Classe],MATCH(tItens[[#This Row],[Produto]],tProdutos[Produto],0)),"produto não cadastrado")</f>
        <v>FORA</v>
      </c>
      <c r="K5570" s="12">
        <f>tItens[[#This Row],[Qtd]]*tItens[[#This Row],[Vlr unit]]</f>
        <v>5235</v>
      </c>
      <c r="L5570" s="6">
        <f>IFERROR(IF(INDEX(tProdutos[Desconto homologado],MATCH(tItens[[#This Row],[Produto]],tProdutos[Produto],0))="",DescontoPadrao,INDEX(tProdutos[Desconto homologado],MATCH(tItens[[#This Row],[Produto]],tProdutos[Produto],0))),DescontoPadrao)</f>
        <v>0.19963672657401599</v>
      </c>
      <c r="M5570" s="12">
        <f>tItens[[#This Row],[Valor]]*(1-tItens[[#This Row],[Desconto]])</f>
        <v>4189.9017363850262</v>
      </c>
      <c r="N5570" t="str">
        <f>IFERROR(INDEX(tProdutos[Foco],MATCH(tItens[[#This Row],[Produto]],tProdutos[Produto],0)),"Não")</f>
        <v>Não</v>
      </c>
      <c r="O5570" t="str">
        <f>IFERROR(INDEX(tEditais[SRP],MATCH(tItens[[#This Row],[Edital]],tEditais[Edital],0)),"Não")</f>
        <v>Sim</v>
      </c>
      <c r="P5570" s="4">
        <f>IF(COUNTIFS(INDEX(tItens[Edital],1):tItens[[#This Row],[Edital]],tItens[[#This Row],[Edital]],INDEX(tItens[Produto],1):tItens[[#This Row],[Produto]],tItens[[#This Row],[Produto]])=1,1,0)</f>
        <v>1</v>
      </c>
    </row>
    <row r="5571" spans="1:16" x14ac:dyDescent="0.25">
      <c r="A5571" t="s">
        <v>2032</v>
      </c>
      <c r="B5571">
        <v>87</v>
      </c>
      <c r="C5571" t="s">
        <v>8364</v>
      </c>
      <c r="D5571" t="s">
        <v>142</v>
      </c>
      <c r="E5571" s="13">
        <v>150</v>
      </c>
      <c r="F5571" s="12">
        <v>4.72</v>
      </c>
      <c r="G5571" t="str">
        <f>IFERROR(INDEX(tEditais[Órgão],MATCH(tItens[[#This Row],[Edital]],tEditais[Edital],0)),"")</f>
        <v>MUNICIPIO DE SAO JOAO DO TRIUNFO</v>
      </c>
      <c r="H5571" t="str">
        <f>IFERROR(INDEX(tEditais[UF],MATCH(tItens[[#This Row],[Edital]],tEditais[Edital],0)),"")</f>
        <v>PR</v>
      </c>
      <c r="I5571" s="11">
        <f>IFERROR(INDEX(tEditais[Encerramento],MATCH(tItens[[#This Row],[Edital]],tEditais[Edital],0)),"")</f>
        <v>46309.332638888889</v>
      </c>
      <c r="J5571" t="str">
        <f>IFERROR(INDEX(tProdutos[Classe],MATCH(tItens[[#This Row],[Produto]],tProdutos[Produto],0)),"produto não cadastrado")</f>
        <v>DISPUTADO</v>
      </c>
      <c r="K5571" s="12">
        <f>tItens[[#This Row],[Qtd]]*tItens[[#This Row],[Vlr unit]]</f>
        <v>708</v>
      </c>
      <c r="L5571" s="6">
        <f>IFERROR(IF(INDEX(tProdutos[Desconto homologado],MATCH(tItens[[#This Row],[Produto]],tProdutos[Produto],0))="",DescontoPadrao,INDEX(tProdutos[Desconto homologado],MATCH(tItens[[#This Row],[Produto]],tProdutos[Produto],0))),DescontoPadrao)</f>
        <v>0.37093619495691699</v>
      </c>
      <c r="M5571" s="12">
        <f>tItens[[#This Row],[Valor]]*(1-tItens[[#This Row],[Desconto]])</f>
        <v>445.37717397050278</v>
      </c>
      <c r="N5571" t="str">
        <f>IFERROR(INDEX(tProdutos[Foco],MATCH(tItens[[#This Row],[Produto]],tProdutos[Produto],0)),"Não")</f>
        <v>Não</v>
      </c>
      <c r="O5571" t="str">
        <f>IFERROR(INDEX(tEditais[SRP],MATCH(tItens[[#This Row],[Edital]],tEditais[Edital],0)),"Não")</f>
        <v>Sim</v>
      </c>
      <c r="P5571" s="4">
        <f>IF(COUNTIFS(INDEX(tItens[Edital],1):tItens[[#This Row],[Edital]],tItens[[#This Row],[Edital]],INDEX(tItens[Produto],1):tItens[[#This Row],[Produto]],tItens[[#This Row],[Produto]])=1,1,0)</f>
        <v>1</v>
      </c>
    </row>
    <row r="5572" spans="1:16" x14ac:dyDescent="0.25">
      <c r="A5572" t="s">
        <v>2032</v>
      </c>
      <c r="B5572">
        <v>89</v>
      </c>
      <c r="C5572" t="s">
        <v>8365</v>
      </c>
      <c r="D5572" t="s">
        <v>114</v>
      </c>
      <c r="E5572" s="13">
        <v>100</v>
      </c>
      <c r="F5572" s="12">
        <v>6.9</v>
      </c>
      <c r="G5572" t="str">
        <f>IFERROR(INDEX(tEditais[Órgão],MATCH(tItens[[#This Row],[Edital]],tEditais[Edital],0)),"")</f>
        <v>MUNICIPIO DE SAO JOAO DO TRIUNFO</v>
      </c>
      <c r="H5572" t="str">
        <f>IFERROR(INDEX(tEditais[UF],MATCH(tItens[[#This Row],[Edital]],tEditais[Edital],0)),"")</f>
        <v>PR</v>
      </c>
      <c r="I5572" s="11">
        <f>IFERROR(INDEX(tEditais[Encerramento],MATCH(tItens[[#This Row],[Edital]],tEditais[Edital],0)),"")</f>
        <v>46309.332638888889</v>
      </c>
      <c r="J5572" t="str">
        <f>IFERROR(INDEX(tProdutos[Classe],MATCH(tItens[[#This Row],[Produto]],tProdutos[Produto],0)),"produto não cadastrado")</f>
        <v>DISPUTADO</v>
      </c>
      <c r="K5572" s="12">
        <f>tItens[[#This Row],[Qtd]]*tItens[[#This Row],[Vlr unit]]</f>
        <v>690</v>
      </c>
      <c r="L5572" s="6">
        <f>IFERROR(IF(INDEX(tProdutos[Desconto homologado],MATCH(tItens[[#This Row],[Produto]],tProdutos[Produto],0))="",DescontoPadrao,INDEX(tProdutos[Desconto homologado],MATCH(tItens[[#This Row],[Produto]],tProdutos[Produto],0))),DescontoPadrao)</f>
        <v>0.24332656063896899</v>
      </c>
      <c r="M5572" s="12">
        <f>tItens[[#This Row],[Valor]]*(1-tItens[[#This Row],[Desconto]])</f>
        <v>522.10467315911137</v>
      </c>
      <c r="N5572" t="str">
        <f>IFERROR(INDEX(tProdutos[Foco],MATCH(tItens[[#This Row],[Produto]],tProdutos[Produto],0)),"Não")</f>
        <v>Não</v>
      </c>
      <c r="O5572" t="str">
        <f>IFERROR(INDEX(tEditais[SRP],MATCH(tItens[[#This Row],[Edital]],tEditais[Edital],0)),"Não")</f>
        <v>Sim</v>
      </c>
      <c r="P5572" s="4">
        <f>IF(COUNTIFS(INDEX(tItens[Edital],1):tItens[[#This Row],[Edital]],tItens[[#This Row],[Edital]],INDEX(tItens[Produto],1):tItens[[#This Row],[Produto]],tItens[[#This Row],[Produto]])=1,1,0)</f>
        <v>1</v>
      </c>
    </row>
    <row r="5573" spans="1:16" x14ac:dyDescent="0.25">
      <c r="A5573" t="s">
        <v>2032</v>
      </c>
      <c r="B5573">
        <v>97</v>
      </c>
      <c r="C5573" t="s">
        <v>8366</v>
      </c>
      <c r="D5573" t="s">
        <v>247</v>
      </c>
      <c r="E5573" s="13">
        <v>800</v>
      </c>
      <c r="F5573" s="12">
        <v>0.92</v>
      </c>
      <c r="G5573" t="str">
        <f>IFERROR(INDEX(tEditais[Órgão],MATCH(tItens[[#This Row],[Edital]],tEditais[Edital],0)),"")</f>
        <v>MUNICIPIO DE SAO JOAO DO TRIUNFO</v>
      </c>
      <c r="H5573" t="str">
        <f>IFERROR(INDEX(tEditais[UF],MATCH(tItens[[#This Row],[Edital]],tEditais[Edital],0)),"")</f>
        <v>PR</v>
      </c>
      <c r="I5573" s="11">
        <f>IFERROR(INDEX(tEditais[Encerramento],MATCH(tItens[[#This Row],[Edital]],tEditais[Edital],0)),"")</f>
        <v>46309.332638888889</v>
      </c>
      <c r="J5573" t="str">
        <f>IFERROR(INDEX(tProdutos[Classe],MATCH(tItens[[#This Row],[Produto]],tProdutos[Produto],0)),"produto não cadastrado")</f>
        <v>FORA</v>
      </c>
      <c r="K5573" s="12">
        <f>tItens[[#This Row],[Qtd]]*tItens[[#This Row],[Vlr unit]]</f>
        <v>736</v>
      </c>
      <c r="L5573" s="6">
        <f>IFERROR(IF(INDEX(tProdutos[Desconto homologado],MATCH(tItens[[#This Row],[Produto]],tProdutos[Produto],0))="",DescontoPadrao,INDEX(tProdutos[Desconto homologado],MATCH(tItens[[#This Row],[Produto]],tProdutos[Produto],0))),DescontoPadrao)</f>
        <v>0.27353256199762999</v>
      </c>
      <c r="M5573" s="12">
        <f>tItens[[#This Row],[Valor]]*(1-tItens[[#This Row],[Desconto]])</f>
        <v>534.68003436974436</v>
      </c>
      <c r="N5573" t="str">
        <f>IFERROR(INDEX(tProdutos[Foco],MATCH(tItens[[#This Row],[Produto]],tProdutos[Produto],0)),"Não")</f>
        <v>Não</v>
      </c>
      <c r="O5573" t="str">
        <f>IFERROR(INDEX(tEditais[SRP],MATCH(tItens[[#This Row],[Edital]],tEditais[Edital],0)),"Não")</f>
        <v>Sim</v>
      </c>
      <c r="P5573" s="4">
        <f>IF(COUNTIFS(INDEX(tItens[Edital],1):tItens[[#This Row],[Edital]],tItens[[#This Row],[Edital]],INDEX(tItens[Produto],1):tItens[[#This Row],[Produto]],tItens[[#This Row],[Produto]])=1,1,0)</f>
        <v>1</v>
      </c>
    </row>
    <row r="5574" spans="1:16" x14ac:dyDescent="0.25">
      <c r="A5574" t="s">
        <v>2032</v>
      </c>
      <c r="B5574">
        <v>98</v>
      </c>
      <c r="C5574" t="s">
        <v>8367</v>
      </c>
      <c r="D5574" t="s">
        <v>62</v>
      </c>
      <c r="E5574" s="13">
        <v>80</v>
      </c>
      <c r="F5574" s="12">
        <v>4.93</v>
      </c>
      <c r="G5574" t="str">
        <f>IFERROR(INDEX(tEditais[Órgão],MATCH(tItens[[#This Row],[Edital]],tEditais[Edital],0)),"")</f>
        <v>MUNICIPIO DE SAO JOAO DO TRIUNFO</v>
      </c>
      <c r="H5574" t="str">
        <f>IFERROR(INDEX(tEditais[UF],MATCH(tItens[[#This Row],[Edital]],tEditais[Edital],0)),"")</f>
        <v>PR</v>
      </c>
      <c r="I5574" s="11">
        <f>IFERROR(INDEX(tEditais[Encerramento],MATCH(tItens[[#This Row],[Edital]],tEditais[Edital],0)),"")</f>
        <v>46309.332638888889</v>
      </c>
      <c r="J5574" t="str">
        <f>IFERROR(INDEX(tProdutos[Classe],MATCH(tItens[[#This Row],[Produto]],tProdutos[Produto],0)),"produto não cadastrado")</f>
        <v>NÚCLEO</v>
      </c>
      <c r="K5574" s="12">
        <f>tItens[[#This Row],[Qtd]]*tItens[[#This Row],[Vlr unit]]</f>
        <v>394.4</v>
      </c>
      <c r="L5574" s="6">
        <f>IFERROR(IF(INDEX(tProdutos[Desconto homologado],MATCH(tItens[[#This Row],[Produto]],tProdutos[Produto],0))="",DescontoPadrao,INDEX(tProdutos[Desconto homologado],MATCH(tItens[[#This Row],[Produto]],tProdutos[Produto],0))),DescontoPadrao)</f>
        <v>0.3</v>
      </c>
      <c r="M5574" s="12">
        <f>tItens[[#This Row],[Valor]]*(1-tItens[[#This Row],[Desconto]])</f>
        <v>276.08</v>
      </c>
      <c r="N5574" t="str">
        <f>IFERROR(INDEX(tProdutos[Foco],MATCH(tItens[[#This Row],[Produto]],tProdutos[Produto],0)),"Não")</f>
        <v>Sim</v>
      </c>
      <c r="O5574" t="str">
        <f>IFERROR(INDEX(tEditais[SRP],MATCH(tItens[[#This Row],[Edital]],tEditais[Edital],0)),"Não")</f>
        <v>Sim</v>
      </c>
      <c r="P5574" s="4">
        <f>IF(COUNTIFS(INDEX(tItens[Edital],1):tItens[[#This Row],[Edital]],tItens[[#This Row],[Edital]],INDEX(tItens[Produto],1):tItens[[#This Row],[Produto]],tItens[[#This Row],[Produto]])=1,1,0)</f>
        <v>1</v>
      </c>
    </row>
    <row r="5575" spans="1:16" x14ac:dyDescent="0.25">
      <c r="A5575" t="s">
        <v>2032</v>
      </c>
      <c r="B5575">
        <v>104</v>
      </c>
      <c r="C5575" t="s">
        <v>8368</v>
      </c>
      <c r="D5575" t="s">
        <v>345</v>
      </c>
      <c r="E5575" s="13">
        <v>2000</v>
      </c>
      <c r="F5575" s="12">
        <v>1.41</v>
      </c>
      <c r="G5575" t="str">
        <f>IFERROR(INDEX(tEditais[Órgão],MATCH(tItens[[#This Row],[Edital]],tEditais[Edital],0)),"")</f>
        <v>MUNICIPIO DE SAO JOAO DO TRIUNFO</v>
      </c>
      <c r="H5575" t="str">
        <f>IFERROR(INDEX(tEditais[UF],MATCH(tItens[[#This Row],[Edital]],tEditais[Edital],0)),"")</f>
        <v>PR</v>
      </c>
      <c r="I5575" s="11">
        <f>IFERROR(INDEX(tEditais[Encerramento],MATCH(tItens[[#This Row],[Edital]],tEditais[Edital],0)),"")</f>
        <v>46309.332638888889</v>
      </c>
      <c r="J5575" t="str">
        <f>IFERROR(INDEX(tProdutos[Classe],MATCH(tItens[[#This Row],[Produto]],tProdutos[Produto],0)),"produto não cadastrado")</f>
        <v>FORA</v>
      </c>
      <c r="K5575" s="12">
        <f>tItens[[#This Row],[Qtd]]*tItens[[#This Row],[Vlr unit]]</f>
        <v>2820</v>
      </c>
      <c r="L5575" s="6">
        <f>IFERROR(IF(INDEX(tProdutos[Desconto homologado],MATCH(tItens[[#This Row],[Produto]],tProdutos[Produto],0))="",DescontoPadrao,INDEX(tProdutos[Desconto homologado],MATCH(tItens[[#This Row],[Produto]],tProdutos[Produto],0))),DescontoPadrao)</f>
        <v>0.412394275616498</v>
      </c>
      <c r="M5575" s="12">
        <f>tItens[[#This Row],[Valor]]*(1-tItens[[#This Row],[Desconto]])</f>
        <v>1657.0481427614757</v>
      </c>
      <c r="N5575" t="str">
        <f>IFERROR(INDEX(tProdutos[Foco],MATCH(tItens[[#This Row],[Produto]],tProdutos[Produto],0)),"Não")</f>
        <v>Não</v>
      </c>
      <c r="O5575" t="str">
        <f>IFERROR(INDEX(tEditais[SRP],MATCH(tItens[[#This Row],[Edital]],tEditais[Edital],0)),"Não")</f>
        <v>Sim</v>
      </c>
      <c r="P5575" s="4">
        <f>IF(COUNTIFS(INDEX(tItens[Edital],1):tItens[[#This Row],[Edital]],tItens[[#This Row],[Edital]],INDEX(tItens[Produto],1):tItens[[#This Row],[Produto]],tItens[[#This Row],[Produto]])=1,1,0)</f>
        <v>1</v>
      </c>
    </row>
    <row r="5576" spans="1:16" x14ac:dyDescent="0.25">
      <c r="A5576" t="s">
        <v>2032</v>
      </c>
      <c r="B5576">
        <v>105</v>
      </c>
      <c r="C5576" t="s">
        <v>8369</v>
      </c>
      <c r="D5576" t="s">
        <v>345</v>
      </c>
      <c r="E5576" s="13">
        <v>6000</v>
      </c>
      <c r="F5576" s="12">
        <v>1.6</v>
      </c>
      <c r="G5576" t="str">
        <f>IFERROR(INDEX(tEditais[Órgão],MATCH(tItens[[#This Row],[Edital]],tEditais[Edital],0)),"")</f>
        <v>MUNICIPIO DE SAO JOAO DO TRIUNFO</v>
      </c>
      <c r="H5576" t="str">
        <f>IFERROR(INDEX(tEditais[UF],MATCH(tItens[[#This Row],[Edital]],tEditais[Edital],0)),"")</f>
        <v>PR</v>
      </c>
      <c r="I5576" s="11">
        <f>IFERROR(INDEX(tEditais[Encerramento],MATCH(tItens[[#This Row],[Edital]],tEditais[Edital],0)),"")</f>
        <v>46309.332638888889</v>
      </c>
      <c r="J5576" t="str">
        <f>IFERROR(INDEX(tProdutos[Classe],MATCH(tItens[[#This Row],[Produto]],tProdutos[Produto],0)),"produto não cadastrado")</f>
        <v>FORA</v>
      </c>
      <c r="K5576" s="12">
        <f>tItens[[#This Row],[Qtd]]*tItens[[#This Row],[Vlr unit]]</f>
        <v>9600</v>
      </c>
      <c r="L5576" s="6">
        <f>IFERROR(IF(INDEX(tProdutos[Desconto homologado],MATCH(tItens[[#This Row],[Produto]],tProdutos[Produto],0))="",DescontoPadrao,INDEX(tProdutos[Desconto homologado],MATCH(tItens[[#This Row],[Produto]],tProdutos[Produto],0))),DescontoPadrao)</f>
        <v>0.412394275616498</v>
      </c>
      <c r="M5576" s="12">
        <f>tItens[[#This Row],[Valor]]*(1-tItens[[#This Row],[Desconto]])</f>
        <v>5641.0149540816192</v>
      </c>
      <c r="N5576" t="str">
        <f>IFERROR(INDEX(tProdutos[Foco],MATCH(tItens[[#This Row],[Produto]],tProdutos[Produto],0)),"Não")</f>
        <v>Não</v>
      </c>
      <c r="O5576" t="str">
        <f>IFERROR(INDEX(tEditais[SRP],MATCH(tItens[[#This Row],[Edital]],tEditais[Edital],0)),"Não")</f>
        <v>Sim</v>
      </c>
      <c r="P5576" s="4">
        <f>IF(COUNTIFS(INDEX(tItens[Edital],1):tItens[[#This Row],[Edital]],tItens[[#This Row],[Edital]],INDEX(tItens[Produto],1):tItens[[#This Row],[Produto]],tItens[[#This Row],[Produto]])=1,1,0)</f>
        <v>0</v>
      </c>
    </row>
    <row r="5577" spans="1:16" x14ac:dyDescent="0.25">
      <c r="A5577" t="s">
        <v>2032</v>
      </c>
      <c r="B5577">
        <v>106</v>
      </c>
      <c r="C5577" t="s">
        <v>8370</v>
      </c>
      <c r="D5577" t="s">
        <v>345</v>
      </c>
      <c r="E5577" s="13">
        <v>7000</v>
      </c>
      <c r="F5577" s="12">
        <v>1.85</v>
      </c>
      <c r="G5577" t="str">
        <f>IFERROR(INDEX(tEditais[Órgão],MATCH(tItens[[#This Row],[Edital]],tEditais[Edital],0)),"")</f>
        <v>MUNICIPIO DE SAO JOAO DO TRIUNFO</v>
      </c>
      <c r="H5577" t="str">
        <f>IFERROR(INDEX(tEditais[UF],MATCH(tItens[[#This Row],[Edital]],tEditais[Edital],0)),"")</f>
        <v>PR</v>
      </c>
      <c r="I5577" s="11">
        <f>IFERROR(INDEX(tEditais[Encerramento],MATCH(tItens[[#This Row],[Edital]],tEditais[Edital],0)),"")</f>
        <v>46309.332638888889</v>
      </c>
      <c r="J5577" t="str">
        <f>IFERROR(INDEX(tProdutos[Classe],MATCH(tItens[[#This Row],[Produto]],tProdutos[Produto],0)),"produto não cadastrado")</f>
        <v>FORA</v>
      </c>
      <c r="K5577" s="12">
        <f>tItens[[#This Row],[Qtd]]*tItens[[#This Row],[Vlr unit]]</f>
        <v>12950</v>
      </c>
      <c r="L5577" s="6">
        <f>IFERROR(IF(INDEX(tProdutos[Desconto homologado],MATCH(tItens[[#This Row],[Produto]],tProdutos[Produto],0))="",DescontoPadrao,INDEX(tProdutos[Desconto homologado],MATCH(tItens[[#This Row],[Produto]],tProdutos[Produto],0))),DescontoPadrao)</f>
        <v>0.412394275616498</v>
      </c>
      <c r="M5577" s="12">
        <f>tItens[[#This Row],[Valor]]*(1-tItens[[#This Row],[Desconto]])</f>
        <v>7609.4941307663512</v>
      </c>
      <c r="N5577" t="str">
        <f>IFERROR(INDEX(tProdutos[Foco],MATCH(tItens[[#This Row],[Produto]],tProdutos[Produto],0)),"Não")</f>
        <v>Não</v>
      </c>
      <c r="O5577" t="str">
        <f>IFERROR(INDEX(tEditais[SRP],MATCH(tItens[[#This Row],[Edital]],tEditais[Edital],0)),"Não")</f>
        <v>Sim</v>
      </c>
      <c r="P5577" s="4">
        <f>IF(COUNTIFS(INDEX(tItens[Edital],1):tItens[[#This Row],[Edital]],tItens[[#This Row],[Edital]],INDEX(tItens[Produto],1):tItens[[#This Row],[Produto]],tItens[[#This Row],[Produto]])=1,1,0)</f>
        <v>0</v>
      </c>
    </row>
    <row r="5578" spans="1:16" x14ac:dyDescent="0.25">
      <c r="A5578" t="s">
        <v>2032</v>
      </c>
      <c r="B5578">
        <v>107</v>
      </c>
      <c r="C5578" t="s">
        <v>8371</v>
      </c>
      <c r="D5578" t="s">
        <v>345</v>
      </c>
      <c r="E5578" s="13">
        <v>7000</v>
      </c>
      <c r="F5578" s="12">
        <v>2.17</v>
      </c>
      <c r="G5578" t="str">
        <f>IFERROR(INDEX(tEditais[Órgão],MATCH(tItens[[#This Row],[Edital]],tEditais[Edital],0)),"")</f>
        <v>MUNICIPIO DE SAO JOAO DO TRIUNFO</v>
      </c>
      <c r="H5578" t="str">
        <f>IFERROR(INDEX(tEditais[UF],MATCH(tItens[[#This Row],[Edital]],tEditais[Edital],0)),"")</f>
        <v>PR</v>
      </c>
      <c r="I5578" s="11">
        <f>IFERROR(INDEX(tEditais[Encerramento],MATCH(tItens[[#This Row],[Edital]],tEditais[Edital],0)),"")</f>
        <v>46309.332638888889</v>
      </c>
      <c r="J5578" t="str">
        <f>IFERROR(INDEX(tProdutos[Classe],MATCH(tItens[[#This Row],[Produto]],tProdutos[Produto],0)),"produto não cadastrado")</f>
        <v>FORA</v>
      </c>
      <c r="K5578" s="12">
        <f>tItens[[#This Row],[Qtd]]*tItens[[#This Row],[Vlr unit]]</f>
        <v>15190</v>
      </c>
      <c r="L5578" s="6">
        <f>IFERROR(IF(INDEX(tProdutos[Desconto homologado],MATCH(tItens[[#This Row],[Produto]],tProdutos[Produto],0))="",DescontoPadrao,INDEX(tProdutos[Desconto homologado],MATCH(tItens[[#This Row],[Produto]],tProdutos[Produto],0))),DescontoPadrao)</f>
        <v>0.412394275616498</v>
      </c>
      <c r="M5578" s="12">
        <f>tItens[[#This Row],[Valor]]*(1-tItens[[#This Row],[Desconto]])</f>
        <v>8925.730953385395</v>
      </c>
      <c r="N5578" t="str">
        <f>IFERROR(INDEX(tProdutos[Foco],MATCH(tItens[[#This Row],[Produto]],tProdutos[Produto],0)),"Não")</f>
        <v>Não</v>
      </c>
      <c r="O5578" t="str">
        <f>IFERROR(INDEX(tEditais[SRP],MATCH(tItens[[#This Row],[Edital]],tEditais[Edital],0)),"Não")</f>
        <v>Sim</v>
      </c>
      <c r="P5578" s="4">
        <f>IF(COUNTIFS(INDEX(tItens[Edital],1):tItens[[#This Row],[Edital]],tItens[[#This Row],[Edital]],INDEX(tItens[Produto],1):tItens[[#This Row],[Produto]],tItens[[#This Row],[Produto]])=1,1,0)</f>
        <v>0</v>
      </c>
    </row>
    <row r="5579" spans="1:16" x14ac:dyDescent="0.25">
      <c r="A5579" t="s">
        <v>2032</v>
      </c>
      <c r="B5579">
        <v>112</v>
      </c>
      <c r="C5579" t="s">
        <v>8372</v>
      </c>
      <c r="D5579" t="s">
        <v>275</v>
      </c>
      <c r="E5579" s="13">
        <v>5000</v>
      </c>
      <c r="F5579" s="12">
        <v>0.38</v>
      </c>
      <c r="G5579" t="str">
        <f>IFERROR(INDEX(tEditais[Órgão],MATCH(tItens[[#This Row],[Edital]],tEditais[Edital],0)),"")</f>
        <v>MUNICIPIO DE SAO JOAO DO TRIUNFO</v>
      </c>
      <c r="H5579" t="str">
        <f>IFERROR(INDEX(tEditais[UF],MATCH(tItens[[#This Row],[Edital]],tEditais[Edital],0)),"")</f>
        <v>PR</v>
      </c>
      <c r="I5579" s="11">
        <f>IFERROR(INDEX(tEditais[Encerramento],MATCH(tItens[[#This Row],[Edital]],tEditais[Edital],0)),"")</f>
        <v>46309.332638888889</v>
      </c>
      <c r="J5579" t="str">
        <f>IFERROR(INDEX(tProdutos[Classe],MATCH(tItens[[#This Row],[Produto]],tProdutos[Produto],0)),"produto não cadastrado")</f>
        <v>FORA</v>
      </c>
      <c r="K5579" s="12">
        <f>tItens[[#This Row],[Qtd]]*tItens[[#This Row],[Vlr unit]]</f>
        <v>1900</v>
      </c>
      <c r="L5579" s="6">
        <f>IFERROR(IF(INDEX(tProdutos[Desconto homologado],MATCH(tItens[[#This Row],[Produto]],tProdutos[Produto],0))="",DescontoPadrao,INDEX(tProdutos[Desconto homologado],MATCH(tItens[[#This Row],[Produto]],tProdutos[Produto],0))),DescontoPadrao)</f>
        <v>0.405797101449275</v>
      </c>
      <c r="M5579" s="12">
        <f>tItens[[#This Row],[Valor]]*(1-tItens[[#This Row],[Desconto]])</f>
        <v>1128.9855072463777</v>
      </c>
      <c r="N5579" t="str">
        <f>IFERROR(INDEX(tProdutos[Foco],MATCH(tItens[[#This Row],[Produto]],tProdutos[Produto],0)),"Não")</f>
        <v>Não</v>
      </c>
      <c r="O5579" t="str">
        <f>IFERROR(INDEX(tEditais[SRP],MATCH(tItens[[#This Row],[Edital]],tEditais[Edital],0)),"Não")</f>
        <v>Sim</v>
      </c>
      <c r="P5579" s="4">
        <f>IF(COUNTIFS(INDEX(tItens[Edital],1):tItens[[#This Row],[Edital]],tItens[[#This Row],[Edital]],INDEX(tItens[Produto],1):tItens[[#This Row],[Produto]],tItens[[#This Row],[Produto]])=1,1,0)</f>
        <v>0</v>
      </c>
    </row>
    <row r="5580" spans="1:16" x14ac:dyDescent="0.25">
      <c r="A5580" t="s">
        <v>2032</v>
      </c>
      <c r="B5580">
        <v>115</v>
      </c>
      <c r="C5580" t="s">
        <v>8373</v>
      </c>
      <c r="D5580" t="s">
        <v>257</v>
      </c>
      <c r="E5580" s="13">
        <v>100</v>
      </c>
      <c r="F5580" s="12">
        <v>6.81</v>
      </c>
      <c r="G5580" t="str">
        <f>IFERROR(INDEX(tEditais[Órgão],MATCH(tItens[[#This Row],[Edital]],tEditais[Edital],0)),"")</f>
        <v>MUNICIPIO DE SAO JOAO DO TRIUNFO</v>
      </c>
      <c r="H5580" t="str">
        <f>IFERROR(INDEX(tEditais[UF],MATCH(tItens[[#This Row],[Edital]],tEditais[Edital],0)),"")</f>
        <v>PR</v>
      </c>
      <c r="I5580" s="11">
        <f>IFERROR(INDEX(tEditais[Encerramento],MATCH(tItens[[#This Row],[Edital]],tEditais[Edital],0)),"")</f>
        <v>46309.332638888889</v>
      </c>
      <c r="J5580" t="str">
        <f>IFERROR(INDEX(tProdutos[Classe],MATCH(tItens[[#This Row],[Produto]],tProdutos[Produto],0)),"produto não cadastrado")</f>
        <v>FORA</v>
      </c>
      <c r="K5580" s="12">
        <f>tItens[[#This Row],[Qtd]]*tItens[[#This Row],[Vlr unit]]</f>
        <v>681</v>
      </c>
      <c r="L5580" s="6">
        <f>IFERROR(IF(INDEX(tProdutos[Desconto homologado],MATCH(tItens[[#This Row],[Produto]],tProdutos[Produto],0))="",DescontoPadrao,INDEX(tProdutos[Desconto homologado],MATCH(tItens[[#This Row],[Produto]],tProdutos[Produto],0))),DescontoPadrao)</f>
        <v>0.500812004991805</v>
      </c>
      <c r="M5580" s="12">
        <f>tItens[[#This Row],[Valor]]*(1-tItens[[#This Row],[Desconto]])</f>
        <v>339.94702460058079</v>
      </c>
      <c r="N5580" t="str">
        <f>IFERROR(INDEX(tProdutos[Foco],MATCH(tItens[[#This Row],[Produto]],tProdutos[Produto],0)),"Não")</f>
        <v>Não</v>
      </c>
      <c r="O5580" t="str">
        <f>IFERROR(INDEX(tEditais[SRP],MATCH(tItens[[#This Row],[Edital]],tEditais[Edital],0)),"Não")</f>
        <v>Sim</v>
      </c>
      <c r="P5580" s="4">
        <f>IF(COUNTIFS(INDEX(tItens[Edital],1):tItens[[#This Row],[Edital]],tItens[[#This Row],[Edital]],INDEX(tItens[Produto],1):tItens[[#This Row],[Produto]],tItens[[#This Row],[Produto]])=1,1,0)</f>
        <v>0</v>
      </c>
    </row>
    <row r="5581" spans="1:16" x14ac:dyDescent="0.25">
      <c r="A5581" t="s">
        <v>2032</v>
      </c>
      <c r="B5581">
        <v>116</v>
      </c>
      <c r="C5581" t="s">
        <v>8374</v>
      </c>
      <c r="D5581" t="s">
        <v>73</v>
      </c>
      <c r="E5581" s="13">
        <v>50</v>
      </c>
      <c r="F5581" s="12">
        <v>1.42</v>
      </c>
      <c r="G5581" t="str">
        <f>IFERROR(INDEX(tEditais[Órgão],MATCH(tItens[[#This Row],[Edital]],tEditais[Edital],0)),"")</f>
        <v>MUNICIPIO DE SAO JOAO DO TRIUNFO</v>
      </c>
      <c r="H5581" t="str">
        <f>IFERROR(INDEX(tEditais[UF],MATCH(tItens[[#This Row],[Edital]],tEditais[Edital],0)),"")</f>
        <v>PR</v>
      </c>
      <c r="I5581" s="11">
        <f>IFERROR(INDEX(tEditais[Encerramento],MATCH(tItens[[#This Row],[Edital]],tEditais[Edital],0)),"")</f>
        <v>46309.332638888889</v>
      </c>
      <c r="J5581" t="str">
        <f>IFERROR(INDEX(tProdutos[Classe],MATCH(tItens[[#This Row],[Produto]],tProdutos[Produto],0)),"produto não cadastrado")</f>
        <v>NÚCLEO</v>
      </c>
      <c r="K5581" s="12">
        <f>tItens[[#This Row],[Qtd]]*tItens[[#This Row],[Vlr unit]]</f>
        <v>71</v>
      </c>
      <c r="L5581" s="6">
        <f>IFERROR(IF(INDEX(tProdutos[Desconto homologado],MATCH(tItens[[#This Row],[Produto]],tProdutos[Produto],0))="",DescontoPadrao,INDEX(tProdutos[Desconto homologado],MATCH(tItens[[#This Row],[Produto]],tProdutos[Produto],0))),DescontoPadrao)</f>
        <v>0.37</v>
      </c>
      <c r="M5581" s="12">
        <f>tItens[[#This Row],[Valor]]*(1-tItens[[#This Row],[Desconto]])</f>
        <v>44.73</v>
      </c>
      <c r="N5581" t="str">
        <f>IFERROR(INDEX(tProdutos[Foco],MATCH(tItens[[#This Row],[Produto]],tProdutos[Produto],0)),"Não")</f>
        <v>Sim</v>
      </c>
      <c r="O5581" t="str">
        <f>IFERROR(INDEX(tEditais[SRP],MATCH(tItens[[#This Row],[Edital]],tEditais[Edital],0)),"Não")</f>
        <v>Sim</v>
      </c>
      <c r="P5581" s="4">
        <f>IF(COUNTIFS(INDEX(tItens[Edital],1):tItens[[#This Row],[Edital]],tItens[[#This Row],[Edital]],INDEX(tItens[Produto],1):tItens[[#This Row],[Produto]],tItens[[#This Row],[Produto]])=1,1,0)</f>
        <v>1</v>
      </c>
    </row>
    <row r="5582" spans="1:16" x14ac:dyDescent="0.25">
      <c r="A5582" t="s">
        <v>2032</v>
      </c>
      <c r="B5582">
        <v>127</v>
      </c>
      <c r="C5582" t="s">
        <v>8375</v>
      </c>
      <c r="D5582" t="s">
        <v>315</v>
      </c>
      <c r="E5582" s="13">
        <v>100</v>
      </c>
      <c r="F5582" s="12">
        <v>9.25</v>
      </c>
      <c r="G5582" t="str">
        <f>IFERROR(INDEX(tEditais[Órgão],MATCH(tItens[[#This Row],[Edital]],tEditais[Edital],0)),"")</f>
        <v>MUNICIPIO DE SAO JOAO DO TRIUNFO</v>
      </c>
      <c r="H5582" t="str">
        <f>IFERROR(INDEX(tEditais[UF],MATCH(tItens[[#This Row],[Edital]],tEditais[Edital],0)),"")</f>
        <v>PR</v>
      </c>
      <c r="I5582" s="11">
        <f>IFERROR(INDEX(tEditais[Encerramento],MATCH(tItens[[#This Row],[Edital]],tEditais[Edital],0)),"")</f>
        <v>46309.332638888889</v>
      </c>
      <c r="J5582" t="str">
        <f>IFERROR(INDEX(tProdutos[Classe],MATCH(tItens[[#This Row],[Produto]],tProdutos[Produto],0)),"produto não cadastrado")</f>
        <v>FORA</v>
      </c>
      <c r="K5582" s="12">
        <f>tItens[[#This Row],[Qtd]]*tItens[[#This Row],[Vlr unit]]</f>
        <v>925</v>
      </c>
      <c r="L5582" s="6">
        <f>IFERROR(IF(INDEX(tProdutos[Desconto homologado],MATCH(tItens[[#This Row],[Produto]],tProdutos[Produto],0))="",DescontoPadrao,INDEX(tProdutos[Desconto homologado],MATCH(tItens[[#This Row],[Produto]],tProdutos[Produto],0))),DescontoPadrao)</f>
        <v>0.38432036097010702</v>
      </c>
      <c r="M5582" s="12">
        <f>tItens[[#This Row],[Valor]]*(1-tItens[[#This Row],[Desconto]])</f>
        <v>569.50366610265098</v>
      </c>
      <c r="N5582" t="str">
        <f>IFERROR(INDEX(tProdutos[Foco],MATCH(tItens[[#This Row],[Produto]],tProdutos[Produto],0)),"Não")</f>
        <v>Não</v>
      </c>
      <c r="O5582" t="str">
        <f>IFERROR(INDEX(tEditais[SRP],MATCH(tItens[[#This Row],[Edital]],tEditais[Edital],0)),"Não")</f>
        <v>Sim</v>
      </c>
      <c r="P5582" s="4">
        <f>IF(COUNTIFS(INDEX(tItens[Edital],1):tItens[[#This Row],[Edital]],tItens[[#This Row],[Edital]],INDEX(tItens[Produto],1):tItens[[#This Row],[Produto]],tItens[[#This Row],[Produto]])=1,1,0)</f>
        <v>0</v>
      </c>
    </row>
    <row r="5583" spans="1:16" x14ac:dyDescent="0.25">
      <c r="A5583" t="s">
        <v>2032</v>
      </c>
      <c r="B5583">
        <v>128</v>
      </c>
      <c r="C5583" t="s">
        <v>8376</v>
      </c>
      <c r="D5583" t="s">
        <v>315</v>
      </c>
      <c r="E5583" s="13">
        <v>50</v>
      </c>
      <c r="F5583" s="12">
        <v>7.97</v>
      </c>
      <c r="G5583" t="str">
        <f>IFERROR(INDEX(tEditais[Órgão],MATCH(tItens[[#This Row],[Edital]],tEditais[Edital],0)),"")</f>
        <v>MUNICIPIO DE SAO JOAO DO TRIUNFO</v>
      </c>
      <c r="H5583" t="str">
        <f>IFERROR(INDEX(tEditais[UF],MATCH(tItens[[#This Row],[Edital]],tEditais[Edital],0)),"")</f>
        <v>PR</v>
      </c>
      <c r="I5583" s="11">
        <f>IFERROR(INDEX(tEditais[Encerramento],MATCH(tItens[[#This Row],[Edital]],tEditais[Edital],0)),"")</f>
        <v>46309.332638888889</v>
      </c>
      <c r="J5583" t="str">
        <f>IFERROR(INDEX(tProdutos[Classe],MATCH(tItens[[#This Row],[Produto]],tProdutos[Produto],0)),"produto não cadastrado")</f>
        <v>FORA</v>
      </c>
      <c r="K5583" s="12">
        <f>tItens[[#This Row],[Qtd]]*tItens[[#This Row],[Vlr unit]]</f>
        <v>398.5</v>
      </c>
      <c r="L5583" s="6">
        <f>IFERROR(IF(INDEX(tProdutos[Desconto homologado],MATCH(tItens[[#This Row],[Produto]],tProdutos[Produto],0))="",DescontoPadrao,INDEX(tProdutos[Desconto homologado],MATCH(tItens[[#This Row],[Produto]],tProdutos[Produto],0))),DescontoPadrao)</f>
        <v>0.38432036097010702</v>
      </c>
      <c r="M5583" s="12">
        <f>tItens[[#This Row],[Valor]]*(1-tItens[[#This Row],[Desconto]])</f>
        <v>245.34833615341236</v>
      </c>
      <c r="N5583" t="str">
        <f>IFERROR(INDEX(tProdutos[Foco],MATCH(tItens[[#This Row],[Produto]],tProdutos[Produto],0)),"Não")</f>
        <v>Não</v>
      </c>
      <c r="O5583" t="str">
        <f>IFERROR(INDEX(tEditais[SRP],MATCH(tItens[[#This Row],[Edital]],tEditais[Edital],0)),"Não")</f>
        <v>Sim</v>
      </c>
      <c r="P5583" s="4">
        <f>IF(COUNTIFS(INDEX(tItens[Edital],1):tItens[[#This Row],[Edital]],tItens[[#This Row],[Edital]],INDEX(tItens[Produto],1):tItens[[#This Row],[Produto]],tItens[[#This Row],[Produto]])=1,1,0)</f>
        <v>0</v>
      </c>
    </row>
    <row r="5584" spans="1:16" x14ac:dyDescent="0.25">
      <c r="A5584" t="s">
        <v>2032</v>
      </c>
      <c r="B5584">
        <v>132</v>
      </c>
      <c r="C5584" t="s">
        <v>8377</v>
      </c>
      <c r="D5584" t="s">
        <v>90</v>
      </c>
      <c r="E5584" s="13">
        <v>400</v>
      </c>
      <c r="F5584" s="12">
        <v>8.4700000000000006</v>
      </c>
      <c r="G5584" t="str">
        <f>IFERROR(INDEX(tEditais[Órgão],MATCH(tItens[[#This Row],[Edital]],tEditais[Edital],0)),"")</f>
        <v>MUNICIPIO DE SAO JOAO DO TRIUNFO</v>
      </c>
      <c r="H5584" t="str">
        <f>IFERROR(INDEX(tEditais[UF],MATCH(tItens[[#This Row],[Edital]],tEditais[Edital],0)),"")</f>
        <v>PR</v>
      </c>
      <c r="I5584" s="11">
        <f>IFERROR(INDEX(tEditais[Encerramento],MATCH(tItens[[#This Row],[Edital]],tEditais[Edital],0)),"")</f>
        <v>46309.332638888889</v>
      </c>
      <c r="J5584" t="str">
        <f>IFERROR(INDEX(tProdutos[Classe],MATCH(tItens[[#This Row],[Produto]],tProdutos[Produto],0)),"produto não cadastrado")</f>
        <v>DISPUTADO</v>
      </c>
      <c r="K5584" s="12">
        <f>tItens[[#This Row],[Qtd]]*tItens[[#This Row],[Vlr unit]]</f>
        <v>3388.0000000000005</v>
      </c>
      <c r="L5584" s="6">
        <f>IFERROR(IF(INDEX(tProdutos[Desconto homologado],MATCH(tItens[[#This Row],[Produto]],tProdutos[Produto],0))="",DescontoPadrao,INDEX(tProdutos[Desconto homologado],MATCH(tItens[[#This Row],[Produto]],tProdutos[Produto],0))),DescontoPadrao)</f>
        <v>0.25393823957010597</v>
      </c>
      <c r="M5584" s="12">
        <f>tItens[[#This Row],[Valor]]*(1-tItens[[#This Row],[Desconto]])</f>
        <v>2527.6572443364812</v>
      </c>
      <c r="N5584" t="str">
        <f>IFERROR(INDEX(tProdutos[Foco],MATCH(tItens[[#This Row],[Produto]],tProdutos[Produto],0)),"Não")</f>
        <v>Não</v>
      </c>
      <c r="O5584" t="str">
        <f>IFERROR(INDEX(tEditais[SRP],MATCH(tItens[[#This Row],[Edital]],tEditais[Edital],0)),"Não")</f>
        <v>Sim</v>
      </c>
      <c r="P5584" s="4">
        <f>IF(COUNTIFS(INDEX(tItens[Edital],1):tItens[[#This Row],[Edital]],tItens[[#This Row],[Edital]],INDEX(tItens[Produto],1):tItens[[#This Row],[Produto]],tItens[[#This Row],[Produto]])=1,1,0)</f>
        <v>1</v>
      </c>
    </row>
    <row r="5585" spans="1:16" x14ac:dyDescent="0.25">
      <c r="A5585" t="s">
        <v>2032</v>
      </c>
      <c r="B5585">
        <v>133</v>
      </c>
      <c r="C5585" t="s">
        <v>8378</v>
      </c>
      <c r="D5585" t="s">
        <v>75</v>
      </c>
      <c r="E5585" s="13">
        <v>3000</v>
      </c>
      <c r="F5585" s="12">
        <v>1.66</v>
      </c>
      <c r="G5585" t="str">
        <f>IFERROR(INDEX(tEditais[Órgão],MATCH(tItens[[#This Row],[Edital]],tEditais[Edital],0)),"")</f>
        <v>MUNICIPIO DE SAO JOAO DO TRIUNFO</v>
      </c>
      <c r="H5585" t="str">
        <f>IFERROR(INDEX(tEditais[UF],MATCH(tItens[[#This Row],[Edital]],tEditais[Edital],0)),"")</f>
        <v>PR</v>
      </c>
      <c r="I5585" s="11">
        <f>IFERROR(INDEX(tEditais[Encerramento],MATCH(tItens[[#This Row],[Edital]],tEditais[Edital],0)),"")</f>
        <v>46309.332638888889</v>
      </c>
      <c r="J5585" t="str">
        <f>IFERROR(INDEX(tProdutos[Classe],MATCH(tItens[[#This Row],[Produto]],tProdutos[Produto],0)),"produto não cadastrado")</f>
        <v>NÚCLEO</v>
      </c>
      <c r="K5585" s="12">
        <f>tItens[[#This Row],[Qtd]]*tItens[[#This Row],[Vlr unit]]</f>
        <v>4980</v>
      </c>
      <c r="L5585" s="6">
        <f>IFERROR(IF(INDEX(tProdutos[Desconto homologado],MATCH(tItens[[#This Row],[Produto]],tProdutos[Produto],0))="",DescontoPadrao,INDEX(tProdutos[Desconto homologado],MATCH(tItens[[#This Row],[Produto]],tProdutos[Produto],0))),DescontoPadrao)</f>
        <v>0.26</v>
      </c>
      <c r="M5585" s="12">
        <f>tItens[[#This Row],[Valor]]*(1-tItens[[#This Row],[Desconto]])</f>
        <v>3685.2</v>
      </c>
      <c r="N5585" t="str">
        <f>IFERROR(INDEX(tProdutos[Foco],MATCH(tItens[[#This Row],[Produto]],tProdutos[Produto],0)),"Não")</f>
        <v>Sim</v>
      </c>
      <c r="O5585" t="str">
        <f>IFERROR(INDEX(tEditais[SRP],MATCH(tItens[[#This Row],[Edital]],tEditais[Edital],0)),"Não")</f>
        <v>Sim</v>
      </c>
      <c r="P5585" s="4">
        <f>IF(COUNTIFS(INDEX(tItens[Edital],1):tItens[[#This Row],[Edital]],tItens[[#This Row],[Edital]],INDEX(tItens[Produto],1):tItens[[#This Row],[Produto]],tItens[[#This Row],[Produto]])=1,1,0)</f>
        <v>0</v>
      </c>
    </row>
    <row r="5586" spans="1:16" x14ac:dyDescent="0.25">
      <c r="A5586" t="s">
        <v>2032</v>
      </c>
      <c r="B5586">
        <v>134</v>
      </c>
      <c r="C5586" t="s">
        <v>8379</v>
      </c>
      <c r="D5586" t="s">
        <v>467</v>
      </c>
      <c r="E5586" s="13">
        <v>120</v>
      </c>
      <c r="F5586" s="12">
        <v>7.81</v>
      </c>
      <c r="G5586" t="str">
        <f>IFERROR(INDEX(tEditais[Órgão],MATCH(tItens[[#This Row],[Edital]],tEditais[Edital],0)),"")</f>
        <v>MUNICIPIO DE SAO JOAO DO TRIUNFO</v>
      </c>
      <c r="H5586" t="str">
        <f>IFERROR(INDEX(tEditais[UF],MATCH(tItens[[#This Row],[Edital]],tEditais[Edital],0)),"")</f>
        <v>PR</v>
      </c>
      <c r="I5586" s="11">
        <f>IFERROR(INDEX(tEditais[Encerramento],MATCH(tItens[[#This Row],[Edital]],tEditais[Edital],0)),"")</f>
        <v>46309.332638888889</v>
      </c>
      <c r="J5586" t="str">
        <f>IFERROR(INDEX(tProdutos[Classe],MATCH(tItens[[#This Row],[Produto]],tProdutos[Produto],0)),"produto não cadastrado")</f>
        <v>FILA REBASE</v>
      </c>
      <c r="K5586" s="12">
        <f>tItens[[#This Row],[Qtd]]*tItens[[#This Row],[Vlr unit]]</f>
        <v>937.19999999999993</v>
      </c>
      <c r="L5586" s="6">
        <f>IFERROR(IF(INDEX(tProdutos[Desconto homologado],MATCH(tItens[[#This Row],[Produto]],tProdutos[Produto],0))="",DescontoPadrao,INDEX(tProdutos[Desconto homologado],MATCH(tItens[[#This Row],[Produto]],tProdutos[Produto],0))),DescontoPadrao)</f>
        <v>0.25007144898542499</v>
      </c>
      <c r="M5586" s="12">
        <f>tItens[[#This Row],[Valor]]*(1-tItens[[#This Row],[Desconto]])</f>
        <v>702.8330380108597</v>
      </c>
      <c r="N5586" t="str">
        <f>IFERROR(INDEX(tProdutos[Foco],MATCH(tItens[[#This Row],[Produto]],tProdutos[Produto],0)),"Não")</f>
        <v>Não</v>
      </c>
      <c r="O5586" t="str">
        <f>IFERROR(INDEX(tEditais[SRP],MATCH(tItens[[#This Row],[Edital]],tEditais[Edital],0)),"Não")</f>
        <v>Sim</v>
      </c>
      <c r="P5586" s="4">
        <f>IF(COUNTIFS(INDEX(tItens[Edital],1):tItens[[#This Row],[Edital]],tItens[[#This Row],[Edital]],INDEX(tItens[Produto],1):tItens[[#This Row],[Produto]],tItens[[#This Row],[Produto]])=1,1,0)</f>
        <v>1</v>
      </c>
    </row>
    <row r="5587" spans="1:16" x14ac:dyDescent="0.25">
      <c r="A5587" t="s">
        <v>2032</v>
      </c>
      <c r="B5587">
        <v>144</v>
      </c>
      <c r="C5587" t="s">
        <v>8380</v>
      </c>
      <c r="D5587" t="s">
        <v>281</v>
      </c>
      <c r="E5587" s="13">
        <v>700</v>
      </c>
      <c r="F5587" s="12">
        <v>0.5</v>
      </c>
      <c r="G5587" t="str">
        <f>IFERROR(INDEX(tEditais[Órgão],MATCH(tItens[[#This Row],[Edital]],tEditais[Edital],0)),"")</f>
        <v>MUNICIPIO DE SAO JOAO DO TRIUNFO</v>
      </c>
      <c r="H5587" t="str">
        <f>IFERROR(INDEX(tEditais[UF],MATCH(tItens[[#This Row],[Edital]],tEditais[Edital],0)),"")</f>
        <v>PR</v>
      </c>
      <c r="I5587" s="11">
        <f>IFERROR(INDEX(tEditais[Encerramento],MATCH(tItens[[#This Row],[Edital]],tEditais[Edital],0)),"")</f>
        <v>46309.332638888889</v>
      </c>
      <c r="J5587" t="str">
        <f>IFERROR(INDEX(tProdutos[Classe],MATCH(tItens[[#This Row],[Produto]],tProdutos[Produto],0)),"produto não cadastrado")</f>
        <v>DISPUTADO</v>
      </c>
      <c r="K5587" s="12">
        <f>tItens[[#This Row],[Qtd]]*tItens[[#This Row],[Vlr unit]]</f>
        <v>350</v>
      </c>
      <c r="L5587" s="6">
        <f>IFERROR(IF(INDEX(tProdutos[Desconto homologado],MATCH(tItens[[#This Row],[Produto]],tProdutos[Produto],0))="",DescontoPadrao,INDEX(tProdutos[Desconto homologado],MATCH(tItens[[#This Row],[Produto]],tProdutos[Produto],0))),DescontoPadrao)</f>
        <v>0.42461538461538501</v>
      </c>
      <c r="M5587" s="12">
        <f>tItens[[#This Row],[Valor]]*(1-tItens[[#This Row],[Desconto]])</f>
        <v>201.38461538461522</v>
      </c>
      <c r="N5587" t="str">
        <f>IFERROR(INDEX(tProdutos[Foco],MATCH(tItens[[#This Row],[Produto]],tProdutos[Produto],0)),"Não")</f>
        <v>Não</v>
      </c>
      <c r="O5587" t="str">
        <f>IFERROR(INDEX(tEditais[SRP],MATCH(tItens[[#This Row],[Edital]],tEditais[Edital],0)),"Não")</f>
        <v>Sim</v>
      </c>
      <c r="P5587" s="4">
        <f>IF(COUNTIFS(INDEX(tItens[Edital],1):tItens[[#This Row],[Edital]],tItens[[#This Row],[Edital]],INDEX(tItens[Produto],1):tItens[[#This Row],[Produto]],tItens[[#This Row],[Produto]])=1,1,0)</f>
        <v>0</v>
      </c>
    </row>
    <row r="5588" spans="1:16" x14ac:dyDescent="0.25">
      <c r="A5588" t="s">
        <v>2032</v>
      </c>
      <c r="B5588">
        <v>148</v>
      </c>
      <c r="C5588" t="s">
        <v>8381</v>
      </c>
      <c r="D5588" t="s">
        <v>275</v>
      </c>
      <c r="E5588" s="13">
        <v>15000</v>
      </c>
      <c r="F5588" s="12">
        <v>0.27</v>
      </c>
      <c r="G5588" t="str">
        <f>IFERROR(INDEX(tEditais[Órgão],MATCH(tItens[[#This Row],[Edital]],tEditais[Edital],0)),"")</f>
        <v>MUNICIPIO DE SAO JOAO DO TRIUNFO</v>
      </c>
      <c r="H5588" t="str">
        <f>IFERROR(INDEX(tEditais[UF],MATCH(tItens[[#This Row],[Edital]],tEditais[Edital],0)),"")</f>
        <v>PR</v>
      </c>
      <c r="I5588" s="11">
        <f>IFERROR(INDEX(tEditais[Encerramento],MATCH(tItens[[#This Row],[Edital]],tEditais[Edital],0)),"")</f>
        <v>46309.332638888889</v>
      </c>
      <c r="J5588" t="str">
        <f>IFERROR(INDEX(tProdutos[Classe],MATCH(tItens[[#This Row],[Produto]],tProdutos[Produto],0)),"produto não cadastrado")</f>
        <v>FORA</v>
      </c>
      <c r="K5588" s="12">
        <f>tItens[[#This Row],[Qtd]]*tItens[[#This Row],[Vlr unit]]</f>
        <v>4050.0000000000005</v>
      </c>
      <c r="L5588" s="6">
        <f>IFERROR(IF(INDEX(tProdutos[Desconto homologado],MATCH(tItens[[#This Row],[Produto]],tProdutos[Produto],0))="",DescontoPadrao,INDEX(tProdutos[Desconto homologado],MATCH(tItens[[#This Row],[Produto]],tProdutos[Produto],0))),DescontoPadrao)</f>
        <v>0.405797101449275</v>
      </c>
      <c r="M5588" s="12">
        <f>tItens[[#This Row],[Valor]]*(1-tItens[[#This Row],[Desconto]])</f>
        <v>2406.5217391304368</v>
      </c>
      <c r="N5588" t="str">
        <f>IFERROR(INDEX(tProdutos[Foco],MATCH(tItens[[#This Row],[Produto]],tProdutos[Produto],0)),"Não")</f>
        <v>Não</v>
      </c>
      <c r="O5588" t="str">
        <f>IFERROR(INDEX(tEditais[SRP],MATCH(tItens[[#This Row],[Edital]],tEditais[Edital],0)),"Não")</f>
        <v>Sim</v>
      </c>
      <c r="P5588" s="4">
        <f>IF(COUNTIFS(INDEX(tItens[Edital],1):tItens[[#This Row],[Edital]],tItens[[#This Row],[Edital]],INDEX(tItens[Produto],1):tItens[[#This Row],[Produto]],tItens[[#This Row],[Produto]])=1,1,0)</f>
        <v>0</v>
      </c>
    </row>
    <row r="5589" spans="1:16" x14ac:dyDescent="0.25">
      <c r="A5589" t="s">
        <v>2032</v>
      </c>
      <c r="B5589">
        <v>155</v>
      </c>
      <c r="C5589" t="s">
        <v>8382</v>
      </c>
      <c r="D5589" t="s">
        <v>197</v>
      </c>
      <c r="E5589" s="13">
        <v>30</v>
      </c>
      <c r="F5589" s="12">
        <v>59.81</v>
      </c>
      <c r="G5589" t="str">
        <f>IFERROR(INDEX(tEditais[Órgão],MATCH(tItens[[#This Row],[Edital]],tEditais[Edital],0)),"")</f>
        <v>MUNICIPIO DE SAO JOAO DO TRIUNFO</v>
      </c>
      <c r="H5589" t="str">
        <f>IFERROR(INDEX(tEditais[UF],MATCH(tItens[[#This Row],[Edital]],tEditais[Edital],0)),"")</f>
        <v>PR</v>
      </c>
      <c r="I5589" s="11">
        <f>IFERROR(INDEX(tEditais[Encerramento],MATCH(tItens[[#This Row],[Edital]],tEditais[Edital],0)),"")</f>
        <v>46309.332638888889</v>
      </c>
      <c r="J5589" t="str">
        <f>IFERROR(INDEX(tProdutos[Classe],MATCH(tItens[[#This Row],[Produto]],tProdutos[Produto],0)),"produto não cadastrado")</f>
        <v>FORA</v>
      </c>
      <c r="K5589" s="12">
        <f>tItens[[#This Row],[Qtd]]*tItens[[#This Row],[Vlr unit]]</f>
        <v>1794.3000000000002</v>
      </c>
      <c r="L5589" s="6">
        <f>IFERROR(IF(INDEX(tProdutos[Desconto homologado],MATCH(tItens[[#This Row],[Produto]],tProdutos[Produto],0))="",DescontoPadrao,INDEX(tProdutos[Desconto homologado],MATCH(tItens[[#This Row],[Produto]],tProdutos[Produto],0))),DescontoPadrao)</f>
        <v>0.26394818195200997</v>
      </c>
      <c r="M5589" s="12">
        <f>tItens[[#This Row],[Valor]]*(1-tItens[[#This Row],[Desconto]])</f>
        <v>1320.6977771235086</v>
      </c>
      <c r="N5589" t="str">
        <f>IFERROR(INDEX(tProdutos[Foco],MATCH(tItens[[#This Row],[Produto]],tProdutos[Produto],0)),"Não")</f>
        <v>Não</v>
      </c>
      <c r="O5589" t="str">
        <f>IFERROR(INDEX(tEditais[SRP],MATCH(tItens[[#This Row],[Edital]],tEditais[Edital],0)),"Não")</f>
        <v>Sim</v>
      </c>
      <c r="P5589" s="4">
        <f>IF(COUNTIFS(INDEX(tItens[Edital],1):tItens[[#This Row],[Edital]],tItens[[#This Row],[Edital]],INDEX(tItens[Produto],1):tItens[[#This Row],[Produto]],tItens[[#This Row],[Produto]])=1,1,0)</f>
        <v>1</v>
      </c>
    </row>
    <row r="5590" spans="1:16" x14ac:dyDescent="0.25">
      <c r="A5590" t="s">
        <v>2032</v>
      </c>
      <c r="B5590">
        <v>157</v>
      </c>
      <c r="C5590" t="s">
        <v>8383</v>
      </c>
      <c r="D5590" t="s">
        <v>150</v>
      </c>
      <c r="E5590" s="13">
        <v>2500</v>
      </c>
      <c r="F5590" s="12">
        <v>1.4</v>
      </c>
      <c r="G5590" t="str">
        <f>IFERROR(INDEX(tEditais[Órgão],MATCH(tItens[[#This Row],[Edital]],tEditais[Edital],0)),"")</f>
        <v>MUNICIPIO DE SAO JOAO DO TRIUNFO</v>
      </c>
      <c r="H5590" t="str">
        <f>IFERROR(INDEX(tEditais[UF],MATCH(tItens[[#This Row],[Edital]],tEditais[Edital],0)),"")</f>
        <v>PR</v>
      </c>
      <c r="I5590" s="11">
        <f>IFERROR(INDEX(tEditais[Encerramento],MATCH(tItens[[#This Row],[Edital]],tEditais[Edital],0)),"")</f>
        <v>46309.332638888889</v>
      </c>
      <c r="J5590" t="str">
        <f>IFERROR(INDEX(tProdutos[Classe],MATCH(tItens[[#This Row],[Produto]],tProdutos[Produto],0)),"produto não cadastrado")</f>
        <v>DISPUTADO</v>
      </c>
      <c r="K5590" s="12">
        <f>tItens[[#This Row],[Qtd]]*tItens[[#This Row],[Vlr unit]]</f>
        <v>3500</v>
      </c>
      <c r="L5590" s="6">
        <f>IFERROR(IF(INDEX(tProdutos[Desconto homologado],MATCH(tItens[[#This Row],[Produto]],tProdutos[Produto],0))="",DescontoPadrao,INDEX(tProdutos[Desconto homologado],MATCH(tItens[[#This Row],[Produto]],tProdutos[Produto],0))),DescontoPadrao)</f>
        <v>0.24874026568941801</v>
      </c>
      <c r="M5590" s="12">
        <f>tItens[[#This Row],[Valor]]*(1-tItens[[#This Row],[Desconto]])</f>
        <v>2629.409070087037</v>
      </c>
      <c r="N5590" t="str">
        <f>IFERROR(INDEX(tProdutos[Foco],MATCH(tItens[[#This Row],[Produto]],tProdutos[Produto],0)),"Não")</f>
        <v>Não</v>
      </c>
      <c r="O5590" t="str">
        <f>IFERROR(INDEX(tEditais[SRP],MATCH(tItens[[#This Row],[Edital]],tEditais[Edital],0)),"Não")</f>
        <v>Sim</v>
      </c>
      <c r="P5590" s="4">
        <f>IF(COUNTIFS(INDEX(tItens[Edital],1):tItens[[#This Row],[Edital]],tItens[[#This Row],[Edital]],INDEX(tItens[Produto],1):tItens[[#This Row],[Produto]],tItens[[#This Row],[Produto]])=1,1,0)</f>
        <v>1</v>
      </c>
    </row>
    <row r="5591" spans="1:16" x14ac:dyDescent="0.25">
      <c r="A5591" t="s">
        <v>2032</v>
      </c>
      <c r="B5591">
        <v>158</v>
      </c>
      <c r="C5591" t="s">
        <v>8384</v>
      </c>
      <c r="D5591" t="s">
        <v>150</v>
      </c>
      <c r="E5591" s="13">
        <v>500</v>
      </c>
      <c r="F5591" s="12">
        <v>1.02</v>
      </c>
      <c r="G5591" t="str">
        <f>IFERROR(INDEX(tEditais[Órgão],MATCH(tItens[[#This Row],[Edital]],tEditais[Edital],0)),"")</f>
        <v>MUNICIPIO DE SAO JOAO DO TRIUNFO</v>
      </c>
      <c r="H5591" t="str">
        <f>IFERROR(INDEX(tEditais[UF],MATCH(tItens[[#This Row],[Edital]],tEditais[Edital],0)),"")</f>
        <v>PR</v>
      </c>
      <c r="I5591" s="11">
        <f>IFERROR(INDEX(tEditais[Encerramento],MATCH(tItens[[#This Row],[Edital]],tEditais[Edital],0)),"")</f>
        <v>46309.332638888889</v>
      </c>
      <c r="J5591" t="str">
        <f>IFERROR(INDEX(tProdutos[Classe],MATCH(tItens[[#This Row],[Produto]],tProdutos[Produto],0)),"produto não cadastrado")</f>
        <v>DISPUTADO</v>
      </c>
      <c r="K5591" s="12">
        <f>tItens[[#This Row],[Qtd]]*tItens[[#This Row],[Vlr unit]]</f>
        <v>510</v>
      </c>
      <c r="L5591" s="6">
        <f>IFERROR(IF(INDEX(tProdutos[Desconto homologado],MATCH(tItens[[#This Row],[Produto]],tProdutos[Produto],0))="",DescontoPadrao,INDEX(tProdutos[Desconto homologado],MATCH(tItens[[#This Row],[Produto]],tProdutos[Produto],0))),DescontoPadrao)</f>
        <v>0.24874026568941801</v>
      </c>
      <c r="M5591" s="12">
        <f>tItens[[#This Row],[Valor]]*(1-tItens[[#This Row],[Desconto]])</f>
        <v>383.14246449839681</v>
      </c>
      <c r="N5591" t="str">
        <f>IFERROR(INDEX(tProdutos[Foco],MATCH(tItens[[#This Row],[Produto]],tProdutos[Produto],0)),"Não")</f>
        <v>Não</v>
      </c>
      <c r="O5591" t="str">
        <f>IFERROR(INDEX(tEditais[SRP],MATCH(tItens[[#This Row],[Edital]],tEditais[Edital],0)),"Não")</f>
        <v>Sim</v>
      </c>
      <c r="P5591" s="4">
        <f>IF(COUNTIFS(INDEX(tItens[Edital],1):tItens[[#This Row],[Edital]],tItens[[#This Row],[Edital]],INDEX(tItens[Produto],1):tItens[[#This Row],[Produto]],tItens[[#This Row],[Produto]])=1,1,0)</f>
        <v>0</v>
      </c>
    </row>
    <row r="5592" spans="1:16" x14ac:dyDescent="0.25">
      <c r="A5592" t="s">
        <v>2032</v>
      </c>
      <c r="B5592">
        <v>160</v>
      </c>
      <c r="C5592" t="s">
        <v>8385</v>
      </c>
      <c r="D5592" t="s">
        <v>158</v>
      </c>
      <c r="E5592" s="13">
        <v>500</v>
      </c>
      <c r="F5592" s="12">
        <v>1.05</v>
      </c>
      <c r="G5592" t="str">
        <f>IFERROR(INDEX(tEditais[Órgão],MATCH(tItens[[#This Row],[Edital]],tEditais[Edital],0)),"")</f>
        <v>MUNICIPIO DE SAO JOAO DO TRIUNFO</v>
      </c>
      <c r="H5592" t="str">
        <f>IFERROR(INDEX(tEditais[UF],MATCH(tItens[[#This Row],[Edital]],tEditais[Edital],0)),"")</f>
        <v>PR</v>
      </c>
      <c r="I5592" s="11">
        <f>IFERROR(INDEX(tEditais[Encerramento],MATCH(tItens[[#This Row],[Edital]],tEditais[Edital],0)),"")</f>
        <v>46309.332638888889</v>
      </c>
      <c r="J5592" t="str">
        <f>IFERROR(INDEX(tProdutos[Classe],MATCH(tItens[[#This Row],[Produto]],tProdutos[Produto],0)),"produto não cadastrado")</f>
        <v>DISPUTADO</v>
      </c>
      <c r="K5592" s="12">
        <f>tItens[[#This Row],[Qtd]]*tItens[[#This Row],[Vlr unit]]</f>
        <v>525</v>
      </c>
      <c r="L5592" s="6">
        <f>IFERROR(IF(INDEX(tProdutos[Desconto homologado],MATCH(tItens[[#This Row],[Produto]],tProdutos[Produto],0))="",DescontoPadrao,INDEX(tProdutos[Desconto homologado],MATCH(tItens[[#This Row],[Produto]],tProdutos[Produto],0))),DescontoPadrao)</f>
        <v>0.26086956521739102</v>
      </c>
      <c r="M5592" s="12">
        <f>tItens[[#This Row],[Valor]]*(1-tItens[[#This Row],[Desconto]])</f>
        <v>388.04347826086973</v>
      </c>
      <c r="N5592" t="str">
        <f>IFERROR(INDEX(tProdutos[Foco],MATCH(tItens[[#This Row],[Produto]],tProdutos[Produto],0)),"Não")</f>
        <v>Não</v>
      </c>
      <c r="O5592" t="str">
        <f>IFERROR(INDEX(tEditais[SRP],MATCH(tItens[[#This Row],[Edital]],tEditais[Edital],0)),"Não")</f>
        <v>Sim</v>
      </c>
      <c r="P5592" s="4">
        <f>IF(COUNTIFS(INDEX(tItens[Edital],1):tItens[[#This Row],[Edital]],tItens[[#This Row],[Edital]],INDEX(tItens[Produto],1):tItens[[#This Row],[Produto]],tItens[[#This Row],[Produto]])=1,1,0)</f>
        <v>1</v>
      </c>
    </row>
    <row r="5593" spans="1:16" x14ac:dyDescent="0.25">
      <c r="A5593" t="s">
        <v>2032</v>
      </c>
      <c r="B5593">
        <v>168</v>
      </c>
      <c r="C5593" t="s">
        <v>8386</v>
      </c>
      <c r="D5593" t="s">
        <v>201</v>
      </c>
      <c r="E5593" s="13">
        <v>1000</v>
      </c>
      <c r="F5593" s="12">
        <v>0.55000000000000004</v>
      </c>
      <c r="G5593" t="str">
        <f>IFERROR(INDEX(tEditais[Órgão],MATCH(tItens[[#This Row],[Edital]],tEditais[Edital],0)),"")</f>
        <v>MUNICIPIO DE SAO JOAO DO TRIUNFO</v>
      </c>
      <c r="H5593" t="str">
        <f>IFERROR(INDEX(tEditais[UF],MATCH(tItens[[#This Row],[Edital]],tEditais[Edital],0)),"")</f>
        <v>PR</v>
      </c>
      <c r="I5593" s="11">
        <f>IFERROR(INDEX(tEditais[Encerramento],MATCH(tItens[[#This Row],[Edital]],tEditais[Edital],0)),"")</f>
        <v>46309.332638888889</v>
      </c>
      <c r="J5593" t="str">
        <f>IFERROR(INDEX(tProdutos[Classe],MATCH(tItens[[#This Row],[Produto]],tProdutos[Produto],0)),"produto não cadastrado")</f>
        <v>DISPUTADO</v>
      </c>
      <c r="K5593" s="12">
        <f>tItens[[#This Row],[Qtd]]*tItens[[#This Row],[Vlr unit]]</f>
        <v>550</v>
      </c>
      <c r="L5593" s="6">
        <f>IFERROR(IF(INDEX(tProdutos[Desconto homologado],MATCH(tItens[[#This Row],[Produto]],tProdutos[Produto],0))="",DescontoPadrao,INDEX(tProdutos[Desconto homologado],MATCH(tItens[[#This Row],[Produto]],tProdutos[Produto],0))),DescontoPadrao)</f>
        <v>0.27203065134099602</v>
      </c>
      <c r="M5593" s="12">
        <f>tItens[[#This Row],[Valor]]*(1-tItens[[#This Row],[Desconto]])</f>
        <v>400.38314176245217</v>
      </c>
      <c r="N5593" t="str">
        <f>IFERROR(INDEX(tProdutos[Foco],MATCH(tItens[[#This Row],[Produto]],tProdutos[Produto],0)),"Não")</f>
        <v>Não</v>
      </c>
      <c r="O5593" t="str">
        <f>IFERROR(INDEX(tEditais[SRP],MATCH(tItens[[#This Row],[Edital]],tEditais[Edital],0)),"Não")</f>
        <v>Sim</v>
      </c>
      <c r="P5593" s="4">
        <f>IF(COUNTIFS(INDEX(tItens[Edital],1):tItens[[#This Row],[Edital]],tItens[[#This Row],[Edital]],INDEX(tItens[Produto],1):tItens[[#This Row],[Produto]],tItens[[#This Row],[Produto]])=1,1,0)</f>
        <v>1</v>
      </c>
    </row>
    <row r="5594" spans="1:16" x14ac:dyDescent="0.25">
      <c r="A5594" t="s">
        <v>2032</v>
      </c>
      <c r="B5594">
        <v>169</v>
      </c>
      <c r="C5594" t="s">
        <v>8387</v>
      </c>
      <c r="D5594" t="s">
        <v>201</v>
      </c>
      <c r="E5594" s="13">
        <v>1000</v>
      </c>
      <c r="F5594" s="12">
        <v>0.53</v>
      </c>
      <c r="G5594" t="str">
        <f>IFERROR(INDEX(tEditais[Órgão],MATCH(tItens[[#This Row],[Edital]],tEditais[Edital],0)),"")</f>
        <v>MUNICIPIO DE SAO JOAO DO TRIUNFO</v>
      </c>
      <c r="H5594" t="str">
        <f>IFERROR(INDEX(tEditais[UF],MATCH(tItens[[#This Row],[Edital]],tEditais[Edital],0)),"")</f>
        <v>PR</v>
      </c>
      <c r="I5594" s="11">
        <f>IFERROR(INDEX(tEditais[Encerramento],MATCH(tItens[[#This Row],[Edital]],tEditais[Edital],0)),"")</f>
        <v>46309.332638888889</v>
      </c>
      <c r="J5594" t="str">
        <f>IFERROR(INDEX(tProdutos[Classe],MATCH(tItens[[#This Row],[Produto]],tProdutos[Produto],0)),"produto não cadastrado")</f>
        <v>DISPUTADO</v>
      </c>
      <c r="K5594" s="12">
        <f>tItens[[#This Row],[Qtd]]*tItens[[#This Row],[Vlr unit]]</f>
        <v>530</v>
      </c>
      <c r="L5594" s="6">
        <f>IFERROR(IF(INDEX(tProdutos[Desconto homologado],MATCH(tItens[[#This Row],[Produto]],tProdutos[Produto],0))="",DescontoPadrao,INDEX(tProdutos[Desconto homologado],MATCH(tItens[[#This Row],[Produto]],tProdutos[Produto],0))),DescontoPadrao)</f>
        <v>0.27203065134099602</v>
      </c>
      <c r="M5594" s="12">
        <f>tItens[[#This Row],[Valor]]*(1-tItens[[#This Row],[Desconto]])</f>
        <v>385.82375478927213</v>
      </c>
      <c r="N5594" t="str">
        <f>IFERROR(INDEX(tProdutos[Foco],MATCH(tItens[[#This Row],[Produto]],tProdutos[Produto],0)),"Não")</f>
        <v>Não</v>
      </c>
      <c r="O5594" t="str">
        <f>IFERROR(INDEX(tEditais[SRP],MATCH(tItens[[#This Row],[Edital]],tEditais[Edital],0)),"Não")</f>
        <v>Sim</v>
      </c>
      <c r="P5594" s="4">
        <f>IF(COUNTIFS(INDEX(tItens[Edital],1):tItens[[#This Row],[Edital]],tItens[[#This Row],[Edital]],INDEX(tItens[Produto],1):tItens[[#This Row],[Produto]],tItens[[#This Row],[Produto]])=1,1,0)</f>
        <v>0</v>
      </c>
    </row>
    <row r="5595" spans="1:16" x14ac:dyDescent="0.25">
      <c r="A5595" t="s">
        <v>2032</v>
      </c>
      <c r="B5595">
        <v>170</v>
      </c>
      <c r="C5595" t="s">
        <v>8388</v>
      </c>
      <c r="D5595" t="s">
        <v>506</v>
      </c>
      <c r="E5595" s="13">
        <v>25</v>
      </c>
      <c r="F5595" s="12">
        <v>33.950000000000003</v>
      </c>
      <c r="G5595" t="str">
        <f>IFERROR(INDEX(tEditais[Órgão],MATCH(tItens[[#This Row],[Edital]],tEditais[Edital],0)),"")</f>
        <v>MUNICIPIO DE SAO JOAO DO TRIUNFO</v>
      </c>
      <c r="H5595" t="str">
        <f>IFERROR(INDEX(tEditais[UF],MATCH(tItens[[#This Row],[Edital]],tEditais[Edital],0)),"")</f>
        <v>PR</v>
      </c>
      <c r="I5595" s="11">
        <f>IFERROR(INDEX(tEditais[Encerramento],MATCH(tItens[[#This Row],[Edital]],tEditais[Edital],0)),"")</f>
        <v>46309.332638888889</v>
      </c>
      <c r="J5595" t="str">
        <f>IFERROR(INDEX(tProdutos[Classe],MATCH(tItens[[#This Row],[Produto]],tProdutos[Produto],0)),"produto não cadastrado")</f>
        <v>FILA REBASE</v>
      </c>
      <c r="K5595" s="12">
        <f>tItens[[#This Row],[Qtd]]*tItens[[#This Row],[Vlr unit]]</f>
        <v>848.75000000000011</v>
      </c>
      <c r="L5595" s="6">
        <f>IFERROR(IF(INDEX(tProdutos[Desconto homologado],MATCH(tItens[[#This Row],[Produto]],tProdutos[Produto],0))="",DescontoPadrao,INDEX(tProdutos[Desconto homologado],MATCH(tItens[[#This Row],[Produto]],tProdutos[Produto],0))),DescontoPadrao)</f>
        <v>0.36894008590895599</v>
      </c>
      <c r="M5595" s="12">
        <f>tItens[[#This Row],[Valor]]*(1-tItens[[#This Row],[Desconto]])</f>
        <v>535.61210208477371</v>
      </c>
      <c r="N5595" t="str">
        <f>IFERROR(INDEX(tProdutos[Foco],MATCH(tItens[[#This Row],[Produto]],tProdutos[Produto],0)),"Não")</f>
        <v>Não</v>
      </c>
      <c r="O5595" t="str">
        <f>IFERROR(INDEX(tEditais[SRP],MATCH(tItens[[#This Row],[Edital]],tEditais[Edital],0)),"Não")</f>
        <v>Sim</v>
      </c>
      <c r="P5595" s="4">
        <f>IF(COUNTIFS(INDEX(tItens[Edital],1):tItens[[#This Row],[Edital]],tItens[[#This Row],[Edital]],INDEX(tItens[Produto],1):tItens[[#This Row],[Produto]],tItens[[#This Row],[Produto]])=1,1,0)</f>
        <v>1</v>
      </c>
    </row>
    <row r="5596" spans="1:16" x14ac:dyDescent="0.25">
      <c r="A5596" t="s">
        <v>2032</v>
      </c>
      <c r="B5596">
        <v>177</v>
      </c>
      <c r="C5596" t="s">
        <v>8389</v>
      </c>
      <c r="D5596" t="s">
        <v>80</v>
      </c>
      <c r="E5596" s="13">
        <v>2000</v>
      </c>
      <c r="F5596" s="12">
        <v>0.65</v>
      </c>
      <c r="G5596" t="str">
        <f>IFERROR(INDEX(tEditais[Órgão],MATCH(tItens[[#This Row],[Edital]],tEditais[Edital],0)),"")</f>
        <v>MUNICIPIO DE SAO JOAO DO TRIUNFO</v>
      </c>
      <c r="H5596" t="str">
        <f>IFERROR(INDEX(tEditais[UF],MATCH(tItens[[#This Row],[Edital]],tEditais[Edital],0)),"")</f>
        <v>PR</v>
      </c>
      <c r="I5596" s="11">
        <f>IFERROR(INDEX(tEditais[Encerramento],MATCH(tItens[[#This Row],[Edital]],tEditais[Edital],0)),"")</f>
        <v>46309.332638888889</v>
      </c>
      <c r="J5596" t="str">
        <f>IFERROR(INDEX(tProdutos[Classe],MATCH(tItens[[#This Row],[Produto]],tProdutos[Produto],0)),"produto não cadastrado")</f>
        <v>NÚCLEO</v>
      </c>
      <c r="K5596" s="12">
        <f>tItens[[#This Row],[Qtd]]*tItens[[#This Row],[Vlr unit]]</f>
        <v>1300</v>
      </c>
      <c r="L5596" s="6">
        <f>IFERROR(IF(INDEX(tProdutos[Desconto homologado],MATCH(tItens[[#This Row],[Produto]],tProdutos[Produto],0))="",DescontoPadrao,INDEX(tProdutos[Desconto homologado],MATCH(tItens[[#This Row],[Produto]],tProdutos[Produto],0))),DescontoPadrao)</f>
        <v>0.33</v>
      </c>
      <c r="M5596" s="12">
        <f>tItens[[#This Row],[Valor]]*(1-tItens[[#This Row],[Desconto]])</f>
        <v>870.99999999999989</v>
      </c>
      <c r="N5596" t="str">
        <f>IFERROR(INDEX(tProdutos[Foco],MATCH(tItens[[#This Row],[Produto]],tProdutos[Produto],0)),"Não")</f>
        <v>Sim</v>
      </c>
      <c r="O5596" t="str">
        <f>IFERROR(INDEX(tEditais[SRP],MATCH(tItens[[#This Row],[Edital]],tEditais[Edital],0)),"Não")</f>
        <v>Sim</v>
      </c>
      <c r="P5596" s="4">
        <f>IF(COUNTIFS(INDEX(tItens[Edital],1):tItens[[#This Row],[Edital]],tItens[[#This Row],[Edital]],INDEX(tItens[Produto],1):tItens[[#This Row],[Produto]],tItens[[#This Row],[Produto]])=1,1,0)</f>
        <v>1</v>
      </c>
    </row>
    <row r="5597" spans="1:16" x14ac:dyDescent="0.25">
      <c r="A5597" t="s">
        <v>2032</v>
      </c>
      <c r="B5597">
        <v>193</v>
      </c>
      <c r="C5597" t="s">
        <v>8390</v>
      </c>
      <c r="D5597" t="s">
        <v>154</v>
      </c>
      <c r="E5597" s="13">
        <v>200</v>
      </c>
      <c r="F5597" s="12">
        <v>20.76</v>
      </c>
      <c r="G5597" t="str">
        <f>IFERROR(INDEX(tEditais[Órgão],MATCH(tItens[[#This Row],[Edital]],tEditais[Edital],0)),"")</f>
        <v>MUNICIPIO DE SAO JOAO DO TRIUNFO</v>
      </c>
      <c r="H5597" t="str">
        <f>IFERROR(INDEX(tEditais[UF],MATCH(tItens[[#This Row],[Edital]],tEditais[Edital],0)),"")</f>
        <v>PR</v>
      </c>
      <c r="I5597" s="11">
        <f>IFERROR(INDEX(tEditais[Encerramento],MATCH(tItens[[#This Row],[Edital]],tEditais[Edital],0)),"")</f>
        <v>46309.332638888889</v>
      </c>
      <c r="J5597" t="str">
        <f>IFERROR(INDEX(tProdutos[Classe],MATCH(tItens[[#This Row],[Produto]],tProdutos[Produto],0)),"produto não cadastrado")</f>
        <v>DISPUTADO</v>
      </c>
      <c r="K5597" s="12">
        <f>tItens[[#This Row],[Qtd]]*tItens[[#This Row],[Vlr unit]]</f>
        <v>4152</v>
      </c>
      <c r="L5597" s="6">
        <f>IFERROR(IF(INDEX(tProdutos[Desconto homologado],MATCH(tItens[[#This Row],[Produto]],tProdutos[Produto],0))="",DescontoPadrao,INDEX(tProdutos[Desconto homologado],MATCH(tItens[[#This Row],[Produto]],tProdutos[Produto],0))),DescontoPadrao)</f>
        <v>0.48690097134476601</v>
      </c>
      <c r="M5597" s="12">
        <f>tItens[[#This Row],[Valor]]*(1-tItens[[#This Row],[Desconto]])</f>
        <v>2130.3871669765313</v>
      </c>
      <c r="N5597" t="str">
        <f>IFERROR(INDEX(tProdutos[Foco],MATCH(tItens[[#This Row],[Produto]],tProdutos[Produto],0)),"Não")</f>
        <v>Não</v>
      </c>
      <c r="O5597" t="str">
        <f>IFERROR(INDEX(tEditais[SRP],MATCH(tItens[[#This Row],[Edital]],tEditais[Edital],0)),"Não")</f>
        <v>Sim</v>
      </c>
      <c r="P5597" s="4">
        <f>IF(COUNTIFS(INDEX(tItens[Edital],1):tItens[[#This Row],[Edital]],tItens[[#This Row],[Edital]],INDEX(tItens[Produto],1):tItens[[#This Row],[Produto]],tItens[[#This Row],[Produto]])=1,1,0)</f>
        <v>1</v>
      </c>
    </row>
    <row r="5598" spans="1:16" x14ac:dyDescent="0.25">
      <c r="A5598" t="s">
        <v>2032</v>
      </c>
      <c r="B5598">
        <v>194</v>
      </c>
      <c r="C5598" t="s">
        <v>8391</v>
      </c>
      <c r="D5598" t="s">
        <v>154</v>
      </c>
      <c r="E5598" s="13">
        <v>200</v>
      </c>
      <c r="F5598" s="12">
        <v>41.04</v>
      </c>
      <c r="G5598" t="str">
        <f>IFERROR(INDEX(tEditais[Órgão],MATCH(tItens[[#This Row],[Edital]],tEditais[Edital],0)),"")</f>
        <v>MUNICIPIO DE SAO JOAO DO TRIUNFO</v>
      </c>
      <c r="H5598" t="str">
        <f>IFERROR(INDEX(tEditais[UF],MATCH(tItens[[#This Row],[Edital]],tEditais[Edital],0)),"")</f>
        <v>PR</v>
      </c>
      <c r="I5598" s="11">
        <f>IFERROR(INDEX(tEditais[Encerramento],MATCH(tItens[[#This Row],[Edital]],tEditais[Edital],0)),"")</f>
        <v>46309.332638888889</v>
      </c>
      <c r="J5598" t="str">
        <f>IFERROR(INDEX(tProdutos[Classe],MATCH(tItens[[#This Row],[Produto]],tProdutos[Produto],0)),"produto não cadastrado")</f>
        <v>DISPUTADO</v>
      </c>
      <c r="K5598" s="12">
        <f>tItens[[#This Row],[Qtd]]*tItens[[#This Row],[Vlr unit]]</f>
        <v>8208</v>
      </c>
      <c r="L5598" s="6">
        <f>IFERROR(IF(INDEX(tProdutos[Desconto homologado],MATCH(tItens[[#This Row],[Produto]],tProdutos[Produto],0))="",DescontoPadrao,INDEX(tProdutos[Desconto homologado],MATCH(tItens[[#This Row],[Produto]],tProdutos[Produto],0))),DescontoPadrao)</f>
        <v>0.48690097134476601</v>
      </c>
      <c r="M5598" s="12">
        <f>tItens[[#This Row],[Valor]]*(1-tItens[[#This Row],[Desconto]])</f>
        <v>4211.5168272021601</v>
      </c>
      <c r="N5598" t="str">
        <f>IFERROR(INDEX(tProdutos[Foco],MATCH(tItens[[#This Row],[Produto]],tProdutos[Produto],0)),"Não")</f>
        <v>Não</v>
      </c>
      <c r="O5598" t="str">
        <f>IFERROR(INDEX(tEditais[SRP],MATCH(tItens[[#This Row],[Edital]],tEditais[Edital],0)),"Não")</f>
        <v>Sim</v>
      </c>
      <c r="P5598" s="4">
        <f>IF(COUNTIFS(INDEX(tItens[Edital],1):tItens[[#This Row],[Edital]],tItens[[#This Row],[Edital]],INDEX(tItens[Produto],1):tItens[[#This Row],[Produto]],tItens[[#This Row],[Produto]])=1,1,0)</f>
        <v>0</v>
      </c>
    </row>
    <row r="5599" spans="1:16" x14ac:dyDescent="0.25">
      <c r="A5599" t="s">
        <v>2032</v>
      </c>
      <c r="B5599">
        <v>195</v>
      </c>
      <c r="C5599" t="s">
        <v>8392</v>
      </c>
      <c r="D5599" t="s">
        <v>154</v>
      </c>
      <c r="E5599" s="13">
        <v>200</v>
      </c>
      <c r="F5599" s="12">
        <v>45.99</v>
      </c>
      <c r="G5599" t="str">
        <f>IFERROR(INDEX(tEditais[Órgão],MATCH(tItens[[#This Row],[Edital]],tEditais[Edital],0)),"")</f>
        <v>MUNICIPIO DE SAO JOAO DO TRIUNFO</v>
      </c>
      <c r="H5599" t="str">
        <f>IFERROR(INDEX(tEditais[UF],MATCH(tItens[[#This Row],[Edital]],tEditais[Edital],0)),"")</f>
        <v>PR</v>
      </c>
      <c r="I5599" s="11">
        <f>IFERROR(INDEX(tEditais[Encerramento],MATCH(tItens[[#This Row],[Edital]],tEditais[Edital],0)),"")</f>
        <v>46309.332638888889</v>
      </c>
      <c r="J5599" t="str">
        <f>IFERROR(INDEX(tProdutos[Classe],MATCH(tItens[[#This Row],[Produto]],tProdutos[Produto],0)),"produto não cadastrado")</f>
        <v>DISPUTADO</v>
      </c>
      <c r="K5599" s="12">
        <f>tItens[[#This Row],[Qtd]]*tItens[[#This Row],[Vlr unit]]</f>
        <v>9198</v>
      </c>
      <c r="L5599" s="6">
        <f>IFERROR(IF(INDEX(tProdutos[Desconto homologado],MATCH(tItens[[#This Row],[Produto]],tProdutos[Produto],0))="",DescontoPadrao,INDEX(tProdutos[Desconto homologado],MATCH(tItens[[#This Row],[Produto]],tProdutos[Produto],0))),DescontoPadrao)</f>
        <v>0.48690097134476601</v>
      </c>
      <c r="M5599" s="12">
        <f>tItens[[#This Row],[Valor]]*(1-tItens[[#This Row],[Desconto]])</f>
        <v>4719.484865570842</v>
      </c>
      <c r="N5599" t="str">
        <f>IFERROR(INDEX(tProdutos[Foco],MATCH(tItens[[#This Row],[Produto]],tProdutos[Produto],0)),"Não")</f>
        <v>Não</v>
      </c>
      <c r="O5599" t="str">
        <f>IFERROR(INDEX(tEditais[SRP],MATCH(tItens[[#This Row],[Edital]],tEditais[Edital],0)),"Não")</f>
        <v>Sim</v>
      </c>
      <c r="P5599" s="4">
        <f>IF(COUNTIFS(INDEX(tItens[Edital],1):tItens[[#This Row],[Edital]],tItens[[#This Row],[Edital]],INDEX(tItens[Produto],1):tItens[[#This Row],[Produto]],tItens[[#This Row],[Produto]])=1,1,0)</f>
        <v>0</v>
      </c>
    </row>
    <row r="5600" spans="1:16" x14ac:dyDescent="0.25">
      <c r="A5600" t="s">
        <v>2032</v>
      </c>
      <c r="B5600">
        <v>198</v>
      </c>
      <c r="C5600" t="s">
        <v>8393</v>
      </c>
      <c r="D5600" t="s">
        <v>108</v>
      </c>
      <c r="E5600" s="13">
        <v>150</v>
      </c>
      <c r="F5600" s="12">
        <v>20.81</v>
      </c>
      <c r="G5600" t="str">
        <f>IFERROR(INDEX(tEditais[Órgão],MATCH(tItens[[#This Row],[Edital]],tEditais[Edital],0)),"")</f>
        <v>MUNICIPIO DE SAO JOAO DO TRIUNFO</v>
      </c>
      <c r="H5600" t="str">
        <f>IFERROR(INDEX(tEditais[UF],MATCH(tItens[[#This Row],[Edital]],tEditais[Edital],0)),"")</f>
        <v>PR</v>
      </c>
      <c r="I5600" s="11">
        <f>IFERROR(INDEX(tEditais[Encerramento],MATCH(tItens[[#This Row],[Edital]],tEditais[Edital],0)),"")</f>
        <v>46309.332638888889</v>
      </c>
      <c r="J5600" t="str">
        <f>IFERROR(INDEX(tProdutos[Classe],MATCH(tItens[[#This Row],[Produto]],tProdutos[Produto],0)),"produto não cadastrado")</f>
        <v>NÚCLEO</v>
      </c>
      <c r="K5600" s="12">
        <f>tItens[[#This Row],[Qtd]]*tItens[[#This Row],[Vlr unit]]</f>
        <v>3121.5</v>
      </c>
      <c r="L5600" s="6">
        <f>IFERROR(IF(INDEX(tProdutos[Desconto homologado],MATCH(tItens[[#This Row],[Produto]],tProdutos[Produto],0))="",DescontoPadrao,INDEX(tProdutos[Desconto homologado],MATCH(tItens[[#This Row],[Produto]],tProdutos[Produto],0))),DescontoPadrao)</f>
        <v>0.105498072631365</v>
      </c>
      <c r="M5600" s="12">
        <f>tItens[[#This Row],[Valor]]*(1-tItens[[#This Row],[Desconto]])</f>
        <v>2792.1877662811939</v>
      </c>
      <c r="N5600" t="str">
        <f>IFERROR(INDEX(tProdutos[Foco],MATCH(tItens[[#This Row],[Produto]],tProdutos[Produto],0)),"Não")</f>
        <v>Não</v>
      </c>
      <c r="O5600" t="str">
        <f>IFERROR(INDEX(tEditais[SRP],MATCH(tItens[[#This Row],[Edital]],tEditais[Edital],0)),"Não")</f>
        <v>Sim</v>
      </c>
      <c r="P5600" s="4">
        <f>IF(COUNTIFS(INDEX(tItens[Edital],1):tItens[[#This Row],[Edital]],tItens[[#This Row],[Edital]],INDEX(tItens[Produto],1):tItens[[#This Row],[Produto]],tItens[[#This Row],[Produto]])=1,1,0)</f>
        <v>1</v>
      </c>
    </row>
    <row r="5601" spans="1:16" x14ac:dyDescent="0.25">
      <c r="A5601" t="s">
        <v>2032</v>
      </c>
      <c r="B5601">
        <v>199</v>
      </c>
      <c r="C5601" t="s">
        <v>8394</v>
      </c>
      <c r="D5601" t="s">
        <v>108</v>
      </c>
      <c r="E5601" s="13">
        <v>100</v>
      </c>
      <c r="F5601" s="12">
        <v>29.03</v>
      </c>
      <c r="G5601" t="str">
        <f>IFERROR(INDEX(tEditais[Órgão],MATCH(tItens[[#This Row],[Edital]],tEditais[Edital],0)),"")</f>
        <v>MUNICIPIO DE SAO JOAO DO TRIUNFO</v>
      </c>
      <c r="H5601" t="str">
        <f>IFERROR(INDEX(tEditais[UF],MATCH(tItens[[#This Row],[Edital]],tEditais[Edital],0)),"")</f>
        <v>PR</v>
      </c>
      <c r="I5601" s="11">
        <f>IFERROR(INDEX(tEditais[Encerramento],MATCH(tItens[[#This Row],[Edital]],tEditais[Edital],0)),"")</f>
        <v>46309.332638888889</v>
      </c>
      <c r="J5601" t="str">
        <f>IFERROR(INDEX(tProdutos[Classe],MATCH(tItens[[#This Row],[Produto]],tProdutos[Produto],0)),"produto não cadastrado")</f>
        <v>NÚCLEO</v>
      </c>
      <c r="K5601" s="12">
        <f>tItens[[#This Row],[Qtd]]*tItens[[#This Row],[Vlr unit]]</f>
        <v>2903</v>
      </c>
      <c r="L5601" s="6">
        <f>IFERROR(IF(INDEX(tProdutos[Desconto homologado],MATCH(tItens[[#This Row],[Produto]],tProdutos[Produto],0))="",DescontoPadrao,INDEX(tProdutos[Desconto homologado],MATCH(tItens[[#This Row],[Produto]],tProdutos[Produto],0))),DescontoPadrao)</f>
        <v>0.105498072631365</v>
      </c>
      <c r="M5601" s="12">
        <f>tItens[[#This Row],[Valor]]*(1-tItens[[#This Row],[Desconto]])</f>
        <v>2596.7390951511475</v>
      </c>
      <c r="N5601" t="str">
        <f>IFERROR(INDEX(tProdutos[Foco],MATCH(tItens[[#This Row],[Produto]],tProdutos[Produto],0)),"Não")</f>
        <v>Não</v>
      </c>
      <c r="O5601" t="str">
        <f>IFERROR(INDEX(tEditais[SRP],MATCH(tItens[[#This Row],[Edital]],tEditais[Edital],0)),"Não")</f>
        <v>Sim</v>
      </c>
      <c r="P5601" s="4">
        <f>IF(COUNTIFS(INDEX(tItens[Edital],1):tItens[[#This Row],[Edital]],tItens[[#This Row],[Edital]],INDEX(tItens[Produto],1):tItens[[#This Row],[Produto]],tItens[[#This Row],[Produto]])=1,1,0)</f>
        <v>0</v>
      </c>
    </row>
    <row r="5602" spans="1:16" x14ac:dyDescent="0.25">
      <c r="A5602" t="s">
        <v>2032</v>
      </c>
      <c r="B5602">
        <v>200</v>
      </c>
      <c r="C5602" t="s">
        <v>8395</v>
      </c>
      <c r="D5602" t="s">
        <v>108</v>
      </c>
      <c r="E5602" s="13">
        <v>150</v>
      </c>
      <c r="F5602" s="12">
        <v>29.48</v>
      </c>
      <c r="G5602" t="str">
        <f>IFERROR(INDEX(tEditais[Órgão],MATCH(tItens[[#This Row],[Edital]],tEditais[Edital],0)),"")</f>
        <v>MUNICIPIO DE SAO JOAO DO TRIUNFO</v>
      </c>
      <c r="H5602" t="str">
        <f>IFERROR(INDEX(tEditais[UF],MATCH(tItens[[#This Row],[Edital]],tEditais[Edital],0)),"")</f>
        <v>PR</v>
      </c>
      <c r="I5602" s="11">
        <f>IFERROR(INDEX(tEditais[Encerramento],MATCH(tItens[[#This Row],[Edital]],tEditais[Edital],0)),"")</f>
        <v>46309.332638888889</v>
      </c>
      <c r="J5602" t="str">
        <f>IFERROR(INDEX(tProdutos[Classe],MATCH(tItens[[#This Row],[Produto]],tProdutos[Produto],0)),"produto não cadastrado")</f>
        <v>NÚCLEO</v>
      </c>
      <c r="K5602" s="12">
        <f>tItens[[#This Row],[Qtd]]*tItens[[#This Row],[Vlr unit]]</f>
        <v>4422</v>
      </c>
      <c r="L5602" s="6">
        <f>IFERROR(IF(INDEX(tProdutos[Desconto homologado],MATCH(tItens[[#This Row],[Produto]],tProdutos[Produto],0))="",DescontoPadrao,INDEX(tProdutos[Desconto homologado],MATCH(tItens[[#This Row],[Produto]],tProdutos[Produto],0))),DescontoPadrao)</f>
        <v>0.105498072631365</v>
      </c>
      <c r="M5602" s="12">
        <f>tItens[[#This Row],[Valor]]*(1-tItens[[#This Row],[Desconto]])</f>
        <v>3955.487522824104</v>
      </c>
      <c r="N5602" t="str">
        <f>IFERROR(INDEX(tProdutos[Foco],MATCH(tItens[[#This Row],[Produto]],tProdutos[Produto],0)),"Não")</f>
        <v>Não</v>
      </c>
      <c r="O5602" t="str">
        <f>IFERROR(INDEX(tEditais[SRP],MATCH(tItens[[#This Row],[Edital]],tEditais[Edital],0)),"Não")</f>
        <v>Sim</v>
      </c>
      <c r="P5602" s="4">
        <f>IF(COUNTIFS(INDEX(tItens[Edital],1):tItens[[#This Row],[Edital]],tItens[[#This Row],[Edital]],INDEX(tItens[Produto],1):tItens[[#This Row],[Produto]],tItens[[#This Row],[Produto]])=1,1,0)</f>
        <v>0</v>
      </c>
    </row>
    <row r="5603" spans="1:16" x14ac:dyDescent="0.25">
      <c r="A5603" t="s">
        <v>2032</v>
      </c>
      <c r="B5603">
        <v>201</v>
      </c>
      <c r="C5603" t="s">
        <v>8396</v>
      </c>
      <c r="D5603" t="s">
        <v>108</v>
      </c>
      <c r="E5603" s="13">
        <v>150</v>
      </c>
      <c r="F5603" s="12">
        <v>29.03</v>
      </c>
      <c r="G5603" t="str">
        <f>IFERROR(INDEX(tEditais[Órgão],MATCH(tItens[[#This Row],[Edital]],tEditais[Edital],0)),"")</f>
        <v>MUNICIPIO DE SAO JOAO DO TRIUNFO</v>
      </c>
      <c r="H5603" t="str">
        <f>IFERROR(INDEX(tEditais[UF],MATCH(tItens[[#This Row],[Edital]],tEditais[Edital],0)),"")</f>
        <v>PR</v>
      </c>
      <c r="I5603" s="11">
        <f>IFERROR(INDEX(tEditais[Encerramento],MATCH(tItens[[#This Row],[Edital]],tEditais[Edital],0)),"")</f>
        <v>46309.332638888889</v>
      </c>
      <c r="J5603" t="str">
        <f>IFERROR(INDEX(tProdutos[Classe],MATCH(tItens[[#This Row],[Produto]],tProdutos[Produto],0)),"produto não cadastrado")</f>
        <v>NÚCLEO</v>
      </c>
      <c r="K5603" s="12">
        <f>tItens[[#This Row],[Qtd]]*tItens[[#This Row],[Vlr unit]]</f>
        <v>4354.5</v>
      </c>
      <c r="L5603" s="6">
        <f>IFERROR(IF(INDEX(tProdutos[Desconto homologado],MATCH(tItens[[#This Row],[Produto]],tProdutos[Produto],0))="",DescontoPadrao,INDEX(tProdutos[Desconto homologado],MATCH(tItens[[#This Row],[Produto]],tProdutos[Produto],0))),DescontoPadrao)</f>
        <v>0.105498072631365</v>
      </c>
      <c r="M5603" s="12">
        <f>tItens[[#This Row],[Valor]]*(1-tItens[[#This Row],[Desconto]])</f>
        <v>3895.108642726721</v>
      </c>
      <c r="N5603" t="str">
        <f>IFERROR(INDEX(tProdutos[Foco],MATCH(tItens[[#This Row],[Produto]],tProdutos[Produto],0)),"Não")</f>
        <v>Não</v>
      </c>
      <c r="O5603" t="str">
        <f>IFERROR(INDEX(tEditais[SRP],MATCH(tItens[[#This Row],[Edital]],tEditais[Edital],0)),"Não")</f>
        <v>Sim</v>
      </c>
      <c r="P5603" s="4">
        <f>IF(COUNTIFS(INDEX(tItens[Edital],1):tItens[[#This Row],[Edital]],tItens[[#This Row],[Edital]],INDEX(tItens[Produto],1):tItens[[#This Row],[Produto]],tItens[[#This Row],[Produto]])=1,1,0)</f>
        <v>0</v>
      </c>
    </row>
    <row r="5604" spans="1:16" x14ac:dyDescent="0.25">
      <c r="A5604" t="s">
        <v>2032</v>
      </c>
      <c r="B5604">
        <v>202</v>
      </c>
      <c r="C5604" t="s">
        <v>8397</v>
      </c>
      <c r="D5604" t="s">
        <v>144</v>
      </c>
      <c r="E5604" s="13">
        <v>200</v>
      </c>
      <c r="F5604" s="12">
        <v>16.850000000000001</v>
      </c>
      <c r="G5604" t="str">
        <f>IFERROR(INDEX(tEditais[Órgão],MATCH(tItens[[#This Row],[Edital]],tEditais[Edital],0)),"")</f>
        <v>MUNICIPIO DE SAO JOAO DO TRIUNFO</v>
      </c>
      <c r="H5604" t="str">
        <f>IFERROR(INDEX(tEditais[UF],MATCH(tItens[[#This Row],[Edital]],tEditais[Edital],0)),"")</f>
        <v>PR</v>
      </c>
      <c r="I5604" s="11">
        <f>IFERROR(INDEX(tEditais[Encerramento],MATCH(tItens[[#This Row],[Edital]],tEditais[Edital],0)),"")</f>
        <v>46309.332638888889</v>
      </c>
      <c r="J5604" t="str">
        <f>IFERROR(INDEX(tProdutos[Classe],MATCH(tItens[[#This Row],[Produto]],tProdutos[Produto],0)),"produto não cadastrado")</f>
        <v>DISPUTADO</v>
      </c>
      <c r="K5604" s="12">
        <f>tItens[[#This Row],[Qtd]]*tItens[[#This Row],[Vlr unit]]</f>
        <v>3370.0000000000005</v>
      </c>
      <c r="L5604" s="6">
        <f>IFERROR(IF(INDEX(tProdutos[Desconto homologado],MATCH(tItens[[#This Row],[Produto]],tProdutos[Produto],0))="",DescontoPadrao,INDEX(tProdutos[Desconto homologado],MATCH(tItens[[#This Row],[Produto]],tProdutos[Produto],0))),DescontoPadrao)</f>
        <v>0.371428571428571</v>
      </c>
      <c r="M5604" s="12">
        <f>tItens[[#This Row],[Valor]]*(1-tItens[[#This Row],[Desconto]])</f>
        <v>2118.285714285716</v>
      </c>
      <c r="N5604" t="str">
        <f>IFERROR(INDEX(tProdutos[Foco],MATCH(tItens[[#This Row],[Produto]],tProdutos[Produto],0)),"Não")</f>
        <v>Não</v>
      </c>
      <c r="O5604" t="str">
        <f>IFERROR(INDEX(tEditais[SRP],MATCH(tItens[[#This Row],[Edital]],tEditais[Edital],0)),"Não")</f>
        <v>Sim</v>
      </c>
      <c r="P5604" s="4">
        <f>IF(COUNTIFS(INDEX(tItens[Edital],1):tItens[[#This Row],[Edital]],tItens[[#This Row],[Edital]],INDEX(tItens[Produto],1):tItens[[#This Row],[Produto]],tItens[[#This Row],[Produto]])=1,1,0)</f>
        <v>1</v>
      </c>
    </row>
    <row r="5605" spans="1:16" x14ac:dyDescent="0.25">
      <c r="A5605" t="s">
        <v>2032</v>
      </c>
      <c r="B5605">
        <v>203</v>
      </c>
      <c r="C5605" t="s">
        <v>8398</v>
      </c>
      <c r="D5605" t="s">
        <v>144</v>
      </c>
      <c r="E5605" s="13">
        <v>100</v>
      </c>
      <c r="F5605" s="12">
        <v>32</v>
      </c>
      <c r="G5605" t="str">
        <f>IFERROR(INDEX(tEditais[Órgão],MATCH(tItens[[#This Row],[Edital]],tEditais[Edital],0)),"")</f>
        <v>MUNICIPIO DE SAO JOAO DO TRIUNFO</v>
      </c>
      <c r="H5605" t="str">
        <f>IFERROR(INDEX(tEditais[UF],MATCH(tItens[[#This Row],[Edital]],tEditais[Edital],0)),"")</f>
        <v>PR</v>
      </c>
      <c r="I5605" s="11">
        <f>IFERROR(INDEX(tEditais[Encerramento],MATCH(tItens[[#This Row],[Edital]],tEditais[Edital],0)),"")</f>
        <v>46309.332638888889</v>
      </c>
      <c r="J5605" t="str">
        <f>IFERROR(INDEX(tProdutos[Classe],MATCH(tItens[[#This Row],[Produto]],tProdutos[Produto],0)),"produto não cadastrado")</f>
        <v>DISPUTADO</v>
      </c>
      <c r="K5605" s="12">
        <f>tItens[[#This Row],[Qtd]]*tItens[[#This Row],[Vlr unit]]</f>
        <v>3200</v>
      </c>
      <c r="L5605" s="6">
        <f>IFERROR(IF(INDEX(tProdutos[Desconto homologado],MATCH(tItens[[#This Row],[Produto]],tProdutos[Produto],0))="",DescontoPadrao,INDEX(tProdutos[Desconto homologado],MATCH(tItens[[#This Row],[Produto]],tProdutos[Produto],0))),DescontoPadrao)</f>
        <v>0.371428571428571</v>
      </c>
      <c r="M5605" s="12">
        <f>tItens[[#This Row],[Valor]]*(1-tItens[[#This Row],[Desconto]])</f>
        <v>2011.4285714285729</v>
      </c>
      <c r="N5605" t="str">
        <f>IFERROR(INDEX(tProdutos[Foco],MATCH(tItens[[#This Row],[Produto]],tProdutos[Produto],0)),"Não")</f>
        <v>Não</v>
      </c>
      <c r="O5605" t="str">
        <f>IFERROR(INDEX(tEditais[SRP],MATCH(tItens[[#This Row],[Edital]],tEditais[Edital],0)),"Não")</f>
        <v>Sim</v>
      </c>
      <c r="P5605" s="4">
        <f>IF(COUNTIFS(INDEX(tItens[Edital],1):tItens[[#This Row],[Edital]],tItens[[#This Row],[Edital]],INDEX(tItens[Produto],1):tItens[[#This Row],[Produto]],tItens[[#This Row],[Produto]])=1,1,0)</f>
        <v>0</v>
      </c>
    </row>
    <row r="5606" spans="1:16" x14ac:dyDescent="0.25">
      <c r="A5606" t="s">
        <v>2032</v>
      </c>
      <c r="B5606">
        <v>204</v>
      </c>
      <c r="C5606" t="s">
        <v>8399</v>
      </c>
      <c r="D5606" t="s">
        <v>144</v>
      </c>
      <c r="E5606" s="13">
        <v>100</v>
      </c>
      <c r="F5606" s="12">
        <v>44.13</v>
      </c>
      <c r="G5606" t="str">
        <f>IFERROR(INDEX(tEditais[Órgão],MATCH(tItens[[#This Row],[Edital]],tEditais[Edital],0)),"")</f>
        <v>MUNICIPIO DE SAO JOAO DO TRIUNFO</v>
      </c>
      <c r="H5606" t="str">
        <f>IFERROR(INDEX(tEditais[UF],MATCH(tItens[[#This Row],[Edital]],tEditais[Edital],0)),"")</f>
        <v>PR</v>
      </c>
      <c r="I5606" s="11">
        <f>IFERROR(INDEX(tEditais[Encerramento],MATCH(tItens[[#This Row],[Edital]],tEditais[Edital],0)),"")</f>
        <v>46309.332638888889</v>
      </c>
      <c r="J5606" t="str">
        <f>IFERROR(INDEX(tProdutos[Classe],MATCH(tItens[[#This Row],[Produto]],tProdutos[Produto],0)),"produto não cadastrado")</f>
        <v>DISPUTADO</v>
      </c>
      <c r="K5606" s="12">
        <f>tItens[[#This Row],[Qtd]]*tItens[[#This Row],[Vlr unit]]</f>
        <v>4413</v>
      </c>
      <c r="L5606" s="6">
        <f>IFERROR(IF(INDEX(tProdutos[Desconto homologado],MATCH(tItens[[#This Row],[Produto]],tProdutos[Produto],0))="",DescontoPadrao,INDEX(tProdutos[Desconto homologado],MATCH(tItens[[#This Row],[Produto]],tProdutos[Produto],0))),DescontoPadrao)</f>
        <v>0.371428571428571</v>
      </c>
      <c r="M5606" s="12">
        <f>tItens[[#This Row],[Valor]]*(1-tItens[[#This Row],[Desconto]])</f>
        <v>2773.8857142857164</v>
      </c>
      <c r="N5606" t="str">
        <f>IFERROR(INDEX(tProdutos[Foco],MATCH(tItens[[#This Row],[Produto]],tProdutos[Produto],0)),"Não")</f>
        <v>Não</v>
      </c>
      <c r="O5606" t="str">
        <f>IFERROR(INDEX(tEditais[SRP],MATCH(tItens[[#This Row],[Edital]],tEditais[Edital],0)),"Não")</f>
        <v>Sim</v>
      </c>
      <c r="P5606" s="4">
        <f>IF(COUNTIFS(INDEX(tItens[Edital],1):tItens[[#This Row],[Edital]],tItens[[#This Row],[Edital]],INDEX(tItens[Produto],1):tItens[[#This Row],[Produto]],tItens[[#This Row],[Produto]])=1,1,0)</f>
        <v>0</v>
      </c>
    </row>
    <row r="5607" spans="1:16" x14ac:dyDescent="0.25">
      <c r="A5607" t="s">
        <v>2032</v>
      </c>
      <c r="B5607">
        <v>279</v>
      </c>
      <c r="C5607" t="s">
        <v>8400</v>
      </c>
      <c r="D5607" t="s">
        <v>56</v>
      </c>
      <c r="E5607" s="13">
        <v>6</v>
      </c>
      <c r="F5607" s="12">
        <v>26.98</v>
      </c>
      <c r="G5607" t="str">
        <f>IFERROR(INDEX(tEditais[Órgão],MATCH(tItens[[#This Row],[Edital]],tEditais[Edital],0)),"")</f>
        <v>MUNICIPIO DE SAO JOAO DO TRIUNFO</v>
      </c>
      <c r="H5607" t="str">
        <f>IFERROR(INDEX(tEditais[UF],MATCH(tItens[[#This Row],[Edital]],tEditais[Edital],0)),"")</f>
        <v>PR</v>
      </c>
      <c r="I5607" s="11">
        <f>IFERROR(INDEX(tEditais[Encerramento],MATCH(tItens[[#This Row],[Edital]],tEditais[Edital],0)),"")</f>
        <v>46309.332638888889</v>
      </c>
      <c r="J5607" t="str">
        <f>IFERROR(INDEX(tProdutos[Classe],MATCH(tItens[[#This Row],[Produto]],tProdutos[Produto],0)),"produto não cadastrado")</f>
        <v>NÚCLEO</v>
      </c>
      <c r="K5607" s="12">
        <f>tItens[[#This Row],[Qtd]]*tItens[[#This Row],[Vlr unit]]</f>
        <v>161.88</v>
      </c>
      <c r="L5607" s="6">
        <f>IFERROR(IF(INDEX(tProdutos[Desconto homologado],MATCH(tItens[[#This Row],[Produto]],tProdutos[Produto],0))="",DescontoPadrao,INDEX(tProdutos[Desconto homologado],MATCH(tItens[[#This Row],[Produto]],tProdutos[Produto],0))),DescontoPadrao)</f>
        <v>0.34</v>
      </c>
      <c r="M5607" s="12">
        <f>tItens[[#This Row],[Valor]]*(1-tItens[[#This Row],[Desconto]])</f>
        <v>106.84079999999999</v>
      </c>
      <c r="N5607" t="str">
        <f>IFERROR(INDEX(tProdutos[Foco],MATCH(tItens[[#This Row],[Produto]],tProdutos[Produto],0)),"Não")</f>
        <v>Sim</v>
      </c>
      <c r="O5607" t="str">
        <f>IFERROR(INDEX(tEditais[SRP],MATCH(tItens[[#This Row],[Edital]],tEditais[Edital],0)),"Não")</f>
        <v>Sim</v>
      </c>
      <c r="P5607" s="4">
        <f>IF(COUNTIFS(INDEX(tItens[Edital],1):tItens[[#This Row],[Edital]],tItens[[#This Row],[Edital]],INDEX(tItens[Produto],1):tItens[[#This Row],[Produto]],tItens[[#This Row],[Produto]])=1,1,0)</f>
        <v>1</v>
      </c>
    </row>
    <row r="5608" spans="1:16" x14ac:dyDescent="0.25">
      <c r="A5608" t="s">
        <v>2032</v>
      </c>
      <c r="B5608">
        <v>280</v>
      </c>
      <c r="C5608" t="s">
        <v>8401</v>
      </c>
      <c r="D5608" t="s">
        <v>56</v>
      </c>
      <c r="E5608" s="13">
        <v>6</v>
      </c>
      <c r="F5608" s="12">
        <v>31.37</v>
      </c>
      <c r="G5608" t="str">
        <f>IFERROR(INDEX(tEditais[Órgão],MATCH(tItens[[#This Row],[Edital]],tEditais[Edital],0)),"")</f>
        <v>MUNICIPIO DE SAO JOAO DO TRIUNFO</v>
      </c>
      <c r="H5608" t="str">
        <f>IFERROR(INDEX(tEditais[UF],MATCH(tItens[[#This Row],[Edital]],tEditais[Edital],0)),"")</f>
        <v>PR</v>
      </c>
      <c r="I5608" s="11">
        <f>IFERROR(INDEX(tEditais[Encerramento],MATCH(tItens[[#This Row],[Edital]],tEditais[Edital],0)),"")</f>
        <v>46309.332638888889</v>
      </c>
      <c r="J5608" t="str">
        <f>IFERROR(INDEX(tProdutos[Classe],MATCH(tItens[[#This Row],[Produto]],tProdutos[Produto],0)),"produto não cadastrado")</f>
        <v>NÚCLEO</v>
      </c>
      <c r="K5608" s="12">
        <f>tItens[[#This Row],[Qtd]]*tItens[[#This Row],[Vlr unit]]</f>
        <v>188.22</v>
      </c>
      <c r="L5608" s="6">
        <f>IFERROR(IF(INDEX(tProdutos[Desconto homologado],MATCH(tItens[[#This Row],[Produto]],tProdutos[Produto],0))="",DescontoPadrao,INDEX(tProdutos[Desconto homologado],MATCH(tItens[[#This Row],[Produto]],tProdutos[Produto],0))),DescontoPadrao)</f>
        <v>0.34</v>
      </c>
      <c r="M5608" s="12">
        <f>tItens[[#This Row],[Valor]]*(1-tItens[[#This Row],[Desconto]])</f>
        <v>124.22519999999999</v>
      </c>
      <c r="N5608" t="str">
        <f>IFERROR(INDEX(tProdutos[Foco],MATCH(tItens[[#This Row],[Produto]],tProdutos[Produto],0)),"Não")</f>
        <v>Sim</v>
      </c>
      <c r="O5608" t="str">
        <f>IFERROR(INDEX(tEditais[SRP],MATCH(tItens[[#This Row],[Edital]],tEditais[Edital],0)),"Não")</f>
        <v>Sim</v>
      </c>
      <c r="P5608" s="4">
        <f>IF(COUNTIFS(INDEX(tItens[Edital],1):tItens[[#This Row],[Edital]],tItens[[#This Row],[Edital]],INDEX(tItens[Produto],1):tItens[[#This Row],[Produto]],tItens[[#This Row],[Produto]])=1,1,0)</f>
        <v>0</v>
      </c>
    </row>
    <row r="5609" spans="1:16" x14ac:dyDescent="0.25">
      <c r="A5609" t="s">
        <v>2032</v>
      </c>
      <c r="B5609">
        <v>332</v>
      </c>
      <c r="C5609" t="s">
        <v>8402</v>
      </c>
      <c r="D5609" t="s">
        <v>82</v>
      </c>
      <c r="E5609" s="13">
        <v>30</v>
      </c>
      <c r="F5609" s="12">
        <v>39.97</v>
      </c>
      <c r="G5609" t="str">
        <f>IFERROR(INDEX(tEditais[Órgão],MATCH(tItens[[#This Row],[Edital]],tEditais[Edital],0)),"")</f>
        <v>MUNICIPIO DE SAO JOAO DO TRIUNFO</v>
      </c>
      <c r="H5609" t="str">
        <f>IFERROR(INDEX(tEditais[UF],MATCH(tItens[[#This Row],[Edital]],tEditais[Edital],0)),"")</f>
        <v>PR</v>
      </c>
      <c r="I5609" s="11">
        <f>IFERROR(INDEX(tEditais[Encerramento],MATCH(tItens[[#This Row],[Edital]],tEditais[Edital],0)),"")</f>
        <v>46309.332638888889</v>
      </c>
      <c r="J5609" t="str">
        <f>IFERROR(INDEX(tProdutos[Classe],MATCH(tItens[[#This Row],[Produto]],tProdutos[Produto],0)),"produto não cadastrado")</f>
        <v>NÚCLEO</v>
      </c>
      <c r="K5609" s="12">
        <f>tItens[[#This Row],[Qtd]]*tItens[[#This Row],[Vlr unit]]</f>
        <v>1199.0999999999999</v>
      </c>
      <c r="L5609" s="6">
        <f>IFERROR(IF(INDEX(tProdutos[Desconto homologado],MATCH(tItens[[#This Row],[Produto]],tProdutos[Produto],0))="",DescontoPadrao,INDEX(tProdutos[Desconto homologado],MATCH(tItens[[#This Row],[Produto]],tProdutos[Produto],0))),DescontoPadrao)</f>
        <v>0.40487090276506099</v>
      </c>
      <c r="M5609" s="12">
        <f>tItens[[#This Row],[Valor]]*(1-tItens[[#This Row],[Desconto]])</f>
        <v>713.61930049441526</v>
      </c>
      <c r="N5609" t="str">
        <f>IFERROR(INDEX(tProdutos[Foco],MATCH(tItens[[#This Row],[Produto]],tProdutos[Produto],0)),"Não")</f>
        <v>Não</v>
      </c>
      <c r="O5609" t="str">
        <f>IFERROR(INDEX(tEditais[SRP],MATCH(tItens[[#This Row],[Edital]],tEditais[Edital],0)),"Não")</f>
        <v>Sim</v>
      </c>
      <c r="P5609" s="4">
        <f>IF(COUNTIFS(INDEX(tItens[Edital],1):tItens[[#This Row],[Edital]],tItens[[#This Row],[Edital]],INDEX(tItens[Produto],1):tItens[[#This Row],[Produto]],tItens[[#This Row],[Produto]])=1,1,0)</f>
        <v>1</v>
      </c>
    </row>
    <row r="5610" spans="1:16" x14ac:dyDescent="0.25">
      <c r="A5610" t="s">
        <v>2032</v>
      </c>
      <c r="B5610">
        <v>353</v>
      </c>
      <c r="C5610" t="s">
        <v>8403</v>
      </c>
      <c r="D5610" t="s">
        <v>494</v>
      </c>
      <c r="E5610" s="13">
        <v>2</v>
      </c>
      <c r="F5610" s="12">
        <v>539.33000000000004</v>
      </c>
      <c r="G5610" t="str">
        <f>IFERROR(INDEX(tEditais[Órgão],MATCH(tItens[[#This Row],[Edital]],tEditais[Edital],0)),"")</f>
        <v>MUNICIPIO DE SAO JOAO DO TRIUNFO</v>
      </c>
      <c r="H5610" t="str">
        <f>IFERROR(INDEX(tEditais[UF],MATCH(tItens[[#This Row],[Edital]],tEditais[Edital],0)),"")</f>
        <v>PR</v>
      </c>
      <c r="I5610" s="11">
        <f>IFERROR(INDEX(tEditais[Encerramento],MATCH(tItens[[#This Row],[Edital]],tEditais[Edital],0)),"")</f>
        <v>46309.332638888889</v>
      </c>
      <c r="J5610" t="str">
        <f>IFERROR(INDEX(tProdutos[Classe],MATCH(tItens[[#This Row],[Produto]],tProdutos[Produto],0)),"produto não cadastrado")</f>
        <v>FILA REBASE</v>
      </c>
      <c r="K5610" s="12">
        <f>tItens[[#This Row],[Qtd]]*tItens[[#This Row],[Vlr unit]]</f>
        <v>1078.6600000000001</v>
      </c>
      <c r="L5610" s="6">
        <f>IFERROR(IF(INDEX(tProdutos[Desconto homologado],MATCH(tItens[[#This Row],[Produto]],tProdutos[Produto],0))="",DescontoPadrao,INDEX(tProdutos[Desconto homologado],MATCH(tItens[[#This Row],[Produto]],tProdutos[Produto],0))),DescontoPadrao)</f>
        <v>0.253736324829619</v>
      </c>
      <c r="M5610" s="12">
        <f>tItens[[#This Row],[Valor]]*(1-tItens[[#This Row],[Desconto]])</f>
        <v>804.96477585928324</v>
      </c>
      <c r="N5610" t="str">
        <f>IFERROR(INDEX(tProdutos[Foco],MATCH(tItens[[#This Row],[Produto]],tProdutos[Produto],0)),"Não")</f>
        <v>Não</v>
      </c>
      <c r="O5610" t="str">
        <f>IFERROR(INDEX(tEditais[SRP],MATCH(tItens[[#This Row],[Edital]],tEditais[Edital],0)),"Não")</f>
        <v>Sim</v>
      </c>
      <c r="P5610" s="4">
        <f>IF(COUNTIFS(INDEX(tItens[Edital],1):tItens[[#This Row],[Edital]],tItens[[#This Row],[Edital]],INDEX(tItens[Produto],1):tItens[[#This Row],[Produto]],tItens[[#This Row],[Produto]])=1,1,0)</f>
        <v>0</v>
      </c>
    </row>
    <row r="5611" spans="1:16" x14ac:dyDescent="0.25">
      <c r="A5611" t="s">
        <v>2037</v>
      </c>
      <c r="B5611">
        <v>1</v>
      </c>
      <c r="C5611" t="s">
        <v>8404</v>
      </c>
      <c r="D5611" t="s">
        <v>345</v>
      </c>
      <c r="E5611" s="13">
        <v>780</v>
      </c>
      <c r="F5611" s="12">
        <v>3.39</v>
      </c>
      <c r="G5611" t="str">
        <f>IFERROR(INDEX(tEditais[Órgão],MATCH(tItens[[#This Row],[Edital]],tEditais[Edital],0)),"")</f>
        <v>MUNICIPIO DE SANTO ANTONIO DA PLATINA</v>
      </c>
      <c r="H5611" t="str">
        <f>IFERROR(INDEX(tEditais[UF],MATCH(tItens[[#This Row],[Edital]],tEditais[Edital],0)),"")</f>
        <v>PR</v>
      </c>
      <c r="I5611" s="11">
        <f>IFERROR(INDEX(tEditais[Encerramento],MATCH(tItens[[#This Row],[Edital]],tEditais[Edital],0)),"")</f>
        <v>46309.333333333336</v>
      </c>
      <c r="J5611" t="str">
        <f>IFERROR(INDEX(tProdutos[Classe],MATCH(tItens[[#This Row],[Produto]],tProdutos[Produto],0)),"produto não cadastrado")</f>
        <v>FORA</v>
      </c>
      <c r="K5611" s="12">
        <f>tItens[[#This Row],[Qtd]]*tItens[[#This Row],[Vlr unit]]</f>
        <v>2644.2000000000003</v>
      </c>
      <c r="L5611" s="6">
        <f>IFERROR(IF(INDEX(tProdutos[Desconto homologado],MATCH(tItens[[#This Row],[Produto]],tProdutos[Produto],0))="",DescontoPadrao,INDEX(tProdutos[Desconto homologado],MATCH(tItens[[#This Row],[Produto]],tProdutos[Produto],0))),DescontoPadrao)</f>
        <v>0.412394275616498</v>
      </c>
      <c r="M5611" s="12">
        <f>tItens[[#This Row],[Valor]]*(1-tItens[[#This Row],[Desconto]])</f>
        <v>1553.7470564148562</v>
      </c>
      <c r="N5611" t="str">
        <f>IFERROR(INDEX(tProdutos[Foco],MATCH(tItens[[#This Row],[Produto]],tProdutos[Produto],0)),"Não")</f>
        <v>Não</v>
      </c>
      <c r="O5611" t="str">
        <f>IFERROR(INDEX(tEditais[SRP],MATCH(tItens[[#This Row],[Edital]],tEditais[Edital],0)),"Não")</f>
        <v>Não</v>
      </c>
      <c r="P5611" s="4">
        <f>IF(COUNTIFS(INDEX(tItens[Edital],1):tItens[[#This Row],[Edital]],tItens[[#This Row],[Edital]],INDEX(tItens[Produto],1):tItens[[#This Row],[Produto]],tItens[[#This Row],[Produto]])=1,1,0)</f>
        <v>1</v>
      </c>
    </row>
    <row r="5612" spans="1:16" x14ac:dyDescent="0.25">
      <c r="A5612" t="s">
        <v>2041</v>
      </c>
      <c r="B5612">
        <v>11</v>
      </c>
      <c r="C5612" t="s">
        <v>8405</v>
      </c>
      <c r="D5612" t="s">
        <v>315</v>
      </c>
      <c r="E5612" s="13">
        <v>50</v>
      </c>
      <c r="F5612" s="12">
        <v>9.33</v>
      </c>
      <c r="G5612" t="str">
        <f>IFERROR(INDEX(tEditais[Órgão],MATCH(tItens[[#This Row],[Edital]],tEditais[Edital],0)),"")</f>
        <v>MUNICIPIO DE JACAREZINHO</v>
      </c>
      <c r="H5612" t="str">
        <f>IFERROR(INDEX(tEditais[UF],MATCH(tItens[[#This Row],[Edital]],tEditais[Edital],0)),"")</f>
        <v>PR</v>
      </c>
      <c r="I5612" s="11">
        <f>IFERROR(INDEX(tEditais[Encerramento],MATCH(tItens[[#This Row],[Edital]],tEditais[Edital],0)),"")</f>
        <v>46309.333333333336</v>
      </c>
      <c r="J5612" t="str">
        <f>IFERROR(INDEX(tProdutos[Classe],MATCH(tItens[[#This Row],[Produto]],tProdutos[Produto],0)),"produto não cadastrado")</f>
        <v>FORA</v>
      </c>
      <c r="K5612" s="12">
        <f>tItens[[#This Row],[Qtd]]*tItens[[#This Row],[Vlr unit]]</f>
        <v>466.5</v>
      </c>
      <c r="L5612" s="6">
        <f>IFERROR(IF(INDEX(tProdutos[Desconto homologado],MATCH(tItens[[#This Row],[Produto]],tProdutos[Produto],0))="",DescontoPadrao,INDEX(tProdutos[Desconto homologado],MATCH(tItens[[#This Row],[Produto]],tProdutos[Produto],0))),DescontoPadrao)</f>
        <v>0.38432036097010702</v>
      </c>
      <c r="M5612" s="12">
        <f>tItens[[#This Row],[Valor]]*(1-tItens[[#This Row],[Desconto]])</f>
        <v>287.21455160744506</v>
      </c>
      <c r="N5612" t="str">
        <f>IFERROR(INDEX(tProdutos[Foco],MATCH(tItens[[#This Row],[Produto]],tProdutos[Produto],0)),"Não")</f>
        <v>Não</v>
      </c>
      <c r="O5612" t="str">
        <f>IFERROR(INDEX(tEditais[SRP],MATCH(tItens[[#This Row],[Edital]],tEditais[Edital],0)),"Não")</f>
        <v>Não</v>
      </c>
      <c r="P5612" s="4">
        <f>IF(COUNTIFS(INDEX(tItens[Edital],1):tItens[[#This Row],[Edital]],tItens[[#This Row],[Edital]],INDEX(tItens[Produto],1):tItens[[#This Row],[Produto]],tItens[[#This Row],[Produto]])=1,1,0)</f>
        <v>1</v>
      </c>
    </row>
    <row r="5613" spans="1:16" x14ac:dyDescent="0.25">
      <c r="A5613" t="s">
        <v>2041</v>
      </c>
      <c r="B5613">
        <v>23</v>
      </c>
      <c r="C5613" t="s">
        <v>8406</v>
      </c>
      <c r="D5613" t="s">
        <v>132</v>
      </c>
      <c r="E5613" s="13">
        <v>50</v>
      </c>
      <c r="F5613" s="12">
        <v>56.67</v>
      </c>
      <c r="G5613" t="str">
        <f>IFERROR(INDEX(tEditais[Órgão],MATCH(tItens[[#This Row],[Edital]],tEditais[Edital],0)),"")</f>
        <v>MUNICIPIO DE JACAREZINHO</v>
      </c>
      <c r="H5613" t="str">
        <f>IFERROR(INDEX(tEditais[UF],MATCH(tItens[[#This Row],[Edital]],tEditais[Edital],0)),"")</f>
        <v>PR</v>
      </c>
      <c r="I5613" s="11">
        <f>IFERROR(INDEX(tEditais[Encerramento],MATCH(tItens[[#This Row],[Edital]],tEditais[Edital],0)),"")</f>
        <v>46309.333333333336</v>
      </c>
      <c r="J5613" t="str">
        <f>IFERROR(INDEX(tProdutos[Classe],MATCH(tItens[[#This Row],[Produto]],tProdutos[Produto],0)),"produto não cadastrado")</f>
        <v>NÚCLEO</v>
      </c>
      <c r="K5613" s="12">
        <f>tItens[[#This Row],[Qtd]]*tItens[[#This Row],[Vlr unit]]</f>
        <v>2833.5</v>
      </c>
      <c r="L5613" s="6">
        <f>IFERROR(IF(INDEX(tProdutos[Desconto homologado],MATCH(tItens[[#This Row],[Produto]],tProdutos[Produto],0))="",DescontoPadrao,INDEX(tProdutos[Desconto homologado],MATCH(tItens[[#This Row],[Produto]],tProdutos[Produto],0))),DescontoPadrao)</f>
        <v>0.27</v>
      </c>
      <c r="M5613" s="12">
        <f>tItens[[#This Row],[Valor]]*(1-tItens[[#This Row],[Desconto]])</f>
        <v>2068.4549999999999</v>
      </c>
      <c r="N5613" t="str">
        <f>IFERROR(INDEX(tProdutos[Foco],MATCH(tItens[[#This Row],[Produto]],tProdutos[Produto],0)),"Não")</f>
        <v>Sim</v>
      </c>
      <c r="O5613" t="str">
        <f>IFERROR(INDEX(tEditais[SRP],MATCH(tItens[[#This Row],[Edital]],tEditais[Edital],0)),"Não")</f>
        <v>Não</v>
      </c>
      <c r="P5613" s="4">
        <f>IF(COUNTIFS(INDEX(tItens[Edital],1):tItens[[#This Row],[Edital]],tItens[[#This Row],[Edital]],INDEX(tItens[Produto],1):tItens[[#This Row],[Produto]],tItens[[#This Row],[Produto]])=1,1,0)</f>
        <v>1</v>
      </c>
    </row>
    <row r="5614" spans="1:16" x14ac:dyDescent="0.25">
      <c r="A5614" t="s">
        <v>2041</v>
      </c>
      <c r="B5614">
        <v>31</v>
      </c>
      <c r="C5614" t="s">
        <v>8407</v>
      </c>
      <c r="D5614" t="s">
        <v>96</v>
      </c>
      <c r="E5614" s="13">
        <v>50</v>
      </c>
      <c r="F5614" s="12">
        <v>12.15</v>
      </c>
      <c r="G5614" t="str">
        <f>IFERROR(INDEX(tEditais[Órgão],MATCH(tItens[[#This Row],[Edital]],tEditais[Edital],0)),"")</f>
        <v>MUNICIPIO DE JACAREZINHO</v>
      </c>
      <c r="H5614" t="str">
        <f>IFERROR(INDEX(tEditais[UF],MATCH(tItens[[#This Row],[Edital]],tEditais[Edital],0)),"")</f>
        <v>PR</v>
      </c>
      <c r="I5614" s="11">
        <f>IFERROR(INDEX(tEditais[Encerramento],MATCH(tItens[[#This Row],[Edital]],tEditais[Edital],0)),"")</f>
        <v>46309.333333333336</v>
      </c>
      <c r="J5614" t="str">
        <f>IFERROR(INDEX(tProdutos[Classe],MATCH(tItens[[#This Row],[Produto]],tProdutos[Produto],0)),"produto não cadastrado")</f>
        <v>NÚCLEO</v>
      </c>
      <c r="K5614" s="12">
        <f>tItens[[#This Row],[Qtd]]*tItens[[#This Row],[Vlr unit]]</f>
        <v>607.5</v>
      </c>
      <c r="L5614" s="6">
        <f>IFERROR(IF(INDEX(tProdutos[Desconto homologado],MATCH(tItens[[#This Row],[Produto]],tProdutos[Produto],0))="",DescontoPadrao,INDEX(tProdutos[Desconto homologado],MATCH(tItens[[#This Row],[Produto]],tProdutos[Produto],0))),DescontoPadrao)</f>
        <v>0.23886411318649201</v>
      </c>
      <c r="M5614" s="12">
        <f>tItens[[#This Row],[Valor]]*(1-tItens[[#This Row],[Desconto]])</f>
        <v>462.39005123920612</v>
      </c>
      <c r="N5614" t="str">
        <f>IFERROR(INDEX(tProdutos[Foco],MATCH(tItens[[#This Row],[Produto]],tProdutos[Produto],0)),"Não")</f>
        <v>Não</v>
      </c>
      <c r="O5614" t="str">
        <f>IFERROR(INDEX(tEditais[SRP],MATCH(tItens[[#This Row],[Edital]],tEditais[Edital],0)),"Não")</f>
        <v>Não</v>
      </c>
      <c r="P5614" s="4">
        <f>IF(COUNTIFS(INDEX(tItens[Edital],1):tItens[[#This Row],[Edital]],tItens[[#This Row],[Edital]],INDEX(tItens[Produto],1):tItens[[#This Row],[Produto]],tItens[[#This Row],[Produto]])=1,1,0)</f>
        <v>1</v>
      </c>
    </row>
    <row r="5615" spans="1:16" x14ac:dyDescent="0.25">
      <c r="A5615" t="s">
        <v>2041</v>
      </c>
      <c r="B5615">
        <v>36</v>
      </c>
      <c r="C5615" t="s">
        <v>8408</v>
      </c>
      <c r="D5615" t="s">
        <v>221</v>
      </c>
      <c r="E5615" s="13">
        <v>200</v>
      </c>
      <c r="F5615" s="12">
        <v>3.02</v>
      </c>
      <c r="G5615" t="str">
        <f>IFERROR(INDEX(tEditais[Órgão],MATCH(tItens[[#This Row],[Edital]],tEditais[Edital],0)),"")</f>
        <v>MUNICIPIO DE JACAREZINHO</v>
      </c>
      <c r="H5615" t="str">
        <f>IFERROR(INDEX(tEditais[UF],MATCH(tItens[[#This Row],[Edital]],tEditais[Edital],0)),"")</f>
        <v>PR</v>
      </c>
      <c r="I5615" s="11">
        <f>IFERROR(INDEX(tEditais[Encerramento],MATCH(tItens[[#This Row],[Edital]],tEditais[Edital],0)),"")</f>
        <v>46309.333333333336</v>
      </c>
      <c r="J5615" t="str">
        <f>IFERROR(INDEX(tProdutos[Classe],MATCH(tItens[[#This Row],[Produto]],tProdutos[Produto],0)),"produto não cadastrado")</f>
        <v>FORA</v>
      </c>
      <c r="K5615" s="12">
        <f>tItens[[#This Row],[Qtd]]*tItens[[#This Row],[Vlr unit]]</f>
        <v>604</v>
      </c>
      <c r="L5615" s="6">
        <f>IFERROR(IF(INDEX(tProdutos[Desconto homologado],MATCH(tItens[[#This Row],[Produto]],tProdutos[Produto],0))="",DescontoPadrao,INDEX(tProdutos[Desconto homologado],MATCH(tItens[[#This Row],[Produto]],tProdutos[Produto],0))),DescontoPadrao)</f>
        <v>0.35408560311283999</v>
      </c>
      <c r="M5615" s="12">
        <f>tItens[[#This Row],[Valor]]*(1-tItens[[#This Row],[Desconto]])</f>
        <v>390.13229571984465</v>
      </c>
      <c r="N5615" t="str">
        <f>IFERROR(INDEX(tProdutos[Foco],MATCH(tItens[[#This Row],[Produto]],tProdutos[Produto],0)),"Não")</f>
        <v>Não</v>
      </c>
      <c r="O5615" t="str">
        <f>IFERROR(INDEX(tEditais[SRP],MATCH(tItens[[#This Row],[Edital]],tEditais[Edital],0)),"Não")</f>
        <v>Não</v>
      </c>
      <c r="P5615" s="4">
        <f>IF(COUNTIFS(INDEX(tItens[Edital],1):tItens[[#This Row],[Edital]],tItens[[#This Row],[Edital]],INDEX(tItens[Produto],1):tItens[[#This Row],[Produto]],tItens[[#This Row],[Produto]])=1,1,0)</f>
        <v>1</v>
      </c>
    </row>
    <row r="5616" spans="1:16" x14ac:dyDescent="0.25">
      <c r="A5616" t="s">
        <v>2041</v>
      </c>
      <c r="B5616">
        <v>37</v>
      </c>
      <c r="C5616" t="s">
        <v>8409</v>
      </c>
      <c r="D5616" t="s">
        <v>221</v>
      </c>
      <c r="E5616" s="13">
        <v>200</v>
      </c>
      <c r="F5616" s="12">
        <v>2.56</v>
      </c>
      <c r="G5616" t="str">
        <f>IFERROR(INDEX(tEditais[Órgão],MATCH(tItens[[#This Row],[Edital]],tEditais[Edital],0)),"")</f>
        <v>MUNICIPIO DE JACAREZINHO</v>
      </c>
      <c r="H5616" t="str">
        <f>IFERROR(INDEX(tEditais[UF],MATCH(tItens[[#This Row],[Edital]],tEditais[Edital],0)),"")</f>
        <v>PR</v>
      </c>
      <c r="I5616" s="11">
        <f>IFERROR(INDEX(tEditais[Encerramento],MATCH(tItens[[#This Row],[Edital]],tEditais[Edital],0)),"")</f>
        <v>46309.333333333336</v>
      </c>
      <c r="J5616" t="str">
        <f>IFERROR(INDEX(tProdutos[Classe],MATCH(tItens[[#This Row],[Produto]],tProdutos[Produto],0)),"produto não cadastrado")</f>
        <v>FORA</v>
      </c>
      <c r="K5616" s="12">
        <f>tItens[[#This Row],[Qtd]]*tItens[[#This Row],[Vlr unit]]</f>
        <v>512</v>
      </c>
      <c r="L5616" s="6">
        <f>IFERROR(IF(INDEX(tProdutos[Desconto homologado],MATCH(tItens[[#This Row],[Produto]],tProdutos[Produto],0))="",DescontoPadrao,INDEX(tProdutos[Desconto homologado],MATCH(tItens[[#This Row],[Produto]],tProdutos[Produto],0))),DescontoPadrao)</f>
        <v>0.35408560311283999</v>
      </c>
      <c r="M5616" s="12">
        <f>tItens[[#This Row],[Valor]]*(1-tItens[[#This Row],[Desconto]])</f>
        <v>330.70817120622593</v>
      </c>
      <c r="N5616" t="str">
        <f>IFERROR(INDEX(tProdutos[Foco],MATCH(tItens[[#This Row],[Produto]],tProdutos[Produto],0)),"Não")</f>
        <v>Não</v>
      </c>
      <c r="O5616" t="str">
        <f>IFERROR(INDEX(tEditais[SRP],MATCH(tItens[[#This Row],[Edital]],tEditais[Edital],0)),"Não")</f>
        <v>Não</v>
      </c>
      <c r="P5616" s="4">
        <f>IF(COUNTIFS(INDEX(tItens[Edital],1):tItens[[#This Row],[Edital]],tItens[[#This Row],[Edital]],INDEX(tItens[Produto],1):tItens[[#This Row],[Produto]],tItens[[#This Row],[Produto]])=1,1,0)</f>
        <v>0</v>
      </c>
    </row>
    <row r="5617" spans="1:16" x14ac:dyDescent="0.25">
      <c r="A5617" t="s">
        <v>2041</v>
      </c>
      <c r="B5617">
        <v>38</v>
      </c>
      <c r="C5617" t="s">
        <v>8410</v>
      </c>
      <c r="D5617" t="s">
        <v>221</v>
      </c>
      <c r="E5617" s="13">
        <v>17600</v>
      </c>
      <c r="F5617" s="12">
        <v>2.2999999999999998</v>
      </c>
      <c r="G5617" t="str">
        <f>IFERROR(INDEX(tEditais[Órgão],MATCH(tItens[[#This Row],[Edital]],tEditais[Edital],0)),"")</f>
        <v>MUNICIPIO DE JACAREZINHO</v>
      </c>
      <c r="H5617" t="str">
        <f>IFERROR(INDEX(tEditais[UF],MATCH(tItens[[#This Row],[Edital]],tEditais[Edital],0)),"")</f>
        <v>PR</v>
      </c>
      <c r="I5617" s="11">
        <f>IFERROR(INDEX(tEditais[Encerramento],MATCH(tItens[[#This Row],[Edital]],tEditais[Edital],0)),"")</f>
        <v>46309.333333333336</v>
      </c>
      <c r="J5617" t="str">
        <f>IFERROR(INDEX(tProdutos[Classe],MATCH(tItens[[#This Row],[Produto]],tProdutos[Produto],0)),"produto não cadastrado")</f>
        <v>FORA</v>
      </c>
      <c r="K5617" s="12">
        <f>tItens[[#This Row],[Qtd]]*tItens[[#This Row],[Vlr unit]]</f>
        <v>40480</v>
      </c>
      <c r="L5617" s="6">
        <f>IFERROR(IF(INDEX(tProdutos[Desconto homologado],MATCH(tItens[[#This Row],[Produto]],tProdutos[Produto],0))="",DescontoPadrao,INDEX(tProdutos[Desconto homologado],MATCH(tItens[[#This Row],[Produto]],tProdutos[Produto],0))),DescontoPadrao)</f>
        <v>0.35408560311283999</v>
      </c>
      <c r="M5617" s="12">
        <f>tItens[[#This Row],[Valor]]*(1-tItens[[#This Row],[Desconto]])</f>
        <v>26146.614785992238</v>
      </c>
      <c r="N5617" t="str">
        <f>IFERROR(INDEX(tProdutos[Foco],MATCH(tItens[[#This Row],[Produto]],tProdutos[Produto],0)),"Não")</f>
        <v>Não</v>
      </c>
      <c r="O5617" t="str">
        <f>IFERROR(INDEX(tEditais[SRP],MATCH(tItens[[#This Row],[Edital]],tEditais[Edital],0)),"Não")</f>
        <v>Não</v>
      </c>
      <c r="P5617" s="4">
        <f>IF(COUNTIFS(INDEX(tItens[Edital],1):tItens[[#This Row],[Edital]],tItens[[#This Row],[Edital]],INDEX(tItens[Produto],1):tItens[[#This Row],[Produto]],tItens[[#This Row],[Produto]])=1,1,0)</f>
        <v>0</v>
      </c>
    </row>
    <row r="5618" spans="1:16" x14ac:dyDescent="0.25">
      <c r="A5618" t="s">
        <v>2041</v>
      </c>
      <c r="B5618">
        <v>39</v>
      </c>
      <c r="C5618" t="s">
        <v>8411</v>
      </c>
      <c r="D5618" t="s">
        <v>221</v>
      </c>
      <c r="E5618" s="13">
        <v>8200</v>
      </c>
      <c r="F5618" s="12">
        <v>4.78</v>
      </c>
      <c r="G5618" t="str">
        <f>IFERROR(INDEX(tEditais[Órgão],MATCH(tItens[[#This Row],[Edital]],tEditais[Edital],0)),"")</f>
        <v>MUNICIPIO DE JACAREZINHO</v>
      </c>
      <c r="H5618" t="str">
        <f>IFERROR(INDEX(tEditais[UF],MATCH(tItens[[#This Row],[Edital]],tEditais[Edital],0)),"")</f>
        <v>PR</v>
      </c>
      <c r="I5618" s="11">
        <f>IFERROR(INDEX(tEditais[Encerramento],MATCH(tItens[[#This Row],[Edital]],tEditais[Edital],0)),"")</f>
        <v>46309.333333333336</v>
      </c>
      <c r="J5618" t="str">
        <f>IFERROR(INDEX(tProdutos[Classe],MATCH(tItens[[#This Row],[Produto]],tProdutos[Produto],0)),"produto não cadastrado")</f>
        <v>FORA</v>
      </c>
      <c r="K5618" s="12">
        <f>tItens[[#This Row],[Qtd]]*tItens[[#This Row],[Vlr unit]]</f>
        <v>39196</v>
      </c>
      <c r="L5618" s="6">
        <f>IFERROR(IF(INDEX(tProdutos[Desconto homologado],MATCH(tItens[[#This Row],[Produto]],tProdutos[Produto],0))="",DescontoPadrao,INDEX(tProdutos[Desconto homologado],MATCH(tItens[[#This Row],[Produto]],tProdutos[Produto],0))),DescontoPadrao)</f>
        <v>0.35408560311283999</v>
      </c>
      <c r="M5618" s="12">
        <f>tItens[[#This Row],[Valor]]*(1-tItens[[#This Row],[Desconto]])</f>
        <v>25317.260700389124</v>
      </c>
      <c r="N5618" t="str">
        <f>IFERROR(INDEX(tProdutos[Foco],MATCH(tItens[[#This Row],[Produto]],tProdutos[Produto],0)),"Não")</f>
        <v>Não</v>
      </c>
      <c r="O5618" t="str">
        <f>IFERROR(INDEX(tEditais[SRP],MATCH(tItens[[#This Row],[Edital]],tEditais[Edital],0)),"Não")</f>
        <v>Não</v>
      </c>
      <c r="P5618" s="4">
        <f>IF(COUNTIFS(INDEX(tItens[Edital],1):tItens[[#This Row],[Edital]],tItens[[#This Row],[Edital]],INDEX(tItens[Produto],1):tItens[[#This Row],[Produto]],tItens[[#This Row],[Produto]])=1,1,0)</f>
        <v>0</v>
      </c>
    </row>
    <row r="5619" spans="1:16" x14ac:dyDescent="0.25">
      <c r="A5619" t="s">
        <v>2041</v>
      </c>
      <c r="B5619">
        <v>40</v>
      </c>
      <c r="C5619" t="s">
        <v>8412</v>
      </c>
      <c r="D5619" t="s">
        <v>73</v>
      </c>
      <c r="E5619" s="13">
        <v>550</v>
      </c>
      <c r="F5619" s="12">
        <v>4.07</v>
      </c>
      <c r="G5619" t="str">
        <f>IFERROR(INDEX(tEditais[Órgão],MATCH(tItens[[#This Row],[Edital]],tEditais[Edital],0)),"")</f>
        <v>MUNICIPIO DE JACAREZINHO</v>
      </c>
      <c r="H5619" t="str">
        <f>IFERROR(INDEX(tEditais[UF],MATCH(tItens[[#This Row],[Edital]],tEditais[Edital],0)),"")</f>
        <v>PR</v>
      </c>
      <c r="I5619" s="11">
        <f>IFERROR(INDEX(tEditais[Encerramento],MATCH(tItens[[#This Row],[Edital]],tEditais[Edital],0)),"")</f>
        <v>46309.333333333336</v>
      </c>
      <c r="J5619" t="str">
        <f>IFERROR(INDEX(tProdutos[Classe],MATCH(tItens[[#This Row],[Produto]],tProdutos[Produto],0)),"produto não cadastrado")</f>
        <v>NÚCLEO</v>
      </c>
      <c r="K5619" s="12">
        <f>tItens[[#This Row],[Qtd]]*tItens[[#This Row],[Vlr unit]]</f>
        <v>2238.5</v>
      </c>
      <c r="L5619" s="6">
        <f>IFERROR(IF(INDEX(tProdutos[Desconto homologado],MATCH(tItens[[#This Row],[Produto]],tProdutos[Produto],0))="",DescontoPadrao,INDEX(tProdutos[Desconto homologado],MATCH(tItens[[#This Row],[Produto]],tProdutos[Produto],0))),DescontoPadrao)</f>
        <v>0.37</v>
      </c>
      <c r="M5619" s="12">
        <f>tItens[[#This Row],[Valor]]*(1-tItens[[#This Row],[Desconto]])</f>
        <v>1410.2550000000001</v>
      </c>
      <c r="N5619" t="str">
        <f>IFERROR(INDEX(tProdutos[Foco],MATCH(tItens[[#This Row],[Produto]],tProdutos[Produto],0)),"Não")</f>
        <v>Sim</v>
      </c>
      <c r="O5619" t="str">
        <f>IFERROR(INDEX(tEditais[SRP],MATCH(tItens[[#This Row],[Edital]],tEditais[Edital],0)),"Não")</f>
        <v>Não</v>
      </c>
      <c r="P5619" s="4">
        <f>IF(COUNTIFS(INDEX(tItens[Edital],1):tItens[[#This Row],[Edital]],tItens[[#This Row],[Edital]],INDEX(tItens[Produto],1):tItens[[#This Row],[Produto]],tItens[[#This Row],[Produto]])=1,1,0)</f>
        <v>1</v>
      </c>
    </row>
    <row r="5620" spans="1:16" x14ac:dyDescent="0.25">
      <c r="A5620" t="s">
        <v>2041</v>
      </c>
      <c r="B5620">
        <v>45</v>
      </c>
      <c r="C5620" t="s">
        <v>8413</v>
      </c>
      <c r="D5620" t="s">
        <v>80</v>
      </c>
      <c r="E5620" s="13">
        <v>650</v>
      </c>
      <c r="F5620" s="12">
        <v>5.44</v>
      </c>
      <c r="G5620" t="str">
        <f>IFERROR(INDEX(tEditais[Órgão],MATCH(tItens[[#This Row],[Edital]],tEditais[Edital],0)),"")</f>
        <v>MUNICIPIO DE JACAREZINHO</v>
      </c>
      <c r="H5620" t="str">
        <f>IFERROR(INDEX(tEditais[UF],MATCH(tItens[[#This Row],[Edital]],tEditais[Edital],0)),"")</f>
        <v>PR</v>
      </c>
      <c r="I5620" s="11">
        <f>IFERROR(INDEX(tEditais[Encerramento],MATCH(tItens[[#This Row],[Edital]],tEditais[Edital],0)),"")</f>
        <v>46309.333333333336</v>
      </c>
      <c r="J5620" t="str">
        <f>IFERROR(INDEX(tProdutos[Classe],MATCH(tItens[[#This Row],[Produto]],tProdutos[Produto],0)),"produto não cadastrado")</f>
        <v>NÚCLEO</v>
      </c>
      <c r="K5620" s="12">
        <f>tItens[[#This Row],[Qtd]]*tItens[[#This Row],[Vlr unit]]</f>
        <v>3536.0000000000005</v>
      </c>
      <c r="L5620" s="6">
        <f>IFERROR(IF(INDEX(tProdutos[Desconto homologado],MATCH(tItens[[#This Row],[Produto]],tProdutos[Produto],0))="",DescontoPadrao,INDEX(tProdutos[Desconto homologado],MATCH(tItens[[#This Row],[Produto]],tProdutos[Produto],0))),DescontoPadrao)</f>
        <v>0.33</v>
      </c>
      <c r="M5620" s="12">
        <f>tItens[[#This Row],[Valor]]*(1-tItens[[#This Row],[Desconto]])</f>
        <v>2369.12</v>
      </c>
      <c r="N5620" t="str">
        <f>IFERROR(INDEX(tProdutos[Foco],MATCH(tItens[[#This Row],[Produto]],tProdutos[Produto],0)),"Não")</f>
        <v>Sim</v>
      </c>
      <c r="O5620" t="str">
        <f>IFERROR(INDEX(tEditais[SRP],MATCH(tItens[[#This Row],[Edital]],tEditais[Edital],0)),"Não")</f>
        <v>Não</v>
      </c>
      <c r="P5620" s="4">
        <f>IF(COUNTIFS(INDEX(tItens[Edital],1):tItens[[#This Row],[Edital]],tItens[[#This Row],[Edital]],INDEX(tItens[Produto],1):tItens[[#This Row],[Produto]],tItens[[#This Row],[Produto]])=1,1,0)</f>
        <v>1</v>
      </c>
    </row>
    <row r="5621" spans="1:16" x14ac:dyDescent="0.25">
      <c r="A5621" t="s">
        <v>2041</v>
      </c>
      <c r="B5621">
        <v>46</v>
      </c>
      <c r="C5621" t="s">
        <v>8414</v>
      </c>
      <c r="D5621" t="s">
        <v>279</v>
      </c>
      <c r="E5621" s="13">
        <v>450</v>
      </c>
      <c r="F5621" s="12">
        <v>5.15</v>
      </c>
      <c r="G5621" t="str">
        <f>IFERROR(INDEX(tEditais[Órgão],MATCH(tItens[[#This Row],[Edital]],tEditais[Edital],0)),"")</f>
        <v>MUNICIPIO DE JACAREZINHO</v>
      </c>
      <c r="H5621" t="str">
        <f>IFERROR(INDEX(tEditais[UF],MATCH(tItens[[#This Row],[Edital]],tEditais[Edital],0)),"")</f>
        <v>PR</v>
      </c>
      <c r="I5621" s="11">
        <f>IFERROR(INDEX(tEditais[Encerramento],MATCH(tItens[[#This Row],[Edital]],tEditais[Edital],0)),"")</f>
        <v>46309.333333333336</v>
      </c>
      <c r="J5621" t="str">
        <f>IFERROR(INDEX(tProdutos[Classe],MATCH(tItens[[#This Row],[Produto]],tProdutos[Produto],0)),"produto não cadastrado")</f>
        <v>FORA</v>
      </c>
      <c r="K5621" s="12">
        <f>tItens[[#This Row],[Qtd]]*tItens[[#This Row],[Vlr unit]]</f>
        <v>2317.5</v>
      </c>
      <c r="L5621" s="6">
        <f>IFERROR(IF(INDEX(tProdutos[Desconto homologado],MATCH(tItens[[#This Row],[Produto]],tProdutos[Produto],0))="",DescontoPadrao,INDEX(tProdutos[Desconto homologado],MATCH(tItens[[#This Row],[Produto]],tProdutos[Produto],0))),DescontoPadrao)</f>
        <v>0.28909090909090901</v>
      </c>
      <c r="M5621" s="12">
        <f>tItens[[#This Row],[Valor]]*(1-tItens[[#This Row],[Desconto]])</f>
        <v>1647.5318181818182</v>
      </c>
      <c r="N5621" t="str">
        <f>IFERROR(INDEX(tProdutos[Foco],MATCH(tItens[[#This Row],[Produto]],tProdutos[Produto],0)),"Não")</f>
        <v>Não</v>
      </c>
      <c r="O5621" t="str">
        <f>IFERROR(INDEX(tEditais[SRP],MATCH(tItens[[#This Row],[Edital]],tEditais[Edital],0)),"Não")</f>
        <v>Não</v>
      </c>
      <c r="P5621" s="4">
        <f>IF(COUNTIFS(INDEX(tItens[Edital],1):tItens[[#This Row],[Edital]],tItens[[#This Row],[Edital]],INDEX(tItens[Produto],1):tItens[[#This Row],[Produto]],tItens[[#This Row],[Produto]])=1,1,0)</f>
        <v>1</v>
      </c>
    </row>
    <row r="5622" spans="1:16" x14ac:dyDescent="0.25">
      <c r="A5622" t="s">
        <v>2041</v>
      </c>
      <c r="B5622">
        <v>47</v>
      </c>
      <c r="C5622" t="s">
        <v>8415</v>
      </c>
      <c r="D5622" t="s">
        <v>279</v>
      </c>
      <c r="E5622" s="13">
        <v>300</v>
      </c>
      <c r="F5622" s="12">
        <v>1.44</v>
      </c>
      <c r="G5622" t="str">
        <f>IFERROR(INDEX(tEditais[Órgão],MATCH(tItens[[#This Row],[Edital]],tEditais[Edital],0)),"")</f>
        <v>MUNICIPIO DE JACAREZINHO</v>
      </c>
      <c r="H5622" t="str">
        <f>IFERROR(INDEX(tEditais[UF],MATCH(tItens[[#This Row],[Edital]],tEditais[Edital],0)),"")</f>
        <v>PR</v>
      </c>
      <c r="I5622" s="11">
        <f>IFERROR(INDEX(tEditais[Encerramento],MATCH(tItens[[#This Row],[Edital]],tEditais[Edital],0)),"")</f>
        <v>46309.333333333336</v>
      </c>
      <c r="J5622" t="str">
        <f>IFERROR(INDEX(tProdutos[Classe],MATCH(tItens[[#This Row],[Produto]],tProdutos[Produto],0)),"produto não cadastrado")</f>
        <v>FORA</v>
      </c>
      <c r="K5622" s="12">
        <f>tItens[[#This Row],[Qtd]]*tItens[[#This Row],[Vlr unit]]</f>
        <v>432</v>
      </c>
      <c r="L5622" s="6">
        <f>IFERROR(IF(INDEX(tProdutos[Desconto homologado],MATCH(tItens[[#This Row],[Produto]],tProdutos[Produto],0))="",DescontoPadrao,INDEX(tProdutos[Desconto homologado],MATCH(tItens[[#This Row],[Produto]],tProdutos[Produto],0))),DescontoPadrao)</f>
        <v>0.28909090909090901</v>
      </c>
      <c r="M5622" s="12">
        <f>tItens[[#This Row],[Valor]]*(1-tItens[[#This Row],[Desconto]])</f>
        <v>307.11272727272728</v>
      </c>
      <c r="N5622" t="str">
        <f>IFERROR(INDEX(tProdutos[Foco],MATCH(tItens[[#This Row],[Produto]],tProdutos[Produto],0)),"Não")</f>
        <v>Não</v>
      </c>
      <c r="O5622" t="str">
        <f>IFERROR(INDEX(tEditais[SRP],MATCH(tItens[[#This Row],[Edital]],tEditais[Edital],0)),"Não")</f>
        <v>Não</v>
      </c>
      <c r="P5622" s="4">
        <f>IF(COUNTIFS(INDEX(tItens[Edital],1):tItens[[#This Row],[Edital]],tItens[[#This Row],[Edital]],INDEX(tItens[Produto],1):tItens[[#This Row],[Produto]],tItens[[#This Row],[Produto]])=1,1,0)</f>
        <v>0</v>
      </c>
    </row>
    <row r="5623" spans="1:16" x14ac:dyDescent="0.25">
      <c r="A5623" t="s">
        <v>2041</v>
      </c>
      <c r="B5623">
        <v>60</v>
      </c>
      <c r="C5623" t="s">
        <v>8416</v>
      </c>
      <c r="D5623" t="s">
        <v>638</v>
      </c>
      <c r="E5623" s="13">
        <v>250</v>
      </c>
      <c r="F5623" s="12">
        <v>15.59</v>
      </c>
      <c r="G5623" t="str">
        <f>IFERROR(INDEX(tEditais[Órgão],MATCH(tItens[[#This Row],[Edital]],tEditais[Edital],0)),"")</f>
        <v>MUNICIPIO DE JACAREZINHO</v>
      </c>
      <c r="H5623" t="str">
        <f>IFERROR(INDEX(tEditais[UF],MATCH(tItens[[#This Row],[Edital]],tEditais[Edital],0)),"")</f>
        <v>PR</v>
      </c>
      <c r="I5623" s="11">
        <f>IFERROR(INDEX(tEditais[Encerramento],MATCH(tItens[[#This Row],[Edital]],tEditais[Edital],0)),"")</f>
        <v>46309.333333333336</v>
      </c>
      <c r="J5623" t="str">
        <f>IFERROR(INDEX(tProdutos[Classe],MATCH(tItens[[#This Row],[Produto]],tProdutos[Produto],0)),"produto não cadastrado")</f>
        <v>FILA REBASE</v>
      </c>
      <c r="K5623" s="12">
        <f>tItens[[#This Row],[Qtd]]*tItens[[#This Row],[Vlr unit]]</f>
        <v>3897.5</v>
      </c>
      <c r="L5623" s="6">
        <f>IFERROR(IF(INDEX(tProdutos[Desconto homologado],MATCH(tItens[[#This Row],[Produto]],tProdutos[Produto],0))="",DescontoPadrao,INDEX(tProdutos[Desconto homologado],MATCH(tItens[[#This Row],[Produto]],tProdutos[Produto],0))),DescontoPadrao)</f>
        <v>0.487179487179487</v>
      </c>
      <c r="M5623" s="12">
        <f>tItens[[#This Row],[Valor]]*(1-tItens[[#This Row],[Desconto]])</f>
        <v>1998.7179487179494</v>
      </c>
      <c r="N5623" t="str">
        <f>IFERROR(INDEX(tProdutos[Foco],MATCH(tItens[[#This Row],[Produto]],tProdutos[Produto],0)),"Não")</f>
        <v>Não</v>
      </c>
      <c r="O5623" t="str">
        <f>IFERROR(INDEX(tEditais[SRP],MATCH(tItens[[#This Row],[Edital]],tEditais[Edital],0)),"Não")</f>
        <v>Não</v>
      </c>
      <c r="P5623" s="4">
        <f>IF(COUNTIFS(INDEX(tItens[Edital],1):tItens[[#This Row],[Edital]],tItens[[#This Row],[Edital]],INDEX(tItens[Produto],1):tItens[[#This Row],[Produto]],tItens[[#This Row],[Produto]])=1,1,0)</f>
        <v>1</v>
      </c>
    </row>
    <row r="5624" spans="1:16" x14ac:dyDescent="0.25">
      <c r="A5624" t="s">
        <v>2041</v>
      </c>
      <c r="B5624">
        <v>61</v>
      </c>
      <c r="C5624" t="s">
        <v>8417</v>
      </c>
      <c r="D5624" t="s">
        <v>90</v>
      </c>
      <c r="E5624" s="13">
        <v>2032</v>
      </c>
      <c r="F5624" s="12">
        <v>14.26</v>
      </c>
      <c r="G5624" t="str">
        <f>IFERROR(INDEX(tEditais[Órgão],MATCH(tItens[[#This Row],[Edital]],tEditais[Edital],0)),"")</f>
        <v>MUNICIPIO DE JACAREZINHO</v>
      </c>
      <c r="H5624" t="str">
        <f>IFERROR(INDEX(tEditais[UF],MATCH(tItens[[#This Row],[Edital]],tEditais[Edital],0)),"")</f>
        <v>PR</v>
      </c>
      <c r="I5624" s="11">
        <f>IFERROR(INDEX(tEditais[Encerramento],MATCH(tItens[[#This Row],[Edital]],tEditais[Edital],0)),"")</f>
        <v>46309.333333333336</v>
      </c>
      <c r="J5624" t="str">
        <f>IFERROR(INDEX(tProdutos[Classe],MATCH(tItens[[#This Row],[Produto]],tProdutos[Produto],0)),"produto não cadastrado")</f>
        <v>DISPUTADO</v>
      </c>
      <c r="K5624" s="12">
        <f>tItens[[#This Row],[Qtd]]*tItens[[#This Row],[Vlr unit]]</f>
        <v>28976.32</v>
      </c>
      <c r="L5624" s="6">
        <f>IFERROR(IF(INDEX(tProdutos[Desconto homologado],MATCH(tItens[[#This Row],[Produto]],tProdutos[Produto],0))="",DescontoPadrao,INDEX(tProdutos[Desconto homologado],MATCH(tItens[[#This Row],[Produto]],tProdutos[Produto],0))),DescontoPadrao)</f>
        <v>0.25393823957010597</v>
      </c>
      <c r="M5624" s="12">
        <f>tItens[[#This Row],[Valor]]*(1-tItens[[#This Row],[Desconto]])</f>
        <v>21618.124309979947</v>
      </c>
      <c r="N5624" t="str">
        <f>IFERROR(INDEX(tProdutos[Foco],MATCH(tItens[[#This Row],[Produto]],tProdutos[Produto],0)),"Não")</f>
        <v>Não</v>
      </c>
      <c r="O5624" t="str">
        <f>IFERROR(INDEX(tEditais[SRP],MATCH(tItens[[#This Row],[Edital]],tEditais[Edital],0)),"Não")</f>
        <v>Não</v>
      </c>
      <c r="P5624" s="4">
        <f>IF(COUNTIFS(INDEX(tItens[Edital],1):tItens[[#This Row],[Edital]],tItens[[#This Row],[Edital]],INDEX(tItens[Produto],1):tItens[[#This Row],[Produto]],tItens[[#This Row],[Produto]])=1,1,0)</f>
        <v>1</v>
      </c>
    </row>
    <row r="5625" spans="1:16" x14ac:dyDescent="0.25">
      <c r="A5625" t="s">
        <v>2041</v>
      </c>
      <c r="B5625">
        <v>64</v>
      </c>
      <c r="C5625" t="s">
        <v>8418</v>
      </c>
      <c r="D5625" t="s">
        <v>75</v>
      </c>
      <c r="E5625" s="13">
        <v>4000</v>
      </c>
      <c r="F5625" s="12">
        <v>3.36</v>
      </c>
      <c r="G5625" t="str">
        <f>IFERROR(INDEX(tEditais[Órgão],MATCH(tItens[[#This Row],[Edital]],tEditais[Edital],0)),"")</f>
        <v>MUNICIPIO DE JACAREZINHO</v>
      </c>
      <c r="H5625" t="str">
        <f>IFERROR(INDEX(tEditais[UF],MATCH(tItens[[#This Row],[Edital]],tEditais[Edital],0)),"")</f>
        <v>PR</v>
      </c>
      <c r="I5625" s="11">
        <f>IFERROR(INDEX(tEditais[Encerramento],MATCH(tItens[[#This Row],[Edital]],tEditais[Edital],0)),"")</f>
        <v>46309.333333333336</v>
      </c>
      <c r="J5625" t="str">
        <f>IFERROR(INDEX(tProdutos[Classe],MATCH(tItens[[#This Row],[Produto]],tProdutos[Produto],0)),"produto não cadastrado")</f>
        <v>NÚCLEO</v>
      </c>
      <c r="K5625" s="12">
        <f>tItens[[#This Row],[Qtd]]*tItens[[#This Row],[Vlr unit]]</f>
        <v>13440</v>
      </c>
      <c r="L5625" s="6">
        <f>IFERROR(IF(INDEX(tProdutos[Desconto homologado],MATCH(tItens[[#This Row],[Produto]],tProdutos[Produto],0))="",DescontoPadrao,INDEX(tProdutos[Desconto homologado],MATCH(tItens[[#This Row],[Produto]],tProdutos[Produto],0))),DescontoPadrao)</f>
        <v>0.26</v>
      </c>
      <c r="M5625" s="12">
        <f>tItens[[#This Row],[Valor]]*(1-tItens[[#This Row],[Desconto]])</f>
        <v>9945.6</v>
      </c>
      <c r="N5625" t="str">
        <f>IFERROR(INDEX(tProdutos[Foco],MATCH(tItens[[#This Row],[Produto]],tProdutos[Produto],0)),"Não")</f>
        <v>Sim</v>
      </c>
      <c r="O5625" t="str">
        <f>IFERROR(INDEX(tEditais[SRP],MATCH(tItens[[#This Row],[Edital]],tEditais[Edital],0)),"Não")</f>
        <v>Não</v>
      </c>
      <c r="P5625" s="4">
        <f>IF(COUNTIFS(INDEX(tItens[Edital],1):tItens[[#This Row],[Edital]],tItens[[#This Row],[Edital]],INDEX(tItens[Produto],1):tItens[[#This Row],[Produto]],tItens[[#This Row],[Produto]])=1,1,0)</f>
        <v>1</v>
      </c>
    </row>
    <row r="5626" spans="1:16" x14ac:dyDescent="0.25">
      <c r="A5626" t="s">
        <v>2041</v>
      </c>
      <c r="B5626">
        <v>65</v>
      </c>
      <c r="C5626" t="s">
        <v>8419</v>
      </c>
      <c r="D5626" t="s">
        <v>75</v>
      </c>
      <c r="E5626" s="13">
        <v>200</v>
      </c>
      <c r="F5626" s="12">
        <v>2.91</v>
      </c>
      <c r="G5626" t="str">
        <f>IFERROR(INDEX(tEditais[Órgão],MATCH(tItens[[#This Row],[Edital]],tEditais[Edital],0)),"")</f>
        <v>MUNICIPIO DE JACAREZINHO</v>
      </c>
      <c r="H5626" t="str">
        <f>IFERROR(INDEX(tEditais[UF],MATCH(tItens[[#This Row],[Edital]],tEditais[Edital],0)),"")</f>
        <v>PR</v>
      </c>
      <c r="I5626" s="11">
        <f>IFERROR(INDEX(tEditais[Encerramento],MATCH(tItens[[#This Row],[Edital]],tEditais[Edital],0)),"")</f>
        <v>46309.333333333336</v>
      </c>
      <c r="J5626" t="str">
        <f>IFERROR(INDEX(tProdutos[Classe],MATCH(tItens[[#This Row],[Produto]],tProdutos[Produto],0)),"produto não cadastrado")</f>
        <v>NÚCLEO</v>
      </c>
      <c r="K5626" s="12">
        <f>tItens[[#This Row],[Qtd]]*tItens[[#This Row],[Vlr unit]]</f>
        <v>582</v>
      </c>
      <c r="L5626" s="6">
        <f>IFERROR(IF(INDEX(tProdutos[Desconto homologado],MATCH(tItens[[#This Row],[Produto]],tProdutos[Produto],0))="",DescontoPadrao,INDEX(tProdutos[Desconto homologado],MATCH(tItens[[#This Row],[Produto]],tProdutos[Produto],0))),DescontoPadrao)</f>
        <v>0.26</v>
      </c>
      <c r="M5626" s="12">
        <f>tItens[[#This Row],[Valor]]*(1-tItens[[#This Row],[Desconto]])</f>
        <v>430.68</v>
      </c>
      <c r="N5626" t="str">
        <f>IFERROR(INDEX(tProdutos[Foco],MATCH(tItens[[#This Row],[Produto]],tProdutos[Produto],0)),"Não")</f>
        <v>Sim</v>
      </c>
      <c r="O5626" t="str">
        <f>IFERROR(INDEX(tEditais[SRP],MATCH(tItens[[#This Row],[Edital]],tEditais[Edital],0)),"Não")</f>
        <v>Não</v>
      </c>
      <c r="P5626" s="4">
        <f>IF(COUNTIFS(INDEX(tItens[Edital],1):tItens[[#This Row],[Edital]],tItens[[#This Row],[Edital]],INDEX(tItens[Produto],1):tItens[[#This Row],[Produto]],tItens[[#This Row],[Produto]])=1,1,0)</f>
        <v>0</v>
      </c>
    </row>
    <row r="5627" spans="1:16" x14ac:dyDescent="0.25">
      <c r="A5627" t="s">
        <v>2041</v>
      </c>
      <c r="B5627">
        <v>66</v>
      </c>
      <c r="C5627" t="s">
        <v>8420</v>
      </c>
      <c r="D5627" t="s">
        <v>75</v>
      </c>
      <c r="E5627" s="13">
        <v>6500</v>
      </c>
      <c r="F5627" s="12">
        <v>2.61</v>
      </c>
      <c r="G5627" t="str">
        <f>IFERROR(INDEX(tEditais[Órgão],MATCH(tItens[[#This Row],[Edital]],tEditais[Edital],0)),"")</f>
        <v>MUNICIPIO DE JACAREZINHO</v>
      </c>
      <c r="H5627" t="str">
        <f>IFERROR(INDEX(tEditais[UF],MATCH(tItens[[#This Row],[Edital]],tEditais[Edital],0)),"")</f>
        <v>PR</v>
      </c>
      <c r="I5627" s="11">
        <f>IFERROR(INDEX(tEditais[Encerramento],MATCH(tItens[[#This Row],[Edital]],tEditais[Edital],0)),"")</f>
        <v>46309.333333333336</v>
      </c>
      <c r="J5627" t="str">
        <f>IFERROR(INDEX(tProdutos[Classe],MATCH(tItens[[#This Row],[Produto]],tProdutos[Produto],0)),"produto não cadastrado")</f>
        <v>NÚCLEO</v>
      </c>
      <c r="K5627" s="12">
        <f>tItens[[#This Row],[Qtd]]*tItens[[#This Row],[Vlr unit]]</f>
        <v>16965</v>
      </c>
      <c r="L5627" s="6">
        <f>IFERROR(IF(INDEX(tProdutos[Desconto homologado],MATCH(tItens[[#This Row],[Produto]],tProdutos[Produto],0))="",DescontoPadrao,INDEX(tProdutos[Desconto homologado],MATCH(tItens[[#This Row],[Produto]],tProdutos[Produto],0))),DescontoPadrao)</f>
        <v>0.26</v>
      </c>
      <c r="M5627" s="12">
        <f>tItens[[#This Row],[Valor]]*(1-tItens[[#This Row],[Desconto]])</f>
        <v>12554.1</v>
      </c>
      <c r="N5627" t="str">
        <f>IFERROR(INDEX(tProdutos[Foco],MATCH(tItens[[#This Row],[Produto]],tProdutos[Produto],0)),"Não")</f>
        <v>Sim</v>
      </c>
      <c r="O5627" t="str">
        <f>IFERROR(INDEX(tEditais[SRP],MATCH(tItens[[#This Row],[Edital]],tEditais[Edital],0)),"Não")</f>
        <v>Não</v>
      </c>
      <c r="P5627" s="4">
        <f>IF(COUNTIFS(INDEX(tItens[Edital],1):tItens[[#This Row],[Edital]],tItens[[#This Row],[Edital]],INDEX(tItens[Produto],1):tItens[[#This Row],[Produto]],tItens[[#This Row],[Produto]])=1,1,0)</f>
        <v>0</v>
      </c>
    </row>
    <row r="5628" spans="1:16" x14ac:dyDescent="0.25">
      <c r="A5628" t="s">
        <v>2041</v>
      </c>
      <c r="B5628">
        <v>69</v>
      </c>
      <c r="C5628" t="s">
        <v>8421</v>
      </c>
      <c r="D5628" t="s">
        <v>401</v>
      </c>
      <c r="E5628" s="13">
        <v>72</v>
      </c>
      <c r="F5628" s="12">
        <v>15.08</v>
      </c>
      <c r="G5628" t="str">
        <f>IFERROR(INDEX(tEditais[Órgão],MATCH(tItens[[#This Row],[Edital]],tEditais[Edital],0)),"")</f>
        <v>MUNICIPIO DE JACAREZINHO</v>
      </c>
      <c r="H5628" t="str">
        <f>IFERROR(INDEX(tEditais[UF],MATCH(tItens[[#This Row],[Edital]],tEditais[Edital],0)),"")</f>
        <v>PR</v>
      </c>
      <c r="I5628" s="11">
        <f>IFERROR(INDEX(tEditais[Encerramento],MATCH(tItens[[#This Row],[Edital]],tEditais[Edital],0)),"")</f>
        <v>46309.333333333336</v>
      </c>
      <c r="J5628" t="str">
        <f>IFERROR(INDEX(tProdutos[Classe],MATCH(tItens[[#This Row],[Produto]],tProdutos[Produto],0)),"produto não cadastrado")</f>
        <v>FORA</v>
      </c>
      <c r="K5628" s="12">
        <f>tItens[[#This Row],[Qtd]]*tItens[[#This Row],[Vlr unit]]</f>
        <v>1085.76</v>
      </c>
      <c r="L5628" s="6">
        <f>IFERROR(IF(INDEX(tProdutos[Desconto homologado],MATCH(tItens[[#This Row],[Produto]],tProdutos[Produto],0))="",DescontoPadrao,INDEX(tProdutos[Desconto homologado],MATCH(tItens[[#This Row],[Produto]],tProdutos[Produto],0))),DescontoPadrao)</f>
        <v>0.38211382113821102</v>
      </c>
      <c r="M5628" s="12">
        <f>tItens[[#This Row],[Valor]]*(1-tItens[[#This Row],[Desconto]])</f>
        <v>670.87609756097595</v>
      </c>
      <c r="N5628" t="str">
        <f>IFERROR(INDEX(tProdutos[Foco],MATCH(tItens[[#This Row],[Produto]],tProdutos[Produto],0)),"Não")</f>
        <v>Não</v>
      </c>
      <c r="O5628" t="str">
        <f>IFERROR(INDEX(tEditais[SRP],MATCH(tItens[[#This Row],[Edital]],tEditais[Edital],0)),"Não")</f>
        <v>Não</v>
      </c>
      <c r="P5628" s="4">
        <f>IF(COUNTIFS(INDEX(tItens[Edital],1):tItens[[#This Row],[Edital]],tItens[[#This Row],[Edital]],INDEX(tItens[Produto],1):tItens[[#This Row],[Produto]],tItens[[#This Row],[Produto]])=1,1,0)</f>
        <v>1</v>
      </c>
    </row>
    <row r="5629" spans="1:16" x14ac:dyDescent="0.25">
      <c r="A5629" t="s">
        <v>2041</v>
      </c>
      <c r="B5629">
        <v>74</v>
      </c>
      <c r="C5629" t="s">
        <v>8422</v>
      </c>
      <c r="D5629" t="s">
        <v>142</v>
      </c>
      <c r="E5629" s="13">
        <v>400</v>
      </c>
      <c r="F5629" s="12">
        <v>9.02</v>
      </c>
      <c r="G5629" t="str">
        <f>IFERROR(INDEX(tEditais[Órgão],MATCH(tItens[[#This Row],[Edital]],tEditais[Edital],0)),"")</f>
        <v>MUNICIPIO DE JACAREZINHO</v>
      </c>
      <c r="H5629" t="str">
        <f>IFERROR(INDEX(tEditais[UF],MATCH(tItens[[#This Row],[Edital]],tEditais[Edital],0)),"")</f>
        <v>PR</v>
      </c>
      <c r="I5629" s="11">
        <f>IFERROR(INDEX(tEditais[Encerramento],MATCH(tItens[[#This Row],[Edital]],tEditais[Edital],0)),"")</f>
        <v>46309.333333333336</v>
      </c>
      <c r="J5629" t="str">
        <f>IFERROR(INDEX(tProdutos[Classe],MATCH(tItens[[#This Row],[Produto]],tProdutos[Produto],0)),"produto não cadastrado")</f>
        <v>DISPUTADO</v>
      </c>
      <c r="K5629" s="12">
        <f>tItens[[#This Row],[Qtd]]*tItens[[#This Row],[Vlr unit]]</f>
        <v>3608</v>
      </c>
      <c r="L5629" s="6">
        <f>IFERROR(IF(INDEX(tProdutos[Desconto homologado],MATCH(tItens[[#This Row],[Produto]],tProdutos[Produto],0))="",DescontoPadrao,INDEX(tProdutos[Desconto homologado],MATCH(tItens[[#This Row],[Produto]],tProdutos[Produto],0))),DescontoPadrao)</f>
        <v>0.37093619495691699</v>
      </c>
      <c r="M5629" s="12">
        <f>tItens[[#This Row],[Valor]]*(1-tItens[[#This Row],[Desconto]])</f>
        <v>2269.6622085954436</v>
      </c>
      <c r="N5629" t="str">
        <f>IFERROR(INDEX(tProdutos[Foco],MATCH(tItens[[#This Row],[Produto]],tProdutos[Produto],0)),"Não")</f>
        <v>Não</v>
      </c>
      <c r="O5629" t="str">
        <f>IFERROR(INDEX(tEditais[SRP],MATCH(tItens[[#This Row],[Edital]],tEditais[Edital],0)),"Não")</f>
        <v>Não</v>
      </c>
      <c r="P5629" s="4">
        <f>IF(COUNTIFS(INDEX(tItens[Edital],1):tItens[[#This Row],[Edital]],tItens[[#This Row],[Edital]],INDEX(tItens[Produto],1):tItens[[#This Row],[Produto]],tItens[[#This Row],[Produto]])=1,1,0)</f>
        <v>1</v>
      </c>
    </row>
    <row r="5630" spans="1:16" x14ac:dyDescent="0.25">
      <c r="A5630" t="s">
        <v>2041</v>
      </c>
      <c r="B5630">
        <v>75</v>
      </c>
      <c r="C5630" t="s">
        <v>8423</v>
      </c>
      <c r="D5630" t="s">
        <v>77</v>
      </c>
      <c r="E5630" s="13">
        <v>140</v>
      </c>
      <c r="F5630" s="12">
        <v>11.4</v>
      </c>
      <c r="G5630" t="str">
        <f>IFERROR(INDEX(tEditais[Órgão],MATCH(tItens[[#This Row],[Edital]],tEditais[Edital],0)),"")</f>
        <v>MUNICIPIO DE JACAREZINHO</v>
      </c>
      <c r="H5630" t="str">
        <f>IFERROR(INDEX(tEditais[UF],MATCH(tItens[[#This Row],[Edital]],tEditais[Edital],0)),"")</f>
        <v>PR</v>
      </c>
      <c r="I5630" s="11">
        <f>IFERROR(INDEX(tEditais[Encerramento],MATCH(tItens[[#This Row],[Edital]],tEditais[Edital],0)),"")</f>
        <v>46309.333333333336</v>
      </c>
      <c r="J5630" t="str">
        <f>IFERROR(INDEX(tProdutos[Classe],MATCH(tItens[[#This Row],[Produto]],tProdutos[Produto],0)),"produto não cadastrado")</f>
        <v>DISPUTADO</v>
      </c>
      <c r="K5630" s="12">
        <f>tItens[[#This Row],[Qtd]]*tItens[[#This Row],[Vlr unit]]</f>
        <v>1596</v>
      </c>
      <c r="L5630" s="6">
        <f>IFERROR(IF(INDEX(tProdutos[Desconto homologado],MATCH(tItens[[#This Row],[Produto]],tProdutos[Produto],0))="",DescontoPadrao,INDEX(tProdutos[Desconto homologado],MATCH(tItens[[#This Row],[Produto]],tProdutos[Produto],0))),DescontoPadrao)</f>
        <v>0.33</v>
      </c>
      <c r="M5630" s="12">
        <f>tItens[[#This Row],[Valor]]*(1-tItens[[#This Row],[Desconto]])</f>
        <v>1069.32</v>
      </c>
      <c r="N5630" t="str">
        <f>IFERROR(INDEX(tProdutos[Foco],MATCH(tItens[[#This Row],[Produto]],tProdutos[Produto],0)),"Não")</f>
        <v>Sim</v>
      </c>
      <c r="O5630" t="str">
        <f>IFERROR(INDEX(tEditais[SRP],MATCH(tItens[[#This Row],[Edital]],tEditais[Edital],0)),"Não")</f>
        <v>Não</v>
      </c>
      <c r="P5630" s="4">
        <f>IF(COUNTIFS(INDEX(tItens[Edital],1):tItens[[#This Row],[Edital]],tItens[[#This Row],[Edital]],INDEX(tItens[Produto],1):tItens[[#This Row],[Produto]],tItens[[#This Row],[Produto]])=1,1,0)</f>
        <v>1</v>
      </c>
    </row>
    <row r="5631" spans="1:16" x14ac:dyDescent="0.25">
      <c r="A5631" t="s">
        <v>2041</v>
      </c>
      <c r="B5631">
        <v>76</v>
      </c>
      <c r="C5631" t="s">
        <v>8424</v>
      </c>
      <c r="D5631" t="s">
        <v>77</v>
      </c>
      <c r="E5631" s="13">
        <v>4320</v>
      </c>
      <c r="F5631" s="12">
        <v>8.52</v>
      </c>
      <c r="G5631" t="str">
        <f>IFERROR(INDEX(tEditais[Órgão],MATCH(tItens[[#This Row],[Edital]],tEditais[Edital],0)),"")</f>
        <v>MUNICIPIO DE JACAREZINHO</v>
      </c>
      <c r="H5631" t="str">
        <f>IFERROR(INDEX(tEditais[UF],MATCH(tItens[[#This Row],[Edital]],tEditais[Edital],0)),"")</f>
        <v>PR</v>
      </c>
      <c r="I5631" s="11">
        <f>IFERROR(INDEX(tEditais[Encerramento],MATCH(tItens[[#This Row],[Edital]],tEditais[Edital],0)),"")</f>
        <v>46309.333333333336</v>
      </c>
      <c r="J5631" t="str">
        <f>IFERROR(INDEX(tProdutos[Classe],MATCH(tItens[[#This Row],[Produto]],tProdutos[Produto],0)),"produto não cadastrado")</f>
        <v>DISPUTADO</v>
      </c>
      <c r="K5631" s="12">
        <f>tItens[[#This Row],[Qtd]]*tItens[[#This Row],[Vlr unit]]</f>
        <v>36806.400000000001</v>
      </c>
      <c r="L5631" s="6">
        <f>IFERROR(IF(INDEX(tProdutos[Desconto homologado],MATCH(tItens[[#This Row],[Produto]],tProdutos[Produto],0))="",DescontoPadrao,INDEX(tProdutos[Desconto homologado],MATCH(tItens[[#This Row],[Produto]],tProdutos[Produto],0))),DescontoPadrao)</f>
        <v>0.33</v>
      </c>
      <c r="M5631" s="12">
        <f>tItens[[#This Row],[Valor]]*(1-tItens[[#This Row],[Desconto]])</f>
        <v>24660.287999999997</v>
      </c>
      <c r="N5631" t="str">
        <f>IFERROR(INDEX(tProdutos[Foco],MATCH(tItens[[#This Row],[Produto]],tProdutos[Produto],0)),"Não")</f>
        <v>Sim</v>
      </c>
      <c r="O5631" t="str">
        <f>IFERROR(INDEX(tEditais[SRP],MATCH(tItens[[#This Row],[Edital]],tEditais[Edital],0)),"Não")</f>
        <v>Não</v>
      </c>
      <c r="P5631" s="4">
        <f>IF(COUNTIFS(INDEX(tItens[Edital],1):tItens[[#This Row],[Edital]],tItens[[#This Row],[Edital]],INDEX(tItens[Produto],1):tItens[[#This Row],[Produto]],tItens[[#This Row],[Produto]])=1,1,0)</f>
        <v>0</v>
      </c>
    </row>
    <row r="5632" spans="1:16" x14ac:dyDescent="0.25">
      <c r="A5632" t="s">
        <v>2041</v>
      </c>
      <c r="B5632">
        <v>77</v>
      </c>
      <c r="C5632" t="s">
        <v>8425</v>
      </c>
      <c r="D5632" t="s">
        <v>77</v>
      </c>
      <c r="E5632" s="13">
        <v>2520</v>
      </c>
      <c r="F5632" s="12">
        <v>8.26</v>
      </c>
      <c r="G5632" t="str">
        <f>IFERROR(INDEX(tEditais[Órgão],MATCH(tItens[[#This Row],[Edital]],tEditais[Edital],0)),"")</f>
        <v>MUNICIPIO DE JACAREZINHO</v>
      </c>
      <c r="H5632" t="str">
        <f>IFERROR(INDEX(tEditais[UF],MATCH(tItens[[#This Row],[Edital]],tEditais[Edital],0)),"")</f>
        <v>PR</v>
      </c>
      <c r="I5632" s="11">
        <f>IFERROR(INDEX(tEditais[Encerramento],MATCH(tItens[[#This Row],[Edital]],tEditais[Edital],0)),"")</f>
        <v>46309.333333333336</v>
      </c>
      <c r="J5632" t="str">
        <f>IFERROR(INDEX(tProdutos[Classe],MATCH(tItens[[#This Row],[Produto]],tProdutos[Produto],0)),"produto não cadastrado")</f>
        <v>DISPUTADO</v>
      </c>
      <c r="K5632" s="12">
        <f>tItens[[#This Row],[Qtd]]*tItens[[#This Row],[Vlr unit]]</f>
        <v>20815.2</v>
      </c>
      <c r="L5632" s="6">
        <f>IFERROR(IF(INDEX(tProdutos[Desconto homologado],MATCH(tItens[[#This Row],[Produto]],tProdutos[Produto],0))="",DescontoPadrao,INDEX(tProdutos[Desconto homologado],MATCH(tItens[[#This Row],[Produto]],tProdutos[Produto],0))),DescontoPadrao)</f>
        <v>0.33</v>
      </c>
      <c r="M5632" s="12">
        <f>tItens[[#This Row],[Valor]]*(1-tItens[[#This Row],[Desconto]])</f>
        <v>13946.183999999999</v>
      </c>
      <c r="N5632" t="str">
        <f>IFERROR(INDEX(tProdutos[Foco],MATCH(tItens[[#This Row],[Produto]],tProdutos[Produto],0)),"Não")</f>
        <v>Sim</v>
      </c>
      <c r="O5632" t="str">
        <f>IFERROR(INDEX(tEditais[SRP],MATCH(tItens[[#This Row],[Edital]],tEditais[Edital],0)),"Não")</f>
        <v>Não</v>
      </c>
      <c r="P5632" s="4">
        <f>IF(COUNTIFS(INDEX(tItens[Edital],1):tItens[[#This Row],[Edital]],tItens[[#This Row],[Edital]],INDEX(tItens[Produto],1):tItens[[#This Row],[Produto]],tItens[[#This Row],[Produto]])=1,1,0)</f>
        <v>0</v>
      </c>
    </row>
    <row r="5633" spans="1:16" x14ac:dyDescent="0.25">
      <c r="A5633" t="s">
        <v>2041</v>
      </c>
      <c r="B5633">
        <v>88</v>
      </c>
      <c r="C5633" t="s">
        <v>8426</v>
      </c>
      <c r="D5633" t="s">
        <v>104</v>
      </c>
      <c r="E5633" s="13">
        <v>165</v>
      </c>
      <c r="F5633" s="12">
        <v>87.65</v>
      </c>
      <c r="G5633" t="str">
        <f>IFERROR(INDEX(tEditais[Órgão],MATCH(tItens[[#This Row],[Edital]],tEditais[Edital],0)),"")</f>
        <v>MUNICIPIO DE JACAREZINHO</v>
      </c>
      <c r="H5633" t="str">
        <f>IFERROR(INDEX(tEditais[UF],MATCH(tItens[[#This Row],[Edital]],tEditais[Edital],0)),"")</f>
        <v>PR</v>
      </c>
      <c r="I5633" s="11">
        <f>IFERROR(INDEX(tEditais[Encerramento],MATCH(tItens[[#This Row],[Edital]],tEditais[Edital],0)),"")</f>
        <v>46309.333333333336</v>
      </c>
      <c r="J5633" t="str">
        <f>IFERROR(INDEX(tProdutos[Classe],MATCH(tItens[[#This Row],[Produto]],tProdutos[Produto],0)),"produto não cadastrado")</f>
        <v>DISPUTADO</v>
      </c>
      <c r="K5633" s="12">
        <f>tItens[[#This Row],[Qtd]]*tItens[[#This Row],[Vlr unit]]</f>
        <v>14462.250000000002</v>
      </c>
      <c r="L5633" s="6">
        <f>IFERROR(IF(INDEX(tProdutos[Desconto homologado],MATCH(tItens[[#This Row],[Produto]],tProdutos[Produto],0))="",DescontoPadrao,INDEX(tProdutos[Desconto homologado],MATCH(tItens[[#This Row],[Produto]],tProdutos[Produto],0))),DescontoPadrao)</f>
        <v>0.51</v>
      </c>
      <c r="M5633" s="12">
        <f>tItens[[#This Row],[Valor]]*(1-tItens[[#This Row],[Desconto]])</f>
        <v>7086.5025000000005</v>
      </c>
      <c r="N5633" t="str">
        <f>IFERROR(INDEX(tProdutos[Foco],MATCH(tItens[[#This Row],[Produto]],tProdutos[Produto],0)),"Não")</f>
        <v>Sim</v>
      </c>
      <c r="O5633" t="str">
        <f>IFERROR(INDEX(tEditais[SRP],MATCH(tItens[[#This Row],[Edital]],tEditais[Edital],0)),"Não")</f>
        <v>Não</v>
      </c>
      <c r="P5633" s="4">
        <f>IF(COUNTIFS(INDEX(tItens[Edital],1):tItens[[#This Row],[Edital]],tItens[[#This Row],[Edital]],INDEX(tItens[Produto],1):tItens[[#This Row],[Produto]],tItens[[#This Row],[Produto]])=1,1,0)</f>
        <v>1</v>
      </c>
    </row>
    <row r="5634" spans="1:16" x14ac:dyDescent="0.25">
      <c r="A5634" t="s">
        <v>2041</v>
      </c>
      <c r="B5634">
        <v>90</v>
      </c>
      <c r="C5634" t="s">
        <v>8427</v>
      </c>
      <c r="D5634" t="s">
        <v>56</v>
      </c>
      <c r="E5634" s="13">
        <v>40</v>
      </c>
      <c r="F5634" s="12">
        <v>34.840000000000003</v>
      </c>
      <c r="G5634" t="str">
        <f>IFERROR(INDEX(tEditais[Órgão],MATCH(tItens[[#This Row],[Edital]],tEditais[Edital],0)),"")</f>
        <v>MUNICIPIO DE JACAREZINHO</v>
      </c>
      <c r="H5634" t="str">
        <f>IFERROR(INDEX(tEditais[UF],MATCH(tItens[[#This Row],[Edital]],tEditais[Edital],0)),"")</f>
        <v>PR</v>
      </c>
      <c r="I5634" s="11">
        <f>IFERROR(INDEX(tEditais[Encerramento],MATCH(tItens[[#This Row],[Edital]],tEditais[Edital],0)),"")</f>
        <v>46309.333333333336</v>
      </c>
      <c r="J5634" t="str">
        <f>IFERROR(INDEX(tProdutos[Classe],MATCH(tItens[[#This Row],[Produto]],tProdutos[Produto],0)),"produto não cadastrado")</f>
        <v>NÚCLEO</v>
      </c>
      <c r="K5634" s="12">
        <f>tItens[[#This Row],[Qtd]]*tItens[[#This Row],[Vlr unit]]</f>
        <v>1393.6000000000001</v>
      </c>
      <c r="L5634" s="6">
        <f>IFERROR(IF(INDEX(tProdutos[Desconto homologado],MATCH(tItens[[#This Row],[Produto]],tProdutos[Produto],0))="",DescontoPadrao,INDEX(tProdutos[Desconto homologado],MATCH(tItens[[#This Row],[Produto]],tProdutos[Produto],0))),DescontoPadrao)</f>
        <v>0.34</v>
      </c>
      <c r="M5634" s="12">
        <f>tItens[[#This Row],[Valor]]*(1-tItens[[#This Row],[Desconto]])</f>
        <v>919.77599999999995</v>
      </c>
      <c r="N5634" t="str">
        <f>IFERROR(INDEX(tProdutos[Foco],MATCH(tItens[[#This Row],[Produto]],tProdutos[Produto],0)),"Não")</f>
        <v>Sim</v>
      </c>
      <c r="O5634" t="str">
        <f>IFERROR(INDEX(tEditais[SRP],MATCH(tItens[[#This Row],[Edital]],tEditais[Edital],0)),"Não")</f>
        <v>Não</v>
      </c>
      <c r="P5634" s="4">
        <f>IF(COUNTIFS(INDEX(tItens[Edital],1):tItens[[#This Row],[Edital]],tItens[[#This Row],[Edital]],INDEX(tItens[Produto],1):tItens[[#This Row],[Produto]],tItens[[#This Row],[Produto]])=1,1,0)</f>
        <v>1</v>
      </c>
    </row>
    <row r="5635" spans="1:16" x14ac:dyDescent="0.25">
      <c r="A5635" t="s">
        <v>2041</v>
      </c>
      <c r="B5635">
        <v>91</v>
      </c>
      <c r="C5635" t="s">
        <v>8428</v>
      </c>
      <c r="D5635" t="s">
        <v>56</v>
      </c>
      <c r="E5635" s="13">
        <v>42</v>
      </c>
      <c r="F5635" s="12">
        <v>43.19</v>
      </c>
      <c r="G5635" t="str">
        <f>IFERROR(INDEX(tEditais[Órgão],MATCH(tItens[[#This Row],[Edital]],tEditais[Edital],0)),"")</f>
        <v>MUNICIPIO DE JACAREZINHO</v>
      </c>
      <c r="H5635" t="str">
        <f>IFERROR(INDEX(tEditais[UF],MATCH(tItens[[#This Row],[Edital]],tEditais[Edital],0)),"")</f>
        <v>PR</v>
      </c>
      <c r="I5635" s="11">
        <f>IFERROR(INDEX(tEditais[Encerramento],MATCH(tItens[[#This Row],[Edital]],tEditais[Edital],0)),"")</f>
        <v>46309.333333333336</v>
      </c>
      <c r="J5635" t="str">
        <f>IFERROR(INDEX(tProdutos[Classe],MATCH(tItens[[#This Row],[Produto]],tProdutos[Produto],0)),"produto não cadastrado")</f>
        <v>NÚCLEO</v>
      </c>
      <c r="K5635" s="12">
        <f>tItens[[#This Row],[Qtd]]*tItens[[#This Row],[Vlr unit]]</f>
        <v>1813.98</v>
      </c>
      <c r="L5635" s="6">
        <f>IFERROR(IF(INDEX(tProdutos[Desconto homologado],MATCH(tItens[[#This Row],[Produto]],tProdutos[Produto],0))="",DescontoPadrao,INDEX(tProdutos[Desconto homologado],MATCH(tItens[[#This Row],[Produto]],tProdutos[Produto],0))),DescontoPadrao)</f>
        <v>0.34</v>
      </c>
      <c r="M5635" s="12">
        <f>tItens[[#This Row],[Valor]]*(1-tItens[[#This Row],[Desconto]])</f>
        <v>1197.2267999999999</v>
      </c>
      <c r="N5635" t="str">
        <f>IFERROR(INDEX(tProdutos[Foco],MATCH(tItens[[#This Row],[Produto]],tProdutos[Produto],0)),"Não")</f>
        <v>Sim</v>
      </c>
      <c r="O5635" t="str">
        <f>IFERROR(INDEX(tEditais[SRP],MATCH(tItens[[#This Row],[Edital]],tEditais[Edital],0)),"Não")</f>
        <v>Não</v>
      </c>
      <c r="P5635" s="4">
        <f>IF(COUNTIFS(INDEX(tItens[Edital],1):tItens[[#This Row],[Edital]],tItens[[#This Row],[Edital]],INDEX(tItens[Produto],1):tItens[[#This Row],[Produto]],tItens[[#This Row],[Produto]])=1,1,0)</f>
        <v>0</v>
      </c>
    </row>
    <row r="5636" spans="1:16" x14ac:dyDescent="0.25">
      <c r="A5636" t="s">
        <v>2041</v>
      </c>
      <c r="B5636">
        <v>92</v>
      </c>
      <c r="C5636" t="s">
        <v>8429</v>
      </c>
      <c r="D5636" t="s">
        <v>56</v>
      </c>
      <c r="E5636" s="13">
        <v>30</v>
      </c>
      <c r="F5636" s="12">
        <v>31.32</v>
      </c>
      <c r="G5636" t="str">
        <f>IFERROR(INDEX(tEditais[Órgão],MATCH(tItens[[#This Row],[Edital]],tEditais[Edital],0)),"")</f>
        <v>MUNICIPIO DE JACAREZINHO</v>
      </c>
      <c r="H5636" t="str">
        <f>IFERROR(INDEX(tEditais[UF],MATCH(tItens[[#This Row],[Edital]],tEditais[Edital],0)),"")</f>
        <v>PR</v>
      </c>
      <c r="I5636" s="11">
        <f>IFERROR(INDEX(tEditais[Encerramento],MATCH(tItens[[#This Row],[Edital]],tEditais[Edital],0)),"")</f>
        <v>46309.333333333336</v>
      </c>
      <c r="J5636" t="str">
        <f>IFERROR(INDEX(tProdutos[Classe],MATCH(tItens[[#This Row],[Produto]],tProdutos[Produto],0)),"produto não cadastrado")</f>
        <v>NÚCLEO</v>
      </c>
      <c r="K5636" s="12">
        <f>tItens[[#This Row],[Qtd]]*tItens[[#This Row],[Vlr unit]]</f>
        <v>939.6</v>
      </c>
      <c r="L5636" s="6">
        <f>IFERROR(IF(INDEX(tProdutos[Desconto homologado],MATCH(tItens[[#This Row],[Produto]],tProdutos[Produto],0))="",DescontoPadrao,INDEX(tProdutos[Desconto homologado],MATCH(tItens[[#This Row],[Produto]],tProdutos[Produto],0))),DescontoPadrao)</f>
        <v>0.34</v>
      </c>
      <c r="M5636" s="12">
        <f>tItens[[#This Row],[Valor]]*(1-tItens[[#This Row],[Desconto]])</f>
        <v>620.13599999999997</v>
      </c>
      <c r="N5636" t="str">
        <f>IFERROR(INDEX(tProdutos[Foco],MATCH(tItens[[#This Row],[Produto]],tProdutos[Produto],0)),"Não")</f>
        <v>Sim</v>
      </c>
      <c r="O5636" t="str">
        <f>IFERROR(INDEX(tEditais[SRP],MATCH(tItens[[#This Row],[Edital]],tEditais[Edital],0)),"Não")</f>
        <v>Não</v>
      </c>
      <c r="P5636" s="4">
        <f>IF(COUNTIFS(INDEX(tItens[Edital],1):tItens[[#This Row],[Edital]],tItens[[#This Row],[Edital]],INDEX(tItens[Produto],1):tItens[[#This Row],[Produto]],tItens[[#This Row],[Produto]])=1,1,0)</f>
        <v>0</v>
      </c>
    </row>
    <row r="5637" spans="1:16" x14ac:dyDescent="0.25">
      <c r="A5637" t="s">
        <v>2041</v>
      </c>
      <c r="B5637">
        <v>94</v>
      </c>
      <c r="C5637" t="s">
        <v>8430</v>
      </c>
      <c r="D5637" t="s">
        <v>267</v>
      </c>
      <c r="E5637" s="13">
        <v>20</v>
      </c>
      <c r="F5637" s="12">
        <v>20.29</v>
      </c>
      <c r="G5637" t="str">
        <f>IFERROR(INDEX(tEditais[Órgão],MATCH(tItens[[#This Row],[Edital]],tEditais[Edital],0)),"")</f>
        <v>MUNICIPIO DE JACAREZINHO</v>
      </c>
      <c r="H5637" t="str">
        <f>IFERROR(INDEX(tEditais[UF],MATCH(tItens[[#This Row],[Edital]],tEditais[Edital],0)),"")</f>
        <v>PR</v>
      </c>
      <c r="I5637" s="11">
        <f>IFERROR(INDEX(tEditais[Encerramento],MATCH(tItens[[#This Row],[Edital]],tEditais[Edital],0)),"")</f>
        <v>46309.333333333336</v>
      </c>
      <c r="J5637" t="str">
        <f>IFERROR(INDEX(tProdutos[Classe],MATCH(tItens[[#This Row],[Produto]],tProdutos[Produto],0)),"produto não cadastrado")</f>
        <v>FORA</v>
      </c>
      <c r="K5637" s="12">
        <f>tItens[[#This Row],[Qtd]]*tItens[[#This Row],[Vlr unit]]</f>
        <v>405.79999999999995</v>
      </c>
      <c r="L5637" s="6">
        <f>IFERROR(IF(INDEX(tProdutos[Desconto homologado],MATCH(tItens[[#This Row],[Produto]],tProdutos[Produto],0))="",DescontoPadrao,INDEX(tProdutos[Desconto homologado],MATCH(tItens[[#This Row],[Produto]],tProdutos[Produto],0))),DescontoPadrao)</f>
        <v>0.19963672657401599</v>
      </c>
      <c r="M5637" s="12">
        <f>tItens[[#This Row],[Valor]]*(1-tItens[[#This Row],[Desconto]])</f>
        <v>324.78741635626426</v>
      </c>
      <c r="N5637" t="str">
        <f>IFERROR(INDEX(tProdutos[Foco],MATCH(tItens[[#This Row],[Produto]],tProdutos[Produto],0)),"Não")</f>
        <v>Não</v>
      </c>
      <c r="O5637" t="str">
        <f>IFERROR(INDEX(tEditais[SRP],MATCH(tItens[[#This Row],[Edital]],tEditais[Edital],0)),"Não")</f>
        <v>Não</v>
      </c>
      <c r="P5637" s="4">
        <f>IF(COUNTIFS(INDEX(tItens[Edital],1):tItens[[#This Row],[Edital]],tItens[[#This Row],[Edital]],INDEX(tItens[Produto],1):tItens[[#This Row],[Produto]],tItens[[#This Row],[Produto]])=1,1,0)</f>
        <v>1</v>
      </c>
    </row>
    <row r="5638" spans="1:16" x14ac:dyDescent="0.25">
      <c r="A5638" t="s">
        <v>2041</v>
      </c>
      <c r="B5638">
        <v>95</v>
      </c>
      <c r="C5638" t="s">
        <v>8431</v>
      </c>
      <c r="D5638" t="s">
        <v>343</v>
      </c>
      <c r="E5638" s="13">
        <v>45</v>
      </c>
      <c r="F5638" s="12">
        <v>316.38</v>
      </c>
      <c r="G5638" t="str">
        <f>IFERROR(INDEX(tEditais[Órgão],MATCH(tItens[[#This Row],[Edital]],tEditais[Edital],0)),"")</f>
        <v>MUNICIPIO DE JACAREZINHO</v>
      </c>
      <c r="H5638" t="str">
        <f>IFERROR(INDEX(tEditais[UF],MATCH(tItens[[#This Row],[Edital]],tEditais[Edital],0)),"")</f>
        <v>PR</v>
      </c>
      <c r="I5638" s="11">
        <f>IFERROR(INDEX(tEditais[Encerramento],MATCH(tItens[[#This Row],[Edital]],tEditais[Edital],0)),"")</f>
        <v>46309.333333333336</v>
      </c>
      <c r="J5638" t="str">
        <f>IFERROR(INDEX(tProdutos[Classe],MATCH(tItens[[#This Row],[Produto]],tProdutos[Produto],0)),"produto não cadastrado")</f>
        <v>FORA</v>
      </c>
      <c r="K5638" s="12">
        <f>tItens[[#This Row],[Qtd]]*tItens[[#This Row],[Vlr unit]]</f>
        <v>14237.1</v>
      </c>
      <c r="L5638" s="6">
        <f>IFERROR(IF(INDEX(tProdutos[Desconto homologado],MATCH(tItens[[#This Row],[Produto]],tProdutos[Produto],0))="",DescontoPadrao,INDEX(tProdutos[Desconto homologado],MATCH(tItens[[#This Row],[Produto]],tProdutos[Produto],0))),DescontoPadrao)</f>
        <v>0.35412234042553198</v>
      </c>
      <c r="M5638" s="12">
        <f>tItens[[#This Row],[Valor]]*(1-tItens[[#This Row],[Desconto]])</f>
        <v>9195.4248271276574</v>
      </c>
      <c r="N5638" t="str">
        <f>IFERROR(INDEX(tProdutos[Foco],MATCH(tItens[[#This Row],[Produto]],tProdutos[Produto],0)),"Não")</f>
        <v>Não</v>
      </c>
      <c r="O5638" t="str">
        <f>IFERROR(INDEX(tEditais[SRP],MATCH(tItens[[#This Row],[Edital]],tEditais[Edital],0)),"Não")</f>
        <v>Não</v>
      </c>
      <c r="P5638" s="4">
        <f>IF(COUNTIFS(INDEX(tItens[Edital],1):tItens[[#This Row],[Edital]],tItens[[#This Row],[Edital]],INDEX(tItens[Produto],1):tItens[[#This Row],[Produto]],tItens[[#This Row],[Produto]])=1,1,0)</f>
        <v>1</v>
      </c>
    </row>
    <row r="5639" spans="1:16" x14ac:dyDescent="0.25">
      <c r="A5639" t="s">
        <v>2041</v>
      </c>
      <c r="B5639">
        <v>96</v>
      </c>
      <c r="C5639" t="s">
        <v>8432</v>
      </c>
      <c r="D5639" t="s">
        <v>343</v>
      </c>
      <c r="E5639" s="13">
        <v>45</v>
      </c>
      <c r="F5639" s="12">
        <v>360</v>
      </c>
      <c r="G5639" t="str">
        <f>IFERROR(INDEX(tEditais[Órgão],MATCH(tItens[[#This Row],[Edital]],tEditais[Edital],0)),"")</f>
        <v>MUNICIPIO DE JACAREZINHO</v>
      </c>
      <c r="H5639" t="str">
        <f>IFERROR(INDEX(tEditais[UF],MATCH(tItens[[#This Row],[Edital]],tEditais[Edital],0)),"")</f>
        <v>PR</v>
      </c>
      <c r="I5639" s="11">
        <f>IFERROR(INDEX(tEditais[Encerramento],MATCH(tItens[[#This Row],[Edital]],tEditais[Edital],0)),"")</f>
        <v>46309.333333333336</v>
      </c>
      <c r="J5639" t="str">
        <f>IFERROR(INDEX(tProdutos[Classe],MATCH(tItens[[#This Row],[Produto]],tProdutos[Produto],0)),"produto não cadastrado")</f>
        <v>FORA</v>
      </c>
      <c r="K5639" s="12">
        <f>tItens[[#This Row],[Qtd]]*tItens[[#This Row],[Vlr unit]]</f>
        <v>16200</v>
      </c>
      <c r="L5639" s="6">
        <f>IFERROR(IF(INDEX(tProdutos[Desconto homologado],MATCH(tItens[[#This Row],[Produto]],tProdutos[Produto],0))="",DescontoPadrao,INDEX(tProdutos[Desconto homologado],MATCH(tItens[[#This Row],[Produto]],tProdutos[Produto],0))),DescontoPadrao)</f>
        <v>0.35412234042553198</v>
      </c>
      <c r="M5639" s="12">
        <f>tItens[[#This Row],[Valor]]*(1-tItens[[#This Row],[Desconto]])</f>
        <v>10463.21808510638</v>
      </c>
      <c r="N5639" t="str">
        <f>IFERROR(INDEX(tProdutos[Foco],MATCH(tItens[[#This Row],[Produto]],tProdutos[Produto],0)),"Não")</f>
        <v>Não</v>
      </c>
      <c r="O5639" t="str">
        <f>IFERROR(INDEX(tEditais[SRP],MATCH(tItens[[#This Row],[Edital]],tEditais[Edital],0)),"Não")</f>
        <v>Não</v>
      </c>
      <c r="P5639" s="4">
        <f>IF(COUNTIFS(INDEX(tItens[Edital],1):tItens[[#This Row],[Edital]],tItens[[#This Row],[Edital]],INDEX(tItens[Produto],1):tItens[[#This Row],[Produto]],tItens[[#This Row],[Produto]])=1,1,0)</f>
        <v>0</v>
      </c>
    </row>
    <row r="5640" spans="1:16" x14ac:dyDescent="0.25">
      <c r="A5640" t="s">
        <v>2041</v>
      </c>
      <c r="B5640">
        <v>97</v>
      </c>
      <c r="C5640" t="s">
        <v>8433</v>
      </c>
      <c r="D5640" t="s">
        <v>343</v>
      </c>
      <c r="E5640" s="13">
        <v>30</v>
      </c>
      <c r="F5640" s="12">
        <v>347.5</v>
      </c>
      <c r="G5640" t="str">
        <f>IFERROR(INDEX(tEditais[Órgão],MATCH(tItens[[#This Row],[Edital]],tEditais[Edital],0)),"")</f>
        <v>MUNICIPIO DE JACAREZINHO</v>
      </c>
      <c r="H5640" t="str">
        <f>IFERROR(INDEX(tEditais[UF],MATCH(tItens[[#This Row],[Edital]],tEditais[Edital],0)),"")</f>
        <v>PR</v>
      </c>
      <c r="I5640" s="11">
        <f>IFERROR(INDEX(tEditais[Encerramento],MATCH(tItens[[#This Row],[Edital]],tEditais[Edital],0)),"")</f>
        <v>46309.333333333336</v>
      </c>
      <c r="J5640" t="str">
        <f>IFERROR(INDEX(tProdutos[Classe],MATCH(tItens[[#This Row],[Produto]],tProdutos[Produto],0)),"produto não cadastrado")</f>
        <v>FORA</v>
      </c>
      <c r="K5640" s="12">
        <f>tItens[[#This Row],[Qtd]]*tItens[[#This Row],[Vlr unit]]</f>
        <v>10425</v>
      </c>
      <c r="L5640" s="6">
        <f>IFERROR(IF(INDEX(tProdutos[Desconto homologado],MATCH(tItens[[#This Row],[Produto]],tProdutos[Produto],0))="",DescontoPadrao,INDEX(tProdutos[Desconto homologado],MATCH(tItens[[#This Row],[Produto]],tProdutos[Produto],0))),DescontoPadrao)</f>
        <v>0.35412234042553198</v>
      </c>
      <c r="M5640" s="12">
        <f>tItens[[#This Row],[Valor]]*(1-tItens[[#This Row],[Desconto]])</f>
        <v>6733.2746010638284</v>
      </c>
      <c r="N5640" t="str">
        <f>IFERROR(INDEX(tProdutos[Foco],MATCH(tItens[[#This Row],[Produto]],tProdutos[Produto],0)),"Não")</f>
        <v>Não</v>
      </c>
      <c r="O5640" t="str">
        <f>IFERROR(INDEX(tEditais[SRP],MATCH(tItens[[#This Row],[Edital]],tEditais[Edital],0)),"Não")</f>
        <v>Não</v>
      </c>
      <c r="P5640" s="4">
        <f>IF(COUNTIFS(INDEX(tItens[Edital],1):tItens[[#This Row],[Edital]],tItens[[#This Row],[Edital]],INDEX(tItens[Produto],1):tItens[[#This Row],[Produto]],tItens[[#This Row],[Produto]])=1,1,0)</f>
        <v>0</v>
      </c>
    </row>
    <row r="5641" spans="1:16" x14ac:dyDescent="0.25">
      <c r="A5641" t="s">
        <v>2041</v>
      </c>
      <c r="B5641">
        <v>98</v>
      </c>
      <c r="C5641" t="s">
        <v>8434</v>
      </c>
      <c r="D5641" t="s">
        <v>313</v>
      </c>
      <c r="E5641" s="13">
        <v>105</v>
      </c>
      <c r="F5641" s="12">
        <v>23.28</v>
      </c>
      <c r="G5641" t="str">
        <f>IFERROR(INDEX(tEditais[Órgão],MATCH(tItens[[#This Row],[Edital]],tEditais[Edital],0)),"")</f>
        <v>MUNICIPIO DE JACAREZINHO</v>
      </c>
      <c r="H5641" t="str">
        <f>IFERROR(INDEX(tEditais[UF],MATCH(tItens[[#This Row],[Edital]],tEditais[Edital],0)),"")</f>
        <v>PR</v>
      </c>
      <c r="I5641" s="11">
        <f>IFERROR(INDEX(tEditais[Encerramento],MATCH(tItens[[#This Row],[Edital]],tEditais[Edital],0)),"")</f>
        <v>46309.333333333336</v>
      </c>
      <c r="J5641" t="str">
        <f>IFERROR(INDEX(tProdutos[Classe],MATCH(tItens[[#This Row],[Produto]],tProdutos[Produto],0)),"produto não cadastrado")</f>
        <v>FORA</v>
      </c>
      <c r="K5641" s="12">
        <f>tItens[[#This Row],[Qtd]]*tItens[[#This Row],[Vlr unit]]</f>
        <v>2444.4</v>
      </c>
      <c r="L5641" s="6">
        <f>IFERROR(IF(INDEX(tProdutos[Desconto homologado],MATCH(tItens[[#This Row],[Produto]],tProdutos[Produto],0))="",DescontoPadrao,INDEX(tProdutos[Desconto homologado],MATCH(tItens[[#This Row],[Produto]],tProdutos[Produto],0))),DescontoPadrao)</f>
        <v>0.35766373163696302</v>
      </c>
      <c r="M5641" s="12">
        <f>tItens[[#This Row],[Valor]]*(1-tItens[[#This Row],[Desconto]])</f>
        <v>1570.1267743866076</v>
      </c>
      <c r="N5641" t="str">
        <f>IFERROR(INDEX(tProdutos[Foco],MATCH(tItens[[#This Row],[Produto]],tProdutos[Produto],0)),"Não")</f>
        <v>Não</v>
      </c>
      <c r="O5641" t="str">
        <f>IFERROR(INDEX(tEditais[SRP],MATCH(tItens[[#This Row],[Edital]],tEditais[Edital],0)),"Não")</f>
        <v>Não</v>
      </c>
      <c r="P5641" s="4">
        <f>IF(COUNTIFS(INDEX(tItens[Edital],1):tItens[[#This Row],[Edital]],tItens[[#This Row],[Edital]],INDEX(tItens[Produto],1):tItens[[#This Row],[Produto]],tItens[[#This Row],[Produto]])=1,1,0)</f>
        <v>1</v>
      </c>
    </row>
    <row r="5642" spans="1:16" x14ac:dyDescent="0.25">
      <c r="A5642" t="s">
        <v>2041</v>
      </c>
      <c r="B5642">
        <v>99</v>
      </c>
      <c r="C5642" t="s">
        <v>8435</v>
      </c>
      <c r="D5642" t="s">
        <v>251</v>
      </c>
      <c r="E5642" s="13">
        <v>12</v>
      </c>
      <c r="F5642" s="12">
        <v>20.149999999999999</v>
      </c>
      <c r="G5642" t="str">
        <f>IFERROR(INDEX(tEditais[Órgão],MATCH(tItens[[#This Row],[Edital]],tEditais[Edital],0)),"")</f>
        <v>MUNICIPIO DE JACAREZINHO</v>
      </c>
      <c r="H5642" t="str">
        <f>IFERROR(INDEX(tEditais[UF],MATCH(tItens[[#This Row],[Edital]],tEditais[Edital],0)),"")</f>
        <v>PR</v>
      </c>
      <c r="I5642" s="11">
        <f>IFERROR(INDEX(tEditais[Encerramento],MATCH(tItens[[#This Row],[Edital]],tEditais[Edital],0)),"")</f>
        <v>46309.333333333336</v>
      </c>
      <c r="J5642" t="str">
        <f>IFERROR(INDEX(tProdutos[Classe],MATCH(tItens[[#This Row],[Produto]],tProdutos[Produto],0)),"produto não cadastrado")</f>
        <v>FORA</v>
      </c>
      <c r="K5642" s="12">
        <f>tItens[[#This Row],[Qtd]]*tItens[[#This Row],[Vlr unit]]</f>
        <v>241.79999999999998</v>
      </c>
      <c r="L5642" s="6">
        <f>IFERROR(IF(INDEX(tProdutos[Desconto homologado],MATCH(tItens[[#This Row],[Produto]],tProdutos[Produto],0))="",DescontoPadrao,INDEX(tProdutos[Desconto homologado],MATCH(tItens[[#This Row],[Produto]],tProdutos[Produto],0))),DescontoPadrao)</f>
        <v>0.36759020274436599</v>
      </c>
      <c r="M5642" s="12">
        <f>tItens[[#This Row],[Valor]]*(1-tItens[[#This Row],[Desconto]])</f>
        <v>152.91668897641227</v>
      </c>
      <c r="N5642" t="str">
        <f>IFERROR(INDEX(tProdutos[Foco],MATCH(tItens[[#This Row],[Produto]],tProdutos[Produto],0)),"Não")</f>
        <v>Não</v>
      </c>
      <c r="O5642" t="str">
        <f>IFERROR(INDEX(tEditais[SRP],MATCH(tItens[[#This Row],[Edital]],tEditais[Edital],0)),"Não")</f>
        <v>Não</v>
      </c>
      <c r="P5642" s="4">
        <f>IF(COUNTIFS(INDEX(tItens[Edital],1):tItens[[#This Row],[Edital]],tItens[[#This Row],[Edital]],INDEX(tItens[Produto],1):tItens[[#This Row],[Produto]],tItens[[#This Row],[Produto]])=1,1,0)</f>
        <v>1</v>
      </c>
    </row>
    <row r="5643" spans="1:16" x14ac:dyDescent="0.25">
      <c r="A5643" t="s">
        <v>2041</v>
      </c>
      <c r="B5643">
        <v>101</v>
      </c>
      <c r="C5643" t="s">
        <v>8436</v>
      </c>
      <c r="D5643" t="s">
        <v>313</v>
      </c>
      <c r="E5643" s="13">
        <v>1300</v>
      </c>
      <c r="F5643" s="12">
        <v>26.46</v>
      </c>
      <c r="G5643" t="str">
        <f>IFERROR(INDEX(tEditais[Órgão],MATCH(tItens[[#This Row],[Edital]],tEditais[Edital],0)),"")</f>
        <v>MUNICIPIO DE JACAREZINHO</v>
      </c>
      <c r="H5643" t="str">
        <f>IFERROR(INDEX(tEditais[UF],MATCH(tItens[[#This Row],[Edital]],tEditais[Edital],0)),"")</f>
        <v>PR</v>
      </c>
      <c r="I5643" s="11">
        <f>IFERROR(INDEX(tEditais[Encerramento],MATCH(tItens[[#This Row],[Edital]],tEditais[Edital],0)),"")</f>
        <v>46309.333333333336</v>
      </c>
      <c r="J5643" t="str">
        <f>IFERROR(INDEX(tProdutos[Classe],MATCH(tItens[[#This Row],[Produto]],tProdutos[Produto],0)),"produto não cadastrado")</f>
        <v>FORA</v>
      </c>
      <c r="K5643" s="12">
        <f>tItens[[#This Row],[Qtd]]*tItens[[#This Row],[Vlr unit]]</f>
        <v>34398</v>
      </c>
      <c r="L5643" s="6">
        <f>IFERROR(IF(INDEX(tProdutos[Desconto homologado],MATCH(tItens[[#This Row],[Produto]],tProdutos[Produto],0))="",DescontoPadrao,INDEX(tProdutos[Desconto homologado],MATCH(tItens[[#This Row],[Produto]],tProdutos[Produto],0))),DescontoPadrao)</f>
        <v>0.35766373163696302</v>
      </c>
      <c r="M5643" s="12">
        <f>tItens[[#This Row],[Valor]]*(1-tItens[[#This Row],[Desconto]])</f>
        <v>22095.082959151743</v>
      </c>
      <c r="N5643" t="str">
        <f>IFERROR(INDEX(tProdutos[Foco],MATCH(tItens[[#This Row],[Produto]],tProdutos[Produto],0)),"Não")</f>
        <v>Não</v>
      </c>
      <c r="O5643" t="str">
        <f>IFERROR(INDEX(tEditais[SRP],MATCH(tItens[[#This Row],[Edital]],tEditais[Edital],0)),"Não")</f>
        <v>Não</v>
      </c>
      <c r="P5643" s="4">
        <f>IF(COUNTIFS(INDEX(tItens[Edital],1):tItens[[#This Row],[Edital]],tItens[[#This Row],[Edital]],INDEX(tItens[Produto],1):tItens[[#This Row],[Produto]],tItens[[#This Row],[Produto]])=1,1,0)</f>
        <v>0</v>
      </c>
    </row>
    <row r="5644" spans="1:16" x14ac:dyDescent="0.25">
      <c r="A5644" t="s">
        <v>2041</v>
      </c>
      <c r="B5644">
        <v>102</v>
      </c>
      <c r="C5644" t="s">
        <v>8437</v>
      </c>
      <c r="D5644" t="s">
        <v>313</v>
      </c>
      <c r="E5644" s="13">
        <v>236</v>
      </c>
      <c r="F5644" s="12">
        <v>28.95</v>
      </c>
      <c r="G5644" t="str">
        <f>IFERROR(INDEX(tEditais[Órgão],MATCH(tItens[[#This Row],[Edital]],tEditais[Edital],0)),"")</f>
        <v>MUNICIPIO DE JACAREZINHO</v>
      </c>
      <c r="H5644" t="str">
        <f>IFERROR(INDEX(tEditais[UF],MATCH(tItens[[#This Row],[Edital]],tEditais[Edital],0)),"")</f>
        <v>PR</v>
      </c>
      <c r="I5644" s="11">
        <f>IFERROR(INDEX(tEditais[Encerramento],MATCH(tItens[[#This Row],[Edital]],tEditais[Edital],0)),"")</f>
        <v>46309.333333333336</v>
      </c>
      <c r="J5644" t="str">
        <f>IFERROR(INDEX(tProdutos[Classe],MATCH(tItens[[#This Row],[Produto]],tProdutos[Produto],0)),"produto não cadastrado")</f>
        <v>FORA</v>
      </c>
      <c r="K5644" s="12">
        <f>tItens[[#This Row],[Qtd]]*tItens[[#This Row],[Vlr unit]]</f>
        <v>6832.2</v>
      </c>
      <c r="L5644" s="6">
        <f>IFERROR(IF(INDEX(tProdutos[Desconto homologado],MATCH(tItens[[#This Row],[Produto]],tProdutos[Produto],0))="",DescontoPadrao,INDEX(tProdutos[Desconto homologado],MATCH(tItens[[#This Row],[Produto]],tProdutos[Produto],0))),DescontoPadrao)</f>
        <v>0.35766373163696302</v>
      </c>
      <c r="M5644" s="12">
        <f>tItens[[#This Row],[Valor]]*(1-tItens[[#This Row],[Desconto]])</f>
        <v>4388.5698527099412</v>
      </c>
      <c r="N5644" t="str">
        <f>IFERROR(INDEX(tProdutos[Foco],MATCH(tItens[[#This Row],[Produto]],tProdutos[Produto],0)),"Não")</f>
        <v>Não</v>
      </c>
      <c r="O5644" t="str">
        <f>IFERROR(INDEX(tEditais[SRP],MATCH(tItens[[#This Row],[Edital]],tEditais[Edital],0)),"Não")</f>
        <v>Não</v>
      </c>
      <c r="P5644" s="4">
        <f>IF(COUNTIFS(INDEX(tItens[Edital],1):tItens[[#This Row],[Edital]],tItens[[#This Row],[Edital]],INDEX(tItens[Produto],1):tItens[[#This Row],[Produto]],tItens[[#This Row],[Produto]])=1,1,0)</f>
        <v>0</v>
      </c>
    </row>
    <row r="5645" spans="1:16" x14ac:dyDescent="0.25">
      <c r="A5645" t="s">
        <v>2041</v>
      </c>
      <c r="B5645">
        <v>103</v>
      </c>
      <c r="C5645" t="s">
        <v>8438</v>
      </c>
      <c r="D5645" t="s">
        <v>313</v>
      </c>
      <c r="E5645" s="13">
        <v>3642</v>
      </c>
      <c r="F5645" s="12">
        <v>21.96</v>
      </c>
      <c r="G5645" t="str">
        <f>IFERROR(INDEX(tEditais[Órgão],MATCH(tItens[[#This Row],[Edital]],tEditais[Edital],0)),"")</f>
        <v>MUNICIPIO DE JACAREZINHO</v>
      </c>
      <c r="H5645" t="str">
        <f>IFERROR(INDEX(tEditais[UF],MATCH(tItens[[#This Row],[Edital]],tEditais[Edital],0)),"")</f>
        <v>PR</v>
      </c>
      <c r="I5645" s="11">
        <f>IFERROR(INDEX(tEditais[Encerramento],MATCH(tItens[[#This Row],[Edital]],tEditais[Edital],0)),"")</f>
        <v>46309.333333333336</v>
      </c>
      <c r="J5645" t="str">
        <f>IFERROR(INDEX(tProdutos[Classe],MATCH(tItens[[#This Row],[Produto]],tProdutos[Produto],0)),"produto não cadastrado")</f>
        <v>FORA</v>
      </c>
      <c r="K5645" s="12">
        <f>tItens[[#This Row],[Qtd]]*tItens[[#This Row],[Vlr unit]]</f>
        <v>79978.320000000007</v>
      </c>
      <c r="L5645" s="6">
        <f>IFERROR(IF(INDEX(tProdutos[Desconto homologado],MATCH(tItens[[#This Row],[Produto]],tProdutos[Produto],0))="",DescontoPadrao,INDEX(tProdutos[Desconto homologado],MATCH(tItens[[#This Row],[Produto]],tProdutos[Produto],0))),DescontoPadrao)</f>
        <v>0.35766373163696302</v>
      </c>
      <c r="M5645" s="12">
        <f>tItens[[#This Row],[Valor]]*(1-tItens[[#This Row],[Desconto]])</f>
        <v>51372.975618744851</v>
      </c>
      <c r="N5645" t="str">
        <f>IFERROR(INDEX(tProdutos[Foco],MATCH(tItens[[#This Row],[Produto]],tProdutos[Produto],0)),"Não")</f>
        <v>Não</v>
      </c>
      <c r="O5645" t="str">
        <f>IFERROR(INDEX(tEditais[SRP],MATCH(tItens[[#This Row],[Edital]],tEditais[Edital],0)),"Não")</f>
        <v>Não</v>
      </c>
      <c r="P5645" s="4">
        <f>IF(COUNTIFS(INDEX(tItens[Edital],1):tItens[[#This Row],[Edital]],tItens[[#This Row],[Edital]],INDEX(tItens[Produto],1):tItens[[#This Row],[Produto]],tItens[[#This Row],[Produto]])=1,1,0)</f>
        <v>0</v>
      </c>
    </row>
    <row r="5646" spans="1:16" x14ac:dyDescent="0.25">
      <c r="A5646" t="s">
        <v>2041</v>
      </c>
      <c r="B5646">
        <v>104</v>
      </c>
      <c r="C5646" t="s">
        <v>8439</v>
      </c>
      <c r="D5646" t="s">
        <v>251</v>
      </c>
      <c r="E5646" s="13">
        <v>2532</v>
      </c>
      <c r="F5646" s="12">
        <v>31.59</v>
      </c>
      <c r="G5646" t="str">
        <f>IFERROR(INDEX(tEditais[Órgão],MATCH(tItens[[#This Row],[Edital]],tEditais[Edital],0)),"")</f>
        <v>MUNICIPIO DE JACAREZINHO</v>
      </c>
      <c r="H5646" t="str">
        <f>IFERROR(INDEX(tEditais[UF],MATCH(tItens[[#This Row],[Edital]],tEditais[Edital],0)),"")</f>
        <v>PR</v>
      </c>
      <c r="I5646" s="11">
        <f>IFERROR(INDEX(tEditais[Encerramento],MATCH(tItens[[#This Row],[Edital]],tEditais[Edital],0)),"")</f>
        <v>46309.333333333336</v>
      </c>
      <c r="J5646" t="str">
        <f>IFERROR(INDEX(tProdutos[Classe],MATCH(tItens[[#This Row],[Produto]],tProdutos[Produto],0)),"produto não cadastrado")</f>
        <v>FORA</v>
      </c>
      <c r="K5646" s="12">
        <f>tItens[[#This Row],[Qtd]]*tItens[[#This Row],[Vlr unit]]</f>
        <v>79985.88</v>
      </c>
      <c r="L5646" s="6">
        <f>IFERROR(IF(INDEX(tProdutos[Desconto homologado],MATCH(tItens[[#This Row],[Produto]],tProdutos[Produto],0))="",DescontoPadrao,INDEX(tProdutos[Desconto homologado],MATCH(tItens[[#This Row],[Produto]],tProdutos[Produto],0))),DescontoPadrao)</f>
        <v>0.36759020274436599</v>
      </c>
      <c r="M5646" s="12">
        <f>tItens[[#This Row],[Valor]]*(1-tItens[[#This Row],[Desconto]])</f>
        <v>50583.854154113469</v>
      </c>
      <c r="N5646" t="str">
        <f>IFERROR(INDEX(tProdutos[Foco],MATCH(tItens[[#This Row],[Produto]],tProdutos[Produto],0)),"Não")</f>
        <v>Não</v>
      </c>
      <c r="O5646" t="str">
        <f>IFERROR(INDEX(tEditais[SRP],MATCH(tItens[[#This Row],[Edital]],tEditais[Edital],0)),"Não")</f>
        <v>Não</v>
      </c>
      <c r="P5646" s="4">
        <f>IF(COUNTIFS(INDEX(tItens[Edital],1):tItens[[#This Row],[Edital]],tItens[[#This Row],[Edital]],INDEX(tItens[Produto],1):tItens[[#This Row],[Produto]],tItens[[#This Row],[Produto]])=1,1,0)</f>
        <v>0</v>
      </c>
    </row>
    <row r="5647" spans="1:16" x14ac:dyDescent="0.25">
      <c r="A5647" t="s">
        <v>2041</v>
      </c>
      <c r="B5647">
        <v>109</v>
      </c>
      <c r="C5647" t="s">
        <v>8440</v>
      </c>
      <c r="D5647" t="s">
        <v>403</v>
      </c>
      <c r="E5647" s="13">
        <v>10212</v>
      </c>
      <c r="F5647" s="12">
        <v>1.9</v>
      </c>
      <c r="G5647" t="str">
        <f>IFERROR(INDEX(tEditais[Órgão],MATCH(tItens[[#This Row],[Edital]],tEditais[Edital],0)),"")</f>
        <v>MUNICIPIO DE JACAREZINHO</v>
      </c>
      <c r="H5647" t="str">
        <f>IFERROR(INDEX(tEditais[UF],MATCH(tItens[[#This Row],[Edital]],tEditais[Edital],0)),"")</f>
        <v>PR</v>
      </c>
      <c r="I5647" s="11">
        <f>IFERROR(INDEX(tEditais[Encerramento],MATCH(tItens[[#This Row],[Edital]],tEditais[Edital],0)),"")</f>
        <v>46309.333333333336</v>
      </c>
      <c r="J5647" t="str">
        <f>IFERROR(INDEX(tProdutos[Classe],MATCH(tItens[[#This Row],[Produto]],tProdutos[Produto],0)),"produto não cadastrado")</f>
        <v>FORA</v>
      </c>
      <c r="K5647" s="12">
        <f>tItens[[#This Row],[Qtd]]*tItens[[#This Row],[Vlr unit]]</f>
        <v>19402.8</v>
      </c>
      <c r="L5647" s="6">
        <f>IFERROR(IF(INDEX(tProdutos[Desconto homologado],MATCH(tItens[[#This Row],[Produto]],tProdutos[Produto],0))="",DescontoPadrao,INDEX(tProdutos[Desconto homologado],MATCH(tItens[[#This Row],[Produto]],tProdutos[Produto],0))),DescontoPadrao)</f>
        <v>0.35326086956521702</v>
      </c>
      <c r="M5647" s="12">
        <f>tItens[[#This Row],[Valor]]*(1-tItens[[#This Row],[Desconto]])</f>
        <v>12548.550000000007</v>
      </c>
      <c r="N5647" t="str">
        <f>IFERROR(INDEX(tProdutos[Foco],MATCH(tItens[[#This Row],[Produto]],tProdutos[Produto],0)),"Não")</f>
        <v>Não</v>
      </c>
      <c r="O5647" t="str">
        <f>IFERROR(INDEX(tEditais[SRP],MATCH(tItens[[#This Row],[Edital]],tEditais[Edital],0)),"Não")</f>
        <v>Não</v>
      </c>
      <c r="P5647" s="4">
        <f>IF(COUNTIFS(INDEX(tItens[Edital],1):tItens[[#This Row],[Edital]],tItens[[#This Row],[Edital]],INDEX(tItens[Produto],1):tItens[[#This Row],[Produto]],tItens[[#This Row],[Produto]])=1,1,0)</f>
        <v>1</v>
      </c>
    </row>
    <row r="5648" spans="1:16" x14ac:dyDescent="0.25">
      <c r="A5648" t="s">
        <v>2041</v>
      </c>
      <c r="B5648">
        <v>110</v>
      </c>
      <c r="C5648" t="s">
        <v>8441</v>
      </c>
      <c r="D5648" t="s">
        <v>156</v>
      </c>
      <c r="E5648" s="13">
        <v>30</v>
      </c>
      <c r="F5648" s="12">
        <v>24.28</v>
      </c>
      <c r="G5648" t="str">
        <f>IFERROR(INDEX(tEditais[Órgão],MATCH(tItens[[#This Row],[Edital]],tEditais[Edital],0)),"")</f>
        <v>MUNICIPIO DE JACAREZINHO</v>
      </c>
      <c r="H5648" t="str">
        <f>IFERROR(INDEX(tEditais[UF],MATCH(tItens[[#This Row],[Edital]],tEditais[Edital],0)),"")</f>
        <v>PR</v>
      </c>
      <c r="I5648" s="11">
        <f>IFERROR(INDEX(tEditais[Encerramento],MATCH(tItens[[#This Row],[Edital]],tEditais[Edital],0)),"")</f>
        <v>46309.333333333336</v>
      </c>
      <c r="J5648" t="str">
        <f>IFERROR(INDEX(tProdutos[Classe],MATCH(tItens[[#This Row],[Produto]],tProdutos[Produto],0)),"produto não cadastrado")</f>
        <v>DISPUTADO</v>
      </c>
      <c r="K5648" s="12">
        <f>tItens[[#This Row],[Qtd]]*tItens[[#This Row],[Vlr unit]]</f>
        <v>728.40000000000009</v>
      </c>
      <c r="L5648" s="6">
        <f>IFERROR(IF(INDEX(tProdutos[Desconto homologado],MATCH(tItens[[#This Row],[Produto]],tProdutos[Produto],0))="",DescontoPadrao,INDEX(tProdutos[Desconto homologado],MATCH(tItens[[#This Row],[Produto]],tProdutos[Produto],0))),DescontoPadrao)</f>
        <v>0.27131852489802799</v>
      </c>
      <c r="M5648" s="12">
        <f>tItens[[#This Row],[Valor]]*(1-tItens[[#This Row],[Desconto]])</f>
        <v>530.77158646427642</v>
      </c>
      <c r="N5648" t="str">
        <f>IFERROR(INDEX(tProdutos[Foco],MATCH(tItens[[#This Row],[Produto]],tProdutos[Produto],0)),"Não")</f>
        <v>Não</v>
      </c>
      <c r="O5648" t="str">
        <f>IFERROR(INDEX(tEditais[SRP],MATCH(tItens[[#This Row],[Edital]],tEditais[Edital],0)),"Não")</f>
        <v>Não</v>
      </c>
      <c r="P5648" s="4">
        <f>IF(COUNTIFS(INDEX(tItens[Edital],1):tItens[[#This Row],[Edital]],tItens[[#This Row],[Edital]],INDEX(tItens[Produto],1):tItens[[#This Row],[Produto]],tItens[[#This Row],[Produto]])=1,1,0)</f>
        <v>1</v>
      </c>
    </row>
    <row r="5649" spans="1:16" x14ac:dyDescent="0.25">
      <c r="A5649" t="s">
        <v>2041</v>
      </c>
      <c r="B5649">
        <v>125</v>
      </c>
      <c r="C5649" t="s">
        <v>8442</v>
      </c>
      <c r="D5649" t="s">
        <v>327</v>
      </c>
      <c r="E5649" s="13">
        <v>210</v>
      </c>
      <c r="F5649" s="12">
        <v>15.21</v>
      </c>
      <c r="G5649" t="str">
        <f>IFERROR(INDEX(tEditais[Órgão],MATCH(tItens[[#This Row],[Edital]],tEditais[Edital],0)),"")</f>
        <v>MUNICIPIO DE JACAREZINHO</v>
      </c>
      <c r="H5649" t="str">
        <f>IFERROR(INDEX(tEditais[UF],MATCH(tItens[[#This Row],[Edital]],tEditais[Edital],0)),"")</f>
        <v>PR</v>
      </c>
      <c r="I5649" s="11">
        <f>IFERROR(INDEX(tEditais[Encerramento],MATCH(tItens[[#This Row],[Edital]],tEditais[Edital],0)),"")</f>
        <v>46309.333333333336</v>
      </c>
      <c r="J5649" t="str">
        <f>IFERROR(INDEX(tProdutos[Classe],MATCH(tItens[[#This Row],[Produto]],tProdutos[Produto],0)),"produto não cadastrado")</f>
        <v>FORA</v>
      </c>
      <c r="K5649" s="12">
        <f>tItens[[#This Row],[Qtd]]*tItens[[#This Row],[Vlr unit]]</f>
        <v>3194.1000000000004</v>
      </c>
      <c r="L5649" s="6">
        <f>IFERROR(IF(INDEX(tProdutos[Desconto homologado],MATCH(tItens[[#This Row],[Produto]],tProdutos[Produto],0))="",DescontoPadrao,INDEX(tProdutos[Desconto homologado],MATCH(tItens[[#This Row],[Produto]],tProdutos[Produto],0))),DescontoPadrao)</f>
        <v>0.49969483918783197</v>
      </c>
      <c r="M5649" s="12">
        <f>tItens[[#This Row],[Valor]]*(1-tItens[[#This Row],[Desconto]])</f>
        <v>1598.0247141501461</v>
      </c>
      <c r="N5649" t="str">
        <f>IFERROR(INDEX(tProdutos[Foco],MATCH(tItens[[#This Row],[Produto]],tProdutos[Produto],0)),"Não")</f>
        <v>Não</v>
      </c>
      <c r="O5649" t="str">
        <f>IFERROR(INDEX(tEditais[SRP],MATCH(tItens[[#This Row],[Edital]],tEditais[Edital],0)),"Não")</f>
        <v>Não</v>
      </c>
      <c r="P5649" s="4">
        <f>IF(COUNTIFS(INDEX(tItens[Edital],1):tItens[[#This Row],[Edital]],tItens[[#This Row],[Edital]],INDEX(tItens[Produto],1):tItens[[#This Row],[Produto]],tItens[[#This Row],[Produto]])=1,1,0)</f>
        <v>1</v>
      </c>
    </row>
    <row r="5650" spans="1:16" x14ac:dyDescent="0.25">
      <c r="A5650" t="s">
        <v>2041</v>
      </c>
      <c r="B5650">
        <v>127</v>
      </c>
      <c r="C5650" t="s">
        <v>8443</v>
      </c>
      <c r="D5650" t="s">
        <v>494</v>
      </c>
      <c r="E5650" s="13">
        <v>200</v>
      </c>
      <c r="F5650" s="12">
        <v>75.97</v>
      </c>
      <c r="G5650" t="str">
        <f>IFERROR(INDEX(tEditais[Órgão],MATCH(tItens[[#This Row],[Edital]],tEditais[Edital],0)),"")</f>
        <v>MUNICIPIO DE JACAREZINHO</v>
      </c>
      <c r="H5650" t="str">
        <f>IFERROR(INDEX(tEditais[UF],MATCH(tItens[[#This Row],[Edital]],tEditais[Edital],0)),"")</f>
        <v>PR</v>
      </c>
      <c r="I5650" s="11">
        <f>IFERROR(INDEX(tEditais[Encerramento],MATCH(tItens[[#This Row],[Edital]],tEditais[Edital],0)),"")</f>
        <v>46309.333333333336</v>
      </c>
      <c r="J5650" t="str">
        <f>IFERROR(INDEX(tProdutos[Classe],MATCH(tItens[[#This Row],[Produto]],tProdutos[Produto],0)),"produto não cadastrado")</f>
        <v>FILA REBASE</v>
      </c>
      <c r="K5650" s="12">
        <f>tItens[[#This Row],[Qtd]]*tItens[[#This Row],[Vlr unit]]</f>
        <v>15194</v>
      </c>
      <c r="L5650" s="6">
        <f>IFERROR(IF(INDEX(tProdutos[Desconto homologado],MATCH(tItens[[#This Row],[Produto]],tProdutos[Produto],0))="",DescontoPadrao,INDEX(tProdutos[Desconto homologado],MATCH(tItens[[#This Row],[Produto]],tProdutos[Produto],0))),DescontoPadrao)</f>
        <v>0.253736324829619</v>
      </c>
      <c r="M5650" s="12">
        <f>tItens[[#This Row],[Valor]]*(1-tItens[[#This Row],[Desconto]])</f>
        <v>11338.73028053877</v>
      </c>
      <c r="N5650" t="str">
        <f>IFERROR(INDEX(tProdutos[Foco],MATCH(tItens[[#This Row],[Produto]],tProdutos[Produto],0)),"Não")</f>
        <v>Não</v>
      </c>
      <c r="O5650" t="str">
        <f>IFERROR(INDEX(tEditais[SRP],MATCH(tItens[[#This Row],[Edital]],tEditais[Edital],0)),"Não")</f>
        <v>Não</v>
      </c>
      <c r="P5650" s="4">
        <f>IF(COUNTIFS(INDEX(tItens[Edital],1):tItens[[#This Row],[Edital]],tItens[[#This Row],[Edital]],INDEX(tItens[Produto],1):tItens[[#This Row],[Produto]],tItens[[#This Row],[Produto]])=1,1,0)</f>
        <v>1</v>
      </c>
    </row>
    <row r="5651" spans="1:16" x14ac:dyDescent="0.25">
      <c r="A5651" t="s">
        <v>2041</v>
      </c>
      <c r="B5651">
        <v>128</v>
      </c>
      <c r="C5651" t="s">
        <v>8444</v>
      </c>
      <c r="D5651" t="s">
        <v>494</v>
      </c>
      <c r="E5651" s="13">
        <v>200</v>
      </c>
      <c r="F5651" s="12">
        <v>75</v>
      </c>
      <c r="G5651" t="str">
        <f>IFERROR(INDEX(tEditais[Órgão],MATCH(tItens[[#This Row],[Edital]],tEditais[Edital],0)),"")</f>
        <v>MUNICIPIO DE JACAREZINHO</v>
      </c>
      <c r="H5651" t="str">
        <f>IFERROR(INDEX(tEditais[UF],MATCH(tItens[[#This Row],[Edital]],tEditais[Edital],0)),"")</f>
        <v>PR</v>
      </c>
      <c r="I5651" s="11">
        <f>IFERROR(INDEX(tEditais[Encerramento],MATCH(tItens[[#This Row],[Edital]],tEditais[Edital],0)),"")</f>
        <v>46309.333333333336</v>
      </c>
      <c r="J5651" t="str">
        <f>IFERROR(INDEX(tProdutos[Classe],MATCH(tItens[[#This Row],[Produto]],tProdutos[Produto],0)),"produto não cadastrado")</f>
        <v>FILA REBASE</v>
      </c>
      <c r="K5651" s="12">
        <f>tItens[[#This Row],[Qtd]]*tItens[[#This Row],[Vlr unit]]</f>
        <v>15000</v>
      </c>
      <c r="L5651" s="6">
        <f>IFERROR(IF(INDEX(tProdutos[Desconto homologado],MATCH(tItens[[#This Row],[Produto]],tProdutos[Produto],0))="",DescontoPadrao,INDEX(tProdutos[Desconto homologado],MATCH(tItens[[#This Row],[Produto]],tProdutos[Produto],0))),DescontoPadrao)</f>
        <v>0.253736324829619</v>
      </c>
      <c r="M5651" s="12">
        <f>tItens[[#This Row],[Valor]]*(1-tItens[[#This Row],[Desconto]])</f>
        <v>11193.955127555715</v>
      </c>
      <c r="N5651" t="str">
        <f>IFERROR(INDEX(tProdutos[Foco],MATCH(tItens[[#This Row],[Produto]],tProdutos[Produto],0)),"Não")</f>
        <v>Não</v>
      </c>
      <c r="O5651" t="str">
        <f>IFERROR(INDEX(tEditais[SRP],MATCH(tItens[[#This Row],[Edital]],tEditais[Edital],0)),"Não")</f>
        <v>Não</v>
      </c>
      <c r="P5651" s="4">
        <f>IF(COUNTIFS(INDEX(tItens[Edital],1):tItens[[#This Row],[Edital]],tItens[[#This Row],[Edital]],INDEX(tItens[Produto],1):tItens[[#This Row],[Produto]],tItens[[#This Row],[Produto]])=1,1,0)</f>
        <v>0</v>
      </c>
    </row>
    <row r="5652" spans="1:16" x14ac:dyDescent="0.25">
      <c r="A5652" t="s">
        <v>2041</v>
      </c>
      <c r="B5652">
        <v>129</v>
      </c>
      <c r="C5652" t="s">
        <v>8445</v>
      </c>
      <c r="D5652" t="s">
        <v>494</v>
      </c>
      <c r="E5652" s="13">
        <v>140</v>
      </c>
      <c r="F5652" s="12">
        <v>94.93</v>
      </c>
      <c r="G5652" t="str">
        <f>IFERROR(INDEX(tEditais[Órgão],MATCH(tItens[[#This Row],[Edital]],tEditais[Edital],0)),"")</f>
        <v>MUNICIPIO DE JACAREZINHO</v>
      </c>
      <c r="H5652" t="str">
        <f>IFERROR(INDEX(tEditais[UF],MATCH(tItens[[#This Row],[Edital]],tEditais[Edital],0)),"")</f>
        <v>PR</v>
      </c>
      <c r="I5652" s="11">
        <f>IFERROR(INDEX(tEditais[Encerramento],MATCH(tItens[[#This Row],[Edital]],tEditais[Edital],0)),"")</f>
        <v>46309.333333333336</v>
      </c>
      <c r="J5652" t="str">
        <f>IFERROR(INDEX(tProdutos[Classe],MATCH(tItens[[#This Row],[Produto]],tProdutos[Produto],0)),"produto não cadastrado")</f>
        <v>FILA REBASE</v>
      </c>
      <c r="K5652" s="12">
        <f>tItens[[#This Row],[Qtd]]*tItens[[#This Row],[Vlr unit]]</f>
        <v>13290.2</v>
      </c>
      <c r="L5652" s="6">
        <f>IFERROR(IF(INDEX(tProdutos[Desconto homologado],MATCH(tItens[[#This Row],[Produto]],tProdutos[Produto],0))="",DescontoPadrao,INDEX(tProdutos[Desconto homologado],MATCH(tItens[[#This Row],[Produto]],tProdutos[Produto],0))),DescontoPadrao)</f>
        <v>0.253736324829619</v>
      </c>
      <c r="M5652" s="12">
        <f>tItens[[#This Row],[Valor]]*(1-tItens[[#This Row],[Desconto]])</f>
        <v>9917.9934957493988</v>
      </c>
      <c r="N5652" t="str">
        <f>IFERROR(INDEX(tProdutos[Foco],MATCH(tItens[[#This Row],[Produto]],tProdutos[Produto],0)),"Não")</f>
        <v>Não</v>
      </c>
      <c r="O5652" t="str">
        <f>IFERROR(INDEX(tEditais[SRP],MATCH(tItens[[#This Row],[Edital]],tEditais[Edital],0)),"Não")</f>
        <v>Não</v>
      </c>
      <c r="P5652" s="4">
        <f>IF(COUNTIFS(INDEX(tItens[Edital],1):tItens[[#This Row],[Edital]],tItens[[#This Row],[Edital]],INDEX(tItens[Produto],1):tItens[[#This Row],[Produto]],tItens[[#This Row],[Produto]])=1,1,0)</f>
        <v>0</v>
      </c>
    </row>
    <row r="5653" spans="1:16" x14ac:dyDescent="0.25">
      <c r="A5653" t="s">
        <v>2041</v>
      </c>
      <c r="B5653">
        <v>139</v>
      </c>
      <c r="C5653" t="s">
        <v>8446</v>
      </c>
      <c r="D5653" t="s">
        <v>283</v>
      </c>
      <c r="E5653" s="13">
        <v>18000</v>
      </c>
      <c r="F5653" s="12">
        <v>0.23</v>
      </c>
      <c r="G5653" t="str">
        <f>IFERROR(INDEX(tEditais[Órgão],MATCH(tItens[[#This Row],[Edital]],tEditais[Edital],0)),"")</f>
        <v>MUNICIPIO DE JACAREZINHO</v>
      </c>
      <c r="H5653" t="str">
        <f>IFERROR(INDEX(tEditais[UF],MATCH(tItens[[#This Row],[Edital]],tEditais[Edital],0)),"")</f>
        <v>PR</v>
      </c>
      <c r="I5653" s="11">
        <f>IFERROR(INDEX(tEditais[Encerramento],MATCH(tItens[[#This Row],[Edital]],tEditais[Edital],0)),"")</f>
        <v>46309.333333333336</v>
      </c>
      <c r="J5653" t="str">
        <f>IFERROR(INDEX(tProdutos[Classe],MATCH(tItens[[#This Row],[Produto]],tProdutos[Produto],0)),"produto não cadastrado")</f>
        <v>FORA</v>
      </c>
      <c r="K5653" s="12">
        <f>tItens[[#This Row],[Qtd]]*tItens[[#This Row],[Vlr unit]]</f>
        <v>4140</v>
      </c>
      <c r="L5653" s="6">
        <f>IFERROR(IF(INDEX(tProdutos[Desconto homologado],MATCH(tItens[[#This Row],[Produto]],tProdutos[Produto],0))="",DescontoPadrao,INDEX(tProdutos[Desconto homologado],MATCH(tItens[[#This Row],[Produto]],tProdutos[Produto],0))),DescontoPadrao)</f>
        <v>0.40540540540540498</v>
      </c>
      <c r="M5653" s="12">
        <f>tItens[[#This Row],[Valor]]*(1-tItens[[#This Row],[Desconto]])</f>
        <v>2461.621621621623</v>
      </c>
      <c r="N5653" t="str">
        <f>IFERROR(INDEX(tProdutos[Foco],MATCH(tItens[[#This Row],[Produto]],tProdutos[Produto],0)),"Não")</f>
        <v>Não</v>
      </c>
      <c r="O5653" t="str">
        <f>IFERROR(INDEX(tEditais[SRP],MATCH(tItens[[#This Row],[Edital]],tEditais[Edital],0)),"Não")</f>
        <v>Não</v>
      </c>
      <c r="P5653" s="4">
        <f>IF(COUNTIFS(INDEX(tItens[Edital],1):tItens[[#This Row],[Edital]],tItens[[#This Row],[Edital]],INDEX(tItens[Produto],1):tItens[[#This Row],[Produto]],tItens[[#This Row],[Produto]])=1,1,0)</f>
        <v>1</v>
      </c>
    </row>
    <row r="5654" spans="1:16" x14ac:dyDescent="0.25">
      <c r="A5654" t="s">
        <v>2041</v>
      </c>
      <c r="B5654">
        <v>140</v>
      </c>
      <c r="C5654" t="s">
        <v>8447</v>
      </c>
      <c r="D5654" t="s">
        <v>283</v>
      </c>
      <c r="E5654" s="13">
        <v>1000</v>
      </c>
      <c r="F5654" s="12">
        <v>0.22</v>
      </c>
      <c r="G5654" t="str">
        <f>IFERROR(INDEX(tEditais[Órgão],MATCH(tItens[[#This Row],[Edital]],tEditais[Edital],0)),"")</f>
        <v>MUNICIPIO DE JACAREZINHO</v>
      </c>
      <c r="H5654" t="str">
        <f>IFERROR(INDEX(tEditais[UF],MATCH(tItens[[#This Row],[Edital]],tEditais[Edital],0)),"")</f>
        <v>PR</v>
      </c>
      <c r="I5654" s="11">
        <f>IFERROR(INDEX(tEditais[Encerramento],MATCH(tItens[[#This Row],[Edital]],tEditais[Edital],0)),"")</f>
        <v>46309.333333333336</v>
      </c>
      <c r="J5654" t="str">
        <f>IFERROR(INDEX(tProdutos[Classe],MATCH(tItens[[#This Row],[Produto]],tProdutos[Produto],0)),"produto não cadastrado")</f>
        <v>FORA</v>
      </c>
      <c r="K5654" s="12">
        <f>tItens[[#This Row],[Qtd]]*tItens[[#This Row],[Vlr unit]]</f>
        <v>220</v>
      </c>
      <c r="L5654" s="6">
        <f>IFERROR(IF(INDEX(tProdutos[Desconto homologado],MATCH(tItens[[#This Row],[Produto]],tProdutos[Produto],0))="",DescontoPadrao,INDEX(tProdutos[Desconto homologado],MATCH(tItens[[#This Row],[Produto]],tProdutos[Produto],0))),DescontoPadrao)</f>
        <v>0.40540540540540498</v>
      </c>
      <c r="M5654" s="12">
        <f>tItens[[#This Row],[Valor]]*(1-tItens[[#This Row],[Desconto]])</f>
        <v>130.81081081081089</v>
      </c>
      <c r="N5654" t="str">
        <f>IFERROR(INDEX(tProdutos[Foco],MATCH(tItens[[#This Row],[Produto]],tProdutos[Produto],0)),"Não")</f>
        <v>Não</v>
      </c>
      <c r="O5654" t="str">
        <f>IFERROR(INDEX(tEditais[SRP],MATCH(tItens[[#This Row],[Edital]],tEditais[Edital],0)),"Não")</f>
        <v>Não</v>
      </c>
      <c r="P5654" s="4">
        <f>IF(COUNTIFS(INDEX(tItens[Edital],1):tItens[[#This Row],[Edital]],tItens[[#This Row],[Edital]],INDEX(tItens[Produto],1):tItens[[#This Row],[Produto]],tItens[[#This Row],[Produto]])=1,1,0)</f>
        <v>0</v>
      </c>
    </row>
    <row r="5655" spans="1:16" x14ac:dyDescent="0.25">
      <c r="A5655" t="s">
        <v>2041</v>
      </c>
      <c r="B5655">
        <v>142</v>
      </c>
      <c r="C5655" t="s">
        <v>8448</v>
      </c>
      <c r="D5655" t="s">
        <v>281</v>
      </c>
      <c r="E5655" s="13">
        <v>44000</v>
      </c>
      <c r="F5655" s="12">
        <v>0.33</v>
      </c>
      <c r="G5655" t="str">
        <f>IFERROR(INDEX(tEditais[Órgão],MATCH(tItens[[#This Row],[Edital]],tEditais[Edital],0)),"")</f>
        <v>MUNICIPIO DE JACAREZINHO</v>
      </c>
      <c r="H5655" t="str">
        <f>IFERROR(INDEX(tEditais[UF],MATCH(tItens[[#This Row],[Edital]],tEditais[Edital],0)),"")</f>
        <v>PR</v>
      </c>
      <c r="I5655" s="11">
        <f>IFERROR(INDEX(tEditais[Encerramento],MATCH(tItens[[#This Row],[Edital]],tEditais[Edital],0)),"")</f>
        <v>46309.333333333336</v>
      </c>
      <c r="J5655" t="str">
        <f>IFERROR(INDEX(tProdutos[Classe],MATCH(tItens[[#This Row],[Produto]],tProdutos[Produto],0)),"produto não cadastrado")</f>
        <v>DISPUTADO</v>
      </c>
      <c r="K5655" s="12">
        <f>tItens[[#This Row],[Qtd]]*tItens[[#This Row],[Vlr unit]]</f>
        <v>14520</v>
      </c>
      <c r="L5655" s="6">
        <f>IFERROR(IF(INDEX(tProdutos[Desconto homologado],MATCH(tItens[[#This Row],[Produto]],tProdutos[Produto],0))="",DescontoPadrao,INDEX(tProdutos[Desconto homologado],MATCH(tItens[[#This Row],[Produto]],tProdutos[Produto],0))),DescontoPadrao)</f>
        <v>0.42461538461538501</v>
      </c>
      <c r="M5655" s="12">
        <f>tItens[[#This Row],[Valor]]*(1-tItens[[#This Row],[Desconto]])</f>
        <v>8354.5846153846087</v>
      </c>
      <c r="N5655" t="str">
        <f>IFERROR(INDEX(tProdutos[Foco],MATCH(tItens[[#This Row],[Produto]],tProdutos[Produto],0)),"Não")</f>
        <v>Não</v>
      </c>
      <c r="O5655" t="str">
        <f>IFERROR(INDEX(tEditais[SRP],MATCH(tItens[[#This Row],[Edital]],tEditais[Edital],0)),"Não")</f>
        <v>Não</v>
      </c>
      <c r="P5655" s="4">
        <f>IF(COUNTIFS(INDEX(tItens[Edital],1):tItens[[#This Row],[Edital]],tItens[[#This Row],[Edital]],INDEX(tItens[Produto],1):tItens[[#This Row],[Produto]],tItens[[#This Row],[Produto]])=1,1,0)</f>
        <v>1</v>
      </c>
    </row>
    <row r="5656" spans="1:16" x14ac:dyDescent="0.25">
      <c r="A5656" t="s">
        <v>2041</v>
      </c>
      <c r="B5656">
        <v>143</v>
      </c>
      <c r="C5656" t="s">
        <v>8449</v>
      </c>
      <c r="D5656" t="s">
        <v>289</v>
      </c>
      <c r="E5656" s="13">
        <v>33000</v>
      </c>
      <c r="F5656" s="12">
        <v>0.48</v>
      </c>
      <c r="G5656" t="str">
        <f>IFERROR(INDEX(tEditais[Órgão],MATCH(tItens[[#This Row],[Edital]],tEditais[Edital],0)),"")</f>
        <v>MUNICIPIO DE JACAREZINHO</v>
      </c>
      <c r="H5656" t="str">
        <f>IFERROR(INDEX(tEditais[UF],MATCH(tItens[[#This Row],[Edital]],tEditais[Edital],0)),"")</f>
        <v>PR</v>
      </c>
      <c r="I5656" s="11">
        <f>IFERROR(INDEX(tEditais[Encerramento],MATCH(tItens[[#This Row],[Edital]],tEditais[Edital],0)),"")</f>
        <v>46309.333333333336</v>
      </c>
      <c r="J5656" t="str">
        <f>IFERROR(INDEX(tProdutos[Classe],MATCH(tItens[[#This Row],[Produto]],tProdutos[Produto],0)),"produto não cadastrado")</f>
        <v>DISPUTADO</v>
      </c>
      <c r="K5656" s="12">
        <f>tItens[[#This Row],[Qtd]]*tItens[[#This Row],[Vlr unit]]</f>
        <v>15840</v>
      </c>
      <c r="L5656" s="6">
        <f>IFERROR(IF(INDEX(tProdutos[Desconto homologado],MATCH(tItens[[#This Row],[Produto]],tProdutos[Produto],0))="",DescontoPadrao,INDEX(tProdutos[Desconto homologado],MATCH(tItens[[#This Row],[Produto]],tProdutos[Produto],0))),DescontoPadrao)</f>
        <v>0.35849056603773599</v>
      </c>
      <c r="M5656" s="12">
        <f>tItens[[#This Row],[Valor]]*(1-tItens[[#This Row],[Desconto]])</f>
        <v>10161.509433962261</v>
      </c>
      <c r="N5656" t="str">
        <f>IFERROR(INDEX(tProdutos[Foco],MATCH(tItens[[#This Row],[Produto]],tProdutos[Produto],0)),"Não")</f>
        <v>Não</v>
      </c>
      <c r="O5656" t="str">
        <f>IFERROR(INDEX(tEditais[SRP],MATCH(tItens[[#This Row],[Edital]],tEditais[Edital],0)),"Não")</f>
        <v>Não</v>
      </c>
      <c r="P5656" s="4">
        <f>IF(COUNTIFS(INDEX(tItens[Edital],1):tItens[[#This Row],[Edital]],tItens[[#This Row],[Edital]],INDEX(tItens[Produto],1):tItens[[#This Row],[Produto]],tItens[[#This Row],[Produto]])=1,1,0)</f>
        <v>1</v>
      </c>
    </row>
    <row r="5657" spans="1:16" x14ac:dyDescent="0.25">
      <c r="A5657" t="s">
        <v>2041</v>
      </c>
      <c r="B5657">
        <v>144</v>
      </c>
      <c r="C5657" t="s">
        <v>8450</v>
      </c>
      <c r="D5657" t="s">
        <v>289</v>
      </c>
      <c r="E5657" s="13">
        <v>2000</v>
      </c>
      <c r="F5657" s="12">
        <v>0.5</v>
      </c>
      <c r="G5657" t="str">
        <f>IFERROR(INDEX(tEditais[Órgão],MATCH(tItens[[#This Row],[Edital]],tEditais[Edital],0)),"")</f>
        <v>MUNICIPIO DE JACAREZINHO</v>
      </c>
      <c r="H5657" t="str">
        <f>IFERROR(INDEX(tEditais[UF],MATCH(tItens[[#This Row],[Edital]],tEditais[Edital],0)),"")</f>
        <v>PR</v>
      </c>
      <c r="I5657" s="11">
        <f>IFERROR(INDEX(tEditais[Encerramento],MATCH(tItens[[#This Row],[Edital]],tEditais[Edital],0)),"")</f>
        <v>46309.333333333336</v>
      </c>
      <c r="J5657" t="str">
        <f>IFERROR(INDEX(tProdutos[Classe],MATCH(tItens[[#This Row],[Produto]],tProdutos[Produto],0)),"produto não cadastrado")</f>
        <v>DISPUTADO</v>
      </c>
      <c r="K5657" s="12">
        <f>tItens[[#This Row],[Qtd]]*tItens[[#This Row],[Vlr unit]]</f>
        <v>1000</v>
      </c>
      <c r="L5657" s="6">
        <f>IFERROR(IF(INDEX(tProdutos[Desconto homologado],MATCH(tItens[[#This Row],[Produto]],tProdutos[Produto],0))="",DescontoPadrao,INDEX(tProdutos[Desconto homologado],MATCH(tItens[[#This Row],[Produto]],tProdutos[Produto],0))),DescontoPadrao)</f>
        <v>0.35849056603773599</v>
      </c>
      <c r="M5657" s="12">
        <f>tItens[[#This Row],[Valor]]*(1-tItens[[#This Row],[Desconto]])</f>
        <v>641.50943396226398</v>
      </c>
      <c r="N5657" t="str">
        <f>IFERROR(INDEX(tProdutos[Foco],MATCH(tItens[[#This Row],[Produto]],tProdutos[Produto],0)),"Não")</f>
        <v>Não</v>
      </c>
      <c r="O5657" t="str">
        <f>IFERROR(INDEX(tEditais[SRP],MATCH(tItens[[#This Row],[Edital]],tEditais[Edital],0)),"Não")</f>
        <v>Não</v>
      </c>
      <c r="P5657" s="4">
        <f>IF(COUNTIFS(INDEX(tItens[Edital],1):tItens[[#This Row],[Edital]],tItens[[#This Row],[Edital]],INDEX(tItens[Produto],1):tItens[[#This Row],[Produto]],tItens[[#This Row],[Produto]])=1,1,0)</f>
        <v>0</v>
      </c>
    </row>
    <row r="5658" spans="1:16" x14ac:dyDescent="0.25">
      <c r="A5658" t="s">
        <v>2041</v>
      </c>
      <c r="B5658">
        <v>145</v>
      </c>
      <c r="C5658" t="s">
        <v>8451</v>
      </c>
      <c r="D5658" t="s">
        <v>317</v>
      </c>
      <c r="E5658" s="13">
        <v>100</v>
      </c>
      <c r="F5658" s="12">
        <v>0.36</v>
      </c>
      <c r="G5658" t="str">
        <f>IFERROR(INDEX(tEditais[Órgão],MATCH(tItens[[#This Row],[Edital]],tEditais[Edital],0)),"")</f>
        <v>MUNICIPIO DE JACAREZINHO</v>
      </c>
      <c r="H5658" t="str">
        <f>IFERROR(INDEX(tEditais[UF],MATCH(tItens[[#This Row],[Edital]],tEditais[Edital],0)),"")</f>
        <v>PR</v>
      </c>
      <c r="I5658" s="11">
        <f>IFERROR(INDEX(tEditais[Encerramento],MATCH(tItens[[#This Row],[Edital]],tEditais[Edital],0)),"")</f>
        <v>46309.333333333336</v>
      </c>
      <c r="J5658" t="str">
        <f>IFERROR(INDEX(tProdutos[Classe],MATCH(tItens[[#This Row],[Produto]],tProdutos[Produto],0)),"produto não cadastrado")</f>
        <v>FORA</v>
      </c>
      <c r="K5658" s="12">
        <f>tItens[[#This Row],[Qtd]]*tItens[[#This Row],[Vlr unit]]</f>
        <v>36</v>
      </c>
      <c r="L5658" s="6">
        <f>IFERROR(IF(INDEX(tProdutos[Desconto homologado],MATCH(tItens[[#This Row],[Produto]],tProdutos[Produto],0))="",DescontoPadrao,INDEX(tProdutos[Desconto homologado],MATCH(tItens[[#This Row],[Produto]],tProdutos[Produto],0))),DescontoPadrao)</f>
        <v>0.5</v>
      </c>
      <c r="M5658" s="12">
        <f>tItens[[#This Row],[Valor]]*(1-tItens[[#This Row],[Desconto]])</f>
        <v>18</v>
      </c>
      <c r="N5658" t="str">
        <f>IFERROR(INDEX(tProdutos[Foco],MATCH(tItens[[#This Row],[Produto]],tProdutos[Produto],0)),"Não")</f>
        <v>Não</v>
      </c>
      <c r="O5658" t="str">
        <f>IFERROR(INDEX(tEditais[SRP],MATCH(tItens[[#This Row],[Edital]],tEditais[Edital],0)),"Não")</f>
        <v>Não</v>
      </c>
      <c r="P5658" s="4">
        <f>IF(COUNTIFS(INDEX(tItens[Edital],1):tItens[[#This Row],[Edital]],tItens[[#This Row],[Edital]],INDEX(tItens[Produto],1):tItens[[#This Row],[Produto]],tItens[[#This Row],[Produto]])=1,1,0)</f>
        <v>1</v>
      </c>
    </row>
    <row r="5659" spans="1:16" x14ac:dyDescent="0.25">
      <c r="A5659" t="s">
        <v>2041</v>
      </c>
      <c r="B5659">
        <v>148</v>
      </c>
      <c r="C5659" t="s">
        <v>8452</v>
      </c>
      <c r="D5659" t="s">
        <v>184</v>
      </c>
      <c r="E5659" s="13">
        <v>100</v>
      </c>
      <c r="F5659" s="12">
        <v>3.55</v>
      </c>
      <c r="G5659" t="str">
        <f>IFERROR(INDEX(tEditais[Órgão],MATCH(tItens[[#This Row],[Edital]],tEditais[Edital],0)),"")</f>
        <v>MUNICIPIO DE JACAREZINHO</v>
      </c>
      <c r="H5659" t="str">
        <f>IFERROR(INDEX(tEditais[UF],MATCH(tItens[[#This Row],[Edital]],tEditais[Edital],0)),"")</f>
        <v>PR</v>
      </c>
      <c r="I5659" s="11">
        <f>IFERROR(INDEX(tEditais[Encerramento],MATCH(tItens[[#This Row],[Edital]],tEditais[Edital],0)),"")</f>
        <v>46309.333333333336</v>
      </c>
      <c r="J5659" t="str">
        <f>IFERROR(INDEX(tProdutos[Classe],MATCH(tItens[[#This Row],[Produto]],tProdutos[Produto],0)),"produto não cadastrado")</f>
        <v>FORA</v>
      </c>
      <c r="K5659" s="12">
        <f>tItens[[#This Row],[Qtd]]*tItens[[#This Row],[Vlr unit]]</f>
        <v>355</v>
      </c>
      <c r="L5659" s="6">
        <f>IFERROR(IF(INDEX(tProdutos[Desconto homologado],MATCH(tItens[[#This Row],[Produto]],tProdutos[Produto],0))="",DescontoPadrao,INDEX(tProdutos[Desconto homologado],MATCH(tItens[[#This Row],[Produto]],tProdutos[Produto],0))),DescontoPadrao)</f>
        <v>0.363567906332742</v>
      </c>
      <c r="M5659" s="12">
        <f>tItens[[#This Row],[Valor]]*(1-tItens[[#This Row],[Desconto]])</f>
        <v>225.93339325187662</v>
      </c>
      <c r="N5659" t="str">
        <f>IFERROR(INDEX(tProdutos[Foco],MATCH(tItens[[#This Row],[Produto]],tProdutos[Produto],0)),"Não")</f>
        <v>Não</v>
      </c>
      <c r="O5659" t="str">
        <f>IFERROR(INDEX(tEditais[SRP],MATCH(tItens[[#This Row],[Edital]],tEditais[Edital],0)),"Não")</f>
        <v>Não</v>
      </c>
      <c r="P5659" s="4">
        <f>IF(COUNTIFS(INDEX(tItens[Edital],1):tItens[[#This Row],[Edital]],tItens[[#This Row],[Edital]],INDEX(tItens[Produto],1):tItens[[#This Row],[Produto]],tItens[[#This Row],[Produto]])=1,1,0)</f>
        <v>1</v>
      </c>
    </row>
    <row r="5660" spans="1:16" x14ac:dyDescent="0.25">
      <c r="A5660" t="s">
        <v>2041</v>
      </c>
      <c r="B5660">
        <v>149</v>
      </c>
      <c r="C5660" t="s">
        <v>8453</v>
      </c>
      <c r="D5660" t="s">
        <v>184</v>
      </c>
      <c r="E5660" s="13">
        <v>300</v>
      </c>
      <c r="F5660" s="12">
        <v>3.35</v>
      </c>
      <c r="G5660" t="str">
        <f>IFERROR(INDEX(tEditais[Órgão],MATCH(tItens[[#This Row],[Edital]],tEditais[Edital],0)),"")</f>
        <v>MUNICIPIO DE JACAREZINHO</v>
      </c>
      <c r="H5660" t="str">
        <f>IFERROR(INDEX(tEditais[UF],MATCH(tItens[[#This Row],[Edital]],tEditais[Edital],0)),"")</f>
        <v>PR</v>
      </c>
      <c r="I5660" s="11">
        <f>IFERROR(INDEX(tEditais[Encerramento],MATCH(tItens[[#This Row],[Edital]],tEditais[Edital],0)),"")</f>
        <v>46309.333333333336</v>
      </c>
      <c r="J5660" t="str">
        <f>IFERROR(INDEX(tProdutos[Classe],MATCH(tItens[[#This Row],[Produto]],tProdutos[Produto],0)),"produto não cadastrado")</f>
        <v>FORA</v>
      </c>
      <c r="K5660" s="12">
        <f>tItens[[#This Row],[Qtd]]*tItens[[#This Row],[Vlr unit]]</f>
        <v>1005</v>
      </c>
      <c r="L5660" s="6">
        <f>IFERROR(IF(INDEX(tProdutos[Desconto homologado],MATCH(tItens[[#This Row],[Produto]],tProdutos[Produto],0))="",DescontoPadrao,INDEX(tProdutos[Desconto homologado],MATCH(tItens[[#This Row],[Produto]],tProdutos[Produto],0))),DescontoPadrao)</f>
        <v>0.363567906332742</v>
      </c>
      <c r="M5660" s="12">
        <f>tItens[[#This Row],[Valor]]*(1-tItens[[#This Row],[Desconto]])</f>
        <v>639.61425413559436</v>
      </c>
      <c r="N5660" t="str">
        <f>IFERROR(INDEX(tProdutos[Foco],MATCH(tItens[[#This Row],[Produto]],tProdutos[Produto],0)),"Não")</f>
        <v>Não</v>
      </c>
      <c r="O5660" t="str">
        <f>IFERROR(INDEX(tEditais[SRP],MATCH(tItens[[#This Row],[Edital]],tEditais[Edital],0)),"Não")</f>
        <v>Não</v>
      </c>
      <c r="P5660" s="4">
        <f>IF(COUNTIFS(INDEX(tItens[Edital],1):tItens[[#This Row],[Edital]],tItens[[#This Row],[Edital]],INDEX(tItens[Produto],1):tItens[[#This Row],[Produto]],tItens[[#This Row],[Produto]])=1,1,0)</f>
        <v>0</v>
      </c>
    </row>
    <row r="5661" spans="1:16" x14ac:dyDescent="0.25">
      <c r="A5661" t="s">
        <v>2041</v>
      </c>
      <c r="B5661">
        <v>150</v>
      </c>
      <c r="C5661" t="s">
        <v>8454</v>
      </c>
      <c r="D5661" t="s">
        <v>184</v>
      </c>
      <c r="E5661" s="13">
        <v>300</v>
      </c>
      <c r="F5661" s="12">
        <v>3.57</v>
      </c>
      <c r="G5661" t="str">
        <f>IFERROR(INDEX(tEditais[Órgão],MATCH(tItens[[#This Row],[Edital]],tEditais[Edital],0)),"")</f>
        <v>MUNICIPIO DE JACAREZINHO</v>
      </c>
      <c r="H5661" t="str">
        <f>IFERROR(INDEX(tEditais[UF],MATCH(tItens[[#This Row],[Edital]],tEditais[Edital],0)),"")</f>
        <v>PR</v>
      </c>
      <c r="I5661" s="11">
        <f>IFERROR(INDEX(tEditais[Encerramento],MATCH(tItens[[#This Row],[Edital]],tEditais[Edital],0)),"")</f>
        <v>46309.333333333336</v>
      </c>
      <c r="J5661" t="str">
        <f>IFERROR(INDEX(tProdutos[Classe],MATCH(tItens[[#This Row],[Produto]],tProdutos[Produto],0)),"produto não cadastrado")</f>
        <v>FORA</v>
      </c>
      <c r="K5661" s="12">
        <f>tItens[[#This Row],[Qtd]]*tItens[[#This Row],[Vlr unit]]</f>
        <v>1071</v>
      </c>
      <c r="L5661" s="6">
        <f>IFERROR(IF(INDEX(tProdutos[Desconto homologado],MATCH(tItens[[#This Row],[Produto]],tProdutos[Produto],0))="",DescontoPadrao,INDEX(tProdutos[Desconto homologado],MATCH(tItens[[#This Row],[Produto]],tProdutos[Produto],0))),DescontoPadrao)</f>
        <v>0.363567906332742</v>
      </c>
      <c r="M5661" s="12">
        <f>tItens[[#This Row],[Valor]]*(1-tItens[[#This Row],[Desconto]])</f>
        <v>681.61877231763333</v>
      </c>
      <c r="N5661" t="str">
        <f>IFERROR(INDEX(tProdutos[Foco],MATCH(tItens[[#This Row],[Produto]],tProdutos[Produto],0)),"Não")</f>
        <v>Não</v>
      </c>
      <c r="O5661" t="str">
        <f>IFERROR(INDEX(tEditais[SRP],MATCH(tItens[[#This Row],[Edital]],tEditais[Edital],0)),"Não")</f>
        <v>Não</v>
      </c>
      <c r="P5661" s="4">
        <f>IF(COUNTIFS(INDEX(tItens[Edital],1):tItens[[#This Row],[Edital]],tItens[[#This Row],[Edital]],INDEX(tItens[Produto],1):tItens[[#This Row],[Produto]],tItens[[#This Row],[Produto]])=1,1,0)</f>
        <v>0</v>
      </c>
    </row>
    <row r="5662" spans="1:16" x14ac:dyDescent="0.25">
      <c r="A5662" t="s">
        <v>2041</v>
      </c>
      <c r="B5662">
        <v>151</v>
      </c>
      <c r="C5662" t="s">
        <v>8455</v>
      </c>
      <c r="D5662" t="s">
        <v>184</v>
      </c>
      <c r="E5662" s="13">
        <v>300</v>
      </c>
      <c r="F5662" s="12">
        <v>6</v>
      </c>
      <c r="G5662" t="str">
        <f>IFERROR(INDEX(tEditais[Órgão],MATCH(tItens[[#This Row],[Edital]],tEditais[Edital],0)),"")</f>
        <v>MUNICIPIO DE JACAREZINHO</v>
      </c>
      <c r="H5662" t="str">
        <f>IFERROR(INDEX(tEditais[UF],MATCH(tItens[[#This Row],[Edital]],tEditais[Edital],0)),"")</f>
        <v>PR</v>
      </c>
      <c r="I5662" s="11">
        <f>IFERROR(INDEX(tEditais[Encerramento],MATCH(tItens[[#This Row],[Edital]],tEditais[Edital],0)),"")</f>
        <v>46309.333333333336</v>
      </c>
      <c r="J5662" t="str">
        <f>IFERROR(INDEX(tProdutos[Classe],MATCH(tItens[[#This Row],[Produto]],tProdutos[Produto],0)),"produto não cadastrado")</f>
        <v>FORA</v>
      </c>
      <c r="K5662" s="12">
        <f>tItens[[#This Row],[Qtd]]*tItens[[#This Row],[Vlr unit]]</f>
        <v>1800</v>
      </c>
      <c r="L5662" s="6">
        <f>IFERROR(IF(INDEX(tProdutos[Desconto homologado],MATCH(tItens[[#This Row],[Produto]],tProdutos[Produto],0))="",DescontoPadrao,INDEX(tProdutos[Desconto homologado],MATCH(tItens[[#This Row],[Produto]],tProdutos[Produto],0))),DescontoPadrao)</f>
        <v>0.363567906332742</v>
      </c>
      <c r="M5662" s="12">
        <f>tItens[[#This Row],[Valor]]*(1-tItens[[#This Row],[Desconto]])</f>
        <v>1145.5777686010645</v>
      </c>
      <c r="N5662" t="str">
        <f>IFERROR(INDEX(tProdutos[Foco],MATCH(tItens[[#This Row],[Produto]],tProdutos[Produto],0)),"Não")</f>
        <v>Não</v>
      </c>
      <c r="O5662" t="str">
        <f>IFERROR(INDEX(tEditais[SRP],MATCH(tItens[[#This Row],[Edital]],tEditais[Edital],0)),"Não")</f>
        <v>Não</v>
      </c>
      <c r="P5662" s="4">
        <f>IF(COUNTIFS(INDEX(tItens[Edital],1):tItens[[#This Row],[Edital]],tItens[[#This Row],[Edital]],INDEX(tItens[Produto],1):tItens[[#This Row],[Produto]],tItens[[#This Row],[Produto]])=1,1,0)</f>
        <v>0</v>
      </c>
    </row>
    <row r="5663" spans="1:16" x14ac:dyDescent="0.25">
      <c r="A5663" t="s">
        <v>2041</v>
      </c>
      <c r="B5663">
        <v>153</v>
      </c>
      <c r="C5663" t="s">
        <v>8456</v>
      </c>
      <c r="D5663" t="s">
        <v>110</v>
      </c>
      <c r="E5663" s="13">
        <v>100</v>
      </c>
      <c r="F5663" s="12">
        <v>4.28</v>
      </c>
      <c r="G5663" t="str">
        <f>IFERROR(INDEX(tEditais[Órgão],MATCH(tItens[[#This Row],[Edital]],tEditais[Edital],0)),"")</f>
        <v>MUNICIPIO DE JACAREZINHO</v>
      </c>
      <c r="H5663" t="str">
        <f>IFERROR(INDEX(tEditais[UF],MATCH(tItens[[#This Row],[Edital]],tEditais[Edital],0)),"")</f>
        <v>PR</v>
      </c>
      <c r="I5663" s="11">
        <f>IFERROR(INDEX(tEditais[Encerramento],MATCH(tItens[[#This Row],[Edital]],tEditais[Edital],0)),"")</f>
        <v>46309.333333333336</v>
      </c>
      <c r="J5663" t="str">
        <f>IFERROR(INDEX(tProdutos[Classe],MATCH(tItens[[#This Row],[Produto]],tProdutos[Produto],0)),"produto não cadastrado")</f>
        <v>NÚCLEO</v>
      </c>
      <c r="K5663" s="12">
        <f>tItens[[#This Row],[Qtd]]*tItens[[#This Row],[Vlr unit]]</f>
        <v>428</v>
      </c>
      <c r="L5663" s="6">
        <f>IFERROR(IF(INDEX(tProdutos[Desconto homologado],MATCH(tItens[[#This Row],[Produto]],tProdutos[Produto],0))="",DescontoPadrao,INDEX(tProdutos[Desconto homologado],MATCH(tItens[[#This Row],[Produto]],tProdutos[Produto],0))),DescontoPadrao)</f>
        <v>0.30410958904109597</v>
      </c>
      <c r="M5663" s="12">
        <f>tItens[[#This Row],[Valor]]*(1-tItens[[#This Row],[Desconto]])</f>
        <v>297.84109589041094</v>
      </c>
      <c r="N5663" t="str">
        <f>IFERROR(INDEX(tProdutos[Foco],MATCH(tItens[[#This Row],[Produto]],tProdutos[Produto],0)),"Não")</f>
        <v>Não</v>
      </c>
      <c r="O5663" t="str">
        <f>IFERROR(INDEX(tEditais[SRP],MATCH(tItens[[#This Row],[Edital]],tEditais[Edital],0)),"Não")</f>
        <v>Não</v>
      </c>
      <c r="P5663" s="4">
        <f>IF(COUNTIFS(INDEX(tItens[Edital],1):tItens[[#This Row],[Edital]],tItens[[#This Row],[Edital]],INDEX(tItens[Produto],1):tItens[[#This Row],[Produto]],tItens[[#This Row],[Produto]])=1,1,0)</f>
        <v>1</v>
      </c>
    </row>
    <row r="5664" spans="1:16" x14ac:dyDescent="0.25">
      <c r="A5664" t="s">
        <v>2041</v>
      </c>
      <c r="B5664">
        <v>154</v>
      </c>
      <c r="C5664" t="s">
        <v>8457</v>
      </c>
      <c r="D5664" t="s">
        <v>110</v>
      </c>
      <c r="E5664" s="13">
        <v>100</v>
      </c>
      <c r="F5664" s="12">
        <v>3.64</v>
      </c>
      <c r="G5664" t="str">
        <f>IFERROR(INDEX(tEditais[Órgão],MATCH(tItens[[#This Row],[Edital]],tEditais[Edital],0)),"")</f>
        <v>MUNICIPIO DE JACAREZINHO</v>
      </c>
      <c r="H5664" t="str">
        <f>IFERROR(INDEX(tEditais[UF],MATCH(tItens[[#This Row],[Edital]],tEditais[Edital],0)),"")</f>
        <v>PR</v>
      </c>
      <c r="I5664" s="11">
        <f>IFERROR(INDEX(tEditais[Encerramento],MATCH(tItens[[#This Row],[Edital]],tEditais[Edital],0)),"")</f>
        <v>46309.333333333336</v>
      </c>
      <c r="J5664" t="str">
        <f>IFERROR(INDEX(tProdutos[Classe],MATCH(tItens[[#This Row],[Produto]],tProdutos[Produto],0)),"produto não cadastrado")</f>
        <v>NÚCLEO</v>
      </c>
      <c r="K5664" s="12">
        <f>tItens[[#This Row],[Qtd]]*tItens[[#This Row],[Vlr unit]]</f>
        <v>364</v>
      </c>
      <c r="L5664" s="6">
        <f>IFERROR(IF(INDEX(tProdutos[Desconto homologado],MATCH(tItens[[#This Row],[Produto]],tProdutos[Produto],0))="",DescontoPadrao,INDEX(tProdutos[Desconto homologado],MATCH(tItens[[#This Row],[Produto]],tProdutos[Produto],0))),DescontoPadrao)</f>
        <v>0.30410958904109597</v>
      </c>
      <c r="M5664" s="12">
        <f>tItens[[#This Row],[Valor]]*(1-tItens[[#This Row],[Desconto]])</f>
        <v>253.30410958904108</v>
      </c>
      <c r="N5664" t="str">
        <f>IFERROR(INDEX(tProdutos[Foco],MATCH(tItens[[#This Row],[Produto]],tProdutos[Produto],0)),"Não")</f>
        <v>Não</v>
      </c>
      <c r="O5664" t="str">
        <f>IFERROR(INDEX(tEditais[SRP],MATCH(tItens[[#This Row],[Edital]],tEditais[Edital],0)),"Não")</f>
        <v>Não</v>
      </c>
      <c r="P5664" s="4">
        <f>IF(COUNTIFS(INDEX(tItens[Edital],1):tItens[[#This Row],[Edital]],tItens[[#This Row],[Edital]],INDEX(tItens[Produto],1):tItens[[#This Row],[Produto]],tItens[[#This Row],[Produto]])=1,1,0)</f>
        <v>0</v>
      </c>
    </row>
    <row r="5665" spans="1:16" x14ac:dyDescent="0.25">
      <c r="A5665" t="s">
        <v>2041</v>
      </c>
      <c r="B5665">
        <v>158</v>
      </c>
      <c r="C5665" t="s">
        <v>8458</v>
      </c>
      <c r="D5665" t="s">
        <v>120</v>
      </c>
      <c r="E5665" s="13">
        <v>600</v>
      </c>
      <c r="F5665" s="12">
        <v>2.13</v>
      </c>
      <c r="G5665" t="str">
        <f>IFERROR(INDEX(tEditais[Órgão],MATCH(tItens[[#This Row],[Edital]],tEditais[Edital],0)),"")</f>
        <v>MUNICIPIO DE JACAREZINHO</v>
      </c>
      <c r="H5665" t="str">
        <f>IFERROR(INDEX(tEditais[UF],MATCH(tItens[[#This Row],[Edital]],tEditais[Edital],0)),"")</f>
        <v>PR</v>
      </c>
      <c r="I5665" s="11">
        <f>IFERROR(INDEX(tEditais[Encerramento],MATCH(tItens[[#This Row],[Edital]],tEditais[Edital],0)),"")</f>
        <v>46309.333333333336</v>
      </c>
      <c r="J5665" t="str">
        <f>IFERROR(INDEX(tProdutos[Classe],MATCH(tItens[[#This Row],[Produto]],tProdutos[Produto],0)),"produto não cadastrado")</f>
        <v>DISPUTADO</v>
      </c>
      <c r="K5665" s="12">
        <f>tItens[[#This Row],[Qtd]]*tItens[[#This Row],[Vlr unit]]</f>
        <v>1278</v>
      </c>
      <c r="L5665" s="6">
        <f>IFERROR(IF(INDEX(tProdutos[Desconto homologado],MATCH(tItens[[#This Row],[Produto]],tProdutos[Produto],0))="",DescontoPadrao,INDEX(tProdutos[Desconto homologado],MATCH(tItens[[#This Row],[Produto]],tProdutos[Produto],0))),DescontoPadrao)</f>
        <v>0.40909090909090901</v>
      </c>
      <c r="M5665" s="12">
        <f>tItens[[#This Row],[Valor]]*(1-tItens[[#This Row],[Desconto]])</f>
        <v>755.18181818181836</v>
      </c>
      <c r="N5665" t="str">
        <f>IFERROR(INDEX(tProdutos[Foco],MATCH(tItens[[#This Row],[Produto]],tProdutos[Produto],0)),"Não")</f>
        <v>Não</v>
      </c>
      <c r="O5665" t="str">
        <f>IFERROR(INDEX(tEditais[SRP],MATCH(tItens[[#This Row],[Edital]],tEditais[Edital],0)),"Não")</f>
        <v>Não</v>
      </c>
      <c r="P5665" s="4">
        <f>IF(COUNTIFS(INDEX(tItens[Edital],1):tItens[[#This Row],[Edital]],tItens[[#This Row],[Edital]],INDEX(tItens[Produto],1):tItens[[#This Row],[Produto]],tItens[[#This Row],[Produto]])=1,1,0)</f>
        <v>1</v>
      </c>
    </row>
    <row r="5666" spans="1:16" x14ac:dyDescent="0.25">
      <c r="A5666" t="s">
        <v>2041</v>
      </c>
      <c r="B5666">
        <v>159</v>
      </c>
      <c r="C5666" t="s">
        <v>8459</v>
      </c>
      <c r="D5666" t="s">
        <v>120</v>
      </c>
      <c r="E5666" s="13">
        <v>600</v>
      </c>
      <c r="F5666" s="12">
        <v>2.41</v>
      </c>
      <c r="G5666" t="str">
        <f>IFERROR(INDEX(tEditais[Órgão],MATCH(tItens[[#This Row],[Edital]],tEditais[Edital],0)),"")</f>
        <v>MUNICIPIO DE JACAREZINHO</v>
      </c>
      <c r="H5666" t="str">
        <f>IFERROR(INDEX(tEditais[UF],MATCH(tItens[[#This Row],[Edital]],tEditais[Edital],0)),"")</f>
        <v>PR</v>
      </c>
      <c r="I5666" s="11">
        <f>IFERROR(INDEX(tEditais[Encerramento],MATCH(tItens[[#This Row],[Edital]],tEditais[Edital],0)),"")</f>
        <v>46309.333333333336</v>
      </c>
      <c r="J5666" t="str">
        <f>IFERROR(INDEX(tProdutos[Classe],MATCH(tItens[[#This Row],[Produto]],tProdutos[Produto],0)),"produto não cadastrado")</f>
        <v>DISPUTADO</v>
      </c>
      <c r="K5666" s="12">
        <f>tItens[[#This Row],[Qtd]]*tItens[[#This Row],[Vlr unit]]</f>
        <v>1446</v>
      </c>
      <c r="L5666" s="6">
        <f>IFERROR(IF(INDEX(tProdutos[Desconto homologado],MATCH(tItens[[#This Row],[Produto]],tProdutos[Produto],0))="",DescontoPadrao,INDEX(tProdutos[Desconto homologado],MATCH(tItens[[#This Row],[Produto]],tProdutos[Produto],0))),DescontoPadrao)</f>
        <v>0.40909090909090901</v>
      </c>
      <c r="M5666" s="12">
        <f>tItens[[#This Row],[Valor]]*(1-tItens[[#This Row],[Desconto]])</f>
        <v>854.45454545454561</v>
      </c>
      <c r="N5666" t="str">
        <f>IFERROR(INDEX(tProdutos[Foco],MATCH(tItens[[#This Row],[Produto]],tProdutos[Produto],0)),"Não")</f>
        <v>Não</v>
      </c>
      <c r="O5666" t="str">
        <f>IFERROR(INDEX(tEditais[SRP],MATCH(tItens[[#This Row],[Edital]],tEditais[Edital],0)),"Não")</f>
        <v>Não</v>
      </c>
      <c r="P5666" s="4">
        <f>IF(COUNTIFS(INDEX(tItens[Edital],1):tItens[[#This Row],[Edital]],tItens[[#This Row],[Edital]],INDEX(tItens[Produto],1):tItens[[#This Row],[Produto]],tItens[[#This Row],[Produto]])=1,1,0)</f>
        <v>0</v>
      </c>
    </row>
    <row r="5667" spans="1:16" x14ac:dyDescent="0.25">
      <c r="A5667" t="s">
        <v>2041</v>
      </c>
      <c r="B5667">
        <v>160</v>
      </c>
      <c r="C5667" t="s">
        <v>8460</v>
      </c>
      <c r="D5667" t="s">
        <v>120</v>
      </c>
      <c r="E5667" s="13">
        <v>2000</v>
      </c>
      <c r="F5667" s="12">
        <v>1.67</v>
      </c>
      <c r="G5667" t="str">
        <f>IFERROR(INDEX(tEditais[Órgão],MATCH(tItens[[#This Row],[Edital]],tEditais[Edital],0)),"")</f>
        <v>MUNICIPIO DE JACAREZINHO</v>
      </c>
      <c r="H5667" t="str">
        <f>IFERROR(INDEX(tEditais[UF],MATCH(tItens[[#This Row],[Edital]],tEditais[Edital],0)),"")</f>
        <v>PR</v>
      </c>
      <c r="I5667" s="11">
        <f>IFERROR(INDEX(tEditais[Encerramento],MATCH(tItens[[#This Row],[Edital]],tEditais[Edital],0)),"")</f>
        <v>46309.333333333336</v>
      </c>
      <c r="J5667" t="str">
        <f>IFERROR(INDEX(tProdutos[Classe],MATCH(tItens[[#This Row],[Produto]],tProdutos[Produto],0)),"produto não cadastrado")</f>
        <v>DISPUTADO</v>
      </c>
      <c r="K5667" s="12">
        <f>tItens[[#This Row],[Qtd]]*tItens[[#This Row],[Vlr unit]]</f>
        <v>3340</v>
      </c>
      <c r="L5667" s="6">
        <f>IFERROR(IF(INDEX(tProdutos[Desconto homologado],MATCH(tItens[[#This Row],[Produto]],tProdutos[Produto],0))="",DescontoPadrao,INDEX(tProdutos[Desconto homologado],MATCH(tItens[[#This Row],[Produto]],tProdutos[Produto],0))),DescontoPadrao)</f>
        <v>0.40909090909090901</v>
      </c>
      <c r="M5667" s="12">
        <f>tItens[[#This Row],[Valor]]*(1-tItens[[#This Row],[Desconto]])</f>
        <v>1973.6363636363642</v>
      </c>
      <c r="N5667" t="str">
        <f>IFERROR(INDEX(tProdutos[Foco],MATCH(tItens[[#This Row],[Produto]],tProdutos[Produto],0)),"Não")</f>
        <v>Não</v>
      </c>
      <c r="O5667" t="str">
        <f>IFERROR(INDEX(tEditais[SRP],MATCH(tItens[[#This Row],[Edital]],tEditais[Edital],0)),"Não")</f>
        <v>Não</v>
      </c>
      <c r="P5667" s="4">
        <f>IF(COUNTIFS(INDEX(tItens[Edital],1):tItens[[#This Row],[Edital]],tItens[[#This Row],[Edital]],INDEX(tItens[Produto],1):tItens[[#This Row],[Produto]],tItens[[#This Row],[Produto]])=1,1,0)</f>
        <v>0</v>
      </c>
    </row>
    <row r="5668" spans="1:16" x14ac:dyDescent="0.25">
      <c r="A5668" t="s">
        <v>2041</v>
      </c>
      <c r="B5668">
        <v>161</v>
      </c>
      <c r="C5668" t="s">
        <v>8461</v>
      </c>
      <c r="D5668" t="s">
        <v>120</v>
      </c>
      <c r="E5668" s="13">
        <v>2000</v>
      </c>
      <c r="F5668" s="12">
        <v>2.17</v>
      </c>
      <c r="G5668" t="str">
        <f>IFERROR(INDEX(tEditais[Órgão],MATCH(tItens[[#This Row],[Edital]],tEditais[Edital],0)),"")</f>
        <v>MUNICIPIO DE JACAREZINHO</v>
      </c>
      <c r="H5668" t="str">
        <f>IFERROR(INDEX(tEditais[UF],MATCH(tItens[[#This Row],[Edital]],tEditais[Edital],0)),"")</f>
        <v>PR</v>
      </c>
      <c r="I5668" s="11">
        <f>IFERROR(INDEX(tEditais[Encerramento],MATCH(tItens[[#This Row],[Edital]],tEditais[Edital],0)),"")</f>
        <v>46309.333333333336</v>
      </c>
      <c r="J5668" t="str">
        <f>IFERROR(INDEX(tProdutos[Classe],MATCH(tItens[[#This Row],[Produto]],tProdutos[Produto],0)),"produto não cadastrado")</f>
        <v>DISPUTADO</v>
      </c>
      <c r="K5668" s="12">
        <f>tItens[[#This Row],[Qtd]]*tItens[[#This Row],[Vlr unit]]</f>
        <v>4340</v>
      </c>
      <c r="L5668" s="6">
        <f>IFERROR(IF(INDEX(tProdutos[Desconto homologado],MATCH(tItens[[#This Row],[Produto]],tProdutos[Produto],0))="",DescontoPadrao,INDEX(tProdutos[Desconto homologado],MATCH(tItens[[#This Row],[Produto]],tProdutos[Produto],0))),DescontoPadrao)</f>
        <v>0.40909090909090901</v>
      </c>
      <c r="M5668" s="12">
        <f>tItens[[#This Row],[Valor]]*(1-tItens[[#This Row],[Desconto]])</f>
        <v>2564.545454545455</v>
      </c>
      <c r="N5668" t="str">
        <f>IFERROR(INDEX(tProdutos[Foco],MATCH(tItens[[#This Row],[Produto]],tProdutos[Produto],0)),"Não")</f>
        <v>Não</v>
      </c>
      <c r="O5668" t="str">
        <f>IFERROR(INDEX(tEditais[SRP],MATCH(tItens[[#This Row],[Edital]],tEditais[Edital],0)),"Não")</f>
        <v>Não</v>
      </c>
      <c r="P5668" s="4">
        <f>IF(COUNTIFS(INDEX(tItens[Edital],1):tItens[[#This Row],[Edital]],tItens[[#This Row],[Edital]],INDEX(tItens[Produto],1):tItens[[#This Row],[Produto]],tItens[[#This Row],[Produto]])=1,1,0)</f>
        <v>0</v>
      </c>
    </row>
    <row r="5669" spans="1:16" x14ac:dyDescent="0.25">
      <c r="A5669" t="s">
        <v>2041</v>
      </c>
      <c r="B5669">
        <v>175</v>
      </c>
      <c r="C5669" t="s">
        <v>8462</v>
      </c>
      <c r="D5669" t="s">
        <v>267</v>
      </c>
      <c r="E5669" s="13">
        <v>3030</v>
      </c>
      <c r="F5669" s="12">
        <v>12.24</v>
      </c>
      <c r="G5669" t="str">
        <f>IFERROR(INDEX(tEditais[Órgão],MATCH(tItens[[#This Row],[Edital]],tEditais[Edital],0)),"")</f>
        <v>MUNICIPIO DE JACAREZINHO</v>
      </c>
      <c r="H5669" t="str">
        <f>IFERROR(INDEX(tEditais[UF],MATCH(tItens[[#This Row],[Edital]],tEditais[Edital],0)),"")</f>
        <v>PR</v>
      </c>
      <c r="I5669" s="11">
        <f>IFERROR(INDEX(tEditais[Encerramento],MATCH(tItens[[#This Row],[Edital]],tEditais[Edital],0)),"")</f>
        <v>46309.333333333336</v>
      </c>
      <c r="J5669" t="str">
        <f>IFERROR(INDEX(tProdutos[Classe],MATCH(tItens[[#This Row],[Produto]],tProdutos[Produto],0)),"produto não cadastrado")</f>
        <v>FORA</v>
      </c>
      <c r="K5669" s="12">
        <f>tItens[[#This Row],[Qtd]]*tItens[[#This Row],[Vlr unit]]</f>
        <v>37087.199999999997</v>
      </c>
      <c r="L5669" s="6">
        <f>IFERROR(IF(INDEX(tProdutos[Desconto homologado],MATCH(tItens[[#This Row],[Produto]],tProdutos[Produto],0))="",DescontoPadrao,INDEX(tProdutos[Desconto homologado],MATCH(tItens[[#This Row],[Produto]],tProdutos[Produto],0))),DescontoPadrao)</f>
        <v>0.19963672657401599</v>
      </c>
      <c r="M5669" s="12">
        <f>tItens[[#This Row],[Valor]]*(1-tItens[[#This Row],[Desconto]])</f>
        <v>29683.232794204152</v>
      </c>
      <c r="N5669" t="str">
        <f>IFERROR(INDEX(tProdutos[Foco],MATCH(tItens[[#This Row],[Produto]],tProdutos[Produto],0)),"Não")</f>
        <v>Não</v>
      </c>
      <c r="O5669" t="str">
        <f>IFERROR(INDEX(tEditais[SRP],MATCH(tItens[[#This Row],[Edital]],tEditais[Edital],0)),"Não")</f>
        <v>Não</v>
      </c>
      <c r="P5669" s="4">
        <f>IF(COUNTIFS(INDEX(tItens[Edital],1):tItens[[#This Row],[Edital]],tItens[[#This Row],[Edital]],INDEX(tItens[Produto],1):tItens[[#This Row],[Produto]],tItens[[#This Row],[Produto]])=1,1,0)</f>
        <v>0</v>
      </c>
    </row>
    <row r="5670" spans="1:16" x14ac:dyDescent="0.25">
      <c r="A5670" t="s">
        <v>2041</v>
      </c>
      <c r="B5670">
        <v>177</v>
      </c>
      <c r="C5670" t="s">
        <v>8463</v>
      </c>
      <c r="D5670" t="s">
        <v>114</v>
      </c>
      <c r="E5670" s="13">
        <v>690</v>
      </c>
      <c r="F5670" s="12">
        <v>18.39</v>
      </c>
      <c r="G5670" t="str">
        <f>IFERROR(INDEX(tEditais[Órgão],MATCH(tItens[[#This Row],[Edital]],tEditais[Edital],0)),"")</f>
        <v>MUNICIPIO DE JACAREZINHO</v>
      </c>
      <c r="H5670" t="str">
        <f>IFERROR(INDEX(tEditais[UF],MATCH(tItens[[#This Row],[Edital]],tEditais[Edital],0)),"")</f>
        <v>PR</v>
      </c>
      <c r="I5670" s="11">
        <f>IFERROR(INDEX(tEditais[Encerramento],MATCH(tItens[[#This Row],[Edital]],tEditais[Edital],0)),"")</f>
        <v>46309.333333333336</v>
      </c>
      <c r="J5670" t="str">
        <f>IFERROR(INDEX(tProdutos[Classe],MATCH(tItens[[#This Row],[Produto]],tProdutos[Produto],0)),"produto não cadastrado")</f>
        <v>DISPUTADO</v>
      </c>
      <c r="K5670" s="12">
        <f>tItens[[#This Row],[Qtd]]*tItens[[#This Row],[Vlr unit]]</f>
        <v>12689.1</v>
      </c>
      <c r="L5670" s="6">
        <f>IFERROR(IF(INDEX(tProdutos[Desconto homologado],MATCH(tItens[[#This Row],[Produto]],tProdutos[Produto],0))="",DescontoPadrao,INDEX(tProdutos[Desconto homologado],MATCH(tItens[[#This Row],[Produto]],tProdutos[Produto],0))),DescontoPadrao)</f>
        <v>0.24332656063896899</v>
      </c>
      <c r="M5670" s="12">
        <f>tItens[[#This Row],[Valor]]*(1-tItens[[#This Row],[Desconto]])</f>
        <v>9601.5049393960599</v>
      </c>
      <c r="N5670" t="str">
        <f>IFERROR(INDEX(tProdutos[Foco],MATCH(tItens[[#This Row],[Produto]],tProdutos[Produto],0)),"Não")</f>
        <v>Não</v>
      </c>
      <c r="O5670" t="str">
        <f>IFERROR(INDEX(tEditais[SRP],MATCH(tItens[[#This Row],[Edital]],tEditais[Edital],0)),"Não")</f>
        <v>Não</v>
      </c>
      <c r="P5670" s="4">
        <f>IF(COUNTIFS(INDEX(tItens[Edital],1):tItens[[#This Row],[Edital]],tItens[[#This Row],[Edital]],INDEX(tItens[Produto],1):tItens[[#This Row],[Produto]],tItens[[#This Row],[Produto]])=1,1,0)</f>
        <v>1</v>
      </c>
    </row>
    <row r="5671" spans="1:16" x14ac:dyDescent="0.25">
      <c r="A5671" t="s">
        <v>2041</v>
      </c>
      <c r="B5671">
        <v>182</v>
      </c>
      <c r="C5671" t="s">
        <v>8438</v>
      </c>
      <c r="D5671" t="s">
        <v>313</v>
      </c>
      <c r="E5671" s="13">
        <v>2848</v>
      </c>
      <c r="F5671" s="12">
        <v>21.96</v>
      </c>
      <c r="G5671" t="str">
        <f>IFERROR(INDEX(tEditais[Órgão],MATCH(tItens[[#This Row],[Edital]],tEditais[Edital],0)),"")</f>
        <v>MUNICIPIO DE JACAREZINHO</v>
      </c>
      <c r="H5671" t="str">
        <f>IFERROR(INDEX(tEditais[UF],MATCH(tItens[[#This Row],[Edital]],tEditais[Edital],0)),"")</f>
        <v>PR</v>
      </c>
      <c r="I5671" s="11">
        <f>IFERROR(INDEX(tEditais[Encerramento],MATCH(tItens[[#This Row],[Edital]],tEditais[Edital],0)),"")</f>
        <v>46309.333333333336</v>
      </c>
      <c r="J5671" t="str">
        <f>IFERROR(INDEX(tProdutos[Classe],MATCH(tItens[[#This Row],[Produto]],tProdutos[Produto],0)),"produto não cadastrado")</f>
        <v>FORA</v>
      </c>
      <c r="K5671" s="12">
        <f>tItens[[#This Row],[Qtd]]*tItens[[#This Row],[Vlr unit]]</f>
        <v>62542.080000000002</v>
      </c>
      <c r="L5671" s="6">
        <f>IFERROR(IF(INDEX(tProdutos[Desconto homologado],MATCH(tItens[[#This Row],[Produto]],tProdutos[Produto],0))="",DescontoPadrao,INDEX(tProdutos[Desconto homologado],MATCH(tItens[[#This Row],[Produto]],tProdutos[Produto],0))),DescontoPadrao)</f>
        <v>0.35766373163696302</v>
      </c>
      <c r="M5671" s="12">
        <f>tItens[[#This Row],[Valor]]*(1-tItens[[#This Row],[Desconto]])</f>
        <v>40173.046282862524</v>
      </c>
      <c r="N5671" t="str">
        <f>IFERROR(INDEX(tProdutos[Foco],MATCH(tItens[[#This Row],[Produto]],tProdutos[Produto],0)),"Não")</f>
        <v>Não</v>
      </c>
      <c r="O5671" t="str">
        <f>IFERROR(INDEX(tEditais[SRP],MATCH(tItens[[#This Row],[Edital]],tEditais[Edital],0)),"Não")</f>
        <v>Não</v>
      </c>
      <c r="P5671" s="4">
        <f>IF(COUNTIFS(INDEX(tItens[Edital],1):tItens[[#This Row],[Edital]],tItens[[#This Row],[Edital]],INDEX(tItens[Produto],1):tItens[[#This Row],[Produto]],tItens[[#This Row],[Produto]])=1,1,0)</f>
        <v>0</v>
      </c>
    </row>
    <row r="5672" spans="1:16" x14ac:dyDescent="0.25">
      <c r="A5672" t="s">
        <v>2041</v>
      </c>
      <c r="B5672">
        <v>183</v>
      </c>
      <c r="C5672" t="s">
        <v>8439</v>
      </c>
      <c r="D5672" t="s">
        <v>251</v>
      </c>
      <c r="E5672" s="13">
        <v>1018</v>
      </c>
      <c r="F5672" s="12">
        <v>31.59</v>
      </c>
      <c r="G5672" t="str">
        <f>IFERROR(INDEX(tEditais[Órgão],MATCH(tItens[[#This Row],[Edital]],tEditais[Edital],0)),"")</f>
        <v>MUNICIPIO DE JACAREZINHO</v>
      </c>
      <c r="H5672" t="str">
        <f>IFERROR(INDEX(tEditais[UF],MATCH(tItens[[#This Row],[Edital]],tEditais[Edital],0)),"")</f>
        <v>PR</v>
      </c>
      <c r="I5672" s="11">
        <f>IFERROR(INDEX(tEditais[Encerramento],MATCH(tItens[[#This Row],[Edital]],tEditais[Edital],0)),"")</f>
        <v>46309.333333333336</v>
      </c>
      <c r="J5672" t="str">
        <f>IFERROR(INDEX(tProdutos[Classe],MATCH(tItens[[#This Row],[Produto]],tProdutos[Produto],0)),"produto não cadastrado")</f>
        <v>FORA</v>
      </c>
      <c r="K5672" s="12">
        <f>tItens[[#This Row],[Qtd]]*tItens[[#This Row],[Vlr unit]]</f>
        <v>32158.62</v>
      </c>
      <c r="L5672" s="6">
        <f>IFERROR(IF(INDEX(tProdutos[Desconto homologado],MATCH(tItens[[#This Row],[Produto]],tProdutos[Produto],0))="",DescontoPadrao,INDEX(tProdutos[Desconto homologado],MATCH(tItens[[#This Row],[Produto]],tProdutos[Produto],0))),DescontoPadrao)</f>
        <v>0.36759020274436599</v>
      </c>
      <c r="M5672" s="12">
        <f>tItens[[#This Row],[Valor]]*(1-tItens[[#This Row],[Desconto]])</f>
        <v>20337.426354220974</v>
      </c>
      <c r="N5672" t="str">
        <f>IFERROR(INDEX(tProdutos[Foco],MATCH(tItens[[#This Row],[Produto]],tProdutos[Produto],0)),"Não")</f>
        <v>Não</v>
      </c>
      <c r="O5672" t="str">
        <f>IFERROR(INDEX(tEditais[SRP],MATCH(tItens[[#This Row],[Edital]],tEditais[Edital],0)),"Não")</f>
        <v>Não</v>
      </c>
      <c r="P5672" s="4">
        <f>IF(COUNTIFS(INDEX(tItens[Edital],1):tItens[[#This Row],[Edital]],tItens[[#This Row],[Edital]],INDEX(tItens[Produto],1):tItens[[#This Row],[Produto]],tItens[[#This Row],[Produto]])=1,1,0)</f>
        <v>0</v>
      </c>
    </row>
    <row r="5673" spans="1:16" x14ac:dyDescent="0.25">
      <c r="A5673" t="s">
        <v>2045</v>
      </c>
      <c r="B5673">
        <v>2</v>
      </c>
      <c r="C5673" t="s">
        <v>8464</v>
      </c>
      <c r="D5673" t="s">
        <v>313</v>
      </c>
      <c r="E5673" s="13">
        <v>3000</v>
      </c>
      <c r="F5673" s="12">
        <v>23.64</v>
      </c>
      <c r="G5673" t="str">
        <f>IFERROR(INDEX(tEditais[Órgão],MATCH(tItens[[#This Row],[Edital]],tEditais[Edital],0)),"")</f>
        <v>MUNICIPIO DE CRUZEIRO DO OESTE</v>
      </c>
      <c r="H5673" t="str">
        <f>IFERROR(INDEX(tEditais[UF],MATCH(tItens[[#This Row],[Edital]],tEditais[Edital],0)),"")</f>
        <v>PR</v>
      </c>
      <c r="I5673" s="11">
        <f>IFERROR(INDEX(tEditais[Encerramento],MATCH(tItens[[#This Row],[Edital]],tEditais[Edital],0)),"")</f>
        <v>46309.333333333336</v>
      </c>
      <c r="J5673" t="str">
        <f>IFERROR(INDEX(tProdutos[Classe],MATCH(tItens[[#This Row],[Produto]],tProdutos[Produto],0)),"produto não cadastrado")</f>
        <v>FORA</v>
      </c>
      <c r="K5673" s="12">
        <f>tItens[[#This Row],[Qtd]]*tItens[[#This Row],[Vlr unit]]</f>
        <v>70920</v>
      </c>
      <c r="L5673" s="6">
        <f>IFERROR(IF(INDEX(tProdutos[Desconto homologado],MATCH(tItens[[#This Row],[Produto]],tProdutos[Produto],0))="",DescontoPadrao,INDEX(tProdutos[Desconto homologado],MATCH(tItens[[#This Row],[Produto]],tProdutos[Produto],0))),DescontoPadrao)</f>
        <v>0.35766373163696302</v>
      </c>
      <c r="M5673" s="12">
        <f>tItens[[#This Row],[Valor]]*(1-tItens[[#This Row],[Desconto]])</f>
        <v>45554.488152306578</v>
      </c>
      <c r="N5673" t="str">
        <f>IFERROR(INDEX(tProdutos[Foco],MATCH(tItens[[#This Row],[Produto]],tProdutos[Produto],0)),"Não")</f>
        <v>Não</v>
      </c>
      <c r="O5673" t="str">
        <f>IFERROR(INDEX(tEditais[SRP],MATCH(tItens[[#This Row],[Edital]],tEditais[Edital],0)),"Não")</f>
        <v>Não</v>
      </c>
      <c r="P5673" s="4">
        <f>IF(COUNTIFS(INDEX(tItens[Edital],1):tItens[[#This Row],[Edital]],tItens[[#This Row],[Edital]],INDEX(tItens[Produto],1):tItens[[#This Row],[Produto]],tItens[[#This Row],[Produto]])=1,1,0)</f>
        <v>1</v>
      </c>
    </row>
    <row r="5674" spans="1:16" x14ac:dyDescent="0.25">
      <c r="A5674" t="s">
        <v>2045</v>
      </c>
      <c r="B5674">
        <v>5</v>
      </c>
      <c r="C5674" t="s">
        <v>8465</v>
      </c>
      <c r="D5674" t="s">
        <v>313</v>
      </c>
      <c r="E5674" s="13">
        <v>4500</v>
      </c>
      <c r="F5674" s="12">
        <v>25.32</v>
      </c>
      <c r="G5674" t="str">
        <f>IFERROR(INDEX(tEditais[Órgão],MATCH(tItens[[#This Row],[Edital]],tEditais[Edital],0)),"")</f>
        <v>MUNICIPIO DE CRUZEIRO DO OESTE</v>
      </c>
      <c r="H5674" t="str">
        <f>IFERROR(INDEX(tEditais[UF],MATCH(tItens[[#This Row],[Edital]],tEditais[Edital],0)),"")</f>
        <v>PR</v>
      </c>
      <c r="I5674" s="11">
        <f>IFERROR(INDEX(tEditais[Encerramento],MATCH(tItens[[#This Row],[Edital]],tEditais[Edital],0)),"")</f>
        <v>46309.333333333336</v>
      </c>
      <c r="J5674" t="str">
        <f>IFERROR(INDEX(tProdutos[Classe],MATCH(tItens[[#This Row],[Produto]],tProdutos[Produto],0)),"produto não cadastrado")</f>
        <v>FORA</v>
      </c>
      <c r="K5674" s="12">
        <f>tItens[[#This Row],[Qtd]]*tItens[[#This Row],[Vlr unit]]</f>
        <v>113940</v>
      </c>
      <c r="L5674" s="6">
        <f>IFERROR(IF(INDEX(tProdutos[Desconto homologado],MATCH(tItens[[#This Row],[Produto]],tProdutos[Produto],0))="",DescontoPadrao,INDEX(tProdutos[Desconto homologado],MATCH(tItens[[#This Row],[Produto]],tProdutos[Produto],0))),DescontoPadrao)</f>
        <v>0.35766373163696302</v>
      </c>
      <c r="M5674" s="12">
        <f>tItens[[#This Row],[Valor]]*(1-tItens[[#This Row],[Desconto]])</f>
        <v>73187.794417284429</v>
      </c>
      <c r="N5674" t="str">
        <f>IFERROR(INDEX(tProdutos[Foco],MATCH(tItens[[#This Row],[Produto]],tProdutos[Produto],0)),"Não")</f>
        <v>Não</v>
      </c>
      <c r="O5674" t="str">
        <f>IFERROR(INDEX(tEditais[SRP],MATCH(tItens[[#This Row],[Edital]],tEditais[Edital],0)),"Não")</f>
        <v>Não</v>
      </c>
      <c r="P5674" s="4">
        <f>IF(COUNTIFS(INDEX(tItens[Edital],1):tItens[[#This Row],[Edital]],tItens[[#This Row],[Edital]],INDEX(tItens[Produto],1):tItens[[#This Row],[Produto]],tItens[[#This Row],[Produto]])=1,1,0)</f>
        <v>0</v>
      </c>
    </row>
    <row r="5675" spans="1:16" x14ac:dyDescent="0.25">
      <c r="A5675" t="s">
        <v>2045</v>
      </c>
      <c r="B5675">
        <v>6</v>
      </c>
      <c r="C5675" t="s">
        <v>8466</v>
      </c>
      <c r="D5675" t="s">
        <v>313</v>
      </c>
      <c r="E5675" s="13">
        <v>3750</v>
      </c>
      <c r="F5675" s="12">
        <v>25.53</v>
      </c>
      <c r="G5675" t="str">
        <f>IFERROR(INDEX(tEditais[Órgão],MATCH(tItens[[#This Row],[Edital]],tEditais[Edital],0)),"")</f>
        <v>MUNICIPIO DE CRUZEIRO DO OESTE</v>
      </c>
      <c r="H5675" t="str">
        <f>IFERROR(INDEX(tEditais[UF],MATCH(tItens[[#This Row],[Edital]],tEditais[Edital],0)),"")</f>
        <v>PR</v>
      </c>
      <c r="I5675" s="11">
        <f>IFERROR(INDEX(tEditais[Encerramento],MATCH(tItens[[#This Row],[Edital]],tEditais[Edital],0)),"")</f>
        <v>46309.333333333336</v>
      </c>
      <c r="J5675" t="str">
        <f>IFERROR(INDEX(tProdutos[Classe],MATCH(tItens[[#This Row],[Produto]],tProdutos[Produto],0)),"produto não cadastrado")</f>
        <v>FORA</v>
      </c>
      <c r="K5675" s="12">
        <f>tItens[[#This Row],[Qtd]]*tItens[[#This Row],[Vlr unit]]</f>
        <v>95737.5</v>
      </c>
      <c r="L5675" s="6">
        <f>IFERROR(IF(INDEX(tProdutos[Desconto homologado],MATCH(tItens[[#This Row],[Produto]],tProdutos[Produto],0))="",DescontoPadrao,INDEX(tProdutos[Desconto homologado],MATCH(tItens[[#This Row],[Produto]],tProdutos[Produto],0))),DescontoPadrao)</f>
        <v>0.35766373163696302</v>
      </c>
      <c r="M5675" s="12">
        <f>tItens[[#This Row],[Valor]]*(1-tItens[[#This Row],[Desconto]])</f>
        <v>61495.66849240625</v>
      </c>
      <c r="N5675" t="str">
        <f>IFERROR(INDEX(tProdutos[Foco],MATCH(tItens[[#This Row],[Produto]],tProdutos[Produto],0)),"Não")</f>
        <v>Não</v>
      </c>
      <c r="O5675" t="str">
        <f>IFERROR(INDEX(tEditais[SRP],MATCH(tItens[[#This Row],[Edital]],tEditais[Edital],0)),"Não")</f>
        <v>Não</v>
      </c>
      <c r="P5675" s="4">
        <f>IF(COUNTIFS(INDEX(tItens[Edital],1):tItens[[#This Row],[Edital]],tItens[[#This Row],[Edital]],INDEX(tItens[Produto],1):tItens[[#This Row],[Produto]],tItens[[#This Row],[Produto]])=1,1,0)</f>
        <v>0</v>
      </c>
    </row>
    <row r="5676" spans="1:16" x14ac:dyDescent="0.25">
      <c r="A5676" t="s">
        <v>2045</v>
      </c>
      <c r="B5676">
        <v>9</v>
      </c>
      <c r="C5676" t="s">
        <v>8465</v>
      </c>
      <c r="D5676" t="s">
        <v>313</v>
      </c>
      <c r="E5676" s="13">
        <v>1500</v>
      </c>
      <c r="F5676" s="12">
        <v>25.32</v>
      </c>
      <c r="G5676" t="str">
        <f>IFERROR(INDEX(tEditais[Órgão],MATCH(tItens[[#This Row],[Edital]],tEditais[Edital],0)),"")</f>
        <v>MUNICIPIO DE CRUZEIRO DO OESTE</v>
      </c>
      <c r="H5676" t="str">
        <f>IFERROR(INDEX(tEditais[UF],MATCH(tItens[[#This Row],[Edital]],tEditais[Edital],0)),"")</f>
        <v>PR</v>
      </c>
      <c r="I5676" s="11">
        <f>IFERROR(INDEX(tEditais[Encerramento],MATCH(tItens[[#This Row],[Edital]],tEditais[Edital],0)),"")</f>
        <v>46309.333333333336</v>
      </c>
      <c r="J5676" t="str">
        <f>IFERROR(INDEX(tProdutos[Classe],MATCH(tItens[[#This Row],[Produto]],tProdutos[Produto],0)),"produto não cadastrado")</f>
        <v>FORA</v>
      </c>
      <c r="K5676" s="12">
        <f>tItens[[#This Row],[Qtd]]*tItens[[#This Row],[Vlr unit]]</f>
        <v>37980</v>
      </c>
      <c r="L5676" s="6">
        <f>IFERROR(IF(INDEX(tProdutos[Desconto homologado],MATCH(tItens[[#This Row],[Produto]],tProdutos[Produto],0))="",DescontoPadrao,INDEX(tProdutos[Desconto homologado],MATCH(tItens[[#This Row],[Produto]],tProdutos[Produto],0))),DescontoPadrao)</f>
        <v>0.35766373163696302</v>
      </c>
      <c r="M5676" s="12">
        <f>tItens[[#This Row],[Valor]]*(1-tItens[[#This Row],[Desconto]])</f>
        <v>24395.931472428143</v>
      </c>
      <c r="N5676" t="str">
        <f>IFERROR(INDEX(tProdutos[Foco],MATCH(tItens[[#This Row],[Produto]],tProdutos[Produto],0)),"Não")</f>
        <v>Não</v>
      </c>
      <c r="O5676" t="str">
        <f>IFERROR(INDEX(tEditais[SRP],MATCH(tItens[[#This Row],[Edital]],tEditais[Edital],0)),"Não")</f>
        <v>Não</v>
      </c>
      <c r="P5676" s="4">
        <f>IF(COUNTIFS(INDEX(tItens[Edital],1):tItens[[#This Row],[Edital]],tItens[[#This Row],[Edital]],INDEX(tItens[Produto],1):tItens[[#This Row],[Produto]],tItens[[#This Row],[Produto]])=1,1,0)</f>
        <v>0</v>
      </c>
    </row>
    <row r="5677" spans="1:16" x14ac:dyDescent="0.25">
      <c r="A5677" t="s">
        <v>2045</v>
      </c>
      <c r="B5677">
        <v>10</v>
      </c>
      <c r="C5677" t="s">
        <v>8466</v>
      </c>
      <c r="D5677" t="s">
        <v>313</v>
      </c>
      <c r="E5677" s="13">
        <v>1250</v>
      </c>
      <c r="F5677" s="12">
        <v>25.53</v>
      </c>
      <c r="G5677" t="str">
        <f>IFERROR(INDEX(tEditais[Órgão],MATCH(tItens[[#This Row],[Edital]],tEditais[Edital],0)),"")</f>
        <v>MUNICIPIO DE CRUZEIRO DO OESTE</v>
      </c>
      <c r="H5677" t="str">
        <f>IFERROR(INDEX(tEditais[UF],MATCH(tItens[[#This Row],[Edital]],tEditais[Edital],0)),"")</f>
        <v>PR</v>
      </c>
      <c r="I5677" s="11">
        <f>IFERROR(INDEX(tEditais[Encerramento],MATCH(tItens[[#This Row],[Edital]],tEditais[Edital],0)),"")</f>
        <v>46309.333333333336</v>
      </c>
      <c r="J5677" t="str">
        <f>IFERROR(INDEX(tProdutos[Classe],MATCH(tItens[[#This Row],[Produto]],tProdutos[Produto],0)),"produto não cadastrado")</f>
        <v>FORA</v>
      </c>
      <c r="K5677" s="12">
        <f>tItens[[#This Row],[Qtd]]*tItens[[#This Row],[Vlr unit]]</f>
        <v>31912.5</v>
      </c>
      <c r="L5677" s="6">
        <f>IFERROR(IF(INDEX(tProdutos[Desconto homologado],MATCH(tItens[[#This Row],[Produto]],tProdutos[Produto],0))="",DescontoPadrao,INDEX(tProdutos[Desconto homologado],MATCH(tItens[[#This Row],[Produto]],tProdutos[Produto],0))),DescontoPadrao)</f>
        <v>0.35766373163696302</v>
      </c>
      <c r="M5677" s="12">
        <f>tItens[[#This Row],[Valor]]*(1-tItens[[#This Row],[Desconto]])</f>
        <v>20498.556164135414</v>
      </c>
      <c r="N5677" t="str">
        <f>IFERROR(INDEX(tProdutos[Foco],MATCH(tItens[[#This Row],[Produto]],tProdutos[Produto],0)),"Não")</f>
        <v>Não</v>
      </c>
      <c r="O5677" t="str">
        <f>IFERROR(INDEX(tEditais[SRP],MATCH(tItens[[#This Row],[Edital]],tEditais[Edital],0)),"Não")</f>
        <v>Não</v>
      </c>
      <c r="P5677" s="4">
        <f>IF(COUNTIFS(INDEX(tItens[Edital],1):tItens[[#This Row],[Edital]],tItens[[#This Row],[Edital]],INDEX(tItens[Produto],1):tItens[[#This Row],[Produto]],tItens[[#This Row],[Produto]])=1,1,0)</f>
        <v>0</v>
      </c>
    </row>
    <row r="5678" spans="1:16" x14ac:dyDescent="0.25">
      <c r="A5678" t="s">
        <v>2045</v>
      </c>
      <c r="B5678">
        <v>12</v>
      </c>
      <c r="C5678" t="s">
        <v>8464</v>
      </c>
      <c r="D5678" t="s">
        <v>313</v>
      </c>
      <c r="E5678" s="13">
        <v>1000</v>
      </c>
      <c r="F5678" s="12">
        <v>23.64</v>
      </c>
      <c r="G5678" t="str">
        <f>IFERROR(INDEX(tEditais[Órgão],MATCH(tItens[[#This Row],[Edital]],tEditais[Edital],0)),"")</f>
        <v>MUNICIPIO DE CRUZEIRO DO OESTE</v>
      </c>
      <c r="H5678" t="str">
        <f>IFERROR(INDEX(tEditais[UF],MATCH(tItens[[#This Row],[Edital]],tEditais[Edital],0)),"")</f>
        <v>PR</v>
      </c>
      <c r="I5678" s="11">
        <f>IFERROR(INDEX(tEditais[Encerramento],MATCH(tItens[[#This Row],[Edital]],tEditais[Edital],0)),"")</f>
        <v>46309.333333333336</v>
      </c>
      <c r="J5678" t="str">
        <f>IFERROR(INDEX(tProdutos[Classe],MATCH(tItens[[#This Row],[Produto]],tProdutos[Produto],0)),"produto não cadastrado")</f>
        <v>FORA</v>
      </c>
      <c r="K5678" s="12">
        <f>tItens[[#This Row],[Qtd]]*tItens[[#This Row],[Vlr unit]]</f>
        <v>23640</v>
      </c>
      <c r="L5678" s="6">
        <f>IFERROR(IF(INDEX(tProdutos[Desconto homologado],MATCH(tItens[[#This Row],[Produto]],tProdutos[Produto],0))="",DescontoPadrao,INDEX(tProdutos[Desconto homologado],MATCH(tItens[[#This Row],[Produto]],tProdutos[Produto],0))),DescontoPadrao)</f>
        <v>0.35766373163696302</v>
      </c>
      <c r="M5678" s="12">
        <f>tItens[[#This Row],[Valor]]*(1-tItens[[#This Row],[Desconto]])</f>
        <v>15184.829384102193</v>
      </c>
      <c r="N5678" t="str">
        <f>IFERROR(INDEX(tProdutos[Foco],MATCH(tItens[[#This Row],[Produto]],tProdutos[Produto],0)),"Não")</f>
        <v>Não</v>
      </c>
      <c r="O5678" t="str">
        <f>IFERROR(INDEX(tEditais[SRP],MATCH(tItens[[#This Row],[Edital]],tEditais[Edital],0)),"Não")</f>
        <v>Não</v>
      </c>
      <c r="P5678" s="4">
        <f>IF(COUNTIFS(INDEX(tItens[Edital],1):tItens[[#This Row],[Edital]],tItens[[#This Row],[Edital]],INDEX(tItens[Produto],1):tItens[[#This Row],[Produto]],tItens[[#This Row],[Produto]])=1,1,0)</f>
        <v>0</v>
      </c>
    </row>
    <row r="5679" spans="1:16" x14ac:dyDescent="0.25">
      <c r="A5679" t="s">
        <v>2045</v>
      </c>
      <c r="B5679">
        <v>15</v>
      </c>
      <c r="C5679" t="s">
        <v>8467</v>
      </c>
      <c r="D5679" t="s">
        <v>351</v>
      </c>
      <c r="E5679" s="13">
        <v>2000</v>
      </c>
      <c r="F5679" s="12">
        <v>9.02</v>
      </c>
      <c r="G5679" t="str">
        <f>IFERROR(INDEX(tEditais[Órgão],MATCH(tItens[[#This Row],[Edital]],tEditais[Edital],0)),"")</f>
        <v>MUNICIPIO DE CRUZEIRO DO OESTE</v>
      </c>
      <c r="H5679" t="str">
        <f>IFERROR(INDEX(tEditais[UF],MATCH(tItens[[#This Row],[Edital]],tEditais[Edital],0)),"")</f>
        <v>PR</v>
      </c>
      <c r="I5679" s="11">
        <f>IFERROR(INDEX(tEditais[Encerramento],MATCH(tItens[[#This Row],[Edital]],tEditais[Edital],0)),"")</f>
        <v>46309.333333333336</v>
      </c>
      <c r="J5679" t="str">
        <f>IFERROR(INDEX(tProdutos[Classe],MATCH(tItens[[#This Row],[Produto]],tProdutos[Produto],0)),"produto não cadastrado")</f>
        <v>FORA</v>
      </c>
      <c r="K5679" s="12">
        <f>tItens[[#This Row],[Qtd]]*tItens[[#This Row],[Vlr unit]]</f>
        <v>18040</v>
      </c>
      <c r="L5679" s="6">
        <f>IFERROR(IF(INDEX(tProdutos[Desconto homologado],MATCH(tItens[[#This Row],[Produto]],tProdutos[Produto],0))="",DescontoPadrao,INDEX(tProdutos[Desconto homologado],MATCH(tItens[[#This Row],[Produto]],tProdutos[Produto],0))),DescontoPadrao)</f>
        <v>0.33518005540166201</v>
      </c>
      <c r="M5679" s="12">
        <f>tItens[[#This Row],[Valor]]*(1-tItens[[#This Row],[Desconto]])</f>
        <v>11993.351800554019</v>
      </c>
      <c r="N5679" t="str">
        <f>IFERROR(INDEX(tProdutos[Foco],MATCH(tItens[[#This Row],[Produto]],tProdutos[Produto],0)),"Não")</f>
        <v>Não</v>
      </c>
      <c r="O5679" t="str">
        <f>IFERROR(INDEX(tEditais[SRP],MATCH(tItens[[#This Row],[Edital]],tEditais[Edital],0)),"Não")</f>
        <v>Não</v>
      </c>
      <c r="P5679" s="4">
        <f>IF(COUNTIFS(INDEX(tItens[Edital],1):tItens[[#This Row],[Edital]],tItens[[#This Row],[Edital]],INDEX(tItens[Produto],1):tItens[[#This Row],[Produto]],tItens[[#This Row],[Produto]])=1,1,0)</f>
        <v>1</v>
      </c>
    </row>
    <row r="5680" spans="1:16" x14ac:dyDescent="0.25">
      <c r="A5680" t="s">
        <v>2045</v>
      </c>
      <c r="B5680">
        <v>18</v>
      </c>
      <c r="C5680" t="s">
        <v>8468</v>
      </c>
      <c r="D5680" t="s">
        <v>351</v>
      </c>
      <c r="E5680" s="13">
        <v>2500</v>
      </c>
      <c r="F5680" s="12">
        <v>6.42</v>
      </c>
      <c r="G5680" t="str">
        <f>IFERROR(INDEX(tEditais[Órgão],MATCH(tItens[[#This Row],[Edital]],tEditais[Edital],0)),"")</f>
        <v>MUNICIPIO DE CRUZEIRO DO OESTE</v>
      </c>
      <c r="H5680" t="str">
        <f>IFERROR(INDEX(tEditais[UF],MATCH(tItens[[#This Row],[Edital]],tEditais[Edital],0)),"")</f>
        <v>PR</v>
      </c>
      <c r="I5680" s="11">
        <f>IFERROR(INDEX(tEditais[Encerramento],MATCH(tItens[[#This Row],[Edital]],tEditais[Edital],0)),"")</f>
        <v>46309.333333333336</v>
      </c>
      <c r="J5680" t="str">
        <f>IFERROR(INDEX(tProdutos[Classe],MATCH(tItens[[#This Row],[Produto]],tProdutos[Produto],0)),"produto não cadastrado")</f>
        <v>FORA</v>
      </c>
      <c r="K5680" s="12">
        <f>tItens[[#This Row],[Qtd]]*tItens[[#This Row],[Vlr unit]]</f>
        <v>16050</v>
      </c>
      <c r="L5680" s="6">
        <f>IFERROR(IF(INDEX(tProdutos[Desconto homologado],MATCH(tItens[[#This Row],[Produto]],tProdutos[Produto],0))="",DescontoPadrao,INDEX(tProdutos[Desconto homologado],MATCH(tItens[[#This Row],[Produto]],tProdutos[Produto],0))),DescontoPadrao)</f>
        <v>0.33518005540166201</v>
      </c>
      <c r="M5680" s="12">
        <f>tItens[[#This Row],[Valor]]*(1-tItens[[#This Row],[Desconto]])</f>
        <v>10670.360110803325</v>
      </c>
      <c r="N5680" t="str">
        <f>IFERROR(INDEX(tProdutos[Foco],MATCH(tItens[[#This Row],[Produto]],tProdutos[Produto],0)),"Não")</f>
        <v>Não</v>
      </c>
      <c r="O5680" t="str">
        <f>IFERROR(INDEX(tEditais[SRP],MATCH(tItens[[#This Row],[Edital]],tEditais[Edital],0)),"Não")</f>
        <v>Não</v>
      </c>
      <c r="P5680" s="4">
        <f>IF(COUNTIFS(INDEX(tItens[Edital],1):tItens[[#This Row],[Edital]],tItens[[#This Row],[Edital]],INDEX(tItens[Produto],1):tItens[[#This Row],[Produto]],tItens[[#This Row],[Produto]])=1,1,0)</f>
        <v>0</v>
      </c>
    </row>
    <row r="5681" spans="1:16" x14ac:dyDescent="0.25">
      <c r="A5681" t="s">
        <v>2045</v>
      </c>
      <c r="B5681">
        <v>19</v>
      </c>
      <c r="C5681" t="s">
        <v>8469</v>
      </c>
      <c r="D5681" t="s">
        <v>351</v>
      </c>
      <c r="E5681" s="13">
        <v>2500</v>
      </c>
      <c r="F5681" s="12">
        <v>6.29</v>
      </c>
      <c r="G5681" t="str">
        <f>IFERROR(INDEX(tEditais[Órgão],MATCH(tItens[[#This Row],[Edital]],tEditais[Edital],0)),"")</f>
        <v>MUNICIPIO DE CRUZEIRO DO OESTE</v>
      </c>
      <c r="H5681" t="str">
        <f>IFERROR(INDEX(tEditais[UF],MATCH(tItens[[#This Row],[Edital]],tEditais[Edital],0)),"")</f>
        <v>PR</v>
      </c>
      <c r="I5681" s="11">
        <f>IFERROR(INDEX(tEditais[Encerramento],MATCH(tItens[[#This Row],[Edital]],tEditais[Edital],0)),"")</f>
        <v>46309.333333333336</v>
      </c>
      <c r="J5681" t="str">
        <f>IFERROR(INDEX(tProdutos[Classe],MATCH(tItens[[#This Row],[Produto]],tProdutos[Produto],0)),"produto não cadastrado")</f>
        <v>FORA</v>
      </c>
      <c r="K5681" s="12">
        <f>tItens[[#This Row],[Qtd]]*tItens[[#This Row],[Vlr unit]]</f>
        <v>15725</v>
      </c>
      <c r="L5681" s="6">
        <f>IFERROR(IF(INDEX(tProdutos[Desconto homologado],MATCH(tItens[[#This Row],[Produto]],tProdutos[Produto],0))="",DescontoPadrao,INDEX(tProdutos[Desconto homologado],MATCH(tItens[[#This Row],[Produto]],tProdutos[Produto],0))),DescontoPadrao)</f>
        <v>0.33518005540166201</v>
      </c>
      <c r="M5681" s="12">
        <f>tItens[[#This Row],[Valor]]*(1-tItens[[#This Row],[Desconto]])</f>
        <v>10454.293628808866</v>
      </c>
      <c r="N5681" t="str">
        <f>IFERROR(INDEX(tProdutos[Foco],MATCH(tItens[[#This Row],[Produto]],tProdutos[Produto],0)),"Não")</f>
        <v>Não</v>
      </c>
      <c r="O5681" t="str">
        <f>IFERROR(INDEX(tEditais[SRP],MATCH(tItens[[#This Row],[Edital]],tEditais[Edital],0)),"Não")</f>
        <v>Não</v>
      </c>
      <c r="P5681" s="4">
        <f>IF(COUNTIFS(INDEX(tItens[Edital],1):tItens[[#This Row],[Edital]],tItens[[#This Row],[Edital]],INDEX(tItens[Produto],1):tItens[[#This Row],[Produto]],tItens[[#This Row],[Produto]])=1,1,0)</f>
        <v>0</v>
      </c>
    </row>
    <row r="5682" spans="1:16" x14ac:dyDescent="0.25">
      <c r="A5682" t="s">
        <v>2045</v>
      </c>
      <c r="B5682">
        <v>24</v>
      </c>
      <c r="C5682" t="s">
        <v>8470</v>
      </c>
      <c r="D5682" t="s">
        <v>90</v>
      </c>
      <c r="E5682" s="13">
        <v>1700</v>
      </c>
      <c r="F5682" s="12">
        <v>7.79</v>
      </c>
      <c r="G5682" t="str">
        <f>IFERROR(INDEX(tEditais[Órgão],MATCH(tItens[[#This Row],[Edital]],tEditais[Edital],0)),"")</f>
        <v>MUNICIPIO DE CRUZEIRO DO OESTE</v>
      </c>
      <c r="H5682" t="str">
        <f>IFERROR(INDEX(tEditais[UF],MATCH(tItens[[#This Row],[Edital]],tEditais[Edital],0)),"")</f>
        <v>PR</v>
      </c>
      <c r="I5682" s="11">
        <f>IFERROR(INDEX(tEditais[Encerramento],MATCH(tItens[[#This Row],[Edital]],tEditais[Edital],0)),"")</f>
        <v>46309.333333333336</v>
      </c>
      <c r="J5682" t="str">
        <f>IFERROR(INDEX(tProdutos[Classe],MATCH(tItens[[#This Row],[Produto]],tProdutos[Produto],0)),"produto não cadastrado")</f>
        <v>DISPUTADO</v>
      </c>
      <c r="K5682" s="12">
        <f>tItens[[#This Row],[Qtd]]*tItens[[#This Row],[Vlr unit]]</f>
        <v>13243</v>
      </c>
      <c r="L5682" s="6">
        <f>IFERROR(IF(INDEX(tProdutos[Desconto homologado],MATCH(tItens[[#This Row],[Produto]],tProdutos[Produto],0))="",DescontoPadrao,INDEX(tProdutos[Desconto homologado],MATCH(tItens[[#This Row],[Produto]],tProdutos[Produto],0))),DescontoPadrao)</f>
        <v>0.25393823957010597</v>
      </c>
      <c r="M5682" s="12">
        <f>tItens[[#This Row],[Valor]]*(1-tItens[[#This Row],[Desconto]])</f>
        <v>9880.0958933730872</v>
      </c>
      <c r="N5682" t="str">
        <f>IFERROR(INDEX(tProdutos[Foco],MATCH(tItens[[#This Row],[Produto]],tProdutos[Produto],0)),"Não")</f>
        <v>Não</v>
      </c>
      <c r="O5682" t="str">
        <f>IFERROR(INDEX(tEditais[SRP],MATCH(tItens[[#This Row],[Edital]],tEditais[Edital],0)),"Não")</f>
        <v>Não</v>
      </c>
      <c r="P5682" s="4">
        <f>IF(COUNTIFS(INDEX(tItens[Edital],1):tItens[[#This Row],[Edital]],tItens[[#This Row],[Edital]],INDEX(tItens[Produto],1):tItens[[#This Row],[Produto]],tItens[[#This Row],[Produto]])=1,1,0)</f>
        <v>1</v>
      </c>
    </row>
    <row r="5683" spans="1:16" x14ac:dyDescent="0.25">
      <c r="A5683" t="s">
        <v>2045</v>
      </c>
      <c r="B5683">
        <v>26</v>
      </c>
      <c r="C5683" t="s">
        <v>8471</v>
      </c>
      <c r="D5683" t="s">
        <v>313</v>
      </c>
      <c r="E5683" s="13">
        <v>500</v>
      </c>
      <c r="F5683" s="12">
        <v>23.23</v>
      </c>
      <c r="G5683" t="str">
        <f>IFERROR(INDEX(tEditais[Órgão],MATCH(tItens[[#This Row],[Edital]],tEditais[Edital],0)),"")</f>
        <v>MUNICIPIO DE CRUZEIRO DO OESTE</v>
      </c>
      <c r="H5683" t="str">
        <f>IFERROR(INDEX(tEditais[UF],MATCH(tItens[[#This Row],[Edital]],tEditais[Edital],0)),"")</f>
        <v>PR</v>
      </c>
      <c r="I5683" s="11">
        <f>IFERROR(INDEX(tEditais[Encerramento],MATCH(tItens[[#This Row],[Edital]],tEditais[Edital],0)),"")</f>
        <v>46309.333333333336</v>
      </c>
      <c r="J5683" t="str">
        <f>IFERROR(INDEX(tProdutos[Classe],MATCH(tItens[[#This Row],[Produto]],tProdutos[Produto],0)),"produto não cadastrado")</f>
        <v>FORA</v>
      </c>
      <c r="K5683" s="12">
        <f>tItens[[#This Row],[Qtd]]*tItens[[#This Row],[Vlr unit]]</f>
        <v>11615</v>
      </c>
      <c r="L5683" s="6">
        <f>IFERROR(IF(INDEX(tProdutos[Desconto homologado],MATCH(tItens[[#This Row],[Produto]],tProdutos[Produto],0))="",DescontoPadrao,INDEX(tProdutos[Desconto homologado],MATCH(tItens[[#This Row],[Produto]],tProdutos[Produto],0))),DescontoPadrao)</f>
        <v>0.35766373163696302</v>
      </c>
      <c r="M5683" s="12">
        <f>tItens[[#This Row],[Valor]]*(1-tItens[[#This Row],[Desconto]])</f>
        <v>7460.7357570366739</v>
      </c>
      <c r="N5683" t="str">
        <f>IFERROR(INDEX(tProdutos[Foco],MATCH(tItens[[#This Row],[Produto]],tProdutos[Produto],0)),"Não")</f>
        <v>Não</v>
      </c>
      <c r="O5683" t="str">
        <f>IFERROR(INDEX(tEditais[SRP],MATCH(tItens[[#This Row],[Edital]],tEditais[Edital],0)),"Não")</f>
        <v>Não</v>
      </c>
      <c r="P5683" s="4">
        <f>IF(COUNTIFS(INDEX(tItens[Edital],1):tItens[[#This Row],[Edital]],tItens[[#This Row],[Edital]],INDEX(tItens[Produto],1):tItens[[#This Row],[Produto]],tItens[[#This Row],[Produto]])=1,1,0)</f>
        <v>0</v>
      </c>
    </row>
    <row r="5684" spans="1:16" x14ac:dyDescent="0.25">
      <c r="A5684" t="s">
        <v>2045</v>
      </c>
      <c r="B5684">
        <v>32</v>
      </c>
      <c r="C5684" t="s">
        <v>8472</v>
      </c>
      <c r="D5684" t="s">
        <v>277</v>
      </c>
      <c r="E5684" s="13">
        <v>1000</v>
      </c>
      <c r="F5684" s="12">
        <v>9.2200000000000006</v>
      </c>
      <c r="G5684" t="str">
        <f>IFERROR(INDEX(tEditais[Órgão],MATCH(tItens[[#This Row],[Edital]],tEditais[Edital],0)),"")</f>
        <v>MUNICIPIO DE CRUZEIRO DO OESTE</v>
      </c>
      <c r="H5684" t="str">
        <f>IFERROR(INDEX(tEditais[UF],MATCH(tItens[[#This Row],[Edital]],tEditais[Edital],0)),"")</f>
        <v>PR</v>
      </c>
      <c r="I5684" s="11">
        <f>IFERROR(INDEX(tEditais[Encerramento],MATCH(tItens[[#This Row],[Edital]],tEditais[Edital],0)),"")</f>
        <v>46309.333333333336</v>
      </c>
      <c r="J5684" t="str">
        <f>IFERROR(INDEX(tProdutos[Classe],MATCH(tItens[[#This Row],[Produto]],tProdutos[Produto],0)),"produto não cadastrado")</f>
        <v>DISPUTADO</v>
      </c>
      <c r="K5684" s="12">
        <f>tItens[[#This Row],[Qtd]]*tItens[[#This Row],[Vlr unit]]</f>
        <v>9220</v>
      </c>
      <c r="L5684" s="6">
        <f>IFERROR(IF(INDEX(tProdutos[Desconto homologado],MATCH(tItens[[#This Row],[Produto]],tProdutos[Produto],0))="",DescontoPadrao,INDEX(tProdutos[Desconto homologado],MATCH(tItens[[#This Row],[Produto]],tProdutos[Produto],0))),DescontoPadrao)</f>
        <v>0.50460666194188497</v>
      </c>
      <c r="M5684" s="12">
        <f>tItens[[#This Row],[Valor]]*(1-tItens[[#This Row],[Desconto]])</f>
        <v>4567.5265768958207</v>
      </c>
      <c r="N5684" t="str">
        <f>IFERROR(INDEX(tProdutos[Foco],MATCH(tItens[[#This Row],[Produto]],tProdutos[Produto],0)),"Não")</f>
        <v>Não</v>
      </c>
      <c r="O5684" t="str">
        <f>IFERROR(INDEX(tEditais[SRP],MATCH(tItens[[#This Row],[Edital]],tEditais[Edital],0)),"Não")</f>
        <v>Não</v>
      </c>
      <c r="P5684" s="4">
        <f>IF(COUNTIFS(INDEX(tItens[Edital],1):tItens[[#This Row],[Edital]],tItens[[#This Row],[Edital]],INDEX(tItens[Produto],1):tItens[[#This Row],[Produto]],tItens[[#This Row],[Produto]])=1,1,0)</f>
        <v>1</v>
      </c>
    </row>
    <row r="5685" spans="1:16" x14ac:dyDescent="0.25">
      <c r="A5685" t="s">
        <v>2045</v>
      </c>
      <c r="B5685">
        <v>36</v>
      </c>
      <c r="C5685" t="s">
        <v>8473</v>
      </c>
      <c r="D5685" t="s">
        <v>120</v>
      </c>
      <c r="E5685" s="13">
        <v>15000</v>
      </c>
      <c r="F5685" s="12">
        <v>0.54</v>
      </c>
      <c r="G5685" t="str">
        <f>IFERROR(INDEX(tEditais[Órgão],MATCH(tItens[[#This Row],[Edital]],tEditais[Edital],0)),"")</f>
        <v>MUNICIPIO DE CRUZEIRO DO OESTE</v>
      </c>
      <c r="H5685" t="str">
        <f>IFERROR(INDEX(tEditais[UF],MATCH(tItens[[#This Row],[Edital]],tEditais[Edital],0)),"")</f>
        <v>PR</v>
      </c>
      <c r="I5685" s="11">
        <f>IFERROR(INDEX(tEditais[Encerramento],MATCH(tItens[[#This Row],[Edital]],tEditais[Edital],0)),"")</f>
        <v>46309.333333333336</v>
      </c>
      <c r="J5685" t="str">
        <f>IFERROR(INDEX(tProdutos[Classe],MATCH(tItens[[#This Row],[Produto]],tProdutos[Produto],0)),"produto não cadastrado")</f>
        <v>DISPUTADO</v>
      </c>
      <c r="K5685" s="12">
        <f>tItens[[#This Row],[Qtd]]*tItens[[#This Row],[Vlr unit]]</f>
        <v>8100.0000000000009</v>
      </c>
      <c r="L5685" s="6">
        <f>IFERROR(IF(INDEX(tProdutos[Desconto homologado],MATCH(tItens[[#This Row],[Produto]],tProdutos[Produto],0))="",DescontoPadrao,INDEX(tProdutos[Desconto homologado],MATCH(tItens[[#This Row],[Produto]],tProdutos[Produto],0))),DescontoPadrao)</f>
        <v>0.40909090909090901</v>
      </c>
      <c r="M5685" s="12">
        <f>tItens[[#This Row],[Valor]]*(1-tItens[[#This Row],[Desconto]])</f>
        <v>4786.3636363636379</v>
      </c>
      <c r="N5685" t="str">
        <f>IFERROR(INDEX(tProdutos[Foco],MATCH(tItens[[#This Row],[Produto]],tProdutos[Produto],0)),"Não")</f>
        <v>Não</v>
      </c>
      <c r="O5685" t="str">
        <f>IFERROR(INDEX(tEditais[SRP],MATCH(tItens[[#This Row],[Edital]],tEditais[Edital],0)),"Não")</f>
        <v>Não</v>
      </c>
      <c r="P5685" s="4">
        <f>IF(COUNTIFS(INDEX(tItens[Edital],1):tItens[[#This Row],[Edital]],tItens[[#This Row],[Edital]],INDEX(tItens[Produto],1):tItens[[#This Row],[Produto]],tItens[[#This Row],[Produto]])=1,1,0)</f>
        <v>1</v>
      </c>
    </row>
    <row r="5686" spans="1:16" x14ac:dyDescent="0.25">
      <c r="A5686" t="s">
        <v>2045</v>
      </c>
      <c r="B5686">
        <v>38</v>
      </c>
      <c r="C5686" t="s">
        <v>8474</v>
      </c>
      <c r="D5686" t="s">
        <v>75</v>
      </c>
      <c r="E5686" s="13">
        <v>4000</v>
      </c>
      <c r="F5686" s="12">
        <v>1.9</v>
      </c>
      <c r="G5686" t="str">
        <f>IFERROR(INDEX(tEditais[Órgão],MATCH(tItens[[#This Row],[Edital]],tEditais[Edital],0)),"")</f>
        <v>MUNICIPIO DE CRUZEIRO DO OESTE</v>
      </c>
      <c r="H5686" t="str">
        <f>IFERROR(INDEX(tEditais[UF],MATCH(tItens[[#This Row],[Edital]],tEditais[Edital],0)),"")</f>
        <v>PR</v>
      </c>
      <c r="I5686" s="11">
        <f>IFERROR(INDEX(tEditais[Encerramento],MATCH(tItens[[#This Row],[Edital]],tEditais[Edital],0)),"")</f>
        <v>46309.333333333336</v>
      </c>
      <c r="J5686" t="str">
        <f>IFERROR(INDEX(tProdutos[Classe],MATCH(tItens[[#This Row],[Produto]],tProdutos[Produto],0)),"produto não cadastrado")</f>
        <v>NÚCLEO</v>
      </c>
      <c r="K5686" s="12">
        <f>tItens[[#This Row],[Qtd]]*tItens[[#This Row],[Vlr unit]]</f>
        <v>7600</v>
      </c>
      <c r="L5686" s="6">
        <f>IFERROR(IF(INDEX(tProdutos[Desconto homologado],MATCH(tItens[[#This Row],[Produto]],tProdutos[Produto],0))="",DescontoPadrao,INDEX(tProdutos[Desconto homologado],MATCH(tItens[[#This Row],[Produto]],tProdutos[Produto],0))),DescontoPadrao)</f>
        <v>0.26</v>
      </c>
      <c r="M5686" s="12">
        <f>tItens[[#This Row],[Valor]]*(1-tItens[[#This Row],[Desconto]])</f>
        <v>5624</v>
      </c>
      <c r="N5686" t="str">
        <f>IFERROR(INDEX(tProdutos[Foco],MATCH(tItens[[#This Row],[Produto]],tProdutos[Produto],0)),"Não")</f>
        <v>Sim</v>
      </c>
      <c r="O5686" t="str">
        <f>IFERROR(INDEX(tEditais[SRP],MATCH(tItens[[#This Row],[Edital]],tEditais[Edital],0)),"Não")</f>
        <v>Não</v>
      </c>
      <c r="P5686" s="4">
        <f>IF(COUNTIFS(INDEX(tItens[Edital],1):tItens[[#This Row],[Edital]],tItens[[#This Row],[Edital]],INDEX(tItens[Produto],1):tItens[[#This Row],[Produto]],tItens[[#This Row],[Produto]])=1,1,0)</f>
        <v>1</v>
      </c>
    </row>
    <row r="5687" spans="1:16" x14ac:dyDescent="0.25">
      <c r="A5687" t="s">
        <v>2045</v>
      </c>
      <c r="B5687">
        <v>40</v>
      </c>
      <c r="C5687" t="s">
        <v>8475</v>
      </c>
      <c r="D5687" t="s">
        <v>229</v>
      </c>
      <c r="E5687" s="13">
        <v>500</v>
      </c>
      <c r="F5687" s="12">
        <v>14.89</v>
      </c>
      <c r="G5687" t="str">
        <f>IFERROR(INDEX(tEditais[Órgão],MATCH(tItens[[#This Row],[Edital]],tEditais[Edital],0)),"")</f>
        <v>MUNICIPIO DE CRUZEIRO DO OESTE</v>
      </c>
      <c r="H5687" t="str">
        <f>IFERROR(INDEX(tEditais[UF],MATCH(tItens[[#This Row],[Edital]],tEditais[Edital],0)),"")</f>
        <v>PR</v>
      </c>
      <c r="I5687" s="11">
        <f>IFERROR(INDEX(tEditais[Encerramento],MATCH(tItens[[#This Row],[Edital]],tEditais[Edital],0)),"")</f>
        <v>46309.333333333336</v>
      </c>
      <c r="J5687" t="str">
        <f>IFERROR(INDEX(tProdutos[Classe],MATCH(tItens[[#This Row],[Produto]],tProdutos[Produto],0)),"produto não cadastrado")</f>
        <v>FORA</v>
      </c>
      <c r="K5687" s="12">
        <f>tItens[[#This Row],[Qtd]]*tItens[[#This Row],[Vlr unit]]</f>
        <v>7445</v>
      </c>
      <c r="L5687" s="6">
        <f>IFERROR(IF(INDEX(tProdutos[Desconto homologado],MATCH(tItens[[#This Row],[Produto]],tProdutos[Produto],0))="",DescontoPadrao,INDEX(tProdutos[Desconto homologado],MATCH(tItens[[#This Row],[Produto]],tProdutos[Produto],0))),DescontoPadrao)</f>
        <v>0.33093491191658198</v>
      </c>
      <c r="M5687" s="12">
        <f>tItens[[#This Row],[Valor]]*(1-tItens[[#This Row],[Desconto]])</f>
        <v>4981.189580781047</v>
      </c>
      <c r="N5687" t="str">
        <f>IFERROR(INDEX(tProdutos[Foco],MATCH(tItens[[#This Row],[Produto]],tProdutos[Produto],0)),"Não")</f>
        <v>Não</v>
      </c>
      <c r="O5687" t="str">
        <f>IFERROR(INDEX(tEditais[SRP],MATCH(tItens[[#This Row],[Edital]],tEditais[Edital],0)),"Não")</f>
        <v>Não</v>
      </c>
      <c r="P5687" s="4">
        <f>IF(COUNTIFS(INDEX(tItens[Edital],1):tItens[[#This Row],[Edital]],tItens[[#This Row],[Edital]],INDEX(tItens[Produto],1):tItens[[#This Row],[Produto]],tItens[[#This Row],[Produto]])=1,1,0)</f>
        <v>1</v>
      </c>
    </row>
    <row r="5688" spans="1:16" x14ac:dyDescent="0.25">
      <c r="A5688" t="s">
        <v>2045</v>
      </c>
      <c r="B5688">
        <v>41</v>
      </c>
      <c r="C5688" t="s">
        <v>8476</v>
      </c>
      <c r="D5688" t="s">
        <v>343</v>
      </c>
      <c r="E5688" s="13">
        <v>5000</v>
      </c>
      <c r="F5688" s="12">
        <v>1.47</v>
      </c>
      <c r="G5688" t="str">
        <f>IFERROR(INDEX(tEditais[Órgão],MATCH(tItens[[#This Row],[Edital]],tEditais[Edital],0)),"")</f>
        <v>MUNICIPIO DE CRUZEIRO DO OESTE</v>
      </c>
      <c r="H5688" t="str">
        <f>IFERROR(INDEX(tEditais[UF],MATCH(tItens[[#This Row],[Edital]],tEditais[Edital],0)),"")</f>
        <v>PR</v>
      </c>
      <c r="I5688" s="11">
        <f>IFERROR(INDEX(tEditais[Encerramento],MATCH(tItens[[#This Row],[Edital]],tEditais[Edital],0)),"")</f>
        <v>46309.333333333336</v>
      </c>
      <c r="J5688" t="str">
        <f>IFERROR(INDEX(tProdutos[Classe],MATCH(tItens[[#This Row],[Produto]],tProdutos[Produto],0)),"produto não cadastrado")</f>
        <v>FORA</v>
      </c>
      <c r="K5688" s="12">
        <f>tItens[[#This Row],[Qtd]]*tItens[[#This Row],[Vlr unit]]</f>
        <v>7350</v>
      </c>
      <c r="L5688" s="6">
        <f>IFERROR(IF(INDEX(tProdutos[Desconto homologado],MATCH(tItens[[#This Row],[Produto]],tProdutos[Produto],0))="",DescontoPadrao,INDEX(tProdutos[Desconto homologado],MATCH(tItens[[#This Row],[Produto]],tProdutos[Produto],0))),DescontoPadrao)</f>
        <v>0.35412234042553198</v>
      </c>
      <c r="M5688" s="12">
        <f>tItens[[#This Row],[Valor]]*(1-tItens[[#This Row],[Desconto]])</f>
        <v>4747.2007978723395</v>
      </c>
      <c r="N5688" t="str">
        <f>IFERROR(INDEX(tProdutos[Foco],MATCH(tItens[[#This Row],[Produto]],tProdutos[Produto],0)),"Não")</f>
        <v>Não</v>
      </c>
      <c r="O5688" t="str">
        <f>IFERROR(INDEX(tEditais[SRP],MATCH(tItens[[#This Row],[Edital]],tEditais[Edital],0)),"Não")</f>
        <v>Não</v>
      </c>
      <c r="P5688" s="4">
        <f>IF(COUNTIFS(INDEX(tItens[Edital],1):tItens[[#This Row],[Edital]],tItens[[#This Row],[Edital]],INDEX(tItens[Produto],1):tItens[[#This Row],[Produto]],tItens[[#This Row],[Produto]])=1,1,0)</f>
        <v>1</v>
      </c>
    </row>
    <row r="5689" spans="1:16" x14ac:dyDescent="0.25">
      <c r="A5689" t="s">
        <v>2045</v>
      </c>
      <c r="B5689">
        <v>44</v>
      </c>
      <c r="C5689" t="s">
        <v>8477</v>
      </c>
      <c r="D5689" t="s">
        <v>281</v>
      </c>
      <c r="E5689" s="13">
        <v>20000</v>
      </c>
      <c r="F5689" s="12">
        <v>0.35</v>
      </c>
      <c r="G5689" t="str">
        <f>IFERROR(INDEX(tEditais[Órgão],MATCH(tItens[[#This Row],[Edital]],tEditais[Edital],0)),"")</f>
        <v>MUNICIPIO DE CRUZEIRO DO OESTE</v>
      </c>
      <c r="H5689" t="str">
        <f>IFERROR(INDEX(tEditais[UF],MATCH(tItens[[#This Row],[Edital]],tEditais[Edital],0)),"")</f>
        <v>PR</v>
      </c>
      <c r="I5689" s="11">
        <f>IFERROR(INDEX(tEditais[Encerramento],MATCH(tItens[[#This Row],[Edital]],tEditais[Edital],0)),"")</f>
        <v>46309.333333333336</v>
      </c>
      <c r="J5689" t="str">
        <f>IFERROR(INDEX(tProdutos[Classe],MATCH(tItens[[#This Row],[Produto]],tProdutos[Produto],0)),"produto não cadastrado")</f>
        <v>DISPUTADO</v>
      </c>
      <c r="K5689" s="12">
        <f>tItens[[#This Row],[Qtd]]*tItens[[#This Row],[Vlr unit]]</f>
        <v>7000</v>
      </c>
      <c r="L5689" s="6">
        <f>IFERROR(IF(INDEX(tProdutos[Desconto homologado],MATCH(tItens[[#This Row],[Produto]],tProdutos[Produto],0))="",DescontoPadrao,INDEX(tProdutos[Desconto homologado],MATCH(tItens[[#This Row],[Produto]],tProdutos[Produto],0))),DescontoPadrao)</f>
        <v>0.42461538461538501</v>
      </c>
      <c r="M5689" s="12">
        <f>tItens[[#This Row],[Valor]]*(1-tItens[[#This Row],[Desconto]])</f>
        <v>4027.6923076923044</v>
      </c>
      <c r="N5689" t="str">
        <f>IFERROR(INDEX(tProdutos[Foco],MATCH(tItens[[#This Row],[Produto]],tProdutos[Produto],0)),"Não")</f>
        <v>Não</v>
      </c>
      <c r="O5689" t="str">
        <f>IFERROR(INDEX(tEditais[SRP],MATCH(tItens[[#This Row],[Edital]],tEditais[Edital],0)),"Não")</f>
        <v>Não</v>
      </c>
      <c r="P5689" s="4">
        <f>IF(COUNTIFS(INDEX(tItens[Edital],1):tItens[[#This Row],[Edital]],tItens[[#This Row],[Edital]],INDEX(tItens[Produto],1):tItens[[#This Row],[Produto]],tItens[[#This Row],[Produto]])=1,1,0)</f>
        <v>1</v>
      </c>
    </row>
    <row r="5690" spans="1:16" x14ac:dyDescent="0.25">
      <c r="A5690" t="s">
        <v>2045</v>
      </c>
      <c r="B5690">
        <v>45</v>
      </c>
      <c r="C5690" t="s">
        <v>8478</v>
      </c>
      <c r="D5690" t="s">
        <v>343</v>
      </c>
      <c r="E5690" s="13">
        <v>5000</v>
      </c>
      <c r="F5690" s="12">
        <v>1.37</v>
      </c>
      <c r="G5690" t="str">
        <f>IFERROR(INDEX(tEditais[Órgão],MATCH(tItens[[#This Row],[Edital]],tEditais[Edital],0)),"")</f>
        <v>MUNICIPIO DE CRUZEIRO DO OESTE</v>
      </c>
      <c r="H5690" t="str">
        <f>IFERROR(INDEX(tEditais[UF],MATCH(tItens[[#This Row],[Edital]],tEditais[Edital],0)),"")</f>
        <v>PR</v>
      </c>
      <c r="I5690" s="11">
        <f>IFERROR(INDEX(tEditais[Encerramento],MATCH(tItens[[#This Row],[Edital]],tEditais[Edital],0)),"")</f>
        <v>46309.333333333336</v>
      </c>
      <c r="J5690" t="str">
        <f>IFERROR(INDEX(tProdutos[Classe],MATCH(tItens[[#This Row],[Produto]],tProdutos[Produto],0)),"produto não cadastrado")</f>
        <v>FORA</v>
      </c>
      <c r="K5690" s="12">
        <f>tItens[[#This Row],[Qtd]]*tItens[[#This Row],[Vlr unit]]</f>
        <v>6850.0000000000009</v>
      </c>
      <c r="L5690" s="6">
        <f>IFERROR(IF(INDEX(tProdutos[Desconto homologado],MATCH(tItens[[#This Row],[Produto]],tProdutos[Produto],0))="",DescontoPadrao,INDEX(tProdutos[Desconto homologado],MATCH(tItens[[#This Row],[Produto]],tProdutos[Produto],0))),DescontoPadrao)</f>
        <v>0.35412234042553198</v>
      </c>
      <c r="M5690" s="12">
        <f>tItens[[#This Row],[Valor]]*(1-tItens[[#This Row],[Desconto]])</f>
        <v>4424.2619680851058</v>
      </c>
      <c r="N5690" t="str">
        <f>IFERROR(INDEX(tProdutos[Foco],MATCH(tItens[[#This Row],[Produto]],tProdutos[Produto],0)),"Não")</f>
        <v>Não</v>
      </c>
      <c r="O5690" t="str">
        <f>IFERROR(INDEX(tEditais[SRP],MATCH(tItens[[#This Row],[Edital]],tEditais[Edital],0)),"Não")</f>
        <v>Não</v>
      </c>
      <c r="P5690" s="4">
        <f>IF(COUNTIFS(INDEX(tItens[Edital],1):tItens[[#This Row],[Edital]],tItens[[#This Row],[Edital]],INDEX(tItens[Produto],1):tItens[[#This Row],[Produto]],tItens[[#This Row],[Produto]])=1,1,0)</f>
        <v>0</v>
      </c>
    </row>
    <row r="5691" spans="1:16" x14ac:dyDescent="0.25">
      <c r="A5691" t="s">
        <v>2045</v>
      </c>
      <c r="B5691">
        <v>46</v>
      </c>
      <c r="C5691" t="s">
        <v>8479</v>
      </c>
      <c r="D5691" t="s">
        <v>343</v>
      </c>
      <c r="E5691" s="13">
        <v>5000</v>
      </c>
      <c r="F5691" s="12">
        <v>1.35</v>
      </c>
      <c r="G5691" t="str">
        <f>IFERROR(INDEX(tEditais[Órgão],MATCH(tItens[[#This Row],[Edital]],tEditais[Edital],0)),"")</f>
        <v>MUNICIPIO DE CRUZEIRO DO OESTE</v>
      </c>
      <c r="H5691" t="str">
        <f>IFERROR(INDEX(tEditais[UF],MATCH(tItens[[#This Row],[Edital]],tEditais[Edital],0)),"")</f>
        <v>PR</v>
      </c>
      <c r="I5691" s="11">
        <f>IFERROR(INDEX(tEditais[Encerramento],MATCH(tItens[[#This Row],[Edital]],tEditais[Edital],0)),"")</f>
        <v>46309.333333333336</v>
      </c>
      <c r="J5691" t="str">
        <f>IFERROR(INDEX(tProdutos[Classe],MATCH(tItens[[#This Row],[Produto]],tProdutos[Produto],0)),"produto não cadastrado")</f>
        <v>FORA</v>
      </c>
      <c r="K5691" s="12">
        <f>tItens[[#This Row],[Qtd]]*tItens[[#This Row],[Vlr unit]]</f>
        <v>6750</v>
      </c>
      <c r="L5691" s="6">
        <f>IFERROR(IF(INDEX(tProdutos[Desconto homologado],MATCH(tItens[[#This Row],[Produto]],tProdutos[Produto],0))="",DescontoPadrao,INDEX(tProdutos[Desconto homologado],MATCH(tItens[[#This Row],[Produto]],tProdutos[Produto],0))),DescontoPadrao)</f>
        <v>0.35412234042553198</v>
      </c>
      <c r="M5691" s="12">
        <f>tItens[[#This Row],[Valor]]*(1-tItens[[#This Row],[Desconto]])</f>
        <v>4359.6742021276586</v>
      </c>
      <c r="N5691" t="str">
        <f>IFERROR(INDEX(tProdutos[Foco],MATCH(tItens[[#This Row],[Produto]],tProdutos[Produto],0)),"Não")</f>
        <v>Não</v>
      </c>
      <c r="O5691" t="str">
        <f>IFERROR(INDEX(tEditais[SRP],MATCH(tItens[[#This Row],[Edital]],tEditais[Edital],0)),"Não")</f>
        <v>Não</v>
      </c>
      <c r="P5691" s="4">
        <f>IF(COUNTIFS(INDEX(tItens[Edital],1):tItens[[#This Row],[Edital]],tItens[[#This Row],[Edital]],INDEX(tItens[Produto],1):tItens[[#This Row],[Produto]],tItens[[#This Row],[Produto]])=1,1,0)</f>
        <v>0</v>
      </c>
    </row>
    <row r="5692" spans="1:16" x14ac:dyDescent="0.25">
      <c r="A5692" t="s">
        <v>2045</v>
      </c>
      <c r="B5692">
        <v>52</v>
      </c>
      <c r="C5692" t="s">
        <v>8480</v>
      </c>
      <c r="D5692" t="s">
        <v>289</v>
      </c>
      <c r="E5692" s="13">
        <v>15000</v>
      </c>
      <c r="F5692" s="12">
        <v>0.41</v>
      </c>
      <c r="G5692" t="str">
        <f>IFERROR(INDEX(tEditais[Órgão],MATCH(tItens[[#This Row],[Edital]],tEditais[Edital],0)),"")</f>
        <v>MUNICIPIO DE CRUZEIRO DO OESTE</v>
      </c>
      <c r="H5692" t="str">
        <f>IFERROR(INDEX(tEditais[UF],MATCH(tItens[[#This Row],[Edital]],tEditais[Edital],0)),"")</f>
        <v>PR</v>
      </c>
      <c r="I5692" s="11">
        <f>IFERROR(INDEX(tEditais[Encerramento],MATCH(tItens[[#This Row],[Edital]],tEditais[Edital],0)),"")</f>
        <v>46309.333333333336</v>
      </c>
      <c r="J5692" t="str">
        <f>IFERROR(INDEX(tProdutos[Classe],MATCH(tItens[[#This Row],[Produto]],tProdutos[Produto],0)),"produto não cadastrado")</f>
        <v>DISPUTADO</v>
      </c>
      <c r="K5692" s="12">
        <f>tItens[[#This Row],[Qtd]]*tItens[[#This Row],[Vlr unit]]</f>
        <v>6150</v>
      </c>
      <c r="L5692" s="6">
        <f>IFERROR(IF(INDEX(tProdutos[Desconto homologado],MATCH(tItens[[#This Row],[Produto]],tProdutos[Produto],0))="",DescontoPadrao,INDEX(tProdutos[Desconto homologado],MATCH(tItens[[#This Row],[Produto]],tProdutos[Produto],0))),DescontoPadrao)</f>
        <v>0.35849056603773599</v>
      </c>
      <c r="M5692" s="12">
        <f>tItens[[#This Row],[Valor]]*(1-tItens[[#This Row],[Desconto]])</f>
        <v>3945.2830188679236</v>
      </c>
      <c r="N5692" t="str">
        <f>IFERROR(INDEX(tProdutos[Foco],MATCH(tItens[[#This Row],[Produto]],tProdutos[Produto],0)),"Não")</f>
        <v>Não</v>
      </c>
      <c r="O5692" t="str">
        <f>IFERROR(INDEX(tEditais[SRP],MATCH(tItens[[#This Row],[Edital]],tEditais[Edital],0)),"Não")</f>
        <v>Não</v>
      </c>
      <c r="P5692" s="4">
        <f>IF(COUNTIFS(INDEX(tItens[Edital],1):tItens[[#This Row],[Edital]],tItens[[#This Row],[Edital]],INDEX(tItens[Produto],1):tItens[[#This Row],[Produto]],tItens[[#This Row],[Produto]])=1,1,0)</f>
        <v>1</v>
      </c>
    </row>
    <row r="5693" spans="1:16" x14ac:dyDescent="0.25">
      <c r="A5693" t="s">
        <v>2045</v>
      </c>
      <c r="B5693">
        <v>61</v>
      </c>
      <c r="C5693" t="s">
        <v>8481</v>
      </c>
      <c r="D5693" t="s">
        <v>494</v>
      </c>
      <c r="E5693" s="13">
        <v>30</v>
      </c>
      <c r="F5693" s="12">
        <v>154.38999999999999</v>
      </c>
      <c r="G5693" t="str">
        <f>IFERROR(INDEX(tEditais[Órgão],MATCH(tItens[[#This Row],[Edital]],tEditais[Edital],0)),"")</f>
        <v>MUNICIPIO DE CRUZEIRO DO OESTE</v>
      </c>
      <c r="H5693" t="str">
        <f>IFERROR(INDEX(tEditais[UF],MATCH(tItens[[#This Row],[Edital]],tEditais[Edital],0)),"")</f>
        <v>PR</v>
      </c>
      <c r="I5693" s="11">
        <f>IFERROR(INDEX(tEditais[Encerramento],MATCH(tItens[[#This Row],[Edital]],tEditais[Edital],0)),"")</f>
        <v>46309.333333333336</v>
      </c>
      <c r="J5693" t="str">
        <f>IFERROR(INDEX(tProdutos[Classe],MATCH(tItens[[#This Row],[Produto]],tProdutos[Produto],0)),"produto não cadastrado")</f>
        <v>FILA REBASE</v>
      </c>
      <c r="K5693" s="12">
        <f>tItens[[#This Row],[Qtd]]*tItens[[#This Row],[Vlr unit]]</f>
        <v>4631.7</v>
      </c>
      <c r="L5693" s="6">
        <f>IFERROR(IF(INDEX(tProdutos[Desconto homologado],MATCH(tItens[[#This Row],[Produto]],tProdutos[Produto],0))="",DescontoPadrao,INDEX(tProdutos[Desconto homologado],MATCH(tItens[[#This Row],[Produto]],tProdutos[Produto],0))),DescontoPadrao)</f>
        <v>0.253736324829619</v>
      </c>
      <c r="M5693" s="12">
        <f>tItens[[#This Row],[Valor]]*(1-tItens[[#This Row],[Desconto]])</f>
        <v>3456.4694642866539</v>
      </c>
      <c r="N5693" t="str">
        <f>IFERROR(INDEX(tProdutos[Foco],MATCH(tItens[[#This Row],[Produto]],tProdutos[Produto],0)),"Não")</f>
        <v>Não</v>
      </c>
      <c r="O5693" t="str">
        <f>IFERROR(INDEX(tEditais[SRP],MATCH(tItens[[#This Row],[Edital]],tEditais[Edital],0)),"Não")</f>
        <v>Não</v>
      </c>
      <c r="P5693" s="4">
        <f>IF(COUNTIFS(INDEX(tItens[Edital],1):tItens[[#This Row],[Edital]],tItens[[#This Row],[Edital]],INDEX(tItens[Produto],1):tItens[[#This Row],[Produto]],tItens[[#This Row],[Produto]])=1,1,0)</f>
        <v>1</v>
      </c>
    </row>
    <row r="5694" spans="1:16" x14ac:dyDescent="0.25">
      <c r="A5694" t="s">
        <v>2045</v>
      </c>
      <c r="B5694">
        <v>63</v>
      </c>
      <c r="C5694" t="s">
        <v>8482</v>
      </c>
      <c r="D5694" t="s">
        <v>90</v>
      </c>
      <c r="E5694" s="13">
        <v>700</v>
      </c>
      <c r="F5694" s="12">
        <v>6.41</v>
      </c>
      <c r="G5694" t="str">
        <f>IFERROR(INDEX(tEditais[Órgão],MATCH(tItens[[#This Row],[Edital]],tEditais[Edital],0)),"")</f>
        <v>MUNICIPIO DE CRUZEIRO DO OESTE</v>
      </c>
      <c r="H5694" t="str">
        <f>IFERROR(INDEX(tEditais[UF],MATCH(tItens[[#This Row],[Edital]],tEditais[Edital],0)),"")</f>
        <v>PR</v>
      </c>
      <c r="I5694" s="11">
        <f>IFERROR(INDEX(tEditais[Encerramento],MATCH(tItens[[#This Row],[Edital]],tEditais[Edital],0)),"")</f>
        <v>46309.333333333336</v>
      </c>
      <c r="J5694" t="str">
        <f>IFERROR(INDEX(tProdutos[Classe],MATCH(tItens[[#This Row],[Produto]],tProdutos[Produto],0)),"produto não cadastrado")</f>
        <v>DISPUTADO</v>
      </c>
      <c r="K5694" s="12">
        <f>tItens[[#This Row],[Qtd]]*tItens[[#This Row],[Vlr unit]]</f>
        <v>4487</v>
      </c>
      <c r="L5694" s="6">
        <f>IFERROR(IF(INDEX(tProdutos[Desconto homologado],MATCH(tItens[[#This Row],[Produto]],tProdutos[Produto],0))="",DescontoPadrao,INDEX(tProdutos[Desconto homologado],MATCH(tItens[[#This Row],[Produto]],tProdutos[Produto],0))),DescontoPadrao)</f>
        <v>0.25393823957010597</v>
      </c>
      <c r="M5694" s="12">
        <f>tItens[[#This Row],[Valor]]*(1-tItens[[#This Row],[Desconto]])</f>
        <v>3347.5791190489344</v>
      </c>
      <c r="N5694" t="str">
        <f>IFERROR(INDEX(tProdutos[Foco],MATCH(tItens[[#This Row],[Produto]],tProdutos[Produto],0)),"Não")</f>
        <v>Não</v>
      </c>
      <c r="O5694" t="str">
        <f>IFERROR(INDEX(tEditais[SRP],MATCH(tItens[[#This Row],[Edital]],tEditais[Edital],0)),"Não")</f>
        <v>Não</v>
      </c>
      <c r="P5694" s="4">
        <f>IF(COUNTIFS(INDEX(tItens[Edital],1):tItens[[#This Row],[Edital]],tItens[[#This Row],[Edital]],INDEX(tItens[Produto],1):tItens[[#This Row],[Produto]],tItens[[#This Row],[Produto]])=1,1,0)</f>
        <v>0</v>
      </c>
    </row>
    <row r="5695" spans="1:16" x14ac:dyDescent="0.25">
      <c r="A5695" t="s">
        <v>2045</v>
      </c>
      <c r="B5695">
        <v>66</v>
      </c>
      <c r="C5695" t="s">
        <v>8483</v>
      </c>
      <c r="D5695" t="s">
        <v>494</v>
      </c>
      <c r="E5695" s="13">
        <v>60</v>
      </c>
      <c r="F5695" s="12">
        <v>71.86</v>
      </c>
      <c r="G5695" t="str">
        <f>IFERROR(INDEX(tEditais[Órgão],MATCH(tItens[[#This Row],[Edital]],tEditais[Edital],0)),"")</f>
        <v>MUNICIPIO DE CRUZEIRO DO OESTE</v>
      </c>
      <c r="H5695" t="str">
        <f>IFERROR(INDEX(tEditais[UF],MATCH(tItens[[#This Row],[Edital]],tEditais[Edital],0)),"")</f>
        <v>PR</v>
      </c>
      <c r="I5695" s="11">
        <f>IFERROR(INDEX(tEditais[Encerramento],MATCH(tItens[[#This Row],[Edital]],tEditais[Edital],0)),"")</f>
        <v>46309.333333333336</v>
      </c>
      <c r="J5695" t="str">
        <f>IFERROR(INDEX(tProdutos[Classe],MATCH(tItens[[#This Row],[Produto]],tProdutos[Produto],0)),"produto não cadastrado")</f>
        <v>FILA REBASE</v>
      </c>
      <c r="K5695" s="12">
        <f>tItens[[#This Row],[Qtd]]*tItens[[#This Row],[Vlr unit]]</f>
        <v>4311.6000000000004</v>
      </c>
      <c r="L5695" s="6">
        <f>IFERROR(IF(INDEX(tProdutos[Desconto homologado],MATCH(tItens[[#This Row],[Produto]],tProdutos[Produto],0))="",DescontoPadrao,INDEX(tProdutos[Desconto homologado],MATCH(tItens[[#This Row],[Produto]],tProdutos[Produto],0))),DescontoPadrao)</f>
        <v>0.253736324829619</v>
      </c>
      <c r="M5695" s="12">
        <f>tItens[[#This Row],[Valor]]*(1-tItens[[#This Row],[Desconto]])</f>
        <v>3217.5904618646155</v>
      </c>
      <c r="N5695" t="str">
        <f>IFERROR(INDEX(tProdutos[Foco],MATCH(tItens[[#This Row],[Produto]],tProdutos[Produto],0)),"Não")</f>
        <v>Não</v>
      </c>
      <c r="O5695" t="str">
        <f>IFERROR(INDEX(tEditais[SRP],MATCH(tItens[[#This Row],[Edital]],tEditais[Edital],0)),"Não")</f>
        <v>Não</v>
      </c>
      <c r="P5695" s="4">
        <f>IF(COUNTIFS(INDEX(tItens[Edital],1):tItens[[#This Row],[Edital]],tItens[[#This Row],[Edital]],INDEX(tItens[Produto],1):tItens[[#This Row],[Produto]],tItens[[#This Row],[Produto]])=1,1,0)</f>
        <v>0</v>
      </c>
    </row>
    <row r="5696" spans="1:16" x14ac:dyDescent="0.25">
      <c r="A5696" t="s">
        <v>2045</v>
      </c>
      <c r="B5696">
        <v>69</v>
      </c>
      <c r="C5696" t="s">
        <v>7874</v>
      </c>
      <c r="D5696" t="s">
        <v>73</v>
      </c>
      <c r="E5696" s="13">
        <v>3000</v>
      </c>
      <c r="F5696" s="12">
        <v>1.36</v>
      </c>
      <c r="G5696" t="str">
        <f>IFERROR(INDEX(tEditais[Órgão],MATCH(tItens[[#This Row],[Edital]],tEditais[Edital],0)),"")</f>
        <v>MUNICIPIO DE CRUZEIRO DO OESTE</v>
      </c>
      <c r="H5696" t="str">
        <f>IFERROR(INDEX(tEditais[UF],MATCH(tItens[[#This Row],[Edital]],tEditais[Edital],0)),"")</f>
        <v>PR</v>
      </c>
      <c r="I5696" s="11">
        <f>IFERROR(INDEX(tEditais[Encerramento],MATCH(tItens[[#This Row],[Edital]],tEditais[Edital],0)),"")</f>
        <v>46309.333333333336</v>
      </c>
      <c r="J5696" t="str">
        <f>IFERROR(INDEX(tProdutos[Classe],MATCH(tItens[[#This Row],[Produto]],tProdutos[Produto],0)),"produto não cadastrado")</f>
        <v>NÚCLEO</v>
      </c>
      <c r="K5696" s="12">
        <f>tItens[[#This Row],[Qtd]]*tItens[[#This Row],[Vlr unit]]</f>
        <v>4080.0000000000005</v>
      </c>
      <c r="L5696" s="6">
        <f>IFERROR(IF(INDEX(tProdutos[Desconto homologado],MATCH(tItens[[#This Row],[Produto]],tProdutos[Produto],0))="",DescontoPadrao,INDEX(tProdutos[Desconto homologado],MATCH(tItens[[#This Row],[Produto]],tProdutos[Produto],0))),DescontoPadrao)</f>
        <v>0.37</v>
      </c>
      <c r="M5696" s="12">
        <f>tItens[[#This Row],[Valor]]*(1-tItens[[#This Row],[Desconto]])</f>
        <v>2570.4</v>
      </c>
      <c r="N5696" t="str">
        <f>IFERROR(INDEX(tProdutos[Foco],MATCH(tItens[[#This Row],[Produto]],tProdutos[Produto],0)),"Não")</f>
        <v>Sim</v>
      </c>
      <c r="O5696" t="str">
        <f>IFERROR(INDEX(tEditais[SRP],MATCH(tItens[[#This Row],[Edital]],tEditais[Edital],0)),"Não")</f>
        <v>Não</v>
      </c>
      <c r="P5696" s="4">
        <f>IF(COUNTIFS(INDEX(tItens[Edital],1):tItens[[#This Row],[Edital]],tItens[[#This Row],[Edital]],INDEX(tItens[Produto],1):tItens[[#This Row],[Produto]],tItens[[#This Row],[Produto]])=1,1,0)</f>
        <v>1</v>
      </c>
    </row>
    <row r="5697" spans="1:16" x14ac:dyDescent="0.25">
      <c r="A5697" t="s">
        <v>2045</v>
      </c>
      <c r="B5697">
        <v>72</v>
      </c>
      <c r="C5697" t="s">
        <v>8484</v>
      </c>
      <c r="D5697" t="s">
        <v>494</v>
      </c>
      <c r="E5697" s="13">
        <v>30</v>
      </c>
      <c r="F5697" s="12">
        <v>123.3</v>
      </c>
      <c r="G5697" t="str">
        <f>IFERROR(INDEX(tEditais[Órgão],MATCH(tItens[[#This Row],[Edital]],tEditais[Edital],0)),"")</f>
        <v>MUNICIPIO DE CRUZEIRO DO OESTE</v>
      </c>
      <c r="H5697" t="str">
        <f>IFERROR(INDEX(tEditais[UF],MATCH(tItens[[#This Row],[Edital]],tEditais[Edital],0)),"")</f>
        <v>PR</v>
      </c>
      <c r="I5697" s="11">
        <f>IFERROR(INDEX(tEditais[Encerramento],MATCH(tItens[[#This Row],[Edital]],tEditais[Edital],0)),"")</f>
        <v>46309.333333333336</v>
      </c>
      <c r="J5697" t="str">
        <f>IFERROR(INDEX(tProdutos[Classe],MATCH(tItens[[#This Row],[Produto]],tProdutos[Produto],0)),"produto não cadastrado")</f>
        <v>FILA REBASE</v>
      </c>
      <c r="K5697" s="12">
        <f>tItens[[#This Row],[Qtd]]*tItens[[#This Row],[Vlr unit]]</f>
        <v>3699</v>
      </c>
      <c r="L5697" s="6">
        <f>IFERROR(IF(INDEX(tProdutos[Desconto homologado],MATCH(tItens[[#This Row],[Produto]],tProdutos[Produto],0))="",DescontoPadrao,INDEX(tProdutos[Desconto homologado],MATCH(tItens[[#This Row],[Produto]],tProdutos[Produto],0))),DescontoPadrao)</f>
        <v>0.253736324829619</v>
      </c>
      <c r="M5697" s="12">
        <f>tItens[[#This Row],[Valor]]*(1-tItens[[#This Row],[Desconto]])</f>
        <v>2760.4293344552393</v>
      </c>
      <c r="N5697" t="str">
        <f>IFERROR(INDEX(tProdutos[Foco],MATCH(tItens[[#This Row],[Produto]],tProdutos[Produto],0)),"Não")</f>
        <v>Não</v>
      </c>
      <c r="O5697" t="str">
        <f>IFERROR(INDEX(tEditais[SRP],MATCH(tItens[[#This Row],[Edital]],tEditais[Edital],0)),"Não")</f>
        <v>Não</v>
      </c>
      <c r="P5697" s="4">
        <f>IF(COUNTIFS(INDEX(tItens[Edital],1):tItens[[#This Row],[Edital]],tItens[[#This Row],[Edital]],INDEX(tItens[Produto],1):tItens[[#This Row],[Produto]],tItens[[#This Row],[Produto]])=1,1,0)</f>
        <v>0</v>
      </c>
    </row>
    <row r="5698" spans="1:16" x14ac:dyDescent="0.25">
      <c r="A5698" t="s">
        <v>2045</v>
      </c>
      <c r="B5698">
        <v>77</v>
      </c>
      <c r="C5698" t="s">
        <v>8485</v>
      </c>
      <c r="D5698" t="s">
        <v>341</v>
      </c>
      <c r="E5698" s="13">
        <v>70</v>
      </c>
      <c r="F5698" s="12">
        <v>48.68</v>
      </c>
      <c r="G5698" t="str">
        <f>IFERROR(INDEX(tEditais[Órgão],MATCH(tItens[[#This Row],[Edital]],tEditais[Edital],0)),"")</f>
        <v>MUNICIPIO DE CRUZEIRO DO OESTE</v>
      </c>
      <c r="H5698" t="str">
        <f>IFERROR(INDEX(tEditais[UF],MATCH(tItens[[#This Row],[Edital]],tEditais[Edital],0)),"")</f>
        <v>PR</v>
      </c>
      <c r="I5698" s="11">
        <f>IFERROR(INDEX(tEditais[Encerramento],MATCH(tItens[[#This Row],[Edital]],tEditais[Edital],0)),"")</f>
        <v>46309.333333333336</v>
      </c>
      <c r="J5698" t="str">
        <f>IFERROR(INDEX(tProdutos[Classe],MATCH(tItens[[#This Row],[Produto]],tProdutos[Produto],0)),"produto não cadastrado")</f>
        <v>FORA</v>
      </c>
      <c r="K5698" s="12">
        <f>tItens[[#This Row],[Qtd]]*tItens[[#This Row],[Vlr unit]]</f>
        <v>3407.6</v>
      </c>
      <c r="L5698" s="6">
        <f>IFERROR(IF(INDEX(tProdutos[Desconto homologado],MATCH(tItens[[#This Row],[Produto]],tProdutos[Produto],0))="",DescontoPadrao,INDEX(tProdutos[Desconto homologado],MATCH(tItens[[#This Row],[Produto]],tProdutos[Produto],0))),DescontoPadrao)</f>
        <v>0.46918578497525898</v>
      </c>
      <c r="M5698" s="12">
        <f>tItens[[#This Row],[Valor]]*(1-tItens[[#This Row],[Desconto]])</f>
        <v>1808.8025191183074</v>
      </c>
      <c r="N5698" t="str">
        <f>IFERROR(INDEX(tProdutos[Foco],MATCH(tItens[[#This Row],[Produto]],tProdutos[Produto],0)),"Não")</f>
        <v>Não</v>
      </c>
      <c r="O5698" t="str">
        <f>IFERROR(INDEX(tEditais[SRP],MATCH(tItens[[#This Row],[Edital]],tEditais[Edital],0)),"Não")</f>
        <v>Não</v>
      </c>
      <c r="P5698" s="4">
        <f>IF(COUNTIFS(INDEX(tItens[Edital],1):tItens[[#This Row],[Edital]],tItens[[#This Row],[Edital]],INDEX(tItens[Produto],1):tItens[[#This Row],[Produto]],tItens[[#This Row],[Produto]])=1,1,0)</f>
        <v>1</v>
      </c>
    </row>
    <row r="5699" spans="1:16" x14ac:dyDescent="0.25">
      <c r="A5699" t="s">
        <v>2045</v>
      </c>
      <c r="B5699">
        <v>78</v>
      </c>
      <c r="C5699" t="s">
        <v>8486</v>
      </c>
      <c r="D5699" t="s">
        <v>494</v>
      </c>
      <c r="E5699" s="13">
        <v>40</v>
      </c>
      <c r="F5699" s="12">
        <v>84.64</v>
      </c>
      <c r="G5699" t="str">
        <f>IFERROR(INDEX(tEditais[Órgão],MATCH(tItens[[#This Row],[Edital]],tEditais[Edital],0)),"")</f>
        <v>MUNICIPIO DE CRUZEIRO DO OESTE</v>
      </c>
      <c r="H5699" t="str">
        <f>IFERROR(INDEX(tEditais[UF],MATCH(tItens[[#This Row],[Edital]],tEditais[Edital],0)),"")</f>
        <v>PR</v>
      </c>
      <c r="I5699" s="11">
        <f>IFERROR(INDEX(tEditais[Encerramento],MATCH(tItens[[#This Row],[Edital]],tEditais[Edital],0)),"")</f>
        <v>46309.333333333336</v>
      </c>
      <c r="J5699" t="str">
        <f>IFERROR(INDEX(tProdutos[Classe],MATCH(tItens[[#This Row],[Produto]],tProdutos[Produto],0)),"produto não cadastrado")</f>
        <v>FILA REBASE</v>
      </c>
      <c r="K5699" s="12">
        <f>tItens[[#This Row],[Qtd]]*tItens[[#This Row],[Vlr unit]]</f>
        <v>3385.6</v>
      </c>
      <c r="L5699" s="6">
        <f>IFERROR(IF(INDEX(tProdutos[Desconto homologado],MATCH(tItens[[#This Row],[Produto]],tProdutos[Produto],0))="",DescontoPadrao,INDEX(tProdutos[Desconto homologado],MATCH(tItens[[#This Row],[Produto]],tProdutos[Produto],0))),DescontoPadrao)</f>
        <v>0.253736324829619</v>
      </c>
      <c r="M5699" s="12">
        <f>tItens[[#This Row],[Valor]]*(1-tItens[[#This Row],[Desconto]])</f>
        <v>2526.5502986568422</v>
      </c>
      <c r="N5699" t="str">
        <f>IFERROR(INDEX(tProdutos[Foco],MATCH(tItens[[#This Row],[Produto]],tProdutos[Produto],0)),"Não")</f>
        <v>Não</v>
      </c>
      <c r="O5699" t="str">
        <f>IFERROR(INDEX(tEditais[SRP],MATCH(tItens[[#This Row],[Edital]],tEditais[Edital],0)),"Não")</f>
        <v>Não</v>
      </c>
      <c r="P5699" s="4">
        <f>IF(COUNTIFS(INDEX(tItens[Edital],1):tItens[[#This Row],[Edital]],tItens[[#This Row],[Edital]],INDEX(tItens[Produto],1):tItens[[#This Row],[Produto]],tItens[[#This Row],[Produto]])=1,1,0)</f>
        <v>0</v>
      </c>
    </row>
    <row r="5700" spans="1:16" x14ac:dyDescent="0.25">
      <c r="A5700" t="s">
        <v>2045</v>
      </c>
      <c r="B5700">
        <v>79</v>
      </c>
      <c r="C5700" t="s">
        <v>8487</v>
      </c>
      <c r="D5700" t="s">
        <v>126</v>
      </c>
      <c r="E5700" s="13">
        <v>400</v>
      </c>
      <c r="F5700" s="12">
        <v>8.4</v>
      </c>
      <c r="G5700" t="str">
        <f>IFERROR(INDEX(tEditais[Órgão],MATCH(tItens[[#This Row],[Edital]],tEditais[Edital],0)),"")</f>
        <v>MUNICIPIO DE CRUZEIRO DO OESTE</v>
      </c>
      <c r="H5700" t="str">
        <f>IFERROR(INDEX(tEditais[UF],MATCH(tItens[[#This Row],[Edital]],tEditais[Edital],0)),"")</f>
        <v>PR</v>
      </c>
      <c r="I5700" s="11">
        <f>IFERROR(INDEX(tEditais[Encerramento],MATCH(tItens[[#This Row],[Edital]],tEditais[Edital],0)),"")</f>
        <v>46309.333333333336</v>
      </c>
      <c r="J5700" t="str">
        <f>IFERROR(INDEX(tProdutos[Classe],MATCH(tItens[[#This Row],[Produto]],tProdutos[Produto],0)),"produto não cadastrado")</f>
        <v>DISPUTADO</v>
      </c>
      <c r="K5700" s="12">
        <f>tItens[[#This Row],[Qtd]]*tItens[[#This Row],[Vlr unit]]</f>
        <v>3360</v>
      </c>
      <c r="L5700" s="6">
        <f>IFERROR(IF(INDEX(tProdutos[Desconto homologado],MATCH(tItens[[#This Row],[Produto]],tProdutos[Produto],0))="",DescontoPadrao,INDEX(tProdutos[Desconto homologado],MATCH(tItens[[#This Row],[Produto]],tProdutos[Produto],0))),DescontoPadrao)</f>
        <v>0.21</v>
      </c>
      <c r="M5700" s="12">
        <f>tItens[[#This Row],[Valor]]*(1-tItens[[#This Row],[Desconto]])</f>
        <v>2654.4</v>
      </c>
      <c r="N5700" t="str">
        <f>IFERROR(INDEX(tProdutos[Foco],MATCH(tItens[[#This Row],[Produto]],tProdutos[Produto],0)),"Não")</f>
        <v>Sim</v>
      </c>
      <c r="O5700" t="str">
        <f>IFERROR(INDEX(tEditais[SRP],MATCH(tItens[[#This Row],[Edital]],tEditais[Edital],0)),"Não")</f>
        <v>Não</v>
      </c>
      <c r="P5700" s="4">
        <f>IF(COUNTIFS(INDEX(tItens[Edital],1):tItens[[#This Row],[Edital]],tItens[[#This Row],[Edital]],INDEX(tItens[Produto],1):tItens[[#This Row],[Produto]],tItens[[#This Row],[Produto]])=1,1,0)</f>
        <v>1</v>
      </c>
    </row>
    <row r="5701" spans="1:16" x14ac:dyDescent="0.25">
      <c r="A5701" t="s">
        <v>2045</v>
      </c>
      <c r="B5701">
        <v>80</v>
      </c>
      <c r="C5701" t="s">
        <v>8488</v>
      </c>
      <c r="D5701" t="s">
        <v>279</v>
      </c>
      <c r="E5701" s="13">
        <v>800</v>
      </c>
      <c r="F5701" s="12">
        <v>4.17</v>
      </c>
      <c r="G5701" t="str">
        <f>IFERROR(INDEX(tEditais[Órgão],MATCH(tItens[[#This Row],[Edital]],tEditais[Edital],0)),"")</f>
        <v>MUNICIPIO DE CRUZEIRO DO OESTE</v>
      </c>
      <c r="H5701" t="str">
        <f>IFERROR(INDEX(tEditais[UF],MATCH(tItens[[#This Row],[Edital]],tEditais[Edital],0)),"")</f>
        <v>PR</v>
      </c>
      <c r="I5701" s="11">
        <f>IFERROR(INDEX(tEditais[Encerramento],MATCH(tItens[[#This Row],[Edital]],tEditais[Edital],0)),"")</f>
        <v>46309.333333333336</v>
      </c>
      <c r="J5701" t="str">
        <f>IFERROR(INDEX(tProdutos[Classe],MATCH(tItens[[#This Row],[Produto]],tProdutos[Produto],0)),"produto não cadastrado")</f>
        <v>FORA</v>
      </c>
      <c r="K5701" s="12">
        <f>tItens[[#This Row],[Qtd]]*tItens[[#This Row],[Vlr unit]]</f>
        <v>3336</v>
      </c>
      <c r="L5701" s="6">
        <f>IFERROR(IF(INDEX(tProdutos[Desconto homologado],MATCH(tItens[[#This Row],[Produto]],tProdutos[Produto],0))="",DescontoPadrao,INDEX(tProdutos[Desconto homologado],MATCH(tItens[[#This Row],[Produto]],tProdutos[Produto],0))),DescontoPadrao)</f>
        <v>0.28909090909090901</v>
      </c>
      <c r="M5701" s="12">
        <f>tItens[[#This Row],[Valor]]*(1-tItens[[#This Row],[Desconto]])</f>
        <v>2371.5927272727272</v>
      </c>
      <c r="N5701" t="str">
        <f>IFERROR(INDEX(tProdutos[Foco],MATCH(tItens[[#This Row],[Produto]],tProdutos[Produto],0)),"Não")</f>
        <v>Não</v>
      </c>
      <c r="O5701" t="str">
        <f>IFERROR(INDEX(tEditais[SRP],MATCH(tItens[[#This Row],[Edital]],tEditais[Edital],0)),"Não")</f>
        <v>Não</v>
      </c>
      <c r="P5701" s="4">
        <f>IF(COUNTIFS(INDEX(tItens[Edital],1):tItens[[#This Row],[Edital]],tItens[[#This Row],[Edital]],INDEX(tItens[Produto],1):tItens[[#This Row],[Produto]],tItens[[#This Row],[Produto]])=1,1,0)</f>
        <v>1</v>
      </c>
    </row>
    <row r="5702" spans="1:16" x14ac:dyDescent="0.25">
      <c r="A5702" t="s">
        <v>2045</v>
      </c>
      <c r="B5702">
        <v>87</v>
      </c>
      <c r="C5702" t="s">
        <v>8489</v>
      </c>
      <c r="D5702" t="s">
        <v>343</v>
      </c>
      <c r="E5702" s="13">
        <v>2000</v>
      </c>
      <c r="F5702" s="12">
        <v>1.5</v>
      </c>
      <c r="G5702" t="str">
        <f>IFERROR(INDEX(tEditais[Órgão],MATCH(tItens[[#This Row],[Edital]],tEditais[Edital],0)),"")</f>
        <v>MUNICIPIO DE CRUZEIRO DO OESTE</v>
      </c>
      <c r="H5702" t="str">
        <f>IFERROR(INDEX(tEditais[UF],MATCH(tItens[[#This Row],[Edital]],tEditais[Edital],0)),"")</f>
        <v>PR</v>
      </c>
      <c r="I5702" s="11">
        <f>IFERROR(INDEX(tEditais[Encerramento],MATCH(tItens[[#This Row],[Edital]],tEditais[Edital],0)),"")</f>
        <v>46309.333333333336</v>
      </c>
      <c r="J5702" t="str">
        <f>IFERROR(INDEX(tProdutos[Classe],MATCH(tItens[[#This Row],[Produto]],tProdutos[Produto],0)),"produto não cadastrado")</f>
        <v>FORA</v>
      </c>
      <c r="K5702" s="12">
        <f>tItens[[#This Row],[Qtd]]*tItens[[#This Row],[Vlr unit]]</f>
        <v>3000</v>
      </c>
      <c r="L5702" s="6">
        <f>IFERROR(IF(INDEX(tProdutos[Desconto homologado],MATCH(tItens[[#This Row],[Produto]],tProdutos[Produto],0))="",DescontoPadrao,INDEX(tProdutos[Desconto homologado],MATCH(tItens[[#This Row],[Produto]],tProdutos[Produto],0))),DescontoPadrao)</f>
        <v>0.35412234042553198</v>
      </c>
      <c r="M5702" s="12">
        <f>tItens[[#This Row],[Valor]]*(1-tItens[[#This Row],[Desconto]])</f>
        <v>1937.632978723404</v>
      </c>
      <c r="N5702" t="str">
        <f>IFERROR(INDEX(tProdutos[Foco],MATCH(tItens[[#This Row],[Produto]],tProdutos[Produto],0)),"Não")</f>
        <v>Não</v>
      </c>
      <c r="O5702" t="str">
        <f>IFERROR(INDEX(tEditais[SRP],MATCH(tItens[[#This Row],[Edital]],tEditais[Edital],0)),"Não")</f>
        <v>Não</v>
      </c>
      <c r="P5702" s="4">
        <f>IF(COUNTIFS(INDEX(tItens[Edital],1):tItens[[#This Row],[Edital]],tItens[[#This Row],[Edital]],INDEX(tItens[Produto],1):tItens[[#This Row],[Produto]],tItens[[#This Row],[Produto]])=1,1,0)</f>
        <v>0</v>
      </c>
    </row>
    <row r="5703" spans="1:16" x14ac:dyDescent="0.25">
      <c r="A5703" t="s">
        <v>2045</v>
      </c>
      <c r="B5703">
        <v>103</v>
      </c>
      <c r="C5703" t="s">
        <v>8490</v>
      </c>
      <c r="D5703" t="s">
        <v>156</v>
      </c>
      <c r="E5703" s="13">
        <v>200</v>
      </c>
      <c r="F5703" s="12">
        <v>12.01</v>
      </c>
      <c r="G5703" t="str">
        <f>IFERROR(INDEX(tEditais[Órgão],MATCH(tItens[[#This Row],[Edital]],tEditais[Edital],0)),"")</f>
        <v>MUNICIPIO DE CRUZEIRO DO OESTE</v>
      </c>
      <c r="H5703" t="str">
        <f>IFERROR(INDEX(tEditais[UF],MATCH(tItens[[#This Row],[Edital]],tEditais[Edital],0)),"")</f>
        <v>PR</v>
      </c>
      <c r="I5703" s="11">
        <f>IFERROR(INDEX(tEditais[Encerramento],MATCH(tItens[[#This Row],[Edital]],tEditais[Edital],0)),"")</f>
        <v>46309.333333333336</v>
      </c>
      <c r="J5703" t="str">
        <f>IFERROR(INDEX(tProdutos[Classe],MATCH(tItens[[#This Row],[Produto]],tProdutos[Produto],0)),"produto não cadastrado")</f>
        <v>DISPUTADO</v>
      </c>
      <c r="K5703" s="12">
        <f>tItens[[#This Row],[Qtd]]*tItens[[#This Row],[Vlr unit]]</f>
        <v>2402</v>
      </c>
      <c r="L5703" s="6">
        <f>IFERROR(IF(INDEX(tProdutos[Desconto homologado],MATCH(tItens[[#This Row],[Produto]],tProdutos[Produto],0))="",DescontoPadrao,INDEX(tProdutos[Desconto homologado],MATCH(tItens[[#This Row],[Produto]],tProdutos[Produto],0))),DescontoPadrao)</f>
        <v>0.27131852489802799</v>
      </c>
      <c r="M5703" s="12">
        <f>tItens[[#This Row],[Valor]]*(1-tItens[[#This Row],[Desconto]])</f>
        <v>1750.2929031949368</v>
      </c>
      <c r="N5703" t="str">
        <f>IFERROR(INDEX(tProdutos[Foco],MATCH(tItens[[#This Row],[Produto]],tProdutos[Produto],0)),"Não")</f>
        <v>Não</v>
      </c>
      <c r="O5703" t="str">
        <f>IFERROR(INDEX(tEditais[SRP],MATCH(tItens[[#This Row],[Edital]],tEditais[Edital],0)),"Não")</f>
        <v>Não</v>
      </c>
      <c r="P5703" s="4">
        <f>IF(COUNTIFS(INDEX(tItens[Edital],1):tItens[[#This Row],[Edital]],tItens[[#This Row],[Edital]],INDEX(tItens[Produto],1):tItens[[#This Row],[Produto]],tItens[[#This Row],[Produto]])=1,1,0)</f>
        <v>1</v>
      </c>
    </row>
    <row r="5704" spans="1:16" x14ac:dyDescent="0.25">
      <c r="A5704" t="s">
        <v>2045</v>
      </c>
      <c r="B5704">
        <v>104</v>
      </c>
      <c r="C5704" t="s">
        <v>8491</v>
      </c>
      <c r="D5704" t="s">
        <v>120</v>
      </c>
      <c r="E5704" s="13">
        <v>4000</v>
      </c>
      <c r="F5704" s="12">
        <v>0.6</v>
      </c>
      <c r="G5704" t="str">
        <f>IFERROR(INDEX(tEditais[Órgão],MATCH(tItens[[#This Row],[Edital]],tEditais[Edital],0)),"")</f>
        <v>MUNICIPIO DE CRUZEIRO DO OESTE</v>
      </c>
      <c r="H5704" t="str">
        <f>IFERROR(INDEX(tEditais[UF],MATCH(tItens[[#This Row],[Edital]],tEditais[Edital],0)),"")</f>
        <v>PR</v>
      </c>
      <c r="I5704" s="11">
        <f>IFERROR(INDEX(tEditais[Encerramento],MATCH(tItens[[#This Row],[Edital]],tEditais[Edital],0)),"")</f>
        <v>46309.333333333336</v>
      </c>
      <c r="J5704" t="str">
        <f>IFERROR(INDEX(tProdutos[Classe],MATCH(tItens[[#This Row],[Produto]],tProdutos[Produto],0)),"produto não cadastrado")</f>
        <v>DISPUTADO</v>
      </c>
      <c r="K5704" s="12">
        <f>tItens[[#This Row],[Qtd]]*tItens[[#This Row],[Vlr unit]]</f>
        <v>2400</v>
      </c>
      <c r="L5704" s="6">
        <f>IFERROR(IF(INDEX(tProdutos[Desconto homologado],MATCH(tItens[[#This Row],[Produto]],tProdutos[Produto],0))="",DescontoPadrao,INDEX(tProdutos[Desconto homologado],MATCH(tItens[[#This Row],[Produto]],tProdutos[Produto],0))),DescontoPadrao)</f>
        <v>0.40909090909090901</v>
      </c>
      <c r="M5704" s="12">
        <f>tItens[[#This Row],[Valor]]*(1-tItens[[#This Row],[Desconto]])</f>
        <v>1418.1818181818185</v>
      </c>
      <c r="N5704" t="str">
        <f>IFERROR(INDEX(tProdutos[Foco],MATCH(tItens[[#This Row],[Produto]],tProdutos[Produto],0)),"Não")</f>
        <v>Não</v>
      </c>
      <c r="O5704" t="str">
        <f>IFERROR(INDEX(tEditais[SRP],MATCH(tItens[[#This Row],[Edital]],tEditais[Edital],0)),"Não")</f>
        <v>Não</v>
      </c>
      <c r="P5704" s="4">
        <f>IF(COUNTIFS(INDEX(tItens[Edital],1):tItens[[#This Row],[Edital]],tItens[[#This Row],[Edital]],INDEX(tItens[Produto],1):tItens[[#This Row],[Produto]],tItens[[#This Row],[Produto]])=1,1,0)</f>
        <v>0</v>
      </c>
    </row>
    <row r="5705" spans="1:16" x14ac:dyDescent="0.25">
      <c r="A5705" t="s">
        <v>2045</v>
      </c>
      <c r="B5705">
        <v>116</v>
      </c>
      <c r="C5705" t="s">
        <v>8492</v>
      </c>
      <c r="D5705" t="s">
        <v>75</v>
      </c>
      <c r="E5705" s="13">
        <v>1000</v>
      </c>
      <c r="F5705" s="12">
        <v>2.13</v>
      </c>
      <c r="G5705" t="str">
        <f>IFERROR(INDEX(tEditais[Órgão],MATCH(tItens[[#This Row],[Edital]],tEditais[Edital],0)),"")</f>
        <v>MUNICIPIO DE CRUZEIRO DO OESTE</v>
      </c>
      <c r="H5705" t="str">
        <f>IFERROR(INDEX(tEditais[UF],MATCH(tItens[[#This Row],[Edital]],tEditais[Edital],0)),"")</f>
        <v>PR</v>
      </c>
      <c r="I5705" s="11">
        <f>IFERROR(INDEX(tEditais[Encerramento],MATCH(tItens[[#This Row],[Edital]],tEditais[Edital],0)),"")</f>
        <v>46309.333333333336</v>
      </c>
      <c r="J5705" t="str">
        <f>IFERROR(INDEX(tProdutos[Classe],MATCH(tItens[[#This Row],[Produto]],tProdutos[Produto],0)),"produto não cadastrado")</f>
        <v>NÚCLEO</v>
      </c>
      <c r="K5705" s="12">
        <f>tItens[[#This Row],[Qtd]]*tItens[[#This Row],[Vlr unit]]</f>
        <v>2130</v>
      </c>
      <c r="L5705" s="6">
        <f>IFERROR(IF(INDEX(tProdutos[Desconto homologado],MATCH(tItens[[#This Row],[Produto]],tProdutos[Produto],0))="",DescontoPadrao,INDEX(tProdutos[Desconto homologado],MATCH(tItens[[#This Row],[Produto]],tProdutos[Produto],0))),DescontoPadrao)</f>
        <v>0.26</v>
      </c>
      <c r="M5705" s="12">
        <f>tItens[[#This Row],[Valor]]*(1-tItens[[#This Row],[Desconto]])</f>
        <v>1576.2</v>
      </c>
      <c r="N5705" t="str">
        <f>IFERROR(INDEX(tProdutos[Foco],MATCH(tItens[[#This Row],[Produto]],tProdutos[Produto],0)),"Não")</f>
        <v>Sim</v>
      </c>
      <c r="O5705" t="str">
        <f>IFERROR(INDEX(tEditais[SRP],MATCH(tItens[[#This Row],[Edital]],tEditais[Edital],0)),"Não")</f>
        <v>Não</v>
      </c>
      <c r="P5705" s="4">
        <f>IF(COUNTIFS(INDEX(tItens[Edital],1):tItens[[#This Row],[Edital]],tItens[[#This Row],[Edital]],INDEX(tItens[Produto],1):tItens[[#This Row],[Produto]],tItens[[#This Row],[Produto]])=1,1,0)</f>
        <v>0</v>
      </c>
    </row>
    <row r="5706" spans="1:16" x14ac:dyDescent="0.25">
      <c r="A5706" t="s">
        <v>2045</v>
      </c>
      <c r="B5706">
        <v>117</v>
      </c>
      <c r="C5706" t="s">
        <v>8493</v>
      </c>
      <c r="D5706" t="s">
        <v>114</v>
      </c>
      <c r="E5706" s="13">
        <v>300</v>
      </c>
      <c r="F5706" s="12">
        <v>7.03</v>
      </c>
      <c r="G5706" t="str">
        <f>IFERROR(INDEX(tEditais[Órgão],MATCH(tItens[[#This Row],[Edital]],tEditais[Edital],0)),"")</f>
        <v>MUNICIPIO DE CRUZEIRO DO OESTE</v>
      </c>
      <c r="H5706" t="str">
        <f>IFERROR(INDEX(tEditais[UF],MATCH(tItens[[#This Row],[Edital]],tEditais[Edital],0)),"")</f>
        <v>PR</v>
      </c>
      <c r="I5706" s="11">
        <f>IFERROR(INDEX(tEditais[Encerramento],MATCH(tItens[[#This Row],[Edital]],tEditais[Edital],0)),"")</f>
        <v>46309.333333333336</v>
      </c>
      <c r="J5706" t="str">
        <f>IFERROR(INDEX(tProdutos[Classe],MATCH(tItens[[#This Row],[Produto]],tProdutos[Produto],0)),"produto não cadastrado")</f>
        <v>DISPUTADO</v>
      </c>
      <c r="K5706" s="12">
        <f>tItens[[#This Row],[Qtd]]*tItens[[#This Row],[Vlr unit]]</f>
        <v>2109</v>
      </c>
      <c r="L5706" s="6">
        <f>IFERROR(IF(INDEX(tProdutos[Desconto homologado],MATCH(tItens[[#This Row],[Produto]],tProdutos[Produto],0))="",DescontoPadrao,INDEX(tProdutos[Desconto homologado],MATCH(tItens[[#This Row],[Produto]],tProdutos[Produto],0))),DescontoPadrao)</f>
        <v>0.24332656063896899</v>
      </c>
      <c r="M5706" s="12">
        <f>tItens[[#This Row],[Valor]]*(1-tItens[[#This Row],[Desconto]])</f>
        <v>1595.8242836124145</v>
      </c>
      <c r="N5706" t="str">
        <f>IFERROR(INDEX(tProdutos[Foco],MATCH(tItens[[#This Row],[Produto]],tProdutos[Produto],0)),"Não")</f>
        <v>Não</v>
      </c>
      <c r="O5706" t="str">
        <f>IFERROR(INDEX(tEditais[SRP],MATCH(tItens[[#This Row],[Edital]],tEditais[Edital],0)),"Não")</f>
        <v>Não</v>
      </c>
      <c r="P5706" s="4">
        <f>IF(COUNTIFS(INDEX(tItens[Edital],1):tItens[[#This Row],[Edital]],tItens[[#This Row],[Edital]],INDEX(tItens[Produto],1):tItens[[#This Row],[Produto]],tItens[[#This Row],[Produto]])=1,1,0)</f>
        <v>1</v>
      </c>
    </row>
    <row r="5707" spans="1:16" x14ac:dyDescent="0.25">
      <c r="A5707" t="s">
        <v>2045</v>
      </c>
      <c r="B5707">
        <v>123</v>
      </c>
      <c r="C5707" t="s">
        <v>8494</v>
      </c>
      <c r="D5707" t="s">
        <v>494</v>
      </c>
      <c r="E5707" s="13">
        <v>10</v>
      </c>
      <c r="F5707" s="12">
        <v>189.15</v>
      </c>
      <c r="G5707" t="str">
        <f>IFERROR(INDEX(tEditais[Órgão],MATCH(tItens[[#This Row],[Edital]],tEditais[Edital],0)),"")</f>
        <v>MUNICIPIO DE CRUZEIRO DO OESTE</v>
      </c>
      <c r="H5707" t="str">
        <f>IFERROR(INDEX(tEditais[UF],MATCH(tItens[[#This Row],[Edital]],tEditais[Edital],0)),"")</f>
        <v>PR</v>
      </c>
      <c r="I5707" s="11">
        <f>IFERROR(INDEX(tEditais[Encerramento],MATCH(tItens[[#This Row],[Edital]],tEditais[Edital],0)),"")</f>
        <v>46309.333333333336</v>
      </c>
      <c r="J5707" t="str">
        <f>IFERROR(INDEX(tProdutos[Classe],MATCH(tItens[[#This Row],[Produto]],tProdutos[Produto],0)),"produto não cadastrado")</f>
        <v>FILA REBASE</v>
      </c>
      <c r="K5707" s="12">
        <f>tItens[[#This Row],[Qtd]]*tItens[[#This Row],[Vlr unit]]</f>
        <v>1891.5</v>
      </c>
      <c r="L5707" s="6">
        <f>IFERROR(IF(INDEX(tProdutos[Desconto homologado],MATCH(tItens[[#This Row],[Produto]],tProdutos[Produto],0))="",DescontoPadrao,INDEX(tProdutos[Desconto homologado],MATCH(tItens[[#This Row],[Produto]],tProdutos[Produto],0))),DescontoPadrao)</f>
        <v>0.253736324829619</v>
      </c>
      <c r="M5707" s="12">
        <f>tItens[[#This Row],[Valor]]*(1-tItens[[#This Row],[Desconto]])</f>
        <v>1411.5577415847758</v>
      </c>
      <c r="N5707" t="str">
        <f>IFERROR(INDEX(tProdutos[Foco],MATCH(tItens[[#This Row],[Produto]],tProdutos[Produto],0)),"Não")</f>
        <v>Não</v>
      </c>
      <c r="O5707" t="str">
        <f>IFERROR(INDEX(tEditais[SRP],MATCH(tItens[[#This Row],[Edital]],tEditais[Edital],0)),"Não")</f>
        <v>Não</v>
      </c>
      <c r="P5707" s="4">
        <f>IF(COUNTIFS(INDEX(tItens[Edital],1):tItens[[#This Row],[Edital]],tItens[[#This Row],[Edital]],INDEX(tItens[Produto],1):tItens[[#This Row],[Produto]],tItens[[#This Row],[Produto]])=1,1,0)</f>
        <v>0</v>
      </c>
    </row>
    <row r="5708" spans="1:16" x14ac:dyDescent="0.25">
      <c r="A5708" t="s">
        <v>2045</v>
      </c>
      <c r="B5708">
        <v>126</v>
      </c>
      <c r="C5708" t="s">
        <v>8495</v>
      </c>
      <c r="D5708" t="s">
        <v>120</v>
      </c>
      <c r="E5708" s="13">
        <v>3000</v>
      </c>
      <c r="F5708" s="12">
        <v>0.61</v>
      </c>
      <c r="G5708" t="str">
        <f>IFERROR(INDEX(tEditais[Órgão],MATCH(tItens[[#This Row],[Edital]],tEditais[Edital],0)),"")</f>
        <v>MUNICIPIO DE CRUZEIRO DO OESTE</v>
      </c>
      <c r="H5708" t="str">
        <f>IFERROR(INDEX(tEditais[UF],MATCH(tItens[[#This Row],[Edital]],tEditais[Edital],0)),"")</f>
        <v>PR</v>
      </c>
      <c r="I5708" s="11">
        <f>IFERROR(INDEX(tEditais[Encerramento],MATCH(tItens[[#This Row],[Edital]],tEditais[Edital],0)),"")</f>
        <v>46309.333333333336</v>
      </c>
      <c r="J5708" t="str">
        <f>IFERROR(INDEX(tProdutos[Classe],MATCH(tItens[[#This Row],[Produto]],tProdutos[Produto],0)),"produto não cadastrado")</f>
        <v>DISPUTADO</v>
      </c>
      <c r="K5708" s="12">
        <f>tItens[[#This Row],[Qtd]]*tItens[[#This Row],[Vlr unit]]</f>
        <v>1830</v>
      </c>
      <c r="L5708" s="6">
        <f>IFERROR(IF(INDEX(tProdutos[Desconto homologado],MATCH(tItens[[#This Row],[Produto]],tProdutos[Produto],0))="",DescontoPadrao,INDEX(tProdutos[Desconto homologado],MATCH(tItens[[#This Row],[Produto]],tProdutos[Produto],0))),DescontoPadrao)</f>
        <v>0.40909090909090901</v>
      </c>
      <c r="M5708" s="12">
        <f>tItens[[#This Row],[Valor]]*(1-tItens[[#This Row],[Desconto]])</f>
        <v>1081.3636363636367</v>
      </c>
      <c r="N5708" t="str">
        <f>IFERROR(INDEX(tProdutos[Foco],MATCH(tItens[[#This Row],[Produto]],tProdutos[Produto],0)),"Não")</f>
        <v>Não</v>
      </c>
      <c r="O5708" t="str">
        <f>IFERROR(INDEX(tEditais[SRP],MATCH(tItens[[#This Row],[Edital]],tEditais[Edital],0)),"Não")</f>
        <v>Não</v>
      </c>
      <c r="P5708" s="4">
        <f>IF(COUNTIFS(INDEX(tItens[Edital],1):tItens[[#This Row],[Edital]],tItens[[#This Row],[Edital]],INDEX(tItens[Produto],1):tItens[[#This Row],[Produto]],tItens[[#This Row],[Produto]])=1,1,0)</f>
        <v>0</v>
      </c>
    </row>
    <row r="5709" spans="1:16" x14ac:dyDescent="0.25">
      <c r="A5709" t="s">
        <v>2045</v>
      </c>
      <c r="B5709">
        <v>129</v>
      </c>
      <c r="C5709" t="s">
        <v>8496</v>
      </c>
      <c r="D5709" t="s">
        <v>611</v>
      </c>
      <c r="E5709" s="13">
        <v>10</v>
      </c>
      <c r="F5709" s="12">
        <v>171.55</v>
      </c>
      <c r="G5709" t="str">
        <f>IFERROR(INDEX(tEditais[Órgão],MATCH(tItens[[#This Row],[Edital]],tEditais[Edital],0)),"")</f>
        <v>MUNICIPIO DE CRUZEIRO DO OESTE</v>
      </c>
      <c r="H5709" t="str">
        <f>IFERROR(INDEX(tEditais[UF],MATCH(tItens[[#This Row],[Edital]],tEditais[Edital],0)),"")</f>
        <v>PR</v>
      </c>
      <c r="I5709" s="11">
        <f>IFERROR(INDEX(tEditais[Encerramento],MATCH(tItens[[#This Row],[Edital]],tEditais[Edital],0)),"")</f>
        <v>46309.333333333336</v>
      </c>
      <c r="J5709" t="str">
        <f>IFERROR(INDEX(tProdutos[Classe],MATCH(tItens[[#This Row],[Produto]],tProdutos[Produto],0)),"produto não cadastrado")</f>
        <v>FILA REBASE</v>
      </c>
      <c r="K5709" s="12">
        <f>tItens[[#This Row],[Qtd]]*tItens[[#This Row],[Vlr unit]]</f>
        <v>1715.5</v>
      </c>
      <c r="L5709" s="6">
        <f>IFERROR(IF(INDEX(tProdutos[Desconto homologado],MATCH(tItens[[#This Row],[Produto]],tProdutos[Produto],0))="",DescontoPadrao,INDEX(tProdutos[Desconto homologado],MATCH(tItens[[#This Row],[Produto]],tProdutos[Produto],0))),DescontoPadrao)</f>
        <v>0.3</v>
      </c>
      <c r="M5709" s="12">
        <f>tItens[[#This Row],[Valor]]*(1-tItens[[#This Row],[Desconto]])</f>
        <v>1200.8499999999999</v>
      </c>
      <c r="N5709" t="str">
        <f>IFERROR(INDEX(tProdutos[Foco],MATCH(tItens[[#This Row],[Produto]],tProdutos[Produto],0)),"Não")</f>
        <v>Não</v>
      </c>
      <c r="O5709" t="str">
        <f>IFERROR(INDEX(tEditais[SRP],MATCH(tItens[[#This Row],[Edital]],tEditais[Edital],0)),"Não")</f>
        <v>Não</v>
      </c>
      <c r="P5709" s="4">
        <f>IF(COUNTIFS(INDEX(tItens[Edital],1):tItens[[#This Row],[Edital]],tItens[[#This Row],[Edital]],INDEX(tItens[Produto],1):tItens[[#This Row],[Produto]],tItens[[#This Row],[Produto]])=1,1,0)</f>
        <v>1</v>
      </c>
    </row>
    <row r="5710" spans="1:16" x14ac:dyDescent="0.25">
      <c r="A5710" t="s">
        <v>2045</v>
      </c>
      <c r="B5710">
        <v>141</v>
      </c>
      <c r="C5710" t="s">
        <v>8497</v>
      </c>
      <c r="D5710" t="s">
        <v>411</v>
      </c>
      <c r="E5710" s="13">
        <v>40</v>
      </c>
      <c r="F5710" s="12">
        <v>36.659999999999997</v>
      </c>
      <c r="G5710" t="str">
        <f>IFERROR(INDEX(tEditais[Órgão],MATCH(tItens[[#This Row],[Edital]],tEditais[Edital],0)),"")</f>
        <v>MUNICIPIO DE CRUZEIRO DO OESTE</v>
      </c>
      <c r="H5710" t="str">
        <f>IFERROR(INDEX(tEditais[UF],MATCH(tItens[[#This Row],[Edital]],tEditais[Edital],0)),"")</f>
        <v>PR</v>
      </c>
      <c r="I5710" s="11">
        <f>IFERROR(INDEX(tEditais[Encerramento],MATCH(tItens[[#This Row],[Edital]],tEditais[Edital],0)),"")</f>
        <v>46309.333333333336</v>
      </c>
      <c r="J5710" t="str">
        <f>IFERROR(INDEX(tProdutos[Classe],MATCH(tItens[[#This Row],[Produto]],tProdutos[Produto],0)),"produto não cadastrado")</f>
        <v>FORA</v>
      </c>
      <c r="K5710" s="12">
        <f>tItens[[#This Row],[Qtd]]*tItens[[#This Row],[Vlr unit]]</f>
        <v>1466.3999999999999</v>
      </c>
      <c r="L5710" s="6">
        <f>IFERROR(IF(INDEX(tProdutos[Desconto homologado],MATCH(tItens[[#This Row],[Produto]],tProdutos[Produto],0))="",DescontoPadrao,INDEX(tProdutos[Desconto homologado],MATCH(tItens[[#This Row],[Produto]],tProdutos[Produto],0))),DescontoPadrao)</f>
        <v>0.50029835957199398</v>
      </c>
      <c r="M5710" s="12">
        <f>tItens[[#This Row],[Valor]]*(1-tItens[[#This Row],[Desconto]])</f>
        <v>732.76248552362802</v>
      </c>
      <c r="N5710" t="str">
        <f>IFERROR(INDEX(tProdutos[Foco],MATCH(tItens[[#This Row],[Produto]],tProdutos[Produto],0)),"Não")</f>
        <v>Não</v>
      </c>
      <c r="O5710" t="str">
        <f>IFERROR(INDEX(tEditais[SRP],MATCH(tItens[[#This Row],[Edital]],tEditais[Edital],0)),"Não")</f>
        <v>Não</v>
      </c>
      <c r="P5710" s="4">
        <f>IF(COUNTIFS(INDEX(tItens[Edital],1):tItens[[#This Row],[Edital]],tItens[[#This Row],[Edital]],INDEX(tItens[Produto],1):tItens[[#This Row],[Produto]],tItens[[#This Row],[Produto]])=1,1,0)</f>
        <v>1</v>
      </c>
    </row>
    <row r="5711" spans="1:16" x14ac:dyDescent="0.25">
      <c r="A5711" t="s">
        <v>2045</v>
      </c>
      <c r="B5711">
        <v>150</v>
      </c>
      <c r="C5711" t="s">
        <v>8498</v>
      </c>
      <c r="D5711" t="s">
        <v>279</v>
      </c>
      <c r="E5711" s="13">
        <v>4000</v>
      </c>
      <c r="F5711" s="12">
        <v>0.34</v>
      </c>
      <c r="G5711" t="str">
        <f>IFERROR(INDEX(tEditais[Órgão],MATCH(tItens[[#This Row],[Edital]],tEditais[Edital],0)),"")</f>
        <v>MUNICIPIO DE CRUZEIRO DO OESTE</v>
      </c>
      <c r="H5711" t="str">
        <f>IFERROR(INDEX(tEditais[UF],MATCH(tItens[[#This Row],[Edital]],tEditais[Edital],0)),"")</f>
        <v>PR</v>
      </c>
      <c r="I5711" s="11">
        <f>IFERROR(INDEX(tEditais[Encerramento],MATCH(tItens[[#This Row],[Edital]],tEditais[Edital],0)),"")</f>
        <v>46309.333333333336</v>
      </c>
      <c r="J5711" t="str">
        <f>IFERROR(INDEX(tProdutos[Classe],MATCH(tItens[[#This Row],[Produto]],tProdutos[Produto],0)),"produto não cadastrado")</f>
        <v>FORA</v>
      </c>
      <c r="K5711" s="12">
        <f>tItens[[#This Row],[Qtd]]*tItens[[#This Row],[Vlr unit]]</f>
        <v>1360</v>
      </c>
      <c r="L5711" s="6">
        <f>IFERROR(IF(INDEX(tProdutos[Desconto homologado],MATCH(tItens[[#This Row],[Produto]],tProdutos[Produto],0))="",DescontoPadrao,INDEX(tProdutos[Desconto homologado],MATCH(tItens[[#This Row],[Produto]],tProdutos[Produto],0))),DescontoPadrao)</f>
        <v>0.28909090909090901</v>
      </c>
      <c r="M5711" s="12">
        <f>tItens[[#This Row],[Valor]]*(1-tItens[[#This Row],[Desconto]])</f>
        <v>966.83636363636367</v>
      </c>
      <c r="N5711" t="str">
        <f>IFERROR(INDEX(tProdutos[Foco],MATCH(tItens[[#This Row],[Produto]],tProdutos[Produto],0)),"Não")</f>
        <v>Não</v>
      </c>
      <c r="O5711" t="str">
        <f>IFERROR(INDEX(tEditais[SRP],MATCH(tItens[[#This Row],[Edital]],tEditais[Edital],0)),"Não")</f>
        <v>Não</v>
      </c>
      <c r="P5711" s="4">
        <f>IF(COUNTIFS(INDEX(tItens[Edital],1):tItens[[#This Row],[Edital]],tItens[[#This Row],[Edital]],INDEX(tItens[Produto],1):tItens[[#This Row],[Produto]],tItens[[#This Row],[Produto]])=1,1,0)</f>
        <v>0</v>
      </c>
    </row>
    <row r="5712" spans="1:16" x14ac:dyDescent="0.25">
      <c r="A5712" t="s">
        <v>2045</v>
      </c>
      <c r="B5712">
        <v>153</v>
      </c>
      <c r="C5712" t="s">
        <v>8499</v>
      </c>
      <c r="D5712" t="s">
        <v>118</v>
      </c>
      <c r="E5712" s="13">
        <v>5</v>
      </c>
      <c r="F5712" s="12">
        <v>248.27</v>
      </c>
      <c r="G5712" t="str">
        <f>IFERROR(INDEX(tEditais[Órgão],MATCH(tItens[[#This Row],[Edital]],tEditais[Edital],0)),"")</f>
        <v>MUNICIPIO DE CRUZEIRO DO OESTE</v>
      </c>
      <c r="H5712" t="str">
        <f>IFERROR(INDEX(tEditais[UF],MATCH(tItens[[#This Row],[Edital]],tEditais[Edital],0)),"")</f>
        <v>PR</v>
      </c>
      <c r="I5712" s="11">
        <f>IFERROR(INDEX(tEditais[Encerramento],MATCH(tItens[[#This Row],[Edital]],tEditais[Edital],0)),"")</f>
        <v>46309.333333333336</v>
      </c>
      <c r="J5712" t="str">
        <f>IFERROR(INDEX(tProdutos[Classe],MATCH(tItens[[#This Row],[Produto]],tProdutos[Produto],0)),"produto não cadastrado")</f>
        <v>DISPUTADO</v>
      </c>
      <c r="K5712" s="12">
        <f>tItens[[#This Row],[Qtd]]*tItens[[#This Row],[Vlr unit]]</f>
        <v>1241.3500000000001</v>
      </c>
      <c r="L5712" s="6">
        <f>IFERROR(IF(INDEX(tProdutos[Desconto homologado],MATCH(tItens[[#This Row],[Produto]],tProdutos[Produto],0))="",DescontoPadrao,INDEX(tProdutos[Desconto homologado],MATCH(tItens[[#This Row],[Produto]],tProdutos[Produto],0))),DescontoPadrao)</f>
        <v>0.45970952208503602</v>
      </c>
      <c r="M5712" s="12">
        <f>tItens[[#This Row],[Valor]]*(1-tItens[[#This Row],[Desconto]])</f>
        <v>670.68958475974057</v>
      </c>
      <c r="N5712" t="str">
        <f>IFERROR(INDEX(tProdutos[Foco],MATCH(tItens[[#This Row],[Produto]],tProdutos[Produto],0)),"Não")</f>
        <v>Não</v>
      </c>
      <c r="O5712" t="str">
        <f>IFERROR(INDEX(tEditais[SRP],MATCH(tItens[[#This Row],[Edital]],tEditais[Edital],0)),"Não")</f>
        <v>Não</v>
      </c>
      <c r="P5712" s="4">
        <f>IF(COUNTIFS(INDEX(tItens[Edital],1):tItens[[#This Row],[Edital]],tItens[[#This Row],[Edital]],INDEX(tItens[Produto],1):tItens[[#This Row],[Produto]],tItens[[#This Row],[Produto]])=1,1,0)</f>
        <v>1</v>
      </c>
    </row>
    <row r="5713" spans="1:16" x14ac:dyDescent="0.25">
      <c r="A5713" t="s">
        <v>2045</v>
      </c>
      <c r="B5713">
        <v>157</v>
      </c>
      <c r="C5713" t="s">
        <v>8500</v>
      </c>
      <c r="D5713" t="s">
        <v>142</v>
      </c>
      <c r="E5713" s="13">
        <v>300</v>
      </c>
      <c r="F5713" s="12">
        <v>4.01</v>
      </c>
      <c r="G5713" t="str">
        <f>IFERROR(INDEX(tEditais[Órgão],MATCH(tItens[[#This Row],[Edital]],tEditais[Edital],0)),"")</f>
        <v>MUNICIPIO DE CRUZEIRO DO OESTE</v>
      </c>
      <c r="H5713" t="str">
        <f>IFERROR(INDEX(tEditais[UF],MATCH(tItens[[#This Row],[Edital]],tEditais[Edital],0)),"")</f>
        <v>PR</v>
      </c>
      <c r="I5713" s="11">
        <f>IFERROR(INDEX(tEditais[Encerramento],MATCH(tItens[[#This Row],[Edital]],tEditais[Edital],0)),"")</f>
        <v>46309.333333333336</v>
      </c>
      <c r="J5713" t="str">
        <f>IFERROR(INDEX(tProdutos[Classe],MATCH(tItens[[#This Row],[Produto]],tProdutos[Produto],0)),"produto não cadastrado")</f>
        <v>DISPUTADO</v>
      </c>
      <c r="K5713" s="12">
        <f>tItens[[#This Row],[Qtd]]*tItens[[#This Row],[Vlr unit]]</f>
        <v>1203</v>
      </c>
      <c r="L5713" s="6">
        <f>IFERROR(IF(INDEX(tProdutos[Desconto homologado],MATCH(tItens[[#This Row],[Produto]],tProdutos[Produto],0))="",DescontoPadrao,INDEX(tProdutos[Desconto homologado],MATCH(tItens[[#This Row],[Produto]],tProdutos[Produto],0))),DescontoPadrao)</f>
        <v>0.37093619495691699</v>
      </c>
      <c r="M5713" s="12">
        <f>tItens[[#This Row],[Valor]]*(1-tItens[[#This Row],[Desconto]])</f>
        <v>756.76375746682891</v>
      </c>
      <c r="N5713" t="str">
        <f>IFERROR(INDEX(tProdutos[Foco],MATCH(tItens[[#This Row],[Produto]],tProdutos[Produto],0)),"Não")</f>
        <v>Não</v>
      </c>
      <c r="O5713" t="str">
        <f>IFERROR(INDEX(tEditais[SRP],MATCH(tItens[[#This Row],[Edital]],tEditais[Edital],0)),"Não")</f>
        <v>Não</v>
      </c>
      <c r="P5713" s="4">
        <f>IF(COUNTIFS(INDEX(tItens[Edital],1):tItens[[#This Row],[Edital]],tItens[[#This Row],[Edital]],INDEX(tItens[Produto],1):tItens[[#This Row],[Produto]],tItens[[#This Row],[Produto]])=1,1,0)</f>
        <v>1</v>
      </c>
    </row>
    <row r="5714" spans="1:16" x14ac:dyDescent="0.25">
      <c r="A5714" t="s">
        <v>2045</v>
      </c>
      <c r="B5714">
        <v>160</v>
      </c>
      <c r="C5714" t="s">
        <v>8501</v>
      </c>
      <c r="D5714" t="s">
        <v>403</v>
      </c>
      <c r="E5714" s="13">
        <v>1500</v>
      </c>
      <c r="F5714" s="12">
        <v>0.77</v>
      </c>
      <c r="G5714" t="str">
        <f>IFERROR(INDEX(tEditais[Órgão],MATCH(tItens[[#This Row],[Edital]],tEditais[Edital],0)),"")</f>
        <v>MUNICIPIO DE CRUZEIRO DO OESTE</v>
      </c>
      <c r="H5714" t="str">
        <f>IFERROR(INDEX(tEditais[UF],MATCH(tItens[[#This Row],[Edital]],tEditais[Edital],0)),"")</f>
        <v>PR</v>
      </c>
      <c r="I5714" s="11">
        <f>IFERROR(INDEX(tEditais[Encerramento],MATCH(tItens[[#This Row],[Edital]],tEditais[Edital],0)),"")</f>
        <v>46309.333333333336</v>
      </c>
      <c r="J5714" t="str">
        <f>IFERROR(INDEX(tProdutos[Classe],MATCH(tItens[[#This Row],[Produto]],tProdutos[Produto],0)),"produto não cadastrado")</f>
        <v>FORA</v>
      </c>
      <c r="K5714" s="12">
        <f>tItens[[#This Row],[Qtd]]*tItens[[#This Row],[Vlr unit]]</f>
        <v>1155</v>
      </c>
      <c r="L5714" s="6">
        <f>IFERROR(IF(INDEX(tProdutos[Desconto homologado],MATCH(tItens[[#This Row],[Produto]],tProdutos[Produto],0))="",DescontoPadrao,INDEX(tProdutos[Desconto homologado],MATCH(tItens[[#This Row],[Produto]],tProdutos[Produto],0))),DescontoPadrao)</f>
        <v>0.35326086956521702</v>
      </c>
      <c r="M5714" s="12">
        <f>tItens[[#This Row],[Valor]]*(1-tItens[[#This Row],[Desconto]])</f>
        <v>746.98369565217433</v>
      </c>
      <c r="N5714" t="str">
        <f>IFERROR(INDEX(tProdutos[Foco],MATCH(tItens[[#This Row],[Produto]],tProdutos[Produto],0)),"Não")</f>
        <v>Não</v>
      </c>
      <c r="O5714" t="str">
        <f>IFERROR(INDEX(tEditais[SRP],MATCH(tItens[[#This Row],[Edital]],tEditais[Edital],0)),"Não")</f>
        <v>Não</v>
      </c>
      <c r="P5714" s="4">
        <f>IF(COUNTIFS(INDEX(tItens[Edital],1):tItens[[#This Row],[Edital]],tItens[[#This Row],[Edital]],INDEX(tItens[Produto],1):tItens[[#This Row],[Produto]],tItens[[#This Row],[Produto]])=1,1,0)</f>
        <v>1</v>
      </c>
    </row>
    <row r="5715" spans="1:16" x14ac:dyDescent="0.25">
      <c r="A5715" t="s">
        <v>2045</v>
      </c>
      <c r="B5715">
        <v>170</v>
      </c>
      <c r="C5715" t="s">
        <v>8502</v>
      </c>
      <c r="D5715" t="s">
        <v>670</v>
      </c>
      <c r="E5715" s="13">
        <v>10</v>
      </c>
      <c r="F5715" s="12">
        <v>97.82</v>
      </c>
      <c r="G5715" t="str">
        <f>IFERROR(INDEX(tEditais[Órgão],MATCH(tItens[[#This Row],[Edital]],tEditais[Edital],0)),"")</f>
        <v>MUNICIPIO DE CRUZEIRO DO OESTE</v>
      </c>
      <c r="H5715" t="str">
        <f>IFERROR(INDEX(tEditais[UF],MATCH(tItens[[#This Row],[Edital]],tEditais[Edital],0)),"")</f>
        <v>PR</v>
      </c>
      <c r="I5715" s="11">
        <f>IFERROR(INDEX(tEditais[Encerramento],MATCH(tItens[[#This Row],[Edital]],tEditais[Edital],0)),"")</f>
        <v>46309.333333333336</v>
      </c>
      <c r="J5715" t="str">
        <f>IFERROR(INDEX(tProdutos[Classe],MATCH(tItens[[#This Row],[Produto]],tProdutos[Produto],0)),"produto não cadastrado")</f>
        <v>FILA REBASE</v>
      </c>
      <c r="K5715" s="12">
        <f>tItens[[#This Row],[Qtd]]*tItens[[#This Row],[Vlr unit]]</f>
        <v>978.19999999999993</v>
      </c>
      <c r="L5715" s="6">
        <f>IFERROR(IF(INDEX(tProdutos[Desconto homologado],MATCH(tItens[[#This Row],[Produto]],tProdutos[Produto],0))="",DescontoPadrao,INDEX(tProdutos[Desconto homologado],MATCH(tItens[[#This Row],[Produto]],tProdutos[Produto],0))),DescontoPadrao)</f>
        <v>0.53825503355704696</v>
      </c>
      <c r="M5715" s="12">
        <f>tItens[[#This Row],[Valor]]*(1-tItens[[#This Row],[Desconto]])</f>
        <v>451.67892617449661</v>
      </c>
      <c r="N5715" t="str">
        <f>IFERROR(INDEX(tProdutos[Foco],MATCH(tItens[[#This Row],[Produto]],tProdutos[Produto],0)),"Não")</f>
        <v>Não</v>
      </c>
      <c r="O5715" t="str">
        <f>IFERROR(INDEX(tEditais[SRP],MATCH(tItens[[#This Row],[Edital]],tEditais[Edital],0)),"Não")</f>
        <v>Não</v>
      </c>
      <c r="P5715" s="4">
        <f>IF(COUNTIFS(INDEX(tItens[Edital],1):tItens[[#This Row],[Edital]],tItens[[#This Row],[Edital]],INDEX(tItens[Produto],1):tItens[[#This Row],[Produto]],tItens[[#This Row],[Produto]])=1,1,0)</f>
        <v>1</v>
      </c>
    </row>
    <row r="5716" spans="1:16" x14ac:dyDescent="0.25">
      <c r="A5716" t="s">
        <v>2045</v>
      </c>
      <c r="B5716">
        <v>180</v>
      </c>
      <c r="C5716" t="s">
        <v>8503</v>
      </c>
      <c r="D5716" t="s">
        <v>56</v>
      </c>
      <c r="E5716" s="13">
        <v>30</v>
      </c>
      <c r="F5716" s="12">
        <v>28.42</v>
      </c>
      <c r="G5716" t="str">
        <f>IFERROR(INDEX(tEditais[Órgão],MATCH(tItens[[#This Row],[Edital]],tEditais[Edital],0)),"")</f>
        <v>MUNICIPIO DE CRUZEIRO DO OESTE</v>
      </c>
      <c r="H5716" t="str">
        <f>IFERROR(INDEX(tEditais[UF],MATCH(tItens[[#This Row],[Edital]],tEditais[Edital],0)),"")</f>
        <v>PR</v>
      </c>
      <c r="I5716" s="11">
        <f>IFERROR(INDEX(tEditais[Encerramento],MATCH(tItens[[#This Row],[Edital]],tEditais[Edital],0)),"")</f>
        <v>46309.333333333336</v>
      </c>
      <c r="J5716" t="str">
        <f>IFERROR(INDEX(tProdutos[Classe],MATCH(tItens[[#This Row],[Produto]],tProdutos[Produto],0)),"produto não cadastrado")</f>
        <v>NÚCLEO</v>
      </c>
      <c r="K5716" s="12">
        <f>tItens[[#This Row],[Qtd]]*tItens[[#This Row],[Vlr unit]]</f>
        <v>852.6</v>
      </c>
      <c r="L5716" s="6">
        <f>IFERROR(IF(INDEX(tProdutos[Desconto homologado],MATCH(tItens[[#This Row],[Produto]],tProdutos[Produto],0))="",DescontoPadrao,INDEX(tProdutos[Desconto homologado],MATCH(tItens[[#This Row],[Produto]],tProdutos[Produto],0))),DescontoPadrao)</f>
        <v>0.34</v>
      </c>
      <c r="M5716" s="12">
        <f>tItens[[#This Row],[Valor]]*(1-tItens[[#This Row],[Desconto]])</f>
        <v>562.71599999999989</v>
      </c>
      <c r="N5716" t="str">
        <f>IFERROR(INDEX(tProdutos[Foco],MATCH(tItens[[#This Row],[Produto]],tProdutos[Produto],0)),"Não")</f>
        <v>Sim</v>
      </c>
      <c r="O5716" t="str">
        <f>IFERROR(INDEX(tEditais[SRP],MATCH(tItens[[#This Row],[Edital]],tEditais[Edital],0)),"Não")</f>
        <v>Não</v>
      </c>
      <c r="P5716" s="4">
        <f>IF(COUNTIFS(INDEX(tItens[Edital],1):tItens[[#This Row],[Edital]],tItens[[#This Row],[Edital]],INDEX(tItens[Produto],1):tItens[[#This Row],[Produto]],tItens[[#This Row],[Produto]])=1,1,0)</f>
        <v>1</v>
      </c>
    </row>
    <row r="5717" spans="1:16" x14ac:dyDescent="0.25">
      <c r="A5717" t="s">
        <v>2045</v>
      </c>
      <c r="B5717">
        <v>183</v>
      </c>
      <c r="C5717" t="s">
        <v>8504</v>
      </c>
      <c r="D5717" t="s">
        <v>56</v>
      </c>
      <c r="E5717" s="13">
        <v>30</v>
      </c>
      <c r="F5717" s="12">
        <v>25.76</v>
      </c>
      <c r="G5717" t="str">
        <f>IFERROR(INDEX(tEditais[Órgão],MATCH(tItens[[#This Row],[Edital]],tEditais[Edital],0)),"")</f>
        <v>MUNICIPIO DE CRUZEIRO DO OESTE</v>
      </c>
      <c r="H5717" t="str">
        <f>IFERROR(INDEX(tEditais[UF],MATCH(tItens[[#This Row],[Edital]],tEditais[Edital],0)),"")</f>
        <v>PR</v>
      </c>
      <c r="I5717" s="11">
        <f>IFERROR(INDEX(tEditais[Encerramento],MATCH(tItens[[#This Row],[Edital]],tEditais[Edital],0)),"")</f>
        <v>46309.333333333336</v>
      </c>
      <c r="J5717" t="str">
        <f>IFERROR(INDEX(tProdutos[Classe],MATCH(tItens[[#This Row],[Produto]],tProdutos[Produto],0)),"produto não cadastrado")</f>
        <v>NÚCLEO</v>
      </c>
      <c r="K5717" s="12">
        <f>tItens[[#This Row],[Qtd]]*tItens[[#This Row],[Vlr unit]]</f>
        <v>772.80000000000007</v>
      </c>
      <c r="L5717" s="6">
        <f>IFERROR(IF(INDEX(tProdutos[Desconto homologado],MATCH(tItens[[#This Row],[Produto]],tProdutos[Produto],0))="",DescontoPadrao,INDEX(tProdutos[Desconto homologado],MATCH(tItens[[#This Row],[Produto]],tProdutos[Produto],0))),DescontoPadrao)</f>
        <v>0.34</v>
      </c>
      <c r="M5717" s="12">
        <f>tItens[[#This Row],[Valor]]*(1-tItens[[#This Row],[Desconto]])</f>
        <v>510.048</v>
      </c>
      <c r="N5717" t="str">
        <f>IFERROR(INDEX(tProdutos[Foco],MATCH(tItens[[#This Row],[Produto]],tProdutos[Produto],0)),"Não")</f>
        <v>Sim</v>
      </c>
      <c r="O5717" t="str">
        <f>IFERROR(INDEX(tEditais[SRP],MATCH(tItens[[#This Row],[Edital]],tEditais[Edital],0)),"Não")</f>
        <v>Não</v>
      </c>
      <c r="P5717" s="4">
        <f>IF(COUNTIFS(INDEX(tItens[Edital],1):tItens[[#This Row],[Edital]],tItens[[#This Row],[Edital]],INDEX(tItens[Produto],1):tItens[[#This Row],[Produto]],tItens[[#This Row],[Produto]])=1,1,0)</f>
        <v>0</v>
      </c>
    </row>
    <row r="5718" spans="1:16" x14ac:dyDescent="0.25">
      <c r="A5718" t="s">
        <v>2045</v>
      </c>
      <c r="B5718">
        <v>190</v>
      </c>
      <c r="C5718" t="s">
        <v>8505</v>
      </c>
      <c r="D5718" t="s">
        <v>136</v>
      </c>
      <c r="E5718" s="13">
        <v>100</v>
      </c>
      <c r="F5718" s="12">
        <v>7.35</v>
      </c>
      <c r="G5718" t="str">
        <f>IFERROR(INDEX(tEditais[Órgão],MATCH(tItens[[#This Row],[Edital]],tEditais[Edital],0)),"")</f>
        <v>MUNICIPIO DE CRUZEIRO DO OESTE</v>
      </c>
      <c r="H5718" t="str">
        <f>IFERROR(INDEX(tEditais[UF],MATCH(tItens[[#This Row],[Edital]],tEditais[Edital],0)),"")</f>
        <v>PR</v>
      </c>
      <c r="I5718" s="11">
        <f>IFERROR(INDEX(tEditais[Encerramento],MATCH(tItens[[#This Row],[Edital]],tEditais[Edital],0)),"")</f>
        <v>46309.333333333336</v>
      </c>
      <c r="J5718" t="str">
        <f>IFERROR(INDEX(tProdutos[Classe],MATCH(tItens[[#This Row],[Produto]],tProdutos[Produto],0)),"produto não cadastrado")</f>
        <v>DISPUTADO</v>
      </c>
      <c r="K5718" s="12">
        <f>tItens[[#This Row],[Qtd]]*tItens[[#This Row],[Vlr unit]]</f>
        <v>735</v>
      </c>
      <c r="L5718" s="6">
        <f>IFERROR(IF(INDEX(tProdutos[Desconto homologado],MATCH(tItens[[#This Row],[Produto]],tProdutos[Produto],0))="",DescontoPadrao,INDEX(tProdutos[Desconto homologado],MATCH(tItens[[#This Row],[Produto]],tProdutos[Produto],0))),DescontoPadrao)</f>
        <v>0.330646209370899</v>
      </c>
      <c r="M5718" s="12">
        <f>tItens[[#This Row],[Valor]]*(1-tItens[[#This Row],[Desconto]])</f>
        <v>491.9750361123892</v>
      </c>
      <c r="N5718" t="str">
        <f>IFERROR(INDEX(tProdutos[Foco],MATCH(tItens[[#This Row],[Produto]],tProdutos[Produto],0)),"Não")</f>
        <v>Não</v>
      </c>
      <c r="O5718" t="str">
        <f>IFERROR(INDEX(tEditais[SRP],MATCH(tItens[[#This Row],[Edital]],tEditais[Edital],0)),"Não")</f>
        <v>Não</v>
      </c>
      <c r="P5718" s="4">
        <f>IF(COUNTIFS(INDEX(tItens[Edital],1):tItens[[#This Row],[Edital]],tItens[[#This Row],[Edital]],INDEX(tItens[Produto],1):tItens[[#This Row],[Produto]],tItens[[#This Row],[Produto]])=1,1,0)</f>
        <v>1</v>
      </c>
    </row>
    <row r="5719" spans="1:16" x14ac:dyDescent="0.25">
      <c r="A5719" t="s">
        <v>2045</v>
      </c>
      <c r="B5719">
        <v>191</v>
      </c>
      <c r="C5719" t="s">
        <v>8506</v>
      </c>
      <c r="D5719" t="s">
        <v>162</v>
      </c>
      <c r="E5719" s="13">
        <v>1000</v>
      </c>
      <c r="F5719" s="12">
        <v>0.71</v>
      </c>
      <c r="G5719" t="str">
        <f>IFERROR(INDEX(tEditais[Órgão],MATCH(tItens[[#This Row],[Edital]],tEditais[Edital],0)),"")</f>
        <v>MUNICIPIO DE CRUZEIRO DO OESTE</v>
      </c>
      <c r="H5719" t="str">
        <f>IFERROR(INDEX(tEditais[UF],MATCH(tItens[[#This Row],[Edital]],tEditais[Edital],0)),"")</f>
        <v>PR</v>
      </c>
      <c r="I5719" s="11">
        <f>IFERROR(INDEX(tEditais[Encerramento],MATCH(tItens[[#This Row],[Edital]],tEditais[Edital],0)),"")</f>
        <v>46309.333333333336</v>
      </c>
      <c r="J5719" t="str">
        <f>IFERROR(INDEX(tProdutos[Classe],MATCH(tItens[[#This Row],[Produto]],tProdutos[Produto],0)),"produto não cadastrado")</f>
        <v>DISPUTADO</v>
      </c>
      <c r="K5719" s="12">
        <f>tItens[[#This Row],[Qtd]]*tItens[[#This Row],[Vlr unit]]</f>
        <v>710</v>
      </c>
      <c r="L5719" s="6">
        <f>IFERROR(IF(INDEX(tProdutos[Desconto homologado],MATCH(tItens[[#This Row],[Produto]],tProdutos[Produto],0))="",DescontoPadrao,INDEX(tProdutos[Desconto homologado],MATCH(tItens[[#This Row],[Produto]],tProdutos[Produto],0))),DescontoPadrao)</f>
        <v>0.41269841269841301</v>
      </c>
      <c r="M5719" s="12">
        <f>tItens[[#This Row],[Valor]]*(1-tItens[[#This Row],[Desconto]])</f>
        <v>416.98412698412676</v>
      </c>
      <c r="N5719" t="str">
        <f>IFERROR(INDEX(tProdutos[Foco],MATCH(tItens[[#This Row],[Produto]],tProdutos[Produto],0)),"Não")</f>
        <v>Não</v>
      </c>
      <c r="O5719" t="str">
        <f>IFERROR(INDEX(tEditais[SRP],MATCH(tItens[[#This Row],[Edital]],tEditais[Edital],0)),"Não")</f>
        <v>Não</v>
      </c>
      <c r="P5719" s="4">
        <f>IF(COUNTIFS(INDEX(tItens[Edital],1):tItens[[#This Row],[Edital]],tItens[[#This Row],[Edital]],INDEX(tItens[Produto],1):tItens[[#This Row],[Produto]],tItens[[#This Row],[Produto]])=1,1,0)</f>
        <v>1</v>
      </c>
    </row>
    <row r="5720" spans="1:16" x14ac:dyDescent="0.25">
      <c r="A5720" t="s">
        <v>2045</v>
      </c>
      <c r="B5720">
        <v>201</v>
      </c>
      <c r="C5720" t="s">
        <v>8507</v>
      </c>
      <c r="D5720" t="s">
        <v>170</v>
      </c>
      <c r="E5720" s="13">
        <v>20</v>
      </c>
      <c r="F5720" s="12">
        <v>31.5</v>
      </c>
      <c r="G5720" t="str">
        <f>IFERROR(INDEX(tEditais[Órgão],MATCH(tItens[[#This Row],[Edital]],tEditais[Edital],0)),"")</f>
        <v>MUNICIPIO DE CRUZEIRO DO OESTE</v>
      </c>
      <c r="H5720" t="str">
        <f>IFERROR(INDEX(tEditais[UF],MATCH(tItens[[#This Row],[Edital]],tEditais[Edital],0)),"")</f>
        <v>PR</v>
      </c>
      <c r="I5720" s="11">
        <f>IFERROR(INDEX(tEditais[Encerramento],MATCH(tItens[[#This Row],[Edital]],tEditais[Edital],0)),"")</f>
        <v>46309.333333333336</v>
      </c>
      <c r="J5720" t="str">
        <f>IFERROR(INDEX(tProdutos[Classe],MATCH(tItens[[#This Row],[Produto]],tProdutos[Produto],0)),"produto não cadastrado")</f>
        <v>DISPUTADO</v>
      </c>
      <c r="K5720" s="12">
        <f>tItens[[#This Row],[Qtd]]*tItens[[#This Row],[Vlr unit]]</f>
        <v>630</v>
      </c>
      <c r="L5720" s="6">
        <f>IFERROR(IF(INDEX(tProdutos[Desconto homologado],MATCH(tItens[[#This Row],[Produto]],tProdutos[Produto],0))="",DescontoPadrao,INDEX(tProdutos[Desconto homologado],MATCH(tItens[[#This Row],[Produto]],tProdutos[Produto],0))),DescontoPadrao)</f>
        <v>0.36</v>
      </c>
      <c r="M5720" s="12">
        <f>tItens[[#This Row],[Valor]]*(1-tItens[[#This Row],[Desconto]])</f>
        <v>403.2</v>
      </c>
      <c r="N5720" t="str">
        <f>IFERROR(INDEX(tProdutos[Foco],MATCH(tItens[[#This Row],[Produto]],tProdutos[Produto],0)),"Não")</f>
        <v>Sim</v>
      </c>
      <c r="O5720" t="str">
        <f>IFERROR(INDEX(tEditais[SRP],MATCH(tItens[[#This Row],[Edital]],tEditais[Edital],0)),"Não")</f>
        <v>Não</v>
      </c>
      <c r="P5720" s="4">
        <f>IF(COUNTIFS(INDEX(tItens[Edital],1):tItens[[#This Row],[Edital]],tItens[[#This Row],[Edital]],INDEX(tItens[Produto],1):tItens[[#This Row],[Produto]],tItens[[#This Row],[Produto]])=1,1,0)</f>
        <v>1</v>
      </c>
    </row>
    <row r="5721" spans="1:16" x14ac:dyDescent="0.25">
      <c r="A5721" t="s">
        <v>2045</v>
      </c>
      <c r="B5721">
        <v>205</v>
      </c>
      <c r="C5721" t="s">
        <v>8508</v>
      </c>
      <c r="D5721" t="s">
        <v>694</v>
      </c>
      <c r="E5721" s="13">
        <v>5</v>
      </c>
      <c r="F5721" s="12">
        <v>121.69</v>
      </c>
      <c r="G5721" t="str">
        <f>IFERROR(INDEX(tEditais[Órgão],MATCH(tItens[[#This Row],[Edital]],tEditais[Edital],0)),"")</f>
        <v>MUNICIPIO DE CRUZEIRO DO OESTE</v>
      </c>
      <c r="H5721" t="str">
        <f>IFERROR(INDEX(tEditais[UF],MATCH(tItens[[#This Row],[Edital]],tEditais[Edital],0)),"")</f>
        <v>PR</v>
      </c>
      <c r="I5721" s="11">
        <f>IFERROR(INDEX(tEditais[Encerramento],MATCH(tItens[[#This Row],[Edital]],tEditais[Edital],0)),"")</f>
        <v>46309.333333333336</v>
      </c>
      <c r="J5721" t="str">
        <f>IFERROR(INDEX(tProdutos[Classe],MATCH(tItens[[#This Row],[Produto]],tProdutos[Produto],0)),"produto não cadastrado")</f>
        <v>FILA REBASE</v>
      </c>
      <c r="K5721" s="12">
        <f>tItens[[#This Row],[Qtd]]*tItens[[#This Row],[Vlr unit]]</f>
        <v>608.45000000000005</v>
      </c>
      <c r="L5721" s="6">
        <f>IFERROR(IF(INDEX(tProdutos[Desconto homologado],MATCH(tItens[[#This Row],[Produto]],tProdutos[Produto],0))="",DescontoPadrao,INDEX(tProdutos[Desconto homologado],MATCH(tItens[[#This Row],[Produto]],tProdutos[Produto],0))),DescontoPadrao)</f>
        <v>0.61577111781048699</v>
      </c>
      <c r="M5721" s="12">
        <f>tItens[[#This Row],[Valor]]*(1-tItens[[#This Row],[Desconto]])</f>
        <v>233.78406336820922</v>
      </c>
      <c r="N5721" t="str">
        <f>IFERROR(INDEX(tProdutos[Foco],MATCH(tItens[[#This Row],[Produto]],tProdutos[Produto],0)),"Não")</f>
        <v>Não</v>
      </c>
      <c r="O5721" t="str">
        <f>IFERROR(INDEX(tEditais[SRP],MATCH(tItens[[#This Row],[Edital]],tEditais[Edital],0)),"Não")</f>
        <v>Não</v>
      </c>
      <c r="P5721" s="4">
        <f>IF(COUNTIFS(INDEX(tItens[Edital],1):tItens[[#This Row],[Edital]],tItens[[#This Row],[Edital]],INDEX(tItens[Produto],1):tItens[[#This Row],[Produto]],tItens[[#This Row],[Produto]])=1,1,0)</f>
        <v>1</v>
      </c>
    </row>
    <row r="5722" spans="1:16" x14ac:dyDescent="0.25">
      <c r="A5722" t="s">
        <v>2045</v>
      </c>
      <c r="B5722">
        <v>208</v>
      </c>
      <c r="C5722" t="s">
        <v>8509</v>
      </c>
      <c r="D5722" t="s">
        <v>75</v>
      </c>
      <c r="E5722" s="13">
        <v>200</v>
      </c>
      <c r="F5722" s="12">
        <v>2.83</v>
      </c>
      <c r="G5722" t="str">
        <f>IFERROR(INDEX(tEditais[Órgão],MATCH(tItens[[#This Row],[Edital]],tEditais[Edital],0)),"")</f>
        <v>MUNICIPIO DE CRUZEIRO DO OESTE</v>
      </c>
      <c r="H5722" t="str">
        <f>IFERROR(INDEX(tEditais[UF],MATCH(tItens[[#This Row],[Edital]],tEditais[Edital],0)),"")</f>
        <v>PR</v>
      </c>
      <c r="I5722" s="11">
        <f>IFERROR(INDEX(tEditais[Encerramento],MATCH(tItens[[#This Row],[Edital]],tEditais[Edital],0)),"")</f>
        <v>46309.333333333336</v>
      </c>
      <c r="J5722" t="str">
        <f>IFERROR(INDEX(tProdutos[Classe],MATCH(tItens[[#This Row],[Produto]],tProdutos[Produto],0)),"produto não cadastrado")</f>
        <v>NÚCLEO</v>
      </c>
      <c r="K5722" s="12">
        <f>tItens[[#This Row],[Qtd]]*tItens[[#This Row],[Vlr unit]]</f>
        <v>566</v>
      </c>
      <c r="L5722" s="6">
        <f>IFERROR(IF(INDEX(tProdutos[Desconto homologado],MATCH(tItens[[#This Row],[Produto]],tProdutos[Produto],0))="",DescontoPadrao,INDEX(tProdutos[Desconto homologado],MATCH(tItens[[#This Row],[Produto]],tProdutos[Produto],0))),DescontoPadrao)</f>
        <v>0.26</v>
      </c>
      <c r="M5722" s="12">
        <f>tItens[[#This Row],[Valor]]*(1-tItens[[#This Row],[Desconto]])</f>
        <v>418.84</v>
      </c>
      <c r="N5722" t="str">
        <f>IFERROR(INDEX(tProdutos[Foco],MATCH(tItens[[#This Row],[Produto]],tProdutos[Produto],0)),"Não")</f>
        <v>Sim</v>
      </c>
      <c r="O5722" t="str">
        <f>IFERROR(INDEX(tEditais[SRP],MATCH(tItens[[#This Row],[Edital]],tEditais[Edital],0)),"Não")</f>
        <v>Não</v>
      </c>
      <c r="P5722" s="4">
        <f>IF(COUNTIFS(INDEX(tItens[Edital],1):tItens[[#This Row],[Edital]],tItens[[#This Row],[Edital]],INDEX(tItens[Produto],1):tItens[[#This Row],[Produto]],tItens[[#This Row],[Produto]])=1,1,0)</f>
        <v>0</v>
      </c>
    </row>
    <row r="5723" spans="1:16" x14ac:dyDescent="0.25">
      <c r="A5723" t="s">
        <v>2045</v>
      </c>
      <c r="B5723">
        <v>217</v>
      </c>
      <c r="C5723" t="s">
        <v>8510</v>
      </c>
      <c r="D5723" t="s">
        <v>56</v>
      </c>
      <c r="E5723" s="13">
        <v>20</v>
      </c>
      <c r="F5723" s="12">
        <v>22.25</v>
      </c>
      <c r="G5723" t="str">
        <f>IFERROR(INDEX(tEditais[Órgão],MATCH(tItens[[#This Row],[Edital]],tEditais[Edital],0)),"")</f>
        <v>MUNICIPIO DE CRUZEIRO DO OESTE</v>
      </c>
      <c r="H5723" t="str">
        <f>IFERROR(INDEX(tEditais[UF],MATCH(tItens[[#This Row],[Edital]],tEditais[Edital],0)),"")</f>
        <v>PR</v>
      </c>
      <c r="I5723" s="11">
        <f>IFERROR(INDEX(tEditais[Encerramento],MATCH(tItens[[#This Row],[Edital]],tEditais[Edital],0)),"")</f>
        <v>46309.333333333336</v>
      </c>
      <c r="J5723" t="str">
        <f>IFERROR(INDEX(tProdutos[Classe],MATCH(tItens[[#This Row],[Produto]],tProdutos[Produto],0)),"produto não cadastrado")</f>
        <v>NÚCLEO</v>
      </c>
      <c r="K5723" s="12">
        <f>tItens[[#This Row],[Qtd]]*tItens[[#This Row],[Vlr unit]]</f>
        <v>445</v>
      </c>
      <c r="L5723" s="6">
        <f>IFERROR(IF(INDEX(tProdutos[Desconto homologado],MATCH(tItens[[#This Row],[Produto]],tProdutos[Produto],0))="",DescontoPadrao,INDEX(tProdutos[Desconto homologado],MATCH(tItens[[#This Row],[Produto]],tProdutos[Produto],0))),DescontoPadrao)</f>
        <v>0.34</v>
      </c>
      <c r="M5723" s="12">
        <f>tItens[[#This Row],[Valor]]*(1-tItens[[#This Row],[Desconto]])</f>
        <v>293.7</v>
      </c>
      <c r="N5723" t="str">
        <f>IFERROR(INDEX(tProdutos[Foco],MATCH(tItens[[#This Row],[Produto]],tProdutos[Produto],0)),"Não")</f>
        <v>Sim</v>
      </c>
      <c r="O5723" t="str">
        <f>IFERROR(INDEX(tEditais[SRP],MATCH(tItens[[#This Row],[Edital]],tEditais[Edital],0)),"Não")</f>
        <v>Não</v>
      </c>
      <c r="P5723" s="4">
        <f>IF(COUNTIFS(INDEX(tItens[Edital],1):tItens[[#This Row],[Edital]],tItens[[#This Row],[Edital]],INDEX(tItens[Produto],1):tItens[[#This Row],[Produto]],tItens[[#This Row],[Produto]])=1,1,0)</f>
        <v>0</v>
      </c>
    </row>
    <row r="5724" spans="1:16" x14ac:dyDescent="0.25">
      <c r="A5724" t="s">
        <v>2045</v>
      </c>
      <c r="B5724">
        <v>225</v>
      </c>
      <c r="C5724" t="s">
        <v>8511</v>
      </c>
      <c r="D5724" t="s">
        <v>120</v>
      </c>
      <c r="E5724" s="13">
        <v>700</v>
      </c>
      <c r="F5724" s="12">
        <v>0.56999999999999995</v>
      </c>
      <c r="G5724" t="str">
        <f>IFERROR(INDEX(tEditais[Órgão],MATCH(tItens[[#This Row],[Edital]],tEditais[Edital],0)),"")</f>
        <v>MUNICIPIO DE CRUZEIRO DO OESTE</v>
      </c>
      <c r="H5724" t="str">
        <f>IFERROR(INDEX(tEditais[UF],MATCH(tItens[[#This Row],[Edital]],tEditais[Edital],0)),"")</f>
        <v>PR</v>
      </c>
      <c r="I5724" s="11">
        <f>IFERROR(INDEX(tEditais[Encerramento],MATCH(tItens[[#This Row],[Edital]],tEditais[Edital],0)),"")</f>
        <v>46309.333333333336</v>
      </c>
      <c r="J5724" t="str">
        <f>IFERROR(INDEX(tProdutos[Classe],MATCH(tItens[[#This Row],[Produto]],tProdutos[Produto],0)),"produto não cadastrado")</f>
        <v>DISPUTADO</v>
      </c>
      <c r="K5724" s="12">
        <f>tItens[[#This Row],[Qtd]]*tItens[[#This Row],[Vlr unit]]</f>
        <v>398.99999999999994</v>
      </c>
      <c r="L5724" s="6">
        <f>IFERROR(IF(INDEX(tProdutos[Desconto homologado],MATCH(tItens[[#This Row],[Produto]],tProdutos[Produto],0))="",DescontoPadrao,INDEX(tProdutos[Desconto homologado],MATCH(tItens[[#This Row],[Produto]],tProdutos[Produto],0))),DescontoPadrao)</f>
        <v>0.40909090909090901</v>
      </c>
      <c r="M5724" s="12">
        <f>tItens[[#This Row],[Valor]]*(1-tItens[[#This Row],[Desconto]])</f>
        <v>235.77272727272731</v>
      </c>
      <c r="N5724" t="str">
        <f>IFERROR(INDEX(tProdutos[Foco],MATCH(tItens[[#This Row],[Produto]],tProdutos[Produto],0)),"Não")</f>
        <v>Não</v>
      </c>
      <c r="O5724" t="str">
        <f>IFERROR(INDEX(tEditais[SRP],MATCH(tItens[[#This Row],[Edital]],tEditais[Edital],0)),"Não")</f>
        <v>Não</v>
      </c>
      <c r="P5724" s="4">
        <f>IF(COUNTIFS(INDEX(tItens[Edital],1):tItens[[#This Row],[Edital]],tItens[[#This Row],[Edital]],INDEX(tItens[Produto],1):tItens[[#This Row],[Produto]],tItens[[#This Row],[Produto]])=1,1,0)</f>
        <v>0</v>
      </c>
    </row>
    <row r="5725" spans="1:16" x14ac:dyDescent="0.25">
      <c r="A5725" t="s">
        <v>2045</v>
      </c>
      <c r="B5725">
        <v>230</v>
      </c>
      <c r="C5725" t="s">
        <v>8512</v>
      </c>
      <c r="D5725" t="s">
        <v>170</v>
      </c>
      <c r="E5725" s="13">
        <v>20</v>
      </c>
      <c r="F5725" s="12">
        <v>18.739999999999998</v>
      </c>
      <c r="G5725" t="str">
        <f>IFERROR(INDEX(tEditais[Órgão],MATCH(tItens[[#This Row],[Edital]],tEditais[Edital],0)),"")</f>
        <v>MUNICIPIO DE CRUZEIRO DO OESTE</v>
      </c>
      <c r="H5725" t="str">
        <f>IFERROR(INDEX(tEditais[UF],MATCH(tItens[[#This Row],[Edital]],tEditais[Edital],0)),"")</f>
        <v>PR</v>
      </c>
      <c r="I5725" s="11">
        <f>IFERROR(INDEX(tEditais[Encerramento],MATCH(tItens[[#This Row],[Edital]],tEditais[Edital],0)),"")</f>
        <v>46309.333333333336</v>
      </c>
      <c r="J5725" t="str">
        <f>IFERROR(INDEX(tProdutos[Classe],MATCH(tItens[[#This Row],[Produto]],tProdutos[Produto],0)),"produto não cadastrado")</f>
        <v>DISPUTADO</v>
      </c>
      <c r="K5725" s="12">
        <f>tItens[[#This Row],[Qtd]]*tItens[[#This Row],[Vlr unit]]</f>
        <v>374.79999999999995</v>
      </c>
      <c r="L5725" s="6">
        <f>IFERROR(IF(INDEX(tProdutos[Desconto homologado],MATCH(tItens[[#This Row],[Produto]],tProdutos[Produto],0))="",DescontoPadrao,INDEX(tProdutos[Desconto homologado],MATCH(tItens[[#This Row],[Produto]],tProdutos[Produto],0))),DescontoPadrao)</f>
        <v>0.36</v>
      </c>
      <c r="M5725" s="12">
        <f>tItens[[#This Row],[Valor]]*(1-tItens[[#This Row],[Desconto]])</f>
        <v>239.87199999999999</v>
      </c>
      <c r="N5725" t="str">
        <f>IFERROR(INDEX(tProdutos[Foco],MATCH(tItens[[#This Row],[Produto]],tProdutos[Produto],0)),"Não")</f>
        <v>Sim</v>
      </c>
      <c r="O5725" t="str">
        <f>IFERROR(INDEX(tEditais[SRP],MATCH(tItens[[#This Row],[Edital]],tEditais[Edital],0)),"Não")</f>
        <v>Não</v>
      </c>
      <c r="P5725" s="4">
        <f>IF(COUNTIFS(INDEX(tItens[Edital],1):tItens[[#This Row],[Edital]],tItens[[#This Row],[Edital]],INDEX(tItens[Produto],1):tItens[[#This Row],[Produto]],tItens[[#This Row],[Produto]])=1,1,0)</f>
        <v>0</v>
      </c>
    </row>
    <row r="5726" spans="1:16" x14ac:dyDescent="0.25">
      <c r="A5726" t="s">
        <v>2045</v>
      </c>
      <c r="B5726">
        <v>236</v>
      </c>
      <c r="C5726" t="s">
        <v>8513</v>
      </c>
      <c r="D5726" t="s">
        <v>120</v>
      </c>
      <c r="E5726" s="13">
        <v>500</v>
      </c>
      <c r="F5726" s="12">
        <v>0.67</v>
      </c>
      <c r="G5726" t="str">
        <f>IFERROR(INDEX(tEditais[Órgão],MATCH(tItens[[#This Row],[Edital]],tEditais[Edital],0)),"")</f>
        <v>MUNICIPIO DE CRUZEIRO DO OESTE</v>
      </c>
      <c r="H5726" t="str">
        <f>IFERROR(INDEX(tEditais[UF],MATCH(tItens[[#This Row],[Edital]],tEditais[Edital],0)),"")</f>
        <v>PR</v>
      </c>
      <c r="I5726" s="11">
        <f>IFERROR(INDEX(tEditais[Encerramento],MATCH(tItens[[#This Row],[Edital]],tEditais[Edital],0)),"")</f>
        <v>46309.333333333336</v>
      </c>
      <c r="J5726" t="str">
        <f>IFERROR(INDEX(tProdutos[Classe],MATCH(tItens[[#This Row],[Produto]],tProdutos[Produto],0)),"produto não cadastrado")</f>
        <v>DISPUTADO</v>
      </c>
      <c r="K5726" s="12">
        <f>tItens[[#This Row],[Qtd]]*tItens[[#This Row],[Vlr unit]]</f>
        <v>335</v>
      </c>
      <c r="L5726" s="6">
        <f>IFERROR(IF(INDEX(tProdutos[Desconto homologado],MATCH(tItens[[#This Row],[Produto]],tProdutos[Produto],0))="",DescontoPadrao,INDEX(tProdutos[Desconto homologado],MATCH(tItens[[#This Row],[Produto]],tProdutos[Produto],0))),DescontoPadrao)</f>
        <v>0.40909090909090901</v>
      </c>
      <c r="M5726" s="12">
        <f>tItens[[#This Row],[Valor]]*(1-tItens[[#This Row],[Desconto]])</f>
        <v>197.9545454545455</v>
      </c>
      <c r="N5726" t="str">
        <f>IFERROR(INDEX(tProdutos[Foco],MATCH(tItens[[#This Row],[Produto]],tProdutos[Produto],0)),"Não")</f>
        <v>Não</v>
      </c>
      <c r="O5726" t="str">
        <f>IFERROR(INDEX(tEditais[SRP],MATCH(tItens[[#This Row],[Edital]],tEditais[Edital],0)),"Não")</f>
        <v>Não</v>
      </c>
      <c r="P5726" s="4">
        <f>IF(COUNTIFS(INDEX(tItens[Edital],1):tItens[[#This Row],[Edital]],tItens[[#This Row],[Edital]],INDEX(tItens[Produto],1):tItens[[#This Row],[Produto]],tItens[[#This Row],[Produto]])=1,1,0)</f>
        <v>0</v>
      </c>
    </row>
    <row r="5727" spans="1:16" x14ac:dyDescent="0.25">
      <c r="A5727" t="s">
        <v>2045</v>
      </c>
      <c r="B5727">
        <v>237</v>
      </c>
      <c r="C5727" t="s">
        <v>8514</v>
      </c>
      <c r="D5727" t="s">
        <v>249</v>
      </c>
      <c r="E5727" s="13">
        <v>30</v>
      </c>
      <c r="F5727" s="12">
        <v>11.11</v>
      </c>
      <c r="G5727" t="str">
        <f>IFERROR(INDEX(tEditais[Órgão],MATCH(tItens[[#This Row],[Edital]],tEditais[Edital],0)),"")</f>
        <v>MUNICIPIO DE CRUZEIRO DO OESTE</v>
      </c>
      <c r="H5727" t="str">
        <f>IFERROR(INDEX(tEditais[UF],MATCH(tItens[[#This Row],[Edital]],tEditais[Edital],0)),"")</f>
        <v>PR</v>
      </c>
      <c r="I5727" s="11">
        <f>IFERROR(INDEX(tEditais[Encerramento],MATCH(tItens[[#This Row],[Edital]],tEditais[Edital],0)),"")</f>
        <v>46309.333333333336</v>
      </c>
      <c r="J5727" t="str">
        <f>IFERROR(INDEX(tProdutos[Classe],MATCH(tItens[[#This Row],[Produto]],tProdutos[Produto],0)),"produto não cadastrado")</f>
        <v>FORA</v>
      </c>
      <c r="K5727" s="12">
        <f>tItens[[#This Row],[Qtd]]*tItens[[#This Row],[Vlr unit]]</f>
        <v>333.29999999999995</v>
      </c>
      <c r="L5727" s="6">
        <f>IFERROR(IF(INDEX(tProdutos[Desconto homologado],MATCH(tItens[[#This Row],[Produto]],tProdutos[Produto],0))="",DescontoPadrao,INDEX(tProdutos[Desconto homologado],MATCH(tItens[[#This Row],[Produto]],tProdutos[Produto],0))),DescontoPadrao)</f>
        <v>0.45399945399945402</v>
      </c>
      <c r="M5727" s="12">
        <f>tItens[[#This Row],[Valor]]*(1-tItens[[#This Row],[Desconto]])</f>
        <v>181.98198198198193</v>
      </c>
      <c r="N5727" t="str">
        <f>IFERROR(INDEX(tProdutos[Foco],MATCH(tItens[[#This Row],[Produto]],tProdutos[Produto],0)),"Não")</f>
        <v>Não</v>
      </c>
      <c r="O5727" t="str">
        <f>IFERROR(INDEX(tEditais[SRP],MATCH(tItens[[#This Row],[Edital]],tEditais[Edital],0)),"Não")</f>
        <v>Não</v>
      </c>
      <c r="P5727" s="4">
        <f>IF(COUNTIFS(INDEX(tItens[Edital],1):tItens[[#This Row],[Edital]],tItens[[#This Row],[Edital]],INDEX(tItens[Produto],1):tItens[[#This Row],[Produto]],tItens[[#This Row],[Produto]])=1,1,0)</f>
        <v>1</v>
      </c>
    </row>
    <row r="5728" spans="1:16" x14ac:dyDescent="0.25">
      <c r="A5728" t="s">
        <v>2045</v>
      </c>
      <c r="B5728">
        <v>238</v>
      </c>
      <c r="C5728" t="s">
        <v>8515</v>
      </c>
      <c r="D5728" t="s">
        <v>257</v>
      </c>
      <c r="E5728" s="13">
        <v>30</v>
      </c>
      <c r="F5728" s="12">
        <v>10.95</v>
      </c>
      <c r="G5728" t="str">
        <f>IFERROR(INDEX(tEditais[Órgão],MATCH(tItens[[#This Row],[Edital]],tEditais[Edital],0)),"")</f>
        <v>MUNICIPIO DE CRUZEIRO DO OESTE</v>
      </c>
      <c r="H5728" t="str">
        <f>IFERROR(INDEX(tEditais[UF],MATCH(tItens[[#This Row],[Edital]],tEditais[Edital],0)),"")</f>
        <v>PR</v>
      </c>
      <c r="I5728" s="11">
        <f>IFERROR(INDEX(tEditais[Encerramento],MATCH(tItens[[#This Row],[Edital]],tEditais[Edital],0)),"")</f>
        <v>46309.333333333336</v>
      </c>
      <c r="J5728" t="str">
        <f>IFERROR(INDEX(tProdutos[Classe],MATCH(tItens[[#This Row],[Produto]],tProdutos[Produto],0)),"produto não cadastrado")</f>
        <v>FORA</v>
      </c>
      <c r="K5728" s="12">
        <f>tItens[[#This Row],[Qtd]]*tItens[[#This Row],[Vlr unit]]</f>
        <v>328.5</v>
      </c>
      <c r="L5728" s="6">
        <f>IFERROR(IF(INDEX(tProdutos[Desconto homologado],MATCH(tItens[[#This Row],[Produto]],tProdutos[Produto],0))="",DescontoPadrao,INDEX(tProdutos[Desconto homologado],MATCH(tItens[[#This Row],[Produto]],tProdutos[Produto],0))),DescontoPadrao)</f>
        <v>0.500812004991805</v>
      </c>
      <c r="M5728" s="12">
        <f>tItens[[#This Row],[Valor]]*(1-tItens[[#This Row],[Desconto]])</f>
        <v>163.98325636019206</v>
      </c>
      <c r="N5728" t="str">
        <f>IFERROR(INDEX(tProdutos[Foco],MATCH(tItens[[#This Row],[Produto]],tProdutos[Produto],0)),"Não")</f>
        <v>Não</v>
      </c>
      <c r="O5728" t="str">
        <f>IFERROR(INDEX(tEditais[SRP],MATCH(tItens[[#This Row],[Edital]],tEditais[Edital],0)),"Não")</f>
        <v>Não</v>
      </c>
      <c r="P5728" s="4">
        <f>IF(COUNTIFS(INDEX(tItens[Edital],1):tItens[[#This Row],[Edital]],tItens[[#This Row],[Edital]],INDEX(tItens[Produto],1):tItens[[#This Row],[Produto]],tItens[[#This Row],[Produto]])=1,1,0)</f>
        <v>1</v>
      </c>
    </row>
    <row r="5729" spans="1:16" x14ac:dyDescent="0.25">
      <c r="A5729" t="s">
        <v>2045</v>
      </c>
      <c r="B5729">
        <v>241</v>
      </c>
      <c r="C5729" t="s">
        <v>8516</v>
      </c>
      <c r="D5729" t="s">
        <v>343</v>
      </c>
      <c r="E5729" s="13">
        <v>200</v>
      </c>
      <c r="F5729" s="12">
        <v>1.61</v>
      </c>
      <c r="G5729" t="str">
        <f>IFERROR(INDEX(tEditais[Órgão],MATCH(tItens[[#This Row],[Edital]],tEditais[Edital],0)),"")</f>
        <v>MUNICIPIO DE CRUZEIRO DO OESTE</v>
      </c>
      <c r="H5729" t="str">
        <f>IFERROR(INDEX(tEditais[UF],MATCH(tItens[[#This Row],[Edital]],tEditais[Edital],0)),"")</f>
        <v>PR</v>
      </c>
      <c r="I5729" s="11">
        <f>IFERROR(INDEX(tEditais[Encerramento],MATCH(tItens[[#This Row],[Edital]],tEditais[Edital],0)),"")</f>
        <v>46309.333333333336</v>
      </c>
      <c r="J5729" t="str">
        <f>IFERROR(INDEX(tProdutos[Classe],MATCH(tItens[[#This Row],[Produto]],tProdutos[Produto],0)),"produto não cadastrado")</f>
        <v>FORA</v>
      </c>
      <c r="K5729" s="12">
        <f>tItens[[#This Row],[Qtd]]*tItens[[#This Row],[Vlr unit]]</f>
        <v>322</v>
      </c>
      <c r="L5729" s="6">
        <f>IFERROR(IF(INDEX(tProdutos[Desconto homologado],MATCH(tItens[[#This Row],[Produto]],tProdutos[Produto],0))="",DescontoPadrao,INDEX(tProdutos[Desconto homologado],MATCH(tItens[[#This Row],[Produto]],tProdutos[Produto],0))),DescontoPadrao)</f>
        <v>0.35412234042553198</v>
      </c>
      <c r="M5729" s="12">
        <f>tItens[[#This Row],[Valor]]*(1-tItens[[#This Row],[Desconto]])</f>
        <v>207.97260638297868</v>
      </c>
      <c r="N5729" t="str">
        <f>IFERROR(INDEX(tProdutos[Foco],MATCH(tItens[[#This Row],[Produto]],tProdutos[Produto],0)),"Não")</f>
        <v>Não</v>
      </c>
      <c r="O5729" t="str">
        <f>IFERROR(INDEX(tEditais[SRP],MATCH(tItens[[#This Row],[Edital]],tEditais[Edital],0)),"Não")</f>
        <v>Não</v>
      </c>
      <c r="P5729" s="4">
        <f>IF(COUNTIFS(INDEX(tItens[Edital],1):tItens[[#This Row],[Edital]],tItens[[#This Row],[Edital]],INDEX(tItens[Produto],1):tItens[[#This Row],[Produto]],tItens[[#This Row],[Produto]])=1,1,0)</f>
        <v>0</v>
      </c>
    </row>
    <row r="5730" spans="1:16" x14ac:dyDescent="0.25">
      <c r="A5730" t="s">
        <v>2045</v>
      </c>
      <c r="B5730">
        <v>250</v>
      </c>
      <c r="C5730" t="s">
        <v>8517</v>
      </c>
      <c r="D5730" t="s">
        <v>110</v>
      </c>
      <c r="E5730" s="13">
        <v>200</v>
      </c>
      <c r="F5730" s="12">
        <v>1.38</v>
      </c>
      <c r="G5730" t="str">
        <f>IFERROR(INDEX(tEditais[Órgão],MATCH(tItens[[#This Row],[Edital]],tEditais[Edital],0)),"")</f>
        <v>MUNICIPIO DE CRUZEIRO DO OESTE</v>
      </c>
      <c r="H5730" t="str">
        <f>IFERROR(INDEX(tEditais[UF],MATCH(tItens[[#This Row],[Edital]],tEditais[Edital],0)),"")</f>
        <v>PR</v>
      </c>
      <c r="I5730" s="11">
        <f>IFERROR(INDEX(tEditais[Encerramento],MATCH(tItens[[#This Row],[Edital]],tEditais[Edital],0)),"")</f>
        <v>46309.333333333336</v>
      </c>
      <c r="J5730" t="str">
        <f>IFERROR(INDEX(tProdutos[Classe],MATCH(tItens[[#This Row],[Produto]],tProdutos[Produto],0)),"produto não cadastrado")</f>
        <v>NÚCLEO</v>
      </c>
      <c r="K5730" s="12">
        <f>tItens[[#This Row],[Qtd]]*tItens[[#This Row],[Vlr unit]]</f>
        <v>276</v>
      </c>
      <c r="L5730" s="6">
        <f>IFERROR(IF(INDEX(tProdutos[Desconto homologado],MATCH(tItens[[#This Row],[Produto]],tProdutos[Produto],0))="",DescontoPadrao,INDEX(tProdutos[Desconto homologado],MATCH(tItens[[#This Row],[Produto]],tProdutos[Produto],0))),DescontoPadrao)</f>
        <v>0.30410958904109597</v>
      </c>
      <c r="M5730" s="12">
        <f>tItens[[#This Row],[Valor]]*(1-tItens[[#This Row],[Desconto]])</f>
        <v>192.06575342465752</v>
      </c>
      <c r="N5730" t="str">
        <f>IFERROR(INDEX(tProdutos[Foco],MATCH(tItens[[#This Row],[Produto]],tProdutos[Produto],0)),"Não")</f>
        <v>Não</v>
      </c>
      <c r="O5730" t="str">
        <f>IFERROR(INDEX(tEditais[SRP],MATCH(tItens[[#This Row],[Edital]],tEditais[Edital],0)),"Não")</f>
        <v>Não</v>
      </c>
      <c r="P5730" s="4">
        <f>IF(COUNTIFS(INDEX(tItens[Edital],1):tItens[[#This Row],[Edital]],tItens[[#This Row],[Edital]],INDEX(tItens[Produto],1):tItens[[#This Row],[Produto]],tItens[[#This Row],[Produto]])=1,1,0)</f>
        <v>1</v>
      </c>
    </row>
    <row r="5731" spans="1:16" x14ac:dyDescent="0.25">
      <c r="A5731" t="s">
        <v>2045</v>
      </c>
      <c r="B5731">
        <v>251</v>
      </c>
      <c r="C5731" t="s">
        <v>8137</v>
      </c>
      <c r="D5731" t="s">
        <v>73</v>
      </c>
      <c r="E5731" s="13">
        <v>200</v>
      </c>
      <c r="F5731" s="12">
        <v>1.29</v>
      </c>
      <c r="G5731" t="str">
        <f>IFERROR(INDEX(tEditais[Órgão],MATCH(tItens[[#This Row],[Edital]],tEditais[Edital],0)),"")</f>
        <v>MUNICIPIO DE CRUZEIRO DO OESTE</v>
      </c>
      <c r="H5731" t="str">
        <f>IFERROR(INDEX(tEditais[UF],MATCH(tItens[[#This Row],[Edital]],tEditais[Edital],0)),"")</f>
        <v>PR</v>
      </c>
      <c r="I5731" s="11">
        <f>IFERROR(INDEX(tEditais[Encerramento],MATCH(tItens[[#This Row],[Edital]],tEditais[Edital],0)),"")</f>
        <v>46309.333333333336</v>
      </c>
      <c r="J5731" t="str">
        <f>IFERROR(INDEX(tProdutos[Classe],MATCH(tItens[[#This Row],[Produto]],tProdutos[Produto],0)),"produto não cadastrado")</f>
        <v>NÚCLEO</v>
      </c>
      <c r="K5731" s="12">
        <f>tItens[[#This Row],[Qtd]]*tItens[[#This Row],[Vlr unit]]</f>
        <v>258</v>
      </c>
      <c r="L5731" s="6">
        <f>IFERROR(IF(INDEX(tProdutos[Desconto homologado],MATCH(tItens[[#This Row],[Produto]],tProdutos[Produto],0))="",DescontoPadrao,INDEX(tProdutos[Desconto homologado],MATCH(tItens[[#This Row],[Produto]],tProdutos[Produto],0))),DescontoPadrao)</f>
        <v>0.37</v>
      </c>
      <c r="M5731" s="12">
        <f>tItens[[#This Row],[Valor]]*(1-tItens[[#This Row],[Desconto]])</f>
        <v>162.54</v>
      </c>
      <c r="N5731" t="str">
        <f>IFERROR(INDEX(tProdutos[Foco],MATCH(tItens[[#This Row],[Produto]],tProdutos[Produto],0)),"Não")</f>
        <v>Sim</v>
      </c>
      <c r="O5731" t="str">
        <f>IFERROR(INDEX(tEditais[SRP],MATCH(tItens[[#This Row],[Edital]],tEditais[Edital],0)),"Não")</f>
        <v>Não</v>
      </c>
      <c r="P5731" s="4">
        <f>IF(COUNTIFS(INDEX(tItens[Edital],1):tItens[[#This Row],[Edital]],tItens[[#This Row],[Edital]],INDEX(tItens[Produto],1):tItens[[#This Row],[Produto]],tItens[[#This Row],[Produto]])=1,1,0)</f>
        <v>0</v>
      </c>
    </row>
    <row r="5732" spans="1:16" x14ac:dyDescent="0.25">
      <c r="A5732" t="s">
        <v>2045</v>
      </c>
      <c r="B5732">
        <v>254</v>
      </c>
      <c r="C5732" t="s">
        <v>8518</v>
      </c>
      <c r="D5732" t="s">
        <v>187</v>
      </c>
      <c r="E5732" s="13">
        <v>200</v>
      </c>
      <c r="F5732" s="12">
        <v>1.26</v>
      </c>
      <c r="G5732" t="str">
        <f>IFERROR(INDEX(tEditais[Órgão],MATCH(tItens[[#This Row],[Edital]],tEditais[Edital],0)),"")</f>
        <v>MUNICIPIO DE CRUZEIRO DO OESTE</v>
      </c>
      <c r="H5732" t="str">
        <f>IFERROR(INDEX(tEditais[UF],MATCH(tItens[[#This Row],[Edital]],tEditais[Edital],0)),"")</f>
        <v>PR</v>
      </c>
      <c r="I5732" s="11">
        <f>IFERROR(INDEX(tEditais[Encerramento],MATCH(tItens[[#This Row],[Edital]],tEditais[Edital],0)),"")</f>
        <v>46309.333333333336</v>
      </c>
      <c r="J5732" t="str">
        <f>IFERROR(INDEX(tProdutos[Classe],MATCH(tItens[[#This Row],[Produto]],tProdutos[Produto],0)),"produto não cadastrado")</f>
        <v>DISPUTADO</v>
      </c>
      <c r="K5732" s="12">
        <f>tItens[[#This Row],[Qtd]]*tItens[[#This Row],[Vlr unit]]</f>
        <v>252</v>
      </c>
      <c r="L5732" s="6">
        <f>IFERROR(IF(INDEX(tProdutos[Desconto homologado],MATCH(tItens[[#This Row],[Produto]],tProdutos[Produto],0))="",DescontoPadrao,INDEX(tProdutos[Desconto homologado],MATCH(tItens[[#This Row],[Produto]],tProdutos[Produto],0))),DescontoPadrao)</f>
        <v>0.44298820445609399</v>
      </c>
      <c r="M5732" s="12">
        <f>tItens[[#This Row],[Valor]]*(1-tItens[[#This Row],[Desconto]])</f>
        <v>140.36697247706431</v>
      </c>
      <c r="N5732" t="str">
        <f>IFERROR(INDEX(tProdutos[Foco],MATCH(tItens[[#This Row],[Produto]],tProdutos[Produto],0)),"Não")</f>
        <v>Não</v>
      </c>
      <c r="O5732" t="str">
        <f>IFERROR(INDEX(tEditais[SRP],MATCH(tItens[[#This Row],[Edital]],tEditais[Edital],0)),"Não")</f>
        <v>Não</v>
      </c>
      <c r="P5732" s="4">
        <f>IF(COUNTIFS(INDEX(tItens[Edital],1):tItens[[#This Row],[Edital]],tItens[[#This Row],[Edital]],INDEX(tItens[Produto],1):tItens[[#This Row],[Produto]],tItens[[#This Row],[Produto]])=1,1,0)</f>
        <v>1</v>
      </c>
    </row>
    <row r="5733" spans="1:16" x14ac:dyDescent="0.25">
      <c r="A5733" t="s">
        <v>2045</v>
      </c>
      <c r="B5733">
        <v>258</v>
      </c>
      <c r="C5733" t="s">
        <v>8519</v>
      </c>
      <c r="D5733" t="s">
        <v>641</v>
      </c>
      <c r="E5733" s="13">
        <v>5</v>
      </c>
      <c r="F5733" s="12">
        <v>47.91</v>
      </c>
      <c r="G5733" t="str">
        <f>IFERROR(INDEX(tEditais[Órgão],MATCH(tItens[[#This Row],[Edital]],tEditais[Edital],0)),"")</f>
        <v>MUNICIPIO DE CRUZEIRO DO OESTE</v>
      </c>
      <c r="H5733" t="str">
        <f>IFERROR(INDEX(tEditais[UF],MATCH(tItens[[#This Row],[Edital]],tEditais[Edital],0)),"")</f>
        <v>PR</v>
      </c>
      <c r="I5733" s="11">
        <f>IFERROR(INDEX(tEditais[Encerramento],MATCH(tItens[[#This Row],[Edital]],tEditais[Edital],0)),"")</f>
        <v>46309.333333333336</v>
      </c>
      <c r="J5733" t="str">
        <f>IFERROR(INDEX(tProdutos[Classe],MATCH(tItens[[#This Row],[Produto]],tProdutos[Produto],0)),"produto não cadastrado")</f>
        <v>FILA REBASE</v>
      </c>
      <c r="K5733" s="12">
        <f>tItens[[#This Row],[Qtd]]*tItens[[#This Row],[Vlr unit]]</f>
        <v>239.54999999999998</v>
      </c>
      <c r="L5733" s="6">
        <f>IFERROR(IF(INDEX(tProdutos[Desconto homologado],MATCH(tItens[[#This Row],[Produto]],tProdutos[Produto],0))="",DescontoPadrao,INDEX(tProdutos[Desconto homologado],MATCH(tItens[[#This Row],[Produto]],tProdutos[Produto],0))),DescontoPadrao)</f>
        <v>0.3</v>
      </c>
      <c r="M5733" s="12">
        <f>tItens[[#This Row],[Valor]]*(1-tItens[[#This Row],[Desconto]])</f>
        <v>167.68499999999997</v>
      </c>
      <c r="N5733" t="str">
        <f>IFERROR(INDEX(tProdutos[Foco],MATCH(tItens[[#This Row],[Produto]],tProdutos[Produto],0)),"Não")</f>
        <v>Não</v>
      </c>
      <c r="O5733" t="str">
        <f>IFERROR(INDEX(tEditais[SRP],MATCH(tItens[[#This Row],[Edital]],tEditais[Edital],0)),"Não")</f>
        <v>Não</v>
      </c>
      <c r="P5733" s="4">
        <f>IF(COUNTIFS(INDEX(tItens[Edital],1):tItens[[#This Row],[Edital]],tItens[[#This Row],[Edital]],INDEX(tItens[Produto],1):tItens[[#This Row],[Produto]],tItens[[#This Row],[Produto]])=1,1,0)</f>
        <v>1</v>
      </c>
    </row>
    <row r="5734" spans="1:16" x14ac:dyDescent="0.25">
      <c r="A5734" t="s">
        <v>2045</v>
      </c>
      <c r="B5734">
        <v>263</v>
      </c>
      <c r="C5734" t="s">
        <v>8520</v>
      </c>
      <c r="D5734" t="s">
        <v>170</v>
      </c>
      <c r="E5734" s="13">
        <v>10</v>
      </c>
      <c r="F5734" s="12">
        <v>21.76</v>
      </c>
      <c r="G5734" t="str">
        <f>IFERROR(INDEX(tEditais[Órgão],MATCH(tItens[[#This Row],[Edital]],tEditais[Edital],0)),"")</f>
        <v>MUNICIPIO DE CRUZEIRO DO OESTE</v>
      </c>
      <c r="H5734" t="str">
        <f>IFERROR(INDEX(tEditais[UF],MATCH(tItens[[#This Row],[Edital]],tEditais[Edital],0)),"")</f>
        <v>PR</v>
      </c>
      <c r="I5734" s="11">
        <f>IFERROR(INDEX(tEditais[Encerramento],MATCH(tItens[[#This Row],[Edital]],tEditais[Edital],0)),"")</f>
        <v>46309.333333333336</v>
      </c>
      <c r="J5734" t="str">
        <f>IFERROR(INDEX(tProdutos[Classe],MATCH(tItens[[#This Row],[Produto]],tProdutos[Produto],0)),"produto não cadastrado")</f>
        <v>DISPUTADO</v>
      </c>
      <c r="K5734" s="12">
        <f>tItens[[#This Row],[Qtd]]*tItens[[#This Row],[Vlr unit]]</f>
        <v>217.60000000000002</v>
      </c>
      <c r="L5734" s="6">
        <f>IFERROR(IF(INDEX(tProdutos[Desconto homologado],MATCH(tItens[[#This Row],[Produto]],tProdutos[Produto],0))="",DescontoPadrao,INDEX(tProdutos[Desconto homologado],MATCH(tItens[[#This Row],[Produto]],tProdutos[Produto],0))),DescontoPadrao)</f>
        <v>0.36</v>
      </c>
      <c r="M5734" s="12">
        <f>tItens[[#This Row],[Valor]]*(1-tItens[[#This Row],[Desconto]])</f>
        <v>139.26400000000001</v>
      </c>
      <c r="N5734" t="str">
        <f>IFERROR(INDEX(tProdutos[Foco],MATCH(tItens[[#This Row],[Produto]],tProdutos[Produto],0)),"Não")</f>
        <v>Sim</v>
      </c>
      <c r="O5734" t="str">
        <f>IFERROR(INDEX(tEditais[SRP],MATCH(tItens[[#This Row],[Edital]],tEditais[Edital],0)),"Não")</f>
        <v>Não</v>
      </c>
      <c r="P5734" s="4">
        <f>IF(COUNTIFS(INDEX(tItens[Edital],1):tItens[[#This Row],[Edital]],tItens[[#This Row],[Edital]],INDEX(tItens[Produto],1):tItens[[#This Row],[Produto]],tItens[[#This Row],[Produto]])=1,1,0)</f>
        <v>0</v>
      </c>
    </row>
    <row r="5735" spans="1:16" x14ac:dyDescent="0.25">
      <c r="A5735" t="s">
        <v>2045</v>
      </c>
      <c r="B5735">
        <v>269</v>
      </c>
      <c r="C5735" t="s">
        <v>8521</v>
      </c>
      <c r="D5735" t="s">
        <v>172</v>
      </c>
      <c r="E5735" s="13">
        <v>400</v>
      </c>
      <c r="F5735" s="12">
        <v>0.53</v>
      </c>
      <c r="G5735" t="str">
        <f>IFERROR(INDEX(tEditais[Órgão],MATCH(tItens[[#This Row],[Edital]],tEditais[Edital],0)),"")</f>
        <v>MUNICIPIO DE CRUZEIRO DO OESTE</v>
      </c>
      <c r="H5735" t="str">
        <f>IFERROR(INDEX(tEditais[UF],MATCH(tItens[[#This Row],[Edital]],tEditais[Edital],0)),"")</f>
        <v>PR</v>
      </c>
      <c r="I5735" s="11">
        <f>IFERROR(INDEX(tEditais[Encerramento],MATCH(tItens[[#This Row],[Edital]],tEditais[Edital],0)),"")</f>
        <v>46309.333333333336</v>
      </c>
      <c r="J5735" t="str">
        <f>IFERROR(INDEX(tProdutos[Classe],MATCH(tItens[[#This Row],[Produto]],tProdutos[Produto],0)),"produto não cadastrado")</f>
        <v>DISPUTADO</v>
      </c>
      <c r="K5735" s="12">
        <f>tItens[[#This Row],[Qtd]]*tItens[[#This Row],[Vlr unit]]</f>
        <v>212</v>
      </c>
      <c r="L5735" s="6">
        <f>IFERROR(IF(INDEX(tProdutos[Desconto homologado],MATCH(tItens[[#This Row],[Produto]],tProdutos[Produto],0))="",DescontoPadrao,INDEX(tProdutos[Desconto homologado],MATCH(tItens[[#This Row],[Produto]],tProdutos[Produto],0))),DescontoPadrao)</f>
        <v>0.33578431372549</v>
      </c>
      <c r="M5735" s="12">
        <f>tItens[[#This Row],[Valor]]*(1-tItens[[#This Row],[Desconto]])</f>
        <v>140.81372549019611</v>
      </c>
      <c r="N5735" t="str">
        <f>IFERROR(INDEX(tProdutos[Foco],MATCH(tItens[[#This Row],[Produto]],tProdutos[Produto],0)),"Não")</f>
        <v>Não</v>
      </c>
      <c r="O5735" t="str">
        <f>IFERROR(INDEX(tEditais[SRP],MATCH(tItens[[#This Row],[Edital]],tEditais[Edital],0)),"Não")</f>
        <v>Não</v>
      </c>
      <c r="P5735" s="4">
        <f>IF(COUNTIFS(INDEX(tItens[Edital],1):tItens[[#This Row],[Edital]],tItens[[#This Row],[Edital]],INDEX(tItens[Produto],1):tItens[[#This Row],[Produto]],tItens[[#This Row],[Produto]])=1,1,0)</f>
        <v>1</v>
      </c>
    </row>
    <row r="5736" spans="1:16" x14ac:dyDescent="0.25">
      <c r="A5736" t="s">
        <v>2045</v>
      </c>
      <c r="B5736">
        <v>270</v>
      </c>
      <c r="C5736" t="s">
        <v>8522</v>
      </c>
      <c r="D5736" t="s">
        <v>170</v>
      </c>
      <c r="E5736" s="13">
        <v>10</v>
      </c>
      <c r="F5736" s="12">
        <v>21.19</v>
      </c>
      <c r="G5736" t="str">
        <f>IFERROR(INDEX(tEditais[Órgão],MATCH(tItens[[#This Row],[Edital]],tEditais[Edital],0)),"")</f>
        <v>MUNICIPIO DE CRUZEIRO DO OESTE</v>
      </c>
      <c r="H5736" t="str">
        <f>IFERROR(INDEX(tEditais[UF],MATCH(tItens[[#This Row],[Edital]],tEditais[Edital],0)),"")</f>
        <v>PR</v>
      </c>
      <c r="I5736" s="11">
        <f>IFERROR(INDEX(tEditais[Encerramento],MATCH(tItens[[#This Row],[Edital]],tEditais[Edital],0)),"")</f>
        <v>46309.333333333336</v>
      </c>
      <c r="J5736" t="str">
        <f>IFERROR(INDEX(tProdutos[Classe],MATCH(tItens[[#This Row],[Produto]],tProdutos[Produto],0)),"produto não cadastrado")</f>
        <v>DISPUTADO</v>
      </c>
      <c r="K5736" s="12">
        <f>tItens[[#This Row],[Qtd]]*tItens[[#This Row],[Vlr unit]]</f>
        <v>211.9</v>
      </c>
      <c r="L5736" s="6">
        <f>IFERROR(IF(INDEX(tProdutos[Desconto homologado],MATCH(tItens[[#This Row],[Produto]],tProdutos[Produto],0))="",DescontoPadrao,INDEX(tProdutos[Desconto homologado],MATCH(tItens[[#This Row],[Produto]],tProdutos[Produto],0))),DescontoPadrao)</f>
        <v>0.36</v>
      </c>
      <c r="M5736" s="12">
        <f>tItens[[#This Row],[Valor]]*(1-tItens[[#This Row],[Desconto]])</f>
        <v>135.61600000000001</v>
      </c>
      <c r="N5736" t="str">
        <f>IFERROR(INDEX(tProdutos[Foco],MATCH(tItens[[#This Row],[Produto]],tProdutos[Produto],0)),"Não")</f>
        <v>Sim</v>
      </c>
      <c r="O5736" t="str">
        <f>IFERROR(INDEX(tEditais[SRP],MATCH(tItens[[#This Row],[Edital]],tEditais[Edital],0)),"Não")</f>
        <v>Não</v>
      </c>
      <c r="P5736" s="4">
        <f>IF(COUNTIFS(INDEX(tItens[Edital],1):tItens[[#This Row],[Edital]],tItens[[#This Row],[Edital]],INDEX(tItens[Produto],1):tItens[[#This Row],[Produto]],tItens[[#This Row],[Produto]])=1,1,0)</f>
        <v>0</v>
      </c>
    </row>
    <row r="5737" spans="1:16" x14ac:dyDescent="0.25">
      <c r="A5737" t="s">
        <v>2045</v>
      </c>
      <c r="B5737">
        <v>271</v>
      </c>
      <c r="C5737" t="s">
        <v>8523</v>
      </c>
      <c r="D5737" t="s">
        <v>170</v>
      </c>
      <c r="E5737" s="13">
        <v>10</v>
      </c>
      <c r="F5737" s="12">
        <v>21.16</v>
      </c>
      <c r="G5737" t="str">
        <f>IFERROR(INDEX(tEditais[Órgão],MATCH(tItens[[#This Row],[Edital]],tEditais[Edital],0)),"")</f>
        <v>MUNICIPIO DE CRUZEIRO DO OESTE</v>
      </c>
      <c r="H5737" t="str">
        <f>IFERROR(INDEX(tEditais[UF],MATCH(tItens[[#This Row],[Edital]],tEditais[Edital],0)),"")</f>
        <v>PR</v>
      </c>
      <c r="I5737" s="11">
        <f>IFERROR(INDEX(tEditais[Encerramento],MATCH(tItens[[#This Row],[Edital]],tEditais[Edital],0)),"")</f>
        <v>46309.333333333336</v>
      </c>
      <c r="J5737" t="str">
        <f>IFERROR(INDEX(tProdutos[Classe],MATCH(tItens[[#This Row],[Produto]],tProdutos[Produto],0)),"produto não cadastrado")</f>
        <v>DISPUTADO</v>
      </c>
      <c r="K5737" s="12">
        <f>tItens[[#This Row],[Qtd]]*tItens[[#This Row],[Vlr unit]]</f>
        <v>211.6</v>
      </c>
      <c r="L5737" s="6">
        <f>IFERROR(IF(INDEX(tProdutos[Desconto homologado],MATCH(tItens[[#This Row],[Produto]],tProdutos[Produto],0))="",DescontoPadrao,INDEX(tProdutos[Desconto homologado],MATCH(tItens[[#This Row],[Produto]],tProdutos[Produto],0))),DescontoPadrao)</f>
        <v>0.36</v>
      </c>
      <c r="M5737" s="12">
        <f>tItens[[#This Row],[Valor]]*(1-tItens[[#This Row],[Desconto]])</f>
        <v>135.42400000000001</v>
      </c>
      <c r="N5737" t="str">
        <f>IFERROR(INDEX(tProdutos[Foco],MATCH(tItens[[#This Row],[Produto]],tProdutos[Produto],0)),"Não")</f>
        <v>Sim</v>
      </c>
      <c r="O5737" t="str">
        <f>IFERROR(INDEX(tEditais[SRP],MATCH(tItens[[#This Row],[Edital]],tEditais[Edital],0)),"Não")</f>
        <v>Não</v>
      </c>
      <c r="P5737" s="4">
        <f>IF(COUNTIFS(INDEX(tItens[Edital],1):tItens[[#This Row],[Edital]],tItens[[#This Row],[Edital]],INDEX(tItens[Produto],1):tItens[[#This Row],[Produto]],tItens[[#This Row],[Produto]])=1,1,0)</f>
        <v>0</v>
      </c>
    </row>
    <row r="5738" spans="1:16" x14ac:dyDescent="0.25">
      <c r="A5738" t="s">
        <v>2045</v>
      </c>
      <c r="B5738">
        <v>274</v>
      </c>
      <c r="C5738" t="s">
        <v>8524</v>
      </c>
      <c r="D5738" t="s">
        <v>110</v>
      </c>
      <c r="E5738" s="13">
        <v>100</v>
      </c>
      <c r="F5738" s="12">
        <v>2.04</v>
      </c>
      <c r="G5738" t="str">
        <f>IFERROR(INDEX(tEditais[Órgão],MATCH(tItens[[#This Row],[Edital]],tEditais[Edital],0)),"")</f>
        <v>MUNICIPIO DE CRUZEIRO DO OESTE</v>
      </c>
      <c r="H5738" t="str">
        <f>IFERROR(INDEX(tEditais[UF],MATCH(tItens[[#This Row],[Edital]],tEditais[Edital],0)),"")</f>
        <v>PR</v>
      </c>
      <c r="I5738" s="11">
        <f>IFERROR(INDEX(tEditais[Encerramento],MATCH(tItens[[#This Row],[Edital]],tEditais[Edital],0)),"")</f>
        <v>46309.333333333336</v>
      </c>
      <c r="J5738" t="str">
        <f>IFERROR(INDEX(tProdutos[Classe],MATCH(tItens[[#This Row],[Produto]],tProdutos[Produto],0)),"produto não cadastrado")</f>
        <v>NÚCLEO</v>
      </c>
      <c r="K5738" s="12">
        <f>tItens[[#This Row],[Qtd]]*tItens[[#This Row],[Vlr unit]]</f>
        <v>204</v>
      </c>
      <c r="L5738" s="6">
        <f>IFERROR(IF(INDEX(tProdutos[Desconto homologado],MATCH(tItens[[#This Row],[Produto]],tProdutos[Produto],0))="",DescontoPadrao,INDEX(tProdutos[Desconto homologado],MATCH(tItens[[#This Row],[Produto]],tProdutos[Produto],0))),DescontoPadrao)</f>
        <v>0.30410958904109597</v>
      </c>
      <c r="M5738" s="12">
        <f>tItens[[#This Row],[Valor]]*(1-tItens[[#This Row],[Desconto]])</f>
        <v>141.96164383561643</v>
      </c>
      <c r="N5738" t="str">
        <f>IFERROR(INDEX(tProdutos[Foco],MATCH(tItens[[#This Row],[Produto]],tProdutos[Produto],0)),"Não")</f>
        <v>Não</v>
      </c>
      <c r="O5738" t="str">
        <f>IFERROR(INDEX(tEditais[SRP],MATCH(tItens[[#This Row],[Edital]],tEditais[Edital],0)),"Não")</f>
        <v>Não</v>
      </c>
      <c r="P5738" s="4">
        <f>IF(COUNTIFS(INDEX(tItens[Edital],1):tItens[[#This Row],[Edital]],tItens[[#This Row],[Edital]],INDEX(tItens[Produto],1):tItens[[#This Row],[Produto]],tItens[[#This Row],[Produto]])=1,1,0)</f>
        <v>0</v>
      </c>
    </row>
    <row r="5739" spans="1:16" x14ac:dyDescent="0.25">
      <c r="A5739" t="s">
        <v>2045</v>
      </c>
      <c r="B5739">
        <v>278</v>
      </c>
      <c r="C5739" t="s">
        <v>8525</v>
      </c>
      <c r="D5739" t="s">
        <v>353</v>
      </c>
      <c r="E5739" s="13">
        <v>5</v>
      </c>
      <c r="F5739" s="12">
        <v>36.67</v>
      </c>
      <c r="G5739" t="str">
        <f>IFERROR(INDEX(tEditais[Órgão],MATCH(tItens[[#This Row],[Edital]],tEditais[Edital],0)),"")</f>
        <v>MUNICIPIO DE CRUZEIRO DO OESTE</v>
      </c>
      <c r="H5739" t="str">
        <f>IFERROR(INDEX(tEditais[UF],MATCH(tItens[[#This Row],[Edital]],tEditais[Edital],0)),"")</f>
        <v>PR</v>
      </c>
      <c r="I5739" s="11">
        <f>IFERROR(INDEX(tEditais[Encerramento],MATCH(tItens[[#This Row],[Edital]],tEditais[Edital],0)),"")</f>
        <v>46309.333333333336</v>
      </c>
      <c r="J5739" t="str">
        <f>IFERROR(INDEX(tProdutos[Classe],MATCH(tItens[[#This Row],[Produto]],tProdutos[Produto],0)),"produto não cadastrado")</f>
        <v>FORA</v>
      </c>
      <c r="K5739" s="12">
        <f>tItens[[#This Row],[Qtd]]*tItens[[#This Row],[Vlr unit]]</f>
        <v>183.35000000000002</v>
      </c>
      <c r="L5739" s="6">
        <f>IFERROR(IF(INDEX(tProdutos[Desconto homologado],MATCH(tItens[[#This Row],[Produto]],tProdutos[Produto],0))="",DescontoPadrao,INDEX(tProdutos[Desconto homologado],MATCH(tItens[[#This Row],[Produto]],tProdutos[Produto],0))),DescontoPadrao)</f>
        <v>0.44729172947442503</v>
      </c>
      <c r="M5739" s="12">
        <f>tItens[[#This Row],[Valor]]*(1-tItens[[#This Row],[Desconto]])</f>
        <v>101.3390614008642</v>
      </c>
      <c r="N5739" t="str">
        <f>IFERROR(INDEX(tProdutos[Foco],MATCH(tItens[[#This Row],[Produto]],tProdutos[Produto],0)),"Não")</f>
        <v>Não</v>
      </c>
      <c r="O5739" t="str">
        <f>IFERROR(INDEX(tEditais[SRP],MATCH(tItens[[#This Row],[Edital]],tEditais[Edital],0)),"Não")</f>
        <v>Não</v>
      </c>
      <c r="P5739" s="4">
        <f>IF(COUNTIFS(INDEX(tItens[Edital],1):tItens[[#This Row],[Edital]],tItens[[#This Row],[Edital]],INDEX(tItens[Produto],1):tItens[[#This Row],[Produto]],tItens[[#This Row],[Produto]])=1,1,0)</f>
        <v>1</v>
      </c>
    </row>
    <row r="5740" spans="1:16" x14ac:dyDescent="0.25">
      <c r="A5740" t="s">
        <v>2045</v>
      </c>
      <c r="B5740">
        <v>279</v>
      </c>
      <c r="C5740" t="s">
        <v>8526</v>
      </c>
      <c r="D5740" t="s">
        <v>353</v>
      </c>
      <c r="E5740" s="13">
        <v>5</v>
      </c>
      <c r="F5740" s="12">
        <v>36.619999999999997</v>
      </c>
      <c r="G5740" t="str">
        <f>IFERROR(INDEX(tEditais[Órgão],MATCH(tItens[[#This Row],[Edital]],tEditais[Edital],0)),"")</f>
        <v>MUNICIPIO DE CRUZEIRO DO OESTE</v>
      </c>
      <c r="H5740" t="str">
        <f>IFERROR(INDEX(tEditais[UF],MATCH(tItens[[#This Row],[Edital]],tEditais[Edital],0)),"")</f>
        <v>PR</v>
      </c>
      <c r="I5740" s="11">
        <f>IFERROR(INDEX(tEditais[Encerramento],MATCH(tItens[[#This Row],[Edital]],tEditais[Edital],0)),"")</f>
        <v>46309.333333333336</v>
      </c>
      <c r="J5740" t="str">
        <f>IFERROR(INDEX(tProdutos[Classe],MATCH(tItens[[#This Row],[Produto]],tProdutos[Produto],0)),"produto não cadastrado")</f>
        <v>FORA</v>
      </c>
      <c r="K5740" s="12">
        <f>tItens[[#This Row],[Qtd]]*tItens[[#This Row],[Vlr unit]]</f>
        <v>183.1</v>
      </c>
      <c r="L5740" s="6">
        <f>IFERROR(IF(INDEX(tProdutos[Desconto homologado],MATCH(tItens[[#This Row],[Produto]],tProdutos[Produto],0))="",DescontoPadrao,INDEX(tProdutos[Desconto homologado],MATCH(tItens[[#This Row],[Produto]],tProdutos[Produto],0))),DescontoPadrao)</f>
        <v>0.44729172947442503</v>
      </c>
      <c r="M5740" s="12">
        <f>tItens[[#This Row],[Valor]]*(1-tItens[[#This Row],[Desconto]])</f>
        <v>101.20088433323278</v>
      </c>
      <c r="N5740" t="str">
        <f>IFERROR(INDEX(tProdutos[Foco],MATCH(tItens[[#This Row],[Produto]],tProdutos[Produto],0)),"Não")</f>
        <v>Não</v>
      </c>
      <c r="O5740" t="str">
        <f>IFERROR(INDEX(tEditais[SRP],MATCH(tItens[[#This Row],[Edital]],tEditais[Edital],0)),"Não")</f>
        <v>Não</v>
      </c>
      <c r="P5740" s="4">
        <f>IF(COUNTIFS(INDEX(tItens[Edital],1):tItens[[#This Row],[Edital]],tItens[[#This Row],[Edital]],INDEX(tItens[Produto],1):tItens[[#This Row],[Produto]],tItens[[#This Row],[Produto]])=1,1,0)</f>
        <v>0</v>
      </c>
    </row>
    <row r="5741" spans="1:16" x14ac:dyDescent="0.25">
      <c r="A5741" t="s">
        <v>2045</v>
      </c>
      <c r="B5741">
        <v>283</v>
      </c>
      <c r="C5741" t="s">
        <v>8527</v>
      </c>
      <c r="D5741" t="s">
        <v>110</v>
      </c>
      <c r="E5741" s="13">
        <v>150</v>
      </c>
      <c r="F5741" s="12">
        <v>1.19</v>
      </c>
      <c r="G5741" t="str">
        <f>IFERROR(INDEX(tEditais[Órgão],MATCH(tItens[[#This Row],[Edital]],tEditais[Edital],0)),"")</f>
        <v>MUNICIPIO DE CRUZEIRO DO OESTE</v>
      </c>
      <c r="H5741" t="str">
        <f>IFERROR(INDEX(tEditais[UF],MATCH(tItens[[#This Row],[Edital]],tEditais[Edital],0)),"")</f>
        <v>PR</v>
      </c>
      <c r="I5741" s="11">
        <f>IFERROR(INDEX(tEditais[Encerramento],MATCH(tItens[[#This Row],[Edital]],tEditais[Edital],0)),"")</f>
        <v>46309.333333333336</v>
      </c>
      <c r="J5741" t="str">
        <f>IFERROR(INDEX(tProdutos[Classe],MATCH(tItens[[#This Row],[Produto]],tProdutos[Produto],0)),"produto não cadastrado")</f>
        <v>NÚCLEO</v>
      </c>
      <c r="K5741" s="12">
        <f>tItens[[#This Row],[Qtd]]*tItens[[#This Row],[Vlr unit]]</f>
        <v>178.5</v>
      </c>
      <c r="L5741" s="6">
        <f>IFERROR(IF(INDEX(tProdutos[Desconto homologado],MATCH(tItens[[#This Row],[Produto]],tProdutos[Produto],0))="",DescontoPadrao,INDEX(tProdutos[Desconto homologado],MATCH(tItens[[#This Row],[Produto]],tProdutos[Produto],0))),DescontoPadrao)</f>
        <v>0.30410958904109597</v>
      </c>
      <c r="M5741" s="12">
        <f>tItens[[#This Row],[Valor]]*(1-tItens[[#This Row],[Desconto]])</f>
        <v>124.21643835616437</v>
      </c>
      <c r="N5741" t="str">
        <f>IFERROR(INDEX(tProdutos[Foco],MATCH(tItens[[#This Row],[Produto]],tProdutos[Produto],0)),"Não")</f>
        <v>Não</v>
      </c>
      <c r="O5741" t="str">
        <f>IFERROR(INDEX(tEditais[SRP],MATCH(tItens[[#This Row],[Edital]],tEditais[Edital],0)),"Não")</f>
        <v>Não</v>
      </c>
      <c r="P5741" s="4">
        <f>IF(COUNTIFS(INDEX(tItens[Edital],1):tItens[[#This Row],[Edital]],tItens[[#This Row],[Edital]],INDEX(tItens[Produto],1):tItens[[#This Row],[Produto]],tItens[[#This Row],[Produto]])=1,1,0)</f>
        <v>0</v>
      </c>
    </row>
    <row r="5742" spans="1:16" x14ac:dyDescent="0.25">
      <c r="A5742" t="s">
        <v>2045</v>
      </c>
      <c r="B5742">
        <v>284</v>
      </c>
      <c r="C5742" t="s">
        <v>8528</v>
      </c>
      <c r="D5742" t="s">
        <v>110</v>
      </c>
      <c r="E5742" s="13">
        <v>150</v>
      </c>
      <c r="F5742" s="12">
        <v>1.18</v>
      </c>
      <c r="G5742" t="str">
        <f>IFERROR(INDEX(tEditais[Órgão],MATCH(tItens[[#This Row],[Edital]],tEditais[Edital],0)),"")</f>
        <v>MUNICIPIO DE CRUZEIRO DO OESTE</v>
      </c>
      <c r="H5742" t="str">
        <f>IFERROR(INDEX(tEditais[UF],MATCH(tItens[[#This Row],[Edital]],tEditais[Edital],0)),"")</f>
        <v>PR</v>
      </c>
      <c r="I5742" s="11">
        <f>IFERROR(INDEX(tEditais[Encerramento],MATCH(tItens[[#This Row],[Edital]],tEditais[Edital],0)),"")</f>
        <v>46309.333333333336</v>
      </c>
      <c r="J5742" t="str">
        <f>IFERROR(INDEX(tProdutos[Classe],MATCH(tItens[[#This Row],[Produto]],tProdutos[Produto],0)),"produto não cadastrado")</f>
        <v>NÚCLEO</v>
      </c>
      <c r="K5742" s="12">
        <f>tItens[[#This Row],[Qtd]]*tItens[[#This Row],[Vlr unit]]</f>
        <v>177</v>
      </c>
      <c r="L5742" s="6">
        <f>IFERROR(IF(INDEX(tProdutos[Desconto homologado],MATCH(tItens[[#This Row],[Produto]],tProdutos[Produto],0))="",DescontoPadrao,INDEX(tProdutos[Desconto homologado],MATCH(tItens[[#This Row],[Produto]],tProdutos[Produto],0))),DescontoPadrao)</f>
        <v>0.30410958904109597</v>
      </c>
      <c r="M5742" s="12">
        <f>tItens[[#This Row],[Valor]]*(1-tItens[[#This Row],[Desconto]])</f>
        <v>123.17260273972602</v>
      </c>
      <c r="N5742" t="str">
        <f>IFERROR(INDEX(tProdutos[Foco],MATCH(tItens[[#This Row],[Produto]],tProdutos[Produto],0)),"Não")</f>
        <v>Não</v>
      </c>
      <c r="O5742" t="str">
        <f>IFERROR(INDEX(tEditais[SRP],MATCH(tItens[[#This Row],[Edital]],tEditais[Edital],0)),"Não")</f>
        <v>Não</v>
      </c>
      <c r="P5742" s="4">
        <f>IF(COUNTIFS(INDEX(tItens[Edital],1):tItens[[#This Row],[Edital]],tItens[[#This Row],[Edital]],INDEX(tItens[Produto],1):tItens[[#This Row],[Produto]],tItens[[#This Row],[Produto]])=1,1,0)</f>
        <v>0</v>
      </c>
    </row>
    <row r="5743" spans="1:16" x14ac:dyDescent="0.25">
      <c r="A5743" t="s">
        <v>2045</v>
      </c>
      <c r="B5743">
        <v>285</v>
      </c>
      <c r="C5743" t="s">
        <v>8529</v>
      </c>
      <c r="D5743" t="s">
        <v>110</v>
      </c>
      <c r="E5743" s="13">
        <v>150</v>
      </c>
      <c r="F5743" s="12">
        <v>1.17</v>
      </c>
      <c r="G5743" t="str">
        <f>IFERROR(INDEX(tEditais[Órgão],MATCH(tItens[[#This Row],[Edital]],tEditais[Edital],0)),"")</f>
        <v>MUNICIPIO DE CRUZEIRO DO OESTE</v>
      </c>
      <c r="H5743" t="str">
        <f>IFERROR(INDEX(tEditais[UF],MATCH(tItens[[#This Row],[Edital]],tEditais[Edital],0)),"")</f>
        <v>PR</v>
      </c>
      <c r="I5743" s="11">
        <f>IFERROR(INDEX(tEditais[Encerramento],MATCH(tItens[[#This Row],[Edital]],tEditais[Edital],0)),"")</f>
        <v>46309.333333333336</v>
      </c>
      <c r="J5743" t="str">
        <f>IFERROR(INDEX(tProdutos[Classe],MATCH(tItens[[#This Row],[Produto]],tProdutos[Produto],0)),"produto não cadastrado")</f>
        <v>NÚCLEO</v>
      </c>
      <c r="K5743" s="12">
        <f>tItens[[#This Row],[Qtd]]*tItens[[#This Row],[Vlr unit]]</f>
        <v>175.5</v>
      </c>
      <c r="L5743" s="6">
        <f>IFERROR(IF(INDEX(tProdutos[Desconto homologado],MATCH(tItens[[#This Row],[Produto]],tProdutos[Produto],0))="",DescontoPadrao,INDEX(tProdutos[Desconto homologado],MATCH(tItens[[#This Row],[Produto]],tProdutos[Produto],0))),DescontoPadrao)</f>
        <v>0.30410958904109597</v>
      </c>
      <c r="M5743" s="12">
        <f>tItens[[#This Row],[Valor]]*(1-tItens[[#This Row],[Desconto]])</f>
        <v>122.12876712328766</v>
      </c>
      <c r="N5743" t="str">
        <f>IFERROR(INDEX(tProdutos[Foco],MATCH(tItens[[#This Row],[Produto]],tProdutos[Produto],0)),"Não")</f>
        <v>Não</v>
      </c>
      <c r="O5743" t="str">
        <f>IFERROR(INDEX(tEditais[SRP],MATCH(tItens[[#This Row],[Edital]],tEditais[Edital],0)),"Não")</f>
        <v>Não</v>
      </c>
      <c r="P5743" s="4">
        <f>IF(COUNTIFS(INDEX(tItens[Edital],1):tItens[[#This Row],[Edital]],tItens[[#This Row],[Edital]],INDEX(tItens[Produto],1):tItens[[#This Row],[Produto]],tItens[[#This Row],[Produto]])=1,1,0)</f>
        <v>0</v>
      </c>
    </row>
    <row r="5744" spans="1:16" x14ac:dyDescent="0.25">
      <c r="A5744" t="s">
        <v>2045</v>
      </c>
      <c r="B5744">
        <v>293</v>
      </c>
      <c r="C5744" t="s">
        <v>8530</v>
      </c>
      <c r="D5744" t="s">
        <v>136</v>
      </c>
      <c r="E5744" s="13">
        <v>20</v>
      </c>
      <c r="F5744" s="12">
        <v>8.23</v>
      </c>
      <c r="G5744" t="str">
        <f>IFERROR(INDEX(tEditais[Órgão],MATCH(tItens[[#This Row],[Edital]],tEditais[Edital],0)),"")</f>
        <v>MUNICIPIO DE CRUZEIRO DO OESTE</v>
      </c>
      <c r="H5744" t="str">
        <f>IFERROR(INDEX(tEditais[UF],MATCH(tItens[[#This Row],[Edital]],tEditais[Edital],0)),"")</f>
        <v>PR</v>
      </c>
      <c r="I5744" s="11">
        <f>IFERROR(INDEX(tEditais[Encerramento],MATCH(tItens[[#This Row],[Edital]],tEditais[Edital],0)),"")</f>
        <v>46309.333333333336</v>
      </c>
      <c r="J5744" t="str">
        <f>IFERROR(INDEX(tProdutos[Classe],MATCH(tItens[[#This Row],[Produto]],tProdutos[Produto],0)),"produto não cadastrado")</f>
        <v>DISPUTADO</v>
      </c>
      <c r="K5744" s="12">
        <f>tItens[[#This Row],[Qtd]]*tItens[[#This Row],[Vlr unit]]</f>
        <v>164.60000000000002</v>
      </c>
      <c r="L5744" s="6">
        <f>IFERROR(IF(INDEX(tProdutos[Desconto homologado],MATCH(tItens[[#This Row],[Produto]],tProdutos[Produto],0))="",DescontoPadrao,INDEX(tProdutos[Desconto homologado],MATCH(tItens[[#This Row],[Produto]],tProdutos[Produto],0))),DescontoPadrao)</f>
        <v>0.330646209370899</v>
      </c>
      <c r="M5744" s="12">
        <f>tItens[[#This Row],[Valor]]*(1-tItens[[#This Row],[Desconto]])</f>
        <v>110.17563393755003</v>
      </c>
      <c r="N5744" t="str">
        <f>IFERROR(INDEX(tProdutos[Foco],MATCH(tItens[[#This Row],[Produto]],tProdutos[Produto],0)),"Não")</f>
        <v>Não</v>
      </c>
      <c r="O5744" t="str">
        <f>IFERROR(INDEX(tEditais[SRP],MATCH(tItens[[#This Row],[Edital]],tEditais[Edital],0)),"Não")</f>
        <v>Não</v>
      </c>
      <c r="P5744" s="4">
        <f>IF(COUNTIFS(INDEX(tItens[Edital],1):tItens[[#This Row],[Edital]],tItens[[#This Row],[Edital]],INDEX(tItens[Produto],1):tItens[[#This Row],[Produto]],tItens[[#This Row],[Produto]])=1,1,0)</f>
        <v>0</v>
      </c>
    </row>
    <row r="5745" spans="1:16" x14ac:dyDescent="0.25">
      <c r="A5745" t="s">
        <v>2045</v>
      </c>
      <c r="B5745">
        <v>299</v>
      </c>
      <c r="C5745" t="s">
        <v>8531</v>
      </c>
      <c r="D5745" t="s">
        <v>110</v>
      </c>
      <c r="E5745" s="13">
        <v>150</v>
      </c>
      <c r="F5745" s="12">
        <v>0.97</v>
      </c>
      <c r="G5745" t="str">
        <f>IFERROR(INDEX(tEditais[Órgão],MATCH(tItens[[#This Row],[Edital]],tEditais[Edital],0)),"")</f>
        <v>MUNICIPIO DE CRUZEIRO DO OESTE</v>
      </c>
      <c r="H5745" t="str">
        <f>IFERROR(INDEX(tEditais[UF],MATCH(tItens[[#This Row],[Edital]],tEditais[Edital],0)),"")</f>
        <v>PR</v>
      </c>
      <c r="I5745" s="11">
        <f>IFERROR(INDEX(tEditais[Encerramento],MATCH(tItens[[#This Row],[Edital]],tEditais[Edital],0)),"")</f>
        <v>46309.333333333336</v>
      </c>
      <c r="J5745" t="str">
        <f>IFERROR(INDEX(tProdutos[Classe],MATCH(tItens[[#This Row],[Produto]],tProdutos[Produto],0)),"produto não cadastrado")</f>
        <v>NÚCLEO</v>
      </c>
      <c r="K5745" s="12">
        <f>tItens[[#This Row],[Qtd]]*tItens[[#This Row],[Vlr unit]]</f>
        <v>145.5</v>
      </c>
      <c r="L5745" s="6">
        <f>IFERROR(IF(INDEX(tProdutos[Desconto homologado],MATCH(tItens[[#This Row],[Produto]],tProdutos[Produto],0))="",DescontoPadrao,INDEX(tProdutos[Desconto homologado],MATCH(tItens[[#This Row],[Produto]],tProdutos[Produto],0))),DescontoPadrao)</f>
        <v>0.30410958904109597</v>
      </c>
      <c r="M5745" s="12">
        <f>tItens[[#This Row],[Valor]]*(1-tItens[[#This Row],[Desconto]])</f>
        <v>101.25205479452053</v>
      </c>
      <c r="N5745" t="str">
        <f>IFERROR(INDEX(tProdutos[Foco],MATCH(tItens[[#This Row],[Produto]],tProdutos[Produto],0)),"Não")</f>
        <v>Não</v>
      </c>
      <c r="O5745" t="str">
        <f>IFERROR(INDEX(tEditais[SRP],MATCH(tItens[[#This Row],[Edital]],tEditais[Edital],0)),"Não")</f>
        <v>Não</v>
      </c>
      <c r="P5745" s="4">
        <f>IF(COUNTIFS(INDEX(tItens[Edital],1):tItens[[#This Row],[Edital]],tItens[[#This Row],[Edital]],INDEX(tItens[Produto],1):tItens[[#This Row],[Produto]],tItens[[#This Row],[Produto]])=1,1,0)</f>
        <v>0</v>
      </c>
    </row>
    <row r="5746" spans="1:16" x14ac:dyDescent="0.25">
      <c r="A5746" t="s">
        <v>2045</v>
      </c>
      <c r="B5746">
        <v>300</v>
      </c>
      <c r="C5746" t="s">
        <v>8532</v>
      </c>
      <c r="D5746" t="s">
        <v>353</v>
      </c>
      <c r="E5746" s="13">
        <v>5</v>
      </c>
      <c r="F5746" s="12">
        <v>28.43</v>
      </c>
      <c r="G5746" t="str">
        <f>IFERROR(INDEX(tEditais[Órgão],MATCH(tItens[[#This Row],[Edital]],tEditais[Edital],0)),"")</f>
        <v>MUNICIPIO DE CRUZEIRO DO OESTE</v>
      </c>
      <c r="H5746" t="str">
        <f>IFERROR(INDEX(tEditais[UF],MATCH(tItens[[#This Row],[Edital]],tEditais[Edital],0)),"")</f>
        <v>PR</v>
      </c>
      <c r="I5746" s="11">
        <f>IFERROR(INDEX(tEditais[Encerramento],MATCH(tItens[[#This Row],[Edital]],tEditais[Edital],0)),"")</f>
        <v>46309.333333333336</v>
      </c>
      <c r="J5746" t="str">
        <f>IFERROR(INDEX(tProdutos[Classe],MATCH(tItens[[#This Row],[Produto]],tProdutos[Produto],0)),"produto não cadastrado")</f>
        <v>FORA</v>
      </c>
      <c r="K5746" s="12">
        <f>tItens[[#This Row],[Qtd]]*tItens[[#This Row],[Vlr unit]]</f>
        <v>142.15</v>
      </c>
      <c r="L5746" s="6">
        <f>IFERROR(IF(INDEX(tProdutos[Desconto homologado],MATCH(tItens[[#This Row],[Produto]],tProdutos[Produto],0))="",DescontoPadrao,INDEX(tProdutos[Desconto homologado],MATCH(tItens[[#This Row],[Produto]],tProdutos[Produto],0))),DescontoPadrao)</f>
        <v>0.44729172947442503</v>
      </c>
      <c r="M5746" s="12">
        <f>tItens[[#This Row],[Valor]]*(1-tItens[[#This Row],[Desconto]])</f>
        <v>78.567480655210488</v>
      </c>
      <c r="N5746" t="str">
        <f>IFERROR(INDEX(tProdutos[Foco],MATCH(tItens[[#This Row],[Produto]],tProdutos[Produto],0)),"Não")</f>
        <v>Não</v>
      </c>
      <c r="O5746" t="str">
        <f>IFERROR(INDEX(tEditais[SRP],MATCH(tItens[[#This Row],[Edital]],tEditais[Edital],0)),"Não")</f>
        <v>Não</v>
      </c>
      <c r="P5746" s="4">
        <f>IF(COUNTIFS(INDEX(tItens[Edital],1):tItens[[#This Row],[Edital]],tItens[[#This Row],[Edital]],INDEX(tItens[Produto],1):tItens[[#This Row],[Produto]],tItens[[#This Row],[Produto]])=1,1,0)</f>
        <v>0</v>
      </c>
    </row>
    <row r="5747" spans="1:16" x14ac:dyDescent="0.25">
      <c r="A5747" t="s">
        <v>2045</v>
      </c>
      <c r="B5747">
        <v>302</v>
      </c>
      <c r="C5747" t="s">
        <v>8533</v>
      </c>
      <c r="D5747" t="s">
        <v>110</v>
      </c>
      <c r="E5747" s="13">
        <v>100</v>
      </c>
      <c r="F5747" s="12">
        <v>1.39</v>
      </c>
      <c r="G5747" t="str">
        <f>IFERROR(INDEX(tEditais[Órgão],MATCH(tItens[[#This Row],[Edital]],tEditais[Edital],0)),"")</f>
        <v>MUNICIPIO DE CRUZEIRO DO OESTE</v>
      </c>
      <c r="H5747" t="str">
        <f>IFERROR(INDEX(tEditais[UF],MATCH(tItens[[#This Row],[Edital]],tEditais[Edital],0)),"")</f>
        <v>PR</v>
      </c>
      <c r="I5747" s="11">
        <f>IFERROR(INDEX(tEditais[Encerramento],MATCH(tItens[[#This Row],[Edital]],tEditais[Edital],0)),"")</f>
        <v>46309.333333333336</v>
      </c>
      <c r="J5747" t="str">
        <f>IFERROR(INDEX(tProdutos[Classe],MATCH(tItens[[#This Row],[Produto]],tProdutos[Produto],0)),"produto não cadastrado")</f>
        <v>NÚCLEO</v>
      </c>
      <c r="K5747" s="12">
        <f>tItens[[#This Row],[Qtd]]*tItens[[#This Row],[Vlr unit]]</f>
        <v>139</v>
      </c>
      <c r="L5747" s="6">
        <f>IFERROR(IF(INDEX(tProdutos[Desconto homologado],MATCH(tItens[[#This Row],[Produto]],tProdutos[Produto],0))="",DescontoPadrao,INDEX(tProdutos[Desconto homologado],MATCH(tItens[[#This Row],[Produto]],tProdutos[Produto],0))),DescontoPadrao)</f>
        <v>0.30410958904109597</v>
      </c>
      <c r="M5747" s="12">
        <f>tItens[[#This Row],[Valor]]*(1-tItens[[#This Row],[Desconto]])</f>
        <v>96.728767123287653</v>
      </c>
      <c r="N5747" t="str">
        <f>IFERROR(INDEX(tProdutos[Foco],MATCH(tItens[[#This Row],[Produto]],tProdutos[Produto],0)),"Não")</f>
        <v>Não</v>
      </c>
      <c r="O5747" t="str">
        <f>IFERROR(INDEX(tEditais[SRP],MATCH(tItens[[#This Row],[Edital]],tEditais[Edital],0)),"Não")</f>
        <v>Não</v>
      </c>
      <c r="P5747" s="4">
        <f>IF(COUNTIFS(INDEX(tItens[Edital],1):tItens[[#This Row],[Edital]],tItens[[#This Row],[Edital]],INDEX(tItens[Produto],1):tItens[[#This Row],[Produto]],tItens[[#This Row],[Produto]])=1,1,0)</f>
        <v>0</v>
      </c>
    </row>
    <row r="5748" spans="1:16" x14ac:dyDescent="0.25">
      <c r="A5748" t="s">
        <v>2045</v>
      </c>
      <c r="B5748">
        <v>304</v>
      </c>
      <c r="C5748" t="s">
        <v>8534</v>
      </c>
      <c r="D5748" t="s">
        <v>327</v>
      </c>
      <c r="E5748" s="13">
        <v>20</v>
      </c>
      <c r="F5748" s="12">
        <v>6.92</v>
      </c>
      <c r="G5748" t="str">
        <f>IFERROR(INDEX(tEditais[Órgão],MATCH(tItens[[#This Row],[Edital]],tEditais[Edital],0)),"")</f>
        <v>MUNICIPIO DE CRUZEIRO DO OESTE</v>
      </c>
      <c r="H5748" t="str">
        <f>IFERROR(INDEX(tEditais[UF],MATCH(tItens[[#This Row],[Edital]],tEditais[Edital],0)),"")</f>
        <v>PR</v>
      </c>
      <c r="I5748" s="11">
        <f>IFERROR(INDEX(tEditais[Encerramento],MATCH(tItens[[#This Row],[Edital]],tEditais[Edital],0)),"")</f>
        <v>46309.333333333336</v>
      </c>
      <c r="J5748" t="str">
        <f>IFERROR(INDEX(tProdutos[Classe],MATCH(tItens[[#This Row],[Produto]],tProdutos[Produto],0)),"produto não cadastrado")</f>
        <v>FORA</v>
      </c>
      <c r="K5748" s="12">
        <f>tItens[[#This Row],[Qtd]]*tItens[[#This Row],[Vlr unit]]</f>
        <v>138.4</v>
      </c>
      <c r="L5748" s="6">
        <f>IFERROR(IF(INDEX(tProdutos[Desconto homologado],MATCH(tItens[[#This Row],[Produto]],tProdutos[Produto],0))="",DescontoPadrao,INDEX(tProdutos[Desconto homologado],MATCH(tItens[[#This Row],[Produto]],tProdutos[Produto],0))),DescontoPadrao)</f>
        <v>0.49969483918783197</v>
      </c>
      <c r="M5748" s="12">
        <f>tItens[[#This Row],[Valor]]*(1-tItens[[#This Row],[Desconto]])</f>
        <v>69.24223425640406</v>
      </c>
      <c r="N5748" t="str">
        <f>IFERROR(INDEX(tProdutos[Foco],MATCH(tItens[[#This Row],[Produto]],tProdutos[Produto],0)),"Não")</f>
        <v>Não</v>
      </c>
      <c r="O5748" t="str">
        <f>IFERROR(INDEX(tEditais[SRP],MATCH(tItens[[#This Row],[Edital]],tEditais[Edital],0)),"Não")</f>
        <v>Não</v>
      </c>
      <c r="P5748" s="4">
        <f>IF(COUNTIFS(INDEX(tItens[Edital],1):tItens[[#This Row],[Edital]],tItens[[#This Row],[Edital]],INDEX(tItens[Produto],1):tItens[[#This Row],[Produto]],tItens[[#This Row],[Produto]])=1,1,0)</f>
        <v>1</v>
      </c>
    </row>
    <row r="5749" spans="1:16" x14ac:dyDescent="0.25">
      <c r="A5749" t="s">
        <v>2045</v>
      </c>
      <c r="B5749">
        <v>307</v>
      </c>
      <c r="C5749" t="s">
        <v>8535</v>
      </c>
      <c r="D5749" t="s">
        <v>353</v>
      </c>
      <c r="E5749" s="13">
        <v>5</v>
      </c>
      <c r="F5749" s="12">
        <v>25.42</v>
      </c>
      <c r="G5749" t="str">
        <f>IFERROR(INDEX(tEditais[Órgão],MATCH(tItens[[#This Row],[Edital]],tEditais[Edital],0)),"")</f>
        <v>MUNICIPIO DE CRUZEIRO DO OESTE</v>
      </c>
      <c r="H5749" t="str">
        <f>IFERROR(INDEX(tEditais[UF],MATCH(tItens[[#This Row],[Edital]],tEditais[Edital],0)),"")</f>
        <v>PR</v>
      </c>
      <c r="I5749" s="11">
        <f>IFERROR(INDEX(tEditais[Encerramento],MATCH(tItens[[#This Row],[Edital]],tEditais[Edital],0)),"")</f>
        <v>46309.333333333336</v>
      </c>
      <c r="J5749" t="str">
        <f>IFERROR(INDEX(tProdutos[Classe],MATCH(tItens[[#This Row],[Produto]],tProdutos[Produto],0)),"produto não cadastrado")</f>
        <v>FORA</v>
      </c>
      <c r="K5749" s="12">
        <f>tItens[[#This Row],[Qtd]]*tItens[[#This Row],[Vlr unit]]</f>
        <v>127.10000000000001</v>
      </c>
      <c r="L5749" s="6">
        <f>IFERROR(IF(INDEX(tProdutos[Desconto homologado],MATCH(tItens[[#This Row],[Produto]],tProdutos[Produto],0))="",DescontoPadrao,INDEX(tProdutos[Desconto homologado],MATCH(tItens[[#This Row],[Produto]],tProdutos[Produto],0))),DescontoPadrao)</f>
        <v>0.44729172947442503</v>
      </c>
      <c r="M5749" s="12">
        <f>tItens[[#This Row],[Valor]]*(1-tItens[[#This Row],[Desconto]])</f>
        <v>70.249221183800586</v>
      </c>
      <c r="N5749" t="str">
        <f>IFERROR(INDEX(tProdutos[Foco],MATCH(tItens[[#This Row],[Produto]],tProdutos[Produto],0)),"Não")</f>
        <v>Não</v>
      </c>
      <c r="O5749" t="str">
        <f>IFERROR(INDEX(tEditais[SRP],MATCH(tItens[[#This Row],[Edital]],tEditais[Edital],0)),"Não")</f>
        <v>Não</v>
      </c>
      <c r="P5749" s="4">
        <f>IF(COUNTIFS(INDEX(tItens[Edital],1):tItens[[#This Row],[Edital]],tItens[[#This Row],[Edital]],INDEX(tItens[Produto],1):tItens[[#This Row],[Produto]],tItens[[#This Row],[Produto]])=1,1,0)</f>
        <v>0</v>
      </c>
    </row>
    <row r="5750" spans="1:16" x14ac:dyDescent="0.25">
      <c r="A5750" t="s">
        <v>2045</v>
      </c>
      <c r="B5750">
        <v>309</v>
      </c>
      <c r="C5750" t="s">
        <v>8536</v>
      </c>
      <c r="D5750" t="s">
        <v>110</v>
      </c>
      <c r="E5750" s="13">
        <v>100</v>
      </c>
      <c r="F5750" s="12">
        <v>1.2</v>
      </c>
      <c r="G5750" t="str">
        <f>IFERROR(INDEX(tEditais[Órgão],MATCH(tItens[[#This Row],[Edital]],tEditais[Edital],0)),"")</f>
        <v>MUNICIPIO DE CRUZEIRO DO OESTE</v>
      </c>
      <c r="H5750" t="str">
        <f>IFERROR(INDEX(tEditais[UF],MATCH(tItens[[#This Row],[Edital]],tEditais[Edital],0)),"")</f>
        <v>PR</v>
      </c>
      <c r="I5750" s="11">
        <f>IFERROR(INDEX(tEditais[Encerramento],MATCH(tItens[[#This Row],[Edital]],tEditais[Edital],0)),"")</f>
        <v>46309.333333333336</v>
      </c>
      <c r="J5750" t="str">
        <f>IFERROR(INDEX(tProdutos[Classe],MATCH(tItens[[#This Row],[Produto]],tProdutos[Produto],0)),"produto não cadastrado")</f>
        <v>NÚCLEO</v>
      </c>
      <c r="K5750" s="12">
        <f>tItens[[#This Row],[Qtd]]*tItens[[#This Row],[Vlr unit]]</f>
        <v>120</v>
      </c>
      <c r="L5750" s="6">
        <f>IFERROR(IF(INDEX(tProdutos[Desconto homologado],MATCH(tItens[[#This Row],[Produto]],tProdutos[Produto],0))="",DescontoPadrao,INDEX(tProdutos[Desconto homologado],MATCH(tItens[[#This Row],[Produto]],tProdutos[Produto],0))),DescontoPadrao)</f>
        <v>0.30410958904109597</v>
      </c>
      <c r="M5750" s="12">
        <f>tItens[[#This Row],[Valor]]*(1-tItens[[#This Row],[Desconto]])</f>
        <v>83.506849315068479</v>
      </c>
      <c r="N5750" t="str">
        <f>IFERROR(INDEX(tProdutos[Foco],MATCH(tItens[[#This Row],[Produto]],tProdutos[Produto],0)),"Não")</f>
        <v>Não</v>
      </c>
      <c r="O5750" t="str">
        <f>IFERROR(INDEX(tEditais[SRP],MATCH(tItens[[#This Row],[Edital]],tEditais[Edital],0)),"Não")</f>
        <v>Não</v>
      </c>
      <c r="P5750" s="4">
        <f>IF(COUNTIFS(INDEX(tItens[Edital],1):tItens[[#This Row],[Edital]],tItens[[#This Row],[Edital]],INDEX(tItens[Produto],1):tItens[[#This Row],[Produto]],tItens[[#This Row],[Produto]])=1,1,0)</f>
        <v>0</v>
      </c>
    </row>
    <row r="5751" spans="1:16" x14ac:dyDescent="0.25">
      <c r="A5751" t="s">
        <v>2045</v>
      </c>
      <c r="B5751">
        <v>316</v>
      </c>
      <c r="C5751" t="s">
        <v>8537</v>
      </c>
      <c r="D5751" t="s">
        <v>110</v>
      </c>
      <c r="E5751" s="13">
        <v>100</v>
      </c>
      <c r="F5751" s="12">
        <v>1.08</v>
      </c>
      <c r="G5751" t="str">
        <f>IFERROR(INDEX(tEditais[Órgão],MATCH(tItens[[#This Row],[Edital]],tEditais[Edital],0)),"")</f>
        <v>MUNICIPIO DE CRUZEIRO DO OESTE</v>
      </c>
      <c r="H5751" t="str">
        <f>IFERROR(INDEX(tEditais[UF],MATCH(tItens[[#This Row],[Edital]],tEditais[Edital],0)),"")</f>
        <v>PR</v>
      </c>
      <c r="I5751" s="11">
        <f>IFERROR(INDEX(tEditais[Encerramento],MATCH(tItens[[#This Row],[Edital]],tEditais[Edital],0)),"")</f>
        <v>46309.333333333336</v>
      </c>
      <c r="J5751" t="str">
        <f>IFERROR(INDEX(tProdutos[Classe],MATCH(tItens[[#This Row],[Produto]],tProdutos[Produto],0)),"produto não cadastrado")</f>
        <v>NÚCLEO</v>
      </c>
      <c r="K5751" s="12">
        <f>tItens[[#This Row],[Qtd]]*tItens[[#This Row],[Vlr unit]]</f>
        <v>108</v>
      </c>
      <c r="L5751" s="6">
        <f>IFERROR(IF(INDEX(tProdutos[Desconto homologado],MATCH(tItens[[#This Row],[Produto]],tProdutos[Produto],0))="",DescontoPadrao,INDEX(tProdutos[Desconto homologado],MATCH(tItens[[#This Row],[Produto]],tProdutos[Produto],0))),DescontoPadrao)</f>
        <v>0.30410958904109597</v>
      </c>
      <c r="M5751" s="12">
        <f>tItens[[#This Row],[Valor]]*(1-tItens[[#This Row],[Desconto]])</f>
        <v>75.156164383561631</v>
      </c>
      <c r="N5751" t="str">
        <f>IFERROR(INDEX(tProdutos[Foco],MATCH(tItens[[#This Row],[Produto]],tProdutos[Produto],0)),"Não")</f>
        <v>Não</v>
      </c>
      <c r="O5751" t="str">
        <f>IFERROR(INDEX(tEditais[SRP],MATCH(tItens[[#This Row],[Edital]],tEditais[Edital],0)),"Não")</f>
        <v>Não</v>
      </c>
      <c r="P5751" s="4">
        <f>IF(COUNTIFS(INDEX(tItens[Edital],1):tItens[[#This Row],[Edital]],tItens[[#This Row],[Edital]],INDEX(tItens[Produto],1):tItens[[#This Row],[Produto]],tItens[[#This Row],[Produto]])=1,1,0)</f>
        <v>0</v>
      </c>
    </row>
    <row r="5752" spans="1:16" x14ac:dyDescent="0.25">
      <c r="A5752" t="s">
        <v>2045</v>
      </c>
      <c r="B5752">
        <v>318</v>
      </c>
      <c r="C5752" t="s">
        <v>8538</v>
      </c>
      <c r="D5752" t="s">
        <v>110</v>
      </c>
      <c r="E5752" s="13">
        <v>150</v>
      </c>
      <c r="F5752" s="12">
        <v>0.7</v>
      </c>
      <c r="G5752" t="str">
        <f>IFERROR(INDEX(tEditais[Órgão],MATCH(tItens[[#This Row],[Edital]],tEditais[Edital],0)),"")</f>
        <v>MUNICIPIO DE CRUZEIRO DO OESTE</v>
      </c>
      <c r="H5752" t="str">
        <f>IFERROR(INDEX(tEditais[UF],MATCH(tItens[[#This Row],[Edital]],tEditais[Edital],0)),"")</f>
        <v>PR</v>
      </c>
      <c r="I5752" s="11">
        <f>IFERROR(INDEX(tEditais[Encerramento],MATCH(tItens[[#This Row],[Edital]],tEditais[Edital],0)),"")</f>
        <v>46309.333333333336</v>
      </c>
      <c r="J5752" t="str">
        <f>IFERROR(INDEX(tProdutos[Classe],MATCH(tItens[[#This Row],[Produto]],tProdutos[Produto],0)),"produto não cadastrado")</f>
        <v>NÚCLEO</v>
      </c>
      <c r="K5752" s="12">
        <f>tItens[[#This Row],[Qtd]]*tItens[[#This Row],[Vlr unit]]</f>
        <v>105</v>
      </c>
      <c r="L5752" s="6">
        <f>IFERROR(IF(INDEX(tProdutos[Desconto homologado],MATCH(tItens[[#This Row],[Produto]],tProdutos[Produto],0))="",DescontoPadrao,INDEX(tProdutos[Desconto homologado],MATCH(tItens[[#This Row],[Produto]],tProdutos[Produto],0))),DescontoPadrao)</f>
        <v>0.30410958904109597</v>
      </c>
      <c r="M5752" s="12">
        <f>tItens[[#This Row],[Valor]]*(1-tItens[[#This Row],[Desconto]])</f>
        <v>73.06849315068493</v>
      </c>
      <c r="N5752" t="str">
        <f>IFERROR(INDEX(tProdutos[Foco],MATCH(tItens[[#This Row],[Produto]],tProdutos[Produto],0)),"Não")</f>
        <v>Não</v>
      </c>
      <c r="O5752" t="str">
        <f>IFERROR(INDEX(tEditais[SRP],MATCH(tItens[[#This Row],[Edital]],tEditais[Edital],0)),"Não")</f>
        <v>Não</v>
      </c>
      <c r="P5752" s="4">
        <f>IF(COUNTIFS(INDEX(tItens[Edital],1):tItens[[#This Row],[Edital]],tItens[[#This Row],[Edital]],INDEX(tItens[Produto],1):tItens[[#This Row],[Produto]],tItens[[#This Row],[Produto]])=1,1,0)</f>
        <v>0</v>
      </c>
    </row>
    <row r="5753" spans="1:16" x14ac:dyDescent="0.25">
      <c r="A5753" t="s">
        <v>2045</v>
      </c>
      <c r="B5753">
        <v>328</v>
      </c>
      <c r="C5753" t="s">
        <v>4332</v>
      </c>
      <c r="D5753" t="s">
        <v>399</v>
      </c>
      <c r="E5753" s="13">
        <v>10</v>
      </c>
      <c r="F5753" s="12">
        <v>7.49</v>
      </c>
      <c r="G5753" t="str">
        <f>IFERROR(INDEX(tEditais[Órgão],MATCH(tItens[[#This Row],[Edital]],tEditais[Edital],0)),"")</f>
        <v>MUNICIPIO DE CRUZEIRO DO OESTE</v>
      </c>
      <c r="H5753" t="str">
        <f>IFERROR(INDEX(tEditais[UF],MATCH(tItens[[#This Row],[Edital]],tEditais[Edital],0)),"")</f>
        <v>PR</v>
      </c>
      <c r="I5753" s="11">
        <f>IFERROR(INDEX(tEditais[Encerramento],MATCH(tItens[[#This Row],[Edital]],tEditais[Edital],0)),"")</f>
        <v>46309.333333333336</v>
      </c>
      <c r="J5753" t="str">
        <f>IFERROR(INDEX(tProdutos[Classe],MATCH(tItens[[#This Row],[Produto]],tProdutos[Produto],0)),"produto não cadastrado")</f>
        <v>FORA</v>
      </c>
      <c r="K5753" s="12">
        <f>tItens[[#This Row],[Qtd]]*tItens[[#This Row],[Vlr unit]]</f>
        <v>74.900000000000006</v>
      </c>
      <c r="L5753" s="6">
        <f>IFERROR(IF(INDEX(tProdutos[Desconto homologado],MATCH(tItens[[#This Row],[Produto]],tProdutos[Produto],0))="",DescontoPadrao,INDEX(tProdutos[Desconto homologado],MATCH(tItens[[#This Row],[Produto]],tProdutos[Produto],0))),DescontoPadrao)</f>
        <v>0.30009041591320101</v>
      </c>
      <c r="M5753" s="12">
        <f>tItens[[#This Row],[Valor]]*(1-tItens[[#This Row],[Desconto]])</f>
        <v>52.423227848101256</v>
      </c>
      <c r="N5753" t="str">
        <f>IFERROR(INDEX(tProdutos[Foco],MATCH(tItens[[#This Row],[Produto]],tProdutos[Produto],0)),"Não")</f>
        <v>Não</v>
      </c>
      <c r="O5753" t="str">
        <f>IFERROR(INDEX(tEditais[SRP],MATCH(tItens[[#This Row],[Edital]],tEditais[Edital],0)),"Não")</f>
        <v>Não</v>
      </c>
      <c r="P5753" s="4">
        <f>IF(COUNTIFS(INDEX(tItens[Edital],1):tItens[[#This Row],[Edital]],tItens[[#This Row],[Edital]],INDEX(tItens[Produto],1):tItens[[#This Row],[Produto]],tItens[[#This Row],[Produto]])=1,1,0)</f>
        <v>1</v>
      </c>
    </row>
    <row r="5754" spans="1:16" x14ac:dyDescent="0.25">
      <c r="A5754" t="s">
        <v>2045</v>
      </c>
      <c r="B5754">
        <v>330</v>
      </c>
      <c r="C5754" t="s">
        <v>8539</v>
      </c>
      <c r="D5754" t="s">
        <v>399</v>
      </c>
      <c r="E5754" s="13">
        <v>10</v>
      </c>
      <c r="F5754" s="12">
        <v>7.34</v>
      </c>
      <c r="G5754" t="str">
        <f>IFERROR(INDEX(tEditais[Órgão],MATCH(tItens[[#This Row],[Edital]],tEditais[Edital],0)),"")</f>
        <v>MUNICIPIO DE CRUZEIRO DO OESTE</v>
      </c>
      <c r="H5754" t="str">
        <f>IFERROR(INDEX(tEditais[UF],MATCH(tItens[[#This Row],[Edital]],tEditais[Edital],0)),"")</f>
        <v>PR</v>
      </c>
      <c r="I5754" s="11">
        <f>IFERROR(INDEX(tEditais[Encerramento],MATCH(tItens[[#This Row],[Edital]],tEditais[Edital],0)),"")</f>
        <v>46309.333333333336</v>
      </c>
      <c r="J5754" t="str">
        <f>IFERROR(INDEX(tProdutos[Classe],MATCH(tItens[[#This Row],[Produto]],tProdutos[Produto],0)),"produto não cadastrado")</f>
        <v>FORA</v>
      </c>
      <c r="K5754" s="12">
        <f>tItens[[#This Row],[Qtd]]*tItens[[#This Row],[Vlr unit]]</f>
        <v>73.400000000000006</v>
      </c>
      <c r="L5754" s="6">
        <f>IFERROR(IF(INDEX(tProdutos[Desconto homologado],MATCH(tItens[[#This Row],[Produto]],tProdutos[Produto],0))="",DescontoPadrao,INDEX(tProdutos[Desconto homologado],MATCH(tItens[[#This Row],[Produto]],tProdutos[Produto],0))),DescontoPadrao)</f>
        <v>0.30009041591320101</v>
      </c>
      <c r="M5754" s="12">
        <f>tItens[[#This Row],[Valor]]*(1-tItens[[#This Row],[Desconto]])</f>
        <v>51.373363471971054</v>
      </c>
      <c r="N5754" t="str">
        <f>IFERROR(INDEX(tProdutos[Foco],MATCH(tItens[[#This Row],[Produto]],tProdutos[Produto],0)),"Não")</f>
        <v>Não</v>
      </c>
      <c r="O5754" t="str">
        <f>IFERROR(INDEX(tEditais[SRP],MATCH(tItens[[#This Row],[Edital]],tEditais[Edital],0)),"Não")</f>
        <v>Não</v>
      </c>
      <c r="P5754" s="4">
        <f>IF(COUNTIFS(INDEX(tItens[Edital],1):tItens[[#This Row],[Edital]],tItens[[#This Row],[Edital]],INDEX(tItens[Produto],1):tItens[[#This Row],[Produto]],tItens[[#This Row],[Produto]])=1,1,0)</f>
        <v>0</v>
      </c>
    </row>
    <row r="5755" spans="1:16" x14ac:dyDescent="0.25">
      <c r="A5755" t="s">
        <v>2045</v>
      </c>
      <c r="B5755">
        <v>339</v>
      </c>
      <c r="C5755" t="s">
        <v>8540</v>
      </c>
      <c r="D5755" t="s">
        <v>120</v>
      </c>
      <c r="E5755" s="13">
        <v>100</v>
      </c>
      <c r="F5755" s="12">
        <v>0.52</v>
      </c>
      <c r="G5755" t="str">
        <f>IFERROR(INDEX(tEditais[Órgão],MATCH(tItens[[#This Row],[Edital]],tEditais[Edital],0)),"")</f>
        <v>MUNICIPIO DE CRUZEIRO DO OESTE</v>
      </c>
      <c r="H5755" t="str">
        <f>IFERROR(INDEX(tEditais[UF],MATCH(tItens[[#This Row],[Edital]],tEditais[Edital],0)),"")</f>
        <v>PR</v>
      </c>
      <c r="I5755" s="11">
        <f>IFERROR(INDEX(tEditais[Encerramento],MATCH(tItens[[#This Row],[Edital]],tEditais[Edital],0)),"")</f>
        <v>46309.333333333336</v>
      </c>
      <c r="J5755" t="str">
        <f>IFERROR(INDEX(tProdutos[Classe],MATCH(tItens[[#This Row],[Produto]],tProdutos[Produto],0)),"produto não cadastrado")</f>
        <v>DISPUTADO</v>
      </c>
      <c r="K5755" s="12">
        <f>tItens[[#This Row],[Qtd]]*tItens[[#This Row],[Vlr unit]]</f>
        <v>52</v>
      </c>
      <c r="L5755" s="6">
        <f>IFERROR(IF(INDEX(tProdutos[Desconto homologado],MATCH(tItens[[#This Row],[Produto]],tProdutos[Produto],0))="",DescontoPadrao,INDEX(tProdutos[Desconto homologado],MATCH(tItens[[#This Row],[Produto]],tProdutos[Produto],0))),DescontoPadrao)</f>
        <v>0.40909090909090901</v>
      </c>
      <c r="M5755" s="12">
        <f>tItens[[#This Row],[Valor]]*(1-tItens[[#This Row],[Desconto]])</f>
        <v>30.727272727272734</v>
      </c>
      <c r="N5755" t="str">
        <f>IFERROR(INDEX(tProdutos[Foco],MATCH(tItens[[#This Row],[Produto]],tProdutos[Produto],0)),"Não")</f>
        <v>Não</v>
      </c>
      <c r="O5755" t="str">
        <f>IFERROR(INDEX(tEditais[SRP],MATCH(tItens[[#This Row],[Edital]],tEditais[Edital],0)),"Não")</f>
        <v>Não</v>
      </c>
      <c r="P5755" s="4">
        <f>IF(COUNTIFS(INDEX(tItens[Edital],1):tItens[[#This Row],[Edital]],tItens[[#This Row],[Edital]],INDEX(tItens[Produto],1):tItens[[#This Row],[Produto]],tItens[[#This Row],[Produto]])=1,1,0)</f>
        <v>0</v>
      </c>
    </row>
    <row r="5756" spans="1:16" x14ac:dyDescent="0.25">
      <c r="A5756" t="s">
        <v>2045</v>
      </c>
      <c r="B5756">
        <v>340</v>
      </c>
      <c r="C5756" t="s">
        <v>8541</v>
      </c>
      <c r="D5756" t="s">
        <v>110</v>
      </c>
      <c r="E5756" s="13">
        <v>50</v>
      </c>
      <c r="F5756" s="12">
        <v>1.02</v>
      </c>
      <c r="G5756" t="str">
        <f>IFERROR(INDEX(tEditais[Órgão],MATCH(tItens[[#This Row],[Edital]],tEditais[Edital],0)),"")</f>
        <v>MUNICIPIO DE CRUZEIRO DO OESTE</v>
      </c>
      <c r="H5756" t="str">
        <f>IFERROR(INDEX(tEditais[UF],MATCH(tItens[[#This Row],[Edital]],tEditais[Edital],0)),"")</f>
        <v>PR</v>
      </c>
      <c r="I5756" s="11">
        <f>IFERROR(INDEX(tEditais[Encerramento],MATCH(tItens[[#This Row],[Edital]],tEditais[Edital],0)),"")</f>
        <v>46309.333333333336</v>
      </c>
      <c r="J5756" t="str">
        <f>IFERROR(INDEX(tProdutos[Classe],MATCH(tItens[[#This Row],[Produto]],tProdutos[Produto],0)),"produto não cadastrado")</f>
        <v>NÚCLEO</v>
      </c>
      <c r="K5756" s="12">
        <f>tItens[[#This Row],[Qtd]]*tItens[[#This Row],[Vlr unit]]</f>
        <v>51</v>
      </c>
      <c r="L5756" s="6">
        <f>IFERROR(IF(INDEX(tProdutos[Desconto homologado],MATCH(tItens[[#This Row],[Produto]],tProdutos[Produto],0))="",DescontoPadrao,INDEX(tProdutos[Desconto homologado],MATCH(tItens[[#This Row],[Produto]],tProdutos[Produto],0))),DescontoPadrao)</f>
        <v>0.30410958904109597</v>
      </c>
      <c r="M5756" s="12">
        <f>tItens[[#This Row],[Valor]]*(1-tItens[[#This Row],[Desconto]])</f>
        <v>35.490410958904107</v>
      </c>
      <c r="N5756" t="str">
        <f>IFERROR(INDEX(tProdutos[Foco],MATCH(tItens[[#This Row],[Produto]],tProdutos[Produto],0)),"Não")</f>
        <v>Não</v>
      </c>
      <c r="O5756" t="str">
        <f>IFERROR(INDEX(tEditais[SRP],MATCH(tItens[[#This Row],[Edital]],tEditais[Edital],0)),"Não")</f>
        <v>Não</v>
      </c>
      <c r="P5756" s="4">
        <f>IF(COUNTIFS(INDEX(tItens[Edital],1):tItens[[#This Row],[Edital]],tItens[[#This Row],[Edital]],INDEX(tItens[Produto],1):tItens[[#This Row],[Produto]],tItens[[#This Row],[Produto]])=1,1,0)</f>
        <v>0</v>
      </c>
    </row>
    <row r="5757" spans="1:16" x14ac:dyDescent="0.25">
      <c r="A5757" t="s">
        <v>2045</v>
      </c>
      <c r="B5757">
        <v>343</v>
      </c>
      <c r="C5757" t="s">
        <v>8542</v>
      </c>
      <c r="D5757" t="s">
        <v>110</v>
      </c>
      <c r="E5757" s="13">
        <v>50</v>
      </c>
      <c r="F5757" s="12">
        <v>0.92</v>
      </c>
      <c r="G5757" t="str">
        <f>IFERROR(INDEX(tEditais[Órgão],MATCH(tItens[[#This Row],[Edital]],tEditais[Edital],0)),"")</f>
        <v>MUNICIPIO DE CRUZEIRO DO OESTE</v>
      </c>
      <c r="H5757" t="str">
        <f>IFERROR(INDEX(tEditais[UF],MATCH(tItens[[#This Row],[Edital]],tEditais[Edital],0)),"")</f>
        <v>PR</v>
      </c>
      <c r="I5757" s="11">
        <f>IFERROR(INDEX(tEditais[Encerramento],MATCH(tItens[[#This Row],[Edital]],tEditais[Edital],0)),"")</f>
        <v>46309.333333333336</v>
      </c>
      <c r="J5757" t="str">
        <f>IFERROR(INDEX(tProdutos[Classe],MATCH(tItens[[#This Row],[Produto]],tProdutos[Produto],0)),"produto não cadastrado")</f>
        <v>NÚCLEO</v>
      </c>
      <c r="K5757" s="12">
        <f>tItens[[#This Row],[Qtd]]*tItens[[#This Row],[Vlr unit]]</f>
        <v>46</v>
      </c>
      <c r="L5757" s="6">
        <f>IFERROR(IF(INDEX(tProdutos[Desconto homologado],MATCH(tItens[[#This Row],[Produto]],tProdutos[Produto],0))="",DescontoPadrao,INDEX(tProdutos[Desconto homologado],MATCH(tItens[[#This Row],[Produto]],tProdutos[Produto],0))),DescontoPadrao)</f>
        <v>0.30410958904109597</v>
      </c>
      <c r="M5757" s="12">
        <f>tItens[[#This Row],[Valor]]*(1-tItens[[#This Row],[Desconto]])</f>
        <v>32.010958904109586</v>
      </c>
      <c r="N5757" t="str">
        <f>IFERROR(INDEX(tProdutos[Foco],MATCH(tItens[[#This Row],[Produto]],tProdutos[Produto],0)),"Não")</f>
        <v>Não</v>
      </c>
      <c r="O5757" t="str">
        <f>IFERROR(INDEX(tEditais[SRP],MATCH(tItens[[#This Row],[Edital]],tEditais[Edital],0)),"Não")</f>
        <v>Não</v>
      </c>
      <c r="P5757" s="4">
        <f>IF(COUNTIFS(INDEX(tItens[Edital],1):tItens[[#This Row],[Edital]],tItens[[#This Row],[Edital]],INDEX(tItens[Produto],1):tItens[[#This Row],[Produto]],tItens[[#This Row],[Produto]])=1,1,0)</f>
        <v>0</v>
      </c>
    </row>
    <row r="5758" spans="1:16" x14ac:dyDescent="0.25">
      <c r="A5758" t="s">
        <v>2045</v>
      </c>
      <c r="B5758">
        <v>352</v>
      </c>
      <c r="C5758" t="s">
        <v>8543</v>
      </c>
      <c r="D5758" t="s">
        <v>110</v>
      </c>
      <c r="E5758" s="13">
        <v>50</v>
      </c>
      <c r="F5758" s="12">
        <v>0.79</v>
      </c>
      <c r="G5758" t="str">
        <f>IFERROR(INDEX(tEditais[Órgão],MATCH(tItens[[#This Row],[Edital]],tEditais[Edital],0)),"")</f>
        <v>MUNICIPIO DE CRUZEIRO DO OESTE</v>
      </c>
      <c r="H5758" t="str">
        <f>IFERROR(INDEX(tEditais[UF],MATCH(tItens[[#This Row],[Edital]],tEditais[Edital],0)),"")</f>
        <v>PR</v>
      </c>
      <c r="I5758" s="11">
        <f>IFERROR(INDEX(tEditais[Encerramento],MATCH(tItens[[#This Row],[Edital]],tEditais[Edital],0)),"")</f>
        <v>46309.333333333336</v>
      </c>
      <c r="J5758" t="str">
        <f>IFERROR(INDEX(tProdutos[Classe],MATCH(tItens[[#This Row],[Produto]],tProdutos[Produto],0)),"produto não cadastrado")</f>
        <v>NÚCLEO</v>
      </c>
      <c r="K5758" s="12">
        <f>tItens[[#This Row],[Qtd]]*tItens[[#This Row],[Vlr unit]]</f>
        <v>39.5</v>
      </c>
      <c r="L5758" s="6">
        <f>IFERROR(IF(INDEX(tProdutos[Desconto homologado],MATCH(tItens[[#This Row],[Produto]],tProdutos[Produto],0))="",DescontoPadrao,INDEX(tProdutos[Desconto homologado],MATCH(tItens[[#This Row],[Produto]],tProdutos[Produto],0))),DescontoPadrao)</f>
        <v>0.30410958904109597</v>
      </c>
      <c r="M5758" s="12">
        <f>tItens[[#This Row],[Valor]]*(1-tItens[[#This Row],[Desconto]])</f>
        <v>27.487671232876711</v>
      </c>
      <c r="N5758" t="str">
        <f>IFERROR(INDEX(tProdutos[Foco],MATCH(tItens[[#This Row],[Produto]],tProdutos[Produto],0)),"Não")</f>
        <v>Não</v>
      </c>
      <c r="O5758" t="str">
        <f>IFERROR(INDEX(tEditais[SRP],MATCH(tItens[[#This Row],[Edital]],tEditais[Edital],0)),"Não")</f>
        <v>Não</v>
      </c>
      <c r="P5758" s="4">
        <f>IF(COUNTIFS(INDEX(tItens[Edital],1):tItens[[#This Row],[Edital]],tItens[[#This Row],[Edital]],INDEX(tItens[Produto],1):tItens[[#This Row],[Produto]],tItens[[#This Row],[Produto]])=1,1,0)</f>
        <v>0</v>
      </c>
    </row>
    <row r="5759" spans="1:16" x14ac:dyDescent="0.25">
      <c r="A5759" t="s">
        <v>2045</v>
      </c>
      <c r="B5759">
        <v>355</v>
      </c>
      <c r="C5759" t="s">
        <v>8544</v>
      </c>
      <c r="D5759" t="s">
        <v>110</v>
      </c>
      <c r="E5759" s="13">
        <v>50</v>
      </c>
      <c r="F5759" s="12">
        <v>0.7</v>
      </c>
      <c r="G5759" t="str">
        <f>IFERROR(INDEX(tEditais[Órgão],MATCH(tItens[[#This Row],[Edital]],tEditais[Edital],0)),"")</f>
        <v>MUNICIPIO DE CRUZEIRO DO OESTE</v>
      </c>
      <c r="H5759" t="str">
        <f>IFERROR(INDEX(tEditais[UF],MATCH(tItens[[#This Row],[Edital]],tEditais[Edital],0)),"")</f>
        <v>PR</v>
      </c>
      <c r="I5759" s="11">
        <f>IFERROR(INDEX(tEditais[Encerramento],MATCH(tItens[[#This Row],[Edital]],tEditais[Edital],0)),"")</f>
        <v>46309.333333333336</v>
      </c>
      <c r="J5759" t="str">
        <f>IFERROR(INDEX(tProdutos[Classe],MATCH(tItens[[#This Row],[Produto]],tProdutos[Produto],0)),"produto não cadastrado")</f>
        <v>NÚCLEO</v>
      </c>
      <c r="K5759" s="12">
        <f>tItens[[#This Row],[Qtd]]*tItens[[#This Row],[Vlr unit]]</f>
        <v>35</v>
      </c>
      <c r="L5759" s="6">
        <f>IFERROR(IF(INDEX(tProdutos[Desconto homologado],MATCH(tItens[[#This Row],[Produto]],tProdutos[Produto],0))="",DescontoPadrao,INDEX(tProdutos[Desconto homologado],MATCH(tItens[[#This Row],[Produto]],tProdutos[Produto],0))),DescontoPadrao)</f>
        <v>0.30410958904109597</v>
      </c>
      <c r="M5759" s="12">
        <f>tItens[[#This Row],[Valor]]*(1-tItens[[#This Row],[Desconto]])</f>
        <v>24.356164383561641</v>
      </c>
      <c r="N5759" t="str">
        <f>IFERROR(INDEX(tProdutos[Foco],MATCH(tItens[[#This Row],[Produto]],tProdutos[Produto],0)),"Não")</f>
        <v>Não</v>
      </c>
      <c r="O5759" t="str">
        <f>IFERROR(INDEX(tEditais[SRP],MATCH(tItens[[#This Row],[Edital]],tEditais[Edital],0)),"Não")</f>
        <v>Não</v>
      </c>
      <c r="P5759" s="4">
        <f>IF(COUNTIFS(INDEX(tItens[Edital],1):tItens[[#This Row],[Edital]],tItens[[#This Row],[Edital]],INDEX(tItens[Produto],1):tItens[[#This Row],[Produto]],tItens[[#This Row],[Produto]])=1,1,0)</f>
        <v>0</v>
      </c>
    </row>
    <row r="5760" spans="1:16" x14ac:dyDescent="0.25">
      <c r="A5760" t="s">
        <v>2045</v>
      </c>
      <c r="B5760">
        <v>366</v>
      </c>
      <c r="C5760" t="s">
        <v>8545</v>
      </c>
      <c r="D5760" t="s">
        <v>120</v>
      </c>
      <c r="E5760" s="13">
        <v>50</v>
      </c>
      <c r="F5760" s="12">
        <v>0.6</v>
      </c>
      <c r="G5760" t="str">
        <f>IFERROR(INDEX(tEditais[Órgão],MATCH(tItens[[#This Row],[Edital]],tEditais[Edital],0)),"")</f>
        <v>MUNICIPIO DE CRUZEIRO DO OESTE</v>
      </c>
      <c r="H5760" t="str">
        <f>IFERROR(INDEX(tEditais[UF],MATCH(tItens[[#This Row],[Edital]],tEditais[Edital],0)),"")</f>
        <v>PR</v>
      </c>
      <c r="I5760" s="11">
        <f>IFERROR(INDEX(tEditais[Encerramento],MATCH(tItens[[#This Row],[Edital]],tEditais[Edital],0)),"")</f>
        <v>46309.333333333336</v>
      </c>
      <c r="J5760" t="str">
        <f>IFERROR(INDEX(tProdutos[Classe],MATCH(tItens[[#This Row],[Produto]],tProdutos[Produto],0)),"produto não cadastrado")</f>
        <v>DISPUTADO</v>
      </c>
      <c r="K5760" s="12">
        <f>tItens[[#This Row],[Qtd]]*tItens[[#This Row],[Vlr unit]]</f>
        <v>30</v>
      </c>
      <c r="L5760" s="6">
        <f>IFERROR(IF(INDEX(tProdutos[Desconto homologado],MATCH(tItens[[#This Row],[Produto]],tProdutos[Produto],0))="",DescontoPadrao,INDEX(tProdutos[Desconto homologado],MATCH(tItens[[#This Row],[Produto]],tProdutos[Produto],0))),DescontoPadrao)</f>
        <v>0.40909090909090901</v>
      </c>
      <c r="M5760" s="12">
        <f>tItens[[#This Row],[Valor]]*(1-tItens[[#This Row],[Desconto]])</f>
        <v>17.72727272727273</v>
      </c>
      <c r="N5760" t="str">
        <f>IFERROR(INDEX(tProdutos[Foco],MATCH(tItens[[#This Row],[Produto]],tProdutos[Produto],0)),"Não")</f>
        <v>Não</v>
      </c>
      <c r="O5760" t="str">
        <f>IFERROR(INDEX(tEditais[SRP],MATCH(tItens[[#This Row],[Edital]],tEditais[Edital],0)),"Não")</f>
        <v>Não</v>
      </c>
      <c r="P5760" s="4">
        <f>IF(COUNTIFS(INDEX(tItens[Edital],1):tItens[[#This Row],[Edital]],tItens[[#This Row],[Edital]],INDEX(tItens[Produto],1):tItens[[#This Row],[Produto]],tItens[[#This Row],[Produto]])=1,1,0)</f>
        <v>0</v>
      </c>
    </row>
    <row r="5761" spans="1:16" x14ac:dyDescent="0.25">
      <c r="A5761" t="s">
        <v>2045</v>
      </c>
      <c r="B5761">
        <v>379</v>
      </c>
      <c r="C5761" t="s">
        <v>8546</v>
      </c>
      <c r="D5761" t="s">
        <v>333</v>
      </c>
      <c r="E5761" s="13">
        <v>45000</v>
      </c>
      <c r="F5761" s="12">
        <v>0.79</v>
      </c>
      <c r="G5761" t="str">
        <f>IFERROR(INDEX(tEditais[Órgão],MATCH(tItens[[#This Row],[Edital]],tEditais[Edital],0)),"")</f>
        <v>MUNICIPIO DE CRUZEIRO DO OESTE</v>
      </c>
      <c r="H5761" t="str">
        <f>IFERROR(INDEX(tEditais[UF],MATCH(tItens[[#This Row],[Edital]],tEditais[Edital],0)),"")</f>
        <v>PR</v>
      </c>
      <c r="I5761" s="11">
        <f>IFERROR(INDEX(tEditais[Encerramento],MATCH(tItens[[#This Row],[Edital]],tEditais[Edital],0)),"")</f>
        <v>46309.333333333336</v>
      </c>
      <c r="J5761" t="str">
        <f>IFERROR(INDEX(tProdutos[Classe],MATCH(tItens[[#This Row],[Produto]],tProdutos[Produto],0)),"produto não cadastrado")</f>
        <v>FORA</v>
      </c>
      <c r="K5761" s="12">
        <f>tItens[[#This Row],[Qtd]]*tItens[[#This Row],[Vlr unit]]</f>
        <v>35550</v>
      </c>
      <c r="L5761" s="6">
        <f>IFERROR(IF(INDEX(tProdutos[Desconto homologado],MATCH(tItens[[#This Row],[Produto]],tProdutos[Produto],0))="",DescontoPadrao,INDEX(tProdutos[Desconto homologado],MATCH(tItens[[#This Row],[Produto]],tProdutos[Produto],0))),DescontoPadrao)</f>
        <v>0.48951048951048998</v>
      </c>
      <c r="M5761" s="12">
        <f>tItens[[#This Row],[Valor]]*(1-tItens[[#This Row],[Desconto]])</f>
        <v>18147.902097902079</v>
      </c>
      <c r="N5761" t="str">
        <f>IFERROR(INDEX(tProdutos[Foco],MATCH(tItens[[#This Row],[Produto]],tProdutos[Produto],0)),"Não")</f>
        <v>Não</v>
      </c>
      <c r="O5761" t="str">
        <f>IFERROR(INDEX(tEditais[SRP],MATCH(tItens[[#This Row],[Edital]],tEditais[Edital],0)),"Não")</f>
        <v>Não</v>
      </c>
      <c r="P5761" s="4">
        <f>IF(COUNTIFS(INDEX(tItens[Edital],1):tItens[[#This Row],[Edital]],tItens[[#This Row],[Edital]],INDEX(tItens[Produto],1):tItens[[#This Row],[Produto]],tItens[[#This Row],[Produto]])=1,1,0)</f>
        <v>1</v>
      </c>
    </row>
    <row r="5762" spans="1:16" x14ac:dyDescent="0.25">
      <c r="A5762" t="s">
        <v>2045</v>
      </c>
      <c r="B5762">
        <v>381</v>
      </c>
      <c r="C5762" t="s">
        <v>8547</v>
      </c>
      <c r="D5762" t="s">
        <v>267</v>
      </c>
      <c r="E5762" s="13">
        <v>3000</v>
      </c>
      <c r="F5762" s="12">
        <v>9.16</v>
      </c>
      <c r="G5762" t="str">
        <f>IFERROR(INDEX(tEditais[Órgão],MATCH(tItens[[#This Row],[Edital]],tEditais[Edital],0)),"")</f>
        <v>MUNICIPIO DE CRUZEIRO DO OESTE</v>
      </c>
      <c r="H5762" t="str">
        <f>IFERROR(INDEX(tEditais[UF],MATCH(tItens[[#This Row],[Edital]],tEditais[Edital],0)),"")</f>
        <v>PR</v>
      </c>
      <c r="I5762" s="11">
        <f>IFERROR(INDEX(tEditais[Encerramento],MATCH(tItens[[#This Row],[Edital]],tEditais[Edital],0)),"")</f>
        <v>46309.333333333336</v>
      </c>
      <c r="J5762" t="str">
        <f>IFERROR(INDEX(tProdutos[Classe],MATCH(tItens[[#This Row],[Produto]],tProdutos[Produto],0)),"produto não cadastrado")</f>
        <v>FORA</v>
      </c>
      <c r="K5762" s="12">
        <f>tItens[[#This Row],[Qtd]]*tItens[[#This Row],[Vlr unit]]</f>
        <v>27480</v>
      </c>
      <c r="L5762" s="6">
        <f>IFERROR(IF(INDEX(tProdutos[Desconto homologado],MATCH(tItens[[#This Row],[Produto]],tProdutos[Produto],0))="",DescontoPadrao,INDEX(tProdutos[Desconto homologado],MATCH(tItens[[#This Row],[Produto]],tProdutos[Produto],0))),DescontoPadrao)</f>
        <v>0.19963672657401599</v>
      </c>
      <c r="M5762" s="12">
        <f>tItens[[#This Row],[Valor]]*(1-tItens[[#This Row],[Desconto]])</f>
        <v>21993.982753746041</v>
      </c>
      <c r="N5762" t="str">
        <f>IFERROR(INDEX(tProdutos[Foco],MATCH(tItens[[#This Row],[Produto]],tProdutos[Produto],0)),"Não")</f>
        <v>Não</v>
      </c>
      <c r="O5762" t="str">
        <f>IFERROR(INDEX(tEditais[SRP],MATCH(tItens[[#This Row],[Edital]],tEditais[Edital],0)),"Não")</f>
        <v>Não</v>
      </c>
      <c r="P5762" s="4">
        <f>IF(COUNTIFS(INDEX(tItens[Edital],1):tItens[[#This Row],[Edital]],tItens[[#This Row],[Edital]],INDEX(tItens[Produto],1):tItens[[#This Row],[Produto]],tItens[[#This Row],[Produto]])=1,1,0)</f>
        <v>1</v>
      </c>
    </row>
    <row r="5763" spans="1:16" x14ac:dyDescent="0.25">
      <c r="A5763" t="s">
        <v>2045</v>
      </c>
      <c r="B5763">
        <v>385</v>
      </c>
      <c r="C5763" t="s">
        <v>8548</v>
      </c>
      <c r="D5763" t="s">
        <v>267</v>
      </c>
      <c r="E5763" s="13">
        <v>2500</v>
      </c>
      <c r="F5763" s="12">
        <v>9.58</v>
      </c>
      <c r="G5763" t="str">
        <f>IFERROR(INDEX(tEditais[Órgão],MATCH(tItens[[#This Row],[Edital]],tEditais[Edital],0)),"")</f>
        <v>MUNICIPIO DE CRUZEIRO DO OESTE</v>
      </c>
      <c r="H5763" t="str">
        <f>IFERROR(INDEX(tEditais[UF],MATCH(tItens[[#This Row],[Edital]],tEditais[Edital],0)),"")</f>
        <v>PR</v>
      </c>
      <c r="I5763" s="11">
        <f>IFERROR(INDEX(tEditais[Encerramento],MATCH(tItens[[#This Row],[Edital]],tEditais[Edital],0)),"")</f>
        <v>46309.333333333336</v>
      </c>
      <c r="J5763" t="str">
        <f>IFERROR(INDEX(tProdutos[Classe],MATCH(tItens[[#This Row],[Produto]],tProdutos[Produto],0)),"produto não cadastrado")</f>
        <v>FORA</v>
      </c>
      <c r="K5763" s="12">
        <f>tItens[[#This Row],[Qtd]]*tItens[[#This Row],[Vlr unit]]</f>
        <v>23950</v>
      </c>
      <c r="L5763" s="6">
        <f>IFERROR(IF(INDEX(tProdutos[Desconto homologado],MATCH(tItens[[#This Row],[Produto]],tProdutos[Produto],0))="",DescontoPadrao,INDEX(tProdutos[Desconto homologado],MATCH(tItens[[#This Row],[Produto]],tProdutos[Produto],0))),DescontoPadrao)</f>
        <v>0.19963672657401599</v>
      </c>
      <c r="M5763" s="12">
        <f>tItens[[#This Row],[Valor]]*(1-tItens[[#This Row],[Desconto]])</f>
        <v>19168.700398552319</v>
      </c>
      <c r="N5763" t="str">
        <f>IFERROR(INDEX(tProdutos[Foco],MATCH(tItens[[#This Row],[Produto]],tProdutos[Produto],0)),"Não")</f>
        <v>Não</v>
      </c>
      <c r="O5763" t="str">
        <f>IFERROR(INDEX(tEditais[SRP],MATCH(tItens[[#This Row],[Edital]],tEditais[Edital],0)),"Não")</f>
        <v>Não</v>
      </c>
      <c r="P5763" s="4">
        <f>IF(COUNTIFS(INDEX(tItens[Edital],1):tItens[[#This Row],[Edital]],tItens[[#This Row],[Edital]],INDEX(tItens[Produto],1):tItens[[#This Row],[Produto]],tItens[[#This Row],[Produto]])=1,1,0)</f>
        <v>0</v>
      </c>
    </row>
    <row r="5764" spans="1:16" x14ac:dyDescent="0.25">
      <c r="A5764" t="s">
        <v>2050</v>
      </c>
      <c r="B5764">
        <v>4</v>
      </c>
      <c r="C5764" t="s">
        <v>8549</v>
      </c>
      <c r="D5764" t="s">
        <v>98</v>
      </c>
      <c r="E5764" s="13">
        <v>20</v>
      </c>
      <c r="F5764" s="12">
        <v>3.03</v>
      </c>
      <c r="G5764" t="str">
        <f>IFERROR(INDEX(tEditais[Órgão],MATCH(tItens[[#This Row],[Edital]],tEditais[Edital],0)),"")</f>
        <v>FUNDACAO ESTATAL DE ATENCAO A SAUDE - FEAS</v>
      </c>
      <c r="H5764" t="str">
        <f>IFERROR(INDEX(tEditais[UF],MATCH(tItens[[#This Row],[Edital]],tEditais[Edital],0)),"")</f>
        <v>PR</v>
      </c>
      <c r="I5764" s="11">
        <f>IFERROR(INDEX(tEditais[Encerramento],MATCH(tItens[[#This Row],[Edital]],tEditais[Edital],0)),"")</f>
        <v>46309.361111111109</v>
      </c>
      <c r="J5764" t="str">
        <f>IFERROR(INDEX(tProdutos[Classe],MATCH(tItens[[#This Row],[Produto]],tProdutos[Produto],0)),"produto não cadastrado")</f>
        <v>NÚCLEO</v>
      </c>
      <c r="K5764" s="12">
        <f>tItens[[#This Row],[Qtd]]*tItens[[#This Row],[Vlr unit]]</f>
        <v>60.599999999999994</v>
      </c>
      <c r="L5764" s="6">
        <f>IFERROR(IF(INDEX(tProdutos[Desconto homologado],MATCH(tItens[[#This Row],[Produto]],tProdutos[Produto],0))="",DescontoPadrao,INDEX(tProdutos[Desconto homologado],MATCH(tItens[[#This Row],[Produto]],tProdutos[Produto],0))),DescontoPadrao)</f>
        <v>0.39</v>
      </c>
      <c r="M5764" s="12">
        <f>tItens[[#This Row],[Valor]]*(1-tItens[[#This Row],[Desconto]])</f>
        <v>36.965999999999994</v>
      </c>
      <c r="N5764" t="str">
        <f>IFERROR(INDEX(tProdutos[Foco],MATCH(tItens[[#This Row],[Produto]],tProdutos[Produto],0)),"Não")</f>
        <v>Sim</v>
      </c>
      <c r="O5764" t="str">
        <f>IFERROR(INDEX(tEditais[SRP],MATCH(tItens[[#This Row],[Edital]],tEditais[Edital],0)),"Não")</f>
        <v>Sim</v>
      </c>
      <c r="P5764" s="4">
        <f>IF(COUNTIFS(INDEX(tItens[Edital],1):tItens[[#This Row],[Edital]],tItens[[#This Row],[Edital]],INDEX(tItens[Produto],1):tItens[[#This Row],[Produto]],tItens[[#This Row],[Produto]])=1,1,0)</f>
        <v>1</v>
      </c>
    </row>
    <row r="5765" spans="1:16" x14ac:dyDescent="0.25">
      <c r="A5765" t="s">
        <v>2050</v>
      </c>
      <c r="B5765">
        <v>5</v>
      </c>
      <c r="C5765" t="s">
        <v>8550</v>
      </c>
      <c r="D5765" t="s">
        <v>98</v>
      </c>
      <c r="E5765" s="13">
        <v>30</v>
      </c>
      <c r="F5765" s="12">
        <v>2.86</v>
      </c>
      <c r="G5765" t="str">
        <f>IFERROR(INDEX(tEditais[Órgão],MATCH(tItens[[#This Row],[Edital]],tEditais[Edital],0)),"")</f>
        <v>FUNDACAO ESTATAL DE ATENCAO A SAUDE - FEAS</v>
      </c>
      <c r="H5765" t="str">
        <f>IFERROR(INDEX(tEditais[UF],MATCH(tItens[[#This Row],[Edital]],tEditais[Edital],0)),"")</f>
        <v>PR</v>
      </c>
      <c r="I5765" s="11">
        <f>IFERROR(INDEX(tEditais[Encerramento],MATCH(tItens[[#This Row],[Edital]],tEditais[Edital],0)),"")</f>
        <v>46309.361111111109</v>
      </c>
      <c r="J5765" t="str">
        <f>IFERROR(INDEX(tProdutos[Classe],MATCH(tItens[[#This Row],[Produto]],tProdutos[Produto],0)),"produto não cadastrado")</f>
        <v>NÚCLEO</v>
      </c>
      <c r="K5765" s="12">
        <f>tItens[[#This Row],[Qtd]]*tItens[[#This Row],[Vlr unit]]</f>
        <v>85.8</v>
      </c>
      <c r="L5765" s="6">
        <f>IFERROR(IF(INDEX(tProdutos[Desconto homologado],MATCH(tItens[[#This Row],[Produto]],tProdutos[Produto],0))="",DescontoPadrao,INDEX(tProdutos[Desconto homologado],MATCH(tItens[[#This Row],[Produto]],tProdutos[Produto],0))),DescontoPadrao)</f>
        <v>0.39</v>
      </c>
      <c r="M5765" s="12">
        <f>tItens[[#This Row],[Valor]]*(1-tItens[[#This Row],[Desconto]])</f>
        <v>52.337999999999994</v>
      </c>
      <c r="N5765" t="str">
        <f>IFERROR(INDEX(tProdutos[Foco],MATCH(tItens[[#This Row],[Produto]],tProdutos[Produto],0)),"Não")</f>
        <v>Sim</v>
      </c>
      <c r="O5765" t="str">
        <f>IFERROR(INDEX(tEditais[SRP],MATCH(tItens[[#This Row],[Edital]],tEditais[Edital],0)),"Não")</f>
        <v>Sim</v>
      </c>
      <c r="P5765" s="4">
        <f>IF(COUNTIFS(INDEX(tItens[Edital],1):tItens[[#This Row],[Edital]],tItens[[#This Row],[Edital]],INDEX(tItens[Produto],1):tItens[[#This Row],[Produto]],tItens[[#This Row],[Produto]])=1,1,0)</f>
        <v>0</v>
      </c>
    </row>
    <row r="5766" spans="1:16" x14ac:dyDescent="0.25">
      <c r="A5766" t="s">
        <v>2050</v>
      </c>
      <c r="B5766">
        <v>6</v>
      </c>
      <c r="C5766" t="s">
        <v>8551</v>
      </c>
      <c r="D5766" t="s">
        <v>98</v>
      </c>
      <c r="E5766" s="13">
        <v>30</v>
      </c>
      <c r="F5766" s="12">
        <v>2.21</v>
      </c>
      <c r="G5766" t="str">
        <f>IFERROR(INDEX(tEditais[Órgão],MATCH(tItens[[#This Row],[Edital]],tEditais[Edital],0)),"")</f>
        <v>FUNDACAO ESTATAL DE ATENCAO A SAUDE - FEAS</v>
      </c>
      <c r="H5766" t="str">
        <f>IFERROR(INDEX(tEditais[UF],MATCH(tItens[[#This Row],[Edital]],tEditais[Edital],0)),"")</f>
        <v>PR</v>
      </c>
      <c r="I5766" s="11">
        <f>IFERROR(INDEX(tEditais[Encerramento],MATCH(tItens[[#This Row],[Edital]],tEditais[Edital],0)),"")</f>
        <v>46309.361111111109</v>
      </c>
      <c r="J5766" t="str">
        <f>IFERROR(INDEX(tProdutos[Classe],MATCH(tItens[[#This Row],[Produto]],tProdutos[Produto],0)),"produto não cadastrado")</f>
        <v>NÚCLEO</v>
      </c>
      <c r="K5766" s="12">
        <f>tItens[[#This Row],[Qtd]]*tItens[[#This Row],[Vlr unit]]</f>
        <v>66.3</v>
      </c>
      <c r="L5766" s="6">
        <f>IFERROR(IF(INDEX(tProdutos[Desconto homologado],MATCH(tItens[[#This Row],[Produto]],tProdutos[Produto],0))="",DescontoPadrao,INDEX(tProdutos[Desconto homologado],MATCH(tItens[[#This Row],[Produto]],tProdutos[Produto],0))),DescontoPadrao)</f>
        <v>0.39</v>
      </c>
      <c r="M5766" s="12">
        <f>tItens[[#This Row],[Valor]]*(1-tItens[[#This Row],[Desconto]])</f>
        <v>40.442999999999998</v>
      </c>
      <c r="N5766" t="str">
        <f>IFERROR(INDEX(tProdutos[Foco],MATCH(tItens[[#This Row],[Produto]],tProdutos[Produto],0)),"Não")</f>
        <v>Sim</v>
      </c>
      <c r="O5766" t="str">
        <f>IFERROR(INDEX(tEditais[SRP],MATCH(tItens[[#This Row],[Edital]],tEditais[Edital],0)),"Não")</f>
        <v>Sim</v>
      </c>
      <c r="P5766" s="4">
        <f>IF(COUNTIFS(INDEX(tItens[Edital],1):tItens[[#This Row],[Edital]],tItens[[#This Row],[Edital]],INDEX(tItens[Produto],1):tItens[[#This Row],[Produto]],tItens[[#This Row],[Produto]])=1,1,0)</f>
        <v>0</v>
      </c>
    </row>
    <row r="5767" spans="1:16" x14ac:dyDescent="0.25">
      <c r="A5767" t="s">
        <v>2050</v>
      </c>
      <c r="B5767">
        <v>7</v>
      </c>
      <c r="C5767" t="s">
        <v>8552</v>
      </c>
      <c r="D5767" t="s">
        <v>98</v>
      </c>
      <c r="E5767" s="13">
        <v>50</v>
      </c>
      <c r="F5767" s="12">
        <v>2.15</v>
      </c>
      <c r="G5767" t="str">
        <f>IFERROR(INDEX(tEditais[Órgão],MATCH(tItens[[#This Row],[Edital]],tEditais[Edital],0)),"")</f>
        <v>FUNDACAO ESTATAL DE ATENCAO A SAUDE - FEAS</v>
      </c>
      <c r="H5767" t="str">
        <f>IFERROR(INDEX(tEditais[UF],MATCH(tItens[[#This Row],[Edital]],tEditais[Edital],0)),"")</f>
        <v>PR</v>
      </c>
      <c r="I5767" s="11">
        <f>IFERROR(INDEX(tEditais[Encerramento],MATCH(tItens[[#This Row],[Edital]],tEditais[Edital],0)),"")</f>
        <v>46309.361111111109</v>
      </c>
      <c r="J5767" t="str">
        <f>IFERROR(INDEX(tProdutos[Classe],MATCH(tItens[[#This Row],[Produto]],tProdutos[Produto],0)),"produto não cadastrado")</f>
        <v>NÚCLEO</v>
      </c>
      <c r="K5767" s="12">
        <f>tItens[[#This Row],[Qtd]]*tItens[[#This Row],[Vlr unit]]</f>
        <v>107.5</v>
      </c>
      <c r="L5767" s="6">
        <f>IFERROR(IF(INDEX(tProdutos[Desconto homologado],MATCH(tItens[[#This Row],[Produto]],tProdutos[Produto],0))="",DescontoPadrao,INDEX(tProdutos[Desconto homologado],MATCH(tItens[[#This Row],[Produto]],tProdutos[Produto],0))),DescontoPadrao)</f>
        <v>0.39</v>
      </c>
      <c r="M5767" s="12">
        <f>tItens[[#This Row],[Valor]]*(1-tItens[[#This Row],[Desconto]])</f>
        <v>65.575000000000003</v>
      </c>
      <c r="N5767" t="str">
        <f>IFERROR(INDEX(tProdutos[Foco],MATCH(tItens[[#This Row],[Produto]],tProdutos[Produto],0)),"Não")</f>
        <v>Sim</v>
      </c>
      <c r="O5767" t="str">
        <f>IFERROR(INDEX(tEditais[SRP],MATCH(tItens[[#This Row],[Edital]],tEditais[Edital],0)),"Não")</f>
        <v>Sim</v>
      </c>
      <c r="P5767" s="4">
        <f>IF(COUNTIFS(INDEX(tItens[Edital],1):tItens[[#This Row],[Edital]],tItens[[#This Row],[Edital]],INDEX(tItens[Produto],1):tItens[[#This Row],[Produto]],tItens[[#This Row],[Produto]])=1,1,0)</f>
        <v>0</v>
      </c>
    </row>
    <row r="5768" spans="1:16" x14ac:dyDescent="0.25">
      <c r="A5768" t="s">
        <v>2050</v>
      </c>
      <c r="B5768">
        <v>8</v>
      </c>
      <c r="C5768" t="s">
        <v>8553</v>
      </c>
      <c r="D5768" t="s">
        <v>98</v>
      </c>
      <c r="E5768" s="13">
        <v>50</v>
      </c>
      <c r="F5768" s="12">
        <v>2.75</v>
      </c>
      <c r="G5768" t="str">
        <f>IFERROR(INDEX(tEditais[Órgão],MATCH(tItens[[#This Row],[Edital]],tEditais[Edital],0)),"")</f>
        <v>FUNDACAO ESTATAL DE ATENCAO A SAUDE - FEAS</v>
      </c>
      <c r="H5768" t="str">
        <f>IFERROR(INDEX(tEditais[UF],MATCH(tItens[[#This Row],[Edital]],tEditais[Edital],0)),"")</f>
        <v>PR</v>
      </c>
      <c r="I5768" s="11">
        <f>IFERROR(INDEX(tEditais[Encerramento],MATCH(tItens[[#This Row],[Edital]],tEditais[Edital],0)),"")</f>
        <v>46309.361111111109</v>
      </c>
      <c r="J5768" t="str">
        <f>IFERROR(INDEX(tProdutos[Classe],MATCH(tItens[[#This Row],[Produto]],tProdutos[Produto],0)),"produto não cadastrado")</f>
        <v>NÚCLEO</v>
      </c>
      <c r="K5768" s="12">
        <f>tItens[[#This Row],[Qtd]]*tItens[[#This Row],[Vlr unit]]</f>
        <v>137.5</v>
      </c>
      <c r="L5768" s="6">
        <f>IFERROR(IF(INDEX(tProdutos[Desconto homologado],MATCH(tItens[[#This Row],[Produto]],tProdutos[Produto],0))="",DescontoPadrao,INDEX(tProdutos[Desconto homologado],MATCH(tItens[[#This Row],[Produto]],tProdutos[Produto],0))),DescontoPadrao)</f>
        <v>0.39</v>
      </c>
      <c r="M5768" s="12">
        <f>tItens[[#This Row],[Valor]]*(1-tItens[[#This Row],[Desconto]])</f>
        <v>83.875</v>
      </c>
      <c r="N5768" t="str">
        <f>IFERROR(INDEX(tProdutos[Foco],MATCH(tItens[[#This Row],[Produto]],tProdutos[Produto],0)),"Não")</f>
        <v>Sim</v>
      </c>
      <c r="O5768" t="str">
        <f>IFERROR(INDEX(tEditais[SRP],MATCH(tItens[[#This Row],[Edital]],tEditais[Edital],0)),"Não")</f>
        <v>Sim</v>
      </c>
      <c r="P5768" s="4">
        <f>IF(COUNTIFS(INDEX(tItens[Edital],1):tItens[[#This Row],[Edital]],tItens[[#This Row],[Edital]],INDEX(tItens[Produto],1):tItens[[#This Row],[Produto]],tItens[[#This Row],[Produto]])=1,1,0)</f>
        <v>0</v>
      </c>
    </row>
    <row r="5769" spans="1:16" x14ac:dyDescent="0.25">
      <c r="A5769" t="s">
        <v>2050</v>
      </c>
      <c r="B5769">
        <v>9</v>
      </c>
      <c r="C5769" t="s">
        <v>8554</v>
      </c>
      <c r="D5769" t="s">
        <v>98</v>
      </c>
      <c r="E5769" s="13">
        <v>30</v>
      </c>
      <c r="F5769" s="12">
        <v>3.27</v>
      </c>
      <c r="G5769" t="str">
        <f>IFERROR(INDEX(tEditais[Órgão],MATCH(tItens[[#This Row],[Edital]],tEditais[Edital],0)),"")</f>
        <v>FUNDACAO ESTATAL DE ATENCAO A SAUDE - FEAS</v>
      </c>
      <c r="H5769" t="str">
        <f>IFERROR(INDEX(tEditais[UF],MATCH(tItens[[#This Row],[Edital]],tEditais[Edital],0)),"")</f>
        <v>PR</v>
      </c>
      <c r="I5769" s="11">
        <f>IFERROR(INDEX(tEditais[Encerramento],MATCH(tItens[[#This Row],[Edital]],tEditais[Edital],0)),"")</f>
        <v>46309.361111111109</v>
      </c>
      <c r="J5769" t="str">
        <f>IFERROR(INDEX(tProdutos[Classe],MATCH(tItens[[#This Row],[Produto]],tProdutos[Produto],0)),"produto não cadastrado")</f>
        <v>NÚCLEO</v>
      </c>
      <c r="K5769" s="12">
        <f>tItens[[#This Row],[Qtd]]*tItens[[#This Row],[Vlr unit]]</f>
        <v>98.1</v>
      </c>
      <c r="L5769" s="6">
        <f>IFERROR(IF(INDEX(tProdutos[Desconto homologado],MATCH(tItens[[#This Row],[Produto]],tProdutos[Produto],0))="",DescontoPadrao,INDEX(tProdutos[Desconto homologado],MATCH(tItens[[#This Row],[Produto]],tProdutos[Produto],0))),DescontoPadrao)</f>
        <v>0.39</v>
      </c>
      <c r="M5769" s="12">
        <f>tItens[[#This Row],[Valor]]*(1-tItens[[#This Row],[Desconto]])</f>
        <v>59.840999999999994</v>
      </c>
      <c r="N5769" t="str">
        <f>IFERROR(INDEX(tProdutos[Foco],MATCH(tItens[[#This Row],[Produto]],tProdutos[Produto],0)),"Não")</f>
        <v>Sim</v>
      </c>
      <c r="O5769" t="str">
        <f>IFERROR(INDEX(tEditais[SRP],MATCH(tItens[[#This Row],[Edital]],tEditais[Edital],0)),"Não")</f>
        <v>Sim</v>
      </c>
      <c r="P5769" s="4">
        <f>IF(COUNTIFS(INDEX(tItens[Edital],1):tItens[[#This Row],[Edital]],tItens[[#This Row],[Edital]],INDEX(tItens[Produto],1):tItens[[#This Row],[Produto]],tItens[[#This Row],[Produto]])=1,1,0)</f>
        <v>0</v>
      </c>
    </row>
    <row r="5770" spans="1:16" x14ac:dyDescent="0.25">
      <c r="A5770" t="s">
        <v>2050</v>
      </c>
      <c r="B5770">
        <v>15</v>
      </c>
      <c r="C5770" t="s">
        <v>4114</v>
      </c>
      <c r="D5770" t="s">
        <v>347</v>
      </c>
      <c r="E5770" s="13">
        <v>50</v>
      </c>
      <c r="F5770" s="12">
        <v>1.77</v>
      </c>
      <c r="G5770" t="str">
        <f>IFERROR(INDEX(tEditais[Órgão],MATCH(tItens[[#This Row],[Edital]],tEditais[Edital],0)),"")</f>
        <v>FUNDACAO ESTATAL DE ATENCAO A SAUDE - FEAS</v>
      </c>
      <c r="H5770" t="str">
        <f>IFERROR(INDEX(tEditais[UF],MATCH(tItens[[#This Row],[Edital]],tEditais[Edital],0)),"")</f>
        <v>PR</v>
      </c>
      <c r="I5770" s="11">
        <f>IFERROR(INDEX(tEditais[Encerramento],MATCH(tItens[[#This Row],[Edital]],tEditais[Edital],0)),"")</f>
        <v>46309.361111111109</v>
      </c>
      <c r="J5770" t="str">
        <f>IFERROR(INDEX(tProdutos[Classe],MATCH(tItens[[#This Row],[Produto]],tProdutos[Produto],0)),"produto não cadastrado")</f>
        <v>FORA</v>
      </c>
      <c r="K5770" s="12">
        <f>tItens[[#This Row],[Qtd]]*tItens[[#This Row],[Vlr unit]]</f>
        <v>88.5</v>
      </c>
      <c r="L5770" s="6">
        <f>IFERROR(IF(INDEX(tProdutos[Desconto homologado],MATCH(tItens[[#This Row],[Produto]],tProdutos[Produto],0))="",DescontoPadrao,INDEX(tProdutos[Desconto homologado],MATCH(tItens[[#This Row],[Produto]],tProdutos[Produto],0))),DescontoPadrao)</f>
        <v>0.26356465005931201</v>
      </c>
      <c r="M5770" s="12">
        <f>tItens[[#This Row],[Valor]]*(1-tItens[[#This Row],[Desconto]])</f>
        <v>65.174528469750882</v>
      </c>
      <c r="N5770" t="str">
        <f>IFERROR(INDEX(tProdutos[Foco],MATCH(tItens[[#This Row],[Produto]],tProdutos[Produto],0)),"Não")</f>
        <v>Não</v>
      </c>
      <c r="O5770" t="str">
        <f>IFERROR(INDEX(tEditais[SRP],MATCH(tItens[[#This Row],[Edital]],tEditais[Edital],0)),"Não")</f>
        <v>Sim</v>
      </c>
      <c r="P5770" s="4">
        <f>IF(COUNTIFS(INDEX(tItens[Edital],1):tItens[[#This Row],[Edital]],tItens[[#This Row],[Edital]],INDEX(tItens[Produto],1):tItens[[#This Row],[Produto]],tItens[[#This Row],[Produto]])=1,1,0)</f>
        <v>1</v>
      </c>
    </row>
    <row r="5771" spans="1:16" x14ac:dyDescent="0.25">
      <c r="A5771" t="s">
        <v>2050</v>
      </c>
      <c r="B5771">
        <v>16</v>
      </c>
      <c r="C5771" t="s">
        <v>5885</v>
      </c>
      <c r="D5771" t="s">
        <v>347</v>
      </c>
      <c r="E5771" s="13">
        <v>70</v>
      </c>
      <c r="F5771" s="12">
        <v>2.38</v>
      </c>
      <c r="G5771" t="str">
        <f>IFERROR(INDEX(tEditais[Órgão],MATCH(tItens[[#This Row],[Edital]],tEditais[Edital],0)),"")</f>
        <v>FUNDACAO ESTATAL DE ATENCAO A SAUDE - FEAS</v>
      </c>
      <c r="H5771" t="str">
        <f>IFERROR(INDEX(tEditais[UF],MATCH(tItens[[#This Row],[Edital]],tEditais[Edital],0)),"")</f>
        <v>PR</v>
      </c>
      <c r="I5771" s="11">
        <f>IFERROR(INDEX(tEditais[Encerramento],MATCH(tItens[[#This Row],[Edital]],tEditais[Edital],0)),"")</f>
        <v>46309.361111111109</v>
      </c>
      <c r="J5771" t="str">
        <f>IFERROR(INDEX(tProdutos[Classe],MATCH(tItens[[#This Row],[Produto]],tProdutos[Produto],0)),"produto não cadastrado")</f>
        <v>FORA</v>
      </c>
      <c r="K5771" s="12">
        <f>tItens[[#This Row],[Qtd]]*tItens[[#This Row],[Vlr unit]]</f>
        <v>166.6</v>
      </c>
      <c r="L5771" s="6">
        <f>IFERROR(IF(INDEX(tProdutos[Desconto homologado],MATCH(tItens[[#This Row],[Produto]],tProdutos[Produto],0))="",DescontoPadrao,INDEX(tProdutos[Desconto homologado],MATCH(tItens[[#This Row],[Produto]],tProdutos[Produto],0))),DescontoPadrao)</f>
        <v>0.26356465005931201</v>
      </c>
      <c r="M5771" s="12">
        <f>tItens[[#This Row],[Valor]]*(1-tItens[[#This Row],[Desconto]])</f>
        <v>122.6901293001186</v>
      </c>
      <c r="N5771" t="str">
        <f>IFERROR(INDEX(tProdutos[Foco],MATCH(tItens[[#This Row],[Produto]],tProdutos[Produto],0)),"Não")</f>
        <v>Não</v>
      </c>
      <c r="O5771" t="str">
        <f>IFERROR(INDEX(tEditais[SRP],MATCH(tItens[[#This Row],[Edital]],tEditais[Edital],0)),"Não")</f>
        <v>Sim</v>
      </c>
      <c r="P5771" s="4">
        <f>IF(COUNTIFS(INDEX(tItens[Edital],1):tItens[[#This Row],[Edital]],tItens[[#This Row],[Edital]],INDEX(tItens[Produto],1):tItens[[#This Row],[Produto]],tItens[[#This Row],[Produto]])=1,1,0)</f>
        <v>0</v>
      </c>
    </row>
    <row r="5772" spans="1:16" x14ac:dyDescent="0.25">
      <c r="A5772" t="s">
        <v>2050</v>
      </c>
      <c r="B5772">
        <v>26</v>
      </c>
      <c r="C5772" t="s">
        <v>4162</v>
      </c>
      <c r="D5772" t="s">
        <v>69</v>
      </c>
      <c r="E5772" s="13">
        <v>1000</v>
      </c>
      <c r="F5772" s="12">
        <v>0.78</v>
      </c>
      <c r="G5772" t="str">
        <f>IFERROR(INDEX(tEditais[Órgão],MATCH(tItens[[#This Row],[Edital]],tEditais[Edital],0)),"")</f>
        <v>FUNDACAO ESTATAL DE ATENCAO A SAUDE - FEAS</v>
      </c>
      <c r="H5772" t="str">
        <f>IFERROR(INDEX(tEditais[UF],MATCH(tItens[[#This Row],[Edital]],tEditais[Edital],0)),"")</f>
        <v>PR</v>
      </c>
      <c r="I5772" s="11">
        <f>IFERROR(INDEX(tEditais[Encerramento],MATCH(tItens[[#This Row],[Edital]],tEditais[Edital],0)),"")</f>
        <v>46309.361111111109</v>
      </c>
      <c r="J5772" t="str">
        <f>IFERROR(INDEX(tProdutos[Classe],MATCH(tItens[[#This Row],[Produto]],tProdutos[Produto],0)),"produto não cadastrado")</f>
        <v>NÚCLEO</v>
      </c>
      <c r="K5772" s="12">
        <f>tItens[[#This Row],[Qtd]]*tItens[[#This Row],[Vlr unit]]</f>
        <v>780</v>
      </c>
      <c r="L5772" s="6">
        <f>IFERROR(IF(INDEX(tProdutos[Desconto homologado],MATCH(tItens[[#This Row],[Produto]],tProdutos[Produto],0))="",DescontoPadrao,INDEX(tProdutos[Desconto homologado],MATCH(tItens[[#This Row],[Produto]],tProdutos[Produto],0))),DescontoPadrao)</f>
        <v>0.38829259638568803</v>
      </c>
      <c r="M5772" s="12">
        <f>tItens[[#This Row],[Valor]]*(1-tItens[[#This Row],[Desconto]])</f>
        <v>477.13177481916335</v>
      </c>
      <c r="N5772" t="str">
        <f>IFERROR(INDEX(tProdutos[Foco],MATCH(tItens[[#This Row],[Produto]],tProdutos[Produto],0)),"Não")</f>
        <v>Não</v>
      </c>
      <c r="O5772" t="str">
        <f>IFERROR(INDEX(tEditais[SRP],MATCH(tItens[[#This Row],[Edital]],tEditais[Edital],0)),"Não")</f>
        <v>Sim</v>
      </c>
      <c r="P5772" s="4">
        <f>IF(COUNTIFS(INDEX(tItens[Edital],1):tItens[[#This Row],[Edital]],tItens[[#This Row],[Edital]],INDEX(tItens[Produto],1):tItens[[#This Row],[Produto]],tItens[[#This Row],[Produto]])=1,1,0)</f>
        <v>1</v>
      </c>
    </row>
    <row r="5773" spans="1:16" x14ac:dyDescent="0.25">
      <c r="A5773" t="s">
        <v>2050</v>
      </c>
      <c r="B5773">
        <v>27</v>
      </c>
      <c r="C5773" t="s">
        <v>8555</v>
      </c>
      <c r="D5773" t="s">
        <v>110</v>
      </c>
      <c r="E5773" s="13">
        <v>60</v>
      </c>
      <c r="F5773" s="12">
        <v>1.1000000000000001</v>
      </c>
      <c r="G5773" t="str">
        <f>IFERROR(INDEX(tEditais[Órgão],MATCH(tItens[[#This Row],[Edital]],tEditais[Edital],0)),"")</f>
        <v>FUNDACAO ESTATAL DE ATENCAO A SAUDE - FEAS</v>
      </c>
      <c r="H5773" t="str">
        <f>IFERROR(INDEX(tEditais[UF],MATCH(tItens[[#This Row],[Edital]],tEditais[Edital],0)),"")</f>
        <v>PR</v>
      </c>
      <c r="I5773" s="11">
        <f>IFERROR(INDEX(tEditais[Encerramento],MATCH(tItens[[#This Row],[Edital]],tEditais[Edital],0)),"")</f>
        <v>46309.361111111109</v>
      </c>
      <c r="J5773" t="str">
        <f>IFERROR(INDEX(tProdutos[Classe],MATCH(tItens[[#This Row],[Produto]],tProdutos[Produto],0)),"produto não cadastrado")</f>
        <v>NÚCLEO</v>
      </c>
      <c r="K5773" s="12">
        <f>tItens[[#This Row],[Qtd]]*tItens[[#This Row],[Vlr unit]]</f>
        <v>66</v>
      </c>
      <c r="L5773" s="6">
        <f>IFERROR(IF(INDEX(tProdutos[Desconto homologado],MATCH(tItens[[#This Row],[Produto]],tProdutos[Produto],0))="",DescontoPadrao,INDEX(tProdutos[Desconto homologado],MATCH(tItens[[#This Row],[Produto]],tProdutos[Produto],0))),DescontoPadrao)</f>
        <v>0.30410958904109597</v>
      </c>
      <c r="M5773" s="12">
        <f>tItens[[#This Row],[Valor]]*(1-tItens[[#This Row],[Desconto]])</f>
        <v>45.928767123287663</v>
      </c>
      <c r="N5773" t="str">
        <f>IFERROR(INDEX(tProdutos[Foco],MATCH(tItens[[#This Row],[Produto]],tProdutos[Produto],0)),"Não")</f>
        <v>Não</v>
      </c>
      <c r="O5773" t="str">
        <f>IFERROR(INDEX(tEditais[SRP],MATCH(tItens[[#This Row],[Edital]],tEditais[Edital],0)),"Não")</f>
        <v>Sim</v>
      </c>
      <c r="P5773" s="4">
        <f>IF(COUNTIFS(INDEX(tItens[Edital],1):tItens[[#This Row],[Edital]],tItens[[#This Row],[Edital]],INDEX(tItens[Produto],1):tItens[[#This Row],[Produto]],tItens[[#This Row],[Produto]])=1,1,0)</f>
        <v>1</v>
      </c>
    </row>
    <row r="5774" spans="1:16" x14ac:dyDescent="0.25">
      <c r="A5774" t="s">
        <v>2050</v>
      </c>
      <c r="B5774">
        <v>28</v>
      </c>
      <c r="C5774" t="s">
        <v>8556</v>
      </c>
      <c r="D5774" t="s">
        <v>110</v>
      </c>
      <c r="E5774" s="13">
        <v>100</v>
      </c>
      <c r="F5774" s="12">
        <v>1.57</v>
      </c>
      <c r="G5774" t="str">
        <f>IFERROR(INDEX(tEditais[Órgão],MATCH(tItens[[#This Row],[Edital]],tEditais[Edital],0)),"")</f>
        <v>FUNDACAO ESTATAL DE ATENCAO A SAUDE - FEAS</v>
      </c>
      <c r="H5774" t="str">
        <f>IFERROR(INDEX(tEditais[UF],MATCH(tItens[[#This Row],[Edital]],tEditais[Edital],0)),"")</f>
        <v>PR</v>
      </c>
      <c r="I5774" s="11">
        <f>IFERROR(INDEX(tEditais[Encerramento],MATCH(tItens[[#This Row],[Edital]],tEditais[Edital],0)),"")</f>
        <v>46309.361111111109</v>
      </c>
      <c r="J5774" t="str">
        <f>IFERROR(INDEX(tProdutos[Classe],MATCH(tItens[[#This Row],[Produto]],tProdutos[Produto],0)),"produto não cadastrado")</f>
        <v>NÚCLEO</v>
      </c>
      <c r="K5774" s="12">
        <f>tItens[[#This Row],[Qtd]]*tItens[[#This Row],[Vlr unit]]</f>
        <v>157</v>
      </c>
      <c r="L5774" s="6">
        <f>IFERROR(IF(INDEX(tProdutos[Desconto homologado],MATCH(tItens[[#This Row],[Produto]],tProdutos[Produto],0))="",DescontoPadrao,INDEX(tProdutos[Desconto homologado],MATCH(tItens[[#This Row],[Produto]],tProdutos[Produto],0))),DescontoPadrao)</f>
        <v>0.30410958904109597</v>
      </c>
      <c r="M5774" s="12">
        <f>tItens[[#This Row],[Valor]]*(1-tItens[[#This Row],[Desconto]])</f>
        <v>109.25479452054793</v>
      </c>
      <c r="N5774" t="str">
        <f>IFERROR(INDEX(tProdutos[Foco],MATCH(tItens[[#This Row],[Produto]],tProdutos[Produto],0)),"Não")</f>
        <v>Não</v>
      </c>
      <c r="O5774" t="str">
        <f>IFERROR(INDEX(tEditais[SRP],MATCH(tItens[[#This Row],[Edital]],tEditais[Edital],0)),"Não")</f>
        <v>Sim</v>
      </c>
      <c r="P5774" s="4">
        <f>IF(COUNTIFS(INDEX(tItens[Edital],1):tItens[[#This Row],[Edital]],tItens[[#This Row],[Edital]],INDEX(tItens[Produto],1):tItens[[#This Row],[Produto]],tItens[[#This Row],[Produto]])=1,1,0)</f>
        <v>0</v>
      </c>
    </row>
    <row r="5775" spans="1:16" x14ac:dyDescent="0.25">
      <c r="A5775" t="s">
        <v>2050</v>
      </c>
      <c r="B5775">
        <v>29</v>
      </c>
      <c r="C5775" t="s">
        <v>8557</v>
      </c>
      <c r="D5775" t="s">
        <v>110</v>
      </c>
      <c r="E5775" s="13">
        <v>300</v>
      </c>
      <c r="F5775" s="12">
        <v>1.93</v>
      </c>
      <c r="G5775" t="str">
        <f>IFERROR(INDEX(tEditais[Órgão],MATCH(tItens[[#This Row],[Edital]],tEditais[Edital],0)),"")</f>
        <v>FUNDACAO ESTATAL DE ATENCAO A SAUDE - FEAS</v>
      </c>
      <c r="H5775" t="str">
        <f>IFERROR(INDEX(tEditais[UF],MATCH(tItens[[#This Row],[Edital]],tEditais[Edital],0)),"")</f>
        <v>PR</v>
      </c>
      <c r="I5775" s="11">
        <f>IFERROR(INDEX(tEditais[Encerramento],MATCH(tItens[[#This Row],[Edital]],tEditais[Edital],0)),"")</f>
        <v>46309.361111111109</v>
      </c>
      <c r="J5775" t="str">
        <f>IFERROR(INDEX(tProdutos[Classe],MATCH(tItens[[#This Row],[Produto]],tProdutos[Produto],0)),"produto não cadastrado")</f>
        <v>NÚCLEO</v>
      </c>
      <c r="K5775" s="12">
        <f>tItens[[#This Row],[Qtd]]*tItens[[#This Row],[Vlr unit]]</f>
        <v>579</v>
      </c>
      <c r="L5775" s="6">
        <f>IFERROR(IF(INDEX(tProdutos[Desconto homologado],MATCH(tItens[[#This Row],[Produto]],tProdutos[Produto],0))="",DescontoPadrao,INDEX(tProdutos[Desconto homologado],MATCH(tItens[[#This Row],[Produto]],tProdutos[Produto],0))),DescontoPadrao)</f>
        <v>0.30410958904109597</v>
      </c>
      <c r="M5775" s="12">
        <f>tItens[[#This Row],[Valor]]*(1-tItens[[#This Row],[Desconto]])</f>
        <v>402.92054794520544</v>
      </c>
      <c r="N5775" t="str">
        <f>IFERROR(INDEX(tProdutos[Foco],MATCH(tItens[[#This Row],[Produto]],tProdutos[Produto],0)),"Não")</f>
        <v>Não</v>
      </c>
      <c r="O5775" t="str">
        <f>IFERROR(INDEX(tEditais[SRP],MATCH(tItens[[#This Row],[Edital]],tEditais[Edital],0)),"Não")</f>
        <v>Sim</v>
      </c>
      <c r="P5775" s="4">
        <f>IF(COUNTIFS(INDEX(tItens[Edital],1):tItens[[#This Row],[Edital]],tItens[[#This Row],[Edital]],INDEX(tItens[Produto],1):tItens[[#This Row],[Produto]],tItens[[#This Row],[Produto]])=1,1,0)</f>
        <v>0</v>
      </c>
    </row>
    <row r="5776" spans="1:16" x14ac:dyDescent="0.25">
      <c r="A5776" t="s">
        <v>2050</v>
      </c>
      <c r="B5776">
        <v>30</v>
      </c>
      <c r="C5776" t="s">
        <v>8558</v>
      </c>
      <c r="D5776" t="s">
        <v>120</v>
      </c>
      <c r="E5776" s="13">
        <v>2000</v>
      </c>
      <c r="F5776" s="12">
        <v>0.7</v>
      </c>
      <c r="G5776" t="str">
        <f>IFERROR(INDEX(tEditais[Órgão],MATCH(tItens[[#This Row],[Edital]],tEditais[Edital],0)),"")</f>
        <v>FUNDACAO ESTATAL DE ATENCAO A SAUDE - FEAS</v>
      </c>
      <c r="H5776" t="str">
        <f>IFERROR(INDEX(tEditais[UF],MATCH(tItens[[#This Row],[Edital]],tEditais[Edital],0)),"")</f>
        <v>PR</v>
      </c>
      <c r="I5776" s="11">
        <f>IFERROR(INDEX(tEditais[Encerramento],MATCH(tItens[[#This Row],[Edital]],tEditais[Edital],0)),"")</f>
        <v>46309.361111111109</v>
      </c>
      <c r="J5776" t="str">
        <f>IFERROR(INDEX(tProdutos[Classe],MATCH(tItens[[#This Row],[Produto]],tProdutos[Produto],0)),"produto não cadastrado")</f>
        <v>DISPUTADO</v>
      </c>
      <c r="K5776" s="12">
        <f>tItens[[#This Row],[Qtd]]*tItens[[#This Row],[Vlr unit]]</f>
        <v>1400</v>
      </c>
      <c r="L5776" s="6">
        <f>IFERROR(IF(INDEX(tProdutos[Desconto homologado],MATCH(tItens[[#This Row],[Produto]],tProdutos[Produto],0))="",DescontoPadrao,INDEX(tProdutos[Desconto homologado],MATCH(tItens[[#This Row],[Produto]],tProdutos[Produto],0))),DescontoPadrao)</f>
        <v>0.40909090909090901</v>
      </c>
      <c r="M5776" s="12">
        <f>tItens[[#This Row],[Valor]]*(1-tItens[[#This Row],[Desconto]])</f>
        <v>827.27272727272748</v>
      </c>
      <c r="N5776" t="str">
        <f>IFERROR(INDEX(tProdutos[Foco],MATCH(tItens[[#This Row],[Produto]],tProdutos[Produto],0)),"Não")</f>
        <v>Não</v>
      </c>
      <c r="O5776" t="str">
        <f>IFERROR(INDEX(tEditais[SRP],MATCH(tItens[[#This Row],[Edital]],tEditais[Edital],0)),"Não")</f>
        <v>Sim</v>
      </c>
      <c r="P5776" s="4">
        <f>IF(COUNTIFS(INDEX(tItens[Edital],1):tItens[[#This Row],[Edital]],tItens[[#This Row],[Edital]],INDEX(tItens[Produto],1):tItens[[#This Row],[Produto]],tItens[[#This Row],[Produto]])=1,1,0)</f>
        <v>1</v>
      </c>
    </row>
    <row r="5777" spans="1:16" x14ac:dyDescent="0.25">
      <c r="A5777" t="s">
        <v>2055</v>
      </c>
      <c r="B5777">
        <v>9</v>
      </c>
      <c r="C5777" t="s">
        <v>8559</v>
      </c>
      <c r="D5777" t="s">
        <v>154</v>
      </c>
      <c r="E5777" s="13">
        <v>1014</v>
      </c>
      <c r="F5777" s="12">
        <v>44.2</v>
      </c>
      <c r="G5777" t="str">
        <f>IFERROR(INDEX(tEditais[Órgão],MATCH(tItens[[#This Row],[Edital]],tEditais[Edital],0)),"")</f>
        <v>MUNICIPIO DE CASCAVEL</v>
      </c>
      <c r="H5777" t="str">
        <f>IFERROR(INDEX(tEditais[UF],MATCH(tItens[[#This Row],[Edital]],tEditais[Edital],0)),"")</f>
        <v>PR</v>
      </c>
      <c r="I5777" s="11">
        <f>IFERROR(INDEX(tEditais[Encerramento],MATCH(tItens[[#This Row],[Edital]],tEditais[Edital],0)),"")</f>
        <v>46309.374305555553</v>
      </c>
      <c r="J5777" t="str">
        <f>IFERROR(INDEX(tProdutos[Classe],MATCH(tItens[[#This Row],[Produto]],tProdutos[Produto],0)),"produto não cadastrado")</f>
        <v>DISPUTADO</v>
      </c>
      <c r="K5777" s="12">
        <f>tItens[[#This Row],[Qtd]]*tItens[[#This Row],[Vlr unit]]</f>
        <v>44818.8</v>
      </c>
      <c r="L5777" s="6">
        <f>IFERROR(IF(INDEX(tProdutos[Desconto homologado],MATCH(tItens[[#This Row],[Produto]],tProdutos[Produto],0))="",DescontoPadrao,INDEX(tProdutos[Desconto homologado],MATCH(tItens[[#This Row],[Produto]],tProdutos[Produto],0))),DescontoPadrao)</f>
        <v>0.48690097134476601</v>
      </c>
      <c r="M5777" s="12">
        <f>tItens[[#This Row],[Valor]]*(1-tItens[[#This Row],[Desconto]])</f>
        <v>22996.482745493202</v>
      </c>
      <c r="N5777" t="str">
        <f>IFERROR(INDEX(tProdutos[Foco],MATCH(tItens[[#This Row],[Produto]],tProdutos[Produto],0)),"Não")</f>
        <v>Não</v>
      </c>
      <c r="O5777" t="str">
        <f>IFERROR(INDEX(tEditais[SRP],MATCH(tItens[[#This Row],[Edital]],tEditais[Edital],0)),"Não")</f>
        <v>Sim</v>
      </c>
      <c r="P5777" s="4">
        <f>IF(COUNTIFS(INDEX(tItens[Edital],1):tItens[[#This Row],[Edital]],tItens[[#This Row],[Edital]],INDEX(tItens[Produto],1):tItens[[#This Row],[Produto]],tItens[[#This Row],[Produto]])=1,1,0)</f>
        <v>1</v>
      </c>
    </row>
    <row r="5778" spans="1:16" x14ac:dyDescent="0.25">
      <c r="A5778" t="s">
        <v>2055</v>
      </c>
      <c r="B5778">
        <v>12</v>
      </c>
      <c r="C5778" t="s">
        <v>8560</v>
      </c>
      <c r="D5778" t="s">
        <v>154</v>
      </c>
      <c r="E5778" s="13">
        <v>1638</v>
      </c>
      <c r="F5778" s="12">
        <v>23</v>
      </c>
      <c r="G5778" t="str">
        <f>IFERROR(INDEX(tEditais[Órgão],MATCH(tItens[[#This Row],[Edital]],tEditais[Edital],0)),"")</f>
        <v>MUNICIPIO DE CASCAVEL</v>
      </c>
      <c r="H5778" t="str">
        <f>IFERROR(INDEX(tEditais[UF],MATCH(tItens[[#This Row],[Edital]],tEditais[Edital],0)),"")</f>
        <v>PR</v>
      </c>
      <c r="I5778" s="11">
        <f>IFERROR(INDEX(tEditais[Encerramento],MATCH(tItens[[#This Row],[Edital]],tEditais[Edital],0)),"")</f>
        <v>46309.374305555553</v>
      </c>
      <c r="J5778" t="str">
        <f>IFERROR(INDEX(tProdutos[Classe],MATCH(tItens[[#This Row],[Produto]],tProdutos[Produto],0)),"produto não cadastrado")</f>
        <v>DISPUTADO</v>
      </c>
      <c r="K5778" s="12">
        <f>tItens[[#This Row],[Qtd]]*tItens[[#This Row],[Vlr unit]]</f>
        <v>37674</v>
      </c>
      <c r="L5778" s="6">
        <f>IFERROR(IF(INDEX(tProdutos[Desconto homologado],MATCH(tItens[[#This Row],[Produto]],tProdutos[Produto],0))="",DescontoPadrao,INDEX(tProdutos[Desconto homologado],MATCH(tItens[[#This Row],[Produto]],tProdutos[Produto],0))),DescontoPadrao)</f>
        <v>0.48690097134476601</v>
      </c>
      <c r="M5778" s="12">
        <f>tItens[[#This Row],[Valor]]*(1-tItens[[#This Row],[Desconto]])</f>
        <v>19330.492805557282</v>
      </c>
      <c r="N5778" t="str">
        <f>IFERROR(INDEX(tProdutos[Foco],MATCH(tItens[[#This Row],[Produto]],tProdutos[Produto],0)),"Não")</f>
        <v>Não</v>
      </c>
      <c r="O5778" t="str">
        <f>IFERROR(INDEX(tEditais[SRP],MATCH(tItens[[#This Row],[Edital]],tEditais[Edital],0)),"Não")</f>
        <v>Sim</v>
      </c>
      <c r="P5778" s="4">
        <f>IF(COUNTIFS(INDEX(tItens[Edital],1):tItens[[#This Row],[Edital]],tItens[[#This Row],[Edital]],INDEX(tItens[Produto],1):tItens[[#This Row],[Produto]],tItens[[#This Row],[Produto]])=1,1,0)</f>
        <v>0</v>
      </c>
    </row>
    <row r="5779" spans="1:16" x14ac:dyDescent="0.25">
      <c r="A5779" t="s">
        <v>2055</v>
      </c>
      <c r="B5779">
        <v>15</v>
      </c>
      <c r="C5779" t="s">
        <v>8561</v>
      </c>
      <c r="D5779" t="s">
        <v>144</v>
      </c>
      <c r="E5779" s="13">
        <v>1170</v>
      </c>
      <c r="F5779" s="12">
        <v>54.95</v>
      </c>
      <c r="G5779" t="str">
        <f>IFERROR(INDEX(tEditais[Órgão],MATCH(tItens[[#This Row],[Edital]],tEditais[Edital],0)),"")</f>
        <v>MUNICIPIO DE CASCAVEL</v>
      </c>
      <c r="H5779" t="str">
        <f>IFERROR(INDEX(tEditais[UF],MATCH(tItens[[#This Row],[Edital]],tEditais[Edital],0)),"")</f>
        <v>PR</v>
      </c>
      <c r="I5779" s="11">
        <f>IFERROR(INDEX(tEditais[Encerramento],MATCH(tItens[[#This Row],[Edital]],tEditais[Edital],0)),"")</f>
        <v>46309.374305555553</v>
      </c>
      <c r="J5779" t="str">
        <f>IFERROR(INDEX(tProdutos[Classe],MATCH(tItens[[#This Row],[Produto]],tProdutos[Produto],0)),"produto não cadastrado")</f>
        <v>DISPUTADO</v>
      </c>
      <c r="K5779" s="12">
        <f>tItens[[#This Row],[Qtd]]*tItens[[#This Row],[Vlr unit]]</f>
        <v>64291.5</v>
      </c>
      <c r="L5779" s="6">
        <f>IFERROR(IF(INDEX(tProdutos[Desconto homologado],MATCH(tItens[[#This Row],[Produto]],tProdutos[Produto],0))="",DescontoPadrao,INDEX(tProdutos[Desconto homologado],MATCH(tItens[[#This Row],[Produto]],tProdutos[Produto],0))),DescontoPadrao)</f>
        <v>0.371428571428571</v>
      </c>
      <c r="M5779" s="12">
        <f>tItens[[#This Row],[Valor]]*(1-tItens[[#This Row],[Desconto]])</f>
        <v>40411.800000000025</v>
      </c>
      <c r="N5779" t="str">
        <f>IFERROR(INDEX(tProdutos[Foco],MATCH(tItens[[#This Row],[Produto]],tProdutos[Produto],0)),"Não")</f>
        <v>Não</v>
      </c>
      <c r="O5779" t="str">
        <f>IFERROR(INDEX(tEditais[SRP],MATCH(tItens[[#This Row],[Edital]],tEditais[Edital],0)),"Não")</f>
        <v>Sim</v>
      </c>
      <c r="P5779" s="4">
        <f>IF(COUNTIFS(INDEX(tItens[Edital],1):tItens[[#This Row],[Edital]],tItens[[#This Row],[Edital]],INDEX(tItens[Produto],1):tItens[[#This Row],[Produto]],tItens[[#This Row],[Produto]])=1,1,0)</f>
        <v>1</v>
      </c>
    </row>
    <row r="5780" spans="1:16" x14ac:dyDescent="0.25">
      <c r="A5780" t="s">
        <v>2055</v>
      </c>
      <c r="B5780">
        <v>24</v>
      </c>
      <c r="C5780" t="s">
        <v>8561</v>
      </c>
      <c r="D5780" t="s">
        <v>144</v>
      </c>
      <c r="E5780" s="13">
        <v>390</v>
      </c>
      <c r="F5780" s="12">
        <v>54.95</v>
      </c>
      <c r="G5780" t="str">
        <f>IFERROR(INDEX(tEditais[Órgão],MATCH(tItens[[#This Row],[Edital]],tEditais[Edital],0)),"")</f>
        <v>MUNICIPIO DE CASCAVEL</v>
      </c>
      <c r="H5780" t="str">
        <f>IFERROR(INDEX(tEditais[UF],MATCH(tItens[[#This Row],[Edital]],tEditais[Edital],0)),"")</f>
        <v>PR</v>
      </c>
      <c r="I5780" s="11">
        <f>IFERROR(INDEX(tEditais[Encerramento],MATCH(tItens[[#This Row],[Edital]],tEditais[Edital],0)),"")</f>
        <v>46309.374305555553</v>
      </c>
      <c r="J5780" t="str">
        <f>IFERROR(INDEX(tProdutos[Classe],MATCH(tItens[[#This Row],[Produto]],tProdutos[Produto],0)),"produto não cadastrado")</f>
        <v>DISPUTADO</v>
      </c>
      <c r="K5780" s="12">
        <f>tItens[[#This Row],[Qtd]]*tItens[[#This Row],[Vlr unit]]</f>
        <v>21430.5</v>
      </c>
      <c r="L5780" s="6">
        <f>IFERROR(IF(INDEX(tProdutos[Desconto homologado],MATCH(tItens[[#This Row],[Produto]],tProdutos[Produto],0))="",DescontoPadrao,INDEX(tProdutos[Desconto homologado],MATCH(tItens[[#This Row],[Produto]],tProdutos[Produto],0))),DescontoPadrao)</f>
        <v>0.371428571428571</v>
      </c>
      <c r="M5780" s="12">
        <f>tItens[[#This Row],[Valor]]*(1-tItens[[#This Row],[Desconto]])</f>
        <v>13470.600000000009</v>
      </c>
      <c r="N5780" t="str">
        <f>IFERROR(INDEX(tProdutos[Foco],MATCH(tItens[[#This Row],[Produto]],tProdutos[Produto],0)),"Não")</f>
        <v>Não</v>
      </c>
      <c r="O5780" t="str">
        <f>IFERROR(INDEX(tEditais[SRP],MATCH(tItens[[#This Row],[Edital]],tEditais[Edital],0)),"Não")</f>
        <v>Sim</v>
      </c>
      <c r="P5780" s="4">
        <f>IF(COUNTIFS(INDEX(tItens[Edital],1):tItens[[#This Row],[Edital]],tItens[[#This Row],[Edital]],INDEX(tItens[Produto],1):tItens[[#This Row],[Produto]],tItens[[#This Row],[Produto]])=1,1,0)</f>
        <v>0</v>
      </c>
    </row>
    <row r="5781" spans="1:16" x14ac:dyDescent="0.25">
      <c r="A5781" t="s">
        <v>2059</v>
      </c>
      <c r="B5781">
        <v>2293461</v>
      </c>
      <c r="C5781" t="s">
        <v>8562</v>
      </c>
      <c r="D5781" t="s">
        <v>315</v>
      </c>
      <c r="E5781" s="13">
        <v>10</v>
      </c>
      <c r="F5781" s="12">
        <v>13.93</v>
      </c>
      <c r="G5781" t="str">
        <f>IFERROR(INDEX(tEditais[Órgão],MATCH(tItens[[#This Row],[Edital]],tEditais[Edital],0)),"")</f>
        <v>MUNICIPIO DE CANTAGALO</v>
      </c>
      <c r="H5781" t="str">
        <f>IFERROR(INDEX(tEditais[UF],MATCH(tItens[[#This Row],[Edital]],tEditais[Edital],0)),"")</f>
        <v>PR</v>
      </c>
      <c r="I5781" s="11">
        <f>IFERROR(INDEX(tEditais[Encerramento],MATCH(tItens[[#This Row],[Edital]],tEditais[Edital],0)),"")</f>
        <v>46309.374305555553</v>
      </c>
      <c r="J5781" t="str">
        <f>IFERROR(INDEX(tProdutos[Classe],MATCH(tItens[[#This Row],[Produto]],tProdutos[Produto],0)),"produto não cadastrado")</f>
        <v>FORA</v>
      </c>
      <c r="K5781" s="12">
        <f>tItens[[#This Row],[Qtd]]*tItens[[#This Row],[Vlr unit]]</f>
        <v>139.30000000000001</v>
      </c>
      <c r="L5781" s="6">
        <f>IFERROR(IF(INDEX(tProdutos[Desconto homologado],MATCH(tItens[[#This Row],[Produto]],tProdutos[Produto],0))="",DescontoPadrao,INDEX(tProdutos[Desconto homologado],MATCH(tItens[[#This Row],[Produto]],tProdutos[Produto],0))),DescontoPadrao)</f>
        <v>0.38432036097010702</v>
      </c>
      <c r="M5781" s="12">
        <f>tItens[[#This Row],[Valor]]*(1-tItens[[#This Row],[Desconto]])</f>
        <v>85.764173716864093</v>
      </c>
      <c r="N5781" t="str">
        <f>IFERROR(INDEX(tProdutos[Foco],MATCH(tItens[[#This Row],[Produto]],tProdutos[Produto],0)),"Não")</f>
        <v>Não</v>
      </c>
      <c r="O5781" t="str">
        <f>IFERROR(INDEX(tEditais[SRP],MATCH(tItens[[#This Row],[Edital]],tEditais[Edital],0)),"Não")</f>
        <v>Sim</v>
      </c>
      <c r="P5781" s="4">
        <f>IF(COUNTIFS(INDEX(tItens[Edital],1):tItens[[#This Row],[Edital]],tItens[[#This Row],[Edital]],INDEX(tItens[Produto],1):tItens[[#This Row],[Produto]],tItens[[#This Row],[Produto]])=1,1,0)</f>
        <v>1</v>
      </c>
    </row>
    <row r="5782" spans="1:16" x14ac:dyDescent="0.25">
      <c r="A5782" t="s">
        <v>2059</v>
      </c>
      <c r="B5782">
        <v>2293462</v>
      </c>
      <c r="C5782" t="s">
        <v>8563</v>
      </c>
      <c r="D5782" t="s">
        <v>315</v>
      </c>
      <c r="E5782" s="13">
        <v>10</v>
      </c>
      <c r="F5782" s="12">
        <v>12.97</v>
      </c>
      <c r="G5782" t="str">
        <f>IFERROR(INDEX(tEditais[Órgão],MATCH(tItens[[#This Row],[Edital]],tEditais[Edital],0)),"")</f>
        <v>MUNICIPIO DE CANTAGALO</v>
      </c>
      <c r="H5782" t="str">
        <f>IFERROR(INDEX(tEditais[UF],MATCH(tItens[[#This Row],[Edital]],tEditais[Edital],0)),"")</f>
        <v>PR</v>
      </c>
      <c r="I5782" s="11">
        <f>IFERROR(INDEX(tEditais[Encerramento],MATCH(tItens[[#This Row],[Edital]],tEditais[Edital],0)),"")</f>
        <v>46309.374305555553</v>
      </c>
      <c r="J5782" t="str">
        <f>IFERROR(INDEX(tProdutos[Classe],MATCH(tItens[[#This Row],[Produto]],tProdutos[Produto],0)),"produto não cadastrado")</f>
        <v>FORA</v>
      </c>
      <c r="K5782" s="12">
        <f>tItens[[#This Row],[Qtd]]*tItens[[#This Row],[Vlr unit]]</f>
        <v>129.70000000000002</v>
      </c>
      <c r="L5782" s="6">
        <f>IFERROR(IF(INDEX(tProdutos[Desconto homologado],MATCH(tItens[[#This Row],[Produto]],tProdutos[Produto],0))="",DescontoPadrao,INDEX(tProdutos[Desconto homologado],MATCH(tItens[[#This Row],[Produto]],tProdutos[Produto],0))),DescontoPadrao)</f>
        <v>0.38432036097010702</v>
      </c>
      <c r="M5782" s="12">
        <f>tItens[[#This Row],[Valor]]*(1-tItens[[#This Row],[Desconto]])</f>
        <v>79.853649182177136</v>
      </c>
      <c r="N5782" t="str">
        <f>IFERROR(INDEX(tProdutos[Foco],MATCH(tItens[[#This Row],[Produto]],tProdutos[Produto],0)),"Não")</f>
        <v>Não</v>
      </c>
      <c r="O5782" t="str">
        <f>IFERROR(INDEX(tEditais[SRP],MATCH(tItens[[#This Row],[Edital]],tEditais[Edital],0)),"Não")</f>
        <v>Sim</v>
      </c>
      <c r="P5782" s="4">
        <f>IF(COUNTIFS(INDEX(tItens[Edital],1):tItens[[#This Row],[Edital]],tItens[[#This Row],[Edital]],INDEX(tItens[Produto],1):tItens[[#This Row],[Produto]],tItens[[#This Row],[Produto]])=1,1,0)</f>
        <v>0</v>
      </c>
    </row>
    <row r="5783" spans="1:16" x14ac:dyDescent="0.25">
      <c r="A5783" t="s">
        <v>2059</v>
      </c>
      <c r="B5783">
        <v>2293470</v>
      </c>
      <c r="C5783" t="s">
        <v>8564</v>
      </c>
      <c r="D5783" t="s">
        <v>341</v>
      </c>
      <c r="E5783" s="13">
        <v>10</v>
      </c>
      <c r="F5783" s="12">
        <v>40.229999999999997</v>
      </c>
      <c r="G5783" t="str">
        <f>IFERROR(INDEX(tEditais[Órgão],MATCH(tItens[[#This Row],[Edital]],tEditais[Edital],0)),"")</f>
        <v>MUNICIPIO DE CANTAGALO</v>
      </c>
      <c r="H5783" t="str">
        <f>IFERROR(INDEX(tEditais[UF],MATCH(tItens[[#This Row],[Edital]],tEditais[Edital],0)),"")</f>
        <v>PR</v>
      </c>
      <c r="I5783" s="11">
        <f>IFERROR(INDEX(tEditais[Encerramento],MATCH(tItens[[#This Row],[Edital]],tEditais[Edital],0)),"")</f>
        <v>46309.374305555553</v>
      </c>
      <c r="J5783" t="str">
        <f>IFERROR(INDEX(tProdutos[Classe],MATCH(tItens[[#This Row],[Produto]],tProdutos[Produto],0)),"produto não cadastrado")</f>
        <v>FORA</v>
      </c>
      <c r="K5783" s="12">
        <f>tItens[[#This Row],[Qtd]]*tItens[[#This Row],[Vlr unit]]</f>
        <v>402.29999999999995</v>
      </c>
      <c r="L5783" s="6">
        <f>IFERROR(IF(INDEX(tProdutos[Desconto homologado],MATCH(tItens[[#This Row],[Produto]],tProdutos[Produto],0))="",DescontoPadrao,INDEX(tProdutos[Desconto homologado],MATCH(tItens[[#This Row],[Produto]],tProdutos[Produto],0))),DescontoPadrao)</f>
        <v>0.46918578497525898</v>
      </c>
      <c r="M5783" s="12">
        <f>tItens[[#This Row],[Valor]]*(1-tItens[[#This Row],[Desconto]])</f>
        <v>213.54655870445328</v>
      </c>
      <c r="N5783" t="str">
        <f>IFERROR(INDEX(tProdutos[Foco],MATCH(tItens[[#This Row],[Produto]],tProdutos[Produto],0)),"Não")</f>
        <v>Não</v>
      </c>
      <c r="O5783" t="str">
        <f>IFERROR(INDEX(tEditais[SRP],MATCH(tItens[[#This Row],[Edital]],tEditais[Edital],0)),"Não")</f>
        <v>Sim</v>
      </c>
      <c r="P5783" s="4">
        <f>IF(COUNTIFS(INDEX(tItens[Edital],1):tItens[[#This Row],[Edital]],tItens[[#This Row],[Edital]],INDEX(tItens[Produto],1):tItens[[#This Row],[Produto]],tItens[[#This Row],[Produto]])=1,1,0)</f>
        <v>1</v>
      </c>
    </row>
    <row r="5784" spans="1:16" x14ac:dyDescent="0.25">
      <c r="A5784" t="s">
        <v>2059</v>
      </c>
      <c r="B5784">
        <v>2293478</v>
      </c>
      <c r="C5784" t="s">
        <v>8565</v>
      </c>
      <c r="D5784" t="s">
        <v>90</v>
      </c>
      <c r="E5784" s="13">
        <v>10</v>
      </c>
      <c r="F5784" s="12">
        <v>6.02</v>
      </c>
      <c r="G5784" t="str">
        <f>IFERROR(INDEX(tEditais[Órgão],MATCH(tItens[[#This Row],[Edital]],tEditais[Edital],0)),"")</f>
        <v>MUNICIPIO DE CANTAGALO</v>
      </c>
      <c r="H5784" t="str">
        <f>IFERROR(INDEX(tEditais[UF],MATCH(tItens[[#This Row],[Edital]],tEditais[Edital],0)),"")</f>
        <v>PR</v>
      </c>
      <c r="I5784" s="11">
        <f>IFERROR(INDEX(tEditais[Encerramento],MATCH(tItens[[#This Row],[Edital]],tEditais[Edital],0)),"")</f>
        <v>46309.374305555553</v>
      </c>
      <c r="J5784" t="str">
        <f>IFERROR(INDEX(tProdutos[Classe],MATCH(tItens[[#This Row],[Produto]],tProdutos[Produto],0)),"produto não cadastrado")</f>
        <v>DISPUTADO</v>
      </c>
      <c r="K5784" s="12">
        <f>tItens[[#This Row],[Qtd]]*tItens[[#This Row],[Vlr unit]]</f>
        <v>60.199999999999996</v>
      </c>
      <c r="L5784" s="6">
        <f>IFERROR(IF(INDEX(tProdutos[Desconto homologado],MATCH(tItens[[#This Row],[Produto]],tProdutos[Produto],0))="",DescontoPadrao,INDEX(tProdutos[Desconto homologado],MATCH(tItens[[#This Row],[Produto]],tProdutos[Produto],0))),DescontoPadrao)</f>
        <v>0.25393823957010597</v>
      </c>
      <c r="M5784" s="12">
        <f>tItens[[#This Row],[Valor]]*(1-tItens[[#This Row],[Desconto]])</f>
        <v>44.912917977879616</v>
      </c>
      <c r="N5784" t="str">
        <f>IFERROR(INDEX(tProdutos[Foco],MATCH(tItens[[#This Row],[Produto]],tProdutos[Produto],0)),"Não")</f>
        <v>Não</v>
      </c>
      <c r="O5784" t="str">
        <f>IFERROR(INDEX(tEditais[SRP],MATCH(tItens[[#This Row],[Edital]],tEditais[Edital],0)),"Não")</f>
        <v>Sim</v>
      </c>
      <c r="P5784" s="4">
        <f>IF(COUNTIFS(INDEX(tItens[Edital],1):tItens[[#This Row],[Edital]],tItens[[#This Row],[Edital]],INDEX(tItens[Produto],1):tItens[[#This Row],[Produto]],tItens[[#This Row],[Produto]])=1,1,0)</f>
        <v>1</v>
      </c>
    </row>
    <row r="5785" spans="1:16" x14ac:dyDescent="0.25">
      <c r="A5785" t="s">
        <v>2059</v>
      </c>
      <c r="B5785">
        <v>2293481</v>
      </c>
      <c r="C5785" t="s">
        <v>8566</v>
      </c>
      <c r="D5785" t="s">
        <v>313</v>
      </c>
      <c r="E5785" s="13">
        <v>5</v>
      </c>
      <c r="F5785" s="12">
        <v>38.31</v>
      </c>
      <c r="G5785" t="str">
        <f>IFERROR(INDEX(tEditais[Órgão],MATCH(tItens[[#This Row],[Edital]],tEditais[Edital],0)),"")</f>
        <v>MUNICIPIO DE CANTAGALO</v>
      </c>
      <c r="H5785" t="str">
        <f>IFERROR(INDEX(tEditais[UF],MATCH(tItens[[#This Row],[Edital]],tEditais[Edital],0)),"")</f>
        <v>PR</v>
      </c>
      <c r="I5785" s="11">
        <f>IFERROR(INDEX(tEditais[Encerramento],MATCH(tItens[[#This Row],[Edital]],tEditais[Edital],0)),"")</f>
        <v>46309.374305555553</v>
      </c>
      <c r="J5785" t="str">
        <f>IFERROR(INDEX(tProdutos[Classe],MATCH(tItens[[#This Row],[Produto]],tProdutos[Produto],0)),"produto não cadastrado")</f>
        <v>FORA</v>
      </c>
      <c r="K5785" s="12">
        <f>tItens[[#This Row],[Qtd]]*tItens[[#This Row],[Vlr unit]]</f>
        <v>191.55</v>
      </c>
      <c r="L5785" s="6">
        <f>IFERROR(IF(INDEX(tProdutos[Desconto homologado],MATCH(tItens[[#This Row],[Produto]],tProdutos[Produto],0))="",DescontoPadrao,INDEX(tProdutos[Desconto homologado],MATCH(tItens[[#This Row],[Produto]],tProdutos[Produto],0))),DescontoPadrao)</f>
        <v>0.35766373163696302</v>
      </c>
      <c r="M5785" s="12">
        <f>tItens[[#This Row],[Valor]]*(1-tItens[[#This Row],[Desconto]])</f>
        <v>123.03951220493973</v>
      </c>
      <c r="N5785" t="str">
        <f>IFERROR(INDEX(tProdutos[Foco],MATCH(tItens[[#This Row],[Produto]],tProdutos[Produto],0)),"Não")</f>
        <v>Não</v>
      </c>
      <c r="O5785" t="str">
        <f>IFERROR(INDEX(tEditais[SRP],MATCH(tItens[[#This Row],[Edital]],tEditais[Edital],0)),"Não")</f>
        <v>Sim</v>
      </c>
      <c r="P5785" s="4">
        <f>IF(COUNTIFS(INDEX(tItens[Edital],1):tItens[[#This Row],[Edital]],tItens[[#This Row],[Edital]],INDEX(tItens[Produto],1):tItens[[#This Row],[Produto]],tItens[[#This Row],[Produto]])=1,1,0)</f>
        <v>1</v>
      </c>
    </row>
    <row r="5786" spans="1:16" x14ac:dyDescent="0.25">
      <c r="A5786" t="s">
        <v>2059</v>
      </c>
      <c r="B5786">
        <v>2293482</v>
      </c>
      <c r="C5786" t="s">
        <v>8567</v>
      </c>
      <c r="D5786" t="s">
        <v>313</v>
      </c>
      <c r="E5786" s="13">
        <v>10</v>
      </c>
      <c r="F5786" s="12">
        <v>36.68</v>
      </c>
      <c r="G5786" t="str">
        <f>IFERROR(INDEX(tEditais[Órgão],MATCH(tItens[[#This Row],[Edital]],tEditais[Edital],0)),"")</f>
        <v>MUNICIPIO DE CANTAGALO</v>
      </c>
      <c r="H5786" t="str">
        <f>IFERROR(INDEX(tEditais[UF],MATCH(tItens[[#This Row],[Edital]],tEditais[Edital],0)),"")</f>
        <v>PR</v>
      </c>
      <c r="I5786" s="11">
        <f>IFERROR(INDEX(tEditais[Encerramento],MATCH(tItens[[#This Row],[Edital]],tEditais[Edital],0)),"")</f>
        <v>46309.374305555553</v>
      </c>
      <c r="J5786" t="str">
        <f>IFERROR(INDEX(tProdutos[Classe],MATCH(tItens[[#This Row],[Produto]],tProdutos[Produto],0)),"produto não cadastrado")</f>
        <v>FORA</v>
      </c>
      <c r="K5786" s="12">
        <f>tItens[[#This Row],[Qtd]]*tItens[[#This Row],[Vlr unit]]</f>
        <v>366.8</v>
      </c>
      <c r="L5786" s="6">
        <f>IFERROR(IF(INDEX(tProdutos[Desconto homologado],MATCH(tItens[[#This Row],[Produto]],tProdutos[Produto],0))="",DescontoPadrao,INDEX(tProdutos[Desconto homologado],MATCH(tItens[[#This Row],[Produto]],tProdutos[Produto],0))),DescontoPadrao)</f>
        <v>0.35766373163696302</v>
      </c>
      <c r="M5786" s="12">
        <f>tItens[[#This Row],[Valor]]*(1-tItens[[#This Row],[Desconto]])</f>
        <v>235.60894323556195</v>
      </c>
      <c r="N5786" t="str">
        <f>IFERROR(INDEX(tProdutos[Foco],MATCH(tItens[[#This Row],[Produto]],tProdutos[Produto],0)),"Não")</f>
        <v>Não</v>
      </c>
      <c r="O5786" t="str">
        <f>IFERROR(INDEX(tEditais[SRP],MATCH(tItens[[#This Row],[Edital]],tEditais[Edital],0)),"Não")</f>
        <v>Sim</v>
      </c>
      <c r="P5786" s="4">
        <f>IF(COUNTIFS(INDEX(tItens[Edital],1):tItens[[#This Row],[Edital]],tItens[[#This Row],[Edital]],INDEX(tItens[Produto],1):tItens[[#This Row],[Produto]],tItens[[#This Row],[Produto]])=1,1,0)</f>
        <v>0</v>
      </c>
    </row>
    <row r="5787" spans="1:16" x14ac:dyDescent="0.25">
      <c r="A5787" t="s">
        <v>2059</v>
      </c>
      <c r="B5787">
        <v>2293483</v>
      </c>
      <c r="C5787" t="s">
        <v>8568</v>
      </c>
      <c r="D5787" t="s">
        <v>313</v>
      </c>
      <c r="E5787" s="13">
        <v>10</v>
      </c>
      <c r="F5787" s="12">
        <v>33.799999999999997</v>
      </c>
      <c r="G5787" t="str">
        <f>IFERROR(INDEX(tEditais[Órgão],MATCH(tItens[[#This Row],[Edital]],tEditais[Edital],0)),"")</f>
        <v>MUNICIPIO DE CANTAGALO</v>
      </c>
      <c r="H5787" t="str">
        <f>IFERROR(INDEX(tEditais[UF],MATCH(tItens[[#This Row],[Edital]],tEditais[Edital],0)),"")</f>
        <v>PR</v>
      </c>
      <c r="I5787" s="11">
        <f>IFERROR(INDEX(tEditais[Encerramento],MATCH(tItens[[#This Row],[Edital]],tEditais[Edital],0)),"")</f>
        <v>46309.374305555553</v>
      </c>
      <c r="J5787" t="str">
        <f>IFERROR(INDEX(tProdutos[Classe],MATCH(tItens[[#This Row],[Produto]],tProdutos[Produto],0)),"produto não cadastrado")</f>
        <v>FORA</v>
      </c>
      <c r="K5787" s="12">
        <f>tItens[[#This Row],[Qtd]]*tItens[[#This Row],[Vlr unit]]</f>
        <v>338</v>
      </c>
      <c r="L5787" s="6">
        <f>IFERROR(IF(INDEX(tProdutos[Desconto homologado],MATCH(tItens[[#This Row],[Produto]],tProdutos[Produto],0))="",DescontoPadrao,INDEX(tProdutos[Desconto homologado],MATCH(tItens[[#This Row],[Produto]],tProdutos[Produto],0))),DescontoPadrao)</f>
        <v>0.35766373163696302</v>
      </c>
      <c r="M5787" s="12">
        <f>tItens[[#This Row],[Valor]]*(1-tItens[[#This Row],[Desconto]])</f>
        <v>217.10965870670648</v>
      </c>
      <c r="N5787" t="str">
        <f>IFERROR(INDEX(tProdutos[Foco],MATCH(tItens[[#This Row],[Produto]],tProdutos[Produto],0)),"Não")</f>
        <v>Não</v>
      </c>
      <c r="O5787" t="str">
        <f>IFERROR(INDEX(tEditais[SRP],MATCH(tItens[[#This Row],[Edital]],tEditais[Edital],0)),"Não")</f>
        <v>Sim</v>
      </c>
      <c r="P5787" s="4">
        <f>IF(COUNTIFS(INDEX(tItens[Edital],1):tItens[[#This Row],[Edital]],tItens[[#This Row],[Edital]],INDEX(tItens[Produto],1):tItens[[#This Row],[Produto]],tItens[[#This Row],[Produto]])=1,1,0)</f>
        <v>0</v>
      </c>
    </row>
    <row r="5788" spans="1:16" x14ac:dyDescent="0.25">
      <c r="A5788" t="s">
        <v>2059</v>
      </c>
      <c r="B5788">
        <v>2293491</v>
      </c>
      <c r="C5788" t="s">
        <v>8569</v>
      </c>
      <c r="D5788" t="s">
        <v>289</v>
      </c>
      <c r="E5788" s="13">
        <v>10</v>
      </c>
      <c r="F5788" s="12">
        <v>31.33</v>
      </c>
      <c r="G5788" t="str">
        <f>IFERROR(INDEX(tEditais[Órgão],MATCH(tItens[[#This Row],[Edital]],tEditais[Edital],0)),"")</f>
        <v>MUNICIPIO DE CANTAGALO</v>
      </c>
      <c r="H5788" t="str">
        <f>IFERROR(INDEX(tEditais[UF],MATCH(tItens[[#This Row],[Edital]],tEditais[Edital],0)),"")</f>
        <v>PR</v>
      </c>
      <c r="I5788" s="11">
        <f>IFERROR(INDEX(tEditais[Encerramento],MATCH(tItens[[#This Row],[Edital]],tEditais[Edital],0)),"")</f>
        <v>46309.374305555553</v>
      </c>
      <c r="J5788" t="str">
        <f>IFERROR(INDEX(tProdutos[Classe],MATCH(tItens[[#This Row],[Produto]],tProdutos[Produto],0)),"produto não cadastrado")</f>
        <v>DISPUTADO</v>
      </c>
      <c r="K5788" s="12">
        <f>tItens[[#This Row],[Qtd]]*tItens[[#This Row],[Vlr unit]]</f>
        <v>313.29999999999995</v>
      </c>
      <c r="L5788" s="6">
        <f>IFERROR(IF(INDEX(tProdutos[Desconto homologado],MATCH(tItens[[#This Row],[Produto]],tProdutos[Produto],0))="",DescontoPadrao,INDEX(tProdutos[Desconto homologado],MATCH(tItens[[#This Row],[Produto]],tProdutos[Produto],0))),DescontoPadrao)</f>
        <v>0.35849056603773599</v>
      </c>
      <c r="M5788" s="12">
        <f>tItens[[#This Row],[Valor]]*(1-tItens[[#This Row],[Desconto]])</f>
        <v>200.98490566037728</v>
      </c>
      <c r="N5788" t="str">
        <f>IFERROR(INDEX(tProdutos[Foco],MATCH(tItens[[#This Row],[Produto]],tProdutos[Produto],0)),"Não")</f>
        <v>Não</v>
      </c>
      <c r="O5788" t="str">
        <f>IFERROR(INDEX(tEditais[SRP],MATCH(tItens[[#This Row],[Edital]],tEditais[Edital],0)),"Não")</f>
        <v>Sim</v>
      </c>
      <c r="P5788" s="4">
        <f>IF(COUNTIFS(INDEX(tItens[Edital],1):tItens[[#This Row],[Edital]],tItens[[#This Row],[Edital]],INDEX(tItens[Produto],1):tItens[[#This Row],[Produto]],tItens[[#This Row],[Produto]])=1,1,0)</f>
        <v>1</v>
      </c>
    </row>
    <row r="5789" spans="1:16" x14ac:dyDescent="0.25">
      <c r="A5789" t="s">
        <v>2059</v>
      </c>
      <c r="B5789">
        <v>2293492</v>
      </c>
      <c r="C5789" t="s">
        <v>8570</v>
      </c>
      <c r="D5789" t="s">
        <v>265</v>
      </c>
      <c r="E5789" s="13">
        <v>10</v>
      </c>
      <c r="F5789" s="12">
        <v>33.18</v>
      </c>
      <c r="G5789" t="str">
        <f>IFERROR(INDEX(tEditais[Órgão],MATCH(tItens[[#This Row],[Edital]],tEditais[Edital],0)),"")</f>
        <v>MUNICIPIO DE CANTAGALO</v>
      </c>
      <c r="H5789" t="str">
        <f>IFERROR(INDEX(tEditais[UF],MATCH(tItens[[#This Row],[Edital]],tEditais[Edital],0)),"")</f>
        <v>PR</v>
      </c>
      <c r="I5789" s="11">
        <f>IFERROR(INDEX(tEditais[Encerramento],MATCH(tItens[[#This Row],[Edital]],tEditais[Edital],0)),"")</f>
        <v>46309.374305555553</v>
      </c>
      <c r="J5789" t="str">
        <f>IFERROR(INDEX(tProdutos[Classe],MATCH(tItens[[#This Row],[Produto]],tProdutos[Produto],0)),"produto não cadastrado")</f>
        <v>DISPUTADO</v>
      </c>
      <c r="K5789" s="12">
        <f>tItens[[#This Row],[Qtd]]*tItens[[#This Row],[Vlr unit]]</f>
        <v>331.8</v>
      </c>
      <c r="L5789" s="6">
        <f>IFERROR(IF(INDEX(tProdutos[Desconto homologado],MATCH(tItens[[#This Row],[Produto]],tProdutos[Produto],0))="",DescontoPadrao,INDEX(tProdutos[Desconto homologado],MATCH(tItens[[#This Row],[Produto]],tProdutos[Produto],0))),DescontoPadrao)</f>
        <v>0.377587663709337</v>
      </c>
      <c r="M5789" s="12">
        <f>tItens[[#This Row],[Valor]]*(1-tItens[[#This Row],[Desconto]])</f>
        <v>206.516413181242</v>
      </c>
      <c r="N5789" t="str">
        <f>IFERROR(INDEX(tProdutos[Foco],MATCH(tItens[[#This Row],[Produto]],tProdutos[Produto],0)),"Não")</f>
        <v>Não</v>
      </c>
      <c r="O5789" t="str">
        <f>IFERROR(INDEX(tEditais[SRP],MATCH(tItens[[#This Row],[Edital]],tEditais[Edital],0)),"Não")</f>
        <v>Sim</v>
      </c>
      <c r="P5789" s="4">
        <f>IF(COUNTIFS(INDEX(tItens[Edital],1):tItens[[#This Row],[Edital]],tItens[[#This Row],[Edital]],INDEX(tItens[Produto],1):tItens[[#This Row],[Produto]],tItens[[#This Row],[Produto]])=1,1,0)</f>
        <v>1</v>
      </c>
    </row>
    <row r="5790" spans="1:16" x14ac:dyDescent="0.25">
      <c r="A5790" t="s">
        <v>2059</v>
      </c>
      <c r="B5790">
        <v>2293493</v>
      </c>
      <c r="C5790" t="s">
        <v>8571</v>
      </c>
      <c r="D5790" t="s">
        <v>265</v>
      </c>
      <c r="E5790" s="13">
        <v>10</v>
      </c>
      <c r="F5790" s="12">
        <v>31.43</v>
      </c>
      <c r="G5790" t="str">
        <f>IFERROR(INDEX(tEditais[Órgão],MATCH(tItens[[#This Row],[Edital]],tEditais[Edital],0)),"")</f>
        <v>MUNICIPIO DE CANTAGALO</v>
      </c>
      <c r="H5790" t="str">
        <f>IFERROR(INDEX(tEditais[UF],MATCH(tItens[[#This Row],[Edital]],tEditais[Edital],0)),"")</f>
        <v>PR</v>
      </c>
      <c r="I5790" s="11">
        <f>IFERROR(INDEX(tEditais[Encerramento],MATCH(tItens[[#This Row],[Edital]],tEditais[Edital],0)),"")</f>
        <v>46309.374305555553</v>
      </c>
      <c r="J5790" t="str">
        <f>IFERROR(INDEX(tProdutos[Classe],MATCH(tItens[[#This Row],[Produto]],tProdutos[Produto],0)),"produto não cadastrado")</f>
        <v>DISPUTADO</v>
      </c>
      <c r="K5790" s="12">
        <f>tItens[[#This Row],[Qtd]]*tItens[[#This Row],[Vlr unit]]</f>
        <v>314.3</v>
      </c>
      <c r="L5790" s="6">
        <f>IFERROR(IF(INDEX(tProdutos[Desconto homologado],MATCH(tItens[[#This Row],[Produto]],tProdutos[Produto],0))="",DescontoPadrao,INDEX(tProdutos[Desconto homologado],MATCH(tItens[[#This Row],[Produto]],tProdutos[Produto],0))),DescontoPadrao)</f>
        <v>0.377587663709337</v>
      </c>
      <c r="M5790" s="12">
        <f>tItens[[#This Row],[Valor]]*(1-tItens[[#This Row],[Desconto]])</f>
        <v>195.62419729615542</v>
      </c>
      <c r="N5790" t="str">
        <f>IFERROR(INDEX(tProdutos[Foco],MATCH(tItens[[#This Row],[Produto]],tProdutos[Produto],0)),"Não")</f>
        <v>Não</v>
      </c>
      <c r="O5790" t="str">
        <f>IFERROR(INDEX(tEditais[SRP],MATCH(tItens[[#This Row],[Edital]],tEditais[Edital],0)),"Não")</f>
        <v>Sim</v>
      </c>
      <c r="P5790" s="4">
        <f>IF(COUNTIFS(INDEX(tItens[Edital],1):tItens[[#This Row],[Edital]],tItens[[#This Row],[Edital]],INDEX(tItens[Produto],1):tItens[[#This Row],[Produto]],tItens[[#This Row],[Produto]])=1,1,0)</f>
        <v>0</v>
      </c>
    </row>
    <row r="5791" spans="1:16" x14ac:dyDescent="0.25">
      <c r="A5791" t="s">
        <v>2064</v>
      </c>
      <c r="B5791">
        <v>13</v>
      </c>
      <c r="C5791" t="s">
        <v>8572</v>
      </c>
      <c r="D5791" t="s">
        <v>503</v>
      </c>
      <c r="E5791" s="13">
        <v>62</v>
      </c>
      <c r="F5791" s="12">
        <v>115.41</v>
      </c>
      <c r="G5791" t="str">
        <f>IFERROR(INDEX(tEditais[Órgão],MATCH(tItens[[#This Row],[Edital]],tEditais[Edital],0)),"")</f>
        <v>MUNICIPIO DE CASCAVEL</v>
      </c>
      <c r="H5791" t="str">
        <f>IFERROR(INDEX(tEditais[UF],MATCH(tItens[[#This Row],[Edital]],tEditais[Edital],0)),"")</f>
        <v>PR</v>
      </c>
      <c r="I5791" s="11">
        <f>IFERROR(INDEX(tEditais[Encerramento],MATCH(tItens[[#This Row],[Edital]],tEditais[Edital],0)),"")</f>
        <v>46309.374305555553</v>
      </c>
      <c r="J5791" t="str">
        <f>IFERROR(INDEX(tProdutos[Classe],MATCH(tItens[[#This Row],[Produto]],tProdutos[Produto],0)),"produto não cadastrado")</f>
        <v>FILA REBASE</v>
      </c>
      <c r="K5791" s="12">
        <f>tItens[[#This Row],[Qtd]]*tItens[[#This Row],[Vlr unit]]</f>
        <v>7155.42</v>
      </c>
      <c r="L5791" s="6">
        <f>IFERROR(IF(INDEX(tProdutos[Desconto homologado],MATCH(tItens[[#This Row],[Produto]],tProdutos[Produto],0))="",DescontoPadrao,INDEX(tProdutos[Desconto homologado],MATCH(tItens[[#This Row],[Produto]],tProdutos[Produto],0))),DescontoPadrao)</f>
        <v>0.54492561591744004</v>
      </c>
      <c r="M5791" s="12">
        <f>tItens[[#This Row],[Valor]]*(1-tItens[[#This Row],[Desconto]])</f>
        <v>3256.2483493520313</v>
      </c>
      <c r="N5791" t="str">
        <f>IFERROR(INDEX(tProdutos[Foco],MATCH(tItens[[#This Row],[Produto]],tProdutos[Produto],0)),"Não")</f>
        <v>Não</v>
      </c>
      <c r="O5791" t="str">
        <f>IFERROR(INDEX(tEditais[SRP],MATCH(tItens[[#This Row],[Edital]],tEditais[Edital],0)),"Não")</f>
        <v>Não</v>
      </c>
      <c r="P5791" s="4">
        <f>IF(COUNTIFS(INDEX(tItens[Edital],1):tItens[[#This Row],[Edital]],tItens[[#This Row],[Edital]],INDEX(tItens[Produto],1):tItens[[#This Row],[Produto]],tItens[[#This Row],[Produto]])=1,1,0)</f>
        <v>1</v>
      </c>
    </row>
    <row r="5792" spans="1:16" x14ac:dyDescent="0.25">
      <c r="A5792" t="s">
        <v>2067</v>
      </c>
      <c r="B5792">
        <v>3</v>
      </c>
      <c r="C5792" t="s">
        <v>8573</v>
      </c>
      <c r="D5792" t="s">
        <v>347</v>
      </c>
      <c r="E5792" s="13">
        <v>250</v>
      </c>
      <c r="F5792" s="12">
        <v>32.020000000000003</v>
      </c>
      <c r="G5792" t="str">
        <f>IFERROR(INDEX(tEditais[Órgão],MATCH(tItens[[#This Row],[Edital]],tEditais[Edital],0)),"")</f>
        <v>FUNDO ESTADUAL DE SAUDE DO PARANA - FUNSAUDE</v>
      </c>
      <c r="H5792" t="str">
        <f>IFERROR(INDEX(tEditais[UF],MATCH(tItens[[#This Row],[Edital]],tEditais[Edital],0)),"")</f>
        <v>PR</v>
      </c>
      <c r="I5792" s="11">
        <f>IFERROR(INDEX(tEditais[Encerramento],MATCH(tItens[[#This Row],[Edital]],tEditais[Edital],0)),"")</f>
        <v>46309.375</v>
      </c>
      <c r="J5792" t="str">
        <f>IFERROR(INDEX(tProdutos[Classe],MATCH(tItens[[#This Row],[Produto]],tProdutos[Produto],0)),"produto não cadastrado")</f>
        <v>FORA</v>
      </c>
      <c r="K5792" s="12">
        <f>tItens[[#This Row],[Qtd]]*tItens[[#This Row],[Vlr unit]]</f>
        <v>8005.0000000000009</v>
      </c>
      <c r="L5792" s="6">
        <f>IFERROR(IF(INDEX(tProdutos[Desconto homologado],MATCH(tItens[[#This Row],[Produto]],tProdutos[Produto],0))="",DescontoPadrao,INDEX(tProdutos[Desconto homologado],MATCH(tItens[[#This Row],[Produto]],tProdutos[Produto],0))),DescontoPadrao)</f>
        <v>0.26356465005931201</v>
      </c>
      <c r="M5792" s="12">
        <f>tItens[[#This Row],[Valor]]*(1-tItens[[#This Row],[Desconto]])</f>
        <v>5895.1649762752077</v>
      </c>
      <c r="N5792" t="str">
        <f>IFERROR(INDEX(tProdutos[Foco],MATCH(tItens[[#This Row],[Produto]],tProdutos[Produto],0)),"Não")</f>
        <v>Não</v>
      </c>
      <c r="O5792" t="str">
        <f>IFERROR(INDEX(tEditais[SRP],MATCH(tItens[[#This Row],[Edital]],tEditais[Edital],0)),"Não")</f>
        <v>Não</v>
      </c>
      <c r="P5792" s="4">
        <f>IF(COUNTIFS(INDEX(tItens[Edital],1):tItens[[#This Row],[Edital]],tItens[[#This Row],[Edital]],INDEX(tItens[Produto],1):tItens[[#This Row],[Produto]],tItens[[#This Row],[Produto]])=1,1,0)</f>
        <v>1</v>
      </c>
    </row>
    <row r="5793" spans="1:16" x14ac:dyDescent="0.25">
      <c r="A5793" t="s">
        <v>2067</v>
      </c>
      <c r="B5793">
        <v>4</v>
      </c>
      <c r="C5793" t="s">
        <v>6298</v>
      </c>
      <c r="D5793" t="s">
        <v>347</v>
      </c>
      <c r="E5793" s="13">
        <v>350</v>
      </c>
      <c r="F5793" s="12">
        <v>31.35</v>
      </c>
      <c r="G5793" t="str">
        <f>IFERROR(INDEX(tEditais[Órgão],MATCH(tItens[[#This Row],[Edital]],tEditais[Edital],0)),"")</f>
        <v>FUNDO ESTADUAL DE SAUDE DO PARANA - FUNSAUDE</v>
      </c>
      <c r="H5793" t="str">
        <f>IFERROR(INDEX(tEditais[UF],MATCH(tItens[[#This Row],[Edital]],tEditais[Edital],0)),"")</f>
        <v>PR</v>
      </c>
      <c r="I5793" s="11">
        <f>IFERROR(INDEX(tEditais[Encerramento],MATCH(tItens[[#This Row],[Edital]],tEditais[Edital],0)),"")</f>
        <v>46309.375</v>
      </c>
      <c r="J5793" t="str">
        <f>IFERROR(INDEX(tProdutos[Classe],MATCH(tItens[[#This Row],[Produto]],tProdutos[Produto],0)),"produto não cadastrado")</f>
        <v>FORA</v>
      </c>
      <c r="K5793" s="12">
        <f>tItens[[#This Row],[Qtd]]*tItens[[#This Row],[Vlr unit]]</f>
        <v>10972.5</v>
      </c>
      <c r="L5793" s="6">
        <f>IFERROR(IF(INDEX(tProdutos[Desconto homologado],MATCH(tItens[[#This Row],[Produto]],tProdutos[Produto],0))="",DescontoPadrao,INDEX(tProdutos[Desconto homologado],MATCH(tItens[[#This Row],[Produto]],tProdutos[Produto],0))),DescontoPadrao)</f>
        <v>0.26356465005931201</v>
      </c>
      <c r="M5793" s="12">
        <f>tItens[[#This Row],[Valor]]*(1-tItens[[#This Row],[Desconto]])</f>
        <v>8080.5368772241982</v>
      </c>
      <c r="N5793" t="str">
        <f>IFERROR(INDEX(tProdutos[Foco],MATCH(tItens[[#This Row],[Produto]],tProdutos[Produto],0)),"Não")</f>
        <v>Não</v>
      </c>
      <c r="O5793" t="str">
        <f>IFERROR(INDEX(tEditais[SRP],MATCH(tItens[[#This Row],[Edital]],tEditais[Edital],0)),"Não")</f>
        <v>Não</v>
      </c>
      <c r="P5793" s="4">
        <f>IF(COUNTIFS(INDEX(tItens[Edital],1):tItens[[#This Row],[Edital]],tItens[[#This Row],[Edital]],INDEX(tItens[Produto],1):tItens[[#This Row],[Produto]],tItens[[#This Row],[Produto]])=1,1,0)</f>
        <v>0</v>
      </c>
    </row>
    <row r="5794" spans="1:16" x14ac:dyDescent="0.25">
      <c r="A5794" t="s">
        <v>2067</v>
      </c>
      <c r="B5794">
        <v>5</v>
      </c>
      <c r="C5794" t="s">
        <v>4116</v>
      </c>
      <c r="D5794" t="s">
        <v>347</v>
      </c>
      <c r="E5794" s="13">
        <v>300</v>
      </c>
      <c r="F5794" s="12">
        <v>28.9</v>
      </c>
      <c r="G5794" t="str">
        <f>IFERROR(INDEX(tEditais[Órgão],MATCH(tItens[[#This Row],[Edital]],tEditais[Edital],0)),"")</f>
        <v>FUNDO ESTADUAL DE SAUDE DO PARANA - FUNSAUDE</v>
      </c>
      <c r="H5794" t="str">
        <f>IFERROR(INDEX(tEditais[UF],MATCH(tItens[[#This Row],[Edital]],tEditais[Edital],0)),"")</f>
        <v>PR</v>
      </c>
      <c r="I5794" s="11">
        <f>IFERROR(INDEX(tEditais[Encerramento],MATCH(tItens[[#This Row],[Edital]],tEditais[Edital],0)),"")</f>
        <v>46309.375</v>
      </c>
      <c r="J5794" t="str">
        <f>IFERROR(INDEX(tProdutos[Classe],MATCH(tItens[[#This Row],[Produto]],tProdutos[Produto],0)),"produto não cadastrado")</f>
        <v>FORA</v>
      </c>
      <c r="K5794" s="12">
        <f>tItens[[#This Row],[Qtd]]*tItens[[#This Row],[Vlr unit]]</f>
        <v>8670</v>
      </c>
      <c r="L5794" s="6">
        <f>IFERROR(IF(INDEX(tProdutos[Desconto homologado],MATCH(tItens[[#This Row],[Produto]],tProdutos[Produto],0))="",DescontoPadrao,INDEX(tProdutos[Desconto homologado],MATCH(tItens[[#This Row],[Produto]],tProdutos[Produto],0))),DescontoPadrao)</f>
        <v>0.26356465005931201</v>
      </c>
      <c r="M5794" s="12">
        <f>tItens[[#This Row],[Valor]]*(1-tItens[[#This Row],[Desconto]])</f>
        <v>6384.8944839857641</v>
      </c>
      <c r="N5794" t="str">
        <f>IFERROR(INDEX(tProdutos[Foco],MATCH(tItens[[#This Row],[Produto]],tProdutos[Produto],0)),"Não")</f>
        <v>Não</v>
      </c>
      <c r="O5794" t="str">
        <f>IFERROR(INDEX(tEditais[SRP],MATCH(tItens[[#This Row],[Edital]],tEditais[Edital],0)),"Não")</f>
        <v>Não</v>
      </c>
      <c r="P5794" s="4">
        <f>IF(COUNTIFS(INDEX(tItens[Edital],1):tItens[[#This Row],[Edital]],tItens[[#This Row],[Edital]],INDEX(tItens[Produto],1):tItens[[#This Row],[Produto]],tItens[[#This Row],[Produto]])=1,1,0)</f>
        <v>0</v>
      </c>
    </row>
    <row r="5795" spans="1:16" x14ac:dyDescent="0.25">
      <c r="A5795" t="s">
        <v>2071</v>
      </c>
      <c r="B5795">
        <v>6</v>
      </c>
      <c r="C5795" t="s">
        <v>3478</v>
      </c>
      <c r="D5795" t="s">
        <v>315</v>
      </c>
      <c r="E5795" s="13">
        <v>500</v>
      </c>
      <c r="F5795" s="12">
        <v>13.84</v>
      </c>
      <c r="G5795" t="str">
        <f>IFERROR(INDEX(tEditais[Órgão],MATCH(tItens[[#This Row],[Edital]],tEditais[Edital],0)),"")</f>
        <v>MUNICIPIO DE JACAREZINHO</v>
      </c>
      <c r="H5795" t="str">
        <f>IFERROR(INDEX(tEditais[UF],MATCH(tItens[[#This Row],[Edital]],tEditais[Edital],0)),"")</f>
        <v>PR</v>
      </c>
      <c r="I5795" s="11">
        <f>IFERROR(INDEX(tEditais[Encerramento],MATCH(tItens[[#This Row],[Edital]],tEditais[Edital],0)),"")</f>
        <v>46309.375</v>
      </c>
      <c r="J5795" t="str">
        <f>IFERROR(INDEX(tProdutos[Classe],MATCH(tItens[[#This Row],[Produto]],tProdutos[Produto],0)),"produto não cadastrado")</f>
        <v>FORA</v>
      </c>
      <c r="K5795" s="12">
        <f>tItens[[#This Row],[Qtd]]*tItens[[#This Row],[Vlr unit]]</f>
        <v>6920</v>
      </c>
      <c r="L5795" s="6">
        <f>IFERROR(IF(INDEX(tProdutos[Desconto homologado],MATCH(tItens[[#This Row],[Produto]],tProdutos[Produto],0))="",DescontoPadrao,INDEX(tProdutos[Desconto homologado],MATCH(tItens[[#This Row],[Produto]],tProdutos[Produto],0))),DescontoPadrao)</f>
        <v>0.38432036097010702</v>
      </c>
      <c r="M5795" s="12">
        <f>tItens[[#This Row],[Valor]]*(1-tItens[[#This Row],[Desconto]])</f>
        <v>4260.5031020868591</v>
      </c>
      <c r="N5795" t="str">
        <f>IFERROR(INDEX(tProdutos[Foco],MATCH(tItens[[#This Row],[Produto]],tProdutos[Produto],0)),"Não")</f>
        <v>Não</v>
      </c>
      <c r="O5795" t="str">
        <f>IFERROR(INDEX(tEditais[SRP],MATCH(tItens[[#This Row],[Edital]],tEditais[Edital],0)),"Não")</f>
        <v>Sim</v>
      </c>
      <c r="P5795" s="4">
        <f>IF(COUNTIFS(INDEX(tItens[Edital],1):tItens[[#This Row],[Edital]],tItens[[#This Row],[Edital]],INDEX(tItens[Produto],1):tItens[[#This Row],[Produto]],tItens[[#This Row],[Produto]])=1,1,0)</f>
        <v>1</v>
      </c>
    </row>
    <row r="5796" spans="1:16" x14ac:dyDescent="0.25">
      <c r="A5796" t="s">
        <v>2071</v>
      </c>
      <c r="B5796">
        <v>7</v>
      </c>
      <c r="C5796" t="s">
        <v>8574</v>
      </c>
      <c r="D5796" t="s">
        <v>315</v>
      </c>
      <c r="E5796" s="13">
        <v>500</v>
      </c>
      <c r="F5796" s="12">
        <v>10.28</v>
      </c>
      <c r="G5796" t="str">
        <f>IFERROR(INDEX(tEditais[Órgão],MATCH(tItens[[#This Row],[Edital]],tEditais[Edital],0)),"")</f>
        <v>MUNICIPIO DE JACAREZINHO</v>
      </c>
      <c r="H5796" t="str">
        <f>IFERROR(INDEX(tEditais[UF],MATCH(tItens[[#This Row],[Edital]],tEditais[Edital],0)),"")</f>
        <v>PR</v>
      </c>
      <c r="I5796" s="11">
        <f>IFERROR(INDEX(tEditais[Encerramento],MATCH(tItens[[#This Row],[Edital]],tEditais[Edital],0)),"")</f>
        <v>46309.375</v>
      </c>
      <c r="J5796" t="str">
        <f>IFERROR(INDEX(tProdutos[Classe],MATCH(tItens[[#This Row],[Produto]],tProdutos[Produto],0)),"produto não cadastrado")</f>
        <v>FORA</v>
      </c>
      <c r="K5796" s="12">
        <f>tItens[[#This Row],[Qtd]]*tItens[[#This Row],[Vlr unit]]</f>
        <v>5140</v>
      </c>
      <c r="L5796" s="6">
        <f>IFERROR(IF(INDEX(tProdutos[Desconto homologado],MATCH(tItens[[#This Row],[Produto]],tProdutos[Produto],0))="",DescontoPadrao,INDEX(tProdutos[Desconto homologado],MATCH(tItens[[#This Row],[Produto]],tProdutos[Produto],0))),DescontoPadrao)</f>
        <v>0.38432036097010702</v>
      </c>
      <c r="M5796" s="12">
        <f>tItens[[#This Row],[Valor]]*(1-tItens[[#This Row],[Desconto]])</f>
        <v>3164.5933446136501</v>
      </c>
      <c r="N5796" t="str">
        <f>IFERROR(INDEX(tProdutos[Foco],MATCH(tItens[[#This Row],[Produto]],tProdutos[Produto],0)),"Não")</f>
        <v>Não</v>
      </c>
      <c r="O5796" t="str">
        <f>IFERROR(INDEX(tEditais[SRP],MATCH(tItens[[#This Row],[Edital]],tEditais[Edital],0)),"Não")</f>
        <v>Sim</v>
      </c>
      <c r="P5796" s="4">
        <f>IF(COUNTIFS(INDEX(tItens[Edital],1):tItens[[#This Row],[Edital]],tItens[[#This Row],[Edital]],INDEX(tItens[Produto],1):tItens[[#This Row],[Produto]],tItens[[#This Row],[Produto]])=1,1,0)</f>
        <v>0</v>
      </c>
    </row>
    <row r="5797" spans="1:16" x14ac:dyDescent="0.25">
      <c r="A5797" t="s">
        <v>2071</v>
      </c>
      <c r="B5797">
        <v>8</v>
      </c>
      <c r="C5797" t="s">
        <v>3480</v>
      </c>
      <c r="D5797" t="s">
        <v>315</v>
      </c>
      <c r="E5797" s="13">
        <v>600</v>
      </c>
      <c r="F5797" s="12">
        <v>10.26</v>
      </c>
      <c r="G5797" t="str">
        <f>IFERROR(INDEX(tEditais[Órgão],MATCH(tItens[[#This Row],[Edital]],tEditais[Edital],0)),"")</f>
        <v>MUNICIPIO DE JACAREZINHO</v>
      </c>
      <c r="H5797" t="str">
        <f>IFERROR(INDEX(tEditais[UF],MATCH(tItens[[#This Row],[Edital]],tEditais[Edital],0)),"")</f>
        <v>PR</v>
      </c>
      <c r="I5797" s="11">
        <f>IFERROR(INDEX(tEditais[Encerramento],MATCH(tItens[[#This Row],[Edital]],tEditais[Edital],0)),"")</f>
        <v>46309.375</v>
      </c>
      <c r="J5797" t="str">
        <f>IFERROR(INDEX(tProdutos[Classe],MATCH(tItens[[#This Row],[Produto]],tProdutos[Produto],0)),"produto não cadastrado")</f>
        <v>FORA</v>
      </c>
      <c r="K5797" s="12">
        <f>tItens[[#This Row],[Qtd]]*tItens[[#This Row],[Vlr unit]]</f>
        <v>6156</v>
      </c>
      <c r="L5797" s="6">
        <f>IFERROR(IF(INDEX(tProdutos[Desconto homologado],MATCH(tItens[[#This Row],[Produto]],tProdutos[Produto],0))="",DescontoPadrao,INDEX(tProdutos[Desconto homologado],MATCH(tItens[[#This Row],[Produto]],tProdutos[Produto],0))),DescontoPadrao)</f>
        <v>0.38432036097010702</v>
      </c>
      <c r="M5797" s="12">
        <f>tItens[[#This Row],[Valor]]*(1-tItens[[#This Row],[Desconto]])</f>
        <v>3790.1238578680213</v>
      </c>
      <c r="N5797" t="str">
        <f>IFERROR(INDEX(tProdutos[Foco],MATCH(tItens[[#This Row],[Produto]],tProdutos[Produto],0)),"Não")</f>
        <v>Não</v>
      </c>
      <c r="O5797" t="str">
        <f>IFERROR(INDEX(tEditais[SRP],MATCH(tItens[[#This Row],[Edital]],tEditais[Edital],0)),"Não")</f>
        <v>Sim</v>
      </c>
      <c r="P5797" s="4">
        <f>IF(COUNTIFS(INDEX(tItens[Edital],1):tItens[[#This Row],[Edital]],tItens[[#This Row],[Edital]],INDEX(tItens[Produto],1):tItens[[#This Row],[Produto]],tItens[[#This Row],[Produto]])=1,1,0)</f>
        <v>0</v>
      </c>
    </row>
    <row r="5798" spans="1:16" x14ac:dyDescent="0.25">
      <c r="A5798" t="s">
        <v>2071</v>
      </c>
      <c r="B5798">
        <v>9</v>
      </c>
      <c r="C5798" t="s">
        <v>3481</v>
      </c>
      <c r="D5798" t="s">
        <v>297</v>
      </c>
      <c r="E5798" s="13">
        <v>820</v>
      </c>
      <c r="F5798" s="12">
        <v>15.74</v>
      </c>
      <c r="G5798" t="str">
        <f>IFERROR(INDEX(tEditais[Órgão],MATCH(tItens[[#This Row],[Edital]],tEditais[Edital],0)),"")</f>
        <v>MUNICIPIO DE JACAREZINHO</v>
      </c>
      <c r="H5798" t="str">
        <f>IFERROR(INDEX(tEditais[UF],MATCH(tItens[[#This Row],[Edital]],tEditais[Edital],0)),"")</f>
        <v>PR</v>
      </c>
      <c r="I5798" s="11">
        <f>IFERROR(INDEX(tEditais[Encerramento],MATCH(tItens[[#This Row],[Edital]],tEditais[Edital],0)),"")</f>
        <v>46309.375</v>
      </c>
      <c r="J5798" t="str">
        <f>IFERROR(INDEX(tProdutos[Classe],MATCH(tItens[[#This Row],[Produto]],tProdutos[Produto],0)),"produto não cadastrado")</f>
        <v>FORA</v>
      </c>
      <c r="K5798" s="12">
        <f>tItens[[#This Row],[Qtd]]*tItens[[#This Row],[Vlr unit]]</f>
        <v>12906.8</v>
      </c>
      <c r="L5798" s="6">
        <f>IFERROR(IF(INDEX(tProdutos[Desconto homologado],MATCH(tItens[[#This Row],[Produto]],tProdutos[Produto],0))="",DescontoPadrao,INDEX(tProdutos[Desconto homologado],MATCH(tItens[[#This Row],[Produto]],tProdutos[Produto],0))),DescontoPadrao)</f>
        <v>0.249544626593807</v>
      </c>
      <c r="M5798" s="12">
        <f>tItens[[#This Row],[Valor]]*(1-tItens[[#This Row],[Desconto]])</f>
        <v>9685.9774134790514</v>
      </c>
      <c r="N5798" t="str">
        <f>IFERROR(INDEX(tProdutos[Foco],MATCH(tItens[[#This Row],[Produto]],tProdutos[Produto],0)),"Não")</f>
        <v>Não</v>
      </c>
      <c r="O5798" t="str">
        <f>IFERROR(INDEX(tEditais[SRP],MATCH(tItens[[#This Row],[Edital]],tEditais[Edital],0)),"Não")</f>
        <v>Sim</v>
      </c>
      <c r="P5798" s="4">
        <f>IF(COUNTIFS(INDEX(tItens[Edital],1):tItens[[#This Row],[Edital]],tItens[[#This Row],[Edital]],INDEX(tItens[Produto],1):tItens[[#This Row],[Produto]],tItens[[#This Row],[Produto]])=1,1,0)</f>
        <v>1</v>
      </c>
    </row>
    <row r="5799" spans="1:16" x14ac:dyDescent="0.25">
      <c r="A5799" t="s">
        <v>2071</v>
      </c>
      <c r="B5799">
        <v>10</v>
      </c>
      <c r="C5799" t="s">
        <v>4138</v>
      </c>
      <c r="D5799" t="s">
        <v>315</v>
      </c>
      <c r="E5799" s="13">
        <v>800</v>
      </c>
      <c r="F5799" s="12">
        <v>20.71</v>
      </c>
      <c r="G5799" t="str">
        <f>IFERROR(INDEX(tEditais[Órgão],MATCH(tItens[[#This Row],[Edital]],tEditais[Edital],0)),"")</f>
        <v>MUNICIPIO DE JACAREZINHO</v>
      </c>
      <c r="H5799" t="str">
        <f>IFERROR(INDEX(tEditais[UF],MATCH(tItens[[#This Row],[Edital]],tEditais[Edital],0)),"")</f>
        <v>PR</v>
      </c>
      <c r="I5799" s="11">
        <f>IFERROR(INDEX(tEditais[Encerramento],MATCH(tItens[[#This Row],[Edital]],tEditais[Edital],0)),"")</f>
        <v>46309.375</v>
      </c>
      <c r="J5799" t="str">
        <f>IFERROR(INDEX(tProdutos[Classe],MATCH(tItens[[#This Row],[Produto]],tProdutos[Produto],0)),"produto não cadastrado")</f>
        <v>FORA</v>
      </c>
      <c r="K5799" s="12">
        <f>tItens[[#This Row],[Qtd]]*tItens[[#This Row],[Vlr unit]]</f>
        <v>16568</v>
      </c>
      <c r="L5799" s="6">
        <f>IFERROR(IF(INDEX(tProdutos[Desconto homologado],MATCH(tItens[[#This Row],[Produto]],tProdutos[Produto],0))="",DescontoPadrao,INDEX(tProdutos[Desconto homologado],MATCH(tItens[[#This Row],[Produto]],tProdutos[Produto],0))),DescontoPadrao)</f>
        <v>0.38432036097010702</v>
      </c>
      <c r="M5799" s="12">
        <f>tItens[[#This Row],[Valor]]*(1-tItens[[#This Row],[Desconto]])</f>
        <v>10200.580259447266</v>
      </c>
      <c r="N5799" t="str">
        <f>IFERROR(INDEX(tProdutos[Foco],MATCH(tItens[[#This Row],[Produto]],tProdutos[Produto],0)),"Não")</f>
        <v>Não</v>
      </c>
      <c r="O5799" t="str">
        <f>IFERROR(INDEX(tEditais[SRP],MATCH(tItens[[#This Row],[Edital]],tEditais[Edital],0)),"Não")</f>
        <v>Sim</v>
      </c>
      <c r="P5799" s="4">
        <f>IF(COUNTIFS(INDEX(tItens[Edital],1):tItens[[#This Row],[Edital]],tItens[[#This Row],[Edital]],INDEX(tItens[Produto],1):tItens[[#This Row],[Produto]],tItens[[#This Row],[Produto]])=1,1,0)</f>
        <v>0</v>
      </c>
    </row>
    <row r="5800" spans="1:16" x14ac:dyDescent="0.25">
      <c r="A5800" t="s">
        <v>2071</v>
      </c>
      <c r="B5800">
        <v>11</v>
      </c>
      <c r="C5800" t="s">
        <v>8575</v>
      </c>
      <c r="D5800" t="s">
        <v>315</v>
      </c>
      <c r="E5800" s="13">
        <v>50</v>
      </c>
      <c r="F5800" s="12">
        <v>9.33</v>
      </c>
      <c r="G5800" t="str">
        <f>IFERROR(INDEX(tEditais[Órgão],MATCH(tItens[[#This Row],[Edital]],tEditais[Edital],0)),"")</f>
        <v>MUNICIPIO DE JACAREZINHO</v>
      </c>
      <c r="H5800" t="str">
        <f>IFERROR(INDEX(tEditais[UF],MATCH(tItens[[#This Row],[Edital]],tEditais[Edital],0)),"")</f>
        <v>PR</v>
      </c>
      <c r="I5800" s="11">
        <f>IFERROR(INDEX(tEditais[Encerramento],MATCH(tItens[[#This Row],[Edital]],tEditais[Edital],0)),"")</f>
        <v>46309.375</v>
      </c>
      <c r="J5800" t="str">
        <f>IFERROR(INDEX(tProdutos[Classe],MATCH(tItens[[#This Row],[Produto]],tProdutos[Produto],0)),"produto não cadastrado")</f>
        <v>FORA</v>
      </c>
      <c r="K5800" s="12">
        <f>tItens[[#This Row],[Qtd]]*tItens[[#This Row],[Vlr unit]]</f>
        <v>466.5</v>
      </c>
      <c r="L5800" s="6">
        <f>IFERROR(IF(INDEX(tProdutos[Desconto homologado],MATCH(tItens[[#This Row],[Produto]],tProdutos[Produto],0))="",DescontoPadrao,INDEX(tProdutos[Desconto homologado],MATCH(tItens[[#This Row],[Produto]],tProdutos[Produto],0))),DescontoPadrao)</f>
        <v>0.38432036097010702</v>
      </c>
      <c r="M5800" s="12">
        <f>tItens[[#This Row],[Valor]]*(1-tItens[[#This Row],[Desconto]])</f>
        <v>287.21455160744506</v>
      </c>
      <c r="N5800" t="str">
        <f>IFERROR(INDEX(tProdutos[Foco],MATCH(tItens[[#This Row],[Produto]],tProdutos[Produto],0)),"Não")</f>
        <v>Não</v>
      </c>
      <c r="O5800" t="str">
        <f>IFERROR(INDEX(tEditais[SRP],MATCH(tItens[[#This Row],[Edital]],tEditais[Edital],0)),"Não")</f>
        <v>Sim</v>
      </c>
      <c r="P5800" s="4">
        <f>IF(COUNTIFS(INDEX(tItens[Edital],1):tItens[[#This Row],[Edital]],tItens[[#This Row],[Edital]],INDEX(tItens[Produto],1):tItens[[#This Row],[Produto]],tItens[[#This Row],[Produto]])=1,1,0)</f>
        <v>0</v>
      </c>
    </row>
    <row r="5801" spans="1:16" x14ac:dyDescent="0.25">
      <c r="A5801" t="s">
        <v>2071</v>
      </c>
      <c r="B5801">
        <v>23</v>
      </c>
      <c r="C5801" t="s">
        <v>8576</v>
      </c>
      <c r="D5801" t="s">
        <v>132</v>
      </c>
      <c r="E5801" s="13">
        <v>50</v>
      </c>
      <c r="F5801" s="12">
        <v>56.67</v>
      </c>
      <c r="G5801" t="str">
        <f>IFERROR(INDEX(tEditais[Órgão],MATCH(tItens[[#This Row],[Edital]],tEditais[Edital],0)),"")</f>
        <v>MUNICIPIO DE JACAREZINHO</v>
      </c>
      <c r="H5801" t="str">
        <f>IFERROR(INDEX(tEditais[UF],MATCH(tItens[[#This Row],[Edital]],tEditais[Edital],0)),"")</f>
        <v>PR</v>
      </c>
      <c r="I5801" s="11">
        <f>IFERROR(INDEX(tEditais[Encerramento],MATCH(tItens[[#This Row],[Edital]],tEditais[Edital],0)),"")</f>
        <v>46309.375</v>
      </c>
      <c r="J5801" t="str">
        <f>IFERROR(INDEX(tProdutos[Classe],MATCH(tItens[[#This Row],[Produto]],tProdutos[Produto],0)),"produto não cadastrado")</f>
        <v>NÚCLEO</v>
      </c>
      <c r="K5801" s="12">
        <f>tItens[[#This Row],[Qtd]]*tItens[[#This Row],[Vlr unit]]</f>
        <v>2833.5</v>
      </c>
      <c r="L5801" s="6">
        <f>IFERROR(IF(INDEX(tProdutos[Desconto homologado],MATCH(tItens[[#This Row],[Produto]],tProdutos[Produto],0))="",DescontoPadrao,INDEX(tProdutos[Desconto homologado],MATCH(tItens[[#This Row],[Produto]],tProdutos[Produto],0))),DescontoPadrao)</f>
        <v>0.27</v>
      </c>
      <c r="M5801" s="12">
        <f>tItens[[#This Row],[Valor]]*(1-tItens[[#This Row],[Desconto]])</f>
        <v>2068.4549999999999</v>
      </c>
      <c r="N5801" t="str">
        <f>IFERROR(INDEX(tProdutos[Foco],MATCH(tItens[[#This Row],[Produto]],tProdutos[Produto],0)),"Não")</f>
        <v>Sim</v>
      </c>
      <c r="O5801" t="str">
        <f>IFERROR(INDEX(tEditais[SRP],MATCH(tItens[[#This Row],[Edital]],tEditais[Edital],0)),"Não")</f>
        <v>Sim</v>
      </c>
      <c r="P5801" s="4">
        <f>IF(COUNTIFS(INDEX(tItens[Edital],1):tItens[[#This Row],[Edital]],tItens[[#This Row],[Edital]],INDEX(tItens[Produto],1):tItens[[#This Row],[Produto]],tItens[[#This Row],[Produto]])=1,1,0)</f>
        <v>1</v>
      </c>
    </row>
    <row r="5802" spans="1:16" x14ac:dyDescent="0.25">
      <c r="A5802" t="s">
        <v>2071</v>
      </c>
      <c r="B5802">
        <v>40</v>
      </c>
      <c r="C5802" t="s">
        <v>8577</v>
      </c>
      <c r="D5802" t="s">
        <v>73</v>
      </c>
      <c r="E5802" s="13">
        <v>550</v>
      </c>
      <c r="F5802" s="12">
        <v>4.07</v>
      </c>
      <c r="G5802" t="str">
        <f>IFERROR(INDEX(tEditais[Órgão],MATCH(tItens[[#This Row],[Edital]],tEditais[Edital],0)),"")</f>
        <v>MUNICIPIO DE JACAREZINHO</v>
      </c>
      <c r="H5802" t="str">
        <f>IFERROR(INDEX(tEditais[UF],MATCH(tItens[[#This Row],[Edital]],tEditais[Edital],0)),"")</f>
        <v>PR</v>
      </c>
      <c r="I5802" s="11">
        <f>IFERROR(INDEX(tEditais[Encerramento],MATCH(tItens[[#This Row],[Edital]],tEditais[Edital],0)),"")</f>
        <v>46309.375</v>
      </c>
      <c r="J5802" t="str">
        <f>IFERROR(INDEX(tProdutos[Classe],MATCH(tItens[[#This Row],[Produto]],tProdutos[Produto],0)),"produto não cadastrado")</f>
        <v>NÚCLEO</v>
      </c>
      <c r="K5802" s="12">
        <f>tItens[[#This Row],[Qtd]]*tItens[[#This Row],[Vlr unit]]</f>
        <v>2238.5</v>
      </c>
      <c r="L5802" s="6">
        <f>IFERROR(IF(INDEX(tProdutos[Desconto homologado],MATCH(tItens[[#This Row],[Produto]],tProdutos[Produto],0))="",DescontoPadrao,INDEX(tProdutos[Desconto homologado],MATCH(tItens[[#This Row],[Produto]],tProdutos[Produto],0))),DescontoPadrao)</f>
        <v>0.37</v>
      </c>
      <c r="M5802" s="12">
        <f>tItens[[#This Row],[Valor]]*(1-tItens[[#This Row],[Desconto]])</f>
        <v>1410.2550000000001</v>
      </c>
      <c r="N5802" t="str">
        <f>IFERROR(INDEX(tProdutos[Foco],MATCH(tItens[[#This Row],[Produto]],tProdutos[Produto],0)),"Não")</f>
        <v>Sim</v>
      </c>
      <c r="O5802" t="str">
        <f>IFERROR(INDEX(tEditais[SRP],MATCH(tItens[[#This Row],[Edital]],tEditais[Edital],0)),"Não")</f>
        <v>Sim</v>
      </c>
      <c r="P5802" s="4">
        <f>IF(COUNTIFS(INDEX(tItens[Edital],1):tItens[[#This Row],[Edital]],tItens[[#This Row],[Edital]],INDEX(tItens[Produto],1):tItens[[#This Row],[Produto]],tItens[[#This Row],[Produto]])=1,1,0)</f>
        <v>1</v>
      </c>
    </row>
    <row r="5803" spans="1:16" x14ac:dyDescent="0.25">
      <c r="A5803" t="s">
        <v>2071</v>
      </c>
      <c r="B5803">
        <v>45</v>
      </c>
      <c r="C5803" t="s">
        <v>8578</v>
      </c>
      <c r="D5803" t="s">
        <v>62</v>
      </c>
      <c r="E5803" s="13">
        <v>650</v>
      </c>
      <c r="F5803" s="12">
        <v>5.44</v>
      </c>
      <c r="G5803" t="str">
        <f>IFERROR(INDEX(tEditais[Órgão],MATCH(tItens[[#This Row],[Edital]],tEditais[Edital],0)),"")</f>
        <v>MUNICIPIO DE JACAREZINHO</v>
      </c>
      <c r="H5803" t="str">
        <f>IFERROR(INDEX(tEditais[UF],MATCH(tItens[[#This Row],[Edital]],tEditais[Edital],0)),"")</f>
        <v>PR</v>
      </c>
      <c r="I5803" s="11">
        <f>IFERROR(INDEX(tEditais[Encerramento],MATCH(tItens[[#This Row],[Edital]],tEditais[Edital],0)),"")</f>
        <v>46309.375</v>
      </c>
      <c r="J5803" t="str">
        <f>IFERROR(INDEX(tProdutos[Classe],MATCH(tItens[[#This Row],[Produto]],tProdutos[Produto],0)),"produto não cadastrado")</f>
        <v>NÚCLEO</v>
      </c>
      <c r="K5803" s="12">
        <f>tItens[[#This Row],[Qtd]]*tItens[[#This Row],[Vlr unit]]</f>
        <v>3536.0000000000005</v>
      </c>
      <c r="L5803" s="6">
        <f>IFERROR(IF(INDEX(tProdutos[Desconto homologado],MATCH(tItens[[#This Row],[Produto]],tProdutos[Produto],0))="",DescontoPadrao,INDEX(tProdutos[Desconto homologado],MATCH(tItens[[#This Row],[Produto]],tProdutos[Produto],0))),DescontoPadrao)</f>
        <v>0.3</v>
      </c>
      <c r="M5803" s="12">
        <f>tItens[[#This Row],[Valor]]*(1-tItens[[#This Row],[Desconto]])</f>
        <v>2475.2000000000003</v>
      </c>
      <c r="N5803" t="str">
        <f>IFERROR(INDEX(tProdutos[Foco],MATCH(tItens[[#This Row],[Produto]],tProdutos[Produto],0)),"Não")</f>
        <v>Sim</v>
      </c>
      <c r="O5803" t="str">
        <f>IFERROR(INDEX(tEditais[SRP],MATCH(tItens[[#This Row],[Edital]],tEditais[Edital],0)),"Não")</f>
        <v>Sim</v>
      </c>
      <c r="P5803" s="4">
        <f>IF(COUNTIFS(INDEX(tItens[Edital],1):tItens[[#This Row],[Edital]],tItens[[#This Row],[Edital]],INDEX(tItens[Produto],1):tItens[[#This Row],[Produto]],tItens[[#This Row],[Produto]])=1,1,0)</f>
        <v>1</v>
      </c>
    </row>
    <row r="5804" spans="1:16" x14ac:dyDescent="0.25">
      <c r="A5804" t="s">
        <v>2071</v>
      </c>
      <c r="B5804">
        <v>46</v>
      </c>
      <c r="C5804" t="s">
        <v>8579</v>
      </c>
      <c r="D5804" t="s">
        <v>62</v>
      </c>
      <c r="E5804" s="13">
        <v>450</v>
      </c>
      <c r="F5804" s="12">
        <v>5.15</v>
      </c>
      <c r="G5804" t="str">
        <f>IFERROR(INDEX(tEditais[Órgão],MATCH(tItens[[#This Row],[Edital]],tEditais[Edital],0)),"")</f>
        <v>MUNICIPIO DE JACAREZINHO</v>
      </c>
      <c r="H5804" t="str">
        <f>IFERROR(INDEX(tEditais[UF],MATCH(tItens[[#This Row],[Edital]],tEditais[Edital],0)),"")</f>
        <v>PR</v>
      </c>
      <c r="I5804" s="11">
        <f>IFERROR(INDEX(tEditais[Encerramento],MATCH(tItens[[#This Row],[Edital]],tEditais[Edital],0)),"")</f>
        <v>46309.375</v>
      </c>
      <c r="J5804" t="str">
        <f>IFERROR(INDEX(tProdutos[Classe],MATCH(tItens[[#This Row],[Produto]],tProdutos[Produto],0)),"produto não cadastrado")</f>
        <v>NÚCLEO</v>
      </c>
      <c r="K5804" s="12">
        <f>tItens[[#This Row],[Qtd]]*tItens[[#This Row],[Vlr unit]]</f>
        <v>2317.5</v>
      </c>
      <c r="L5804" s="6">
        <f>IFERROR(IF(INDEX(tProdutos[Desconto homologado],MATCH(tItens[[#This Row],[Produto]],tProdutos[Produto],0))="",DescontoPadrao,INDEX(tProdutos[Desconto homologado],MATCH(tItens[[#This Row],[Produto]],tProdutos[Produto],0))),DescontoPadrao)</f>
        <v>0.3</v>
      </c>
      <c r="M5804" s="12">
        <f>tItens[[#This Row],[Valor]]*(1-tItens[[#This Row],[Desconto]])</f>
        <v>1622.25</v>
      </c>
      <c r="N5804" t="str">
        <f>IFERROR(INDEX(tProdutos[Foco],MATCH(tItens[[#This Row],[Produto]],tProdutos[Produto],0)),"Não")</f>
        <v>Sim</v>
      </c>
      <c r="O5804" t="str">
        <f>IFERROR(INDEX(tEditais[SRP],MATCH(tItens[[#This Row],[Edital]],tEditais[Edital],0)),"Não")</f>
        <v>Sim</v>
      </c>
      <c r="P5804" s="4">
        <f>IF(COUNTIFS(INDEX(tItens[Edital],1):tItens[[#This Row],[Edital]],tItens[[#This Row],[Edital]],INDEX(tItens[Produto],1):tItens[[#This Row],[Produto]],tItens[[#This Row],[Produto]])=1,1,0)</f>
        <v>0</v>
      </c>
    </row>
    <row r="5805" spans="1:16" x14ac:dyDescent="0.25">
      <c r="A5805" t="s">
        <v>2071</v>
      </c>
      <c r="B5805">
        <v>47</v>
      </c>
      <c r="C5805" t="s">
        <v>8580</v>
      </c>
      <c r="D5805" t="s">
        <v>62</v>
      </c>
      <c r="E5805" s="13">
        <v>300</v>
      </c>
      <c r="F5805" s="12">
        <v>1.44</v>
      </c>
      <c r="G5805" t="str">
        <f>IFERROR(INDEX(tEditais[Órgão],MATCH(tItens[[#This Row],[Edital]],tEditais[Edital],0)),"")</f>
        <v>MUNICIPIO DE JACAREZINHO</v>
      </c>
      <c r="H5805" t="str">
        <f>IFERROR(INDEX(tEditais[UF],MATCH(tItens[[#This Row],[Edital]],tEditais[Edital],0)),"")</f>
        <v>PR</v>
      </c>
      <c r="I5805" s="11">
        <f>IFERROR(INDEX(tEditais[Encerramento],MATCH(tItens[[#This Row],[Edital]],tEditais[Edital],0)),"")</f>
        <v>46309.375</v>
      </c>
      <c r="J5805" t="str">
        <f>IFERROR(INDEX(tProdutos[Classe],MATCH(tItens[[#This Row],[Produto]],tProdutos[Produto],0)),"produto não cadastrado")</f>
        <v>NÚCLEO</v>
      </c>
      <c r="K5805" s="12">
        <f>tItens[[#This Row],[Qtd]]*tItens[[#This Row],[Vlr unit]]</f>
        <v>432</v>
      </c>
      <c r="L5805" s="6">
        <f>IFERROR(IF(INDEX(tProdutos[Desconto homologado],MATCH(tItens[[#This Row],[Produto]],tProdutos[Produto],0))="",DescontoPadrao,INDEX(tProdutos[Desconto homologado],MATCH(tItens[[#This Row],[Produto]],tProdutos[Produto],0))),DescontoPadrao)</f>
        <v>0.3</v>
      </c>
      <c r="M5805" s="12">
        <f>tItens[[#This Row],[Valor]]*(1-tItens[[#This Row],[Desconto]])</f>
        <v>302.39999999999998</v>
      </c>
      <c r="N5805" t="str">
        <f>IFERROR(INDEX(tProdutos[Foco],MATCH(tItens[[#This Row],[Produto]],tProdutos[Produto],0)),"Não")</f>
        <v>Sim</v>
      </c>
      <c r="O5805" t="str">
        <f>IFERROR(INDEX(tEditais[SRP],MATCH(tItens[[#This Row],[Edital]],tEditais[Edital],0)),"Não")</f>
        <v>Sim</v>
      </c>
      <c r="P5805" s="4">
        <f>IF(COUNTIFS(INDEX(tItens[Edital],1):tItens[[#This Row],[Edital]],tItens[[#This Row],[Edital]],INDEX(tItens[Produto],1):tItens[[#This Row],[Produto]],tItens[[#This Row],[Produto]])=1,1,0)</f>
        <v>0</v>
      </c>
    </row>
    <row r="5806" spans="1:16" x14ac:dyDescent="0.25">
      <c r="A5806" t="s">
        <v>2071</v>
      </c>
      <c r="B5806">
        <v>48</v>
      </c>
      <c r="C5806" t="s">
        <v>4252</v>
      </c>
      <c r="D5806" t="s">
        <v>311</v>
      </c>
      <c r="E5806" s="13">
        <v>1410</v>
      </c>
      <c r="F5806" s="12">
        <v>16.93</v>
      </c>
      <c r="G5806" t="str">
        <f>IFERROR(INDEX(tEditais[Órgão],MATCH(tItens[[#This Row],[Edital]],tEditais[Edital],0)),"")</f>
        <v>MUNICIPIO DE JACAREZINHO</v>
      </c>
      <c r="H5806" t="str">
        <f>IFERROR(INDEX(tEditais[UF],MATCH(tItens[[#This Row],[Edital]],tEditais[Edital],0)),"")</f>
        <v>PR</v>
      </c>
      <c r="I5806" s="11">
        <f>IFERROR(INDEX(tEditais[Encerramento],MATCH(tItens[[#This Row],[Edital]],tEditais[Edital],0)),"")</f>
        <v>46309.375</v>
      </c>
      <c r="J5806" t="str">
        <f>IFERROR(INDEX(tProdutos[Classe],MATCH(tItens[[#This Row],[Produto]],tProdutos[Produto],0)),"produto não cadastrado")</f>
        <v>FORA</v>
      </c>
      <c r="K5806" s="12">
        <f>tItens[[#This Row],[Qtd]]*tItens[[#This Row],[Vlr unit]]</f>
        <v>23871.3</v>
      </c>
      <c r="L5806" s="6">
        <f>IFERROR(IF(INDEX(tProdutos[Desconto homologado],MATCH(tItens[[#This Row],[Produto]],tProdutos[Produto],0))="",DescontoPadrao,INDEX(tProdutos[Desconto homologado],MATCH(tItens[[#This Row],[Produto]],tProdutos[Produto],0))),DescontoPadrao)</f>
        <v>0.29046182846371399</v>
      </c>
      <c r="M5806" s="12">
        <f>tItens[[#This Row],[Valor]]*(1-tItens[[#This Row],[Desconto]])</f>
        <v>16937.598554194145</v>
      </c>
      <c r="N5806" t="str">
        <f>IFERROR(INDEX(tProdutos[Foco],MATCH(tItens[[#This Row],[Produto]],tProdutos[Produto],0)),"Não")</f>
        <v>Não</v>
      </c>
      <c r="O5806" t="str">
        <f>IFERROR(INDEX(tEditais[SRP],MATCH(tItens[[#This Row],[Edital]],tEditais[Edital],0)),"Não")</f>
        <v>Sim</v>
      </c>
      <c r="P5806" s="4">
        <f>IF(COUNTIFS(INDEX(tItens[Edital],1):tItens[[#This Row],[Edital]],tItens[[#This Row],[Edital]],INDEX(tItens[Produto],1):tItens[[#This Row],[Produto]],tItens[[#This Row],[Produto]])=1,1,0)</f>
        <v>1</v>
      </c>
    </row>
    <row r="5807" spans="1:16" x14ac:dyDescent="0.25">
      <c r="A5807" t="s">
        <v>2071</v>
      </c>
      <c r="B5807">
        <v>49</v>
      </c>
      <c r="C5807" t="s">
        <v>8581</v>
      </c>
      <c r="D5807" t="s">
        <v>311</v>
      </c>
      <c r="E5807" s="13">
        <v>2200</v>
      </c>
      <c r="F5807" s="12">
        <v>14.02</v>
      </c>
      <c r="G5807" t="str">
        <f>IFERROR(INDEX(tEditais[Órgão],MATCH(tItens[[#This Row],[Edital]],tEditais[Edital],0)),"")</f>
        <v>MUNICIPIO DE JACAREZINHO</v>
      </c>
      <c r="H5807" t="str">
        <f>IFERROR(INDEX(tEditais[UF],MATCH(tItens[[#This Row],[Edital]],tEditais[Edital],0)),"")</f>
        <v>PR</v>
      </c>
      <c r="I5807" s="11">
        <f>IFERROR(INDEX(tEditais[Encerramento],MATCH(tItens[[#This Row],[Edital]],tEditais[Edital],0)),"")</f>
        <v>46309.375</v>
      </c>
      <c r="J5807" t="str">
        <f>IFERROR(INDEX(tProdutos[Classe],MATCH(tItens[[#This Row],[Produto]],tProdutos[Produto],0)),"produto não cadastrado")</f>
        <v>FORA</v>
      </c>
      <c r="K5807" s="12">
        <f>tItens[[#This Row],[Qtd]]*tItens[[#This Row],[Vlr unit]]</f>
        <v>30844</v>
      </c>
      <c r="L5807" s="6">
        <f>IFERROR(IF(INDEX(tProdutos[Desconto homologado],MATCH(tItens[[#This Row],[Produto]],tProdutos[Produto],0))="",DescontoPadrao,INDEX(tProdutos[Desconto homologado],MATCH(tItens[[#This Row],[Produto]],tProdutos[Produto],0))),DescontoPadrao)</f>
        <v>0.29046182846371399</v>
      </c>
      <c r="M5807" s="12">
        <f>tItens[[#This Row],[Valor]]*(1-tItens[[#This Row],[Desconto]])</f>
        <v>21884.995362865207</v>
      </c>
      <c r="N5807" t="str">
        <f>IFERROR(INDEX(tProdutos[Foco],MATCH(tItens[[#This Row],[Produto]],tProdutos[Produto],0)),"Não")</f>
        <v>Não</v>
      </c>
      <c r="O5807" t="str">
        <f>IFERROR(INDEX(tEditais[SRP],MATCH(tItens[[#This Row],[Edital]],tEditais[Edital],0)),"Não")</f>
        <v>Sim</v>
      </c>
      <c r="P5807" s="4">
        <f>IF(COUNTIFS(INDEX(tItens[Edital],1):tItens[[#This Row],[Edital]],tItens[[#This Row],[Edital]],INDEX(tItens[Produto],1):tItens[[#This Row],[Produto]],tItens[[#This Row],[Produto]])=1,1,0)</f>
        <v>0</v>
      </c>
    </row>
    <row r="5808" spans="1:16" x14ac:dyDescent="0.25">
      <c r="A5808" t="s">
        <v>2071</v>
      </c>
      <c r="B5808">
        <v>56</v>
      </c>
      <c r="C5808" t="s">
        <v>8582</v>
      </c>
      <c r="D5808" t="s">
        <v>229</v>
      </c>
      <c r="E5808" s="13">
        <v>500</v>
      </c>
      <c r="F5808" s="12">
        <v>113.41</v>
      </c>
      <c r="G5808" t="str">
        <f>IFERROR(INDEX(tEditais[Órgão],MATCH(tItens[[#This Row],[Edital]],tEditais[Edital],0)),"")</f>
        <v>MUNICIPIO DE JACAREZINHO</v>
      </c>
      <c r="H5808" t="str">
        <f>IFERROR(INDEX(tEditais[UF],MATCH(tItens[[#This Row],[Edital]],tEditais[Edital],0)),"")</f>
        <v>PR</v>
      </c>
      <c r="I5808" s="11">
        <f>IFERROR(INDEX(tEditais[Encerramento],MATCH(tItens[[#This Row],[Edital]],tEditais[Edital],0)),"")</f>
        <v>46309.375</v>
      </c>
      <c r="J5808" t="str">
        <f>IFERROR(INDEX(tProdutos[Classe],MATCH(tItens[[#This Row],[Produto]],tProdutos[Produto],0)),"produto não cadastrado")</f>
        <v>FORA</v>
      </c>
      <c r="K5808" s="12">
        <f>tItens[[#This Row],[Qtd]]*tItens[[#This Row],[Vlr unit]]</f>
        <v>56705</v>
      </c>
      <c r="L5808" s="6">
        <f>IFERROR(IF(INDEX(tProdutos[Desconto homologado],MATCH(tItens[[#This Row],[Produto]],tProdutos[Produto],0))="",DescontoPadrao,INDEX(tProdutos[Desconto homologado],MATCH(tItens[[#This Row],[Produto]],tProdutos[Produto],0))),DescontoPadrao)</f>
        <v>0.33093491191658198</v>
      </c>
      <c r="M5808" s="12">
        <f>tItens[[#This Row],[Valor]]*(1-tItens[[#This Row],[Desconto]])</f>
        <v>37939.335819770218</v>
      </c>
      <c r="N5808" t="str">
        <f>IFERROR(INDEX(tProdutos[Foco],MATCH(tItens[[#This Row],[Produto]],tProdutos[Produto],0)),"Não")</f>
        <v>Não</v>
      </c>
      <c r="O5808" t="str">
        <f>IFERROR(INDEX(tEditais[SRP],MATCH(tItens[[#This Row],[Edital]],tEditais[Edital],0)),"Não")</f>
        <v>Sim</v>
      </c>
      <c r="P5808" s="4">
        <f>IF(COUNTIFS(INDEX(tItens[Edital],1):tItens[[#This Row],[Edital]],tItens[[#This Row],[Edital]],INDEX(tItens[Produto],1):tItens[[#This Row],[Produto]],tItens[[#This Row],[Produto]])=1,1,0)</f>
        <v>1</v>
      </c>
    </row>
    <row r="5809" spans="1:16" x14ac:dyDescent="0.25">
      <c r="A5809" t="s">
        <v>2071</v>
      </c>
      <c r="B5809">
        <v>57</v>
      </c>
      <c r="C5809" t="s">
        <v>8582</v>
      </c>
      <c r="D5809" t="s">
        <v>229</v>
      </c>
      <c r="E5809" s="13">
        <v>600</v>
      </c>
      <c r="F5809" s="12">
        <v>3.23</v>
      </c>
      <c r="G5809" t="str">
        <f>IFERROR(INDEX(tEditais[Órgão],MATCH(tItens[[#This Row],[Edital]],tEditais[Edital],0)),"")</f>
        <v>MUNICIPIO DE JACAREZINHO</v>
      </c>
      <c r="H5809" t="str">
        <f>IFERROR(INDEX(tEditais[UF],MATCH(tItens[[#This Row],[Edital]],tEditais[Edital],0)),"")</f>
        <v>PR</v>
      </c>
      <c r="I5809" s="11">
        <f>IFERROR(INDEX(tEditais[Encerramento],MATCH(tItens[[#This Row],[Edital]],tEditais[Edital],0)),"")</f>
        <v>46309.375</v>
      </c>
      <c r="J5809" t="str">
        <f>IFERROR(INDEX(tProdutos[Classe],MATCH(tItens[[#This Row],[Produto]],tProdutos[Produto],0)),"produto não cadastrado")</f>
        <v>FORA</v>
      </c>
      <c r="K5809" s="12">
        <f>tItens[[#This Row],[Qtd]]*tItens[[#This Row],[Vlr unit]]</f>
        <v>1938</v>
      </c>
      <c r="L5809" s="6">
        <f>IFERROR(IF(INDEX(tProdutos[Desconto homologado],MATCH(tItens[[#This Row],[Produto]],tProdutos[Produto],0))="",DescontoPadrao,INDEX(tProdutos[Desconto homologado],MATCH(tItens[[#This Row],[Produto]],tProdutos[Produto],0))),DescontoPadrao)</f>
        <v>0.33093491191658198</v>
      </c>
      <c r="M5809" s="12">
        <f>tItens[[#This Row],[Valor]]*(1-tItens[[#This Row],[Desconto]])</f>
        <v>1296.6481407056642</v>
      </c>
      <c r="N5809" t="str">
        <f>IFERROR(INDEX(tProdutos[Foco],MATCH(tItens[[#This Row],[Produto]],tProdutos[Produto],0)),"Não")</f>
        <v>Não</v>
      </c>
      <c r="O5809" t="str">
        <f>IFERROR(INDEX(tEditais[SRP],MATCH(tItens[[#This Row],[Edital]],tEditais[Edital],0)),"Não")</f>
        <v>Sim</v>
      </c>
      <c r="P5809" s="4">
        <f>IF(COUNTIFS(INDEX(tItens[Edital],1):tItens[[#This Row],[Edital]],tItens[[#This Row],[Edital]],INDEX(tItens[Produto],1):tItens[[#This Row],[Produto]],tItens[[#This Row],[Produto]])=1,1,0)</f>
        <v>0</v>
      </c>
    </row>
    <row r="5810" spans="1:16" x14ac:dyDescent="0.25">
      <c r="A5810" t="s">
        <v>2071</v>
      </c>
      <c r="B5810">
        <v>58</v>
      </c>
      <c r="C5810" t="s">
        <v>8583</v>
      </c>
      <c r="D5810" t="s">
        <v>209</v>
      </c>
      <c r="E5810" s="13">
        <v>26200</v>
      </c>
      <c r="F5810" s="12">
        <v>2.7</v>
      </c>
      <c r="G5810" t="str">
        <f>IFERROR(INDEX(tEditais[Órgão],MATCH(tItens[[#This Row],[Edital]],tEditais[Edital],0)),"")</f>
        <v>MUNICIPIO DE JACAREZINHO</v>
      </c>
      <c r="H5810" t="str">
        <f>IFERROR(INDEX(tEditais[UF],MATCH(tItens[[#This Row],[Edital]],tEditais[Edital],0)),"")</f>
        <v>PR</v>
      </c>
      <c r="I5810" s="11">
        <f>IFERROR(INDEX(tEditais[Encerramento],MATCH(tItens[[#This Row],[Edital]],tEditais[Edital],0)),"")</f>
        <v>46309.375</v>
      </c>
      <c r="J5810" t="str">
        <f>IFERROR(INDEX(tProdutos[Classe],MATCH(tItens[[#This Row],[Produto]],tProdutos[Produto],0)),"produto não cadastrado")</f>
        <v>FORA</v>
      </c>
      <c r="K5810" s="12">
        <f>tItens[[#This Row],[Qtd]]*tItens[[#This Row],[Vlr unit]]</f>
        <v>70740</v>
      </c>
      <c r="L5810" s="6">
        <f>IFERROR(IF(INDEX(tProdutos[Desconto homologado],MATCH(tItens[[#This Row],[Produto]],tProdutos[Produto],0))="",DescontoPadrao,INDEX(tProdutos[Desconto homologado],MATCH(tItens[[#This Row],[Produto]],tProdutos[Produto],0))),DescontoPadrao)</f>
        <v>0.16442507504040599</v>
      </c>
      <c r="M5810" s="12">
        <f>tItens[[#This Row],[Valor]]*(1-tItens[[#This Row],[Desconto]])</f>
        <v>59108.570191641687</v>
      </c>
      <c r="N5810" t="str">
        <f>IFERROR(INDEX(tProdutos[Foco],MATCH(tItens[[#This Row],[Produto]],tProdutos[Produto],0)),"Não")</f>
        <v>Não</v>
      </c>
      <c r="O5810" t="str">
        <f>IFERROR(INDEX(tEditais[SRP],MATCH(tItens[[#This Row],[Edital]],tEditais[Edital],0)),"Não")</f>
        <v>Sim</v>
      </c>
      <c r="P5810" s="4">
        <f>IF(COUNTIFS(INDEX(tItens[Edital],1):tItens[[#This Row],[Edital]],tItens[[#This Row],[Edital]],INDEX(tItens[Produto],1):tItens[[#This Row],[Produto]],tItens[[#This Row],[Produto]])=1,1,0)</f>
        <v>1</v>
      </c>
    </row>
    <row r="5811" spans="1:16" x14ac:dyDescent="0.25">
      <c r="A5811" t="s">
        <v>2071</v>
      </c>
      <c r="B5811">
        <v>59</v>
      </c>
      <c r="C5811" t="s">
        <v>8584</v>
      </c>
      <c r="D5811" t="s">
        <v>229</v>
      </c>
      <c r="E5811" s="13">
        <v>800</v>
      </c>
      <c r="F5811" s="12">
        <v>1.42</v>
      </c>
      <c r="G5811" t="str">
        <f>IFERROR(INDEX(tEditais[Órgão],MATCH(tItens[[#This Row],[Edital]],tEditais[Edital],0)),"")</f>
        <v>MUNICIPIO DE JACAREZINHO</v>
      </c>
      <c r="H5811" t="str">
        <f>IFERROR(INDEX(tEditais[UF],MATCH(tItens[[#This Row],[Edital]],tEditais[Edital],0)),"")</f>
        <v>PR</v>
      </c>
      <c r="I5811" s="11">
        <f>IFERROR(INDEX(tEditais[Encerramento],MATCH(tItens[[#This Row],[Edital]],tEditais[Edital],0)),"")</f>
        <v>46309.375</v>
      </c>
      <c r="J5811" t="str">
        <f>IFERROR(INDEX(tProdutos[Classe],MATCH(tItens[[#This Row],[Produto]],tProdutos[Produto],0)),"produto não cadastrado")</f>
        <v>FORA</v>
      </c>
      <c r="K5811" s="12">
        <f>tItens[[#This Row],[Qtd]]*tItens[[#This Row],[Vlr unit]]</f>
        <v>1136</v>
      </c>
      <c r="L5811" s="6">
        <f>IFERROR(IF(INDEX(tProdutos[Desconto homologado],MATCH(tItens[[#This Row],[Produto]],tProdutos[Produto],0))="",DescontoPadrao,INDEX(tProdutos[Desconto homologado],MATCH(tItens[[#This Row],[Produto]],tProdutos[Produto],0))),DescontoPadrao)</f>
        <v>0.33093491191658198</v>
      </c>
      <c r="M5811" s="12">
        <f>tItens[[#This Row],[Valor]]*(1-tItens[[#This Row],[Desconto]])</f>
        <v>760.0579400627629</v>
      </c>
      <c r="N5811" t="str">
        <f>IFERROR(INDEX(tProdutos[Foco],MATCH(tItens[[#This Row],[Produto]],tProdutos[Produto],0)),"Não")</f>
        <v>Não</v>
      </c>
      <c r="O5811" t="str">
        <f>IFERROR(INDEX(tEditais[SRP],MATCH(tItens[[#This Row],[Edital]],tEditais[Edital],0)),"Não")</f>
        <v>Sim</v>
      </c>
      <c r="P5811" s="4">
        <f>IF(COUNTIFS(INDEX(tItens[Edital],1):tItens[[#This Row],[Edital]],tItens[[#This Row],[Edital]],INDEX(tItens[Produto],1):tItens[[#This Row],[Produto]],tItens[[#This Row],[Produto]])=1,1,0)</f>
        <v>0</v>
      </c>
    </row>
    <row r="5812" spans="1:16" x14ac:dyDescent="0.25">
      <c r="A5812" t="s">
        <v>2071</v>
      </c>
      <c r="B5812">
        <v>64</v>
      </c>
      <c r="C5812" t="s">
        <v>4117</v>
      </c>
      <c r="D5812" t="s">
        <v>75</v>
      </c>
      <c r="E5812" s="13">
        <v>4000</v>
      </c>
      <c r="F5812" s="12">
        <v>3.36</v>
      </c>
      <c r="G5812" t="str">
        <f>IFERROR(INDEX(tEditais[Órgão],MATCH(tItens[[#This Row],[Edital]],tEditais[Edital],0)),"")</f>
        <v>MUNICIPIO DE JACAREZINHO</v>
      </c>
      <c r="H5812" t="str">
        <f>IFERROR(INDEX(tEditais[UF],MATCH(tItens[[#This Row],[Edital]],tEditais[Edital],0)),"")</f>
        <v>PR</v>
      </c>
      <c r="I5812" s="11">
        <f>IFERROR(INDEX(tEditais[Encerramento],MATCH(tItens[[#This Row],[Edital]],tEditais[Edital],0)),"")</f>
        <v>46309.375</v>
      </c>
      <c r="J5812" t="str">
        <f>IFERROR(INDEX(tProdutos[Classe],MATCH(tItens[[#This Row],[Produto]],tProdutos[Produto],0)),"produto não cadastrado")</f>
        <v>NÚCLEO</v>
      </c>
      <c r="K5812" s="12">
        <f>tItens[[#This Row],[Qtd]]*tItens[[#This Row],[Vlr unit]]</f>
        <v>13440</v>
      </c>
      <c r="L5812" s="6">
        <f>IFERROR(IF(INDEX(tProdutos[Desconto homologado],MATCH(tItens[[#This Row],[Produto]],tProdutos[Produto],0))="",DescontoPadrao,INDEX(tProdutos[Desconto homologado],MATCH(tItens[[#This Row],[Produto]],tProdutos[Produto],0))),DescontoPadrao)</f>
        <v>0.26</v>
      </c>
      <c r="M5812" s="12">
        <f>tItens[[#This Row],[Valor]]*(1-tItens[[#This Row],[Desconto]])</f>
        <v>9945.6</v>
      </c>
      <c r="N5812" t="str">
        <f>IFERROR(INDEX(tProdutos[Foco],MATCH(tItens[[#This Row],[Produto]],tProdutos[Produto],0)),"Não")</f>
        <v>Sim</v>
      </c>
      <c r="O5812" t="str">
        <f>IFERROR(INDEX(tEditais[SRP],MATCH(tItens[[#This Row],[Edital]],tEditais[Edital],0)),"Não")</f>
        <v>Sim</v>
      </c>
      <c r="P5812" s="4">
        <f>IF(COUNTIFS(INDEX(tItens[Edital],1):tItens[[#This Row],[Edital]],tItens[[#This Row],[Edital]],INDEX(tItens[Produto],1):tItens[[#This Row],[Produto]],tItens[[#This Row],[Produto]])=1,1,0)</f>
        <v>1</v>
      </c>
    </row>
    <row r="5813" spans="1:16" x14ac:dyDescent="0.25">
      <c r="A5813" t="s">
        <v>2071</v>
      </c>
      <c r="B5813">
        <v>65</v>
      </c>
      <c r="C5813" t="s">
        <v>8585</v>
      </c>
      <c r="D5813" t="s">
        <v>75</v>
      </c>
      <c r="E5813" s="13">
        <v>200</v>
      </c>
      <c r="F5813" s="12">
        <v>2.91</v>
      </c>
      <c r="G5813" t="str">
        <f>IFERROR(INDEX(tEditais[Órgão],MATCH(tItens[[#This Row],[Edital]],tEditais[Edital],0)),"")</f>
        <v>MUNICIPIO DE JACAREZINHO</v>
      </c>
      <c r="H5813" t="str">
        <f>IFERROR(INDEX(tEditais[UF],MATCH(tItens[[#This Row],[Edital]],tEditais[Edital],0)),"")</f>
        <v>PR</v>
      </c>
      <c r="I5813" s="11">
        <f>IFERROR(INDEX(tEditais[Encerramento],MATCH(tItens[[#This Row],[Edital]],tEditais[Edital],0)),"")</f>
        <v>46309.375</v>
      </c>
      <c r="J5813" t="str">
        <f>IFERROR(INDEX(tProdutos[Classe],MATCH(tItens[[#This Row],[Produto]],tProdutos[Produto],0)),"produto não cadastrado")</f>
        <v>NÚCLEO</v>
      </c>
      <c r="K5813" s="12">
        <f>tItens[[#This Row],[Qtd]]*tItens[[#This Row],[Vlr unit]]</f>
        <v>582</v>
      </c>
      <c r="L5813" s="6">
        <f>IFERROR(IF(INDEX(tProdutos[Desconto homologado],MATCH(tItens[[#This Row],[Produto]],tProdutos[Produto],0))="",DescontoPadrao,INDEX(tProdutos[Desconto homologado],MATCH(tItens[[#This Row],[Produto]],tProdutos[Produto],0))),DescontoPadrao)</f>
        <v>0.26</v>
      </c>
      <c r="M5813" s="12">
        <f>tItens[[#This Row],[Valor]]*(1-tItens[[#This Row],[Desconto]])</f>
        <v>430.68</v>
      </c>
      <c r="N5813" t="str">
        <f>IFERROR(INDEX(tProdutos[Foco],MATCH(tItens[[#This Row],[Produto]],tProdutos[Produto],0)),"Não")</f>
        <v>Sim</v>
      </c>
      <c r="O5813" t="str">
        <f>IFERROR(INDEX(tEditais[SRP],MATCH(tItens[[#This Row],[Edital]],tEditais[Edital],0)),"Não")</f>
        <v>Sim</v>
      </c>
      <c r="P5813" s="4">
        <f>IF(COUNTIFS(INDEX(tItens[Edital],1):tItens[[#This Row],[Edital]],tItens[[#This Row],[Edital]],INDEX(tItens[Produto],1):tItens[[#This Row],[Produto]],tItens[[#This Row],[Produto]])=1,1,0)</f>
        <v>0</v>
      </c>
    </row>
    <row r="5814" spans="1:16" x14ac:dyDescent="0.25">
      <c r="A5814" t="s">
        <v>2071</v>
      </c>
      <c r="B5814">
        <v>66</v>
      </c>
      <c r="C5814" t="s">
        <v>8586</v>
      </c>
      <c r="D5814" t="s">
        <v>75</v>
      </c>
      <c r="E5814" s="13">
        <v>6500</v>
      </c>
      <c r="F5814" s="12">
        <v>2.61</v>
      </c>
      <c r="G5814" t="str">
        <f>IFERROR(INDEX(tEditais[Órgão],MATCH(tItens[[#This Row],[Edital]],tEditais[Edital],0)),"")</f>
        <v>MUNICIPIO DE JACAREZINHO</v>
      </c>
      <c r="H5814" t="str">
        <f>IFERROR(INDEX(tEditais[UF],MATCH(tItens[[#This Row],[Edital]],tEditais[Edital],0)),"")</f>
        <v>PR</v>
      </c>
      <c r="I5814" s="11">
        <f>IFERROR(INDEX(tEditais[Encerramento],MATCH(tItens[[#This Row],[Edital]],tEditais[Edital],0)),"")</f>
        <v>46309.375</v>
      </c>
      <c r="J5814" t="str">
        <f>IFERROR(INDEX(tProdutos[Classe],MATCH(tItens[[#This Row],[Produto]],tProdutos[Produto],0)),"produto não cadastrado")</f>
        <v>NÚCLEO</v>
      </c>
      <c r="K5814" s="12">
        <f>tItens[[#This Row],[Qtd]]*tItens[[#This Row],[Vlr unit]]</f>
        <v>16965</v>
      </c>
      <c r="L5814" s="6">
        <f>IFERROR(IF(INDEX(tProdutos[Desconto homologado],MATCH(tItens[[#This Row],[Produto]],tProdutos[Produto],0))="",DescontoPadrao,INDEX(tProdutos[Desconto homologado],MATCH(tItens[[#This Row],[Produto]],tProdutos[Produto],0))),DescontoPadrao)</f>
        <v>0.26</v>
      </c>
      <c r="M5814" s="12">
        <f>tItens[[#This Row],[Valor]]*(1-tItens[[#This Row],[Desconto]])</f>
        <v>12554.1</v>
      </c>
      <c r="N5814" t="str">
        <f>IFERROR(INDEX(tProdutos[Foco],MATCH(tItens[[#This Row],[Produto]],tProdutos[Produto],0)),"Não")</f>
        <v>Sim</v>
      </c>
      <c r="O5814" t="str">
        <f>IFERROR(INDEX(tEditais[SRP],MATCH(tItens[[#This Row],[Edital]],tEditais[Edital],0)),"Não")</f>
        <v>Sim</v>
      </c>
      <c r="P5814" s="4">
        <f>IF(COUNTIFS(INDEX(tItens[Edital],1):tItens[[#This Row],[Edital]],tItens[[#This Row],[Edital]],INDEX(tItens[Produto],1):tItens[[#This Row],[Produto]],tItens[[#This Row],[Produto]])=1,1,0)</f>
        <v>0</v>
      </c>
    </row>
    <row r="5815" spans="1:16" x14ac:dyDescent="0.25">
      <c r="A5815" t="s">
        <v>2071</v>
      </c>
      <c r="B5815">
        <v>70</v>
      </c>
      <c r="C5815" t="s">
        <v>3336</v>
      </c>
      <c r="D5815" t="s">
        <v>375</v>
      </c>
      <c r="E5815" s="13">
        <v>50</v>
      </c>
      <c r="F5815" s="12">
        <v>44.54</v>
      </c>
      <c r="G5815" t="str">
        <f>IFERROR(INDEX(tEditais[Órgão],MATCH(tItens[[#This Row],[Edital]],tEditais[Edital],0)),"")</f>
        <v>MUNICIPIO DE JACAREZINHO</v>
      </c>
      <c r="H5815" t="str">
        <f>IFERROR(INDEX(tEditais[UF],MATCH(tItens[[#This Row],[Edital]],tEditais[Edital],0)),"")</f>
        <v>PR</v>
      </c>
      <c r="I5815" s="11">
        <f>IFERROR(INDEX(tEditais[Encerramento],MATCH(tItens[[#This Row],[Edital]],tEditais[Edital],0)),"")</f>
        <v>46309.375</v>
      </c>
      <c r="J5815" t="str">
        <f>IFERROR(INDEX(tProdutos[Classe],MATCH(tItens[[#This Row],[Produto]],tProdutos[Produto],0)),"produto não cadastrado")</f>
        <v>FORA</v>
      </c>
      <c r="K5815" s="12">
        <f>tItens[[#This Row],[Qtd]]*tItens[[#This Row],[Vlr unit]]</f>
        <v>2227</v>
      </c>
      <c r="L5815" s="6">
        <f>IFERROR(IF(INDEX(tProdutos[Desconto homologado],MATCH(tItens[[#This Row],[Produto]],tProdutos[Produto],0))="",DescontoPadrao,INDEX(tProdutos[Desconto homologado],MATCH(tItens[[#This Row],[Produto]],tProdutos[Produto],0))),DescontoPadrao)</f>
        <v>0.25005895299481201</v>
      </c>
      <c r="M5815" s="12">
        <f>tItens[[#This Row],[Valor]]*(1-tItens[[#This Row],[Desconto]])</f>
        <v>1670.1187116805536</v>
      </c>
      <c r="N5815" t="str">
        <f>IFERROR(INDEX(tProdutos[Foco],MATCH(tItens[[#This Row],[Produto]],tProdutos[Produto],0)),"Não")</f>
        <v>Não</v>
      </c>
      <c r="O5815" t="str">
        <f>IFERROR(INDEX(tEditais[SRP],MATCH(tItens[[#This Row],[Edital]],tEditais[Edital],0)),"Não")</f>
        <v>Sim</v>
      </c>
      <c r="P5815" s="4">
        <f>IF(COUNTIFS(INDEX(tItens[Edital],1):tItens[[#This Row],[Edital]],tItens[[#This Row],[Edital]],INDEX(tItens[Produto],1):tItens[[#This Row],[Produto]],tItens[[#This Row],[Produto]])=1,1,0)</f>
        <v>1</v>
      </c>
    </row>
    <row r="5816" spans="1:16" x14ac:dyDescent="0.25">
      <c r="A5816" t="s">
        <v>2071</v>
      </c>
      <c r="B5816">
        <v>71</v>
      </c>
      <c r="C5816" t="s">
        <v>8587</v>
      </c>
      <c r="D5816" t="s">
        <v>461</v>
      </c>
      <c r="E5816" s="13">
        <v>50</v>
      </c>
      <c r="F5816" s="12">
        <v>37.840000000000003</v>
      </c>
      <c r="G5816" t="str">
        <f>IFERROR(INDEX(tEditais[Órgão],MATCH(tItens[[#This Row],[Edital]],tEditais[Edital],0)),"")</f>
        <v>MUNICIPIO DE JACAREZINHO</v>
      </c>
      <c r="H5816" t="str">
        <f>IFERROR(INDEX(tEditais[UF],MATCH(tItens[[#This Row],[Edital]],tEditais[Edital],0)),"")</f>
        <v>PR</v>
      </c>
      <c r="I5816" s="11">
        <f>IFERROR(INDEX(tEditais[Encerramento],MATCH(tItens[[#This Row],[Edital]],tEditais[Edital],0)),"")</f>
        <v>46309.375</v>
      </c>
      <c r="J5816" t="str">
        <f>IFERROR(INDEX(tProdutos[Classe],MATCH(tItens[[#This Row],[Produto]],tProdutos[Produto],0)),"produto não cadastrado")</f>
        <v>FILA REBASE</v>
      </c>
      <c r="K5816" s="12">
        <f>tItens[[#This Row],[Qtd]]*tItens[[#This Row],[Vlr unit]]</f>
        <v>1892.0000000000002</v>
      </c>
      <c r="L5816" s="6">
        <f>IFERROR(IF(INDEX(tProdutos[Desconto homologado],MATCH(tItens[[#This Row],[Produto]],tProdutos[Produto],0))="",DescontoPadrao,INDEX(tProdutos[Desconto homologado],MATCH(tItens[[#This Row],[Produto]],tProdutos[Produto],0))),DescontoPadrao)</f>
        <v>0.44096385542168698</v>
      </c>
      <c r="M5816" s="12">
        <f>tItens[[#This Row],[Valor]]*(1-tItens[[#This Row],[Desconto]])</f>
        <v>1057.6963855421682</v>
      </c>
      <c r="N5816" t="str">
        <f>IFERROR(INDEX(tProdutos[Foco],MATCH(tItens[[#This Row],[Produto]],tProdutos[Produto],0)),"Não")</f>
        <v>Não</v>
      </c>
      <c r="O5816" t="str">
        <f>IFERROR(INDEX(tEditais[SRP],MATCH(tItens[[#This Row],[Edital]],tEditais[Edital],0)),"Não")</f>
        <v>Sim</v>
      </c>
      <c r="P5816" s="4">
        <f>IF(COUNTIFS(INDEX(tItens[Edital],1):tItens[[#This Row],[Edital]],tItens[[#This Row],[Edital]],INDEX(tItens[Produto],1):tItens[[#This Row],[Produto]],tItens[[#This Row],[Produto]])=1,1,0)</f>
        <v>1</v>
      </c>
    </row>
    <row r="5817" spans="1:16" x14ac:dyDescent="0.25">
      <c r="A5817" t="s">
        <v>2071</v>
      </c>
      <c r="B5817">
        <v>72</v>
      </c>
      <c r="C5817" t="s">
        <v>8587</v>
      </c>
      <c r="D5817" t="s">
        <v>461</v>
      </c>
      <c r="E5817" s="13">
        <v>50</v>
      </c>
      <c r="F5817" s="12">
        <v>42.31</v>
      </c>
      <c r="G5817" t="str">
        <f>IFERROR(INDEX(tEditais[Órgão],MATCH(tItens[[#This Row],[Edital]],tEditais[Edital],0)),"")</f>
        <v>MUNICIPIO DE JACAREZINHO</v>
      </c>
      <c r="H5817" t="str">
        <f>IFERROR(INDEX(tEditais[UF],MATCH(tItens[[#This Row],[Edital]],tEditais[Edital],0)),"")</f>
        <v>PR</v>
      </c>
      <c r="I5817" s="11">
        <f>IFERROR(INDEX(tEditais[Encerramento],MATCH(tItens[[#This Row],[Edital]],tEditais[Edital],0)),"")</f>
        <v>46309.375</v>
      </c>
      <c r="J5817" t="str">
        <f>IFERROR(INDEX(tProdutos[Classe],MATCH(tItens[[#This Row],[Produto]],tProdutos[Produto],0)),"produto não cadastrado")</f>
        <v>FILA REBASE</v>
      </c>
      <c r="K5817" s="12">
        <f>tItens[[#This Row],[Qtd]]*tItens[[#This Row],[Vlr unit]]</f>
        <v>2115.5</v>
      </c>
      <c r="L5817" s="6">
        <f>IFERROR(IF(INDEX(tProdutos[Desconto homologado],MATCH(tItens[[#This Row],[Produto]],tProdutos[Produto],0))="",DescontoPadrao,INDEX(tProdutos[Desconto homologado],MATCH(tItens[[#This Row],[Produto]],tProdutos[Produto],0))),DescontoPadrao)</f>
        <v>0.44096385542168698</v>
      </c>
      <c r="M5817" s="12">
        <f>tItens[[#This Row],[Valor]]*(1-tItens[[#This Row],[Desconto]])</f>
        <v>1182.640963855421</v>
      </c>
      <c r="N5817" t="str">
        <f>IFERROR(INDEX(tProdutos[Foco],MATCH(tItens[[#This Row],[Produto]],tProdutos[Produto],0)),"Não")</f>
        <v>Não</v>
      </c>
      <c r="O5817" t="str">
        <f>IFERROR(INDEX(tEditais[SRP],MATCH(tItens[[#This Row],[Edital]],tEditais[Edital],0)),"Não")</f>
        <v>Sim</v>
      </c>
      <c r="P5817" s="4">
        <f>IF(COUNTIFS(INDEX(tItens[Edital],1):tItens[[#This Row],[Edital]],tItens[[#This Row],[Edital]],INDEX(tItens[Produto],1):tItens[[#This Row],[Produto]],tItens[[#This Row],[Produto]])=1,1,0)</f>
        <v>0</v>
      </c>
    </row>
    <row r="5818" spans="1:16" x14ac:dyDescent="0.25">
      <c r="A5818" t="s">
        <v>2071</v>
      </c>
      <c r="B5818">
        <v>73</v>
      </c>
      <c r="C5818" t="s">
        <v>8588</v>
      </c>
      <c r="D5818" t="s">
        <v>77</v>
      </c>
      <c r="E5818" s="13">
        <v>1120</v>
      </c>
      <c r="F5818" s="12">
        <v>8.42</v>
      </c>
      <c r="G5818" t="str">
        <f>IFERROR(INDEX(tEditais[Órgão],MATCH(tItens[[#This Row],[Edital]],tEditais[Edital],0)),"")</f>
        <v>MUNICIPIO DE JACAREZINHO</v>
      </c>
      <c r="H5818" t="str">
        <f>IFERROR(INDEX(tEditais[UF],MATCH(tItens[[#This Row],[Edital]],tEditais[Edital],0)),"")</f>
        <v>PR</v>
      </c>
      <c r="I5818" s="11">
        <f>IFERROR(INDEX(tEditais[Encerramento],MATCH(tItens[[#This Row],[Edital]],tEditais[Edital],0)),"")</f>
        <v>46309.375</v>
      </c>
      <c r="J5818" t="str">
        <f>IFERROR(INDEX(tProdutos[Classe],MATCH(tItens[[#This Row],[Produto]],tProdutos[Produto],0)),"produto não cadastrado")</f>
        <v>DISPUTADO</v>
      </c>
      <c r="K5818" s="12">
        <f>tItens[[#This Row],[Qtd]]*tItens[[#This Row],[Vlr unit]]</f>
        <v>9430.4</v>
      </c>
      <c r="L5818" s="6">
        <f>IFERROR(IF(INDEX(tProdutos[Desconto homologado],MATCH(tItens[[#This Row],[Produto]],tProdutos[Produto],0))="",DescontoPadrao,INDEX(tProdutos[Desconto homologado],MATCH(tItens[[#This Row],[Produto]],tProdutos[Produto],0))),DescontoPadrao)</f>
        <v>0.33</v>
      </c>
      <c r="M5818" s="12">
        <f>tItens[[#This Row],[Valor]]*(1-tItens[[#This Row],[Desconto]])</f>
        <v>6318.3679999999995</v>
      </c>
      <c r="N5818" t="str">
        <f>IFERROR(INDEX(tProdutos[Foco],MATCH(tItens[[#This Row],[Produto]],tProdutos[Produto],0)),"Não")</f>
        <v>Sim</v>
      </c>
      <c r="O5818" t="str">
        <f>IFERROR(INDEX(tEditais[SRP],MATCH(tItens[[#This Row],[Edital]],tEditais[Edital],0)),"Não")</f>
        <v>Sim</v>
      </c>
      <c r="P5818" s="4">
        <f>IF(COUNTIFS(INDEX(tItens[Edital],1):tItens[[#This Row],[Edital]],tItens[[#This Row],[Edital]],INDEX(tItens[Produto],1):tItens[[#This Row],[Produto]],tItens[[#This Row],[Produto]])=1,1,0)</f>
        <v>1</v>
      </c>
    </row>
    <row r="5819" spans="1:16" x14ac:dyDescent="0.25">
      <c r="A5819" t="s">
        <v>2071</v>
      </c>
      <c r="B5819">
        <v>75</v>
      </c>
      <c r="C5819" t="s">
        <v>8588</v>
      </c>
      <c r="D5819" t="s">
        <v>77</v>
      </c>
      <c r="E5819" s="13">
        <v>140</v>
      </c>
      <c r="F5819" s="12">
        <v>11.4</v>
      </c>
      <c r="G5819" t="str">
        <f>IFERROR(INDEX(tEditais[Órgão],MATCH(tItens[[#This Row],[Edital]],tEditais[Edital],0)),"")</f>
        <v>MUNICIPIO DE JACAREZINHO</v>
      </c>
      <c r="H5819" t="str">
        <f>IFERROR(INDEX(tEditais[UF],MATCH(tItens[[#This Row],[Edital]],tEditais[Edital],0)),"")</f>
        <v>PR</v>
      </c>
      <c r="I5819" s="11">
        <f>IFERROR(INDEX(tEditais[Encerramento],MATCH(tItens[[#This Row],[Edital]],tEditais[Edital],0)),"")</f>
        <v>46309.375</v>
      </c>
      <c r="J5819" t="str">
        <f>IFERROR(INDEX(tProdutos[Classe],MATCH(tItens[[#This Row],[Produto]],tProdutos[Produto],0)),"produto não cadastrado")</f>
        <v>DISPUTADO</v>
      </c>
      <c r="K5819" s="12">
        <f>tItens[[#This Row],[Qtd]]*tItens[[#This Row],[Vlr unit]]</f>
        <v>1596</v>
      </c>
      <c r="L5819" s="6">
        <f>IFERROR(IF(INDEX(tProdutos[Desconto homologado],MATCH(tItens[[#This Row],[Produto]],tProdutos[Produto],0))="",DescontoPadrao,INDEX(tProdutos[Desconto homologado],MATCH(tItens[[#This Row],[Produto]],tProdutos[Produto],0))),DescontoPadrao)</f>
        <v>0.33</v>
      </c>
      <c r="M5819" s="12">
        <f>tItens[[#This Row],[Valor]]*(1-tItens[[#This Row],[Desconto]])</f>
        <v>1069.32</v>
      </c>
      <c r="N5819" t="str">
        <f>IFERROR(INDEX(tProdutos[Foco],MATCH(tItens[[#This Row],[Produto]],tProdutos[Produto],0)),"Não")</f>
        <v>Sim</v>
      </c>
      <c r="O5819" t="str">
        <f>IFERROR(INDEX(tEditais[SRP],MATCH(tItens[[#This Row],[Edital]],tEditais[Edital],0)),"Não")</f>
        <v>Sim</v>
      </c>
      <c r="P5819" s="4">
        <f>IF(COUNTIFS(INDEX(tItens[Edital],1):tItens[[#This Row],[Edital]],tItens[[#This Row],[Edital]],INDEX(tItens[Produto],1):tItens[[#This Row],[Produto]],tItens[[#This Row],[Produto]])=1,1,0)</f>
        <v>0</v>
      </c>
    </row>
    <row r="5820" spans="1:16" x14ac:dyDescent="0.25">
      <c r="A5820" t="s">
        <v>2071</v>
      </c>
      <c r="B5820">
        <v>76</v>
      </c>
      <c r="C5820" t="s">
        <v>8589</v>
      </c>
      <c r="D5820" t="s">
        <v>77</v>
      </c>
      <c r="E5820" s="13">
        <v>4320</v>
      </c>
      <c r="F5820" s="12">
        <v>8.52</v>
      </c>
      <c r="G5820" t="str">
        <f>IFERROR(INDEX(tEditais[Órgão],MATCH(tItens[[#This Row],[Edital]],tEditais[Edital],0)),"")</f>
        <v>MUNICIPIO DE JACAREZINHO</v>
      </c>
      <c r="H5820" t="str">
        <f>IFERROR(INDEX(tEditais[UF],MATCH(tItens[[#This Row],[Edital]],tEditais[Edital],0)),"")</f>
        <v>PR</v>
      </c>
      <c r="I5820" s="11">
        <f>IFERROR(INDEX(tEditais[Encerramento],MATCH(tItens[[#This Row],[Edital]],tEditais[Edital],0)),"")</f>
        <v>46309.375</v>
      </c>
      <c r="J5820" t="str">
        <f>IFERROR(INDEX(tProdutos[Classe],MATCH(tItens[[#This Row],[Produto]],tProdutos[Produto],0)),"produto não cadastrado")</f>
        <v>DISPUTADO</v>
      </c>
      <c r="K5820" s="12">
        <f>tItens[[#This Row],[Qtd]]*tItens[[#This Row],[Vlr unit]]</f>
        <v>36806.400000000001</v>
      </c>
      <c r="L5820" s="6">
        <f>IFERROR(IF(INDEX(tProdutos[Desconto homologado],MATCH(tItens[[#This Row],[Produto]],tProdutos[Produto],0))="",DescontoPadrao,INDEX(tProdutos[Desconto homologado],MATCH(tItens[[#This Row],[Produto]],tProdutos[Produto],0))),DescontoPadrao)</f>
        <v>0.33</v>
      </c>
      <c r="M5820" s="12">
        <f>tItens[[#This Row],[Valor]]*(1-tItens[[#This Row],[Desconto]])</f>
        <v>24660.287999999997</v>
      </c>
      <c r="N5820" t="str">
        <f>IFERROR(INDEX(tProdutos[Foco],MATCH(tItens[[#This Row],[Produto]],tProdutos[Produto],0)),"Não")</f>
        <v>Sim</v>
      </c>
      <c r="O5820" t="str">
        <f>IFERROR(INDEX(tEditais[SRP],MATCH(tItens[[#This Row],[Edital]],tEditais[Edital],0)),"Não")</f>
        <v>Sim</v>
      </c>
      <c r="P5820" s="4">
        <f>IF(COUNTIFS(INDEX(tItens[Edital],1):tItens[[#This Row],[Edital]],tItens[[#This Row],[Edital]],INDEX(tItens[Produto],1):tItens[[#This Row],[Produto]],tItens[[#This Row],[Produto]])=1,1,0)</f>
        <v>0</v>
      </c>
    </row>
    <row r="5821" spans="1:16" x14ac:dyDescent="0.25">
      <c r="A5821" t="s">
        <v>2071</v>
      </c>
      <c r="B5821">
        <v>77</v>
      </c>
      <c r="C5821" t="s">
        <v>7719</v>
      </c>
      <c r="D5821" t="s">
        <v>77</v>
      </c>
      <c r="E5821" s="13">
        <v>2520</v>
      </c>
      <c r="F5821" s="12">
        <v>8.26</v>
      </c>
      <c r="G5821" t="str">
        <f>IFERROR(INDEX(tEditais[Órgão],MATCH(tItens[[#This Row],[Edital]],tEditais[Edital],0)),"")</f>
        <v>MUNICIPIO DE JACAREZINHO</v>
      </c>
      <c r="H5821" t="str">
        <f>IFERROR(INDEX(tEditais[UF],MATCH(tItens[[#This Row],[Edital]],tEditais[Edital],0)),"")</f>
        <v>PR</v>
      </c>
      <c r="I5821" s="11">
        <f>IFERROR(INDEX(tEditais[Encerramento],MATCH(tItens[[#This Row],[Edital]],tEditais[Edital],0)),"")</f>
        <v>46309.375</v>
      </c>
      <c r="J5821" t="str">
        <f>IFERROR(INDEX(tProdutos[Classe],MATCH(tItens[[#This Row],[Produto]],tProdutos[Produto],0)),"produto não cadastrado")</f>
        <v>DISPUTADO</v>
      </c>
      <c r="K5821" s="12">
        <f>tItens[[#This Row],[Qtd]]*tItens[[#This Row],[Vlr unit]]</f>
        <v>20815.2</v>
      </c>
      <c r="L5821" s="6">
        <f>IFERROR(IF(INDEX(tProdutos[Desconto homologado],MATCH(tItens[[#This Row],[Produto]],tProdutos[Produto],0))="",DescontoPadrao,INDEX(tProdutos[Desconto homologado],MATCH(tItens[[#This Row],[Produto]],tProdutos[Produto],0))),DescontoPadrao)</f>
        <v>0.33</v>
      </c>
      <c r="M5821" s="12">
        <f>tItens[[#This Row],[Valor]]*(1-tItens[[#This Row],[Desconto]])</f>
        <v>13946.183999999999</v>
      </c>
      <c r="N5821" t="str">
        <f>IFERROR(INDEX(tProdutos[Foco],MATCH(tItens[[#This Row],[Produto]],tProdutos[Produto],0)),"Não")</f>
        <v>Sim</v>
      </c>
      <c r="O5821" t="str">
        <f>IFERROR(INDEX(tEditais[SRP],MATCH(tItens[[#This Row],[Edital]],tEditais[Edital],0)),"Não")</f>
        <v>Sim</v>
      </c>
      <c r="P5821" s="4">
        <f>IF(COUNTIFS(INDEX(tItens[Edital],1):tItens[[#This Row],[Edital]],tItens[[#This Row],[Edital]],INDEX(tItens[Produto],1):tItens[[#This Row],[Produto]],tItens[[#This Row],[Produto]])=1,1,0)</f>
        <v>0</v>
      </c>
    </row>
    <row r="5822" spans="1:16" x14ac:dyDescent="0.25">
      <c r="A5822" t="s">
        <v>2071</v>
      </c>
      <c r="B5822">
        <v>90</v>
      </c>
      <c r="C5822" t="s">
        <v>4209</v>
      </c>
      <c r="D5822" t="s">
        <v>56</v>
      </c>
      <c r="E5822" s="13">
        <v>40</v>
      </c>
      <c r="F5822" s="12">
        <v>34.840000000000003</v>
      </c>
      <c r="G5822" t="str">
        <f>IFERROR(INDEX(tEditais[Órgão],MATCH(tItens[[#This Row],[Edital]],tEditais[Edital],0)),"")</f>
        <v>MUNICIPIO DE JACAREZINHO</v>
      </c>
      <c r="H5822" t="str">
        <f>IFERROR(INDEX(tEditais[UF],MATCH(tItens[[#This Row],[Edital]],tEditais[Edital],0)),"")</f>
        <v>PR</v>
      </c>
      <c r="I5822" s="11">
        <f>IFERROR(INDEX(tEditais[Encerramento],MATCH(tItens[[#This Row],[Edital]],tEditais[Edital],0)),"")</f>
        <v>46309.375</v>
      </c>
      <c r="J5822" t="str">
        <f>IFERROR(INDEX(tProdutos[Classe],MATCH(tItens[[#This Row],[Produto]],tProdutos[Produto],0)),"produto não cadastrado")</f>
        <v>NÚCLEO</v>
      </c>
      <c r="K5822" s="12">
        <f>tItens[[#This Row],[Qtd]]*tItens[[#This Row],[Vlr unit]]</f>
        <v>1393.6000000000001</v>
      </c>
      <c r="L5822" s="6">
        <f>IFERROR(IF(INDEX(tProdutos[Desconto homologado],MATCH(tItens[[#This Row],[Produto]],tProdutos[Produto],0))="",DescontoPadrao,INDEX(tProdutos[Desconto homologado],MATCH(tItens[[#This Row],[Produto]],tProdutos[Produto],0))),DescontoPadrao)</f>
        <v>0.34</v>
      </c>
      <c r="M5822" s="12">
        <f>tItens[[#This Row],[Valor]]*(1-tItens[[#This Row],[Desconto]])</f>
        <v>919.77599999999995</v>
      </c>
      <c r="N5822" t="str">
        <f>IFERROR(INDEX(tProdutos[Foco],MATCH(tItens[[#This Row],[Produto]],tProdutos[Produto],0)),"Não")</f>
        <v>Sim</v>
      </c>
      <c r="O5822" t="str">
        <f>IFERROR(INDEX(tEditais[SRP],MATCH(tItens[[#This Row],[Edital]],tEditais[Edital],0)),"Não")</f>
        <v>Sim</v>
      </c>
      <c r="P5822" s="4">
        <f>IF(COUNTIFS(INDEX(tItens[Edital],1):tItens[[#This Row],[Edital]],tItens[[#This Row],[Edital]],INDEX(tItens[Produto],1):tItens[[#This Row],[Produto]],tItens[[#This Row],[Produto]])=1,1,0)</f>
        <v>1</v>
      </c>
    </row>
    <row r="5823" spans="1:16" x14ac:dyDescent="0.25">
      <c r="A5823" t="s">
        <v>2071</v>
      </c>
      <c r="B5823">
        <v>91</v>
      </c>
      <c r="C5823" t="s">
        <v>3484</v>
      </c>
      <c r="D5823" t="s">
        <v>56</v>
      </c>
      <c r="E5823" s="13">
        <v>42</v>
      </c>
      <c r="F5823" s="12">
        <v>43.19</v>
      </c>
      <c r="G5823" t="str">
        <f>IFERROR(INDEX(tEditais[Órgão],MATCH(tItens[[#This Row],[Edital]],tEditais[Edital],0)),"")</f>
        <v>MUNICIPIO DE JACAREZINHO</v>
      </c>
      <c r="H5823" t="str">
        <f>IFERROR(INDEX(tEditais[UF],MATCH(tItens[[#This Row],[Edital]],tEditais[Edital],0)),"")</f>
        <v>PR</v>
      </c>
      <c r="I5823" s="11">
        <f>IFERROR(INDEX(tEditais[Encerramento],MATCH(tItens[[#This Row],[Edital]],tEditais[Edital],0)),"")</f>
        <v>46309.375</v>
      </c>
      <c r="J5823" t="str">
        <f>IFERROR(INDEX(tProdutos[Classe],MATCH(tItens[[#This Row],[Produto]],tProdutos[Produto],0)),"produto não cadastrado")</f>
        <v>NÚCLEO</v>
      </c>
      <c r="K5823" s="12">
        <f>tItens[[#This Row],[Qtd]]*tItens[[#This Row],[Vlr unit]]</f>
        <v>1813.98</v>
      </c>
      <c r="L5823" s="6">
        <f>IFERROR(IF(INDEX(tProdutos[Desconto homologado],MATCH(tItens[[#This Row],[Produto]],tProdutos[Produto],0))="",DescontoPadrao,INDEX(tProdutos[Desconto homologado],MATCH(tItens[[#This Row],[Produto]],tProdutos[Produto],0))),DescontoPadrao)</f>
        <v>0.34</v>
      </c>
      <c r="M5823" s="12">
        <f>tItens[[#This Row],[Valor]]*(1-tItens[[#This Row],[Desconto]])</f>
        <v>1197.2267999999999</v>
      </c>
      <c r="N5823" t="str">
        <f>IFERROR(INDEX(tProdutos[Foco],MATCH(tItens[[#This Row],[Produto]],tProdutos[Produto],0)),"Não")</f>
        <v>Sim</v>
      </c>
      <c r="O5823" t="str">
        <f>IFERROR(INDEX(tEditais[SRP],MATCH(tItens[[#This Row],[Edital]],tEditais[Edital],0)),"Não")</f>
        <v>Sim</v>
      </c>
      <c r="P5823" s="4">
        <f>IF(COUNTIFS(INDEX(tItens[Edital],1):tItens[[#This Row],[Edital]],tItens[[#This Row],[Edital]],INDEX(tItens[Produto],1):tItens[[#This Row],[Produto]],tItens[[#This Row],[Produto]])=1,1,0)</f>
        <v>0</v>
      </c>
    </row>
    <row r="5824" spans="1:16" x14ac:dyDescent="0.25">
      <c r="A5824" t="s">
        <v>2071</v>
      </c>
      <c r="B5824">
        <v>92</v>
      </c>
      <c r="C5824" t="s">
        <v>4208</v>
      </c>
      <c r="D5824" t="s">
        <v>56</v>
      </c>
      <c r="E5824" s="13">
        <v>30</v>
      </c>
      <c r="F5824" s="12">
        <v>31.32</v>
      </c>
      <c r="G5824" t="str">
        <f>IFERROR(INDEX(tEditais[Órgão],MATCH(tItens[[#This Row],[Edital]],tEditais[Edital],0)),"")</f>
        <v>MUNICIPIO DE JACAREZINHO</v>
      </c>
      <c r="H5824" t="str">
        <f>IFERROR(INDEX(tEditais[UF],MATCH(tItens[[#This Row],[Edital]],tEditais[Edital],0)),"")</f>
        <v>PR</v>
      </c>
      <c r="I5824" s="11">
        <f>IFERROR(INDEX(tEditais[Encerramento],MATCH(tItens[[#This Row],[Edital]],tEditais[Edital],0)),"")</f>
        <v>46309.375</v>
      </c>
      <c r="J5824" t="str">
        <f>IFERROR(INDEX(tProdutos[Classe],MATCH(tItens[[#This Row],[Produto]],tProdutos[Produto],0)),"produto não cadastrado")</f>
        <v>NÚCLEO</v>
      </c>
      <c r="K5824" s="12">
        <f>tItens[[#This Row],[Qtd]]*tItens[[#This Row],[Vlr unit]]</f>
        <v>939.6</v>
      </c>
      <c r="L5824" s="6">
        <f>IFERROR(IF(INDEX(tProdutos[Desconto homologado],MATCH(tItens[[#This Row],[Produto]],tProdutos[Produto],0))="",DescontoPadrao,INDEX(tProdutos[Desconto homologado],MATCH(tItens[[#This Row],[Produto]],tProdutos[Produto],0))),DescontoPadrao)</f>
        <v>0.34</v>
      </c>
      <c r="M5824" s="12">
        <f>tItens[[#This Row],[Valor]]*(1-tItens[[#This Row],[Desconto]])</f>
        <v>620.13599999999997</v>
      </c>
      <c r="N5824" t="str">
        <f>IFERROR(INDEX(tProdutos[Foco],MATCH(tItens[[#This Row],[Produto]],tProdutos[Produto],0)),"Não")</f>
        <v>Sim</v>
      </c>
      <c r="O5824" t="str">
        <f>IFERROR(INDEX(tEditais[SRP],MATCH(tItens[[#This Row],[Edital]],tEditais[Edital],0)),"Não")</f>
        <v>Sim</v>
      </c>
      <c r="P5824" s="4">
        <f>IF(COUNTIFS(INDEX(tItens[Edital],1):tItens[[#This Row],[Edital]],tItens[[#This Row],[Edital]],INDEX(tItens[Produto],1):tItens[[#This Row],[Produto]],tItens[[#This Row],[Produto]])=1,1,0)</f>
        <v>0</v>
      </c>
    </row>
    <row r="5825" spans="1:16" x14ac:dyDescent="0.25">
      <c r="A5825" t="s">
        <v>2071</v>
      </c>
      <c r="B5825">
        <v>94</v>
      </c>
      <c r="C5825" t="s">
        <v>8590</v>
      </c>
      <c r="D5825" t="s">
        <v>267</v>
      </c>
      <c r="E5825" s="13">
        <v>20</v>
      </c>
      <c r="F5825" s="12">
        <v>20.29</v>
      </c>
      <c r="G5825" t="str">
        <f>IFERROR(INDEX(tEditais[Órgão],MATCH(tItens[[#This Row],[Edital]],tEditais[Edital],0)),"")</f>
        <v>MUNICIPIO DE JACAREZINHO</v>
      </c>
      <c r="H5825" t="str">
        <f>IFERROR(INDEX(tEditais[UF],MATCH(tItens[[#This Row],[Edital]],tEditais[Edital],0)),"")</f>
        <v>PR</v>
      </c>
      <c r="I5825" s="11">
        <f>IFERROR(INDEX(tEditais[Encerramento],MATCH(tItens[[#This Row],[Edital]],tEditais[Edital],0)),"")</f>
        <v>46309.375</v>
      </c>
      <c r="J5825" t="str">
        <f>IFERROR(INDEX(tProdutos[Classe],MATCH(tItens[[#This Row],[Produto]],tProdutos[Produto],0)),"produto não cadastrado")</f>
        <v>FORA</v>
      </c>
      <c r="K5825" s="12">
        <f>tItens[[#This Row],[Qtd]]*tItens[[#This Row],[Vlr unit]]</f>
        <v>405.79999999999995</v>
      </c>
      <c r="L5825" s="6">
        <f>IFERROR(IF(INDEX(tProdutos[Desconto homologado],MATCH(tItens[[#This Row],[Produto]],tProdutos[Produto],0))="",DescontoPadrao,INDEX(tProdutos[Desconto homologado],MATCH(tItens[[#This Row],[Produto]],tProdutos[Produto],0))),DescontoPadrao)</f>
        <v>0.19963672657401599</v>
      </c>
      <c r="M5825" s="12">
        <f>tItens[[#This Row],[Valor]]*(1-tItens[[#This Row],[Desconto]])</f>
        <v>324.78741635626426</v>
      </c>
      <c r="N5825" t="str">
        <f>IFERROR(INDEX(tProdutos[Foco],MATCH(tItens[[#This Row],[Produto]],tProdutos[Produto],0)),"Não")</f>
        <v>Não</v>
      </c>
      <c r="O5825" t="str">
        <f>IFERROR(INDEX(tEditais[SRP],MATCH(tItens[[#This Row],[Edital]],tEditais[Edital],0)),"Não")</f>
        <v>Sim</v>
      </c>
      <c r="P5825" s="4">
        <f>IF(COUNTIFS(INDEX(tItens[Edital],1):tItens[[#This Row],[Edital]],tItens[[#This Row],[Edital]],INDEX(tItens[Produto],1):tItens[[#This Row],[Produto]],tItens[[#This Row],[Produto]])=1,1,0)</f>
        <v>1</v>
      </c>
    </row>
    <row r="5826" spans="1:16" x14ac:dyDescent="0.25">
      <c r="A5826" t="s">
        <v>2071</v>
      </c>
      <c r="B5826">
        <v>95</v>
      </c>
      <c r="C5826" t="s">
        <v>8591</v>
      </c>
      <c r="D5826" t="s">
        <v>413</v>
      </c>
      <c r="E5826" s="13">
        <v>45</v>
      </c>
      <c r="F5826" s="12">
        <v>316.38</v>
      </c>
      <c r="G5826" t="str">
        <f>IFERROR(INDEX(tEditais[Órgão],MATCH(tItens[[#This Row],[Edital]],tEditais[Edital],0)),"")</f>
        <v>MUNICIPIO DE JACAREZINHO</v>
      </c>
      <c r="H5826" t="str">
        <f>IFERROR(INDEX(tEditais[UF],MATCH(tItens[[#This Row],[Edital]],tEditais[Edital],0)),"")</f>
        <v>PR</v>
      </c>
      <c r="I5826" s="11">
        <f>IFERROR(INDEX(tEditais[Encerramento],MATCH(tItens[[#This Row],[Edital]],tEditais[Edital],0)),"")</f>
        <v>46309.375</v>
      </c>
      <c r="J5826" t="str">
        <f>IFERROR(INDEX(tProdutos[Classe],MATCH(tItens[[#This Row],[Produto]],tProdutos[Produto],0)),"produto não cadastrado")</f>
        <v>FORA</v>
      </c>
      <c r="K5826" s="12">
        <f>tItens[[#This Row],[Qtd]]*tItens[[#This Row],[Vlr unit]]</f>
        <v>14237.1</v>
      </c>
      <c r="L5826" s="6">
        <f>IFERROR(IF(INDEX(tProdutos[Desconto homologado],MATCH(tItens[[#This Row],[Produto]],tProdutos[Produto],0))="",DescontoPadrao,INDEX(tProdutos[Desconto homologado],MATCH(tItens[[#This Row],[Produto]],tProdutos[Produto],0))),DescontoPadrao)</f>
        <v>0.477732793522267</v>
      </c>
      <c r="M5826" s="12">
        <f>tItens[[#This Row],[Valor]]*(1-tItens[[#This Row],[Desconto]])</f>
        <v>7435.5704453441322</v>
      </c>
      <c r="N5826" t="str">
        <f>IFERROR(INDEX(tProdutos[Foco],MATCH(tItens[[#This Row],[Produto]],tProdutos[Produto],0)),"Não")</f>
        <v>Não</v>
      </c>
      <c r="O5826" t="str">
        <f>IFERROR(INDEX(tEditais[SRP],MATCH(tItens[[#This Row],[Edital]],tEditais[Edital],0)),"Não")</f>
        <v>Sim</v>
      </c>
      <c r="P5826" s="4">
        <f>IF(COUNTIFS(INDEX(tItens[Edital],1):tItens[[#This Row],[Edital]],tItens[[#This Row],[Edital]],INDEX(tItens[Produto],1):tItens[[#This Row],[Produto]],tItens[[#This Row],[Produto]])=1,1,0)</f>
        <v>1</v>
      </c>
    </row>
    <row r="5827" spans="1:16" x14ac:dyDescent="0.25">
      <c r="A5827" t="s">
        <v>2071</v>
      </c>
      <c r="B5827">
        <v>96</v>
      </c>
      <c r="C5827" t="s">
        <v>7235</v>
      </c>
      <c r="D5827" t="s">
        <v>413</v>
      </c>
      <c r="E5827" s="13">
        <v>45</v>
      </c>
      <c r="F5827" s="12">
        <v>360</v>
      </c>
      <c r="G5827" t="str">
        <f>IFERROR(INDEX(tEditais[Órgão],MATCH(tItens[[#This Row],[Edital]],tEditais[Edital],0)),"")</f>
        <v>MUNICIPIO DE JACAREZINHO</v>
      </c>
      <c r="H5827" t="str">
        <f>IFERROR(INDEX(tEditais[UF],MATCH(tItens[[#This Row],[Edital]],tEditais[Edital],0)),"")</f>
        <v>PR</v>
      </c>
      <c r="I5827" s="11">
        <f>IFERROR(INDEX(tEditais[Encerramento],MATCH(tItens[[#This Row],[Edital]],tEditais[Edital],0)),"")</f>
        <v>46309.375</v>
      </c>
      <c r="J5827" t="str">
        <f>IFERROR(INDEX(tProdutos[Classe],MATCH(tItens[[#This Row],[Produto]],tProdutos[Produto],0)),"produto não cadastrado")</f>
        <v>FORA</v>
      </c>
      <c r="K5827" s="12">
        <f>tItens[[#This Row],[Qtd]]*tItens[[#This Row],[Vlr unit]]</f>
        <v>16200</v>
      </c>
      <c r="L5827" s="6">
        <f>IFERROR(IF(INDEX(tProdutos[Desconto homologado],MATCH(tItens[[#This Row],[Produto]],tProdutos[Produto],0))="",DescontoPadrao,INDEX(tProdutos[Desconto homologado],MATCH(tItens[[#This Row],[Produto]],tProdutos[Produto],0))),DescontoPadrao)</f>
        <v>0.477732793522267</v>
      </c>
      <c r="M5827" s="12">
        <f>tItens[[#This Row],[Valor]]*(1-tItens[[#This Row],[Desconto]])</f>
        <v>8460.7287449392734</v>
      </c>
      <c r="N5827" t="str">
        <f>IFERROR(INDEX(tProdutos[Foco],MATCH(tItens[[#This Row],[Produto]],tProdutos[Produto],0)),"Não")</f>
        <v>Não</v>
      </c>
      <c r="O5827" t="str">
        <f>IFERROR(INDEX(tEditais[SRP],MATCH(tItens[[#This Row],[Edital]],tEditais[Edital],0)),"Não")</f>
        <v>Sim</v>
      </c>
      <c r="P5827" s="4">
        <f>IF(COUNTIFS(INDEX(tItens[Edital],1):tItens[[#This Row],[Edital]],tItens[[#This Row],[Edital]],INDEX(tItens[Produto],1):tItens[[#This Row],[Produto]],tItens[[#This Row],[Produto]])=1,1,0)</f>
        <v>0</v>
      </c>
    </row>
    <row r="5828" spans="1:16" x14ac:dyDescent="0.25">
      <c r="A5828" t="s">
        <v>2071</v>
      </c>
      <c r="B5828">
        <v>97</v>
      </c>
      <c r="C5828" t="s">
        <v>6969</v>
      </c>
      <c r="D5828" t="s">
        <v>413</v>
      </c>
      <c r="E5828" s="13">
        <v>30</v>
      </c>
      <c r="F5828" s="12">
        <v>347.5</v>
      </c>
      <c r="G5828" t="str">
        <f>IFERROR(INDEX(tEditais[Órgão],MATCH(tItens[[#This Row],[Edital]],tEditais[Edital],0)),"")</f>
        <v>MUNICIPIO DE JACAREZINHO</v>
      </c>
      <c r="H5828" t="str">
        <f>IFERROR(INDEX(tEditais[UF],MATCH(tItens[[#This Row],[Edital]],tEditais[Edital],0)),"")</f>
        <v>PR</v>
      </c>
      <c r="I5828" s="11">
        <f>IFERROR(INDEX(tEditais[Encerramento],MATCH(tItens[[#This Row],[Edital]],tEditais[Edital],0)),"")</f>
        <v>46309.375</v>
      </c>
      <c r="J5828" t="str">
        <f>IFERROR(INDEX(tProdutos[Classe],MATCH(tItens[[#This Row],[Produto]],tProdutos[Produto],0)),"produto não cadastrado")</f>
        <v>FORA</v>
      </c>
      <c r="K5828" s="12">
        <f>tItens[[#This Row],[Qtd]]*tItens[[#This Row],[Vlr unit]]</f>
        <v>10425</v>
      </c>
      <c r="L5828" s="6">
        <f>IFERROR(IF(INDEX(tProdutos[Desconto homologado],MATCH(tItens[[#This Row],[Produto]],tProdutos[Produto],0))="",DescontoPadrao,INDEX(tProdutos[Desconto homologado],MATCH(tItens[[#This Row],[Produto]],tProdutos[Produto],0))),DescontoPadrao)</f>
        <v>0.477732793522267</v>
      </c>
      <c r="M5828" s="12">
        <f>tItens[[#This Row],[Valor]]*(1-tItens[[#This Row],[Desconto]])</f>
        <v>5444.635627530366</v>
      </c>
      <c r="N5828" t="str">
        <f>IFERROR(INDEX(tProdutos[Foco],MATCH(tItens[[#This Row],[Produto]],tProdutos[Produto],0)),"Não")</f>
        <v>Não</v>
      </c>
      <c r="O5828" t="str">
        <f>IFERROR(INDEX(tEditais[SRP],MATCH(tItens[[#This Row],[Edital]],tEditais[Edital],0)),"Não")</f>
        <v>Sim</v>
      </c>
      <c r="P5828" s="4">
        <f>IF(COUNTIFS(INDEX(tItens[Edital],1):tItens[[#This Row],[Edital]],tItens[[#This Row],[Edital]],INDEX(tItens[Produto],1):tItens[[#This Row],[Produto]],tItens[[#This Row],[Produto]])=1,1,0)</f>
        <v>0</v>
      </c>
    </row>
    <row r="5829" spans="1:16" x14ac:dyDescent="0.25">
      <c r="A5829" t="s">
        <v>2071</v>
      </c>
      <c r="B5829">
        <v>98</v>
      </c>
      <c r="C5829" t="s">
        <v>8592</v>
      </c>
      <c r="D5829" t="s">
        <v>413</v>
      </c>
      <c r="E5829" s="13">
        <v>105</v>
      </c>
      <c r="F5829" s="12">
        <v>23.28</v>
      </c>
      <c r="G5829" t="str">
        <f>IFERROR(INDEX(tEditais[Órgão],MATCH(tItens[[#This Row],[Edital]],tEditais[Edital],0)),"")</f>
        <v>MUNICIPIO DE JACAREZINHO</v>
      </c>
      <c r="H5829" t="str">
        <f>IFERROR(INDEX(tEditais[UF],MATCH(tItens[[#This Row],[Edital]],tEditais[Edital],0)),"")</f>
        <v>PR</v>
      </c>
      <c r="I5829" s="11">
        <f>IFERROR(INDEX(tEditais[Encerramento],MATCH(tItens[[#This Row],[Edital]],tEditais[Edital],0)),"")</f>
        <v>46309.375</v>
      </c>
      <c r="J5829" t="str">
        <f>IFERROR(INDEX(tProdutos[Classe],MATCH(tItens[[#This Row],[Produto]],tProdutos[Produto],0)),"produto não cadastrado")</f>
        <v>FORA</v>
      </c>
      <c r="K5829" s="12">
        <f>tItens[[#This Row],[Qtd]]*tItens[[#This Row],[Vlr unit]]</f>
        <v>2444.4</v>
      </c>
      <c r="L5829" s="6">
        <f>IFERROR(IF(INDEX(tProdutos[Desconto homologado],MATCH(tItens[[#This Row],[Produto]],tProdutos[Produto],0))="",DescontoPadrao,INDEX(tProdutos[Desconto homologado],MATCH(tItens[[#This Row],[Produto]],tProdutos[Produto],0))),DescontoPadrao)</f>
        <v>0.477732793522267</v>
      </c>
      <c r="M5829" s="12">
        <f>tItens[[#This Row],[Valor]]*(1-tItens[[#This Row],[Desconto]])</f>
        <v>1276.6299595141704</v>
      </c>
      <c r="N5829" t="str">
        <f>IFERROR(INDEX(tProdutos[Foco],MATCH(tItens[[#This Row],[Produto]],tProdutos[Produto],0)),"Não")</f>
        <v>Não</v>
      </c>
      <c r="O5829" t="str">
        <f>IFERROR(INDEX(tEditais[SRP],MATCH(tItens[[#This Row],[Edital]],tEditais[Edital],0)),"Não")</f>
        <v>Sim</v>
      </c>
      <c r="P5829" s="4">
        <f>IF(COUNTIFS(INDEX(tItens[Edital],1):tItens[[#This Row],[Edital]],tItens[[#This Row],[Edital]],INDEX(tItens[Produto],1):tItens[[#This Row],[Produto]],tItens[[#This Row],[Produto]])=1,1,0)</f>
        <v>0</v>
      </c>
    </row>
    <row r="5830" spans="1:16" x14ac:dyDescent="0.25">
      <c r="A5830" t="s">
        <v>2071</v>
      </c>
      <c r="B5830">
        <v>100</v>
      </c>
      <c r="C5830" t="s">
        <v>8593</v>
      </c>
      <c r="D5830" t="s">
        <v>437</v>
      </c>
      <c r="E5830" s="13">
        <v>1000</v>
      </c>
      <c r="F5830" s="12">
        <v>33.229999999999997</v>
      </c>
      <c r="G5830" t="str">
        <f>IFERROR(INDEX(tEditais[Órgão],MATCH(tItens[[#This Row],[Edital]],tEditais[Edital],0)),"")</f>
        <v>MUNICIPIO DE JACAREZINHO</v>
      </c>
      <c r="H5830" t="str">
        <f>IFERROR(INDEX(tEditais[UF],MATCH(tItens[[#This Row],[Edital]],tEditais[Edital],0)),"")</f>
        <v>PR</v>
      </c>
      <c r="I5830" s="11">
        <f>IFERROR(INDEX(tEditais[Encerramento],MATCH(tItens[[#This Row],[Edital]],tEditais[Edital],0)),"")</f>
        <v>46309.375</v>
      </c>
      <c r="J5830" t="str">
        <f>IFERROR(INDEX(tProdutos[Classe],MATCH(tItens[[#This Row],[Produto]],tProdutos[Produto],0)),"produto não cadastrado")</f>
        <v>FILA REBASE</v>
      </c>
      <c r="K5830" s="12">
        <f>tItens[[#This Row],[Qtd]]*tItens[[#This Row],[Vlr unit]]</f>
        <v>33230</v>
      </c>
      <c r="L5830" s="6">
        <f>IFERROR(IF(INDEX(tProdutos[Desconto homologado],MATCH(tItens[[#This Row],[Produto]],tProdutos[Produto],0))="",DescontoPadrao,INDEX(tProdutos[Desconto homologado],MATCH(tItens[[#This Row],[Produto]],tProdutos[Produto],0))),DescontoPadrao)</f>
        <v>0.23334221878164699</v>
      </c>
      <c r="M5830" s="12">
        <f>tItens[[#This Row],[Valor]]*(1-tItens[[#This Row],[Desconto]])</f>
        <v>25476.038069885872</v>
      </c>
      <c r="N5830" t="str">
        <f>IFERROR(INDEX(tProdutos[Foco],MATCH(tItens[[#This Row],[Produto]],tProdutos[Produto],0)),"Não")</f>
        <v>Não</v>
      </c>
      <c r="O5830" t="str">
        <f>IFERROR(INDEX(tEditais[SRP],MATCH(tItens[[#This Row],[Edital]],tEditais[Edital],0)),"Não")</f>
        <v>Sim</v>
      </c>
      <c r="P5830" s="4">
        <f>IF(COUNTIFS(INDEX(tItens[Edital],1):tItens[[#This Row],[Edital]],tItens[[#This Row],[Edital]],INDEX(tItens[Produto],1):tItens[[#This Row],[Produto]],tItens[[#This Row],[Produto]])=1,1,0)</f>
        <v>1</v>
      </c>
    </row>
    <row r="5831" spans="1:16" x14ac:dyDescent="0.25">
      <c r="A5831" t="s">
        <v>2071</v>
      </c>
      <c r="B5831">
        <v>101</v>
      </c>
      <c r="C5831" t="s">
        <v>7909</v>
      </c>
      <c r="D5831" t="s">
        <v>313</v>
      </c>
      <c r="E5831" s="13">
        <v>1300</v>
      </c>
      <c r="F5831" s="12">
        <v>26.46</v>
      </c>
      <c r="G5831" t="str">
        <f>IFERROR(INDEX(tEditais[Órgão],MATCH(tItens[[#This Row],[Edital]],tEditais[Edital],0)),"")</f>
        <v>MUNICIPIO DE JACAREZINHO</v>
      </c>
      <c r="H5831" t="str">
        <f>IFERROR(INDEX(tEditais[UF],MATCH(tItens[[#This Row],[Edital]],tEditais[Edital],0)),"")</f>
        <v>PR</v>
      </c>
      <c r="I5831" s="11">
        <f>IFERROR(INDEX(tEditais[Encerramento],MATCH(tItens[[#This Row],[Edital]],tEditais[Edital],0)),"")</f>
        <v>46309.375</v>
      </c>
      <c r="J5831" t="str">
        <f>IFERROR(INDEX(tProdutos[Classe],MATCH(tItens[[#This Row],[Produto]],tProdutos[Produto],0)),"produto não cadastrado")</f>
        <v>FORA</v>
      </c>
      <c r="K5831" s="12">
        <f>tItens[[#This Row],[Qtd]]*tItens[[#This Row],[Vlr unit]]</f>
        <v>34398</v>
      </c>
      <c r="L5831" s="6">
        <f>IFERROR(IF(INDEX(tProdutos[Desconto homologado],MATCH(tItens[[#This Row],[Produto]],tProdutos[Produto],0))="",DescontoPadrao,INDEX(tProdutos[Desconto homologado],MATCH(tItens[[#This Row],[Produto]],tProdutos[Produto],0))),DescontoPadrao)</f>
        <v>0.35766373163696302</v>
      </c>
      <c r="M5831" s="12">
        <f>tItens[[#This Row],[Valor]]*(1-tItens[[#This Row],[Desconto]])</f>
        <v>22095.082959151743</v>
      </c>
      <c r="N5831" t="str">
        <f>IFERROR(INDEX(tProdutos[Foco],MATCH(tItens[[#This Row],[Produto]],tProdutos[Produto],0)),"Não")</f>
        <v>Não</v>
      </c>
      <c r="O5831" t="str">
        <f>IFERROR(INDEX(tEditais[SRP],MATCH(tItens[[#This Row],[Edital]],tEditais[Edital],0)),"Não")</f>
        <v>Sim</v>
      </c>
      <c r="P5831" s="4">
        <f>IF(COUNTIFS(INDEX(tItens[Edital],1):tItens[[#This Row],[Edital]],tItens[[#This Row],[Edital]],INDEX(tItens[Produto],1):tItens[[#This Row],[Produto]],tItens[[#This Row],[Produto]])=1,1,0)</f>
        <v>1</v>
      </c>
    </row>
    <row r="5832" spans="1:16" x14ac:dyDescent="0.25">
      <c r="A5832" t="s">
        <v>2071</v>
      </c>
      <c r="B5832">
        <v>104</v>
      </c>
      <c r="C5832" t="s">
        <v>3474</v>
      </c>
      <c r="D5832" t="s">
        <v>313</v>
      </c>
      <c r="E5832" s="13">
        <v>2532</v>
      </c>
      <c r="F5832" s="12">
        <v>31.59</v>
      </c>
      <c r="G5832" t="str">
        <f>IFERROR(INDEX(tEditais[Órgão],MATCH(tItens[[#This Row],[Edital]],tEditais[Edital],0)),"")</f>
        <v>MUNICIPIO DE JACAREZINHO</v>
      </c>
      <c r="H5832" t="str">
        <f>IFERROR(INDEX(tEditais[UF],MATCH(tItens[[#This Row],[Edital]],tEditais[Edital],0)),"")</f>
        <v>PR</v>
      </c>
      <c r="I5832" s="11">
        <f>IFERROR(INDEX(tEditais[Encerramento],MATCH(tItens[[#This Row],[Edital]],tEditais[Edital],0)),"")</f>
        <v>46309.375</v>
      </c>
      <c r="J5832" t="str">
        <f>IFERROR(INDEX(tProdutos[Classe],MATCH(tItens[[#This Row],[Produto]],tProdutos[Produto],0)),"produto não cadastrado")</f>
        <v>FORA</v>
      </c>
      <c r="K5832" s="12">
        <f>tItens[[#This Row],[Qtd]]*tItens[[#This Row],[Vlr unit]]</f>
        <v>79985.88</v>
      </c>
      <c r="L5832" s="6">
        <f>IFERROR(IF(INDEX(tProdutos[Desconto homologado],MATCH(tItens[[#This Row],[Produto]],tProdutos[Produto],0))="",DescontoPadrao,INDEX(tProdutos[Desconto homologado],MATCH(tItens[[#This Row],[Produto]],tProdutos[Produto],0))),DescontoPadrao)</f>
        <v>0.35766373163696302</v>
      </c>
      <c r="M5832" s="12">
        <f>tItens[[#This Row],[Valor]]*(1-tItens[[#This Row],[Desconto]])</f>
        <v>51377.831680933668</v>
      </c>
      <c r="N5832" t="str">
        <f>IFERROR(INDEX(tProdutos[Foco],MATCH(tItens[[#This Row],[Produto]],tProdutos[Produto],0)),"Não")</f>
        <v>Não</v>
      </c>
      <c r="O5832" t="str">
        <f>IFERROR(INDEX(tEditais[SRP],MATCH(tItens[[#This Row],[Edital]],tEditais[Edital],0)),"Não")</f>
        <v>Sim</v>
      </c>
      <c r="P5832" s="4">
        <f>IF(COUNTIFS(INDEX(tItens[Edital],1):tItens[[#This Row],[Edital]],tItens[[#This Row],[Edital]],INDEX(tItens[Produto],1):tItens[[#This Row],[Produto]],tItens[[#This Row],[Produto]])=1,1,0)</f>
        <v>0</v>
      </c>
    </row>
    <row r="5833" spans="1:16" x14ac:dyDescent="0.25">
      <c r="A5833" t="s">
        <v>2071</v>
      </c>
      <c r="B5833">
        <v>110</v>
      </c>
      <c r="C5833" t="s">
        <v>8594</v>
      </c>
      <c r="D5833" t="s">
        <v>156</v>
      </c>
      <c r="E5833" s="13">
        <v>30</v>
      </c>
      <c r="F5833" s="12">
        <v>24.28</v>
      </c>
      <c r="G5833" t="str">
        <f>IFERROR(INDEX(tEditais[Órgão],MATCH(tItens[[#This Row],[Edital]],tEditais[Edital],0)),"")</f>
        <v>MUNICIPIO DE JACAREZINHO</v>
      </c>
      <c r="H5833" t="str">
        <f>IFERROR(INDEX(tEditais[UF],MATCH(tItens[[#This Row],[Edital]],tEditais[Edital],0)),"")</f>
        <v>PR</v>
      </c>
      <c r="I5833" s="11">
        <f>IFERROR(INDEX(tEditais[Encerramento],MATCH(tItens[[#This Row],[Edital]],tEditais[Edital],0)),"")</f>
        <v>46309.375</v>
      </c>
      <c r="J5833" t="str">
        <f>IFERROR(INDEX(tProdutos[Classe],MATCH(tItens[[#This Row],[Produto]],tProdutos[Produto],0)),"produto não cadastrado")</f>
        <v>DISPUTADO</v>
      </c>
      <c r="K5833" s="12">
        <f>tItens[[#This Row],[Qtd]]*tItens[[#This Row],[Vlr unit]]</f>
        <v>728.40000000000009</v>
      </c>
      <c r="L5833" s="6">
        <f>IFERROR(IF(INDEX(tProdutos[Desconto homologado],MATCH(tItens[[#This Row],[Produto]],tProdutos[Produto],0))="",DescontoPadrao,INDEX(tProdutos[Desconto homologado],MATCH(tItens[[#This Row],[Produto]],tProdutos[Produto],0))),DescontoPadrao)</f>
        <v>0.27131852489802799</v>
      </c>
      <c r="M5833" s="12">
        <f>tItens[[#This Row],[Valor]]*(1-tItens[[#This Row],[Desconto]])</f>
        <v>530.77158646427642</v>
      </c>
      <c r="N5833" t="str">
        <f>IFERROR(INDEX(tProdutos[Foco],MATCH(tItens[[#This Row],[Produto]],tProdutos[Produto],0)),"Não")</f>
        <v>Não</v>
      </c>
      <c r="O5833" t="str">
        <f>IFERROR(INDEX(tEditais[SRP],MATCH(tItens[[#This Row],[Edital]],tEditais[Edital],0)),"Não")</f>
        <v>Sim</v>
      </c>
      <c r="P5833" s="4">
        <f>IF(COUNTIFS(INDEX(tItens[Edital],1):tItens[[#This Row],[Edital]],tItens[[#This Row],[Edital]],INDEX(tItens[Produto],1):tItens[[#This Row],[Produto]],tItens[[#This Row],[Produto]])=1,1,0)</f>
        <v>1</v>
      </c>
    </row>
    <row r="5834" spans="1:16" x14ac:dyDescent="0.25">
      <c r="A5834" t="s">
        <v>2071</v>
      </c>
      <c r="B5834">
        <v>147</v>
      </c>
      <c r="C5834" t="s">
        <v>8595</v>
      </c>
      <c r="D5834" t="s">
        <v>106</v>
      </c>
      <c r="E5834" s="13">
        <v>300</v>
      </c>
      <c r="F5834" s="12">
        <v>1.07</v>
      </c>
      <c r="G5834" t="str">
        <f>IFERROR(INDEX(tEditais[Órgão],MATCH(tItens[[#This Row],[Edital]],tEditais[Edital],0)),"")</f>
        <v>MUNICIPIO DE JACAREZINHO</v>
      </c>
      <c r="H5834" t="str">
        <f>IFERROR(INDEX(tEditais[UF],MATCH(tItens[[#This Row],[Edital]],tEditais[Edital],0)),"")</f>
        <v>PR</v>
      </c>
      <c r="I5834" s="11">
        <f>IFERROR(INDEX(tEditais[Encerramento],MATCH(tItens[[#This Row],[Edital]],tEditais[Edital],0)),"")</f>
        <v>46309.375</v>
      </c>
      <c r="J5834" t="str">
        <f>IFERROR(INDEX(tProdutos[Classe],MATCH(tItens[[#This Row],[Produto]],tProdutos[Produto],0)),"produto não cadastrado")</f>
        <v>DISPUTADO</v>
      </c>
      <c r="K5834" s="12">
        <f>tItens[[#This Row],[Qtd]]*tItens[[#This Row],[Vlr unit]]</f>
        <v>321</v>
      </c>
      <c r="L5834" s="6">
        <f>IFERROR(IF(INDEX(tProdutos[Desconto homologado],MATCH(tItens[[#This Row],[Produto]],tProdutos[Produto],0))="",DescontoPadrao,INDEX(tProdutos[Desconto homologado],MATCH(tItens[[#This Row],[Produto]],tProdutos[Produto],0))),DescontoPadrao)</f>
        <v>0.24377518966589001</v>
      </c>
      <c r="M5834" s="12">
        <f>tItens[[#This Row],[Valor]]*(1-tItens[[#This Row],[Desconto]])</f>
        <v>242.74816411724933</v>
      </c>
      <c r="N5834" t="str">
        <f>IFERROR(INDEX(tProdutos[Foco],MATCH(tItens[[#This Row],[Produto]],tProdutos[Produto],0)),"Não")</f>
        <v>Não</v>
      </c>
      <c r="O5834" t="str">
        <f>IFERROR(INDEX(tEditais[SRP],MATCH(tItens[[#This Row],[Edital]],tEditais[Edital],0)),"Não")</f>
        <v>Sim</v>
      </c>
      <c r="P5834" s="4">
        <f>IF(COUNTIFS(INDEX(tItens[Edital],1):tItens[[#This Row],[Edital]],tItens[[#This Row],[Edital]],INDEX(tItens[Produto],1):tItens[[#This Row],[Produto]],tItens[[#This Row],[Produto]])=1,1,0)</f>
        <v>1</v>
      </c>
    </row>
    <row r="5835" spans="1:16" x14ac:dyDescent="0.25">
      <c r="A5835" t="s">
        <v>2071</v>
      </c>
      <c r="B5835">
        <v>148</v>
      </c>
      <c r="C5835" t="s">
        <v>4165</v>
      </c>
      <c r="D5835" t="s">
        <v>184</v>
      </c>
      <c r="E5835" s="13">
        <v>100</v>
      </c>
      <c r="F5835" s="12">
        <v>3.55</v>
      </c>
      <c r="G5835" t="str">
        <f>IFERROR(INDEX(tEditais[Órgão],MATCH(tItens[[#This Row],[Edital]],tEditais[Edital],0)),"")</f>
        <v>MUNICIPIO DE JACAREZINHO</v>
      </c>
      <c r="H5835" t="str">
        <f>IFERROR(INDEX(tEditais[UF],MATCH(tItens[[#This Row],[Edital]],tEditais[Edital],0)),"")</f>
        <v>PR</v>
      </c>
      <c r="I5835" s="11">
        <f>IFERROR(INDEX(tEditais[Encerramento],MATCH(tItens[[#This Row],[Edital]],tEditais[Edital],0)),"")</f>
        <v>46309.375</v>
      </c>
      <c r="J5835" t="str">
        <f>IFERROR(INDEX(tProdutos[Classe],MATCH(tItens[[#This Row],[Produto]],tProdutos[Produto],0)),"produto não cadastrado")</f>
        <v>FORA</v>
      </c>
      <c r="K5835" s="12">
        <f>tItens[[#This Row],[Qtd]]*tItens[[#This Row],[Vlr unit]]</f>
        <v>355</v>
      </c>
      <c r="L5835" s="6">
        <f>IFERROR(IF(INDEX(tProdutos[Desconto homologado],MATCH(tItens[[#This Row],[Produto]],tProdutos[Produto],0))="",DescontoPadrao,INDEX(tProdutos[Desconto homologado],MATCH(tItens[[#This Row],[Produto]],tProdutos[Produto],0))),DescontoPadrao)</f>
        <v>0.363567906332742</v>
      </c>
      <c r="M5835" s="12">
        <f>tItens[[#This Row],[Valor]]*(1-tItens[[#This Row],[Desconto]])</f>
        <v>225.93339325187662</v>
      </c>
      <c r="N5835" t="str">
        <f>IFERROR(INDEX(tProdutos[Foco],MATCH(tItens[[#This Row],[Produto]],tProdutos[Produto],0)),"Não")</f>
        <v>Não</v>
      </c>
      <c r="O5835" t="str">
        <f>IFERROR(INDEX(tEditais[SRP],MATCH(tItens[[#This Row],[Edital]],tEditais[Edital],0)),"Não")</f>
        <v>Sim</v>
      </c>
      <c r="P5835" s="4">
        <f>IF(COUNTIFS(INDEX(tItens[Edital],1):tItens[[#This Row],[Edital]],tItens[[#This Row],[Edital]],INDEX(tItens[Produto],1):tItens[[#This Row],[Produto]],tItens[[#This Row],[Produto]])=1,1,0)</f>
        <v>1</v>
      </c>
    </row>
    <row r="5836" spans="1:16" x14ac:dyDescent="0.25">
      <c r="A5836" t="s">
        <v>2071</v>
      </c>
      <c r="B5836">
        <v>153</v>
      </c>
      <c r="C5836" t="s">
        <v>8596</v>
      </c>
      <c r="D5836" t="s">
        <v>110</v>
      </c>
      <c r="E5836" s="13">
        <v>100</v>
      </c>
      <c r="F5836" s="12">
        <v>4.28</v>
      </c>
      <c r="G5836" t="str">
        <f>IFERROR(INDEX(tEditais[Órgão],MATCH(tItens[[#This Row],[Edital]],tEditais[Edital],0)),"")</f>
        <v>MUNICIPIO DE JACAREZINHO</v>
      </c>
      <c r="H5836" t="str">
        <f>IFERROR(INDEX(tEditais[UF],MATCH(tItens[[#This Row],[Edital]],tEditais[Edital],0)),"")</f>
        <v>PR</v>
      </c>
      <c r="I5836" s="11">
        <f>IFERROR(INDEX(tEditais[Encerramento],MATCH(tItens[[#This Row],[Edital]],tEditais[Edital],0)),"")</f>
        <v>46309.375</v>
      </c>
      <c r="J5836" t="str">
        <f>IFERROR(INDEX(tProdutos[Classe],MATCH(tItens[[#This Row],[Produto]],tProdutos[Produto],0)),"produto não cadastrado")</f>
        <v>NÚCLEO</v>
      </c>
      <c r="K5836" s="12">
        <f>tItens[[#This Row],[Qtd]]*tItens[[#This Row],[Vlr unit]]</f>
        <v>428</v>
      </c>
      <c r="L5836" s="6">
        <f>IFERROR(IF(INDEX(tProdutos[Desconto homologado],MATCH(tItens[[#This Row],[Produto]],tProdutos[Produto],0))="",DescontoPadrao,INDEX(tProdutos[Desconto homologado],MATCH(tItens[[#This Row],[Produto]],tProdutos[Produto],0))),DescontoPadrao)</f>
        <v>0.30410958904109597</v>
      </c>
      <c r="M5836" s="12">
        <f>tItens[[#This Row],[Valor]]*(1-tItens[[#This Row],[Desconto]])</f>
        <v>297.84109589041094</v>
      </c>
      <c r="N5836" t="str">
        <f>IFERROR(INDEX(tProdutos[Foco],MATCH(tItens[[#This Row],[Produto]],tProdutos[Produto],0)),"Não")</f>
        <v>Não</v>
      </c>
      <c r="O5836" t="str">
        <f>IFERROR(INDEX(tEditais[SRP],MATCH(tItens[[#This Row],[Edital]],tEditais[Edital],0)),"Não")</f>
        <v>Sim</v>
      </c>
      <c r="P5836" s="4">
        <f>IF(COUNTIFS(INDEX(tItens[Edital],1):tItens[[#This Row],[Edital]],tItens[[#This Row],[Edital]],INDEX(tItens[Produto],1):tItens[[#This Row],[Produto]],tItens[[#This Row],[Produto]])=1,1,0)</f>
        <v>1</v>
      </c>
    </row>
    <row r="5837" spans="1:16" x14ac:dyDescent="0.25">
      <c r="A5837" t="s">
        <v>2071</v>
      </c>
      <c r="B5837">
        <v>154</v>
      </c>
      <c r="C5837" t="s">
        <v>8597</v>
      </c>
      <c r="D5837" t="s">
        <v>110</v>
      </c>
      <c r="E5837" s="13">
        <v>100</v>
      </c>
      <c r="F5837" s="12">
        <v>3.64</v>
      </c>
      <c r="G5837" t="str">
        <f>IFERROR(INDEX(tEditais[Órgão],MATCH(tItens[[#This Row],[Edital]],tEditais[Edital],0)),"")</f>
        <v>MUNICIPIO DE JACAREZINHO</v>
      </c>
      <c r="H5837" t="str">
        <f>IFERROR(INDEX(tEditais[UF],MATCH(tItens[[#This Row],[Edital]],tEditais[Edital],0)),"")</f>
        <v>PR</v>
      </c>
      <c r="I5837" s="11">
        <f>IFERROR(INDEX(tEditais[Encerramento],MATCH(tItens[[#This Row],[Edital]],tEditais[Edital],0)),"")</f>
        <v>46309.375</v>
      </c>
      <c r="J5837" t="str">
        <f>IFERROR(INDEX(tProdutos[Classe],MATCH(tItens[[#This Row],[Produto]],tProdutos[Produto],0)),"produto não cadastrado")</f>
        <v>NÚCLEO</v>
      </c>
      <c r="K5837" s="12">
        <f>tItens[[#This Row],[Qtd]]*tItens[[#This Row],[Vlr unit]]</f>
        <v>364</v>
      </c>
      <c r="L5837" s="6">
        <f>IFERROR(IF(INDEX(tProdutos[Desconto homologado],MATCH(tItens[[#This Row],[Produto]],tProdutos[Produto],0))="",DescontoPadrao,INDEX(tProdutos[Desconto homologado],MATCH(tItens[[#This Row],[Produto]],tProdutos[Produto],0))),DescontoPadrao)</f>
        <v>0.30410958904109597</v>
      </c>
      <c r="M5837" s="12">
        <f>tItens[[#This Row],[Valor]]*(1-tItens[[#This Row],[Desconto]])</f>
        <v>253.30410958904108</v>
      </c>
      <c r="N5837" t="str">
        <f>IFERROR(INDEX(tProdutos[Foco],MATCH(tItens[[#This Row],[Produto]],tProdutos[Produto],0)),"Não")</f>
        <v>Não</v>
      </c>
      <c r="O5837" t="str">
        <f>IFERROR(INDEX(tEditais[SRP],MATCH(tItens[[#This Row],[Edital]],tEditais[Edital],0)),"Não")</f>
        <v>Sim</v>
      </c>
      <c r="P5837" s="4">
        <f>IF(COUNTIFS(INDEX(tItens[Edital],1):tItens[[#This Row],[Edital]],tItens[[#This Row],[Edital]],INDEX(tItens[Produto],1):tItens[[#This Row],[Produto]],tItens[[#This Row],[Produto]])=1,1,0)</f>
        <v>0</v>
      </c>
    </row>
    <row r="5838" spans="1:16" x14ac:dyDescent="0.25">
      <c r="A5838" t="s">
        <v>2071</v>
      </c>
      <c r="B5838">
        <v>155</v>
      </c>
      <c r="C5838" t="s">
        <v>8598</v>
      </c>
      <c r="D5838" t="s">
        <v>164</v>
      </c>
      <c r="E5838" s="13">
        <v>300</v>
      </c>
      <c r="F5838" s="12">
        <v>13.89</v>
      </c>
      <c r="G5838" t="str">
        <f>IFERROR(INDEX(tEditais[Órgão],MATCH(tItens[[#This Row],[Edital]],tEditais[Edital],0)),"")</f>
        <v>MUNICIPIO DE JACAREZINHO</v>
      </c>
      <c r="H5838" t="str">
        <f>IFERROR(INDEX(tEditais[UF],MATCH(tItens[[#This Row],[Edital]],tEditais[Edital],0)),"")</f>
        <v>PR</v>
      </c>
      <c r="I5838" s="11">
        <f>IFERROR(INDEX(tEditais[Encerramento],MATCH(tItens[[#This Row],[Edital]],tEditais[Edital],0)),"")</f>
        <v>46309.375</v>
      </c>
      <c r="J5838" t="str">
        <f>IFERROR(INDEX(tProdutos[Classe],MATCH(tItens[[#This Row],[Produto]],tProdutos[Produto],0)),"produto não cadastrado")</f>
        <v>DISPUTADO</v>
      </c>
      <c r="K5838" s="12">
        <f>tItens[[#This Row],[Qtd]]*tItens[[#This Row],[Vlr unit]]</f>
        <v>4167</v>
      </c>
      <c r="L5838" s="6">
        <f>IFERROR(IF(INDEX(tProdutos[Desconto homologado],MATCH(tItens[[#This Row],[Produto]],tProdutos[Produto],0))="",DescontoPadrao,INDEX(tProdutos[Desconto homologado],MATCH(tItens[[#This Row],[Produto]],tProdutos[Produto],0))),DescontoPadrao)</f>
        <v>0.445300462249615</v>
      </c>
      <c r="M5838" s="12">
        <f>tItens[[#This Row],[Valor]]*(1-tItens[[#This Row],[Desconto]])</f>
        <v>2311.4329738058541</v>
      </c>
      <c r="N5838" t="str">
        <f>IFERROR(INDEX(tProdutos[Foco],MATCH(tItens[[#This Row],[Produto]],tProdutos[Produto],0)),"Não")</f>
        <v>Não</v>
      </c>
      <c r="O5838" t="str">
        <f>IFERROR(INDEX(tEditais[SRP],MATCH(tItens[[#This Row],[Edital]],tEditais[Edital],0)),"Não")</f>
        <v>Sim</v>
      </c>
      <c r="P5838" s="4">
        <f>IF(COUNTIFS(INDEX(tItens[Edital],1):tItens[[#This Row],[Edital]],tItens[[#This Row],[Edital]],INDEX(tItens[Produto],1):tItens[[#This Row],[Produto]],tItens[[#This Row],[Produto]])=1,1,0)</f>
        <v>1</v>
      </c>
    </row>
    <row r="5839" spans="1:16" x14ac:dyDescent="0.25">
      <c r="A5839" t="s">
        <v>2071</v>
      </c>
      <c r="B5839">
        <v>156</v>
      </c>
      <c r="C5839" t="s">
        <v>8598</v>
      </c>
      <c r="D5839" t="s">
        <v>164</v>
      </c>
      <c r="E5839" s="13">
        <v>300</v>
      </c>
      <c r="F5839" s="12">
        <v>12.67</v>
      </c>
      <c r="G5839" t="str">
        <f>IFERROR(INDEX(tEditais[Órgão],MATCH(tItens[[#This Row],[Edital]],tEditais[Edital],0)),"")</f>
        <v>MUNICIPIO DE JACAREZINHO</v>
      </c>
      <c r="H5839" t="str">
        <f>IFERROR(INDEX(tEditais[UF],MATCH(tItens[[#This Row],[Edital]],tEditais[Edital],0)),"")</f>
        <v>PR</v>
      </c>
      <c r="I5839" s="11">
        <f>IFERROR(INDEX(tEditais[Encerramento],MATCH(tItens[[#This Row],[Edital]],tEditais[Edital],0)),"")</f>
        <v>46309.375</v>
      </c>
      <c r="J5839" t="str">
        <f>IFERROR(INDEX(tProdutos[Classe],MATCH(tItens[[#This Row],[Produto]],tProdutos[Produto],0)),"produto não cadastrado")</f>
        <v>DISPUTADO</v>
      </c>
      <c r="K5839" s="12">
        <f>tItens[[#This Row],[Qtd]]*tItens[[#This Row],[Vlr unit]]</f>
        <v>3801</v>
      </c>
      <c r="L5839" s="6">
        <f>IFERROR(IF(INDEX(tProdutos[Desconto homologado],MATCH(tItens[[#This Row],[Produto]],tProdutos[Produto],0))="",DescontoPadrao,INDEX(tProdutos[Desconto homologado],MATCH(tItens[[#This Row],[Produto]],tProdutos[Produto],0))),DescontoPadrao)</f>
        <v>0.445300462249615</v>
      </c>
      <c r="M5839" s="12">
        <f>tItens[[#This Row],[Valor]]*(1-tItens[[#This Row],[Desconto]])</f>
        <v>2108.4129429892132</v>
      </c>
      <c r="N5839" t="str">
        <f>IFERROR(INDEX(tProdutos[Foco],MATCH(tItens[[#This Row],[Produto]],tProdutos[Produto],0)),"Não")</f>
        <v>Não</v>
      </c>
      <c r="O5839" t="str">
        <f>IFERROR(INDEX(tEditais[SRP],MATCH(tItens[[#This Row],[Edital]],tEditais[Edital],0)),"Não")</f>
        <v>Sim</v>
      </c>
      <c r="P5839" s="4">
        <f>IF(COUNTIFS(INDEX(tItens[Edital],1):tItens[[#This Row],[Edital]],tItens[[#This Row],[Edital]],INDEX(tItens[Produto],1):tItens[[#This Row],[Produto]],tItens[[#This Row],[Produto]])=1,1,0)</f>
        <v>0</v>
      </c>
    </row>
    <row r="5840" spans="1:16" x14ac:dyDescent="0.25">
      <c r="A5840" t="s">
        <v>2071</v>
      </c>
      <c r="B5840">
        <v>157</v>
      </c>
      <c r="C5840" t="s">
        <v>8598</v>
      </c>
      <c r="D5840" t="s">
        <v>164</v>
      </c>
      <c r="E5840" s="13">
        <v>800</v>
      </c>
      <c r="F5840" s="12">
        <v>13.19</v>
      </c>
      <c r="G5840" t="str">
        <f>IFERROR(INDEX(tEditais[Órgão],MATCH(tItens[[#This Row],[Edital]],tEditais[Edital],0)),"")</f>
        <v>MUNICIPIO DE JACAREZINHO</v>
      </c>
      <c r="H5840" t="str">
        <f>IFERROR(INDEX(tEditais[UF],MATCH(tItens[[#This Row],[Edital]],tEditais[Edital],0)),"")</f>
        <v>PR</v>
      </c>
      <c r="I5840" s="11">
        <f>IFERROR(INDEX(tEditais[Encerramento],MATCH(tItens[[#This Row],[Edital]],tEditais[Edital],0)),"")</f>
        <v>46309.375</v>
      </c>
      <c r="J5840" t="str">
        <f>IFERROR(INDEX(tProdutos[Classe],MATCH(tItens[[#This Row],[Produto]],tProdutos[Produto],0)),"produto não cadastrado")</f>
        <v>DISPUTADO</v>
      </c>
      <c r="K5840" s="12">
        <f>tItens[[#This Row],[Qtd]]*tItens[[#This Row],[Vlr unit]]</f>
        <v>10552</v>
      </c>
      <c r="L5840" s="6">
        <f>IFERROR(IF(INDEX(tProdutos[Desconto homologado],MATCH(tItens[[#This Row],[Produto]],tProdutos[Produto],0))="",DescontoPadrao,INDEX(tProdutos[Desconto homologado],MATCH(tItens[[#This Row],[Produto]],tProdutos[Produto],0))),DescontoPadrao)</f>
        <v>0.445300462249615</v>
      </c>
      <c r="M5840" s="12">
        <f>tItens[[#This Row],[Valor]]*(1-tItens[[#This Row],[Desconto]])</f>
        <v>5853.1895223420615</v>
      </c>
      <c r="N5840" t="str">
        <f>IFERROR(INDEX(tProdutos[Foco],MATCH(tItens[[#This Row],[Produto]],tProdutos[Produto],0)),"Não")</f>
        <v>Não</v>
      </c>
      <c r="O5840" t="str">
        <f>IFERROR(INDEX(tEditais[SRP],MATCH(tItens[[#This Row],[Edital]],tEditais[Edital],0)),"Não")</f>
        <v>Sim</v>
      </c>
      <c r="P5840" s="4">
        <f>IF(COUNTIFS(INDEX(tItens[Edital],1):tItens[[#This Row],[Edital]],tItens[[#This Row],[Edital]],INDEX(tItens[Produto],1):tItens[[#This Row],[Produto]],tItens[[#This Row],[Produto]])=1,1,0)</f>
        <v>0</v>
      </c>
    </row>
    <row r="5841" spans="1:16" x14ac:dyDescent="0.25">
      <c r="A5841" t="s">
        <v>2071</v>
      </c>
      <c r="B5841">
        <v>158</v>
      </c>
      <c r="C5841" t="s">
        <v>8599</v>
      </c>
      <c r="D5841" t="s">
        <v>120</v>
      </c>
      <c r="E5841" s="13">
        <v>600</v>
      </c>
      <c r="F5841" s="12">
        <v>2.13</v>
      </c>
      <c r="G5841" t="str">
        <f>IFERROR(INDEX(tEditais[Órgão],MATCH(tItens[[#This Row],[Edital]],tEditais[Edital],0)),"")</f>
        <v>MUNICIPIO DE JACAREZINHO</v>
      </c>
      <c r="H5841" t="str">
        <f>IFERROR(INDEX(tEditais[UF],MATCH(tItens[[#This Row],[Edital]],tEditais[Edital],0)),"")</f>
        <v>PR</v>
      </c>
      <c r="I5841" s="11">
        <f>IFERROR(INDEX(tEditais[Encerramento],MATCH(tItens[[#This Row],[Edital]],tEditais[Edital],0)),"")</f>
        <v>46309.375</v>
      </c>
      <c r="J5841" t="str">
        <f>IFERROR(INDEX(tProdutos[Classe],MATCH(tItens[[#This Row],[Produto]],tProdutos[Produto],0)),"produto não cadastrado")</f>
        <v>DISPUTADO</v>
      </c>
      <c r="K5841" s="12">
        <f>tItens[[#This Row],[Qtd]]*tItens[[#This Row],[Vlr unit]]</f>
        <v>1278</v>
      </c>
      <c r="L5841" s="6">
        <f>IFERROR(IF(INDEX(tProdutos[Desconto homologado],MATCH(tItens[[#This Row],[Produto]],tProdutos[Produto],0))="",DescontoPadrao,INDEX(tProdutos[Desconto homologado],MATCH(tItens[[#This Row],[Produto]],tProdutos[Produto],0))),DescontoPadrao)</f>
        <v>0.40909090909090901</v>
      </c>
      <c r="M5841" s="12">
        <f>tItens[[#This Row],[Valor]]*(1-tItens[[#This Row],[Desconto]])</f>
        <v>755.18181818181836</v>
      </c>
      <c r="N5841" t="str">
        <f>IFERROR(INDEX(tProdutos[Foco],MATCH(tItens[[#This Row],[Produto]],tProdutos[Produto],0)),"Não")</f>
        <v>Não</v>
      </c>
      <c r="O5841" t="str">
        <f>IFERROR(INDEX(tEditais[SRP],MATCH(tItens[[#This Row],[Edital]],tEditais[Edital],0)),"Não")</f>
        <v>Sim</v>
      </c>
      <c r="P5841" s="4">
        <f>IF(COUNTIFS(INDEX(tItens[Edital],1):tItens[[#This Row],[Edital]],tItens[[#This Row],[Edital]],INDEX(tItens[Produto],1):tItens[[#This Row],[Produto]],tItens[[#This Row],[Produto]])=1,1,0)</f>
        <v>1</v>
      </c>
    </row>
    <row r="5842" spans="1:16" x14ac:dyDescent="0.25">
      <c r="A5842" t="s">
        <v>2071</v>
      </c>
      <c r="B5842">
        <v>159</v>
      </c>
      <c r="C5842" t="s">
        <v>8600</v>
      </c>
      <c r="D5842" t="s">
        <v>120</v>
      </c>
      <c r="E5842" s="13">
        <v>600</v>
      </c>
      <c r="F5842" s="12">
        <v>2.41</v>
      </c>
      <c r="G5842" t="str">
        <f>IFERROR(INDEX(tEditais[Órgão],MATCH(tItens[[#This Row],[Edital]],tEditais[Edital],0)),"")</f>
        <v>MUNICIPIO DE JACAREZINHO</v>
      </c>
      <c r="H5842" t="str">
        <f>IFERROR(INDEX(tEditais[UF],MATCH(tItens[[#This Row],[Edital]],tEditais[Edital],0)),"")</f>
        <v>PR</v>
      </c>
      <c r="I5842" s="11">
        <f>IFERROR(INDEX(tEditais[Encerramento],MATCH(tItens[[#This Row],[Edital]],tEditais[Edital],0)),"")</f>
        <v>46309.375</v>
      </c>
      <c r="J5842" t="str">
        <f>IFERROR(INDEX(tProdutos[Classe],MATCH(tItens[[#This Row],[Produto]],tProdutos[Produto],0)),"produto não cadastrado")</f>
        <v>DISPUTADO</v>
      </c>
      <c r="K5842" s="12">
        <f>tItens[[#This Row],[Qtd]]*tItens[[#This Row],[Vlr unit]]</f>
        <v>1446</v>
      </c>
      <c r="L5842" s="6">
        <f>IFERROR(IF(INDEX(tProdutos[Desconto homologado],MATCH(tItens[[#This Row],[Produto]],tProdutos[Produto],0))="",DescontoPadrao,INDEX(tProdutos[Desconto homologado],MATCH(tItens[[#This Row],[Produto]],tProdutos[Produto],0))),DescontoPadrao)</f>
        <v>0.40909090909090901</v>
      </c>
      <c r="M5842" s="12">
        <f>tItens[[#This Row],[Valor]]*(1-tItens[[#This Row],[Desconto]])</f>
        <v>854.45454545454561</v>
      </c>
      <c r="N5842" t="str">
        <f>IFERROR(INDEX(tProdutos[Foco],MATCH(tItens[[#This Row],[Produto]],tProdutos[Produto],0)),"Não")</f>
        <v>Não</v>
      </c>
      <c r="O5842" t="str">
        <f>IFERROR(INDEX(tEditais[SRP],MATCH(tItens[[#This Row],[Edital]],tEditais[Edital],0)),"Não")</f>
        <v>Sim</v>
      </c>
      <c r="P5842" s="4">
        <f>IF(COUNTIFS(INDEX(tItens[Edital],1):tItens[[#This Row],[Edital]],tItens[[#This Row],[Edital]],INDEX(tItens[Produto],1):tItens[[#This Row],[Produto]],tItens[[#This Row],[Produto]])=1,1,0)</f>
        <v>0</v>
      </c>
    </row>
    <row r="5843" spans="1:16" x14ac:dyDescent="0.25">
      <c r="A5843" t="s">
        <v>2071</v>
      </c>
      <c r="B5843">
        <v>160</v>
      </c>
      <c r="C5843" t="s">
        <v>8601</v>
      </c>
      <c r="D5843" t="s">
        <v>120</v>
      </c>
      <c r="E5843" s="13">
        <v>2000</v>
      </c>
      <c r="F5843" s="12">
        <v>1.67</v>
      </c>
      <c r="G5843" t="str">
        <f>IFERROR(INDEX(tEditais[Órgão],MATCH(tItens[[#This Row],[Edital]],tEditais[Edital],0)),"")</f>
        <v>MUNICIPIO DE JACAREZINHO</v>
      </c>
      <c r="H5843" t="str">
        <f>IFERROR(INDEX(tEditais[UF],MATCH(tItens[[#This Row],[Edital]],tEditais[Edital],0)),"")</f>
        <v>PR</v>
      </c>
      <c r="I5843" s="11">
        <f>IFERROR(INDEX(tEditais[Encerramento],MATCH(tItens[[#This Row],[Edital]],tEditais[Edital],0)),"")</f>
        <v>46309.375</v>
      </c>
      <c r="J5843" t="str">
        <f>IFERROR(INDEX(tProdutos[Classe],MATCH(tItens[[#This Row],[Produto]],tProdutos[Produto],0)),"produto não cadastrado")</f>
        <v>DISPUTADO</v>
      </c>
      <c r="K5843" s="12">
        <f>tItens[[#This Row],[Qtd]]*tItens[[#This Row],[Vlr unit]]</f>
        <v>3340</v>
      </c>
      <c r="L5843" s="6">
        <f>IFERROR(IF(INDEX(tProdutos[Desconto homologado],MATCH(tItens[[#This Row],[Produto]],tProdutos[Produto],0))="",DescontoPadrao,INDEX(tProdutos[Desconto homologado],MATCH(tItens[[#This Row],[Produto]],tProdutos[Produto],0))),DescontoPadrao)</f>
        <v>0.40909090909090901</v>
      </c>
      <c r="M5843" s="12">
        <f>tItens[[#This Row],[Valor]]*(1-tItens[[#This Row],[Desconto]])</f>
        <v>1973.6363636363642</v>
      </c>
      <c r="N5843" t="str">
        <f>IFERROR(INDEX(tProdutos[Foco],MATCH(tItens[[#This Row],[Produto]],tProdutos[Produto],0)),"Não")</f>
        <v>Não</v>
      </c>
      <c r="O5843" t="str">
        <f>IFERROR(INDEX(tEditais[SRP],MATCH(tItens[[#This Row],[Edital]],tEditais[Edital],0)),"Não")</f>
        <v>Sim</v>
      </c>
      <c r="P5843" s="4">
        <f>IF(COUNTIFS(INDEX(tItens[Edital],1):tItens[[#This Row],[Edital]],tItens[[#This Row],[Edital]],INDEX(tItens[Produto],1):tItens[[#This Row],[Produto]],tItens[[#This Row],[Produto]])=1,1,0)</f>
        <v>0</v>
      </c>
    </row>
    <row r="5844" spans="1:16" x14ac:dyDescent="0.25">
      <c r="A5844" t="s">
        <v>2071</v>
      </c>
      <c r="B5844">
        <v>161</v>
      </c>
      <c r="C5844" t="s">
        <v>8602</v>
      </c>
      <c r="D5844" t="s">
        <v>120</v>
      </c>
      <c r="E5844" s="13">
        <v>2000</v>
      </c>
      <c r="F5844" s="12">
        <v>2.17</v>
      </c>
      <c r="G5844" t="str">
        <f>IFERROR(INDEX(tEditais[Órgão],MATCH(tItens[[#This Row],[Edital]],tEditais[Edital],0)),"")</f>
        <v>MUNICIPIO DE JACAREZINHO</v>
      </c>
      <c r="H5844" t="str">
        <f>IFERROR(INDEX(tEditais[UF],MATCH(tItens[[#This Row],[Edital]],tEditais[Edital],0)),"")</f>
        <v>PR</v>
      </c>
      <c r="I5844" s="11">
        <f>IFERROR(INDEX(tEditais[Encerramento],MATCH(tItens[[#This Row],[Edital]],tEditais[Edital],0)),"")</f>
        <v>46309.375</v>
      </c>
      <c r="J5844" t="str">
        <f>IFERROR(INDEX(tProdutos[Classe],MATCH(tItens[[#This Row],[Produto]],tProdutos[Produto],0)),"produto não cadastrado")</f>
        <v>DISPUTADO</v>
      </c>
      <c r="K5844" s="12">
        <f>tItens[[#This Row],[Qtd]]*tItens[[#This Row],[Vlr unit]]</f>
        <v>4340</v>
      </c>
      <c r="L5844" s="6">
        <f>IFERROR(IF(INDEX(tProdutos[Desconto homologado],MATCH(tItens[[#This Row],[Produto]],tProdutos[Produto],0))="",DescontoPadrao,INDEX(tProdutos[Desconto homologado],MATCH(tItens[[#This Row],[Produto]],tProdutos[Produto],0))),DescontoPadrao)</f>
        <v>0.40909090909090901</v>
      </c>
      <c r="M5844" s="12">
        <f>tItens[[#This Row],[Valor]]*(1-tItens[[#This Row],[Desconto]])</f>
        <v>2564.545454545455</v>
      </c>
      <c r="N5844" t="str">
        <f>IFERROR(INDEX(tProdutos[Foco],MATCH(tItens[[#This Row],[Produto]],tProdutos[Produto],0)),"Não")</f>
        <v>Não</v>
      </c>
      <c r="O5844" t="str">
        <f>IFERROR(INDEX(tEditais[SRP],MATCH(tItens[[#This Row],[Edital]],tEditais[Edital],0)),"Não")</f>
        <v>Sim</v>
      </c>
      <c r="P5844" s="4">
        <f>IF(COUNTIFS(INDEX(tItens[Edital],1):tItens[[#This Row],[Edital]],tItens[[#This Row],[Edital]],INDEX(tItens[Produto],1):tItens[[#This Row],[Produto]],tItens[[#This Row],[Produto]])=1,1,0)</f>
        <v>0</v>
      </c>
    </row>
    <row r="5845" spans="1:16" x14ac:dyDescent="0.25">
      <c r="A5845" t="s">
        <v>2071</v>
      </c>
      <c r="B5845">
        <v>169</v>
      </c>
      <c r="C5845" t="s">
        <v>8603</v>
      </c>
      <c r="D5845" t="s">
        <v>311</v>
      </c>
      <c r="E5845" s="13">
        <v>120</v>
      </c>
      <c r="F5845" s="12">
        <v>49.37</v>
      </c>
      <c r="G5845" t="str">
        <f>IFERROR(INDEX(tEditais[Órgão],MATCH(tItens[[#This Row],[Edital]],tEditais[Edital],0)),"")</f>
        <v>MUNICIPIO DE JACAREZINHO</v>
      </c>
      <c r="H5845" t="str">
        <f>IFERROR(INDEX(tEditais[UF],MATCH(tItens[[#This Row],[Edital]],tEditais[Edital],0)),"")</f>
        <v>PR</v>
      </c>
      <c r="I5845" s="11">
        <f>IFERROR(INDEX(tEditais[Encerramento],MATCH(tItens[[#This Row],[Edital]],tEditais[Edital],0)),"")</f>
        <v>46309.375</v>
      </c>
      <c r="J5845" t="str">
        <f>IFERROR(INDEX(tProdutos[Classe],MATCH(tItens[[#This Row],[Produto]],tProdutos[Produto],0)),"produto não cadastrado")</f>
        <v>FORA</v>
      </c>
      <c r="K5845" s="12">
        <f>tItens[[#This Row],[Qtd]]*tItens[[#This Row],[Vlr unit]]</f>
        <v>5924.4</v>
      </c>
      <c r="L5845" s="6">
        <f>IFERROR(IF(INDEX(tProdutos[Desconto homologado],MATCH(tItens[[#This Row],[Produto]],tProdutos[Produto],0))="",DescontoPadrao,INDEX(tProdutos[Desconto homologado],MATCH(tItens[[#This Row],[Produto]],tProdutos[Produto],0))),DescontoPadrao)</f>
        <v>0.29046182846371399</v>
      </c>
      <c r="M5845" s="12">
        <f>tItens[[#This Row],[Valor]]*(1-tItens[[#This Row],[Desconto]])</f>
        <v>4203.5879434495728</v>
      </c>
      <c r="N5845" t="str">
        <f>IFERROR(INDEX(tProdutos[Foco],MATCH(tItens[[#This Row],[Produto]],tProdutos[Produto],0)),"Não")</f>
        <v>Não</v>
      </c>
      <c r="O5845" t="str">
        <f>IFERROR(INDEX(tEditais[SRP],MATCH(tItens[[#This Row],[Edital]],tEditais[Edital],0)),"Não")</f>
        <v>Sim</v>
      </c>
      <c r="P5845" s="4">
        <f>IF(COUNTIFS(INDEX(tItens[Edital],1):tItens[[#This Row],[Edital]],tItens[[#This Row],[Edital]],INDEX(tItens[Produto],1):tItens[[#This Row],[Produto]],tItens[[#This Row],[Produto]])=1,1,0)</f>
        <v>0</v>
      </c>
    </row>
    <row r="5846" spans="1:16" x14ac:dyDescent="0.25">
      <c r="A5846" t="s">
        <v>2071</v>
      </c>
      <c r="B5846">
        <v>175</v>
      </c>
      <c r="C5846" t="s">
        <v>8604</v>
      </c>
      <c r="D5846" t="s">
        <v>267</v>
      </c>
      <c r="E5846" s="13">
        <v>3030</v>
      </c>
      <c r="F5846" s="12">
        <v>12.24</v>
      </c>
      <c r="G5846" t="str">
        <f>IFERROR(INDEX(tEditais[Órgão],MATCH(tItens[[#This Row],[Edital]],tEditais[Edital],0)),"")</f>
        <v>MUNICIPIO DE JACAREZINHO</v>
      </c>
      <c r="H5846" t="str">
        <f>IFERROR(INDEX(tEditais[UF],MATCH(tItens[[#This Row],[Edital]],tEditais[Edital],0)),"")</f>
        <v>PR</v>
      </c>
      <c r="I5846" s="11">
        <f>IFERROR(INDEX(tEditais[Encerramento],MATCH(tItens[[#This Row],[Edital]],tEditais[Edital],0)),"")</f>
        <v>46309.375</v>
      </c>
      <c r="J5846" t="str">
        <f>IFERROR(INDEX(tProdutos[Classe],MATCH(tItens[[#This Row],[Produto]],tProdutos[Produto],0)),"produto não cadastrado")</f>
        <v>FORA</v>
      </c>
      <c r="K5846" s="12">
        <f>tItens[[#This Row],[Qtd]]*tItens[[#This Row],[Vlr unit]]</f>
        <v>37087.199999999997</v>
      </c>
      <c r="L5846" s="6">
        <f>IFERROR(IF(INDEX(tProdutos[Desconto homologado],MATCH(tItens[[#This Row],[Produto]],tProdutos[Produto],0))="",DescontoPadrao,INDEX(tProdutos[Desconto homologado],MATCH(tItens[[#This Row],[Produto]],tProdutos[Produto],0))),DescontoPadrao)</f>
        <v>0.19963672657401599</v>
      </c>
      <c r="M5846" s="12">
        <f>tItens[[#This Row],[Valor]]*(1-tItens[[#This Row],[Desconto]])</f>
        <v>29683.232794204152</v>
      </c>
      <c r="N5846" t="str">
        <f>IFERROR(INDEX(tProdutos[Foco],MATCH(tItens[[#This Row],[Produto]],tProdutos[Produto],0)),"Não")</f>
        <v>Não</v>
      </c>
      <c r="O5846" t="str">
        <f>IFERROR(INDEX(tEditais[SRP],MATCH(tItens[[#This Row],[Edital]],tEditais[Edital],0)),"Não")</f>
        <v>Sim</v>
      </c>
      <c r="P5846" s="4">
        <f>IF(COUNTIFS(INDEX(tItens[Edital],1):tItens[[#This Row],[Edital]],tItens[[#This Row],[Edital]],INDEX(tItens[Produto],1):tItens[[#This Row],[Produto]],tItens[[#This Row],[Produto]])=1,1,0)</f>
        <v>0</v>
      </c>
    </row>
    <row r="5847" spans="1:16" x14ac:dyDescent="0.25">
      <c r="A5847" t="s">
        <v>2071</v>
      </c>
      <c r="B5847">
        <v>177</v>
      </c>
      <c r="C5847" t="s">
        <v>4171</v>
      </c>
      <c r="D5847" t="s">
        <v>114</v>
      </c>
      <c r="E5847" s="13">
        <v>690</v>
      </c>
      <c r="F5847" s="12">
        <v>18.39</v>
      </c>
      <c r="G5847" t="str">
        <f>IFERROR(INDEX(tEditais[Órgão],MATCH(tItens[[#This Row],[Edital]],tEditais[Edital],0)),"")</f>
        <v>MUNICIPIO DE JACAREZINHO</v>
      </c>
      <c r="H5847" t="str">
        <f>IFERROR(INDEX(tEditais[UF],MATCH(tItens[[#This Row],[Edital]],tEditais[Edital],0)),"")</f>
        <v>PR</v>
      </c>
      <c r="I5847" s="11">
        <f>IFERROR(INDEX(tEditais[Encerramento],MATCH(tItens[[#This Row],[Edital]],tEditais[Edital],0)),"")</f>
        <v>46309.375</v>
      </c>
      <c r="J5847" t="str">
        <f>IFERROR(INDEX(tProdutos[Classe],MATCH(tItens[[#This Row],[Produto]],tProdutos[Produto],0)),"produto não cadastrado")</f>
        <v>DISPUTADO</v>
      </c>
      <c r="K5847" s="12">
        <f>tItens[[#This Row],[Qtd]]*tItens[[#This Row],[Vlr unit]]</f>
        <v>12689.1</v>
      </c>
      <c r="L5847" s="6">
        <f>IFERROR(IF(INDEX(tProdutos[Desconto homologado],MATCH(tItens[[#This Row],[Produto]],tProdutos[Produto],0))="",DescontoPadrao,INDEX(tProdutos[Desconto homologado],MATCH(tItens[[#This Row],[Produto]],tProdutos[Produto],0))),DescontoPadrao)</f>
        <v>0.24332656063896899</v>
      </c>
      <c r="M5847" s="12">
        <f>tItens[[#This Row],[Valor]]*(1-tItens[[#This Row],[Desconto]])</f>
        <v>9601.5049393960599</v>
      </c>
      <c r="N5847" t="str">
        <f>IFERROR(INDEX(tProdutos[Foco],MATCH(tItens[[#This Row],[Produto]],tProdutos[Produto],0)),"Não")</f>
        <v>Não</v>
      </c>
      <c r="O5847" t="str">
        <f>IFERROR(INDEX(tEditais[SRP],MATCH(tItens[[#This Row],[Edital]],tEditais[Edital],0)),"Não")</f>
        <v>Sim</v>
      </c>
      <c r="P5847" s="4">
        <f>IF(COUNTIFS(INDEX(tItens[Edital],1):tItens[[#This Row],[Edital]],tItens[[#This Row],[Edital]],INDEX(tItens[Produto],1):tItens[[#This Row],[Produto]],tItens[[#This Row],[Produto]])=1,1,0)</f>
        <v>1</v>
      </c>
    </row>
    <row r="5848" spans="1:16" x14ac:dyDescent="0.25">
      <c r="A5848" t="s">
        <v>2071</v>
      </c>
      <c r="B5848">
        <v>183</v>
      </c>
      <c r="C5848" t="s">
        <v>3474</v>
      </c>
      <c r="D5848" t="s">
        <v>313</v>
      </c>
      <c r="E5848" s="13">
        <v>1018</v>
      </c>
      <c r="F5848" s="12">
        <v>31.59</v>
      </c>
      <c r="G5848" t="str">
        <f>IFERROR(INDEX(tEditais[Órgão],MATCH(tItens[[#This Row],[Edital]],tEditais[Edital],0)),"")</f>
        <v>MUNICIPIO DE JACAREZINHO</v>
      </c>
      <c r="H5848" t="str">
        <f>IFERROR(INDEX(tEditais[UF],MATCH(tItens[[#This Row],[Edital]],tEditais[Edital],0)),"")</f>
        <v>PR</v>
      </c>
      <c r="I5848" s="11">
        <f>IFERROR(INDEX(tEditais[Encerramento],MATCH(tItens[[#This Row],[Edital]],tEditais[Edital],0)),"")</f>
        <v>46309.375</v>
      </c>
      <c r="J5848" t="str">
        <f>IFERROR(INDEX(tProdutos[Classe],MATCH(tItens[[#This Row],[Produto]],tProdutos[Produto],0)),"produto não cadastrado")</f>
        <v>FORA</v>
      </c>
      <c r="K5848" s="12">
        <f>tItens[[#This Row],[Qtd]]*tItens[[#This Row],[Vlr unit]]</f>
        <v>32158.62</v>
      </c>
      <c r="L5848" s="6">
        <f>IFERROR(IF(INDEX(tProdutos[Desconto homologado],MATCH(tItens[[#This Row],[Produto]],tProdutos[Produto],0))="",DescontoPadrao,INDEX(tProdutos[Desconto homologado],MATCH(tItens[[#This Row],[Produto]],tProdutos[Produto],0))),DescontoPadrao)</f>
        <v>0.35766373163696302</v>
      </c>
      <c r="M5848" s="12">
        <f>tItens[[#This Row],[Valor]]*(1-tItens[[#This Row],[Desconto]])</f>
        <v>20656.647966504926</v>
      </c>
      <c r="N5848" t="str">
        <f>IFERROR(INDEX(tProdutos[Foco],MATCH(tItens[[#This Row],[Produto]],tProdutos[Produto],0)),"Não")</f>
        <v>Não</v>
      </c>
      <c r="O5848" t="str">
        <f>IFERROR(INDEX(tEditais[SRP],MATCH(tItens[[#This Row],[Edital]],tEditais[Edital],0)),"Não")</f>
        <v>Sim</v>
      </c>
      <c r="P5848" s="4">
        <f>IF(COUNTIFS(INDEX(tItens[Edital],1):tItens[[#This Row],[Edital]],tItens[[#This Row],[Edital]],INDEX(tItens[Produto],1):tItens[[#This Row],[Produto]],tItens[[#This Row],[Produto]])=1,1,0)</f>
        <v>0</v>
      </c>
    </row>
    <row r="5849" spans="1:16" x14ac:dyDescent="0.25">
      <c r="A5849" t="s">
        <v>2074</v>
      </c>
      <c r="B5849">
        <v>11</v>
      </c>
      <c r="C5849" t="s">
        <v>8605</v>
      </c>
      <c r="D5849" t="s">
        <v>267</v>
      </c>
      <c r="E5849" s="13">
        <v>420</v>
      </c>
      <c r="F5849" s="12">
        <v>40.1</v>
      </c>
      <c r="G5849" t="str">
        <f>IFERROR(INDEX(tEditais[Órgão],MATCH(tItens[[#This Row],[Edital]],tEditais[Edital],0)),"")</f>
        <v>FUNDO MUNICIPAL DA SAUDE</v>
      </c>
      <c r="H5849" t="str">
        <f>IFERROR(INDEX(tEditais[UF],MATCH(tItens[[#This Row],[Edital]],tEditais[Edital],0)),"")</f>
        <v>PR</v>
      </c>
      <c r="I5849" s="11">
        <f>IFERROR(INDEX(tEditais[Encerramento],MATCH(tItens[[#This Row],[Edital]],tEditais[Edital],0)),"")</f>
        <v>46309.375</v>
      </c>
      <c r="J5849" t="str">
        <f>IFERROR(INDEX(tProdutos[Classe],MATCH(tItens[[#This Row],[Produto]],tProdutos[Produto],0)),"produto não cadastrado")</f>
        <v>FORA</v>
      </c>
      <c r="K5849" s="12">
        <f>tItens[[#This Row],[Qtd]]*tItens[[#This Row],[Vlr unit]]</f>
        <v>16842</v>
      </c>
      <c r="L5849" s="6">
        <f>IFERROR(IF(INDEX(tProdutos[Desconto homologado],MATCH(tItens[[#This Row],[Produto]],tProdutos[Produto],0))="",DescontoPadrao,INDEX(tProdutos[Desconto homologado],MATCH(tItens[[#This Row],[Produto]],tProdutos[Produto],0))),DescontoPadrao)</f>
        <v>0.19963672657401599</v>
      </c>
      <c r="M5849" s="12">
        <f>tItens[[#This Row],[Valor]]*(1-tItens[[#This Row],[Desconto]])</f>
        <v>13479.718251040424</v>
      </c>
      <c r="N5849" t="str">
        <f>IFERROR(INDEX(tProdutos[Foco],MATCH(tItens[[#This Row],[Produto]],tProdutos[Produto],0)),"Não")</f>
        <v>Não</v>
      </c>
      <c r="O5849" t="str">
        <f>IFERROR(INDEX(tEditais[SRP],MATCH(tItens[[#This Row],[Edital]],tEditais[Edital],0)),"Não")</f>
        <v>Não</v>
      </c>
      <c r="P5849" s="4">
        <f>IF(COUNTIFS(INDEX(tItens[Edital],1):tItens[[#This Row],[Edital]],tItens[[#This Row],[Edital]],INDEX(tItens[Produto],1):tItens[[#This Row],[Produto]],tItens[[#This Row],[Produto]])=1,1,0)</f>
        <v>1</v>
      </c>
    </row>
    <row r="5850" spans="1:16" x14ac:dyDescent="0.25">
      <c r="A5850" t="s">
        <v>2077</v>
      </c>
      <c r="B5850">
        <v>1</v>
      </c>
      <c r="C5850" t="s">
        <v>8606</v>
      </c>
      <c r="D5850" t="s">
        <v>315</v>
      </c>
      <c r="E5850" s="13">
        <v>5000</v>
      </c>
      <c r="F5850" s="12">
        <v>0.25</v>
      </c>
      <c r="G5850" t="str">
        <f>IFERROR(INDEX(tEditais[Órgão],MATCH(tItens[[#This Row],[Edital]],tEditais[Edital],0)),"")</f>
        <v>MUNICIPIO DE CAPANEMA</v>
      </c>
      <c r="H5850" t="str">
        <f>IFERROR(INDEX(tEditais[UF],MATCH(tItens[[#This Row],[Edital]],tEditais[Edital],0)),"")</f>
        <v>PR</v>
      </c>
      <c r="I5850" s="11">
        <f>IFERROR(INDEX(tEditais[Encerramento],MATCH(tItens[[#This Row],[Edital]],tEditais[Edital],0)),"")</f>
        <v>46309.5625</v>
      </c>
      <c r="J5850" t="str">
        <f>IFERROR(INDEX(tProdutos[Classe],MATCH(tItens[[#This Row],[Produto]],tProdutos[Produto],0)),"produto não cadastrado")</f>
        <v>FORA</v>
      </c>
      <c r="K5850" s="12">
        <f>tItens[[#This Row],[Qtd]]*tItens[[#This Row],[Vlr unit]]</f>
        <v>1250</v>
      </c>
      <c r="L5850" s="6">
        <f>IFERROR(IF(INDEX(tProdutos[Desconto homologado],MATCH(tItens[[#This Row],[Produto]],tProdutos[Produto],0))="",DescontoPadrao,INDEX(tProdutos[Desconto homologado],MATCH(tItens[[#This Row],[Produto]],tProdutos[Produto],0))),DescontoPadrao)</f>
        <v>0.38432036097010702</v>
      </c>
      <c r="M5850" s="12">
        <f>tItens[[#This Row],[Valor]]*(1-tItens[[#This Row],[Desconto]])</f>
        <v>769.59954878736619</v>
      </c>
      <c r="N5850" t="str">
        <f>IFERROR(INDEX(tProdutos[Foco],MATCH(tItens[[#This Row],[Produto]],tProdutos[Produto],0)),"Não")</f>
        <v>Não</v>
      </c>
      <c r="O5850" t="str">
        <f>IFERROR(INDEX(tEditais[SRP],MATCH(tItens[[#This Row],[Edital]],tEditais[Edital],0)),"Não")</f>
        <v>Sim</v>
      </c>
      <c r="P5850" s="4">
        <f>IF(COUNTIFS(INDEX(tItens[Edital],1):tItens[[#This Row],[Edital]],tItens[[#This Row],[Edital]],INDEX(tItens[Produto],1):tItens[[#This Row],[Produto]],tItens[[#This Row],[Produto]])=1,1,0)</f>
        <v>1</v>
      </c>
    </row>
    <row r="5851" spans="1:16" x14ac:dyDescent="0.25">
      <c r="A5851" t="s">
        <v>2077</v>
      </c>
      <c r="B5851">
        <v>4</v>
      </c>
      <c r="C5851" t="s">
        <v>8607</v>
      </c>
      <c r="D5851" t="s">
        <v>375</v>
      </c>
      <c r="E5851" s="13">
        <v>96</v>
      </c>
      <c r="F5851" s="12">
        <v>4.8600000000000003</v>
      </c>
      <c r="G5851" t="str">
        <f>IFERROR(INDEX(tEditais[Órgão],MATCH(tItens[[#This Row],[Edital]],tEditais[Edital],0)),"")</f>
        <v>MUNICIPIO DE CAPANEMA</v>
      </c>
      <c r="H5851" t="str">
        <f>IFERROR(INDEX(tEditais[UF],MATCH(tItens[[#This Row],[Edital]],tEditais[Edital],0)),"")</f>
        <v>PR</v>
      </c>
      <c r="I5851" s="11">
        <f>IFERROR(INDEX(tEditais[Encerramento],MATCH(tItens[[#This Row],[Edital]],tEditais[Edital],0)),"")</f>
        <v>46309.5625</v>
      </c>
      <c r="J5851" t="str">
        <f>IFERROR(INDEX(tProdutos[Classe],MATCH(tItens[[#This Row],[Produto]],tProdutos[Produto],0)),"produto não cadastrado")</f>
        <v>FORA</v>
      </c>
      <c r="K5851" s="12">
        <f>tItens[[#This Row],[Qtd]]*tItens[[#This Row],[Vlr unit]]</f>
        <v>466.56000000000006</v>
      </c>
      <c r="L5851" s="6">
        <f>IFERROR(IF(INDEX(tProdutos[Desconto homologado],MATCH(tItens[[#This Row],[Produto]],tProdutos[Produto],0))="",DescontoPadrao,INDEX(tProdutos[Desconto homologado],MATCH(tItens[[#This Row],[Produto]],tProdutos[Produto],0))),DescontoPadrao)</f>
        <v>0.25005895299481201</v>
      </c>
      <c r="M5851" s="12">
        <f>tItens[[#This Row],[Valor]]*(1-tItens[[#This Row],[Desconto]])</f>
        <v>349.89249489074052</v>
      </c>
      <c r="N5851" t="str">
        <f>IFERROR(INDEX(tProdutos[Foco],MATCH(tItens[[#This Row],[Produto]],tProdutos[Produto],0)),"Não")</f>
        <v>Não</v>
      </c>
      <c r="O5851" t="str">
        <f>IFERROR(INDEX(tEditais[SRP],MATCH(tItens[[#This Row],[Edital]],tEditais[Edital],0)),"Não")</f>
        <v>Sim</v>
      </c>
      <c r="P5851" s="4">
        <f>IF(COUNTIFS(INDEX(tItens[Edital],1):tItens[[#This Row],[Edital]],tItens[[#This Row],[Edital]],INDEX(tItens[Produto],1):tItens[[#This Row],[Produto]],tItens[[#This Row],[Produto]])=1,1,0)</f>
        <v>1</v>
      </c>
    </row>
    <row r="5852" spans="1:16" x14ac:dyDescent="0.25">
      <c r="A5852" t="s">
        <v>2077</v>
      </c>
      <c r="B5852">
        <v>5</v>
      </c>
      <c r="C5852" t="s">
        <v>8608</v>
      </c>
      <c r="D5852" t="s">
        <v>375</v>
      </c>
      <c r="E5852" s="13">
        <v>96</v>
      </c>
      <c r="F5852" s="12">
        <v>5.51</v>
      </c>
      <c r="G5852" t="str">
        <f>IFERROR(INDEX(tEditais[Órgão],MATCH(tItens[[#This Row],[Edital]],tEditais[Edital],0)),"")</f>
        <v>MUNICIPIO DE CAPANEMA</v>
      </c>
      <c r="H5852" t="str">
        <f>IFERROR(INDEX(tEditais[UF],MATCH(tItens[[#This Row],[Edital]],tEditais[Edital],0)),"")</f>
        <v>PR</v>
      </c>
      <c r="I5852" s="11">
        <f>IFERROR(INDEX(tEditais[Encerramento],MATCH(tItens[[#This Row],[Edital]],tEditais[Edital],0)),"")</f>
        <v>46309.5625</v>
      </c>
      <c r="J5852" t="str">
        <f>IFERROR(INDEX(tProdutos[Classe],MATCH(tItens[[#This Row],[Produto]],tProdutos[Produto],0)),"produto não cadastrado")</f>
        <v>FORA</v>
      </c>
      <c r="K5852" s="12">
        <f>tItens[[#This Row],[Qtd]]*tItens[[#This Row],[Vlr unit]]</f>
        <v>528.96</v>
      </c>
      <c r="L5852" s="6">
        <f>IFERROR(IF(INDEX(tProdutos[Desconto homologado],MATCH(tItens[[#This Row],[Produto]],tProdutos[Produto],0))="",DescontoPadrao,INDEX(tProdutos[Desconto homologado],MATCH(tItens[[#This Row],[Produto]],tProdutos[Produto],0))),DescontoPadrao)</f>
        <v>0.25005895299481201</v>
      </c>
      <c r="M5852" s="12">
        <f>tItens[[#This Row],[Valor]]*(1-tItens[[#This Row],[Desconto]])</f>
        <v>396.68881622386425</v>
      </c>
      <c r="N5852" t="str">
        <f>IFERROR(INDEX(tProdutos[Foco],MATCH(tItens[[#This Row],[Produto]],tProdutos[Produto],0)),"Não")</f>
        <v>Não</v>
      </c>
      <c r="O5852" t="str">
        <f>IFERROR(INDEX(tEditais[SRP],MATCH(tItens[[#This Row],[Edital]],tEditais[Edital],0)),"Não")</f>
        <v>Sim</v>
      </c>
      <c r="P5852" s="4">
        <f>IF(COUNTIFS(INDEX(tItens[Edital],1):tItens[[#This Row],[Edital]],tItens[[#This Row],[Edital]],INDEX(tItens[Produto],1):tItens[[#This Row],[Produto]],tItens[[#This Row],[Produto]])=1,1,0)</f>
        <v>0</v>
      </c>
    </row>
    <row r="5853" spans="1:16" x14ac:dyDescent="0.25">
      <c r="A5853" t="s">
        <v>2077</v>
      </c>
      <c r="B5853">
        <v>9</v>
      </c>
      <c r="C5853" t="s">
        <v>8609</v>
      </c>
      <c r="D5853" t="s">
        <v>512</v>
      </c>
      <c r="E5853" s="13">
        <v>50</v>
      </c>
      <c r="F5853" s="12">
        <v>11.65</v>
      </c>
      <c r="G5853" t="str">
        <f>IFERROR(INDEX(tEditais[Órgão],MATCH(tItens[[#This Row],[Edital]],tEditais[Edital],0)),"")</f>
        <v>MUNICIPIO DE CAPANEMA</v>
      </c>
      <c r="H5853" t="str">
        <f>IFERROR(INDEX(tEditais[UF],MATCH(tItens[[#This Row],[Edital]],tEditais[Edital],0)),"")</f>
        <v>PR</v>
      </c>
      <c r="I5853" s="11">
        <f>IFERROR(INDEX(tEditais[Encerramento],MATCH(tItens[[#This Row],[Edital]],tEditais[Edital],0)),"")</f>
        <v>46309.5625</v>
      </c>
      <c r="J5853" t="str">
        <f>IFERROR(INDEX(tProdutos[Classe],MATCH(tItens[[#This Row],[Produto]],tProdutos[Produto],0)),"produto não cadastrado")</f>
        <v>FILA REBASE</v>
      </c>
      <c r="K5853" s="12">
        <f>tItens[[#This Row],[Qtd]]*tItens[[#This Row],[Vlr unit]]</f>
        <v>582.5</v>
      </c>
      <c r="L5853" s="6">
        <f>IFERROR(IF(INDEX(tProdutos[Desconto homologado],MATCH(tItens[[#This Row],[Produto]],tProdutos[Produto],0))="",DescontoPadrao,INDEX(tProdutos[Desconto homologado],MATCH(tItens[[#This Row],[Produto]],tProdutos[Produto],0))),DescontoPadrao)</f>
        <v>0.32579365079365102</v>
      </c>
      <c r="M5853" s="12">
        <f>tItens[[#This Row],[Valor]]*(1-tItens[[#This Row],[Desconto]])</f>
        <v>392.72519841269832</v>
      </c>
      <c r="N5853" t="str">
        <f>IFERROR(INDEX(tProdutos[Foco],MATCH(tItens[[#This Row],[Produto]],tProdutos[Produto],0)),"Não")</f>
        <v>Não</v>
      </c>
      <c r="O5853" t="str">
        <f>IFERROR(INDEX(tEditais[SRP],MATCH(tItens[[#This Row],[Edital]],tEditais[Edital],0)),"Não")</f>
        <v>Sim</v>
      </c>
      <c r="P5853" s="4">
        <f>IF(COUNTIFS(INDEX(tItens[Edital],1):tItens[[#This Row],[Edital]],tItens[[#This Row],[Edital]],INDEX(tItens[Produto],1):tItens[[#This Row],[Produto]],tItens[[#This Row],[Produto]])=1,1,0)</f>
        <v>1</v>
      </c>
    </row>
    <row r="5854" spans="1:16" x14ac:dyDescent="0.25">
      <c r="A5854" t="s">
        <v>2077</v>
      </c>
      <c r="B5854">
        <v>22</v>
      </c>
      <c r="C5854" t="s">
        <v>8610</v>
      </c>
      <c r="D5854" t="s">
        <v>110</v>
      </c>
      <c r="E5854" s="13">
        <v>50</v>
      </c>
      <c r="F5854" s="12">
        <v>1.85</v>
      </c>
      <c r="G5854" t="str">
        <f>IFERROR(INDEX(tEditais[Órgão],MATCH(tItens[[#This Row],[Edital]],tEditais[Edital],0)),"")</f>
        <v>MUNICIPIO DE CAPANEMA</v>
      </c>
      <c r="H5854" t="str">
        <f>IFERROR(INDEX(tEditais[UF],MATCH(tItens[[#This Row],[Edital]],tEditais[Edital],0)),"")</f>
        <v>PR</v>
      </c>
      <c r="I5854" s="11">
        <f>IFERROR(INDEX(tEditais[Encerramento],MATCH(tItens[[#This Row],[Edital]],tEditais[Edital],0)),"")</f>
        <v>46309.5625</v>
      </c>
      <c r="J5854" t="str">
        <f>IFERROR(INDEX(tProdutos[Classe],MATCH(tItens[[#This Row],[Produto]],tProdutos[Produto],0)),"produto não cadastrado")</f>
        <v>NÚCLEO</v>
      </c>
      <c r="K5854" s="12">
        <f>tItens[[#This Row],[Qtd]]*tItens[[#This Row],[Vlr unit]]</f>
        <v>92.5</v>
      </c>
      <c r="L5854" s="6">
        <f>IFERROR(IF(INDEX(tProdutos[Desconto homologado],MATCH(tItens[[#This Row],[Produto]],tProdutos[Produto],0))="",DescontoPadrao,INDEX(tProdutos[Desconto homologado],MATCH(tItens[[#This Row],[Produto]],tProdutos[Produto],0))),DescontoPadrao)</f>
        <v>0.30410958904109597</v>
      </c>
      <c r="M5854" s="12">
        <f>tItens[[#This Row],[Valor]]*(1-tItens[[#This Row],[Desconto]])</f>
        <v>64.36986301369862</v>
      </c>
      <c r="N5854" t="str">
        <f>IFERROR(INDEX(tProdutos[Foco],MATCH(tItens[[#This Row],[Produto]],tProdutos[Produto],0)),"Não")</f>
        <v>Não</v>
      </c>
      <c r="O5854" t="str">
        <f>IFERROR(INDEX(tEditais[SRP],MATCH(tItens[[#This Row],[Edital]],tEditais[Edital],0)),"Não")</f>
        <v>Sim</v>
      </c>
      <c r="P5854" s="4">
        <f>IF(COUNTIFS(INDEX(tItens[Edital],1):tItens[[#This Row],[Edital]],tItens[[#This Row],[Edital]],INDEX(tItens[Produto],1):tItens[[#This Row],[Produto]],tItens[[#This Row],[Produto]])=1,1,0)</f>
        <v>1</v>
      </c>
    </row>
    <row r="5855" spans="1:16" x14ac:dyDescent="0.25">
      <c r="A5855" t="s">
        <v>2077</v>
      </c>
      <c r="B5855">
        <v>23</v>
      </c>
      <c r="C5855" t="s">
        <v>8611</v>
      </c>
      <c r="D5855" t="s">
        <v>110</v>
      </c>
      <c r="E5855" s="13">
        <v>50</v>
      </c>
      <c r="F5855" s="12">
        <v>1.89</v>
      </c>
      <c r="G5855" t="str">
        <f>IFERROR(INDEX(tEditais[Órgão],MATCH(tItens[[#This Row],[Edital]],tEditais[Edital],0)),"")</f>
        <v>MUNICIPIO DE CAPANEMA</v>
      </c>
      <c r="H5855" t="str">
        <f>IFERROR(INDEX(tEditais[UF],MATCH(tItens[[#This Row],[Edital]],tEditais[Edital],0)),"")</f>
        <v>PR</v>
      </c>
      <c r="I5855" s="11">
        <f>IFERROR(INDEX(tEditais[Encerramento],MATCH(tItens[[#This Row],[Edital]],tEditais[Edital],0)),"")</f>
        <v>46309.5625</v>
      </c>
      <c r="J5855" t="str">
        <f>IFERROR(INDEX(tProdutos[Classe],MATCH(tItens[[#This Row],[Produto]],tProdutos[Produto],0)),"produto não cadastrado")</f>
        <v>NÚCLEO</v>
      </c>
      <c r="K5855" s="12">
        <f>tItens[[#This Row],[Qtd]]*tItens[[#This Row],[Vlr unit]]</f>
        <v>94.5</v>
      </c>
      <c r="L5855" s="6">
        <f>IFERROR(IF(INDEX(tProdutos[Desconto homologado],MATCH(tItens[[#This Row],[Produto]],tProdutos[Produto],0))="",DescontoPadrao,INDEX(tProdutos[Desconto homologado],MATCH(tItens[[#This Row],[Produto]],tProdutos[Produto],0))),DescontoPadrao)</f>
        <v>0.30410958904109597</v>
      </c>
      <c r="M5855" s="12">
        <f>tItens[[#This Row],[Valor]]*(1-tItens[[#This Row],[Desconto]])</f>
        <v>65.761643835616425</v>
      </c>
      <c r="N5855" t="str">
        <f>IFERROR(INDEX(tProdutos[Foco],MATCH(tItens[[#This Row],[Produto]],tProdutos[Produto],0)),"Não")</f>
        <v>Não</v>
      </c>
      <c r="O5855" t="str">
        <f>IFERROR(INDEX(tEditais[SRP],MATCH(tItens[[#This Row],[Edital]],tEditais[Edital],0)),"Não")</f>
        <v>Sim</v>
      </c>
      <c r="P5855" s="4">
        <f>IF(COUNTIFS(INDEX(tItens[Edital],1):tItens[[#This Row],[Edital]],tItens[[#This Row],[Edital]],INDEX(tItens[Produto],1):tItens[[#This Row],[Produto]],tItens[[#This Row],[Produto]])=1,1,0)</f>
        <v>0</v>
      </c>
    </row>
    <row r="5856" spans="1:16" x14ac:dyDescent="0.25">
      <c r="A5856" t="s">
        <v>2077</v>
      </c>
      <c r="B5856">
        <v>24</v>
      </c>
      <c r="C5856" t="s">
        <v>8612</v>
      </c>
      <c r="D5856" t="s">
        <v>110</v>
      </c>
      <c r="E5856" s="13">
        <v>50</v>
      </c>
      <c r="F5856" s="12">
        <v>1.58</v>
      </c>
      <c r="G5856" t="str">
        <f>IFERROR(INDEX(tEditais[Órgão],MATCH(tItens[[#This Row],[Edital]],tEditais[Edital],0)),"")</f>
        <v>MUNICIPIO DE CAPANEMA</v>
      </c>
      <c r="H5856" t="str">
        <f>IFERROR(INDEX(tEditais[UF],MATCH(tItens[[#This Row],[Edital]],tEditais[Edital],0)),"")</f>
        <v>PR</v>
      </c>
      <c r="I5856" s="11">
        <f>IFERROR(INDEX(tEditais[Encerramento],MATCH(tItens[[#This Row],[Edital]],tEditais[Edital],0)),"")</f>
        <v>46309.5625</v>
      </c>
      <c r="J5856" t="str">
        <f>IFERROR(INDEX(tProdutos[Classe],MATCH(tItens[[#This Row],[Produto]],tProdutos[Produto],0)),"produto não cadastrado")</f>
        <v>NÚCLEO</v>
      </c>
      <c r="K5856" s="12">
        <f>tItens[[#This Row],[Qtd]]*tItens[[#This Row],[Vlr unit]]</f>
        <v>79</v>
      </c>
      <c r="L5856" s="6">
        <f>IFERROR(IF(INDEX(tProdutos[Desconto homologado],MATCH(tItens[[#This Row],[Produto]],tProdutos[Produto],0))="",DescontoPadrao,INDEX(tProdutos[Desconto homologado],MATCH(tItens[[#This Row],[Produto]],tProdutos[Produto],0))),DescontoPadrao)</f>
        <v>0.30410958904109597</v>
      </c>
      <c r="M5856" s="12">
        <f>tItens[[#This Row],[Valor]]*(1-tItens[[#This Row],[Desconto]])</f>
        <v>54.975342465753421</v>
      </c>
      <c r="N5856" t="str">
        <f>IFERROR(INDEX(tProdutos[Foco],MATCH(tItens[[#This Row],[Produto]],tProdutos[Produto],0)),"Não")</f>
        <v>Não</v>
      </c>
      <c r="O5856" t="str">
        <f>IFERROR(INDEX(tEditais[SRP],MATCH(tItens[[#This Row],[Edital]],tEditais[Edital],0)),"Não")</f>
        <v>Sim</v>
      </c>
      <c r="P5856" s="4">
        <f>IF(COUNTIFS(INDEX(tItens[Edital],1):tItens[[#This Row],[Edital]],tItens[[#This Row],[Edital]],INDEX(tItens[Produto],1):tItens[[#This Row],[Produto]],tItens[[#This Row],[Produto]])=1,1,0)</f>
        <v>0</v>
      </c>
    </row>
    <row r="5857" spans="1:16" x14ac:dyDescent="0.25">
      <c r="A5857" t="s">
        <v>2077</v>
      </c>
      <c r="B5857">
        <v>25</v>
      </c>
      <c r="C5857" t="s">
        <v>8613</v>
      </c>
      <c r="D5857" t="s">
        <v>110</v>
      </c>
      <c r="E5857" s="13">
        <v>50</v>
      </c>
      <c r="F5857" s="12">
        <v>1.38</v>
      </c>
      <c r="G5857" t="str">
        <f>IFERROR(INDEX(tEditais[Órgão],MATCH(tItens[[#This Row],[Edital]],tEditais[Edital],0)),"")</f>
        <v>MUNICIPIO DE CAPANEMA</v>
      </c>
      <c r="H5857" t="str">
        <f>IFERROR(INDEX(tEditais[UF],MATCH(tItens[[#This Row],[Edital]],tEditais[Edital],0)),"")</f>
        <v>PR</v>
      </c>
      <c r="I5857" s="11">
        <f>IFERROR(INDEX(tEditais[Encerramento],MATCH(tItens[[#This Row],[Edital]],tEditais[Edital],0)),"")</f>
        <v>46309.5625</v>
      </c>
      <c r="J5857" t="str">
        <f>IFERROR(INDEX(tProdutos[Classe],MATCH(tItens[[#This Row],[Produto]],tProdutos[Produto],0)),"produto não cadastrado")</f>
        <v>NÚCLEO</v>
      </c>
      <c r="K5857" s="12">
        <f>tItens[[#This Row],[Qtd]]*tItens[[#This Row],[Vlr unit]]</f>
        <v>69</v>
      </c>
      <c r="L5857" s="6">
        <f>IFERROR(IF(INDEX(tProdutos[Desconto homologado],MATCH(tItens[[#This Row],[Produto]],tProdutos[Produto],0))="",DescontoPadrao,INDEX(tProdutos[Desconto homologado],MATCH(tItens[[#This Row],[Produto]],tProdutos[Produto],0))),DescontoPadrao)</f>
        <v>0.30410958904109597</v>
      </c>
      <c r="M5857" s="12">
        <f>tItens[[#This Row],[Valor]]*(1-tItens[[#This Row],[Desconto]])</f>
        <v>48.016438356164379</v>
      </c>
      <c r="N5857" t="str">
        <f>IFERROR(INDEX(tProdutos[Foco],MATCH(tItens[[#This Row],[Produto]],tProdutos[Produto],0)),"Não")</f>
        <v>Não</v>
      </c>
      <c r="O5857" t="str">
        <f>IFERROR(INDEX(tEditais[SRP],MATCH(tItens[[#This Row],[Edital]],tEditais[Edital],0)),"Não")</f>
        <v>Sim</v>
      </c>
      <c r="P5857" s="4">
        <f>IF(COUNTIFS(INDEX(tItens[Edital],1):tItens[[#This Row],[Edital]],tItens[[#This Row],[Edital]],INDEX(tItens[Produto],1):tItens[[#This Row],[Produto]],tItens[[#This Row],[Produto]])=1,1,0)</f>
        <v>0</v>
      </c>
    </row>
    <row r="5858" spans="1:16" x14ac:dyDescent="0.25">
      <c r="A5858" t="s">
        <v>2077</v>
      </c>
      <c r="B5858">
        <v>27</v>
      </c>
      <c r="C5858" t="s">
        <v>8614</v>
      </c>
      <c r="D5858" t="s">
        <v>164</v>
      </c>
      <c r="E5858" s="13">
        <v>200</v>
      </c>
      <c r="F5858" s="12">
        <v>14.2</v>
      </c>
      <c r="G5858" t="str">
        <f>IFERROR(INDEX(tEditais[Órgão],MATCH(tItens[[#This Row],[Edital]],tEditais[Edital],0)),"")</f>
        <v>MUNICIPIO DE CAPANEMA</v>
      </c>
      <c r="H5858" t="str">
        <f>IFERROR(INDEX(tEditais[UF],MATCH(tItens[[#This Row],[Edital]],tEditais[Edital],0)),"")</f>
        <v>PR</v>
      </c>
      <c r="I5858" s="11">
        <f>IFERROR(INDEX(tEditais[Encerramento],MATCH(tItens[[#This Row],[Edital]],tEditais[Edital],0)),"")</f>
        <v>46309.5625</v>
      </c>
      <c r="J5858" t="str">
        <f>IFERROR(INDEX(tProdutos[Classe],MATCH(tItens[[#This Row],[Produto]],tProdutos[Produto],0)),"produto não cadastrado")</f>
        <v>DISPUTADO</v>
      </c>
      <c r="K5858" s="12">
        <f>tItens[[#This Row],[Qtd]]*tItens[[#This Row],[Vlr unit]]</f>
        <v>2840</v>
      </c>
      <c r="L5858" s="6">
        <f>IFERROR(IF(INDEX(tProdutos[Desconto homologado],MATCH(tItens[[#This Row],[Produto]],tProdutos[Produto],0))="",DescontoPadrao,INDEX(tProdutos[Desconto homologado],MATCH(tItens[[#This Row],[Produto]],tProdutos[Produto],0))),DescontoPadrao)</f>
        <v>0.445300462249615</v>
      </c>
      <c r="M5858" s="12">
        <f>tItens[[#This Row],[Valor]]*(1-tItens[[#This Row],[Desconto]])</f>
        <v>1575.3466872110932</v>
      </c>
      <c r="N5858" t="str">
        <f>IFERROR(INDEX(tProdutos[Foco],MATCH(tItens[[#This Row],[Produto]],tProdutos[Produto],0)),"Não")</f>
        <v>Não</v>
      </c>
      <c r="O5858" t="str">
        <f>IFERROR(INDEX(tEditais[SRP],MATCH(tItens[[#This Row],[Edital]],tEditais[Edital],0)),"Não")</f>
        <v>Sim</v>
      </c>
      <c r="P5858" s="4">
        <f>IF(COUNTIFS(INDEX(tItens[Edital],1):tItens[[#This Row],[Edital]],tItens[[#This Row],[Edital]],INDEX(tItens[Produto],1):tItens[[#This Row],[Produto]],tItens[[#This Row],[Produto]])=1,1,0)</f>
        <v>1</v>
      </c>
    </row>
    <row r="5859" spans="1:16" x14ac:dyDescent="0.25">
      <c r="A5859" t="s">
        <v>2077</v>
      </c>
      <c r="B5859">
        <v>29</v>
      </c>
      <c r="C5859" t="s">
        <v>8615</v>
      </c>
      <c r="D5859" t="s">
        <v>110</v>
      </c>
      <c r="E5859" s="13">
        <v>50</v>
      </c>
      <c r="F5859" s="12">
        <v>1.73</v>
      </c>
      <c r="G5859" t="str">
        <f>IFERROR(INDEX(tEditais[Órgão],MATCH(tItens[[#This Row],[Edital]],tEditais[Edital],0)),"")</f>
        <v>MUNICIPIO DE CAPANEMA</v>
      </c>
      <c r="H5859" t="str">
        <f>IFERROR(INDEX(tEditais[UF],MATCH(tItens[[#This Row],[Edital]],tEditais[Edital],0)),"")</f>
        <v>PR</v>
      </c>
      <c r="I5859" s="11">
        <f>IFERROR(INDEX(tEditais[Encerramento],MATCH(tItens[[#This Row],[Edital]],tEditais[Edital],0)),"")</f>
        <v>46309.5625</v>
      </c>
      <c r="J5859" t="str">
        <f>IFERROR(INDEX(tProdutos[Classe],MATCH(tItens[[#This Row],[Produto]],tProdutos[Produto],0)),"produto não cadastrado")</f>
        <v>NÚCLEO</v>
      </c>
      <c r="K5859" s="12">
        <f>tItens[[#This Row],[Qtd]]*tItens[[#This Row],[Vlr unit]]</f>
        <v>86.5</v>
      </c>
      <c r="L5859" s="6">
        <f>IFERROR(IF(INDEX(tProdutos[Desconto homologado],MATCH(tItens[[#This Row],[Produto]],tProdutos[Produto],0))="",DescontoPadrao,INDEX(tProdutos[Desconto homologado],MATCH(tItens[[#This Row],[Produto]],tProdutos[Produto],0))),DescontoPadrao)</f>
        <v>0.30410958904109597</v>
      </c>
      <c r="M5859" s="12">
        <f>tItens[[#This Row],[Valor]]*(1-tItens[[#This Row],[Desconto]])</f>
        <v>60.194520547945196</v>
      </c>
      <c r="N5859" t="str">
        <f>IFERROR(INDEX(tProdutos[Foco],MATCH(tItens[[#This Row],[Produto]],tProdutos[Produto],0)),"Não")</f>
        <v>Não</v>
      </c>
      <c r="O5859" t="str">
        <f>IFERROR(INDEX(tEditais[SRP],MATCH(tItens[[#This Row],[Edital]],tEditais[Edital],0)),"Não")</f>
        <v>Sim</v>
      </c>
      <c r="P5859" s="4">
        <f>IF(COUNTIFS(INDEX(tItens[Edital],1):tItens[[#This Row],[Edital]],tItens[[#This Row],[Edital]],INDEX(tItens[Produto],1):tItens[[#This Row],[Produto]],tItens[[#This Row],[Produto]])=1,1,0)</f>
        <v>0</v>
      </c>
    </row>
    <row r="5860" spans="1:16" x14ac:dyDescent="0.25">
      <c r="A5860" t="s">
        <v>2077</v>
      </c>
      <c r="B5860">
        <v>30</v>
      </c>
      <c r="C5860" t="s">
        <v>8616</v>
      </c>
      <c r="D5860" t="s">
        <v>110</v>
      </c>
      <c r="E5860" s="13">
        <v>50</v>
      </c>
      <c r="F5860" s="12">
        <v>1.96</v>
      </c>
      <c r="G5860" t="str">
        <f>IFERROR(INDEX(tEditais[Órgão],MATCH(tItens[[#This Row],[Edital]],tEditais[Edital],0)),"")</f>
        <v>MUNICIPIO DE CAPANEMA</v>
      </c>
      <c r="H5860" t="str">
        <f>IFERROR(INDEX(tEditais[UF],MATCH(tItens[[#This Row],[Edital]],tEditais[Edital],0)),"")</f>
        <v>PR</v>
      </c>
      <c r="I5860" s="11">
        <f>IFERROR(INDEX(tEditais[Encerramento],MATCH(tItens[[#This Row],[Edital]],tEditais[Edital],0)),"")</f>
        <v>46309.5625</v>
      </c>
      <c r="J5860" t="str">
        <f>IFERROR(INDEX(tProdutos[Classe],MATCH(tItens[[#This Row],[Produto]],tProdutos[Produto],0)),"produto não cadastrado")</f>
        <v>NÚCLEO</v>
      </c>
      <c r="K5860" s="12">
        <f>tItens[[#This Row],[Qtd]]*tItens[[#This Row],[Vlr unit]]</f>
        <v>98</v>
      </c>
      <c r="L5860" s="6">
        <f>IFERROR(IF(INDEX(tProdutos[Desconto homologado],MATCH(tItens[[#This Row],[Produto]],tProdutos[Produto],0))="",DescontoPadrao,INDEX(tProdutos[Desconto homologado],MATCH(tItens[[#This Row],[Produto]],tProdutos[Produto],0))),DescontoPadrao)</f>
        <v>0.30410958904109597</v>
      </c>
      <c r="M5860" s="12">
        <f>tItens[[#This Row],[Valor]]*(1-tItens[[#This Row],[Desconto]])</f>
        <v>68.197260273972589</v>
      </c>
      <c r="N5860" t="str">
        <f>IFERROR(INDEX(tProdutos[Foco],MATCH(tItens[[#This Row],[Produto]],tProdutos[Produto],0)),"Não")</f>
        <v>Não</v>
      </c>
      <c r="O5860" t="str">
        <f>IFERROR(INDEX(tEditais[SRP],MATCH(tItens[[#This Row],[Edital]],tEditais[Edital],0)),"Não")</f>
        <v>Sim</v>
      </c>
      <c r="P5860" s="4">
        <f>IF(COUNTIFS(INDEX(tItens[Edital],1):tItens[[#This Row],[Edital]],tItens[[#This Row],[Edital]],INDEX(tItens[Produto],1):tItens[[#This Row],[Produto]],tItens[[#This Row],[Produto]])=1,1,0)</f>
        <v>0</v>
      </c>
    </row>
    <row r="5861" spans="1:16" x14ac:dyDescent="0.25">
      <c r="A5861" t="s">
        <v>2077</v>
      </c>
      <c r="B5861">
        <v>31</v>
      </c>
      <c r="C5861" t="s">
        <v>8617</v>
      </c>
      <c r="D5861" t="s">
        <v>584</v>
      </c>
      <c r="E5861" s="13">
        <v>50</v>
      </c>
      <c r="F5861" s="12">
        <v>1.36</v>
      </c>
      <c r="G5861" t="str">
        <f>IFERROR(INDEX(tEditais[Órgão],MATCH(tItens[[#This Row],[Edital]],tEditais[Edital],0)),"")</f>
        <v>MUNICIPIO DE CAPANEMA</v>
      </c>
      <c r="H5861" t="str">
        <f>IFERROR(INDEX(tEditais[UF],MATCH(tItens[[#This Row],[Edital]],tEditais[Edital],0)),"")</f>
        <v>PR</v>
      </c>
      <c r="I5861" s="11">
        <f>IFERROR(INDEX(tEditais[Encerramento],MATCH(tItens[[#This Row],[Edital]],tEditais[Edital],0)),"")</f>
        <v>46309.5625</v>
      </c>
      <c r="J5861" t="str">
        <f>IFERROR(INDEX(tProdutos[Classe],MATCH(tItens[[#This Row],[Produto]],tProdutos[Produto],0)),"produto não cadastrado")</f>
        <v>FILA REBASE</v>
      </c>
      <c r="K5861" s="12">
        <f>tItens[[#This Row],[Qtd]]*tItens[[#This Row],[Vlr unit]]</f>
        <v>68</v>
      </c>
      <c r="L5861" s="6">
        <f>IFERROR(IF(INDEX(tProdutos[Desconto homologado],MATCH(tItens[[#This Row],[Produto]],tProdutos[Produto],0))="",DescontoPadrao,INDEX(tProdutos[Desconto homologado],MATCH(tItens[[#This Row],[Produto]],tProdutos[Produto],0))),DescontoPadrao)</f>
        <v>1.8306728813864401E-2</v>
      </c>
      <c r="M5861" s="12">
        <f>tItens[[#This Row],[Valor]]*(1-tItens[[#This Row],[Desconto]])</f>
        <v>66.755142440657224</v>
      </c>
      <c r="N5861" t="str">
        <f>IFERROR(INDEX(tProdutos[Foco],MATCH(tItens[[#This Row],[Produto]],tProdutos[Produto],0)),"Não")</f>
        <v>Não</v>
      </c>
      <c r="O5861" t="str">
        <f>IFERROR(INDEX(tEditais[SRP],MATCH(tItens[[#This Row],[Edital]],tEditais[Edital],0)),"Não")</f>
        <v>Sim</v>
      </c>
      <c r="P5861" s="4">
        <f>IF(COUNTIFS(INDEX(tItens[Edital],1):tItens[[#This Row],[Edital]],tItens[[#This Row],[Edital]],INDEX(tItens[Produto],1):tItens[[#This Row],[Produto]],tItens[[#This Row],[Produto]])=1,1,0)</f>
        <v>1</v>
      </c>
    </row>
    <row r="5862" spans="1:16" x14ac:dyDescent="0.25">
      <c r="A5862" t="s">
        <v>2077</v>
      </c>
      <c r="B5862">
        <v>32</v>
      </c>
      <c r="C5862" t="s">
        <v>8618</v>
      </c>
      <c r="D5862" t="s">
        <v>584</v>
      </c>
      <c r="E5862" s="13">
        <v>50</v>
      </c>
      <c r="F5862" s="12">
        <v>1.54</v>
      </c>
      <c r="G5862" t="str">
        <f>IFERROR(INDEX(tEditais[Órgão],MATCH(tItens[[#This Row],[Edital]],tEditais[Edital],0)),"")</f>
        <v>MUNICIPIO DE CAPANEMA</v>
      </c>
      <c r="H5862" t="str">
        <f>IFERROR(INDEX(tEditais[UF],MATCH(tItens[[#This Row],[Edital]],tEditais[Edital],0)),"")</f>
        <v>PR</v>
      </c>
      <c r="I5862" s="11">
        <f>IFERROR(INDEX(tEditais[Encerramento],MATCH(tItens[[#This Row],[Edital]],tEditais[Edital],0)),"")</f>
        <v>46309.5625</v>
      </c>
      <c r="J5862" t="str">
        <f>IFERROR(INDEX(tProdutos[Classe],MATCH(tItens[[#This Row],[Produto]],tProdutos[Produto],0)),"produto não cadastrado")</f>
        <v>FILA REBASE</v>
      </c>
      <c r="K5862" s="12">
        <f>tItens[[#This Row],[Qtd]]*tItens[[#This Row],[Vlr unit]]</f>
        <v>77</v>
      </c>
      <c r="L5862" s="6">
        <f>IFERROR(IF(INDEX(tProdutos[Desconto homologado],MATCH(tItens[[#This Row],[Produto]],tProdutos[Produto],0))="",DescontoPadrao,INDEX(tProdutos[Desconto homologado],MATCH(tItens[[#This Row],[Produto]],tProdutos[Produto],0))),DescontoPadrao)</f>
        <v>1.8306728813864401E-2</v>
      </c>
      <c r="M5862" s="12">
        <f>tItens[[#This Row],[Valor]]*(1-tItens[[#This Row],[Desconto]])</f>
        <v>75.590381881332434</v>
      </c>
      <c r="N5862" t="str">
        <f>IFERROR(INDEX(tProdutos[Foco],MATCH(tItens[[#This Row],[Produto]],tProdutos[Produto],0)),"Não")</f>
        <v>Não</v>
      </c>
      <c r="O5862" t="str">
        <f>IFERROR(INDEX(tEditais[SRP],MATCH(tItens[[#This Row],[Edital]],tEditais[Edital],0)),"Não")</f>
        <v>Sim</v>
      </c>
      <c r="P5862" s="4">
        <f>IF(COUNTIFS(INDEX(tItens[Edital],1):tItens[[#This Row],[Edital]],tItens[[#This Row],[Edital]],INDEX(tItens[Produto],1):tItens[[#This Row],[Produto]],tItens[[#This Row],[Produto]])=1,1,0)</f>
        <v>0</v>
      </c>
    </row>
    <row r="5863" spans="1:16" x14ac:dyDescent="0.25">
      <c r="A5863" t="s">
        <v>2077</v>
      </c>
      <c r="B5863">
        <v>33</v>
      </c>
      <c r="C5863" t="s">
        <v>8619</v>
      </c>
      <c r="D5863" t="s">
        <v>584</v>
      </c>
      <c r="E5863" s="13">
        <v>50</v>
      </c>
      <c r="F5863" s="12">
        <v>1.54</v>
      </c>
      <c r="G5863" t="str">
        <f>IFERROR(INDEX(tEditais[Órgão],MATCH(tItens[[#This Row],[Edital]],tEditais[Edital],0)),"")</f>
        <v>MUNICIPIO DE CAPANEMA</v>
      </c>
      <c r="H5863" t="str">
        <f>IFERROR(INDEX(tEditais[UF],MATCH(tItens[[#This Row],[Edital]],tEditais[Edital],0)),"")</f>
        <v>PR</v>
      </c>
      <c r="I5863" s="11">
        <f>IFERROR(INDEX(tEditais[Encerramento],MATCH(tItens[[#This Row],[Edital]],tEditais[Edital],0)),"")</f>
        <v>46309.5625</v>
      </c>
      <c r="J5863" t="str">
        <f>IFERROR(INDEX(tProdutos[Classe],MATCH(tItens[[#This Row],[Produto]],tProdutos[Produto],0)),"produto não cadastrado")</f>
        <v>FILA REBASE</v>
      </c>
      <c r="K5863" s="12">
        <f>tItens[[#This Row],[Qtd]]*tItens[[#This Row],[Vlr unit]]</f>
        <v>77</v>
      </c>
      <c r="L5863" s="6">
        <f>IFERROR(IF(INDEX(tProdutos[Desconto homologado],MATCH(tItens[[#This Row],[Produto]],tProdutos[Produto],0))="",DescontoPadrao,INDEX(tProdutos[Desconto homologado],MATCH(tItens[[#This Row],[Produto]],tProdutos[Produto],0))),DescontoPadrao)</f>
        <v>1.8306728813864401E-2</v>
      </c>
      <c r="M5863" s="12">
        <f>tItens[[#This Row],[Valor]]*(1-tItens[[#This Row],[Desconto]])</f>
        <v>75.590381881332434</v>
      </c>
      <c r="N5863" t="str">
        <f>IFERROR(INDEX(tProdutos[Foco],MATCH(tItens[[#This Row],[Produto]],tProdutos[Produto],0)),"Não")</f>
        <v>Não</v>
      </c>
      <c r="O5863" t="str">
        <f>IFERROR(INDEX(tEditais[SRP],MATCH(tItens[[#This Row],[Edital]],tEditais[Edital],0)),"Não")</f>
        <v>Sim</v>
      </c>
      <c r="P5863" s="4">
        <f>IF(COUNTIFS(INDEX(tItens[Edital],1):tItens[[#This Row],[Edital]],tItens[[#This Row],[Edital]],INDEX(tItens[Produto],1):tItens[[#This Row],[Produto]],tItens[[#This Row],[Produto]])=1,1,0)</f>
        <v>0</v>
      </c>
    </row>
    <row r="5864" spans="1:16" x14ac:dyDescent="0.25">
      <c r="A5864" t="s">
        <v>2077</v>
      </c>
      <c r="B5864">
        <v>34</v>
      </c>
      <c r="C5864" t="s">
        <v>8620</v>
      </c>
      <c r="D5864" t="s">
        <v>110</v>
      </c>
      <c r="E5864" s="13">
        <v>50</v>
      </c>
      <c r="F5864" s="12">
        <v>1.71</v>
      </c>
      <c r="G5864" t="str">
        <f>IFERROR(INDEX(tEditais[Órgão],MATCH(tItens[[#This Row],[Edital]],tEditais[Edital],0)),"")</f>
        <v>MUNICIPIO DE CAPANEMA</v>
      </c>
      <c r="H5864" t="str">
        <f>IFERROR(INDEX(tEditais[UF],MATCH(tItens[[#This Row],[Edital]],tEditais[Edital],0)),"")</f>
        <v>PR</v>
      </c>
      <c r="I5864" s="11">
        <f>IFERROR(INDEX(tEditais[Encerramento],MATCH(tItens[[#This Row],[Edital]],tEditais[Edital],0)),"")</f>
        <v>46309.5625</v>
      </c>
      <c r="J5864" t="str">
        <f>IFERROR(INDEX(tProdutos[Classe],MATCH(tItens[[#This Row],[Produto]],tProdutos[Produto],0)),"produto não cadastrado")</f>
        <v>NÚCLEO</v>
      </c>
      <c r="K5864" s="12">
        <f>tItens[[#This Row],[Qtd]]*tItens[[#This Row],[Vlr unit]]</f>
        <v>85.5</v>
      </c>
      <c r="L5864" s="6">
        <f>IFERROR(IF(INDEX(tProdutos[Desconto homologado],MATCH(tItens[[#This Row],[Produto]],tProdutos[Produto],0))="",DescontoPadrao,INDEX(tProdutos[Desconto homologado],MATCH(tItens[[#This Row],[Produto]],tProdutos[Produto],0))),DescontoPadrao)</f>
        <v>0.30410958904109597</v>
      </c>
      <c r="M5864" s="12">
        <f>tItens[[#This Row],[Valor]]*(1-tItens[[#This Row],[Desconto]])</f>
        <v>59.498630136986293</v>
      </c>
      <c r="N5864" t="str">
        <f>IFERROR(INDEX(tProdutos[Foco],MATCH(tItens[[#This Row],[Produto]],tProdutos[Produto],0)),"Não")</f>
        <v>Não</v>
      </c>
      <c r="O5864" t="str">
        <f>IFERROR(INDEX(tEditais[SRP],MATCH(tItens[[#This Row],[Edital]],tEditais[Edital],0)),"Não")</f>
        <v>Sim</v>
      </c>
      <c r="P5864" s="4">
        <f>IF(COUNTIFS(INDEX(tItens[Edital],1):tItens[[#This Row],[Edital]],tItens[[#This Row],[Edital]],INDEX(tItens[Produto],1):tItens[[#This Row],[Produto]],tItens[[#This Row],[Produto]])=1,1,0)</f>
        <v>0</v>
      </c>
    </row>
    <row r="5865" spans="1:16" x14ac:dyDescent="0.25">
      <c r="A5865" t="s">
        <v>2077</v>
      </c>
      <c r="B5865">
        <v>35</v>
      </c>
      <c r="C5865" t="s">
        <v>8621</v>
      </c>
      <c r="D5865" t="s">
        <v>110</v>
      </c>
      <c r="E5865" s="13">
        <v>50</v>
      </c>
      <c r="F5865" s="12">
        <v>1.64</v>
      </c>
      <c r="G5865" t="str">
        <f>IFERROR(INDEX(tEditais[Órgão],MATCH(tItens[[#This Row],[Edital]],tEditais[Edital],0)),"")</f>
        <v>MUNICIPIO DE CAPANEMA</v>
      </c>
      <c r="H5865" t="str">
        <f>IFERROR(INDEX(tEditais[UF],MATCH(tItens[[#This Row],[Edital]],tEditais[Edital],0)),"")</f>
        <v>PR</v>
      </c>
      <c r="I5865" s="11">
        <f>IFERROR(INDEX(tEditais[Encerramento],MATCH(tItens[[#This Row],[Edital]],tEditais[Edital],0)),"")</f>
        <v>46309.5625</v>
      </c>
      <c r="J5865" t="str">
        <f>IFERROR(INDEX(tProdutos[Classe],MATCH(tItens[[#This Row],[Produto]],tProdutos[Produto],0)),"produto não cadastrado")</f>
        <v>NÚCLEO</v>
      </c>
      <c r="K5865" s="12">
        <f>tItens[[#This Row],[Qtd]]*tItens[[#This Row],[Vlr unit]]</f>
        <v>82</v>
      </c>
      <c r="L5865" s="6">
        <f>IFERROR(IF(INDEX(tProdutos[Desconto homologado],MATCH(tItens[[#This Row],[Produto]],tProdutos[Produto],0))="",DescontoPadrao,INDEX(tProdutos[Desconto homologado],MATCH(tItens[[#This Row],[Produto]],tProdutos[Produto],0))),DescontoPadrao)</f>
        <v>0.30410958904109597</v>
      </c>
      <c r="M5865" s="12">
        <f>tItens[[#This Row],[Valor]]*(1-tItens[[#This Row],[Desconto]])</f>
        <v>57.06301369863013</v>
      </c>
      <c r="N5865" t="str">
        <f>IFERROR(INDEX(tProdutos[Foco],MATCH(tItens[[#This Row],[Produto]],tProdutos[Produto],0)),"Não")</f>
        <v>Não</v>
      </c>
      <c r="O5865" t="str">
        <f>IFERROR(INDEX(tEditais[SRP],MATCH(tItens[[#This Row],[Edital]],tEditais[Edital],0)),"Não")</f>
        <v>Sim</v>
      </c>
      <c r="P5865" s="4">
        <f>IF(COUNTIFS(INDEX(tItens[Edital],1):tItens[[#This Row],[Edital]],tItens[[#This Row],[Edital]],INDEX(tItens[Produto],1):tItens[[#This Row],[Produto]],tItens[[#This Row],[Produto]])=1,1,0)</f>
        <v>0</v>
      </c>
    </row>
    <row r="5866" spans="1:16" x14ac:dyDescent="0.25">
      <c r="A5866" t="s">
        <v>2077</v>
      </c>
      <c r="B5866">
        <v>36</v>
      </c>
      <c r="C5866" t="s">
        <v>8622</v>
      </c>
      <c r="D5866" t="s">
        <v>110</v>
      </c>
      <c r="E5866" s="13">
        <v>50</v>
      </c>
      <c r="F5866" s="12">
        <v>1.43</v>
      </c>
      <c r="G5866" t="str">
        <f>IFERROR(INDEX(tEditais[Órgão],MATCH(tItens[[#This Row],[Edital]],tEditais[Edital],0)),"")</f>
        <v>MUNICIPIO DE CAPANEMA</v>
      </c>
      <c r="H5866" t="str">
        <f>IFERROR(INDEX(tEditais[UF],MATCH(tItens[[#This Row],[Edital]],tEditais[Edital],0)),"")</f>
        <v>PR</v>
      </c>
      <c r="I5866" s="11">
        <f>IFERROR(INDEX(tEditais[Encerramento],MATCH(tItens[[#This Row],[Edital]],tEditais[Edital],0)),"")</f>
        <v>46309.5625</v>
      </c>
      <c r="J5866" t="str">
        <f>IFERROR(INDEX(tProdutos[Classe],MATCH(tItens[[#This Row],[Produto]],tProdutos[Produto],0)),"produto não cadastrado")</f>
        <v>NÚCLEO</v>
      </c>
      <c r="K5866" s="12">
        <f>tItens[[#This Row],[Qtd]]*tItens[[#This Row],[Vlr unit]]</f>
        <v>71.5</v>
      </c>
      <c r="L5866" s="6">
        <f>IFERROR(IF(INDEX(tProdutos[Desconto homologado],MATCH(tItens[[#This Row],[Produto]],tProdutos[Produto],0))="",DescontoPadrao,INDEX(tProdutos[Desconto homologado],MATCH(tItens[[#This Row],[Produto]],tProdutos[Produto],0))),DescontoPadrao)</f>
        <v>0.30410958904109597</v>
      </c>
      <c r="M5866" s="12">
        <f>tItens[[#This Row],[Valor]]*(1-tItens[[#This Row],[Desconto]])</f>
        <v>49.756164383561639</v>
      </c>
      <c r="N5866" t="str">
        <f>IFERROR(INDEX(tProdutos[Foco],MATCH(tItens[[#This Row],[Produto]],tProdutos[Produto],0)),"Não")</f>
        <v>Não</v>
      </c>
      <c r="O5866" t="str">
        <f>IFERROR(INDEX(tEditais[SRP],MATCH(tItens[[#This Row],[Edital]],tEditais[Edital],0)),"Não")</f>
        <v>Sim</v>
      </c>
      <c r="P5866" s="4">
        <f>IF(COUNTIFS(INDEX(tItens[Edital],1):tItens[[#This Row],[Edital]],tItens[[#This Row],[Edital]],INDEX(tItens[Produto],1):tItens[[#This Row],[Produto]],tItens[[#This Row],[Produto]])=1,1,0)</f>
        <v>0</v>
      </c>
    </row>
    <row r="5867" spans="1:16" x14ac:dyDescent="0.25">
      <c r="A5867" t="s">
        <v>2077</v>
      </c>
      <c r="B5867">
        <v>37</v>
      </c>
      <c r="C5867" t="s">
        <v>8623</v>
      </c>
      <c r="D5867" t="s">
        <v>184</v>
      </c>
      <c r="E5867" s="13">
        <v>20</v>
      </c>
      <c r="F5867" s="12">
        <v>8.35</v>
      </c>
      <c r="G5867" t="str">
        <f>IFERROR(INDEX(tEditais[Órgão],MATCH(tItens[[#This Row],[Edital]],tEditais[Edital],0)),"")</f>
        <v>MUNICIPIO DE CAPANEMA</v>
      </c>
      <c r="H5867" t="str">
        <f>IFERROR(INDEX(tEditais[UF],MATCH(tItens[[#This Row],[Edital]],tEditais[Edital],0)),"")</f>
        <v>PR</v>
      </c>
      <c r="I5867" s="11">
        <f>IFERROR(INDEX(tEditais[Encerramento],MATCH(tItens[[#This Row],[Edital]],tEditais[Edital],0)),"")</f>
        <v>46309.5625</v>
      </c>
      <c r="J5867" t="str">
        <f>IFERROR(INDEX(tProdutos[Classe],MATCH(tItens[[#This Row],[Produto]],tProdutos[Produto],0)),"produto não cadastrado")</f>
        <v>FORA</v>
      </c>
      <c r="K5867" s="12">
        <f>tItens[[#This Row],[Qtd]]*tItens[[#This Row],[Vlr unit]]</f>
        <v>167</v>
      </c>
      <c r="L5867" s="6">
        <f>IFERROR(IF(INDEX(tProdutos[Desconto homologado],MATCH(tItens[[#This Row],[Produto]],tProdutos[Produto],0))="",DescontoPadrao,INDEX(tProdutos[Desconto homologado],MATCH(tItens[[#This Row],[Produto]],tProdutos[Produto],0))),DescontoPadrao)</f>
        <v>0.363567906332742</v>
      </c>
      <c r="M5867" s="12">
        <f>tItens[[#This Row],[Valor]]*(1-tItens[[#This Row],[Desconto]])</f>
        <v>106.2841596424321</v>
      </c>
      <c r="N5867" t="str">
        <f>IFERROR(INDEX(tProdutos[Foco],MATCH(tItens[[#This Row],[Produto]],tProdutos[Produto],0)),"Não")</f>
        <v>Não</v>
      </c>
      <c r="O5867" t="str">
        <f>IFERROR(INDEX(tEditais[SRP],MATCH(tItens[[#This Row],[Edital]],tEditais[Edital],0)),"Não")</f>
        <v>Sim</v>
      </c>
      <c r="P5867" s="4">
        <f>IF(COUNTIFS(INDEX(tItens[Edital],1):tItens[[#This Row],[Edital]],tItens[[#This Row],[Edital]],INDEX(tItens[Produto],1):tItens[[#This Row],[Produto]],tItens[[#This Row],[Produto]])=1,1,0)</f>
        <v>1</v>
      </c>
    </row>
    <row r="5868" spans="1:16" x14ac:dyDescent="0.25">
      <c r="A5868" t="s">
        <v>2077</v>
      </c>
      <c r="B5868">
        <v>38</v>
      </c>
      <c r="C5868" t="s">
        <v>8624</v>
      </c>
      <c r="D5868" t="s">
        <v>253</v>
      </c>
      <c r="E5868" s="13">
        <v>50</v>
      </c>
      <c r="F5868" s="12">
        <v>10.3</v>
      </c>
      <c r="G5868" t="str">
        <f>IFERROR(INDEX(tEditais[Órgão],MATCH(tItens[[#This Row],[Edital]],tEditais[Edital],0)),"")</f>
        <v>MUNICIPIO DE CAPANEMA</v>
      </c>
      <c r="H5868" t="str">
        <f>IFERROR(INDEX(tEditais[UF],MATCH(tItens[[#This Row],[Edital]],tEditais[Edital],0)),"")</f>
        <v>PR</v>
      </c>
      <c r="I5868" s="11">
        <f>IFERROR(INDEX(tEditais[Encerramento],MATCH(tItens[[#This Row],[Edital]],tEditais[Edital],0)),"")</f>
        <v>46309.5625</v>
      </c>
      <c r="J5868" t="str">
        <f>IFERROR(INDEX(tProdutos[Classe],MATCH(tItens[[#This Row],[Produto]],tProdutos[Produto],0)),"produto não cadastrado")</f>
        <v>FORA</v>
      </c>
      <c r="K5868" s="12">
        <f>tItens[[#This Row],[Qtd]]*tItens[[#This Row],[Vlr unit]]</f>
        <v>515</v>
      </c>
      <c r="L5868" s="6">
        <f>IFERROR(IF(INDEX(tProdutos[Desconto homologado],MATCH(tItens[[#This Row],[Produto]],tProdutos[Produto],0))="",DescontoPadrao,INDEX(tProdutos[Desconto homologado],MATCH(tItens[[#This Row],[Produto]],tProdutos[Produto],0))),DescontoPadrao)</f>
        <v>0.31735159817351599</v>
      </c>
      <c r="M5868" s="12">
        <f>tItens[[#This Row],[Valor]]*(1-tItens[[#This Row],[Desconto]])</f>
        <v>351.56392694063925</v>
      </c>
      <c r="N5868" t="str">
        <f>IFERROR(INDEX(tProdutos[Foco],MATCH(tItens[[#This Row],[Produto]],tProdutos[Produto],0)),"Não")</f>
        <v>Não</v>
      </c>
      <c r="O5868" t="str">
        <f>IFERROR(INDEX(tEditais[SRP],MATCH(tItens[[#This Row],[Edital]],tEditais[Edital],0)),"Não")</f>
        <v>Sim</v>
      </c>
      <c r="P5868" s="4">
        <f>IF(COUNTIFS(INDEX(tItens[Edital],1):tItens[[#This Row],[Edital]],tItens[[#This Row],[Edital]],INDEX(tItens[Produto],1):tItens[[#This Row],[Produto]],tItens[[#This Row],[Produto]])=1,1,0)</f>
        <v>1</v>
      </c>
    </row>
    <row r="5869" spans="1:16" x14ac:dyDescent="0.25">
      <c r="A5869" t="s">
        <v>2077</v>
      </c>
      <c r="B5869">
        <v>39</v>
      </c>
      <c r="C5869" t="s">
        <v>8625</v>
      </c>
      <c r="D5869" t="s">
        <v>120</v>
      </c>
      <c r="E5869" s="13">
        <v>300</v>
      </c>
      <c r="F5869" s="12">
        <v>1.1599999999999999</v>
      </c>
      <c r="G5869" t="str">
        <f>IFERROR(INDEX(tEditais[Órgão],MATCH(tItens[[#This Row],[Edital]],tEditais[Edital],0)),"")</f>
        <v>MUNICIPIO DE CAPANEMA</v>
      </c>
      <c r="H5869" t="str">
        <f>IFERROR(INDEX(tEditais[UF],MATCH(tItens[[#This Row],[Edital]],tEditais[Edital],0)),"")</f>
        <v>PR</v>
      </c>
      <c r="I5869" s="11">
        <f>IFERROR(INDEX(tEditais[Encerramento],MATCH(tItens[[#This Row],[Edital]],tEditais[Edital],0)),"")</f>
        <v>46309.5625</v>
      </c>
      <c r="J5869" t="str">
        <f>IFERROR(INDEX(tProdutos[Classe],MATCH(tItens[[#This Row],[Produto]],tProdutos[Produto],0)),"produto não cadastrado")</f>
        <v>DISPUTADO</v>
      </c>
      <c r="K5869" s="12">
        <f>tItens[[#This Row],[Qtd]]*tItens[[#This Row],[Vlr unit]]</f>
        <v>348</v>
      </c>
      <c r="L5869" s="6">
        <f>IFERROR(IF(INDEX(tProdutos[Desconto homologado],MATCH(tItens[[#This Row],[Produto]],tProdutos[Produto],0))="",DescontoPadrao,INDEX(tProdutos[Desconto homologado],MATCH(tItens[[#This Row],[Produto]],tProdutos[Produto],0))),DescontoPadrao)</f>
        <v>0.40909090909090901</v>
      </c>
      <c r="M5869" s="12">
        <f>tItens[[#This Row],[Valor]]*(1-tItens[[#This Row],[Desconto]])</f>
        <v>205.63636363636368</v>
      </c>
      <c r="N5869" t="str">
        <f>IFERROR(INDEX(tProdutos[Foco],MATCH(tItens[[#This Row],[Produto]],tProdutos[Produto],0)),"Não")</f>
        <v>Não</v>
      </c>
      <c r="O5869" t="str">
        <f>IFERROR(INDEX(tEditais[SRP],MATCH(tItens[[#This Row],[Edital]],tEditais[Edital],0)),"Não")</f>
        <v>Sim</v>
      </c>
      <c r="P5869" s="4">
        <f>IF(COUNTIFS(INDEX(tItens[Edital],1):tItens[[#This Row],[Edital]],tItens[[#This Row],[Edital]],INDEX(tItens[Produto],1):tItens[[#This Row],[Produto]],tItens[[#This Row],[Produto]])=1,1,0)</f>
        <v>1</v>
      </c>
    </row>
    <row r="5870" spans="1:16" x14ac:dyDescent="0.25">
      <c r="A5870" t="s">
        <v>2077</v>
      </c>
      <c r="B5870">
        <v>53</v>
      </c>
      <c r="C5870" t="s">
        <v>8626</v>
      </c>
      <c r="D5870" t="s">
        <v>205</v>
      </c>
      <c r="E5870" s="13">
        <v>2</v>
      </c>
      <c r="F5870" s="12">
        <v>36.28</v>
      </c>
      <c r="G5870" t="str">
        <f>IFERROR(INDEX(tEditais[Órgão],MATCH(tItens[[#This Row],[Edital]],tEditais[Edital],0)),"")</f>
        <v>MUNICIPIO DE CAPANEMA</v>
      </c>
      <c r="H5870" t="str">
        <f>IFERROR(INDEX(tEditais[UF],MATCH(tItens[[#This Row],[Edital]],tEditais[Edital],0)),"")</f>
        <v>PR</v>
      </c>
      <c r="I5870" s="11">
        <f>IFERROR(INDEX(tEditais[Encerramento],MATCH(tItens[[#This Row],[Edital]],tEditais[Edital],0)),"")</f>
        <v>46309.5625</v>
      </c>
      <c r="J5870" t="str">
        <f>IFERROR(INDEX(tProdutos[Classe],MATCH(tItens[[#This Row],[Produto]],tProdutos[Produto],0)),"produto não cadastrado")</f>
        <v>FORA</v>
      </c>
      <c r="K5870" s="12">
        <f>tItens[[#This Row],[Qtd]]*tItens[[#This Row],[Vlr unit]]</f>
        <v>72.56</v>
      </c>
      <c r="L5870" s="6">
        <f>IFERROR(IF(INDEX(tProdutos[Desconto homologado],MATCH(tItens[[#This Row],[Produto]],tProdutos[Produto],0))="",DescontoPadrao,INDEX(tProdutos[Desconto homologado],MATCH(tItens[[#This Row],[Produto]],tProdutos[Produto],0))),DescontoPadrao)</f>
        <v>0.468911625815156</v>
      </c>
      <c r="M5870" s="12">
        <f>tItens[[#This Row],[Valor]]*(1-tItens[[#This Row],[Desconto]])</f>
        <v>38.535772430852283</v>
      </c>
      <c r="N5870" t="str">
        <f>IFERROR(INDEX(tProdutos[Foco],MATCH(tItens[[#This Row],[Produto]],tProdutos[Produto],0)),"Não")</f>
        <v>Não</v>
      </c>
      <c r="O5870" t="str">
        <f>IFERROR(INDEX(tEditais[SRP],MATCH(tItens[[#This Row],[Edital]],tEditais[Edital],0)),"Não")</f>
        <v>Sim</v>
      </c>
      <c r="P5870" s="4">
        <f>IF(COUNTIFS(INDEX(tItens[Edital],1):tItens[[#This Row],[Edital]],tItens[[#This Row],[Edital]],INDEX(tItens[Produto],1):tItens[[#This Row],[Produto]],tItens[[#This Row],[Produto]])=1,1,0)</f>
        <v>1</v>
      </c>
    </row>
    <row r="5871" spans="1:16" x14ac:dyDescent="0.25">
      <c r="A5871" t="s">
        <v>2080</v>
      </c>
      <c r="B5871">
        <v>1</v>
      </c>
      <c r="C5871" t="s">
        <v>8627</v>
      </c>
      <c r="D5871" t="s">
        <v>315</v>
      </c>
      <c r="E5871" s="13">
        <v>5000</v>
      </c>
      <c r="F5871" s="12">
        <v>0.25</v>
      </c>
      <c r="G5871" t="str">
        <f>IFERROR(INDEX(tEditais[Órgão],MATCH(tItens[[#This Row],[Edital]],tEditais[Edital],0)),"")</f>
        <v>MUNICIPIO DE CAPANEMA</v>
      </c>
      <c r="H5871" t="str">
        <f>IFERROR(INDEX(tEditais[UF],MATCH(tItens[[#This Row],[Edital]],tEditais[Edital],0)),"")</f>
        <v>PR</v>
      </c>
      <c r="I5871" s="11">
        <f>IFERROR(INDEX(tEditais[Encerramento],MATCH(tItens[[#This Row],[Edital]],tEditais[Edital],0)),"")</f>
        <v>46309.5625</v>
      </c>
      <c r="J5871" t="str">
        <f>IFERROR(INDEX(tProdutos[Classe],MATCH(tItens[[#This Row],[Produto]],tProdutos[Produto],0)),"produto não cadastrado")</f>
        <v>FORA</v>
      </c>
      <c r="K5871" s="12">
        <f>tItens[[#This Row],[Qtd]]*tItens[[#This Row],[Vlr unit]]</f>
        <v>1250</v>
      </c>
      <c r="L5871" s="6">
        <f>IFERROR(IF(INDEX(tProdutos[Desconto homologado],MATCH(tItens[[#This Row],[Produto]],tProdutos[Produto],0))="",DescontoPadrao,INDEX(tProdutos[Desconto homologado],MATCH(tItens[[#This Row],[Produto]],tProdutos[Produto],0))),DescontoPadrao)</f>
        <v>0.38432036097010702</v>
      </c>
      <c r="M5871" s="12">
        <f>tItens[[#This Row],[Valor]]*(1-tItens[[#This Row],[Desconto]])</f>
        <v>769.59954878736619</v>
      </c>
      <c r="N5871" t="str">
        <f>IFERROR(INDEX(tProdutos[Foco],MATCH(tItens[[#This Row],[Produto]],tProdutos[Produto],0)),"Não")</f>
        <v>Não</v>
      </c>
      <c r="O5871" t="str">
        <f>IFERROR(INDEX(tEditais[SRP],MATCH(tItens[[#This Row],[Edital]],tEditais[Edital],0)),"Não")</f>
        <v>Sim</v>
      </c>
      <c r="P5871" s="4">
        <f>IF(COUNTIFS(INDEX(tItens[Edital],1):tItens[[#This Row],[Edital]],tItens[[#This Row],[Edital]],INDEX(tItens[Produto],1):tItens[[#This Row],[Produto]],tItens[[#This Row],[Produto]])=1,1,0)</f>
        <v>1</v>
      </c>
    </row>
    <row r="5872" spans="1:16" x14ac:dyDescent="0.25">
      <c r="A5872" t="s">
        <v>2080</v>
      </c>
      <c r="B5872">
        <v>4</v>
      </c>
      <c r="C5872" t="s">
        <v>8628</v>
      </c>
      <c r="D5872" t="s">
        <v>375</v>
      </c>
      <c r="E5872" s="13">
        <v>96</v>
      </c>
      <c r="F5872" s="12">
        <v>4.8600000000000003</v>
      </c>
      <c r="G5872" t="str">
        <f>IFERROR(INDEX(tEditais[Órgão],MATCH(tItens[[#This Row],[Edital]],tEditais[Edital],0)),"")</f>
        <v>MUNICIPIO DE CAPANEMA</v>
      </c>
      <c r="H5872" t="str">
        <f>IFERROR(INDEX(tEditais[UF],MATCH(tItens[[#This Row],[Edital]],tEditais[Edital],0)),"")</f>
        <v>PR</v>
      </c>
      <c r="I5872" s="11">
        <f>IFERROR(INDEX(tEditais[Encerramento],MATCH(tItens[[#This Row],[Edital]],tEditais[Edital],0)),"")</f>
        <v>46309.5625</v>
      </c>
      <c r="J5872" t="str">
        <f>IFERROR(INDEX(tProdutos[Classe],MATCH(tItens[[#This Row],[Produto]],tProdutos[Produto],0)),"produto não cadastrado")</f>
        <v>FORA</v>
      </c>
      <c r="K5872" s="12">
        <f>tItens[[#This Row],[Qtd]]*tItens[[#This Row],[Vlr unit]]</f>
        <v>466.56000000000006</v>
      </c>
      <c r="L5872" s="6">
        <f>IFERROR(IF(INDEX(tProdutos[Desconto homologado],MATCH(tItens[[#This Row],[Produto]],tProdutos[Produto],0))="",DescontoPadrao,INDEX(tProdutos[Desconto homologado],MATCH(tItens[[#This Row],[Produto]],tProdutos[Produto],0))),DescontoPadrao)</f>
        <v>0.25005895299481201</v>
      </c>
      <c r="M5872" s="12">
        <f>tItens[[#This Row],[Valor]]*(1-tItens[[#This Row],[Desconto]])</f>
        <v>349.89249489074052</v>
      </c>
      <c r="N5872" t="str">
        <f>IFERROR(INDEX(tProdutos[Foco],MATCH(tItens[[#This Row],[Produto]],tProdutos[Produto],0)),"Não")</f>
        <v>Não</v>
      </c>
      <c r="O5872" t="str">
        <f>IFERROR(INDEX(tEditais[SRP],MATCH(tItens[[#This Row],[Edital]],tEditais[Edital],0)),"Não")</f>
        <v>Sim</v>
      </c>
      <c r="P5872" s="4">
        <f>IF(COUNTIFS(INDEX(tItens[Edital],1):tItens[[#This Row],[Edital]],tItens[[#This Row],[Edital]],INDEX(tItens[Produto],1):tItens[[#This Row],[Produto]],tItens[[#This Row],[Produto]])=1,1,0)</f>
        <v>1</v>
      </c>
    </row>
    <row r="5873" spans="1:16" x14ac:dyDescent="0.25">
      <c r="A5873" t="s">
        <v>2080</v>
      </c>
      <c r="B5873">
        <v>5</v>
      </c>
      <c r="C5873" t="s">
        <v>8629</v>
      </c>
      <c r="D5873" t="s">
        <v>375</v>
      </c>
      <c r="E5873" s="13">
        <v>96</v>
      </c>
      <c r="F5873" s="12">
        <v>5.51</v>
      </c>
      <c r="G5873" t="str">
        <f>IFERROR(INDEX(tEditais[Órgão],MATCH(tItens[[#This Row],[Edital]],tEditais[Edital],0)),"")</f>
        <v>MUNICIPIO DE CAPANEMA</v>
      </c>
      <c r="H5873" t="str">
        <f>IFERROR(INDEX(tEditais[UF],MATCH(tItens[[#This Row],[Edital]],tEditais[Edital],0)),"")</f>
        <v>PR</v>
      </c>
      <c r="I5873" s="11">
        <f>IFERROR(INDEX(tEditais[Encerramento],MATCH(tItens[[#This Row],[Edital]],tEditais[Edital],0)),"")</f>
        <v>46309.5625</v>
      </c>
      <c r="J5873" t="str">
        <f>IFERROR(INDEX(tProdutos[Classe],MATCH(tItens[[#This Row],[Produto]],tProdutos[Produto],0)),"produto não cadastrado")</f>
        <v>FORA</v>
      </c>
      <c r="K5873" s="12">
        <f>tItens[[#This Row],[Qtd]]*tItens[[#This Row],[Vlr unit]]</f>
        <v>528.96</v>
      </c>
      <c r="L5873" s="6">
        <f>IFERROR(IF(INDEX(tProdutos[Desconto homologado],MATCH(tItens[[#This Row],[Produto]],tProdutos[Produto],0))="",DescontoPadrao,INDEX(tProdutos[Desconto homologado],MATCH(tItens[[#This Row],[Produto]],tProdutos[Produto],0))),DescontoPadrao)</f>
        <v>0.25005895299481201</v>
      </c>
      <c r="M5873" s="12">
        <f>tItens[[#This Row],[Valor]]*(1-tItens[[#This Row],[Desconto]])</f>
        <v>396.68881622386425</v>
      </c>
      <c r="N5873" t="str">
        <f>IFERROR(INDEX(tProdutos[Foco],MATCH(tItens[[#This Row],[Produto]],tProdutos[Produto],0)),"Não")</f>
        <v>Não</v>
      </c>
      <c r="O5873" t="str">
        <f>IFERROR(INDEX(tEditais[SRP],MATCH(tItens[[#This Row],[Edital]],tEditais[Edital],0)),"Não")</f>
        <v>Sim</v>
      </c>
      <c r="P5873" s="4">
        <f>IF(COUNTIFS(INDEX(tItens[Edital],1):tItens[[#This Row],[Edital]],tItens[[#This Row],[Edital]],INDEX(tItens[Produto],1):tItens[[#This Row],[Produto]],tItens[[#This Row],[Produto]])=1,1,0)</f>
        <v>0</v>
      </c>
    </row>
    <row r="5874" spans="1:16" x14ac:dyDescent="0.25">
      <c r="A5874" t="s">
        <v>2080</v>
      </c>
      <c r="B5874">
        <v>9</v>
      </c>
      <c r="C5874" t="s">
        <v>8630</v>
      </c>
      <c r="D5874" t="s">
        <v>512</v>
      </c>
      <c r="E5874" s="13">
        <v>50</v>
      </c>
      <c r="F5874" s="12">
        <v>11.65</v>
      </c>
      <c r="G5874" t="str">
        <f>IFERROR(INDEX(tEditais[Órgão],MATCH(tItens[[#This Row],[Edital]],tEditais[Edital],0)),"")</f>
        <v>MUNICIPIO DE CAPANEMA</v>
      </c>
      <c r="H5874" t="str">
        <f>IFERROR(INDEX(tEditais[UF],MATCH(tItens[[#This Row],[Edital]],tEditais[Edital],0)),"")</f>
        <v>PR</v>
      </c>
      <c r="I5874" s="11">
        <f>IFERROR(INDEX(tEditais[Encerramento],MATCH(tItens[[#This Row],[Edital]],tEditais[Edital],0)),"")</f>
        <v>46309.5625</v>
      </c>
      <c r="J5874" t="str">
        <f>IFERROR(INDEX(tProdutos[Classe],MATCH(tItens[[#This Row],[Produto]],tProdutos[Produto],0)),"produto não cadastrado")</f>
        <v>FILA REBASE</v>
      </c>
      <c r="K5874" s="12">
        <f>tItens[[#This Row],[Qtd]]*tItens[[#This Row],[Vlr unit]]</f>
        <v>582.5</v>
      </c>
      <c r="L5874" s="6">
        <f>IFERROR(IF(INDEX(tProdutos[Desconto homologado],MATCH(tItens[[#This Row],[Produto]],tProdutos[Produto],0))="",DescontoPadrao,INDEX(tProdutos[Desconto homologado],MATCH(tItens[[#This Row],[Produto]],tProdutos[Produto],0))),DescontoPadrao)</f>
        <v>0.32579365079365102</v>
      </c>
      <c r="M5874" s="12">
        <f>tItens[[#This Row],[Valor]]*(1-tItens[[#This Row],[Desconto]])</f>
        <v>392.72519841269832</v>
      </c>
      <c r="N5874" t="str">
        <f>IFERROR(INDEX(tProdutos[Foco],MATCH(tItens[[#This Row],[Produto]],tProdutos[Produto],0)),"Não")</f>
        <v>Não</v>
      </c>
      <c r="O5874" t="str">
        <f>IFERROR(INDEX(tEditais[SRP],MATCH(tItens[[#This Row],[Edital]],tEditais[Edital],0)),"Não")</f>
        <v>Sim</v>
      </c>
      <c r="P5874" s="4">
        <f>IF(COUNTIFS(INDEX(tItens[Edital],1):tItens[[#This Row],[Edital]],tItens[[#This Row],[Edital]],INDEX(tItens[Produto],1):tItens[[#This Row],[Produto]],tItens[[#This Row],[Produto]])=1,1,0)</f>
        <v>1</v>
      </c>
    </row>
    <row r="5875" spans="1:16" x14ac:dyDescent="0.25">
      <c r="A5875" t="s">
        <v>2080</v>
      </c>
      <c r="B5875">
        <v>22</v>
      </c>
      <c r="C5875" t="s">
        <v>8596</v>
      </c>
      <c r="D5875" t="s">
        <v>110</v>
      </c>
      <c r="E5875" s="13">
        <v>50</v>
      </c>
      <c r="F5875" s="12">
        <v>1.85</v>
      </c>
      <c r="G5875" t="str">
        <f>IFERROR(INDEX(tEditais[Órgão],MATCH(tItens[[#This Row],[Edital]],tEditais[Edital],0)),"")</f>
        <v>MUNICIPIO DE CAPANEMA</v>
      </c>
      <c r="H5875" t="str">
        <f>IFERROR(INDEX(tEditais[UF],MATCH(tItens[[#This Row],[Edital]],tEditais[Edital],0)),"")</f>
        <v>PR</v>
      </c>
      <c r="I5875" s="11">
        <f>IFERROR(INDEX(tEditais[Encerramento],MATCH(tItens[[#This Row],[Edital]],tEditais[Edital],0)),"")</f>
        <v>46309.5625</v>
      </c>
      <c r="J5875" t="str">
        <f>IFERROR(INDEX(tProdutos[Classe],MATCH(tItens[[#This Row],[Produto]],tProdutos[Produto],0)),"produto não cadastrado")</f>
        <v>NÚCLEO</v>
      </c>
      <c r="K5875" s="12">
        <f>tItens[[#This Row],[Qtd]]*tItens[[#This Row],[Vlr unit]]</f>
        <v>92.5</v>
      </c>
      <c r="L5875" s="6">
        <f>IFERROR(IF(INDEX(tProdutos[Desconto homologado],MATCH(tItens[[#This Row],[Produto]],tProdutos[Produto],0))="",DescontoPadrao,INDEX(tProdutos[Desconto homologado],MATCH(tItens[[#This Row],[Produto]],tProdutos[Produto],0))),DescontoPadrao)</f>
        <v>0.30410958904109597</v>
      </c>
      <c r="M5875" s="12">
        <f>tItens[[#This Row],[Valor]]*(1-tItens[[#This Row],[Desconto]])</f>
        <v>64.36986301369862</v>
      </c>
      <c r="N5875" t="str">
        <f>IFERROR(INDEX(tProdutos[Foco],MATCH(tItens[[#This Row],[Produto]],tProdutos[Produto],0)),"Não")</f>
        <v>Não</v>
      </c>
      <c r="O5875" t="str">
        <f>IFERROR(INDEX(tEditais[SRP],MATCH(tItens[[#This Row],[Edital]],tEditais[Edital],0)),"Não")</f>
        <v>Sim</v>
      </c>
      <c r="P5875" s="4">
        <f>IF(COUNTIFS(INDEX(tItens[Edital],1):tItens[[#This Row],[Edital]],tItens[[#This Row],[Edital]],INDEX(tItens[Produto],1):tItens[[#This Row],[Produto]],tItens[[#This Row],[Produto]])=1,1,0)</f>
        <v>1</v>
      </c>
    </row>
    <row r="5876" spans="1:16" x14ac:dyDescent="0.25">
      <c r="A5876" t="s">
        <v>2080</v>
      </c>
      <c r="B5876">
        <v>23</v>
      </c>
      <c r="C5876" t="s">
        <v>8631</v>
      </c>
      <c r="D5876" t="s">
        <v>110</v>
      </c>
      <c r="E5876" s="13">
        <v>50</v>
      </c>
      <c r="F5876" s="12">
        <v>1.89</v>
      </c>
      <c r="G5876" t="str">
        <f>IFERROR(INDEX(tEditais[Órgão],MATCH(tItens[[#This Row],[Edital]],tEditais[Edital],0)),"")</f>
        <v>MUNICIPIO DE CAPANEMA</v>
      </c>
      <c r="H5876" t="str">
        <f>IFERROR(INDEX(tEditais[UF],MATCH(tItens[[#This Row],[Edital]],tEditais[Edital],0)),"")</f>
        <v>PR</v>
      </c>
      <c r="I5876" s="11">
        <f>IFERROR(INDEX(tEditais[Encerramento],MATCH(tItens[[#This Row],[Edital]],tEditais[Edital],0)),"")</f>
        <v>46309.5625</v>
      </c>
      <c r="J5876" t="str">
        <f>IFERROR(INDEX(tProdutos[Classe],MATCH(tItens[[#This Row],[Produto]],tProdutos[Produto],0)),"produto não cadastrado")</f>
        <v>NÚCLEO</v>
      </c>
      <c r="K5876" s="12">
        <f>tItens[[#This Row],[Qtd]]*tItens[[#This Row],[Vlr unit]]</f>
        <v>94.5</v>
      </c>
      <c r="L5876" s="6">
        <f>IFERROR(IF(INDEX(tProdutos[Desconto homologado],MATCH(tItens[[#This Row],[Produto]],tProdutos[Produto],0))="",DescontoPadrao,INDEX(tProdutos[Desconto homologado],MATCH(tItens[[#This Row],[Produto]],tProdutos[Produto],0))),DescontoPadrao)</f>
        <v>0.30410958904109597</v>
      </c>
      <c r="M5876" s="12">
        <f>tItens[[#This Row],[Valor]]*(1-tItens[[#This Row],[Desconto]])</f>
        <v>65.761643835616425</v>
      </c>
      <c r="N5876" t="str">
        <f>IFERROR(INDEX(tProdutos[Foco],MATCH(tItens[[#This Row],[Produto]],tProdutos[Produto],0)),"Não")</f>
        <v>Não</v>
      </c>
      <c r="O5876" t="str">
        <f>IFERROR(INDEX(tEditais[SRP],MATCH(tItens[[#This Row],[Edital]],tEditais[Edital],0)),"Não")</f>
        <v>Sim</v>
      </c>
      <c r="P5876" s="4">
        <f>IF(COUNTIFS(INDEX(tItens[Edital],1):tItens[[#This Row],[Edital]],tItens[[#This Row],[Edital]],INDEX(tItens[Produto],1):tItens[[#This Row],[Produto]],tItens[[#This Row],[Produto]])=1,1,0)</f>
        <v>0</v>
      </c>
    </row>
    <row r="5877" spans="1:16" x14ac:dyDescent="0.25">
      <c r="A5877" t="s">
        <v>2080</v>
      </c>
      <c r="B5877">
        <v>24</v>
      </c>
      <c r="C5877" t="s">
        <v>8632</v>
      </c>
      <c r="D5877" t="s">
        <v>110</v>
      </c>
      <c r="E5877" s="13">
        <v>50</v>
      </c>
      <c r="F5877" s="12">
        <v>1.58</v>
      </c>
      <c r="G5877" t="str">
        <f>IFERROR(INDEX(tEditais[Órgão],MATCH(tItens[[#This Row],[Edital]],tEditais[Edital],0)),"")</f>
        <v>MUNICIPIO DE CAPANEMA</v>
      </c>
      <c r="H5877" t="str">
        <f>IFERROR(INDEX(tEditais[UF],MATCH(tItens[[#This Row],[Edital]],tEditais[Edital],0)),"")</f>
        <v>PR</v>
      </c>
      <c r="I5877" s="11">
        <f>IFERROR(INDEX(tEditais[Encerramento],MATCH(tItens[[#This Row],[Edital]],tEditais[Edital],0)),"")</f>
        <v>46309.5625</v>
      </c>
      <c r="J5877" t="str">
        <f>IFERROR(INDEX(tProdutos[Classe],MATCH(tItens[[#This Row],[Produto]],tProdutos[Produto],0)),"produto não cadastrado")</f>
        <v>NÚCLEO</v>
      </c>
      <c r="K5877" s="12">
        <f>tItens[[#This Row],[Qtd]]*tItens[[#This Row],[Vlr unit]]</f>
        <v>79</v>
      </c>
      <c r="L5877" s="6">
        <f>IFERROR(IF(INDEX(tProdutos[Desconto homologado],MATCH(tItens[[#This Row],[Produto]],tProdutos[Produto],0))="",DescontoPadrao,INDEX(tProdutos[Desconto homologado],MATCH(tItens[[#This Row],[Produto]],tProdutos[Produto],0))),DescontoPadrao)</f>
        <v>0.30410958904109597</v>
      </c>
      <c r="M5877" s="12">
        <f>tItens[[#This Row],[Valor]]*(1-tItens[[#This Row],[Desconto]])</f>
        <v>54.975342465753421</v>
      </c>
      <c r="N5877" t="str">
        <f>IFERROR(INDEX(tProdutos[Foco],MATCH(tItens[[#This Row],[Produto]],tProdutos[Produto],0)),"Não")</f>
        <v>Não</v>
      </c>
      <c r="O5877" t="str">
        <f>IFERROR(INDEX(tEditais[SRP],MATCH(tItens[[#This Row],[Edital]],tEditais[Edital],0)),"Não")</f>
        <v>Sim</v>
      </c>
      <c r="P5877" s="4">
        <f>IF(COUNTIFS(INDEX(tItens[Edital],1):tItens[[#This Row],[Edital]],tItens[[#This Row],[Edital]],INDEX(tItens[Produto],1):tItens[[#This Row],[Produto]],tItens[[#This Row],[Produto]])=1,1,0)</f>
        <v>0</v>
      </c>
    </row>
    <row r="5878" spans="1:16" x14ac:dyDescent="0.25">
      <c r="A5878" t="s">
        <v>2080</v>
      </c>
      <c r="B5878">
        <v>25</v>
      </c>
      <c r="C5878" t="s">
        <v>8633</v>
      </c>
      <c r="D5878" t="s">
        <v>110</v>
      </c>
      <c r="E5878" s="13">
        <v>50</v>
      </c>
      <c r="F5878" s="12">
        <v>1.38</v>
      </c>
      <c r="G5878" t="str">
        <f>IFERROR(INDEX(tEditais[Órgão],MATCH(tItens[[#This Row],[Edital]],tEditais[Edital],0)),"")</f>
        <v>MUNICIPIO DE CAPANEMA</v>
      </c>
      <c r="H5878" t="str">
        <f>IFERROR(INDEX(tEditais[UF],MATCH(tItens[[#This Row],[Edital]],tEditais[Edital],0)),"")</f>
        <v>PR</v>
      </c>
      <c r="I5878" s="11">
        <f>IFERROR(INDEX(tEditais[Encerramento],MATCH(tItens[[#This Row],[Edital]],tEditais[Edital],0)),"")</f>
        <v>46309.5625</v>
      </c>
      <c r="J5878" t="str">
        <f>IFERROR(INDEX(tProdutos[Classe],MATCH(tItens[[#This Row],[Produto]],tProdutos[Produto],0)),"produto não cadastrado")</f>
        <v>NÚCLEO</v>
      </c>
      <c r="K5878" s="12">
        <f>tItens[[#This Row],[Qtd]]*tItens[[#This Row],[Vlr unit]]</f>
        <v>69</v>
      </c>
      <c r="L5878" s="6">
        <f>IFERROR(IF(INDEX(tProdutos[Desconto homologado],MATCH(tItens[[#This Row],[Produto]],tProdutos[Produto],0))="",DescontoPadrao,INDEX(tProdutos[Desconto homologado],MATCH(tItens[[#This Row],[Produto]],tProdutos[Produto],0))),DescontoPadrao)</f>
        <v>0.30410958904109597</v>
      </c>
      <c r="M5878" s="12">
        <f>tItens[[#This Row],[Valor]]*(1-tItens[[#This Row],[Desconto]])</f>
        <v>48.016438356164379</v>
      </c>
      <c r="N5878" t="str">
        <f>IFERROR(INDEX(tProdutos[Foco],MATCH(tItens[[#This Row],[Produto]],tProdutos[Produto],0)),"Não")</f>
        <v>Não</v>
      </c>
      <c r="O5878" t="str">
        <f>IFERROR(INDEX(tEditais[SRP],MATCH(tItens[[#This Row],[Edital]],tEditais[Edital],0)),"Não")</f>
        <v>Sim</v>
      </c>
      <c r="P5878" s="4">
        <f>IF(COUNTIFS(INDEX(tItens[Edital],1):tItens[[#This Row],[Edital]],tItens[[#This Row],[Edital]],INDEX(tItens[Produto],1):tItens[[#This Row],[Produto]],tItens[[#This Row],[Produto]])=1,1,0)</f>
        <v>0</v>
      </c>
    </row>
    <row r="5879" spans="1:16" x14ac:dyDescent="0.25">
      <c r="A5879" t="s">
        <v>2080</v>
      </c>
      <c r="B5879">
        <v>27</v>
      </c>
      <c r="C5879" t="s">
        <v>8598</v>
      </c>
      <c r="D5879" t="s">
        <v>164</v>
      </c>
      <c r="E5879" s="13">
        <v>200</v>
      </c>
      <c r="F5879" s="12">
        <v>14.2</v>
      </c>
      <c r="G5879" t="str">
        <f>IFERROR(INDEX(tEditais[Órgão],MATCH(tItens[[#This Row],[Edital]],tEditais[Edital],0)),"")</f>
        <v>MUNICIPIO DE CAPANEMA</v>
      </c>
      <c r="H5879" t="str">
        <f>IFERROR(INDEX(tEditais[UF],MATCH(tItens[[#This Row],[Edital]],tEditais[Edital],0)),"")</f>
        <v>PR</v>
      </c>
      <c r="I5879" s="11">
        <f>IFERROR(INDEX(tEditais[Encerramento],MATCH(tItens[[#This Row],[Edital]],tEditais[Edital],0)),"")</f>
        <v>46309.5625</v>
      </c>
      <c r="J5879" t="str">
        <f>IFERROR(INDEX(tProdutos[Classe],MATCH(tItens[[#This Row],[Produto]],tProdutos[Produto],0)),"produto não cadastrado")</f>
        <v>DISPUTADO</v>
      </c>
      <c r="K5879" s="12">
        <f>tItens[[#This Row],[Qtd]]*tItens[[#This Row],[Vlr unit]]</f>
        <v>2840</v>
      </c>
      <c r="L5879" s="6">
        <f>IFERROR(IF(INDEX(tProdutos[Desconto homologado],MATCH(tItens[[#This Row],[Produto]],tProdutos[Produto],0))="",DescontoPadrao,INDEX(tProdutos[Desconto homologado],MATCH(tItens[[#This Row],[Produto]],tProdutos[Produto],0))),DescontoPadrao)</f>
        <v>0.445300462249615</v>
      </c>
      <c r="M5879" s="12">
        <f>tItens[[#This Row],[Valor]]*(1-tItens[[#This Row],[Desconto]])</f>
        <v>1575.3466872110932</v>
      </c>
      <c r="N5879" t="str">
        <f>IFERROR(INDEX(tProdutos[Foco],MATCH(tItens[[#This Row],[Produto]],tProdutos[Produto],0)),"Não")</f>
        <v>Não</v>
      </c>
      <c r="O5879" t="str">
        <f>IFERROR(INDEX(tEditais[SRP],MATCH(tItens[[#This Row],[Edital]],tEditais[Edital],0)),"Não")</f>
        <v>Sim</v>
      </c>
      <c r="P5879" s="4">
        <f>IF(COUNTIFS(INDEX(tItens[Edital],1):tItens[[#This Row],[Edital]],tItens[[#This Row],[Edital]],INDEX(tItens[Produto],1):tItens[[#This Row],[Produto]],tItens[[#This Row],[Produto]])=1,1,0)</f>
        <v>1</v>
      </c>
    </row>
    <row r="5880" spans="1:16" x14ac:dyDescent="0.25">
      <c r="A5880" t="s">
        <v>2080</v>
      </c>
      <c r="B5880">
        <v>28</v>
      </c>
      <c r="C5880" t="s">
        <v>8634</v>
      </c>
      <c r="D5880" t="s">
        <v>110</v>
      </c>
      <c r="E5880" s="13">
        <v>50</v>
      </c>
      <c r="F5880" s="12">
        <v>1.93</v>
      </c>
      <c r="G5880" t="str">
        <f>IFERROR(INDEX(tEditais[Órgão],MATCH(tItens[[#This Row],[Edital]],tEditais[Edital],0)),"")</f>
        <v>MUNICIPIO DE CAPANEMA</v>
      </c>
      <c r="H5880" t="str">
        <f>IFERROR(INDEX(tEditais[UF],MATCH(tItens[[#This Row],[Edital]],tEditais[Edital],0)),"")</f>
        <v>PR</v>
      </c>
      <c r="I5880" s="11">
        <f>IFERROR(INDEX(tEditais[Encerramento],MATCH(tItens[[#This Row],[Edital]],tEditais[Edital],0)),"")</f>
        <v>46309.5625</v>
      </c>
      <c r="J5880" t="str">
        <f>IFERROR(INDEX(tProdutos[Classe],MATCH(tItens[[#This Row],[Produto]],tProdutos[Produto],0)),"produto não cadastrado")</f>
        <v>NÚCLEO</v>
      </c>
      <c r="K5880" s="12">
        <f>tItens[[#This Row],[Qtd]]*tItens[[#This Row],[Vlr unit]]</f>
        <v>96.5</v>
      </c>
      <c r="L5880" s="6">
        <f>IFERROR(IF(INDEX(tProdutos[Desconto homologado],MATCH(tItens[[#This Row],[Produto]],tProdutos[Produto],0))="",DescontoPadrao,INDEX(tProdutos[Desconto homologado],MATCH(tItens[[#This Row],[Produto]],tProdutos[Produto],0))),DescontoPadrao)</f>
        <v>0.30410958904109597</v>
      </c>
      <c r="M5880" s="12">
        <f>tItens[[#This Row],[Valor]]*(1-tItens[[#This Row],[Desconto]])</f>
        <v>67.153424657534245</v>
      </c>
      <c r="N5880" t="str">
        <f>IFERROR(INDEX(tProdutos[Foco],MATCH(tItens[[#This Row],[Produto]],tProdutos[Produto],0)),"Não")</f>
        <v>Não</v>
      </c>
      <c r="O5880" t="str">
        <f>IFERROR(INDEX(tEditais[SRP],MATCH(tItens[[#This Row],[Edital]],tEditais[Edital],0)),"Não")</f>
        <v>Sim</v>
      </c>
      <c r="P5880" s="4">
        <f>IF(COUNTIFS(INDEX(tItens[Edital],1):tItens[[#This Row],[Edital]],tItens[[#This Row],[Edital]],INDEX(tItens[Produto],1):tItens[[#This Row],[Produto]],tItens[[#This Row],[Produto]])=1,1,0)</f>
        <v>0</v>
      </c>
    </row>
    <row r="5881" spans="1:16" x14ac:dyDescent="0.25">
      <c r="A5881" t="s">
        <v>2080</v>
      </c>
      <c r="B5881">
        <v>29</v>
      </c>
      <c r="C5881" t="s">
        <v>8635</v>
      </c>
      <c r="D5881" t="s">
        <v>110</v>
      </c>
      <c r="E5881" s="13">
        <v>50</v>
      </c>
      <c r="F5881" s="12">
        <v>1.73</v>
      </c>
      <c r="G5881" t="str">
        <f>IFERROR(INDEX(tEditais[Órgão],MATCH(tItens[[#This Row],[Edital]],tEditais[Edital],0)),"")</f>
        <v>MUNICIPIO DE CAPANEMA</v>
      </c>
      <c r="H5881" t="str">
        <f>IFERROR(INDEX(tEditais[UF],MATCH(tItens[[#This Row],[Edital]],tEditais[Edital],0)),"")</f>
        <v>PR</v>
      </c>
      <c r="I5881" s="11">
        <f>IFERROR(INDEX(tEditais[Encerramento],MATCH(tItens[[#This Row],[Edital]],tEditais[Edital],0)),"")</f>
        <v>46309.5625</v>
      </c>
      <c r="J5881" t="str">
        <f>IFERROR(INDEX(tProdutos[Classe],MATCH(tItens[[#This Row],[Produto]],tProdutos[Produto],0)),"produto não cadastrado")</f>
        <v>NÚCLEO</v>
      </c>
      <c r="K5881" s="12">
        <f>tItens[[#This Row],[Qtd]]*tItens[[#This Row],[Vlr unit]]</f>
        <v>86.5</v>
      </c>
      <c r="L5881" s="6">
        <f>IFERROR(IF(INDEX(tProdutos[Desconto homologado],MATCH(tItens[[#This Row],[Produto]],tProdutos[Produto],0))="",DescontoPadrao,INDEX(tProdutos[Desconto homologado],MATCH(tItens[[#This Row],[Produto]],tProdutos[Produto],0))),DescontoPadrao)</f>
        <v>0.30410958904109597</v>
      </c>
      <c r="M5881" s="12">
        <f>tItens[[#This Row],[Valor]]*(1-tItens[[#This Row],[Desconto]])</f>
        <v>60.194520547945196</v>
      </c>
      <c r="N5881" t="str">
        <f>IFERROR(INDEX(tProdutos[Foco],MATCH(tItens[[#This Row],[Produto]],tProdutos[Produto],0)),"Não")</f>
        <v>Não</v>
      </c>
      <c r="O5881" t="str">
        <f>IFERROR(INDEX(tEditais[SRP],MATCH(tItens[[#This Row],[Edital]],tEditais[Edital],0)),"Não")</f>
        <v>Sim</v>
      </c>
      <c r="P5881" s="4">
        <f>IF(COUNTIFS(INDEX(tItens[Edital],1):tItens[[#This Row],[Edital]],tItens[[#This Row],[Edital]],INDEX(tItens[Produto],1):tItens[[#This Row],[Produto]],tItens[[#This Row],[Produto]])=1,1,0)</f>
        <v>0</v>
      </c>
    </row>
    <row r="5882" spans="1:16" x14ac:dyDescent="0.25">
      <c r="A5882" t="s">
        <v>2080</v>
      </c>
      <c r="B5882">
        <v>30</v>
      </c>
      <c r="C5882" t="s">
        <v>8636</v>
      </c>
      <c r="D5882" t="s">
        <v>110</v>
      </c>
      <c r="E5882" s="13">
        <v>50</v>
      </c>
      <c r="F5882" s="12">
        <v>1.96</v>
      </c>
      <c r="G5882" t="str">
        <f>IFERROR(INDEX(tEditais[Órgão],MATCH(tItens[[#This Row],[Edital]],tEditais[Edital],0)),"")</f>
        <v>MUNICIPIO DE CAPANEMA</v>
      </c>
      <c r="H5882" t="str">
        <f>IFERROR(INDEX(tEditais[UF],MATCH(tItens[[#This Row],[Edital]],tEditais[Edital],0)),"")</f>
        <v>PR</v>
      </c>
      <c r="I5882" s="11">
        <f>IFERROR(INDEX(tEditais[Encerramento],MATCH(tItens[[#This Row],[Edital]],tEditais[Edital],0)),"")</f>
        <v>46309.5625</v>
      </c>
      <c r="J5882" t="str">
        <f>IFERROR(INDEX(tProdutos[Classe],MATCH(tItens[[#This Row],[Produto]],tProdutos[Produto],0)),"produto não cadastrado")</f>
        <v>NÚCLEO</v>
      </c>
      <c r="K5882" s="12">
        <f>tItens[[#This Row],[Qtd]]*tItens[[#This Row],[Vlr unit]]</f>
        <v>98</v>
      </c>
      <c r="L5882" s="6">
        <f>IFERROR(IF(INDEX(tProdutos[Desconto homologado],MATCH(tItens[[#This Row],[Produto]],tProdutos[Produto],0))="",DescontoPadrao,INDEX(tProdutos[Desconto homologado],MATCH(tItens[[#This Row],[Produto]],tProdutos[Produto],0))),DescontoPadrao)</f>
        <v>0.30410958904109597</v>
      </c>
      <c r="M5882" s="12">
        <f>tItens[[#This Row],[Valor]]*(1-tItens[[#This Row],[Desconto]])</f>
        <v>68.197260273972589</v>
      </c>
      <c r="N5882" t="str">
        <f>IFERROR(INDEX(tProdutos[Foco],MATCH(tItens[[#This Row],[Produto]],tProdutos[Produto],0)),"Não")</f>
        <v>Não</v>
      </c>
      <c r="O5882" t="str">
        <f>IFERROR(INDEX(tEditais[SRP],MATCH(tItens[[#This Row],[Edital]],tEditais[Edital],0)),"Não")</f>
        <v>Sim</v>
      </c>
      <c r="P5882" s="4">
        <f>IF(COUNTIFS(INDEX(tItens[Edital],1):tItens[[#This Row],[Edital]],tItens[[#This Row],[Edital]],INDEX(tItens[Produto],1):tItens[[#This Row],[Produto]],tItens[[#This Row],[Produto]])=1,1,0)</f>
        <v>0</v>
      </c>
    </row>
    <row r="5883" spans="1:16" x14ac:dyDescent="0.25">
      <c r="A5883" t="s">
        <v>2080</v>
      </c>
      <c r="B5883">
        <v>31</v>
      </c>
      <c r="C5883" t="s">
        <v>8637</v>
      </c>
      <c r="D5883" t="s">
        <v>110</v>
      </c>
      <c r="E5883" s="13">
        <v>50</v>
      </c>
      <c r="F5883" s="12">
        <v>1.36</v>
      </c>
      <c r="G5883" t="str">
        <f>IFERROR(INDEX(tEditais[Órgão],MATCH(tItens[[#This Row],[Edital]],tEditais[Edital],0)),"")</f>
        <v>MUNICIPIO DE CAPANEMA</v>
      </c>
      <c r="H5883" t="str">
        <f>IFERROR(INDEX(tEditais[UF],MATCH(tItens[[#This Row],[Edital]],tEditais[Edital],0)),"")</f>
        <v>PR</v>
      </c>
      <c r="I5883" s="11">
        <f>IFERROR(INDEX(tEditais[Encerramento],MATCH(tItens[[#This Row],[Edital]],tEditais[Edital],0)),"")</f>
        <v>46309.5625</v>
      </c>
      <c r="J5883" t="str">
        <f>IFERROR(INDEX(tProdutos[Classe],MATCH(tItens[[#This Row],[Produto]],tProdutos[Produto],0)),"produto não cadastrado")</f>
        <v>NÚCLEO</v>
      </c>
      <c r="K5883" s="12">
        <f>tItens[[#This Row],[Qtd]]*tItens[[#This Row],[Vlr unit]]</f>
        <v>68</v>
      </c>
      <c r="L5883" s="6">
        <f>IFERROR(IF(INDEX(tProdutos[Desconto homologado],MATCH(tItens[[#This Row],[Produto]],tProdutos[Produto],0))="",DescontoPadrao,INDEX(tProdutos[Desconto homologado],MATCH(tItens[[#This Row],[Produto]],tProdutos[Produto],0))),DescontoPadrao)</f>
        <v>0.30410958904109597</v>
      </c>
      <c r="M5883" s="12">
        <f>tItens[[#This Row],[Valor]]*(1-tItens[[#This Row],[Desconto]])</f>
        <v>47.320547945205476</v>
      </c>
      <c r="N5883" t="str">
        <f>IFERROR(INDEX(tProdutos[Foco],MATCH(tItens[[#This Row],[Produto]],tProdutos[Produto],0)),"Não")</f>
        <v>Não</v>
      </c>
      <c r="O5883" t="str">
        <f>IFERROR(INDEX(tEditais[SRP],MATCH(tItens[[#This Row],[Edital]],tEditais[Edital],0)),"Não")</f>
        <v>Sim</v>
      </c>
      <c r="P5883" s="4">
        <f>IF(COUNTIFS(INDEX(tItens[Edital],1):tItens[[#This Row],[Edital]],tItens[[#This Row],[Edital]],INDEX(tItens[Produto],1):tItens[[#This Row],[Produto]],tItens[[#This Row],[Produto]])=1,1,0)</f>
        <v>0</v>
      </c>
    </row>
    <row r="5884" spans="1:16" x14ac:dyDescent="0.25">
      <c r="A5884" t="s">
        <v>2080</v>
      </c>
      <c r="B5884">
        <v>32</v>
      </c>
      <c r="C5884" t="s">
        <v>8638</v>
      </c>
      <c r="D5884" t="s">
        <v>110</v>
      </c>
      <c r="E5884" s="13">
        <v>50</v>
      </c>
      <c r="F5884" s="12">
        <v>1.54</v>
      </c>
      <c r="G5884" t="str">
        <f>IFERROR(INDEX(tEditais[Órgão],MATCH(tItens[[#This Row],[Edital]],tEditais[Edital],0)),"")</f>
        <v>MUNICIPIO DE CAPANEMA</v>
      </c>
      <c r="H5884" t="str">
        <f>IFERROR(INDEX(tEditais[UF],MATCH(tItens[[#This Row],[Edital]],tEditais[Edital],0)),"")</f>
        <v>PR</v>
      </c>
      <c r="I5884" s="11">
        <f>IFERROR(INDEX(tEditais[Encerramento],MATCH(tItens[[#This Row],[Edital]],tEditais[Edital],0)),"")</f>
        <v>46309.5625</v>
      </c>
      <c r="J5884" t="str">
        <f>IFERROR(INDEX(tProdutos[Classe],MATCH(tItens[[#This Row],[Produto]],tProdutos[Produto],0)),"produto não cadastrado")</f>
        <v>NÚCLEO</v>
      </c>
      <c r="K5884" s="12">
        <f>tItens[[#This Row],[Qtd]]*tItens[[#This Row],[Vlr unit]]</f>
        <v>77</v>
      </c>
      <c r="L5884" s="6">
        <f>IFERROR(IF(INDEX(tProdutos[Desconto homologado],MATCH(tItens[[#This Row],[Produto]],tProdutos[Produto],0))="",DescontoPadrao,INDEX(tProdutos[Desconto homologado],MATCH(tItens[[#This Row],[Produto]],tProdutos[Produto],0))),DescontoPadrao)</f>
        <v>0.30410958904109597</v>
      </c>
      <c r="M5884" s="12">
        <f>tItens[[#This Row],[Valor]]*(1-tItens[[#This Row],[Desconto]])</f>
        <v>53.583561643835608</v>
      </c>
      <c r="N5884" t="str">
        <f>IFERROR(INDEX(tProdutos[Foco],MATCH(tItens[[#This Row],[Produto]],tProdutos[Produto],0)),"Não")</f>
        <v>Não</v>
      </c>
      <c r="O5884" t="str">
        <f>IFERROR(INDEX(tEditais[SRP],MATCH(tItens[[#This Row],[Edital]],tEditais[Edital],0)),"Não")</f>
        <v>Sim</v>
      </c>
      <c r="P5884" s="4">
        <f>IF(COUNTIFS(INDEX(tItens[Edital],1):tItens[[#This Row],[Edital]],tItens[[#This Row],[Edital]],INDEX(tItens[Produto],1):tItens[[#This Row],[Produto]],tItens[[#This Row],[Produto]])=1,1,0)</f>
        <v>0</v>
      </c>
    </row>
    <row r="5885" spans="1:16" x14ac:dyDescent="0.25">
      <c r="A5885" t="s">
        <v>2080</v>
      </c>
      <c r="B5885">
        <v>33</v>
      </c>
      <c r="C5885" t="s">
        <v>8639</v>
      </c>
      <c r="D5885" t="s">
        <v>110</v>
      </c>
      <c r="E5885" s="13">
        <v>50</v>
      </c>
      <c r="F5885" s="12">
        <v>1.54</v>
      </c>
      <c r="G5885" t="str">
        <f>IFERROR(INDEX(tEditais[Órgão],MATCH(tItens[[#This Row],[Edital]],tEditais[Edital],0)),"")</f>
        <v>MUNICIPIO DE CAPANEMA</v>
      </c>
      <c r="H5885" t="str">
        <f>IFERROR(INDEX(tEditais[UF],MATCH(tItens[[#This Row],[Edital]],tEditais[Edital],0)),"")</f>
        <v>PR</v>
      </c>
      <c r="I5885" s="11">
        <f>IFERROR(INDEX(tEditais[Encerramento],MATCH(tItens[[#This Row],[Edital]],tEditais[Edital],0)),"")</f>
        <v>46309.5625</v>
      </c>
      <c r="J5885" t="str">
        <f>IFERROR(INDEX(tProdutos[Classe],MATCH(tItens[[#This Row],[Produto]],tProdutos[Produto],0)),"produto não cadastrado")</f>
        <v>NÚCLEO</v>
      </c>
      <c r="K5885" s="12">
        <f>tItens[[#This Row],[Qtd]]*tItens[[#This Row],[Vlr unit]]</f>
        <v>77</v>
      </c>
      <c r="L5885" s="6">
        <f>IFERROR(IF(INDEX(tProdutos[Desconto homologado],MATCH(tItens[[#This Row],[Produto]],tProdutos[Produto],0))="",DescontoPadrao,INDEX(tProdutos[Desconto homologado],MATCH(tItens[[#This Row],[Produto]],tProdutos[Produto],0))),DescontoPadrao)</f>
        <v>0.30410958904109597</v>
      </c>
      <c r="M5885" s="12">
        <f>tItens[[#This Row],[Valor]]*(1-tItens[[#This Row],[Desconto]])</f>
        <v>53.583561643835608</v>
      </c>
      <c r="N5885" t="str">
        <f>IFERROR(INDEX(tProdutos[Foco],MATCH(tItens[[#This Row],[Produto]],tProdutos[Produto],0)),"Não")</f>
        <v>Não</v>
      </c>
      <c r="O5885" t="str">
        <f>IFERROR(INDEX(tEditais[SRP],MATCH(tItens[[#This Row],[Edital]],tEditais[Edital],0)),"Não")</f>
        <v>Sim</v>
      </c>
      <c r="P5885" s="4">
        <f>IF(COUNTIFS(INDEX(tItens[Edital],1):tItens[[#This Row],[Edital]],tItens[[#This Row],[Edital]],INDEX(tItens[Produto],1):tItens[[#This Row],[Produto]],tItens[[#This Row],[Produto]])=1,1,0)</f>
        <v>0</v>
      </c>
    </row>
    <row r="5886" spans="1:16" x14ac:dyDescent="0.25">
      <c r="A5886" t="s">
        <v>2080</v>
      </c>
      <c r="B5886">
        <v>34</v>
      </c>
      <c r="C5886" t="s">
        <v>8640</v>
      </c>
      <c r="D5886" t="s">
        <v>110</v>
      </c>
      <c r="E5886" s="13">
        <v>50</v>
      </c>
      <c r="F5886" s="12">
        <v>1.71</v>
      </c>
      <c r="G5886" t="str">
        <f>IFERROR(INDEX(tEditais[Órgão],MATCH(tItens[[#This Row],[Edital]],tEditais[Edital],0)),"")</f>
        <v>MUNICIPIO DE CAPANEMA</v>
      </c>
      <c r="H5886" t="str">
        <f>IFERROR(INDEX(tEditais[UF],MATCH(tItens[[#This Row],[Edital]],tEditais[Edital],0)),"")</f>
        <v>PR</v>
      </c>
      <c r="I5886" s="11">
        <f>IFERROR(INDEX(tEditais[Encerramento],MATCH(tItens[[#This Row],[Edital]],tEditais[Edital],0)),"")</f>
        <v>46309.5625</v>
      </c>
      <c r="J5886" t="str">
        <f>IFERROR(INDEX(tProdutos[Classe],MATCH(tItens[[#This Row],[Produto]],tProdutos[Produto],0)),"produto não cadastrado")</f>
        <v>NÚCLEO</v>
      </c>
      <c r="K5886" s="12">
        <f>tItens[[#This Row],[Qtd]]*tItens[[#This Row],[Vlr unit]]</f>
        <v>85.5</v>
      </c>
      <c r="L5886" s="6">
        <f>IFERROR(IF(INDEX(tProdutos[Desconto homologado],MATCH(tItens[[#This Row],[Produto]],tProdutos[Produto],0))="",DescontoPadrao,INDEX(tProdutos[Desconto homologado],MATCH(tItens[[#This Row],[Produto]],tProdutos[Produto],0))),DescontoPadrao)</f>
        <v>0.30410958904109597</v>
      </c>
      <c r="M5886" s="12">
        <f>tItens[[#This Row],[Valor]]*(1-tItens[[#This Row],[Desconto]])</f>
        <v>59.498630136986293</v>
      </c>
      <c r="N5886" t="str">
        <f>IFERROR(INDEX(tProdutos[Foco],MATCH(tItens[[#This Row],[Produto]],tProdutos[Produto],0)),"Não")</f>
        <v>Não</v>
      </c>
      <c r="O5886" t="str">
        <f>IFERROR(INDEX(tEditais[SRP],MATCH(tItens[[#This Row],[Edital]],tEditais[Edital],0)),"Não")</f>
        <v>Sim</v>
      </c>
      <c r="P5886" s="4">
        <f>IF(COUNTIFS(INDEX(tItens[Edital],1):tItens[[#This Row],[Edital]],tItens[[#This Row],[Edital]],INDEX(tItens[Produto],1):tItens[[#This Row],[Produto]],tItens[[#This Row],[Produto]])=1,1,0)</f>
        <v>0</v>
      </c>
    </row>
    <row r="5887" spans="1:16" x14ac:dyDescent="0.25">
      <c r="A5887" t="s">
        <v>2080</v>
      </c>
      <c r="B5887">
        <v>35</v>
      </c>
      <c r="C5887" t="s">
        <v>8631</v>
      </c>
      <c r="D5887" t="s">
        <v>110</v>
      </c>
      <c r="E5887" s="13">
        <v>50</v>
      </c>
      <c r="F5887" s="12">
        <v>1.64</v>
      </c>
      <c r="G5887" t="str">
        <f>IFERROR(INDEX(tEditais[Órgão],MATCH(tItens[[#This Row],[Edital]],tEditais[Edital],0)),"")</f>
        <v>MUNICIPIO DE CAPANEMA</v>
      </c>
      <c r="H5887" t="str">
        <f>IFERROR(INDEX(tEditais[UF],MATCH(tItens[[#This Row],[Edital]],tEditais[Edital],0)),"")</f>
        <v>PR</v>
      </c>
      <c r="I5887" s="11">
        <f>IFERROR(INDEX(tEditais[Encerramento],MATCH(tItens[[#This Row],[Edital]],tEditais[Edital],0)),"")</f>
        <v>46309.5625</v>
      </c>
      <c r="J5887" t="str">
        <f>IFERROR(INDEX(tProdutos[Classe],MATCH(tItens[[#This Row],[Produto]],tProdutos[Produto],0)),"produto não cadastrado")</f>
        <v>NÚCLEO</v>
      </c>
      <c r="K5887" s="12">
        <f>tItens[[#This Row],[Qtd]]*tItens[[#This Row],[Vlr unit]]</f>
        <v>82</v>
      </c>
      <c r="L5887" s="6">
        <f>IFERROR(IF(INDEX(tProdutos[Desconto homologado],MATCH(tItens[[#This Row],[Produto]],tProdutos[Produto],0))="",DescontoPadrao,INDEX(tProdutos[Desconto homologado],MATCH(tItens[[#This Row],[Produto]],tProdutos[Produto],0))),DescontoPadrao)</f>
        <v>0.30410958904109597</v>
      </c>
      <c r="M5887" s="12">
        <f>tItens[[#This Row],[Valor]]*(1-tItens[[#This Row],[Desconto]])</f>
        <v>57.06301369863013</v>
      </c>
      <c r="N5887" t="str">
        <f>IFERROR(INDEX(tProdutos[Foco],MATCH(tItens[[#This Row],[Produto]],tProdutos[Produto],0)),"Não")</f>
        <v>Não</v>
      </c>
      <c r="O5887" t="str">
        <f>IFERROR(INDEX(tEditais[SRP],MATCH(tItens[[#This Row],[Edital]],tEditais[Edital],0)),"Não")</f>
        <v>Sim</v>
      </c>
      <c r="P5887" s="4">
        <f>IF(COUNTIFS(INDEX(tItens[Edital],1):tItens[[#This Row],[Edital]],tItens[[#This Row],[Edital]],INDEX(tItens[Produto],1):tItens[[#This Row],[Produto]],tItens[[#This Row],[Produto]])=1,1,0)</f>
        <v>0</v>
      </c>
    </row>
    <row r="5888" spans="1:16" x14ac:dyDescent="0.25">
      <c r="A5888" t="s">
        <v>2080</v>
      </c>
      <c r="B5888">
        <v>36</v>
      </c>
      <c r="C5888" t="s">
        <v>8641</v>
      </c>
      <c r="D5888" t="s">
        <v>110</v>
      </c>
      <c r="E5888" s="13">
        <v>50</v>
      </c>
      <c r="F5888" s="12">
        <v>1.43</v>
      </c>
      <c r="G5888" t="str">
        <f>IFERROR(INDEX(tEditais[Órgão],MATCH(tItens[[#This Row],[Edital]],tEditais[Edital],0)),"")</f>
        <v>MUNICIPIO DE CAPANEMA</v>
      </c>
      <c r="H5888" t="str">
        <f>IFERROR(INDEX(tEditais[UF],MATCH(tItens[[#This Row],[Edital]],tEditais[Edital],0)),"")</f>
        <v>PR</v>
      </c>
      <c r="I5888" s="11">
        <f>IFERROR(INDEX(tEditais[Encerramento],MATCH(tItens[[#This Row],[Edital]],tEditais[Edital],0)),"")</f>
        <v>46309.5625</v>
      </c>
      <c r="J5888" t="str">
        <f>IFERROR(INDEX(tProdutos[Classe],MATCH(tItens[[#This Row],[Produto]],tProdutos[Produto],0)),"produto não cadastrado")</f>
        <v>NÚCLEO</v>
      </c>
      <c r="K5888" s="12">
        <f>tItens[[#This Row],[Qtd]]*tItens[[#This Row],[Vlr unit]]</f>
        <v>71.5</v>
      </c>
      <c r="L5888" s="6">
        <f>IFERROR(IF(INDEX(tProdutos[Desconto homologado],MATCH(tItens[[#This Row],[Produto]],tProdutos[Produto],0))="",DescontoPadrao,INDEX(tProdutos[Desconto homologado],MATCH(tItens[[#This Row],[Produto]],tProdutos[Produto],0))),DescontoPadrao)</f>
        <v>0.30410958904109597</v>
      </c>
      <c r="M5888" s="12">
        <f>tItens[[#This Row],[Valor]]*(1-tItens[[#This Row],[Desconto]])</f>
        <v>49.756164383561639</v>
      </c>
      <c r="N5888" t="str">
        <f>IFERROR(INDEX(tProdutos[Foco],MATCH(tItens[[#This Row],[Produto]],tProdutos[Produto],0)),"Não")</f>
        <v>Não</v>
      </c>
      <c r="O5888" t="str">
        <f>IFERROR(INDEX(tEditais[SRP],MATCH(tItens[[#This Row],[Edital]],tEditais[Edital],0)),"Não")</f>
        <v>Sim</v>
      </c>
      <c r="P5888" s="4">
        <f>IF(COUNTIFS(INDEX(tItens[Edital],1):tItens[[#This Row],[Edital]],tItens[[#This Row],[Edital]],INDEX(tItens[Produto],1):tItens[[#This Row],[Produto]],tItens[[#This Row],[Produto]])=1,1,0)</f>
        <v>0</v>
      </c>
    </row>
    <row r="5889" spans="1:16" x14ac:dyDescent="0.25">
      <c r="A5889" t="s">
        <v>2080</v>
      </c>
      <c r="B5889">
        <v>37</v>
      </c>
      <c r="C5889" t="s">
        <v>4164</v>
      </c>
      <c r="D5889" t="s">
        <v>184</v>
      </c>
      <c r="E5889" s="13">
        <v>20</v>
      </c>
      <c r="F5889" s="12">
        <v>8.35</v>
      </c>
      <c r="G5889" t="str">
        <f>IFERROR(INDEX(tEditais[Órgão],MATCH(tItens[[#This Row],[Edital]],tEditais[Edital],0)),"")</f>
        <v>MUNICIPIO DE CAPANEMA</v>
      </c>
      <c r="H5889" t="str">
        <f>IFERROR(INDEX(tEditais[UF],MATCH(tItens[[#This Row],[Edital]],tEditais[Edital],0)),"")</f>
        <v>PR</v>
      </c>
      <c r="I5889" s="11">
        <f>IFERROR(INDEX(tEditais[Encerramento],MATCH(tItens[[#This Row],[Edital]],tEditais[Edital],0)),"")</f>
        <v>46309.5625</v>
      </c>
      <c r="J5889" t="str">
        <f>IFERROR(INDEX(tProdutos[Classe],MATCH(tItens[[#This Row],[Produto]],tProdutos[Produto],0)),"produto não cadastrado")</f>
        <v>FORA</v>
      </c>
      <c r="K5889" s="12">
        <f>tItens[[#This Row],[Qtd]]*tItens[[#This Row],[Vlr unit]]</f>
        <v>167</v>
      </c>
      <c r="L5889" s="6">
        <f>IFERROR(IF(INDEX(tProdutos[Desconto homologado],MATCH(tItens[[#This Row],[Produto]],tProdutos[Produto],0))="",DescontoPadrao,INDEX(tProdutos[Desconto homologado],MATCH(tItens[[#This Row],[Produto]],tProdutos[Produto],0))),DescontoPadrao)</f>
        <v>0.363567906332742</v>
      </c>
      <c r="M5889" s="12">
        <f>tItens[[#This Row],[Valor]]*(1-tItens[[#This Row],[Desconto]])</f>
        <v>106.2841596424321</v>
      </c>
      <c r="N5889" t="str">
        <f>IFERROR(INDEX(tProdutos[Foco],MATCH(tItens[[#This Row],[Produto]],tProdutos[Produto],0)),"Não")</f>
        <v>Não</v>
      </c>
      <c r="O5889" t="str">
        <f>IFERROR(INDEX(tEditais[SRP],MATCH(tItens[[#This Row],[Edital]],tEditais[Edital],0)),"Não")</f>
        <v>Sim</v>
      </c>
      <c r="P5889" s="4">
        <f>IF(COUNTIFS(INDEX(tItens[Edital],1):tItens[[#This Row],[Edital]],tItens[[#This Row],[Edital]],INDEX(tItens[Produto],1):tItens[[#This Row],[Produto]],tItens[[#This Row],[Produto]])=1,1,0)</f>
        <v>1</v>
      </c>
    </row>
    <row r="5890" spans="1:16" x14ac:dyDescent="0.25">
      <c r="A5890" t="s">
        <v>2080</v>
      </c>
      <c r="B5890">
        <v>38</v>
      </c>
      <c r="C5890" t="s">
        <v>8642</v>
      </c>
      <c r="D5890" t="s">
        <v>253</v>
      </c>
      <c r="E5890" s="13">
        <v>50</v>
      </c>
      <c r="F5890" s="12">
        <v>10.3</v>
      </c>
      <c r="G5890" t="str">
        <f>IFERROR(INDEX(tEditais[Órgão],MATCH(tItens[[#This Row],[Edital]],tEditais[Edital],0)),"")</f>
        <v>MUNICIPIO DE CAPANEMA</v>
      </c>
      <c r="H5890" t="str">
        <f>IFERROR(INDEX(tEditais[UF],MATCH(tItens[[#This Row],[Edital]],tEditais[Edital],0)),"")</f>
        <v>PR</v>
      </c>
      <c r="I5890" s="11">
        <f>IFERROR(INDEX(tEditais[Encerramento],MATCH(tItens[[#This Row],[Edital]],tEditais[Edital],0)),"")</f>
        <v>46309.5625</v>
      </c>
      <c r="J5890" t="str">
        <f>IFERROR(INDEX(tProdutos[Classe],MATCH(tItens[[#This Row],[Produto]],tProdutos[Produto],0)),"produto não cadastrado")</f>
        <v>FORA</v>
      </c>
      <c r="K5890" s="12">
        <f>tItens[[#This Row],[Qtd]]*tItens[[#This Row],[Vlr unit]]</f>
        <v>515</v>
      </c>
      <c r="L5890" s="6">
        <f>IFERROR(IF(INDEX(tProdutos[Desconto homologado],MATCH(tItens[[#This Row],[Produto]],tProdutos[Produto],0))="",DescontoPadrao,INDEX(tProdutos[Desconto homologado],MATCH(tItens[[#This Row],[Produto]],tProdutos[Produto],0))),DescontoPadrao)</f>
        <v>0.31735159817351599</v>
      </c>
      <c r="M5890" s="12">
        <f>tItens[[#This Row],[Valor]]*(1-tItens[[#This Row],[Desconto]])</f>
        <v>351.56392694063925</v>
      </c>
      <c r="N5890" t="str">
        <f>IFERROR(INDEX(tProdutos[Foco],MATCH(tItens[[#This Row],[Produto]],tProdutos[Produto],0)),"Não")</f>
        <v>Não</v>
      </c>
      <c r="O5890" t="str">
        <f>IFERROR(INDEX(tEditais[SRP],MATCH(tItens[[#This Row],[Edital]],tEditais[Edital],0)),"Não")</f>
        <v>Sim</v>
      </c>
      <c r="P5890" s="4">
        <f>IF(COUNTIFS(INDEX(tItens[Edital],1):tItens[[#This Row],[Edital]],tItens[[#This Row],[Edital]],INDEX(tItens[Produto],1):tItens[[#This Row],[Produto]],tItens[[#This Row],[Produto]])=1,1,0)</f>
        <v>1</v>
      </c>
    </row>
    <row r="5891" spans="1:16" x14ac:dyDescent="0.25">
      <c r="A5891" t="s">
        <v>2080</v>
      </c>
      <c r="B5891">
        <v>39</v>
      </c>
      <c r="C5891" t="s">
        <v>8643</v>
      </c>
      <c r="D5891" t="s">
        <v>120</v>
      </c>
      <c r="E5891" s="13">
        <v>300</v>
      </c>
      <c r="F5891" s="12">
        <v>1.1599999999999999</v>
      </c>
      <c r="G5891" t="str">
        <f>IFERROR(INDEX(tEditais[Órgão],MATCH(tItens[[#This Row],[Edital]],tEditais[Edital],0)),"")</f>
        <v>MUNICIPIO DE CAPANEMA</v>
      </c>
      <c r="H5891" t="str">
        <f>IFERROR(INDEX(tEditais[UF],MATCH(tItens[[#This Row],[Edital]],tEditais[Edital],0)),"")</f>
        <v>PR</v>
      </c>
      <c r="I5891" s="11">
        <f>IFERROR(INDEX(tEditais[Encerramento],MATCH(tItens[[#This Row],[Edital]],tEditais[Edital],0)),"")</f>
        <v>46309.5625</v>
      </c>
      <c r="J5891" t="str">
        <f>IFERROR(INDEX(tProdutos[Classe],MATCH(tItens[[#This Row],[Produto]],tProdutos[Produto],0)),"produto não cadastrado")</f>
        <v>DISPUTADO</v>
      </c>
      <c r="K5891" s="12">
        <f>tItens[[#This Row],[Qtd]]*tItens[[#This Row],[Vlr unit]]</f>
        <v>348</v>
      </c>
      <c r="L5891" s="6">
        <f>IFERROR(IF(INDEX(tProdutos[Desconto homologado],MATCH(tItens[[#This Row],[Produto]],tProdutos[Produto],0))="",DescontoPadrao,INDEX(tProdutos[Desconto homologado],MATCH(tItens[[#This Row],[Produto]],tProdutos[Produto],0))),DescontoPadrao)</f>
        <v>0.40909090909090901</v>
      </c>
      <c r="M5891" s="12">
        <f>tItens[[#This Row],[Valor]]*(1-tItens[[#This Row],[Desconto]])</f>
        <v>205.63636363636368</v>
      </c>
      <c r="N5891" t="str">
        <f>IFERROR(INDEX(tProdutos[Foco],MATCH(tItens[[#This Row],[Produto]],tProdutos[Produto],0)),"Não")</f>
        <v>Não</v>
      </c>
      <c r="O5891" t="str">
        <f>IFERROR(INDEX(tEditais[SRP],MATCH(tItens[[#This Row],[Edital]],tEditais[Edital],0)),"Não")</f>
        <v>Sim</v>
      </c>
      <c r="P5891" s="4">
        <f>IF(COUNTIFS(INDEX(tItens[Edital],1):tItens[[#This Row],[Edital]],tItens[[#This Row],[Edital]],INDEX(tItens[Produto],1):tItens[[#This Row],[Produto]],tItens[[#This Row],[Produto]])=1,1,0)</f>
        <v>1</v>
      </c>
    </row>
    <row r="5892" spans="1:16" x14ac:dyDescent="0.25">
      <c r="A5892" t="s">
        <v>2080</v>
      </c>
      <c r="B5892">
        <v>54</v>
      </c>
      <c r="C5892" t="s">
        <v>8644</v>
      </c>
      <c r="D5892" t="s">
        <v>176</v>
      </c>
      <c r="E5892" s="13">
        <v>500</v>
      </c>
      <c r="F5892" s="12">
        <v>2.12</v>
      </c>
      <c r="G5892" t="str">
        <f>IFERROR(INDEX(tEditais[Órgão],MATCH(tItens[[#This Row],[Edital]],tEditais[Edital],0)),"")</f>
        <v>MUNICIPIO DE CAPANEMA</v>
      </c>
      <c r="H5892" t="str">
        <f>IFERROR(INDEX(tEditais[UF],MATCH(tItens[[#This Row],[Edital]],tEditais[Edital],0)),"")</f>
        <v>PR</v>
      </c>
      <c r="I5892" s="11">
        <f>IFERROR(INDEX(tEditais[Encerramento],MATCH(tItens[[#This Row],[Edital]],tEditais[Edital],0)),"")</f>
        <v>46309.5625</v>
      </c>
      <c r="J5892" t="str">
        <f>IFERROR(INDEX(tProdutos[Classe],MATCH(tItens[[#This Row],[Produto]],tProdutos[Produto],0)),"produto não cadastrado")</f>
        <v>DISPUTADO</v>
      </c>
      <c r="K5892" s="12">
        <f>tItens[[#This Row],[Qtd]]*tItens[[#This Row],[Vlr unit]]</f>
        <v>1060</v>
      </c>
      <c r="L5892" s="6">
        <f>IFERROR(IF(INDEX(tProdutos[Desconto homologado],MATCH(tItens[[#This Row],[Produto]],tProdutos[Produto],0))="",DescontoPadrao,INDEX(tProdutos[Desconto homologado],MATCH(tItens[[#This Row],[Produto]],tProdutos[Produto],0))),DescontoPadrao)</f>
        <v>0.39921530161843999</v>
      </c>
      <c r="M5892" s="12">
        <f>tItens[[#This Row],[Valor]]*(1-tItens[[#This Row],[Desconto]])</f>
        <v>636.83178028445366</v>
      </c>
      <c r="N5892" t="str">
        <f>IFERROR(INDEX(tProdutos[Foco],MATCH(tItens[[#This Row],[Produto]],tProdutos[Produto],0)),"Não")</f>
        <v>Não</v>
      </c>
      <c r="O5892" t="str">
        <f>IFERROR(INDEX(tEditais[SRP],MATCH(tItens[[#This Row],[Edital]],tEditais[Edital],0)),"Não")</f>
        <v>Sim</v>
      </c>
      <c r="P5892" s="4">
        <f>IF(COUNTIFS(INDEX(tItens[Edital],1):tItens[[#This Row],[Edital]],tItens[[#This Row],[Edital]],INDEX(tItens[Produto],1):tItens[[#This Row],[Produto]],tItens[[#This Row],[Produto]])=1,1,0)</f>
        <v>1</v>
      </c>
    </row>
    <row r="5893" spans="1:16" x14ac:dyDescent="0.25">
      <c r="A5893" t="s">
        <v>2080</v>
      </c>
      <c r="B5893">
        <v>55</v>
      </c>
      <c r="C5893" t="s">
        <v>8644</v>
      </c>
      <c r="D5893" t="s">
        <v>176</v>
      </c>
      <c r="E5893" s="13">
        <v>20</v>
      </c>
      <c r="F5893" s="12">
        <v>29.46</v>
      </c>
      <c r="G5893" t="str">
        <f>IFERROR(INDEX(tEditais[Órgão],MATCH(tItens[[#This Row],[Edital]],tEditais[Edital],0)),"")</f>
        <v>MUNICIPIO DE CAPANEMA</v>
      </c>
      <c r="H5893" t="str">
        <f>IFERROR(INDEX(tEditais[UF],MATCH(tItens[[#This Row],[Edital]],tEditais[Edital],0)),"")</f>
        <v>PR</v>
      </c>
      <c r="I5893" s="11">
        <f>IFERROR(INDEX(tEditais[Encerramento],MATCH(tItens[[#This Row],[Edital]],tEditais[Edital],0)),"")</f>
        <v>46309.5625</v>
      </c>
      <c r="J5893" t="str">
        <f>IFERROR(INDEX(tProdutos[Classe],MATCH(tItens[[#This Row],[Produto]],tProdutos[Produto],0)),"produto não cadastrado")</f>
        <v>DISPUTADO</v>
      </c>
      <c r="K5893" s="12">
        <f>tItens[[#This Row],[Qtd]]*tItens[[#This Row],[Vlr unit]]</f>
        <v>589.20000000000005</v>
      </c>
      <c r="L5893" s="6">
        <f>IFERROR(IF(INDEX(tProdutos[Desconto homologado],MATCH(tItens[[#This Row],[Produto]],tProdutos[Produto],0))="",DescontoPadrao,INDEX(tProdutos[Desconto homologado],MATCH(tItens[[#This Row],[Produto]],tProdutos[Produto],0))),DescontoPadrao)</f>
        <v>0.39921530161843999</v>
      </c>
      <c r="M5893" s="12">
        <f>tItens[[#This Row],[Valor]]*(1-tItens[[#This Row],[Desconto]])</f>
        <v>353.98234428641518</v>
      </c>
      <c r="N5893" t="str">
        <f>IFERROR(INDEX(tProdutos[Foco],MATCH(tItens[[#This Row],[Produto]],tProdutos[Produto],0)),"Não")</f>
        <v>Não</v>
      </c>
      <c r="O5893" t="str">
        <f>IFERROR(INDEX(tEditais[SRP],MATCH(tItens[[#This Row],[Edital]],tEditais[Edital],0)),"Não")</f>
        <v>Sim</v>
      </c>
      <c r="P5893" s="4">
        <f>IF(COUNTIFS(INDEX(tItens[Edital],1):tItens[[#This Row],[Edital]],tItens[[#This Row],[Edital]],INDEX(tItens[Produto],1):tItens[[#This Row],[Produto]],tItens[[#This Row],[Produto]])=1,1,0)</f>
        <v>0</v>
      </c>
    </row>
    <row r="5894" spans="1:16" x14ac:dyDescent="0.25">
      <c r="A5894" t="s">
        <v>2083</v>
      </c>
      <c r="B5894">
        <v>6</v>
      </c>
      <c r="C5894" t="s">
        <v>8645</v>
      </c>
      <c r="D5894" t="s">
        <v>88</v>
      </c>
      <c r="E5894" s="13">
        <v>100</v>
      </c>
      <c r="F5894" s="12">
        <v>32.65</v>
      </c>
      <c r="G5894" t="str">
        <f>IFERROR(INDEX(tEditais[Órgão],MATCH(tItens[[#This Row],[Edital]],tEditais[Edital],0)),"")</f>
        <v>MUNICIPIO DE MEDIANEIRA</v>
      </c>
      <c r="H5894" t="str">
        <f>IFERROR(INDEX(tEditais[UF],MATCH(tItens[[#This Row],[Edital]],tEditais[Edital],0)),"")</f>
        <v>PR</v>
      </c>
      <c r="I5894" s="11">
        <f>IFERROR(INDEX(tEditais[Encerramento],MATCH(tItens[[#This Row],[Edital]],tEditais[Edital],0)),"")</f>
        <v>46310.3125</v>
      </c>
      <c r="J5894" t="str">
        <f>IFERROR(INDEX(tProdutos[Classe],MATCH(tItens[[#This Row],[Produto]],tProdutos[Produto],0)),"produto não cadastrado")</f>
        <v>NÚCLEO</v>
      </c>
      <c r="K5894" s="12">
        <f>tItens[[#This Row],[Qtd]]*tItens[[#This Row],[Vlr unit]]</f>
        <v>3265</v>
      </c>
      <c r="L5894" s="6">
        <f>IFERROR(IF(INDEX(tProdutos[Desconto homologado],MATCH(tItens[[#This Row],[Produto]],tProdutos[Produto],0))="",DescontoPadrao,INDEX(tProdutos[Desconto homologado],MATCH(tItens[[#This Row],[Produto]],tProdutos[Produto],0))),DescontoPadrao)</f>
        <v>0.30251202565473001</v>
      </c>
      <c r="M5894" s="12">
        <f>tItens[[#This Row],[Valor]]*(1-tItens[[#This Row],[Desconto]])</f>
        <v>2277.2982362373064</v>
      </c>
      <c r="N5894" t="str">
        <f>IFERROR(INDEX(tProdutos[Foco],MATCH(tItens[[#This Row],[Produto]],tProdutos[Produto],0)),"Não")</f>
        <v>Não</v>
      </c>
      <c r="O5894" t="str">
        <f>IFERROR(INDEX(tEditais[SRP],MATCH(tItens[[#This Row],[Edital]],tEditais[Edital],0)),"Não")</f>
        <v>Não</v>
      </c>
      <c r="P5894" s="4">
        <f>IF(COUNTIFS(INDEX(tItens[Edital],1):tItens[[#This Row],[Edital]],tItens[[#This Row],[Edital]],INDEX(tItens[Produto],1):tItens[[#This Row],[Produto]],tItens[[#This Row],[Produto]])=1,1,0)</f>
        <v>1</v>
      </c>
    </row>
    <row r="5895" spans="1:16" x14ac:dyDescent="0.25">
      <c r="A5895" t="s">
        <v>2083</v>
      </c>
      <c r="B5895">
        <v>7</v>
      </c>
      <c r="C5895" t="s">
        <v>8646</v>
      </c>
      <c r="D5895" t="s">
        <v>71</v>
      </c>
      <c r="E5895" s="13">
        <v>200</v>
      </c>
      <c r="F5895" s="12">
        <v>30.97</v>
      </c>
      <c r="G5895" t="str">
        <f>IFERROR(INDEX(tEditais[Órgão],MATCH(tItens[[#This Row],[Edital]],tEditais[Edital],0)),"")</f>
        <v>MUNICIPIO DE MEDIANEIRA</v>
      </c>
      <c r="H5895" t="str">
        <f>IFERROR(INDEX(tEditais[UF],MATCH(tItens[[#This Row],[Edital]],tEditais[Edital],0)),"")</f>
        <v>PR</v>
      </c>
      <c r="I5895" s="11">
        <f>IFERROR(INDEX(tEditais[Encerramento],MATCH(tItens[[#This Row],[Edital]],tEditais[Edital],0)),"")</f>
        <v>46310.3125</v>
      </c>
      <c r="J5895" t="str">
        <f>IFERROR(INDEX(tProdutos[Classe],MATCH(tItens[[#This Row],[Produto]],tProdutos[Produto],0)),"produto não cadastrado")</f>
        <v>NÚCLEO</v>
      </c>
      <c r="K5895" s="12">
        <f>tItens[[#This Row],[Qtd]]*tItens[[#This Row],[Vlr unit]]</f>
        <v>6194</v>
      </c>
      <c r="L5895" s="6">
        <f>IFERROR(IF(INDEX(tProdutos[Desconto homologado],MATCH(tItens[[#This Row],[Produto]],tProdutos[Produto],0))="",DescontoPadrao,INDEX(tProdutos[Desconto homologado],MATCH(tItens[[#This Row],[Produto]],tProdutos[Produto],0))),DescontoPadrao)</f>
        <v>0.44981412639405199</v>
      </c>
      <c r="M5895" s="12">
        <f>tItens[[#This Row],[Valor]]*(1-tItens[[#This Row],[Desconto]])</f>
        <v>3407.8513011152418</v>
      </c>
      <c r="N5895" t="str">
        <f>IFERROR(INDEX(tProdutos[Foco],MATCH(tItens[[#This Row],[Produto]],tProdutos[Produto],0)),"Não")</f>
        <v>Não</v>
      </c>
      <c r="O5895" t="str">
        <f>IFERROR(INDEX(tEditais[SRP],MATCH(tItens[[#This Row],[Edital]],tEditais[Edital],0)),"Não")</f>
        <v>Não</v>
      </c>
      <c r="P5895" s="4">
        <f>IF(COUNTIFS(INDEX(tItens[Edital],1):tItens[[#This Row],[Edital]],tItens[[#This Row],[Edital]],INDEX(tItens[Produto],1):tItens[[#This Row],[Produto]],tItens[[#This Row],[Produto]])=1,1,0)</f>
        <v>1</v>
      </c>
    </row>
    <row r="5896" spans="1:16" x14ac:dyDescent="0.25">
      <c r="A5896" t="s">
        <v>2083</v>
      </c>
      <c r="B5896">
        <v>78</v>
      </c>
      <c r="C5896" t="s">
        <v>8647</v>
      </c>
      <c r="D5896" t="s">
        <v>423</v>
      </c>
      <c r="E5896" s="13">
        <v>30</v>
      </c>
      <c r="F5896" s="12">
        <v>11.16</v>
      </c>
      <c r="G5896" t="str">
        <f>IFERROR(INDEX(tEditais[Órgão],MATCH(tItens[[#This Row],[Edital]],tEditais[Edital],0)),"")</f>
        <v>MUNICIPIO DE MEDIANEIRA</v>
      </c>
      <c r="H5896" t="str">
        <f>IFERROR(INDEX(tEditais[UF],MATCH(tItens[[#This Row],[Edital]],tEditais[Edital],0)),"")</f>
        <v>PR</v>
      </c>
      <c r="I5896" s="11">
        <f>IFERROR(INDEX(tEditais[Encerramento],MATCH(tItens[[#This Row],[Edital]],tEditais[Edital],0)),"")</f>
        <v>46310.3125</v>
      </c>
      <c r="J5896" t="str">
        <f>IFERROR(INDEX(tProdutos[Classe],MATCH(tItens[[#This Row],[Produto]],tProdutos[Produto],0)),"produto não cadastrado")</f>
        <v>FORA</v>
      </c>
      <c r="K5896" s="12">
        <f>tItens[[#This Row],[Qtd]]*tItens[[#This Row],[Vlr unit]]</f>
        <v>334.8</v>
      </c>
      <c r="L5896" s="6">
        <f>IFERROR(IF(INDEX(tProdutos[Desconto homologado],MATCH(tItens[[#This Row],[Produto]],tProdutos[Produto],0))="",DescontoPadrao,INDEX(tProdutos[Desconto homologado],MATCH(tItens[[#This Row],[Produto]],tProdutos[Produto],0))),DescontoPadrao)</f>
        <v>0.38271604938271597</v>
      </c>
      <c r="M5896" s="12">
        <f>tItens[[#This Row],[Valor]]*(1-tItens[[#This Row],[Desconto]])</f>
        <v>206.66666666666669</v>
      </c>
      <c r="N5896" t="str">
        <f>IFERROR(INDEX(tProdutos[Foco],MATCH(tItens[[#This Row],[Produto]],tProdutos[Produto],0)),"Não")</f>
        <v>Não</v>
      </c>
      <c r="O5896" t="str">
        <f>IFERROR(INDEX(tEditais[SRP],MATCH(tItens[[#This Row],[Edital]],tEditais[Edital],0)),"Não")</f>
        <v>Não</v>
      </c>
      <c r="P5896" s="4">
        <f>IF(COUNTIFS(INDEX(tItens[Edital],1):tItens[[#This Row],[Edital]],tItens[[#This Row],[Edital]],INDEX(tItens[Produto],1):tItens[[#This Row],[Produto]],tItens[[#This Row],[Produto]])=1,1,0)</f>
        <v>1</v>
      </c>
    </row>
    <row r="5897" spans="1:16" x14ac:dyDescent="0.25">
      <c r="A5897" t="s">
        <v>2083</v>
      </c>
      <c r="B5897">
        <v>182</v>
      </c>
      <c r="C5897" t="s">
        <v>8648</v>
      </c>
      <c r="D5897" t="s">
        <v>461</v>
      </c>
      <c r="E5897" s="13">
        <v>200</v>
      </c>
      <c r="F5897" s="12">
        <v>76.5</v>
      </c>
      <c r="G5897" t="str">
        <f>IFERROR(INDEX(tEditais[Órgão],MATCH(tItens[[#This Row],[Edital]],tEditais[Edital],0)),"")</f>
        <v>MUNICIPIO DE MEDIANEIRA</v>
      </c>
      <c r="H5897" t="str">
        <f>IFERROR(INDEX(tEditais[UF],MATCH(tItens[[#This Row],[Edital]],tEditais[Edital],0)),"")</f>
        <v>PR</v>
      </c>
      <c r="I5897" s="11">
        <f>IFERROR(INDEX(tEditais[Encerramento],MATCH(tItens[[#This Row],[Edital]],tEditais[Edital],0)),"")</f>
        <v>46310.3125</v>
      </c>
      <c r="J5897" t="str">
        <f>IFERROR(INDEX(tProdutos[Classe],MATCH(tItens[[#This Row],[Produto]],tProdutos[Produto],0)),"produto não cadastrado")</f>
        <v>FILA REBASE</v>
      </c>
      <c r="K5897" s="12">
        <f>tItens[[#This Row],[Qtd]]*tItens[[#This Row],[Vlr unit]]</f>
        <v>15300</v>
      </c>
      <c r="L5897" s="6">
        <f>IFERROR(IF(INDEX(tProdutos[Desconto homologado],MATCH(tItens[[#This Row],[Produto]],tProdutos[Produto],0))="",DescontoPadrao,INDEX(tProdutos[Desconto homologado],MATCH(tItens[[#This Row],[Produto]],tProdutos[Produto],0))),DescontoPadrao)</f>
        <v>0.44096385542168698</v>
      </c>
      <c r="M5897" s="12">
        <f>tItens[[#This Row],[Valor]]*(1-tItens[[#This Row],[Desconto]])</f>
        <v>8553.2530120481879</v>
      </c>
      <c r="N5897" t="str">
        <f>IFERROR(INDEX(tProdutos[Foco],MATCH(tItens[[#This Row],[Produto]],tProdutos[Produto],0)),"Não")</f>
        <v>Não</v>
      </c>
      <c r="O5897" t="str">
        <f>IFERROR(INDEX(tEditais[SRP],MATCH(tItens[[#This Row],[Edital]],tEditais[Edital],0)),"Não")</f>
        <v>Não</v>
      </c>
      <c r="P5897" s="4">
        <f>IF(COUNTIFS(INDEX(tItens[Edital],1):tItens[[#This Row],[Edital]],tItens[[#This Row],[Edital]],INDEX(tItens[Produto],1):tItens[[#This Row],[Produto]],tItens[[#This Row],[Produto]])=1,1,0)</f>
        <v>1</v>
      </c>
    </row>
    <row r="5898" spans="1:16" x14ac:dyDescent="0.25">
      <c r="A5898" t="s">
        <v>2083</v>
      </c>
      <c r="B5898">
        <v>226</v>
      </c>
      <c r="C5898" t="s">
        <v>8649</v>
      </c>
      <c r="D5898" t="s">
        <v>411</v>
      </c>
      <c r="E5898" s="13">
        <v>700</v>
      </c>
      <c r="F5898" s="12">
        <v>50.63</v>
      </c>
      <c r="G5898" t="str">
        <f>IFERROR(INDEX(tEditais[Órgão],MATCH(tItens[[#This Row],[Edital]],tEditais[Edital],0)),"")</f>
        <v>MUNICIPIO DE MEDIANEIRA</v>
      </c>
      <c r="H5898" t="str">
        <f>IFERROR(INDEX(tEditais[UF],MATCH(tItens[[#This Row],[Edital]],tEditais[Edital],0)),"")</f>
        <v>PR</v>
      </c>
      <c r="I5898" s="11">
        <f>IFERROR(INDEX(tEditais[Encerramento],MATCH(tItens[[#This Row],[Edital]],tEditais[Edital],0)),"")</f>
        <v>46310.3125</v>
      </c>
      <c r="J5898" t="str">
        <f>IFERROR(INDEX(tProdutos[Classe],MATCH(tItens[[#This Row],[Produto]],tProdutos[Produto],0)),"produto não cadastrado")</f>
        <v>FORA</v>
      </c>
      <c r="K5898" s="12">
        <f>tItens[[#This Row],[Qtd]]*tItens[[#This Row],[Vlr unit]]</f>
        <v>35441</v>
      </c>
      <c r="L5898" s="6">
        <f>IFERROR(IF(INDEX(tProdutos[Desconto homologado],MATCH(tItens[[#This Row],[Produto]],tProdutos[Produto],0))="",DescontoPadrao,INDEX(tProdutos[Desconto homologado],MATCH(tItens[[#This Row],[Produto]],tProdutos[Produto],0))),DescontoPadrao)</f>
        <v>0.50029835957199398</v>
      </c>
      <c r="M5898" s="12">
        <f>tItens[[#This Row],[Valor]]*(1-tItens[[#This Row],[Desconto]])</f>
        <v>17709.925838408963</v>
      </c>
      <c r="N5898" t="str">
        <f>IFERROR(INDEX(tProdutos[Foco],MATCH(tItens[[#This Row],[Produto]],tProdutos[Produto],0)),"Não")</f>
        <v>Não</v>
      </c>
      <c r="O5898" t="str">
        <f>IFERROR(INDEX(tEditais[SRP],MATCH(tItens[[#This Row],[Edital]],tEditais[Edital],0)),"Não")</f>
        <v>Não</v>
      </c>
      <c r="P5898" s="4">
        <f>IF(COUNTIFS(INDEX(tItens[Edital],1):tItens[[#This Row],[Edital]],tItens[[#This Row],[Edital]],INDEX(tItens[Produto],1):tItens[[#This Row],[Produto]],tItens[[#This Row],[Produto]])=1,1,0)</f>
        <v>1</v>
      </c>
    </row>
    <row r="5899" spans="1:16" x14ac:dyDescent="0.25">
      <c r="A5899" t="s">
        <v>2083</v>
      </c>
      <c r="B5899">
        <v>231</v>
      </c>
      <c r="C5899" t="s">
        <v>8650</v>
      </c>
      <c r="D5899" t="s">
        <v>56</v>
      </c>
      <c r="E5899" s="13">
        <v>50</v>
      </c>
      <c r="F5899" s="12">
        <v>43.84</v>
      </c>
      <c r="G5899" t="str">
        <f>IFERROR(INDEX(tEditais[Órgão],MATCH(tItens[[#This Row],[Edital]],tEditais[Edital],0)),"")</f>
        <v>MUNICIPIO DE MEDIANEIRA</v>
      </c>
      <c r="H5899" t="str">
        <f>IFERROR(INDEX(tEditais[UF],MATCH(tItens[[#This Row],[Edital]],tEditais[Edital],0)),"")</f>
        <v>PR</v>
      </c>
      <c r="I5899" s="11">
        <f>IFERROR(INDEX(tEditais[Encerramento],MATCH(tItens[[#This Row],[Edital]],tEditais[Edital],0)),"")</f>
        <v>46310.3125</v>
      </c>
      <c r="J5899" t="str">
        <f>IFERROR(INDEX(tProdutos[Classe],MATCH(tItens[[#This Row],[Produto]],tProdutos[Produto],0)),"produto não cadastrado")</f>
        <v>NÚCLEO</v>
      </c>
      <c r="K5899" s="12">
        <f>tItens[[#This Row],[Qtd]]*tItens[[#This Row],[Vlr unit]]</f>
        <v>2192</v>
      </c>
      <c r="L5899" s="6">
        <f>IFERROR(IF(INDEX(tProdutos[Desconto homologado],MATCH(tItens[[#This Row],[Produto]],tProdutos[Produto],0))="",DescontoPadrao,INDEX(tProdutos[Desconto homologado],MATCH(tItens[[#This Row],[Produto]],tProdutos[Produto],0))),DescontoPadrao)</f>
        <v>0.34</v>
      </c>
      <c r="M5899" s="12">
        <f>tItens[[#This Row],[Valor]]*(1-tItens[[#This Row],[Desconto]])</f>
        <v>1446.7199999999998</v>
      </c>
      <c r="N5899" t="str">
        <f>IFERROR(INDEX(tProdutos[Foco],MATCH(tItens[[#This Row],[Produto]],tProdutos[Produto],0)),"Não")</f>
        <v>Sim</v>
      </c>
      <c r="O5899" t="str">
        <f>IFERROR(INDEX(tEditais[SRP],MATCH(tItens[[#This Row],[Edital]],tEditais[Edital],0)),"Não")</f>
        <v>Não</v>
      </c>
      <c r="P5899" s="4">
        <f>IF(COUNTIFS(INDEX(tItens[Edital],1):tItens[[#This Row],[Edital]],tItens[[#This Row],[Edital]],INDEX(tItens[Produto],1):tItens[[#This Row],[Produto]],tItens[[#This Row],[Produto]])=1,1,0)</f>
        <v>1</v>
      </c>
    </row>
    <row r="5900" spans="1:16" x14ac:dyDescent="0.25">
      <c r="A5900" t="s">
        <v>2083</v>
      </c>
      <c r="B5900">
        <v>232</v>
      </c>
      <c r="C5900" t="s">
        <v>8651</v>
      </c>
      <c r="D5900" t="s">
        <v>267</v>
      </c>
      <c r="E5900" s="13">
        <v>50</v>
      </c>
      <c r="F5900" s="12">
        <v>37.799999999999997</v>
      </c>
      <c r="G5900" t="str">
        <f>IFERROR(INDEX(tEditais[Órgão],MATCH(tItens[[#This Row],[Edital]],tEditais[Edital],0)),"")</f>
        <v>MUNICIPIO DE MEDIANEIRA</v>
      </c>
      <c r="H5900" t="str">
        <f>IFERROR(INDEX(tEditais[UF],MATCH(tItens[[#This Row],[Edital]],tEditais[Edital],0)),"")</f>
        <v>PR</v>
      </c>
      <c r="I5900" s="11">
        <f>IFERROR(INDEX(tEditais[Encerramento],MATCH(tItens[[#This Row],[Edital]],tEditais[Edital],0)),"")</f>
        <v>46310.3125</v>
      </c>
      <c r="J5900" t="str">
        <f>IFERROR(INDEX(tProdutos[Classe],MATCH(tItens[[#This Row],[Produto]],tProdutos[Produto],0)),"produto não cadastrado")</f>
        <v>FORA</v>
      </c>
      <c r="K5900" s="12">
        <f>tItens[[#This Row],[Qtd]]*tItens[[#This Row],[Vlr unit]]</f>
        <v>1889.9999999999998</v>
      </c>
      <c r="L5900" s="6">
        <f>IFERROR(IF(INDEX(tProdutos[Desconto homologado],MATCH(tItens[[#This Row],[Produto]],tProdutos[Produto],0))="",DescontoPadrao,INDEX(tProdutos[Desconto homologado],MATCH(tItens[[#This Row],[Produto]],tProdutos[Produto],0))),DescontoPadrao)</f>
        <v>0.19963672657401599</v>
      </c>
      <c r="M5900" s="12">
        <f>tItens[[#This Row],[Valor]]*(1-tItens[[#This Row],[Desconto]])</f>
        <v>1512.6865867751096</v>
      </c>
      <c r="N5900" t="str">
        <f>IFERROR(INDEX(tProdutos[Foco],MATCH(tItens[[#This Row],[Produto]],tProdutos[Produto],0)),"Não")</f>
        <v>Não</v>
      </c>
      <c r="O5900" t="str">
        <f>IFERROR(INDEX(tEditais[SRP],MATCH(tItens[[#This Row],[Edital]],tEditais[Edital],0)),"Não")</f>
        <v>Não</v>
      </c>
      <c r="P5900" s="4">
        <f>IF(COUNTIFS(INDEX(tItens[Edital],1):tItens[[#This Row],[Edital]],tItens[[#This Row],[Edital]],INDEX(tItens[Produto],1):tItens[[#This Row],[Produto]],tItens[[#This Row],[Produto]])=1,1,0)</f>
        <v>1</v>
      </c>
    </row>
    <row r="5901" spans="1:16" x14ac:dyDescent="0.25">
      <c r="A5901" t="s">
        <v>2083</v>
      </c>
      <c r="B5901">
        <v>318</v>
      </c>
      <c r="C5901" t="s">
        <v>8652</v>
      </c>
      <c r="D5901" t="s">
        <v>455</v>
      </c>
      <c r="E5901" s="13">
        <v>20</v>
      </c>
      <c r="F5901" s="12">
        <v>54.93</v>
      </c>
      <c r="G5901" t="str">
        <f>IFERROR(INDEX(tEditais[Órgão],MATCH(tItens[[#This Row],[Edital]],tEditais[Edital],0)),"")</f>
        <v>MUNICIPIO DE MEDIANEIRA</v>
      </c>
      <c r="H5901" t="str">
        <f>IFERROR(INDEX(tEditais[UF],MATCH(tItens[[#This Row],[Edital]],tEditais[Edital],0)),"")</f>
        <v>PR</v>
      </c>
      <c r="I5901" s="11">
        <f>IFERROR(INDEX(tEditais[Encerramento],MATCH(tItens[[#This Row],[Edital]],tEditais[Edital],0)),"")</f>
        <v>46310.3125</v>
      </c>
      <c r="J5901" t="str">
        <f>IFERROR(INDEX(tProdutos[Classe],MATCH(tItens[[#This Row],[Produto]],tProdutos[Produto],0)),"produto não cadastrado")</f>
        <v>FILA REBASE</v>
      </c>
      <c r="K5901" s="12">
        <f>tItens[[#This Row],[Qtd]]*tItens[[#This Row],[Vlr unit]]</f>
        <v>1098.5999999999999</v>
      </c>
      <c r="L5901" s="6">
        <f>IFERROR(IF(INDEX(tProdutos[Desconto homologado],MATCH(tItens[[#This Row],[Produto]],tProdutos[Produto],0))="",DescontoPadrao,INDEX(tProdutos[Desconto homologado],MATCH(tItens[[#This Row],[Produto]],tProdutos[Produto],0))),DescontoPadrao)</f>
        <v>0.29595946765523801</v>
      </c>
      <c r="M5901" s="12">
        <f>tItens[[#This Row],[Valor]]*(1-tItens[[#This Row],[Desconto]])</f>
        <v>773.4589288339555</v>
      </c>
      <c r="N5901" t="str">
        <f>IFERROR(INDEX(tProdutos[Foco],MATCH(tItens[[#This Row],[Produto]],tProdutos[Produto],0)),"Não")</f>
        <v>Não</v>
      </c>
      <c r="O5901" t="str">
        <f>IFERROR(INDEX(tEditais[SRP],MATCH(tItens[[#This Row],[Edital]],tEditais[Edital],0)),"Não")</f>
        <v>Não</v>
      </c>
      <c r="P5901" s="4">
        <f>IF(COUNTIFS(INDEX(tItens[Edital],1):tItens[[#This Row],[Edital]],tItens[[#This Row],[Edital]],INDEX(tItens[Produto],1):tItens[[#This Row],[Produto]],tItens[[#This Row],[Produto]])=1,1,0)</f>
        <v>1</v>
      </c>
    </row>
    <row r="5902" spans="1:16" x14ac:dyDescent="0.25">
      <c r="A5902" t="s">
        <v>2083</v>
      </c>
      <c r="B5902">
        <v>319</v>
      </c>
      <c r="C5902" t="s">
        <v>8653</v>
      </c>
      <c r="D5902" t="s">
        <v>455</v>
      </c>
      <c r="E5902" s="13">
        <v>20</v>
      </c>
      <c r="F5902" s="12">
        <v>56.85</v>
      </c>
      <c r="G5902" t="str">
        <f>IFERROR(INDEX(tEditais[Órgão],MATCH(tItens[[#This Row],[Edital]],tEditais[Edital],0)),"")</f>
        <v>MUNICIPIO DE MEDIANEIRA</v>
      </c>
      <c r="H5902" t="str">
        <f>IFERROR(INDEX(tEditais[UF],MATCH(tItens[[#This Row],[Edital]],tEditais[Edital],0)),"")</f>
        <v>PR</v>
      </c>
      <c r="I5902" s="11">
        <f>IFERROR(INDEX(tEditais[Encerramento],MATCH(tItens[[#This Row],[Edital]],tEditais[Edital],0)),"")</f>
        <v>46310.3125</v>
      </c>
      <c r="J5902" t="str">
        <f>IFERROR(INDEX(tProdutos[Classe],MATCH(tItens[[#This Row],[Produto]],tProdutos[Produto],0)),"produto não cadastrado")</f>
        <v>FILA REBASE</v>
      </c>
      <c r="K5902" s="12">
        <f>tItens[[#This Row],[Qtd]]*tItens[[#This Row],[Vlr unit]]</f>
        <v>1137</v>
      </c>
      <c r="L5902" s="6">
        <f>IFERROR(IF(INDEX(tProdutos[Desconto homologado],MATCH(tItens[[#This Row],[Produto]],tProdutos[Produto],0))="",DescontoPadrao,INDEX(tProdutos[Desconto homologado],MATCH(tItens[[#This Row],[Produto]],tProdutos[Produto],0))),DescontoPadrao)</f>
        <v>0.29595946765523801</v>
      </c>
      <c r="M5902" s="12">
        <f>tItens[[#This Row],[Valor]]*(1-tItens[[#This Row],[Desconto]])</f>
        <v>800.49408527599439</v>
      </c>
      <c r="N5902" t="str">
        <f>IFERROR(INDEX(tProdutos[Foco],MATCH(tItens[[#This Row],[Produto]],tProdutos[Produto],0)),"Não")</f>
        <v>Não</v>
      </c>
      <c r="O5902" t="str">
        <f>IFERROR(INDEX(tEditais[SRP],MATCH(tItens[[#This Row],[Edital]],tEditais[Edital],0)),"Não")</f>
        <v>Não</v>
      </c>
      <c r="P5902" s="4">
        <f>IF(COUNTIFS(INDEX(tItens[Edital],1):tItens[[#This Row],[Edital]],tItens[[#This Row],[Edital]],INDEX(tItens[Produto],1):tItens[[#This Row],[Produto]],tItens[[#This Row],[Produto]])=1,1,0)</f>
        <v>0</v>
      </c>
    </row>
    <row r="5903" spans="1:16" x14ac:dyDescent="0.25">
      <c r="A5903" t="s">
        <v>2083</v>
      </c>
      <c r="B5903">
        <v>320</v>
      </c>
      <c r="C5903" t="s">
        <v>8654</v>
      </c>
      <c r="D5903" t="s">
        <v>455</v>
      </c>
      <c r="E5903" s="13">
        <v>20</v>
      </c>
      <c r="F5903" s="12">
        <v>55.98</v>
      </c>
      <c r="G5903" t="str">
        <f>IFERROR(INDEX(tEditais[Órgão],MATCH(tItens[[#This Row],[Edital]],tEditais[Edital],0)),"")</f>
        <v>MUNICIPIO DE MEDIANEIRA</v>
      </c>
      <c r="H5903" t="str">
        <f>IFERROR(INDEX(tEditais[UF],MATCH(tItens[[#This Row],[Edital]],tEditais[Edital],0)),"")</f>
        <v>PR</v>
      </c>
      <c r="I5903" s="11">
        <f>IFERROR(INDEX(tEditais[Encerramento],MATCH(tItens[[#This Row],[Edital]],tEditais[Edital],0)),"")</f>
        <v>46310.3125</v>
      </c>
      <c r="J5903" t="str">
        <f>IFERROR(INDEX(tProdutos[Classe],MATCH(tItens[[#This Row],[Produto]],tProdutos[Produto],0)),"produto não cadastrado")</f>
        <v>FILA REBASE</v>
      </c>
      <c r="K5903" s="12">
        <f>tItens[[#This Row],[Qtd]]*tItens[[#This Row],[Vlr unit]]</f>
        <v>1119.5999999999999</v>
      </c>
      <c r="L5903" s="6">
        <f>IFERROR(IF(INDEX(tProdutos[Desconto homologado],MATCH(tItens[[#This Row],[Produto]],tProdutos[Produto],0))="",DescontoPadrao,INDEX(tProdutos[Desconto homologado],MATCH(tItens[[#This Row],[Produto]],tProdutos[Produto],0))),DescontoPadrao)</f>
        <v>0.29595946765523801</v>
      </c>
      <c r="M5903" s="12">
        <f>tItens[[#This Row],[Valor]]*(1-tItens[[#This Row],[Desconto]])</f>
        <v>788.24378001319553</v>
      </c>
      <c r="N5903" t="str">
        <f>IFERROR(INDEX(tProdutos[Foco],MATCH(tItens[[#This Row],[Produto]],tProdutos[Produto],0)),"Não")</f>
        <v>Não</v>
      </c>
      <c r="O5903" t="str">
        <f>IFERROR(INDEX(tEditais[SRP],MATCH(tItens[[#This Row],[Edital]],tEditais[Edital],0)),"Não")</f>
        <v>Não</v>
      </c>
      <c r="P5903" s="4">
        <f>IF(COUNTIFS(INDEX(tItens[Edital],1):tItens[[#This Row],[Edital]],tItens[[#This Row],[Edital]],INDEX(tItens[Produto],1):tItens[[#This Row],[Produto]],tItens[[#This Row],[Produto]])=1,1,0)</f>
        <v>0</v>
      </c>
    </row>
    <row r="5904" spans="1:16" x14ac:dyDescent="0.25">
      <c r="A5904" t="s">
        <v>2083</v>
      </c>
      <c r="B5904">
        <v>321</v>
      </c>
      <c r="C5904" t="s">
        <v>8655</v>
      </c>
      <c r="D5904" t="s">
        <v>455</v>
      </c>
      <c r="E5904" s="13">
        <v>20</v>
      </c>
      <c r="F5904" s="12">
        <v>56.02</v>
      </c>
      <c r="G5904" t="str">
        <f>IFERROR(INDEX(tEditais[Órgão],MATCH(tItens[[#This Row],[Edital]],tEditais[Edital],0)),"")</f>
        <v>MUNICIPIO DE MEDIANEIRA</v>
      </c>
      <c r="H5904" t="str">
        <f>IFERROR(INDEX(tEditais[UF],MATCH(tItens[[#This Row],[Edital]],tEditais[Edital],0)),"")</f>
        <v>PR</v>
      </c>
      <c r="I5904" s="11">
        <f>IFERROR(INDEX(tEditais[Encerramento],MATCH(tItens[[#This Row],[Edital]],tEditais[Edital],0)),"")</f>
        <v>46310.3125</v>
      </c>
      <c r="J5904" t="str">
        <f>IFERROR(INDEX(tProdutos[Classe],MATCH(tItens[[#This Row],[Produto]],tProdutos[Produto],0)),"produto não cadastrado")</f>
        <v>FILA REBASE</v>
      </c>
      <c r="K5904" s="12">
        <f>tItens[[#This Row],[Qtd]]*tItens[[#This Row],[Vlr unit]]</f>
        <v>1120.4000000000001</v>
      </c>
      <c r="L5904" s="6">
        <f>IFERROR(IF(INDEX(tProdutos[Desconto homologado],MATCH(tItens[[#This Row],[Produto]],tProdutos[Produto],0))="",DescontoPadrao,INDEX(tProdutos[Desconto homologado],MATCH(tItens[[#This Row],[Produto]],tProdutos[Produto],0))),DescontoPadrao)</f>
        <v>0.29595946765523801</v>
      </c>
      <c r="M5904" s="12">
        <f>tItens[[#This Row],[Valor]]*(1-tItens[[#This Row],[Desconto]])</f>
        <v>788.80701243907151</v>
      </c>
      <c r="N5904" t="str">
        <f>IFERROR(INDEX(tProdutos[Foco],MATCH(tItens[[#This Row],[Produto]],tProdutos[Produto],0)),"Não")</f>
        <v>Não</v>
      </c>
      <c r="O5904" t="str">
        <f>IFERROR(INDEX(tEditais[SRP],MATCH(tItens[[#This Row],[Edital]],tEditais[Edital],0)),"Não")</f>
        <v>Não</v>
      </c>
      <c r="P5904" s="4">
        <f>IF(COUNTIFS(INDEX(tItens[Edital],1):tItens[[#This Row],[Edital]],tItens[[#This Row],[Edital]],INDEX(tItens[Produto],1):tItens[[#This Row],[Produto]],tItens[[#This Row],[Produto]])=1,1,0)</f>
        <v>0</v>
      </c>
    </row>
    <row r="5905" spans="1:16" x14ac:dyDescent="0.25">
      <c r="A5905" t="s">
        <v>2083</v>
      </c>
      <c r="B5905">
        <v>322</v>
      </c>
      <c r="C5905" t="s">
        <v>8656</v>
      </c>
      <c r="D5905" t="s">
        <v>455</v>
      </c>
      <c r="E5905" s="13">
        <v>20</v>
      </c>
      <c r="F5905" s="12">
        <v>56.02</v>
      </c>
      <c r="G5905" t="str">
        <f>IFERROR(INDEX(tEditais[Órgão],MATCH(tItens[[#This Row],[Edital]],tEditais[Edital],0)),"")</f>
        <v>MUNICIPIO DE MEDIANEIRA</v>
      </c>
      <c r="H5905" t="str">
        <f>IFERROR(INDEX(tEditais[UF],MATCH(tItens[[#This Row],[Edital]],tEditais[Edital],0)),"")</f>
        <v>PR</v>
      </c>
      <c r="I5905" s="11">
        <f>IFERROR(INDEX(tEditais[Encerramento],MATCH(tItens[[#This Row],[Edital]],tEditais[Edital],0)),"")</f>
        <v>46310.3125</v>
      </c>
      <c r="J5905" t="str">
        <f>IFERROR(INDEX(tProdutos[Classe],MATCH(tItens[[#This Row],[Produto]],tProdutos[Produto],0)),"produto não cadastrado")</f>
        <v>FILA REBASE</v>
      </c>
      <c r="K5905" s="12">
        <f>tItens[[#This Row],[Qtd]]*tItens[[#This Row],[Vlr unit]]</f>
        <v>1120.4000000000001</v>
      </c>
      <c r="L5905" s="6">
        <f>IFERROR(IF(INDEX(tProdutos[Desconto homologado],MATCH(tItens[[#This Row],[Produto]],tProdutos[Produto],0))="",DescontoPadrao,INDEX(tProdutos[Desconto homologado],MATCH(tItens[[#This Row],[Produto]],tProdutos[Produto],0))),DescontoPadrao)</f>
        <v>0.29595946765523801</v>
      </c>
      <c r="M5905" s="12">
        <f>tItens[[#This Row],[Valor]]*(1-tItens[[#This Row],[Desconto]])</f>
        <v>788.80701243907151</v>
      </c>
      <c r="N5905" t="str">
        <f>IFERROR(INDEX(tProdutos[Foco],MATCH(tItens[[#This Row],[Produto]],tProdutos[Produto],0)),"Não")</f>
        <v>Não</v>
      </c>
      <c r="O5905" t="str">
        <f>IFERROR(INDEX(tEditais[SRP],MATCH(tItens[[#This Row],[Edital]],tEditais[Edital],0)),"Não")</f>
        <v>Não</v>
      </c>
      <c r="P5905" s="4">
        <f>IF(COUNTIFS(INDEX(tItens[Edital],1):tItens[[#This Row],[Edital]],tItens[[#This Row],[Edital]],INDEX(tItens[Produto],1):tItens[[#This Row],[Produto]],tItens[[#This Row],[Produto]])=1,1,0)</f>
        <v>0</v>
      </c>
    </row>
    <row r="5906" spans="1:16" x14ac:dyDescent="0.25">
      <c r="A5906" t="s">
        <v>2083</v>
      </c>
      <c r="B5906">
        <v>323</v>
      </c>
      <c r="C5906" t="s">
        <v>8657</v>
      </c>
      <c r="D5906" t="s">
        <v>455</v>
      </c>
      <c r="E5906" s="13">
        <v>20</v>
      </c>
      <c r="F5906" s="12">
        <v>56.02</v>
      </c>
      <c r="G5906" t="str">
        <f>IFERROR(INDEX(tEditais[Órgão],MATCH(tItens[[#This Row],[Edital]],tEditais[Edital],0)),"")</f>
        <v>MUNICIPIO DE MEDIANEIRA</v>
      </c>
      <c r="H5906" t="str">
        <f>IFERROR(INDEX(tEditais[UF],MATCH(tItens[[#This Row],[Edital]],tEditais[Edital],0)),"")</f>
        <v>PR</v>
      </c>
      <c r="I5906" s="11">
        <f>IFERROR(INDEX(tEditais[Encerramento],MATCH(tItens[[#This Row],[Edital]],tEditais[Edital],0)),"")</f>
        <v>46310.3125</v>
      </c>
      <c r="J5906" t="str">
        <f>IFERROR(INDEX(tProdutos[Classe],MATCH(tItens[[#This Row],[Produto]],tProdutos[Produto],0)),"produto não cadastrado")</f>
        <v>FILA REBASE</v>
      </c>
      <c r="K5906" s="12">
        <f>tItens[[#This Row],[Qtd]]*tItens[[#This Row],[Vlr unit]]</f>
        <v>1120.4000000000001</v>
      </c>
      <c r="L5906" s="6">
        <f>IFERROR(IF(INDEX(tProdutos[Desconto homologado],MATCH(tItens[[#This Row],[Produto]],tProdutos[Produto],0))="",DescontoPadrao,INDEX(tProdutos[Desconto homologado],MATCH(tItens[[#This Row],[Produto]],tProdutos[Produto],0))),DescontoPadrao)</f>
        <v>0.29595946765523801</v>
      </c>
      <c r="M5906" s="12">
        <f>tItens[[#This Row],[Valor]]*(1-tItens[[#This Row],[Desconto]])</f>
        <v>788.80701243907151</v>
      </c>
      <c r="N5906" t="str">
        <f>IFERROR(INDEX(tProdutos[Foco],MATCH(tItens[[#This Row],[Produto]],tProdutos[Produto],0)),"Não")</f>
        <v>Não</v>
      </c>
      <c r="O5906" t="str">
        <f>IFERROR(INDEX(tEditais[SRP],MATCH(tItens[[#This Row],[Edital]],tEditais[Edital],0)),"Não")</f>
        <v>Não</v>
      </c>
      <c r="P5906" s="4">
        <f>IF(COUNTIFS(INDEX(tItens[Edital],1):tItens[[#This Row],[Edital]],tItens[[#This Row],[Edital]],INDEX(tItens[Produto],1):tItens[[#This Row],[Produto]],tItens[[#This Row],[Produto]])=1,1,0)</f>
        <v>0</v>
      </c>
    </row>
    <row r="5907" spans="1:16" x14ac:dyDescent="0.25">
      <c r="A5907" t="s">
        <v>2083</v>
      </c>
      <c r="B5907">
        <v>324</v>
      </c>
      <c r="C5907" t="s">
        <v>8658</v>
      </c>
      <c r="D5907" t="s">
        <v>455</v>
      </c>
      <c r="E5907" s="13">
        <v>20</v>
      </c>
      <c r="F5907" s="12">
        <v>56.02</v>
      </c>
      <c r="G5907" t="str">
        <f>IFERROR(INDEX(tEditais[Órgão],MATCH(tItens[[#This Row],[Edital]],tEditais[Edital],0)),"")</f>
        <v>MUNICIPIO DE MEDIANEIRA</v>
      </c>
      <c r="H5907" t="str">
        <f>IFERROR(INDEX(tEditais[UF],MATCH(tItens[[#This Row],[Edital]],tEditais[Edital],0)),"")</f>
        <v>PR</v>
      </c>
      <c r="I5907" s="11">
        <f>IFERROR(INDEX(tEditais[Encerramento],MATCH(tItens[[#This Row],[Edital]],tEditais[Edital],0)),"")</f>
        <v>46310.3125</v>
      </c>
      <c r="J5907" t="str">
        <f>IFERROR(INDEX(tProdutos[Classe],MATCH(tItens[[#This Row],[Produto]],tProdutos[Produto],0)),"produto não cadastrado")</f>
        <v>FILA REBASE</v>
      </c>
      <c r="K5907" s="12">
        <f>tItens[[#This Row],[Qtd]]*tItens[[#This Row],[Vlr unit]]</f>
        <v>1120.4000000000001</v>
      </c>
      <c r="L5907" s="6">
        <f>IFERROR(IF(INDEX(tProdutos[Desconto homologado],MATCH(tItens[[#This Row],[Produto]],tProdutos[Produto],0))="",DescontoPadrao,INDEX(tProdutos[Desconto homologado],MATCH(tItens[[#This Row],[Produto]],tProdutos[Produto],0))),DescontoPadrao)</f>
        <v>0.29595946765523801</v>
      </c>
      <c r="M5907" s="12">
        <f>tItens[[#This Row],[Valor]]*(1-tItens[[#This Row],[Desconto]])</f>
        <v>788.80701243907151</v>
      </c>
      <c r="N5907" t="str">
        <f>IFERROR(INDEX(tProdutos[Foco],MATCH(tItens[[#This Row],[Produto]],tProdutos[Produto],0)),"Não")</f>
        <v>Não</v>
      </c>
      <c r="O5907" t="str">
        <f>IFERROR(INDEX(tEditais[SRP],MATCH(tItens[[#This Row],[Edital]],tEditais[Edital],0)),"Não")</f>
        <v>Não</v>
      </c>
      <c r="P5907" s="4">
        <f>IF(COUNTIFS(INDEX(tItens[Edital],1):tItens[[#This Row],[Edital]],tItens[[#This Row],[Edital]],INDEX(tItens[Produto],1):tItens[[#This Row],[Produto]],tItens[[#This Row],[Produto]])=1,1,0)</f>
        <v>0</v>
      </c>
    </row>
    <row r="5908" spans="1:16" x14ac:dyDescent="0.25">
      <c r="A5908" t="s">
        <v>2083</v>
      </c>
      <c r="B5908">
        <v>325</v>
      </c>
      <c r="C5908" t="s">
        <v>8659</v>
      </c>
      <c r="D5908" t="s">
        <v>455</v>
      </c>
      <c r="E5908" s="13">
        <v>20</v>
      </c>
      <c r="F5908" s="12">
        <v>56.02</v>
      </c>
      <c r="G5908" t="str">
        <f>IFERROR(INDEX(tEditais[Órgão],MATCH(tItens[[#This Row],[Edital]],tEditais[Edital],0)),"")</f>
        <v>MUNICIPIO DE MEDIANEIRA</v>
      </c>
      <c r="H5908" t="str">
        <f>IFERROR(INDEX(tEditais[UF],MATCH(tItens[[#This Row],[Edital]],tEditais[Edital],0)),"")</f>
        <v>PR</v>
      </c>
      <c r="I5908" s="11">
        <f>IFERROR(INDEX(tEditais[Encerramento],MATCH(tItens[[#This Row],[Edital]],tEditais[Edital],0)),"")</f>
        <v>46310.3125</v>
      </c>
      <c r="J5908" t="str">
        <f>IFERROR(INDEX(tProdutos[Classe],MATCH(tItens[[#This Row],[Produto]],tProdutos[Produto],0)),"produto não cadastrado")</f>
        <v>FILA REBASE</v>
      </c>
      <c r="K5908" s="12">
        <f>tItens[[#This Row],[Qtd]]*tItens[[#This Row],[Vlr unit]]</f>
        <v>1120.4000000000001</v>
      </c>
      <c r="L5908" s="6">
        <f>IFERROR(IF(INDEX(tProdutos[Desconto homologado],MATCH(tItens[[#This Row],[Produto]],tProdutos[Produto],0))="",DescontoPadrao,INDEX(tProdutos[Desconto homologado],MATCH(tItens[[#This Row],[Produto]],tProdutos[Produto],0))),DescontoPadrao)</f>
        <v>0.29595946765523801</v>
      </c>
      <c r="M5908" s="12">
        <f>tItens[[#This Row],[Valor]]*(1-tItens[[#This Row],[Desconto]])</f>
        <v>788.80701243907151</v>
      </c>
      <c r="N5908" t="str">
        <f>IFERROR(INDEX(tProdutos[Foco],MATCH(tItens[[#This Row],[Produto]],tProdutos[Produto],0)),"Não")</f>
        <v>Não</v>
      </c>
      <c r="O5908" t="str">
        <f>IFERROR(INDEX(tEditais[SRP],MATCH(tItens[[#This Row],[Edital]],tEditais[Edital],0)),"Não")</f>
        <v>Não</v>
      </c>
      <c r="P5908" s="4">
        <f>IF(COUNTIFS(INDEX(tItens[Edital],1):tItens[[#This Row],[Edital]],tItens[[#This Row],[Edital]],INDEX(tItens[Produto],1):tItens[[#This Row],[Produto]],tItens[[#This Row],[Produto]])=1,1,0)</f>
        <v>0</v>
      </c>
    </row>
    <row r="5909" spans="1:16" x14ac:dyDescent="0.25">
      <c r="A5909" t="s">
        <v>2083</v>
      </c>
      <c r="B5909">
        <v>373</v>
      </c>
      <c r="C5909" t="s">
        <v>8660</v>
      </c>
      <c r="D5909" t="s">
        <v>265</v>
      </c>
      <c r="E5909" s="13">
        <v>1000</v>
      </c>
      <c r="F5909" s="12">
        <v>0.48</v>
      </c>
      <c r="G5909" t="str">
        <f>IFERROR(INDEX(tEditais[Órgão],MATCH(tItens[[#This Row],[Edital]],tEditais[Edital],0)),"")</f>
        <v>MUNICIPIO DE MEDIANEIRA</v>
      </c>
      <c r="H5909" t="str">
        <f>IFERROR(INDEX(tEditais[UF],MATCH(tItens[[#This Row],[Edital]],tEditais[Edital],0)),"")</f>
        <v>PR</v>
      </c>
      <c r="I5909" s="11">
        <f>IFERROR(INDEX(tEditais[Encerramento],MATCH(tItens[[#This Row],[Edital]],tEditais[Edital],0)),"")</f>
        <v>46310.3125</v>
      </c>
      <c r="J5909" t="str">
        <f>IFERROR(INDEX(tProdutos[Classe],MATCH(tItens[[#This Row],[Produto]],tProdutos[Produto],0)),"produto não cadastrado")</f>
        <v>DISPUTADO</v>
      </c>
      <c r="K5909" s="12">
        <f>tItens[[#This Row],[Qtd]]*tItens[[#This Row],[Vlr unit]]</f>
        <v>480</v>
      </c>
      <c r="L5909" s="6">
        <f>IFERROR(IF(INDEX(tProdutos[Desconto homologado],MATCH(tItens[[#This Row],[Produto]],tProdutos[Produto],0))="",DescontoPadrao,INDEX(tProdutos[Desconto homologado],MATCH(tItens[[#This Row],[Produto]],tProdutos[Produto],0))),DescontoPadrao)</f>
        <v>0.377587663709337</v>
      </c>
      <c r="M5909" s="12">
        <f>tItens[[#This Row],[Valor]]*(1-tItens[[#This Row],[Desconto]])</f>
        <v>298.75792141951825</v>
      </c>
      <c r="N5909" t="str">
        <f>IFERROR(INDEX(tProdutos[Foco],MATCH(tItens[[#This Row],[Produto]],tProdutos[Produto],0)),"Não")</f>
        <v>Não</v>
      </c>
      <c r="O5909" t="str">
        <f>IFERROR(INDEX(tEditais[SRP],MATCH(tItens[[#This Row],[Edital]],tEditais[Edital],0)),"Não")</f>
        <v>Não</v>
      </c>
      <c r="P5909" s="4">
        <f>IF(COUNTIFS(INDEX(tItens[Edital],1):tItens[[#This Row],[Edital]],tItens[[#This Row],[Edital]],INDEX(tItens[Produto],1):tItens[[#This Row],[Produto]],tItens[[#This Row],[Produto]])=1,1,0)</f>
        <v>1</v>
      </c>
    </row>
    <row r="5910" spans="1:16" x14ac:dyDescent="0.25">
      <c r="A5910" t="s">
        <v>2083</v>
      </c>
      <c r="B5910">
        <v>378</v>
      </c>
      <c r="C5910" t="s">
        <v>8661</v>
      </c>
      <c r="D5910" t="s">
        <v>241</v>
      </c>
      <c r="E5910" s="13">
        <v>200</v>
      </c>
      <c r="F5910" s="12">
        <v>62.08</v>
      </c>
      <c r="G5910" t="str">
        <f>IFERROR(INDEX(tEditais[Órgão],MATCH(tItens[[#This Row],[Edital]],tEditais[Edital],0)),"")</f>
        <v>MUNICIPIO DE MEDIANEIRA</v>
      </c>
      <c r="H5910" t="str">
        <f>IFERROR(INDEX(tEditais[UF],MATCH(tItens[[#This Row],[Edital]],tEditais[Edital],0)),"")</f>
        <v>PR</v>
      </c>
      <c r="I5910" s="11">
        <f>IFERROR(INDEX(tEditais[Encerramento],MATCH(tItens[[#This Row],[Edital]],tEditais[Edital],0)),"")</f>
        <v>46310.3125</v>
      </c>
      <c r="J5910" t="str">
        <f>IFERROR(INDEX(tProdutos[Classe],MATCH(tItens[[#This Row],[Produto]],tProdutos[Produto],0)),"produto não cadastrado")</f>
        <v>DISPUTADO</v>
      </c>
      <c r="K5910" s="12">
        <f>tItens[[#This Row],[Qtd]]*tItens[[#This Row],[Vlr unit]]</f>
        <v>12416</v>
      </c>
      <c r="L5910" s="6">
        <f>IFERROR(IF(INDEX(tProdutos[Desconto homologado],MATCH(tItens[[#This Row],[Produto]],tProdutos[Produto],0))="",DescontoPadrao,INDEX(tProdutos[Desconto homologado],MATCH(tItens[[#This Row],[Produto]],tProdutos[Produto],0))),DescontoPadrao)</f>
        <v>0.36881329157903497</v>
      </c>
      <c r="M5910" s="12">
        <f>tItens[[#This Row],[Valor]]*(1-tItens[[#This Row],[Desconto]])</f>
        <v>7836.8141717547014</v>
      </c>
      <c r="N5910" t="str">
        <f>IFERROR(INDEX(tProdutos[Foco],MATCH(tItens[[#This Row],[Produto]],tProdutos[Produto],0)),"Não")</f>
        <v>Não</v>
      </c>
      <c r="O5910" t="str">
        <f>IFERROR(INDEX(tEditais[SRP],MATCH(tItens[[#This Row],[Edital]],tEditais[Edital],0)),"Não")</f>
        <v>Não</v>
      </c>
      <c r="P5910" s="4">
        <f>IF(COUNTIFS(INDEX(tItens[Edital],1):tItens[[#This Row],[Edital]],tItens[[#This Row],[Edital]],INDEX(tItens[Produto],1):tItens[[#This Row],[Produto]],tItens[[#This Row],[Produto]])=1,1,0)</f>
        <v>1</v>
      </c>
    </row>
    <row r="5911" spans="1:16" x14ac:dyDescent="0.25">
      <c r="A5911" t="s">
        <v>2083</v>
      </c>
      <c r="B5911">
        <v>379</v>
      </c>
      <c r="C5911" t="s">
        <v>8662</v>
      </c>
      <c r="D5911" t="s">
        <v>241</v>
      </c>
      <c r="E5911" s="13">
        <v>800</v>
      </c>
      <c r="F5911" s="12">
        <v>60.63</v>
      </c>
      <c r="G5911" t="str">
        <f>IFERROR(INDEX(tEditais[Órgão],MATCH(tItens[[#This Row],[Edital]],tEditais[Edital],0)),"")</f>
        <v>MUNICIPIO DE MEDIANEIRA</v>
      </c>
      <c r="H5911" t="str">
        <f>IFERROR(INDEX(tEditais[UF],MATCH(tItens[[#This Row],[Edital]],tEditais[Edital],0)),"")</f>
        <v>PR</v>
      </c>
      <c r="I5911" s="11">
        <f>IFERROR(INDEX(tEditais[Encerramento],MATCH(tItens[[#This Row],[Edital]],tEditais[Edital],0)),"")</f>
        <v>46310.3125</v>
      </c>
      <c r="J5911" t="str">
        <f>IFERROR(INDEX(tProdutos[Classe],MATCH(tItens[[#This Row],[Produto]],tProdutos[Produto],0)),"produto não cadastrado")</f>
        <v>DISPUTADO</v>
      </c>
      <c r="K5911" s="12">
        <f>tItens[[#This Row],[Qtd]]*tItens[[#This Row],[Vlr unit]]</f>
        <v>48504</v>
      </c>
      <c r="L5911" s="6">
        <f>IFERROR(IF(INDEX(tProdutos[Desconto homologado],MATCH(tItens[[#This Row],[Produto]],tProdutos[Produto],0))="",DescontoPadrao,INDEX(tProdutos[Desconto homologado],MATCH(tItens[[#This Row],[Produto]],tProdutos[Produto],0))),DescontoPadrao)</f>
        <v>0.36881329157903497</v>
      </c>
      <c r="M5911" s="12">
        <f>tItens[[#This Row],[Valor]]*(1-tItens[[#This Row],[Desconto]])</f>
        <v>30615.080105250487</v>
      </c>
      <c r="N5911" t="str">
        <f>IFERROR(INDEX(tProdutos[Foco],MATCH(tItens[[#This Row],[Produto]],tProdutos[Produto],0)),"Não")</f>
        <v>Não</v>
      </c>
      <c r="O5911" t="str">
        <f>IFERROR(INDEX(tEditais[SRP],MATCH(tItens[[#This Row],[Edital]],tEditais[Edital],0)),"Não")</f>
        <v>Não</v>
      </c>
      <c r="P5911" s="4">
        <f>IF(COUNTIFS(INDEX(tItens[Edital],1):tItens[[#This Row],[Edital]],tItens[[#This Row],[Edital]],INDEX(tItens[Produto],1):tItens[[#This Row],[Produto]],tItens[[#This Row],[Produto]])=1,1,0)</f>
        <v>0</v>
      </c>
    </row>
    <row r="5912" spans="1:16" x14ac:dyDescent="0.25">
      <c r="A5912" t="s">
        <v>2087</v>
      </c>
      <c r="B5912">
        <v>1</v>
      </c>
      <c r="C5912" t="s">
        <v>3480</v>
      </c>
      <c r="D5912" t="s">
        <v>315</v>
      </c>
      <c r="E5912" s="13">
        <v>600</v>
      </c>
      <c r="F5912" s="12">
        <v>0.76</v>
      </c>
      <c r="G5912" t="str">
        <f>IFERROR(INDEX(tEditais[Órgão],MATCH(tItens[[#This Row],[Edital]],tEditais[Edital],0)),"")</f>
        <v>UNIVERSIDADE FEDERAL DO PARANA</v>
      </c>
      <c r="H5912" t="str">
        <f>IFERROR(INDEX(tEditais[UF],MATCH(tItens[[#This Row],[Edital]],tEditais[Edital],0)),"")</f>
        <v>PR</v>
      </c>
      <c r="I5912" s="11">
        <f>IFERROR(INDEX(tEditais[Encerramento],MATCH(tItens[[#This Row],[Edital]],tEditais[Edital],0)),"")</f>
        <v>46310.333333333336</v>
      </c>
      <c r="J5912" t="str">
        <f>IFERROR(INDEX(tProdutos[Classe],MATCH(tItens[[#This Row],[Produto]],tProdutos[Produto],0)),"produto não cadastrado")</f>
        <v>FORA</v>
      </c>
      <c r="K5912" s="12">
        <f>tItens[[#This Row],[Qtd]]*tItens[[#This Row],[Vlr unit]]</f>
        <v>456</v>
      </c>
      <c r="L5912" s="6">
        <f>IFERROR(IF(INDEX(tProdutos[Desconto homologado],MATCH(tItens[[#This Row],[Produto]],tProdutos[Produto],0))="",DescontoPadrao,INDEX(tProdutos[Desconto homologado],MATCH(tItens[[#This Row],[Produto]],tProdutos[Produto],0))),DescontoPadrao)</f>
        <v>0.38432036097010702</v>
      </c>
      <c r="M5912" s="12">
        <f>tItens[[#This Row],[Valor]]*(1-tItens[[#This Row],[Desconto]])</f>
        <v>280.74991539763118</v>
      </c>
      <c r="N5912" t="str">
        <f>IFERROR(INDEX(tProdutos[Foco],MATCH(tItens[[#This Row],[Produto]],tProdutos[Produto],0)),"Não")</f>
        <v>Não</v>
      </c>
      <c r="O5912" t="str">
        <f>IFERROR(INDEX(tEditais[SRP],MATCH(tItens[[#This Row],[Edital]],tEditais[Edital],0)),"Não")</f>
        <v>Não</v>
      </c>
      <c r="P5912" s="4">
        <f>IF(COUNTIFS(INDEX(tItens[Edital],1):tItens[[#This Row],[Edital]],tItens[[#This Row],[Edital]],INDEX(tItens[Produto],1):tItens[[#This Row],[Produto]],tItens[[#This Row],[Produto]])=1,1,0)</f>
        <v>1</v>
      </c>
    </row>
    <row r="5913" spans="1:16" x14ac:dyDescent="0.25">
      <c r="A5913" t="s">
        <v>2087</v>
      </c>
      <c r="B5913">
        <v>2</v>
      </c>
      <c r="C5913" t="s">
        <v>8663</v>
      </c>
      <c r="D5913" t="s">
        <v>267</v>
      </c>
      <c r="E5913" s="13">
        <v>2000</v>
      </c>
      <c r="F5913" s="12">
        <v>0.09</v>
      </c>
      <c r="G5913" t="str">
        <f>IFERROR(INDEX(tEditais[Órgão],MATCH(tItens[[#This Row],[Edital]],tEditais[Edital],0)),"")</f>
        <v>UNIVERSIDADE FEDERAL DO PARANA</v>
      </c>
      <c r="H5913" t="str">
        <f>IFERROR(INDEX(tEditais[UF],MATCH(tItens[[#This Row],[Edital]],tEditais[Edital],0)),"")</f>
        <v>PR</v>
      </c>
      <c r="I5913" s="11">
        <f>IFERROR(INDEX(tEditais[Encerramento],MATCH(tItens[[#This Row],[Edital]],tEditais[Edital],0)),"")</f>
        <v>46310.333333333336</v>
      </c>
      <c r="J5913" t="str">
        <f>IFERROR(INDEX(tProdutos[Classe],MATCH(tItens[[#This Row],[Produto]],tProdutos[Produto],0)),"produto não cadastrado")</f>
        <v>FORA</v>
      </c>
      <c r="K5913" s="12">
        <f>tItens[[#This Row],[Qtd]]*tItens[[#This Row],[Vlr unit]]</f>
        <v>180</v>
      </c>
      <c r="L5913" s="6">
        <f>IFERROR(IF(INDEX(tProdutos[Desconto homologado],MATCH(tItens[[#This Row],[Produto]],tProdutos[Produto],0))="",DescontoPadrao,INDEX(tProdutos[Desconto homologado],MATCH(tItens[[#This Row],[Produto]],tProdutos[Produto],0))),DescontoPadrao)</f>
        <v>0.19963672657401599</v>
      </c>
      <c r="M5913" s="12">
        <f>tItens[[#This Row],[Valor]]*(1-tItens[[#This Row],[Desconto]])</f>
        <v>144.06538921667712</v>
      </c>
      <c r="N5913" t="str">
        <f>IFERROR(INDEX(tProdutos[Foco],MATCH(tItens[[#This Row],[Produto]],tProdutos[Produto],0)),"Não")</f>
        <v>Não</v>
      </c>
      <c r="O5913" t="str">
        <f>IFERROR(INDEX(tEditais[SRP],MATCH(tItens[[#This Row],[Edital]],tEditais[Edital],0)),"Não")</f>
        <v>Não</v>
      </c>
      <c r="P5913" s="4">
        <f>IF(COUNTIFS(INDEX(tItens[Edital],1):tItens[[#This Row],[Edital]],tItens[[#This Row],[Edital]],INDEX(tItens[Produto],1):tItens[[#This Row],[Produto]],tItens[[#This Row],[Produto]])=1,1,0)</f>
        <v>1</v>
      </c>
    </row>
    <row r="5914" spans="1:16" x14ac:dyDescent="0.25">
      <c r="A5914" t="s">
        <v>2091</v>
      </c>
      <c r="B5914">
        <v>2</v>
      </c>
      <c r="C5914" t="s">
        <v>8664</v>
      </c>
      <c r="D5914" t="s">
        <v>315</v>
      </c>
      <c r="E5914" s="13">
        <v>300</v>
      </c>
      <c r="F5914" s="12">
        <v>0.22</v>
      </c>
      <c r="G5914" t="str">
        <f>IFERROR(INDEX(tEditais[Órgão],MATCH(tItens[[#This Row],[Edital]],tEditais[Edital],0)),"")</f>
        <v>MUNICIPIO DE FORMOSA DO OESTE</v>
      </c>
      <c r="H5914" t="str">
        <f>IFERROR(INDEX(tEditais[UF],MATCH(tItens[[#This Row],[Edital]],tEditais[Edital],0)),"")</f>
        <v>PR</v>
      </c>
      <c r="I5914" s="11">
        <f>IFERROR(INDEX(tEditais[Encerramento],MATCH(tItens[[#This Row],[Edital]],tEditais[Edital],0)),"")</f>
        <v>46310.333333333336</v>
      </c>
      <c r="J5914" t="str">
        <f>IFERROR(INDEX(tProdutos[Classe],MATCH(tItens[[#This Row],[Produto]],tProdutos[Produto],0)),"produto não cadastrado")</f>
        <v>FORA</v>
      </c>
      <c r="K5914" s="12">
        <f>tItens[[#This Row],[Qtd]]*tItens[[#This Row],[Vlr unit]]</f>
        <v>66</v>
      </c>
      <c r="L5914" s="6">
        <f>IFERROR(IF(INDEX(tProdutos[Desconto homologado],MATCH(tItens[[#This Row],[Produto]],tProdutos[Produto],0))="",DescontoPadrao,INDEX(tProdutos[Desconto homologado],MATCH(tItens[[#This Row],[Produto]],tProdutos[Produto],0))),DescontoPadrao)</f>
        <v>0.38432036097010702</v>
      </c>
      <c r="M5914" s="12">
        <f>tItens[[#This Row],[Valor]]*(1-tItens[[#This Row],[Desconto]])</f>
        <v>40.634856175972935</v>
      </c>
      <c r="N5914" t="str">
        <f>IFERROR(INDEX(tProdutos[Foco],MATCH(tItens[[#This Row],[Produto]],tProdutos[Produto],0)),"Não")</f>
        <v>Não</v>
      </c>
      <c r="O5914" t="str">
        <f>IFERROR(INDEX(tEditais[SRP],MATCH(tItens[[#This Row],[Edital]],tEditais[Edital],0)),"Não")</f>
        <v>Não</v>
      </c>
      <c r="P5914" s="4">
        <f>IF(COUNTIFS(INDEX(tItens[Edital],1):tItens[[#This Row],[Edital]],tItens[[#This Row],[Edital]],INDEX(tItens[Produto],1):tItens[[#This Row],[Produto]],tItens[[#This Row],[Produto]])=1,1,0)</f>
        <v>1</v>
      </c>
    </row>
    <row r="5915" spans="1:16" x14ac:dyDescent="0.25">
      <c r="A5915" t="s">
        <v>2096</v>
      </c>
      <c r="B5915">
        <v>13</v>
      </c>
      <c r="C5915" t="s">
        <v>8665</v>
      </c>
      <c r="D5915" t="s">
        <v>313</v>
      </c>
      <c r="E5915" s="13">
        <v>250</v>
      </c>
      <c r="F5915" s="12">
        <v>45.87</v>
      </c>
      <c r="G5915" t="str">
        <f>IFERROR(INDEX(tEditais[Órgão],MATCH(tItens[[#This Row],[Edital]],tEditais[Edital],0)),"")</f>
        <v>MUNICIPIO DE SAUDADE DO IGUACU</v>
      </c>
      <c r="H5915" t="str">
        <f>IFERROR(INDEX(tEditais[UF],MATCH(tItens[[#This Row],[Edital]],tEditais[Edital],0)),"")</f>
        <v>PR</v>
      </c>
      <c r="I5915" s="11">
        <f>IFERROR(INDEX(tEditais[Encerramento],MATCH(tItens[[#This Row],[Edital]],tEditais[Edital],0)),"")</f>
        <v>46310.333333333336</v>
      </c>
      <c r="J5915" t="str">
        <f>IFERROR(INDEX(tProdutos[Classe],MATCH(tItens[[#This Row],[Produto]],tProdutos[Produto],0)),"produto não cadastrado")</f>
        <v>FORA</v>
      </c>
      <c r="K5915" s="12">
        <f>tItens[[#This Row],[Qtd]]*tItens[[#This Row],[Vlr unit]]</f>
        <v>11467.5</v>
      </c>
      <c r="L5915" s="6">
        <f>IFERROR(IF(INDEX(tProdutos[Desconto homologado],MATCH(tItens[[#This Row],[Produto]],tProdutos[Produto],0))="",DescontoPadrao,INDEX(tProdutos[Desconto homologado],MATCH(tItens[[#This Row],[Produto]],tProdutos[Produto],0))),DescontoPadrao)</f>
        <v>0.35766373163696302</v>
      </c>
      <c r="M5915" s="12">
        <f>tItens[[#This Row],[Valor]]*(1-tItens[[#This Row],[Desconto]])</f>
        <v>7365.9911574531261</v>
      </c>
      <c r="N5915" t="str">
        <f>IFERROR(INDEX(tProdutos[Foco],MATCH(tItens[[#This Row],[Produto]],tProdutos[Produto],0)),"Não")</f>
        <v>Não</v>
      </c>
      <c r="O5915" t="str">
        <f>IFERROR(INDEX(tEditais[SRP],MATCH(tItens[[#This Row],[Edital]],tEditais[Edital],0)),"Não")</f>
        <v>Sim</v>
      </c>
      <c r="P5915" s="4">
        <f>IF(COUNTIFS(INDEX(tItens[Edital],1):tItens[[#This Row],[Edital]],tItens[[#This Row],[Edital]],INDEX(tItens[Produto],1):tItens[[#This Row],[Produto]],tItens[[#This Row],[Produto]])=1,1,0)</f>
        <v>1</v>
      </c>
    </row>
    <row r="5916" spans="1:16" x14ac:dyDescent="0.25">
      <c r="A5916" t="s">
        <v>2096</v>
      </c>
      <c r="B5916">
        <v>14</v>
      </c>
      <c r="C5916" t="s">
        <v>8666</v>
      </c>
      <c r="D5916" t="s">
        <v>313</v>
      </c>
      <c r="E5916" s="13">
        <v>50</v>
      </c>
      <c r="F5916" s="12">
        <v>46.26</v>
      </c>
      <c r="G5916" t="str">
        <f>IFERROR(INDEX(tEditais[Órgão],MATCH(tItens[[#This Row],[Edital]],tEditais[Edital],0)),"")</f>
        <v>MUNICIPIO DE SAUDADE DO IGUACU</v>
      </c>
      <c r="H5916" t="str">
        <f>IFERROR(INDEX(tEditais[UF],MATCH(tItens[[#This Row],[Edital]],tEditais[Edital],0)),"")</f>
        <v>PR</v>
      </c>
      <c r="I5916" s="11">
        <f>IFERROR(INDEX(tEditais[Encerramento],MATCH(tItens[[#This Row],[Edital]],tEditais[Edital],0)),"")</f>
        <v>46310.333333333336</v>
      </c>
      <c r="J5916" t="str">
        <f>IFERROR(INDEX(tProdutos[Classe],MATCH(tItens[[#This Row],[Produto]],tProdutos[Produto],0)),"produto não cadastrado")</f>
        <v>FORA</v>
      </c>
      <c r="K5916" s="12">
        <f>tItens[[#This Row],[Qtd]]*tItens[[#This Row],[Vlr unit]]</f>
        <v>2313</v>
      </c>
      <c r="L5916" s="6">
        <f>IFERROR(IF(INDEX(tProdutos[Desconto homologado],MATCH(tItens[[#This Row],[Produto]],tProdutos[Produto],0))="",DescontoPadrao,INDEX(tProdutos[Desconto homologado],MATCH(tItens[[#This Row],[Produto]],tProdutos[Produto],0))),DescontoPadrao)</f>
        <v>0.35766373163696302</v>
      </c>
      <c r="M5916" s="12">
        <f>tItens[[#This Row],[Valor]]*(1-tItens[[#This Row],[Desconto]])</f>
        <v>1485.7237887237045</v>
      </c>
      <c r="N5916" t="str">
        <f>IFERROR(INDEX(tProdutos[Foco],MATCH(tItens[[#This Row],[Produto]],tProdutos[Produto],0)),"Não")</f>
        <v>Não</v>
      </c>
      <c r="O5916" t="str">
        <f>IFERROR(INDEX(tEditais[SRP],MATCH(tItens[[#This Row],[Edital]],tEditais[Edital],0)),"Não")</f>
        <v>Sim</v>
      </c>
      <c r="P5916" s="4">
        <f>IF(COUNTIFS(INDEX(tItens[Edital],1):tItens[[#This Row],[Edital]],tItens[[#This Row],[Edital]],INDEX(tItens[Produto],1):tItens[[#This Row],[Produto]],tItens[[#This Row],[Produto]])=1,1,0)</f>
        <v>0</v>
      </c>
    </row>
    <row r="5917" spans="1:16" x14ac:dyDescent="0.25">
      <c r="A5917" t="s">
        <v>2101</v>
      </c>
      <c r="B5917">
        <v>3</v>
      </c>
      <c r="C5917" t="s">
        <v>8667</v>
      </c>
      <c r="D5917" t="s">
        <v>381</v>
      </c>
      <c r="E5917" s="13">
        <v>2</v>
      </c>
      <c r="F5917" s="12">
        <v>27.1</v>
      </c>
      <c r="G5917" t="str">
        <f>IFERROR(INDEX(tEditais[Órgão],MATCH(tItens[[#This Row],[Edital]],tEditais[Edital],0)),"")</f>
        <v>UNIVERSIDADE ESTADUAL DO OESTE DO PARANA</v>
      </c>
      <c r="H5917" t="str">
        <f>IFERROR(INDEX(tEditais[UF],MATCH(tItens[[#This Row],[Edital]],tEditais[Edital],0)),"")</f>
        <v>PR</v>
      </c>
      <c r="I5917" s="11">
        <f>IFERROR(INDEX(tEditais[Encerramento],MATCH(tItens[[#This Row],[Edital]],tEditais[Edital],0)),"")</f>
        <v>46310.353472222225</v>
      </c>
      <c r="J5917" t="str">
        <f>IFERROR(INDEX(tProdutos[Classe],MATCH(tItens[[#This Row],[Produto]],tProdutos[Produto],0)),"produto não cadastrado")</f>
        <v>FORA</v>
      </c>
      <c r="K5917" s="12">
        <f>tItens[[#This Row],[Qtd]]*tItens[[#This Row],[Vlr unit]]</f>
        <v>54.2</v>
      </c>
      <c r="L5917" s="6">
        <f>IFERROR(IF(INDEX(tProdutos[Desconto homologado],MATCH(tItens[[#This Row],[Produto]],tProdutos[Produto],0))="",DescontoPadrao,INDEX(tProdutos[Desconto homologado],MATCH(tItens[[#This Row],[Produto]],tProdutos[Produto],0))),DescontoPadrao)</f>
        <v>0.41112828438949001</v>
      </c>
      <c r="M5917" s="12">
        <f>tItens[[#This Row],[Valor]]*(1-tItens[[#This Row],[Desconto]])</f>
        <v>31.916846986089645</v>
      </c>
      <c r="N5917" t="str">
        <f>IFERROR(INDEX(tProdutos[Foco],MATCH(tItens[[#This Row],[Produto]],tProdutos[Produto],0)),"Não")</f>
        <v>Não</v>
      </c>
      <c r="O5917" t="str">
        <f>IFERROR(INDEX(tEditais[SRP],MATCH(tItens[[#This Row],[Edital]],tEditais[Edital],0)),"Não")</f>
        <v>Não</v>
      </c>
      <c r="P5917" s="4">
        <f>IF(COUNTIFS(INDEX(tItens[Edital],1):tItens[[#This Row],[Edital]],tItens[[#This Row],[Edital]],INDEX(tItens[Produto],1):tItens[[#This Row],[Produto]],tItens[[#This Row],[Produto]])=1,1,0)</f>
        <v>1</v>
      </c>
    </row>
    <row r="5918" spans="1:16" x14ac:dyDescent="0.25">
      <c r="A5918" t="s">
        <v>2101</v>
      </c>
      <c r="B5918">
        <v>4</v>
      </c>
      <c r="C5918" t="s">
        <v>8668</v>
      </c>
      <c r="D5918" t="s">
        <v>313</v>
      </c>
      <c r="E5918" s="13">
        <v>55</v>
      </c>
      <c r="F5918" s="12">
        <v>26.8</v>
      </c>
      <c r="G5918" t="str">
        <f>IFERROR(INDEX(tEditais[Órgão],MATCH(tItens[[#This Row],[Edital]],tEditais[Edital],0)),"")</f>
        <v>UNIVERSIDADE ESTADUAL DO OESTE DO PARANA</v>
      </c>
      <c r="H5918" t="str">
        <f>IFERROR(INDEX(tEditais[UF],MATCH(tItens[[#This Row],[Edital]],tEditais[Edital],0)),"")</f>
        <v>PR</v>
      </c>
      <c r="I5918" s="11">
        <f>IFERROR(INDEX(tEditais[Encerramento],MATCH(tItens[[#This Row],[Edital]],tEditais[Edital],0)),"")</f>
        <v>46310.353472222225</v>
      </c>
      <c r="J5918" t="str">
        <f>IFERROR(INDEX(tProdutos[Classe],MATCH(tItens[[#This Row],[Produto]],tProdutos[Produto],0)),"produto não cadastrado")</f>
        <v>FORA</v>
      </c>
      <c r="K5918" s="12">
        <f>tItens[[#This Row],[Qtd]]*tItens[[#This Row],[Vlr unit]]</f>
        <v>1474</v>
      </c>
      <c r="L5918" s="6">
        <f>IFERROR(IF(INDEX(tProdutos[Desconto homologado],MATCH(tItens[[#This Row],[Produto]],tProdutos[Produto],0))="",DescontoPadrao,INDEX(tProdutos[Desconto homologado],MATCH(tItens[[#This Row],[Produto]],tProdutos[Produto],0))),DescontoPadrao)</f>
        <v>0.35766373163696302</v>
      </c>
      <c r="M5918" s="12">
        <f>tItens[[#This Row],[Valor]]*(1-tItens[[#This Row],[Desconto]])</f>
        <v>946.80365956711637</v>
      </c>
      <c r="N5918" t="str">
        <f>IFERROR(INDEX(tProdutos[Foco],MATCH(tItens[[#This Row],[Produto]],tProdutos[Produto],0)),"Não")</f>
        <v>Não</v>
      </c>
      <c r="O5918" t="str">
        <f>IFERROR(INDEX(tEditais[SRP],MATCH(tItens[[#This Row],[Edital]],tEditais[Edital],0)),"Não")</f>
        <v>Não</v>
      </c>
      <c r="P5918" s="4">
        <f>IF(COUNTIFS(INDEX(tItens[Edital],1):tItens[[#This Row],[Edital]],tItens[[#This Row],[Edital]],INDEX(tItens[Produto],1):tItens[[#This Row],[Produto]],tItens[[#This Row],[Produto]])=1,1,0)</f>
        <v>1</v>
      </c>
    </row>
    <row r="5919" spans="1:16" x14ac:dyDescent="0.25">
      <c r="A5919" t="s">
        <v>2101</v>
      </c>
      <c r="B5919">
        <v>5</v>
      </c>
      <c r="C5919" t="s">
        <v>8669</v>
      </c>
      <c r="D5919" t="s">
        <v>313</v>
      </c>
      <c r="E5919" s="13">
        <v>55</v>
      </c>
      <c r="F5919" s="12">
        <v>26.45</v>
      </c>
      <c r="G5919" t="str">
        <f>IFERROR(INDEX(tEditais[Órgão],MATCH(tItens[[#This Row],[Edital]],tEditais[Edital],0)),"")</f>
        <v>UNIVERSIDADE ESTADUAL DO OESTE DO PARANA</v>
      </c>
      <c r="H5919" t="str">
        <f>IFERROR(INDEX(tEditais[UF],MATCH(tItens[[#This Row],[Edital]],tEditais[Edital],0)),"")</f>
        <v>PR</v>
      </c>
      <c r="I5919" s="11">
        <f>IFERROR(INDEX(tEditais[Encerramento],MATCH(tItens[[#This Row],[Edital]],tEditais[Edital],0)),"")</f>
        <v>46310.353472222225</v>
      </c>
      <c r="J5919" t="str">
        <f>IFERROR(INDEX(tProdutos[Classe],MATCH(tItens[[#This Row],[Produto]],tProdutos[Produto],0)),"produto não cadastrado")</f>
        <v>FORA</v>
      </c>
      <c r="K5919" s="12">
        <f>tItens[[#This Row],[Qtd]]*tItens[[#This Row],[Vlr unit]]</f>
        <v>1454.75</v>
      </c>
      <c r="L5919" s="6">
        <f>IFERROR(IF(INDEX(tProdutos[Desconto homologado],MATCH(tItens[[#This Row],[Produto]],tProdutos[Produto],0))="",DescontoPadrao,INDEX(tProdutos[Desconto homologado],MATCH(tItens[[#This Row],[Produto]],tProdutos[Produto],0))),DescontoPadrao)</f>
        <v>0.35766373163696302</v>
      </c>
      <c r="M5919" s="12">
        <f>tItens[[#This Row],[Valor]]*(1-tItens[[#This Row],[Desconto]])</f>
        <v>934.43868640112794</v>
      </c>
      <c r="N5919" t="str">
        <f>IFERROR(INDEX(tProdutos[Foco],MATCH(tItens[[#This Row],[Produto]],tProdutos[Produto],0)),"Não")</f>
        <v>Não</v>
      </c>
      <c r="O5919" t="str">
        <f>IFERROR(INDEX(tEditais[SRP],MATCH(tItens[[#This Row],[Edital]],tEditais[Edital],0)),"Não")</f>
        <v>Não</v>
      </c>
      <c r="P5919" s="4">
        <f>IF(COUNTIFS(INDEX(tItens[Edital],1):tItens[[#This Row],[Edital]],tItens[[#This Row],[Edital]],INDEX(tItens[Produto],1):tItens[[#This Row],[Produto]],tItens[[#This Row],[Produto]])=1,1,0)</f>
        <v>0</v>
      </c>
    </row>
    <row r="5920" spans="1:16" x14ac:dyDescent="0.25">
      <c r="A5920" t="s">
        <v>2101</v>
      </c>
      <c r="B5920">
        <v>6</v>
      </c>
      <c r="C5920" t="s">
        <v>8670</v>
      </c>
      <c r="D5920" t="s">
        <v>313</v>
      </c>
      <c r="E5920" s="13">
        <v>2</v>
      </c>
      <c r="F5920" s="12">
        <v>27.38</v>
      </c>
      <c r="G5920" t="str">
        <f>IFERROR(INDEX(tEditais[Órgão],MATCH(tItens[[#This Row],[Edital]],tEditais[Edital],0)),"")</f>
        <v>UNIVERSIDADE ESTADUAL DO OESTE DO PARANA</v>
      </c>
      <c r="H5920" t="str">
        <f>IFERROR(INDEX(tEditais[UF],MATCH(tItens[[#This Row],[Edital]],tEditais[Edital],0)),"")</f>
        <v>PR</v>
      </c>
      <c r="I5920" s="11">
        <f>IFERROR(INDEX(tEditais[Encerramento],MATCH(tItens[[#This Row],[Edital]],tEditais[Edital],0)),"")</f>
        <v>46310.353472222225</v>
      </c>
      <c r="J5920" t="str">
        <f>IFERROR(INDEX(tProdutos[Classe],MATCH(tItens[[#This Row],[Produto]],tProdutos[Produto],0)),"produto não cadastrado")</f>
        <v>FORA</v>
      </c>
      <c r="K5920" s="12">
        <f>tItens[[#This Row],[Qtd]]*tItens[[#This Row],[Vlr unit]]</f>
        <v>54.76</v>
      </c>
      <c r="L5920" s="6">
        <f>IFERROR(IF(INDEX(tProdutos[Desconto homologado],MATCH(tItens[[#This Row],[Produto]],tProdutos[Produto],0))="",DescontoPadrao,INDEX(tProdutos[Desconto homologado],MATCH(tItens[[#This Row],[Produto]],tProdutos[Produto],0))),DescontoPadrao)</f>
        <v>0.35766373163696302</v>
      </c>
      <c r="M5920" s="12">
        <f>tItens[[#This Row],[Valor]]*(1-tItens[[#This Row],[Desconto]])</f>
        <v>35.174334055559903</v>
      </c>
      <c r="N5920" t="str">
        <f>IFERROR(INDEX(tProdutos[Foco],MATCH(tItens[[#This Row],[Produto]],tProdutos[Produto],0)),"Não")</f>
        <v>Não</v>
      </c>
      <c r="O5920" t="str">
        <f>IFERROR(INDEX(tEditais[SRP],MATCH(tItens[[#This Row],[Edital]],tEditais[Edital],0)),"Não")</f>
        <v>Não</v>
      </c>
      <c r="P5920" s="4">
        <f>IF(COUNTIFS(INDEX(tItens[Edital],1):tItens[[#This Row],[Edital]],tItens[[#This Row],[Edital]],INDEX(tItens[Produto],1):tItens[[#This Row],[Produto]],tItens[[#This Row],[Produto]])=1,1,0)</f>
        <v>0</v>
      </c>
    </row>
    <row r="5921" spans="1:16" x14ac:dyDescent="0.25">
      <c r="A5921" t="s">
        <v>2101</v>
      </c>
      <c r="B5921">
        <v>12</v>
      </c>
      <c r="C5921" t="s">
        <v>8671</v>
      </c>
      <c r="D5921" t="s">
        <v>267</v>
      </c>
      <c r="E5921" s="13">
        <v>30</v>
      </c>
      <c r="F5921" s="12">
        <v>16.13</v>
      </c>
      <c r="G5921" t="str">
        <f>IFERROR(INDEX(tEditais[Órgão],MATCH(tItens[[#This Row],[Edital]],tEditais[Edital],0)),"")</f>
        <v>UNIVERSIDADE ESTADUAL DO OESTE DO PARANA</v>
      </c>
      <c r="H5921" t="str">
        <f>IFERROR(INDEX(tEditais[UF],MATCH(tItens[[#This Row],[Edital]],tEditais[Edital],0)),"")</f>
        <v>PR</v>
      </c>
      <c r="I5921" s="11">
        <f>IFERROR(INDEX(tEditais[Encerramento],MATCH(tItens[[#This Row],[Edital]],tEditais[Edital],0)),"")</f>
        <v>46310.353472222225</v>
      </c>
      <c r="J5921" t="str">
        <f>IFERROR(INDEX(tProdutos[Classe],MATCH(tItens[[#This Row],[Produto]],tProdutos[Produto],0)),"produto não cadastrado")</f>
        <v>FORA</v>
      </c>
      <c r="K5921" s="12">
        <f>tItens[[#This Row],[Qtd]]*tItens[[#This Row],[Vlr unit]]</f>
        <v>483.9</v>
      </c>
      <c r="L5921" s="6">
        <f>IFERROR(IF(INDEX(tProdutos[Desconto homologado],MATCH(tItens[[#This Row],[Produto]],tProdutos[Produto],0))="",DescontoPadrao,INDEX(tProdutos[Desconto homologado],MATCH(tItens[[#This Row],[Produto]],tProdutos[Produto],0))),DescontoPadrao)</f>
        <v>0.19963672657401599</v>
      </c>
      <c r="M5921" s="12">
        <f>tItens[[#This Row],[Valor]]*(1-tItens[[#This Row],[Desconto]])</f>
        <v>387.29578801083363</v>
      </c>
      <c r="N5921" t="str">
        <f>IFERROR(INDEX(tProdutos[Foco],MATCH(tItens[[#This Row],[Produto]],tProdutos[Produto],0)),"Não")</f>
        <v>Não</v>
      </c>
      <c r="O5921" t="str">
        <f>IFERROR(INDEX(tEditais[SRP],MATCH(tItens[[#This Row],[Edital]],tEditais[Edital],0)),"Não")</f>
        <v>Não</v>
      </c>
      <c r="P5921" s="4">
        <f>IF(COUNTIFS(INDEX(tItens[Edital],1):tItens[[#This Row],[Edital]],tItens[[#This Row],[Edital]],INDEX(tItens[Produto],1):tItens[[#This Row],[Produto]],tItens[[#This Row],[Produto]])=1,1,0)</f>
        <v>1</v>
      </c>
    </row>
    <row r="5922" spans="1:16" x14ac:dyDescent="0.25">
      <c r="A5922" t="s">
        <v>2101</v>
      </c>
      <c r="B5922">
        <v>13</v>
      </c>
      <c r="C5922" t="s">
        <v>8672</v>
      </c>
      <c r="D5922" t="s">
        <v>315</v>
      </c>
      <c r="E5922" s="13">
        <v>7</v>
      </c>
      <c r="F5922" s="12">
        <v>16.940000000000001</v>
      </c>
      <c r="G5922" t="str">
        <f>IFERROR(INDEX(tEditais[Órgão],MATCH(tItens[[#This Row],[Edital]],tEditais[Edital],0)),"")</f>
        <v>UNIVERSIDADE ESTADUAL DO OESTE DO PARANA</v>
      </c>
      <c r="H5922" t="str">
        <f>IFERROR(INDEX(tEditais[UF],MATCH(tItens[[#This Row],[Edital]],tEditais[Edital],0)),"")</f>
        <v>PR</v>
      </c>
      <c r="I5922" s="11">
        <f>IFERROR(INDEX(tEditais[Encerramento],MATCH(tItens[[#This Row],[Edital]],tEditais[Edital],0)),"")</f>
        <v>46310.353472222225</v>
      </c>
      <c r="J5922" t="str">
        <f>IFERROR(INDEX(tProdutos[Classe],MATCH(tItens[[#This Row],[Produto]],tProdutos[Produto],0)),"produto não cadastrado")</f>
        <v>FORA</v>
      </c>
      <c r="K5922" s="12">
        <f>tItens[[#This Row],[Qtd]]*tItens[[#This Row],[Vlr unit]]</f>
        <v>118.58000000000001</v>
      </c>
      <c r="L5922" s="6">
        <f>IFERROR(IF(INDEX(tProdutos[Desconto homologado],MATCH(tItens[[#This Row],[Produto]],tProdutos[Produto],0))="",DescontoPadrao,INDEX(tProdutos[Desconto homologado],MATCH(tItens[[#This Row],[Produto]],tProdutos[Produto],0))),DescontoPadrao)</f>
        <v>0.38432036097010702</v>
      </c>
      <c r="M5922" s="12">
        <f>tItens[[#This Row],[Valor]]*(1-tItens[[#This Row],[Desconto]])</f>
        <v>73.00729159616472</v>
      </c>
      <c r="N5922" t="str">
        <f>IFERROR(INDEX(tProdutos[Foco],MATCH(tItens[[#This Row],[Produto]],tProdutos[Produto],0)),"Não")</f>
        <v>Não</v>
      </c>
      <c r="O5922" t="str">
        <f>IFERROR(INDEX(tEditais[SRP],MATCH(tItens[[#This Row],[Edital]],tEditais[Edital],0)),"Não")</f>
        <v>Não</v>
      </c>
      <c r="P5922" s="4">
        <f>IF(COUNTIFS(INDEX(tItens[Edital],1):tItens[[#This Row],[Edital]],tItens[[#This Row],[Edital]],INDEX(tItens[Produto],1):tItens[[#This Row],[Produto]],tItens[[#This Row],[Produto]])=1,1,0)</f>
        <v>1</v>
      </c>
    </row>
    <row r="5923" spans="1:16" x14ac:dyDescent="0.25">
      <c r="A5923" t="s">
        <v>2101</v>
      </c>
      <c r="B5923">
        <v>14</v>
      </c>
      <c r="C5923" t="s">
        <v>8673</v>
      </c>
      <c r="D5923" t="s">
        <v>315</v>
      </c>
      <c r="E5923" s="13">
        <v>5</v>
      </c>
      <c r="F5923" s="12">
        <v>14.61</v>
      </c>
      <c r="G5923" t="str">
        <f>IFERROR(INDEX(tEditais[Órgão],MATCH(tItens[[#This Row],[Edital]],tEditais[Edital],0)),"")</f>
        <v>UNIVERSIDADE ESTADUAL DO OESTE DO PARANA</v>
      </c>
      <c r="H5923" t="str">
        <f>IFERROR(INDEX(tEditais[UF],MATCH(tItens[[#This Row],[Edital]],tEditais[Edital],0)),"")</f>
        <v>PR</v>
      </c>
      <c r="I5923" s="11">
        <f>IFERROR(INDEX(tEditais[Encerramento],MATCH(tItens[[#This Row],[Edital]],tEditais[Edital],0)),"")</f>
        <v>46310.353472222225</v>
      </c>
      <c r="J5923" t="str">
        <f>IFERROR(INDEX(tProdutos[Classe],MATCH(tItens[[#This Row],[Produto]],tProdutos[Produto],0)),"produto não cadastrado")</f>
        <v>FORA</v>
      </c>
      <c r="K5923" s="12">
        <f>tItens[[#This Row],[Qtd]]*tItens[[#This Row],[Vlr unit]]</f>
        <v>73.05</v>
      </c>
      <c r="L5923" s="6">
        <f>IFERROR(IF(INDEX(tProdutos[Desconto homologado],MATCH(tItens[[#This Row],[Produto]],tProdutos[Produto],0))="",DescontoPadrao,INDEX(tProdutos[Desconto homologado],MATCH(tItens[[#This Row],[Produto]],tProdutos[Produto],0))),DescontoPadrao)</f>
        <v>0.38432036097010702</v>
      </c>
      <c r="M5923" s="12">
        <f>tItens[[#This Row],[Valor]]*(1-tItens[[#This Row],[Desconto]])</f>
        <v>44.975397631133681</v>
      </c>
      <c r="N5923" t="str">
        <f>IFERROR(INDEX(tProdutos[Foco],MATCH(tItens[[#This Row],[Produto]],tProdutos[Produto],0)),"Não")</f>
        <v>Não</v>
      </c>
      <c r="O5923" t="str">
        <f>IFERROR(INDEX(tEditais[SRP],MATCH(tItens[[#This Row],[Edital]],tEditais[Edital],0)),"Não")</f>
        <v>Não</v>
      </c>
      <c r="P5923" s="4">
        <f>IF(COUNTIFS(INDEX(tItens[Edital],1):tItens[[#This Row],[Edital]],tItens[[#This Row],[Edital]],INDEX(tItens[Produto],1):tItens[[#This Row],[Produto]],tItens[[#This Row],[Produto]])=1,1,0)</f>
        <v>0</v>
      </c>
    </row>
    <row r="5924" spans="1:16" x14ac:dyDescent="0.25">
      <c r="A5924" t="s">
        <v>2101</v>
      </c>
      <c r="B5924">
        <v>16</v>
      </c>
      <c r="C5924" t="s">
        <v>8674</v>
      </c>
      <c r="D5924" t="s">
        <v>114</v>
      </c>
      <c r="E5924" s="13">
        <v>3</v>
      </c>
      <c r="F5924" s="12">
        <v>9.43</v>
      </c>
      <c r="G5924" t="str">
        <f>IFERROR(INDEX(tEditais[Órgão],MATCH(tItens[[#This Row],[Edital]],tEditais[Edital],0)),"")</f>
        <v>UNIVERSIDADE ESTADUAL DO OESTE DO PARANA</v>
      </c>
      <c r="H5924" t="str">
        <f>IFERROR(INDEX(tEditais[UF],MATCH(tItens[[#This Row],[Edital]],tEditais[Edital],0)),"")</f>
        <v>PR</v>
      </c>
      <c r="I5924" s="11">
        <f>IFERROR(INDEX(tEditais[Encerramento],MATCH(tItens[[#This Row],[Edital]],tEditais[Edital],0)),"")</f>
        <v>46310.353472222225</v>
      </c>
      <c r="J5924" t="str">
        <f>IFERROR(INDEX(tProdutos[Classe],MATCH(tItens[[#This Row],[Produto]],tProdutos[Produto],0)),"produto não cadastrado")</f>
        <v>DISPUTADO</v>
      </c>
      <c r="K5924" s="12">
        <f>tItens[[#This Row],[Qtd]]*tItens[[#This Row],[Vlr unit]]</f>
        <v>28.29</v>
      </c>
      <c r="L5924" s="6">
        <f>IFERROR(IF(INDEX(tProdutos[Desconto homologado],MATCH(tItens[[#This Row],[Produto]],tProdutos[Produto],0))="",DescontoPadrao,INDEX(tProdutos[Desconto homologado],MATCH(tItens[[#This Row],[Produto]],tProdutos[Produto],0))),DescontoPadrao)</f>
        <v>0.24332656063896899</v>
      </c>
      <c r="M5924" s="12">
        <f>tItens[[#This Row],[Valor]]*(1-tItens[[#This Row],[Desconto]])</f>
        <v>21.406291599523566</v>
      </c>
      <c r="N5924" t="str">
        <f>IFERROR(INDEX(tProdutos[Foco],MATCH(tItens[[#This Row],[Produto]],tProdutos[Produto],0)),"Não")</f>
        <v>Não</v>
      </c>
      <c r="O5924" t="str">
        <f>IFERROR(INDEX(tEditais[SRP],MATCH(tItens[[#This Row],[Edital]],tEditais[Edital],0)),"Não")</f>
        <v>Não</v>
      </c>
      <c r="P5924" s="4">
        <f>IF(COUNTIFS(INDEX(tItens[Edital],1):tItens[[#This Row],[Edital]],tItens[[#This Row],[Edital]],INDEX(tItens[Produto],1):tItens[[#This Row],[Produto]],tItens[[#This Row],[Produto]])=1,1,0)</f>
        <v>1</v>
      </c>
    </row>
    <row r="5925" spans="1:16" x14ac:dyDescent="0.25">
      <c r="A5925" t="s">
        <v>2101</v>
      </c>
      <c r="B5925">
        <v>17</v>
      </c>
      <c r="C5925" t="s">
        <v>8675</v>
      </c>
      <c r="D5925" t="s">
        <v>56</v>
      </c>
      <c r="E5925" s="13">
        <v>5</v>
      </c>
      <c r="F5925" s="12">
        <v>36.71</v>
      </c>
      <c r="G5925" t="str">
        <f>IFERROR(INDEX(tEditais[Órgão],MATCH(tItens[[#This Row],[Edital]],tEditais[Edital],0)),"")</f>
        <v>UNIVERSIDADE ESTADUAL DO OESTE DO PARANA</v>
      </c>
      <c r="H5925" t="str">
        <f>IFERROR(INDEX(tEditais[UF],MATCH(tItens[[#This Row],[Edital]],tEditais[Edital],0)),"")</f>
        <v>PR</v>
      </c>
      <c r="I5925" s="11">
        <f>IFERROR(INDEX(tEditais[Encerramento],MATCH(tItens[[#This Row],[Edital]],tEditais[Edital],0)),"")</f>
        <v>46310.353472222225</v>
      </c>
      <c r="J5925" t="str">
        <f>IFERROR(INDEX(tProdutos[Classe],MATCH(tItens[[#This Row],[Produto]],tProdutos[Produto],0)),"produto não cadastrado")</f>
        <v>NÚCLEO</v>
      </c>
      <c r="K5925" s="12">
        <f>tItens[[#This Row],[Qtd]]*tItens[[#This Row],[Vlr unit]]</f>
        <v>183.55</v>
      </c>
      <c r="L5925" s="6">
        <f>IFERROR(IF(INDEX(tProdutos[Desconto homologado],MATCH(tItens[[#This Row],[Produto]],tProdutos[Produto],0))="",DescontoPadrao,INDEX(tProdutos[Desconto homologado],MATCH(tItens[[#This Row],[Produto]],tProdutos[Produto],0))),DescontoPadrao)</f>
        <v>0.34</v>
      </c>
      <c r="M5925" s="12">
        <f>tItens[[#This Row],[Valor]]*(1-tItens[[#This Row],[Desconto]])</f>
        <v>121.14299999999999</v>
      </c>
      <c r="N5925" t="str">
        <f>IFERROR(INDEX(tProdutos[Foco],MATCH(tItens[[#This Row],[Produto]],tProdutos[Produto],0)),"Não")</f>
        <v>Sim</v>
      </c>
      <c r="O5925" t="str">
        <f>IFERROR(INDEX(tEditais[SRP],MATCH(tItens[[#This Row],[Edital]],tEditais[Edital],0)),"Não")</f>
        <v>Não</v>
      </c>
      <c r="P5925" s="4">
        <f>IF(COUNTIFS(INDEX(tItens[Edital],1):tItens[[#This Row],[Edital]],tItens[[#This Row],[Edital]],INDEX(tItens[Produto],1):tItens[[#This Row],[Produto]],tItens[[#This Row],[Produto]])=1,1,0)</f>
        <v>1</v>
      </c>
    </row>
    <row r="5926" spans="1:16" x14ac:dyDescent="0.25">
      <c r="A5926" t="s">
        <v>2101</v>
      </c>
      <c r="B5926">
        <v>18</v>
      </c>
      <c r="C5926" t="s">
        <v>8676</v>
      </c>
      <c r="D5926" t="s">
        <v>421</v>
      </c>
      <c r="E5926" s="13">
        <v>5</v>
      </c>
      <c r="F5926" s="12">
        <v>19.100000000000001</v>
      </c>
      <c r="G5926" t="str">
        <f>IFERROR(INDEX(tEditais[Órgão],MATCH(tItens[[#This Row],[Edital]],tEditais[Edital],0)),"")</f>
        <v>UNIVERSIDADE ESTADUAL DO OESTE DO PARANA</v>
      </c>
      <c r="H5926" t="str">
        <f>IFERROR(INDEX(tEditais[UF],MATCH(tItens[[#This Row],[Edital]],tEditais[Edital],0)),"")</f>
        <v>PR</v>
      </c>
      <c r="I5926" s="11">
        <f>IFERROR(INDEX(tEditais[Encerramento],MATCH(tItens[[#This Row],[Edital]],tEditais[Edital],0)),"")</f>
        <v>46310.353472222225</v>
      </c>
      <c r="J5926" t="str">
        <f>IFERROR(INDEX(tProdutos[Classe],MATCH(tItens[[#This Row],[Produto]],tProdutos[Produto],0)),"produto não cadastrado")</f>
        <v>FORA</v>
      </c>
      <c r="K5926" s="12">
        <f>tItens[[#This Row],[Qtd]]*tItens[[#This Row],[Vlr unit]]</f>
        <v>95.5</v>
      </c>
      <c r="L5926" s="6">
        <f>IFERROR(IF(INDEX(tProdutos[Desconto homologado],MATCH(tItens[[#This Row],[Produto]],tProdutos[Produto],0))="",DescontoPadrao,INDEX(tProdutos[Desconto homologado],MATCH(tItens[[#This Row],[Produto]],tProdutos[Produto],0))),DescontoPadrao)</f>
        <v>0.43</v>
      </c>
      <c r="M5926" s="12">
        <f>tItens[[#This Row],[Valor]]*(1-tItens[[#This Row],[Desconto]])</f>
        <v>54.435000000000009</v>
      </c>
      <c r="N5926" t="str">
        <f>IFERROR(INDEX(tProdutos[Foco],MATCH(tItens[[#This Row],[Produto]],tProdutos[Produto],0)),"Não")</f>
        <v>Sim</v>
      </c>
      <c r="O5926" t="str">
        <f>IFERROR(INDEX(tEditais[SRP],MATCH(tItens[[#This Row],[Edital]],tEditais[Edital],0)),"Não")</f>
        <v>Não</v>
      </c>
      <c r="P5926" s="4">
        <f>IF(COUNTIFS(INDEX(tItens[Edital],1):tItens[[#This Row],[Edital]],tItens[[#This Row],[Edital]],INDEX(tItens[Produto],1):tItens[[#This Row],[Produto]],tItens[[#This Row],[Produto]])=1,1,0)</f>
        <v>1</v>
      </c>
    </row>
    <row r="5927" spans="1:16" x14ac:dyDescent="0.25">
      <c r="A5927" t="s">
        <v>2106</v>
      </c>
      <c r="B5927">
        <v>1</v>
      </c>
      <c r="C5927" t="s">
        <v>3502</v>
      </c>
      <c r="D5927" t="s">
        <v>387</v>
      </c>
      <c r="E5927" s="13">
        <v>82000</v>
      </c>
      <c r="F5927" s="12">
        <v>17.8</v>
      </c>
      <c r="G5927" t="str">
        <f>IFERROR(INDEX(tEditais[Órgão],MATCH(tItens[[#This Row],[Edital]],tEditais[Edital],0)),"")</f>
        <v>UNIVERSIDADE ESTADUAL DO OESTE DO PARANA</v>
      </c>
      <c r="H5927" t="str">
        <f>IFERROR(INDEX(tEditais[UF],MATCH(tItens[[#This Row],[Edital]],tEditais[Edital],0)),"")</f>
        <v>PR</v>
      </c>
      <c r="I5927" s="11">
        <f>IFERROR(INDEX(tEditais[Encerramento],MATCH(tItens[[#This Row],[Edital]],tEditais[Edital],0)),"")</f>
        <v>46310.354166666664</v>
      </c>
      <c r="J5927" t="str">
        <f>IFERROR(INDEX(tProdutos[Classe],MATCH(tItens[[#This Row],[Produto]],tProdutos[Produto],0)),"produto não cadastrado")</f>
        <v>FORA</v>
      </c>
      <c r="K5927" s="12">
        <f>tItens[[#This Row],[Qtd]]*tItens[[#This Row],[Vlr unit]]</f>
        <v>1459600</v>
      </c>
      <c r="L5927" s="6">
        <f>IFERROR(IF(INDEX(tProdutos[Desconto homologado],MATCH(tItens[[#This Row],[Produto]],tProdutos[Produto],0))="",DescontoPadrao,INDEX(tProdutos[Desconto homologado],MATCH(tItens[[#This Row],[Produto]],tProdutos[Produto],0))),DescontoPadrao)</f>
        <v>0.30458221024258803</v>
      </c>
      <c r="M5927" s="12">
        <f>tItens[[#This Row],[Valor]]*(1-tItens[[#This Row],[Desconto]])</f>
        <v>1015031.8059299185</v>
      </c>
      <c r="N5927" t="str">
        <f>IFERROR(INDEX(tProdutos[Foco],MATCH(tItens[[#This Row],[Produto]],tProdutos[Produto],0)),"Não")</f>
        <v>Não</v>
      </c>
      <c r="O5927" t="str">
        <f>IFERROR(INDEX(tEditais[SRP],MATCH(tItens[[#This Row],[Edital]],tEditais[Edital],0)),"Não")</f>
        <v>Não</v>
      </c>
      <c r="P5927" s="4">
        <f>IF(COUNTIFS(INDEX(tItens[Edital],1):tItens[[#This Row],[Edital]],tItens[[#This Row],[Edital]],INDEX(tItens[Produto],1):tItens[[#This Row],[Produto]],tItens[[#This Row],[Produto]])=1,1,0)</f>
        <v>1</v>
      </c>
    </row>
    <row r="5928" spans="1:16" x14ac:dyDescent="0.25">
      <c r="A5928" t="s">
        <v>2106</v>
      </c>
      <c r="B5928">
        <v>2</v>
      </c>
      <c r="C5928" t="s">
        <v>3502</v>
      </c>
      <c r="D5928" t="s">
        <v>387</v>
      </c>
      <c r="E5928" s="13">
        <v>94000</v>
      </c>
      <c r="F5928" s="12">
        <v>16.3</v>
      </c>
      <c r="G5928" t="str">
        <f>IFERROR(INDEX(tEditais[Órgão],MATCH(tItens[[#This Row],[Edital]],tEditais[Edital],0)),"")</f>
        <v>UNIVERSIDADE ESTADUAL DO OESTE DO PARANA</v>
      </c>
      <c r="H5928" t="str">
        <f>IFERROR(INDEX(tEditais[UF],MATCH(tItens[[#This Row],[Edital]],tEditais[Edital],0)),"")</f>
        <v>PR</v>
      </c>
      <c r="I5928" s="11">
        <f>IFERROR(INDEX(tEditais[Encerramento],MATCH(tItens[[#This Row],[Edital]],tEditais[Edital],0)),"")</f>
        <v>46310.354166666664</v>
      </c>
      <c r="J5928" t="str">
        <f>IFERROR(INDEX(tProdutos[Classe],MATCH(tItens[[#This Row],[Produto]],tProdutos[Produto],0)),"produto não cadastrado")</f>
        <v>FORA</v>
      </c>
      <c r="K5928" s="12">
        <f>tItens[[#This Row],[Qtd]]*tItens[[#This Row],[Vlr unit]]</f>
        <v>1532200</v>
      </c>
      <c r="L5928" s="6">
        <f>IFERROR(IF(INDEX(tProdutos[Desconto homologado],MATCH(tItens[[#This Row],[Produto]],tProdutos[Produto],0))="",DescontoPadrao,INDEX(tProdutos[Desconto homologado],MATCH(tItens[[#This Row],[Produto]],tProdutos[Produto],0))),DescontoPadrao)</f>
        <v>0.30458221024258803</v>
      </c>
      <c r="M5928" s="12">
        <f>tItens[[#This Row],[Valor]]*(1-tItens[[#This Row],[Desconto]])</f>
        <v>1065519.1374663066</v>
      </c>
      <c r="N5928" t="str">
        <f>IFERROR(INDEX(tProdutos[Foco],MATCH(tItens[[#This Row],[Produto]],tProdutos[Produto],0)),"Não")</f>
        <v>Não</v>
      </c>
      <c r="O5928" t="str">
        <f>IFERROR(INDEX(tEditais[SRP],MATCH(tItens[[#This Row],[Edital]],tEditais[Edital],0)),"Não")</f>
        <v>Não</v>
      </c>
      <c r="P5928" s="4">
        <f>IF(COUNTIFS(INDEX(tItens[Edital],1):tItens[[#This Row],[Edital]],tItens[[#This Row],[Edital]],INDEX(tItens[Produto],1):tItens[[#This Row],[Produto]],tItens[[#This Row],[Produto]])=1,1,0)</f>
        <v>0</v>
      </c>
    </row>
    <row r="5929" spans="1:16" x14ac:dyDescent="0.25">
      <c r="A5929" t="s">
        <v>2109</v>
      </c>
      <c r="B5929">
        <v>12</v>
      </c>
      <c r="C5929" t="s">
        <v>8677</v>
      </c>
      <c r="D5929" t="s">
        <v>315</v>
      </c>
      <c r="E5929" s="13">
        <v>5</v>
      </c>
      <c r="F5929" s="12">
        <v>11.9</v>
      </c>
      <c r="G5929" t="str">
        <f>IFERROR(INDEX(tEditais[Órgão],MATCH(tItens[[#This Row],[Edital]],tEditais[Edital],0)),"")</f>
        <v>MUNICIPIO DE IVAIPORA</v>
      </c>
      <c r="H5929" t="str">
        <f>IFERROR(INDEX(tEditais[UF],MATCH(tItens[[#This Row],[Edital]],tEditais[Edital],0)),"")</f>
        <v>PR</v>
      </c>
      <c r="I5929" s="11">
        <f>IFERROR(INDEX(tEditais[Encerramento],MATCH(tItens[[#This Row],[Edital]],tEditais[Edital],0)),"")</f>
        <v>46310.354166666664</v>
      </c>
      <c r="J5929" t="str">
        <f>IFERROR(INDEX(tProdutos[Classe],MATCH(tItens[[#This Row],[Produto]],tProdutos[Produto],0)),"produto não cadastrado")</f>
        <v>FORA</v>
      </c>
      <c r="K5929" s="12">
        <f>tItens[[#This Row],[Qtd]]*tItens[[#This Row],[Vlr unit]]</f>
        <v>59.5</v>
      </c>
      <c r="L5929" s="6">
        <f>IFERROR(IF(INDEX(tProdutos[Desconto homologado],MATCH(tItens[[#This Row],[Produto]],tProdutos[Produto],0))="",DescontoPadrao,INDEX(tProdutos[Desconto homologado],MATCH(tItens[[#This Row],[Produto]],tProdutos[Produto],0))),DescontoPadrao)</f>
        <v>0.38432036097010702</v>
      </c>
      <c r="M5929" s="12">
        <f>tItens[[#This Row],[Valor]]*(1-tItens[[#This Row],[Desconto]])</f>
        <v>36.632938522278636</v>
      </c>
      <c r="N5929" t="str">
        <f>IFERROR(INDEX(tProdutos[Foco],MATCH(tItens[[#This Row],[Produto]],tProdutos[Produto],0)),"Não")</f>
        <v>Não</v>
      </c>
      <c r="O5929" t="str">
        <f>IFERROR(INDEX(tEditais[SRP],MATCH(tItens[[#This Row],[Edital]],tEditais[Edital],0)),"Não")</f>
        <v>Não</v>
      </c>
      <c r="P5929" s="4">
        <f>IF(COUNTIFS(INDEX(tItens[Edital],1):tItens[[#This Row],[Edital]],tItens[[#This Row],[Edital]],INDEX(tItens[Produto],1):tItens[[#This Row],[Produto]],tItens[[#This Row],[Produto]])=1,1,0)</f>
        <v>1</v>
      </c>
    </row>
    <row r="5930" spans="1:16" x14ac:dyDescent="0.25">
      <c r="A5930" t="s">
        <v>2109</v>
      </c>
      <c r="B5930">
        <v>13</v>
      </c>
      <c r="C5930" t="s">
        <v>8678</v>
      </c>
      <c r="D5930" t="s">
        <v>315</v>
      </c>
      <c r="E5930" s="13">
        <v>40</v>
      </c>
      <c r="F5930" s="12">
        <v>9.5</v>
      </c>
      <c r="G5930" t="str">
        <f>IFERROR(INDEX(tEditais[Órgão],MATCH(tItens[[#This Row],[Edital]],tEditais[Edital],0)),"")</f>
        <v>MUNICIPIO DE IVAIPORA</v>
      </c>
      <c r="H5930" t="str">
        <f>IFERROR(INDEX(tEditais[UF],MATCH(tItens[[#This Row],[Edital]],tEditais[Edital],0)),"")</f>
        <v>PR</v>
      </c>
      <c r="I5930" s="11">
        <f>IFERROR(INDEX(tEditais[Encerramento],MATCH(tItens[[#This Row],[Edital]],tEditais[Edital],0)),"")</f>
        <v>46310.354166666664</v>
      </c>
      <c r="J5930" t="str">
        <f>IFERROR(INDEX(tProdutos[Classe],MATCH(tItens[[#This Row],[Produto]],tProdutos[Produto],0)),"produto não cadastrado")</f>
        <v>FORA</v>
      </c>
      <c r="K5930" s="12">
        <f>tItens[[#This Row],[Qtd]]*tItens[[#This Row],[Vlr unit]]</f>
        <v>380</v>
      </c>
      <c r="L5930" s="6">
        <f>IFERROR(IF(INDEX(tProdutos[Desconto homologado],MATCH(tItens[[#This Row],[Produto]],tProdutos[Produto],0))="",DescontoPadrao,INDEX(tProdutos[Desconto homologado],MATCH(tItens[[#This Row],[Produto]],tProdutos[Produto],0))),DescontoPadrao)</f>
        <v>0.38432036097010702</v>
      </c>
      <c r="M5930" s="12">
        <f>tItens[[#This Row],[Valor]]*(1-tItens[[#This Row],[Desconto]])</f>
        <v>233.95826283135932</v>
      </c>
      <c r="N5930" t="str">
        <f>IFERROR(INDEX(tProdutos[Foco],MATCH(tItens[[#This Row],[Produto]],tProdutos[Produto],0)),"Não")</f>
        <v>Não</v>
      </c>
      <c r="O5930" t="str">
        <f>IFERROR(INDEX(tEditais[SRP],MATCH(tItens[[#This Row],[Edital]],tEditais[Edital],0)),"Não")</f>
        <v>Não</v>
      </c>
      <c r="P5930" s="4">
        <f>IF(COUNTIFS(INDEX(tItens[Edital],1):tItens[[#This Row],[Edital]],tItens[[#This Row],[Edital]],INDEX(tItens[Produto],1):tItens[[#This Row],[Produto]],tItens[[#This Row],[Produto]])=1,1,0)</f>
        <v>0</v>
      </c>
    </row>
    <row r="5931" spans="1:16" x14ac:dyDescent="0.25">
      <c r="A5931" t="s">
        <v>2109</v>
      </c>
      <c r="B5931">
        <v>14</v>
      </c>
      <c r="C5931" t="s">
        <v>8679</v>
      </c>
      <c r="D5931" t="s">
        <v>88</v>
      </c>
      <c r="E5931" s="13">
        <v>10</v>
      </c>
      <c r="F5931" s="12">
        <v>46</v>
      </c>
      <c r="G5931" t="str">
        <f>IFERROR(INDEX(tEditais[Órgão],MATCH(tItens[[#This Row],[Edital]],tEditais[Edital],0)),"")</f>
        <v>MUNICIPIO DE IVAIPORA</v>
      </c>
      <c r="H5931" t="str">
        <f>IFERROR(INDEX(tEditais[UF],MATCH(tItens[[#This Row],[Edital]],tEditais[Edital],0)),"")</f>
        <v>PR</v>
      </c>
      <c r="I5931" s="11">
        <f>IFERROR(INDEX(tEditais[Encerramento],MATCH(tItens[[#This Row],[Edital]],tEditais[Edital],0)),"")</f>
        <v>46310.354166666664</v>
      </c>
      <c r="J5931" t="str">
        <f>IFERROR(INDEX(tProdutos[Classe],MATCH(tItens[[#This Row],[Produto]],tProdutos[Produto],0)),"produto não cadastrado")</f>
        <v>NÚCLEO</v>
      </c>
      <c r="K5931" s="12">
        <f>tItens[[#This Row],[Qtd]]*tItens[[#This Row],[Vlr unit]]</f>
        <v>460</v>
      </c>
      <c r="L5931" s="6">
        <f>IFERROR(IF(INDEX(tProdutos[Desconto homologado],MATCH(tItens[[#This Row],[Produto]],tProdutos[Produto],0))="",DescontoPadrao,INDEX(tProdutos[Desconto homologado],MATCH(tItens[[#This Row],[Produto]],tProdutos[Produto],0))),DescontoPadrao)</f>
        <v>0.30251202565473001</v>
      </c>
      <c r="M5931" s="12">
        <f>tItens[[#This Row],[Valor]]*(1-tItens[[#This Row],[Desconto]])</f>
        <v>320.84446819882419</v>
      </c>
      <c r="N5931" t="str">
        <f>IFERROR(INDEX(tProdutos[Foco],MATCH(tItens[[#This Row],[Produto]],tProdutos[Produto],0)),"Não")</f>
        <v>Não</v>
      </c>
      <c r="O5931" t="str">
        <f>IFERROR(INDEX(tEditais[SRP],MATCH(tItens[[#This Row],[Edital]],tEditais[Edital],0)),"Não")</f>
        <v>Não</v>
      </c>
      <c r="P5931" s="4">
        <f>IF(COUNTIFS(INDEX(tItens[Edital],1):tItens[[#This Row],[Edital]],tItens[[#This Row],[Edital]],INDEX(tItens[Produto],1):tItens[[#This Row],[Produto]],tItens[[#This Row],[Produto]])=1,1,0)</f>
        <v>1</v>
      </c>
    </row>
    <row r="5932" spans="1:16" x14ac:dyDescent="0.25">
      <c r="A5932" t="s">
        <v>2109</v>
      </c>
      <c r="B5932">
        <v>15</v>
      </c>
      <c r="C5932" t="s">
        <v>8680</v>
      </c>
      <c r="D5932" t="s">
        <v>71</v>
      </c>
      <c r="E5932" s="13">
        <v>50</v>
      </c>
      <c r="F5932" s="12">
        <v>46</v>
      </c>
      <c r="G5932" t="str">
        <f>IFERROR(INDEX(tEditais[Órgão],MATCH(tItens[[#This Row],[Edital]],tEditais[Edital],0)),"")</f>
        <v>MUNICIPIO DE IVAIPORA</v>
      </c>
      <c r="H5932" t="str">
        <f>IFERROR(INDEX(tEditais[UF],MATCH(tItens[[#This Row],[Edital]],tEditais[Edital],0)),"")</f>
        <v>PR</v>
      </c>
      <c r="I5932" s="11">
        <f>IFERROR(INDEX(tEditais[Encerramento],MATCH(tItens[[#This Row],[Edital]],tEditais[Edital],0)),"")</f>
        <v>46310.354166666664</v>
      </c>
      <c r="J5932" t="str">
        <f>IFERROR(INDEX(tProdutos[Classe],MATCH(tItens[[#This Row],[Produto]],tProdutos[Produto],0)),"produto não cadastrado")</f>
        <v>NÚCLEO</v>
      </c>
      <c r="K5932" s="12">
        <f>tItens[[#This Row],[Qtd]]*tItens[[#This Row],[Vlr unit]]</f>
        <v>2300</v>
      </c>
      <c r="L5932" s="6">
        <f>IFERROR(IF(INDEX(tProdutos[Desconto homologado],MATCH(tItens[[#This Row],[Produto]],tProdutos[Produto],0))="",DescontoPadrao,INDEX(tProdutos[Desconto homologado],MATCH(tItens[[#This Row],[Produto]],tProdutos[Produto],0))),DescontoPadrao)</f>
        <v>0.44981412639405199</v>
      </c>
      <c r="M5932" s="12">
        <f>tItens[[#This Row],[Valor]]*(1-tItens[[#This Row],[Desconto]])</f>
        <v>1265.4275092936803</v>
      </c>
      <c r="N5932" t="str">
        <f>IFERROR(INDEX(tProdutos[Foco],MATCH(tItens[[#This Row],[Produto]],tProdutos[Produto],0)),"Não")</f>
        <v>Não</v>
      </c>
      <c r="O5932" t="str">
        <f>IFERROR(INDEX(tEditais[SRP],MATCH(tItens[[#This Row],[Edital]],tEditais[Edital],0)),"Não")</f>
        <v>Não</v>
      </c>
      <c r="P5932" s="4">
        <f>IF(COUNTIFS(INDEX(tItens[Edital],1):tItens[[#This Row],[Edital]],tItens[[#This Row],[Edital]],INDEX(tItens[Produto],1):tItens[[#This Row],[Produto]],tItens[[#This Row],[Produto]])=1,1,0)</f>
        <v>1</v>
      </c>
    </row>
    <row r="5933" spans="1:16" x14ac:dyDescent="0.25">
      <c r="A5933" t="s">
        <v>2109</v>
      </c>
      <c r="B5933">
        <v>16</v>
      </c>
      <c r="C5933" t="s">
        <v>8681</v>
      </c>
      <c r="D5933" t="s">
        <v>112</v>
      </c>
      <c r="E5933" s="13">
        <v>5</v>
      </c>
      <c r="F5933" s="12">
        <v>46</v>
      </c>
      <c r="G5933" t="str">
        <f>IFERROR(INDEX(tEditais[Órgão],MATCH(tItens[[#This Row],[Edital]],tEditais[Edital],0)),"")</f>
        <v>MUNICIPIO DE IVAIPORA</v>
      </c>
      <c r="H5933" t="str">
        <f>IFERROR(INDEX(tEditais[UF],MATCH(tItens[[#This Row],[Edital]],tEditais[Edital],0)),"")</f>
        <v>PR</v>
      </c>
      <c r="I5933" s="11">
        <f>IFERROR(INDEX(tEditais[Encerramento],MATCH(tItens[[#This Row],[Edital]],tEditais[Edital],0)),"")</f>
        <v>46310.354166666664</v>
      </c>
      <c r="J5933" t="str">
        <f>IFERROR(INDEX(tProdutos[Classe],MATCH(tItens[[#This Row],[Produto]],tProdutos[Produto],0)),"produto não cadastrado")</f>
        <v>DISPUTADO</v>
      </c>
      <c r="K5933" s="12">
        <f>tItens[[#This Row],[Qtd]]*tItens[[#This Row],[Vlr unit]]</f>
        <v>230</v>
      </c>
      <c r="L5933" s="6">
        <f>IFERROR(IF(INDEX(tProdutos[Desconto homologado],MATCH(tItens[[#This Row],[Produto]],tProdutos[Produto],0))="",DescontoPadrao,INDEX(tProdutos[Desconto homologado],MATCH(tItens[[#This Row],[Produto]],tProdutos[Produto],0))),DescontoPadrao)</f>
        <v>0.35273348841447499</v>
      </c>
      <c r="M5933" s="12">
        <f>tItens[[#This Row],[Valor]]*(1-tItens[[#This Row],[Desconto]])</f>
        <v>148.87129766467075</v>
      </c>
      <c r="N5933" t="str">
        <f>IFERROR(INDEX(tProdutos[Foco],MATCH(tItens[[#This Row],[Produto]],tProdutos[Produto],0)),"Não")</f>
        <v>Não</v>
      </c>
      <c r="O5933" t="str">
        <f>IFERROR(INDEX(tEditais[SRP],MATCH(tItens[[#This Row],[Edital]],tEditais[Edital],0)),"Não")</f>
        <v>Não</v>
      </c>
      <c r="P5933" s="4">
        <f>IF(COUNTIFS(INDEX(tItens[Edital],1):tItens[[#This Row],[Edital]],tItens[[#This Row],[Edital]],INDEX(tItens[Produto],1):tItens[[#This Row],[Produto]],tItens[[#This Row],[Produto]])=1,1,0)</f>
        <v>1</v>
      </c>
    </row>
    <row r="5934" spans="1:16" x14ac:dyDescent="0.25">
      <c r="A5934" t="s">
        <v>2109</v>
      </c>
      <c r="B5934">
        <v>20</v>
      </c>
      <c r="C5934" t="s">
        <v>8682</v>
      </c>
      <c r="D5934" t="s">
        <v>267</v>
      </c>
      <c r="E5934" s="13">
        <v>5</v>
      </c>
      <c r="F5934" s="12">
        <v>89</v>
      </c>
      <c r="G5934" t="str">
        <f>IFERROR(INDEX(tEditais[Órgão],MATCH(tItens[[#This Row],[Edital]],tEditais[Edital],0)),"")</f>
        <v>MUNICIPIO DE IVAIPORA</v>
      </c>
      <c r="H5934" t="str">
        <f>IFERROR(INDEX(tEditais[UF],MATCH(tItens[[#This Row],[Edital]],tEditais[Edital],0)),"")</f>
        <v>PR</v>
      </c>
      <c r="I5934" s="11">
        <f>IFERROR(INDEX(tEditais[Encerramento],MATCH(tItens[[#This Row],[Edital]],tEditais[Edital],0)),"")</f>
        <v>46310.354166666664</v>
      </c>
      <c r="J5934" t="str">
        <f>IFERROR(INDEX(tProdutos[Classe],MATCH(tItens[[#This Row],[Produto]],tProdutos[Produto],0)),"produto não cadastrado")</f>
        <v>FORA</v>
      </c>
      <c r="K5934" s="12">
        <f>tItens[[#This Row],[Qtd]]*tItens[[#This Row],[Vlr unit]]</f>
        <v>445</v>
      </c>
      <c r="L5934" s="6">
        <f>IFERROR(IF(INDEX(tProdutos[Desconto homologado],MATCH(tItens[[#This Row],[Produto]],tProdutos[Produto],0))="",DescontoPadrao,INDEX(tProdutos[Desconto homologado],MATCH(tItens[[#This Row],[Produto]],tProdutos[Produto],0))),DescontoPadrao)</f>
        <v>0.19963672657401599</v>
      </c>
      <c r="M5934" s="12">
        <f>tItens[[#This Row],[Valor]]*(1-tItens[[#This Row],[Desconto]])</f>
        <v>356.16165667456289</v>
      </c>
      <c r="N5934" t="str">
        <f>IFERROR(INDEX(tProdutos[Foco],MATCH(tItens[[#This Row],[Produto]],tProdutos[Produto],0)),"Não")</f>
        <v>Não</v>
      </c>
      <c r="O5934" t="str">
        <f>IFERROR(INDEX(tEditais[SRP],MATCH(tItens[[#This Row],[Edital]],tEditais[Edital],0)),"Não")</f>
        <v>Não</v>
      </c>
      <c r="P5934" s="4">
        <f>IF(COUNTIFS(INDEX(tItens[Edital],1):tItens[[#This Row],[Edital]],tItens[[#This Row],[Edital]],INDEX(tItens[Produto],1):tItens[[#This Row],[Produto]],tItens[[#This Row],[Produto]])=1,1,0)</f>
        <v>1</v>
      </c>
    </row>
    <row r="5935" spans="1:16" x14ac:dyDescent="0.25">
      <c r="A5935" t="s">
        <v>2109</v>
      </c>
      <c r="B5935">
        <v>38</v>
      </c>
      <c r="C5935" t="s">
        <v>8683</v>
      </c>
      <c r="D5935" t="s">
        <v>494</v>
      </c>
      <c r="E5935" s="13">
        <v>100</v>
      </c>
      <c r="F5935" s="12">
        <v>29</v>
      </c>
      <c r="G5935" t="str">
        <f>IFERROR(INDEX(tEditais[Órgão],MATCH(tItens[[#This Row],[Edital]],tEditais[Edital],0)),"")</f>
        <v>MUNICIPIO DE IVAIPORA</v>
      </c>
      <c r="H5935" t="str">
        <f>IFERROR(INDEX(tEditais[UF],MATCH(tItens[[#This Row],[Edital]],tEditais[Edital],0)),"")</f>
        <v>PR</v>
      </c>
      <c r="I5935" s="11">
        <f>IFERROR(INDEX(tEditais[Encerramento],MATCH(tItens[[#This Row],[Edital]],tEditais[Edital],0)),"")</f>
        <v>46310.354166666664</v>
      </c>
      <c r="J5935" t="str">
        <f>IFERROR(INDEX(tProdutos[Classe],MATCH(tItens[[#This Row],[Produto]],tProdutos[Produto],0)),"produto não cadastrado")</f>
        <v>FILA REBASE</v>
      </c>
      <c r="K5935" s="12">
        <f>tItens[[#This Row],[Qtd]]*tItens[[#This Row],[Vlr unit]]</f>
        <v>2900</v>
      </c>
      <c r="L5935" s="6">
        <f>IFERROR(IF(INDEX(tProdutos[Desconto homologado],MATCH(tItens[[#This Row],[Produto]],tProdutos[Produto],0))="",DescontoPadrao,INDEX(tProdutos[Desconto homologado],MATCH(tItens[[#This Row],[Produto]],tProdutos[Produto],0))),DescontoPadrao)</f>
        <v>0.253736324829619</v>
      </c>
      <c r="M5935" s="12">
        <f>tItens[[#This Row],[Valor]]*(1-tItens[[#This Row],[Desconto]])</f>
        <v>2164.1646579941053</v>
      </c>
      <c r="N5935" t="str">
        <f>IFERROR(INDEX(tProdutos[Foco],MATCH(tItens[[#This Row],[Produto]],tProdutos[Produto],0)),"Não")</f>
        <v>Não</v>
      </c>
      <c r="O5935" t="str">
        <f>IFERROR(INDEX(tEditais[SRP],MATCH(tItens[[#This Row],[Edital]],tEditais[Edital],0)),"Não")</f>
        <v>Não</v>
      </c>
      <c r="P5935" s="4">
        <f>IF(COUNTIFS(INDEX(tItens[Edital],1):tItens[[#This Row],[Edital]],tItens[[#This Row],[Edital]],INDEX(tItens[Produto],1):tItens[[#This Row],[Produto]],tItens[[#This Row],[Produto]])=1,1,0)</f>
        <v>1</v>
      </c>
    </row>
    <row r="5936" spans="1:16" x14ac:dyDescent="0.25">
      <c r="A5936" t="s">
        <v>2109</v>
      </c>
      <c r="B5936">
        <v>39</v>
      </c>
      <c r="C5936" t="s">
        <v>8684</v>
      </c>
      <c r="D5936" t="s">
        <v>494</v>
      </c>
      <c r="E5936" s="13">
        <v>100</v>
      </c>
      <c r="F5936" s="12">
        <v>42</v>
      </c>
      <c r="G5936" t="str">
        <f>IFERROR(INDEX(tEditais[Órgão],MATCH(tItens[[#This Row],[Edital]],tEditais[Edital],0)),"")</f>
        <v>MUNICIPIO DE IVAIPORA</v>
      </c>
      <c r="H5936" t="str">
        <f>IFERROR(INDEX(tEditais[UF],MATCH(tItens[[#This Row],[Edital]],tEditais[Edital],0)),"")</f>
        <v>PR</v>
      </c>
      <c r="I5936" s="11">
        <f>IFERROR(INDEX(tEditais[Encerramento],MATCH(tItens[[#This Row],[Edital]],tEditais[Edital],0)),"")</f>
        <v>46310.354166666664</v>
      </c>
      <c r="J5936" t="str">
        <f>IFERROR(INDEX(tProdutos[Classe],MATCH(tItens[[#This Row],[Produto]],tProdutos[Produto],0)),"produto não cadastrado")</f>
        <v>FILA REBASE</v>
      </c>
      <c r="K5936" s="12">
        <f>tItens[[#This Row],[Qtd]]*tItens[[#This Row],[Vlr unit]]</f>
        <v>4200</v>
      </c>
      <c r="L5936" s="6">
        <f>IFERROR(IF(INDEX(tProdutos[Desconto homologado],MATCH(tItens[[#This Row],[Produto]],tProdutos[Produto],0))="",DescontoPadrao,INDEX(tProdutos[Desconto homologado],MATCH(tItens[[#This Row],[Produto]],tProdutos[Produto],0))),DescontoPadrao)</f>
        <v>0.253736324829619</v>
      </c>
      <c r="M5936" s="12">
        <f>tItens[[#This Row],[Valor]]*(1-tItens[[#This Row],[Desconto]])</f>
        <v>3134.3074357156006</v>
      </c>
      <c r="N5936" t="str">
        <f>IFERROR(INDEX(tProdutos[Foco],MATCH(tItens[[#This Row],[Produto]],tProdutos[Produto],0)),"Não")</f>
        <v>Não</v>
      </c>
      <c r="O5936" t="str">
        <f>IFERROR(INDEX(tEditais[SRP],MATCH(tItens[[#This Row],[Edital]],tEditais[Edital],0)),"Não")</f>
        <v>Não</v>
      </c>
      <c r="P5936" s="4">
        <f>IF(COUNTIFS(INDEX(tItens[Edital],1):tItens[[#This Row],[Edital]],tItens[[#This Row],[Edital]],INDEX(tItens[Produto],1):tItens[[#This Row],[Produto]],tItens[[#This Row],[Produto]])=1,1,0)</f>
        <v>0</v>
      </c>
    </row>
    <row r="5937" spans="1:16" x14ac:dyDescent="0.25">
      <c r="A5937" t="s">
        <v>2109</v>
      </c>
      <c r="B5937">
        <v>40</v>
      </c>
      <c r="C5937" t="s">
        <v>8685</v>
      </c>
      <c r="D5937" t="s">
        <v>494</v>
      </c>
      <c r="E5937" s="13">
        <v>100</v>
      </c>
      <c r="F5937" s="12">
        <v>59</v>
      </c>
      <c r="G5937" t="str">
        <f>IFERROR(INDEX(tEditais[Órgão],MATCH(tItens[[#This Row],[Edital]],tEditais[Edital],0)),"")</f>
        <v>MUNICIPIO DE IVAIPORA</v>
      </c>
      <c r="H5937" t="str">
        <f>IFERROR(INDEX(tEditais[UF],MATCH(tItens[[#This Row],[Edital]],tEditais[Edital],0)),"")</f>
        <v>PR</v>
      </c>
      <c r="I5937" s="11">
        <f>IFERROR(INDEX(tEditais[Encerramento],MATCH(tItens[[#This Row],[Edital]],tEditais[Edital],0)),"")</f>
        <v>46310.354166666664</v>
      </c>
      <c r="J5937" t="str">
        <f>IFERROR(INDEX(tProdutos[Classe],MATCH(tItens[[#This Row],[Produto]],tProdutos[Produto],0)),"produto não cadastrado")</f>
        <v>FILA REBASE</v>
      </c>
      <c r="K5937" s="12">
        <f>tItens[[#This Row],[Qtd]]*tItens[[#This Row],[Vlr unit]]</f>
        <v>5900</v>
      </c>
      <c r="L5937" s="6">
        <f>IFERROR(IF(INDEX(tProdutos[Desconto homologado],MATCH(tItens[[#This Row],[Produto]],tProdutos[Produto],0))="",DescontoPadrao,INDEX(tProdutos[Desconto homologado],MATCH(tItens[[#This Row],[Produto]],tProdutos[Produto],0))),DescontoPadrao)</f>
        <v>0.253736324829619</v>
      </c>
      <c r="M5937" s="12">
        <f>tItens[[#This Row],[Valor]]*(1-tItens[[#This Row],[Desconto]])</f>
        <v>4402.9556835052481</v>
      </c>
      <c r="N5937" t="str">
        <f>IFERROR(INDEX(tProdutos[Foco],MATCH(tItens[[#This Row],[Produto]],tProdutos[Produto],0)),"Não")</f>
        <v>Não</v>
      </c>
      <c r="O5937" t="str">
        <f>IFERROR(INDEX(tEditais[SRP],MATCH(tItens[[#This Row],[Edital]],tEditais[Edital],0)),"Não")</f>
        <v>Não</v>
      </c>
      <c r="P5937" s="4">
        <f>IF(COUNTIFS(INDEX(tItens[Edital],1):tItens[[#This Row],[Edital]],tItens[[#This Row],[Edital]],INDEX(tItens[Produto],1):tItens[[#This Row],[Produto]],tItens[[#This Row],[Produto]])=1,1,0)</f>
        <v>0</v>
      </c>
    </row>
    <row r="5938" spans="1:16" x14ac:dyDescent="0.25">
      <c r="A5938" t="s">
        <v>2109</v>
      </c>
      <c r="B5938">
        <v>41</v>
      </c>
      <c r="C5938" t="s">
        <v>8686</v>
      </c>
      <c r="D5938" t="s">
        <v>494</v>
      </c>
      <c r="E5938" s="13">
        <v>150</v>
      </c>
      <c r="F5938" s="12">
        <v>69</v>
      </c>
      <c r="G5938" t="str">
        <f>IFERROR(INDEX(tEditais[Órgão],MATCH(tItens[[#This Row],[Edital]],tEditais[Edital],0)),"")</f>
        <v>MUNICIPIO DE IVAIPORA</v>
      </c>
      <c r="H5938" t="str">
        <f>IFERROR(INDEX(tEditais[UF],MATCH(tItens[[#This Row],[Edital]],tEditais[Edital],0)),"")</f>
        <v>PR</v>
      </c>
      <c r="I5938" s="11">
        <f>IFERROR(INDEX(tEditais[Encerramento],MATCH(tItens[[#This Row],[Edital]],tEditais[Edital],0)),"")</f>
        <v>46310.354166666664</v>
      </c>
      <c r="J5938" t="str">
        <f>IFERROR(INDEX(tProdutos[Classe],MATCH(tItens[[#This Row],[Produto]],tProdutos[Produto],0)),"produto não cadastrado")</f>
        <v>FILA REBASE</v>
      </c>
      <c r="K5938" s="12">
        <f>tItens[[#This Row],[Qtd]]*tItens[[#This Row],[Vlr unit]]</f>
        <v>10350</v>
      </c>
      <c r="L5938" s="6">
        <f>IFERROR(IF(INDEX(tProdutos[Desconto homologado],MATCH(tItens[[#This Row],[Produto]],tProdutos[Produto],0))="",DescontoPadrao,INDEX(tProdutos[Desconto homologado],MATCH(tItens[[#This Row],[Produto]],tProdutos[Produto],0))),DescontoPadrao)</f>
        <v>0.253736324829619</v>
      </c>
      <c r="M5938" s="12">
        <f>tItens[[#This Row],[Valor]]*(1-tItens[[#This Row],[Desconto]])</f>
        <v>7723.829038013444</v>
      </c>
      <c r="N5938" t="str">
        <f>IFERROR(INDEX(tProdutos[Foco],MATCH(tItens[[#This Row],[Produto]],tProdutos[Produto],0)),"Não")</f>
        <v>Não</v>
      </c>
      <c r="O5938" t="str">
        <f>IFERROR(INDEX(tEditais[SRP],MATCH(tItens[[#This Row],[Edital]],tEditais[Edital],0)),"Não")</f>
        <v>Não</v>
      </c>
      <c r="P5938" s="4">
        <f>IF(COUNTIFS(INDEX(tItens[Edital],1):tItens[[#This Row],[Edital]],tItens[[#This Row],[Edital]],INDEX(tItens[Produto],1):tItens[[#This Row],[Produto]],tItens[[#This Row],[Produto]])=1,1,0)</f>
        <v>0</v>
      </c>
    </row>
    <row r="5939" spans="1:16" x14ac:dyDescent="0.25">
      <c r="A5939" t="s">
        <v>2109</v>
      </c>
      <c r="B5939">
        <v>187</v>
      </c>
      <c r="C5939" t="s">
        <v>8687</v>
      </c>
      <c r="D5939" t="s">
        <v>369</v>
      </c>
      <c r="E5939" s="13">
        <v>200</v>
      </c>
      <c r="F5939" s="12">
        <v>1.08</v>
      </c>
      <c r="G5939" t="str">
        <f>IFERROR(INDEX(tEditais[Órgão],MATCH(tItens[[#This Row],[Edital]],tEditais[Edital],0)),"")</f>
        <v>MUNICIPIO DE IVAIPORA</v>
      </c>
      <c r="H5939" t="str">
        <f>IFERROR(INDEX(tEditais[UF],MATCH(tItens[[#This Row],[Edital]],tEditais[Edital],0)),"")</f>
        <v>PR</v>
      </c>
      <c r="I5939" s="11">
        <f>IFERROR(INDEX(tEditais[Encerramento],MATCH(tItens[[#This Row],[Edital]],tEditais[Edital],0)),"")</f>
        <v>46310.354166666664</v>
      </c>
      <c r="J5939" t="str">
        <f>IFERROR(INDEX(tProdutos[Classe],MATCH(tItens[[#This Row],[Produto]],tProdutos[Produto],0)),"produto não cadastrado")</f>
        <v>FORA</v>
      </c>
      <c r="K5939" s="12">
        <f>tItens[[#This Row],[Qtd]]*tItens[[#This Row],[Vlr unit]]</f>
        <v>216</v>
      </c>
      <c r="L5939" s="6">
        <f>IFERROR(IF(INDEX(tProdutos[Desconto homologado],MATCH(tItens[[#This Row],[Produto]],tProdutos[Produto],0))="",DescontoPadrao,INDEX(tProdutos[Desconto homologado],MATCH(tItens[[#This Row],[Produto]],tProdutos[Produto],0))),DescontoPadrao)</f>
        <v>0.35816618911174802</v>
      </c>
      <c r="M5939" s="12">
        <f>tItens[[#This Row],[Valor]]*(1-tItens[[#This Row],[Desconto]])</f>
        <v>138.63610315186241</v>
      </c>
      <c r="N5939" t="str">
        <f>IFERROR(INDEX(tProdutos[Foco],MATCH(tItens[[#This Row],[Produto]],tProdutos[Produto],0)),"Não")</f>
        <v>Não</v>
      </c>
      <c r="O5939" t="str">
        <f>IFERROR(INDEX(tEditais[SRP],MATCH(tItens[[#This Row],[Edital]],tEditais[Edital],0)),"Não")</f>
        <v>Não</v>
      </c>
      <c r="P5939" s="4">
        <f>IF(COUNTIFS(INDEX(tItens[Edital],1):tItens[[#This Row],[Edital]],tItens[[#This Row],[Edital]],INDEX(tItens[Produto],1):tItens[[#This Row],[Produto]],tItens[[#This Row],[Produto]])=1,1,0)</f>
        <v>1</v>
      </c>
    </row>
    <row r="5940" spans="1:16" x14ac:dyDescent="0.25">
      <c r="A5940" t="s">
        <v>2109</v>
      </c>
      <c r="B5940">
        <v>204</v>
      </c>
      <c r="C5940" t="s">
        <v>8688</v>
      </c>
      <c r="D5940" t="s">
        <v>411</v>
      </c>
      <c r="E5940" s="13">
        <v>120</v>
      </c>
      <c r="F5940" s="12">
        <v>22</v>
      </c>
      <c r="G5940" t="str">
        <f>IFERROR(INDEX(tEditais[Órgão],MATCH(tItens[[#This Row],[Edital]],tEditais[Edital],0)),"")</f>
        <v>MUNICIPIO DE IVAIPORA</v>
      </c>
      <c r="H5940" t="str">
        <f>IFERROR(INDEX(tEditais[UF],MATCH(tItens[[#This Row],[Edital]],tEditais[Edital],0)),"")</f>
        <v>PR</v>
      </c>
      <c r="I5940" s="11">
        <f>IFERROR(INDEX(tEditais[Encerramento],MATCH(tItens[[#This Row],[Edital]],tEditais[Edital],0)),"")</f>
        <v>46310.354166666664</v>
      </c>
      <c r="J5940" t="str">
        <f>IFERROR(INDEX(tProdutos[Classe],MATCH(tItens[[#This Row],[Produto]],tProdutos[Produto],0)),"produto não cadastrado")</f>
        <v>FORA</v>
      </c>
      <c r="K5940" s="12">
        <f>tItens[[#This Row],[Qtd]]*tItens[[#This Row],[Vlr unit]]</f>
        <v>2640</v>
      </c>
      <c r="L5940" s="6">
        <f>IFERROR(IF(INDEX(tProdutos[Desconto homologado],MATCH(tItens[[#This Row],[Produto]],tProdutos[Produto],0))="",DescontoPadrao,INDEX(tProdutos[Desconto homologado],MATCH(tItens[[#This Row],[Produto]],tProdutos[Produto],0))),DescontoPadrao)</f>
        <v>0.50029835957199398</v>
      </c>
      <c r="M5940" s="12">
        <f>tItens[[#This Row],[Valor]]*(1-tItens[[#This Row],[Desconto]])</f>
        <v>1319.212330729936</v>
      </c>
      <c r="N5940" t="str">
        <f>IFERROR(INDEX(tProdutos[Foco],MATCH(tItens[[#This Row],[Produto]],tProdutos[Produto],0)),"Não")</f>
        <v>Não</v>
      </c>
      <c r="O5940" t="str">
        <f>IFERROR(INDEX(tEditais[SRP],MATCH(tItens[[#This Row],[Edital]],tEditais[Edital],0)),"Não")</f>
        <v>Não</v>
      </c>
      <c r="P5940" s="4">
        <f>IF(COUNTIFS(INDEX(tItens[Edital],1):tItens[[#This Row],[Edital]],tItens[[#This Row],[Edital]],INDEX(tItens[Produto],1):tItens[[#This Row],[Produto]],tItens[[#This Row],[Produto]])=1,1,0)</f>
        <v>1</v>
      </c>
    </row>
    <row r="5941" spans="1:16" x14ac:dyDescent="0.25">
      <c r="A5941" t="s">
        <v>2109</v>
      </c>
      <c r="B5941">
        <v>205</v>
      </c>
      <c r="C5941" t="s">
        <v>8689</v>
      </c>
      <c r="D5941" t="s">
        <v>130</v>
      </c>
      <c r="E5941" s="13">
        <v>10</v>
      </c>
      <c r="F5941" s="12">
        <v>75</v>
      </c>
      <c r="G5941" t="str">
        <f>IFERROR(INDEX(tEditais[Órgão],MATCH(tItens[[#This Row],[Edital]],tEditais[Edital],0)),"")</f>
        <v>MUNICIPIO DE IVAIPORA</v>
      </c>
      <c r="H5941" t="str">
        <f>IFERROR(INDEX(tEditais[UF],MATCH(tItens[[#This Row],[Edital]],tEditais[Edital],0)),"")</f>
        <v>PR</v>
      </c>
      <c r="I5941" s="11">
        <f>IFERROR(INDEX(tEditais[Encerramento],MATCH(tItens[[#This Row],[Edital]],tEditais[Edital],0)),"")</f>
        <v>46310.354166666664</v>
      </c>
      <c r="J5941" t="str">
        <f>IFERROR(INDEX(tProdutos[Classe],MATCH(tItens[[#This Row],[Produto]],tProdutos[Produto],0)),"produto não cadastrado")</f>
        <v>DISPUTADO</v>
      </c>
      <c r="K5941" s="12">
        <f>tItens[[#This Row],[Qtd]]*tItens[[#This Row],[Vlr unit]]</f>
        <v>750</v>
      </c>
      <c r="L5941" s="6">
        <f>IFERROR(IF(INDEX(tProdutos[Desconto homologado],MATCH(tItens[[#This Row],[Produto]],tProdutos[Produto],0))="",DescontoPadrao,INDEX(tProdutos[Desconto homologado],MATCH(tItens[[#This Row],[Produto]],tProdutos[Produto],0))),DescontoPadrao)</f>
        <v>0.32</v>
      </c>
      <c r="M5941" s="12">
        <f>tItens[[#This Row],[Valor]]*(1-tItens[[#This Row],[Desconto]])</f>
        <v>509.99999999999994</v>
      </c>
      <c r="N5941" t="str">
        <f>IFERROR(INDEX(tProdutos[Foco],MATCH(tItens[[#This Row],[Produto]],tProdutos[Produto],0)),"Não")</f>
        <v>Sim</v>
      </c>
      <c r="O5941" t="str">
        <f>IFERROR(INDEX(tEditais[SRP],MATCH(tItens[[#This Row],[Edital]],tEditais[Edital],0)),"Não")</f>
        <v>Não</v>
      </c>
      <c r="P5941" s="4">
        <f>IF(COUNTIFS(INDEX(tItens[Edital],1):tItens[[#This Row],[Edital]],tItens[[#This Row],[Edital]],INDEX(tItens[Produto],1):tItens[[#This Row],[Produto]],tItens[[#This Row],[Produto]])=1,1,0)</f>
        <v>1</v>
      </c>
    </row>
    <row r="5942" spans="1:16" x14ac:dyDescent="0.25">
      <c r="A5942" t="s">
        <v>2109</v>
      </c>
      <c r="B5942">
        <v>209</v>
      </c>
      <c r="C5942" t="s">
        <v>8690</v>
      </c>
      <c r="D5942" t="s">
        <v>417</v>
      </c>
      <c r="E5942" s="13">
        <v>1</v>
      </c>
      <c r="F5942" s="12">
        <v>2490</v>
      </c>
      <c r="G5942" t="str">
        <f>IFERROR(INDEX(tEditais[Órgão],MATCH(tItens[[#This Row],[Edital]],tEditais[Edital],0)),"")</f>
        <v>MUNICIPIO DE IVAIPORA</v>
      </c>
      <c r="H5942" t="str">
        <f>IFERROR(INDEX(tEditais[UF],MATCH(tItens[[#This Row],[Edital]],tEditais[Edital],0)),"")</f>
        <v>PR</v>
      </c>
      <c r="I5942" s="11">
        <f>IFERROR(INDEX(tEditais[Encerramento],MATCH(tItens[[#This Row],[Edital]],tEditais[Edital],0)),"")</f>
        <v>46310.354166666664</v>
      </c>
      <c r="J5942" t="str">
        <f>IFERROR(INDEX(tProdutos[Classe],MATCH(tItens[[#This Row],[Produto]],tProdutos[Produto],0)),"produto não cadastrado")</f>
        <v>FORA</v>
      </c>
      <c r="K5942" s="12">
        <f>tItens[[#This Row],[Qtd]]*tItens[[#This Row],[Vlr unit]]</f>
        <v>2490</v>
      </c>
      <c r="L5942" s="6">
        <f>IFERROR(IF(INDEX(tProdutos[Desconto homologado],MATCH(tItens[[#This Row],[Produto]],tProdutos[Produto],0))="",DescontoPadrao,INDEX(tProdutos[Desconto homologado],MATCH(tItens[[#This Row],[Produto]],tProdutos[Produto],0))),DescontoPadrao)</f>
        <v>0.27842432580405202</v>
      </c>
      <c r="M5942" s="12">
        <f>tItens[[#This Row],[Valor]]*(1-tItens[[#This Row],[Desconto]])</f>
        <v>1796.7234287479107</v>
      </c>
      <c r="N5942" t="str">
        <f>IFERROR(INDEX(tProdutos[Foco],MATCH(tItens[[#This Row],[Produto]],tProdutos[Produto],0)),"Não")</f>
        <v>Não</v>
      </c>
      <c r="O5942" t="str">
        <f>IFERROR(INDEX(tEditais[SRP],MATCH(tItens[[#This Row],[Edital]],tEditais[Edital],0)),"Não")</f>
        <v>Não</v>
      </c>
      <c r="P5942" s="4">
        <f>IF(COUNTIFS(INDEX(tItens[Edital],1):tItens[[#This Row],[Edital]],tItens[[#This Row],[Edital]],INDEX(tItens[Produto],1):tItens[[#This Row],[Produto]],tItens[[#This Row],[Produto]])=1,1,0)</f>
        <v>1</v>
      </c>
    </row>
    <row r="5943" spans="1:16" x14ac:dyDescent="0.25">
      <c r="A5943" t="s">
        <v>2109</v>
      </c>
      <c r="B5943">
        <v>210</v>
      </c>
      <c r="C5943" t="s">
        <v>8691</v>
      </c>
      <c r="D5943" t="s">
        <v>417</v>
      </c>
      <c r="E5943" s="13">
        <v>1</v>
      </c>
      <c r="F5943" s="12">
        <v>2980</v>
      </c>
      <c r="G5943" t="str">
        <f>IFERROR(INDEX(tEditais[Órgão],MATCH(tItens[[#This Row],[Edital]],tEditais[Edital],0)),"")</f>
        <v>MUNICIPIO DE IVAIPORA</v>
      </c>
      <c r="H5943" t="str">
        <f>IFERROR(INDEX(tEditais[UF],MATCH(tItens[[#This Row],[Edital]],tEditais[Edital],0)),"")</f>
        <v>PR</v>
      </c>
      <c r="I5943" s="11">
        <f>IFERROR(INDEX(tEditais[Encerramento],MATCH(tItens[[#This Row],[Edital]],tEditais[Edital],0)),"")</f>
        <v>46310.354166666664</v>
      </c>
      <c r="J5943" t="str">
        <f>IFERROR(INDEX(tProdutos[Classe],MATCH(tItens[[#This Row],[Produto]],tProdutos[Produto],0)),"produto não cadastrado")</f>
        <v>FORA</v>
      </c>
      <c r="K5943" s="12">
        <f>tItens[[#This Row],[Qtd]]*tItens[[#This Row],[Vlr unit]]</f>
        <v>2980</v>
      </c>
      <c r="L5943" s="6">
        <f>IFERROR(IF(INDEX(tProdutos[Desconto homologado],MATCH(tItens[[#This Row],[Produto]],tProdutos[Produto],0))="",DescontoPadrao,INDEX(tProdutos[Desconto homologado],MATCH(tItens[[#This Row],[Produto]],tProdutos[Produto],0))),DescontoPadrao)</f>
        <v>0.27842432580405202</v>
      </c>
      <c r="M5943" s="12">
        <f>tItens[[#This Row],[Valor]]*(1-tItens[[#This Row],[Desconto]])</f>
        <v>2150.2955091039253</v>
      </c>
      <c r="N5943" t="str">
        <f>IFERROR(INDEX(tProdutos[Foco],MATCH(tItens[[#This Row],[Produto]],tProdutos[Produto],0)),"Não")</f>
        <v>Não</v>
      </c>
      <c r="O5943" t="str">
        <f>IFERROR(INDEX(tEditais[SRP],MATCH(tItens[[#This Row],[Edital]],tEditais[Edital],0)),"Não")</f>
        <v>Não</v>
      </c>
      <c r="P5943" s="4">
        <f>IF(COUNTIFS(INDEX(tItens[Edital],1):tItens[[#This Row],[Edital]],tItens[[#This Row],[Edital]],INDEX(tItens[Produto],1):tItens[[#This Row],[Produto]],tItens[[#This Row],[Produto]])=1,1,0)</f>
        <v>0</v>
      </c>
    </row>
    <row r="5944" spans="1:16" x14ac:dyDescent="0.25">
      <c r="A5944" t="s">
        <v>2109</v>
      </c>
      <c r="B5944">
        <v>215</v>
      </c>
      <c r="C5944" t="s">
        <v>8692</v>
      </c>
      <c r="D5944" t="s">
        <v>160</v>
      </c>
      <c r="E5944" s="13">
        <v>15</v>
      </c>
      <c r="F5944" s="12">
        <v>138.63</v>
      </c>
      <c r="G5944" t="str">
        <f>IFERROR(INDEX(tEditais[Órgão],MATCH(tItens[[#This Row],[Edital]],tEditais[Edital],0)),"")</f>
        <v>MUNICIPIO DE IVAIPORA</v>
      </c>
      <c r="H5944" t="str">
        <f>IFERROR(INDEX(tEditais[UF],MATCH(tItens[[#This Row],[Edital]],tEditais[Edital],0)),"")</f>
        <v>PR</v>
      </c>
      <c r="I5944" s="11">
        <f>IFERROR(INDEX(tEditais[Encerramento],MATCH(tItens[[#This Row],[Edital]],tEditais[Edital],0)),"")</f>
        <v>46310.354166666664</v>
      </c>
      <c r="J5944" t="str">
        <f>IFERROR(INDEX(tProdutos[Classe],MATCH(tItens[[#This Row],[Produto]],tProdutos[Produto],0)),"produto não cadastrado")</f>
        <v>DISPUTADO</v>
      </c>
      <c r="K5944" s="12">
        <f>tItens[[#This Row],[Qtd]]*tItens[[#This Row],[Vlr unit]]</f>
        <v>2079.4499999999998</v>
      </c>
      <c r="L5944" s="6">
        <f>IFERROR(IF(INDEX(tProdutos[Desconto homologado],MATCH(tItens[[#This Row],[Produto]],tProdutos[Produto],0))="",DescontoPadrao,INDEX(tProdutos[Desconto homologado],MATCH(tItens[[#This Row],[Produto]],tProdutos[Produto],0))),DescontoPadrao)</f>
        <v>0.28000000000000003</v>
      </c>
      <c r="M5944" s="12">
        <f>tItens[[#This Row],[Valor]]*(1-tItens[[#This Row],[Desconto]])</f>
        <v>1497.2039999999997</v>
      </c>
      <c r="N5944" t="str">
        <f>IFERROR(INDEX(tProdutos[Foco],MATCH(tItens[[#This Row],[Produto]],tProdutos[Produto],0)),"Não")</f>
        <v>Sim</v>
      </c>
      <c r="O5944" t="str">
        <f>IFERROR(INDEX(tEditais[SRP],MATCH(tItens[[#This Row],[Edital]],tEditais[Edital],0)),"Não")</f>
        <v>Não</v>
      </c>
      <c r="P5944" s="4">
        <f>IF(COUNTIFS(INDEX(tItens[Edital],1):tItens[[#This Row],[Edital]],tItens[[#This Row],[Edital]],INDEX(tItens[Produto],1):tItens[[#This Row],[Produto]],tItens[[#This Row],[Produto]])=1,1,0)</f>
        <v>1</v>
      </c>
    </row>
    <row r="5945" spans="1:16" x14ac:dyDescent="0.25">
      <c r="A5945" t="s">
        <v>2109</v>
      </c>
      <c r="B5945">
        <v>216</v>
      </c>
      <c r="C5945" t="s">
        <v>8693</v>
      </c>
      <c r="D5945" t="s">
        <v>417</v>
      </c>
      <c r="E5945" s="13">
        <v>30</v>
      </c>
      <c r="F5945" s="12">
        <v>34</v>
      </c>
      <c r="G5945" t="str">
        <f>IFERROR(INDEX(tEditais[Órgão],MATCH(tItens[[#This Row],[Edital]],tEditais[Edital],0)),"")</f>
        <v>MUNICIPIO DE IVAIPORA</v>
      </c>
      <c r="H5945" t="str">
        <f>IFERROR(INDEX(tEditais[UF],MATCH(tItens[[#This Row],[Edital]],tEditais[Edital],0)),"")</f>
        <v>PR</v>
      </c>
      <c r="I5945" s="11">
        <f>IFERROR(INDEX(tEditais[Encerramento],MATCH(tItens[[#This Row],[Edital]],tEditais[Edital],0)),"")</f>
        <v>46310.354166666664</v>
      </c>
      <c r="J5945" t="str">
        <f>IFERROR(INDEX(tProdutos[Classe],MATCH(tItens[[#This Row],[Produto]],tProdutos[Produto],0)),"produto não cadastrado")</f>
        <v>FORA</v>
      </c>
      <c r="K5945" s="12">
        <f>tItens[[#This Row],[Qtd]]*tItens[[#This Row],[Vlr unit]]</f>
        <v>1020</v>
      </c>
      <c r="L5945" s="6">
        <f>IFERROR(IF(INDEX(tProdutos[Desconto homologado],MATCH(tItens[[#This Row],[Produto]],tProdutos[Produto],0))="",DescontoPadrao,INDEX(tProdutos[Desconto homologado],MATCH(tItens[[#This Row],[Produto]],tProdutos[Produto],0))),DescontoPadrao)</f>
        <v>0.27842432580405202</v>
      </c>
      <c r="M5945" s="12">
        <f>tItens[[#This Row],[Valor]]*(1-tItens[[#This Row],[Desconto]])</f>
        <v>736.007187679867</v>
      </c>
      <c r="N5945" t="str">
        <f>IFERROR(INDEX(tProdutos[Foco],MATCH(tItens[[#This Row],[Produto]],tProdutos[Produto],0)),"Não")</f>
        <v>Não</v>
      </c>
      <c r="O5945" t="str">
        <f>IFERROR(INDEX(tEditais[SRP],MATCH(tItens[[#This Row],[Edital]],tEditais[Edital],0)),"Não")</f>
        <v>Não</v>
      </c>
      <c r="P5945" s="4">
        <f>IF(COUNTIFS(INDEX(tItens[Edital],1):tItens[[#This Row],[Edital]],tItens[[#This Row],[Edital]],INDEX(tItens[Produto],1):tItens[[#This Row],[Produto]],tItens[[#This Row],[Produto]])=1,1,0)</f>
        <v>0</v>
      </c>
    </row>
    <row r="5946" spans="1:16" x14ac:dyDescent="0.25">
      <c r="A5946" t="s">
        <v>2109</v>
      </c>
      <c r="B5946">
        <v>218</v>
      </c>
      <c r="C5946" t="s">
        <v>8694</v>
      </c>
      <c r="D5946" t="s">
        <v>56</v>
      </c>
      <c r="E5946" s="13">
        <v>2</v>
      </c>
      <c r="F5946" s="12">
        <v>36</v>
      </c>
      <c r="G5946" t="str">
        <f>IFERROR(INDEX(tEditais[Órgão],MATCH(tItens[[#This Row],[Edital]],tEditais[Edital],0)),"")</f>
        <v>MUNICIPIO DE IVAIPORA</v>
      </c>
      <c r="H5946" t="str">
        <f>IFERROR(INDEX(tEditais[UF],MATCH(tItens[[#This Row],[Edital]],tEditais[Edital],0)),"")</f>
        <v>PR</v>
      </c>
      <c r="I5946" s="11">
        <f>IFERROR(INDEX(tEditais[Encerramento],MATCH(tItens[[#This Row],[Edital]],tEditais[Edital],0)),"")</f>
        <v>46310.354166666664</v>
      </c>
      <c r="J5946" t="str">
        <f>IFERROR(INDEX(tProdutos[Classe],MATCH(tItens[[#This Row],[Produto]],tProdutos[Produto],0)),"produto não cadastrado")</f>
        <v>NÚCLEO</v>
      </c>
      <c r="K5946" s="12">
        <f>tItens[[#This Row],[Qtd]]*tItens[[#This Row],[Vlr unit]]</f>
        <v>72</v>
      </c>
      <c r="L5946" s="6">
        <f>IFERROR(IF(INDEX(tProdutos[Desconto homologado],MATCH(tItens[[#This Row],[Produto]],tProdutos[Produto],0))="",DescontoPadrao,INDEX(tProdutos[Desconto homologado],MATCH(tItens[[#This Row],[Produto]],tProdutos[Produto],0))),DescontoPadrao)</f>
        <v>0.34</v>
      </c>
      <c r="M5946" s="12">
        <f>tItens[[#This Row],[Valor]]*(1-tItens[[#This Row],[Desconto]])</f>
        <v>47.519999999999996</v>
      </c>
      <c r="N5946" t="str">
        <f>IFERROR(INDEX(tProdutos[Foco],MATCH(tItens[[#This Row],[Produto]],tProdutos[Produto],0)),"Não")</f>
        <v>Sim</v>
      </c>
      <c r="O5946" t="str">
        <f>IFERROR(INDEX(tEditais[SRP],MATCH(tItens[[#This Row],[Edital]],tEditais[Edital],0)),"Não")</f>
        <v>Não</v>
      </c>
      <c r="P5946" s="4">
        <f>IF(COUNTIFS(INDEX(tItens[Edital],1):tItens[[#This Row],[Edital]],tItens[[#This Row],[Edital]],INDEX(tItens[Produto],1):tItens[[#This Row],[Produto]],tItens[[#This Row],[Produto]])=1,1,0)</f>
        <v>1</v>
      </c>
    </row>
    <row r="5947" spans="1:16" x14ac:dyDescent="0.25">
      <c r="A5947" t="s">
        <v>2109</v>
      </c>
      <c r="B5947">
        <v>219</v>
      </c>
      <c r="C5947" t="s">
        <v>8695</v>
      </c>
      <c r="D5947" t="s">
        <v>56</v>
      </c>
      <c r="E5947" s="13">
        <v>2</v>
      </c>
      <c r="F5947" s="12">
        <v>29</v>
      </c>
      <c r="G5947" t="str">
        <f>IFERROR(INDEX(tEditais[Órgão],MATCH(tItens[[#This Row],[Edital]],tEditais[Edital],0)),"")</f>
        <v>MUNICIPIO DE IVAIPORA</v>
      </c>
      <c r="H5947" t="str">
        <f>IFERROR(INDEX(tEditais[UF],MATCH(tItens[[#This Row],[Edital]],tEditais[Edital],0)),"")</f>
        <v>PR</v>
      </c>
      <c r="I5947" s="11">
        <f>IFERROR(INDEX(tEditais[Encerramento],MATCH(tItens[[#This Row],[Edital]],tEditais[Edital],0)),"")</f>
        <v>46310.354166666664</v>
      </c>
      <c r="J5947" t="str">
        <f>IFERROR(INDEX(tProdutos[Classe],MATCH(tItens[[#This Row],[Produto]],tProdutos[Produto],0)),"produto não cadastrado")</f>
        <v>NÚCLEO</v>
      </c>
      <c r="K5947" s="12">
        <f>tItens[[#This Row],[Qtd]]*tItens[[#This Row],[Vlr unit]]</f>
        <v>58</v>
      </c>
      <c r="L5947" s="6">
        <f>IFERROR(IF(INDEX(tProdutos[Desconto homologado],MATCH(tItens[[#This Row],[Produto]],tProdutos[Produto],0))="",DescontoPadrao,INDEX(tProdutos[Desconto homologado],MATCH(tItens[[#This Row],[Produto]],tProdutos[Produto],0))),DescontoPadrao)</f>
        <v>0.34</v>
      </c>
      <c r="M5947" s="12">
        <f>tItens[[#This Row],[Valor]]*(1-tItens[[#This Row],[Desconto]])</f>
        <v>38.279999999999994</v>
      </c>
      <c r="N5947" t="str">
        <f>IFERROR(INDEX(tProdutos[Foco],MATCH(tItens[[#This Row],[Produto]],tProdutos[Produto],0)),"Não")</f>
        <v>Sim</v>
      </c>
      <c r="O5947" t="str">
        <f>IFERROR(INDEX(tEditais[SRP],MATCH(tItens[[#This Row],[Edital]],tEditais[Edital],0)),"Não")</f>
        <v>Não</v>
      </c>
      <c r="P5947" s="4">
        <f>IF(COUNTIFS(INDEX(tItens[Edital],1):tItens[[#This Row],[Edital]],tItens[[#This Row],[Edital]],INDEX(tItens[Produto],1):tItens[[#This Row],[Produto]],tItens[[#This Row],[Produto]])=1,1,0)</f>
        <v>0</v>
      </c>
    </row>
    <row r="5948" spans="1:16" x14ac:dyDescent="0.25">
      <c r="A5948" t="s">
        <v>2109</v>
      </c>
      <c r="B5948">
        <v>220</v>
      </c>
      <c r="C5948" t="s">
        <v>8696</v>
      </c>
      <c r="D5948" t="s">
        <v>56</v>
      </c>
      <c r="E5948" s="13">
        <v>2</v>
      </c>
      <c r="F5948" s="12">
        <v>29</v>
      </c>
      <c r="G5948" t="str">
        <f>IFERROR(INDEX(tEditais[Órgão],MATCH(tItens[[#This Row],[Edital]],tEditais[Edital],0)),"")</f>
        <v>MUNICIPIO DE IVAIPORA</v>
      </c>
      <c r="H5948" t="str">
        <f>IFERROR(INDEX(tEditais[UF],MATCH(tItens[[#This Row],[Edital]],tEditais[Edital],0)),"")</f>
        <v>PR</v>
      </c>
      <c r="I5948" s="11">
        <f>IFERROR(INDEX(tEditais[Encerramento],MATCH(tItens[[#This Row],[Edital]],tEditais[Edital],0)),"")</f>
        <v>46310.354166666664</v>
      </c>
      <c r="J5948" t="str">
        <f>IFERROR(INDEX(tProdutos[Classe],MATCH(tItens[[#This Row],[Produto]],tProdutos[Produto],0)),"produto não cadastrado")</f>
        <v>NÚCLEO</v>
      </c>
      <c r="K5948" s="12">
        <f>tItens[[#This Row],[Qtd]]*tItens[[#This Row],[Vlr unit]]</f>
        <v>58</v>
      </c>
      <c r="L5948" s="6">
        <f>IFERROR(IF(INDEX(tProdutos[Desconto homologado],MATCH(tItens[[#This Row],[Produto]],tProdutos[Produto],0))="",DescontoPadrao,INDEX(tProdutos[Desconto homologado],MATCH(tItens[[#This Row],[Produto]],tProdutos[Produto],0))),DescontoPadrao)</f>
        <v>0.34</v>
      </c>
      <c r="M5948" s="12">
        <f>tItens[[#This Row],[Valor]]*(1-tItens[[#This Row],[Desconto]])</f>
        <v>38.279999999999994</v>
      </c>
      <c r="N5948" t="str">
        <f>IFERROR(INDEX(tProdutos[Foco],MATCH(tItens[[#This Row],[Produto]],tProdutos[Produto],0)),"Não")</f>
        <v>Sim</v>
      </c>
      <c r="O5948" t="str">
        <f>IFERROR(INDEX(tEditais[SRP],MATCH(tItens[[#This Row],[Edital]],tEditais[Edital],0)),"Não")</f>
        <v>Não</v>
      </c>
      <c r="P5948" s="4">
        <f>IF(COUNTIFS(INDEX(tItens[Edital],1):tItens[[#This Row],[Edital]],tItens[[#This Row],[Edital]],INDEX(tItens[Produto],1):tItens[[#This Row],[Produto]],tItens[[#This Row],[Produto]])=1,1,0)</f>
        <v>0</v>
      </c>
    </row>
    <row r="5949" spans="1:16" x14ac:dyDescent="0.25">
      <c r="A5949" t="s">
        <v>2109</v>
      </c>
      <c r="B5949">
        <v>221</v>
      </c>
      <c r="C5949" t="s">
        <v>8697</v>
      </c>
      <c r="D5949" t="s">
        <v>267</v>
      </c>
      <c r="E5949" s="13">
        <v>60</v>
      </c>
      <c r="F5949" s="12">
        <v>29</v>
      </c>
      <c r="G5949" t="str">
        <f>IFERROR(INDEX(tEditais[Órgão],MATCH(tItens[[#This Row],[Edital]],tEditais[Edital],0)),"")</f>
        <v>MUNICIPIO DE IVAIPORA</v>
      </c>
      <c r="H5949" t="str">
        <f>IFERROR(INDEX(tEditais[UF],MATCH(tItens[[#This Row],[Edital]],tEditais[Edital],0)),"")</f>
        <v>PR</v>
      </c>
      <c r="I5949" s="11">
        <f>IFERROR(INDEX(tEditais[Encerramento],MATCH(tItens[[#This Row],[Edital]],tEditais[Edital],0)),"")</f>
        <v>46310.354166666664</v>
      </c>
      <c r="J5949" t="str">
        <f>IFERROR(INDEX(tProdutos[Classe],MATCH(tItens[[#This Row],[Produto]],tProdutos[Produto],0)),"produto não cadastrado")</f>
        <v>FORA</v>
      </c>
      <c r="K5949" s="12">
        <f>tItens[[#This Row],[Qtd]]*tItens[[#This Row],[Vlr unit]]</f>
        <v>1740</v>
      </c>
      <c r="L5949" s="6">
        <f>IFERROR(IF(INDEX(tProdutos[Desconto homologado],MATCH(tItens[[#This Row],[Produto]],tProdutos[Produto],0))="",DescontoPadrao,INDEX(tProdutos[Desconto homologado],MATCH(tItens[[#This Row],[Produto]],tProdutos[Produto],0))),DescontoPadrao)</f>
        <v>0.19963672657401599</v>
      </c>
      <c r="M5949" s="12">
        <f>tItens[[#This Row],[Valor]]*(1-tItens[[#This Row],[Desconto]])</f>
        <v>1392.6320957612122</v>
      </c>
      <c r="N5949" t="str">
        <f>IFERROR(INDEX(tProdutos[Foco],MATCH(tItens[[#This Row],[Produto]],tProdutos[Produto],0)),"Não")</f>
        <v>Não</v>
      </c>
      <c r="O5949" t="str">
        <f>IFERROR(INDEX(tEditais[SRP],MATCH(tItens[[#This Row],[Edital]],tEditais[Edital],0)),"Não")</f>
        <v>Não</v>
      </c>
      <c r="P5949" s="4">
        <f>IF(COUNTIFS(INDEX(tItens[Edital],1):tItens[[#This Row],[Edital]],tItens[[#This Row],[Edital]],INDEX(tItens[Produto],1):tItens[[#This Row],[Produto]],tItens[[#This Row],[Produto]])=1,1,0)</f>
        <v>0</v>
      </c>
    </row>
    <row r="5950" spans="1:16" x14ac:dyDescent="0.25">
      <c r="A5950" t="s">
        <v>2109</v>
      </c>
      <c r="B5950">
        <v>267</v>
      </c>
      <c r="C5950" t="s">
        <v>8698</v>
      </c>
      <c r="D5950" t="s">
        <v>343</v>
      </c>
      <c r="E5950" s="13">
        <v>10</v>
      </c>
      <c r="F5950" s="12">
        <v>1.48</v>
      </c>
      <c r="G5950" t="str">
        <f>IFERROR(INDEX(tEditais[Órgão],MATCH(tItens[[#This Row],[Edital]],tEditais[Edital],0)),"")</f>
        <v>MUNICIPIO DE IVAIPORA</v>
      </c>
      <c r="H5950" t="str">
        <f>IFERROR(INDEX(tEditais[UF],MATCH(tItens[[#This Row],[Edital]],tEditais[Edital],0)),"")</f>
        <v>PR</v>
      </c>
      <c r="I5950" s="11">
        <f>IFERROR(INDEX(tEditais[Encerramento],MATCH(tItens[[#This Row],[Edital]],tEditais[Edital],0)),"")</f>
        <v>46310.354166666664</v>
      </c>
      <c r="J5950" t="str">
        <f>IFERROR(INDEX(tProdutos[Classe],MATCH(tItens[[#This Row],[Produto]],tProdutos[Produto],0)),"produto não cadastrado")</f>
        <v>FORA</v>
      </c>
      <c r="K5950" s="12">
        <f>tItens[[#This Row],[Qtd]]*tItens[[#This Row],[Vlr unit]]</f>
        <v>14.8</v>
      </c>
      <c r="L5950" s="6">
        <f>IFERROR(IF(INDEX(tProdutos[Desconto homologado],MATCH(tItens[[#This Row],[Produto]],tProdutos[Produto],0))="",DescontoPadrao,INDEX(tProdutos[Desconto homologado],MATCH(tItens[[#This Row],[Produto]],tProdutos[Produto],0))),DescontoPadrao)</f>
        <v>0.35412234042553198</v>
      </c>
      <c r="M5950" s="12">
        <f>tItens[[#This Row],[Valor]]*(1-tItens[[#This Row],[Desconto]])</f>
        <v>9.5589893617021264</v>
      </c>
      <c r="N5950" t="str">
        <f>IFERROR(INDEX(tProdutos[Foco],MATCH(tItens[[#This Row],[Produto]],tProdutos[Produto],0)),"Não")</f>
        <v>Não</v>
      </c>
      <c r="O5950" t="str">
        <f>IFERROR(INDEX(tEditais[SRP],MATCH(tItens[[#This Row],[Edital]],tEditais[Edital],0)),"Não")</f>
        <v>Não</v>
      </c>
      <c r="P5950" s="4">
        <f>IF(COUNTIFS(INDEX(tItens[Edital],1):tItens[[#This Row],[Edital]],tItens[[#This Row],[Edital]],INDEX(tItens[Produto],1):tItens[[#This Row],[Produto]],tItens[[#This Row],[Produto]])=1,1,0)</f>
        <v>1</v>
      </c>
    </row>
    <row r="5951" spans="1:16" x14ac:dyDescent="0.25">
      <c r="A5951" t="s">
        <v>2109</v>
      </c>
      <c r="B5951">
        <v>268</v>
      </c>
      <c r="C5951" t="s">
        <v>8699</v>
      </c>
      <c r="D5951" t="s">
        <v>343</v>
      </c>
      <c r="E5951" s="13">
        <v>10</v>
      </c>
      <c r="F5951" s="12">
        <v>1.48</v>
      </c>
      <c r="G5951" t="str">
        <f>IFERROR(INDEX(tEditais[Órgão],MATCH(tItens[[#This Row],[Edital]],tEditais[Edital],0)),"")</f>
        <v>MUNICIPIO DE IVAIPORA</v>
      </c>
      <c r="H5951" t="str">
        <f>IFERROR(INDEX(tEditais[UF],MATCH(tItens[[#This Row],[Edital]],tEditais[Edital],0)),"")</f>
        <v>PR</v>
      </c>
      <c r="I5951" s="11">
        <f>IFERROR(INDEX(tEditais[Encerramento],MATCH(tItens[[#This Row],[Edital]],tEditais[Edital],0)),"")</f>
        <v>46310.354166666664</v>
      </c>
      <c r="J5951" t="str">
        <f>IFERROR(INDEX(tProdutos[Classe],MATCH(tItens[[#This Row],[Produto]],tProdutos[Produto],0)),"produto não cadastrado")</f>
        <v>FORA</v>
      </c>
      <c r="K5951" s="12">
        <f>tItens[[#This Row],[Qtd]]*tItens[[#This Row],[Vlr unit]]</f>
        <v>14.8</v>
      </c>
      <c r="L5951" s="6">
        <f>IFERROR(IF(INDEX(tProdutos[Desconto homologado],MATCH(tItens[[#This Row],[Produto]],tProdutos[Produto],0))="",DescontoPadrao,INDEX(tProdutos[Desconto homologado],MATCH(tItens[[#This Row],[Produto]],tProdutos[Produto],0))),DescontoPadrao)</f>
        <v>0.35412234042553198</v>
      </c>
      <c r="M5951" s="12">
        <f>tItens[[#This Row],[Valor]]*(1-tItens[[#This Row],[Desconto]])</f>
        <v>9.5589893617021264</v>
      </c>
      <c r="N5951" t="str">
        <f>IFERROR(INDEX(tProdutos[Foco],MATCH(tItens[[#This Row],[Produto]],tProdutos[Produto],0)),"Não")</f>
        <v>Não</v>
      </c>
      <c r="O5951" t="str">
        <f>IFERROR(INDEX(tEditais[SRP],MATCH(tItens[[#This Row],[Edital]],tEditais[Edital],0)),"Não")</f>
        <v>Não</v>
      </c>
      <c r="P5951" s="4">
        <f>IF(COUNTIFS(INDEX(tItens[Edital],1):tItens[[#This Row],[Edital]],tItens[[#This Row],[Edital]],INDEX(tItens[Produto],1):tItens[[#This Row],[Produto]],tItens[[#This Row],[Produto]])=1,1,0)</f>
        <v>0</v>
      </c>
    </row>
    <row r="5952" spans="1:16" x14ac:dyDescent="0.25">
      <c r="A5952" t="s">
        <v>2109</v>
      </c>
      <c r="B5952">
        <v>269</v>
      </c>
      <c r="C5952" t="s">
        <v>8700</v>
      </c>
      <c r="D5952" t="s">
        <v>343</v>
      </c>
      <c r="E5952" s="13">
        <v>5</v>
      </c>
      <c r="F5952" s="12">
        <v>1.48</v>
      </c>
      <c r="G5952" t="str">
        <f>IFERROR(INDEX(tEditais[Órgão],MATCH(tItens[[#This Row],[Edital]],tEditais[Edital],0)),"")</f>
        <v>MUNICIPIO DE IVAIPORA</v>
      </c>
      <c r="H5952" t="str">
        <f>IFERROR(INDEX(tEditais[UF],MATCH(tItens[[#This Row],[Edital]],tEditais[Edital],0)),"")</f>
        <v>PR</v>
      </c>
      <c r="I5952" s="11">
        <f>IFERROR(INDEX(tEditais[Encerramento],MATCH(tItens[[#This Row],[Edital]],tEditais[Edital],0)),"")</f>
        <v>46310.354166666664</v>
      </c>
      <c r="J5952" t="str">
        <f>IFERROR(INDEX(tProdutos[Classe],MATCH(tItens[[#This Row],[Produto]],tProdutos[Produto],0)),"produto não cadastrado")</f>
        <v>FORA</v>
      </c>
      <c r="K5952" s="12">
        <f>tItens[[#This Row],[Qtd]]*tItens[[#This Row],[Vlr unit]]</f>
        <v>7.4</v>
      </c>
      <c r="L5952" s="6">
        <f>IFERROR(IF(INDEX(tProdutos[Desconto homologado],MATCH(tItens[[#This Row],[Produto]],tProdutos[Produto],0))="",DescontoPadrao,INDEX(tProdutos[Desconto homologado],MATCH(tItens[[#This Row],[Produto]],tProdutos[Produto],0))),DescontoPadrao)</f>
        <v>0.35412234042553198</v>
      </c>
      <c r="M5952" s="12">
        <f>tItens[[#This Row],[Valor]]*(1-tItens[[#This Row],[Desconto]])</f>
        <v>4.7794946808510632</v>
      </c>
      <c r="N5952" t="str">
        <f>IFERROR(INDEX(tProdutos[Foco],MATCH(tItens[[#This Row],[Produto]],tProdutos[Produto],0)),"Não")</f>
        <v>Não</v>
      </c>
      <c r="O5952" t="str">
        <f>IFERROR(INDEX(tEditais[SRP],MATCH(tItens[[#This Row],[Edital]],tEditais[Edital],0)),"Não")</f>
        <v>Não</v>
      </c>
      <c r="P5952" s="4">
        <f>IF(COUNTIFS(INDEX(tItens[Edital],1):tItens[[#This Row],[Edital]],tItens[[#This Row],[Edital]],INDEX(tItens[Produto],1):tItens[[#This Row],[Produto]],tItens[[#This Row],[Produto]])=1,1,0)</f>
        <v>0</v>
      </c>
    </row>
    <row r="5953" spans="1:16" x14ac:dyDescent="0.25">
      <c r="A5953" t="s">
        <v>2109</v>
      </c>
      <c r="B5953">
        <v>270</v>
      </c>
      <c r="C5953" t="s">
        <v>8701</v>
      </c>
      <c r="D5953" t="s">
        <v>343</v>
      </c>
      <c r="E5953" s="13">
        <v>5</v>
      </c>
      <c r="F5953" s="12">
        <v>1.48</v>
      </c>
      <c r="G5953" t="str">
        <f>IFERROR(INDEX(tEditais[Órgão],MATCH(tItens[[#This Row],[Edital]],tEditais[Edital],0)),"")</f>
        <v>MUNICIPIO DE IVAIPORA</v>
      </c>
      <c r="H5953" t="str">
        <f>IFERROR(INDEX(tEditais[UF],MATCH(tItens[[#This Row],[Edital]],tEditais[Edital],0)),"")</f>
        <v>PR</v>
      </c>
      <c r="I5953" s="11">
        <f>IFERROR(INDEX(tEditais[Encerramento],MATCH(tItens[[#This Row],[Edital]],tEditais[Edital],0)),"")</f>
        <v>46310.354166666664</v>
      </c>
      <c r="J5953" t="str">
        <f>IFERROR(INDEX(tProdutos[Classe],MATCH(tItens[[#This Row],[Produto]],tProdutos[Produto],0)),"produto não cadastrado")</f>
        <v>FORA</v>
      </c>
      <c r="K5953" s="12">
        <f>tItens[[#This Row],[Qtd]]*tItens[[#This Row],[Vlr unit]]</f>
        <v>7.4</v>
      </c>
      <c r="L5953" s="6">
        <f>IFERROR(IF(INDEX(tProdutos[Desconto homologado],MATCH(tItens[[#This Row],[Produto]],tProdutos[Produto],0))="",DescontoPadrao,INDEX(tProdutos[Desconto homologado],MATCH(tItens[[#This Row],[Produto]],tProdutos[Produto],0))),DescontoPadrao)</f>
        <v>0.35412234042553198</v>
      </c>
      <c r="M5953" s="12">
        <f>tItens[[#This Row],[Valor]]*(1-tItens[[#This Row],[Desconto]])</f>
        <v>4.7794946808510632</v>
      </c>
      <c r="N5953" t="str">
        <f>IFERROR(INDEX(tProdutos[Foco],MATCH(tItens[[#This Row],[Produto]],tProdutos[Produto],0)),"Não")</f>
        <v>Não</v>
      </c>
      <c r="O5953" t="str">
        <f>IFERROR(INDEX(tEditais[SRP],MATCH(tItens[[#This Row],[Edital]],tEditais[Edital],0)),"Não")</f>
        <v>Não</v>
      </c>
      <c r="P5953" s="4">
        <f>IF(COUNTIFS(INDEX(tItens[Edital],1):tItens[[#This Row],[Edital]],tItens[[#This Row],[Edital]],INDEX(tItens[Produto],1):tItens[[#This Row],[Produto]],tItens[[#This Row],[Produto]])=1,1,0)</f>
        <v>0</v>
      </c>
    </row>
    <row r="5954" spans="1:16" x14ac:dyDescent="0.25">
      <c r="A5954" t="s">
        <v>2109</v>
      </c>
      <c r="B5954">
        <v>274</v>
      </c>
      <c r="C5954" t="s">
        <v>8702</v>
      </c>
      <c r="D5954" t="s">
        <v>385</v>
      </c>
      <c r="E5954" s="13">
        <v>200</v>
      </c>
      <c r="F5954" s="12">
        <v>8.9</v>
      </c>
      <c r="G5954" t="str">
        <f>IFERROR(INDEX(tEditais[Órgão],MATCH(tItens[[#This Row],[Edital]],tEditais[Edital],0)),"")</f>
        <v>MUNICIPIO DE IVAIPORA</v>
      </c>
      <c r="H5954" t="str">
        <f>IFERROR(INDEX(tEditais[UF],MATCH(tItens[[#This Row],[Edital]],tEditais[Edital],0)),"")</f>
        <v>PR</v>
      </c>
      <c r="I5954" s="11">
        <f>IFERROR(INDEX(tEditais[Encerramento],MATCH(tItens[[#This Row],[Edital]],tEditais[Edital],0)),"")</f>
        <v>46310.354166666664</v>
      </c>
      <c r="J5954" t="str">
        <f>IFERROR(INDEX(tProdutos[Classe],MATCH(tItens[[#This Row],[Produto]],tProdutos[Produto],0)),"produto não cadastrado")</f>
        <v>FORA</v>
      </c>
      <c r="K5954" s="12">
        <f>tItens[[#This Row],[Qtd]]*tItens[[#This Row],[Vlr unit]]</f>
        <v>1780</v>
      </c>
      <c r="L5954" s="6">
        <f>IFERROR(IF(INDEX(tProdutos[Desconto homologado],MATCH(tItens[[#This Row],[Produto]],tProdutos[Produto],0))="",DescontoPadrao,INDEX(tProdutos[Desconto homologado],MATCH(tItens[[#This Row],[Produto]],tProdutos[Produto],0))),DescontoPadrao)</f>
        <v>0.46969696969697</v>
      </c>
      <c r="M5954" s="12">
        <f>tItens[[#This Row],[Valor]]*(1-tItens[[#This Row],[Desconto]])</f>
        <v>943.93939393939354</v>
      </c>
      <c r="N5954" t="str">
        <f>IFERROR(INDEX(tProdutos[Foco],MATCH(tItens[[#This Row],[Produto]],tProdutos[Produto],0)),"Não")</f>
        <v>Não</v>
      </c>
      <c r="O5954" t="str">
        <f>IFERROR(INDEX(tEditais[SRP],MATCH(tItens[[#This Row],[Edital]],tEditais[Edital],0)),"Não")</f>
        <v>Não</v>
      </c>
      <c r="P5954" s="4">
        <f>IF(COUNTIFS(INDEX(tItens[Edital],1):tItens[[#This Row],[Edital]],tItens[[#This Row],[Edital]],INDEX(tItens[Produto],1):tItens[[#This Row],[Produto]],tItens[[#This Row],[Produto]])=1,1,0)</f>
        <v>1</v>
      </c>
    </row>
    <row r="5955" spans="1:16" x14ac:dyDescent="0.25">
      <c r="A5955" t="s">
        <v>2109</v>
      </c>
      <c r="B5955">
        <v>356</v>
      </c>
      <c r="C5955" t="s">
        <v>8703</v>
      </c>
      <c r="D5955" t="s">
        <v>281</v>
      </c>
      <c r="E5955" s="13">
        <v>10</v>
      </c>
      <c r="F5955" s="12">
        <v>2.95</v>
      </c>
      <c r="G5955" t="str">
        <f>IFERROR(INDEX(tEditais[Órgão],MATCH(tItens[[#This Row],[Edital]],tEditais[Edital],0)),"")</f>
        <v>MUNICIPIO DE IVAIPORA</v>
      </c>
      <c r="H5955" t="str">
        <f>IFERROR(INDEX(tEditais[UF],MATCH(tItens[[#This Row],[Edital]],tEditais[Edital],0)),"")</f>
        <v>PR</v>
      </c>
      <c r="I5955" s="11">
        <f>IFERROR(INDEX(tEditais[Encerramento],MATCH(tItens[[#This Row],[Edital]],tEditais[Edital],0)),"")</f>
        <v>46310.354166666664</v>
      </c>
      <c r="J5955" t="str">
        <f>IFERROR(INDEX(tProdutos[Classe],MATCH(tItens[[#This Row],[Produto]],tProdutos[Produto],0)),"produto não cadastrado")</f>
        <v>DISPUTADO</v>
      </c>
      <c r="K5955" s="12">
        <f>tItens[[#This Row],[Qtd]]*tItens[[#This Row],[Vlr unit]]</f>
        <v>29.5</v>
      </c>
      <c r="L5955" s="6">
        <f>IFERROR(IF(INDEX(tProdutos[Desconto homologado],MATCH(tItens[[#This Row],[Produto]],tProdutos[Produto],0))="",DescontoPadrao,INDEX(tProdutos[Desconto homologado],MATCH(tItens[[#This Row],[Produto]],tProdutos[Produto],0))),DescontoPadrao)</f>
        <v>0.42461538461538501</v>
      </c>
      <c r="M5955" s="12">
        <f>tItens[[#This Row],[Valor]]*(1-tItens[[#This Row],[Desconto]])</f>
        <v>16.973846153846139</v>
      </c>
      <c r="N5955" t="str">
        <f>IFERROR(INDEX(tProdutos[Foco],MATCH(tItens[[#This Row],[Produto]],tProdutos[Produto],0)),"Não")</f>
        <v>Não</v>
      </c>
      <c r="O5955" t="str">
        <f>IFERROR(INDEX(tEditais[SRP],MATCH(tItens[[#This Row],[Edital]],tEditais[Edital],0)),"Não")</f>
        <v>Não</v>
      </c>
      <c r="P5955" s="4">
        <f>IF(COUNTIFS(INDEX(tItens[Edital],1):tItens[[#This Row],[Edital]],tItens[[#This Row],[Edital]],INDEX(tItens[Produto],1):tItens[[#This Row],[Produto]],tItens[[#This Row],[Produto]])=1,1,0)</f>
        <v>1</v>
      </c>
    </row>
    <row r="5956" spans="1:16" x14ac:dyDescent="0.25">
      <c r="A5956" t="s">
        <v>2109</v>
      </c>
      <c r="B5956">
        <v>380</v>
      </c>
      <c r="C5956" t="s">
        <v>8704</v>
      </c>
      <c r="D5956" t="s">
        <v>114</v>
      </c>
      <c r="E5956" s="13">
        <v>100</v>
      </c>
      <c r="F5956" s="12">
        <v>8.9</v>
      </c>
      <c r="G5956" t="str">
        <f>IFERROR(INDEX(tEditais[Órgão],MATCH(tItens[[#This Row],[Edital]],tEditais[Edital],0)),"")</f>
        <v>MUNICIPIO DE IVAIPORA</v>
      </c>
      <c r="H5956" t="str">
        <f>IFERROR(INDEX(tEditais[UF],MATCH(tItens[[#This Row],[Edital]],tEditais[Edital],0)),"")</f>
        <v>PR</v>
      </c>
      <c r="I5956" s="11">
        <f>IFERROR(INDEX(tEditais[Encerramento],MATCH(tItens[[#This Row],[Edital]],tEditais[Edital],0)),"")</f>
        <v>46310.354166666664</v>
      </c>
      <c r="J5956" t="str">
        <f>IFERROR(INDEX(tProdutos[Classe],MATCH(tItens[[#This Row],[Produto]],tProdutos[Produto],0)),"produto não cadastrado")</f>
        <v>DISPUTADO</v>
      </c>
      <c r="K5956" s="12">
        <f>tItens[[#This Row],[Qtd]]*tItens[[#This Row],[Vlr unit]]</f>
        <v>890</v>
      </c>
      <c r="L5956" s="6">
        <f>IFERROR(IF(INDEX(tProdutos[Desconto homologado],MATCH(tItens[[#This Row],[Produto]],tProdutos[Produto],0))="",DescontoPadrao,INDEX(tProdutos[Desconto homologado],MATCH(tItens[[#This Row],[Produto]],tProdutos[Produto],0))),DescontoPadrao)</f>
        <v>0.24332656063896899</v>
      </c>
      <c r="M5956" s="12">
        <f>tItens[[#This Row],[Valor]]*(1-tItens[[#This Row],[Desconto]])</f>
        <v>673.43936103131762</v>
      </c>
      <c r="N5956" t="str">
        <f>IFERROR(INDEX(tProdutos[Foco],MATCH(tItens[[#This Row],[Produto]],tProdutos[Produto],0)),"Não")</f>
        <v>Não</v>
      </c>
      <c r="O5956" t="str">
        <f>IFERROR(INDEX(tEditais[SRP],MATCH(tItens[[#This Row],[Edital]],tEditais[Edital],0)),"Não")</f>
        <v>Não</v>
      </c>
      <c r="P5956" s="4">
        <f>IF(COUNTIFS(INDEX(tItens[Edital],1):tItens[[#This Row],[Edital]],tItens[[#This Row],[Edital]],INDEX(tItens[Produto],1):tItens[[#This Row],[Produto]],tItens[[#This Row],[Produto]])=1,1,0)</f>
        <v>1</v>
      </c>
    </row>
    <row r="5957" spans="1:16" x14ac:dyDescent="0.25">
      <c r="A5957" t="s">
        <v>2113</v>
      </c>
      <c r="B5957">
        <v>8</v>
      </c>
      <c r="C5957" t="s">
        <v>8705</v>
      </c>
      <c r="D5957" t="s">
        <v>71</v>
      </c>
      <c r="E5957" s="13">
        <v>50</v>
      </c>
      <c r="F5957" s="12">
        <v>26.38</v>
      </c>
      <c r="G5957" t="str">
        <f>IFERROR(INDEX(tEditais[Órgão],MATCH(tItens[[#This Row],[Edital]],tEditais[Edital],0)),"")</f>
        <v>MUNICIPIO DE FERNANDES PINHEIRO</v>
      </c>
      <c r="H5957" t="str">
        <f>IFERROR(INDEX(tEditais[UF],MATCH(tItens[[#This Row],[Edital]],tEditais[Edital],0)),"")</f>
        <v>PR</v>
      </c>
      <c r="I5957" s="11">
        <f>IFERROR(INDEX(tEditais[Encerramento],MATCH(tItens[[#This Row],[Edital]],tEditais[Edital],0)),"")</f>
        <v>46310.354166666664</v>
      </c>
      <c r="J5957" t="str">
        <f>IFERROR(INDEX(tProdutos[Classe],MATCH(tItens[[#This Row],[Produto]],tProdutos[Produto],0)),"produto não cadastrado")</f>
        <v>NÚCLEO</v>
      </c>
      <c r="K5957" s="12">
        <f>tItens[[#This Row],[Qtd]]*tItens[[#This Row],[Vlr unit]]</f>
        <v>1319</v>
      </c>
      <c r="L5957" s="6">
        <f>IFERROR(IF(INDEX(tProdutos[Desconto homologado],MATCH(tItens[[#This Row],[Produto]],tProdutos[Produto],0))="",DescontoPadrao,INDEX(tProdutos[Desconto homologado],MATCH(tItens[[#This Row],[Produto]],tProdutos[Produto],0))),DescontoPadrao)</f>
        <v>0.44981412639405199</v>
      </c>
      <c r="M5957" s="12">
        <f>tItens[[#This Row],[Valor]]*(1-tItens[[#This Row],[Desconto]])</f>
        <v>725.69516728624535</v>
      </c>
      <c r="N5957" t="str">
        <f>IFERROR(INDEX(tProdutos[Foco],MATCH(tItens[[#This Row],[Produto]],tProdutos[Produto],0)),"Não")</f>
        <v>Não</v>
      </c>
      <c r="O5957" t="str">
        <f>IFERROR(INDEX(tEditais[SRP],MATCH(tItens[[#This Row],[Edital]],tEditais[Edital],0)),"Não")</f>
        <v>Não</v>
      </c>
      <c r="P5957" s="4">
        <f>IF(COUNTIFS(INDEX(tItens[Edital],1):tItens[[#This Row],[Edital]],tItens[[#This Row],[Edital]],INDEX(tItens[Produto],1):tItens[[#This Row],[Produto]],tItens[[#This Row],[Produto]])=1,1,0)</f>
        <v>1</v>
      </c>
    </row>
    <row r="5958" spans="1:16" x14ac:dyDescent="0.25">
      <c r="A5958" t="s">
        <v>2113</v>
      </c>
      <c r="B5958">
        <v>9</v>
      </c>
      <c r="C5958" t="s">
        <v>8706</v>
      </c>
      <c r="D5958" t="s">
        <v>88</v>
      </c>
      <c r="E5958" s="13">
        <v>10</v>
      </c>
      <c r="F5958" s="12">
        <v>25.17</v>
      </c>
      <c r="G5958" t="str">
        <f>IFERROR(INDEX(tEditais[Órgão],MATCH(tItens[[#This Row],[Edital]],tEditais[Edital],0)),"")</f>
        <v>MUNICIPIO DE FERNANDES PINHEIRO</v>
      </c>
      <c r="H5958" t="str">
        <f>IFERROR(INDEX(tEditais[UF],MATCH(tItens[[#This Row],[Edital]],tEditais[Edital],0)),"")</f>
        <v>PR</v>
      </c>
      <c r="I5958" s="11">
        <f>IFERROR(INDEX(tEditais[Encerramento],MATCH(tItens[[#This Row],[Edital]],tEditais[Edital],0)),"")</f>
        <v>46310.354166666664</v>
      </c>
      <c r="J5958" t="str">
        <f>IFERROR(INDEX(tProdutos[Classe],MATCH(tItens[[#This Row],[Produto]],tProdutos[Produto],0)),"produto não cadastrado")</f>
        <v>NÚCLEO</v>
      </c>
      <c r="K5958" s="12">
        <f>tItens[[#This Row],[Qtd]]*tItens[[#This Row],[Vlr unit]]</f>
        <v>251.70000000000002</v>
      </c>
      <c r="L5958" s="6">
        <f>IFERROR(IF(INDEX(tProdutos[Desconto homologado],MATCH(tItens[[#This Row],[Produto]],tProdutos[Produto],0))="",DescontoPadrao,INDEX(tProdutos[Desconto homologado],MATCH(tItens[[#This Row],[Produto]],tProdutos[Produto],0))),DescontoPadrao)</f>
        <v>0.30251202565473001</v>
      </c>
      <c r="M5958" s="12">
        <f>tItens[[#This Row],[Valor]]*(1-tItens[[#This Row],[Desconto]])</f>
        <v>175.55772314270448</v>
      </c>
      <c r="N5958" t="str">
        <f>IFERROR(INDEX(tProdutos[Foco],MATCH(tItens[[#This Row],[Produto]],tProdutos[Produto],0)),"Não")</f>
        <v>Não</v>
      </c>
      <c r="O5958" t="str">
        <f>IFERROR(INDEX(tEditais[SRP],MATCH(tItens[[#This Row],[Edital]],tEditais[Edital],0)),"Não")</f>
        <v>Não</v>
      </c>
      <c r="P5958" s="4">
        <f>IF(COUNTIFS(INDEX(tItens[Edital],1):tItens[[#This Row],[Edital]],tItens[[#This Row],[Edital]],INDEX(tItens[Produto],1):tItens[[#This Row],[Produto]],tItens[[#This Row],[Produto]])=1,1,0)</f>
        <v>1</v>
      </c>
    </row>
    <row r="5959" spans="1:16" x14ac:dyDescent="0.25">
      <c r="A5959" t="s">
        <v>2113</v>
      </c>
      <c r="B5959">
        <v>15</v>
      </c>
      <c r="C5959" t="s">
        <v>8707</v>
      </c>
      <c r="D5959" t="s">
        <v>86</v>
      </c>
      <c r="E5959" s="13">
        <v>150</v>
      </c>
      <c r="F5959" s="12">
        <v>15.8</v>
      </c>
      <c r="G5959" t="str">
        <f>IFERROR(INDEX(tEditais[Órgão],MATCH(tItens[[#This Row],[Edital]],tEditais[Edital],0)),"")</f>
        <v>MUNICIPIO DE FERNANDES PINHEIRO</v>
      </c>
      <c r="H5959" t="str">
        <f>IFERROR(INDEX(tEditais[UF],MATCH(tItens[[#This Row],[Edital]],tEditais[Edital],0)),"")</f>
        <v>PR</v>
      </c>
      <c r="I5959" s="11">
        <f>IFERROR(INDEX(tEditais[Encerramento],MATCH(tItens[[#This Row],[Edital]],tEditais[Edital],0)),"")</f>
        <v>46310.354166666664</v>
      </c>
      <c r="J5959" t="str">
        <f>IFERROR(INDEX(tProdutos[Classe],MATCH(tItens[[#This Row],[Produto]],tProdutos[Produto],0)),"produto não cadastrado")</f>
        <v>NÚCLEO</v>
      </c>
      <c r="K5959" s="12">
        <f>tItens[[#This Row],[Qtd]]*tItens[[#This Row],[Vlr unit]]</f>
        <v>2370</v>
      </c>
      <c r="L5959" s="6">
        <f>IFERROR(IF(INDEX(tProdutos[Desconto homologado],MATCH(tItens[[#This Row],[Produto]],tProdutos[Produto],0))="",DescontoPadrao,INDEX(tProdutos[Desconto homologado],MATCH(tItens[[#This Row],[Produto]],tProdutos[Produto],0))),DescontoPadrao)</f>
        <v>0.20202020202020199</v>
      </c>
      <c r="M5959" s="12">
        <f>tItens[[#This Row],[Valor]]*(1-tItens[[#This Row],[Desconto]])</f>
        <v>1891.2121212121212</v>
      </c>
      <c r="N5959" t="str">
        <f>IFERROR(INDEX(tProdutos[Foco],MATCH(tItens[[#This Row],[Produto]],tProdutos[Produto],0)),"Não")</f>
        <v>Não</v>
      </c>
      <c r="O5959" t="str">
        <f>IFERROR(INDEX(tEditais[SRP],MATCH(tItens[[#This Row],[Edital]],tEditais[Edital],0)),"Não")</f>
        <v>Não</v>
      </c>
      <c r="P5959" s="4">
        <f>IF(COUNTIFS(INDEX(tItens[Edital],1):tItens[[#This Row],[Edital]],tItens[[#This Row],[Edital]],INDEX(tItens[Produto],1):tItens[[#This Row],[Produto]],tItens[[#This Row],[Produto]])=1,1,0)</f>
        <v>1</v>
      </c>
    </row>
    <row r="5960" spans="1:16" x14ac:dyDescent="0.25">
      <c r="A5960" t="s">
        <v>2113</v>
      </c>
      <c r="B5960">
        <v>48</v>
      </c>
      <c r="C5960" t="s">
        <v>8708</v>
      </c>
      <c r="D5960" t="s">
        <v>311</v>
      </c>
      <c r="E5960" s="13">
        <v>80</v>
      </c>
      <c r="F5960" s="12">
        <v>3.01</v>
      </c>
      <c r="G5960" t="str">
        <f>IFERROR(INDEX(tEditais[Órgão],MATCH(tItens[[#This Row],[Edital]],tEditais[Edital],0)),"")</f>
        <v>MUNICIPIO DE FERNANDES PINHEIRO</v>
      </c>
      <c r="H5960" t="str">
        <f>IFERROR(INDEX(tEditais[UF],MATCH(tItens[[#This Row],[Edital]],tEditais[Edital],0)),"")</f>
        <v>PR</v>
      </c>
      <c r="I5960" s="11">
        <f>IFERROR(INDEX(tEditais[Encerramento],MATCH(tItens[[#This Row],[Edital]],tEditais[Edital],0)),"")</f>
        <v>46310.354166666664</v>
      </c>
      <c r="J5960" t="str">
        <f>IFERROR(INDEX(tProdutos[Classe],MATCH(tItens[[#This Row],[Produto]],tProdutos[Produto],0)),"produto não cadastrado")</f>
        <v>FORA</v>
      </c>
      <c r="K5960" s="12">
        <f>tItens[[#This Row],[Qtd]]*tItens[[#This Row],[Vlr unit]]</f>
        <v>240.79999999999998</v>
      </c>
      <c r="L5960" s="6">
        <f>IFERROR(IF(INDEX(tProdutos[Desconto homologado],MATCH(tItens[[#This Row],[Produto]],tProdutos[Produto],0))="",DescontoPadrao,INDEX(tProdutos[Desconto homologado],MATCH(tItens[[#This Row],[Produto]],tProdutos[Produto],0))),DescontoPadrao)</f>
        <v>0.29046182846371399</v>
      </c>
      <c r="M5960" s="12">
        <f>tItens[[#This Row],[Valor]]*(1-tItens[[#This Row],[Desconto]])</f>
        <v>170.85679170593767</v>
      </c>
      <c r="N5960" t="str">
        <f>IFERROR(INDEX(tProdutos[Foco],MATCH(tItens[[#This Row],[Produto]],tProdutos[Produto],0)),"Não")</f>
        <v>Não</v>
      </c>
      <c r="O5960" t="str">
        <f>IFERROR(INDEX(tEditais[SRP],MATCH(tItens[[#This Row],[Edital]],tEditais[Edital],0)),"Não")</f>
        <v>Não</v>
      </c>
      <c r="P5960" s="4">
        <f>IF(COUNTIFS(INDEX(tItens[Edital],1):tItens[[#This Row],[Edital]],tItens[[#This Row],[Edital]],INDEX(tItens[Produto],1):tItens[[#This Row],[Produto]],tItens[[#This Row],[Produto]])=1,1,0)</f>
        <v>1</v>
      </c>
    </row>
    <row r="5961" spans="1:16" x14ac:dyDescent="0.25">
      <c r="A5961" t="s">
        <v>2113</v>
      </c>
      <c r="B5961">
        <v>61</v>
      </c>
      <c r="C5961" t="s">
        <v>8709</v>
      </c>
      <c r="D5961" t="s">
        <v>114</v>
      </c>
      <c r="E5961" s="13">
        <v>5</v>
      </c>
      <c r="F5961" s="12">
        <v>17.489999999999998</v>
      </c>
      <c r="G5961" t="str">
        <f>IFERROR(INDEX(tEditais[Órgão],MATCH(tItens[[#This Row],[Edital]],tEditais[Edital],0)),"")</f>
        <v>MUNICIPIO DE FERNANDES PINHEIRO</v>
      </c>
      <c r="H5961" t="str">
        <f>IFERROR(INDEX(tEditais[UF],MATCH(tItens[[#This Row],[Edital]],tEditais[Edital],0)),"")</f>
        <v>PR</v>
      </c>
      <c r="I5961" s="11">
        <f>IFERROR(INDEX(tEditais[Encerramento],MATCH(tItens[[#This Row],[Edital]],tEditais[Edital],0)),"")</f>
        <v>46310.354166666664</v>
      </c>
      <c r="J5961" t="str">
        <f>IFERROR(INDEX(tProdutos[Classe],MATCH(tItens[[#This Row],[Produto]],tProdutos[Produto],0)),"produto não cadastrado")</f>
        <v>DISPUTADO</v>
      </c>
      <c r="K5961" s="12">
        <f>tItens[[#This Row],[Qtd]]*tItens[[#This Row],[Vlr unit]]</f>
        <v>87.449999999999989</v>
      </c>
      <c r="L5961" s="6">
        <f>IFERROR(IF(INDEX(tProdutos[Desconto homologado],MATCH(tItens[[#This Row],[Produto]],tProdutos[Produto],0))="",DescontoPadrao,INDEX(tProdutos[Desconto homologado],MATCH(tItens[[#This Row],[Produto]],tProdutos[Produto],0))),DescontoPadrao)</f>
        <v>0.24332656063896899</v>
      </c>
      <c r="M5961" s="12">
        <f>tItens[[#This Row],[Valor]]*(1-tItens[[#This Row],[Desconto]])</f>
        <v>66.171092272122152</v>
      </c>
      <c r="N5961" t="str">
        <f>IFERROR(INDEX(tProdutos[Foco],MATCH(tItens[[#This Row],[Produto]],tProdutos[Produto],0)),"Não")</f>
        <v>Não</v>
      </c>
      <c r="O5961" t="str">
        <f>IFERROR(INDEX(tEditais[SRP],MATCH(tItens[[#This Row],[Edital]],tEditais[Edital],0)),"Não")</f>
        <v>Não</v>
      </c>
      <c r="P5961" s="4">
        <f>IF(COUNTIFS(INDEX(tItens[Edital],1):tItens[[#This Row],[Edital]],tItens[[#This Row],[Edital]],INDEX(tItens[Produto],1):tItens[[#This Row],[Produto]],tItens[[#This Row],[Produto]])=1,1,0)</f>
        <v>1</v>
      </c>
    </row>
    <row r="5962" spans="1:16" x14ac:dyDescent="0.25">
      <c r="A5962" t="s">
        <v>2113</v>
      </c>
      <c r="B5962">
        <v>72</v>
      </c>
      <c r="C5962" t="s">
        <v>8710</v>
      </c>
      <c r="D5962" t="s">
        <v>142</v>
      </c>
      <c r="E5962" s="13">
        <v>10</v>
      </c>
      <c r="F5962" s="12">
        <v>4.0199999999999996</v>
      </c>
      <c r="G5962" t="str">
        <f>IFERROR(INDEX(tEditais[Órgão],MATCH(tItens[[#This Row],[Edital]],tEditais[Edital],0)),"")</f>
        <v>MUNICIPIO DE FERNANDES PINHEIRO</v>
      </c>
      <c r="H5962" t="str">
        <f>IFERROR(INDEX(tEditais[UF],MATCH(tItens[[#This Row],[Edital]],tEditais[Edital],0)),"")</f>
        <v>PR</v>
      </c>
      <c r="I5962" s="11">
        <f>IFERROR(INDEX(tEditais[Encerramento],MATCH(tItens[[#This Row],[Edital]],tEditais[Edital],0)),"")</f>
        <v>46310.354166666664</v>
      </c>
      <c r="J5962" t="str">
        <f>IFERROR(INDEX(tProdutos[Classe],MATCH(tItens[[#This Row],[Produto]],tProdutos[Produto],0)),"produto não cadastrado")</f>
        <v>DISPUTADO</v>
      </c>
      <c r="K5962" s="12">
        <f>tItens[[#This Row],[Qtd]]*tItens[[#This Row],[Vlr unit]]</f>
        <v>40.199999999999996</v>
      </c>
      <c r="L5962" s="6">
        <f>IFERROR(IF(INDEX(tProdutos[Desconto homologado],MATCH(tItens[[#This Row],[Produto]],tProdutos[Produto],0))="",DescontoPadrao,INDEX(tProdutos[Desconto homologado],MATCH(tItens[[#This Row],[Produto]],tProdutos[Produto],0))),DescontoPadrao)</f>
        <v>0.37093619495691699</v>
      </c>
      <c r="M5962" s="12">
        <f>tItens[[#This Row],[Valor]]*(1-tItens[[#This Row],[Desconto]])</f>
        <v>25.288364962731933</v>
      </c>
      <c r="N5962" t="str">
        <f>IFERROR(INDEX(tProdutos[Foco],MATCH(tItens[[#This Row],[Produto]],tProdutos[Produto],0)),"Não")</f>
        <v>Não</v>
      </c>
      <c r="O5962" t="str">
        <f>IFERROR(INDEX(tEditais[SRP],MATCH(tItens[[#This Row],[Edital]],tEditais[Edital],0)),"Não")</f>
        <v>Não</v>
      </c>
      <c r="P5962" s="4">
        <f>IF(COUNTIFS(INDEX(tItens[Edital],1):tItens[[#This Row],[Edital]],tItens[[#This Row],[Edital]],INDEX(tItens[Produto],1):tItens[[#This Row],[Produto]],tItens[[#This Row],[Produto]])=1,1,0)</f>
        <v>1</v>
      </c>
    </row>
    <row r="5963" spans="1:16" x14ac:dyDescent="0.25">
      <c r="A5963" t="s">
        <v>2113</v>
      </c>
      <c r="B5963">
        <v>82</v>
      </c>
      <c r="C5963" t="s">
        <v>8711</v>
      </c>
      <c r="D5963" t="s">
        <v>411</v>
      </c>
      <c r="E5963" s="13">
        <v>100</v>
      </c>
      <c r="F5963" s="12">
        <v>32.299999999999997</v>
      </c>
      <c r="G5963" t="str">
        <f>IFERROR(INDEX(tEditais[Órgão],MATCH(tItens[[#This Row],[Edital]],tEditais[Edital],0)),"")</f>
        <v>MUNICIPIO DE FERNANDES PINHEIRO</v>
      </c>
      <c r="H5963" t="str">
        <f>IFERROR(INDEX(tEditais[UF],MATCH(tItens[[#This Row],[Edital]],tEditais[Edital],0)),"")</f>
        <v>PR</v>
      </c>
      <c r="I5963" s="11">
        <f>IFERROR(INDEX(tEditais[Encerramento],MATCH(tItens[[#This Row],[Edital]],tEditais[Edital],0)),"")</f>
        <v>46310.354166666664</v>
      </c>
      <c r="J5963" t="str">
        <f>IFERROR(INDEX(tProdutos[Classe],MATCH(tItens[[#This Row],[Produto]],tProdutos[Produto],0)),"produto não cadastrado")</f>
        <v>FORA</v>
      </c>
      <c r="K5963" s="12">
        <f>tItens[[#This Row],[Qtd]]*tItens[[#This Row],[Vlr unit]]</f>
        <v>3229.9999999999995</v>
      </c>
      <c r="L5963" s="6">
        <f>IFERROR(IF(INDEX(tProdutos[Desconto homologado],MATCH(tItens[[#This Row],[Produto]],tProdutos[Produto],0))="",DescontoPadrao,INDEX(tProdutos[Desconto homologado],MATCH(tItens[[#This Row],[Produto]],tProdutos[Produto],0))),DescontoPadrao)</f>
        <v>0.50029835957199398</v>
      </c>
      <c r="M5963" s="12">
        <f>tItens[[#This Row],[Valor]]*(1-tItens[[#This Row],[Desconto]])</f>
        <v>1614.0362985824593</v>
      </c>
      <c r="N5963" t="str">
        <f>IFERROR(INDEX(tProdutos[Foco],MATCH(tItens[[#This Row],[Produto]],tProdutos[Produto],0)),"Não")</f>
        <v>Não</v>
      </c>
      <c r="O5963" t="str">
        <f>IFERROR(INDEX(tEditais[SRP],MATCH(tItens[[#This Row],[Edital]],tEditais[Edital],0)),"Não")</f>
        <v>Não</v>
      </c>
      <c r="P5963" s="4">
        <f>IF(COUNTIFS(INDEX(tItens[Edital],1):tItens[[#This Row],[Edital]],tItens[[#This Row],[Edital]],INDEX(tItens[Produto],1):tItens[[#This Row],[Produto]],tItens[[#This Row],[Produto]])=1,1,0)</f>
        <v>1</v>
      </c>
    </row>
    <row r="5964" spans="1:16" x14ac:dyDescent="0.25">
      <c r="A5964" t="s">
        <v>2113</v>
      </c>
      <c r="B5964">
        <v>83</v>
      </c>
      <c r="C5964" t="s">
        <v>8712</v>
      </c>
      <c r="D5964" t="s">
        <v>104</v>
      </c>
      <c r="E5964" s="13">
        <v>7</v>
      </c>
      <c r="F5964" s="12">
        <v>63.1</v>
      </c>
      <c r="G5964" t="str">
        <f>IFERROR(INDEX(tEditais[Órgão],MATCH(tItens[[#This Row],[Edital]],tEditais[Edital],0)),"")</f>
        <v>MUNICIPIO DE FERNANDES PINHEIRO</v>
      </c>
      <c r="H5964" t="str">
        <f>IFERROR(INDEX(tEditais[UF],MATCH(tItens[[#This Row],[Edital]],tEditais[Edital],0)),"")</f>
        <v>PR</v>
      </c>
      <c r="I5964" s="11">
        <f>IFERROR(INDEX(tEditais[Encerramento],MATCH(tItens[[#This Row],[Edital]],tEditais[Edital],0)),"")</f>
        <v>46310.354166666664</v>
      </c>
      <c r="J5964" t="str">
        <f>IFERROR(INDEX(tProdutos[Classe],MATCH(tItens[[#This Row],[Produto]],tProdutos[Produto],0)),"produto não cadastrado")</f>
        <v>DISPUTADO</v>
      </c>
      <c r="K5964" s="12">
        <f>tItens[[#This Row],[Qtd]]*tItens[[#This Row],[Vlr unit]]</f>
        <v>441.7</v>
      </c>
      <c r="L5964" s="6">
        <f>IFERROR(IF(INDEX(tProdutos[Desconto homologado],MATCH(tItens[[#This Row],[Produto]],tProdutos[Produto],0))="",DescontoPadrao,INDEX(tProdutos[Desconto homologado],MATCH(tItens[[#This Row],[Produto]],tProdutos[Produto],0))),DescontoPadrao)</f>
        <v>0.51</v>
      </c>
      <c r="M5964" s="12">
        <f>tItens[[#This Row],[Valor]]*(1-tItens[[#This Row],[Desconto]])</f>
        <v>216.43299999999999</v>
      </c>
      <c r="N5964" t="str">
        <f>IFERROR(INDEX(tProdutos[Foco],MATCH(tItens[[#This Row],[Produto]],tProdutos[Produto],0)),"Não")</f>
        <v>Sim</v>
      </c>
      <c r="O5964" t="str">
        <f>IFERROR(INDEX(tEditais[SRP],MATCH(tItens[[#This Row],[Edital]],tEditais[Edital],0)),"Não")</f>
        <v>Não</v>
      </c>
      <c r="P5964" s="4">
        <f>IF(COUNTIFS(INDEX(tItens[Edital],1):tItens[[#This Row],[Edital]],tItens[[#This Row],[Edital]],INDEX(tItens[Produto],1):tItens[[#This Row],[Produto]],tItens[[#This Row],[Produto]])=1,1,0)</f>
        <v>1</v>
      </c>
    </row>
    <row r="5965" spans="1:16" x14ac:dyDescent="0.25">
      <c r="A5965" t="s">
        <v>2113</v>
      </c>
      <c r="B5965">
        <v>92</v>
      </c>
      <c r="C5965" t="s">
        <v>8713</v>
      </c>
      <c r="D5965" t="s">
        <v>267</v>
      </c>
      <c r="E5965" s="13">
        <v>100</v>
      </c>
      <c r="F5965" s="12">
        <v>42.12</v>
      </c>
      <c r="G5965" t="str">
        <f>IFERROR(INDEX(tEditais[Órgão],MATCH(tItens[[#This Row],[Edital]],tEditais[Edital],0)),"")</f>
        <v>MUNICIPIO DE FERNANDES PINHEIRO</v>
      </c>
      <c r="H5965" t="str">
        <f>IFERROR(INDEX(tEditais[UF],MATCH(tItens[[#This Row],[Edital]],tEditais[Edital],0)),"")</f>
        <v>PR</v>
      </c>
      <c r="I5965" s="11">
        <f>IFERROR(INDEX(tEditais[Encerramento],MATCH(tItens[[#This Row],[Edital]],tEditais[Edital],0)),"")</f>
        <v>46310.354166666664</v>
      </c>
      <c r="J5965" t="str">
        <f>IFERROR(INDEX(tProdutos[Classe],MATCH(tItens[[#This Row],[Produto]],tProdutos[Produto],0)),"produto não cadastrado")</f>
        <v>FORA</v>
      </c>
      <c r="K5965" s="12">
        <f>tItens[[#This Row],[Qtd]]*tItens[[#This Row],[Vlr unit]]</f>
        <v>4212</v>
      </c>
      <c r="L5965" s="6">
        <f>IFERROR(IF(INDEX(tProdutos[Desconto homologado],MATCH(tItens[[#This Row],[Produto]],tProdutos[Produto],0))="",DescontoPadrao,INDEX(tProdutos[Desconto homologado],MATCH(tItens[[#This Row],[Produto]],tProdutos[Produto],0))),DescontoPadrao)</f>
        <v>0.19963672657401599</v>
      </c>
      <c r="M5965" s="12">
        <f>tItens[[#This Row],[Valor]]*(1-tItens[[#This Row],[Desconto]])</f>
        <v>3371.1301076702448</v>
      </c>
      <c r="N5965" t="str">
        <f>IFERROR(INDEX(tProdutos[Foco],MATCH(tItens[[#This Row],[Produto]],tProdutos[Produto],0)),"Não")</f>
        <v>Não</v>
      </c>
      <c r="O5965" t="str">
        <f>IFERROR(INDEX(tEditais[SRP],MATCH(tItens[[#This Row],[Edital]],tEditais[Edital],0)),"Não")</f>
        <v>Não</v>
      </c>
      <c r="P5965" s="4">
        <f>IF(COUNTIFS(INDEX(tItens[Edital],1):tItens[[#This Row],[Edital]],tItens[[#This Row],[Edital]],INDEX(tItens[Produto],1):tItens[[#This Row],[Produto]],tItens[[#This Row],[Produto]])=1,1,0)</f>
        <v>1</v>
      </c>
    </row>
    <row r="5966" spans="1:16" x14ac:dyDescent="0.25">
      <c r="A5966" t="s">
        <v>2113</v>
      </c>
      <c r="B5966">
        <v>95</v>
      </c>
      <c r="C5966" t="s">
        <v>8714</v>
      </c>
      <c r="D5966" t="s">
        <v>313</v>
      </c>
      <c r="E5966" s="13">
        <v>80</v>
      </c>
      <c r="F5966" s="12">
        <v>23.28</v>
      </c>
      <c r="G5966" t="str">
        <f>IFERROR(INDEX(tEditais[Órgão],MATCH(tItens[[#This Row],[Edital]],tEditais[Edital],0)),"")</f>
        <v>MUNICIPIO DE FERNANDES PINHEIRO</v>
      </c>
      <c r="H5966" t="str">
        <f>IFERROR(INDEX(tEditais[UF],MATCH(tItens[[#This Row],[Edital]],tEditais[Edital],0)),"")</f>
        <v>PR</v>
      </c>
      <c r="I5966" s="11">
        <f>IFERROR(INDEX(tEditais[Encerramento],MATCH(tItens[[#This Row],[Edital]],tEditais[Edital],0)),"")</f>
        <v>46310.354166666664</v>
      </c>
      <c r="J5966" t="str">
        <f>IFERROR(INDEX(tProdutos[Classe],MATCH(tItens[[#This Row],[Produto]],tProdutos[Produto],0)),"produto não cadastrado")</f>
        <v>FORA</v>
      </c>
      <c r="K5966" s="12">
        <f>tItens[[#This Row],[Qtd]]*tItens[[#This Row],[Vlr unit]]</f>
        <v>1862.4</v>
      </c>
      <c r="L5966" s="6">
        <f>IFERROR(IF(INDEX(tProdutos[Desconto homologado],MATCH(tItens[[#This Row],[Produto]],tProdutos[Produto],0))="",DescontoPadrao,INDEX(tProdutos[Desconto homologado],MATCH(tItens[[#This Row],[Produto]],tProdutos[Produto],0))),DescontoPadrao)</f>
        <v>0.35766373163696302</v>
      </c>
      <c r="M5966" s="12">
        <f>tItens[[#This Row],[Valor]]*(1-tItens[[#This Row],[Desconto]])</f>
        <v>1196.28706619932</v>
      </c>
      <c r="N5966" t="str">
        <f>IFERROR(INDEX(tProdutos[Foco],MATCH(tItens[[#This Row],[Produto]],tProdutos[Produto],0)),"Não")</f>
        <v>Não</v>
      </c>
      <c r="O5966" t="str">
        <f>IFERROR(INDEX(tEditais[SRP],MATCH(tItens[[#This Row],[Edital]],tEditais[Edital],0)),"Não")</f>
        <v>Não</v>
      </c>
      <c r="P5966" s="4">
        <f>IF(COUNTIFS(INDEX(tItens[Edital],1):tItens[[#This Row],[Edital]],tItens[[#This Row],[Edital]],INDEX(tItens[Produto],1):tItens[[#This Row],[Produto]],tItens[[#This Row],[Produto]])=1,1,0)</f>
        <v>1</v>
      </c>
    </row>
    <row r="5967" spans="1:16" x14ac:dyDescent="0.25">
      <c r="A5967" t="s">
        <v>2113</v>
      </c>
      <c r="B5967">
        <v>96</v>
      </c>
      <c r="C5967" t="s">
        <v>8715</v>
      </c>
      <c r="D5967" t="s">
        <v>313</v>
      </c>
      <c r="E5967" s="13">
        <v>200</v>
      </c>
      <c r="F5967" s="12">
        <v>20.64</v>
      </c>
      <c r="G5967" t="str">
        <f>IFERROR(INDEX(tEditais[Órgão],MATCH(tItens[[#This Row],[Edital]],tEditais[Edital],0)),"")</f>
        <v>MUNICIPIO DE FERNANDES PINHEIRO</v>
      </c>
      <c r="H5967" t="str">
        <f>IFERROR(INDEX(tEditais[UF],MATCH(tItens[[#This Row],[Edital]],tEditais[Edital],0)),"")</f>
        <v>PR</v>
      </c>
      <c r="I5967" s="11">
        <f>IFERROR(INDEX(tEditais[Encerramento],MATCH(tItens[[#This Row],[Edital]],tEditais[Edital],0)),"")</f>
        <v>46310.354166666664</v>
      </c>
      <c r="J5967" t="str">
        <f>IFERROR(INDEX(tProdutos[Classe],MATCH(tItens[[#This Row],[Produto]],tProdutos[Produto],0)),"produto não cadastrado")</f>
        <v>FORA</v>
      </c>
      <c r="K5967" s="12">
        <f>tItens[[#This Row],[Qtd]]*tItens[[#This Row],[Vlr unit]]</f>
        <v>4128</v>
      </c>
      <c r="L5967" s="6">
        <f>IFERROR(IF(INDEX(tProdutos[Desconto homologado],MATCH(tItens[[#This Row],[Produto]],tProdutos[Produto],0))="",DescontoPadrao,INDEX(tProdutos[Desconto homologado],MATCH(tItens[[#This Row],[Produto]],tProdutos[Produto],0))),DescontoPadrao)</f>
        <v>0.35766373163696302</v>
      </c>
      <c r="M5967" s="12">
        <f>tItens[[#This Row],[Valor]]*(1-tItens[[#This Row],[Desconto]])</f>
        <v>2651.5641158026165</v>
      </c>
      <c r="N5967" t="str">
        <f>IFERROR(INDEX(tProdutos[Foco],MATCH(tItens[[#This Row],[Produto]],tProdutos[Produto],0)),"Não")</f>
        <v>Não</v>
      </c>
      <c r="O5967" t="str">
        <f>IFERROR(INDEX(tEditais[SRP],MATCH(tItens[[#This Row],[Edital]],tEditais[Edital],0)),"Não")</f>
        <v>Não</v>
      </c>
      <c r="P5967" s="4">
        <f>IF(COUNTIFS(INDEX(tItens[Edital],1):tItens[[#This Row],[Edital]],tItens[[#This Row],[Edital]],INDEX(tItens[Produto],1):tItens[[#This Row],[Produto]],tItens[[#This Row],[Produto]])=1,1,0)</f>
        <v>0</v>
      </c>
    </row>
    <row r="5968" spans="1:16" x14ac:dyDescent="0.25">
      <c r="A5968" t="s">
        <v>2113</v>
      </c>
      <c r="B5968">
        <v>97</v>
      </c>
      <c r="C5968" t="s">
        <v>8716</v>
      </c>
      <c r="D5968" t="s">
        <v>313</v>
      </c>
      <c r="E5968" s="13">
        <v>100</v>
      </c>
      <c r="F5968" s="12">
        <v>27.59</v>
      </c>
      <c r="G5968" t="str">
        <f>IFERROR(INDEX(tEditais[Órgão],MATCH(tItens[[#This Row],[Edital]],tEditais[Edital],0)),"")</f>
        <v>MUNICIPIO DE FERNANDES PINHEIRO</v>
      </c>
      <c r="H5968" t="str">
        <f>IFERROR(INDEX(tEditais[UF],MATCH(tItens[[#This Row],[Edital]],tEditais[Edital],0)),"")</f>
        <v>PR</v>
      </c>
      <c r="I5968" s="11">
        <f>IFERROR(INDEX(tEditais[Encerramento],MATCH(tItens[[#This Row],[Edital]],tEditais[Edital],0)),"")</f>
        <v>46310.354166666664</v>
      </c>
      <c r="J5968" t="str">
        <f>IFERROR(INDEX(tProdutos[Classe],MATCH(tItens[[#This Row],[Produto]],tProdutos[Produto],0)),"produto não cadastrado")</f>
        <v>FORA</v>
      </c>
      <c r="K5968" s="12">
        <f>tItens[[#This Row],[Qtd]]*tItens[[#This Row],[Vlr unit]]</f>
        <v>2759</v>
      </c>
      <c r="L5968" s="6">
        <f>IFERROR(IF(INDEX(tProdutos[Desconto homologado],MATCH(tItens[[#This Row],[Produto]],tProdutos[Produto],0))="",DescontoPadrao,INDEX(tProdutos[Desconto homologado],MATCH(tItens[[#This Row],[Produto]],tProdutos[Produto],0))),DescontoPadrao)</f>
        <v>0.35766373163696302</v>
      </c>
      <c r="M5968" s="12">
        <f>tItens[[#This Row],[Valor]]*(1-tItens[[#This Row],[Desconto]])</f>
        <v>1772.2057644136189</v>
      </c>
      <c r="N5968" t="str">
        <f>IFERROR(INDEX(tProdutos[Foco],MATCH(tItens[[#This Row],[Produto]],tProdutos[Produto],0)),"Não")</f>
        <v>Não</v>
      </c>
      <c r="O5968" t="str">
        <f>IFERROR(INDEX(tEditais[SRP],MATCH(tItens[[#This Row],[Edital]],tEditais[Edital],0)),"Não")</f>
        <v>Não</v>
      </c>
      <c r="P5968" s="4">
        <f>IF(COUNTIFS(INDEX(tItens[Edital],1):tItens[[#This Row],[Edital]],tItens[[#This Row],[Edital]],INDEX(tItens[Produto],1):tItens[[#This Row],[Produto]],tItens[[#This Row],[Produto]])=1,1,0)</f>
        <v>0</v>
      </c>
    </row>
    <row r="5969" spans="1:16" x14ac:dyDescent="0.25">
      <c r="A5969" t="s">
        <v>2113</v>
      </c>
      <c r="B5969">
        <v>98</v>
      </c>
      <c r="C5969" t="s">
        <v>8717</v>
      </c>
      <c r="D5969" t="s">
        <v>313</v>
      </c>
      <c r="E5969" s="13">
        <v>250</v>
      </c>
      <c r="F5969" s="12">
        <v>22.91</v>
      </c>
      <c r="G5969" t="str">
        <f>IFERROR(INDEX(tEditais[Órgão],MATCH(tItens[[#This Row],[Edital]],tEditais[Edital],0)),"")</f>
        <v>MUNICIPIO DE FERNANDES PINHEIRO</v>
      </c>
      <c r="H5969" t="str">
        <f>IFERROR(INDEX(tEditais[UF],MATCH(tItens[[#This Row],[Edital]],tEditais[Edital],0)),"")</f>
        <v>PR</v>
      </c>
      <c r="I5969" s="11">
        <f>IFERROR(INDEX(tEditais[Encerramento],MATCH(tItens[[#This Row],[Edital]],tEditais[Edital],0)),"")</f>
        <v>46310.354166666664</v>
      </c>
      <c r="J5969" t="str">
        <f>IFERROR(INDEX(tProdutos[Classe],MATCH(tItens[[#This Row],[Produto]],tProdutos[Produto],0)),"produto não cadastrado")</f>
        <v>FORA</v>
      </c>
      <c r="K5969" s="12">
        <f>tItens[[#This Row],[Qtd]]*tItens[[#This Row],[Vlr unit]]</f>
        <v>5727.5</v>
      </c>
      <c r="L5969" s="6">
        <f>IFERROR(IF(INDEX(tProdutos[Desconto homologado],MATCH(tItens[[#This Row],[Produto]],tProdutos[Produto],0))="",DescontoPadrao,INDEX(tProdutos[Desconto homologado],MATCH(tItens[[#This Row],[Produto]],tProdutos[Produto],0))),DescontoPadrao)</f>
        <v>0.35766373163696302</v>
      </c>
      <c r="M5969" s="12">
        <f>tItens[[#This Row],[Valor]]*(1-tItens[[#This Row],[Desconto]])</f>
        <v>3678.9809770492939</v>
      </c>
      <c r="N5969" t="str">
        <f>IFERROR(INDEX(tProdutos[Foco],MATCH(tItens[[#This Row],[Produto]],tProdutos[Produto],0)),"Não")</f>
        <v>Não</v>
      </c>
      <c r="O5969" t="str">
        <f>IFERROR(INDEX(tEditais[SRP],MATCH(tItens[[#This Row],[Edital]],tEditais[Edital],0)),"Não")</f>
        <v>Não</v>
      </c>
      <c r="P5969" s="4">
        <f>IF(COUNTIFS(INDEX(tItens[Edital],1):tItens[[#This Row],[Edital]],tItens[[#This Row],[Edital]],INDEX(tItens[Produto],1):tItens[[#This Row],[Produto]],tItens[[#This Row],[Produto]])=1,1,0)</f>
        <v>0</v>
      </c>
    </row>
    <row r="5970" spans="1:16" x14ac:dyDescent="0.25">
      <c r="A5970" t="s">
        <v>2113</v>
      </c>
      <c r="B5970">
        <v>99</v>
      </c>
      <c r="C5970" t="s">
        <v>8718</v>
      </c>
      <c r="D5970" t="s">
        <v>313</v>
      </c>
      <c r="E5970" s="13">
        <v>100</v>
      </c>
      <c r="F5970" s="12">
        <v>27.53</v>
      </c>
      <c r="G5970" t="str">
        <f>IFERROR(INDEX(tEditais[Órgão],MATCH(tItens[[#This Row],[Edital]],tEditais[Edital],0)),"")</f>
        <v>MUNICIPIO DE FERNANDES PINHEIRO</v>
      </c>
      <c r="H5970" t="str">
        <f>IFERROR(INDEX(tEditais[UF],MATCH(tItens[[#This Row],[Edital]],tEditais[Edital],0)),"")</f>
        <v>PR</v>
      </c>
      <c r="I5970" s="11">
        <f>IFERROR(INDEX(tEditais[Encerramento],MATCH(tItens[[#This Row],[Edital]],tEditais[Edital],0)),"")</f>
        <v>46310.354166666664</v>
      </c>
      <c r="J5970" t="str">
        <f>IFERROR(INDEX(tProdutos[Classe],MATCH(tItens[[#This Row],[Produto]],tProdutos[Produto],0)),"produto não cadastrado")</f>
        <v>FORA</v>
      </c>
      <c r="K5970" s="12">
        <f>tItens[[#This Row],[Qtd]]*tItens[[#This Row],[Vlr unit]]</f>
        <v>2753</v>
      </c>
      <c r="L5970" s="6">
        <f>IFERROR(IF(INDEX(tProdutos[Desconto homologado],MATCH(tItens[[#This Row],[Produto]],tProdutos[Produto],0))="",DescontoPadrao,INDEX(tProdutos[Desconto homologado],MATCH(tItens[[#This Row],[Produto]],tProdutos[Produto],0))),DescontoPadrao)</f>
        <v>0.35766373163696302</v>
      </c>
      <c r="M5970" s="12">
        <f>tItens[[#This Row],[Valor]]*(1-tItens[[#This Row],[Desconto]])</f>
        <v>1768.3517468034406</v>
      </c>
      <c r="N5970" t="str">
        <f>IFERROR(INDEX(tProdutos[Foco],MATCH(tItens[[#This Row],[Produto]],tProdutos[Produto],0)),"Não")</f>
        <v>Não</v>
      </c>
      <c r="O5970" t="str">
        <f>IFERROR(INDEX(tEditais[SRP],MATCH(tItens[[#This Row],[Edital]],tEditais[Edital],0)),"Não")</f>
        <v>Não</v>
      </c>
      <c r="P5970" s="4">
        <f>IF(COUNTIFS(INDEX(tItens[Edital],1):tItens[[#This Row],[Edital]],tItens[[#This Row],[Edital]],INDEX(tItens[Produto],1):tItens[[#This Row],[Produto]],tItens[[#This Row],[Produto]])=1,1,0)</f>
        <v>0</v>
      </c>
    </row>
    <row r="5971" spans="1:16" x14ac:dyDescent="0.25">
      <c r="A5971" t="s">
        <v>2113</v>
      </c>
      <c r="B5971">
        <v>108</v>
      </c>
      <c r="C5971" t="s">
        <v>8719</v>
      </c>
      <c r="D5971" t="s">
        <v>494</v>
      </c>
      <c r="E5971" s="13">
        <v>40</v>
      </c>
      <c r="F5971" s="12">
        <v>27.1</v>
      </c>
      <c r="G5971" t="str">
        <f>IFERROR(INDEX(tEditais[Órgão],MATCH(tItens[[#This Row],[Edital]],tEditais[Edital],0)),"")</f>
        <v>MUNICIPIO DE FERNANDES PINHEIRO</v>
      </c>
      <c r="H5971" t="str">
        <f>IFERROR(INDEX(tEditais[UF],MATCH(tItens[[#This Row],[Edital]],tEditais[Edital],0)),"")</f>
        <v>PR</v>
      </c>
      <c r="I5971" s="11">
        <f>IFERROR(INDEX(tEditais[Encerramento],MATCH(tItens[[#This Row],[Edital]],tEditais[Edital],0)),"")</f>
        <v>46310.354166666664</v>
      </c>
      <c r="J5971" t="str">
        <f>IFERROR(INDEX(tProdutos[Classe],MATCH(tItens[[#This Row],[Produto]],tProdutos[Produto],0)),"produto não cadastrado")</f>
        <v>FILA REBASE</v>
      </c>
      <c r="K5971" s="12">
        <f>tItens[[#This Row],[Qtd]]*tItens[[#This Row],[Vlr unit]]</f>
        <v>1084</v>
      </c>
      <c r="L5971" s="6">
        <f>IFERROR(IF(INDEX(tProdutos[Desconto homologado],MATCH(tItens[[#This Row],[Produto]],tProdutos[Produto],0))="",DescontoPadrao,INDEX(tProdutos[Desconto homologado],MATCH(tItens[[#This Row],[Produto]],tProdutos[Produto],0))),DescontoPadrao)</f>
        <v>0.253736324829619</v>
      </c>
      <c r="M5971" s="12">
        <f>tItens[[#This Row],[Valor]]*(1-tItens[[#This Row],[Desconto]])</f>
        <v>808.94982388469305</v>
      </c>
      <c r="N5971" t="str">
        <f>IFERROR(INDEX(tProdutos[Foco],MATCH(tItens[[#This Row],[Produto]],tProdutos[Produto],0)),"Não")</f>
        <v>Não</v>
      </c>
      <c r="O5971" t="str">
        <f>IFERROR(INDEX(tEditais[SRP],MATCH(tItens[[#This Row],[Edital]],tEditais[Edital],0)),"Não")</f>
        <v>Não</v>
      </c>
      <c r="P5971" s="4">
        <f>IF(COUNTIFS(INDEX(tItens[Edital],1):tItens[[#This Row],[Edital]],tItens[[#This Row],[Edital]],INDEX(tItens[Produto],1):tItens[[#This Row],[Produto]],tItens[[#This Row],[Produto]])=1,1,0)</f>
        <v>1</v>
      </c>
    </row>
    <row r="5972" spans="1:16" x14ac:dyDescent="0.25">
      <c r="A5972" t="s">
        <v>2113</v>
      </c>
      <c r="B5972">
        <v>109</v>
      </c>
      <c r="C5972" t="s">
        <v>8720</v>
      </c>
      <c r="D5972" t="s">
        <v>494</v>
      </c>
      <c r="E5972" s="13">
        <v>30</v>
      </c>
      <c r="F5972" s="12">
        <v>31.41</v>
      </c>
      <c r="G5972" t="str">
        <f>IFERROR(INDEX(tEditais[Órgão],MATCH(tItens[[#This Row],[Edital]],tEditais[Edital],0)),"")</f>
        <v>MUNICIPIO DE FERNANDES PINHEIRO</v>
      </c>
      <c r="H5972" t="str">
        <f>IFERROR(INDEX(tEditais[UF],MATCH(tItens[[#This Row],[Edital]],tEditais[Edital],0)),"")</f>
        <v>PR</v>
      </c>
      <c r="I5972" s="11">
        <f>IFERROR(INDEX(tEditais[Encerramento],MATCH(tItens[[#This Row],[Edital]],tEditais[Edital],0)),"")</f>
        <v>46310.354166666664</v>
      </c>
      <c r="J5972" t="str">
        <f>IFERROR(INDEX(tProdutos[Classe],MATCH(tItens[[#This Row],[Produto]],tProdutos[Produto],0)),"produto não cadastrado")</f>
        <v>FILA REBASE</v>
      </c>
      <c r="K5972" s="12">
        <f>tItens[[#This Row],[Qtd]]*tItens[[#This Row],[Vlr unit]]</f>
        <v>942.3</v>
      </c>
      <c r="L5972" s="6">
        <f>IFERROR(IF(INDEX(tProdutos[Desconto homologado],MATCH(tItens[[#This Row],[Produto]],tProdutos[Produto],0))="",DescontoPadrao,INDEX(tProdutos[Desconto homologado],MATCH(tItens[[#This Row],[Produto]],tProdutos[Produto],0))),DescontoPadrao)</f>
        <v>0.253736324829619</v>
      </c>
      <c r="M5972" s="12">
        <f>tItens[[#This Row],[Valor]]*(1-tItens[[#This Row],[Desconto]])</f>
        <v>703.20426111305005</v>
      </c>
      <c r="N5972" t="str">
        <f>IFERROR(INDEX(tProdutos[Foco],MATCH(tItens[[#This Row],[Produto]],tProdutos[Produto],0)),"Não")</f>
        <v>Não</v>
      </c>
      <c r="O5972" t="str">
        <f>IFERROR(INDEX(tEditais[SRP],MATCH(tItens[[#This Row],[Edital]],tEditais[Edital],0)),"Não")</f>
        <v>Não</v>
      </c>
      <c r="P5972" s="4">
        <f>IF(COUNTIFS(INDEX(tItens[Edital],1):tItens[[#This Row],[Edital]],tItens[[#This Row],[Edital]],INDEX(tItens[Produto],1):tItens[[#This Row],[Produto]],tItens[[#This Row],[Produto]])=1,1,0)</f>
        <v>0</v>
      </c>
    </row>
    <row r="5973" spans="1:16" x14ac:dyDescent="0.25">
      <c r="A5973" t="s">
        <v>2113</v>
      </c>
      <c r="B5973">
        <v>110</v>
      </c>
      <c r="C5973" t="s">
        <v>8721</v>
      </c>
      <c r="D5973" t="s">
        <v>494</v>
      </c>
      <c r="E5973" s="13">
        <v>20</v>
      </c>
      <c r="F5973" s="12">
        <v>40.049999999999997</v>
      </c>
      <c r="G5973" t="str">
        <f>IFERROR(INDEX(tEditais[Órgão],MATCH(tItens[[#This Row],[Edital]],tEditais[Edital],0)),"")</f>
        <v>MUNICIPIO DE FERNANDES PINHEIRO</v>
      </c>
      <c r="H5973" t="str">
        <f>IFERROR(INDEX(tEditais[UF],MATCH(tItens[[#This Row],[Edital]],tEditais[Edital],0)),"")</f>
        <v>PR</v>
      </c>
      <c r="I5973" s="11">
        <f>IFERROR(INDEX(tEditais[Encerramento],MATCH(tItens[[#This Row],[Edital]],tEditais[Edital],0)),"")</f>
        <v>46310.354166666664</v>
      </c>
      <c r="J5973" t="str">
        <f>IFERROR(INDEX(tProdutos[Classe],MATCH(tItens[[#This Row],[Produto]],tProdutos[Produto],0)),"produto não cadastrado")</f>
        <v>FILA REBASE</v>
      </c>
      <c r="K5973" s="12">
        <f>tItens[[#This Row],[Qtd]]*tItens[[#This Row],[Vlr unit]]</f>
        <v>801</v>
      </c>
      <c r="L5973" s="6">
        <f>IFERROR(IF(INDEX(tProdutos[Desconto homologado],MATCH(tItens[[#This Row],[Produto]],tProdutos[Produto],0))="",DescontoPadrao,INDEX(tProdutos[Desconto homologado],MATCH(tItens[[#This Row],[Produto]],tProdutos[Produto],0))),DescontoPadrao)</f>
        <v>0.253736324829619</v>
      </c>
      <c r="M5973" s="12">
        <f>tItens[[#This Row],[Valor]]*(1-tItens[[#This Row],[Desconto]])</f>
        <v>597.75720381147528</v>
      </c>
      <c r="N5973" t="str">
        <f>IFERROR(INDEX(tProdutos[Foco],MATCH(tItens[[#This Row],[Produto]],tProdutos[Produto],0)),"Não")</f>
        <v>Não</v>
      </c>
      <c r="O5973" t="str">
        <f>IFERROR(INDEX(tEditais[SRP],MATCH(tItens[[#This Row],[Edital]],tEditais[Edital],0)),"Não")</f>
        <v>Não</v>
      </c>
      <c r="P5973" s="4">
        <f>IF(COUNTIFS(INDEX(tItens[Edital],1):tItens[[#This Row],[Edital]],tItens[[#This Row],[Edital]],INDEX(tItens[Produto],1):tItens[[#This Row],[Produto]],tItens[[#This Row],[Produto]])=1,1,0)</f>
        <v>0</v>
      </c>
    </row>
    <row r="5974" spans="1:16" x14ac:dyDescent="0.25">
      <c r="A5974" t="s">
        <v>2113</v>
      </c>
      <c r="B5974">
        <v>111</v>
      </c>
      <c r="C5974" t="s">
        <v>8722</v>
      </c>
      <c r="D5974" t="s">
        <v>494</v>
      </c>
      <c r="E5974" s="13">
        <v>20</v>
      </c>
      <c r="F5974" s="12">
        <v>45.98</v>
      </c>
      <c r="G5974" t="str">
        <f>IFERROR(INDEX(tEditais[Órgão],MATCH(tItens[[#This Row],[Edital]],tEditais[Edital],0)),"")</f>
        <v>MUNICIPIO DE FERNANDES PINHEIRO</v>
      </c>
      <c r="H5974" t="str">
        <f>IFERROR(INDEX(tEditais[UF],MATCH(tItens[[#This Row],[Edital]],tEditais[Edital],0)),"")</f>
        <v>PR</v>
      </c>
      <c r="I5974" s="11">
        <f>IFERROR(INDEX(tEditais[Encerramento],MATCH(tItens[[#This Row],[Edital]],tEditais[Edital],0)),"")</f>
        <v>46310.354166666664</v>
      </c>
      <c r="J5974" t="str">
        <f>IFERROR(INDEX(tProdutos[Classe],MATCH(tItens[[#This Row],[Produto]],tProdutos[Produto],0)),"produto não cadastrado")</f>
        <v>FILA REBASE</v>
      </c>
      <c r="K5974" s="12">
        <f>tItens[[#This Row],[Qtd]]*tItens[[#This Row],[Vlr unit]]</f>
        <v>919.59999999999991</v>
      </c>
      <c r="L5974" s="6">
        <f>IFERROR(IF(INDEX(tProdutos[Desconto homologado],MATCH(tItens[[#This Row],[Produto]],tProdutos[Produto],0))="",DescontoPadrao,INDEX(tProdutos[Desconto homologado],MATCH(tItens[[#This Row],[Produto]],tProdutos[Produto],0))),DescontoPadrao)</f>
        <v>0.253736324829619</v>
      </c>
      <c r="M5974" s="12">
        <f>tItens[[#This Row],[Valor]]*(1-tItens[[#This Row],[Desconto]])</f>
        <v>686.2640756866823</v>
      </c>
      <c r="N5974" t="str">
        <f>IFERROR(INDEX(tProdutos[Foco],MATCH(tItens[[#This Row],[Produto]],tProdutos[Produto],0)),"Não")</f>
        <v>Não</v>
      </c>
      <c r="O5974" t="str">
        <f>IFERROR(INDEX(tEditais[SRP],MATCH(tItens[[#This Row],[Edital]],tEditais[Edital],0)),"Não")</f>
        <v>Não</v>
      </c>
      <c r="P5974" s="4">
        <f>IF(COUNTIFS(INDEX(tItens[Edital],1):tItens[[#This Row],[Edital]],tItens[[#This Row],[Edital]],INDEX(tItens[Produto],1):tItens[[#This Row],[Produto]],tItens[[#This Row],[Produto]])=1,1,0)</f>
        <v>0</v>
      </c>
    </row>
    <row r="5975" spans="1:16" x14ac:dyDescent="0.25">
      <c r="A5975" t="s">
        <v>2113</v>
      </c>
      <c r="B5975">
        <v>112</v>
      </c>
      <c r="C5975" t="s">
        <v>8723</v>
      </c>
      <c r="D5975" t="s">
        <v>494</v>
      </c>
      <c r="E5975" s="13">
        <v>20</v>
      </c>
      <c r="F5975" s="12">
        <v>57.73</v>
      </c>
      <c r="G5975" t="str">
        <f>IFERROR(INDEX(tEditais[Órgão],MATCH(tItens[[#This Row],[Edital]],tEditais[Edital],0)),"")</f>
        <v>MUNICIPIO DE FERNANDES PINHEIRO</v>
      </c>
      <c r="H5975" t="str">
        <f>IFERROR(INDEX(tEditais[UF],MATCH(tItens[[#This Row],[Edital]],tEditais[Edital],0)),"")</f>
        <v>PR</v>
      </c>
      <c r="I5975" s="11">
        <f>IFERROR(INDEX(tEditais[Encerramento],MATCH(tItens[[#This Row],[Edital]],tEditais[Edital],0)),"")</f>
        <v>46310.354166666664</v>
      </c>
      <c r="J5975" t="str">
        <f>IFERROR(INDEX(tProdutos[Classe],MATCH(tItens[[#This Row],[Produto]],tProdutos[Produto],0)),"produto não cadastrado")</f>
        <v>FILA REBASE</v>
      </c>
      <c r="K5975" s="12">
        <f>tItens[[#This Row],[Qtd]]*tItens[[#This Row],[Vlr unit]]</f>
        <v>1154.5999999999999</v>
      </c>
      <c r="L5975" s="6">
        <f>IFERROR(IF(INDEX(tProdutos[Desconto homologado],MATCH(tItens[[#This Row],[Produto]],tProdutos[Produto],0))="",DescontoPadrao,INDEX(tProdutos[Desconto homologado],MATCH(tItens[[#This Row],[Produto]],tProdutos[Produto],0))),DescontoPadrao)</f>
        <v>0.253736324829619</v>
      </c>
      <c r="M5975" s="12">
        <f>tItens[[#This Row],[Valor]]*(1-tItens[[#This Row],[Desconto]])</f>
        <v>861.63603935172193</v>
      </c>
      <c r="N5975" t="str">
        <f>IFERROR(INDEX(tProdutos[Foco],MATCH(tItens[[#This Row],[Produto]],tProdutos[Produto],0)),"Não")</f>
        <v>Não</v>
      </c>
      <c r="O5975" t="str">
        <f>IFERROR(INDEX(tEditais[SRP],MATCH(tItens[[#This Row],[Edital]],tEditais[Edital],0)),"Não")</f>
        <v>Não</v>
      </c>
      <c r="P5975" s="4">
        <f>IF(COUNTIFS(INDEX(tItens[Edital],1):tItens[[#This Row],[Edital]],tItens[[#This Row],[Edital]],INDEX(tItens[Produto],1):tItens[[#This Row],[Produto]],tItens[[#This Row],[Produto]])=1,1,0)</f>
        <v>0</v>
      </c>
    </row>
    <row r="5976" spans="1:16" x14ac:dyDescent="0.25">
      <c r="A5976" t="s">
        <v>2113</v>
      </c>
      <c r="B5976">
        <v>113</v>
      </c>
      <c r="C5976" t="s">
        <v>8724</v>
      </c>
      <c r="D5976" t="s">
        <v>494</v>
      </c>
      <c r="E5976" s="13">
        <v>10</v>
      </c>
      <c r="F5976" s="12">
        <v>75.37</v>
      </c>
      <c r="G5976" t="str">
        <f>IFERROR(INDEX(tEditais[Órgão],MATCH(tItens[[#This Row],[Edital]],tEditais[Edital],0)),"")</f>
        <v>MUNICIPIO DE FERNANDES PINHEIRO</v>
      </c>
      <c r="H5976" t="str">
        <f>IFERROR(INDEX(tEditais[UF],MATCH(tItens[[#This Row],[Edital]],tEditais[Edital],0)),"")</f>
        <v>PR</v>
      </c>
      <c r="I5976" s="11">
        <f>IFERROR(INDEX(tEditais[Encerramento],MATCH(tItens[[#This Row],[Edital]],tEditais[Edital],0)),"")</f>
        <v>46310.354166666664</v>
      </c>
      <c r="J5976" t="str">
        <f>IFERROR(INDEX(tProdutos[Classe],MATCH(tItens[[#This Row],[Produto]],tProdutos[Produto],0)),"produto não cadastrado")</f>
        <v>FILA REBASE</v>
      </c>
      <c r="K5976" s="12">
        <f>tItens[[#This Row],[Qtd]]*tItens[[#This Row],[Vlr unit]]</f>
        <v>753.7</v>
      </c>
      <c r="L5976" s="6">
        <f>IFERROR(IF(INDEX(tProdutos[Desconto homologado],MATCH(tItens[[#This Row],[Produto]],tProdutos[Produto],0))="",DescontoPadrao,INDEX(tProdutos[Desconto homologado],MATCH(tItens[[#This Row],[Produto]],tProdutos[Produto],0))),DescontoPadrao)</f>
        <v>0.253736324829619</v>
      </c>
      <c r="M5976" s="12">
        <f>tItens[[#This Row],[Valor]]*(1-tItens[[#This Row],[Desconto]])</f>
        <v>562.45893197591624</v>
      </c>
      <c r="N5976" t="str">
        <f>IFERROR(INDEX(tProdutos[Foco],MATCH(tItens[[#This Row],[Produto]],tProdutos[Produto],0)),"Não")</f>
        <v>Não</v>
      </c>
      <c r="O5976" t="str">
        <f>IFERROR(INDEX(tEditais[SRP],MATCH(tItens[[#This Row],[Edital]],tEditais[Edital],0)),"Não")</f>
        <v>Não</v>
      </c>
      <c r="P5976" s="4">
        <f>IF(COUNTIFS(INDEX(tItens[Edital],1):tItens[[#This Row],[Edital]],tItens[[#This Row],[Edital]],INDEX(tItens[Produto],1):tItens[[#This Row],[Produto]],tItens[[#This Row],[Produto]])=1,1,0)</f>
        <v>0</v>
      </c>
    </row>
    <row r="5977" spans="1:16" x14ac:dyDescent="0.25">
      <c r="A5977" t="s">
        <v>2113</v>
      </c>
      <c r="B5977">
        <v>136</v>
      </c>
      <c r="C5977" t="s">
        <v>8725</v>
      </c>
      <c r="D5977" t="s">
        <v>281</v>
      </c>
      <c r="E5977" s="13">
        <v>500</v>
      </c>
      <c r="F5977" s="12">
        <v>0.34</v>
      </c>
      <c r="G5977" t="str">
        <f>IFERROR(INDEX(tEditais[Órgão],MATCH(tItens[[#This Row],[Edital]],tEditais[Edital],0)),"")</f>
        <v>MUNICIPIO DE FERNANDES PINHEIRO</v>
      </c>
      <c r="H5977" t="str">
        <f>IFERROR(INDEX(tEditais[UF],MATCH(tItens[[#This Row],[Edital]],tEditais[Edital],0)),"")</f>
        <v>PR</v>
      </c>
      <c r="I5977" s="11">
        <f>IFERROR(INDEX(tEditais[Encerramento],MATCH(tItens[[#This Row],[Edital]],tEditais[Edital],0)),"")</f>
        <v>46310.354166666664</v>
      </c>
      <c r="J5977" t="str">
        <f>IFERROR(INDEX(tProdutos[Classe],MATCH(tItens[[#This Row],[Produto]],tProdutos[Produto],0)),"produto não cadastrado")</f>
        <v>DISPUTADO</v>
      </c>
      <c r="K5977" s="12">
        <f>tItens[[#This Row],[Qtd]]*tItens[[#This Row],[Vlr unit]]</f>
        <v>170</v>
      </c>
      <c r="L5977" s="6">
        <f>IFERROR(IF(INDEX(tProdutos[Desconto homologado],MATCH(tItens[[#This Row],[Produto]],tProdutos[Produto],0))="",DescontoPadrao,INDEX(tProdutos[Desconto homologado],MATCH(tItens[[#This Row],[Produto]],tProdutos[Produto],0))),DescontoPadrao)</f>
        <v>0.42461538461538501</v>
      </c>
      <c r="M5977" s="12">
        <f>tItens[[#This Row],[Valor]]*(1-tItens[[#This Row],[Desconto]])</f>
        <v>97.815384615384545</v>
      </c>
      <c r="N5977" t="str">
        <f>IFERROR(INDEX(tProdutos[Foco],MATCH(tItens[[#This Row],[Produto]],tProdutos[Produto],0)),"Não")</f>
        <v>Não</v>
      </c>
      <c r="O5977" t="str">
        <f>IFERROR(INDEX(tEditais[SRP],MATCH(tItens[[#This Row],[Edital]],tEditais[Edital],0)),"Não")</f>
        <v>Não</v>
      </c>
      <c r="P5977" s="4">
        <f>IF(COUNTIFS(INDEX(tItens[Edital],1):tItens[[#This Row],[Edital]],tItens[[#This Row],[Edital]],INDEX(tItens[Produto],1):tItens[[#This Row],[Produto]],tItens[[#This Row],[Produto]])=1,1,0)</f>
        <v>1</v>
      </c>
    </row>
    <row r="5978" spans="1:16" x14ac:dyDescent="0.25">
      <c r="A5978" t="s">
        <v>2113</v>
      </c>
      <c r="B5978">
        <v>149</v>
      </c>
      <c r="C5978" t="s">
        <v>8726</v>
      </c>
      <c r="D5978" t="s">
        <v>114</v>
      </c>
      <c r="E5978" s="13">
        <v>70</v>
      </c>
      <c r="F5978" s="12">
        <v>5.86</v>
      </c>
      <c r="G5978" t="str">
        <f>IFERROR(INDEX(tEditais[Órgão],MATCH(tItens[[#This Row],[Edital]],tEditais[Edital],0)),"")</f>
        <v>MUNICIPIO DE FERNANDES PINHEIRO</v>
      </c>
      <c r="H5978" t="str">
        <f>IFERROR(INDEX(tEditais[UF],MATCH(tItens[[#This Row],[Edital]],tEditais[Edital],0)),"")</f>
        <v>PR</v>
      </c>
      <c r="I5978" s="11">
        <f>IFERROR(INDEX(tEditais[Encerramento],MATCH(tItens[[#This Row],[Edital]],tEditais[Edital],0)),"")</f>
        <v>46310.354166666664</v>
      </c>
      <c r="J5978" t="str">
        <f>IFERROR(INDEX(tProdutos[Classe],MATCH(tItens[[#This Row],[Produto]],tProdutos[Produto],0)),"produto não cadastrado")</f>
        <v>DISPUTADO</v>
      </c>
      <c r="K5978" s="12">
        <f>tItens[[#This Row],[Qtd]]*tItens[[#This Row],[Vlr unit]]</f>
        <v>410.20000000000005</v>
      </c>
      <c r="L5978" s="6">
        <f>IFERROR(IF(INDEX(tProdutos[Desconto homologado],MATCH(tItens[[#This Row],[Produto]],tProdutos[Produto],0))="",DescontoPadrao,INDEX(tProdutos[Desconto homologado],MATCH(tItens[[#This Row],[Produto]],tProdutos[Produto],0))),DescontoPadrao)</f>
        <v>0.24332656063896899</v>
      </c>
      <c r="M5978" s="12">
        <f>tItens[[#This Row],[Valor]]*(1-tItens[[#This Row],[Desconto]])</f>
        <v>310.38744482589499</v>
      </c>
      <c r="N5978" t="str">
        <f>IFERROR(INDEX(tProdutos[Foco],MATCH(tItens[[#This Row],[Produto]],tProdutos[Produto],0)),"Não")</f>
        <v>Não</v>
      </c>
      <c r="O5978" t="str">
        <f>IFERROR(INDEX(tEditais[SRP],MATCH(tItens[[#This Row],[Edital]],tEditais[Edital],0)),"Não")</f>
        <v>Não</v>
      </c>
      <c r="P5978" s="4">
        <f>IF(COUNTIFS(INDEX(tItens[Edital],1):tItens[[#This Row],[Edital]],tItens[[#This Row],[Edital]],INDEX(tItens[Produto],1):tItens[[#This Row],[Produto]],tItens[[#This Row],[Produto]])=1,1,0)</f>
        <v>0</v>
      </c>
    </row>
    <row r="5979" spans="1:16" x14ac:dyDescent="0.25">
      <c r="A5979" t="s">
        <v>2113</v>
      </c>
      <c r="B5979">
        <v>156</v>
      </c>
      <c r="C5979" t="s">
        <v>8727</v>
      </c>
      <c r="D5979" t="s">
        <v>267</v>
      </c>
      <c r="E5979" s="13">
        <v>20</v>
      </c>
      <c r="F5979" s="12">
        <v>23.71</v>
      </c>
      <c r="G5979" t="str">
        <f>IFERROR(INDEX(tEditais[Órgão],MATCH(tItens[[#This Row],[Edital]],tEditais[Edital],0)),"")</f>
        <v>MUNICIPIO DE FERNANDES PINHEIRO</v>
      </c>
      <c r="H5979" t="str">
        <f>IFERROR(INDEX(tEditais[UF],MATCH(tItens[[#This Row],[Edital]],tEditais[Edital],0)),"")</f>
        <v>PR</v>
      </c>
      <c r="I5979" s="11">
        <f>IFERROR(INDEX(tEditais[Encerramento],MATCH(tItens[[#This Row],[Edital]],tEditais[Edital],0)),"")</f>
        <v>46310.354166666664</v>
      </c>
      <c r="J5979" t="str">
        <f>IFERROR(INDEX(tProdutos[Classe],MATCH(tItens[[#This Row],[Produto]],tProdutos[Produto],0)),"produto não cadastrado")</f>
        <v>FORA</v>
      </c>
      <c r="K5979" s="12">
        <f>tItens[[#This Row],[Qtd]]*tItens[[#This Row],[Vlr unit]]</f>
        <v>474.20000000000005</v>
      </c>
      <c r="L5979" s="6">
        <f>IFERROR(IF(INDEX(tProdutos[Desconto homologado],MATCH(tItens[[#This Row],[Produto]],tProdutos[Produto],0))="",DescontoPadrao,INDEX(tProdutos[Desconto homologado],MATCH(tItens[[#This Row],[Produto]],tProdutos[Produto],0))),DescontoPadrao)</f>
        <v>0.19963672657401599</v>
      </c>
      <c r="M5979" s="12">
        <f>tItens[[#This Row],[Valor]]*(1-tItens[[#This Row],[Desconto]])</f>
        <v>379.53226425860163</v>
      </c>
      <c r="N5979" t="str">
        <f>IFERROR(INDEX(tProdutos[Foco],MATCH(tItens[[#This Row],[Produto]],tProdutos[Produto],0)),"Não")</f>
        <v>Não</v>
      </c>
      <c r="O5979" t="str">
        <f>IFERROR(INDEX(tEditais[SRP],MATCH(tItens[[#This Row],[Edital]],tEditais[Edital],0)),"Não")</f>
        <v>Não</v>
      </c>
      <c r="P5979" s="4">
        <f>IF(COUNTIFS(INDEX(tItens[Edital],1):tItens[[#This Row],[Edital]],tItens[[#This Row],[Edital]],INDEX(tItens[Produto],1):tItens[[#This Row],[Produto]],tItens[[#This Row],[Produto]])=1,1,0)</f>
        <v>0</v>
      </c>
    </row>
    <row r="5980" spans="1:16" x14ac:dyDescent="0.25">
      <c r="A5980" t="s">
        <v>2113</v>
      </c>
      <c r="B5980">
        <v>179</v>
      </c>
      <c r="C5980" t="s">
        <v>8728</v>
      </c>
      <c r="D5980" t="s">
        <v>343</v>
      </c>
      <c r="E5980" s="13">
        <v>100</v>
      </c>
      <c r="F5980" s="12">
        <v>1.05</v>
      </c>
      <c r="G5980" t="str">
        <f>IFERROR(INDEX(tEditais[Órgão],MATCH(tItens[[#This Row],[Edital]],tEditais[Edital],0)),"")</f>
        <v>MUNICIPIO DE FERNANDES PINHEIRO</v>
      </c>
      <c r="H5980" t="str">
        <f>IFERROR(INDEX(tEditais[UF],MATCH(tItens[[#This Row],[Edital]],tEditais[Edital],0)),"")</f>
        <v>PR</v>
      </c>
      <c r="I5980" s="11">
        <f>IFERROR(INDEX(tEditais[Encerramento],MATCH(tItens[[#This Row],[Edital]],tEditais[Edital],0)),"")</f>
        <v>46310.354166666664</v>
      </c>
      <c r="J5980" t="str">
        <f>IFERROR(INDEX(tProdutos[Classe],MATCH(tItens[[#This Row],[Produto]],tProdutos[Produto],0)),"produto não cadastrado")</f>
        <v>FORA</v>
      </c>
      <c r="K5980" s="12">
        <f>tItens[[#This Row],[Qtd]]*tItens[[#This Row],[Vlr unit]]</f>
        <v>105</v>
      </c>
      <c r="L5980" s="6">
        <f>IFERROR(IF(INDEX(tProdutos[Desconto homologado],MATCH(tItens[[#This Row],[Produto]],tProdutos[Produto],0))="",DescontoPadrao,INDEX(tProdutos[Desconto homologado],MATCH(tItens[[#This Row],[Produto]],tProdutos[Produto],0))),DescontoPadrao)</f>
        <v>0.35412234042553198</v>
      </c>
      <c r="M5980" s="12">
        <f>tItens[[#This Row],[Valor]]*(1-tItens[[#This Row],[Desconto]])</f>
        <v>67.817154255319139</v>
      </c>
      <c r="N5980" t="str">
        <f>IFERROR(INDEX(tProdutos[Foco],MATCH(tItens[[#This Row],[Produto]],tProdutos[Produto],0)),"Não")</f>
        <v>Não</v>
      </c>
      <c r="O5980" t="str">
        <f>IFERROR(INDEX(tEditais[SRP],MATCH(tItens[[#This Row],[Edital]],tEditais[Edital],0)),"Não")</f>
        <v>Não</v>
      </c>
      <c r="P5980" s="4">
        <f>IF(COUNTIFS(INDEX(tItens[Edital],1):tItens[[#This Row],[Edital]],tItens[[#This Row],[Edital]],INDEX(tItens[Produto],1):tItens[[#This Row],[Produto]],tItens[[#This Row],[Produto]])=1,1,0)</f>
        <v>1</v>
      </c>
    </row>
    <row r="5981" spans="1:16" x14ac:dyDescent="0.25">
      <c r="A5981" t="s">
        <v>2117</v>
      </c>
      <c r="B5981">
        <v>42</v>
      </c>
      <c r="C5981" t="s">
        <v>8729</v>
      </c>
      <c r="D5981" t="s">
        <v>530</v>
      </c>
      <c r="E5981" s="13">
        <v>15</v>
      </c>
      <c r="F5981" s="12">
        <v>9.51</v>
      </c>
      <c r="G5981" t="str">
        <f>IFERROR(INDEX(tEditais[Órgão],MATCH(tItens[[#This Row],[Edital]],tEditais[Edital],0)),"")</f>
        <v>MUNICIPIO DE CAMPO MOURAO</v>
      </c>
      <c r="H5981" t="str">
        <f>IFERROR(INDEX(tEditais[UF],MATCH(tItens[[#This Row],[Edital]],tEditais[Edital],0)),"")</f>
        <v>PR</v>
      </c>
      <c r="I5981" s="11">
        <f>IFERROR(INDEX(tEditais[Encerramento],MATCH(tItens[[#This Row],[Edital]],tEditais[Edital],0)),"")</f>
        <v>46310.374305555553</v>
      </c>
      <c r="J5981" t="str">
        <f>IFERROR(INDEX(tProdutos[Classe],MATCH(tItens[[#This Row],[Produto]],tProdutos[Produto],0)),"produto não cadastrado")</f>
        <v>FILA REBASE</v>
      </c>
      <c r="K5981" s="12">
        <f>tItens[[#This Row],[Qtd]]*tItens[[#This Row],[Vlr unit]]</f>
        <v>142.65</v>
      </c>
      <c r="L5981" s="6">
        <f>IFERROR(IF(INDEX(tProdutos[Desconto homologado],MATCH(tItens[[#This Row],[Produto]],tProdutos[Produto],0))="",DescontoPadrao,INDEX(tProdutos[Desconto homologado],MATCH(tItens[[#This Row],[Produto]],tProdutos[Produto],0))),DescontoPadrao)</f>
        <v>0.457328385899815</v>
      </c>
      <c r="M5981" s="12">
        <f>tItens[[#This Row],[Valor]]*(1-tItens[[#This Row],[Desconto]])</f>
        <v>77.412105751391394</v>
      </c>
      <c r="N5981" t="str">
        <f>IFERROR(INDEX(tProdutos[Foco],MATCH(tItens[[#This Row],[Produto]],tProdutos[Produto],0)),"Não")</f>
        <v>Não</v>
      </c>
      <c r="O5981" t="str">
        <f>IFERROR(INDEX(tEditais[SRP],MATCH(tItens[[#This Row],[Edital]],tEditais[Edital],0)),"Não")</f>
        <v>Não</v>
      </c>
      <c r="P5981" s="4">
        <f>IF(COUNTIFS(INDEX(tItens[Edital],1):tItens[[#This Row],[Edital]],tItens[[#This Row],[Edital]],INDEX(tItens[Produto],1):tItens[[#This Row],[Produto]],tItens[[#This Row],[Produto]])=1,1,0)</f>
        <v>1</v>
      </c>
    </row>
    <row r="5982" spans="1:16" x14ac:dyDescent="0.25">
      <c r="A5982" t="s">
        <v>2121</v>
      </c>
      <c r="B5982">
        <v>5</v>
      </c>
      <c r="C5982" t="s">
        <v>8730</v>
      </c>
      <c r="D5982" t="s">
        <v>521</v>
      </c>
      <c r="E5982" s="13">
        <v>305</v>
      </c>
      <c r="F5982" s="12">
        <v>19.89</v>
      </c>
      <c r="G5982" t="str">
        <f>IFERROR(INDEX(tEditais[Órgão],MATCH(tItens[[#This Row],[Edital]],tEditais[Edital],0)),"")</f>
        <v>FUNDO ESTADUAL DE SAUDE DO PARANA - FUNSAUDE</v>
      </c>
      <c r="H5982" t="str">
        <f>IFERROR(INDEX(tEditais[UF],MATCH(tItens[[#This Row],[Edital]],tEditais[Edital],0)),"")</f>
        <v>PR</v>
      </c>
      <c r="I5982" s="11">
        <f>IFERROR(INDEX(tEditais[Encerramento],MATCH(tItens[[#This Row],[Edital]],tEditais[Edital],0)),"")</f>
        <v>46310.375</v>
      </c>
      <c r="J5982" t="str">
        <f>IFERROR(INDEX(tProdutos[Classe],MATCH(tItens[[#This Row],[Produto]],tProdutos[Produto],0)),"produto não cadastrado")</f>
        <v>FILA REBASE</v>
      </c>
      <c r="K5982" s="12">
        <f>tItens[[#This Row],[Qtd]]*tItens[[#This Row],[Vlr unit]]</f>
        <v>6066.45</v>
      </c>
      <c r="L5982" s="6">
        <f>IFERROR(IF(INDEX(tProdutos[Desconto homologado],MATCH(tItens[[#This Row],[Produto]],tProdutos[Produto],0))="",DescontoPadrao,INDEX(tProdutos[Desconto homologado],MATCH(tItens[[#This Row],[Produto]],tProdutos[Produto],0))),DescontoPadrao)</f>
        <v>0.20254361398888801</v>
      </c>
      <c r="M5982" s="12">
        <f>tItens[[#This Row],[Valor]]*(1-tItens[[#This Row],[Desconto]])</f>
        <v>4837.7292929171108</v>
      </c>
      <c r="N5982" t="str">
        <f>IFERROR(INDEX(tProdutos[Foco],MATCH(tItens[[#This Row],[Produto]],tProdutos[Produto],0)),"Não")</f>
        <v>Não</v>
      </c>
      <c r="O5982" t="str">
        <f>IFERROR(INDEX(tEditais[SRP],MATCH(tItens[[#This Row],[Edital]],tEditais[Edital],0)),"Não")</f>
        <v>Sim</v>
      </c>
      <c r="P5982" s="4">
        <f>IF(COUNTIFS(INDEX(tItens[Edital],1):tItens[[#This Row],[Edital]],tItens[[#This Row],[Edital]],INDEX(tItens[Produto],1):tItens[[#This Row],[Produto]],tItens[[#This Row],[Produto]])=1,1,0)</f>
        <v>1</v>
      </c>
    </row>
    <row r="5983" spans="1:16" x14ac:dyDescent="0.25">
      <c r="A5983" t="s">
        <v>2121</v>
      </c>
      <c r="B5983">
        <v>6</v>
      </c>
      <c r="C5983" t="s">
        <v>8731</v>
      </c>
      <c r="D5983" t="s">
        <v>521</v>
      </c>
      <c r="E5983" s="13">
        <v>280</v>
      </c>
      <c r="F5983" s="12">
        <v>19.3</v>
      </c>
      <c r="G5983" t="str">
        <f>IFERROR(INDEX(tEditais[Órgão],MATCH(tItens[[#This Row],[Edital]],tEditais[Edital],0)),"")</f>
        <v>FUNDO ESTADUAL DE SAUDE DO PARANA - FUNSAUDE</v>
      </c>
      <c r="H5983" t="str">
        <f>IFERROR(INDEX(tEditais[UF],MATCH(tItens[[#This Row],[Edital]],tEditais[Edital],0)),"")</f>
        <v>PR</v>
      </c>
      <c r="I5983" s="11">
        <f>IFERROR(INDEX(tEditais[Encerramento],MATCH(tItens[[#This Row],[Edital]],tEditais[Edital],0)),"")</f>
        <v>46310.375</v>
      </c>
      <c r="J5983" t="str">
        <f>IFERROR(INDEX(tProdutos[Classe],MATCH(tItens[[#This Row],[Produto]],tProdutos[Produto],0)),"produto não cadastrado")</f>
        <v>FILA REBASE</v>
      </c>
      <c r="K5983" s="12">
        <f>tItens[[#This Row],[Qtd]]*tItens[[#This Row],[Vlr unit]]</f>
        <v>5404</v>
      </c>
      <c r="L5983" s="6">
        <f>IFERROR(IF(INDEX(tProdutos[Desconto homologado],MATCH(tItens[[#This Row],[Produto]],tProdutos[Produto],0))="",DescontoPadrao,INDEX(tProdutos[Desconto homologado],MATCH(tItens[[#This Row],[Produto]],tProdutos[Produto],0))),DescontoPadrao)</f>
        <v>0.20254361398888801</v>
      </c>
      <c r="M5983" s="12">
        <f>tItens[[#This Row],[Valor]]*(1-tItens[[#This Row],[Desconto]])</f>
        <v>4309.4543100040491</v>
      </c>
      <c r="N5983" t="str">
        <f>IFERROR(INDEX(tProdutos[Foco],MATCH(tItens[[#This Row],[Produto]],tProdutos[Produto],0)),"Não")</f>
        <v>Não</v>
      </c>
      <c r="O5983" t="str">
        <f>IFERROR(INDEX(tEditais[SRP],MATCH(tItens[[#This Row],[Edital]],tEditais[Edital],0)),"Não")</f>
        <v>Sim</v>
      </c>
      <c r="P5983" s="4">
        <f>IF(COUNTIFS(INDEX(tItens[Edital],1):tItens[[#This Row],[Edital]],tItens[[#This Row],[Edital]],INDEX(tItens[Produto],1):tItens[[#This Row],[Produto]],tItens[[#This Row],[Produto]])=1,1,0)</f>
        <v>0</v>
      </c>
    </row>
    <row r="5984" spans="1:16" x14ac:dyDescent="0.25">
      <c r="A5984" t="s">
        <v>2121</v>
      </c>
      <c r="B5984">
        <v>7</v>
      </c>
      <c r="C5984" t="s">
        <v>8732</v>
      </c>
      <c r="D5984" t="s">
        <v>521</v>
      </c>
      <c r="E5984" s="13">
        <v>295</v>
      </c>
      <c r="F5984" s="12">
        <v>17.649999999999999</v>
      </c>
      <c r="G5984" t="str">
        <f>IFERROR(INDEX(tEditais[Órgão],MATCH(tItens[[#This Row],[Edital]],tEditais[Edital],0)),"")</f>
        <v>FUNDO ESTADUAL DE SAUDE DO PARANA - FUNSAUDE</v>
      </c>
      <c r="H5984" t="str">
        <f>IFERROR(INDEX(tEditais[UF],MATCH(tItens[[#This Row],[Edital]],tEditais[Edital],0)),"")</f>
        <v>PR</v>
      </c>
      <c r="I5984" s="11">
        <f>IFERROR(INDEX(tEditais[Encerramento],MATCH(tItens[[#This Row],[Edital]],tEditais[Edital],0)),"")</f>
        <v>46310.375</v>
      </c>
      <c r="J5984" t="str">
        <f>IFERROR(INDEX(tProdutos[Classe],MATCH(tItens[[#This Row],[Produto]],tProdutos[Produto],0)),"produto não cadastrado")</f>
        <v>FILA REBASE</v>
      </c>
      <c r="K5984" s="12">
        <f>tItens[[#This Row],[Qtd]]*tItens[[#This Row],[Vlr unit]]</f>
        <v>5206.75</v>
      </c>
      <c r="L5984" s="6">
        <f>IFERROR(IF(INDEX(tProdutos[Desconto homologado],MATCH(tItens[[#This Row],[Produto]],tProdutos[Produto],0))="",DescontoPadrao,INDEX(tProdutos[Desconto homologado],MATCH(tItens[[#This Row],[Produto]],tProdutos[Produto],0))),DescontoPadrao)</f>
        <v>0.20254361398888801</v>
      </c>
      <c r="M5984" s="12">
        <f>tItens[[#This Row],[Valor]]*(1-tItens[[#This Row],[Desconto]])</f>
        <v>4152.1560378633576</v>
      </c>
      <c r="N5984" t="str">
        <f>IFERROR(INDEX(tProdutos[Foco],MATCH(tItens[[#This Row],[Produto]],tProdutos[Produto],0)),"Não")</f>
        <v>Não</v>
      </c>
      <c r="O5984" t="str">
        <f>IFERROR(INDEX(tEditais[SRP],MATCH(tItens[[#This Row],[Edital]],tEditais[Edital],0)),"Não")</f>
        <v>Sim</v>
      </c>
      <c r="P5984" s="4">
        <f>IF(COUNTIFS(INDEX(tItens[Edital],1):tItens[[#This Row],[Edital]],tItens[[#This Row],[Edital]],INDEX(tItens[Produto],1):tItens[[#This Row],[Produto]],tItens[[#This Row],[Produto]])=1,1,0)</f>
        <v>0</v>
      </c>
    </row>
    <row r="5985" spans="1:16" x14ac:dyDescent="0.25">
      <c r="A5985" t="s">
        <v>2124</v>
      </c>
      <c r="B5985">
        <v>4</v>
      </c>
      <c r="C5985" t="s">
        <v>7387</v>
      </c>
      <c r="D5985" t="s">
        <v>299</v>
      </c>
      <c r="E5985" s="13">
        <v>2578725</v>
      </c>
      <c r="F5985" s="12">
        <v>0.44</v>
      </c>
      <c r="G5985" t="str">
        <f>IFERROR(INDEX(tEditais[Órgão],MATCH(tItens[[#This Row],[Edital]],tEditais[Edital],0)),"")</f>
        <v>FUNDO ESTADUAL DE SAUDE DO PARANA - FUNSAUDE</v>
      </c>
      <c r="H5985" t="str">
        <f>IFERROR(INDEX(tEditais[UF],MATCH(tItens[[#This Row],[Edital]],tEditais[Edital],0)),"")</f>
        <v>PR</v>
      </c>
      <c r="I5985" s="11">
        <f>IFERROR(INDEX(tEditais[Encerramento],MATCH(tItens[[#This Row],[Edital]],tEditais[Edital],0)),"")</f>
        <v>46310.375</v>
      </c>
      <c r="J5985" t="str">
        <f>IFERROR(INDEX(tProdutos[Classe],MATCH(tItens[[#This Row],[Produto]],tProdutos[Produto],0)),"produto não cadastrado")</f>
        <v>FORA</v>
      </c>
      <c r="K5985" s="12">
        <f>tItens[[#This Row],[Qtd]]*tItens[[#This Row],[Vlr unit]]</f>
        <v>1134639</v>
      </c>
      <c r="L5985" s="6">
        <f>IFERROR(IF(INDEX(tProdutos[Desconto homologado],MATCH(tItens[[#This Row],[Produto]],tProdutos[Produto],0))="",DescontoPadrao,INDEX(tProdutos[Desconto homologado],MATCH(tItens[[#This Row],[Produto]],tProdutos[Produto],0))),DescontoPadrao)</f>
        <v>0.42211465163381601</v>
      </c>
      <c r="M5985" s="12">
        <f>tItens[[#This Row],[Valor]]*(1-tItens[[#This Row],[Desconto]])</f>
        <v>655691.25378485862</v>
      </c>
      <c r="N5985" t="str">
        <f>IFERROR(INDEX(tProdutos[Foco],MATCH(tItens[[#This Row],[Produto]],tProdutos[Produto],0)),"Não")</f>
        <v>Não</v>
      </c>
      <c r="O5985" t="str">
        <f>IFERROR(INDEX(tEditais[SRP],MATCH(tItens[[#This Row],[Edital]],tEditais[Edital],0)),"Não")</f>
        <v>Sim</v>
      </c>
      <c r="P5985" s="4">
        <f>IF(COUNTIFS(INDEX(tItens[Edital],1):tItens[[#This Row],[Edital]],tItens[[#This Row],[Edital]],INDEX(tItens[Produto],1):tItens[[#This Row],[Produto]],tItens[[#This Row],[Produto]])=1,1,0)</f>
        <v>1</v>
      </c>
    </row>
    <row r="5986" spans="1:16" x14ac:dyDescent="0.25">
      <c r="A5986" t="s">
        <v>2124</v>
      </c>
      <c r="B5986">
        <v>5</v>
      </c>
      <c r="C5986" t="s">
        <v>7387</v>
      </c>
      <c r="D5986" t="s">
        <v>299</v>
      </c>
      <c r="E5986" s="13">
        <v>859575</v>
      </c>
      <c r="F5986" s="12">
        <v>0.44</v>
      </c>
      <c r="G5986" t="str">
        <f>IFERROR(INDEX(tEditais[Órgão],MATCH(tItens[[#This Row],[Edital]],tEditais[Edital],0)),"")</f>
        <v>FUNDO ESTADUAL DE SAUDE DO PARANA - FUNSAUDE</v>
      </c>
      <c r="H5986" t="str">
        <f>IFERROR(INDEX(tEditais[UF],MATCH(tItens[[#This Row],[Edital]],tEditais[Edital],0)),"")</f>
        <v>PR</v>
      </c>
      <c r="I5986" s="11">
        <f>IFERROR(INDEX(tEditais[Encerramento],MATCH(tItens[[#This Row],[Edital]],tEditais[Edital],0)),"")</f>
        <v>46310.375</v>
      </c>
      <c r="J5986" t="str">
        <f>IFERROR(INDEX(tProdutos[Classe],MATCH(tItens[[#This Row],[Produto]],tProdutos[Produto],0)),"produto não cadastrado")</f>
        <v>FORA</v>
      </c>
      <c r="K5986" s="12">
        <f>tItens[[#This Row],[Qtd]]*tItens[[#This Row],[Vlr unit]]</f>
        <v>378213</v>
      </c>
      <c r="L5986" s="6">
        <f>IFERROR(IF(INDEX(tProdutos[Desconto homologado],MATCH(tItens[[#This Row],[Produto]],tProdutos[Produto],0))="",DescontoPadrao,INDEX(tProdutos[Desconto homologado],MATCH(tItens[[#This Row],[Produto]],tProdutos[Produto],0))),DescontoPadrao)</f>
        <v>0.42211465163381601</v>
      </c>
      <c r="M5986" s="12">
        <f>tItens[[#This Row],[Valor]]*(1-tItens[[#This Row],[Desconto]])</f>
        <v>218563.75126161956</v>
      </c>
      <c r="N5986" t="str">
        <f>IFERROR(INDEX(tProdutos[Foco],MATCH(tItens[[#This Row],[Produto]],tProdutos[Produto],0)),"Não")</f>
        <v>Não</v>
      </c>
      <c r="O5986" t="str">
        <f>IFERROR(INDEX(tEditais[SRP],MATCH(tItens[[#This Row],[Edital]],tEditais[Edital],0)),"Não")</f>
        <v>Sim</v>
      </c>
      <c r="P5986" s="4">
        <f>IF(COUNTIFS(INDEX(tItens[Edital],1):tItens[[#This Row],[Edital]],tItens[[#This Row],[Edital]],INDEX(tItens[Produto],1):tItens[[#This Row],[Produto]],tItens[[#This Row],[Produto]])=1,1,0)</f>
        <v>0</v>
      </c>
    </row>
    <row r="5987" spans="1:16" x14ac:dyDescent="0.25">
      <c r="A5987" t="s">
        <v>2124</v>
      </c>
      <c r="B5987">
        <v>12</v>
      </c>
      <c r="C5987" t="s">
        <v>8733</v>
      </c>
      <c r="D5987" t="s">
        <v>299</v>
      </c>
      <c r="E5987" s="13">
        <v>520</v>
      </c>
      <c r="F5987" s="12">
        <v>46.13</v>
      </c>
      <c r="G5987" t="str">
        <f>IFERROR(INDEX(tEditais[Órgão],MATCH(tItens[[#This Row],[Edital]],tEditais[Edital],0)),"")</f>
        <v>FUNDO ESTADUAL DE SAUDE DO PARANA - FUNSAUDE</v>
      </c>
      <c r="H5987" t="str">
        <f>IFERROR(INDEX(tEditais[UF],MATCH(tItens[[#This Row],[Edital]],tEditais[Edital],0)),"")</f>
        <v>PR</v>
      </c>
      <c r="I5987" s="11">
        <f>IFERROR(INDEX(tEditais[Encerramento],MATCH(tItens[[#This Row],[Edital]],tEditais[Edital],0)),"")</f>
        <v>46310.375</v>
      </c>
      <c r="J5987" t="str">
        <f>IFERROR(INDEX(tProdutos[Classe],MATCH(tItens[[#This Row],[Produto]],tProdutos[Produto],0)),"produto não cadastrado")</f>
        <v>FORA</v>
      </c>
      <c r="K5987" s="12">
        <f>tItens[[#This Row],[Qtd]]*tItens[[#This Row],[Vlr unit]]</f>
        <v>23987.600000000002</v>
      </c>
      <c r="L5987" s="6">
        <f>IFERROR(IF(INDEX(tProdutos[Desconto homologado],MATCH(tItens[[#This Row],[Produto]],tProdutos[Produto],0))="",DescontoPadrao,INDEX(tProdutos[Desconto homologado],MATCH(tItens[[#This Row],[Produto]],tProdutos[Produto],0))),DescontoPadrao)</f>
        <v>0.42211465163381601</v>
      </c>
      <c r="M5987" s="12">
        <f>tItens[[#This Row],[Valor]]*(1-tItens[[#This Row],[Desconto]])</f>
        <v>13862.082582468676</v>
      </c>
      <c r="N5987" t="str">
        <f>IFERROR(INDEX(tProdutos[Foco],MATCH(tItens[[#This Row],[Produto]],tProdutos[Produto],0)),"Não")</f>
        <v>Não</v>
      </c>
      <c r="O5987" t="str">
        <f>IFERROR(INDEX(tEditais[SRP],MATCH(tItens[[#This Row],[Edital]],tEditais[Edital],0)),"Não")</f>
        <v>Sim</v>
      </c>
      <c r="P5987" s="4">
        <f>IF(COUNTIFS(INDEX(tItens[Edital],1):tItens[[#This Row],[Edital]],tItens[[#This Row],[Edital]],INDEX(tItens[Produto],1):tItens[[#This Row],[Produto]],tItens[[#This Row],[Produto]])=1,1,0)</f>
        <v>0</v>
      </c>
    </row>
    <row r="5988" spans="1:16" x14ac:dyDescent="0.25">
      <c r="A5988" t="s">
        <v>2124</v>
      </c>
      <c r="B5988">
        <v>13</v>
      </c>
      <c r="C5988" t="s">
        <v>8734</v>
      </c>
      <c r="D5988" t="s">
        <v>485</v>
      </c>
      <c r="E5988" s="13">
        <v>42753</v>
      </c>
      <c r="F5988" s="12">
        <v>11.84</v>
      </c>
      <c r="G5988" t="str">
        <f>IFERROR(INDEX(tEditais[Órgão],MATCH(tItens[[#This Row],[Edital]],tEditais[Edital],0)),"")</f>
        <v>FUNDO ESTADUAL DE SAUDE DO PARANA - FUNSAUDE</v>
      </c>
      <c r="H5988" t="str">
        <f>IFERROR(INDEX(tEditais[UF],MATCH(tItens[[#This Row],[Edital]],tEditais[Edital],0)),"")</f>
        <v>PR</v>
      </c>
      <c r="I5988" s="11">
        <f>IFERROR(INDEX(tEditais[Encerramento],MATCH(tItens[[#This Row],[Edital]],tEditais[Edital],0)),"")</f>
        <v>46310.375</v>
      </c>
      <c r="J5988" t="str">
        <f>IFERROR(INDEX(tProdutos[Classe],MATCH(tItens[[#This Row],[Produto]],tProdutos[Produto],0)),"produto não cadastrado")</f>
        <v>FILA REBASE</v>
      </c>
      <c r="K5988" s="12">
        <f>tItens[[#This Row],[Qtd]]*tItens[[#This Row],[Vlr unit]]</f>
        <v>506195.52</v>
      </c>
      <c r="L5988" s="6">
        <f>IFERROR(IF(INDEX(tProdutos[Desconto homologado],MATCH(tItens[[#This Row],[Produto]],tProdutos[Produto],0))="",DescontoPadrao,INDEX(tProdutos[Desconto homologado],MATCH(tItens[[#This Row],[Produto]],tProdutos[Produto],0))),DescontoPadrao)</f>
        <v>0.371991013159302</v>
      </c>
      <c r="M5988" s="12">
        <f>tItens[[#This Row],[Valor]]*(1-tItens[[#This Row],[Desconto]])</f>
        <v>317895.33565850026</v>
      </c>
      <c r="N5988" t="str">
        <f>IFERROR(INDEX(tProdutos[Foco],MATCH(tItens[[#This Row],[Produto]],tProdutos[Produto],0)),"Não")</f>
        <v>Não</v>
      </c>
      <c r="O5988" t="str">
        <f>IFERROR(INDEX(tEditais[SRP],MATCH(tItens[[#This Row],[Edital]],tEditais[Edital],0)),"Não")</f>
        <v>Sim</v>
      </c>
      <c r="P5988" s="4">
        <f>IF(COUNTIFS(INDEX(tItens[Edital],1):tItens[[#This Row],[Edital]],tItens[[#This Row],[Edital]],INDEX(tItens[Produto],1):tItens[[#This Row],[Produto]],tItens[[#This Row],[Produto]])=1,1,0)</f>
        <v>1</v>
      </c>
    </row>
    <row r="5989" spans="1:16" x14ac:dyDescent="0.25">
      <c r="A5989" t="s">
        <v>2124</v>
      </c>
      <c r="B5989">
        <v>14</v>
      </c>
      <c r="C5989" t="s">
        <v>8734</v>
      </c>
      <c r="D5989" t="s">
        <v>485</v>
      </c>
      <c r="E5989" s="13">
        <v>14250</v>
      </c>
      <c r="F5989" s="12">
        <v>11.84</v>
      </c>
      <c r="G5989" t="str">
        <f>IFERROR(INDEX(tEditais[Órgão],MATCH(tItens[[#This Row],[Edital]],tEditais[Edital],0)),"")</f>
        <v>FUNDO ESTADUAL DE SAUDE DO PARANA - FUNSAUDE</v>
      </c>
      <c r="H5989" t="str">
        <f>IFERROR(INDEX(tEditais[UF],MATCH(tItens[[#This Row],[Edital]],tEditais[Edital],0)),"")</f>
        <v>PR</v>
      </c>
      <c r="I5989" s="11">
        <f>IFERROR(INDEX(tEditais[Encerramento],MATCH(tItens[[#This Row],[Edital]],tEditais[Edital],0)),"")</f>
        <v>46310.375</v>
      </c>
      <c r="J5989" t="str">
        <f>IFERROR(INDEX(tProdutos[Classe],MATCH(tItens[[#This Row],[Produto]],tProdutos[Produto],0)),"produto não cadastrado")</f>
        <v>FILA REBASE</v>
      </c>
      <c r="K5989" s="12">
        <f>tItens[[#This Row],[Qtd]]*tItens[[#This Row],[Vlr unit]]</f>
        <v>168720</v>
      </c>
      <c r="L5989" s="6">
        <f>IFERROR(IF(INDEX(tProdutos[Desconto homologado],MATCH(tItens[[#This Row],[Produto]],tProdutos[Produto],0))="",DescontoPadrao,INDEX(tProdutos[Desconto homologado],MATCH(tItens[[#This Row],[Produto]],tProdutos[Produto],0))),DescontoPadrao)</f>
        <v>0.371991013159302</v>
      </c>
      <c r="M5989" s="12">
        <f>tItens[[#This Row],[Valor]]*(1-tItens[[#This Row],[Desconto]])</f>
        <v>105957.67625976256</v>
      </c>
      <c r="N5989" t="str">
        <f>IFERROR(INDEX(tProdutos[Foco],MATCH(tItens[[#This Row],[Produto]],tProdutos[Produto],0)),"Não")</f>
        <v>Não</v>
      </c>
      <c r="O5989" t="str">
        <f>IFERROR(INDEX(tEditais[SRP],MATCH(tItens[[#This Row],[Edital]],tEditais[Edital],0)),"Não")</f>
        <v>Sim</v>
      </c>
      <c r="P5989" s="4">
        <f>IF(COUNTIFS(INDEX(tItens[Edital],1):tItens[[#This Row],[Edital]],tItens[[#This Row],[Edital]],INDEX(tItens[Produto],1):tItens[[#This Row],[Produto]],tItens[[#This Row],[Produto]])=1,1,0)</f>
        <v>0</v>
      </c>
    </row>
    <row r="5990" spans="1:16" x14ac:dyDescent="0.25">
      <c r="A5990" t="s">
        <v>2124</v>
      </c>
      <c r="B5990">
        <v>15</v>
      </c>
      <c r="C5990" t="s">
        <v>8735</v>
      </c>
      <c r="D5990" t="s">
        <v>485</v>
      </c>
      <c r="E5990" s="13">
        <v>7553</v>
      </c>
      <c r="F5990" s="12">
        <v>10.65</v>
      </c>
      <c r="G5990" t="str">
        <f>IFERROR(INDEX(tEditais[Órgão],MATCH(tItens[[#This Row],[Edital]],tEditais[Edital],0)),"")</f>
        <v>FUNDO ESTADUAL DE SAUDE DO PARANA - FUNSAUDE</v>
      </c>
      <c r="H5990" t="str">
        <f>IFERROR(INDEX(tEditais[UF],MATCH(tItens[[#This Row],[Edital]],tEditais[Edital],0)),"")</f>
        <v>PR</v>
      </c>
      <c r="I5990" s="11">
        <f>IFERROR(INDEX(tEditais[Encerramento],MATCH(tItens[[#This Row],[Edital]],tEditais[Edital],0)),"")</f>
        <v>46310.375</v>
      </c>
      <c r="J5990" t="str">
        <f>IFERROR(INDEX(tProdutos[Classe],MATCH(tItens[[#This Row],[Produto]],tProdutos[Produto],0)),"produto não cadastrado")</f>
        <v>FILA REBASE</v>
      </c>
      <c r="K5990" s="12">
        <f>tItens[[#This Row],[Qtd]]*tItens[[#This Row],[Vlr unit]]</f>
        <v>80439.45</v>
      </c>
      <c r="L5990" s="6">
        <f>IFERROR(IF(INDEX(tProdutos[Desconto homologado],MATCH(tItens[[#This Row],[Produto]],tProdutos[Produto],0))="",DescontoPadrao,INDEX(tProdutos[Desconto homologado],MATCH(tItens[[#This Row],[Produto]],tProdutos[Produto],0))),DescontoPadrao)</f>
        <v>0.371991013159302</v>
      </c>
      <c r="M5990" s="12">
        <f>tItens[[#This Row],[Valor]]*(1-tItens[[#This Row],[Desconto]])</f>
        <v>50516.697496522982</v>
      </c>
      <c r="N5990" t="str">
        <f>IFERROR(INDEX(tProdutos[Foco],MATCH(tItens[[#This Row],[Produto]],tProdutos[Produto],0)),"Não")</f>
        <v>Não</v>
      </c>
      <c r="O5990" t="str">
        <f>IFERROR(INDEX(tEditais[SRP],MATCH(tItens[[#This Row],[Edital]],tEditais[Edital],0)),"Não")</f>
        <v>Sim</v>
      </c>
      <c r="P5990" s="4">
        <f>IF(COUNTIFS(INDEX(tItens[Edital],1):tItens[[#This Row],[Edital]],tItens[[#This Row],[Edital]],INDEX(tItens[Produto],1):tItens[[#This Row],[Produto]],tItens[[#This Row],[Produto]])=1,1,0)</f>
        <v>0</v>
      </c>
    </row>
    <row r="5991" spans="1:16" x14ac:dyDescent="0.25">
      <c r="A5991" t="s">
        <v>2124</v>
      </c>
      <c r="B5991">
        <v>16</v>
      </c>
      <c r="C5991" t="s">
        <v>8735</v>
      </c>
      <c r="D5991" t="s">
        <v>485</v>
      </c>
      <c r="E5991" s="13">
        <v>2517</v>
      </c>
      <c r="F5991" s="12">
        <v>10.65</v>
      </c>
      <c r="G5991" t="str">
        <f>IFERROR(INDEX(tEditais[Órgão],MATCH(tItens[[#This Row],[Edital]],tEditais[Edital],0)),"")</f>
        <v>FUNDO ESTADUAL DE SAUDE DO PARANA - FUNSAUDE</v>
      </c>
      <c r="H5991" t="str">
        <f>IFERROR(INDEX(tEditais[UF],MATCH(tItens[[#This Row],[Edital]],tEditais[Edital],0)),"")</f>
        <v>PR</v>
      </c>
      <c r="I5991" s="11">
        <f>IFERROR(INDEX(tEditais[Encerramento],MATCH(tItens[[#This Row],[Edital]],tEditais[Edital],0)),"")</f>
        <v>46310.375</v>
      </c>
      <c r="J5991" t="str">
        <f>IFERROR(INDEX(tProdutos[Classe],MATCH(tItens[[#This Row],[Produto]],tProdutos[Produto],0)),"produto não cadastrado")</f>
        <v>FILA REBASE</v>
      </c>
      <c r="K5991" s="12">
        <f>tItens[[#This Row],[Qtd]]*tItens[[#This Row],[Vlr unit]]</f>
        <v>26806.05</v>
      </c>
      <c r="L5991" s="6">
        <f>IFERROR(IF(INDEX(tProdutos[Desconto homologado],MATCH(tItens[[#This Row],[Produto]],tProdutos[Produto],0))="",DescontoPadrao,INDEX(tProdutos[Desconto homologado],MATCH(tItens[[#This Row],[Produto]],tProdutos[Produto],0))),DescontoPadrao)</f>
        <v>0.371991013159302</v>
      </c>
      <c r="M5991" s="12">
        <f>tItens[[#This Row],[Valor]]*(1-tItens[[#This Row],[Desconto]])</f>
        <v>16834.440301701092</v>
      </c>
      <c r="N5991" t="str">
        <f>IFERROR(INDEX(tProdutos[Foco],MATCH(tItens[[#This Row],[Produto]],tProdutos[Produto],0)),"Não")</f>
        <v>Não</v>
      </c>
      <c r="O5991" t="str">
        <f>IFERROR(INDEX(tEditais[SRP],MATCH(tItens[[#This Row],[Edital]],tEditais[Edital],0)),"Não")</f>
        <v>Sim</v>
      </c>
      <c r="P5991" s="4">
        <f>IF(COUNTIFS(INDEX(tItens[Edital],1):tItens[[#This Row],[Edital]],tItens[[#This Row],[Edital]],INDEX(tItens[Produto],1):tItens[[#This Row],[Produto]],tItens[[#This Row],[Produto]])=1,1,0)</f>
        <v>0</v>
      </c>
    </row>
    <row r="5992" spans="1:16" x14ac:dyDescent="0.25">
      <c r="A5992" t="s">
        <v>2124</v>
      </c>
      <c r="B5992">
        <v>19</v>
      </c>
      <c r="C5992" t="s">
        <v>8736</v>
      </c>
      <c r="D5992" t="s">
        <v>485</v>
      </c>
      <c r="E5992" s="13">
        <v>2840</v>
      </c>
      <c r="F5992" s="12">
        <v>6.5</v>
      </c>
      <c r="G5992" t="str">
        <f>IFERROR(INDEX(tEditais[Órgão],MATCH(tItens[[#This Row],[Edital]],tEditais[Edital],0)),"")</f>
        <v>FUNDO ESTADUAL DE SAUDE DO PARANA - FUNSAUDE</v>
      </c>
      <c r="H5992" t="str">
        <f>IFERROR(INDEX(tEditais[UF],MATCH(tItens[[#This Row],[Edital]],tEditais[Edital],0)),"")</f>
        <v>PR</v>
      </c>
      <c r="I5992" s="11">
        <f>IFERROR(INDEX(tEditais[Encerramento],MATCH(tItens[[#This Row],[Edital]],tEditais[Edital],0)),"")</f>
        <v>46310.375</v>
      </c>
      <c r="J5992" t="str">
        <f>IFERROR(INDEX(tProdutos[Classe],MATCH(tItens[[#This Row],[Produto]],tProdutos[Produto],0)),"produto não cadastrado")</f>
        <v>FILA REBASE</v>
      </c>
      <c r="K5992" s="12">
        <f>tItens[[#This Row],[Qtd]]*tItens[[#This Row],[Vlr unit]]</f>
        <v>18460</v>
      </c>
      <c r="L5992" s="6">
        <f>IFERROR(IF(INDEX(tProdutos[Desconto homologado],MATCH(tItens[[#This Row],[Produto]],tProdutos[Produto],0))="",DescontoPadrao,INDEX(tProdutos[Desconto homologado],MATCH(tItens[[#This Row],[Produto]],tProdutos[Produto],0))),DescontoPadrao)</f>
        <v>0.371991013159302</v>
      </c>
      <c r="M5992" s="12">
        <f>tItens[[#This Row],[Valor]]*(1-tItens[[#This Row],[Desconto]])</f>
        <v>11593.045897079284</v>
      </c>
      <c r="N5992" t="str">
        <f>IFERROR(INDEX(tProdutos[Foco],MATCH(tItens[[#This Row],[Produto]],tProdutos[Produto],0)),"Não")</f>
        <v>Não</v>
      </c>
      <c r="O5992" t="str">
        <f>IFERROR(INDEX(tEditais[SRP],MATCH(tItens[[#This Row],[Edital]],tEditais[Edital],0)),"Não")</f>
        <v>Sim</v>
      </c>
      <c r="P5992" s="4">
        <f>IF(COUNTIFS(INDEX(tItens[Edital],1):tItens[[#This Row],[Edital]],tItens[[#This Row],[Edital]],INDEX(tItens[Produto],1):tItens[[#This Row],[Produto]],tItens[[#This Row],[Produto]])=1,1,0)</f>
        <v>0</v>
      </c>
    </row>
    <row r="5993" spans="1:16" x14ac:dyDescent="0.25">
      <c r="A5993" t="s">
        <v>2127</v>
      </c>
      <c r="B5993">
        <v>46</v>
      </c>
      <c r="C5993" t="s">
        <v>8737</v>
      </c>
      <c r="D5993" t="s">
        <v>578</v>
      </c>
      <c r="E5993" s="13">
        <v>30</v>
      </c>
      <c r="F5993" s="12">
        <v>4080.02</v>
      </c>
      <c r="G5993" t="str">
        <f>IFERROR(INDEX(tEditais[Órgão],MATCH(tItens[[#This Row],[Edital]],tEditais[Edital],0)),"")</f>
        <v>MUNICIPIO DE PONTA GROSSA</v>
      </c>
      <c r="H5993" t="str">
        <f>IFERROR(INDEX(tEditais[UF],MATCH(tItens[[#This Row],[Edital]],tEditais[Edital],0)),"")</f>
        <v>PR</v>
      </c>
      <c r="I5993" s="11">
        <f>IFERROR(INDEX(tEditais[Encerramento],MATCH(tItens[[#This Row],[Edital]],tEditais[Edital],0)),"")</f>
        <v>46310.375</v>
      </c>
      <c r="J5993" t="str">
        <f>IFERROR(INDEX(tProdutos[Classe],MATCH(tItens[[#This Row],[Produto]],tProdutos[Produto],0)),"produto não cadastrado")</f>
        <v>FILA REBASE</v>
      </c>
      <c r="K5993" s="12">
        <f>tItens[[#This Row],[Qtd]]*tItens[[#This Row],[Vlr unit]]</f>
        <v>122400.6</v>
      </c>
      <c r="L5993" s="6">
        <f>IFERROR(IF(INDEX(tProdutos[Desconto homologado],MATCH(tItens[[#This Row],[Produto]],tProdutos[Produto],0))="",DescontoPadrao,INDEX(tProdutos[Desconto homologado],MATCH(tItens[[#This Row],[Produto]],tProdutos[Produto],0))),DescontoPadrao)</f>
        <v>0.36014625228519198</v>
      </c>
      <c r="M5993" s="12">
        <f>tItens[[#This Row],[Valor]]*(1-tItens[[#This Row],[Desconto]])</f>
        <v>78318.482632541141</v>
      </c>
      <c r="N5993" t="str">
        <f>IFERROR(INDEX(tProdutos[Foco],MATCH(tItens[[#This Row],[Produto]],tProdutos[Produto],0)),"Não")</f>
        <v>Não</v>
      </c>
      <c r="O5993" t="str">
        <f>IFERROR(INDEX(tEditais[SRP],MATCH(tItens[[#This Row],[Edital]],tEditais[Edital],0)),"Não")</f>
        <v>Sim</v>
      </c>
      <c r="P5993" s="4">
        <f>IF(COUNTIFS(INDEX(tItens[Edital],1):tItens[[#This Row],[Edital]],tItens[[#This Row],[Edital]],INDEX(tItens[Produto],1):tItens[[#This Row],[Produto]],tItens[[#This Row],[Produto]])=1,1,0)</f>
        <v>1</v>
      </c>
    </row>
    <row r="5994" spans="1:16" x14ac:dyDescent="0.25">
      <c r="A5994" t="s">
        <v>2127</v>
      </c>
      <c r="B5994">
        <v>47</v>
      </c>
      <c r="C5994" t="s">
        <v>8737</v>
      </c>
      <c r="D5994" t="s">
        <v>578</v>
      </c>
      <c r="E5994" s="13">
        <v>10</v>
      </c>
      <c r="F5994" s="12">
        <v>4080.02</v>
      </c>
      <c r="G5994" t="str">
        <f>IFERROR(INDEX(tEditais[Órgão],MATCH(tItens[[#This Row],[Edital]],tEditais[Edital],0)),"")</f>
        <v>MUNICIPIO DE PONTA GROSSA</v>
      </c>
      <c r="H5994" t="str">
        <f>IFERROR(INDEX(tEditais[UF],MATCH(tItens[[#This Row],[Edital]],tEditais[Edital],0)),"")</f>
        <v>PR</v>
      </c>
      <c r="I5994" s="11">
        <f>IFERROR(INDEX(tEditais[Encerramento],MATCH(tItens[[#This Row],[Edital]],tEditais[Edital],0)),"")</f>
        <v>46310.375</v>
      </c>
      <c r="J5994" t="str">
        <f>IFERROR(INDEX(tProdutos[Classe],MATCH(tItens[[#This Row],[Produto]],tProdutos[Produto],0)),"produto não cadastrado")</f>
        <v>FILA REBASE</v>
      </c>
      <c r="K5994" s="12">
        <f>tItens[[#This Row],[Qtd]]*tItens[[#This Row],[Vlr unit]]</f>
        <v>40800.199999999997</v>
      </c>
      <c r="L5994" s="6">
        <f>IFERROR(IF(INDEX(tProdutos[Desconto homologado],MATCH(tItens[[#This Row],[Produto]],tProdutos[Produto],0))="",DescontoPadrao,INDEX(tProdutos[Desconto homologado],MATCH(tItens[[#This Row],[Produto]],tProdutos[Produto],0))),DescontoPadrao)</f>
        <v>0.36014625228519198</v>
      </c>
      <c r="M5994" s="12">
        <f>tItens[[#This Row],[Valor]]*(1-tItens[[#This Row],[Desconto]])</f>
        <v>26106.16087751371</v>
      </c>
      <c r="N5994" t="str">
        <f>IFERROR(INDEX(tProdutos[Foco],MATCH(tItens[[#This Row],[Produto]],tProdutos[Produto],0)),"Não")</f>
        <v>Não</v>
      </c>
      <c r="O5994" t="str">
        <f>IFERROR(INDEX(tEditais[SRP],MATCH(tItens[[#This Row],[Edital]],tEditais[Edital],0)),"Não")</f>
        <v>Sim</v>
      </c>
      <c r="P5994" s="4">
        <f>IF(COUNTIFS(INDEX(tItens[Edital],1):tItens[[#This Row],[Edital]],tItens[[#This Row],[Edital]],INDEX(tItens[Produto],1):tItens[[#This Row],[Produto]],tItens[[#This Row],[Produto]])=1,1,0)</f>
        <v>0</v>
      </c>
    </row>
    <row r="5995" spans="1:16" x14ac:dyDescent="0.25">
      <c r="A5995" t="s">
        <v>2127</v>
      </c>
      <c r="B5995">
        <v>50</v>
      </c>
      <c r="C5995" t="s">
        <v>8738</v>
      </c>
      <c r="D5995" t="s">
        <v>193</v>
      </c>
      <c r="E5995" s="13">
        <v>100</v>
      </c>
      <c r="F5995" s="12">
        <v>139.19999999999999</v>
      </c>
      <c r="G5995" t="str">
        <f>IFERROR(INDEX(tEditais[Órgão],MATCH(tItens[[#This Row],[Edital]],tEditais[Edital],0)),"")</f>
        <v>MUNICIPIO DE PONTA GROSSA</v>
      </c>
      <c r="H5995" t="str">
        <f>IFERROR(INDEX(tEditais[UF],MATCH(tItens[[#This Row],[Edital]],tEditais[Edital],0)),"")</f>
        <v>PR</v>
      </c>
      <c r="I5995" s="11">
        <f>IFERROR(INDEX(tEditais[Encerramento],MATCH(tItens[[#This Row],[Edital]],tEditais[Edital],0)),"")</f>
        <v>46310.375</v>
      </c>
      <c r="J5995" t="str">
        <f>IFERROR(INDEX(tProdutos[Classe],MATCH(tItens[[#This Row],[Produto]],tProdutos[Produto],0)),"produto não cadastrado")</f>
        <v>DISPUTADO</v>
      </c>
      <c r="K5995" s="12">
        <f>tItens[[#This Row],[Qtd]]*tItens[[#This Row],[Vlr unit]]</f>
        <v>13919.999999999998</v>
      </c>
      <c r="L5995" s="6">
        <f>IFERROR(IF(INDEX(tProdutos[Desconto homologado],MATCH(tItens[[#This Row],[Produto]],tProdutos[Produto],0))="",DescontoPadrao,INDEX(tProdutos[Desconto homologado],MATCH(tItens[[#This Row],[Produto]],tProdutos[Produto],0))),DescontoPadrao)</f>
        <v>0.293849658314351</v>
      </c>
      <c r="M5995" s="12">
        <f>tItens[[#This Row],[Valor]]*(1-tItens[[#This Row],[Desconto]])</f>
        <v>9829.6127562642323</v>
      </c>
      <c r="N5995" t="str">
        <f>IFERROR(INDEX(tProdutos[Foco],MATCH(tItens[[#This Row],[Produto]],tProdutos[Produto],0)),"Não")</f>
        <v>Não</v>
      </c>
      <c r="O5995" t="str">
        <f>IFERROR(INDEX(tEditais[SRP],MATCH(tItens[[#This Row],[Edital]],tEditais[Edital],0)),"Não")</f>
        <v>Sim</v>
      </c>
      <c r="P5995" s="4">
        <f>IF(COUNTIFS(INDEX(tItens[Edital],1):tItens[[#This Row],[Edital]],tItens[[#This Row],[Edital]],INDEX(tItens[Produto],1):tItens[[#This Row],[Produto]],tItens[[#This Row],[Produto]])=1,1,0)</f>
        <v>1</v>
      </c>
    </row>
    <row r="5996" spans="1:16" x14ac:dyDescent="0.25">
      <c r="A5996" t="s">
        <v>2132</v>
      </c>
      <c r="B5996">
        <v>1</v>
      </c>
      <c r="C5996" t="s">
        <v>8739</v>
      </c>
      <c r="D5996" t="s">
        <v>467</v>
      </c>
      <c r="E5996" s="13">
        <v>11369</v>
      </c>
      <c r="F5996" s="12">
        <v>5.61</v>
      </c>
      <c r="G5996" t="str">
        <f>IFERROR(INDEX(tEditais[Órgão],MATCH(tItens[[#This Row],[Edital]],tEditais[Edital],0)),"")</f>
        <v>SECRETARIA DE ESTADO DA SAUDE</v>
      </c>
      <c r="H5996" t="str">
        <f>IFERROR(INDEX(tEditais[UF],MATCH(tItens[[#This Row],[Edital]],tEditais[Edital],0)),"")</f>
        <v>PR</v>
      </c>
      <c r="I5996" s="11">
        <f>IFERROR(INDEX(tEditais[Encerramento],MATCH(tItens[[#This Row],[Edital]],tEditais[Edital],0)),"")</f>
        <v>46310.381944444445</v>
      </c>
      <c r="J5996" t="str">
        <f>IFERROR(INDEX(tProdutos[Classe],MATCH(tItens[[#This Row],[Produto]],tProdutos[Produto],0)),"produto não cadastrado")</f>
        <v>FILA REBASE</v>
      </c>
      <c r="K5996" s="12">
        <f>tItens[[#This Row],[Qtd]]*tItens[[#This Row],[Vlr unit]]</f>
        <v>63780.090000000004</v>
      </c>
      <c r="L5996" s="6">
        <f>IFERROR(IF(INDEX(tProdutos[Desconto homologado],MATCH(tItens[[#This Row],[Produto]],tProdutos[Produto],0))="",DescontoPadrao,INDEX(tProdutos[Desconto homologado],MATCH(tItens[[#This Row],[Produto]],tProdutos[Produto],0))),DescontoPadrao)</f>
        <v>0.25007144898542499</v>
      </c>
      <c r="M5996" s="12">
        <f>tItens[[#This Row],[Valor]]*(1-tItens[[#This Row],[Desconto]])</f>
        <v>47830.510477279189</v>
      </c>
      <c r="N5996" t="str">
        <f>IFERROR(INDEX(tProdutos[Foco],MATCH(tItens[[#This Row],[Produto]],tProdutos[Produto],0)),"Não")</f>
        <v>Não</v>
      </c>
      <c r="O5996" t="str">
        <f>IFERROR(INDEX(tEditais[SRP],MATCH(tItens[[#This Row],[Edital]],tEditais[Edital],0)),"Não")</f>
        <v>Sim</v>
      </c>
      <c r="P5996" s="4">
        <f>IF(COUNTIFS(INDEX(tItens[Edital],1):tItens[[#This Row],[Edital]],tItens[[#This Row],[Edital]],INDEX(tItens[Produto],1):tItens[[#This Row],[Produto]],tItens[[#This Row],[Produto]])=1,1,0)</f>
        <v>1</v>
      </c>
    </row>
    <row r="5997" spans="1:16" x14ac:dyDescent="0.25">
      <c r="A5997" t="s">
        <v>2132</v>
      </c>
      <c r="B5997">
        <v>2</v>
      </c>
      <c r="C5997" t="s">
        <v>8740</v>
      </c>
      <c r="D5997" t="s">
        <v>467</v>
      </c>
      <c r="E5997" s="13">
        <v>3789</v>
      </c>
      <c r="F5997" s="12">
        <v>5.61</v>
      </c>
      <c r="G5997" t="str">
        <f>IFERROR(INDEX(tEditais[Órgão],MATCH(tItens[[#This Row],[Edital]],tEditais[Edital],0)),"")</f>
        <v>SECRETARIA DE ESTADO DA SAUDE</v>
      </c>
      <c r="H5997" t="str">
        <f>IFERROR(INDEX(tEditais[UF],MATCH(tItens[[#This Row],[Edital]],tEditais[Edital],0)),"")</f>
        <v>PR</v>
      </c>
      <c r="I5997" s="11">
        <f>IFERROR(INDEX(tEditais[Encerramento],MATCH(tItens[[#This Row],[Edital]],tEditais[Edital],0)),"")</f>
        <v>46310.381944444445</v>
      </c>
      <c r="J5997" t="str">
        <f>IFERROR(INDEX(tProdutos[Classe],MATCH(tItens[[#This Row],[Produto]],tProdutos[Produto],0)),"produto não cadastrado")</f>
        <v>FILA REBASE</v>
      </c>
      <c r="K5997" s="12">
        <f>tItens[[#This Row],[Qtd]]*tItens[[#This Row],[Vlr unit]]</f>
        <v>21256.29</v>
      </c>
      <c r="L5997" s="6">
        <f>IFERROR(IF(INDEX(tProdutos[Desconto homologado],MATCH(tItens[[#This Row],[Produto]],tProdutos[Produto],0))="",DescontoPadrao,INDEX(tProdutos[Desconto homologado],MATCH(tItens[[#This Row],[Produto]],tProdutos[Produto],0))),DescontoPadrao)</f>
        <v>0.25007144898542499</v>
      </c>
      <c r="M5997" s="12">
        <f>tItens[[#This Row],[Valor]]*(1-tItens[[#This Row],[Desconto]])</f>
        <v>15940.698759645602</v>
      </c>
      <c r="N5997" t="str">
        <f>IFERROR(INDEX(tProdutos[Foco],MATCH(tItens[[#This Row],[Produto]],tProdutos[Produto],0)),"Não")</f>
        <v>Não</v>
      </c>
      <c r="O5997" t="str">
        <f>IFERROR(INDEX(tEditais[SRP],MATCH(tItens[[#This Row],[Edital]],tEditais[Edital],0)),"Não")</f>
        <v>Sim</v>
      </c>
      <c r="P5997" s="4">
        <f>IF(COUNTIFS(INDEX(tItens[Edital],1):tItens[[#This Row],[Edital]],tItens[[#This Row],[Edital]],INDEX(tItens[Produto],1):tItens[[#This Row],[Produto]],tItens[[#This Row],[Produto]])=1,1,0)</f>
        <v>0</v>
      </c>
    </row>
    <row r="5998" spans="1:16" x14ac:dyDescent="0.25">
      <c r="A5998" t="s">
        <v>2132</v>
      </c>
      <c r="B5998">
        <v>10</v>
      </c>
      <c r="C5998" t="s">
        <v>8741</v>
      </c>
      <c r="D5998" t="s">
        <v>243</v>
      </c>
      <c r="E5998" s="13">
        <v>32309</v>
      </c>
      <c r="F5998" s="12">
        <v>4.99</v>
      </c>
      <c r="G5998" t="str">
        <f>IFERROR(INDEX(tEditais[Órgão],MATCH(tItens[[#This Row],[Edital]],tEditais[Edital],0)),"")</f>
        <v>SECRETARIA DE ESTADO DA SAUDE</v>
      </c>
      <c r="H5998" t="str">
        <f>IFERROR(INDEX(tEditais[UF],MATCH(tItens[[#This Row],[Edital]],tEditais[Edital],0)),"")</f>
        <v>PR</v>
      </c>
      <c r="I5998" s="11">
        <f>IFERROR(INDEX(tEditais[Encerramento],MATCH(tItens[[#This Row],[Edital]],tEditais[Edital],0)),"")</f>
        <v>46310.381944444445</v>
      </c>
      <c r="J5998" t="str">
        <f>IFERROR(INDEX(tProdutos[Classe],MATCH(tItens[[#This Row],[Produto]],tProdutos[Produto],0)),"produto não cadastrado")</f>
        <v>FORA</v>
      </c>
      <c r="K5998" s="12">
        <f>tItens[[#This Row],[Qtd]]*tItens[[#This Row],[Vlr unit]]</f>
        <v>161221.91</v>
      </c>
      <c r="L5998" s="6">
        <f>IFERROR(IF(INDEX(tProdutos[Desconto homologado],MATCH(tItens[[#This Row],[Produto]],tProdutos[Produto],0))="",DescontoPadrao,INDEX(tProdutos[Desconto homologado],MATCH(tItens[[#This Row],[Produto]],tProdutos[Produto],0))),DescontoPadrao)</f>
        <v>0.24077669902912599</v>
      </c>
      <c r="M5998" s="12">
        <f>tItens[[#This Row],[Valor]]*(1-tItens[[#This Row],[Desconto]])</f>
        <v>122403.43069902917</v>
      </c>
      <c r="N5998" t="str">
        <f>IFERROR(INDEX(tProdutos[Foco],MATCH(tItens[[#This Row],[Produto]],tProdutos[Produto],0)),"Não")</f>
        <v>Não</v>
      </c>
      <c r="O5998" t="str">
        <f>IFERROR(INDEX(tEditais[SRP],MATCH(tItens[[#This Row],[Edital]],tEditais[Edital],0)),"Não")</f>
        <v>Sim</v>
      </c>
      <c r="P5998" s="4">
        <f>IF(COUNTIFS(INDEX(tItens[Edital],1):tItens[[#This Row],[Edital]],tItens[[#This Row],[Edital]],INDEX(tItens[Produto],1):tItens[[#This Row],[Produto]],tItens[[#This Row],[Produto]])=1,1,0)</f>
        <v>1</v>
      </c>
    </row>
    <row r="5999" spans="1:16" x14ac:dyDescent="0.25">
      <c r="A5999" t="s">
        <v>2132</v>
      </c>
      <c r="B5999">
        <v>11</v>
      </c>
      <c r="C5999" t="s">
        <v>8742</v>
      </c>
      <c r="D5999" t="s">
        <v>243</v>
      </c>
      <c r="E5999" s="13">
        <v>10769</v>
      </c>
      <c r="F5999" s="12">
        <v>4.99</v>
      </c>
      <c r="G5999" t="str">
        <f>IFERROR(INDEX(tEditais[Órgão],MATCH(tItens[[#This Row],[Edital]],tEditais[Edital],0)),"")</f>
        <v>SECRETARIA DE ESTADO DA SAUDE</v>
      </c>
      <c r="H5999" t="str">
        <f>IFERROR(INDEX(tEditais[UF],MATCH(tItens[[#This Row],[Edital]],tEditais[Edital],0)),"")</f>
        <v>PR</v>
      </c>
      <c r="I5999" s="11">
        <f>IFERROR(INDEX(tEditais[Encerramento],MATCH(tItens[[#This Row],[Edital]],tEditais[Edital],0)),"")</f>
        <v>46310.381944444445</v>
      </c>
      <c r="J5999" t="str">
        <f>IFERROR(INDEX(tProdutos[Classe],MATCH(tItens[[#This Row],[Produto]],tProdutos[Produto],0)),"produto não cadastrado")</f>
        <v>FORA</v>
      </c>
      <c r="K5999" s="12">
        <f>tItens[[#This Row],[Qtd]]*tItens[[#This Row],[Vlr unit]]</f>
        <v>53737.310000000005</v>
      </c>
      <c r="L5999" s="6">
        <f>IFERROR(IF(INDEX(tProdutos[Desconto homologado],MATCH(tItens[[#This Row],[Produto]],tProdutos[Produto],0))="",DescontoPadrao,INDEX(tProdutos[Desconto homologado],MATCH(tItens[[#This Row],[Produto]],tProdutos[Produto],0))),DescontoPadrao)</f>
        <v>0.24077669902912599</v>
      </c>
      <c r="M5999" s="12">
        <f>tItens[[#This Row],[Valor]]*(1-tItens[[#This Row],[Desconto]])</f>
        <v>40798.617883495157</v>
      </c>
      <c r="N5999" t="str">
        <f>IFERROR(INDEX(tProdutos[Foco],MATCH(tItens[[#This Row],[Produto]],tProdutos[Produto],0)),"Não")</f>
        <v>Não</v>
      </c>
      <c r="O5999" t="str">
        <f>IFERROR(INDEX(tEditais[SRP],MATCH(tItens[[#This Row],[Edital]],tEditais[Edital],0)),"Não")</f>
        <v>Sim</v>
      </c>
      <c r="P5999" s="4">
        <f>IF(COUNTIFS(INDEX(tItens[Edital],1):tItens[[#This Row],[Edital]],tItens[[#This Row],[Edital]],INDEX(tItens[Produto],1):tItens[[#This Row],[Produto]],tItens[[#This Row],[Produto]])=1,1,0)</f>
        <v>0</v>
      </c>
    </row>
    <row r="6000" spans="1:16" x14ac:dyDescent="0.25">
      <c r="A6000" t="s">
        <v>2132</v>
      </c>
      <c r="B6000">
        <v>13</v>
      </c>
      <c r="C6000" t="s">
        <v>8743</v>
      </c>
      <c r="D6000" t="s">
        <v>485</v>
      </c>
      <c r="E6000" s="13">
        <v>42753</v>
      </c>
      <c r="F6000" s="12">
        <v>11.84</v>
      </c>
      <c r="G6000" t="str">
        <f>IFERROR(INDEX(tEditais[Órgão],MATCH(tItens[[#This Row],[Edital]],tEditais[Edital],0)),"")</f>
        <v>SECRETARIA DE ESTADO DA SAUDE</v>
      </c>
      <c r="H6000" t="str">
        <f>IFERROR(INDEX(tEditais[UF],MATCH(tItens[[#This Row],[Edital]],tEditais[Edital],0)),"")</f>
        <v>PR</v>
      </c>
      <c r="I6000" s="11">
        <f>IFERROR(INDEX(tEditais[Encerramento],MATCH(tItens[[#This Row],[Edital]],tEditais[Edital],0)),"")</f>
        <v>46310.381944444445</v>
      </c>
      <c r="J6000" t="str">
        <f>IFERROR(INDEX(tProdutos[Classe],MATCH(tItens[[#This Row],[Produto]],tProdutos[Produto],0)),"produto não cadastrado")</f>
        <v>FILA REBASE</v>
      </c>
      <c r="K6000" s="12">
        <f>tItens[[#This Row],[Qtd]]*tItens[[#This Row],[Vlr unit]]</f>
        <v>506195.52</v>
      </c>
      <c r="L6000" s="6">
        <f>IFERROR(IF(INDEX(tProdutos[Desconto homologado],MATCH(tItens[[#This Row],[Produto]],tProdutos[Produto],0))="",DescontoPadrao,INDEX(tProdutos[Desconto homologado],MATCH(tItens[[#This Row],[Produto]],tProdutos[Produto],0))),DescontoPadrao)</f>
        <v>0.371991013159302</v>
      </c>
      <c r="M6000" s="12">
        <f>tItens[[#This Row],[Valor]]*(1-tItens[[#This Row],[Desconto]])</f>
        <v>317895.33565850026</v>
      </c>
      <c r="N6000" t="str">
        <f>IFERROR(INDEX(tProdutos[Foco],MATCH(tItens[[#This Row],[Produto]],tProdutos[Produto],0)),"Não")</f>
        <v>Não</v>
      </c>
      <c r="O6000" t="str">
        <f>IFERROR(INDEX(tEditais[SRP],MATCH(tItens[[#This Row],[Edital]],tEditais[Edital],0)),"Não")</f>
        <v>Sim</v>
      </c>
      <c r="P6000" s="4">
        <f>IF(COUNTIFS(INDEX(tItens[Edital],1):tItens[[#This Row],[Edital]],tItens[[#This Row],[Edital]],INDEX(tItens[Produto],1):tItens[[#This Row],[Produto]],tItens[[#This Row],[Produto]])=1,1,0)</f>
        <v>1</v>
      </c>
    </row>
    <row r="6001" spans="1:16" x14ac:dyDescent="0.25">
      <c r="A6001" t="s">
        <v>2132</v>
      </c>
      <c r="B6001">
        <v>14</v>
      </c>
      <c r="C6001" t="s">
        <v>8744</v>
      </c>
      <c r="D6001" t="s">
        <v>485</v>
      </c>
      <c r="E6001" s="13">
        <v>14250</v>
      </c>
      <c r="F6001" s="12">
        <v>11.84</v>
      </c>
      <c r="G6001" t="str">
        <f>IFERROR(INDEX(tEditais[Órgão],MATCH(tItens[[#This Row],[Edital]],tEditais[Edital],0)),"")</f>
        <v>SECRETARIA DE ESTADO DA SAUDE</v>
      </c>
      <c r="H6001" t="str">
        <f>IFERROR(INDEX(tEditais[UF],MATCH(tItens[[#This Row],[Edital]],tEditais[Edital],0)),"")</f>
        <v>PR</v>
      </c>
      <c r="I6001" s="11">
        <f>IFERROR(INDEX(tEditais[Encerramento],MATCH(tItens[[#This Row],[Edital]],tEditais[Edital],0)),"")</f>
        <v>46310.381944444445</v>
      </c>
      <c r="J6001" t="str">
        <f>IFERROR(INDEX(tProdutos[Classe],MATCH(tItens[[#This Row],[Produto]],tProdutos[Produto],0)),"produto não cadastrado")</f>
        <v>FILA REBASE</v>
      </c>
      <c r="K6001" s="12">
        <f>tItens[[#This Row],[Qtd]]*tItens[[#This Row],[Vlr unit]]</f>
        <v>168720</v>
      </c>
      <c r="L6001" s="6">
        <f>IFERROR(IF(INDEX(tProdutos[Desconto homologado],MATCH(tItens[[#This Row],[Produto]],tProdutos[Produto],0))="",DescontoPadrao,INDEX(tProdutos[Desconto homologado],MATCH(tItens[[#This Row],[Produto]],tProdutos[Produto],0))),DescontoPadrao)</f>
        <v>0.371991013159302</v>
      </c>
      <c r="M6001" s="12">
        <f>tItens[[#This Row],[Valor]]*(1-tItens[[#This Row],[Desconto]])</f>
        <v>105957.67625976256</v>
      </c>
      <c r="N6001" t="str">
        <f>IFERROR(INDEX(tProdutos[Foco],MATCH(tItens[[#This Row],[Produto]],tProdutos[Produto],0)),"Não")</f>
        <v>Não</v>
      </c>
      <c r="O6001" t="str">
        <f>IFERROR(INDEX(tEditais[SRP],MATCH(tItens[[#This Row],[Edital]],tEditais[Edital],0)),"Não")</f>
        <v>Sim</v>
      </c>
      <c r="P6001" s="4">
        <f>IF(COUNTIFS(INDEX(tItens[Edital],1):tItens[[#This Row],[Edital]],tItens[[#This Row],[Edital]],INDEX(tItens[Produto],1):tItens[[#This Row],[Produto]],tItens[[#This Row],[Produto]])=1,1,0)</f>
        <v>0</v>
      </c>
    </row>
    <row r="6002" spans="1:16" x14ac:dyDescent="0.25">
      <c r="A6002" t="s">
        <v>2132</v>
      </c>
      <c r="B6002">
        <v>15</v>
      </c>
      <c r="C6002" t="s">
        <v>8745</v>
      </c>
      <c r="D6002" t="s">
        <v>485</v>
      </c>
      <c r="E6002" s="13">
        <v>7553</v>
      </c>
      <c r="F6002" s="12">
        <v>10.65</v>
      </c>
      <c r="G6002" t="str">
        <f>IFERROR(INDEX(tEditais[Órgão],MATCH(tItens[[#This Row],[Edital]],tEditais[Edital],0)),"")</f>
        <v>SECRETARIA DE ESTADO DA SAUDE</v>
      </c>
      <c r="H6002" t="str">
        <f>IFERROR(INDEX(tEditais[UF],MATCH(tItens[[#This Row],[Edital]],tEditais[Edital],0)),"")</f>
        <v>PR</v>
      </c>
      <c r="I6002" s="11">
        <f>IFERROR(INDEX(tEditais[Encerramento],MATCH(tItens[[#This Row],[Edital]],tEditais[Edital],0)),"")</f>
        <v>46310.381944444445</v>
      </c>
      <c r="J6002" t="str">
        <f>IFERROR(INDEX(tProdutos[Classe],MATCH(tItens[[#This Row],[Produto]],tProdutos[Produto],0)),"produto não cadastrado")</f>
        <v>FILA REBASE</v>
      </c>
      <c r="K6002" s="12">
        <f>tItens[[#This Row],[Qtd]]*tItens[[#This Row],[Vlr unit]]</f>
        <v>80439.45</v>
      </c>
      <c r="L6002" s="6">
        <f>IFERROR(IF(INDEX(tProdutos[Desconto homologado],MATCH(tItens[[#This Row],[Produto]],tProdutos[Produto],0))="",DescontoPadrao,INDEX(tProdutos[Desconto homologado],MATCH(tItens[[#This Row],[Produto]],tProdutos[Produto],0))),DescontoPadrao)</f>
        <v>0.371991013159302</v>
      </c>
      <c r="M6002" s="12">
        <f>tItens[[#This Row],[Valor]]*(1-tItens[[#This Row],[Desconto]])</f>
        <v>50516.697496522982</v>
      </c>
      <c r="N6002" t="str">
        <f>IFERROR(INDEX(tProdutos[Foco],MATCH(tItens[[#This Row],[Produto]],tProdutos[Produto],0)),"Não")</f>
        <v>Não</v>
      </c>
      <c r="O6002" t="str">
        <f>IFERROR(INDEX(tEditais[SRP],MATCH(tItens[[#This Row],[Edital]],tEditais[Edital],0)),"Não")</f>
        <v>Sim</v>
      </c>
      <c r="P6002" s="4">
        <f>IF(COUNTIFS(INDEX(tItens[Edital],1):tItens[[#This Row],[Edital]],tItens[[#This Row],[Edital]],INDEX(tItens[Produto],1):tItens[[#This Row],[Produto]],tItens[[#This Row],[Produto]])=1,1,0)</f>
        <v>0</v>
      </c>
    </row>
    <row r="6003" spans="1:16" x14ac:dyDescent="0.25">
      <c r="A6003" t="s">
        <v>2132</v>
      </c>
      <c r="B6003">
        <v>16</v>
      </c>
      <c r="C6003" t="s">
        <v>8746</v>
      </c>
      <c r="D6003" t="s">
        <v>485</v>
      </c>
      <c r="E6003" s="13">
        <v>2517</v>
      </c>
      <c r="F6003" s="12">
        <v>10.65</v>
      </c>
      <c r="G6003" t="str">
        <f>IFERROR(INDEX(tEditais[Órgão],MATCH(tItens[[#This Row],[Edital]],tEditais[Edital],0)),"")</f>
        <v>SECRETARIA DE ESTADO DA SAUDE</v>
      </c>
      <c r="H6003" t="str">
        <f>IFERROR(INDEX(tEditais[UF],MATCH(tItens[[#This Row],[Edital]],tEditais[Edital],0)),"")</f>
        <v>PR</v>
      </c>
      <c r="I6003" s="11">
        <f>IFERROR(INDEX(tEditais[Encerramento],MATCH(tItens[[#This Row],[Edital]],tEditais[Edital],0)),"")</f>
        <v>46310.381944444445</v>
      </c>
      <c r="J6003" t="str">
        <f>IFERROR(INDEX(tProdutos[Classe],MATCH(tItens[[#This Row],[Produto]],tProdutos[Produto],0)),"produto não cadastrado")</f>
        <v>FILA REBASE</v>
      </c>
      <c r="K6003" s="12">
        <f>tItens[[#This Row],[Qtd]]*tItens[[#This Row],[Vlr unit]]</f>
        <v>26806.05</v>
      </c>
      <c r="L6003" s="6">
        <f>IFERROR(IF(INDEX(tProdutos[Desconto homologado],MATCH(tItens[[#This Row],[Produto]],tProdutos[Produto],0))="",DescontoPadrao,INDEX(tProdutos[Desconto homologado],MATCH(tItens[[#This Row],[Produto]],tProdutos[Produto],0))),DescontoPadrao)</f>
        <v>0.371991013159302</v>
      </c>
      <c r="M6003" s="12">
        <f>tItens[[#This Row],[Valor]]*(1-tItens[[#This Row],[Desconto]])</f>
        <v>16834.440301701092</v>
      </c>
      <c r="N6003" t="str">
        <f>IFERROR(INDEX(tProdutos[Foco],MATCH(tItens[[#This Row],[Produto]],tProdutos[Produto],0)),"Não")</f>
        <v>Não</v>
      </c>
      <c r="O6003" t="str">
        <f>IFERROR(INDEX(tEditais[SRP],MATCH(tItens[[#This Row],[Edital]],tEditais[Edital],0)),"Não")</f>
        <v>Sim</v>
      </c>
      <c r="P6003" s="4">
        <f>IF(COUNTIFS(INDEX(tItens[Edital],1):tItens[[#This Row],[Edital]],tItens[[#This Row],[Edital]],INDEX(tItens[Produto],1):tItens[[#This Row],[Produto]],tItens[[#This Row],[Produto]])=1,1,0)</f>
        <v>0</v>
      </c>
    </row>
    <row r="6004" spans="1:16" x14ac:dyDescent="0.25">
      <c r="A6004" t="s">
        <v>2132</v>
      </c>
      <c r="B6004">
        <v>19</v>
      </c>
      <c r="C6004" t="s">
        <v>8747</v>
      </c>
      <c r="D6004" t="s">
        <v>485</v>
      </c>
      <c r="E6004" s="13">
        <v>2840</v>
      </c>
      <c r="F6004" s="12">
        <v>6.5</v>
      </c>
      <c r="G6004" t="str">
        <f>IFERROR(INDEX(tEditais[Órgão],MATCH(tItens[[#This Row],[Edital]],tEditais[Edital],0)),"")</f>
        <v>SECRETARIA DE ESTADO DA SAUDE</v>
      </c>
      <c r="H6004" t="str">
        <f>IFERROR(INDEX(tEditais[UF],MATCH(tItens[[#This Row],[Edital]],tEditais[Edital],0)),"")</f>
        <v>PR</v>
      </c>
      <c r="I6004" s="11">
        <f>IFERROR(INDEX(tEditais[Encerramento],MATCH(tItens[[#This Row],[Edital]],tEditais[Edital],0)),"")</f>
        <v>46310.381944444445</v>
      </c>
      <c r="J6004" t="str">
        <f>IFERROR(INDEX(tProdutos[Classe],MATCH(tItens[[#This Row],[Produto]],tProdutos[Produto],0)),"produto não cadastrado")</f>
        <v>FILA REBASE</v>
      </c>
      <c r="K6004" s="12">
        <f>tItens[[#This Row],[Qtd]]*tItens[[#This Row],[Vlr unit]]</f>
        <v>18460</v>
      </c>
      <c r="L6004" s="6">
        <f>IFERROR(IF(INDEX(tProdutos[Desconto homologado],MATCH(tItens[[#This Row],[Produto]],tProdutos[Produto],0))="",DescontoPadrao,INDEX(tProdutos[Desconto homologado],MATCH(tItens[[#This Row],[Produto]],tProdutos[Produto],0))),DescontoPadrao)</f>
        <v>0.371991013159302</v>
      </c>
      <c r="M6004" s="12">
        <f>tItens[[#This Row],[Valor]]*(1-tItens[[#This Row],[Desconto]])</f>
        <v>11593.045897079284</v>
      </c>
      <c r="N6004" t="str">
        <f>IFERROR(INDEX(tProdutos[Foco],MATCH(tItens[[#This Row],[Produto]],tProdutos[Produto],0)),"Não")</f>
        <v>Não</v>
      </c>
      <c r="O6004" t="str">
        <f>IFERROR(INDEX(tEditais[SRP],MATCH(tItens[[#This Row],[Edital]],tEditais[Edital],0)),"Não")</f>
        <v>Sim</v>
      </c>
      <c r="P6004" s="4">
        <f>IF(COUNTIFS(INDEX(tItens[Edital],1):tItens[[#This Row],[Edital]],tItens[[#This Row],[Edital]],INDEX(tItens[Produto],1):tItens[[#This Row],[Produto]],tItens[[#This Row],[Produto]])=1,1,0)</f>
        <v>0</v>
      </c>
    </row>
    <row r="6005" spans="1:16" x14ac:dyDescent="0.25">
      <c r="A6005" t="s">
        <v>2134</v>
      </c>
      <c r="B6005">
        <v>25</v>
      </c>
      <c r="C6005" t="s">
        <v>8748</v>
      </c>
      <c r="D6005" t="s">
        <v>56</v>
      </c>
      <c r="E6005" s="13">
        <v>50</v>
      </c>
      <c r="F6005" s="12">
        <v>0.8</v>
      </c>
      <c r="G6005" t="str">
        <f>IFERROR(INDEX(tEditais[Órgão],MATCH(tItens[[#This Row],[Edital]],tEditais[Edital],0)),"")</f>
        <v>MUNICIPIO DE TEIXEIRA SOARES</v>
      </c>
      <c r="H6005" t="str">
        <f>IFERROR(INDEX(tEditais[UF],MATCH(tItens[[#This Row],[Edital]],tEditais[Edital],0)),"")</f>
        <v>PR</v>
      </c>
      <c r="I6005" s="11">
        <f>IFERROR(INDEX(tEditais[Encerramento],MATCH(tItens[[#This Row],[Edital]],tEditais[Edital],0)),"")</f>
        <v>46310.395833333336</v>
      </c>
      <c r="J6005" t="str">
        <f>IFERROR(INDEX(tProdutos[Classe],MATCH(tItens[[#This Row],[Produto]],tProdutos[Produto],0)),"produto não cadastrado")</f>
        <v>NÚCLEO</v>
      </c>
      <c r="K6005" s="12">
        <f>tItens[[#This Row],[Qtd]]*tItens[[#This Row],[Vlr unit]]</f>
        <v>40</v>
      </c>
      <c r="L6005" s="6">
        <f>IFERROR(IF(INDEX(tProdutos[Desconto homologado],MATCH(tItens[[#This Row],[Produto]],tProdutos[Produto],0))="",DescontoPadrao,INDEX(tProdutos[Desconto homologado],MATCH(tItens[[#This Row],[Produto]],tProdutos[Produto],0))),DescontoPadrao)</f>
        <v>0.34</v>
      </c>
      <c r="M6005" s="12">
        <f>tItens[[#This Row],[Valor]]*(1-tItens[[#This Row],[Desconto]])</f>
        <v>26.4</v>
      </c>
      <c r="N6005" t="str">
        <f>IFERROR(INDEX(tProdutos[Foco],MATCH(tItens[[#This Row],[Produto]],tProdutos[Produto],0)),"Não")</f>
        <v>Sim</v>
      </c>
      <c r="O6005" t="str">
        <f>IFERROR(INDEX(tEditais[SRP],MATCH(tItens[[#This Row],[Edital]],tEditais[Edital],0)),"Não")</f>
        <v>Não</v>
      </c>
      <c r="P6005" s="4">
        <f>IF(COUNTIFS(INDEX(tItens[Edital],1):tItens[[#This Row],[Edital]],tItens[[#This Row],[Edital]],INDEX(tItens[Produto],1):tItens[[#This Row],[Produto]],tItens[[#This Row],[Produto]])=1,1,0)</f>
        <v>1</v>
      </c>
    </row>
    <row r="6006" spans="1:16" x14ac:dyDescent="0.25">
      <c r="A6006" t="s">
        <v>2139</v>
      </c>
      <c r="B6006">
        <v>5</v>
      </c>
      <c r="C6006" t="s">
        <v>8749</v>
      </c>
      <c r="D6006" t="s">
        <v>521</v>
      </c>
      <c r="E6006" s="13">
        <v>305</v>
      </c>
      <c r="F6006" s="12">
        <v>19.89</v>
      </c>
      <c r="G6006" t="str">
        <f>IFERROR(INDEX(tEditais[Órgão],MATCH(tItens[[#This Row],[Edital]],tEditais[Edital],0)),"")</f>
        <v>SECRETARIA DE ESTADO DA SAUDE</v>
      </c>
      <c r="H6006" t="str">
        <f>IFERROR(INDEX(tEditais[UF],MATCH(tItens[[#This Row],[Edital]],tEditais[Edital],0)),"")</f>
        <v>PR</v>
      </c>
      <c r="I6006" s="11">
        <f>IFERROR(INDEX(tEditais[Encerramento],MATCH(tItens[[#This Row],[Edital]],tEditais[Edital],0)),"")</f>
        <v>46310.395833333336</v>
      </c>
      <c r="J6006" t="str">
        <f>IFERROR(INDEX(tProdutos[Classe],MATCH(tItens[[#This Row],[Produto]],tProdutos[Produto],0)),"produto não cadastrado")</f>
        <v>FILA REBASE</v>
      </c>
      <c r="K6006" s="12">
        <f>tItens[[#This Row],[Qtd]]*tItens[[#This Row],[Vlr unit]]</f>
        <v>6066.45</v>
      </c>
      <c r="L6006" s="6">
        <f>IFERROR(IF(INDEX(tProdutos[Desconto homologado],MATCH(tItens[[#This Row],[Produto]],tProdutos[Produto],0))="",DescontoPadrao,INDEX(tProdutos[Desconto homologado],MATCH(tItens[[#This Row],[Produto]],tProdutos[Produto],0))),DescontoPadrao)</f>
        <v>0.20254361398888801</v>
      </c>
      <c r="M6006" s="12">
        <f>tItens[[#This Row],[Valor]]*(1-tItens[[#This Row],[Desconto]])</f>
        <v>4837.7292929171108</v>
      </c>
      <c r="N6006" t="str">
        <f>IFERROR(INDEX(tProdutos[Foco],MATCH(tItens[[#This Row],[Produto]],tProdutos[Produto],0)),"Não")</f>
        <v>Não</v>
      </c>
      <c r="O6006" t="str">
        <f>IFERROR(INDEX(tEditais[SRP],MATCH(tItens[[#This Row],[Edital]],tEditais[Edital],0)),"Não")</f>
        <v>Sim</v>
      </c>
      <c r="P6006" s="4">
        <f>IF(COUNTIFS(INDEX(tItens[Edital],1):tItens[[#This Row],[Edital]],tItens[[#This Row],[Edital]],INDEX(tItens[Produto],1):tItens[[#This Row],[Produto]],tItens[[#This Row],[Produto]])=1,1,0)</f>
        <v>1</v>
      </c>
    </row>
    <row r="6007" spans="1:16" x14ac:dyDescent="0.25">
      <c r="A6007" t="s">
        <v>2139</v>
      </c>
      <c r="B6007">
        <v>6</v>
      </c>
      <c r="C6007" t="s">
        <v>8750</v>
      </c>
      <c r="D6007" t="s">
        <v>521</v>
      </c>
      <c r="E6007" s="13">
        <v>280</v>
      </c>
      <c r="F6007" s="12">
        <v>19.3</v>
      </c>
      <c r="G6007" t="str">
        <f>IFERROR(INDEX(tEditais[Órgão],MATCH(tItens[[#This Row],[Edital]],tEditais[Edital],0)),"")</f>
        <v>SECRETARIA DE ESTADO DA SAUDE</v>
      </c>
      <c r="H6007" t="str">
        <f>IFERROR(INDEX(tEditais[UF],MATCH(tItens[[#This Row],[Edital]],tEditais[Edital],0)),"")</f>
        <v>PR</v>
      </c>
      <c r="I6007" s="11">
        <f>IFERROR(INDEX(tEditais[Encerramento],MATCH(tItens[[#This Row],[Edital]],tEditais[Edital],0)),"")</f>
        <v>46310.395833333336</v>
      </c>
      <c r="J6007" t="str">
        <f>IFERROR(INDEX(tProdutos[Classe],MATCH(tItens[[#This Row],[Produto]],tProdutos[Produto],0)),"produto não cadastrado")</f>
        <v>FILA REBASE</v>
      </c>
      <c r="K6007" s="12">
        <f>tItens[[#This Row],[Qtd]]*tItens[[#This Row],[Vlr unit]]</f>
        <v>5404</v>
      </c>
      <c r="L6007" s="6">
        <f>IFERROR(IF(INDEX(tProdutos[Desconto homologado],MATCH(tItens[[#This Row],[Produto]],tProdutos[Produto],0))="",DescontoPadrao,INDEX(tProdutos[Desconto homologado],MATCH(tItens[[#This Row],[Produto]],tProdutos[Produto],0))),DescontoPadrao)</f>
        <v>0.20254361398888801</v>
      </c>
      <c r="M6007" s="12">
        <f>tItens[[#This Row],[Valor]]*(1-tItens[[#This Row],[Desconto]])</f>
        <v>4309.4543100040491</v>
      </c>
      <c r="N6007" t="str">
        <f>IFERROR(INDEX(tProdutos[Foco],MATCH(tItens[[#This Row],[Produto]],tProdutos[Produto],0)),"Não")</f>
        <v>Não</v>
      </c>
      <c r="O6007" t="str">
        <f>IFERROR(INDEX(tEditais[SRP],MATCH(tItens[[#This Row],[Edital]],tEditais[Edital],0)),"Não")</f>
        <v>Sim</v>
      </c>
      <c r="P6007" s="4">
        <f>IF(COUNTIFS(INDEX(tItens[Edital],1):tItens[[#This Row],[Edital]],tItens[[#This Row],[Edital]],INDEX(tItens[Produto],1):tItens[[#This Row],[Produto]],tItens[[#This Row],[Produto]])=1,1,0)</f>
        <v>0</v>
      </c>
    </row>
    <row r="6008" spans="1:16" x14ac:dyDescent="0.25">
      <c r="A6008" t="s">
        <v>2139</v>
      </c>
      <c r="B6008">
        <v>7</v>
      </c>
      <c r="C6008" t="s">
        <v>8751</v>
      </c>
      <c r="D6008" t="s">
        <v>521</v>
      </c>
      <c r="E6008" s="13">
        <v>295</v>
      </c>
      <c r="F6008" s="12">
        <v>17.649999999999999</v>
      </c>
      <c r="G6008" t="str">
        <f>IFERROR(INDEX(tEditais[Órgão],MATCH(tItens[[#This Row],[Edital]],tEditais[Edital],0)),"")</f>
        <v>SECRETARIA DE ESTADO DA SAUDE</v>
      </c>
      <c r="H6008" t="str">
        <f>IFERROR(INDEX(tEditais[UF],MATCH(tItens[[#This Row],[Edital]],tEditais[Edital],0)),"")</f>
        <v>PR</v>
      </c>
      <c r="I6008" s="11">
        <f>IFERROR(INDEX(tEditais[Encerramento],MATCH(tItens[[#This Row],[Edital]],tEditais[Edital],0)),"")</f>
        <v>46310.395833333336</v>
      </c>
      <c r="J6008" t="str">
        <f>IFERROR(INDEX(tProdutos[Classe],MATCH(tItens[[#This Row],[Produto]],tProdutos[Produto],0)),"produto não cadastrado")</f>
        <v>FILA REBASE</v>
      </c>
      <c r="K6008" s="12">
        <f>tItens[[#This Row],[Qtd]]*tItens[[#This Row],[Vlr unit]]</f>
        <v>5206.75</v>
      </c>
      <c r="L6008" s="6">
        <f>IFERROR(IF(INDEX(tProdutos[Desconto homologado],MATCH(tItens[[#This Row],[Produto]],tProdutos[Produto],0))="",DescontoPadrao,INDEX(tProdutos[Desconto homologado],MATCH(tItens[[#This Row],[Produto]],tProdutos[Produto],0))),DescontoPadrao)</f>
        <v>0.20254361398888801</v>
      </c>
      <c r="M6008" s="12">
        <f>tItens[[#This Row],[Valor]]*(1-tItens[[#This Row],[Desconto]])</f>
        <v>4152.1560378633576</v>
      </c>
      <c r="N6008" t="str">
        <f>IFERROR(INDEX(tProdutos[Foco],MATCH(tItens[[#This Row],[Produto]],tProdutos[Produto],0)),"Não")</f>
        <v>Não</v>
      </c>
      <c r="O6008" t="str">
        <f>IFERROR(INDEX(tEditais[SRP],MATCH(tItens[[#This Row],[Edital]],tEditais[Edital],0)),"Não")</f>
        <v>Sim</v>
      </c>
      <c r="P6008" s="4">
        <f>IF(COUNTIFS(INDEX(tItens[Edital],1):tItens[[#This Row],[Edital]],tItens[[#This Row],[Edital]],INDEX(tItens[Produto],1):tItens[[#This Row],[Produto]],tItens[[#This Row],[Produto]])=1,1,0)</f>
        <v>0</v>
      </c>
    </row>
    <row r="6009" spans="1:16" x14ac:dyDescent="0.25">
      <c r="A6009" t="s">
        <v>2141</v>
      </c>
      <c r="B6009">
        <v>37</v>
      </c>
      <c r="C6009" t="s">
        <v>8752</v>
      </c>
      <c r="D6009" t="s">
        <v>98</v>
      </c>
      <c r="E6009" s="13">
        <v>10</v>
      </c>
      <c r="F6009" s="12">
        <v>66.67</v>
      </c>
      <c r="G6009" t="str">
        <f>IFERROR(INDEX(tEditais[Órgão],MATCH(tItens[[#This Row],[Edital]],tEditais[Edital],0)),"")</f>
        <v>MUNICIPIO DE FAXINAL</v>
      </c>
      <c r="H6009" t="str">
        <f>IFERROR(INDEX(tEditais[UF],MATCH(tItens[[#This Row],[Edital]],tEditais[Edital],0)),"")</f>
        <v>PR</v>
      </c>
      <c r="I6009" s="11">
        <f>IFERROR(INDEX(tEditais[Encerramento],MATCH(tItens[[#This Row],[Edital]],tEditais[Edital],0)),"")</f>
        <v>46310.541666666664</v>
      </c>
      <c r="J6009" t="str">
        <f>IFERROR(INDEX(tProdutos[Classe],MATCH(tItens[[#This Row],[Produto]],tProdutos[Produto],0)),"produto não cadastrado")</f>
        <v>NÚCLEO</v>
      </c>
      <c r="K6009" s="12">
        <f>tItens[[#This Row],[Qtd]]*tItens[[#This Row],[Vlr unit]]</f>
        <v>666.7</v>
      </c>
      <c r="L6009" s="6">
        <f>IFERROR(IF(INDEX(tProdutos[Desconto homologado],MATCH(tItens[[#This Row],[Produto]],tProdutos[Produto],0))="",DescontoPadrao,INDEX(tProdutos[Desconto homologado],MATCH(tItens[[#This Row],[Produto]],tProdutos[Produto],0))),DescontoPadrao)</f>
        <v>0.39</v>
      </c>
      <c r="M6009" s="12">
        <f>tItens[[#This Row],[Valor]]*(1-tItens[[#This Row],[Desconto]])</f>
        <v>406.68700000000001</v>
      </c>
      <c r="N6009" t="str">
        <f>IFERROR(INDEX(tProdutos[Foco],MATCH(tItens[[#This Row],[Produto]],tProdutos[Produto],0)),"Não")</f>
        <v>Sim</v>
      </c>
      <c r="O6009" t="str">
        <f>IFERROR(INDEX(tEditais[SRP],MATCH(tItens[[#This Row],[Edital]],tEditais[Edital],0)),"Não")</f>
        <v>Sim</v>
      </c>
      <c r="P6009" s="4">
        <f>IF(COUNTIFS(INDEX(tItens[Edital],1):tItens[[#This Row],[Edital]],tItens[[#This Row],[Edital]],INDEX(tItens[Produto],1):tItens[[#This Row],[Produto]],tItens[[#This Row],[Produto]])=1,1,0)</f>
        <v>1</v>
      </c>
    </row>
    <row r="6010" spans="1:16" x14ac:dyDescent="0.25">
      <c r="A6010" t="s">
        <v>2146</v>
      </c>
      <c r="B6010">
        <v>7</v>
      </c>
      <c r="C6010" t="s">
        <v>8753</v>
      </c>
      <c r="D6010" t="s">
        <v>319</v>
      </c>
      <c r="E6010" s="13">
        <v>20</v>
      </c>
      <c r="F6010" s="12">
        <v>1339.48</v>
      </c>
      <c r="G6010" t="str">
        <f>IFERROR(INDEX(tEditais[Órgão],MATCH(tItens[[#This Row],[Edital]],tEditais[Edital],0)),"")</f>
        <v>MUNICIPIO DE GENERAL CARNEIRO</v>
      </c>
      <c r="H6010" t="str">
        <f>IFERROR(INDEX(tEditais[UF],MATCH(tItens[[#This Row],[Edital]],tEditais[Edital],0)),"")</f>
        <v>PR</v>
      </c>
      <c r="I6010" s="11">
        <f>IFERROR(INDEX(tEditais[Encerramento],MATCH(tItens[[#This Row],[Edital]],tEditais[Edital],0)),"")</f>
        <v>46311.333333333336</v>
      </c>
      <c r="J6010" t="str">
        <f>IFERROR(INDEX(tProdutos[Classe],MATCH(tItens[[#This Row],[Produto]],tProdutos[Produto],0)),"produto não cadastrado")</f>
        <v>FORA</v>
      </c>
      <c r="K6010" s="12">
        <f>tItens[[#This Row],[Qtd]]*tItens[[#This Row],[Vlr unit]]</f>
        <v>26789.599999999999</v>
      </c>
      <c r="L6010" s="6">
        <f>IFERROR(IF(INDEX(tProdutos[Desconto homologado],MATCH(tItens[[#This Row],[Produto]],tProdutos[Produto],0))="",DescontoPadrao,INDEX(tProdutos[Desconto homologado],MATCH(tItens[[#This Row],[Produto]],tProdutos[Produto],0))),DescontoPadrao)</f>
        <v>0.210006500066517</v>
      </c>
      <c r="M6010" s="12">
        <f>tItens[[#This Row],[Valor]]*(1-tItens[[#This Row],[Desconto]])</f>
        <v>21163.609865818034</v>
      </c>
      <c r="N6010" t="str">
        <f>IFERROR(INDEX(tProdutos[Foco],MATCH(tItens[[#This Row],[Produto]],tProdutos[Produto],0)),"Não")</f>
        <v>Não</v>
      </c>
      <c r="O6010" t="str">
        <f>IFERROR(INDEX(tEditais[SRP],MATCH(tItens[[#This Row],[Edital]],tEditais[Edital],0)),"Não")</f>
        <v>Sim</v>
      </c>
      <c r="P6010" s="4">
        <f>IF(COUNTIFS(INDEX(tItens[Edital],1):tItens[[#This Row],[Edital]],tItens[[#This Row],[Edital]],INDEX(tItens[Produto],1):tItens[[#This Row],[Produto]],tItens[[#This Row],[Produto]])=1,1,0)</f>
        <v>1</v>
      </c>
    </row>
    <row r="6011" spans="1:16" x14ac:dyDescent="0.25">
      <c r="A6011" t="s">
        <v>2146</v>
      </c>
      <c r="B6011">
        <v>8</v>
      </c>
      <c r="C6011" t="s">
        <v>8754</v>
      </c>
      <c r="D6011" t="s">
        <v>319</v>
      </c>
      <c r="E6011" s="13">
        <v>50</v>
      </c>
      <c r="F6011" s="12">
        <v>1309.48</v>
      </c>
      <c r="G6011" t="str">
        <f>IFERROR(INDEX(tEditais[Órgão],MATCH(tItens[[#This Row],[Edital]],tEditais[Edital],0)),"")</f>
        <v>MUNICIPIO DE GENERAL CARNEIRO</v>
      </c>
      <c r="H6011" t="str">
        <f>IFERROR(INDEX(tEditais[UF],MATCH(tItens[[#This Row],[Edital]],tEditais[Edital],0)),"")</f>
        <v>PR</v>
      </c>
      <c r="I6011" s="11">
        <f>IFERROR(INDEX(tEditais[Encerramento],MATCH(tItens[[#This Row],[Edital]],tEditais[Edital],0)),"")</f>
        <v>46311.333333333336</v>
      </c>
      <c r="J6011" t="str">
        <f>IFERROR(INDEX(tProdutos[Classe],MATCH(tItens[[#This Row],[Produto]],tProdutos[Produto],0)),"produto não cadastrado")</f>
        <v>FORA</v>
      </c>
      <c r="K6011" s="12">
        <f>tItens[[#This Row],[Qtd]]*tItens[[#This Row],[Vlr unit]]</f>
        <v>65474</v>
      </c>
      <c r="L6011" s="6">
        <f>IFERROR(IF(INDEX(tProdutos[Desconto homologado],MATCH(tItens[[#This Row],[Produto]],tProdutos[Produto],0))="",DescontoPadrao,INDEX(tProdutos[Desconto homologado],MATCH(tItens[[#This Row],[Produto]],tProdutos[Produto],0))),DescontoPadrao)</f>
        <v>0.210006500066517</v>
      </c>
      <c r="M6011" s="12">
        <f>tItens[[#This Row],[Valor]]*(1-tItens[[#This Row],[Desconto]])</f>
        <v>51724.034414644862</v>
      </c>
      <c r="N6011" t="str">
        <f>IFERROR(INDEX(tProdutos[Foco],MATCH(tItens[[#This Row],[Produto]],tProdutos[Produto],0)),"Não")</f>
        <v>Não</v>
      </c>
      <c r="O6011" t="str">
        <f>IFERROR(INDEX(tEditais[SRP],MATCH(tItens[[#This Row],[Edital]],tEditais[Edital],0)),"Não")</f>
        <v>Sim</v>
      </c>
      <c r="P6011" s="4">
        <f>IF(COUNTIFS(INDEX(tItens[Edital],1):tItens[[#This Row],[Edital]],tItens[[#This Row],[Edital]],INDEX(tItens[Produto],1):tItens[[#This Row],[Produto]],tItens[[#This Row],[Produto]])=1,1,0)</f>
        <v>0</v>
      </c>
    </row>
    <row r="6012" spans="1:16" x14ac:dyDescent="0.25">
      <c r="A6012" t="s">
        <v>2146</v>
      </c>
      <c r="B6012">
        <v>27</v>
      </c>
      <c r="C6012" t="s">
        <v>8755</v>
      </c>
      <c r="D6012" t="s">
        <v>351</v>
      </c>
      <c r="E6012" s="13">
        <v>1900</v>
      </c>
      <c r="F6012" s="12">
        <v>21.43</v>
      </c>
      <c r="G6012" t="str">
        <f>IFERROR(INDEX(tEditais[Órgão],MATCH(tItens[[#This Row],[Edital]],tEditais[Edital],0)),"")</f>
        <v>MUNICIPIO DE GENERAL CARNEIRO</v>
      </c>
      <c r="H6012" t="str">
        <f>IFERROR(INDEX(tEditais[UF],MATCH(tItens[[#This Row],[Edital]],tEditais[Edital],0)),"")</f>
        <v>PR</v>
      </c>
      <c r="I6012" s="11">
        <f>IFERROR(INDEX(tEditais[Encerramento],MATCH(tItens[[#This Row],[Edital]],tEditais[Edital],0)),"")</f>
        <v>46311.333333333336</v>
      </c>
      <c r="J6012" t="str">
        <f>IFERROR(INDEX(tProdutos[Classe],MATCH(tItens[[#This Row],[Produto]],tProdutos[Produto],0)),"produto não cadastrado")</f>
        <v>FORA</v>
      </c>
      <c r="K6012" s="12">
        <f>tItens[[#This Row],[Qtd]]*tItens[[#This Row],[Vlr unit]]</f>
        <v>40717</v>
      </c>
      <c r="L6012" s="6">
        <f>IFERROR(IF(INDEX(tProdutos[Desconto homologado],MATCH(tItens[[#This Row],[Produto]],tProdutos[Produto],0))="",DescontoPadrao,INDEX(tProdutos[Desconto homologado],MATCH(tItens[[#This Row],[Produto]],tProdutos[Produto],0))),DescontoPadrao)</f>
        <v>0.33518005540166201</v>
      </c>
      <c r="M6012" s="12">
        <f>tItens[[#This Row],[Valor]]*(1-tItens[[#This Row],[Desconto]])</f>
        <v>27069.47368421053</v>
      </c>
      <c r="N6012" t="str">
        <f>IFERROR(INDEX(tProdutos[Foco],MATCH(tItens[[#This Row],[Produto]],tProdutos[Produto],0)),"Não")</f>
        <v>Não</v>
      </c>
      <c r="O6012" t="str">
        <f>IFERROR(INDEX(tEditais[SRP],MATCH(tItens[[#This Row],[Edital]],tEditais[Edital],0)),"Não")</f>
        <v>Sim</v>
      </c>
      <c r="P6012" s="4">
        <f>IF(COUNTIFS(INDEX(tItens[Edital],1):tItens[[#This Row],[Edital]],tItens[[#This Row],[Edital]],INDEX(tItens[Produto],1):tItens[[#This Row],[Produto]],tItens[[#This Row],[Produto]])=1,1,0)</f>
        <v>1</v>
      </c>
    </row>
    <row r="6013" spans="1:16" x14ac:dyDescent="0.25">
      <c r="A6013" t="s">
        <v>2146</v>
      </c>
      <c r="B6013">
        <v>28</v>
      </c>
      <c r="C6013" t="s">
        <v>8756</v>
      </c>
      <c r="D6013" t="s">
        <v>351</v>
      </c>
      <c r="E6013" s="13">
        <v>1900</v>
      </c>
      <c r="F6013" s="12">
        <v>24</v>
      </c>
      <c r="G6013" t="str">
        <f>IFERROR(INDEX(tEditais[Órgão],MATCH(tItens[[#This Row],[Edital]],tEditais[Edital],0)),"")</f>
        <v>MUNICIPIO DE GENERAL CARNEIRO</v>
      </c>
      <c r="H6013" t="str">
        <f>IFERROR(INDEX(tEditais[UF],MATCH(tItens[[#This Row],[Edital]],tEditais[Edital],0)),"")</f>
        <v>PR</v>
      </c>
      <c r="I6013" s="11">
        <f>IFERROR(INDEX(tEditais[Encerramento],MATCH(tItens[[#This Row],[Edital]],tEditais[Edital],0)),"")</f>
        <v>46311.333333333336</v>
      </c>
      <c r="J6013" t="str">
        <f>IFERROR(INDEX(tProdutos[Classe],MATCH(tItens[[#This Row],[Produto]],tProdutos[Produto],0)),"produto não cadastrado")</f>
        <v>FORA</v>
      </c>
      <c r="K6013" s="12">
        <f>tItens[[#This Row],[Qtd]]*tItens[[#This Row],[Vlr unit]]</f>
        <v>45600</v>
      </c>
      <c r="L6013" s="6">
        <f>IFERROR(IF(INDEX(tProdutos[Desconto homologado],MATCH(tItens[[#This Row],[Produto]],tProdutos[Produto],0))="",DescontoPadrao,INDEX(tProdutos[Desconto homologado],MATCH(tItens[[#This Row],[Produto]],tProdutos[Produto],0))),DescontoPadrao)</f>
        <v>0.33518005540166201</v>
      </c>
      <c r="M6013" s="12">
        <f>tItens[[#This Row],[Valor]]*(1-tItens[[#This Row],[Desconto]])</f>
        <v>30315.789473684214</v>
      </c>
      <c r="N6013" t="str">
        <f>IFERROR(INDEX(tProdutos[Foco],MATCH(tItens[[#This Row],[Produto]],tProdutos[Produto],0)),"Não")</f>
        <v>Não</v>
      </c>
      <c r="O6013" t="str">
        <f>IFERROR(INDEX(tEditais[SRP],MATCH(tItens[[#This Row],[Edital]],tEditais[Edital],0)),"Não")</f>
        <v>Sim</v>
      </c>
      <c r="P6013" s="4">
        <f>IF(COUNTIFS(INDEX(tItens[Edital],1):tItens[[#This Row],[Edital]],tItens[[#This Row],[Edital]],INDEX(tItens[Produto],1):tItens[[#This Row],[Produto]],tItens[[#This Row],[Produto]])=1,1,0)</f>
        <v>0</v>
      </c>
    </row>
    <row r="6014" spans="1:16" x14ac:dyDescent="0.25">
      <c r="A6014" t="s">
        <v>2146</v>
      </c>
      <c r="B6014">
        <v>29</v>
      </c>
      <c r="C6014" t="s">
        <v>8757</v>
      </c>
      <c r="D6014" t="s">
        <v>351</v>
      </c>
      <c r="E6014" s="13">
        <v>1000</v>
      </c>
      <c r="F6014" s="12">
        <v>28.18</v>
      </c>
      <c r="G6014" t="str">
        <f>IFERROR(INDEX(tEditais[Órgão],MATCH(tItens[[#This Row],[Edital]],tEditais[Edital],0)),"")</f>
        <v>MUNICIPIO DE GENERAL CARNEIRO</v>
      </c>
      <c r="H6014" t="str">
        <f>IFERROR(INDEX(tEditais[UF],MATCH(tItens[[#This Row],[Edital]],tEditais[Edital],0)),"")</f>
        <v>PR</v>
      </c>
      <c r="I6014" s="11">
        <f>IFERROR(INDEX(tEditais[Encerramento],MATCH(tItens[[#This Row],[Edital]],tEditais[Edital],0)),"")</f>
        <v>46311.333333333336</v>
      </c>
      <c r="J6014" t="str">
        <f>IFERROR(INDEX(tProdutos[Classe],MATCH(tItens[[#This Row],[Produto]],tProdutos[Produto],0)),"produto não cadastrado")</f>
        <v>FORA</v>
      </c>
      <c r="K6014" s="12">
        <f>tItens[[#This Row],[Qtd]]*tItens[[#This Row],[Vlr unit]]</f>
        <v>28180</v>
      </c>
      <c r="L6014" s="6">
        <f>IFERROR(IF(INDEX(tProdutos[Desconto homologado],MATCH(tItens[[#This Row],[Produto]],tProdutos[Produto],0))="",DescontoPadrao,INDEX(tProdutos[Desconto homologado],MATCH(tItens[[#This Row],[Produto]],tProdutos[Produto],0))),DescontoPadrao)</f>
        <v>0.33518005540166201</v>
      </c>
      <c r="M6014" s="12">
        <f>tItens[[#This Row],[Valor]]*(1-tItens[[#This Row],[Desconto]])</f>
        <v>18734.626038781167</v>
      </c>
      <c r="N6014" t="str">
        <f>IFERROR(INDEX(tProdutos[Foco],MATCH(tItens[[#This Row],[Produto]],tProdutos[Produto],0)),"Não")</f>
        <v>Não</v>
      </c>
      <c r="O6014" t="str">
        <f>IFERROR(INDEX(tEditais[SRP],MATCH(tItens[[#This Row],[Edital]],tEditais[Edital],0)),"Não")</f>
        <v>Sim</v>
      </c>
      <c r="P6014" s="4">
        <f>IF(COUNTIFS(INDEX(tItens[Edital],1):tItens[[#This Row],[Edital]],tItens[[#This Row],[Edital]],INDEX(tItens[Produto],1):tItens[[#This Row],[Produto]],tItens[[#This Row],[Produto]])=1,1,0)</f>
        <v>0</v>
      </c>
    </row>
    <row r="6015" spans="1:16" x14ac:dyDescent="0.25">
      <c r="A6015" t="s">
        <v>2146</v>
      </c>
      <c r="B6015">
        <v>37</v>
      </c>
      <c r="C6015" t="s">
        <v>8758</v>
      </c>
      <c r="D6015" t="s">
        <v>132</v>
      </c>
      <c r="E6015" s="13">
        <v>30</v>
      </c>
      <c r="F6015" s="12">
        <v>13.29</v>
      </c>
      <c r="G6015" t="str">
        <f>IFERROR(INDEX(tEditais[Órgão],MATCH(tItens[[#This Row],[Edital]],tEditais[Edital],0)),"")</f>
        <v>MUNICIPIO DE GENERAL CARNEIRO</v>
      </c>
      <c r="H6015" t="str">
        <f>IFERROR(INDEX(tEditais[UF],MATCH(tItens[[#This Row],[Edital]],tEditais[Edital],0)),"")</f>
        <v>PR</v>
      </c>
      <c r="I6015" s="11">
        <f>IFERROR(INDEX(tEditais[Encerramento],MATCH(tItens[[#This Row],[Edital]],tEditais[Edital],0)),"")</f>
        <v>46311.333333333336</v>
      </c>
      <c r="J6015" t="str">
        <f>IFERROR(INDEX(tProdutos[Classe],MATCH(tItens[[#This Row],[Produto]],tProdutos[Produto],0)),"produto não cadastrado")</f>
        <v>NÚCLEO</v>
      </c>
      <c r="K6015" s="12">
        <f>tItens[[#This Row],[Qtd]]*tItens[[#This Row],[Vlr unit]]</f>
        <v>398.7</v>
      </c>
      <c r="L6015" s="6">
        <f>IFERROR(IF(INDEX(tProdutos[Desconto homologado],MATCH(tItens[[#This Row],[Produto]],tProdutos[Produto],0))="",DescontoPadrao,INDEX(tProdutos[Desconto homologado],MATCH(tItens[[#This Row],[Produto]],tProdutos[Produto],0))),DescontoPadrao)</f>
        <v>0.27</v>
      </c>
      <c r="M6015" s="12">
        <f>tItens[[#This Row],[Valor]]*(1-tItens[[#This Row],[Desconto]])</f>
        <v>291.05099999999999</v>
      </c>
      <c r="N6015" t="str">
        <f>IFERROR(INDEX(tProdutos[Foco],MATCH(tItens[[#This Row],[Produto]],tProdutos[Produto],0)),"Não")</f>
        <v>Sim</v>
      </c>
      <c r="O6015" t="str">
        <f>IFERROR(INDEX(tEditais[SRP],MATCH(tItens[[#This Row],[Edital]],tEditais[Edital],0)),"Não")</f>
        <v>Sim</v>
      </c>
      <c r="P6015" s="4">
        <f>IF(COUNTIFS(INDEX(tItens[Edital],1):tItens[[#This Row],[Edital]],tItens[[#This Row],[Edital]],INDEX(tItens[Produto],1):tItens[[#This Row],[Produto]],tItens[[#This Row],[Produto]])=1,1,0)</f>
        <v>1</v>
      </c>
    </row>
    <row r="6016" spans="1:16" x14ac:dyDescent="0.25">
      <c r="A6016" t="s">
        <v>2146</v>
      </c>
      <c r="B6016">
        <v>38</v>
      </c>
      <c r="C6016" t="s">
        <v>8759</v>
      </c>
      <c r="D6016" t="s">
        <v>569</v>
      </c>
      <c r="E6016" s="13">
        <v>15</v>
      </c>
      <c r="F6016" s="12">
        <v>150.68</v>
      </c>
      <c r="G6016" t="str">
        <f>IFERROR(INDEX(tEditais[Órgão],MATCH(tItens[[#This Row],[Edital]],tEditais[Edital],0)),"")</f>
        <v>MUNICIPIO DE GENERAL CARNEIRO</v>
      </c>
      <c r="H6016" t="str">
        <f>IFERROR(INDEX(tEditais[UF],MATCH(tItens[[#This Row],[Edital]],tEditais[Edital],0)),"")</f>
        <v>PR</v>
      </c>
      <c r="I6016" s="11">
        <f>IFERROR(INDEX(tEditais[Encerramento],MATCH(tItens[[#This Row],[Edital]],tEditais[Edital],0)),"")</f>
        <v>46311.333333333336</v>
      </c>
      <c r="J6016" t="str">
        <f>IFERROR(INDEX(tProdutos[Classe],MATCH(tItens[[#This Row],[Produto]],tProdutos[Produto],0)),"produto não cadastrado")</f>
        <v>FILA REBASE</v>
      </c>
      <c r="K6016" s="12">
        <f>tItens[[#This Row],[Qtd]]*tItens[[#This Row],[Vlr unit]]</f>
        <v>2260.2000000000003</v>
      </c>
      <c r="L6016" s="6">
        <f>IFERROR(IF(INDEX(tProdutos[Desconto homologado],MATCH(tItens[[#This Row],[Produto]],tProdutos[Produto],0))="",DescontoPadrao,INDEX(tProdutos[Desconto homologado],MATCH(tItens[[#This Row],[Produto]],tProdutos[Produto],0))),DescontoPadrao)</f>
        <v>0.3</v>
      </c>
      <c r="M6016" s="12">
        <f>tItens[[#This Row],[Valor]]*(1-tItens[[#This Row],[Desconto]])</f>
        <v>1582.14</v>
      </c>
      <c r="N6016" t="str">
        <f>IFERROR(INDEX(tProdutos[Foco],MATCH(tItens[[#This Row],[Produto]],tProdutos[Produto],0)),"Não")</f>
        <v>Não</v>
      </c>
      <c r="O6016" t="str">
        <f>IFERROR(INDEX(tEditais[SRP],MATCH(tItens[[#This Row],[Edital]],tEditais[Edital],0)),"Não")</f>
        <v>Sim</v>
      </c>
      <c r="P6016" s="4">
        <f>IF(COUNTIFS(INDEX(tItens[Edital],1):tItens[[#This Row],[Edital]],tItens[[#This Row],[Edital]],INDEX(tItens[Produto],1):tItens[[#This Row],[Produto]],tItens[[#This Row],[Produto]])=1,1,0)</f>
        <v>1</v>
      </c>
    </row>
    <row r="6017" spans="1:16" x14ac:dyDescent="0.25">
      <c r="A6017" t="s">
        <v>2146</v>
      </c>
      <c r="B6017">
        <v>39</v>
      </c>
      <c r="C6017" t="s">
        <v>8760</v>
      </c>
      <c r="D6017" t="s">
        <v>569</v>
      </c>
      <c r="E6017" s="13">
        <v>15</v>
      </c>
      <c r="F6017" s="12">
        <v>211.08</v>
      </c>
      <c r="G6017" t="str">
        <f>IFERROR(INDEX(tEditais[Órgão],MATCH(tItens[[#This Row],[Edital]],tEditais[Edital],0)),"")</f>
        <v>MUNICIPIO DE GENERAL CARNEIRO</v>
      </c>
      <c r="H6017" t="str">
        <f>IFERROR(INDEX(tEditais[UF],MATCH(tItens[[#This Row],[Edital]],tEditais[Edital],0)),"")</f>
        <v>PR</v>
      </c>
      <c r="I6017" s="11">
        <f>IFERROR(INDEX(tEditais[Encerramento],MATCH(tItens[[#This Row],[Edital]],tEditais[Edital],0)),"")</f>
        <v>46311.333333333336</v>
      </c>
      <c r="J6017" t="str">
        <f>IFERROR(INDEX(tProdutos[Classe],MATCH(tItens[[#This Row],[Produto]],tProdutos[Produto],0)),"produto não cadastrado")</f>
        <v>FILA REBASE</v>
      </c>
      <c r="K6017" s="12">
        <f>tItens[[#This Row],[Qtd]]*tItens[[#This Row],[Vlr unit]]</f>
        <v>3166.2000000000003</v>
      </c>
      <c r="L6017" s="6">
        <f>IFERROR(IF(INDEX(tProdutos[Desconto homologado],MATCH(tItens[[#This Row],[Produto]],tProdutos[Produto],0))="",DescontoPadrao,INDEX(tProdutos[Desconto homologado],MATCH(tItens[[#This Row],[Produto]],tProdutos[Produto],0))),DescontoPadrao)</f>
        <v>0.3</v>
      </c>
      <c r="M6017" s="12">
        <f>tItens[[#This Row],[Valor]]*(1-tItens[[#This Row],[Desconto]])</f>
        <v>2216.34</v>
      </c>
      <c r="N6017" t="str">
        <f>IFERROR(INDEX(tProdutos[Foco],MATCH(tItens[[#This Row],[Produto]],tProdutos[Produto],0)),"Não")</f>
        <v>Não</v>
      </c>
      <c r="O6017" t="str">
        <f>IFERROR(INDEX(tEditais[SRP],MATCH(tItens[[#This Row],[Edital]],tEditais[Edital],0)),"Não")</f>
        <v>Sim</v>
      </c>
      <c r="P6017" s="4">
        <f>IF(COUNTIFS(INDEX(tItens[Edital],1):tItens[[#This Row],[Edital]],tItens[[#This Row],[Edital]],INDEX(tItens[Produto],1):tItens[[#This Row],[Produto]],tItens[[#This Row],[Produto]])=1,1,0)</f>
        <v>0</v>
      </c>
    </row>
    <row r="6018" spans="1:16" x14ac:dyDescent="0.25">
      <c r="A6018" t="s">
        <v>2146</v>
      </c>
      <c r="B6018">
        <v>45</v>
      </c>
      <c r="C6018" t="s">
        <v>8761</v>
      </c>
      <c r="D6018" t="s">
        <v>62</v>
      </c>
      <c r="E6018" s="13">
        <v>4000</v>
      </c>
      <c r="F6018" s="12">
        <v>6.47</v>
      </c>
      <c r="G6018" t="str">
        <f>IFERROR(INDEX(tEditais[Órgão],MATCH(tItens[[#This Row],[Edital]],tEditais[Edital],0)),"")</f>
        <v>MUNICIPIO DE GENERAL CARNEIRO</v>
      </c>
      <c r="H6018" t="str">
        <f>IFERROR(INDEX(tEditais[UF],MATCH(tItens[[#This Row],[Edital]],tEditais[Edital],0)),"")</f>
        <v>PR</v>
      </c>
      <c r="I6018" s="11">
        <f>IFERROR(INDEX(tEditais[Encerramento],MATCH(tItens[[#This Row],[Edital]],tEditais[Edital],0)),"")</f>
        <v>46311.333333333336</v>
      </c>
      <c r="J6018" t="str">
        <f>IFERROR(INDEX(tProdutos[Classe],MATCH(tItens[[#This Row],[Produto]],tProdutos[Produto],0)),"produto não cadastrado")</f>
        <v>NÚCLEO</v>
      </c>
      <c r="K6018" s="12">
        <f>tItens[[#This Row],[Qtd]]*tItens[[#This Row],[Vlr unit]]</f>
        <v>25880</v>
      </c>
      <c r="L6018" s="6">
        <f>IFERROR(IF(INDEX(tProdutos[Desconto homologado],MATCH(tItens[[#This Row],[Produto]],tProdutos[Produto],0))="",DescontoPadrao,INDEX(tProdutos[Desconto homologado],MATCH(tItens[[#This Row],[Produto]],tProdutos[Produto],0))),DescontoPadrao)</f>
        <v>0.3</v>
      </c>
      <c r="M6018" s="12">
        <f>tItens[[#This Row],[Valor]]*(1-tItens[[#This Row],[Desconto]])</f>
        <v>18116</v>
      </c>
      <c r="N6018" t="str">
        <f>IFERROR(INDEX(tProdutos[Foco],MATCH(tItens[[#This Row],[Produto]],tProdutos[Produto],0)),"Não")</f>
        <v>Sim</v>
      </c>
      <c r="O6018" t="str">
        <f>IFERROR(INDEX(tEditais[SRP],MATCH(tItens[[#This Row],[Edital]],tEditais[Edital],0)),"Não")</f>
        <v>Sim</v>
      </c>
      <c r="P6018" s="4">
        <f>IF(COUNTIFS(INDEX(tItens[Edital],1):tItens[[#This Row],[Edital]],tItens[[#This Row],[Edital]],INDEX(tItens[Produto],1):tItens[[#This Row],[Produto]],tItens[[#This Row],[Produto]])=1,1,0)</f>
        <v>1</v>
      </c>
    </row>
    <row r="6019" spans="1:16" x14ac:dyDescent="0.25">
      <c r="A6019" t="s">
        <v>2146</v>
      </c>
      <c r="B6019">
        <v>50</v>
      </c>
      <c r="C6019" t="s">
        <v>8762</v>
      </c>
      <c r="D6019" t="s">
        <v>423</v>
      </c>
      <c r="E6019" s="13">
        <v>10</v>
      </c>
      <c r="F6019" s="12">
        <v>12.81</v>
      </c>
      <c r="G6019" t="str">
        <f>IFERROR(INDEX(tEditais[Órgão],MATCH(tItens[[#This Row],[Edital]],tEditais[Edital],0)),"")</f>
        <v>MUNICIPIO DE GENERAL CARNEIRO</v>
      </c>
      <c r="H6019" t="str">
        <f>IFERROR(INDEX(tEditais[UF],MATCH(tItens[[#This Row],[Edital]],tEditais[Edital],0)),"")</f>
        <v>PR</v>
      </c>
      <c r="I6019" s="11">
        <f>IFERROR(INDEX(tEditais[Encerramento],MATCH(tItens[[#This Row],[Edital]],tEditais[Edital],0)),"")</f>
        <v>46311.333333333336</v>
      </c>
      <c r="J6019" t="str">
        <f>IFERROR(INDEX(tProdutos[Classe],MATCH(tItens[[#This Row],[Produto]],tProdutos[Produto],0)),"produto não cadastrado")</f>
        <v>FORA</v>
      </c>
      <c r="K6019" s="12">
        <f>tItens[[#This Row],[Qtd]]*tItens[[#This Row],[Vlr unit]]</f>
        <v>128.1</v>
      </c>
      <c r="L6019" s="6">
        <f>IFERROR(IF(INDEX(tProdutos[Desconto homologado],MATCH(tItens[[#This Row],[Produto]],tProdutos[Produto],0))="",DescontoPadrao,INDEX(tProdutos[Desconto homologado],MATCH(tItens[[#This Row],[Produto]],tProdutos[Produto],0))),DescontoPadrao)</f>
        <v>0.38271604938271597</v>
      </c>
      <c r="M6019" s="12">
        <f>tItens[[#This Row],[Valor]]*(1-tItens[[#This Row],[Desconto]])</f>
        <v>79.074074074074076</v>
      </c>
      <c r="N6019" t="str">
        <f>IFERROR(INDEX(tProdutos[Foco],MATCH(tItens[[#This Row],[Produto]],tProdutos[Produto],0)),"Não")</f>
        <v>Não</v>
      </c>
      <c r="O6019" t="str">
        <f>IFERROR(INDEX(tEditais[SRP],MATCH(tItens[[#This Row],[Edital]],tEditais[Edital],0)),"Não")</f>
        <v>Sim</v>
      </c>
      <c r="P6019" s="4">
        <f>IF(COUNTIFS(INDEX(tItens[Edital],1):tItens[[#This Row],[Edital]],tItens[[#This Row],[Edital]],INDEX(tItens[Produto],1):tItens[[#This Row],[Produto]],tItens[[#This Row],[Produto]])=1,1,0)</f>
        <v>1</v>
      </c>
    </row>
    <row r="6020" spans="1:16" x14ac:dyDescent="0.25">
      <c r="A6020" t="s">
        <v>2146</v>
      </c>
      <c r="B6020">
        <v>51</v>
      </c>
      <c r="C6020" t="s">
        <v>8763</v>
      </c>
      <c r="D6020" t="s">
        <v>421</v>
      </c>
      <c r="E6020" s="13">
        <v>10</v>
      </c>
      <c r="F6020" s="12">
        <v>13.44</v>
      </c>
      <c r="G6020" t="str">
        <f>IFERROR(INDEX(tEditais[Órgão],MATCH(tItens[[#This Row],[Edital]],tEditais[Edital],0)),"")</f>
        <v>MUNICIPIO DE GENERAL CARNEIRO</v>
      </c>
      <c r="H6020" t="str">
        <f>IFERROR(INDEX(tEditais[UF],MATCH(tItens[[#This Row],[Edital]],tEditais[Edital],0)),"")</f>
        <v>PR</v>
      </c>
      <c r="I6020" s="11">
        <f>IFERROR(INDEX(tEditais[Encerramento],MATCH(tItens[[#This Row],[Edital]],tEditais[Edital],0)),"")</f>
        <v>46311.333333333336</v>
      </c>
      <c r="J6020" t="str">
        <f>IFERROR(INDEX(tProdutos[Classe],MATCH(tItens[[#This Row],[Produto]],tProdutos[Produto],0)),"produto não cadastrado")</f>
        <v>FORA</v>
      </c>
      <c r="K6020" s="12">
        <f>tItens[[#This Row],[Qtd]]*tItens[[#This Row],[Vlr unit]]</f>
        <v>134.4</v>
      </c>
      <c r="L6020" s="6">
        <f>IFERROR(IF(INDEX(tProdutos[Desconto homologado],MATCH(tItens[[#This Row],[Produto]],tProdutos[Produto],0))="",DescontoPadrao,INDEX(tProdutos[Desconto homologado],MATCH(tItens[[#This Row],[Produto]],tProdutos[Produto],0))),DescontoPadrao)</f>
        <v>0.43</v>
      </c>
      <c r="M6020" s="12">
        <f>tItens[[#This Row],[Valor]]*(1-tItens[[#This Row],[Desconto]])</f>
        <v>76.608000000000018</v>
      </c>
      <c r="N6020" t="str">
        <f>IFERROR(INDEX(tProdutos[Foco],MATCH(tItens[[#This Row],[Produto]],tProdutos[Produto],0)),"Não")</f>
        <v>Sim</v>
      </c>
      <c r="O6020" t="str">
        <f>IFERROR(INDEX(tEditais[SRP],MATCH(tItens[[#This Row],[Edital]],tEditais[Edital],0)),"Não")</f>
        <v>Sim</v>
      </c>
      <c r="P6020" s="4">
        <f>IF(COUNTIFS(INDEX(tItens[Edital],1):tItens[[#This Row],[Edital]],tItens[[#This Row],[Edital]],INDEX(tItens[Produto],1):tItens[[#This Row],[Produto]],tItens[[#This Row],[Produto]])=1,1,0)</f>
        <v>1</v>
      </c>
    </row>
    <row r="6021" spans="1:16" x14ac:dyDescent="0.25">
      <c r="A6021" t="s">
        <v>2146</v>
      </c>
      <c r="B6021">
        <v>75</v>
      </c>
      <c r="C6021" t="s">
        <v>8764</v>
      </c>
      <c r="D6021" t="s">
        <v>245</v>
      </c>
      <c r="E6021" s="13">
        <v>50</v>
      </c>
      <c r="F6021" s="12">
        <v>81.2</v>
      </c>
      <c r="G6021" t="str">
        <f>IFERROR(INDEX(tEditais[Órgão],MATCH(tItens[[#This Row],[Edital]],tEditais[Edital],0)),"")</f>
        <v>MUNICIPIO DE GENERAL CARNEIRO</v>
      </c>
      <c r="H6021" t="str">
        <f>IFERROR(INDEX(tEditais[UF],MATCH(tItens[[#This Row],[Edital]],tEditais[Edital],0)),"")</f>
        <v>PR</v>
      </c>
      <c r="I6021" s="11">
        <f>IFERROR(INDEX(tEditais[Encerramento],MATCH(tItens[[#This Row],[Edital]],tEditais[Edital],0)),"")</f>
        <v>46311.333333333336</v>
      </c>
      <c r="J6021" t="str">
        <f>IFERROR(INDEX(tProdutos[Classe],MATCH(tItens[[#This Row],[Produto]],tProdutos[Produto],0)),"produto não cadastrado")</f>
        <v>FORA</v>
      </c>
      <c r="K6021" s="12">
        <f>tItens[[#This Row],[Qtd]]*tItens[[#This Row],[Vlr unit]]</f>
        <v>4060</v>
      </c>
      <c r="L6021" s="6">
        <f>IFERROR(IF(INDEX(tProdutos[Desconto homologado],MATCH(tItens[[#This Row],[Produto]],tProdutos[Produto],0))="",DescontoPadrao,INDEX(tProdutos[Desconto homologado],MATCH(tItens[[#This Row],[Produto]],tProdutos[Produto],0))),DescontoPadrao)</f>
        <v>0.34516963542284401</v>
      </c>
      <c r="M6021" s="12">
        <f>tItens[[#This Row],[Valor]]*(1-tItens[[#This Row],[Desconto]])</f>
        <v>2658.6112801832537</v>
      </c>
      <c r="N6021" t="str">
        <f>IFERROR(INDEX(tProdutos[Foco],MATCH(tItens[[#This Row],[Produto]],tProdutos[Produto],0)),"Não")</f>
        <v>Não</v>
      </c>
      <c r="O6021" t="str">
        <f>IFERROR(INDEX(tEditais[SRP],MATCH(tItens[[#This Row],[Edital]],tEditais[Edital],0)),"Não")</f>
        <v>Sim</v>
      </c>
      <c r="P6021" s="4">
        <f>IF(COUNTIFS(INDEX(tItens[Edital],1):tItens[[#This Row],[Edital]],tItens[[#This Row],[Edital]],INDEX(tItens[Produto],1):tItens[[#This Row],[Produto]],tItens[[#This Row],[Produto]])=1,1,0)</f>
        <v>1</v>
      </c>
    </row>
    <row r="6022" spans="1:16" x14ac:dyDescent="0.25">
      <c r="A6022" t="s">
        <v>2146</v>
      </c>
      <c r="B6022">
        <v>76</v>
      </c>
      <c r="C6022" t="s">
        <v>8765</v>
      </c>
      <c r="D6022" t="s">
        <v>245</v>
      </c>
      <c r="E6022" s="13">
        <v>50</v>
      </c>
      <c r="F6022" s="12">
        <v>106.35</v>
      </c>
      <c r="G6022" t="str">
        <f>IFERROR(INDEX(tEditais[Órgão],MATCH(tItens[[#This Row],[Edital]],tEditais[Edital],0)),"")</f>
        <v>MUNICIPIO DE GENERAL CARNEIRO</v>
      </c>
      <c r="H6022" t="str">
        <f>IFERROR(INDEX(tEditais[UF],MATCH(tItens[[#This Row],[Edital]],tEditais[Edital],0)),"")</f>
        <v>PR</v>
      </c>
      <c r="I6022" s="11">
        <f>IFERROR(INDEX(tEditais[Encerramento],MATCH(tItens[[#This Row],[Edital]],tEditais[Edital],0)),"")</f>
        <v>46311.333333333336</v>
      </c>
      <c r="J6022" t="str">
        <f>IFERROR(INDEX(tProdutos[Classe],MATCH(tItens[[#This Row],[Produto]],tProdutos[Produto],0)),"produto não cadastrado")</f>
        <v>FORA</v>
      </c>
      <c r="K6022" s="12">
        <f>tItens[[#This Row],[Qtd]]*tItens[[#This Row],[Vlr unit]]</f>
        <v>5317.5</v>
      </c>
      <c r="L6022" s="6">
        <f>IFERROR(IF(INDEX(tProdutos[Desconto homologado],MATCH(tItens[[#This Row],[Produto]],tProdutos[Produto],0))="",DescontoPadrao,INDEX(tProdutos[Desconto homologado],MATCH(tItens[[#This Row],[Produto]],tProdutos[Produto],0))),DescontoPadrao)</f>
        <v>0.34516963542284401</v>
      </c>
      <c r="M6022" s="12">
        <f>tItens[[#This Row],[Valor]]*(1-tItens[[#This Row],[Desconto]])</f>
        <v>3482.0604636390271</v>
      </c>
      <c r="N6022" t="str">
        <f>IFERROR(INDEX(tProdutos[Foco],MATCH(tItens[[#This Row],[Produto]],tProdutos[Produto],0)),"Não")</f>
        <v>Não</v>
      </c>
      <c r="O6022" t="str">
        <f>IFERROR(INDEX(tEditais[SRP],MATCH(tItens[[#This Row],[Edital]],tEditais[Edital],0)),"Não")</f>
        <v>Sim</v>
      </c>
      <c r="P6022" s="4">
        <f>IF(COUNTIFS(INDEX(tItens[Edital],1):tItens[[#This Row],[Edital]],tItens[[#This Row],[Edital]],INDEX(tItens[Produto],1):tItens[[#This Row],[Produto]],tItens[[#This Row],[Produto]])=1,1,0)</f>
        <v>0</v>
      </c>
    </row>
    <row r="6023" spans="1:16" x14ac:dyDescent="0.25">
      <c r="A6023" t="s">
        <v>2146</v>
      </c>
      <c r="B6023">
        <v>77</v>
      </c>
      <c r="C6023" t="s">
        <v>8766</v>
      </c>
      <c r="D6023" t="s">
        <v>245</v>
      </c>
      <c r="E6023" s="13">
        <v>50</v>
      </c>
      <c r="F6023" s="12">
        <v>67.23</v>
      </c>
      <c r="G6023" t="str">
        <f>IFERROR(INDEX(tEditais[Órgão],MATCH(tItens[[#This Row],[Edital]],tEditais[Edital],0)),"")</f>
        <v>MUNICIPIO DE GENERAL CARNEIRO</v>
      </c>
      <c r="H6023" t="str">
        <f>IFERROR(INDEX(tEditais[UF],MATCH(tItens[[#This Row],[Edital]],tEditais[Edital],0)),"")</f>
        <v>PR</v>
      </c>
      <c r="I6023" s="11">
        <f>IFERROR(INDEX(tEditais[Encerramento],MATCH(tItens[[#This Row],[Edital]],tEditais[Edital],0)),"")</f>
        <v>46311.333333333336</v>
      </c>
      <c r="J6023" t="str">
        <f>IFERROR(INDEX(tProdutos[Classe],MATCH(tItens[[#This Row],[Produto]],tProdutos[Produto],0)),"produto não cadastrado")</f>
        <v>FORA</v>
      </c>
      <c r="K6023" s="12">
        <f>tItens[[#This Row],[Qtd]]*tItens[[#This Row],[Vlr unit]]</f>
        <v>3361.5</v>
      </c>
      <c r="L6023" s="6">
        <f>IFERROR(IF(INDEX(tProdutos[Desconto homologado],MATCH(tItens[[#This Row],[Produto]],tProdutos[Produto],0))="",DescontoPadrao,INDEX(tProdutos[Desconto homologado],MATCH(tItens[[#This Row],[Produto]],tProdutos[Produto],0))),DescontoPadrao)</f>
        <v>0.34516963542284401</v>
      </c>
      <c r="M6023" s="12">
        <f>tItens[[#This Row],[Valor]]*(1-tItens[[#This Row],[Desconto]])</f>
        <v>2201.2122705261099</v>
      </c>
      <c r="N6023" t="str">
        <f>IFERROR(INDEX(tProdutos[Foco],MATCH(tItens[[#This Row],[Produto]],tProdutos[Produto],0)),"Não")</f>
        <v>Não</v>
      </c>
      <c r="O6023" t="str">
        <f>IFERROR(INDEX(tEditais[SRP],MATCH(tItens[[#This Row],[Edital]],tEditais[Edital],0)),"Não")</f>
        <v>Sim</v>
      </c>
      <c r="P6023" s="4">
        <f>IF(COUNTIFS(INDEX(tItens[Edital],1):tItens[[#This Row],[Edital]],tItens[[#This Row],[Edital]],INDEX(tItens[Produto],1):tItens[[#This Row],[Produto]],tItens[[#This Row],[Produto]])=1,1,0)</f>
        <v>0</v>
      </c>
    </row>
    <row r="6024" spans="1:16" x14ac:dyDescent="0.25">
      <c r="A6024" t="s">
        <v>2146</v>
      </c>
      <c r="B6024">
        <v>78</v>
      </c>
      <c r="C6024" t="s">
        <v>8767</v>
      </c>
      <c r="D6024" t="s">
        <v>245</v>
      </c>
      <c r="E6024" s="13">
        <v>50</v>
      </c>
      <c r="F6024" s="12">
        <v>68.44</v>
      </c>
      <c r="G6024" t="str">
        <f>IFERROR(INDEX(tEditais[Órgão],MATCH(tItens[[#This Row],[Edital]],tEditais[Edital],0)),"")</f>
        <v>MUNICIPIO DE GENERAL CARNEIRO</v>
      </c>
      <c r="H6024" t="str">
        <f>IFERROR(INDEX(tEditais[UF],MATCH(tItens[[#This Row],[Edital]],tEditais[Edital],0)),"")</f>
        <v>PR</v>
      </c>
      <c r="I6024" s="11">
        <f>IFERROR(INDEX(tEditais[Encerramento],MATCH(tItens[[#This Row],[Edital]],tEditais[Edital],0)),"")</f>
        <v>46311.333333333336</v>
      </c>
      <c r="J6024" t="str">
        <f>IFERROR(INDEX(tProdutos[Classe],MATCH(tItens[[#This Row],[Produto]],tProdutos[Produto],0)),"produto não cadastrado")</f>
        <v>FORA</v>
      </c>
      <c r="K6024" s="12">
        <f>tItens[[#This Row],[Qtd]]*tItens[[#This Row],[Vlr unit]]</f>
        <v>3422</v>
      </c>
      <c r="L6024" s="6">
        <f>IFERROR(IF(INDEX(tProdutos[Desconto homologado],MATCH(tItens[[#This Row],[Produto]],tProdutos[Produto],0))="",DescontoPadrao,INDEX(tProdutos[Desconto homologado],MATCH(tItens[[#This Row],[Produto]],tProdutos[Produto],0))),DescontoPadrao)</f>
        <v>0.34516963542284401</v>
      </c>
      <c r="M6024" s="12">
        <f>tItens[[#This Row],[Valor]]*(1-tItens[[#This Row],[Desconto]])</f>
        <v>2240.8295075830279</v>
      </c>
      <c r="N6024" t="str">
        <f>IFERROR(INDEX(tProdutos[Foco],MATCH(tItens[[#This Row],[Produto]],tProdutos[Produto],0)),"Não")</f>
        <v>Não</v>
      </c>
      <c r="O6024" t="str">
        <f>IFERROR(INDEX(tEditais[SRP],MATCH(tItens[[#This Row],[Edital]],tEditais[Edital],0)),"Não")</f>
        <v>Sim</v>
      </c>
      <c r="P6024" s="4">
        <f>IF(COUNTIFS(INDEX(tItens[Edital],1):tItens[[#This Row],[Edital]],tItens[[#This Row],[Edital]],INDEX(tItens[Produto],1):tItens[[#This Row],[Produto]],tItens[[#This Row],[Produto]])=1,1,0)</f>
        <v>0</v>
      </c>
    </row>
    <row r="6025" spans="1:16" x14ac:dyDescent="0.25">
      <c r="A6025" t="s">
        <v>2146</v>
      </c>
      <c r="B6025">
        <v>80</v>
      </c>
      <c r="C6025" t="s">
        <v>8768</v>
      </c>
      <c r="D6025" t="s">
        <v>172</v>
      </c>
      <c r="E6025" s="13">
        <v>50</v>
      </c>
      <c r="F6025" s="12">
        <v>0.69</v>
      </c>
      <c r="G6025" t="str">
        <f>IFERROR(INDEX(tEditais[Órgão],MATCH(tItens[[#This Row],[Edital]],tEditais[Edital],0)),"")</f>
        <v>MUNICIPIO DE GENERAL CARNEIRO</v>
      </c>
      <c r="H6025" t="str">
        <f>IFERROR(INDEX(tEditais[UF],MATCH(tItens[[#This Row],[Edital]],tEditais[Edital],0)),"")</f>
        <v>PR</v>
      </c>
      <c r="I6025" s="11">
        <f>IFERROR(INDEX(tEditais[Encerramento],MATCH(tItens[[#This Row],[Edital]],tEditais[Edital],0)),"")</f>
        <v>46311.333333333336</v>
      </c>
      <c r="J6025" t="str">
        <f>IFERROR(INDEX(tProdutos[Classe],MATCH(tItens[[#This Row],[Produto]],tProdutos[Produto],0)),"produto não cadastrado")</f>
        <v>DISPUTADO</v>
      </c>
      <c r="K6025" s="12">
        <f>tItens[[#This Row],[Qtd]]*tItens[[#This Row],[Vlr unit]]</f>
        <v>34.5</v>
      </c>
      <c r="L6025" s="6">
        <f>IFERROR(IF(INDEX(tProdutos[Desconto homologado],MATCH(tItens[[#This Row],[Produto]],tProdutos[Produto],0))="",DescontoPadrao,INDEX(tProdutos[Desconto homologado],MATCH(tItens[[#This Row],[Produto]],tProdutos[Produto],0))),DescontoPadrao)</f>
        <v>0.33578431372549</v>
      </c>
      <c r="M6025" s="12">
        <f>tItens[[#This Row],[Valor]]*(1-tItens[[#This Row],[Desconto]])</f>
        <v>22.915441176470594</v>
      </c>
      <c r="N6025" t="str">
        <f>IFERROR(INDEX(tProdutos[Foco],MATCH(tItens[[#This Row],[Produto]],tProdutos[Produto],0)),"Não")</f>
        <v>Não</v>
      </c>
      <c r="O6025" t="str">
        <f>IFERROR(INDEX(tEditais[SRP],MATCH(tItens[[#This Row],[Edital]],tEditais[Edital],0)),"Não")</f>
        <v>Sim</v>
      </c>
      <c r="P6025" s="4">
        <f>IF(COUNTIFS(INDEX(tItens[Edital],1):tItens[[#This Row],[Edital]],tItens[[#This Row],[Edital]],INDEX(tItens[Produto],1):tItens[[#This Row],[Produto]],tItens[[#This Row],[Produto]])=1,1,0)</f>
        <v>1</v>
      </c>
    </row>
    <row r="6026" spans="1:16" x14ac:dyDescent="0.25">
      <c r="A6026" t="s">
        <v>2146</v>
      </c>
      <c r="B6026">
        <v>93</v>
      </c>
      <c r="C6026" t="s">
        <v>8769</v>
      </c>
      <c r="D6026" t="s">
        <v>349</v>
      </c>
      <c r="E6026" s="13">
        <v>500</v>
      </c>
      <c r="F6026" s="12">
        <v>0.65</v>
      </c>
      <c r="G6026" t="str">
        <f>IFERROR(INDEX(tEditais[Órgão],MATCH(tItens[[#This Row],[Edital]],tEditais[Edital],0)),"")</f>
        <v>MUNICIPIO DE GENERAL CARNEIRO</v>
      </c>
      <c r="H6026" t="str">
        <f>IFERROR(INDEX(tEditais[UF],MATCH(tItens[[#This Row],[Edital]],tEditais[Edital],0)),"")</f>
        <v>PR</v>
      </c>
      <c r="I6026" s="11">
        <f>IFERROR(INDEX(tEditais[Encerramento],MATCH(tItens[[#This Row],[Edital]],tEditais[Edital],0)),"")</f>
        <v>46311.333333333336</v>
      </c>
      <c r="J6026" t="str">
        <f>IFERROR(INDEX(tProdutos[Classe],MATCH(tItens[[#This Row],[Produto]],tProdutos[Produto],0)),"produto não cadastrado")</f>
        <v>FORA</v>
      </c>
      <c r="K6026" s="12">
        <f>tItens[[#This Row],[Qtd]]*tItens[[#This Row],[Vlr unit]]</f>
        <v>325</v>
      </c>
      <c r="L6026" s="6">
        <f>IFERROR(IF(INDEX(tProdutos[Desconto homologado],MATCH(tItens[[#This Row],[Produto]],tProdutos[Produto],0))="",DescontoPadrao,INDEX(tProdutos[Desconto homologado],MATCH(tItens[[#This Row],[Produto]],tProdutos[Produto],0))),DescontoPadrao)</f>
        <v>0.38826228254635797</v>
      </c>
      <c r="M6026" s="12">
        <f>tItens[[#This Row],[Valor]]*(1-tItens[[#This Row],[Desconto]])</f>
        <v>198.81475817243367</v>
      </c>
      <c r="N6026" t="str">
        <f>IFERROR(INDEX(tProdutos[Foco],MATCH(tItens[[#This Row],[Produto]],tProdutos[Produto],0)),"Não")</f>
        <v>Não</v>
      </c>
      <c r="O6026" t="str">
        <f>IFERROR(INDEX(tEditais[SRP],MATCH(tItens[[#This Row],[Edital]],tEditais[Edital],0)),"Não")</f>
        <v>Sim</v>
      </c>
      <c r="P6026" s="4">
        <f>IF(COUNTIFS(INDEX(tItens[Edital],1):tItens[[#This Row],[Edital]],tItens[[#This Row],[Edital]],INDEX(tItens[Produto],1):tItens[[#This Row],[Produto]],tItens[[#This Row],[Produto]])=1,1,0)</f>
        <v>1</v>
      </c>
    </row>
    <row r="6027" spans="1:16" x14ac:dyDescent="0.25">
      <c r="A6027" t="s">
        <v>2146</v>
      </c>
      <c r="B6027">
        <v>94</v>
      </c>
      <c r="C6027" t="s">
        <v>8770</v>
      </c>
      <c r="D6027" t="s">
        <v>611</v>
      </c>
      <c r="E6027" s="13">
        <v>5</v>
      </c>
      <c r="F6027" s="12">
        <v>237.98</v>
      </c>
      <c r="G6027" t="str">
        <f>IFERROR(INDEX(tEditais[Órgão],MATCH(tItens[[#This Row],[Edital]],tEditais[Edital],0)),"")</f>
        <v>MUNICIPIO DE GENERAL CARNEIRO</v>
      </c>
      <c r="H6027" t="str">
        <f>IFERROR(INDEX(tEditais[UF],MATCH(tItens[[#This Row],[Edital]],tEditais[Edital],0)),"")</f>
        <v>PR</v>
      </c>
      <c r="I6027" s="11">
        <f>IFERROR(INDEX(tEditais[Encerramento],MATCH(tItens[[#This Row],[Edital]],tEditais[Edital],0)),"")</f>
        <v>46311.333333333336</v>
      </c>
      <c r="J6027" t="str">
        <f>IFERROR(INDEX(tProdutos[Classe],MATCH(tItens[[#This Row],[Produto]],tProdutos[Produto],0)),"produto não cadastrado")</f>
        <v>FILA REBASE</v>
      </c>
      <c r="K6027" s="12">
        <f>tItens[[#This Row],[Qtd]]*tItens[[#This Row],[Vlr unit]]</f>
        <v>1189.8999999999999</v>
      </c>
      <c r="L6027" s="6">
        <f>IFERROR(IF(INDEX(tProdutos[Desconto homologado],MATCH(tItens[[#This Row],[Produto]],tProdutos[Produto],0))="",DescontoPadrao,INDEX(tProdutos[Desconto homologado],MATCH(tItens[[#This Row],[Produto]],tProdutos[Produto],0))),DescontoPadrao)</f>
        <v>0.3</v>
      </c>
      <c r="M6027" s="12">
        <f>tItens[[#This Row],[Valor]]*(1-tItens[[#This Row],[Desconto]])</f>
        <v>832.92999999999984</v>
      </c>
      <c r="N6027" t="str">
        <f>IFERROR(INDEX(tProdutos[Foco],MATCH(tItens[[#This Row],[Produto]],tProdutos[Produto],0)),"Não")</f>
        <v>Não</v>
      </c>
      <c r="O6027" t="str">
        <f>IFERROR(INDEX(tEditais[SRP],MATCH(tItens[[#This Row],[Edital]],tEditais[Edital],0)),"Não")</f>
        <v>Sim</v>
      </c>
      <c r="P6027" s="4">
        <f>IF(COUNTIFS(INDEX(tItens[Edital],1):tItens[[#This Row],[Edital]],tItens[[#This Row],[Edital]],INDEX(tItens[Produto],1):tItens[[#This Row],[Produto]],tItens[[#This Row],[Produto]])=1,1,0)</f>
        <v>1</v>
      </c>
    </row>
    <row r="6028" spans="1:16" x14ac:dyDescent="0.25">
      <c r="A6028" t="s">
        <v>2146</v>
      </c>
      <c r="B6028">
        <v>98</v>
      </c>
      <c r="C6028" t="s">
        <v>8771</v>
      </c>
      <c r="D6028" t="s">
        <v>641</v>
      </c>
      <c r="E6028" s="13">
        <v>20</v>
      </c>
      <c r="F6028" s="12">
        <v>64.23</v>
      </c>
      <c r="G6028" t="str">
        <f>IFERROR(INDEX(tEditais[Órgão],MATCH(tItens[[#This Row],[Edital]],tEditais[Edital],0)),"")</f>
        <v>MUNICIPIO DE GENERAL CARNEIRO</v>
      </c>
      <c r="H6028" t="str">
        <f>IFERROR(INDEX(tEditais[UF],MATCH(tItens[[#This Row],[Edital]],tEditais[Edital],0)),"")</f>
        <v>PR</v>
      </c>
      <c r="I6028" s="11">
        <f>IFERROR(INDEX(tEditais[Encerramento],MATCH(tItens[[#This Row],[Edital]],tEditais[Edital],0)),"")</f>
        <v>46311.333333333336</v>
      </c>
      <c r="J6028" t="str">
        <f>IFERROR(INDEX(tProdutos[Classe],MATCH(tItens[[#This Row],[Produto]],tProdutos[Produto],0)),"produto não cadastrado")</f>
        <v>FILA REBASE</v>
      </c>
      <c r="K6028" s="12">
        <f>tItens[[#This Row],[Qtd]]*tItens[[#This Row],[Vlr unit]]</f>
        <v>1284.6000000000001</v>
      </c>
      <c r="L6028" s="6">
        <f>IFERROR(IF(INDEX(tProdutos[Desconto homologado],MATCH(tItens[[#This Row],[Produto]],tProdutos[Produto],0))="",DescontoPadrao,INDEX(tProdutos[Desconto homologado],MATCH(tItens[[#This Row],[Produto]],tProdutos[Produto],0))),DescontoPadrao)</f>
        <v>0.3</v>
      </c>
      <c r="M6028" s="12">
        <f>tItens[[#This Row],[Valor]]*(1-tItens[[#This Row],[Desconto]])</f>
        <v>899.22</v>
      </c>
      <c r="N6028" t="str">
        <f>IFERROR(INDEX(tProdutos[Foco],MATCH(tItens[[#This Row],[Produto]],tProdutos[Produto],0)),"Não")</f>
        <v>Não</v>
      </c>
      <c r="O6028" t="str">
        <f>IFERROR(INDEX(tEditais[SRP],MATCH(tItens[[#This Row],[Edital]],tEditais[Edital],0)),"Não")</f>
        <v>Sim</v>
      </c>
      <c r="P6028" s="4">
        <f>IF(COUNTIFS(INDEX(tItens[Edital],1):tItens[[#This Row],[Edital]],tItens[[#This Row],[Edital]],INDEX(tItens[Produto],1):tItens[[#This Row],[Produto]],tItens[[#This Row],[Produto]])=1,1,0)</f>
        <v>1</v>
      </c>
    </row>
    <row r="6029" spans="1:16" x14ac:dyDescent="0.25">
      <c r="A6029" t="s">
        <v>2146</v>
      </c>
      <c r="B6029">
        <v>108</v>
      </c>
      <c r="C6029" t="s">
        <v>8772</v>
      </c>
      <c r="D6029" t="s">
        <v>187</v>
      </c>
      <c r="E6029" s="13">
        <v>1000</v>
      </c>
      <c r="F6029" s="12">
        <v>2.84</v>
      </c>
      <c r="G6029" t="str">
        <f>IFERROR(INDEX(tEditais[Órgão],MATCH(tItens[[#This Row],[Edital]],tEditais[Edital],0)),"")</f>
        <v>MUNICIPIO DE GENERAL CARNEIRO</v>
      </c>
      <c r="H6029" t="str">
        <f>IFERROR(INDEX(tEditais[UF],MATCH(tItens[[#This Row],[Edital]],tEditais[Edital],0)),"")</f>
        <v>PR</v>
      </c>
      <c r="I6029" s="11">
        <f>IFERROR(INDEX(tEditais[Encerramento],MATCH(tItens[[#This Row],[Edital]],tEditais[Edital],0)),"")</f>
        <v>46311.333333333336</v>
      </c>
      <c r="J6029" t="str">
        <f>IFERROR(INDEX(tProdutos[Classe],MATCH(tItens[[#This Row],[Produto]],tProdutos[Produto],0)),"produto não cadastrado")</f>
        <v>DISPUTADO</v>
      </c>
      <c r="K6029" s="12">
        <f>tItens[[#This Row],[Qtd]]*tItens[[#This Row],[Vlr unit]]</f>
        <v>2840</v>
      </c>
      <c r="L6029" s="6">
        <f>IFERROR(IF(INDEX(tProdutos[Desconto homologado],MATCH(tItens[[#This Row],[Produto]],tProdutos[Produto],0))="",DescontoPadrao,INDEX(tProdutos[Desconto homologado],MATCH(tItens[[#This Row],[Produto]],tProdutos[Produto],0))),DescontoPadrao)</f>
        <v>0.44298820445609399</v>
      </c>
      <c r="M6029" s="12">
        <f>tItens[[#This Row],[Valor]]*(1-tItens[[#This Row],[Desconto]])</f>
        <v>1581.913499344693</v>
      </c>
      <c r="N6029" t="str">
        <f>IFERROR(INDEX(tProdutos[Foco],MATCH(tItens[[#This Row],[Produto]],tProdutos[Produto],0)),"Não")</f>
        <v>Não</v>
      </c>
      <c r="O6029" t="str">
        <f>IFERROR(INDEX(tEditais[SRP],MATCH(tItens[[#This Row],[Edital]],tEditais[Edital],0)),"Não")</f>
        <v>Sim</v>
      </c>
      <c r="P6029" s="4">
        <f>IF(COUNTIFS(INDEX(tItens[Edital],1):tItens[[#This Row],[Edital]],tItens[[#This Row],[Edital]],INDEX(tItens[Produto],1):tItens[[#This Row],[Produto]],tItens[[#This Row],[Produto]])=1,1,0)</f>
        <v>1</v>
      </c>
    </row>
    <row r="6030" spans="1:16" x14ac:dyDescent="0.25">
      <c r="A6030" t="s">
        <v>2146</v>
      </c>
      <c r="B6030">
        <v>118</v>
      </c>
      <c r="C6030" t="s">
        <v>8773</v>
      </c>
      <c r="D6030" t="s">
        <v>90</v>
      </c>
      <c r="E6030" s="13">
        <v>1700</v>
      </c>
      <c r="F6030" s="12">
        <v>15.38</v>
      </c>
      <c r="G6030" t="str">
        <f>IFERROR(INDEX(tEditais[Órgão],MATCH(tItens[[#This Row],[Edital]],tEditais[Edital],0)),"")</f>
        <v>MUNICIPIO DE GENERAL CARNEIRO</v>
      </c>
      <c r="H6030" t="str">
        <f>IFERROR(INDEX(tEditais[UF],MATCH(tItens[[#This Row],[Edital]],tEditais[Edital],0)),"")</f>
        <v>PR</v>
      </c>
      <c r="I6030" s="11">
        <f>IFERROR(INDEX(tEditais[Encerramento],MATCH(tItens[[#This Row],[Edital]],tEditais[Edital],0)),"")</f>
        <v>46311.333333333336</v>
      </c>
      <c r="J6030" t="str">
        <f>IFERROR(INDEX(tProdutos[Classe],MATCH(tItens[[#This Row],[Produto]],tProdutos[Produto],0)),"produto não cadastrado")</f>
        <v>DISPUTADO</v>
      </c>
      <c r="K6030" s="12">
        <f>tItens[[#This Row],[Qtd]]*tItens[[#This Row],[Vlr unit]]</f>
        <v>26146</v>
      </c>
      <c r="L6030" s="6">
        <f>IFERROR(IF(INDEX(tProdutos[Desconto homologado],MATCH(tItens[[#This Row],[Produto]],tProdutos[Produto],0))="",DescontoPadrao,INDEX(tProdutos[Desconto homologado],MATCH(tItens[[#This Row],[Produto]],tProdutos[Produto],0))),DescontoPadrao)</f>
        <v>0.25393823957010597</v>
      </c>
      <c r="M6030" s="12">
        <f>tItens[[#This Row],[Valor]]*(1-tItens[[#This Row],[Desconto]])</f>
        <v>19506.530788200009</v>
      </c>
      <c r="N6030" t="str">
        <f>IFERROR(INDEX(tProdutos[Foco],MATCH(tItens[[#This Row],[Produto]],tProdutos[Produto],0)),"Não")</f>
        <v>Não</v>
      </c>
      <c r="O6030" t="str">
        <f>IFERROR(INDEX(tEditais[SRP],MATCH(tItens[[#This Row],[Edital]],tEditais[Edital],0)),"Não")</f>
        <v>Sim</v>
      </c>
      <c r="P6030" s="4">
        <f>IF(COUNTIFS(INDEX(tItens[Edital],1):tItens[[#This Row],[Edital]],tItens[[#This Row],[Edital]],INDEX(tItens[Produto],1):tItens[[#This Row],[Produto]],tItens[[#This Row],[Produto]])=1,1,0)</f>
        <v>1</v>
      </c>
    </row>
    <row r="6031" spans="1:16" x14ac:dyDescent="0.25">
      <c r="A6031" t="s">
        <v>2146</v>
      </c>
      <c r="B6031">
        <v>119</v>
      </c>
      <c r="C6031" t="s">
        <v>8774</v>
      </c>
      <c r="D6031" t="s">
        <v>90</v>
      </c>
      <c r="E6031" s="13">
        <v>1800</v>
      </c>
      <c r="F6031" s="12">
        <v>9.1999999999999993</v>
      </c>
      <c r="G6031" t="str">
        <f>IFERROR(INDEX(tEditais[Órgão],MATCH(tItens[[#This Row],[Edital]],tEditais[Edital],0)),"")</f>
        <v>MUNICIPIO DE GENERAL CARNEIRO</v>
      </c>
      <c r="H6031" t="str">
        <f>IFERROR(INDEX(tEditais[UF],MATCH(tItens[[#This Row],[Edital]],tEditais[Edital],0)),"")</f>
        <v>PR</v>
      </c>
      <c r="I6031" s="11">
        <f>IFERROR(INDEX(tEditais[Encerramento],MATCH(tItens[[#This Row],[Edital]],tEditais[Edital],0)),"")</f>
        <v>46311.333333333336</v>
      </c>
      <c r="J6031" t="str">
        <f>IFERROR(INDEX(tProdutos[Classe],MATCH(tItens[[#This Row],[Produto]],tProdutos[Produto],0)),"produto não cadastrado")</f>
        <v>DISPUTADO</v>
      </c>
      <c r="K6031" s="12">
        <f>tItens[[#This Row],[Qtd]]*tItens[[#This Row],[Vlr unit]]</f>
        <v>16560</v>
      </c>
      <c r="L6031" s="6">
        <f>IFERROR(IF(INDEX(tProdutos[Desconto homologado],MATCH(tItens[[#This Row],[Produto]],tProdutos[Produto],0))="",DescontoPadrao,INDEX(tProdutos[Desconto homologado],MATCH(tItens[[#This Row],[Produto]],tProdutos[Produto],0))),DescontoPadrao)</f>
        <v>0.25393823957010597</v>
      </c>
      <c r="M6031" s="12">
        <f>tItens[[#This Row],[Valor]]*(1-tItens[[#This Row],[Desconto]])</f>
        <v>12354.782752719046</v>
      </c>
      <c r="N6031" t="str">
        <f>IFERROR(INDEX(tProdutos[Foco],MATCH(tItens[[#This Row],[Produto]],tProdutos[Produto],0)),"Não")</f>
        <v>Não</v>
      </c>
      <c r="O6031" t="str">
        <f>IFERROR(INDEX(tEditais[SRP],MATCH(tItens[[#This Row],[Edital]],tEditais[Edital],0)),"Não")</f>
        <v>Sim</v>
      </c>
      <c r="P6031" s="4">
        <f>IF(COUNTIFS(INDEX(tItens[Edital],1):tItens[[#This Row],[Edital]],tItens[[#This Row],[Edital]],INDEX(tItens[Produto],1):tItens[[#This Row],[Produto]],tItens[[#This Row],[Produto]])=1,1,0)</f>
        <v>0</v>
      </c>
    </row>
    <row r="6032" spans="1:16" x14ac:dyDescent="0.25">
      <c r="A6032" t="s">
        <v>2146</v>
      </c>
      <c r="B6032">
        <v>120</v>
      </c>
      <c r="C6032" t="s">
        <v>8775</v>
      </c>
      <c r="D6032" t="s">
        <v>90</v>
      </c>
      <c r="E6032" s="13">
        <v>2000</v>
      </c>
      <c r="F6032" s="12">
        <v>7.06</v>
      </c>
      <c r="G6032" t="str">
        <f>IFERROR(INDEX(tEditais[Órgão],MATCH(tItens[[#This Row],[Edital]],tEditais[Edital],0)),"")</f>
        <v>MUNICIPIO DE GENERAL CARNEIRO</v>
      </c>
      <c r="H6032" t="str">
        <f>IFERROR(INDEX(tEditais[UF],MATCH(tItens[[#This Row],[Edital]],tEditais[Edital],0)),"")</f>
        <v>PR</v>
      </c>
      <c r="I6032" s="11">
        <f>IFERROR(INDEX(tEditais[Encerramento],MATCH(tItens[[#This Row],[Edital]],tEditais[Edital],0)),"")</f>
        <v>46311.333333333336</v>
      </c>
      <c r="J6032" t="str">
        <f>IFERROR(INDEX(tProdutos[Classe],MATCH(tItens[[#This Row],[Produto]],tProdutos[Produto],0)),"produto não cadastrado")</f>
        <v>DISPUTADO</v>
      </c>
      <c r="K6032" s="12">
        <f>tItens[[#This Row],[Qtd]]*tItens[[#This Row],[Vlr unit]]</f>
        <v>14120</v>
      </c>
      <c r="L6032" s="6">
        <f>IFERROR(IF(INDEX(tProdutos[Desconto homologado],MATCH(tItens[[#This Row],[Produto]],tProdutos[Produto],0))="",DescontoPadrao,INDEX(tProdutos[Desconto homologado],MATCH(tItens[[#This Row],[Produto]],tProdutos[Produto],0))),DescontoPadrao)</f>
        <v>0.25393823957010597</v>
      </c>
      <c r="M6032" s="12">
        <f>tItens[[#This Row],[Valor]]*(1-tItens[[#This Row],[Desconto]])</f>
        <v>10534.392057270104</v>
      </c>
      <c r="N6032" t="str">
        <f>IFERROR(INDEX(tProdutos[Foco],MATCH(tItens[[#This Row],[Produto]],tProdutos[Produto],0)),"Não")</f>
        <v>Não</v>
      </c>
      <c r="O6032" t="str">
        <f>IFERROR(INDEX(tEditais[SRP],MATCH(tItens[[#This Row],[Edital]],tEditais[Edital],0)),"Não")</f>
        <v>Sim</v>
      </c>
      <c r="P6032" s="4">
        <f>IF(COUNTIFS(INDEX(tItens[Edital],1):tItens[[#This Row],[Edital]],tItens[[#This Row],[Edital]],INDEX(tItens[Produto],1):tItens[[#This Row],[Produto]],tItens[[#This Row],[Produto]])=1,1,0)</f>
        <v>0</v>
      </c>
    </row>
    <row r="6033" spans="1:16" x14ac:dyDescent="0.25">
      <c r="A6033" t="s">
        <v>2146</v>
      </c>
      <c r="B6033">
        <v>121</v>
      </c>
      <c r="C6033" t="s">
        <v>8776</v>
      </c>
      <c r="D6033" t="s">
        <v>75</v>
      </c>
      <c r="E6033" s="13">
        <v>1500</v>
      </c>
      <c r="F6033" s="12">
        <v>1.76</v>
      </c>
      <c r="G6033" t="str">
        <f>IFERROR(INDEX(tEditais[Órgão],MATCH(tItens[[#This Row],[Edital]],tEditais[Edital],0)),"")</f>
        <v>MUNICIPIO DE GENERAL CARNEIRO</v>
      </c>
      <c r="H6033" t="str">
        <f>IFERROR(INDEX(tEditais[UF],MATCH(tItens[[#This Row],[Edital]],tEditais[Edital],0)),"")</f>
        <v>PR</v>
      </c>
      <c r="I6033" s="11">
        <f>IFERROR(INDEX(tEditais[Encerramento],MATCH(tItens[[#This Row],[Edital]],tEditais[Edital],0)),"")</f>
        <v>46311.333333333336</v>
      </c>
      <c r="J6033" t="str">
        <f>IFERROR(INDEX(tProdutos[Classe],MATCH(tItens[[#This Row],[Produto]],tProdutos[Produto],0)),"produto não cadastrado")</f>
        <v>NÚCLEO</v>
      </c>
      <c r="K6033" s="12">
        <f>tItens[[#This Row],[Qtd]]*tItens[[#This Row],[Vlr unit]]</f>
        <v>2640</v>
      </c>
      <c r="L6033" s="6">
        <f>IFERROR(IF(INDEX(tProdutos[Desconto homologado],MATCH(tItens[[#This Row],[Produto]],tProdutos[Produto],0))="",DescontoPadrao,INDEX(tProdutos[Desconto homologado],MATCH(tItens[[#This Row],[Produto]],tProdutos[Produto],0))),DescontoPadrao)</f>
        <v>0.26</v>
      </c>
      <c r="M6033" s="12">
        <f>tItens[[#This Row],[Valor]]*(1-tItens[[#This Row],[Desconto]])</f>
        <v>1953.6</v>
      </c>
      <c r="N6033" t="str">
        <f>IFERROR(INDEX(tProdutos[Foco],MATCH(tItens[[#This Row],[Produto]],tProdutos[Produto],0)),"Não")</f>
        <v>Sim</v>
      </c>
      <c r="O6033" t="str">
        <f>IFERROR(INDEX(tEditais[SRP],MATCH(tItens[[#This Row],[Edital]],tEditais[Edital],0)),"Não")</f>
        <v>Sim</v>
      </c>
      <c r="P6033" s="4">
        <f>IF(COUNTIFS(INDEX(tItens[Edital],1):tItens[[#This Row],[Edital]],tItens[[#This Row],[Edital]],INDEX(tItens[Produto],1):tItens[[#This Row],[Produto]],tItens[[#This Row],[Produto]])=1,1,0)</f>
        <v>1</v>
      </c>
    </row>
    <row r="6034" spans="1:16" x14ac:dyDescent="0.25">
      <c r="A6034" t="s">
        <v>2146</v>
      </c>
      <c r="B6034">
        <v>122</v>
      </c>
      <c r="C6034" t="s">
        <v>8777</v>
      </c>
      <c r="D6034" t="s">
        <v>75</v>
      </c>
      <c r="E6034" s="13">
        <v>1850</v>
      </c>
      <c r="F6034" s="12">
        <v>1.81</v>
      </c>
      <c r="G6034" t="str">
        <f>IFERROR(INDEX(tEditais[Órgão],MATCH(tItens[[#This Row],[Edital]],tEditais[Edital],0)),"")</f>
        <v>MUNICIPIO DE GENERAL CARNEIRO</v>
      </c>
      <c r="H6034" t="str">
        <f>IFERROR(INDEX(tEditais[UF],MATCH(tItens[[#This Row],[Edital]],tEditais[Edital],0)),"")</f>
        <v>PR</v>
      </c>
      <c r="I6034" s="11">
        <f>IFERROR(INDEX(tEditais[Encerramento],MATCH(tItens[[#This Row],[Edital]],tEditais[Edital],0)),"")</f>
        <v>46311.333333333336</v>
      </c>
      <c r="J6034" t="str">
        <f>IFERROR(INDEX(tProdutos[Classe],MATCH(tItens[[#This Row],[Produto]],tProdutos[Produto],0)),"produto não cadastrado")</f>
        <v>NÚCLEO</v>
      </c>
      <c r="K6034" s="12">
        <f>tItens[[#This Row],[Qtd]]*tItens[[#This Row],[Vlr unit]]</f>
        <v>3348.5</v>
      </c>
      <c r="L6034" s="6">
        <f>IFERROR(IF(INDEX(tProdutos[Desconto homologado],MATCH(tItens[[#This Row],[Produto]],tProdutos[Produto],0))="",DescontoPadrao,INDEX(tProdutos[Desconto homologado],MATCH(tItens[[#This Row],[Produto]],tProdutos[Produto],0))),DescontoPadrao)</f>
        <v>0.26</v>
      </c>
      <c r="M6034" s="12">
        <f>tItens[[#This Row],[Valor]]*(1-tItens[[#This Row],[Desconto]])</f>
        <v>2477.89</v>
      </c>
      <c r="N6034" t="str">
        <f>IFERROR(INDEX(tProdutos[Foco],MATCH(tItens[[#This Row],[Produto]],tProdutos[Produto],0)),"Não")</f>
        <v>Sim</v>
      </c>
      <c r="O6034" t="str">
        <f>IFERROR(INDEX(tEditais[SRP],MATCH(tItens[[#This Row],[Edital]],tEditais[Edital],0)),"Não")</f>
        <v>Sim</v>
      </c>
      <c r="P6034" s="4">
        <f>IF(COUNTIFS(INDEX(tItens[Edital],1):tItens[[#This Row],[Edital]],tItens[[#This Row],[Edital]],INDEX(tItens[Produto],1):tItens[[#This Row],[Produto]],tItens[[#This Row],[Produto]])=1,1,0)</f>
        <v>0</v>
      </c>
    </row>
    <row r="6035" spans="1:16" x14ac:dyDescent="0.25">
      <c r="A6035" t="s">
        <v>2146</v>
      </c>
      <c r="B6035">
        <v>123</v>
      </c>
      <c r="C6035" t="s">
        <v>8778</v>
      </c>
      <c r="D6035" t="s">
        <v>75</v>
      </c>
      <c r="E6035" s="13">
        <v>1500</v>
      </c>
      <c r="F6035" s="12">
        <v>1.39</v>
      </c>
      <c r="G6035" t="str">
        <f>IFERROR(INDEX(tEditais[Órgão],MATCH(tItens[[#This Row],[Edital]],tEditais[Edital],0)),"")</f>
        <v>MUNICIPIO DE GENERAL CARNEIRO</v>
      </c>
      <c r="H6035" t="str">
        <f>IFERROR(INDEX(tEditais[UF],MATCH(tItens[[#This Row],[Edital]],tEditais[Edital],0)),"")</f>
        <v>PR</v>
      </c>
      <c r="I6035" s="11">
        <f>IFERROR(INDEX(tEditais[Encerramento],MATCH(tItens[[#This Row],[Edital]],tEditais[Edital],0)),"")</f>
        <v>46311.333333333336</v>
      </c>
      <c r="J6035" t="str">
        <f>IFERROR(INDEX(tProdutos[Classe],MATCH(tItens[[#This Row],[Produto]],tProdutos[Produto],0)),"produto não cadastrado")</f>
        <v>NÚCLEO</v>
      </c>
      <c r="K6035" s="12">
        <f>tItens[[#This Row],[Qtd]]*tItens[[#This Row],[Vlr unit]]</f>
        <v>2085</v>
      </c>
      <c r="L6035" s="6">
        <f>IFERROR(IF(INDEX(tProdutos[Desconto homologado],MATCH(tItens[[#This Row],[Produto]],tProdutos[Produto],0))="",DescontoPadrao,INDEX(tProdutos[Desconto homologado],MATCH(tItens[[#This Row],[Produto]],tProdutos[Produto],0))),DescontoPadrao)</f>
        <v>0.26</v>
      </c>
      <c r="M6035" s="12">
        <f>tItens[[#This Row],[Valor]]*(1-tItens[[#This Row],[Desconto]])</f>
        <v>1542.9</v>
      </c>
      <c r="N6035" t="str">
        <f>IFERROR(INDEX(tProdutos[Foco],MATCH(tItens[[#This Row],[Produto]],tProdutos[Produto],0)),"Não")</f>
        <v>Sim</v>
      </c>
      <c r="O6035" t="str">
        <f>IFERROR(INDEX(tEditais[SRP],MATCH(tItens[[#This Row],[Edital]],tEditais[Edital],0)),"Não")</f>
        <v>Sim</v>
      </c>
      <c r="P6035" s="4">
        <f>IF(COUNTIFS(INDEX(tItens[Edital],1):tItens[[#This Row],[Edital]],tItens[[#This Row],[Edital]],INDEX(tItens[Produto],1):tItens[[#This Row],[Produto]],tItens[[#This Row],[Produto]])=1,1,0)</f>
        <v>0</v>
      </c>
    </row>
    <row r="6036" spans="1:16" x14ac:dyDescent="0.25">
      <c r="A6036" t="s">
        <v>2146</v>
      </c>
      <c r="B6036">
        <v>133</v>
      </c>
      <c r="C6036" t="s">
        <v>8779</v>
      </c>
      <c r="D6036" t="s">
        <v>259</v>
      </c>
      <c r="E6036" s="13">
        <v>150</v>
      </c>
      <c r="F6036" s="12">
        <v>7.31</v>
      </c>
      <c r="G6036" t="str">
        <f>IFERROR(INDEX(tEditais[Órgão],MATCH(tItens[[#This Row],[Edital]],tEditais[Edital],0)),"")</f>
        <v>MUNICIPIO DE GENERAL CARNEIRO</v>
      </c>
      <c r="H6036" t="str">
        <f>IFERROR(INDEX(tEditais[UF],MATCH(tItens[[#This Row],[Edital]],tEditais[Edital],0)),"")</f>
        <v>PR</v>
      </c>
      <c r="I6036" s="11">
        <f>IFERROR(INDEX(tEditais[Encerramento],MATCH(tItens[[#This Row],[Edital]],tEditais[Edital],0)),"")</f>
        <v>46311.333333333336</v>
      </c>
      <c r="J6036" t="str">
        <f>IFERROR(INDEX(tProdutos[Classe],MATCH(tItens[[#This Row],[Produto]],tProdutos[Produto],0)),"produto não cadastrado")</f>
        <v>FORA</v>
      </c>
      <c r="K6036" s="12">
        <f>tItens[[#This Row],[Qtd]]*tItens[[#This Row],[Vlr unit]]</f>
        <v>1096.5</v>
      </c>
      <c r="L6036" s="6">
        <f>IFERROR(IF(INDEX(tProdutos[Desconto homologado],MATCH(tItens[[#This Row],[Produto]],tProdutos[Produto],0))="",DescontoPadrao,INDEX(tProdutos[Desconto homologado],MATCH(tItens[[#This Row],[Produto]],tProdutos[Produto],0))),DescontoPadrao)</f>
        <v>0.374798283789543</v>
      </c>
      <c r="M6036" s="12">
        <f>tItens[[#This Row],[Valor]]*(1-tItens[[#This Row],[Desconto]])</f>
        <v>685.53368182476618</v>
      </c>
      <c r="N6036" t="str">
        <f>IFERROR(INDEX(tProdutos[Foco],MATCH(tItens[[#This Row],[Produto]],tProdutos[Produto],0)),"Não")</f>
        <v>Não</v>
      </c>
      <c r="O6036" t="str">
        <f>IFERROR(INDEX(tEditais[SRP],MATCH(tItens[[#This Row],[Edital]],tEditais[Edital],0)),"Não")</f>
        <v>Sim</v>
      </c>
      <c r="P6036" s="4">
        <f>IF(COUNTIFS(INDEX(tItens[Edital],1):tItens[[#This Row],[Edital]],tItens[[#This Row],[Edital]],INDEX(tItens[Produto],1):tItens[[#This Row],[Produto]],tItens[[#This Row],[Produto]])=1,1,0)</f>
        <v>1</v>
      </c>
    </row>
    <row r="6037" spans="1:16" x14ac:dyDescent="0.25">
      <c r="A6037" t="s">
        <v>2146</v>
      </c>
      <c r="B6037">
        <v>134</v>
      </c>
      <c r="C6037" t="s">
        <v>8780</v>
      </c>
      <c r="D6037" t="s">
        <v>136</v>
      </c>
      <c r="E6037" s="13">
        <v>100</v>
      </c>
      <c r="F6037" s="12">
        <v>13.56</v>
      </c>
      <c r="G6037" t="str">
        <f>IFERROR(INDEX(tEditais[Órgão],MATCH(tItens[[#This Row],[Edital]],tEditais[Edital],0)),"")</f>
        <v>MUNICIPIO DE GENERAL CARNEIRO</v>
      </c>
      <c r="H6037" t="str">
        <f>IFERROR(INDEX(tEditais[UF],MATCH(tItens[[#This Row],[Edital]],tEditais[Edital],0)),"")</f>
        <v>PR</v>
      </c>
      <c r="I6037" s="11">
        <f>IFERROR(INDEX(tEditais[Encerramento],MATCH(tItens[[#This Row],[Edital]],tEditais[Edital],0)),"")</f>
        <v>46311.333333333336</v>
      </c>
      <c r="J6037" t="str">
        <f>IFERROR(INDEX(tProdutos[Classe],MATCH(tItens[[#This Row],[Produto]],tProdutos[Produto],0)),"produto não cadastrado")</f>
        <v>DISPUTADO</v>
      </c>
      <c r="K6037" s="12">
        <f>tItens[[#This Row],[Qtd]]*tItens[[#This Row],[Vlr unit]]</f>
        <v>1356</v>
      </c>
      <c r="L6037" s="6">
        <f>IFERROR(IF(INDEX(tProdutos[Desconto homologado],MATCH(tItens[[#This Row],[Produto]],tProdutos[Produto],0))="",DescontoPadrao,INDEX(tProdutos[Desconto homologado],MATCH(tItens[[#This Row],[Produto]],tProdutos[Produto],0))),DescontoPadrao)</f>
        <v>0.330646209370899</v>
      </c>
      <c r="M6037" s="12">
        <f>tItens[[#This Row],[Valor]]*(1-tItens[[#This Row],[Desconto]])</f>
        <v>907.64374009306084</v>
      </c>
      <c r="N6037" t="str">
        <f>IFERROR(INDEX(tProdutos[Foco],MATCH(tItens[[#This Row],[Produto]],tProdutos[Produto],0)),"Não")</f>
        <v>Não</v>
      </c>
      <c r="O6037" t="str">
        <f>IFERROR(INDEX(tEditais[SRP],MATCH(tItens[[#This Row],[Edital]],tEditais[Edital],0)),"Não")</f>
        <v>Sim</v>
      </c>
      <c r="P6037" s="4">
        <f>IF(COUNTIFS(INDEX(tItens[Edital],1):tItens[[#This Row],[Edital]],tItens[[#This Row],[Edital]],INDEX(tItens[Produto],1):tItens[[#This Row],[Produto]],tItens[[#This Row],[Produto]])=1,1,0)</f>
        <v>1</v>
      </c>
    </row>
    <row r="6038" spans="1:16" x14ac:dyDescent="0.25">
      <c r="A6038" t="s">
        <v>2146</v>
      </c>
      <c r="B6038">
        <v>135</v>
      </c>
      <c r="C6038" t="s">
        <v>8781</v>
      </c>
      <c r="D6038" t="s">
        <v>136</v>
      </c>
      <c r="E6038" s="13">
        <v>50</v>
      </c>
      <c r="F6038" s="12">
        <v>17.55</v>
      </c>
      <c r="G6038" t="str">
        <f>IFERROR(INDEX(tEditais[Órgão],MATCH(tItens[[#This Row],[Edital]],tEditais[Edital],0)),"")</f>
        <v>MUNICIPIO DE GENERAL CARNEIRO</v>
      </c>
      <c r="H6038" t="str">
        <f>IFERROR(INDEX(tEditais[UF],MATCH(tItens[[#This Row],[Edital]],tEditais[Edital],0)),"")</f>
        <v>PR</v>
      </c>
      <c r="I6038" s="11">
        <f>IFERROR(INDEX(tEditais[Encerramento],MATCH(tItens[[#This Row],[Edital]],tEditais[Edital],0)),"")</f>
        <v>46311.333333333336</v>
      </c>
      <c r="J6038" t="str">
        <f>IFERROR(INDEX(tProdutos[Classe],MATCH(tItens[[#This Row],[Produto]],tProdutos[Produto],0)),"produto não cadastrado")</f>
        <v>DISPUTADO</v>
      </c>
      <c r="K6038" s="12">
        <f>tItens[[#This Row],[Qtd]]*tItens[[#This Row],[Vlr unit]]</f>
        <v>877.5</v>
      </c>
      <c r="L6038" s="6">
        <f>IFERROR(IF(INDEX(tProdutos[Desconto homologado],MATCH(tItens[[#This Row],[Produto]],tProdutos[Produto],0))="",DescontoPadrao,INDEX(tProdutos[Desconto homologado],MATCH(tItens[[#This Row],[Produto]],tProdutos[Produto],0))),DescontoPadrao)</f>
        <v>0.330646209370899</v>
      </c>
      <c r="M6038" s="12">
        <f>tItens[[#This Row],[Valor]]*(1-tItens[[#This Row],[Desconto]])</f>
        <v>587.35795127703602</v>
      </c>
      <c r="N6038" t="str">
        <f>IFERROR(INDEX(tProdutos[Foco],MATCH(tItens[[#This Row],[Produto]],tProdutos[Produto],0)),"Não")</f>
        <v>Não</v>
      </c>
      <c r="O6038" t="str">
        <f>IFERROR(INDEX(tEditais[SRP],MATCH(tItens[[#This Row],[Edital]],tEditais[Edital],0)),"Não")</f>
        <v>Sim</v>
      </c>
      <c r="P6038" s="4">
        <f>IF(COUNTIFS(INDEX(tItens[Edital],1):tItens[[#This Row],[Edital]],tItens[[#This Row],[Edital]],INDEX(tItens[Produto],1):tItens[[#This Row],[Produto]],tItens[[#This Row],[Produto]])=1,1,0)</f>
        <v>0</v>
      </c>
    </row>
    <row r="6039" spans="1:16" x14ac:dyDescent="0.25">
      <c r="A6039" t="s">
        <v>2146</v>
      </c>
      <c r="B6039">
        <v>136</v>
      </c>
      <c r="C6039" t="s">
        <v>8782</v>
      </c>
      <c r="D6039" t="s">
        <v>136</v>
      </c>
      <c r="E6039" s="13">
        <v>50</v>
      </c>
      <c r="F6039" s="12">
        <v>16.63</v>
      </c>
      <c r="G6039" t="str">
        <f>IFERROR(INDEX(tEditais[Órgão],MATCH(tItens[[#This Row],[Edital]],tEditais[Edital],0)),"")</f>
        <v>MUNICIPIO DE GENERAL CARNEIRO</v>
      </c>
      <c r="H6039" t="str">
        <f>IFERROR(INDEX(tEditais[UF],MATCH(tItens[[#This Row],[Edital]],tEditais[Edital],0)),"")</f>
        <v>PR</v>
      </c>
      <c r="I6039" s="11">
        <f>IFERROR(INDEX(tEditais[Encerramento],MATCH(tItens[[#This Row],[Edital]],tEditais[Edital],0)),"")</f>
        <v>46311.333333333336</v>
      </c>
      <c r="J6039" t="str">
        <f>IFERROR(INDEX(tProdutos[Classe],MATCH(tItens[[#This Row],[Produto]],tProdutos[Produto],0)),"produto não cadastrado")</f>
        <v>DISPUTADO</v>
      </c>
      <c r="K6039" s="12">
        <f>tItens[[#This Row],[Qtd]]*tItens[[#This Row],[Vlr unit]]</f>
        <v>831.5</v>
      </c>
      <c r="L6039" s="6">
        <f>IFERROR(IF(INDEX(tProdutos[Desconto homologado],MATCH(tItens[[#This Row],[Produto]],tProdutos[Produto],0))="",DescontoPadrao,INDEX(tProdutos[Desconto homologado],MATCH(tItens[[#This Row],[Produto]],tProdutos[Produto],0))),DescontoPadrao)</f>
        <v>0.330646209370899</v>
      </c>
      <c r="M6039" s="12">
        <f>tItens[[#This Row],[Valor]]*(1-tItens[[#This Row],[Desconto]])</f>
        <v>556.56767690809738</v>
      </c>
      <c r="N6039" t="str">
        <f>IFERROR(INDEX(tProdutos[Foco],MATCH(tItens[[#This Row],[Produto]],tProdutos[Produto],0)),"Não")</f>
        <v>Não</v>
      </c>
      <c r="O6039" t="str">
        <f>IFERROR(INDEX(tEditais[SRP],MATCH(tItens[[#This Row],[Edital]],tEditais[Edital],0)),"Não")</f>
        <v>Sim</v>
      </c>
      <c r="P6039" s="4">
        <f>IF(COUNTIFS(INDEX(tItens[Edital],1):tItens[[#This Row],[Edital]],tItens[[#This Row],[Edital]],INDEX(tItens[Produto],1):tItens[[#This Row],[Produto]],tItens[[#This Row],[Produto]])=1,1,0)</f>
        <v>0</v>
      </c>
    </row>
    <row r="6040" spans="1:16" x14ac:dyDescent="0.25">
      <c r="A6040" t="s">
        <v>2146</v>
      </c>
      <c r="B6040">
        <v>145</v>
      </c>
      <c r="C6040" t="s">
        <v>8783</v>
      </c>
      <c r="D6040" t="s">
        <v>189</v>
      </c>
      <c r="E6040" s="13">
        <v>5</v>
      </c>
      <c r="F6040" s="12">
        <v>188.7</v>
      </c>
      <c r="G6040" t="str">
        <f>IFERROR(INDEX(tEditais[Órgão],MATCH(tItens[[#This Row],[Edital]],tEditais[Edital],0)),"")</f>
        <v>MUNICIPIO DE GENERAL CARNEIRO</v>
      </c>
      <c r="H6040" t="str">
        <f>IFERROR(INDEX(tEditais[UF],MATCH(tItens[[#This Row],[Edital]],tEditais[Edital],0)),"")</f>
        <v>PR</v>
      </c>
      <c r="I6040" s="11">
        <f>IFERROR(INDEX(tEditais[Encerramento],MATCH(tItens[[#This Row],[Edital]],tEditais[Edital],0)),"")</f>
        <v>46311.333333333336</v>
      </c>
      <c r="J6040" t="str">
        <f>IFERROR(INDEX(tProdutos[Classe],MATCH(tItens[[#This Row],[Produto]],tProdutos[Produto],0)),"produto não cadastrado")</f>
        <v>DISPUTADO</v>
      </c>
      <c r="K6040" s="12">
        <f>tItens[[#This Row],[Qtd]]*tItens[[#This Row],[Vlr unit]]</f>
        <v>943.5</v>
      </c>
      <c r="L6040" s="6">
        <f>IFERROR(IF(INDEX(tProdutos[Desconto homologado],MATCH(tItens[[#This Row],[Produto]],tProdutos[Produto],0))="",DescontoPadrao,INDEX(tProdutos[Desconto homologado],MATCH(tItens[[#This Row],[Produto]],tProdutos[Produto],0))),DescontoPadrao)</f>
        <v>0.33088052268966101</v>
      </c>
      <c r="M6040" s="12">
        <f>tItens[[#This Row],[Valor]]*(1-tItens[[#This Row],[Desconto]])</f>
        <v>631.31422684230495</v>
      </c>
      <c r="N6040" t="str">
        <f>IFERROR(INDEX(tProdutos[Foco],MATCH(tItens[[#This Row],[Produto]],tProdutos[Produto],0)),"Não")</f>
        <v>Não</v>
      </c>
      <c r="O6040" t="str">
        <f>IFERROR(INDEX(tEditais[SRP],MATCH(tItens[[#This Row],[Edital]],tEditais[Edital],0)),"Não")</f>
        <v>Sim</v>
      </c>
      <c r="P6040" s="4">
        <f>IF(COUNTIFS(INDEX(tItens[Edital],1):tItens[[#This Row],[Edital]],tItens[[#This Row],[Edital]],INDEX(tItens[Produto],1):tItens[[#This Row],[Produto]],tItens[[#This Row],[Produto]])=1,1,0)</f>
        <v>1</v>
      </c>
    </row>
    <row r="6041" spans="1:16" x14ac:dyDescent="0.25">
      <c r="A6041" t="s">
        <v>2146</v>
      </c>
      <c r="B6041">
        <v>146</v>
      </c>
      <c r="C6041" t="s">
        <v>8784</v>
      </c>
      <c r="D6041" t="s">
        <v>189</v>
      </c>
      <c r="E6041" s="13">
        <v>5</v>
      </c>
      <c r="F6041" s="12">
        <v>317.86</v>
      </c>
      <c r="G6041" t="str">
        <f>IFERROR(INDEX(tEditais[Órgão],MATCH(tItens[[#This Row],[Edital]],tEditais[Edital],0)),"")</f>
        <v>MUNICIPIO DE GENERAL CARNEIRO</v>
      </c>
      <c r="H6041" t="str">
        <f>IFERROR(INDEX(tEditais[UF],MATCH(tItens[[#This Row],[Edital]],tEditais[Edital],0)),"")</f>
        <v>PR</v>
      </c>
      <c r="I6041" s="11">
        <f>IFERROR(INDEX(tEditais[Encerramento],MATCH(tItens[[#This Row],[Edital]],tEditais[Edital],0)),"")</f>
        <v>46311.333333333336</v>
      </c>
      <c r="J6041" t="str">
        <f>IFERROR(INDEX(tProdutos[Classe],MATCH(tItens[[#This Row],[Produto]],tProdutos[Produto],0)),"produto não cadastrado")</f>
        <v>DISPUTADO</v>
      </c>
      <c r="K6041" s="12">
        <f>tItens[[#This Row],[Qtd]]*tItens[[#This Row],[Vlr unit]]</f>
        <v>1589.3000000000002</v>
      </c>
      <c r="L6041" s="6">
        <f>IFERROR(IF(INDEX(tProdutos[Desconto homologado],MATCH(tItens[[#This Row],[Produto]],tProdutos[Produto],0))="",DescontoPadrao,INDEX(tProdutos[Desconto homologado],MATCH(tItens[[#This Row],[Produto]],tProdutos[Produto],0))),DescontoPadrao)</f>
        <v>0.33088052268966101</v>
      </c>
      <c r="M6041" s="12">
        <f>tItens[[#This Row],[Valor]]*(1-tItens[[#This Row],[Desconto]])</f>
        <v>1063.4315852893219</v>
      </c>
      <c r="N6041" t="str">
        <f>IFERROR(INDEX(tProdutos[Foco],MATCH(tItens[[#This Row],[Produto]],tProdutos[Produto],0)),"Não")</f>
        <v>Não</v>
      </c>
      <c r="O6041" t="str">
        <f>IFERROR(INDEX(tEditais[SRP],MATCH(tItens[[#This Row],[Edital]],tEditais[Edital],0)),"Não")</f>
        <v>Sim</v>
      </c>
      <c r="P6041" s="4">
        <f>IF(COUNTIFS(INDEX(tItens[Edital],1):tItens[[#This Row],[Edital]],tItens[[#This Row],[Edital]],INDEX(tItens[Produto],1):tItens[[#This Row],[Produto]],tItens[[#This Row],[Produto]])=1,1,0)</f>
        <v>0</v>
      </c>
    </row>
    <row r="6042" spans="1:16" x14ac:dyDescent="0.25">
      <c r="A6042" t="s">
        <v>2146</v>
      </c>
      <c r="B6042">
        <v>147</v>
      </c>
      <c r="C6042" t="s">
        <v>8785</v>
      </c>
      <c r="D6042" t="s">
        <v>189</v>
      </c>
      <c r="E6042" s="13">
        <v>5</v>
      </c>
      <c r="F6042" s="12">
        <v>270.48</v>
      </c>
      <c r="G6042" t="str">
        <f>IFERROR(INDEX(tEditais[Órgão],MATCH(tItens[[#This Row],[Edital]],tEditais[Edital],0)),"")</f>
        <v>MUNICIPIO DE GENERAL CARNEIRO</v>
      </c>
      <c r="H6042" t="str">
        <f>IFERROR(INDEX(tEditais[UF],MATCH(tItens[[#This Row],[Edital]],tEditais[Edital],0)),"")</f>
        <v>PR</v>
      </c>
      <c r="I6042" s="11">
        <f>IFERROR(INDEX(tEditais[Encerramento],MATCH(tItens[[#This Row],[Edital]],tEditais[Edital],0)),"")</f>
        <v>46311.333333333336</v>
      </c>
      <c r="J6042" t="str">
        <f>IFERROR(INDEX(tProdutos[Classe],MATCH(tItens[[#This Row],[Produto]],tProdutos[Produto],0)),"produto não cadastrado")</f>
        <v>DISPUTADO</v>
      </c>
      <c r="K6042" s="12">
        <f>tItens[[#This Row],[Qtd]]*tItens[[#This Row],[Vlr unit]]</f>
        <v>1352.4</v>
      </c>
      <c r="L6042" s="6">
        <f>IFERROR(IF(INDEX(tProdutos[Desconto homologado],MATCH(tItens[[#This Row],[Produto]],tProdutos[Produto],0))="",DescontoPadrao,INDEX(tProdutos[Desconto homologado],MATCH(tItens[[#This Row],[Produto]],tProdutos[Produto],0))),DescontoPadrao)</f>
        <v>0.33088052268966101</v>
      </c>
      <c r="M6042" s="12">
        <f>tItens[[#This Row],[Valor]]*(1-tItens[[#This Row],[Desconto]])</f>
        <v>904.91718111450257</v>
      </c>
      <c r="N6042" t="str">
        <f>IFERROR(INDEX(tProdutos[Foco],MATCH(tItens[[#This Row],[Produto]],tProdutos[Produto],0)),"Não")</f>
        <v>Não</v>
      </c>
      <c r="O6042" t="str">
        <f>IFERROR(INDEX(tEditais[SRP],MATCH(tItens[[#This Row],[Edital]],tEditais[Edital],0)),"Não")</f>
        <v>Sim</v>
      </c>
      <c r="P6042" s="4">
        <f>IF(COUNTIFS(INDEX(tItens[Edital],1):tItens[[#This Row],[Edital]],tItens[[#This Row],[Edital]],INDEX(tItens[Produto],1):tItens[[#This Row],[Produto]],tItens[[#This Row],[Produto]])=1,1,0)</f>
        <v>0</v>
      </c>
    </row>
    <row r="6043" spans="1:16" x14ac:dyDescent="0.25">
      <c r="A6043" t="s">
        <v>2146</v>
      </c>
      <c r="B6043">
        <v>148</v>
      </c>
      <c r="C6043" t="s">
        <v>8786</v>
      </c>
      <c r="D6043" t="s">
        <v>189</v>
      </c>
      <c r="E6043" s="13">
        <v>5</v>
      </c>
      <c r="F6043" s="12">
        <v>267.87</v>
      </c>
      <c r="G6043" t="str">
        <f>IFERROR(INDEX(tEditais[Órgão],MATCH(tItens[[#This Row],[Edital]],tEditais[Edital],0)),"")</f>
        <v>MUNICIPIO DE GENERAL CARNEIRO</v>
      </c>
      <c r="H6043" t="str">
        <f>IFERROR(INDEX(tEditais[UF],MATCH(tItens[[#This Row],[Edital]],tEditais[Edital],0)),"")</f>
        <v>PR</v>
      </c>
      <c r="I6043" s="11">
        <f>IFERROR(INDEX(tEditais[Encerramento],MATCH(tItens[[#This Row],[Edital]],tEditais[Edital],0)),"")</f>
        <v>46311.333333333336</v>
      </c>
      <c r="J6043" t="str">
        <f>IFERROR(INDEX(tProdutos[Classe],MATCH(tItens[[#This Row],[Produto]],tProdutos[Produto],0)),"produto não cadastrado")</f>
        <v>DISPUTADO</v>
      </c>
      <c r="K6043" s="12">
        <f>tItens[[#This Row],[Qtd]]*tItens[[#This Row],[Vlr unit]]</f>
        <v>1339.35</v>
      </c>
      <c r="L6043" s="6">
        <f>IFERROR(IF(INDEX(tProdutos[Desconto homologado],MATCH(tItens[[#This Row],[Produto]],tProdutos[Produto],0))="",DescontoPadrao,INDEX(tProdutos[Desconto homologado],MATCH(tItens[[#This Row],[Produto]],tProdutos[Produto],0))),DescontoPadrao)</f>
        <v>0.33088052268966101</v>
      </c>
      <c r="M6043" s="12">
        <f>tItens[[#This Row],[Valor]]*(1-tItens[[#This Row],[Desconto]])</f>
        <v>896.18517193560251</v>
      </c>
      <c r="N6043" t="str">
        <f>IFERROR(INDEX(tProdutos[Foco],MATCH(tItens[[#This Row],[Produto]],tProdutos[Produto],0)),"Não")</f>
        <v>Não</v>
      </c>
      <c r="O6043" t="str">
        <f>IFERROR(INDEX(tEditais[SRP],MATCH(tItens[[#This Row],[Edital]],tEditais[Edital],0)),"Não")</f>
        <v>Sim</v>
      </c>
      <c r="P6043" s="4">
        <f>IF(COUNTIFS(INDEX(tItens[Edital],1):tItens[[#This Row],[Edital]],tItens[[#This Row],[Edital]],INDEX(tItens[Produto],1):tItens[[#This Row],[Produto]],tItens[[#This Row],[Produto]])=1,1,0)</f>
        <v>0</v>
      </c>
    </row>
    <row r="6044" spans="1:16" x14ac:dyDescent="0.25">
      <c r="A6044" t="s">
        <v>2146</v>
      </c>
      <c r="B6044">
        <v>149</v>
      </c>
      <c r="C6044" t="s">
        <v>8787</v>
      </c>
      <c r="D6044" t="s">
        <v>189</v>
      </c>
      <c r="E6044" s="13">
        <v>5</v>
      </c>
      <c r="F6044" s="12">
        <v>230</v>
      </c>
      <c r="G6044" t="str">
        <f>IFERROR(INDEX(tEditais[Órgão],MATCH(tItens[[#This Row],[Edital]],tEditais[Edital],0)),"")</f>
        <v>MUNICIPIO DE GENERAL CARNEIRO</v>
      </c>
      <c r="H6044" t="str">
        <f>IFERROR(INDEX(tEditais[UF],MATCH(tItens[[#This Row],[Edital]],tEditais[Edital],0)),"")</f>
        <v>PR</v>
      </c>
      <c r="I6044" s="11">
        <f>IFERROR(INDEX(tEditais[Encerramento],MATCH(tItens[[#This Row],[Edital]],tEditais[Edital],0)),"")</f>
        <v>46311.333333333336</v>
      </c>
      <c r="J6044" t="str">
        <f>IFERROR(INDEX(tProdutos[Classe],MATCH(tItens[[#This Row],[Produto]],tProdutos[Produto],0)),"produto não cadastrado")</f>
        <v>DISPUTADO</v>
      </c>
      <c r="K6044" s="12">
        <f>tItens[[#This Row],[Qtd]]*tItens[[#This Row],[Vlr unit]]</f>
        <v>1150</v>
      </c>
      <c r="L6044" s="6">
        <f>IFERROR(IF(INDEX(tProdutos[Desconto homologado],MATCH(tItens[[#This Row],[Produto]],tProdutos[Produto],0))="",DescontoPadrao,INDEX(tProdutos[Desconto homologado],MATCH(tItens[[#This Row],[Produto]],tProdutos[Produto],0))),DescontoPadrao)</f>
        <v>0.33088052268966101</v>
      </c>
      <c r="M6044" s="12">
        <f>tItens[[#This Row],[Valor]]*(1-tItens[[#This Row],[Desconto]])</f>
        <v>769.48739890688989</v>
      </c>
      <c r="N6044" t="str">
        <f>IFERROR(INDEX(tProdutos[Foco],MATCH(tItens[[#This Row],[Produto]],tProdutos[Produto],0)),"Não")</f>
        <v>Não</v>
      </c>
      <c r="O6044" t="str">
        <f>IFERROR(INDEX(tEditais[SRP],MATCH(tItens[[#This Row],[Edital]],tEditais[Edital],0)),"Não")</f>
        <v>Sim</v>
      </c>
      <c r="P6044" s="4">
        <f>IF(COUNTIFS(INDEX(tItens[Edital],1):tItens[[#This Row],[Edital]],tItens[[#This Row],[Edital]],INDEX(tItens[Produto],1):tItens[[#This Row],[Produto]],tItens[[#This Row],[Produto]])=1,1,0)</f>
        <v>0</v>
      </c>
    </row>
    <row r="6045" spans="1:16" x14ac:dyDescent="0.25">
      <c r="A6045" t="s">
        <v>2146</v>
      </c>
      <c r="B6045">
        <v>153</v>
      </c>
      <c r="C6045" t="s">
        <v>8788</v>
      </c>
      <c r="D6045" t="s">
        <v>205</v>
      </c>
      <c r="E6045" s="13">
        <v>150</v>
      </c>
      <c r="F6045" s="12">
        <v>43.32</v>
      </c>
      <c r="G6045" t="str">
        <f>IFERROR(INDEX(tEditais[Órgão],MATCH(tItens[[#This Row],[Edital]],tEditais[Edital],0)),"")</f>
        <v>MUNICIPIO DE GENERAL CARNEIRO</v>
      </c>
      <c r="H6045" t="str">
        <f>IFERROR(INDEX(tEditais[UF],MATCH(tItens[[#This Row],[Edital]],tEditais[Edital],0)),"")</f>
        <v>PR</v>
      </c>
      <c r="I6045" s="11">
        <f>IFERROR(INDEX(tEditais[Encerramento],MATCH(tItens[[#This Row],[Edital]],tEditais[Edital],0)),"")</f>
        <v>46311.333333333336</v>
      </c>
      <c r="J6045" t="str">
        <f>IFERROR(INDEX(tProdutos[Classe],MATCH(tItens[[#This Row],[Produto]],tProdutos[Produto],0)),"produto não cadastrado")</f>
        <v>FORA</v>
      </c>
      <c r="K6045" s="12">
        <f>tItens[[#This Row],[Qtd]]*tItens[[#This Row],[Vlr unit]]</f>
        <v>6498</v>
      </c>
      <c r="L6045" s="6">
        <f>IFERROR(IF(INDEX(tProdutos[Desconto homologado],MATCH(tItens[[#This Row],[Produto]],tProdutos[Produto],0))="",DescontoPadrao,INDEX(tProdutos[Desconto homologado],MATCH(tItens[[#This Row],[Produto]],tProdutos[Produto],0))),DescontoPadrao)</f>
        <v>0.468911625815156</v>
      </c>
      <c r="M6045" s="12">
        <f>tItens[[#This Row],[Valor]]*(1-tItens[[#This Row],[Desconto]])</f>
        <v>3451.0122554531163</v>
      </c>
      <c r="N6045" t="str">
        <f>IFERROR(INDEX(tProdutos[Foco],MATCH(tItens[[#This Row],[Produto]],tProdutos[Produto],0)),"Não")</f>
        <v>Não</v>
      </c>
      <c r="O6045" t="str">
        <f>IFERROR(INDEX(tEditais[SRP],MATCH(tItens[[#This Row],[Edital]],tEditais[Edital],0)),"Não")</f>
        <v>Sim</v>
      </c>
      <c r="P6045" s="4">
        <f>IF(COUNTIFS(INDEX(tItens[Edital],1):tItens[[#This Row],[Edital]],tItens[[#This Row],[Edital]],INDEX(tItens[Produto],1):tItens[[#This Row],[Produto]],tItens[[#This Row],[Produto]])=1,1,0)</f>
        <v>1</v>
      </c>
    </row>
    <row r="6046" spans="1:16" x14ac:dyDescent="0.25">
      <c r="A6046" t="s">
        <v>2146</v>
      </c>
      <c r="B6046">
        <v>154</v>
      </c>
      <c r="C6046" t="s">
        <v>8789</v>
      </c>
      <c r="D6046" t="s">
        <v>205</v>
      </c>
      <c r="E6046" s="13">
        <v>300</v>
      </c>
      <c r="F6046" s="12">
        <v>45.21</v>
      </c>
      <c r="G6046" t="str">
        <f>IFERROR(INDEX(tEditais[Órgão],MATCH(tItens[[#This Row],[Edital]],tEditais[Edital],0)),"")</f>
        <v>MUNICIPIO DE GENERAL CARNEIRO</v>
      </c>
      <c r="H6046" t="str">
        <f>IFERROR(INDEX(tEditais[UF],MATCH(tItens[[#This Row],[Edital]],tEditais[Edital],0)),"")</f>
        <v>PR</v>
      </c>
      <c r="I6046" s="11">
        <f>IFERROR(INDEX(tEditais[Encerramento],MATCH(tItens[[#This Row],[Edital]],tEditais[Edital],0)),"")</f>
        <v>46311.333333333336</v>
      </c>
      <c r="J6046" t="str">
        <f>IFERROR(INDEX(tProdutos[Classe],MATCH(tItens[[#This Row],[Produto]],tProdutos[Produto],0)),"produto não cadastrado")</f>
        <v>FORA</v>
      </c>
      <c r="K6046" s="12">
        <f>tItens[[#This Row],[Qtd]]*tItens[[#This Row],[Vlr unit]]</f>
        <v>13563</v>
      </c>
      <c r="L6046" s="6">
        <f>IFERROR(IF(INDEX(tProdutos[Desconto homologado],MATCH(tItens[[#This Row],[Produto]],tProdutos[Produto],0))="",DescontoPadrao,INDEX(tProdutos[Desconto homologado],MATCH(tItens[[#This Row],[Produto]],tProdutos[Produto],0))),DescontoPadrao)</f>
        <v>0.468911625815156</v>
      </c>
      <c r="M6046" s="12">
        <f>tItens[[#This Row],[Valor]]*(1-tItens[[#This Row],[Desconto]])</f>
        <v>7203.151619069039</v>
      </c>
      <c r="N6046" t="str">
        <f>IFERROR(INDEX(tProdutos[Foco],MATCH(tItens[[#This Row],[Produto]],tProdutos[Produto],0)),"Não")</f>
        <v>Não</v>
      </c>
      <c r="O6046" t="str">
        <f>IFERROR(INDEX(tEditais[SRP],MATCH(tItens[[#This Row],[Edital]],tEditais[Edital],0)),"Não")</f>
        <v>Sim</v>
      </c>
      <c r="P6046" s="4">
        <f>IF(COUNTIFS(INDEX(tItens[Edital],1):tItens[[#This Row],[Edital]],tItens[[#This Row],[Edital]],INDEX(tItens[Produto],1):tItens[[#This Row],[Produto]],tItens[[#This Row],[Produto]])=1,1,0)</f>
        <v>0</v>
      </c>
    </row>
    <row r="6047" spans="1:16" x14ac:dyDescent="0.25">
      <c r="A6047" t="s">
        <v>2146</v>
      </c>
      <c r="B6047">
        <v>155</v>
      </c>
      <c r="C6047" t="s">
        <v>8790</v>
      </c>
      <c r="D6047" t="s">
        <v>205</v>
      </c>
      <c r="E6047" s="13">
        <v>150</v>
      </c>
      <c r="F6047" s="12">
        <v>43.95</v>
      </c>
      <c r="G6047" t="str">
        <f>IFERROR(INDEX(tEditais[Órgão],MATCH(tItens[[#This Row],[Edital]],tEditais[Edital],0)),"")</f>
        <v>MUNICIPIO DE GENERAL CARNEIRO</v>
      </c>
      <c r="H6047" t="str">
        <f>IFERROR(INDEX(tEditais[UF],MATCH(tItens[[#This Row],[Edital]],tEditais[Edital],0)),"")</f>
        <v>PR</v>
      </c>
      <c r="I6047" s="11">
        <f>IFERROR(INDEX(tEditais[Encerramento],MATCH(tItens[[#This Row],[Edital]],tEditais[Edital],0)),"")</f>
        <v>46311.333333333336</v>
      </c>
      <c r="J6047" t="str">
        <f>IFERROR(INDEX(tProdutos[Classe],MATCH(tItens[[#This Row],[Produto]],tProdutos[Produto],0)),"produto não cadastrado")</f>
        <v>FORA</v>
      </c>
      <c r="K6047" s="12">
        <f>tItens[[#This Row],[Qtd]]*tItens[[#This Row],[Vlr unit]]</f>
        <v>6592.5</v>
      </c>
      <c r="L6047" s="6">
        <f>IFERROR(IF(INDEX(tProdutos[Desconto homologado],MATCH(tItens[[#This Row],[Produto]],tProdutos[Produto],0))="",DescontoPadrao,INDEX(tProdutos[Desconto homologado],MATCH(tItens[[#This Row],[Produto]],tProdutos[Produto],0))),DescontoPadrao)</f>
        <v>0.468911625815156</v>
      </c>
      <c r="M6047" s="12">
        <f>tItens[[#This Row],[Valor]]*(1-tItens[[#This Row],[Desconto]])</f>
        <v>3501.2001068135842</v>
      </c>
      <c r="N6047" t="str">
        <f>IFERROR(INDEX(tProdutos[Foco],MATCH(tItens[[#This Row],[Produto]],tProdutos[Produto],0)),"Não")</f>
        <v>Não</v>
      </c>
      <c r="O6047" t="str">
        <f>IFERROR(INDEX(tEditais[SRP],MATCH(tItens[[#This Row],[Edital]],tEditais[Edital],0)),"Não")</f>
        <v>Sim</v>
      </c>
      <c r="P6047" s="4">
        <f>IF(COUNTIFS(INDEX(tItens[Edital],1):tItens[[#This Row],[Edital]],tItens[[#This Row],[Edital]],INDEX(tItens[Produto],1):tItens[[#This Row],[Produto]],tItens[[#This Row],[Produto]])=1,1,0)</f>
        <v>0</v>
      </c>
    </row>
    <row r="6048" spans="1:16" x14ac:dyDescent="0.25">
      <c r="A6048" t="s">
        <v>2146</v>
      </c>
      <c r="B6048">
        <v>156</v>
      </c>
      <c r="C6048" t="s">
        <v>8791</v>
      </c>
      <c r="D6048" t="s">
        <v>461</v>
      </c>
      <c r="E6048" s="13">
        <v>5</v>
      </c>
      <c r="F6048" s="12">
        <v>36.18</v>
      </c>
      <c r="G6048" t="str">
        <f>IFERROR(INDEX(tEditais[Órgão],MATCH(tItens[[#This Row],[Edital]],tEditais[Edital],0)),"")</f>
        <v>MUNICIPIO DE GENERAL CARNEIRO</v>
      </c>
      <c r="H6048" t="str">
        <f>IFERROR(INDEX(tEditais[UF],MATCH(tItens[[#This Row],[Edital]],tEditais[Edital],0)),"")</f>
        <v>PR</v>
      </c>
      <c r="I6048" s="11">
        <f>IFERROR(INDEX(tEditais[Encerramento],MATCH(tItens[[#This Row],[Edital]],tEditais[Edital],0)),"")</f>
        <v>46311.333333333336</v>
      </c>
      <c r="J6048" t="str">
        <f>IFERROR(INDEX(tProdutos[Classe],MATCH(tItens[[#This Row],[Produto]],tProdutos[Produto],0)),"produto não cadastrado")</f>
        <v>FILA REBASE</v>
      </c>
      <c r="K6048" s="12">
        <f>tItens[[#This Row],[Qtd]]*tItens[[#This Row],[Vlr unit]]</f>
        <v>180.9</v>
      </c>
      <c r="L6048" s="6">
        <f>IFERROR(IF(INDEX(tProdutos[Desconto homologado],MATCH(tItens[[#This Row],[Produto]],tProdutos[Produto],0))="",DescontoPadrao,INDEX(tProdutos[Desconto homologado],MATCH(tItens[[#This Row],[Produto]],tProdutos[Produto],0))),DescontoPadrao)</f>
        <v>0.44096385542168698</v>
      </c>
      <c r="M6048" s="12">
        <f>tItens[[#This Row],[Valor]]*(1-tItens[[#This Row],[Desconto]])</f>
        <v>101.12963855421683</v>
      </c>
      <c r="N6048" t="str">
        <f>IFERROR(INDEX(tProdutos[Foco],MATCH(tItens[[#This Row],[Produto]],tProdutos[Produto],0)),"Não")</f>
        <v>Não</v>
      </c>
      <c r="O6048" t="str">
        <f>IFERROR(INDEX(tEditais[SRP],MATCH(tItens[[#This Row],[Edital]],tEditais[Edital],0)),"Não")</f>
        <v>Sim</v>
      </c>
      <c r="P6048" s="4">
        <f>IF(COUNTIFS(INDEX(tItens[Edital],1):tItens[[#This Row],[Edital]],tItens[[#This Row],[Edital]],INDEX(tItens[Produto],1):tItens[[#This Row],[Produto]],tItens[[#This Row],[Produto]])=1,1,0)</f>
        <v>1</v>
      </c>
    </row>
    <row r="6049" spans="1:16" x14ac:dyDescent="0.25">
      <c r="A6049" t="s">
        <v>2146</v>
      </c>
      <c r="B6049">
        <v>157</v>
      </c>
      <c r="C6049" t="s">
        <v>8792</v>
      </c>
      <c r="D6049" t="s">
        <v>461</v>
      </c>
      <c r="E6049" s="13">
        <v>10</v>
      </c>
      <c r="F6049" s="12">
        <v>38.03</v>
      </c>
      <c r="G6049" t="str">
        <f>IFERROR(INDEX(tEditais[Órgão],MATCH(tItens[[#This Row],[Edital]],tEditais[Edital],0)),"")</f>
        <v>MUNICIPIO DE GENERAL CARNEIRO</v>
      </c>
      <c r="H6049" t="str">
        <f>IFERROR(INDEX(tEditais[UF],MATCH(tItens[[#This Row],[Edital]],tEditais[Edital],0)),"")</f>
        <v>PR</v>
      </c>
      <c r="I6049" s="11">
        <f>IFERROR(INDEX(tEditais[Encerramento],MATCH(tItens[[#This Row],[Edital]],tEditais[Edital],0)),"")</f>
        <v>46311.333333333336</v>
      </c>
      <c r="J6049" t="str">
        <f>IFERROR(INDEX(tProdutos[Classe],MATCH(tItens[[#This Row],[Produto]],tProdutos[Produto],0)),"produto não cadastrado")</f>
        <v>FILA REBASE</v>
      </c>
      <c r="K6049" s="12">
        <f>tItens[[#This Row],[Qtd]]*tItens[[#This Row],[Vlr unit]]</f>
        <v>380.3</v>
      </c>
      <c r="L6049" s="6">
        <f>IFERROR(IF(INDEX(tProdutos[Desconto homologado],MATCH(tItens[[#This Row],[Produto]],tProdutos[Produto],0))="",DescontoPadrao,INDEX(tProdutos[Desconto homologado],MATCH(tItens[[#This Row],[Produto]],tProdutos[Produto],0))),DescontoPadrao)</f>
        <v>0.44096385542168698</v>
      </c>
      <c r="M6049" s="12">
        <f>tItens[[#This Row],[Valor]]*(1-tItens[[#This Row],[Desconto]])</f>
        <v>212.60144578313242</v>
      </c>
      <c r="N6049" t="str">
        <f>IFERROR(INDEX(tProdutos[Foco],MATCH(tItens[[#This Row],[Produto]],tProdutos[Produto],0)),"Não")</f>
        <v>Não</v>
      </c>
      <c r="O6049" t="str">
        <f>IFERROR(INDEX(tEditais[SRP],MATCH(tItens[[#This Row],[Edital]],tEditais[Edital],0)),"Não")</f>
        <v>Sim</v>
      </c>
      <c r="P6049" s="4">
        <f>IF(COUNTIFS(INDEX(tItens[Edital],1):tItens[[#This Row],[Edital]],tItens[[#This Row],[Edital]],INDEX(tItens[Produto],1):tItens[[#This Row],[Produto]],tItens[[#This Row],[Produto]])=1,1,0)</f>
        <v>0</v>
      </c>
    </row>
    <row r="6050" spans="1:16" x14ac:dyDescent="0.25">
      <c r="A6050" t="s">
        <v>2146</v>
      </c>
      <c r="B6050">
        <v>158</v>
      </c>
      <c r="C6050" t="s">
        <v>8793</v>
      </c>
      <c r="D6050" t="s">
        <v>461</v>
      </c>
      <c r="E6050" s="13">
        <v>100</v>
      </c>
      <c r="F6050" s="12">
        <v>41.76</v>
      </c>
      <c r="G6050" t="str">
        <f>IFERROR(INDEX(tEditais[Órgão],MATCH(tItens[[#This Row],[Edital]],tEditais[Edital],0)),"")</f>
        <v>MUNICIPIO DE GENERAL CARNEIRO</v>
      </c>
      <c r="H6050" t="str">
        <f>IFERROR(INDEX(tEditais[UF],MATCH(tItens[[#This Row],[Edital]],tEditais[Edital],0)),"")</f>
        <v>PR</v>
      </c>
      <c r="I6050" s="11">
        <f>IFERROR(INDEX(tEditais[Encerramento],MATCH(tItens[[#This Row],[Edital]],tEditais[Edital],0)),"")</f>
        <v>46311.333333333336</v>
      </c>
      <c r="J6050" t="str">
        <f>IFERROR(INDEX(tProdutos[Classe],MATCH(tItens[[#This Row],[Produto]],tProdutos[Produto],0)),"produto não cadastrado")</f>
        <v>FILA REBASE</v>
      </c>
      <c r="K6050" s="12">
        <f>tItens[[#This Row],[Qtd]]*tItens[[#This Row],[Vlr unit]]</f>
        <v>4176</v>
      </c>
      <c r="L6050" s="6">
        <f>IFERROR(IF(INDEX(tProdutos[Desconto homologado],MATCH(tItens[[#This Row],[Produto]],tProdutos[Produto],0))="",DescontoPadrao,INDEX(tProdutos[Desconto homologado],MATCH(tItens[[#This Row],[Produto]],tProdutos[Produto],0))),DescontoPadrao)</f>
        <v>0.44096385542168698</v>
      </c>
      <c r="M6050" s="12">
        <f>tItens[[#This Row],[Valor]]*(1-tItens[[#This Row],[Desconto]])</f>
        <v>2334.5349397590348</v>
      </c>
      <c r="N6050" t="str">
        <f>IFERROR(INDEX(tProdutos[Foco],MATCH(tItens[[#This Row],[Produto]],tProdutos[Produto],0)),"Não")</f>
        <v>Não</v>
      </c>
      <c r="O6050" t="str">
        <f>IFERROR(INDEX(tEditais[SRP],MATCH(tItens[[#This Row],[Edital]],tEditais[Edital],0)),"Não")</f>
        <v>Sim</v>
      </c>
      <c r="P6050" s="4">
        <f>IF(COUNTIFS(INDEX(tItens[Edital],1):tItens[[#This Row],[Edital]],tItens[[#This Row],[Edital]],INDEX(tItens[Produto],1):tItens[[#This Row],[Produto]],tItens[[#This Row],[Produto]])=1,1,0)</f>
        <v>0</v>
      </c>
    </row>
    <row r="6051" spans="1:16" x14ac:dyDescent="0.25">
      <c r="A6051" t="s">
        <v>2146</v>
      </c>
      <c r="B6051">
        <v>159</v>
      </c>
      <c r="C6051" t="s">
        <v>8794</v>
      </c>
      <c r="D6051" t="s">
        <v>461</v>
      </c>
      <c r="E6051" s="13">
        <v>100</v>
      </c>
      <c r="F6051" s="12">
        <v>37.03</v>
      </c>
      <c r="G6051" t="str">
        <f>IFERROR(INDEX(tEditais[Órgão],MATCH(tItens[[#This Row],[Edital]],tEditais[Edital],0)),"")</f>
        <v>MUNICIPIO DE GENERAL CARNEIRO</v>
      </c>
      <c r="H6051" t="str">
        <f>IFERROR(INDEX(tEditais[UF],MATCH(tItens[[#This Row],[Edital]],tEditais[Edital],0)),"")</f>
        <v>PR</v>
      </c>
      <c r="I6051" s="11">
        <f>IFERROR(INDEX(tEditais[Encerramento],MATCH(tItens[[#This Row],[Edital]],tEditais[Edital],0)),"")</f>
        <v>46311.333333333336</v>
      </c>
      <c r="J6051" t="str">
        <f>IFERROR(INDEX(tProdutos[Classe],MATCH(tItens[[#This Row],[Produto]],tProdutos[Produto],0)),"produto não cadastrado")</f>
        <v>FILA REBASE</v>
      </c>
      <c r="K6051" s="12">
        <f>tItens[[#This Row],[Qtd]]*tItens[[#This Row],[Vlr unit]]</f>
        <v>3703</v>
      </c>
      <c r="L6051" s="6">
        <f>IFERROR(IF(INDEX(tProdutos[Desconto homologado],MATCH(tItens[[#This Row],[Produto]],tProdutos[Produto],0))="",DescontoPadrao,INDEX(tProdutos[Desconto homologado],MATCH(tItens[[#This Row],[Produto]],tProdutos[Produto],0))),DescontoPadrao)</f>
        <v>0.44096385542168698</v>
      </c>
      <c r="M6051" s="12">
        <f>tItens[[#This Row],[Valor]]*(1-tItens[[#This Row],[Desconto]])</f>
        <v>2070.110843373493</v>
      </c>
      <c r="N6051" t="str">
        <f>IFERROR(INDEX(tProdutos[Foco],MATCH(tItens[[#This Row],[Produto]],tProdutos[Produto],0)),"Não")</f>
        <v>Não</v>
      </c>
      <c r="O6051" t="str">
        <f>IFERROR(INDEX(tEditais[SRP],MATCH(tItens[[#This Row],[Edital]],tEditais[Edital],0)),"Não")</f>
        <v>Sim</v>
      </c>
      <c r="P6051" s="4">
        <f>IF(COUNTIFS(INDEX(tItens[Edital],1):tItens[[#This Row],[Edital]],tItens[[#This Row],[Edital]],INDEX(tItens[Produto],1):tItens[[#This Row],[Produto]],tItens[[#This Row],[Produto]])=1,1,0)</f>
        <v>0</v>
      </c>
    </row>
    <row r="6052" spans="1:16" x14ac:dyDescent="0.25">
      <c r="A6052" t="s">
        <v>2146</v>
      </c>
      <c r="B6052">
        <v>160</v>
      </c>
      <c r="C6052" t="s">
        <v>8795</v>
      </c>
      <c r="D6052" t="s">
        <v>461</v>
      </c>
      <c r="E6052" s="13">
        <v>100</v>
      </c>
      <c r="F6052" s="12">
        <v>37.86</v>
      </c>
      <c r="G6052" t="str">
        <f>IFERROR(INDEX(tEditais[Órgão],MATCH(tItens[[#This Row],[Edital]],tEditais[Edital],0)),"")</f>
        <v>MUNICIPIO DE GENERAL CARNEIRO</v>
      </c>
      <c r="H6052" t="str">
        <f>IFERROR(INDEX(tEditais[UF],MATCH(tItens[[#This Row],[Edital]],tEditais[Edital],0)),"")</f>
        <v>PR</v>
      </c>
      <c r="I6052" s="11">
        <f>IFERROR(INDEX(tEditais[Encerramento],MATCH(tItens[[#This Row],[Edital]],tEditais[Edital],0)),"")</f>
        <v>46311.333333333336</v>
      </c>
      <c r="J6052" t="str">
        <f>IFERROR(INDEX(tProdutos[Classe],MATCH(tItens[[#This Row],[Produto]],tProdutos[Produto],0)),"produto não cadastrado")</f>
        <v>FILA REBASE</v>
      </c>
      <c r="K6052" s="12">
        <f>tItens[[#This Row],[Qtd]]*tItens[[#This Row],[Vlr unit]]</f>
        <v>3786</v>
      </c>
      <c r="L6052" s="6">
        <f>IFERROR(IF(INDEX(tProdutos[Desconto homologado],MATCH(tItens[[#This Row],[Produto]],tProdutos[Produto],0))="",DescontoPadrao,INDEX(tProdutos[Desconto homologado],MATCH(tItens[[#This Row],[Produto]],tProdutos[Produto],0))),DescontoPadrao)</f>
        <v>0.44096385542168698</v>
      </c>
      <c r="M6052" s="12">
        <f>tItens[[#This Row],[Valor]]*(1-tItens[[#This Row],[Desconto]])</f>
        <v>2116.5108433734927</v>
      </c>
      <c r="N6052" t="str">
        <f>IFERROR(INDEX(tProdutos[Foco],MATCH(tItens[[#This Row],[Produto]],tProdutos[Produto],0)),"Não")</f>
        <v>Não</v>
      </c>
      <c r="O6052" t="str">
        <f>IFERROR(INDEX(tEditais[SRP],MATCH(tItens[[#This Row],[Edital]],tEditais[Edital],0)),"Não")</f>
        <v>Sim</v>
      </c>
      <c r="P6052" s="4">
        <f>IF(COUNTIFS(INDEX(tItens[Edital],1):tItens[[#This Row],[Edital]],tItens[[#This Row],[Edital]],INDEX(tItens[Produto],1):tItens[[#This Row],[Produto]],tItens[[#This Row],[Produto]])=1,1,0)</f>
        <v>0</v>
      </c>
    </row>
    <row r="6053" spans="1:16" x14ac:dyDescent="0.25">
      <c r="A6053" t="s">
        <v>2146</v>
      </c>
      <c r="B6053">
        <v>161</v>
      </c>
      <c r="C6053" t="s">
        <v>8796</v>
      </c>
      <c r="D6053" t="s">
        <v>461</v>
      </c>
      <c r="E6053" s="13">
        <v>30</v>
      </c>
      <c r="F6053" s="12">
        <v>60.76</v>
      </c>
      <c r="G6053" t="str">
        <f>IFERROR(INDEX(tEditais[Órgão],MATCH(tItens[[#This Row],[Edital]],tEditais[Edital],0)),"")</f>
        <v>MUNICIPIO DE GENERAL CARNEIRO</v>
      </c>
      <c r="H6053" t="str">
        <f>IFERROR(INDEX(tEditais[UF],MATCH(tItens[[#This Row],[Edital]],tEditais[Edital],0)),"")</f>
        <v>PR</v>
      </c>
      <c r="I6053" s="11">
        <f>IFERROR(INDEX(tEditais[Encerramento],MATCH(tItens[[#This Row],[Edital]],tEditais[Edital],0)),"")</f>
        <v>46311.333333333336</v>
      </c>
      <c r="J6053" t="str">
        <f>IFERROR(INDEX(tProdutos[Classe],MATCH(tItens[[#This Row],[Produto]],tProdutos[Produto],0)),"produto não cadastrado")</f>
        <v>FILA REBASE</v>
      </c>
      <c r="K6053" s="12">
        <f>tItens[[#This Row],[Qtd]]*tItens[[#This Row],[Vlr unit]]</f>
        <v>1822.8</v>
      </c>
      <c r="L6053" s="6">
        <f>IFERROR(IF(INDEX(tProdutos[Desconto homologado],MATCH(tItens[[#This Row],[Produto]],tProdutos[Produto],0))="",DescontoPadrao,INDEX(tProdutos[Desconto homologado],MATCH(tItens[[#This Row],[Produto]],tProdutos[Produto],0))),DescontoPadrao)</f>
        <v>0.44096385542168698</v>
      </c>
      <c r="M6053" s="12">
        <f>tItens[[#This Row],[Valor]]*(1-tItens[[#This Row],[Desconto]])</f>
        <v>1019.0110843373488</v>
      </c>
      <c r="N6053" t="str">
        <f>IFERROR(INDEX(tProdutos[Foco],MATCH(tItens[[#This Row],[Produto]],tProdutos[Produto],0)),"Não")</f>
        <v>Não</v>
      </c>
      <c r="O6053" t="str">
        <f>IFERROR(INDEX(tEditais[SRP],MATCH(tItens[[#This Row],[Edital]],tEditais[Edital],0)),"Não")</f>
        <v>Sim</v>
      </c>
      <c r="P6053" s="4">
        <f>IF(COUNTIFS(INDEX(tItens[Edital],1):tItens[[#This Row],[Edital]],tItens[[#This Row],[Edital]],INDEX(tItens[Produto],1):tItens[[#This Row],[Produto]],tItens[[#This Row],[Produto]])=1,1,0)</f>
        <v>0</v>
      </c>
    </row>
    <row r="6054" spans="1:16" x14ac:dyDescent="0.25">
      <c r="A6054" t="s">
        <v>2146</v>
      </c>
      <c r="B6054">
        <v>162</v>
      </c>
      <c r="C6054" t="s">
        <v>8797</v>
      </c>
      <c r="D6054" t="s">
        <v>461</v>
      </c>
      <c r="E6054" s="13">
        <v>30</v>
      </c>
      <c r="F6054" s="12">
        <v>53.44</v>
      </c>
      <c r="G6054" t="str">
        <f>IFERROR(INDEX(tEditais[Órgão],MATCH(tItens[[#This Row],[Edital]],tEditais[Edital],0)),"")</f>
        <v>MUNICIPIO DE GENERAL CARNEIRO</v>
      </c>
      <c r="H6054" t="str">
        <f>IFERROR(INDEX(tEditais[UF],MATCH(tItens[[#This Row],[Edital]],tEditais[Edital],0)),"")</f>
        <v>PR</v>
      </c>
      <c r="I6054" s="11">
        <f>IFERROR(INDEX(tEditais[Encerramento],MATCH(tItens[[#This Row],[Edital]],tEditais[Edital],0)),"")</f>
        <v>46311.333333333336</v>
      </c>
      <c r="J6054" t="str">
        <f>IFERROR(INDEX(tProdutos[Classe],MATCH(tItens[[#This Row],[Produto]],tProdutos[Produto],0)),"produto não cadastrado")</f>
        <v>FILA REBASE</v>
      </c>
      <c r="K6054" s="12">
        <f>tItens[[#This Row],[Qtd]]*tItens[[#This Row],[Vlr unit]]</f>
        <v>1603.1999999999998</v>
      </c>
      <c r="L6054" s="6">
        <f>IFERROR(IF(INDEX(tProdutos[Desconto homologado],MATCH(tItens[[#This Row],[Produto]],tProdutos[Produto],0))="",DescontoPadrao,INDEX(tProdutos[Desconto homologado],MATCH(tItens[[#This Row],[Produto]],tProdutos[Produto],0))),DescontoPadrao)</f>
        <v>0.44096385542168698</v>
      </c>
      <c r="M6054" s="12">
        <f>tItens[[#This Row],[Valor]]*(1-tItens[[#This Row],[Desconto]])</f>
        <v>896.24674698795127</v>
      </c>
      <c r="N6054" t="str">
        <f>IFERROR(INDEX(tProdutos[Foco],MATCH(tItens[[#This Row],[Produto]],tProdutos[Produto],0)),"Não")</f>
        <v>Não</v>
      </c>
      <c r="O6054" t="str">
        <f>IFERROR(INDEX(tEditais[SRP],MATCH(tItens[[#This Row],[Edital]],tEditais[Edital],0)),"Não")</f>
        <v>Sim</v>
      </c>
      <c r="P6054" s="4">
        <f>IF(COUNTIFS(INDEX(tItens[Edital],1):tItens[[#This Row],[Edital]],tItens[[#This Row],[Edital]],INDEX(tItens[Produto],1):tItens[[#This Row],[Produto]],tItens[[#This Row],[Produto]])=1,1,0)</f>
        <v>0</v>
      </c>
    </row>
    <row r="6055" spans="1:16" x14ac:dyDescent="0.25">
      <c r="A6055" t="s">
        <v>2146</v>
      </c>
      <c r="B6055">
        <v>163</v>
      </c>
      <c r="C6055" t="s">
        <v>8798</v>
      </c>
      <c r="D6055" t="s">
        <v>142</v>
      </c>
      <c r="E6055" s="13">
        <v>1000</v>
      </c>
      <c r="F6055" s="12">
        <v>7.86</v>
      </c>
      <c r="G6055" t="str">
        <f>IFERROR(INDEX(tEditais[Órgão],MATCH(tItens[[#This Row],[Edital]],tEditais[Edital],0)),"")</f>
        <v>MUNICIPIO DE GENERAL CARNEIRO</v>
      </c>
      <c r="H6055" t="str">
        <f>IFERROR(INDEX(tEditais[UF],MATCH(tItens[[#This Row],[Edital]],tEditais[Edital],0)),"")</f>
        <v>PR</v>
      </c>
      <c r="I6055" s="11">
        <f>IFERROR(INDEX(tEditais[Encerramento],MATCH(tItens[[#This Row],[Edital]],tEditais[Edital],0)),"")</f>
        <v>46311.333333333336</v>
      </c>
      <c r="J6055" t="str">
        <f>IFERROR(INDEX(tProdutos[Classe],MATCH(tItens[[#This Row],[Produto]],tProdutos[Produto],0)),"produto não cadastrado")</f>
        <v>DISPUTADO</v>
      </c>
      <c r="K6055" s="12">
        <f>tItens[[#This Row],[Qtd]]*tItens[[#This Row],[Vlr unit]]</f>
        <v>7860</v>
      </c>
      <c r="L6055" s="6">
        <f>IFERROR(IF(INDEX(tProdutos[Desconto homologado],MATCH(tItens[[#This Row],[Produto]],tProdutos[Produto],0))="",DescontoPadrao,INDEX(tProdutos[Desconto homologado],MATCH(tItens[[#This Row],[Produto]],tProdutos[Produto],0))),DescontoPadrao)</f>
        <v>0.37093619495691699</v>
      </c>
      <c r="M6055" s="12">
        <f>tItens[[#This Row],[Valor]]*(1-tItens[[#This Row],[Desconto]])</f>
        <v>4944.4415076386322</v>
      </c>
      <c r="N6055" t="str">
        <f>IFERROR(INDEX(tProdutos[Foco],MATCH(tItens[[#This Row],[Produto]],tProdutos[Produto],0)),"Não")</f>
        <v>Não</v>
      </c>
      <c r="O6055" t="str">
        <f>IFERROR(INDEX(tEditais[SRP],MATCH(tItens[[#This Row],[Edital]],tEditais[Edital],0)),"Não")</f>
        <v>Sim</v>
      </c>
      <c r="P6055" s="4">
        <f>IF(COUNTIFS(INDEX(tItens[Edital],1):tItens[[#This Row],[Edital]],tItens[[#This Row],[Edital]],INDEX(tItens[Produto],1):tItens[[#This Row],[Produto]],tItens[[#This Row],[Produto]])=1,1,0)</f>
        <v>1</v>
      </c>
    </row>
    <row r="6056" spans="1:16" x14ac:dyDescent="0.25">
      <c r="A6056" t="s">
        <v>2146</v>
      </c>
      <c r="B6056">
        <v>165</v>
      </c>
      <c r="C6056" t="s">
        <v>8799</v>
      </c>
      <c r="D6056" t="s">
        <v>77</v>
      </c>
      <c r="E6056" s="13">
        <v>2500</v>
      </c>
      <c r="F6056" s="12">
        <v>3.04</v>
      </c>
      <c r="G6056" t="str">
        <f>IFERROR(INDEX(tEditais[Órgão],MATCH(tItens[[#This Row],[Edital]],tEditais[Edital],0)),"")</f>
        <v>MUNICIPIO DE GENERAL CARNEIRO</v>
      </c>
      <c r="H6056" t="str">
        <f>IFERROR(INDEX(tEditais[UF],MATCH(tItens[[#This Row],[Edital]],tEditais[Edital],0)),"")</f>
        <v>PR</v>
      </c>
      <c r="I6056" s="11">
        <f>IFERROR(INDEX(tEditais[Encerramento],MATCH(tItens[[#This Row],[Edital]],tEditais[Edital],0)),"")</f>
        <v>46311.333333333336</v>
      </c>
      <c r="J6056" t="str">
        <f>IFERROR(INDEX(tProdutos[Classe],MATCH(tItens[[#This Row],[Produto]],tProdutos[Produto],0)),"produto não cadastrado")</f>
        <v>DISPUTADO</v>
      </c>
      <c r="K6056" s="12">
        <f>tItens[[#This Row],[Qtd]]*tItens[[#This Row],[Vlr unit]]</f>
        <v>7600</v>
      </c>
      <c r="L6056" s="6">
        <f>IFERROR(IF(INDEX(tProdutos[Desconto homologado],MATCH(tItens[[#This Row],[Produto]],tProdutos[Produto],0))="",DescontoPadrao,INDEX(tProdutos[Desconto homologado],MATCH(tItens[[#This Row],[Produto]],tProdutos[Produto],0))),DescontoPadrao)</f>
        <v>0.33</v>
      </c>
      <c r="M6056" s="12">
        <f>tItens[[#This Row],[Valor]]*(1-tItens[[#This Row],[Desconto]])</f>
        <v>5091.9999999999991</v>
      </c>
      <c r="N6056" t="str">
        <f>IFERROR(INDEX(tProdutos[Foco],MATCH(tItens[[#This Row],[Produto]],tProdutos[Produto],0)),"Não")</f>
        <v>Sim</v>
      </c>
      <c r="O6056" t="str">
        <f>IFERROR(INDEX(tEditais[SRP],MATCH(tItens[[#This Row],[Edital]],tEditais[Edital],0)),"Não")</f>
        <v>Sim</v>
      </c>
      <c r="P6056" s="4">
        <f>IF(COUNTIFS(INDEX(tItens[Edital],1):tItens[[#This Row],[Edital]],tItens[[#This Row],[Edital]],INDEX(tItens[Produto],1):tItens[[#This Row],[Produto]],tItens[[#This Row],[Produto]])=1,1,0)</f>
        <v>1</v>
      </c>
    </row>
    <row r="6057" spans="1:16" x14ac:dyDescent="0.25">
      <c r="A6057" t="s">
        <v>2146</v>
      </c>
      <c r="B6057">
        <v>166</v>
      </c>
      <c r="C6057" t="s">
        <v>8800</v>
      </c>
      <c r="D6057" t="s">
        <v>77</v>
      </c>
      <c r="E6057" s="13">
        <v>2500</v>
      </c>
      <c r="F6057" s="12">
        <v>4.6100000000000003</v>
      </c>
      <c r="G6057" t="str">
        <f>IFERROR(INDEX(tEditais[Órgão],MATCH(tItens[[#This Row],[Edital]],tEditais[Edital],0)),"")</f>
        <v>MUNICIPIO DE GENERAL CARNEIRO</v>
      </c>
      <c r="H6057" t="str">
        <f>IFERROR(INDEX(tEditais[UF],MATCH(tItens[[#This Row],[Edital]],tEditais[Edital],0)),"")</f>
        <v>PR</v>
      </c>
      <c r="I6057" s="11">
        <f>IFERROR(INDEX(tEditais[Encerramento],MATCH(tItens[[#This Row],[Edital]],tEditais[Edital],0)),"")</f>
        <v>46311.333333333336</v>
      </c>
      <c r="J6057" t="str">
        <f>IFERROR(INDEX(tProdutos[Classe],MATCH(tItens[[#This Row],[Produto]],tProdutos[Produto],0)),"produto não cadastrado")</f>
        <v>DISPUTADO</v>
      </c>
      <c r="K6057" s="12">
        <f>tItens[[#This Row],[Qtd]]*tItens[[#This Row],[Vlr unit]]</f>
        <v>11525</v>
      </c>
      <c r="L6057" s="6">
        <f>IFERROR(IF(INDEX(tProdutos[Desconto homologado],MATCH(tItens[[#This Row],[Produto]],tProdutos[Produto],0))="",DescontoPadrao,INDEX(tProdutos[Desconto homologado],MATCH(tItens[[#This Row],[Produto]],tProdutos[Produto],0))),DescontoPadrao)</f>
        <v>0.33</v>
      </c>
      <c r="M6057" s="12">
        <f>tItens[[#This Row],[Valor]]*(1-tItens[[#This Row],[Desconto]])</f>
        <v>7721.7499999999991</v>
      </c>
      <c r="N6057" t="str">
        <f>IFERROR(INDEX(tProdutos[Foco],MATCH(tItens[[#This Row],[Produto]],tProdutos[Produto],0)),"Não")</f>
        <v>Sim</v>
      </c>
      <c r="O6057" t="str">
        <f>IFERROR(INDEX(tEditais[SRP],MATCH(tItens[[#This Row],[Edital]],tEditais[Edital],0)),"Não")</f>
        <v>Sim</v>
      </c>
      <c r="P6057" s="4">
        <f>IF(COUNTIFS(INDEX(tItens[Edital],1):tItens[[#This Row],[Edital]],tItens[[#This Row],[Edital]],INDEX(tItens[Produto],1):tItens[[#This Row],[Produto]],tItens[[#This Row],[Produto]])=1,1,0)</f>
        <v>0</v>
      </c>
    </row>
    <row r="6058" spans="1:16" x14ac:dyDescent="0.25">
      <c r="A6058" t="s">
        <v>2146</v>
      </c>
      <c r="B6058">
        <v>167</v>
      </c>
      <c r="C6058" t="s">
        <v>8801</v>
      </c>
      <c r="D6058" t="s">
        <v>77</v>
      </c>
      <c r="E6058" s="13">
        <v>2000</v>
      </c>
      <c r="F6058" s="12">
        <v>29.01</v>
      </c>
      <c r="G6058" t="str">
        <f>IFERROR(INDEX(tEditais[Órgão],MATCH(tItens[[#This Row],[Edital]],tEditais[Edital],0)),"")</f>
        <v>MUNICIPIO DE GENERAL CARNEIRO</v>
      </c>
      <c r="H6058" t="str">
        <f>IFERROR(INDEX(tEditais[UF],MATCH(tItens[[#This Row],[Edital]],tEditais[Edital],0)),"")</f>
        <v>PR</v>
      </c>
      <c r="I6058" s="11">
        <f>IFERROR(INDEX(tEditais[Encerramento],MATCH(tItens[[#This Row],[Edital]],tEditais[Edital],0)),"")</f>
        <v>46311.333333333336</v>
      </c>
      <c r="J6058" t="str">
        <f>IFERROR(INDEX(tProdutos[Classe],MATCH(tItens[[#This Row],[Produto]],tProdutos[Produto],0)),"produto não cadastrado")</f>
        <v>DISPUTADO</v>
      </c>
      <c r="K6058" s="12">
        <f>tItens[[#This Row],[Qtd]]*tItens[[#This Row],[Vlr unit]]</f>
        <v>58020</v>
      </c>
      <c r="L6058" s="6">
        <f>IFERROR(IF(INDEX(tProdutos[Desconto homologado],MATCH(tItens[[#This Row],[Produto]],tProdutos[Produto],0))="",DescontoPadrao,INDEX(tProdutos[Desconto homologado],MATCH(tItens[[#This Row],[Produto]],tProdutos[Produto],0))),DescontoPadrao)</f>
        <v>0.33</v>
      </c>
      <c r="M6058" s="12">
        <f>tItens[[#This Row],[Valor]]*(1-tItens[[#This Row],[Desconto]])</f>
        <v>38873.399999999994</v>
      </c>
      <c r="N6058" t="str">
        <f>IFERROR(INDEX(tProdutos[Foco],MATCH(tItens[[#This Row],[Produto]],tProdutos[Produto],0)),"Não")</f>
        <v>Sim</v>
      </c>
      <c r="O6058" t="str">
        <f>IFERROR(INDEX(tEditais[SRP],MATCH(tItens[[#This Row],[Edital]],tEditais[Edital],0)),"Não")</f>
        <v>Sim</v>
      </c>
      <c r="P6058" s="4">
        <f>IF(COUNTIFS(INDEX(tItens[Edital],1):tItens[[#This Row],[Edital]],tItens[[#This Row],[Edital]],INDEX(tItens[Produto],1):tItens[[#This Row],[Produto]],tItens[[#This Row],[Produto]])=1,1,0)</f>
        <v>0</v>
      </c>
    </row>
    <row r="6059" spans="1:16" x14ac:dyDescent="0.25">
      <c r="A6059" t="s">
        <v>2146</v>
      </c>
      <c r="B6059">
        <v>168</v>
      </c>
      <c r="C6059" t="s">
        <v>8802</v>
      </c>
      <c r="D6059" t="s">
        <v>77</v>
      </c>
      <c r="E6059" s="13">
        <v>2300</v>
      </c>
      <c r="F6059" s="12">
        <v>7.06</v>
      </c>
      <c r="G6059" t="str">
        <f>IFERROR(INDEX(tEditais[Órgão],MATCH(tItens[[#This Row],[Edital]],tEditais[Edital],0)),"")</f>
        <v>MUNICIPIO DE GENERAL CARNEIRO</v>
      </c>
      <c r="H6059" t="str">
        <f>IFERROR(INDEX(tEditais[UF],MATCH(tItens[[#This Row],[Edital]],tEditais[Edital],0)),"")</f>
        <v>PR</v>
      </c>
      <c r="I6059" s="11">
        <f>IFERROR(INDEX(tEditais[Encerramento],MATCH(tItens[[#This Row],[Edital]],tEditais[Edital],0)),"")</f>
        <v>46311.333333333336</v>
      </c>
      <c r="J6059" t="str">
        <f>IFERROR(INDEX(tProdutos[Classe],MATCH(tItens[[#This Row],[Produto]],tProdutos[Produto],0)),"produto não cadastrado")</f>
        <v>DISPUTADO</v>
      </c>
      <c r="K6059" s="12">
        <f>tItens[[#This Row],[Qtd]]*tItens[[#This Row],[Vlr unit]]</f>
        <v>16238</v>
      </c>
      <c r="L6059" s="6">
        <f>IFERROR(IF(INDEX(tProdutos[Desconto homologado],MATCH(tItens[[#This Row],[Produto]],tProdutos[Produto],0))="",DescontoPadrao,INDEX(tProdutos[Desconto homologado],MATCH(tItens[[#This Row],[Produto]],tProdutos[Produto],0))),DescontoPadrao)</f>
        <v>0.33</v>
      </c>
      <c r="M6059" s="12">
        <f>tItens[[#This Row],[Valor]]*(1-tItens[[#This Row],[Desconto]])</f>
        <v>10879.46</v>
      </c>
      <c r="N6059" t="str">
        <f>IFERROR(INDEX(tProdutos[Foco],MATCH(tItens[[#This Row],[Produto]],tProdutos[Produto],0)),"Não")</f>
        <v>Sim</v>
      </c>
      <c r="O6059" t="str">
        <f>IFERROR(INDEX(tEditais[SRP],MATCH(tItens[[#This Row],[Edital]],tEditais[Edital],0)),"Não")</f>
        <v>Sim</v>
      </c>
      <c r="P6059" s="4">
        <f>IF(COUNTIFS(INDEX(tItens[Edital],1):tItens[[#This Row],[Edital]],tItens[[#This Row],[Edital]],INDEX(tItens[Produto],1):tItens[[#This Row],[Produto]],tItens[[#This Row],[Produto]])=1,1,0)</f>
        <v>0</v>
      </c>
    </row>
    <row r="6060" spans="1:16" x14ac:dyDescent="0.25">
      <c r="A6060" t="s">
        <v>2146</v>
      </c>
      <c r="B6060">
        <v>169</v>
      </c>
      <c r="C6060" t="s">
        <v>8803</v>
      </c>
      <c r="D6060" t="s">
        <v>77</v>
      </c>
      <c r="E6060" s="13">
        <v>2000</v>
      </c>
      <c r="F6060" s="12">
        <v>9.18</v>
      </c>
      <c r="G6060" t="str">
        <f>IFERROR(INDEX(tEditais[Órgão],MATCH(tItens[[#This Row],[Edital]],tEditais[Edital],0)),"")</f>
        <v>MUNICIPIO DE GENERAL CARNEIRO</v>
      </c>
      <c r="H6060" t="str">
        <f>IFERROR(INDEX(tEditais[UF],MATCH(tItens[[#This Row],[Edital]],tEditais[Edital],0)),"")</f>
        <v>PR</v>
      </c>
      <c r="I6060" s="11">
        <f>IFERROR(INDEX(tEditais[Encerramento],MATCH(tItens[[#This Row],[Edital]],tEditais[Edital],0)),"")</f>
        <v>46311.333333333336</v>
      </c>
      <c r="J6060" t="str">
        <f>IFERROR(INDEX(tProdutos[Classe],MATCH(tItens[[#This Row],[Produto]],tProdutos[Produto],0)),"produto não cadastrado")</f>
        <v>DISPUTADO</v>
      </c>
      <c r="K6060" s="12">
        <f>tItens[[#This Row],[Qtd]]*tItens[[#This Row],[Vlr unit]]</f>
        <v>18360</v>
      </c>
      <c r="L6060" s="6">
        <f>IFERROR(IF(INDEX(tProdutos[Desconto homologado],MATCH(tItens[[#This Row],[Produto]],tProdutos[Produto],0))="",DescontoPadrao,INDEX(tProdutos[Desconto homologado],MATCH(tItens[[#This Row],[Produto]],tProdutos[Produto],0))),DescontoPadrao)</f>
        <v>0.33</v>
      </c>
      <c r="M6060" s="12">
        <f>tItens[[#This Row],[Valor]]*(1-tItens[[#This Row],[Desconto]])</f>
        <v>12301.199999999999</v>
      </c>
      <c r="N6060" t="str">
        <f>IFERROR(INDEX(tProdutos[Foco],MATCH(tItens[[#This Row],[Produto]],tProdutos[Produto],0)),"Não")</f>
        <v>Sim</v>
      </c>
      <c r="O6060" t="str">
        <f>IFERROR(INDEX(tEditais[SRP],MATCH(tItens[[#This Row],[Edital]],tEditais[Edital],0)),"Não")</f>
        <v>Sim</v>
      </c>
      <c r="P6060" s="4">
        <f>IF(COUNTIFS(INDEX(tItens[Edital],1):tItens[[#This Row],[Edital]],tItens[[#This Row],[Edital]],INDEX(tItens[Produto],1):tItens[[#This Row],[Produto]],tItens[[#This Row],[Produto]])=1,1,0)</f>
        <v>0</v>
      </c>
    </row>
    <row r="6061" spans="1:16" x14ac:dyDescent="0.25">
      <c r="A6061" t="s">
        <v>2146</v>
      </c>
      <c r="B6061">
        <v>172</v>
      </c>
      <c r="C6061" t="s">
        <v>8804</v>
      </c>
      <c r="D6061" t="s">
        <v>512</v>
      </c>
      <c r="E6061" s="13">
        <v>2</v>
      </c>
      <c r="F6061" s="12">
        <v>42.59</v>
      </c>
      <c r="G6061" t="str">
        <f>IFERROR(INDEX(tEditais[Órgão],MATCH(tItens[[#This Row],[Edital]],tEditais[Edital],0)),"")</f>
        <v>MUNICIPIO DE GENERAL CARNEIRO</v>
      </c>
      <c r="H6061" t="str">
        <f>IFERROR(INDEX(tEditais[UF],MATCH(tItens[[#This Row],[Edital]],tEditais[Edital],0)),"")</f>
        <v>PR</v>
      </c>
      <c r="I6061" s="11">
        <f>IFERROR(INDEX(tEditais[Encerramento],MATCH(tItens[[#This Row],[Edital]],tEditais[Edital],0)),"")</f>
        <v>46311.333333333336</v>
      </c>
      <c r="J6061" t="str">
        <f>IFERROR(INDEX(tProdutos[Classe],MATCH(tItens[[#This Row],[Produto]],tProdutos[Produto],0)),"produto não cadastrado")</f>
        <v>FILA REBASE</v>
      </c>
      <c r="K6061" s="12">
        <f>tItens[[#This Row],[Qtd]]*tItens[[#This Row],[Vlr unit]]</f>
        <v>85.18</v>
      </c>
      <c r="L6061" s="6">
        <f>IFERROR(IF(INDEX(tProdutos[Desconto homologado],MATCH(tItens[[#This Row],[Produto]],tProdutos[Produto],0))="",DescontoPadrao,INDEX(tProdutos[Desconto homologado],MATCH(tItens[[#This Row],[Produto]],tProdutos[Produto],0))),DescontoPadrao)</f>
        <v>0.32579365079365102</v>
      </c>
      <c r="M6061" s="12">
        <f>tItens[[#This Row],[Valor]]*(1-tItens[[#This Row],[Desconto]])</f>
        <v>57.428896825396812</v>
      </c>
      <c r="N6061" t="str">
        <f>IFERROR(INDEX(tProdutos[Foco],MATCH(tItens[[#This Row],[Produto]],tProdutos[Produto],0)),"Não")</f>
        <v>Não</v>
      </c>
      <c r="O6061" t="str">
        <f>IFERROR(INDEX(tEditais[SRP],MATCH(tItens[[#This Row],[Edital]],tEditais[Edital],0)),"Não")</f>
        <v>Sim</v>
      </c>
      <c r="P6061" s="4">
        <f>IF(COUNTIFS(INDEX(tItens[Edital],1):tItens[[#This Row],[Edital]],tItens[[#This Row],[Edital]],INDEX(tItens[Produto],1):tItens[[#This Row],[Produto]],tItens[[#This Row],[Produto]])=1,1,0)</f>
        <v>1</v>
      </c>
    </row>
    <row r="6062" spans="1:16" x14ac:dyDescent="0.25">
      <c r="A6062" t="s">
        <v>2146</v>
      </c>
      <c r="B6062">
        <v>173</v>
      </c>
      <c r="C6062" t="s">
        <v>8805</v>
      </c>
      <c r="D6062" t="s">
        <v>467</v>
      </c>
      <c r="E6062" s="13">
        <v>250</v>
      </c>
      <c r="F6062" s="12">
        <v>6.55</v>
      </c>
      <c r="G6062" t="str">
        <f>IFERROR(INDEX(tEditais[Órgão],MATCH(tItens[[#This Row],[Edital]],tEditais[Edital],0)),"")</f>
        <v>MUNICIPIO DE GENERAL CARNEIRO</v>
      </c>
      <c r="H6062" t="str">
        <f>IFERROR(INDEX(tEditais[UF],MATCH(tItens[[#This Row],[Edital]],tEditais[Edital],0)),"")</f>
        <v>PR</v>
      </c>
      <c r="I6062" s="11">
        <f>IFERROR(INDEX(tEditais[Encerramento],MATCH(tItens[[#This Row],[Edital]],tEditais[Edital],0)),"")</f>
        <v>46311.333333333336</v>
      </c>
      <c r="J6062" t="str">
        <f>IFERROR(INDEX(tProdutos[Classe],MATCH(tItens[[#This Row],[Produto]],tProdutos[Produto],0)),"produto não cadastrado")</f>
        <v>FILA REBASE</v>
      </c>
      <c r="K6062" s="12">
        <f>tItens[[#This Row],[Qtd]]*tItens[[#This Row],[Vlr unit]]</f>
        <v>1637.5</v>
      </c>
      <c r="L6062" s="6">
        <f>IFERROR(IF(INDEX(tProdutos[Desconto homologado],MATCH(tItens[[#This Row],[Produto]],tProdutos[Produto],0))="",DescontoPadrao,INDEX(tProdutos[Desconto homologado],MATCH(tItens[[#This Row],[Produto]],tProdutos[Produto],0))),DescontoPadrao)</f>
        <v>0.25007144898542499</v>
      </c>
      <c r="M6062" s="12">
        <f>tItens[[#This Row],[Valor]]*(1-tItens[[#This Row],[Desconto]])</f>
        <v>1228.0080022863665</v>
      </c>
      <c r="N6062" t="str">
        <f>IFERROR(INDEX(tProdutos[Foco],MATCH(tItens[[#This Row],[Produto]],tProdutos[Produto],0)),"Não")</f>
        <v>Não</v>
      </c>
      <c r="O6062" t="str">
        <f>IFERROR(INDEX(tEditais[SRP],MATCH(tItens[[#This Row],[Edital]],tEditais[Edital],0)),"Não")</f>
        <v>Sim</v>
      </c>
      <c r="P6062" s="4">
        <f>IF(COUNTIFS(INDEX(tItens[Edital],1):tItens[[#This Row],[Edital]],tItens[[#This Row],[Edital]],INDEX(tItens[Produto],1):tItens[[#This Row],[Produto]],tItens[[#This Row],[Produto]])=1,1,0)</f>
        <v>1</v>
      </c>
    </row>
    <row r="6063" spans="1:16" x14ac:dyDescent="0.25">
      <c r="A6063" t="s">
        <v>2146</v>
      </c>
      <c r="B6063">
        <v>182</v>
      </c>
      <c r="C6063" t="s">
        <v>8806</v>
      </c>
      <c r="D6063" t="s">
        <v>411</v>
      </c>
      <c r="E6063" s="13">
        <v>100</v>
      </c>
      <c r="F6063" s="12">
        <v>68.650000000000006</v>
      </c>
      <c r="G6063" t="str">
        <f>IFERROR(INDEX(tEditais[Órgão],MATCH(tItens[[#This Row],[Edital]],tEditais[Edital],0)),"")</f>
        <v>MUNICIPIO DE GENERAL CARNEIRO</v>
      </c>
      <c r="H6063" t="str">
        <f>IFERROR(INDEX(tEditais[UF],MATCH(tItens[[#This Row],[Edital]],tEditais[Edital],0)),"")</f>
        <v>PR</v>
      </c>
      <c r="I6063" s="11">
        <f>IFERROR(INDEX(tEditais[Encerramento],MATCH(tItens[[#This Row],[Edital]],tEditais[Edital],0)),"")</f>
        <v>46311.333333333336</v>
      </c>
      <c r="J6063" t="str">
        <f>IFERROR(INDEX(tProdutos[Classe],MATCH(tItens[[#This Row],[Produto]],tProdutos[Produto],0)),"produto não cadastrado")</f>
        <v>FORA</v>
      </c>
      <c r="K6063" s="12">
        <f>tItens[[#This Row],[Qtd]]*tItens[[#This Row],[Vlr unit]]</f>
        <v>6865.0000000000009</v>
      </c>
      <c r="L6063" s="6">
        <f>IFERROR(IF(INDEX(tProdutos[Desconto homologado],MATCH(tItens[[#This Row],[Produto]],tProdutos[Produto],0))="",DescontoPadrao,INDEX(tProdutos[Desconto homologado],MATCH(tItens[[#This Row],[Produto]],tProdutos[Produto],0))),DescontoPadrao)</f>
        <v>0.50029835957199398</v>
      </c>
      <c r="M6063" s="12">
        <f>tItens[[#This Row],[Valor]]*(1-tItens[[#This Row],[Desconto]])</f>
        <v>3430.451761538262</v>
      </c>
      <c r="N6063" t="str">
        <f>IFERROR(INDEX(tProdutos[Foco],MATCH(tItens[[#This Row],[Produto]],tProdutos[Produto],0)),"Não")</f>
        <v>Não</v>
      </c>
      <c r="O6063" t="str">
        <f>IFERROR(INDEX(tEditais[SRP],MATCH(tItens[[#This Row],[Edital]],tEditais[Edital],0)),"Não")</f>
        <v>Sim</v>
      </c>
      <c r="P6063" s="4">
        <f>IF(COUNTIFS(INDEX(tItens[Edital],1):tItens[[#This Row],[Edital]],tItens[[#This Row],[Edital]],INDEX(tItens[Produto],1):tItens[[#This Row],[Produto]],tItens[[#This Row],[Produto]])=1,1,0)</f>
        <v>1</v>
      </c>
    </row>
    <row r="6064" spans="1:16" x14ac:dyDescent="0.25">
      <c r="A6064" t="s">
        <v>2146</v>
      </c>
      <c r="B6064">
        <v>183</v>
      </c>
      <c r="C6064" t="s">
        <v>8807</v>
      </c>
      <c r="D6064" t="s">
        <v>411</v>
      </c>
      <c r="E6064" s="13">
        <v>200</v>
      </c>
      <c r="F6064" s="12">
        <v>35.14</v>
      </c>
      <c r="G6064" t="str">
        <f>IFERROR(INDEX(tEditais[Órgão],MATCH(tItens[[#This Row],[Edital]],tEditais[Edital],0)),"")</f>
        <v>MUNICIPIO DE GENERAL CARNEIRO</v>
      </c>
      <c r="H6064" t="str">
        <f>IFERROR(INDEX(tEditais[UF],MATCH(tItens[[#This Row],[Edital]],tEditais[Edital],0)),"")</f>
        <v>PR</v>
      </c>
      <c r="I6064" s="11">
        <f>IFERROR(INDEX(tEditais[Encerramento],MATCH(tItens[[#This Row],[Edital]],tEditais[Edital],0)),"")</f>
        <v>46311.333333333336</v>
      </c>
      <c r="J6064" t="str">
        <f>IFERROR(INDEX(tProdutos[Classe],MATCH(tItens[[#This Row],[Produto]],tProdutos[Produto],0)),"produto não cadastrado")</f>
        <v>FORA</v>
      </c>
      <c r="K6064" s="12">
        <f>tItens[[#This Row],[Qtd]]*tItens[[#This Row],[Vlr unit]]</f>
        <v>7028</v>
      </c>
      <c r="L6064" s="6">
        <f>IFERROR(IF(INDEX(tProdutos[Desconto homologado],MATCH(tItens[[#This Row],[Produto]],tProdutos[Produto],0))="",DescontoPadrao,INDEX(tProdutos[Desconto homologado],MATCH(tItens[[#This Row],[Produto]],tProdutos[Produto],0))),DescontoPadrao)</f>
        <v>0.50029835957199398</v>
      </c>
      <c r="M6064" s="12">
        <f>tItens[[#This Row],[Valor]]*(1-tItens[[#This Row],[Desconto]])</f>
        <v>3511.9031289280265</v>
      </c>
      <c r="N6064" t="str">
        <f>IFERROR(INDEX(tProdutos[Foco],MATCH(tItens[[#This Row],[Produto]],tProdutos[Produto],0)),"Não")</f>
        <v>Não</v>
      </c>
      <c r="O6064" t="str">
        <f>IFERROR(INDEX(tEditais[SRP],MATCH(tItens[[#This Row],[Edital]],tEditais[Edital],0)),"Não")</f>
        <v>Sim</v>
      </c>
      <c r="P6064" s="4">
        <f>IF(COUNTIFS(INDEX(tItens[Edital],1):tItens[[#This Row],[Edital]],tItens[[#This Row],[Edital]],INDEX(tItens[Produto],1):tItens[[#This Row],[Produto]],tItens[[#This Row],[Produto]])=1,1,0)</f>
        <v>0</v>
      </c>
    </row>
    <row r="6065" spans="1:16" x14ac:dyDescent="0.25">
      <c r="A6065" t="s">
        <v>2146</v>
      </c>
      <c r="B6065">
        <v>184</v>
      </c>
      <c r="C6065" t="s">
        <v>8808</v>
      </c>
      <c r="D6065" t="s">
        <v>104</v>
      </c>
      <c r="E6065" s="13">
        <v>200</v>
      </c>
      <c r="F6065" s="12">
        <v>86.25</v>
      </c>
      <c r="G6065" t="str">
        <f>IFERROR(INDEX(tEditais[Órgão],MATCH(tItens[[#This Row],[Edital]],tEditais[Edital],0)),"")</f>
        <v>MUNICIPIO DE GENERAL CARNEIRO</v>
      </c>
      <c r="H6065" t="str">
        <f>IFERROR(INDEX(tEditais[UF],MATCH(tItens[[#This Row],[Edital]],tEditais[Edital],0)),"")</f>
        <v>PR</v>
      </c>
      <c r="I6065" s="11">
        <f>IFERROR(INDEX(tEditais[Encerramento],MATCH(tItens[[#This Row],[Edital]],tEditais[Edital],0)),"")</f>
        <v>46311.333333333336</v>
      </c>
      <c r="J6065" t="str">
        <f>IFERROR(INDEX(tProdutos[Classe],MATCH(tItens[[#This Row],[Produto]],tProdutos[Produto],0)),"produto não cadastrado")</f>
        <v>DISPUTADO</v>
      </c>
      <c r="K6065" s="12">
        <f>tItens[[#This Row],[Qtd]]*tItens[[#This Row],[Vlr unit]]</f>
        <v>17250</v>
      </c>
      <c r="L6065" s="6">
        <f>IFERROR(IF(INDEX(tProdutos[Desconto homologado],MATCH(tItens[[#This Row],[Produto]],tProdutos[Produto],0))="",DescontoPadrao,INDEX(tProdutos[Desconto homologado],MATCH(tItens[[#This Row],[Produto]],tProdutos[Produto],0))),DescontoPadrao)</f>
        <v>0.51</v>
      </c>
      <c r="M6065" s="12">
        <f>tItens[[#This Row],[Valor]]*(1-tItens[[#This Row],[Desconto]])</f>
        <v>8452.5</v>
      </c>
      <c r="N6065" t="str">
        <f>IFERROR(INDEX(tProdutos[Foco],MATCH(tItens[[#This Row],[Produto]],tProdutos[Produto],0)),"Não")</f>
        <v>Sim</v>
      </c>
      <c r="O6065" t="str">
        <f>IFERROR(INDEX(tEditais[SRP],MATCH(tItens[[#This Row],[Edital]],tEditais[Edital],0)),"Não")</f>
        <v>Sim</v>
      </c>
      <c r="P6065" s="4">
        <f>IF(COUNTIFS(INDEX(tItens[Edital],1):tItens[[#This Row],[Edital]],tItens[[#This Row],[Edital]],INDEX(tItens[Produto],1):tItens[[#This Row],[Produto]],tItens[[#This Row],[Produto]])=1,1,0)</f>
        <v>1</v>
      </c>
    </row>
    <row r="6066" spans="1:16" x14ac:dyDescent="0.25">
      <c r="A6066" t="s">
        <v>2146</v>
      </c>
      <c r="B6066">
        <v>185</v>
      </c>
      <c r="C6066" t="s">
        <v>8809</v>
      </c>
      <c r="D6066" t="s">
        <v>245</v>
      </c>
      <c r="E6066" s="13">
        <v>50</v>
      </c>
      <c r="F6066" s="12">
        <v>82.71</v>
      </c>
      <c r="G6066" t="str">
        <f>IFERROR(INDEX(tEditais[Órgão],MATCH(tItens[[#This Row],[Edital]],tEditais[Edital],0)),"")</f>
        <v>MUNICIPIO DE GENERAL CARNEIRO</v>
      </c>
      <c r="H6066" t="str">
        <f>IFERROR(INDEX(tEditais[UF],MATCH(tItens[[#This Row],[Edital]],tEditais[Edital],0)),"")</f>
        <v>PR</v>
      </c>
      <c r="I6066" s="11">
        <f>IFERROR(INDEX(tEditais[Encerramento],MATCH(tItens[[#This Row],[Edital]],tEditais[Edital],0)),"")</f>
        <v>46311.333333333336</v>
      </c>
      <c r="J6066" t="str">
        <f>IFERROR(INDEX(tProdutos[Classe],MATCH(tItens[[#This Row],[Produto]],tProdutos[Produto],0)),"produto não cadastrado")</f>
        <v>FORA</v>
      </c>
      <c r="K6066" s="12">
        <f>tItens[[#This Row],[Qtd]]*tItens[[#This Row],[Vlr unit]]</f>
        <v>4135.5</v>
      </c>
      <c r="L6066" s="6">
        <f>IFERROR(IF(INDEX(tProdutos[Desconto homologado],MATCH(tItens[[#This Row],[Produto]],tProdutos[Produto],0))="",DescontoPadrao,INDEX(tProdutos[Desconto homologado],MATCH(tItens[[#This Row],[Produto]],tProdutos[Produto],0))),DescontoPadrao)</f>
        <v>0.34516963542284401</v>
      </c>
      <c r="M6066" s="12">
        <f>tItens[[#This Row],[Valor]]*(1-tItens[[#This Row],[Desconto]])</f>
        <v>2708.0509727088288</v>
      </c>
      <c r="N6066" t="str">
        <f>IFERROR(INDEX(tProdutos[Foco],MATCH(tItens[[#This Row],[Produto]],tProdutos[Produto],0)),"Não")</f>
        <v>Não</v>
      </c>
      <c r="O6066" t="str">
        <f>IFERROR(INDEX(tEditais[SRP],MATCH(tItens[[#This Row],[Edital]],tEditais[Edital],0)),"Não")</f>
        <v>Sim</v>
      </c>
      <c r="P6066" s="4">
        <f>IF(COUNTIFS(INDEX(tItens[Edital],1):tItens[[#This Row],[Edital]],tItens[[#This Row],[Edital]],INDEX(tItens[Produto],1):tItens[[#This Row],[Produto]],tItens[[#This Row],[Produto]])=1,1,0)</f>
        <v>0</v>
      </c>
    </row>
    <row r="6067" spans="1:16" x14ac:dyDescent="0.25">
      <c r="A6067" t="s">
        <v>2146</v>
      </c>
      <c r="B6067">
        <v>186</v>
      </c>
      <c r="C6067" t="s">
        <v>8810</v>
      </c>
      <c r="D6067" t="s">
        <v>245</v>
      </c>
      <c r="E6067" s="13">
        <v>50</v>
      </c>
      <c r="F6067" s="12">
        <v>89.75</v>
      </c>
      <c r="G6067" t="str">
        <f>IFERROR(INDEX(tEditais[Órgão],MATCH(tItens[[#This Row],[Edital]],tEditais[Edital],0)),"")</f>
        <v>MUNICIPIO DE GENERAL CARNEIRO</v>
      </c>
      <c r="H6067" t="str">
        <f>IFERROR(INDEX(tEditais[UF],MATCH(tItens[[#This Row],[Edital]],tEditais[Edital],0)),"")</f>
        <v>PR</v>
      </c>
      <c r="I6067" s="11">
        <f>IFERROR(INDEX(tEditais[Encerramento],MATCH(tItens[[#This Row],[Edital]],tEditais[Edital],0)),"")</f>
        <v>46311.333333333336</v>
      </c>
      <c r="J6067" t="str">
        <f>IFERROR(INDEX(tProdutos[Classe],MATCH(tItens[[#This Row],[Produto]],tProdutos[Produto],0)),"produto não cadastrado")</f>
        <v>FORA</v>
      </c>
      <c r="K6067" s="12">
        <f>tItens[[#This Row],[Qtd]]*tItens[[#This Row],[Vlr unit]]</f>
        <v>4487.5</v>
      </c>
      <c r="L6067" s="6">
        <f>IFERROR(IF(INDEX(tProdutos[Desconto homologado],MATCH(tItens[[#This Row],[Produto]],tProdutos[Produto],0))="",DescontoPadrao,INDEX(tProdutos[Desconto homologado],MATCH(tItens[[#This Row],[Produto]],tProdutos[Produto],0))),DescontoPadrao)</f>
        <v>0.34516963542284401</v>
      </c>
      <c r="M6067" s="12">
        <f>tItens[[#This Row],[Valor]]*(1-tItens[[#This Row],[Desconto]])</f>
        <v>2938.5512610399878</v>
      </c>
      <c r="N6067" t="str">
        <f>IFERROR(INDEX(tProdutos[Foco],MATCH(tItens[[#This Row],[Produto]],tProdutos[Produto],0)),"Não")</f>
        <v>Não</v>
      </c>
      <c r="O6067" t="str">
        <f>IFERROR(INDEX(tEditais[SRP],MATCH(tItens[[#This Row],[Edital]],tEditais[Edital],0)),"Não")</f>
        <v>Sim</v>
      </c>
      <c r="P6067" s="4">
        <f>IF(COUNTIFS(INDEX(tItens[Edital],1):tItens[[#This Row],[Edital]],tItens[[#This Row],[Edital]],INDEX(tItens[Produto],1):tItens[[#This Row],[Produto]],tItens[[#This Row],[Produto]])=1,1,0)</f>
        <v>0</v>
      </c>
    </row>
    <row r="6068" spans="1:16" x14ac:dyDescent="0.25">
      <c r="A6068" t="s">
        <v>2146</v>
      </c>
      <c r="B6068">
        <v>187</v>
      </c>
      <c r="C6068" t="s">
        <v>8811</v>
      </c>
      <c r="D6068" t="s">
        <v>245</v>
      </c>
      <c r="E6068" s="13">
        <v>50</v>
      </c>
      <c r="F6068" s="12">
        <v>119.51</v>
      </c>
      <c r="G6068" t="str">
        <f>IFERROR(INDEX(tEditais[Órgão],MATCH(tItens[[#This Row],[Edital]],tEditais[Edital],0)),"")</f>
        <v>MUNICIPIO DE GENERAL CARNEIRO</v>
      </c>
      <c r="H6068" t="str">
        <f>IFERROR(INDEX(tEditais[UF],MATCH(tItens[[#This Row],[Edital]],tEditais[Edital],0)),"")</f>
        <v>PR</v>
      </c>
      <c r="I6068" s="11">
        <f>IFERROR(INDEX(tEditais[Encerramento],MATCH(tItens[[#This Row],[Edital]],tEditais[Edital],0)),"")</f>
        <v>46311.333333333336</v>
      </c>
      <c r="J6068" t="str">
        <f>IFERROR(INDEX(tProdutos[Classe],MATCH(tItens[[#This Row],[Produto]],tProdutos[Produto],0)),"produto não cadastrado")</f>
        <v>FORA</v>
      </c>
      <c r="K6068" s="12">
        <f>tItens[[#This Row],[Qtd]]*tItens[[#This Row],[Vlr unit]]</f>
        <v>5975.5</v>
      </c>
      <c r="L6068" s="6">
        <f>IFERROR(IF(INDEX(tProdutos[Desconto homologado],MATCH(tItens[[#This Row],[Produto]],tProdutos[Produto],0))="",DescontoPadrao,INDEX(tProdutos[Desconto homologado],MATCH(tItens[[#This Row],[Produto]],tProdutos[Produto],0))),DescontoPadrao)</f>
        <v>0.34516963542284401</v>
      </c>
      <c r="M6068" s="12">
        <f>tItens[[#This Row],[Valor]]*(1-tItens[[#This Row],[Desconto]])</f>
        <v>3912.938843530796</v>
      </c>
      <c r="N6068" t="str">
        <f>IFERROR(INDEX(tProdutos[Foco],MATCH(tItens[[#This Row],[Produto]],tProdutos[Produto],0)),"Não")</f>
        <v>Não</v>
      </c>
      <c r="O6068" t="str">
        <f>IFERROR(INDEX(tEditais[SRP],MATCH(tItens[[#This Row],[Edital]],tEditais[Edital],0)),"Não")</f>
        <v>Sim</v>
      </c>
      <c r="P6068" s="4">
        <f>IF(COUNTIFS(INDEX(tItens[Edital],1):tItens[[#This Row],[Edital]],tItens[[#This Row],[Edital]],INDEX(tItens[Produto],1):tItens[[#This Row],[Produto]],tItens[[#This Row],[Produto]])=1,1,0)</f>
        <v>0</v>
      </c>
    </row>
    <row r="6069" spans="1:16" x14ac:dyDescent="0.25">
      <c r="A6069" t="s">
        <v>2146</v>
      </c>
      <c r="B6069">
        <v>188</v>
      </c>
      <c r="C6069" t="s">
        <v>8812</v>
      </c>
      <c r="D6069" t="s">
        <v>245</v>
      </c>
      <c r="E6069" s="13">
        <v>50</v>
      </c>
      <c r="F6069" s="12">
        <v>148.56</v>
      </c>
      <c r="G6069" t="str">
        <f>IFERROR(INDEX(tEditais[Órgão],MATCH(tItens[[#This Row],[Edital]],tEditais[Edital],0)),"")</f>
        <v>MUNICIPIO DE GENERAL CARNEIRO</v>
      </c>
      <c r="H6069" t="str">
        <f>IFERROR(INDEX(tEditais[UF],MATCH(tItens[[#This Row],[Edital]],tEditais[Edital],0)),"")</f>
        <v>PR</v>
      </c>
      <c r="I6069" s="11">
        <f>IFERROR(INDEX(tEditais[Encerramento],MATCH(tItens[[#This Row],[Edital]],tEditais[Edital],0)),"")</f>
        <v>46311.333333333336</v>
      </c>
      <c r="J6069" t="str">
        <f>IFERROR(INDEX(tProdutos[Classe],MATCH(tItens[[#This Row],[Produto]],tProdutos[Produto],0)),"produto não cadastrado")</f>
        <v>FORA</v>
      </c>
      <c r="K6069" s="12">
        <f>tItens[[#This Row],[Qtd]]*tItens[[#This Row],[Vlr unit]]</f>
        <v>7428</v>
      </c>
      <c r="L6069" s="6">
        <f>IFERROR(IF(INDEX(tProdutos[Desconto homologado],MATCH(tItens[[#This Row],[Produto]],tProdutos[Produto],0))="",DescontoPadrao,INDEX(tProdutos[Desconto homologado],MATCH(tItens[[#This Row],[Produto]],tProdutos[Produto],0))),DescontoPadrao)</f>
        <v>0.34516963542284401</v>
      </c>
      <c r="M6069" s="12">
        <f>tItens[[#This Row],[Valor]]*(1-tItens[[#This Row],[Desconto]])</f>
        <v>4864.0799480791147</v>
      </c>
      <c r="N6069" t="str">
        <f>IFERROR(INDEX(tProdutos[Foco],MATCH(tItens[[#This Row],[Produto]],tProdutos[Produto],0)),"Não")</f>
        <v>Não</v>
      </c>
      <c r="O6069" t="str">
        <f>IFERROR(INDEX(tEditais[SRP],MATCH(tItens[[#This Row],[Edital]],tEditais[Edital],0)),"Não")</f>
        <v>Sim</v>
      </c>
      <c r="P6069" s="4">
        <f>IF(COUNTIFS(INDEX(tItens[Edital],1):tItens[[#This Row],[Edital]],tItens[[#This Row],[Edital]],INDEX(tItens[Produto],1):tItens[[#This Row],[Produto]],tItens[[#This Row],[Produto]])=1,1,0)</f>
        <v>0</v>
      </c>
    </row>
    <row r="6070" spans="1:16" x14ac:dyDescent="0.25">
      <c r="A6070" t="s">
        <v>2146</v>
      </c>
      <c r="B6070">
        <v>189</v>
      </c>
      <c r="C6070" t="s">
        <v>8813</v>
      </c>
      <c r="D6070" t="s">
        <v>245</v>
      </c>
      <c r="E6070" s="13">
        <v>50</v>
      </c>
      <c r="F6070" s="12">
        <v>135</v>
      </c>
      <c r="G6070" t="str">
        <f>IFERROR(INDEX(tEditais[Órgão],MATCH(tItens[[#This Row],[Edital]],tEditais[Edital],0)),"")</f>
        <v>MUNICIPIO DE GENERAL CARNEIRO</v>
      </c>
      <c r="H6070" t="str">
        <f>IFERROR(INDEX(tEditais[UF],MATCH(tItens[[#This Row],[Edital]],tEditais[Edital],0)),"")</f>
        <v>PR</v>
      </c>
      <c r="I6070" s="11">
        <f>IFERROR(INDEX(tEditais[Encerramento],MATCH(tItens[[#This Row],[Edital]],tEditais[Edital],0)),"")</f>
        <v>46311.333333333336</v>
      </c>
      <c r="J6070" t="str">
        <f>IFERROR(INDEX(tProdutos[Classe],MATCH(tItens[[#This Row],[Produto]],tProdutos[Produto],0)),"produto não cadastrado")</f>
        <v>FORA</v>
      </c>
      <c r="K6070" s="12">
        <f>tItens[[#This Row],[Qtd]]*tItens[[#This Row],[Vlr unit]]</f>
        <v>6750</v>
      </c>
      <c r="L6070" s="6">
        <f>IFERROR(IF(INDEX(tProdutos[Desconto homologado],MATCH(tItens[[#This Row],[Produto]],tProdutos[Produto],0))="",DescontoPadrao,INDEX(tProdutos[Desconto homologado],MATCH(tItens[[#This Row],[Produto]],tProdutos[Produto],0))),DescontoPadrao)</f>
        <v>0.34516963542284401</v>
      </c>
      <c r="M6070" s="12">
        <f>tItens[[#This Row],[Valor]]*(1-tItens[[#This Row],[Desconto]])</f>
        <v>4420.1049608958037</v>
      </c>
      <c r="N6070" t="str">
        <f>IFERROR(INDEX(tProdutos[Foco],MATCH(tItens[[#This Row],[Produto]],tProdutos[Produto],0)),"Não")</f>
        <v>Não</v>
      </c>
      <c r="O6070" t="str">
        <f>IFERROR(INDEX(tEditais[SRP],MATCH(tItens[[#This Row],[Edital]],tEditais[Edital],0)),"Não")</f>
        <v>Sim</v>
      </c>
      <c r="P6070" s="4">
        <f>IF(COUNTIFS(INDEX(tItens[Edital],1):tItens[[#This Row],[Edital]],tItens[[#This Row],[Edital]],INDEX(tItens[Produto],1):tItens[[#This Row],[Produto]],tItens[[#This Row],[Produto]])=1,1,0)</f>
        <v>0</v>
      </c>
    </row>
    <row r="6071" spans="1:16" x14ac:dyDescent="0.25">
      <c r="A6071" t="s">
        <v>2146</v>
      </c>
      <c r="B6071">
        <v>190</v>
      </c>
      <c r="C6071" t="s">
        <v>8814</v>
      </c>
      <c r="D6071" t="s">
        <v>245</v>
      </c>
      <c r="E6071" s="13">
        <v>50</v>
      </c>
      <c r="F6071" s="12">
        <v>131.84</v>
      </c>
      <c r="G6071" t="str">
        <f>IFERROR(INDEX(tEditais[Órgão],MATCH(tItens[[#This Row],[Edital]],tEditais[Edital],0)),"")</f>
        <v>MUNICIPIO DE GENERAL CARNEIRO</v>
      </c>
      <c r="H6071" t="str">
        <f>IFERROR(INDEX(tEditais[UF],MATCH(tItens[[#This Row],[Edital]],tEditais[Edital],0)),"")</f>
        <v>PR</v>
      </c>
      <c r="I6071" s="11">
        <f>IFERROR(INDEX(tEditais[Encerramento],MATCH(tItens[[#This Row],[Edital]],tEditais[Edital],0)),"")</f>
        <v>46311.333333333336</v>
      </c>
      <c r="J6071" t="str">
        <f>IFERROR(INDEX(tProdutos[Classe],MATCH(tItens[[#This Row],[Produto]],tProdutos[Produto],0)),"produto não cadastrado")</f>
        <v>FORA</v>
      </c>
      <c r="K6071" s="12">
        <f>tItens[[#This Row],[Qtd]]*tItens[[#This Row],[Vlr unit]]</f>
        <v>6592</v>
      </c>
      <c r="L6071" s="6">
        <f>IFERROR(IF(INDEX(tProdutos[Desconto homologado],MATCH(tItens[[#This Row],[Produto]],tProdutos[Produto],0))="",DescontoPadrao,INDEX(tProdutos[Desconto homologado],MATCH(tItens[[#This Row],[Produto]],tProdutos[Produto],0))),DescontoPadrao)</f>
        <v>0.34516963542284401</v>
      </c>
      <c r="M6071" s="12">
        <f>tItens[[#This Row],[Valor]]*(1-tItens[[#This Row],[Desconto]])</f>
        <v>4316.6417632926123</v>
      </c>
      <c r="N6071" t="str">
        <f>IFERROR(INDEX(tProdutos[Foco],MATCH(tItens[[#This Row],[Produto]],tProdutos[Produto],0)),"Não")</f>
        <v>Não</v>
      </c>
      <c r="O6071" t="str">
        <f>IFERROR(INDEX(tEditais[SRP],MATCH(tItens[[#This Row],[Edital]],tEditais[Edital],0)),"Não")</f>
        <v>Sim</v>
      </c>
      <c r="P6071" s="4">
        <f>IF(COUNTIFS(INDEX(tItens[Edital],1):tItens[[#This Row],[Edital]],tItens[[#This Row],[Edital]],INDEX(tItens[Produto],1):tItens[[#This Row],[Produto]],tItens[[#This Row],[Produto]])=1,1,0)</f>
        <v>0</v>
      </c>
    </row>
    <row r="6072" spans="1:16" x14ac:dyDescent="0.25">
      <c r="A6072" t="s">
        <v>2146</v>
      </c>
      <c r="B6072">
        <v>192</v>
      </c>
      <c r="C6072" t="s">
        <v>8815</v>
      </c>
      <c r="D6072" t="s">
        <v>476</v>
      </c>
      <c r="E6072" s="13">
        <v>25</v>
      </c>
      <c r="F6072" s="12">
        <v>33.58</v>
      </c>
      <c r="G6072" t="str">
        <f>IFERROR(INDEX(tEditais[Órgão],MATCH(tItens[[#This Row],[Edital]],tEditais[Edital],0)),"")</f>
        <v>MUNICIPIO DE GENERAL CARNEIRO</v>
      </c>
      <c r="H6072" t="str">
        <f>IFERROR(INDEX(tEditais[UF],MATCH(tItens[[#This Row],[Edital]],tEditais[Edital],0)),"")</f>
        <v>PR</v>
      </c>
      <c r="I6072" s="11">
        <f>IFERROR(INDEX(tEditais[Encerramento],MATCH(tItens[[#This Row],[Edital]],tEditais[Edital],0)),"")</f>
        <v>46311.333333333336</v>
      </c>
      <c r="J6072" t="str">
        <f>IFERROR(INDEX(tProdutos[Classe],MATCH(tItens[[#This Row],[Produto]],tProdutos[Produto],0)),"produto não cadastrado")</f>
        <v>FILA REBASE</v>
      </c>
      <c r="K6072" s="12">
        <f>tItens[[#This Row],[Qtd]]*tItens[[#This Row],[Vlr unit]]</f>
        <v>839.5</v>
      </c>
      <c r="L6072" s="6">
        <f>IFERROR(IF(INDEX(tProdutos[Desconto homologado],MATCH(tItens[[#This Row],[Produto]],tProdutos[Produto],0))="",DescontoPadrao,INDEX(tProdutos[Desconto homologado],MATCH(tItens[[#This Row],[Produto]],tProdutos[Produto],0))),DescontoPadrao)</f>
        <v>0.43265506519011498</v>
      </c>
      <c r="M6072" s="12">
        <f>tItens[[#This Row],[Valor]]*(1-tItens[[#This Row],[Desconto]])</f>
        <v>476.28607277289848</v>
      </c>
      <c r="N6072" t="str">
        <f>IFERROR(INDEX(tProdutos[Foco],MATCH(tItens[[#This Row],[Produto]],tProdutos[Produto],0)),"Não")</f>
        <v>Não</v>
      </c>
      <c r="O6072" t="str">
        <f>IFERROR(INDEX(tEditais[SRP],MATCH(tItens[[#This Row],[Edital]],tEditais[Edital],0)),"Não")</f>
        <v>Sim</v>
      </c>
      <c r="P6072" s="4">
        <f>IF(COUNTIFS(INDEX(tItens[Edital],1):tItens[[#This Row],[Edital]],tItens[[#This Row],[Edital]],INDEX(tItens[Produto],1):tItens[[#This Row],[Produto]],tItens[[#This Row],[Produto]])=1,1,0)</f>
        <v>1</v>
      </c>
    </row>
    <row r="6073" spans="1:16" x14ac:dyDescent="0.25">
      <c r="A6073" t="s">
        <v>2146</v>
      </c>
      <c r="B6073">
        <v>194</v>
      </c>
      <c r="C6073" t="s">
        <v>8816</v>
      </c>
      <c r="D6073" t="s">
        <v>399</v>
      </c>
      <c r="E6073" s="13">
        <v>50</v>
      </c>
      <c r="F6073" s="12">
        <v>14.32</v>
      </c>
      <c r="G6073" t="str">
        <f>IFERROR(INDEX(tEditais[Órgão],MATCH(tItens[[#This Row],[Edital]],tEditais[Edital],0)),"")</f>
        <v>MUNICIPIO DE GENERAL CARNEIRO</v>
      </c>
      <c r="H6073" t="str">
        <f>IFERROR(INDEX(tEditais[UF],MATCH(tItens[[#This Row],[Edital]],tEditais[Edital],0)),"")</f>
        <v>PR</v>
      </c>
      <c r="I6073" s="11">
        <f>IFERROR(INDEX(tEditais[Encerramento],MATCH(tItens[[#This Row],[Edital]],tEditais[Edital],0)),"")</f>
        <v>46311.333333333336</v>
      </c>
      <c r="J6073" t="str">
        <f>IFERROR(INDEX(tProdutos[Classe],MATCH(tItens[[#This Row],[Produto]],tProdutos[Produto],0)),"produto não cadastrado")</f>
        <v>FORA</v>
      </c>
      <c r="K6073" s="12">
        <f>tItens[[#This Row],[Qtd]]*tItens[[#This Row],[Vlr unit]]</f>
        <v>716</v>
      </c>
      <c r="L6073" s="6">
        <f>IFERROR(IF(INDEX(tProdutos[Desconto homologado],MATCH(tItens[[#This Row],[Produto]],tProdutos[Produto],0))="",DescontoPadrao,INDEX(tProdutos[Desconto homologado],MATCH(tItens[[#This Row],[Produto]],tProdutos[Produto],0))),DescontoPadrao)</f>
        <v>0.30009041591320101</v>
      </c>
      <c r="M6073" s="12">
        <f>tItens[[#This Row],[Valor]]*(1-tItens[[#This Row],[Desconto]])</f>
        <v>501.13526220614813</v>
      </c>
      <c r="N6073" t="str">
        <f>IFERROR(INDEX(tProdutos[Foco],MATCH(tItens[[#This Row],[Produto]],tProdutos[Produto],0)),"Não")</f>
        <v>Não</v>
      </c>
      <c r="O6073" t="str">
        <f>IFERROR(INDEX(tEditais[SRP],MATCH(tItens[[#This Row],[Edital]],tEditais[Edital],0)),"Não")</f>
        <v>Sim</v>
      </c>
      <c r="P6073" s="4">
        <f>IF(COUNTIFS(INDEX(tItens[Edital],1):tItens[[#This Row],[Edital]],tItens[[#This Row],[Edital]],INDEX(tItens[Produto],1):tItens[[#This Row],[Produto]],tItens[[#This Row],[Produto]])=1,1,0)</f>
        <v>1</v>
      </c>
    </row>
    <row r="6074" spans="1:16" x14ac:dyDescent="0.25">
      <c r="A6074" t="s">
        <v>2146</v>
      </c>
      <c r="B6074">
        <v>195</v>
      </c>
      <c r="C6074" t="s">
        <v>8817</v>
      </c>
      <c r="D6074" t="s">
        <v>399</v>
      </c>
      <c r="E6074" s="13">
        <v>20</v>
      </c>
      <c r="F6074" s="12">
        <v>18.12</v>
      </c>
      <c r="G6074" t="str">
        <f>IFERROR(INDEX(tEditais[Órgão],MATCH(tItens[[#This Row],[Edital]],tEditais[Edital],0)),"")</f>
        <v>MUNICIPIO DE GENERAL CARNEIRO</v>
      </c>
      <c r="H6074" t="str">
        <f>IFERROR(INDEX(tEditais[UF],MATCH(tItens[[#This Row],[Edital]],tEditais[Edital],0)),"")</f>
        <v>PR</v>
      </c>
      <c r="I6074" s="11">
        <f>IFERROR(INDEX(tEditais[Encerramento],MATCH(tItens[[#This Row],[Edital]],tEditais[Edital],0)),"")</f>
        <v>46311.333333333336</v>
      </c>
      <c r="J6074" t="str">
        <f>IFERROR(INDEX(tProdutos[Classe],MATCH(tItens[[#This Row],[Produto]],tProdutos[Produto],0)),"produto não cadastrado")</f>
        <v>FORA</v>
      </c>
      <c r="K6074" s="12">
        <f>tItens[[#This Row],[Qtd]]*tItens[[#This Row],[Vlr unit]]</f>
        <v>362.40000000000003</v>
      </c>
      <c r="L6074" s="6">
        <f>IFERROR(IF(INDEX(tProdutos[Desconto homologado],MATCH(tItens[[#This Row],[Produto]],tProdutos[Produto],0))="",DescontoPadrao,INDEX(tProdutos[Desconto homologado],MATCH(tItens[[#This Row],[Produto]],tProdutos[Produto],0))),DescontoPadrao)</f>
        <v>0.30009041591320101</v>
      </c>
      <c r="M6074" s="12">
        <f>tItens[[#This Row],[Valor]]*(1-tItens[[#This Row],[Desconto]])</f>
        <v>253.647233273056</v>
      </c>
      <c r="N6074" t="str">
        <f>IFERROR(INDEX(tProdutos[Foco],MATCH(tItens[[#This Row],[Produto]],tProdutos[Produto],0)),"Não")</f>
        <v>Não</v>
      </c>
      <c r="O6074" t="str">
        <f>IFERROR(INDEX(tEditais[SRP],MATCH(tItens[[#This Row],[Edital]],tEditais[Edital],0)),"Não")</f>
        <v>Sim</v>
      </c>
      <c r="P6074" s="4">
        <f>IF(COUNTIFS(INDEX(tItens[Edital],1):tItens[[#This Row],[Edital]],tItens[[#This Row],[Edital]],INDEX(tItens[Produto],1):tItens[[#This Row],[Produto]],tItens[[#This Row],[Produto]])=1,1,0)</f>
        <v>0</v>
      </c>
    </row>
    <row r="6075" spans="1:16" x14ac:dyDescent="0.25">
      <c r="A6075" t="s">
        <v>2146</v>
      </c>
      <c r="B6075">
        <v>207</v>
      </c>
      <c r="C6075" t="s">
        <v>8818</v>
      </c>
      <c r="D6075" t="s">
        <v>277</v>
      </c>
      <c r="E6075" s="13">
        <v>350</v>
      </c>
      <c r="F6075" s="12">
        <v>39.26</v>
      </c>
      <c r="G6075" t="str">
        <f>IFERROR(INDEX(tEditais[Órgão],MATCH(tItens[[#This Row],[Edital]],tEditais[Edital],0)),"")</f>
        <v>MUNICIPIO DE GENERAL CARNEIRO</v>
      </c>
      <c r="H6075" t="str">
        <f>IFERROR(INDEX(tEditais[UF],MATCH(tItens[[#This Row],[Edital]],tEditais[Edital],0)),"")</f>
        <v>PR</v>
      </c>
      <c r="I6075" s="11">
        <f>IFERROR(INDEX(tEditais[Encerramento],MATCH(tItens[[#This Row],[Edital]],tEditais[Edital],0)),"")</f>
        <v>46311.333333333336</v>
      </c>
      <c r="J6075" t="str">
        <f>IFERROR(INDEX(tProdutos[Classe],MATCH(tItens[[#This Row],[Produto]],tProdutos[Produto],0)),"produto não cadastrado")</f>
        <v>DISPUTADO</v>
      </c>
      <c r="K6075" s="12">
        <f>tItens[[#This Row],[Qtd]]*tItens[[#This Row],[Vlr unit]]</f>
        <v>13741</v>
      </c>
      <c r="L6075" s="6">
        <f>IFERROR(IF(INDEX(tProdutos[Desconto homologado],MATCH(tItens[[#This Row],[Produto]],tProdutos[Produto],0))="",DescontoPadrao,INDEX(tProdutos[Desconto homologado],MATCH(tItens[[#This Row],[Produto]],tProdutos[Produto],0))),DescontoPadrao)</f>
        <v>0.50460666194188497</v>
      </c>
      <c r="M6075" s="12">
        <f>tItens[[#This Row],[Valor]]*(1-tItens[[#This Row],[Desconto]])</f>
        <v>6807.1998582565584</v>
      </c>
      <c r="N6075" t="str">
        <f>IFERROR(INDEX(tProdutos[Foco],MATCH(tItens[[#This Row],[Produto]],tProdutos[Produto],0)),"Não")</f>
        <v>Não</v>
      </c>
      <c r="O6075" t="str">
        <f>IFERROR(INDEX(tEditais[SRP],MATCH(tItens[[#This Row],[Edital]],tEditais[Edital],0)),"Não")</f>
        <v>Sim</v>
      </c>
      <c r="P6075" s="4">
        <f>IF(COUNTIFS(INDEX(tItens[Edital],1):tItens[[#This Row],[Edital]],tItens[[#This Row],[Edital]],INDEX(tItens[Produto],1):tItens[[#This Row],[Produto]],tItens[[#This Row],[Produto]])=1,1,0)</f>
        <v>1</v>
      </c>
    </row>
    <row r="6076" spans="1:16" x14ac:dyDescent="0.25">
      <c r="A6076" t="s">
        <v>2146</v>
      </c>
      <c r="B6076">
        <v>211</v>
      </c>
      <c r="C6076" t="s">
        <v>8819</v>
      </c>
      <c r="D6076" t="s">
        <v>267</v>
      </c>
      <c r="E6076" s="13">
        <v>150</v>
      </c>
      <c r="F6076" s="12">
        <v>21.39</v>
      </c>
      <c r="G6076" t="str">
        <f>IFERROR(INDEX(tEditais[Órgão],MATCH(tItens[[#This Row],[Edital]],tEditais[Edital],0)),"")</f>
        <v>MUNICIPIO DE GENERAL CARNEIRO</v>
      </c>
      <c r="H6076" t="str">
        <f>IFERROR(INDEX(tEditais[UF],MATCH(tItens[[#This Row],[Edital]],tEditais[Edital],0)),"")</f>
        <v>PR</v>
      </c>
      <c r="I6076" s="11">
        <f>IFERROR(INDEX(tEditais[Encerramento],MATCH(tItens[[#This Row],[Edital]],tEditais[Edital],0)),"")</f>
        <v>46311.333333333336</v>
      </c>
      <c r="J6076" t="str">
        <f>IFERROR(INDEX(tProdutos[Classe],MATCH(tItens[[#This Row],[Produto]],tProdutos[Produto],0)),"produto não cadastrado")</f>
        <v>FORA</v>
      </c>
      <c r="K6076" s="12">
        <f>tItens[[#This Row],[Qtd]]*tItens[[#This Row],[Vlr unit]]</f>
        <v>3208.5</v>
      </c>
      <c r="L6076" s="6">
        <f>IFERROR(IF(INDEX(tProdutos[Desconto homologado],MATCH(tItens[[#This Row],[Produto]],tProdutos[Produto],0))="",DescontoPadrao,INDEX(tProdutos[Desconto homologado],MATCH(tItens[[#This Row],[Produto]],tProdutos[Produto],0))),DescontoPadrao)</f>
        <v>0.19963672657401599</v>
      </c>
      <c r="M6076" s="12">
        <f>tItens[[#This Row],[Valor]]*(1-tItens[[#This Row],[Desconto]])</f>
        <v>2567.9655627872698</v>
      </c>
      <c r="N6076" t="str">
        <f>IFERROR(INDEX(tProdutos[Foco],MATCH(tItens[[#This Row],[Produto]],tProdutos[Produto],0)),"Não")</f>
        <v>Não</v>
      </c>
      <c r="O6076" t="str">
        <f>IFERROR(INDEX(tEditais[SRP],MATCH(tItens[[#This Row],[Edital]],tEditais[Edital],0)),"Não")</f>
        <v>Sim</v>
      </c>
      <c r="P6076" s="4">
        <f>IF(COUNTIFS(INDEX(tItens[Edital],1):tItens[[#This Row],[Edital]],tItens[[#This Row],[Edital]],INDEX(tItens[Produto],1):tItens[[#This Row],[Produto]],tItens[[#This Row],[Produto]])=1,1,0)</f>
        <v>1</v>
      </c>
    </row>
    <row r="6077" spans="1:16" x14ac:dyDescent="0.25">
      <c r="A6077" t="s">
        <v>2146</v>
      </c>
      <c r="B6077">
        <v>212</v>
      </c>
      <c r="C6077" t="s">
        <v>8820</v>
      </c>
      <c r="D6077" t="s">
        <v>267</v>
      </c>
      <c r="E6077" s="13">
        <v>450</v>
      </c>
      <c r="F6077" s="12">
        <v>20.78</v>
      </c>
      <c r="G6077" t="str">
        <f>IFERROR(INDEX(tEditais[Órgão],MATCH(tItens[[#This Row],[Edital]],tEditais[Edital],0)),"")</f>
        <v>MUNICIPIO DE GENERAL CARNEIRO</v>
      </c>
      <c r="H6077" t="str">
        <f>IFERROR(INDEX(tEditais[UF],MATCH(tItens[[#This Row],[Edital]],tEditais[Edital],0)),"")</f>
        <v>PR</v>
      </c>
      <c r="I6077" s="11">
        <f>IFERROR(INDEX(tEditais[Encerramento],MATCH(tItens[[#This Row],[Edital]],tEditais[Edital],0)),"")</f>
        <v>46311.333333333336</v>
      </c>
      <c r="J6077" t="str">
        <f>IFERROR(INDEX(tProdutos[Classe],MATCH(tItens[[#This Row],[Produto]],tProdutos[Produto],0)),"produto não cadastrado")</f>
        <v>FORA</v>
      </c>
      <c r="K6077" s="12">
        <f>tItens[[#This Row],[Qtd]]*tItens[[#This Row],[Vlr unit]]</f>
        <v>9351</v>
      </c>
      <c r="L6077" s="6">
        <f>IFERROR(IF(INDEX(tProdutos[Desconto homologado],MATCH(tItens[[#This Row],[Produto]],tProdutos[Produto],0))="",DescontoPadrao,INDEX(tProdutos[Desconto homologado],MATCH(tItens[[#This Row],[Produto]],tProdutos[Produto],0))),DescontoPadrao)</f>
        <v>0.19963672657401599</v>
      </c>
      <c r="M6077" s="12">
        <f>tItens[[#This Row],[Valor]]*(1-tItens[[#This Row],[Desconto]])</f>
        <v>7484.1969698063767</v>
      </c>
      <c r="N6077" t="str">
        <f>IFERROR(INDEX(tProdutos[Foco],MATCH(tItens[[#This Row],[Produto]],tProdutos[Produto],0)),"Não")</f>
        <v>Não</v>
      </c>
      <c r="O6077" t="str">
        <f>IFERROR(INDEX(tEditais[SRP],MATCH(tItens[[#This Row],[Edital]],tEditais[Edital],0)),"Não")</f>
        <v>Sim</v>
      </c>
      <c r="P6077" s="4">
        <f>IF(COUNTIFS(INDEX(tItens[Edital],1):tItens[[#This Row],[Edital]],tItens[[#This Row],[Edital]],INDEX(tItens[Produto],1):tItens[[#This Row],[Produto]],tItens[[#This Row],[Produto]])=1,1,0)</f>
        <v>0</v>
      </c>
    </row>
    <row r="6078" spans="1:16" x14ac:dyDescent="0.25">
      <c r="A6078" t="s">
        <v>2146</v>
      </c>
      <c r="B6078">
        <v>214</v>
      </c>
      <c r="C6078" t="s">
        <v>8821</v>
      </c>
      <c r="D6078" t="s">
        <v>313</v>
      </c>
      <c r="E6078" s="13">
        <v>1700</v>
      </c>
      <c r="F6078" s="12">
        <v>29.91</v>
      </c>
      <c r="G6078" t="str">
        <f>IFERROR(INDEX(tEditais[Órgão],MATCH(tItens[[#This Row],[Edital]],tEditais[Edital],0)),"")</f>
        <v>MUNICIPIO DE GENERAL CARNEIRO</v>
      </c>
      <c r="H6078" t="str">
        <f>IFERROR(INDEX(tEditais[UF],MATCH(tItens[[#This Row],[Edital]],tEditais[Edital],0)),"")</f>
        <v>PR</v>
      </c>
      <c r="I6078" s="11">
        <f>IFERROR(INDEX(tEditais[Encerramento],MATCH(tItens[[#This Row],[Edital]],tEditais[Edital],0)),"")</f>
        <v>46311.333333333336</v>
      </c>
      <c r="J6078" t="str">
        <f>IFERROR(INDEX(tProdutos[Classe],MATCH(tItens[[#This Row],[Produto]],tProdutos[Produto],0)),"produto não cadastrado")</f>
        <v>FORA</v>
      </c>
      <c r="K6078" s="12">
        <f>tItens[[#This Row],[Qtd]]*tItens[[#This Row],[Vlr unit]]</f>
        <v>50847</v>
      </c>
      <c r="L6078" s="6">
        <f>IFERROR(IF(INDEX(tProdutos[Desconto homologado],MATCH(tItens[[#This Row],[Produto]],tProdutos[Produto],0))="",DescontoPadrao,INDEX(tProdutos[Desconto homologado],MATCH(tItens[[#This Row],[Produto]],tProdutos[Produto],0))),DescontoPadrao)</f>
        <v>0.35766373163696302</v>
      </c>
      <c r="M6078" s="12">
        <f>tItens[[#This Row],[Valor]]*(1-tItens[[#This Row],[Desconto]])</f>
        <v>32660.87223745534</v>
      </c>
      <c r="N6078" t="str">
        <f>IFERROR(INDEX(tProdutos[Foco],MATCH(tItens[[#This Row],[Produto]],tProdutos[Produto],0)),"Não")</f>
        <v>Não</v>
      </c>
      <c r="O6078" t="str">
        <f>IFERROR(INDEX(tEditais[SRP],MATCH(tItens[[#This Row],[Edital]],tEditais[Edital],0)),"Não")</f>
        <v>Sim</v>
      </c>
      <c r="P6078" s="4">
        <f>IF(COUNTIFS(INDEX(tItens[Edital],1):tItens[[#This Row],[Edital]],tItens[[#This Row],[Edital]],INDEX(tItens[Produto],1):tItens[[#This Row],[Produto]],tItens[[#This Row],[Produto]])=1,1,0)</f>
        <v>1</v>
      </c>
    </row>
    <row r="6079" spans="1:16" x14ac:dyDescent="0.25">
      <c r="A6079" t="s">
        <v>2146</v>
      </c>
      <c r="B6079">
        <v>215</v>
      </c>
      <c r="C6079" t="s">
        <v>8822</v>
      </c>
      <c r="D6079" t="s">
        <v>313</v>
      </c>
      <c r="E6079" s="13">
        <v>2500</v>
      </c>
      <c r="F6079" s="12">
        <v>31.16</v>
      </c>
      <c r="G6079" t="str">
        <f>IFERROR(INDEX(tEditais[Órgão],MATCH(tItens[[#This Row],[Edital]],tEditais[Edital],0)),"")</f>
        <v>MUNICIPIO DE GENERAL CARNEIRO</v>
      </c>
      <c r="H6079" t="str">
        <f>IFERROR(INDEX(tEditais[UF],MATCH(tItens[[#This Row],[Edital]],tEditais[Edital],0)),"")</f>
        <v>PR</v>
      </c>
      <c r="I6079" s="11">
        <f>IFERROR(INDEX(tEditais[Encerramento],MATCH(tItens[[#This Row],[Edital]],tEditais[Edital],0)),"")</f>
        <v>46311.333333333336</v>
      </c>
      <c r="J6079" t="str">
        <f>IFERROR(INDEX(tProdutos[Classe],MATCH(tItens[[#This Row],[Produto]],tProdutos[Produto],0)),"produto não cadastrado")</f>
        <v>FORA</v>
      </c>
      <c r="K6079" s="12">
        <f>tItens[[#This Row],[Qtd]]*tItens[[#This Row],[Vlr unit]]</f>
        <v>77900</v>
      </c>
      <c r="L6079" s="6">
        <f>IFERROR(IF(INDEX(tProdutos[Desconto homologado],MATCH(tItens[[#This Row],[Produto]],tProdutos[Produto],0))="",DescontoPadrao,INDEX(tProdutos[Desconto homologado],MATCH(tItens[[#This Row],[Produto]],tProdutos[Produto],0))),DescontoPadrao)</f>
        <v>0.35766373163696302</v>
      </c>
      <c r="M6079" s="12">
        <f>tItens[[#This Row],[Valor]]*(1-tItens[[#This Row],[Desconto]])</f>
        <v>50037.995305480574</v>
      </c>
      <c r="N6079" t="str">
        <f>IFERROR(INDEX(tProdutos[Foco],MATCH(tItens[[#This Row],[Produto]],tProdutos[Produto],0)),"Não")</f>
        <v>Não</v>
      </c>
      <c r="O6079" t="str">
        <f>IFERROR(INDEX(tEditais[SRP],MATCH(tItens[[#This Row],[Edital]],tEditais[Edital],0)),"Não")</f>
        <v>Sim</v>
      </c>
      <c r="P6079" s="4">
        <f>IF(COUNTIFS(INDEX(tItens[Edital],1):tItens[[#This Row],[Edital]],tItens[[#This Row],[Edital]],INDEX(tItens[Produto],1):tItens[[#This Row],[Produto]],tItens[[#This Row],[Produto]])=1,1,0)</f>
        <v>0</v>
      </c>
    </row>
    <row r="6080" spans="1:16" x14ac:dyDescent="0.25">
      <c r="A6080" t="s">
        <v>2146</v>
      </c>
      <c r="B6080">
        <v>216</v>
      </c>
      <c r="C6080" t="s">
        <v>8823</v>
      </c>
      <c r="D6080" t="s">
        <v>313</v>
      </c>
      <c r="E6080" s="13">
        <v>2500</v>
      </c>
      <c r="F6080" s="12">
        <v>29.42</v>
      </c>
      <c r="G6080" t="str">
        <f>IFERROR(INDEX(tEditais[Órgão],MATCH(tItens[[#This Row],[Edital]],tEditais[Edital],0)),"")</f>
        <v>MUNICIPIO DE GENERAL CARNEIRO</v>
      </c>
      <c r="H6080" t="str">
        <f>IFERROR(INDEX(tEditais[UF],MATCH(tItens[[#This Row],[Edital]],tEditais[Edital],0)),"")</f>
        <v>PR</v>
      </c>
      <c r="I6080" s="11">
        <f>IFERROR(INDEX(tEditais[Encerramento],MATCH(tItens[[#This Row],[Edital]],tEditais[Edital],0)),"")</f>
        <v>46311.333333333336</v>
      </c>
      <c r="J6080" t="str">
        <f>IFERROR(INDEX(tProdutos[Classe],MATCH(tItens[[#This Row],[Produto]],tProdutos[Produto],0)),"produto não cadastrado")</f>
        <v>FORA</v>
      </c>
      <c r="K6080" s="12">
        <f>tItens[[#This Row],[Qtd]]*tItens[[#This Row],[Vlr unit]]</f>
        <v>73550</v>
      </c>
      <c r="L6080" s="6">
        <f>IFERROR(IF(INDEX(tProdutos[Desconto homologado],MATCH(tItens[[#This Row],[Produto]],tProdutos[Produto],0))="",DescontoPadrao,INDEX(tProdutos[Desconto homologado],MATCH(tItens[[#This Row],[Produto]],tProdutos[Produto],0))),DescontoPadrao)</f>
        <v>0.35766373163696302</v>
      </c>
      <c r="M6080" s="12">
        <f>tItens[[#This Row],[Valor]]*(1-tItens[[#This Row],[Desconto]])</f>
        <v>47243.832538101364</v>
      </c>
      <c r="N6080" t="str">
        <f>IFERROR(INDEX(tProdutos[Foco],MATCH(tItens[[#This Row],[Produto]],tProdutos[Produto],0)),"Não")</f>
        <v>Não</v>
      </c>
      <c r="O6080" t="str">
        <f>IFERROR(INDEX(tEditais[SRP],MATCH(tItens[[#This Row],[Edital]],tEditais[Edital],0)),"Não")</f>
        <v>Sim</v>
      </c>
      <c r="P6080" s="4">
        <f>IF(COUNTIFS(INDEX(tItens[Edital],1):tItens[[#This Row],[Edital]],tItens[[#This Row],[Edital]],INDEX(tItens[Produto],1):tItens[[#This Row],[Produto]],tItens[[#This Row],[Produto]])=1,1,0)</f>
        <v>0</v>
      </c>
    </row>
    <row r="6081" spans="1:16" x14ac:dyDescent="0.25">
      <c r="A6081" t="s">
        <v>2146</v>
      </c>
      <c r="B6081">
        <v>217</v>
      </c>
      <c r="C6081" t="s">
        <v>8824</v>
      </c>
      <c r="D6081" t="s">
        <v>313</v>
      </c>
      <c r="E6081" s="13">
        <v>2000</v>
      </c>
      <c r="F6081" s="12">
        <v>30.97</v>
      </c>
      <c r="G6081" t="str">
        <f>IFERROR(INDEX(tEditais[Órgão],MATCH(tItens[[#This Row],[Edital]],tEditais[Edital],0)),"")</f>
        <v>MUNICIPIO DE GENERAL CARNEIRO</v>
      </c>
      <c r="H6081" t="str">
        <f>IFERROR(INDEX(tEditais[UF],MATCH(tItens[[#This Row],[Edital]],tEditais[Edital],0)),"")</f>
        <v>PR</v>
      </c>
      <c r="I6081" s="11">
        <f>IFERROR(INDEX(tEditais[Encerramento],MATCH(tItens[[#This Row],[Edital]],tEditais[Edital],0)),"")</f>
        <v>46311.333333333336</v>
      </c>
      <c r="J6081" t="str">
        <f>IFERROR(INDEX(tProdutos[Classe],MATCH(tItens[[#This Row],[Produto]],tProdutos[Produto],0)),"produto não cadastrado")</f>
        <v>FORA</v>
      </c>
      <c r="K6081" s="12">
        <f>tItens[[#This Row],[Qtd]]*tItens[[#This Row],[Vlr unit]]</f>
        <v>61940</v>
      </c>
      <c r="L6081" s="6">
        <f>IFERROR(IF(INDEX(tProdutos[Desconto homologado],MATCH(tItens[[#This Row],[Produto]],tProdutos[Produto],0))="",DescontoPadrao,INDEX(tProdutos[Desconto homologado],MATCH(tItens[[#This Row],[Produto]],tProdutos[Produto],0))),DescontoPadrao)</f>
        <v>0.35766373163696302</v>
      </c>
      <c r="M6081" s="12">
        <f>tItens[[#This Row],[Valor]]*(1-tItens[[#This Row],[Desconto]])</f>
        <v>39786.308462406509</v>
      </c>
      <c r="N6081" t="str">
        <f>IFERROR(INDEX(tProdutos[Foco],MATCH(tItens[[#This Row],[Produto]],tProdutos[Produto],0)),"Não")</f>
        <v>Não</v>
      </c>
      <c r="O6081" t="str">
        <f>IFERROR(INDEX(tEditais[SRP],MATCH(tItens[[#This Row],[Edital]],tEditais[Edital],0)),"Não")</f>
        <v>Sim</v>
      </c>
      <c r="P6081" s="4">
        <f>IF(COUNTIFS(INDEX(tItens[Edital],1):tItens[[#This Row],[Edital]],tItens[[#This Row],[Edital]],INDEX(tItens[Produto],1):tItens[[#This Row],[Produto]],tItens[[#This Row],[Produto]])=1,1,0)</f>
        <v>0</v>
      </c>
    </row>
    <row r="6082" spans="1:16" x14ac:dyDescent="0.25">
      <c r="A6082" t="s">
        <v>2146</v>
      </c>
      <c r="B6082">
        <v>219</v>
      </c>
      <c r="C6082" t="s">
        <v>8825</v>
      </c>
      <c r="D6082" t="s">
        <v>343</v>
      </c>
      <c r="E6082" s="13">
        <v>1200</v>
      </c>
      <c r="F6082" s="12">
        <v>2.9</v>
      </c>
      <c r="G6082" t="str">
        <f>IFERROR(INDEX(tEditais[Órgão],MATCH(tItens[[#This Row],[Edital]],tEditais[Edital],0)),"")</f>
        <v>MUNICIPIO DE GENERAL CARNEIRO</v>
      </c>
      <c r="H6082" t="str">
        <f>IFERROR(INDEX(tEditais[UF],MATCH(tItens[[#This Row],[Edital]],tEditais[Edital],0)),"")</f>
        <v>PR</v>
      </c>
      <c r="I6082" s="11">
        <f>IFERROR(INDEX(tEditais[Encerramento],MATCH(tItens[[#This Row],[Edital]],tEditais[Edital],0)),"")</f>
        <v>46311.333333333336</v>
      </c>
      <c r="J6082" t="str">
        <f>IFERROR(INDEX(tProdutos[Classe],MATCH(tItens[[#This Row],[Produto]],tProdutos[Produto],0)),"produto não cadastrado")</f>
        <v>FORA</v>
      </c>
      <c r="K6082" s="12">
        <f>tItens[[#This Row],[Qtd]]*tItens[[#This Row],[Vlr unit]]</f>
        <v>3480</v>
      </c>
      <c r="L6082" s="6">
        <f>IFERROR(IF(INDEX(tProdutos[Desconto homologado],MATCH(tItens[[#This Row],[Produto]],tProdutos[Produto],0))="",DescontoPadrao,INDEX(tProdutos[Desconto homologado],MATCH(tItens[[#This Row],[Produto]],tProdutos[Produto],0))),DescontoPadrao)</f>
        <v>0.35412234042553198</v>
      </c>
      <c r="M6082" s="12">
        <f>tItens[[#This Row],[Valor]]*(1-tItens[[#This Row],[Desconto]])</f>
        <v>2247.6542553191484</v>
      </c>
      <c r="N6082" t="str">
        <f>IFERROR(INDEX(tProdutos[Foco],MATCH(tItens[[#This Row],[Produto]],tProdutos[Produto],0)),"Não")</f>
        <v>Não</v>
      </c>
      <c r="O6082" t="str">
        <f>IFERROR(INDEX(tEditais[SRP],MATCH(tItens[[#This Row],[Edital]],tEditais[Edital],0)),"Não")</f>
        <v>Sim</v>
      </c>
      <c r="P6082" s="4">
        <f>IF(COUNTIFS(INDEX(tItens[Edital],1):tItens[[#This Row],[Edital]],tItens[[#This Row],[Edital]],INDEX(tItens[Produto],1):tItens[[#This Row],[Produto]],tItens[[#This Row],[Produto]])=1,1,0)</f>
        <v>1</v>
      </c>
    </row>
    <row r="6083" spans="1:16" x14ac:dyDescent="0.25">
      <c r="A6083" t="s">
        <v>2146</v>
      </c>
      <c r="B6083">
        <v>220</v>
      </c>
      <c r="C6083" t="s">
        <v>8826</v>
      </c>
      <c r="D6083" t="s">
        <v>343</v>
      </c>
      <c r="E6083" s="13">
        <v>1600</v>
      </c>
      <c r="F6083" s="12">
        <v>3.02</v>
      </c>
      <c r="G6083" t="str">
        <f>IFERROR(INDEX(tEditais[Órgão],MATCH(tItens[[#This Row],[Edital]],tEditais[Edital],0)),"")</f>
        <v>MUNICIPIO DE GENERAL CARNEIRO</v>
      </c>
      <c r="H6083" t="str">
        <f>IFERROR(INDEX(tEditais[UF],MATCH(tItens[[#This Row],[Edital]],tEditais[Edital],0)),"")</f>
        <v>PR</v>
      </c>
      <c r="I6083" s="11">
        <f>IFERROR(INDEX(tEditais[Encerramento],MATCH(tItens[[#This Row],[Edital]],tEditais[Edital],0)),"")</f>
        <v>46311.333333333336</v>
      </c>
      <c r="J6083" t="str">
        <f>IFERROR(INDEX(tProdutos[Classe],MATCH(tItens[[#This Row],[Produto]],tProdutos[Produto],0)),"produto não cadastrado")</f>
        <v>FORA</v>
      </c>
      <c r="K6083" s="12">
        <f>tItens[[#This Row],[Qtd]]*tItens[[#This Row],[Vlr unit]]</f>
        <v>4832</v>
      </c>
      <c r="L6083" s="6">
        <f>IFERROR(IF(INDEX(tProdutos[Desconto homologado],MATCH(tItens[[#This Row],[Produto]],tProdutos[Produto],0))="",DescontoPadrao,INDEX(tProdutos[Desconto homologado],MATCH(tItens[[#This Row],[Produto]],tProdutos[Produto],0))),DescontoPadrao)</f>
        <v>0.35412234042553198</v>
      </c>
      <c r="M6083" s="12">
        <f>tItens[[#This Row],[Valor]]*(1-tItens[[#This Row],[Desconto]])</f>
        <v>3120.8808510638291</v>
      </c>
      <c r="N6083" t="str">
        <f>IFERROR(INDEX(tProdutos[Foco],MATCH(tItens[[#This Row],[Produto]],tProdutos[Produto],0)),"Não")</f>
        <v>Não</v>
      </c>
      <c r="O6083" t="str">
        <f>IFERROR(INDEX(tEditais[SRP],MATCH(tItens[[#This Row],[Edital]],tEditais[Edital],0)),"Não")</f>
        <v>Sim</v>
      </c>
      <c r="P6083" s="4">
        <f>IF(COUNTIFS(INDEX(tItens[Edital],1):tItens[[#This Row],[Edital]],tItens[[#This Row],[Edital]],INDEX(tItens[Produto],1):tItens[[#This Row],[Produto]],tItens[[#This Row],[Produto]])=1,1,0)</f>
        <v>0</v>
      </c>
    </row>
    <row r="6084" spans="1:16" x14ac:dyDescent="0.25">
      <c r="A6084" t="s">
        <v>2146</v>
      </c>
      <c r="B6084">
        <v>221</v>
      </c>
      <c r="C6084" t="s">
        <v>8827</v>
      </c>
      <c r="D6084" t="s">
        <v>343</v>
      </c>
      <c r="E6084" s="13">
        <v>1600</v>
      </c>
      <c r="F6084" s="12">
        <v>2.81</v>
      </c>
      <c r="G6084" t="str">
        <f>IFERROR(INDEX(tEditais[Órgão],MATCH(tItens[[#This Row],[Edital]],tEditais[Edital],0)),"")</f>
        <v>MUNICIPIO DE GENERAL CARNEIRO</v>
      </c>
      <c r="H6084" t="str">
        <f>IFERROR(INDEX(tEditais[UF],MATCH(tItens[[#This Row],[Edital]],tEditais[Edital],0)),"")</f>
        <v>PR</v>
      </c>
      <c r="I6084" s="11">
        <f>IFERROR(INDEX(tEditais[Encerramento],MATCH(tItens[[#This Row],[Edital]],tEditais[Edital],0)),"")</f>
        <v>46311.333333333336</v>
      </c>
      <c r="J6084" t="str">
        <f>IFERROR(INDEX(tProdutos[Classe],MATCH(tItens[[#This Row],[Produto]],tProdutos[Produto],0)),"produto não cadastrado")</f>
        <v>FORA</v>
      </c>
      <c r="K6084" s="12">
        <f>tItens[[#This Row],[Qtd]]*tItens[[#This Row],[Vlr unit]]</f>
        <v>4496</v>
      </c>
      <c r="L6084" s="6">
        <f>IFERROR(IF(INDEX(tProdutos[Desconto homologado],MATCH(tItens[[#This Row],[Produto]],tProdutos[Produto],0))="",DescontoPadrao,INDEX(tProdutos[Desconto homologado],MATCH(tItens[[#This Row],[Produto]],tProdutos[Produto],0))),DescontoPadrao)</f>
        <v>0.35412234042553198</v>
      </c>
      <c r="M6084" s="12">
        <f>tItens[[#This Row],[Valor]]*(1-tItens[[#This Row],[Desconto]])</f>
        <v>2903.8659574468079</v>
      </c>
      <c r="N6084" t="str">
        <f>IFERROR(INDEX(tProdutos[Foco],MATCH(tItens[[#This Row],[Produto]],tProdutos[Produto],0)),"Não")</f>
        <v>Não</v>
      </c>
      <c r="O6084" t="str">
        <f>IFERROR(INDEX(tEditais[SRP],MATCH(tItens[[#This Row],[Edital]],tEditais[Edital],0)),"Não")</f>
        <v>Sim</v>
      </c>
      <c r="P6084" s="4">
        <f>IF(COUNTIFS(INDEX(tItens[Edital],1):tItens[[#This Row],[Edital]],tItens[[#This Row],[Edital]],INDEX(tItens[Produto],1):tItens[[#This Row],[Produto]],tItens[[#This Row],[Produto]])=1,1,0)</f>
        <v>0</v>
      </c>
    </row>
    <row r="6085" spans="1:16" x14ac:dyDescent="0.25">
      <c r="A6085" t="s">
        <v>2146</v>
      </c>
      <c r="B6085">
        <v>222</v>
      </c>
      <c r="C6085" t="s">
        <v>8828</v>
      </c>
      <c r="D6085" t="s">
        <v>343</v>
      </c>
      <c r="E6085" s="13">
        <v>1100</v>
      </c>
      <c r="F6085" s="12">
        <v>2.57</v>
      </c>
      <c r="G6085" t="str">
        <f>IFERROR(INDEX(tEditais[Órgão],MATCH(tItens[[#This Row],[Edital]],tEditais[Edital],0)),"")</f>
        <v>MUNICIPIO DE GENERAL CARNEIRO</v>
      </c>
      <c r="H6085" t="str">
        <f>IFERROR(INDEX(tEditais[UF],MATCH(tItens[[#This Row],[Edital]],tEditais[Edital],0)),"")</f>
        <v>PR</v>
      </c>
      <c r="I6085" s="11">
        <f>IFERROR(INDEX(tEditais[Encerramento],MATCH(tItens[[#This Row],[Edital]],tEditais[Edital],0)),"")</f>
        <v>46311.333333333336</v>
      </c>
      <c r="J6085" t="str">
        <f>IFERROR(INDEX(tProdutos[Classe],MATCH(tItens[[#This Row],[Produto]],tProdutos[Produto],0)),"produto não cadastrado")</f>
        <v>FORA</v>
      </c>
      <c r="K6085" s="12">
        <f>tItens[[#This Row],[Qtd]]*tItens[[#This Row],[Vlr unit]]</f>
        <v>2827</v>
      </c>
      <c r="L6085" s="6">
        <f>IFERROR(IF(INDEX(tProdutos[Desconto homologado],MATCH(tItens[[#This Row],[Produto]],tProdutos[Produto],0))="",DescontoPadrao,INDEX(tProdutos[Desconto homologado],MATCH(tItens[[#This Row],[Produto]],tProdutos[Produto],0))),DescontoPadrao)</f>
        <v>0.35412234042553198</v>
      </c>
      <c r="M6085" s="12">
        <f>tItens[[#This Row],[Valor]]*(1-tItens[[#This Row],[Desconto]])</f>
        <v>1825.8961436170209</v>
      </c>
      <c r="N6085" t="str">
        <f>IFERROR(INDEX(tProdutos[Foco],MATCH(tItens[[#This Row],[Produto]],tProdutos[Produto],0)),"Não")</f>
        <v>Não</v>
      </c>
      <c r="O6085" t="str">
        <f>IFERROR(INDEX(tEditais[SRP],MATCH(tItens[[#This Row],[Edital]],tEditais[Edital],0)),"Não")</f>
        <v>Sim</v>
      </c>
      <c r="P6085" s="4">
        <f>IF(COUNTIFS(INDEX(tItens[Edital],1):tItens[[#This Row],[Edital]],tItens[[#This Row],[Edital]],INDEX(tItens[Produto],1):tItens[[#This Row],[Produto]],tItens[[#This Row],[Produto]])=1,1,0)</f>
        <v>0</v>
      </c>
    </row>
    <row r="6086" spans="1:16" x14ac:dyDescent="0.25">
      <c r="A6086" t="s">
        <v>2146</v>
      </c>
      <c r="B6086">
        <v>223</v>
      </c>
      <c r="C6086" t="s">
        <v>8829</v>
      </c>
      <c r="D6086" t="s">
        <v>343</v>
      </c>
      <c r="E6086" s="13">
        <v>50</v>
      </c>
      <c r="F6086" s="12">
        <v>3.06</v>
      </c>
      <c r="G6086" t="str">
        <f>IFERROR(INDEX(tEditais[Órgão],MATCH(tItens[[#This Row],[Edital]],tEditais[Edital],0)),"")</f>
        <v>MUNICIPIO DE GENERAL CARNEIRO</v>
      </c>
      <c r="H6086" t="str">
        <f>IFERROR(INDEX(tEditais[UF],MATCH(tItens[[#This Row],[Edital]],tEditais[Edital],0)),"")</f>
        <v>PR</v>
      </c>
      <c r="I6086" s="11">
        <f>IFERROR(INDEX(tEditais[Encerramento],MATCH(tItens[[#This Row],[Edital]],tEditais[Edital],0)),"")</f>
        <v>46311.333333333336</v>
      </c>
      <c r="J6086" t="str">
        <f>IFERROR(INDEX(tProdutos[Classe],MATCH(tItens[[#This Row],[Produto]],tProdutos[Produto],0)),"produto não cadastrado")</f>
        <v>FORA</v>
      </c>
      <c r="K6086" s="12">
        <f>tItens[[#This Row],[Qtd]]*tItens[[#This Row],[Vlr unit]]</f>
        <v>153</v>
      </c>
      <c r="L6086" s="6">
        <f>IFERROR(IF(INDEX(tProdutos[Desconto homologado],MATCH(tItens[[#This Row],[Produto]],tProdutos[Produto],0))="",DescontoPadrao,INDEX(tProdutos[Desconto homologado],MATCH(tItens[[#This Row],[Produto]],tProdutos[Produto],0))),DescontoPadrao)</f>
        <v>0.35412234042553198</v>
      </c>
      <c r="M6086" s="12">
        <f>tItens[[#This Row],[Valor]]*(1-tItens[[#This Row],[Desconto]])</f>
        <v>98.819281914893594</v>
      </c>
      <c r="N6086" t="str">
        <f>IFERROR(INDEX(tProdutos[Foco],MATCH(tItens[[#This Row],[Produto]],tProdutos[Produto],0)),"Não")</f>
        <v>Não</v>
      </c>
      <c r="O6086" t="str">
        <f>IFERROR(INDEX(tEditais[SRP],MATCH(tItens[[#This Row],[Edital]],tEditais[Edital],0)),"Não")</f>
        <v>Sim</v>
      </c>
      <c r="P6086" s="4">
        <f>IF(COUNTIFS(INDEX(tItens[Edital],1):tItens[[#This Row],[Edital]],tItens[[#This Row],[Edital]],INDEX(tItens[Produto],1):tItens[[#This Row],[Produto]],tItens[[#This Row],[Produto]])=1,1,0)</f>
        <v>0</v>
      </c>
    </row>
    <row r="6087" spans="1:16" x14ac:dyDescent="0.25">
      <c r="A6087" t="s">
        <v>2146</v>
      </c>
      <c r="B6087">
        <v>228</v>
      </c>
      <c r="C6087" t="s">
        <v>8830</v>
      </c>
      <c r="D6087" t="s">
        <v>385</v>
      </c>
      <c r="E6087" s="13">
        <v>1500</v>
      </c>
      <c r="F6087" s="12">
        <v>6.37</v>
      </c>
      <c r="G6087" t="str">
        <f>IFERROR(INDEX(tEditais[Órgão],MATCH(tItens[[#This Row],[Edital]],tEditais[Edital],0)),"")</f>
        <v>MUNICIPIO DE GENERAL CARNEIRO</v>
      </c>
      <c r="H6087" t="str">
        <f>IFERROR(INDEX(tEditais[UF],MATCH(tItens[[#This Row],[Edital]],tEditais[Edital],0)),"")</f>
        <v>PR</v>
      </c>
      <c r="I6087" s="11">
        <f>IFERROR(INDEX(tEditais[Encerramento],MATCH(tItens[[#This Row],[Edital]],tEditais[Edital],0)),"")</f>
        <v>46311.333333333336</v>
      </c>
      <c r="J6087" t="str">
        <f>IFERROR(INDEX(tProdutos[Classe],MATCH(tItens[[#This Row],[Produto]],tProdutos[Produto],0)),"produto não cadastrado")</f>
        <v>FORA</v>
      </c>
      <c r="K6087" s="12">
        <f>tItens[[#This Row],[Qtd]]*tItens[[#This Row],[Vlr unit]]</f>
        <v>9555</v>
      </c>
      <c r="L6087" s="6">
        <f>IFERROR(IF(INDEX(tProdutos[Desconto homologado],MATCH(tItens[[#This Row],[Produto]],tProdutos[Produto],0))="",DescontoPadrao,INDEX(tProdutos[Desconto homologado],MATCH(tItens[[#This Row],[Produto]],tProdutos[Produto],0))),DescontoPadrao)</f>
        <v>0.46969696969697</v>
      </c>
      <c r="M6087" s="12">
        <f>tItens[[#This Row],[Valor]]*(1-tItens[[#This Row],[Desconto]])</f>
        <v>5067.0454545454522</v>
      </c>
      <c r="N6087" t="str">
        <f>IFERROR(INDEX(tProdutos[Foco],MATCH(tItens[[#This Row],[Produto]],tProdutos[Produto],0)),"Não")</f>
        <v>Não</v>
      </c>
      <c r="O6087" t="str">
        <f>IFERROR(INDEX(tEditais[SRP],MATCH(tItens[[#This Row],[Edital]],tEditais[Edital],0)),"Não")</f>
        <v>Sim</v>
      </c>
      <c r="P6087" s="4">
        <f>IF(COUNTIFS(INDEX(tItens[Edital],1):tItens[[#This Row],[Edital]],tItens[[#This Row],[Edital]],INDEX(tItens[Produto],1):tItens[[#This Row],[Produto]],tItens[[#This Row],[Produto]])=1,1,0)</f>
        <v>1</v>
      </c>
    </row>
    <row r="6088" spans="1:16" x14ac:dyDescent="0.25">
      <c r="A6088" t="s">
        <v>2146</v>
      </c>
      <c r="B6088">
        <v>236</v>
      </c>
      <c r="C6088" t="s">
        <v>8831</v>
      </c>
      <c r="D6088" t="s">
        <v>170</v>
      </c>
      <c r="E6088" s="13">
        <v>100</v>
      </c>
      <c r="F6088" s="12">
        <v>20.68</v>
      </c>
      <c r="G6088" t="str">
        <f>IFERROR(INDEX(tEditais[Órgão],MATCH(tItens[[#This Row],[Edital]],tEditais[Edital],0)),"")</f>
        <v>MUNICIPIO DE GENERAL CARNEIRO</v>
      </c>
      <c r="H6088" t="str">
        <f>IFERROR(INDEX(tEditais[UF],MATCH(tItens[[#This Row],[Edital]],tEditais[Edital],0)),"")</f>
        <v>PR</v>
      </c>
      <c r="I6088" s="11">
        <f>IFERROR(INDEX(tEditais[Encerramento],MATCH(tItens[[#This Row],[Edital]],tEditais[Edital],0)),"")</f>
        <v>46311.333333333336</v>
      </c>
      <c r="J6088" t="str">
        <f>IFERROR(INDEX(tProdutos[Classe],MATCH(tItens[[#This Row],[Produto]],tProdutos[Produto],0)),"produto não cadastrado")</f>
        <v>DISPUTADO</v>
      </c>
      <c r="K6088" s="12">
        <f>tItens[[#This Row],[Qtd]]*tItens[[#This Row],[Vlr unit]]</f>
        <v>2068</v>
      </c>
      <c r="L6088" s="6">
        <f>IFERROR(IF(INDEX(tProdutos[Desconto homologado],MATCH(tItens[[#This Row],[Produto]],tProdutos[Produto],0))="",DescontoPadrao,INDEX(tProdutos[Desconto homologado],MATCH(tItens[[#This Row],[Produto]],tProdutos[Produto],0))),DescontoPadrao)</f>
        <v>0.36</v>
      </c>
      <c r="M6088" s="12">
        <f>tItens[[#This Row],[Valor]]*(1-tItens[[#This Row],[Desconto]])</f>
        <v>1323.52</v>
      </c>
      <c r="N6088" t="str">
        <f>IFERROR(INDEX(tProdutos[Foco],MATCH(tItens[[#This Row],[Produto]],tProdutos[Produto],0)),"Não")</f>
        <v>Sim</v>
      </c>
      <c r="O6088" t="str">
        <f>IFERROR(INDEX(tEditais[SRP],MATCH(tItens[[#This Row],[Edital]],tEditais[Edital],0)),"Não")</f>
        <v>Sim</v>
      </c>
      <c r="P6088" s="4">
        <f>IF(COUNTIFS(INDEX(tItens[Edital],1):tItens[[#This Row],[Edital]],tItens[[#This Row],[Edital]],INDEX(tItens[Produto],1):tItens[[#This Row],[Produto]],tItens[[#This Row],[Produto]])=1,1,0)</f>
        <v>1</v>
      </c>
    </row>
    <row r="6089" spans="1:16" x14ac:dyDescent="0.25">
      <c r="A6089" t="s">
        <v>2146</v>
      </c>
      <c r="B6089">
        <v>237</v>
      </c>
      <c r="C6089" t="s">
        <v>8832</v>
      </c>
      <c r="D6089" t="s">
        <v>170</v>
      </c>
      <c r="E6089" s="13">
        <v>100</v>
      </c>
      <c r="F6089" s="12">
        <v>21.91</v>
      </c>
      <c r="G6089" t="str">
        <f>IFERROR(INDEX(tEditais[Órgão],MATCH(tItens[[#This Row],[Edital]],tEditais[Edital],0)),"")</f>
        <v>MUNICIPIO DE GENERAL CARNEIRO</v>
      </c>
      <c r="H6089" t="str">
        <f>IFERROR(INDEX(tEditais[UF],MATCH(tItens[[#This Row],[Edital]],tEditais[Edital],0)),"")</f>
        <v>PR</v>
      </c>
      <c r="I6089" s="11">
        <f>IFERROR(INDEX(tEditais[Encerramento],MATCH(tItens[[#This Row],[Edital]],tEditais[Edital],0)),"")</f>
        <v>46311.333333333336</v>
      </c>
      <c r="J6089" t="str">
        <f>IFERROR(INDEX(tProdutos[Classe],MATCH(tItens[[#This Row],[Produto]],tProdutos[Produto],0)),"produto não cadastrado")</f>
        <v>DISPUTADO</v>
      </c>
      <c r="K6089" s="12">
        <f>tItens[[#This Row],[Qtd]]*tItens[[#This Row],[Vlr unit]]</f>
        <v>2191</v>
      </c>
      <c r="L6089" s="6">
        <f>IFERROR(IF(INDEX(tProdutos[Desconto homologado],MATCH(tItens[[#This Row],[Produto]],tProdutos[Produto],0))="",DescontoPadrao,INDEX(tProdutos[Desconto homologado],MATCH(tItens[[#This Row],[Produto]],tProdutos[Produto],0))),DescontoPadrao)</f>
        <v>0.36</v>
      </c>
      <c r="M6089" s="12">
        <f>tItens[[#This Row],[Valor]]*(1-tItens[[#This Row],[Desconto]])</f>
        <v>1402.24</v>
      </c>
      <c r="N6089" t="str">
        <f>IFERROR(INDEX(tProdutos[Foco],MATCH(tItens[[#This Row],[Produto]],tProdutos[Produto],0)),"Não")</f>
        <v>Sim</v>
      </c>
      <c r="O6089" t="str">
        <f>IFERROR(INDEX(tEditais[SRP],MATCH(tItens[[#This Row],[Edital]],tEditais[Edital],0)),"Não")</f>
        <v>Sim</v>
      </c>
      <c r="P6089" s="4">
        <f>IF(COUNTIFS(INDEX(tItens[Edital],1):tItens[[#This Row],[Edital]],tItens[[#This Row],[Edital]],INDEX(tItens[Produto],1):tItens[[#This Row],[Produto]],tItens[[#This Row],[Produto]])=1,1,0)</f>
        <v>0</v>
      </c>
    </row>
    <row r="6090" spans="1:16" x14ac:dyDescent="0.25">
      <c r="A6090" t="s">
        <v>2146</v>
      </c>
      <c r="B6090">
        <v>238</v>
      </c>
      <c r="C6090" t="s">
        <v>8833</v>
      </c>
      <c r="D6090" t="s">
        <v>170</v>
      </c>
      <c r="E6090" s="13">
        <v>100</v>
      </c>
      <c r="F6090" s="12">
        <v>25.78</v>
      </c>
      <c r="G6090" t="str">
        <f>IFERROR(INDEX(tEditais[Órgão],MATCH(tItens[[#This Row],[Edital]],tEditais[Edital],0)),"")</f>
        <v>MUNICIPIO DE GENERAL CARNEIRO</v>
      </c>
      <c r="H6090" t="str">
        <f>IFERROR(INDEX(tEditais[UF],MATCH(tItens[[#This Row],[Edital]],tEditais[Edital],0)),"")</f>
        <v>PR</v>
      </c>
      <c r="I6090" s="11">
        <f>IFERROR(INDEX(tEditais[Encerramento],MATCH(tItens[[#This Row],[Edital]],tEditais[Edital],0)),"")</f>
        <v>46311.333333333336</v>
      </c>
      <c r="J6090" t="str">
        <f>IFERROR(INDEX(tProdutos[Classe],MATCH(tItens[[#This Row],[Produto]],tProdutos[Produto],0)),"produto não cadastrado")</f>
        <v>DISPUTADO</v>
      </c>
      <c r="K6090" s="12">
        <f>tItens[[#This Row],[Qtd]]*tItens[[#This Row],[Vlr unit]]</f>
        <v>2578</v>
      </c>
      <c r="L6090" s="6">
        <f>IFERROR(IF(INDEX(tProdutos[Desconto homologado],MATCH(tItens[[#This Row],[Produto]],tProdutos[Produto],0))="",DescontoPadrao,INDEX(tProdutos[Desconto homologado],MATCH(tItens[[#This Row],[Produto]],tProdutos[Produto],0))),DescontoPadrao)</f>
        <v>0.36</v>
      </c>
      <c r="M6090" s="12">
        <f>tItens[[#This Row],[Valor]]*(1-tItens[[#This Row],[Desconto]])</f>
        <v>1649.92</v>
      </c>
      <c r="N6090" t="str">
        <f>IFERROR(INDEX(tProdutos[Foco],MATCH(tItens[[#This Row],[Produto]],tProdutos[Produto],0)),"Não")</f>
        <v>Sim</v>
      </c>
      <c r="O6090" t="str">
        <f>IFERROR(INDEX(tEditais[SRP],MATCH(tItens[[#This Row],[Edital]],tEditais[Edital],0)),"Não")</f>
        <v>Sim</v>
      </c>
      <c r="P6090" s="4">
        <f>IF(COUNTIFS(INDEX(tItens[Edital],1):tItens[[#This Row],[Edital]],tItens[[#This Row],[Edital]],INDEX(tItens[Produto],1):tItens[[#This Row],[Produto]],tItens[[#This Row],[Produto]])=1,1,0)</f>
        <v>0</v>
      </c>
    </row>
    <row r="6091" spans="1:16" x14ac:dyDescent="0.25">
      <c r="A6091" t="s">
        <v>2146</v>
      </c>
      <c r="B6091">
        <v>239</v>
      </c>
      <c r="C6091" t="s">
        <v>8834</v>
      </c>
      <c r="D6091" t="s">
        <v>170</v>
      </c>
      <c r="E6091" s="13">
        <v>100</v>
      </c>
      <c r="F6091" s="12">
        <v>24.35</v>
      </c>
      <c r="G6091" t="str">
        <f>IFERROR(INDEX(tEditais[Órgão],MATCH(tItens[[#This Row],[Edital]],tEditais[Edital],0)),"")</f>
        <v>MUNICIPIO DE GENERAL CARNEIRO</v>
      </c>
      <c r="H6091" t="str">
        <f>IFERROR(INDEX(tEditais[UF],MATCH(tItens[[#This Row],[Edital]],tEditais[Edital],0)),"")</f>
        <v>PR</v>
      </c>
      <c r="I6091" s="11">
        <f>IFERROR(INDEX(tEditais[Encerramento],MATCH(tItens[[#This Row],[Edital]],tEditais[Edital],0)),"")</f>
        <v>46311.333333333336</v>
      </c>
      <c r="J6091" t="str">
        <f>IFERROR(INDEX(tProdutos[Classe],MATCH(tItens[[#This Row],[Produto]],tProdutos[Produto],0)),"produto não cadastrado")</f>
        <v>DISPUTADO</v>
      </c>
      <c r="K6091" s="12">
        <f>tItens[[#This Row],[Qtd]]*tItens[[#This Row],[Vlr unit]]</f>
        <v>2435</v>
      </c>
      <c r="L6091" s="6">
        <f>IFERROR(IF(INDEX(tProdutos[Desconto homologado],MATCH(tItens[[#This Row],[Produto]],tProdutos[Produto],0))="",DescontoPadrao,INDEX(tProdutos[Desconto homologado],MATCH(tItens[[#This Row],[Produto]],tProdutos[Produto],0))),DescontoPadrao)</f>
        <v>0.36</v>
      </c>
      <c r="M6091" s="12">
        <f>tItens[[#This Row],[Valor]]*(1-tItens[[#This Row],[Desconto]])</f>
        <v>1558.4</v>
      </c>
      <c r="N6091" t="str">
        <f>IFERROR(INDEX(tProdutos[Foco],MATCH(tItens[[#This Row],[Produto]],tProdutos[Produto],0)),"Não")</f>
        <v>Sim</v>
      </c>
      <c r="O6091" t="str">
        <f>IFERROR(INDEX(tEditais[SRP],MATCH(tItens[[#This Row],[Edital]],tEditais[Edital],0)),"Não")</f>
        <v>Sim</v>
      </c>
      <c r="P6091" s="4">
        <f>IF(COUNTIFS(INDEX(tItens[Edital],1):tItens[[#This Row],[Edital]],tItens[[#This Row],[Edital]],INDEX(tItens[Produto],1):tItens[[#This Row],[Produto]],tItens[[#This Row],[Produto]])=1,1,0)</f>
        <v>0</v>
      </c>
    </row>
    <row r="6092" spans="1:16" x14ac:dyDescent="0.25">
      <c r="A6092" t="s">
        <v>2146</v>
      </c>
      <c r="B6092">
        <v>240</v>
      </c>
      <c r="C6092" t="s">
        <v>8835</v>
      </c>
      <c r="D6092" t="s">
        <v>170</v>
      </c>
      <c r="E6092" s="13">
        <v>100</v>
      </c>
      <c r="F6092" s="12">
        <v>26.82</v>
      </c>
      <c r="G6092" t="str">
        <f>IFERROR(INDEX(tEditais[Órgão],MATCH(tItens[[#This Row],[Edital]],tEditais[Edital],0)),"")</f>
        <v>MUNICIPIO DE GENERAL CARNEIRO</v>
      </c>
      <c r="H6092" t="str">
        <f>IFERROR(INDEX(tEditais[UF],MATCH(tItens[[#This Row],[Edital]],tEditais[Edital],0)),"")</f>
        <v>PR</v>
      </c>
      <c r="I6092" s="11">
        <f>IFERROR(INDEX(tEditais[Encerramento],MATCH(tItens[[#This Row],[Edital]],tEditais[Edital],0)),"")</f>
        <v>46311.333333333336</v>
      </c>
      <c r="J6092" t="str">
        <f>IFERROR(INDEX(tProdutos[Classe],MATCH(tItens[[#This Row],[Produto]],tProdutos[Produto],0)),"produto não cadastrado")</f>
        <v>DISPUTADO</v>
      </c>
      <c r="K6092" s="12">
        <f>tItens[[#This Row],[Qtd]]*tItens[[#This Row],[Vlr unit]]</f>
        <v>2682</v>
      </c>
      <c r="L6092" s="6">
        <f>IFERROR(IF(INDEX(tProdutos[Desconto homologado],MATCH(tItens[[#This Row],[Produto]],tProdutos[Produto],0))="",DescontoPadrao,INDEX(tProdutos[Desconto homologado],MATCH(tItens[[#This Row],[Produto]],tProdutos[Produto],0))),DescontoPadrao)</f>
        <v>0.36</v>
      </c>
      <c r="M6092" s="12">
        <f>tItens[[#This Row],[Valor]]*(1-tItens[[#This Row],[Desconto]])</f>
        <v>1716.48</v>
      </c>
      <c r="N6092" t="str">
        <f>IFERROR(INDEX(tProdutos[Foco],MATCH(tItens[[#This Row],[Produto]],tProdutos[Produto],0)),"Não")</f>
        <v>Sim</v>
      </c>
      <c r="O6092" t="str">
        <f>IFERROR(INDEX(tEditais[SRP],MATCH(tItens[[#This Row],[Edital]],tEditais[Edital],0)),"Não")</f>
        <v>Sim</v>
      </c>
      <c r="P6092" s="4">
        <f>IF(COUNTIFS(INDEX(tItens[Edital],1):tItens[[#This Row],[Edital]],tItens[[#This Row],[Edital]],INDEX(tItens[Produto],1):tItens[[#This Row],[Produto]],tItens[[#This Row],[Produto]])=1,1,0)</f>
        <v>0</v>
      </c>
    </row>
    <row r="6093" spans="1:16" x14ac:dyDescent="0.25">
      <c r="A6093" t="s">
        <v>2146</v>
      </c>
      <c r="B6093">
        <v>241</v>
      </c>
      <c r="C6093" t="s">
        <v>8836</v>
      </c>
      <c r="D6093" t="s">
        <v>170</v>
      </c>
      <c r="E6093" s="13">
        <v>100</v>
      </c>
      <c r="F6093" s="12">
        <v>32.200000000000003</v>
      </c>
      <c r="G6093" t="str">
        <f>IFERROR(INDEX(tEditais[Órgão],MATCH(tItens[[#This Row],[Edital]],tEditais[Edital],0)),"")</f>
        <v>MUNICIPIO DE GENERAL CARNEIRO</v>
      </c>
      <c r="H6093" t="str">
        <f>IFERROR(INDEX(tEditais[UF],MATCH(tItens[[#This Row],[Edital]],tEditais[Edital],0)),"")</f>
        <v>PR</v>
      </c>
      <c r="I6093" s="11">
        <f>IFERROR(INDEX(tEditais[Encerramento],MATCH(tItens[[#This Row],[Edital]],tEditais[Edital],0)),"")</f>
        <v>46311.333333333336</v>
      </c>
      <c r="J6093" t="str">
        <f>IFERROR(INDEX(tProdutos[Classe],MATCH(tItens[[#This Row],[Produto]],tProdutos[Produto],0)),"produto não cadastrado")</f>
        <v>DISPUTADO</v>
      </c>
      <c r="K6093" s="12">
        <f>tItens[[#This Row],[Qtd]]*tItens[[#This Row],[Vlr unit]]</f>
        <v>3220.0000000000005</v>
      </c>
      <c r="L6093" s="6">
        <f>IFERROR(IF(INDEX(tProdutos[Desconto homologado],MATCH(tItens[[#This Row],[Produto]],tProdutos[Produto],0))="",DescontoPadrao,INDEX(tProdutos[Desconto homologado],MATCH(tItens[[#This Row],[Produto]],tProdutos[Produto],0))),DescontoPadrao)</f>
        <v>0.36</v>
      </c>
      <c r="M6093" s="12">
        <f>tItens[[#This Row],[Valor]]*(1-tItens[[#This Row],[Desconto]])</f>
        <v>2060.8000000000002</v>
      </c>
      <c r="N6093" t="str">
        <f>IFERROR(INDEX(tProdutos[Foco],MATCH(tItens[[#This Row],[Produto]],tProdutos[Produto],0)),"Não")</f>
        <v>Sim</v>
      </c>
      <c r="O6093" t="str">
        <f>IFERROR(INDEX(tEditais[SRP],MATCH(tItens[[#This Row],[Edital]],tEditais[Edital],0)),"Não")</f>
        <v>Sim</v>
      </c>
      <c r="P6093" s="4">
        <f>IF(COUNTIFS(INDEX(tItens[Edital],1):tItens[[#This Row],[Edital]],tItens[[#This Row],[Edital]],INDEX(tItens[Produto],1):tItens[[#This Row],[Produto]],tItens[[#This Row],[Produto]])=1,1,0)</f>
        <v>0</v>
      </c>
    </row>
    <row r="6094" spans="1:16" x14ac:dyDescent="0.25">
      <c r="A6094" t="s">
        <v>2146</v>
      </c>
      <c r="B6094">
        <v>242</v>
      </c>
      <c r="C6094" t="s">
        <v>8837</v>
      </c>
      <c r="D6094" t="s">
        <v>170</v>
      </c>
      <c r="E6094" s="13">
        <v>100</v>
      </c>
      <c r="F6094" s="12">
        <v>32.200000000000003</v>
      </c>
      <c r="G6094" t="str">
        <f>IFERROR(INDEX(tEditais[Órgão],MATCH(tItens[[#This Row],[Edital]],tEditais[Edital],0)),"")</f>
        <v>MUNICIPIO DE GENERAL CARNEIRO</v>
      </c>
      <c r="H6094" t="str">
        <f>IFERROR(INDEX(tEditais[UF],MATCH(tItens[[#This Row],[Edital]],tEditais[Edital],0)),"")</f>
        <v>PR</v>
      </c>
      <c r="I6094" s="11">
        <f>IFERROR(INDEX(tEditais[Encerramento],MATCH(tItens[[#This Row],[Edital]],tEditais[Edital],0)),"")</f>
        <v>46311.333333333336</v>
      </c>
      <c r="J6094" t="str">
        <f>IFERROR(INDEX(tProdutos[Classe],MATCH(tItens[[#This Row],[Produto]],tProdutos[Produto],0)),"produto não cadastrado")</f>
        <v>DISPUTADO</v>
      </c>
      <c r="K6094" s="12">
        <f>tItens[[#This Row],[Qtd]]*tItens[[#This Row],[Vlr unit]]</f>
        <v>3220.0000000000005</v>
      </c>
      <c r="L6094" s="6">
        <f>IFERROR(IF(INDEX(tProdutos[Desconto homologado],MATCH(tItens[[#This Row],[Produto]],tProdutos[Produto],0))="",DescontoPadrao,INDEX(tProdutos[Desconto homologado],MATCH(tItens[[#This Row],[Produto]],tProdutos[Produto],0))),DescontoPadrao)</f>
        <v>0.36</v>
      </c>
      <c r="M6094" s="12">
        <f>tItens[[#This Row],[Valor]]*(1-tItens[[#This Row],[Desconto]])</f>
        <v>2060.8000000000002</v>
      </c>
      <c r="N6094" t="str">
        <f>IFERROR(INDEX(tProdutos[Foco],MATCH(tItens[[#This Row],[Produto]],tProdutos[Produto],0)),"Não")</f>
        <v>Sim</v>
      </c>
      <c r="O6094" t="str">
        <f>IFERROR(INDEX(tEditais[SRP],MATCH(tItens[[#This Row],[Edital]],tEditais[Edital],0)),"Não")</f>
        <v>Sim</v>
      </c>
      <c r="P6094" s="4">
        <f>IF(COUNTIFS(INDEX(tItens[Edital],1):tItens[[#This Row],[Edital]],tItens[[#This Row],[Edital]],INDEX(tItens[Produto],1):tItens[[#This Row],[Produto]],tItens[[#This Row],[Produto]])=1,1,0)</f>
        <v>0</v>
      </c>
    </row>
    <row r="6095" spans="1:16" x14ac:dyDescent="0.25">
      <c r="A6095" t="s">
        <v>2146</v>
      </c>
      <c r="B6095">
        <v>243</v>
      </c>
      <c r="C6095" t="s">
        <v>8838</v>
      </c>
      <c r="D6095" t="s">
        <v>170</v>
      </c>
      <c r="E6095" s="13">
        <v>100</v>
      </c>
      <c r="F6095" s="12">
        <v>40.340000000000003</v>
      </c>
      <c r="G6095" t="str">
        <f>IFERROR(INDEX(tEditais[Órgão],MATCH(tItens[[#This Row],[Edital]],tEditais[Edital],0)),"")</f>
        <v>MUNICIPIO DE GENERAL CARNEIRO</v>
      </c>
      <c r="H6095" t="str">
        <f>IFERROR(INDEX(tEditais[UF],MATCH(tItens[[#This Row],[Edital]],tEditais[Edital],0)),"")</f>
        <v>PR</v>
      </c>
      <c r="I6095" s="11">
        <f>IFERROR(INDEX(tEditais[Encerramento],MATCH(tItens[[#This Row],[Edital]],tEditais[Edital],0)),"")</f>
        <v>46311.333333333336</v>
      </c>
      <c r="J6095" t="str">
        <f>IFERROR(INDEX(tProdutos[Classe],MATCH(tItens[[#This Row],[Produto]],tProdutos[Produto],0)),"produto não cadastrado")</f>
        <v>DISPUTADO</v>
      </c>
      <c r="K6095" s="12">
        <f>tItens[[#This Row],[Qtd]]*tItens[[#This Row],[Vlr unit]]</f>
        <v>4034.0000000000005</v>
      </c>
      <c r="L6095" s="6">
        <f>IFERROR(IF(INDEX(tProdutos[Desconto homologado],MATCH(tItens[[#This Row],[Produto]],tProdutos[Produto],0))="",DescontoPadrao,INDEX(tProdutos[Desconto homologado],MATCH(tItens[[#This Row],[Produto]],tProdutos[Produto],0))),DescontoPadrao)</f>
        <v>0.36</v>
      </c>
      <c r="M6095" s="12">
        <f>tItens[[#This Row],[Valor]]*(1-tItens[[#This Row],[Desconto]])</f>
        <v>2581.7600000000002</v>
      </c>
      <c r="N6095" t="str">
        <f>IFERROR(INDEX(tProdutos[Foco],MATCH(tItens[[#This Row],[Produto]],tProdutos[Produto],0)),"Não")</f>
        <v>Sim</v>
      </c>
      <c r="O6095" t="str">
        <f>IFERROR(INDEX(tEditais[SRP],MATCH(tItens[[#This Row],[Edital]],tEditais[Edital],0)),"Não")</f>
        <v>Sim</v>
      </c>
      <c r="P6095" s="4">
        <f>IF(COUNTIFS(INDEX(tItens[Edital],1):tItens[[#This Row],[Edital]],tItens[[#This Row],[Edital]],INDEX(tItens[Produto],1):tItens[[#This Row],[Produto]],tItens[[#This Row],[Produto]])=1,1,0)</f>
        <v>0</v>
      </c>
    </row>
    <row r="6096" spans="1:16" x14ac:dyDescent="0.25">
      <c r="A6096" t="s">
        <v>2146</v>
      </c>
      <c r="B6096">
        <v>244</v>
      </c>
      <c r="C6096" t="s">
        <v>8839</v>
      </c>
      <c r="D6096" t="s">
        <v>403</v>
      </c>
      <c r="E6096" s="13">
        <v>550</v>
      </c>
      <c r="F6096" s="12">
        <v>11.78</v>
      </c>
      <c r="G6096" t="str">
        <f>IFERROR(INDEX(tEditais[Órgão],MATCH(tItens[[#This Row],[Edital]],tEditais[Edital],0)),"")</f>
        <v>MUNICIPIO DE GENERAL CARNEIRO</v>
      </c>
      <c r="H6096" t="str">
        <f>IFERROR(INDEX(tEditais[UF],MATCH(tItens[[#This Row],[Edital]],tEditais[Edital],0)),"")</f>
        <v>PR</v>
      </c>
      <c r="I6096" s="11">
        <f>IFERROR(INDEX(tEditais[Encerramento],MATCH(tItens[[#This Row],[Edital]],tEditais[Edital],0)),"")</f>
        <v>46311.333333333336</v>
      </c>
      <c r="J6096" t="str">
        <f>IFERROR(INDEX(tProdutos[Classe],MATCH(tItens[[#This Row],[Produto]],tProdutos[Produto],0)),"produto não cadastrado")</f>
        <v>FORA</v>
      </c>
      <c r="K6096" s="12">
        <f>tItens[[#This Row],[Qtd]]*tItens[[#This Row],[Vlr unit]]</f>
        <v>6479</v>
      </c>
      <c r="L6096" s="6">
        <f>IFERROR(IF(INDEX(tProdutos[Desconto homologado],MATCH(tItens[[#This Row],[Produto]],tProdutos[Produto],0))="",DescontoPadrao,INDEX(tProdutos[Desconto homologado],MATCH(tItens[[#This Row],[Produto]],tProdutos[Produto],0))),DescontoPadrao)</f>
        <v>0.35326086956521702</v>
      </c>
      <c r="M6096" s="12">
        <f>tItens[[#This Row],[Valor]]*(1-tItens[[#This Row],[Desconto]])</f>
        <v>4190.2228260869588</v>
      </c>
      <c r="N6096" t="str">
        <f>IFERROR(INDEX(tProdutos[Foco],MATCH(tItens[[#This Row],[Produto]],tProdutos[Produto],0)),"Não")</f>
        <v>Não</v>
      </c>
      <c r="O6096" t="str">
        <f>IFERROR(INDEX(tEditais[SRP],MATCH(tItens[[#This Row],[Edital]],tEditais[Edital],0)),"Não")</f>
        <v>Sim</v>
      </c>
      <c r="P6096" s="4">
        <f>IF(COUNTIFS(INDEX(tItens[Edital],1):tItens[[#This Row],[Edital]],tItens[[#This Row],[Edital]],INDEX(tItens[Produto],1):tItens[[#This Row],[Produto]],tItens[[#This Row],[Produto]])=1,1,0)</f>
        <v>1</v>
      </c>
    </row>
    <row r="6097" spans="1:16" x14ac:dyDescent="0.25">
      <c r="A6097" t="s">
        <v>2146</v>
      </c>
      <c r="B6097">
        <v>249</v>
      </c>
      <c r="C6097" t="s">
        <v>8840</v>
      </c>
      <c r="D6097" t="s">
        <v>670</v>
      </c>
      <c r="E6097" s="13">
        <v>5</v>
      </c>
      <c r="F6097" s="12">
        <v>130.41</v>
      </c>
      <c r="G6097" t="str">
        <f>IFERROR(INDEX(tEditais[Órgão],MATCH(tItens[[#This Row],[Edital]],tEditais[Edital],0)),"")</f>
        <v>MUNICIPIO DE GENERAL CARNEIRO</v>
      </c>
      <c r="H6097" t="str">
        <f>IFERROR(INDEX(tEditais[UF],MATCH(tItens[[#This Row],[Edital]],tEditais[Edital],0)),"")</f>
        <v>PR</v>
      </c>
      <c r="I6097" s="11">
        <f>IFERROR(INDEX(tEditais[Encerramento],MATCH(tItens[[#This Row],[Edital]],tEditais[Edital],0)),"")</f>
        <v>46311.333333333336</v>
      </c>
      <c r="J6097" t="str">
        <f>IFERROR(INDEX(tProdutos[Classe],MATCH(tItens[[#This Row],[Produto]],tProdutos[Produto],0)),"produto não cadastrado")</f>
        <v>FILA REBASE</v>
      </c>
      <c r="K6097" s="12">
        <f>tItens[[#This Row],[Qtd]]*tItens[[#This Row],[Vlr unit]]</f>
        <v>652.04999999999995</v>
      </c>
      <c r="L6097" s="6">
        <f>IFERROR(IF(INDEX(tProdutos[Desconto homologado],MATCH(tItens[[#This Row],[Produto]],tProdutos[Produto],0))="",DescontoPadrao,INDEX(tProdutos[Desconto homologado],MATCH(tItens[[#This Row],[Produto]],tProdutos[Produto],0))),DescontoPadrao)</f>
        <v>0.53825503355704696</v>
      </c>
      <c r="M6097" s="12">
        <f>tItens[[#This Row],[Valor]]*(1-tItens[[#This Row],[Desconto]])</f>
        <v>301.08080536912752</v>
      </c>
      <c r="N6097" t="str">
        <f>IFERROR(INDEX(tProdutos[Foco],MATCH(tItens[[#This Row],[Produto]],tProdutos[Produto],0)),"Não")</f>
        <v>Não</v>
      </c>
      <c r="O6097" t="str">
        <f>IFERROR(INDEX(tEditais[SRP],MATCH(tItens[[#This Row],[Edital]],tEditais[Edital],0)),"Não")</f>
        <v>Sim</v>
      </c>
      <c r="P6097" s="4">
        <f>IF(COUNTIFS(INDEX(tItens[Edital],1):tItens[[#This Row],[Edital]],tItens[[#This Row],[Edital]],INDEX(tItens[Produto],1):tItens[[#This Row],[Produto]],tItens[[#This Row],[Produto]])=1,1,0)</f>
        <v>1</v>
      </c>
    </row>
    <row r="6098" spans="1:16" x14ac:dyDescent="0.25">
      <c r="A6098" t="s">
        <v>2146</v>
      </c>
      <c r="B6098">
        <v>250</v>
      </c>
      <c r="C6098" t="s">
        <v>8841</v>
      </c>
      <c r="D6098" t="s">
        <v>494</v>
      </c>
      <c r="E6098" s="13">
        <v>300</v>
      </c>
      <c r="F6098" s="12">
        <v>80.069999999999993</v>
      </c>
      <c r="G6098" t="str">
        <f>IFERROR(INDEX(tEditais[Órgão],MATCH(tItens[[#This Row],[Edital]],tEditais[Edital],0)),"")</f>
        <v>MUNICIPIO DE GENERAL CARNEIRO</v>
      </c>
      <c r="H6098" t="str">
        <f>IFERROR(INDEX(tEditais[UF],MATCH(tItens[[#This Row],[Edital]],tEditais[Edital],0)),"")</f>
        <v>PR</v>
      </c>
      <c r="I6098" s="11">
        <f>IFERROR(INDEX(tEditais[Encerramento],MATCH(tItens[[#This Row],[Edital]],tEditais[Edital],0)),"")</f>
        <v>46311.333333333336</v>
      </c>
      <c r="J6098" t="str">
        <f>IFERROR(INDEX(tProdutos[Classe],MATCH(tItens[[#This Row],[Produto]],tProdutos[Produto],0)),"produto não cadastrado")</f>
        <v>FILA REBASE</v>
      </c>
      <c r="K6098" s="12">
        <f>tItens[[#This Row],[Qtd]]*tItens[[#This Row],[Vlr unit]]</f>
        <v>24020.999999999996</v>
      </c>
      <c r="L6098" s="6">
        <f>IFERROR(IF(INDEX(tProdutos[Desconto homologado],MATCH(tItens[[#This Row],[Produto]],tProdutos[Produto],0))="",DescontoPadrao,INDEX(tProdutos[Desconto homologado],MATCH(tItens[[#This Row],[Produto]],tProdutos[Produto],0))),DescontoPadrao)</f>
        <v>0.253736324829619</v>
      </c>
      <c r="M6098" s="12">
        <f>tItens[[#This Row],[Valor]]*(1-tItens[[#This Row],[Desconto]])</f>
        <v>17925.999741267722</v>
      </c>
      <c r="N6098" t="str">
        <f>IFERROR(INDEX(tProdutos[Foco],MATCH(tItens[[#This Row],[Produto]],tProdutos[Produto],0)),"Não")</f>
        <v>Não</v>
      </c>
      <c r="O6098" t="str">
        <f>IFERROR(INDEX(tEditais[SRP],MATCH(tItens[[#This Row],[Edital]],tEditais[Edital],0)),"Não")</f>
        <v>Sim</v>
      </c>
      <c r="P6098" s="4">
        <f>IF(COUNTIFS(INDEX(tItens[Edital],1):tItens[[#This Row],[Edital]],tItens[[#This Row],[Edital]],INDEX(tItens[Produto],1):tItens[[#This Row],[Produto]],tItens[[#This Row],[Produto]])=1,1,0)</f>
        <v>1</v>
      </c>
    </row>
    <row r="6099" spans="1:16" x14ac:dyDescent="0.25">
      <c r="A6099" t="s">
        <v>2146</v>
      </c>
      <c r="B6099">
        <v>251</v>
      </c>
      <c r="C6099" t="s">
        <v>8842</v>
      </c>
      <c r="D6099" t="s">
        <v>494</v>
      </c>
      <c r="E6099" s="13">
        <v>300</v>
      </c>
      <c r="F6099" s="12">
        <v>147.13</v>
      </c>
      <c r="G6099" t="str">
        <f>IFERROR(INDEX(tEditais[Órgão],MATCH(tItens[[#This Row],[Edital]],tEditais[Edital],0)),"")</f>
        <v>MUNICIPIO DE GENERAL CARNEIRO</v>
      </c>
      <c r="H6099" t="str">
        <f>IFERROR(INDEX(tEditais[UF],MATCH(tItens[[#This Row],[Edital]],tEditais[Edital],0)),"")</f>
        <v>PR</v>
      </c>
      <c r="I6099" s="11">
        <f>IFERROR(INDEX(tEditais[Encerramento],MATCH(tItens[[#This Row],[Edital]],tEditais[Edital],0)),"")</f>
        <v>46311.333333333336</v>
      </c>
      <c r="J6099" t="str">
        <f>IFERROR(INDEX(tProdutos[Classe],MATCH(tItens[[#This Row],[Produto]],tProdutos[Produto],0)),"produto não cadastrado")</f>
        <v>FILA REBASE</v>
      </c>
      <c r="K6099" s="12">
        <f>tItens[[#This Row],[Qtd]]*tItens[[#This Row],[Vlr unit]]</f>
        <v>44139</v>
      </c>
      <c r="L6099" s="6">
        <f>IFERROR(IF(INDEX(tProdutos[Desconto homologado],MATCH(tItens[[#This Row],[Produto]],tProdutos[Produto],0))="",DescontoPadrao,INDEX(tProdutos[Desconto homologado],MATCH(tItens[[#This Row],[Produto]],tProdutos[Produto],0))),DescontoPadrao)</f>
        <v>0.253736324829619</v>
      </c>
      <c r="M6099" s="12">
        <f>tItens[[#This Row],[Valor]]*(1-tItens[[#This Row],[Desconto]])</f>
        <v>32939.332358345448</v>
      </c>
      <c r="N6099" t="str">
        <f>IFERROR(INDEX(tProdutos[Foco],MATCH(tItens[[#This Row],[Produto]],tProdutos[Produto],0)),"Não")</f>
        <v>Não</v>
      </c>
      <c r="O6099" t="str">
        <f>IFERROR(INDEX(tEditais[SRP],MATCH(tItens[[#This Row],[Edital]],tEditais[Edital],0)),"Não")</f>
        <v>Sim</v>
      </c>
      <c r="P6099" s="4">
        <f>IF(COUNTIFS(INDEX(tItens[Edital],1):tItens[[#This Row],[Edital]],tItens[[#This Row],[Edital]],INDEX(tItens[Produto],1):tItens[[#This Row],[Produto]],tItens[[#This Row],[Produto]])=1,1,0)</f>
        <v>0</v>
      </c>
    </row>
    <row r="6100" spans="1:16" x14ac:dyDescent="0.25">
      <c r="A6100" t="s">
        <v>2146</v>
      </c>
      <c r="B6100">
        <v>252</v>
      </c>
      <c r="C6100" t="s">
        <v>8843</v>
      </c>
      <c r="D6100" t="s">
        <v>494</v>
      </c>
      <c r="E6100" s="13">
        <v>300</v>
      </c>
      <c r="F6100" s="12">
        <v>245.7</v>
      </c>
      <c r="G6100" t="str">
        <f>IFERROR(INDEX(tEditais[Órgão],MATCH(tItens[[#This Row],[Edital]],tEditais[Edital],0)),"")</f>
        <v>MUNICIPIO DE GENERAL CARNEIRO</v>
      </c>
      <c r="H6100" t="str">
        <f>IFERROR(INDEX(tEditais[UF],MATCH(tItens[[#This Row],[Edital]],tEditais[Edital],0)),"")</f>
        <v>PR</v>
      </c>
      <c r="I6100" s="11">
        <f>IFERROR(INDEX(tEditais[Encerramento],MATCH(tItens[[#This Row],[Edital]],tEditais[Edital],0)),"")</f>
        <v>46311.333333333336</v>
      </c>
      <c r="J6100" t="str">
        <f>IFERROR(INDEX(tProdutos[Classe],MATCH(tItens[[#This Row],[Produto]],tProdutos[Produto],0)),"produto não cadastrado")</f>
        <v>FILA REBASE</v>
      </c>
      <c r="K6100" s="12">
        <f>tItens[[#This Row],[Qtd]]*tItens[[#This Row],[Vlr unit]]</f>
        <v>73710</v>
      </c>
      <c r="L6100" s="6">
        <f>IFERROR(IF(INDEX(tProdutos[Desconto homologado],MATCH(tItens[[#This Row],[Produto]],tProdutos[Produto],0))="",DescontoPadrao,INDEX(tProdutos[Desconto homologado],MATCH(tItens[[#This Row],[Produto]],tProdutos[Produto],0))),DescontoPadrao)</f>
        <v>0.253736324829619</v>
      </c>
      <c r="M6100" s="12">
        <f>tItens[[#This Row],[Valor]]*(1-tItens[[#This Row],[Desconto]])</f>
        <v>55007.09549680879</v>
      </c>
      <c r="N6100" t="str">
        <f>IFERROR(INDEX(tProdutos[Foco],MATCH(tItens[[#This Row],[Produto]],tProdutos[Produto],0)),"Não")</f>
        <v>Não</v>
      </c>
      <c r="O6100" t="str">
        <f>IFERROR(INDEX(tEditais[SRP],MATCH(tItens[[#This Row],[Edital]],tEditais[Edital],0)),"Não")</f>
        <v>Sim</v>
      </c>
      <c r="P6100" s="4">
        <f>IF(COUNTIFS(INDEX(tItens[Edital],1):tItens[[#This Row],[Edital]],tItens[[#This Row],[Edital]],INDEX(tItens[Produto],1):tItens[[#This Row],[Produto]],tItens[[#This Row],[Produto]])=1,1,0)</f>
        <v>0</v>
      </c>
    </row>
    <row r="6101" spans="1:16" x14ac:dyDescent="0.25">
      <c r="A6101" t="s">
        <v>2146</v>
      </c>
      <c r="B6101">
        <v>253</v>
      </c>
      <c r="C6101" t="s">
        <v>8844</v>
      </c>
      <c r="D6101" t="s">
        <v>494</v>
      </c>
      <c r="E6101" s="13">
        <v>400</v>
      </c>
      <c r="F6101" s="12">
        <v>72.47</v>
      </c>
      <c r="G6101" t="str">
        <f>IFERROR(INDEX(tEditais[Órgão],MATCH(tItens[[#This Row],[Edital]],tEditais[Edital],0)),"")</f>
        <v>MUNICIPIO DE GENERAL CARNEIRO</v>
      </c>
      <c r="H6101" t="str">
        <f>IFERROR(INDEX(tEditais[UF],MATCH(tItens[[#This Row],[Edital]],tEditais[Edital],0)),"")</f>
        <v>PR</v>
      </c>
      <c r="I6101" s="11">
        <f>IFERROR(INDEX(tEditais[Encerramento],MATCH(tItens[[#This Row],[Edital]],tEditais[Edital],0)),"")</f>
        <v>46311.333333333336</v>
      </c>
      <c r="J6101" t="str">
        <f>IFERROR(INDEX(tProdutos[Classe],MATCH(tItens[[#This Row],[Produto]],tProdutos[Produto],0)),"produto não cadastrado")</f>
        <v>FILA REBASE</v>
      </c>
      <c r="K6101" s="12">
        <f>tItens[[#This Row],[Qtd]]*tItens[[#This Row],[Vlr unit]]</f>
        <v>28988</v>
      </c>
      <c r="L6101" s="6">
        <f>IFERROR(IF(INDEX(tProdutos[Desconto homologado],MATCH(tItens[[#This Row],[Produto]],tProdutos[Produto],0))="",DescontoPadrao,INDEX(tProdutos[Desconto homologado],MATCH(tItens[[#This Row],[Produto]],tProdutos[Produto],0))),DescontoPadrao)</f>
        <v>0.253736324829619</v>
      </c>
      <c r="M6101" s="12">
        <f>tItens[[#This Row],[Valor]]*(1-tItens[[#This Row],[Desconto]])</f>
        <v>21632.691415839006</v>
      </c>
      <c r="N6101" t="str">
        <f>IFERROR(INDEX(tProdutos[Foco],MATCH(tItens[[#This Row],[Produto]],tProdutos[Produto],0)),"Não")</f>
        <v>Não</v>
      </c>
      <c r="O6101" t="str">
        <f>IFERROR(INDEX(tEditais[SRP],MATCH(tItens[[#This Row],[Edital]],tEditais[Edital],0)),"Não")</f>
        <v>Sim</v>
      </c>
      <c r="P6101" s="4">
        <f>IF(COUNTIFS(INDEX(tItens[Edital],1):tItens[[#This Row],[Edital]],tItens[[#This Row],[Edital]],INDEX(tItens[Produto],1):tItens[[#This Row],[Produto]],tItens[[#This Row],[Produto]])=1,1,0)</f>
        <v>0</v>
      </c>
    </row>
    <row r="6102" spans="1:16" x14ac:dyDescent="0.25">
      <c r="A6102" t="s">
        <v>2146</v>
      </c>
      <c r="B6102">
        <v>254</v>
      </c>
      <c r="C6102" t="s">
        <v>8845</v>
      </c>
      <c r="D6102" t="s">
        <v>494</v>
      </c>
      <c r="E6102" s="13">
        <v>400</v>
      </c>
      <c r="F6102" s="12">
        <v>116.09</v>
      </c>
      <c r="G6102" t="str">
        <f>IFERROR(INDEX(tEditais[Órgão],MATCH(tItens[[#This Row],[Edital]],tEditais[Edital],0)),"")</f>
        <v>MUNICIPIO DE GENERAL CARNEIRO</v>
      </c>
      <c r="H6102" t="str">
        <f>IFERROR(INDEX(tEditais[UF],MATCH(tItens[[#This Row],[Edital]],tEditais[Edital],0)),"")</f>
        <v>PR</v>
      </c>
      <c r="I6102" s="11">
        <f>IFERROR(INDEX(tEditais[Encerramento],MATCH(tItens[[#This Row],[Edital]],tEditais[Edital],0)),"")</f>
        <v>46311.333333333336</v>
      </c>
      <c r="J6102" t="str">
        <f>IFERROR(INDEX(tProdutos[Classe],MATCH(tItens[[#This Row],[Produto]],tProdutos[Produto],0)),"produto não cadastrado")</f>
        <v>FILA REBASE</v>
      </c>
      <c r="K6102" s="12">
        <f>tItens[[#This Row],[Qtd]]*tItens[[#This Row],[Vlr unit]]</f>
        <v>46436</v>
      </c>
      <c r="L6102" s="6">
        <f>IFERROR(IF(INDEX(tProdutos[Desconto homologado],MATCH(tItens[[#This Row],[Produto]],tProdutos[Produto],0))="",DescontoPadrao,INDEX(tProdutos[Desconto homologado],MATCH(tItens[[#This Row],[Produto]],tProdutos[Produto],0))),DescontoPadrao)</f>
        <v>0.253736324829619</v>
      </c>
      <c r="M6102" s="12">
        <f>tItens[[#This Row],[Valor]]*(1-tItens[[#This Row],[Desconto]])</f>
        <v>34653.500020211817</v>
      </c>
      <c r="N6102" t="str">
        <f>IFERROR(INDEX(tProdutos[Foco],MATCH(tItens[[#This Row],[Produto]],tProdutos[Produto],0)),"Não")</f>
        <v>Não</v>
      </c>
      <c r="O6102" t="str">
        <f>IFERROR(INDEX(tEditais[SRP],MATCH(tItens[[#This Row],[Edital]],tEditais[Edital],0)),"Não")</f>
        <v>Sim</v>
      </c>
      <c r="P6102" s="4">
        <f>IF(COUNTIFS(INDEX(tItens[Edital],1):tItens[[#This Row],[Edital]],tItens[[#This Row],[Edital]],INDEX(tItens[Produto],1):tItens[[#This Row],[Produto]],tItens[[#This Row],[Produto]])=1,1,0)</f>
        <v>0</v>
      </c>
    </row>
    <row r="6103" spans="1:16" x14ac:dyDescent="0.25">
      <c r="A6103" t="s">
        <v>2146</v>
      </c>
      <c r="B6103">
        <v>294</v>
      </c>
      <c r="C6103" t="s">
        <v>8846</v>
      </c>
      <c r="D6103" t="s">
        <v>275</v>
      </c>
      <c r="E6103" s="13">
        <v>500</v>
      </c>
      <c r="F6103" s="12">
        <v>1.38</v>
      </c>
      <c r="G6103" t="str">
        <f>IFERROR(INDEX(tEditais[Órgão],MATCH(tItens[[#This Row],[Edital]],tEditais[Edital],0)),"")</f>
        <v>MUNICIPIO DE GENERAL CARNEIRO</v>
      </c>
      <c r="H6103" t="str">
        <f>IFERROR(INDEX(tEditais[UF],MATCH(tItens[[#This Row],[Edital]],tEditais[Edital],0)),"")</f>
        <v>PR</v>
      </c>
      <c r="I6103" s="11">
        <f>IFERROR(INDEX(tEditais[Encerramento],MATCH(tItens[[#This Row],[Edital]],tEditais[Edital],0)),"")</f>
        <v>46311.333333333336</v>
      </c>
      <c r="J6103" t="str">
        <f>IFERROR(INDEX(tProdutos[Classe],MATCH(tItens[[#This Row],[Produto]],tProdutos[Produto],0)),"produto não cadastrado")</f>
        <v>FORA</v>
      </c>
      <c r="K6103" s="12">
        <f>tItens[[#This Row],[Qtd]]*tItens[[#This Row],[Vlr unit]]</f>
        <v>690</v>
      </c>
      <c r="L6103" s="6">
        <f>IFERROR(IF(INDEX(tProdutos[Desconto homologado],MATCH(tItens[[#This Row],[Produto]],tProdutos[Produto],0))="",DescontoPadrao,INDEX(tProdutos[Desconto homologado],MATCH(tItens[[#This Row],[Produto]],tProdutos[Produto],0))),DescontoPadrao)</f>
        <v>0.405797101449275</v>
      </c>
      <c r="M6103" s="12">
        <f>tItens[[#This Row],[Valor]]*(1-tItens[[#This Row],[Desconto]])</f>
        <v>410.00000000000028</v>
      </c>
      <c r="N6103" t="str">
        <f>IFERROR(INDEX(tProdutos[Foco],MATCH(tItens[[#This Row],[Produto]],tProdutos[Produto],0)),"Não")</f>
        <v>Não</v>
      </c>
      <c r="O6103" t="str">
        <f>IFERROR(INDEX(tEditais[SRP],MATCH(tItens[[#This Row],[Edital]],tEditais[Edital],0)),"Não")</f>
        <v>Sim</v>
      </c>
      <c r="P6103" s="4">
        <f>IF(COUNTIFS(INDEX(tItens[Edital],1):tItens[[#This Row],[Edital]],tItens[[#This Row],[Edital]],INDEX(tItens[Produto],1):tItens[[#This Row],[Produto]],tItens[[#This Row],[Produto]])=1,1,0)</f>
        <v>1</v>
      </c>
    </row>
    <row r="6104" spans="1:16" x14ac:dyDescent="0.25">
      <c r="A6104" t="s">
        <v>2146</v>
      </c>
      <c r="B6104">
        <v>295</v>
      </c>
      <c r="C6104" t="s">
        <v>8847</v>
      </c>
      <c r="D6104" t="s">
        <v>275</v>
      </c>
      <c r="E6104" s="13">
        <v>1000</v>
      </c>
      <c r="F6104" s="12">
        <v>0.37</v>
      </c>
      <c r="G6104" t="str">
        <f>IFERROR(INDEX(tEditais[Órgão],MATCH(tItens[[#This Row],[Edital]],tEditais[Edital],0)),"")</f>
        <v>MUNICIPIO DE GENERAL CARNEIRO</v>
      </c>
      <c r="H6104" t="str">
        <f>IFERROR(INDEX(tEditais[UF],MATCH(tItens[[#This Row],[Edital]],tEditais[Edital],0)),"")</f>
        <v>PR</v>
      </c>
      <c r="I6104" s="11">
        <f>IFERROR(INDEX(tEditais[Encerramento],MATCH(tItens[[#This Row],[Edital]],tEditais[Edital],0)),"")</f>
        <v>46311.333333333336</v>
      </c>
      <c r="J6104" t="str">
        <f>IFERROR(INDEX(tProdutos[Classe],MATCH(tItens[[#This Row],[Produto]],tProdutos[Produto],0)),"produto não cadastrado")</f>
        <v>FORA</v>
      </c>
      <c r="K6104" s="12">
        <f>tItens[[#This Row],[Qtd]]*tItens[[#This Row],[Vlr unit]]</f>
        <v>370</v>
      </c>
      <c r="L6104" s="6">
        <f>IFERROR(IF(INDEX(tProdutos[Desconto homologado],MATCH(tItens[[#This Row],[Produto]],tProdutos[Produto],0))="",DescontoPadrao,INDEX(tProdutos[Desconto homologado],MATCH(tItens[[#This Row],[Produto]],tProdutos[Produto],0))),DescontoPadrao)</f>
        <v>0.405797101449275</v>
      </c>
      <c r="M6104" s="12">
        <f>tItens[[#This Row],[Valor]]*(1-tItens[[#This Row],[Desconto]])</f>
        <v>219.85507246376827</v>
      </c>
      <c r="N6104" t="str">
        <f>IFERROR(INDEX(tProdutos[Foco],MATCH(tItens[[#This Row],[Produto]],tProdutos[Produto],0)),"Não")</f>
        <v>Não</v>
      </c>
      <c r="O6104" t="str">
        <f>IFERROR(INDEX(tEditais[SRP],MATCH(tItens[[#This Row],[Edital]],tEditais[Edital],0)),"Não")</f>
        <v>Sim</v>
      </c>
      <c r="P6104" s="4">
        <f>IF(COUNTIFS(INDEX(tItens[Edital],1):tItens[[#This Row],[Edital]],tItens[[#This Row],[Edital]],INDEX(tItens[Produto],1):tItens[[#This Row],[Produto]],tItens[[#This Row],[Produto]])=1,1,0)</f>
        <v>0</v>
      </c>
    </row>
    <row r="6105" spans="1:16" x14ac:dyDescent="0.25">
      <c r="A6105" t="s">
        <v>2146</v>
      </c>
      <c r="B6105">
        <v>296</v>
      </c>
      <c r="C6105" t="s">
        <v>8848</v>
      </c>
      <c r="D6105" t="s">
        <v>281</v>
      </c>
      <c r="E6105" s="13">
        <v>30000</v>
      </c>
      <c r="F6105" s="12">
        <v>0.83</v>
      </c>
      <c r="G6105" t="str">
        <f>IFERROR(INDEX(tEditais[Órgão],MATCH(tItens[[#This Row],[Edital]],tEditais[Edital],0)),"")</f>
        <v>MUNICIPIO DE GENERAL CARNEIRO</v>
      </c>
      <c r="H6105" t="str">
        <f>IFERROR(INDEX(tEditais[UF],MATCH(tItens[[#This Row],[Edital]],tEditais[Edital],0)),"")</f>
        <v>PR</v>
      </c>
      <c r="I6105" s="11">
        <f>IFERROR(INDEX(tEditais[Encerramento],MATCH(tItens[[#This Row],[Edital]],tEditais[Edital],0)),"")</f>
        <v>46311.333333333336</v>
      </c>
      <c r="J6105" t="str">
        <f>IFERROR(INDEX(tProdutos[Classe],MATCH(tItens[[#This Row],[Produto]],tProdutos[Produto],0)),"produto não cadastrado")</f>
        <v>DISPUTADO</v>
      </c>
      <c r="K6105" s="12">
        <f>tItens[[#This Row],[Qtd]]*tItens[[#This Row],[Vlr unit]]</f>
        <v>24900</v>
      </c>
      <c r="L6105" s="6">
        <f>IFERROR(IF(INDEX(tProdutos[Desconto homologado],MATCH(tItens[[#This Row],[Produto]],tProdutos[Produto],0))="",DescontoPadrao,INDEX(tProdutos[Desconto homologado],MATCH(tItens[[#This Row],[Produto]],tProdutos[Produto],0))),DescontoPadrao)</f>
        <v>0.42461538461538501</v>
      </c>
      <c r="M6105" s="12">
        <f>tItens[[#This Row],[Valor]]*(1-tItens[[#This Row],[Desconto]])</f>
        <v>14327.076923076913</v>
      </c>
      <c r="N6105" t="str">
        <f>IFERROR(INDEX(tProdutos[Foco],MATCH(tItens[[#This Row],[Produto]],tProdutos[Produto],0)),"Não")</f>
        <v>Não</v>
      </c>
      <c r="O6105" t="str">
        <f>IFERROR(INDEX(tEditais[SRP],MATCH(tItens[[#This Row],[Edital]],tEditais[Edital],0)),"Não")</f>
        <v>Sim</v>
      </c>
      <c r="P6105" s="4">
        <f>IF(COUNTIFS(INDEX(tItens[Edital],1):tItens[[#This Row],[Edital]],tItens[[#This Row],[Edital]],INDEX(tItens[Produto],1):tItens[[#This Row],[Produto]],tItens[[#This Row],[Produto]])=1,1,0)</f>
        <v>1</v>
      </c>
    </row>
    <row r="6106" spans="1:16" x14ac:dyDescent="0.25">
      <c r="A6106" t="s">
        <v>2146</v>
      </c>
      <c r="B6106">
        <v>297</v>
      </c>
      <c r="C6106" t="s">
        <v>8849</v>
      </c>
      <c r="D6106" t="s">
        <v>289</v>
      </c>
      <c r="E6106" s="13">
        <v>30000</v>
      </c>
      <c r="F6106" s="12">
        <v>0.96</v>
      </c>
      <c r="G6106" t="str">
        <f>IFERROR(INDEX(tEditais[Órgão],MATCH(tItens[[#This Row],[Edital]],tEditais[Edital],0)),"")</f>
        <v>MUNICIPIO DE GENERAL CARNEIRO</v>
      </c>
      <c r="H6106" t="str">
        <f>IFERROR(INDEX(tEditais[UF],MATCH(tItens[[#This Row],[Edital]],tEditais[Edital],0)),"")</f>
        <v>PR</v>
      </c>
      <c r="I6106" s="11">
        <f>IFERROR(INDEX(tEditais[Encerramento],MATCH(tItens[[#This Row],[Edital]],tEditais[Edital],0)),"")</f>
        <v>46311.333333333336</v>
      </c>
      <c r="J6106" t="str">
        <f>IFERROR(INDEX(tProdutos[Classe],MATCH(tItens[[#This Row],[Produto]],tProdutos[Produto],0)),"produto não cadastrado")</f>
        <v>DISPUTADO</v>
      </c>
      <c r="K6106" s="12">
        <f>tItens[[#This Row],[Qtd]]*tItens[[#This Row],[Vlr unit]]</f>
        <v>28800</v>
      </c>
      <c r="L6106" s="6">
        <f>IFERROR(IF(INDEX(tProdutos[Desconto homologado],MATCH(tItens[[#This Row],[Produto]],tProdutos[Produto],0))="",DescontoPadrao,INDEX(tProdutos[Desconto homologado],MATCH(tItens[[#This Row],[Produto]],tProdutos[Produto],0))),DescontoPadrao)</f>
        <v>0.35849056603773599</v>
      </c>
      <c r="M6106" s="12">
        <f>tItens[[#This Row],[Valor]]*(1-tItens[[#This Row],[Desconto]])</f>
        <v>18475.471698113204</v>
      </c>
      <c r="N6106" t="str">
        <f>IFERROR(INDEX(tProdutos[Foco],MATCH(tItens[[#This Row],[Produto]],tProdutos[Produto],0)),"Não")</f>
        <v>Não</v>
      </c>
      <c r="O6106" t="str">
        <f>IFERROR(INDEX(tEditais[SRP],MATCH(tItens[[#This Row],[Edital]],tEditais[Edital],0)),"Não")</f>
        <v>Sim</v>
      </c>
      <c r="P6106" s="4">
        <f>IF(COUNTIFS(INDEX(tItens[Edital],1):tItens[[#This Row],[Edital]],tItens[[#This Row],[Edital]],INDEX(tItens[Produto],1):tItens[[#This Row],[Produto]],tItens[[#This Row],[Produto]])=1,1,0)</f>
        <v>1</v>
      </c>
    </row>
    <row r="6107" spans="1:16" x14ac:dyDescent="0.25">
      <c r="A6107" t="s">
        <v>2146</v>
      </c>
      <c r="B6107">
        <v>298</v>
      </c>
      <c r="C6107" t="s">
        <v>8850</v>
      </c>
      <c r="D6107" t="s">
        <v>283</v>
      </c>
      <c r="E6107" s="13">
        <v>30000</v>
      </c>
      <c r="F6107" s="12">
        <v>0.38</v>
      </c>
      <c r="G6107" t="str">
        <f>IFERROR(INDEX(tEditais[Órgão],MATCH(tItens[[#This Row],[Edital]],tEditais[Edital],0)),"")</f>
        <v>MUNICIPIO DE GENERAL CARNEIRO</v>
      </c>
      <c r="H6107" t="str">
        <f>IFERROR(INDEX(tEditais[UF],MATCH(tItens[[#This Row],[Edital]],tEditais[Edital],0)),"")</f>
        <v>PR</v>
      </c>
      <c r="I6107" s="11">
        <f>IFERROR(INDEX(tEditais[Encerramento],MATCH(tItens[[#This Row],[Edital]],tEditais[Edital],0)),"")</f>
        <v>46311.333333333336</v>
      </c>
      <c r="J6107" t="str">
        <f>IFERROR(INDEX(tProdutos[Classe],MATCH(tItens[[#This Row],[Produto]],tProdutos[Produto],0)),"produto não cadastrado")</f>
        <v>FORA</v>
      </c>
      <c r="K6107" s="12">
        <f>tItens[[#This Row],[Qtd]]*tItens[[#This Row],[Vlr unit]]</f>
        <v>11400</v>
      </c>
      <c r="L6107" s="6">
        <f>IFERROR(IF(INDEX(tProdutos[Desconto homologado],MATCH(tItens[[#This Row],[Produto]],tProdutos[Produto],0))="",DescontoPadrao,INDEX(tProdutos[Desconto homologado],MATCH(tItens[[#This Row],[Produto]],tProdutos[Produto],0))),DescontoPadrao)</f>
        <v>0.40540540540540498</v>
      </c>
      <c r="M6107" s="12">
        <f>tItens[[#This Row],[Valor]]*(1-tItens[[#This Row],[Desconto]])</f>
        <v>6778.3783783783829</v>
      </c>
      <c r="N6107" t="str">
        <f>IFERROR(INDEX(tProdutos[Foco],MATCH(tItens[[#This Row],[Produto]],tProdutos[Produto],0)),"Não")</f>
        <v>Não</v>
      </c>
      <c r="O6107" t="str">
        <f>IFERROR(INDEX(tEditais[SRP],MATCH(tItens[[#This Row],[Edital]],tEditais[Edital],0)),"Não")</f>
        <v>Sim</v>
      </c>
      <c r="P6107" s="4">
        <f>IF(COUNTIFS(INDEX(tItens[Edital],1):tItens[[#This Row],[Edital]],tItens[[#This Row],[Edital]],INDEX(tItens[Produto],1):tItens[[#This Row],[Produto]],tItens[[#This Row],[Produto]])=1,1,0)</f>
        <v>1</v>
      </c>
    </row>
    <row r="6108" spans="1:16" x14ac:dyDescent="0.25">
      <c r="A6108" t="s">
        <v>2146</v>
      </c>
      <c r="B6108">
        <v>299</v>
      </c>
      <c r="C6108" t="s">
        <v>8851</v>
      </c>
      <c r="D6108" t="s">
        <v>265</v>
      </c>
      <c r="E6108" s="13">
        <v>30000</v>
      </c>
      <c r="F6108" s="12">
        <v>0.43</v>
      </c>
      <c r="G6108" t="str">
        <f>IFERROR(INDEX(tEditais[Órgão],MATCH(tItens[[#This Row],[Edital]],tEditais[Edital],0)),"")</f>
        <v>MUNICIPIO DE GENERAL CARNEIRO</v>
      </c>
      <c r="H6108" t="str">
        <f>IFERROR(INDEX(tEditais[UF],MATCH(tItens[[#This Row],[Edital]],tEditais[Edital],0)),"")</f>
        <v>PR</v>
      </c>
      <c r="I6108" s="11">
        <f>IFERROR(INDEX(tEditais[Encerramento],MATCH(tItens[[#This Row],[Edital]],tEditais[Edital],0)),"")</f>
        <v>46311.333333333336</v>
      </c>
      <c r="J6108" t="str">
        <f>IFERROR(INDEX(tProdutos[Classe],MATCH(tItens[[#This Row],[Produto]],tProdutos[Produto],0)),"produto não cadastrado")</f>
        <v>DISPUTADO</v>
      </c>
      <c r="K6108" s="12">
        <f>tItens[[#This Row],[Qtd]]*tItens[[#This Row],[Vlr unit]]</f>
        <v>12900</v>
      </c>
      <c r="L6108" s="6">
        <f>IFERROR(IF(INDEX(tProdutos[Desconto homologado],MATCH(tItens[[#This Row],[Produto]],tProdutos[Produto],0))="",DescontoPadrao,INDEX(tProdutos[Desconto homologado],MATCH(tItens[[#This Row],[Produto]],tProdutos[Produto],0))),DescontoPadrao)</f>
        <v>0.377587663709337</v>
      </c>
      <c r="M6108" s="12">
        <f>tItens[[#This Row],[Valor]]*(1-tItens[[#This Row],[Desconto]])</f>
        <v>8029.1191381495537</v>
      </c>
      <c r="N6108" t="str">
        <f>IFERROR(INDEX(tProdutos[Foco],MATCH(tItens[[#This Row],[Produto]],tProdutos[Produto],0)),"Não")</f>
        <v>Não</v>
      </c>
      <c r="O6108" t="str">
        <f>IFERROR(INDEX(tEditais[SRP],MATCH(tItens[[#This Row],[Edital]],tEditais[Edital],0)),"Não")</f>
        <v>Sim</v>
      </c>
      <c r="P6108" s="4">
        <f>IF(COUNTIFS(INDEX(tItens[Edital],1):tItens[[#This Row],[Edital]],tItens[[#This Row],[Edital]],INDEX(tItens[Produto],1):tItens[[#This Row],[Produto]],tItens[[#This Row],[Produto]])=1,1,0)</f>
        <v>1</v>
      </c>
    </row>
    <row r="6109" spans="1:16" x14ac:dyDescent="0.25">
      <c r="A6109" t="s">
        <v>2146</v>
      </c>
      <c r="B6109">
        <v>300</v>
      </c>
      <c r="C6109" t="s">
        <v>8852</v>
      </c>
      <c r="D6109" t="s">
        <v>94</v>
      </c>
      <c r="E6109" s="13">
        <v>20</v>
      </c>
      <c r="F6109" s="12">
        <v>4.21</v>
      </c>
      <c r="G6109" t="str">
        <f>IFERROR(INDEX(tEditais[Órgão],MATCH(tItens[[#This Row],[Edital]],tEditais[Edital],0)),"")</f>
        <v>MUNICIPIO DE GENERAL CARNEIRO</v>
      </c>
      <c r="H6109" t="str">
        <f>IFERROR(INDEX(tEditais[UF],MATCH(tItens[[#This Row],[Edital]],tEditais[Edital],0)),"")</f>
        <v>PR</v>
      </c>
      <c r="I6109" s="11">
        <f>IFERROR(INDEX(tEditais[Encerramento],MATCH(tItens[[#This Row],[Edital]],tEditais[Edital],0)),"")</f>
        <v>46311.333333333336</v>
      </c>
      <c r="J6109" t="str">
        <f>IFERROR(INDEX(tProdutos[Classe],MATCH(tItens[[#This Row],[Produto]],tProdutos[Produto],0)),"produto não cadastrado")</f>
        <v>NÚCLEO</v>
      </c>
      <c r="K6109" s="12">
        <f>tItens[[#This Row],[Qtd]]*tItens[[#This Row],[Vlr unit]]</f>
        <v>84.2</v>
      </c>
      <c r="L6109" s="6">
        <f>IFERROR(IF(INDEX(tProdutos[Desconto homologado],MATCH(tItens[[#This Row],[Produto]],tProdutos[Produto],0))="",DescontoPadrao,INDEX(tProdutos[Desconto homologado],MATCH(tItens[[#This Row],[Produto]],tProdutos[Produto],0))),DescontoPadrao)</f>
        <v>0.21</v>
      </c>
      <c r="M6109" s="12">
        <f>tItens[[#This Row],[Valor]]*(1-tItens[[#This Row],[Desconto]])</f>
        <v>66.518000000000001</v>
      </c>
      <c r="N6109" t="str">
        <f>IFERROR(INDEX(tProdutos[Foco],MATCH(tItens[[#This Row],[Produto]],tProdutos[Produto],0)),"Não")</f>
        <v>Sim</v>
      </c>
      <c r="O6109" t="str">
        <f>IFERROR(INDEX(tEditais[SRP],MATCH(tItens[[#This Row],[Edital]],tEditais[Edital],0)),"Não")</f>
        <v>Sim</v>
      </c>
      <c r="P6109" s="4">
        <f>IF(COUNTIFS(INDEX(tItens[Edital],1):tItens[[#This Row],[Edital]],tItens[[#This Row],[Edital]],INDEX(tItens[Produto],1):tItens[[#This Row],[Produto]],tItens[[#This Row],[Produto]])=1,1,0)</f>
        <v>1</v>
      </c>
    </row>
    <row r="6110" spans="1:16" x14ac:dyDescent="0.25">
      <c r="A6110" t="s">
        <v>2146</v>
      </c>
      <c r="B6110">
        <v>315</v>
      </c>
      <c r="C6110" t="s">
        <v>8853</v>
      </c>
      <c r="D6110" t="s">
        <v>253</v>
      </c>
      <c r="E6110" s="13">
        <v>100</v>
      </c>
      <c r="F6110" s="12">
        <v>4.68</v>
      </c>
      <c r="G6110" t="str">
        <f>IFERROR(INDEX(tEditais[Órgão],MATCH(tItens[[#This Row],[Edital]],tEditais[Edital],0)),"")</f>
        <v>MUNICIPIO DE GENERAL CARNEIRO</v>
      </c>
      <c r="H6110" t="str">
        <f>IFERROR(INDEX(tEditais[UF],MATCH(tItens[[#This Row],[Edital]],tEditais[Edital],0)),"")</f>
        <v>PR</v>
      </c>
      <c r="I6110" s="11">
        <f>IFERROR(INDEX(tEditais[Encerramento],MATCH(tItens[[#This Row],[Edital]],tEditais[Edital],0)),"")</f>
        <v>46311.333333333336</v>
      </c>
      <c r="J6110" t="str">
        <f>IFERROR(INDEX(tProdutos[Classe],MATCH(tItens[[#This Row],[Produto]],tProdutos[Produto],0)),"produto não cadastrado")</f>
        <v>FORA</v>
      </c>
      <c r="K6110" s="12">
        <f>tItens[[#This Row],[Qtd]]*tItens[[#This Row],[Vlr unit]]</f>
        <v>468</v>
      </c>
      <c r="L6110" s="6">
        <f>IFERROR(IF(INDEX(tProdutos[Desconto homologado],MATCH(tItens[[#This Row],[Produto]],tProdutos[Produto],0))="",DescontoPadrao,INDEX(tProdutos[Desconto homologado],MATCH(tItens[[#This Row],[Produto]],tProdutos[Produto],0))),DescontoPadrao)</f>
        <v>0.31735159817351599</v>
      </c>
      <c r="M6110" s="12">
        <f>tItens[[#This Row],[Valor]]*(1-tItens[[#This Row],[Desconto]])</f>
        <v>319.47945205479454</v>
      </c>
      <c r="N6110" t="str">
        <f>IFERROR(INDEX(tProdutos[Foco],MATCH(tItens[[#This Row],[Produto]],tProdutos[Produto],0)),"Não")</f>
        <v>Não</v>
      </c>
      <c r="O6110" t="str">
        <f>IFERROR(INDEX(tEditais[SRP],MATCH(tItens[[#This Row],[Edital]],tEditais[Edital],0)),"Não")</f>
        <v>Sim</v>
      </c>
      <c r="P6110" s="4">
        <f>IF(COUNTIFS(INDEX(tItens[Edital],1):tItens[[#This Row],[Edital]],tItens[[#This Row],[Edital]],INDEX(tItens[Produto],1):tItens[[#This Row],[Produto]],tItens[[#This Row],[Produto]])=1,1,0)</f>
        <v>1</v>
      </c>
    </row>
    <row r="6111" spans="1:16" x14ac:dyDescent="0.25">
      <c r="A6111" t="s">
        <v>2146</v>
      </c>
      <c r="B6111">
        <v>316</v>
      </c>
      <c r="C6111" t="s">
        <v>8854</v>
      </c>
      <c r="D6111" t="s">
        <v>253</v>
      </c>
      <c r="E6111" s="13">
        <v>100</v>
      </c>
      <c r="F6111" s="12">
        <v>3.78</v>
      </c>
      <c r="G6111" t="str">
        <f>IFERROR(INDEX(tEditais[Órgão],MATCH(tItens[[#This Row],[Edital]],tEditais[Edital],0)),"")</f>
        <v>MUNICIPIO DE GENERAL CARNEIRO</v>
      </c>
      <c r="H6111" t="str">
        <f>IFERROR(INDEX(tEditais[UF],MATCH(tItens[[#This Row],[Edital]],tEditais[Edital],0)),"")</f>
        <v>PR</v>
      </c>
      <c r="I6111" s="11">
        <f>IFERROR(INDEX(tEditais[Encerramento],MATCH(tItens[[#This Row],[Edital]],tEditais[Edital],0)),"")</f>
        <v>46311.333333333336</v>
      </c>
      <c r="J6111" t="str">
        <f>IFERROR(INDEX(tProdutos[Classe],MATCH(tItens[[#This Row],[Produto]],tProdutos[Produto],0)),"produto não cadastrado")</f>
        <v>FORA</v>
      </c>
      <c r="K6111" s="12">
        <f>tItens[[#This Row],[Qtd]]*tItens[[#This Row],[Vlr unit]]</f>
        <v>378</v>
      </c>
      <c r="L6111" s="6">
        <f>IFERROR(IF(INDEX(tProdutos[Desconto homologado],MATCH(tItens[[#This Row],[Produto]],tProdutos[Produto],0))="",DescontoPadrao,INDEX(tProdutos[Desconto homologado],MATCH(tItens[[#This Row],[Produto]],tProdutos[Produto],0))),DescontoPadrao)</f>
        <v>0.31735159817351599</v>
      </c>
      <c r="M6111" s="12">
        <f>tItens[[#This Row],[Valor]]*(1-tItens[[#This Row],[Desconto]])</f>
        <v>258.04109589041093</v>
      </c>
      <c r="N6111" t="str">
        <f>IFERROR(INDEX(tProdutos[Foco],MATCH(tItens[[#This Row],[Produto]],tProdutos[Produto],0)),"Não")</f>
        <v>Não</v>
      </c>
      <c r="O6111" t="str">
        <f>IFERROR(INDEX(tEditais[SRP],MATCH(tItens[[#This Row],[Edital]],tEditais[Edital],0)),"Não")</f>
        <v>Sim</v>
      </c>
      <c r="P6111" s="4">
        <f>IF(COUNTIFS(INDEX(tItens[Edital],1):tItens[[#This Row],[Edital]],tItens[[#This Row],[Edital]],INDEX(tItens[Produto],1):tItens[[#This Row],[Produto]],tItens[[#This Row],[Produto]])=1,1,0)</f>
        <v>0</v>
      </c>
    </row>
    <row r="6112" spans="1:16" x14ac:dyDescent="0.25">
      <c r="A6112" t="s">
        <v>2146</v>
      </c>
      <c r="B6112">
        <v>317</v>
      </c>
      <c r="C6112" t="s">
        <v>8855</v>
      </c>
      <c r="D6112" t="s">
        <v>253</v>
      </c>
      <c r="E6112" s="13">
        <v>100</v>
      </c>
      <c r="F6112" s="12">
        <v>5.01</v>
      </c>
      <c r="G6112" t="str">
        <f>IFERROR(INDEX(tEditais[Órgão],MATCH(tItens[[#This Row],[Edital]],tEditais[Edital],0)),"")</f>
        <v>MUNICIPIO DE GENERAL CARNEIRO</v>
      </c>
      <c r="H6112" t="str">
        <f>IFERROR(INDEX(tEditais[UF],MATCH(tItens[[#This Row],[Edital]],tEditais[Edital],0)),"")</f>
        <v>PR</v>
      </c>
      <c r="I6112" s="11">
        <f>IFERROR(INDEX(tEditais[Encerramento],MATCH(tItens[[#This Row],[Edital]],tEditais[Edital],0)),"")</f>
        <v>46311.333333333336</v>
      </c>
      <c r="J6112" t="str">
        <f>IFERROR(INDEX(tProdutos[Classe],MATCH(tItens[[#This Row],[Produto]],tProdutos[Produto],0)),"produto não cadastrado")</f>
        <v>FORA</v>
      </c>
      <c r="K6112" s="12">
        <f>tItens[[#This Row],[Qtd]]*tItens[[#This Row],[Vlr unit]]</f>
        <v>501</v>
      </c>
      <c r="L6112" s="6">
        <f>IFERROR(IF(INDEX(tProdutos[Desconto homologado],MATCH(tItens[[#This Row],[Produto]],tProdutos[Produto],0))="",DescontoPadrao,INDEX(tProdutos[Desconto homologado],MATCH(tItens[[#This Row],[Produto]],tProdutos[Produto],0))),DescontoPadrao)</f>
        <v>0.31735159817351599</v>
      </c>
      <c r="M6112" s="12">
        <f>tItens[[#This Row],[Valor]]*(1-tItens[[#This Row],[Desconto]])</f>
        <v>342.00684931506851</v>
      </c>
      <c r="N6112" t="str">
        <f>IFERROR(INDEX(tProdutos[Foco],MATCH(tItens[[#This Row],[Produto]],tProdutos[Produto],0)),"Não")</f>
        <v>Não</v>
      </c>
      <c r="O6112" t="str">
        <f>IFERROR(INDEX(tEditais[SRP],MATCH(tItens[[#This Row],[Edital]],tEditais[Edital],0)),"Não")</f>
        <v>Sim</v>
      </c>
      <c r="P6112" s="4">
        <f>IF(COUNTIFS(INDEX(tItens[Edital],1):tItens[[#This Row],[Edital]],tItens[[#This Row],[Edital]],INDEX(tItens[Produto],1):tItens[[#This Row],[Produto]],tItens[[#This Row],[Produto]])=1,1,0)</f>
        <v>0</v>
      </c>
    </row>
    <row r="6113" spans="1:16" x14ac:dyDescent="0.25">
      <c r="A6113" t="s">
        <v>2146</v>
      </c>
      <c r="B6113">
        <v>318</v>
      </c>
      <c r="C6113" t="s">
        <v>8856</v>
      </c>
      <c r="D6113" t="s">
        <v>253</v>
      </c>
      <c r="E6113" s="13">
        <v>100</v>
      </c>
      <c r="F6113" s="12">
        <v>3.98</v>
      </c>
      <c r="G6113" t="str">
        <f>IFERROR(INDEX(tEditais[Órgão],MATCH(tItens[[#This Row],[Edital]],tEditais[Edital],0)),"")</f>
        <v>MUNICIPIO DE GENERAL CARNEIRO</v>
      </c>
      <c r="H6113" t="str">
        <f>IFERROR(INDEX(tEditais[UF],MATCH(tItens[[#This Row],[Edital]],tEditais[Edital],0)),"")</f>
        <v>PR</v>
      </c>
      <c r="I6113" s="11">
        <f>IFERROR(INDEX(tEditais[Encerramento],MATCH(tItens[[#This Row],[Edital]],tEditais[Edital],0)),"")</f>
        <v>46311.333333333336</v>
      </c>
      <c r="J6113" t="str">
        <f>IFERROR(INDEX(tProdutos[Classe],MATCH(tItens[[#This Row],[Produto]],tProdutos[Produto],0)),"produto não cadastrado")</f>
        <v>FORA</v>
      </c>
      <c r="K6113" s="12">
        <f>tItens[[#This Row],[Qtd]]*tItens[[#This Row],[Vlr unit]]</f>
        <v>398</v>
      </c>
      <c r="L6113" s="6">
        <f>IFERROR(IF(INDEX(tProdutos[Desconto homologado],MATCH(tItens[[#This Row],[Produto]],tProdutos[Produto],0))="",DescontoPadrao,INDEX(tProdutos[Desconto homologado],MATCH(tItens[[#This Row],[Produto]],tProdutos[Produto],0))),DescontoPadrao)</f>
        <v>0.31735159817351599</v>
      </c>
      <c r="M6113" s="12">
        <f>tItens[[#This Row],[Valor]]*(1-tItens[[#This Row],[Desconto]])</f>
        <v>271.69406392694066</v>
      </c>
      <c r="N6113" t="str">
        <f>IFERROR(INDEX(tProdutos[Foco],MATCH(tItens[[#This Row],[Produto]],tProdutos[Produto],0)),"Não")</f>
        <v>Não</v>
      </c>
      <c r="O6113" t="str">
        <f>IFERROR(INDEX(tEditais[SRP],MATCH(tItens[[#This Row],[Edital]],tEditais[Edital],0)),"Não")</f>
        <v>Sim</v>
      </c>
      <c r="P6113" s="4">
        <f>IF(COUNTIFS(INDEX(tItens[Edital],1):tItens[[#This Row],[Edital]],tItens[[#This Row],[Edital]],INDEX(tItens[Produto],1):tItens[[#This Row],[Produto]],tItens[[#This Row],[Produto]])=1,1,0)</f>
        <v>0</v>
      </c>
    </row>
    <row r="6114" spans="1:16" x14ac:dyDescent="0.25">
      <c r="A6114" t="s">
        <v>2146</v>
      </c>
      <c r="B6114">
        <v>319</v>
      </c>
      <c r="C6114" t="s">
        <v>8857</v>
      </c>
      <c r="D6114" t="s">
        <v>253</v>
      </c>
      <c r="E6114" s="13">
        <v>100</v>
      </c>
      <c r="F6114" s="12">
        <v>4.93</v>
      </c>
      <c r="G6114" t="str">
        <f>IFERROR(INDEX(tEditais[Órgão],MATCH(tItens[[#This Row],[Edital]],tEditais[Edital],0)),"")</f>
        <v>MUNICIPIO DE GENERAL CARNEIRO</v>
      </c>
      <c r="H6114" t="str">
        <f>IFERROR(INDEX(tEditais[UF],MATCH(tItens[[#This Row],[Edital]],tEditais[Edital],0)),"")</f>
        <v>PR</v>
      </c>
      <c r="I6114" s="11">
        <f>IFERROR(INDEX(tEditais[Encerramento],MATCH(tItens[[#This Row],[Edital]],tEditais[Edital],0)),"")</f>
        <v>46311.333333333336</v>
      </c>
      <c r="J6114" t="str">
        <f>IFERROR(INDEX(tProdutos[Classe],MATCH(tItens[[#This Row],[Produto]],tProdutos[Produto],0)),"produto não cadastrado")</f>
        <v>FORA</v>
      </c>
      <c r="K6114" s="12">
        <f>tItens[[#This Row],[Qtd]]*tItens[[#This Row],[Vlr unit]]</f>
        <v>493</v>
      </c>
      <c r="L6114" s="6">
        <f>IFERROR(IF(INDEX(tProdutos[Desconto homologado],MATCH(tItens[[#This Row],[Produto]],tProdutos[Produto],0))="",DescontoPadrao,INDEX(tProdutos[Desconto homologado],MATCH(tItens[[#This Row],[Produto]],tProdutos[Produto],0))),DescontoPadrao)</f>
        <v>0.31735159817351599</v>
      </c>
      <c r="M6114" s="12">
        <f>tItens[[#This Row],[Valor]]*(1-tItens[[#This Row],[Desconto]])</f>
        <v>336.54566210045664</v>
      </c>
      <c r="N6114" t="str">
        <f>IFERROR(INDEX(tProdutos[Foco],MATCH(tItens[[#This Row],[Produto]],tProdutos[Produto],0)),"Não")</f>
        <v>Não</v>
      </c>
      <c r="O6114" t="str">
        <f>IFERROR(INDEX(tEditais[SRP],MATCH(tItens[[#This Row],[Edital]],tEditais[Edital],0)),"Não")</f>
        <v>Sim</v>
      </c>
      <c r="P6114" s="4">
        <f>IF(COUNTIFS(INDEX(tItens[Edital],1):tItens[[#This Row],[Edital]],tItens[[#This Row],[Edital]],INDEX(tItens[Produto],1):tItens[[#This Row],[Produto]],tItens[[#This Row],[Produto]])=1,1,0)</f>
        <v>0</v>
      </c>
    </row>
    <row r="6115" spans="1:16" x14ac:dyDescent="0.25">
      <c r="A6115" t="s">
        <v>2146</v>
      </c>
      <c r="B6115">
        <v>330</v>
      </c>
      <c r="C6115" t="s">
        <v>8858</v>
      </c>
      <c r="D6115" t="s">
        <v>110</v>
      </c>
      <c r="E6115" s="13">
        <v>100</v>
      </c>
      <c r="F6115" s="12">
        <v>0.99</v>
      </c>
      <c r="G6115" t="str">
        <f>IFERROR(INDEX(tEditais[Órgão],MATCH(tItens[[#This Row],[Edital]],tEditais[Edital],0)),"")</f>
        <v>MUNICIPIO DE GENERAL CARNEIRO</v>
      </c>
      <c r="H6115" t="str">
        <f>IFERROR(INDEX(tEditais[UF],MATCH(tItens[[#This Row],[Edital]],tEditais[Edital],0)),"")</f>
        <v>PR</v>
      </c>
      <c r="I6115" s="11">
        <f>IFERROR(INDEX(tEditais[Encerramento],MATCH(tItens[[#This Row],[Edital]],tEditais[Edital],0)),"")</f>
        <v>46311.333333333336</v>
      </c>
      <c r="J6115" t="str">
        <f>IFERROR(INDEX(tProdutos[Classe],MATCH(tItens[[#This Row],[Produto]],tProdutos[Produto],0)),"produto não cadastrado")</f>
        <v>NÚCLEO</v>
      </c>
      <c r="K6115" s="12">
        <f>tItens[[#This Row],[Qtd]]*tItens[[#This Row],[Vlr unit]]</f>
        <v>99</v>
      </c>
      <c r="L6115" s="6">
        <f>IFERROR(IF(INDEX(tProdutos[Desconto homologado],MATCH(tItens[[#This Row],[Produto]],tProdutos[Produto],0))="",DescontoPadrao,INDEX(tProdutos[Desconto homologado],MATCH(tItens[[#This Row],[Produto]],tProdutos[Produto],0))),DescontoPadrao)</f>
        <v>0.30410958904109597</v>
      </c>
      <c r="M6115" s="12">
        <f>tItens[[#This Row],[Valor]]*(1-tItens[[#This Row],[Desconto]])</f>
        <v>68.893150684931499</v>
      </c>
      <c r="N6115" t="str">
        <f>IFERROR(INDEX(tProdutos[Foco],MATCH(tItens[[#This Row],[Produto]],tProdutos[Produto],0)),"Não")</f>
        <v>Não</v>
      </c>
      <c r="O6115" t="str">
        <f>IFERROR(INDEX(tEditais[SRP],MATCH(tItens[[#This Row],[Edital]],tEditais[Edital],0)),"Não")</f>
        <v>Sim</v>
      </c>
      <c r="P6115" s="4">
        <f>IF(COUNTIFS(INDEX(tItens[Edital],1):tItens[[#This Row],[Edital]],tItens[[#This Row],[Edital]],INDEX(tItens[Produto],1):tItens[[#This Row],[Produto]],tItens[[#This Row],[Produto]])=1,1,0)</f>
        <v>1</v>
      </c>
    </row>
    <row r="6116" spans="1:16" x14ac:dyDescent="0.25">
      <c r="A6116" t="s">
        <v>2146</v>
      </c>
      <c r="B6116">
        <v>331</v>
      </c>
      <c r="C6116" t="s">
        <v>8859</v>
      </c>
      <c r="D6116" t="s">
        <v>110</v>
      </c>
      <c r="E6116" s="13">
        <v>100</v>
      </c>
      <c r="F6116" s="12">
        <v>1.01</v>
      </c>
      <c r="G6116" t="str">
        <f>IFERROR(INDEX(tEditais[Órgão],MATCH(tItens[[#This Row],[Edital]],tEditais[Edital],0)),"")</f>
        <v>MUNICIPIO DE GENERAL CARNEIRO</v>
      </c>
      <c r="H6116" t="str">
        <f>IFERROR(INDEX(tEditais[UF],MATCH(tItens[[#This Row],[Edital]],tEditais[Edital],0)),"")</f>
        <v>PR</v>
      </c>
      <c r="I6116" s="11">
        <f>IFERROR(INDEX(tEditais[Encerramento],MATCH(tItens[[#This Row],[Edital]],tEditais[Edital],0)),"")</f>
        <v>46311.333333333336</v>
      </c>
      <c r="J6116" t="str">
        <f>IFERROR(INDEX(tProdutos[Classe],MATCH(tItens[[#This Row],[Produto]],tProdutos[Produto],0)),"produto não cadastrado")</f>
        <v>NÚCLEO</v>
      </c>
      <c r="K6116" s="12">
        <f>tItens[[#This Row],[Qtd]]*tItens[[#This Row],[Vlr unit]]</f>
        <v>101</v>
      </c>
      <c r="L6116" s="6">
        <f>IFERROR(IF(INDEX(tProdutos[Desconto homologado],MATCH(tItens[[#This Row],[Produto]],tProdutos[Produto],0))="",DescontoPadrao,INDEX(tProdutos[Desconto homologado],MATCH(tItens[[#This Row],[Produto]],tProdutos[Produto],0))),DescontoPadrao)</f>
        <v>0.30410958904109597</v>
      </c>
      <c r="M6116" s="12">
        <f>tItens[[#This Row],[Valor]]*(1-tItens[[#This Row],[Desconto]])</f>
        <v>70.284931506849304</v>
      </c>
      <c r="N6116" t="str">
        <f>IFERROR(INDEX(tProdutos[Foco],MATCH(tItens[[#This Row],[Produto]],tProdutos[Produto],0)),"Não")</f>
        <v>Não</v>
      </c>
      <c r="O6116" t="str">
        <f>IFERROR(INDEX(tEditais[SRP],MATCH(tItens[[#This Row],[Edital]],tEditais[Edital],0)),"Não")</f>
        <v>Sim</v>
      </c>
      <c r="P6116" s="4">
        <f>IF(COUNTIFS(INDEX(tItens[Edital],1):tItens[[#This Row],[Edital]],tItens[[#This Row],[Edital]],INDEX(tItens[Produto],1):tItens[[#This Row],[Produto]],tItens[[#This Row],[Produto]])=1,1,0)</f>
        <v>0</v>
      </c>
    </row>
    <row r="6117" spans="1:16" x14ac:dyDescent="0.25">
      <c r="A6117" t="s">
        <v>2146</v>
      </c>
      <c r="B6117">
        <v>332</v>
      </c>
      <c r="C6117" t="s">
        <v>8860</v>
      </c>
      <c r="D6117" t="s">
        <v>110</v>
      </c>
      <c r="E6117" s="13">
        <v>100</v>
      </c>
      <c r="F6117" s="12">
        <v>0.95</v>
      </c>
      <c r="G6117" t="str">
        <f>IFERROR(INDEX(tEditais[Órgão],MATCH(tItens[[#This Row],[Edital]],tEditais[Edital],0)),"")</f>
        <v>MUNICIPIO DE GENERAL CARNEIRO</v>
      </c>
      <c r="H6117" t="str">
        <f>IFERROR(INDEX(tEditais[UF],MATCH(tItens[[#This Row],[Edital]],tEditais[Edital],0)),"")</f>
        <v>PR</v>
      </c>
      <c r="I6117" s="11">
        <f>IFERROR(INDEX(tEditais[Encerramento],MATCH(tItens[[#This Row],[Edital]],tEditais[Edital],0)),"")</f>
        <v>46311.333333333336</v>
      </c>
      <c r="J6117" t="str">
        <f>IFERROR(INDEX(tProdutos[Classe],MATCH(tItens[[#This Row],[Produto]],tProdutos[Produto],0)),"produto não cadastrado")</f>
        <v>NÚCLEO</v>
      </c>
      <c r="K6117" s="12">
        <f>tItens[[#This Row],[Qtd]]*tItens[[#This Row],[Vlr unit]]</f>
        <v>95</v>
      </c>
      <c r="L6117" s="6">
        <f>IFERROR(IF(INDEX(tProdutos[Desconto homologado],MATCH(tItens[[#This Row],[Produto]],tProdutos[Produto],0))="",DescontoPadrao,INDEX(tProdutos[Desconto homologado],MATCH(tItens[[#This Row],[Produto]],tProdutos[Produto],0))),DescontoPadrao)</f>
        <v>0.30410958904109597</v>
      </c>
      <c r="M6117" s="12">
        <f>tItens[[#This Row],[Valor]]*(1-tItens[[#This Row],[Desconto]])</f>
        <v>66.109589041095887</v>
      </c>
      <c r="N6117" t="str">
        <f>IFERROR(INDEX(tProdutos[Foco],MATCH(tItens[[#This Row],[Produto]],tProdutos[Produto],0)),"Não")</f>
        <v>Não</v>
      </c>
      <c r="O6117" t="str">
        <f>IFERROR(INDEX(tEditais[SRP],MATCH(tItens[[#This Row],[Edital]],tEditais[Edital],0)),"Não")</f>
        <v>Sim</v>
      </c>
      <c r="P6117" s="4">
        <f>IF(COUNTIFS(INDEX(tItens[Edital],1):tItens[[#This Row],[Edital]],tItens[[#This Row],[Edital]],INDEX(tItens[Produto],1):tItens[[#This Row],[Produto]],tItens[[#This Row],[Produto]])=1,1,0)</f>
        <v>0</v>
      </c>
    </row>
    <row r="6118" spans="1:16" x14ac:dyDescent="0.25">
      <c r="A6118" t="s">
        <v>2146</v>
      </c>
      <c r="B6118">
        <v>333</v>
      </c>
      <c r="C6118" t="s">
        <v>8861</v>
      </c>
      <c r="D6118" t="s">
        <v>110</v>
      </c>
      <c r="E6118" s="13">
        <v>100</v>
      </c>
      <c r="F6118" s="12">
        <v>1.1599999999999999</v>
      </c>
      <c r="G6118" t="str">
        <f>IFERROR(INDEX(tEditais[Órgão],MATCH(tItens[[#This Row],[Edital]],tEditais[Edital],0)),"")</f>
        <v>MUNICIPIO DE GENERAL CARNEIRO</v>
      </c>
      <c r="H6118" t="str">
        <f>IFERROR(INDEX(tEditais[UF],MATCH(tItens[[#This Row],[Edital]],tEditais[Edital],0)),"")</f>
        <v>PR</v>
      </c>
      <c r="I6118" s="11">
        <f>IFERROR(INDEX(tEditais[Encerramento],MATCH(tItens[[#This Row],[Edital]],tEditais[Edital],0)),"")</f>
        <v>46311.333333333336</v>
      </c>
      <c r="J6118" t="str">
        <f>IFERROR(INDEX(tProdutos[Classe],MATCH(tItens[[#This Row],[Produto]],tProdutos[Produto],0)),"produto não cadastrado")</f>
        <v>NÚCLEO</v>
      </c>
      <c r="K6118" s="12">
        <f>tItens[[#This Row],[Qtd]]*tItens[[#This Row],[Vlr unit]]</f>
        <v>115.99999999999999</v>
      </c>
      <c r="L6118" s="6">
        <f>IFERROR(IF(INDEX(tProdutos[Desconto homologado],MATCH(tItens[[#This Row],[Produto]],tProdutos[Produto],0))="",DescontoPadrao,INDEX(tProdutos[Desconto homologado],MATCH(tItens[[#This Row],[Produto]],tProdutos[Produto],0))),DescontoPadrao)</f>
        <v>0.30410958904109597</v>
      </c>
      <c r="M6118" s="12">
        <f>tItens[[#This Row],[Valor]]*(1-tItens[[#This Row],[Desconto]])</f>
        <v>80.723287671232853</v>
      </c>
      <c r="N6118" t="str">
        <f>IFERROR(INDEX(tProdutos[Foco],MATCH(tItens[[#This Row],[Produto]],tProdutos[Produto],0)),"Não")</f>
        <v>Não</v>
      </c>
      <c r="O6118" t="str">
        <f>IFERROR(INDEX(tEditais[SRP],MATCH(tItens[[#This Row],[Edital]],tEditais[Edital],0)),"Não")</f>
        <v>Sim</v>
      </c>
      <c r="P6118" s="4">
        <f>IF(COUNTIFS(INDEX(tItens[Edital],1):tItens[[#This Row],[Edital]],tItens[[#This Row],[Edital]],INDEX(tItens[Produto],1):tItens[[#This Row],[Produto]],tItens[[#This Row],[Produto]])=1,1,0)</f>
        <v>0</v>
      </c>
    </row>
    <row r="6119" spans="1:16" x14ac:dyDescent="0.25">
      <c r="A6119" t="s">
        <v>2146</v>
      </c>
      <c r="B6119">
        <v>334</v>
      </c>
      <c r="C6119" t="s">
        <v>8862</v>
      </c>
      <c r="D6119" t="s">
        <v>110</v>
      </c>
      <c r="E6119" s="13">
        <v>100</v>
      </c>
      <c r="F6119" s="12">
        <v>1.1499999999999999</v>
      </c>
      <c r="G6119" t="str">
        <f>IFERROR(INDEX(tEditais[Órgão],MATCH(tItens[[#This Row],[Edital]],tEditais[Edital],0)),"")</f>
        <v>MUNICIPIO DE GENERAL CARNEIRO</v>
      </c>
      <c r="H6119" t="str">
        <f>IFERROR(INDEX(tEditais[UF],MATCH(tItens[[#This Row],[Edital]],tEditais[Edital],0)),"")</f>
        <v>PR</v>
      </c>
      <c r="I6119" s="11">
        <f>IFERROR(INDEX(tEditais[Encerramento],MATCH(tItens[[#This Row],[Edital]],tEditais[Edital],0)),"")</f>
        <v>46311.333333333336</v>
      </c>
      <c r="J6119" t="str">
        <f>IFERROR(INDEX(tProdutos[Classe],MATCH(tItens[[#This Row],[Produto]],tProdutos[Produto],0)),"produto não cadastrado")</f>
        <v>NÚCLEO</v>
      </c>
      <c r="K6119" s="12">
        <f>tItens[[#This Row],[Qtd]]*tItens[[#This Row],[Vlr unit]]</f>
        <v>114.99999999999999</v>
      </c>
      <c r="L6119" s="6">
        <f>IFERROR(IF(INDEX(tProdutos[Desconto homologado],MATCH(tItens[[#This Row],[Produto]],tProdutos[Produto],0))="",DescontoPadrao,INDEX(tProdutos[Desconto homologado],MATCH(tItens[[#This Row],[Produto]],tProdutos[Produto],0))),DescontoPadrao)</f>
        <v>0.30410958904109597</v>
      </c>
      <c r="M6119" s="12">
        <f>tItens[[#This Row],[Valor]]*(1-tItens[[#This Row],[Desconto]])</f>
        <v>80.027397260273958</v>
      </c>
      <c r="N6119" t="str">
        <f>IFERROR(INDEX(tProdutos[Foco],MATCH(tItens[[#This Row],[Produto]],tProdutos[Produto],0)),"Não")</f>
        <v>Não</v>
      </c>
      <c r="O6119" t="str">
        <f>IFERROR(INDEX(tEditais[SRP],MATCH(tItens[[#This Row],[Edital]],tEditais[Edital],0)),"Não")</f>
        <v>Sim</v>
      </c>
      <c r="P6119" s="4">
        <f>IF(COUNTIFS(INDEX(tItens[Edital],1):tItens[[#This Row],[Edital]],tItens[[#This Row],[Edital]],INDEX(tItens[Produto],1):tItens[[#This Row],[Produto]],tItens[[#This Row],[Produto]])=1,1,0)</f>
        <v>0</v>
      </c>
    </row>
    <row r="6120" spans="1:16" x14ac:dyDescent="0.25">
      <c r="A6120" t="s">
        <v>2146</v>
      </c>
      <c r="B6120">
        <v>335</v>
      </c>
      <c r="C6120" t="s">
        <v>8863</v>
      </c>
      <c r="D6120" t="s">
        <v>110</v>
      </c>
      <c r="E6120" s="13">
        <v>100</v>
      </c>
      <c r="F6120" s="12">
        <v>1.18</v>
      </c>
      <c r="G6120" t="str">
        <f>IFERROR(INDEX(tEditais[Órgão],MATCH(tItens[[#This Row],[Edital]],tEditais[Edital],0)),"")</f>
        <v>MUNICIPIO DE GENERAL CARNEIRO</v>
      </c>
      <c r="H6120" t="str">
        <f>IFERROR(INDEX(tEditais[UF],MATCH(tItens[[#This Row],[Edital]],tEditais[Edital],0)),"")</f>
        <v>PR</v>
      </c>
      <c r="I6120" s="11">
        <f>IFERROR(INDEX(tEditais[Encerramento],MATCH(tItens[[#This Row],[Edital]],tEditais[Edital],0)),"")</f>
        <v>46311.333333333336</v>
      </c>
      <c r="J6120" t="str">
        <f>IFERROR(INDEX(tProdutos[Classe],MATCH(tItens[[#This Row],[Produto]],tProdutos[Produto],0)),"produto não cadastrado")</f>
        <v>NÚCLEO</v>
      </c>
      <c r="K6120" s="12">
        <f>tItens[[#This Row],[Qtd]]*tItens[[#This Row],[Vlr unit]]</f>
        <v>118</v>
      </c>
      <c r="L6120" s="6">
        <f>IFERROR(IF(INDEX(tProdutos[Desconto homologado],MATCH(tItens[[#This Row],[Produto]],tProdutos[Produto],0))="",DescontoPadrao,INDEX(tProdutos[Desconto homologado],MATCH(tItens[[#This Row],[Produto]],tProdutos[Produto],0))),DescontoPadrao)</f>
        <v>0.30410958904109597</v>
      </c>
      <c r="M6120" s="12">
        <f>tItens[[#This Row],[Valor]]*(1-tItens[[#This Row],[Desconto]])</f>
        <v>82.115068493150673</v>
      </c>
      <c r="N6120" t="str">
        <f>IFERROR(INDEX(tProdutos[Foco],MATCH(tItens[[#This Row],[Produto]],tProdutos[Produto],0)),"Não")</f>
        <v>Não</v>
      </c>
      <c r="O6120" t="str">
        <f>IFERROR(INDEX(tEditais[SRP],MATCH(tItens[[#This Row],[Edital]],tEditais[Edital],0)),"Não")</f>
        <v>Sim</v>
      </c>
      <c r="P6120" s="4">
        <f>IF(COUNTIFS(INDEX(tItens[Edital],1):tItens[[#This Row],[Edital]],tItens[[#This Row],[Edital]],INDEX(tItens[Produto],1):tItens[[#This Row],[Produto]],tItens[[#This Row],[Produto]])=1,1,0)</f>
        <v>0</v>
      </c>
    </row>
    <row r="6121" spans="1:16" x14ac:dyDescent="0.25">
      <c r="A6121" t="s">
        <v>2146</v>
      </c>
      <c r="B6121">
        <v>336</v>
      </c>
      <c r="C6121" t="s">
        <v>8864</v>
      </c>
      <c r="D6121" t="s">
        <v>110</v>
      </c>
      <c r="E6121" s="13">
        <v>100</v>
      </c>
      <c r="F6121" s="12">
        <v>1.17</v>
      </c>
      <c r="G6121" t="str">
        <f>IFERROR(INDEX(tEditais[Órgão],MATCH(tItens[[#This Row],[Edital]],tEditais[Edital],0)),"")</f>
        <v>MUNICIPIO DE GENERAL CARNEIRO</v>
      </c>
      <c r="H6121" t="str">
        <f>IFERROR(INDEX(tEditais[UF],MATCH(tItens[[#This Row],[Edital]],tEditais[Edital],0)),"")</f>
        <v>PR</v>
      </c>
      <c r="I6121" s="11">
        <f>IFERROR(INDEX(tEditais[Encerramento],MATCH(tItens[[#This Row],[Edital]],tEditais[Edital],0)),"")</f>
        <v>46311.333333333336</v>
      </c>
      <c r="J6121" t="str">
        <f>IFERROR(INDEX(tProdutos[Classe],MATCH(tItens[[#This Row],[Produto]],tProdutos[Produto],0)),"produto não cadastrado")</f>
        <v>NÚCLEO</v>
      </c>
      <c r="K6121" s="12">
        <f>tItens[[#This Row],[Qtd]]*tItens[[#This Row],[Vlr unit]]</f>
        <v>117</v>
      </c>
      <c r="L6121" s="6">
        <f>IFERROR(IF(INDEX(tProdutos[Desconto homologado],MATCH(tItens[[#This Row],[Produto]],tProdutos[Produto],0))="",DescontoPadrao,INDEX(tProdutos[Desconto homologado],MATCH(tItens[[#This Row],[Produto]],tProdutos[Produto],0))),DescontoPadrao)</f>
        <v>0.30410958904109597</v>
      </c>
      <c r="M6121" s="12">
        <f>tItens[[#This Row],[Valor]]*(1-tItens[[#This Row],[Desconto]])</f>
        <v>81.419178082191777</v>
      </c>
      <c r="N6121" t="str">
        <f>IFERROR(INDEX(tProdutos[Foco],MATCH(tItens[[#This Row],[Produto]],tProdutos[Produto],0)),"Não")</f>
        <v>Não</v>
      </c>
      <c r="O6121" t="str">
        <f>IFERROR(INDEX(tEditais[SRP],MATCH(tItens[[#This Row],[Edital]],tEditais[Edital],0)),"Não")</f>
        <v>Sim</v>
      </c>
      <c r="P6121" s="4">
        <f>IF(COUNTIFS(INDEX(tItens[Edital],1):tItens[[#This Row],[Edital]],tItens[[#This Row],[Edital]],INDEX(tItens[Produto],1):tItens[[#This Row],[Produto]],tItens[[#This Row],[Produto]])=1,1,0)</f>
        <v>0</v>
      </c>
    </row>
    <row r="6122" spans="1:16" x14ac:dyDescent="0.25">
      <c r="A6122" t="s">
        <v>2146</v>
      </c>
      <c r="B6122">
        <v>337</v>
      </c>
      <c r="C6122" t="s">
        <v>8865</v>
      </c>
      <c r="D6122" t="s">
        <v>110</v>
      </c>
      <c r="E6122" s="13">
        <v>100</v>
      </c>
      <c r="F6122" s="12">
        <v>1.39</v>
      </c>
      <c r="G6122" t="str">
        <f>IFERROR(INDEX(tEditais[Órgão],MATCH(tItens[[#This Row],[Edital]],tEditais[Edital],0)),"")</f>
        <v>MUNICIPIO DE GENERAL CARNEIRO</v>
      </c>
      <c r="H6122" t="str">
        <f>IFERROR(INDEX(tEditais[UF],MATCH(tItens[[#This Row],[Edital]],tEditais[Edital],0)),"")</f>
        <v>PR</v>
      </c>
      <c r="I6122" s="11">
        <f>IFERROR(INDEX(tEditais[Encerramento],MATCH(tItens[[#This Row],[Edital]],tEditais[Edital],0)),"")</f>
        <v>46311.333333333336</v>
      </c>
      <c r="J6122" t="str">
        <f>IFERROR(INDEX(tProdutos[Classe],MATCH(tItens[[#This Row],[Produto]],tProdutos[Produto],0)),"produto não cadastrado")</f>
        <v>NÚCLEO</v>
      </c>
      <c r="K6122" s="12">
        <f>tItens[[#This Row],[Qtd]]*tItens[[#This Row],[Vlr unit]]</f>
        <v>139</v>
      </c>
      <c r="L6122" s="6">
        <f>IFERROR(IF(INDEX(tProdutos[Desconto homologado],MATCH(tItens[[#This Row],[Produto]],tProdutos[Produto],0))="",DescontoPadrao,INDEX(tProdutos[Desconto homologado],MATCH(tItens[[#This Row],[Produto]],tProdutos[Produto],0))),DescontoPadrao)</f>
        <v>0.30410958904109597</v>
      </c>
      <c r="M6122" s="12">
        <f>tItens[[#This Row],[Valor]]*(1-tItens[[#This Row],[Desconto]])</f>
        <v>96.728767123287653</v>
      </c>
      <c r="N6122" t="str">
        <f>IFERROR(INDEX(tProdutos[Foco],MATCH(tItens[[#This Row],[Produto]],tProdutos[Produto],0)),"Não")</f>
        <v>Não</v>
      </c>
      <c r="O6122" t="str">
        <f>IFERROR(INDEX(tEditais[SRP],MATCH(tItens[[#This Row],[Edital]],tEditais[Edital],0)),"Não")</f>
        <v>Sim</v>
      </c>
      <c r="P6122" s="4">
        <f>IF(COUNTIFS(INDEX(tItens[Edital],1):tItens[[#This Row],[Edital]],tItens[[#This Row],[Edital]],INDEX(tItens[Produto],1):tItens[[#This Row],[Produto]],tItens[[#This Row],[Produto]])=1,1,0)</f>
        <v>0</v>
      </c>
    </row>
    <row r="6123" spans="1:16" x14ac:dyDescent="0.25">
      <c r="A6123" t="s">
        <v>2146</v>
      </c>
      <c r="B6123">
        <v>338</v>
      </c>
      <c r="C6123" t="s">
        <v>8866</v>
      </c>
      <c r="D6123" t="s">
        <v>110</v>
      </c>
      <c r="E6123" s="13">
        <v>100</v>
      </c>
      <c r="F6123" s="12">
        <v>1</v>
      </c>
      <c r="G6123" t="str">
        <f>IFERROR(INDEX(tEditais[Órgão],MATCH(tItens[[#This Row],[Edital]],tEditais[Edital],0)),"")</f>
        <v>MUNICIPIO DE GENERAL CARNEIRO</v>
      </c>
      <c r="H6123" t="str">
        <f>IFERROR(INDEX(tEditais[UF],MATCH(tItens[[#This Row],[Edital]],tEditais[Edital],0)),"")</f>
        <v>PR</v>
      </c>
      <c r="I6123" s="11">
        <f>IFERROR(INDEX(tEditais[Encerramento],MATCH(tItens[[#This Row],[Edital]],tEditais[Edital],0)),"")</f>
        <v>46311.333333333336</v>
      </c>
      <c r="J6123" t="str">
        <f>IFERROR(INDEX(tProdutos[Classe],MATCH(tItens[[#This Row],[Produto]],tProdutos[Produto],0)),"produto não cadastrado")</f>
        <v>NÚCLEO</v>
      </c>
      <c r="K6123" s="12">
        <f>tItens[[#This Row],[Qtd]]*tItens[[#This Row],[Vlr unit]]</f>
        <v>100</v>
      </c>
      <c r="L6123" s="6">
        <f>IFERROR(IF(INDEX(tProdutos[Desconto homologado],MATCH(tItens[[#This Row],[Produto]],tProdutos[Produto],0))="",DescontoPadrao,INDEX(tProdutos[Desconto homologado],MATCH(tItens[[#This Row],[Produto]],tProdutos[Produto],0))),DescontoPadrao)</f>
        <v>0.30410958904109597</v>
      </c>
      <c r="M6123" s="12">
        <f>tItens[[#This Row],[Valor]]*(1-tItens[[#This Row],[Desconto]])</f>
        <v>69.589041095890408</v>
      </c>
      <c r="N6123" t="str">
        <f>IFERROR(INDEX(tProdutos[Foco],MATCH(tItens[[#This Row],[Produto]],tProdutos[Produto],0)),"Não")</f>
        <v>Não</v>
      </c>
      <c r="O6123" t="str">
        <f>IFERROR(INDEX(tEditais[SRP],MATCH(tItens[[#This Row],[Edital]],tEditais[Edital],0)),"Não")</f>
        <v>Sim</v>
      </c>
      <c r="P6123" s="4">
        <f>IF(COUNTIFS(INDEX(tItens[Edital],1):tItens[[#This Row],[Edital]],tItens[[#This Row],[Edital]],INDEX(tItens[Produto],1):tItens[[#This Row],[Produto]],tItens[[#This Row],[Produto]])=1,1,0)</f>
        <v>0</v>
      </c>
    </row>
    <row r="6124" spans="1:16" x14ac:dyDescent="0.25">
      <c r="A6124" t="s">
        <v>2146</v>
      </c>
      <c r="B6124">
        <v>339</v>
      </c>
      <c r="C6124" t="s">
        <v>8867</v>
      </c>
      <c r="D6124" t="s">
        <v>110</v>
      </c>
      <c r="E6124" s="13">
        <v>100</v>
      </c>
      <c r="F6124" s="12">
        <v>0.89</v>
      </c>
      <c r="G6124" t="str">
        <f>IFERROR(INDEX(tEditais[Órgão],MATCH(tItens[[#This Row],[Edital]],tEditais[Edital],0)),"")</f>
        <v>MUNICIPIO DE GENERAL CARNEIRO</v>
      </c>
      <c r="H6124" t="str">
        <f>IFERROR(INDEX(tEditais[UF],MATCH(tItens[[#This Row],[Edital]],tEditais[Edital],0)),"")</f>
        <v>PR</v>
      </c>
      <c r="I6124" s="11">
        <f>IFERROR(INDEX(tEditais[Encerramento],MATCH(tItens[[#This Row],[Edital]],tEditais[Edital],0)),"")</f>
        <v>46311.333333333336</v>
      </c>
      <c r="J6124" t="str">
        <f>IFERROR(INDEX(tProdutos[Classe],MATCH(tItens[[#This Row],[Produto]],tProdutos[Produto],0)),"produto não cadastrado")</f>
        <v>NÚCLEO</v>
      </c>
      <c r="K6124" s="12">
        <f>tItens[[#This Row],[Qtd]]*tItens[[#This Row],[Vlr unit]]</f>
        <v>89</v>
      </c>
      <c r="L6124" s="6">
        <f>IFERROR(IF(INDEX(tProdutos[Desconto homologado],MATCH(tItens[[#This Row],[Produto]],tProdutos[Produto],0))="",DescontoPadrao,INDEX(tProdutos[Desconto homologado],MATCH(tItens[[#This Row],[Produto]],tProdutos[Produto],0))),DescontoPadrao)</f>
        <v>0.30410958904109597</v>
      </c>
      <c r="M6124" s="12">
        <f>tItens[[#This Row],[Valor]]*(1-tItens[[#This Row],[Desconto]])</f>
        <v>61.934246575342456</v>
      </c>
      <c r="N6124" t="str">
        <f>IFERROR(INDEX(tProdutos[Foco],MATCH(tItens[[#This Row],[Produto]],tProdutos[Produto],0)),"Não")</f>
        <v>Não</v>
      </c>
      <c r="O6124" t="str">
        <f>IFERROR(INDEX(tEditais[SRP],MATCH(tItens[[#This Row],[Edital]],tEditais[Edital],0)),"Não")</f>
        <v>Sim</v>
      </c>
      <c r="P6124" s="4">
        <f>IF(COUNTIFS(INDEX(tItens[Edital],1):tItens[[#This Row],[Edital]],tItens[[#This Row],[Edital]],INDEX(tItens[Produto],1):tItens[[#This Row],[Produto]],tItens[[#This Row],[Produto]])=1,1,0)</f>
        <v>0</v>
      </c>
    </row>
    <row r="6125" spans="1:16" x14ac:dyDescent="0.25">
      <c r="A6125" t="s">
        <v>2146</v>
      </c>
      <c r="B6125">
        <v>340</v>
      </c>
      <c r="C6125" t="s">
        <v>8868</v>
      </c>
      <c r="D6125" t="s">
        <v>110</v>
      </c>
      <c r="E6125" s="13">
        <v>100</v>
      </c>
      <c r="F6125" s="12">
        <v>0.93</v>
      </c>
      <c r="G6125" t="str">
        <f>IFERROR(INDEX(tEditais[Órgão],MATCH(tItens[[#This Row],[Edital]],tEditais[Edital],0)),"")</f>
        <v>MUNICIPIO DE GENERAL CARNEIRO</v>
      </c>
      <c r="H6125" t="str">
        <f>IFERROR(INDEX(tEditais[UF],MATCH(tItens[[#This Row],[Edital]],tEditais[Edital],0)),"")</f>
        <v>PR</v>
      </c>
      <c r="I6125" s="11">
        <f>IFERROR(INDEX(tEditais[Encerramento],MATCH(tItens[[#This Row],[Edital]],tEditais[Edital],0)),"")</f>
        <v>46311.333333333336</v>
      </c>
      <c r="J6125" t="str">
        <f>IFERROR(INDEX(tProdutos[Classe],MATCH(tItens[[#This Row],[Produto]],tProdutos[Produto],0)),"produto não cadastrado")</f>
        <v>NÚCLEO</v>
      </c>
      <c r="K6125" s="12">
        <f>tItens[[#This Row],[Qtd]]*tItens[[#This Row],[Vlr unit]]</f>
        <v>93</v>
      </c>
      <c r="L6125" s="6">
        <f>IFERROR(IF(INDEX(tProdutos[Desconto homologado],MATCH(tItens[[#This Row],[Produto]],tProdutos[Produto],0))="",DescontoPadrao,INDEX(tProdutos[Desconto homologado],MATCH(tItens[[#This Row],[Produto]],tProdutos[Produto],0))),DescontoPadrao)</f>
        <v>0.30410958904109597</v>
      </c>
      <c r="M6125" s="12">
        <f>tItens[[#This Row],[Valor]]*(1-tItens[[#This Row],[Desconto]])</f>
        <v>64.717808219178067</v>
      </c>
      <c r="N6125" t="str">
        <f>IFERROR(INDEX(tProdutos[Foco],MATCH(tItens[[#This Row],[Produto]],tProdutos[Produto],0)),"Não")</f>
        <v>Não</v>
      </c>
      <c r="O6125" t="str">
        <f>IFERROR(INDEX(tEditais[SRP],MATCH(tItens[[#This Row],[Edital]],tEditais[Edital],0)),"Não")</f>
        <v>Sim</v>
      </c>
      <c r="P6125" s="4">
        <f>IF(COUNTIFS(INDEX(tItens[Edital],1):tItens[[#This Row],[Edital]],tItens[[#This Row],[Edital]],INDEX(tItens[Produto],1):tItens[[#This Row],[Produto]],tItens[[#This Row],[Produto]])=1,1,0)</f>
        <v>0</v>
      </c>
    </row>
    <row r="6126" spans="1:16" x14ac:dyDescent="0.25">
      <c r="A6126" t="s">
        <v>2146</v>
      </c>
      <c r="B6126">
        <v>341</v>
      </c>
      <c r="C6126" t="s">
        <v>8869</v>
      </c>
      <c r="D6126" t="s">
        <v>110</v>
      </c>
      <c r="E6126" s="13">
        <v>100</v>
      </c>
      <c r="F6126" s="12">
        <v>1.17</v>
      </c>
      <c r="G6126" t="str">
        <f>IFERROR(INDEX(tEditais[Órgão],MATCH(tItens[[#This Row],[Edital]],tEditais[Edital],0)),"")</f>
        <v>MUNICIPIO DE GENERAL CARNEIRO</v>
      </c>
      <c r="H6126" t="str">
        <f>IFERROR(INDEX(tEditais[UF],MATCH(tItens[[#This Row],[Edital]],tEditais[Edital],0)),"")</f>
        <v>PR</v>
      </c>
      <c r="I6126" s="11">
        <f>IFERROR(INDEX(tEditais[Encerramento],MATCH(tItens[[#This Row],[Edital]],tEditais[Edital],0)),"")</f>
        <v>46311.333333333336</v>
      </c>
      <c r="J6126" t="str">
        <f>IFERROR(INDEX(tProdutos[Classe],MATCH(tItens[[#This Row],[Produto]],tProdutos[Produto],0)),"produto não cadastrado")</f>
        <v>NÚCLEO</v>
      </c>
      <c r="K6126" s="12">
        <f>tItens[[#This Row],[Qtd]]*tItens[[#This Row],[Vlr unit]]</f>
        <v>117</v>
      </c>
      <c r="L6126" s="6">
        <f>IFERROR(IF(INDEX(tProdutos[Desconto homologado],MATCH(tItens[[#This Row],[Produto]],tProdutos[Produto],0))="",DescontoPadrao,INDEX(tProdutos[Desconto homologado],MATCH(tItens[[#This Row],[Produto]],tProdutos[Produto],0))),DescontoPadrao)</f>
        <v>0.30410958904109597</v>
      </c>
      <c r="M6126" s="12">
        <f>tItens[[#This Row],[Valor]]*(1-tItens[[#This Row],[Desconto]])</f>
        <v>81.419178082191777</v>
      </c>
      <c r="N6126" t="str">
        <f>IFERROR(INDEX(tProdutos[Foco],MATCH(tItens[[#This Row],[Produto]],tProdutos[Produto],0)),"Não")</f>
        <v>Não</v>
      </c>
      <c r="O6126" t="str">
        <f>IFERROR(INDEX(tEditais[SRP],MATCH(tItens[[#This Row],[Edital]],tEditais[Edital],0)),"Não")</f>
        <v>Sim</v>
      </c>
      <c r="P6126" s="4">
        <f>IF(COUNTIFS(INDEX(tItens[Edital],1):tItens[[#This Row],[Edital]],tItens[[#This Row],[Edital]],INDEX(tItens[Produto],1):tItens[[#This Row],[Produto]],tItens[[#This Row],[Produto]])=1,1,0)</f>
        <v>0</v>
      </c>
    </row>
    <row r="6127" spans="1:16" x14ac:dyDescent="0.25">
      <c r="A6127" t="s">
        <v>2146</v>
      </c>
      <c r="B6127">
        <v>342</v>
      </c>
      <c r="C6127" t="s">
        <v>8870</v>
      </c>
      <c r="D6127" t="s">
        <v>110</v>
      </c>
      <c r="E6127" s="13">
        <v>100</v>
      </c>
      <c r="F6127" s="12">
        <v>1.24</v>
      </c>
      <c r="G6127" t="str">
        <f>IFERROR(INDEX(tEditais[Órgão],MATCH(tItens[[#This Row],[Edital]],tEditais[Edital],0)),"")</f>
        <v>MUNICIPIO DE GENERAL CARNEIRO</v>
      </c>
      <c r="H6127" t="str">
        <f>IFERROR(INDEX(tEditais[UF],MATCH(tItens[[#This Row],[Edital]],tEditais[Edital],0)),"")</f>
        <v>PR</v>
      </c>
      <c r="I6127" s="11">
        <f>IFERROR(INDEX(tEditais[Encerramento],MATCH(tItens[[#This Row],[Edital]],tEditais[Edital],0)),"")</f>
        <v>46311.333333333336</v>
      </c>
      <c r="J6127" t="str">
        <f>IFERROR(INDEX(tProdutos[Classe],MATCH(tItens[[#This Row],[Produto]],tProdutos[Produto],0)),"produto não cadastrado")</f>
        <v>NÚCLEO</v>
      </c>
      <c r="K6127" s="12">
        <f>tItens[[#This Row],[Qtd]]*tItens[[#This Row],[Vlr unit]]</f>
        <v>124</v>
      </c>
      <c r="L6127" s="6">
        <f>IFERROR(IF(INDEX(tProdutos[Desconto homologado],MATCH(tItens[[#This Row],[Produto]],tProdutos[Produto],0))="",DescontoPadrao,INDEX(tProdutos[Desconto homologado],MATCH(tItens[[#This Row],[Produto]],tProdutos[Produto],0))),DescontoPadrao)</f>
        <v>0.30410958904109597</v>
      </c>
      <c r="M6127" s="12">
        <f>tItens[[#This Row],[Valor]]*(1-tItens[[#This Row],[Desconto]])</f>
        <v>86.290410958904104</v>
      </c>
      <c r="N6127" t="str">
        <f>IFERROR(INDEX(tProdutos[Foco],MATCH(tItens[[#This Row],[Produto]],tProdutos[Produto],0)),"Não")</f>
        <v>Não</v>
      </c>
      <c r="O6127" t="str">
        <f>IFERROR(INDEX(tEditais[SRP],MATCH(tItens[[#This Row],[Edital]],tEditais[Edital],0)),"Não")</f>
        <v>Sim</v>
      </c>
      <c r="P6127" s="4">
        <f>IF(COUNTIFS(INDEX(tItens[Edital],1):tItens[[#This Row],[Edital]],tItens[[#This Row],[Edital]],INDEX(tItens[Produto],1):tItens[[#This Row],[Produto]],tItens[[#This Row],[Produto]])=1,1,0)</f>
        <v>0</v>
      </c>
    </row>
    <row r="6128" spans="1:16" x14ac:dyDescent="0.25">
      <c r="A6128" t="s">
        <v>2146</v>
      </c>
      <c r="B6128">
        <v>343</v>
      </c>
      <c r="C6128" t="s">
        <v>8871</v>
      </c>
      <c r="D6128" t="s">
        <v>110</v>
      </c>
      <c r="E6128" s="13">
        <v>100</v>
      </c>
      <c r="F6128" s="12">
        <v>1.45</v>
      </c>
      <c r="G6128" t="str">
        <f>IFERROR(INDEX(tEditais[Órgão],MATCH(tItens[[#This Row],[Edital]],tEditais[Edital],0)),"")</f>
        <v>MUNICIPIO DE GENERAL CARNEIRO</v>
      </c>
      <c r="H6128" t="str">
        <f>IFERROR(INDEX(tEditais[UF],MATCH(tItens[[#This Row],[Edital]],tEditais[Edital],0)),"")</f>
        <v>PR</v>
      </c>
      <c r="I6128" s="11">
        <f>IFERROR(INDEX(tEditais[Encerramento],MATCH(tItens[[#This Row],[Edital]],tEditais[Edital],0)),"")</f>
        <v>46311.333333333336</v>
      </c>
      <c r="J6128" t="str">
        <f>IFERROR(INDEX(tProdutos[Classe],MATCH(tItens[[#This Row],[Produto]],tProdutos[Produto],0)),"produto não cadastrado")</f>
        <v>NÚCLEO</v>
      </c>
      <c r="K6128" s="12">
        <f>tItens[[#This Row],[Qtd]]*tItens[[#This Row],[Vlr unit]]</f>
        <v>145</v>
      </c>
      <c r="L6128" s="6">
        <f>IFERROR(IF(INDEX(tProdutos[Desconto homologado],MATCH(tItens[[#This Row],[Produto]],tProdutos[Produto],0))="",DescontoPadrao,INDEX(tProdutos[Desconto homologado],MATCH(tItens[[#This Row],[Produto]],tProdutos[Produto],0))),DescontoPadrao)</f>
        <v>0.30410958904109597</v>
      </c>
      <c r="M6128" s="12">
        <f>tItens[[#This Row],[Valor]]*(1-tItens[[#This Row],[Desconto]])</f>
        <v>100.90410958904108</v>
      </c>
      <c r="N6128" t="str">
        <f>IFERROR(INDEX(tProdutos[Foco],MATCH(tItens[[#This Row],[Produto]],tProdutos[Produto],0)),"Não")</f>
        <v>Não</v>
      </c>
      <c r="O6128" t="str">
        <f>IFERROR(INDEX(tEditais[SRP],MATCH(tItens[[#This Row],[Edital]],tEditais[Edital],0)),"Não")</f>
        <v>Sim</v>
      </c>
      <c r="P6128" s="4">
        <f>IF(COUNTIFS(INDEX(tItens[Edital],1):tItens[[#This Row],[Edital]],tItens[[#This Row],[Edital]],INDEX(tItens[Produto],1):tItens[[#This Row],[Produto]],tItens[[#This Row],[Produto]])=1,1,0)</f>
        <v>0</v>
      </c>
    </row>
    <row r="6129" spans="1:16" x14ac:dyDescent="0.25">
      <c r="A6129" t="s">
        <v>2146</v>
      </c>
      <c r="B6129">
        <v>344</v>
      </c>
      <c r="C6129" t="s">
        <v>8872</v>
      </c>
      <c r="D6129" t="s">
        <v>110</v>
      </c>
      <c r="E6129" s="13">
        <v>100</v>
      </c>
      <c r="F6129" s="12">
        <v>1.6</v>
      </c>
      <c r="G6129" t="str">
        <f>IFERROR(INDEX(tEditais[Órgão],MATCH(tItens[[#This Row],[Edital]],tEditais[Edital],0)),"")</f>
        <v>MUNICIPIO DE GENERAL CARNEIRO</v>
      </c>
      <c r="H6129" t="str">
        <f>IFERROR(INDEX(tEditais[UF],MATCH(tItens[[#This Row],[Edital]],tEditais[Edital],0)),"")</f>
        <v>PR</v>
      </c>
      <c r="I6129" s="11">
        <f>IFERROR(INDEX(tEditais[Encerramento],MATCH(tItens[[#This Row],[Edital]],tEditais[Edital],0)),"")</f>
        <v>46311.333333333336</v>
      </c>
      <c r="J6129" t="str">
        <f>IFERROR(INDEX(tProdutos[Classe],MATCH(tItens[[#This Row],[Produto]],tProdutos[Produto],0)),"produto não cadastrado")</f>
        <v>NÚCLEO</v>
      </c>
      <c r="K6129" s="12">
        <f>tItens[[#This Row],[Qtd]]*tItens[[#This Row],[Vlr unit]]</f>
        <v>160</v>
      </c>
      <c r="L6129" s="6">
        <f>IFERROR(IF(INDEX(tProdutos[Desconto homologado],MATCH(tItens[[#This Row],[Produto]],tProdutos[Produto],0))="",DescontoPadrao,INDEX(tProdutos[Desconto homologado],MATCH(tItens[[#This Row],[Produto]],tProdutos[Produto],0))),DescontoPadrao)</f>
        <v>0.30410958904109597</v>
      </c>
      <c r="M6129" s="12">
        <f>tItens[[#This Row],[Valor]]*(1-tItens[[#This Row],[Desconto]])</f>
        <v>111.34246575342465</v>
      </c>
      <c r="N6129" t="str">
        <f>IFERROR(INDEX(tProdutos[Foco],MATCH(tItens[[#This Row],[Produto]],tProdutos[Produto],0)),"Não")</f>
        <v>Não</v>
      </c>
      <c r="O6129" t="str">
        <f>IFERROR(INDEX(tEditais[SRP],MATCH(tItens[[#This Row],[Edital]],tEditais[Edital],0)),"Não")</f>
        <v>Sim</v>
      </c>
      <c r="P6129" s="4">
        <f>IF(COUNTIFS(INDEX(tItens[Edital],1):tItens[[#This Row],[Edital]],tItens[[#This Row],[Edital]],INDEX(tItens[Produto],1):tItens[[#This Row],[Produto]],tItens[[#This Row],[Produto]])=1,1,0)</f>
        <v>0</v>
      </c>
    </row>
    <row r="6130" spans="1:16" x14ac:dyDescent="0.25">
      <c r="A6130" t="s">
        <v>2146</v>
      </c>
      <c r="B6130">
        <v>345</v>
      </c>
      <c r="C6130" t="s">
        <v>8873</v>
      </c>
      <c r="D6130" t="s">
        <v>110</v>
      </c>
      <c r="E6130" s="13">
        <v>100</v>
      </c>
      <c r="F6130" s="12">
        <v>2.4700000000000002</v>
      </c>
      <c r="G6130" t="str">
        <f>IFERROR(INDEX(tEditais[Órgão],MATCH(tItens[[#This Row],[Edital]],tEditais[Edital],0)),"")</f>
        <v>MUNICIPIO DE GENERAL CARNEIRO</v>
      </c>
      <c r="H6130" t="str">
        <f>IFERROR(INDEX(tEditais[UF],MATCH(tItens[[#This Row],[Edital]],tEditais[Edital],0)),"")</f>
        <v>PR</v>
      </c>
      <c r="I6130" s="11">
        <f>IFERROR(INDEX(tEditais[Encerramento],MATCH(tItens[[#This Row],[Edital]],tEditais[Edital],0)),"")</f>
        <v>46311.333333333336</v>
      </c>
      <c r="J6130" t="str">
        <f>IFERROR(INDEX(tProdutos[Classe],MATCH(tItens[[#This Row],[Produto]],tProdutos[Produto],0)),"produto não cadastrado")</f>
        <v>NÚCLEO</v>
      </c>
      <c r="K6130" s="12">
        <f>tItens[[#This Row],[Qtd]]*tItens[[#This Row],[Vlr unit]]</f>
        <v>247.00000000000003</v>
      </c>
      <c r="L6130" s="6">
        <f>IFERROR(IF(INDEX(tProdutos[Desconto homologado],MATCH(tItens[[#This Row],[Produto]],tProdutos[Produto],0))="",DescontoPadrao,INDEX(tProdutos[Desconto homologado],MATCH(tItens[[#This Row],[Produto]],tProdutos[Produto],0))),DescontoPadrao)</f>
        <v>0.30410958904109597</v>
      </c>
      <c r="M6130" s="12">
        <f>tItens[[#This Row],[Valor]]*(1-tItens[[#This Row],[Desconto]])</f>
        <v>171.88493150684931</v>
      </c>
      <c r="N6130" t="str">
        <f>IFERROR(INDEX(tProdutos[Foco],MATCH(tItens[[#This Row],[Produto]],tProdutos[Produto],0)),"Não")</f>
        <v>Não</v>
      </c>
      <c r="O6130" t="str">
        <f>IFERROR(INDEX(tEditais[SRP],MATCH(tItens[[#This Row],[Edital]],tEditais[Edital],0)),"Não")</f>
        <v>Sim</v>
      </c>
      <c r="P6130" s="4">
        <f>IF(COUNTIFS(INDEX(tItens[Edital],1):tItens[[#This Row],[Edital]],tItens[[#This Row],[Edital]],INDEX(tItens[Produto],1):tItens[[#This Row],[Produto]],tItens[[#This Row],[Produto]])=1,1,0)</f>
        <v>0</v>
      </c>
    </row>
    <row r="6131" spans="1:16" x14ac:dyDescent="0.25">
      <c r="A6131" t="s">
        <v>2146</v>
      </c>
      <c r="B6131">
        <v>346</v>
      </c>
      <c r="C6131" t="s">
        <v>8874</v>
      </c>
      <c r="D6131" t="s">
        <v>110</v>
      </c>
      <c r="E6131" s="13">
        <v>100</v>
      </c>
      <c r="F6131" s="12">
        <v>3.2</v>
      </c>
      <c r="G6131" t="str">
        <f>IFERROR(INDEX(tEditais[Órgão],MATCH(tItens[[#This Row],[Edital]],tEditais[Edital],0)),"")</f>
        <v>MUNICIPIO DE GENERAL CARNEIRO</v>
      </c>
      <c r="H6131" t="str">
        <f>IFERROR(INDEX(tEditais[UF],MATCH(tItens[[#This Row],[Edital]],tEditais[Edital],0)),"")</f>
        <v>PR</v>
      </c>
      <c r="I6131" s="11">
        <f>IFERROR(INDEX(tEditais[Encerramento],MATCH(tItens[[#This Row],[Edital]],tEditais[Edital],0)),"")</f>
        <v>46311.333333333336</v>
      </c>
      <c r="J6131" t="str">
        <f>IFERROR(INDEX(tProdutos[Classe],MATCH(tItens[[#This Row],[Produto]],tProdutos[Produto],0)),"produto não cadastrado")</f>
        <v>NÚCLEO</v>
      </c>
      <c r="K6131" s="12">
        <f>tItens[[#This Row],[Qtd]]*tItens[[#This Row],[Vlr unit]]</f>
        <v>320</v>
      </c>
      <c r="L6131" s="6">
        <f>IFERROR(IF(INDEX(tProdutos[Desconto homologado],MATCH(tItens[[#This Row],[Produto]],tProdutos[Produto],0))="",DescontoPadrao,INDEX(tProdutos[Desconto homologado],MATCH(tItens[[#This Row],[Produto]],tProdutos[Produto],0))),DescontoPadrao)</f>
        <v>0.30410958904109597</v>
      </c>
      <c r="M6131" s="12">
        <f>tItens[[#This Row],[Valor]]*(1-tItens[[#This Row],[Desconto]])</f>
        <v>222.6849315068493</v>
      </c>
      <c r="N6131" t="str">
        <f>IFERROR(INDEX(tProdutos[Foco],MATCH(tItens[[#This Row],[Produto]],tProdutos[Produto],0)),"Não")</f>
        <v>Não</v>
      </c>
      <c r="O6131" t="str">
        <f>IFERROR(INDEX(tEditais[SRP],MATCH(tItens[[#This Row],[Edital]],tEditais[Edital],0)),"Não")</f>
        <v>Sim</v>
      </c>
      <c r="P6131" s="4">
        <f>IF(COUNTIFS(INDEX(tItens[Edital],1):tItens[[#This Row],[Edital]],tItens[[#This Row],[Edital]],INDEX(tItens[Produto],1):tItens[[#This Row],[Produto]],tItens[[#This Row],[Produto]])=1,1,0)</f>
        <v>0</v>
      </c>
    </row>
    <row r="6132" spans="1:16" x14ac:dyDescent="0.25">
      <c r="A6132" t="s">
        <v>2146</v>
      </c>
      <c r="B6132">
        <v>347</v>
      </c>
      <c r="C6132" t="s">
        <v>8875</v>
      </c>
      <c r="D6132" t="s">
        <v>110</v>
      </c>
      <c r="E6132" s="13">
        <v>100</v>
      </c>
      <c r="F6132" s="12">
        <v>2.13</v>
      </c>
      <c r="G6132" t="str">
        <f>IFERROR(INDEX(tEditais[Órgão],MATCH(tItens[[#This Row],[Edital]],tEditais[Edital],0)),"")</f>
        <v>MUNICIPIO DE GENERAL CARNEIRO</v>
      </c>
      <c r="H6132" t="str">
        <f>IFERROR(INDEX(tEditais[UF],MATCH(tItens[[#This Row],[Edital]],tEditais[Edital],0)),"")</f>
        <v>PR</v>
      </c>
      <c r="I6132" s="11">
        <f>IFERROR(INDEX(tEditais[Encerramento],MATCH(tItens[[#This Row],[Edital]],tEditais[Edital],0)),"")</f>
        <v>46311.333333333336</v>
      </c>
      <c r="J6132" t="str">
        <f>IFERROR(INDEX(tProdutos[Classe],MATCH(tItens[[#This Row],[Produto]],tProdutos[Produto],0)),"produto não cadastrado")</f>
        <v>NÚCLEO</v>
      </c>
      <c r="K6132" s="12">
        <f>tItens[[#This Row],[Qtd]]*tItens[[#This Row],[Vlr unit]]</f>
        <v>213</v>
      </c>
      <c r="L6132" s="6">
        <f>IFERROR(IF(INDEX(tProdutos[Desconto homologado],MATCH(tItens[[#This Row],[Produto]],tProdutos[Produto],0))="",DescontoPadrao,INDEX(tProdutos[Desconto homologado],MATCH(tItens[[#This Row],[Produto]],tProdutos[Produto],0))),DescontoPadrao)</f>
        <v>0.30410958904109597</v>
      </c>
      <c r="M6132" s="12">
        <f>tItens[[#This Row],[Valor]]*(1-tItens[[#This Row],[Desconto]])</f>
        <v>148.22465753424655</v>
      </c>
      <c r="N6132" t="str">
        <f>IFERROR(INDEX(tProdutos[Foco],MATCH(tItens[[#This Row],[Produto]],tProdutos[Produto],0)),"Não")</f>
        <v>Não</v>
      </c>
      <c r="O6132" t="str">
        <f>IFERROR(INDEX(tEditais[SRP],MATCH(tItens[[#This Row],[Edital]],tEditais[Edital],0)),"Não")</f>
        <v>Sim</v>
      </c>
      <c r="P6132" s="4">
        <f>IF(COUNTIFS(INDEX(tItens[Edital],1):tItens[[#This Row],[Edital]],tItens[[#This Row],[Edital]],INDEX(tItens[Produto],1):tItens[[#This Row],[Produto]],tItens[[#This Row],[Produto]])=1,1,0)</f>
        <v>0</v>
      </c>
    </row>
    <row r="6133" spans="1:16" x14ac:dyDescent="0.25">
      <c r="A6133" t="s">
        <v>2146</v>
      </c>
      <c r="B6133">
        <v>348</v>
      </c>
      <c r="C6133" t="s">
        <v>8876</v>
      </c>
      <c r="D6133" t="s">
        <v>110</v>
      </c>
      <c r="E6133" s="13">
        <v>100</v>
      </c>
      <c r="F6133" s="12">
        <v>1.46</v>
      </c>
      <c r="G6133" t="str">
        <f>IFERROR(INDEX(tEditais[Órgão],MATCH(tItens[[#This Row],[Edital]],tEditais[Edital],0)),"")</f>
        <v>MUNICIPIO DE GENERAL CARNEIRO</v>
      </c>
      <c r="H6133" t="str">
        <f>IFERROR(INDEX(tEditais[UF],MATCH(tItens[[#This Row],[Edital]],tEditais[Edital],0)),"")</f>
        <v>PR</v>
      </c>
      <c r="I6133" s="11">
        <f>IFERROR(INDEX(tEditais[Encerramento],MATCH(tItens[[#This Row],[Edital]],tEditais[Edital],0)),"")</f>
        <v>46311.333333333336</v>
      </c>
      <c r="J6133" t="str">
        <f>IFERROR(INDEX(tProdutos[Classe],MATCH(tItens[[#This Row],[Produto]],tProdutos[Produto],0)),"produto não cadastrado")</f>
        <v>NÚCLEO</v>
      </c>
      <c r="K6133" s="12">
        <f>tItens[[#This Row],[Qtd]]*tItens[[#This Row],[Vlr unit]]</f>
        <v>146</v>
      </c>
      <c r="L6133" s="6">
        <f>IFERROR(IF(INDEX(tProdutos[Desconto homologado],MATCH(tItens[[#This Row],[Produto]],tProdutos[Produto],0))="",DescontoPadrao,INDEX(tProdutos[Desconto homologado],MATCH(tItens[[#This Row],[Produto]],tProdutos[Produto],0))),DescontoPadrao)</f>
        <v>0.30410958904109597</v>
      </c>
      <c r="M6133" s="12">
        <f>tItens[[#This Row],[Valor]]*(1-tItens[[#This Row],[Desconto]])</f>
        <v>101.6</v>
      </c>
      <c r="N6133" t="str">
        <f>IFERROR(INDEX(tProdutos[Foco],MATCH(tItens[[#This Row],[Produto]],tProdutos[Produto],0)),"Não")</f>
        <v>Não</v>
      </c>
      <c r="O6133" t="str">
        <f>IFERROR(INDEX(tEditais[SRP],MATCH(tItens[[#This Row],[Edital]],tEditais[Edital],0)),"Não")</f>
        <v>Sim</v>
      </c>
      <c r="P6133" s="4">
        <f>IF(COUNTIFS(INDEX(tItens[Edital],1):tItens[[#This Row],[Edital]],tItens[[#This Row],[Edital]],INDEX(tItens[Produto],1):tItens[[#This Row],[Produto]],tItens[[#This Row],[Produto]])=1,1,0)</f>
        <v>0</v>
      </c>
    </row>
    <row r="6134" spans="1:16" x14ac:dyDescent="0.25">
      <c r="A6134" t="s">
        <v>2146</v>
      </c>
      <c r="B6134">
        <v>349</v>
      </c>
      <c r="C6134" t="s">
        <v>8877</v>
      </c>
      <c r="D6134" t="s">
        <v>110</v>
      </c>
      <c r="E6134" s="13">
        <v>50</v>
      </c>
      <c r="F6134" s="12">
        <v>1.35</v>
      </c>
      <c r="G6134" t="str">
        <f>IFERROR(INDEX(tEditais[Órgão],MATCH(tItens[[#This Row],[Edital]],tEditais[Edital],0)),"")</f>
        <v>MUNICIPIO DE GENERAL CARNEIRO</v>
      </c>
      <c r="H6134" t="str">
        <f>IFERROR(INDEX(tEditais[UF],MATCH(tItens[[#This Row],[Edital]],tEditais[Edital],0)),"")</f>
        <v>PR</v>
      </c>
      <c r="I6134" s="11">
        <f>IFERROR(INDEX(tEditais[Encerramento],MATCH(tItens[[#This Row],[Edital]],tEditais[Edital],0)),"")</f>
        <v>46311.333333333336</v>
      </c>
      <c r="J6134" t="str">
        <f>IFERROR(INDEX(tProdutos[Classe],MATCH(tItens[[#This Row],[Produto]],tProdutos[Produto],0)),"produto não cadastrado")</f>
        <v>NÚCLEO</v>
      </c>
      <c r="K6134" s="12">
        <f>tItens[[#This Row],[Qtd]]*tItens[[#This Row],[Vlr unit]]</f>
        <v>67.5</v>
      </c>
      <c r="L6134" s="6">
        <f>IFERROR(IF(INDEX(tProdutos[Desconto homologado],MATCH(tItens[[#This Row],[Produto]],tProdutos[Produto],0))="",DescontoPadrao,INDEX(tProdutos[Desconto homologado],MATCH(tItens[[#This Row],[Produto]],tProdutos[Produto],0))),DescontoPadrao)</f>
        <v>0.30410958904109597</v>
      </c>
      <c r="M6134" s="12">
        <f>tItens[[#This Row],[Valor]]*(1-tItens[[#This Row],[Desconto]])</f>
        <v>46.972602739726021</v>
      </c>
      <c r="N6134" t="str">
        <f>IFERROR(INDEX(tProdutos[Foco],MATCH(tItens[[#This Row],[Produto]],tProdutos[Produto],0)),"Não")</f>
        <v>Não</v>
      </c>
      <c r="O6134" t="str">
        <f>IFERROR(INDEX(tEditais[SRP],MATCH(tItens[[#This Row],[Edital]],tEditais[Edital],0)),"Não")</f>
        <v>Sim</v>
      </c>
      <c r="P6134" s="4">
        <f>IF(COUNTIFS(INDEX(tItens[Edital],1):tItens[[#This Row],[Edital]],tItens[[#This Row],[Edital]],INDEX(tItens[Produto],1):tItens[[#This Row],[Produto]],tItens[[#This Row],[Produto]])=1,1,0)</f>
        <v>0</v>
      </c>
    </row>
    <row r="6135" spans="1:16" x14ac:dyDescent="0.25">
      <c r="A6135" t="s">
        <v>2146</v>
      </c>
      <c r="B6135">
        <v>350</v>
      </c>
      <c r="C6135" t="s">
        <v>8878</v>
      </c>
      <c r="D6135" t="s">
        <v>110</v>
      </c>
      <c r="E6135" s="13">
        <v>50</v>
      </c>
      <c r="F6135" s="12">
        <v>1.25</v>
      </c>
      <c r="G6135" t="str">
        <f>IFERROR(INDEX(tEditais[Órgão],MATCH(tItens[[#This Row],[Edital]],tEditais[Edital],0)),"")</f>
        <v>MUNICIPIO DE GENERAL CARNEIRO</v>
      </c>
      <c r="H6135" t="str">
        <f>IFERROR(INDEX(tEditais[UF],MATCH(tItens[[#This Row],[Edital]],tEditais[Edital],0)),"")</f>
        <v>PR</v>
      </c>
      <c r="I6135" s="11">
        <f>IFERROR(INDEX(tEditais[Encerramento],MATCH(tItens[[#This Row],[Edital]],tEditais[Edital],0)),"")</f>
        <v>46311.333333333336</v>
      </c>
      <c r="J6135" t="str">
        <f>IFERROR(INDEX(tProdutos[Classe],MATCH(tItens[[#This Row],[Produto]],tProdutos[Produto],0)),"produto não cadastrado")</f>
        <v>NÚCLEO</v>
      </c>
      <c r="K6135" s="12">
        <f>tItens[[#This Row],[Qtd]]*tItens[[#This Row],[Vlr unit]]</f>
        <v>62.5</v>
      </c>
      <c r="L6135" s="6">
        <f>IFERROR(IF(INDEX(tProdutos[Desconto homologado],MATCH(tItens[[#This Row],[Produto]],tProdutos[Produto],0))="",DescontoPadrao,INDEX(tProdutos[Desconto homologado],MATCH(tItens[[#This Row],[Produto]],tProdutos[Produto],0))),DescontoPadrao)</f>
        <v>0.30410958904109597</v>
      </c>
      <c r="M6135" s="12">
        <f>tItens[[#This Row],[Valor]]*(1-tItens[[#This Row],[Desconto]])</f>
        <v>43.4931506849315</v>
      </c>
      <c r="N6135" t="str">
        <f>IFERROR(INDEX(tProdutos[Foco],MATCH(tItens[[#This Row],[Produto]],tProdutos[Produto],0)),"Não")</f>
        <v>Não</v>
      </c>
      <c r="O6135" t="str">
        <f>IFERROR(INDEX(tEditais[SRP],MATCH(tItens[[#This Row],[Edital]],tEditais[Edital],0)),"Não")</f>
        <v>Sim</v>
      </c>
      <c r="P6135" s="4">
        <f>IF(COUNTIFS(INDEX(tItens[Edital],1):tItens[[#This Row],[Edital]],tItens[[#This Row],[Edital]],INDEX(tItens[Produto],1):tItens[[#This Row],[Produto]],tItens[[#This Row],[Produto]])=1,1,0)</f>
        <v>0</v>
      </c>
    </row>
    <row r="6136" spans="1:16" x14ac:dyDescent="0.25">
      <c r="A6136" t="s">
        <v>2146</v>
      </c>
      <c r="B6136">
        <v>351</v>
      </c>
      <c r="C6136" t="s">
        <v>8879</v>
      </c>
      <c r="D6136" t="s">
        <v>110</v>
      </c>
      <c r="E6136" s="13">
        <v>100</v>
      </c>
      <c r="F6136" s="12">
        <v>1.07</v>
      </c>
      <c r="G6136" t="str">
        <f>IFERROR(INDEX(tEditais[Órgão],MATCH(tItens[[#This Row],[Edital]],tEditais[Edital],0)),"")</f>
        <v>MUNICIPIO DE GENERAL CARNEIRO</v>
      </c>
      <c r="H6136" t="str">
        <f>IFERROR(INDEX(tEditais[UF],MATCH(tItens[[#This Row],[Edital]],tEditais[Edital],0)),"")</f>
        <v>PR</v>
      </c>
      <c r="I6136" s="11">
        <f>IFERROR(INDEX(tEditais[Encerramento],MATCH(tItens[[#This Row],[Edital]],tEditais[Edital],0)),"")</f>
        <v>46311.333333333336</v>
      </c>
      <c r="J6136" t="str">
        <f>IFERROR(INDEX(tProdutos[Classe],MATCH(tItens[[#This Row],[Produto]],tProdutos[Produto],0)),"produto não cadastrado")</f>
        <v>NÚCLEO</v>
      </c>
      <c r="K6136" s="12">
        <f>tItens[[#This Row],[Qtd]]*tItens[[#This Row],[Vlr unit]]</f>
        <v>107</v>
      </c>
      <c r="L6136" s="6">
        <f>IFERROR(IF(INDEX(tProdutos[Desconto homologado],MATCH(tItens[[#This Row],[Produto]],tProdutos[Produto],0))="",DescontoPadrao,INDEX(tProdutos[Desconto homologado],MATCH(tItens[[#This Row],[Produto]],tProdutos[Produto],0))),DescontoPadrao)</f>
        <v>0.30410958904109597</v>
      </c>
      <c r="M6136" s="12">
        <f>tItens[[#This Row],[Valor]]*(1-tItens[[#This Row],[Desconto]])</f>
        <v>74.460273972602735</v>
      </c>
      <c r="N6136" t="str">
        <f>IFERROR(INDEX(tProdutos[Foco],MATCH(tItens[[#This Row],[Produto]],tProdutos[Produto],0)),"Não")</f>
        <v>Não</v>
      </c>
      <c r="O6136" t="str">
        <f>IFERROR(INDEX(tEditais[SRP],MATCH(tItens[[#This Row],[Edital]],tEditais[Edital],0)),"Não")</f>
        <v>Sim</v>
      </c>
      <c r="P6136" s="4">
        <f>IF(COUNTIFS(INDEX(tItens[Edital],1):tItens[[#This Row],[Edital]],tItens[[#This Row],[Edital]],INDEX(tItens[Produto],1):tItens[[#This Row],[Produto]],tItens[[#This Row],[Produto]])=1,1,0)</f>
        <v>0</v>
      </c>
    </row>
    <row r="6137" spans="1:16" x14ac:dyDescent="0.25">
      <c r="A6137" t="s">
        <v>2146</v>
      </c>
      <c r="B6137">
        <v>355</v>
      </c>
      <c r="C6137" t="s">
        <v>8880</v>
      </c>
      <c r="D6137" t="s">
        <v>120</v>
      </c>
      <c r="E6137" s="13">
        <v>5500</v>
      </c>
      <c r="F6137" s="12">
        <v>0.88</v>
      </c>
      <c r="G6137" t="str">
        <f>IFERROR(INDEX(tEditais[Órgão],MATCH(tItens[[#This Row],[Edital]],tEditais[Edital],0)),"")</f>
        <v>MUNICIPIO DE GENERAL CARNEIRO</v>
      </c>
      <c r="H6137" t="str">
        <f>IFERROR(INDEX(tEditais[UF],MATCH(tItens[[#This Row],[Edital]],tEditais[Edital],0)),"")</f>
        <v>PR</v>
      </c>
      <c r="I6137" s="11">
        <f>IFERROR(INDEX(tEditais[Encerramento],MATCH(tItens[[#This Row],[Edital]],tEditais[Edital],0)),"")</f>
        <v>46311.333333333336</v>
      </c>
      <c r="J6137" t="str">
        <f>IFERROR(INDEX(tProdutos[Classe],MATCH(tItens[[#This Row],[Produto]],tProdutos[Produto],0)),"produto não cadastrado")</f>
        <v>DISPUTADO</v>
      </c>
      <c r="K6137" s="12">
        <f>tItens[[#This Row],[Qtd]]*tItens[[#This Row],[Vlr unit]]</f>
        <v>4840</v>
      </c>
      <c r="L6137" s="6">
        <f>IFERROR(IF(INDEX(tProdutos[Desconto homologado],MATCH(tItens[[#This Row],[Produto]],tProdutos[Produto],0))="",DescontoPadrao,INDEX(tProdutos[Desconto homologado],MATCH(tItens[[#This Row],[Produto]],tProdutos[Produto],0))),DescontoPadrao)</f>
        <v>0.40909090909090901</v>
      </c>
      <c r="M6137" s="12">
        <f>tItens[[#This Row],[Valor]]*(1-tItens[[#This Row],[Desconto]])</f>
        <v>2860.0000000000009</v>
      </c>
      <c r="N6137" t="str">
        <f>IFERROR(INDEX(tProdutos[Foco],MATCH(tItens[[#This Row],[Produto]],tProdutos[Produto],0)),"Não")</f>
        <v>Não</v>
      </c>
      <c r="O6137" t="str">
        <f>IFERROR(INDEX(tEditais[SRP],MATCH(tItens[[#This Row],[Edital]],tEditais[Edital],0)),"Não")</f>
        <v>Sim</v>
      </c>
      <c r="P6137" s="4">
        <f>IF(COUNTIFS(INDEX(tItens[Edital],1):tItens[[#This Row],[Edital]],tItens[[#This Row],[Edital]],INDEX(tItens[Produto],1):tItens[[#This Row],[Produto]],tItens[[#This Row],[Produto]])=1,1,0)</f>
        <v>1</v>
      </c>
    </row>
    <row r="6138" spans="1:16" x14ac:dyDescent="0.25">
      <c r="A6138" t="s">
        <v>2146</v>
      </c>
      <c r="B6138">
        <v>356</v>
      </c>
      <c r="C6138" t="s">
        <v>8881</v>
      </c>
      <c r="D6138" t="s">
        <v>120</v>
      </c>
      <c r="E6138" s="13">
        <v>5000</v>
      </c>
      <c r="F6138" s="12">
        <v>1.48</v>
      </c>
      <c r="G6138" t="str">
        <f>IFERROR(INDEX(tEditais[Órgão],MATCH(tItens[[#This Row],[Edital]],tEditais[Edital],0)),"")</f>
        <v>MUNICIPIO DE GENERAL CARNEIRO</v>
      </c>
      <c r="H6138" t="str">
        <f>IFERROR(INDEX(tEditais[UF],MATCH(tItens[[#This Row],[Edital]],tEditais[Edital],0)),"")</f>
        <v>PR</v>
      </c>
      <c r="I6138" s="11">
        <f>IFERROR(INDEX(tEditais[Encerramento],MATCH(tItens[[#This Row],[Edital]],tEditais[Edital],0)),"")</f>
        <v>46311.333333333336</v>
      </c>
      <c r="J6138" t="str">
        <f>IFERROR(INDEX(tProdutos[Classe],MATCH(tItens[[#This Row],[Produto]],tProdutos[Produto],0)),"produto não cadastrado")</f>
        <v>DISPUTADO</v>
      </c>
      <c r="K6138" s="12">
        <f>tItens[[#This Row],[Qtd]]*tItens[[#This Row],[Vlr unit]]</f>
        <v>7400</v>
      </c>
      <c r="L6138" s="6">
        <f>IFERROR(IF(INDEX(tProdutos[Desconto homologado],MATCH(tItens[[#This Row],[Produto]],tProdutos[Produto],0))="",DescontoPadrao,INDEX(tProdutos[Desconto homologado],MATCH(tItens[[#This Row],[Produto]],tProdutos[Produto],0))),DescontoPadrao)</f>
        <v>0.40909090909090901</v>
      </c>
      <c r="M6138" s="12">
        <f>tItens[[#This Row],[Valor]]*(1-tItens[[#This Row],[Desconto]])</f>
        <v>4372.7272727272739</v>
      </c>
      <c r="N6138" t="str">
        <f>IFERROR(INDEX(tProdutos[Foco],MATCH(tItens[[#This Row],[Produto]],tProdutos[Produto],0)),"Não")</f>
        <v>Não</v>
      </c>
      <c r="O6138" t="str">
        <f>IFERROR(INDEX(tEditais[SRP],MATCH(tItens[[#This Row],[Edital]],tEditais[Edital],0)),"Não")</f>
        <v>Sim</v>
      </c>
      <c r="P6138" s="4">
        <f>IF(COUNTIFS(INDEX(tItens[Edital],1):tItens[[#This Row],[Edital]],tItens[[#This Row],[Edital]],INDEX(tItens[Produto],1):tItens[[#This Row],[Produto]],tItens[[#This Row],[Produto]])=1,1,0)</f>
        <v>0</v>
      </c>
    </row>
    <row r="6139" spans="1:16" x14ac:dyDescent="0.25">
      <c r="A6139" t="s">
        <v>2146</v>
      </c>
      <c r="B6139">
        <v>357</v>
      </c>
      <c r="C6139" t="s">
        <v>8882</v>
      </c>
      <c r="D6139" t="s">
        <v>120</v>
      </c>
      <c r="E6139" s="13">
        <v>7000</v>
      </c>
      <c r="F6139" s="12">
        <v>1.01</v>
      </c>
      <c r="G6139" t="str">
        <f>IFERROR(INDEX(tEditais[Órgão],MATCH(tItens[[#This Row],[Edital]],tEditais[Edital],0)),"")</f>
        <v>MUNICIPIO DE GENERAL CARNEIRO</v>
      </c>
      <c r="H6139" t="str">
        <f>IFERROR(INDEX(tEditais[UF],MATCH(tItens[[#This Row],[Edital]],tEditais[Edital],0)),"")</f>
        <v>PR</v>
      </c>
      <c r="I6139" s="11">
        <f>IFERROR(INDEX(tEditais[Encerramento],MATCH(tItens[[#This Row],[Edital]],tEditais[Edital],0)),"")</f>
        <v>46311.333333333336</v>
      </c>
      <c r="J6139" t="str">
        <f>IFERROR(INDEX(tProdutos[Classe],MATCH(tItens[[#This Row],[Produto]],tProdutos[Produto],0)),"produto não cadastrado")</f>
        <v>DISPUTADO</v>
      </c>
      <c r="K6139" s="12">
        <f>tItens[[#This Row],[Qtd]]*tItens[[#This Row],[Vlr unit]]</f>
        <v>7070</v>
      </c>
      <c r="L6139" s="6">
        <f>IFERROR(IF(INDEX(tProdutos[Desconto homologado],MATCH(tItens[[#This Row],[Produto]],tProdutos[Produto],0))="",DescontoPadrao,INDEX(tProdutos[Desconto homologado],MATCH(tItens[[#This Row],[Produto]],tProdutos[Produto],0))),DescontoPadrao)</f>
        <v>0.40909090909090901</v>
      </c>
      <c r="M6139" s="12">
        <f>tItens[[#This Row],[Valor]]*(1-tItens[[#This Row],[Desconto]])</f>
        <v>4177.7272727272739</v>
      </c>
      <c r="N6139" t="str">
        <f>IFERROR(INDEX(tProdutos[Foco],MATCH(tItens[[#This Row],[Produto]],tProdutos[Produto],0)),"Não")</f>
        <v>Não</v>
      </c>
      <c r="O6139" t="str">
        <f>IFERROR(INDEX(tEditais[SRP],MATCH(tItens[[#This Row],[Edital]],tEditais[Edital],0)),"Não")</f>
        <v>Sim</v>
      </c>
      <c r="P6139" s="4">
        <f>IF(COUNTIFS(INDEX(tItens[Edital],1):tItens[[#This Row],[Edital]],tItens[[#This Row],[Edital]],INDEX(tItens[Produto],1):tItens[[#This Row],[Produto]],tItens[[#This Row],[Produto]])=1,1,0)</f>
        <v>0</v>
      </c>
    </row>
    <row r="6140" spans="1:16" x14ac:dyDescent="0.25">
      <c r="A6140" t="s">
        <v>2146</v>
      </c>
      <c r="B6140">
        <v>358</v>
      </c>
      <c r="C6140" t="s">
        <v>8883</v>
      </c>
      <c r="D6140" t="s">
        <v>120</v>
      </c>
      <c r="E6140" s="13">
        <v>8100</v>
      </c>
      <c r="F6140" s="12">
        <v>1.55</v>
      </c>
      <c r="G6140" t="str">
        <f>IFERROR(INDEX(tEditais[Órgão],MATCH(tItens[[#This Row],[Edital]],tEditais[Edital],0)),"")</f>
        <v>MUNICIPIO DE GENERAL CARNEIRO</v>
      </c>
      <c r="H6140" t="str">
        <f>IFERROR(INDEX(tEditais[UF],MATCH(tItens[[#This Row],[Edital]],tEditais[Edital],0)),"")</f>
        <v>PR</v>
      </c>
      <c r="I6140" s="11">
        <f>IFERROR(INDEX(tEditais[Encerramento],MATCH(tItens[[#This Row],[Edital]],tEditais[Edital],0)),"")</f>
        <v>46311.333333333336</v>
      </c>
      <c r="J6140" t="str">
        <f>IFERROR(INDEX(tProdutos[Classe],MATCH(tItens[[#This Row],[Produto]],tProdutos[Produto],0)),"produto não cadastrado")</f>
        <v>DISPUTADO</v>
      </c>
      <c r="K6140" s="12">
        <f>tItens[[#This Row],[Qtd]]*tItens[[#This Row],[Vlr unit]]</f>
        <v>12555</v>
      </c>
      <c r="L6140" s="6">
        <f>IFERROR(IF(INDEX(tProdutos[Desconto homologado],MATCH(tItens[[#This Row],[Produto]],tProdutos[Produto],0))="",DescontoPadrao,INDEX(tProdutos[Desconto homologado],MATCH(tItens[[#This Row],[Produto]],tProdutos[Produto],0))),DescontoPadrao)</f>
        <v>0.40909090909090901</v>
      </c>
      <c r="M6140" s="12">
        <f>tItens[[#This Row],[Valor]]*(1-tItens[[#This Row],[Desconto]])</f>
        <v>7418.8636363636379</v>
      </c>
      <c r="N6140" t="str">
        <f>IFERROR(INDEX(tProdutos[Foco],MATCH(tItens[[#This Row],[Produto]],tProdutos[Produto],0)),"Não")</f>
        <v>Não</v>
      </c>
      <c r="O6140" t="str">
        <f>IFERROR(INDEX(tEditais[SRP],MATCH(tItens[[#This Row],[Edital]],tEditais[Edital],0)),"Não")</f>
        <v>Sim</v>
      </c>
      <c r="P6140" s="4">
        <f>IF(COUNTIFS(INDEX(tItens[Edital],1):tItens[[#This Row],[Edital]],tItens[[#This Row],[Edital]],INDEX(tItens[Produto],1):tItens[[#This Row],[Produto]],tItens[[#This Row],[Produto]])=1,1,0)</f>
        <v>0</v>
      </c>
    </row>
    <row r="6141" spans="1:16" x14ac:dyDescent="0.25">
      <c r="A6141" t="s">
        <v>2146</v>
      </c>
      <c r="B6141">
        <v>359</v>
      </c>
      <c r="C6141" t="s">
        <v>8884</v>
      </c>
      <c r="D6141" t="s">
        <v>120</v>
      </c>
      <c r="E6141" s="13">
        <v>2000</v>
      </c>
      <c r="F6141" s="12">
        <v>1.1000000000000001</v>
      </c>
      <c r="G6141" t="str">
        <f>IFERROR(INDEX(tEditais[Órgão],MATCH(tItens[[#This Row],[Edital]],tEditais[Edital],0)),"")</f>
        <v>MUNICIPIO DE GENERAL CARNEIRO</v>
      </c>
      <c r="H6141" t="str">
        <f>IFERROR(INDEX(tEditais[UF],MATCH(tItens[[#This Row],[Edital]],tEditais[Edital],0)),"")</f>
        <v>PR</v>
      </c>
      <c r="I6141" s="11">
        <f>IFERROR(INDEX(tEditais[Encerramento],MATCH(tItens[[#This Row],[Edital]],tEditais[Edital],0)),"")</f>
        <v>46311.333333333336</v>
      </c>
      <c r="J6141" t="str">
        <f>IFERROR(INDEX(tProdutos[Classe],MATCH(tItens[[#This Row],[Produto]],tProdutos[Produto],0)),"produto não cadastrado")</f>
        <v>DISPUTADO</v>
      </c>
      <c r="K6141" s="12">
        <f>tItens[[#This Row],[Qtd]]*tItens[[#This Row],[Vlr unit]]</f>
        <v>2200</v>
      </c>
      <c r="L6141" s="6">
        <f>IFERROR(IF(INDEX(tProdutos[Desconto homologado],MATCH(tItens[[#This Row],[Produto]],tProdutos[Produto],0))="",DescontoPadrao,INDEX(tProdutos[Desconto homologado],MATCH(tItens[[#This Row],[Produto]],tProdutos[Produto],0))),DescontoPadrao)</f>
        <v>0.40909090909090901</v>
      </c>
      <c r="M6141" s="12">
        <f>tItens[[#This Row],[Valor]]*(1-tItens[[#This Row],[Desconto]])</f>
        <v>1300.0000000000002</v>
      </c>
      <c r="N6141" t="str">
        <f>IFERROR(INDEX(tProdutos[Foco],MATCH(tItens[[#This Row],[Produto]],tProdutos[Produto],0)),"Não")</f>
        <v>Não</v>
      </c>
      <c r="O6141" t="str">
        <f>IFERROR(INDEX(tEditais[SRP],MATCH(tItens[[#This Row],[Edital]],tEditais[Edital],0)),"Não")</f>
        <v>Sim</v>
      </c>
      <c r="P6141" s="4">
        <f>IF(COUNTIFS(INDEX(tItens[Edital],1):tItens[[#This Row],[Edital]],tItens[[#This Row],[Edital]],INDEX(tItens[Produto],1):tItens[[#This Row],[Produto]],tItens[[#This Row],[Produto]])=1,1,0)</f>
        <v>0</v>
      </c>
    </row>
    <row r="6142" spans="1:16" x14ac:dyDescent="0.25">
      <c r="A6142" t="s">
        <v>2146</v>
      </c>
      <c r="B6142">
        <v>360</v>
      </c>
      <c r="C6142" t="s">
        <v>8885</v>
      </c>
      <c r="D6142" t="s">
        <v>120</v>
      </c>
      <c r="E6142" s="13">
        <v>150</v>
      </c>
      <c r="F6142" s="12">
        <v>0.94</v>
      </c>
      <c r="G6142" t="str">
        <f>IFERROR(INDEX(tEditais[Órgão],MATCH(tItens[[#This Row],[Edital]],tEditais[Edital],0)),"")</f>
        <v>MUNICIPIO DE GENERAL CARNEIRO</v>
      </c>
      <c r="H6142" t="str">
        <f>IFERROR(INDEX(tEditais[UF],MATCH(tItens[[#This Row],[Edital]],tEditais[Edital],0)),"")</f>
        <v>PR</v>
      </c>
      <c r="I6142" s="11">
        <f>IFERROR(INDEX(tEditais[Encerramento],MATCH(tItens[[#This Row],[Edital]],tEditais[Edital],0)),"")</f>
        <v>46311.333333333336</v>
      </c>
      <c r="J6142" t="str">
        <f>IFERROR(INDEX(tProdutos[Classe],MATCH(tItens[[#This Row],[Produto]],tProdutos[Produto],0)),"produto não cadastrado")</f>
        <v>DISPUTADO</v>
      </c>
      <c r="K6142" s="12">
        <f>tItens[[#This Row],[Qtd]]*tItens[[#This Row],[Vlr unit]]</f>
        <v>141</v>
      </c>
      <c r="L6142" s="6">
        <f>IFERROR(IF(INDEX(tProdutos[Desconto homologado],MATCH(tItens[[#This Row],[Produto]],tProdutos[Produto],0))="",DescontoPadrao,INDEX(tProdutos[Desconto homologado],MATCH(tItens[[#This Row],[Produto]],tProdutos[Produto],0))),DescontoPadrao)</f>
        <v>0.40909090909090901</v>
      </c>
      <c r="M6142" s="12">
        <f>tItens[[#This Row],[Valor]]*(1-tItens[[#This Row],[Desconto]])</f>
        <v>83.318181818181841</v>
      </c>
      <c r="N6142" t="str">
        <f>IFERROR(INDEX(tProdutos[Foco],MATCH(tItens[[#This Row],[Produto]],tProdutos[Produto],0)),"Não")</f>
        <v>Não</v>
      </c>
      <c r="O6142" t="str">
        <f>IFERROR(INDEX(tEditais[SRP],MATCH(tItens[[#This Row],[Edital]],tEditais[Edital],0)),"Não")</f>
        <v>Sim</v>
      </c>
      <c r="P6142" s="4">
        <f>IF(COUNTIFS(INDEX(tItens[Edital],1):tItens[[#This Row],[Edital]],tItens[[#This Row],[Edital]],INDEX(tItens[Produto],1):tItens[[#This Row],[Produto]],tItens[[#This Row],[Produto]])=1,1,0)</f>
        <v>0</v>
      </c>
    </row>
    <row r="6143" spans="1:16" x14ac:dyDescent="0.25">
      <c r="A6143" t="s">
        <v>2146</v>
      </c>
      <c r="B6143">
        <v>361</v>
      </c>
      <c r="C6143" t="s">
        <v>8886</v>
      </c>
      <c r="D6143" t="s">
        <v>120</v>
      </c>
      <c r="E6143" s="13">
        <v>100</v>
      </c>
      <c r="F6143" s="12">
        <v>0.88</v>
      </c>
      <c r="G6143" t="str">
        <f>IFERROR(INDEX(tEditais[Órgão],MATCH(tItens[[#This Row],[Edital]],tEditais[Edital],0)),"")</f>
        <v>MUNICIPIO DE GENERAL CARNEIRO</v>
      </c>
      <c r="H6143" t="str">
        <f>IFERROR(INDEX(tEditais[UF],MATCH(tItens[[#This Row],[Edital]],tEditais[Edital],0)),"")</f>
        <v>PR</v>
      </c>
      <c r="I6143" s="11">
        <f>IFERROR(INDEX(tEditais[Encerramento],MATCH(tItens[[#This Row],[Edital]],tEditais[Edital],0)),"")</f>
        <v>46311.333333333336</v>
      </c>
      <c r="J6143" t="str">
        <f>IFERROR(INDEX(tProdutos[Classe],MATCH(tItens[[#This Row],[Produto]],tProdutos[Produto],0)),"produto não cadastrado")</f>
        <v>DISPUTADO</v>
      </c>
      <c r="K6143" s="12">
        <f>tItens[[#This Row],[Qtd]]*tItens[[#This Row],[Vlr unit]]</f>
        <v>88</v>
      </c>
      <c r="L6143" s="6">
        <f>IFERROR(IF(INDEX(tProdutos[Desconto homologado],MATCH(tItens[[#This Row],[Produto]],tProdutos[Produto],0))="",DescontoPadrao,INDEX(tProdutos[Desconto homologado],MATCH(tItens[[#This Row],[Produto]],tProdutos[Produto],0))),DescontoPadrao)</f>
        <v>0.40909090909090901</v>
      </c>
      <c r="M6143" s="12">
        <f>tItens[[#This Row],[Valor]]*(1-tItens[[#This Row],[Desconto]])</f>
        <v>52.000000000000014</v>
      </c>
      <c r="N6143" t="str">
        <f>IFERROR(INDEX(tProdutos[Foco],MATCH(tItens[[#This Row],[Produto]],tProdutos[Produto],0)),"Não")</f>
        <v>Não</v>
      </c>
      <c r="O6143" t="str">
        <f>IFERROR(INDEX(tEditais[SRP],MATCH(tItens[[#This Row],[Edital]],tEditais[Edital],0)),"Não")</f>
        <v>Sim</v>
      </c>
      <c r="P6143" s="4">
        <f>IF(COUNTIFS(INDEX(tItens[Edital],1):tItens[[#This Row],[Edital]],tItens[[#This Row],[Edital]],INDEX(tItens[Produto],1):tItens[[#This Row],[Produto]],tItens[[#This Row],[Produto]])=1,1,0)</f>
        <v>0</v>
      </c>
    </row>
    <row r="6144" spans="1:16" x14ac:dyDescent="0.25">
      <c r="A6144" t="s">
        <v>2146</v>
      </c>
      <c r="B6144">
        <v>362</v>
      </c>
      <c r="C6144" t="s">
        <v>8887</v>
      </c>
      <c r="D6144" t="s">
        <v>120</v>
      </c>
      <c r="E6144" s="13">
        <v>100</v>
      </c>
      <c r="F6144" s="12">
        <v>1.1499999999999999</v>
      </c>
      <c r="G6144" t="str">
        <f>IFERROR(INDEX(tEditais[Órgão],MATCH(tItens[[#This Row],[Edital]],tEditais[Edital],0)),"")</f>
        <v>MUNICIPIO DE GENERAL CARNEIRO</v>
      </c>
      <c r="H6144" t="str">
        <f>IFERROR(INDEX(tEditais[UF],MATCH(tItens[[#This Row],[Edital]],tEditais[Edital],0)),"")</f>
        <v>PR</v>
      </c>
      <c r="I6144" s="11">
        <f>IFERROR(INDEX(tEditais[Encerramento],MATCH(tItens[[#This Row],[Edital]],tEditais[Edital],0)),"")</f>
        <v>46311.333333333336</v>
      </c>
      <c r="J6144" t="str">
        <f>IFERROR(INDEX(tProdutos[Classe],MATCH(tItens[[#This Row],[Produto]],tProdutos[Produto],0)),"produto não cadastrado")</f>
        <v>DISPUTADO</v>
      </c>
      <c r="K6144" s="12">
        <f>tItens[[#This Row],[Qtd]]*tItens[[#This Row],[Vlr unit]]</f>
        <v>114.99999999999999</v>
      </c>
      <c r="L6144" s="6">
        <f>IFERROR(IF(INDEX(tProdutos[Desconto homologado],MATCH(tItens[[#This Row],[Produto]],tProdutos[Produto],0))="",DescontoPadrao,INDEX(tProdutos[Desconto homologado],MATCH(tItens[[#This Row],[Produto]],tProdutos[Produto],0))),DescontoPadrao)</f>
        <v>0.40909090909090901</v>
      </c>
      <c r="M6144" s="12">
        <f>tItens[[#This Row],[Valor]]*(1-tItens[[#This Row],[Desconto]])</f>
        <v>67.954545454545467</v>
      </c>
      <c r="N6144" t="str">
        <f>IFERROR(INDEX(tProdutos[Foco],MATCH(tItens[[#This Row],[Produto]],tProdutos[Produto],0)),"Não")</f>
        <v>Não</v>
      </c>
      <c r="O6144" t="str">
        <f>IFERROR(INDEX(tEditais[SRP],MATCH(tItens[[#This Row],[Edital]],tEditais[Edital],0)),"Não")</f>
        <v>Sim</v>
      </c>
      <c r="P6144" s="4">
        <f>IF(COUNTIFS(INDEX(tItens[Edital],1):tItens[[#This Row],[Edital]],tItens[[#This Row],[Edital]],INDEX(tItens[Produto],1):tItens[[#This Row],[Produto]],tItens[[#This Row],[Produto]])=1,1,0)</f>
        <v>0</v>
      </c>
    </row>
    <row r="6145" spans="1:16" x14ac:dyDescent="0.25">
      <c r="A6145" t="s">
        <v>2146</v>
      </c>
      <c r="B6145">
        <v>363</v>
      </c>
      <c r="C6145" t="s">
        <v>8888</v>
      </c>
      <c r="D6145" t="s">
        <v>120</v>
      </c>
      <c r="E6145" s="13">
        <v>50</v>
      </c>
      <c r="F6145" s="12">
        <v>1.31</v>
      </c>
      <c r="G6145" t="str">
        <f>IFERROR(INDEX(tEditais[Órgão],MATCH(tItens[[#This Row],[Edital]],tEditais[Edital],0)),"")</f>
        <v>MUNICIPIO DE GENERAL CARNEIRO</v>
      </c>
      <c r="H6145" t="str">
        <f>IFERROR(INDEX(tEditais[UF],MATCH(tItens[[#This Row],[Edital]],tEditais[Edital],0)),"")</f>
        <v>PR</v>
      </c>
      <c r="I6145" s="11">
        <f>IFERROR(INDEX(tEditais[Encerramento],MATCH(tItens[[#This Row],[Edital]],tEditais[Edital],0)),"")</f>
        <v>46311.333333333336</v>
      </c>
      <c r="J6145" t="str">
        <f>IFERROR(INDEX(tProdutos[Classe],MATCH(tItens[[#This Row],[Produto]],tProdutos[Produto],0)),"produto não cadastrado")</f>
        <v>DISPUTADO</v>
      </c>
      <c r="K6145" s="12">
        <f>tItens[[#This Row],[Qtd]]*tItens[[#This Row],[Vlr unit]]</f>
        <v>65.5</v>
      </c>
      <c r="L6145" s="6">
        <f>IFERROR(IF(INDEX(tProdutos[Desconto homologado],MATCH(tItens[[#This Row],[Produto]],tProdutos[Produto],0))="",DescontoPadrao,INDEX(tProdutos[Desconto homologado],MATCH(tItens[[#This Row],[Produto]],tProdutos[Produto],0))),DescontoPadrao)</f>
        <v>0.40909090909090901</v>
      </c>
      <c r="M6145" s="12">
        <f>tItens[[#This Row],[Valor]]*(1-tItens[[#This Row],[Desconto]])</f>
        <v>38.70454545454546</v>
      </c>
      <c r="N6145" t="str">
        <f>IFERROR(INDEX(tProdutos[Foco],MATCH(tItens[[#This Row],[Produto]],tProdutos[Produto],0)),"Não")</f>
        <v>Não</v>
      </c>
      <c r="O6145" t="str">
        <f>IFERROR(INDEX(tEditais[SRP],MATCH(tItens[[#This Row],[Edital]],tEditais[Edital],0)),"Não")</f>
        <v>Sim</v>
      </c>
      <c r="P6145" s="4">
        <f>IF(COUNTIFS(INDEX(tItens[Edital],1):tItens[[#This Row],[Edital]],tItens[[#This Row],[Edital]],INDEX(tItens[Produto],1):tItens[[#This Row],[Produto]],tItens[[#This Row],[Produto]])=1,1,0)</f>
        <v>0</v>
      </c>
    </row>
    <row r="6146" spans="1:16" x14ac:dyDescent="0.25">
      <c r="A6146" t="s">
        <v>2146</v>
      </c>
      <c r="B6146">
        <v>364</v>
      </c>
      <c r="C6146" t="s">
        <v>8889</v>
      </c>
      <c r="D6146" t="s">
        <v>120</v>
      </c>
      <c r="E6146" s="13">
        <v>50</v>
      </c>
      <c r="F6146" s="12">
        <v>1.5</v>
      </c>
      <c r="G6146" t="str">
        <f>IFERROR(INDEX(tEditais[Órgão],MATCH(tItens[[#This Row],[Edital]],tEditais[Edital],0)),"")</f>
        <v>MUNICIPIO DE GENERAL CARNEIRO</v>
      </c>
      <c r="H6146" t="str">
        <f>IFERROR(INDEX(tEditais[UF],MATCH(tItens[[#This Row],[Edital]],tEditais[Edital],0)),"")</f>
        <v>PR</v>
      </c>
      <c r="I6146" s="11">
        <f>IFERROR(INDEX(tEditais[Encerramento],MATCH(tItens[[#This Row],[Edital]],tEditais[Edital],0)),"")</f>
        <v>46311.333333333336</v>
      </c>
      <c r="J6146" t="str">
        <f>IFERROR(INDEX(tProdutos[Classe],MATCH(tItens[[#This Row],[Produto]],tProdutos[Produto],0)),"produto não cadastrado")</f>
        <v>DISPUTADO</v>
      </c>
      <c r="K6146" s="12">
        <f>tItens[[#This Row],[Qtd]]*tItens[[#This Row],[Vlr unit]]</f>
        <v>75</v>
      </c>
      <c r="L6146" s="6">
        <f>IFERROR(IF(INDEX(tProdutos[Desconto homologado],MATCH(tItens[[#This Row],[Produto]],tProdutos[Produto],0))="",DescontoPadrao,INDEX(tProdutos[Desconto homologado],MATCH(tItens[[#This Row],[Produto]],tProdutos[Produto],0))),DescontoPadrao)</f>
        <v>0.40909090909090901</v>
      </c>
      <c r="M6146" s="12">
        <f>tItens[[#This Row],[Valor]]*(1-tItens[[#This Row],[Desconto]])</f>
        <v>44.318181818181827</v>
      </c>
      <c r="N6146" t="str">
        <f>IFERROR(INDEX(tProdutos[Foco],MATCH(tItens[[#This Row],[Produto]],tProdutos[Produto],0)),"Não")</f>
        <v>Não</v>
      </c>
      <c r="O6146" t="str">
        <f>IFERROR(INDEX(tEditais[SRP],MATCH(tItens[[#This Row],[Edital]],tEditais[Edital],0)),"Não")</f>
        <v>Sim</v>
      </c>
      <c r="P6146" s="4">
        <f>IF(COUNTIFS(INDEX(tItens[Edital],1):tItens[[#This Row],[Edital]],tItens[[#This Row],[Edital]],INDEX(tItens[Produto],1):tItens[[#This Row],[Produto]],tItens[[#This Row],[Produto]])=1,1,0)</f>
        <v>0</v>
      </c>
    </row>
    <row r="6147" spans="1:16" x14ac:dyDescent="0.25">
      <c r="A6147" t="s">
        <v>2146</v>
      </c>
      <c r="B6147">
        <v>365</v>
      </c>
      <c r="C6147" t="s">
        <v>8890</v>
      </c>
      <c r="D6147" t="s">
        <v>120</v>
      </c>
      <c r="E6147" s="13">
        <v>100</v>
      </c>
      <c r="F6147" s="12">
        <v>1.41</v>
      </c>
      <c r="G6147" t="str">
        <f>IFERROR(INDEX(tEditais[Órgão],MATCH(tItens[[#This Row],[Edital]],tEditais[Edital],0)),"")</f>
        <v>MUNICIPIO DE GENERAL CARNEIRO</v>
      </c>
      <c r="H6147" t="str">
        <f>IFERROR(INDEX(tEditais[UF],MATCH(tItens[[#This Row],[Edital]],tEditais[Edital],0)),"")</f>
        <v>PR</v>
      </c>
      <c r="I6147" s="11">
        <f>IFERROR(INDEX(tEditais[Encerramento],MATCH(tItens[[#This Row],[Edital]],tEditais[Edital],0)),"")</f>
        <v>46311.333333333336</v>
      </c>
      <c r="J6147" t="str">
        <f>IFERROR(INDEX(tProdutos[Classe],MATCH(tItens[[#This Row],[Produto]],tProdutos[Produto],0)),"produto não cadastrado")</f>
        <v>DISPUTADO</v>
      </c>
      <c r="K6147" s="12">
        <f>tItens[[#This Row],[Qtd]]*tItens[[#This Row],[Vlr unit]]</f>
        <v>141</v>
      </c>
      <c r="L6147" s="6">
        <f>IFERROR(IF(INDEX(tProdutos[Desconto homologado],MATCH(tItens[[#This Row],[Produto]],tProdutos[Produto],0))="",DescontoPadrao,INDEX(tProdutos[Desconto homologado],MATCH(tItens[[#This Row],[Produto]],tProdutos[Produto],0))),DescontoPadrao)</f>
        <v>0.40909090909090901</v>
      </c>
      <c r="M6147" s="12">
        <f>tItens[[#This Row],[Valor]]*(1-tItens[[#This Row],[Desconto]])</f>
        <v>83.318181818181841</v>
      </c>
      <c r="N6147" t="str">
        <f>IFERROR(INDEX(tProdutos[Foco],MATCH(tItens[[#This Row],[Produto]],tProdutos[Produto],0)),"Não")</f>
        <v>Não</v>
      </c>
      <c r="O6147" t="str">
        <f>IFERROR(INDEX(tEditais[SRP],MATCH(tItens[[#This Row],[Edital]],tEditais[Edital],0)),"Não")</f>
        <v>Sim</v>
      </c>
      <c r="P6147" s="4">
        <f>IF(COUNTIFS(INDEX(tItens[Edital],1):tItens[[#This Row],[Edital]],tItens[[#This Row],[Edital]],INDEX(tItens[Produto],1):tItens[[#This Row],[Produto]],tItens[[#This Row],[Produto]])=1,1,0)</f>
        <v>0</v>
      </c>
    </row>
    <row r="6148" spans="1:16" x14ac:dyDescent="0.25">
      <c r="A6148" t="s">
        <v>2146</v>
      </c>
      <c r="B6148">
        <v>396</v>
      </c>
      <c r="C6148" t="s">
        <v>8891</v>
      </c>
      <c r="D6148" t="s">
        <v>114</v>
      </c>
      <c r="E6148" s="13">
        <v>200</v>
      </c>
      <c r="F6148" s="12">
        <v>17.68</v>
      </c>
      <c r="G6148" t="str">
        <f>IFERROR(INDEX(tEditais[Órgão],MATCH(tItens[[#This Row],[Edital]],tEditais[Edital],0)),"")</f>
        <v>MUNICIPIO DE GENERAL CARNEIRO</v>
      </c>
      <c r="H6148" t="str">
        <f>IFERROR(INDEX(tEditais[UF],MATCH(tItens[[#This Row],[Edital]],tEditais[Edital],0)),"")</f>
        <v>PR</v>
      </c>
      <c r="I6148" s="11">
        <f>IFERROR(INDEX(tEditais[Encerramento],MATCH(tItens[[#This Row],[Edital]],tEditais[Edital],0)),"")</f>
        <v>46311.333333333336</v>
      </c>
      <c r="J6148" t="str">
        <f>IFERROR(INDEX(tProdutos[Classe],MATCH(tItens[[#This Row],[Produto]],tProdutos[Produto],0)),"produto não cadastrado")</f>
        <v>DISPUTADO</v>
      </c>
      <c r="K6148" s="12">
        <f>tItens[[#This Row],[Qtd]]*tItens[[#This Row],[Vlr unit]]</f>
        <v>3536</v>
      </c>
      <c r="L6148" s="6">
        <f>IFERROR(IF(INDEX(tProdutos[Desconto homologado],MATCH(tItens[[#This Row],[Produto]],tProdutos[Produto],0))="",DescontoPadrao,INDEX(tProdutos[Desconto homologado],MATCH(tItens[[#This Row],[Produto]],tProdutos[Produto],0))),DescontoPadrao)</f>
        <v>0.24332656063896899</v>
      </c>
      <c r="M6148" s="12">
        <f>tItens[[#This Row],[Valor]]*(1-tItens[[#This Row],[Desconto]])</f>
        <v>2675.5972815806058</v>
      </c>
      <c r="N6148" t="str">
        <f>IFERROR(INDEX(tProdutos[Foco],MATCH(tItens[[#This Row],[Produto]],tProdutos[Produto],0)),"Não")</f>
        <v>Não</v>
      </c>
      <c r="O6148" t="str">
        <f>IFERROR(INDEX(tEditais[SRP],MATCH(tItens[[#This Row],[Edital]],tEditais[Edital],0)),"Não")</f>
        <v>Sim</v>
      </c>
      <c r="P6148" s="4">
        <f>IF(COUNTIFS(INDEX(tItens[Edital],1):tItens[[#This Row],[Edital]],tItens[[#This Row],[Edital]],INDEX(tItens[Produto],1):tItens[[#This Row],[Produto]],tItens[[#This Row],[Produto]])=1,1,0)</f>
        <v>1</v>
      </c>
    </row>
    <row r="6149" spans="1:16" x14ac:dyDescent="0.25">
      <c r="A6149" t="s">
        <v>2151</v>
      </c>
      <c r="B6149">
        <v>3</v>
      </c>
      <c r="C6149" t="s">
        <v>8892</v>
      </c>
      <c r="D6149" t="s">
        <v>267</v>
      </c>
      <c r="E6149" s="13">
        <v>600</v>
      </c>
      <c r="F6149" s="12">
        <v>14.44</v>
      </c>
      <c r="G6149" t="str">
        <f>IFERROR(INDEX(tEditais[Órgão],MATCH(tItens[[#This Row],[Edital]],tEditais[Edital],0)),"")</f>
        <v>MUNICIPIO DE ITAPERUCU</v>
      </c>
      <c r="H6149" t="str">
        <f>IFERROR(INDEX(tEditais[UF],MATCH(tItens[[#This Row],[Edital]],tEditais[Edital],0)),"")</f>
        <v>PR</v>
      </c>
      <c r="I6149" s="11">
        <f>IFERROR(INDEX(tEditais[Encerramento],MATCH(tItens[[#This Row],[Edital]],tEditais[Edital],0)),"")</f>
        <v>46311.34375</v>
      </c>
      <c r="J6149" t="str">
        <f>IFERROR(INDEX(tProdutos[Classe],MATCH(tItens[[#This Row],[Produto]],tProdutos[Produto],0)),"produto não cadastrado")</f>
        <v>FORA</v>
      </c>
      <c r="K6149" s="12">
        <f>tItens[[#This Row],[Qtd]]*tItens[[#This Row],[Vlr unit]]</f>
        <v>8664</v>
      </c>
      <c r="L6149" s="6">
        <f>IFERROR(IF(INDEX(tProdutos[Desconto homologado],MATCH(tItens[[#This Row],[Produto]],tProdutos[Produto],0))="",DescontoPadrao,INDEX(tProdutos[Desconto homologado],MATCH(tItens[[#This Row],[Produto]],tProdutos[Produto],0))),DescontoPadrao)</f>
        <v>0.19963672657401599</v>
      </c>
      <c r="M6149" s="12">
        <f>tItens[[#This Row],[Valor]]*(1-tItens[[#This Row],[Desconto]])</f>
        <v>6934.3474009627253</v>
      </c>
      <c r="N6149" t="str">
        <f>IFERROR(INDEX(tProdutos[Foco],MATCH(tItens[[#This Row],[Produto]],tProdutos[Produto],0)),"Não")</f>
        <v>Não</v>
      </c>
      <c r="O6149" t="str">
        <f>IFERROR(INDEX(tEditais[SRP],MATCH(tItens[[#This Row],[Edital]],tEditais[Edital],0)),"Não")</f>
        <v>Não</v>
      </c>
      <c r="P6149" s="4">
        <f>IF(COUNTIFS(INDEX(tItens[Edital],1):tItens[[#This Row],[Edital]],tItens[[#This Row],[Edital]],INDEX(tItens[Produto],1):tItens[[#This Row],[Produto]],tItens[[#This Row],[Produto]])=1,1,0)</f>
        <v>1</v>
      </c>
    </row>
    <row r="6150" spans="1:16" x14ac:dyDescent="0.25">
      <c r="A6150" t="s">
        <v>2151</v>
      </c>
      <c r="B6150">
        <v>15</v>
      </c>
      <c r="C6150" t="s">
        <v>8893</v>
      </c>
      <c r="D6150" t="s">
        <v>339</v>
      </c>
      <c r="E6150" s="13">
        <v>600</v>
      </c>
      <c r="F6150" s="12">
        <v>55.63</v>
      </c>
      <c r="G6150" t="str">
        <f>IFERROR(INDEX(tEditais[Órgão],MATCH(tItens[[#This Row],[Edital]],tEditais[Edital],0)),"")</f>
        <v>MUNICIPIO DE ITAPERUCU</v>
      </c>
      <c r="H6150" t="str">
        <f>IFERROR(INDEX(tEditais[UF],MATCH(tItens[[#This Row],[Edital]],tEditais[Edital],0)),"")</f>
        <v>PR</v>
      </c>
      <c r="I6150" s="11">
        <f>IFERROR(INDEX(tEditais[Encerramento],MATCH(tItens[[#This Row],[Edital]],tEditais[Edital],0)),"")</f>
        <v>46311.34375</v>
      </c>
      <c r="J6150" t="str">
        <f>IFERROR(INDEX(tProdutos[Classe],MATCH(tItens[[#This Row],[Produto]],tProdutos[Produto],0)),"produto não cadastrado")</f>
        <v>FORA</v>
      </c>
      <c r="K6150" s="12">
        <f>tItens[[#This Row],[Qtd]]*tItens[[#This Row],[Vlr unit]]</f>
        <v>33378</v>
      </c>
      <c r="L6150" s="6">
        <f>IFERROR(IF(INDEX(tProdutos[Desconto homologado],MATCH(tItens[[#This Row],[Produto]],tProdutos[Produto],0))="",DescontoPadrao,INDEX(tProdutos[Desconto homologado],MATCH(tItens[[#This Row],[Produto]],tProdutos[Produto],0))),DescontoPadrao)</f>
        <v>0.35388629091804102</v>
      </c>
      <c r="M6150" s="12">
        <f>tItens[[#This Row],[Valor]]*(1-tItens[[#This Row],[Desconto]])</f>
        <v>21565.983381737627</v>
      </c>
      <c r="N6150" t="str">
        <f>IFERROR(INDEX(tProdutos[Foco],MATCH(tItens[[#This Row],[Produto]],tProdutos[Produto],0)),"Não")</f>
        <v>Não</v>
      </c>
      <c r="O6150" t="str">
        <f>IFERROR(INDEX(tEditais[SRP],MATCH(tItens[[#This Row],[Edital]],tEditais[Edital],0)),"Não")</f>
        <v>Não</v>
      </c>
      <c r="P6150" s="4">
        <f>IF(COUNTIFS(INDEX(tItens[Edital],1):tItens[[#This Row],[Edital]],tItens[[#This Row],[Edital]],INDEX(tItens[Produto],1):tItens[[#This Row],[Produto]],tItens[[#This Row],[Produto]])=1,1,0)</f>
        <v>1</v>
      </c>
    </row>
    <row r="6151" spans="1:16" x14ac:dyDescent="0.25">
      <c r="A6151" t="s">
        <v>2151</v>
      </c>
      <c r="B6151">
        <v>18</v>
      </c>
      <c r="C6151" t="s">
        <v>8894</v>
      </c>
      <c r="D6151" t="s">
        <v>114</v>
      </c>
      <c r="E6151" s="13">
        <v>600</v>
      </c>
      <c r="F6151" s="12">
        <v>8.9</v>
      </c>
      <c r="G6151" t="str">
        <f>IFERROR(INDEX(tEditais[Órgão],MATCH(tItens[[#This Row],[Edital]],tEditais[Edital],0)),"")</f>
        <v>MUNICIPIO DE ITAPERUCU</v>
      </c>
      <c r="H6151" t="str">
        <f>IFERROR(INDEX(tEditais[UF],MATCH(tItens[[#This Row],[Edital]],tEditais[Edital],0)),"")</f>
        <v>PR</v>
      </c>
      <c r="I6151" s="11">
        <f>IFERROR(INDEX(tEditais[Encerramento],MATCH(tItens[[#This Row],[Edital]],tEditais[Edital],0)),"")</f>
        <v>46311.34375</v>
      </c>
      <c r="J6151" t="str">
        <f>IFERROR(INDEX(tProdutos[Classe],MATCH(tItens[[#This Row],[Produto]],tProdutos[Produto],0)),"produto não cadastrado")</f>
        <v>DISPUTADO</v>
      </c>
      <c r="K6151" s="12">
        <f>tItens[[#This Row],[Qtd]]*tItens[[#This Row],[Vlr unit]]</f>
        <v>5340</v>
      </c>
      <c r="L6151" s="6">
        <f>IFERROR(IF(INDEX(tProdutos[Desconto homologado],MATCH(tItens[[#This Row],[Produto]],tProdutos[Produto],0))="",DescontoPadrao,INDEX(tProdutos[Desconto homologado],MATCH(tItens[[#This Row],[Produto]],tProdutos[Produto],0))),DescontoPadrao)</f>
        <v>0.24332656063896899</v>
      </c>
      <c r="M6151" s="12">
        <f>tItens[[#This Row],[Valor]]*(1-tItens[[#This Row],[Desconto]])</f>
        <v>4040.6361661879059</v>
      </c>
      <c r="N6151" t="str">
        <f>IFERROR(INDEX(tProdutos[Foco],MATCH(tItens[[#This Row],[Produto]],tProdutos[Produto],0)),"Não")</f>
        <v>Não</v>
      </c>
      <c r="O6151" t="str">
        <f>IFERROR(INDEX(tEditais[SRP],MATCH(tItens[[#This Row],[Edital]],tEditais[Edital],0)),"Não")</f>
        <v>Não</v>
      </c>
      <c r="P6151" s="4">
        <f>IF(COUNTIFS(INDEX(tItens[Edital],1):tItens[[#This Row],[Edital]],tItens[[#This Row],[Edital]],INDEX(tItens[Produto],1):tItens[[#This Row],[Produto]],tItens[[#This Row],[Produto]])=1,1,0)</f>
        <v>1</v>
      </c>
    </row>
    <row r="6152" spans="1:16" x14ac:dyDescent="0.25">
      <c r="A6152" t="s">
        <v>2155</v>
      </c>
      <c r="B6152">
        <v>1</v>
      </c>
      <c r="C6152" t="s">
        <v>8895</v>
      </c>
      <c r="D6152" t="s">
        <v>132</v>
      </c>
      <c r="E6152" s="13">
        <v>146</v>
      </c>
      <c r="F6152" s="12">
        <v>49.65</v>
      </c>
      <c r="G6152" t="str">
        <f>IFERROR(INDEX(tEditais[Órgão],MATCH(tItens[[#This Row],[Edital]],tEditais[Edital],0)),"")</f>
        <v>MUNICIPIO DE SANTO INACIO</v>
      </c>
      <c r="H6152" t="str">
        <f>IFERROR(INDEX(tEditais[UF],MATCH(tItens[[#This Row],[Edital]],tEditais[Edital],0)),"")</f>
        <v>PR</v>
      </c>
      <c r="I6152" s="11">
        <f>IFERROR(INDEX(tEditais[Encerramento],MATCH(tItens[[#This Row],[Edital]],tEditais[Edital],0)),"")</f>
        <v>46311.354166666664</v>
      </c>
      <c r="J6152" t="str">
        <f>IFERROR(INDEX(tProdutos[Classe],MATCH(tItens[[#This Row],[Produto]],tProdutos[Produto],0)),"produto não cadastrado")</f>
        <v>NÚCLEO</v>
      </c>
      <c r="K6152" s="12">
        <f>tItens[[#This Row],[Qtd]]*tItens[[#This Row],[Vlr unit]]</f>
        <v>7248.9</v>
      </c>
      <c r="L6152" s="6">
        <f>IFERROR(IF(INDEX(tProdutos[Desconto homologado],MATCH(tItens[[#This Row],[Produto]],tProdutos[Produto],0))="",DescontoPadrao,INDEX(tProdutos[Desconto homologado],MATCH(tItens[[#This Row],[Produto]],tProdutos[Produto],0))),DescontoPadrao)</f>
        <v>0.27</v>
      </c>
      <c r="M6152" s="12">
        <f>tItens[[#This Row],[Valor]]*(1-tItens[[#This Row],[Desconto]])</f>
        <v>5291.6969999999992</v>
      </c>
      <c r="N6152" t="str">
        <f>IFERROR(INDEX(tProdutos[Foco],MATCH(tItens[[#This Row],[Produto]],tProdutos[Produto],0)),"Não")</f>
        <v>Sim</v>
      </c>
      <c r="O6152" t="str">
        <f>IFERROR(INDEX(tEditais[SRP],MATCH(tItens[[#This Row],[Edital]],tEditais[Edital],0)),"Não")</f>
        <v>Sim</v>
      </c>
      <c r="P6152" s="4">
        <f>IF(COUNTIFS(INDEX(tItens[Edital],1):tItens[[#This Row],[Edital]],tItens[[#This Row],[Edital]],INDEX(tItens[Produto],1):tItens[[#This Row],[Produto]],tItens[[#This Row],[Produto]])=1,1,0)</f>
        <v>1</v>
      </c>
    </row>
    <row r="6153" spans="1:16" x14ac:dyDescent="0.25">
      <c r="A6153" t="s">
        <v>2155</v>
      </c>
      <c r="B6153">
        <v>2</v>
      </c>
      <c r="C6153" t="s">
        <v>8896</v>
      </c>
      <c r="D6153" t="s">
        <v>132</v>
      </c>
      <c r="E6153" s="13">
        <v>4</v>
      </c>
      <c r="F6153" s="12">
        <v>51.98</v>
      </c>
      <c r="G6153" t="str">
        <f>IFERROR(INDEX(tEditais[Órgão],MATCH(tItens[[#This Row],[Edital]],tEditais[Edital],0)),"")</f>
        <v>MUNICIPIO DE SANTO INACIO</v>
      </c>
      <c r="H6153" t="str">
        <f>IFERROR(INDEX(tEditais[UF],MATCH(tItens[[#This Row],[Edital]],tEditais[Edital],0)),"")</f>
        <v>PR</v>
      </c>
      <c r="I6153" s="11">
        <f>IFERROR(INDEX(tEditais[Encerramento],MATCH(tItens[[#This Row],[Edital]],tEditais[Edital],0)),"")</f>
        <v>46311.354166666664</v>
      </c>
      <c r="J6153" t="str">
        <f>IFERROR(INDEX(tProdutos[Classe],MATCH(tItens[[#This Row],[Produto]],tProdutos[Produto],0)),"produto não cadastrado")</f>
        <v>NÚCLEO</v>
      </c>
      <c r="K6153" s="12">
        <f>tItens[[#This Row],[Qtd]]*tItens[[#This Row],[Vlr unit]]</f>
        <v>207.92</v>
      </c>
      <c r="L6153" s="6">
        <f>IFERROR(IF(INDEX(tProdutos[Desconto homologado],MATCH(tItens[[#This Row],[Produto]],tProdutos[Produto],0))="",DescontoPadrao,INDEX(tProdutos[Desconto homologado],MATCH(tItens[[#This Row],[Produto]],tProdutos[Produto],0))),DescontoPadrao)</f>
        <v>0.27</v>
      </c>
      <c r="M6153" s="12">
        <f>tItens[[#This Row],[Valor]]*(1-tItens[[#This Row],[Desconto]])</f>
        <v>151.7816</v>
      </c>
      <c r="N6153" t="str">
        <f>IFERROR(INDEX(tProdutos[Foco],MATCH(tItens[[#This Row],[Produto]],tProdutos[Produto],0)),"Não")</f>
        <v>Sim</v>
      </c>
      <c r="O6153" t="str">
        <f>IFERROR(INDEX(tEditais[SRP],MATCH(tItens[[#This Row],[Edital]],tEditais[Edital],0)),"Não")</f>
        <v>Sim</v>
      </c>
      <c r="P6153" s="4">
        <f>IF(COUNTIFS(INDEX(tItens[Edital],1):tItens[[#This Row],[Edital]],tItens[[#This Row],[Edital]],INDEX(tItens[Produto],1):tItens[[#This Row],[Produto]],tItens[[#This Row],[Produto]])=1,1,0)</f>
        <v>0</v>
      </c>
    </row>
    <row r="6154" spans="1:16" x14ac:dyDescent="0.25">
      <c r="A6154" t="s">
        <v>2155</v>
      </c>
      <c r="B6154">
        <v>30</v>
      </c>
      <c r="C6154" t="s">
        <v>8897</v>
      </c>
      <c r="D6154" t="s">
        <v>114</v>
      </c>
      <c r="E6154" s="13">
        <v>100</v>
      </c>
      <c r="F6154" s="12">
        <v>96.55</v>
      </c>
      <c r="G6154" t="str">
        <f>IFERROR(INDEX(tEditais[Órgão],MATCH(tItens[[#This Row],[Edital]],tEditais[Edital],0)),"")</f>
        <v>MUNICIPIO DE SANTO INACIO</v>
      </c>
      <c r="H6154" t="str">
        <f>IFERROR(INDEX(tEditais[UF],MATCH(tItens[[#This Row],[Edital]],tEditais[Edital],0)),"")</f>
        <v>PR</v>
      </c>
      <c r="I6154" s="11">
        <f>IFERROR(INDEX(tEditais[Encerramento],MATCH(tItens[[#This Row],[Edital]],tEditais[Edital],0)),"")</f>
        <v>46311.354166666664</v>
      </c>
      <c r="J6154" t="str">
        <f>IFERROR(INDEX(tProdutos[Classe],MATCH(tItens[[#This Row],[Produto]],tProdutos[Produto],0)),"produto não cadastrado")</f>
        <v>DISPUTADO</v>
      </c>
      <c r="K6154" s="12">
        <f>tItens[[#This Row],[Qtd]]*tItens[[#This Row],[Vlr unit]]</f>
        <v>9655</v>
      </c>
      <c r="L6154" s="6">
        <f>IFERROR(IF(INDEX(tProdutos[Desconto homologado],MATCH(tItens[[#This Row],[Produto]],tProdutos[Produto],0))="",DescontoPadrao,INDEX(tProdutos[Desconto homologado],MATCH(tItens[[#This Row],[Produto]],tProdutos[Produto],0))),DescontoPadrao)</f>
        <v>0.24332656063896899</v>
      </c>
      <c r="M6154" s="12">
        <f>tItens[[#This Row],[Valor]]*(1-tItens[[#This Row],[Desconto]])</f>
        <v>7305.6820570307545</v>
      </c>
      <c r="N6154" t="str">
        <f>IFERROR(INDEX(tProdutos[Foco],MATCH(tItens[[#This Row],[Produto]],tProdutos[Produto],0)),"Não")</f>
        <v>Não</v>
      </c>
      <c r="O6154" t="str">
        <f>IFERROR(INDEX(tEditais[SRP],MATCH(tItens[[#This Row],[Edital]],tEditais[Edital],0)),"Não")</f>
        <v>Sim</v>
      </c>
      <c r="P6154" s="4">
        <f>IF(COUNTIFS(INDEX(tItens[Edital],1):tItens[[#This Row],[Edital]],tItens[[#This Row],[Edital]],INDEX(tItens[Produto],1):tItens[[#This Row],[Produto]],tItens[[#This Row],[Produto]])=1,1,0)</f>
        <v>1</v>
      </c>
    </row>
    <row r="6155" spans="1:16" x14ac:dyDescent="0.25">
      <c r="A6155" t="s">
        <v>2155</v>
      </c>
      <c r="B6155">
        <v>45</v>
      </c>
      <c r="C6155" t="s">
        <v>8898</v>
      </c>
      <c r="D6155" t="s">
        <v>114</v>
      </c>
      <c r="E6155" s="13">
        <v>36</v>
      </c>
      <c r="F6155" s="12">
        <v>63.06</v>
      </c>
      <c r="G6155" t="str">
        <f>IFERROR(INDEX(tEditais[Órgão],MATCH(tItens[[#This Row],[Edital]],tEditais[Edital],0)),"")</f>
        <v>MUNICIPIO DE SANTO INACIO</v>
      </c>
      <c r="H6155" t="str">
        <f>IFERROR(INDEX(tEditais[UF],MATCH(tItens[[#This Row],[Edital]],tEditais[Edital],0)),"")</f>
        <v>PR</v>
      </c>
      <c r="I6155" s="11">
        <f>IFERROR(INDEX(tEditais[Encerramento],MATCH(tItens[[#This Row],[Edital]],tEditais[Edital],0)),"")</f>
        <v>46311.354166666664</v>
      </c>
      <c r="J6155" t="str">
        <f>IFERROR(INDEX(tProdutos[Classe],MATCH(tItens[[#This Row],[Produto]],tProdutos[Produto],0)),"produto não cadastrado")</f>
        <v>DISPUTADO</v>
      </c>
      <c r="K6155" s="12">
        <f>tItens[[#This Row],[Qtd]]*tItens[[#This Row],[Vlr unit]]</f>
        <v>2270.16</v>
      </c>
      <c r="L6155" s="6">
        <f>IFERROR(IF(INDEX(tProdutos[Desconto homologado],MATCH(tItens[[#This Row],[Produto]],tProdutos[Produto],0))="",DescontoPadrao,INDEX(tProdutos[Desconto homologado],MATCH(tItens[[#This Row],[Produto]],tProdutos[Produto],0))),DescontoPadrao)</f>
        <v>0.24332656063896899</v>
      </c>
      <c r="M6155" s="12">
        <f>tItens[[#This Row],[Valor]]*(1-tItens[[#This Row],[Desconto]])</f>
        <v>1717.7697750998382</v>
      </c>
      <c r="N6155" t="str">
        <f>IFERROR(INDEX(tProdutos[Foco],MATCH(tItens[[#This Row],[Produto]],tProdutos[Produto],0)),"Não")</f>
        <v>Não</v>
      </c>
      <c r="O6155" t="str">
        <f>IFERROR(INDEX(tEditais[SRP],MATCH(tItens[[#This Row],[Edital]],tEditais[Edital],0)),"Não")</f>
        <v>Sim</v>
      </c>
      <c r="P6155" s="4">
        <f>IF(COUNTIFS(INDEX(tItens[Edital],1):tItens[[#This Row],[Edital]],tItens[[#This Row],[Edital]],INDEX(tItens[Produto],1):tItens[[#This Row],[Produto]],tItens[[#This Row],[Produto]])=1,1,0)</f>
        <v>0</v>
      </c>
    </row>
    <row r="6156" spans="1:16" x14ac:dyDescent="0.25">
      <c r="A6156" t="s">
        <v>2155</v>
      </c>
      <c r="B6156">
        <v>46</v>
      </c>
      <c r="C6156" t="s">
        <v>8899</v>
      </c>
      <c r="D6156" t="s">
        <v>114</v>
      </c>
      <c r="E6156" s="13">
        <v>8</v>
      </c>
      <c r="F6156" s="12">
        <v>78.97</v>
      </c>
      <c r="G6156" t="str">
        <f>IFERROR(INDEX(tEditais[Órgão],MATCH(tItens[[#This Row],[Edital]],tEditais[Edital],0)),"")</f>
        <v>MUNICIPIO DE SANTO INACIO</v>
      </c>
      <c r="H6156" t="str">
        <f>IFERROR(INDEX(tEditais[UF],MATCH(tItens[[#This Row],[Edital]],tEditais[Edital],0)),"")</f>
        <v>PR</v>
      </c>
      <c r="I6156" s="11">
        <f>IFERROR(INDEX(tEditais[Encerramento],MATCH(tItens[[#This Row],[Edital]],tEditais[Edital],0)),"")</f>
        <v>46311.354166666664</v>
      </c>
      <c r="J6156" t="str">
        <f>IFERROR(INDEX(tProdutos[Classe],MATCH(tItens[[#This Row],[Produto]],tProdutos[Produto],0)),"produto não cadastrado")</f>
        <v>DISPUTADO</v>
      </c>
      <c r="K6156" s="12">
        <f>tItens[[#This Row],[Qtd]]*tItens[[#This Row],[Vlr unit]]</f>
        <v>631.76</v>
      </c>
      <c r="L6156" s="6">
        <f>IFERROR(IF(INDEX(tProdutos[Desconto homologado],MATCH(tItens[[#This Row],[Produto]],tProdutos[Produto],0))="",DescontoPadrao,INDEX(tProdutos[Desconto homologado],MATCH(tItens[[#This Row],[Produto]],tProdutos[Produto],0))),DescontoPadrao)</f>
        <v>0.24332656063896899</v>
      </c>
      <c r="M6156" s="12">
        <f>tItens[[#This Row],[Valor]]*(1-tItens[[#This Row],[Desconto]])</f>
        <v>478.03601205072499</v>
      </c>
      <c r="N6156" t="str">
        <f>IFERROR(INDEX(tProdutos[Foco],MATCH(tItens[[#This Row],[Produto]],tProdutos[Produto],0)),"Não")</f>
        <v>Não</v>
      </c>
      <c r="O6156" t="str">
        <f>IFERROR(INDEX(tEditais[SRP],MATCH(tItens[[#This Row],[Edital]],tEditais[Edital],0)),"Não")</f>
        <v>Sim</v>
      </c>
      <c r="P6156" s="4">
        <f>IF(COUNTIFS(INDEX(tItens[Edital],1):tItens[[#This Row],[Edital]],tItens[[#This Row],[Edital]],INDEX(tItens[Produto],1):tItens[[#This Row],[Produto]],tItens[[#This Row],[Produto]])=1,1,0)</f>
        <v>0</v>
      </c>
    </row>
    <row r="6157" spans="1:16" x14ac:dyDescent="0.25">
      <c r="A6157" t="s">
        <v>2159</v>
      </c>
      <c r="B6157">
        <v>2</v>
      </c>
      <c r="C6157" t="s">
        <v>3480</v>
      </c>
      <c r="D6157" t="s">
        <v>315</v>
      </c>
      <c r="E6157" s="13">
        <v>200000</v>
      </c>
      <c r="F6157" s="12">
        <v>0.34</v>
      </c>
      <c r="G6157" t="str">
        <f>IFERROR(INDEX(tEditais[Órgão],MATCH(tItens[[#This Row],[Edital]],tEditais[Edital],0)),"")</f>
        <v>FUNDACAO ESTATAL DE ATENCAO A SAUDE - FEAS</v>
      </c>
      <c r="H6157" t="str">
        <f>IFERROR(INDEX(tEditais[UF],MATCH(tItens[[#This Row],[Edital]],tEditais[Edital],0)),"")</f>
        <v>PR</v>
      </c>
      <c r="I6157" s="11">
        <f>IFERROR(INDEX(tEditais[Encerramento],MATCH(tItens[[#This Row],[Edital]],tEditais[Edital],0)),"")</f>
        <v>46311.361111111109</v>
      </c>
      <c r="J6157" t="str">
        <f>IFERROR(INDEX(tProdutos[Classe],MATCH(tItens[[#This Row],[Produto]],tProdutos[Produto],0)),"produto não cadastrado")</f>
        <v>FORA</v>
      </c>
      <c r="K6157" s="12">
        <f>tItens[[#This Row],[Qtd]]*tItens[[#This Row],[Vlr unit]]</f>
        <v>68000</v>
      </c>
      <c r="L6157" s="6">
        <f>IFERROR(IF(INDEX(tProdutos[Desconto homologado],MATCH(tItens[[#This Row],[Produto]],tProdutos[Produto],0))="",DescontoPadrao,INDEX(tProdutos[Desconto homologado],MATCH(tItens[[#This Row],[Produto]],tProdutos[Produto],0))),DescontoPadrao)</f>
        <v>0.38432036097010702</v>
      </c>
      <c r="M6157" s="12">
        <f>tItens[[#This Row],[Valor]]*(1-tItens[[#This Row],[Desconto]])</f>
        <v>41866.215454032725</v>
      </c>
      <c r="N6157" t="str">
        <f>IFERROR(INDEX(tProdutos[Foco],MATCH(tItens[[#This Row],[Produto]],tProdutos[Produto],0)),"Não")</f>
        <v>Não</v>
      </c>
      <c r="O6157" t="str">
        <f>IFERROR(INDEX(tEditais[SRP],MATCH(tItens[[#This Row],[Edital]],tEditais[Edital],0)),"Não")</f>
        <v>Sim</v>
      </c>
      <c r="P6157" s="4">
        <f>IF(COUNTIFS(INDEX(tItens[Edital],1):tItens[[#This Row],[Edital]],tItens[[#This Row],[Edital]],INDEX(tItens[Produto],1):tItens[[#This Row],[Produto]],tItens[[#This Row],[Produto]])=1,1,0)</f>
        <v>1</v>
      </c>
    </row>
    <row r="6158" spans="1:16" x14ac:dyDescent="0.25">
      <c r="A6158" t="s">
        <v>2159</v>
      </c>
      <c r="B6158">
        <v>3</v>
      </c>
      <c r="C6158" t="s">
        <v>8900</v>
      </c>
      <c r="D6158" t="s">
        <v>315</v>
      </c>
      <c r="E6158" s="13">
        <v>1000000</v>
      </c>
      <c r="F6158" s="12">
        <v>0.09</v>
      </c>
      <c r="G6158" t="str">
        <f>IFERROR(INDEX(tEditais[Órgão],MATCH(tItens[[#This Row],[Edital]],tEditais[Edital],0)),"")</f>
        <v>FUNDACAO ESTATAL DE ATENCAO A SAUDE - FEAS</v>
      </c>
      <c r="H6158" t="str">
        <f>IFERROR(INDEX(tEditais[UF],MATCH(tItens[[#This Row],[Edital]],tEditais[Edital],0)),"")</f>
        <v>PR</v>
      </c>
      <c r="I6158" s="11">
        <f>IFERROR(INDEX(tEditais[Encerramento],MATCH(tItens[[#This Row],[Edital]],tEditais[Edital],0)),"")</f>
        <v>46311.361111111109</v>
      </c>
      <c r="J6158" t="str">
        <f>IFERROR(INDEX(tProdutos[Classe],MATCH(tItens[[#This Row],[Produto]],tProdutos[Produto],0)),"produto não cadastrado")</f>
        <v>FORA</v>
      </c>
      <c r="K6158" s="12">
        <f>tItens[[#This Row],[Qtd]]*tItens[[#This Row],[Vlr unit]]</f>
        <v>90000</v>
      </c>
      <c r="L6158" s="6">
        <f>IFERROR(IF(INDEX(tProdutos[Desconto homologado],MATCH(tItens[[#This Row],[Produto]],tProdutos[Produto],0))="",DescontoPadrao,INDEX(tProdutos[Desconto homologado],MATCH(tItens[[#This Row],[Produto]],tProdutos[Produto],0))),DescontoPadrao)</f>
        <v>0.38432036097010702</v>
      </c>
      <c r="M6158" s="12">
        <f>tItens[[#This Row],[Valor]]*(1-tItens[[#This Row],[Desconto]])</f>
        <v>55411.167512690365</v>
      </c>
      <c r="N6158" t="str">
        <f>IFERROR(INDEX(tProdutos[Foco],MATCH(tItens[[#This Row],[Produto]],tProdutos[Produto],0)),"Não")</f>
        <v>Não</v>
      </c>
      <c r="O6158" t="str">
        <f>IFERROR(INDEX(tEditais[SRP],MATCH(tItens[[#This Row],[Edital]],tEditais[Edital],0)),"Não")</f>
        <v>Sim</v>
      </c>
      <c r="P6158" s="4">
        <f>IF(COUNTIFS(INDEX(tItens[Edital],1):tItens[[#This Row],[Edital]],tItens[[#This Row],[Edital]],INDEX(tItens[Produto],1):tItens[[#This Row],[Produto]],tItens[[#This Row],[Produto]])=1,1,0)</f>
        <v>0</v>
      </c>
    </row>
    <row r="6159" spans="1:16" x14ac:dyDescent="0.25">
      <c r="A6159" t="s">
        <v>2159</v>
      </c>
      <c r="B6159">
        <v>20</v>
      </c>
      <c r="C6159" t="s">
        <v>8901</v>
      </c>
      <c r="D6159" t="s">
        <v>62</v>
      </c>
      <c r="E6159" s="13">
        <v>6500</v>
      </c>
      <c r="F6159" s="12">
        <v>4.34</v>
      </c>
      <c r="G6159" t="str">
        <f>IFERROR(INDEX(tEditais[Órgão],MATCH(tItens[[#This Row],[Edital]],tEditais[Edital],0)),"")</f>
        <v>FUNDACAO ESTATAL DE ATENCAO A SAUDE - FEAS</v>
      </c>
      <c r="H6159" t="str">
        <f>IFERROR(INDEX(tEditais[UF],MATCH(tItens[[#This Row],[Edital]],tEditais[Edital],0)),"")</f>
        <v>PR</v>
      </c>
      <c r="I6159" s="11">
        <f>IFERROR(INDEX(tEditais[Encerramento],MATCH(tItens[[#This Row],[Edital]],tEditais[Edital],0)),"")</f>
        <v>46311.361111111109</v>
      </c>
      <c r="J6159" t="str">
        <f>IFERROR(INDEX(tProdutos[Classe],MATCH(tItens[[#This Row],[Produto]],tProdutos[Produto],0)),"produto não cadastrado")</f>
        <v>NÚCLEO</v>
      </c>
      <c r="K6159" s="12">
        <f>tItens[[#This Row],[Qtd]]*tItens[[#This Row],[Vlr unit]]</f>
        <v>28210</v>
      </c>
      <c r="L6159" s="6">
        <f>IFERROR(IF(INDEX(tProdutos[Desconto homologado],MATCH(tItens[[#This Row],[Produto]],tProdutos[Produto],0))="",DescontoPadrao,INDEX(tProdutos[Desconto homologado],MATCH(tItens[[#This Row],[Produto]],tProdutos[Produto],0))),DescontoPadrao)</f>
        <v>0.3</v>
      </c>
      <c r="M6159" s="12">
        <f>tItens[[#This Row],[Valor]]*(1-tItens[[#This Row],[Desconto]])</f>
        <v>19747</v>
      </c>
      <c r="N6159" t="str">
        <f>IFERROR(INDEX(tProdutos[Foco],MATCH(tItens[[#This Row],[Produto]],tProdutos[Produto],0)),"Não")</f>
        <v>Sim</v>
      </c>
      <c r="O6159" t="str">
        <f>IFERROR(INDEX(tEditais[SRP],MATCH(tItens[[#This Row],[Edital]],tEditais[Edital],0)),"Não")</f>
        <v>Sim</v>
      </c>
      <c r="P6159" s="4">
        <f>IF(COUNTIFS(INDEX(tItens[Edital],1):tItens[[#This Row],[Edital]],tItens[[#This Row],[Edital]],INDEX(tItens[Produto],1):tItens[[#This Row],[Produto]],tItens[[#This Row],[Produto]])=1,1,0)</f>
        <v>1</v>
      </c>
    </row>
    <row r="6160" spans="1:16" x14ac:dyDescent="0.25">
      <c r="A6160" t="s">
        <v>2162</v>
      </c>
      <c r="B6160">
        <v>4</v>
      </c>
      <c r="C6160" t="s">
        <v>8902</v>
      </c>
      <c r="D6160" t="s">
        <v>315</v>
      </c>
      <c r="E6160" s="13">
        <v>100</v>
      </c>
      <c r="F6160" s="12">
        <v>7.33</v>
      </c>
      <c r="G6160" t="str">
        <f>IFERROR(INDEX(tEditais[Órgão],MATCH(tItens[[#This Row],[Edital]],tEditais[Edital],0)),"")</f>
        <v>MUNICIPIO DE CATANDUVAS</v>
      </c>
      <c r="H6160" t="str">
        <f>IFERROR(INDEX(tEditais[UF],MATCH(tItens[[#This Row],[Edital]],tEditais[Edital],0)),"")</f>
        <v>PR</v>
      </c>
      <c r="I6160" s="11">
        <f>IFERROR(INDEX(tEditais[Encerramento],MATCH(tItens[[#This Row],[Edital]],tEditais[Edital],0)),"")</f>
        <v>46311.375</v>
      </c>
      <c r="J6160" t="str">
        <f>IFERROR(INDEX(tProdutos[Classe],MATCH(tItens[[#This Row],[Produto]],tProdutos[Produto],0)),"produto não cadastrado")</f>
        <v>FORA</v>
      </c>
      <c r="K6160" s="12">
        <f>tItens[[#This Row],[Qtd]]*tItens[[#This Row],[Vlr unit]]</f>
        <v>733</v>
      </c>
      <c r="L6160" s="6">
        <f>IFERROR(IF(INDEX(tProdutos[Desconto homologado],MATCH(tItens[[#This Row],[Produto]],tProdutos[Produto],0))="",DescontoPadrao,INDEX(tProdutos[Desconto homologado],MATCH(tItens[[#This Row],[Produto]],tProdutos[Produto],0))),DescontoPadrao)</f>
        <v>0.38432036097010702</v>
      </c>
      <c r="M6160" s="12">
        <f>tItens[[#This Row],[Valor]]*(1-tItens[[#This Row],[Desconto]])</f>
        <v>451.29317540891157</v>
      </c>
      <c r="N6160" t="str">
        <f>IFERROR(INDEX(tProdutos[Foco],MATCH(tItens[[#This Row],[Produto]],tProdutos[Produto],0)),"Não")</f>
        <v>Não</v>
      </c>
      <c r="O6160" t="str">
        <f>IFERROR(INDEX(tEditais[SRP],MATCH(tItens[[#This Row],[Edital]],tEditais[Edital],0)),"Não")</f>
        <v>Sim</v>
      </c>
      <c r="P6160" s="4">
        <f>IF(COUNTIFS(INDEX(tItens[Edital],1):tItens[[#This Row],[Edital]],tItens[[#This Row],[Edital]],INDEX(tItens[Produto],1):tItens[[#This Row],[Produto]],tItens[[#This Row],[Produto]])=1,1,0)</f>
        <v>1</v>
      </c>
    </row>
    <row r="6161" spans="1:16" x14ac:dyDescent="0.25">
      <c r="A6161" t="s">
        <v>2162</v>
      </c>
      <c r="B6161">
        <v>5</v>
      </c>
      <c r="C6161" t="s">
        <v>8903</v>
      </c>
      <c r="D6161" t="s">
        <v>297</v>
      </c>
      <c r="E6161" s="13">
        <v>200</v>
      </c>
      <c r="F6161" s="12">
        <v>7.78</v>
      </c>
      <c r="G6161" t="str">
        <f>IFERROR(INDEX(tEditais[Órgão],MATCH(tItens[[#This Row],[Edital]],tEditais[Edital],0)),"")</f>
        <v>MUNICIPIO DE CATANDUVAS</v>
      </c>
      <c r="H6161" t="str">
        <f>IFERROR(INDEX(tEditais[UF],MATCH(tItens[[#This Row],[Edital]],tEditais[Edital],0)),"")</f>
        <v>PR</v>
      </c>
      <c r="I6161" s="11">
        <f>IFERROR(INDEX(tEditais[Encerramento],MATCH(tItens[[#This Row],[Edital]],tEditais[Edital],0)),"")</f>
        <v>46311.375</v>
      </c>
      <c r="J6161" t="str">
        <f>IFERROR(INDEX(tProdutos[Classe],MATCH(tItens[[#This Row],[Produto]],tProdutos[Produto],0)),"produto não cadastrado")</f>
        <v>FORA</v>
      </c>
      <c r="K6161" s="12">
        <f>tItens[[#This Row],[Qtd]]*tItens[[#This Row],[Vlr unit]]</f>
        <v>1556</v>
      </c>
      <c r="L6161" s="6">
        <f>IFERROR(IF(INDEX(tProdutos[Desconto homologado],MATCH(tItens[[#This Row],[Produto]],tProdutos[Produto],0))="",DescontoPadrao,INDEX(tProdutos[Desconto homologado],MATCH(tItens[[#This Row],[Produto]],tProdutos[Produto],0))),DescontoPadrao)</f>
        <v>0.249544626593807</v>
      </c>
      <c r="M6161" s="12">
        <f>tItens[[#This Row],[Valor]]*(1-tItens[[#This Row],[Desconto]])</f>
        <v>1167.7085610200363</v>
      </c>
      <c r="N6161" t="str">
        <f>IFERROR(INDEX(tProdutos[Foco],MATCH(tItens[[#This Row],[Produto]],tProdutos[Produto],0)),"Não")</f>
        <v>Não</v>
      </c>
      <c r="O6161" t="str">
        <f>IFERROR(INDEX(tEditais[SRP],MATCH(tItens[[#This Row],[Edital]],tEditais[Edital],0)),"Não")</f>
        <v>Sim</v>
      </c>
      <c r="P6161" s="4">
        <f>IF(COUNTIFS(INDEX(tItens[Edital],1):tItens[[#This Row],[Edital]],tItens[[#This Row],[Edital]],INDEX(tItens[Produto],1):tItens[[#This Row],[Produto]],tItens[[#This Row],[Produto]])=1,1,0)</f>
        <v>1</v>
      </c>
    </row>
    <row r="6162" spans="1:16" x14ac:dyDescent="0.25">
      <c r="A6162" t="s">
        <v>2162</v>
      </c>
      <c r="B6162">
        <v>6</v>
      </c>
      <c r="C6162" t="s">
        <v>8904</v>
      </c>
      <c r="D6162" t="s">
        <v>315</v>
      </c>
      <c r="E6162" s="13">
        <v>200</v>
      </c>
      <c r="F6162" s="12">
        <v>6.75</v>
      </c>
      <c r="G6162" t="str">
        <f>IFERROR(INDEX(tEditais[Órgão],MATCH(tItens[[#This Row],[Edital]],tEditais[Edital],0)),"")</f>
        <v>MUNICIPIO DE CATANDUVAS</v>
      </c>
      <c r="H6162" t="str">
        <f>IFERROR(INDEX(tEditais[UF],MATCH(tItens[[#This Row],[Edital]],tEditais[Edital],0)),"")</f>
        <v>PR</v>
      </c>
      <c r="I6162" s="11">
        <f>IFERROR(INDEX(tEditais[Encerramento],MATCH(tItens[[#This Row],[Edital]],tEditais[Edital],0)),"")</f>
        <v>46311.375</v>
      </c>
      <c r="J6162" t="str">
        <f>IFERROR(INDEX(tProdutos[Classe],MATCH(tItens[[#This Row],[Produto]],tProdutos[Produto],0)),"produto não cadastrado")</f>
        <v>FORA</v>
      </c>
      <c r="K6162" s="12">
        <f>tItens[[#This Row],[Qtd]]*tItens[[#This Row],[Vlr unit]]</f>
        <v>1350</v>
      </c>
      <c r="L6162" s="6">
        <f>IFERROR(IF(INDEX(tProdutos[Desconto homologado],MATCH(tItens[[#This Row],[Produto]],tProdutos[Produto],0))="",DescontoPadrao,INDEX(tProdutos[Desconto homologado],MATCH(tItens[[#This Row],[Produto]],tProdutos[Produto],0))),DescontoPadrao)</f>
        <v>0.38432036097010702</v>
      </c>
      <c r="M6162" s="12">
        <f>tItens[[#This Row],[Valor]]*(1-tItens[[#This Row],[Desconto]])</f>
        <v>831.16751269035547</v>
      </c>
      <c r="N6162" t="str">
        <f>IFERROR(INDEX(tProdutos[Foco],MATCH(tItens[[#This Row],[Produto]],tProdutos[Produto],0)),"Não")</f>
        <v>Não</v>
      </c>
      <c r="O6162" t="str">
        <f>IFERROR(INDEX(tEditais[SRP],MATCH(tItens[[#This Row],[Edital]],tEditais[Edital],0)),"Não")</f>
        <v>Sim</v>
      </c>
      <c r="P6162" s="4">
        <f>IF(COUNTIFS(INDEX(tItens[Edital],1):tItens[[#This Row],[Edital]],tItens[[#This Row],[Edital]],INDEX(tItens[Produto],1):tItens[[#This Row],[Produto]],tItens[[#This Row],[Produto]])=1,1,0)</f>
        <v>0</v>
      </c>
    </row>
    <row r="6163" spans="1:16" x14ac:dyDescent="0.25">
      <c r="A6163" t="s">
        <v>2162</v>
      </c>
      <c r="B6163">
        <v>7</v>
      </c>
      <c r="C6163" t="s">
        <v>8905</v>
      </c>
      <c r="D6163" t="s">
        <v>315</v>
      </c>
      <c r="E6163" s="13">
        <v>20</v>
      </c>
      <c r="F6163" s="12">
        <v>6.43</v>
      </c>
      <c r="G6163" t="str">
        <f>IFERROR(INDEX(tEditais[Órgão],MATCH(tItens[[#This Row],[Edital]],tEditais[Edital],0)),"")</f>
        <v>MUNICIPIO DE CATANDUVAS</v>
      </c>
      <c r="H6163" t="str">
        <f>IFERROR(INDEX(tEditais[UF],MATCH(tItens[[#This Row],[Edital]],tEditais[Edital],0)),"")</f>
        <v>PR</v>
      </c>
      <c r="I6163" s="11">
        <f>IFERROR(INDEX(tEditais[Encerramento],MATCH(tItens[[#This Row],[Edital]],tEditais[Edital],0)),"")</f>
        <v>46311.375</v>
      </c>
      <c r="J6163" t="str">
        <f>IFERROR(INDEX(tProdutos[Classe],MATCH(tItens[[#This Row],[Produto]],tProdutos[Produto],0)),"produto não cadastrado")</f>
        <v>FORA</v>
      </c>
      <c r="K6163" s="12">
        <f>tItens[[#This Row],[Qtd]]*tItens[[#This Row],[Vlr unit]]</f>
        <v>128.6</v>
      </c>
      <c r="L6163" s="6">
        <f>IFERROR(IF(INDEX(tProdutos[Desconto homologado],MATCH(tItens[[#This Row],[Produto]],tProdutos[Produto],0))="",DescontoPadrao,INDEX(tProdutos[Desconto homologado],MATCH(tItens[[#This Row],[Produto]],tProdutos[Produto],0))),DescontoPadrao)</f>
        <v>0.38432036097010702</v>
      </c>
      <c r="M6163" s="12">
        <f>tItens[[#This Row],[Valor]]*(1-tItens[[#This Row],[Desconto]])</f>
        <v>79.176401579244228</v>
      </c>
      <c r="N6163" t="str">
        <f>IFERROR(INDEX(tProdutos[Foco],MATCH(tItens[[#This Row],[Produto]],tProdutos[Produto],0)),"Não")</f>
        <v>Não</v>
      </c>
      <c r="O6163" t="str">
        <f>IFERROR(INDEX(tEditais[SRP],MATCH(tItens[[#This Row],[Edital]],tEditais[Edital],0)),"Não")</f>
        <v>Sim</v>
      </c>
      <c r="P6163" s="4">
        <f>IF(COUNTIFS(INDEX(tItens[Edital],1):tItens[[#This Row],[Edital]],tItens[[#This Row],[Edital]],INDEX(tItens[Produto],1):tItens[[#This Row],[Produto]],tItens[[#This Row],[Produto]])=1,1,0)</f>
        <v>0</v>
      </c>
    </row>
    <row r="6164" spans="1:16" x14ac:dyDescent="0.25">
      <c r="A6164" t="s">
        <v>2162</v>
      </c>
      <c r="B6164">
        <v>8</v>
      </c>
      <c r="C6164" t="s">
        <v>8906</v>
      </c>
      <c r="D6164" t="s">
        <v>315</v>
      </c>
      <c r="E6164" s="13">
        <v>20</v>
      </c>
      <c r="F6164" s="12">
        <v>6.54</v>
      </c>
      <c r="G6164" t="str">
        <f>IFERROR(INDEX(tEditais[Órgão],MATCH(tItens[[#This Row],[Edital]],tEditais[Edital],0)),"")</f>
        <v>MUNICIPIO DE CATANDUVAS</v>
      </c>
      <c r="H6164" t="str">
        <f>IFERROR(INDEX(tEditais[UF],MATCH(tItens[[#This Row],[Edital]],tEditais[Edital],0)),"")</f>
        <v>PR</v>
      </c>
      <c r="I6164" s="11">
        <f>IFERROR(INDEX(tEditais[Encerramento],MATCH(tItens[[#This Row],[Edital]],tEditais[Edital],0)),"")</f>
        <v>46311.375</v>
      </c>
      <c r="J6164" t="str">
        <f>IFERROR(INDEX(tProdutos[Classe],MATCH(tItens[[#This Row],[Produto]],tProdutos[Produto],0)),"produto não cadastrado")</f>
        <v>FORA</v>
      </c>
      <c r="K6164" s="12">
        <f>tItens[[#This Row],[Qtd]]*tItens[[#This Row],[Vlr unit]]</f>
        <v>130.80000000000001</v>
      </c>
      <c r="L6164" s="6">
        <f>IFERROR(IF(INDEX(tProdutos[Desconto homologado],MATCH(tItens[[#This Row],[Produto]],tProdutos[Produto],0))="",DescontoPadrao,INDEX(tProdutos[Desconto homologado],MATCH(tItens[[#This Row],[Produto]],tProdutos[Produto],0))),DescontoPadrao)</f>
        <v>0.38432036097010702</v>
      </c>
      <c r="M6164" s="12">
        <f>tItens[[#This Row],[Valor]]*(1-tItens[[#This Row],[Desconto]])</f>
        <v>80.530896785110002</v>
      </c>
      <c r="N6164" t="str">
        <f>IFERROR(INDEX(tProdutos[Foco],MATCH(tItens[[#This Row],[Produto]],tProdutos[Produto],0)),"Não")</f>
        <v>Não</v>
      </c>
      <c r="O6164" t="str">
        <f>IFERROR(INDEX(tEditais[SRP],MATCH(tItens[[#This Row],[Edital]],tEditais[Edital],0)),"Não")</f>
        <v>Sim</v>
      </c>
      <c r="P6164" s="4">
        <f>IF(COUNTIFS(INDEX(tItens[Edital],1):tItens[[#This Row],[Edital]],tItens[[#This Row],[Edital]],INDEX(tItens[Produto],1):tItens[[#This Row],[Produto]],tItens[[#This Row],[Produto]])=1,1,0)</f>
        <v>0</v>
      </c>
    </row>
    <row r="6165" spans="1:16" x14ac:dyDescent="0.25">
      <c r="A6165" t="s">
        <v>2162</v>
      </c>
      <c r="B6165">
        <v>9</v>
      </c>
      <c r="C6165" t="s">
        <v>8907</v>
      </c>
      <c r="D6165" t="s">
        <v>315</v>
      </c>
      <c r="E6165" s="13">
        <v>50</v>
      </c>
      <c r="F6165" s="12">
        <v>8.7200000000000006</v>
      </c>
      <c r="G6165" t="str">
        <f>IFERROR(INDEX(tEditais[Órgão],MATCH(tItens[[#This Row],[Edital]],tEditais[Edital],0)),"")</f>
        <v>MUNICIPIO DE CATANDUVAS</v>
      </c>
      <c r="H6165" t="str">
        <f>IFERROR(INDEX(tEditais[UF],MATCH(tItens[[#This Row],[Edital]],tEditais[Edital],0)),"")</f>
        <v>PR</v>
      </c>
      <c r="I6165" s="11">
        <f>IFERROR(INDEX(tEditais[Encerramento],MATCH(tItens[[#This Row],[Edital]],tEditais[Edital],0)),"")</f>
        <v>46311.375</v>
      </c>
      <c r="J6165" t="str">
        <f>IFERROR(INDEX(tProdutos[Classe],MATCH(tItens[[#This Row],[Produto]],tProdutos[Produto],0)),"produto não cadastrado")</f>
        <v>FORA</v>
      </c>
      <c r="K6165" s="12">
        <f>tItens[[#This Row],[Qtd]]*tItens[[#This Row],[Vlr unit]]</f>
        <v>436.00000000000006</v>
      </c>
      <c r="L6165" s="6">
        <f>IFERROR(IF(INDEX(tProdutos[Desconto homologado],MATCH(tItens[[#This Row],[Produto]],tProdutos[Produto],0))="",DescontoPadrao,INDEX(tProdutos[Desconto homologado],MATCH(tItens[[#This Row],[Produto]],tProdutos[Produto],0))),DescontoPadrao)</f>
        <v>0.38432036097010702</v>
      </c>
      <c r="M6165" s="12">
        <f>tItens[[#This Row],[Valor]]*(1-tItens[[#This Row],[Desconto]])</f>
        <v>268.4363226170334</v>
      </c>
      <c r="N6165" t="str">
        <f>IFERROR(INDEX(tProdutos[Foco],MATCH(tItens[[#This Row],[Produto]],tProdutos[Produto],0)),"Não")</f>
        <v>Não</v>
      </c>
      <c r="O6165" t="str">
        <f>IFERROR(INDEX(tEditais[SRP],MATCH(tItens[[#This Row],[Edital]],tEditais[Edital],0)),"Não")</f>
        <v>Sim</v>
      </c>
      <c r="P6165" s="4">
        <f>IF(COUNTIFS(INDEX(tItens[Edital],1):tItens[[#This Row],[Edital]],tItens[[#This Row],[Edital]],INDEX(tItens[Produto],1):tItens[[#This Row],[Produto]],tItens[[#This Row],[Produto]])=1,1,0)</f>
        <v>0</v>
      </c>
    </row>
    <row r="6166" spans="1:16" x14ac:dyDescent="0.25">
      <c r="A6166" t="s">
        <v>2162</v>
      </c>
      <c r="B6166">
        <v>24</v>
      </c>
      <c r="C6166" t="s">
        <v>8908</v>
      </c>
      <c r="D6166" t="s">
        <v>389</v>
      </c>
      <c r="E6166" s="13">
        <v>500</v>
      </c>
      <c r="F6166" s="12">
        <v>21.02</v>
      </c>
      <c r="G6166" t="str">
        <f>IFERROR(INDEX(tEditais[Órgão],MATCH(tItens[[#This Row],[Edital]],tEditais[Edital],0)),"")</f>
        <v>MUNICIPIO DE CATANDUVAS</v>
      </c>
      <c r="H6166" t="str">
        <f>IFERROR(INDEX(tEditais[UF],MATCH(tItens[[#This Row],[Edital]],tEditais[Edital],0)),"")</f>
        <v>PR</v>
      </c>
      <c r="I6166" s="11">
        <f>IFERROR(INDEX(tEditais[Encerramento],MATCH(tItens[[#This Row],[Edital]],tEditais[Edital],0)),"")</f>
        <v>46311.375</v>
      </c>
      <c r="J6166" t="str">
        <f>IFERROR(INDEX(tProdutos[Classe],MATCH(tItens[[#This Row],[Produto]],tProdutos[Produto],0)),"produto não cadastrado")</f>
        <v>FORA</v>
      </c>
      <c r="K6166" s="12">
        <f>tItens[[#This Row],[Qtd]]*tItens[[#This Row],[Vlr unit]]</f>
        <v>10510</v>
      </c>
      <c r="L6166" s="6">
        <f>IFERROR(IF(INDEX(tProdutos[Desconto homologado],MATCH(tItens[[#This Row],[Produto]],tProdutos[Produto],0))="",DescontoPadrao,INDEX(tProdutos[Desconto homologado],MATCH(tItens[[#This Row],[Produto]],tProdutos[Produto],0))),DescontoPadrao)</f>
        <v>0.39163140573577798</v>
      </c>
      <c r="M6166" s="12">
        <f>tItens[[#This Row],[Valor]]*(1-tItens[[#This Row],[Desconto]])</f>
        <v>6393.9539257169736</v>
      </c>
      <c r="N6166" t="str">
        <f>IFERROR(INDEX(tProdutos[Foco],MATCH(tItens[[#This Row],[Produto]],tProdutos[Produto],0)),"Não")</f>
        <v>Não</v>
      </c>
      <c r="O6166" t="str">
        <f>IFERROR(INDEX(tEditais[SRP],MATCH(tItens[[#This Row],[Edital]],tEditais[Edital],0)),"Não")</f>
        <v>Sim</v>
      </c>
      <c r="P6166" s="4">
        <f>IF(COUNTIFS(INDEX(tItens[Edital],1):tItens[[#This Row],[Edital]],tItens[[#This Row],[Edital]],INDEX(tItens[Produto],1):tItens[[#This Row],[Produto]],tItens[[#This Row],[Produto]])=1,1,0)</f>
        <v>1</v>
      </c>
    </row>
    <row r="6167" spans="1:16" x14ac:dyDescent="0.25">
      <c r="A6167" t="s">
        <v>2162</v>
      </c>
      <c r="B6167">
        <v>29</v>
      </c>
      <c r="C6167" t="s">
        <v>8909</v>
      </c>
      <c r="D6167" t="s">
        <v>423</v>
      </c>
      <c r="E6167" s="13">
        <v>10</v>
      </c>
      <c r="F6167" s="12">
        <v>7.95</v>
      </c>
      <c r="G6167" t="str">
        <f>IFERROR(INDEX(tEditais[Órgão],MATCH(tItens[[#This Row],[Edital]],tEditais[Edital],0)),"")</f>
        <v>MUNICIPIO DE CATANDUVAS</v>
      </c>
      <c r="H6167" t="str">
        <f>IFERROR(INDEX(tEditais[UF],MATCH(tItens[[#This Row],[Edital]],tEditais[Edital],0)),"")</f>
        <v>PR</v>
      </c>
      <c r="I6167" s="11">
        <f>IFERROR(INDEX(tEditais[Encerramento],MATCH(tItens[[#This Row],[Edital]],tEditais[Edital],0)),"")</f>
        <v>46311.375</v>
      </c>
      <c r="J6167" t="str">
        <f>IFERROR(INDEX(tProdutos[Classe],MATCH(tItens[[#This Row],[Produto]],tProdutos[Produto],0)),"produto não cadastrado")</f>
        <v>FORA</v>
      </c>
      <c r="K6167" s="12">
        <f>tItens[[#This Row],[Qtd]]*tItens[[#This Row],[Vlr unit]]</f>
        <v>79.5</v>
      </c>
      <c r="L6167" s="6">
        <f>IFERROR(IF(INDEX(tProdutos[Desconto homologado],MATCH(tItens[[#This Row],[Produto]],tProdutos[Produto],0))="",DescontoPadrao,INDEX(tProdutos[Desconto homologado],MATCH(tItens[[#This Row],[Produto]],tProdutos[Produto],0))),DescontoPadrao)</f>
        <v>0.38271604938271597</v>
      </c>
      <c r="M6167" s="12">
        <f>tItens[[#This Row],[Valor]]*(1-tItens[[#This Row],[Desconto]])</f>
        <v>49.074074074074083</v>
      </c>
      <c r="N6167" t="str">
        <f>IFERROR(INDEX(tProdutos[Foco],MATCH(tItens[[#This Row],[Produto]],tProdutos[Produto],0)),"Não")</f>
        <v>Não</v>
      </c>
      <c r="O6167" t="str">
        <f>IFERROR(INDEX(tEditais[SRP],MATCH(tItens[[#This Row],[Edital]],tEditais[Edital],0)),"Não")</f>
        <v>Sim</v>
      </c>
      <c r="P6167" s="4">
        <f>IF(COUNTIFS(INDEX(tItens[Edital],1):tItens[[#This Row],[Edital]],tItens[[#This Row],[Edital]],INDEX(tItens[Produto],1):tItens[[#This Row],[Produto]],tItens[[#This Row],[Produto]])=1,1,0)</f>
        <v>1</v>
      </c>
    </row>
    <row r="6168" spans="1:16" x14ac:dyDescent="0.25">
      <c r="A6168" t="s">
        <v>2162</v>
      </c>
      <c r="B6168">
        <v>43</v>
      </c>
      <c r="C6168" t="s">
        <v>8910</v>
      </c>
      <c r="D6168" t="s">
        <v>69</v>
      </c>
      <c r="E6168" s="13">
        <v>5000</v>
      </c>
      <c r="F6168" s="12">
        <v>0.83</v>
      </c>
      <c r="G6168" t="str">
        <f>IFERROR(INDEX(tEditais[Órgão],MATCH(tItens[[#This Row],[Edital]],tEditais[Edital],0)),"")</f>
        <v>MUNICIPIO DE CATANDUVAS</v>
      </c>
      <c r="H6168" t="str">
        <f>IFERROR(INDEX(tEditais[UF],MATCH(tItens[[#This Row],[Edital]],tEditais[Edital],0)),"")</f>
        <v>PR</v>
      </c>
      <c r="I6168" s="11">
        <f>IFERROR(INDEX(tEditais[Encerramento],MATCH(tItens[[#This Row],[Edital]],tEditais[Edital],0)),"")</f>
        <v>46311.375</v>
      </c>
      <c r="J6168" t="str">
        <f>IFERROR(INDEX(tProdutos[Classe],MATCH(tItens[[#This Row],[Produto]],tProdutos[Produto],0)),"produto não cadastrado")</f>
        <v>NÚCLEO</v>
      </c>
      <c r="K6168" s="12">
        <f>tItens[[#This Row],[Qtd]]*tItens[[#This Row],[Vlr unit]]</f>
        <v>4150</v>
      </c>
      <c r="L6168" s="6">
        <f>IFERROR(IF(INDEX(tProdutos[Desconto homologado],MATCH(tItens[[#This Row],[Produto]],tProdutos[Produto],0))="",DescontoPadrao,INDEX(tProdutos[Desconto homologado],MATCH(tItens[[#This Row],[Produto]],tProdutos[Produto],0))),DescontoPadrao)</f>
        <v>0.38829259638568803</v>
      </c>
      <c r="M6168" s="12">
        <f>tItens[[#This Row],[Valor]]*(1-tItens[[#This Row],[Desconto]])</f>
        <v>2538.5857249993946</v>
      </c>
      <c r="N6168" t="str">
        <f>IFERROR(INDEX(tProdutos[Foco],MATCH(tItens[[#This Row],[Produto]],tProdutos[Produto],0)),"Não")</f>
        <v>Não</v>
      </c>
      <c r="O6168" t="str">
        <f>IFERROR(INDEX(tEditais[SRP],MATCH(tItens[[#This Row],[Edital]],tEditais[Edital],0)),"Não")</f>
        <v>Sim</v>
      </c>
      <c r="P6168" s="4">
        <f>IF(COUNTIFS(INDEX(tItens[Edital],1):tItens[[#This Row],[Edital]],tItens[[#This Row],[Edital]],INDEX(tItens[Produto],1):tItens[[#This Row],[Produto]],tItens[[#This Row],[Produto]])=1,1,0)</f>
        <v>1</v>
      </c>
    </row>
    <row r="6169" spans="1:16" x14ac:dyDescent="0.25">
      <c r="A6169" t="s">
        <v>2162</v>
      </c>
      <c r="B6169">
        <v>44</v>
      </c>
      <c r="C6169" t="s">
        <v>8911</v>
      </c>
      <c r="D6169" t="s">
        <v>245</v>
      </c>
      <c r="E6169" s="13">
        <v>15</v>
      </c>
      <c r="F6169" s="12">
        <v>51.61</v>
      </c>
      <c r="G6169" t="str">
        <f>IFERROR(INDEX(tEditais[Órgão],MATCH(tItens[[#This Row],[Edital]],tEditais[Edital],0)),"")</f>
        <v>MUNICIPIO DE CATANDUVAS</v>
      </c>
      <c r="H6169" t="str">
        <f>IFERROR(INDEX(tEditais[UF],MATCH(tItens[[#This Row],[Edital]],tEditais[Edital],0)),"")</f>
        <v>PR</v>
      </c>
      <c r="I6169" s="11">
        <f>IFERROR(INDEX(tEditais[Encerramento],MATCH(tItens[[#This Row],[Edital]],tEditais[Edital],0)),"")</f>
        <v>46311.375</v>
      </c>
      <c r="J6169" t="str">
        <f>IFERROR(INDEX(tProdutos[Classe],MATCH(tItens[[#This Row],[Produto]],tProdutos[Produto],0)),"produto não cadastrado")</f>
        <v>FORA</v>
      </c>
      <c r="K6169" s="12">
        <f>tItens[[#This Row],[Qtd]]*tItens[[#This Row],[Vlr unit]]</f>
        <v>774.15</v>
      </c>
      <c r="L6169" s="6">
        <f>IFERROR(IF(INDEX(tProdutos[Desconto homologado],MATCH(tItens[[#This Row],[Produto]],tProdutos[Produto],0))="",DescontoPadrao,INDEX(tProdutos[Desconto homologado],MATCH(tItens[[#This Row],[Produto]],tProdutos[Produto],0))),DescontoPadrao)</f>
        <v>0.34516963542284401</v>
      </c>
      <c r="M6169" s="12">
        <f>tItens[[#This Row],[Valor]]*(1-tItens[[#This Row],[Desconto]])</f>
        <v>506.93692673740532</v>
      </c>
      <c r="N6169" t="str">
        <f>IFERROR(INDEX(tProdutos[Foco],MATCH(tItens[[#This Row],[Produto]],tProdutos[Produto],0)),"Não")</f>
        <v>Não</v>
      </c>
      <c r="O6169" t="str">
        <f>IFERROR(INDEX(tEditais[SRP],MATCH(tItens[[#This Row],[Edital]],tEditais[Edital],0)),"Não")</f>
        <v>Sim</v>
      </c>
      <c r="P6169" s="4">
        <f>IF(COUNTIFS(INDEX(tItens[Edital],1):tItens[[#This Row],[Edital]],tItens[[#This Row],[Edital]],INDEX(tItens[Produto],1):tItens[[#This Row],[Produto]],tItens[[#This Row],[Produto]])=1,1,0)</f>
        <v>1</v>
      </c>
    </row>
    <row r="6170" spans="1:16" x14ac:dyDescent="0.25">
      <c r="A6170" t="s">
        <v>2162</v>
      </c>
      <c r="B6170">
        <v>50</v>
      </c>
      <c r="C6170" t="s">
        <v>8912</v>
      </c>
      <c r="D6170" t="s">
        <v>335</v>
      </c>
      <c r="E6170" s="13">
        <v>2</v>
      </c>
      <c r="F6170" s="12">
        <v>71</v>
      </c>
      <c r="G6170" t="str">
        <f>IFERROR(INDEX(tEditais[Órgão],MATCH(tItens[[#This Row],[Edital]],tEditais[Edital],0)),"")</f>
        <v>MUNICIPIO DE CATANDUVAS</v>
      </c>
      <c r="H6170" t="str">
        <f>IFERROR(INDEX(tEditais[UF],MATCH(tItens[[#This Row],[Edital]],tEditais[Edital],0)),"")</f>
        <v>PR</v>
      </c>
      <c r="I6170" s="11">
        <f>IFERROR(INDEX(tEditais[Encerramento],MATCH(tItens[[#This Row],[Edital]],tEditais[Edital],0)),"")</f>
        <v>46311.375</v>
      </c>
      <c r="J6170" t="str">
        <f>IFERROR(INDEX(tProdutos[Classe],MATCH(tItens[[#This Row],[Produto]],tProdutos[Produto],0)),"produto não cadastrado")</f>
        <v>FORA</v>
      </c>
      <c r="K6170" s="12">
        <f>tItens[[#This Row],[Qtd]]*tItens[[#This Row],[Vlr unit]]</f>
        <v>142</v>
      </c>
      <c r="L6170" s="6">
        <f>IFERROR(IF(INDEX(tProdutos[Desconto homologado],MATCH(tItens[[#This Row],[Produto]],tProdutos[Produto],0))="",DescontoPadrao,INDEX(tProdutos[Desconto homologado],MATCH(tItens[[#This Row],[Produto]],tProdutos[Produto],0))),DescontoPadrao)</f>
        <v>0.419047619047619</v>
      </c>
      <c r="M6170" s="12">
        <f>tItens[[#This Row],[Valor]]*(1-tItens[[#This Row],[Desconto]])</f>
        <v>82.495238095238108</v>
      </c>
      <c r="N6170" t="str">
        <f>IFERROR(INDEX(tProdutos[Foco],MATCH(tItens[[#This Row],[Produto]],tProdutos[Produto],0)),"Não")</f>
        <v>Não</v>
      </c>
      <c r="O6170" t="str">
        <f>IFERROR(INDEX(tEditais[SRP],MATCH(tItens[[#This Row],[Edital]],tEditais[Edital],0)),"Não")</f>
        <v>Sim</v>
      </c>
      <c r="P6170" s="4">
        <f>IF(COUNTIFS(INDEX(tItens[Edital],1):tItens[[#This Row],[Edital]],tItens[[#This Row],[Edital]],INDEX(tItens[Produto],1):tItens[[#This Row],[Produto]],tItens[[#This Row],[Produto]])=1,1,0)</f>
        <v>1</v>
      </c>
    </row>
    <row r="6171" spans="1:16" x14ac:dyDescent="0.25">
      <c r="A6171" t="s">
        <v>2162</v>
      </c>
      <c r="B6171">
        <v>51</v>
      </c>
      <c r="C6171" t="s">
        <v>8913</v>
      </c>
      <c r="D6171" t="s">
        <v>365</v>
      </c>
      <c r="E6171" s="13">
        <v>2</v>
      </c>
      <c r="F6171" s="12">
        <v>51.66</v>
      </c>
      <c r="G6171" t="str">
        <f>IFERROR(INDEX(tEditais[Órgão],MATCH(tItens[[#This Row],[Edital]],tEditais[Edital],0)),"")</f>
        <v>MUNICIPIO DE CATANDUVAS</v>
      </c>
      <c r="H6171" t="str">
        <f>IFERROR(INDEX(tEditais[UF],MATCH(tItens[[#This Row],[Edital]],tEditais[Edital],0)),"")</f>
        <v>PR</v>
      </c>
      <c r="I6171" s="11">
        <f>IFERROR(INDEX(tEditais[Encerramento],MATCH(tItens[[#This Row],[Edital]],tEditais[Edital],0)),"")</f>
        <v>46311.375</v>
      </c>
      <c r="J6171" t="str">
        <f>IFERROR(INDEX(tProdutos[Classe],MATCH(tItens[[#This Row],[Produto]],tProdutos[Produto],0)),"produto não cadastrado")</f>
        <v>FORA</v>
      </c>
      <c r="K6171" s="12">
        <f>tItens[[#This Row],[Qtd]]*tItens[[#This Row],[Vlr unit]]</f>
        <v>103.32</v>
      </c>
      <c r="L6171" s="6">
        <f>IFERROR(IF(INDEX(tProdutos[Desconto homologado],MATCH(tItens[[#This Row],[Produto]],tProdutos[Produto],0))="",DescontoPadrao,INDEX(tProdutos[Desconto homologado],MATCH(tItens[[#This Row],[Produto]],tProdutos[Produto],0))),DescontoPadrao)</f>
        <v>0.41120529659182697</v>
      </c>
      <c r="M6171" s="12">
        <f>tItens[[#This Row],[Valor]]*(1-tItens[[#This Row],[Desconto]])</f>
        <v>60.834268756132438</v>
      </c>
      <c r="N6171" t="str">
        <f>IFERROR(INDEX(tProdutos[Foco],MATCH(tItens[[#This Row],[Produto]],tProdutos[Produto],0)),"Não")</f>
        <v>Não</v>
      </c>
      <c r="O6171" t="str">
        <f>IFERROR(INDEX(tEditais[SRP],MATCH(tItens[[#This Row],[Edital]],tEditais[Edital],0)),"Não")</f>
        <v>Sim</v>
      </c>
      <c r="P6171" s="4">
        <f>IF(COUNTIFS(INDEX(tItens[Edital],1):tItens[[#This Row],[Edital]],tItens[[#This Row],[Edital]],INDEX(tItens[Produto],1):tItens[[#This Row],[Produto]],tItens[[#This Row],[Produto]])=1,1,0)</f>
        <v>1</v>
      </c>
    </row>
    <row r="6172" spans="1:16" x14ac:dyDescent="0.25">
      <c r="A6172" t="s">
        <v>2162</v>
      </c>
      <c r="B6172">
        <v>52</v>
      </c>
      <c r="C6172" t="s">
        <v>8914</v>
      </c>
      <c r="D6172" t="s">
        <v>379</v>
      </c>
      <c r="E6172" s="13">
        <v>50</v>
      </c>
      <c r="F6172" s="12">
        <v>83.57</v>
      </c>
      <c r="G6172" t="str">
        <f>IFERROR(INDEX(tEditais[Órgão],MATCH(tItens[[#This Row],[Edital]],tEditais[Edital],0)),"")</f>
        <v>MUNICIPIO DE CATANDUVAS</v>
      </c>
      <c r="H6172" t="str">
        <f>IFERROR(INDEX(tEditais[UF],MATCH(tItens[[#This Row],[Edital]],tEditais[Edital],0)),"")</f>
        <v>PR</v>
      </c>
      <c r="I6172" s="11">
        <f>IFERROR(INDEX(tEditais[Encerramento],MATCH(tItens[[#This Row],[Edital]],tEditais[Edital],0)),"")</f>
        <v>46311.375</v>
      </c>
      <c r="J6172" t="str">
        <f>IFERROR(INDEX(tProdutos[Classe],MATCH(tItens[[#This Row],[Produto]],tProdutos[Produto],0)),"produto não cadastrado")</f>
        <v>FORA</v>
      </c>
      <c r="K6172" s="12">
        <f>tItens[[#This Row],[Qtd]]*tItens[[#This Row],[Vlr unit]]</f>
        <v>4178.5</v>
      </c>
      <c r="L6172" s="6">
        <f>IFERROR(IF(INDEX(tProdutos[Desconto homologado],MATCH(tItens[[#This Row],[Produto]],tProdutos[Produto],0))="",DescontoPadrao,INDEX(tProdutos[Desconto homologado],MATCH(tItens[[#This Row],[Produto]],tProdutos[Produto],0))),DescontoPadrao)</f>
        <v>0.49504950495049499</v>
      </c>
      <c r="M6172" s="12">
        <f>tItens[[#This Row],[Valor]]*(1-tItens[[#This Row],[Desconto]])</f>
        <v>2109.9356435643563</v>
      </c>
      <c r="N6172" t="str">
        <f>IFERROR(INDEX(tProdutos[Foco],MATCH(tItens[[#This Row],[Produto]],tProdutos[Produto],0)),"Não")</f>
        <v>Não</v>
      </c>
      <c r="O6172" t="str">
        <f>IFERROR(INDEX(tEditais[SRP],MATCH(tItens[[#This Row],[Edital]],tEditais[Edital],0)),"Não")</f>
        <v>Sim</v>
      </c>
      <c r="P6172" s="4">
        <f>IF(COUNTIFS(INDEX(tItens[Edital],1):tItens[[#This Row],[Edital]],tItens[[#This Row],[Edital]],INDEX(tItens[Produto],1):tItens[[#This Row],[Produto]],tItens[[#This Row],[Produto]])=1,1,0)</f>
        <v>1</v>
      </c>
    </row>
    <row r="6173" spans="1:16" x14ac:dyDescent="0.25">
      <c r="A6173" t="s">
        <v>2162</v>
      </c>
      <c r="B6173">
        <v>53</v>
      </c>
      <c r="C6173" t="s">
        <v>8915</v>
      </c>
      <c r="D6173" t="s">
        <v>247</v>
      </c>
      <c r="E6173" s="13">
        <v>50</v>
      </c>
      <c r="F6173" s="12">
        <v>74.19</v>
      </c>
      <c r="G6173" t="str">
        <f>IFERROR(INDEX(tEditais[Órgão],MATCH(tItens[[#This Row],[Edital]],tEditais[Edital],0)),"")</f>
        <v>MUNICIPIO DE CATANDUVAS</v>
      </c>
      <c r="H6173" t="str">
        <f>IFERROR(INDEX(tEditais[UF],MATCH(tItens[[#This Row],[Edital]],tEditais[Edital],0)),"")</f>
        <v>PR</v>
      </c>
      <c r="I6173" s="11">
        <f>IFERROR(INDEX(tEditais[Encerramento],MATCH(tItens[[#This Row],[Edital]],tEditais[Edital],0)),"")</f>
        <v>46311.375</v>
      </c>
      <c r="J6173" t="str">
        <f>IFERROR(INDEX(tProdutos[Classe],MATCH(tItens[[#This Row],[Produto]],tProdutos[Produto],0)),"produto não cadastrado")</f>
        <v>FORA</v>
      </c>
      <c r="K6173" s="12">
        <f>tItens[[#This Row],[Qtd]]*tItens[[#This Row],[Vlr unit]]</f>
        <v>3709.5</v>
      </c>
      <c r="L6173" s="6">
        <f>IFERROR(IF(INDEX(tProdutos[Desconto homologado],MATCH(tItens[[#This Row],[Produto]],tProdutos[Produto],0))="",DescontoPadrao,INDEX(tProdutos[Desconto homologado],MATCH(tItens[[#This Row],[Produto]],tProdutos[Produto],0))),DescontoPadrao)</f>
        <v>0.27353256199762999</v>
      </c>
      <c r="M6173" s="12">
        <f>tItens[[#This Row],[Valor]]*(1-tItens[[#This Row],[Desconto]])</f>
        <v>2694.8309612697917</v>
      </c>
      <c r="N6173" t="str">
        <f>IFERROR(INDEX(tProdutos[Foco],MATCH(tItens[[#This Row],[Produto]],tProdutos[Produto],0)),"Não")</f>
        <v>Não</v>
      </c>
      <c r="O6173" t="str">
        <f>IFERROR(INDEX(tEditais[SRP],MATCH(tItens[[#This Row],[Edital]],tEditais[Edital],0)),"Não")</f>
        <v>Sim</v>
      </c>
      <c r="P6173" s="4">
        <f>IF(COUNTIFS(INDEX(tItens[Edital],1):tItens[[#This Row],[Edital]],tItens[[#This Row],[Edital]],INDEX(tItens[Produto],1):tItens[[#This Row],[Produto]],tItens[[#This Row],[Produto]])=1,1,0)</f>
        <v>1</v>
      </c>
    </row>
    <row r="6174" spans="1:16" x14ac:dyDescent="0.25">
      <c r="A6174" t="s">
        <v>2162</v>
      </c>
      <c r="B6174">
        <v>54</v>
      </c>
      <c r="C6174" t="s">
        <v>8916</v>
      </c>
      <c r="D6174" t="s">
        <v>287</v>
      </c>
      <c r="E6174" s="13">
        <v>30</v>
      </c>
      <c r="F6174" s="12">
        <v>70</v>
      </c>
      <c r="G6174" t="str">
        <f>IFERROR(INDEX(tEditais[Órgão],MATCH(tItens[[#This Row],[Edital]],tEditais[Edital],0)),"")</f>
        <v>MUNICIPIO DE CATANDUVAS</v>
      </c>
      <c r="H6174" t="str">
        <f>IFERROR(INDEX(tEditais[UF],MATCH(tItens[[#This Row],[Edital]],tEditais[Edital],0)),"")</f>
        <v>PR</v>
      </c>
      <c r="I6174" s="11">
        <f>IFERROR(INDEX(tEditais[Encerramento],MATCH(tItens[[#This Row],[Edital]],tEditais[Edital],0)),"")</f>
        <v>46311.375</v>
      </c>
      <c r="J6174" t="str">
        <f>IFERROR(INDEX(tProdutos[Classe],MATCH(tItens[[#This Row],[Produto]],tProdutos[Produto],0)),"produto não cadastrado")</f>
        <v>FORA</v>
      </c>
      <c r="K6174" s="12">
        <f>tItens[[#This Row],[Qtd]]*tItens[[#This Row],[Vlr unit]]</f>
        <v>2100</v>
      </c>
      <c r="L6174" s="6">
        <f>IFERROR(IF(INDEX(tProdutos[Desconto homologado],MATCH(tItens[[#This Row],[Produto]],tProdutos[Produto],0))="",DescontoPadrao,INDEX(tProdutos[Desconto homologado],MATCH(tItens[[#This Row],[Produto]],tProdutos[Produto],0))),DescontoPadrao)</f>
        <v>0.46344491178876002</v>
      </c>
      <c r="M6174" s="12">
        <f>tItens[[#This Row],[Valor]]*(1-tItens[[#This Row],[Desconto]])</f>
        <v>1126.7656852436039</v>
      </c>
      <c r="N6174" t="str">
        <f>IFERROR(INDEX(tProdutos[Foco],MATCH(tItens[[#This Row],[Produto]],tProdutos[Produto],0)),"Não")</f>
        <v>Não</v>
      </c>
      <c r="O6174" t="str">
        <f>IFERROR(INDEX(tEditais[SRP],MATCH(tItens[[#This Row],[Edital]],tEditais[Edital],0)),"Não")</f>
        <v>Sim</v>
      </c>
      <c r="P6174" s="4">
        <f>IF(COUNTIFS(INDEX(tItens[Edital],1):tItens[[#This Row],[Edital]],tItens[[#This Row],[Edital]],INDEX(tItens[Produto],1):tItens[[#This Row],[Produto]],tItens[[#This Row],[Produto]])=1,1,0)</f>
        <v>1</v>
      </c>
    </row>
    <row r="6175" spans="1:16" x14ac:dyDescent="0.25">
      <c r="A6175" t="s">
        <v>2162</v>
      </c>
      <c r="B6175">
        <v>57</v>
      </c>
      <c r="C6175" t="s">
        <v>8917</v>
      </c>
      <c r="D6175" t="s">
        <v>653</v>
      </c>
      <c r="E6175" s="13">
        <v>1</v>
      </c>
      <c r="F6175" s="12">
        <v>450</v>
      </c>
      <c r="G6175" t="str">
        <f>IFERROR(INDEX(tEditais[Órgão],MATCH(tItens[[#This Row],[Edital]],tEditais[Edital],0)),"")</f>
        <v>MUNICIPIO DE CATANDUVAS</v>
      </c>
      <c r="H6175" t="str">
        <f>IFERROR(INDEX(tEditais[UF],MATCH(tItens[[#This Row],[Edital]],tEditais[Edital],0)),"")</f>
        <v>PR</v>
      </c>
      <c r="I6175" s="11">
        <f>IFERROR(INDEX(tEditais[Encerramento],MATCH(tItens[[#This Row],[Edital]],tEditais[Edital],0)),"")</f>
        <v>46311.375</v>
      </c>
      <c r="J6175" t="str">
        <f>IFERROR(INDEX(tProdutos[Classe],MATCH(tItens[[#This Row],[Produto]],tProdutos[Produto],0)),"produto não cadastrado")</f>
        <v>FILA REBASE</v>
      </c>
      <c r="K6175" s="12">
        <f>tItens[[#This Row],[Qtd]]*tItens[[#This Row],[Vlr unit]]</f>
        <v>450</v>
      </c>
      <c r="L6175" s="6">
        <f>IFERROR(IF(INDEX(tProdutos[Desconto homologado],MATCH(tItens[[#This Row],[Produto]],tProdutos[Produto],0))="",DescontoPadrao,INDEX(tProdutos[Desconto homologado],MATCH(tItens[[#This Row],[Produto]],tProdutos[Produto],0))),DescontoPadrao)</f>
        <v>0.3</v>
      </c>
      <c r="M6175" s="12">
        <f>tItens[[#This Row],[Valor]]*(1-tItens[[#This Row],[Desconto]])</f>
        <v>315</v>
      </c>
      <c r="N6175" t="str">
        <f>IFERROR(INDEX(tProdutos[Foco],MATCH(tItens[[#This Row],[Produto]],tProdutos[Produto],0)),"Não")</f>
        <v>Não</v>
      </c>
      <c r="O6175" t="str">
        <f>IFERROR(INDEX(tEditais[SRP],MATCH(tItens[[#This Row],[Edital]],tEditais[Edital],0)),"Não")</f>
        <v>Sim</v>
      </c>
      <c r="P6175" s="4">
        <f>IF(COUNTIFS(INDEX(tItens[Edital],1):tItens[[#This Row],[Edital]],tItens[[#This Row],[Edital]],INDEX(tItens[Produto],1):tItens[[#This Row],[Produto]],tItens[[#This Row],[Produto]])=1,1,0)</f>
        <v>1</v>
      </c>
    </row>
    <row r="6176" spans="1:16" x14ac:dyDescent="0.25">
      <c r="A6176" t="s">
        <v>2162</v>
      </c>
      <c r="B6176">
        <v>58</v>
      </c>
      <c r="C6176" t="s">
        <v>8918</v>
      </c>
      <c r="D6176" t="s">
        <v>172</v>
      </c>
      <c r="E6176" s="13">
        <v>30</v>
      </c>
      <c r="F6176" s="12">
        <v>0.51</v>
      </c>
      <c r="G6176" t="str">
        <f>IFERROR(INDEX(tEditais[Órgão],MATCH(tItens[[#This Row],[Edital]],tEditais[Edital],0)),"")</f>
        <v>MUNICIPIO DE CATANDUVAS</v>
      </c>
      <c r="H6176" t="str">
        <f>IFERROR(INDEX(tEditais[UF],MATCH(tItens[[#This Row],[Edital]],tEditais[Edital],0)),"")</f>
        <v>PR</v>
      </c>
      <c r="I6176" s="11">
        <f>IFERROR(INDEX(tEditais[Encerramento],MATCH(tItens[[#This Row],[Edital]],tEditais[Edital],0)),"")</f>
        <v>46311.375</v>
      </c>
      <c r="J6176" t="str">
        <f>IFERROR(INDEX(tProdutos[Classe],MATCH(tItens[[#This Row],[Produto]],tProdutos[Produto],0)),"produto não cadastrado")</f>
        <v>DISPUTADO</v>
      </c>
      <c r="K6176" s="12">
        <f>tItens[[#This Row],[Qtd]]*tItens[[#This Row],[Vlr unit]]</f>
        <v>15.3</v>
      </c>
      <c r="L6176" s="6">
        <f>IFERROR(IF(INDEX(tProdutos[Desconto homologado],MATCH(tItens[[#This Row],[Produto]],tProdutos[Produto],0))="",DescontoPadrao,INDEX(tProdutos[Desconto homologado],MATCH(tItens[[#This Row],[Produto]],tProdutos[Produto],0))),DescontoPadrao)</f>
        <v>0.33578431372549</v>
      </c>
      <c r="M6176" s="12">
        <f>tItens[[#This Row],[Valor]]*(1-tItens[[#This Row],[Desconto]])</f>
        <v>10.162500000000003</v>
      </c>
      <c r="N6176" t="str">
        <f>IFERROR(INDEX(tProdutos[Foco],MATCH(tItens[[#This Row],[Produto]],tProdutos[Produto],0)),"Não")</f>
        <v>Não</v>
      </c>
      <c r="O6176" t="str">
        <f>IFERROR(INDEX(tEditais[SRP],MATCH(tItens[[#This Row],[Edital]],tEditais[Edital],0)),"Não")</f>
        <v>Sim</v>
      </c>
      <c r="P6176" s="4">
        <f>IF(COUNTIFS(INDEX(tItens[Edital],1):tItens[[#This Row],[Edital]],tItens[[#This Row],[Edital]],INDEX(tItens[Produto],1):tItens[[#This Row],[Produto]],tItens[[#This Row],[Produto]])=1,1,0)</f>
        <v>1</v>
      </c>
    </row>
    <row r="6177" spans="1:16" x14ac:dyDescent="0.25">
      <c r="A6177" t="s">
        <v>2162</v>
      </c>
      <c r="B6177">
        <v>67</v>
      </c>
      <c r="C6177" t="s">
        <v>8919</v>
      </c>
      <c r="D6177" t="s">
        <v>279</v>
      </c>
      <c r="E6177" s="13">
        <v>400</v>
      </c>
      <c r="F6177" s="12">
        <v>3.57</v>
      </c>
      <c r="G6177" t="str">
        <f>IFERROR(INDEX(tEditais[Órgão],MATCH(tItens[[#This Row],[Edital]],tEditais[Edital],0)),"")</f>
        <v>MUNICIPIO DE CATANDUVAS</v>
      </c>
      <c r="H6177" t="str">
        <f>IFERROR(INDEX(tEditais[UF],MATCH(tItens[[#This Row],[Edital]],tEditais[Edital],0)),"")</f>
        <v>PR</v>
      </c>
      <c r="I6177" s="11">
        <f>IFERROR(INDEX(tEditais[Encerramento],MATCH(tItens[[#This Row],[Edital]],tEditais[Edital],0)),"")</f>
        <v>46311.375</v>
      </c>
      <c r="J6177" t="str">
        <f>IFERROR(INDEX(tProdutos[Classe],MATCH(tItens[[#This Row],[Produto]],tProdutos[Produto],0)),"produto não cadastrado")</f>
        <v>FORA</v>
      </c>
      <c r="K6177" s="12">
        <f>tItens[[#This Row],[Qtd]]*tItens[[#This Row],[Vlr unit]]</f>
        <v>1428</v>
      </c>
      <c r="L6177" s="6">
        <f>IFERROR(IF(INDEX(tProdutos[Desconto homologado],MATCH(tItens[[#This Row],[Produto]],tProdutos[Produto],0))="",DescontoPadrao,INDEX(tProdutos[Desconto homologado],MATCH(tItens[[#This Row],[Produto]],tProdutos[Produto],0))),DescontoPadrao)</f>
        <v>0.28909090909090901</v>
      </c>
      <c r="M6177" s="12">
        <f>tItens[[#This Row],[Valor]]*(1-tItens[[#This Row],[Desconto]])</f>
        <v>1015.1781818181819</v>
      </c>
      <c r="N6177" t="str">
        <f>IFERROR(INDEX(tProdutos[Foco],MATCH(tItens[[#This Row],[Produto]],tProdutos[Produto],0)),"Não")</f>
        <v>Não</v>
      </c>
      <c r="O6177" t="str">
        <f>IFERROR(INDEX(tEditais[SRP],MATCH(tItens[[#This Row],[Edital]],tEditais[Edital],0)),"Não")</f>
        <v>Sim</v>
      </c>
      <c r="P6177" s="4">
        <f>IF(COUNTIFS(INDEX(tItens[Edital],1):tItens[[#This Row],[Edital]],tItens[[#This Row],[Edital]],INDEX(tItens[Produto],1):tItens[[#This Row],[Produto]],tItens[[#This Row],[Produto]])=1,1,0)</f>
        <v>1</v>
      </c>
    </row>
    <row r="6178" spans="1:16" x14ac:dyDescent="0.25">
      <c r="A6178" t="s">
        <v>2162</v>
      </c>
      <c r="B6178">
        <v>68</v>
      </c>
      <c r="C6178" t="s">
        <v>8920</v>
      </c>
      <c r="D6178" t="s">
        <v>279</v>
      </c>
      <c r="E6178" s="13">
        <v>50</v>
      </c>
      <c r="F6178" s="12">
        <v>2.75</v>
      </c>
      <c r="G6178" t="str">
        <f>IFERROR(INDEX(tEditais[Órgão],MATCH(tItens[[#This Row],[Edital]],tEditais[Edital],0)),"")</f>
        <v>MUNICIPIO DE CATANDUVAS</v>
      </c>
      <c r="H6178" t="str">
        <f>IFERROR(INDEX(tEditais[UF],MATCH(tItens[[#This Row],[Edital]],tEditais[Edital],0)),"")</f>
        <v>PR</v>
      </c>
      <c r="I6178" s="11">
        <f>IFERROR(INDEX(tEditais[Encerramento],MATCH(tItens[[#This Row],[Edital]],tEditais[Edital],0)),"")</f>
        <v>46311.375</v>
      </c>
      <c r="J6178" t="str">
        <f>IFERROR(INDEX(tProdutos[Classe],MATCH(tItens[[#This Row],[Produto]],tProdutos[Produto],0)),"produto não cadastrado")</f>
        <v>FORA</v>
      </c>
      <c r="K6178" s="12">
        <f>tItens[[#This Row],[Qtd]]*tItens[[#This Row],[Vlr unit]]</f>
        <v>137.5</v>
      </c>
      <c r="L6178" s="6">
        <f>IFERROR(IF(INDEX(tProdutos[Desconto homologado],MATCH(tItens[[#This Row],[Produto]],tProdutos[Produto],0))="",DescontoPadrao,INDEX(tProdutos[Desconto homologado],MATCH(tItens[[#This Row],[Produto]],tProdutos[Produto],0))),DescontoPadrao)</f>
        <v>0.28909090909090901</v>
      </c>
      <c r="M6178" s="12">
        <f>tItens[[#This Row],[Valor]]*(1-tItens[[#This Row],[Desconto]])</f>
        <v>97.75</v>
      </c>
      <c r="N6178" t="str">
        <f>IFERROR(INDEX(tProdutos[Foco],MATCH(tItens[[#This Row],[Produto]],tProdutos[Produto],0)),"Não")</f>
        <v>Não</v>
      </c>
      <c r="O6178" t="str">
        <f>IFERROR(INDEX(tEditais[SRP],MATCH(tItens[[#This Row],[Edital]],tEditais[Edital],0)),"Não")</f>
        <v>Sim</v>
      </c>
      <c r="P6178" s="4">
        <f>IF(COUNTIFS(INDEX(tItens[Edital],1):tItens[[#This Row],[Edital]],tItens[[#This Row],[Edital]],INDEX(tItens[Produto],1):tItens[[#This Row],[Produto]],tItens[[#This Row],[Produto]])=1,1,0)</f>
        <v>0</v>
      </c>
    </row>
    <row r="6179" spans="1:16" x14ac:dyDescent="0.25">
      <c r="A6179" t="s">
        <v>2162</v>
      </c>
      <c r="B6179">
        <v>69</v>
      </c>
      <c r="C6179" t="s">
        <v>8921</v>
      </c>
      <c r="D6179" t="s">
        <v>349</v>
      </c>
      <c r="E6179" s="13">
        <v>400</v>
      </c>
      <c r="F6179" s="12">
        <v>0.8</v>
      </c>
      <c r="G6179" t="str">
        <f>IFERROR(INDEX(tEditais[Órgão],MATCH(tItens[[#This Row],[Edital]],tEditais[Edital],0)),"")</f>
        <v>MUNICIPIO DE CATANDUVAS</v>
      </c>
      <c r="H6179" t="str">
        <f>IFERROR(INDEX(tEditais[UF],MATCH(tItens[[#This Row],[Edital]],tEditais[Edital],0)),"")</f>
        <v>PR</v>
      </c>
      <c r="I6179" s="11">
        <f>IFERROR(INDEX(tEditais[Encerramento],MATCH(tItens[[#This Row],[Edital]],tEditais[Edital],0)),"")</f>
        <v>46311.375</v>
      </c>
      <c r="J6179" t="str">
        <f>IFERROR(INDEX(tProdutos[Classe],MATCH(tItens[[#This Row],[Produto]],tProdutos[Produto],0)),"produto não cadastrado")</f>
        <v>FORA</v>
      </c>
      <c r="K6179" s="12">
        <f>tItens[[#This Row],[Qtd]]*tItens[[#This Row],[Vlr unit]]</f>
        <v>320</v>
      </c>
      <c r="L6179" s="6">
        <f>IFERROR(IF(INDEX(tProdutos[Desconto homologado],MATCH(tItens[[#This Row],[Produto]],tProdutos[Produto],0))="",DescontoPadrao,INDEX(tProdutos[Desconto homologado],MATCH(tItens[[#This Row],[Produto]],tProdutos[Produto],0))),DescontoPadrao)</f>
        <v>0.38826228254635797</v>
      </c>
      <c r="M6179" s="12">
        <f>tItens[[#This Row],[Valor]]*(1-tItens[[#This Row],[Desconto]])</f>
        <v>195.75606958516545</v>
      </c>
      <c r="N6179" t="str">
        <f>IFERROR(INDEX(tProdutos[Foco],MATCH(tItens[[#This Row],[Produto]],tProdutos[Produto],0)),"Não")</f>
        <v>Não</v>
      </c>
      <c r="O6179" t="str">
        <f>IFERROR(INDEX(tEditais[SRP],MATCH(tItens[[#This Row],[Edital]],tEditais[Edital],0)),"Não")</f>
        <v>Sim</v>
      </c>
      <c r="P6179" s="4">
        <f>IF(COUNTIFS(INDEX(tItens[Edital],1):tItens[[#This Row],[Edital]],tItens[[#This Row],[Edital]],INDEX(tItens[Produto],1):tItens[[#This Row],[Produto]],tItens[[#This Row],[Produto]])=1,1,0)</f>
        <v>1</v>
      </c>
    </row>
    <row r="6180" spans="1:16" x14ac:dyDescent="0.25">
      <c r="A6180" t="s">
        <v>2162</v>
      </c>
      <c r="B6180">
        <v>70</v>
      </c>
      <c r="C6180" t="s">
        <v>8922</v>
      </c>
      <c r="D6180" t="s">
        <v>311</v>
      </c>
      <c r="E6180" s="13">
        <v>100</v>
      </c>
      <c r="F6180" s="12">
        <v>5.47</v>
      </c>
      <c r="G6180" t="str">
        <f>IFERROR(INDEX(tEditais[Órgão],MATCH(tItens[[#This Row],[Edital]],tEditais[Edital],0)),"")</f>
        <v>MUNICIPIO DE CATANDUVAS</v>
      </c>
      <c r="H6180" t="str">
        <f>IFERROR(INDEX(tEditais[UF],MATCH(tItens[[#This Row],[Edital]],tEditais[Edital],0)),"")</f>
        <v>PR</v>
      </c>
      <c r="I6180" s="11">
        <f>IFERROR(INDEX(tEditais[Encerramento],MATCH(tItens[[#This Row],[Edital]],tEditais[Edital],0)),"")</f>
        <v>46311.375</v>
      </c>
      <c r="J6180" t="str">
        <f>IFERROR(INDEX(tProdutos[Classe],MATCH(tItens[[#This Row],[Produto]],tProdutos[Produto],0)),"produto não cadastrado")</f>
        <v>FORA</v>
      </c>
      <c r="K6180" s="12">
        <f>tItens[[#This Row],[Qtd]]*tItens[[#This Row],[Vlr unit]]</f>
        <v>547</v>
      </c>
      <c r="L6180" s="6">
        <f>IFERROR(IF(INDEX(tProdutos[Desconto homologado],MATCH(tItens[[#This Row],[Produto]],tProdutos[Produto],0))="",DescontoPadrao,INDEX(tProdutos[Desconto homologado],MATCH(tItens[[#This Row],[Produto]],tProdutos[Produto],0))),DescontoPadrao)</f>
        <v>0.29046182846371399</v>
      </c>
      <c r="M6180" s="12">
        <f>tItens[[#This Row],[Valor]]*(1-tItens[[#This Row],[Desconto]])</f>
        <v>388.11737983034845</v>
      </c>
      <c r="N6180" t="str">
        <f>IFERROR(INDEX(tProdutos[Foco],MATCH(tItens[[#This Row],[Produto]],tProdutos[Produto],0)),"Não")</f>
        <v>Não</v>
      </c>
      <c r="O6180" t="str">
        <f>IFERROR(INDEX(tEditais[SRP],MATCH(tItens[[#This Row],[Edital]],tEditais[Edital],0)),"Não")</f>
        <v>Sim</v>
      </c>
      <c r="P6180" s="4">
        <f>IF(COUNTIFS(INDEX(tItens[Edital],1):tItens[[#This Row],[Edital]],tItens[[#This Row],[Edital]],INDEX(tItens[Produto],1):tItens[[#This Row],[Produto]],tItens[[#This Row],[Produto]])=1,1,0)</f>
        <v>1</v>
      </c>
    </row>
    <row r="6181" spans="1:16" x14ac:dyDescent="0.25">
      <c r="A6181" t="s">
        <v>2162</v>
      </c>
      <c r="B6181">
        <v>71</v>
      </c>
      <c r="C6181" t="s">
        <v>8923</v>
      </c>
      <c r="D6181" t="s">
        <v>311</v>
      </c>
      <c r="E6181" s="13">
        <v>200</v>
      </c>
      <c r="F6181" s="12">
        <v>5.42</v>
      </c>
      <c r="G6181" t="str">
        <f>IFERROR(INDEX(tEditais[Órgão],MATCH(tItens[[#This Row],[Edital]],tEditais[Edital],0)),"")</f>
        <v>MUNICIPIO DE CATANDUVAS</v>
      </c>
      <c r="H6181" t="str">
        <f>IFERROR(INDEX(tEditais[UF],MATCH(tItens[[#This Row],[Edital]],tEditais[Edital],0)),"")</f>
        <v>PR</v>
      </c>
      <c r="I6181" s="11">
        <f>IFERROR(INDEX(tEditais[Encerramento],MATCH(tItens[[#This Row],[Edital]],tEditais[Edital],0)),"")</f>
        <v>46311.375</v>
      </c>
      <c r="J6181" t="str">
        <f>IFERROR(INDEX(tProdutos[Classe],MATCH(tItens[[#This Row],[Produto]],tProdutos[Produto],0)),"produto não cadastrado")</f>
        <v>FORA</v>
      </c>
      <c r="K6181" s="12">
        <f>tItens[[#This Row],[Qtd]]*tItens[[#This Row],[Vlr unit]]</f>
        <v>1084</v>
      </c>
      <c r="L6181" s="6">
        <f>IFERROR(IF(INDEX(tProdutos[Desconto homologado],MATCH(tItens[[#This Row],[Produto]],tProdutos[Produto],0))="",DescontoPadrao,INDEX(tProdutos[Desconto homologado],MATCH(tItens[[#This Row],[Produto]],tProdutos[Produto],0))),DescontoPadrao)</f>
        <v>0.29046182846371399</v>
      </c>
      <c r="M6181" s="12">
        <f>tItens[[#This Row],[Valor]]*(1-tItens[[#This Row],[Desconto]])</f>
        <v>769.1393779453341</v>
      </c>
      <c r="N6181" t="str">
        <f>IFERROR(INDEX(tProdutos[Foco],MATCH(tItens[[#This Row],[Produto]],tProdutos[Produto],0)),"Não")</f>
        <v>Não</v>
      </c>
      <c r="O6181" t="str">
        <f>IFERROR(INDEX(tEditais[SRP],MATCH(tItens[[#This Row],[Edital]],tEditais[Edital],0)),"Não")</f>
        <v>Sim</v>
      </c>
      <c r="P6181" s="4">
        <f>IF(COUNTIFS(INDEX(tItens[Edital],1):tItens[[#This Row],[Edital]],tItens[[#This Row],[Edital]],INDEX(tItens[Produto],1):tItens[[#This Row],[Produto]],tItens[[#This Row],[Produto]])=1,1,0)</f>
        <v>0</v>
      </c>
    </row>
    <row r="6182" spans="1:16" x14ac:dyDescent="0.25">
      <c r="A6182" t="s">
        <v>2162</v>
      </c>
      <c r="B6182">
        <v>72</v>
      </c>
      <c r="C6182" t="s">
        <v>8924</v>
      </c>
      <c r="D6182" t="s">
        <v>311</v>
      </c>
      <c r="E6182" s="13">
        <v>100</v>
      </c>
      <c r="F6182" s="12">
        <v>5.54</v>
      </c>
      <c r="G6182" t="str">
        <f>IFERROR(INDEX(tEditais[Órgão],MATCH(tItens[[#This Row],[Edital]],tEditais[Edital],0)),"")</f>
        <v>MUNICIPIO DE CATANDUVAS</v>
      </c>
      <c r="H6182" t="str">
        <f>IFERROR(INDEX(tEditais[UF],MATCH(tItens[[#This Row],[Edital]],tEditais[Edital],0)),"")</f>
        <v>PR</v>
      </c>
      <c r="I6182" s="11">
        <f>IFERROR(INDEX(tEditais[Encerramento],MATCH(tItens[[#This Row],[Edital]],tEditais[Edital],0)),"")</f>
        <v>46311.375</v>
      </c>
      <c r="J6182" t="str">
        <f>IFERROR(INDEX(tProdutos[Classe],MATCH(tItens[[#This Row],[Produto]],tProdutos[Produto],0)),"produto não cadastrado")</f>
        <v>FORA</v>
      </c>
      <c r="K6182" s="12">
        <f>tItens[[#This Row],[Qtd]]*tItens[[#This Row],[Vlr unit]]</f>
        <v>554</v>
      </c>
      <c r="L6182" s="6">
        <f>IFERROR(IF(INDEX(tProdutos[Desconto homologado],MATCH(tItens[[#This Row],[Produto]],tProdutos[Produto],0))="",DescontoPadrao,INDEX(tProdutos[Desconto homologado],MATCH(tItens[[#This Row],[Produto]],tProdutos[Produto],0))),DescontoPadrao)</f>
        <v>0.29046182846371399</v>
      </c>
      <c r="M6182" s="12">
        <f>tItens[[#This Row],[Valor]]*(1-tItens[[#This Row],[Desconto]])</f>
        <v>393.08414703110248</v>
      </c>
      <c r="N6182" t="str">
        <f>IFERROR(INDEX(tProdutos[Foco],MATCH(tItens[[#This Row],[Produto]],tProdutos[Produto],0)),"Não")</f>
        <v>Não</v>
      </c>
      <c r="O6182" t="str">
        <f>IFERROR(INDEX(tEditais[SRP],MATCH(tItens[[#This Row],[Edital]],tEditais[Edital],0)),"Não")</f>
        <v>Sim</v>
      </c>
      <c r="P6182" s="4">
        <f>IF(COUNTIFS(INDEX(tItens[Edital],1):tItens[[#This Row],[Edital]],tItens[[#This Row],[Edital]],INDEX(tItens[Produto],1):tItens[[#This Row],[Produto]],tItens[[#This Row],[Produto]])=1,1,0)</f>
        <v>0</v>
      </c>
    </row>
    <row r="6183" spans="1:16" x14ac:dyDescent="0.25">
      <c r="A6183" t="s">
        <v>2162</v>
      </c>
      <c r="B6183">
        <v>73</v>
      </c>
      <c r="C6183" t="s">
        <v>8925</v>
      </c>
      <c r="D6183" t="s">
        <v>383</v>
      </c>
      <c r="E6183" s="13">
        <v>20000</v>
      </c>
      <c r="F6183" s="12">
        <v>0.45</v>
      </c>
      <c r="G6183" t="str">
        <f>IFERROR(INDEX(tEditais[Órgão],MATCH(tItens[[#This Row],[Edital]],tEditais[Edital],0)),"")</f>
        <v>MUNICIPIO DE CATANDUVAS</v>
      </c>
      <c r="H6183" t="str">
        <f>IFERROR(INDEX(tEditais[UF],MATCH(tItens[[#This Row],[Edital]],tEditais[Edital],0)),"")</f>
        <v>PR</v>
      </c>
      <c r="I6183" s="11">
        <f>IFERROR(INDEX(tEditais[Encerramento],MATCH(tItens[[#This Row],[Edital]],tEditais[Edital],0)),"")</f>
        <v>46311.375</v>
      </c>
      <c r="J6183" t="str">
        <f>IFERROR(INDEX(tProdutos[Classe],MATCH(tItens[[#This Row],[Produto]],tProdutos[Produto],0)),"produto não cadastrado")</f>
        <v>FORA</v>
      </c>
      <c r="K6183" s="12">
        <f>tItens[[#This Row],[Qtd]]*tItens[[#This Row],[Vlr unit]]</f>
        <v>9000</v>
      </c>
      <c r="L6183" s="6">
        <f>IFERROR(IF(INDEX(tProdutos[Desconto homologado],MATCH(tItens[[#This Row],[Produto]],tProdutos[Produto],0))="",DescontoPadrao,INDEX(tProdutos[Desconto homologado],MATCH(tItens[[#This Row],[Produto]],tProdutos[Produto],0))),DescontoPadrao)</f>
        <v>0.48749999999999999</v>
      </c>
      <c r="M6183" s="12">
        <f>tItens[[#This Row],[Valor]]*(1-tItens[[#This Row],[Desconto]])</f>
        <v>4612.5</v>
      </c>
      <c r="N6183" t="str">
        <f>IFERROR(INDEX(tProdutos[Foco],MATCH(tItens[[#This Row],[Produto]],tProdutos[Produto],0)),"Não")</f>
        <v>Não</v>
      </c>
      <c r="O6183" t="str">
        <f>IFERROR(INDEX(tEditais[SRP],MATCH(tItens[[#This Row],[Edital]],tEditais[Edital],0)),"Não")</f>
        <v>Sim</v>
      </c>
      <c r="P6183" s="4">
        <f>IF(COUNTIFS(INDEX(tItens[Edital],1):tItens[[#This Row],[Edital]],tItens[[#This Row],[Edital]],INDEX(tItens[Produto],1):tItens[[#This Row],[Produto]],tItens[[#This Row],[Produto]])=1,1,0)</f>
        <v>1</v>
      </c>
    </row>
    <row r="6184" spans="1:16" x14ac:dyDescent="0.25">
      <c r="A6184" t="s">
        <v>2162</v>
      </c>
      <c r="B6184">
        <v>74</v>
      </c>
      <c r="C6184" t="s">
        <v>8926</v>
      </c>
      <c r="D6184" t="s">
        <v>341</v>
      </c>
      <c r="E6184" s="13">
        <v>500</v>
      </c>
      <c r="F6184" s="12">
        <v>14.09</v>
      </c>
      <c r="G6184" t="str">
        <f>IFERROR(INDEX(tEditais[Órgão],MATCH(tItens[[#This Row],[Edital]],tEditais[Edital],0)),"")</f>
        <v>MUNICIPIO DE CATANDUVAS</v>
      </c>
      <c r="H6184" t="str">
        <f>IFERROR(INDEX(tEditais[UF],MATCH(tItens[[#This Row],[Edital]],tEditais[Edital],0)),"")</f>
        <v>PR</v>
      </c>
      <c r="I6184" s="11">
        <f>IFERROR(INDEX(tEditais[Encerramento],MATCH(tItens[[#This Row],[Edital]],tEditais[Edital],0)),"")</f>
        <v>46311.375</v>
      </c>
      <c r="J6184" t="str">
        <f>IFERROR(INDEX(tProdutos[Classe],MATCH(tItens[[#This Row],[Produto]],tProdutos[Produto],0)),"produto não cadastrado")</f>
        <v>FORA</v>
      </c>
      <c r="K6184" s="12">
        <f>tItens[[#This Row],[Qtd]]*tItens[[#This Row],[Vlr unit]]</f>
        <v>7045</v>
      </c>
      <c r="L6184" s="6">
        <f>IFERROR(IF(INDEX(tProdutos[Desconto homologado],MATCH(tItens[[#This Row],[Produto]],tProdutos[Produto],0))="",DescontoPadrao,INDEX(tProdutos[Desconto homologado],MATCH(tItens[[#This Row],[Produto]],tProdutos[Produto],0))),DescontoPadrao)</f>
        <v>0.46918578497525898</v>
      </c>
      <c r="M6184" s="12">
        <f>tItens[[#This Row],[Valor]]*(1-tItens[[#This Row],[Desconto]])</f>
        <v>3739.5861448493006</v>
      </c>
      <c r="N6184" t="str">
        <f>IFERROR(INDEX(tProdutos[Foco],MATCH(tItens[[#This Row],[Produto]],tProdutos[Produto],0)),"Não")</f>
        <v>Não</v>
      </c>
      <c r="O6184" t="str">
        <f>IFERROR(INDEX(tEditais[SRP],MATCH(tItens[[#This Row],[Edital]],tEditais[Edital],0)),"Não")</f>
        <v>Sim</v>
      </c>
      <c r="P6184" s="4">
        <f>IF(COUNTIFS(INDEX(tItens[Edital],1):tItens[[#This Row],[Edital]],tItens[[#This Row],[Edital]],INDEX(tItens[Produto],1):tItens[[#This Row],[Produto]],tItens[[#This Row],[Produto]])=1,1,0)</f>
        <v>1</v>
      </c>
    </row>
    <row r="6185" spans="1:16" x14ac:dyDescent="0.25">
      <c r="A6185" t="s">
        <v>2162</v>
      </c>
      <c r="B6185">
        <v>86</v>
      </c>
      <c r="C6185" t="s">
        <v>8927</v>
      </c>
      <c r="D6185" t="s">
        <v>299</v>
      </c>
      <c r="E6185" s="13">
        <v>10000</v>
      </c>
      <c r="F6185" s="12">
        <v>9.8000000000000007</v>
      </c>
      <c r="G6185" t="str">
        <f>IFERROR(INDEX(tEditais[Órgão],MATCH(tItens[[#This Row],[Edital]],tEditais[Edital],0)),"")</f>
        <v>MUNICIPIO DE CATANDUVAS</v>
      </c>
      <c r="H6185" t="str">
        <f>IFERROR(INDEX(tEditais[UF],MATCH(tItens[[#This Row],[Edital]],tEditais[Edital],0)),"")</f>
        <v>PR</v>
      </c>
      <c r="I6185" s="11">
        <f>IFERROR(INDEX(tEditais[Encerramento],MATCH(tItens[[#This Row],[Edital]],tEditais[Edital],0)),"")</f>
        <v>46311.375</v>
      </c>
      <c r="J6185" t="str">
        <f>IFERROR(INDEX(tProdutos[Classe],MATCH(tItens[[#This Row],[Produto]],tProdutos[Produto],0)),"produto não cadastrado")</f>
        <v>FORA</v>
      </c>
      <c r="K6185" s="12">
        <f>tItens[[#This Row],[Qtd]]*tItens[[#This Row],[Vlr unit]]</f>
        <v>98000</v>
      </c>
      <c r="L6185" s="6">
        <f>IFERROR(IF(INDEX(tProdutos[Desconto homologado],MATCH(tItens[[#This Row],[Produto]],tProdutos[Produto],0))="",DescontoPadrao,INDEX(tProdutos[Desconto homologado],MATCH(tItens[[#This Row],[Produto]],tProdutos[Produto],0))),DescontoPadrao)</f>
        <v>0.42211465163381601</v>
      </c>
      <c r="M6185" s="12">
        <f>tItens[[#This Row],[Valor]]*(1-tItens[[#This Row],[Desconto]])</f>
        <v>56632.764139886029</v>
      </c>
      <c r="N6185" t="str">
        <f>IFERROR(INDEX(tProdutos[Foco],MATCH(tItens[[#This Row],[Produto]],tProdutos[Produto],0)),"Não")</f>
        <v>Não</v>
      </c>
      <c r="O6185" t="str">
        <f>IFERROR(INDEX(tEditais[SRP],MATCH(tItens[[#This Row],[Edital]],tEditais[Edital],0)),"Não")</f>
        <v>Sim</v>
      </c>
      <c r="P6185" s="4">
        <f>IF(COUNTIFS(INDEX(tItens[Edital],1):tItens[[#This Row],[Edital]],tItens[[#This Row],[Edital]],INDEX(tItens[Produto],1):tItens[[#This Row],[Produto]],tItens[[#This Row],[Produto]])=1,1,0)</f>
        <v>1</v>
      </c>
    </row>
    <row r="6186" spans="1:16" x14ac:dyDescent="0.25">
      <c r="A6186" t="s">
        <v>2162</v>
      </c>
      <c r="B6186">
        <v>91</v>
      </c>
      <c r="C6186" t="s">
        <v>8928</v>
      </c>
      <c r="D6186" t="s">
        <v>209</v>
      </c>
      <c r="E6186" s="13">
        <v>300</v>
      </c>
      <c r="F6186" s="12">
        <v>0.82</v>
      </c>
      <c r="G6186" t="str">
        <f>IFERROR(INDEX(tEditais[Órgão],MATCH(tItens[[#This Row],[Edital]],tEditais[Edital],0)),"")</f>
        <v>MUNICIPIO DE CATANDUVAS</v>
      </c>
      <c r="H6186" t="str">
        <f>IFERROR(INDEX(tEditais[UF],MATCH(tItens[[#This Row],[Edital]],tEditais[Edital],0)),"")</f>
        <v>PR</v>
      </c>
      <c r="I6186" s="11">
        <f>IFERROR(INDEX(tEditais[Encerramento],MATCH(tItens[[#This Row],[Edital]],tEditais[Edital],0)),"")</f>
        <v>46311.375</v>
      </c>
      <c r="J6186" t="str">
        <f>IFERROR(INDEX(tProdutos[Classe],MATCH(tItens[[#This Row],[Produto]],tProdutos[Produto],0)),"produto não cadastrado")</f>
        <v>FORA</v>
      </c>
      <c r="K6186" s="12">
        <f>tItens[[#This Row],[Qtd]]*tItens[[#This Row],[Vlr unit]]</f>
        <v>245.99999999999997</v>
      </c>
      <c r="L6186" s="6">
        <f>IFERROR(IF(INDEX(tProdutos[Desconto homologado],MATCH(tItens[[#This Row],[Produto]],tProdutos[Produto],0))="",DescontoPadrao,INDEX(tProdutos[Desconto homologado],MATCH(tItens[[#This Row],[Produto]],tProdutos[Produto],0))),DescontoPadrao)</f>
        <v>0.16442507504040599</v>
      </c>
      <c r="M6186" s="12">
        <f>tItens[[#This Row],[Valor]]*(1-tItens[[#This Row],[Desconto]])</f>
        <v>205.55143154006012</v>
      </c>
      <c r="N6186" t="str">
        <f>IFERROR(INDEX(tProdutos[Foco],MATCH(tItens[[#This Row],[Produto]],tProdutos[Produto],0)),"Não")</f>
        <v>Não</v>
      </c>
      <c r="O6186" t="str">
        <f>IFERROR(INDEX(tEditais[SRP],MATCH(tItens[[#This Row],[Edital]],tEditais[Edital],0)),"Não")</f>
        <v>Sim</v>
      </c>
      <c r="P6186" s="4">
        <f>IF(COUNTIFS(INDEX(tItens[Edital],1):tItens[[#This Row],[Edital]],tItens[[#This Row],[Edital]],INDEX(tItens[Produto],1):tItens[[#This Row],[Produto]],tItens[[#This Row],[Produto]])=1,1,0)</f>
        <v>1</v>
      </c>
    </row>
    <row r="6187" spans="1:16" x14ac:dyDescent="0.25">
      <c r="A6187" t="s">
        <v>2162</v>
      </c>
      <c r="B6187">
        <v>95</v>
      </c>
      <c r="C6187" t="s">
        <v>8929</v>
      </c>
      <c r="D6187" t="s">
        <v>638</v>
      </c>
      <c r="E6187" s="13">
        <v>10</v>
      </c>
      <c r="F6187" s="12">
        <v>33.700000000000003</v>
      </c>
      <c r="G6187" t="str">
        <f>IFERROR(INDEX(tEditais[Órgão],MATCH(tItens[[#This Row],[Edital]],tEditais[Edital],0)),"")</f>
        <v>MUNICIPIO DE CATANDUVAS</v>
      </c>
      <c r="H6187" t="str">
        <f>IFERROR(INDEX(tEditais[UF],MATCH(tItens[[#This Row],[Edital]],tEditais[Edital],0)),"")</f>
        <v>PR</v>
      </c>
      <c r="I6187" s="11">
        <f>IFERROR(INDEX(tEditais[Encerramento],MATCH(tItens[[#This Row],[Edital]],tEditais[Edital],0)),"")</f>
        <v>46311.375</v>
      </c>
      <c r="J6187" t="str">
        <f>IFERROR(INDEX(tProdutos[Classe],MATCH(tItens[[#This Row],[Produto]],tProdutos[Produto],0)),"produto não cadastrado")</f>
        <v>FILA REBASE</v>
      </c>
      <c r="K6187" s="12">
        <f>tItens[[#This Row],[Qtd]]*tItens[[#This Row],[Vlr unit]]</f>
        <v>337</v>
      </c>
      <c r="L6187" s="6">
        <f>IFERROR(IF(INDEX(tProdutos[Desconto homologado],MATCH(tItens[[#This Row],[Produto]],tProdutos[Produto],0))="",DescontoPadrao,INDEX(tProdutos[Desconto homologado],MATCH(tItens[[#This Row],[Produto]],tProdutos[Produto],0))),DescontoPadrao)</f>
        <v>0.487179487179487</v>
      </c>
      <c r="M6187" s="12">
        <f>tItens[[#This Row],[Valor]]*(1-tItens[[#This Row],[Desconto]])</f>
        <v>172.82051282051287</v>
      </c>
      <c r="N6187" t="str">
        <f>IFERROR(INDEX(tProdutos[Foco],MATCH(tItens[[#This Row],[Produto]],tProdutos[Produto],0)),"Não")</f>
        <v>Não</v>
      </c>
      <c r="O6187" t="str">
        <f>IFERROR(INDEX(tEditais[SRP],MATCH(tItens[[#This Row],[Edital]],tEditais[Edital],0)),"Não")</f>
        <v>Sim</v>
      </c>
      <c r="P6187" s="4">
        <f>IF(COUNTIFS(INDEX(tItens[Edital],1):tItens[[#This Row],[Edital]],tItens[[#This Row],[Edital]],INDEX(tItens[Produto],1):tItens[[#This Row],[Produto]],tItens[[#This Row],[Produto]])=1,1,0)</f>
        <v>1</v>
      </c>
    </row>
    <row r="6188" spans="1:16" x14ac:dyDescent="0.25">
      <c r="A6188" t="s">
        <v>2162</v>
      </c>
      <c r="B6188">
        <v>100</v>
      </c>
      <c r="C6188" t="s">
        <v>8930</v>
      </c>
      <c r="D6188" t="s">
        <v>75</v>
      </c>
      <c r="E6188" s="13">
        <v>400</v>
      </c>
      <c r="F6188" s="12">
        <v>1.34</v>
      </c>
      <c r="G6188" t="str">
        <f>IFERROR(INDEX(tEditais[Órgão],MATCH(tItens[[#This Row],[Edital]],tEditais[Edital],0)),"")</f>
        <v>MUNICIPIO DE CATANDUVAS</v>
      </c>
      <c r="H6188" t="str">
        <f>IFERROR(INDEX(tEditais[UF],MATCH(tItens[[#This Row],[Edital]],tEditais[Edital],0)),"")</f>
        <v>PR</v>
      </c>
      <c r="I6188" s="11">
        <f>IFERROR(INDEX(tEditais[Encerramento],MATCH(tItens[[#This Row],[Edital]],tEditais[Edital],0)),"")</f>
        <v>46311.375</v>
      </c>
      <c r="J6188" t="str">
        <f>IFERROR(INDEX(tProdutos[Classe],MATCH(tItens[[#This Row],[Produto]],tProdutos[Produto],0)),"produto não cadastrado")</f>
        <v>NÚCLEO</v>
      </c>
      <c r="K6188" s="12">
        <f>tItens[[#This Row],[Qtd]]*tItens[[#This Row],[Vlr unit]]</f>
        <v>536</v>
      </c>
      <c r="L6188" s="6">
        <f>IFERROR(IF(INDEX(tProdutos[Desconto homologado],MATCH(tItens[[#This Row],[Produto]],tProdutos[Produto],0))="",DescontoPadrao,INDEX(tProdutos[Desconto homologado],MATCH(tItens[[#This Row],[Produto]],tProdutos[Produto],0))),DescontoPadrao)</f>
        <v>0.26</v>
      </c>
      <c r="M6188" s="12">
        <f>tItens[[#This Row],[Valor]]*(1-tItens[[#This Row],[Desconto]])</f>
        <v>396.64</v>
      </c>
      <c r="N6188" t="str">
        <f>IFERROR(INDEX(tProdutos[Foco],MATCH(tItens[[#This Row],[Produto]],tProdutos[Produto],0)),"Não")</f>
        <v>Sim</v>
      </c>
      <c r="O6188" t="str">
        <f>IFERROR(INDEX(tEditais[SRP],MATCH(tItens[[#This Row],[Edital]],tEditais[Edital],0)),"Não")</f>
        <v>Sim</v>
      </c>
      <c r="P6188" s="4">
        <f>IF(COUNTIFS(INDEX(tItens[Edital],1):tItens[[#This Row],[Edital]],tItens[[#This Row],[Edital]],INDEX(tItens[Produto],1):tItens[[#This Row],[Produto]],tItens[[#This Row],[Produto]])=1,1,0)</f>
        <v>1</v>
      </c>
    </row>
    <row r="6189" spans="1:16" x14ac:dyDescent="0.25">
      <c r="A6189" t="s">
        <v>2162</v>
      </c>
      <c r="B6189">
        <v>101</v>
      </c>
      <c r="C6189" t="s">
        <v>8931</v>
      </c>
      <c r="D6189" t="s">
        <v>75</v>
      </c>
      <c r="E6189" s="13">
        <v>1000</v>
      </c>
      <c r="F6189" s="12">
        <v>1.29</v>
      </c>
      <c r="G6189" t="str">
        <f>IFERROR(INDEX(tEditais[Órgão],MATCH(tItens[[#This Row],[Edital]],tEditais[Edital],0)),"")</f>
        <v>MUNICIPIO DE CATANDUVAS</v>
      </c>
      <c r="H6189" t="str">
        <f>IFERROR(INDEX(tEditais[UF],MATCH(tItens[[#This Row],[Edital]],tEditais[Edital],0)),"")</f>
        <v>PR</v>
      </c>
      <c r="I6189" s="11">
        <f>IFERROR(INDEX(tEditais[Encerramento],MATCH(tItens[[#This Row],[Edital]],tEditais[Edital],0)),"")</f>
        <v>46311.375</v>
      </c>
      <c r="J6189" t="str">
        <f>IFERROR(INDEX(tProdutos[Classe],MATCH(tItens[[#This Row],[Produto]],tProdutos[Produto],0)),"produto não cadastrado")</f>
        <v>NÚCLEO</v>
      </c>
      <c r="K6189" s="12">
        <f>tItens[[#This Row],[Qtd]]*tItens[[#This Row],[Vlr unit]]</f>
        <v>1290</v>
      </c>
      <c r="L6189" s="6">
        <f>IFERROR(IF(INDEX(tProdutos[Desconto homologado],MATCH(tItens[[#This Row],[Produto]],tProdutos[Produto],0))="",DescontoPadrao,INDEX(tProdutos[Desconto homologado],MATCH(tItens[[#This Row],[Produto]],tProdutos[Produto],0))),DescontoPadrao)</f>
        <v>0.26</v>
      </c>
      <c r="M6189" s="12">
        <f>tItens[[#This Row],[Valor]]*(1-tItens[[#This Row],[Desconto]])</f>
        <v>954.6</v>
      </c>
      <c r="N6189" t="str">
        <f>IFERROR(INDEX(tProdutos[Foco],MATCH(tItens[[#This Row],[Produto]],tProdutos[Produto],0)),"Não")</f>
        <v>Sim</v>
      </c>
      <c r="O6189" t="str">
        <f>IFERROR(INDEX(tEditais[SRP],MATCH(tItens[[#This Row],[Edital]],tEditais[Edital],0)),"Não")</f>
        <v>Sim</v>
      </c>
      <c r="P6189" s="4">
        <f>IF(COUNTIFS(INDEX(tItens[Edital],1):tItens[[#This Row],[Edital]],tItens[[#This Row],[Edital]],INDEX(tItens[Produto],1):tItens[[#This Row],[Produto]],tItens[[#This Row],[Produto]])=1,1,0)</f>
        <v>0</v>
      </c>
    </row>
    <row r="6190" spans="1:16" x14ac:dyDescent="0.25">
      <c r="A6190" t="s">
        <v>2162</v>
      </c>
      <c r="B6190">
        <v>102</v>
      </c>
      <c r="C6190" t="s">
        <v>8932</v>
      </c>
      <c r="D6190" t="s">
        <v>75</v>
      </c>
      <c r="E6190" s="13">
        <v>200</v>
      </c>
      <c r="F6190" s="12">
        <v>1.57</v>
      </c>
      <c r="G6190" t="str">
        <f>IFERROR(INDEX(tEditais[Órgão],MATCH(tItens[[#This Row],[Edital]],tEditais[Edital],0)),"")</f>
        <v>MUNICIPIO DE CATANDUVAS</v>
      </c>
      <c r="H6190" t="str">
        <f>IFERROR(INDEX(tEditais[UF],MATCH(tItens[[#This Row],[Edital]],tEditais[Edital],0)),"")</f>
        <v>PR</v>
      </c>
      <c r="I6190" s="11">
        <f>IFERROR(INDEX(tEditais[Encerramento],MATCH(tItens[[#This Row],[Edital]],tEditais[Edital],0)),"")</f>
        <v>46311.375</v>
      </c>
      <c r="J6190" t="str">
        <f>IFERROR(INDEX(tProdutos[Classe],MATCH(tItens[[#This Row],[Produto]],tProdutos[Produto],0)),"produto não cadastrado")</f>
        <v>NÚCLEO</v>
      </c>
      <c r="K6190" s="12">
        <f>tItens[[#This Row],[Qtd]]*tItens[[#This Row],[Vlr unit]]</f>
        <v>314</v>
      </c>
      <c r="L6190" s="6">
        <f>IFERROR(IF(INDEX(tProdutos[Desconto homologado],MATCH(tItens[[#This Row],[Produto]],tProdutos[Produto],0))="",DescontoPadrao,INDEX(tProdutos[Desconto homologado],MATCH(tItens[[#This Row],[Produto]],tProdutos[Produto],0))),DescontoPadrao)</f>
        <v>0.26</v>
      </c>
      <c r="M6190" s="12">
        <f>tItens[[#This Row],[Valor]]*(1-tItens[[#This Row],[Desconto]])</f>
        <v>232.35999999999999</v>
      </c>
      <c r="N6190" t="str">
        <f>IFERROR(INDEX(tProdutos[Foco],MATCH(tItens[[#This Row],[Produto]],tProdutos[Produto],0)),"Não")</f>
        <v>Sim</v>
      </c>
      <c r="O6190" t="str">
        <f>IFERROR(INDEX(tEditais[SRP],MATCH(tItens[[#This Row],[Edital]],tEditais[Edital],0)),"Não")</f>
        <v>Sim</v>
      </c>
      <c r="P6190" s="4">
        <f>IF(COUNTIFS(INDEX(tItens[Edital],1):tItens[[#This Row],[Edital]],tItens[[#This Row],[Edital]],INDEX(tItens[Produto],1):tItens[[#This Row],[Produto]],tItens[[#This Row],[Produto]])=1,1,0)</f>
        <v>0</v>
      </c>
    </row>
    <row r="6191" spans="1:16" x14ac:dyDescent="0.25">
      <c r="A6191" t="s">
        <v>2162</v>
      </c>
      <c r="B6191">
        <v>103</v>
      </c>
      <c r="C6191" t="s">
        <v>8933</v>
      </c>
      <c r="D6191" t="s">
        <v>461</v>
      </c>
      <c r="E6191" s="13">
        <v>8</v>
      </c>
      <c r="F6191" s="12">
        <v>24.61</v>
      </c>
      <c r="G6191" t="str">
        <f>IFERROR(INDEX(tEditais[Órgão],MATCH(tItens[[#This Row],[Edital]],tEditais[Edital],0)),"")</f>
        <v>MUNICIPIO DE CATANDUVAS</v>
      </c>
      <c r="H6191" t="str">
        <f>IFERROR(INDEX(tEditais[UF],MATCH(tItens[[#This Row],[Edital]],tEditais[Edital],0)),"")</f>
        <v>PR</v>
      </c>
      <c r="I6191" s="11">
        <f>IFERROR(INDEX(tEditais[Encerramento],MATCH(tItens[[#This Row],[Edital]],tEditais[Edital],0)),"")</f>
        <v>46311.375</v>
      </c>
      <c r="J6191" t="str">
        <f>IFERROR(INDEX(tProdutos[Classe],MATCH(tItens[[#This Row],[Produto]],tProdutos[Produto],0)),"produto não cadastrado")</f>
        <v>FILA REBASE</v>
      </c>
      <c r="K6191" s="12">
        <f>tItens[[#This Row],[Qtd]]*tItens[[#This Row],[Vlr unit]]</f>
        <v>196.88</v>
      </c>
      <c r="L6191" s="6">
        <f>IFERROR(IF(INDEX(tProdutos[Desconto homologado],MATCH(tItens[[#This Row],[Produto]],tProdutos[Produto],0))="",DescontoPadrao,INDEX(tProdutos[Desconto homologado],MATCH(tItens[[#This Row],[Produto]],tProdutos[Produto],0))),DescontoPadrao)</f>
        <v>0.44096385542168698</v>
      </c>
      <c r="M6191" s="12">
        <f>tItens[[#This Row],[Valor]]*(1-tItens[[#This Row],[Desconto]])</f>
        <v>110.06303614457825</v>
      </c>
      <c r="N6191" t="str">
        <f>IFERROR(INDEX(tProdutos[Foco],MATCH(tItens[[#This Row],[Produto]],tProdutos[Produto],0)),"Não")</f>
        <v>Não</v>
      </c>
      <c r="O6191" t="str">
        <f>IFERROR(INDEX(tEditais[SRP],MATCH(tItens[[#This Row],[Edital]],tEditais[Edital],0)),"Não")</f>
        <v>Sim</v>
      </c>
      <c r="P6191" s="4">
        <f>IF(COUNTIFS(INDEX(tItens[Edital],1):tItens[[#This Row],[Edital]],tItens[[#This Row],[Edital]],INDEX(tItens[Produto],1):tItens[[#This Row],[Produto]],tItens[[#This Row],[Produto]])=1,1,0)</f>
        <v>1</v>
      </c>
    </row>
    <row r="6192" spans="1:16" x14ac:dyDescent="0.25">
      <c r="A6192" t="s">
        <v>2162</v>
      </c>
      <c r="B6192">
        <v>104</v>
      </c>
      <c r="C6192" t="s">
        <v>8934</v>
      </c>
      <c r="D6192" t="s">
        <v>461</v>
      </c>
      <c r="E6192" s="13">
        <v>30</v>
      </c>
      <c r="F6192" s="12">
        <v>29.4</v>
      </c>
      <c r="G6192" t="str">
        <f>IFERROR(INDEX(tEditais[Órgão],MATCH(tItens[[#This Row],[Edital]],tEditais[Edital],0)),"")</f>
        <v>MUNICIPIO DE CATANDUVAS</v>
      </c>
      <c r="H6192" t="str">
        <f>IFERROR(INDEX(tEditais[UF],MATCH(tItens[[#This Row],[Edital]],tEditais[Edital],0)),"")</f>
        <v>PR</v>
      </c>
      <c r="I6192" s="11">
        <f>IFERROR(INDEX(tEditais[Encerramento],MATCH(tItens[[#This Row],[Edital]],tEditais[Edital],0)),"")</f>
        <v>46311.375</v>
      </c>
      <c r="J6192" t="str">
        <f>IFERROR(INDEX(tProdutos[Classe],MATCH(tItens[[#This Row],[Produto]],tProdutos[Produto],0)),"produto não cadastrado")</f>
        <v>FILA REBASE</v>
      </c>
      <c r="K6192" s="12">
        <f>tItens[[#This Row],[Qtd]]*tItens[[#This Row],[Vlr unit]]</f>
        <v>882</v>
      </c>
      <c r="L6192" s="6">
        <f>IFERROR(IF(INDEX(tProdutos[Desconto homologado],MATCH(tItens[[#This Row],[Produto]],tProdutos[Produto],0))="",DescontoPadrao,INDEX(tProdutos[Desconto homologado],MATCH(tItens[[#This Row],[Produto]],tProdutos[Produto],0))),DescontoPadrao)</f>
        <v>0.44096385542168698</v>
      </c>
      <c r="M6192" s="12">
        <f>tItens[[#This Row],[Valor]]*(1-tItens[[#This Row],[Desconto]])</f>
        <v>493.06987951807201</v>
      </c>
      <c r="N6192" t="str">
        <f>IFERROR(INDEX(tProdutos[Foco],MATCH(tItens[[#This Row],[Produto]],tProdutos[Produto],0)),"Não")</f>
        <v>Não</v>
      </c>
      <c r="O6192" t="str">
        <f>IFERROR(INDEX(tEditais[SRP],MATCH(tItens[[#This Row],[Edital]],tEditais[Edital],0)),"Não")</f>
        <v>Sim</v>
      </c>
      <c r="P6192" s="4">
        <f>IF(COUNTIFS(INDEX(tItens[Edital],1):tItens[[#This Row],[Edital]],tItens[[#This Row],[Edital]],INDEX(tItens[Produto],1):tItens[[#This Row],[Produto]],tItens[[#This Row],[Produto]])=1,1,0)</f>
        <v>0</v>
      </c>
    </row>
    <row r="6193" spans="1:16" x14ac:dyDescent="0.25">
      <c r="A6193" t="s">
        <v>2162</v>
      </c>
      <c r="B6193">
        <v>105</v>
      </c>
      <c r="C6193" t="s">
        <v>8935</v>
      </c>
      <c r="D6193" t="s">
        <v>461</v>
      </c>
      <c r="E6193" s="13">
        <v>10</v>
      </c>
      <c r="F6193" s="12">
        <v>28.52</v>
      </c>
      <c r="G6193" t="str">
        <f>IFERROR(INDEX(tEditais[Órgão],MATCH(tItens[[#This Row],[Edital]],tEditais[Edital],0)),"")</f>
        <v>MUNICIPIO DE CATANDUVAS</v>
      </c>
      <c r="H6193" t="str">
        <f>IFERROR(INDEX(tEditais[UF],MATCH(tItens[[#This Row],[Edital]],tEditais[Edital],0)),"")</f>
        <v>PR</v>
      </c>
      <c r="I6193" s="11">
        <f>IFERROR(INDEX(tEditais[Encerramento],MATCH(tItens[[#This Row],[Edital]],tEditais[Edital],0)),"")</f>
        <v>46311.375</v>
      </c>
      <c r="J6193" t="str">
        <f>IFERROR(INDEX(tProdutos[Classe],MATCH(tItens[[#This Row],[Produto]],tProdutos[Produto],0)),"produto não cadastrado")</f>
        <v>FILA REBASE</v>
      </c>
      <c r="K6193" s="12">
        <f>tItens[[#This Row],[Qtd]]*tItens[[#This Row],[Vlr unit]]</f>
        <v>285.2</v>
      </c>
      <c r="L6193" s="6">
        <f>IFERROR(IF(INDEX(tProdutos[Desconto homologado],MATCH(tItens[[#This Row],[Produto]],tProdutos[Produto],0))="",DescontoPadrao,INDEX(tProdutos[Desconto homologado],MATCH(tItens[[#This Row],[Produto]],tProdutos[Produto],0))),DescontoPadrao)</f>
        <v>0.44096385542168698</v>
      </c>
      <c r="M6193" s="12">
        <f>tItens[[#This Row],[Valor]]*(1-tItens[[#This Row],[Desconto]])</f>
        <v>159.43710843373486</v>
      </c>
      <c r="N6193" t="str">
        <f>IFERROR(INDEX(tProdutos[Foco],MATCH(tItens[[#This Row],[Produto]],tProdutos[Produto],0)),"Não")</f>
        <v>Não</v>
      </c>
      <c r="O6193" t="str">
        <f>IFERROR(INDEX(tEditais[SRP],MATCH(tItens[[#This Row],[Edital]],tEditais[Edital],0)),"Não")</f>
        <v>Sim</v>
      </c>
      <c r="P6193" s="4">
        <f>IF(COUNTIFS(INDEX(tItens[Edital],1):tItens[[#This Row],[Edital]],tItens[[#This Row],[Edital]],INDEX(tItens[Produto],1):tItens[[#This Row],[Produto]],tItens[[#This Row],[Produto]])=1,1,0)</f>
        <v>0</v>
      </c>
    </row>
    <row r="6194" spans="1:16" x14ac:dyDescent="0.25">
      <c r="A6194" t="s">
        <v>2162</v>
      </c>
      <c r="B6194">
        <v>106</v>
      </c>
      <c r="C6194" t="s">
        <v>8936</v>
      </c>
      <c r="D6194" t="s">
        <v>461</v>
      </c>
      <c r="E6194" s="13">
        <v>10</v>
      </c>
      <c r="F6194" s="12">
        <v>27.64</v>
      </c>
      <c r="G6194" t="str">
        <f>IFERROR(INDEX(tEditais[Órgão],MATCH(tItens[[#This Row],[Edital]],tEditais[Edital],0)),"")</f>
        <v>MUNICIPIO DE CATANDUVAS</v>
      </c>
      <c r="H6194" t="str">
        <f>IFERROR(INDEX(tEditais[UF],MATCH(tItens[[#This Row],[Edital]],tEditais[Edital],0)),"")</f>
        <v>PR</v>
      </c>
      <c r="I6194" s="11">
        <f>IFERROR(INDEX(tEditais[Encerramento],MATCH(tItens[[#This Row],[Edital]],tEditais[Edital],0)),"")</f>
        <v>46311.375</v>
      </c>
      <c r="J6194" t="str">
        <f>IFERROR(INDEX(tProdutos[Classe],MATCH(tItens[[#This Row],[Produto]],tProdutos[Produto],0)),"produto não cadastrado")</f>
        <v>FILA REBASE</v>
      </c>
      <c r="K6194" s="12">
        <f>tItens[[#This Row],[Qtd]]*tItens[[#This Row],[Vlr unit]]</f>
        <v>276.39999999999998</v>
      </c>
      <c r="L6194" s="6">
        <f>IFERROR(IF(INDEX(tProdutos[Desconto homologado],MATCH(tItens[[#This Row],[Produto]],tProdutos[Produto],0))="",DescontoPadrao,INDEX(tProdutos[Desconto homologado],MATCH(tItens[[#This Row],[Produto]],tProdutos[Produto],0))),DescontoPadrao)</f>
        <v>0.44096385542168698</v>
      </c>
      <c r="M6194" s="12">
        <f>tItens[[#This Row],[Valor]]*(1-tItens[[#This Row],[Desconto]])</f>
        <v>154.51759036144568</v>
      </c>
      <c r="N6194" t="str">
        <f>IFERROR(INDEX(tProdutos[Foco],MATCH(tItens[[#This Row],[Produto]],tProdutos[Produto],0)),"Não")</f>
        <v>Não</v>
      </c>
      <c r="O6194" t="str">
        <f>IFERROR(INDEX(tEditais[SRP],MATCH(tItens[[#This Row],[Edital]],tEditais[Edital],0)),"Não")</f>
        <v>Sim</v>
      </c>
      <c r="P6194" s="4">
        <f>IF(COUNTIFS(INDEX(tItens[Edital],1):tItens[[#This Row],[Edital]],tItens[[#This Row],[Edital]],INDEX(tItens[Produto],1):tItens[[#This Row],[Produto]],tItens[[#This Row],[Produto]])=1,1,0)</f>
        <v>0</v>
      </c>
    </row>
    <row r="6195" spans="1:16" x14ac:dyDescent="0.25">
      <c r="A6195" t="s">
        <v>2162</v>
      </c>
      <c r="B6195">
        <v>110</v>
      </c>
      <c r="C6195" t="s">
        <v>8937</v>
      </c>
      <c r="D6195" t="s">
        <v>90</v>
      </c>
      <c r="E6195" s="13">
        <v>100</v>
      </c>
      <c r="F6195" s="12">
        <v>6.23</v>
      </c>
      <c r="G6195" t="str">
        <f>IFERROR(INDEX(tEditais[Órgão],MATCH(tItens[[#This Row],[Edital]],tEditais[Edital],0)),"")</f>
        <v>MUNICIPIO DE CATANDUVAS</v>
      </c>
      <c r="H6195" t="str">
        <f>IFERROR(INDEX(tEditais[UF],MATCH(tItens[[#This Row],[Edital]],tEditais[Edital],0)),"")</f>
        <v>PR</v>
      </c>
      <c r="I6195" s="11">
        <f>IFERROR(INDEX(tEditais[Encerramento],MATCH(tItens[[#This Row],[Edital]],tEditais[Edital],0)),"")</f>
        <v>46311.375</v>
      </c>
      <c r="J6195" t="str">
        <f>IFERROR(INDEX(tProdutos[Classe],MATCH(tItens[[#This Row],[Produto]],tProdutos[Produto],0)),"produto não cadastrado")</f>
        <v>DISPUTADO</v>
      </c>
      <c r="K6195" s="12">
        <f>tItens[[#This Row],[Qtd]]*tItens[[#This Row],[Vlr unit]]</f>
        <v>623</v>
      </c>
      <c r="L6195" s="6">
        <f>IFERROR(IF(INDEX(tProdutos[Desconto homologado],MATCH(tItens[[#This Row],[Produto]],tProdutos[Produto],0))="",DescontoPadrao,INDEX(tProdutos[Desconto homologado],MATCH(tItens[[#This Row],[Produto]],tProdutos[Produto],0))),DescontoPadrao)</f>
        <v>0.25393823957010597</v>
      </c>
      <c r="M6195" s="12">
        <f>tItens[[#This Row],[Valor]]*(1-tItens[[#This Row],[Desconto]])</f>
        <v>464.79647674782399</v>
      </c>
      <c r="N6195" t="str">
        <f>IFERROR(INDEX(tProdutos[Foco],MATCH(tItens[[#This Row],[Produto]],tProdutos[Produto],0)),"Não")</f>
        <v>Não</v>
      </c>
      <c r="O6195" t="str">
        <f>IFERROR(INDEX(tEditais[SRP],MATCH(tItens[[#This Row],[Edital]],tEditais[Edital],0)),"Não")</f>
        <v>Sim</v>
      </c>
      <c r="P6195" s="4">
        <f>IF(COUNTIFS(INDEX(tItens[Edital],1):tItens[[#This Row],[Edital]],tItens[[#This Row],[Edital]],INDEX(tItens[Produto],1):tItens[[#This Row],[Produto]],tItens[[#This Row],[Produto]])=1,1,0)</f>
        <v>1</v>
      </c>
    </row>
    <row r="6196" spans="1:16" x14ac:dyDescent="0.25">
      <c r="A6196" t="s">
        <v>2162</v>
      </c>
      <c r="B6196">
        <v>111</v>
      </c>
      <c r="C6196" t="s">
        <v>8938</v>
      </c>
      <c r="D6196" t="s">
        <v>90</v>
      </c>
      <c r="E6196" s="13">
        <v>300</v>
      </c>
      <c r="F6196" s="12">
        <v>4.9800000000000004</v>
      </c>
      <c r="G6196" t="str">
        <f>IFERROR(INDEX(tEditais[Órgão],MATCH(tItens[[#This Row],[Edital]],tEditais[Edital],0)),"")</f>
        <v>MUNICIPIO DE CATANDUVAS</v>
      </c>
      <c r="H6196" t="str">
        <f>IFERROR(INDEX(tEditais[UF],MATCH(tItens[[#This Row],[Edital]],tEditais[Edital],0)),"")</f>
        <v>PR</v>
      </c>
      <c r="I6196" s="11">
        <f>IFERROR(INDEX(tEditais[Encerramento],MATCH(tItens[[#This Row],[Edital]],tEditais[Edital],0)),"")</f>
        <v>46311.375</v>
      </c>
      <c r="J6196" t="str">
        <f>IFERROR(INDEX(tProdutos[Classe],MATCH(tItens[[#This Row],[Produto]],tProdutos[Produto],0)),"produto não cadastrado")</f>
        <v>DISPUTADO</v>
      </c>
      <c r="K6196" s="12">
        <f>tItens[[#This Row],[Qtd]]*tItens[[#This Row],[Vlr unit]]</f>
        <v>1494.0000000000002</v>
      </c>
      <c r="L6196" s="6">
        <f>IFERROR(IF(INDEX(tProdutos[Desconto homologado],MATCH(tItens[[#This Row],[Produto]],tProdutos[Produto],0))="",DescontoPadrao,INDEX(tProdutos[Desconto homologado],MATCH(tItens[[#This Row],[Produto]],tProdutos[Produto],0))),DescontoPadrao)</f>
        <v>0.25393823957010597</v>
      </c>
      <c r="M6196" s="12">
        <f>tItens[[#This Row],[Valor]]*(1-tItens[[#This Row],[Desconto]])</f>
        <v>1114.6162700822617</v>
      </c>
      <c r="N6196" t="str">
        <f>IFERROR(INDEX(tProdutos[Foco],MATCH(tItens[[#This Row],[Produto]],tProdutos[Produto],0)),"Não")</f>
        <v>Não</v>
      </c>
      <c r="O6196" t="str">
        <f>IFERROR(INDEX(tEditais[SRP],MATCH(tItens[[#This Row],[Edital]],tEditais[Edital],0)),"Não")</f>
        <v>Sim</v>
      </c>
      <c r="P6196" s="4">
        <f>IF(COUNTIFS(INDEX(tItens[Edital],1):tItens[[#This Row],[Edital]],tItens[[#This Row],[Edital]],INDEX(tItens[Produto],1):tItens[[#This Row],[Produto]],tItens[[#This Row],[Produto]])=1,1,0)</f>
        <v>0</v>
      </c>
    </row>
    <row r="6197" spans="1:16" x14ac:dyDescent="0.25">
      <c r="A6197" t="s">
        <v>2162</v>
      </c>
      <c r="B6197">
        <v>112</v>
      </c>
      <c r="C6197" t="s">
        <v>8939</v>
      </c>
      <c r="D6197" t="s">
        <v>90</v>
      </c>
      <c r="E6197" s="13">
        <v>800</v>
      </c>
      <c r="F6197" s="12">
        <v>12.5</v>
      </c>
      <c r="G6197" t="str">
        <f>IFERROR(INDEX(tEditais[Órgão],MATCH(tItens[[#This Row],[Edital]],tEditais[Edital],0)),"")</f>
        <v>MUNICIPIO DE CATANDUVAS</v>
      </c>
      <c r="H6197" t="str">
        <f>IFERROR(INDEX(tEditais[UF],MATCH(tItens[[#This Row],[Edital]],tEditais[Edital],0)),"")</f>
        <v>PR</v>
      </c>
      <c r="I6197" s="11">
        <f>IFERROR(INDEX(tEditais[Encerramento],MATCH(tItens[[#This Row],[Edital]],tEditais[Edital],0)),"")</f>
        <v>46311.375</v>
      </c>
      <c r="J6197" t="str">
        <f>IFERROR(INDEX(tProdutos[Classe],MATCH(tItens[[#This Row],[Produto]],tProdutos[Produto],0)),"produto não cadastrado")</f>
        <v>DISPUTADO</v>
      </c>
      <c r="K6197" s="12">
        <f>tItens[[#This Row],[Qtd]]*tItens[[#This Row],[Vlr unit]]</f>
        <v>10000</v>
      </c>
      <c r="L6197" s="6">
        <f>IFERROR(IF(INDEX(tProdutos[Desconto homologado],MATCH(tItens[[#This Row],[Produto]],tProdutos[Produto],0))="",DescontoPadrao,INDEX(tProdutos[Desconto homologado],MATCH(tItens[[#This Row],[Produto]],tProdutos[Produto],0))),DescontoPadrao)</f>
        <v>0.25393823957010597</v>
      </c>
      <c r="M6197" s="12">
        <f>tItens[[#This Row],[Valor]]*(1-tItens[[#This Row],[Desconto]])</f>
        <v>7460.61760429894</v>
      </c>
      <c r="N6197" t="str">
        <f>IFERROR(INDEX(tProdutos[Foco],MATCH(tItens[[#This Row],[Produto]],tProdutos[Produto],0)),"Não")</f>
        <v>Não</v>
      </c>
      <c r="O6197" t="str">
        <f>IFERROR(INDEX(tEditais[SRP],MATCH(tItens[[#This Row],[Edital]],tEditais[Edital],0)),"Não")</f>
        <v>Sim</v>
      </c>
      <c r="P6197" s="4">
        <f>IF(COUNTIFS(INDEX(tItens[Edital],1):tItens[[#This Row],[Edital]],tItens[[#This Row],[Edital]],INDEX(tItens[Produto],1):tItens[[#This Row],[Produto]],tItens[[#This Row],[Produto]])=1,1,0)</f>
        <v>0</v>
      </c>
    </row>
    <row r="6198" spans="1:16" x14ac:dyDescent="0.25">
      <c r="A6198" t="s">
        <v>2162</v>
      </c>
      <c r="B6198">
        <v>113</v>
      </c>
      <c r="C6198" t="s">
        <v>8940</v>
      </c>
      <c r="D6198" t="s">
        <v>77</v>
      </c>
      <c r="E6198" s="13">
        <v>100</v>
      </c>
      <c r="F6198" s="12">
        <v>6.97</v>
      </c>
      <c r="G6198" t="str">
        <f>IFERROR(INDEX(tEditais[Órgão],MATCH(tItens[[#This Row],[Edital]],tEditais[Edital],0)),"")</f>
        <v>MUNICIPIO DE CATANDUVAS</v>
      </c>
      <c r="H6198" t="str">
        <f>IFERROR(INDEX(tEditais[UF],MATCH(tItens[[#This Row],[Edital]],tEditais[Edital],0)),"")</f>
        <v>PR</v>
      </c>
      <c r="I6198" s="11">
        <f>IFERROR(INDEX(tEditais[Encerramento],MATCH(tItens[[#This Row],[Edital]],tEditais[Edital],0)),"")</f>
        <v>46311.375</v>
      </c>
      <c r="J6198" t="str">
        <f>IFERROR(INDEX(tProdutos[Classe],MATCH(tItens[[#This Row],[Produto]],tProdutos[Produto],0)),"produto não cadastrado")</f>
        <v>DISPUTADO</v>
      </c>
      <c r="K6198" s="12">
        <f>tItens[[#This Row],[Qtd]]*tItens[[#This Row],[Vlr unit]]</f>
        <v>697</v>
      </c>
      <c r="L6198" s="6">
        <f>IFERROR(IF(INDEX(tProdutos[Desconto homologado],MATCH(tItens[[#This Row],[Produto]],tProdutos[Produto],0))="",DescontoPadrao,INDEX(tProdutos[Desconto homologado],MATCH(tItens[[#This Row],[Produto]],tProdutos[Produto],0))),DescontoPadrao)</f>
        <v>0.33</v>
      </c>
      <c r="M6198" s="12">
        <f>tItens[[#This Row],[Valor]]*(1-tItens[[#This Row],[Desconto]])</f>
        <v>466.98999999999995</v>
      </c>
      <c r="N6198" t="str">
        <f>IFERROR(INDEX(tProdutos[Foco],MATCH(tItens[[#This Row],[Produto]],tProdutos[Produto],0)),"Não")</f>
        <v>Sim</v>
      </c>
      <c r="O6198" t="str">
        <f>IFERROR(INDEX(tEditais[SRP],MATCH(tItens[[#This Row],[Edital]],tEditais[Edital],0)),"Não")</f>
        <v>Sim</v>
      </c>
      <c r="P6198" s="4">
        <f>IF(COUNTIFS(INDEX(tItens[Edital],1):tItens[[#This Row],[Edital]],tItens[[#This Row],[Edital]],INDEX(tItens[Produto],1):tItens[[#This Row],[Produto]],tItens[[#This Row],[Produto]])=1,1,0)</f>
        <v>1</v>
      </c>
    </row>
    <row r="6199" spans="1:16" x14ac:dyDescent="0.25">
      <c r="A6199" t="s">
        <v>2162</v>
      </c>
      <c r="B6199">
        <v>114</v>
      </c>
      <c r="C6199" t="s">
        <v>8941</v>
      </c>
      <c r="D6199" t="s">
        <v>77</v>
      </c>
      <c r="E6199" s="13">
        <v>500</v>
      </c>
      <c r="F6199" s="12">
        <v>3.72</v>
      </c>
      <c r="G6199" t="str">
        <f>IFERROR(INDEX(tEditais[Órgão],MATCH(tItens[[#This Row],[Edital]],tEditais[Edital],0)),"")</f>
        <v>MUNICIPIO DE CATANDUVAS</v>
      </c>
      <c r="H6199" t="str">
        <f>IFERROR(INDEX(tEditais[UF],MATCH(tItens[[#This Row],[Edital]],tEditais[Edital],0)),"")</f>
        <v>PR</v>
      </c>
      <c r="I6199" s="11">
        <f>IFERROR(INDEX(tEditais[Encerramento],MATCH(tItens[[#This Row],[Edital]],tEditais[Edital],0)),"")</f>
        <v>46311.375</v>
      </c>
      <c r="J6199" t="str">
        <f>IFERROR(INDEX(tProdutos[Classe],MATCH(tItens[[#This Row],[Produto]],tProdutos[Produto],0)),"produto não cadastrado")</f>
        <v>DISPUTADO</v>
      </c>
      <c r="K6199" s="12">
        <f>tItens[[#This Row],[Qtd]]*tItens[[#This Row],[Vlr unit]]</f>
        <v>1860</v>
      </c>
      <c r="L6199" s="6">
        <f>IFERROR(IF(INDEX(tProdutos[Desconto homologado],MATCH(tItens[[#This Row],[Produto]],tProdutos[Produto],0))="",DescontoPadrao,INDEX(tProdutos[Desconto homologado],MATCH(tItens[[#This Row],[Produto]],tProdutos[Produto],0))),DescontoPadrao)</f>
        <v>0.33</v>
      </c>
      <c r="M6199" s="12">
        <f>tItens[[#This Row],[Valor]]*(1-tItens[[#This Row],[Desconto]])</f>
        <v>1246.1999999999998</v>
      </c>
      <c r="N6199" t="str">
        <f>IFERROR(INDEX(tProdutos[Foco],MATCH(tItens[[#This Row],[Produto]],tProdutos[Produto],0)),"Não")</f>
        <v>Sim</v>
      </c>
      <c r="O6199" t="str">
        <f>IFERROR(INDEX(tEditais[SRP],MATCH(tItens[[#This Row],[Edital]],tEditais[Edital],0)),"Não")</f>
        <v>Sim</v>
      </c>
      <c r="P6199" s="4">
        <f>IF(COUNTIFS(INDEX(tItens[Edital],1):tItens[[#This Row],[Edital]],tItens[[#This Row],[Edital]],INDEX(tItens[Produto],1):tItens[[#This Row],[Produto]],tItens[[#This Row],[Produto]])=1,1,0)</f>
        <v>0</v>
      </c>
    </row>
    <row r="6200" spans="1:16" x14ac:dyDescent="0.25">
      <c r="A6200" t="s">
        <v>2162</v>
      </c>
      <c r="B6200">
        <v>115</v>
      </c>
      <c r="C6200" t="s">
        <v>8942</v>
      </c>
      <c r="D6200" t="s">
        <v>77</v>
      </c>
      <c r="E6200" s="13">
        <v>300</v>
      </c>
      <c r="F6200" s="12">
        <v>6.32</v>
      </c>
      <c r="G6200" t="str">
        <f>IFERROR(INDEX(tEditais[Órgão],MATCH(tItens[[#This Row],[Edital]],tEditais[Edital],0)),"")</f>
        <v>MUNICIPIO DE CATANDUVAS</v>
      </c>
      <c r="H6200" t="str">
        <f>IFERROR(INDEX(tEditais[UF],MATCH(tItens[[#This Row],[Edital]],tEditais[Edital],0)),"")</f>
        <v>PR</v>
      </c>
      <c r="I6200" s="11">
        <f>IFERROR(INDEX(tEditais[Encerramento],MATCH(tItens[[#This Row],[Edital]],tEditais[Edital],0)),"")</f>
        <v>46311.375</v>
      </c>
      <c r="J6200" t="str">
        <f>IFERROR(INDEX(tProdutos[Classe],MATCH(tItens[[#This Row],[Produto]],tProdutos[Produto],0)),"produto não cadastrado")</f>
        <v>DISPUTADO</v>
      </c>
      <c r="K6200" s="12">
        <f>tItens[[#This Row],[Qtd]]*tItens[[#This Row],[Vlr unit]]</f>
        <v>1896</v>
      </c>
      <c r="L6200" s="6">
        <f>IFERROR(IF(INDEX(tProdutos[Desconto homologado],MATCH(tItens[[#This Row],[Produto]],tProdutos[Produto],0))="",DescontoPadrao,INDEX(tProdutos[Desconto homologado],MATCH(tItens[[#This Row],[Produto]],tProdutos[Produto],0))),DescontoPadrao)</f>
        <v>0.33</v>
      </c>
      <c r="M6200" s="12">
        <f>tItens[[#This Row],[Valor]]*(1-tItens[[#This Row],[Desconto]])</f>
        <v>1270.32</v>
      </c>
      <c r="N6200" t="str">
        <f>IFERROR(INDEX(tProdutos[Foco],MATCH(tItens[[#This Row],[Produto]],tProdutos[Produto],0)),"Não")</f>
        <v>Sim</v>
      </c>
      <c r="O6200" t="str">
        <f>IFERROR(INDEX(tEditais[SRP],MATCH(tItens[[#This Row],[Edital]],tEditais[Edital],0)),"Não")</f>
        <v>Sim</v>
      </c>
      <c r="P6200" s="4">
        <f>IF(COUNTIFS(INDEX(tItens[Edital],1):tItens[[#This Row],[Edital]],tItens[[#This Row],[Edital]],INDEX(tItens[Produto],1):tItens[[#This Row],[Produto]],tItens[[#This Row],[Produto]])=1,1,0)</f>
        <v>0</v>
      </c>
    </row>
    <row r="6201" spans="1:16" x14ac:dyDescent="0.25">
      <c r="A6201" t="s">
        <v>2162</v>
      </c>
      <c r="B6201">
        <v>118</v>
      </c>
      <c r="C6201" t="s">
        <v>8943</v>
      </c>
      <c r="D6201" t="s">
        <v>339</v>
      </c>
      <c r="E6201" s="13">
        <v>3000</v>
      </c>
      <c r="F6201" s="12">
        <v>1.25</v>
      </c>
      <c r="G6201" t="str">
        <f>IFERROR(INDEX(tEditais[Órgão],MATCH(tItens[[#This Row],[Edital]],tEditais[Edital],0)),"")</f>
        <v>MUNICIPIO DE CATANDUVAS</v>
      </c>
      <c r="H6201" t="str">
        <f>IFERROR(INDEX(tEditais[UF],MATCH(tItens[[#This Row],[Edital]],tEditais[Edital],0)),"")</f>
        <v>PR</v>
      </c>
      <c r="I6201" s="11">
        <f>IFERROR(INDEX(tEditais[Encerramento],MATCH(tItens[[#This Row],[Edital]],tEditais[Edital],0)),"")</f>
        <v>46311.375</v>
      </c>
      <c r="J6201" t="str">
        <f>IFERROR(INDEX(tProdutos[Classe],MATCH(tItens[[#This Row],[Produto]],tProdutos[Produto],0)),"produto não cadastrado")</f>
        <v>FORA</v>
      </c>
      <c r="K6201" s="12">
        <f>tItens[[#This Row],[Qtd]]*tItens[[#This Row],[Vlr unit]]</f>
        <v>3750</v>
      </c>
      <c r="L6201" s="6">
        <f>IFERROR(IF(INDEX(tProdutos[Desconto homologado],MATCH(tItens[[#This Row],[Produto]],tProdutos[Produto],0))="",DescontoPadrao,INDEX(tProdutos[Desconto homologado],MATCH(tItens[[#This Row],[Produto]],tProdutos[Produto],0))),DescontoPadrao)</f>
        <v>0.35388629091804102</v>
      </c>
      <c r="M6201" s="12">
        <f>tItens[[#This Row],[Valor]]*(1-tItens[[#This Row],[Desconto]])</f>
        <v>2422.9264090573461</v>
      </c>
      <c r="N6201" t="str">
        <f>IFERROR(INDEX(tProdutos[Foco],MATCH(tItens[[#This Row],[Produto]],tProdutos[Produto],0)),"Não")</f>
        <v>Não</v>
      </c>
      <c r="O6201" t="str">
        <f>IFERROR(INDEX(tEditais[SRP],MATCH(tItens[[#This Row],[Edital]],tEditais[Edital],0)),"Não")</f>
        <v>Sim</v>
      </c>
      <c r="P6201" s="4">
        <f>IF(COUNTIFS(INDEX(tItens[Edital],1):tItens[[#This Row],[Edital]],tItens[[#This Row],[Edital]],INDEX(tItens[Produto],1):tItens[[#This Row],[Produto]],tItens[[#This Row],[Produto]])=1,1,0)</f>
        <v>1</v>
      </c>
    </row>
    <row r="6202" spans="1:16" x14ac:dyDescent="0.25">
      <c r="A6202" t="s">
        <v>2162</v>
      </c>
      <c r="B6202">
        <v>119</v>
      </c>
      <c r="C6202" t="s">
        <v>8944</v>
      </c>
      <c r="D6202" t="s">
        <v>345</v>
      </c>
      <c r="E6202" s="13">
        <v>40000</v>
      </c>
      <c r="F6202" s="12">
        <v>3.25</v>
      </c>
      <c r="G6202" t="str">
        <f>IFERROR(INDEX(tEditais[Órgão],MATCH(tItens[[#This Row],[Edital]],tEditais[Edital],0)),"")</f>
        <v>MUNICIPIO DE CATANDUVAS</v>
      </c>
      <c r="H6202" t="str">
        <f>IFERROR(INDEX(tEditais[UF],MATCH(tItens[[#This Row],[Edital]],tEditais[Edital],0)),"")</f>
        <v>PR</v>
      </c>
      <c r="I6202" s="11">
        <f>IFERROR(INDEX(tEditais[Encerramento],MATCH(tItens[[#This Row],[Edital]],tEditais[Edital],0)),"")</f>
        <v>46311.375</v>
      </c>
      <c r="J6202" t="str">
        <f>IFERROR(INDEX(tProdutos[Classe],MATCH(tItens[[#This Row],[Produto]],tProdutos[Produto],0)),"produto não cadastrado")</f>
        <v>FORA</v>
      </c>
      <c r="K6202" s="12">
        <f>tItens[[#This Row],[Qtd]]*tItens[[#This Row],[Vlr unit]]</f>
        <v>130000</v>
      </c>
      <c r="L6202" s="6">
        <f>IFERROR(IF(INDEX(tProdutos[Desconto homologado],MATCH(tItens[[#This Row],[Produto]],tProdutos[Produto],0))="",DescontoPadrao,INDEX(tProdutos[Desconto homologado],MATCH(tItens[[#This Row],[Produto]],tProdutos[Produto],0))),DescontoPadrao)</f>
        <v>0.412394275616498</v>
      </c>
      <c r="M6202" s="12">
        <f>tItens[[#This Row],[Valor]]*(1-tItens[[#This Row],[Desconto]])</f>
        <v>76388.744169855257</v>
      </c>
      <c r="N6202" t="str">
        <f>IFERROR(INDEX(tProdutos[Foco],MATCH(tItens[[#This Row],[Produto]],tProdutos[Produto],0)),"Não")</f>
        <v>Não</v>
      </c>
      <c r="O6202" t="str">
        <f>IFERROR(INDEX(tEditais[SRP],MATCH(tItens[[#This Row],[Edital]],tEditais[Edital],0)),"Não")</f>
        <v>Sim</v>
      </c>
      <c r="P6202" s="4">
        <f>IF(COUNTIFS(INDEX(tItens[Edital],1):tItens[[#This Row],[Edital]],tItens[[#This Row],[Edital]],INDEX(tItens[Produto],1):tItens[[#This Row],[Produto]],tItens[[#This Row],[Produto]])=1,1,0)</f>
        <v>1</v>
      </c>
    </row>
    <row r="6203" spans="1:16" x14ac:dyDescent="0.25">
      <c r="A6203" t="s">
        <v>2162</v>
      </c>
      <c r="B6203">
        <v>120</v>
      </c>
      <c r="C6203" t="s">
        <v>8945</v>
      </c>
      <c r="D6203" t="s">
        <v>345</v>
      </c>
      <c r="E6203" s="13">
        <v>18000</v>
      </c>
      <c r="F6203" s="12">
        <v>1.48</v>
      </c>
      <c r="G6203" t="str">
        <f>IFERROR(INDEX(tEditais[Órgão],MATCH(tItens[[#This Row],[Edital]],tEditais[Edital],0)),"")</f>
        <v>MUNICIPIO DE CATANDUVAS</v>
      </c>
      <c r="H6203" t="str">
        <f>IFERROR(INDEX(tEditais[UF],MATCH(tItens[[#This Row],[Edital]],tEditais[Edital],0)),"")</f>
        <v>PR</v>
      </c>
      <c r="I6203" s="11">
        <f>IFERROR(INDEX(tEditais[Encerramento],MATCH(tItens[[#This Row],[Edital]],tEditais[Edital],0)),"")</f>
        <v>46311.375</v>
      </c>
      <c r="J6203" t="str">
        <f>IFERROR(INDEX(tProdutos[Classe],MATCH(tItens[[#This Row],[Produto]],tProdutos[Produto],0)),"produto não cadastrado")</f>
        <v>FORA</v>
      </c>
      <c r="K6203" s="12">
        <f>tItens[[#This Row],[Qtd]]*tItens[[#This Row],[Vlr unit]]</f>
        <v>26640</v>
      </c>
      <c r="L6203" s="6">
        <f>IFERROR(IF(INDEX(tProdutos[Desconto homologado],MATCH(tItens[[#This Row],[Produto]],tProdutos[Produto],0))="",DescontoPadrao,INDEX(tProdutos[Desconto homologado],MATCH(tItens[[#This Row],[Produto]],tProdutos[Produto],0))),DescontoPadrao)</f>
        <v>0.412394275616498</v>
      </c>
      <c r="M6203" s="12">
        <f>tItens[[#This Row],[Valor]]*(1-tItens[[#This Row],[Desconto]])</f>
        <v>15653.816497576494</v>
      </c>
      <c r="N6203" t="str">
        <f>IFERROR(INDEX(tProdutos[Foco],MATCH(tItens[[#This Row],[Produto]],tProdutos[Produto],0)),"Não")</f>
        <v>Não</v>
      </c>
      <c r="O6203" t="str">
        <f>IFERROR(INDEX(tEditais[SRP],MATCH(tItens[[#This Row],[Edital]],tEditais[Edital],0)),"Não")</f>
        <v>Sim</v>
      </c>
      <c r="P6203" s="4">
        <f>IF(COUNTIFS(INDEX(tItens[Edital],1):tItens[[#This Row],[Edital]],tItens[[#This Row],[Edital]],INDEX(tItens[Produto],1):tItens[[#This Row],[Produto]],tItens[[#This Row],[Produto]])=1,1,0)</f>
        <v>0</v>
      </c>
    </row>
    <row r="6204" spans="1:16" x14ac:dyDescent="0.25">
      <c r="A6204" t="s">
        <v>2162</v>
      </c>
      <c r="B6204">
        <v>121</v>
      </c>
      <c r="C6204" t="s">
        <v>8946</v>
      </c>
      <c r="D6204" t="s">
        <v>345</v>
      </c>
      <c r="E6204" s="13">
        <v>8000</v>
      </c>
      <c r="F6204" s="12">
        <v>1.18</v>
      </c>
      <c r="G6204" t="str">
        <f>IFERROR(INDEX(tEditais[Órgão],MATCH(tItens[[#This Row],[Edital]],tEditais[Edital],0)),"")</f>
        <v>MUNICIPIO DE CATANDUVAS</v>
      </c>
      <c r="H6204" t="str">
        <f>IFERROR(INDEX(tEditais[UF],MATCH(tItens[[#This Row],[Edital]],tEditais[Edital],0)),"")</f>
        <v>PR</v>
      </c>
      <c r="I6204" s="11">
        <f>IFERROR(INDEX(tEditais[Encerramento],MATCH(tItens[[#This Row],[Edital]],tEditais[Edital],0)),"")</f>
        <v>46311.375</v>
      </c>
      <c r="J6204" t="str">
        <f>IFERROR(INDEX(tProdutos[Classe],MATCH(tItens[[#This Row],[Produto]],tProdutos[Produto],0)),"produto não cadastrado")</f>
        <v>FORA</v>
      </c>
      <c r="K6204" s="12">
        <f>tItens[[#This Row],[Qtd]]*tItens[[#This Row],[Vlr unit]]</f>
        <v>9440</v>
      </c>
      <c r="L6204" s="6">
        <f>IFERROR(IF(INDEX(tProdutos[Desconto homologado],MATCH(tItens[[#This Row],[Produto]],tProdutos[Produto],0))="",DescontoPadrao,INDEX(tProdutos[Desconto homologado],MATCH(tItens[[#This Row],[Produto]],tProdutos[Produto],0))),DescontoPadrao)</f>
        <v>0.412394275616498</v>
      </c>
      <c r="M6204" s="12">
        <f>tItens[[#This Row],[Valor]]*(1-tItens[[#This Row],[Desconto]])</f>
        <v>5546.9980381802588</v>
      </c>
      <c r="N6204" t="str">
        <f>IFERROR(INDEX(tProdutos[Foco],MATCH(tItens[[#This Row],[Produto]],tProdutos[Produto],0)),"Não")</f>
        <v>Não</v>
      </c>
      <c r="O6204" t="str">
        <f>IFERROR(INDEX(tEditais[SRP],MATCH(tItens[[#This Row],[Edital]],tEditais[Edital],0)),"Não")</f>
        <v>Sim</v>
      </c>
      <c r="P6204" s="4">
        <f>IF(COUNTIFS(INDEX(tItens[Edital],1):tItens[[#This Row],[Edital]],tItens[[#This Row],[Edital]],INDEX(tItens[Produto],1):tItens[[#This Row],[Produto]],tItens[[#This Row],[Produto]])=1,1,0)</f>
        <v>0</v>
      </c>
    </row>
    <row r="6205" spans="1:16" x14ac:dyDescent="0.25">
      <c r="A6205" t="s">
        <v>2162</v>
      </c>
      <c r="B6205">
        <v>122</v>
      </c>
      <c r="C6205" t="s">
        <v>8947</v>
      </c>
      <c r="D6205" t="s">
        <v>345</v>
      </c>
      <c r="E6205" s="13">
        <v>3500</v>
      </c>
      <c r="F6205" s="12">
        <v>1.45</v>
      </c>
      <c r="G6205" t="str">
        <f>IFERROR(INDEX(tEditais[Órgão],MATCH(tItens[[#This Row],[Edital]],tEditais[Edital],0)),"")</f>
        <v>MUNICIPIO DE CATANDUVAS</v>
      </c>
      <c r="H6205" t="str">
        <f>IFERROR(INDEX(tEditais[UF],MATCH(tItens[[#This Row],[Edital]],tEditais[Edital],0)),"")</f>
        <v>PR</v>
      </c>
      <c r="I6205" s="11">
        <f>IFERROR(INDEX(tEditais[Encerramento],MATCH(tItens[[#This Row],[Edital]],tEditais[Edital],0)),"")</f>
        <v>46311.375</v>
      </c>
      <c r="J6205" t="str">
        <f>IFERROR(INDEX(tProdutos[Classe],MATCH(tItens[[#This Row],[Produto]],tProdutos[Produto],0)),"produto não cadastrado")</f>
        <v>FORA</v>
      </c>
      <c r="K6205" s="12">
        <f>tItens[[#This Row],[Qtd]]*tItens[[#This Row],[Vlr unit]]</f>
        <v>5075</v>
      </c>
      <c r="L6205" s="6">
        <f>IFERROR(IF(INDEX(tProdutos[Desconto homologado],MATCH(tItens[[#This Row],[Produto]],tProdutos[Produto],0))="",DescontoPadrao,INDEX(tProdutos[Desconto homologado],MATCH(tItens[[#This Row],[Produto]],tProdutos[Produto],0))),DescontoPadrao)</f>
        <v>0.412394275616498</v>
      </c>
      <c r="M6205" s="12">
        <f>tItens[[#This Row],[Valor]]*(1-tItens[[#This Row],[Desconto]])</f>
        <v>2982.0990512462727</v>
      </c>
      <c r="N6205" t="str">
        <f>IFERROR(INDEX(tProdutos[Foco],MATCH(tItens[[#This Row],[Produto]],tProdutos[Produto],0)),"Não")</f>
        <v>Não</v>
      </c>
      <c r="O6205" t="str">
        <f>IFERROR(INDEX(tEditais[SRP],MATCH(tItens[[#This Row],[Edital]],tEditais[Edital],0)),"Não")</f>
        <v>Sim</v>
      </c>
      <c r="P6205" s="4">
        <f>IF(COUNTIFS(INDEX(tItens[Edital],1):tItens[[#This Row],[Edital]],tItens[[#This Row],[Edital]],INDEX(tItens[Produto],1):tItens[[#This Row],[Produto]],tItens[[#This Row],[Produto]])=1,1,0)</f>
        <v>0</v>
      </c>
    </row>
    <row r="6206" spans="1:16" x14ac:dyDescent="0.25">
      <c r="A6206" t="s">
        <v>2162</v>
      </c>
      <c r="B6206">
        <v>123</v>
      </c>
      <c r="C6206" t="s">
        <v>8948</v>
      </c>
      <c r="D6206" t="s">
        <v>512</v>
      </c>
      <c r="E6206" s="13">
        <v>3</v>
      </c>
      <c r="F6206" s="12">
        <v>18.649999999999999</v>
      </c>
      <c r="G6206" t="str">
        <f>IFERROR(INDEX(tEditais[Órgão],MATCH(tItens[[#This Row],[Edital]],tEditais[Edital],0)),"")</f>
        <v>MUNICIPIO DE CATANDUVAS</v>
      </c>
      <c r="H6206" t="str">
        <f>IFERROR(INDEX(tEditais[UF],MATCH(tItens[[#This Row],[Edital]],tEditais[Edital],0)),"")</f>
        <v>PR</v>
      </c>
      <c r="I6206" s="11">
        <f>IFERROR(INDEX(tEditais[Encerramento],MATCH(tItens[[#This Row],[Edital]],tEditais[Edital],0)),"")</f>
        <v>46311.375</v>
      </c>
      <c r="J6206" t="str">
        <f>IFERROR(INDEX(tProdutos[Classe],MATCH(tItens[[#This Row],[Produto]],tProdutos[Produto],0)),"produto não cadastrado")</f>
        <v>FILA REBASE</v>
      </c>
      <c r="K6206" s="12">
        <f>tItens[[#This Row],[Qtd]]*tItens[[#This Row],[Vlr unit]]</f>
        <v>55.949999999999996</v>
      </c>
      <c r="L6206" s="6">
        <f>IFERROR(IF(INDEX(tProdutos[Desconto homologado],MATCH(tItens[[#This Row],[Produto]],tProdutos[Produto],0))="",DescontoPadrao,INDEX(tProdutos[Desconto homologado],MATCH(tItens[[#This Row],[Produto]],tProdutos[Produto],0))),DescontoPadrao)</f>
        <v>0.32579365079365102</v>
      </c>
      <c r="M6206" s="12">
        <f>tItens[[#This Row],[Valor]]*(1-tItens[[#This Row],[Desconto]])</f>
        <v>37.721845238095227</v>
      </c>
      <c r="N6206" t="str">
        <f>IFERROR(INDEX(tProdutos[Foco],MATCH(tItens[[#This Row],[Produto]],tProdutos[Produto],0)),"Não")</f>
        <v>Não</v>
      </c>
      <c r="O6206" t="str">
        <f>IFERROR(INDEX(tEditais[SRP],MATCH(tItens[[#This Row],[Edital]],tEditais[Edital],0)),"Não")</f>
        <v>Sim</v>
      </c>
      <c r="P6206" s="4">
        <f>IF(COUNTIFS(INDEX(tItens[Edital],1):tItens[[#This Row],[Edital]],tItens[[#This Row],[Edital]],INDEX(tItens[Produto],1):tItens[[#This Row],[Produto]],tItens[[#This Row],[Produto]])=1,1,0)</f>
        <v>1</v>
      </c>
    </row>
    <row r="6207" spans="1:16" x14ac:dyDescent="0.25">
      <c r="A6207" t="s">
        <v>2162</v>
      </c>
      <c r="B6207">
        <v>133</v>
      </c>
      <c r="C6207" t="s">
        <v>8949</v>
      </c>
      <c r="D6207" t="s">
        <v>411</v>
      </c>
      <c r="E6207" s="13">
        <v>1000</v>
      </c>
      <c r="F6207" s="12">
        <v>24.49</v>
      </c>
      <c r="G6207" t="str">
        <f>IFERROR(INDEX(tEditais[Órgão],MATCH(tItens[[#This Row],[Edital]],tEditais[Edital],0)),"")</f>
        <v>MUNICIPIO DE CATANDUVAS</v>
      </c>
      <c r="H6207" t="str">
        <f>IFERROR(INDEX(tEditais[UF],MATCH(tItens[[#This Row],[Edital]],tEditais[Edital],0)),"")</f>
        <v>PR</v>
      </c>
      <c r="I6207" s="11">
        <f>IFERROR(INDEX(tEditais[Encerramento],MATCH(tItens[[#This Row],[Edital]],tEditais[Edital],0)),"")</f>
        <v>46311.375</v>
      </c>
      <c r="J6207" t="str">
        <f>IFERROR(INDEX(tProdutos[Classe],MATCH(tItens[[#This Row],[Produto]],tProdutos[Produto],0)),"produto não cadastrado")</f>
        <v>FORA</v>
      </c>
      <c r="K6207" s="12">
        <f>tItens[[#This Row],[Qtd]]*tItens[[#This Row],[Vlr unit]]</f>
        <v>24490</v>
      </c>
      <c r="L6207" s="6">
        <f>IFERROR(IF(INDEX(tProdutos[Desconto homologado],MATCH(tItens[[#This Row],[Produto]],tProdutos[Produto],0))="",DescontoPadrao,INDEX(tProdutos[Desconto homologado],MATCH(tItens[[#This Row],[Produto]],tProdutos[Produto],0))),DescontoPadrao)</f>
        <v>0.50029835957199398</v>
      </c>
      <c r="M6207" s="12">
        <f>tItens[[#This Row],[Valor]]*(1-tItens[[#This Row],[Desconto]])</f>
        <v>12237.693174081867</v>
      </c>
      <c r="N6207" t="str">
        <f>IFERROR(INDEX(tProdutos[Foco],MATCH(tItens[[#This Row],[Produto]],tProdutos[Produto],0)),"Não")</f>
        <v>Não</v>
      </c>
      <c r="O6207" t="str">
        <f>IFERROR(INDEX(tEditais[SRP],MATCH(tItens[[#This Row],[Edital]],tEditais[Edital],0)),"Não")</f>
        <v>Sim</v>
      </c>
      <c r="P6207" s="4">
        <f>IF(COUNTIFS(INDEX(tItens[Edital],1):tItens[[#This Row],[Edital]],tItens[[#This Row],[Edital]],INDEX(tItens[Produto],1):tItens[[#This Row],[Produto]],tItens[[#This Row],[Produto]])=1,1,0)</f>
        <v>1</v>
      </c>
    </row>
    <row r="6208" spans="1:16" x14ac:dyDescent="0.25">
      <c r="A6208" t="s">
        <v>2162</v>
      </c>
      <c r="B6208">
        <v>134</v>
      </c>
      <c r="C6208" t="s">
        <v>8950</v>
      </c>
      <c r="D6208" t="s">
        <v>142</v>
      </c>
      <c r="E6208" s="13">
        <v>10</v>
      </c>
      <c r="F6208" s="12">
        <v>3.92</v>
      </c>
      <c r="G6208" t="str">
        <f>IFERROR(INDEX(tEditais[Órgão],MATCH(tItens[[#This Row],[Edital]],tEditais[Edital],0)),"")</f>
        <v>MUNICIPIO DE CATANDUVAS</v>
      </c>
      <c r="H6208" t="str">
        <f>IFERROR(INDEX(tEditais[UF],MATCH(tItens[[#This Row],[Edital]],tEditais[Edital],0)),"")</f>
        <v>PR</v>
      </c>
      <c r="I6208" s="11">
        <f>IFERROR(INDEX(tEditais[Encerramento],MATCH(tItens[[#This Row],[Edital]],tEditais[Edital],0)),"")</f>
        <v>46311.375</v>
      </c>
      <c r="J6208" t="str">
        <f>IFERROR(INDEX(tProdutos[Classe],MATCH(tItens[[#This Row],[Produto]],tProdutos[Produto],0)),"produto não cadastrado")</f>
        <v>DISPUTADO</v>
      </c>
      <c r="K6208" s="12">
        <f>tItens[[#This Row],[Qtd]]*tItens[[#This Row],[Vlr unit]]</f>
        <v>39.200000000000003</v>
      </c>
      <c r="L6208" s="6">
        <f>IFERROR(IF(INDEX(tProdutos[Desconto homologado],MATCH(tItens[[#This Row],[Produto]],tProdutos[Produto],0))="",DescontoPadrao,INDEX(tProdutos[Desconto homologado],MATCH(tItens[[#This Row],[Produto]],tProdutos[Produto],0))),DescontoPadrao)</f>
        <v>0.37093619495691699</v>
      </c>
      <c r="M6208" s="12">
        <f>tItens[[#This Row],[Valor]]*(1-tItens[[#This Row],[Desconto]])</f>
        <v>24.659301157688855</v>
      </c>
      <c r="N6208" t="str">
        <f>IFERROR(INDEX(tProdutos[Foco],MATCH(tItens[[#This Row],[Produto]],tProdutos[Produto],0)),"Não")</f>
        <v>Não</v>
      </c>
      <c r="O6208" t="str">
        <f>IFERROR(INDEX(tEditais[SRP],MATCH(tItens[[#This Row],[Edital]],tEditais[Edital],0)),"Não")</f>
        <v>Sim</v>
      </c>
      <c r="P6208" s="4">
        <f>IF(COUNTIFS(INDEX(tItens[Edital],1):tItens[[#This Row],[Edital]],tItens[[#This Row],[Edital]],INDEX(tItens[Produto],1):tItens[[#This Row],[Produto]],tItens[[#This Row],[Produto]])=1,1,0)</f>
        <v>1</v>
      </c>
    </row>
    <row r="6209" spans="1:16" x14ac:dyDescent="0.25">
      <c r="A6209" t="s">
        <v>2162</v>
      </c>
      <c r="B6209">
        <v>135</v>
      </c>
      <c r="C6209" t="s">
        <v>8951</v>
      </c>
      <c r="D6209" t="s">
        <v>126</v>
      </c>
      <c r="E6209" s="13">
        <v>1000</v>
      </c>
      <c r="F6209" s="12">
        <v>7.06</v>
      </c>
      <c r="G6209" t="str">
        <f>IFERROR(INDEX(tEditais[Órgão],MATCH(tItens[[#This Row],[Edital]],tEditais[Edital],0)),"")</f>
        <v>MUNICIPIO DE CATANDUVAS</v>
      </c>
      <c r="H6209" t="str">
        <f>IFERROR(INDEX(tEditais[UF],MATCH(tItens[[#This Row],[Edital]],tEditais[Edital],0)),"")</f>
        <v>PR</v>
      </c>
      <c r="I6209" s="11">
        <f>IFERROR(INDEX(tEditais[Encerramento],MATCH(tItens[[#This Row],[Edital]],tEditais[Edital],0)),"")</f>
        <v>46311.375</v>
      </c>
      <c r="J6209" t="str">
        <f>IFERROR(INDEX(tProdutos[Classe],MATCH(tItens[[#This Row],[Produto]],tProdutos[Produto],0)),"produto não cadastrado")</f>
        <v>DISPUTADO</v>
      </c>
      <c r="K6209" s="12">
        <f>tItens[[#This Row],[Qtd]]*tItens[[#This Row],[Vlr unit]]</f>
        <v>7060</v>
      </c>
      <c r="L6209" s="6">
        <f>IFERROR(IF(INDEX(tProdutos[Desconto homologado],MATCH(tItens[[#This Row],[Produto]],tProdutos[Produto],0))="",DescontoPadrao,INDEX(tProdutos[Desconto homologado],MATCH(tItens[[#This Row],[Produto]],tProdutos[Produto],0))),DescontoPadrao)</f>
        <v>0.21</v>
      </c>
      <c r="M6209" s="12">
        <f>tItens[[#This Row],[Valor]]*(1-tItens[[#This Row],[Desconto]])</f>
        <v>5577.4000000000005</v>
      </c>
      <c r="N6209" t="str">
        <f>IFERROR(INDEX(tProdutos[Foco],MATCH(tItens[[#This Row],[Produto]],tProdutos[Produto],0)),"Não")</f>
        <v>Sim</v>
      </c>
      <c r="O6209" t="str">
        <f>IFERROR(INDEX(tEditais[SRP],MATCH(tItens[[#This Row],[Edital]],tEditais[Edital],0)),"Não")</f>
        <v>Sim</v>
      </c>
      <c r="P6209" s="4">
        <f>IF(COUNTIFS(INDEX(tItens[Edital],1):tItens[[#This Row],[Edital]],tItens[[#This Row],[Edital]],INDEX(tItens[Produto],1):tItens[[#This Row],[Produto]],tItens[[#This Row],[Produto]])=1,1,0)</f>
        <v>1</v>
      </c>
    </row>
    <row r="6210" spans="1:16" x14ac:dyDescent="0.25">
      <c r="A6210" t="s">
        <v>2162</v>
      </c>
      <c r="B6210">
        <v>138</v>
      </c>
      <c r="C6210" t="s">
        <v>8952</v>
      </c>
      <c r="D6210" t="s">
        <v>56</v>
      </c>
      <c r="E6210" s="13">
        <v>10</v>
      </c>
      <c r="F6210" s="12">
        <v>32.89</v>
      </c>
      <c r="G6210" t="str">
        <f>IFERROR(INDEX(tEditais[Órgão],MATCH(tItens[[#This Row],[Edital]],tEditais[Edital],0)),"")</f>
        <v>MUNICIPIO DE CATANDUVAS</v>
      </c>
      <c r="H6210" t="str">
        <f>IFERROR(INDEX(tEditais[UF],MATCH(tItens[[#This Row],[Edital]],tEditais[Edital],0)),"")</f>
        <v>PR</v>
      </c>
      <c r="I6210" s="11">
        <f>IFERROR(INDEX(tEditais[Encerramento],MATCH(tItens[[#This Row],[Edital]],tEditais[Edital],0)),"")</f>
        <v>46311.375</v>
      </c>
      <c r="J6210" t="str">
        <f>IFERROR(INDEX(tProdutos[Classe],MATCH(tItens[[#This Row],[Produto]],tProdutos[Produto],0)),"produto não cadastrado")</f>
        <v>NÚCLEO</v>
      </c>
      <c r="K6210" s="12">
        <f>tItens[[#This Row],[Qtd]]*tItens[[#This Row],[Vlr unit]]</f>
        <v>328.9</v>
      </c>
      <c r="L6210" s="6">
        <f>IFERROR(IF(INDEX(tProdutos[Desconto homologado],MATCH(tItens[[#This Row],[Produto]],tProdutos[Produto],0))="",DescontoPadrao,INDEX(tProdutos[Desconto homologado],MATCH(tItens[[#This Row],[Produto]],tProdutos[Produto],0))),DescontoPadrao)</f>
        <v>0.34</v>
      </c>
      <c r="M6210" s="12">
        <f>tItens[[#This Row],[Valor]]*(1-tItens[[#This Row],[Desconto]])</f>
        <v>217.07399999999996</v>
      </c>
      <c r="N6210" t="str">
        <f>IFERROR(INDEX(tProdutos[Foco],MATCH(tItens[[#This Row],[Produto]],tProdutos[Produto],0)),"Não")</f>
        <v>Sim</v>
      </c>
      <c r="O6210" t="str">
        <f>IFERROR(INDEX(tEditais[SRP],MATCH(tItens[[#This Row],[Edital]],tEditais[Edital],0)),"Não")</f>
        <v>Sim</v>
      </c>
      <c r="P6210" s="4">
        <f>IF(COUNTIFS(INDEX(tItens[Edital],1):tItens[[#This Row],[Edital]],tItens[[#This Row],[Edital]],INDEX(tItens[Produto],1):tItens[[#This Row],[Produto]],tItens[[#This Row],[Produto]])=1,1,0)</f>
        <v>1</v>
      </c>
    </row>
    <row r="6211" spans="1:16" x14ac:dyDescent="0.25">
      <c r="A6211" t="s">
        <v>2162</v>
      </c>
      <c r="B6211">
        <v>139</v>
      </c>
      <c r="C6211" t="s">
        <v>8953</v>
      </c>
      <c r="D6211" t="s">
        <v>56</v>
      </c>
      <c r="E6211" s="13">
        <v>20</v>
      </c>
      <c r="F6211" s="12">
        <v>34.47</v>
      </c>
      <c r="G6211" t="str">
        <f>IFERROR(INDEX(tEditais[Órgão],MATCH(tItens[[#This Row],[Edital]],tEditais[Edital],0)),"")</f>
        <v>MUNICIPIO DE CATANDUVAS</v>
      </c>
      <c r="H6211" t="str">
        <f>IFERROR(INDEX(tEditais[UF],MATCH(tItens[[#This Row],[Edital]],tEditais[Edital],0)),"")</f>
        <v>PR</v>
      </c>
      <c r="I6211" s="11">
        <f>IFERROR(INDEX(tEditais[Encerramento],MATCH(tItens[[#This Row],[Edital]],tEditais[Edital],0)),"")</f>
        <v>46311.375</v>
      </c>
      <c r="J6211" t="str">
        <f>IFERROR(INDEX(tProdutos[Classe],MATCH(tItens[[#This Row],[Produto]],tProdutos[Produto],0)),"produto não cadastrado")</f>
        <v>NÚCLEO</v>
      </c>
      <c r="K6211" s="12">
        <f>tItens[[#This Row],[Qtd]]*tItens[[#This Row],[Vlr unit]]</f>
        <v>689.4</v>
      </c>
      <c r="L6211" s="6">
        <f>IFERROR(IF(INDEX(tProdutos[Desconto homologado],MATCH(tItens[[#This Row],[Produto]],tProdutos[Produto],0))="",DescontoPadrao,INDEX(tProdutos[Desconto homologado],MATCH(tItens[[#This Row],[Produto]],tProdutos[Produto],0))),DescontoPadrao)</f>
        <v>0.34</v>
      </c>
      <c r="M6211" s="12">
        <f>tItens[[#This Row],[Valor]]*(1-tItens[[#This Row],[Desconto]])</f>
        <v>455.00399999999991</v>
      </c>
      <c r="N6211" t="str">
        <f>IFERROR(INDEX(tProdutos[Foco],MATCH(tItens[[#This Row],[Produto]],tProdutos[Produto],0)),"Não")</f>
        <v>Sim</v>
      </c>
      <c r="O6211" t="str">
        <f>IFERROR(INDEX(tEditais[SRP],MATCH(tItens[[#This Row],[Edital]],tEditais[Edital],0)),"Não")</f>
        <v>Sim</v>
      </c>
      <c r="P6211" s="4">
        <f>IF(COUNTIFS(INDEX(tItens[Edital],1):tItens[[#This Row],[Edital]],tItens[[#This Row],[Edital]],INDEX(tItens[Produto],1):tItens[[#This Row],[Produto]],tItens[[#This Row],[Produto]])=1,1,0)</f>
        <v>0</v>
      </c>
    </row>
    <row r="6212" spans="1:16" x14ac:dyDescent="0.25">
      <c r="A6212" t="s">
        <v>2162</v>
      </c>
      <c r="B6212">
        <v>140</v>
      </c>
      <c r="C6212" t="s">
        <v>8954</v>
      </c>
      <c r="D6212" t="s">
        <v>56</v>
      </c>
      <c r="E6212" s="13">
        <v>10</v>
      </c>
      <c r="F6212" s="12">
        <v>24.04</v>
      </c>
      <c r="G6212" t="str">
        <f>IFERROR(INDEX(tEditais[Órgão],MATCH(tItens[[#This Row],[Edital]],tEditais[Edital],0)),"")</f>
        <v>MUNICIPIO DE CATANDUVAS</v>
      </c>
      <c r="H6212" t="str">
        <f>IFERROR(INDEX(tEditais[UF],MATCH(tItens[[#This Row],[Edital]],tEditais[Edital],0)),"")</f>
        <v>PR</v>
      </c>
      <c r="I6212" s="11">
        <f>IFERROR(INDEX(tEditais[Encerramento],MATCH(tItens[[#This Row],[Edital]],tEditais[Edital],0)),"")</f>
        <v>46311.375</v>
      </c>
      <c r="J6212" t="str">
        <f>IFERROR(INDEX(tProdutos[Classe],MATCH(tItens[[#This Row],[Produto]],tProdutos[Produto],0)),"produto não cadastrado")</f>
        <v>NÚCLEO</v>
      </c>
      <c r="K6212" s="12">
        <f>tItens[[#This Row],[Qtd]]*tItens[[#This Row],[Vlr unit]]</f>
        <v>240.39999999999998</v>
      </c>
      <c r="L6212" s="6">
        <f>IFERROR(IF(INDEX(tProdutos[Desconto homologado],MATCH(tItens[[#This Row],[Produto]],tProdutos[Produto],0))="",DescontoPadrao,INDEX(tProdutos[Desconto homologado],MATCH(tItens[[#This Row],[Produto]],tProdutos[Produto],0))),DescontoPadrao)</f>
        <v>0.34</v>
      </c>
      <c r="M6212" s="12">
        <f>tItens[[#This Row],[Valor]]*(1-tItens[[#This Row],[Desconto]])</f>
        <v>158.66399999999996</v>
      </c>
      <c r="N6212" t="str">
        <f>IFERROR(INDEX(tProdutos[Foco],MATCH(tItens[[#This Row],[Produto]],tProdutos[Produto],0)),"Não")</f>
        <v>Sim</v>
      </c>
      <c r="O6212" t="str">
        <f>IFERROR(INDEX(tEditais[SRP],MATCH(tItens[[#This Row],[Edital]],tEditais[Edital],0)),"Não")</f>
        <v>Sim</v>
      </c>
      <c r="P6212" s="4">
        <f>IF(COUNTIFS(INDEX(tItens[Edital],1):tItens[[#This Row],[Edital]],tItens[[#This Row],[Edital]],INDEX(tItens[Produto],1):tItens[[#This Row],[Produto]],tItens[[#This Row],[Produto]])=1,1,0)</f>
        <v>0</v>
      </c>
    </row>
    <row r="6213" spans="1:16" x14ac:dyDescent="0.25">
      <c r="A6213" t="s">
        <v>2162</v>
      </c>
      <c r="B6213">
        <v>141</v>
      </c>
      <c r="C6213" t="s">
        <v>8955</v>
      </c>
      <c r="D6213" t="s">
        <v>56</v>
      </c>
      <c r="E6213" s="13">
        <v>10</v>
      </c>
      <c r="F6213" s="12">
        <v>26.58</v>
      </c>
      <c r="G6213" t="str">
        <f>IFERROR(INDEX(tEditais[Órgão],MATCH(tItens[[#This Row],[Edital]],tEditais[Edital],0)),"")</f>
        <v>MUNICIPIO DE CATANDUVAS</v>
      </c>
      <c r="H6213" t="str">
        <f>IFERROR(INDEX(tEditais[UF],MATCH(tItens[[#This Row],[Edital]],tEditais[Edital],0)),"")</f>
        <v>PR</v>
      </c>
      <c r="I6213" s="11">
        <f>IFERROR(INDEX(tEditais[Encerramento],MATCH(tItens[[#This Row],[Edital]],tEditais[Edital],0)),"")</f>
        <v>46311.375</v>
      </c>
      <c r="J6213" t="str">
        <f>IFERROR(INDEX(tProdutos[Classe],MATCH(tItens[[#This Row],[Produto]],tProdutos[Produto],0)),"produto não cadastrado")</f>
        <v>NÚCLEO</v>
      </c>
      <c r="K6213" s="12">
        <f>tItens[[#This Row],[Qtd]]*tItens[[#This Row],[Vlr unit]]</f>
        <v>265.79999999999995</v>
      </c>
      <c r="L6213" s="6">
        <f>IFERROR(IF(INDEX(tProdutos[Desconto homologado],MATCH(tItens[[#This Row],[Produto]],tProdutos[Produto],0))="",DescontoPadrao,INDEX(tProdutos[Desconto homologado],MATCH(tItens[[#This Row],[Produto]],tProdutos[Produto],0))),DescontoPadrao)</f>
        <v>0.34</v>
      </c>
      <c r="M6213" s="12">
        <f>tItens[[#This Row],[Valor]]*(1-tItens[[#This Row],[Desconto]])</f>
        <v>175.42799999999994</v>
      </c>
      <c r="N6213" t="str">
        <f>IFERROR(INDEX(tProdutos[Foco],MATCH(tItens[[#This Row],[Produto]],tProdutos[Produto],0)),"Não")</f>
        <v>Sim</v>
      </c>
      <c r="O6213" t="str">
        <f>IFERROR(INDEX(tEditais[SRP],MATCH(tItens[[#This Row],[Edital]],tEditais[Edital],0)),"Não")</f>
        <v>Sim</v>
      </c>
      <c r="P6213" s="4">
        <f>IF(COUNTIFS(INDEX(tItens[Edital],1):tItens[[#This Row],[Edital]],tItens[[#This Row],[Edital]],INDEX(tItens[Produto],1):tItens[[#This Row],[Produto]],tItens[[#This Row],[Produto]])=1,1,0)</f>
        <v>0</v>
      </c>
    </row>
    <row r="6214" spans="1:16" x14ac:dyDescent="0.25">
      <c r="A6214" t="s">
        <v>2162</v>
      </c>
      <c r="B6214">
        <v>142</v>
      </c>
      <c r="C6214" t="s">
        <v>8956</v>
      </c>
      <c r="D6214" t="s">
        <v>56</v>
      </c>
      <c r="E6214" s="13">
        <v>10</v>
      </c>
      <c r="F6214" s="12">
        <v>20.72</v>
      </c>
      <c r="G6214" t="str">
        <f>IFERROR(INDEX(tEditais[Órgão],MATCH(tItens[[#This Row],[Edital]],tEditais[Edital],0)),"")</f>
        <v>MUNICIPIO DE CATANDUVAS</v>
      </c>
      <c r="H6214" t="str">
        <f>IFERROR(INDEX(tEditais[UF],MATCH(tItens[[#This Row],[Edital]],tEditais[Edital],0)),"")</f>
        <v>PR</v>
      </c>
      <c r="I6214" s="11">
        <f>IFERROR(INDEX(tEditais[Encerramento],MATCH(tItens[[#This Row],[Edital]],tEditais[Edital],0)),"")</f>
        <v>46311.375</v>
      </c>
      <c r="J6214" t="str">
        <f>IFERROR(INDEX(tProdutos[Classe],MATCH(tItens[[#This Row],[Produto]],tProdutos[Produto],0)),"produto não cadastrado")</f>
        <v>NÚCLEO</v>
      </c>
      <c r="K6214" s="12">
        <f>tItens[[#This Row],[Qtd]]*tItens[[#This Row],[Vlr unit]]</f>
        <v>207.2</v>
      </c>
      <c r="L6214" s="6">
        <f>IFERROR(IF(INDEX(tProdutos[Desconto homologado],MATCH(tItens[[#This Row],[Produto]],tProdutos[Produto],0))="",DescontoPadrao,INDEX(tProdutos[Desconto homologado],MATCH(tItens[[#This Row],[Produto]],tProdutos[Produto],0))),DescontoPadrao)</f>
        <v>0.34</v>
      </c>
      <c r="M6214" s="12">
        <f>tItens[[#This Row],[Valor]]*(1-tItens[[#This Row],[Desconto]])</f>
        <v>136.75199999999998</v>
      </c>
      <c r="N6214" t="str">
        <f>IFERROR(INDEX(tProdutos[Foco],MATCH(tItens[[#This Row],[Produto]],tProdutos[Produto],0)),"Não")</f>
        <v>Sim</v>
      </c>
      <c r="O6214" t="str">
        <f>IFERROR(INDEX(tEditais[SRP],MATCH(tItens[[#This Row],[Edital]],tEditais[Edital],0)),"Não")</f>
        <v>Sim</v>
      </c>
      <c r="P6214" s="4">
        <f>IF(COUNTIFS(INDEX(tItens[Edital],1):tItens[[#This Row],[Edital]],tItens[[#This Row],[Edital]],INDEX(tItens[Produto],1):tItens[[#This Row],[Produto]],tItens[[#This Row],[Produto]])=1,1,0)</f>
        <v>0</v>
      </c>
    </row>
    <row r="6215" spans="1:16" x14ac:dyDescent="0.25">
      <c r="A6215" t="s">
        <v>2162</v>
      </c>
      <c r="B6215">
        <v>143</v>
      </c>
      <c r="C6215" t="s">
        <v>8957</v>
      </c>
      <c r="D6215" t="s">
        <v>267</v>
      </c>
      <c r="E6215" s="13">
        <v>30</v>
      </c>
      <c r="F6215" s="12">
        <v>6.97</v>
      </c>
      <c r="G6215" t="str">
        <f>IFERROR(INDEX(tEditais[Órgão],MATCH(tItens[[#This Row],[Edital]],tEditais[Edital],0)),"")</f>
        <v>MUNICIPIO DE CATANDUVAS</v>
      </c>
      <c r="H6215" t="str">
        <f>IFERROR(INDEX(tEditais[UF],MATCH(tItens[[#This Row],[Edital]],tEditais[Edital],0)),"")</f>
        <v>PR</v>
      </c>
      <c r="I6215" s="11">
        <f>IFERROR(INDEX(tEditais[Encerramento],MATCH(tItens[[#This Row],[Edital]],tEditais[Edital],0)),"")</f>
        <v>46311.375</v>
      </c>
      <c r="J6215" t="str">
        <f>IFERROR(INDEX(tProdutos[Classe],MATCH(tItens[[#This Row],[Produto]],tProdutos[Produto],0)),"produto não cadastrado")</f>
        <v>FORA</v>
      </c>
      <c r="K6215" s="12">
        <f>tItens[[#This Row],[Qtd]]*tItens[[#This Row],[Vlr unit]]</f>
        <v>209.1</v>
      </c>
      <c r="L6215" s="6">
        <f>IFERROR(IF(INDEX(tProdutos[Desconto homologado],MATCH(tItens[[#This Row],[Produto]],tProdutos[Produto],0))="",DescontoPadrao,INDEX(tProdutos[Desconto homologado],MATCH(tItens[[#This Row],[Produto]],tProdutos[Produto],0))),DescontoPadrao)</f>
        <v>0.19963672657401599</v>
      </c>
      <c r="M6215" s="12">
        <f>tItens[[#This Row],[Valor]]*(1-tItens[[#This Row],[Desconto]])</f>
        <v>167.35596047337324</v>
      </c>
      <c r="N6215" t="str">
        <f>IFERROR(INDEX(tProdutos[Foco],MATCH(tItens[[#This Row],[Produto]],tProdutos[Produto],0)),"Não")</f>
        <v>Não</v>
      </c>
      <c r="O6215" t="str">
        <f>IFERROR(INDEX(tEditais[SRP],MATCH(tItens[[#This Row],[Edital]],tEditais[Edital],0)),"Não")</f>
        <v>Sim</v>
      </c>
      <c r="P6215" s="4">
        <f>IF(COUNTIFS(INDEX(tItens[Edital],1):tItens[[#This Row],[Edital]],tItens[[#This Row],[Edital]],INDEX(tItens[Produto],1):tItens[[#This Row],[Produto]],tItens[[#This Row],[Produto]])=1,1,0)</f>
        <v>1</v>
      </c>
    </row>
    <row r="6216" spans="1:16" x14ac:dyDescent="0.25">
      <c r="A6216" t="s">
        <v>2162</v>
      </c>
      <c r="B6216">
        <v>144</v>
      </c>
      <c r="C6216" t="s">
        <v>8958</v>
      </c>
      <c r="D6216" t="s">
        <v>267</v>
      </c>
      <c r="E6216" s="13">
        <v>15</v>
      </c>
      <c r="F6216" s="12">
        <v>7.46</v>
      </c>
      <c r="G6216" t="str">
        <f>IFERROR(INDEX(tEditais[Órgão],MATCH(tItens[[#This Row],[Edital]],tEditais[Edital],0)),"")</f>
        <v>MUNICIPIO DE CATANDUVAS</v>
      </c>
      <c r="H6216" t="str">
        <f>IFERROR(INDEX(tEditais[UF],MATCH(tItens[[#This Row],[Edital]],tEditais[Edital],0)),"")</f>
        <v>PR</v>
      </c>
      <c r="I6216" s="11">
        <f>IFERROR(INDEX(tEditais[Encerramento],MATCH(tItens[[#This Row],[Edital]],tEditais[Edital],0)),"")</f>
        <v>46311.375</v>
      </c>
      <c r="J6216" t="str">
        <f>IFERROR(INDEX(tProdutos[Classe],MATCH(tItens[[#This Row],[Produto]],tProdutos[Produto],0)),"produto não cadastrado")</f>
        <v>FORA</v>
      </c>
      <c r="K6216" s="12">
        <f>tItens[[#This Row],[Qtd]]*tItens[[#This Row],[Vlr unit]]</f>
        <v>111.9</v>
      </c>
      <c r="L6216" s="6">
        <f>IFERROR(IF(INDEX(tProdutos[Desconto homologado],MATCH(tItens[[#This Row],[Produto]],tProdutos[Produto],0))="",DescontoPadrao,INDEX(tProdutos[Desconto homologado],MATCH(tItens[[#This Row],[Produto]],tProdutos[Produto],0))),DescontoPadrao)</f>
        <v>0.19963672657401599</v>
      </c>
      <c r="M6216" s="12">
        <f>tItens[[#This Row],[Valor]]*(1-tItens[[#This Row],[Desconto]])</f>
        <v>89.560650296367612</v>
      </c>
      <c r="N6216" t="str">
        <f>IFERROR(INDEX(tProdutos[Foco],MATCH(tItens[[#This Row],[Produto]],tProdutos[Produto],0)),"Não")</f>
        <v>Não</v>
      </c>
      <c r="O6216" t="str">
        <f>IFERROR(INDEX(tEditais[SRP],MATCH(tItens[[#This Row],[Edital]],tEditais[Edital],0)),"Não")</f>
        <v>Sim</v>
      </c>
      <c r="P6216" s="4">
        <f>IF(COUNTIFS(INDEX(tItens[Edital],1):tItens[[#This Row],[Edital]],tItens[[#This Row],[Edital]],INDEX(tItens[Produto],1):tItens[[#This Row],[Produto]],tItens[[#This Row],[Produto]])=1,1,0)</f>
        <v>0</v>
      </c>
    </row>
    <row r="6217" spans="1:16" x14ac:dyDescent="0.25">
      <c r="A6217" t="s">
        <v>2162</v>
      </c>
      <c r="B6217">
        <v>145</v>
      </c>
      <c r="C6217" t="s">
        <v>8959</v>
      </c>
      <c r="D6217" t="s">
        <v>343</v>
      </c>
      <c r="E6217" s="13">
        <v>100</v>
      </c>
      <c r="F6217" s="12">
        <v>1.48</v>
      </c>
      <c r="G6217" t="str">
        <f>IFERROR(INDEX(tEditais[Órgão],MATCH(tItens[[#This Row],[Edital]],tEditais[Edital],0)),"")</f>
        <v>MUNICIPIO DE CATANDUVAS</v>
      </c>
      <c r="H6217" t="str">
        <f>IFERROR(INDEX(tEditais[UF],MATCH(tItens[[#This Row],[Edital]],tEditais[Edital],0)),"")</f>
        <v>PR</v>
      </c>
      <c r="I6217" s="11">
        <f>IFERROR(INDEX(tEditais[Encerramento],MATCH(tItens[[#This Row],[Edital]],tEditais[Edital],0)),"")</f>
        <v>46311.375</v>
      </c>
      <c r="J6217" t="str">
        <f>IFERROR(INDEX(tProdutos[Classe],MATCH(tItens[[#This Row],[Produto]],tProdutos[Produto],0)),"produto não cadastrado")</f>
        <v>FORA</v>
      </c>
      <c r="K6217" s="12">
        <f>tItens[[#This Row],[Qtd]]*tItens[[#This Row],[Vlr unit]]</f>
        <v>148</v>
      </c>
      <c r="L6217" s="6">
        <f>IFERROR(IF(INDEX(tProdutos[Desconto homologado],MATCH(tItens[[#This Row],[Produto]],tProdutos[Produto],0))="",DescontoPadrao,INDEX(tProdutos[Desconto homologado],MATCH(tItens[[#This Row],[Produto]],tProdutos[Produto],0))),DescontoPadrao)</f>
        <v>0.35412234042553198</v>
      </c>
      <c r="M6217" s="12">
        <f>tItens[[#This Row],[Valor]]*(1-tItens[[#This Row],[Desconto]])</f>
        <v>95.589893617021261</v>
      </c>
      <c r="N6217" t="str">
        <f>IFERROR(INDEX(tProdutos[Foco],MATCH(tItens[[#This Row],[Produto]],tProdutos[Produto],0)),"Não")</f>
        <v>Não</v>
      </c>
      <c r="O6217" t="str">
        <f>IFERROR(INDEX(tEditais[SRP],MATCH(tItens[[#This Row],[Edital]],tEditais[Edital],0)),"Não")</f>
        <v>Sim</v>
      </c>
      <c r="P6217" s="4">
        <f>IF(COUNTIFS(INDEX(tItens[Edital],1):tItens[[#This Row],[Edital]],tItens[[#This Row],[Edital]],INDEX(tItens[Produto],1):tItens[[#This Row],[Produto]],tItens[[#This Row],[Produto]])=1,1,0)</f>
        <v>1</v>
      </c>
    </row>
    <row r="6218" spans="1:16" x14ac:dyDescent="0.25">
      <c r="A6218" t="s">
        <v>2162</v>
      </c>
      <c r="B6218">
        <v>146</v>
      </c>
      <c r="C6218" t="s">
        <v>8960</v>
      </c>
      <c r="D6218" t="s">
        <v>343</v>
      </c>
      <c r="E6218" s="13">
        <v>500</v>
      </c>
      <c r="F6218" s="12">
        <v>1.26</v>
      </c>
      <c r="G6218" t="str">
        <f>IFERROR(INDEX(tEditais[Órgão],MATCH(tItens[[#This Row],[Edital]],tEditais[Edital],0)),"")</f>
        <v>MUNICIPIO DE CATANDUVAS</v>
      </c>
      <c r="H6218" t="str">
        <f>IFERROR(INDEX(tEditais[UF],MATCH(tItens[[#This Row],[Edital]],tEditais[Edital],0)),"")</f>
        <v>PR</v>
      </c>
      <c r="I6218" s="11">
        <f>IFERROR(INDEX(tEditais[Encerramento],MATCH(tItens[[#This Row],[Edital]],tEditais[Edital],0)),"")</f>
        <v>46311.375</v>
      </c>
      <c r="J6218" t="str">
        <f>IFERROR(INDEX(tProdutos[Classe],MATCH(tItens[[#This Row],[Produto]],tProdutos[Produto],0)),"produto não cadastrado")</f>
        <v>FORA</v>
      </c>
      <c r="K6218" s="12">
        <f>tItens[[#This Row],[Qtd]]*tItens[[#This Row],[Vlr unit]]</f>
        <v>630</v>
      </c>
      <c r="L6218" s="6">
        <f>IFERROR(IF(INDEX(tProdutos[Desconto homologado],MATCH(tItens[[#This Row],[Produto]],tProdutos[Produto],0))="",DescontoPadrao,INDEX(tProdutos[Desconto homologado],MATCH(tItens[[#This Row],[Produto]],tProdutos[Produto],0))),DescontoPadrao)</f>
        <v>0.35412234042553198</v>
      </c>
      <c r="M6218" s="12">
        <f>tItens[[#This Row],[Valor]]*(1-tItens[[#This Row],[Desconto]])</f>
        <v>406.90292553191483</v>
      </c>
      <c r="N6218" t="str">
        <f>IFERROR(INDEX(tProdutos[Foco],MATCH(tItens[[#This Row],[Produto]],tProdutos[Produto],0)),"Não")</f>
        <v>Não</v>
      </c>
      <c r="O6218" t="str">
        <f>IFERROR(INDEX(tEditais[SRP],MATCH(tItens[[#This Row],[Edital]],tEditais[Edital],0)),"Não")</f>
        <v>Sim</v>
      </c>
      <c r="P6218" s="4">
        <f>IF(COUNTIFS(INDEX(tItens[Edital],1):tItens[[#This Row],[Edital]],tItens[[#This Row],[Edital]],INDEX(tItens[Produto],1):tItens[[#This Row],[Produto]],tItens[[#This Row],[Produto]])=1,1,0)</f>
        <v>0</v>
      </c>
    </row>
    <row r="6219" spans="1:16" x14ac:dyDescent="0.25">
      <c r="A6219" t="s">
        <v>2162</v>
      </c>
      <c r="B6219">
        <v>147</v>
      </c>
      <c r="C6219" t="s">
        <v>8961</v>
      </c>
      <c r="D6219" t="s">
        <v>343</v>
      </c>
      <c r="E6219" s="13">
        <v>500</v>
      </c>
      <c r="F6219" s="12">
        <v>1.26</v>
      </c>
      <c r="G6219" t="str">
        <f>IFERROR(INDEX(tEditais[Órgão],MATCH(tItens[[#This Row],[Edital]],tEditais[Edital],0)),"")</f>
        <v>MUNICIPIO DE CATANDUVAS</v>
      </c>
      <c r="H6219" t="str">
        <f>IFERROR(INDEX(tEditais[UF],MATCH(tItens[[#This Row],[Edital]],tEditais[Edital],0)),"")</f>
        <v>PR</v>
      </c>
      <c r="I6219" s="11">
        <f>IFERROR(INDEX(tEditais[Encerramento],MATCH(tItens[[#This Row],[Edital]],tEditais[Edital],0)),"")</f>
        <v>46311.375</v>
      </c>
      <c r="J6219" t="str">
        <f>IFERROR(INDEX(tProdutos[Classe],MATCH(tItens[[#This Row],[Produto]],tProdutos[Produto],0)),"produto não cadastrado")</f>
        <v>FORA</v>
      </c>
      <c r="K6219" s="12">
        <f>tItens[[#This Row],[Qtd]]*tItens[[#This Row],[Vlr unit]]</f>
        <v>630</v>
      </c>
      <c r="L6219" s="6">
        <f>IFERROR(IF(INDEX(tProdutos[Desconto homologado],MATCH(tItens[[#This Row],[Produto]],tProdutos[Produto],0))="",DescontoPadrao,INDEX(tProdutos[Desconto homologado],MATCH(tItens[[#This Row],[Produto]],tProdutos[Produto],0))),DescontoPadrao)</f>
        <v>0.35412234042553198</v>
      </c>
      <c r="M6219" s="12">
        <f>tItens[[#This Row],[Valor]]*(1-tItens[[#This Row],[Desconto]])</f>
        <v>406.90292553191483</v>
      </c>
      <c r="N6219" t="str">
        <f>IFERROR(INDEX(tProdutos[Foco],MATCH(tItens[[#This Row],[Produto]],tProdutos[Produto],0)),"Não")</f>
        <v>Não</v>
      </c>
      <c r="O6219" t="str">
        <f>IFERROR(INDEX(tEditais[SRP],MATCH(tItens[[#This Row],[Edital]],tEditais[Edital],0)),"Não")</f>
        <v>Sim</v>
      </c>
      <c r="P6219" s="4">
        <f>IF(COUNTIFS(INDEX(tItens[Edital],1):tItens[[#This Row],[Edital]],tItens[[#This Row],[Edital]],INDEX(tItens[Produto],1):tItens[[#This Row],[Produto]],tItens[[#This Row],[Produto]])=1,1,0)</f>
        <v>0</v>
      </c>
    </row>
    <row r="6220" spans="1:16" x14ac:dyDescent="0.25">
      <c r="A6220" t="s">
        <v>2162</v>
      </c>
      <c r="B6220">
        <v>148</v>
      </c>
      <c r="C6220" t="s">
        <v>8962</v>
      </c>
      <c r="D6220" t="s">
        <v>343</v>
      </c>
      <c r="E6220" s="13">
        <v>250</v>
      </c>
      <c r="F6220" s="12">
        <v>1.1000000000000001</v>
      </c>
      <c r="G6220" t="str">
        <f>IFERROR(INDEX(tEditais[Órgão],MATCH(tItens[[#This Row],[Edital]],tEditais[Edital],0)),"")</f>
        <v>MUNICIPIO DE CATANDUVAS</v>
      </c>
      <c r="H6220" t="str">
        <f>IFERROR(INDEX(tEditais[UF],MATCH(tItens[[#This Row],[Edital]],tEditais[Edital],0)),"")</f>
        <v>PR</v>
      </c>
      <c r="I6220" s="11">
        <f>IFERROR(INDEX(tEditais[Encerramento],MATCH(tItens[[#This Row],[Edital]],tEditais[Edital],0)),"")</f>
        <v>46311.375</v>
      </c>
      <c r="J6220" t="str">
        <f>IFERROR(INDEX(tProdutos[Classe],MATCH(tItens[[#This Row],[Produto]],tProdutos[Produto],0)),"produto não cadastrado")</f>
        <v>FORA</v>
      </c>
      <c r="K6220" s="12">
        <f>tItens[[#This Row],[Qtd]]*tItens[[#This Row],[Vlr unit]]</f>
        <v>275</v>
      </c>
      <c r="L6220" s="6">
        <f>IFERROR(IF(INDEX(tProdutos[Desconto homologado],MATCH(tItens[[#This Row],[Produto]],tProdutos[Produto],0))="",DescontoPadrao,INDEX(tProdutos[Desconto homologado],MATCH(tItens[[#This Row],[Produto]],tProdutos[Produto],0))),DescontoPadrao)</f>
        <v>0.35412234042553198</v>
      </c>
      <c r="M6220" s="12">
        <f>tItens[[#This Row],[Valor]]*(1-tItens[[#This Row],[Desconto]])</f>
        <v>177.61635638297869</v>
      </c>
      <c r="N6220" t="str">
        <f>IFERROR(INDEX(tProdutos[Foco],MATCH(tItens[[#This Row],[Produto]],tProdutos[Produto],0)),"Não")</f>
        <v>Não</v>
      </c>
      <c r="O6220" t="str">
        <f>IFERROR(INDEX(tEditais[SRP],MATCH(tItens[[#This Row],[Edital]],tEditais[Edital],0)),"Não")</f>
        <v>Sim</v>
      </c>
      <c r="P6220" s="4">
        <f>IF(COUNTIFS(INDEX(tItens[Edital],1):tItens[[#This Row],[Edital]],tItens[[#This Row],[Edital]],INDEX(tItens[Produto],1):tItens[[#This Row],[Produto]],tItens[[#This Row],[Produto]])=1,1,0)</f>
        <v>0</v>
      </c>
    </row>
    <row r="6221" spans="1:16" x14ac:dyDescent="0.25">
      <c r="A6221" t="s">
        <v>2162</v>
      </c>
      <c r="B6221">
        <v>149</v>
      </c>
      <c r="C6221" t="s">
        <v>8963</v>
      </c>
      <c r="D6221" t="s">
        <v>313</v>
      </c>
      <c r="E6221" s="13">
        <v>400</v>
      </c>
      <c r="F6221" s="12">
        <v>19.53</v>
      </c>
      <c r="G6221" t="str">
        <f>IFERROR(INDEX(tEditais[Órgão],MATCH(tItens[[#This Row],[Edital]],tEditais[Edital],0)),"")</f>
        <v>MUNICIPIO DE CATANDUVAS</v>
      </c>
      <c r="H6221" t="str">
        <f>IFERROR(INDEX(tEditais[UF],MATCH(tItens[[#This Row],[Edital]],tEditais[Edital],0)),"")</f>
        <v>PR</v>
      </c>
      <c r="I6221" s="11">
        <f>IFERROR(INDEX(tEditais[Encerramento],MATCH(tItens[[#This Row],[Edital]],tEditais[Edital],0)),"")</f>
        <v>46311.375</v>
      </c>
      <c r="J6221" t="str">
        <f>IFERROR(INDEX(tProdutos[Classe],MATCH(tItens[[#This Row],[Produto]],tProdutos[Produto],0)),"produto não cadastrado")</f>
        <v>FORA</v>
      </c>
      <c r="K6221" s="12">
        <f>tItens[[#This Row],[Qtd]]*tItens[[#This Row],[Vlr unit]]</f>
        <v>7812</v>
      </c>
      <c r="L6221" s="6">
        <f>IFERROR(IF(INDEX(tProdutos[Desconto homologado],MATCH(tItens[[#This Row],[Produto]],tProdutos[Produto],0))="",DescontoPadrao,INDEX(tProdutos[Desconto homologado],MATCH(tItens[[#This Row],[Produto]],tProdutos[Produto],0))),DescontoPadrao)</f>
        <v>0.35766373163696302</v>
      </c>
      <c r="M6221" s="12">
        <f>tItens[[#This Row],[Valor]]*(1-tItens[[#This Row],[Desconto]])</f>
        <v>5017.9309284520441</v>
      </c>
      <c r="N6221" t="str">
        <f>IFERROR(INDEX(tProdutos[Foco],MATCH(tItens[[#This Row],[Produto]],tProdutos[Produto],0)),"Não")</f>
        <v>Não</v>
      </c>
      <c r="O6221" t="str">
        <f>IFERROR(INDEX(tEditais[SRP],MATCH(tItens[[#This Row],[Edital]],tEditais[Edital],0)),"Não")</f>
        <v>Sim</v>
      </c>
      <c r="P6221" s="4">
        <f>IF(COUNTIFS(INDEX(tItens[Edital],1):tItens[[#This Row],[Edital]],tItens[[#This Row],[Edital]],INDEX(tItens[Produto],1):tItens[[#This Row],[Produto]],tItens[[#This Row],[Produto]])=1,1,0)</f>
        <v>1</v>
      </c>
    </row>
    <row r="6222" spans="1:16" x14ac:dyDescent="0.25">
      <c r="A6222" t="s">
        <v>2162</v>
      </c>
      <c r="B6222">
        <v>150</v>
      </c>
      <c r="C6222" t="s">
        <v>8964</v>
      </c>
      <c r="D6222" t="s">
        <v>313</v>
      </c>
      <c r="E6222" s="13">
        <v>200</v>
      </c>
      <c r="F6222" s="12">
        <v>20.5</v>
      </c>
      <c r="G6222" t="str">
        <f>IFERROR(INDEX(tEditais[Órgão],MATCH(tItens[[#This Row],[Edital]],tEditais[Edital],0)),"")</f>
        <v>MUNICIPIO DE CATANDUVAS</v>
      </c>
      <c r="H6222" t="str">
        <f>IFERROR(INDEX(tEditais[UF],MATCH(tItens[[#This Row],[Edital]],tEditais[Edital],0)),"")</f>
        <v>PR</v>
      </c>
      <c r="I6222" s="11">
        <f>IFERROR(INDEX(tEditais[Encerramento],MATCH(tItens[[#This Row],[Edital]],tEditais[Edital],0)),"")</f>
        <v>46311.375</v>
      </c>
      <c r="J6222" t="str">
        <f>IFERROR(INDEX(tProdutos[Classe],MATCH(tItens[[#This Row],[Produto]],tProdutos[Produto],0)),"produto não cadastrado")</f>
        <v>FORA</v>
      </c>
      <c r="K6222" s="12">
        <f>tItens[[#This Row],[Qtd]]*tItens[[#This Row],[Vlr unit]]</f>
        <v>4100</v>
      </c>
      <c r="L6222" s="6">
        <f>IFERROR(IF(INDEX(tProdutos[Desconto homologado],MATCH(tItens[[#This Row],[Produto]],tProdutos[Produto],0))="",DescontoPadrao,INDEX(tProdutos[Desconto homologado],MATCH(tItens[[#This Row],[Produto]],tProdutos[Produto],0))),DescontoPadrao)</f>
        <v>0.35766373163696302</v>
      </c>
      <c r="M6222" s="12">
        <f>tItens[[#This Row],[Valor]]*(1-tItens[[#This Row],[Desconto]])</f>
        <v>2633.5787002884513</v>
      </c>
      <c r="N6222" t="str">
        <f>IFERROR(INDEX(tProdutos[Foco],MATCH(tItens[[#This Row],[Produto]],tProdutos[Produto],0)),"Não")</f>
        <v>Não</v>
      </c>
      <c r="O6222" t="str">
        <f>IFERROR(INDEX(tEditais[SRP],MATCH(tItens[[#This Row],[Edital]],tEditais[Edital],0)),"Não")</f>
        <v>Sim</v>
      </c>
      <c r="P6222" s="4">
        <f>IF(COUNTIFS(INDEX(tItens[Edital],1):tItens[[#This Row],[Edital]],tItens[[#This Row],[Edital]],INDEX(tItens[Produto],1):tItens[[#This Row],[Produto]],tItens[[#This Row],[Produto]])=1,1,0)</f>
        <v>0</v>
      </c>
    </row>
    <row r="6223" spans="1:16" x14ac:dyDescent="0.25">
      <c r="A6223" t="s">
        <v>2162</v>
      </c>
      <c r="B6223">
        <v>151</v>
      </c>
      <c r="C6223" t="s">
        <v>8965</v>
      </c>
      <c r="D6223" t="s">
        <v>313</v>
      </c>
      <c r="E6223" s="13">
        <v>200</v>
      </c>
      <c r="F6223" s="12">
        <v>20.52</v>
      </c>
      <c r="G6223" t="str">
        <f>IFERROR(INDEX(tEditais[Órgão],MATCH(tItens[[#This Row],[Edital]],tEditais[Edital],0)),"")</f>
        <v>MUNICIPIO DE CATANDUVAS</v>
      </c>
      <c r="H6223" t="str">
        <f>IFERROR(INDEX(tEditais[UF],MATCH(tItens[[#This Row],[Edital]],tEditais[Edital],0)),"")</f>
        <v>PR</v>
      </c>
      <c r="I6223" s="11">
        <f>IFERROR(INDEX(tEditais[Encerramento],MATCH(tItens[[#This Row],[Edital]],tEditais[Edital],0)),"")</f>
        <v>46311.375</v>
      </c>
      <c r="J6223" t="str">
        <f>IFERROR(INDEX(tProdutos[Classe],MATCH(tItens[[#This Row],[Produto]],tProdutos[Produto],0)),"produto não cadastrado")</f>
        <v>FORA</v>
      </c>
      <c r="K6223" s="12">
        <f>tItens[[#This Row],[Qtd]]*tItens[[#This Row],[Vlr unit]]</f>
        <v>4104</v>
      </c>
      <c r="L6223" s="6">
        <f>IFERROR(IF(INDEX(tProdutos[Desconto homologado],MATCH(tItens[[#This Row],[Produto]],tProdutos[Produto],0))="",DescontoPadrao,INDEX(tProdutos[Desconto homologado],MATCH(tItens[[#This Row],[Produto]],tProdutos[Produto],0))),DescontoPadrao)</f>
        <v>0.35766373163696302</v>
      </c>
      <c r="M6223" s="12">
        <f>tItens[[#This Row],[Valor]]*(1-tItens[[#This Row],[Desconto]])</f>
        <v>2636.1480453619033</v>
      </c>
      <c r="N6223" t="str">
        <f>IFERROR(INDEX(tProdutos[Foco],MATCH(tItens[[#This Row],[Produto]],tProdutos[Produto],0)),"Não")</f>
        <v>Não</v>
      </c>
      <c r="O6223" t="str">
        <f>IFERROR(INDEX(tEditais[SRP],MATCH(tItens[[#This Row],[Edital]],tEditais[Edital],0)),"Não")</f>
        <v>Sim</v>
      </c>
      <c r="P6223" s="4">
        <f>IF(COUNTIFS(INDEX(tItens[Edital],1):tItens[[#This Row],[Edital]],tItens[[#This Row],[Edital]],INDEX(tItens[Produto],1):tItens[[#This Row],[Produto]],tItens[[#This Row],[Produto]])=1,1,0)</f>
        <v>0</v>
      </c>
    </row>
    <row r="6224" spans="1:16" x14ac:dyDescent="0.25">
      <c r="A6224" t="s">
        <v>2162</v>
      </c>
      <c r="B6224">
        <v>152</v>
      </c>
      <c r="C6224" t="s">
        <v>8966</v>
      </c>
      <c r="D6224" t="s">
        <v>313</v>
      </c>
      <c r="E6224" s="13">
        <v>600</v>
      </c>
      <c r="F6224" s="12">
        <v>18.190000000000001</v>
      </c>
      <c r="G6224" t="str">
        <f>IFERROR(INDEX(tEditais[Órgão],MATCH(tItens[[#This Row],[Edital]],tEditais[Edital],0)),"")</f>
        <v>MUNICIPIO DE CATANDUVAS</v>
      </c>
      <c r="H6224" t="str">
        <f>IFERROR(INDEX(tEditais[UF],MATCH(tItens[[#This Row],[Edital]],tEditais[Edital],0)),"")</f>
        <v>PR</v>
      </c>
      <c r="I6224" s="11">
        <f>IFERROR(INDEX(tEditais[Encerramento],MATCH(tItens[[#This Row],[Edital]],tEditais[Edital],0)),"")</f>
        <v>46311.375</v>
      </c>
      <c r="J6224" t="str">
        <f>IFERROR(INDEX(tProdutos[Classe],MATCH(tItens[[#This Row],[Produto]],tProdutos[Produto],0)),"produto não cadastrado")</f>
        <v>FORA</v>
      </c>
      <c r="K6224" s="12">
        <f>tItens[[#This Row],[Qtd]]*tItens[[#This Row],[Vlr unit]]</f>
        <v>10914</v>
      </c>
      <c r="L6224" s="6">
        <f>IFERROR(IF(INDEX(tProdutos[Desconto homologado],MATCH(tItens[[#This Row],[Produto]],tProdutos[Produto],0))="",DescontoPadrao,INDEX(tProdutos[Desconto homologado],MATCH(tItens[[#This Row],[Produto]],tProdutos[Produto],0))),DescontoPadrao)</f>
        <v>0.35766373163696302</v>
      </c>
      <c r="M6224" s="12">
        <f>tItens[[#This Row],[Valor]]*(1-tItens[[#This Row],[Desconto]])</f>
        <v>7010.4580329141845</v>
      </c>
      <c r="N6224" t="str">
        <f>IFERROR(INDEX(tProdutos[Foco],MATCH(tItens[[#This Row],[Produto]],tProdutos[Produto],0)),"Não")</f>
        <v>Não</v>
      </c>
      <c r="O6224" t="str">
        <f>IFERROR(INDEX(tEditais[SRP],MATCH(tItens[[#This Row],[Edital]],tEditais[Edital],0)),"Não")</f>
        <v>Sim</v>
      </c>
      <c r="P6224" s="4">
        <f>IF(COUNTIFS(INDEX(tItens[Edital],1):tItens[[#This Row],[Edital]],tItens[[#This Row],[Edital]],INDEX(tItens[Produto],1):tItens[[#This Row],[Produto]],tItens[[#This Row],[Produto]])=1,1,0)</f>
        <v>0</v>
      </c>
    </row>
    <row r="6225" spans="1:16" x14ac:dyDescent="0.25">
      <c r="A6225" t="s">
        <v>2162</v>
      </c>
      <c r="B6225">
        <v>153</v>
      </c>
      <c r="C6225" t="s">
        <v>8967</v>
      </c>
      <c r="D6225" t="s">
        <v>313</v>
      </c>
      <c r="E6225" s="13">
        <v>600</v>
      </c>
      <c r="F6225" s="12">
        <v>22.73</v>
      </c>
      <c r="G6225" t="str">
        <f>IFERROR(INDEX(tEditais[Órgão],MATCH(tItens[[#This Row],[Edital]],tEditais[Edital],0)),"")</f>
        <v>MUNICIPIO DE CATANDUVAS</v>
      </c>
      <c r="H6225" t="str">
        <f>IFERROR(INDEX(tEditais[UF],MATCH(tItens[[#This Row],[Edital]],tEditais[Edital],0)),"")</f>
        <v>PR</v>
      </c>
      <c r="I6225" s="11">
        <f>IFERROR(INDEX(tEditais[Encerramento],MATCH(tItens[[#This Row],[Edital]],tEditais[Edital],0)),"")</f>
        <v>46311.375</v>
      </c>
      <c r="J6225" t="str">
        <f>IFERROR(INDEX(tProdutos[Classe],MATCH(tItens[[#This Row],[Produto]],tProdutos[Produto],0)),"produto não cadastrado")</f>
        <v>FORA</v>
      </c>
      <c r="K6225" s="12">
        <f>tItens[[#This Row],[Qtd]]*tItens[[#This Row],[Vlr unit]]</f>
        <v>13638</v>
      </c>
      <c r="L6225" s="6">
        <f>IFERROR(IF(INDEX(tProdutos[Desconto homologado],MATCH(tItens[[#This Row],[Produto]],tProdutos[Produto],0))="",DescontoPadrao,INDEX(tProdutos[Desconto homologado],MATCH(tItens[[#This Row],[Produto]],tProdutos[Produto],0))),DescontoPadrao)</f>
        <v>0.35766373163696302</v>
      </c>
      <c r="M6225" s="12">
        <f>tItens[[#This Row],[Valor]]*(1-tItens[[#This Row],[Desconto]])</f>
        <v>8760.1820279350977</v>
      </c>
      <c r="N6225" t="str">
        <f>IFERROR(INDEX(tProdutos[Foco],MATCH(tItens[[#This Row],[Produto]],tProdutos[Produto],0)),"Não")</f>
        <v>Não</v>
      </c>
      <c r="O6225" t="str">
        <f>IFERROR(INDEX(tEditais[SRP],MATCH(tItens[[#This Row],[Edital]],tEditais[Edital],0)),"Não")</f>
        <v>Sim</v>
      </c>
      <c r="P6225" s="4">
        <f>IF(COUNTIFS(INDEX(tItens[Edital],1):tItens[[#This Row],[Edital]],tItens[[#This Row],[Edital]],INDEX(tItens[Produto],1):tItens[[#This Row],[Produto]],tItens[[#This Row],[Produto]])=1,1,0)</f>
        <v>0</v>
      </c>
    </row>
    <row r="6226" spans="1:16" x14ac:dyDescent="0.25">
      <c r="A6226" t="s">
        <v>2162</v>
      </c>
      <c r="B6226">
        <v>169</v>
      </c>
      <c r="C6226" t="s">
        <v>8968</v>
      </c>
      <c r="D6226" t="s">
        <v>682</v>
      </c>
      <c r="E6226" s="13">
        <v>10</v>
      </c>
      <c r="F6226" s="12">
        <v>318.48</v>
      </c>
      <c r="G6226" t="str">
        <f>IFERROR(INDEX(tEditais[Órgão],MATCH(tItens[[#This Row],[Edital]],tEditais[Edital],0)),"")</f>
        <v>MUNICIPIO DE CATANDUVAS</v>
      </c>
      <c r="H6226" t="str">
        <f>IFERROR(INDEX(tEditais[UF],MATCH(tItens[[#This Row],[Edital]],tEditais[Edital],0)),"")</f>
        <v>PR</v>
      </c>
      <c r="I6226" s="11">
        <f>IFERROR(INDEX(tEditais[Encerramento],MATCH(tItens[[#This Row],[Edital]],tEditais[Edital],0)),"")</f>
        <v>46311.375</v>
      </c>
      <c r="J6226" t="str">
        <f>IFERROR(INDEX(tProdutos[Classe],MATCH(tItens[[#This Row],[Produto]],tProdutos[Produto],0)),"produto não cadastrado")</f>
        <v>FILA REBASE</v>
      </c>
      <c r="K6226" s="12">
        <f>tItens[[#This Row],[Qtd]]*tItens[[#This Row],[Vlr unit]]</f>
        <v>3184.8</v>
      </c>
      <c r="L6226" s="6">
        <f>IFERROR(IF(INDEX(tProdutos[Desconto homologado],MATCH(tItens[[#This Row],[Produto]],tProdutos[Produto],0))="",DescontoPadrao,INDEX(tProdutos[Desconto homologado],MATCH(tItens[[#This Row],[Produto]],tProdutos[Produto],0))),DescontoPadrao)</f>
        <v>0.3</v>
      </c>
      <c r="M6226" s="12">
        <f>tItens[[#This Row],[Valor]]*(1-tItens[[#This Row],[Desconto]])</f>
        <v>2229.36</v>
      </c>
      <c r="N6226" t="str">
        <f>IFERROR(INDEX(tProdutos[Foco],MATCH(tItens[[#This Row],[Produto]],tProdutos[Produto],0)),"Não")</f>
        <v>Não</v>
      </c>
      <c r="O6226" t="str">
        <f>IFERROR(INDEX(tEditais[SRP],MATCH(tItens[[#This Row],[Edital]],tEditais[Edital],0)),"Não")</f>
        <v>Sim</v>
      </c>
      <c r="P6226" s="4">
        <f>IF(COUNTIFS(INDEX(tItens[Edital],1):tItens[[#This Row],[Edital]],tItens[[#This Row],[Edital]],INDEX(tItens[Produto],1):tItens[[#This Row],[Produto]],tItens[[#This Row],[Produto]])=1,1,0)</f>
        <v>1</v>
      </c>
    </row>
    <row r="6227" spans="1:16" x14ac:dyDescent="0.25">
      <c r="A6227" t="s">
        <v>2162</v>
      </c>
      <c r="B6227">
        <v>170</v>
      </c>
      <c r="C6227" t="s">
        <v>8969</v>
      </c>
      <c r="D6227" t="s">
        <v>275</v>
      </c>
      <c r="E6227" s="13">
        <v>500</v>
      </c>
      <c r="F6227" s="12">
        <v>0.37</v>
      </c>
      <c r="G6227" t="str">
        <f>IFERROR(INDEX(tEditais[Órgão],MATCH(tItens[[#This Row],[Edital]],tEditais[Edital],0)),"")</f>
        <v>MUNICIPIO DE CATANDUVAS</v>
      </c>
      <c r="H6227" t="str">
        <f>IFERROR(INDEX(tEditais[UF],MATCH(tItens[[#This Row],[Edital]],tEditais[Edital],0)),"")</f>
        <v>PR</v>
      </c>
      <c r="I6227" s="11">
        <f>IFERROR(INDEX(tEditais[Encerramento],MATCH(tItens[[#This Row],[Edital]],tEditais[Edital],0)),"")</f>
        <v>46311.375</v>
      </c>
      <c r="J6227" t="str">
        <f>IFERROR(INDEX(tProdutos[Classe],MATCH(tItens[[#This Row],[Produto]],tProdutos[Produto],0)),"produto não cadastrado")</f>
        <v>FORA</v>
      </c>
      <c r="K6227" s="12">
        <f>tItens[[#This Row],[Qtd]]*tItens[[#This Row],[Vlr unit]]</f>
        <v>185</v>
      </c>
      <c r="L6227" s="6">
        <f>IFERROR(IF(INDEX(tProdutos[Desconto homologado],MATCH(tItens[[#This Row],[Produto]],tProdutos[Produto],0))="",DescontoPadrao,INDEX(tProdutos[Desconto homologado],MATCH(tItens[[#This Row],[Produto]],tProdutos[Produto],0))),DescontoPadrao)</f>
        <v>0.405797101449275</v>
      </c>
      <c r="M6227" s="12">
        <f>tItens[[#This Row],[Valor]]*(1-tItens[[#This Row],[Desconto]])</f>
        <v>109.92753623188413</v>
      </c>
      <c r="N6227" t="str">
        <f>IFERROR(INDEX(tProdutos[Foco],MATCH(tItens[[#This Row],[Produto]],tProdutos[Produto],0)),"Não")</f>
        <v>Não</v>
      </c>
      <c r="O6227" t="str">
        <f>IFERROR(INDEX(tEditais[SRP],MATCH(tItens[[#This Row],[Edital]],tEditais[Edital],0)),"Não")</f>
        <v>Sim</v>
      </c>
      <c r="P6227" s="4">
        <f>IF(COUNTIFS(INDEX(tItens[Edital],1):tItens[[#This Row],[Edital]],tItens[[#This Row],[Edital]],INDEX(tItens[Produto],1):tItens[[#This Row],[Produto]],tItens[[#This Row],[Produto]])=1,1,0)</f>
        <v>1</v>
      </c>
    </row>
    <row r="6228" spans="1:16" x14ac:dyDescent="0.25">
      <c r="A6228" t="s">
        <v>2162</v>
      </c>
      <c r="B6228">
        <v>171</v>
      </c>
      <c r="C6228" t="s">
        <v>8970</v>
      </c>
      <c r="D6228" t="s">
        <v>283</v>
      </c>
      <c r="E6228" s="13">
        <v>15000</v>
      </c>
      <c r="F6228" s="12">
        <v>0.17</v>
      </c>
      <c r="G6228" t="str">
        <f>IFERROR(INDEX(tEditais[Órgão],MATCH(tItens[[#This Row],[Edital]],tEditais[Edital],0)),"")</f>
        <v>MUNICIPIO DE CATANDUVAS</v>
      </c>
      <c r="H6228" t="str">
        <f>IFERROR(INDEX(tEditais[UF],MATCH(tItens[[#This Row],[Edital]],tEditais[Edital],0)),"")</f>
        <v>PR</v>
      </c>
      <c r="I6228" s="11">
        <f>IFERROR(INDEX(tEditais[Encerramento],MATCH(tItens[[#This Row],[Edital]],tEditais[Edital],0)),"")</f>
        <v>46311.375</v>
      </c>
      <c r="J6228" t="str">
        <f>IFERROR(INDEX(tProdutos[Classe],MATCH(tItens[[#This Row],[Produto]],tProdutos[Produto],0)),"produto não cadastrado")</f>
        <v>FORA</v>
      </c>
      <c r="K6228" s="12">
        <f>tItens[[#This Row],[Qtd]]*tItens[[#This Row],[Vlr unit]]</f>
        <v>2550</v>
      </c>
      <c r="L6228" s="6">
        <f>IFERROR(IF(INDEX(tProdutos[Desconto homologado],MATCH(tItens[[#This Row],[Produto]],tProdutos[Produto],0))="",DescontoPadrao,INDEX(tProdutos[Desconto homologado],MATCH(tItens[[#This Row],[Produto]],tProdutos[Produto],0))),DescontoPadrao)</f>
        <v>0.40540540540540498</v>
      </c>
      <c r="M6228" s="12">
        <f>tItens[[#This Row],[Valor]]*(1-tItens[[#This Row],[Desconto]])</f>
        <v>1516.2162162162172</v>
      </c>
      <c r="N6228" t="str">
        <f>IFERROR(INDEX(tProdutos[Foco],MATCH(tItens[[#This Row],[Produto]],tProdutos[Produto],0)),"Não")</f>
        <v>Não</v>
      </c>
      <c r="O6228" t="str">
        <f>IFERROR(INDEX(tEditais[SRP],MATCH(tItens[[#This Row],[Edital]],tEditais[Edital],0)),"Não")</f>
        <v>Sim</v>
      </c>
      <c r="P6228" s="4">
        <f>IF(COUNTIFS(INDEX(tItens[Edital],1):tItens[[#This Row],[Edital]],tItens[[#This Row],[Edital]],INDEX(tItens[Produto],1):tItens[[#This Row],[Produto]],tItens[[#This Row],[Produto]])=1,1,0)</f>
        <v>1</v>
      </c>
    </row>
    <row r="6229" spans="1:16" x14ac:dyDescent="0.25">
      <c r="A6229" t="s">
        <v>2162</v>
      </c>
      <c r="B6229">
        <v>172</v>
      </c>
      <c r="C6229" t="s">
        <v>8971</v>
      </c>
      <c r="D6229" t="s">
        <v>265</v>
      </c>
      <c r="E6229" s="13">
        <v>15000</v>
      </c>
      <c r="F6229" s="12">
        <v>0.19</v>
      </c>
      <c r="G6229" t="str">
        <f>IFERROR(INDEX(tEditais[Órgão],MATCH(tItens[[#This Row],[Edital]],tEditais[Edital],0)),"")</f>
        <v>MUNICIPIO DE CATANDUVAS</v>
      </c>
      <c r="H6229" t="str">
        <f>IFERROR(INDEX(tEditais[UF],MATCH(tItens[[#This Row],[Edital]],tEditais[Edital],0)),"")</f>
        <v>PR</v>
      </c>
      <c r="I6229" s="11">
        <f>IFERROR(INDEX(tEditais[Encerramento],MATCH(tItens[[#This Row],[Edital]],tEditais[Edital],0)),"")</f>
        <v>46311.375</v>
      </c>
      <c r="J6229" t="str">
        <f>IFERROR(INDEX(tProdutos[Classe],MATCH(tItens[[#This Row],[Produto]],tProdutos[Produto],0)),"produto não cadastrado")</f>
        <v>DISPUTADO</v>
      </c>
      <c r="K6229" s="12">
        <f>tItens[[#This Row],[Qtd]]*tItens[[#This Row],[Vlr unit]]</f>
        <v>2850</v>
      </c>
      <c r="L6229" s="6">
        <f>IFERROR(IF(INDEX(tProdutos[Desconto homologado],MATCH(tItens[[#This Row],[Produto]],tProdutos[Produto],0))="",DescontoPadrao,INDEX(tProdutos[Desconto homologado],MATCH(tItens[[#This Row],[Produto]],tProdutos[Produto],0))),DescontoPadrao)</f>
        <v>0.377587663709337</v>
      </c>
      <c r="M6229" s="12">
        <f>tItens[[#This Row],[Valor]]*(1-tItens[[#This Row],[Desconto]])</f>
        <v>1773.8751584283898</v>
      </c>
      <c r="N6229" t="str">
        <f>IFERROR(INDEX(tProdutos[Foco],MATCH(tItens[[#This Row],[Produto]],tProdutos[Produto],0)),"Não")</f>
        <v>Não</v>
      </c>
      <c r="O6229" t="str">
        <f>IFERROR(INDEX(tEditais[SRP],MATCH(tItens[[#This Row],[Edital]],tEditais[Edital],0)),"Não")</f>
        <v>Sim</v>
      </c>
      <c r="P6229" s="4">
        <f>IF(COUNTIFS(INDEX(tItens[Edital],1):tItens[[#This Row],[Edital]],tItens[[#This Row],[Edital]],INDEX(tItens[Produto],1):tItens[[#This Row],[Produto]],tItens[[#This Row],[Produto]])=1,1,0)</f>
        <v>1</v>
      </c>
    </row>
    <row r="6230" spans="1:16" x14ac:dyDescent="0.25">
      <c r="A6230" t="s">
        <v>2162</v>
      </c>
      <c r="B6230">
        <v>173</v>
      </c>
      <c r="C6230" t="s">
        <v>8972</v>
      </c>
      <c r="D6230" t="s">
        <v>281</v>
      </c>
      <c r="E6230" s="13">
        <v>10000</v>
      </c>
      <c r="F6230" s="12">
        <v>0.32</v>
      </c>
      <c r="G6230" t="str">
        <f>IFERROR(INDEX(tEditais[Órgão],MATCH(tItens[[#This Row],[Edital]],tEditais[Edital],0)),"")</f>
        <v>MUNICIPIO DE CATANDUVAS</v>
      </c>
      <c r="H6230" t="str">
        <f>IFERROR(INDEX(tEditais[UF],MATCH(tItens[[#This Row],[Edital]],tEditais[Edital],0)),"")</f>
        <v>PR</v>
      </c>
      <c r="I6230" s="11">
        <f>IFERROR(INDEX(tEditais[Encerramento],MATCH(tItens[[#This Row],[Edital]],tEditais[Edital],0)),"")</f>
        <v>46311.375</v>
      </c>
      <c r="J6230" t="str">
        <f>IFERROR(INDEX(tProdutos[Classe],MATCH(tItens[[#This Row],[Produto]],tProdutos[Produto],0)),"produto não cadastrado")</f>
        <v>DISPUTADO</v>
      </c>
      <c r="K6230" s="12">
        <f>tItens[[#This Row],[Qtd]]*tItens[[#This Row],[Vlr unit]]</f>
        <v>3200</v>
      </c>
      <c r="L6230" s="6">
        <f>IFERROR(IF(INDEX(tProdutos[Desconto homologado],MATCH(tItens[[#This Row],[Produto]],tProdutos[Produto],0))="",DescontoPadrao,INDEX(tProdutos[Desconto homologado],MATCH(tItens[[#This Row],[Produto]],tProdutos[Produto],0))),DescontoPadrao)</f>
        <v>0.42461538461538501</v>
      </c>
      <c r="M6230" s="12">
        <f>tItens[[#This Row],[Valor]]*(1-tItens[[#This Row],[Desconto]])</f>
        <v>1841.2307692307677</v>
      </c>
      <c r="N6230" t="str">
        <f>IFERROR(INDEX(tProdutos[Foco],MATCH(tItens[[#This Row],[Produto]],tProdutos[Produto],0)),"Não")</f>
        <v>Não</v>
      </c>
      <c r="O6230" t="str">
        <f>IFERROR(INDEX(tEditais[SRP],MATCH(tItens[[#This Row],[Edital]],tEditais[Edital],0)),"Não")</f>
        <v>Sim</v>
      </c>
      <c r="P6230" s="4">
        <f>IF(COUNTIFS(INDEX(tItens[Edital],1):tItens[[#This Row],[Edital]],tItens[[#This Row],[Edital]],INDEX(tItens[Produto],1):tItens[[#This Row],[Produto]],tItens[[#This Row],[Produto]])=1,1,0)</f>
        <v>1</v>
      </c>
    </row>
    <row r="6231" spans="1:16" x14ac:dyDescent="0.25">
      <c r="A6231" t="s">
        <v>2162</v>
      </c>
      <c r="B6231">
        <v>174</v>
      </c>
      <c r="C6231" t="s">
        <v>8973</v>
      </c>
      <c r="D6231" t="s">
        <v>303</v>
      </c>
      <c r="E6231" s="13">
        <v>10000</v>
      </c>
      <c r="F6231" s="12">
        <v>0.36</v>
      </c>
      <c r="G6231" t="str">
        <f>IFERROR(INDEX(tEditais[Órgão],MATCH(tItens[[#This Row],[Edital]],tEditais[Edital],0)),"")</f>
        <v>MUNICIPIO DE CATANDUVAS</v>
      </c>
      <c r="H6231" t="str">
        <f>IFERROR(INDEX(tEditais[UF],MATCH(tItens[[#This Row],[Edital]],tEditais[Edital],0)),"")</f>
        <v>PR</v>
      </c>
      <c r="I6231" s="11">
        <f>IFERROR(INDEX(tEditais[Encerramento],MATCH(tItens[[#This Row],[Edital]],tEditais[Edital],0)),"")</f>
        <v>46311.375</v>
      </c>
      <c r="J6231" t="str">
        <f>IFERROR(INDEX(tProdutos[Classe],MATCH(tItens[[#This Row],[Produto]],tProdutos[Produto],0)),"produto não cadastrado")</f>
        <v>FORA</v>
      </c>
      <c r="K6231" s="12">
        <f>tItens[[#This Row],[Qtd]]*tItens[[#This Row],[Vlr unit]]</f>
        <v>3600</v>
      </c>
      <c r="L6231" s="6">
        <f>IFERROR(IF(INDEX(tProdutos[Desconto homologado],MATCH(tItens[[#This Row],[Produto]],tProdutos[Produto],0))="",DescontoPadrao,INDEX(tProdutos[Desconto homologado],MATCH(tItens[[#This Row],[Produto]],tProdutos[Produto],0))),DescontoPadrao)</f>
        <v>0.35748048048048098</v>
      </c>
      <c r="M6231" s="12">
        <f>tItens[[#This Row],[Valor]]*(1-tItens[[#This Row],[Desconto]])</f>
        <v>2313.0702702702683</v>
      </c>
      <c r="N6231" t="str">
        <f>IFERROR(INDEX(tProdutos[Foco],MATCH(tItens[[#This Row],[Produto]],tProdutos[Produto],0)),"Não")</f>
        <v>Não</v>
      </c>
      <c r="O6231" t="str">
        <f>IFERROR(INDEX(tEditais[SRP],MATCH(tItens[[#This Row],[Edital]],tEditais[Edital],0)),"Não")</f>
        <v>Sim</v>
      </c>
      <c r="P6231" s="4">
        <f>IF(COUNTIFS(INDEX(tItens[Edital],1):tItens[[#This Row],[Edital]],tItens[[#This Row],[Edital]],INDEX(tItens[Produto],1):tItens[[#This Row],[Produto]],tItens[[#This Row],[Produto]])=1,1,0)</f>
        <v>1</v>
      </c>
    </row>
    <row r="6232" spans="1:16" x14ac:dyDescent="0.25">
      <c r="A6232" t="s">
        <v>2162</v>
      </c>
      <c r="B6232">
        <v>176</v>
      </c>
      <c r="C6232" t="s">
        <v>8974</v>
      </c>
      <c r="D6232" t="s">
        <v>110</v>
      </c>
      <c r="E6232" s="13">
        <v>40</v>
      </c>
      <c r="F6232" s="12">
        <v>0.85</v>
      </c>
      <c r="G6232" t="str">
        <f>IFERROR(INDEX(tEditais[Órgão],MATCH(tItens[[#This Row],[Edital]],tEditais[Edital],0)),"")</f>
        <v>MUNICIPIO DE CATANDUVAS</v>
      </c>
      <c r="H6232" t="str">
        <f>IFERROR(INDEX(tEditais[UF],MATCH(tItens[[#This Row],[Edital]],tEditais[Edital],0)),"")</f>
        <v>PR</v>
      </c>
      <c r="I6232" s="11">
        <f>IFERROR(INDEX(tEditais[Encerramento],MATCH(tItens[[#This Row],[Edital]],tEditais[Edital],0)),"")</f>
        <v>46311.375</v>
      </c>
      <c r="J6232" t="str">
        <f>IFERROR(INDEX(tProdutos[Classe],MATCH(tItens[[#This Row],[Produto]],tProdutos[Produto],0)),"produto não cadastrado")</f>
        <v>NÚCLEO</v>
      </c>
      <c r="K6232" s="12">
        <f>tItens[[#This Row],[Qtd]]*tItens[[#This Row],[Vlr unit]]</f>
        <v>34</v>
      </c>
      <c r="L6232" s="6">
        <f>IFERROR(IF(INDEX(tProdutos[Desconto homologado],MATCH(tItens[[#This Row],[Produto]],tProdutos[Produto],0))="",DescontoPadrao,INDEX(tProdutos[Desconto homologado],MATCH(tItens[[#This Row],[Produto]],tProdutos[Produto],0))),DescontoPadrao)</f>
        <v>0.30410958904109597</v>
      </c>
      <c r="M6232" s="12">
        <f>tItens[[#This Row],[Valor]]*(1-tItens[[#This Row],[Desconto]])</f>
        <v>23.660273972602738</v>
      </c>
      <c r="N6232" t="str">
        <f>IFERROR(INDEX(tProdutos[Foco],MATCH(tItens[[#This Row],[Produto]],tProdutos[Produto],0)),"Não")</f>
        <v>Não</v>
      </c>
      <c r="O6232" t="str">
        <f>IFERROR(INDEX(tEditais[SRP],MATCH(tItens[[#This Row],[Edital]],tEditais[Edital],0)),"Não")</f>
        <v>Sim</v>
      </c>
      <c r="P6232" s="4">
        <f>IF(COUNTIFS(INDEX(tItens[Edital],1):tItens[[#This Row],[Edital]],tItens[[#This Row],[Edital]],INDEX(tItens[Produto],1):tItens[[#This Row],[Produto]],tItens[[#This Row],[Produto]])=1,1,0)</f>
        <v>1</v>
      </c>
    </row>
    <row r="6233" spans="1:16" x14ac:dyDescent="0.25">
      <c r="A6233" t="s">
        <v>2162</v>
      </c>
      <c r="B6233">
        <v>177</v>
      </c>
      <c r="C6233" t="s">
        <v>8975</v>
      </c>
      <c r="D6233" t="s">
        <v>110</v>
      </c>
      <c r="E6233" s="13">
        <v>40</v>
      </c>
      <c r="F6233" s="12">
        <v>0.66</v>
      </c>
      <c r="G6233" t="str">
        <f>IFERROR(INDEX(tEditais[Órgão],MATCH(tItens[[#This Row],[Edital]],tEditais[Edital],0)),"")</f>
        <v>MUNICIPIO DE CATANDUVAS</v>
      </c>
      <c r="H6233" t="str">
        <f>IFERROR(INDEX(tEditais[UF],MATCH(tItens[[#This Row],[Edital]],tEditais[Edital],0)),"")</f>
        <v>PR</v>
      </c>
      <c r="I6233" s="11">
        <f>IFERROR(INDEX(tEditais[Encerramento],MATCH(tItens[[#This Row],[Edital]],tEditais[Edital],0)),"")</f>
        <v>46311.375</v>
      </c>
      <c r="J6233" t="str">
        <f>IFERROR(INDEX(tProdutos[Classe],MATCH(tItens[[#This Row],[Produto]],tProdutos[Produto],0)),"produto não cadastrado")</f>
        <v>NÚCLEO</v>
      </c>
      <c r="K6233" s="12">
        <f>tItens[[#This Row],[Qtd]]*tItens[[#This Row],[Vlr unit]]</f>
        <v>26.400000000000002</v>
      </c>
      <c r="L6233" s="6">
        <f>IFERROR(IF(INDEX(tProdutos[Desconto homologado],MATCH(tItens[[#This Row],[Produto]],tProdutos[Produto],0))="",DescontoPadrao,INDEX(tProdutos[Desconto homologado],MATCH(tItens[[#This Row],[Produto]],tProdutos[Produto],0))),DescontoPadrao)</f>
        <v>0.30410958904109597</v>
      </c>
      <c r="M6233" s="12">
        <f>tItens[[#This Row],[Valor]]*(1-tItens[[#This Row],[Desconto]])</f>
        <v>18.371506849315068</v>
      </c>
      <c r="N6233" t="str">
        <f>IFERROR(INDEX(tProdutos[Foco],MATCH(tItens[[#This Row],[Produto]],tProdutos[Produto],0)),"Não")</f>
        <v>Não</v>
      </c>
      <c r="O6233" t="str">
        <f>IFERROR(INDEX(tEditais[SRP],MATCH(tItens[[#This Row],[Edital]],tEditais[Edital],0)),"Não")</f>
        <v>Sim</v>
      </c>
      <c r="P6233" s="4">
        <f>IF(COUNTIFS(INDEX(tItens[Edital],1):tItens[[#This Row],[Edital]],tItens[[#This Row],[Edital]],INDEX(tItens[Produto],1):tItens[[#This Row],[Produto]],tItens[[#This Row],[Produto]])=1,1,0)</f>
        <v>0</v>
      </c>
    </row>
    <row r="6234" spans="1:16" x14ac:dyDescent="0.25">
      <c r="A6234" t="s">
        <v>2162</v>
      </c>
      <c r="B6234">
        <v>178</v>
      </c>
      <c r="C6234" t="s">
        <v>8976</v>
      </c>
      <c r="D6234" t="s">
        <v>110</v>
      </c>
      <c r="E6234" s="13">
        <v>40</v>
      </c>
      <c r="F6234" s="12">
        <v>0.94</v>
      </c>
      <c r="G6234" t="str">
        <f>IFERROR(INDEX(tEditais[Órgão],MATCH(tItens[[#This Row],[Edital]],tEditais[Edital],0)),"")</f>
        <v>MUNICIPIO DE CATANDUVAS</v>
      </c>
      <c r="H6234" t="str">
        <f>IFERROR(INDEX(tEditais[UF],MATCH(tItens[[#This Row],[Edital]],tEditais[Edital],0)),"")</f>
        <v>PR</v>
      </c>
      <c r="I6234" s="11">
        <f>IFERROR(INDEX(tEditais[Encerramento],MATCH(tItens[[#This Row],[Edital]],tEditais[Edital],0)),"")</f>
        <v>46311.375</v>
      </c>
      <c r="J6234" t="str">
        <f>IFERROR(INDEX(tProdutos[Classe],MATCH(tItens[[#This Row],[Produto]],tProdutos[Produto],0)),"produto não cadastrado")</f>
        <v>NÚCLEO</v>
      </c>
      <c r="K6234" s="12">
        <f>tItens[[#This Row],[Qtd]]*tItens[[#This Row],[Vlr unit]]</f>
        <v>37.599999999999994</v>
      </c>
      <c r="L6234" s="6">
        <f>IFERROR(IF(INDEX(tProdutos[Desconto homologado],MATCH(tItens[[#This Row],[Produto]],tProdutos[Produto],0))="",DescontoPadrao,INDEX(tProdutos[Desconto homologado],MATCH(tItens[[#This Row],[Produto]],tProdutos[Produto],0))),DescontoPadrao)</f>
        <v>0.30410958904109597</v>
      </c>
      <c r="M6234" s="12">
        <f>tItens[[#This Row],[Valor]]*(1-tItens[[#This Row],[Desconto]])</f>
        <v>26.165479452054786</v>
      </c>
      <c r="N6234" t="str">
        <f>IFERROR(INDEX(tProdutos[Foco],MATCH(tItens[[#This Row],[Produto]],tProdutos[Produto],0)),"Não")</f>
        <v>Não</v>
      </c>
      <c r="O6234" t="str">
        <f>IFERROR(INDEX(tEditais[SRP],MATCH(tItens[[#This Row],[Edital]],tEditais[Edital],0)),"Não")</f>
        <v>Sim</v>
      </c>
      <c r="P6234" s="4">
        <f>IF(COUNTIFS(INDEX(tItens[Edital],1):tItens[[#This Row],[Edital]],tItens[[#This Row],[Edital]],INDEX(tItens[Produto],1):tItens[[#This Row],[Produto]],tItens[[#This Row],[Produto]])=1,1,0)</f>
        <v>0</v>
      </c>
    </row>
    <row r="6235" spans="1:16" x14ac:dyDescent="0.25">
      <c r="A6235" t="s">
        <v>2162</v>
      </c>
      <c r="B6235">
        <v>179</v>
      </c>
      <c r="C6235" t="s">
        <v>8977</v>
      </c>
      <c r="D6235" t="s">
        <v>110</v>
      </c>
      <c r="E6235" s="13">
        <v>50</v>
      </c>
      <c r="F6235" s="12">
        <v>1</v>
      </c>
      <c r="G6235" t="str">
        <f>IFERROR(INDEX(tEditais[Órgão],MATCH(tItens[[#This Row],[Edital]],tEditais[Edital],0)),"")</f>
        <v>MUNICIPIO DE CATANDUVAS</v>
      </c>
      <c r="H6235" t="str">
        <f>IFERROR(INDEX(tEditais[UF],MATCH(tItens[[#This Row],[Edital]],tEditais[Edital],0)),"")</f>
        <v>PR</v>
      </c>
      <c r="I6235" s="11">
        <f>IFERROR(INDEX(tEditais[Encerramento],MATCH(tItens[[#This Row],[Edital]],tEditais[Edital],0)),"")</f>
        <v>46311.375</v>
      </c>
      <c r="J6235" t="str">
        <f>IFERROR(INDEX(tProdutos[Classe],MATCH(tItens[[#This Row],[Produto]],tProdutos[Produto],0)),"produto não cadastrado")</f>
        <v>NÚCLEO</v>
      </c>
      <c r="K6235" s="12">
        <f>tItens[[#This Row],[Qtd]]*tItens[[#This Row],[Vlr unit]]</f>
        <v>50</v>
      </c>
      <c r="L6235" s="6">
        <f>IFERROR(IF(INDEX(tProdutos[Desconto homologado],MATCH(tItens[[#This Row],[Produto]],tProdutos[Produto],0))="",DescontoPadrao,INDEX(tProdutos[Desconto homologado],MATCH(tItens[[#This Row],[Produto]],tProdutos[Produto],0))),DescontoPadrao)</f>
        <v>0.30410958904109597</v>
      </c>
      <c r="M6235" s="12">
        <f>tItens[[#This Row],[Valor]]*(1-tItens[[#This Row],[Desconto]])</f>
        <v>34.794520547945204</v>
      </c>
      <c r="N6235" t="str">
        <f>IFERROR(INDEX(tProdutos[Foco],MATCH(tItens[[#This Row],[Produto]],tProdutos[Produto],0)),"Não")</f>
        <v>Não</v>
      </c>
      <c r="O6235" t="str">
        <f>IFERROR(INDEX(tEditais[SRP],MATCH(tItens[[#This Row],[Edital]],tEditais[Edital],0)),"Não")</f>
        <v>Sim</v>
      </c>
      <c r="P6235" s="4">
        <f>IF(COUNTIFS(INDEX(tItens[Edital],1):tItens[[#This Row],[Edital]],tItens[[#This Row],[Edital]],INDEX(tItens[Produto],1):tItens[[#This Row],[Produto]],tItens[[#This Row],[Produto]])=1,1,0)</f>
        <v>0</v>
      </c>
    </row>
    <row r="6236" spans="1:16" x14ac:dyDescent="0.25">
      <c r="A6236" t="s">
        <v>2162</v>
      </c>
      <c r="B6236">
        <v>180</v>
      </c>
      <c r="C6236" t="s">
        <v>8978</v>
      </c>
      <c r="D6236" t="s">
        <v>110</v>
      </c>
      <c r="E6236" s="13">
        <v>50</v>
      </c>
      <c r="F6236" s="12">
        <v>1.19</v>
      </c>
      <c r="G6236" t="str">
        <f>IFERROR(INDEX(tEditais[Órgão],MATCH(tItens[[#This Row],[Edital]],tEditais[Edital],0)),"")</f>
        <v>MUNICIPIO DE CATANDUVAS</v>
      </c>
      <c r="H6236" t="str">
        <f>IFERROR(INDEX(tEditais[UF],MATCH(tItens[[#This Row],[Edital]],tEditais[Edital],0)),"")</f>
        <v>PR</v>
      </c>
      <c r="I6236" s="11">
        <f>IFERROR(INDEX(tEditais[Encerramento],MATCH(tItens[[#This Row],[Edital]],tEditais[Edital],0)),"")</f>
        <v>46311.375</v>
      </c>
      <c r="J6236" t="str">
        <f>IFERROR(INDEX(tProdutos[Classe],MATCH(tItens[[#This Row],[Produto]],tProdutos[Produto],0)),"produto não cadastrado")</f>
        <v>NÚCLEO</v>
      </c>
      <c r="K6236" s="12">
        <f>tItens[[#This Row],[Qtd]]*tItens[[#This Row],[Vlr unit]]</f>
        <v>59.5</v>
      </c>
      <c r="L6236" s="6">
        <f>IFERROR(IF(INDEX(tProdutos[Desconto homologado],MATCH(tItens[[#This Row],[Produto]],tProdutos[Produto],0))="",DescontoPadrao,INDEX(tProdutos[Desconto homologado],MATCH(tItens[[#This Row],[Produto]],tProdutos[Produto],0))),DescontoPadrao)</f>
        <v>0.30410958904109597</v>
      </c>
      <c r="M6236" s="12">
        <f>tItens[[#This Row],[Valor]]*(1-tItens[[#This Row],[Desconto]])</f>
        <v>41.405479452054792</v>
      </c>
      <c r="N6236" t="str">
        <f>IFERROR(INDEX(tProdutos[Foco],MATCH(tItens[[#This Row],[Produto]],tProdutos[Produto],0)),"Não")</f>
        <v>Não</v>
      </c>
      <c r="O6236" t="str">
        <f>IFERROR(INDEX(tEditais[SRP],MATCH(tItens[[#This Row],[Edital]],tEditais[Edital],0)),"Não")</f>
        <v>Sim</v>
      </c>
      <c r="P6236" s="4">
        <f>IF(COUNTIFS(INDEX(tItens[Edital],1):tItens[[#This Row],[Edital]],tItens[[#This Row],[Edital]],INDEX(tItens[Produto],1):tItens[[#This Row],[Produto]],tItens[[#This Row],[Produto]])=1,1,0)</f>
        <v>0</v>
      </c>
    </row>
    <row r="6237" spans="1:16" x14ac:dyDescent="0.25">
      <c r="A6237" t="s">
        <v>2162</v>
      </c>
      <c r="B6237">
        <v>181</v>
      </c>
      <c r="C6237" t="s">
        <v>8979</v>
      </c>
      <c r="D6237" t="s">
        <v>110</v>
      </c>
      <c r="E6237" s="13">
        <v>50</v>
      </c>
      <c r="F6237" s="12">
        <v>1.02</v>
      </c>
      <c r="G6237" t="str">
        <f>IFERROR(INDEX(tEditais[Órgão],MATCH(tItens[[#This Row],[Edital]],tEditais[Edital],0)),"")</f>
        <v>MUNICIPIO DE CATANDUVAS</v>
      </c>
      <c r="H6237" t="str">
        <f>IFERROR(INDEX(tEditais[UF],MATCH(tItens[[#This Row],[Edital]],tEditais[Edital],0)),"")</f>
        <v>PR</v>
      </c>
      <c r="I6237" s="11">
        <f>IFERROR(INDEX(tEditais[Encerramento],MATCH(tItens[[#This Row],[Edital]],tEditais[Edital],0)),"")</f>
        <v>46311.375</v>
      </c>
      <c r="J6237" t="str">
        <f>IFERROR(INDEX(tProdutos[Classe],MATCH(tItens[[#This Row],[Produto]],tProdutos[Produto],0)),"produto não cadastrado")</f>
        <v>NÚCLEO</v>
      </c>
      <c r="K6237" s="12">
        <f>tItens[[#This Row],[Qtd]]*tItens[[#This Row],[Vlr unit]]</f>
        <v>51</v>
      </c>
      <c r="L6237" s="6">
        <f>IFERROR(IF(INDEX(tProdutos[Desconto homologado],MATCH(tItens[[#This Row],[Produto]],tProdutos[Produto],0))="",DescontoPadrao,INDEX(tProdutos[Desconto homologado],MATCH(tItens[[#This Row],[Produto]],tProdutos[Produto],0))),DescontoPadrao)</f>
        <v>0.30410958904109597</v>
      </c>
      <c r="M6237" s="12">
        <f>tItens[[#This Row],[Valor]]*(1-tItens[[#This Row],[Desconto]])</f>
        <v>35.490410958904107</v>
      </c>
      <c r="N6237" t="str">
        <f>IFERROR(INDEX(tProdutos[Foco],MATCH(tItens[[#This Row],[Produto]],tProdutos[Produto],0)),"Não")</f>
        <v>Não</v>
      </c>
      <c r="O6237" t="str">
        <f>IFERROR(INDEX(tEditais[SRP],MATCH(tItens[[#This Row],[Edital]],tEditais[Edital],0)),"Não")</f>
        <v>Sim</v>
      </c>
      <c r="P6237" s="4">
        <f>IF(COUNTIFS(INDEX(tItens[Edital],1):tItens[[#This Row],[Edital]],tItens[[#This Row],[Edital]],INDEX(tItens[Produto],1):tItens[[#This Row],[Produto]],tItens[[#This Row],[Produto]])=1,1,0)</f>
        <v>0</v>
      </c>
    </row>
    <row r="6238" spans="1:16" x14ac:dyDescent="0.25">
      <c r="A6238" t="s">
        <v>2162</v>
      </c>
      <c r="B6238">
        <v>182</v>
      </c>
      <c r="C6238" t="s">
        <v>8980</v>
      </c>
      <c r="D6238" t="s">
        <v>110</v>
      </c>
      <c r="E6238" s="13">
        <v>50</v>
      </c>
      <c r="F6238" s="12">
        <v>1.21</v>
      </c>
      <c r="G6238" t="str">
        <f>IFERROR(INDEX(tEditais[Órgão],MATCH(tItens[[#This Row],[Edital]],tEditais[Edital],0)),"")</f>
        <v>MUNICIPIO DE CATANDUVAS</v>
      </c>
      <c r="H6238" t="str">
        <f>IFERROR(INDEX(tEditais[UF],MATCH(tItens[[#This Row],[Edital]],tEditais[Edital],0)),"")</f>
        <v>PR</v>
      </c>
      <c r="I6238" s="11">
        <f>IFERROR(INDEX(tEditais[Encerramento],MATCH(tItens[[#This Row],[Edital]],tEditais[Edital],0)),"")</f>
        <v>46311.375</v>
      </c>
      <c r="J6238" t="str">
        <f>IFERROR(INDEX(tProdutos[Classe],MATCH(tItens[[#This Row],[Produto]],tProdutos[Produto],0)),"produto não cadastrado")</f>
        <v>NÚCLEO</v>
      </c>
      <c r="K6238" s="12">
        <f>tItens[[#This Row],[Qtd]]*tItens[[#This Row],[Vlr unit]]</f>
        <v>60.5</v>
      </c>
      <c r="L6238" s="6">
        <f>IFERROR(IF(INDEX(tProdutos[Desconto homologado],MATCH(tItens[[#This Row],[Produto]],tProdutos[Produto],0))="",DescontoPadrao,INDEX(tProdutos[Desconto homologado],MATCH(tItens[[#This Row],[Produto]],tProdutos[Produto],0))),DescontoPadrao)</f>
        <v>0.30410958904109597</v>
      </c>
      <c r="M6238" s="12">
        <f>tItens[[#This Row],[Valor]]*(1-tItens[[#This Row],[Desconto]])</f>
        <v>42.101369863013694</v>
      </c>
      <c r="N6238" t="str">
        <f>IFERROR(INDEX(tProdutos[Foco],MATCH(tItens[[#This Row],[Produto]],tProdutos[Produto],0)),"Não")</f>
        <v>Não</v>
      </c>
      <c r="O6238" t="str">
        <f>IFERROR(INDEX(tEditais[SRP],MATCH(tItens[[#This Row],[Edital]],tEditais[Edital],0)),"Não")</f>
        <v>Sim</v>
      </c>
      <c r="P6238" s="4">
        <f>IF(COUNTIFS(INDEX(tItens[Edital],1):tItens[[#This Row],[Edital]],tItens[[#This Row],[Edital]],INDEX(tItens[Produto],1):tItens[[#This Row],[Produto]],tItens[[#This Row],[Produto]])=1,1,0)</f>
        <v>0</v>
      </c>
    </row>
    <row r="6239" spans="1:16" x14ac:dyDescent="0.25">
      <c r="A6239" t="s">
        <v>2162</v>
      </c>
      <c r="B6239">
        <v>183</v>
      </c>
      <c r="C6239" t="s">
        <v>8981</v>
      </c>
      <c r="D6239" t="s">
        <v>110</v>
      </c>
      <c r="E6239" s="13">
        <v>50</v>
      </c>
      <c r="F6239" s="12">
        <v>1.22</v>
      </c>
      <c r="G6239" t="str">
        <f>IFERROR(INDEX(tEditais[Órgão],MATCH(tItens[[#This Row],[Edital]],tEditais[Edital],0)),"")</f>
        <v>MUNICIPIO DE CATANDUVAS</v>
      </c>
      <c r="H6239" t="str">
        <f>IFERROR(INDEX(tEditais[UF],MATCH(tItens[[#This Row],[Edital]],tEditais[Edital],0)),"")</f>
        <v>PR</v>
      </c>
      <c r="I6239" s="11">
        <f>IFERROR(INDEX(tEditais[Encerramento],MATCH(tItens[[#This Row],[Edital]],tEditais[Edital],0)),"")</f>
        <v>46311.375</v>
      </c>
      <c r="J6239" t="str">
        <f>IFERROR(INDEX(tProdutos[Classe],MATCH(tItens[[#This Row],[Produto]],tProdutos[Produto],0)),"produto não cadastrado")</f>
        <v>NÚCLEO</v>
      </c>
      <c r="K6239" s="12">
        <f>tItens[[#This Row],[Qtd]]*tItens[[#This Row],[Vlr unit]]</f>
        <v>61</v>
      </c>
      <c r="L6239" s="6">
        <f>IFERROR(IF(INDEX(tProdutos[Desconto homologado],MATCH(tItens[[#This Row],[Produto]],tProdutos[Produto],0))="",DescontoPadrao,INDEX(tProdutos[Desconto homologado],MATCH(tItens[[#This Row],[Produto]],tProdutos[Produto],0))),DescontoPadrao)</f>
        <v>0.30410958904109597</v>
      </c>
      <c r="M6239" s="12">
        <f>tItens[[#This Row],[Valor]]*(1-tItens[[#This Row],[Desconto]])</f>
        <v>42.449315068493142</v>
      </c>
      <c r="N6239" t="str">
        <f>IFERROR(INDEX(tProdutos[Foco],MATCH(tItens[[#This Row],[Produto]],tProdutos[Produto],0)),"Não")</f>
        <v>Não</v>
      </c>
      <c r="O6239" t="str">
        <f>IFERROR(INDEX(tEditais[SRP],MATCH(tItens[[#This Row],[Edital]],tEditais[Edital],0)),"Não")</f>
        <v>Sim</v>
      </c>
      <c r="P6239" s="4">
        <f>IF(COUNTIFS(INDEX(tItens[Edital],1):tItens[[#This Row],[Edital]],tItens[[#This Row],[Edital]],INDEX(tItens[Produto],1):tItens[[#This Row],[Produto]],tItens[[#This Row],[Produto]])=1,1,0)</f>
        <v>0</v>
      </c>
    </row>
    <row r="6240" spans="1:16" x14ac:dyDescent="0.25">
      <c r="A6240" t="s">
        <v>2162</v>
      </c>
      <c r="B6240">
        <v>184</v>
      </c>
      <c r="C6240" t="s">
        <v>8982</v>
      </c>
      <c r="D6240" t="s">
        <v>110</v>
      </c>
      <c r="E6240" s="13">
        <v>20</v>
      </c>
      <c r="F6240" s="12">
        <v>1.36</v>
      </c>
      <c r="G6240" t="str">
        <f>IFERROR(INDEX(tEditais[Órgão],MATCH(tItens[[#This Row],[Edital]],tEditais[Edital],0)),"")</f>
        <v>MUNICIPIO DE CATANDUVAS</v>
      </c>
      <c r="H6240" t="str">
        <f>IFERROR(INDEX(tEditais[UF],MATCH(tItens[[#This Row],[Edital]],tEditais[Edital],0)),"")</f>
        <v>PR</v>
      </c>
      <c r="I6240" s="11">
        <f>IFERROR(INDEX(tEditais[Encerramento],MATCH(tItens[[#This Row],[Edital]],tEditais[Edital],0)),"")</f>
        <v>46311.375</v>
      </c>
      <c r="J6240" t="str">
        <f>IFERROR(INDEX(tProdutos[Classe],MATCH(tItens[[#This Row],[Produto]],tProdutos[Produto],0)),"produto não cadastrado")</f>
        <v>NÚCLEO</v>
      </c>
      <c r="K6240" s="12">
        <f>tItens[[#This Row],[Qtd]]*tItens[[#This Row],[Vlr unit]]</f>
        <v>27.200000000000003</v>
      </c>
      <c r="L6240" s="6">
        <f>IFERROR(IF(INDEX(tProdutos[Desconto homologado],MATCH(tItens[[#This Row],[Produto]],tProdutos[Produto],0))="",DescontoPadrao,INDEX(tProdutos[Desconto homologado],MATCH(tItens[[#This Row],[Produto]],tProdutos[Produto],0))),DescontoPadrao)</f>
        <v>0.30410958904109597</v>
      </c>
      <c r="M6240" s="12">
        <f>tItens[[#This Row],[Valor]]*(1-tItens[[#This Row],[Desconto]])</f>
        <v>18.928219178082191</v>
      </c>
      <c r="N6240" t="str">
        <f>IFERROR(INDEX(tProdutos[Foco],MATCH(tItens[[#This Row],[Produto]],tProdutos[Produto],0)),"Não")</f>
        <v>Não</v>
      </c>
      <c r="O6240" t="str">
        <f>IFERROR(INDEX(tEditais[SRP],MATCH(tItens[[#This Row],[Edital]],tEditais[Edital],0)),"Não")</f>
        <v>Sim</v>
      </c>
      <c r="P6240" s="4">
        <f>IF(COUNTIFS(INDEX(tItens[Edital],1):tItens[[#This Row],[Edital]],tItens[[#This Row],[Edital]],INDEX(tItens[Produto],1):tItens[[#This Row],[Produto]],tItens[[#This Row],[Produto]])=1,1,0)</f>
        <v>0</v>
      </c>
    </row>
    <row r="6241" spans="1:16" x14ac:dyDescent="0.25">
      <c r="A6241" t="s">
        <v>2162</v>
      </c>
      <c r="B6241">
        <v>194</v>
      </c>
      <c r="C6241" t="s">
        <v>8983</v>
      </c>
      <c r="D6241" t="s">
        <v>253</v>
      </c>
      <c r="E6241" s="13">
        <v>20</v>
      </c>
      <c r="F6241" s="12">
        <v>2.97</v>
      </c>
      <c r="G6241" t="str">
        <f>IFERROR(INDEX(tEditais[Órgão],MATCH(tItens[[#This Row],[Edital]],tEditais[Edital],0)),"")</f>
        <v>MUNICIPIO DE CATANDUVAS</v>
      </c>
      <c r="H6241" t="str">
        <f>IFERROR(INDEX(tEditais[UF],MATCH(tItens[[#This Row],[Edital]],tEditais[Edital],0)),"")</f>
        <v>PR</v>
      </c>
      <c r="I6241" s="11">
        <f>IFERROR(INDEX(tEditais[Encerramento],MATCH(tItens[[#This Row],[Edital]],tEditais[Edital],0)),"")</f>
        <v>46311.375</v>
      </c>
      <c r="J6241" t="str">
        <f>IFERROR(INDEX(tProdutos[Classe],MATCH(tItens[[#This Row],[Produto]],tProdutos[Produto],0)),"produto não cadastrado")</f>
        <v>FORA</v>
      </c>
      <c r="K6241" s="12">
        <f>tItens[[#This Row],[Qtd]]*tItens[[#This Row],[Vlr unit]]</f>
        <v>59.400000000000006</v>
      </c>
      <c r="L6241" s="6">
        <f>IFERROR(IF(INDEX(tProdutos[Desconto homologado],MATCH(tItens[[#This Row],[Produto]],tProdutos[Produto],0))="",DescontoPadrao,INDEX(tProdutos[Desconto homologado],MATCH(tItens[[#This Row],[Produto]],tProdutos[Produto],0))),DescontoPadrao)</f>
        <v>0.31735159817351599</v>
      </c>
      <c r="M6241" s="12">
        <f>tItens[[#This Row],[Valor]]*(1-tItens[[#This Row],[Desconto]])</f>
        <v>40.549315068493151</v>
      </c>
      <c r="N6241" t="str">
        <f>IFERROR(INDEX(tProdutos[Foco],MATCH(tItens[[#This Row],[Produto]],tProdutos[Produto],0)),"Não")</f>
        <v>Não</v>
      </c>
      <c r="O6241" t="str">
        <f>IFERROR(INDEX(tEditais[SRP],MATCH(tItens[[#This Row],[Edital]],tEditais[Edital],0)),"Não")</f>
        <v>Sim</v>
      </c>
      <c r="P6241" s="4">
        <f>IF(COUNTIFS(INDEX(tItens[Edital],1):tItens[[#This Row],[Edital]],tItens[[#This Row],[Edital]],INDEX(tItens[Produto],1):tItens[[#This Row],[Produto]],tItens[[#This Row],[Produto]])=1,1,0)</f>
        <v>1</v>
      </c>
    </row>
    <row r="6242" spans="1:16" x14ac:dyDescent="0.25">
      <c r="A6242" t="s">
        <v>2162</v>
      </c>
      <c r="B6242">
        <v>195</v>
      </c>
      <c r="C6242" t="s">
        <v>8984</v>
      </c>
      <c r="D6242" t="s">
        <v>120</v>
      </c>
      <c r="E6242" s="13">
        <v>500</v>
      </c>
      <c r="F6242" s="12">
        <v>0.56999999999999995</v>
      </c>
      <c r="G6242" t="str">
        <f>IFERROR(INDEX(tEditais[Órgão],MATCH(tItens[[#This Row],[Edital]],tEditais[Edital],0)),"")</f>
        <v>MUNICIPIO DE CATANDUVAS</v>
      </c>
      <c r="H6242" t="str">
        <f>IFERROR(INDEX(tEditais[UF],MATCH(tItens[[#This Row],[Edital]],tEditais[Edital],0)),"")</f>
        <v>PR</v>
      </c>
      <c r="I6242" s="11">
        <f>IFERROR(INDEX(tEditais[Encerramento],MATCH(tItens[[#This Row],[Edital]],tEditais[Edital],0)),"")</f>
        <v>46311.375</v>
      </c>
      <c r="J6242" t="str">
        <f>IFERROR(INDEX(tProdutos[Classe],MATCH(tItens[[#This Row],[Produto]],tProdutos[Produto],0)),"produto não cadastrado")</f>
        <v>DISPUTADO</v>
      </c>
      <c r="K6242" s="12">
        <f>tItens[[#This Row],[Qtd]]*tItens[[#This Row],[Vlr unit]]</f>
        <v>285</v>
      </c>
      <c r="L6242" s="6">
        <f>IFERROR(IF(INDEX(tProdutos[Desconto homologado],MATCH(tItens[[#This Row],[Produto]],tProdutos[Produto],0))="",DescontoPadrao,INDEX(tProdutos[Desconto homologado],MATCH(tItens[[#This Row],[Produto]],tProdutos[Produto],0))),DescontoPadrao)</f>
        <v>0.40909090909090901</v>
      </c>
      <c r="M6242" s="12">
        <f>tItens[[#This Row],[Valor]]*(1-tItens[[#This Row],[Desconto]])</f>
        <v>168.40909090909096</v>
      </c>
      <c r="N6242" t="str">
        <f>IFERROR(INDEX(tProdutos[Foco],MATCH(tItens[[#This Row],[Produto]],tProdutos[Produto],0)),"Não")</f>
        <v>Não</v>
      </c>
      <c r="O6242" t="str">
        <f>IFERROR(INDEX(tEditais[SRP],MATCH(tItens[[#This Row],[Edital]],tEditais[Edital],0)),"Não")</f>
        <v>Sim</v>
      </c>
      <c r="P6242" s="4">
        <f>IF(COUNTIFS(INDEX(tItens[Edital],1):tItens[[#This Row],[Edital]],tItens[[#This Row],[Edital]],INDEX(tItens[Produto],1):tItens[[#This Row],[Produto]],tItens[[#This Row],[Produto]])=1,1,0)</f>
        <v>1</v>
      </c>
    </row>
    <row r="6243" spans="1:16" x14ac:dyDescent="0.25">
      <c r="A6243" t="s">
        <v>2162</v>
      </c>
      <c r="B6243">
        <v>196</v>
      </c>
      <c r="C6243" t="s">
        <v>8985</v>
      </c>
      <c r="D6243" t="s">
        <v>120</v>
      </c>
      <c r="E6243" s="13">
        <v>5000</v>
      </c>
      <c r="F6243" s="12">
        <v>0.62</v>
      </c>
      <c r="G6243" t="str">
        <f>IFERROR(INDEX(tEditais[Órgão],MATCH(tItens[[#This Row],[Edital]],tEditais[Edital],0)),"")</f>
        <v>MUNICIPIO DE CATANDUVAS</v>
      </c>
      <c r="H6243" t="str">
        <f>IFERROR(INDEX(tEditais[UF],MATCH(tItens[[#This Row],[Edital]],tEditais[Edital],0)),"")</f>
        <v>PR</v>
      </c>
      <c r="I6243" s="11">
        <f>IFERROR(INDEX(tEditais[Encerramento],MATCH(tItens[[#This Row],[Edital]],tEditais[Edital],0)),"")</f>
        <v>46311.375</v>
      </c>
      <c r="J6243" t="str">
        <f>IFERROR(INDEX(tProdutos[Classe],MATCH(tItens[[#This Row],[Produto]],tProdutos[Produto],0)),"produto não cadastrado")</f>
        <v>DISPUTADO</v>
      </c>
      <c r="K6243" s="12">
        <f>tItens[[#This Row],[Qtd]]*tItens[[#This Row],[Vlr unit]]</f>
        <v>3100</v>
      </c>
      <c r="L6243" s="6">
        <f>IFERROR(IF(INDEX(tProdutos[Desconto homologado],MATCH(tItens[[#This Row],[Produto]],tProdutos[Produto],0))="",DescontoPadrao,INDEX(tProdutos[Desconto homologado],MATCH(tItens[[#This Row],[Produto]],tProdutos[Produto],0))),DescontoPadrao)</f>
        <v>0.40909090909090901</v>
      </c>
      <c r="M6243" s="12">
        <f>tItens[[#This Row],[Valor]]*(1-tItens[[#This Row],[Desconto]])</f>
        <v>1831.8181818181822</v>
      </c>
      <c r="N6243" t="str">
        <f>IFERROR(INDEX(tProdutos[Foco],MATCH(tItens[[#This Row],[Produto]],tProdutos[Produto],0)),"Não")</f>
        <v>Não</v>
      </c>
      <c r="O6243" t="str">
        <f>IFERROR(INDEX(tEditais[SRP],MATCH(tItens[[#This Row],[Edital]],tEditais[Edital],0)),"Não")</f>
        <v>Sim</v>
      </c>
      <c r="P6243" s="4">
        <f>IF(COUNTIFS(INDEX(tItens[Edital],1):tItens[[#This Row],[Edital]],tItens[[#This Row],[Edital]],INDEX(tItens[Produto],1):tItens[[#This Row],[Produto]],tItens[[#This Row],[Produto]])=1,1,0)</f>
        <v>0</v>
      </c>
    </row>
    <row r="6244" spans="1:16" x14ac:dyDescent="0.25">
      <c r="A6244" t="s">
        <v>2162</v>
      </c>
      <c r="B6244">
        <v>197</v>
      </c>
      <c r="C6244" t="s">
        <v>8986</v>
      </c>
      <c r="D6244" t="s">
        <v>120</v>
      </c>
      <c r="E6244" s="13">
        <v>100</v>
      </c>
      <c r="F6244" s="12">
        <v>0.6</v>
      </c>
      <c r="G6244" t="str">
        <f>IFERROR(INDEX(tEditais[Órgão],MATCH(tItens[[#This Row],[Edital]],tEditais[Edital],0)),"")</f>
        <v>MUNICIPIO DE CATANDUVAS</v>
      </c>
      <c r="H6244" t="str">
        <f>IFERROR(INDEX(tEditais[UF],MATCH(tItens[[#This Row],[Edital]],tEditais[Edital],0)),"")</f>
        <v>PR</v>
      </c>
      <c r="I6244" s="11">
        <f>IFERROR(INDEX(tEditais[Encerramento],MATCH(tItens[[#This Row],[Edital]],tEditais[Edital],0)),"")</f>
        <v>46311.375</v>
      </c>
      <c r="J6244" t="str">
        <f>IFERROR(INDEX(tProdutos[Classe],MATCH(tItens[[#This Row],[Produto]],tProdutos[Produto],0)),"produto não cadastrado")</f>
        <v>DISPUTADO</v>
      </c>
      <c r="K6244" s="12">
        <f>tItens[[#This Row],[Qtd]]*tItens[[#This Row],[Vlr unit]]</f>
        <v>60</v>
      </c>
      <c r="L6244" s="6">
        <f>IFERROR(IF(INDEX(tProdutos[Desconto homologado],MATCH(tItens[[#This Row],[Produto]],tProdutos[Produto],0))="",DescontoPadrao,INDEX(tProdutos[Desconto homologado],MATCH(tItens[[#This Row],[Produto]],tProdutos[Produto],0))),DescontoPadrao)</f>
        <v>0.40909090909090901</v>
      </c>
      <c r="M6244" s="12">
        <f>tItens[[#This Row],[Valor]]*(1-tItens[[#This Row],[Desconto]])</f>
        <v>35.45454545454546</v>
      </c>
      <c r="N6244" t="str">
        <f>IFERROR(INDEX(tProdutos[Foco],MATCH(tItens[[#This Row],[Produto]],tProdutos[Produto],0)),"Não")</f>
        <v>Não</v>
      </c>
      <c r="O6244" t="str">
        <f>IFERROR(INDEX(tEditais[SRP],MATCH(tItens[[#This Row],[Edital]],tEditais[Edital],0)),"Não")</f>
        <v>Sim</v>
      </c>
      <c r="P6244" s="4">
        <f>IF(COUNTIFS(INDEX(tItens[Edital],1):tItens[[#This Row],[Edital]],tItens[[#This Row],[Edital]],INDEX(tItens[Produto],1):tItens[[#This Row],[Produto]],tItens[[#This Row],[Produto]])=1,1,0)</f>
        <v>0</v>
      </c>
    </row>
    <row r="6245" spans="1:16" x14ac:dyDescent="0.25">
      <c r="A6245" t="s">
        <v>2162</v>
      </c>
      <c r="B6245">
        <v>203</v>
      </c>
      <c r="C6245" t="s">
        <v>8987</v>
      </c>
      <c r="D6245" t="s">
        <v>114</v>
      </c>
      <c r="E6245" s="13">
        <v>200</v>
      </c>
      <c r="F6245" s="12">
        <v>6.25</v>
      </c>
      <c r="G6245" t="str">
        <f>IFERROR(INDEX(tEditais[Órgão],MATCH(tItens[[#This Row],[Edital]],tEditais[Edital],0)),"")</f>
        <v>MUNICIPIO DE CATANDUVAS</v>
      </c>
      <c r="H6245" t="str">
        <f>IFERROR(INDEX(tEditais[UF],MATCH(tItens[[#This Row],[Edital]],tEditais[Edital],0)),"")</f>
        <v>PR</v>
      </c>
      <c r="I6245" s="11">
        <f>IFERROR(INDEX(tEditais[Encerramento],MATCH(tItens[[#This Row],[Edital]],tEditais[Edital],0)),"")</f>
        <v>46311.375</v>
      </c>
      <c r="J6245" t="str">
        <f>IFERROR(INDEX(tProdutos[Classe],MATCH(tItens[[#This Row],[Produto]],tProdutos[Produto],0)),"produto não cadastrado")</f>
        <v>DISPUTADO</v>
      </c>
      <c r="K6245" s="12">
        <f>tItens[[#This Row],[Qtd]]*tItens[[#This Row],[Vlr unit]]</f>
        <v>1250</v>
      </c>
      <c r="L6245" s="6">
        <f>IFERROR(IF(INDEX(tProdutos[Desconto homologado],MATCH(tItens[[#This Row],[Produto]],tProdutos[Produto],0))="",DescontoPadrao,INDEX(tProdutos[Desconto homologado],MATCH(tItens[[#This Row],[Produto]],tProdutos[Produto],0))),DescontoPadrao)</f>
        <v>0.24332656063896899</v>
      </c>
      <c r="M6245" s="12">
        <f>tItens[[#This Row],[Valor]]*(1-tItens[[#This Row],[Desconto]])</f>
        <v>945.84179920128884</v>
      </c>
      <c r="N6245" t="str">
        <f>IFERROR(INDEX(tProdutos[Foco],MATCH(tItens[[#This Row],[Produto]],tProdutos[Produto],0)),"Não")</f>
        <v>Não</v>
      </c>
      <c r="O6245" t="str">
        <f>IFERROR(INDEX(tEditais[SRP],MATCH(tItens[[#This Row],[Edital]],tEditais[Edital],0)),"Não")</f>
        <v>Sim</v>
      </c>
      <c r="P6245" s="4">
        <f>IF(COUNTIFS(INDEX(tItens[Edital],1):tItens[[#This Row],[Edital]],tItens[[#This Row],[Edital]],INDEX(tItens[Produto],1):tItens[[#This Row],[Produto]],tItens[[#This Row],[Produto]])=1,1,0)</f>
        <v>1</v>
      </c>
    </row>
    <row r="6246" spans="1:16" x14ac:dyDescent="0.25">
      <c r="A6246" t="s">
        <v>2162</v>
      </c>
      <c r="B6246">
        <v>220</v>
      </c>
      <c r="C6246" t="s">
        <v>8988</v>
      </c>
      <c r="D6246" t="s">
        <v>156</v>
      </c>
      <c r="E6246" s="13">
        <v>10</v>
      </c>
      <c r="F6246" s="12">
        <v>12.6</v>
      </c>
      <c r="G6246" t="str">
        <f>IFERROR(INDEX(tEditais[Órgão],MATCH(tItens[[#This Row],[Edital]],tEditais[Edital],0)),"")</f>
        <v>MUNICIPIO DE CATANDUVAS</v>
      </c>
      <c r="H6246" t="str">
        <f>IFERROR(INDEX(tEditais[UF],MATCH(tItens[[#This Row],[Edital]],tEditais[Edital],0)),"")</f>
        <v>PR</v>
      </c>
      <c r="I6246" s="11">
        <f>IFERROR(INDEX(tEditais[Encerramento],MATCH(tItens[[#This Row],[Edital]],tEditais[Edital],0)),"")</f>
        <v>46311.375</v>
      </c>
      <c r="J6246" t="str">
        <f>IFERROR(INDEX(tProdutos[Classe],MATCH(tItens[[#This Row],[Produto]],tProdutos[Produto],0)),"produto não cadastrado")</f>
        <v>DISPUTADO</v>
      </c>
      <c r="K6246" s="12">
        <f>tItens[[#This Row],[Qtd]]*tItens[[#This Row],[Vlr unit]]</f>
        <v>126</v>
      </c>
      <c r="L6246" s="6">
        <f>IFERROR(IF(INDEX(tProdutos[Desconto homologado],MATCH(tItens[[#This Row],[Produto]],tProdutos[Produto],0))="",DescontoPadrao,INDEX(tProdutos[Desconto homologado],MATCH(tItens[[#This Row],[Produto]],tProdutos[Produto],0))),DescontoPadrao)</f>
        <v>0.27131852489802799</v>
      </c>
      <c r="M6246" s="12">
        <f>tItens[[#This Row],[Valor]]*(1-tItens[[#This Row],[Desconto]])</f>
        <v>91.813865862848473</v>
      </c>
      <c r="N6246" t="str">
        <f>IFERROR(INDEX(tProdutos[Foco],MATCH(tItens[[#This Row],[Produto]],tProdutos[Produto],0)),"Não")</f>
        <v>Não</v>
      </c>
      <c r="O6246" t="str">
        <f>IFERROR(INDEX(tEditais[SRP],MATCH(tItens[[#This Row],[Edital]],tEditais[Edital],0)),"Não")</f>
        <v>Sim</v>
      </c>
      <c r="P6246" s="4">
        <f>IF(COUNTIFS(INDEX(tItens[Edital],1):tItens[[#This Row],[Edital]],tItens[[#This Row],[Edital]],INDEX(tItens[Produto],1):tItens[[#This Row],[Produto]],tItens[[#This Row],[Produto]])=1,1,0)</f>
        <v>1</v>
      </c>
    </row>
    <row r="6247" spans="1:16" x14ac:dyDescent="0.25">
      <c r="A6247" t="s">
        <v>2162</v>
      </c>
      <c r="B6247">
        <v>223</v>
      </c>
      <c r="C6247" t="s">
        <v>8989</v>
      </c>
      <c r="D6247" t="s">
        <v>136</v>
      </c>
      <c r="E6247" s="13">
        <v>10</v>
      </c>
      <c r="F6247" s="12">
        <v>6.75</v>
      </c>
      <c r="G6247" t="str">
        <f>IFERROR(INDEX(tEditais[Órgão],MATCH(tItens[[#This Row],[Edital]],tEditais[Edital],0)),"")</f>
        <v>MUNICIPIO DE CATANDUVAS</v>
      </c>
      <c r="H6247" t="str">
        <f>IFERROR(INDEX(tEditais[UF],MATCH(tItens[[#This Row],[Edital]],tEditais[Edital],0)),"")</f>
        <v>PR</v>
      </c>
      <c r="I6247" s="11">
        <f>IFERROR(INDEX(tEditais[Encerramento],MATCH(tItens[[#This Row],[Edital]],tEditais[Edital],0)),"")</f>
        <v>46311.375</v>
      </c>
      <c r="J6247" t="str">
        <f>IFERROR(INDEX(tProdutos[Classe],MATCH(tItens[[#This Row],[Produto]],tProdutos[Produto],0)),"produto não cadastrado")</f>
        <v>DISPUTADO</v>
      </c>
      <c r="K6247" s="12">
        <f>tItens[[#This Row],[Qtd]]*tItens[[#This Row],[Vlr unit]]</f>
        <v>67.5</v>
      </c>
      <c r="L6247" s="6">
        <f>IFERROR(IF(INDEX(tProdutos[Desconto homologado],MATCH(tItens[[#This Row],[Produto]],tProdutos[Produto],0))="",DescontoPadrao,INDEX(tProdutos[Desconto homologado],MATCH(tItens[[#This Row],[Produto]],tProdutos[Produto],0))),DescontoPadrao)</f>
        <v>0.330646209370899</v>
      </c>
      <c r="M6247" s="12">
        <f>tItens[[#This Row],[Valor]]*(1-tItens[[#This Row],[Desconto]])</f>
        <v>45.181380867464313</v>
      </c>
      <c r="N6247" t="str">
        <f>IFERROR(INDEX(tProdutos[Foco],MATCH(tItens[[#This Row],[Produto]],tProdutos[Produto],0)),"Não")</f>
        <v>Não</v>
      </c>
      <c r="O6247" t="str">
        <f>IFERROR(INDEX(tEditais[SRP],MATCH(tItens[[#This Row],[Edital]],tEditais[Edital],0)),"Não")</f>
        <v>Sim</v>
      </c>
      <c r="P6247" s="4">
        <f>IF(COUNTIFS(INDEX(tItens[Edital],1):tItens[[#This Row],[Edital]],tItens[[#This Row],[Edital]],INDEX(tItens[Produto],1):tItens[[#This Row],[Produto]],tItens[[#This Row],[Produto]])=1,1,0)</f>
        <v>1</v>
      </c>
    </row>
    <row r="6248" spans="1:16" x14ac:dyDescent="0.25">
      <c r="A6248" t="s">
        <v>2162</v>
      </c>
      <c r="B6248">
        <v>224</v>
      </c>
      <c r="C6248" t="s">
        <v>8990</v>
      </c>
      <c r="D6248" t="s">
        <v>170</v>
      </c>
      <c r="E6248" s="13">
        <v>3</v>
      </c>
      <c r="F6248" s="12">
        <v>25.75</v>
      </c>
      <c r="G6248" t="str">
        <f>IFERROR(INDEX(tEditais[Órgão],MATCH(tItens[[#This Row],[Edital]],tEditais[Edital],0)),"")</f>
        <v>MUNICIPIO DE CATANDUVAS</v>
      </c>
      <c r="H6248" t="str">
        <f>IFERROR(INDEX(tEditais[UF],MATCH(tItens[[#This Row],[Edital]],tEditais[Edital],0)),"")</f>
        <v>PR</v>
      </c>
      <c r="I6248" s="11">
        <f>IFERROR(INDEX(tEditais[Encerramento],MATCH(tItens[[#This Row],[Edital]],tEditais[Edital],0)),"")</f>
        <v>46311.375</v>
      </c>
      <c r="J6248" t="str">
        <f>IFERROR(INDEX(tProdutos[Classe],MATCH(tItens[[#This Row],[Produto]],tProdutos[Produto],0)),"produto não cadastrado")</f>
        <v>DISPUTADO</v>
      </c>
      <c r="K6248" s="12">
        <f>tItens[[#This Row],[Qtd]]*tItens[[#This Row],[Vlr unit]]</f>
        <v>77.25</v>
      </c>
      <c r="L6248" s="6">
        <f>IFERROR(IF(INDEX(tProdutos[Desconto homologado],MATCH(tItens[[#This Row],[Produto]],tProdutos[Produto],0))="",DescontoPadrao,INDEX(tProdutos[Desconto homologado],MATCH(tItens[[#This Row],[Produto]],tProdutos[Produto],0))),DescontoPadrao)</f>
        <v>0.36</v>
      </c>
      <c r="M6248" s="12">
        <f>tItens[[#This Row],[Valor]]*(1-tItens[[#This Row],[Desconto]])</f>
        <v>49.44</v>
      </c>
      <c r="N6248" t="str">
        <f>IFERROR(INDEX(tProdutos[Foco],MATCH(tItens[[#This Row],[Produto]],tProdutos[Produto],0)),"Não")</f>
        <v>Sim</v>
      </c>
      <c r="O6248" t="str">
        <f>IFERROR(INDEX(tEditais[SRP],MATCH(tItens[[#This Row],[Edital]],tEditais[Edital],0)),"Não")</f>
        <v>Sim</v>
      </c>
      <c r="P6248" s="4">
        <f>IF(COUNTIFS(INDEX(tItens[Edital],1):tItens[[#This Row],[Edital]],tItens[[#This Row],[Edital]],INDEX(tItens[Produto],1):tItens[[#This Row],[Produto]],tItens[[#This Row],[Produto]])=1,1,0)</f>
        <v>1</v>
      </c>
    </row>
    <row r="6249" spans="1:16" x14ac:dyDescent="0.25">
      <c r="A6249" t="s">
        <v>2162</v>
      </c>
      <c r="B6249">
        <v>225</v>
      </c>
      <c r="C6249" t="s">
        <v>8991</v>
      </c>
      <c r="D6249" t="s">
        <v>170</v>
      </c>
      <c r="E6249" s="13">
        <v>3</v>
      </c>
      <c r="F6249" s="12">
        <v>28.35</v>
      </c>
      <c r="G6249" t="str">
        <f>IFERROR(INDEX(tEditais[Órgão],MATCH(tItens[[#This Row],[Edital]],tEditais[Edital],0)),"")</f>
        <v>MUNICIPIO DE CATANDUVAS</v>
      </c>
      <c r="H6249" t="str">
        <f>IFERROR(INDEX(tEditais[UF],MATCH(tItens[[#This Row],[Edital]],tEditais[Edital],0)),"")</f>
        <v>PR</v>
      </c>
      <c r="I6249" s="11">
        <f>IFERROR(INDEX(tEditais[Encerramento],MATCH(tItens[[#This Row],[Edital]],tEditais[Edital],0)),"")</f>
        <v>46311.375</v>
      </c>
      <c r="J6249" t="str">
        <f>IFERROR(INDEX(tProdutos[Classe],MATCH(tItens[[#This Row],[Produto]],tProdutos[Produto],0)),"produto não cadastrado")</f>
        <v>DISPUTADO</v>
      </c>
      <c r="K6249" s="12">
        <f>tItens[[#This Row],[Qtd]]*tItens[[#This Row],[Vlr unit]]</f>
        <v>85.050000000000011</v>
      </c>
      <c r="L6249" s="6">
        <f>IFERROR(IF(INDEX(tProdutos[Desconto homologado],MATCH(tItens[[#This Row],[Produto]],tProdutos[Produto],0))="",DescontoPadrao,INDEX(tProdutos[Desconto homologado],MATCH(tItens[[#This Row],[Produto]],tProdutos[Produto],0))),DescontoPadrao)</f>
        <v>0.36</v>
      </c>
      <c r="M6249" s="12">
        <f>tItens[[#This Row],[Valor]]*(1-tItens[[#This Row],[Desconto]])</f>
        <v>54.432000000000009</v>
      </c>
      <c r="N6249" t="str">
        <f>IFERROR(INDEX(tProdutos[Foco],MATCH(tItens[[#This Row],[Produto]],tProdutos[Produto],0)),"Não")</f>
        <v>Sim</v>
      </c>
      <c r="O6249" t="str">
        <f>IFERROR(INDEX(tEditais[SRP],MATCH(tItens[[#This Row],[Edital]],tEditais[Edital],0)),"Não")</f>
        <v>Sim</v>
      </c>
      <c r="P6249" s="4">
        <f>IF(COUNTIFS(INDEX(tItens[Edital],1):tItens[[#This Row],[Edital]],tItens[[#This Row],[Edital]],INDEX(tItens[Produto],1):tItens[[#This Row],[Produto]],tItens[[#This Row],[Produto]])=1,1,0)</f>
        <v>0</v>
      </c>
    </row>
    <row r="6250" spans="1:16" x14ac:dyDescent="0.25">
      <c r="A6250" t="s">
        <v>2162</v>
      </c>
      <c r="B6250">
        <v>226</v>
      </c>
      <c r="C6250" t="s">
        <v>8992</v>
      </c>
      <c r="D6250" t="s">
        <v>170</v>
      </c>
      <c r="E6250" s="13">
        <v>3</v>
      </c>
      <c r="F6250" s="12">
        <v>36.65</v>
      </c>
      <c r="G6250" t="str">
        <f>IFERROR(INDEX(tEditais[Órgão],MATCH(tItens[[#This Row],[Edital]],tEditais[Edital],0)),"")</f>
        <v>MUNICIPIO DE CATANDUVAS</v>
      </c>
      <c r="H6250" t="str">
        <f>IFERROR(INDEX(tEditais[UF],MATCH(tItens[[#This Row],[Edital]],tEditais[Edital],0)),"")</f>
        <v>PR</v>
      </c>
      <c r="I6250" s="11">
        <f>IFERROR(INDEX(tEditais[Encerramento],MATCH(tItens[[#This Row],[Edital]],tEditais[Edital],0)),"")</f>
        <v>46311.375</v>
      </c>
      <c r="J6250" t="str">
        <f>IFERROR(INDEX(tProdutos[Classe],MATCH(tItens[[#This Row],[Produto]],tProdutos[Produto],0)),"produto não cadastrado")</f>
        <v>DISPUTADO</v>
      </c>
      <c r="K6250" s="12">
        <f>tItens[[#This Row],[Qtd]]*tItens[[#This Row],[Vlr unit]]</f>
        <v>109.94999999999999</v>
      </c>
      <c r="L6250" s="6">
        <f>IFERROR(IF(INDEX(tProdutos[Desconto homologado],MATCH(tItens[[#This Row],[Produto]],tProdutos[Produto],0))="",DescontoPadrao,INDEX(tProdutos[Desconto homologado],MATCH(tItens[[#This Row],[Produto]],tProdutos[Produto],0))),DescontoPadrao)</f>
        <v>0.36</v>
      </c>
      <c r="M6250" s="12">
        <f>tItens[[#This Row],[Valor]]*(1-tItens[[#This Row],[Desconto]])</f>
        <v>70.367999999999995</v>
      </c>
      <c r="N6250" t="str">
        <f>IFERROR(INDEX(tProdutos[Foco],MATCH(tItens[[#This Row],[Produto]],tProdutos[Produto],0)),"Não")</f>
        <v>Sim</v>
      </c>
      <c r="O6250" t="str">
        <f>IFERROR(INDEX(tEditais[SRP],MATCH(tItens[[#This Row],[Edital]],tEditais[Edital],0)),"Não")</f>
        <v>Sim</v>
      </c>
      <c r="P6250" s="4">
        <f>IF(COUNTIFS(INDEX(tItens[Edital],1):tItens[[#This Row],[Edital]],tItens[[#This Row],[Edital]],INDEX(tItens[Produto],1):tItens[[#This Row],[Produto]],tItens[[#This Row],[Produto]])=1,1,0)</f>
        <v>0</v>
      </c>
    </row>
    <row r="6251" spans="1:16" x14ac:dyDescent="0.25">
      <c r="A6251" t="s">
        <v>2166</v>
      </c>
      <c r="B6251">
        <v>6</v>
      </c>
      <c r="C6251" t="s">
        <v>8993</v>
      </c>
      <c r="D6251" t="s">
        <v>71</v>
      </c>
      <c r="E6251" s="13">
        <v>17500</v>
      </c>
      <c r="F6251" s="12">
        <v>0.26</v>
      </c>
      <c r="G6251" t="str">
        <f>IFERROR(INDEX(tEditais[Órgão],MATCH(tItens[[#This Row],[Edital]],tEditais[Edital],0)),"")</f>
        <v>MUNICIPIO DE LONDRINA</v>
      </c>
      <c r="H6251" t="str">
        <f>IFERROR(INDEX(tEditais[UF],MATCH(tItens[[#This Row],[Edital]],tEditais[Edital],0)),"")</f>
        <v>PR</v>
      </c>
      <c r="I6251" s="11">
        <f>IFERROR(INDEX(tEditais[Encerramento],MATCH(tItens[[#This Row],[Edital]],tEditais[Edital],0)),"")</f>
        <v>46311.541666666664</v>
      </c>
      <c r="J6251" t="str">
        <f>IFERROR(INDEX(tProdutos[Classe],MATCH(tItens[[#This Row],[Produto]],tProdutos[Produto],0)),"produto não cadastrado")</f>
        <v>NÚCLEO</v>
      </c>
      <c r="K6251" s="12">
        <f>tItens[[#This Row],[Qtd]]*tItens[[#This Row],[Vlr unit]]</f>
        <v>4550</v>
      </c>
      <c r="L6251" s="6">
        <f>IFERROR(IF(INDEX(tProdutos[Desconto homologado],MATCH(tItens[[#This Row],[Produto]],tProdutos[Produto],0))="",DescontoPadrao,INDEX(tProdutos[Desconto homologado],MATCH(tItens[[#This Row],[Produto]],tProdutos[Produto],0))),DescontoPadrao)</f>
        <v>0.44981412639405199</v>
      </c>
      <c r="M6251" s="12">
        <f>tItens[[#This Row],[Valor]]*(1-tItens[[#This Row],[Desconto]])</f>
        <v>2503.345724907063</v>
      </c>
      <c r="N6251" t="str">
        <f>IFERROR(INDEX(tProdutos[Foco],MATCH(tItens[[#This Row],[Produto]],tProdutos[Produto],0)),"Não")</f>
        <v>Não</v>
      </c>
      <c r="O6251" t="str">
        <f>IFERROR(INDEX(tEditais[SRP],MATCH(tItens[[#This Row],[Edital]],tEditais[Edital],0)),"Não")</f>
        <v>Sim</v>
      </c>
      <c r="P6251" s="4">
        <f>IF(COUNTIFS(INDEX(tItens[Edital],1):tItens[[#This Row],[Edital]],tItens[[#This Row],[Edital]],INDEX(tItens[Produto],1):tItens[[#This Row],[Produto]],tItens[[#This Row],[Produto]])=1,1,0)</f>
        <v>1</v>
      </c>
    </row>
    <row r="6252" spans="1:16" x14ac:dyDescent="0.25">
      <c r="A6252" t="s">
        <v>2166</v>
      </c>
      <c r="B6252">
        <v>36</v>
      </c>
      <c r="C6252" t="s">
        <v>8994</v>
      </c>
      <c r="D6252" t="s">
        <v>461</v>
      </c>
      <c r="E6252" s="13">
        <v>1008</v>
      </c>
      <c r="F6252" s="12">
        <v>1.43</v>
      </c>
      <c r="G6252" t="str">
        <f>IFERROR(INDEX(tEditais[Órgão],MATCH(tItens[[#This Row],[Edital]],tEditais[Edital],0)),"")</f>
        <v>MUNICIPIO DE LONDRINA</v>
      </c>
      <c r="H6252" t="str">
        <f>IFERROR(INDEX(tEditais[UF],MATCH(tItens[[#This Row],[Edital]],tEditais[Edital],0)),"")</f>
        <v>PR</v>
      </c>
      <c r="I6252" s="11">
        <f>IFERROR(INDEX(tEditais[Encerramento],MATCH(tItens[[#This Row],[Edital]],tEditais[Edital],0)),"")</f>
        <v>46311.541666666664</v>
      </c>
      <c r="J6252" t="str">
        <f>IFERROR(INDEX(tProdutos[Classe],MATCH(tItens[[#This Row],[Produto]],tProdutos[Produto],0)),"produto não cadastrado")</f>
        <v>FILA REBASE</v>
      </c>
      <c r="K6252" s="12">
        <f>tItens[[#This Row],[Qtd]]*tItens[[#This Row],[Vlr unit]]</f>
        <v>1441.4399999999998</v>
      </c>
      <c r="L6252" s="6">
        <f>IFERROR(IF(INDEX(tProdutos[Desconto homologado],MATCH(tItens[[#This Row],[Produto]],tProdutos[Produto],0))="",DescontoPadrao,INDEX(tProdutos[Desconto homologado],MATCH(tItens[[#This Row],[Produto]],tProdutos[Produto],0))),DescontoPadrao)</f>
        <v>0.44096385542168698</v>
      </c>
      <c r="M6252" s="12">
        <f>tItens[[#This Row],[Valor]]*(1-tItens[[#This Row],[Desconto]])</f>
        <v>805.81706024096331</v>
      </c>
      <c r="N6252" t="str">
        <f>IFERROR(INDEX(tProdutos[Foco],MATCH(tItens[[#This Row],[Produto]],tProdutos[Produto],0)),"Não")</f>
        <v>Não</v>
      </c>
      <c r="O6252" t="str">
        <f>IFERROR(INDEX(tEditais[SRP],MATCH(tItens[[#This Row],[Edital]],tEditais[Edital],0)),"Não")</f>
        <v>Sim</v>
      </c>
      <c r="P6252" s="4">
        <f>IF(COUNTIFS(INDEX(tItens[Edital],1):tItens[[#This Row],[Edital]],tItens[[#This Row],[Edital]],INDEX(tItens[Produto],1):tItens[[#This Row],[Produto]],tItens[[#This Row],[Produto]])=1,1,0)</f>
        <v>1</v>
      </c>
    </row>
    <row r="6253" spans="1:16" x14ac:dyDescent="0.25">
      <c r="A6253" t="s">
        <v>2170</v>
      </c>
      <c r="B6253">
        <v>6</v>
      </c>
      <c r="C6253" t="s">
        <v>3239</v>
      </c>
      <c r="D6253" t="s">
        <v>71</v>
      </c>
      <c r="E6253" s="13">
        <v>17500</v>
      </c>
      <c r="F6253" s="12">
        <v>0.26</v>
      </c>
      <c r="G6253" t="str">
        <f>IFERROR(INDEX(tEditais[Órgão],MATCH(tItens[[#This Row],[Edital]],tEditais[Edital],0)),"")</f>
        <v>MUNICIPIO DE LONDRINA</v>
      </c>
      <c r="H6253" t="str">
        <f>IFERROR(INDEX(tEditais[UF],MATCH(tItens[[#This Row],[Edital]],tEditais[Edital],0)),"")</f>
        <v>PR</v>
      </c>
      <c r="I6253" s="11">
        <f>IFERROR(INDEX(tEditais[Encerramento],MATCH(tItens[[#This Row],[Edital]],tEditais[Edital],0)),"")</f>
        <v>46311.541666666664</v>
      </c>
      <c r="J6253" t="str">
        <f>IFERROR(INDEX(tProdutos[Classe],MATCH(tItens[[#This Row],[Produto]],tProdutos[Produto],0)),"produto não cadastrado")</f>
        <v>NÚCLEO</v>
      </c>
      <c r="K6253" s="12">
        <f>tItens[[#This Row],[Qtd]]*tItens[[#This Row],[Vlr unit]]</f>
        <v>4550</v>
      </c>
      <c r="L6253" s="6">
        <f>IFERROR(IF(INDEX(tProdutos[Desconto homologado],MATCH(tItens[[#This Row],[Produto]],tProdutos[Produto],0))="",DescontoPadrao,INDEX(tProdutos[Desconto homologado],MATCH(tItens[[#This Row],[Produto]],tProdutos[Produto],0))),DescontoPadrao)</f>
        <v>0.44981412639405199</v>
      </c>
      <c r="M6253" s="12">
        <f>tItens[[#This Row],[Valor]]*(1-tItens[[#This Row],[Desconto]])</f>
        <v>2503.345724907063</v>
      </c>
      <c r="N6253" t="str">
        <f>IFERROR(INDEX(tProdutos[Foco],MATCH(tItens[[#This Row],[Produto]],tProdutos[Produto],0)),"Não")</f>
        <v>Não</v>
      </c>
      <c r="O6253" t="str">
        <f>IFERROR(INDEX(tEditais[SRP],MATCH(tItens[[#This Row],[Edital]],tEditais[Edital],0)),"Não")</f>
        <v>Sim</v>
      </c>
      <c r="P6253" s="4">
        <f>IF(COUNTIFS(INDEX(tItens[Edital],1):tItens[[#This Row],[Edital]],tItens[[#This Row],[Edital]],INDEX(tItens[Produto],1):tItens[[#This Row],[Produto]],tItens[[#This Row],[Produto]])=1,1,0)</f>
        <v>1</v>
      </c>
    </row>
    <row r="6254" spans="1:16" x14ac:dyDescent="0.25">
      <c r="A6254" t="s">
        <v>2170</v>
      </c>
      <c r="B6254">
        <v>36</v>
      </c>
      <c r="C6254" t="s">
        <v>8995</v>
      </c>
      <c r="D6254" t="s">
        <v>461</v>
      </c>
      <c r="E6254" s="13">
        <v>1008</v>
      </c>
      <c r="F6254" s="12">
        <v>1.43</v>
      </c>
      <c r="G6254" t="str">
        <f>IFERROR(INDEX(tEditais[Órgão],MATCH(tItens[[#This Row],[Edital]],tEditais[Edital],0)),"")</f>
        <v>MUNICIPIO DE LONDRINA</v>
      </c>
      <c r="H6254" t="str">
        <f>IFERROR(INDEX(tEditais[UF],MATCH(tItens[[#This Row],[Edital]],tEditais[Edital],0)),"")</f>
        <v>PR</v>
      </c>
      <c r="I6254" s="11">
        <f>IFERROR(INDEX(tEditais[Encerramento],MATCH(tItens[[#This Row],[Edital]],tEditais[Edital],0)),"")</f>
        <v>46311.541666666664</v>
      </c>
      <c r="J6254" t="str">
        <f>IFERROR(INDEX(tProdutos[Classe],MATCH(tItens[[#This Row],[Produto]],tProdutos[Produto],0)),"produto não cadastrado")</f>
        <v>FILA REBASE</v>
      </c>
      <c r="K6254" s="12">
        <f>tItens[[#This Row],[Qtd]]*tItens[[#This Row],[Vlr unit]]</f>
        <v>1441.4399999999998</v>
      </c>
      <c r="L6254" s="6">
        <f>IFERROR(IF(INDEX(tProdutos[Desconto homologado],MATCH(tItens[[#This Row],[Produto]],tProdutos[Produto],0))="",DescontoPadrao,INDEX(tProdutos[Desconto homologado],MATCH(tItens[[#This Row],[Produto]],tProdutos[Produto],0))),DescontoPadrao)</f>
        <v>0.44096385542168698</v>
      </c>
      <c r="M6254" s="12">
        <f>tItens[[#This Row],[Valor]]*(1-tItens[[#This Row],[Desconto]])</f>
        <v>805.81706024096331</v>
      </c>
      <c r="N6254" t="str">
        <f>IFERROR(INDEX(tProdutos[Foco],MATCH(tItens[[#This Row],[Produto]],tProdutos[Produto],0)),"Não")</f>
        <v>Não</v>
      </c>
      <c r="O6254" t="str">
        <f>IFERROR(INDEX(tEditais[SRP],MATCH(tItens[[#This Row],[Edital]],tEditais[Edital],0)),"Não")</f>
        <v>Sim</v>
      </c>
      <c r="P6254" s="4">
        <f>IF(COUNTIFS(INDEX(tItens[Edital],1):tItens[[#This Row],[Edital]],tItens[[#This Row],[Edital]],INDEX(tItens[Produto],1):tItens[[#This Row],[Produto]],tItens[[#This Row],[Produto]])=1,1,0)</f>
        <v>1</v>
      </c>
    </row>
    <row r="6255" spans="1:16" x14ac:dyDescent="0.25">
      <c r="A6255" t="s">
        <v>2170</v>
      </c>
      <c r="B6255">
        <v>37</v>
      </c>
      <c r="C6255" t="s">
        <v>8996</v>
      </c>
      <c r="D6255" t="s">
        <v>375</v>
      </c>
      <c r="E6255" s="13">
        <v>2520</v>
      </c>
      <c r="F6255" s="12">
        <v>2.0299999999999998</v>
      </c>
      <c r="G6255" t="str">
        <f>IFERROR(INDEX(tEditais[Órgão],MATCH(tItens[[#This Row],[Edital]],tEditais[Edital],0)),"")</f>
        <v>MUNICIPIO DE LONDRINA</v>
      </c>
      <c r="H6255" t="str">
        <f>IFERROR(INDEX(tEditais[UF],MATCH(tItens[[#This Row],[Edital]],tEditais[Edital],0)),"")</f>
        <v>PR</v>
      </c>
      <c r="I6255" s="11">
        <f>IFERROR(INDEX(tEditais[Encerramento],MATCH(tItens[[#This Row],[Edital]],tEditais[Edital],0)),"")</f>
        <v>46311.541666666664</v>
      </c>
      <c r="J6255" t="str">
        <f>IFERROR(INDEX(tProdutos[Classe],MATCH(tItens[[#This Row],[Produto]],tProdutos[Produto],0)),"produto não cadastrado")</f>
        <v>FORA</v>
      </c>
      <c r="K6255" s="12">
        <f>tItens[[#This Row],[Qtd]]*tItens[[#This Row],[Vlr unit]]</f>
        <v>5115.5999999999995</v>
      </c>
      <c r="L6255" s="6">
        <f>IFERROR(IF(INDEX(tProdutos[Desconto homologado],MATCH(tItens[[#This Row],[Produto]],tProdutos[Produto],0))="",DescontoPadrao,INDEX(tProdutos[Desconto homologado],MATCH(tItens[[#This Row],[Produto]],tProdutos[Produto],0))),DescontoPadrao)</f>
        <v>0.25005895299481201</v>
      </c>
      <c r="M6255" s="12">
        <f>tItens[[#This Row],[Valor]]*(1-tItens[[#This Row],[Desconto]])</f>
        <v>3836.3984200597388</v>
      </c>
      <c r="N6255" t="str">
        <f>IFERROR(INDEX(tProdutos[Foco],MATCH(tItens[[#This Row],[Produto]],tProdutos[Produto],0)),"Não")</f>
        <v>Não</v>
      </c>
      <c r="O6255" t="str">
        <f>IFERROR(INDEX(tEditais[SRP],MATCH(tItens[[#This Row],[Edital]],tEditais[Edital],0)),"Não")</f>
        <v>Sim</v>
      </c>
      <c r="P6255" s="4">
        <f>IF(COUNTIFS(INDEX(tItens[Edital],1):tItens[[#This Row],[Edital]],tItens[[#This Row],[Edital]],INDEX(tItens[Produto],1):tItens[[#This Row],[Produto]],tItens[[#This Row],[Produto]])=1,1,0)</f>
        <v>1</v>
      </c>
    </row>
    <row r="6256" spans="1:16" x14ac:dyDescent="0.25">
      <c r="A6256" t="s">
        <v>2170</v>
      </c>
      <c r="B6256">
        <v>38</v>
      </c>
      <c r="C6256" t="s">
        <v>8997</v>
      </c>
      <c r="D6256" t="s">
        <v>375</v>
      </c>
      <c r="E6256" s="13">
        <v>1392</v>
      </c>
      <c r="F6256" s="12">
        <v>1.44</v>
      </c>
      <c r="G6256" t="str">
        <f>IFERROR(INDEX(tEditais[Órgão],MATCH(tItens[[#This Row],[Edital]],tEditais[Edital],0)),"")</f>
        <v>MUNICIPIO DE LONDRINA</v>
      </c>
      <c r="H6256" t="str">
        <f>IFERROR(INDEX(tEditais[UF],MATCH(tItens[[#This Row],[Edital]],tEditais[Edital],0)),"")</f>
        <v>PR</v>
      </c>
      <c r="I6256" s="11">
        <f>IFERROR(INDEX(tEditais[Encerramento],MATCH(tItens[[#This Row],[Edital]],tEditais[Edital],0)),"")</f>
        <v>46311.541666666664</v>
      </c>
      <c r="J6256" t="str">
        <f>IFERROR(INDEX(tProdutos[Classe],MATCH(tItens[[#This Row],[Produto]],tProdutos[Produto],0)),"produto não cadastrado")</f>
        <v>FORA</v>
      </c>
      <c r="K6256" s="12">
        <f>tItens[[#This Row],[Qtd]]*tItens[[#This Row],[Vlr unit]]</f>
        <v>2004.48</v>
      </c>
      <c r="L6256" s="6">
        <f>IFERROR(IF(INDEX(tProdutos[Desconto homologado],MATCH(tItens[[#This Row],[Produto]],tProdutos[Produto],0))="",DescontoPadrao,INDEX(tProdutos[Desconto homologado],MATCH(tItens[[#This Row],[Produto]],tProdutos[Produto],0))),DescontoPadrao)</f>
        <v>0.25005895299481201</v>
      </c>
      <c r="M6256" s="12">
        <f>tItens[[#This Row],[Valor]]*(1-tItens[[#This Row],[Desconto]])</f>
        <v>1503.2418299009591</v>
      </c>
      <c r="N6256" t="str">
        <f>IFERROR(INDEX(tProdutos[Foco],MATCH(tItens[[#This Row],[Produto]],tProdutos[Produto],0)),"Não")</f>
        <v>Não</v>
      </c>
      <c r="O6256" t="str">
        <f>IFERROR(INDEX(tEditais[SRP],MATCH(tItens[[#This Row],[Edital]],tEditais[Edital],0)),"Não")</f>
        <v>Sim</v>
      </c>
      <c r="P6256" s="4">
        <f>IF(COUNTIFS(INDEX(tItens[Edital],1):tItens[[#This Row],[Edital]],tItens[[#This Row],[Edital]],INDEX(tItens[Produto],1):tItens[[#This Row],[Produto]],tItens[[#This Row],[Produto]])=1,1,0)</f>
        <v>0</v>
      </c>
    </row>
    <row r="6257" spans="1:16" x14ac:dyDescent="0.25">
      <c r="A6257" t="s">
        <v>2173</v>
      </c>
      <c r="B6257">
        <v>25</v>
      </c>
      <c r="C6257" t="s">
        <v>8998</v>
      </c>
      <c r="D6257" t="s">
        <v>467</v>
      </c>
      <c r="E6257" s="13">
        <v>10</v>
      </c>
      <c r="F6257" s="12">
        <v>5.17</v>
      </c>
      <c r="G6257" t="str">
        <f>IFERROR(INDEX(tEditais[Órgão],MATCH(tItens[[#This Row],[Edital]],tEditais[Edital],0)),"")</f>
        <v>FUNDACAO MUNICIPAL DE SAUDE PUBLICA DE PAULO FRONTIN</v>
      </c>
      <c r="H6257" t="str">
        <f>IFERROR(INDEX(tEditais[UF],MATCH(tItens[[#This Row],[Edital]],tEditais[Edital],0)),"")</f>
        <v>PR</v>
      </c>
      <c r="I6257" s="11">
        <f>IFERROR(INDEX(tEditais[Encerramento],MATCH(tItens[[#This Row],[Edital]],tEditais[Edital],0)),"")</f>
        <v>46311.5625</v>
      </c>
      <c r="J6257" t="str">
        <f>IFERROR(INDEX(tProdutos[Classe],MATCH(tItens[[#This Row],[Produto]],tProdutos[Produto],0)),"produto não cadastrado")</f>
        <v>FILA REBASE</v>
      </c>
      <c r="K6257" s="12">
        <f>tItens[[#This Row],[Qtd]]*tItens[[#This Row],[Vlr unit]]</f>
        <v>51.7</v>
      </c>
      <c r="L6257" s="6">
        <f>IFERROR(IF(INDEX(tProdutos[Desconto homologado],MATCH(tItens[[#This Row],[Produto]],tProdutos[Produto],0))="",DescontoPadrao,INDEX(tProdutos[Desconto homologado],MATCH(tItens[[#This Row],[Produto]],tProdutos[Produto],0))),DescontoPadrao)</f>
        <v>0.25007144898542499</v>
      </c>
      <c r="M6257" s="12">
        <f>tItens[[#This Row],[Valor]]*(1-tItens[[#This Row],[Desconto]])</f>
        <v>38.771306087453532</v>
      </c>
      <c r="N6257" t="str">
        <f>IFERROR(INDEX(tProdutos[Foco],MATCH(tItens[[#This Row],[Produto]],tProdutos[Produto],0)),"Não")</f>
        <v>Não</v>
      </c>
      <c r="O6257" t="str">
        <f>IFERROR(INDEX(tEditais[SRP],MATCH(tItens[[#This Row],[Edital]],tEditais[Edital],0)),"Não")</f>
        <v>Não</v>
      </c>
      <c r="P6257" s="4">
        <f>IF(COUNTIFS(INDEX(tItens[Edital],1):tItens[[#This Row],[Edital]],tItens[[#This Row],[Edital]],INDEX(tItens[Produto],1):tItens[[#This Row],[Produto]],tItens[[#This Row],[Produto]])=1,1,0)</f>
        <v>1</v>
      </c>
    </row>
    <row r="6258" spans="1:16" x14ac:dyDescent="0.25">
      <c r="A6258" t="s">
        <v>2178</v>
      </c>
      <c r="B6258">
        <v>29</v>
      </c>
      <c r="C6258" t="s">
        <v>8999</v>
      </c>
      <c r="D6258" t="s">
        <v>494</v>
      </c>
      <c r="E6258" s="13">
        <v>30</v>
      </c>
      <c r="F6258" s="12">
        <v>56.74</v>
      </c>
      <c r="G6258" t="str">
        <f>IFERROR(INDEX(tEditais[Órgão],MATCH(tItens[[#This Row],[Edital]],tEditais[Edital],0)),"")</f>
        <v>MUNICIPIO DE URAI</v>
      </c>
      <c r="H6258" t="str">
        <f>IFERROR(INDEX(tEditais[UF],MATCH(tItens[[#This Row],[Edital]],tEditais[Edital],0)),"")</f>
        <v>PR</v>
      </c>
      <c r="I6258" s="11">
        <f>IFERROR(INDEX(tEditais[Encerramento],MATCH(tItens[[#This Row],[Edital]],tEditais[Edital],0)),"")</f>
        <v>46314.354166666664</v>
      </c>
      <c r="J6258" t="str">
        <f>IFERROR(INDEX(tProdutos[Classe],MATCH(tItens[[#This Row],[Produto]],tProdutos[Produto],0)),"produto não cadastrado")</f>
        <v>FILA REBASE</v>
      </c>
      <c r="K6258" s="12">
        <f>tItens[[#This Row],[Qtd]]*tItens[[#This Row],[Vlr unit]]</f>
        <v>1702.2</v>
      </c>
      <c r="L6258" s="6">
        <f>IFERROR(IF(INDEX(tProdutos[Desconto homologado],MATCH(tItens[[#This Row],[Produto]],tProdutos[Produto],0))="",DescontoPadrao,INDEX(tProdutos[Desconto homologado],MATCH(tItens[[#This Row],[Produto]],tProdutos[Produto],0))),DescontoPadrao)</f>
        <v>0.253736324829619</v>
      </c>
      <c r="M6258" s="12">
        <f>tItens[[#This Row],[Valor]]*(1-tItens[[#This Row],[Desconto]])</f>
        <v>1270.2900278750226</v>
      </c>
      <c r="N6258" t="str">
        <f>IFERROR(INDEX(tProdutos[Foco],MATCH(tItens[[#This Row],[Produto]],tProdutos[Produto],0)),"Não")</f>
        <v>Não</v>
      </c>
      <c r="O6258" t="str">
        <f>IFERROR(INDEX(tEditais[SRP],MATCH(tItens[[#This Row],[Edital]],tEditais[Edital],0)),"Não")</f>
        <v>Não</v>
      </c>
      <c r="P6258" s="4">
        <f>IF(COUNTIFS(INDEX(tItens[Edital],1):tItens[[#This Row],[Edital]],tItens[[#This Row],[Edital]],INDEX(tItens[Produto],1):tItens[[#This Row],[Produto]],tItens[[#This Row],[Produto]])=1,1,0)</f>
        <v>1</v>
      </c>
    </row>
    <row r="6259" spans="1:16" x14ac:dyDescent="0.25">
      <c r="A6259" t="s">
        <v>2178</v>
      </c>
      <c r="B6259">
        <v>99</v>
      </c>
      <c r="C6259" t="s">
        <v>9000</v>
      </c>
      <c r="D6259" t="s">
        <v>144</v>
      </c>
      <c r="E6259" s="13">
        <v>100</v>
      </c>
      <c r="F6259" s="12">
        <v>6.88</v>
      </c>
      <c r="G6259" t="str">
        <f>IFERROR(INDEX(tEditais[Órgão],MATCH(tItens[[#This Row],[Edital]],tEditais[Edital],0)),"")</f>
        <v>MUNICIPIO DE URAI</v>
      </c>
      <c r="H6259" t="str">
        <f>IFERROR(INDEX(tEditais[UF],MATCH(tItens[[#This Row],[Edital]],tEditais[Edital],0)),"")</f>
        <v>PR</v>
      </c>
      <c r="I6259" s="11">
        <f>IFERROR(INDEX(tEditais[Encerramento],MATCH(tItens[[#This Row],[Edital]],tEditais[Edital],0)),"")</f>
        <v>46314.354166666664</v>
      </c>
      <c r="J6259" t="str">
        <f>IFERROR(INDEX(tProdutos[Classe],MATCH(tItens[[#This Row],[Produto]],tProdutos[Produto],0)),"produto não cadastrado")</f>
        <v>DISPUTADO</v>
      </c>
      <c r="K6259" s="12">
        <f>tItens[[#This Row],[Qtd]]*tItens[[#This Row],[Vlr unit]]</f>
        <v>688</v>
      </c>
      <c r="L6259" s="6">
        <f>IFERROR(IF(INDEX(tProdutos[Desconto homologado],MATCH(tItens[[#This Row],[Produto]],tProdutos[Produto],0))="",DescontoPadrao,INDEX(tProdutos[Desconto homologado],MATCH(tItens[[#This Row],[Produto]],tProdutos[Produto],0))),DescontoPadrao)</f>
        <v>0.371428571428571</v>
      </c>
      <c r="M6259" s="12">
        <f>tItens[[#This Row],[Valor]]*(1-tItens[[#This Row],[Desconto]])</f>
        <v>432.45714285714314</v>
      </c>
      <c r="N6259" t="str">
        <f>IFERROR(INDEX(tProdutos[Foco],MATCH(tItens[[#This Row],[Produto]],tProdutos[Produto],0)),"Não")</f>
        <v>Não</v>
      </c>
      <c r="O6259" t="str">
        <f>IFERROR(INDEX(tEditais[SRP],MATCH(tItens[[#This Row],[Edital]],tEditais[Edital],0)),"Não")</f>
        <v>Não</v>
      </c>
      <c r="P6259" s="4">
        <f>IF(COUNTIFS(INDEX(tItens[Edital],1):tItens[[#This Row],[Edital]],tItens[[#This Row],[Edital]],INDEX(tItens[Produto],1):tItens[[#This Row],[Produto]],tItens[[#This Row],[Produto]])=1,1,0)</f>
        <v>1</v>
      </c>
    </row>
    <row r="6260" spans="1:16" x14ac:dyDescent="0.25">
      <c r="A6260" t="s">
        <v>2178</v>
      </c>
      <c r="B6260">
        <v>107</v>
      </c>
      <c r="C6260" t="s">
        <v>9001</v>
      </c>
      <c r="D6260" t="s">
        <v>331</v>
      </c>
      <c r="E6260" s="13">
        <v>500</v>
      </c>
      <c r="F6260" s="12">
        <v>3.49</v>
      </c>
      <c r="G6260" t="str">
        <f>IFERROR(INDEX(tEditais[Órgão],MATCH(tItens[[#This Row],[Edital]],tEditais[Edital],0)),"")</f>
        <v>MUNICIPIO DE URAI</v>
      </c>
      <c r="H6260" t="str">
        <f>IFERROR(INDEX(tEditais[UF],MATCH(tItens[[#This Row],[Edital]],tEditais[Edital],0)),"")</f>
        <v>PR</v>
      </c>
      <c r="I6260" s="11">
        <f>IFERROR(INDEX(tEditais[Encerramento],MATCH(tItens[[#This Row],[Edital]],tEditais[Edital],0)),"")</f>
        <v>46314.354166666664</v>
      </c>
      <c r="J6260" t="str">
        <f>IFERROR(INDEX(tProdutos[Classe],MATCH(tItens[[#This Row],[Produto]],tProdutos[Produto],0)),"produto não cadastrado")</f>
        <v>FORA</v>
      </c>
      <c r="K6260" s="12">
        <f>tItens[[#This Row],[Qtd]]*tItens[[#This Row],[Vlr unit]]</f>
        <v>1745</v>
      </c>
      <c r="L6260" s="6">
        <f>IFERROR(IF(INDEX(tProdutos[Desconto homologado],MATCH(tItens[[#This Row],[Produto]],tProdutos[Produto],0))="",DescontoPadrao,INDEX(tProdutos[Desconto homologado],MATCH(tItens[[#This Row],[Produto]],tProdutos[Produto],0))),DescontoPadrao)</f>
        <v>0.45927812223206399</v>
      </c>
      <c r="M6260" s="12">
        <f>tItens[[#This Row],[Valor]]*(1-tItens[[#This Row],[Desconto]])</f>
        <v>943.55967670504833</v>
      </c>
      <c r="N6260" t="str">
        <f>IFERROR(INDEX(tProdutos[Foco],MATCH(tItens[[#This Row],[Produto]],tProdutos[Produto],0)),"Não")</f>
        <v>Não</v>
      </c>
      <c r="O6260" t="str">
        <f>IFERROR(INDEX(tEditais[SRP],MATCH(tItens[[#This Row],[Edital]],tEditais[Edital],0)),"Não")</f>
        <v>Não</v>
      </c>
      <c r="P6260" s="4">
        <f>IF(COUNTIFS(INDEX(tItens[Edital],1):tItens[[#This Row],[Edital]],tItens[[#This Row],[Edital]],INDEX(tItens[Produto],1):tItens[[#This Row],[Produto]],tItens[[#This Row],[Produto]])=1,1,0)</f>
        <v>1</v>
      </c>
    </row>
    <row r="6261" spans="1:16" x14ac:dyDescent="0.25">
      <c r="A6261" t="s">
        <v>2178</v>
      </c>
      <c r="B6261">
        <v>115</v>
      </c>
      <c r="C6261" t="s">
        <v>9002</v>
      </c>
      <c r="D6261" t="s">
        <v>146</v>
      </c>
      <c r="E6261" s="13">
        <v>8</v>
      </c>
      <c r="F6261" s="12">
        <v>29.7</v>
      </c>
      <c r="G6261" t="str">
        <f>IFERROR(INDEX(tEditais[Órgão],MATCH(tItens[[#This Row],[Edital]],tEditais[Edital],0)),"")</f>
        <v>MUNICIPIO DE URAI</v>
      </c>
      <c r="H6261" t="str">
        <f>IFERROR(INDEX(tEditais[UF],MATCH(tItens[[#This Row],[Edital]],tEditais[Edital],0)),"")</f>
        <v>PR</v>
      </c>
      <c r="I6261" s="11">
        <f>IFERROR(INDEX(tEditais[Encerramento],MATCH(tItens[[#This Row],[Edital]],tEditais[Edital],0)),"")</f>
        <v>46314.354166666664</v>
      </c>
      <c r="J6261" t="str">
        <f>IFERROR(INDEX(tProdutos[Classe],MATCH(tItens[[#This Row],[Produto]],tProdutos[Produto],0)),"produto não cadastrado")</f>
        <v>DISPUTADO</v>
      </c>
      <c r="K6261" s="12">
        <f>tItens[[#This Row],[Qtd]]*tItens[[#This Row],[Vlr unit]]</f>
        <v>237.6</v>
      </c>
      <c r="L6261" s="6">
        <f>IFERROR(IF(INDEX(tProdutos[Desconto homologado],MATCH(tItens[[#This Row],[Produto]],tProdutos[Produto],0))="",DescontoPadrao,INDEX(tProdutos[Desconto homologado],MATCH(tItens[[#This Row],[Produto]],tProdutos[Produto],0))),DescontoPadrao)</f>
        <v>0.17898379508054499</v>
      </c>
      <c r="M6261" s="12">
        <f>tItens[[#This Row],[Valor]]*(1-tItens[[#This Row],[Desconto]])</f>
        <v>195.07345028886252</v>
      </c>
      <c r="N6261" t="str">
        <f>IFERROR(INDEX(tProdutos[Foco],MATCH(tItens[[#This Row],[Produto]],tProdutos[Produto],0)),"Não")</f>
        <v>Não</v>
      </c>
      <c r="O6261" t="str">
        <f>IFERROR(INDEX(tEditais[SRP],MATCH(tItens[[#This Row],[Edital]],tEditais[Edital],0)),"Não")</f>
        <v>Não</v>
      </c>
      <c r="P6261" s="4">
        <f>IF(COUNTIFS(INDEX(tItens[Edital],1):tItens[[#This Row],[Edital]],tItens[[#This Row],[Edital]],INDEX(tItens[Produto],1):tItens[[#This Row],[Produto]],tItens[[#This Row],[Produto]])=1,1,0)</f>
        <v>1</v>
      </c>
    </row>
    <row r="6262" spans="1:16" x14ac:dyDescent="0.25">
      <c r="A6262" t="s">
        <v>2178</v>
      </c>
      <c r="B6262">
        <v>137</v>
      </c>
      <c r="C6262" t="s">
        <v>9003</v>
      </c>
      <c r="D6262" t="s">
        <v>56</v>
      </c>
      <c r="E6262" s="13">
        <v>2</v>
      </c>
      <c r="F6262" s="12">
        <v>39.47</v>
      </c>
      <c r="G6262" t="str">
        <f>IFERROR(INDEX(tEditais[Órgão],MATCH(tItens[[#This Row],[Edital]],tEditais[Edital],0)),"")</f>
        <v>MUNICIPIO DE URAI</v>
      </c>
      <c r="H6262" t="str">
        <f>IFERROR(INDEX(tEditais[UF],MATCH(tItens[[#This Row],[Edital]],tEditais[Edital],0)),"")</f>
        <v>PR</v>
      </c>
      <c r="I6262" s="11">
        <f>IFERROR(INDEX(tEditais[Encerramento],MATCH(tItens[[#This Row],[Edital]],tEditais[Edital],0)),"")</f>
        <v>46314.354166666664</v>
      </c>
      <c r="J6262" t="str">
        <f>IFERROR(INDEX(tProdutos[Classe],MATCH(tItens[[#This Row],[Produto]],tProdutos[Produto],0)),"produto não cadastrado")</f>
        <v>NÚCLEO</v>
      </c>
      <c r="K6262" s="12">
        <f>tItens[[#This Row],[Qtd]]*tItens[[#This Row],[Vlr unit]]</f>
        <v>78.94</v>
      </c>
      <c r="L6262" s="6">
        <f>IFERROR(IF(INDEX(tProdutos[Desconto homologado],MATCH(tItens[[#This Row],[Produto]],tProdutos[Produto],0))="",DescontoPadrao,INDEX(tProdutos[Desconto homologado],MATCH(tItens[[#This Row],[Produto]],tProdutos[Produto],0))),DescontoPadrao)</f>
        <v>0.34</v>
      </c>
      <c r="M6262" s="12">
        <f>tItens[[#This Row],[Valor]]*(1-tItens[[#This Row],[Desconto]])</f>
        <v>52.100399999999993</v>
      </c>
      <c r="N6262" t="str">
        <f>IFERROR(INDEX(tProdutos[Foco],MATCH(tItens[[#This Row],[Produto]],tProdutos[Produto],0)),"Não")</f>
        <v>Sim</v>
      </c>
      <c r="O6262" t="str">
        <f>IFERROR(INDEX(tEditais[SRP],MATCH(tItens[[#This Row],[Edital]],tEditais[Edital],0)),"Não")</f>
        <v>Não</v>
      </c>
      <c r="P6262" s="4">
        <f>IF(COUNTIFS(INDEX(tItens[Edital],1):tItens[[#This Row],[Edital]],tItens[[#This Row],[Edital]],INDEX(tItens[Produto],1):tItens[[#This Row],[Produto]],tItens[[#This Row],[Produto]])=1,1,0)</f>
        <v>1</v>
      </c>
    </row>
    <row r="6263" spans="1:16" x14ac:dyDescent="0.25">
      <c r="A6263" t="s">
        <v>2178</v>
      </c>
      <c r="B6263">
        <v>138</v>
      </c>
      <c r="C6263" t="s">
        <v>9004</v>
      </c>
      <c r="D6263" t="s">
        <v>56</v>
      </c>
      <c r="E6263" s="13">
        <v>3</v>
      </c>
      <c r="F6263" s="12">
        <v>46.72</v>
      </c>
      <c r="G6263" t="str">
        <f>IFERROR(INDEX(tEditais[Órgão],MATCH(tItens[[#This Row],[Edital]],tEditais[Edital],0)),"")</f>
        <v>MUNICIPIO DE URAI</v>
      </c>
      <c r="H6263" t="str">
        <f>IFERROR(INDEX(tEditais[UF],MATCH(tItens[[#This Row],[Edital]],tEditais[Edital],0)),"")</f>
        <v>PR</v>
      </c>
      <c r="I6263" s="11">
        <f>IFERROR(INDEX(tEditais[Encerramento],MATCH(tItens[[#This Row],[Edital]],tEditais[Edital],0)),"")</f>
        <v>46314.354166666664</v>
      </c>
      <c r="J6263" t="str">
        <f>IFERROR(INDEX(tProdutos[Classe],MATCH(tItens[[#This Row],[Produto]],tProdutos[Produto],0)),"produto não cadastrado")</f>
        <v>NÚCLEO</v>
      </c>
      <c r="K6263" s="12">
        <f>tItens[[#This Row],[Qtd]]*tItens[[#This Row],[Vlr unit]]</f>
        <v>140.16</v>
      </c>
      <c r="L6263" s="6">
        <f>IFERROR(IF(INDEX(tProdutos[Desconto homologado],MATCH(tItens[[#This Row],[Produto]],tProdutos[Produto],0))="",DescontoPadrao,INDEX(tProdutos[Desconto homologado],MATCH(tItens[[#This Row],[Produto]],tProdutos[Produto],0))),DescontoPadrao)</f>
        <v>0.34</v>
      </c>
      <c r="M6263" s="12">
        <f>tItens[[#This Row],[Valor]]*(1-tItens[[#This Row],[Desconto]])</f>
        <v>92.505599999999987</v>
      </c>
      <c r="N6263" t="str">
        <f>IFERROR(INDEX(tProdutos[Foco],MATCH(tItens[[#This Row],[Produto]],tProdutos[Produto],0)),"Não")</f>
        <v>Sim</v>
      </c>
      <c r="O6263" t="str">
        <f>IFERROR(INDEX(tEditais[SRP],MATCH(tItens[[#This Row],[Edital]],tEditais[Edital],0)),"Não")</f>
        <v>Não</v>
      </c>
      <c r="P6263" s="4">
        <f>IF(COUNTIFS(INDEX(tItens[Edital],1):tItens[[#This Row],[Edital]],tItens[[#This Row],[Edital]],INDEX(tItens[Produto],1):tItens[[#This Row],[Produto]],tItens[[#This Row],[Produto]])=1,1,0)</f>
        <v>0</v>
      </c>
    </row>
    <row r="6264" spans="1:16" x14ac:dyDescent="0.25">
      <c r="A6264" t="s">
        <v>2178</v>
      </c>
      <c r="B6264">
        <v>139</v>
      </c>
      <c r="C6264" t="s">
        <v>9005</v>
      </c>
      <c r="D6264" t="s">
        <v>56</v>
      </c>
      <c r="E6264" s="13">
        <v>3</v>
      </c>
      <c r="F6264" s="12">
        <v>39.67</v>
      </c>
      <c r="G6264" t="str">
        <f>IFERROR(INDEX(tEditais[Órgão],MATCH(tItens[[#This Row],[Edital]],tEditais[Edital],0)),"")</f>
        <v>MUNICIPIO DE URAI</v>
      </c>
      <c r="H6264" t="str">
        <f>IFERROR(INDEX(tEditais[UF],MATCH(tItens[[#This Row],[Edital]],tEditais[Edital],0)),"")</f>
        <v>PR</v>
      </c>
      <c r="I6264" s="11">
        <f>IFERROR(INDEX(tEditais[Encerramento],MATCH(tItens[[#This Row],[Edital]],tEditais[Edital],0)),"")</f>
        <v>46314.354166666664</v>
      </c>
      <c r="J6264" t="str">
        <f>IFERROR(INDEX(tProdutos[Classe],MATCH(tItens[[#This Row],[Produto]],tProdutos[Produto],0)),"produto não cadastrado")</f>
        <v>NÚCLEO</v>
      </c>
      <c r="K6264" s="12">
        <f>tItens[[#This Row],[Qtd]]*tItens[[#This Row],[Vlr unit]]</f>
        <v>119.01</v>
      </c>
      <c r="L6264" s="6">
        <f>IFERROR(IF(INDEX(tProdutos[Desconto homologado],MATCH(tItens[[#This Row],[Produto]],tProdutos[Produto],0))="",DescontoPadrao,INDEX(tProdutos[Desconto homologado],MATCH(tItens[[#This Row],[Produto]],tProdutos[Produto],0))),DescontoPadrao)</f>
        <v>0.34</v>
      </c>
      <c r="M6264" s="12">
        <f>tItens[[#This Row],[Valor]]*(1-tItens[[#This Row],[Desconto]])</f>
        <v>78.546599999999998</v>
      </c>
      <c r="N6264" t="str">
        <f>IFERROR(INDEX(tProdutos[Foco],MATCH(tItens[[#This Row],[Produto]],tProdutos[Produto],0)),"Não")</f>
        <v>Sim</v>
      </c>
      <c r="O6264" t="str">
        <f>IFERROR(INDEX(tEditais[SRP],MATCH(tItens[[#This Row],[Edital]],tEditais[Edital],0)),"Não")</f>
        <v>Não</v>
      </c>
      <c r="P6264" s="4">
        <f>IF(COUNTIFS(INDEX(tItens[Edital],1):tItens[[#This Row],[Edital]],tItens[[#This Row],[Edital]],INDEX(tItens[Produto],1):tItens[[#This Row],[Produto]],tItens[[#This Row],[Produto]])=1,1,0)</f>
        <v>0</v>
      </c>
    </row>
    <row r="6265" spans="1:16" x14ac:dyDescent="0.25">
      <c r="A6265" t="s">
        <v>2178</v>
      </c>
      <c r="B6265">
        <v>140</v>
      </c>
      <c r="C6265" t="s">
        <v>9005</v>
      </c>
      <c r="D6265" t="s">
        <v>56</v>
      </c>
      <c r="E6265" s="13">
        <v>3</v>
      </c>
      <c r="F6265" s="12">
        <v>33.85</v>
      </c>
      <c r="G6265" t="str">
        <f>IFERROR(INDEX(tEditais[Órgão],MATCH(tItens[[#This Row],[Edital]],tEditais[Edital],0)),"")</f>
        <v>MUNICIPIO DE URAI</v>
      </c>
      <c r="H6265" t="str">
        <f>IFERROR(INDEX(tEditais[UF],MATCH(tItens[[#This Row],[Edital]],tEditais[Edital],0)),"")</f>
        <v>PR</v>
      </c>
      <c r="I6265" s="11">
        <f>IFERROR(INDEX(tEditais[Encerramento],MATCH(tItens[[#This Row],[Edital]],tEditais[Edital],0)),"")</f>
        <v>46314.354166666664</v>
      </c>
      <c r="J6265" t="str">
        <f>IFERROR(INDEX(tProdutos[Classe],MATCH(tItens[[#This Row],[Produto]],tProdutos[Produto],0)),"produto não cadastrado")</f>
        <v>NÚCLEO</v>
      </c>
      <c r="K6265" s="12">
        <f>tItens[[#This Row],[Qtd]]*tItens[[#This Row],[Vlr unit]]</f>
        <v>101.55000000000001</v>
      </c>
      <c r="L6265" s="6">
        <f>IFERROR(IF(INDEX(tProdutos[Desconto homologado],MATCH(tItens[[#This Row],[Produto]],tProdutos[Produto],0))="",DescontoPadrao,INDEX(tProdutos[Desconto homologado],MATCH(tItens[[#This Row],[Produto]],tProdutos[Produto],0))),DescontoPadrao)</f>
        <v>0.34</v>
      </c>
      <c r="M6265" s="12">
        <f>tItens[[#This Row],[Valor]]*(1-tItens[[#This Row],[Desconto]])</f>
        <v>67.022999999999996</v>
      </c>
      <c r="N6265" t="str">
        <f>IFERROR(INDEX(tProdutos[Foco],MATCH(tItens[[#This Row],[Produto]],tProdutos[Produto],0)),"Não")</f>
        <v>Sim</v>
      </c>
      <c r="O6265" t="str">
        <f>IFERROR(INDEX(tEditais[SRP],MATCH(tItens[[#This Row],[Edital]],tEditais[Edital],0)),"Não")</f>
        <v>Não</v>
      </c>
      <c r="P6265" s="4">
        <f>IF(COUNTIFS(INDEX(tItens[Edital],1):tItens[[#This Row],[Edital]],tItens[[#This Row],[Edital]],INDEX(tItens[Produto],1):tItens[[#This Row],[Produto]],tItens[[#This Row],[Produto]])=1,1,0)</f>
        <v>0</v>
      </c>
    </row>
    <row r="6266" spans="1:16" x14ac:dyDescent="0.25">
      <c r="A6266" t="s">
        <v>2178</v>
      </c>
      <c r="B6266">
        <v>141</v>
      </c>
      <c r="C6266" t="s">
        <v>9006</v>
      </c>
      <c r="D6266" t="s">
        <v>56</v>
      </c>
      <c r="E6266" s="13">
        <v>3</v>
      </c>
      <c r="F6266" s="12">
        <v>45.42</v>
      </c>
      <c r="G6266" t="str">
        <f>IFERROR(INDEX(tEditais[Órgão],MATCH(tItens[[#This Row],[Edital]],tEditais[Edital],0)),"")</f>
        <v>MUNICIPIO DE URAI</v>
      </c>
      <c r="H6266" t="str">
        <f>IFERROR(INDEX(tEditais[UF],MATCH(tItens[[#This Row],[Edital]],tEditais[Edital],0)),"")</f>
        <v>PR</v>
      </c>
      <c r="I6266" s="11">
        <f>IFERROR(INDEX(tEditais[Encerramento],MATCH(tItens[[#This Row],[Edital]],tEditais[Edital],0)),"")</f>
        <v>46314.354166666664</v>
      </c>
      <c r="J6266" t="str">
        <f>IFERROR(INDEX(tProdutos[Classe],MATCH(tItens[[#This Row],[Produto]],tProdutos[Produto],0)),"produto não cadastrado")</f>
        <v>NÚCLEO</v>
      </c>
      <c r="K6266" s="12">
        <f>tItens[[#This Row],[Qtd]]*tItens[[#This Row],[Vlr unit]]</f>
        <v>136.26</v>
      </c>
      <c r="L6266" s="6">
        <f>IFERROR(IF(INDEX(tProdutos[Desconto homologado],MATCH(tItens[[#This Row],[Produto]],tProdutos[Produto],0))="",DescontoPadrao,INDEX(tProdutos[Desconto homologado],MATCH(tItens[[#This Row],[Produto]],tProdutos[Produto],0))),DescontoPadrao)</f>
        <v>0.34</v>
      </c>
      <c r="M6266" s="12">
        <f>tItens[[#This Row],[Valor]]*(1-tItens[[#This Row],[Desconto]])</f>
        <v>89.931599999999989</v>
      </c>
      <c r="N6266" t="str">
        <f>IFERROR(INDEX(tProdutos[Foco],MATCH(tItens[[#This Row],[Produto]],tProdutos[Produto],0)),"Não")</f>
        <v>Sim</v>
      </c>
      <c r="O6266" t="str">
        <f>IFERROR(INDEX(tEditais[SRP],MATCH(tItens[[#This Row],[Edital]],tEditais[Edital],0)),"Não")</f>
        <v>Não</v>
      </c>
      <c r="P6266" s="4">
        <f>IF(COUNTIFS(INDEX(tItens[Edital],1):tItens[[#This Row],[Edital]],tItens[[#This Row],[Edital]],INDEX(tItens[Produto],1):tItens[[#This Row],[Produto]],tItens[[#This Row],[Produto]])=1,1,0)</f>
        <v>0</v>
      </c>
    </row>
    <row r="6267" spans="1:16" x14ac:dyDescent="0.25">
      <c r="A6267" t="s">
        <v>2178</v>
      </c>
      <c r="B6267">
        <v>142</v>
      </c>
      <c r="C6267" t="s">
        <v>9007</v>
      </c>
      <c r="D6267" t="s">
        <v>343</v>
      </c>
      <c r="E6267" s="13">
        <v>4000</v>
      </c>
      <c r="F6267" s="12">
        <v>2.08</v>
      </c>
      <c r="G6267" t="str">
        <f>IFERROR(INDEX(tEditais[Órgão],MATCH(tItens[[#This Row],[Edital]],tEditais[Edital],0)),"")</f>
        <v>MUNICIPIO DE URAI</v>
      </c>
      <c r="H6267" t="str">
        <f>IFERROR(INDEX(tEditais[UF],MATCH(tItens[[#This Row],[Edital]],tEditais[Edital],0)),"")</f>
        <v>PR</v>
      </c>
      <c r="I6267" s="11">
        <f>IFERROR(INDEX(tEditais[Encerramento],MATCH(tItens[[#This Row],[Edital]],tEditais[Edital],0)),"")</f>
        <v>46314.354166666664</v>
      </c>
      <c r="J6267" t="str">
        <f>IFERROR(INDEX(tProdutos[Classe],MATCH(tItens[[#This Row],[Produto]],tProdutos[Produto],0)),"produto não cadastrado")</f>
        <v>FORA</v>
      </c>
      <c r="K6267" s="12">
        <f>tItens[[#This Row],[Qtd]]*tItens[[#This Row],[Vlr unit]]</f>
        <v>8320</v>
      </c>
      <c r="L6267" s="6">
        <f>IFERROR(IF(INDEX(tProdutos[Desconto homologado],MATCH(tItens[[#This Row],[Produto]],tProdutos[Produto],0))="",DescontoPadrao,INDEX(tProdutos[Desconto homologado],MATCH(tItens[[#This Row],[Produto]],tProdutos[Produto],0))),DescontoPadrao)</f>
        <v>0.35412234042553198</v>
      </c>
      <c r="M6267" s="12">
        <f>tItens[[#This Row],[Valor]]*(1-tItens[[#This Row],[Desconto]])</f>
        <v>5373.7021276595733</v>
      </c>
      <c r="N6267" t="str">
        <f>IFERROR(INDEX(tProdutos[Foco],MATCH(tItens[[#This Row],[Produto]],tProdutos[Produto],0)),"Não")</f>
        <v>Não</v>
      </c>
      <c r="O6267" t="str">
        <f>IFERROR(INDEX(tEditais[SRP],MATCH(tItens[[#This Row],[Edital]],tEditais[Edital],0)),"Não")</f>
        <v>Não</v>
      </c>
      <c r="P6267" s="4">
        <f>IF(COUNTIFS(INDEX(tItens[Edital],1):tItens[[#This Row],[Edital]],tItens[[#This Row],[Edital]],INDEX(tItens[Produto],1):tItens[[#This Row],[Produto]],tItens[[#This Row],[Produto]])=1,1,0)</f>
        <v>1</v>
      </c>
    </row>
    <row r="6268" spans="1:16" x14ac:dyDescent="0.25">
      <c r="A6268" t="s">
        <v>2178</v>
      </c>
      <c r="B6268">
        <v>143</v>
      </c>
      <c r="C6268" t="s">
        <v>9008</v>
      </c>
      <c r="D6268" t="s">
        <v>343</v>
      </c>
      <c r="E6268" s="13">
        <v>1200</v>
      </c>
      <c r="F6268" s="12">
        <v>2.4</v>
      </c>
      <c r="G6268" t="str">
        <f>IFERROR(INDEX(tEditais[Órgão],MATCH(tItens[[#This Row],[Edital]],tEditais[Edital],0)),"")</f>
        <v>MUNICIPIO DE URAI</v>
      </c>
      <c r="H6268" t="str">
        <f>IFERROR(INDEX(tEditais[UF],MATCH(tItens[[#This Row],[Edital]],tEditais[Edital],0)),"")</f>
        <v>PR</v>
      </c>
      <c r="I6268" s="11">
        <f>IFERROR(INDEX(tEditais[Encerramento],MATCH(tItens[[#This Row],[Edital]],tEditais[Edital],0)),"")</f>
        <v>46314.354166666664</v>
      </c>
      <c r="J6268" t="str">
        <f>IFERROR(INDEX(tProdutos[Classe],MATCH(tItens[[#This Row],[Produto]],tProdutos[Produto],0)),"produto não cadastrado")</f>
        <v>FORA</v>
      </c>
      <c r="K6268" s="12">
        <f>tItens[[#This Row],[Qtd]]*tItens[[#This Row],[Vlr unit]]</f>
        <v>2880</v>
      </c>
      <c r="L6268" s="6">
        <f>IFERROR(IF(INDEX(tProdutos[Desconto homologado],MATCH(tItens[[#This Row],[Produto]],tProdutos[Produto],0))="",DescontoPadrao,INDEX(tProdutos[Desconto homologado],MATCH(tItens[[#This Row],[Produto]],tProdutos[Produto],0))),DescontoPadrao)</f>
        <v>0.35412234042553198</v>
      </c>
      <c r="M6268" s="12">
        <f>tItens[[#This Row],[Valor]]*(1-tItens[[#This Row],[Desconto]])</f>
        <v>1860.1276595744678</v>
      </c>
      <c r="N6268" t="str">
        <f>IFERROR(INDEX(tProdutos[Foco],MATCH(tItens[[#This Row],[Produto]],tProdutos[Produto],0)),"Não")</f>
        <v>Não</v>
      </c>
      <c r="O6268" t="str">
        <f>IFERROR(INDEX(tEditais[SRP],MATCH(tItens[[#This Row],[Edital]],tEditais[Edital],0)),"Não")</f>
        <v>Não</v>
      </c>
      <c r="P6268" s="4">
        <f>IF(COUNTIFS(INDEX(tItens[Edital],1):tItens[[#This Row],[Edital]],tItens[[#This Row],[Edital]],INDEX(tItens[Produto],1):tItens[[#This Row],[Produto]],tItens[[#This Row],[Produto]])=1,1,0)</f>
        <v>0</v>
      </c>
    </row>
    <row r="6269" spans="1:16" x14ac:dyDescent="0.25">
      <c r="A6269" t="s">
        <v>2178</v>
      </c>
      <c r="B6269">
        <v>151</v>
      </c>
      <c r="C6269" t="s">
        <v>9009</v>
      </c>
      <c r="D6269" t="s">
        <v>267</v>
      </c>
      <c r="E6269" s="13">
        <v>60</v>
      </c>
      <c r="F6269" s="12">
        <v>13.5</v>
      </c>
      <c r="G6269" t="str">
        <f>IFERROR(INDEX(tEditais[Órgão],MATCH(tItens[[#This Row],[Edital]],tEditais[Edital],0)),"")</f>
        <v>MUNICIPIO DE URAI</v>
      </c>
      <c r="H6269" t="str">
        <f>IFERROR(INDEX(tEditais[UF],MATCH(tItens[[#This Row],[Edital]],tEditais[Edital],0)),"")</f>
        <v>PR</v>
      </c>
      <c r="I6269" s="11">
        <f>IFERROR(INDEX(tEditais[Encerramento],MATCH(tItens[[#This Row],[Edital]],tEditais[Edital],0)),"")</f>
        <v>46314.354166666664</v>
      </c>
      <c r="J6269" t="str">
        <f>IFERROR(INDEX(tProdutos[Classe],MATCH(tItens[[#This Row],[Produto]],tProdutos[Produto],0)),"produto não cadastrado")</f>
        <v>FORA</v>
      </c>
      <c r="K6269" s="12">
        <f>tItens[[#This Row],[Qtd]]*tItens[[#This Row],[Vlr unit]]</f>
        <v>810</v>
      </c>
      <c r="L6269" s="6">
        <f>IFERROR(IF(INDEX(tProdutos[Desconto homologado],MATCH(tItens[[#This Row],[Produto]],tProdutos[Produto],0))="",DescontoPadrao,INDEX(tProdutos[Desconto homologado],MATCH(tItens[[#This Row],[Produto]],tProdutos[Produto],0))),DescontoPadrao)</f>
        <v>0.19963672657401599</v>
      </c>
      <c r="M6269" s="12">
        <f>tItens[[#This Row],[Valor]]*(1-tItens[[#This Row],[Desconto]])</f>
        <v>648.29425147504708</v>
      </c>
      <c r="N6269" t="str">
        <f>IFERROR(INDEX(tProdutos[Foco],MATCH(tItens[[#This Row],[Produto]],tProdutos[Produto],0)),"Não")</f>
        <v>Não</v>
      </c>
      <c r="O6269" t="str">
        <f>IFERROR(INDEX(tEditais[SRP],MATCH(tItens[[#This Row],[Edital]],tEditais[Edital],0)),"Não")</f>
        <v>Não</v>
      </c>
      <c r="P6269" s="4">
        <f>IF(COUNTIFS(INDEX(tItens[Edital],1):tItens[[#This Row],[Edital]],tItens[[#This Row],[Edital]],INDEX(tItens[Produto],1):tItens[[#This Row],[Produto]],tItens[[#This Row],[Produto]])=1,1,0)</f>
        <v>1</v>
      </c>
    </row>
    <row r="6270" spans="1:16" x14ac:dyDescent="0.25">
      <c r="A6270" t="s">
        <v>2178</v>
      </c>
      <c r="B6270">
        <v>172</v>
      </c>
      <c r="C6270" t="s">
        <v>9010</v>
      </c>
      <c r="D6270" t="s">
        <v>281</v>
      </c>
      <c r="E6270" s="13">
        <v>20</v>
      </c>
      <c r="F6270" s="12">
        <v>48.07</v>
      </c>
      <c r="G6270" t="str">
        <f>IFERROR(INDEX(tEditais[Órgão],MATCH(tItens[[#This Row],[Edital]],tEditais[Edital],0)),"")</f>
        <v>MUNICIPIO DE URAI</v>
      </c>
      <c r="H6270" t="str">
        <f>IFERROR(INDEX(tEditais[UF],MATCH(tItens[[#This Row],[Edital]],tEditais[Edital],0)),"")</f>
        <v>PR</v>
      </c>
      <c r="I6270" s="11">
        <f>IFERROR(INDEX(tEditais[Encerramento],MATCH(tItens[[#This Row],[Edital]],tEditais[Edital],0)),"")</f>
        <v>46314.354166666664</v>
      </c>
      <c r="J6270" t="str">
        <f>IFERROR(INDEX(tProdutos[Classe],MATCH(tItens[[#This Row],[Produto]],tProdutos[Produto],0)),"produto não cadastrado")</f>
        <v>DISPUTADO</v>
      </c>
      <c r="K6270" s="12">
        <f>tItens[[#This Row],[Qtd]]*tItens[[#This Row],[Vlr unit]]</f>
        <v>961.4</v>
      </c>
      <c r="L6270" s="6">
        <f>IFERROR(IF(INDEX(tProdutos[Desconto homologado],MATCH(tItens[[#This Row],[Produto]],tProdutos[Produto],0))="",DescontoPadrao,INDEX(tProdutos[Desconto homologado],MATCH(tItens[[#This Row],[Produto]],tProdutos[Produto],0))),DescontoPadrao)</f>
        <v>0.42461538461538501</v>
      </c>
      <c r="M6270" s="12">
        <f>tItens[[#This Row],[Valor]]*(1-tItens[[#This Row],[Desconto]])</f>
        <v>553.17476923076879</v>
      </c>
      <c r="N6270" t="str">
        <f>IFERROR(INDEX(tProdutos[Foco],MATCH(tItens[[#This Row],[Produto]],tProdutos[Produto],0)),"Não")</f>
        <v>Não</v>
      </c>
      <c r="O6270" t="str">
        <f>IFERROR(INDEX(tEditais[SRP],MATCH(tItens[[#This Row],[Edital]],tEditais[Edital],0)),"Não")</f>
        <v>Não</v>
      </c>
      <c r="P6270" s="4">
        <f>IF(COUNTIFS(INDEX(tItens[Edital],1):tItens[[#This Row],[Edital]],tItens[[#This Row],[Edital]],INDEX(tItens[Produto],1):tItens[[#This Row],[Produto]],tItens[[#This Row],[Produto]])=1,1,0)</f>
        <v>1</v>
      </c>
    </row>
    <row r="6271" spans="1:16" x14ac:dyDescent="0.25">
      <c r="A6271" t="s">
        <v>2178</v>
      </c>
      <c r="B6271">
        <v>173</v>
      </c>
      <c r="C6271" t="s">
        <v>9011</v>
      </c>
      <c r="D6271" t="s">
        <v>303</v>
      </c>
      <c r="E6271" s="13">
        <v>60</v>
      </c>
      <c r="F6271" s="12">
        <v>67.849999999999994</v>
      </c>
      <c r="G6271" t="str">
        <f>IFERROR(INDEX(tEditais[Órgão],MATCH(tItens[[#This Row],[Edital]],tEditais[Edital],0)),"")</f>
        <v>MUNICIPIO DE URAI</v>
      </c>
      <c r="H6271" t="str">
        <f>IFERROR(INDEX(tEditais[UF],MATCH(tItens[[#This Row],[Edital]],tEditais[Edital],0)),"")</f>
        <v>PR</v>
      </c>
      <c r="I6271" s="11">
        <f>IFERROR(INDEX(tEditais[Encerramento],MATCH(tItens[[#This Row],[Edital]],tEditais[Edital],0)),"")</f>
        <v>46314.354166666664</v>
      </c>
      <c r="J6271" t="str">
        <f>IFERROR(INDEX(tProdutos[Classe],MATCH(tItens[[#This Row],[Produto]],tProdutos[Produto],0)),"produto não cadastrado")</f>
        <v>FORA</v>
      </c>
      <c r="K6271" s="12">
        <f>tItens[[#This Row],[Qtd]]*tItens[[#This Row],[Vlr unit]]</f>
        <v>4070.9999999999995</v>
      </c>
      <c r="L6271" s="6">
        <f>IFERROR(IF(INDEX(tProdutos[Desconto homologado],MATCH(tItens[[#This Row],[Produto]],tProdutos[Produto],0))="",DescontoPadrao,INDEX(tProdutos[Desconto homologado],MATCH(tItens[[#This Row],[Produto]],tProdutos[Produto],0))),DescontoPadrao)</f>
        <v>0.35748048048048098</v>
      </c>
      <c r="M6271" s="12">
        <f>tItens[[#This Row],[Valor]]*(1-tItens[[#This Row],[Desconto]])</f>
        <v>2615.6969639639615</v>
      </c>
      <c r="N6271" t="str">
        <f>IFERROR(INDEX(tProdutos[Foco],MATCH(tItens[[#This Row],[Produto]],tProdutos[Produto],0)),"Não")</f>
        <v>Não</v>
      </c>
      <c r="O6271" t="str">
        <f>IFERROR(INDEX(tEditais[SRP],MATCH(tItens[[#This Row],[Edital]],tEditais[Edital],0)),"Não")</f>
        <v>Não</v>
      </c>
      <c r="P6271" s="4">
        <f>IF(COUNTIFS(INDEX(tItens[Edital],1):tItens[[#This Row],[Edital]],tItens[[#This Row],[Edital]],INDEX(tItens[Produto],1):tItens[[#This Row],[Produto]],tItens[[#This Row],[Produto]])=1,1,0)</f>
        <v>1</v>
      </c>
    </row>
    <row r="6272" spans="1:16" x14ac:dyDescent="0.25">
      <c r="A6272" t="s">
        <v>2178</v>
      </c>
      <c r="B6272">
        <v>174</v>
      </c>
      <c r="C6272" t="s">
        <v>9012</v>
      </c>
      <c r="D6272" t="s">
        <v>283</v>
      </c>
      <c r="E6272" s="13">
        <v>10</v>
      </c>
      <c r="F6272" s="12">
        <v>47.03</v>
      </c>
      <c r="G6272" t="str">
        <f>IFERROR(INDEX(tEditais[Órgão],MATCH(tItens[[#This Row],[Edital]],tEditais[Edital],0)),"")</f>
        <v>MUNICIPIO DE URAI</v>
      </c>
      <c r="H6272" t="str">
        <f>IFERROR(INDEX(tEditais[UF],MATCH(tItens[[#This Row],[Edital]],tEditais[Edital],0)),"")</f>
        <v>PR</v>
      </c>
      <c r="I6272" s="11">
        <f>IFERROR(INDEX(tEditais[Encerramento],MATCH(tItens[[#This Row],[Edital]],tEditais[Edital],0)),"")</f>
        <v>46314.354166666664</v>
      </c>
      <c r="J6272" t="str">
        <f>IFERROR(INDEX(tProdutos[Classe],MATCH(tItens[[#This Row],[Produto]],tProdutos[Produto],0)),"produto não cadastrado")</f>
        <v>FORA</v>
      </c>
      <c r="K6272" s="12">
        <f>tItens[[#This Row],[Qtd]]*tItens[[#This Row],[Vlr unit]]</f>
        <v>470.3</v>
      </c>
      <c r="L6272" s="6">
        <f>IFERROR(IF(INDEX(tProdutos[Desconto homologado],MATCH(tItens[[#This Row],[Produto]],tProdutos[Produto],0))="",DescontoPadrao,INDEX(tProdutos[Desconto homologado],MATCH(tItens[[#This Row],[Produto]],tProdutos[Produto],0))),DescontoPadrao)</f>
        <v>0.40540540540540498</v>
      </c>
      <c r="M6272" s="12">
        <f>tItens[[#This Row],[Valor]]*(1-tItens[[#This Row],[Desconto]])</f>
        <v>279.63783783783799</v>
      </c>
      <c r="N6272" t="str">
        <f>IFERROR(INDEX(tProdutos[Foco],MATCH(tItens[[#This Row],[Produto]],tProdutos[Produto],0)),"Não")</f>
        <v>Não</v>
      </c>
      <c r="O6272" t="str">
        <f>IFERROR(INDEX(tEditais[SRP],MATCH(tItens[[#This Row],[Edital]],tEditais[Edital],0)),"Não")</f>
        <v>Não</v>
      </c>
      <c r="P6272" s="4">
        <f>IF(COUNTIFS(INDEX(tItens[Edital],1):tItens[[#This Row],[Edital]],tItens[[#This Row],[Edital]],INDEX(tItens[Produto],1):tItens[[#This Row],[Produto]],tItens[[#This Row],[Produto]])=1,1,0)</f>
        <v>1</v>
      </c>
    </row>
    <row r="6273" spans="1:16" x14ac:dyDescent="0.25">
      <c r="A6273" t="s">
        <v>2178</v>
      </c>
      <c r="B6273">
        <v>175</v>
      </c>
      <c r="C6273" t="s">
        <v>9013</v>
      </c>
      <c r="D6273" t="s">
        <v>265</v>
      </c>
      <c r="E6273" s="13">
        <v>20</v>
      </c>
      <c r="F6273" s="12">
        <v>37.1</v>
      </c>
      <c r="G6273" t="str">
        <f>IFERROR(INDEX(tEditais[Órgão],MATCH(tItens[[#This Row],[Edital]],tEditais[Edital],0)),"")</f>
        <v>MUNICIPIO DE URAI</v>
      </c>
      <c r="H6273" t="str">
        <f>IFERROR(INDEX(tEditais[UF],MATCH(tItens[[#This Row],[Edital]],tEditais[Edital],0)),"")</f>
        <v>PR</v>
      </c>
      <c r="I6273" s="11">
        <f>IFERROR(INDEX(tEditais[Encerramento],MATCH(tItens[[#This Row],[Edital]],tEditais[Edital],0)),"")</f>
        <v>46314.354166666664</v>
      </c>
      <c r="J6273" t="str">
        <f>IFERROR(INDEX(tProdutos[Classe],MATCH(tItens[[#This Row],[Produto]],tProdutos[Produto],0)),"produto não cadastrado")</f>
        <v>DISPUTADO</v>
      </c>
      <c r="K6273" s="12">
        <f>tItens[[#This Row],[Qtd]]*tItens[[#This Row],[Vlr unit]]</f>
        <v>742</v>
      </c>
      <c r="L6273" s="6">
        <f>IFERROR(IF(INDEX(tProdutos[Desconto homologado],MATCH(tItens[[#This Row],[Produto]],tProdutos[Produto],0))="",DescontoPadrao,INDEX(tProdutos[Desconto homologado],MATCH(tItens[[#This Row],[Produto]],tProdutos[Produto],0))),DescontoPadrao)</f>
        <v>0.377587663709337</v>
      </c>
      <c r="M6273" s="12">
        <f>tItens[[#This Row],[Valor]]*(1-tItens[[#This Row],[Desconto]])</f>
        <v>461.82995352767199</v>
      </c>
      <c r="N6273" t="str">
        <f>IFERROR(INDEX(tProdutos[Foco],MATCH(tItens[[#This Row],[Produto]],tProdutos[Produto],0)),"Não")</f>
        <v>Não</v>
      </c>
      <c r="O6273" t="str">
        <f>IFERROR(INDEX(tEditais[SRP],MATCH(tItens[[#This Row],[Edital]],tEditais[Edital],0)),"Não")</f>
        <v>Não</v>
      </c>
      <c r="P6273" s="4">
        <f>IF(COUNTIFS(INDEX(tItens[Edital],1):tItens[[#This Row],[Edital]],tItens[[#This Row],[Edital]],INDEX(tItens[Produto],1):tItens[[#This Row],[Produto]],tItens[[#This Row],[Produto]])=1,1,0)</f>
        <v>1</v>
      </c>
    </row>
    <row r="6274" spans="1:16" x14ac:dyDescent="0.25">
      <c r="A6274" t="s">
        <v>2178</v>
      </c>
      <c r="B6274">
        <v>183</v>
      </c>
      <c r="C6274" t="s">
        <v>9014</v>
      </c>
      <c r="D6274" t="s">
        <v>120</v>
      </c>
      <c r="E6274" s="13">
        <v>50</v>
      </c>
      <c r="F6274" s="12">
        <v>0.71</v>
      </c>
      <c r="G6274" t="str">
        <f>IFERROR(INDEX(tEditais[Órgão],MATCH(tItens[[#This Row],[Edital]],tEditais[Edital],0)),"")</f>
        <v>MUNICIPIO DE URAI</v>
      </c>
      <c r="H6274" t="str">
        <f>IFERROR(INDEX(tEditais[UF],MATCH(tItens[[#This Row],[Edital]],tEditais[Edital],0)),"")</f>
        <v>PR</v>
      </c>
      <c r="I6274" s="11">
        <f>IFERROR(INDEX(tEditais[Encerramento],MATCH(tItens[[#This Row],[Edital]],tEditais[Edital],0)),"")</f>
        <v>46314.354166666664</v>
      </c>
      <c r="J6274" t="str">
        <f>IFERROR(INDEX(tProdutos[Classe],MATCH(tItens[[#This Row],[Produto]],tProdutos[Produto],0)),"produto não cadastrado")</f>
        <v>DISPUTADO</v>
      </c>
      <c r="K6274" s="12">
        <f>tItens[[#This Row],[Qtd]]*tItens[[#This Row],[Vlr unit]]</f>
        <v>35.5</v>
      </c>
      <c r="L6274" s="6">
        <f>IFERROR(IF(INDEX(tProdutos[Desconto homologado],MATCH(tItens[[#This Row],[Produto]],tProdutos[Produto],0))="",DescontoPadrao,INDEX(tProdutos[Desconto homologado],MATCH(tItens[[#This Row],[Produto]],tProdutos[Produto],0))),DescontoPadrao)</f>
        <v>0.40909090909090901</v>
      </c>
      <c r="M6274" s="12">
        <f>tItens[[#This Row],[Valor]]*(1-tItens[[#This Row],[Desconto]])</f>
        <v>20.977272727272734</v>
      </c>
      <c r="N6274" t="str">
        <f>IFERROR(INDEX(tProdutos[Foco],MATCH(tItens[[#This Row],[Produto]],tProdutos[Produto],0)),"Não")</f>
        <v>Não</v>
      </c>
      <c r="O6274" t="str">
        <f>IFERROR(INDEX(tEditais[SRP],MATCH(tItens[[#This Row],[Edital]],tEditais[Edital],0)),"Não")</f>
        <v>Não</v>
      </c>
      <c r="P6274" s="4">
        <f>IF(COUNTIFS(INDEX(tItens[Edital],1):tItens[[#This Row],[Edital]],tItens[[#This Row],[Edital]],INDEX(tItens[Produto],1):tItens[[#This Row],[Produto]],tItens[[#This Row],[Produto]])=1,1,0)</f>
        <v>1</v>
      </c>
    </row>
    <row r="6275" spans="1:16" x14ac:dyDescent="0.25">
      <c r="A6275" t="s">
        <v>2178</v>
      </c>
      <c r="B6275">
        <v>186</v>
      </c>
      <c r="C6275" t="s">
        <v>9015</v>
      </c>
      <c r="D6275" t="s">
        <v>311</v>
      </c>
      <c r="E6275" s="13">
        <v>8</v>
      </c>
      <c r="F6275" s="12">
        <v>23.35</v>
      </c>
      <c r="G6275" t="str">
        <f>IFERROR(INDEX(tEditais[Órgão],MATCH(tItens[[#This Row],[Edital]],tEditais[Edital],0)),"")</f>
        <v>MUNICIPIO DE URAI</v>
      </c>
      <c r="H6275" t="str">
        <f>IFERROR(INDEX(tEditais[UF],MATCH(tItens[[#This Row],[Edital]],tEditais[Edital],0)),"")</f>
        <v>PR</v>
      </c>
      <c r="I6275" s="11">
        <f>IFERROR(INDEX(tEditais[Encerramento],MATCH(tItens[[#This Row],[Edital]],tEditais[Edital],0)),"")</f>
        <v>46314.354166666664</v>
      </c>
      <c r="J6275" t="str">
        <f>IFERROR(INDEX(tProdutos[Classe],MATCH(tItens[[#This Row],[Produto]],tProdutos[Produto],0)),"produto não cadastrado")</f>
        <v>FORA</v>
      </c>
      <c r="K6275" s="12">
        <f>tItens[[#This Row],[Qtd]]*tItens[[#This Row],[Vlr unit]]</f>
        <v>186.8</v>
      </c>
      <c r="L6275" s="6">
        <f>IFERROR(IF(INDEX(tProdutos[Desconto homologado],MATCH(tItens[[#This Row],[Produto]],tProdutos[Produto],0))="",DescontoPadrao,INDEX(tProdutos[Desconto homologado],MATCH(tItens[[#This Row],[Produto]],tProdutos[Produto],0))),DescontoPadrao)</f>
        <v>0.29046182846371399</v>
      </c>
      <c r="M6275" s="12">
        <f>tItens[[#This Row],[Valor]]*(1-tItens[[#This Row],[Desconto]])</f>
        <v>132.54173044297823</v>
      </c>
      <c r="N6275" t="str">
        <f>IFERROR(INDEX(tProdutos[Foco],MATCH(tItens[[#This Row],[Produto]],tProdutos[Produto],0)),"Não")</f>
        <v>Não</v>
      </c>
      <c r="O6275" t="str">
        <f>IFERROR(INDEX(tEditais[SRP],MATCH(tItens[[#This Row],[Edital]],tEditais[Edital],0)),"Não")</f>
        <v>Não</v>
      </c>
      <c r="P6275" s="4">
        <f>IF(COUNTIFS(INDEX(tItens[Edital],1):tItens[[#This Row],[Edital]],tItens[[#This Row],[Edital]],INDEX(tItens[Produto],1):tItens[[#This Row],[Produto]],tItens[[#This Row],[Produto]])=1,1,0)</f>
        <v>1</v>
      </c>
    </row>
    <row r="6276" spans="1:16" x14ac:dyDescent="0.25">
      <c r="A6276" t="s">
        <v>2183</v>
      </c>
      <c r="B6276">
        <v>8</v>
      </c>
      <c r="C6276" t="s">
        <v>9016</v>
      </c>
      <c r="D6276" t="s">
        <v>170</v>
      </c>
      <c r="E6276" s="13">
        <v>338</v>
      </c>
      <c r="F6276" s="12">
        <v>33</v>
      </c>
      <c r="G6276" t="str">
        <f>IFERROR(INDEX(tEditais[Órgão],MATCH(tItens[[#This Row],[Edital]],tEditais[Edital],0)),"")</f>
        <v>FUNDO ESTADUAL DE SAUDE DO PARANA - FUNSAUDE</v>
      </c>
      <c r="H6276" t="str">
        <f>IFERROR(INDEX(tEditais[UF],MATCH(tItens[[#This Row],[Edital]],tEditais[Edital],0)),"")</f>
        <v>PR</v>
      </c>
      <c r="I6276" s="11">
        <f>IFERROR(INDEX(tEditais[Encerramento],MATCH(tItens[[#This Row],[Edital]],tEditais[Edital],0)),"")</f>
        <v>46314.375</v>
      </c>
      <c r="J6276" t="str">
        <f>IFERROR(INDEX(tProdutos[Classe],MATCH(tItens[[#This Row],[Produto]],tProdutos[Produto],0)),"produto não cadastrado")</f>
        <v>DISPUTADO</v>
      </c>
      <c r="K6276" s="12">
        <f>tItens[[#This Row],[Qtd]]*tItens[[#This Row],[Vlr unit]]</f>
        <v>11154</v>
      </c>
      <c r="L6276" s="6">
        <f>IFERROR(IF(INDEX(tProdutos[Desconto homologado],MATCH(tItens[[#This Row],[Produto]],tProdutos[Produto],0))="",DescontoPadrao,INDEX(tProdutos[Desconto homologado],MATCH(tItens[[#This Row],[Produto]],tProdutos[Produto],0))),DescontoPadrao)</f>
        <v>0.36</v>
      </c>
      <c r="M6276" s="12">
        <f>tItens[[#This Row],[Valor]]*(1-tItens[[#This Row],[Desconto]])</f>
        <v>7138.56</v>
      </c>
      <c r="N6276" t="str">
        <f>IFERROR(INDEX(tProdutos[Foco],MATCH(tItens[[#This Row],[Produto]],tProdutos[Produto],0)),"Não")</f>
        <v>Sim</v>
      </c>
      <c r="O6276" t="str">
        <f>IFERROR(INDEX(tEditais[SRP],MATCH(tItens[[#This Row],[Edital]],tEditais[Edital],0)),"Não")</f>
        <v>Sim</v>
      </c>
      <c r="P6276" s="4">
        <f>IF(COUNTIFS(INDEX(tItens[Edital],1):tItens[[#This Row],[Edital]],tItens[[#This Row],[Edital]],INDEX(tItens[Produto],1):tItens[[#This Row],[Produto]],tItens[[#This Row],[Produto]])=1,1,0)</f>
        <v>1</v>
      </c>
    </row>
    <row r="6277" spans="1:16" x14ac:dyDescent="0.25">
      <c r="A6277" t="s">
        <v>2183</v>
      </c>
      <c r="B6277">
        <v>9</v>
      </c>
      <c r="C6277" t="s">
        <v>9017</v>
      </c>
      <c r="D6277" t="s">
        <v>170</v>
      </c>
      <c r="E6277" s="13">
        <v>333</v>
      </c>
      <c r="F6277" s="12">
        <v>41.95</v>
      </c>
      <c r="G6277" t="str">
        <f>IFERROR(INDEX(tEditais[Órgão],MATCH(tItens[[#This Row],[Edital]],tEditais[Edital],0)),"")</f>
        <v>FUNDO ESTADUAL DE SAUDE DO PARANA - FUNSAUDE</v>
      </c>
      <c r="H6277" t="str">
        <f>IFERROR(INDEX(tEditais[UF],MATCH(tItens[[#This Row],[Edital]],tEditais[Edital],0)),"")</f>
        <v>PR</v>
      </c>
      <c r="I6277" s="11">
        <f>IFERROR(INDEX(tEditais[Encerramento],MATCH(tItens[[#This Row],[Edital]],tEditais[Edital],0)),"")</f>
        <v>46314.375</v>
      </c>
      <c r="J6277" t="str">
        <f>IFERROR(INDEX(tProdutos[Classe],MATCH(tItens[[#This Row],[Produto]],tProdutos[Produto],0)),"produto não cadastrado")</f>
        <v>DISPUTADO</v>
      </c>
      <c r="K6277" s="12">
        <f>tItens[[#This Row],[Qtd]]*tItens[[#This Row],[Vlr unit]]</f>
        <v>13969.35</v>
      </c>
      <c r="L6277" s="6">
        <f>IFERROR(IF(INDEX(tProdutos[Desconto homologado],MATCH(tItens[[#This Row],[Produto]],tProdutos[Produto],0))="",DescontoPadrao,INDEX(tProdutos[Desconto homologado],MATCH(tItens[[#This Row],[Produto]],tProdutos[Produto],0))),DescontoPadrao)</f>
        <v>0.36</v>
      </c>
      <c r="M6277" s="12">
        <f>tItens[[#This Row],[Valor]]*(1-tItens[[#This Row],[Desconto]])</f>
        <v>8940.384</v>
      </c>
      <c r="N6277" t="str">
        <f>IFERROR(INDEX(tProdutos[Foco],MATCH(tItens[[#This Row],[Produto]],tProdutos[Produto],0)),"Não")</f>
        <v>Sim</v>
      </c>
      <c r="O6277" t="str">
        <f>IFERROR(INDEX(tEditais[SRP],MATCH(tItens[[#This Row],[Edital]],tEditais[Edital],0)),"Não")</f>
        <v>Sim</v>
      </c>
      <c r="P6277" s="4">
        <f>IF(COUNTIFS(INDEX(tItens[Edital],1):tItens[[#This Row],[Edital]],tItens[[#This Row],[Edital]],INDEX(tItens[Produto],1):tItens[[#This Row],[Produto]],tItens[[#This Row],[Produto]])=1,1,0)</f>
        <v>0</v>
      </c>
    </row>
    <row r="6278" spans="1:16" x14ac:dyDescent="0.25">
      <c r="A6278" t="s">
        <v>2183</v>
      </c>
      <c r="B6278">
        <v>10</v>
      </c>
      <c r="C6278" t="s">
        <v>9018</v>
      </c>
      <c r="D6278" t="s">
        <v>170</v>
      </c>
      <c r="E6278" s="13">
        <v>362</v>
      </c>
      <c r="F6278" s="12">
        <v>49.89</v>
      </c>
      <c r="G6278" t="str">
        <f>IFERROR(INDEX(tEditais[Órgão],MATCH(tItens[[#This Row],[Edital]],tEditais[Edital],0)),"")</f>
        <v>FUNDO ESTADUAL DE SAUDE DO PARANA - FUNSAUDE</v>
      </c>
      <c r="H6278" t="str">
        <f>IFERROR(INDEX(tEditais[UF],MATCH(tItens[[#This Row],[Edital]],tEditais[Edital],0)),"")</f>
        <v>PR</v>
      </c>
      <c r="I6278" s="11">
        <f>IFERROR(INDEX(tEditais[Encerramento],MATCH(tItens[[#This Row],[Edital]],tEditais[Edital],0)),"")</f>
        <v>46314.375</v>
      </c>
      <c r="J6278" t="str">
        <f>IFERROR(INDEX(tProdutos[Classe],MATCH(tItens[[#This Row],[Produto]],tProdutos[Produto],0)),"produto não cadastrado")</f>
        <v>DISPUTADO</v>
      </c>
      <c r="K6278" s="12">
        <f>tItens[[#This Row],[Qtd]]*tItens[[#This Row],[Vlr unit]]</f>
        <v>18060.18</v>
      </c>
      <c r="L6278" s="6">
        <f>IFERROR(IF(INDEX(tProdutos[Desconto homologado],MATCH(tItens[[#This Row],[Produto]],tProdutos[Produto],0))="",DescontoPadrao,INDEX(tProdutos[Desconto homologado],MATCH(tItens[[#This Row],[Produto]],tProdutos[Produto],0))),DescontoPadrao)</f>
        <v>0.36</v>
      </c>
      <c r="M6278" s="12">
        <f>tItens[[#This Row],[Valor]]*(1-tItens[[#This Row],[Desconto]])</f>
        <v>11558.5152</v>
      </c>
      <c r="N6278" t="str">
        <f>IFERROR(INDEX(tProdutos[Foco],MATCH(tItens[[#This Row],[Produto]],tProdutos[Produto],0)),"Não")</f>
        <v>Sim</v>
      </c>
      <c r="O6278" t="str">
        <f>IFERROR(INDEX(tEditais[SRP],MATCH(tItens[[#This Row],[Edital]],tEditais[Edital],0)),"Não")</f>
        <v>Sim</v>
      </c>
      <c r="P6278" s="4">
        <f>IF(COUNTIFS(INDEX(tItens[Edital],1):tItens[[#This Row],[Edital]],tItens[[#This Row],[Edital]],INDEX(tItens[Produto],1):tItens[[#This Row],[Produto]],tItens[[#This Row],[Produto]])=1,1,0)</f>
        <v>0</v>
      </c>
    </row>
    <row r="6279" spans="1:16" x14ac:dyDescent="0.25">
      <c r="A6279" t="s">
        <v>2183</v>
      </c>
      <c r="B6279">
        <v>11</v>
      </c>
      <c r="C6279" t="s">
        <v>9019</v>
      </c>
      <c r="D6279" t="s">
        <v>170</v>
      </c>
      <c r="E6279" s="13">
        <v>469</v>
      </c>
      <c r="F6279" s="12">
        <v>37.32</v>
      </c>
      <c r="G6279" t="str">
        <f>IFERROR(INDEX(tEditais[Órgão],MATCH(tItens[[#This Row],[Edital]],tEditais[Edital],0)),"")</f>
        <v>FUNDO ESTADUAL DE SAUDE DO PARANA - FUNSAUDE</v>
      </c>
      <c r="H6279" t="str">
        <f>IFERROR(INDEX(tEditais[UF],MATCH(tItens[[#This Row],[Edital]],tEditais[Edital],0)),"")</f>
        <v>PR</v>
      </c>
      <c r="I6279" s="11">
        <f>IFERROR(INDEX(tEditais[Encerramento],MATCH(tItens[[#This Row],[Edital]],tEditais[Edital],0)),"")</f>
        <v>46314.375</v>
      </c>
      <c r="J6279" t="str">
        <f>IFERROR(INDEX(tProdutos[Classe],MATCH(tItens[[#This Row],[Produto]],tProdutos[Produto],0)),"produto não cadastrado")</f>
        <v>DISPUTADO</v>
      </c>
      <c r="K6279" s="12">
        <f>tItens[[#This Row],[Qtd]]*tItens[[#This Row],[Vlr unit]]</f>
        <v>17503.080000000002</v>
      </c>
      <c r="L6279" s="6">
        <f>IFERROR(IF(INDEX(tProdutos[Desconto homologado],MATCH(tItens[[#This Row],[Produto]],tProdutos[Produto],0))="",DescontoPadrao,INDEX(tProdutos[Desconto homologado],MATCH(tItens[[#This Row],[Produto]],tProdutos[Produto],0))),DescontoPadrao)</f>
        <v>0.36</v>
      </c>
      <c r="M6279" s="12">
        <f>tItens[[#This Row],[Valor]]*(1-tItens[[#This Row],[Desconto]])</f>
        <v>11201.971200000002</v>
      </c>
      <c r="N6279" t="str">
        <f>IFERROR(INDEX(tProdutos[Foco],MATCH(tItens[[#This Row],[Produto]],tProdutos[Produto],0)),"Não")</f>
        <v>Sim</v>
      </c>
      <c r="O6279" t="str">
        <f>IFERROR(INDEX(tEditais[SRP],MATCH(tItens[[#This Row],[Edital]],tEditais[Edital],0)),"Não")</f>
        <v>Sim</v>
      </c>
      <c r="P6279" s="4">
        <f>IF(COUNTIFS(INDEX(tItens[Edital],1):tItens[[#This Row],[Edital]],tItens[[#This Row],[Edital]],INDEX(tItens[Produto],1):tItens[[#This Row],[Produto]],tItens[[#This Row],[Produto]])=1,1,0)</f>
        <v>0</v>
      </c>
    </row>
    <row r="6280" spans="1:16" x14ac:dyDescent="0.25">
      <c r="A6280" t="s">
        <v>2183</v>
      </c>
      <c r="B6280">
        <v>12</v>
      </c>
      <c r="C6280" t="s">
        <v>9020</v>
      </c>
      <c r="D6280" t="s">
        <v>170</v>
      </c>
      <c r="E6280" s="13">
        <v>829</v>
      </c>
      <c r="F6280" s="12">
        <v>53.51</v>
      </c>
      <c r="G6280" t="str">
        <f>IFERROR(INDEX(tEditais[Órgão],MATCH(tItens[[#This Row],[Edital]],tEditais[Edital],0)),"")</f>
        <v>FUNDO ESTADUAL DE SAUDE DO PARANA - FUNSAUDE</v>
      </c>
      <c r="H6280" t="str">
        <f>IFERROR(INDEX(tEditais[UF],MATCH(tItens[[#This Row],[Edital]],tEditais[Edital],0)),"")</f>
        <v>PR</v>
      </c>
      <c r="I6280" s="11">
        <f>IFERROR(INDEX(tEditais[Encerramento],MATCH(tItens[[#This Row],[Edital]],tEditais[Edital],0)),"")</f>
        <v>46314.375</v>
      </c>
      <c r="J6280" t="str">
        <f>IFERROR(INDEX(tProdutos[Classe],MATCH(tItens[[#This Row],[Produto]],tProdutos[Produto],0)),"produto não cadastrado")</f>
        <v>DISPUTADO</v>
      </c>
      <c r="K6280" s="12">
        <f>tItens[[#This Row],[Qtd]]*tItens[[#This Row],[Vlr unit]]</f>
        <v>44359.79</v>
      </c>
      <c r="L6280" s="6">
        <f>IFERROR(IF(INDEX(tProdutos[Desconto homologado],MATCH(tItens[[#This Row],[Produto]],tProdutos[Produto],0))="",DescontoPadrao,INDEX(tProdutos[Desconto homologado],MATCH(tItens[[#This Row],[Produto]],tProdutos[Produto],0))),DescontoPadrao)</f>
        <v>0.36</v>
      </c>
      <c r="M6280" s="12">
        <f>tItens[[#This Row],[Valor]]*(1-tItens[[#This Row],[Desconto]])</f>
        <v>28390.265600000002</v>
      </c>
      <c r="N6280" t="str">
        <f>IFERROR(INDEX(tProdutos[Foco],MATCH(tItens[[#This Row],[Produto]],tProdutos[Produto],0)),"Não")</f>
        <v>Sim</v>
      </c>
      <c r="O6280" t="str">
        <f>IFERROR(INDEX(tEditais[SRP],MATCH(tItens[[#This Row],[Edital]],tEditais[Edital],0)),"Não")</f>
        <v>Sim</v>
      </c>
      <c r="P6280" s="4">
        <f>IF(COUNTIFS(INDEX(tItens[Edital],1):tItens[[#This Row],[Edital]],tItens[[#This Row],[Edital]],INDEX(tItens[Produto],1):tItens[[#This Row],[Produto]],tItens[[#This Row],[Produto]])=1,1,0)</f>
        <v>0</v>
      </c>
    </row>
    <row r="6281" spans="1:16" x14ac:dyDescent="0.25">
      <c r="A6281" t="s">
        <v>2183</v>
      </c>
      <c r="B6281">
        <v>13</v>
      </c>
      <c r="C6281" t="s">
        <v>9021</v>
      </c>
      <c r="D6281" t="s">
        <v>170</v>
      </c>
      <c r="E6281" s="13">
        <v>894</v>
      </c>
      <c r="F6281" s="12">
        <v>36</v>
      </c>
      <c r="G6281" t="str">
        <f>IFERROR(INDEX(tEditais[Órgão],MATCH(tItens[[#This Row],[Edital]],tEditais[Edital],0)),"")</f>
        <v>FUNDO ESTADUAL DE SAUDE DO PARANA - FUNSAUDE</v>
      </c>
      <c r="H6281" t="str">
        <f>IFERROR(INDEX(tEditais[UF],MATCH(tItens[[#This Row],[Edital]],tEditais[Edital],0)),"")</f>
        <v>PR</v>
      </c>
      <c r="I6281" s="11">
        <f>IFERROR(INDEX(tEditais[Encerramento],MATCH(tItens[[#This Row],[Edital]],tEditais[Edital],0)),"")</f>
        <v>46314.375</v>
      </c>
      <c r="J6281" t="str">
        <f>IFERROR(INDEX(tProdutos[Classe],MATCH(tItens[[#This Row],[Produto]],tProdutos[Produto],0)),"produto não cadastrado")</f>
        <v>DISPUTADO</v>
      </c>
      <c r="K6281" s="12">
        <f>tItens[[#This Row],[Qtd]]*tItens[[#This Row],[Vlr unit]]</f>
        <v>32184</v>
      </c>
      <c r="L6281" s="6">
        <f>IFERROR(IF(INDEX(tProdutos[Desconto homologado],MATCH(tItens[[#This Row],[Produto]],tProdutos[Produto],0))="",DescontoPadrao,INDEX(tProdutos[Desconto homologado],MATCH(tItens[[#This Row],[Produto]],tProdutos[Produto],0))),DescontoPadrao)</f>
        <v>0.36</v>
      </c>
      <c r="M6281" s="12">
        <f>tItens[[#This Row],[Valor]]*(1-tItens[[#This Row],[Desconto]])</f>
        <v>20597.760000000002</v>
      </c>
      <c r="N6281" t="str">
        <f>IFERROR(INDEX(tProdutos[Foco],MATCH(tItens[[#This Row],[Produto]],tProdutos[Produto],0)),"Não")</f>
        <v>Sim</v>
      </c>
      <c r="O6281" t="str">
        <f>IFERROR(INDEX(tEditais[SRP],MATCH(tItens[[#This Row],[Edital]],tEditais[Edital],0)),"Não")</f>
        <v>Sim</v>
      </c>
      <c r="P6281" s="4">
        <f>IF(COUNTIFS(INDEX(tItens[Edital],1):tItens[[#This Row],[Edital]],tItens[[#This Row],[Edital]],INDEX(tItens[Produto],1):tItens[[#This Row],[Produto]],tItens[[#This Row],[Produto]])=1,1,0)</f>
        <v>0</v>
      </c>
    </row>
    <row r="6282" spans="1:16" x14ac:dyDescent="0.25">
      <c r="A6282" t="s">
        <v>2186</v>
      </c>
      <c r="B6282">
        <v>1</v>
      </c>
      <c r="C6282" t="s">
        <v>9022</v>
      </c>
      <c r="D6282" t="s">
        <v>347</v>
      </c>
      <c r="E6282" s="13">
        <v>18</v>
      </c>
      <c r="F6282" s="12">
        <v>16.53</v>
      </c>
      <c r="G6282" t="str">
        <f>IFERROR(INDEX(tEditais[Órgão],MATCH(tItens[[#This Row],[Edital]],tEditais[Edital],0)),"")</f>
        <v>UNIVERSIDADE ESTADUAL DE PONTA GROSSA</v>
      </c>
      <c r="H6282" t="str">
        <f>IFERROR(INDEX(tEditais[UF],MATCH(tItens[[#This Row],[Edital]],tEditais[Edital],0)),"")</f>
        <v>PR</v>
      </c>
      <c r="I6282" s="11">
        <f>IFERROR(INDEX(tEditais[Encerramento],MATCH(tItens[[#This Row],[Edital]],tEditais[Edital],0)),"")</f>
        <v>46314.375</v>
      </c>
      <c r="J6282" t="str">
        <f>IFERROR(INDEX(tProdutos[Classe],MATCH(tItens[[#This Row],[Produto]],tProdutos[Produto],0)),"produto não cadastrado")</f>
        <v>FORA</v>
      </c>
      <c r="K6282" s="12">
        <f>tItens[[#This Row],[Qtd]]*tItens[[#This Row],[Vlr unit]]</f>
        <v>297.54000000000002</v>
      </c>
      <c r="L6282" s="6">
        <f>IFERROR(IF(INDEX(tProdutos[Desconto homologado],MATCH(tItens[[#This Row],[Produto]],tProdutos[Produto],0))="",DescontoPadrao,INDEX(tProdutos[Desconto homologado],MATCH(tItens[[#This Row],[Produto]],tProdutos[Produto],0))),DescontoPadrao)</f>
        <v>0.26356465005931201</v>
      </c>
      <c r="M6282" s="12">
        <f>tItens[[#This Row],[Valor]]*(1-tItens[[#This Row],[Desconto]])</f>
        <v>219.1189740213523</v>
      </c>
      <c r="N6282" t="str">
        <f>IFERROR(INDEX(tProdutos[Foco],MATCH(tItens[[#This Row],[Produto]],tProdutos[Produto],0)),"Não")</f>
        <v>Não</v>
      </c>
      <c r="O6282" t="str">
        <f>IFERROR(INDEX(tEditais[SRP],MATCH(tItens[[#This Row],[Edital]],tEditais[Edital],0)),"Não")</f>
        <v>Não</v>
      </c>
      <c r="P6282" s="4">
        <f>IF(COUNTIFS(INDEX(tItens[Edital],1):tItens[[#This Row],[Edital]],tItens[[#This Row],[Edital]],INDEX(tItens[Produto],1):tItens[[#This Row],[Produto]],tItens[[#This Row],[Produto]])=1,1,0)</f>
        <v>1</v>
      </c>
    </row>
    <row r="6283" spans="1:16" x14ac:dyDescent="0.25">
      <c r="A6283" t="s">
        <v>2186</v>
      </c>
      <c r="B6283">
        <v>2</v>
      </c>
      <c r="C6283" t="s">
        <v>9023</v>
      </c>
      <c r="D6283" t="s">
        <v>347</v>
      </c>
      <c r="E6283" s="13">
        <v>24</v>
      </c>
      <c r="F6283" s="12">
        <v>17.07</v>
      </c>
      <c r="G6283" t="str">
        <f>IFERROR(INDEX(tEditais[Órgão],MATCH(tItens[[#This Row],[Edital]],tEditais[Edital],0)),"")</f>
        <v>UNIVERSIDADE ESTADUAL DE PONTA GROSSA</v>
      </c>
      <c r="H6283" t="str">
        <f>IFERROR(INDEX(tEditais[UF],MATCH(tItens[[#This Row],[Edital]],tEditais[Edital],0)),"")</f>
        <v>PR</v>
      </c>
      <c r="I6283" s="11">
        <f>IFERROR(INDEX(tEditais[Encerramento],MATCH(tItens[[#This Row],[Edital]],tEditais[Edital],0)),"")</f>
        <v>46314.375</v>
      </c>
      <c r="J6283" t="str">
        <f>IFERROR(INDEX(tProdutos[Classe],MATCH(tItens[[#This Row],[Produto]],tProdutos[Produto],0)),"produto não cadastrado")</f>
        <v>FORA</v>
      </c>
      <c r="K6283" s="12">
        <f>tItens[[#This Row],[Qtd]]*tItens[[#This Row],[Vlr unit]]</f>
        <v>409.68</v>
      </c>
      <c r="L6283" s="6">
        <f>IFERROR(IF(INDEX(tProdutos[Desconto homologado],MATCH(tItens[[#This Row],[Produto]],tProdutos[Produto],0))="",DescontoPadrao,INDEX(tProdutos[Desconto homologado],MATCH(tItens[[#This Row],[Produto]],tProdutos[Produto],0))),DescontoPadrao)</f>
        <v>0.26356465005931201</v>
      </c>
      <c r="M6283" s="12">
        <f>tItens[[#This Row],[Valor]]*(1-tItens[[#This Row],[Desconto]])</f>
        <v>301.70283416370103</v>
      </c>
      <c r="N6283" t="str">
        <f>IFERROR(INDEX(tProdutos[Foco],MATCH(tItens[[#This Row],[Produto]],tProdutos[Produto],0)),"Não")</f>
        <v>Não</v>
      </c>
      <c r="O6283" t="str">
        <f>IFERROR(INDEX(tEditais[SRP],MATCH(tItens[[#This Row],[Edital]],tEditais[Edital],0)),"Não")</f>
        <v>Não</v>
      </c>
      <c r="P6283" s="4">
        <f>IF(COUNTIFS(INDEX(tItens[Edital],1):tItens[[#This Row],[Edital]],tItens[[#This Row],[Edital]],INDEX(tItens[Produto],1):tItens[[#This Row],[Produto]],tItens[[#This Row],[Produto]])=1,1,0)</f>
        <v>0</v>
      </c>
    </row>
    <row r="6284" spans="1:16" x14ac:dyDescent="0.25">
      <c r="A6284" t="s">
        <v>2186</v>
      </c>
      <c r="B6284">
        <v>3</v>
      </c>
      <c r="C6284" t="s">
        <v>9024</v>
      </c>
      <c r="D6284" t="s">
        <v>347</v>
      </c>
      <c r="E6284" s="13">
        <v>24</v>
      </c>
      <c r="F6284" s="12">
        <v>18.149999999999999</v>
      </c>
      <c r="G6284" t="str">
        <f>IFERROR(INDEX(tEditais[Órgão],MATCH(tItens[[#This Row],[Edital]],tEditais[Edital],0)),"")</f>
        <v>UNIVERSIDADE ESTADUAL DE PONTA GROSSA</v>
      </c>
      <c r="H6284" t="str">
        <f>IFERROR(INDEX(tEditais[UF],MATCH(tItens[[#This Row],[Edital]],tEditais[Edital],0)),"")</f>
        <v>PR</v>
      </c>
      <c r="I6284" s="11">
        <f>IFERROR(INDEX(tEditais[Encerramento],MATCH(tItens[[#This Row],[Edital]],tEditais[Edital],0)),"")</f>
        <v>46314.375</v>
      </c>
      <c r="J6284" t="str">
        <f>IFERROR(INDEX(tProdutos[Classe],MATCH(tItens[[#This Row],[Produto]],tProdutos[Produto],0)),"produto não cadastrado")</f>
        <v>FORA</v>
      </c>
      <c r="K6284" s="12">
        <f>tItens[[#This Row],[Qtd]]*tItens[[#This Row],[Vlr unit]]</f>
        <v>435.59999999999997</v>
      </c>
      <c r="L6284" s="6">
        <f>IFERROR(IF(INDEX(tProdutos[Desconto homologado],MATCH(tItens[[#This Row],[Produto]],tProdutos[Produto],0))="",DescontoPadrao,INDEX(tProdutos[Desconto homologado],MATCH(tItens[[#This Row],[Produto]],tProdutos[Produto],0))),DescontoPadrao)</f>
        <v>0.26356465005931201</v>
      </c>
      <c r="M6284" s="12">
        <f>tItens[[#This Row],[Valor]]*(1-tItens[[#This Row],[Desconto]])</f>
        <v>320.79123843416363</v>
      </c>
      <c r="N6284" t="str">
        <f>IFERROR(INDEX(tProdutos[Foco],MATCH(tItens[[#This Row],[Produto]],tProdutos[Produto],0)),"Não")</f>
        <v>Não</v>
      </c>
      <c r="O6284" t="str">
        <f>IFERROR(INDEX(tEditais[SRP],MATCH(tItens[[#This Row],[Edital]],tEditais[Edital],0)),"Não")</f>
        <v>Não</v>
      </c>
      <c r="P6284" s="4">
        <f>IF(COUNTIFS(INDEX(tItens[Edital],1):tItens[[#This Row],[Edital]],tItens[[#This Row],[Edital]],INDEX(tItens[Produto],1):tItens[[#This Row],[Produto]],tItens[[#This Row],[Produto]])=1,1,0)</f>
        <v>0</v>
      </c>
    </row>
    <row r="6285" spans="1:16" x14ac:dyDescent="0.25">
      <c r="A6285" t="s">
        <v>2186</v>
      </c>
      <c r="B6285">
        <v>4</v>
      </c>
      <c r="C6285" t="s">
        <v>9025</v>
      </c>
      <c r="D6285" t="s">
        <v>347</v>
      </c>
      <c r="E6285" s="13">
        <v>15</v>
      </c>
      <c r="F6285" s="12">
        <v>17.11</v>
      </c>
      <c r="G6285" t="str">
        <f>IFERROR(INDEX(tEditais[Órgão],MATCH(tItens[[#This Row],[Edital]],tEditais[Edital],0)),"")</f>
        <v>UNIVERSIDADE ESTADUAL DE PONTA GROSSA</v>
      </c>
      <c r="H6285" t="str">
        <f>IFERROR(INDEX(tEditais[UF],MATCH(tItens[[#This Row],[Edital]],tEditais[Edital],0)),"")</f>
        <v>PR</v>
      </c>
      <c r="I6285" s="11">
        <f>IFERROR(INDEX(tEditais[Encerramento],MATCH(tItens[[#This Row],[Edital]],tEditais[Edital],0)),"")</f>
        <v>46314.375</v>
      </c>
      <c r="J6285" t="str">
        <f>IFERROR(INDEX(tProdutos[Classe],MATCH(tItens[[#This Row],[Produto]],tProdutos[Produto],0)),"produto não cadastrado")</f>
        <v>FORA</v>
      </c>
      <c r="K6285" s="12">
        <f>tItens[[#This Row],[Qtd]]*tItens[[#This Row],[Vlr unit]]</f>
        <v>256.64999999999998</v>
      </c>
      <c r="L6285" s="6">
        <f>IFERROR(IF(INDEX(tProdutos[Desconto homologado],MATCH(tItens[[#This Row],[Produto]],tProdutos[Produto],0))="",DescontoPadrao,INDEX(tProdutos[Desconto homologado],MATCH(tItens[[#This Row],[Produto]],tProdutos[Produto],0))),DescontoPadrao)</f>
        <v>0.26356465005931201</v>
      </c>
      <c r="M6285" s="12">
        <f>tItens[[#This Row],[Valor]]*(1-tItens[[#This Row],[Desconto]])</f>
        <v>189.00613256227754</v>
      </c>
      <c r="N6285" t="str">
        <f>IFERROR(INDEX(tProdutos[Foco],MATCH(tItens[[#This Row],[Produto]],tProdutos[Produto],0)),"Não")</f>
        <v>Não</v>
      </c>
      <c r="O6285" t="str">
        <f>IFERROR(INDEX(tEditais[SRP],MATCH(tItens[[#This Row],[Edital]],tEditais[Edital],0)),"Não")</f>
        <v>Não</v>
      </c>
      <c r="P6285" s="4">
        <f>IF(COUNTIFS(INDEX(tItens[Edital],1):tItens[[#This Row],[Edital]],tItens[[#This Row],[Edital]],INDEX(tItens[Produto],1):tItens[[#This Row],[Produto]],tItens[[#This Row],[Produto]])=1,1,0)</f>
        <v>0</v>
      </c>
    </row>
    <row r="6286" spans="1:16" x14ac:dyDescent="0.25">
      <c r="A6286" t="s">
        <v>2186</v>
      </c>
      <c r="B6286">
        <v>5</v>
      </c>
      <c r="C6286" t="s">
        <v>9025</v>
      </c>
      <c r="D6286" t="s">
        <v>347</v>
      </c>
      <c r="E6286" s="13">
        <v>24</v>
      </c>
      <c r="F6286" s="12">
        <v>16.21</v>
      </c>
      <c r="G6286" t="str">
        <f>IFERROR(INDEX(tEditais[Órgão],MATCH(tItens[[#This Row],[Edital]],tEditais[Edital],0)),"")</f>
        <v>UNIVERSIDADE ESTADUAL DE PONTA GROSSA</v>
      </c>
      <c r="H6286" t="str">
        <f>IFERROR(INDEX(tEditais[UF],MATCH(tItens[[#This Row],[Edital]],tEditais[Edital],0)),"")</f>
        <v>PR</v>
      </c>
      <c r="I6286" s="11">
        <f>IFERROR(INDEX(tEditais[Encerramento],MATCH(tItens[[#This Row],[Edital]],tEditais[Edital],0)),"")</f>
        <v>46314.375</v>
      </c>
      <c r="J6286" t="str">
        <f>IFERROR(INDEX(tProdutos[Classe],MATCH(tItens[[#This Row],[Produto]],tProdutos[Produto],0)),"produto não cadastrado")</f>
        <v>FORA</v>
      </c>
      <c r="K6286" s="12">
        <f>tItens[[#This Row],[Qtd]]*tItens[[#This Row],[Vlr unit]]</f>
        <v>389.04</v>
      </c>
      <c r="L6286" s="6">
        <f>IFERROR(IF(INDEX(tProdutos[Desconto homologado],MATCH(tItens[[#This Row],[Produto]],tProdutos[Produto],0))="",DescontoPadrao,INDEX(tProdutos[Desconto homologado],MATCH(tItens[[#This Row],[Produto]],tProdutos[Produto],0))),DescontoPadrao)</f>
        <v>0.26356465005931201</v>
      </c>
      <c r="M6286" s="12">
        <f>tItens[[#This Row],[Valor]]*(1-tItens[[#This Row],[Desconto]])</f>
        <v>286.50280854092523</v>
      </c>
      <c r="N6286" t="str">
        <f>IFERROR(INDEX(tProdutos[Foco],MATCH(tItens[[#This Row],[Produto]],tProdutos[Produto],0)),"Não")</f>
        <v>Não</v>
      </c>
      <c r="O6286" t="str">
        <f>IFERROR(INDEX(tEditais[SRP],MATCH(tItens[[#This Row],[Edital]],tEditais[Edital],0)),"Não")</f>
        <v>Não</v>
      </c>
      <c r="P6286" s="4">
        <f>IF(COUNTIFS(INDEX(tItens[Edital],1):tItens[[#This Row],[Edital]],tItens[[#This Row],[Edital]],INDEX(tItens[Produto],1):tItens[[#This Row],[Produto]],tItens[[#This Row],[Produto]])=1,1,0)</f>
        <v>0</v>
      </c>
    </row>
    <row r="6287" spans="1:16" x14ac:dyDescent="0.25">
      <c r="A6287" t="s">
        <v>2186</v>
      </c>
      <c r="B6287">
        <v>6</v>
      </c>
      <c r="C6287" t="s">
        <v>9026</v>
      </c>
      <c r="D6287" t="s">
        <v>347</v>
      </c>
      <c r="E6287" s="13">
        <v>18</v>
      </c>
      <c r="F6287" s="12">
        <v>16.53</v>
      </c>
      <c r="G6287" t="str">
        <f>IFERROR(INDEX(tEditais[Órgão],MATCH(tItens[[#This Row],[Edital]],tEditais[Edital],0)),"")</f>
        <v>UNIVERSIDADE ESTADUAL DE PONTA GROSSA</v>
      </c>
      <c r="H6287" t="str">
        <f>IFERROR(INDEX(tEditais[UF],MATCH(tItens[[#This Row],[Edital]],tEditais[Edital],0)),"")</f>
        <v>PR</v>
      </c>
      <c r="I6287" s="11">
        <f>IFERROR(INDEX(tEditais[Encerramento],MATCH(tItens[[#This Row],[Edital]],tEditais[Edital],0)),"")</f>
        <v>46314.375</v>
      </c>
      <c r="J6287" t="str">
        <f>IFERROR(INDEX(tProdutos[Classe],MATCH(tItens[[#This Row],[Produto]],tProdutos[Produto],0)),"produto não cadastrado")</f>
        <v>FORA</v>
      </c>
      <c r="K6287" s="12">
        <f>tItens[[#This Row],[Qtd]]*tItens[[#This Row],[Vlr unit]]</f>
        <v>297.54000000000002</v>
      </c>
      <c r="L6287" s="6">
        <f>IFERROR(IF(INDEX(tProdutos[Desconto homologado],MATCH(tItens[[#This Row],[Produto]],tProdutos[Produto],0))="",DescontoPadrao,INDEX(tProdutos[Desconto homologado],MATCH(tItens[[#This Row],[Produto]],tProdutos[Produto],0))),DescontoPadrao)</f>
        <v>0.26356465005931201</v>
      </c>
      <c r="M6287" s="12">
        <f>tItens[[#This Row],[Valor]]*(1-tItens[[#This Row],[Desconto]])</f>
        <v>219.1189740213523</v>
      </c>
      <c r="N6287" t="str">
        <f>IFERROR(INDEX(tProdutos[Foco],MATCH(tItens[[#This Row],[Produto]],tProdutos[Produto],0)),"Não")</f>
        <v>Não</v>
      </c>
      <c r="O6287" t="str">
        <f>IFERROR(INDEX(tEditais[SRP],MATCH(tItens[[#This Row],[Edital]],tEditais[Edital],0)),"Não")</f>
        <v>Não</v>
      </c>
      <c r="P6287" s="4">
        <f>IF(COUNTIFS(INDEX(tItens[Edital],1):tItens[[#This Row],[Edital]],tItens[[#This Row],[Edital]],INDEX(tItens[Produto],1):tItens[[#This Row],[Produto]],tItens[[#This Row],[Produto]])=1,1,0)</f>
        <v>0</v>
      </c>
    </row>
    <row r="6288" spans="1:16" x14ac:dyDescent="0.25">
      <c r="A6288" t="s">
        <v>2186</v>
      </c>
      <c r="B6288">
        <v>7</v>
      </c>
      <c r="C6288" t="s">
        <v>9027</v>
      </c>
      <c r="D6288" t="s">
        <v>347</v>
      </c>
      <c r="E6288" s="13">
        <v>24</v>
      </c>
      <c r="F6288" s="12">
        <v>17.07</v>
      </c>
      <c r="G6288" t="str">
        <f>IFERROR(INDEX(tEditais[Órgão],MATCH(tItens[[#This Row],[Edital]],tEditais[Edital],0)),"")</f>
        <v>UNIVERSIDADE ESTADUAL DE PONTA GROSSA</v>
      </c>
      <c r="H6288" t="str">
        <f>IFERROR(INDEX(tEditais[UF],MATCH(tItens[[#This Row],[Edital]],tEditais[Edital],0)),"")</f>
        <v>PR</v>
      </c>
      <c r="I6288" s="11">
        <f>IFERROR(INDEX(tEditais[Encerramento],MATCH(tItens[[#This Row],[Edital]],tEditais[Edital],0)),"")</f>
        <v>46314.375</v>
      </c>
      <c r="J6288" t="str">
        <f>IFERROR(INDEX(tProdutos[Classe],MATCH(tItens[[#This Row],[Produto]],tProdutos[Produto],0)),"produto não cadastrado")</f>
        <v>FORA</v>
      </c>
      <c r="K6288" s="12">
        <f>tItens[[#This Row],[Qtd]]*tItens[[#This Row],[Vlr unit]]</f>
        <v>409.68</v>
      </c>
      <c r="L6288" s="6">
        <f>IFERROR(IF(INDEX(tProdutos[Desconto homologado],MATCH(tItens[[#This Row],[Produto]],tProdutos[Produto],0))="",DescontoPadrao,INDEX(tProdutos[Desconto homologado],MATCH(tItens[[#This Row],[Produto]],tProdutos[Produto],0))),DescontoPadrao)</f>
        <v>0.26356465005931201</v>
      </c>
      <c r="M6288" s="12">
        <f>tItens[[#This Row],[Valor]]*(1-tItens[[#This Row],[Desconto]])</f>
        <v>301.70283416370103</v>
      </c>
      <c r="N6288" t="str">
        <f>IFERROR(INDEX(tProdutos[Foco],MATCH(tItens[[#This Row],[Produto]],tProdutos[Produto],0)),"Não")</f>
        <v>Não</v>
      </c>
      <c r="O6288" t="str">
        <f>IFERROR(INDEX(tEditais[SRP],MATCH(tItens[[#This Row],[Edital]],tEditais[Edital],0)),"Não")</f>
        <v>Não</v>
      </c>
      <c r="P6288" s="4">
        <f>IF(COUNTIFS(INDEX(tItens[Edital],1):tItens[[#This Row],[Edital]],tItens[[#This Row],[Edital]],INDEX(tItens[Produto],1):tItens[[#This Row],[Produto]],tItens[[#This Row],[Produto]])=1,1,0)</f>
        <v>0</v>
      </c>
    </row>
    <row r="6289" spans="1:16" x14ac:dyDescent="0.25">
      <c r="A6289" t="s">
        <v>2186</v>
      </c>
      <c r="B6289">
        <v>8</v>
      </c>
      <c r="C6289" t="s">
        <v>9028</v>
      </c>
      <c r="D6289" t="s">
        <v>347</v>
      </c>
      <c r="E6289" s="13">
        <v>24</v>
      </c>
      <c r="F6289" s="12">
        <v>18.149999999999999</v>
      </c>
      <c r="G6289" t="str">
        <f>IFERROR(INDEX(tEditais[Órgão],MATCH(tItens[[#This Row],[Edital]],tEditais[Edital],0)),"")</f>
        <v>UNIVERSIDADE ESTADUAL DE PONTA GROSSA</v>
      </c>
      <c r="H6289" t="str">
        <f>IFERROR(INDEX(tEditais[UF],MATCH(tItens[[#This Row],[Edital]],tEditais[Edital],0)),"")</f>
        <v>PR</v>
      </c>
      <c r="I6289" s="11">
        <f>IFERROR(INDEX(tEditais[Encerramento],MATCH(tItens[[#This Row],[Edital]],tEditais[Edital],0)),"")</f>
        <v>46314.375</v>
      </c>
      <c r="J6289" t="str">
        <f>IFERROR(INDEX(tProdutos[Classe],MATCH(tItens[[#This Row],[Produto]],tProdutos[Produto],0)),"produto não cadastrado")</f>
        <v>FORA</v>
      </c>
      <c r="K6289" s="12">
        <f>tItens[[#This Row],[Qtd]]*tItens[[#This Row],[Vlr unit]]</f>
        <v>435.59999999999997</v>
      </c>
      <c r="L6289" s="6">
        <f>IFERROR(IF(INDEX(tProdutos[Desconto homologado],MATCH(tItens[[#This Row],[Produto]],tProdutos[Produto],0))="",DescontoPadrao,INDEX(tProdutos[Desconto homologado],MATCH(tItens[[#This Row],[Produto]],tProdutos[Produto],0))),DescontoPadrao)</f>
        <v>0.26356465005931201</v>
      </c>
      <c r="M6289" s="12">
        <f>tItens[[#This Row],[Valor]]*(1-tItens[[#This Row],[Desconto]])</f>
        <v>320.79123843416363</v>
      </c>
      <c r="N6289" t="str">
        <f>IFERROR(INDEX(tProdutos[Foco],MATCH(tItens[[#This Row],[Produto]],tProdutos[Produto],0)),"Não")</f>
        <v>Não</v>
      </c>
      <c r="O6289" t="str">
        <f>IFERROR(INDEX(tEditais[SRP],MATCH(tItens[[#This Row],[Edital]],tEditais[Edital],0)),"Não")</f>
        <v>Não</v>
      </c>
      <c r="P6289" s="4">
        <f>IF(COUNTIFS(INDEX(tItens[Edital],1):tItens[[#This Row],[Edital]],tItens[[#This Row],[Edital]],INDEX(tItens[Produto],1):tItens[[#This Row],[Produto]],tItens[[#This Row],[Produto]])=1,1,0)</f>
        <v>0</v>
      </c>
    </row>
    <row r="6290" spans="1:16" x14ac:dyDescent="0.25">
      <c r="A6290" t="s">
        <v>2186</v>
      </c>
      <c r="B6290">
        <v>10</v>
      </c>
      <c r="C6290" t="s">
        <v>9029</v>
      </c>
      <c r="D6290" t="s">
        <v>347</v>
      </c>
      <c r="E6290" s="13">
        <v>24</v>
      </c>
      <c r="F6290" s="12">
        <v>16.21</v>
      </c>
      <c r="G6290" t="str">
        <f>IFERROR(INDEX(tEditais[Órgão],MATCH(tItens[[#This Row],[Edital]],tEditais[Edital],0)),"")</f>
        <v>UNIVERSIDADE ESTADUAL DE PONTA GROSSA</v>
      </c>
      <c r="H6290" t="str">
        <f>IFERROR(INDEX(tEditais[UF],MATCH(tItens[[#This Row],[Edital]],tEditais[Edital],0)),"")</f>
        <v>PR</v>
      </c>
      <c r="I6290" s="11">
        <f>IFERROR(INDEX(tEditais[Encerramento],MATCH(tItens[[#This Row],[Edital]],tEditais[Edital],0)),"")</f>
        <v>46314.375</v>
      </c>
      <c r="J6290" t="str">
        <f>IFERROR(INDEX(tProdutos[Classe],MATCH(tItens[[#This Row],[Produto]],tProdutos[Produto],0)),"produto não cadastrado")</f>
        <v>FORA</v>
      </c>
      <c r="K6290" s="12">
        <f>tItens[[#This Row],[Qtd]]*tItens[[#This Row],[Vlr unit]]</f>
        <v>389.04</v>
      </c>
      <c r="L6290" s="6">
        <f>IFERROR(IF(INDEX(tProdutos[Desconto homologado],MATCH(tItens[[#This Row],[Produto]],tProdutos[Produto],0))="",DescontoPadrao,INDEX(tProdutos[Desconto homologado],MATCH(tItens[[#This Row],[Produto]],tProdutos[Produto],0))),DescontoPadrao)</f>
        <v>0.26356465005931201</v>
      </c>
      <c r="M6290" s="12">
        <f>tItens[[#This Row],[Valor]]*(1-tItens[[#This Row],[Desconto]])</f>
        <v>286.50280854092523</v>
      </c>
      <c r="N6290" t="str">
        <f>IFERROR(INDEX(tProdutos[Foco],MATCH(tItens[[#This Row],[Produto]],tProdutos[Produto],0)),"Não")</f>
        <v>Não</v>
      </c>
      <c r="O6290" t="str">
        <f>IFERROR(INDEX(tEditais[SRP],MATCH(tItens[[#This Row],[Edital]],tEditais[Edital],0)),"Não")</f>
        <v>Não</v>
      </c>
      <c r="P6290" s="4">
        <f>IF(COUNTIFS(INDEX(tItens[Edital],1):tItens[[#This Row],[Edital]],tItens[[#This Row],[Edital]],INDEX(tItens[Produto],1):tItens[[#This Row],[Produto]],tItens[[#This Row],[Produto]])=1,1,0)</f>
        <v>0</v>
      </c>
    </row>
    <row r="6291" spans="1:16" x14ac:dyDescent="0.25">
      <c r="A6291" t="s">
        <v>2186</v>
      </c>
      <c r="B6291">
        <v>11</v>
      </c>
      <c r="C6291" t="s">
        <v>9030</v>
      </c>
      <c r="D6291" t="s">
        <v>136</v>
      </c>
      <c r="E6291" s="13">
        <v>10406</v>
      </c>
      <c r="F6291" s="12">
        <v>6.81</v>
      </c>
      <c r="G6291" t="str">
        <f>IFERROR(INDEX(tEditais[Órgão],MATCH(tItens[[#This Row],[Edital]],tEditais[Edital],0)),"")</f>
        <v>UNIVERSIDADE ESTADUAL DE PONTA GROSSA</v>
      </c>
      <c r="H6291" t="str">
        <f>IFERROR(INDEX(tEditais[UF],MATCH(tItens[[#This Row],[Edital]],tEditais[Edital],0)),"")</f>
        <v>PR</v>
      </c>
      <c r="I6291" s="11">
        <f>IFERROR(INDEX(tEditais[Encerramento],MATCH(tItens[[#This Row],[Edital]],tEditais[Edital],0)),"")</f>
        <v>46314.375</v>
      </c>
      <c r="J6291" t="str">
        <f>IFERROR(INDEX(tProdutos[Classe],MATCH(tItens[[#This Row],[Produto]],tProdutos[Produto],0)),"produto não cadastrado")</f>
        <v>DISPUTADO</v>
      </c>
      <c r="K6291" s="12">
        <f>tItens[[#This Row],[Qtd]]*tItens[[#This Row],[Vlr unit]]</f>
        <v>70864.86</v>
      </c>
      <c r="L6291" s="6">
        <f>IFERROR(IF(INDEX(tProdutos[Desconto homologado],MATCH(tItens[[#This Row],[Produto]],tProdutos[Produto],0))="",DescontoPadrao,INDEX(tProdutos[Desconto homologado],MATCH(tItens[[#This Row],[Produto]],tProdutos[Produto],0))),DescontoPadrao)</f>
        <v>0.330646209370899</v>
      </c>
      <c r="M6291" s="12">
        <f>tItens[[#This Row],[Valor]]*(1-tItens[[#This Row],[Desconto]])</f>
        <v>47433.662663400552</v>
      </c>
      <c r="N6291" t="str">
        <f>IFERROR(INDEX(tProdutos[Foco],MATCH(tItens[[#This Row],[Produto]],tProdutos[Produto],0)),"Não")</f>
        <v>Não</v>
      </c>
      <c r="O6291" t="str">
        <f>IFERROR(INDEX(tEditais[SRP],MATCH(tItens[[#This Row],[Edital]],tEditais[Edital],0)),"Não")</f>
        <v>Não</v>
      </c>
      <c r="P6291" s="4">
        <f>IF(COUNTIFS(INDEX(tItens[Edital],1):tItens[[#This Row],[Edital]],tItens[[#This Row],[Edital]],INDEX(tItens[Produto],1):tItens[[#This Row],[Produto]],tItens[[#This Row],[Produto]])=1,1,0)</f>
        <v>1</v>
      </c>
    </row>
    <row r="6292" spans="1:16" x14ac:dyDescent="0.25">
      <c r="A6292" t="s">
        <v>2186</v>
      </c>
      <c r="B6292">
        <v>12</v>
      </c>
      <c r="C6292" t="s">
        <v>9030</v>
      </c>
      <c r="D6292" t="s">
        <v>136</v>
      </c>
      <c r="E6292" s="13">
        <v>3469</v>
      </c>
      <c r="F6292" s="12">
        <v>6.81</v>
      </c>
      <c r="G6292" t="str">
        <f>IFERROR(INDEX(tEditais[Órgão],MATCH(tItens[[#This Row],[Edital]],tEditais[Edital],0)),"")</f>
        <v>UNIVERSIDADE ESTADUAL DE PONTA GROSSA</v>
      </c>
      <c r="H6292" t="str">
        <f>IFERROR(INDEX(tEditais[UF],MATCH(tItens[[#This Row],[Edital]],tEditais[Edital],0)),"")</f>
        <v>PR</v>
      </c>
      <c r="I6292" s="11">
        <f>IFERROR(INDEX(tEditais[Encerramento],MATCH(tItens[[#This Row],[Edital]],tEditais[Edital],0)),"")</f>
        <v>46314.375</v>
      </c>
      <c r="J6292" t="str">
        <f>IFERROR(INDEX(tProdutos[Classe],MATCH(tItens[[#This Row],[Produto]],tProdutos[Produto],0)),"produto não cadastrado")</f>
        <v>DISPUTADO</v>
      </c>
      <c r="K6292" s="12">
        <f>tItens[[#This Row],[Qtd]]*tItens[[#This Row],[Vlr unit]]</f>
        <v>23623.89</v>
      </c>
      <c r="L6292" s="6">
        <f>IFERROR(IF(INDEX(tProdutos[Desconto homologado],MATCH(tItens[[#This Row],[Produto]],tProdutos[Produto],0))="",DescontoPadrao,INDEX(tProdutos[Desconto homologado],MATCH(tItens[[#This Row],[Produto]],tProdutos[Produto],0))),DescontoPadrao)</f>
        <v>0.330646209370899</v>
      </c>
      <c r="M6292" s="12">
        <f>tItens[[#This Row],[Valor]]*(1-tItens[[#This Row],[Desconto]])</f>
        <v>15812.740320904912</v>
      </c>
      <c r="N6292" t="str">
        <f>IFERROR(INDEX(tProdutos[Foco],MATCH(tItens[[#This Row],[Produto]],tProdutos[Produto],0)),"Não")</f>
        <v>Não</v>
      </c>
      <c r="O6292" t="str">
        <f>IFERROR(INDEX(tEditais[SRP],MATCH(tItens[[#This Row],[Edital]],tEditais[Edital],0)),"Não")</f>
        <v>Não</v>
      </c>
      <c r="P6292" s="4">
        <f>IF(COUNTIFS(INDEX(tItens[Edital],1):tItens[[#This Row],[Edital]],tItens[[#This Row],[Edital]],INDEX(tItens[Produto],1):tItens[[#This Row],[Produto]],tItens[[#This Row],[Produto]])=1,1,0)</f>
        <v>0</v>
      </c>
    </row>
    <row r="6293" spans="1:16" x14ac:dyDescent="0.25">
      <c r="A6293" t="s">
        <v>2186</v>
      </c>
      <c r="B6293">
        <v>15</v>
      </c>
      <c r="C6293" t="s">
        <v>9031</v>
      </c>
      <c r="D6293" t="s">
        <v>136</v>
      </c>
      <c r="E6293" s="13">
        <v>880</v>
      </c>
      <c r="F6293" s="12">
        <v>9.16</v>
      </c>
      <c r="G6293" t="str">
        <f>IFERROR(INDEX(tEditais[Órgão],MATCH(tItens[[#This Row],[Edital]],tEditais[Edital],0)),"")</f>
        <v>UNIVERSIDADE ESTADUAL DE PONTA GROSSA</v>
      </c>
      <c r="H6293" t="str">
        <f>IFERROR(INDEX(tEditais[UF],MATCH(tItens[[#This Row],[Edital]],tEditais[Edital],0)),"")</f>
        <v>PR</v>
      </c>
      <c r="I6293" s="11">
        <f>IFERROR(INDEX(tEditais[Encerramento],MATCH(tItens[[#This Row],[Edital]],tEditais[Edital],0)),"")</f>
        <v>46314.375</v>
      </c>
      <c r="J6293" t="str">
        <f>IFERROR(INDEX(tProdutos[Classe],MATCH(tItens[[#This Row],[Produto]],tProdutos[Produto],0)),"produto não cadastrado")</f>
        <v>DISPUTADO</v>
      </c>
      <c r="K6293" s="12">
        <f>tItens[[#This Row],[Qtd]]*tItens[[#This Row],[Vlr unit]]</f>
        <v>8060.8</v>
      </c>
      <c r="L6293" s="6">
        <f>IFERROR(IF(INDEX(tProdutos[Desconto homologado],MATCH(tItens[[#This Row],[Produto]],tProdutos[Produto],0))="",DescontoPadrao,INDEX(tProdutos[Desconto homologado],MATCH(tItens[[#This Row],[Produto]],tProdutos[Produto],0))),DescontoPadrao)</f>
        <v>0.330646209370899</v>
      </c>
      <c r="M6293" s="12">
        <f>tItens[[#This Row],[Valor]]*(1-tItens[[#This Row],[Desconto]])</f>
        <v>5395.527035503057</v>
      </c>
      <c r="N6293" t="str">
        <f>IFERROR(INDEX(tProdutos[Foco],MATCH(tItens[[#This Row],[Produto]],tProdutos[Produto],0)),"Não")</f>
        <v>Não</v>
      </c>
      <c r="O6293" t="str">
        <f>IFERROR(INDEX(tEditais[SRP],MATCH(tItens[[#This Row],[Edital]],tEditais[Edital],0)),"Não")</f>
        <v>Não</v>
      </c>
      <c r="P6293" s="4">
        <f>IF(COUNTIFS(INDEX(tItens[Edital],1):tItens[[#This Row],[Edital]],tItens[[#This Row],[Edital]],INDEX(tItens[Produto],1):tItens[[#This Row],[Produto]],tItens[[#This Row],[Produto]])=1,1,0)</f>
        <v>0</v>
      </c>
    </row>
    <row r="6294" spans="1:16" x14ac:dyDescent="0.25">
      <c r="A6294" t="s">
        <v>2186</v>
      </c>
      <c r="B6294">
        <v>19</v>
      </c>
      <c r="C6294" t="s">
        <v>9032</v>
      </c>
      <c r="D6294" t="s">
        <v>69</v>
      </c>
      <c r="E6294" s="13">
        <v>10700</v>
      </c>
      <c r="F6294" s="12">
        <v>0.66</v>
      </c>
      <c r="G6294" t="str">
        <f>IFERROR(INDEX(tEditais[Órgão],MATCH(tItens[[#This Row],[Edital]],tEditais[Edital],0)),"")</f>
        <v>UNIVERSIDADE ESTADUAL DE PONTA GROSSA</v>
      </c>
      <c r="H6294" t="str">
        <f>IFERROR(INDEX(tEditais[UF],MATCH(tItens[[#This Row],[Edital]],tEditais[Edital],0)),"")</f>
        <v>PR</v>
      </c>
      <c r="I6294" s="11">
        <f>IFERROR(INDEX(tEditais[Encerramento],MATCH(tItens[[#This Row],[Edital]],tEditais[Edital],0)),"")</f>
        <v>46314.375</v>
      </c>
      <c r="J6294" t="str">
        <f>IFERROR(INDEX(tProdutos[Classe],MATCH(tItens[[#This Row],[Produto]],tProdutos[Produto],0)),"produto não cadastrado")</f>
        <v>NÚCLEO</v>
      </c>
      <c r="K6294" s="12">
        <f>tItens[[#This Row],[Qtd]]*tItens[[#This Row],[Vlr unit]]</f>
        <v>7062</v>
      </c>
      <c r="L6294" s="6">
        <f>IFERROR(IF(INDEX(tProdutos[Desconto homologado],MATCH(tItens[[#This Row],[Produto]],tProdutos[Produto],0))="",DescontoPadrao,INDEX(tProdutos[Desconto homologado],MATCH(tItens[[#This Row],[Produto]],tProdutos[Produto],0))),DescontoPadrao)</f>
        <v>0.38829259638568803</v>
      </c>
      <c r="M6294" s="12">
        <f>tItens[[#This Row],[Valor]]*(1-tItens[[#This Row],[Desconto]])</f>
        <v>4319.8776843242713</v>
      </c>
      <c r="N6294" t="str">
        <f>IFERROR(INDEX(tProdutos[Foco],MATCH(tItens[[#This Row],[Produto]],tProdutos[Produto],0)),"Não")</f>
        <v>Não</v>
      </c>
      <c r="O6294" t="str">
        <f>IFERROR(INDEX(tEditais[SRP],MATCH(tItens[[#This Row],[Edital]],tEditais[Edital],0)),"Não")</f>
        <v>Não</v>
      </c>
      <c r="P6294" s="4">
        <f>IF(COUNTIFS(INDEX(tItens[Edital],1):tItens[[#This Row],[Edital]],tItens[[#This Row],[Edital]],INDEX(tItens[Produto],1):tItens[[#This Row],[Produto]],tItens[[#This Row],[Produto]])=1,1,0)</f>
        <v>1</v>
      </c>
    </row>
    <row r="6295" spans="1:16" x14ac:dyDescent="0.25">
      <c r="A6295" t="s">
        <v>2186</v>
      </c>
      <c r="B6295">
        <v>21</v>
      </c>
      <c r="C6295" t="s">
        <v>9033</v>
      </c>
      <c r="D6295" t="s">
        <v>69</v>
      </c>
      <c r="E6295" s="13">
        <v>5900</v>
      </c>
      <c r="F6295" s="12">
        <v>0.81</v>
      </c>
      <c r="G6295" t="str">
        <f>IFERROR(INDEX(tEditais[Órgão],MATCH(tItens[[#This Row],[Edital]],tEditais[Edital],0)),"")</f>
        <v>UNIVERSIDADE ESTADUAL DE PONTA GROSSA</v>
      </c>
      <c r="H6295" t="str">
        <f>IFERROR(INDEX(tEditais[UF],MATCH(tItens[[#This Row],[Edital]],tEditais[Edital],0)),"")</f>
        <v>PR</v>
      </c>
      <c r="I6295" s="11">
        <f>IFERROR(INDEX(tEditais[Encerramento],MATCH(tItens[[#This Row],[Edital]],tEditais[Edital],0)),"")</f>
        <v>46314.375</v>
      </c>
      <c r="J6295" t="str">
        <f>IFERROR(INDEX(tProdutos[Classe],MATCH(tItens[[#This Row],[Produto]],tProdutos[Produto],0)),"produto não cadastrado")</f>
        <v>NÚCLEO</v>
      </c>
      <c r="K6295" s="12">
        <f>tItens[[#This Row],[Qtd]]*tItens[[#This Row],[Vlr unit]]</f>
        <v>4779</v>
      </c>
      <c r="L6295" s="6">
        <f>IFERROR(IF(INDEX(tProdutos[Desconto homologado],MATCH(tItens[[#This Row],[Produto]],tProdutos[Produto],0))="",DescontoPadrao,INDEX(tProdutos[Desconto homologado],MATCH(tItens[[#This Row],[Produto]],tProdutos[Produto],0))),DescontoPadrao)</f>
        <v>0.38829259638568803</v>
      </c>
      <c r="M6295" s="12">
        <f>tItens[[#This Row],[Valor]]*(1-tItens[[#This Row],[Desconto]])</f>
        <v>2923.3496818727967</v>
      </c>
      <c r="N6295" t="str">
        <f>IFERROR(INDEX(tProdutos[Foco],MATCH(tItens[[#This Row],[Produto]],tProdutos[Produto],0)),"Não")</f>
        <v>Não</v>
      </c>
      <c r="O6295" t="str">
        <f>IFERROR(INDEX(tEditais[SRP],MATCH(tItens[[#This Row],[Edital]],tEditais[Edital],0)),"Não")</f>
        <v>Não</v>
      </c>
      <c r="P6295" s="4">
        <f>IF(COUNTIFS(INDEX(tItens[Edital],1):tItens[[#This Row],[Edital]],tItens[[#This Row],[Edital]],INDEX(tItens[Produto],1):tItens[[#This Row],[Produto]],tItens[[#This Row],[Produto]])=1,1,0)</f>
        <v>0</v>
      </c>
    </row>
    <row r="6296" spans="1:16" x14ac:dyDescent="0.25">
      <c r="A6296" t="s">
        <v>2186</v>
      </c>
      <c r="B6296">
        <v>31</v>
      </c>
      <c r="C6296" t="s">
        <v>9034</v>
      </c>
      <c r="D6296" t="s">
        <v>56</v>
      </c>
      <c r="E6296" s="13">
        <v>30</v>
      </c>
      <c r="F6296" s="12">
        <v>16.84</v>
      </c>
      <c r="G6296" t="str">
        <f>IFERROR(INDEX(tEditais[Órgão],MATCH(tItens[[#This Row],[Edital]],tEditais[Edital],0)),"")</f>
        <v>UNIVERSIDADE ESTADUAL DE PONTA GROSSA</v>
      </c>
      <c r="H6296" t="str">
        <f>IFERROR(INDEX(tEditais[UF],MATCH(tItens[[#This Row],[Edital]],tEditais[Edital],0)),"")</f>
        <v>PR</v>
      </c>
      <c r="I6296" s="11">
        <f>IFERROR(INDEX(tEditais[Encerramento],MATCH(tItens[[#This Row],[Edital]],tEditais[Edital],0)),"")</f>
        <v>46314.375</v>
      </c>
      <c r="J6296" t="str">
        <f>IFERROR(INDEX(tProdutos[Classe],MATCH(tItens[[#This Row],[Produto]],tProdutos[Produto],0)),"produto não cadastrado")</f>
        <v>NÚCLEO</v>
      </c>
      <c r="K6296" s="12">
        <f>tItens[[#This Row],[Qtd]]*tItens[[#This Row],[Vlr unit]]</f>
        <v>505.2</v>
      </c>
      <c r="L6296" s="6">
        <f>IFERROR(IF(INDEX(tProdutos[Desconto homologado],MATCH(tItens[[#This Row],[Produto]],tProdutos[Produto],0))="",DescontoPadrao,INDEX(tProdutos[Desconto homologado],MATCH(tItens[[#This Row],[Produto]],tProdutos[Produto],0))),DescontoPadrao)</f>
        <v>0.34</v>
      </c>
      <c r="M6296" s="12">
        <f>tItens[[#This Row],[Valor]]*(1-tItens[[#This Row],[Desconto]])</f>
        <v>333.43199999999996</v>
      </c>
      <c r="N6296" t="str">
        <f>IFERROR(INDEX(tProdutos[Foco],MATCH(tItens[[#This Row],[Produto]],tProdutos[Produto],0)),"Não")</f>
        <v>Sim</v>
      </c>
      <c r="O6296" t="str">
        <f>IFERROR(INDEX(tEditais[SRP],MATCH(tItens[[#This Row],[Edital]],tEditais[Edital],0)),"Não")</f>
        <v>Não</v>
      </c>
      <c r="P6296" s="4">
        <f>IF(COUNTIFS(INDEX(tItens[Edital],1):tItens[[#This Row],[Edital]],tItens[[#This Row],[Edital]],INDEX(tItens[Produto],1):tItens[[#This Row],[Produto]],tItens[[#This Row],[Produto]])=1,1,0)</f>
        <v>1</v>
      </c>
    </row>
    <row r="6297" spans="1:16" x14ac:dyDescent="0.25">
      <c r="A6297" t="s">
        <v>2186</v>
      </c>
      <c r="B6297">
        <v>33</v>
      </c>
      <c r="C6297" t="s">
        <v>9035</v>
      </c>
      <c r="D6297" t="s">
        <v>56</v>
      </c>
      <c r="E6297" s="13">
        <v>45</v>
      </c>
      <c r="F6297" s="12">
        <v>15.38</v>
      </c>
      <c r="G6297" t="str">
        <f>IFERROR(INDEX(tEditais[Órgão],MATCH(tItens[[#This Row],[Edital]],tEditais[Edital],0)),"")</f>
        <v>UNIVERSIDADE ESTADUAL DE PONTA GROSSA</v>
      </c>
      <c r="H6297" t="str">
        <f>IFERROR(INDEX(tEditais[UF],MATCH(tItens[[#This Row],[Edital]],tEditais[Edital],0)),"")</f>
        <v>PR</v>
      </c>
      <c r="I6297" s="11">
        <f>IFERROR(INDEX(tEditais[Encerramento],MATCH(tItens[[#This Row],[Edital]],tEditais[Edital],0)),"")</f>
        <v>46314.375</v>
      </c>
      <c r="J6297" t="str">
        <f>IFERROR(INDEX(tProdutos[Classe],MATCH(tItens[[#This Row],[Produto]],tProdutos[Produto],0)),"produto não cadastrado")</f>
        <v>NÚCLEO</v>
      </c>
      <c r="K6297" s="12">
        <f>tItens[[#This Row],[Qtd]]*tItens[[#This Row],[Vlr unit]]</f>
        <v>692.1</v>
      </c>
      <c r="L6297" s="6">
        <f>IFERROR(IF(INDEX(tProdutos[Desconto homologado],MATCH(tItens[[#This Row],[Produto]],tProdutos[Produto],0))="",DescontoPadrao,INDEX(tProdutos[Desconto homologado],MATCH(tItens[[#This Row],[Produto]],tProdutos[Produto],0))),DescontoPadrao)</f>
        <v>0.34</v>
      </c>
      <c r="M6297" s="12">
        <f>tItens[[#This Row],[Valor]]*(1-tItens[[#This Row],[Desconto]])</f>
        <v>456.78599999999994</v>
      </c>
      <c r="N6297" t="str">
        <f>IFERROR(INDEX(tProdutos[Foco],MATCH(tItens[[#This Row],[Produto]],tProdutos[Produto],0)),"Não")</f>
        <v>Sim</v>
      </c>
      <c r="O6297" t="str">
        <f>IFERROR(INDEX(tEditais[SRP],MATCH(tItens[[#This Row],[Edital]],tEditais[Edital],0)),"Não")</f>
        <v>Não</v>
      </c>
      <c r="P6297" s="4">
        <f>IF(COUNTIFS(INDEX(tItens[Edital],1):tItens[[#This Row],[Edital]],tItens[[#This Row],[Edital]],INDEX(tItens[Produto],1):tItens[[#This Row],[Produto]],tItens[[#This Row],[Produto]])=1,1,0)</f>
        <v>0</v>
      </c>
    </row>
    <row r="6298" spans="1:16" x14ac:dyDescent="0.25">
      <c r="A6298" t="s">
        <v>2190</v>
      </c>
      <c r="B6298">
        <v>8</v>
      </c>
      <c r="C6298" t="s">
        <v>9036</v>
      </c>
      <c r="D6298" t="s">
        <v>170</v>
      </c>
      <c r="E6298" s="13">
        <v>338</v>
      </c>
      <c r="F6298" s="12">
        <v>33</v>
      </c>
      <c r="G6298" t="str">
        <f>IFERROR(INDEX(tEditais[Órgão],MATCH(tItens[[#This Row],[Edital]],tEditais[Edital],0)),"")</f>
        <v>SECRETARIA DE ESTADO DA SAUDE</v>
      </c>
      <c r="H6298" t="str">
        <f>IFERROR(INDEX(tEditais[UF],MATCH(tItens[[#This Row],[Edital]],tEditais[Edital],0)),"")</f>
        <v>PR</v>
      </c>
      <c r="I6298" s="11">
        <f>IFERROR(INDEX(tEditais[Encerramento],MATCH(tItens[[#This Row],[Edital]],tEditais[Edital],0)),"")</f>
        <v>46314.381944444445</v>
      </c>
      <c r="J6298" t="str">
        <f>IFERROR(INDEX(tProdutos[Classe],MATCH(tItens[[#This Row],[Produto]],tProdutos[Produto],0)),"produto não cadastrado")</f>
        <v>DISPUTADO</v>
      </c>
      <c r="K6298" s="12">
        <f>tItens[[#This Row],[Qtd]]*tItens[[#This Row],[Vlr unit]]</f>
        <v>11154</v>
      </c>
      <c r="L6298" s="6">
        <f>IFERROR(IF(INDEX(tProdutos[Desconto homologado],MATCH(tItens[[#This Row],[Produto]],tProdutos[Produto],0))="",DescontoPadrao,INDEX(tProdutos[Desconto homologado],MATCH(tItens[[#This Row],[Produto]],tProdutos[Produto],0))),DescontoPadrao)</f>
        <v>0.36</v>
      </c>
      <c r="M6298" s="12">
        <f>tItens[[#This Row],[Valor]]*(1-tItens[[#This Row],[Desconto]])</f>
        <v>7138.56</v>
      </c>
      <c r="N6298" t="str">
        <f>IFERROR(INDEX(tProdutos[Foco],MATCH(tItens[[#This Row],[Produto]],tProdutos[Produto],0)),"Não")</f>
        <v>Sim</v>
      </c>
      <c r="O6298" t="str">
        <f>IFERROR(INDEX(tEditais[SRP],MATCH(tItens[[#This Row],[Edital]],tEditais[Edital],0)),"Não")</f>
        <v>Sim</v>
      </c>
      <c r="P6298" s="4">
        <f>IF(COUNTIFS(INDEX(tItens[Edital],1):tItens[[#This Row],[Edital]],tItens[[#This Row],[Edital]],INDEX(tItens[Produto],1):tItens[[#This Row],[Produto]],tItens[[#This Row],[Produto]])=1,1,0)</f>
        <v>1</v>
      </c>
    </row>
    <row r="6299" spans="1:16" x14ac:dyDescent="0.25">
      <c r="A6299" t="s">
        <v>2190</v>
      </c>
      <c r="B6299">
        <v>9</v>
      </c>
      <c r="C6299" t="s">
        <v>9037</v>
      </c>
      <c r="D6299" t="s">
        <v>170</v>
      </c>
      <c r="E6299" s="13">
        <v>333</v>
      </c>
      <c r="F6299" s="12">
        <v>41.95</v>
      </c>
      <c r="G6299" t="str">
        <f>IFERROR(INDEX(tEditais[Órgão],MATCH(tItens[[#This Row],[Edital]],tEditais[Edital],0)),"")</f>
        <v>SECRETARIA DE ESTADO DA SAUDE</v>
      </c>
      <c r="H6299" t="str">
        <f>IFERROR(INDEX(tEditais[UF],MATCH(tItens[[#This Row],[Edital]],tEditais[Edital],0)),"")</f>
        <v>PR</v>
      </c>
      <c r="I6299" s="11">
        <f>IFERROR(INDEX(tEditais[Encerramento],MATCH(tItens[[#This Row],[Edital]],tEditais[Edital],0)),"")</f>
        <v>46314.381944444445</v>
      </c>
      <c r="J6299" t="str">
        <f>IFERROR(INDEX(tProdutos[Classe],MATCH(tItens[[#This Row],[Produto]],tProdutos[Produto],0)),"produto não cadastrado")</f>
        <v>DISPUTADO</v>
      </c>
      <c r="K6299" s="12">
        <f>tItens[[#This Row],[Qtd]]*tItens[[#This Row],[Vlr unit]]</f>
        <v>13969.35</v>
      </c>
      <c r="L6299" s="6">
        <f>IFERROR(IF(INDEX(tProdutos[Desconto homologado],MATCH(tItens[[#This Row],[Produto]],tProdutos[Produto],0))="",DescontoPadrao,INDEX(tProdutos[Desconto homologado],MATCH(tItens[[#This Row],[Produto]],tProdutos[Produto],0))),DescontoPadrao)</f>
        <v>0.36</v>
      </c>
      <c r="M6299" s="12">
        <f>tItens[[#This Row],[Valor]]*(1-tItens[[#This Row],[Desconto]])</f>
        <v>8940.384</v>
      </c>
      <c r="N6299" t="str">
        <f>IFERROR(INDEX(tProdutos[Foco],MATCH(tItens[[#This Row],[Produto]],tProdutos[Produto],0)),"Não")</f>
        <v>Sim</v>
      </c>
      <c r="O6299" t="str">
        <f>IFERROR(INDEX(tEditais[SRP],MATCH(tItens[[#This Row],[Edital]],tEditais[Edital],0)),"Não")</f>
        <v>Sim</v>
      </c>
      <c r="P6299" s="4">
        <f>IF(COUNTIFS(INDEX(tItens[Edital],1):tItens[[#This Row],[Edital]],tItens[[#This Row],[Edital]],INDEX(tItens[Produto],1):tItens[[#This Row],[Produto]],tItens[[#This Row],[Produto]])=1,1,0)</f>
        <v>0</v>
      </c>
    </row>
    <row r="6300" spans="1:16" x14ac:dyDescent="0.25">
      <c r="A6300" t="s">
        <v>2190</v>
      </c>
      <c r="B6300">
        <v>10</v>
      </c>
      <c r="C6300" t="s">
        <v>9038</v>
      </c>
      <c r="D6300" t="s">
        <v>170</v>
      </c>
      <c r="E6300" s="13">
        <v>362</v>
      </c>
      <c r="F6300" s="12">
        <v>49.89</v>
      </c>
      <c r="G6300" t="str">
        <f>IFERROR(INDEX(tEditais[Órgão],MATCH(tItens[[#This Row],[Edital]],tEditais[Edital],0)),"")</f>
        <v>SECRETARIA DE ESTADO DA SAUDE</v>
      </c>
      <c r="H6300" t="str">
        <f>IFERROR(INDEX(tEditais[UF],MATCH(tItens[[#This Row],[Edital]],tEditais[Edital],0)),"")</f>
        <v>PR</v>
      </c>
      <c r="I6300" s="11">
        <f>IFERROR(INDEX(tEditais[Encerramento],MATCH(tItens[[#This Row],[Edital]],tEditais[Edital],0)),"")</f>
        <v>46314.381944444445</v>
      </c>
      <c r="J6300" t="str">
        <f>IFERROR(INDEX(tProdutos[Classe],MATCH(tItens[[#This Row],[Produto]],tProdutos[Produto],0)),"produto não cadastrado")</f>
        <v>DISPUTADO</v>
      </c>
      <c r="K6300" s="12">
        <f>tItens[[#This Row],[Qtd]]*tItens[[#This Row],[Vlr unit]]</f>
        <v>18060.18</v>
      </c>
      <c r="L6300" s="6">
        <f>IFERROR(IF(INDEX(tProdutos[Desconto homologado],MATCH(tItens[[#This Row],[Produto]],tProdutos[Produto],0))="",DescontoPadrao,INDEX(tProdutos[Desconto homologado],MATCH(tItens[[#This Row],[Produto]],tProdutos[Produto],0))),DescontoPadrao)</f>
        <v>0.36</v>
      </c>
      <c r="M6300" s="12">
        <f>tItens[[#This Row],[Valor]]*(1-tItens[[#This Row],[Desconto]])</f>
        <v>11558.5152</v>
      </c>
      <c r="N6300" t="str">
        <f>IFERROR(INDEX(tProdutos[Foco],MATCH(tItens[[#This Row],[Produto]],tProdutos[Produto],0)),"Não")</f>
        <v>Sim</v>
      </c>
      <c r="O6300" t="str">
        <f>IFERROR(INDEX(tEditais[SRP],MATCH(tItens[[#This Row],[Edital]],tEditais[Edital],0)),"Não")</f>
        <v>Sim</v>
      </c>
      <c r="P6300" s="4">
        <f>IF(COUNTIFS(INDEX(tItens[Edital],1):tItens[[#This Row],[Edital]],tItens[[#This Row],[Edital]],INDEX(tItens[Produto],1):tItens[[#This Row],[Produto]],tItens[[#This Row],[Produto]])=1,1,0)</f>
        <v>0</v>
      </c>
    </row>
    <row r="6301" spans="1:16" x14ac:dyDescent="0.25">
      <c r="A6301" t="s">
        <v>2190</v>
      </c>
      <c r="B6301">
        <v>11</v>
      </c>
      <c r="C6301" t="s">
        <v>9039</v>
      </c>
      <c r="D6301" t="s">
        <v>170</v>
      </c>
      <c r="E6301" s="13">
        <v>469</v>
      </c>
      <c r="F6301" s="12">
        <v>37.32</v>
      </c>
      <c r="G6301" t="str">
        <f>IFERROR(INDEX(tEditais[Órgão],MATCH(tItens[[#This Row],[Edital]],tEditais[Edital],0)),"")</f>
        <v>SECRETARIA DE ESTADO DA SAUDE</v>
      </c>
      <c r="H6301" t="str">
        <f>IFERROR(INDEX(tEditais[UF],MATCH(tItens[[#This Row],[Edital]],tEditais[Edital],0)),"")</f>
        <v>PR</v>
      </c>
      <c r="I6301" s="11">
        <f>IFERROR(INDEX(tEditais[Encerramento],MATCH(tItens[[#This Row],[Edital]],tEditais[Edital],0)),"")</f>
        <v>46314.381944444445</v>
      </c>
      <c r="J6301" t="str">
        <f>IFERROR(INDEX(tProdutos[Classe],MATCH(tItens[[#This Row],[Produto]],tProdutos[Produto],0)),"produto não cadastrado")</f>
        <v>DISPUTADO</v>
      </c>
      <c r="K6301" s="12">
        <f>tItens[[#This Row],[Qtd]]*tItens[[#This Row],[Vlr unit]]</f>
        <v>17503.080000000002</v>
      </c>
      <c r="L6301" s="6">
        <f>IFERROR(IF(INDEX(tProdutos[Desconto homologado],MATCH(tItens[[#This Row],[Produto]],tProdutos[Produto],0))="",DescontoPadrao,INDEX(tProdutos[Desconto homologado],MATCH(tItens[[#This Row],[Produto]],tProdutos[Produto],0))),DescontoPadrao)</f>
        <v>0.36</v>
      </c>
      <c r="M6301" s="12">
        <f>tItens[[#This Row],[Valor]]*(1-tItens[[#This Row],[Desconto]])</f>
        <v>11201.971200000002</v>
      </c>
      <c r="N6301" t="str">
        <f>IFERROR(INDEX(tProdutos[Foco],MATCH(tItens[[#This Row],[Produto]],tProdutos[Produto],0)),"Não")</f>
        <v>Sim</v>
      </c>
      <c r="O6301" t="str">
        <f>IFERROR(INDEX(tEditais[SRP],MATCH(tItens[[#This Row],[Edital]],tEditais[Edital],0)),"Não")</f>
        <v>Sim</v>
      </c>
      <c r="P6301" s="4">
        <f>IF(COUNTIFS(INDEX(tItens[Edital],1):tItens[[#This Row],[Edital]],tItens[[#This Row],[Edital]],INDEX(tItens[Produto],1):tItens[[#This Row],[Produto]],tItens[[#This Row],[Produto]])=1,1,0)</f>
        <v>0</v>
      </c>
    </row>
    <row r="6302" spans="1:16" x14ac:dyDescent="0.25">
      <c r="A6302" t="s">
        <v>2190</v>
      </c>
      <c r="B6302">
        <v>12</v>
      </c>
      <c r="C6302" t="s">
        <v>9040</v>
      </c>
      <c r="D6302" t="s">
        <v>170</v>
      </c>
      <c r="E6302" s="13">
        <v>829</v>
      </c>
      <c r="F6302" s="12">
        <v>53.51</v>
      </c>
      <c r="G6302" t="str">
        <f>IFERROR(INDEX(tEditais[Órgão],MATCH(tItens[[#This Row],[Edital]],tEditais[Edital],0)),"")</f>
        <v>SECRETARIA DE ESTADO DA SAUDE</v>
      </c>
      <c r="H6302" t="str">
        <f>IFERROR(INDEX(tEditais[UF],MATCH(tItens[[#This Row],[Edital]],tEditais[Edital],0)),"")</f>
        <v>PR</v>
      </c>
      <c r="I6302" s="11">
        <f>IFERROR(INDEX(tEditais[Encerramento],MATCH(tItens[[#This Row],[Edital]],tEditais[Edital],0)),"")</f>
        <v>46314.381944444445</v>
      </c>
      <c r="J6302" t="str">
        <f>IFERROR(INDEX(tProdutos[Classe],MATCH(tItens[[#This Row],[Produto]],tProdutos[Produto],0)),"produto não cadastrado")</f>
        <v>DISPUTADO</v>
      </c>
      <c r="K6302" s="12">
        <f>tItens[[#This Row],[Qtd]]*tItens[[#This Row],[Vlr unit]]</f>
        <v>44359.79</v>
      </c>
      <c r="L6302" s="6">
        <f>IFERROR(IF(INDEX(tProdutos[Desconto homologado],MATCH(tItens[[#This Row],[Produto]],tProdutos[Produto],0))="",DescontoPadrao,INDEX(tProdutos[Desconto homologado],MATCH(tItens[[#This Row],[Produto]],tProdutos[Produto],0))),DescontoPadrao)</f>
        <v>0.36</v>
      </c>
      <c r="M6302" s="12">
        <f>tItens[[#This Row],[Valor]]*(1-tItens[[#This Row],[Desconto]])</f>
        <v>28390.265600000002</v>
      </c>
      <c r="N6302" t="str">
        <f>IFERROR(INDEX(tProdutos[Foco],MATCH(tItens[[#This Row],[Produto]],tProdutos[Produto],0)),"Não")</f>
        <v>Sim</v>
      </c>
      <c r="O6302" t="str">
        <f>IFERROR(INDEX(tEditais[SRP],MATCH(tItens[[#This Row],[Edital]],tEditais[Edital],0)),"Não")</f>
        <v>Sim</v>
      </c>
      <c r="P6302" s="4">
        <f>IF(COUNTIFS(INDEX(tItens[Edital],1):tItens[[#This Row],[Edital]],tItens[[#This Row],[Edital]],INDEX(tItens[Produto],1):tItens[[#This Row],[Produto]],tItens[[#This Row],[Produto]])=1,1,0)</f>
        <v>0</v>
      </c>
    </row>
    <row r="6303" spans="1:16" x14ac:dyDescent="0.25">
      <c r="A6303" t="s">
        <v>2190</v>
      </c>
      <c r="B6303">
        <v>13</v>
      </c>
      <c r="C6303" t="s">
        <v>9041</v>
      </c>
      <c r="D6303" t="s">
        <v>170</v>
      </c>
      <c r="E6303" s="13">
        <v>894</v>
      </c>
      <c r="F6303" s="12">
        <v>36</v>
      </c>
      <c r="G6303" t="str">
        <f>IFERROR(INDEX(tEditais[Órgão],MATCH(tItens[[#This Row],[Edital]],tEditais[Edital],0)),"")</f>
        <v>SECRETARIA DE ESTADO DA SAUDE</v>
      </c>
      <c r="H6303" t="str">
        <f>IFERROR(INDEX(tEditais[UF],MATCH(tItens[[#This Row],[Edital]],tEditais[Edital],0)),"")</f>
        <v>PR</v>
      </c>
      <c r="I6303" s="11">
        <f>IFERROR(INDEX(tEditais[Encerramento],MATCH(tItens[[#This Row],[Edital]],tEditais[Edital],0)),"")</f>
        <v>46314.381944444445</v>
      </c>
      <c r="J6303" t="str">
        <f>IFERROR(INDEX(tProdutos[Classe],MATCH(tItens[[#This Row],[Produto]],tProdutos[Produto],0)),"produto não cadastrado")</f>
        <v>DISPUTADO</v>
      </c>
      <c r="K6303" s="12">
        <f>tItens[[#This Row],[Qtd]]*tItens[[#This Row],[Vlr unit]]</f>
        <v>32184</v>
      </c>
      <c r="L6303" s="6">
        <f>IFERROR(IF(INDEX(tProdutos[Desconto homologado],MATCH(tItens[[#This Row],[Produto]],tProdutos[Produto],0))="",DescontoPadrao,INDEX(tProdutos[Desconto homologado],MATCH(tItens[[#This Row],[Produto]],tProdutos[Produto],0))),DescontoPadrao)</f>
        <v>0.36</v>
      </c>
      <c r="M6303" s="12">
        <f>tItens[[#This Row],[Valor]]*(1-tItens[[#This Row],[Desconto]])</f>
        <v>20597.760000000002</v>
      </c>
      <c r="N6303" t="str">
        <f>IFERROR(INDEX(tProdutos[Foco],MATCH(tItens[[#This Row],[Produto]],tProdutos[Produto],0)),"Não")</f>
        <v>Sim</v>
      </c>
      <c r="O6303" t="str">
        <f>IFERROR(INDEX(tEditais[SRP],MATCH(tItens[[#This Row],[Edital]],tEditais[Edital],0)),"Não")</f>
        <v>Sim</v>
      </c>
      <c r="P6303" s="4">
        <f>IF(COUNTIFS(INDEX(tItens[Edital],1):tItens[[#This Row],[Edital]],tItens[[#This Row],[Edital]],INDEX(tItens[Produto],1):tItens[[#This Row],[Produto]],tItens[[#This Row],[Produto]])=1,1,0)</f>
        <v>0</v>
      </c>
    </row>
    <row r="6304" spans="1:16" x14ac:dyDescent="0.25">
      <c r="A6304" t="s">
        <v>2192</v>
      </c>
      <c r="B6304">
        <v>3</v>
      </c>
      <c r="C6304" t="s">
        <v>9042</v>
      </c>
      <c r="D6304" t="s">
        <v>71</v>
      </c>
      <c r="E6304" s="13">
        <v>150</v>
      </c>
      <c r="F6304" s="12">
        <v>48.06</v>
      </c>
      <c r="G6304" t="str">
        <f>IFERROR(INDEX(tEditais[Órgão],MATCH(tItens[[#This Row],[Edital]],tEditais[Edital],0)),"")</f>
        <v>MUNICIPIO DE ROLANDIA</v>
      </c>
      <c r="H6304" t="str">
        <f>IFERROR(INDEX(tEditais[UF],MATCH(tItens[[#This Row],[Edital]],tEditais[Edital],0)),"")</f>
        <v>PR</v>
      </c>
      <c r="I6304" s="11">
        <f>IFERROR(INDEX(tEditais[Encerramento],MATCH(tItens[[#This Row],[Edital]],tEditais[Edital],0)),"")</f>
        <v>46314.541666666664</v>
      </c>
      <c r="J6304" t="str">
        <f>IFERROR(INDEX(tProdutos[Classe],MATCH(tItens[[#This Row],[Produto]],tProdutos[Produto],0)),"produto não cadastrado")</f>
        <v>NÚCLEO</v>
      </c>
      <c r="K6304" s="12">
        <f>tItens[[#This Row],[Qtd]]*tItens[[#This Row],[Vlr unit]]</f>
        <v>7209</v>
      </c>
      <c r="L6304" s="6">
        <f>IFERROR(IF(INDEX(tProdutos[Desconto homologado],MATCH(tItens[[#This Row],[Produto]],tProdutos[Produto],0))="",DescontoPadrao,INDEX(tProdutos[Desconto homologado],MATCH(tItens[[#This Row],[Produto]],tProdutos[Produto],0))),DescontoPadrao)</f>
        <v>0.44981412639405199</v>
      </c>
      <c r="M6304" s="12">
        <f>tItens[[#This Row],[Valor]]*(1-tItens[[#This Row],[Desconto]])</f>
        <v>3966.289962825279</v>
      </c>
      <c r="N6304" t="str">
        <f>IFERROR(INDEX(tProdutos[Foco],MATCH(tItens[[#This Row],[Produto]],tProdutos[Produto],0)),"Não")</f>
        <v>Não</v>
      </c>
      <c r="O6304" t="str">
        <f>IFERROR(INDEX(tEditais[SRP],MATCH(tItens[[#This Row],[Edital]],tEditais[Edital],0)),"Não")</f>
        <v>Sim</v>
      </c>
      <c r="P6304" s="4">
        <f>IF(COUNTIFS(INDEX(tItens[Edital],1):tItens[[#This Row],[Edital]],tItens[[#This Row],[Edital]],INDEX(tItens[Produto],1):tItens[[#This Row],[Produto]],tItens[[#This Row],[Produto]])=1,1,0)</f>
        <v>1</v>
      </c>
    </row>
    <row r="6305" spans="1:16" x14ac:dyDescent="0.25">
      <c r="A6305" t="s">
        <v>2192</v>
      </c>
      <c r="B6305">
        <v>4</v>
      </c>
      <c r="C6305" t="s">
        <v>9043</v>
      </c>
      <c r="D6305" t="s">
        <v>88</v>
      </c>
      <c r="E6305" s="13">
        <v>100</v>
      </c>
      <c r="F6305" s="12">
        <v>37.979999999999997</v>
      </c>
      <c r="G6305" t="str">
        <f>IFERROR(INDEX(tEditais[Órgão],MATCH(tItens[[#This Row],[Edital]],tEditais[Edital],0)),"")</f>
        <v>MUNICIPIO DE ROLANDIA</v>
      </c>
      <c r="H6305" t="str">
        <f>IFERROR(INDEX(tEditais[UF],MATCH(tItens[[#This Row],[Edital]],tEditais[Edital],0)),"")</f>
        <v>PR</v>
      </c>
      <c r="I6305" s="11">
        <f>IFERROR(INDEX(tEditais[Encerramento],MATCH(tItens[[#This Row],[Edital]],tEditais[Edital],0)),"")</f>
        <v>46314.541666666664</v>
      </c>
      <c r="J6305" t="str">
        <f>IFERROR(INDEX(tProdutos[Classe],MATCH(tItens[[#This Row],[Produto]],tProdutos[Produto],0)),"produto não cadastrado")</f>
        <v>NÚCLEO</v>
      </c>
      <c r="K6305" s="12">
        <f>tItens[[#This Row],[Qtd]]*tItens[[#This Row],[Vlr unit]]</f>
        <v>3797.9999999999995</v>
      </c>
      <c r="L6305" s="6">
        <f>IFERROR(IF(INDEX(tProdutos[Desconto homologado],MATCH(tItens[[#This Row],[Produto]],tProdutos[Produto],0))="",DescontoPadrao,INDEX(tProdutos[Desconto homologado],MATCH(tItens[[#This Row],[Produto]],tProdutos[Produto],0))),DescontoPadrao)</f>
        <v>0.30251202565473001</v>
      </c>
      <c r="M6305" s="12">
        <f>tItens[[#This Row],[Valor]]*(1-tItens[[#This Row],[Desconto]])</f>
        <v>2649.0593265633352</v>
      </c>
      <c r="N6305" t="str">
        <f>IFERROR(INDEX(tProdutos[Foco],MATCH(tItens[[#This Row],[Produto]],tProdutos[Produto],0)),"Não")</f>
        <v>Não</v>
      </c>
      <c r="O6305" t="str">
        <f>IFERROR(INDEX(tEditais[SRP],MATCH(tItens[[#This Row],[Edital]],tEditais[Edital],0)),"Não")</f>
        <v>Sim</v>
      </c>
      <c r="P6305" s="4">
        <f>IF(COUNTIFS(INDEX(tItens[Edital],1):tItens[[#This Row],[Edital]],tItens[[#This Row],[Edital]],INDEX(tItens[Produto],1):tItens[[#This Row],[Produto]],tItens[[#This Row],[Produto]])=1,1,0)</f>
        <v>1</v>
      </c>
    </row>
    <row r="6306" spans="1:16" x14ac:dyDescent="0.25">
      <c r="A6306" t="s">
        <v>2192</v>
      </c>
      <c r="B6306">
        <v>46</v>
      </c>
      <c r="C6306" t="s">
        <v>9044</v>
      </c>
      <c r="D6306" t="s">
        <v>461</v>
      </c>
      <c r="E6306" s="13">
        <v>100</v>
      </c>
      <c r="F6306" s="12">
        <v>41.8</v>
      </c>
      <c r="G6306" t="str">
        <f>IFERROR(INDEX(tEditais[Órgão],MATCH(tItens[[#This Row],[Edital]],tEditais[Edital],0)),"")</f>
        <v>MUNICIPIO DE ROLANDIA</v>
      </c>
      <c r="H6306" t="str">
        <f>IFERROR(INDEX(tEditais[UF],MATCH(tItens[[#This Row],[Edital]],tEditais[Edital],0)),"")</f>
        <v>PR</v>
      </c>
      <c r="I6306" s="11">
        <f>IFERROR(INDEX(tEditais[Encerramento],MATCH(tItens[[#This Row],[Edital]],tEditais[Edital],0)),"")</f>
        <v>46314.541666666664</v>
      </c>
      <c r="J6306" t="str">
        <f>IFERROR(INDEX(tProdutos[Classe],MATCH(tItens[[#This Row],[Produto]],tProdutos[Produto],0)),"produto não cadastrado")</f>
        <v>FILA REBASE</v>
      </c>
      <c r="K6306" s="12">
        <f>tItens[[#This Row],[Qtd]]*tItens[[#This Row],[Vlr unit]]</f>
        <v>4180</v>
      </c>
      <c r="L6306" s="6">
        <f>IFERROR(IF(INDEX(tProdutos[Desconto homologado],MATCH(tItens[[#This Row],[Produto]],tProdutos[Produto],0))="",DescontoPadrao,INDEX(tProdutos[Desconto homologado],MATCH(tItens[[#This Row],[Produto]],tProdutos[Produto],0))),DescontoPadrao)</f>
        <v>0.44096385542168698</v>
      </c>
      <c r="M6306" s="12">
        <f>tItens[[#This Row],[Valor]]*(1-tItens[[#This Row],[Desconto]])</f>
        <v>2336.7710843373484</v>
      </c>
      <c r="N6306" t="str">
        <f>IFERROR(INDEX(tProdutos[Foco],MATCH(tItens[[#This Row],[Produto]],tProdutos[Produto],0)),"Não")</f>
        <v>Não</v>
      </c>
      <c r="O6306" t="str">
        <f>IFERROR(INDEX(tEditais[SRP],MATCH(tItens[[#This Row],[Edital]],tEditais[Edital],0)),"Não")</f>
        <v>Sim</v>
      </c>
      <c r="P6306" s="4">
        <f>IF(COUNTIFS(INDEX(tItens[Edital],1):tItens[[#This Row],[Edital]],tItens[[#This Row],[Edital]],INDEX(tItens[Produto],1):tItens[[#This Row],[Produto]],tItens[[#This Row],[Produto]])=1,1,0)</f>
        <v>1</v>
      </c>
    </row>
    <row r="6307" spans="1:16" x14ac:dyDescent="0.25">
      <c r="A6307" t="s">
        <v>2192</v>
      </c>
      <c r="B6307">
        <v>47</v>
      </c>
      <c r="C6307" t="s">
        <v>9045</v>
      </c>
      <c r="D6307" t="s">
        <v>375</v>
      </c>
      <c r="E6307" s="13">
        <v>100</v>
      </c>
      <c r="F6307" s="12">
        <v>49.41</v>
      </c>
      <c r="G6307" t="str">
        <f>IFERROR(INDEX(tEditais[Órgão],MATCH(tItens[[#This Row],[Edital]],tEditais[Edital],0)),"")</f>
        <v>MUNICIPIO DE ROLANDIA</v>
      </c>
      <c r="H6307" t="str">
        <f>IFERROR(INDEX(tEditais[UF],MATCH(tItens[[#This Row],[Edital]],tEditais[Edital],0)),"")</f>
        <v>PR</v>
      </c>
      <c r="I6307" s="11">
        <f>IFERROR(INDEX(tEditais[Encerramento],MATCH(tItens[[#This Row],[Edital]],tEditais[Edital],0)),"")</f>
        <v>46314.541666666664</v>
      </c>
      <c r="J6307" t="str">
        <f>IFERROR(INDEX(tProdutos[Classe],MATCH(tItens[[#This Row],[Produto]],tProdutos[Produto],0)),"produto não cadastrado")</f>
        <v>FORA</v>
      </c>
      <c r="K6307" s="12">
        <f>tItens[[#This Row],[Qtd]]*tItens[[#This Row],[Vlr unit]]</f>
        <v>4941</v>
      </c>
      <c r="L6307" s="6">
        <f>IFERROR(IF(INDEX(tProdutos[Desconto homologado],MATCH(tItens[[#This Row],[Produto]],tProdutos[Produto],0))="",DescontoPadrao,INDEX(tProdutos[Desconto homologado],MATCH(tItens[[#This Row],[Produto]],tProdutos[Produto],0))),DescontoPadrao)</f>
        <v>0.25005895299481201</v>
      </c>
      <c r="M6307" s="12">
        <f>tItens[[#This Row],[Valor]]*(1-tItens[[#This Row],[Desconto]])</f>
        <v>3705.4587132526335</v>
      </c>
      <c r="N6307" t="str">
        <f>IFERROR(INDEX(tProdutos[Foco],MATCH(tItens[[#This Row],[Produto]],tProdutos[Produto],0)),"Não")</f>
        <v>Não</v>
      </c>
      <c r="O6307" t="str">
        <f>IFERROR(INDEX(tEditais[SRP],MATCH(tItens[[#This Row],[Edital]],tEditais[Edital],0)),"Não")</f>
        <v>Sim</v>
      </c>
      <c r="P6307" s="4">
        <f>IF(COUNTIFS(INDEX(tItens[Edital],1):tItens[[#This Row],[Edital]],tItens[[#This Row],[Edital]],INDEX(tItens[Produto],1):tItens[[#This Row],[Produto]],tItens[[#This Row],[Produto]])=1,1,0)</f>
        <v>1</v>
      </c>
    </row>
    <row r="6308" spans="1:16" x14ac:dyDescent="0.25">
      <c r="A6308" t="s">
        <v>2192</v>
      </c>
      <c r="B6308">
        <v>48</v>
      </c>
      <c r="C6308" t="s">
        <v>9046</v>
      </c>
      <c r="D6308" t="s">
        <v>375</v>
      </c>
      <c r="E6308" s="13">
        <v>100</v>
      </c>
      <c r="F6308" s="12">
        <v>54.69</v>
      </c>
      <c r="G6308" t="str">
        <f>IFERROR(INDEX(tEditais[Órgão],MATCH(tItens[[#This Row],[Edital]],tEditais[Edital],0)),"")</f>
        <v>MUNICIPIO DE ROLANDIA</v>
      </c>
      <c r="H6308" t="str">
        <f>IFERROR(INDEX(tEditais[UF],MATCH(tItens[[#This Row],[Edital]],tEditais[Edital],0)),"")</f>
        <v>PR</v>
      </c>
      <c r="I6308" s="11">
        <f>IFERROR(INDEX(tEditais[Encerramento],MATCH(tItens[[#This Row],[Edital]],tEditais[Edital],0)),"")</f>
        <v>46314.541666666664</v>
      </c>
      <c r="J6308" t="str">
        <f>IFERROR(INDEX(tProdutos[Classe],MATCH(tItens[[#This Row],[Produto]],tProdutos[Produto],0)),"produto não cadastrado")</f>
        <v>FORA</v>
      </c>
      <c r="K6308" s="12">
        <f>tItens[[#This Row],[Qtd]]*tItens[[#This Row],[Vlr unit]]</f>
        <v>5469</v>
      </c>
      <c r="L6308" s="6">
        <f>IFERROR(IF(INDEX(tProdutos[Desconto homologado],MATCH(tItens[[#This Row],[Produto]],tProdutos[Produto],0))="",DescontoPadrao,INDEX(tProdutos[Desconto homologado],MATCH(tItens[[#This Row],[Produto]],tProdutos[Produto],0))),DescontoPadrao)</f>
        <v>0.25005895299481201</v>
      </c>
      <c r="M6308" s="12">
        <f>tItens[[#This Row],[Valor]]*(1-tItens[[#This Row],[Desconto]])</f>
        <v>4101.4275860713724</v>
      </c>
      <c r="N6308" t="str">
        <f>IFERROR(INDEX(tProdutos[Foco],MATCH(tItens[[#This Row],[Produto]],tProdutos[Produto],0)),"Não")</f>
        <v>Não</v>
      </c>
      <c r="O6308" t="str">
        <f>IFERROR(INDEX(tEditais[SRP],MATCH(tItens[[#This Row],[Edital]],tEditais[Edital],0)),"Não")</f>
        <v>Sim</v>
      </c>
      <c r="P6308" s="4">
        <f>IF(COUNTIFS(INDEX(tItens[Edital],1):tItens[[#This Row],[Edital]],tItens[[#This Row],[Edital]],INDEX(tItens[Produto],1):tItens[[#This Row],[Produto]],tItens[[#This Row],[Produto]])=1,1,0)</f>
        <v>0</v>
      </c>
    </row>
    <row r="6309" spans="1:16" x14ac:dyDescent="0.25">
      <c r="A6309" t="s">
        <v>2192</v>
      </c>
      <c r="B6309">
        <v>56</v>
      </c>
      <c r="C6309" t="s">
        <v>9047</v>
      </c>
      <c r="D6309" t="s">
        <v>411</v>
      </c>
      <c r="E6309" s="13">
        <v>80</v>
      </c>
      <c r="F6309" s="12">
        <v>34.99</v>
      </c>
      <c r="G6309" t="str">
        <f>IFERROR(INDEX(tEditais[Órgão],MATCH(tItens[[#This Row],[Edital]],tEditais[Edital],0)),"")</f>
        <v>MUNICIPIO DE ROLANDIA</v>
      </c>
      <c r="H6309" t="str">
        <f>IFERROR(INDEX(tEditais[UF],MATCH(tItens[[#This Row],[Edital]],tEditais[Edital],0)),"")</f>
        <v>PR</v>
      </c>
      <c r="I6309" s="11">
        <f>IFERROR(INDEX(tEditais[Encerramento],MATCH(tItens[[#This Row],[Edital]],tEditais[Edital],0)),"")</f>
        <v>46314.541666666664</v>
      </c>
      <c r="J6309" t="str">
        <f>IFERROR(INDEX(tProdutos[Classe],MATCH(tItens[[#This Row],[Produto]],tProdutos[Produto],0)),"produto não cadastrado")</f>
        <v>FORA</v>
      </c>
      <c r="K6309" s="12">
        <f>tItens[[#This Row],[Qtd]]*tItens[[#This Row],[Vlr unit]]</f>
        <v>2799.2000000000003</v>
      </c>
      <c r="L6309" s="6">
        <f>IFERROR(IF(INDEX(tProdutos[Desconto homologado],MATCH(tItens[[#This Row],[Produto]],tProdutos[Produto],0))="",DescontoPadrao,INDEX(tProdutos[Desconto homologado],MATCH(tItens[[#This Row],[Produto]],tProdutos[Produto],0))),DescontoPadrao)</f>
        <v>0.50029835957199398</v>
      </c>
      <c r="M6309" s="12">
        <f>tItens[[#This Row],[Valor]]*(1-tItens[[#This Row],[Desconto]])</f>
        <v>1398.7648318860745</v>
      </c>
      <c r="N6309" t="str">
        <f>IFERROR(INDEX(tProdutos[Foco],MATCH(tItens[[#This Row],[Produto]],tProdutos[Produto],0)),"Não")</f>
        <v>Não</v>
      </c>
      <c r="O6309" t="str">
        <f>IFERROR(INDEX(tEditais[SRP],MATCH(tItens[[#This Row],[Edital]],tEditais[Edital],0)),"Não")</f>
        <v>Sim</v>
      </c>
      <c r="P6309" s="4">
        <f>IF(COUNTIFS(INDEX(tItens[Edital],1):tItens[[#This Row],[Edital]],tItens[[#This Row],[Edital]],INDEX(tItens[Produto],1):tItens[[#This Row],[Produto]],tItens[[#This Row],[Produto]])=1,1,0)</f>
        <v>1</v>
      </c>
    </row>
    <row r="6310" spans="1:16" x14ac:dyDescent="0.25">
      <c r="A6310" t="s">
        <v>2192</v>
      </c>
      <c r="B6310">
        <v>57</v>
      </c>
      <c r="C6310" t="s">
        <v>9048</v>
      </c>
      <c r="D6310" t="s">
        <v>130</v>
      </c>
      <c r="E6310" s="13">
        <v>100</v>
      </c>
      <c r="F6310" s="12">
        <v>72.040000000000006</v>
      </c>
      <c r="G6310" t="str">
        <f>IFERROR(INDEX(tEditais[Órgão],MATCH(tItens[[#This Row],[Edital]],tEditais[Edital],0)),"")</f>
        <v>MUNICIPIO DE ROLANDIA</v>
      </c>
      <c r="H6310" t="str">
        <f>IFERROR(INDEX(tEditais[UF],MATCH(tItens[[#This Row],[Edital]],tEditais[Edital],0)),"")</f>
        <v>PR</v>
      </c>
      <c r="I6310" s="11">
        <f>IFERROR(INDEX(tEditais[Encerramento],MATCH(tItens[[#This Row],[Edital]],tEditais[Edital],0)),"")</f>
        <v>46314.541666666664</v>
      </c>
      <c r="J6310" t="str">
        <f>IFERROR(INDEX(tProdutos[Classe],MATCH(tItens[[#This Row],[Produto]],tProdutos[Produto],0)),"produto não cadastrado")</f>
        <v>DISPUTADO</v>
      </c>
      <c r="K6310" s="12">
        <f>tItens[[#This Row],[Qtd]]*tItens[[#This Row],[Vlr unit]]</f>
        <v>7204.0000000000009</v>
      </c>
      <c r="L6310" s="6">
        <f>IFERROR(IF(INDEX(tProdutos[Desconto homologado],MATCH(tItens[[#This Row],[Produto]],tProdutos[Produto],0))="",DescontoPadrao,INDEX(tProdutos[Desconto homologado],MATCH(tItens[[#This Row],[Produto]],tProdutos[Produto],0))),DescontoPadrao)</f>
        <v>0.32</v>
      </c>
      <c r="M6310" s="12">
        <f>tItens[[#This Row],[Valor]]*(1-tItens[[#This Row],[Desconto]])</f>
        <v>4898.72</v>
      </c>
      <c r="N6310" t="str">
        <f>IFERROR(INDEX(tProdutos[Foco],MATCH(tItens[[#This Row],[Produto]],tProdutos[Produto],0)),"Não")</f>
        <v>Sim</v>
      </c>
      <c r="O6310" t="str">
        <f>IFERROR(INDEX(tEditais[SRP],MATCH(tItens[[#This Row],[Edital]],tEditais[Edital],0)),"Não")</f>
        <v>Sim</v>
      </c>
      <c r="P6310" s="4">
        <f>IF(COUNTIFS(INDEX(tItens[Edital],1):tItens[[#This Row],[Edital]],tItens[[#This Row],[Edital]],INDEX(tItens[Produto],1):tItens[[#This Row],[Produto]],tItens[[#This Row],[Produto]])=1,1,0)</f>
        <v>1</v>
      </c>
    </row>
    <row r="6311" spans="1:16" x14ac:dyDescent="0.25">
      <c r="A6311" t="s">
        <v>2192</v>
      </c>
      <c r="B6311">
        <v>66</v>
      </c>
      <c r="C6311" t="s">
        <v>9049</v>
      </c>
      <c r="D6311" t="s">
        <v>494</v>
      </c>
      <c r="E6311" s="13">
        <v>100</v>
      </c>
      <c r="F6311" s="12">
        <v>49.2</v>
      </c>
      <c r="G6311" t="str">
        <f>IFERROR(INDEX(tEditais[Órgão],MATCH(tItens[[#This Row],[Edital]],tEditais[Edital],0)),"")</f>
        <v>MUNICIPIO DE ROLANDIA</v>
      </c>
      <c r="H6311" t="str">
        <f>IFERROR(INDEX(tEditais[UF],MATCH(tItens[[#This Row],[Edital]],tEditais[Edital],0)),"")</f>
        <v>PR</v>
      </c>
      <c r="I6311" s="11">
        <f>IFERROR(INDEX(tEditais[Encerramento],MATCH(tItens[[#This Row],[Edital]],tEditais[Edital],0)),"")</f>
        <v>46314.541666666664</v>
      </c>
      <c r="J6311" t="str">
        <f>IFERROR(INDEX(tProdutos[Classe],MATCH(tItens[[#This Row],[Produto]],tProdutos[Produto],0)),"produto não cadastrado")</f>
        <v>FILA REBASE</v>
      </c>
      <c r="K6311" s="12">
        <f>tItens[[#This Row],[Qtd]]*tItens[[#This Row],[Vlr unit]]</f>
        <v>4920</v>
      </c>
      <c r="L6311" s="6">
        <f>IFERROR(IF(INDEX(tProdutos[Desconto homologado],MATCH(tItens[[#This Row],[Produto]],tProdutos[Produto],0))="",DescontoPadrao,INDEX(tProdutos[Desconto homologado],MATCH(tItens[[#This Row],[Produto]],tProdutos[Produto],0))),DescontoPadrao)</f>
        <v>0.253736324829619</v>
      </c>
      <c r="M6311" s="12">
        <f>tItens[[#This Row],[Valor]]*(1-tItens[[#This Row],[Desconto]])</f>
        <v>3671.6172818382747</v>
      </c>
      <c r="N6311" t="str">
        <f>IFERROR(INDEX(tProdutos[Foco],MATCH(tItens[[#This Row],[Produto]],tProdutos[Produto],0)),"Não")</f>
        <v>Não</v>
      </c>
      <c r="O6311" t="str">
        <f>IFERROR(INDEX(tEditais[SRP],MATCH(tItens[[#This Row],[Edital]],tEditais[Edital],0)),"Não")</f>
        <v>Sim</v>
      </c>
      <c r="P6311" s="4">
        <f>IF(COUNTIFS(INDEX(tItens[Edital],1):tItens[[#This Row],[Edital]],tItens[[#This Row],[Edital]],INDEX(tItens[Produto],1):tItens[[#This Row],[Produto]],tItens[[#This Row],[Produto]])=1,1,0)</f>
        <v>1</v>
      </c>
    </row>
    <row r="6312" spans="1:16" x14ac:dyDescent="0.25">
      <c r="A6312" t="s">
        <v>2192</v>
      </c>
      <c r="B6312">
        <v>67</v>
      </c>
      <c r="C6312" t="s">
        <v>9050</v>
      </c>
      <c r="D6312" t="s">
        <v>494</v>
      </c>
      <c r="E6312" s="13">
        <v>100</v>
      </c>
      <c r="F6312" s="12">
        <v>60.35</v>
      </c>
      <c r="G6312" t="str">
        <f>IFERROR(INDEX(tEditais[Órgão],MATCH(tItens[[#This Row],[Edital]],tEditais[Edital],0)),"")</f>
        <v>MUNICIPIO DE ROLANDIA</v>
      </c>
      <c r="H6312" t="str">
        <f>IFERROR(INDEX(tEditais[UF],MATCH(tItens[[#This Row],[Edital]],tEditais[Edital],0)),"")</f>
        <v>PR</v>
      </c>
      <c r="I6312" s="11">
        <f>IFERROR(INDEX(tEditais[Encerramento],MATCH(tItens[[#This Row],[Edital]],tEditais[Edital],0)),"")</f>
        <v>46314.541666666664</v>
      </c>
      <c r="J6312" t="str">
        <f>IFERROR(INDEX(tProdutos[Classe],MATCH(tItens[[#This Row],[Produto]],tProdutos[Produto],0)),"produto não cadastrado")</f>
        <v>FILA REBASE</v>
      </c>
      <c r="K6312" s="12">
        <f>tItens[[#This Row],[Qtd]]*tItens[[#This Row],[Vlr unit]]</f>
        <v>6035</v>
      </c>
      <c r="L6312" s="6">
        <f>IFERROR(IF(INDEX(tProdutos[Desconto homologado],MATCH(tItens[[#This Row],[Produto]],tProdutos[Produto],0))="",DescontoPadrao,INDEX(tProdutos[Desconto homologado],MATCH(tItens[[#This Row],[Produto]],tProdutos[Produto],0))),DescontoPadrao)</f>
        <v>0.253736324829619</v>
      </c>
      <c r="M6312" s="12">
        <f>tItens[[#This Row],[Valor]]*(1-tItens[[#This Row],[Desconto]])</f>
        <v>4503.7012796532499</v>
      </c>
      <c r="N6312" t="str">
        <f>IFERROR(INDEX(tProdutos[Foco],MATCH(tItens[[#This Row],[Produto]],tProdutos[Produto],0)),"Não")</f>
        <v>Não</v>
      </c>
      <c r="O6312" t="str">
        <f>IFERROR(INDEX(tEditais[SRP],MATCH(tItens[[#This Row],[Edital]],tEditais[Edital],0)),"Não")</f>
        <v>Sim</v>
      </c>
      <c r="P6312" s="4">
        <f>IF(COUNTIFS(INDEX(tItens[Edital],1):tItens[[#This Row],[Edital]],tItens[[#This Row],[Edital]],INDEX(tItens[Produto],1):tItens[[#This Row],[Produto]],tItens[[#This Row],[Produto]])=1,1,0)</f>
        <v>0</v>
      </c>
    </row>
    <row r="6313" spans="1:16" x14ac:dyDescent="0.25">
      <c r="A6313" t="s">
        <v>2192</v>
      </c>
      <c r="B6313">
        <v>68</v>
      </c>
      <c r="C6313" t="s">
        <v>9051</v>
      </c>
      <c r="D6313" t="s">
        <v>494</v>
      </c>
      <c r="E6313" s="13">
        <v>100</v>
      </c>
      <c r="F6313" s="12">
        <v>77.540000000000006</v>
      </c>
      <c r="G6313" t="str">
        <f>IFERROR(INDEX(tEditais[Órgão],MATCH(tItens[[#This Row],[Edital]],tEditais[Edital],0)),"")</f>
        <v>MUNICIPIO DE ROLANDIA</v>
      </c>
      <c r="H6313" t="str">
        <f>IFERROR(INDEX(tEditais[UF],MATCH(tItens[[#This Row],[Edital]],tEditais[Edital],0)),"")</f>
        <v>PR</v>
      </c>
      <c r="I6313" s="11">
        <f>IFERROR(INDEX(tEditais[Encerramento],MATCH(tItens[[#This Row],[Edital]],tEditais[Edital],0)),"")</f>
        <v>46314.541666666664</v>
      </c>
      <c r="J6313" t="str">
        <f>IFERROR(INDEX(tProdutos[Classe],MATCH(tItens[[#This Row],[Produto]],tProdutos[Produto],0)),"produto não cadastrado")</f>
        <v>FILA REBASE</v>
      </c>
      <c r="K6313" s="12">
        <f>tItens[[#This Row],[Qtd]]*tItens[[#This Row],[Vlr unit]]</f>
        <v>7754.0000000000009</v>
      </c>
      <c r="L6313" s="6">
        <f>IFERROR(IF(INDEX(tProdutos[Desconto homologado],MATCH(tItens[[#This Row],[Produto]],tProdutos[Produto],0))="",DescontoPadrao,INDEX(tProdutos[Desconto homologado],MATCH(tItens[[#This Row],[Produto]],tProdutos[Produto],0))),DescontoPadrao)</f>
        <v>0.253736324829619</v>
      </c>
      <c r="M6313" s="12">
        <f>tItens[[#This Row],[Valor]]*(1-tItens[[#This Row],[Desconto]])</f>
        <v>5786.5285372711351</v>
      </c>
      <c r="N6313" t="str">
        <f>IFERROR(INDEX(tProdutos[Foco],MATCH(tItens[[#This Row],[Produto]],tProdutos[Produto],0)),"Não")</f>
        <v>Não</v>
      </c>
      <c r="O6313" t="str">
        <f>IFERROR(INDEX(tEditais[SRP],MATCH(tItens[[#This Row],[Edital]],tEditais[Edital],0)),"Não")</f>
        <v>Sim</v>
      </c>
      <c r="P6313" s="4">
        <f>IF(COUNTIFS(INDEX(tItens[Edital],1):tItens[[#This Row],[Edital]],tItens[[#This Row],[Edital]],INDEX(tItens[Produto],1):tItens[[#This Row],[Produto]],tItens[[#This Row],[Produto]])=1,1,0)</f>
        <v>0</v>
      </c>
    </row>
    <row r="6314" spans="1:16" x14ac:dyDescent="0.25">
      <c r="A6314" t="s">
        <v>2192</v>
      </c>
      <c r="B6314">
        <v>69</v>
      </c>
      <c r="C6314" t="s">
        <v>9052</v>
      </c>
      <c r="D6314" t="s">
        <v>494</v>
      </c>
      <c r="E6314" s="13">
        <v>100</v>
      </c>
      <c r="F6314" s="12">
        <v>102.81</v>
      </c>
      <c r="G6314" t="str">
        <f>IFERROR(INDEX(tEditais[Órgão],MATCH(tItens[[#This Row],[Edital]],tEditais[Edital],0)),"")</f>
        <v>MUNICIPIO DE ROLANDIA</v>
      </c>
      <c r="H6314" t="str">
        <f>IFERROR(INDEX(tEditais[UF],MATCH(tItens[[#This Row],[Edital]],tEditais[Edital],0)),"")</f>
        <v>PR</v>
      </c>
      <c r="I6314" s="11">
        <f>IFERROR(INDEX(tEditais[Encerramento],MATCH(tItens[[#This Row],[Edital]],tEditais[Edital],0)),"")</f>
        <v>46314.541666666664</v>
      </c>
      <c r="J6314" t="str">
        <f>IFERROR(INDEX(tProdutos[Classe],MATCH(tItens[[#This Row],[Produto]],tProdutos[Produto],0)),"produto não cadastrado")</f>
        <v>FILA REBASE</v>
      </c>
      <c r="K6314" s="12">
        <f>tItens[[#This Row],[Qtd]]*tItens[[#This Row],[Vlr unit]]</f>
        <v>10281</v>
      </c>
      <c r="L6314" s="6">
        <f>IFERROR(IF(INDEX(tProdutos[Desconto homologado],MATCH(tItens[[#This Row],[Produto]],tProdutos[Produto],0))="",DescontoPadrao,INDEX(tProdutos[Desconto homologado],MATCH(tItens[[#This Row],[Produto]],tProdutos[Produto],0))),DescontoPadrao)</f>
        <v>0.253736324829619</v>
      </c>
      <c r="M6314" s="12">
        <f>tItens[[#This Row],[Valor]]*(1-tItens[[#This Row],[Desconto]])</f>
        <v>7672.336844426688</v>
      </c>
      <c r="N6314" t="str">
        <f>IFERROR(INDEX(tProdutos[Foco],MATCH(tItens[[#This Row],[Produto]],tProdutos[Produto],0)),"Não")</f>
        <v>Não</v>
      </c>
      <c r="O6314" t="str">
        <f>IFERROR(INDEX(tEditais[SRP],MATCH(tItens[[#This Row],[Edital]],tEditais[Edital],0)),"Não")</f>
        <v>Sim</v>
      </c>
      <c r="P6314" s="4">
        <f>IF(COUNTIFS(INDEX(tItens[Edital],1):tItens[[#This Row],[Edital]],tItens[[#This Row],[Edital]],INDEX(tItens[Produto],1):tItens[[#This Row],[Produto]],tItens[[#This Row],[Produto]])=1,1,0)</f>
        <v>0</v>
      </c>
    </row>
    <row r="6315" spans="1:16" x14ac:dyDescent="0.25">
      <c r="A6315" t="s">
        <v>2196</v>
      </c>
      <c r="B6315">
        <v>2287742</v>
      </c>
      <c r="C6315" t="s">
        <v>9053</v>
      </c>
      <c r="D6315" t="s">
        <v>71</v>
      </c>
      <c r="E6315" s="13">
        <v>150</v>
      </c>
      <c r="F6315" s="12">
        <v>48.06</v>
      </c>
      <c r="G6315" t="str">
        <f>IFERROR(INDEX(tEditais[Órgão],MATCH(tItens[[#This Row],[Edital]],tEditais[Edital],0)),"")</f>
        <v>MUNICIPIO DE ROLANDIA</v>
      </c>
      <c r="H6315" t="str">
        <f>IFERROR(INDEX(tEditais[UF],MATCH(tItens[[#This Row],[Edital]],tEditais[Edital],0)),"")</f>
        <v>PR</v>
      </c>
      <c r="I6315" s="11">
        <f>IFERROR(INDEX(tEditais[Encerramento],MATCH(tItens[[#This Row],[Edital]],tEditais[Edital],0)),"")</f>
        <v>46314.541666666664</v>
      </c>
      <c r="J6315" t="str">
        <f>IFERROR(INDEX(tProdutos[Classe],MATCH(tItens[[#This Row],[Produto]],tProdutos[Produto],0)),"produto não cadastrado")</f>
        <v>NÚCLEO</v>
      </c>
      <c r="K6315" s="12">
        <f>tItens[[#This Row],[Qtd]]*tItens[[#This Row],[Vlr unit]]</f>
        <v>7209</v>
      </c>
      <c r="L6315" s="6">
        <f>IFERROR(IF(INDEX(tProdutos[Desconto homologado],MATCH(tItens[[#This Row],[Produto]],tProdutos[Produto],0))="",DescontoPadrao,INDEX(tProdutos[Desconto homologado],MATCH(tItens[[#This Row],[Produto]],tProdutos[Produto],0))),DescontoPadrao)</f>
        <v>0.44981412639405199</v>
      </c>
      <c r="M6315" s="12">
        <f>tItens[[#This Row],[Valor]]*(1-tItens[[#This Row],[Desconto]])</f>
        <v>3966.289962825279</v>
      </c>
      <c r="N6315" t="str">
        <f>IFERROR(INDEX(tProdutos[Foco],MATCH(tItens[[#This Row],[Produto]],tProdutos[Produto],0)),"Não")</f>
        <v>Não</v>
      </c>
      <c r="O6315" t="str">
        <f>IFERROR(INDEX(tEditais[SRP],MATCH(tItens[[#This Row],[Edital]],tEditais[Edital],0)),"Não")</f>
        <v>Sim</v>
      </c>
      <c r="P6315" s="4">
        <f>IF(COUNTIFS(INDEX(tItens[Edital],1):tItens[[#This Row],[Edital]],tItens[[#This Row],[Edital]],INDEX(tItens[Produto],1):tItens[[#This Row],[Produto]],tItens[[#This Row],[Produto]])=1,1,0)</f>
        <v>1</v>
      </c>
    </row>
    <row r="6316" spans="1:16" x14ac:dyDescent="0.25">
      <c r="A6316" t="s">
        <v>2196</v>
      </c>
      <c r="B6316">
        <v>2287743</v>
      </c>
      <c r="C6316" t="s">
        <v>9054</v>
      </c>
      <c r="D6316" t="s">
        <v>88</v>
      </c>
      <c r="E6316" s="13">
        <v>100</v>
      </c>
      <c r="F6316" s="12">
        <v>37.979999999999997</v>
      </c>
      <c r="G6316" t="str">
        <f>IFERROR(INDEX(tEditais[Órgão],MATCH(tItens[[#This Row],[Edital]],tEditais[Edital],0)),"")</f>
        <v>MUNICIPIO DE ROLANDIA</v>
      </c>
      <c r="H6316" t="str">
        <f>IFERROR(INDEX(tEditais[UF],MATCH(tItens[[#This Row],[Edital]],tEditais[Edital],0)),"")</f>
        <v>PR</v>
      </c>
      <c r="I6316" s="11">
        <f>IFERROR(INDEX(tEditais[Encerramento],MATCH(tItens[[#This Row],[Edital]],tEditais[Edital],0)),"")</f>
        <v>46314.541666666664</v>
      </c>
      <c r="J6316" t="str">
        <f>IFERROR(INDEX(tProdutos[Classe],MATCH(tItens[[#This Row],[Produto]],tProdutos[Produto],0)),"produto não cadastrado")</f>
        <v>NÚCLEO</v>
      </c>
      <c r="K6316" s="12">
        <f>tItens[[#This Row],[Qtd]]*tItens[[#This Row],[Vlr unit]]</f>
        <v>3797.9999999999995</v>
      </c>
      <c r="L6316" s="6">
        <f>IFERROR(IF(INDEX(tProdutos[Desconto homologado],MATCH(tItens[[#This Row],[Produto]],tProdutos[Produto],0))="",DescontoPadrao,INDEX(tProdutos[Desconto homologado],MATCH(tItens[[#This Row],[Produto]],tProdutos[Produto],0))),DescontoPadrao)</f>
        <v>0.30251202565473001</v>
      </c>
      <c r="M6316" s="12">
        <f>tItens[[#This Row],[Valor]]*(1-tItens[[#This Row],[Desconto]])</f>
        <v>2649.0593265633352</v>
      </c>
      <c r="N6316" t="str">
        <f>IFERROR(INDEX(tProdutos[Foco],MATCH(tItens[[#This Row],[Produto]],tProdutos[Produto],0)),"Não")</f>
        <v>Não</v>
      </c>
      <c r="O6316" t="str">
        <f>IFERROR(INDEX(tEditais[SRP],MATCH(tItens[[#This Row],[Edital]],tEditais[Edital],0)),"Não")</f>
        <v>Sim</v>
      </c>
      <c r="P6316" s="4">
        <f>IF(COUNTIFS(INDEX(tItens[Edital],1):tItens[[#This Row],[Edital]],tItens[[#This Row],[Edital]],INDEX(tItens[Produto],1):tItens[[#This Row],[Produto]],tItens[[#This Row],[Produto]])=1,1,0)</f>
        <v>1</v>
      </c>
    </row>
    <row r="6317" spans="1:16" x14ac:dyDescent="0.25">
      <c r="A6317" t="s">
        <v>2196</v>
      </c>
      <c r="B6317">
        <v>2287785</v>
      </c>
      <c r="C6317" t="s">
        <v>9055</v>
      </c>
      <c r="D6317" t="s">
        <v>461</v>
      </c>
      <c r="E6317" s="13">
        <v>100</v>
      </c>
      <c r="F6317" s="12">
        <v>41.8</v>
      </c>
      <c r="G6317" t="str">
        <f>IFERROR(INDEX(tEditais[Órgão],MATCH(tItens[[#This Row],[Edital]],tEditais[Edital],0)),"")</f>
        <v>MUNICIPIO DE ROLANDIA</v>
      </c>
      <c r="H6317" t="str">
        <f>IFERROR(INDEX(tEditais[UF],MATCH(tItens[[#This Row],[Edital]],tEditais[Edital],0)),"")</f>
        <v>PR</v>
      </c>
      <c r="I6317" s="11">
        <f>IFERROR(INDEX(tEditais[Encerramento],MATCH(tItens[[#This Row],[Edital]],tEditais[Edital],0)),"")</f>
        <v>46314.541666666664</v>
      </c>
      <c r="J6317" t="str">
        <f>IFERROR(INDEX(tProdutos[Classe],MATCH(tItens[[#This Row],[Produto]],tProdutos[Produto],0)),"produto não cadastrado")</f>
        <v>FILA REBASE</v>
      </c>
      <c r="K6317" s="12">
        <f>tItens[[#This Row],[Qtd]]*tItens[[#This Row],[Vlr unit]]</f>
        <v>4180</v>
      </c>
      <c r="L6317" s="6">
        <f>IFERROR(IF(INDEX(tProdutos[Desconto homologado],MATCH(tItens[[#This Row],[Produto]],tProdutos[Produto],0))="",DescontoPadrao,INDEX(tProdutos[Desconto homologado],MATCH(tItens[[#This Row],[Produto]],tProdutos[Produto],0))),DescontoPadrao)</f>
        <v>0.44096385542168698</v>
      </c>
      <c r="M6317" s="12">
        <f>tItens[[#This Row],[Valor]]*(1-tItens[[#This Row],[Desconto]])</f>
        <v>2336.7710843373484</v>
      </c>
      <c r="N6317" t="str">
        <f>IFERROR(INDEX(tProdutos[Foco],MATCH(tItens[[#This Row],[Produto]],tProdutos[Produto],0)),"Não")</f>
        <v>Não</v>
      </c>
      <c r="O6317" t="str">
        <f>IFERROR(INDEX(tEditais[SRP],MATCH(tItens[[#This Row],[Edital]],tEditais[Edital],0)),"Não")</f>
        <v>Sim</v>
      </c>
      <c r="P6317" s="4">
        <f>IF(COUNTIFS(INDEX(tItens[Edital],1):tItens[[#This Row],[Edital]],tItens[[#This Row],[Edital]],INDEX(tItens[Produto],1):tItens[[#This Row],[Produto]],tItens[[#This Row],[Produto]])=1,1,0)</f>
        <v>1</v>
      </c>
    </row>
    <row r="6318" spans="1:16" x14ac:dyDescent="0.25">
      <c r="A6318" t="s">
        <v>2196</v>
      </c>
      <c r="B6318">
        <v>2287786</v>
      </c>
      <c r="C6318" t="s">
        <v>9056</v>
      </c>
      <c r="D6318" t="s">
        <v>375</v>
      </c>
      <c r="E6318" s="13">
        <v>100</v>
      </c>
      <c r="F6318" s="12">
        <v>49.41</v>
      </c>
      <c r="G6318" t="str">
        <f>IFERROR(INDEX(tEditais[Órgão],MATCH(tItens[[#This Row],[Edital]],tEditais[Edital],0)),"")</f>
        <v>MUNICIPIO DE ROLANDIA</v>
      </c>
      <c r="H6318" t="str">
        <f>IFERROR(INDEX(tEditais[UF],MATCH(tItens[[#This Row],[Edital]],tEditais[Edital],0)),"")</f>
        <v>PR</v>
      </c>
      <c r="I6318" s="11">
        <f>IFERROR(INDEX(tEditais[Encerramento],MATCH(tItens[[#This Row],[Edital]],tEditais[Edital],0)),"")</f>
        <v>46314.541666666664</v>
      </c>
      <c r="J6318" t="str">
        <f>IFERROR(INDEX(tProdutos[Classe],MATCH(tItens[[#This Row],[Produto]],tProdutos[Produto],0)),"produto não cadastrado")</f>
        <v>FORA</v>
      </c>
      <c r="K6318" s="12">
        <f>tItens[[#This Row],[Qtd]]*tItens[[#This Row],[Vlr unit]]</f>
        <v>4941</v>
      </c>
      <c r="L6318" s="6">
        <f>IFERROR(IF(INDEX(tProdutos[Desconto homologado],MATCH(tItens[[#This Row],[Produto]],tProdutos[Produto],0))="",DescontoPadrao,INDEX(tProdutos[Desconto homologado],MATCH(tItens[[#This Row],[Produto]],tProdutos[Produto],0))),DescontoPadrao)</f>
        <v>0.25005895299481201</v>
      </c>
      <c r="M6318" s="12">
        <f>tItens[[#This Row],[Valor]]*(1-tItens[[#This Row],[Desconto]])</f>
        <v>3705.4587132526335</v>
      </c>
      <c r="N6318" t="str">
        <f>IFERROR(INDEX(tProdutos[Foco],MATCH(tItens[[#This Row],[Produto]],tProdutos[Produto],0)),"Não")</f>
        <v>Não</v>
      </c>
      <c r="O6318" t="str">
        <f>IFERROR(INDEX(tEditais[SRP],MATCH(tItens[[#This Row],[Edital]],tEditais[Edital],0)),"Não")</f>
        <v>Sim</v>
      </c>
      <c r="P6318" s="4">
        <f>IF(COUNTIFS(INDEX(tItens[Edital],1):tItens[[#This Row],[Edital]],tItens[[#This Row],[Edital]],INDEX(tItens[Produto],1):tItens[[#This Row],[Produto]],tItens[[#This Row],[Produto]])=1,1,0)</f>
        <v>1</v>
      </c>
    </row>
    <row r="6319" spans="1:16" x14ac:dyDescent="0.25">
      <c r="A6319" t="s">
        <v>2196</v>
      </c>
      <c r="B6319">
        <v>2287787</v>
      </c>
      <c r="C6319" t="s">
        <v>9057</v>
      </c>
      <c r="D6319" t="s">
        <v>375</v>
      </c>
      <c r="E6319" s="13">
        <v>100</v>
      </c>
      <c r="F6319" s="12">
        <v>54.69</v>
      </c>
      <c r="G6319" t="str">
        <f>IFERROR(INDEX(tEditais[Órgão],MATCH(tItens[[#This Row],[Edital]],tEditais[Edital],0)),"")</f>
        <v>MUNICIPIO DE ROLANDIA</v>
      </c>
      <c r="H6319" t="str">
        <f>IFERROR(INDEX(tEditais[UF],MATCH(tItens[[#This Row],[Edital]],tEditais[Edital],0)),"")</f>
        <v>PR</v>
      </c>
      <c r="I6319" s="11">
        <f>IFERROR(INDEX(tEditais[Encerramento],MATCH(tItens[[#This Row],[Edital]],tEditais[Edital],0)),"")</f>
        <v>46314.541666666664</v>
      </c>
      <c r="J6319" t="str">
        <f>IFERROR(INDEX(tProdutos[Classe],MATCH(tItens[[#This Row],[Produto]],tProdutos[Produto],0)),"produto não cadastrado")</f>
        <v>FORA</v>
      </c>
      <c r="K6319" s="12">
        <f>tItens[[#This Row],[Qtd]]*tItens[[#This Row],[Vlr unit]]</f>
        <v>5469</v>
      </c>
      <c r="L6319" s="6">
        <f>IFERROR(IF(INDEX(tProdutos[Desconto homologado],MATCH(tItens[[#This Row],[Produto]],tProdutos[Produto],0))="",DescontoPadrao,INDEX(tProdutos[Desconto homologado],MATCH(tItens[[#This Row],[Produto]],tProdutos[Produto],0))),DescontoPadrao)</f>
        <v>0.25005895299481201</v>
      </c>
      <c r="M6319" s="12">
        <f>tItens[[#This Row],[Valor]]*(1-tItens[[#This Row],[Desconto]])</f>
        <v>4101.4275860713724</v>
      </c>
      <c r="N6319" t="str">
        <f>IFERROR(INDEX(tProdutos[Foco],MATCH(tItens[[#This Row],[Produto]],tProdutos[Produto],0)),"Não")</f>
        <v>Não</v>
      </c>
      <c r="O6319" t="str">
        <f>IFERROR(INDEX(tEditais[SRP],MATCH(tItens[[#This Row],[Edital]],tEditais[Edital],0)),"Não")</f>
        <v>Sim</v>
      </c>
      <c r="P6319" s="4">
        <f>IF(COUNTIFS(INDEX(tItens[Edital],1):tItens[[#This Row],[Edital]],tItens[[#This Row],[Edital]],INDEX(tItens[Produto],1):tItens[[#This Row],[Produto]],tItens[[#This Row],[Produto]])=1,1,0)</f>
        <v>0</v>
      </c>
    </row>
    <row r="6320" spans="1:16" x14ac:dyDescent="0.25">
      <c r="A6320" t="s">
        <v>2196</v>
      </c>
      <c r="B6320">
        <v>2287795</v>
      </c>
      <c r="C6320" t="s">
        <v>9058</v>
      </c>
      <c r="D6320" t="s">
        <v>411</v>
      </c>
      <c r="E6320" s="13">
        <v>80</v>
      </c>
      <c r="F6320" s="12">
        <v>34.99</v>
      </c>
      <c r="G6320" t="str">
        <f>IFERROR(INDEX(tEditais[Órgão],MATCH(tItens[[#This Row],[Edital]],tEditais[Edital],0)),"")</f>
        <v>MUNICIPIO DE ROLANDIA</v>
      </c>
      <c r="H6320" t="str">
        <f>IFERROR(INDEX(tEditais[UF],MATCH(tItens[[#This Row],[Edital]],tEditais[Edital],0)),"")</f>
        <v>PR</v>
      </c>
      <c r="I6320" s="11">
        <f>IFERROR(INDEX(tEditais[Encerramento],MATCH(tItens[[#This Row],[Edital]],tEditais[Edital],0)),"")</f>
        <v>46314.541666666664</v>
      </c>
      <c r="J6320" t="str">
        <f>IFERROR(INDEX(tProdutos[Classe],MATCH(tItens[[#This Row],[Produto]],tProdutos[Produto],0)),"produto não cadastrado")</f>
        <v>FORA</v>
      </c>
      <c r="K6320" s="12">
        <f>tItens[[#This Row],[Qtd]]*tItens[[#This Row],[Vlr unit]]</f>
        <v>2799.2000000000003</v>
      </c>
      <c r="L6320" s="6">
        <f>IFERROR(IF(INDEX(tProdutos[Desconto homologado],MATCH(tItens[[#This Row],[Produto]],tProdutos[Produto],0))="",DescontoPadrao,INDEX(tProdutos[Desconto homologado],MATCH(tItens[[#This Row],[Produto]],tProdutos[Produto],0))),DescontoPadrao)</f>
        <v>0.50029835957199398</v>
      </c>
      <c r="M6320" s="12">
        <f>tItens[[#This Row],[Valor]]*(1-tItens[[#This Row],[Desconto]])</f>
        <v>1398.7648318860745</v>
      </c>
      <c r="N6320" t="str">
        <f>IFERROR(INDEX(tProdutos[Foco],MATCH(tItens[[#This Row],[Produto]],tProdutos[Produto],0)),"Não")</f>
        <v>Não</v>
      </c>
      <c r="O6320" t="str">
        <f>IFERROR(INDEX(tEditais[SRP],MATCH(tItens[[#This Row],[Edital]],tEditais[Edital],0)),"Não")</f>
        <v>Sim</v>
      </c>
      <c r="P6320" s="4">
        <f>IF(COUNTIFS(INDEX(tItens[Edital],1):tItens[[#This Row],[Edital]],tItens[[#This Row],[Edital]],INDEX(tItens[Produto],1):tItens[[#This Row],[Produto]],tItens[[#This Row],[Produto]])=1,1,0)</f>
        <v>1</v>
      </c>
    </row>
    <row r="6321" spans="1:16" x14ac:dyDescent="0.25">
      <c r="A6321" t="s">
        <v>2196</v>
      </c>
      <c r="B6321">
        <v>2287796</v>
      </c>
      <c r="C6321" t="s">
        <v>9059</v>
      </c>
      <c r="D6321" t="s">
        <v>130</v>
      </c>
      <c r="E6321" s="13">
        <v>100</v>
      </c>
      <c r="F6321" s="12">
        <v>72.040000000000006</v>
      </c>
      <c r="G6321" t="str">
        <f>IFERROR(INDEX(tEditais[Órgão],MATCH(tItens[[#This Row],[Edital]],tEditais[Edital],0)),"")</f>
        <v>MUNICIPIO DE ROLANDIA</v>
      </c>
      <c r="H6321" t="str">
        <f>IFERROR(INDEX(tEditais[UF],MATCH(tItens[[#This Row],[Edital]],tEditais[Edital],0)),"")</f>
        <v>PR</v>
      </c>
      <c r="I6321" s="11">
        <f>IFERROR(INDEX(tEditais[Encerramento],MATCH(tItens[[#This Row],[Edital]],tEditais[Edital],0)),"")</f>
        <v>46314.541666666664</v>
      </c>
      <c r="J6321" t="str">
        <f>IFERROR(INDEX(tProdutos[Classe],MATCH(tItens[[#This Row],[Produto]],tProdutos[Produto],0)),"produto não cadastrado")</f>
        <v>DISPUTADO</v>
      </c>
      <c r="K6321" s="12">
        <f>tItens[[#This Row],[Qtd]]*tItens[[#This Row],[Vlr unit]]</f>
        <v>7204.0000000000009</v>
      </c>
      <c r="L6321" s="6">
        <f>IFERROR(IF(INDEX(tProdutos[Desconto homologado],MATCH(tItens[[#This Row],[Produto]],tProdutos[Produto],0))="",DescontoPadrao,INDEX(tProdutos[Desconto homologado],MATCH(tItens[[#This Row],[Produto]],tProdutos[Produto],0))),DescontoPadrao)</f>
        <v>0.32</v>
      </c>
      <c r="M6321" s="12">
        <f>tItens[[#This Row],[Valor]]*(1-tItens[[#This Row],[Desconto]])</f>
        <v>4898.72</v>
      </c>
      <c r="N6321" t="str">
        <f>IFERROR(INDEX(tProdutos[Foco],MATCH(tItens[[#This Row],[Produto]],tProdutos[Produto],0)),"Não")</f>
        <v>Sim</v>
      </c>
      <c r="O6321" t="str">
        <f>IFERROR(INDEX(tEditais[SRP],MATCH(tItens[[#This Row],[Edital]],tEditais[Edital],0)),"Não")</f>
        <v>Sim</v>
      </c>
      <c r="P6321" s="4">
        <f>IF(COUNTIFS(INDEX(tItens[Edital],1):tItens[[#This Row],[Edital]],tItens[[#This Row],[Edital]],INDEX(tItens[Produto],1):tItens[[#This Row],[Produto]],tItens[[#This Row],[Produto]])=1,1,0)</f>
        <v>1</v>
      </c>
    </row>
    <row r="6322" spans="1:16" x14ac:dyDescent="0.25">
      <c r="A6322" t="s">
        <v>2196</v>
      </c>
      <c r="B6322">
        <v>2287805</v>
      </c>
      <c r="C6322" t="s">
        <v>9060</v>
      </c>
      <c r="D6322" t="s">
        <v>494</v>
      </c>
      <c r="E6322" s="13">
        <v>100</v>
      </c>
      <c r="F6322" s="12">
        <v>49.2</v>
      </c>
      <c r="G6322" t="str">
        <f>IFERROR(INDEX(tEditais[Órgão],MATCH(tItens[[#This Row],[Edital]],tEditais[Edital],0)),"")</f>
        <v>MUNICIPIO DE ROLANDIA</v>
      </c>
      <c r="H6322" t="str">
        <f>IFERROR(INDEX(tEditais[UF],MATCH(tItens[[#This Row],[Edital]],tEditais[Edital],0)),"")</f>
        <v>PR</v>
      </c>
      <c r="I6322" s="11">
        <f>IFERROR(INDEX(tEditais[Encerramento],MATCH(tItens[[#This Row],[Edital]],tEditais[Edital],0)),"")</f>
        <v>46314.541666666664</v>
      </c>
      <c r="J6322" t="str">
        <f>IFERROR(INDEX(tProdutos[Classe],MATCH(tItens[[#This Row],[Produto]],tProdutos[Produto],0)),"produto não cadastrado")</f>
        <v>FILA REBASE</v>
      </c>
      <c r="K6322" s="12">
        <f>tItens[[#This Row],[Qtd]]*tItens[[#This Row],[Vlr unit]]</f>
        <v>4920</v>
      </c>
      <c r="L6322" s="6">
        <f>IFERROR(IF(INDEX(tProdutos[Desconto homologado],MATCH(tItens[[#This Row],[Produto]],tProdutos[Produto],0))="",DescontoPadrao,INDEX(tProdutos[Desconto homologado],MATCH(tItens[[#This Row],[Produto]],tProdutos[Produto],0))),DescontoPadrao)</f>
        <v>0.253736324829619</v>
      </c>
      <c r="M6322" s="12">
        <f>tItens[[#This Row],[Valor]]*(1-tItens[[#This Row],[Desconto]])</f>
        <v>3671.6172818382747</v>
      </c>
      <c r="N6322" t="str">
        <f>IFERROR(INDEX(tProdutos[Foco],MATCH(tItens[[#This Row],[Produto]],tProdutos[Produto],0)),"Não")</f>
        <v>Não</v>
      </c>
      <c r="O6322" t="str">
        <f>IFERROR(INDEX(tEditais[SRP],MATCH(tItens[[#This Row],[Edital]],tEditais[Edital],0)),"Não")</f>
        <v>Sim</v>
      </c>
      <c r="P6322" s="4">
        <f>IF(COUNTIFS(INDEX(tItens[Edital],1):tItens[[#This Row],[Edital]],tItens[[#This Row],[Edital]],INDEX(tItens[Produto],1):tItens[[#This Row],[Produto]],tItens[[#This Row],[Produto]])=1,1,0)</f>
        <v>1</v>
      </c>
    </row>
    <row r="6323" spans="1:16" x14ac:dyDescent="0.25">
      <c r="A6323" t="s">
        <v>2196</v>
      </c>
      <c r="B6323">
        <v>2287806</v>
      </c>
      <c r="C6323" t="s">
        <v>9061</v>
      </c>
      <c r="D6323" t="s">
        <v>494</v>
      </c>
      <c r="E6323" s="13">
        <v>100</v>
      </c>
      <c r="F6323" s="12">
        <v>60.35</v>
      </c>
      <c r="G6323" t="str">
        <f>IFERROR(INDEX(tEditais[Órgão],MATCH(tItens[[#This Row],[Edital]],tEditais[Edital],0)),"")</f>
        <v>MUNICIPIO DE ROLANDIA</v>
      </c>
      <c r="H6323" t="str">
        <f>IFERROR(INDEX(tEditais[UF],MATCH(tItens[[#This Row],[Edital]],tEditais[Edital],0)),"")</f>
        <v>PR</v>
      </c>
      <c r="I6323" s="11">
        <f>IFERROR(INDEX(tEditais[Encerramento],MATCH(tItens[[#This Row],[Edital]],tEditais[Edital],0)),"")</f>
        <v>46314.541666666664</v>
      </c>
      <c r="J6323" t="str">
        <f>IFERROR(INDEX(tProdutos[Classe],MATCH(tItens[[#This Row],[Produto]],tProdutos[Produto],0)),"produto não cadastrado")</f>
        <v>FILA REBASE</v>
      </c>
      <c r="K6323" s="12">
        <f>tItens[[#This Row],[Qtd]]*tItens[[#This Row],[Vlr unit]]</f>
        <v>6035</v>
      </c>
      <c r="L6323" s="6">
        <f>IFERROR(IF(INDEX(tProdutos[Desconto homologado],MATCH(tItens[[#This Row],[Produto]],tProdutos[Produto],0))="",DescontoPadrao,INDEX(tProdutos[Desconto homologado],MATCH(tItens[[#This Row],[Produto]],tProdutos[Produto],0))),DescontoPadrao)</f>
        <v>0.253736324829619</v>
      </c>
      <c r="M6323" s="12">
        <f>tItens[[#This Row],[Valor]]*(1-tItens[[#This Row],[Desconto]])</f>
        <v>4503.7012796532499</v>
      </c>
      <c r="N6323" t="str">
        <f>IFERROR(INDEX(tProdutos[Foco],MATCH(tItens[[#This Row],[Produto]],tProdutos[Produto],0)),"Não")</f>
        <v>Não</v>
      </c>
      <c r="O6323" t="str">
        <f>IFERROR(INDEX(tEditais[SRP],MATCH(tItens[[#This Row],[Edital]],tEditais[Edital],0)),"Não")</f>
        <v>Sim</v>
      </c>
      <c r="P6323" s="4">
        <f>IF(COUNTIFS(INDEX(tItens[Edital],1):tItens[[#This Row],[Edital]],tItens[[#This Row],[Edital]],INDEX(tItens[Produto],1):tItens[[#This Row],[Produto]],tItens[[#This Row],[Produto]])=1,1,0)</f>
        <v>0</v>
      </c>
    </row>
    <row r="6324" spans="1:16" x14ac:dyDescent="0.25">
      <c r="A6324" t="s">
        <v>2196</v>
      </c>
      <c r="B6324">
        <v>2287807</v>
      </c>
      <c r="C6324" t="s">
        <v>9062</v>
      </c>
      <c r="D6324" t="s">
        <v>494</v>
      </c>
      <c r="E6324" s="13">
        <v>100</v>
      </c>
      <c r="F6324" s="12">
        <v>77.540000000000006</v>
      </c>
      <c r="G6324" t="str">
        <f>IFERROR(INDEX(tEditais[Órgão],MATCH(tItens[[#This Row],[Edital]],tEditais[Edital],0)),"")</f>
        <v>MUNICIPIO DE ROLANDIA</v>
      </c>
      <c r="H6324" t="str">
        <f>IFERROR(INDEX(tEditais[UF],MATCH(tItens[[#This Row],[Edital]],tEditais[Edital],0)),"")</f>
        <v>PR</v>
      </c>
      <c r="I6324" s="11">
        <f>IFERROR(INDEX(tEditais[Encerramento],MATCH(tItens[[#This Row],[Edital]],tEditais[Edital],0)),"")</f>
        <v>46314.541666666664</v>
      </c>
      <c r="J6324" t="str">
        <f>IFERROR(INDEX(tProdutos[Classe],MATCH(tItens[[#This Row],[Produto]],tProdutos[Produto],0)),"produto não cadastrado")</f>
        <v>FILA REBASE</v>
      </c>
      <c r="K6324" s="12">
        <f>tItens[[#This Row],[Qtd]]*tItens[[#This Row],[Vlr unit]]</f>
        <v>7754.0000000000009</v>
      </c>
      <c r="L6324" s="6">
        <f>IFERROR(IF(INDEX(tProdutos[Desconto homologado],MATCH(tItens[[#This Row],[Produto]],tProdutos[Produto],0))="",DescontoPadrao,INDEX(tProdutos[Desconto homologado],MATCH(tItens[[#This Row],[Produto]],tProdutos[Produto],0))),DescontoPadrao)</f>
        <v>0.253736324829619</v>
      </c>
      <c r="M6324" s="12">
        <f>tItens[[#This Row],[Valor]]*(1-tItens[[#This Row],[Desconto]])</f>
        <v>5786.5285372711351</v>
      </c>
      <c r="N6324" t="str">
        <f>IFERROR(INDEX(tProdutos[Foco],MATCH(tItens[[#This Row],[Produto]],tProdutos[Produto],0)),"Não")</f>
        <v>Não</v>
      </c>
      <c r="O6324" t="str">
        <f>IFERROR(INDEX(tEditais[SRP],MATCH(tItens[[#This Row],[Edital]],tEditais[Edital],0)),"Não")</f>
        <v>Sim</v>
      </c>
      <c r="P6324" s="4">
        <f>IF(COUNTIFS(INDEX(tItens[Edital],1):tItens[[#This Row],[Edital]],tItens[[#This Row],[Edital]],INDEX(tItens[Produto],1):tItens[[#This Row],[Produto]],tItens[[#This Row],[Produto]])=1,1,0)</f>
        <v>0</v>
      </c>
    </row>
    <row r="6325" spans="1:16" x14ac:dyDescent="0.25">
      <c r="A6325" t="s">
        <v>2196</v>
      </c>
      <c r="B6325">
        <v>2287808</v>
      </c>
      <c r="C6325" t="s">
        <v>9063</v>
      </c>
      <c r="D6325" t="s">
        <v>494</v>
      </c>
      <c r="E6325" s="13">
        <v>100</v>
      </c>
      <c r="F6325" s="12">
        <v>102.81</v>
      </c>
      <c r="G6325" t="str">
        <f>IFERROR(INDEX(tEditais[Órgão],MATCH(tItens[[#This Row],[Edital]],tEditais[Edital],0)),"")</f>
        <v>MUNICIPIO DE ROLANDIA</v>
      </c>
      <c r="H6325" t="str">
        <f>IFERROR(INDEX(tEditais[UF],MATCH(tItens[[#This Row],[Edital]],tEditais[Edital],0)),"")</f>
        <v>PR</v>
      </c>
      <c r="I6325" s="11">
        <f>IFERROR(INDEX(tEditais[Encerramento],MATCH(tItens[[#This Row],[Edital]],tEditais[Edital],0)),"")</f>
        <v>46314.541666666664</v>
      </c>
      <c r="J6325" t="str">
        <f>IFERROR(INDEX(tProdutos[Classe],MATCH(tItens[[#This Row],[Produto]],tProdutos[Produto],0)),"produto não cadastrado")</f>
        <v>FILA REBASE</v>
      </c>
      <c r="K6325" s="12">
        <f>tItens[[#This Row],[Qtd]]*tItens[[#This Row],[Vlr unit]]</f>
        <v>10281</v>
      </c>
      <c r="L6325" s="6">
        <f>IFERROR(IF(INDEX(tProdutos[Desconto homologado],MATCH(tItens[[#This Row],[Produto]],tProdutos[Produto],0))="",DescontoPadrao,INDEX(tProdutos[Desconto homologado],MATCH(tItens[[#This Row],[Produto]],tProdutos[Produto],0))),DescontoPadrao)</f>
        <v>0.253736324829619</v>
      </c>
      <c r="M6325" s="12">
        <f>tItens[[#This Row],[Valor]]*(1-tItens[[#This Row],[Desconto]])</f>
        <v>7672.336844426688</v>
      </c>
      <c r="N6325" t="str">
        <f>IFERROR(INDEX(tProdutos[Foco],MATCH(tItens[[#This Row],[Produto]],tProdutos[Produto],0)),"Não")</f>
        <v>Não</v>
      </c>
      <c r="O6325" t="str">
        <f>IFERROR(INDEX(tEditais[SRP],MATCH(tItens[[#This Row],[Edital]],tEditais[Edital],0)),"Não")</f>
        <v>Sim</v>
      </c>
      <c r="P6325" s="4">
        <f>IF(COUNTIFS(INDEX(tItens[Edital],1):tItens[[#This Row],[Edital]],tItens[[#This Row],[Edital]],INDEX(tItens[Produto],1):tItens[[#This Row],[Produto]],tItens[[#This Row],[Produto]])=1,1,0)</f>
        <v>0</v>
      </c>
    </row>
    <row r="6326" spans="1:16" x14ac:dyDescent="0.25">
      <c r="A6326" t="s">
        <v>2199</v>
      </c>
      <c r="B6326">
        <v>1</v>
      </c>
      <c r="C6326" t="s">
        <v>9064</v>
      </c>
      <c r="D6326" t="s">
        <v>245</v>
      </c>
      <c r="E6326" s="13">
        <v>15</v>
      </c>
      <c r="F6326" s="12">
        <v>556.75</v>
      </c>
      <c r="G6326" t="str">
        <f>IFERROR(INDEX(tEditais[Órgão],MATCH(tItens[[#This Row],[Edital]],tEditais[Edital],0)),"")</f>
        <v>MUNICIPIO DE RIO DE JANEIRO</v>
      </c>
      <c r="H6326" t="str">
        <f>IFERROR(INDEX(tEditais[UF],MATCH(tItens[[#This Row],[Edital]],tEditais[Edital],0)),"")</f>
        <v>RJ</v>
      </c>
      <c r="I6326" s="11">
        <f>IFERROR(INDEX(tEditais[Encerramento],MATCH(tItens[[#This Row],[Edital]],tEditais[Edital],0)),"")</f>
        <v>46304.333333333336</v>
      </c>
      <c r="J6326" t="str">
        <f>IFERROR(INDEX(tProdutos[Classe],MATCH(tItens[[#This Row],[Produto]],tProdutos[Produto],0)),"produto não cadastrado")</f>
        <v>FORA</v>
      </c>
      <c r="K6326" s="12">
        <f>tItens[[#This Row],[Qtd]]*tItens[[#This Row],[Vlr unit]]</f>
        <v>8351.25</v>
      </c>
      <c r="L6326" s="6">
        <f>IFERROR(IF(INDEX(tProdutos[Desconto homologado],MATCH(tItens[[#This Row],[Produto]],tProdutos[Produto],0))="",DescontoPadrao,INDEX(tProdutos[Desconto homologado],MATCH(tItens[[#This Row],[Produto]],tProdutos[Produto],0))),DescontoPadrao)</f>
        <v>0.34516963542284401</v>
      </c>
      <c r="M6326" s="12">
        <f>tItens[[#This Row],[Valor]]*(1-tItens[[#This Row],[Desconto]])</f>
        <v>5468.6520821749746</v>
      </c>
      <c r="N6326" t="str">
        <f>IFERROR(INDEX(tProdutos[Foco],MATCH(tItens[[#This Row],[Produto]],tProdutos[Produto],0)),"Não")</f>
        <v>Não</v>
      </c>
      <c r="O6326" t="str">
        <f>IFERROR(INDEX(tEditais[SRP],MATCH(tItens[[#This Row],[Edital]],tEditais[Edital],0)),"Não")</f>
        <v>Não</v>
      </c>
      <c r="P6326" s="4">
        <f>IF(COUNTIFS(INDEX(tItens[Edital],1):tItens[[#This Row],[Edital]],tItens[[#This Row],[Edital]],INDEX(tItens[Produto],1):tItens[[#This Row],[Produto]],tItens[[#This Row],[Produto]])=1,1,0)</f>
        <v>1</v>
      </c>
    </row>
    <row r="6327" spans="1:16" x14ac:dyDescent="0.25">
      <c r="A6327" t="s">
        <v>2205</v>
      </c>
      <c r="B6327">
        <v>1</v>
      </c>
      <c r="C6327" t="s">
        <v>4116</v>
      </c>
      <c r="D6327" t="s">
        <v>347</v>
      </c>
      <c r="E6327" s="13">
        <v>10</v>
      </c>
      <c r="F6327" s="12">
        <v>21.5</v>
      </c>
      <c r="G6327" t="str">
        <f>IFERROR(INDEX(tEditais[Órgão],MATCH(tItens[[#This Row],[Edital]],tEditais[Edital],0)),"")</f>
        <v>UNIVERSIDADE FEDERAL DO RIO DE JANEIRO</v>
      </c>
      <c r="H6327" t="str">
        <f>IFERROR(INDEX(tEditais[UF],MATCH(tItens[[#This Row],[Edital]],tEditais[Edital],0)),"")</f>
        <v>RJ</v>
      </c>
      <c r="I6327" s="11">
        <f>IFERROR(INDEX(tEditais[Encerramento],MATCH(tItens[[#This Row],[Edital]],tEditais[Edital],0)),"")</f>
        <v>46304.373611111114</v>
      </c>
      <c r="J6327" t="str">
        <f>IFERROR(INDEX(tProdutos[Classe],MATCH(tItens[[#This Row],[Produto]],tProdutos[Produto],0)),"produto não cadastrado")</f>
        <v>FORA</v>
      </c>
      <c r="K6327" s="12">
        <f>tItens[[#This Row],[Qtd]]*tItens[[#This Row],[Vlr unit]]</f>
        <v>215</v>
      </c>
      <c r="L6327" s="6">
        <f>IFERROR(IF(INDEX(tProdutos[Desconto homologado],MATCH(tItens[[#This Row],[Produto]],tProdutos[Produto],0))="",DescontoPadrao,INDEX(tProdutos[Desconto homologado],MATCH(tItens[[#This Row],[Produto]],tProdutos[Produto],0))),DescontoPadrao)</f>
        <v>0.26356465005931201</v>
      </c>
      <c r="M6327" s="12">
        <f>tItens[[#This Row],[Valor]]*(1-tItens[[#This Row],[Desconto]])</f>
        <v>158.33360023724791</v>
      </c>
      <c r="N6327" t="str">
        <f>IFERROR(INDEX(tProdutos[Foco],MATCH(tItens[[#This Row],[Produto]],tProdutos[Produto],0)),"Não")</f>
        <v>Não</v>
      </c>
      <c r="O6327" t="str">
        <f>IFERROR(INDEX(tEditais[SRP],MATCH(tItens[[#This Row],[Edital]],tEditais[Edital],0)),"Não")</f>
        <v>Não</v>
      </c>
      <c r="P6327" s="4">
        <f>IF(COUNTIFS(INDEX(tItens[Edital],1):tItens[[#This Row],[Edital]],tItens[[#This Row],[Edital]],INDEX(tItens[Produto],1):tItens[[#This Row],[Produto]],tItens[[#This Row],[Produto]])=1,1,0)</f>
        <v>1</v>
      </c>
    </row>
    <row r="6328" spans="1:16" x14ac:dyDescent="0.25">
      <c r="A6328" t="s">
        <v>2205</v>
      </c>
      <c r="B6328">
        <v>2</v>
      </c>
      <c r="C6328" t="s">
        <v>5876</v>
      </c>
      <c r="D6328" t="s">
        <v>347</v>
      </c>
      <c r="E6328" s="13">
        <v>10</v>
      </c>
      <c r="F6328" s="12">
        <v>22.3</v>
      </c>
      <c r="G6328" t="str">
        <f>IFERROR(INDEX(tEditais[Órgão],MATCH(tItens[[#This Row],[Edital]],tEditais[Edital],0)),"")</f>
        <v>UNIVERSIDADE FEDERAL DO RIO DE JANEIRO</v>
      </c>
      <c r="H6328" t="str">
        <f>IFERROR(INDEX(tEditais[UF],MATCH(tItens[[#This Row],[Edital]],tEditais[Edital],0)),"")</f>
        <v>RJ</v>
      </c>
      <c r="I6328" s="11">
        <f>IFERROR(INDEX(tEditais[Encerramento],MATCH(tItens[[#This Row],[Edital]],tEditais[Edital],0)),"")</f>
        <v>46304.373611111114</v>
      </c>
      <c r="J6328" t="str">
        <f>IFERROR(INDEX(tProdutos[Classe],MATCH(tItens[[#This Row],[Produto]],tProdutos[Produto],0)),"produto não cadastrado")</f>
        <v>FORA</v>
      </c>
      <c r="K6328" s="12">
        <f>tItens[[#This Row],[Qtd]]*tItens[[#This Row],[Vlr unit]]</f>
        <v>223</v>
      </c>
      <c r="L6328" s="6">
        <f>IFERROR(IF(INDEX(tProdutos[Desconto homologado],MATCH(tItens[[#This Row],[Produto]],tProdutos[Produto],0))="",DescontoPadrao,INDEX(tProdutos[Desconto homologado],MATCH(tItens[[#This Row],[Produto]],tProdutos[Produto],0))),DescontoPadrao)</f>
        <v>0.26356465005931201</v>
      </c>
      <c r="M6328" s="12">
        <f>tItens[[#This Row],[Valor]]*(1-tItens[[#This Row],[Desconto]])</f>
        <v>164.22508303677341</v>
      </c>
      <c r="N6328" t="str">
        <f>IFERROR(INDEX(tProdutos[Foco],MATCH(tItens[[#This Row],[Produto]],tProdutos[Produto],0)),"Não")</f>
        <v>Não</v>
      </c>
      <c r="O6328" t="str">
        <f>IFERROR(INDEX(tEditais[SRP],MATCH(tItens[[#This Row],[Edital]],tEditais[Edital],0)),"Não")</f>
        <v>Não</v>
      </c>
      <c r="P6328" s="4">
        <f>IF(COUNTIFS(INDEX(tItens[Edital],1):tItens[[#This Row],[Edital]],tItens[[#This Row],[Edital]],INDEX(tItens[Produto],1):tItens[[#This Row],[Produto]],tItens[[#This Row],[Produto]])=1,1,0)</f>
        <v>0</v>
      </c>
    </row>
    <row r="6329" spans="1:16" x14ac:dyDescent="0.25">
      <c r="A6329" t="s">
        <v>2205</v>
      </c>
      <c r="B6329">
        <v>3</v>
      </c>
      <c r="C6329" t="s">
        <v>5877</v>
      </c>
      <c r="D6329" t="s">
        <v>347</v>
      </c>
      <c r="E6329" s="13">
        <v>10</v>
      </c>
      <c r="F6329" s="12">
        <v>22.5</v>
      </c>
      <c r="G6329" t="str">
        <f>IFERROR(INDEX(tEditais[Órgão],MATCH(tItens[[#This Row],[Edital]],tEditais[Edital],0)),"")</f>
        <v>UNIVERSIDADE FEDERAL DO RIO DE JANEIRO</v>
      </c>
      <c r="H6329" t="str">
        <f>IFERROR(INDEX(tEditais[UF],MATCH(tItens[[#This Row],[Edital]],tEditais[Edital],0)),"")</f>
        <v>RJ</v>
      </c>
      <c r="I6329" s="11">
        <f>IFERROR(INDEX(tEditais[Encerramento],MATCH(tItens[[#This Row],[Edital]],tEditais[Edital],0)),"")</f>
        <v>46304.373611111114</v>
      </c>
      <c r="J6329" t="str">
        <f>IFERROR(INDEX(tProdutos[Classe],MATCH(tItens[[#This Row],[Produto]],tProdutos[Produto],0)),"produto não cadastrado")</f>
        <v>FORA</v>
      </c>
      <c r="K6329" s="12">
        <f>tItens[[#This Row],[Qtd]]*tItens[[#This Row],[Vlr unit]]</f>
        <v>225</v>
      </c>
      <c r="L6329" s="6">
        <f>IFERROR(IF(INDEX(tProdutos[Desconto homologado],MATCH(tItens[[#This Row],[Produto]],tProdutos[Produto],0))="",DescontoPadrao,INDEX(tProdutos[Desconto homologado],MATCH(tItens[[#This Row],[Produto]],tProdutos[Produto],0))),DescontoPadrao)</f>
        <v>0.26356465005931201</v>
      </c>
      <c r="M6329" s="12">
        <f>tItens[[#This Row],[Valor]]*(1-tItens[[#This Row],[Desconto]])</f>
        <v>165.6979537366548</v>
      </c>
      <c r="N6329" t="str">
        <f>IFERROR(INDEX(tProdutos[Foco],MATCH(tItens[[#This Row],[Produto]],tProdutos[Produto],0)),"Não")</f>
        <v>Não</v>
      </c>
      <c r="O6329" t="str">
        <f>IFERROR(INDEX(tEditais[SRP],MATCH(tItens[[#This Row],[Edital]],tEditais[Edital],0)),"Não")</f>
        <v>Não</v>
      </c>
      <c r="P6329" s="4">
        <f>IF(COUNTIFS(INDEX(tItens[Edital],1):tItens[[#This Row],[Edital]],tItens[[#This Row],[Edital]],INDEX(tItens[Produto],1):tItens[[#This Row],[Produto]],tItens[[#This Row],[Produto]])=1,1,0)</f>
        <v>0</v>
      </c>
    </row>
    <row r="6330" spans="1:16" x14ac:dyDescent="0.25">
      <c r="A6330" t="s">
        <v>2205</v>
      </c>
      <c r="B6330">
        <v>6</v>
      </c>
      <c r="C6330" t="s">
        <v>9065</v>
      </c>
      <c r="D6330" t="s">
        <v>160</v>
      </c>
      <c r="E6330" s="13">
        <v>300</v>
      </c>
      <c r="F6330" s="12">
        <v>56</v>
      </c>
      <c r="G6330" t="str">
        <f>IFERROR(INDEX(tEditais[Órgão],MATCH(tItens[[#This Row],[Edital]],tEditais[Edital],0)),"")</f>
        <v>UNIVERSIDADE FEDERAL DO RIO DE JANEIRO</v>
      </c>
      <c r="H6330" t="str">
        <f>IFERROR(INDEX(tEditais[UF],MATCH(tItens[[#This Row],[Edital]],tEditais[Edital],0)),"")</f>
        <v>RJ</v>
      </c>
      <c r="I6330" s="11">
        <f>IFERROR(INDEX(tEditais[Encerramento],MATCH(tItens[[#This Row],[Edital]],tEditais[Edital],0)),"")</f>
        <v>46304.373611111114</v>
      </c>
      <c r="J6330" t="str">
        <f>IFERROR(INDEX(tProdutos[Classe],MATCH(tItens[[#This Row],[Produto]],tProdutos[Produto],0)),"produto não cadastrado")</f>
        <v>DISPUTADO</v>
      </c>
      <c r="K6330" s="12">
        <f>tItens[[#This Row],[Qtd]]*tItens[[#This Row],[Vlr unit]]</f>
        <v>16800</v>
      </c>
      <c r="L6330" s="6">
        <f>IFERROR(IF(INDEX(tProdutos[Desconto homologado],MATCH(tItens[[#This Row],[Produto]],tProdutos[Produto],0))="",DescontoPadrao,INDEX(tProdutos[Desconto homologado],MATCH(tItens[[#This Row],[Produto]],tProdutos[Produto],0))),DescontoPadrao)</f>
        <v>0.28000000000000003</v>
      </c>
      <c r="M6330" s="12">
        <f>tItens[[#This Row],[Valor]]*(1-tItens[[#This Row],[Desconto]])</f>
        <v>12096</v>
      </c>
      <c r="N6330" t="str">
        <f>IFERROR(INDEX(tProdutos[Foco],MATCH(tItens[[#This Row],[Produto]],tProdutos[Produto],0)),"Não")</f>
        <v>Sim</v>
      </c>
      <c r="O6330" t="str">
        <f>IFERROR(INDEX(tEditais[SRP],MATCH(tItens[[#This Row],[Edital]],tEditais[Edital],0)),"Não")</f>
        <v>Não</v>
      </c>
      <c r="P6330" s="4">
        <f>IF(COUNTIFS(INDEX(tItens[Edital],1):tItens[[#This Row],[Edital]],tItens[[#This Row],[Edital]],INDEX(tItens[Produto],1):tItens[[#This Row],[Produto]],tItens[[#This Row],[Produto]])=1,1,0)</f>
        <v>1</v>
      </c>
    </row>
    <row r="6331" spans="1:16" x14ac:dyDescent="0.25">
      <c r="A6331" t="s">
        <v>2205</v>
      </c>
      <c r="B6331">
        <v>7</v>
      </c>
      <c r="C6331" t="s">
        <v>9066</v>
      </c>
      <c r="D6331" t="s">
        <v>180</v>
      </c>
      <c r="E6331" s="13">
        <v>300</v>
      </c>
      <c r="F6331" s="12">
        <v>2.5</v>
      </c>
      <c r="G6331" t="str">
        <f>IFERROR(INDEX(tEditais[Órgão],MATCH(tItens[[#This Row],[Edital]],tEditais[Edital],0)),"")</f>
        <v>UNIVERSIDADE FEDERAL DO RIO DE JANEIRO</v>
      </c>
      <c r="H6331" t="str">
        <f>IFERROR(INDEX(tEditais[UF],MATCH(tItens[[#This Row],[Edital]],tEditais[Edital],0)),"")</f>
        <v>RJ</v>
      </c>
      <c r="I6331" s="11">
        <f>IFERROR(INDEX(tEditais[Encerramento],MATCH(tItens[[#This Row],[Edital]],tEditais[Edital],0)),"")</f>
        <v>46304.373611111114</v>
      </c>
      <c r="J6331" t="str">
        <f>IFERROR(INDEX(tProdutos[Classe],MATCH(tItens[[#This Row],[Produto]],tProdutos[Produto],0)),"produto não cadastrado")</f>
        <v>DISPUTADO</v>
      </c>
      <c r="K6331" s="12">
        <f>tItens[[#This Row],[Qtd]]*tItens[[#This Row],[Vlr unit]]</f>
        <v>750</v>
      </c>
      <c r="L6331" s="6">
        <f>IFERROR(IF(INDEX(tProdutos[Desconto homologado],MATCH(tItens[[#This Row],[Produto]],tProdutos[Produto],0))="",DescontoPadrao,INDEX(tProdutos[Desconto homologado],MATCH(tItens[[#This Row],[Produto]],tProdutos[Produto],0))),DescontoPadrao)</f>
        <v>0.33333333333333298</v>
      </c>
      <c r="M6331" s="12">
        <f>tItens[[#This Row],[Valor]]*(1-tItens[[#This Row],[Desconto]])</f>
        <v>500.00000000000023</v>
      </c>
      <c r="N6331" t="str">
        <f>IFERROR(INDEX(tProdutos[Foco],MATCH(tItens[[#This Row],[Produto]],tProdutos[Produto],0)),"Não")</f>
        <v>Não</v>
      </c>
      <c r="O6331" t="str">
        <f>IFERROR(INDEX(tEditais[SRP],MATCH(tItens[[#This Row],[Edital]],tEditais[Edital],0)),"Não")</f>
        <v>Não</v>
      </c>
      <c r="P6331" s="4">
        <f>IF(COUNTIFS(INDEX(tItens[Edital],1):tItens[[#This Row],[Edital]],tItens[[#This Row],[Edital]],INDEX(tItens[Produto],1):tItens[[#This Row],[Produto]],tItens[[#This Row],[Produto]])=1,1,0)</f>
        <v>1</v>
      </c>
    </row>
    <row r="6332" spans="1:16" x14ac:dyDescent="0.25">
      <c r="A6332" t="s">
        <v>2209</v>
      </c>
      <c r="B6332">
        <v>3</v>
      </c>
      <c r="C6332" t="s">
        <v>4211</v>
      </c>
      <c r="D6332" t="s">
        <v>195</v>
      </c>
      <c r="E6332" s="13">
        <v>11000</v>
      </c>
      <c r="F6332" s="12">
        <v>4.7699999999999996</v>
      </c>
      <c r="G6332" t="str">
        <f>IFERROR(INDEX(tEditais[Órgão],MATCH(tItens[[#This Row],[Edital]],tEditais[Edital],0)),"")</f>
        <v>MINISTERIO DA SAUDE</v>
      </c>
      <c r="H6332" t="str">
        <f>IFERROR(INDEX(tEditais[UF],MATCH(tItens[[#This Row],[Edital]],tEditais[Edital],0)),"")</f>
        <v>RJ</v>
      </c>
      <c r="I6332" s="11">
        <f>IFERROR(INDEX(tEditais[Encerramento],MATCH(tItens[[#This Row],[Edital]],tEditais[Edital],0)),"")</f>
        <v>46304.374305555553</v>
      </c>
      <c r="J6332" t="str">
        <f>IFERROR(INDEX(tProdutos[Classe],MATCH(tItens[[#This Row],[Produto]],tProdutos[Produto],0)),"produto não cadastrado")</f>
        <v>FORA</v>
      </c>
      <c r="K6332" s="12">
        <f>tItens[[#This Row],[Qtd]]*tItens[[#This Row],[Vlr unit]]</f>
        <v>52469.999999999993</v>
      </c>
      <c r="L6332" s="6">
        <f>IFERROR(IF(INDEX(tProdutos[Desconto homologado],MATCH(tItens[[#This Row],[Produto]],tProdutos[Produto],0))="",DescontoPadrao,INDEX(tProdutos[Desconto homologado],MATCH(tItens[[#This Row],[Produto]],tProdutos[Produto],0))),DescontoPadrao)</f>
        <v>0.27813657840171302</v>
      </c>
      <c r="M6332" s="12">
        <f>tItens[[#This Row],[Valor]]*(1-tItens[[#This Row],[Desconto]])</f>
        <v>37876.173731262112</v>
      </c>
      <c r="N6332" t="str">
        <f>IFERROR(INDEX(tProdutos[Foco],MATCH(tItens[[#This Row],[Produto]],tProdutos[Produto],0)),"Não")</f>
        <v>Não</v>
      </c>
      <c r="O6332" t="str">
        <f>IFERROR(INDEX(tEditais[SRP],MATCH(tItens[[#This Row],[Edital]],tEditais[Edital],0)),"Não")</f>
        <v>Não</v>
      </c>
      <c r="P6332" s="4">
        <f>IF(COUNTIFS(INDEX(tItens[Edital],1):tItens[[#This Row],[Edital]],tItens[[#This Row],[Edital]],INDEX(tItens[Produto],1):tItens[[#This Row],[Produto]],tItens[[#This Row],[Produto]])=1,1,0)</f>
        <v>1</v>
      </c>
    </row>
    <row r="6333" spans="1:16" x14ac:dyDescent="0.25">
      <c r="A6333" t="s">
        <v>2212</v>
      </c>
      <c r="B6333">
        <v>5</v>
      </c>
      <c r="C6333" t="s">
        <v>9067</v>
      </c>
      <c r="D6333" t="s">
        <v>345</v>
      </c>
      <c r="E6333" s="13">
        <v>500000</v>
      </c>
      <c r="F6333" s="12">
        <v>2.23</v>
      </c>
      <c r="G6333" t="str">
        <f>IFERROR(INDEX(tEditais[Órgão],MATCH(tItens[[#This Row],[Edital]],tEditais[Edital],0)),"")</f>
        <v>MUNICIPIO DE PETROPOLIS</v>
      </c>
      <c r="H6333" t="str">
        <f>IFERROR(INDEX(tEditais[UF],MATCH(tItens[[#This Row],[Edital]],tEditais[Edital],0)),"")</f>
        <v>RJ</v>
      </c>
      <c r="I6333" s="11">
        <f>IFERROR(INDEX(tEditais[Encerramento],MATCH(tItens[[#This Row],[Edital]],tEditais[Edital],0)),"")</f>
        <v>46304.375</v>
      </c>
      <c r="J6333" t="str">
        <f>IFERROR(INDEX(tProdutos[Classe],MATCH(tItens[[#This Row],[Produto]],tProdutos[Produto],0)),"produto não cadastrado")</f>
        <v>FORA</v>
      </c>
      <c r="K6333" s="12">
        <f>tItens[[#This Row],[Qtd]]*tItens[[#This Row],[Vlr unit]]</f>
        <v>1115000</v>
      </c>
      <c r="L6333" s="6">
        <f>IFERROR(IF(INDEX(tProdutos[Desconto homologado],MATCH(tItens[[#This Row],[Produto]],tProdutos[Produto],0))="",DescontoPadrao,INDEX(tProdutos[Desconto homologado],MATCH(tItens[[#This Row],[Produto]],tProdutos[Produto],0))),DescontoPadrao)</f>
        <v>0.412394275616498</v>
      </c>
      <c r="M6333" s="12">
        <f>tItens[[#This Row],[Valor]]*(1-tItens[[#This Row],[Desconto]])</f>
        <v>655180.38268760475</v>
      </c>
      <c r="N6333" t="str">
        <f>IFERROR(INDEX(tProdutos[Foco],MATCH(tItens[[#This Row],[Produto]],tProdutos[Produto],0)),"Não")</f>
        <v>Não</v>
      </c>
      <c r="O6333" t="str">
        <f>IFERROR(INDEX(tEditais[SRP],MATCH(tItens[[#This Row],[Edital]],tEditais[Edital],0)),"Não")</f>
        <v>Sim</v>
      </c>
      <c r="P6333" s="4">
        <f>IF(COUNTIFS(INDEX(tItens[Edital],1):tItens[[#This Row],[Edital]],tItens[[#This Row],[Edital]],INDEX(tItens[Produto],1):tItens[[#This Row],[Produto]],tItens[[#This Row],[Produto]])=1,1,0)</f>
        <v>1</v>
      </c>
    </row>
    <row r="6334" spans="1:16" x14ac:dyDescent="0.25">
      <c r="A6334" t="s">
        <v>2212</v>
      </c>
      <c r="B6334">
        <v>6</v>
      </c>
      <c r="C6334" t="s">
        <v>9068</v>
      </c>
      <c r="D6334" t="s">
        <v>345</v>
      </c>
      <c r="E6334" s="13">
        <v>400000</v>
      </c>
      <c r="F6334" s="12">
        <v>1.97</v>
      </c>
      <c r="G6334" t="str">
        <f>IFERROR(INDEX(tEditais[Órgão],MATCH(tItens[[#This Row],[Edital]],tEditais[Edital],0)),"")</f>
        <v>MUNICIPIO DE PETROPOLIS</v>
      </c>
      <c r="H6334" t="str">
        <f>IFERROR(INDEX(tEditais[UF],MATCH(tItens[[#This Row],[Edital]],tEditais[Edital],0)),"")</f>
        <v>RJ</v>
      </c>
      <c r="I6334" s="11">
        <f>IFERROR(INDEX(tEditais[Encerramento],MATCH(tItens[[#This Row],[Edital]],tEditais[Edital],0)),"")</f>
        <v>46304.375</v>
      </c>
      <c r="J6334" t="str">
        <f>IFERROR(INDEX(tProdutos[Classe],MATCH(tItens[[#This Row],[Produto]],tProdutos[Produto],0)),"produto não cadastrado")</f>
        <v>FORA</v>
      </c>
      <c r="K6334" s="12">
        <f>tItens[[#This Row],[Qtd]]*tItens[[#This Row],[Vlr unit]]</f>
        <v>788000</v>
      </c>
      <c r="L6334" s="6">
        <f>IFERROR(IF(INDEX(tProdutos[Desconto homologado],MATCH(tItens[[#This Row],[Produto]],tProdutos[Produto],0))="",DescontoPadrao,INDEX(tProdutos[Desconto homologado],MATCH(tItens[[#This Row],[Produto]],tProdutos[Produto],0))),DescontoPadrao)</f>
        <v>0.412394275616498</v>
      </c>
      <c r="M6334" s="12">
        <f>tItens[[#This Row],[Valor]]*(1-tItens[[#This Row],[Desconto]])</f>
        <v>463033.31081419956</v>
      </c>
      <c r="N6334" t="str">
        <f>IFERROR(INDEX(tProdutos[Foco],MATCH(tItens[[#This Row],[Produto]],tProdutos[Produto],0)),"Não")</f>
        <v>Não</v>
      </c>
      <c r="O6334" t="str">
        <f>IFERROR(INDEX(tEditais[SRP],MATCH(tItens[[#This Row],[Edital]],tEditais[Edital],0)),"Não")</f>
        <v>Sim</v>
      </c>
      <c r="P6334" s="4">
        <f>IF(COUNTIFS(INDEX(tItens[Edital],1):tItens[[#This Row],[Edital]],tItens[[#This Row],[Edital]],INDEX(tItens[Produto],1):tItens[[#This Row],[Produto]],tItens[[#This Row],[Produto]])=1,1,0)</f>
        <v>0</v>
      </c>
    </row>
    <row r="6335" spans="1:16" x14ac:dyDescent="0.25">
      <c r="A6335" t="s">
        <v>2212</v>
      </c>
      <c r="B6335">
        <v>7</v>
      </c>
      <c r="C6335" t="s">
        <v>9069</v>
      </c>
      <c r="D6335" t="s">
        <v>345</v>
      </c>
      <c r="E6335" s="13">
        <v>180000</v>
      </c>
      <c r="F6335" s="12">
        <v>1.93</v>
      </c>
      <c r="G6335" t="str">
        <f>IFERROR(INDEX(tEditais[Órgão],MATCH(tItens[[#This Row],[Edital]],tEditais[Edital],0)),"")</f>
        <v>MUNICIPIO DE PETROPOLIS</v>
      </c>
      <c r="H6335" t="str">
        <f>IFERROR(INDEX(tEditais[UF],MATCH(tItens[[#This Row],[Edital]],tEditais[Edital],0)),"")</f>
        <v>RJ</v>
      </c>
      <c r="I6335" s="11">
        <f>IFERROR(INDEX(tEditais[Encerramento],MATCH(tItens[[#This Row],[Edital]],tEditais[Edital],0)),"")</f>
        <v>46304.375</v>
      </c>
      <c r="J6335" t="str">
        <f>IFERROR(INDEX(tProdutos[Classe],MATCH(tItens[[#This Row],[Produto]],tProdutos[Produto],0)),"produto não cadastrado")</f>
        <v>FORA</v>
      </c>
      <c r="K6335" s="12">
        <f>tItens[[#This Row],[Qtd]]*tItens[[#This Row],[Vlr unit]]</f>
        <v>347400</v>
      </c>
      <c r="L6335" s="6">
        <f>IFERROR(IF(INDEX(tProdutos[Desconto homologado],MATCH(tItens[[#This Row],[Produto]],tProdutos[Produto],0))="",DescontoPadrao,INDEX(tProdutos[Desconto homologado],MATCH(tItens[[#This Row],[Produto]],tProdutos[Produto],0))),DescontoPadrao)</f>
        <v>0.412394275616498</v>
      </c>
      <c r="M6335" s="12">
        <f>tItens[[#This Row],[Valor]]*(1-tItens[[#This Row],[Desconto]])</f>
        <v>204134.22865082859</v>
      </c>
      <c r="N6335" t="str">
        <f>IFERROR(INDEX(tProdutos[Foco],MATCH(tItens[[#This Row],[Produto]],tProdutos[Produto],0)),"Não")</f>
        <v>Não</v>
      </c>
      <c r="O6335" t="str">
        <f>IFERROR(INDEX(tEditais[SRP],MATCH(tItens[[#This Row],[Edital]],tEditais[Edital],0)),"Não")</f>
        <v>Sim</v>
      </c>
      <c r="P6335" s="4">
        <f>IF(COUNTIFS(INDEX(tItens[Edital],1):tItens[[#This Row],[Edital]],tItens[[#This Row],[Edital]],INDEX(tItens[Produto],1):tItens[[#This Row],[Produto]],tItens[[#This Row],[Produto]])=1,1,0)</f>
        <v>0</v>
      </c>
    </row>
    <row r="6336" spans="1:16" x14ac:dyDescent="0.25">
      <c r="A6336" t="s">
        <v>2212</v>
      </c>
      <c r="B6336">
        <v>8</v>
      </c>
      <c r="C6336" t="s">
        <v>9070</v>
      </c>
      <c r="D6336" t="s">
        <v>345</v>
      </c>
      <c r="E6336" s="13">
        <v>3600</v>
      </c>
      <c r="F6336" s="12">
        <v>2.14</v>
      </c>
      <c r="G6336" t="str">
        <f>IFERROR(INDEX(tEditais[Órgão],MATCH(tItens[[#This Row],[Edital]],tEditais[Edital],0)),"")</f>
        <v>MUNICIPIO DE PETROPOLIS</v>
      </c>
      <c r="H6336" t="str">
        <f>IFERROR(INDEX(tEditais[UF],MATCH(tItens[[#This Row],[Edital]],tEditais[Edital],0)),"")</f>
        <v>RJ</v>
      </c>
      <c r="I6336" s="11">
        <f>IFERROR(INDEX(tEditais[Encerramento],MATCH(tItens[[#This Row],[Edital]],tEditais[Edital],0)),"")</f>
        <v>46304.375</v>
      </c>
      <c r="J6336" t="str">
        <f>IFERROR(INDEX(tProdutos[Classe],MATCH(tItens[[#This Row],[Produto]],tProdutos[Produto],0)),"produto não cadastrado")</f>
        <v>FORA</v>
      </c>
      <c r="K6336" s="12">
        <f>tItens[[#This Row],[Qtd]]*tItens[[#This Row],[Vlr unit]]</f>
        <v>7704</v>
      </c>
      <c r="L6336" s="6">
        <f>IFERROR(IF(INDEX(tProdutos[Desconto homologado],MATCH(tItens[[#This Row],[Produto]],tProdutos[Produto],0))="",DescontoPadrao,INDEX(tProdutos[Desconto homologado],MATCH(tItens[[#This Row],[Produto]],tProdutos[Produto],0))),DescontoPadrao)</f>
        <v>0.412394275616498</v>
      </c>
      <c r="M6336" s="12">
        <f>tItens[[#This Row],[Valor]]*(1-tItens[[#This Row],[Desconto]])</f>
        <v>4526.9145006504996</v>
      </c>
      <c r="N6336" t="str">
        <f>IFERROR(INDEX(tProdutos[Foco],MATCH(tItens[[#This Row],[Produto]],tProdutos[Produto],0)),"Não")</f>
        <v>Não</v>
      </c>
      <c r="O6336" t="str">
        <f>IFERROR(INDEX(tEditais[SRP],MATCH(tItens[[#This Row],[Edital]],tEditais[Edital],0)),"Não")</f>
        <v>Sim</v>
      </c>
      <c r="P6336" s="4">
        <f>IF(COUNTIFS(INDEX(tItens[Edital],1):tItens[[#This Row],[Edital]],tItens[[#This Row],[Edital]],INDEX(tItens[Produto],1):tItens[[#This Row],[Produto]],tItens[[#This Row],[Produto]])=1,1,0)</f>
        <v>0</v>
      </c>
    </row>
    <row r="6337" spans="1:16" x14ac:dyDescent="0.25">
      <c r="A6337" t="s">
        <v>2217</v>
      </c>
      <c r="B6337">
        <v>40</v>
      </c>
      <c r="C6337" t="s">
        <v>9071</v>
      </c>
      <c r="D6337" t="s">
        <v>67</v>
      </c>
      <c r="E6337" s="13">
        <v>5004</v>
      </c>
      <c r="F6337" s="12">
        <v>6.2</v>
      </c>
      <c r="G6337" t="str">
        <f>IFERROR(INDEX(tEditais[Órgão],MATCH(tItens[[#This Row],[Edital]],tEditais[Edital],0)),"")</f>
        <v>FUNDO MUNICIPAL DE SAUDE</v>
      </c>
      <c r="H6337" t="str">
        <f>IFERROR(INDEX(tEditais[UF],MATCH(tItens[[#This Row],[Edital]],tEditais[Edital],0)),"")</f>
        <v>RJ</v>
      </c>
      <c r="I6337" s="11">
        <f>IFERROR(INDEX(tEditais[Encerramento],MATCH(tItens[[#This Row],[Edital]],tEditais[Edital],0)),"")</f>
        <v>46304.416666666664</v>
      </c>
      <c r="J6337" t="str">
        <f>IFERROR(INDEX(tProdutos[Classe],MATCH(tItens[[#This Row],[Produto]],tProdutos[Produto],0)),"produto não cadastrado")</f>
        <v>NÚCLEO</v>
      </c>
      <c r="K6337" s="12">
        <f>tItens[[#This Row],[Qtd]]*tItens[[#This Row],[Vlr unit]]</f>
        <v>31024.799999999999</v>
      </c>
      <c r="L6337" s="6">
        <f>IFERROR(IF(INDEX(tProdutos[Desconto homologado],MATCH(tItens[[#This Row],[Produto]],tProdutos[Produto],0))="",DescontoPadrao,INDEX(tProdutos[Desconto homologado],MATCH(tItens[[#This Row],[Produto]],tProdutos[Produto],0))),DescontoPadrao)</f>
        <v>0.35766423357664201</v>
      </c>
      <c r="M6337" s="12">
        <f>tItens[[#This Row],[Valor]]*(1-tItens[[#This Row],[Desconto]])</f>
        <v>19928.338686131396</v>
      </c>
      <c r="N6337" t="str">
        <f>IFERROR(INDEX(tProdutos[Foco],MATCH(tItens[[#This Row],[Produto]],tProdutos[Produto],0)),"Não")</f>
        <v>Não</v>
      </c>
      <c r="O6337" t="str">
        <f>IFERROR(INDEX(tEditais[SRP],MATCH(tItens[[#This Row],[Edital]],tEditais[Edital],0)),"Não")</f>
        <v>Não</v>
      </c>
      <c r="P6337" s="4">
        <f>IF(COUNTIFS(INDEX(tItens[Edital],1):tItens[[#This Row],[Edital]],tItens[[#This Row],[Edital]],INDEX(tItens[Produto],1):tItens[[#This Row],[Produto]],tItens[[#This Row],[Produto]])=1,1,0)</f>
        <v>1</v>
      </c>
    </row>
    <row r="6338" spans="1:16" x14ac:dyDescent="0.25">
      <c r="A6338" t="s">
        <v>2217</v>
      </c>
      <c r="B6338">
        <v>41</v>
      </c>
      <c r="C6338" t="s">
        <v>9072</v>
      </c>
      <c r="D6338" t="s">
        <v>67</v>
      </c>
      <c r="E6338" s="13">
        <v>588</v>
      </c>
      <c r="F6338" s="12">
        <v>5.66</v>
      </c>
      <c r="G6338" t="str">
        <f>IFERROR(INDEX(tEditais[Órgão],MATCH(tItens[[#This Row],[Edital]],tEditais[Edital],0)),"")</f>
        <v>FUNDO MUNICIPAL DE SAUDE</v>
      </c>
      <c r="H6338" t="str">
        <f>IFERROR(INDEX(tEditais[UF],MATCH(tItens[[#This Row],[Edital]],tEditais[Edital],0)),"")</f>
        <v>RJ</v>
      </c>
      <c r="I6338" s="11">
        <f>IFERROR(INDEX(tEditais[Encerramento],MATCH(tItens[[#This Row],[Edital]],tEditais[Edital],0)),"")</f>
        <v>46304.416666666664</v>
      </c>
      <c r="J6338" t="str">
        <f>IFERROR(INDEX(tProdutos[Classe],MATCH(tItens[[#This Row],[Produto]],tProdutos[Produto],0)),"produto não cadastrado")</f>
        <v>NÚCLEO</v>
      </c>
      <c r="K6338" s="12">
        <f>tItens[[#This Row],[Qtd]]*tItens[[#This Row],[Vlr unit]]</f>
        <v>3328.08</v>
      </c>
      <c r="L6338" s="6">
        <f>IFERROR(IF(INDEX(tProdutos[Desconto homologado],MATCH(tItens[[#This Row],[Produto]],tProdutos[Produto],0))="",DescontoPadrao,INDEX(tProdutos[Desconto homologado],MATCH(tItens[[#This Row],[Produto]],tProdutos[Produto],0))),DescontoPadrao)</f>
        <v>0.35766423357664201</v>
      </c>
      <c r="M6338" s="12">
        <f>tItens[[#This Row],[Valor]]*(1-tItens[[#This Row],[Desconto]])</f>
        <v>2137.7448175182494</v>
      </c>
      <c r="N6338" t="str">
        <f>IFERROR(INDEX(tProdutos[Foco],MATCH(tItens[[#This Row],[Produto]],tProdutos[Produto],0)),"Não")</f>
        <v>Não</v>
      </c>
      <c r="O6338" t="str">
        <f>IFERROR(INDEX(tEditais[SRP],MATCH(tItens[[#This Row],[Edital]],tEditais[Edital],0)),"Não")</f>
        <v>Não</v>
      </c>
      <c r="P6338" s="4">
        <f>IF(COUNTIFS(INDEX(tItens[Edital],1):tItens[[#This Row],[Edital]],tItens[[#This Row],[Edital]],INDEX(tItens[Produto],1):tItens[[#This Row],[Produto]],tItens[[#This Row],[Produto]])=1,1,0)</f>
        <v>0</v>
      </c>
    </row>
    <row r="6339" spans="1:16" x14ac:dyDescent="0.25">
      <c r="A6339" t="s">
        <v>2217</v>
      </c>
      <c r="B6339">
        <v>47</v>
      </c>
      <c r="C6339" t="s">
        <v>9073</v>
      </c>
      <c r="D6339" t="s">
        <v>170</v>
      </c>
      <c r="E6339" s="13">
        <v>202</v>
      </c>
      <c r="F6339" s="12">
        <v>99.9</v>
      </c>
      <c r="G6339" t="str">
        <f>IFERROR(INDEX(tEditais[Órgão],MATCH(tItens[[#This Row],[Edital]],tEditais[Edital],0)),"")</f>
        <v>FUNDO MUNICIPAL DE SAUDE</v>
      </c>
      <c r="H6339" t="str">
        <f>IFERROR(INDEX(tEditais[UF],MATCH(tItens[[#This Row],[Edital]],tEditais[Edital],0)),"")</f>
        <v>RJ</v>
      </c>
      <c r="I6339" s="11">
        <f>IFERROR(INDEX(tEditais[Encerramento],MATCH(tItens[[#This Row],[Edital]],tEditais[Edital],0)),"")</f>
        <v>46304.416666666664</v>
      </c>
      <c r="J6339" t="str">
        <f>IFERROR(INDEX(tProdutos[Classe],MATCH(tItens[[#This Row],[Produto]],tProdutos[Produto],0)),"produto não cadastrado")</f>
        <v>DISPUTADO</v>
      </c>
      <c r="K6339" s="12">
        <f>tItens[[#This Row],[Qtd]]*tItens[[#This Row],[Vlr unit]]</f>
        <v>20179.800000000003</v>
      </c>
      <c r="L6339" s="6">
        <f>IFERROR(IF(INDEX(tProdutos[Desconto homologado],MATCH(tItens[[#This Row],[Produto]],tProdutos[Produto],0))="",DescontoPadrao,INDEX(tProdutos[Desconto homologado],MATCH(tItens[[#This Row],[Produto]],tProdutos[Produto],0))),DescontoPadrao)</f>
        <v>0.36</v>
      </c>
      <c r="M6339" s="12">
        <f>tItens[[#This Row],[Valor]]*(1-tItens[[#This Row],[Desconto]])</f>
        <v>12915.072000000002</v>
      </c>
      <c r="N6339" t="str">
        <f>IFERROR(INDEX(tProdutos[Foco],MATCH(tItens[[#This Row],[Produto]],tProdutos[Produto],0)),"Não")</f>
        <v>Sim</v>
      </c>
      <c r="O6339" t="str">
        <f>IFERROR(INDEX(tEditais[SRP],MATCH(tItens[[#This Row],[Edital]],tEditais[Edital],0)),"Não")</f>
        <v>Não</v>
      </c>
      <c r="P6339" s="4">
        <f>IF(COUNTIFS(INDEX(tItens[Edital],1):tItens[[#This Row],[Edital]],tItens[[#This Row],[Edital]],INDEX(tItens[Produto],1):tItens[[#This Row],[Produto]],tItens[[#This Row],[Produto]])=1,1,0)</f>
        <v>1</v>
      </c>
    </row>
    <row r="6340" spans="1:16" x14ac:dyDescent="0.25">
      <c r="A6340" t="s">
        <v>2217</v>
      </c>
      <c r="B6340">
        <v>48</v>
      </c>
      <c r="C6340" t="s">
        <v>9074</v>
      </c>
      <c r="D6340" t="s">
        <v>170</v>
      </c>
      <c r="E6340" s="13">
        <v>202</v>
      </c>
      <c r="F6340" s="12">
        <v>99.9</v>
      </c>
      <c r="G6340" t="str">
        <f>IFERROR(INDEX(tEditais[Órgão],MATCH(tItens[[#This Row],[Edital]],tEditais[Edital],0)),"")</f>
        <v>FUNDO MUNICIPAL DE SAUDE</v>
      </c>
      <c r="H6340" t="str">
        <f>IFERROR(INDEX(tEditais[UF],MATCH(tItens[[#This Row],[Edital]],tEditais[Edital],0)),"")</f>
        <v>RJ</v>
      </c>
      <c r="I6340" s="11">
        <f>IFERROR(INDEX(tEditais[Encerramento],MATCH(tItens[[#This Row],[Edital]],tEditais[Edital],0)),"")</f>
        <v>46304.416666666664</v>
      </c>
      <c r="J6340" t="str">
        <f>IFERROR(INDEX(tProdutos[Classe],MATCH(tItens[[#This Row],[Produto]],tProdutos[Produto],0)),"produto não cadastrado")</f>
        <v>DISPUTADO</v>
      </c>
      <c r="K6340" s="12">
        <f>tItens[[#This Row],[Qtd]]*tItens[[#This Row],[Vlr unit]]</f>
        <v>20179.800000000003</v>
      </c>
      <c r="L6340" s="6">
        <f>IFERROR(IF(INDEX(tProdutos[Desconto homologado],MATCH(tItens[[#This Row],[Produto]],tProdutos[Produto],0))="",DescontoPadrao,INDEX(tProdutos[Desconto homologado],MATCH(tItens[[#This Row],[Produto]],tProdutos[Produto],0))),DescontoPadrao)</f>
        <v>0.36</v>
      </c>
      <c r="M6340" s="12">
        <f>tItens[[#This Row],[Valor]]*(1-tItens[[#This Row],[Desconto]])</f>
        <v>12915.072000000002</v>
      </c>
      <c r="N6340" t="str">
        <f>IFERROR(INDEX(tProdutos[Foco],MATCH(tItens[[#This Row],[Produto]],tProdutos[Produto],0)),"Não")</f>
        <v>Sim</v>
      </c>
      <c r="O6340" t="str">
        <f>IFERROR(INDEX(tEditais[SRP],MATCH(tItens[[#This Row],[Edital]],tEditais[Edital],0)),"Não")</f>
        <v>Não</v>
      </c>
      <c r="P6340" s="4">
        <f>IF(COUNTIFS(INDEX(tItens[Edital],1):tItens[[#This Row],[Edital]],tItens[[#This Row],[Edital]],INDEX(tItens[Produto],1):tItens[[#This Row],[Produto]],tItens[[#This Row],[Produto]])=1,1,0)</f>
        <v>0</v>
      </c>
    </row>
    <row r="6341" spans="1:16" x14ac:dyDescent="0.25">
      <c r="A6341" t="s">
        <v>2217</v>
      </c>
      <c r="B6341">
        <v>49</v>
      </c>
      <c r="C6341" t="s">
        <v>9075</v>
      </c>
      <c r="D6341" t="s">
        <v>170</v>
      </c>
      <c r="E6341" s="13">
        <v>212</v>
      </c>
      <c r="F6341" s="12">
        <v>99.9</v>
      </c>
      <c r="G6341" t="str">
        <f>IFERROR(INDEX(tEditais[Órgão],MATCH(tItens[[#This Row],[Edital]],tEditais[Edital],0)),"")</f>
        <v>FUNDO MUNICIPAL DE SAUDE</v>
      </c>
      <c r="H6341" t="str">
        <f>IFERROR(INDEX(tEditais[UF],MATCH(tItens[[#This Row],[Edital]],tEditais[Edital],0)),"")</f>
        <v>RJ</v>
      </c>
      <c r="I6341" s="11">
        <f>IFERROR(INDEX(tEditais[Encerramento],MATCH(tItens[[#This Row],[Edital]],tEditais[Edital],0)),"")</f>
        <v>46304.416666666664</v>
      </c>
      <c r="J6341" t="str">
        <f>IFERROR(INDEX(tProdutos[Classe],MATCH(tItens[[#This Row],[Produto]],tProdutos[Produto],0)),"produto não cadastrado")</f>
        <v>DISPUTADO</v>
      </c>
      <c r="K6341" s="12">
        <f>tItens[[#This Row],[Qtd]]*tItens[[#This Row],[Vlr unit]]</f>
        <v>21178.800000000003</v>
      </c>
      <c r="L6341" s="6">
        <f>IFERROR(IF(INDEX(tProdutos[Desconto homologado],MATCH(tItens[[#This Row],[Produto]],tProdutos[Produto],0))="",DescontoPadrao,INDEX(tProdutos[Desconto homologado],MATCH(tItens[[#This Row],[Produto]],tProdutos[Produto],0))),DescontoPadrao)</f>
        <v>0.36</v>
      </c>
      <c r="M6341" s="12">
        <f>tItens[[#This Row],[Valor]]*(1-tItens[[#This Row],[Desconto]])</f>
        <v>13554.432000000003</v>
      </c>
      <c r="N6341" t="str">
        <f>IFERROR(INDEX(tProdutos[Foco],MATCH(tItens[[#This Row],[Produto]],tProdutos[Produto],0)),"Não")</f>
        <v>Sim</v>
      </c>
      <c r="O6341" t="str">
        <f>IFERROR(INDEX(tEditais[SRP],MATCH(tItens[[#This Row],[Edital]],tEditais[Edital],0)),"Não")</f>
        <v>Não</v>
      </c>
      <c r="P6341" s="4">
        <f>IF(COUNTIFS(INDEX(tItens[Edital],1):tItens[[#This Row],[Edital]],tItens[[#This Row],[Edital]],INDEX(tItens[Produto],1):tItens[[#This Row],[Produto]],tItens[[#This Row],[Produto]])=1,1,0)</f>
        <v>0</v>
      </c>
    </row>
    <row r="6342" spans="1:16" x14ac:dyDescent="0.25">
      <c r="A6342" t="s">
        <v>2217</v>
      </c>
      <c r="B6342">
        <v>50</v>
      </c>
      <c r="C6342" t="s">
        <v>9076</v>
      </c>
      <c r="D6342" t="s">
        <v>170</v>
      </c>
      <c r="E6342" s="13">
        <v>202</v>
      </c>
      <c r="F6342" s="12">
        <v>99.9</v>
      </c>
      <c r="G6342" t="str">
        <f>IFERROR(INDEX(tEditais[Órgão],MATCH(tItens[[#This Row],[Edital]],tEditais[Edital],0)),"")</f>
        <v>FUNDO MUNICIPAL DE SAUDE</v>
      </c>
      <c r="H6342" t="str">
        <f>IFERROR(INDEX(tEditais[UF],MATCH(tItens[[#This Row],[Edital]],tEditais[Edital],0)),"")</f>
        <v>RJ</v>
      </c>
      <c r="I6342" s="11">
        <f>IFERROR(INDEX(tEditais[Encerramento],MATCH(tItens[[#This Row],[Edital]],tEditais[Edital],0)),"")</f>
        <v>46304.416666666664</v>
      </c>
      <c r="J6342" t="str">
        <f>IFERROR(INDEX(tProdutos[Classe],MATCH(tItens[[#This Row],[Produto]],tProdutos[Produto],0)),"produto não cadastrado")</f>
        <v>DISPUTADO</v>
      </c>
      <c r="K6342" s="12">
        <f>tItens[[#This Row],[Qtd]]*tItens[[#This Row],[Vlr unit]]</f>
        <v>20179.800000000003</v>
      </c>
      <c r="L6342" s="6">
        <f>IFERROR(IF(INDEX(tProdutos[Desconto homologado],MATCH(tItens[[#This Row],[Produto]],tProdutos[Produto],0))="",DescontoPadrao,INDEX(tProdutos[Desconto homologado],MATCH(tItens[[#This Row],[Produto]],tProdutos[Produto],0))),DescontoPadrao)</f>
        <v>0.36</v>
      </c>
      <c r="M6342" s="12">
        <f>tItens[[#This Row],[Valor]]*(1-tItens[[#This Row],[Desconto]])</f>
        <v>12915.072000000002</v>
      </c>
      <c r="N6342" t="str">
        <f>IFERROR(INDEX(tProdutos[Foco],MATCH(tItens[[#This Row],[Produto]],tProdutos[Produto],0)),"Não")</f>
        <v>Sim</v>
      </c>
      <c r="O6342" t="str">
        <f>IFERROR(INDEX(tEditais[SRP],MATCH(tItens[[#This Row],[Edital]],tEditais[Edital],0)),"Não")</f>
        <v>Não</v>
      </c>
      <c r="P6342" s="4">
        <f>IF(COUNTIFS(INDEX(tItens[Edital],1):tItens[[#This Row],[Edital]],tItens[[#This Row],[Edital]],INDEX(tItens[Produto],1):tItens[[#This Row],[Produto]],tItens[[#This Row],[Produto]])=1,1,0)</f>
        <v>0</v>
      </c>
    </row>
    <row r="6343" spans="1:16" x14ac:dyDescent="0.25">
      <c r="A6343" t="s">
        <v>2217</v>
      </c>
      <c r="B6343">
        <v>51</v>
      </c>
      <c r="C6343" t="s">
        <v>9077</v>
      </c>
      <c r="D6343" t="s">
        <v>170</v>
      </c>
      <c r="E6343" s="13">
        <v>248</v>
      </c>
      <c r="F6343" s="12">
        <v>99.9</v>
      </c>
      <c r="G6343" t="str">
        <f>IFERROR(INDEX(tEditais[Órgão],MATCH(tItens[[#This Row],[Edital]],tEditais[Edital],0)),"")</f>
        <v>FUNDO MUNICIPAL DE SAUDE</v>
      </c>
      <c r="H6343" t="str">
        <f>IFERROR(INDEX(tEditais[UF],MATCH(tItens[[#This Row],[Edital]],tEditais[Edital],0)),"")</f>
        <v>RJ</v>
      </c>
      <c r="I6343" s="11">
        <f>IFERROR(INDEX(tEditais[Encerramento],MATCH(tItens[[#This Row],[Edital]],tEditais[Edital],0)),"")</f>
        <v>46304.416666666664</v>
      </c>
      <c r="J6343" t="str">
        <f>IFERROR(INDEX(tProdutos[Classe],MATCH(tItens[[#This Row],[Produto]],tProdutos[Produto],0)),"produto não cadastrado")</f>
        <v>DISPUTADO</v>
      </c>
      <c r="K6343" s="12">
        <f>tItens[[#This Row],[Qtd]]*tItens[[#This Row],[Vlr unit]]</f>
        <v>24775.200000000001</v>
      </c>
      <c r="L6343" s="6">
        <f>IFERROR(IF(INDEX(tProdutos[Desconto homologado],MATCH(tItens[[#This Row],[Produto]],tProdutos[Produto],0))="",DescontoPadrao,INDEX(tProdutos[Desconto homologado],MATCH(tItens[[#This Row],[Produto]],tProdutos[Produto],0))),DescontoPadrao)</f>
        <v>0.36</v>
      </c>
      <c r="M6343" s="12">
        <f>tItens[[#This Row],[Valor]]*(1-tItens[[#This Row],[Desconto]])</f>
        <v>15856.128000000001</v>
      </c>
      <c r="N6343" t="str">
        <f>IFERROR(INDEX(tProdutos[Foco],MATCH(tItens[[#This Row],[Produto]],tProdutos[Produto],0)),"Não")</f>
        <v>Sim</v>
      </c>
      <c r="O6343" t="str">
        <f>IFERROR(INDEX(tEditais[SRP],MATCH(tItens[[#This Row],[Edital]],tEditais[Edital],0)),"Não")</f>
        <v>Não</v>
      </c>
      <c r="P6343" s="4">
        <f>IF(COUNTIFS(INDEX(tItens[Edital],1):tItens[[#This Row],[Edital]],tItens[[#This Row],[Edital]],INDEX(tItens[Produto],1):tItens[[#This Row],[Produto]],tItens[[#This Row],[Produto]])=1,1,0)</f>
        <v>0</v>
      </c>
    </row>
    <row r="6344" spans="1:16" x14ac:dyDescent="0.25">
      <c r="A6344" t="s">
        <v>2217</v>
      </c>
      <c r="B6344">
        <v>52</v>
      </c>
      <c r="C6344" t="s">
        <v>9078</v>
      </c>
      <c r="D6344" t="s">
        <v>170</v>
      </c>
      <c r="E6344" s="13">
        <v>265</v>
      </c>
      <c r="F6344" s="12">
        <v>89.9</v>
      </c>
      <c r="G6344" t="str">
        <f>IFERROR(INDEX(tEditais[Órgão],MATCH(tItens[[#This Row],[Edital]],tEditais[Edital],0)),"")</f>
        <v>FUNDO MUNICIPAL DE SAUDE</v>
      </c>
      <c r="H6344" t="str">
        <f>IFERROR(INDEX(tEditais[UF],MATCH(tItens[[#This Row],[Edital]],tEditais[Edital],0)),"")</f>
        <v>RJ</v>
      </c>
      <c r="I6344" s="11">
        <f>IFERROR(INDEX(tEditais[Encerramento],MATCH(tItens[[#This Row],[Edital]],tEditais[Edital],0)),"")</f>
        <v>46304.416666666664</v>
      </c>
      <c r="J6344" t="str">
        <f>IFERROR(INDEX(tProdutos[Classe],MATCH(tItens[[#This Row],[Produto]],tProdutos[Produto],0)),"produto não cadastrado")</f>
        <v>DISPUTADO</v>
      </c>
      <c r="K6344" s="12">
        <f>tItens[[#This Row],[Qtd]]*tItens[[#This Row],[Vlr unit]]</f>
        <v>23823.5</v>
      </c>
      <c r="L6344" s="6">
        <f>IFERROR(IF(INDEX(tProdutos[Desconto homologado],MATCH(tItens[[#This Row],[Produto]],tProdutos[Produto],0))="",DescontoPadrao,INDEX(tProdutos[Desconto homologado],MATCH(tItens[[#This Row],[Produto]],tProdutos[Produto],0))),DescontoPadrao)</f>
        <v>0.36</v>
      </c>
      <c r="M6344" s="12">
        <f>tItens[[#This Row],[Valor]]*(1-tItens[[#This Row],[Desconto]])</f>
        <v>15247.04</v>
      </c>
      <c r="N6344" t="str">
        <f>IFERROR(INDEX(tProdutos[Foco],MATCH(tItens[[#This Row],[Produto]],tProdutos[Produto],0)),"Não")</f>
        <v>Sim</v>
      </c>
      <c r="O6344" t="str">
        <f>IFERROR(INDEX(tEditais[SRP],MATCH(tItens[[#This Row],[Edital]],tEditais[Edital],0)),"Não")</f>
        <v>Não</v>
      </c>
      <c r="P6344" s="4">
        <f>IF(COUNTIFS(INDEX(tItens[Edital],1):tItens[[#This Row],[Edital]],tItens[[#This Row],[Edital]],INDEX(tItens[Produto],1):tItens[[#This Row],[Produto]],tItens[[#This Row],[Produto]])=1,1,0)</f>
        <v>0</v>
      </c>
    </row>
    <row r="6345" spans="1:16" x14ac:dyDescent="0.25">
      <c r="A6345" t="s">
        <v>2217</v>
      </c>
      <c r="B6345">
        <v>53</v>
      </c>
      <c r="C6345" t="s">
        <v>9079</v>
      </c>
      <c r="D6345" t="s">
        <v>170</v>
      </c>
      <c r="E6345" s="13">
        <v>248</v>
      </c>
      <c r="F6345" s="12">
        <v>87.9</v>
      </c>
      <c r="G6345" t="str">
        <f>IFERROR(INDEX(tEditais[Órgão],MATCH(tItens[[#This Row],[Edital]],tEditais[Edital],0)),"")</f>
        <v>FUNDO MUNICIPAL DE SAUDE</v>
      </c>
      <c r="H6345" t="str">
        <f>IFERROR(INDEX(tEditais[UF],MATCH(tItens[[#This Row],[Edital]],tEditais[Edital],0)),"")</f>
        <v>RJ</v>
      </c>
      <c r="I6345" s="11">
        <f>IFERROR(INDEX(tEditais[Encerramento],MATCH(tItens[[#This Row],[Edital]],tEditais[Edital],0)),"")</f>
        <v>46304.416666666664</v>
      </c>
      <c r="J6345" t="str">
        <f>IFERROR(INDEX(tProdutos[Classe],MATCH(tItens[[#This Row],[Produto]],tProdutos[Produto],0)),"produto não cadastrado")</f>
        <v>DISPUTADO</v>
      </c>
      <c r="K6345" s="12">
        <f>tItens[[#This Row],[Qtd]]*tItens[[#This Row],[Vlr unit]]</f>
        <v>21799.200000000001</v>
      </c>
      <c r="L6345" s="6">
        <f>IFERROR(IF(INDEX(tProdutos[Desconto homologado],MATCH(tItens[[#This Row],[Produto]],tProdutos[Produto],0))="",DescontoPadrao,INDEX(tProdutos[Desconto homologado],MATCH(tItens[[#This Row],[Produto]],tProdutos[Produto],0))),DescontoPadrao)</f>
        <v>0.36</v>
      </c>
      <c r="M6345" s="12">
        <f>tItens[[#This Row],[Valor]]*(1-tItens[[#This Row],[Desconto]])</f>
        <v>13951.488000000001</v>
      </c>
      <c r="N6345" t="str">
        <f>IFERROR(INDEX(tProdutos[Foco],MATCH(tItens[[#This Row],[Produto]],tProdutos[Produto],0)),"Não")</f>
        <v>Sim</v>
      </c>
      <c r="O6345" t="str">
        <f>IFERROR(INDEX(tEditais[SRP],MATCH(tItens[[#This Row],[Edital]],tEditais[Edital],0)),"Não")</f>
        <v>Não</v>
      </c>
      <c r="P6345" s="4">
        <f>IF(COUNTIFS(INDEX(tItens[Edital],1):tItens[[#This Row],[Edital]],tItens[[#This Row],[Edital]],INDEX(tItens[Produto],1):tItens[[#This Row],[Produto]],tItens[[#This Row],[Produto]])=1,1,0)</f>
        <v>0</v>
      </c>
    </row>
    <row r="6346" spans="1:16" x14ac:dyDescent="0.25">
      <c r="A6346" t="s">
        <v>2221</v>
      </c>
      <c r="B6346">
        <v>1</v>
      </c>
      <c r="C6346" t="s">
        <v>9080</v>
      </c>
      <c r="D6346" t="s">
        <v>106</v>
      </c>
      <c r="E6346" s="13">
        <v>120</v>
      </c>
      <c r="F6346" s="12">
        <v>11.62</v>
      </c>
      <c r="G6346" t="str">
        <f>IFERROR(INDEX(tEditais[Órgão],MATCH(tItens[[#This Row],[Edital]],tEditais[Edital],0)),"")</f>
        <v>FUNDO MUNICIPAL DE SAUDE</v>
      </c>
      <c r="H6346" t="str">
        <f>IFERROR(INDEX(tEditais[UF],MATCH(tItens[[#This Row],[Edital]],tEditais[Edital],0)),"")</f>
        <v>RJ</v>
      </c>
      <c r="I6346" s="11">
        <f>IFERROR(INDEX(tEditais[Encerramento],MATCH(tItens[[#This Row],[Edital]],tEditais[Edital],0)),"")</f>
        <v>46304.416666666664</v>
      </c>
      <c r="J6346" t="str">
        <f>IFERROR(INDEX(tProdutos[Classe],MATCH(tItens[[#This Row],[Produto]],tProdutos[Produto],0)),"produto não cadastrado")</f>
        <v>DISPUTADO</v>
      </c>
      <c r="K6346" s="12">
        <f>tItens[[#This Row],[Qtd]]*tItens[[#This Row],[Vlr unit]]</f>
        <v>1394.3999999999999</v>
      </c>
      <c r="L6346" s="6">
        <f>IFERROR(IF(INDEX(tProdutos[Desconto homologado],MATCH(tItens[[#This Row],[Produto]],tProdutos[Produto],0))="",DescontoPadrao,INDEX(tProdutos[Desconto homologado],MATCH(tItens[[#This Row],[Produto]],tProdutos[Produto],0))),DescontoPadrao)</f>
        <v>0.24377518966589001</v>
      </c>
      <c r="M6346" s="12">
        <f>tItens[[#This Row],[Valor]]*(1-tItens[[#This Row],[Desconto]])</f>
        <v>1054.479875529883</v>
      </c>
      <c r="N6346" t="str">
        <f>IFERROR(INDEX(tProdutos[Foco],MATCH(tItens[[#This Row],[Produto]],tProdutos[Produto],0)),"Não")</f>
        <v>Não</v>
      </c>
      <c r="O6346" t="str">
        <f>IFERROR(INDEX(tEditais[SRP],MATCH(tItens[[#This Row],[Edital]],tEditais[Edital],0)),"Não")</f>
        <v>Não</v>
      </c>
      <c r="P6346" s="4">
        <f>IF(COUNTIFS(INDEX(tItens[Edital],1):tItens[[#This Row],[Edital]],tItens[[#This Row],[Edital]],INDEX(tItens[Produto],1):tItens[[#This Row],[Produto]],tItens[[#This Row],[Produto]])=1,1,0)</f>
        <v>1</v>
      </c>
    </row>
    <row r="6347" spans="1:16" x14ac:dyDescent="0.25">
      <c r="A6347" t="s">
        <v>2221</v>
      </c>
      <c r="B6347">
        <v>2</v>
      </c>
      <c r="C6347" t="s">
        <v>9081</v>
      </c>
      <c r="D6347" t="s">
        <v>106</v>
      </c>
      <c r="E6347" s="13">
        <v>360</v>
      </c>
      <c r="F6347" s="12">
        <v>22.17</v>
      </c>
      <c r="G6347" t="str">
        <f>IFERROR(INDEX(tEditais[Órgão],MATCH(tItens[[#This Row],[Edital]],tEditais[Edital],0)),"")</f>
        <v>FUNDO MUNICIPAL DE SAUDE</v>
      </c>
      <c r="H6347" t="str">
        <f>IFERROR(INDEX(tEditais[UF],MATCH(tItens[[#This Row],[Edital]],tEditais[Edital],0)),"")</f>
        <v>RJ</v>
      </c>
      <c r="I6347" s="11">
        <f>IFERROR(INDEX(tEditais[Encerramento],MATCH(tItens[[#This Row],[Edital]],tEditais[Edital],0)),"")</f>
        <v>46304.416666666664</v>
      </c>
      <c r="J6347" t="str">
        <f>IFERROR(INDEX(tProdutos[Classe],MATCH(tItens[[#This Row],[Produto]],tProdutos[Produto],0)),"produto não cadastrado")</f>
        <v>DISPUTADO</v>
      </c>
      <c r="K6347" s="12">
        <f>tItens[[#This Row],[Qtd]]*tItens[[#This Row],[Vlr unit]]</f>
        <v>7981.2000000000007</v>
      </c>
      <c r="L6347" s="6">
        <f>IFERROR(IF(INDEX(tProdutos[Desconto homologado],MATCH(tItens[[#This Row],[Produto]],tProdutos[Produto],0))="",DescontoPadrao,INDEX(tProdutos[Desconto homologado],MATCH(tItens[[#This Row],[Produto]],tProdutos[Produto],0))),DescontoPadrao)</f>
        <v>0.24377518966589001</v>
      </c>
      <c r="M6347" s="12">
        <f>tItens[[#This Row],[Valor]]*(1-tItens[[#This Row],[Desconto]])</f>
        <v>6035.5814562385995</v>
      </c>
      <c r="N6347" t="str">
        <f>IFERROR(INDEX(tProdutos[Foco],MATCH(tItens[[#This Row],[Produto]],tProdutos[Produto],0)),"Não")</f>
        <v>Não</v>
      </c>
      <c r="O6347" t="str">
        <f>IFERROR(INDEX(tEditais[SRP],MATCH(tItens[[#This Row],[Edital]],tEditais[Edital],0)),"Não")</f>
        <v>Não</v>
      </c>
      <c r="P6347" s="4">
        <f>IF(COUNTIFS(INDEX(tItens[Edital],1):tItens[[#This Row],[Edital]],tItens[[#This Row],[Edital]],INDEX(tItens[Produto],1):tItens[[#This Row],[Produto]],tItens[[#This Row],[Produto]])=1,1,0)</f>
        <v>0</v>
      </c>
    </row>
    <row r="6348" spans="1:16" x14ac:dyDescent="0.25">
      <c r="A6348" t="s">
        <v>2221</v>
      </c>
      <c r="B6348">
        <v>3</v>
      </c>
      <c r="C6348" t="s">
        <v>9082</v>
      </c>
      <c r="D6348" t="s">
        <v>106</v>
      </c>
      <c r="E6348" s="13">
        <v>20</v>
      </c>
      <c r="F6348" s="12">
        <v>20.420000000000002</v>
      </c>
      <c r="G6348" t="str">
        <f>IFERROR(INDEX(tEditais[Órgão],MATCH(tItens[[#This Row],[Edital]],tEditais[Edital],0)),"")</f>
        <v>FUNDO MUNICIPAL DE SAUDE</v>
      </c>
      <c r="H6348" t="str">
        <f>IFERROR(INDEX(tEditais[UF],MATCH(tItens[[#This Row],[Edital]],tEditais[Edital],0)),"")</f>
        <v>RJ</v>
      </c>
      <c r="I6348" s="11">
        <f>IFERROR(INDEX(tEditais[Encerramento],MATCH(tItens[[#This Row],[Edital]],tEditais[Edital],0)),"")</f>
        <v>46304.416666666664</v>
      </c>
      <c r="J6348" t="str">
        <f>IFERROR(INDEX(tProdutos[Classe],MATCH(tItens[[#This Row],[Produto]],tProdutos[Produto],0)),"produto não cadastrado")</f>
        <v>DISPUTADO</v>
      </c>
      <c r="K6348" s="12">
        <f>tItens[[#This Row],[Qtd]]*tItens[[#This Row],[Vlr unit]]</f>
        <v>408.40000000000003</v>
      </c>
      <c r="L6348" s="6">
        <f>IFERROR(IF(INDEX(tProdutos[Desconto homologado],MATCH(tItens[[#This Row],[Produto]],tProdutos[Produto],0))="",DescontoPadrao,INDEX(tProdutos[Desconto homologado],MATCH(tItens[[#This Row],[Produto]],tProdutos[Produto],0))),DescontoPadrao)</f>
        <v>0.24377518966589001</v>
      </c>
      <c r="M6348" s="12">
        <f>tItens[[#This Row],[Valor]]*(1-tItens[[#This Row],[Desconto]])</f>
        <v>308.84221254045059</v>
      </c>
      <c r="N6348" t="str">
        <f>IFERROR(INDEX(tProdutos[Foco],MATCH(tItens[[#This Row],[Produto]],tProdutos[Produto],0)),"Não")</f>
        <v>Não</v>
      </c>
      <c r="O6348" t="str">
        <f>IFERROR(INDEX(tEditais[SRP],MATCH(tItens[[#This Row],[Edital]],tEditais[Edital],0)),"Não")</f>
        <v>Não</v>
      </c>
      <c r="P6348" s="4">
        <f>IF(COUNTIFS(INDEX(tItens[Edital],1):tItens[[#This Row],[Edital]],tItens[[#This Row],[Edital]],INDEX(tItens[Produto],1):tItens[[#This Row],[Produto]],tItens[[#This Row],[Produto]])=1,1,0)</f>
        <v>0</v>
      </c>
    </row>
    <row r="6349" spans="1:16" x14ac:dyDescent="0.25">
      <c r="A6349" t="s">
        <v>2221</v>
      </c>
      <c r="B6349">
        <v>4</v>
      </c>
      <c r="C6349" t="s">
        <v>9083</v>
      </c>
      <c r="D6349" t="s">
        <v>106</v>
      </c>
      <c r="E6349" s="13">
        <v>300</v>
      </c>
      <c r="F6349" s="12">
        <v>19.170000000000002</v>
      </c>
      <c r="G6349" t="str">
        <f>IFERROR(INDEX(tEditais[Órgão],MATCH(tItens[[#This Row],[Edital]],tEditais[Edital],0)),"")</f>
        <v>FUNDO MUNICIPAL DE SAUDE</v>
      </c>
      <c r="H6349" t="str">
        <f>IFERROR(INDEX(tEditais[UF],MATCH(tItens[[#This Row],[Edital]],tEditais[Edital],0)),"")</f>
        <v>RJ</v>
      </c>
      <c r="I6349" s="11">
        <f>IFERROR(INDEX(tEditais[Encerramento],MATCH(tItens[[#This Row],[Edital]],tEditais[Edital],0)),"")</f>
        <v>46304.416666666664</v>
      </c>
      <c r="J6349" t="str">
        <f>IFERROR(INDEX(tProdutos[Classe],MATCH(tItens[[#This Row],[Produto]],tProdutos[Produto],0)),"produto não cadastrado")</f>
        <v>DISPUTADO</v>
      </c>
      <c r="K6349" s="12">
        <f>tItens[[#This Row],[Qtd]]*tItens[[#This Row],[Vlr unit]]</f>
        <v>5751.0000000000009</v>
      </c>
      <c r="L6349" s="6">
        <f>IFERROR(IF(INDEX(tProdutos[Desconto homologado],MATCH(tItens[[#This Row],[Produto]],tProdutos[Produto],0))="",DescontoPadrao,INDEX(tProdutos[Desconto homologado],MATCH(tItens[[#This Row],[Produto]],tProdutos[Produto],0))),DescontoPadrao)</f>
        <v>0.24377518966589001</v>
      </c>
      <c r="M6349" s="12">
        <f>tItens[[#This Row],[Valor]]*(1-tItens[[#This Row],[Desconto]])</f>
        <v>4349.0488842314671</v>
      </c>
      <c r="N6349" t="str">
        <f>IFERROR(INDEX(tProdutos[Foco],MATCH(tItens[[#This Row],[Produto]],tProdutos[Produto],0)),"Não")</f>
        <v>Não</v>
      </c>
      <c r="O6349" t="str">
        <f>IFERROR(INDEX(tEditais[SRP],MATCH(tItens[[#This Row],[Edital]],tEditais[Edital],0)),"Não")</f>
        <v>Não</v>
      </c>
      <c r="P6349" s="4">
        <f>IF(COUNTIFS(INDEX(tItens[Edital],1):tItens[[#This Row],[Edital]],tItens[[#This Row],[Edital]],INDEX(tItens[Produto],1):tItens[[#This Row],[Produto]],tItens[[#This Row],[Produto]])=1,1,0)</f>
        <v>0</v>
      </c>
    </row>
    <row r="6350" spans="1:16" x14ac:dyDescent="0.25">
      <c r="A6350" t="s">
        <v>2221</v>
      </c>
      <c r="B6350">
        <v>5</v>
      </c>
      <c r="C6350" t="s">
        <v>9084</v>
      </c>
      <c r="D6350" t="s">
        <v>106</v>
      </c>
      <c r="E6350" s="13">
        <v>275</v>
      </c>
      <c r="F6350" s="12">
        <v>20.05</v>
      </c>
      <c r="G6350" t="str">
        <f>IFERROR(INDEX(tEditais[Órgão],MATCH(tItens[[#This Row],[Edital]],tEditais[Edital],0)),"")</f>
        <v>FUNDO MUNICIPAL DE SAUDE</v>
      </c>
      <c r="H6350" t="str">
        <f>IFERROR(INDEX(tEditais[UF],MATCH(tItens[[#This Row],[Edital]],tEditais[Edital],0)),"")</f>
        <v>RJ</v>
      </c>
      <c r="I6350" s="11">
        <f>IFERROR(INDEX(tEditais[Encerramento],MATCH(tItens[[#This Row],[Edital]],tEditais[Edital],0)),"")</f>
        <v>46304.416666666664</v>
      </c>
      <c r="J6350" t="str">
        <f>IFERROR(INDEX(tProdutos[Classe],MATCH(tItens[[#This Row],[Produto]],tProdutos[Produto],0)),"produto não cadastrado")</f>
        <v>DISPUTADO</v>
      </c>
      <c r="K6350" s="12">
        <f>tItens[[#This Row],[Qtd]]*tItens[[#This Row],[Vlr unit]]</f>
        <v>5513.75</v>
      </c>
      <c r="L6350" s="6">
        <f>IFERROR(IF(INDEX(tProdutos[Desconto homologado],MATCH(tItens[[#This Row],[Produto]],tProdutos[Produto],0))="",DescontoPadrao,INDEX(tProdutos[Desconto homologado],MATCH(tItens[[#This Row],[Produto]],tProdutos[Produto],0))),DescontoPadrao)</f>
        <v>0.24377518966589001</v>
      </c>
      <c r="M6350" s="12">
        <f>tItens[[#This Row],[Valor]]*(1-tItens[[#This Row],[Desconto]])</f>
        <v>4169.6345479796992</v>
      </c>
      <c r="N6350" t="str">
        <f>IFERROR(INDEX(tProdutos[Foco],MATCH(tItens[[#This Row],[Produto]],tProdutos[Produto],0)),"Não")</f>
        <v>Não</v>
      </c>
      <c r="O6350" t="str">
        <f>IFERROR(INDEX(tEditais[SRP],MATCH(tItens[[#This Row],[Edital]],tEditais[Edital],0)),"Não")</f>
        <v>Não</v>
      </c>
      <c r="P6350" s="4">
        <f>IF(COUNTIFS(INDEX(tItens[Edital],1):tItens[[#This Row],[Edital]],tItens[[#This Row],[Edital]],INDEX(tItens[Produto],1):tItens[[#This Row],[Produto]],tItens[[#This Row],[Produto]])=1,1,0)</f>
        <v>0</v>
      </c>
    </row>
    <row r="6351" spans="1:16" x14ac:dyDescent="0.25">
      <c r="A6351" t="s">
        <v>2221</v>
      </c>
      <c r="B6351">
        <v>6</v>
      </c>
      <c r="C6351" t="s">
        <v>9085</v>
      </c>
      <c r="D6351" t="s">
        <v>106</v>
      </c>
      <c r="E6351" s="13">
        <v>192</v>
      </c>
      <c r="F6351" s="12">
        <v>19.18</v>
      </c>
      <c r="G6351" t="str">
        <f>IFERROR(INDEX(tEditais[Órgão],MATCH(tItens[[#This Row],[Edital]],tEditais[Edital],0)),"")</f>
        <v>FUNDO MUNICIPAL DE SAUDE</v>
      </c>
      <c r="H6351" t="str">
        <f>IFERROR(INDEX(tEditais[UF],MATCH(tItens[[#This Row],[Edital]],tEditais[Edital],0)),"")</f>
        <v>RJ</v>
      </c>
      <c r="I6351" s="11">
        <f>IFERROR(INDEX(tEditais[Encerramento],MATCH(tItens[[#This Row],[Edital]],tEditais[Edital],0)),"")</f>
        <v>46304.416666666664</v>
      </c>
      <c r="J6351" t="str">
        <f>IFERROR(INDEX(tProdutos[Classe],MATCH(tItens[[#This Row],[Produto]],tProdutos[Produto],0)),"produto não cadastrado")</f>
        <v>DISPUTADO</v>
      </c>
      <c r="K6351" s="12">
        <f>tItens[[#This Row],[Qtd]]*tItens[[#This Row],[Vlr unit]]</f>
        <v>3682.56</v>
      </c>
      <c r="L6351" s="6">
        <f>IFERROR(IF(INDEX(tProdutos[Desconto homologado],MATCH(tItens[[#This Row],[Produto]],tProdutos[Produto],0))="",DescontoPadrao,INDEX(tProdutos[Desconto homologado],MATCH(tItens[[#This Row],[Produto]],tProdutos[Produto],0))),DescontoPadrao)</f>
        <v>0.24377518966589001</v>
      </c>
      <c r="M6351" s="12">
        <f>tItens[[#This Row],[Valor]]*(1-tItens[[#This Row],[Desconto]])</f>
        <v>2784.8432375439802</v>
      </c>
      <c r="N6351" t="str">
        <f>IFERROR(INDEX(tProdutos[Foco],MATCH(tItens[[#This Row],[Produto]],tProdutos[Produto],0)),"Não")</f>
        <v>Não</v>
      </c>
      <c r="O6351" t="str">
        <f>IFERROR(INDEX(tEditais[SRP],MATCH(tItens[[#This Row],[Edital]],tEditais[Edital],0)),"Não")</f>
        <v>Não</v>
      </c>
      <c r="P6351" s="4">
        <f>IF(COUNTIFS(INDEX(tItens[Edital],1):tItens[[#This Row],[Edital]],tItens[[#This Row],[Edital]],INDEX(tItens[Produto],1):tItens[[#This Row],[Produto]],tItens[[#This Row],[Produto]])=1,1,0)</f>
        <v>0</v>
      </c>
    </row>
    <row r="6352" spans="1:16" x14ac:dyDescent="0.25">
      <c r="A6352" t="s">
        <v>2221</v>
      </c>
      <c r="B6352">
        <v>7</v>
      </c>
      <c r="C6352" t="s">
        <v>9086</v>
      </c>
      <c r="D6352" t="s">
        <v>106</v>
      </c>
      <c r="E6352" s="13">
        <v>120</v>
      </c>
      <c r="F6352" s="12">
        <v>20.190000000000001</v>
      </c>
      <c r="G6352" t="str">
        <f>IFERROR(INDEX(tEditais[Órgão],MATCH(tItens[[#This Row],[Edital]],tEditais[Edital],0)),"")</f>
        <v>FUNDO MUNICIPAL DE SAUDE</v>
      </c>
      <c r="H6352" t="str">
        <f>IFERROR(INDEX(tEditais[UF],MATCH(tItens[[#This Row],[Edital]],tEditais[Edital],0)),"")</f>
        <v>RJ</v>
      </c>
      <c r="I6352" s="11">
        <f>IFERROR(INDEX(tEditais[Encerramento],MATCH(tItens[[#This Row],[Edital]],tEditais[Edital],0)),"")</f>
        <v>46304.416666666664</v>
      </c>
      <c r="J6352" t="str">
        <f>IFERROR(INDEX(tProdutos[Classe],MATCH(tItens[[#This Row],[Produto]],tProdutos[Produto],0)),"produto não cadastrado")</f>
        <v>DISPUTADO</v>
      </c>
      <c r="K6352" s="12">
        <f>tItens[[#This Row],[Qtd]]*tItens[[#This Row],[Vlr unit]]</f>
        <v>2422.8000000000002</v>
      </c>
      <c r="L6352" s="6">
        <f>IFERROR(IF(INDEX(tProdutos[Desconto homologado],MATCH(tItens[[#This Row],[Produto]],tProdutos[Produto],0))="",DescontoPadrao,INDEX(tProdutos[Desconto homologado],MATCH(tItens[[#This Row],[Produto]],tProdutos[Produto],0))),DescontoPadrao)</f>
        <v>0.24377518966589001</v>
      </c>
      <c r="M6352" s="12">
        <f>tItens[[#This Row],[Valor]]*(1-tItens[[#This Row],[Desconto]])</f>
        <v>1832.181470477482</v>
      </c>
      <c r="N6352" t="str">
        <f>IFERROR(INDEX(tProdutos[Foco],MATCH(tItens[[#This Row],[Produto]],tProdutos[Produto],0)),"Não")</f>
        <v>Não</v>
      </c>
      <c r="O6352" t="str">
        <f>IFERROR(INDEX(tEditais[SRP],MATCH(tItens[[#This Row],[Edital]],tEditais[Edital],0)),"Não")</f>
        <v>Não</v>
      </c>
      <c r="P6352" s="4">
        <f>IF(COUNTIFS(INDEX(tItens[Edital],1):tItens[[#This Row],[Edital]],tItens[[#This Row],[Edital]],INDEX(tItens[Produto],1):tItens[[#This Row],[Produto]],tItens[[#This Row],[Produto]])=1,1,0)</f>
        <v>0</v>
      </c>
    </row>
    <row r="6353" spans="1:16" x14ac:dyDescent="0.25">
      <c r="A6353" t="s">
        <v>2221</v>
      </c>
      <c r="B6353">
        <v>8</v>
      </c>
      <c r="C6353" t="s">
        <v>9087</v>
      </c>
      <c r="D6353" t="s">
        <v>106</v>
      </c>
      <c r="E6353" s="13">
        <v>1231</v>
      </c>
      <c r="F6353" s="12">
        <v>20.8</v>
      </c>
      <c r="G6353" t="str">
        <f>IFERROR(INDEX(tEditais[Órgão],MATCH(tItens[[#This Row],[Edital]],tEditais[Edital],0)),"")</f>
        <v>FUNDO MUNICIPAL DE SAUDE</v>
      </c>
      <c r="H6353" t="str">
        <f>IFERROR(INDEX(tEditais[UF],MATCH(tItens[[#This Row],[Edital]],tEditais[Edital],0)),"")</f>
        <v>RJ</v>
      </c>
      <c r="I6353" s="11">
        <f>IFERROR(INDEX(tEditais[Encerramento],MATCH(tItens[[#This Row],[Edital]],tEditais[Edital],0)),"")</f>
        <v>46304.416666666664</v>
      </c>
      <c r="J6353" t="str">
        <f>IFERROR(INDEX(tProdutos[Classe],MATCH(tItens[[#This Row],[Produto]],tProdutos[Produto],0)),"produto não cadastrado")</f>
        <v>DISPUTADO</v>
      </c>
      <c r="K6353" s="12">
        <f>tItens[[#This Row],[Qtd]]*tItens[[#This Row],[Vlr unit]]</f>
        <v>25604.799999999999</v>
      </c>
      <c r="L6353" s="6">
        <f>IFERROR(IF(INDEX(tProdutos[Desconto homologado],MATCH(tItens[[#This Row],[Produto]],tProdutos[Produto],0))="",DescontoPadrao,INDEX(tProdutos[Desconto homologado],MATCH(tItens[[#This Row],[Produto]],tProdutos[Produto],0))),DescontoPadrao)</f>
        <v>0.24377518966589001</v>
      </c>
      <c r="M6353" s="12">
        <f>tItens[[#This Row],[Valor]]*(1-tItens[[#This Row],[Desconto]])</f>
        <v>19362.985023642821</v>
      </c>
      <c r="N6353" t="str">
        <f>IFERROR(INDEX(tProdutos[Foco],MATCH(tItens[[#This Row],[Produto]],tProdutos[Produto],0)),"Não")</f>
        <v>Não</v>
      </c>
      <c r="O6353" t="str">
        <f>IFERROR(INDEX(tEditais[SRP],MATCH(tItens[[#This Row],[Edital]],tEditais[Edital],0)),"Não")</f>
        <v>Não</v>
      </c>
      <c r="P6353" s="4">
        <f>IF(COUNTIFS(INDEX(tItens[Edital],1):tItens[[#This Row],[Edital]],tItens[[#This Row],[Edital]],INDEX(tItens[Produto],1):tItens[[#This Row],[Produto]],tItens[[#This Row],[Produto]])=1,1,0)</f>
        <v>0</v>
      </c>
    </row>
    <row r="6354" spans="1:16" x14ac:dyDescent="0.25">
      <c r="A6354" t="s">
        <v>2221</v>
      </c>
      <c r="B6354">
        <v>9</v>
      </c>
      <c r="C6354" t="s">
        <v>9088</v>
      </c>
      <c r="D6354" t="s">
        <v>106</v>
      </c>
      <c r="E6354" s="13">
        <v>60</v>
      </c>
      <c r="F6354" s="12">
        <v>19.940000000000001</v>
      </c>
      <c r="G6354" t="str">
        <f>IFERROR(INDEX(tEditais[Órgão],MATCH(tItens[[#This Row],[Edital]],tEditais[Edital],0)),"")</f>
        <v>FUNDO MUNICIPAL DE SAUDE</v>
      </c>
      <c r="H6354" t="str">
        <f>IFERROR(INDEX(tEditais[UF],MATCH(tItens[[#This Row],[Edital]],tEditais[Edital],0)),"")</f>
        <v>RJ</v>
      </c>
      <c r="I6354" s="11">
        <f>IFERROR(INDEX(tEditais[Encerramento],MATCH(tItens[[#This Row],[Edital]],tEditais[Edital],0)),"")</f>
        <v>46304.416666666664</v>
      </c>
      <c r="J6354" t="str">
        <f>IFERROR(INDEX(tProdutos[Classe],MATCH(tItens[[#This Row],[Produto]],tProdutos[Produto],0)),"produto não cadastrado")</f>
        <v>DISPUTADO</v>
      </c>
      <c r="K6354" s="12">
        <f>tItens[[#This Row],[Qtd]]*tItens[[#This Row],[Vlr unit]]</f>
        <v>1196.4000000000001</v>
      </c>
      <c r="L6354" s="6">
        <f>IFERROR(IF(INDEX(tProdutos[Desconto homologado],MATCH(tItens[[#This Row],[Produto]],tProdutos[Produto],0))="",DescontoPadrao,INDEX(tProdutos[Desconto homologado],MATCH(tItens[[#This Row],[Produto]],tProdutos[Produto],0))),DescontoPadrao)</f>
        <v>0.24377518966589001</v>
      </c>
      <c r="M6354" s="12">
        <f>tItens[[#This Row],[Valor]]*(1-tItens[[#This Row],[Desconto]])</f>
        <v>904.74736308372928</v>
      </c>
      <c r="N6354" t="str">
        <f>IFERROR(INDEX(tProdutos[Foco],MATCH(tItens[[#This Row],[Produto]],tProdutos[Produto],0)),"Não")</f>
        <v>Não</v>
      </c>
      <c r="O6354" t="str">
        <f>IFERROR(INDEX(tEditais[SRP],MATCH(tItens[[#This Row],[Edital]],tEditais[Edital],0)),"Não")</f>
        <v>Não</v>
      </c>
      <c r="P6354" s="4">
        <f>IF(COUNTIFS(INDEX(tItens[Edital],1):tItens[[#This Row],[Edital]],tItens[[#This Row],[Edital]],INDEX(tItens[Produto],1):tItens[[#This Row],[Produto]],tItens[[#This Row],[Produto]])=1,1,0)</f>
        <v>0</v>
      </c>
    </row>
    <row r="6355" spans="1:16" x14ac:dyDescent="0.25">
      <c r="A6355" t="s">
        <v>2221</v>
      </c>
      <c r="B6355">
        <v>10</v>
      </c>
      <c r="C6355" t="s">
        <v>9089</v>
      </c>
      <c r="D6355" t="s">
        <v>106</v>
      </c>
      <c r="E6355" s="13">
        <v>103</v>
      </c>
      <c r="F6355" s="12">
        <v>19.760000000000002</v>
      </c>
      <c r="G6355" t="str">
        <f>IFERROR(INDEX(tEditais[Órgão],MATCH(tItens[[#This Row],[Edital]],tEditais[Edital],0)),"")</f>
        <v>FUNDO MUNICIPAL DE SAUDE</v>
      </c>
      <c r="H6355" t="str">
        <f>IFERROR(INDEX(tEditais[UF],MATCH(tItens[[#This Row],[Edital]],tEditais[Edital],0)),"")</f>
        <v>RJ</v>
      </c>
      <c r="I6355" s="11">
        <f>IFERROR(INDEX(tEditais[Encerramento],MATCH(tItens[[#This Row],[Edital]],tEditais[Edital],0)),"")</f>
        <v>46304.416666666664</v>
      </c>
      <c r="J6355" t="str">
        <f>IFERROR(INDEX(tProdutos[Classe],MATCH(tItens[[#This Row],[Produto]],tProdutos[Produto],0)),"produto não cadastrado")</f>
        <v>DISPUTADO</v>
      </c>
      <c r="K6355" s="12">
        <f>tItens[[#This Row],[Qtd]]*tItens[[#This Row],[Vlr unit]]</f>
        <v>2035.2800000000002</v>
      </c>
      <c r="L6355" s="6">
        <f>IFERROR(IF(INDEX(tProdutos[Desconto homologado],MATCH(tItens[[#This Row],[Produto]],tProdutos[Produto],0))="",DescontoPadrao,INDEX(tProdutos[Desconto homologado],MATCH(tItens[[#This Row],[Produto]],tProdutos[Produto],0))),DescontoPadrao)</f>
        <v>0.24377518966589001</v>
      </c>
      <c r="M6355" s="12">
        <f>tItens[[#This Row],[Valor]]*(1-tItens[[#This Row],[Desconto]])</f>
        <v>1539.1292319768077</v>
      </c>
      <c r="N6355" t="str">
        <f>IFERROR(INDEX(tProdutos[Foco],MATCH(tItens[[#This Row],[Produto]],tProdutos[Produto],0)),"Não")</f>
        <v>Não</v>
      </c>
      <c r="O6355" t="str">
        <f>IFERROR(INDEX(tEditais[SRP],MATCH(tItens[[#This Row],[Edital]],tEditais[Edital],0)),"Não")</f>
        <v>Não</v>
      </c>
      <c r="P6355" s="4">
        <f>IF(COUNTIFS(INDEX(tItens[Edital],1):tItens[[#This Row],[Edital]],tItens[[#This Row],[Edital]],INDEX(tItens[Produto],1):tItens[[#This Row],[Produto]],tItens[[#This Row],[Produto]])=1,1,0)</f>
        <v>0</v>
      </c>
    </row>
    <row r="6356" spans="1:16" x14ac:dyDescent="0.25">
      <c r="A6356" t="s">
        <v>2221</v>
      </c>
      <c r="B6356">
        <v>11</v>
      </c>
      <c r="C6356" t="s">
        <v>9090</v>
      </c>
      <c r="D6356" t="s">
        <v>106</v>
      </c>
      <c r="E6356" s="13">
        <v>487</v>
      </c>
      <c r="F6356" s="12">
        <v>22.88</v>
      </c>
      <c r="G6356" t="str">
        <f>IFERROR(INDEX(tEditais[Órgão],MATCH(tItens[[#This Row],[Edital]],tEditais[Edital],0)),"")</f>
        <v>FUNDO MUNICIPAL DE SAUDE</v>
      </c>
      <c r="H6356" t="str">
        <f>IFERROR(INDEX(tEditais[UF],MATCH(tItens[[#This Row],[Edital]],tEditais[Edital],0)),"")</f>
        <v>RJ</v>
      </c>
      <c r="I6356" s="11">
        <f>IFERROR(INDEX(tEditais[Encerramento],MATCH(tItens[[#This Row],[Edital]],tEditais[Edital],0)),"")</f>
        <v>46304.416666666664</v>
      </c>
      <c r="J6356" t="str">
        <f>IFERROR(INDEX(tProdutos[Classe],MATCH(tItens[[#This Row],[Produto]],tProdutos[Produto],0)),"produto não cadastrado")</f>
        <v>DISPUTADO</v>
      </c>
      <c r="K6356" s="12">
        <f>tItens[[#This Row],[Qtd]]*tItens[[#This Row],[Vlr unit]]</f>
        <v>11142.56</v>
      </c>
      <c r="L6356" s="6">
        <f>IFERROR(IF(INDEX(tProdutos[Desconto homologado],MATCH(tItens[[#This Row],[Produto]],tProdutos[Produto],0))="",DescontoPadrao,INDEX(tProdutos[Desconto homologado],MATCH(tItens[[#This Row],[Produto]],tProdutos[Produto],0))),DescontoPadrao)</f>
        <v>0.24377518966589001</v>
      </c>
      <c r="M6356" s="12">
        <f>tItens[[#This Row],[Valor]]*(1-tItens[[#This Row],[Desconto]])</f>
        <v>8426.2803226364413</v>
      </c>
      <c r="N6356" t="str">
        <f>IFERROR(INDEX(tProdutos[Foco],MATCH(tItens[[#This Row],[Produto]],tProdutos[Produto],0)),"Não")</f>
        <v>Não</v>
      </c>
      <c r="O6356" t="str">
        <f>IFERROR(INDEX(tEditais[SRP],MATCH(tItens[[#This Row],[Edital]],tEditais[Edital],0)),"Não")</f>
        <v>Não</v>
      </c>
      <c r="P6356" s="4">
        <f>IF(COUNTIFS(INDEX(tItens[Edital],1):tItens[[#This Row],[Edital]],tItens[[#This Row],[Edital]],INDEX(tItens[Produto],1):tItens[[#This Row],[Produto]],tItens[[#This Row],[Produto]])=1,1,0)</f>
        <v>0</v>
      </c>
    </row>
    <row r="6357" spans="1:16" x14ac:dyDescent="0.25">
      <c r="A6357" t="s">
        <v>2221</v>
      </c>
      <c r="B6357">
        <v>12</v>
      </c>
      <c r="C6357" t="s">
        <v>9091</v>
      </c>
      <c r="D6357" t="s">
        <v>106</v>
      </c>
      <c r="E6357" s="13">
        <v>792</v>
      </c>
      <c r="F6357" s="12">
        <v>20.05</v>
      </c>
      <c r="G6357" t="str">
        <f>IFERROR(INDEX(tEditais[Órgão],MATCH(tItens[[#This Row],[Edital]],tEditais[Edital],0)),"")</f>
        <v>FUNDO MUNICIPAL DE SAUDE</v>
      </c>
      <c r="H6357" t="str">
        <f>IFERROR(INDEX(tEditais[UF],MATCH(tItens[[#This Row],[Edital]],tEditais[Edital],0)),"")</f>
        <v>RJ</v>
      </c>
      <c r="I6357" s="11">
        <f>IFERROR(INDEX(tEditais[Encerramento],MATCH(tItens[[#This Row],[Edital]],tEditais[Edital],0)),"")</f>
        <v>46304.416666666664</v>
      </c>
      <c r="J6357" t="str">
        <f>IFERROR(INDEX(tProdutos[Classe],MATCH(tItens[[#This Row],[Produto]],tProdutos[Produto],0)),"produto não cadastrado")</f>
        <v>DISPUTADO</v>
      </c>
      <c r="K6357" s="12">
        <f>tItens[[#This Row],[Qtd]]*tItens[[#This Row],[Vlr unit]]</f>
        <v>15879.6</v>
      </c>
      <c r="L6357" s="6">
        <f>IFERROR(IF(INDEX(tProdutos[Desconto homologado],MATCH(tItens[[#This Row],[Produto]],tProdutos[Produto],0))="",DescontoPadrao,INDEX(tProdutos[Desconto homologado],MATCH(tItens[[#This Row],[Produto]],tProdutos[Produto],0))),DescontoPadrao)</f>
        <v>0.24377518966589001</v>
      </c>
      <c r="M6357" s="12">
        <f>tItens[[#This Row],[Valor]]*(1-tItens[[#This Row],[Desconto]])</f>
        <v>12008.547498181533</v>
      </c>
      <c r="N6357" t="str">
        <f>IFERROR(INDEX(tProdutos[Foco],MATCH(tItens[[#This Row],[Produto]],tProdutos[Produto],0)),"Não")</f>
        <v>Não</v>
      </c>
      <c r="O6357" t="str">
        <f>IFERROR(INDEX(tEditais[SRP],MATCH(tItens[[#This Row],[Edital]],tEditais[Edital],0)),"Não")</f>
        <v>Não</v>
      </c>
      <c r="P6357" s="4">
        <f>IF(COUNTIFS(INDEX(tItens[Edital],1):tItens[[#This Row],[Edital]],tItens[[#This Row],[Edital]],INDEX(tItens[Produto],1):tItens[[#This Row],[Produto]],tItens[[#This Row],[Produto]])=1,1,0)</f>
        <v>0</v>
      </c>
    </row>
    <row r="6358" spans="1:16" x14ac:dyDescent="0.25">
      <c r="A6358" t="s">
        <v>2221</v>
      </c>
      <c r="B6358">
        <v>13</v>
      </c>
      <c r="C6358" t="s">
        <v>4163</v>
      </c>
      <c r="D6358" t="s">
        <v>106</v>
      </c>
      <c r="E6358" s="13">
        <v>84</v>
      </c>
      <c r="F6358" s="12">
        <v>19.86</v>
      </c>
      <c r="G6358" t="str">
        <f>IFERROR(INDEX(tEditais[Órgão],MATCH(tItens[[#This Row],[Edital]],tEditais[Edital],0)),"")</f>
        <v>FUNDO MUNICIPAL DE SAUDE</v>
      </c>
      <c r="H6358" t="str">
        <f>IFERROR(INDEX(tEditais[UF],MATCH(tItens[[#This Row],[Edital]],tEditais[Edital],0)),"")</f>
        <v>RJ</v>
      </c>
      <c r="I6358" s="11">
        <f>IFERROR(INDEX(tEditais[Encerramento],MATCH(tItens[[#This Row],[Edital]],tEditais[Edital],0)),"")</f>
        <v>46304.416666666664</v>
      </c>
      <c r="J6358" t="str">
        <f>IFERROR(INDEX(tProdutos[Classe],MATCH(tItens[[#This Row],[Produto]],tProdutos[Produto],0)),"produto não cadastrado")</f>
        <v>DISPUTADO</v>
      </c>
      <c r="K6358" s="12">
        <f>tItens[[#This Row],[Qtd]]*tItens[[#This Row],[Vlr unit]]</f>
        <v>1668.24</v>
      </c>
      <c r="L6358" s="6">
        <f>IFERROR(IF(INDEX(tProdutos[Desconto homologado],MATCH(tItens[[#This Row],[Produto]],tProdutos[Produto],0))="",DescontoPadrao,INDEX(tProdutos[Desconto homologado],MATCH(tItens[[#This Row],[Produto]],tProdutos[Produto],0))),DescontoPadrao)</f>
        <v>0.24377518966589001</v>
      </c>
      <c r="M6358" s="12">
        <f>tItens[[#This Row],[Valor]]*(1-tItens[[#This Row],[Desconto]])</f>
        <v>1261.5644775917758</v>
      </c>
      <c r="N6358" t="str">
        <f>IFERROR(INDEX(tProdutos[Foco],MATCH(tItens[[#This Row],[Produto]],tProdutos[Produto],0)),"Não")</f>
        <v>Não</v>
      </c>
      <c r="O6358" t="str">
        <f>IFERROR(INDEX(tEditais[SRP],MATCH(tItens[[#This Row],[Edital]],tEditais[Edital],0)),"Não")</f>
        <v>Não</v>
      </c>
      <c r="P6358" s="4">
        <f>IF(COUNTIFS(INDEX(tItens[Edital],1):tItens[[#This Row],[Edital]],tItens[[#This Row],[Edital]],INDEX(tItens[Produto],1):tItens[[#This Row],[Produto]],tItens[[#This Row],[Produto]])=1,1,0)</f>
        <v>0</v>
      </c>
    </row>
    <row r="6359" spans="1:16" x14ac:dyDescent="0.25">
      <c r="A6359" t="s">
        <v>2224</v>
      </c>
      <c r="B6359">
        <v>1</v>
      </c>
      <c r="C6359" t="s">
        <v>9092</v>
      </c>
      <c r="D6359" t="s">
        <v>461</v>
      </c>
      <c r="E6359" s="13">
        <v>1200</v>
      </c>
      <c r="F6359" s="12">
        <v>2.92</v>
      </c>
      <c r="G6359" t="str">
        <f>IFERROR(INDEX(tEditais[Órgão],MATCH(tItens[[#This Row],[Edital]],tEditais[Edital],0)),"")</f>
        <v>MUNICIPIO DE RIO DE JANEIRO</v>
      </c>
      <c r="H6359" t="str">
        <f>IFERROR(INDEX(tEditais[UF],MATCH(tItens[[#This Row],[Edital]],tEditais[Edital],0)),"")</f>
        <v>RJ</v>
      </c>
      <c r="I6359" s="11">
        <f>IFERROR(INDEX(tEditais[Encerramento],MATCH(tItens[[#This Row],[Edital]],tEditais[Edital],0)),"")</f>
        <v>46308.333333333336</v>
      </c>
      <c r="J6359" t="str">
        <f>IFERROR(INDEX(tProdutos[Classe],MATCH(tItens[[#This Row],[Produto]],tProdutos[Produto],0)),"produto não cadastrado")</f>
        <v>FILA REBASE</v>
      </c>
      <c r="K6359" s="12">
        <f>tItens[[#This Row],[Qtd]]*tItens[[#This Row],[Vlr unit]]</f>
        <v>3504</v>
      </c>
      <c r="L6359" s="6">
        <f>IFERROR(IF(INDEX(tProdutos[Desconto homologado],MATCH(tItens[[#This Row],[Produto]],tProdutos[Produto],0))="",DescontoPadrao,INDEX(tProdutos[Desconto homologado],MATCH(tItens[[#This Row],[Produto]],tProdutos[Produto],0))),DescontoPadrao)</f>
        <v>0.44096385542168698</v>
      </c>
      <c r="M6359" s="12">
        <f>tItens[[#This Row],[Valor]]*(1-tItens[[#This Row],[Desconto]])</f>
        <v>1958.8626506024086</v>
      </c>
      <c r="N6359" t="str">
        <f>IFERROR(INDEX(tProdutos[Foco],MATCH(tItens[[#This Row],[Produto]],tProdutos[Produto],0)),"Não")</f>
        <v>Não</v>
      </c>
      <c r="O6359" t="str">
        <f>IFERROR(INDEX(tEditais[SRP],MATCH(tItens[[#This Row],[Edital]],tEditais[Edital],0)),"Não")</f>
        <v>Não</v>
      </c>
      <c r="P6359" s="4">
        <f>IF(COUNTIFS(INDEX(tItens[Edital],1):tItens[[#This Row],[Edital]],tItens[[#This Row],[Edital]],INDEX(tItens[Produto],1):tItens[[#This Row],[Produto]],tItens[[#This Row],[Produto]])=1,1,0)</f>
        <v>1</v>
      </c>
    </row>
    <row r="6360" spans="1:16" x14ac:dyDescent="0.25">
      <c r="A6360" t="s">
        <v>2224</v>
      </c>
      <c r="B6360">
        <v>2</v>
      </c>
      <c r="C6360" t="s">
        <v>9093</v>
      </c>
      <c r="D6360" t="s">
        <v>461</v>
      </c>
      <c r="E6360" s="13">
        <v>300</v>
      </c>
      <c r="F6360" s="12">
        <v>11.18</v>
      </c>
      <c r="G6360" t="str">
        <f>IFERROR(INDEX(tEditais[Órgão],MATCH(tItens[[#This Row],[Edital]],tEditais[Edital],0)),"")</f>
        <v>MUNICIPIO DE RIO DE JANEIRO</v>
      </c>
      <c r="H6360" t="str">
        <f>IFERROR(INDEX(tEditais[UF],MATCH(tItens[[#This Row],[Edital]],tEditais[Edital],0)),"")</f>
        <v>RJ</v>
      </c>
      <c r="I6360" s="11">
        <f>IFERROR(INDEX(tEditais[Encerramento],MATCH(tItens[[#This Row],[Edital]],tEditais[Edital],0)),"")</f>
        <v>46308.333333333336</v>
      </c>
      <c r="J6360" t="str">
        <f>IFERROR(INDEX(tProdutos[Classe],MATCH(tItens[[#This Row],[Produto]],tProdutos[Produto],0)),"produto não cadastrado")</f>
        <v>FILA REBASE</v>
      </c>
      <c r="K6360" s="12">
        <f>tItens[[#This Row],[Qtd]]*tItens[[#This Row],[Vlr unit]]</f>
        <v>3354</v>
      </c>
      <c r="L6360" s="6">
        <f>IFERROR(IF(INDEX(tProdutos[Desconto homologado],MATCH(tItens[[#This Row],[Produto]],tProdutos[Produto],0))="",DescontoPadrao,INDEX(tProdutos[Desconto homologado],MATCH(tItens[[#This Row],[Produto]],tProdutos[Produto],0))),DescontoPadrao)</f>
        <v>0.44096385542168698</v>
      </c>
      <c r="M6360" s="12">
        <f>tItens[[#This Row],[Valor]]*(1-tItens[[#This Row],[Desconto]])</f>
        <v>1875.0072289156617</v>
      </c>
      <c r="N6360" t="str">
        <f>IFERROR(INDEX(tProdutos[Foco],MATCH(tItens[[#This Row],[Produto]],tProdutos[Produto],0)),"Não")</f>
        <v>Não</v>
      </c>
      <c r="O6360" t="str">
        <f>IFERROR(INDEX(tEditais[SRP],MATCH(tItens[[#This Row],[Edital]],tEditais[Edital],0)),"Não")</f>
        <v>Não</v>
      </c>
      <c r="P6360" s="4">
        <f>IF(COUNTIFS(INDEX(tItens[Edital],1):tItens[[#This Row],[Edital]],tItens[[#This Row],[Edital]],INDEX(tItens[Produto],1):tItens[[#This Row],[Produto]],tItens[[#This Row],[Produto]])=1,1,0)</f>
        <v>0</v>
      </c>
    </row>
    <row r="6361" spans="1:16" x14ac:dyDescent="0.25">
      <c r="A6361" t="s">
        <v>2224</v>
      </c>
      <c r="B6361">
        <v>3</v>
      </c>
      <c r="C6361" t="s">
        <v>9094</v>
      </c>
      <c r="D6361" t="s">
        <v>375</v>
      </c>
      <c r="E6361" s="13">
        <v>480</v>
      </c>
      <c r="F6361" s="12">
        <v>17.850000000000001</v>
      </c>
      <c r="G6361" t="str">
        <f>IFERROR(INDEX(tEditais[Órgão],MATCH(tItens[[#This Row],[Edital]],tEditais[Edital],0)),"")</f>
        <v>MUNICIPIO DE RIO DE JANEIRO</v>
      </c>
      <c r="H6361" t="str">
        <f>IFERROR(INDEX(tEditais[UF],MATCH(tItens[[#This Row],[Edital]],tEditais[Edital],0)),"")</f>
        <v>RJ</v>
      </c>
      <c r="I6361" s="11">
        <f>IFERROR(INDEX(tEditais[Encerramento],MATCH(tItens[[#This Row],[Edital]],tEditais[Edital],0)),"")</f>
        <v>46308.333333333336</v>
      </c>
      <c r="J6361" t="str">
        <f>IFERROR(INDEX(tProdutos[Classe],MATCH(tItens[[#This Row],[Produto]],tProdutos[Produto],0)),"produto não cadastrado")</f>
        <v>FORA</v>
      </c>
      <c r="K6361" s="12">
        <f>tItens[[#This Row],[Qtd]]*tItens[[#This Row],[Vlr unit]]</f>
        <v>8568</v>
      </c>
      <c r="L6361" s="6">
        <f>IFERROR(IF(INDEX(tProdutos[Desconto homologado],MATCH(tItens[[#This Row],[Produto]],tProdutos[Produto],0))="",DescontoPadrao,INDEX(tProdutos[Desconto homologado],MATCH(tItens[[#This Row],[Produto]],tProdutos[Produto],0))),DescontoPadrao)</f>
        <v>0.25005895299481201</v>
      </c>
      <c r="M6361" s="12">
        <f>tItens[[#This Row],[Valor]]*(1-tItens[[#This Row],[Desconto]])</f>
        <v>6425.4948907404505</v>
      </c>
      <c r="N6361" t="str">
        <f>IFERROR(INDEX(tProdutos[Foco],MATCH(tItens[[#This Row],[Produto]],tProdutos[Produto],0)),"Não")</f>
        <v>Não</v>
      </c>
      <c r="O6361" t="str">
        <f>IFERROR(INDEX(tEditais[SRP],MATCH(tItens[[#This Row],[Edital]],tEditais[Edital],0)),"Não")</f>
        <v>Não</v>
      </c>
      <c r="P6361" s="4">
        <f>IF(COUNTIFS(INDEX(tItens[Edital],1):tItens[[#This Row],[Edital]],tItens[[#This Row],[Edital]],INDEX(tItens[Produto],1):tItens[[#This Row],[Produto]],tItens[[#This Row],[Produto]])=1,1,0)</f>
        <v>1</v>
      </c>
    </row>
    <row r="6362" spans="1:16" x14ac:dyDescent="0.25">
      <c r="A6362" t="s">
        <v>2227</v>
      </c>
      <c r="B6362">
        <v>1</v>
      </c>
      <c r="C6362" t="s">
        <v>9095</v>
      </c>
      <c r="D6362" t="s">
        <v>267</v>
      </c>
      <c r="E6362" s="13">
        <v>50</v>
      </c>
      <c r="F6362" s="12">
        <v>44.68</v>
      </c>
      <c r="G6362" t="str">
        <f>IFERROR(INDEX(tEditais[Órgão],MATCH(tItens[[#This Row],[Edital]],tEditais[Edital],0)),"")</f>
        <v>MUNICIPIO DE RIO DE JANEIRO</v>
      </c>
      <c r="H6362" t="str">
        <f>IFERROR(INDEX(tEditais[UF],MATCH(tItens[[#This Row],[Edital]],tEditais[Edital],0)),"")</f>
        <v>RJ</v>
      </c>
      <c r="I6362" s="11">
        <f>IFERROR(INDEX(tEditais[Encerramento],MATCH(tItens[[#This Row],[Edital]],tEditais[Edital],0)),"")</f>
        <v>46308.333333333336</v>
      </c>
      <c r="J6362" t="str">
        <f>IFERROR(INDEX(tProdutos[Classe],MATCH(tItens[[#This Row],[Produto]],tProdutos[Produto],0)),"produto não cadastrado")</f>
        <v>FORA</v>
      </c>
      <c r="K6362" s="12">
        <f>tItens[[#This Row],[Qtd]]*tItens[[#This Row],[Vlr unit]]</f>
        <v>2234</v>
      </c>
      <c r="L6362" s="6">
        <f>IFERROR(IF(INDEX(tProdutos[Desconto homologado],MATCH(tItens[[#This Row],[Produto]],tProdutos[Produto],0))="",DescontoPadrao,INDEX(tProdutos[Desconto homologado],MATCH(tItens[[#This Row],[Produto]],tProdutos[Produto],0))),DescontoPadrao)</f>
        <v>0.19963672657401599</v>
      </c>
      <c r="M6362" s="12">
        <f>tItens[[#This Row],[Valor]]*(1-tItens[[#This Row],[Desconto]])</f>
        <v>1788.0115528336482</v>
      </c>
      <c r="N6362" t="str">
        <f>IFERROR(INDEX(tProdutos[Foco],MATCH(tItens[[#This Row],[Produto]],tProdutos[Produto],0)),"Não")</f>
        <v>Não</v>
      </c>
      <c r="O6362" t="str">
        <f>IFERROR(INDEX(tEditais[SRP],MATCH(tItens[[#This Row],[Edital]],tEditais[Edital],0)),"Não")</f>
        <v>Não</v>
      </c>
      <c r="P6362" s="4">
        <f>IF(COUNTIFS(INDEX(tItens[Edital],1):tItens[[#This Row],[Edital]],tItens[[#This Row],[Edital]],INDEX(tItens[Produto],1):tItens[[#This Row],[Produto]],tItens[[#This Row],[Produto]])=1,1,0)</f>
        <v>1</v>
      </c>
    </row>
    <row r="6363" spans="1:16" x14ac:dyDescent="0.25">
      <c r="A6363" t="s">
        <v>2230</v>
      </c>
      <c r="B6363">
        <v>3</v>
      </c>
      <c r="C6363" t="s">
        <v>8575</v>
      </c>
      <c r="D6363" t="s">
        <v>315</v>
      </c>
      <c r="E6363" s="13">
        <v>2500</v>
      </c>
      <c r="F6363" s="12">
        <v>0.18</v>
      </c>
      <c r="G6363" t="str">
        <f>IFERROR(INDEX(tEditais[Órgão],MATCH(tItens[[#This Row],[Edital]],tEditais[Edital],0)),"")</f>
        <v>MUNICIPIO DE RIO DE JANEIRO</v>
      </c>
      <c r="H6363" t="str">
        <f>IFERROR(INDEX(tEditais[UF],MATCH(tItens[[#This Row],[Edital]],tEditais[Edital],0)),"")</f>
        <v>RJ</v>
      </c>
      <c r="I6363" s="11">
        <f>IFERROR(INDEX(tEditais[Encerramento],MATCH(tItens[[#This Row],[Edital]],tEditais[Edital],0)),"")</f>
        <v>46308.333333333336</v>
      </c>
      <c r="J6363" t="str">
        <f>IFERROR(INDEX(tProdutos[Classe],MATCH(tItens[[#This Row],[Produto]],tProdutos[Produto],0)),"produto não cadastrado")</f>
        <v>FORA</v>
      </c>
      <c r="K6363" s="12">
        <f>tItens[[#This Row],[Qtd]]*tItens[[#This Row],[Vlr unit]]</f>
        <v>450</v>
      </c>
      <c r="L6363" s="6">
        <f>IFERROR(IF(INDEX(tProdutos[Desconto homologado],MATCH(tItens[[#This Row],[Produto]],tProdutos[Produto],0))="",DescontoPadrao,INDEX(tProdutos[Desconto homologado],MATCH(tItens[[#This Row],[Produto]],tProdutos[Produto],0))),DescontoPadrao)</f>
        <v>0.38432036097010702</v>
      </c>
      <c r="M6363" s="12">
        <f>tItens[[#This Row],[Valor]]*(1-tItens[[#This Row],[Desconto]])</f>
        <v>277.05583756345186</v>
      </c>
      <c r="N6363" t="str">
        <f>IFERROR(INDEX(tProdutos[Foco],MATCH(tItens[[#This Row],[Produto]],tProdutos[Produto],0)),"Não")</f>
        <v>Não</v>
      </c>
      <c r="O6363" t="str">
        <f>IFERROR(INDEX(tEditais[SRP],MATCH(tItens[[#This Row],[Edital]],tEditais[Edital],0)),"Não")</f>
        <v>Não</v>
      </c>
      <c r="P6363" s="4">
        <f>IF(COUNTIFS(INDEX(tItens[Edital],1):tItens[[#This Row],[Edital]],tItens[[#This Row],[Edital]],INDEX(tItens[Produto],1):tItens[[#This Row],[Produto]],tItens[[#This Row],[Produto]])=1,1,0)</f>
        <v>1</v>
      </c>
    </row>
    <row r="6364" spans="1:16" x14ac:dyDescent="0.25">
      <c r="A6364" t="s">
        <v>2233</v>
      </c>
      <c r="B6364">
        <v>9</v>
      </c>
      <c r="C6364" t="s">
        <v>9096</v>
      </c>
      <c r="D6364" t="s">
        <v>566</v>
      </c>
      <c r="E6364" s="13">
        <v>2</v>
      </c>
      <c r="F6364" s="12">
        <v>319.02</v>
      </c>
      <c r="G6364" t="str">
        <f>IFERROR(INDEX(tEditais[Órgão],MATCH(tItens[[#This Row],[Edital]],tEditais[Edital],0)),"")</f>
        <v>MUNICIPIO DE VARRE-SAI</v>
      </c>
      <c r="H6364" t="str">
        <f>IFERROR(INDEX(tEditais[UF],MATCH(tItens[[#This Row],[Edital]],tEditais[Edital],0)),"")</f>
        <v>RJ</v>
      </c>
      <c r="I6364" s="11">
        <f>IFERROR(INDEX(tEditais[Encerramento],MATCH(tItens[[#This Row],[Edital]],tEditais[Edital],0)),"")</f>
        <v>46308.374305555553</v>
      </c>
      <c r="J6364" t="str">
        <f>IFERROR(INDEX(tProdutos[Classe],MATCH(tItens[[#This Row],[Produto]],tProdutos[Produto],0)),"produto não cadastrado")</f>
        <v>FILA REBASE</v>
      </c>
      <c r="K6364" s="12">
        <f>tItens[[#This Row],[Qtd]]*tItens[[#This Row],[Vlr unit]]</f>
        <v>638.04</v>
      </c>
      <c r="L6364" s="6">
        <f>IFERROR(IF(INDEX(tProdutos[Desconto homologado],MATCH(tItens[[#This Row],[Produto]],tProdutos[Produto],0))="",DescontoPadrao,INDEX(tProdutos[Desconto homologado],MATCH(tItens[[#This Row],[Produto]],tProdutos[Produto],0))),DescontoPadrao)</f>
        <v>0.1816062551698</v>
      </c>
      <c r="M6364" s="12">
        <f>tItens[[#This Row],[Valor]]*(1-tItens[[#This Row],[Desconto]])</f>
        <v>522.16794495146075</v>
      </c>
      <c r="N6364" t="str">
        <f>IFERROR(INDEX(tProdutos[Foco],MATCH(tItens[[#This Row],[Produto]],tProdutos[Produto],0)),"Não")</f>
        <v>Não</v>
      </c>
      <c r="O6364" t="str">
        <f>IFERROR(INDEX(tEditais[SRP],MATCH(tItens[[#This Row],[Edital]],tEditais[Edital],0)),"Não")</f>
        <v>Sim</v>
      </c>
      <c r="P6364" s="4">
        <f>IF(COUNTIFS(INDEX(tItens[Edital],1):tItens[[#This Row],[Edital]],tItens[[#This Row],[Edital]],INDEX(tItens[Produto],1):tItens[[#This Row],[Produto]],tItens[[#This Row],[Produto]])=1,1,0)</f>
        <v>1</v>
      </c>
    </row>
    <row r="6365" spans="1:16" x14ac:dyDescent="0.25">
      <c r="A6365" t="s">
        <v>2233</v>
      </c>
      <c r="B6365">
        <v>10</v>
      </c>
      <c r="C6365" t="s">
        <v>9097</v>
      </c>
      <c r="D6365" t="s">
        <v>269</v>
      </c>
      <c r="E6365" s="13">
        <v>5</v>
      </c>
      <c r="F6365" s="12">
        <v>139</v>
      </c>
      <c r="G6365" t="str">
        <f>IFERROR(INDEX(tEditais[Órgão],MATCH(tItens[[#This Row],[Edital]],tEditais[Edital],0)),"")</f>
        <v>MUNICIPIO DE VARRE-SAI</v>
      </c>
      <c r="H6365" t="str">
        <f>IFERROR(INDEX(tEditais[UF],MATCH(tItens[[#This Row],[Edital]],tEditais[Edital],0)),"")</f>
        <v>RJ</v>
      </c>
      <c r="I6365" s="11">
        <f>IFERROR(INDEX(tEditais[Encerramento],MATCH(tItens[[#This Row],[Edital]],tEditais[Edital],0)),"")</f>
        <v>46308.374305555553</v>
      </c>
      <c r="J6365" t="str">
        <f>IFERROR(INDEX(tProdutos[Classe],MATCH(tItens[[#This Row],[Produto]],tProdutos[Produto],0)),"produto não cadastrado")</f>
        <v>FORA</v>
      </c>
      <c r="K6365" s="12">
        <f>tItens[[#This Row],[Qtd]]*tItens[[#This Row],[Vlr unit]]</f>
        <v>695</v>
      </c>
      <c r="L6365" s="6">
        <f>IFERROR(IF(INDEX(tProdutos[Desconto homologado],MATCH(tItens[[#This Row],[Produto]],tProdutos[Produto],0))="",DescontoPadrao,INDEX(tProdutos[Desconto homologado],MATCH(tItens[[#This Row],[Produto]],tProdutos[Produto],0))),DescontoPadrao)</f>
        <v>0.28935117103332197</v>
      </c>
      <c r="M6365" s="12">
        <f>tItens[[#This Row],[Valor]]*(1-tItens[[#This Row],[Desconto]])</f>
        <v>493.90093613184121</v>
      </c>
      <c r="N6365" t="str">
        <f>IFERROR(INDEX(tProdutos[Foco],MATCH(tItens[[#This Row],[Produto]],tProdutos[Produto],0)),"Não")</f>
        <v>Não</v>
      </c>
      <c r="O6365" t="str">
        <f>IFERROR(INDEX(tEditais[SRP],MATCH(tItens[[#This Row],[Edital]],tEditais[Edital],0)),"Não")</f>
        <v>Sim</v>
      </c>
      <c r="P6365" s="4">
        <f>IF(COUNTIFS(INDEX(tItens[Edital],1):tItens[[#This Row],[Edital]],tItens[[#This Row],[Edital]],INDEX(tItens[Produto],1):tItens[[#This Row],[Produto]],tItens[[#This Row],[Produto]])=1,1,0)</f>
        <v>1</v>
      </c>
    </row>
    <row r="6366" spans="1:16" x14ac:dyDescent="0.25">
      <c r="A6366" t="s">
        <v>2233</v>
      </c>
      <c r="B6366">
        <v>22</v>
      </c>
      <c r="C6366" t="s">
        <v>9098</v>
      </c>
      <c r="D6366" t="s">
        <v>461</v>
      </c>
      <c r="E6366" s="13">
        <v>50</v>
      </c>
      <c r="F6366" s="12">
        <v>38.659999999999997</v>
      </c>
      <c r="G6366" t="str">
        <f>IFERROR(INDEX(tEditais[Órgão],MATCH(tItens[[#This Row],[Edital]],tEditais[Edital],0)),"")</f>
        <v>MUNICIPIO DE VARRE-SAI</v>
      </c>
      <c r="H6366" t="str">
        <f>IFERROR(INDEX(tEditais[UF],MATCH(tItens[[#This Row],[Edital]],tEditais[Edital],0)),"")</f>
        <v>RJ</v>
      </c>
      <c r="I6366" s="11">
        <f>IFERROR(INDEX(tEditais[Encerramento],MATCH(tItens[[#This Row],[Edital]],tEditais[Edital],0)),"")</f>
        <v>46308.374305555553</v>
      </c>
      <c r="J6366" t="str">
        <f>IFERROR(INDEX(tProdutos[Classe],MATCH(tItens[[#This Row],[Produto]],tProdutos[Produto],0)),"produto não cadastrado")</f>
        <v>FILA REBASE</v>
      </c>
      <c r="K6366" s="12">
        <f>tItens[[#This Row],[Qtd]]*tItens[[#This Row],[Vlr unit]]</f>
        <v>1932.9999999999998</v>
      </c>
      <c r="L6366" s="6">
        <f>IFERROR(IF(INDEX(tProdutos[Desconto homologado],MATCH(tItens[[#This Row],[Produto]],tProdutos[Produto],0))="",DescontoPadrao,INDEX(tProdutos[Desconto homologado],MATCH(tItens[[#This Row],[Produto]],tProdutos[Produto],0))),DescontoPadrao)</f>
        <v>0.44096385542168698</v>
      </c>
      <c r="M6366" s="12">
        <f>tItens[[#This Row],[Valor]]*(1-tItens[[#This Row],[Desconto]])</f>
        <v>1080.6168674698788</v>
      </c>
      <c r="N6366" t="str">
        <f>IFERROR(INDEX(tProdutos[Foco],MATCH(tItens[[#This Row],[Produto]],tProdutos[Produto],0)),"Não")</f>
        <v>Não</v>
      </c>
      <c r="O6366" t="str">
        <f>IFERROR(INDEX(tEditais[SRP],MATCH(tItens[[#This Row],[Edital]],tEditais[Edital],0)),"Não")</f>
        <v>Sim</v>
      </c>
      <c r="P6366" s="4">
        <f>IF(COUNTIFS(INDEX(tItens[Edital],1):tItens[[#This Row],[Edital]],tItens[[#This Row],[Edital]],INDEX(tItens[Produto],1):tItens[[#This Row],[Produto]],tItens[[#This Row],[Produto]])=1,1,0)</f>
        <v>1</v>
      </c>
    </row>
    <row r="6367" spans="1:16" x14ac:dyDescent="0.25">
      <c r="A6367" t="s">
        <v>2233</v>
      </c>
      <c r="B6367">
        <v>29</v>
      </c>
      <c r="C6367" t="s">
        <v>9099</v>
      </c>
      <c r="D6367" t="s">
        <v>578</v>
      </c>
      <c r="E6367" s="13">
        <v>2</v>
      </c>
      <c r="F6367" s="12">
        <v>903.3</v>
      </c>
      <c r="G6367" t="str">
        <f>IFERROR(INDEX(tEditais[Órgão],MATCH(tItens[[#This Row],[Edital]],tEditais[Edital],0)),"")</f>
        <v>MUNICIPIO DE VARRE-SAI</v>
      </c>
      <c r="H6367" t="str">
        <f>IFERROR(INDEX(tEditais[UF],MATCH(tItens[[#This Row],[Edital]],tEditais[Edital],0)),"")</f>
        <v>RJ</v>
      </c>
      <c r="I6367" s="11">
        <f>IFERROR(INDEX(tEditais[Encerramento],MATCH(tItens[[#This Row],[Edital]],tEditais[Edital],0)),"")</f>
        <v>46308.374305555553</v>
      </c>
      <c r="J6367" t="str">
        <f>IFERROR(INDEX(tProdutos[Classe],MATCH(tItens[[#This Row],[Produto]],tProdutos[Produto],0)),"produto não cadastrado")</f>
        <v>FILA REBASE</v>
      </c>
      <c r="K6367" s="12">
        <f>tItens[[#This Row],[Qtd]]*tItens[[#This Row],[Vlr unit]]</f>
        <v>1806.6</v>
      </c>
      <c r="L6367" s="6">
        <f>IFERROR(IF(INDEX(tProdutos[Desconto homologado],MATCH(tItens[[#This Row],[Produto]],tProdutos[Produto],0))="",DescontoPadrao,INDEX(tProdutos[Desconto homologado],MATCH(tItens[[#This Row],[Produto]],tProdutos[Produto],0))),DescontoPadrao)</f>
        <v>0.36014625228519198</v>
      </c>
      <c r="M6367" s="12">
        <f>tItens[[#This Row],[Valor]]*(1-tItens[[#This Row],[Desconto]])</f>
        <v>1155.9597806215722</v>
      </c>
      <c r="N6367" t="str">
        <f>IFERROR(INDEX(tProdutos[Foco],MATCH(tItens[[#This Row],[Produto]],tProdutos[Produto],0)),"Não")</f>
        <v>Não</v>
      </c>
      <c r="O6367" t="str">
        <f>IFERROR(INDEX(tEditais[SRP],MATCH(tItens[[#This Row],[Edital]],tEditais[Edital],0)),"Não")</f>
        <v>Sim</v>
      </c>
      <c r="P6367" s="4">
        <f>IF(COUNTIFS(INDEX(tItens[Edital],1):tItens[[#This Row],[Edital]],tItens[[#This Row],[Edital]],INDEX(tItens[Produto],1):tItens[[#This Row],[Produto]],tItens[[#This Row],[Produto]])=1,1,0)</f>
        <v>1</v>
      </c>
    </row>
    <row r="6368" spans="1:16" x14ac:dyDescent="0.25">
      <c r="A6368" t="s">
        <v>2233</v>
      </c>
      <c r="B6368">
        <v>35</v>
      </c>
      <c r="C6368" t="s">
        <v>9100</v>
      </c>
      <c r="D6368" t="s">
        <v>110</v>
      </c>
      <c r="E6368" s="13">
        <v>2</v>
      </c>
      <c r="F6368" s="12">
        <v>159.25</v>
      </c>
      <c r="G6368" t="str">
        <f>IFERROR(INDEX(tEditais[Órgão],MATCH(tItens[[#This Row],[Edital]],tEditais[Edital],0)),"")</f>
        <v>MUNICIPIO DE VARRE-SAI</v>
      </c>
      <c r="H6368" t="str">
        <f>IFERROR(INDEX(tEditais[UF],MATCH(tItens[[#This Row],[Edital]],tEditais[Edital],0)),"")</f>
        <v>RJ</v>
      </c>
      <c r="I6368" s="11">
        <f>IFERROR(INDEX(tEditais[Encerramento],MATCH(tItens[[#This Row],[Edital]],tEditais[Edital],0)),"")</f>
        <v>46308.374305555553</v>
      </c>
      <c r="J6368" t="str">
        <f>IFERROR(INDEX(tProdutos[Classe],MATCH(tItens[[#This Row],[Produto]],tProdutos[Produto],0)),"produto não cadastrado")</f>
        <v>NÚCLEO</v>
      </c>
      <c r="K6368" s="12">
        <f>tItens[[#This Row],[Qtd]]*tItens[[#This Row],[Vlr unit]]</f>
        <v>318.5</v>
      </c>
      <c r="L6368" s="6">
        <f>IFERROR(IF(INDEX(tProdutos[Desconto homologado],MATCH(tItens[[#This Row],[Produto]],tProdutos[Produto],0))="",DescontoPadrao,INDEX(tProdutos[Desconto homologado],MATCH(tItens[[#This Row],[Produto]],tProdutos[Produto],0))),DescontoPadrao)</f>
        <v>0.30410958904109597</v>
      </c>
      <c r="M6368" s="12">
        <f>tItens[[#This Row],[Valor]]*(1-tItens[[#This Row],[Desconto]])</f>
        <v>221.64109589041092</v>
      </c>
      <c r="N6368" t="str">
        <f>IFERROR(INDEX(tProdutos[Foco],MATCH(tItens[[#This Row],[Produto]],tProdutos[Produto],0)),"Não")</f>
        <v>Não</v>
      </c>
      <c r="O6368" t="str">
        <f>IFERROR(INDEX(tEditais[SRP],MATCH(tItens[[#This Row],[Edital]],tEditais[Edital],0)),"Não")</f>
        <v>Sim</v>
      </c>
      <c r="P6368" s="4">
        <f>IF(COUNTIFS(INDEX(tItens[Edital],1):tItens[[#This Row],[Edital]],tItens[[#This Row],[Edital]],INDEX(tItens[Produto],1):tItens[[#This Row],[Produto]],tItens[[#This Row],[Produto]])=1,1,0)</f>
        <v>1</v>
      </c>
    </row>
    <row r="6369" spans="1:16" x14ac:dyDescent="0.25">
      <c r="A6369" t="s">
        <v>2233</v>
      </c>
      <c r="B6369">
        <v>37</v>
      </c>
      <c r="C6369" t="s">
        <v>9101</v>
      </c>
      <c r="D6369" t="s">
        <v>461</v>
      </c>
      <c r="E6369" s="13">
        <v>50</v>
      </c>
      <c r="F6369" s="12">
        <v>40.159999999999997</v>
      </c>
      <c r="G6369" t="str">
        <f>IFERROR(INDEX(tEditais[Órgão],MATCH(tItens[[#This Row],[Edital]],tEditais[Edital],0)),"")</f>
        <v>MUNICIPIO DE VARRE-SAI</v>
      </c>
      <c r="H6369" t="str">
        <f>IFERROR(INDEX(tEditais[UF],MATCH(tItens[[#This Row],[Edital]],tEditais[Edital],0)),"")</f>
        <v>RJ</v>
      </c>
      <c r="I6369" s="11">
        <f>IFERROR(INDEX(tEditais[Encerramento],MATCH(tItens[[#This Row],[Edital]],tEditais[Edital],0)),"")</f>
        <v>46308.374305555553</v>
      </c>
      <c r="J6369" t="str">
        <f>IFERROR(INDEX(tProdutos[Classe],MATCH(tItens[[#This Row],[Produto]],tProdutos[Produto],0)),"produto não cadastrado")</f>
        <v>FILA REBASE</v>
      </c>
      <c r="K6369" s="12">
        <f>tItens[[#This Row],[Qtd]]*tItens[[#This Row],[Vlr unit]]</f>
        <v>2007.9999999999998</v>
      </c>
      <c r="L6369" s="6">
        <f>IFERROR(IF(INDEX(tProdutos[Desconto homologado],MATCH(tItens[[#This Row],[Produto]],tProdutos[Produto],0))="",DescontoPadrao,INDEX(tProdutos[Desconto homologado],MATCH(tItens[[#This Row],[Produto]],tProdutos[Produto],0))),DescontoPadrao)</f>
        <v>0.44096385542168698</v>
      </c>
      <c r="M6369" s="12">
        <f>tItens[[#This Row],[Valor]]*(1-tItens[[#This Row],[Desconto]])</f>
        <v>1122.5445783132523</v>
      </c>
      <c r="N6369" t="str">
        <f>IFERROR(INDEX(tProdutos[Foco],MATCH(tItens[[#This Row],[Produto]],tProdutos[Produto],0)),"Não")</f>
        <v>Não</v>
      </c>
      <c r="O6369" t="str">
        <f>IFERROR(INDEX(tEditais[SRP],MATCH(tItens[[#This Row],[Edital]],tEditais[Edital],0)),"Não")</f>
        <v>Sim</v>
      </c>
      <c r="P6369" s="4">
        <f>IF(COUNTIFS(INDEX(tItens[Edital],1):tItens[[#This Row],[Edital]],tItens[[#This Row],[Edital]],INDEX(tItens[Produto],1):tItens[[#This Row],[Produto]],tItens[[#This Row],[Produto]])=1,1,0)</f>
        <v>0</v>
      </c>
    </row>
    <row r="6370" spans="1:16" x14ac:dyDescent="0.25">
      <c r="A6370" t="s">
        <v>2233</v>
      </c>
      <c r="B6370">
        <v>39</v>
      </c>
      <c r="C6370" t="s">
        <v>9102</v>
      </c>
      <c r="D6370" t="s">
        <v>100</v>
      </c>
      <c r="E6370" s="13">
        <v>1</v>
      </c>
      <c r="F6370" s="12">
        <v>47.57</v>
      </c>
      <c r="G6370" t="str">
        <f>IFERROR(INDEX(tEditais[Órgão],MATCH(tItens[[#This Row],[Edital]],tEditais[Edital],0)),"")</f>
        <v>MUNICIPIO DE VARRE-SAI</v>
      </c>
      <c r="H6370" t="str">
        <f>IFERROR(INDEX(tEditais[UF],MATCH(tItens[[#This Row],[Edital]],tEditais[Edital],0)),"")</f>
        <v>RJ</v>
      </c>
      <c r="I6370" s="11">
        <f>IFERROR(INDEX(tEditais[Encerramento],MATCH(tItens[[#This Row],[Edital]],tEditais[Edital],0)),"")</f>
        <v>46308.374305555553</v>
      </c>
      <c r="J6370" t="str">
        <f>IFERROR(INDEX(tProdutos[Classe],MATCH(tItens[[#This Row],[Produto]],tProdutos[Produto],0)),"produto não cadastrado")</f>
        <v>NÚCLEO</v>
      </c>
      <c r="K6370" s="12">
        <f>tItens[[#This Row],[Qtd]]*tItens[[#This Row],[Vlr unit]]</f>
        <v>47.57</v>
      </c>
      <c r="L6370" s="6">
        <f>IFERROR(IF(INDEX(tProdutos[Desconto homologado],MATCH(tItens[[#This Row],[Produto]],tProdutos[Produto],0))="",DescontoPadrao,INDEX(tProdutos[Desconto homologado],MATCH(tItens[[#This Row],[Produto]],tProdutos[Produto],0))),DescontoPadrao)</f>
        <v>0.24</v>
      </c>
      <c r="M6370" s="12">
        <f>tItens[[#This Row],[Valor]]*(1-tItens[[#This Row],[Desconto]])</f>
        <v>36.153199999999998</v>
      </c>
      <c r="N6370" t="str">
        <f>IFERROR(INDEX(tProdutos[Foco],MATCH(tItens[[#This Row],[Produto]],tProdutos[Produto],0)),"Não")</f>
        <v>Sim</v>
      </c>
      <c r="O6370" t="str">
        <f>IFERROR(INDEX(tEditais[SRP],MATCH(tItens[[#This Row],[Edital]],tEditais[Edital],0)),"Não")</f>
        <v>Sim</v>
      </c>
      <c r="P6370" s="4">
        <f>IF(COUNTIFS(INDEX(tItens[Edital],1):tItens[[#This Row],[Edital]],tItens[[#This Row],[Edital]],INDEX(tItens[Produto],1):tItens[[#This Row],[Produto]],tItens[[#This Row],[Produto]])=1,1,0)</f>
        <v>1</v>
      </c>
    </row>
    <row r="6371" spans="1:16" x14ac:dyDescent="0.25">
      <c r="A6371" t="s">
        <v>2233</v>
      </c>
      <c r="B6371">
        <v>41</v>
      </c>
      <c r="C6371" t="s">
        <v>9103</v>
      </c>
      <c r="D6371" t="s">
        <v>90</v>
      </c>
      <c r="E6371" s="13">
        <v>50</v>
      </c>
      <c r="F6371" s="12">
        <v>17.329999999999998</v>
      </c>
      <c r="G6371" t="str">
        <f>IFERROR(INDEX(tEditais[Órgão],MATCH(tItens[[#This Row],[Edital]],tEditais[Edital],0)),"")</f>
        <v>MUNICIPIO DE VARRE-SAI</v>
      </c>
      <c r="H6371" t="str">
        <f>IFERROR(INDEX(tEditais[UF],MATCH(tItens[[#This Row],[Edital]],tEditais[Edital],0)),"")</f>
        <v>RJ</v>
      </c>
      <c r="I6371" s="11">
        <f>IFERROR(INDEX(tEditais[Encerramento],MATCH(tItens[[#This Row],[Edital]],tEditais[Edital],0)),"")</f>
        <v>46308.374305555553</v>
      </c>
      <c r="J6371" t="str">
        <f>IFERROR(INDEX(tProdutos[Classe],MATCH(tItens[[#This Row],[Produto]],tProdutos[Produto],0)),"produto não cadastrado")</f>
        <v>DISPUTADO</v>
      </c>
      <c r="K6371" s="12">
        <f>tItens[[#This Row],[Qtd]]*tItens[[#This Row],[Vlr unit]]</f>
        <v>866.49999999999989</v>
      </c>
      <c r="L6371" s="6">
        <f>IFERROR(IF(INDEX(tProdutos[Desconto homologado],MATCH(tItens[[#This Row],[Produto]],tProdutos[Produto],0))="",DescontoPadrao,INDEX(tProdutos[Desconto homologado],MATCH(tItens[[#This Row],[Produto]],tProdutos[Produto],0))),DescontoPadrao)</f>
        <v>0.25393823957010597</v>
      </c>
      <c r="M6371" s="12">
        <f>tItens[[#This Row],[Valor]]*(1-tItens[[#This Row],[Desconto]])</f>
        <v>646.46251541250308</v>
      </c>
      <c r="N6371" t="str">
        <f>IFERROR(INDEX(tProdutos[Foco],MATCH(tItens[[#This Row],[Produto]],tProdutos[Produto],0)),"Não")</f>
        <v>Não</v>
      </c>
      <c r="O6371" t="str">
        <f>IFERROR(INDEX(tEditais[SRP],MATCH(tItens[[#This Row],[Edital]],tEditais[Edital],0)),"Não")</f>
        <v>Sim</v>
      </c>
      <c r="P6371" s="4">
        <f>IF(COUNTIFS(INDEX(tItens[Edital],1):tItens[[#This Row],[Edital]],tItens[[#This Row],[Edital]],INDEX(tItens[Produto],1):tItens[[#This Row],[Produto]],tItens[[#This Row],[Produto]])=1,1,0)</f>
        <v>1</v>
      </c>
    </row>
    <row r="6372" spans="1:16" x14ac:dyDescent="0.25">
      <c r="A6372" t="s">
        <v>2233</v>
      </c>
      <c r="B6372">
        <v>48</v>
      </c>
      <c r="C6372" t="s">
        <v>9104</v>
      </c>
      <c r="D6372" t="s">
        <v>110</v>
      </c>
      <c r="E6372" s="13">
        <v>20</v>
      </c>
      <c r="F6372" s="12">
        <v>186.23</v>
      </c>
      <c r="G6372" t="str">
        <f>IFERROR(INDEX(tEditais[Órgão],MATCH(tItens[[#This Row],[Edital]],tEditais[Edital],0)),"")</f>
        <v>MUNICIPIO DE VARRE-SAI</v>
      </c>
      <c r="H6372" t="str">
        <f>IFERROR(INDEX(tEditais[UF],MATCH(tItens[[#This Row],[Edital]],tEditais[Edital],0)),"")</f>
        <v>RJ</v>
      </c>
      <c r="I6372" s="11">
        <f>IFERROR(INDEX(tEditais[Encerramento],MATCH(tItens[[#This Row],[Edital]],tEditais[Edital],0)),"")</f>
        <v>46308.374305555553</v>
      </c>
      <c r="J6372" t="str">
        <f>IFERROR(INDEX(tProdutos[Classe],MATCH(tItens[[#This Row],[Produto]],tProdutos[Produto],0)),"produto não cadastrado")</f>
        <v>NÚCLEO</v>
      </c>
      <c r="K6372" s="12">
        <f>tItens[[#This Row],[Qtd]]*tItens[[#This Row],[Vlr unit]]</f>
        <v>3724.6</v>
      </c>
      <c r="L6372" s="6">
        <f>IFERROR(IF(INDEX(tProdutos[Desconto homologado],MATCH(tItens[[#This Row],[Produto]],tProdutos[Produto],0))="",DescontoPadrao,INDEX(tProdutos[Desconto homologado],MATCH(tItens[[#This Row],[Produto]],tProdutos[Produto],0))),DescontoPadrao)</f>
        <v>0.30410958904109597</v>
      </c>
      <c r="M6372" s="12">
        <f>tItens[[#This Row],[Valor]]*(1-tItens[[#This Row],[Desconto]])</f>
        <v>2591.9134246575341</v>
      </c>
      <c r="N6372" t="str">
        <f>IFERROR(INDEX(tProdutos[Foco],MATCH(tItens[[#This Row],[Produto]],tProdutos[Produto],0)),"Não")</f>
        <v>Não</v>
      </c>
      <c r="O6372" t="str">
        <f>IFERROR(INDEX(tEditais[SRP],MATCH(tItens[[#This Row],[Edital]],tEditais[Edital],0)),"Não")</f>
        <v>Sim</v>
      </c>
      <c r="P6372" s="4">
        <f>IF(COUNTIFS(INDEX(tItens[Edital],1):tItens[[#This Row],[Edital]],tItens[[#This Row],[Edital]],INDEX(tItens[Produto],1):tItens[[#This Row],[Produto]],tItens[[#This Row],[Produto]])=1,1,0)</f>
        <v>0</v>
      </c>
    </row>
    <row r="6373" spans="1:16" x14ac:dyDescent="0.25">
      <c r="A6373" t="s">
        <v>2233</v>
      </c>
      <c r="B6373">
        <v>50</v>
      </c>
      <c r="C6373" t="s">
        <v>9105</v>
      </c>
      <c r="D6373" t="s">
        <v>461</v>
      </c>
      <c r="E6373" s="13">
        <v>50</v>
      </c>
      <c r="F6373" s="12">
        <v>48.91</v>
      </c>
      <c r="G6373" t="str">
        <f>IFERROR(INDEX(tEditais[Órgão],MATCH(tItens[[#This Row],[Edital]],tEditais[Edital],0)),"")</f>
        <v>MUNICIPIO DE VARRE-SAI</v>
      </c>
      <c r="H6373" t="str">
        <f>IFERROR(INDEX(tEditais[UF],MATCH(tItens[[#This Row],[Edital]],tEditais[Edital],0)),"")</f>
        <v>RJ</v>
      </c>
      <c r="I6373" s="11">
        <f>IFERROR(INDEX(tEditais[Encerramento],MATCH(tItens[[#This Row],[Edital]],tEditais[Edital],0)),"")</f>
        <v>46308.374305555553</v>
      </c>
      <c r="J6373" t="str">
        <f>IFERROR(INDEX(tProdutos[Classe],MATCH(tItens[[#This Row],[Produto]],tProdutos[Produto],0)),"produto não cadastrado")</f>
        <v>FILA REBASE</v>
      </c>
      <c r="K6373" s="12">
        <f>tItens[[#This Row],[Qtd]]*tItens[[#This Row],[Vlr unit]]</f>
        <v>2445.5</v>
      </c>
      <c r="L6373" s="6">
        <f>IFERROR(IF(INDEX(tProdutos[Desconto homologado],MATCH(tItens[[#This Row],[Produto]],tProdutos[Produto],0))="",DescontoPadrao,INDEX(tProdutos[Desconto homologado],MATCH(tItens[[#This Row],[Produto]],tProdutos[Produto],0))),DescontoPadrao)</f>
        <v>0.44096385542168698</v>
      </c>
      <c r="M6373" s="12">
        <f>tItens[[#This Row],[Valor]]*(1-tItens[[#This Row],[Desconto]])</f>
        <v>1367.1228915662643</v>
      </c>
      <c r="N6373" t="str">
        <f>IFERROR(INDEX(tProdutos[Foco],MATCH(tItens[[#This Row],[Produto]],tProdutos[Produto],0)),"Não")</f>
        <v>Não</v>
      </c>
      <c r="O6373" t="str">
        <f>IFERROR(INDEX(tEditais[SRP],MATCH(tItens[[#This Row],[Edital]],tEditais[Edital],0)),"Não")</f>
        <v>Sim</v>
      </c>
      <c r="P6373" s="4">
        <f>IF(COUNTIFS(INDEX(tItens[Edital],1):tItens[[#This Row],[Edital]],tItens[[#This Row],[Edital]],INDEX(tItens[Produto],1):tItens[[#This Row],[Produto]],tItens[[#This Row],[Produto]])=1,1,0)</f>
        <v>0</v>
      </c>
    </row>
    <row r="6374" spans="1:16" x14ac:dyDescent="0.25">
      <c r="A6374" t="s">
        <v>2233</v>
      </c>
      <c r="B6374">
        <v>51</v>
      </c>
      <c r="C6374" t="s">
        <v>9106</v>
      </c>
      <c r="D6374" t="s">
        <v>461</v>
      </c>
      <c r="E6374" s="13">
        <v>50</v>
      </c>
      <c r="F6374" s="12">
        <v>50.79</v>
      </c>
      <c r="G6374" t="str">
        <f>IFERROR(INDEX(tEditais[Órgão],MATCH(tItens[[#This Row],[Edital]],tEditais[Edital],0)),"")</f>
        <v>MUNICIPIO DE VARRE-SAI</v>
      </c>
      <c r="H6374" t="str">
        <f>IFERROR(INDEX(tEditais[UF],MATCH(tItens[[#This Row],[Edital]],tEditais[Edital],0)),"")</f>
        <v>RJ</v>
      </c>
      <c r="I6374" s="11">
        <f>IFERROR(INDEX(tEditais[Encerramento],MATCH(tItens[[#This Row],[Edital]],tEditais[Edital],0)),"")</f>
        <v>46308.374305555553</v>
      </c>
      <c r="J6374" t="str">
        <f>IFERROR(INDEX(tProdutos[Classe],MATCH(tItens[[#This Row],[Produto]],tProdutos[Produto],0)),"produto não cadastrado")</f>
        <v>FILA REBASE</v>
      </c>
      <c r="K6374" s="12">
        <f>tItens[[#This Row],[Qtd]]*tItens[[#This Row],[Vlr unit]]</f>
        <v>2539.5</v>
      </c>
      <c r="L6374" s="6">
        <f>IFERROR(IF(INDEX(tProdutos[Desconto homologado],MATCH(tItens[[#This Row],[Produto]],tProdutos[Produto],0))="",DescontoPadrao,INDEX(tProdutos[Desconto homologado],MATCH(tItens[[#This Row],[Produto]],tProdutos[Produto],0))),DescontoPadrao)</f>
        <v>0.44096385542168698</v>
      </c>
      <c r="M6374" s="12">
        <f>tItens[[#This Row],[Valor]]*(1-tItens[[#This Row],[Desconto]])</f>
        <v>1419.6722891566258</v>
      </c>
      <c r="N6374" t="str">
        <f>IFERROR(INDEX(tProdutos[Foco],MATCH(tItens[[#This Row],[Produto]],tProdutos[Produto],0)),"Não")</f>
        <v>Não</v>
      </c>
      <c r="O6374" t="str">
        <f>IFERROR(INDEX(tEditais[SRP],MATCH(tItens[[#This Row],[Edital]],tEditais[Edital],0)),"Não")</f>
        <v>Sim</v>
      </c>
      <c r="P6374" s="4">
        <f>IF(COUNTIFS(INDEX(tItens[Edital],1):tItens[[#This Row],[Edital]],tItens[[#This Row],[Edital]],INDEX(tItens[Produto],1):tItens[[#This Row],[Produto]],tItens[[#This Row],[Produto]])=1,1,0)</f>
        <v>0</v>
      </c>
    </row>
    <row r="6375" spans="1:16" x14ac:dyDescent="0.25">
      <c r="A6375" t="s">
        <v>2233</v>
      </c>
      <c r="B6375">
        <v>53</v>
      </c>
      <c r="C6375" t="s">
        <v>9107</v>
      </c>
      <c r="D6375" t="s">
        <v>327</v>
      </c>
      <c r="E6375" s="13">
        <v>4</v>
      </c>
      <c r="F6375" s="12">
        <v>26.77</v>
      </c>
      <c r="G6375" t="str">
        <f>IFERROR(INDEX(tEditais[Órgão],MATCH(tItens[[#This Row],[Edital]],tEditais[Edital],0)),"")</f>
        <v>MUNICIPIO DE VARRE-SAI</v>
      </c>
      <c r="H6375" t="str">
        <f>IFERROR(INDEX(tEditais[UF],MATCH(tItens[[#This Row],[Edital]],tEditais[Edital],0)),"")</f>
        <v>RJ</v>
      </c>
      <c r="I6375" s="11">
        <f>IFERROR(INDEX(tEditais[Encerramento],MATCH(tItens[[#This Row],[Edital]],tEditais[Edital],0)),"")</f>
        <v>46308.374305555553</v>
      </c>
      <c r="J6375" t="str">
        <f>IFERROR(INDEX(tProdutos[Classe],MATCH(tItens[[#This Row],[Produto]],tProdutos[Produto],0)),"produto não cadastrado")</f>
        <v>FORA</v>
      </c>
      <c r="K6375" s="12">
        <f>tItens[[#This Row],[Qtd]]*tItens[[#This Row],[Vlr unit]]</f>
        <v>107.08</v>
      </c>
      <c r="L6375" s="6">
        <f>IFERROR(IF(INDEX(tProdutos[Desconto homologado],MATCH(tItens[[#This Row],[Produto]],tProdutos[Produto],0))="",DescontoPadrao,INDEX(tProdutos[Desconto homologado],MATCH(tItens[[#This Row],[Produto]],tProdutos[Produto],0))),DescontoPadrao)</f>
        <v>0.49969483918783197</v>
      </c>
      <c r="M6375" s="12">
        <f>tItens[[#This Row],[Valor]]*(1-tItens[[#This Row],[Desconto]])</f>
        <v>53.572676619766952</v>
      </c>
      <c r="N6375" t="str">
        <f>IFERROR(INDEX(tProdutos[Foco],MATCH(tItens[[#This Row],[Produto]],tProdutos[Produto],0)),"Não")</f>
        <v>Não</v>
      </c>
      <c r="O6375" t="str">
        <f>IFERROR(INDEX(tEditais[SRP],MATCH(tItens[[#This Row],[Edital]],tEditais[Edital],0)),"Não")</f>
        <v>Sim</v>
      </c>
      <c r="P6375" s="4">
        <f>IF(COUNTIFS(INDEX(tItens[Edital],1):tItens[[#This Row],[Edital]],tItens[[#This Row],[Edital]],INDEX(tItens[Produto],1):tItens[[#This Row],[Produto]],tItens[[#This Row],[Produto]])=1,1,0)</f>
        <v>1</v>
      </c>
    </row>
    <row r="6376" spans="1:16" x14ac:dyDescent="0.25">
      <c r="A6376" t="s">
        <v>2233</v>
      </c>
      <c r="B6376">
        <v>63</v>
      </c>
      <c r="C6376" t="s">
        <v>9108</v>
      </c>
      <c r="D6376" t="s">
        <v>461</v>
      </c>
      <c r="E6376" s="13">
        <v>50</v>
      </c>
      <c r="F6376" s="12">
        <v>58.25</v>
      </c>
      <c r="G6376" t="str">
        <f>IFERROR(INDEX(tEditais[Órgão],MATCH(tItens[[#This Row],[Edital]],tEditais[Edital],0)),"")</f>
        <v>MUNICIPIO DE VARRE-SAI</v>
      </c>
      <c r="H6376" t="str">
        <f>IFERROR(INDEX(tEditais[UF],MATCH(tItens[[#This Row],[Edital]],tEditais[Edital],0)),"")</f>
        <v>RJ</v>
      </c>
      <c r="I6376" s="11">
        <f>IFERROR(INDEX(tEditais[Encerramento],MATCH(tItens[[#This Row],[Edital]],tEditais[Edital],0)),"")</f>
        <v>46308.374305555553</v>
      </c>
      <c r="J6376" t="str">
        <f>IFERROR(INDEX(tProdutos[Classe],MATCH(tItens[[#This Row],[Produto]],tProdutos[Produto],0)),"produto não cadastrado")</f>
        <v>FILA REBASE</v>
      </c>
      <c r="K6376" s="12">
        <f>tItens[[#This Row],[Qtd]]*tItens[[#This Row],[Vlr unit]]</f>
        <v>2912.5</v>
      </c>
      <c r="L6376" s="6">
        <f>IFERROR(IF(INDEX(tProdutos[Desconto homologado],MATCH(tItens[[#This Row],[Produto]],tProdutos[Produto],0))="",DescontoPadrao,INDEX(tProdutos[Desconto homologado],MATCH(tItens[[#This Row],[Produto]],tProdutos[Produto],0))),DescontoPadrao)</f>
        <v>0.44096385542168698</v>
      </c>
      <c r="M6376" s="12">
        <f>tItens[[#This Row],[Valor]]*(1-tItens[[#This Row],[Desconto]])</f>
        <v>1628.1927710843365</v>
      </c>
      <c r="N6376" t="str">
        <f>IFERROR(INDEX(tProdutos[Foco],MATCH(tItens[[#This Row],[Produto]],tProdutos[Produto],0)),"Não")</f>
        <v>Não</v>
      </c>
      <c r="O6376" t="str">
        <f>IFERROR(INDEX(tEditais[SRP],MATCH(tItens[[#This Row],[Edital]],tEditais[Edital],0)),"Não")</f>
        <v>Sim</v>
      </c>
      <c r="P6376" s="4">
        <f>IF(COUNTIFS(INDEX(tItens[Edital],1):tItens[[#This Row],[Edital]],tItens[[#This Row],[Edital]],INDEX(tItens[Produto],1):tItens[[#This Row],[Produto]],tItens[[#This Row],[Produto]])=1,1,0)</f>
        <v>0</v>
      </c>
    </row>
    <row r="6377" spans="1:16" x14ac:dyDescent="0.25">
      <c r="A6377" t="s">
        <v>2233</v>
      </c>
      <c r="B6377">
        <v>66</v>
      </c>
      <c r="C6377" t="s">
        <v>9109</v>
      </c>
      <c r="D6377" t="s">
        <v>421</v>
      </c>
      <c r="E6377" s="13">
        <v>10</v>
      </c>
      <c r="F6377" s="12">
        <v>33.799999999999997</v>
      </c>
      <c r="G6377" t="str">
        <f>IFERROR(INDEX(tEditais[Órgão],MATCH(tItens[[#This Row],[Edital]],tEditais[Edital],0)),"")</f>
        <v>MUNICIPIO DE VARRE-SAI</v>
      </c>
      <c r="H6377" t="str">
        <f>IFERROR(INDEX(tEditais[UF],MATCH(tItens[[#This Row],[Edital]],tEditais[Edital],0)),"")</f>
        <v>RJ</v>
      </c>
      <c r="I6377" s="11">
        <f>IFERROR(INDEX(tEditais[Encerramento],MATCH(tItens[[#This Row],[Edital]],tEditais[Edital],0)),"")</f>
        <v>46308.374305555553</v>
      </c>
      <c r="J6377" t="str">
        <f>IFERROR(INDEX(tProdutos[Classe],MATCH(tItens[[#This Row],[Produto]],tProdutos[Produto],0)),"produto não cadastrado")</f>
        <v>FORA</v>
      </c>
      <c r="K6377" s="12">
        <f>tItens[[#This Row],[Qtd]]*tItens[[#This Row],[Vlr unit]]</f>
        <v>338</v>
      </c>
      <c r="L6377" s="6">
        <f>IFERROR(IF(INDEX(tProdutos[Desconto homologado],MATCH(tItens[[#This Row],[Produto]],tProdutos[Produto],0))="",DescontoPadrao,INDEX(tProdutos[Desconto homologado],MATCH(tItens[[#This Row],[Produto]],tProdutos[Produto],0))),DescontoPadrao)</f>
        <v>0.43</v>
      </c>
      <c r="M6377" s="12">
        <f>tItens[[#This Row],[Valor]]*(1-tItens[[#This Row],[Desconto]])</f>
        <v>192.66000000000003</v>
      </c>
      <c r="N6377" t="str">
        <f>IFERROR(INDEX(tProdutos[Foco],MATCH(tItens[[#This Row],[Produto]],tProdutos[Produto],0)),"Não")</f>
        <v>Sim</v>
      </c>
      <c r="O6377" t="str">
        <f>IFERROR(INDEX(tEditais[SRP],MATCH(tItens[[#This Row],[Edital]],tEditais[Edital],0)),"Não")</f>
        <v>Sim</v>
      </c>
      <c r="P6377" s="4">
        <f>IF(COUNTIFS(INDEX(tItens[Edital],1):tItens[[#This Row],[Edital]],tItens[[#This Row],[Edital]],INDEX(tItens[Produto],1):tItens[[#This Row],[Produto]],tItens[[#This Row],[Produto]])=1,1,0)</f>
        <v>1</v>
      </c>
    </row>
    <row r="6378" spans="1:16" x14ac:dyDescent="0.25">
      <c r="A6378" t="s">
        <v>2233</v>
      </c>
      <c r="B6378">
        <v>82</v>
      </c>
      <c r="C6378" t="s">
        <v>9110</v>
      </c>
      <c r="D6378" t="s">
        <v>56</v>
      </c>
      <c r="E6378" s="13">
        <v>5</v>
      </c>
      <c r="F6378" s="12">
        <v>50.23</v>
      </c>
      <c r="G6378" t="str">
        <f>IFERROR(INDEX(tEditais[Órgão],MATCH(tItens[[#This Row],[Edital]],tEditais[Edital],0)),"")</f>
        <v>MUNICIPIO DE VARRE-SAI</v>
      </c>
      <c r="H6378" t="str">
        <f>IFERROR(INDEX(tEditais[UF],MATCH(tItens[[#This Row],[Edital]],tEditais[Edital],0)),"")</f>
        <v>RJ</v>
      </c>
      <c r="I6378" s="11">
        <f>IFERROR(INDEX(tEditais[Encerramento],MATCH(tItens[[#This Row],[Edital]],tEditais[Edital],0)),"")</f>
        <v>46308.374305555553</v>
      </c>
      <c r="J6378" t="str">
        <f>IFERROR(INDEX(tProdutos[Classe],MATCH(tItens[[#This Row],[Produto]],tProdutos[Produto],0)),"produto não cadastrado")</f>
        <v>NÚCLEO</v>
      </c>
      <c r="K6378" s="12">
        <f>tItens[[#This Row],[Qtd]]*tItens[[#This Row],[Vlr unit]]</f>
        <v>251.14999999999998</v>
      </c>
      <c r="L6378" s="6">
        <f>IFERROR(IF(INDEX(tProdutos[Desconto homologado],MATCH(tItens[[#This Row],[Produto]],tProdutos[Produto],0))="",DescontoPadrao,INDEX(tProdutos[Desconto homologado],MATCH(tItens[[#This Row],[Produto]],tProdutos[Produto],0))),DescontoPadrao)</f>
        <v>0.34</v>
      </c>
      <c r="M6378" s="12">
        <f>tItens[[#This Row],[Valor]]*(1-tItens[[#This Row],[Desconto]])</f>
        <v>165.75899999999996</v>
      </c>
      <c r="N6378" t="str">
        <f>IFERROR(INDEX(tProdutos[Foco],MATCH(tItens[[#This Row],[Produto]],tProdutos[Produto],0)),"Não")</f>
        <v>Sim</v>
      </c>
      <c r="O6378" t="str">
        <f>IFERROR(INDEX(tEditais[SRP],MATCH(tItens[[#This Row],[Edital]],tEditais[Edital],0)),"Não")</f>
        <v>Sim</v>
      </c>
      <c r="P6378" s="4">
        <f>IF(COUNTIFS(INDEX(tItens[Edital],1):tItens[[#This Row],[Edital]],tItens[[#This Row],[Edital]],INDEX(tItens[Produto],1):tItens[[#This Row],[Produto]],tItens[[#This Row],[Produto]])=1,1,0)</f>
        <v>1</v>
      </c>
    </row>
    <row r="6379" spans="1:16" x14ac:dyDescent="0.25">
      <c r="A6379" t="s">
        <v>2238</v>
      </c>
      <c r="B6379">
        <v>1</v>
      </c>
      <c r="C6379" t="s">
        <v>4022</v>
      </c>
      <c r="D6379" t="s">
        <v>98</v>
      </c>
      <c r="E6379" s="13">
        <v>20</v>
      </c>
      <c r="F6379" s="12">
        <v>2.15</v>
      </c>
      <c r="G6379" t="str">
        <f>IFERROR(INDEX(tEditais[Órgão],MATCH(tItens[[#This Row],[Edital]],tEditais[Edital],0)),"")</f>
        <v>MINISTERIO DA SAUDE</v>
      </c>
      <c r="H6379" t="str">
        <f>IFERROR(INDEX(tEditais[UF],MATCH(tItens[[#This Row],[Edital]],tEditais[Edital],0)),"")</f>
        <v>RJ</v>
      </c>
      <c r="I6379" s="11">
        <f>IFERROR(INDEX(tEditais[Encerramento],MATCH(tItens[[#This Row],[Edital]],tEditais[Edital],0)),"")</f>
        <v>46308.374305555553</v>
      </c>
      <c r="J6379" t="str">
        <f>IFERROR(INDEX(tProdutos[Classe],MATCH(tItens[[#This Row],[Produto]],tProdutos[Produto],0)),"produto não cadastrado")</f>
        <v>NÚCLEO</v>
      </c>
      <c r="K6379" s="12">
        <f>tItens[[#This Row],[Qtd]]*tItens[[#This Row],[Vlr unit]]</f>
        <v>43</v>
      </c>
      <c r="L6379" s="6">
        <f>IFERROR(IF(INDEX(tProdutos[Desconto homologado],MATCH(tItens[[#This Row],[Produto]],tProdutos[Produto],0))="",DescontoPadrao,INDEX(tProdutos[Desconto homologado],MATCH(tItens[[#This Row],[Produto]],tProdutos[Produto],0))),DescontoPadrao)</f>
        <v>0.39</v>
      </c>
      <c r="M6379" s="12">
        <f>tItens[[#This Row],[Valor]]*(1-tItens[[#This Row],[Desconto]])</f>
        <v>26.23</v>
      </c>
      <c r="N6379" t="str">
        <f>IFERROR(INDEX(tProdutos[Foco],MATCH(tItens[[#This Row],[Produto]],tProdutos[Produto],0)),"Não")</f>
        <v>Sim</v>
      </c>
      <c r="O6379" t="str">
        <f>IFERROR(INDEX(tEditais[SRP],MATCH(tItens[[#This Row],[Edital]],tEditais[Edital],0)),"Não")</f>
        <v>Não</v>
      </c>
      <c r="P6379" s="4">
        <f>IF(COUNTIFS(INDEX(tItens[Edital],1):tItens[[#This Row],[Edital]],tItens[[#This Row],[Edital]],INDEX(tItens[Produto],1):tItens[[#This Row],[Produto]],tItens[[#This Row],[Produto]])=1,1,0)</f>
        <v>1</v>
      </c>
    </row>
    <row r="6380" spans="1:16" x14ac:dyDescent="0.25">
      <c r="A6380" t="s">
        <v>2238</v>
      </c>
      <c r="B6380">
        <v>5</v>
      </c>
      <c r="C6380" t="s">
        <v>9080</v>
      </c>
      <c r="D6380" t="s">
        <v>106</v>
      </c>
      <c r="E6380" s="13">
        <v>10</v>
      </c>
      <c r="F6380" s="12">
        <v>19.95</v>
      </c>
      <c r="G6380" t="str">
        <f>IFERROR(INDEX(tEditais[Órgão],MATCH(tItens[[#This Row],[Edital]],tEditais[Edital],0)),"")</f>
        <v>MINISTERIO DA SAUDE</v>
      </c>
      <c r="H6380" t="str">
        <f>IFERROR(INDEX(tEditais[UF],MATCH(tItens[[#This Row],[Edital]],tEditais[Edital],0)),"")</f>
        <v>RJ</v>
      </c>
      <c r="I6380" s="11">
        <f>IFERROR(INDEX(tEditais[Encerramento],MATCH(tItens[[#This Row],[Edital]],tEditais[Edital],0)),"")</f>
        <v>46308.374305555553</v>
      </c>
      <c r="J6380" t="str">
        <f>IFERROR(INDEX(tProdutos[Classe],MATCH(tItens[[#This Row],[Produto]],tProdutos[Produto],0)),"produto não cadastrado")</f>
        <v>DISPUTADO</v>
      </c>
      <c r="K6380" s="12">
        <f>tItens[[#This Row],[Qtd]]*tItens[[#This Row],[Vlr unit]]</f>
        <v>199.5</v>
      </c>
      <c r="L6380" s="6">
        <f>IFERROR(IF(INDEX(tProdutos[Desconto homologado],MATCH(tItens[[#This Row],[Produto]],tProdutos[Produto],0))="",DescontoPadrao,INDEX(tProdutos[Desconto homologado],MATCH(tItens[[#This Row],[Produto]],tProdutos[Produto],0))),DescontoPadrao)</f>
        <v>0.24377518966589001</v>
      </c>
      <c r="M6380" s="12">
        <f>tItens[[#This Row],[Valor]]*(1-tItens[[#This Row],[Desconto]])</f>
        <v>150.86684966165495</v>
      </c>
      <c r="N6380" t="str">
        <f>IFERROR(INDEX(tProdutos[Foco],MATCH(tItens[[#This Row],[Produto]],tProdutos[Produto],0)),"Não")</f>
        <v>Não</v>
      </c>
      <c r="O6380" t="str">
        <f>IFERROR(INDEX(tEditais[SRP],MATCH(tItens[[#This Row],[Edital]],tEditais[Edital],0)),"Não")</f>
        <v>Não</v>
      </c>
      <c r="P6380" s="4">
        <f>IF(COUNTIFS(INDEX(tItens[Edital],1):tItens[[#This Row],[Edital]],tItens[[#This Row],[Edital]],INDEX(tItens[Produto],1):tItens[[#This Row],[Produto]],tItens[[#This Row],[Produto]])=1,1,0)</f>
        <v>1</v>
      </c>
    </row>
    <row r="6381" spans="1:16" x14ac:dyDescent="0.25">
      <c r="A6381" t="s">
        <v>2241</v>
      </c>
      <c r="B6381">
        <v>6</v>
      </c>
      <c r="C6381" t="s">
        <v>9111</v>
      </c>
      <c r="D6381" t="s">
        <v>140</v>
      </c>
      <c r="E6381" s="13">
        <v>501</v>
      </c>
      <c r="F6381" s="12">
        <v>0</v>
      </c>
      <c r="G6381" t="str">
        <f>IFERROR(INDEX(tEditais[Órgão],MATCH(tItens[[#This Row],[Edital]],tEditais[Edital],0)),"")</f>
        <v>FUNDO MUNICIPAL DE SAUDE</v>
      </c>
      <c r="H6381" t="str">
        <f>IFERROR(INDEX(tEditais[UF],MATCH(tItens[[#This Row],[Edital]],tEditais[Edital],0)),"")</f>
        <v>RJ</v>
      </c>
      <c r="I6381" s="11">
        <f>IFERROR(INDEX(tEditais[Encerramento],MATCH(tItens[[#This Row],[Edital]],tEditais[Edital],0)),"")</f>
        <v>46308.375</v>
      </c>
      <c r="J6381" t="str">
        <f>IFERROR(INDEX(tProdutos[Classe],MATCH(tItens[[#This Row],[Produto]],tProdutos[Produto],0)),"produto não cadastrado")</f>
        <v>DISPUTADO</v>
      </c>
      <c r="K6381" s="12">
        <f>tItens[[#This Row],[Qtd]]*tItens[[#This Row],[Vlr unit]]</f>
        <v>0</v>
      </c>
      <c r="L6381" s="6">
        <f>IFERROR(IF(INDEX(tProdutos[Desconto homologado],MATCH(tItens[[#This Row],[Produto]],tProdutos[Produto],0))="",DescontoPadrao,INDEX(tProdutos[Desconto homologado],MATCH(tItens[[#This Row],[Produto]],tProdutos[Produto],0))),DescontoPadrao)</f>
        <v>0.48560177208958899</v>
      </c>
      <c r="M6381" s="12">
        <f>tItens[[#This Row],[Valor]]*(1-tItens[[#This Row],[Desconto]])</f>
        <v>0</v>
      </c>
      <c r="N6381" t="str">
        <f>IFERROR(INDEX(tProdutos[Foco],MATCH(tItens[[#This Row],[Produto]],tProdutos[Produto],0)),"Não")</f>
        <v>Não</v>
      </c>
      <c r="O6381" t="str">
        <f>IFERROR(INDEX(tEditais[SRP],MATCH(tItens[[#This Row],[Edital]],tEditais[Edital],0)),"Não")</f>
        <v>Não</v>
      </c>
      <c r="P6381" s="4">
        <f>IF(COUNTIFS(INDEX(tItens[Edital],1):tItens[[#This Row],[Edital]],tItens[[#This Row],[Edital]],INDEX(tItens[Produto],1):tItens[[#This Row],[Produto]],tItens[[#This Row],[Produto]])=1,1,0)</f>
        <v>1</v>
      </c>
    </row>
    <row r="6382" spans="1:16" x14ac:dyDescent="0.25">
      <c r="A6382" t="s">
        <v>2241</v>
      </c>
      <c r="B6382">
        <v>13</v>
      </c>
      <c r="C6382" t="s">
        <v>9112</v>
      </c>
      <c r="D6382" t="s">
        <v>140</v>
      </c>
      <c r="E6382" s="13">
        <v>500</v>
      </c>
      <c r="F6382" s="12">
        <v>0</v>
      </c>
      <c r="G6382" t="str">
        <f>IFERROR(INDEX(tEditais[Órgão],MATCH(tItens[[#This Row],[Edital]],tEditais[Edital],0)),"")</f>
        <v>FUNDO MUNICIPAL DE SAUDE</v>
      </c>
      <c r="H6382" t="str">
        <f>IFERROR(INDEX(tEditais[UF],MATCH(tItens[[#This Row],[Edital]],tEditais[Edital],0)),"")</f>
        <v>RJ</v>
      </c>
      <c r="I6382" s="11">
        <f>IFERROR(INDEX(tEditais[Encerramento],MATCH(tItens[[#This Row],[Edital]],tEditais[Edital],0)),"")</f>
        <v>46308.375</v>
      </c>
      <c r="J6382" t="str">
        <f>IFERROR(INDEX(tProdutos[Classe],MATCH(tItens[[#This Row],[Produto]],tProdutos[Produto],0)),"produto não cadastrado")</f>
        <v>DISPUTADO</v>
      </c>
      <c r="K6382" s="12">
        <f>tItens[[#This Row],[Qtd]]*tItens[[#This Row],[Vlr unit]]</f>
        <v>0</v>
      </c>
      <c r="L6382" s="6">
        <f>IFERROR(IF(INDEX(tProdutos[Desconto homologado],MATCH(tItens[[#This Row],[Produto]],tProdutos[Produto],0))="",DescontoPadrao,INDEX(tProdutos[Desconto homologado],MATCH(tItens[[#This Row],[Produto]],tProdutos[Produto],0))),DescontoPadrao)</f>
        <v>0.48560177208958899</v>
      </c>
      <c r="M6382" s="12">
        <f>tItens[[#This Row],[Valor]]*(1-tItens[[#This Row],[Desconto]])</f>
        <v>0</v>
      </c>
      <c r="N6382" t="str">
        <f>IFERROR(INDEX(tProdutos[Foco],MATCH(tItens[[#This Row],[Produto]],tProdutos[Produto],0)),"Não")</f>
        <v>Não</v>
      </c>
      <c r="O6382" t="str">
        <f>IFERROR(INDEX(tEditais[SRP],MATCH(tItens[[#This Row],[Edital]],tEditais[Edital],0)),"Não")</f>
        <v>Não</v>
      </c>
      <c r="P6382" s="4">
        <f>IF(COUNTIFS(INDEX(tItens[Edital],1):tItens[[#This Row],[Edital]],tItens[[#This Row],[Edital]],INDEX(tItens[Produto],1):tItens[[#This Row],[Produto]],tItens[[#This Row],[Produto]])=1,1,0)</f>
        <v>0</v>
      </c>
    </row>
    <row r="6383" spans="1:16" x14ac:dyDescent="0.25">
      <c r="A6383" t="s">
        <v>2241</v>
      </c>
      <c r="B6383">
        <v>17</v>
      </c>
      <c r="C6383" t="s">
        <v>9113</v>
      </c>
      <c r="D6383" t="s">
        <v>144</v>
      </c>
      <c r="E6383" s="13">
        <v>300</v>
      </c>
      <c r="F6383" s="12">
        <v>0</v>
      </c>
      <c r="G6383" t="str">
        <f>IFERROR(INDEX(tEditais[Órgão],MATCH(tItens[[#This Row],[Edital]],tEditais[Edital],0)),"")</f>
        <v>FUNDO MUNICIPAL DE SAUDE</v>
      </c>
      <c r="H6383" t="str">
        <f>IFERROR(INDEX(tEditais[UF],MATCH(tItens[[#This Row],[Edital]],tEditais[Edital],0)),"")</f>
        <v>RJ</v>
      </c>
      <c r="I6383" s="11">
        <f>IFERROR(INDEX(tEditais[Encerramento],MATCH(tItens[[#This Row],[Edital]],tEditais[Edital],0)),"")</f>
        <v>46308.375</v>
      </c>
      <c r="J6383" t="str">
        <f>IFERROR(INDEX(tProdutos[Classe],MATCH(tItens[[#This Row],[Produto]],tProdutos[Produto],0)),"produto não cadastrado")</f>
        <v>DISPUTADO</v>
      </c>
      <c r="K6383" s="12">
        <f>tItens[[#This Row],[Qtd]]*tItens[[#This Row],[Vlr unit]]</f>
        <v>0</v>
      </c>
      <c r="L6383" s="6">
        <f>IFERROR(IF(INDEX(tProdutos[Desconto homologado],MATCH(tItens[[#This Row],[Produto]],tProdutos[Produto],0))="",DescontoPadrao,INDEX(tProdutos[Desconto homologado],MATCH(tItens[[#This Row],[Produto]],tProdutos[Produto],0))),DescontoPadrao)</f>
        <v>0.371428571428571</v>
      </c>
      <c r="M6383" s="12">
        <f>tItens[[#This Row],[Valor]]*(1-tItens[[#This Row],[Desconto]])</f>
        <v>0</v>
      </c>
      <c r="N6383" t="str">
        <f>IFERROR(INDEX(tProdutos[Foco],MATCH(tItens[[#This Row],[Produto]],tProdutos[Produto],0)),"Não")</f>
        <v>Não</v>
      </c>
      <c r="O6383" t="str">
        <f>IFERROR(INDEX(tEditais[SRP],MATCH(tItens[[#This Row],[Edital]],tEditais[Edital],0)),"Não")</f>
        <v>Não</v>
      </c>
      <c r="P6383" s="4">
        <f>IF(COUNTIFS(INDEX(tItens[Edital],1):tItens[[#This Row],[Edital]],tItens[[#This Row],[Edital]],INDEX(tItens[Produto],1):tItens[[#This Row],[Produto]],tItens[[#This Row],[Produto]])=1,1,0)</f>
        <v>1</v>
      </c>
    </row>
    <row r="6384" spans="1:16" x14ac:dyDescent="0.25">
      <c r="A6384" t="s">
        <v>2245</v>
      </c>
      <c r="B6384">
        <v>26</v>
      </c>
      <c r="C6384" t="s">
        <v>9114</v>
      </c>
      <c r="D6384" t="s">
        <v>227</v>
      </c>
      <c r="E6384" s="13">
        <v>120</v>
      </c>
      <c r="F6384" s="12">
        <v>5200</v>
      </c>
      <c r="G6384" t="str">
        <f>IFERROR(INDEX(tEditais[Órgão],MATCH(tItens[[#This Row],[Edital]],tEditais[Edital],0)),"")</f>
        <v>MUNICIPIO DE DUQUE DE CAXIAS</v>
      </c>
      <c r="H6384" t="str">
        <f>IFERROR(INDEX(tEditais[UF],MATCH(tItens[[#This Row],[Edital]],tEditais[Edital],0)),"")</f>
        <v>RJ</v>
      </c>
      <c r="I6384" s="11">
        <f>IFERROR(INDEX(tEditais[Encerramento],MATCH(tItens[[#This Row],[Edital]],tEditais[Edital],0)),"")</f>
        <v>46308.375</v>
      </c>
      <c r="J6384" t="str">
        <f>IFERROR(INDEX(tProdutos[Classe],MATCH(tItens[[#This Row],[Produto]],tProdutos[Produto],0)),"produto não cadastrado")</f>
        <v>FORA</v>
      </c>
      <c r="K6384" s="12">
        <f>tItens[[#This Row],[Qtd]]*tItens[[#This Row],[Vlr unit]]</f>
        <v>624000</v>
      </c>
      <c r="L6384" s="6">
        <f>IFERROR(IF(INDEX(tProdutos[Desconto homologado],MATCH(tItens[[#This Row],[Produto]],tProdutos[Produto],0))="",DescontoPadrao,INDEX(tProdutos[Desconto homologado],MATCH(tItens[[#This Row],[Produto]],tProdutos[Produto],0))),DescontoPadrao)</f>
        <v>0.38</v>
      </c>
      <c r="M6384" s="12">
        <f>tItens[[#This Row],[Valor]]*(1-tItens[[#This Row],[Desconto]])</f>
        <v>386880</v>
      </c>
      <c r="N6384" t="str">
        <f>IFERROR(INDEX(tProdutos[Foco],MATCH(tItens[[#This Row],[Produto]],tProdutos[Produto],0)),"Não")</f>
        <v>Não</v>
      </c>
      <c r="O6384" t="str">
        <f>IFERROR(INDEX(tEditais[SRP],MATCH(tItens[[#This Row],[Edital]],tEditais[Edital],0)),"Não")</f>
        <v>Sim</v>
      </c>
      <c r="P6384" s="4">
        <f>IF(COUNTIFS(INDEX(tItens[Edital],1):tItens[[#This Row],[Edital]],tItens[[#This Row],[Edital]],INDEX(tItens[Produto],1):tItens[[#This Row],[Produto]],tItens[[#This Row],[Produto]])=1,1,0)</f>
        <v>1</v>
      </c>
    </row>
    <row r="6385" spans="1:16" x14ac:dyDescent="0.25">
      <c r="A6385" t="s">
        <v>2245</v>
      </c>
      <c r="B6385">
        <v>28</v>
      </c>
      <c r="C6385" t="s">
        <v>9115</v>
      </c>
      <c r="D6385" t="s">
        <v>485</v>
      </c>
      <c r="E6385" s="13">
        <v>240</v>
      </c>
      <c r="F6385" s="12">
        <v>40</v>
      </c>
      <c r="G6385" t="str">
        <f>IFERROR(INDEX(tEditais[Órgão],MATCH(tItens[[#This Row],[Edital]],tEditais[Edital],0)),"")</f>
        <v>MUNICIPIO DE DUQUE DE CAXIAS</v>
      </c>
      <c r="H6385" t="str">
        <f>IFERROR(INDEX(tEditais[UF],MATCH(tItens[[#This Row],[Edital]],tEditais[Edital],0)),"")</f>
        <v>RJ</v>
      </c>
      <c r="I6385" s="11">
        <f>IFERROR(INDEX(tEditais[Encerramento],MATCH(tItens[[#This Row],[Edital]],tEditais[Edital],0)),"")</f>
        <v>46308.375</v>
      </c>
      <c r="J6385" t="str">
        <f>IFERROR(INDEX(tProdutos[Classe],MATCH(tItens[[#This Row],[Produto]],tProdutos[Produto],0)),"produto não cadastrado")</f>
        <v>FILA REBASE</v>
      </c>
      <c r="K6385" s="12">
        <f>tItens[[#This Row],[Qtd]]*tItens[[#This Row],[Vlr unit]]</f>
        <v>9600</v>
      </c>
      <c r="L6385" s="6">
        <f>IFERROR(IF(INDEX(tProdutos[Desconto homologado],MATCH(tItens[[#This Row],[Produto]],tProdutos[Produto],0))="",DescontoPadrao,INDEX(tProdutos[Desconto homologado],MATCH(tItens[[#This Row],[Produto]],tProdutos[Produto],0))),DescontoPadrao)</f>
        <v>0.371991013159302</v>
      </c>
      <c r="M6385" s="12">
        <f>tItens[[#This Row],[Valor]]*(1-tItens[[#This Row],[Desconto]])</f>
        <v>6028.8862736707006</v>
      </c>
      <c r="N6385" t="str">
        <f>IFERROR(INDEX(tProdutos[Foco],MATCH(tItens[[#This Row],[Produto]],tProdutos[Produto],0)),"Não")</f>
        <v>Não</v>
      </c>
      <c r="O6385" t="str">
        <f>IFERROR(INDEX(tEditais[SRP],MATCH(tItens[[#This Row],[Edital]],tEditais[Edital],0)),"Não")</f>
        <v>Sim</v>
      </c>
      <c r="P6385" s="4">
        <f>IF(COUNTIFS(INDEX(tItens[Edital],1):tItens[[#This Row],[Edital]],tItens[[#This Row],[Edital]],INDEX(tItens[Produto],1):tItens[[#This Row],[Produto]],tItens[[#This Row],[Produto]])=1,1,0)</f>
        <v>1</v>
      </c>
    </row>
    <row r="6386" spans="1:16" x14ac:dyDescent="0.25">
      <c r="A6386" t="s">
        <v>2245</v>
      </c>
      <c r="B6386">
        <v>30</v>
      </c>
      <c r="C6386" t="s">
        <v>9116</v>
      </c>
      <c r="D6386" t="s">
        <v>315</v>
      </c>
      <c r="E6386" s="13">
        <v>60</v>
      </c>
      <c r="F6386" s="12">
        <v>2397</v>
      </c>
      <c r="G6386" t="str">
        <f>IFERROR(INDEX(tEditais[Órgão],MATCH(tItens[[#This Row],[Edital]],tEditais[Edital],0)),"")</f>
        <v>MUNICIPIO DE DUQUE DE CAXIAS</v>
      </c>
      <c r="H6386" t="str">
        <f>IFERROR(INDEX(tEditais[UF],MATCH(tItens[[#This Row],[Edital]],tEditais[Edital],0)),"")</f>
        <v>RJ</v>
      </c>
      <c r="I6386" s="11">
        <f>IFERROR(INDEX(tEditais[Encerramento],MATCH(tItens[[#This Row],[Edital]],tEditais[Edital],0)),"")</f>
        <v>46308.375</v>
      </c>
      <c r="J6386" t="str">
        <f>IFERROR(INDEX(tProdutos[Classe],MATCH(tItens[[#This Row],[Produto]],tProdutos[Produto],0)),"produto não cadastrado")</f>
        <v>FORA</v>
      </c>
      <c r="K6386" s="12">
        <f>tItens[[#This Row],[Qtd]]*tItens[[#This Row],[Vlr unit]]</f>
        <v>143820</v>
      </c>
      <c r="L6386" s="6">
        <f>IFERROR(IF(INDEX(tProdutos[Desconto homologado],MATCH(tItens[[#This Row],[Produto]],tProdutos[Produto],0))="",DescontoPadrao,INDEX(tProdutos[Desconto homologado],MATCH(tItens[[#This Row],[Produto]],tProdutos[Produto],0))),DescontoPadrao)</f>
        <v>0.38432036097010702</v>
      </c>
      <c r="M6386" s="12">
        <f>tItens[[#This Row],[Valor]]*(1-tItens[[#This Row],[Desconto]])</f>
        <v>88547.045685279212</v>
      </c>
      <c r="N6386" t="str">
        <f>IFERROR(INDEX(tProdutos[Foco],MATCH(tItens[[#This Row],[Produto]],tProdutos[Produto],0)),"Não")</f>
        <v>Não</v>
      </c>
      <c r="O6386" t="str">
        <f>IFERROR(INDEX(tEditais[SRP],MATCH(tItens[[#This Row],[Edital]],tEditais[Edital],0)),"Não")</f>
        <v>Sim</v>
      </c>
      <c r="P6386" s="4">
        <f>IF(COUNTIFS(INDEX(tItens[Edital],1):tItens[[#This Row],[Edital]],tItens[[#This Row],[Edital]],INDEX(tItens[Produto],1):tItens[[#This Row],[Produto]],tItens[[#This Row],[Produto]])=1,1,0)</f>
        <v>1</v>
      </c>
    </row>
    <row r="6387" spans="1:16" x14ac:dyDescent="0.25">
      <c r="A6387" t="s">
        <v>2245</v>
      </c>
      <c r="B6387">
        <v>34</v>
      </c>
      <c r="C6387" t="s">
        <v>9117</v>
      </c>
      <c r="D6387" t="s">
        <v>229</v>
      </c>
      <c r="E6387" s="13">
        <v>96</v>
      </c>
      <c r="F6387" s="12">
        <v>380.55</v>
      </c>
      <c r="G6387" t="str">
        <f>IFERROR(INDEX(tEditais[Órgão],MATCH(tItens[[#This Row],[Edital]],tEditais[Edital],0)),"")</f>
        <v>MUNICIPIO DE DUQUE DE CAXIAS</v>
      </c>
      <c r="H6387" t="str">
        <f>IFERROR(INDEX(tEditais[UF],MATCH(tItens[[#This Row],[Edital]],tEditais[Edital],0)),"")</f>
        <v>RJ</v>
      </c>
      <c r="I6387" s="11">
        <f>IFERROR(INDEX(tEditais[Encerramento],MATCH(tItens[[#This Row],[Edital]],tEditais[Edital],0)),"")</f>
        <v>46308.375</v>
      </c>
      <c r="J6387" t="str">
        <f>IFERROR(INDEX(tProdutos[Classe],MATCH(tItens[[#This Row],[Produto]],tProdutos[Produto],0)),"produto não cadastrado")</f>
        <v>FORA</v>
      </c>
      <c r="K6387" s="12">
        <f>tItens[[#This Row],[Qtd]]*tItens[[#This Row],[Vlr unit]]</f>
        <v>36532.800000000003</v>
      </c>
      <c r="L6387" s="6">
        <f>IFERROR(IF(INDEX(tProdutos[Desconto homologado],MATCH(tItens[[#This Row],[Produto]],tProdutos[Produto],0))="",DescontoPadrao,INDEX(tProdutos[Desconto homologado],MATCH(tItens[[#This Row],[Produto]],tProdutos[Produto],0))),DescontoPadrao)</f>
        <v>0.33093491191658198</v>
      </c>
      <c r="M6387" s="12">
        <f>tItens[[#This Row],[Valor]]*(1-tItens[[#This Row],[Desconto]])</f>
        <v>24442.821049933897</v>
      </c>
      <c r="N6387" t="str">
        <f>IFERROR(INDEX(tProdutos[Foco],MATCH(tItens[[#This Row],[Produto]],tProdutos[Produto],0)),"Não")</f>
        <v>Não</v>
      </c>
      <c r="O6387" t="str">
        <f>IFERROR(INDEX(tEditais[SRP],MATCH(tItens[[#This Row],[Edital]],tEditais[Edital],0)),"Não")</f>
        <v>Sim</v>
      </c>
      <c r="P6387" s="4">
        <f>IF(COUNTIFS(INDEX(tItens[Edital],1):tItens[[#This Row],[Edital]],tItens[[#This Row],[Edital]],INDEX(tItens[Produto],1):tItens[[#This Row],[Produto]],tItens[[#This Row],[Produto]])=1,1,0)</f>
        <v>1</v>
      </c>
    </row>
    <row r="6388" spans="1:16" x14ac:dyDescent="0.25">
      <c r="A6388" t="s">
        <v>2250</v>
      </c>
      <c r="B6388">
        <v>5</v>
      </c>
      <c r="C6388" t="s">
        <v>7904</v>
      </c>
      <c r="D6388" t="s">
        <v>88</v>
      </c>
      <c r="E6388" s="13">
        <v>150</v>
      </c>
      <c r="F6388" s="12">
        <v>41.01</v>
      </c>
      <c r="G6388" t="str">
        <f>IFERROR(INDEX(tEditais[Órgão],MATCH(tItens[[#This Row],[Edital]],tEditais[Edital],0)),"")</f>
        <v>FUNDO MUNICIPAL DE SAUDE</v>
      </c>
      <c r="H6388" t="str">
        <f>IFERROR(INDEX(tEditais[UF],MATCH(tItens[[#This Row],[Edital]],tEditais[Edital],0)),"")</f>
        <v>RJ</v>
      </c>
      <c r="I6388" s="11">
        <f>IFERROR(INDEX(tEditais[Encerramento],MATCH(tItens[[#This Row],[Edital]],tEditais[Edital],0)),"")</f>
        <v>46308.415972222225</v>
      </c>
      <c r="J6388" t="str">
        <f>IFERROR(INDEX(tProdutos[Classe],MATCH(tItens[[#This Row],[Produto]],tProdutos[Produto],0)),"produto não cadastrado")</f>
        <v>NÚCLEO</v>
      </c>
      <c r="K6388" s="12">
        <f>tItens[[#This Row],[Qtd]]*tItens[[#This Row],[Vlr unit]]</f>
        <v>6151.5</v>
      </c>
      <c r="L6388" s="6">
        <f>IFERROR(IF(INDEX(tProdutos[Desconto homologado],MATCH(tItens[[#This Row],[Produto]],tProdutos[Produto],0))="",DescontoPadrao,INDEX(tProdutos[Desconto homologado],MATCH(tItens[[#This Row],[Produto]],tProdutos[Produto],0))),DescontoPadrao)</f>
        <v>0.30251202565473001</v>
      </c>
      <c r="M6388" s="12">
        <f>tItens[[#This Row],[Valor]]*(1-tItens[[#This Row],[Desconto]])</f>
        <v>4290.5972741849282</v>
      </c>
      <c r="N6388" t="str">
        <f>IFERROR(INDEX(tProdutos[Foco],MATCH(tItens[[#This Row],[Produto]],tProdutos[Produto],0)),"Não")</f>
        <v>Não</v>
      </c>
      <c r="O6388" t="str">
        <f>IFERROR(INDEX(tEditais[SRP],MATCH(tItens[[#This Row],[Edital]],tEditais[Edital],0)),"Não")</f>
        <v>Não</v>
      </c>
      <c r="P6388" s="4">
        <f>IF(COUNTIFS(INDEX(tItens[Edital],1):tItens[[#This Row],[Edital]],tItens[[#This Row],[Edital]],INDEX(tItens[Produto],1):tItens[[#This Row],[Produto]],tItens[[#This Row],[Produto]])=1,1,0)</f>
        <v>1</v>
      </c>
    </row>
    <row r="6389" spans="1:16" x14ac:dyDescent="0.25">
      <c r="A6389" t="s">
        <v>2250</v>
      </c>
      <c r="B6389">
        <v>6</v>
      </c>
      <c r="C6389" t="s">
        <v>3239</v>
      </c>
      <c r="D6389" t="s">
        <v>71</v>
      </c>
      <c r="E6389" s="13">
        <v>150</v>
      </c>
      <c r="F6389" s="12">
        <v>75.28</v>
      </c>
      <c r="G6389" t="str">
        <f>IFERROR(INDEX(tEditais[Órgão],MATCH(tItens[[#This Row],[Edital]],tEditais[Edital],0)),"")</f>
        <v>FUNDO MUNICIPAL DE SAUDE</v>
      </c>
      <c r="H6389" t="str">
        <f>IFERROR(INDEX(tEditais[UF],MATCH(tItens[[#This Row],[Edital]],tEditais[Edital],0)),"")</f>
        <v>RJ</v>
      </c>
      <c r="I6389" s="11">
        <f>IFERROR(INDEX(tEditais[Encerramento],MATCH(tItens[[#This Row],[Edital]],tEditais[Edital],0)),"")</f>
        <v>46308.415972222225</v>
      </c>
      <c r="J6389" t="str">
        <f>IFERROR(INDEX(tProdutos[Classe],MATCH(tItens[[#This Row],[Produto]],tProdutos[Produto],0)),"produto não cadastrado")</f>
        <v>NÚCLEO</v>
      </c>
      <c r="K6389" s="12">
        <f>tItens[[#This Row],[Qtd]]*tItens[[#This Row],[Vlr unit]]</f>
        <v>11292</v>
      </c>
      <c r="L6389" s="6">
        <f>IFERROR(IF(INDEX(tProdutos[Desconto homologado],MATCH(tItens[[#This Row],[Produto]],tProdutos[Produto],0))="",DescontoPadrao,INDEX(tProdutos[Desconto homologado],MATCH(tItens[[#This Row],[Produto]],tProdutos[Produto],0))),DescontoPadrao)</f>
        <v>0.44981412639405199</v>
      </c>
      <c r="M6389" s="12">
        <f>tItens[[#This Row],[Valor]]*(1-tItens[[#This Row],[Desconto]])</f>
        <v>6212.6988847583643</v>
      </c>
      <c r="N6389" t="str">
        <f>IFERROR(INDEX(tProdutos[Foco],MATCH(tItens[[#This Row],[Produto]],tProdutos[Produto],0)),"Não")</f>
        <v>Não</v>
      </c>
      <c r="O6389" t="str">
        <f>IFERROR(INDEX(tEditais[SRP],MATCH(tItens[[#This Row],[Edital]],tEditais[Edital],0)),"Não")</f>
        <v>Não</v>
      </c>
      <c r="P6389" s="4">
        <f>IF(COUNTIFS(INDEX(tItens[Edital],1):tItens[[#This Row],[Edital]],tItens[[#This Row],[Edital]],INDEX(tItens[Produto],1):tItens[[#This Row],[Produto]],tItens[[#This Row],[Produto]])=1,1,0)</f>
        <v>1</v>
      </c>
    </row>
    <row r="6390" spans="1:16" x14ac:dyDescent="0.25">
      <c r="A6390" t="s">
        <v>2250</v>
      </c>
      <c r="B6390">
        <v>7</v>
      </c>
      <c r="C6390" t="s">
        <v>9118</v>
      </c>
      <c r="D6390" t="s">
        <v>82</v>
      </c>
      <c r="E6390" s="13">
        <v>1200</v>
      </c>
      <c r="F6390" s="12">
        <v>9.61</v>
      </c>
      <c r="G6390" t="str">
        <f>IFERROR(INDEX(tEditais[Órgão],MATCH(tItens[[#This Row],[Edital]],tEditais[Edital],0)),"")</f>
        <v>FUNDO MUNICIPAL DE SAUDE</v>
      </c>
      <c r="H6390" t="str">
        <f>IFERROR(INDEX(tEditais[UF],MATCH(tItens[[#This Row],[Edital]],tEditais[Edital],0)),"")</f>
        <v>RJ</v>
      </c>
      <c r="I6390" s="11">
        <f>IFERROR(INDEX(tEditais[Encerramento],MATCH(tItens[[#This Row],[Edital]],tEditais[Edital],0)),"")</f>
        <v>46308.415972222225</v>
      </c>
      <c r="J6390" t="str">
        <f>IFERROR(INDEX(tProdutos[Classe],MATCH(tItens[[#This Row],[Produto]],tProdutos[Produto],0)),"produto não cadastrado")</f>
        <v>NÚCLEO</v>
      </c>
      <c r="K6390" s="12">
        <f>tItens[[#This Row],[Qtd]]*tItens[[#This Row],[Vlr unit]]</f>
        <v>11532</v>
      </c>
      <c r="L6390" s="6">
        <f>IFERROR(IF(INDEX(tProdutos[Desconto homologado],MATCH(tItens[[#This Row],[Produto]],tProdutos[Produto],0))="",DescontoPadrao,INDEX(tProdutos[Desconto homologado],MATCH(tItens[[#This Row],[Produto]],tProdutos[Produto],0))),DescontoPadrao)</f>
        <v>0.40487090276506099</v>
      </c>
      <c r="M6390" s="12">
        <f>tItens[[#This Row],[Valor]]*(1-tItens[[#This Row],[Desconto]])</f>
        <v>6863.0287493133164</v>
      </c>
      <c r="N6390" t="str">
        <f>IFERROR(INDEX(tProdutos[Foco],MATCH(tItens[[#This Row],[Produto]],tProdutos[Produto],0)),"Não")</f>
        <v>Não</v>
      </c>
      <c r="O6390" t="str">
        <f>IFERROR(INDEX(tEditais[SRP],MATCH(tItens[[#This Row],[Edital]],tEditais[Edital],0)),"Não")</f>
        <v>Não</v>
      </c>
      <c r="P6390" s="4">
        <f>IF(COUNTIFS(INDEX(tItens[Edital],1):tItens[[#This Row],[Edital]],tItens[[#This Row],[Edital]],INDEX(tItens[Produto],1):tItens[[#This Row],[Produto]],tItens[[#This Row],[Produto]])=1,1,0)</f>
        <v>1</v>
      </c>
    </row>
    <row r="6391" spans="1:16" x14ac:dyDescent="0.25">
      <c r="A6391" t="s">
        <v>2250</v>
      </c>
      <c r="B6391">
        <v>83</v>
      </c>
      <c r="C6391" t="s">
        <v>4152</v>
      </c>
      <c r="D6391" t="s">
        <v>461</v>
      </c>
      <c r="E6391" s="13">
        <v>150</v>
      </c>
      <c r="F6391" s="12">
        <v>4.57</v>
      </c>
      <c r="G6391" t="str">
        <f>IFERROR(INDEX(tEditais[Órgão],MATCH(tItens[[#This Row],[Edital]],tEditais[Edital],0)),"")</f>
        <v>FUNDO MUNICIPAL DE SAUDE</v>
      </c>
      <c r="H6391" t="str">
        <f>IFERROR(INDEX(tEditais[UF],MATCH(tItens[[#This Row],[Edital]],tEditais[Edital],0)),"")</f>
        <v>RJ</v>
      </c>
      <c r="I6391" s="11">
        <f>IFERROR(INDEX(tEditais[Encerramento],MATCH(tItens[[#This Row],[Edital]],tEditais[Edital],0)),"")</f>
        <v>46308.415972222225</v>
      </c>
      <c r="J6391" t="str">
        <f>IFERROR(INDEX(tProdutos[Classe],MATCH(tItens[[#This Row],[Produto]],tProdutos[Produto],0)),"produto não cadastrado")</f>
        <v>FILA REBASE</v>
      </c>
      <c r="K6391" s="12">
        <f>tItens[[#This Row],[Qtd]]*tItens[[#This Row],[Vlr unit]]</f>
        <v>685.5</v>
      </c>
      <c r="L6391" s="6">
        <f>IFERROR(IF(INDEX(tProdutos[Desconto homologado],MATCH(tItens[[#This Row],[Produto]],tProdutos[Produto],0))="",DescontoPadrao,INDEX(tProdutos[Desconto homologado],MATCH(tItens[[#This Row],[Produto]],tProdutos[Produto],0))),DescontoPadrao)</f>
        <v>0.44096385542168698</v>
      </c>
      <c r="M6391" s="12">
        <f>tItens[[#This Row],[Valor]]*(1-tItens[[#This Row],[Desconto]])</f>
        <v>383.21927710843352</v>
      </c>
      <c r="N6391" t="str">
        <f>IFERROR(INDEX(tProdutos[Foco],MATCH(tItens[[#This Row],[Produto]],tProdutos[Produto],0)),"Não")</f>
        <v>Não</v>
      </c>
      <c r="O6391" t="str">
        <f>IFERROR(INDEX(tEditais[SRP],MATCH(tItens[[#This Row],[Edital]],tEditais[Edital],0)),"Não")</f>
        <v>Não</v>
      </c>
      <c r="P6391" s="4">
        <f>IF(COUNTIFS(INDEX(tItens[Edital],1):tItens[[#This Row],[Edital]],tItens[[#This Row],[Edital]],INDEX(tItens[Produto],1):tItens[[#This Row],[Produto]],tItens[[#This Row],[Produto]])=1,1,0)</f>
        <v>1</v>
      </c>
    </row>
    <row r="6392" spans="1:16" x14ac:dyDescent="0.25">
      <c r="A6392" t="s">
        <v>2250</v>
      </c>
      <c r="B6392">
        <v>84</v>
      </c>
      <c r="C6392" t="s">
        <v>9119</v>
      </c>
      <c r="D6392" t="s">
        <v>375</v>
      </c>
      <c r="E6392" s="13">
        <v>150</v>
      </c>
      <c r="F6392" s="12">
        <v>5.66</v>
      </c>
      <c r="G6392" t="str">
        <f>IFERROR(INDEX(tEditais[Órgão],MATCH(tItens[[#This Row],[Edital]],tEditais[Edital],0)),"")</f>
        <v>FUNDO MUNICIPAL DE SAUDE</v>
      </c>
      <c r="H6392" t="str">
        <f>IFERROR(INDEX(tEditais[UF],MATCH(tItens[[#This Row],[Edital]],tEditais[Edital],0)),"")</f>
        <v>RJ</v>
      </c>
      <c r="I6392" s="11">
        <f>IFERROR(INDEX(tEditais[Encerramento],MATCH(tItens[[#This Row],[Edital]],tEditais[Edital],0)),"")</f>
        <v>46308.415972222225</v>
      </c>
      <c r="J6392" t="str">
        <f>IFERROR(INDEX(tProdutos[Classe],MATCH(tItens[[#This Row],[Produto]],tProdutos[Produto],0)),"produto não cadastrado")</f>
        <v>FORA</v>
      </c>
      <c r="K6392" s="12">
        <f>tItens[[#This Row],[Qtd]]*tItens[[#This Row],[Vlr unit]]</f>
        <v>849</v>
      </c>
      <c r="L6392" s="6">
        <f>IFERROR(IF(INDEX(tProdutos[Desconto homologado],MATCH(tItens[[#This Row],[Produto]],tProdutos[Produto],0))="",DescontoPadrao,INDEX(tProdutos[Desconto homologado],MATCH(tItens[[#This Row],[Produto]],tProdutos[Produto],0))),DescontoPadrao)</f>
        <v>0.25005895299481201</v>
      </c>
      <c r="M6392" s="12">
        <f>tItens[[#This Row],[Valor]]*(1-tItens[[#This Row],[Desconto]])</f>
        <v>636.69994890740452</v>
      </c>
      <c r="N6392" t="str">
        <f>IFERROR(INDEX(tProdutos[Foco],MATCH(tItens[[#This Row],[Produto]],tProdutos[Produto],0)),"Não")</f>
        <v>Não</v>
      </c>
      <c r="O6392" t="str">
        <f>IFERROR(INDEX(tEditais[SRP],MATCH(tItens[[#This Row],[Edital]],tEditais[Edital],0)),"Não")</f>
        <v>Não</v>
      </c>
      <c r="P6392" s="4">
        <f>IF(COUNTIFS(INDEX(tItens[Edital],1):tItens[[#This Row],[Edital]],tItens[[#This Row],[Edital]],INDEX(tItens[Produto],1):tItens[[#This Row],[Produto]],tItens[[#This Row],[Produto]])=1,1,0)</f>
        <v>1</v>
      </c>
    </row>
    <row r="6393" spans="1:16" x14ac:dyDescent="0.25">
      <c r="A6393" t="s">
        <v>2250</v>
      </c>
      <c r="B6393">
        <v>85</v>
      </c>
      <c r="C6393" t="s">
        <v>8996</v>
      </c>
      <c r="D6393" t="s">
        <v>375</v>
      </c>
      <c r="E6393" s="13">
        <v>2500</v>
      </c>
      <c r="F6393" s="12">
        <v>2.42</v>
      </c>
      <c r="G6393" t="str">
        <f>IFERROR(INDEX(tEditais[Órgão],MATCH(tItens[[#This Row],[Edital]],tEditais[Edital],0)),"")</f>
        <v>FUNDO MUNICIPAL DE SAUDE</v>
      </c>
      <c r="H6393" t="str">
        <f>IFERROR(INDEX(tEditais[UF],MATCH(tItens[[#This Row],[Edital]],tEditais[Edital],0)),"")</f>
        <v>RJ</v>
      </c>
      <c r="I6393" s="11">
        <f>IFERROR(INDEX(tEditais[Encerramento],MATCH(tItens[[#This Row],[Edital]],tEditais[Edital],0)),"")</f>
        <v>46308.415972222225</v>
      </c>
      <c r="J6393" t="str">
        <f>IFERROR(INDEX(tProdutos[Classe],MATCH(tItens[[#This Row],[Produto]],tProdutos[Produto],0)),"produto não cadastrado")</f>
        <v>FORA</v>
      </c>
      <c r="K6393" s="12">
        <f>tItens[[#This Row],[Qtd]]*tItens[[#This Row],[Vlr unit]]</f>
        <v>6050</v>
      </c>
      <c r="L6393" s="6">
        <f>IFERROR(IF(INDEX(tProdutos[Desconto homologado],MATCH(tItens[[#This Row],[Produto]],tProdutos[Produto],0))="",DescontoPadrao,INDEX(tProdutos[Desconto homologado],MATCH(tItens[[#This Row],[Produto]],tProdutos[Produto],0))),DescontoPadrao)</f>
        <v>0.25005895299481201</v>
      </c>
      <c r="M6393" s="12">
        <f>tItens[[#This Row],[Valor]]*(1-tItens[[#This Row],[Desconto]])</f>
        <v>4537.1433343813869</v>
      </c>
      <c r="N6393" t="str">
        <f>IFERROR(INDEX(tProdutos[Foco],MATCH(tItens[[#This Row],[Produto]],tProdutos[Produto],0)),"Não")</f>
        <v>Não</v>
      </c>
      <c r="O6393" t="str">
        <f>IFERROR(INDEX(tEditais[SRP],MATCH(tItens[[#This Row],[Edital]],tEditais[Edital],0)),"Não")</f>
        <v>Não</v>
      </c>
      <c r="P6393" s="4">
        <f>IF(COUNTIFS(INDEX(tItens[Edital],1):tItens[[#This Row],[Edital]],tItens[[#This Row],[Edital]],INDEX(tItens[Produto],1):tItens[[#This Row],[Produto]],tItens[[#This Row],[Produto]])=1,1,0)</f>
        <v>0</v>
      </c>
    </row>
    <row r="6394" spans="1:16" x14ac:dyDescent="0.25">
      <c r="A6394" t="s">
        <v>2250</v>
      </c>
      <c r="B6394">
        <v>110</v>
      </c>
      <c r="C6394" t="s">
        <v>9120</v>
      </c>
      <c r="D6394" t="s">
        <v>455</v>
      </c>
      <c r="E6394" s="13">
        <v>12</v>
      </c>
      <c r="F6394" s="12">
        <v>16.64</v>
      </c>
      <c r="G6394" t="str">
        <f>IFERROR(INDEX(tEditais[Órgão],MATCH(tItens[[#This Row],[Edital]],tEditais[Edital],0)),"")</f>
        <v>FUNDO MUNICIPAL DE SAUDE</v>
      </c>
      <c r="H6394" t="str">
        <f>IFERROR(INDEX(tEditais[UF],MATCH(tItens[[#This Row],[Edital]],tEditais[Edital],0)),"")</f>
        <v>RJ</v>
      </c>
      <c r="I6394" s="11">
        <f>IFERROR(INDEX(tEditais[Encerramento],MATCH(tItens[[#This Row],[Edital]],tEditais[Edital],0)),"")</f>
        <v>46308.415972222225</v>
      </c>
      <c r="J6394" t="str">
        <f>IFERROR(INDEX(tProdutos[Classe],MATCH(tItens[[#This Row],[Produto]],tProdutos[Produto],0)),"produto não cadastrado")</f>
        <v>FILA REBASE</v>
      </c>
      <c r="K6394" s="12">
        <f>tItens[[#This Row],[Qtd]]*tItens[[#This Row],[Vlr unit]]</f>
        <v>199.68</v>
      </c>
      <c r="L6394" s="6">
        <f>IFERROR(IF(INDEX(tProdutos[Desconto homologado],MATCH(tItens[[#This Row],[Produto]],tProdutos[Produto],0))="",DescontoPadrao,INDEX(tProdutos[Desconto homologado],MATCH(tItens[[#This Row],[Produto]],tProdutos[Produto],0))),DescontoPadrao)</f>
        <v>0.29595946765523801</v>
      </c>
      <c r="M6394" s="12">
        <f>tItens[[#This Row],[Valor]]*(1-tItens[[#This Row],[Desconto]])</f>
        <v>140.58281349860209</v>
      </c>
      <c r="N6394" t="str">
        <f>IFERROR(INDEX(tProdutos[Foco],MATCH(tItens[[#This Row],[Produto]],tProdutos[Produto],0)),"Não")</f>
        <v>Não</v>
      </c>
      <c r="O6394" t="str">
        <f>IFERROR(INDEX(tEditais[SRP],MATCH(tItens[[#This Row],[Edital]],tEditais[Edital],0)),"Não")</f>
        <v>Não</v>
      </c>
      <c r="P6394" s="4">
        <f>IF(COUNTIFS(INDEX(tItens[Edital],1):tItens[[#This Row],[Edital]],tItens[[#This Row],[Edital]],INDEX(tItens[Produto],1):tItens[[#This Row],[Produto]],tItens[[#This Row],[Produto]])=1,1,0)</f>
        <v>1</v>
      </c>
    </row>
    <row r="6395" spans="1:16" x14ac:dyDescent="0.25">
      <c r="A6395" t="s">
        <v>2250</v>
      </c>
      <c r="B6395">
        <v>111</v>
      </c>
      <c r="C6395" t="s">
        <v>9121</v>
      </c>
      <c r="D6395" t="s">
        <v>455</v>
      </c>
      <c r="E6395" s="13">
        <v>12</v>
      </c>
      <c r="F6395" s="12">
        <v>16.64</v>
      </c>
      <c r="G6395" t="str">
        <f>IFERROR(INDEX(tEditais[Órgão],MATCH(tItens[[#This Row],[Edital]],tEditais[Edital],0)),"")</f>
        <v>FUNDO MUNICIPAL DE SAUDE</v>
      </c>
      <c r="H6395" t="str">
        <f>IFERROR(INDEX(tEditais[UF],MATCH(tItens[[#This Row],[Edital]],tEditais[Edital],0)),"")</f>
        <v>RJ</v>
      </c>
      <c r="I6395" s="11">
        <f>IFERROR(INDEX(tEditais[Encerramento],MATCH(tItens[[#This Row],[Edital]],tEditais[Edital],0)),"")</f>
        <v>46308.415972222225</v>
      </c>
      <c r="J6395" t="str">
        <f>IFERROR(INDEX(tProdutos[Classe],MATCH(tItens[[#This Row],[Produto]],tProdutos[Produto],0)),"produto não cadastrado")</f>
        <v>FILA REBASE</v>
      </c>
      <c r="K6395" s="12">
        <f>tItens[[#This Row],[Qtd]]*tItens[[#This Row],[Vlr unit]]</f>
        <v>199.68</v>
      </c>
      <c r="L6395" s="6">
        <f>IFERROR(IF(INDEX(tProdutos[Desconto homologado],MATCH(tItens[[#This Row],[Produto]],tProdutos[Produto],0))="",DescontoPadrao,INDEX(tProdutos[Desconto homologado],MATCH(tItens[[#This Row],[Produto]],tProdutos[Produto],0))),DescontoPadrao)</f>
        <v>0.29595946765523801</v>
      </c>
      <c r="M6395" s="12">
        <f>tItens[[#This Row],[Valor]]*(1-tItens[[#This Row],[Desconto]])</f>
        <v>140.58281349860209</v>
      </c>
      <c r="N6395" t="str">
        <f>IFERROR(INDEX(tProdutos[Foco],MATCH(tItens[[#This Row],[Produto]],tProdutos[Produto],0)),"Não")</f>
        <v>Não</v>
      </c>
      <c r="O6395" t="str">
        <f>IFERROR(INDEX(tEditais[SRP],MATCH(tItens[[#This Row],[Edital]],tEditais[Edital],0)),"Não")</f>
        <v>Não</v>
      </c>
      <c r="P6395" s="4">
        <f>IF(COUNTIFS(INDEX(tItens[Edital],1):tItens[[#This Row],[Edital]],tItens[[#This Row],[Edital]],INDEX(tItens[Produto],1):tItens[[#This Row],[Produto]],tItens[[#This Row],[Produto]])=1,1,0)</f>
        <v>0</v>
      </c>
    </row>
    <row r="6396" spans="1:16" x14ac:dyDescent="0.25">
      <c r="A6396" t="s">
        <v>2250</v>
      </c>
      <c r="B6396">
        <v>112</v>
      </c>
      <c r="C6396" t="s">
        <v>9122</v>
      </c>
      <c r="D6396" t="s">
        <v>455</v>
      </c>
      <c r="E6396" s="13">
        <v>12</v>
      </c>
      <c r="F6396" s="12">
        <v>16.64</v>
      </c>
      <c r="G6396" t="str">
        <f>IFERROR(INDEX(tEditais[Órgão],MATCH(tItens[[#This Row],[Edital]],tEditais[Edital],0)),"")</f>
        <v>FUNDO MUNICIPAL DE SAUDE</v>
      </c>
      <c r="H6396" t="str">
        <f>IFERROR(INDEX(tEditais[UF],MATCH(tItens[[#This Row],[Edital]],tEditais[Edital],0)),"")</f>
        <v>RJ</v>
      </c>
      <c r="I6396" s="11">
        <f>IFERROR(INDEX(tEditais[Encerramento],MATCH(tItens[[#This Row],[Edital]],tEditais[Edital],0)),"")</f>
        <v>46308.415972222225</v>
      </c>
      <c r="J6396" t="str">
        <f>IFERROR(INDEX(tProdutos[Classe],MATCH(tItens[[#This Row],[Produto]],tProdutos[Produto],0)),"produto não cadastrado")</f>
        <v>FILA REBASE</v>
      </c>
      <c r="K6396" s="12">
        <f>tItens[[#This Row],[Qtd]]*tItens[[#This Row],[Vlr unit]]</f>
        <v>199.68</v>
      </c>
      <c r="L6396" s="6">
        <f>IFERROR(IF(INDEX(tProdutos[Desconto homologado],MATCH(tItens[[#This Row],[Produto]],tProdutos[Produto],0))="",DescontoPadrao,INDEX(tProdutos[Desconto homologado],MATCH(tItens[[#This Row],[Produto]],tProdutos[Produto],0))),DescontoPadrao)</f>
        <v>0.29595946765523801</v>
      </c>
      <c r="M6396" s="12">
        <f>tItens[[#This Row],[Valor]]*(1-tItens[[#This Row],[Desconto]])</f>
        <v>140.58281349860209</v>
      </c>
      <c r="N6396" t="str">
        <f>IFERROR(INDEX(tProdutos[Foco],MATCH(tItens[[#This Row],[Produto]],tProdutos[Produto],0)),"Não")</f>
        <v>Não</v>
      </c>
      <c r="O6396" t="str">
        <f>IFERROR(INDEX(tEditais[SRP],MATCH(tItens[[#This Row],[Edital]],tEditais[Edital],0)),"Não")</f>
        <v>Não</v>
      </c>
      <c r="P6396" s="4">
        <f>IF(COUNTIFS(INDEX(tItens[Edital],1):tItens[[#This Row],[Edital]],tItens[[#This Row],[Edital]],INDEX(tItens[Produto],1):tItens[[#This Row],[Produto]],tItens[[#This Row],[Produto]])=1,1,0)</f>
        <v>0</v>
      </c>
    </row>
    <row r="6397" spans="1:16" x14ac:dyDescent="0.25">
      <c r="A6397" t="s">
        <v>2250</v>
      </c>
      <c r="B6397">
        <v>113</v>
      </c>
      <c r="C6397" t="s">
        <v>9123</v>
      </c>
      <c r="D6397" t="s">
        <v>455</v>
      </c>
      <c r="E6397" s="13">
        <v>12</v>
      </c>
      <c r="F6397" s="12">
        <v>16.64</v>
      </c>
      <c r="G6397" t="str">
        <f>IFERROR(INDEX(tEditais[Órgão],MATCH(tItens[[#This Row],[Edital]],tEditais[Edital],0)),"")</f>
        <v>FUNDO MUNICIPAL DE SAUDE</v>
      </c>
      <c r="H6397" t="str">
        <f>IFERROR(INDEX(tEditais[UF],MATCH(tItens[[#This Row],[Edital]],tEditais[Edital],0)),"")</f>
        <v>RJ</v>
      </c>
      <c r="I6397" s="11">
        <f>IFERROR(INDEX(tEditais[Encerramento],MATCH(tItens[[#This Row],[Edital]],tEditais[Edital],0)),"")</f>
        <v>46308.415972222225</v>
      </c>
      <c r="J6397" t="str">
        <f>IFERROR(INDEX(tProdutos[Classe],MATCH(tItens[[#This Row],[Produto]],tProdutos[Produto],0)),"produto não cadastrado")</f>
        <v>FILA REBASE</v>
      </c>
      <c r="K6397" s="12">
        <f>tItens[[#This Row],[Qtd]]*tItens[[#This Row],[Vlr unit]]</f>
        <v>199.68</v>
      </c>
      <c r="L6397" s="6">
        <f>IFERROR(IF(INDEX(tProdutos[Desconto homologado],MATCH(tItens[[#This Row],[Produto]],tProdutos[Produto],0))="",DescontoPadrao,INDEX(tProdutos[Desconto homologado],MATCH(tItens[[#This Row],[Produto]],tProdutos[Produto],0))),DescontoPadrao)</f>
        <v>0.29595946765523801</v>
      </c>
      <c r="M6397" s="12">
        <f>tItens[[#This Row],[Valor]]*(1-tItens[[#This Row],[Desconto]])</f>
        <v>140.58281349860209</v>
      </c>
      <c r="N6397" t="str">
        <f>IFERROR(INDEX(tProdutos[Foco],MATCH(tItens[[#This Row],[Produto]],tProdutos[Produto],0)),"Não")</f>
        <v>Não</v>
      </c>
      <c r="O6397" t="str">
        <f>IFERROR(INDEX(tEditais[SRP],MATCH(tItens[[#This Row],[Edital]],tEditais[Edital],0)),"Não")</f>
        <v>Não</v>
      </c>
      <c r="P6397" s="4">
        <f>IF(COUNTIFS(INDEX(tItens[Edital],1):tItens[[#This Row],[Edital]],tItens[[#This Row],[Edital]],INDEX(tItens[Produto],1):tItens[[#This Row],[Produto]],tItens[[#This Row],[Produto]])=1,1,0)</f>
        <v>0</v>
      </c>
    </row>
    <row r="6398" spans="1:16" x14ac:dyDescent="0.25">
      <c r="A6398" t="s">
        <v>2250</v>
      </c>
      <c r="B6398">
        <v>114</v>
      </c>
      <c r="C6398" t="s">
        <v>9124</v>
      </c>
      <c r="D6398" t="s">
        <v>455</v>
      </c>
      <c r="E6398" s="13">
        <v>12</v>
      </c>
      <c r="F6398" s="12">
        <v>16.64</v>
      </c>
      <c r="G6398" t="str">
        <f>IFERROR(INDEX(tEditais[Órgão],MATCH(tItens[[#This Row],[Edital]],tEditais[Edital],0)),"")</f>
        <v>FUNDO MUNICIPAL DE SAUDE</v>
      </c>
      <c r="H6398" t="str">
        <f>IFERROR(INDEX(tEditais[UF],MATCH(tItens[[#This Row],[Edital]],tEditais[Edital],0)),"")</f>
        <v>RJ</v>
      </c>
      <c r="I6398" s="11">
        <f>IFERROR(INDEX(tEditais[Encerramento],MATCH(tItens[[#This Row],[Edital]],tEditais[Edital],0)),"")</f>
        <v>46308.415972222225</v>
      </c>
      <c r="J6398" t="str">
        <f>IFERROR(INDEX(tProdutos[Classe],MATCH(tItens[[#This Row],[Produto]],tProdutos[Produto],0)),"produto não cadastrado")</f>
        <v>FILA REBASE</v>
      </c>
      <c r="K6398" s="12">
        <f>tItens[[#This Row],[Qtd]]*tItens[[#This Row],[Vlr unit]]</f>
        <v>199.68</v>
      </c>
      <c r="L6398" s="6">
        <f>IFERROR(IF(INDEX(tProdutos[Desconto homologado],MATCH(tItens[[#This Row],[Produto]],tProdutos[Produto],0))="",DescontoPadrao,INDEX(tProdutos[Desconto homologado],MATCH(tItens[[#This Row],[Produto]],tProdutos[Produto],0))),DescontoPadrao)</f>
        <v>0.29595946765523801</v>
      </c>
      <c r="M6398" s="12">
        <f>tItens[[#This Row],[Valor]]*(1-tItens[[#This Row],[Desconto]])</f>
        <v>140.58281349860209</v>
      </c>
      <c r="N6398" t="str">
        <f>IFERROR(INDEX(tProdutos[Foco],MATCH(tItens[[#This Row],[Produto]],tProdutos[Produto],0)),"Não")</f>
        <v>Não</v>
      </c>
      <c r="O6398" t="str">
        <f>IFERROR(INDEX(tEditais[SRP],MATCH(tItens[[#This Row],[Edital]],tEditais[Edital],0)),"Não")</f>
        <v>Não</v>
      </c>
      <c r="P6398" s="4">
        <f>IF(COUNTIFS(INDEX(tItens[Edital],1):tItens[[#This Row],[Edital]],tItens[[#This Row],[Edital]],INDEX(tItens[Produto],1):tItens[[#This Row],[Produto]],tItens[[#This Row],[Produto]])=1,1,0)</f>
        <v>0</v>
      </c>
    </row>
    <row r="6399" spans="1:16" x14ac:dyDescent="0.25">
      <c r="A6399" t="s">
        <v>2250</v>
      </c>
      <c r="B6399">
        <v>115</v>
      </c>
      <c r="C6399" t="s">
        <v>9125</v>
      </c>
      <c r="D6399" t="s">
        <v>455</v>
      </c>
      <c r="E6399" s="13">
        <v>12</v>
      </c>
      <c r="F6399" s="12">
        <v>16.64</v>
      </c>
      <c r="G6399" t="str">
        <f>IFERROR(INDEX(tEditais[Órgão],MATCH(tItens[[#This Row],[Edital]],tEditais[Edital],0)),"")</f>
        <v>FUNDO MUNICIPAL DE SAUDE</v>
      </c>
      <c r="H6399" t="str">
        <f>IFERROR(INDEX(tEditais[UF],MATCH(tItens[[#This Row],[Edital]],tEditais[Edital],0)),"")</f>
        <v>RJ</v>
      </c>
      <c r="I6399" s="11">
        <f>IFERROR(INDEX(tEditais[Encerramento],MATCH(tItens[[#This Row],[Edital]],tEditais[Edital],0)),"")</f>
        <v>46308.415972222225</v>
      </c>
      <c r="J6399" t="str">
        <f>IFERROR(INDEX(tProdutos[Classe],MATCH(tItens[[#This Row],[Produto]],tProdutos[Produto],0)),"produto não cadastrado")</f>
        <v>FILA REBASE</v>
      </c>
      <c r="K6399" s="12">
        <f>tItens[[#This Row],[Qtd]]*tItens[[#This Row],[Vlr unit]]</f>
        <v>199.68</v>
      </c>
      <c r="L6399" s="6">
        <f>IFERROR(IF(INDEX(tProdutos[Desconto homologado],MATCH(tItens[[#This Row],[Produto]],tProdutos[Produto],0))="",DescontoPadrao,INDEX(tProdutos[Desconto homologado],MATCH(tItens[[#This Row],[Produto]],tProdutos[Produto],0))),DescontoPadrao)</f>
        <v>0.29595946765523801</v>
      </c>
      <c r="M6399" s="12">
        <f>tItens[[#This Row],[Valor]]*(1-tItens[[#This Row],[Desconto]])</f>
        <v>140.58281349860209</v>
      </c>
      <c r="N6399" t="str">
        <f>IFERROR(INDEX(tProdutos[Foco],MATCH(tItens[[#This Row],[Produto]],tProdutos[Produto],0)),"Não")</f>
        <v>Não</v>
      </c>
      <c r="O6399" t="str">
        <f>IFERROR(INDEX(tEditais[SRP],MATCH(tItens[[#This Row],[Edital]],tEditais[Edital],0)),"Não")</f>
        <v>Não</v>
      </c>
      <c r="P6399" s="4">
        <f>IF(COUNTIFS(INDEX(tItens[Edital],1):tItens[[#This Row],[Edital]],tItens[[#This Row],[Edital]],INDEX(tItens[Produto],1):tItens[[#This Row],[Produto]],tItens[[#This Row],[Produto]])=1,1,0)</f>
        <v>0</v>
      </c>
    </row>
    <row r="6400" spans="1:16" x14ac:dyDescent="0.25">
      <c r="A6400" t="s">
        <v>2250</v>
      </c>
      <c r="B6400">
        <v>161</v>
      </c>
      <c r="C6400" t="s">
        <v>9126</v>
      </c>
      <c r="D6400" t="s">
        <v>409</v>
      </c>
      <c r="E6400" s="13">
        <v>480</v>
      </c>
      <c r="F6400" s="12">
        <v>11.06</v>
      </c>
      <c r="G6400" t="str">
        <f>IFERROR(INDEX(tEditais[Órgão],MATCH(tItens[[#This Row],[Edital]],tEditais[Edital],0)),"")</f>
        <v>FUNDO MUNICIPAL DE SAUDE</v>
      </c>
      <c r="H6400" t="str">
        <f>IFERROR(INDEX(tEditais[UF],MATCH(tItens[[#This Row],[Edital]],tEditais[Edital],0)),"")</f>
        <v>RJ</v>
      </c>
      <c r="I6400" s="11">
        <f>IFERROR(INDEX(tEditais[Encerramento],MATCH(tItens[[#This Row],[Edital]],tEditais[Edital],0)),"")</f>
        <v>46308.415972222225</v>
      </c>
      <c r="J6400" t="str">
        <f>IFERROR(INDEX(tProdutos[Classe],MATCH(tItens[[#This Row],[Produto]],tProdutos[Produto],0)),"produto não cadastrado")</f>
        <v>FORA</v>
      </c>
      <c r="K6400" s="12">
        <f>tItens[[#This Row],[Qtd]]*tItens[[#This Row],[Vlr unit]]</f>
        <v>5308.8</v>
      </c>
      <c r="L6400" s="6">
        <f>IFERROR(IF(INDEX(tProdutos[Desconto homologado],MATCH(tItens[[#This Row],[Produto]],tProdutos[Produto],0))="",DescontoPadrao,INDEX(tProdutos[Desconto homologado],MATCH(tItens[[#This Row],[Produto]],tProdutos[Produto],0))),DescontoPadrao)</f>
        <v>0.24924924924924899</v>
      </c>
      <c r="M6400" s="12">
        <f>tItens[[#This Row],[Valor]]*(1-tItens[[#This Row],[Desconto]])</f>
        <v>3985.5855855855871</v>
      </c>
      <c r="N6400" t="str">
        <f>IFERROR(INDEX(tProdutos[Foco],MATCH(tItens[[#This Row],[Produto]],tProdutos[Produto],0)),"Não")</f>
        <v>Não</v>
      </c>
      <c r="O6400" t="str">
        <f>IFERROR(INDEX(tEditais[SRP],MATCH(tItens[[#This Row],[Edital]],tEditais[Edital],0)),"Não")</f>
        <v>Não</v>
      </c>
      <c r="P6400" s="4">
        <f>IF(COUNTIFS(INDEX(tItens[Edital],1):tItens[[#This Row],[Edital]],tItens[[#This Row],[Edital]],INDEX(tItens[Produto],1):tItens[[#This Row],[Produto]],tItens[[#This Row],[Produto]])=1,1,0)</f>
        <v>1</v>
      </c>
    </row>
    <row r="6401" spans="1:16" x14ac:dyDescent="0.25">
      <c r="A6401" t="s">
        <v>2250</v>
      </c>
      <c r="B6401">
        <v>168</v>
      </c>
      <c r="C6401" t="s">
        <v>9127</v>
      </c>
      <c r="D6401" t="s">
        <v>56</v>
      </c>
      <c r="E6401" s="13">
        <v>100</v>
      </c>
      <c r="F6401" s="12">
        <v>29.99</v>
      </c>
      <c r="G6401" t="str">
        <f>IFERROR(INDEX(tEditais[Órgão],MATCH(tItens[[#This Row],[Edital]],tEditais[Edital],0)),"")</f>
        <v>FUNDO MUNICIPAL DE SAUDE</v>
      </c>
      <c r="H6401" t="str">
        <f>IFERROR(INDEX(tEditais[UF],MATCH(tItens[[#This Row],[Edital]],tEditais[Edital],0)),"")</f>
        <v>RJ</v>
      </c>
      <c r="I6401" s="11">
        <f>IFERROR(INDEX(tEditais[Encerramento],MATCH(tItens[[#This Row],[Edital]],tEditais[Edital],0)),"")</f>
        <v>46308.415972222225</v>
      </c>
      <c r="J6401" t="str">
        <f>IFERROR(INDEX(tProdutos[Classe],MATCH(tItens[[#This Row],[Produto]],tProdutos[Produto],0)),"produto não cadastrado")</f>
        <v>NÚCLEO</v>
      </c>
      <c r="K6401" s="12">
        <f>tItens[[#This Row],[Qtd]]*tItens[[#This Row],[Vlr unit]]</f>
        <v>2999</v>
      </c>
      <c r="L6401" s="6">
        <f>IFERROR(IF(INDEX(tProdutos[Desconto homologado],MATCH(tItens[[#This Row],[Produto]],tProdutos[Produto],0))="",DescontoPadrao,INDEX(tProdutos[Desconto homologado],MATCH(tItens[[#This Row],[Produto]],tProdutos[Produto],0))),DescontoPadrao)</f>
        <v>0.34</v>
      </c>
      <c r="M6401" s="12">
        <f>tItens[[#This Row],[Valor]]*(1-tItens[[#This Row],[Desconto]])</f>
        <v>1979.3399999999997</v>
      </c>
      <c r="N6401" t="str">
        <f>IFERROR(INDEX(tProdutos[Foco],MATCH(tItens[[#This Row],[Produto]],tProdutos[Produto],0)),"Não")</f>
        <v>Sim</v>
      </c>
      <c r="O6401" t="str">
        <f>IFERROR(INDEX(tEditais[SRP],MATCH(tItens[[#This Row],[Edital]],tEditais[Edital],0)),"Não")</f>
        <v>Não</v>
      </c>
      <c r="P6401" s="4">
        <f>IF(COUNTIFS(INDEX(tItens[Edital],1):tItens[[#This Row],[Edital]],tItens[[#This Row],[Edital]],INDEX(tItens[Produto],1):tItens[[#This Row],[Produto]],tItens[[#This Row],[Produto]])=1,1,0)</f>
        <v>1</v>
      </c>
    </row>
    <row r="6402" spans="1:16" x14ac:dyDescent="0.25">
      <c r="A6402" t="s">
        <v>2254</v>
      </c>
      <c r="B6402">
        <v>15</v>
      </c>
      <c r="C6402" t="s">
        <v>9128</v>
      </c>
      <c r="D6402" t="s">
        <v>120</v>
      </c>
      <c r="E6402" s="13">
        <v>2200</v>
      </c>
      <c r="F6402" s="12">
        <v>1.61</v>
      </c>
      <c r="G6402" t="str">
        <f>IFERROR(INDEX(tEditais[Órgão],MATCH(tItens[[#This Row],[Edital]],tEditais[Edital],0)),"")</f>
        <v>FUNDO MUNICIPAL DE SAUDE DE MENDES</v>
      </c>
      <c r="H6402" t="str">
        <f>IFERROR(INDEX(tEditais[UF],MATCH(tItens[[#This Row],[Edital]],tEditais[Edital],0)),"")</f>
        <v>RJ</v>
      </c>
      <c r="I6402" s="11">
        <f>IFERROR(INDEX(tEditais[Encerramento],MATCH(tItens[[#This Row],[Edital]],tEditais[Edital],0)),"")</f>
        <v>46308.416666666664</v>
      </c>
      <c r="J6402" t="str">
        <f>IFERROR(INDEX(tProdutos[Classe],MATCH(tItens[[#This Row],[Produto]],tProdutos[Produto],0)),"produto não cadastrado")</f>
        <v>DISPUTADO</v>
      </c>
      <c r="K6402" s="12">
        <f>tItens[[#This Row],[Qtd]]*tItens[[#This Row],[Vlr unit]]</f>
        <v>3542</v>
      </c>
      <c r="L6402" s="6">
        <f>IFERROR(IF(INDEX(tProdutos[Desconto homologado],MATCH(tItens[[#This Row],[Produto]],tProdutos[Produto],0))="",DescontoPadrao,INDEX(tProdutos[Desconto homologado],MATCH(tItens[[#This Row],[Produto]],tProdutos[Produto],0))),DescontoPadrao)</f>
        <v>0.40909090909090901</v>
      </c>
      <c r="M6402" s="12">
        <f>tItens[[#This Row],[Valor]]*(1-tItens[[#This Row],[Desconto]])</f>
        <v>2093.0000000000005</v>
      </c>
      <c r="N6402" t="str">
        <f>IFERROR(INDEX(tProdutos[Foco],MATCH(tItens[[#This Row],[Produto]],tProdutos[Produto],0)),"Não")</f>
        <v>Não</v>
      </c>
      <c r="O6402" t="str">
        <f>IFERROR(INDEX(tEditais[SRP],MATCH(tItens[[#This Row],[Edital]],tEditais[Edital],0)),"Não")</f>
        <v>Sim</v>
      </c>
      <c r="P6402" s="4">
        <f>IF(COUNTIFS(INDEX(tItens[Edital],1):tItens[[#This Row],[Edital]],tItens[[#This Row],[Edital]],INDEX(tItens[Produto],1):tItens[[#This Row],[Produto]],tItens[[#This Row],[Produto]])=1,1,0)</f>
        <v>1</v>
      </c>
    </row>
    <row r="6403" spans="1:16" x14ac:dyDescent="0.25">
      <c r="A6403" t="s">
        <v>2254</v>
      </c>
      <c r="B6403">
        <v>24</v>
      </c>
      <c r="C6403" t="s">
        <v>8588</v>
      </c>
      <c r="D6403" t="s">
        <v>77</v>
      </c>
      <c r="E6403" s="13">
        <v>80</v>
      </c>
      <c r="F6403" s="12">
        <v>21.12</v>
      </c>
      <c r="G6403" t="str">
        <f>IFERROR(INDEX(tEditais[Órgão],MATCH(tItens[[#This Row],[Edital]],tEditais[Edital],0)),"")</f>
        <v>FUNDO MUNICIPAL DE SAUDE DE MENDES</v>
      </c>
      <c r="H6403" t="str">
        <f>IFERROR(INDEX(tEditais[UF],MATCH(tItens[[#This Row],[Edital]],tEditais[Edital],0)),"")</f>
        <v>RJ</v>
      </c>
      <c r="I6403" s="11">
        <f>IFERROR(INDEX(tEditais[Encerramento],MATCH(tItens[[#This Row],[Edital]],tEditais[Edital],0)),"")</f>
        <v>46308.416666666664</v>
      </c>
      <c r="J6403" t="str">
        <f>IFERROR(INDEX(tProdutos[Classe],MATCH(tItens[[#This Row],[Produto]],tProdutos[Produto],0)),"produto não cadastrado")</f>
        <v>DISPUTADO</v>
      </c>
      <c r="K6403" s="12">
        <f>tItens[[#This Row],[Qtd]]*tItens[[#This Row],[Vlr unit]]</f>
        <v>1689.6000000000001</v>
      </c>
      <c r="L6403" s="6">
        <f>IFERROR(IF(INDEX(tProdutos[Desconto homologado],MATCH(tItens[[#This Row],[Produto]],tProdutos[Produto],0))="",DescontoPadrao,INDEX(tProdutos[Desconto homologado],MATCH(tItens[[#This Row],[Produto]],tProdutos[Produto],0))),DescontoPadrao)</f>
        <v>0.33</v>
      </c>
      <c r="M6403" s="12">
        <f>tItens[[#This Row],[Valor]]*(1-tItens[[#This Row],[Desconto]])</f>
        <v>1132.0319999999999</v>
      </c>
      <c r="N6403" t="str">
        <f>IFERROR(INDEX(tProdutos[Foco],MATCH(tItens[[#This Row],[Produto]],tProdutos[Produto],0)),"Não")</f>
        <v>Sim</v>
      </c>
      <c r="O6403" t="str">
        <f>IFERROR(INDEX(tEditais[SRP],MATCH(tItens[[#This Row],[Edital]],tEditais[Edital],0)),"Não")</f>
        <v>Sim</v>
      </c>
      <c r="P6403" s="4">
        <f>IF(COUNTIFS(INDEX(tItens[Edital],1):tItens[[#This Row],[Edital]],tItens[[#This Row],[Edital]],INDEX(tItens[Produto],1):tItens[[#This Row],[Produto]],tItens[[#This Row],[Produto]])=1,1,0)</f>
        <v>1</v>
      </c>
    </row>
    <row r="6404" spans="1:16" x14ac:dyDescent="0.25">
      <c r="A6404" t="s">
        <v>2254</v>
      </c>
      <c r="B6404">
        <v>30</v>
      </c>
      <c r="C6404" t="s">
        <v>9129</v>
      </c>
      <c r="D6404" t="s">
        <v>339</v>
      </c>
      <c r="E6404" s="13">
        <v>6000</v>
      </c>
      <c r="F6404" s="12">
        <v>1.4</v>
      </c>
      <c r="G6404" t="str">
        <f>IFERROR(INDEX(tEditais[Órgão],MATCH(tItens[[#This Row],[Edital]],tEditais[Edital],0)),"")</f>
        <v>FUNDO MUNICIPAL DE SAUDE DE MENDES</v>
      </c>
      <c r="H6404" t="str">
        <f>IFERROR(INDEX(tEditais[UF],MATCH(tItens[[#This Row],[Edital]],tEditais[Edital],0)),"")</f>
        <v>RJ</v>
      </c>
      <c r="I6404" s="11">
        <f>IFERROR(INDEX(tEditais[Encerramento],MATCH(tItens[[#This Row],[Edital]],tEditais[Edital],0)),"")</f>
        <v>46308.416666666664</v>
      </c>
      <c r="J6404" t="str">
        <f>IFERROR(INDEX(tProdutos[Classe],MATCH(tItens[[#This Row],[Produto]],tProdutos[Produto],0)),"produto não cadastrado")</f>
        <v>FORA</v>
      </c>
      <c r="K6404" s="12">
        <f>tItens[[#This Row],[Qtd]]*tItens[[#This Row],[Vlr unit]]</f>
        <v>8400</v>
      </c>
      <c r="L6404" s="6">
        <f>IFERROR(IF(INDEX(tProdutos[Desconto homologado],MATCH(tItens[[#This Row],[Produto]],tProdutos[Produto],0))="",DescontoPadrao,INDEX(tProdutos[Desconto homologado],MATCH(tItens[[#This Row],[Produto]],tProdutos[Produto],0))),DescontoPadrao)</f>
        <v>0.35388629091804102</v>
      </c>
      <c r="M6404" s="12">
        <f>tItens[[#This Row],[Valor]]*(1-tItens[[#This Row],[Desconto]])</f>
        <v>5427.355156288455</v>
      </c>
      <c r="N6404" t="str">
        <f>IFERROR(INDEX(tProdutos[Foco],MATCH(tItens[[#This Row],[Produto]],tProdutos[Produto],0)),"Não")</f>
        <v>Não</v>
      </c>
      <c r="O6404" t="str">
        <f>IFERROR(INDEX(tEditais[SRP],MATCH(tItens[[#This Row],[Edital]],tEditais[Edital],0)),"Não")</f>
        <v>Sim</v>
      </c>
      <c r="P6404" s="4">
        <f>IF(COUNTIFS(INDEX(tItens[Edital],1):tItens[[#This Row],[Edital]],tItens[[#This Row],[Edital]],INDEX(tItens[Produto],1):tItens[[#This Row],[Produto]],tItens[[#This Row],[Produto]])=1,1,0)</f>
        <v>1</v>
      </c>
    </row>
    <row r="6405" spans="1:16" x14ac:dyDescent="0.25">
      <c r="A6405" t="s">
        <v>2254</v>
      </c>
      <c r="B6405">
        <v>32</v>
      </c>
      <c r="C6405" t="s">
        <v>4110</v>
      </c>
      <c r="D6405" t="s">
        <v>277</v>
      </c>
      <c r="E6405" s="13">
        <v>36</v>
      </c>
      <c r="F6405" s="12">
        <v>130.34</v>
      </c>
      <c r="G6405" t="str">
        <f>IFERROR(INDEX(tEditais[Órgão],MATCH(tItens[[#This Row],[Edital]],tEditais[Edital],0)),"")</f>
        <v>FUNDO MUNICIPAL DE SAUDE DE MENDES</v>
      </c>
      <c r="H6405" t="str">
        <f>IFERROR(INDEX(tEditais[UF],MATCH(tItens[[#This Row],[Edital]],tEditais[Edital],0)),"")</f>
        <v>RJ</v>
      </c>
      <c r="I6405" s="11">
        <f>IFERROR(INDEX(tEditais[Encerramento],MATCH(tItens[[#This Row],[Edital]],tEditais[Edital],0)),"")</f>
        <v>46308.416666666664</v>
      </c>
      <c r="J6405" t="str">
        <f>IFERROR(INDEX(tProdutos[Classe],MATCH(tItens[[#This Row],[Produto]],tProdutos[Produto],0)),"produto não cadastrado")</f>
        <v>DISPUTADO</v>
      </c>
      <c r="K6405" s="12">
        <f>tItens[[#This Row],[Qtd]]*tItens[[#This Row],[Vlr unit]]</f>
        <v>4692.24</v>
      </c>
      <c r="L6405" s="6">
        <f>IFERROR(IF(INDEX(tProdutos[Desconto homologado],MATCH(tItens[[#This Row],[Produto]],tProdutos[Produto],0))="",DescontoPadrao,INDEX(tProdutos[Desconto homologado],MATCH(tItens[[#This Row],[Produto]],tProdutos[Produto],0))),DescontoPadrao)</f>
        <v>0.50460666194188497</v>
      </c>
      <c r="M6405" s="12">
        <f>tItens[[#This Row],[Valor]]*(1-tItens[[#This Row],[Desconto]])</f>
        <v>2324.5044365698095</v>
      </c>
      <c r="N6405" t="str">
        <f>IFERROR(INDEX(tProdutos[Foco],MATCH(tItens[[#This Row],[Produto]],tProdutos[Produto],0)),"Não")</f>
        <v>Não</v>
      </c>
      <c r="O6405" t="str">
        <f>IFERROR(INDEX(tEditais[SRP],MATCH(tItens[[#This Row],[Edital]],tEditais[Edital],0)),"Não")</f>
        <v>Sim</v>
      </c>
      <c r="P6405" s="4">
        <f>IF(COUNTIFS(INDEX(tItens[Edital],1):tItens[[#This Row],[Edital]],tItens[[#This Row],[Edital]],INDEX(tItens[Produto],1):tItens[[#This Row],[Produto]],tItens[[#This Row],[Produto]])=1,1,0)</f>
        <v>1</v>
      </c>
    </row>
    <row r="6406" spans="1:16" x14ac:dyDescent="0.25">
      <c r="A6406" t="s">
        <v>2254</v>
      </c>
      <c r="B6406">
        <v>38</v>
      </c>
      <c r="C6406" t="s">
        <v>9130</v>
      </c>
      <c r="D6406" t="s">
        <v>267</v>
      </c>
      <c r="E6406" s="13">
        <v>60</v>
      </c>
      <c r="F6406" s="12">
        <v>15.35</v>
      </c>
      <c r="G6406" t="str">
        <f>IFERROR(INDEX(tEditais[Órgão],MATCH(tItens[[#This Row],[Edital]],tEditais[Edital],0)),"")</f>
        <v>FUNDO MUNICIPAL DE SAUDE DE MENDES</v>
      </c>
      <c r="H6406" t="str">
        <f>IFERROR(INDEX(tEditais[UF],MATCH(tItens[[#This Row],[Edital]],tEditais[Edital],0)),"")</f>
        <v>RJ</v>
      </c>
      <c r="I6406" s="11">
        <f>IFERROR(INDEX(tEditais[Encerramento],MATCH(tItens[[#This Row],[Edital]],tEditais[Edital],0)),"")</f>
        <v>46308.416666666664</v>
      </c>
      <c r="J6406" t="str">
        <f>IFERROR(INDEX(tProdutos[Classe],MATCH(tItens[[#This Row],[Produto]],tProdutos[Produto],0)),"produto não cadastrado")</f>
        <v>FORA</v>
      </c>
      <c r="K6406" s="12">
        <f>tItens[[#This Row],[Qtd]]*tItens[[#This Row],[Vlr unit]]</f>
        <v>921</v>
      </c>
      <c r="L6406" s="6">
        <f>IFERROR(IF(INDEX(tProdutos[Desconto homologado],MATCH(tItens[[#This Row],[Produto]],tProdutos[Produto],0))="",DescontoPadrao,INDEX(tProdutos[Desconto homologado],MATCH(tItens[[#This Row],[Produto]],tProdutos[Produto],0))),DescontoPadrao)</f>
        <v>0.19963672657401599</v>
      </c>
      <c r="M6406" s="12">
        <f>tItens[[#This Row],[Valor]]*(1-tItens[[#This Row],[Desconto]])</f>
        <v>737.13457482533124</v>
      </c>
      <c r="N6406" t="str">
        <f>IFERROR(INDEX(tProdutos[Foco],MATCH(tItens[[#This Row],[Produto]],tProdutos[Produto],0)),"Não")</f>
        <v>Não</v>
      </c>
      <c r="O6406" t="str">
        <f>IFERROR(INDEX(tEditais[SRP],MATCH(tItens[[#This Row],[Edital]],tEditais[Edital],0)),"Não")</f>
        <v>Sim</v>
      </c>
      <c r="P6406" s="4">
        <f>IF(COUNTIFS(INDEX(tItens[Edital],1):tItens[[#This Row],[Edital]],tItens[[#This Row],[Edital]],INDEX(tItens[Produto],1):tItens[[#This Row],[Produto]],tItens[[#This Row],[Produto]])=1,1,0)</f>
        <v>1</v>
      </c>
    </row>
    <row r="6407" spans="1:16" x14ac:dyDescent="0.25">
      <c r="A6407" t="s">
        <v>2254</v>
      </c>
      <c r="B6407">
        <v>43</v>
      </c>
      <c r="C6407" t="s">
        <v>3475</v>
      </c>
      <c r="D6407" t="s">
        <v>313</v>
      </c>
      <c r="E6407" s="13">
        <v>150</v>
      </c>
      <c r="F6407" s="12">
        <v>36.82</v>
      </c>
      <c r="G6407" t="str">
        <f>IFERROR(INDEX(tEditais[Órgão],MATCH(tItens[[#This Row],[Edital]],tEditais[Edital],0)),"")</f>
        <v>FUNDO MUNICIPAL DE SAUDE DE MENDES</v>
      </c>
      <c r="H6407" t="str">
        <f>IFERROR(INDEX(tEditais[UF],MATCH(tItens[[#This Row],[Edital]],tEditais[Edital],0)),"")</f>
        <v>RJ</v>
      </c>
      <c r="I6407" s="11">
        <f>IFERROR(INDEX(tEditais[Encerramento],MATCH(tItens[[#This Row],[Edital]],tEditais[Edital],0)),"")</f>
        <v>46308.416666666664</v>
      </c>
      <c r="J6407" t="str">
        <f>IFERROR(INDEX(tProdutos[Classe],MATCH(tItens[[#This Row],[Produto]],tProdutos[Produto],0)),"produto não cadastrado")</f>
        <v>FORA</v>
      </c>
      <c r="K6407" s="12">
        <f>tItens[[#This Row],[Qtd]]*tItens[[#This Row],[Vlr unit]]</f>
        <v>5523</v>
      </c>
      <c r="L6407" s="6">
        <f>IFERROR(IF(INDEX(tProdutos[Desconto homologado],MATCH(tItens[[#This Row],[Produto]],tProdutos[Produto],0))="",DescontoPadrao,INDEX(tProdutos[Desconto homologado],MATCH(tItens[[#This Row],[Produto]],tProdutos[Produto],0))),DescontoPadrao)</f>
        <v>0.35766373163696302</v>
      </c>
      <c r="M6407" s="12">
        <f>tItens[[#This Row],[Valor]]*(1-tItens[[#This Row],[Desconto]])</f>
        <v>3547.623210169053</v>
      </c>
      <c r="N6407" t="str">
        <f>IFERROR(INDEX(tProdutos[Foco],MATCH(tItens[[#This Row],[Produto]],tProdutos[Produto],0)),"Não")</f>
        <v>Não</v>
      </c>
      <c r="O6407" t="str">
        <f>IFERROR(INDEX(tEditais[SRP],MATCH(tItens[[#This Row],[Edital]],tEditais[Edital],0)),"Não")</f>
        <v>Sim</v>
      </c>
      <c r="P6407" s="4">
        <f>IF(COUNTIFS(INDEX(tItens[Edital],1):tItens[[#This Row],[Edital]],tItens[[#This Row],[Edital]],INDEX(tItens[Produto],1):tItens[[#This Row],[Produto]],tItens[[#This Row],[Produto]])=1,1,0)</f>
        <v>1</v>
      </c>
    </row>
    <row r="6408" spans="1:16" x14ac:dyDescent="0.25">
      <c r="A6408" t="s">
        <v>2254</v>
      </c>
      <c r="B6408">
        <v>44</v>
      </c>
      <c r="C6408" t="s">
        <v>9131</v>
      </c>
      <c r="D6408" t="s">
        <v>413</v>
      </c>
      <c r="E6408" s="13">
        <v>200</v>
      </c>
      <c r="F6408" s="12">
        <v>3.2</v>
      </c>
      <c r="G6408" t="str">
        <f>IFERROR(INDEX(tEditais[Órgão],MATCH(tItens[[#This Row],[Edital]],tEditais[Edital],0)),"")</f>
        <v>FUNDO MUNICIPAL DE SAUDE DE MENDES</v>
      </c>
      <c r="H6408" t="str">
        <f>IFERROR(INDEX(tEditais[UF],MATCH(tItens[[#This Row],[Edital]],tEditais[Edital],0)),"")</f>
        <v>RJ</v>
      </c>
      <c r="I6408" s="11">
        <f>IFERROR(INDEX(tEditais[Encerramento],MATCH(tItens[[#This Row],[Edital]],tEditais[Edital],0)),"")</f>
        <v>46308.416666666664</v>
      </c>
      <c r="J6408" t="str">
        <f>IFERROR(INDEX(tProdutos[Classe],MATCH(tItens[[#This Row],[Produto]],tProdutos[Produto],0)),"produto não cadastrado")</f>
        <v>FORA</v>
      </c>
      <c r="K6408" s="12">
        <f>tItens[[#This Row],[Qtd]]*tItens[[#This Row],[Vlr unit]]</f>
        <v>640</v>
      </c>
      <c r="L6408" s="6">
        <f>IFERROR(IF(INDEX(tProdutos[Desconto homologado],MATCH(tItens[[#This Row],[Produto]],tProdutos[Produto],0))="",DescontoPadrao,INDEX(tProdutos[Desconto homologado],MATCH(tItens[[#This Row],[Produto]],tProdutos[Produto],0))),DescontoPadrao)</f>
        <v>0.477732793522267</v>
      </c>
      <c r="M6408" s="12">
        <f>tItens[[#This Row],[Valor]]*(1-tItens[[#This Row],[Desconto]])</f>
        <v>334.25101214574909</v>
      </c>
      <c r="N6408" t="str">
        <f>IFERROR(INDEX(tProdutos[Foco],MATCH(tItens[[#This Row],[Produto]],tProdutos[Produto],0)),"Não")</f>
        <v>Não</v>
      </c>
      <c r="O6408" t="str">
        <f>IFERROR(INDEX(tEditais[SRP],MATCH(tItens[[#This Row],[Edital]],tEditais[Edital],0)),"Não")</f>
        <v>Sim</v>
      </c>
      <c r="P6408" s="4">
        <f>IF(COUNTIFS(INDEX(tItens[Edital],1):tItens[[#This Row],[Edital]],tItens[[#This Row],[Edital]],INDEX(tItens[Produto],1):tItens[[#This Row],[Produto]],tItens[[#This Row],[Produto]])=1,1,0)</f>
        <v>1</v>
      </c>
    </row>
    <row r="6409" spans="1:16" x14ac:dyDescent="0.25">
      <c r="A6409" t="s">
        <v>2254</v>
      </c>
      <c r="B6409">
        <v>58</v>
      </c>
      <c r="C6409" t="s">
        <v>9032</v>
      </c>
      <c r="D6409" t="s">
        <v>69</v>
      </c>
      <c r="E6409" s="13">
        <v>1800</v>
      </c>
      <c r="F6409" s="12">
        <v>1.0900000000000001</v>
      </c>
      <c r="G6409" t="str">
        <f>IFERROR(INDEX(tEditais[Órgão],MATCH(tItens[[#This Row],[Edital]],tEditais[Edital],0)),"")</f>
        <v>FUNDO MUNICIPAL DE SAUDE DE MENDES</v>
      </c>
      <c r="H6409" t="str">
        <f>IFERROR(INDEX(tEditais[UF],MATCH(tItens[[#This Row],[Edital]],tEditais[Edital],0)),"")</f>
        <v>RJ</v>
      </c>
      <c r="I6409" s="11">
        <f>IFERROR(INDEX(tEditais[Encerramento],MATCH(tItens[[#This Row],[Edital]],tEditais[Edital],0)),"")</f>
        <v>46308.416666666664</v>
      </c>
      <c r="J6409" t="str">
        <f>IFERROR(INDEX(tProdutos[Classe],MATCH(tItens[[#This Row],[Produto]],tProdutos[Produto],0)),"produto não cadastrado")</f>
        <v>NÚCLEO</v>
      </c>
      <c r="K6409" s="12">
        <f>tItens[[#This Row],[Qtd]]*tItens[[#This Row],[Vlr unit]]</f>
        <v>1962.0000000000002</v>
      </c>
      <c r="L6409" s="6">
        <f>IFERROR(IF(INDEX(tProdutos[Desconto homologado],MATCH(tItens[[#This Row],[Produto]],tProdutos[Produto],0))="",DescontoPadrao,INDEX(tProdutos[Desconto homologado],MATCH(tItens[[#This Row],[Produto]],tProdutos[Produto],0))),DescontoPadrao)</f>
        <v>0.38829259638568803</v>
      </c>
      <c r="M6409" s="12">
        <f>tItens[[#This Row],[Valor]]*(1-tItens[[#This Row],[Desconto]])</f>
        <v>1200.1699258912802</v>
      </c>
      <c r="N6409" t="str">
        <f>IFERROR(INDEX(tProdutos[Foco],MATCH(tItens[[#This Row],[Produto]],tProdutos[Produto],0)),"Não")</f>
        <v>Não</v>
      </c>
      <c r="O6409" t="str">
        <f>IFERROR(INDEX(tEditais[SRP],MATCH(tItens[[#This Row],[Edital]],tEditais[Edital],0)),"Não")</f>
        <v>Sim</v>
      </c>
      <c r="P6409" s="4">
        <f>IF(COUNTIFS(INDEX(tItens[Edital],1):tItens[[#This Row],[Edital]],tItens[[#This Row],[Edital]],INDEX(tItens[Produto],1):tItens[[#This Row],[Produto]],tItens[[#This Row],[Produto]])=1,1,0)</f>
        <v>1</v>
      </c>
    </row>
    <row r="6410" spans="1:16" x14ac:dyDescent="0.25">
      <c r="A6410" t="s">
        <v>2254</v>
      </c>
      <c r="B6410">
        <v>59</v>
      </c>
      <c r="C6410" t="s">
        <v>9033</v>
      </c>
      <c r="D6410" t="s">
        <v>69</v>
      </c>
      <c r="E6410" s="13">
        <v>900</v>
      </c>
      <c r="F6410" s="12">
        <v>1.07</v>
      </c>
      <c r="G6410" t="str">
        <f>IFERROR(INDEX(tEditais[Órgão],MATCH(tItens[[#This Row],[Edital]],tEditais[Edital],0)),"")</f>
        <v>FUNDO MUNICIPAL DE SAUDE DE MENDES</v>
      </c>
      <c r="H6410" t="str">
        <f>IFERROR(INDEX(tEditais[UF],MATCH(tItens[[#This Row],[Edital]],tEditais[Edital],0)),"")</f>
        <v>RJ</v>
      </c>
      <c r="I6410" s="11">
        <f>IFERROR(INDEX(tEditais[Encerramento],MATCH(tItens[[#This Row],[Edital]],tEditais[Edital],0)),"")</f>
        <v>46308.416666666664</v>
      </c>
      <c r="J6410" t="str">
        <f>IFERROR(INDEX(tProdutos[Classe],MATCH(tItens[[#This Row],[Produto]],tProdutos[Produto],0)),"produto não cadastrado")</f>
        <v>NÚCLEO</v>
      </c>
      <c r="K6410" s="12">
        <f>tItens[[#This Row],[Qtd]]*tItens[[#This Row],[Vlr unit]]</f>
        <v>963</v>
      </c>
      <c r="L6410" s="6">
        <f>IFERROR(IF(INDEX(tProdutos[Desconto homologado],MATCH(tItens[[#This Row],[Produto]],tProdutos[Produto],0))="",DescontoPadrao,INDEX(tProdutos[Desconto homologado],MATCH(tItens[[#This Row],[Produto]],tProdutos[Produto],0))),DescontoPadrao)</f>
        <v>0.38829259638568803</v>
      </c>
      <c r="M6410" s="12">
        <f>tItens[[#This Row],[Valor]]*(1-tItens[[#This Row],[Desconto]])</f>
        <v>589.07422968058245</v>
      </c>
      <c r="N6410" t="str">
        <f>IFERROR(INDEX(tProdutos[Foco],MATCH(tItens[[#This Row],[Produto]],tProdutos[Produto],0)),"Não")</f>
        <v>Não</v>
      </c>
      <c r="O6410" t="str">
        <f>IFERROR(INDEX(tEditais[SRP],MATCH(tItens[[#This Row],[Edital]],tEditais[Edital],0)),"Não")</f>
        <v>Sim</v>
      </c>
      <c r="P6410" s="4">
        <f>IF(COUNTIFS(INDEX(tItens[Edital],1):tItens[[#This Row],[Edital]],tItens[[#This Row],[Edital]],INDEX(tItens[Produto],1):tItens[[#This Row],[Produto]],tItens[[#This Row],[Produto]])=1,1,0)</f>
        <v>0</v>
      </c>
    </row>
    <row r="6411" spans="1:16" x14ac:dyDescent="0.25">
      <c r="A6411" t="s">
        <v>2259</v>
      </c>
      <c r="B6411">
        <v>16</v>
      </c>
      <c r="C6411" t="s">
        <v>9132</v>
      </c>
      <c r="D6411" t="s">
        <v>245</v>
      </c>
      <c r="E6411" s="13">
        <v>20</v>
      </c>
      <c r="F6411" s="12">
        <v>0</v>
      </c>
      <c r="G6411" t="str">
        <f>IFERROR(INDEX(tEditais[Órgão],MATCH(tItens[[#This Row],[Edital]],tEditais[Edital],0)),"")</f>
        <v>FUNDACAO OSWALDO CRUZ</v>
      </c>
      <c r="H6411" t="str">
        <f>IFERROR(INDEX(tEditais[UF],MATCH(tItens[[#This Row],[Edital]],tEditais[Edital],0)),"")</f>
        <v>RJ</v>
      </c>
      <c r="I6411" s="11">
        <f>IFERROR(INDEX(tEditais[Encerramento],MATCH(tItens[[#This Row],[Edital]],tEditais[Edital],0)),"")</f>
        <v>46308.416666666664</v>
      </c>
      <c r="J6411" t="str">
        <f>IFERROR(INDEX(tProdutos[Classe],MATCH(tItens[[#This Row],[Produto]],tProdutos[Produto],0)),"produto não cadastrado")</f>
        <v>FORA</v>
      </c>
      <c r="K6411" s="12">
        <f>tItens[[#This Row],[Qtd]]*tItens[[#This Row],[Vlr unit]]</f>
        <v>0</v>
      </c>
      <c r="L6411" s="6">
        <f>IFERROR(IF(INDEX(tProdutos[Desconto homologado],MATCH(tItens[[#This Row],[Produto]],tProdutos[Produto],0))="",DescontoPadrao,INDEX(tProdutos[Desconto homologado],MATCH(tItens[[#This Row],[Produto]],tProdutos[Produto],0))),DescontoPadrao)</f>
        <v>0.34516963542284401</v>
      </c>
      <c r="M6411" s="12">
        <f>tItens[[#This Row],[Valor]]*(1-tItens[[#This Row],[Desconto]])</f>
        <v>0</v>
      </c>
      <c r="N6411" t="str">
        <f>IFERROR(INDEX(tProdutos[Foco],MATCH(tItens[[#This Row],[Produto]],tProdutos[Produto],0)),"Não")</f>
        <v>Não</v>
      </c>
      <c r="O6411" t="str">
        <f>IFERROR(INDEX(tEditais[SRP],MATCH(tItens[[#This Row],[Edital]],tEditais[Edital],0)),"Não")</f>
        <v>Não</v>
      </c>
      <c r="P6411" s="4">
        <f>IF(COUNTIFS(INDEX(tItens[Edital],1):tItens[[#This Row],[Edital]],tItens[[#This Row],[Edital]],INDEX(tItens[Produto],1):tItens[[#This Row],[Produto]],tItens[[#This Row],[Produto]])=1,1,0)</f>
        <v>1</v>
      </c>
    </row>
    <row r="6412" spans="1:16" x14ac:dyDescent="0.25">
      <c r="A6412" t="s">
        <v>2259</v>
      </c>
      <c r="B6412">
        <v>17</v>
      </c>
      <c r="C6412" t="s">
        <v>9133</v>
      </c>
      <c r="D6412" t="s">
        <v>221</v>
      </c>
      <c r="E6412" s="13">
        <v>200</v>
      </c>
      <c r="F6412" s="12">
        <v>0</v>
      </c>
      <c r="G6412" t="str">
        <f>IFERROR(INDEX(tEditais[Órgão],MATCH(tItens[[#This Row],[Edital]],tEditais[Edital],0)),"")</f>
        <v>FUNDACAO OSWALDO CRUZ</v>
      </c>
      <c r="H6412" t="str">
        <f>IFERROR(INDEX(tEditais[UF],MATCH(tItens[[#This Row],[Edital]],tEditais[Edital],0)),"")</f>
        <v>RJ</v>
      </c>
      <c r="I6412" s="11">
        <f>IFERROR(INDEX(tEditais[Encerramento],MATCH(tItens[[#This Row],[Edital]],tEditais[Edital],0)),"")</f>
        <v>46308.416666666664</v>
      </c>
      <c r="J6412" t="str">
        <f>IFERROR(INDEX(tProdutos[Classe],MATCH(tItens[[#This Row],[Produto]],tProdutos[Produto],0)),"produto não cadastrado")</f>
        <v>FORA</v>
      </c>
      <c r="K6412" s="12">
        <f>tItens[[#This Row],[Qtd]]*tItens[[#This Row],[Vlr unit]]</f>
        <v>0</v>
      </c>
      <c r="L6412" s="6">
        <f>IFERROR(IF(INDEX(tProdutos[Desconto homologado],MATCH(tItens[[#This Row],[Produto]],tProdutos[Produto],0))="",DescontoPadrao,INDEX(tProdutos[Desconto homologado],MATCH(tItens[[#This Row],[Produto]],tProdutos[Produto],0))),DescontoPadrao)</f>
        <v>0.35408560311283999</v>
      </c>
      <c r="M6412" s="12">
        <f>tItens[[#This Row],[Valor]]*(1-tItens[[#This Row],[Desconto]])</f>
        <v>0</v>
      </c>
      <c r="N6412" t="str">
        <f>IFERROR(INDEX(tProdutos[Foco],MATCH(tItens[[#This Row],[Produto]],tProdutos[Produto],0)),"Não")</f>
        <v>Não</v>
      </c>
      <c r="O6412" t="str">
        <f>IFERROR(INDEX(tEditais[SRP],MATCH(tItens[[#This Row],[Edital]],tEditais[Edital],0)),"Não")</f>
        <v>Não</v>
      </c>
      <c r="P6412" s="4">
        <f>IF(COUNTIFS(INDEX(tItens[Edital],1):tItens[[#This Row],[Edital]],tItens[[#This Row],[Edital]],INDEX(tItens[Produto],1):tItens[[#This Row],[Produto]],tItens[[#This Row],[Produto]])=1,1,0)</f>
        <v>1</v>
      </c>
    </row>
    <row r="6413" spans="1:16" x14ac:dyDescent="0.25">
      <c r="A6413" t="s">
        <v>2259</v>
      </c>
      <c r="B6413">
        <v>18</v>
      </c>
      <c r="C6413" t="s">
        <v>9134</v>
      </c>
      <c r="D6413" t="s">
        <v>221</v>
      </c>
      <c r="E6413" s="13">
        <v>500</v>
      </c>
      <c r="F6413" s="12">
        <v>0</v>
      </c>
      <c r="G6413" t="str">
        <f>IFERROR(INDEX(tEditais[Órgão],MATCH(tItens[[#This Row],[Edital]],tEditais[Edital],0)),"")</f>
        <v>FUNDACAO OSWALDO CRUZ</v>
      </c>
      <c r="H6413" t="str">
        <f>IFERROR(INDEX(tEditais[UF],MATCH(tItens[[#This Row],[Edital]],tEditais[Edital],0)),"")</f>
        <v>RJ</v>
      </c>
      <c r="I6413" s="11">
        <f>IFERROR(INDEX(tEditais[Encerramento],MATCH(tItens[[#This Row],[Edital]],tEditais[Edital],0)),"")</f>
        <v>46308.416666666664</v>
      </c>
      <c r="J6413" t="str">
        <f>IFERROR(INDEX(tProdutos[Classe],MATCH(tItens[[#This Row],[Produto]],tProdutos[Produto],0)),"produto não cadastrado")</f>
        <v>FORA</v>
      </c>
      <c r="K6413" s="12">
        <f>tItens[[#This Row],[Qtd]]*tItens[[#This Row],[Vlr unit]]</f>
        <v>0</v>
      </c>
      <c r="L6413" s="6">
        <f>IFERROR(IF(INDEX(tProdutos[Desconto homologado],MATCH(tItens[[#This Row],[Produto]],tProdutos[Produto],0))="",DescontoPadrao,INDEX(tProdutos[Desconto homologado],MATCH(tItens[[#This Row],[Produto]],tProdutos[Produto],0))),DescontoPadrao)</f>
        <v>0.35408560311283999</v>
      </c>
      <c r="M6413" s="12">
        <f>tItens[[#This Row],[Valor]]*(1-tItens[[#This Row],[Desconto]])</f>
        <v>0</v>
      </c>
      <c r="N6413" t="str">
        <f>IFERROR(INDEX(tProdutos[Foco],MATCH(tItens[[#This Row],[Produto]],tProdutos[Produto],0)),"Não")</f>
        <v>Não</v>
      </c>
      <c r="O6413" t="str">
        <f>IFERROR(INDEX(tEditais[SRP],MATCH(tItens[[#This Row],[Edital]],tEditais[Edital],0)),"Não")</f>
        <v>Não</v>
      </c>
      <c r="P6413" s="4">
        <f>IF(COUNTIFS(INDEX(tItens[Edital],1):tItens[[#This Row],[Edital]],tItens[[#This Row],[Edital]],INDEX(tItens[Produto],1):tItens[[#This Row],[Produto]],tItens[[#This Row],[Produto]])=1,1,0)</f>
        <v>0</v>
      </c>
    </row>
    <row r="6414" spans="1:16" x14ac:dyDescent="0.25">
      <c r="A6414" t="s">
        <v>2259</v>
      </c>
      <c r="B6414">
        <v>20</v>
      </c>
      <c r="C6414" t="s">
        <v>9135</v>
      </c>
      <c r="D6414" t="s">
        <v>221</v>
      </c>
      <c r="E6414" s="13">
        <v>16000</v>
      </c>
      <c r="F6414" s="12">
        <v>0</v>
      </c>
      <c r="G6414" t="str">
        <f>IFERROR(INDEX(tEditais[Órgão],MATCH(tItens[[#This Row],[Edital]],tEditais[Edital],0)),"")</f>
        <v>FUNDACAO OSWALDO CRUZ</v>
      </c>
      <c r="H6414" t="str">
        <f>IFERROR(INDEX(tEditais[UF],MATCH(tItens[[#This Row],[Edital]],tEditais[Edital],0)),"")</f>
        <v>RJ</v>
      </c>
      <c r="I6414" s="11">
        <f>IFERROR(INDEX(tEditais[Encerramento],MATCH(tItens[[#This Row],[Edital]],tEditais[Edital],0)),"")</f>
        <v>46308.416666666664</v>
      </c>
      <c r="J6414" t="str">
        <f>IFERROR(INDEX(tProdutos[Classe],MATCH(tItens[[#This Row],[Produto]],tProdutos[Produto],0)),"produto não cadastrado")</f>
        <v>FORA</v>
      </c>
      <c r="K6414" s="12">
        <f>tItens[[#This Row],[Qtd]]*tItens[[#This Row],[Vlr unit]]</f>
        <v>0</v>
      </c>
      <c r="L6414" s="6">
        <f>IFERROR(IF(INDEX(tProdutos[Desconto homologado],MATCH(tItens[[#This Row],[Produto]],tProdutos[Produto],0))="",DescontoPadrao,INDEX(tProdutos[Desconto homologado],MATCH(tItens[[#This Row],[Produto]],tProdutos[Produto],0))),DescontoPadrao)</f>
        <v>0.35408560311283999</v>
      </c>
      <c r="M6414" s="12">
        <f>tItens[[#This Row],[Valor]]*(1-tItens[[#This Row],[Desconto]])</f>
        <v>0</v>
      </c>
      <c r="N6414" t="str">
        <f>IFERROR(INDEX(tProdutos[Foco],MATCH(tItens[[#This Row],[Produto]],tProdutos[Produto],0)),"Não")</f>
        <v>Não</v>
      </c>
      <c r="O6414" t="str">
        <f>IFERROR(INDEX(tEditais[SRP],MATCH(tItens[[#This Row],[Edital]],tEditais[Edital],0)),"Não")</f>
        <v>Não</v>
      </c>
      <c r="P6414" s="4">
        <f>IF(COUNTIFS(INDEX(tItens[Edital],1):tItens[[#This Row],[Edital]],tItens[[#This Row],[Edital]],INDEX(tItens[Produto],1):tItens[[#This Row],[Produto]],tItens[[#This Row],[Produto]])=1,1,0)</f>
        <v>0</v>
      </c>
    </row>
    <row r="6415" spans="1:16" x14ac:dyDescent="0.25">
      <c r="A6415" t="s">
        <v>2259</v>
      </c>
      <c r="B6415">
        <v>21</v>
      </c>
      <c r="C6415" t="s">
        <v>9136</v>
      </c>
      <c r="D6415" t="s">
        <v>221</v>
      </c>
      <c r="E6415" s="13">
        <v>13000</v>
      </c>
      <c r="F6415" s="12">
        <v>0</v>
      </c>
      <c r="G6415" t="str">
        <f>IFERROR(INDEX(tEditais[Órgão],MATCH(tItens[[#This Row],[Edital]],tEditais[Edital],0)),"")</f>
        <v>FUNDACAO OSWALDO CRUZ</v>
      </c>
      <c r="H6415" t="str">
        <f>IFERROR(INDEX(tEditais[UF],MATCH(tItens[[#This Row],[Edital]],tEditais[Edital],0)),"")</f>
        <v>RJ</v>
      </c>
      <c r="I6415" s="11">
        <f>IFERROR(INDEX(tEditais[Encerramento],MATCH(tItens[[#This Row],[Edital]],tEditais[Edital],0)),"")</f>
        <v>46308.416666666664</v>
      </c>
      <c r="J6415" t="str">
        <f>IFERROR(INDEX(tProdutos[Classe],MATCH(tItens[[#This Row],[Produto]],tProdutos[Produto],0)),"produto não cadastrado")</f>
        <v>FORA</v>
      </c>
      <c r="K6415" s="12">
        <f>tItens[[#This Row],[Qtd]]*tItens[[#This Row],[Vlr unit]]</f>
        <v>0</v>
      </c>
      <c r="L6415" s="6">
        <f>IFERROR(IF(INDEX(tProdutos[Desconto homologado],MATCH(tItens[[#This Row],[Produto]],tProdutos[Produto],0))="",DescontoPadrao,INDEX(tProdutos[Desconto homologado],MATCH(tItens[[#This Row],[Produto]],tProdutos[Produto],0))),DescontoPadrao)</f>
        <v>0.35408560311283999</v>
      </c>
      <c r="M6415" s="12">
        <f>tItens[[#This Row],[Valor]]*(1-tItens[[#This Row],[Desconto]])</f>
        <v>0</v>
      </c>
      <c r="N6415" t="str">
        <f>IFERROR(INDEX(tProdutos[Foco],MATCH(tItens[[#This Row],[Produto]],tProdutos[Produto],0)),"Não")</f>
        <v>Não</v>
      </c>
      <c r="O6415" t="str">
        <f>IFERROR(INDEX(tEditais[SRP],MATCH(tItens[[#This Row],[Edital]],tEditais[Edital],0)),"Não")</f>
        <v>Não</v>
      </c>
      <c r="P6415" s="4">
        <f>IF(COUNTIFS(INDEX(tItens[Edital],1):tItens[[#This Row],[Edital]],tItens[[#This Row],[Edital]],INDEX(tItens[Produto],1):tItens[[#This Row],[Produto]],tItens[[#This Row],[Produto]])=1,1,0)</f>
        <v>0</v>
      </c>
    </row>
    <row r="6416" spans="1:16" x14ac:dyDescent="0.25">
      <c r="A6416" t="s">
        <v>2259</v>
      </c>
      <c r="B6416">
        <v>22</v>
      </c>
      <c r="C6416" t="s">
        <v>9137</v>
      </c>
      <c r="D6416" t="s">
        <v>221</v>
      </c>
      <c r="E6416" s="13">
        <v>1400</v>
      </c>
      <c r="F6416" s="12">
        <v>0</v>
      </c>
      <c r="G6416" t="str">
        <f>IFERROR(INDEX(tEditais[Órgão],MATCH(tItens[[#This Row],[Edital]],tEditais[Edital],0)),"")</f>
        <v>FUNDACAO OSWALDO CRUZ</v>
      </c>
      <c r="H6416" t="str">
        <f>IFERROR(INDEX(tEditais[UF],MATCH(tItens[[#This Row],[Edital]],tEditais[Edital],0)),"")</f>
        <v>RJ</v>
      </c>
      <c r="I6416" s="11">
        <f>IFERROR(INDEX(tEditais[Encerramento],MATCH(tItens[[#This Row],[Edital]],tEditais[Edital],0)),"")</f>
        <v>46308.416666666664</v>
      </c>
      <c r="J6416" t="str">
        <f>IFERROR(INDEX(tProdutos[Classe],MATCH(tItens[[#This Row],[Produto]],tProdutos[Produto],0)),"produto não cadastrado")</f>
        <v>FORA</v>
      </c>
      <c r="K6416" s="12">
        <f>tItens[[#This Row],[Qtd]]*tItens[[#This Row],[Vlr unit]]</f>
        <v>0</v>
      </c>
      <c r="L6416" s="6">
        <f>IFERROR(IF(INDEX(tProdutos[Desconto homologado],MATCH(tItens[[#This Row],[Produto]],tProdutos[Produto],0))="",DescontoPadrao,INDEX(tProdutos[Desconto homologado],MATCH(tItens[[#This Row],[Produto]],tProdutos[Produto],0))),DescontoPadrao)</f>
        <v>0.35408560311283999</v>
      </c>
      <c r="M6416" s="12">
        <f>tItens[[#This Row],[Valor]]*(1-tItens[[#This Row],[Desconto]])</f>
        <v>0</v>
      </c>
      <c r="N6416" t="str">
        <f>IFERROR(INDEX(tProdutos[Foco],MATCH(tItens[[#This Row],[Produto]],tProdutos[Produto],0)),"Não")</f>
        <v>Não</v>
      </c>
      <c r="O6416" t="str">
        <f>IFERROR(INDEX(tEditais[SRP],MATCH(tItens[[#This Row],[Edital]],tEditais[Edital],0)),"Não")</f>
        <v>Não</v>
      </c>
      <c r="P6416" s="4">
        <f>IF(COUNTIFS(INDEX(tItens[Edital],1):tItens[[#This Row],[Edital]],tItens[[#This Row],[Edital]],INDEX(tItens[Produto],1):tItens[[#This Row],[Produto]],tItens[[#This Row],[Produto]])=1,1,0)</f>
        <v>0</v>
      </c>
    </row>
    <row r="6417" spans="1:16" x14ac:dyDescent="0.25">
      <c r="A6417" t="s">
        <v>2259</v>
      </c>
      <c r="B6417">
        <v>23</v>
      </c>
      <c r="C6417" t="s">
        <v>9138</v>
      </c>
      <c r="D6417" t="s">
        <v>245</v>
      </c>
      <c r="E6417" s="13">
        <v>1500</v>
      </c>
      <c r="F6417" s="12">
        <v>0</v>
      </c>
      <c r="G6417" t="str">
        <f>IFERROR(INDEX(tEditais[Órgão],MATCH(tItens[[#This Row],[Edital]],tEditais[Edital],0)),"")</f>
        <v>FUNDACAO OSWALDO CRUZ</v>
      </c>
      <c r="H6417" t="str">
        <f>IFERROR(INDEX(tEditais[UF],MATCH(tItens[[#This Row],[Edital]],tEditais[Edital],0)),"")</f>
        <v>RJ</v>
      </c>
      <c r="I6417" s="11">
        <f>IFERROR(INDEX(tEditais[Encerramento],MATCH(tItens[[#This Row],[Edital]],tEditais[Edital],0)),"")</f>
        <v>46308.416666666664</v>
      </c>
      <c r="J6417" t="str">
        <f>IFERROR(INDEX(tProdutos[Classe],MATCH(tItens[[#This Row],[Produto]],tProdutos[Produto],0)),"produto não cadastrado")</f>
        <v>FORA</v>
      </c>
      <c r="K6417" s="12">
        <f>tItens[[#This Row],[Qtd]]*tItens[[#This Row],[Vlr unit]]</f>
        <v>0</v>
      </c>
      <c r="L6417" s="6">
        <f>IFERROR(IF(INDEX(tProdutos[Desconto homologado],MATCH(tItens[[#This Row],[Produto]],tProdutos[Produto],0))="",DescontoPadrao,INDEX(tProdutos[Desconto homologado],MATCH(tItens[[#This Row],[Produto]],tProdutos[Produto],0))),DescontoPadrao)</f>
        <v>0.34516963542284401</v>
      </c>
      <c r="M6417" s="12">
        <f>tItens[[#This Row],[Valor]]*(1-tItens[[#This Row],[Desconto]])</f>
        <v>0</v>
      </c>
      <c r="N6417" t="str">
        <f>IFERROR(INDEX(tProdutos[Foco],MATCH(tItens[[#This Row],[Produto]],tProdutos[Produto],0)),"Não")</f>
        <v>Não</v>
      </c>
      <c r="O6417" t="str">
        <f>IFERROR(INDEX(tEditais[SRP],MATCH(tItens[[#This Row],[Edital]],tEditais[Edital],0)),"Não")</f>
        <v>Não</v>
      </c>
      <c r="P6417" s="4">
        <f>IF(COUNTIFS(INDEX(tItens[Edital],1):tItens[[#This Row],[Edital]],tItens[[#This Row],[Edital]],INDEX(tItens[Produto],1):tItens[[#This Row],[Produto]],tItens[[#This Row],[Produto]])=1,1,0)</f>
        <v>0</v>
      </c>
    </row>
    <row r="6418" spans="1:16" x14ac:dyDescent="0.25">
      <c r="A6418" t="s">
        <v>2259</v>
      </c>
      <c r="B6418">
        <v>36</v>
      </c>
      <c r="C6418" t="s">
        <v>9139</v>
      </c>
      <c r="D6418" t="s">
        <v>221</v>
      </c>
      <c r="E6418" s="13">
        <v>400</v>
      </c>
      <c r="F6418" s="12">
        <v>0</v>
      </c>
      <c r="G6418" t="str">
        <f>IFERROR(INDEX(tEditais[Órgão],MATCH(tItens[[#This Row],[Edital]],tEditais[Edital],0)),"")</f>
        <v>FUNDACAO OSWALDO CRUZ</v>
      </c>
      <c r="H6418" t="str">
        <f>IFERROR(INDEX(tEditais[UF],MATCH(tItens[[#This Row],[Edital]],tEditais[Edital],0)),"")</f>
        <v>RJ</v>
      </c>
      <c r="I6418" s="11">
        <f>IFERROR(INDEX(tEditais[Encerramento],MATCH(tItens[[#This Row],[Edital]],tEditais[Edital],0)),"")</f>
        <v>46308.416666666664</v>
      </c>
      <c r="J6418" t="str">
        <f>IFERROR(INDEX(tProdutos[Classe],MATCH(tItens[[#This Row],[Produto]],tProdutos[Produto],0)),"produto não cadastrado")</f>
        <v>FORA</v>
      </c>
      <c r="K6418" s="12">
        <f>tItens[[#This Row],[Qtd]]*tItens[[#This Row],[Vlr unit]]</f>
        <v>0</v>
      </c>
      <c r="L6418" s="6">
        <f>IFERROR(IF(INDEX(tProdutos[Desconto homologado],MATCH(tItens[[#This Row],[Produto]],tProdutos[Produto],0))="",DescontoPadrao,INDEX(tProdutos[Desconto homologado],MATCH(tItens[[#This Row],[Produto]],tProdutos[Produto],0))),DescontoPadrao)</f>
        <v>0.35408560311283999</v>
      </c>
      <c r="M6418" s="12">
        <f>tItens[[#This Row],[Valor]]*(1-tItens[[#This Row],[Desconto]])</f>
        <v>0</v>
      </c>
      <c r="N6418" t="str">
        <f>IFERROR(INDEX(tProdutos[Foco],MATCH(tItens[[#This Row],[Produto]],tProdutos[Produto],0)),"Não")</f>
        <v>Não</v>
      </c>
      <c r="O6418" t="str">
        <f>IFERROR(INDEX(tEditais[SRP],MATCH(tItens[[#This Row],[Edital]],tEditais[Edital],0)),"Não")</f>
        <v>Não</v>
      </c>
      <c r="P6418" s="4">
        <f>IF(COUNTIFS(INDEX(tItens[Edital],1):tItens[[#This Row],[Edital]],tItens[[#This Row],[Edital]],INDEX(tItens[Produto],1):tItens[[#This Row],[Produto]],tItens[[#This Row],[Produto]])=1,1,0)</f>
        <v>0</v>
      </c>
    </row>
    <row r="6419" spans="1:16" x14ac:dyDescent="0.25">
      <c r="A6419" t="s">
        <v>2259</v>
      </c>
      <c r="B6419">
        <v>38</v>
      </c>
      <c r="C6419" t="s">
        <v>7045</v>
      </c>
      <c r="D6419" t="s">
        <v>221</v>
      </c>
      <c r="E6419" s="13">
        <v>10000</v>
      </c>
      <c r="F6419" s="12">
        <v>0</v>
      </c>
      <c r="G6419" t="str">
        <f>IFERROR(INDEX(tEditais[Órgão],MATCH(tItens[[#This Row],[Edital]],tEditais[Edital],0)),"")</f>
        <v>FUNDACAO OSWALDO CRUZ</v>
      </c>
      <c r="H6419" t="str">
        <f>IFERROR(INDEX(tEditais[UF],MATCH(tItens[[#This Row],[Edital]],tEditais[Edital],0)),"")</f>
        <v>RJ</v>
      </c>
      <c r="I6419" s="11">
        <f>IFERROR(INDEX(tEditais[Encerramento],MATCH(tItens[[#This Row],[Edital]],tEditais[Edital],0)),"")</f>
        <v>46308.416666666664</v>
      </c>
      <c r="J6419" t="str">
        <f>IFERROR(INDEX(tProdutos[Classe],MATCH(tItens[[#This Row],[Produto]],tProdutos[Produto],0)),"produto não cadastrado")</f>
        <v>FORA</v>
      </c>
      <c r="K6419" s="12">
        <f>tItens[[#This Row],[Qtd]]*tItens[[#This Row],[Vlr unit]]</f>
        <v>0</v>
      </c>
      <c r="L6419" s="6">
        <f>IFERROR(IF(INDEX(tProdutos[Desconto homologado],MATCH(tItens[[#This Row],[Produto]],tProdutos[Produto],0))="",DescontoPadrao,INDEX(tProdutos[Desconto homologado],MATCH(tItens[[#This Row],[Produto]],tProdutos[Produto],0))),DescontoPadrao)</f>
        <v>0.35408560311283999</v>
      </c>
      <c r="M6419" s="12">
        <f>tItens[[#This Row],[Valor]]*(1-tItens[[#This Row],[Desconto]])</f>
        <v>0</v>
      </c>
      <c r="N6419" t="str">
        <f>IFERROR(INDEX(tProdutos[Foco],MATCH(tItens[[#This Row],[Produto]],tProdutos[Produto],0)),"Não")</f>
        <v>Não</v>
      </c>
      <c r="O6419" t="str">
        <f>IFERROR(INDEX(tEditais[SRP],MATCH(tItens[[#This Row],[Edital]],tEditais[Edital],0)),"Não")</f>
        <v>Não</v>
      </c>
      <c r="P6419" s="4">
        <f>IF(COUNTIFS(INDEX(tItens[Edital],1):tItens[[#This Row],[Edital]],tItens[[#This Row],[Edital]],INDEX(tItens[Produto],1):tItens[[#This Row],[Produto]],tItens[[#This Row],[Produto]])=1,1,0)</f>
        <v>0</v>
      </c>
    </row>
    <row r="6420" spans="1:16" x14ac:dyDescent="0.25">
      <c r="A6420" t="s">
        <v>2259</v>
      </c>
      <c r="B6420">
        <v>40</v>
      </c>
      <c r="C6420" t="s">
        <v>9140</v>
      </c>
      <c r="D6420" t="s">
        <v>299</v>
      </c>
      <c r="E6420" s="13">
        <v>1700000</v>
      </c>
      <c r="F6420" s="12">
        <v>0</v>
      </c>
      <c r="G6420" t="str">
        <f>IFERROR(INDEX(tEditais[Órgão],MATCH(tItens[[#This Row],[Edital]],tEditais[Edital],0)),"")</f>
        <v>FUNDACAO OSWALDO CRUZ</v>
      </c>
      <c r="H6420" t="str">
        <f>IFERROR(INDEX(tEditais[UF],MATCH(tItens[[#This Row],[Edital]],tEditais[Edital],0)),"")</f>
        <v>RJ</v>
      </c>
      <c r="I6420" s="11">
        <f>IFERROR(INDEX(tEditais[Encerramento],MATCH(tItens[[#This Row],[Edital]],tEditais[Edital],0)),"")</f>
        <v>46308.416666666664</v>
      </c>
      <c r="J6420" t="str">
        <f>IFERROR(INDEX(tProdutos[Classe],MATCH(tItens[[#This Row],[Produto]],tProdutos[Produto],0)),"produto não cadastrado")</f>
        <v>FORA</v>
      </c>
      <c r="K6420" s="12">
        <f>tItens[[#This Row],[Qtd]]*tItens[[#This Row],[Vlr unit]]</f>
        <v>0</v>
      </c>
      <c r="L6420" s="6">
        <f>IFERROR(IF(INDEX(tProdutos[Desconto homologado],MATCH(tItens[[#This Row],[Produto]],tProdutos[Produto],0))="",DescontoPadrao,INDEX(tProdutos[Desconto homologado],MATCH(tItens[[#This Row],[Produto]],tProdutos[Produto],0))),DescontoPadrao)</f>
        <v>0.42211465163381601</v>
      </c>
      <c r="M6420" s="12">
        <f>tItens[[#This Row],[Valor]]*(1-tItens[[#This Row],[Desconto]])</f>
        <v>0</v>
      </c>
      <c r="N6420" t="str">
        <f>IFERROR(INDEX(tProdutos[Foco],MATCH(tItens[[#This Row],[Produto]],tProdutos[Produto],0)),"Não")</f>
        <v>Não</v>
      </c>
      <c r="O6420" t="str">
        <f>IFERROR(INDEX(tEditais[SRP],MATCH(tItens[[#This Row],[Edital]],tEditais[Edital],0)),"Não")</f>
        <v>Não</v>
      </c>
      <c r="P6420" s="4">
        <f>IF(COUNTIFS(INDEX(tItens[Edital],1):tItens[[#This Row],[Edital]],tItens[[#This Row],[Edital]],INDEX(tItens[Produto],1):tItens[[#This Row],[Produto]],tItens[[#This Row],[Produto]])=1,1,0)</f>
        <v>1</v>
      </c>
    </row>
    <row r="6421" spans="1:16" x14ac:dyDescent="0.25">
      <c r="A6421" t="s">
        <v>2259</v>
      </c>
      <c r="B6421">
        <v>43</v>
      </c>
      <c r="C6421" t="s">
        <v>9141</v>
      </c>
      <c r="D6421" t="s">
        <v>102</v>
      </c>
      <c r="E6421" s="13">
        <v>3000</v>
      </c>
      <c r="F6421" s="12">
        <v>0</v>
      </c>
      <c r="G6421" t="str">
        <f>IFERROR(INDEX(tEditais[Órgão],MATCH(tItens[[#This Row],[Edital]],tEditais[Edital],0)),"")</f>
        <v>FUNDACAO OSWALDO CRUZ</v>
      </c>
      <c r="H6421" t="str">
        <f>IFERROR(INDEX(tEditais[UF],MATCH(tItens[[#This Row],[Edital]],tEditais[Edital],0)),"")</f>
        <v>RJ</v>
      </c>
      <c r="I6421" s="11">
        <f>IFERROR(INDEX(tEditais[Encerramento],MATCH(tItens[[#This Row],[Edital]],tEditais[Edital],0)),"")</f>
        <v>46308.416666666664</v>
      </c>
      <c r="J6421" t="str">
        <f>IFERROR(INDEX(tProdutos[Classe],MATCH(tItens[[#This Row],[Produto]],tProdutos[Produto],0)),"produto não cadastrado")</f>
        <v>DISPUTADO</v>
      </c>
      <c r="K6421" s="12">
        <f>tItens[[#This Row],[Qtd]]*tItens[[#This Row],[Vlr unit]]</f>
        <v>0</v>
      </c>
      <c r="L6421" s="6">
        <f>IFERROR(IF(INDEX(tProdutos[Desconto homologado],MATCH(tItens[[#This Row],[Produto]],tProdutos[Produto],0))="",DescontoPadrao,INDEX(tProdutos[Desconto homologado],MATCH(tItens[[#This Row],[Produto]],tProdutos[Produto],0))),DescontoPadrao)</f>
        <v>0.38053097345132803</v>
      </c>
      <c r="M6421" s="12">
        <f>tItens[[#This Row],[Valor]]*(1-tItens[[#This Row],[Desconto]])</f>
        <v>0</v>
      </c>
      <c r="N6421" t="str">
        <f>IFERROR(INDEX(tProdutos[Foco],MATCH(tItens[[#This Row],[Produto]],tProdutos[Produto],0)),"Não")</f>
        <v>Não</v>
      </c>
      <c r="O6421" t="str">
        <f>IFERROR(INDEX(tEditais[SRP],MATCH(tItens[[#This Row],[Edital]],tEditais[Edital],0)),"Não")</f>
        <v>Não</v>
      </c>
      <c r="P6421" s="4">
        <f>IF(COUNTIFS(INDEX(tItens[Edital],1):tItens[[#This Row],[Edital]],tItens[[#This Row],[Edital]],INDEX(tItens[Produto],1):tItens[[#This Row],[Produto]],tItens[[#This Row],[Produto]])=1,1,0)</f>
        <v>1</v>
      </c>
    </row>
    <row r="6422" spans="1:16" x14ac:dyDescent="0.25">
      <c r="A6422" t="s">
        <v>2259</v>
      </c>
      <c r="B6422">
        <v>49</v>
      </c>
      <c r="C6422" t="s">
        <v>9142</v>
      </c>
      <c r="D6422" t="s">
        <v>512</v>
      </c>
      <c r="E6422" s="13">
        <v>150</v>
      </c>
      <c r="F6422" s="12">
        <v>0</v>
      </c>
      <c r="G6422" t="str">
        <f>IFERROR(INDEX(tEditais[Órgão],MATCH(tItens[[#This Row],[Edital]],tEditais[Edital],0)),"")</f>
        <v>FUNDACAO OSWALDO CRUZ</v>
      </c>
      <c r="H6422" t="str">
        <f>IFERROR(INDEX(tEditais[UF],MATCH(tItens[[#This Row],[Edital]],tEditais[Edital],0)),"")</f>
        <v>RJ</v>
      </c>
      <c r="I6422" s="11">
        <f>IFERROR(INDEX(tEditais[Encerramento],MATCH(tItens[[#This Row],[Edital]],tEditais[Edital],0)),"")</f>
        <v>46308.416666666664</v>
      </c>
      <c r="J6422" t="str">
        <f>IFERROR(INDEX(tProdutos[Classe],MATCH(tItens[[#This Row],[Produto]],tProdutos[Produto],0)),"produto não cadastrado")</f>
        <v>FILA REBASE</v>
      </c>
      <c r="K6422" s="12">
        <f>tItens[[#This Row],[Qtd]]*tItens[[#This Row],[Vlr unit]]</f>
        <v>0</v>
      </c>
      <c r="L6422" s="6">
        <f>IFERROR(IF(INDEX(tProdutos[Desconto homologado],MATCH(tItens[[#This Row],[Produto]],tProdutos[Produto],0))="",DescontoPadrao,INDEX(tProdutos[Desconto homologado],MATCH(tItens[[#This Row],[Produto]],tProdutos[Produto],0))),DescontoPadrao)</f>
        <v>0.32579365079365102</v>
      </c>
      <c r="M6422" s="12">
        <f>tItens[[#This Row],[Valor]]*(1-tItens[[#This Row],[Desconto]])</f>
        <v>0</v>
      </c>
      <c r="N6422" t="str">
        <f>IFERROR(INDEX(tProdutos[Foco],MATCH(tItens[[#This Row],[Produto]],tProdutos[Produto],0)),"Não")</f>
        <v>Não</v>
      </c>
      <c r="O6422" t="str">
        <f>IFERROR(INDEX(tEditais[SRP],MATCH(tItens[[#This Row],[Edital]],tEditais[Edital],0)),"Não")</f>
        <v>Não</v>
      </c>
      <c r="P6422" s="4">
        <f>IF(COUNTIFS(INDEX(tItens[Edital],1):tItens[[#This Row],[Edital]],tItens[[#This Row],[Edital]],INDEX(tItens[Produto],1):tItens[[#This Row],[Produto]],tItens[[#This Row],[Produto]])=1,1,0)</f>
        <v>1</v>
      </c>
    </row>
    <row r="6423" spans="1:16" x14ac:dyDescent="0.25">
      <c r="A6423" t="s">
        <v>2259</v>
      </c>
      <c r="B6423">
        <v>52</v>
      </c>
      <c r="C6423" t="s">
        <v>9143</v>
      </c>
      <c r="D6423" t="s">
        <v>245</v>
      </c>
      <c r="E6423" s="13">
        <v>30</v>
      </c>
      <c r="F6423" s="12">
        <v>0</v>
      </c>
      <c r="G6423" t="str">
        <f>IFERROR(INDEX(tEditais[Órgão],MATCH(tItens[[#This Row],[Edital]],tEditais[Edital],0)),"")</f>
        <v>FUNDACAO OSWALDO CRUZ</v>
      </c>
      <c r="H6423" t="str">
        <f>IFERROR(INDEX(tEditais[UF],MATCH(tItens[[#This Row],[Edital]],tEditais[Edital],0)),"")</f>
        <v>RJ</v>
      </c>
      <c r="I6423" s="11">
        <f>IFERROR(INDEX(tEditais[Encerramento],MATCH(tItens[[#This Row],[Edital]],tEditais[Edital],0)),"")</f>
        <v>46308.416666666664</v>
      </c>
      <c r="J6423" t="str">
        <f>IFERROR(INDEX(tProdutos[Classe],MATCH(tItens[[#This Row],[Produto]],tProdutos[Produto],0)),"produto não cadastrado")</f>
        <v>FORA</v>
      </c>
      <c r="K6423" s="12">
        <f>tItens[[#This Row],[Qtd]]*tItens[[#This Row],[Vlr unit]]</f>
        <v>0</v>
      </c>
      <c r="L6423" s="6">
        <f>IFERROR(IF(INDEX(tProdutos[Desconto homologado],MATCH(tItens[[#This Row],[Produto]],tProdutos[Produto],0))="",DescontoPadrao,INDEX(tProdutos[Desconto homologado],MATCH(tItens[[#This Row],[Produto]],tProdutos[Produto],0))),DescontoPadrao)</f>
        <v>0.34516963542284401</v>
      </c>
      <c r="M6423" s="12">
        <f>tItens[[#This Row],[Valor]]*(1-tItens[[#This Row],[Desconto]])</f>
        <v>0</v>
      </c>
      <c r="N6423" t="str">
        <f>IFERROR(INDEX(tProdutos[Foco],MATCH(tItens[[#This Row],[Produto]],tProdutos[Produto],0)),"Não")</f>
        <v>Não</v>
      </c>
      <c r="O6423" t="str">
        <f>IFERROR(INDEX(tEditais[SRP],MATCH(tItens[[#This Row],[Edital]],tEditais[Edital],0)),"Não")</f>
        <v>Não</v>
      </c>
      <c r="P6423" s="4">
        <f>IF(COUNTIFS(INDEX(tItens[Edital],1):tItens[[#This Row],[Edital]],tItens[[#This Row],[Edital]],INDEX(tItens[Produto],1):tItens[[#This Row],[Produto]],tItens[[#This Row],[Produto]])=1,1,0)</f>
        <v>0</v>
      </c>
    </row>
    <row r="6424" spans="1:16" x14ac:dyDescent="0.25">
      <c r="A6424" t="s">
        <v>2259</v>
      </c>
      <c r="B6424">
        <v>53</v>
      </c>
      <c r="C6424" t="s">
        <v>9144</v>
      </c>
      <c r="D6424" t="s">
        <v>245</v>
      </c>
      <c r="E6424" s="13">
        <v>130</v>
      </c>
      <c r="F6424" s="12">
        <v>0</v>
      </c>
      <c r="G6424" t="str">
        <f>IFERROR(INDEX(tEditais[Órgão],MATCH(tItens[[#This Row],[Edital]],tEditais[Edital],0)),"")</f>
        <v>FUNDACAO OSWALDO CRUZ</v>
      </c>
      <c r="H6424" t="str">
        <f>IFERROR(INDEX(tEditais[UF],MATCH(tItens[[#This Row],[Edital]],tEditais[Edital],0)),"")</f>
        <v>RJ</v>
      </c>
      <c r="I6424" s="11">
        <f>IFERROR(INDEX(tEditais[Encerramento],MATCH(tItens[[#This Row],[Edital]],tEditais[Edital],0)),"")</f>
        <v>46308.416666666664</v>
      </c>
      <c r="J6424" t="str">
        <f>IFERROR(INDEX(tProdutos[Classe],MATCH(tItens[[#This Row],[Produto]],tProdutos[Produto],0)),"produto não cadastrado")</f>
        <v>FORA</v>
      </c>
      <c r="K6424" s="12">
        <f>tItens[[#This Row],[Qtd]]*tItens[[#This Row],[Vlr unit]]</f>
        <v>0</v>
      </c>
      <c r="L6424" s="6">
        <f>IFERROR(IF(INDEX(tProdutos[Desconto homologado],MATCH(tItens[[#This Row],[Produto]],tProdutos[Produto],0))="",DescontoPadrao,INDEX(tProdutos[Desconto homologado],MATCH(tItens[[#This Row],[Produto]],tProdutos[Produto],0))),DescontoPadrao)</f>
        <v>0.34516963542284401</v>
      </c>
      <c r="M6424" s="12">
        <f>tItens[[#This Row],[Valor]]*(1-tItens[[#This Row],[Desconto]])</f>
        <v>0</v>
      </c>
      <c r="N6424" t="str">
        <f>IFERROR(INDEX(tProdutos[Foco],MATCH(tItens[[#This Row],[Produto]],tProdutos[Produto],0)),"Não")</f>
        <v>Não</v>
      </c>
      <c r="O6424" t="str">
        <f>IFERROR(INDEX(tEditais[SRP],MATCH(tItens[[#This Row],[Edital]],tEditais[Edital],0)),"Não")</f>
        <v>Não</v>
      </c>
      <c r="P6424" s="4">
        <f>IF(COUNTIFS(INDEX(tItens[Edital],1):tItens[[#This Row],[Edital]],tItens[[#This Row],[Edital]],INDEX(tItens[Produto],1):tItens[[#This Row],[Produto]],tItens[[#This Row],[Produto]])=1,1,0)</f>
        <v>0</v>
      </c>
    </row>
    <row r="6425" spans="1:16" x14ac:dyDescent="0.25">
      <c r="A6425" t="s">
        <v>2259</v>
      </c>
      <c r="B6425">
        <v>54</v>
      </c>
      <c r="C6425" t="s">
        <v>9145</v>
      </c>
      <c r="D6425" t="s">
        <v>245</v>
      </c>
      <c r="E6425" s="13">
        <v>10</v>
      </c>
      <c r="F6425" s="12">
        <v>0</v>
      </c>
      <c r="G6425" t="str">
        <f>IFERROR(INDEX(tEditais[Órgão],MATCH(tItens[[#This Row],[Edital]],tEditais[Edital],0)),"")</f>
        <v>FUNDACAO OSWALDO CRUZ</v>
      </c>
      <c r="H6425" t="str">
        <f>IFERROR(INDEX(tEditais[UF],MATCH(tItens[[#This Row],[Edital]],tEditais[Edital],0)),"")</f>
        <v>RJ</v>
      </c>
      <c r="I6425" s="11">
        <f>IFERROR(INDEX(tEditais[Encerramento],MATCH(tItens[[#This Row],[Edital]],tEditais[Edital],0)),"")</f>
        <v>46308.416666666664</v>
      </c>
      <c r="J6425" t="str">
        <f>IFERROR(INDEX(tProdutos[Classe],MATCH(tItens[[#This Row],[Produto]],tProdutos[Produto],0)),"produto não cadastrado")</f>
        <v>FORA</v>
      </c>
      <c r="K6425" s="12">
        <f>tItens[[#This Row],[Qtd]]*tItens[[#This Row],[Vlr unit]]</f>
        <v>0</v>
      </c>
      <c r="L6425" s="6">
        <f>IFERROR(IF(INDEX(tProdutos[Desconto homologado],MATCH(tItens[[#This Row],[Produto]],tProdutos[Produto],0))="",DescontoPadrao,INDEX(tProdutos[Desconto homologado],MATCH(tItens[[#This Row],[Produto]],tProdutos[Produto],0))),DescontoPadrao)</f>
        <v>0.34516963542284401</v>
      </c>
      <c r="M6425" s="12">
        <f>tItens[[#This Row],[Valor]]*(1-tItens[[#This Row],[Desconto]])</f>
        <v>0</v>
      </c>
      <c r="N6425" t="str">
        <f>IFERROR(INDEX(tProdutos[Foco],MATCH(tItens[[#This Row],[Produto]],tProdutos[Produto],0)),"Não")</f>
        <v>Não</v>
      </c>
      <c r="O6425" t="str">
        <f>IFERROR(INDEX(tEditais[SRP],MATCH(tItens[[#This Row],[Edital]],tEditais[Edital],0)),"Não")</f>
        <v>Não</v>
      </c>
      <c r="P6425" s="4">
        <f>IF(COUNTIFS(INDEX(tItens[Edital],1):tItens[[#This Row],[Edital]],tItens[[#This Row],[Edital]],INDEX(tItens[Produto],1):tItens[[#This Row],[Produto]],tItens[[#This Row],[Produto]])=1,1,0)</f>
        <v>0</v>
      </c>
    </row>
    <row r="6426" spans="1:16" x14ac:dyDescent="0.25">
      <c r="A6426" t="s">
        <v>2259</v>
      </c>
      <c r="B6426">
        <v>57</v>
      </c>
      <c r="C6426" t="s">
        <v>9146</v>
      </c>
      <c r="D6426" t="s">
        <v>267</v>
      </c>
      <c r="E6426" s="13">
        <v>5000</v>
      </c>
      <c r="F6426" s="12">
        <v>0</v>
      </c>
      <c r="G6426" t="str">
        <f>IFERROR(INDEX(tEditais[Órgão],MATCH(tItens[[#This Row],[Edital]],tEditais[Edital],0)),"")</f>
        <v>FUNDACAO OSWALDO CRUZ</v>
      </c>
      <c r="H6426" t="str">
        <f>IFERROR(INDEX(tEditais[UF],MATCH(tItens[[#This Row],[Edital]],tEditais[Edital],0)),"")</f>
        <v>RJ</v>
      </c>
      <c r="I6426" s="11">
        <f>IFERROR(INDEX(tEditais[Encerramento],MATCH(tItens[[#This Row],[Edital]],tEditais[Edital],0)),"")</f>
        <v>46308.416666666664</v>
      </c>
      <c r="J6426" t="str">
        <f>IFERROR(INDEX(tProdutos[Classe],MATCH(tItens[[#This Row],[Produto]],tProdutos[Produto],0)),"produto não cadastrado")</f>
        <v>FORA</v>
      </c>
      <c r="K6426" s="12">
        <f>tItens[[#This Row],[Qtd]]*tItens[[#This Row],[Vlr unit]]</f>
        <v>0</v>
      </c>
      <c r="L6426" s="6">
        <f>IFERROR(IF(INDEX(tProdutos[Desconto homologado],MATCH(tItens[[#This Row],[Produto]],tProdutos[Produto],0))="",DescontoPadrao,INDEX(tProdutos[Desconto homologado],MATCH(tItens[[#This Row],[Produto]],tProdutos[Produto],0))),DescontoPadrao)</f>
        <v>0.19963672657401599</v>
      </c>
      <c r="M6426" s="12">
        <f>tItens[[#This Row],[Valor]]*(1-tItens[[#This Row],[Desconto]])</f>
        <v>0</v>
      </c>
      <c r="N6426" t="str">
        <f>IFERROR(INDEX(tProdutos[Foco],MATCH(tItens[[#This Row],[Produto]],tProdutos[Produto],0)),"Não")</f>
        <v>Não</v>
      </c>
      <c r="O6426" t="str">
        <f>IFERROR(INDEX(tEditais[SRP],MATCH(tItens[[#This Row],[Edital]],tEditais[Edital],0)),"Não")</f>
        <v>Não</v>
      </c>
      <c r="P6426" s="4">
        <f>IF(COUNTIFS(INDEX(tItens[Edital],1):tItens[[#This Row],[Edital]],tItens[[#This Row],[Edital]],INDEX(tItens[Produto],1):tItens[[#This Row],[Produto]],tItens[[#This Row],[Produto]])=1,1,0)</f>
        <v>1</v>
      </c>
    </row>
    <row r="6427" spans="1:16" x14ac:dyDescent="0.25">
      <c r="A6427" t="s">
        <v>2259</v>
      </c>
      <c r="B6427">
        <v>58</v>
      </c>
      <c r="C6427" t="s">
        <v>7061</v>
      </c>
      <c r="D6427" t="s">
        <v>343</v>
      </c>
      <c r="E6427" s="13">
        <v>2600</v>
      </c>
      <c r="F6427" s="12">
        <v>0</v>
      </c>
      <c r="G6427" t="str">
        <f>IFERROR(INDEX(tEditais[Órgão],MATCH(tItens[[#This Row],[Edital]],tEditais[Edital],0)),"")</f>
        <v>FUNDACAO OSWALDO CRUZ</v>
      </c>
      <c r="H6427" t="str">
        <f>IFERROR(INDEX(tEditais[UF],MATCH(tItens[[#This Row],[Edital]],tEditais[Edital],0)),"")</f>
        <v>RJ</v>
      </c>
      <c r="I6427" s="11">
        <f>IFERROR(INDEX(tEditais[Encerramento],MATCH(tItens[[#This Row],[Edital]],tEditais[Edital],0)),"")</f>
        <v>46308.416666666664</v>
      </c>
      <c r="J6427" t="str">
        <f>IFERROR(INDEX(tProdutos[Classe],MATCH(tItens[[#This Row],[Produto]],tProdutos[Produto],0)),"produto não cadastrado")</f>
        <v>FORA</v>
      </c>
      <c r="K6427" s="12">
        <f>tItens[[#This Row],[Qtd]]*tItens[[#This Row],[Vlr unit]]</f>
        <v>0</v>
      </c>
      <c r="L6427" s="6">
        <f>IFERROR(IF(INDEX(tProdutos[Desconto homologado],MATCH(tItens[[#This Row],[Produto]],tProdutos[Produto],0))="",DescontoPadrao,INDEX(tProdutos[Desconto homologado],MATCH(tItens[[#This Row],[Produto]],tProdutos[Produto],0))),DescontoPadrao)</f>
        <v>0.35412234042553198</v>
      </c>
      <c r="M6427" s="12">
        <f>tItens[[#This Row],[Valor]]*(1-tItens[[#This Row],[Desconto]])</f>
        <v>0</v>
      </c>
      <c r="N6427" t="str">
        <f>IFERROR(INDEX(tProdutos[Foco],MATCH(tItens[[#This Row],[Produto]],tProdutos[Produto],0)),"Não")</f>
        <v>Não</v>
      </c>
      <c r="O6427" t="str">
        <f>IFERROR(INDEX(tEditais[SRP],MATCH(tItens[[#This Row],[Edital]],tEditais[Edital],0)),"Não")</f>
        <v>Não</v>
      </c>
      <c r="P6427" s="4">
        <f>IF(COUNTIFS(INDEX(tItens[Edital],1):tItens[[#This Row],[Edital]],tItens[[#This Row],[Edital]],INDEX(tItens[Produto],1):tItens[[#This Row],[Produto]],tItens[[#This Row],[Produto]])=1,1,0)</f>
        <v>1</v>
      </c>
    </row>
    <row r="6428" spans="1:16" x14ac:dyDescent="0.25">
      <c r="A6428" t="s">
        <v>2259</v>
      </c>
      <c r="B6428">
        <v>59</v>
      </c>
      <c r="C6428" t="s">
        <v>7062</v>
      </c>
      <c r="D6428" t="s">
        <v>343</v>
      </c>
      <c r="E6428" s="13">
        <v>14000</v>
      </c>
      <c r="F6428" s="12">
        <v>0</v>
      </c>
      <c r="G6428" t="str">
        <f>IFERROR(INDEX(tEditais[Órgão],MATCH(tItens[[#This Row],[Edital]],tEditais[Edital],0)),"")</f>
        <v>FUNDACAO OSWALDO CRUZ</v>
      </c>
      <c r="H6428" t="str">
        <f>IFERROR(INDEX(tEditais[UF],MATCH(tItens[[#This Row],[Edital]],tEditais[Edital],0)),"")</f>
        <v>RJ</v>
      </c>
      <c r="I6428" s="11">
        <f>IFERROR(INDEX(tEditais[Encerramento],MATCH(tItens[[#This Row],[Edital]],tEditais[Edital],0)),"")</f>
        <v>46308.416666666664</v>
      </c>
      <c r="J6428" t="str">
        <f>IFERROR(INDEX(tProdutos[Classe],MATCH(tItens[[#This Row],[Produto]],tProdutos[Produto],0)),"produto não cadastrado")</f>
        <v>FORA</v>
      </c>
      <c r="K6428" s="12">
        <f>tItens[[#This Row],[Qtd]]*tItens[[#This Row],[Vlr unit]]</f>
        <v>0</v>
      </c>
      <c r="L6428" s="6">
        <f>IFERROR(IF(INDEX(tProdutos[Desconto homologado],MATCH(tItens[[#This Row],[Produto]],tProdutos[Produto],0))="",DescontoPadrao,INDEX(tProdutos[Desconto homologado],MATCH(tItens[[#This Row],[Produto]],tProdutos[Produto],0))),DescontoPadrao)</f>
        <v>0.35412234042553198</v>
      </c>
      <c r="M6428" s="12">
        <f>tItens[[#This Row],[Valor]]*(1-tItens[[#This Row],[Desconto]])</f>
        <v>0</v>
      </c>
      <c r="N6428" t="str">
        <f>IFERROR(INDEX(tProdutos[Foco],MATCH(tItens[[#This Row],[Produto]],tProdutos[Produto],0)),"Não")</f>
        <v>Não</v>
      </c>
      <c r="O6428" t="str">
        <f>IFERROR(INDEX(tEditais[SRP],MATCH(tItens[[#This Row],[Edital]],tEditais[Edital],0)),"Não")</f>
        <v>Não</v>
      </c>
      <c r="P6428" s="4">
        <f>IF(COUNTIFS(INDEX(tItens[Edital],1):tItens[[#This Row],[Edital]],tItens[[#This Row],[Edital]],INDEX(tItens[Produto],1):tItens[[#This Row],[Produto]],tItens[[#This Row],[Produto]])=1,1,0)</f>
        <v>0</v>
      </c>
    </row>
    <row r="6429" spans="1:16" x14ac:dyDescent="0.25">
      <c r="A6429" t="s">
        <v>2259</v>
      </c>
      <c r="B6429">
        <v>60</v>
      </c>
      <c r="C6429" t="s">
        <v>7063</v>
      </c>
      <c r="D6429" t="s">
        <v>343</v>
      </c>
      <c r="E6429" s="13">
        <v>22000</v>
      </c>
      <c r="F6429" s="12">
        <v>0</v>
      </c>
      <c r="G6429" t="str">
        <f>IFERROR(INDEX(tEditais[Órgão],MATCH(tItens[[#This Row],[Edital]],tEditais[Edital],0)),"")</f>
        <v>FUNDACAO OSWALDO CRUZ</v>
      </c>
      <c r="H6429" t="str">
        <f>IFERROR(INDEX(tEditais[UF],MATCH(tItens[[#This Row],[Edital]],tEditais[Edital],0)),"")</f>
        <v>RJ</v>
      </c>
      <c r="I6429" s="11">
        <f>IFERROR(INDEX(tEditais[Encerramento],MATCH(tItens[[#This Row],[Edital]],tEditais[Edital],0)),"")</f>
        <v>46308.416666666664</v>
      </c>
      <c r="J6429" t="str">
        <f>IFERROR(INDEX(tProdutos[Classe],MATCH(tItens[[#This Row],[Produto]],tProdutos[Produto],0)),"produto não cadastrado")</f>
        <v>FORA</v>
      </c>
      <c r="K6429" s="12">
        <f>tItens[[#This Row],[Qtd]]*tItens[[#This Row],[Vlr unit]]</f>
        <v>0</v>
      </c>
      <c r="L6429" s="6">
        <f>IFERROR(IF(INDEX(tProdutos[Desconto homologado],MATCH(tItens[[#This Row],[Produto]],tProdutos[Produto],0))="",DescontoPadrao,INDEX(tProdutos[Desconto homologado],MATCH(tItens[[#This Row],[Produto]],tProdutos[Produto],0))),DescontoPadrao)</f>
        <v>0.35412234042553198</v>
      </c>
      <c r="M6429" s="12">
        <f>tItens[[#This Row],[Valor]]*(1-tItens[[#This Row],[Desconto]])</f>
        <v>0</v>
      </c>
      <c r="N6429" t="str">
        <f>IFERROR(INDEX(tProdutos[Foco],MATCH(tItens[[#This Row],[Produto]],tProdutos[Produto],0)),"Não")</f>
        <v>Não</v>
      </c>
      <c r="O6429" t="str">
        <f>IFERROR(INDEX(tEditais[SRP],MATCH(tItens[[#This Row],[Edital]],tEditais[Edital],0)),"Não")</f>
        <v>Não</v>
      </c>
      <c r="P6429" s="4">
        <f>IF(COUNTIFS(INDEX(tItens[Edital],1):tItens[[#This Row],[Edital]],tItens[[#This Row],[Edital]],INDEX(tItens[Produto],1):tItens[[#This Row],[Produto]],tItens[[#This Row],[Produto]])=1,1,0)</f>
        <v>0</v>
      </c>
    </row>
    <row r="6430" spans="1:16" x14ac:dyDescent="0.25">
      <c r="A6430" t="s">
        <v>2259</v>
      </c>
      <c r="B6430">
        <v>61</v>
      </c>
      <c r="C6430" t="s">
        <v>9147</v>
      </c>
      <c r="D6430" t="s">
        <v>343</v>
      </c>
      <c r="E6430" s="13">
        <v>9000</v>
      </c>
      <c r="F6430" s="12">
        <v>0</v>
      </c>
      <c r="G6430" t="str">
        <f>IFERROR(INDEX(tEditais[Órgão],MATCH(tItens[[#This Row],[Edital]],tEditais[Edital],0)),"")</f>
        <v>FUNDACAO OSWALDO CRUZ</v>
      </c>
      <c r="H6430" t="str">
        <f>IFERROR(INDEX(tEditais[UF],MATCH(tItens[[#This Row],[Edital]],tEditais[Edital],0)),"")</f>
        <v>RJ</v>
      </c>
      <c r="I6430" s="11">
        <f>IFERROR(INDEX(tEditais[Encerramento],MATCH(tItens[[#This Row],[Edital]],tEditais[Edital],0)),"")</f>
        <v>46308.416666666664</v>
      </c>
      <c r="J6430" t="str">
        <f>IFERROR(INDEX(tProdutos[Classe],MATCH(tItens[[#This Row],[Produto]],tProdutos[Produto],0)),"produto não cadastrado")</f>
        <v>FORA</v>
      </c>
      <c r="K6430" s="12">
        <f>tItens[[#This Row],[Qtd]]*tItens[[#This Row],[Vlr unit]]</f>
        <v>0</v>
      </c>
      <c r="L6430" s="6">
        <f>IFERROR(IF(INDEX(tProdutos[Desconto homologado],MATCH(tItens[[#This Row],[Produto]],tProdutos[Produto],0))="",DescontoPadrao,INDEX(tProdutos[Desconto homologado],MATCH(tItens[[#This Row],[Produto]],tProdutos[Produto],0))),DescontoPadrao)</f>
        <v>0.35412234042553198</v>
      </c>
      <c r="M6430" s="12">
        <f>tItens[[#This Row],[Valor]]*(1-tItens[[#This Row],[Desconto]])</f>
        <v>0</v>
      </c>
      <c r="N6430" t="str">
        <f>IFERROR(INDEX(tProdutos[Foco],MATCH(tItens[[#This Row],[Produto]],tProdutos[Produto],0)),"Não")</f>
        <v>Não</v>
      </c>
      <c r="O6430" t="str">
        <f>IFERROR(INDEX(tEditais[SRP],MATCH(tItens[[#This Row],[Edital]],tEditais[Edital],0)),"Não")</f>
        <v>Não</v>
      </c>
      <c r="P6430" s="4">
        <f>IF(COUNTIFS(INDEX(tItens[Edital],1):tItens[[#This Row],[Edital]],tItens[[#This Row],[Edital]],INDEX(tItens[Produto],1):tItens[[#This Row],[Produto]],tItens[[#This Row],[Produto]])=1,1,0)</f>
        <v>0</v>
      </c>
    </row>
    <row r="6431" spans="1:16" x14ac:dyDescent="0.25">
      <c r="A6431" t="s">
        <v>2263</v>
      </c>
      <c r="B6431">
        <v>3</v>
      </c>
      <c r="C6431" t="s">
        <v>9148</v>
      </c>
      <c r="D6431" t="s">
        <v>578</v>
      </c>
      <c r="E6431" s="13">
        <v>5</v>
      </c>
      <c r="F6431" s="12">
        <v>4674.87</v>
      </c>
      <c r="G6431" t="str">
        <f>IFERROR(INDEX(tEditais[Órgão],MATCH(tItens[[#This Row],[Edital]],tEditais[Edital],0)),"")</f>
        <v>FUNDACAO MUNICIPAL DE SAUDE DE SAO GONCALO</v>
      </c>
      <c r="H6431" t="str">
        <f>IFERROR(INDEX(tEditais[UF],MATCH(tItens[[#This Row],[Edital]],tEditais[Edital],0)),"")</f>
        <v>RJ</v>
      </c>
      <c r="I6431" s="11">
        <f>IFERROR(INDEX(tEditais[Encerramento],MATCH(tItens[[#This Row],[Edital]],tEditais[Edital],0)),"")</f>
        <v>46308.416666666664</v>
      </c>
      <c r="J6431" t="str">
        <f>IFERROR(INDEX(tProdutos[Classe],MATCH(tItens[[#This Row],[Produto]],tProdutos[Produto],0)),"produto não cadastrado")</f>
        <v>FILA REBASE</v>
      </c>
      <c r="K6431" s="12">
        <f>tItens[[#This Row],[Qtd]]*tItens[[#This Row],[Vlr unit]]</f>
        <v>23374.35</v>
      </c>
      <c r="L6431" s="6">
        <f>IFERROR(IF(INDEX(tProdutos[Desconto homologado],MATCH(tItens[[#This Row],[Produto]],tProdutos[Produto],0))="",DescontoPadrao,INDEX(tProdutos[Desconto homologado],MATCH(tItens[[#This Row],[Produto]],tProdutos[Produto],0))),DescontoPadrao)</f>
        <v>0.36014625228519198</v>
      </c>
      <c r="M6431" s="12">
        <f>tItens[[#This Row],[Valor]]*(1-tItens[[#This Row],[Desconto]])</f>
        <v>14956.165447897623</v>
      </c>
      <c r="N6431" t="str">
        <f>IFERROR(INDEX(tProdutos[Foco],MATCH(tItens[[#This Row],[Produto]],tProdutos[Produto],0)),"Não")</f>
        <v>Não</v>
      </c>
      <c r="O6431" t="str">
        <f>IFERROR(INDEX(tEditais[SRP],MATCH(tItens[[#This Row],[Edital]],tEditais[Edital],0)),"Não")</f>
        <v>Não</v>
      </c>
      <c r="P6431" s="4">
        <f>IF(COUNTIFS(INDEX(tItens[Edital],1):tItens[[#This Row],[Edital]],tItens[[#This Row],[Edital]],INDEX(tItens[Produto],1):tItens[[#This Row],[Produto]],tItens[[#This Row],[Produto]])=1,1,0)</f>
        <v>1</v>
      </c>
    </row>
    <row r="6432" spans="1:16" x14ac:dyDescent="0.25">
      <c r="A6432" t="s">
        <v>2263</v>
      </c>
      <c r="B6432">
        <v>16</v>
      </c>
      <c r="C6432" t="s">
        <v>9149</v>
      </c>
      <c r="D6432" t="s">
        <v>611</v>
      </c>
      <c r="E6432" s="13">
        <v>4</v>
      </c>
      <c r="F6432" s="12">
        <v>281.39</v>
      </c>
      <c r="G6432" t="str">
        <f>IFERROR(INDEX(tEditais[Órgão],MATCH(tItens[[#This Row],[Edital]],tEditais[Edital],0)),"")</f>
        <v>FUNDACAO MUNICIPAL DE SAUDE DE SAO GONCALO</v>
      </c>
      <c r="H6432" t="str">
        <f>IFERROR(INDEX(tEditais[UF],MATCH(tItens[[#This Row],[Edital]],tEditais[Edital],0)),"")</f>
        <v>RJ</v>
      </c>
      <c r="I6432" s="11">
        <f>IFERROR(INDEX(tEditais[Encerramento],MATCH(tItens[[#This Row],[Edital]],tEditais[Edital],0)),"")</f>
        <v>46308.416666666664</v>
      </c>
      <c r="J6432" t="str">
        <f>IFERROR(INDEX(tProdutos[Classe],MATCH(tItens[[#This Row],[Produto]],tProdutos[Produto],0)),"produto não cadastrado")</f>
        <v>FILA REBASE</v>
      </c>
      <c r="K6432" s="12">
        <f>tItens[[#This Row],[Qtd]]*tItens[[#This Row],[Vlr unit]]</f>
        <v>1125.56</v>
      </c>
      <c r="L6432" s="6">
        <f>IFERROR(IF(INDEX(tProdutos[Desconto homologado],MATCH(tItens[[#This Row],[Produto]],tProdutos[Produto],0))="",DescontoPadrao,INDEX(tProdutos[Desconto homologado],MATCH(tItens[[#This Row],[Produto]],tProdutos[Produto],0))),DescontoPadrao)</f>
        <v>0.3</v>
      </c>
      <c r="M6432" s="12">
        <f>tItens[[#This Row],[Valor]]*(1-tItens[[#This Row],[Desconto]])</f>
        <v>787.89199999999994</v>
      </c>
      <c r="N6432" t="str">
        <f>IFERROR(INDEX(tProdutos[Foco],MATCH(tItens[[#This Row],[Produto]],tProdutos[Produto],0)),"Não")</f>
        <v>Não</v>
      </c>
      <c r="O6432" t="str">
        <f>IFERROR(INDEX(tEditais[SRP],MATCH(tItens[[#This Row],[Edital]],tEditais[Edital],0)),"Não")</f>
        <v>Não</v>
      </c>
      <c r="P6432" s="4">
        <f>IF(COUNTIFS(INDEX(tItens[Edital],1):tItens[[#This Row],[Edital]],tItens[[#This Row],[Edital]],INDEX(tItens[Produto],1):tItens[[#This Row],[Produto]],tItens[[#This Row],[Produto]])=1,1,0)</f>
        <v>1</v>
      </c>
    </row>
    <row r="6433" spans="1:16" x14ac:dyDescent="0.25">
      <c r="A6433" t="s">
        <v>2268</v>
      </c>
      <c r="B6433">
        <v>1</v>
      </c>
      <c r="C6433" t="s">
        <v>9150</v>
      </c>
      <c r="D6433" t="s">
        <v>461</v>
      </c>
      <c r="E6433" s="13">
        <v>2400</v>
      </c>
      <c r="F6433" s="12">
        <v>16.899999999999999</v>
      </c>
      <c r="G6433" t="str">
        <f>IFERROR(INDEX(tEditais[Órgão],MATCH(tItens[[#This Row],[Edital]],tEditais[Edital],0)),"")</f>
        <v>MUNICIPIO DE RIO DE JANEIRO</v>
      </c>
      <c r="H6433" t="str">
        <f>IFERROR(INDEX(tEditais[UF],MATCH(tItens[[#This Row],[Edital]],tEditais[Edital],0)),"")</f>
        <v>RJ</v>
      </c>
      <c r="I6433" s="11">
        <f>IFERROR(INDEX(tEditais[Encerramento],MATCH(tItens[[#This Row],[Edital]],tEditais[Edital],0)),"")</f>
        <v>46308.458333333336</v>
      </c>
      <c r="J6433" t="str">
        <f>IFERROR(INDEX(tProdutos[Classe],MATCH(tItens[[#This Row],[Produto]],tProdutos[Produto],0)),"produto não cadastrado")</f>
        <v>FILA REBASE</v>
      </c>
      <c r="K6433" s="12">
        <f>tItens[[#This Row],[Qtd]]*tItens[[#This Row],[Vlr unit]]</f>
        <v>40560</v>
      </c>
      <c r="L6433" s="6">
        <f>IFERROR(IF(INDEX(tProdutos[Desconto homologado],MATCH(tItens[[#This Row],[Produto]],tProdutos[Produto],0))="",DescontoPadrao,INDEX(tProdutos[Desconto homologado],MATCH(tItens[[#This Row],[Produto]],tProdutos[Produto],0))),DescontoPadrao)</f>
        <v>0.44096385542168698</v>
      </c>
      <c r="M6433" s="12">
        <f>tItens[[#This Row],[Valor]]*(1-tItens[[#This Row],[Desconto]])</f>
        <v>22674.506024096372</v>
      </c>
      <c r="N6433" t="str">
        <f>IFERROR(INDEX(tProdutos[Foco],MATCH(tItens[[#This Row],[Produto]],tProdutos[Produto],0)),"Não")</f>
        <v>Não</v>
      </c>
      <c r="O6433" t="str">
        <f>IFERROR(INDEX(tEditais[SRP],MATCH(tItens[[#This Row],[Edital]],tEditais[Edital],0)),"Não")</f>
        <v>Sim</v>
      </c>
      <c r="P6433" s="4">
        <f>IF(COUNTIFS(INDEX(tItens[Edital],1):tItens[[#This Row],[Edital]],tItens[[#This Row],[Edital]],INDEX(tItens[Produto],1):tItens[[#This Row],[Produto]],tItens[[#This Row],[Produto]])=1,1,0)</f>
        <v>1</v>
      </c>
    </row>
    <row r="6434" spans="1:16" x14ac:dyDescent="0.25">
      <c r="A6434" t="s">
        <v>2271</v>
      </c>
      <c r="B6434">
        <v>9</v>
      </c>
      <c r="C6434" t="s">
        <v>9151</v>
      </c>
      <c r="D6434" t="s">
        <v>413</v>
      </c>
      <c r="E6434" s="13">
        <v>200</v>
      </c>
      <c r="F6434" s="12">
        <v>1.31</v>
      </c>
      <c r="G6434" t="str">
        <f>IFERROR(INDEX(tEditais[Órgão],MATCH(tItens[[#This Row],[Edital]],tEditais[Edital],0)),"")</f>
        <v>MINISTERIO DA EDUCACAO</v>
      </c>
      <c r="H6434" t="str">
        <f>IFERROR(INDEX(tEditais[UF],MATCH(tItens[[#This Row],[Edital]],tEditais[Edital],0)),"")</f>
        <v>RJ</v>
      </c>
      <c r="I6434" s="11">
        <f>IFERROR(INDEX(tEditais[Encerramento],MATCH(tItens[[#This Row],[Edital]],tEditais[Edital],0)),"")</f>
        <v>46308.5</v>
      </c>
      <c r="J6434" t="str">
        <f>IFERROR(INDEX(tProdutos[Classe],MATCH(tItens[[#This Row],[Produto]],tProdutos[Produto],0)),"produto não cadastrado")</f>
        <v>FORA</v>
      </c>
      <c r="K6434" s="12">
        <f>tItens[[#This Row],[Qtd]]*tItens[[#This Row],[Vlr unit]]</f>
        <v>262</v>
      </c>
      <c r="L6434" s="6">
        <f>IFERROR(IF(INDEX(tProdutos[Desconto homologado],MATCH(tItens[[#This Row],[Produto]],tProdutos[Produto],0))="",DescontoPadrao,INDEX(tProdutos[Desconto homologado],MATCH(tItens[[#This Row],[Produto]],tProdutos[Produto],0))),DescontoPadrao)</f>
        <v>0.477732793522267</v>
      </c>
      <c r="M6434" s="12">
        <f>tItens[[#This Row],[Valor]]*(1-tItens[[#This Row],[Desconto]])</f>
        <v>136.83400809716602</v>
      </c>
      <c r="N6434" t="str">
        <f>IFERROR(INDEX(tProdutos[Foco],MATCH(tItens[[#This Row],[Produto]],tProdutos[Produto],0)),"Não")</f>
        <v>Não</v>
      </c>
      <c r="O6434" t="str">
        <f>IFERROR(INDEX(tEditais[SRP],MATCH(tItens[[#This Row],[Edital]],tEditais[Edital],0)),"Não")</f>
        <v>Não</v>
      </c>
      <c r="P6434" s="4">
        <f>IF(COUNTIFS(INDEX(tItens[Edital],1):tItens[[#This Row],[Edital]],tItens[[#This Row],[Edital]],INDEX(tItens[Produto],1):tItens[[#This Row],[Produto]],tItens[[#This Row],[Produto]])=1,1,0)</f>
        <v>1</v>
      </c>
    </row>
    <row r="6435" spans="1:16" x14ac:dyDescent="0.25">
      <c r="A6435" t="s">
        <v>2271</v>
      </c>
      <c r="B6435">
        <v>10</v>
      </c>
      <c r="C6435" t="s">
        <v>9152</v>
      </c>
      <c r="D6435" t="s">
        <v>413</v>
      </c>
      <c r="E6435" s="13">
        <v>400</v>
      </c>
      <c r="F6435" s="12">
        <v>1.75</v>
      </c>
      <c r="G6435" t="str">
        <f>IFERROR(INDEX(tEditais[Órgão],MATCH(tItens[[#This Row],[Edital]],tEditais[Edital],0)),"")</f>
        <v>MINISTERIO DA EDUCACAO</v>
      </c>
      <c r="H6435" t="str">
        <f>IFERROR(INDEX(tEditais[UF],MATCH(tItens[[#This Row],[Edital]],tEditais[Edital],0)),"")</f>
        <v>RJ</v>
      </c>
      <c r="I6435" s="11">
        <f>IFERROR(INDEX(tEditais[Encerramento],MATCH(tItens[[#This Row],[Edital]],tEditais[Edital],0)),"")</f>
        <v>46308.5</v>
      </c>
      <c r="J6435" t="str">
        <f>IFERROR(INDEX(tProdutos[Classe],MATCH(tItens[[#This Row],[Produto]],tProdutos[Produto],0)),"produto não cadastrado")</f>
        <v>FORA</v>
      </c>
      <c r="K6435" s="12">
        <f>tItens[[#This Row],[Qtd]]*tItens[[#This Row],[Vlr unit]]</f>
        <v>700</v>
      </c>
      <c r="L6435" s="6">
        <f>IFERROR(IF(INDEX(tProdutos[Desconto homologado],MATCH(tItens[[#This Row],[Produto]],tProdutos[Produto],0))="",DescontoPadrao,INDEX(tProdutos[Desconto homologado],MATCH(tItens[[#This Row],[Produto]],tProdutos[Produto],0))),DescontoPadrao)</f>
        <v>0.477732793522267</v>
      </c>
      <c r="M6435" s="12">
        <f>tItens[[#This Row],[Valor]]*(1-tItens[[#This Row],[Desconto]])</f>
        <v>365.58704453441305</v>
      </c>
      <c r="N6435" t="str">
        <f>IFERROR(INDEX(tProdutos[Foco],MATCH(tItens[[#This Row],[Produto]],tProdutos[Produto],0)),"Não")</f>
        <v>Não</v>
      </c>
      <c r="O6435" t="str">
        <f>IFERROR(INDEX(tEditais[SRP],MATCH(tItens[[#This Row],[Edital]],tEditais[Edital],0)),"Não")</f>
        <v>Não</v>
      </c>
      <c r="P6435" s="4">
        <f>IF(COUNTIFS(INDEX(tItens[Edital],1):tItens[[#This Row],[Edital]],tItens[[#This Row],[Edital]],INDEX(tItens[Produto],1):tItens[[#This Row],[Produto]],tItens[[#This Row],[Produto]])=1,1,0)</f>
        <v>0</v>
      </c>
    </row>
    <row r="6436" spans="1:16" x14ac:dyDescent="0.25">
      <c r="A6436" t="s">
        <v>2271</v>
      </c>
      <c r="B6436">
        <v>12</v>
      </c>
      <c r="C6436" t="s">
        <v>9153</v>
      </c>
      <c r="D6436" t="s">
        <v>114</v>
      </c>
      <c r="E6436" s="13">
        <v>50</v>
      </c>
      <c r="F6436" s="12">
        <v>8.2100000000000009</v>
      </c>
      <c r="G6436" t="str">
        <f>IFERROR(INDEX(tEditais[Órgão],MATCH(tItens[[#This Row],[Edital]],tEditais[Edital],0)),"")</f>
        <v>MINISTERIO DA EDUCACAO</v>
      </c>
      <c r="H6436" t="str">
        <f>IFERROR(INDEX(tEditais[UF],MATCH(tItens[[#This Row],[Edital]],tEditais[Edital],0)),"")</f>
        <v>RJ</v>
      </c>
      <c r="I6436" s="11">
        <f>IFERROR(INDEX(tEditais[Encerramento],MATCH(tItens[[#This Row],[Edital]],tEditais[Edital],0)),"")</f>
        <v>46308.5</v>
      </c>
      <c r="J6436" t="str">
        <f>IFERROR(INDEX(tProdutos[Classe],MATCH(tItens[[#This Row],[Produto]],tProdutos[Produto],0)),"produto não cadastrado")</f>
        <v>DISPUTADO</v>
      </c>
      <c r="K6436" s="12">
        <f>tItens[[#This Row],[Qtd]]*tItens[[#This Row],[Vlr unit]]</f>
        <v>410.50000000000006</v>
      </c>
      <c r="L6436" s="6">
        <f>IFERROR(IF(INDEX(tProdutos[Desconto homologado],MATCH(tItens[[#This Row],[Produto]],tProdutos[Produto],0))="",DescontoPadrao,INDEX(tProdutos[Desconto homologado],MATCH(tItens[[#This Row],[Produto]],tProdutos[Produto],0))),DescontoPadrao)</f>
        <v>0.24332656063896899</v>
      </c>
      <c r="M6436" s="12">
        <f>tItens[[#This Row],[Valor]]*(1-tItens[[#This Row],[Desconto]])</f>
        <v>310.61444685770329</v>
      </c>
      <c r="N6436" t="str">
        <f>IFERROR(INDEX(tProdutos[Foco],MATCH(tItens[[#This Row],[Produto]],tProdutos[Produto],0)),"Não")</f>
        <v>Não</v>
      </c>
      <c r="O6436" t="str">
        <f>IFERROR(INDEX(tEditais[SRP],MATCH(tItens[[#This Row],[Edital]],tEditais[Edital],0)),"Não")</f>
        <v>Não</v>
      </c>
      <c r="P6436" s="4">
        <f>IF(COUNTIFS(INDEX(tItens[Edital],1):tItens[[#This Row],[Edital]],tItens[[#This Row],[Edital]],INDEX(tItens[Produto],1):tItens[[#This Row],[Produto]],tItens[[#This Row],[Produto]])=1,1,0)</f>
        <v>1</v>
      </c>
    </row>
    <row r="6437" spans="1:16" x14ac:dyDescent="0.25">
      <c r="A6437" t="s">
        <v>2275</v>
      </c>
      <c r="B6437">
        <v>4</v>
      </c>
      <c r="C6437" t="s">
        <v>9154</v>
      </c>
      <c r="D6437" t="s">
        <v>221</v>
      </c>
      <c r="E6437" s="13">
        <v>4314</v>
      </c>
      <c r="F6437" s="12">
        <v>0.39</v>
      </c>
      <c r="G6437" t="str">
        <f>IFERROR(INDEX(tEditais[Órgão],MATCH(tItens[[#This Row],[Edital]],tEditais[Edital],0)),"")</f>
        <v>MINISTERIO DA SAUDE</v>
      </c>
      <c r="H6437" t="str">
        <f>IFERROR(INDEX(tEditais[UF],MATCH(tItens[[#This Row],[Edital]],tEditais[Edital],0)),"")</f>
        <v>RJ</v>
      </c>
      <c r="I6437" s="11">
        <f>IFERROR(INDEX(tEditais[Encerramento],MATCH(tItens[[#This Row],[Edital]],tEditais[Edital],0)),"")</f>
        <v>46308.541666666664</v>
      </c>
      <c r="J6437" t="str">
        <f>IFERROR(INDEX(tProdutos[Classe],MATCH(tItens[[#This Row],[Produto]],tProdutos[Produto],0)),"produto não cadastrado")</f>
        <v>FORA</v>
      </c>
      <c r="K6437" s="12">
        <f>tItens[[#This Row],[Qtd]]*tItens[[#This Row],[Vlr unit]]</f>
        <v>1682.46</v>
      </c>
      <c r="L6437" s="6">
        <f>IFERROR(IF(INDEX(tProdutos[Desconto homologado],MATCH(tItens[[#This Row],[Produto]],tProdutos[Produto],0))="",DescontoPadrao,INDEX(tProdutos[Desconto homologado],MATCH(tItens[[#This Row],[Produto]],tProdutos[Produto],0))),DescontoPadrao)</f>
        <v>0.35408560311283999</v>
      </c>
      <c r="M6437" s="12">
        <f>tItens[[#This Row],[Valor]]*(1-tItens[[#This Row],[Desconto]])</f>
        <v>1086.7251361867714</v>
      </c>
      <c r="N6437" t="str">
        <f>IFERROR(INDEX(tProdutos[Foco],MATCH(tItens[[#This Row],[Produto]],tProdutos[Produto],0)),"Não")</f>
        <v>Não</v>
      </c>
      <c r="O6437" t="str">
        <f>IFERROR(INDEX(tEditais[SRP],MATCH(tItens[[#This Row],[Edital]],tEditais[Edital],0)),"Não")</f>
        <v>Não</v>
      </c>
      <c r="P6437" s="4">
        <f>IF(COUNTIFS(INDEX(tItens[Edital],1):tItens[[#This Row],[Edital]],tItens[[#This Row],[Edital]],INDEX(tItens[Produto],1):tItens[[#This Row],[Produto]],tItens[[#This Row],[Produto]])=1,1,0)</f>
        <v>1</v>
      </c>
    </row>
    <row r="6438" spans="1:16" x14ac:dyDescent="0.25">
      <c r="A6438" t="s">
        <v>2275</v>
      </c>
      <c r="B6438">
        <v>5</v>
      </c>
      <c r="C6438" t="s">
        <v>9155</v>
      </c>
      <c r="D6438" t="s">
        <v>221</v>
      </c>
      <c r="E6438" s="13">
        <v>26000</v>
      </c>
      <c r="F6438" s="12">
        <v>0.39</v>
      </c>
      <c r="G6438" t="str">
        <f>IFERROR(INDEX(tEditais[Órgão],MATCH(tItens[[#This Row],[Edital]],tEditais[Edital],0)),"")</f>
        <v>MINISTERIO DA SAUDE</v>
      </c>
      <c r="H6438" t="str">
        <f>IFERROR(INDEX(tEditais[UF],MATCH(tItens[[#This Row],[Edital]],tEditais[Edital],0)),"")</f>
        <v>RJ</v>
      </c>
      <c r="I6438" s="11">
        <f>IFERROR(INDEX(tEditais[Encerramento],MATCH(tItens[[#This Row],[Edital]],tEditais[Edital],0)),"")</f>
        <v>46308.541666666664</v>
      </c>
      <c r="J6438" t="str">
        <f>IFERROR(INDEX(tProdutos[Classe],MATCH(tItens[[#This Row],[Produto]],tProdutos[Produto],0)),"produto não cadastrado")</f>
        <v>FORA</v>
      </c>
      <c r="K6438" s="12">
        <f>tItens[[#This Row],[Qtd]]*tItens[[#This Row],[Vlr unit]]</f>
        <v>10140</v>
      </c>
      <c r="L6438" s="6">
        <f>IFERROR(IF(INDEX(tProdutos[Desconto homologado],MATCH(tItens[[#This Row],[Produto]],tProdutos[Produto],0))="",DescontoPadrao,INDEX(tProdutos[Desconto homologado],MATCH(tItens[[#This Row],[Produto]],tProdutos[Produto],0))),DescontoPadrao)</f>
        <v>0.35408560311283999</v>
      </c>
      <c r="M6438" s="12">
        <f>tItens[[#This Row],[Valor]]*(1-tItens[[#This Row],[Desconto]])</f>
        <v>6549.5719844358027</v>
      </c>
      <c r="N6438" t="str">
        <f>IFERROR(INDEX(tProdutos[Foco],MATCH(tItens[[#This Row],[Produto]],tProdutos[Produto],0)),"Não")</f>
        <v>Não</v>
      </c>
      <c r="O6438" t="str">
        <f>IFERROR(INDEX(tEditais[SRP],MATCH(tItens[[#This Row],[Edital]],tEditais[Edital],0)),"Não")</f>
        <v>Não</v>
      </c>
      <c r="P6438" s="4">
        <f>IF(COUNTIFS(INDEX(tItens[Edital],1):tItens[[#This Row],[Edital]],tItens[[#This Row],[Edital]],INDEX(tItens[Produto],1):tItens[[#This Row],[Produto]],tItens[[#This Row],[Produto]])=1,1,0)</f>
        <v>0</v>
      </c>
    </row>
    <row r="6439" spans="1:16" x14ac:dyDescent="0.25">
      <c r="A6439" t="s">
        <v>2275</v>
      </c>
      <c r="B6439">
        <v>6</v>
      </c>
      <c r="C6439" t="s">
        <v>9156</v>
      </c>
      <c r="D6439" t="s">
        <v>221</v>
      </c>
      <c r="E6439" s="13">
        <v>15224</v>
      </c>
      <c r="F6439" s="12">
        <v>0.4</v>
      </c>
      <c r="G6439" t="str">
        <f>IFERROR(INDEX(tEditais[Órgão],MATCH(tItens[[#This Row],[Edital]],tEditais[Edital],0)),"")</f>
        <v>MINISTERIO DA SAUDE</v>
      </c>
      <c r="H6439" t="str">
        <f>IFERROR(INDEX(tEditais[UF],MATCH(tItens[[#This Row],[Edital]],tEditais[Edital],0)),"")</f>
        <v>RJ</v>
      </c>
      <c r="I6439" s="11">
        <f>IFERROR(INDEX(tEditais[Encerramento],MATCH(tItens[[#This Row],[Edital]],tEditais[Edital],0)),"")</f>
        <v>46308.541666666664</v>
      </c>
      <c r="J6439" t="str">
        <f>IFERROR(INDEX(tProdutos[Classe],MATCH(tItens[[#This Row],[Produto]],tProdutos[Produto],0)),"produto não cadastrado")</f>
        <v>FORA</v>
      </c>
      <c r="K6439" s="12">
        <f>tItens[[#This Row],[Qtd]]*tItens[[#This Row],[Vlr unit]]</f>
        <v>6089.6</v>
      </c>
      <c r="L6439" s="6">
        <f>IFERROR(IF(INDEX(tProdutos[Desconto homologado],MATCH(tItens[[#This Row],[Produto]],tProdutos[Produto],0))="",DescontoPadrao,INDEX(tProdutos[Desconto homologado],MATCH(tItens[[#This Row],[Produto]],tProdutos[Produto],0))),DescontoPadrao)</f>
        <v>0.35408560311283999</v>
      </c>
      <c r="M6439" s="12">
        <f>tItens[[#This Row],[Valor]]*(1-tItens[[#This Row],[Desconto]])</f>
        <v>3933.3603112840497</v>
      </c>
      <c r="N6439" t="str">
        <f>IFERROR(INDEX(tProdutos[Foco],MATCH(tItens[[#This Row],[Produto]],tProdutos[Produto],0)),"Não")</f>
        <v>Não</v>
      </c>
      <c r="O6439" t="str">
        <f>IFERROR(INDEX(tEditais[SRP],MATCH(tItens[[#This Row],[Edital]],tEditais[Edital],0)),"Não")</f>
        <v>Não</v>
      </c>
      <c r="P6439" s="4">
        <f>IF(COUNTIFS(INDEX(tItens[Edital],1):tItens[[#This Row],[Edital]],tItens[[#This Row],[Edital]],INDEX(tItens[Produto],1):tItens[[#This Row],[Produto]],tItens[[#This Row],[Produto]])=1,1,0)</f>
        <v>0</v>
      </c>
    </row>
    <row r="6440" spans="1:16" x14ac:dyDescent="0.25">
      <c r="A6440" t="s">
        <v>2275</v>
      </c>
      <c r="B6440">
        <v>7</v>
      </c>
      <c r="C6440" t="s">
        <v>9157</v>
      </c>
      <c r="D6440" t="s">
        <v>221</v>
      </c>
      <c r="E6440" s="13">
        <v>3454</v>
      </c>
      <c r="F6440" s="12">
        <v>2.4900000000000002</v>
      </c>
      <c r="G6440" t="str">
        <f>IFERROR(INDEX(tEditais[Órgão],MATCH(tItens[[#This Row],[Edital]],tEditais[Edital],0)),"")</f>
        <v>MINISTERIO DA SAUDE</v>
      </c>
      <c r="H6440" t="str">
        <f>IFERROR(INDEX(tEditais[UF],MATCH(tItens[[#This Row],[Edital]],tEditais[Edital],0)),"")</f>
        <v>RJ</v>
      </c>
      <c r="I6440" s="11">
        <f>IFERROR(INDEX(tEditais[Encerramento],MATCH(tItens[[#This Row],[Edital]],tEditais[Edital],0)),"")</f>
        <v>46308.541666666664</v>
      </c>
      <c r="J6440" t="str">
        <f>IFERROR(INDEX(tProdutos[Classe],MATCH(tItens[[#This Row],[Produto]],tProdutos[Produto],0)),"produto não cadastrado")</f>
        <v>FORA</v>
      </c>
      <c r="K6440" s="12">
        <f>tItens[[#This Row],[Qtd]]*tItens[[#This Row],[Vlr unit]]</f>
        <v>8600.4600000000009</v>
      </c>
      <c r="L6440" s="6">
        <f>IFERROR(IF(INDEX(tProdutos[Desconto homologado],MATCH(tItens[[#This Row],[Produto]],tProdutos[Produto],0))="",DescontoPadrao,INDEX(tProdutos[Desconto homologado],MATCH(tItens[[#This Row],[Produto]],tProdutos[Produto],0))),DescontoPadrao)</f>
        <v>0.35408560311283999</v>
      </c>
      <c r="M6440" s="12">
        <f>tItens[[#This Row],[Valor]]*(1-tItens[[#This Row],[Desconto]])</f>
        <v>5555.1609338521448</v>
      </c>
      <c r="N6440" t="str">
        <f>IFERROR(INDEX(tProdutos[Foco],MATCH(tItens[[#This Row],[Produto]],tProdutos[Produto],0)),"Não")</f>
        <v>Não</v>
      </c>
      <c r="O6440" t="str">
        <f>IFERROR(INDEX(tEditais[SRP],MATCH(tItens[[#This Row],[Edital]],tEditais[Edital],0)),"Não")</f>
        <v>Não</v>
      </c>
      <c r="P6440" s="4">
        <f>IF(COUNTIFS(INDEX(tItens[Edital],1):tItens[[#This Row],[Edital]],tItens[[#This Row],[Edital]],INDEX(tItens[Produto],1):tItens[[#This Row],[Produto]],tItens[[#This Row],[Produto]])=1,1,0)</f>
        <v>0</v>
      </c>
    </row>
    <row r="6441" spans="1:16" x14ac:dyDescent="0.25">
      <c r="A6441" t="s">
        <v>2275</v>
      </c>
      <c r="B6441">
        <v>9</v>
      </c>
      <c r="C6441" t="s">
        <v>9158</v>
      </c>
      <c r="D6441" t="s">
        <v>221</v>
      </c>
      <c r="E6441" s="13">
        <v>23551</v>
      </c>
      <c r="F6441" s="12">
        <v>1.95</v>
      </c>
      <c r="G6441" t="str">
        <f>IFERROR(INDEX(tEditais[Órgão],MATCH(tItens[[#This Row],[Edital]],tEditais[Edital],0)),"")</f>
        <v>MINISTERIO DA SAUDE</v>
      </c>
      <c r="H6441" t="str">
        <f>IFERROR(INDEX(tEditais[UF],MATCH(tItens[[#This Row],[Edital]],tEditais[Edital],0)),"")</f>
        <v>RJ</v>
      </c>
      <c r="I6441" s="11">
        <f>IFERROR(INDEX(tEditais[Encerramento],MATCH(tItens[[#This Row],[Edital]],tEditais[Edital],0)),"")</f>
        <v>46308.541666666664</v>
      </c>
      <c r="J6441" t="str">
        <f>IFERROR(INDEX(tProdutos[Classe],MATCH(tItens[[#This Row],[Produto]],tProdutos[Produto],0)),"produto não cadastrado")</f>
        <v>FORA</v>
      </c>
      <c r="K6441" s="12">
        <f>tItens[[#This Row],[Qtd]]*tItens[[#This Row],[Vlr unit]]</f>
        <v>45924.45</v>
      </c>
      <c r="L6441" s="6">
        <f>IFERROR(IF(INDEX(tProdutos[Desconto homologado],MATCH(tItens[[#This Row],[Produto]],tProdutos[Produto],0))="",DescontoPadrao,INDEX(tProdutos[Desconto homologado],MATCH(tItens[[#This Row],[Produto]],tProdutos[Produto],0))),DescontoPadrao)</f>
        <v>0.35408560311283999</v>
      </c>
      <c r="M6441" s="12">
        <f>tItens[[#This Row],[Valor]]*(1-tItens[[#This Row],[Desconto]])</f>
        <v>29663.263424124532</v>
      </c>
      <c r="N6441" t="str">
        <f>IFERROR(INDEX(tProdutos[Foco],MATCH(tItens[[#This Row],[Produto]],tProdutos[Produto],0)),"Não")</f>
        <v>Não</v>
      </c>
      <c r="O6441" t="str">
        <f>IFERROR(INDEX(tEditais[SRP],MATCH(tItens[[#This Row],[Edital]],tEditais[Edital],0)),"Não")</f>
        <v>Não</v>
      </c>
      <c r="P6441" s="4">
        <f>IF(COUNTIFS(INDEX(tItens[Edital],1):tItens[[#This Row],[Edital]],tItens[[#This Row],[Edital]],INDEX(tItens[Produto],1):tItens[[#This Row],[Produto]],tItens[[#This Row],[Produto]])=1,1,0)</f>
        <v>0</v>
      </c>
    </row>
    <row r="6442" spans="1:16" x14ac:dyDescent="0.25">
      <c r="A6442" t="s">
        <v>2275</v>
      </c>
      <c r="B6442">
        <v>10</v>
      </c>
      <c r="C6442" t="s">
        <v>9159</v>
      </c>
      <c r="D6442" t="s">
        <v>221</v>
      </c>
      <c r="E6442" s="13">
        <v>43063</v>
      </c>
      <c r="F6442" s="12">
        <v>2.02</v>
      </c>
      <c r="G6442" t="str">
        <f>IFERROR(INDEX(tEditais[Órgão],MATCH(tItens[[#This Row],[Edital]],tEditais[Edital],0)),"")</f>
        <v>MINISTERIO DA SAUDE</v>
      </c>
      <c r="H6442" t="str">
        <f>IFERROR(INDEX(tEditais[UF],MATCH(tItens[[#This Row],[Edital]],tEditais[Edital],0)),"")</f>
        <v>RJ</v>
      </c>
      <c r="I6442" s="11">
        <f>IFERROR(INDEX(tEditais[Encerramento],MATCH(tItens[[#This Row],[Edital]],tEditais[Edital],0)),"")</f>
        <v>46308.541666666664</v>
      </c>
      <c r="J6442" t="str">
        <f>IFERROR(INDEX(tProdutos[Classe],MATCH(tItens[[#This Row],[Produto]],tProdutos[Produto],0)),"produto não cadastrado")</f>
        <v>FORA</v>
      </c>
      <c r="K6442" s="12">
        <f>tItens[[#This Row],[Qtd]]*tItens[[#This Row],[Vlr unit]]</f>
        <v>86987.26</v>
      </c>
      <c r="L6442" s="6">
        <f>IFERROR(IF(INDEX(tProdutos[Desconto homologado],MATCH(tItens[[#This Row],[Produto]],tProdutos[Produto],0))="",DescontoPadrao,INDEX(tProdutos[Desconto homologado],MATCH(tItens[[#This Row],[Produto]],tProdutos[Produto],0))),DescontoPadrao)</f>
        <v>0.35408560311283999</v>
      </c>
      <c r="M6442" s="12">
        <f>tItens[[#This Row],[Valor]]*(1-tItens[[#This Row],[Desconto]])</f>
        <v>56186.323579766577</v>
      </c>
      <c r="N6442" t="str">
        <f>IFERROR(INDEX(tProdutos[Foco],MATCH(tItens[[#This Row],[Produto]],tProdutos[Produto],0)),"Não")</f>
        <v>Não</v>
      </c>
      <c r="O6442" t="str">
        <f>IFERROR(INDEX(tEditais[SRP],MATCH(tItens[[#This Row],[Edital]],tEditais[Edital],0)),"Não")</f>
        <v>Não</v>
      </c>
      <c r="P6442" s="4">
        <f>IF(COUNTIFS(INDEX(tItens[Edital],1):tItens[[#This Row],[Edital]],tItens[[#This Row],[Edital]],INDEX(tItens[Produto],1):tItens[[#This Row],[Produto]],tItens[[#This Row],[Produto]])=1,1,0)</f>
        <v>0</v>
      </c>
    </row>
    <row r="6443" spans="1:16" x14ac:dyDescent="0.25">
      <c r="A6443" t="s">
        <v>2275</v>
      </c>
      <c r="B6443">
        <v>13</v>
      </c>
      <c r="C6443" t="s">
        <v>9160</v>
      </c>
      <c r="D6443" t="s">
        <v>56</v>
      </c>
      <c r="E6443" s="13">
        <v>6000</v>
      </c>
      <c r="F6443" s="12">
        <v>0.3</v>
      </c>
      <c r="G6443" t="str">
        <f>IFERROR(INDEX(tEditais[Órgão],MATCH(tItens[[#This Row],[Edital]],tEditais[Edital],0)),"")</f>
        <v>MINISTERIO DA SAUDE</v>
      </c>
      <c r="H6443" t="str">
        <f>IFERROR(INDEX(tEditais[UF],MATCH(tItens[[#This Row],[Edital]],tEditais[Edital],0)),"")</f>
        <v>RJ</v>
      </c>
      <c r="I6443" s="11">
        <f>IFERROR(INDEX(tEditais[Encerramento],MATCH(tItens[[#This Row],[Edital]],tEditais[Edital],0)),"")</f>
        <v>46308.541666666664</v>
      </c>
      <c r="J6443" t="str">
        <f>IFERROR(INDEX(tProdutos[Classe],MATCH(tItens[[#This Row],[Produto]],tProdutos[Produto],0)),"produto não cadastrado")</f>
        <v>NÚCLEO</v>
      </c>
      <c r="K6443" s="12">
        <f>tItens[[#This Row],[Qtd]]*tItens[[#This Row],[Vlr unit]]</f>
        <v>1800</v>
      </c>
      <c r="L6443" s="6">
        <f>IFERROR(IF(INDEX(tProdutos[Desconto homologado],MATCH(tItens[[#This Row],[Produto]],tProdutos[Produto],0))="",DescontoPadrao,INDEX(tProdutos[Desconto homologado],MATCH(tItens[[#This Row],[Produto]],tProdutos[Produto],0))),DescontoPadrao)</f>
        <v>0.34</v>
      </c>
      <c r="M6443" s="12">
        <f>tItens[[#This Row],[Valor]]*(1-tItens[[#This Row],[Desconto]])</f>
        <v>1187.9999999999998</v>
      </c>
      <c r="N6443" t="str">
        <f>IFERROR(INDEX(tProdutos[Foco],MATCH(tItens[[#This Row],[Produto]],tProdutos[Produto],0)),"Não")</f>
        <v>Sim</v>
      </c>
      <c r="O6443" t="str">
        <f>IFERROR(INDEX(tEditais[SRP],MATCH(tItens[[#This Row],[Edital]],tEditais[Edital],0)),"Não")</f>
        <v>Não</v>
      </c>
      <c r="P6443" s="4">
        <f>IF(COUNTIFS(INDEX(tItens[Edital],1):tItens[[#This Row],[Edital]],tItens[[#This Row],[Edital]],INDEX(tItens[Produto],1):tItens[[#This Row],[Produto]],tItens[[#This Row],[Produto]])=1,1,0)</f>
        <v>1</v>
      </c>
    </row>
    <row r="6444" spans="1:16" x14ac:dyDescent="0.25">
      <c r="A6444" t="s">
        <v>2275</v>
      </c>
      <c r="B6444">
        <v>14</v>
      </c>
      <c r="C6444" t="s">
        <v>9161</v>
      </c>
      <c r="D6444" t="s">
        <v>56</v>
      </c>
      <c r="E6444" s="13">
        <v>1390</v>
      </c>
      <c r="F6444" s="12">
        <v>0.25</v>
      </c>
      <c r="G6444" t="str">
        <f>IFERROR(INDEX(tEditais[Órgão],MATCH(tItens[[#This Row],[Edital]],tEditais[Edital],0)),"")</f>
        <v>MINISTERIO DA SAUDE</v>
      </c>
      <c r="H6444" t="str">
        <f>IFERROR(INDEX(tEditais[UF],MATCH(tItens[[#This Row],[Edital]],tEditais[Edital],0)),"")</f>
        <v>RJ</v>
      </c>
      <c r="I6444" s="11">
        <f>IFERROR(INDEX(tEditais[Encerramento],MATCH(tItens[[#This Row],[Edital]],tEditais[Edital],0)),"")</f>
        <v>46308.541666666664</v>
      </c>
      <c r="J6444" t="str">
        <f>IFERROR(INDEX(tProdutos[Classe],MATCH(tItens[[#This Row],[Produto]],tProdutos[Produto],0)),"produto não cadastrado")</f>
        <v>NÚCLEO</v>
      </c>
      <c r="K6444" s="12">
        <f>tItens[[#This Row],[Qtd]]*tItens[[#This Row],[Vlr unit]]</f>
        <v>347.5</v>
      </c>
      <c r="L6444" s="6">
        <f>IFERROR(IF(INDEX(tProdutos[Desconto homologado],MATCH(tItens[[#This Row],[Produto]],tProdutos[Produto],0))="",DescontoPadrao,INDEX(tProdutos[Desconto homologado],MATCH(tItens[[#This Row],[Produto]],tProdutos[Produto],0))),DescontoPadrao)</f>
        <v>0.34</v>
      </c>
      <c r="M6444" s="12">
        <f>tItens[[#This Row],[Valor]]*(1-tItens[[#This Row],[Desconto]])</f>
        <v>229.34999999999997</v>
      </c>
      <c r="N6444" t="str">
        <f>IFERROR(INDEX(tProdutos[Foco],MATCH(tItens[[#This Row],[Produto]],tProdutos[Produto],0)),"Não")</f>
        <v>Sim</v>
      </c>
      <c r="O6444" t="str">
        <f>IFERROR(INDEX(tEditais[SRP],MATCH(tItens[[#This Row],[Edital]],tEditais[Edital],0)),"Não")</f>
        <v>Não</v>
      </c>
      <c r="P6444" s="4">
        <f>IF(COUNTIFS(INDEX(tItens[Edital],1):tItens[[#This Row],[Edital]],tItens[[#This Row],[Edital]],INDEX(tItens[Produto],1):tItens[[#This Row],[Produto]],tItens[[#This Row],[Produto]])=1,1,0)</f>
        <v>0</v>
      </c>
    </row>
    <row r="6445" spans="1:16" x14ac:dyDescent="0.25">
      <c r="A6445" t="s">
        <v>2275</v>
      </c>
      <c r="B6445">
        <v>15</v>
      </c>
      <c r="C6445" t="s">
        <v>9162</v>
      </c>
      <c r="D6445" t="s">
        <v>56</v>
      </c>
      <c r="E6445" s="13">
        <v>2500</v>
      </c>
      <c r="F6445" s="12">
        <v>0.25</v>
      </c>
      <c r="G6445" t="str">
        <f>IFERROR(INDEX(tEditais[Órgão],MATCH(tItens[[#This Row],[Edital]],tEditais[Edital],0)),"")</f>
        <v>MINISTERIO DA SAUDE</v>
      </c>
      <c r="H6445" t="str">
        <f>IFERROR(INDEX(tEditais[UF],MATCH(tItens[[#This Row],[Edital]],tEditais[Edital],0)),"")</f>
        <v>RJ</v>
      </c>
      <c r="I6445" s="11">
        <f>IFERROR(INDEX(tEditais[Encerramento],MATCH(tItens[[#This Row],[Edital]],tEditais[Edital],0)),"")</f>
        <v>46308.541666666664</v>
      </c>
      <c r="J6445" t="str">
        <f>IFERROR(INDEX(tProdutos[Classe],MATCH(tItens[[#This Row],[Produto]],tProdutos[Produto],0)),"produto não cadastrado")</f>
        <v>NÚCLEO</v>
      </c>
      <c r="K6445" s="12">
        <f>tItens[[#This Row],[Qtd]]*tItens[[#This Row],[Vlr unit]]</f>
        <v>625</v>
      </c>
      <c r="L6445" s="6">
        <f>IFERROR(IF(INDEX(tProdutos[Desconto homologado],MATCH(tItens[[#This Row],[Produto]],tProdutos[Produto],0))="",DescontoPadrao,INDEX(tProdutos[Desconto homologado],MATCH(tItens[[#This Row],[Produto]],tProdutos[Produto],0))),DescontoPadrao)</f>
        <v>0.34</v>
      </c>
      <c r="M6445" s="12">
        <f>tItens[[#This Row],[Valor]]*(1-tItens[[#This Row],[Desconto]])</f>
        <v>412.49999999999994</v>
      </c>
      <c r="N6445" t="str">
        <f>IFERROR(INDEX(tProdutos[Foco],MATCH(tItens[[#This Row],[Produto]],tProdutos[Produto],0)),"Não")</f>
        <v>Sim</v>
      </c>
      <c r="O6445" t="str">
        <f>IFERROR(INDEX(tEditais[SRP],MATCH(tItens[[#This Row],[Edital]],tEditais[Edital],0)),"Não")</f>
        <v>Não</v>
      </c>
      <c r="P6445" s="4">
        <f>IF(COUNTIFS(INDEX(tItens[Edital],1):tItens[[#This Row],[Edital]],tItens[[#This Row],[Edital]],INDEX(tItens[Produto],1):tItens[[#This Row],[Produto]],tItens[[#This Row],[Produto]])=1,1,0)</f>
        <v>0</v>
      </c>
    </row>
    <row r="6446" spans="1:16" x14ac:dyDescent="0.25">
      <c r="A6446" t="s">
        <v>2275</v>
      </c>
      <c r="B6446">
        <v>16</v>
      </c>
      <c r="C6446" t="s">
        <v>9163</v>
      </c>
      <c r="D6446" t="s">
        <v>277</v>
      </c>
      <c r="E6446" s="13">
        <v>224598</v>
      </c>
      <c r="F6446" s="12">
        <v>0.1</v>
      </c>
      <c r="G6446" t="str">
        <f>IFERROR(INDEX(tEditais[Órgão],MATCH(tItens[[#This Row],[Edital]],tEditais[Edital],0)),"")</f>
        <v>MINISTERIO DA SAUDE</v>
      </c>
      <c r="H6446" t="str">
        <f>IFERROR(INDEX(tEditais[UF],MATCH(tItens[[#This Row],[Edital]],tEditais[Edital],0)),"")</f>
        <v>RJ</v>
      </c>
      <c r="I6446" s="11">
        <f>IFERROR(INDEX(tEditais[Encerramento],MATCH(tItens[[#This Row],[Edital]],tEditais[Edital],0)),"")</f>
        <v>46308.541666666664</v>
      </c>
      <c r="J6446" t="str">
        <f>IFERROR(INDEX(tProdutos[Classe],MATCH(tItens[[#This Row],[Produto]],tProdutos[Produto],0)),"produto não cadastrado")</f>
        <v>DISPUTADO</v>
      </c>
      <c r="K6446" s="12">
        <f>tItens[[#This Row],[Qtd]]*tItens[[#This Row],[Vlr unit]]</f>
        <v>22459.800000000003</v>
      </c>
      <c r="L6446" s="6">
        <f>IFERROR(IF(INDEX(tProdutos[Desconto homologado],MATCH(tItens[[#This Row],[Produto]],tProdutos[Produto],0))="",DescontoPadrao,INDEX(tProdutos[Desconto homologado],MATCH(tItens[[#This Row],[Produto]],tProdutos[Produto],0))),DescontoPadrao)</f>
        <v>0.50460666194188497</v>
      </c>
      <c r="M6446" s="12">
        <f>tItens[[#This Row],[Valor]]*(1-tItens[[#This Row],[Desconto]])</f>
        <v>11126.435294117653</v>
      </c>
      <c r="N6446" t="str">
        <f>IFERROR(INDEX(tProdutos[Foco],MATCH(tItens[[#This Row],[Produto]],tProdutos[Produto],0)),"Não")</f>
        <v>Não</v>
      </c>
      <c r="O6446" t="str">
        <f>IFERROR(INDEX(tEditais[SRP],MATCH(tItens[[#This Row],[Edital]],tEditais[Edital],0)),"Não")</f>
        <v>Não</v>
      </c>
      <c r="P6446" s="4">
        <f>IF(COUNTIFS(INDEX(tItens[Edital],1):tItens[[#This Row],[Edital]],tItens[[#This Row],[Edital]],INDEX(tItens[Produto],1):tItens[[#This Row],[Produto]],tItens[[#This Row],[Produto]])=1,1,0)</f>
        <v>1</v>
      </c>
    </row>
    <row r="6447" spans="1:16" x14ac:dyDescent="0.25">
      <c r="A6447" t="s">
        <v>2275</v>
      </c>
      <c r="B6447">
        <v>17</v>
      </c>
      <c r="C6447" t="s">
        <v>9164</v>
      </c>
      <c r="D6447" t="s">
        <v>277</v>
      </c>
      <c r="E6447" s="13">
        <v>59000</v>
      </c>
      <c r="F6447" s="12">
        <v>0.18</v>
      </c>
      <c r="G6447" t="str">
        <f>IFERROR(INDEX(tEditais[Órgão],MATCH(tItens[[#This Row],[Edital]],tEditais[Edital],0)),"")</f>
        <v>MINISTERIO DA SAUDE</v>
      </c>
      <c r="H6447" t="str">
        <f>IFERROR(INDEX(tEditais[UF],MATCH(tItens[[#This Row],[Edital]],tEditais[Edital],0)),"")</f>
        <v>RJ</v>
      </c>
      <c r="I6447" s="11">
        <f>IFERROR(INDEX(tEditais[Encerramento],MATCH(tItens[[#This Row],[Edital]],tEditais[Edital],0)),"")</f>
        <v>46308.541666666664</v>
      </c>
      <c r="J6447" t="str">
        <f>IFERROR(INDEX(tProdutos[Classe],MATCH(tItens[[#This Row],[Produto]],tProdutos[Produto],0)),"produto não cadastrado")</f>
        <v>DISPUTADO</v>
      </c>
      <c r="K6447" s="12">
        <f>tItens[[#This Row],[Qtd]]*tItens[[#This Row],[Vlr unit]]</f>
        <v>10620</v>
      </c>
      <c r="L6447" s="6">
        <f>IFERROR(IF(INDEX(tProdutos[Desconto homologado],MATCH(tItens[[#This Row],[Produto]],tProdutos[Produto],0))="",DescontoPadrao,INDEX(tProdutos[Desconto homologado],MATCH(tItens[[#This Row],[Produto]],tProdutos[Produto],0))),DescontoPadrao)</f>
        <v>0.50460666194188497</v>
      </c>
      <c r="M6447" s="12">
        <f>tItens[[#This Row],[Valor]]*(1-tItens[[#This Row],[Desconto]])</f>
        <v>5261.0772501771817</v>
      </c>
      <c r="N6447" t="str">
        <f>IFERROR(INDEX(tProdutos[Foco],MATCH(tItens[[#This Row],[Produto]],tProdutos[Produto],0)),"Não")</f>
        <v>Não</v>
      </c>
      <c r="O6447" t="str">
        <f>IFERROR(INDEX(tEditais[SRP],MATCH(tItens[[#This Row],[Edital]],tEditais[Edital],0)),"Não")</f>
        <v>Não</v>
      </c>
      <c r="P6447" s="4">
        <f>IF(COUNTIFS(INDEX(tItens[Edital],1):tItens[[#This Row],[Edital]],tItens[[#This Row],[Edital]],INDEX(tItens[Produto],1):tItens[[#This Row],[Produto]],tItens[[#This Row],[Produto]])=1,1,0)</f>
        <v>0</v>
      </c>
    </row>
    <row r="6448" spans="1:16" x14ac:dyDescent="0.25">
      <c r="A6448" t="s">
        <v>2278</v>
      </c>
      <c r="B6448">
        <v>7</v>
      </c>
      <c r="C6448" t="s">
        <v>9165</v>
      </c>
      <c r="D6448" t="s">
        <v>313</v>
      </c>
      <c r="E6448" s="13">
        <v>2</v>
      </c>
      <c r="F6448" s="12">
        <v>40.08</v>
      </c>
      <c r="G6448" t="str">
        <f>IFERROR(INDEX(tEditais[Órgão],MATCH(tItens[[#This Row],[Edital]],tEditais[Edital],0)),"")</f>
        <v>COMANDO DA MARINHA</v>
      </c>
      <c r="H6448" t="str">
        <f>IFERROR(INDEX(tEditais[UF],MATCH(tItens[[#This Row],[Edital]],tEditais[Edital],0)),"")</f>
        <v>RJ</v>
      </c>
      <c r="I6448" s="11">
        <f>IFERROR(INDEX(tEditais[Encerramento],MATCH(tItens[[#This Row],[Edital]],tEditais[Edital],0)),"")</f>
        <v>46309.333333333336</v>
      </c>
      <c r="J6448" t="str">
        <f>IFERROR(INDEX(tProdutos[Classe],MATCH(tItens[[#This Row],[Produto]],tProdutos[Produto],0)),"produto não cadastrado")</f>
        <v>FORA</v>
      </c>
      <c r="K6448" s="12">
        <f>tItens[[#This Row],[Qtd]]*tItens[[#This Row],[Vlr unit]]</f>
        <v>80.16</v>
      </c>
      <c r="L6448" s="6">
        <f>IFERROR(IF(INDEX(tProdutos[Desconto homologado],MATCH(tItens[[#This Row],[Produto]],tProdutos[Produto],0))="",DescontoPadrao,INDEX(tProdutos[Desconto homologado],MATCH(tItens[[#This Row],[Produto]],tProdutos[Produto],0))),DescontoPadrao)</f>
        <v>0.35766373163696302</v>
      </c>
      <c r="M6448" s="12">
        <f>tItens[[#This Row],[Valor]]*(1-tItens[[#This Row],[Desconto]])</f>
        <v>51.489675271981035</v>
      </c>
      <c r="N6448" t="str">
        <f>IFERROR(INDEX(tProdutos[Foco],MATCH(tItens[[#This Row],[Produto]],tProdutos[Produto],0)),"Não")</f>
        <v>Não</v>
      </c>
      <c r="O6448" t="str">
        <f>IFERROR(INDEX(tEditais[SRP],MATCH(tItens[[#This Row],[Edital]],tEditais[Edital],0)),"Não")</f>
        <v>Não</v>
      </c>
      <c r="P6448" s="4">
        <f>IF(COUNTIFS(INDEX(tItens[Edital],1):tItens[[#This Row],[Edital]],tItens[[#This Row],[Edital]],INDEX(tItens[Produto],1):tItens[[#This Row],[Produto]],tItens[[#This Row],[Produto]])=1,1,0)</f>
        <v>1</v>
      </c>
    </row>
    <row r="6449" spans="1:16" x14ac:dyDescent="0.25">
      <c r="A6449" t="s">
        <v>2282</v>
      </c>
      <c r="B6449">
        <v>1</v>
      </c>
      <c r="C6449" t="s">
        <v>9166</v>
      </c>
      <c r="D6449" t="s">
        <v>375</v>
      </c>
      <c r="E6449" s="13">
        <v>1200</v>
      </c>
      <c r="F6449" s="12">
        <v>7.9</v>
      </c>
      <c r="G6449" t="str">
        <f>IFERROR(INDEX(tEditais[Órgão],MATCH(tItens[[#This Row],[Edital]],tEditais[Edital],0)),"")</f>
        <v>MUNICIPIO DE RIO DE JANEIRO</v>
      </c>
      <c r="H6449" t="str">
        <f>IFERROR(INDEX(tEditais[UF],MATCH(tItens[[#This Row],[Edital]],tEditais[Edital],0)),"")</f>
        <v>RJ</v>
      </c>
      <c r="I6449" s="11">
        <f>IFERROR(INDEX(tEditais[Encerramento],MATCH(tItens[[#This Row],[Edital]],tEditais[Edital],0)),"")</f>
        <v>46309.333333333336</v>
      </c>
      <c r="J6449" t="str">
        <f>IFERROR(INDEX(tProdutos[Classe],MATCH(tItens[[#This Row],[Produto]],tProdutos[Produto],0)),"produto não cadastrado")</f>
        <v>FORA</v>
      </c>
      <c r="K6449" s="12">
        <f>tItens[[#This Row],[Qtd]]*tItens[[#This Row],[Vlr unit]]</f>
        <v>9480</v>
      </c>
      <c r="L6449" s="6">
        <f>IFERROR(IF(INDEX(tProdutos[Desconto homologado],MATCH(tItens[[#This Row],[Produto]],tProdutos[Produto],0))="",DescontoPadrao,INDEX(tProdutos[Desconto homologado],MATCH(tItens[[#This Row],[Produto]],tProdutos[Produto],0))),DescontoPadrao)</f>
        <v>0.25005895299481201</v>
      </c>
      <c r="M6449" s="12">
        <f>tItens[[#This Row],[Valor]]*(1-tItens[[#This Row],[Desconto]])</f>
        <v>7109.4411256091817</v>
      </c>
      <c r="N6449" t="str">
        <f>IFERROR(INDEX(tProdutos[Foco],MATCH(tItens[[#This Row],[Produto]],tProdutos[Produto],0)),"Não")</f>
        <v>Não</v>
      </c>
      <c r="O6449" t="str">
        <f>IFERROR(INDEX(tEditais[SRP],MATCH(tItens[[#This Row],[Edital]],tEditais[Edital],0)),"Não")</f>
        <v>Não</v>
      </c>
      <c r="P6449" s="4">
        <f>IF(COUNTIFS(INDEX(tItens[Edital],1):tItens[[#This Row],[Edital]],tItens[[#This Row],[Edital]],INDEX(tItens[Produto],1):tItens[[#This Row],[Produto]],tItens[[#This Row],[Produto]])=1,1,0)</f>
        <v>1</v>
      </c>
    </row>
    <row r="6450" spans="1:16" x14ac:dyDescent="0.25">
      <c r="A6450" t="s">
        <v>2282</v>
      </c>
      <c r="B6450">
        <v>2</v>
      </c>
      <c r="C6450" t="s">
        <v>9167</v>
      </c>
      <c r="D6450" t="s">
        <v>375</v>
      </c>
      <c r="E6450" s="13">
        <v>1200</v>
      </c>
      <c r="F6450" s="12">
        <v>7.5</v>
      </c>
      <c r="G6450" t="str">
        <f>IFERROR(INDEX(tEditais[Órgão],MATCH(tItens[[#This Row],[Edital]],tEditais[Edital],0)),"")</f>
        <v>MUNICIPIO DE RIO DE JANEIRO</v>
      </c>
      <c r="H6450" t="str">
        <f>IFERROR(INDEX(tEditais[UF],MATCH(tItens[[#This Row],[Edital]],tEditais[Edital],0)),"")</f>
        <v>RJ</v>
      </c>
      <c r="I6450" s="11">
        <f>IFERROR(INDEX(tEditais[Encerramento],MATCH(tItens[[#This Row],[Edital]],tEditais[Edital],0)),"")</f>
        <v>46309.333333333336</v>
      </c>
      <c r="J6450" t="str">
        <f>IFERROR(INDEX(tProdutos[Classe],MATCH(tItens[[#This Row],[Produto]],tProdutos[Produto],0)),"produto não cadastrado")</f>
        <v>FORA</v>
      </c>
      <c r="K6450" s="12">
        <f>tItens[[#This Row],[Qtd]]*tItens[[#This Row],[Vlr unit]]</f>
        <v>9000</v>
      </c>
      <c r="L6450" s="6">
        <f>IFERROR(IF(INDEX(tProdutos[Desconto homologado],MATCH(tItens[[#This Row],[Produto]],tProdutos[Produto],0))="",DescontoPadrao,INDEX(tProdutos[Desconto homologado],MATCH(tItens[[#This Row],[Produto]],tProdutos[Produto],0))),DescontoPadrao)</f>
        <v>0.25005895299481201</v>
      </c>
      <c r="M6450" s="12">
        <f>tItens[[#This Row],[Valor]]*(1-tItens[[#This Row],[Desconto]])</f>
        <v>6749.4694230466912</v>
      </c>
      <c r="N6450" t="str">
        <f>IFERROR(INDEX(tProdutos[Foco],MATCH(tItens[[#This Row],[Produto]],tProdutos[Produto],0)),"Não")</f>
        <v>Não</v>
      </c>
      <c r="O6450" t="str">
        <f>IFERROR(INDEX(tEditais[SRP],MATCH(tItens[[#This Row],[Edital]],tEditais[Edital],0)),"Não")</f>
        <v>Não</v>
      </c>
      <c r="P6450" s="4">
        <f>IF(COUNTIFS(INDEX(tItens[Edital],1):tItens[[#This Row],[Edital]],tItens[[#This Row],[Edital]],INDEX(tItens[Produto],1):tItens[[#This Row],[Produto]],tItens[[#This Row],[Produto]])=1,1,0)</f>
        <v>0</v>
      </c>
    </row>
    <row r="6451" spans="1:16" x14ac:dyDescent="0.25">
      <c r="A6451" t="s">
        <v>2282</v>
      </c>
      <c r="B6451">
        <v>3</v>
      </c>
      <c r="C6451" t="s">
        <v>9094</v>
      </c>
      <c r="D6451" t="s">
        <v>375</v>
      </c>
      <c r="E6451" s="13">
        <v>300</v>
      </c>
      <c r="F6451" s="12">
        <v>8.11</v>
      </c>
      <c r="G6451" t="str">
        <f>IFERROR(INDEX(tEditais[Órgão],MATCH(tItens[[#This Row],[Edital]],tEditais[Edital],0)),"")</f>
        <v>MUNICIPIO DE RIO DE JANEIRO</v>
      </c>
      <c r="H6451" t="str">
        <f>IFERROR(INDEX(tEditais[UF],MATCH(tItens[[#This Row],[Edital]],tEditais[Edital],0)),"")</f>
        <v>RJ</v>
      </c>
      <c r="I6451" s="11">
        <f>IFERROR(INDEX(tEditais[Encerramento],MATCH(tItens[[#This Row],[Edital]],tEditais[Edital],0)),"")</f>
        <v>46309.333333333336</v>
      </c>
      <c r="J6451" t="str">
        <f>IFERROR(INDEX(tProdutos[Classe],MATCH(tItens[[#This Row],[Produto]],tProdutos[Produto],0)),"produto não cadastrado")</f>
        <v>FORA</v>
      </c>
      <c r="K6451" s="12">
        <f>tItens[[#This Row],[Qtd]]*tItens[[#This Row],[Vlr unit]]</f>
        <v>2433</v>
      </c>
      <c r="L6451" s="6">
        <f>IFERROR(IF(INDEX(tProdutos[Desconto homologado],MATCH(tItens[[#This Row],[Produto]],tProdutos[Produto],0))="",DescontoPadrao,INDEX(tProdutos[Desconto homologado],MATCH(tItens[[#This Row],[Produto]],tProdutos[Produto],0))),DescontoPadrao)</f>
        <v>0.25005895299481201</v>
      </c>
      <c r="M6451" s="12">
        <f>tItens[[#This Row],[Valor]]*(1-tItens[[#This Row],[Desconto]])</f>
        <v>1824.6065673636222</v>
      </c>
      <c r="N6451" t="str">
        <f>IFERROR(INDEX(tProdutos[Foco],MATCH(tItens[[#This Row],[Produto]],tProdutos[Produto],0)),"Não")</f>
        <v>Não</v>
      </c>
      <c r="O6451" t="str">
        <f>IFERROR(INDEX(tEditais[SRP],MATCH(tItens[[#This Row],[Edital]],tEditais[Edital],0)),"Não")</f>
        <v>Não</v>
      </c>
      <c r="P6451" s="4">
        <f>IF(COUNTIFS(INDEX(tItens[Edital],1):tItens[[#This Row],[Edital]],tItens[[#This Row],[Edital]],INDEX(tItens[Produto],1):tItens[[#This Row],[Produto]],tItens[[#This Row],[Produto]])=1,1,0)</f>
        <v>0</v>
      </c>
    </row>
    <row r="6452" spans="1:16" x14ac:dyDescent="0.25">
      <c r="A6452" t="s">
        <v>2282</v>
      </c>
      <c r="B6452">
        <v>4</v>
      </c>
      <c r="C6452" t="s">
        <v>9168</v>
      </c>
      <c r="D6452" t="s">
        <v>375</v>
      </c>
      <c r="E6452" s="13">
        <v>1620</v>
      </c>
      <c r="F6452" s="12">
        <v>8.11</v>
      </c>
      <c r="G6452" t="str">
        <f>IFERROR(INDEX(tEditais[Órgão],MATCH(tItens[[#This Row],[Edital]],tEditais[Edital],0)),"")</f>
        <v>MUNICIPIO DE RIO DE JANEIRO</v>
      </c>
      <c r="H6452" t="str">
        <f>IFERROR(INDEX(tEditais[UF],MATCH(tItens[[#This Row],[Edital]],tEditais[Edital],0)),"")</f>
        <v>RJ</v>
      </c>
      <c r="I6452" s="11">
        <f>IFERROR(INDEX(tEditais[Encerramento],MATCH(tItens[[#This Row],[Edital]],tEditais[Edital],0)),"")</f>
        <v>46309.333333333336</v>
      </c>
      <c r="J6452" t="str">
        <f>IFERROR(INDEX(tProdutos[Classe],MATCH(tItens[[#This Row],[Produto]],tProdutos[Produto],0)),"produto não cadastrado")</f>
        <v>FORA</v>
      </c>
      <c r="K6452" s="12">
        <f>tItens[[#This Row],[Qtd]]*tItens[[#This Row],[Vlr unit]]</f>
        <v>13138.199999999999</v>
      </c>
      <c r="L6452" s="6">
        <f>IFERROR(IF(INDEX(tProdutos[Desconto homologado],MATCH(tItens[[#This Row],[Produto]],tProdutos[Produto],0))="",DescontoPadrao,INDEX(tProdutos[Desconto homologado],MATCH(tItens[[#This Row],[Produto]],tProdutos[Produto],0))),DescontoPadrao)</f>
        <v>0.25005895299481201</v>
      </c>
      <c r="M6452" s="12">
        <f>tItens[[#This Row],[Valor]]*(1-tItens[[#This Row],[Desconto]])</f>
        <v>9852.8754637635593</v>
      </c>
      <c r="N6452" t="str">
        <f>IFERROR(INDEX(tProdutos[Foco],MATCH(tItens[[#This Row],[Produto]],tProdutos[Produto],0)),"Não")</f>
        <v>Não</v>
      </c>
      <c r="O6452" t="str">
        <f>IFERROR(INDEX(tEditais[SRP],MATCH(tItens[[#This Row],[Edital]],tEditais[Edital],0)),"Não")</f>
        <v>Não</v>
      </c>
      <c r="P6452" s="4">
        <f>IF(COUNTIFS(INDEX(tItens[Edital],1):tItens[[#This Row],[Edital]],tItens[[#This Row],[Edital]],INDEX(tItens[Produto],1):tItens[[#This Row],[Produto]],tItens[[#This Row],[Produto]])=1,1,0)</f>
        <v>0</v>
      </c>
    </row>
    <row r="6453" spans="1:16" x14ac:dyDescent="0.25">
      <c r="A6453" t="s">
        <v>2282</v>
      </c>
      <c r="B6453">
        <v>5</v>
      </c>
      <c r="C6453" t="s">
        <v>9169</v>
      </c>
      <c r="D6453" t="s">
        <v>375</v>
      </c>
      <c r="E6453" s="13">
        <v>2256</v>
      </c>
      <c r="F6453" s="12">
        <v>8.82</v>
      </c>
      <c r="G6453" t="str">
        <f>IFERROR(INDEX(tEditais[Órgão],MATCH(tItens[[#This Row],[Edital]],tEditais[Edital],0)),"")</f>
        <v>MUNICIPIO DE RIO DE JANEIRO</v>
      </c>
      <c r="H6453" t="str">
        <f>IFERROR(INDEX(tEditais[UF],MATCH(tItens[[#This Row],[Edital]],tEditais[Edital],0)),"")</f>
        <v>RJ</v>
      </c>
      <c r="I6453" s="11">
        <f>IFERROR(INDEX(tEditais[Encerramento],MATCH(tItens[[#This Row],[Edital]],tEditais[Edital],0)),"")</f>
        <v>46309.333333333336</v>
      </c>
      <c r="J6453" t="str">
        <f>IFERROR(INDEX(tProdutos[Classe],MATCH(tItens[[#This Row],[Produto]],tProdutos[Produto],0)),"produto não cadastrado")</f>
        <v>FORA</v>
      </c>
      <c r="K6453" s="12">
        <f>tItens[[#This Row],[Qtd]]*tItens[[#This Row],[Vlr unit]]</f>
        <v>19897.920000000002</v>
      </c>
      <c r="L6453" s="6">
        <f>IFERROR(IF(INDEX(tProdutos[Desconto homologado],MATCH(tItens[[#This Row],[Produto]],tProdutos[Produto],0))="",DescontoPadrao,INDEX(tProdutos[Desconto homologado],MATCH(tItens[[#This Row],[Produto]],tProdutos[Produto],0))),DescontoPadrao)</f>
        <v>0.25005895299481201</v>
      </c>
      <c r="M6453" s="12">
        <f>tItens[[#This Row],[Valor]]*(1-tItens[[#This Row],[Desconto]])</f>
        <v>14922.26695802547</v>
      </c>
      <c r="N6453" t="str">
        <f>IFERROR(INDEX(tProdutos[Foco],MATCH(tItens[[#This Row],[Produto]],tProdutos[Produto],0)),"Não")</f>
        <v>Não</v>
      </c>
      <c r="O6453" t="str">
        <f>IFERROR(INDEX(tEditais[SRP],MATCH(tItens[[#This Row],[Edital]],tEditais[Edital],0)),"Não")</f>
        <v>Não</v>
      </c>
      <c r="P6453" s="4">
        <f>IF(COUNTIFS(INDEX(tItens[Edital],1):tItens[[#This Row],[Edital]],tItens[[#This Row],[Edital]],INDEX(tItens[Produto],1):tItens[[#This Row],[Produto]],tItens[[#This Row],[Produto]])=1,1,0)</f>
        <v>0</v>
      </c>
    </row>
    <row r="6454" spans="1:16" x14ac:dyDescent="0.25">
      <c r="A6454" t="s">
        <v>2282</v>
      </c>
      <c r="B6454">
        <v>6</v>
      </c>
      <c r="C6454" t="s">
        <v>9170</v>
      </c>
      <c r="D6454" t="s">
        <v>375</v>
      </c>
      <c r="E6454" s="13">
        <v>756</v>
      </c>
      <c r="F6454" s="12">
        <v>6.75</v>
      </c>
      <c r="G6454" t="str">
        <f>IFERROR(INDEX(tEditais[Órgão],MATCH(tItens[[#This Row],[Edital]],tEditais[Edital],0)),"")</f>
        <v>MUNICIPIO DE RIO DE JANEIRO</v>
      </c>
      <c r="H6454" t="str">
        <f>IFERROR(INDEX(tEditais[UF],MATCH(tItens[[#This Row],[Edital]],tEditais[Edital],0)),"")</f>
        <v>RJ</v>
      </c>
      <c r="I6454" s="11">
        <f>IFERROR(INDEX(tEditais[Encerramento],MATCH(tItens[[#This Row],[Edital]],tEditais[Edital],0)),"")</f>
        <v>46309.333333333336</v>
      </c>
      <c r="J6454" t="str">
        <f>IFERROR(INDEX(tProdutos[Classe],MATCH(tItens[[#This Row],[Produto]],tProdutos[Produto],0)),"produto não cadastrado")</f>
        <v>FORA</v>
      </c>
      <c r="K6454" s="12">
        <f>tItens[[#This Row],[Qtd]]*tItens[[#This Row],[Vlr unit]]</f>
        <v>5103</v>
      </c>
      <c r="L6454" s="6">
        <f>IFERROR(IF(INDEX(tProdutos[Desconto homologado],MATCH(tItens[[#This Row],[Produto]],tProdutos[Produto],0))="",DescontoPadrao,INDEX(tProdutos[Desconto homologado],MATCH(tItens[[#This Row],[Produto]],tProdutos[Produto],0))),DescontoPadrao)</f>
        <v>0.25005895299481201</v>
      </c>
      <c r="M6454" s="12">
        <f>tItens[[#This Row],[Valor]]*(1-tItens[[#This Row],[Desconto]])</f>
        <v>3826.9491628674741</v>
      </c>
      <c r="N6454" t="str">
        <f>IFERROR(INDEX(tProdutos[Foco],MATCH(tItens[[#This Row],[Produto]],tProdutos[Produto],0)),"Não")</f>
        <v>Não</v>
      </c>
      <c r="O6454" t="str">
        <f>IFERROR(INDEX(tEditais[SRP],MATCH(tItens[[#This Row],[Edital]],tEditais[Edital],0)),"Não")</f>
        <v>Não</v>
      </c>
      <c r="P6454" s="4">
        <f>IF(COUNTIFS(INDEX(tItens[Edital],1):tItens[[#This Row],[Edital]],tItens[[#This Row],[Edital]],INDEX(tItens[Produto],1):tItens[[#This Row],[Produto]],tItens[[#This Row],[Produto]])=1,1,0)</f>
        <v>0</v>
      </c>
    </row>
    <row r="6455" spans="1:16" x14ac:dyDescent="0.25">
      <c r="A6455" t="s">
        <v>2282</v>
      </c>
      <c r="B6455">
        <v>7</v>
      </c>
      <c r="C6455" t="s">
        <v>4153</v>
      </c>
      <c r="D6455" t="s">
        <v>375</v>
      </c>
      <c r="E6455" s="13">
        <v>300</v>
      </c>
      <c r="F6455" s="12">
        <v>13.54</v>
      </c>
      <c r="G6455" t="str">
        <f>IFERROR(INDEX(tEditais[Órgão],MATCH(tItens[[#This Row],[Edital]],tEditais[Edital],0)),"")</f>
        <v>MUNICIPIO DE RIO DE JANEIRO</v>
      </c>
      <c r="H6455" t="str">
        <f>IFERROR(INDEX(tEditais[UF],MATCH(tItens[[#This Row],[Edital]],tEditais[Edital],0)),"")</f>
        <v>RJ</v>
      </c>
      <c r="I6455" s="11">
        <f>IFERROR(INDEX(tEditais[Encerramento],MATCH(tItens[[#This Row],[Edital]],tEditais[Edital],0)),"")</f>
        <v>46309.333333333336</v>
      </c>
      <c r="J6455" t="str">
        <f>IFERROR(INDEX(tProdutos[Classe],MATCH(tItens[[#This Row],[Produto]],tProdutos[Produto],0)),"produto não cadastrado")</f>
        <v>FORA</v>
      </c>
      <c r="K6455" s="12">
        <f>tItens[[#This Row],[Qtd]]*tItens[[#This Row],[Vlr unit]]</f>
        <v>4061.9999999999995</v>
      </c>
      <c r="L6455" s="6">
        <f>IFERROR(IF(INDEX(tProdutos[Desconto homologado],MATCH(tItens[[#This Row],[Produto]],tProdutos[Produto],0))="",DescontoPadrao,INDEX(tProdutos[Desconto homologado],MATCH(tItens[[#This Row],[Produto]],tProdutos[Produto],0))),DescontoPadrao)</f>
        <v>0.25005895299481201</v>
      </c>
      <c r="M6455" s="12">
        <f>tItens[[#This Row],[Valor]]*(1-tItens[[#This Row],[Desconto]])</f>
        <v>3046.2605329350731</v>
      </c>
      <c r="N6455" t="str">
        <f>IFERROR(INDEX(tProdutos[Foco],MATCH(tItens[[#This Row],[Produto]],tProdutos[Produto],0)),"Não")</f>
        <v>Não</v>
      </c>
      <c r="O6455" t="str">
        <f>IFERROR(INDEX(tEditais[SRP],MATCH(tItens[[#This Row],[Edital]],tEditais[Edital],0)),"Não")</f>
        <v>Não</v>
      </c>
      <c r="P6455" s="4">
        <f>IF(COUNTIFS(INDEX(tItens[Edital],1):tItens[[#This Row],[Edital]],tItens[[#This Row],[Edital]],INDEX(tItens[Produto],1):tItens[[#This Row],[Produto]],tItens[[#This Row],[Produto]])=1,1,0)</f>
        <v>0</v>
      </c>
    </row>
    <row r="6456" spans="1:16" x14ac:dyDescent="0.25">
      <c r="A6456" t="s">
        <v>2282</v>
      </c>
      <c r="B6456">
        <v>8</v>
      </c>
      <c r="C6456" t="s">
        <v>9171</v>
      </c>
      <c r="D6456" t="s">
        <v>375</v>
      </c>
      <c r="E6456" s="13">
        <v>300</v>
      </c>
      <c r="F6456" s="12">
        <v>7.73</v>
      </c>
      <c r="G6456" t="str">
        <f>IFERROR(INDEX(tEditais[Órgão],MATCH(tItens[[#This Row],[Edital]],tEditais[Edital],0)),"")</f>
        <v>MUNICIPIO DE RIO DE JANEIRO</v>
      </c>
      <c r="H6456" t="str">
        <f>IFERROR(INDEX(tEditais[UF],MATCH(tItens[[#This Row],[Edital]],tEditais[Edital],0)),"")</f>
        <v>RJ</v>
      </c>
      <c r="I6456" s="11">
        <f>IFERROR(INDEX(tEditais[Encerramento],MATCH(tItens[[#This Row],[Edital]],tEditais[Edital],0)),"")</f>
        <v>46309.333333333336</v>
      </c>
      <c r="J6456" t="str">
        <f>IFERROR(INDEX(tProdutos[Classe],MATCH(tItens[[#This Row],[Produto]],tProdutos[Produto],0)),"produto não cadastrado")</f>
        <v>FORA</v>
      </c>
      <c r="K6456" s="12">
        <f>tItens[[#This Row],[Qtd]]*tItens[[#This Row],[Vlr unit]]</f>
        <v>2319</v>
      </c>
      <c r="L6456" s="6">
        <f>IFERROR(IF(INDEX(tProdutos[Desconto homologado],MATCH(tItens[[#This Row],[Produto]],tProdutos[Produto],0))="",DescontoPadrao,INDEX(tProdutos[Desconto homologado],MATCH(tItens[[#This Row],[Produto]],tProdutos[Produto],0))),DescontoPadrao)</f>
        <v>0.25005895299481201</v>
      </c>
      <c r="M6456" s="12">
        <f>tItens[[#This Row],[Valor]]*(1-tItens[[#This Row],[Desconto]])</f>
        <v>1739.1132880050309</v>
      </c>
      <c r="N6456" t="str">
        <f>IFERROR(INDEX(tProdutos[Foco],MATCH(tItens[[#This Row],[Produto]],tProdutos[Produto],0)),"Não")</f>
        <v>Não</v>
      </c>
      <c r="O6456" t="str">
        <f>IFERROR(INDEX(tEditais[SRP],MATCH(tItens[[#This Row],[Edital]],tEditais[Edital],0)),"Não")</f>
        <v>Não</v>
      </c>
      <c r="P6456" s="4">
        <f>IF(COUNTIFS(INDEX(tItens[Edital],1):tItens[[#This Row],[Edital]],tItens[[#This Row],[Edital]],INDEX(tItens[Produto],1):tItens[[#This Row],[Produto]],tItens[[#This Row],[Produto]])=1,1,0)</f>
        <v>0</v>
      </c>
    </row>
    <row r="6457" spans="1:16" x14ac:dyDescent="0.25">
      <c r="A6457" t="s">
        <v>2285</v>
      </c>
      <c r="B6457">
        <v>9</v>
      </c>
      <c r="C6457" t="s">
        <v>9172</v>
      </c>
      <c r="D6457" t="s">
        <v>195</v>
      </c>
      <c r="E6457" s="13">
        <v>300</v>
      </c>
      <c r="F6457" s="12">
        <v>183</v>
      </c>
      <c r="G6457" t="str">
        <f>IFERROR(INDEX(tEditais[Órgão],MATCH(tItens[[#This Row],[Edital]],tEditais[Edital],0)),"")</f>
        <v>COMANDO DO EXERCITO</v>
      </c>
      <c r="H6457" t="str">
        <f>IFERROR(INDEX(tEditais[UF],MATCH(tItens[[#This Row],[Edital]],tEditais[Edital],0)),"")</f>
        <v>RJ</v>
      </c>
      <c r="I6457" s="11">
        <f>IFERROR(INDEX(tEditais[Encerramento],MATCH(tItens[[#This Row],[Edital]],tEditais[Edital],0)),"")</f>
        <v>46309.333333333336</v>
      </c>
      <c r="J6457" t="str">
        <f>IFERROR(INDEX(tProdutos[Classe],MATCH(tItens[[#This Row],[Produto]],tProdutos[Produto],0)),"produto não cadastrado")</f>
        <v>FORA</v>
      </c>
      <c r="K6457" s="12">
        <f>tItens[[#This Row],[Qtd]]*tItens[[#This Row],[Vlr unit]]</f>
        <v>54900</v>
      </c>
      <c r="L6457" s="6">
        <f>IFERROR(IF(INDEX(tProdutos[Desconto homologado],MATCH(tItens[[#This Row],[Produto]],tProdutos[Produto],0))="",DescontoPadrao,INDEX(tProdutos[Desconto homologado],MATCH(tItens[[#This Row],[Produto]],tProdutos[Produto],0))),DescontoPadrao)</f>
        <v>0.27813657840171302</v>
      </c>
      <c r="M6457" s="12">
        <f>tItens[[#This Row],[Valor]]*(1-tItens[[#This Row],[Desconto]])</f>
        <v>39630.301845745955</v>
      </c>
      <c r="N6457" t="str">
        <f>IFERROR(INDEX(tProdutos[Foco],MATCH(tItens[[#This Row],[Produto]],tProdutos[Produto],0)),"Não")</f>
        <v>Não</v>
      </c>
      <c r="O6457" t="str">
        <f>IFERROR(INDEX(tEditais[SRP],MATCH(tItens[[#This Row],[Edital]],tEditais[Edital],0)),"Não")</f>
        <v>Não</v>
      </c>
      <c r="P6457" s="4">
        <f>IF(COUNTIFS(INDEX(tItens[Edital],1):tItens[[#This Row],[Edital]],tItens[[#This Row],[Edital]],INDEX(tItens[Produto],1):tItens[[#This Row],[Produto]],tItens[[#This Row],[Produto]])=1,1,0)</f>
        <v>1</v>
      </c>
    </row>
    <row r="6458" spans="1:16" x14ac:dyDescent="0.25">
      <c r="A6458" t="s">
        <v>2288</v>
      </c>
      <c r="B6458">
        <v>8035441</v>
      </c>
      <c r="C6458" t="s">
        <v>9173</v>
      </c>
      <c r="D6458" t="s">
        <v>88</v>
      </c>
      <c r="E6458" s="13">
        <v>30</v>
      </c>
      <c r="F6458" s="12">
        <v>50.49</v>
      </c>
      <c r="G6458" t="str">
        <f>IFERROR(INDEX(tEditais[Órgão],MATCH(tItens[[#This Row],[Edital]],tEditais[Edital],0)),"")</f>
        <v>MUNICIPIO DE MIRACEMA</v>
      </c>
      <c r="H6458" t="str">
        <f>IFERROR(INDEX(tEditais[UF],MATCH(tItens[[#This Row],[Edital]],tEditais[Edital],0)),"")</f>
        <v>RJ</v>
      </c>
      <c r="I6458" s="11">
        <f>IFERROR(INDEX(tEditais[Encerramento],MATCH(tItens[[#This Row],[Edital]],tEditais[Edital],0)),"")</f>
        <v>46309.375694444447</v>
      </c>
      <c r="J6458" t="str">
        <f>IFERROR(INDEX(tProdutos[Classe],MATCH(tItens[[#This Row],[Produto]],tProdutos[Produto],0)),"produto não cadastrado")</f>
        <v>NÚCLEO</v>
      </c>
      <c r="K6458" s="12">
        <f>tItens[[#This Row],[Qtd]]*tItens[[#This Row],[Vlr unit]]</f>
        <v>1514.7</v>
      </c>
      <c r="L6458" s="6">
        <f>IFERROR(IF(INDEX(tProdutos[Desconto homologado],MATCH(tItens[[#This Row],[Produto]],tProdutos[Produto],0))="",DescontoPadrao,INDEX(tProdutos[Desconto homologado],MATCH(tItens[[#This Row],[Produto]],tProdutos[Produto],0))),DescontoPadrao)</f>
        <v>0.30251202565473001</v>
      </c>
      <c r="M6458" s="12">
        <f>tItens[[#This Row],[Valor]]*(1-tItens[[#This Row],[Desconto]])</f>
        <v>1056.4850347407805</v>
      </c>
      <c r="N6458" t="str">
        <f>IFERROR(INDEX(tProdutos[Foco],MATCH(tItens[[#This Row],[Produto]],tProdutos[Produto],0)),"Não")</f>
        <v>Não</v>
      </c>
      <c r="O6458" t="str">
        <f>IFERROR(INDEX(tEditais[SRP],MATCH(tItens[[#This Row],[Edital]],tEditais[Edital],0)),"Não")</f>
        <v>Sim</v>
      </c>
      <c r="P6458" s="4">
        <f>IF(COUNTIFS(INDEX(tItens[Edital],1):tItens[[#This Row],[Edital]],tItens[[#This Row],[Edital]],INDEX(tItens[Produto],1):tItens[[#This Row],[Produto]],tItens[[#This Row],[Produto]])=1,1,0)</f>
        <v>1</v>
      </c>
    </row>
    <row r="6459" spans="1:16" x14ac:dyDescent="0.25">
      <c r="A6459" t="s">
        <v>2288</v>
      </c>
      <c r="B6459">
        <v>8035442</v>
      </c>
      <c r="C6459" t="s">
        <v>9174</v>
      </c>
      <c r="D6459" t="s">
        <v>71</v>
      </c>
      <c r="E6459" s="13">
        <v>500</v>
      </c>
      <c r="F6459" s="12">
        <v>36.979999999999997</v>
      </c>
      <c r="G6459" t="str">
        <f>IFERROR(INDEX(tEditais[Órgão],MATCH(tItens[[#This Row],[Edital]],tEditais[Edital],0)),"")</f>
        <v>MUNICIPIO DE MIRACEMA</v>
      </c>
      <c r="H6459" t="str">
        <f>IFERROR(INDEX(tEditais[UF],MATCH(tItens[[#This Row],[Edital]],tEditais[Edital],0)),"")</f>
        <v>RJ</v>
      </c>
      <c r="I6459" s="11">
        <f>IFERROR(INDEX(tEditais[Encerramento],MATCH(tItens[[#This Row],[Edital]],tEditais[Edital],0)),"")</f>
        <v>46309.375694444447</v>
      </c>
      <c r="J6459" t="str">
        <f>IFERROR(INDEX(tProdutos[Classe],MATCH(tItens[[#This Row],[Produto]],tProdutos[Produto],0)),"produto não cadastrado")</f>
        <v>NÚCLEO</v>
      </c>
      <c r="K6459" s="12">
        <f>tItens[[#This Row],[Qtd]]*tItens[[#This Row],[Vlr unit]]</f>
        <v>18490</v>
      </c>
      <c r="L6459" s="6">
        <f>IFERROR(IF(INDEX(tProdutos[Desconto homologado],MATCH(tItens[[#This Row],[Produto]],tProdutos[Produto],0))="",DescontoPadrao,INDEX(tProdutos[Desconto homologado],MATCH(tItens[[#This Row],[Produto]],tProdutos[Produto],0))),DescontoPadrao)</f>
        <v>0.44981412639405199</v>
      </c>
      <c r="M6459" s="12">
        <f>tItens[[#This Row],[Valor]]*(1-tItens[[#This Row],[Desconto]])</f>
        <v>10172.936802973978</v>
      </c>
      <c r="N6459" t="str">
        <f>IFERROR(INDEX(tProdutos[Foco],MATCH(tItens[[#This Row],[Produto]],tProdutos[Produto],0)),"Não")</f>
        <v>Não</v>
      </c>
      <c r="O6459" t="str">
        <f>IFERROR(INDEX(tEditais[SRP],MATCH(tItens[[#This Row],[Edital]],tEditais[Edital],0)),"Não")</f>
        <v>Sim</v>
      </c>
      <c r="P6459" s="4">
        <f>IF(COUNTIFS(INDEX(tItens[Edital],1):tItens[[#This Row],[Edital]],tItens[[#This Row],[Edital]],INDEX(tItens[Produto],1):tItens[[#This Row],[Produto]],tItens[[#This Row],[Produto]])=1,1,0)</f>
        <v>1</v>
      </c>
    </row>
    <row r="6460" spans="1:16" x14ac:dyDescent="0.25">
      <c r="A6460" t="s">
        <v>2288</v>
      </c>
      <c r="B6460">
        <v>8035511</v>
      </c>
      <c r="C6460" t="s">
        <v>9175</v>
      </c>
      <c r="D6460" t="s">
        <v>494</v>
      </c>
      <c r="E6460" s="13">
        <v>2000</v>
      </c>
      <c r="F6460" s="12">
        <v>0.55000000000000004</v>
      </c>
      <c r="G6460" t="str">
        <f>IFERROR(INDEX(tEditais[Órgão],MATCH(tItens[[#This Row],[Edital]],tEditais[Edital],0)),"")</f>
        <v>MUNICIPIO DE MIRACEMA</v>
      </c>
      <c r="H6460" t="str">
        <f>IFERROR(INDEX(tEditais[UF],MATCH(tItens[[#This Row],[Edital]],tEditais[Edital],0)),"")</f>
        <v>RJ</v>
      </c>
      <c r="I6460" s="11">
        <f>IFERROR(INDEX(tEditais[Encerramento],MATCH(tItens[[#This Row],[Edital]],tEditais[Edital],0)),"")</f>
        <v>46309.375694444447</v>
      </c>
      <c r="J6460" t="str">
        <f>IFERROR(INDEX(tProdutos[Classe],MATCH(tItens[[#This Row],[Produto]],tProdutos[Produto],0)),"produto não cadastrado")</f>
        <v>FILA REBASE</v>
      </c>
      <c r="K6460" s="12">
        <f>tItens[[#This Row],[Qtd]]*tItens[[#This Row],[Vlr unit]]</f>
        <v>1100</v>
      </c>
      <c r="L6460" s="6">
        <f>IFERROR(IF(INDEX(tProdutos[Desconto homologado],MATCH(tItens[[#This Row],[Produto]],tProdutos[Produto],0))="",DescontoPadrao,INDEX(tProdutos[Desconto homologado],MATCH(tItens[[#This Row],[Produto]],tProdutos[Produto],0))),DescontoPadrao)</f>
        <v>0.253736324829619</v>
      </c>
      <c r="M6460" s="12">
        <f>tItens[[#This Row],[Valor]]*(1-tItens[[#This Row],[Desconto]])</f>
        <v>820.89004268741917</v>
      </c>
      <c r="N6460" t="str">
        <f>IFERROR(INDEX(tProdutos[Foco],MATCH(tItens[[#This Row],[Produto]],tProdutos[Produto],0)),"Não")</f>
        <v>Não</v>
      </c>
      <c r="O6460" t="str">
        <f>IFERROR(INDEX(tEditais[SRP],MATCH(tItens[[#This Row],[Edital]],tEditais[Edital],0)),"Não")</f>
        <v>Sim</v>
      </c>
      <c r="P6460" s="4">
        <f>IF(COUNTIFS(INDEX(tItens[Edital],1):tItens[[#This Row],[Edital]],tItens[[#This Row],[Edital]],INDEX(tItens[Produto],1):tItens[[#This Row],[Produto]],tItens[[#This Row],[Produto]])=1,1,0)</f>
        <v>1</v>
      </c>
    </row>
    <row r="6461" spans="1:16" x14ac:dyDescent="0.25">
      <c r="A6461" t="s">
        <v>2288</v>
      </c>
      <c r="B6461">
        <v>8035512</v>
      </c>
      <c r="C6461" t="s">
        <v>9176</v>
      </c>
      <c r="D6461" t="s">
        <v>494</v>
      </c>
      <c r="E6461" s="13">
        <v>2000</v>
      </c>
      <c r="F6461" s="12">
        <v>0.81</v>
      </c>
      <c r="G6461" t="str">
        <f>IFERROR(INDEX(tEditais[Órgão],MATCH(tItens[[#This Row],[Edital]],tEditais[Edital],0)),"")</f>
        <v>MUNICIPIO DE MIRACEMA</v>
      </c>
      <c r="H6461" t="str">
        <f>IFERROR(INDEX(tEditais[UF],MATCH(tItens[[#This Row],[Edital]],tEditais[Edital],0)),"")</f>
        <v>RJ</v>
      </c>
      <c r="I6461" s="11">
        <f>IFERROR(INDEX(tEditais[Encerramento],MATCH(tItens[[#This Row],[Edital]],tEditais[Edital],0)),"")</f>
        <v>46309.375694444447</v>
      </c>
      <c r="J6461" t="str">
        <f>IFERROR(INDEX(tProdutos[Classe],MATCH(tItens[[#This Row],[Produto]],tProdutos[Produto],0)),"produto não cadastrado")</f>
        <v>FILA REBASE</v>
      </c>
      <c r="K6461" s="12">
        <f>tItens[[#This Row],[Qtd]]*tItens[[#This Row],[Vlr unit]]</f>
        <v>1620</v>
      </c>
      <c r="L6461" s="6">
        <f>IFERROR(IF(INDEX(tProdutos[Desconto homologado],MATCH(tItens[[#This Row],[Produto]],tProdutos[Produto],0))="",DescontoPadrao,INDEX(tProdutos[Desconto homologado],MATCH(tItens[[#This Row],[Produto]],tProdutos[Produto],0))),DescontoPadrao)</f>
        <v>0.253736324829619</v>
      </c>
      <c r="M6461" s="12">
        <f>tItens[[#This Row],[Valor]]*(1-tItens[[#This Row],[Desconto]])</f>
        <v>1208.9471537760173</v>
      </c>
      <c r="N6461" t="str">
        <f>IFERROR(INDEX(tProdutos[Foco],MATCH(tItens[[#This Row],[Produto]],tProdutos[Produto],0)),"Não")</f>
        <v>Não</v>
      </c>
      <c r="O6461" t="str">
        <f>IFERROR(INDEX(tEditais[SRP],MATCH(tItens[[#This Row],[Edital]],tEditais[Edital],0)),"Não")</f>
        <v>Sim</v>
      </c>
      <c r="P6461" s="4">
        <f>IF(COUNTIFS(INDEX(tItens[Edital],1):tItens[[#This Row],[Edital]],tItens[[#This Row],[Edital]],INDEX(tItens[Produto],1):tItens[[#This Row],[Produto]],tItens[[#This Row],[Produto]])=1,1,0)</f>
        <v>0</v>
      </c>
    </row>
    <row r="6462" spans="1:16" x14ac:dyDescent="0.25">
      <c r="A6462" t="s">
        <v>2288</v>
      </c>
      <c r="B6462">
        <v>8035513</v>
      </c>
      <c r="C6462" t="s">
        <v>9177</v>
      </c>
      <c r="D6462" t="s">
        <v>494</v>
      </c>
      <c r="E6462" s="13">
        <v>1500</v>
      </c>
      <c r="F6462" s="12">
        <v>0.92</v>
      </c>
      <c r="G6462" t="str">
        <f>IFERROR(INDEX(tEditais[Órgão],MATCH(tItens[[#This Row],[Edital]],tEditais[Edital],0)),"")</f>
        <v>MUNICIPIO DE MIRACEMA</v>
      </c>
      <c r="H6462" t="str">
        <f>IFERROR(INDEX(tEditais[UF],MATCH(tItens[[#This Row],[Edital]],tEditais[Edital],0)),"")</f>
        <v>RJ</v>
      </c>
      <c r="I6462" s="11">
        <f>IFERROR(INDEX(tEditais[Encerramento],MATCH(tItens[[#This Row],[Edital]],tEditais[Edital],0)),"")</f>
        <v>46309.375694444447</v>
      </c>
      <c r="J6462" t="str">
        <f>IFERROR(INDEX(tProdutos[Classe],MATCH(tItens[[#This Row],[Produto]],tProdutos[Produto],0)),"produto não cadastrado")</f>
        <v>FILA REBASE</v>
      </c>
      <c r="K6462" s="12">
        <f>tItens[[#This Row],[Qtd]]*tItens[[#This Row],[Vlr unit]]</f>
        <v>1380</v>
      </c>
      <c r="L6462" s="6">
        <f>IFERROR(IF(INDEX(tProdutos[Desconto homologado],MATCH(tItens[[#This Row],[Produto]],tProdutos[Produto],0))="",DescontoPadrao,INDEX(tProdutos[Desconto homologado],MATCH(tItens[[#This Row],[Produto]],tProdutos[Produto],0))),DescontoPadrao)</f>
        <v>0.253736324829619</v>
      </c>
      <c r="M6462" s="12">
        <f>tItens[[#This Row],[Valor]]*(1-tItens[[#This Row],[Desconto]])</f>
        <v>1029.843871735126</v>
      </c>
      <c r="N6462" t="str">
        <f>IFERROR(INDEX(tProdutos[Foco],MATCH(tItens[[#This Row],[Produto]],tProdutos[Produto],0)),"Não")</f>
        <v>Não</v>
      </c>
      <c r="O6462" t="str">
        <f>IFERROR(INDEX(tEditais[SRP],MATCH(tItens[[#This Row],[Edital]],tEditais[Edital],0)),"Não")</f>
        <v>Sim</v>
      </c>
      <c r="P6462" s="4">
        <f>IF(COUNTIFS(INDEX(tItens[Edital],1):tItens[[#This Row],[Edital]],tItens[[#This Row],[Edital]],INDEX(tItens[Produto],1):tItens[[#This Row],[Produto]],tItens[[#This Row],[Produto]])=1,1,0)</f>
        <v>0</v>
      </c>
    </row>
    <row r="6463" spans="1:16" x14ac:dyDescent="0.25">
      <c r="A6463" t="s">
        <v>2288</v>
      </c>
      <c r="B6463">
        <v>8035528</v>
      </c>
      <c r="C6463" t="s">
        <v>9178</v>
      </c>
      <c r="D6463" t="s">
        <v>461</v>
      </c>
      <c r="E6463" s="13">
        <v>500</v>
      </c>
      <c r="F6463" s="12">
        <v>58.98</v>
      </c>
      <c r="G6463" t="str">
        <f>IFERROR(INDEX(tEditais[Órgão],MATCH(tItens[[#This Row],[Edital]],tEditais[Edital],0)),"")</f>
        <v>MUNICIPIO DE MIRACEMA</v>
      </c>
      <c r="H6463" t="str">
        <f>IFERROR(INDEX(tEditais[UF],MATCH(tItens[[#This Row],[Edital]],tEditais[Edital],0)),"")</f>
        <v>RJ</v>
      </c>
      <c r="I6463" s="11">
        <f>IFERROR(INDEX(tEditais[Encerramento],MATCH(tItens[[#This Row],[Edital]],tEditais[Edital],0)),"")</f>
        <v>46309.375694444447</v>
      </c>
      <c r="J6463" t="str">
        <f>IFERROR(INDEX(tProdutos[Classe],MATCH(tItens[[#This Row],[Produto]],tProdutos[Produto],0)),"produto não cadastrado")</f>
        <v>FILA REBASE</v>
      </c>
      <c r="K6463" s="12">
        <f>tItens[[#This Row],[Qtd]]*tItens[[#This Row],[Vlr unit]]</f>
        <v>29490</v>
      </c>
      <c r="L6463" s="6">
        <f>IFERROR(IF(INDEX(tProdutos[Desconto homologado],MATCH(tItens[[#This Row],[Produto]],tProdutos[Produto],0))="",DescontoPadrao,INDEX(tProdutos[Desconto homologado],MATCH(tItens[[#This Row],[Produto]],tProdutos[Produto],0))),DescontoPadrao)</f>
        <v>0.44096385542168698</v>
      </c>
      <c r="M6463" s="12">
        <f>tItens[[#This Row],[Valor]]*(1-tItens[[#This Row],[Desconto]])</f>
        <v>16485.97590361445</v>
      </c>
      <c r="N6463" t="str">
        <f>IFERROR(INDEX(tProdutos[Foco],MATCH(tItens[[#This Row],[Produto]],tProdutos[Produto],0)),"Não")</f>
        <v>Não</v>
      </c>
      <c r="O6463" t="str">
        <f>IFERROR(INDEX(tEditais[SRP],MATCH(tItens[[#This Row],[Edital]],tEditais[Edital],0)),"Não")</f>
        <v>Sim</v>
      </c>
      <c r="P6463" s="4">
        <f>IF(COUNTIFS(INDEX(tItens[Edital],1):tItens[[#This Row],[Edital]],tItens[[#This Row],[Edital]],INDEX(tItens[Produto],1):tItens[[#This Row],[Produto]],tItens[[#This Row],[Produto]])=1,1,0)</f>
        <v>1</v>
      </c>
    </row>
    <row r="6464" spans="1:16" x14ac:dyDescent="0.25">
      <c r="A6464" t="s">
        <v>2288</v>
      </c>
      <c r="B6464">
        <v>8035529</v>
      </c>
      <c r="C6464" t="s">
        <v>9179</v>
      </c>
      <c r="D6464" t="s">
        <v>375</v>
      </c>
      <c r="E6464" s="13">
        <v>500</v>
      </c>
      <c r="F6464" s="12">
        <v>66.16</v>
      </c>
      <c r="G6464" t="str">
        <f>IFERROR(INDEX(tEditais[Órgão],MATCH(tItens[[#This Row],[Edital]],tEditais[Edital],0)),"")</f>
        <v>MUNICIPIO DE MIRACEMA</v>
      </c>
      <c r="H6464" t="str">
        <f>IFERROR(INDEX(tEditais[UF],MATCH(tItens[[#This Row],[Edital]],tEditais[Edital],0)),"")</f>
        <v>RJ</v>
      </c>
      <c r="I6464" s="11">
        <f>IFERROR(INDEX(tEditais[Encerramento],MATCH(tItens[[#This Row],[Edital]],tEditais[Edital],0)),"")</f>
        <v>46309.375694444447</v>
      </c>
      <c r="J6464" t="str">
        <f>IFERROR(INDEX(tProdutos[Classe],MATCH(tItens[[#This Row],[Produto]],tProdutos[Produto],0)),"produto não cadastrado")</f>
        <v>FORA</v>
      </c>
      <c r="K6464" s="12">
        <f>tItens[[#This Row],[Qtd]]*tItens[[#This Row],[Vlr unit]]</f>
        <v>33080</v>
      </c>
      <c r="L6464" s="6">
        <f>IFERROR(IF(INDEX(tProdutos[Desconto homologado],MATCH(tItens[[#This Row],[Produto]],tProdutos[Produto],0))="",DescontoPadrao,INDEX(tProdutos[Desconto homologado],MATCH(tItens[[#This Row],[Produto]],tProdutos[Produto],0))),DescontoPadrao)</f>
        <v>0.25005895299481201</v>
      </c>
      <c r="M6464" s="12">
        <f>tItens[[#This Row],[Valor]]*(1-tItens[[#This Row],[Desconto]])</f>
        <v>24808.049834931619</v>
      </c>
      <c r="N6464" t="str">
        <f>IFERROR(INDEX(tProdutos[Foco],MATCH(tItens[[#This Row],[Produto]],tProdutos[Produto],0)),"Não")</f>
        <v>Não</v>
      </c>
      <c r="O6464" t="str">
        <f>IFERROR(INDEX(tEditais[SRP],MATCH(tItens[[#This Row],[Edital]],tEditais[Edital],0)),"Não")</f>
        <v>Sim</v>
      </c>
      <c r="P6464" s="4">
        <f>IF(COUNTIFS(INDEX(tItens[Edital],1):tItens[[#This Row],[Edital]],tItens[[#This Row],[Edital]],INDEX(tItens[Produto],1):tItens[[#This Row],[Produto]],tItens[[#This Row],[Produto]])=1,1,0)</f>
        <v>1</v>
      </c>
    </row>
    <row r="6465" spans="1:16" x14ac:dyDescent="0.25">
      <c r="A6465" t="s">
        <v>2288</v>
      </c>
      <c r="B6465">
        <v>8035530</v>
      </c>
      <c r="C6465" t="s">
        <v>9180</v>
      </c>
      <c r="D6465" t="s">
        <v>375</v>
      </c>
      <c r="E6465" s="13">
        <v>500</v>
      </c>
      <c r="F6465" s="12">
        <v>73.290000000000006</v>
      </c>
      <c r="G6465" t="str">
        <f>IFERROR(INDEX(tEditais[Órgão],MATCH(tItens[[#This Row],[Edital]],tEditais[Edital],0)),"")</f>
        <v>MUNICIPIO DE MIRACEMA</v>
      </c>
      <c r="H6465" t="str">
        <f>IFERROR(INDEX(tEditais[UF],MATCH(tItens[[#This Row],[Edital]],tEditais[Edital],0)),"")</f>
        <v>RJ</v>
      </c>
      <c r="I6465" s="11">
        <f>IFERROR(INDEX(tEditais[Encerramento],MATCH(tItens[[#This Row],[Edital]],tEditais[Edital],0)),"")</f>
        <v>46309.375694444447</v>
      </c>
      <c r="J6465" t="str">
        <f>IFERROR(INDEX(tProdutos[Classe],MATCH(tItens[[#This Row],[Produto]],tProdutos[Produto],0)),"produto não cadastrado")</f>
        <v>FORA</v>
      </c>
      <c r="K6465" s="12">
        <f>tItens[[#This Row],[Qtd]]*tItens[[#This Row],[Vlr unit]]</f>
        <v>36645</v>
      </c>
      <c r="L6465" s="6">
        <f>IFERROR(IF(INDEX(tProdutos[Desconto homologado],MATCH(tItens[[#This Row],[Produto]],tProdutos[Produto],0))="",DescontoPadrao,INDEX(tProdutos[Desconto homologado],MATCH(tItens[[#This Row],[Produto]],tProdutos[Produto],0))),DescontoPadrao)</f>
        <v>0.25005895299481201</v>
      </c>
      <c r="M6465" s="12">
        <f>tItens[[#This Row],[Valor]]*(1-tItens[[#This Row],[Desconto]])</f>
        <v>27481.589667505112</v>
      </c>
      <c r="N6465" t="str">
        <f>IFERROR(INDEX(tProdutos[Foco],MATCH(tItens[[#This Row],[Produto]],tProdutos[Produto],0)),"Não")</f>
        <v>Não</v>
      </c>
      <c r="O6465" t="str">
        <f>IFERROR(INDEX(tEditais[SRP],MATCH(tItens[[#This Row],[Edital]],tEditais[Edital],0)),"Não")</f>
        <v>Sim</v>
      </c>
      <c r="P6465" s="4">
        <f>IF(COUNTIFS(INDEX(tItens[Edital],1):tItens[[#This Row],[Edital]],tItens[[#This Row],[Edital]],INDEX(tItens[Produto],1):tItens[[#This Row],[Produto]],tItens[[#This Row],[Produto]])=1,1,0)</f>
        <v>0</v>
      </c>
    </row>
    <row r="6466" spans="1:16" x14ac:dyDescent="0.25">
      <c r="A6466" t="s">
        <v>2288</v>
      </c>
      <c r="B6466">
        <v>8035564</v>
      </c>
      <c r="C6466" t="s">
        <v>9181</v>
      </c>
      <c r="D6466" t="s">
        <v>56</v>
      </c>
      <c r="E6466" s="13">
        <v>40</v>
      </c>
      <c r="F6466" s="12">
        <v>31.93</v>
      </c>
      <c r="G6466" t="str">
        <f>IFERROR(INDEX(tEditais[Órgão],MATCH(tItens[[#This Row],[Edital]],tEditais[Edital],0)),"")</f>
        <v>MUNICIPIO DE MIRACEMA</v>
      </c>
      <c r="H6466" t="str">
        <f>IFERROR(INDEX(tEditais[UF],MATCH(tItens[[#This Row],[Edital]],tEditais[Edital],0)),"")</f>
        <v>RJ</v>
      </c>
      <c r="I6466" s="11">
        <f>IFERROR(INDEX(tEditais[Encerramento],MATCH(tItens[[#This Row],[Edital]],tEditais[Edital],0)),"")</f>
        <v>46309.375694444447</v>
      </c>
      <c r="J6466" t="str">
        <f>IFERROR(INDEX(tProdutos[Classe],MATCH(tItens[[#This Row],[Produto]],tProdutos[Produto],0)),"produto não cadastrado")</f>
        <v>NÚCLEO</v>
      </c>
      <c r="K6466" s="12">
        <f>tItens[[#This Row],[Qtd]]*tItens[[#This Row],[Vlr unit]]</f>
        <v>1277.2</v>
      </c>
      <c r="L6466" s="6">
        <f>IFERROR(IF(INDEX(tProdutos[Desconto homologado],MATCH(tItens[[#This Row],[Produto]],tProdutos[Produto],0))="",DescontoPadrao,INDEX(tProdutos[Desconto homologado],MATCH(tItens[[#This Row],[Produto]],tProdutos[Produto],0))),DescontoPadrao)</f>
        <v>0.34</v>
      </c>
      <c r="M6466" s="12">
        <f>tItens[[#This Row],[Valor]]*(1-tItens[[#This Row],[Desconto]])</f>
        <v>842.95199999999988</v>
      </c>
      <c r="N6466" t="str">
        <f>IFERROR(INDEX(tProdutos[Foco],MATCH(tItens[[#This Row],[Produto]],tProdutos[Produto],0)),"Não")</f>
        <v>Sim</v>
      </c>
      <c r="O6466" t="str">
        <f>IFERROR(INDEX(tEditais[SRP],MATCH(tItens[[#This Row],[Edital]],tEditais[Edital],0)),"Não")</f>
        <v>Sim</v>
      </c>
      <c r="P6466" s="4">
        <f>IF(COUNTIFS(INDEX(tItens[Edital],1):tItens[[#This Row],[Edital]],tItens[[#This Row],[Edital]],INDEX(tItens[Produto],1):tItens[[#This Row],[Produto]],tItens[[#This Row],[Produto]])=1,1,0)</f>
        <v>1</v>
      </c>
    </row>
    <row r="6467" spans="1:16" x14ac:dyDescent="0.25">
      <c r="A6467" t="s">
        <v>2288</v>
      </c>
      <c r="B6467">
        <v>8035580</v>
      </c>
      <c r="C6467" t="s">
        <v>9182</v>
      </c>
      <c r="D6467" t="s">
        <v>267</v>
      </c>
      <c r="E6467" s="13">
        <v>50</v>
      </c>
      <c r="F6467" s="12">
        <v>32.33</v>
      </c>
      <c r="G6467" t="str">
        <f>IFERROR(INDEX(tEditais[Órgão],MATCH(tItens[[#This Row],[Edital]],tEditais[Edital],0)),"")</f>
        <v>MUNICIPIO DE MIRACEMA</v>
      </c>
      <c r="H6467" t="str">
        <f>IFERROR(INDEX(tEditais[UF],MATCH(tItens[[#This Row],[Edital]],tEditais[Edital],0)),"")</f>
        <v>RJ</v>
      </c>
      <c r="I6467" s="11">
        <f>IFERROR(INDEX(tEditais[Encerramento],MATCH(tItens[[#This Row],[Edital]],tEditais[Edital],0)),"")</f>
        <v>46309.375694444447</v>
      </c>
      <c r="J6467" t="str">
        <f>IFERROR(INDEX(tProdutos[Classe],MATCH(tItens[[#This Row],[Produto]],tProdutos[Produto],0)),"produto não cadastrado")</f>
        <v>FORA</v>
      </c>
      <c r="K6467" s="12">
        <f>tItens[[#This Row],[Qtd]]*tItens[[#This Row],[Vlr unit]]</f>
        <v>1616.5</v>
      </c>
      <c r="L6467" s="6">
        <f>IFERROR(IF(INDEX(tProdutos[Desconto homologado],MATCH(tItens[[#This Row],[Produto]],tProdutos[Produto],0))="",DescontoPadrao,INDEX(tProdutos[Desconto homologado],MATCH(tItens[[#This Row],[Produto]],tProdutos[Produto],0))),DescontoPadrao)</f>
        <v>0.19963672657401599</v>
      </c>
      <c r="M6467" s="12">
        <f>tItens[[#This Row],[Valor]]*(1-tItens[[#This Row],[Desconto]])</f>
        <v>1293.7872314931033</v>
      </c>
      <c r="N6467" t="str">
        <f>IFERROR(INDEX(tProdutos[Foco],MATCH(tItens[[#This Row],[Produto]],tProdutos[Produto],0)),"Não")</f>
        <v>Não</v>
      </c>
      <c r="O6467" t="str">
        <f>IFERROR(INDEX(tEditais[SRP],MATCH(tItens[[#This Row],[Edital]],tEditais[Edital],0)),"Não")</f>
        <v>Sim</v>
      </c>
      <c r="P6467" s="4">
        <f>IF(COUNTIFS(INDEX(tItens[Edital],1):tItens[[#This Row],[Edital]],tItens[[#This Row],[Edital]],INDEX(tItens[Produto],1):tItens[[#This Row],[Produto]],tItens[[#This Row],[Produto]])=1,1,0)</f>
        <v>1</v>
      </c>
    </row>
    <row r="6468" spans="1:16" x14ac:dyDescent="0.25">
      <c r="A6468" t="s">
        <v>2288</v>
      </c>
      <c r="B6468">
        <v>8035617</v>
      </c>
      <c r="C6468" t="s">
        <v>9183</v>
      </c>
      <c r="D6468" t="s">
        <v>542</v>
      </c>
      <c r="E6468" s="13">
        <v>200</v>
      </c>
      <c r="F6468" s="12">
        <v>60.08</v>
      </c>
      <c r="G6468" t="str">
        <f>IFERROR(INDEX(tEditais[Órgão],MATCH(tItens[[#This Row],[Edital]],tEditais[Edital],0)),"")</f>
        <v>MUNICIPIO DE MIRACEMA</v>
      </c>
      <c r="H6468" t="str">
        <f>IFERROR(INDEX(tEditais[UF],MATCH(tItens[[#This Row],[Edital]],tEditais[Edital],0)),"")</f>
        <v>RJ</v>
      </c>
      <c r="I6468" s="11">
        <f>IFERROR(INDEX(tEditais[Encerramento],MATCH(tItens[[#This Row],[Edital]],tEditais[Edital],0)),"")</f>
        <v>46309.375694444447</v>
      </c>
      <c r="J6468" t="str">
        <f>IFERROR(INDEX(tProdutos[Classe],MATCH(tItens[[#This Row],[Produto]],tProdutos[Produto],0)),"produto não cadastrado")</f>
        <v>FILA REBASE</v>
      </c>
      <c r="K6468" s="12">
        <f>tItens[[#This Row],[Qtd]]*tItens[[#This Row],[Vlr unit]]</f>
        <v>12016</v>
      </c>
      <c r="L6468" s="6">
        <f>IFERROR(IF(INDEX(tProdutos[Desconto homologado],MATCH(tItens[[#This Row],[Produto]],tProdutos[Produto],0))="",DescontoPadrao,INDEX(tProdutos[Desconto homologado],MATCH(tItens[[#This Row],[Produto]],tProdutos[Produto],0))),DescontoPadrao)</f>
        <v>0.3</v>
      </c>
      <c r="M6468" s="12">
        <f>tItens[[#This Row],[Valor]]*(1-tItens[[#This Row],[Desconto]])</f>
        <v>8411.1999999999989</v>
      </c>
      <c r="N6468" t="str">
        <f>IFERROR(INDEX(tProdutos[Foco],MATCH(tItens[[#This Row],[Produto]],tProdutos[Produto],0)),"Não")</f>
        <v>Não</v>
      </c>
      <c r="O6468" t="str">
        <f>IFERROR(INDEX(tEditais[SRP],MATCH(tItens[[#This Row],[Edital]],tEditais[Edital],0)),"Não")</f>
        <v>Sim</v>
      </c>
      <c r="P6468" s="4">
        <f>IF(COUNTIFS(INDEX(tItens[Edital],1):tItens[[#This Row],[Edital]],tItens[[#This Row],[Edital]],INDEX(tItens[Produto],1):tItens[[#This Row],[Produto]],tItens[[#This Row],[Produto]])=1,1,0)</f>
        <v>1</v>
      </c>
    </row>
    <row r="6469" spans="1:16" x14ac:dyDescent="0.25">
      <c r="A6469" t="s">
        <v>2293</v>
      </c>
      <c r="B6469">
        <v>14</v>
      </c>
      <c r="C6469" t="s">
        <v>6629</v>
      </c>
      <c r="D6469" t="s">
        <v>313</v>
      </c>
      <c r="E6469" s="13">
        <v>50</v>
      </c>
      <c r="F6469" s="12">
        <v>20.95</v>
      </c>
      <c r="G6469" t="str">
        <f>IFERROR(INDEX(tEditais[Órgão],MATCH(tItens[[#This Row],[Edital]],tEditais[Edital],0)),"")</f>
        <v>COMANDO DO EXERCITO</v>
      </c>
      <c r="H6469" t="str">
        <f>IFERROR(INDEX(tEditais[UF],MATCH(tItens[[#This Row],[Edital]],tEditais[Edital],0)),"")</f>
        <v>RJ</v>
      </c>
      <c r="I6469" s="11">
        <f>IFERROR(INDEX(tEditais[Encerramento],MATCH(tItens[[#This Row],[Edital]],tEditais[Edital],0)),"")</f>
        <v>46309.427777777775</v>
      </c>
      <c r="J6469" t="str">
        <f>IFERROR(INDEX(tProdutos[Classe],MATCH(tItens[[#This Row],[Produto]],tProdutos[Produto],0)),"produto não cadastrado")</f>
        <v>FORA</v>
      </c>
      <c r="K6469" s="12">
        <f>tItens[[#This Row],[Qtd]]*tItens[[#This Row],[Vlr unit]]</f>
        <v>1047.5</v>
      </c>
      <c r="L6469" s="6">
        <f>IFERROR(IF(INDEX(tProdutos[Desconto homologado],MATCH(tItens[[#This Row],[Produto]],tProdutos[Produto],0))="",DescontoPadrao,INDEX(tProdutos[Desconto homologado],MATCH(tItens[[#This Row],[Produto]],tProdutos[Produto],0))),DescontoPadrao)</f>
        <v>0.35766373163696302</v>
      </c>
      <c r="M6469" s="12">
        <f>tItens[[#This Row],[Valor]]*(1-tItens[[#This Row],[Desconto]])</f>
        <v>672.84724111028117</v>
      </c>
      <c r="N6469" t="str">
        <f>IFERROR(INDEX(tProdutos[Foco],MATCH(tItens[[#This Row],[Produto]],tProdutos[Produto],0)),"Não")</f>
        <v>Não</v>
      </c>
      <c r="O6469" t="str">
        <f>IFERROR(INDEX(tEditais[SRP],MATCH(tItens[[#This Row],[Edital]],tEditais[Edital],0)),"Não")</f>
        <v>Não</v>
      </c>
      <c r="P6469" s="4">
        <f>IF(COUNTIFS(INDEX(tItens[Edital],1):tItens[[#This Row],[Edital]],tItens[[#This Row],[Edital]],INDEX(tItens[Produto],1):tItens[[#This Row],[Produto]],tItens[[#This Row],[Produto]])=1,1,0)</f>
        <v>1</v>
      </c>
    </row>
    <row r="6470" spans="1:16" x14ac:dyDescent="0.25">
      <c r="A6470" t="s">
        <v>2296</v>
      </c>
      <c r="B6470">
        <v>3</v>
      </c>
      <c r="C6470" t="s">
        <v>9184</v>
      </c>
      <c r="D6470" t="s">
        <v>327</v>
      </c>
      <c r="E6470" s="13">
        <v>30000</v>
      </c>
      <c r="F6470" s="12">
        <v>0.28000000000000003</v>
      </c>
      <c r="G6470" t="str">
        <f>IFERROR(INDEX(tEditais[Órgão],MATCH(tItens[[#This Row],[Edital]],tEditais[Edital],0)),"")</f>
        <v>FUNDO MUNICIPAL DE SAUDE/SUS DO MUNICIPIO DE RESENDE</v>
      </c>
      <c r="H6470" t="str">
        <f>IFERROR(INDEX(tEditais[UF],MATCH(tItens[[#This Row],[Edital]],tEditais[Edital],0)),"")</f>
        <v>RJ</v>
      </c>
      <c r="I6470" s="11">
        <f>IFERROR(INDEX(tEditais[Encerramento],MATCH(tItens[[#This Row],[Edital]],tEditais[Edital],0)),"")</f>
        <v>46309.583333333336</v>
      </c>
      <c r="J6470" t="str">
        <f>IFERROR(INDEX(tProdutos[Classe],MATCH(tItens[[#This Row],[Produto]],tProdutos[Produto],0)),"produto não cadastrado")</f>
        <v>FORA</v>
      </c>
      <c r="K6470" s="12">
        <f>tItens[[#This Row],[Qtd]]*tItens[[#This Row],[Vlr unit]]</f>
        <v>8400</v>
      </c>
      <c r="L6470" s="6">
        <f>IFERROR(IF(INDEX(tProdutos[Desconto homologado],MATCH(tItens[[#This Row],[Produto]],tProdutos[Produto],0))="",DescontoPadrao,INDEX(tProdutos[Desconto homologado],MATCH(tItens[[#This Row],[Produto]],tProdutos[Produto],0))),DescontoPadrao)</f>
        <v>0.49969483918783197</v>
      </c>
      <c r="M6470" s="12">
        <f>tItens[[#This Row],[Valor]]*(1-tItens[[#This Row],[Desconto]])</f>
        <v>4202.5633508222118</v>
      </c>
      <c r="N6470" t="str">
        <f>IFERROR(INDEX(tProdutos[Foco],MATCH(tItens[[#This Row],[Produto]],tProdutos[Produto],0)),"Não")</f>
        <v>Não</v>
      </c>
      <c r="O6470" t="str">
        <f>IFERROR(INDEX(tEditais[SRP],MATCH(tItens[[#This Row],[Edital]],tEditais[Edital],0)),"Não")</f>
        <v>Sim</v>
      </c>
      <c r="P6470" s="4">
        <f>IF(COUNTIFS(INDEX(tItens[Edital],1):tItens[[#This Row],[Edital]],tItens[[#This Row],[Edital]],INDEX(tItens[Produto],1):tItens[[#This Row],[Produto]],tItens[[#This Row],[Produto]])=1,1,0)</f>
        <v>1</v>
      </c>
    </row>
    <row r="6471" spans="1:16" x14ac:dyDescent="0.25">
      <c r="A6471" t="s">
        <v>2296</v>
      </c>
      <c r="B6471">
        <v>4</v>
      </c>
      <c r="C6471" t="s">
        <v>9185</v>
      </c>
      <c r="D6471" t="s">
        <v>385</v>
      </c>
      <c r="E6471" s="13">
        <v>800000</v>
      </c>
      <c r="F6471" s="12">
        <v>0.2</v>
      </c>
      <c r="G6471" t="str">
        <f>IFERROR(INDEX(tEditais[Órgão],MATCH(tItens[[#This Row],[Edital]],tEditais[Edital],0)),"")</f>
        <v>FUNDO MUNICIPAL DE SAUDE/SUS DO MUNICIPIO DE RESENDE</v>
      </c>
      <c r="H6471" t="str">
        <f>IFERROR(INDEX(tEditais[UF],MATCH(tItens[[#This Row],[Edital]],tEditais[Edital],0)),"")</f>
        <v>RJ</v>
      </c>
      <c r="I6471" s="11">
        <f>IFERROR(INDEX(tEditais[Encerramento],MATCH(tItens[[#This Row],[Edital]],tEditais[Edital],0)),"")</f>
        <v>46309.583333333336</v>
      </c>
      <c r="J6471" t="str">
        <f>IFERROR(INDEX(tProdutos[Classe],MATCH(tItens[[#This Row],[Produto]],tProdutos[Produto],0)),"produto não cadastrado")</f>
        <v>FORA</v>
      </c>
      <c r="K6471" s="12">
        <f>tItens[[#This Row],[Qtd]]*tItens[[#This Row],[Vlr unit]]</f>
        <v>160000</v>
      </c>
      <c r="L6471" s="6">
        <f>IFERROR(IF(INDEX(tProdutos[Desconto homologado],MATCH(tItens[[#This Row],[Produto]],tProdutos[Produto],0))="",DescontoPadrao,INDEX(tProdutos[Desconto homologado],MATCH(tItens[[#This Row],[Produto]],tProdutos[Produto],0))),DescontoPadrao)</f>
        <v>0.46969696969697</v>
      </c>
      <c r="M6471" s="12">
        <f>tItens[[#This Row],[Valor]]*(1-tItens[[#This Row],[Desconto]])</f>
        <v>84848.484848484804</v>
      </c>
      <c r="N6471" t="str">
        <f>IFERROR(INDEX(tProdutos[Foco],MATCH(tItens[[#This Row],[Produto]],tProdutos[Produto],0)),"Não")</f>
        <v>Não</v>
      </c>
      <c r="O6471" t="str">
        <f>IFERROR(INDEX(tEditais[SRP],MATCH(tItens[[#This Row],[Edital]],tEditais[Edital],0)),"Não")</f>
        <v>Sim</v>
      </c>
      <c r="P6471" s="4">
        <f>IF(COUNTIFS(INDEX(tItens[Edital],1):tItens[[#This Row],[Edital]],tItens[[#This Row],[Edital]],INDEX(tItens[Produto],1):tItens[[#This Row],[Produto]],tItens[[#This Row],[Produto]])=1,1,0)</f>
        <v>1</v>
      </c>
    </row>
    <row r="6472" spans="1:16" x14ac:dyDescent="0.25">
      <c r="A6472" t="s">
        <v>2296</v>
      </c>
      <c r="B6472">
        <v>5</v>
      </c>
      <c r="C6472" t="s">
        <v>9186</v>
      </c>
      <c r="D6472" t="s">
        <v>403</v>
      </c>
      <c r="E6472" s="13">
        <v>10000</v>
      </c>
      <c r="F6472" s="12">
        <v>3.32</v>
      </c>
      <c r="G6472" t="str">
        <f>IFERROR(INDEX(tEditais[Órgão],MATCH(tItens[[#This Row],[Edital]],tEditais[Edital],0)),"")</f>
        <v>FUNDO MUNICIPAL DE SAUDE/SUS DO MUNICIPIO DE RESENDE</v>
      </c>
      <c r="H6472" t="str">
        <f>IFERROR(INDEX(tEditais[UF],MATCH(tItens[[#This Row],[Edital]],tEditais[Edital],0)),"")</f>
        <v>RJ</v>
      </c>
      <c r="I6472" s="11">
        <f>IFERROR(INDEX(tEditais[Encerramento],MATCH(tItens[[#This Row],[Edital]],tEditais[Edital],0)),"")</f>
        <v>46309.583333333336</v>
      </c>
      <c r="J6472" t="str">
        <f>IFERROR(INDEX(tProdutos[Classe],MATCH(tItens[[#This Row],[Produto]],tProdutos[Produto],0)),"produto não cadastrado")</f>
        <v>FORA</v>
      </c>
      <c r="K6472" s="12">
        <f>tItens[[#This Row],[Qtd]]*tItens[[#This Row],[Vlr unit]]</f>
        <v>33200</v>
      </c>
      <c r="L6472" s="6">
        <f>IFERROR(IF(INDEX(tProdutos[Desconto homologado],MATCH(tItens[[#This Row],[Produto]],tProdutos[Produto],0))="",DescontoPadrao,INDEX(tProdutos[Desconto homologado],MATCH(tItens[[#This Row],[Produto]],tProdutos[Produto],0))),DescontoPadrao)</f>
        <v>0.35326086956521702</v>
      </c>
      <c r="M6472" s="12">
        <f>tItens[[#This Row],[Valor]]*(1-tItens[[#This Row],[Desconto]])</f>
        <v>21471.739130434795</v>
      </c>
      <c r="N6472" t="str">
        <f>IFERROR(INDEX(tProdutos[Foco],MATCH(tItens[[#This Row],[Produto]],tProdutos[Produto],0)),"Não")</f>
        <v>Não</v>
      </c>
      <c r="O6472" t="str">
        <f>IFERROR(INDEX(tEditais[SRP],MATCH(tItens[[#This Row],[Edital]],tEditais[Edital],0)),"Não")</f>
        <v>Sim</v>
      </c>
      <c r="P6472" s="4">
        <f>IF(COUNTIFS(INDEX(tItens[Edital],1):tItens[[#This Row],[Edital]],tItens[[#This Row],[Edital]],INDEX(tItens[Produto],1):tItens[[#This Row],[Produto]],tItens[[#This Row],[Produto]])=1,1,0)</f>
        <v>1</v>
      </c>
    </row>
    <row r="6473" spans="1:16" x14ac:dyDescent="0.25">
      <c r="A6473" t="s">
        <v>2296</v>
      </c>
      <c r="B6473">
        <v>6</v>
      </c>
      <c r="C6473" t="s">
        <v>9187</v>
      </c>
      <c r="D6473" t="s">
        <v>114</v>
      </c>
      <c r="E6473" s="13">
        <v>120000</v>
      </c>
      <c r="F6473" s="12">
        <v>0.2</v>
      </c>
      <c r="G6473" t="str">
        <f>IFERROR(INDEX(tEditais[Órgão],MATCH(tItens[[#This Row],[Edital]],tEditais[Edital],0)),"")</f>
        <v>FUNDO MUNICIPAL DE SAUDE/SUS DO MUNICIPIO DE RESENDE</v>
      </c>
      <c r="H6473" t="str">
        <f>IFERROR(INDEX(tEditais[UF],MATCH(tItens[[#This Row],[Edital]],tEditais[Edital],0)),"")</f>
        <v>RJ</v>
      </c>
      <c r="I6473" s="11">
        <f>IFERROR(INDEX(tEditais[Encerramento],MATCH(tItens[[#This Row],[Edital]],tEditais[Edital],0)),"")</f>
        <v>46309.583333333336</v>
      </c>
      <c r="J6473" t="str">
        <f>IFERROR(INDEX(tProdutos[Classe],MATCH(tItens[[#This Row],[Produto]],tProdutos[Produto],0)),"produto não cadastrado")</f>
        <v>DISPUTADO</v>
      </c>
      <c r="K6473" s="12">
        <f>tItens[[#This Row],[Qtd]]*tItens[[#This Row],[Vlr unit]]</f>
        <v>24000</v>
      </c>
      <c r="L6473" s="6">
        <f>IFERROR(IF(INDEX(tProdutos[Desconto homologado],MATCH(tItens[[#This Row],[Produto]],tProdutos[Produto],0))="",DescontoPadrao,INDEX(tProdutos[Desconto homologado],MATCH(tItens[[#This Row],[Produto]],tProdutos[Produto],0))),DescontoPadrao)</f>
        <v>0.24332656063896899</v>
      </c>
      <c r="M6473" s="12">
        <f>tItens[[#This Row],[Valor]]*(1-tItens[[#This Row],[Desconto]])</f>
        <v>18160.162544664745</v>
      </c>
      <c r="N6473" t="str">
        <f>IFERROR(INDEX(tProdutos[Foco],MATCH(tItens[[#This Row],[Produto]],tProdutos[Produto],0)),"Não")</f>
        <v>Não</v>
      </c>
      <c r="O6473" t="str">
        <f>IFERROR(INDEX(tEditais[SRP],MATCH(tItens[[#This Row],[Edital]],tEditais[Edital],0)),"Não")</f>
        <v>Sim</v>
      </c>
      <c r="P6473" s="4">
        <f>IF(COUNTIFS(INDEX(tItens[Edital],1):tItens[[#This Row],[Edital]],tItens[[#This Row],[Edital]],INDEX(tItens[Produto],1):tItens[[#This Row],[Produto]],tItens[[#This Row],[Produto]])=1,1,0)</f>
        <v>1</v>
      </c>
    </row>
    <row r="6474" spans="1:16" x14ac:dyDescent="0.25">
      <c r="A6474" t="s">
        <v>2301</v>
      </c>
      <c r="B6474">
        <v>1</v>
      </c>
      <c r="C6474" t="s">
        <v>9091</v>
      </c>
      <c r="D6474" t="s">
        <v>106</v>
      </c>
      <c r="E6474" s="13">
        <v>75</v>
      </c>
      <c r="F6474" s="12">
        <v>31.44</v>
      </c>
      <c r="G6474" t="str">
        <f>IFERROR(INDEX(tEditais[Órgão],MATCH(tItens[[#This Row],[Edital]],tEditais[Edital],0)),"")</f>
        <v>MUNICIPIO DE RIO DE JANEIRO</v>
      </c>
      <c r="H6474" t="str">
        <f>IFERROR(INDEX(tEditais[UF],MATCH(tItens[[#This Row],[Edital]],tEditais[Edital],0)),"")</f>
        <v>RJ</v>
      </c>
      <c r="I6474" s="11">
        <f>IFERROR(INDEX(tEditais[Encerramento],MATCH(tItens[[#This Row],[Edital]],tEditais[Edital],0)),"")</f>
        <v>46310.333333333336</v>
      </c>
      <c r="J6474" t="str">
        <f>IFERROR(INDEX(tProdutos[Classe],MATCH(tItens[[#This Row],[Produto]],tProdutos[Produto],0)),"produto não cadastrado")</f>
        <v>DISPUTADO</v>
      </c>
      <c r="K6474" s="12">
        <f>tItens[[#This Row],[Qtd]]*tItens[[#This Row],[Vlr unit]]</f>
        <v>2358</v>
      </c>
      <c r="L6474" s="6">
        <f>IFERROR(IF(INDEX(tProdutos[Desconto homologado],MATCH(tItens[[#This Row],[Produto]],tProdutos[Produto],0))="",DescontoPadrao,INDEX(tProdutos[Desconto homologado],MATCH(tItens[[#This Row],[Produto]],tProdutos[Produto],0))),DescontoPadrao)</f>
        <v>0.24377518966589001</v>
      </c>
      <c r="M6474" s="12">
        <f>tItens[[#This Row],[Valor]]*(1-tItens[[#This Row],[Desconto]])</f>
        <v>1783.1781027678314</v>
      </c>
      <c r="N6474" t="str">
        <f>IFERROR(INDEX(tProdutos[Foco],MATCH(tItens[[#This Row],[Produto]],tProdutos[Produto],0)),"Não")</f>
        <v>Não</v>
      </c>
      <c r="O6474" t="str">
        <f>IFERROR(INDEX(tEditais[SRP],MATCH(tItens[[#This Row],[Edital]],tEditais[Edital],0)),"Não")</f>
        <v>Não</v>
      </c>
      <c r="P6474" s="4">
        <f>IF(COUNTIFS(INDEX(tItens[Edital],1):tItens[[#This Row],[Edital]],tItens[[#This Row],[Edital]],INDEX(tItens[Produto],1):tItens[[#This Row],[Produto]],tItens[[#This Row],[Produto]])=1,1,0)</f>
        <v>1</v>
      </c>
    </row>
    <row r="6475" spans="1:16" x14ac:dyDescent="0.25">
      <c r="A6475" t="s">
        <v>2304</v>
      </c>
      <c r="B6475">
        <v>5</v>
      </c>
      <c r="C6475" t="s">
        <v>7764</v>
      </c>
      <c r="D6475" t="s">
        <v>339</v>
      </c>
      <c r="E6475" s="13">
        <v>3500</v>
      </c>
      <c r="F6475" s="12">
        <v>0.94</v>
      </c>
      <c r="G6475" t="str">
        <f>IFERROR(INDEX(tEditais[Órgão],MATCH(tItens[[#This Row],[Edital]],tEditais[Edital],0)),"")</f>
        <v>MUNICIPIO DE RIO DE JANEIRO</v>
      </c>
      <c r="H6475" t="str">
        <f>IFERROR(INDEX(tEditais[UF],MATCH(tItens[[#This Row],[Edital]],tEditais[Edital],0)),"")</f>
        <v>RJ</v>
      </c>
      <c r="I6475" s="11">
        <f>IFERROR(INDEX(tEditais[Encerramento],MATCH(tItens[[#This Row],[Edital]],tEditais[Edital],0)),"")</f>
        <v>46310.333333333336</v>
      </c>
      <c r="J6475" t="str">
        <f>IFERROR(INDEX(tProdutos[Classe],MATCH(tItens[[#This Row],[Produto]],tProdutos[Produto],0)),"produto não cadastrado")</f>
        <v>FORA</v>
      </c>
      <c r="K6475" s="12">
        <f>tItens[[#This Row],[Qtd]]*tItens[[#This Row],[Vlr unit]]</f>
        <v>3290</v>
      </c>
      <c r="L6475" s="6">
        <f>IFERROR(IF(INDEX(tProdutos[Desconto homologado],MATCH(tItens[[#This Row],[Produto]],tProdutos[Produto],0))="",DescontoPadrao,INDEX(tProdutos[Desconto homologado],MATCH(tItens[[#This Row],[Produto]],tProdutos[Produto],0))),DescontoPadrao)</f>
        <v>0.35388629091804102</v>
      </c>
      <c r="M6475" s="12">
        <f>tItens[[#This Row],[Valor]]*(1-tItens[[#This Row],[Desconto]])</f>
        <v>2125.714102879645</v>
      </c>
      <c r="N6475" t="str">
        <f>IFERROR(INDEX(tProdutos[Foco],MATCH(tItens[[#This Row],[Produto]],tProdutos[Produto],0)),"Não")</f>
        <v>Não</v>
      </c>
      <c r="O6475" t="str">
        <f>IFERROR(INDEX(tEditais[SRP],MATCH(tItens[[#This Row],[Edital]],tEditais[Edital],0)),"Não")</f>
        <v>Não</v>
      </c>
      <c r="P6475" s="4">
        <f>IF(COUNTIFS(INDEX(tItens[Edital],1):tItens[[#This Row],[Edital]],tItens[[#This Row],[Edital]],INDEX(tItens[Produto],1):tItens[[#This Row],[Produto]],tItens[[#This Row],[Produto]])=1,1,0)</f>
        <v>1</v>
      </c>
    </row>
    <row r="6476" spans="1:16" x14ac:dyDescent="0.25">
      <c r="A6476" t="s">
        <v>2307</v>
      </c>
      <c r="B6476">
        <v>1</v>
      </c>
      <c r="C6476" t="s">
        <v>9188</v>
      </c>
      <c r="D6476" t="s">
        <v>56</v>
      </c>
      <c r="E6476" s="13">
        <v>2500</v>
      </c>
      <c r="F6476" s="12">
        <v>0.35</v>
      </c>
      <c r="G6476" t="str">
        <f>IFERROR(INDEX(tEditais[Órgão],MATCH(tItens[[#This Row],[Edital]],tEditais[Edital],0)),"")</f>
        <v>MUNICIPIO DE RIO DE JANEIRO</v>
      </c>
      <c r="H6476" t="str">
        <f>IFERROR(INDEX(tEditais[UF],MATCH(tItens[[#This Row],[Edital]],tEditais[Edital],0)),"")</f>
        <v>RJ</v>
      </c>
      <c r="I6476" s="11">
        <f>IFERROR(INDEX(tEditais[Encerramento],MATCH(tItens[[#This Row],[Edital]],tEditais[Edital],0)),"")</f>
        <v>46310.333333333336</v>
      </c>
      <c r="J6476" t="str">
        <f>IFERROR(INDEX(tProdutos[Classe],MATCH(tItens[[#This Row],[Produto]],tProdutos[Produto],0)),"produto não cadastrado")</f>
        <v>NÚCLEO</v>
      </c>
      <c r="K6476" s="12">
        <f>tItens[[#This Row],[Qtd]]*tItens[[#This Row],[Vlr unit]]</f>
        <v>875</v>
      </c>
      <c r="L6476" s="6">
        <f>IFERROR(IF(INDEX(tProdutos[Desconto homologado],MATCH(tItens[[#This Row],[Produto]],tProdutos[Produto],0))="",DescontoPadrao,INDEX(tProdutos[Desconto homologado],MATCH(tItens[[#This Row],[Produto]],tProdutos[Produto],0))),DescontoPadrao)</f>
        <v>0.34</v>
      </c>
      <c r="M6476" s="12">
        <f>tItens[[#This Row],[Valor]]*(1-tItens[[#This Row],[Desconto]])</f>
        <v>577.49999999999989</v>
      </c>
      <c r="N6476" t="str">
        <f>IFERROR(INDEX(tProdutos[Foco],MATCH(tItens[[#This Row],[Produto]],tProdutos[Produto],0)),"Não")</f>
        <v>Sim</v>
      </c>
      <c r="O6476" t="str">
        <f>IFERROR(INDEX(tEditais[SRP],MATCH(tItens[[#This Row],[Edital]],tEditais[Edital],0)),"Não")</f>
        <v>Não</v>
      </c>
      <c r="P6476" s="4">
        <f>IF(COUNTIFS(INDEX(tItens[Edital],1):tItens[[#This Row],[Edital]],tItens[[#This Row],[Edital]],INDEX(tItens[Produto],1):tItens[[#This Row],[Produto]],tItens[[#This Row],[Produto]])=1,1,0)</f>
        <v>1</v>
      </c>
    </row>
    <row r="6477" spans="1:16" x14ac:dyDescent="0.25">
      <c r="A6477" t="s">
        <v>2307</v>
      </c>
      <c r="B6477">
        <v>2</v>
      </c>
      <c r="C6477" t="s">
        <v>9189</v>
      </c>
      <c r="D6477" t="s">
        <v>56</v>
      </c>
      <c r="E6477" s="13">
        <v>500</v>
      </c>
      <c r="F6477" s="12">
        <v>0.37</v>
      </c>
      <c r="G6477" t="str">
        <f>IFERROR(INDEX(tEditais[Órgão],MATCH(tItens[[#This Row],[Edital]],tEditais[Edital],0)),"")</f>
        <v>MUNICIPIO DE RIO DE JANEIRO</v>
      </c>
      <c r="H6477" t="str">
        <f>IFERROR(INDEX(tEditais[UF],MATCH(tItens[[#This Row],[Edital]],tEditais[Edital],0)),"")</f>
        <v>RJ</v>
      </c>
      <c r="I6477" s="11">
        <f>IFERROR(INDEX(tEditais[Encerramento],MATCH(tItens[[#This Row],[Edital]],tEditais[Edital],0)),"")</f>
        <v>46310.333333333336</v>
      </c>
      <c r="J6477" t="str">
        <f>IFERROR(INDEX(tProdutos[Classe],MATCH(tItens[[#This Row],[Produto]],tProdutos[Produto],0)),"produto não cadastrado")</f>
        <v>NÚCLEO</v>
      </c>
      <c r="K6477" s="12">
        <f>tItens[[#This Row],[Qtd]]*tItens[[#This Row],[Vlr unit]]</f>
        <v>185</v>
      </c>
      <c r="L6477" s="6">
        <f>IFERROR(IF(INDEX(tProdutos[Desconto homologado],MATCH(tItens[[#This Row],[Produto]],tProdutos[Produto],0))="",DescontoPadrao,INDEX(tProdutos[Desconto homologado],MATCH(tItens[[#This Row],[Produto]],tProdutos[Produto],0))),DescontoPadrao)</f>
        <v>0.34</v>
      </c>
      <c r="M6477" s="12">
        <f>tItens[[#This Row],[Valor]]*(1-tItens[[#This Row],[Desconto]])</f>
        <v>122.09999999999998</v>
      </c>
      <c r="N6477" t="str">
        <f>IFERROR(INDEX(tProdutos[Foco],MATCH(tItens[[#This Row],[Produto]],tProdutos[Produto],0)),"Não")</f>
        <v>Sim</v>
      </c>
      <c r="O6477" t="str">
        <f>IFERROR(INDEX(tEditais[SRP],MATCH(tItens[[#This Row],[Edital]],tEditais[Edital],0)),"Não")</f>
        <v>Não</v>
      </c>
      <c r="P6477" s="4">
        <f>IF(COUNTIFS(INDEX(tItens[Edital],1):tItens[[#This Row],[Edital]],tItens[[#This Row],[Edital]],INDEX(tItens[Produto],1):tItens[[#This Row],[Produto]],tItens[[#This Row],[Produto]])=1,1,0)</f>
        <v>0</v>
      </c>
    </row>
    <row r="6478" spans="1:16" x14ac:dyDescent="0.25">
      <c r="A6478" t="s">
        <v>2307</v>
      </c>
      <c r="B6478">
        <v>3</v>
      </c>
      <c r="C6478" t="s">
        <v>9190</v>
      </c>
      <c r="D6478" t="s">
        <v>56</v>
      </c>
      <c r="E6478" s="13">
        <v>8000</v>
      </c>
      <c r="F6478" s="12">
        <v>0.36</v>
      </c>
      <c r="G6478" t="str">
        <f>IFERROR(INDEX(tEditais[Órgão],MATCH(tItens[[#This Row],[Edital]],tEditais[Edital],0)),"")</f>
        <v>MUNICIPIO DE RIO DE JANEIRO</v>
      </c>
      <c r="H6478" t="str">
        <f>IFERROR(INDEX(tEditais[UF],MATCH(tItens[[#This Row],[Edital]],tEditais[Edital],0)),"")</f>
        <v>RJ</v>
      </c>
      <c r="I6478" s="11">
        <f>IFERROR(INDEX(tEditais[Encerramento],MATCH(tItens[[#This Row],[Edital]],tEditais[Edital],0)),"")</f>
        <v>46310.333333333336</v>
      </c>
      <c r="J6478" t="str">
        <f>IFERROR(INDEX(tProdutos[Classe],MATCH(tItens[[#This Row],[Produto]],tProdutos[Produto],0)),"produto não cadastrado")</f>
        <v>NÚCLEO</v>
      </c>
      <c r="K6478" s="12">
        <f>tItens[[#This Row],[Qtd]]*tItens[[#This Row],[Vlr unit]]</f>
        <v>2880</v>
      </c>
      <c r="L6478" s="6">
        <f>IFERROR(IF(INDEX(tProdutos[Desconto homologado],MATCH(tItens[[#This Row],[Produto]],tProdutos[Produto],0))="",DescontoPadrao,INDEX(tProdutos[Desconto homologado],MATCH(tItens[[#This Row],[Produto]],tProdutos[Produto],0))),DescontoPadrao)</f>
        <v>0.34</v>
      </c>
      <c r="M6478" s="12">
        <f>tItens[[#This Row],[Valor]]*(1-tItens[[#This Row],[Desconto]])</f>
        <v>1900.7999999999997</v>
      </c>
      <c r="N6478" t="str">
        <f>IFERROR(INDEX(tProdutos[Foco],MATCH(tItens[[#This Row],[Produto]],tProdutos[Produto],0)),"Não")</f>
        <v>Sim</v>
      </c>
      <c r="O6478" t="str">
        <f>IFERROR(INDEX(tEditais[SRP],MATCH(tItens[[#This Row],[Edital]],tEditais[Edital],0)),"Não")</f>
        <v>Não</v>
      </c>
      <c r="P6478" s="4">
        <f>IF(COUNTIFS(INDEX(tItens[Edital],1):tItens[[#This Row],[Edital]],tItens[[#This Row],[Edital]],INDEX(tItens[Produto],1):tItens[[#This Row],[Produto]],tItens[[#This Row],[Produto]])=1,1,0)</f>
        <v>0</v>
      </c>
    </row>
    <row r="6479" spans="1:16" x14ac:dyDescent="0.25">
      <c r="A6479" t="s">
        <v>2310</v>
      </c>
      <c r="B6479">
        <v>2</v>
      </c>
      <c r="C6479" t="s">
        <v>9129</v>
      </c>
      <c r="D6479" t="s">
        <v>339</v>
      </c>
      <c r="E6479" s="13">
        <v>800</v>
      </c>
      <c r="F6479" s="12">
        <v>1.87</v>
      </c>
      <c r="G6479" t="str">
        <f>IFERROR(INDEX(tEditais[Órgão],MATCH(tItens[[#This Row],[Edital]],tEditais[Edital],0)),"")</f>
        <v>COMANDO DA MARINHA</v>
      </c>
      <c r="H6479" t="str">
        <f>IFERROR(INDEX(tEditais[UF],MATCH(tItens[[#This Row],[Edital]],tEditais[Edital],0)),"")</f>
        <v>RJ</v>
      </c>
      <c r="I6479" s="11">
        <f>IFERROR(INDEX(tEditais[Encerramento],MATCH(tItens[[#This Row],[Edital]],tEditais[Edital],0)),"")</f>
        <v>46310.333333333336</v>
      </c>
      <c r="J6479" t="str">
        <f>IFERROR(INDEX(tProdutos[Classe],MATCH(tItens[[#This Row],[Produto]],tProdutos[Produto],0)),"produto não cadastrado")</f>
        <v>FORA</v>
      </c>
      <c r="K6479" s="12">
        <f>tItens[[#This Row],[Qtd]]*tItens[[#This Row],[Vlr unit]]</f>
        <v>1496</v>
      </c>
      <c r="L6479" s="6">
        <f>IFERROR(IF(INDEX(tProdutos[Desconto homologado],MATCH(tItens[[#This Row],[Produto]],tProdutos[Produto],0))="",DescontoPadrao,INDEX(tProdutos[Desconto homologado],MATCH(tItens[[#This Row],[Produto]],tProdutos[Produto],0))),DescontoPadrao)</f>
        <v>0.35388629091804102</v>
      </c>
      <c r="M6479" s="12">
        <f>tItens[[#This Row],[Valor]]*(1-tItens[[#This Row],[Desconto]])</f>
        <v>966.58610878661068</v>
      </c>
      <c r="N6479" t="str">
        <f>IFERROR(INDEX(tProdutos[Foco],MATCH(tItens[[#This Row],[Produto]],tProdutos[Produto],0)),"Não")</f>
        <v>Não</v>
      </c>
      <c r="O6479" t="str">
        <f>IFERROR(INDEX(tEditais[SRP],MATCH(tItens[[#This Row],[Edital]],tEditais[Edital],0)),"Não")</f>
        <v>Não</v>
      </c>
      <c r="P6479" s="4">
        <f>IF(COUNTIFS(INDEX(tItens[Edital],1):tItens[[#This Row],[Edital]],tItens[[#This Row],[Edital]],INDEX(tItens[Produto],1):tItens[[#This Row],[Produto]],tItens[[#This Row],[Produto]])=1,1,0)</f>
        <v>1</v>
      </c>
    </row>
    <row r="6480" spans="1:16" x14ac:dyDescent="0.25">
      <c r="A6480" t="s">
        <v>2310</v>
      </c>
      <c r="B6480">
        <v>3</v>
      </c>
      <c r="C6480" t="s">
        <v>3358</v>
      </c>
      <c r="D6480" t="s">
        <v>339</v>
      </c>
      <c r="E6480" s="13">
        <v>800</v>
      </c>
      <c r="F6480" s="12">
        <v>1.86</v>
      </c>
      <c r="G6480" t="str">
        <f>IFERROR(INDEX(tEditais[Órgão],MATCH(tItens[[#This Row],[Edital]],tEditais[Edital],0)),"")</f>
        <v>COMANDO DA MARINHA</v>
      </c>
      <c r="H6480" t="str">
        <f>IFERROR(INDEX(tEditais[UF],MATCH(tItens[[#This Row],[Edital]],tEditais[Edital],0)),"")</f>
        <v>RJ</v>
      </c>
      <c r="I6480" s="11">
        <f>IFERROR(INDEX(tEditais[Encerramento],MATCH(tItens[[#This Row],[Edital]],tEditais[Edital],0)),"")</f>
        <v>46310.333333333336</v>
      </c>
      <c r="J6480" t="str">
        <f>IFERROR(INDEX(tProdutos[Classe],MATCH(tItens[[#This Row],[Produto]],tProdutos[Produto],0)),"produto não cadastrado")</f>
        <v>FORA</v>
      </c>
      <c r="K6480" s="12">
        <f>tItens[[#This Row],[Qtd]]*tItens[[#This Row],[Vlr unit]]</f>
        <v>1488</v>
      </c>
      <c r="L6480" s="6">
        <f>IFERROR(IF(INDEX(tProdutos[Desconto homologado],MATCH(tItens[[#This Row],[Produto]],tProdutos[Produto],0))="",DescontoPadrao,INDEX(tProdutos[Desconto homologado],MATCH(tItens[[#This Row],[Produto]],tProdutos[Produto],0))),DescontoPadrao)</f>
        <v>0.35388629091804102</v>
      </c>
      <c r="M6480" s="12">
        <f>tItens[[#This Row],[Valor]]*(1-tItens[[#This Row],[Desconto]])</f>
        <v>961.41719911395501</v>
      </c>
      <c r="N6480" t="str">
        <f>IFERROR(INDEX(tProdutos[Foco],MATCH(tItens[[#This Row],[Produto]],tProdutos[Produto],0)),"Não")</f>
        <v>Não</v>
      </c>
      <c r="O6480" t="str">
        <f>IFERROR(INDEX(tEditais[SRP],MATCH(tItens[[#This Row],[Edital]],tEditais[Edital],0)),"Não")</f>
        <v>Não</v>
      </c>
      <c r="P6480" s="4">
        <f>IF(COUNTIFS(INDEX(tItens[Edital],1):tItens[[#This Row],[Edital]],tItens[[#This Row],[Edital]],INDEX(tItens[Produto],1):tItens[[#This Row],[Produto]],tItens[[#This Row],[Produto]])=1,1,0)</f>
        <v>0</v>
      </c>
    </row>
    <row r="6481" spans="1:16" x14ac:dyDescent="0.25">
      <c r="A6481" t="s">
        <v>2314</v>
      </c>
      <c r="B6481">
        <v>1</v>
      </c>
      <c r="C6481" t="s">
        <v>9191</v>
      </c>
      <c r="D6481" t="s">
        <v>566</v>
      </c>
      <c r="E6481" s="13">
        <v>65</v>
      </c>
      <c r="F6481" s="12">
        <v>460.24</v>
      </c>
      <c r="G6481" t="str">
        <f>IFERROR(INDEX(tEditais[Órgão],MATCH(tItens[[#This Row],[Edital]],tEditais[Edital],0)),"")</f>
        <v>MUNICIPIO DE RIO DE JANEIRO</v>
      </c>
      <c r="H6481" t="str">
        <f>IFERROR(INDEX(tEditais[UF],MATCH(tItens[[#This Row],[Edital]],tEditais[Edital],0)),"")</f>
        <v>RJ</v>
      </c>
      <c r="I6481" s="11">
        <f>IFERROR(INDEX(tEditais[Encerramento],MATCH(tItens[[#This Row],[Edital]],tEditais[Edital],0)),"")</f>
        <v>46310.375</v>
      </c>
      <c r="J6481" t="str">
        <f>IFERROR(INDEX(tProdutos[Classe],MATCH(tItens[[#This Row],[Produto]],tProdutos[Produto],0)),"produto não cadastrado")</f>
        <v>FILA REBASE</v>
      </c>
      <c r="K6481" s="12">
        <f>tItens[[#This Row],[Qtd]]*tItens[[#This Row],[Vlr unit]]</f>
        <v>29915.600000000002</v>
      </c>
      <c r="L6481" s="6">
        <f>IFERROR(IF(INDEX(tProdutos[Desconto homologado],MATCH(tItens[[#This Row],[Produto]],tProdutos[Produto],0))="",DescontoPadrao,INDEX(tProdutos[Desconto homologado],MATCH(tItens[[#This Row],[Produto]],tProdutos[Produto],0))),DescontoPadrao)</f>
        <v>0.1816062551698</v>
      </c>
      <c r="M6481" s="12">
        <f>tItens[[#This Row],[Valor]]*(1-tItens[[#This Row],[Desconto]])</f>
        <v>24482.739912842331</v>
      </c>
      <c r="N6481" t="str">
        <f>IFERROR(INDEX(tProdutos[Foco],MATCH(tItens[[#This Row],[Produto]],tProdutos[Produto],0)),"Não")</f>
        <v>Não</v>
      </c>
      <c r="O6481" t="str">
        <f>IFERROR(INDEX(tEditais[SRP],MATCH(tItens[[#This Row],[Edital]],tEditais[Edital],0)),"Não")</f>
        <v>Sim</v>
      </c>
      <c r="P6481" s="4">
        <f>IF(COUNTIFS(INDEX(tItens[Edital],1):tItens[[#This Row],[Edital]],tItens[[#This Row],[Edital]],INDEX(tItens[Produto],1):tItens[[#This Row],[Produto]],tItens[[#This Row],[Produto]])=1,1,0)</f>
        <v>1</v>
      </c>
    </row>
    <row r="6482" spans="1:16" x14ac:dyDescent="0.25">
      <c r="A6482" t="s">
        <v>2317</v>
      </c>
      <c r="B6482">
        <v>2</v>
      </c>
      <c r="C6482" t="s">
        <v>9192</v>
      </c>
      <c r="D6482" t="s">
        <v>201</v>
      </c>
      <c r="E6482" s="13">
        <v>24</v>
      </c>
      <c r="F6482" s="12">
        <v>129.35</v>
      </c>
      <c r="G6482" t="str">
        <f>IFERROR(INDEX(tEditais[Órgão],MATCH(tItens[[#This Row],[Edital]],tEditais[Edital],0)),"")</f>
        <v>FUNDO MUNICIPAL DE SAUDE PMVR SMS</v>
      </c>
      <c r="H6482" t="str">
        <f>IFERROR(INDEX(tEditais[UF],MATCH(tItens[[#This Row],[Edital]],tEditais[Edital],0)),"")</f>
        <v>RJ</v>
      </c>
      <c r="I6482" s="11">
        <f>IFERROR(INDEX(tEditais[Encerramento],MATCH(tItens[[#This Row],[Edital]],tEditais[Edital],0)),"")</f>
        <v>46310.375</v>
      </c>
      <c r="J6482" t="str">
        <f>IFERROR(INDEX(tProdutos[Classe],MATCH(tItens[[#This Row],[Produto]],tProdutos[Produto],0)),"produto não cadastrado")</f>
        <v>DISPUTADO</v>
      </c>
      <c r="K6482" s="12">
        <f>tItens[[#This Row],[Qtd]]*tItens[[#This Row],[Vlr unit]]</f>
        <v>3104.3999999999996</v>
      </c>
      <c r="L6482" s="6">
        <f>IFERROR(IF(INDEX(tProdutos[Desconto homologado],MATCH(tItens[[#This Row],[Produto]],tProdutos[Produto],0))="",DescontoPadrao,INDEX(tProdutos[Desconto homologado],MATCH(tItens[[#This Row],[Produto]],tProdutos[Produto],0))),DescontoPadrao)</f>
        <v>0.27203065134099602</v>
      </c>
      <c r="M6482" s="12">
        <f>tItens[[#This Row],[Valor]]*(1-tItens[[#This Row],[Desconto]])</f>
        <v>2259.9080459770116</v>
      </c>
      <c r="N6482" t="str">
        <f>IFERROR(INDEX(tProdutos[Foco],MATCH(tItens[[#This Row],[Produto]],tProdutos[Produto],0)),"Não")</f>
        <v>Não</v>
      </c>
      <c r="O6482" t="str">
        <f>IFERROR(INDEX(tEditais[SRP],MATCH(tItens[[#This Row],[Edital]],tEditais[Edital],0)),"Não")</f>
        <v>Sim</v>
      </c>
      <c r="P6482" s="4">
        <f>IF(COUNTIFS(INDEX(tItens[Edital],1):tItens[[#This Row],[Edital]],tItens[[#This Row],[Edital]],INDEX(tItens[Produto],1):tItens[[#This Row],[Produto]],tItens[[#This Row],[Produto]])=1,1,0)</f>
        <v>1</v>
      </c>
    </row>
    <row r="6483" spans="1:16" x14ac:dyDescent="0.25">
      <c r="A6483" t="s">
        <v>2322</v>
      </c>
      <c r="B6483">
        <v>6</v>
      </c>
      <c r="C6483" t="s">
        <v>9193</v>
      </c>
      <c r="D6483" t="s">
        <v>339</v>
      </c>
      <c r="E6483" s="13">
        <v>560</v>
      </c>
      <c r="F6483" s="12">
        <v>1.1000000000000001</v>
      </c>
      <c r="G6483" t="str">
        <f>IFERROR(INDEX(tEditais[Órgão],MATCH(tItens[[#This Row],[Edital]],tEditais[Edital],0)),"")</f>
        <v>SERVICO AUTONOMO HOSPITALAR</v>
      </c>
      <c r="H6483" t="str">
        <f>IFERROR(INDEX(tEditais[UF],MATCH(tItens[[#This Row],[Edital]],tEditais[Edital],0)),"")</f>
        <v>RJ</v>
      </c>
      <c r="I6483" s="11">
        <f>IFERROR(INDEX(tEditais[Encerramento],MATCH(tItens[[#This Row],[Edital]],tEditais[Edital],0)),"")</f>
        <v>46310.375</v>
      </c>
      <c r="J6483" t="str">
        <f>IFERROR(INDEX(tProdutos[Classe],MATCH(tItens[[#This Row],[Produto]],tProdutos[Produto],0)),"produto não cadastrado")</f>
        <v>FORA</v>
      </c>
      <c r="K6483" s="12">
        <f>tItens[[#This Row],[Qtd]]*tItens[[#This Row],[Vlr unit]]</f>
        <v>616</v>
      </c>
      <c r="L6483" s="6">
        <f>IFERROR(IF(INDEX(tProdutos[Desconto homologado],MATCH(tItens[[#This Row],[Produto]],tProdutos[Produto],0))="",DescontoPadrao,INDEX(tProdutos[Desconto homologado],MATCH(tItens[[#This Row],[Produto]],tProdutos[Produto],0))),DescontoPadrao)</f>
        <v>0.35388629091804102</v>
      </c>
      <c r="M6483" s="12">
        <f>tItens[[#This Row],[Valor]]*(1-tItens[[#This Row],[Desconto]])</f>
        <v>398.00604479448674</v>
      </c>
      <c r="N6483" t="str">
        <f>IFERROR(INDEX(tProdutos[Foco],MATCH(tItens[[#This Row],[Produto]],tProdutos[Produto],0)),"Não")</f>
        <v>Não</v>
      </c>
      <c r="O6483" t="str">
        <f>IFERROR(INDEX(tEditais[SRP],MATCH(tItens[[#This Row],[Edital]],tEditais[Edital],0)),"Não")</f>
        <v>Não</v>
      </c>
      <c r="P6483" s="4">
        <f>IF(COUNTIFS(INDEX(tItens[Edital],1):tItens[[#This Row],[Edital]],tItens[[#This Row],[Edital]],INDEX(tItens[Produto],1):tItens[[#This Row],[Produto]],tItens[[#This Row],[Produto]])=1,1,0)</f>
        <v>1</v>
      </c>
    </row>
    <row r="6484" spans="1:16" x14ac:dyDescent="0.25">
      <c r="A6484" t="s">
        <v>2322</v>
      </c>
      <c r="B6484">
        <v>7</v>
      </c>
      <c r="C6484" t="s">
        <v>3358</v>
      </c>
      <c r="D6484" t="s">
        <v>339</v>
      </c>
      <c r="E6484" s="13">
        <v>44050</v>
      </c>
      <c r="F6484" s="12">
        <v>1.1000000000000001</v>
      </c>
      <c r="G6484" t="str">
        <f>IFERROR(INDEX(tEditais[Órgão],MATCH(tItens[[#This Row],[Edital]],tEditais[Edital],0)),"")</f>
        <v>SERVICO AUTONOMO HOSPITALAR</v>
      </c>
      <c r="H6484" t="str">
        <f>IFERROR(INDEX(tEditais[UF],MATCH(tItens[[#This Row],[Edital]],tEditais[Edital],0)),"")</f>
        <v>RJ</v>
      </c>
      <c r="I6484" s="11">
        <f>IFERROR(INDEX(tEditais[Encerramento],MATCH(tItens[[#This Row],[Edital]],tEditais[Edital],0)),"")</f>
        <v>46310.375</v>
      </c>
      <c r="J6484" t="str">
        <f>IFERROR(INDEX(tProdutos[Classe],MATCH(tItens[[#This Row],[Produto]],tProdutos[Produto],0)),"produto não cadastrado")</f>
        <v>FORA</v>
      </c>
      <c r="K6484" s="12">
        <f>tItens[[#This Row],[Qtd]]*tItens[[#This Row],[Vlr unit]]</f>
        <v>48455.000000000007</v>
      </c>
      <c r="L6484" s="6">
        <f>IFERROR(IF(INDEX(tProdutos[Desconto homologado],MATCH(tItens[[#This Row],[Produto]],tProdutos[Produto],0))="",DescontoPadrao,INDEX(tProdutos[Desconto homologado],MATCH(tItens[[#This Row],[Produto]],tProdutos[Produto],0))),DescontoPadrao)</f>
        <v>0.35388629091804102</v>
      </c>
      <c r="M6484" s="12">
        <f>tItens[[#This Row],[Valor]]*(1-tItens[[#This Row],[Desconto]])</f>
        <v>31307.439773566326</v>
      </c>
      <c r="N6484" t="str">
        <f>IFERROR(INDEX(tProdutos[Foco],MATCH(tItens[[#This Row],[Produto]],tProdutos[Produto],0)),"Não")</f>
        <v>Não</v>
      </c>
      <c r="O6484" t="str">
        <f>IFERROR(INDEX(tEditais[SRP],MATCH(tItens[[#This Row],[Edital]],tEditais[Edital],0)),"Não")</f>
        <v>Não</v>
      </c>
      <c r="P6484" s="4">
        <f>IF(COUNTIFS(INDEX(tItens[Edital],1):tItens[[#This Row],[Edital]],tItens[[#This Row],[Edital]],INDEX(tItens[Produto],1):tItens[[#This Row],[Produto]],tItens[[#This Row],[Produto]])=1,1,0)</f>
        <v>0</v>
      </c>
    </row>
    <row r="6485" spans="1:16" x14ac:dyDescent="0.25">
      <c r="A6485" t="s">
        <v>2322</v>
      </c>
      <c r="B6485">
        <v>8</v>
      </c>
      <c r="C6485" t="s">
        <v>3358</v>
      </c>
      <c r="D6485" t="s">
        <v>339</v>
      </c>
      <c r="E6485" s="13">
        <v>132150</v>
      </c>
      <c r="F6485" s="12">
        <v>1.1000000000000001</v>
      </c>
      <c r="G6485" t="str">
        <f>IFERROR(INDEX(tEditais[Órgão],MATCH(tItens[[#This Row],[Edital]],tEditais[Edital],0)),"")</f>
        <v>SERVICO AUTONOMO HOSPITALAR</v>
      </c>
      <c r="H6485" t="str">
        <f>IFERROR(INDEX(tEditais[UF],MATCH(tItens[[#This Row],[Edital]],tEditais[Edital],0)),"")</f>
        <v>RJ</v>
      </c>
      <c r="I6485" s="11">
        <f>IFERROR(INDEX(tEditais[Encerramento],MATCH(tItens[[#This Row],[Edital]],tEditais[Edital],0)),"")</f>
        <v>46310.375</v>
      </c>
      <c r="J6485" t="str">
        <f>IFERROR(INDEX(tProdutos[Classe],MATCH(tItens[[#This Row],[Produto]],tProdutos[Produto],0)),"produto não cadastrado")</f>
        <v>FORA</v>
      </c>
      <c r="K6485" s="12">
        <f>tItens[[#This Row],[Qtd]]*tItens[[#This Row],[Vlr unit]]</f>
        <v>145365</v>
      </c>
      <c r="L6485" s="6">
        <f>IFERROR(IF(INDEX(tProdutos[Desconto homologado],MATCH(tItens[[#This Row],[Produto]],tProdutos[Produto],0))="",DescontoPadrao,INDEX(tProdutos[Desconto homologado],MATCH(tItens[[#This Row],[Produto]],tProdutos[Produto],0))),DescontoPadrao)</f>
        <v>0.35388629091804102</v>
      </c>
      <c r="M6485" s="12">
        <f>tItens[[#This Row],[Valor]]*(1-tItens[[#This Row],[Desconto]])</f>
        <v>93922.319320698967</v>
      </c>
      <c r="N6485" t="str">
        <f>IFERROR(INDEX(tProdutos[Foco],MATCH(tItens[[#This Row],[Produto]],tProdutos[Produto],0)),"Não")</f>
        <v>Não</v>
      </c>
      <c r="O6485" t="str">
        <f>IFERROR(INDEX(tEditais[SRP],MATCH(tItens[[#This Row],[Edital]],tEditais[Edital],0)),"Não")</f>
        <v>Não</v>
      </c>
      <c r="P6485" s="4">
        <f>IF(COUNTIFS(INDEX(tItens[Edital],1):tItens[[#This Row],[Edital]],tItens[[#This Row],[Edital]],INDEX(tItens[Produto],1):tItens[[#This Row],[Produto]],tItens[[#This Row],[Produto]])=1,1,0)</f>
        <v>0</v>
      </c>
    </row>
    <row r="6486" spans="1:16" x14ac:dyDescent="0.25">
      <c r="A6486" t="s">
        <v>2322</v>
      </c>
      <c r="B6486">
        <v>9</v>
      </c>
      <c r="C6486" t="s">
        <v>7762</v>
      </c>
      <c r="D6486" t="s">
        <v>339</v>
      </c>
      <c r="E6486" s="13">
        <v>440</v>
      </c>
      <c r="F6486" s="12">
        <v>1.1000000000000001</v>
      </c>
      <c r="G6486" t="str">
        <f>IFERROR(INDEX(tEditais[Órgão],MATCH(tItens[[#This Row],[Edital]],tEditais[Edital],0)),"")</f>
        <v>SERVICO AUTONOMO HOSPITALAR</v>
      </c>
      <c r="H6486" t="str">
        <f>IFERROR(INDEX(tEditais[UF],MATCH(tItens[[#This Row],[Edital]],tEditais[Edital],0)),"")</f>
        <v>RJ</v>
      </c>
      <c r="I6486" s="11">
        <f>IFERROR(INDEX(tEditais[Encerramento],MATCH(tItens[[#This Row],[Edital]],tEditais[Edital],0)),"")</f>
        <v>46310.375</v>
      </c>
      <c r="J6486" t="str">
        <f>IFERROR(INDEX(tProdutos[Classe],MATCH(tItens[[#This Row],[Produto]],tProdutos[Produto],0)),"produto não cadastrado")</f>
        <v>FORA</v>
      </c>
      <c r="K6486" s="12">
        <f>tItens[[#This Row],[Qtd]]*tItens[[#This Row],[Vlr unit]]</f>
        <v>484.00000000000006</v>
      </c>
      <c r="L6486" s="6">
        <f>IFERROR(IF(INDEX(tProdutos[Desconto homologado],MATCH(tItens[[#This Row],[Produto]],tProdutos[Produto],0))="",DescontoPadrao,INDEX(tProdutos[Desconto homologado],MATCH(tItens[[#This Row],[Produto]],tProdutos[Produto],0))),DescontoPadrao)</f>
        <v>0.35388629091804102</v>
      </c>
      <c r="M6486" s="12">
        <f>tItens[[#This Row],[Valor]]*(1-tItens[[#This Row],[Desconto]])</f>
        <v>312.7190351956682</v>
      </c>
      <c r="N6486" t="str">
        <f>IFERROR(INDEX(tProdutos[Foco],MATCH(tItens[[#This Row],[Produto]],tProdutos[Produto],0)),"Não")</f>
        <v>Não</v>
      </c>
      <c r="O6486" t="str">
        <f>IFERROR(INDEX(tEditais[SRP],MATCH(tItens[[#This Row],[Edital]],tEditais[Edital],0)),"Não")</f>
        <v>Não</v>
      </c>
      <c r="P6486" s="4">
        <f>IF(COUNTIFS(INDEX(tItens[Edital],1):tItens[[#This Row],[Edital]],tItens[[#This Row],[Edital]],INDEX(tItens[Produto],1):tItens[[#This Row],[Produto]],tItens[[#This Row],[Produto]])=1,1,0)</f>
        <v>0</v>
      </c>
    </row>
    <row r="6487" spans="1:16" x14ac:dyDescent="0.25">
      <c r="A6487" t="s">
        <v>2322</v>
      </c>
      <c r="B6487">
        <v>10</v>
      </c>
      <c r="C6487" t="s">
        <v>7764</v>
      </c>
      <c r="D6487" t="s">
        <v>339</v>
      </c>
      <c r="E6487" s="13">
        <v>3490</v>
      </c>
      <c r="F6487" s="12">
        <v>1</v>
      </c>
      <c r="G6487" t="str">
        <f>IFERROR(INDEX(tEditais[Órgão],MATCH(tItens[[#This Row],[Edital]],tEditais[Edital],0)),"")</f>
        <v>SERVICO AUTONOMO HOSPITALAR</v>
      </c>
      <c r="H6487" t="str">
        <f>IFERROR(INDEX(tEditais[UF],MATCH(tItens[[#This Row],[Edital]],tEditais[Edital],0)),"")</f>
        <v>RJ</v>
      </c>
      <c r="I6487" s="11">
        <f>IFERROR(INDEX(tEditais[Encerramento],MATCH(tItens[[#This Row],[Edital]],tEditais[Edital],0)),"")</f>
        <v>46310.375</v>
      </c>
      <c r="J6487" t="str">
        <f>IFERROR(INDEX(tProdutos[Classe],MATCH(tItens[[#This Row],[Produto]],tProdutos[Produto],0)),"produto não cadastrado")</f>
        <v>FORA</v>
      </c>
      <c r="K6487" s="12">
        <f>tItens[[#This Row],[Qtd]]*tItens[[#This Row],[Vlr unit]]</f>
        <v>3490</v>
      </c>
      <c r="L6487" s="6">
        <f>IFERROR(IF(INDEX(tProdutos[Desconto homologado],MATCH(tItens[[#This Row],[Produto]],tProdutos[Produto],0))="",DescontoPadrao,INDEX(tProdutos[Desconto homologado],MATCH(tItens[[#This Row],[Produto]],tProdutos[Produto],0))),DescontoPadrao)</f>
        <v>0.35388629091804102</v>
      </c>
      <c r="M6487" s="12">
        <f>tItens[[#This Row],[Valor]]*(1-tItens[[#This Row],[Desconto]])</f>
        <v>2254.936844696037</v>
      </c>
      <c r="N6487" t="str">
        <f>IFERROR(INDEX(tProdutos[Foco],MATCH(tItens[[#This Row],[Produto]],tProdutos[Produto],0)),"Não")</f>
        <v>Não</v>
      </c>
      <c r="O6487" t="str">
        <f>IFERROR(INDEX(tEditais[SRP],MATCH(tItens[[#This Row],[Edital]],tEditais[Edital],0)),"Não")</f>
        <v>Não</v>
      </c>
      <c r="P6487" s="4">
        <f>IF(COUNTIFS(INDEX(tItens[Edital],1):tItens[[#This Row],[Edital]],tItens[[#This Row],[Edital]],INDEX(tItens[Produto],1):tItens[[#This Row],[Produto]],tItens[[#This Row],[Produto]])=1,1,0)</f>
        <v>0</v>
      </c>
    </row>
    <row r="6488" spans="1:16" x14ac:dyDescent="0.25">
      <c r="A6488" t="s">
        <v>2326</v>
      </c>
      <c r="B6488">
        <v>6</v>
      </c>
      <c r="C6488" t="s">
        <v>9194</v>
      </c>
      <c r="D6488" t="s">
        <v>75</v>
      </c>
      <c r="E6488" s="13">
        <v>24</v>
      </c>
      <c r="F6488" s="12">
        <v>94.68</v>
      </c>
      <c r="G6488" t="str">
        <f>IFERROR(INDEX(tEditais[Órgão],MATCH(tItens[[#This Row],[Edital]],tEditais[Edital],0)),"")</f>
        <v>FUNDO MUNICIPAL DE SAUDE DE MENDES</v>
      </c>
      <c r="H6488" t="str">
        <f>IFERROR(INDEX(tEditais[UF],MATCH(tItens[[#This Row],[Edital]],tEditais[Edital],0)),"")</f>
        <v>RJ</v>
      </c>
      <c r="I6488" s="11">
        <f>IFERROR(INDEX(tEditais[Encerramento],MATCH(tItens[[#This Row],[Edital]],tEditais[Edital],0)),"")</f>
        <v>46310.416666666664</v>
      </c>
      <c r="J6488" t="str">
        <f>IFERROR(INDEX(tProdutos[Classe],MATCH(tItens[[#This Row],[Produto]],tProdutos[Produto],0)),"produto não cadastrado")</f>
        <v>NÚCLEO</v>
      </c>
      <c r="K6488" s="12">
        <f>tItens[[#This Row],[Qtd]]*tItens[[#This Row],[Vlr unit]]</f>
        <v>2272.3200000000002</v>
      </c>
      <c r="L6488" s="6">
        <f>IFERROR(IF(INDEX(tProdutos[Desconto homologado],MATCH(tItens[[#This Row],[Produto]],tProdutos[Produto],0))="",DescontoPadrao,INDEX(tProdutos[Desconto homologado],MATCH(tItens[[#This Row],[Produto]],tProdutos[Produto],0))),DescontoPadrao)</f>
        <v>0.26</v>
      </c>
      <c r="M6488" s="12">
        <f>tItens[[#This Row],[Valor]]*(1-tItens[[#This Row],[Desconto]])</f>
        <v>1681.5168000000001</v>
      </c>
      <c r="N6488" t="str">
        <f>IFERROR(INDEX(tProdutos[Foco],MATCH(tItens[[#This Row],[Produto]],tProdutos[Produto],0)),"Não")</f>
        <v>Sim</v>
      </c>
      <c r="O6488" t="str">
        <f>IFERROR(INDEX(tEditais[SRP],MATCH(tItens[[#This Row],[Edital]],tEditais[Edital],0)),"Não")</f>
        <v>Não</v>
      </c>
      <c r="P6488" s="4">
        <f>IF(COUNTIFS(INDEX(tItens[Edital],1):tItens[[#This Row],[Edital]],tItens[[#This Row],[Edital]],INDEX(tItens[Produto],1):tItens[[#This Row],[Produto]],tItens[[#This Row],[Produto]])=1,1,0)</f>
        <v>1</v>
      </c>
    </row>
    <row r="6489" spans="1:16" x14ac:dyDescent="0.25">
      <c r="A6489" t="s">
        <v>2326</v>
      </c>
      <c r="B6489">
        <v>7</v>
      </c>
      <c r="C6489" t="s">
        <v>8586</v>
      </c>
      <c r="D6489" t="s">
        <v>75</v>
      </c>
      <c r="E6489" s="13">
        <v>24</v>
      </c>
      <c r="F6489" s="12">
        <v>87.9</v>
      </c>
      <c r="G6489" t="str">
        <f>IFERROR(INDEX(tEditais[Órgão],MATCH(tItens[[#This Row],[Edital]],tEditais[Edital],0)),"")</f>
        <v>FUNDO MUNICIPAL DE SAUDE DE MENDES</v>
      </c>
      <c r="H6489" t="str">
        <f>IFERROR(INDEX(tEditais[UF],MATCH(tItens[[#This Row],[Edital]],tEditais[Edital],0)),"")</f>
        <v>RJ</v>
      </c>
      <c r="I6489" s="11">
        <f>IFERROR(INDEX(tEditais[Encerramento],MATCH(tItens[[#This Row],[Edital]],tEditais[Edital],0)),"")</f>
        <v>46310.416666666664</v>
      </c>
      <c r="J6489" t="str">
        <f>IFERROR(INDEX(tProdutos[Classe],MATCH(tItens[[#This Row],[Produto]],tProdutos[Produto],0)),"produto não cadastrado")</f>
        <v>NÚCLEO</v>
      </c>
      <c r="K6489" s="12">
        <f>tItens[[#This Row],[Qtd]]*tItens[[#This Row],[Vlr unit]]</f>
        <v>2109.6000000000004</v>
      </c>
      <c r="L6489" s="6">
        <f>IFERROR(IF(INDEX(tProdutos[Desconto homologado],MATCH(tItens[[#This Row],[Produto]],tProdutos[Produto],0))="",DescontoPadrao,INDEX(tProdutos[Desconto homologado],MATCH(tItens[[#This Row],[Produto]],tProdutos[Produto],0))),DescontoPadrao)</f>
        <v>0.26</v>
      </c>
      <c r="M6489" s="12">
        <f>tItens[[#This Row],[Valor]]*(1-tItens[[#This Row],[Desconto]])</f>
        <v>1561.1040000000003</v>
      </c>
      <c r="N6489" t="str">
        <f>IFERROR(INDEX(tProdutos[Foco],MATCH(tItens[[#This Row],[Produto]],tProdutos[Produto],0)),"Não")</f>
        <v>Sim</v>
      </c>
      <c r="O6489" t="str">
        <f>IFERROR(INDEX(tEditais[SRP],MATCH(tItens[[#This Row],[Edital]],tEditais[Edital],0)),"Não")</f>
        <v>Não</v>
      </c>
      <c r="P6489" s="4">
        <f>IF(COUNTIFS(INDEX(tItens[Edital],1):tItens[[#This Row],[Edital]],tItens[[#This Row],[Edital]],INDEX(tItens[Produto],1):tItens[[#This Row],[Produto]],tItens[[#This Row],[Produto]])=1,1,0)</f>
        <v>0</v>
      </c>
    </row>
    <row r="6490" spans="1:16" x14ac:dyDescent="0.25">
      <c r="A6490" t="s">
        <v>2326</v>
      </c>
      <c r="B6490">
        <v>8</v>
      </c>
      <c r="C6490" t="s">
        <v>4149</v>
      </c>
      <c r="D6490" t="s">
        <v>75</v>
      </c>
      <c r="E6490" s="13">
        <v>24</v>
      </c>
      <c r="F6490" s="12">
        <v>80</v>
      </c>
      <c r="G6490" t="str">
        <f>IFERROR(INDEX(tEditais[Órgão],MATCH(tItens[[#This Row],[Edital]],tEditais[Edital],0)),"")</f>
        <v>FUNDO MUNICIPAL DE SAUDE DE MENDES</v>
      </c>
      <c r="H6490" t="str">
        <f>IFERROR(INDEX(tEditais[UF],MATCH(tItens[[#This Row],[Edital]],tEditais[Edital],0)),"")</f>
        <v>RJ</v>
      </c>
      <c r="I6490" s="11">
        <f>IFERROR(INDEX(tEditais[Encerramento],MATCH(tItens[[#This Row],[Edital]],tEditais[Edital],0)),"")</f>
        <v>46310.416666666664</v>
      </c>
      <c r="J6490" t="str">
        <f>IFERROR(INDEX(tProdutos[Classe],MATCH(tItens[[#This Row],[Produto]],tProdutos[Produto],0)),"produto não cadastrado")</f>
        <v>NÚCLEO</v>
      </c>
      <c r="K6490" s="12">
        <f>tItens[[#This Row],[Qtd]]*tItens[[#This Row],[Vlr unit]]</f>
        <v>1920</v>
      </c>
      <c r="L6490" s="6">
        <f>IFERROR(IF(INDEX(tProdutos[Desconto homologado],MATCH(tItens[[#This Row],[Produto]],tProdutos[Produto],0))="",DescontoPadrao,INDEX(tProdutos[Desconto homologado],MATCH(tItens[[#This Row],[Produto]],tProdutos[Produto],0))),DescontoPadrao)</f>
        <v>0.26</v>
      </c>
      <c r="M6490" s="12">
        <f>tItens[[#This Row],[Valor]]*(1-tItens[[#This Row],[Desconto]])</f>
        <v>1420.8</v>
      </c>
      <c r="N6490" t="str">
        <f>IFERROR(INDEX(tProdutos[Foco],MATCH(tItens[[#This Row],[Produto]],tProdutos[Produto],0)),"Não")</f>
        <v>Sim</v>
      </c>
      <c r="O6490" t="str">
        <f>IFERROR(INDEX(tEditais[SRP],MATCH(tItens[[#This Row],[Edital]],tEditais[Edital],0)),"Não")</f>
        <v>Não</v>
      </c>
      <c r="P6490" s="4">
        <f>IF(COUNTIFS(INDEX(tItens[Edital],1):tItens[[#This Row],[Edital]],tItens[[#This Row],[Edital]],INDEX(tItens[Produto],1):tItens[[#This Row],[Produto]],tItens[[#This Row],[Produto]])=1,1,0)</f>
        <v>0</v>
      </c>
    </row>
    <row r="6491" spans="1:16" x14ac:dyDescent="0.25">
      <c r="A6491" t="s">
        <v>2329</v>
      </c>
      <c r="B6491">
        <v>14</v>
      </c>
      <c r="C6491" t="s">
        <v>9195</v>
      </c>
      <c r="D6491" t="s">
        <v>245</v>
      </c>
      <c r="E6491" s="13">
        <v>34</v>
      </c>
      <c r="F6491" s="12">
        <v>542.54</v>
      </c>
      <c r="G6491" t="str">
        <f>IFERROR(INDEX(tEditais[Órgão],MATCH(tItens[[#This Row],[Edital]],tEditais[Edital],0)),"")</f>
        <v>MUNICIPIO DE NOVA FRIBURGO</v>
      </c>
      <c r="H6491" t="str">
        <f>IFERROR(INDEX(tEditais[UF],MATCH(tItens[[#This Row],[Edital]],tEditais[Edital],0)),"")</f>
        <v>RJ</v>
      </c>
      <c r="I6491" s="11">
        <f>IFERROR(INDEX(tEditais[Encerramento],MATCH(tItens[[#This Row],[Edital]],tEditais[Edital],0)),"")</f>
        <v>46310.416666666664</v>
      </c>
      <c r="J6491" t="str">
        <f>IFERROR(INDEX(tProdutos[Classe],MATCH(tItens[[#This Row],[Produto]],tProdutos[Produto],0)),"produto não cadastrado")</f>
        <v>FORA</v>
      </c>
      <c r="K6491" s="12">
        <f>tItens[[#This Row],[Qtd]]*tItens[[#This Row],[Vlr unit]]</f>
        <v>18446.36</v>
      </c>
      <c r="L6491" s="6">
        <f>IFERROR(IF(INDEX(tProdutos[Desconto homologado],MATCH(tItens[[#This Row],[Produto]],tProdutos[Produto],0))="",DescontoPadrao,INDEX(tProdutos[Desconto homologado],MATCH(tItens[[#This Row],[Produto]],tProdutos[Produto],0))),DescontoPadrao)</f>
        <v>0.34516963542284401</v>
      </c>
      <c r="M6491" s="12">
        <f>tItens[[#This Row],[Valor]]*(1-tItens[[#This Row],[Desconto]])</f>
        <v>12079.236643921469</v>
      </c>
      <c r="N6491" t="str">
        <f>IFERROR(INDEX(tProdutos[Foco],MATCH(tItens[[#This Row],[Produto]],tProdutos[Produto],0)),"Não")</f>
        <v>Não</v>
      </c>
      <c r="O6491" t="str">
        <f>IFERROR(INDEX(tEditais[SRP],MATCH(tItens[[#This Row],[Edital]],tEditais[Edital],0)),"Não")</f>
        <v>Sim</v>
      </c>
      <c r="P6491" s="4">
        <f>IF(COUNTIFS(INDEX(tItens[Edital],1):tItens[[#This Row],[Edital]],tItens[[#This Row],[Edital]],INDEX(tItens[Produto],1):tItens[[#This Row],[Produto]],tItens[[#This Row],[Produto]])=1,1,0)</f>
        <v>1</v>
      </c>
    </row>
    <row r="6492" spans="1:16" x14ac:dyDescent="0.25">
      <c r="A6492" t="s">
        <v>2329</v>
      </c>
      <c r="B6492">
        <v>24</v>
      </c>
      <c r="C6492" t="s">
        <v>9196</v>
      </c>
      <c r="D6492" t="s">
        <v>299</v>
      </c>
      <c r="E6492" s="13">
        <v>50</v>
      </c>
      <c r="F6492" s="12">
        <v>1081.83</v>
      </c>
      <c r="G6492" t="str">
        <f>IFERROR(INDEX(tEditais[Órgão],MATCH(tItens[[#This Row],[Edital]],tEditais[Edital],0)),"")</f>
        <v>MUNICIPIO DE NOVA FRIBURGO</v>
      </c>
      <c r="H6492" t="str">
        <f>IFERROR(INDEX(tEditais[UF],MATCH(tItens[[#This Row],[Edital]],tEditais[Edital],0)),"")</f>
        <v>RJ</v>
      </c>
      <c r="I6492" s="11">
        <f>IFERROR(INDEX(tEditais[Encerramento],MATCH(tItens[[#This Row],[Edital]],tEditais[Edital],0)),"")</f>
        <v>46310.416666666664</v>
      </c>
      <c r="J6492" t="str">
        <f>IFERROR(INDEX(tProdutos[Classe],MATCH(tItens[[#This Row],[Produto]],tProdutos[Produto],0)),"produto não cadastrado")</f>
        <v>FORA</v>
      </c>
      <c r="K6492" s="12">
        <f>tItens[[#This Row],[Qtd]]*tItens[[#This Row],[Vlr unit]]</f>
        <v>54091.5</v>
      </c>
      <c r="L6492" s="6">
        <f>IFERROR(IF(INDEX(tProdutos[Desconto homologado],MATCH(tItens[[#This Row],[Produto]],tProdutos[Produto],0))="",DescontoPadrao,INDEX(tProdutos[Desconto homologado],MATCH(tItens[[#This Row],[Produto]],tProdutos[Produto],0))),DescontoPadrao)</f>
        <v>0.42211465163381601</v>
      </c>
      <c r="M6492" s="12">
        <f>tItens[[#This Row],[Valor]]*(1-tItens[[#This Row],[Desconto]])</f>
        <v>31258.685321149442</v>
      </c>
      <c r="N6492" t="str">
        <f>IFERROR(INDEX(tProdutos[Foco],MATCH(tItens[[#This Row],[Produto]],tProdutos[Produto],0)),"Não")</f>
        <v>Não</v>
      </c>
      <c r="O6492" t="str">
        <f>IFERROR(INDEX(tEditais[SRP],MATCH(tItens[[#This Row],[Edital]],tEditais[Edital],0)),"Não")</f>
        <v>Sim</v>
      </c>
      <c r="P6492" s="4">
        <f>IF(COUNTIFS(INDEX(tItens[Edital],1):tItens[[#This Row],[Edital]],tItens[[#This Row],[Edital]],INDEX(tItens[Produto],1):tItens[[#This Row],[Produto]],tItens[[#This Row],[Produto]])=1,1,0)</f>
        <v>1</v>
      </c>
    </row>
    <row r="6493" spans="1:16" x14ac:dyDescent="0.25">
      <c r="A6493" t="s">
        <v>2329</v>
      </c>
      <c r="B6493">
        <v>25</v>
      </c>
      <c r="C6493" t="s">
        <v>9196</v>
      </c>
      <c r="D6493" t="s">
        <v>299</v>
      </c>
      <c r="E6493" s="13">
        <v>50</v>
      </c>
      <c r="F6493" s="12">
        <v>978.44</v>
      </c>
      <c r="G6493" t="str">
        <f>IFERROR(INDEX(tEditais[Órgão],MATCH(tItens[[#This Row],[Edital]],tEditais[Edital],0)),"")</f>
        <v>MUNICIPIO DE NOVA FRIBURGO</v>
      </c>
      <c r="H6493" t="str">
        <f>IFERROR(INDEX(tEditais[UF],MATCH(tItens[[#This Row],[Edital]],tEditais[Edital],0)),"")</f>
        <v>RJ</v>
      </c>
      <c r="I6493" s="11">
        <f>IFERROR(INDEX(tEditais[Encerramento],MATCH(tItens[[#This Row],[Edital]],tEditais[Edital],0)),"")</f>
        <v>46310.416666666664</v>
      </c>
      <c r="J6493" t="str">
        <f>IFERROR(INDEX(tProdutos[Classe],MATCH(tItens[[#This Row],[Produto]],tProdutos[Produto],0)),"produto não cadastrado")</f>
        <v>FORA</v>
      </c>
      <c r="K6493" s="12">
        <f>tItens[[#This Row],[Qtd]]*tItens[[#This Row],[Vlr unit]]</f>
        <v>48922</v>
      </c>
      <c r="L6493" s="6">
        <f>IFERROR(IF(INDEX(tProdutos[Desconto homologado],MATCH(tItens[[#This Row],[Produto]],tProdutos[Produto],0))="",DescontoPadrao,INDEX(tProdutos[Desconto homologado],MATCH(tItens[[#This Row],[Produto]],tProdutos[Produto],0))),DescontoPadrao)</f>
        <v>0.42211465163381601</v>
      </c>
      <c r="M6493" s="12">
        <f>tItens[[#This Row],[Valor]]*(1-tItens[[#This Row],[Desconto]])</f>
        <v>28271.307012770452</v>
      </c>
      <c r="N6493" t="str">
        <f>IFERROR(INDEX(tProdutos[Foco],MATCH(tItens[[#This Row],[Produto]],tProdutos[Produto],0)),"Não")</f>
        <v>Não</v>
      </c>
      <c r="O6493" t="str">
        <f>IFERROR(INDEX(tEditais[SRP],MATCH(tItens[[#This Row],[Edital]],tEditais[Edital],0)),"Não")</f>
        <v>Sim</v>
      </c>
      <c r="P6493" s="4">
        <f>IF(COUNTIFS(INDEX(tItens[Edital],1):tItens[[#This Row],[Edital]],tItens[[#This Row],[Edital]],INDEX(tItens[Produto],1):tItens[[#This Row],[Produto]],tItens[[#This Row],[Produto]])=1,1,0)</f>
        <v>0</v>
      </c>
    </row>
    <row r="6494" spans="1:16" x14ac:dyDescent="0.25">
      <c r="A6494" t="s">
        <v>2329</v>
      </c>
      <c r="B6494">
        <v>32</v>
      </c>
      <c r="C6494" t="s">
        <v>9197</v>
      </c>
      <c r="D6494" t="s">
        <v>347</v>
      </c>
      <c r="E6494" s="13">
        <v>50</v>
      </c>
      <c r="F6494" s="12">
        <v>310.89999999999998</v>
      </c>
      <c r="G6494" t="str">
        <f>IFERROR(INDEX(tEditais[Órgão],MATCH(tItens[[#This Row],[Edital]],tEditais[Edital],0)),"")</f>
        <v>MUNICIPIO DE NOVA FRIBURGO</v>
      </c>
      <c r="H6494" t="str">
        <f>IFERROR(INDEX(tEditais[UF],MATCH(tItens[[#This Row],[Edital]],tEditais[Edital],0)),"")</f>
        <v>RJ</v>
      </c>
      <c r="I6494" s="11">
        <f>IFERROR(INDEX(tEditais[Encerramento],MATCH(tItens[[#This Row],[Edital]],tEditais[Edital],0)),"")</f>
        <v>46310.416666666664</v>
      </c>
      <c r="J6494" t="str">
        <f>IFERROR(INDEX(tProdutos[Classe],MATCH(tItens[[#This Row],[Produto]],tProdutos[Produto],0)),"produto não cadastrado")</f>
        <v>FORA</v>
      </c>
      <c r="K6494" s="12">
        <f>tItens[[#This Row],[Qtd]]*tItens[[#This Row],[Vlr unit]]</f>
        <v>15544.999999999998</v>
      </c>
      <c r="L6494" s="6">
        <f>IFERROR(IF(INDEX(tProdutos[Desconto homologado],MATCH(tItens[[#This Row],[Produto]],tProdutos[Produto],0))="",DescontoPadrao,INDEX(tProdutos[Desconto homologado],MATCH(tItens[[#This Row],[Produto]],tProdutos[Produto],0))),DescontoPadrao)</f>
        <v>0.26356465005931201</v>
      </c>
      <c r="M6494" s="12">
        <f>tItens[[#This Row],[Valor]]*(1-tItens[[#This Row],[Desconto]])</f>
        <v>11447.887514827993</v>
      </c>
      <c r="N6494" t="str">
        <f>IFERROR(INDEX(tProdutos[Foco],MATCH(tItens[[#This Row],[Produto]],tProdutos[Produto],0)),"Não")</f>
        <v>Não</v>
      </c>
      <c r="O6494" t="str">
        <f>IFERROR(INDEX(tEditais[SRP],MATCH(tItens[[#This Row],[Edital]],tEditais[Edital],0)),"Não")</f>
        <v>Sim</v>
      </c>
      <c r="P6494" s="4">
        <f>IF(COUNTIFS(INDEX(tItens[Edital],1):tItens[[#This Row],[Edital]],tItens[[#This Row],[Edital]],INDEX(tItens[Produto],1):tItens[[#This Row],[Produto]],tItens[[#This Row],[Produto]])=1,1,0)</f>
        <v>1</v>
      </c>
    </row>
    <row r="6495" spans="1:16" x14ac:dyDescent="0.25">
      <c r="A6495" t="s">
        <v>2329</v>
      </c>
      <c r="B6495">
        <v>33</v>
      </c>
      <c r="C6495" t="s">
        <v>8642</v>
      </c>
      <c r="D6495" t="s">
        <v>253</v>
      </c>
      <c r="E6495" s="13">
        <v>340</v>
      </c>
      <c r="F6495" s="12">
        <v>14.16</v>
      </c>
      <c r="G6495" t="str">
        <f>IFERROR(INDEX(tEditais[Órgão],MATCH(tItens[[#This Row],[Edital]],tEditais[Edital],0)),"")</f>
        <v>MUNICIPIO DE NOVA FRIBURGO</v>
      </c>
      <c r="H6495" t="str">
        <f>IFERROR(INDEX(tEditais[UF],MATCH(tItens[[#This Row],[Edital]],tEditais[Edital],0)),"")</f>
        <v>RJ</v>
      </c>
      <c r="I6495" s="11">
        <f>IFERROR(INDEX(tEditais[Encerramento],MATCH(tItens[[#This Row],[Edital]],tEditais[Edital],0)),"")</f>
        <v>46310.416666666664</v>
      </c>
      <c r="J6495" t="str">
        <f>IFERROR(INDEX(tProdutos[Classe],MATCH(tItens[[#This Row],[Produto]],tProdutos[Produto],0)),"produto não cadastrado")</f>
        <v>FORA</v>
      </c>
      <c r="K6495" s="12">
        <f>tItens[[#This Row],[Qtd]]*tItens[[#This Row],[Vlr unit]]</f>
        <v>4814.3999999999996</v>
      </c>
      <c r="L6495" s="6">
        <f>IFERROR(IF(INDEX(tProdutos[Desconto homologado],MATCH(tItens[[#This Row],[Produto]],tProdutos[Produto],0))="",DescontoPadrao,INDEX(tProdutos[Desconto homologado],MATCH(tItens[[#This Row],[Produto]],tProdutos[Produto],0))),DescontoPadrao)</f>
        <v>0.31735159817351599</v>
      </c>
      <c r="M6495" s="12">
        <f>tItens[[#This Row],[Valor]]*(1-tItens[[#This Row],[Desconto]])</f>
        <v>3286.5424657534245</v>
      </c>
      <c r="N6495" t="str">
        <f>IFERROR(INDEX(tProdutos[Foco],MATCH(tItens[[#This Row],[Produto]],tProdutos[Produto],0)),"Não")</f>
        <v>Não</v>
      </c>
      <c r="O6495" t="str">
        <f>IFERROR(INDEX(tEditais[SRP],MATCH(tItens[[#This Row],[Edital]],tEditais[Edital],0)),"Não")</f>
        <v>Sim</v>
      </c>
      <c r="P6495" s="4">
        <f>IF(COUNTIFS(INDEX(tItens[Edital],1):tItens[[#This Row],[Edital]],tItens[[#This Row],[Edital]],INDEX(tItens[Produto],1):tItens[[#This Row],[Produto]],tItens[[#This Row],[Produto]])=1,1,0)</f>
        <v>1</v>
      </c>
    </row>
    <row r="6496" spans="1:16" x14ac:dyDescent="0.25">
      <c r="A6496" t="s">
        <v>2329</v>
      </c>
      <c r="B6496">
        <v>34</v>
      </c>
      <c r="C6496" t="s">
        <v>9198</v>
      </c>
      <c r="D6496" t="s">
        <v>253</v>
      </c>
      <c r="E6496" s="13">
        <v>416</v>
      </c>
      <c r="F6496" s="12">
        <v>14.16</v>
      </c>
      <c r="G6496" t="str">
        <f>IFERROR(INDEX(tEditais[Órgão],MATCH(tItens[[#This Row],[Edital]],tEditais[Edital],0)),"")</f>
        <v>MUNICIPIO DE NOVA FRIBURGO</v>
      </c>
      <c r="H6496" t="str">
        <f>IFERROR(INDEX(tEditais[UF],MATCH(tItens[[#This Row],[Edital]],tEditais[Edital],0)),"")</f>
        <v>RJ</v>
      </c>
      <c r="I6496" s="11">
        <f>IFERROR(INDEX(tEditais[Encerramento],MATCH(tItens[[#This Row],[Edital]],tEditais[Edital],0)),"")</f>
        <v>46310.416666666664</v>
      </c>
      <c r="J6496" t="str">
        <f>IFERROR(INDEX(tProdutos[Classe],MATCH(tItens[[#This Row],[Produto]],tProdutos[Produto],0)),"produto não cadastrado")</f>
        <v>FORA</v>
      </c>
      <c r="K6496" s="12">
        <f>tItens[[#This Row],[Qtd]]*tItens[[#This Row],[Vlr unit]]</f>
        <v>5890.56</v>
      </c>
      <c r="L6496" s="6">
        <f>IFERROR(IF(INDEX(tProdutos[Desconto homologado],MATCH(tItens[[#This Row],[Produto]],tProdutos[Produto],0))="",DescontoPadrao,INDEX(tProdutos[Desconto homologado],MATCH(tItens[[#This Row],[Produto]],tProdutos[Produto],0))),DescontoPadrao)</f>
        <v>0.31735159817351599</v>
      </c>
      <c r="M6496" s="12">
        <f>tItens[[#This Row],[Valor]]*(1-tItens[[#This Row],[Desconto]])</f>
        <v>4021.181369863014</v>
      </c>
      <c r="N6496" t="str">
        <f>IFERROR(INDEX(tProdutos[Foco],MATCH(tItens[[#This Row],[Produto]],tProdutos[Produto],0)),"Não")</f>
        <v>Não</v>
      </c>
      <c r="O6496" t="str">
        <f>IFERROR(INDEX(tEditais[SRP],MATCH(tItens[[#This Row],[Edital]],tEditais[Edital],0)),"Não")</f>
        <v>Sim</v>
      </c>
      <c r="P6496" s="4">
        <f>IF(COUNTIFS(INDEX(tItens[Edital],1):tItens[[#This Row],[Edital]],tItens[[#This Row],[Edital]],INDEX(tItens[Produto],1):tItens[[#This Row],[Produto]],tItens[[#This Row],[Produto]])=1,1,0)</f>
        <v>0</v>
      </c>
    </row>
    <row r="6497" spans="1:16" x14ac:dyDescent="0.25">
      <c r="A6497" t="s">
        <v>2329</v>
      </c>
      <c r="B6497">
        <v>35</v>
      </c>
      <c r="C6497" t="s">
        <v>4169</v>
      </c>
      <c r="D6497" t="s">
        <v>253</v>
      </c>
      <c r="E6497" s="13">
        <v>344</v>
      </c>
      <c r="F6497" s="12">
        <v>14.51</v>
      </c>
      <c r="G6497" t="str">
        <f>IFERROR(INDEX(tEditais[Órgão],MATCH(tItens[[#This Row],[Edital]],tEditais[Edital],0)),"")</f>
        <v>MUNICIPIO DE NOVA FRIBURGO</v>
      </c>
      <c r="H6497" t="str">
        <f>IFERROR(INDEX(tEditais[UF],MATCH(tItens[[#This Row],[Edital]],tEditais[Edital],0)),"")</f>
        <v>RJ</v>
      </c>
      <c r="I6497" s="11">
        <f>IFERROR(INDEX(tEditais[Encerramento],MATCH(tItens[[#This Row],[Edital]],tEditais[Edital],0)),"")</f>
        <v>46310.416666666664</v>
      </c>
      <c r="J6497" t="str">
        <f>IFERROR(INDEX(tProdutos[Classe],MATCH(tItens[[#This Row],[Produto]],tProdutos[Produto],0)),"produto não cadastrado")</f>
        <v>FORA</v>
      </c>
      <c r="K6497" s="12">
        <f>tItens[[#This Row],[Qtd]]*tItens[[#This Row],[Vlr unit]]</f>
        <v>4991.4399999999996</v>
      </c>
      <c r="L6497" s="6">
        <f>IFERROR(IF(INDEX(tProdutos[Desconto homologado],MATCH(tItens[[#This Row],[Produto]],tProdutos[Produto],0))="",DescontoPadrao,INDEX(tProdutos[Desconto homologado],MATCH(tItens[[#This Row],[Produto]],tProdutos[Produto],0))),DescontoPadrao)</f>
        <v>0.31735159817351599</v>
      </c>
      <c r="M6497" s="12">
        <f>tItens[[#This Row],[Valor]]*(1-tItens[[#This Row],[Desconto]])</f>
        <v>3407.3985388127849</v>
      </c>
      <c r="N6497" t="str">
        <f>IFERROR(INDEX(tProdutos[Foco],MATCH(tItens[[#This Row],[Produto]],tProdutos[Produto],0)),"Não")</f>
        <v>Não</v>
      </c>
      <c r="O6497" t="str">
        <f>IFERROR(INDEX(tEditais[SRP],MATCH(tItens[[#This Row],[Edital]],tEditais[Edital],0)),"Não")</f>
        <v>Sim</v>
      </c>
      <c r="P6497" s="4">
        <f>IF(COUNTIFS(INDEX(tItens[Edital],1):tItens[[#This Row],[Edital]],tItens[[#This Row],[Edital]],INDEX(tItens[Produto],1):tItens[[#This Row],[Produto]],tItens[[#This Row],[Produto]])=1,1,0)</f>
        <v>0</v>
      </c>
    </row>
    <row r="6498" spans="1:16" x14ac:dyDescent="0.25">
      <c r="A6498" t="s">
        <v>2334</v>
      </c>
      <c r="B6498">
        <v>14</v>
      </c>
      <c r="C6498" t="s">
        <v>9199</v>
      </c>
      <c r="D6498" t="s">
        <v>339</v>
      </c>
      <c r="E6498" s="13">
        <v>1669</v>
      </c>
      <c r="F6498" s="12">
        <v>66.63</v>
      </c>
      <c r="G6498" t="str">
        <f>IFERROR(INDEX(tEditais[Órgão],MATCH(tItens[[#This Row],[Edital]],tEditais[Edital],0)),"")</f>
        <v>MUNICIPIO DE CONCEICAO DE MACABU</v>
      </c>
      <c r="H6498" t="str">
        <f>IFERROR(INDEX(tEditais[UF],MATCH(tItens[[#This Row],[Edital]],tEditais[Edital],0)),"")</f>
        <v>RJ</v>
      </c>
      <c r="I6498" s="11">
        <f>IFERROR(INDEX(tEditais[Encerramento],MATCH(tItens[[#This Row],[Edital]],tEditais[Edital],0)),"")</f>
        <v>46310.416666666664</v>
      </c>
      <c r="J6498" t="str">
        <f>IFERROR(INDEX(tProdutos[Classe],MATCH(tItens[[#This Row],[Produto]],tProdutos[Produto],0)),"produto não cadastrado")</f>
        <v>FORA</v>
      </c>
      <c r="K6498" s="12">
        <f>tItens[[#This Row],[Qtd]]*tItens[[#This Row],[Vlr unit]]</f>
        <v>111205.46999999999</v>
      </c>
      <c r="L6498" s="6">
        <f>IFERROR(IF(INDEX(tProdutos[Desconto homologado],MATCH(tItens[[#This Row],[Produto]],tProdutos[Produto],0))="",DescontoPadrao,INDEX(tProdutos[Desconto homologado],MATCH(tItens[[#This Row],[Produto]],tProdutos[Produto],0))),DescontoPadrao)</f>
        <v>0.35388629091804102</v>
      </c>
      <c r="M6498" s="12">
        <f>tItens[[#This Row],[Valor]]*(1-tItens[[#This Row],[Desconto]])</f>
        <v>71851.378691902501</v>
      </c>
      <c r="N6498" t="str">
        <f>IFERROR(INDEX(tProdutos[Foco],MATCH(tItens[[#This Row],[Produto]],tProdutos[Produto],0)),"Não")</f>
        <v>Não</v>
      </c>
      <c r="O6498" t="str">
        <f>IFERROR(INDEX(tEditais[SRP],MATCH(tItens[[#This Row],[Edital]],tEditais[Edital],0)),"Não")</f>
        <v>Não</v>
      </c>
      <c r="P6498" s="4">
        <f>IF(COUNTIFS(INDEX(tItens[Edital],1):tItens[[#This Row],[Edital]],tItens[[#This Row],[Edital]],INDEX(tItens[Produto],1):tItens[[#This Row],[Produto]],tItens[[#This Row],[Produto]])=1,1,0)</f>
        <v>1</v>
      </c>
    </row>
    <row r="6499" spans="1:16" x14ac:dyDescent="0.25">
      <c r="A6499" t="s">
        <v>2334</v>
      </c>
      <c r="B6499">
        <v>15</v>
      </c>
      <c r="C6499" t="s">
        <v>9199</v>
      </c>
      <c r="D6499" t="s">
        <v>339</v>
      </c>
      <c r="E6499" s="13">
        <v>556</v>
      </c>
      <c r="F6499" s="12">
        <v>66.63</v>
      </c>
      <c r="G6499" t="str">
        <f>IFERROR(INDEX(tEditais[Órgão],MATCH(tItens[[#This Row],[Edital]],tEditais[Edital],0)),"")</f>
        <v>MUNICIPIO DE CONCEICAO DE MACABU</v>
      </c>
      <c r="H6499" t="str">
        <f>IFERROR(INDEX(tEditais[UF],MATCH(tItens[[#This Row],[Edital]],tEditais[Edital],0)),"")</f>
        <v>RJ</v>
      </c>
      <c r="I6499" s="11">
        <f>IFERROR(INDEX(tEditais[Encerramento],MATCH(tItens[[#This Row],[Edital]],tEditais[Edital],0)),"")</f>
        <v>46310.416666666664</v>
      </c>
      <c r="J6499" t="str">
        <f>IFERROR(INDEX(tProdutos[Classe],MATCH(tItens[[#This Row],[Produto]],tProdutos[Produto],0)),"produto não cadastrado")</f>
        <v>FORA</v>
      </c>
      <c r="K6499" s="12">
        <f>tItens[[#This Row],[Qtd]]*tItens[[#This Row],[Vlr unit]]</f>
        <v>37046.28</v>
      </c>
      <c r="L6499" s="6">
        <f>IFERROR(IF(INDEX(tProdutos[Desconto homologado],MATCH(tItens[[#This Row],[Produto]],tProdutos[Produto],0))="",DescontoPadrao,INDEX(tProdutos[Desconto homologado],MATCH(tItens[[#This Row],[Produto]],tProdutos[Produto],0))),DescontoPadrao)</f>
        <v>0.35388629091804102</v>
      </c>
      <c r="M6499" s="12">
        <f>tItens[[#This Row],[Valor]]*(1-tItens[[#This Row],[Desconto]])</f>
        <v>23936.109378488796</v>
      </c>
      <c r="N6499" t="str">
        <f>IFERROR(INDEX(tProdutos[Foco],MATCH(tItens[[#This Row],[Produto]],tProdutos[Produto],0)),"Não")</f>
        <v>Não</v>
      </c>
      <c r="O6499" t="str">
        <f>IFERROR(INDEX(tEditais[SRP],MATCH(tItens[[#This Row],[Edital]],tEditais[Edital],0)),"Não")</f>
        <v>Não</v>
      </c>
      <c r="P6499" s="4">
        <f>IF(COUNTIFS(INDEX(tItens[Edital],1):tItens[[#This Row],[Edital]],tItens[[#This Row],[Edital]],INDEX(tItens[Produto],1):tItens[[#This Row],[Produto]],tItens[[#This Row],[Produto]])=1,1,0)</f>
        <v>0</v>
      </c>
    </row>
    <row r="6500" spans="1:16" x14ac:dyDescent="0.25">
      <c r="A6500" t="s">
        <v>2334</v>
      </c>
      <c r="B6500">
        <v>16</v>
      </c>
      <c r="C6500" t="s">
        <v>9200</v>
      </c>
      <c r="D6500" t="s">
        <v>339</v>
      </c>
      <c r="E6500" s="13">
        <v>1988</v>
      </c>
      <c r="F6500" s="12">
        <v>66.63</v>
      </c>
      <c r="G6500" t="str">
        <f>IFERROR(INDEX(tEditais[Órgão],MATCH(tItens[[#This Row],[Edital]],tEditais[Edital],0)),"")</f>
        <v>MUNICIPIO DE CONCEICAO DE MACABU</v>
      </c>
      <c r="H6500" t="str">
        <f>IFERROR(INDEX(tEditais[UF],MATCH(tItens[[#This Row],[Edital]],tEditais[Edital],0)),"")</f>
        <v>RJ</v>
      </c>
      <c r="I6500" s="11">
        <f>IFERROR(INDEX(tEditais[Encerramento],MATCH(tItens[[#This Row],[Edital]],tEditais[Edital],0)),"")</f>
        <v>46310.416666666664</v>
      </c>
      <c r="J6500" t="str">
        <f>IFERROR(INDEX(tProdutos[Classe],MATCH(tItens[[#This Row],[Produto]],tProdutos[Produto],0)),"produto não cadastrado")</f>
        <v>FORA</v>
      </c>
      <c r="K6500" s="12">
        <f>tItens[[#This Row],[Qtd]]*tItens[[#This Row],[Vlr unit]]</f>
        <v>132460.44</v>
      </c>
      <c r="L6500" s="6">
        <f>IFERROR(IF(INDEX(tProdutos[Desconto homologado],MATCH(tItens[[#This Row],[Produto]],tProdutos[Produto],0))="",DescontoPadrao,INDEX(tProdutos[Desconto homologado],MATCH(tItens[[#This Row],[Produto]],tProdutos[Produto],0))),DescontoPadrao)</f>
        <v>0.35388629091804102</v>
      </c>
      <c r="M6500" s="12">
        <f>tItens[[#This Row],[Valor]]*(1-tItens[[#This Row],[Desconto]])</f>
        <v>85584.506195028283</v>
      </c>
      <c r="N6500" t="str">
        <f>IFERROR(INDEX(tProdutos[Foco],MATCH(tItens[[#This Row],[Produto]],tProdutos[Produto],0)),"Não")</f>
        <v>Não</v>
      </c>
      <c r="O6500" t="str">
        <f>IFERROR(INDEX(tEditais[SRP],MATCH(tItens[[#This Row],[Edital]],tEditais[Edital],0)),"Não")</f>
        <v>Não</v>
      </c>
      <c r="P6500" s="4">
        <f>IF(COUNTIFS(INDEX(tItens[Edital],1):tItens[[#This Row],[Edital]],tItens[[#This Row],[Edital]],INDEX(tItens[Produto],1):tItens[[#This Row],[Produto]],tItens[[#This Row],[Produto]])=1,1,0)</f>
        <v>0</v>
      </c>
    </row>
    <row r="6501" spans="1:16" x14ac:dyDescent="0.25">
      <c r="A6501" t="s">
        <v>2334</v>
      </c>
      <c r="B6501">
        <v>17</v>
      </c>
      <c r="C6501" t="s">
        <v>9200</v>
      </c>
      <c r="D6501" t="s">
        <v>339</v>
      </c>
      <c r="E6501" s="13">
        <v>662</v>
      </c>
      <c r="F6501" s="12">
        <v>66.63</v>
      </c>
      <c r="G6501" t="str">
        <f>IFERROR(INDEX(tEditais[Órgão],MATCH(tItens[[#This Row],[Edital]],tEditais[Edital],0)),"")</f>
        <v>MUNICIPIO DE CONCEICAO DE MACABU</v>
      </c>
      <c r="H6501" t="str">
        <f>IFERROR(INDEX(tEditais[UF],MATCH(tItens[[#This Row],[Edital]],tEditais[Edital],0)),"")</f>
        <v>RJ</v>
      </c>
      <c r="I6501" s="11">
        <f>IFERROR(INDEX(tEditais[Encerramento],MATCH(tItens[[#This Row],[Edital]],tEditais[Edital],0)),"")</f>
        <v>46310.416666666664</v>
      </c>
      <c r="J6501" t="str">
        <f>IFERROR(INDEX(tProdutos[Classe],MATCH(tItens[[#This Row],[Produto]],tProdutos[Produto],0)),"produto não cadastrado")</f>
        <v>FORA</v>
      </c>
      <c r="K6501" s="12">
        <f>tItens[[#This Row],[Qtd]]*tItens[[#This Row],[Vlr unit]]</f>
        <v>44109.06</v>
      </c>
      <c r="L6501" s="6">
        <f>IFERROR(IF(INDEX(tProdutos[Desconto homologado],MATCH(tItens[[#This Row],[Produto]],tProdutos[Produto],0))="",DescontoPadrao,INDEX(tProdutos[Desconto homologado],MATCH(tItens[[#This Row],[Produto]],tProdutos[Produto],0))),DescontoPadrao)</f>
        <v>0.35388629091804102</v>
      </c>
      <c r="M6501" s="12">
        <f>tItens[[#This Row],[Valor]]*(1-tItens[[#This Row],[Desconto]])</f>
        <v>28499.468360718671</v>
      </c>
      <c r="N6501" t="str">
        <f>IFERROR(INDEX(tProdutos[Foco],MATCH(tItens[[#This Row],[Produto]],tProdutos[Produto],0)),"Não")</f>
        <v>Não</v>
      </c>
      <c r="O6501" t="str">
        <f>IFERROR(INDEX(tEditais[SRP],MATCH(tItens[[#This Row],[Edital]],tEditais[Edital],0)),"Não")</f>
        <v>Não</v>
      </c>
      <c r="P6501" s="4">
        <f>IF(COUNTIFS(INDEX(tItens[Edital],1):tItens[[#This Row],[Edital]],tItens[[#This Row],[Edital]],INDEX(tItens[Produto],1):tItens[[#This Row],[Produto]],tItens[[#This Row],[Produto]])=1,1,0)</f>
        <v>0</v>
      </c>
    </row>
    <row r="6502" spans="1:16" x14ac:dyDescent="0.25">
      <c r="A6502" t="s">
        <v>2334</v>
      </c>
      <c r="B6502">
        <v>18</v>
      </c>
      <c r="C6502" t="s">
        <v>9201</v>
      </c>
      <c r="D6502" t="s">
        <v>345</v>
      </c>
      <c r="E6502" s="13">
        <v>1000</v>
      </c>
      <c r="F6502" s="12">
        <v>33.5</v>
      </c>
      <c r="G6502" t="str">
        <f>IFERROR(INDEX(tEditais[Órgão],MATCH(tItens[[#This Row],[Edital]],tEditais[Edital],0)),"")</f>
        <v>MUNICIPIO DE CONCEICAO DE MACABU</v>
      </c>
      <c r="H6502" t="str">
        <f>IFERROR(INDEX(tEditais[UF],MATCH(tItens[[#This Row],[Edital]],tEditais[Edital],0)),"")</f>
        <v>RJ</v>
      </c>
      <c r="I6502" s="11">
        <f>IFERROR(INDEX(tEditais[Encerramento],MATCH(tItens[[#This Row],[Edital]],tEditais[Edital],0)),"")</f>
        <v>46310.416666666664</v>
      </c>
      <c r="J6502" t="str">
        <f>IFERROR(INDEX(tProdutos[Classe],MATCH(tItens[[#This Row],[Produto]],tProdutos[Produto],0)),"produto não cadastrado")</f>
        <v>FORA</v>
      </c>
      <c r="K6502" s="12">
        <f>tItens[[#This Row],[Qtd]]*tItens[[#This Row],[Vlr unit]]</f>
        <v>33500</v>
      </c>
      <c r="L6502" s="6">
        <f>IFERROR(IF(INDEX(tProdutos[Desconto homologado],MATCH(tItens[[#This Row],[Produto]],tProdutos[Produto],0))="",DescontoPadrao,INDEX(tProdutos[Desconto homologado],MATCH(tItens[[#This Row],[Produto]],tProdutos[Produto],0))),DescontoPadrao)</f>
        <v>0.412394275616498</v>
      </c>
      <c r="M6502" s="12">
        <f>tItens[[#This Row],[Valor]]*(1-tItens[[#This Row],[Desconto]])</f>
        <v>19684.791766847316</v>
      </c>
      <c r="N6502" t="str">
        <f>IFERROR(INDEX(tProdutos[Foco],MATCH(tItens[[#This Row],[Produto]],tProdutos[Produto],0)),"Não")</f>
        <v>Não</v>
      </c>
      <c r="O6502" t="str">
        <f>IFERROR(INDEX(tEditais[SRP],MATCH(tItens[[#This Row],[Edital]],tEditais[Edital],0)),"Não")</f>
        <v>Não</v>
      </c>
      <c r="P6502" s="4">
        <f>IF(COUNTIFS(INDEX(tItens[Edital],1):tItens[[#This Row],[Edital]],tItens[[#This Row],[Edital]],INDEX(tItens[Produto],1):tItens[[#This Row],[Produto]],tItens[[#This Row],[Produto]])=1,1,0)</f>
        <v>1</v>
      </c>
    </row>
    <row r="6503" spans="1:16" x14ac:dyDescent="0.25">
      <c r="A6503" t="s">
        <v>2334</v>
      </c>
      <c r="B6503">
        <v>20</v>
      </c>
      <c r="C6503" t="s">
        <v>9202</v>
      </c>
      <c r="D6503" t="s">
        <v>313</v>
      </c>
      <c r="E6503" s="13">
        <v>1000</v>
      </c>
      <c r="F6503" s="12">
        <v>18.920000000000002</v>
      </c>
      <c r="G6503" t="str">
        <f>IFERROR(INDEX(tEditais[Órgão],MATCH(tItens[[#This Row],[Edital]],tEditais[Edital],0)),"")</f>
        <v>MUNICIPIO DE CONCEICAO DE MACABU</v>
      </c>
      <c r="H6503" t="str">
        <f>IFERROR(INDEX(tEditais[UF],MATCH(tItens[[#This Row],[Edital]],tEditais[Edital],0)),"")</f>
        <v>RJ</v>
      </c>
      <c r="I6503" s="11">
        <f>IFERROR(INDEX(tEditais[Encerramento],MATCH(tItens[[#This Row],[Edital]],tEditais[Edital],0)),"")</f>
        <v>46310.416666666664</v>
      </c>
      <c r="J6503" t="str">
        <f>IFERROR(INDEX(tProdutos[Classe],MATCH(tItens[[#This Row],[Produto]],tProdutos[Produto],0)),"produto não cadastrado")</f>
        <v>FORA</v>
      </c>
      <c r="K6503" s="12">
        <f>tItens[[#This Row],[Qtd]]*tItens[[#This Row],[Vlr unit]]</f>
        <v>18920</v>
      </c>
      <c r="L6503" s="6">
        <f>IFERROR(IF(INDEX(tProdutos[Desconto homologado],MATCH(tItens[[#This Row],[Produto]],tProdutos[Produto],0))="",DescontoPadrao,INDEX(tProdutos[Desconto homologado],MATCH(tItens[[#This Row],[Produto]],tProdutos[Produto],0))),DescontoPadrao)</f>
        <v>0.35766373163696302</v>
      </c>
      <c r="M6503" s="12">
        <f>tItens[[#This Row],[Valor]]*(1-tItens[[#This Row],[Desconto]])</f>
        <v>12153.002197428659</v>
      </c>
      <c r="N6503" t="str">
        <f>IFERROR(INDEX(tProdutos[Foco],MATCH(tItens[[#This Row],[Produto]],tProdutos[Produto],0)),"Não")</f>
        <v>Não</v>
      </c>
      <c r="O6503" t="str">
        <f>IFERROR(INDEX(tEditais[SRP],MATCH(tItens[[#This Row],[Edital]],tEditais[Edital],0)),"Não")</f>
        <v>Não</v>
      </c>
      <c r="P6503" s="4">
        <f>IF(COUNTIFS(INDEX(tItens[Edital],1):tItens[[#This Row],[Edital]],tItens[[#This Row],[Edital]],INDEX(tItens[Produto],1):tItens[[#This Row],[Produto]],tItens[[#This Row],[Produto]])=1,1,0)</f>
        <v>1</v>
      </c>
    </row>
    <row r="6504" spans="1:16" x14ac:dyDescent="0.25">
      <c r="A6504" t="s">
        <v>2334</v>
      </c>
      <c r="B6504">
        <v>21</v>
      </c>
      <c r="C6504" t="s">
        <v>9203</v>
      </c>
      <c r="D6504" t="s">
        <v>313</v>
      </c>
      <c r="E6504" s="13">
        <v>1000</v>
      </c>
      <c r="F6504" s="12">
        <v>20.58</v>
      </c>
      <c r="G6504" t="str">
        <f>IFERROR(INDEX(tEditais[Órgão],MATCH(tItens[[#This Row],[Edital]],tEditais[Edital],0)),"")</f>
        <v>MUNICIPIO DE CONCEICAO DE MACABU</v>
      </c>
      <c r="H6504" t="str">
        <f>IFERROR(INDEX(tEditais[UF],MATCH(tItens[[#This Row],[Edital]],tEditais[Edital],0)),"")</f>
        <v>RJ</v>
      </c>
      <c r="I6504" s="11">
        <f>IFERROR(INDEX(tEditais[Encerramento],MATCH(tItens[[#This Row],[Edital]],tEditais[Edital],0)),"")</f>
        <v>46310.416666666664</v>
      </c>
      <c r="J6504" t="str">
        <f>IFERROR(INDEX(tProdutos[Classe],MATCH(tItens[[#This Row],[Produto]],tProdutos[Produto],0)),"produto não cadastrado")</f>
        <v>FORA</v>
      </c>
      <c r="K6504" s="12">
        <f>tItens[[#This Row],[Qtd]]*tItens[[#This Row],[Vlr unit]]</f>
        <v>20580</v>
      </c>
      <c r="L6504" s="6">
        <f>IFERROR(IF(INDEX(tProdutos[Desconto homologado],MATCH(tItens[[#This Row],[Produto]],tProdutos[Produto],0))="",DescontoPadrao,INDEX(tProdutos[Desconto homologado],MATCH(tItens[[#This Row],[Produto]],tProdutos[Produto],0))),DescontoPadrao)</f>
        <v>0.35766373163696302</v>
      </c>
      <c r="M6504" s="12">
        <f>tItens[[#This Row],[Valor]]*(1-tItens[[#This Row],[Desconto]])</f>
        <v>13219.280402911299</v>
      </c>
      <c r="N6504" t="str">
        <f>IFERROR(INDEX(tProdutos[Foco],MATCH(tItens[[#This Row],[Produto]],tProdutos[Produto],0)),"Não")</f>
        <v>Não</v>
      </c>
      <c r="O6504" t="str">
        <f>IFERROR(INDEX(tEditais[SRP],MATCH(tItens[[#This Row],[Edital]],tEditais[Edital],0)),"Não")</f>
        <v>Não</v>
      </c>
      <c r="P6504" s="4">
        <f>IF(COUNTIFS(INDEX(tItens[Edital],1):tItens[[#This Row],[Edital]],tItens[[#This Row],[Edital]],INDEX(tItens[Produto],1):tItens[[#This Row],[Produto]],tItens[[#This Row],[Produto]])=1,1,0)</f>
        <v>0</v>
      </c>
    </row>
    <row r="6505" spans="1:16" x14ac:dyDescent="0.25">
      <c r="A6505" t="s">
        <v>2339</v>
      </c>
      <c r="B6505">
        <v>6</v>
      </c>
      <c r="C6505" t="s">
        <v>3328</v>
      </c>
      <c r="D6505" t="s">
        <v>411</v>
      </c>
      <c r="E6505" s="13">
        <v>3</v>
      </c>
      <c r="F6505" s="12">
        <v>208.03</v>
      </c>
      <c r="G6505" t="str">
        <f>IFERROR(INDEX(tEditais[Órgão],MATCH(tItens[[#This Row],[Edital]],tEditais[Edital],0)),"")</f>
        <v>COMANDO DA MARINHA</v>
      </c>
      <c r="H6505" t="str">
        <f>IFERROR(INDEX(tEditais[UF],MATCH(tItens[[#This Row],[Edital]],tEditais[Edital],0)),"")</f>
        <v>RJ</v>
      </c>
      <c r="I6505" s="11">
        <f>IFERROR(INDEX(tEditais[Encerramento],MATCH(tItens[[#This Row],[Edital]],tEditais[Edital],0)),"")</f>
        <v>46310.416666666664</v>
      </c>
      <c r="J6505" t="str">
        <f>IFERROR(INDEX(tProdutos[Classe],MATCH(tItens[[#This Row],[Produto]],tProdutos[Produto],0)),"produto não cadastrado")</f>
        <v>FORA</v>
      </c>
      <c r="K6505" s="12">
        <f>tItens[[#This Row],[Qtd]]*tItens[[#This Row],[Vlr unit]]</f>
        <v>624.09</v>
      </c>
      <c r="L6505" s="6">
        <f>IFERROR(IF(INDEX(tProdutos[Desconto homologado],MATCH(tItens[[#This Row],[Produto]],tProdutos[Produto],0))="",DescontoPadrao,INDEX(tProdutos[Desconto homologado],MATCH(tItens[[#This Row],[Produto]],tProdutos[Produto],0))),DescontoPadrao)</f>
        <v>0.50029835957199398</v>
      </c>
      <c r="M6505" s="12">
        <f>tItens[[#This Row],[Valor]]*(1-tItens[[#This Row],[Desconto]])</f>
        <v>311.85879677471428</v>
      </c>
      <c r="N6505" t="str">
        <f>IFERROR(INDEX(tProdutos[Foco],MATCH(tItens[[#This Row],[Produto]],tProdutos[Produto],0)),"Não")</f>
        <v>Não</v>
      </c>
      <c r="O6505" t="str">
        <f>IFERROR(INDEX(tEditais[SRP],MATCH(tItens[[#This Row],[Edital]],tEditais[Edital],0)),"Não")</f>
        <v>Não</v>
      </c>
      <c r="P6505" s="4">
        <f>IF(COUNTIFS(INDEX(tItens[Edital],1):tItens[[#This Row],[Edital]],tItens[[#This Row],[Edital]],INDEX(tItens[Produto],1):tItens[[#This Row],[Produto]],tItens[[#This Row],[Produto]])=1,1,0)</f>
        <v>1</v>
      </c>
    </row>
    <row r="6506" spans="1:16" x14ac:dyDescent="0.25">
      <c r="A6506" t="s">
        <v>2339</v>
      </c>
      <c r="B6506">
        <v>7</v>
      </c>
      <c r="C6506" t="s">
        <v>8587</v>
      </c>
      <c r="D6506" t="s">
        <v>461</v>
      </c>
      <c r="E6506" s="13">
        <v>35</v>
      </c>
      <c r="F6506" s="12">
        <v>70.540000000000006</v>
      </c>
      <c r="G6506" t="str">
        <f>IFERROR(INDEX(tEditais[Órgão],MATCH(tItens[[#This Row],[Edital]],tEditais[Edital],0)),"")</f>
        <v>COMANDO DA MARINHA</v>
      </c>
      <c r="H6506" t="str">
        <f>IFERROR(INDEX(tEditais[UF],MATCH(tItens[[#This Row],[Edital]],tEditais[Edital],0)),"")</f>
        <v>RJ</v>
      </c>
      <c r="I6506" s="11">
        <f>IFERROR(INDEX(tEditais[Encerramento],MATCH(tItens[[#This Row],[Edital]],tEditais[Edital],0)),"")</f>
        <v>46310.416666666664</v>
      </c>
      <c r="J6506" t="str">
        <f>IFERROR(INDEX(tProdutos[Classe],MATCH(tItens[[#This Row],[Produto]],tProdutos[Produto],0)),"produto não cadastrado")</f>
        <v>FILA REBASE</v>
      </c>
      <c r="K6506" s="12">
        <f>tItens[[#This Row],[Qtd]]*tItens[[#This Row],[Vlr unit]]</f>
        <v>2468.9</v>
      </c>
      <c r="L6506" s="6">
        <f>IFERROR(IF(INDEX(tProdutos[Desconto homologado],MATCH(tItens[[#This Row],[Produto]],tProdutos[Produto],0))="",DescontoPadrao,INDEX(tProdutos[Desconto homologado],MATCH(tItens[[#This Row],[Produto]],tProdutos[Produto],0))),DescontoPadrao)</f>
        <v>0.44096385542168698</v>
      </c>
      <c r="M6506" s="12">
        <f>tItens[[#This Row],[Valor]]*(1-tItens[[#This Row],[Desconto]])</f>
        <v>1380.2043373493968</v>
      </c>
      <c r="N6506" t="str">
        <f>IFERROR(INDEX(tProdutos[Foco],MATCH(tItens[[#This Row],[Produto]],tProdutos[Produto],0)),"Não")</f>
        <v>Não</v>
      </c>
      <c r="O6506" t="str">
        <f>IFERROR(INDEX(tEditais[SRP],MATCH(tItens[[#This Row],[Edital]],tEditais[Edital],0)),"Não")</f>
        <v>Não</v>
      </c>
      <c r="P6506" s="4">
        <f>IF(COUNTIFS(INDEX(tItens[Edital],1):tItens[[#This Row],[Edital]],tItens[[#This Row],[Edital]],INDEX(tItens[Produto],1):tItens[[#This Row],[Produto]],tItens[[#This Row],[Produto]])=1,1,0)</f>
        <v>1</v>
      </c>
    </row>
    <row r="6507" spans="1:16" x14ac:dyDescent="0.25">
      <c r="A6507" t="s">
        <v>2339</v>
      </c>
      <c r="B6507">
        <v>8</v>
      </c>
      <c r="C6507" t="s">
        <v>9204</v>
      </c>
      <c r="D6507" t="s">
        <v>375</v>
      </c>
      <c r="E6507" s="13">
        <v>20</v>
      </c>
      <c r="F6507" s="12">
        <v>543.97</v>
      </c>
      <c r="G6507" t="str">
        <f>IFERROR(INDEX(tEditais[Órgão],MATCH(tItens[[#This Row],[Edital]],tEditais[Edital],0)),"")</f>
        <v>COMANDO DA MARINHA</v>
      </c>
      <c r="H6507" t="str">
        <f>IFERROR(INDEX(tEditais[UF],MATCH(tItens[[#This Row],[Edital]],tEditais[Edital],0)),"")</f>
        <v>RJ</v>
      </c>
      <c r="I6507" s="11">
        <f>IFERROR(INDEX(tEditais[Encerramento],MATCH(tItens[[#This Row],[Edital]],tEditais[Edital],0)),"")</f>
        <v>46310.416666666664</v>
      </c>
      <c r="J6507" t="str">
        <f>IFERROR(INDEX(tProdutos[Classe],MATCH(tItens[[#This Row],[Produto]],tProdutos[Produto],0)),"produto não cadastrado")</f>
        <v>FORA</v>
      </c>
      <c r="K6507" s="12">
        <f>tItens[[#This Row],[Qtd]]*tItens[[#This Row],[Vlr unit]]</f>
        <v>10879.400000000001</v>
      </c>
      <c r="L6507" s="6">
        <f>IFERROR(IF(INDEX(tProdutos[Desconto homologado],MATCH(tItens[[#This Row],[Produto]],tProdutos[Produto],0))="",DescontoPadrao,INDEX(tProdutos[Desconto homologado],MATCH(tItens[[#This Row],[Produto]],tProdutos[Produto],0))),DescontoPadrao)</f>
        <v>0.25005895299481201</v>
      </c>
      <c r="M6507" s="12">
        <f>tItens[[#This Row],[Valor]]*(1-tItens[[#This Row],[Desconto]])</f>
        <v>8158.9086267882431</v>
      </c>
      <c r="N6507" t="str">
        <f>IFERROR(INDEX(tProdutos[Foco],MATCH(tItens[[#This Row],[Produto]],tProdutos[Produto],0)),"Não")</f>
        <v>Não</v>
      </c>
      <c r="O6507" t="str">
        <f>IFERROR(INDEX(tEditais[SRP],MATCH(tItens[[#This Row],[Edital]],tEditais[Edital],0)),"Não")</f>
        <v>Não</v>
      </c>
      <c r="P6507" s="4">
        <f>IF(COUNTIFS(INDEX(tItens[Edital],1):tItens[[#This Row],[Edital]],tItens[[#This Row],[Edital]],INDEX(tItens[Produto],1):tItens[[#This Row],[Produto]],tItens[[#This Row],[Produto]])=1,1,0)</f>
        <v>1</v>
      </c>
    </row>
    <row r="6508" spans="1:16" x14ac:dyDescent="0.25">
      <c r="A6508" t="s">
        <v>2339</v>
      </c>
      <c r="B6508">
        <v>12</v>
      </c>
      <c r="C6508" t="s">
        <v>9205</v>
      </c>
      <c r="D6508" t="s">
        <v>461</v>
      </c>
      <c r="E6508" s="13">
        <v>1512</v>
      </c>
      <c r="F6508" s="12">
        <v>2.08</v>
      </c>
      <c r="G6508" t="str">
        <f>IFERROR(INDEX(tEditais[Órgão],MATCH(tItens[[#This Row],[Edital]],tEditais[Edital],0)),"")</f>
        <v>COMANDO DA MARINHA</v>
      </c>
      <c r="H6508" t="str">
        <f>IFERROR(INDEX(tEditais[UF],MATCH(tItens[[#This Row],[Edital]],tEditais[Edital],0)),"")</f>
        <v>RJ</v>
      </c>
      <c r="I6508" s="11">
        <f>IFERROR(INDEX(tEditais[Encerramento],MATCH(tItens[[#This Row],[Edital]],tEditais[Edital],0)),"")</f>
        <v>46310.416666666664</v>
      </c>
      <c r="J6508" t="str">
        <f>IFERROR(INDEX(tProdutos[Classe],MATCH(tItens[[#This Row],[Produto]],tProdutos[Produto],0)),"produto não cadastrado")</f>
        <v>FILA REBASE</v>
      </c>
      <c r="K6508" s="12">
        <f>tItens[[#This Row],[Qtd]]*tItens[[#This Row],[Vlr unit]]</f>
        <v>3144.96</v>
      </c>
      <c r="L6508" s="6">
        <f>IFERROR(IF(INDEX(tProdutos[Desconto homologado],MATCH(tItens[[#This Row],[Produto]],tProdutos[Produto],0))="",DescontoPadrao,INDEX(tProdutos[Desconto homologado],MATCH(tItens[[#This Row],[Produto]],tProdutos[Produto],0))),DescontoPadrao)</f>
        <v>0.44096385542168698</v>
      </c>
      <c r="M6508" s="12">
        <f>tItens[[#This Row],[Valor]]*(1-tItens[[#This Row],[Desconto]])</f>
        <v>1758.1463132530112</v>
      </c>
      <c r="N6508" t="str">
        <f>IFERROR(INDEX(tProdutos[Foco],MATCH(tItens[[#This Row],[Produto]],tProdutos[Produto],0)),"Não")</f>
        <v>Não</v>
      </c>
      <c r="O6508" t="str">
        <f>IFERROR(INDEX(tEditais[SRP],MATCH(tItens[[#This Row],[Edital]],tEditais[Edital],0)),"Não")</f>
        <v>Não</v>
      </c>
      <c r="P6508" s="4">
        <f>IF(COUNTIFS(INDEX(tItens[Edital],1):tItens[[#This Row],[Edital]],tItens[[#This Row],[Edital]],INDEX(tItens[Produto],1):tItens[[#This Row],[Produto]],tItens[[#This Row],[Produto]])=1,1,0)</f>
        <v>0</v>
      </c>
    </row>
    <row r="6509" spans="1:16" x14ac:dyDescent="0.25">
      <c r="A6509" t="s">
        <v>2342</v>
      </c>
      <c r="B6509">
        <v>58</v>
      </c>
      <c r="C6509" t="s">
        <v>3499</v>
      </c>
      <c r="D6509" t="s">
        <v>160</v>
      </c>
      <c r="E6509" s="13">
        <v>24</v>
      </c>
      <c r="F6509" s="12">
        <v>0</v>
      </c>
      <c r="G6509" t="str">
        <f>IFERROR(INDEX(tEditais[Órgão],MATCH(tItens[[#This Row],[Edital]],tEditais[Edital],0)),"")</f>
        <v>EMPRESA BRASILEIRA DE SERVICOS HOSPITALARES - EBSERH</v>
      </c>
      <c r="H6509" t="str">
        <f>IFERROR(INDEX(tEditais[UF],MATCH(tItens[[#This Row],[Edital]],tEditais[Edital],0)),"")</f>
        <v>RJ</v>
      </c>
      <c r="I6509" s="11">
        <f>IFERROR(INDEX(tEditais[Encerramento],MATCH(tItens[[#This Row],[Edital]],tEditais[Edital],0)),"")</f>
        <v>46310.416666666664</v>
      </c>
      <c r="J6509" t="str">
        <f>IFERROR(INDEX(tProdutos[Classe],MATCH(tItens[[#This Row],[Produto]],tProdutos[Produto],0)),"produto não cadastrado")</f>
        <v>DISPUTADO</v>
      </c>
      <c r="K6509" s="12">
        <f>tItens[[#This Row],[Qtd]]*tItens[[#This Row],[Vlr unit]]</f>
        <v>0</v>
      </c>
      <c r="L6509" s="6">
        <f>IFERROR(IF(INDEX(tProdutos[Desconto homologado],MATCH(tItens[[#This Row],[Produto]],tProdutos[Produto],0))="",DescontoPadrao,INDEX(tProdutos[Desconto homologado],MATCH(tItens[[#This Row],[Produto]],tProdutos[Produto],0))),DescontoPadrao)</f>
        <v>0.28000000000000003</v>
      </c>
      <c r="M6509" s="12">
        <f>tItens[[#This Row],[Valor]]*(1-tItens[[#This Row],[Desconto]])</f>
        <v>0</v>
      </c>
      <c r="N6509" t="str">
        <f>IFERROR(INDEX(tProdutos[Foco],MATCH(tItens[[#This Row],[Produto]],tProdutos[Produto],0)),"Não")</f>
        <v>Sim</v>
      </c>
      <c r="O6509" t="str">
        <f>IFERROR(INDEX(tEditais[SRP],MATCH(tItens[[#This Row],[Edital]],tEditais[Edital],0)),"Não")</f>
        <v>Não</v>
      </c>
      <c r="P6509" s="4">
        <f>IF(COUNTIFS(INDEX(tItens[Edital],1):tItens[[#This Row],[Edital]],tItens[[#This Row],[Edital]],INDEX(tItens[Produto],1):tItens[[#This Row],[Produto]],tItens[[#This Row],[Produto]])=1,1,0)</f>
        <v>1</v>
      </c>
    </row>
    <row r="6510" spans="1:16" x14ac:dyDescent="0.25">
      <c r="A6510" t="s">
        <v>2345</v>
      </c>
      <c r="B6510">
        <v>1</v>
      </c>
      <c r="C6510" t="s">
        <v>9206</v>
      </c>
      <c r="D6510" t="s">
        <v>409</v>
      </c>
      <c r="E6510" s="13">
        <v>10</v>
      </c>
      <c r="F6510" s="12">
        <v>27.16</v>
      </c>
      <c r="G6510" t="str">
        <f>IFERROR(INDEX(tEditais[Órgão],MATCH(tItens[[#This Row],[Edital]],tEditais[Edital],0)),"")</f>
        <v>COMANDO DA MARINHA</v>
      </c>
      <c r="H6510" t="str">
        <f>IFERROR(INDEX(tEditais[UF],MATCH(tItens[[#This Row],[Edital]],tEditais[Edital],0)),"")</f>
        <v>RJ</v>
      </c>
      <c r="I6510" s="11">
        <f>IFERROR(INDEX(tEditais[Encerramento],MATCH(tItens[[#This Row],[Edital]],tEditais[Edital],0)),"")</f>
        <v>46310.5</v>
      </c>
      <c r="J6510" t="str">
        <f>IFERROR(INDEX(tProdutos[Classe],MATCH(tItens[[#This Row],[Produto]],tProdutos[Produto],0)),"produto não cadastrado")</f>
        <v>FORA</v>
      </c>
      <c r="K6510" s="12">
        <f>tItens[[#This Row],[Qtd]]*tItens[[#This Row],[Vlr unit]]</f>
        <v>271.60000000000002</v>
      </c>
      <c r="L6510" s="6">
        <f>IFERROR(IF(INDEX(tProdutos[Desconto homologado],MATCH(tItens[[#This Row],[Produto]],tProdutos[Produto],0))="",DescontoPadrao,INDEX(tProdutos[Desconto homologado],MATCH(tItens[[#This Row],[Produto]],tProdutos[Produto],0))),DescontoPadrao)</f>
        <v>0.24924924924924899</v>
      </c>
      <c r="M6510" s="12">
        <f>tItens[[#This Row],[Valor]]*(1-tItens[[#This Row],[Desconto]])</f>
        <v>203.90390390390399</v>
      </c>
      <c r="N6510" t="str">
        <f>IFERROR(INDEX(tProdutos[Foco],MATCH(tItens[[#This Row],[Produto]],tProdutos[Produto],0)),"Não")</f>
        <v>Não</v>
      </c>
      <c r="O6510" t="str">
        <f>IFERROR(INDEX(tEditais[SRP],MATCH(tItens[[#This Row],[Edital]],tEditais[Edital],0)),"Não")</f>
        <v>Não</v>
      </c>
      <c r="P6510" s="4">
        <f>IF(COUNTIFS(INDEX(tItens[Edital],1):tItens[[#This Row],[Edital]],tItens[[#This Row],[Edital]],INDEX(tItens[Produto],1):tItens[[#This Row],[Produto]],tItens[[#This Row],[Produto]])=1,1,0)</f>
        <v>1</v>
      </c>
    </row>
    <row r="6511" spans="1:16" x14ac:dyDescent="0.25">
      <c r="A6511" t="s">
        <v>2345</v>
      </c>
      <c r="B6511">
        <v>2</v>
      </c>
      <c r="C6511" t="s">
        <v>9207</v>
      </c>
      <c r="D6511" t="s">
        <v>311</v>
      </c>
      <c r="E6511" s="13">
        <v>15</v>
      </c>
      <c r="F6511" s="12">
        <v>11.46</v>
      </c>
      <c r="G6511" t="str">
        <f>IFERROR(INDEX(tEditais[Órgão],MATCH(tItens[[#This Row],[Edital]],tEditais[Edital],0)),"")</f>
        <v>COMANDO DA MARINHA</v>
      </c>
      <c r="H6511" t="str">
        <f>IFERROR(INDEX(tEditais[UF],MATCH(tItens[[#This Row],[Edital]],tEditais[Edital],0)),"")</f>
        <v>RJ</v>
      </c>
      <c r="I6511" s="11">
        <f>IFERROR(INDEX(tEditais[Encerramento],MATCH(tItens[[#This Row],[Edital]],tEditais[Edital],0)),"")</f>
        <v>46310.5</v>
      </c>
      <c r="J6511" t="str">
        <f>IFERROR(INDEX(tProdutos[Classe],MATCH(tItens[[#This Row],[Produto]],tProdutos[Produto],0)),"produto não cadastrado")</f>
        <v>FORA</v>
      </c>
      <c r="K6511" s="12">
        <f>tItens[[#This Row],[Qtd]]*tItens[[#This Row],[Vlr unit]]</f>
        <v>171.9</v>
      </c>
      <c r="L6511" s="6">
        <f>IFERROR(IF(INDEX(tProdutos[Desconto homologado],MATCH(tItens[[#This Row],[Produto]],tProdutos[Produto],0))="",DescontoPadrao,INDEX(tProdutos[Desconto homologado],MATCH(tItens[[#This Row],[Produto]],tProdutos[Produto],0))),DescontoPadrao)</f>
        <v>0.29046182846371399</v>
      </c>
      <c r="M6511" s="12">
        <f>tItens[[#This Row],[Valor]]*(1-tItens[[#This Row],[Desconto]])</f>
        <v>121.96961168708758</v>
      </c>
      <c r="N6511" t="str">
        <f>IFERROR(INDEX(tProdutos[Foco],MATCH(tItens[[#This Row],[Produto]],tProdutos[Produto],0)),"Não")</f>
        <v>Não</v>
      </c>
      <c r="O6511" t="str">
        <f>IFERROR(INDEX(tEditais[SRP],MATCH(tItens[[#This Row],[Edital]],tEditais[Edital],0)),"Não")</f>
        <v>Não</v>
      </c>
      <c r="P6511" s="4">
        <f>IF(COUNTIFS(INDEX(tItens[Edital],1):tItens[[#This Row],[Edital]],tItens[[#This Row],[Edital]],INDEX(tItens[Produto],1):tItens[[#This Row],[Produto]],tItens[[#This Row],[Produto]])=1,1,0)</f>
        <v>1</v>
      </c>
    </row>
    <row r="6512" spans="1:16" x14ac:dyDescent="0.25">
      <c r="A6512" t="s">
        <v>2348</v>
      </c>
      <c r="B6512">
        <v>1</v>
      </c>
      <c r="C6512" t="s">
        <v>9208</v>
      </c>
      <c r="D6512" t="s">
        <v>184</v>
      </c>
      <c r="E6512" s="13">
        <v>18</v>
      </c>
      <c r="F6512" s="12">
        <v>3.86</v>
      </c>
      <c r="G6512" t="str">
        <f>IFERROR(INDEX(tEditais[Órgão],MATCH(tItens[[#This Row],[Edital]],tEditais[Edital],0)),"")</f>
        <v>MUNICIPIO DE RIO DE JANEIRO</v>
      </c>
      <c r="H6512" t="str">
        <f>IFERROR(INDEX(tEditais[UF],MATCH(tItens[[#This Row],[Edital]],tEditais[Edital],0)),"")</f>
        <v>RJ</v>
      </c>
      <c r="I6512" s="11">
        <f>IFERROR(INDEX(tEditais[Encerramento],MATCH(tItens[[#This Row],[Edital]],tEditais[Edital],0)),"")</f>
        <v>46310.5</v>
      </c>
      <c r="J6512" t="str">
        <f>IFERROR(INDEX(tProdutos[Classe],MATCH(tItens[[#This Row],[Produto]],tProdutos[Produto],0)),"produto não cadastrado")</f>
        <v>FORA</v>
      </c>
      <c r="K6512" s="12">
        <f>tItens[[#This Row],[Qtd]]*tItens[[#This Row],[Vlr unit]]</f>
        <v>69.48</v>
      </c>
      <c r="L6512" s="6">
        <f>IFERROR(IF(INDEX(tProdutos[Desconto homologado],MATCH(tItens[[#This Row],[Produto]],tProdutos[Produto],0))="",DescontoPadrao,INDEX(tProdutos[Desconto homologado],MATCH(tItens[[#This Row],[Produto]],tProdutos[Produto],0))),DescontoPadrao)</f>
        <v>0.363567906332742</v>
      </c>
      <c r="M6512" s="12">
        <f>tItens[[#This Row],[Valor]]*(1-tItens[[#This Row],[Desconto]])</f>
        <v>44.219301868001089</v>
      </c>
      <c r="N6512" t="str">
        <f>IFERROR(INDEX(tProdutos[Foco],MATCH(tItens[[#This Row],[Produto]],tProdutos[Produto],0)),"Não")</f>
        <v>Não</v>
      </c>
      <c r="O6512" t="str">
        <f>IFERROR(INDEX(tEditais[SRP],MATCH(tItens[[#This Row],[Edital]],tEditais[Edital],0)),"Não")</f>
        <v>Não</v>
      </c>
      <c r="P6512" s="4">
        <f>IF(COUNTIFS(INDEX(tItens[Edital],1):tItens[[#This Row],[Edital]],tItens[[#This Row],[Edital]],INDEX(tItens[Produto],1):tItens[[#This Row],[Produto]],tItens[[#This Row],[Produto]])=1,1,0)</f>
        <v>1</v>
      </c>
    </row>
    <row r="6513" spans="1:16" x14ac:dyDescent="0.25">
      <c r="A6513" t="s">
        <v>2348</v>
      </c>
      <c r="B6513">
        <v>2</v>
      </c>
      <c r="C6513" t="s">
        <v>4166</v>
      </c>
      <c r="D6513" t="s">
        <v>184</v>
      </c>
      <c r="E6513" s="13">
        <v>18</v>
      </c>
      <c r="F6513" s="12">
        <v>4.12</v>
      </c>
      <c r="G6513" t="str">
        <f>IFERROR(INDEX(tEditais[Órgão],MATCH(tItens[[#This Row],[Edital]],tEditais[Edital],0)),"")</f>
        <v>MUNICIPIO DE RIO DE JANEIRO</v>
      </c>
      <c r="H6513" t="str">
        <f>IFERROR(INDEX(tEditais[UF],MATCH(tItens[[#This Row],[Edital]],tEditais[Edital],0)),"")</f>
        <v>RJ</v>
      </c>
      <c r="I6513" s="11">
        <f>IFERROR(INDEX(tEditais[Encerramento],MATCH(tItens[[#This Row],[Edital]],tEditais[Edital],0)),"")</f>
        <v>46310.5</v>
      </c>
      <c r="J6513" t="str">
        <f>IFERROR(INDEX(tProdutos[Classe],MATCH(tItens[[#This Row],[Produto]],tProdutos[Produto],0)),"produto não cadastrado")</f>
        <v>FORA</v>
      </c>
      <c r="K6513" s="12">
        <f>tItens[[#This Row],[Qtd]]*tItens[[#This Row],[Vlr unit]]</f>
        <v>74.16</v>
      </c>
      <c r="L6513" s="6">
        <f>IFERROR(IF(INDEX(tProdutos[Desconto homologado],MATCH(tItens[[#This Row],[Produto]],tProdutos[Produto],0))="",DescontoPadrao,INDEX(tProdutos[Desconto homologado],MATCH(tItens[[#This Row],[Produto]],tProdutos[Produto],0))),DescontoPadrao)</f>
        <v>0.363567906332742</v>
      </c>
      <c r="M6513" s="12">
        <f>tItens[[#This Row],[Valor]]*(1-tItens[[#This Row],[Desconto]])</f>
        <v>47.197804066363858</v>
      </c>
      <c r="N6513" t="str">
        <f>IFERROR(INDEX(tProdutos[Foco],MATCH(tItens[[#This Row],[Produto]],tProdutos[Produto],0)),"Não")</f>
        <v>Não</v>
      </c>
      <c r="O6513" t="str">
        <f>IFERROR(INDEX(tEditais[SRP],MATCH(tItens[[#This Row],[Edital]],tEditais[Edital],0)),"Não")</f>
        <v>Não</v>
      </c>
      <c r="P6513" s="4">
        <f>IF(COUNTIFS(INDEX(tItens[Edital],1):tItens[[#This Row],[Edital]],tItens[[#This Row],[Edital]],INDEX(tItens[Produto],1):tItens[[#This Row],[Produto]],tItens[[#This Row],[Produto]])=1,1,0)</f>
        <v>0</v>
      </c>
    </row>
    <row r="6514" spans="1:16" x14ac:dyDescent="0.25">
      <c r="A6514" t="s">
        <v>2348</v>
      </c>
      <c r="B6514">
        <v>3</v>
      </c>
      <c r="C6514" t="s">
        <v>9209</v>
      </c>
      <c r="D6514" t="s">
        <v>69</v>
      </c>
      <c r="E6514" s="13">
        <v>126019</v>
      </c>
      <c r="F6514" s="12">
        <v>0.95</v>
      </c>
      <c r="G6514" t="str">
        <f>IFERROR(INDEX(tEditais[Órgão],MATCH(tItens[[#This Row],[Edital]],tEditais[Edital],0)),"")</f>
        <v>MUNICIPIO DE RIO DE JANEIRO</v>
      </c>
      <c r="H6514" t="str">
        <f>IFERROR(INDEX(tEditais[UF],MATCH(tItens[[#This Row],[Edital]],tEditais[Edital],0)),"")</f>
        <v>RJ</v>
      </c>
      <c r="I6514" s="11">
        <f>IFERROR(INDEX(tEditais[Encerramento],MATCH(tItens[[#This Row],[Edital]],tEditais[Edital],0)),"")</f>
        <v>46310.5</v>
      </c>
      <c r="J6514" t="str">
        <f>IFERROR(INDEX(tProdutos[Classe],MATCH(tItens[[#This Row],[Produto]],tProdutos[Produto],0)),"produto não cadastrado")</f>
        <v>NÚCLEO</v>
      </c>
      <c r="K6514" s="12">
        <f>tItens[[#This Row],[Qtd]]*tItens[[#This Row],[Vlr unit]]</f>
        <v>119718.04999999999</v>
      </c>
      <c r="L6514" s="6">
        <f>IFERROR(IF(INDEX(tProdutos[Desconto homologado],MATCH(tItens[[#This Row],[Produto]],tProdutos[Produto],0))="",DescontoPadrao,INDEX(tProdutos[Desconto homologado],MATCH(tItens[[#This Row],[Produto]],tProdutos[Produto],0))),DescontoPadrao)</f>
        <v>0.38829259638568803</v>
      </c>
      <c r="M6514" s="12">
        <f>tItens[[#This Row],[Valor]]*(1-tItens[[#This Row],[Desconto]])</f>
        <v>73232.41753126838</v>
      </c>
      <c r="N6514" t="str">
        <f>IFERROR(INDEX(tProdutos[Foco],MATCH(tItens[[#This Row],[Produto]],tProdutos[Produto],0)),"Não")</f>
        <v>Não</v>
      </c>
      <c r="O6514" t="str">
        <f>IFERROR(INDEX(tEditais[SRP],MATCH(tItens[[#This Row],[Edital]],tEditais[Edital],0)),"Não")</f>
        <v>Não</v>
      </c>
      <c r="P6514" s="4">
        <f>IF(COUNTIFS(INDEX(tItens[Edital],1):tItens[[#This Row],[Edital]],tItens[[#This Row],[Edital]],INDEX(tItens[Produto],1):tItens[[#This Row],[Produto]],tItens[[#This Row],[Produto]])=1,1,0)</f>
        <v>1</v>
      </c>
    </row>
    <row r="6515" spans="1:16" x14ac:dyDescent="0.25">
      <c r="A6515" t="s">
        <v>2348</v>
      </c>
      <c r="B6515">
        <v>4</v>
      </c>
      <c r="C6515" t="s">
        <v>6975</v>
      </c>
      <c r="D6515" t="s">
        <v>333</v>
      </c>
      <c r="E6515" s="13">
        <v>1980</v>
      </c>
      <c r="F6515" s="12">
        <v>1.31</v>
      </c>
      <c r="G6515" t="str">
        <f>IFERROR(INDEX(tEditais[Órgão],MATCH(tItens[[#This Row],[Edital]],tEditais[Edital],0)),"")</f>
        <v>MUNICIPIO DE RIO DE JANEIRO</v>
      </c>
      <c r="H6515" t="str">
        <f>IFERROR(INDEX(tEditais[UF],MATCH(tItens[[#This Row],[Edital]],tEditais[Edital],0)),"")</f>
        <v>RJ</v>
      </c>
      <c r="I6515" s="11">
        <f>IFERROR(INDEX(tEditais[Encerramento],MATCH(tItens[[#This Row],[Edital]],tEditais[Edital],0)),"")</f>
        <v>46310.5</v>
      </c>
      <c r="J6515" t="str">
        <f>IFERROR(INDEX(tProdutos[Classe],MATCH(tItens[[#This Row],[Produto]],tProdutos[Produto],0)),"produto não cadastrado")</f>
        <v>FORA</v>
      </c>
      <c r="K6515" s="12">
        <f>tItens[[#This Row],[Qtd]]*tItens[[#This Row],[Vlr unit]]</f>
        <v>2593.8000000000002</v>
      </c>
      <c r="L6515" s="6">
        <f>IFERROR(IF(INDEX(tProdutos[Desconto homologado],MATCH(tItens[[#This Row],[Produto]],tProdutos[Produto],0))="",DescontoPadrao,INDEX(tProdutos[Desconto homologado],MATCH(tItens[[#This Row],[Produto]],tProdutos[Produto],0))),DescontoPadrao)</f>
        <v>0.48951048951048998</v>
      </c>
      <c r="M6515" s="12">
        <f>tItens[[#This Row],[Valor]]*(1-tItens[[#This Row],[Desconto]])</f>
        <v>1324.107692307691</v>
      </c>
      <c r="N6515" t="str">
        <f>IFERROR(INDEX(tProdutos[Foco],MATCH(tItens[[#This Row],[Produto]],tProdutos[Produto],0)),"Não")</f>
        <v>Não</v>
      </c>
      <c r="O6515" t="str">
        <f>IFERROR(INDEX(tEditais[SRP],MATCH(tItens[[#This Row],[Edital]],tEditais[Edital],0)),"Não")</f>
        <v>Não</v>
      </c>
      <c r="P6515" s="4">
        <f>IF(COUNTIFS(INDEX(tItens[Edital],1):tItens[[#This Row],[Edital]],tItens[[#This Row],[Edital]],INDEX(tItens[Produto],1):tItens[[#This Row],[Produto]],tItens[[#This Row],[Produto]])=1,1,0)</f>
        <v>1</v>
      </c>
    </row>
    <row r="6516" spans="1:16" x14ac:dyDescent="0.25">
      <c r="A6516" t="s">
        <v>2348</v>
      </c>
      <c r="B6516">
        <v>5</v>
      </c>
      <c r="C6516" t="s">
        <v>4146</v>
      </c>
      <c r="D6516" t="s">
        <v>180</v>
      </c>
      <c r="E6516" s="13">
        <v>1080</v>
      </c>
      <c r="F6516" s="12">
        <v>1.47</v>
      </c>
      <c r="G6516" t="str">
        <f>IFERROR(INDEX(tEditais[Órgão],MATCH(tItens[[#This Row],[Edital]],tEditais[Edital],0)),"")</f>
        <v>MUNICIPIO DE RIO DE JANEIRO</v>
      </c>
      <c r="H6516" t="str">
        <f>IFERROR(INDEX(tEditais[UF],MATCH(tItens[[#This Row],[Edital]],tEditais[Edital],0)),"")</f>
        <v>RJ</v>
      </c>
      <c r="I6516" s="11">
        <f>IFERROR(INDEX(tEditais[Encerramento],MATCH(tItens[[#This Row],[Edital]],tEditais[Edital],0)),"")</f>
        <v>46310.5</v>
      </c>
      <c r="J6516" t="str">
        <f>IFERROR(INDEX(tProdutos[Classe],MATCH(tItens[[#This Row],[Produto]],tProdutos[Produto],0)),"produto não cadastrado")</f>
        <v>DISPUTADO</v>
      </c>
      <c r="K6516" s="12">
        <f>tItens[[#This Row],[Qtd]]*tItens[[#This Row],[Vlr unit]]</f>
        <v>1587.6</v>
      </c>
      <c r="L6516" s="6">
        <f>IFERROR(IF(INDEX(tProdutos[Desconto homologado],MATCH(tItens[[#This Row],[Produto]],tProdutos[Produto],0))="",DescontoPadrao,INDEX(tProdutos[Desconto homologado],MATCH(tItens[[#This Row],[Produto]],tProdutos[Produto],0))),DescontoPadrao)</f>
        <v>0.33333333333333298</v>
      </c>
      <c r="M6516" s="12">
        <f>tItens[[#This Row],[Valor]]*(1-tItens[[#This Row],[Desconto]])</f>
        <v>1058.4000000000003</v>
      </c>
      <c r="N6516" t="str">
        <f>IFERROR(INDEX(tProdutos[Foco],MATCH(tItens[[#This Row],[Produto]],tProdutos[Produto],0)),"Não")</f>
        <v>Não</v>
      </c>
      <c r="O6516" t="str">
        <f>IFERROR(INDEX(tEditais[SRP],MATCH(tItens[[#This Row],[Edital]],tEditais[Edital],0)),"Não")</f>
        <v>Não</v>
      </c>
      <c r="P6516" s="4">
        <f>IF(COUNTIFS(INDEX(tItens[Edital],1):tItens[[#This Row],[Edital]],tItens[[#This Row],[Edital]],INDEX(tItens[Produto],1):tItens[[#This Row],[Produto]],tItens[[#This Row],[Produto]])=1,1,0)</f>
        <v>1</v>
      </c>
    </row>
    <row r="6517" spans="1:16" x14ac:dyDescent="0.25">
      <c r="A6517" t="s">
        <v>2351</v>
      </c>
      <c r="B6517">
        <v>1</v>
      </c>
      <c r="C6517" t="s">
        <v>9210</v>
      </c>
      <c r="D6517" t="s">
        <v>345</v>
      </c>
      <c r="E6517" s="13">
        <v>2160</v>
      </c>
      <c r="F6517" s="12">
        <v>2.52</v>
      </c>
      <c r="G6517" t="str">
        <f>IFERROR(INDEX(tEditais[Órgão],MATCH(tItens[[#This Row],[Edital]],tEditais[Edital],0)),"")</f>
        <v>MUNICIPIO DE PIRAI</v>
      </c>
      <c r="H6517" t="str">
        <f>IFERROR(INDEX(tEditais[UF],MATCH(tItens[[#This Row],[Edital]],tEditais[Edital],0)),"")</f>
        <v>RJ</v>
      </c>
      <c r="I6517" s="11">
        <f>IFERROR(INDEX(tEditais[Encerramento],MATCH(tItens[[#This Row],[Edital]],tEditais[Edital],0)),"")</f>
        <v>46310.5</v>
      </c>
      <c r="J6517" t="str">
        <f>IFERROR(INDEX(tProdutos[Classe],MATCH(tItens[[#This Row],[Produto]],tProdutos[Produto],0)),"produto não cadastrado")</f>
        <v>FORA</v>
      </c>
      <c r="K6517" s="12">
        <f>tItens[[#This Row],[Qtd]]*tItens[[#This Row],[Vlr unit]]</f>
        <v>5443.2</v>
      </c>
      <c r="L6517" s="6">
        <f>IFERROR(IF(INDEX(tProdutos[Desconto homologado],MATCH(tItens[[#This Row],[Produto]],tProdutos[Produto],0))="",DescontoPadrao,INDEX(tProdutos[Desconto homologado],MATCH(tItens[[#This Row],[Produto]],tProdutos[Produto],0))),DescontoPadrao)</f>
        <v>0.412394275616498</v>
      </c>
      <c r="M6517" s="12">
        <f>tItens[[#This Row],[Valor]]*(1-tItens[[#This Row],[Desconto]])</f>
        <v>3198.455478964278</v>
      </c>
      <c r="N6517" t="str">
        <f>IFERROR(INDEX(tProdutos[Foco],MATCH(tItens[[#This Row],[Produto]],tProdutos[Produto],0)),"Não")</f>
        <v>Não</v>
      </c>
      <c r="O6517" t="str">
        <f>IFERROR(INDEX(tEditais[SRP],MATCH(tItens[[#This Row],[Edital]],tEditais[Edital],0)),"Não")</f>
        <v>Não</v>
      </c>
      <c r="P6517" s="4">
        <f>IF(COUNTIFS(INDEX(tItens[Edital],1):tItens[[#This Row],[Edital]],tItens[[#This Row],[Edital]],INDEX(tItens[Produto],1):tItens[[#This Row],[Produto]],tItens[[#This Row],[Produto]])=1,1,0)</f>
        <v>1</v>
      </c>
    </row>
    <row r="6518" spans="1:16" x14ac:dyDescent="0.25">
      <c r="A6518" t="s">
        <v>2355</v>
      </c>
      <c r="B6518">
        <v>8</v>
      </c>
      <c r="C6518" t="s">
        <v>9211</v>
      </c>
      <c r="D6518" t="s">
        <v>140</v>
      </c>
      <c r="E6518" s="13">
        <v>24</v>
      </c>
      <c r="F6518" s="12">
        <v>20.37</v>
      </c>
      <c r="G6518" t="str">
        <f>IFERROR(INDEX(tEditais[Órgão],MATCH(tItens[[#This Row],[Edital]],tEditais[Edital],0)),"")</f>
        <v>UNIVERSIDADE FEDERAL DO RIO DE JANEIRO</v>
      </c>
      <c r="H6518" t="str">
        <f>IFERROR(INDEX(tEditais[UF],MATCH(tItens[[#This Row],[Edital]],tEditais[Edital],0)),"")</f>
        <v>RJ</v>
      </c>
      <c r="I6518" s="11">
        <f>IFERROR(INDEX(tEditais[Encerramento],MATCH(tItens[[#This Row],[Edital]],tEditais[Edital],0)),"")</f>
        <v>46311.333333333336</v>
      </c>
      <c r="J6518" t="str">
        <f>IFERROR(INDEX(tProdutos[Classe],MATCH(tItens[[#This Row],[Produto]],tProdutos[Produto],0)),"produto não cadastrado")</f>
        <v>DISPUTADO</v>
      </c>
      <c r="K6518" s="12">
        <f>tItens[[#This Row],[Qtd]]*tItens[[#This Row],[Vlr unit]]</f>
        <v>488.88</v>
      </c>
      <c r="L6518" s="6">
        <f>IFERROR(IF(INDEX(tProdutos[Desconto homologado],MATCH(tItens[[#This Row],[Produto]],tProdutos[Produto],0))="",DescontoPadrao,INDEX(tProdutos[Desconto homologado],MATCH(tItens[[#This Row],[Produto]],tProdutos[Produto],0))),DescontoPadrao)</f>
        <v>0.48560177208958899</v>
      </c>
      <c r="M6518" s="12">
        <f>tItens[[#This Row],[Valor]]*(1-tItens[[#This Row],[Desconto]])</f>
        <v>251.47900566084172</v>
      </c>
      <c r="N6518" t="str">
        <f>IFERROR(INDEX(tProdutos[Foco],MATCH(tItens[[#This Row],[Produto]],tProdutos[Produto],0)),"Não")</f>
        <v>Não</v>
      </c>
      <c r="O6518" t="str">
        <f>IFERROR(INDEX(tEditais[SRP],MATCH(tItens[[#This Row],[Edital]],tEditais[Edital],0)),"Não")</f>
        <v>Não</v>
      </c>
      <c r="P6518" s="4">
        <f>IF(COUNTIFS(INDEX(tItens[Edital],1):tItens[[#This Row],[Edital]],tItens[[#This Row],[Edital]],INDEX(tItens[Produto],1):tItens[[#This Row],[Produto]],tItens[[#This Row],[Produto]])=1,1,0)</f>
        <v>1</v>
      </c>
    </row>
    <row r="6519" spans="1:16" x14ac:dyDescent="0.25">
      <c r="A6519" t="s">
        <v>2358</v>
      </c>
      <c r="B6519">
        <v>6</v>
      </c>
      <c r="C6519" t="s">
        <v>9212</v>
      </c>
      <c r="D6519" t="s">
        <v>566</v>
      </c>
      <c r="E6519" s="13">
        <v>8</v>
      </c>
      <c r="F6519" s="12">
        <v>438.5</v>
      </c>
      <c r="G6519" t="str">
        <f>IFERROR(INDEX(tEditais[Órgão],MATCH(tItens[[#This Row],[Edital]],tEditais[Edital],0)),"")</f>
        <v>FUNDO MUNICIPAL DE SAUDE PMVR SMS</v>
      </c>
      <c r="H6519" t="str">
        <f>IFERROR(INDEX(tEditais[UF],MATCH(tItens[[#This Row],[Edital]],tEditais[Edital],0)),"")</f>
        <v>RJ</v>
      </c>
      <c r="I6519" s="11">
        <f>IFERROR(INDEX(tEditais[Encerramento],MATCH(tItens[[#This Row],[Edital]],tEditais[Edital],0)),"")</f>
        <v>46311.333333333336</v>
      </c>
      <c r="J6519" t="str">
        <f>IFERROR(INDEX(tProdutos[Classe],MATCH(tItens[[#This Row],[Produto]],tProdutos[Produto],0)),"produto não cadastrado")</f>
        <v>FILA REBASE</v>
      </c>
      <c r="K6519" s="12">
        <f>tItens[[#This Row],[Qtd]]*tItens[[#This Row],[Vlr unit]]</f>
        <v>3508</v>
      </c>
      <c r="L6519" s="6">
        <f>IFERROR(IF(INDEX(tProdutos[Desconto homologado],MATCH(tItens[[#This Row],[Produto]],tProdutos[Produto],0))="",DescontoPadrao,INDEX(tProdutos[Desconto homologado],MATCH(tItens[[#This Row],[Produto]],tProdutos[Produto],0))),DescontoPadrao)</f>
        <v>0.1816062551698</v>
      </c>
      <c r="M6519" s="12">
        <f>tItens[[#This Row],[Valor]]*(1-tItens[[#This Row],[Desconto]])</f>
        <v>2870.9252568643415</v>
      </c>
      <c r="N6519" t="str">
        <f>IFERROR(INDEX(tProdutos[Foco],MATCH(tItens[[#This Row],[Produto]],tProdutos[Produto],0)),"Não")</f>
        <v>Não</v>
      </c>
      <c r="O6519" t="str">
        <f>IFERROR(INDEX(tEditais[SRP],MATCH(tItens[[#This Row],[Edital]],tEditais[Edital],0)),"Não")</f>
        <v>Sim</v>
      </c>
      <c r="P6519" s="4">
        <f>IF(COUNTIFS(INDEX(tItens[Edital],1):tItens[[#This Row],[Edital]],tItens[[#This Row],[Edital]],INDEX(tItens[Produto],1):tItens[[#This Row],[Produto]],tItens[[#This Row],[Produto]])=1,1,0)</f>
        <v>1</v>
      </c>
    </row>
    <row r="6520" spans="1:16" x14ac:dyDescent="0.25">
      <c r="A6520" t="s">
        <v>2358</v>
      </c>
      <c r="B6520">
        <v>56</v>
      </c>
      <c r="C6520" t="s">
        <v>9213</v>
      </c>
      <c r="D6520" t="s">
        <v>273</v>
      </c>
      <c r="E6520" s="13">
        <v>2</v>
      </c>
      <c r="F6520" s="12">
        <v>24818.62</v>
      </c>
      <c r="G6520" t="str">
        <f>IFERROR(INDEX(tEditais[Órgão],MATCH(tItens[[#This Row],[Edital]],tEditais[Edital],0)),"")</f>
        <v>FUNDO MUNICIPAL DE SAUDE PMVR SMS</v>
      </c>
      <c r="H6520" t="str">
        <f>IFERROR(INDEX(tEditais[UF],MATCH(tItens[[#This Row],[Edital]],tEditais[Edital],0)),"")</f>
        <v>RJ</v>
      </c>
      <c r="I6520" s="11">
        <f>IFERROR(INDEX(tEditais[Encerramento],MATCH(tItens[[#This Row],[Edital]],tEditais[Edital],0)),"")</f>
        <v>46311.333333333336</v>
      </c>
      <c r="J6520" t="str">
        <f>IFERROR(INDEX(tProdutos[Classe],MATCH(tItens[[#This Row],[Produto]],tProdutos[Produto],0)),"produto não cadastrado")</f>
        <v>FORA</v>
      </c>
      <c r="K6520" s="12">
        <f>tItens[[#This Row],[Qtd]]*tItens[[#This Row],[Vlr unit]]</f>
        <v>49637.24</v>
      </c>
      <c r="L6520" s="6">
        <f>IFERROR(IF(INDEX(tProdutos[Desconto homologado],MATCH(tItens[[#This Row],[Produto]],tProdutos[Produto],0))="",DescontoPadrao,INDEX(tProdutos[Desconto homologado],MATCH(tItens[[#This Row],[Produto]],tProdutos[Produto],0))),DescontoPadrao)</f>
        <v>0.33168166649812902</v>
      </c>
      <c r="M6520" s="12">
        <f>tItens[[#This Row],[Valor]]*(1-tItens[[#This Row],[Desconto]])</f>
        <v>33173.477516432409</v>
      </c>
      <c r="N6520" t="str">
        <f>IFERROR(INDEX(tProdutos[Foco],MATCH(tItens[[#This Row],[Produto]],tProdutos[Produto],0)),"Não")</f>
        <v>Não</v>
      </c>
      <c r="O6520" t="str">
        <f>IFERROR(INDEX(tEditais[SRP],MATCH(tItens[[#This Row],[Edital]],tEditais[Edital],0)),"Não")</f>
        <v>Sim</v>
      </c>
      <c r="P6520" s="4">
        <f>IF(COUNTIFS(INDEX(tItens[Edital],1):tItens[[#This Row],[Edital]],tItens[[#This Row],[Edital]],INDEX(tItens[Produto],1):tItens[[#This Row],[Produto]],tItens[[#This Row],[Produto]])=1,1,0)</f>
        <v>1</v>
      </c>
    </row>
    <row r="6521" spans="1:16" x14ac:dyDescent="0.25">
      <c r="A6521" t="s">
        <v>2358</v>
      </c>
      <c r="B6521">
        <v>57</v>
      </c>
      <c r="C6521" t="s">
        <v>9214</v>
      </c>
      <c r="D6521" t="s">
        <v>273</v>
      </c>
      <c r="E6521" s="13">
        <v>2</v>
      </c>
      <c r="F6521" s="12">
        <v>20111.68</v>
      </c>
      <c r="G6521" t="str">
        <f>IFERROR(INDEX(tEditais[Órgão],MATCH(tItens[[#This Row],[Edital]],tEditais[Edital],0)),"")</f>
        <v>FUNDO MUNICIPAL DE SAUDE PMVR SMS</v>
      </c>
      <c r="H6521" t="str">
        <f>IFERROR(INDEX(tEditais[UF],MATCH(tItens[[#This Row],[Edital]],tEditais[Edital],0)),"")</f>
        <v>RJ</v>
      </c>
      <c r="I6521" s="11">
        <f>IFERROR(INDEX(tEditais[Encerramento],MATCH(tItens[[#This Row],[Edital]],tEditais[Edital],0)),"")</f>
        <v>46311.333333333336</v>
      </c>
      <c r="J6521" t="str">
        <f>IFERROR(INDEX(tProdutos[Classe],MATCH(tItens[[#This Row],[Produto]],tProdutos[Produto],0)),"produto não cadastrado")</f>
        <v>FORA</v>
      </c>
      <c r="K6521" s="12">
        <f>tItens[[#This Row],[Qtd]]*tItens[[#This Row],[Vlr unit]]</f>
        <v>40223.360000000001</v>
      </c>
      <c r="L6521" s="6">
        <f>IFERROR(IF(INDEX(tProdutos[Desconto homologado],MATCH(tItens[[#This Row],[Produto]],tProdutos[Produto],0))="",DescontoPadrao,INDEX(tProdutos[Desconto homologado],MATCH(tItens[[#This Row],[Produto]],tProdutos[Produto],0))),DescontoPadrao)</f>
        <v>0.33168166649812902</v>
      </c>
      <c r="M6521" s="12">
        <f>tItens[[#This Row],[Valor]]*(1-tItens[[#This Row],[Desconto]])</f>
        <v>26882.008923045818</v>
      </c>
      <c r="N6521" t="str">
        <f>IFERROR(INDEX(tProdutos[Foco],MATCH(tItens[[#This Row],[Produto]],tProdutos[Produto],0)),"Não")</f>
        <v>Não</v>
      </c>
      <c r="O6521" t="str">
        <f>IFERROR(INDEX(tEditais[SRP],MATCH(tItens[[#This Row],[Edital]],tEditais[Edital],0)),"Não")</f>
        <v>Sim</v>
      </c>
      <c r="P6521" s="4">
        <f>IF(COUNTIFS(INDEX(tItens[Edital],1):tItens[[#This Row],[Edital]],tItens[[#This Row],[Edital]],INDEX(tItens[Produto],1):tItens[[#This Row],[Produto]],tItens[[#This Row],[Produto]])=1,1,0)</f>
        <v>0</v>
      </c>
    </row>
    <row r="6522" spans="1:16" x14ac:dyDescent="0.25">
      <c r="A6522" t="s">
        <v>2358</v>
      </c>
      <c r="B6522">
        <v>58</v>
      </c>
      <c r="C6522" t="s">
        <v>9215</v>
      </c>
      <c r="D6522" t="s">
        <v>273</v>
      </c>
      <c r="E6522" s="13">
        <v>2</v>
      </c>
      <c r="F6522" s="12">
        <v>21800</v>
      </c>
      <c r="G6522" t="str">
        <f>IFERROR(INDEX(tEditais[Órgão],MATCH(tItens[[#This Row],[Edital]],tEditais[Edital],0)),"")</f>
        <v>FUNDO MUNICIPAL DE SAUDE PMVR SMS</v>
      </c>
      <c r="H6522" t="str">
        <f>IFERROR(INDEX(tEditais[UF],MATCH(tItens[[#This Row],[Edital]],tEditais[Edital],0)),"")</f>
        <v>RJ</v>
      </c>
      <c r="I6522" s="11">
        <f>IFERROR(INDEX(tEditais[Encerramento],MATCH(tItens[[#This Row],[Edital]],tEditais[Edital],0)),"")</f>
        <v>46311.333333333336</v>
      </c>
      <c r="J6522" t="str">
        <f>IFERROR(INDEX(tProdutos[Classe],MATCH(tItens[[#This Row],[Produto]],tProdutos[Produto],0)),"produto não cadastrado")</f>
        <v>FORA</v>
      </c>
      <c r="K6522" s="12">
        <f>tItens[[#This Row],[Qtd]]*tItens[[#This Row],[Vlr unit]]</f>
        <v>43600</v>
      </c>
      <c r="L6522" s="6">
        <f>IFERROR(IF(INDEX(tProdutos[Desconto homologado],MATCH(tItens[[#This Row],[Produto]],tProdutos[Produto],0))="",DescontoPadrao,INDEX(tProdutos[Desconto homologado],MATCH(tItens[[#This Row],[Produto]],tProdutos[Produto],0))),DescontoPadrao)</f>
        <v>0.33168166649812902</v>
      </c>
      <c r="M6522" s="12">
        <f>tItens[[#This Row],[Valor]]*(1-tItens[[#This Row],[Desconto]])</f>
        <v>29138.679340681574</v>
      </c>
      <c r="N6522" t="str">
        <f>IFERROR(INDEX(tProdutos[Foco],MATCH(tItens[[#This Row],[Produto]],tProdutos[Produto],0)),"Não")</f>
        <v>Não</v>
      </c>
      <c r="O6522" t="str">
        <f>IFERROR(INDEX(tEditais[SRP],MATCH(tItens[[#This Row],[Edital]],tEditais[Edital],0)),"Não")</f>
        <v>Sim</v>
      </c>
      <c r="P6522" s="4">
        <f>IF(COUNTIFS(INDEX(tItens[Edital],1):tItens[[#This Row],[Edital]],tItens[[#This Row],[Edital]],INDEX(tItens[Produto],1):tItens[[#This Row],[Produto]],tItens[[#This Row],[Produto]])=1,1,0)</f>
        <v>0</v>
      </c>
    </row>
    <row r="6523" spans="1:16" x14ac:dyDescent="0.25">
      <c r="A6523" t="s">
        <v>2358</v>
      </c>
      <c r="B6523">
        <v>59</v>
      </c>
      <c r="C6523" t="s">
        <v>9216</v>
      </c>
      <c r="D6523" t="s">
        <v>273</v>
      </c>
      <c r="E6523" s="13">
        <v>2</v>
      </c>
      <c r="F6523" s="12">
        <v>22500</v>
      </c>
      <c r="G6523" t="str">
        <f>IFERROR(INDEX(tEditais[Órgão],MATCH(tItens[[#This Row],[Edital]],tEditais[Edital],0)),"")</f>
        <v>FUNDO MUNICIPAL DE SAUDE PMVR SMS</v>
      </c>
      <c r="H6523" t="str">
        <f>IFERROR(INDEX(tEditais[UF],MATCH(tItens[[#This Row],[Edital]],tEditais[Edital],0)),"")</f>
        <v>RJ</v>
      </c>
      <c r="I6523" s="11">
        <f>IFERROR(INDEX(tEditais[Encerramento],MATCH(tItens[[#This Row],[Edital]],tEditais[Edital],0)),"")</f>
        <v>46311.333333333336</v>
      </c>
      <c r="J6523" t="str">
        <f>IFERROR(INDEX(tProdutos[Classe],MATCH(tItens[[#This Row],[Produto]],tProdutos[Produto],0)),"produto não cadastrado")</f>
        <v>FORA</v>
      </c>
      <c r="K6523" s="12">
        <f>tItens[[#This Row],[Qtd]]*tItens[[#This Row],[Vlr unit]]</f>
        <v>45000</v>
      </c>
      <c r="L6523" s="6">
        <f>IFERROR(IF(INDEX(tProdutos[Desconto homologado],MATCH(tItens[[#This Row],[Produto]],tProdutos[Produto],0))="",DescontoPadrao,INDEX(tProdutos[Desconto homologado],MATCH(tItens[[#This Row],[Produto]],tProdutos[Produto],0))),DescontoPadrao)</f>
        <v>0.33168166649812902</v>
      </c>
      <c r="M6523" s="12">
        <f>tItens[[#This Row],[Valor]]*(1-tItens[[#This Row],[Desconto]])</f>
        <v>30074.325007584193</v>
      </c>
      <c r="N6523" t="str">
        <f>IFERROR(INDEX(tProdutos[Foco],MATCH(tItens[[#This Row],[Produto]],tProdutos[Produto],0)),"Não")</f>
        <v>Não</v>
      </c>
      <c r="O6523" t="str">
        <f>IFERROR(INDEX(tEditais[SRP],MATCH(tItens[[#This Row],[Edital]],tEditais[Edital],0)),"Não")</f>
        <v>Sim</v>
      </c>
      <c r="P6523" s="4">
        <f>IF(COUNTIFS(INDEX(tItens[Edital],1):tItens[[#This Row],[Edital]],tItens[[#This Row],[Edital]],INDEX(tItens[Produto],1):tItens[[#This Row],[Produto]],tItens[[#This Row],[Produto]])=1,1,0)</f>
        <v>0</v>
      </c>
    </row>
    <row r="6524" spans="1:16" x14ac:dyDescent="0.25">
      <c r="A6524" t="s">
        <v>2358</v>
      </c>
      <c r="B6524">
        <v>60</v>
      </c>
      <c r="C6524" t="s">
        <v>9217</v>
      </c>
      <c r="D6524" t="s">
        <v>273</v>
      </c>
      <c r="E6524" s="13">
        <v>2</v>
      </c>
      <c r="F6524" s="12">
        <v>20774.939999999999</v>
      </c>
      <c r="G6524" t="str">
        <f>IFERROR(INDEX(tEditais[Órgão],MATCH(tItens[[#This Row],[Edital]],tEditais[Edital],0)),"")</f>
        <v>FUNDO MUNICIPAL DE SAUDE PMVR SMS</v>
      </c>
      <c r="H6524" t="str">
        <f>IFERROR(INDEX(tEditais[UF],MATCH(tItens[[#This Row],[Edital]],tEditais[Edital],0)),"")</f>
        <v>RJ</v>
      </c>
      <c r="I6524" s="11">
        <f>IFERROR(INDEX(tEditais[Encerramento],MATCH(tItens[[#This Row],[Edital]],tEditais[Edital],0)),"")</f>
        <v>46311.333333333336</v>
      </c>
      <c r="J6524" t="str">
        <f>IFERROR(INDEX(tProdutos[Classe],MATCH(tItens[[#This Row],[Produto]],tProdutos[Produto],0)),"produto não cadastrado")</f>
        <v>FORA</v>
      </c>
      <c r="K6524" s="12">
        <f>tItens[[#This Row],[Qtd]]*tItens[[#This Row],[Vlr unit]]</f>
        <v>41549.879999999997</v>
      </c>
      <c r="L6524" s="6">
        <f>IFERROR(IF(INDEX(tProdutos[Desconto homologado],MATCH(tItens[[#This Row],[Produto]],tProdutos[Produto],0))="",DescontoPadrao,INDEX(tProdutos[Desconto homologado],MATCH(tItens[[#This Row],[Produto]],tProdutos[Produto],0))),DescontoPadrao)</f>
        <v>0.33168166649812902</v>
      </c>
      <c r="M6524" s="12">
        <f>tItens[[#This Row],[Valor]]*(1-tItens[[#This Row],[Desconto]])</f>
        <v>27768.546558802718</v>
      </c>
      <c r="N6524" t="str">
        <f>IFERROR(INDEX(tProdutos[Foco],MATCH(tItens[[#This Row],[Produto]],tProdutos[Produto],0)),"Não")</f>
        <v>Não</v>
      </c>
      <c r="O6524" t="str">
        <f>IFERROR(INDEX(tEditais[SRP],MATCH(tItens[[#This Row],[Edital]],tEditais[Edital],0)),"Não")</f>
        <v>Sim</v>
      </c>
      <c r="P6524" s="4">
        <f>IF(COUNTIFS(INDEX(tItens[Edital],1):tItens[[#This Row],[Edital]],tItens[[#This Row],[Edital]],INDEX(tItens[Produto],1):tItens[[#This Row],[Produto]],tItens[[#This Row],[Produto]])=1,1,0)</f>
        <v>0</v>
      </c>
    </row>
    <row r="6525" spans="1:16" x14ac:dyDescent="0.25">
      <c r="A6525" t="s">
        <v>2358</v>
      </c>
      <c r="B6525">
        <v>61</v>
      </c>
      <c r="C6525" t="s">
        <v>9218</v>
      </c>
      <c r="D6525" t="s">
        <v>273</v>
      </c>
      <c r="E6525" s="13">
        <v>2</v>
      </c>
      <c r="F6525" s="12">
        <v>20774.939999999999</v>
      </c>
      <c r="G6525" t="str">
        <f>IFERROR(INDEX(tEditais[Órgão],MATCH(tItens[[#This Row],[Edital]],tEditais[Edital],0)),"")</f>
        <v>FUNDO MUNICIPAL DE SAUDE PMVR SMS</v>
      </c>
      <c r="H6525" t="str">
        <f>IFERROR(INDEX(tEditais[UF],MATCH(tItens[[#This Row],[Edital]],tEditais[Edital],0)),"")</f>
        <v>RJ</v>
      </c>
      <c r="I6525" s="11">
        <f>IFERROR(INDEX(tEditais[Encerramento],MATCH(tItens[[#This Row],[Edital]],tEditais[Edital],0)),"")</f>
        <v>46311.333333333336</v>
      </c>
      <c r="J6525" t="str">
        <f>IFERROR(INDEX(tProdutos[Classe],MATCH(tItens[[#This Row],[Produto]],tProdutos[Produto],0)),"produto não cadastrado")</f>
        <v>FORA</v>
      </c>
      <c r="K6525" s="12">
        <f>tItens[[#This Row],[Qtd]]*tItens[[#This Row],[Vlr unit]]</f>
        <v>41549.879999999997</v>
      </c>
      <c r="L6525" s="6">
        <f>IFERROR(IF(INDEX(tProdutos[Desconto homologado],MATCH(tItens[[#This Row],[Produto]],tProdutos[Produto],0))="",DescontoPadrao,INDEX(tProdutos[Desconto homologado],MATCH(tItens[[#This Row],[Produto]],tProdutos[Produto],0))),DescontoPadrao)</f>
        <v>0.33168166649812902</v>
      </c>
      <c r="M6525" s="12">
        <f>tItens[[#This Row],[Valor]]*(1-tItens[[#This Row],[Desconto]])</f>
        <v>27768.546558802718</v>
      </c>
      <c r="N6525" t="str">
        <f>IFERROR(INDEX(tProdutos[Foco],MATCH(tItens[[#This Row],[Produto]],tProdutos[Produto],0)),"Não")</f>
        <v>Não</v>
      </c>
      <c r="O6525" t="str">
        <f>IFERROR(INDEX(tEditais[SRP],MATCH(tItens[[#This Row],[Edital]],tEditais[Edital],0)),"Não")</f>
        <v>Sim</v>
      </c>
      <c r="P6525" s="4">
        <f>IF(COUNTIFS(INDEX(tItens[Edital],1):tItens[[#This Row],[Edital]],tItens[[#This Row],[Edital]],INDEX(tItens[Produto],1):tItens[[#This Row],[Produto]],tItens[[#This Row],[Produto]])=1,1,0)</f>
        <v>0</v>
      </c>
    </row>
    <row r="6526" spans="1:16" x14ac:dyDescent="0.25">
      <c r="A6526" t="s">
        <v>2358</v>
      </c>
      <c r="B6526">
        <v>62</v>
      </c>
      <c r="C6526" t="s">
        <v>9219</v>
      </c>
      <c r="D6526" t="s">
        <v>273</v>
      </c>
      <c r="E6526" s="13">
        <v>2</v>
      </c>
      <c r="F6526" s="12">
        <v>19600</v>
      </c>
      <c r="G6526" t="str">
        <f>IFERROR(INDEX(tEditais[Órgão],MATCH(tItens[[#This Row],[Edital]],tEditais[Edital],0)),"")</f>
        <v>FUNDO MUNICIPAL DE SAUDE PMVR SMS</v>
      </c>
      <c r="H6526" t="str">
        <f>IFERROR(INDEX(tEditais[UF],MATCH(tItens[[#This Row],[Edital]],tEditais[Edital],0)),"")</f>
        <v>RJ</v>
      </c>
      <c r="I6526" s="11">
        <f>IFERROR(INDEX(tEditais[Encerramento],MATCH(tItens[[#This Row],[Edital]],tEditais[Edital],0)),"")</f>
        <v>46311.333333333336</v>
      </c>
      <c r="J6526" t="str">
        <f>IFERROR(INDEX(tProdutos[Classe],MATCH(tItens[[#This Row],[Produto]],tProdutos[Produto],0)),"produto não cadastrado")</f>
        <v>FORA</v>
      </c>
      <c r="K6526" s="12">
        <f>tItens[[#This Row],[Qtd]]*tItens[[#This Row],[Vlr unit]]</f>
        <v>39200</v>
      </c>
      <c r="L6526" s="6">
        <f>IFERROR(IF(INDEX(tProdutos[Desconto homologado],MATCH(tItens[[#This Row],[Produto]],tProdutos[Produto],0))="",DescontoPadrao,INDEX(tProdutos[Desconto homologado],MATCH(tItens[[#This Row],[Produto]],tProdutos[Produto],0))),DescontoPadrao)</f>
        <v>0.33168166649812902</v>
      </c>
      <c r="M6526" s="12">
        <f>tItens[[#This Row],[Valor]]*(1-tItens[[#This Row],[Desconto]])</f>
        <v>26198.078673273343</v>
      </c>
      <c r="N6526" t="str">
        <f>IFERROR(INDEX(tProdutos[Foco],MATCH(tItens[[#This Row],[Produto]],tProdutos[Produto],0)),"Não")</f>
        <v>Não</v>
      </c>
      <c r="O6526" t="str">
        <f>IFERROR(INDEX(tEditais[SRP],MATCH(tItens[[#This Row],[Edital]],tEditais[Edital],0)),"Não")</f>
        <v>Sim</v>
      </c>
      <c r="P6526" s="4">
        <f>IF(COUNTIFS(INDEX(tItens[Edital],1):tItens[[#This Row],[Edital]],tItens[[#This Row],[Edital]],INDEX(tItens[Produto],1):tItens[[#This Row],[Produto]],tItens[[#This Row],[Produto]])=1,1,0)</f>
        <v>0</v>
      </c>
    </row>
    <row r="6527" spans="1:16" x14ac:dyDescent="0.25">
      <c r="A6527" t="s">
        <v>2358</v>
      </c>
      <c r="B6527">
        <v>63</v>
      </c>
      <c r="C6527" t="s">
        <v>9220</v>
      </c>
      <c r="D6527" t="s">
        <v>273</v>
      </c>
      <c r="E6527" s="13">
        <v>2</v>
      </c>
      <c r="F6527" s="12">
        <v>22800</v>
      </c>
      <c r="G6527" t="str">
        <f>IFERROR(INDEX(tEditais[Órgão],MATCH(tItens[[#This Row],[Edital]],tEditais[Edital],0)),"")</f>
        <v>FUNDO MUNICIPAL DE SAUDE PMVR SMS</v>
      </c>
      <c r="H6527" t="str">
        <f>IFERROR(INDEX(tEditais[UF],MATCH(tItens[[#This Row],[Edital]],tEditais[Edital],0)),"")</f>
        <v>RJ</v>
      </c>
      <c r="I6527" s="11">
        <f>IFERROR(INDEX(tEditais[Encerramento],MATCH(tItens[[#This Row],[Edital]],tEditais[Edital],0)),"")</f>
        <v>46311.333333333336</v>
      </c>
      <c r="J6527" t="str">
        <f>IFERROR(INDEX(tProdutos[Classe],MATCH(tItens[[#This Row],[Produto]],tProdutos[Produto],0)),"produto não cadastrado")</f>
        <v>FORA</v>
      </c>
      <c r="K6527" s="12">
        <f>tItens[[#This Row],[Qtd]]*tItens[[#This Row],[Vlr unit]]</f>
        <v>45600</v>
      </c>
      <c r="L6527" s="6">
        <f>IFERROR(IF(INDEX(tProdutos[Desconto homologado],MATCH(tItens[[#This Row],[Produto]],tProdutos[Produto],0))="",DescontoPadrao,INDEX(tProdutos[Desconto homologado],MATCH(tItens[[#This Row],[Produto]],tProdutos[Produto],0))),DescontoPadrao)</f>
        <v>0.33168166649812902</v>
      </c>
      <c r="M6527" s="12">
        <f>tItens[[#This Row],[Valor]]*(1-tItens[[#This Row],[Desconto]])</f>
        <v>30475.316007685316</v>
      </c>
      <c r="N6527" t="str">
        <f>IFERROR(INDEX(tProdutos[Foco],MATCH(tItens[[#This Row],[Produto]],tProdutos[Produto],0)),"Não")</f>
        <v>Não</v>
      </c>
      <c r="O6527" t="str">
        <f>IFERROR(INDEX(tEditais[SRP],MATCH(tItens[[#This Row],[Edital]],tEditais[Edital],0)),"Não")</f>
        <v>Sim</v>
      </c>
      <c r="P6527" s="4">
        <f>IF(COUNTIFS(INDEX(tItens[Edital],1):tItens[[#This Row],[Edital]],tItens[[#This Row],[Edital]],INDEX(tItens[Produto],1):tItens[[#This Row],[Produto]],tItens[[#This Row],[Produto]])=1,1,0)</f>
        <v>0</v>
      </c>
    </row>
    <row r="6528" spans="1:16" x14ac:dyDescent="0.25">
      <c r="A6528" t="s">
        <v>2358</v>
      </c>
      <c r="B6528">
        <v>64</v>
      </c>
      <c r="C6528" t="s">
        <v>9221</v>
      </c>
      <c r="D6528" t="s">
        <v>273</v>
      </c>
      <c r="E6528" s="13">
        <v>2</v>
      </c>
      <c r="F6528" s="12">
        <v>19600</v>
      </c>
      <c r="G6528" t="str">
        <f>IFERROR(INDEX(tEditais[Órgão],MATCH(tItens[[#This Row],[Edital]],tEditais[Edital],0)),"")</f>
        <v>FUNDO MUNICIPAL DE SAUDE PMVR SMS</v>
      </c>
      <c r="H6528" t="str">
        <f>IFERROR(INDEX(tEditais[UF],MATCH(tItens[[#This Row],[Edital]],tEditais[Edital],0)),"")</f>
        <v>RJ</v>
      </c>
      <c r="I6528" s="11">
        <f>IFERROR(INDEX(tEditais[Encerramento],MATCH(tItens[[#This Row],[Edital]],tEditais[Edital],0)),"")</f>
        <v>46311.333333333336</v>
      </c>
      <c r="J6528" t="str">
        <f>IFERROR(INDEX(tProdutos[Classe],MATCH(tItens[[#This Row],[Produto]],tProdutos[Produto],0)),"produto não cadastrado")</f>
        <v>FORA</v>
      </c>
      <c r="K6528" s="12">
        <f>tItens[[#This Row],[Qtd]]*tItens[[#This Row],[Vlr unit]]</f>
        <v>39200</v>
      </c>
      <c r="L6528" s="6">
        <f>IFERROR(IF(INDEX(tProdutos[Desconto homologado],MATCH(tItens[[#This Row],[Produto]],tProdutos[Produto],0))="",DescontoPadrao,INDEX(tProdutos[Desconto homologado],MATCH(tItens[[#This Row],[Produto]],tProdutos[Produto],0))),DescontoPadrao)</f>
        <v>0.33168166649812902</v>
      </c>
      <c r="M6528" s="12">
        <f>tItens[[#This Row],[Valor]]*(1-tItens[[#This Row],[Desconto]])</f>
        <v>26198.078673273343</v>
      </c>
      <c r="N6528" t="str">
        <f>IFERROR(INDEX(tProdutos[Foco],MATCH(tItens[[#This Row],[Produto]],tProdutos[Produto],0)),"Não")</f>
        <v>Não</v>
      </c>
      <c r="O6528" t="str">
        <f>IFERROR(INDEX(tEditais[SRP],MATCH(tItens[[#This Row],[Edital]],tEditais[Edital],0)),"Não")</f>
        <v>Sim</v>
      </c>
      <c r="P6528" s="4">
        <f>IF(COUNTIFS(INDEX(tItens[Edital],1):tItens[[#This Row],[Edital]],tItens[[#This Row],[Edital]],INDEX(tItens[Produto],1):tItens[[#This Row],[Produto]],tItens[[#This Row],[Produto]])=1,1,0)</f>
        <v>0</v>
      </c>
    </row>
    <row r="6529" spans="1:16" x14ac:dyDescent="0.25">
      <c r="A6529" t="s">
        <v>2358</v>
      </c>
      <c r="B6529">
        <v>65</v>
      </c>
      <c r="C6529" t="s">
        <v>9222</v>
      </c>
      <c r="D6529" t="s">
        <v>273</v>
      </c>
      <c r="E6529" s="13">
        <v>2</v>
      </c>
      <c r="F6529" s="12">
        <v>20113.5</v>
      </c>
      <c r="G6529" t="str">
        <f>IFERROR(INDEX(tEditais[Órgão],MATCH(tItens[[#This Row],[Edital]],tEditais[Edital],0)),"")</f>
        <v>FUNDO MUNICIPAL DE SAUDE PMVR SMS</v>
      </c>
      <c r="H6529" t="str">
        <f>IFERROR(INDEX(tEditais[UF],MATCH(tItens[[#This Row],[Edital]],tEditais[Edital],0)),"")</f>
        <v>RJ</v>
      </c>
      <c r="I6529" s="11">
        <f>IFERROR(INDEX(tEditais[Encerramento],MATCH(tItens[[#This Row],[Edital]],tEditais[Edital],0)),"")</f>
        <v>46311.333333333336</v>
      </c>
      <c r="J6529" t="str">
        <f>IFERROR(INDEX(tProdutos[Classe],MATCH(tItens[[#This Row],[Produto]],tProdutos[Produto],0)),"produto não cadastrado")</f>
        <v>FORA</v>
      </c>
      <c r="K6529" s="12">
        <f>tItens[[#This Row],[Qtd]]*tItens[[#This Row],[Vlr unit]]</f>
        <v>40227</v>
      </c>
      <c r="L6529" s="6">
        <f>IFERROR(IF(INDEX(tProdutos[Desconto homologado],MATCH(tItens[[#This Row],[Produto]],tProdutos[Produto],0))="",DescontoPadrao,INDEX(tProdutos[Desconto homologado],MATCH(tItens[[#This Row],[Produto]],tProdutos[Produto],0))),DescontoPadrao)</f>
        <v>0.33168166649812902</v>
      </c>
      <c r="M6529" s="12">
        <f>tItens[[#This Row],[Valor]]*(1-tItens[[#This Row],[Desconto]])</f>
        <v>26884.441601779763</v>
      </c>
      <c r="N6529" t="str">
        <f>IFERROR(INDEX(tProdutos[Foco],MATCH(tItens[[#This Row],[Produto]],tProdutos[Produto],0)),"Não")</f>
        <v>Não</v>
      </c>
      <c r="O6529" t="str">
        <f>IFERROR(INDEX(tEditais[SRP],MATCH(tItens[[#This Row],[Edital]],tEditais[Edital],0)),"Não")</f>
        <v>Sim</v>
      </c>
      <c r="P6529" s="4">
        <f>IF(COUNTIFS(INDEX(tItens[Edital],1):tItens[[#This Row],[Edital]],tItens[[#This Row],[Edital]],INDEX(tItens[Produto],1):tItens[[#This Row],[Produto]],tItens[[#This Row],[Produto]])=1,1,0)</f>
        <v>0</v>
      </c>
    </row>
    <row r="6530" spans="1:16" x14ac:dyDescent="0.25">
      <c r="A6530" t="s">
        <v>2358</v>
      </c>
      <c r="B6530">
        <v>66</v>
      </c>
      <c r="C6530" t="s">
        <v>9223</v>
      </c>
      <c r="D6530" t="s">
        <v>273</v>
      </c>
      <c r="E6530" s="13">
        <v>2</v>
      </c>
      <c r="F6530" s="12">
        <v>21720</v>
      </c>
      <c r="G6530" t="str">
        <f>IFERROR(INDEX(tEditais[Órgão],MATCH(tItens[[#This Row],[Edital]],tEditais[Edital],0)),"")</f>
        <v>FUNDO MUNICIPAL DE SAUDE PMVR SMS</v>
      </c>
      <c r="H6530" t="str">
        <f>IFERROR(INDEX(tEditais[UF],MATCH(tItens[[#This Row],[Edital]],tEditais[Edital],0)),"")</f>
        <v>RJ</v>
      </c>
      <c r="I6530" s="11">
        <f>IFERROR(INDEX(tEditais[Encerramento],MATCH(tItens[[#This Row],[Edital]],tEditais[Edital],0)),"")</f>
        <v>46311.333333333336</v>
      </c>
      <c r="J6530" t="str">
        <f>IFERROR(INDEX(tProdutos[Classe],MATCH(tItens[[#This Row],[Produto]],tProdutos[Produto],0)),"produto não cadastrado")</f>
        <v>FORA</v>
      </c>
      <c r="K6530" s="12">
        <f>tItens[[#This Row],[Qtd]]*tItens[[#This Row],[Vlr unit]]</f>
        <v>43440</v>
      </c>
      <c r="L6530" s="6">
        <f>IFERROR(IF(INDEX(tProdutos[Desconto homologado],MATCH(tItens[[#This Row],[Produto]],tProdutos[Produto],0))="",DescontoPadrao,INDEX(tProdutos[Desconto homologado],MATCH(tItens[[#This Row],[Produto]],tProdutos[Produto],0))),DescontoPadrao)</f>
        <v>0.33168166649812902</v>
      </c>
      <c r="M6530" s="12">
        <f>tItens[[#This Row],[Valor]]*(1-tItens[[#This Row],[Desconto]])</f>
        <v>29031.748407321276</v>
      </c>
      <c r="N6530" t="str">
        <f>IFERROR(INDEX(tProdutos[Foco],MATCH(tItens[[#This Row],[Produto]],tProdutos[Produto],0)),"Não")</f>
        <v>Não</v>
      </c>
      <c r="O6530" t="str">
        <f>IFERROR(INDEX(tEditais[SRP],MATCH(tItens[[#This Row],[Edital]],tEditais[Edital],0)),"Não")</f>
        <v>Sim</v>
      </c>
      <c r="P6530" s="4">
        <f>IF(COUNTIFS(INDEX(tItens[Edital],1):tItens[[#This Row],[Edital]],tItens[[#This Row],[Edital]],INDEX(tItens[Produto],1):tItens[[#This Row],[Produto]],tItens[[#This Row],[Produto]])=1,1,0)</f>
        <v>0</v>
      </c>
    </row>
    <row r="6531" spans="1:16" x14ac:dyDescent="0.25">
      <c r="A6531" t="s">
        <v>2358</v>
      </c>
      <c r="B6531">
        <v>67</v>
      </c>
      <c r="C6531" t="s">
        <v>9224</v>
      </c>
      <c r="D6531" t="s">
        <v>273</v>
      </c>
      <c r="E6531" s="13">
        <v>2</v>
      </c>
      <c r="F6531" s="12">
        <v>21800</v>
      </c>
      <c r="G6531" t="str">
        <f>IFERROR(INDEX(tEditais[Órgão],MATCH(tItens[[#This Row],[Edital]],tEditais[Edital],0)),"")</f>
        <v>FUNDO MUNICIPAL DE SAUDE PMVR SMS</v>
      </c>
      <c r="H6531" t="str">
        <f>IFERROR(INDEX(tEditais[UF],MATCH(tItens[[#This Row],[Edital]],tEditais[Edital],0)),"")</f>
        <v>RJ</v>
      </c>
      <c r="I6531" s="11">
        <f>IFERROR(INDEX(tEditais[Encerramento],MATCH(tItens[[#This Row],[Edital]],tEditais[Edital],0)),"")</f>
        <v>46311.333333333336</v>
      </c>
      <c r="J6531" t="str">
        <f>IFERROR(INDEX(tProdutos[Classe],MATCH(tItens[[#This Row],[Produto]],tProdutos[Produto],0)),"produto não cadastrado")</f>
        <v>FORA</v>
      </c>
      <c r="K6531" s="12">
        <f>tItens[[#This Row],[Qtd]]*tItens[[#This Row],[Vlr unit]]</f>
        <v>43600</v>
      </c>
      <c r="L6531" s="6">
        <f>IFERROR(IF(INDEX(tProdutos[Desconto homologado],MATCH(tItens[[#This Row],[Produto]],tProdutos[Produto],0))="",DescontoPadrao,INDEX(tProdutos[Desconto homologado],MATCH(tItens[[#This Row],[Produto]],tProdutos[Produto],0))),DescontoPadrao)</f>
        <v>0.33168166649812902</v>
      </c>
      <c r="M6531" s="12">
        <f>tItens[[#This Row],[Valor]]*(1-tItens[[#This Row],[Desconto]])</f>
        <v>29138.679340681574</v>
      </c>
      <c r="N6531" t="str">
        <f>IFERROR(INDEX(tProdutos[Foco],MATCH(tItens[[#This Row],[Produto]],tProdutos[Produto],0)),"Não")</f>
        <v>Não</v>
      </c>
      <c r="O6531" t="str">
        <f>IFERROR(INDEX(tEditais[SRP],MATCH(tItens[[#This Row],[Edital]],tEditais[Edital],0)),"Não")</f>
        <v>Sim</v>
      </c>
      <c r="P6531" s="4">
        <f>IF(COUNTIFS(INDEX(tItens[Edital],1):tItens[[#This Row],[Edital]],tItens[[#This Row],[Edital]],INDEX(tItens[Produto],1):tItens[[#This Row],[Produto]],tItens[[#This Row],[Produto]])=1,1,0)</f>
        <v>0</v>
      </c>
    </row>
    <row r="6532" spans="1:16" x14ac:dyDescent="0.25">
      <c r="A6532" t="s">
        <v>2358</v>
      </c>
      <c r="B6532">
        <v>68</v>
      </c>
      <c r="C6532" t="s">
        <v>9225</v>
      </c>
      <c r="D6532" t="s">
        <v>273</v>
      </c>
      <c r="E6532" s="13">
        <v>2</v>
      </c>
      <c r="F6532" s="12">
        <v>20111.68</v>
      </c>
      <c r="G6532" t="str">
        <f>IFERROR(INDEX(tEditais[Órgão],MATCH(tItens[[#This Row],[Edital]],tEditais[Edital],0)),"")</f>
        <v>FUNDO MUNICIPAL DE SAUDE PMVR SMS</v>
      </c>
      <c r="H6532" t="str">
        <f>IFERROR(INDEX(tEditais[UF],MATCH(tItens[[#This Row],[Edital]],tEditais[Edital],0)),"")</f>
        <v>RJ</v>
      </c>
      <c r="I6532" s="11">
        <f>IFERROR(INDEX(tEditais[Encerramento],MATCH(tItens[[#This Row],[Edital]],tEditais[Edital],0)),"")</f>
        <v>46311.333333333336</v>
      </c>
      <c r="J6532" t="str">
        <f>IFERROR(INDEX(tProdutos[Classe],MATCH(tItens[[#This Row],[Produto]],tProdutos[Produto],0)),"produto não cadastrado")</f>
        <v>FORA</v>
      </c>
      <c r="K6532" s="12">
        <f>tItens[[#This Row],[Qtd]]*tItens[[#This Row],[Vlr unit]]</f>
        <v>40223.360000000001</v>
      </c>
      <c r="L6532" s="6">
        <f>IFERROR(IF(INDEX(tProdutos[Desconto homologado],MATCH(tItens[[#This Row],[Produto]],tProdutos[Produto],0))="",DescontoPadrao,INDEX(tProdutos[Desconto homologado],MATCH(tItens[[#This Row],[Produto]],tProdutos[Produto],0))),DescontoPadrao)</f>
        <v>0.33168166649812902</v>
      </c>
      <c r="M6532" s="12">
        <f>tItens[[#This Row],[Valor]]*(1-tItens[[#This Row],[Desconto]])</f>
        <v>26882.008923045818</v>
      </c>
      <c r="N6532" t="str">
        <f>IFERROR(INDEX(tProdutos[Foco],MATCH(tItens[[#This Row],[Produto]],tProdutos[Produto],0)),"Não")</f>
        <v>Não</v>
      </c>
      <c r="O6532" t="str">
        <f>IFERROR(INDEX(tEditais[SRP],MATCH(tItens[[#This Row],[Edital]],tEditais[Edital],0)),"Não")</f>
        <v>Sim</v>
      </c>
      <c r="P6532" s="4">
        <f>IF(COUNTIFS(INDEX(tItens[Edital],1):tItens[[#This Row],[Edital]],tItens[[#This Row],[Edital]],INDEX(tItens[Produto],1):tItens[[#This Row],[Produto]],tItens[[#This Row],[Produto]])=1,1,0)</f>
        <v>0</v>
      </c>
    </row>
    <row r="6533" spans="1:16" x14ac:dyDescent="0.25">
      <c r="A6533" t="s">
        <v>2358</v>
      </c>
      <c r="B6533">
        <v>69</v>
      </c>
      <c r="C6533" t="s">
        <v>9226</v>
      </c>
      <c r="D6533" t="s">
        <v>273</v>
      </c>
      <c r="E6533" s="13">
        <v>2</v>
      </c>
      <c r="F6533" s="12">
        <v>23343.75</v>
      </c>
      <c r="G6533" t="str">
        <f>IFERROR(INDEX(tEditais[Órgão],MATCH(tItens[[#This Row],[Edital]],tEditais[Edital],0)),"")</f>
        <v>FUNDO MUNICIPAL DE SAUDE PMVR SMS</v>
      </c>
      <c r="H6533" t="str">
        <f>IFERROR(INDEX(tEditais[UF],MATCH(tItens[[#This Row],[Edital]],tEditais[Edital],0)),"")</f>
        <v>RJ</v>
      </c>
      <c r="I6533" s="11">
        <f>IFERROR(INDEX(tEditais[Encerramento],MATCH(tItens[[#This Row],[Edital]],tEditais[Edital],0)),"")</f>
        <v>46311.333333333336</v>
      </c>
      <c r="J6533" t="str">
        <f>IFERROR(INDEX(tProdutos[Classe],MATCH(tItens[[#This Row],[Produto]],tProdutos[Produto],0)),"produto não cadastrado")</f>
        <v>FORA</v>
      </c>
      <c r="K6533" s="12">
        <f>tItens[[#This Row],[Qtd]]*tItens[[#This Row],[Vlr unit]]</f>
        <v>46687.5</v>
      </c>
      <c r="L6533" s="6">
        <f>IFERROR(IF(INDEX(tProdutos[Desconto homologado],MATCH(tItens[[#This Row],[Produto]],tProdutos[Produto],0))="",DescontoPadrao,INDEX(tProdutos[Desconto homologado],MATCH(tItens[[#This Row],[Produto]],tProdutos[Produto],0))),DescontoPadrao)</f>
        <v>0.33168166649812902</v>
      </c>
      <c r="M6533" s="12">
        <f>tItens[[#This Row],[Valor]]*(1-tItens[[#This Row],[Desconto]])</f>
        <v>31202.112195368602</v>
      </c>
      <c r="N6533" t="str">
        <f>IFERROR(INDEX(tProdutos[Foco],MATCH(tItens[[#This Row],[Produto]],tProdutos[Produto],0)),"Não")</f>
        <v>Não</v>
      </c>
      <c r="O6533" t="str">
        <f>IFERROR(INDEX(tEditais[SRP],MATCH(tItens[[#This Row],[Edital]],tEditais[Edital],0)),"Não")</f>
        <v>Sim</v>
      </c>
      <c r="P6533" s="4">
        <f>IF(COUNTIFS(INDEX(tItens[Edital],1):tItens[[#This Row],[Edital]],tItens[[#This Row],[Edital]],INDEX(tItens[Produto],1):tItens[[#This Row],[Produto]],tItens[[#This Row],[Produto]])=1,1,0)</f>
        <v>0</v>
      </c>
    </row>
    <row r="6534" spans="1:16" x14ac:dyDescent="0.25">
      <c r="A6534" t="s">
        <v>2358</v>
      </c>
      <c r="B6534">
        <v>70</v>
      </c>
      <c r="C6534" t="s">
        <v>9221</v>
      </c>
      <c r="D6534" t="s">
        <v>273</v>
      </c>
      <c r="E6534" s="13">
        <v>2</v>
      </c>
      <c r="F6534" s="12">
        <v>22500</v>
      </c>
      <c r="G6534" t="str">
        <f>IFERROR(INDEX(tEditais[Órgão],MATCH(tItens[[#This Row],[Edital]],tEditais[Edital],0)),"")</f>
        <v>FUNDO MUNICIPAL DE SAUDE PMVR SMS</v>
      </c>
      <c r="H6534" t="str">
        <f>IFERROR(INDEX(tEditais[UF],MATCH(tItens[[#This Row],[Edital]],tEditais[Edital],0)),"")</f>
        <v>RJ</v>
      </c>
      <c r="I6534" s="11">
        <f>IFERROR(INDEX(tEditais[Encerramento],MATCH(tItens[[#This Row],[Edital]],tEditais[Edital],0)),"")</f>
        <v>46311.333333333336</v>
      </c>
      <c r="J6534" t="str">
        <f>IFERROR(INDEX(tProdutos[Classe],MATCH(tItens[[#This Row],[Produto]],tProdutos[Produto],0)),"produto não cadastrado")</f>
        <v>FORA</v>
      </c>
      <c r="K6534" s="12">
        <f>tItens[[#This Row],[Qtd]]*tItens[[#This Row],[Vlr unit]]</f>
        <v>45000</v>
      </c>
      <c r="L6534" s="6">
        <f>IFERROR(IF(INDEX(tProdutos[Desconto homologado],MATCH(tItens[[#This Row],[Produto]],tProdutos[Produto],0))="",DescontoPadrao,INDEX(tProdutos[Desconto homologado],MATCH(tItens[[#This Row],[Produto]],tProdutos[Produto],0))),DescontoPadrao)</f>
        <v>0.33168166649812902</v>
      </c>
      <c r="M6534" s="12">
        <f>tItens[[#This Row],[Valor]]*(1-tItens[[#This Row],[Desconto]])</f>
        <v>30074.325007584193</v>
      </c>
      <c r="N6534" t="str">
        <f>IFERROR(INDEX(tProdutos[Foco],MATCH(tItens[[#This Row],[Produto]],tProdutos[Produto],0)),"Não")</f>
        <v>Não</v>
      </c>
      <c r="O6534" t="str">
        <f>IFERROR(INDEX(tEditais[SRP],MATCH(tItens[[#This Row],[Edital]],tEditais[Edital],0)),"Não")</f>
        <v>Sim</v>
      </c>
      <c r="P6534" s="4">
        <f>IF(COUNTIFS(INDEX(tItens[Edital],1):tItens[[#This Row],[Edital]],tItens[[#This Row],[Edital]],INDEX(tItens[Produto],1):tItens[[#This Row],[Produto]],tItens[[#This Row],[Produto]])=1,1,0)</f>
        <v>0</v>
      </c>
    </row>
    <row r="6535" spans="1:16" x14ac:dyDescent="0.25">
      <c r="A6535" t="s">
        <v>2358</v>
      </c>
      <c r="B6535">
        <v>71</v>
      </c>
      <c r="C6535" t="s">
        <v>9219</v>
      </c>
      <c r="D6535" t="s">
        <v>273</v>
      </c>
      <c r="E6535" s="13">
        <v>2</v>
      </c>
      <c r="F6535" s="12">
        <v>22224.94</v>
      </c>
      <c r="G6535" t="str">
        <f>IFERROR(INDEX(tEditais[Órgão],MATCH(tItens[[#This Row],[Edital]],tEditais[Edital],0)),"")</f>
        <v>FUNDO MUNICIPAL DE SAUDE PMVR SMS</v>
      </c>
      <c r="H6535" t="str">
        <f>IFERROR(INDEX(tEditais[UF],MATCH(tItens[[#This Row],[Edital]],tEditais[Edital],0)),"")</f>
        <v>RJ</v>
      </c>
      <c r="I6535" s="11">
        <f>IFERROR(INDEX(tEditais[Encerramento],MATCH(tItens[[#This Row],[Edital]],tEditais[Edital],0)),"")</f>
        <v>46311.333333333336</v>
      </c>
      <c r="J6535" t="str">
        <f>IFERROR(INDEX(tProdutos[Classe],MATCH(tItens[[#This Row],[Produto]],tProdutos[Produto],0)),"produto não cadastrado")</f>
        <v>FORA</v>
      </c>
      <c r="K6535" s="12">
        <f>tItens[[#This Row],[Qtd]]*tItens[[#This Row],[Vlr unit]]</f>
        <v>44449.88</v>
      </c>
      <c r="L6535" s="6">
        <f>IFERROR(IF(INDEX(tProdutos[Desconto homologado],MATCH(tItens[[#This Row],[Produto]],tProdutos[Produto],0))="",DescontoPadrao,INDEX(tProdutos[Desconto homologado],MATCH(tItens[[#This Row],[Produto]],tProdutos[Produto],0))),DescontoPadrao)</f>
        <v>0.33168166649812902</v>
      </c>
      <c r="M6535" s="12">
        <f>tItens[[#This Row],[Valor]]*(1-tItens[[#This Row],[Desconto]])</f>
        <v>29706.669725958141</v>
      </c>
      <c r="N6535" t="str">
        <f>IFERROR(INDEX(tProdutos[Foco],MATCH(tItens[[#This Row],[Produto]],tProdutos[Produto],0)),"Não")</f>
        <v>Não</v>
      </c>
      <c r="O6535" t="str">
        <f>IFERROR(INDEX(tEditais[SRP],MATCH(tItens[[#This Row],[Edital]],tEditais[Edital],0)),"Não")</f>
        <v>Sim</v>
      </c>
      <c r="P6535" s="4">
        <f>IF(COUNTIFS(INDEX(tItens[Edital],1):tItens[[#This Row],[Edital]],tItens[[#This Row],[Edital]],INDEX(tItens[Produto],1):tItens[[#This Row],[Produto]],tItens[[#This Row],[Produto]])=1,1,0)</f>
        <v>0</v>
      </c>
    </row>
    <row r="6536" spans="1:16" x14ac:dyDescent="0.25">
      <c r="A6536" t="s">
        <v>2358</v>
      </c>
      <c r="B6536">
        <v>72</v>
      </c>
      <c r="C6536" t="s">
        <v>9227</v>
      </c>
      <c r="D6536" t="s">
        <v>273</v>
      </c>
      <c r="E6536" s="13">
        <v>2</v>
      </c>
      <c r="F6536" s="12">
        <v>25750</v>
      </c>
      <c r="G6536" t="str">
        <f>IFERROR(INDEX(tEditais[Órgão],MATCH(tItens[[#This Row],[Edital]],tEditais[Edital],0)),"")</f>
        <v>FUNDO MUNICIPAL DE SAUDE PMVR SMS</v>
      </c>
      <c r="H6536" t="str">
        <f>IFERROR(INDEX(tEditais[UF],MATCH(tItens[[#This Row],[Edital]],tEditais[Edital],0)),"")</f>
        <v>RJ</v>
      </c>
      <c r="I6536" s="11">
        <f>IFERROR(INDEX(tEditais[Encerramento],MATCH(tItens[[#This Row],[Edital]],tEditais[Edital],0)),"")</f>
        <v>46311.333333333336</v>
      </c>
      <c r="J6536" t="str">
        <f>IFERROR(INDEX(tProdutos[Classe],MATCH(tItens[[#This Row],[Produto]],tProdutos[Produto],0)),"produto não cadastrado")</f>
        <v>FORA</v>
      </c>
      <c r="K6536" s="12">
        <f>tItens[[#This Row],[Qtd]]*tItens[[#This Row],[Vlr unit]]</f>
        <v>51500</v>
      </c>
      <c r="L6536" s="6">
        <f>IFERROR(IF(INDEX(tProdutos[Desconto homologado],MATCH(tItens[[#This Row],[Produto]],tProdutos[Produto],0))="",DescontoPadrao,INDEX(tProdutos[Desconto homologado],MATCH(tItens[[#This Row],[Produto]],tProdutos[Produto],0))),DescontoPadrao)</f>
        <v>0.33168166649812902</v>
      </c>
      <c r="M6536" s="12">
        <f>tItens[[#This Row],[Valor]]*(1-tItens[[#This Row],[Desconto]])</f>
        <v>34418.394175346359</v>
      </c>
      <c r="N6536" t="str">
        <f>IFERROR(INDEX(tProdutos[Foco],MATCH(tItens[[#This Row],[Produto]],tProdutos[Produto],0)),"Não")</f>
        <v>Não</v>
      </c>
      <c r="O6536" t="str">
        <f>IFERROR(INDEX(tEditais[SRP],MATCH(tItens[[#This Row],[Edital]],tEditais[Edital],0)),"Não")</f>
        <v>Sim</v>
      </c>
      <c r="P6536" s="4">
        <f>IF(COUNTIFS(INDEX(tItens[Edital],1):tItens[[#This Row],[Edital]],tItens[[#This Row],[Edital]],INDEX(tItens[Produto],1):tItens[[#This Row],[Produto]],tItens[[#This Row],[Produto]])=1,1,0)</f>
        <v>0</v>
      </c>
    </row>
    <row r="6537" spans="1:16" x14ac:dyDescent="0.25">
      <c r="A6537" t="s">
        <v>2358</v>
      </c>
      <c r="B6537">
        <v>73</v>
      </c>
      <c r="C6537" t="s">
        <v>9228</v>
      </c>
      <c r="D6537" t="s">
        <v>273</v>
      </c>
      <c r="E6537" s="13">
        <v>2</v>
      </c>
      <c r="F6537" s="12">
        <v>20113.5</v>
      </c>
      <c r="G6537" t="str">
        <f>IFERROR(INDEX(tEditais[Órgão],MATCH(tItens[[#This Row],[Edital]],tEditais[Edital],0)),"")</f>
        <v>FUNDO MUNICIPAL DE SAUDE PMVR SMS</v>
      </c>
      <c r="H6537" t="str">
        <f>IFERROR(INDEX(tEditais[UF],MATCH(tItens[[#This Row],[Edital]],tEditais[Edital],0)),"")</f>
        <v>RJ</v>
      </c>
      <c r="I6537" s="11">
        <f>IFERROR(INDEX(tEditais[Encerramento],MATCH(tItens[[#This Row],[Edital]],tEditais[Edital],0)),"")</f>
        <v>46311.333333333336</v>
      </c>
      <c r="J6537" t="str">
        <f>IFERROR(INDEX(tProdutos[Classe],MATCH(tItens[[#This Row],[Produto]],tProdutos[Produto],0)),"produto não cadastrado")</f>
        <v>FORA</v>
      </c>
      <c r="K6537" s="12">
        <f>tItens[[#This Row],[Qtd]]*tItens[[#This Row],[Vlr unit]]</f>
        <v>40227</v>
      </c>
      <c r="L6537" s="6">
        <f>IFERROR(IF(INDEX(tProdutos[Desconto homologado],MATCH(tItens[[#This Row],[Produto]],tProdutos[Produto],0))="",DescontoPadrao,INDEX(tProdutos[Desconto homologado],MATCH(tItens[[#This Row],[Produto]],tProdutos[Produto],0))),DescontoPadrao)</f>
        <v>0.33168166649812902</v>
      </c>
      <c r="M6537" s="12">
        <f>tItens[[#This Row],[Valor]]*(1-tItens[[#This Row],[Desconto]])</f>
        <v>26884.441601779763</v>
      </c>
      <c r="N6537" t="str">
        <f>IFERROR(INDEX(tProdutos[Foco],MATCH(tItens[[#This Row],[Produto]],tProdutos[Produto],0)),"Não")</f>
        <v>Não</v>
      </c>
      <c r="O6537" t="str">
        <f>IFERROR(INDEX(tEditais[SRP],MATCH(tItens[[#This Row],[Edital]],tEditais[Edital],0)),"Não")</f>
        <v>Sim</v>
      </c>
      <c r="P6537" s="4">
        <f>IF(COUNTIFS(INDEX(tItens[Edital],1):tItens[[#This Row],[Edital]],tItens[[#This Row],[Edital]],INDEX(tItens[Produto],1):tItens[[#This Row],[Produto]],tItens[[#This Row],[Produto]])=1,1,0)</f>
        <v>0</v>
      </c>
    </row>
    <row r="6538" spans="1:16" x14ac:dyDescent="0.25">
      <c r="A6538" t="s">
        <v>2358</v>
      </c>
      <c r="B6538">
        <v>74</v>
      </c>
      <c r="C6538" t="s">
        <v>9229</v>
      </c>
      <c r="D6538" t="s">
        <v>273</v>
      </c>
      <c r="E6538" s="13">
        <v>2</v>
      </c>
      <c r="F6538" s="12">
        <v>58500</v>
      </c>
      <c r="G6538" t="str">
        <f>IFERROR(INDEX(tEditais[Órgão],MATCH(tItens[[#This Row],[Edital]],tEditais[Edital],0)),"")</f>
        <v>FUNDO MUNICIPAL DE SAUDE PMVR SMS</v>
      </c>
      <c r="H6538" t="str">
        <f>IFERROR(INDEX(tEditais[UF],MATCH(tItens[[#This Row],[Edital]],tEditais[Edital],0)),"")</f>
        <v>RJ</v>
      </c>
      <c r="I6538" s="11">
        <f>IFERROR(INDEX(tEditais[Encerramento],MATCH(tItens[[#This Row],[Edital]],tEditais[Edital],0)),"")</f>
        <v>46311.333333333336</v>
      </c>
      <c r="J6538" t="str">
        <f>IFERROR(INDEX(tProdutos[Classe],MATCH(tItens[[#This Row],[Produto]],tProdutos[Produto],0)),"produto não cadastrado")</f>
        <v>FORA</v>
      </c>
      <c r="K6538" s="12">
        <f>tItens[[#This Row],[Qtd]]*tItens[[#This Row],[Vlr unit]]</f>
        <v>117000</v>
      </c>
      <c r="L6538" s="6">
        <f>IFERROR(IF(INDEX(tProdutos[Desconto homologado],MATCH(tItens[[#This Row],[Produto]],tProdutos[Produto],0))="",DescontoPadrao,INDEX(tProdutos[Desconto homologado],MATCH(tItens[[#This Row],[Produto]],tProdutos[Produto],0))),DescontoPadrao)</f>
        <v>0.33168166649812902</v>
      </c>
      <c r="M6538" s="12">
        <f>tItens[[#This Row],[Valor]]*(1-tItens[[#This Row],[Desconto]])</f>
        <v>78193.245019718903</v>
      </c>
      <c r="N6538" t="str">
        <f>IFERROR(INDEX(tProdutos[Foco],MATCH(tItens[[#This Row],[Produto]],tProdutos[Produto],0)),"Não")</f>
        <v>Não</v>
      </c>
      <c r="O6538" t="str">
        <f>IFERROR(INDEX(tEditais[SRP],MATCH(tItens[[#This Row],[Edital]],tEditais[Edital],0)),"Não")</f>
        <v>Sim</v>
      </c>
      <c r="P6538" s="4">
        <f>IF(COUNTIFS(INDEX(tItens[Edital],1):tItens[[#This Row],[Edital]],tItens[[#This Row],[Edital]],INDEX(tItens[Produto],1):tItens[[#This Row],[Produto]],tItens[[#This Row],[Produto]])=1,1,0)</f>
        <v>0</v>
      </c>
    </row>
    <row r="6539" spans="1:16" x14ac:dyDescent="0.25">
      <c r="A6539" t="s">
        <v>2358</v>
      </c>
      <c r="B6539">
        <v>75</v>
      </c>
      <c r="C6539" t="s">
        <v>9230</v>
      </c>
      <c r="D6539" t="s">
        <v>273</v>
      </c>
      <c r="E6539" s="13">
        <v>2</v>
      </c>
      <c r="F6539" s="12">
        <v>32087.5</v>
      </c>
      <c r="G6539" t="str">
        <f>IFERROR(INDEX(tEditais[Órgão],MATCH(tItens[[#This Row],[Edital]],tEditais[Edital],0)),"")</f>
        <v>FUNDO MUNICIPAL DE SAUDE PMVR SMS</v>
      </c>
      <c r="H6539" t="str">
        <f>IFERROR(INDEX(tEditais[UF],MATCH(tItens[[#This Row],[Edital]],tEditais[Edital],0)),"")</f>
        <v>RJ</v>
      </c>
      <c r="I6539" s="11">
        <f>IFERROR(INDEX(tEditais[Encerramento],MATCH(tItens[[#This Row],[Edital]],tEditais[Edital],0)),"")</f>
        <v>46311.333333333336</v>
      </c>
      <c r="J6539" t="str">
        <f>IFERROR(INDEX(tProdutos[Classe],MATCH(tItens[[#This Row],[Produto]],tProdutos[Produto],0)),"produto não cadastrado")</f>
        <v>FORA</v>
      </c>
      <c r="K6539" s="12">
        <f>tItens[[#This Row],[Qtd]]*tItens[[#This Row],[Vlr unit]]</f>
        <v>64175</v>
      </c>
      <c r="L6539" s="6">
        <f>IFERROR(IF(INDEX(tProdutos[Desconto homologado],MATCH(tItens[[#This Row],[Produto]],tProdutos[Produto],0))="",DescontoPadrao,INDEX(tProdutos[Desconto homologado],MATCH(tItens[[#This Row],[Produto]],tProdutos[Produto],0))),DescontoPadrao)</f>
        <v>0.33168166649812902</v>
      </c>
      <c r="M6539" s="12">
        <f>tItens[[#This Row],[Valor]]*(1-tItens[[#This Row],[Desconto]])</f>
        <v>42889.329052482572</v>
      </c>
      <c r="N6539" t="str">
        <f>IFERROR(INDEX(tProdutos[Foco],MATCH(tItens[[#This Row],[Produto]],tProdutos[Produto],0)),"Não")</f>
        <v>Não</v>
      </c>
      <c r="O6539" t="str">
        <f>IFERROR(INDEX(tEditais[SRP],MATCH(tItens[[#This Row],[Edital]],tEditais[Edital],0)),"Não")</f>
        <v>Sim</v>
      </c>
      <c r="P6539" s="4">
        <f>IF(COUNTIFS(INDEX(tItens[Edital],1):tItens[[#This Row],[Edital]],tItens[[#This Row],[Edital]],INDEX(tItens[Produto],1):tItens[[#This Row],[Produto]],tItens[[#This Row],[Produto]])=1,1,0)</f>
        <v>0</v>
      </c>
    </row>
    <row r="6540" spans="1:16" x14ac:dyDescent="0.25">
      <c r="A6540" t="s">
        <v>2361</v>
      </c>
      <c r="B6540">
        <v>4</v>
      </c>
      <c r="C6540" t="s">
        <v>9231</v>
      </c>
      <c r="D6540" t="s">
        <v>160</v>
      </c>
      <c r="E6540" s="13">
        <v>3500</v>
      </c>
      <c r="F6540" s="12">
        <v>0</v>
      </c>
      <c r="G6540" t="str">
        <f>IFERROR(INDEX(tEditais[Órgão],MATCH(tItens[[#This Row],[Edital]],tEditais[Edital],0)),"")</f>
        <v>FUNDACAO OSWALDO CRUZ</v>
      </c>
      <c r="H6540" t="str">
        <f>IFERROR(INDEX(tEditais[UF],MATCH(tItens[[#This Row],[Edital]],tEditais[Edital],0)),"")</f>
        <v>RJ</v>
      </c>
      <c r="I6540" s="11">
        <f>IFERROR(INDEX(tEditais[Encerramento],MATCH(tItens[[#This Row],[Edital]],tEditais[Edital],0)),"")</f>
        <v>46311.416666666664</v>
      </c>
      <c r="J6540" t="str">
        <f>IFERROR(INDEX(tProdutos[Classe],MATCH(tItens[[#This Row],[Produto]],tProdutos[Produto],0)),"produto não cadastrado")</f>
        <v>DISPUTADO</v>
      </c>
      <c r="K6540" s="12">
        <f>tItens[[#This Row],[Qtd]]*tItens[[#This Row],[Vlr unit]]</f>
        <v>0</v>
      </c>
      <c r="L6540" s="6">
        <f>IFERROR(IF(INDEX(tProdutos[Desconto homologado],MATCH(tItens[[#This Row],[Produto]],tProdutos[Produto],0))="",DescontoPadrao,INDEX(tProdutos[Desconto homologado],MATCH(tItens[[#This Row],[Produto]],tProdutos[Produto],0))),DescontoPadrao)</f>
        <v>0.28000000000000003</v>
      </c>
      <c r="M6540" s="12">
        <f>tItens[[#This Row],[Valor]]*(1-tItens[[#This Row],[Desconto]])</f>
        <v>0</v>
      </c>
      <c r="N6540" t="str">
        <f>IFERROR(INDEX(tProdutos[Foco],MATCH(tItens[[#This Row],[Produto]],tProdutos[Produto],0)),"Não")</f>
        <v>Sim</v>
      </c>
      <c r="O6540" t="str">
        <f>IFERROR(INDEX(tEditais[SRP],MATCH(tItens[[#This Row],[Edital]],tEditais[Edital],0)),"Não")</f>
        <v>Não</v>
      </c>
      <c r="P6540" s="4">
        <f>IF(COUNTIFS(INDEX(tItens[Edital],1):tItens[[#This Row],[Edital]],tItens[[#This Row],[Edital]],INDEX(tItens[Produto],1):tItens[[#This Row],[Produto]],tItens[[#This Row],[Produto]])=1,1,0)</f>
        <v>1</v>
      </c>
    </row>
    <row r="6541" spans="1:16" x14ac:dyDescent="0.25">
      <c r="A6541" t="s">
        <v>2361</v>
      </c>
      <c r="B6541">
        <v>5</v>
      </c>
      <c r="C6541" t="s">
        <v>9232</v>
      </c>
      <c r="D6541" t="s">
        <v>160</v>
      </c>
      <c r="E6541" s="13">
        <v>3500</v>
      </c>
      <c r="F6541" s="12">
        <v>0</v>
      </c>
      <c r="G6541" t="str">
        <f>IFERROR(INDEX(tEditais[Órgão],MATCH(tItens[[#This Row],[Edital]],tEditais[Edital],0)),"")</f>
        <v>FUNDACAO OSWALDO CRUZ</v>
      </c>
      <c r="H6541" t="str">
        <f>IFERROR(INDEX(tEditais[UF],MATCH(tItens[[#This Row],[Edital]],tEditais[Edital],0)),"")</f>
        <v>RJ</v>
      </c>
      <c r="I6541" s="11">
        <f>IFERROR(INDEX(tEditais[Encerramento],MATCH(tItens[[#This Row],[Edital]],tEditais[Edital],0)),"")</f>
        <v>46311.416666666664</v>
      </c>
      <c r="J6541" t="str">
        <f>IFERROR(INDEX(tProdutos[Classe],MATCH(tItens[[#This Row],[Produto]],tProdutos[Produto],0)),"produto não cadastrado")</f>
        <v>DISPUTADO</v>
      </c>
      <c r="K6541" s="12">
        <f>tItens[[#This Row],[Qtd]]*tItens[[#This Row],[Vlr unit]]</f>
        <v>0</v>
      </c>
      <c r="L6541" s="6">
        <f>IFERROR(IF(INDEX(tProdutos[Desconto homologado],MATCH(tItens[[#This Row],[Produto]],tProdutos[Produto],0))="",DescontoPadrao,INDEX(tProdutos[Desconto homologado],MATCH(tItens[[#This Row],[Produto]],tProdutos[Produto],0))),DescontoPadrao)</f>
        <v>0.28000000000000003</v>
      </c>
      <c r="M6541" s="12">
        <f>tItens[[#This Row],[Valor]]*(1-tItens[[#This Row],[Desconto]])</f>
        <v>0</v>
      </c>
      <c r="N6541" t="str">
        <f>IFERROR(INDEX(tProdutos[Foco],MATCH(tItens[[#This Row],[Produto]],tProdutos[Produto],0)),"Não")</f>
        <v>Sim</v>
      </c>
      <c r="O6541" t="str">
        <f>IFERROR(INDEX(tEditais[SRP],MATCH(tItens[[#This Row],[Edital]],tEditais[Edital],0)),"Não")</f>
        <v>Não</v>
      </c>
      <c r="P6541" s="4">
        <f>IF(COUNTIFS(INDEX(tItens[Edital],1):tItens[[#This Row],[Edital]],tItens[[#This Row],[Edital]],INDEX(tItens[Produto],1):tItens[[#This Row],[Produto]],tItens[[#This Row],[Produto]])=1,1,0)</f>
        <v>0</v>
      </c>
    </row>
    <row r="6542" spans="1:16" x14ac:dyDescent="0.25">
      <c r="A6542" t="s">
        <v>2361</v>
      </c>
      <c r="B6542">
        <v>6</v>
      </c>
      <c r="C6542" t="s">
        <v>9233</v>
      </c>
      <c r="D6542" t="s">
        <v>160</v>
      </c>
      <c r="E6542" s="13">
        <v>3000</v>
      </c>
      <c r="F6542" s="12">
        <v>0</v>
      </c>
      <c r="G6542" t="str">
        <f>IFERROR(INDEX(tEditais[Órgão],MATCH(tItens[[#This Row],[Edital]],tEditais[Edital],0)),"")</f>
        <v>FUNDACAO OSWALDO CRUZ</v>
      </c>
      <c r="H6542" t="str">
        <f>IFERROR(INDEX(tEditais[UF],MATCH(tItens[[#This Row],[Edital]],tEditais[Edital],0)),"")</f>
        <v>RJ</v>
      </c>
      <c r="I6542" s="11">
        <f>IFERROR(INDEX(tEditais[Encerramento],MATCH(tItens[[#This Row],[Edital]],tEditais[Edital],0)),"")</f>
        <v>46311.416666666664</v>
      </c>
      <c r="J6542" t="str">
        <f>IFERROR(INDEX(tProdutos[Classe],MATCH(tItens[[#This Row],[Produto]],tProdutos[Produto],0)),"produto não cadastrado")</f>
        <v>DISPUTADO</v>
      </c>
      <c r="K6542" s="12">
        <f>tItens[[#This Row],[Qtd]]*tItens[[#This Row],[Vlr unit]]</f>
        <v>0</v>
      </c>
      <c r="L6542" s="6">
        <f>IFERROR(IF(INDEX(tProdutos[Desconto homologado],MATCH(tItens[[#This Row],[Produto]],tProdutos[Produto],0))="",DescontoPadrao,INDEX(tProdutos[Desconto homologado],MATCH(tItens[[#This Row],[Produto]],tProdutos[Produto],0))),DescontoPadrao)</f>
        <v>0.28000000000000003</v>
      </c>
      <c r="M6542" s="12">
        <f>tItens[[#This Row],[Valor]]*(1-tItens[[#This Row],[Desconto]])</f>
        <v>0</v>
      </c>
      <c r="N6542" t="str">
        <f>IFERROR(INDEX(tProdutos[Foco],MATCH(tItens[[#This Row],[Produto]],tProdutos[Produto],0)),"Não")</f>
        <v>Sim</v>
      </c>
      <c r="O6542" t="str">
        <f>IFERROR(INDEX(tEditais[SRP],MATCH(tItens[[#This Row],[Edital]],tEditais[Edital],0)),"Não")</f>
        <v>Não</v>
      </c>
      <c r="P6542" s="4">
        <f>IF(COUNTIFS(INDEX(tItens[Edital],1):tItens[[#This Row],[Edital]],tItens[[#This Row],[Edital]],INDEX(tItens[Produto],1):tItens[[#This Row],[Produto]],tItens[[#This Row],[Produto]])=1,1,0)</f>
        <v>0</v>
      </c>
    </row>
    <row r="6543" spans="1:16" x14ac:dyDescent="0.25">
      <c r="A6543" t="s">
        <v>2361</v>
      </c>
      <c r="B6543">
        <v>15</v>
      </c>
      <c r="C6543" t="s">
        <v>9234</v>
      </c>
      <c r="D6543" t="s">
        <v>104</v>
      </c>
      <c r="E6543" s="13">
        <v>500</v>
      </c>
      <c r="F6543" s="12">
        <v>0</v>
      </c>
      <c r="G6543" t="str">
        <f>IFERROR(INDEX(tEditais[Órgão],MATCH(tItens[[#This Row],[Edital]],tEditais[Edital],0)),"")</f>
        <v>FUNDACAO OSWALDO CRUZ</v>
      </c>
      <c r="H6543" t="str">
        <f>IFERROR(INDEX(tEditais[UF],MATCH(tItens[[#This Row],[Edital]],tEditais[Edital],0)),"")</f>
        <v>RJ</v>
      </c>
      <c r="I6543" s="11">
        <f>IFERROR(INDEX(tEditais[Encerramento],MATCH(tItens[[#This Row],[Edital]],tEditais[Edital],0)),"")</f>
        <v>46311.416666666664</v>
      </c>
      <c r="J6543" t="str">
        <f>IFERROR(INDEX(tProdutos[Classe],MATCH(tItens[[#This Row],[Produto]],tProdutos[Produto],0)),"produto não cadastrado")</f>
        <v>DISPUTADO</v>
      </c>
      <c r="K6543" s="12">
        <f>tItens[[#This Row],[Qtd]]*tItens[[#This Row],[Vlr unit]]</f>
        <v>0</v>
      </c>
      <c r="L6543" s="6">
        <f>IFERROR(IF(INDEX(tProdutos[Desconto homologado],MATCH(tItens[[#This Row],[Produto]],tProdutos[Produto],0))="",DescontoPadrao,INDEX(tProdutos[Desconto homologado],MATCH(tItens[[#This Row],[Produto]],tProdutos[Produto],0))),DescontoPadrao)</f>
        <v>0.51</v>
      </c>
      <c r="M6543" s="12">
        <f>tItens[[#This Row],[Valor]]*(1-tItens[[#This Row],[Desconto]])</f>
        <v>0</v>
      </c>
      <c r="N6543" t="str">
        <f>IFERROR(INDEX(tProdutos[Foco],MATCH(tItens[[#This Row],[Produto]],tProdutos[Produto],0)),"Não")</f>
        <v>Sim</v>
      </c>
      <c r="O6543" t="str">
        <f>IFERROR(INDEX(tEditais[SRP],MATCH(tItens[[#This Row],[Edital]],tEditais[Edital],0)),"Não")</f>
        <v>Não</v>
      </c>
      <c r="P6543" s="4">
        <f>IF(COUNTIFS(INDEX(tItens[Edital],1):tItens[[#This Row],[Edital]],tItens[[#This Row],[Edital]],INDEX(tItens[Produto],1):tItens[[#This Row],[Produto]],tItens[[#This Row],[Produto]])=1,1,0)</f>
        <v>1</v>
      </c>
    </row>
    <row r="6544" spans="1:16" x14ac:dyDescent="0.25">
      <c r="A6544" t="s">
        <v>2361</v>
      </c>
      <c r="B6544">
        <v>16</v>
      </c>
      <c r="C6544" t="s">
        <v>9235</v>
      </c>
      <c r="D6544" t="s">
        <v>67</v>
      </c>
      <c r="E6544" s="13">
        <v>5000</v>
      </c>
      <c r="F6544" s="12">
        <v>0</v>
      </c>
      <c r="G6544" t="str">
        <f>IFERROR(INDEX(tEditais[Órgão],MATCH(tItens[[#This Row],[Edital]],tEditais[Edital],0)),"")</f>
        <v>FUNDACAO OSWALDO CRUZ</v>
      </c>
      <c r="H6544" t="str">
        <f>IFERROR(INDEX(tEditais[UF],MATCH(tItens[[#This Row],[Edital]],tEditais[Edital],0)),"")</f>
        <v>RJ</v>
      </c>
      <c r="I6544" s="11">
        <f>IFERROR(INDEX(tEditais[Encerramento],MATCH(tItens[[#This Row],[Edital]],tEditais[Edital],0)),"")</f>
        <v>46311.416666666664</v>
      </c>
      <c r="J6544" t="str">
        <f>IFERROR(INDEX(tProdutos[Classe],MATCH(tItens[[#This Row],[Produto]],tProdutos[Produto],0)),"produto não cadastrado")</f>
        <v>NÚCLEO</v>
      </c>
      <c r="K6544" s="12">
        <f>tItens[[#This Row],[Qtd]]*tItens[[#This Row],[Vlr unit]]</f>
        <v>0</v>
      </c>
      <c r="L6544" s="6">
        <f>IFERROR(IF(INDEX(tProdutos[Desconto homologado],MATCH(tItens[[#This Row],[Produto]],tProdutos[Produto],0))="",DescontoPadrao,INDEX(tProdutos[Desconto homologado],MATCH(tItens[[#This Row],[Produto]],tProdutos[Produto],0))),DescontoPadrao)</f>
        <v>0.35766423357664201</v>
      </c>
      <c r="M6544" s="12">
        <f>tItens[[#This Row],[Valor]]*(1-tItens[[#This Row],[Desconto]])</f>
        <v>0</v>
      </c>
      <c r="N6544" t="str">
        <f>IFERROR(INDEX(tProdutos[Foco],MATCH(tItens[[#This Row],[Produto]],tProdutos[Produto],0)),"Não")</f>
        <v>Não</v>
      </c>
      <c r="O6544" t="str">
        <f>IFERROR(INDEX(tEditais[SRP],MATCH(tItens[[#This Row],[Edital]],tEditais[Edital],0)),"Não")</f>
        <v>Não</v>
      </c>
      <c r="P6544" s="4">
        <f>IF(COUNTIFS(INDEX(tItens[Edital],1):tItens[[#This Row],[Edital]],tItens[[#This Row],[Edital]],INDEX(tItens[Produto],1):tItens[[#This Row],[Produto]],tItens[[#This Row],[Produto]])=1,1,0)</f>
        <v>1</v>
      </c>
    </row>
    <row r="6545" spans="1:16" x14ac:dyDescent="0.25">
      <c r="A6545" t="s">
        <v>2361</v>
      </c>
      <c r="B6545">
        <v>17</v>
      </c>
      <c r="C6545" t="s">
        <v>9236</v>
      </c>
      <c r="D6545" t="s">
        <v>104</v>
      </c>
      <c r="E6545" s="13">
        <v>300</v>
      </c>
      <c r="F6545" s="12">
        <v>0</v>
      </c>
      <c r="G6545" t="str">
        <f>IFERROR(INDEX(tEditais[Órgão],MATCH(tItens[[#This Row],[Edital]],tEditais[Edital],0)),"")</f>
        <v>FUNDACAO OSWALDO CRUZ</v>
      </c>
      <c r="H6545" t="str">
        <f>IFERROR(INDEX(tEditais[UF],MATCH(tItens[[#This Row],[Edital]],tEditais[Edital],0)),"")</f>
        <v>RJ</v>
      </c>
      <c r="I6545" s="11">
        <f>IFERROR(INDEX(tEditais[Encerramento],MATCH(tItens[[#This Row],[Edital]],tEditais[Edital],0)),"")</f>
        <v>46311.416666666664</v>
      </c>
      <c r="J6545" t="str">
        <f>IFERROR(INDEX(tProdutos[Classe],MATCH(tItens[[#This Row],[Produto]],tProdutos[Produto],0)),"produto não cadastrado")</f>
        <v>DISPUTADO</v>
      </c>
      <c r="K6545" s="12">
        <f>tItens[[#This Row],[Qtd]]*tItens[[#This Row],[Vlr unit]]</f>
        <v>0</v>
      </c>
      <c r="L6545" s="6">
        <f>IFERROR(IF(INDEX(tProdutos[Desconto homologado],MATCH(tItens[[#This Row],[Produto]],tProdutos[Produto],0))="",DescontoPadrao,INDEX(tProdutos[Desconto homologado],MATCH(tItens[[#This Row],[Produto]],tProdutos[Produto],0))),DescontoPadrao)</f>
        <v>0.51</v>
      </c>
      <c r="M6545" s="12">
        <f>tItens[[#This Row],[Valor]]*(1-tItens[[#This Row],[Desconto]])</f>
        <v>0</v>
      </c>
      <c r="N6545" t="str">
        <f>IFERROR(INDEX(tProdutos[Foco],MATCH(tItens[[#This Row],[Produto]],tProdutos[Produto],0)),"Não")</f>
        <v>Sim</v>
      </c>
      <c r="O6545" t="str">
        <f>IFERROR(INDEX(tEditais[SRP],MATCH(tItens[[#This Row],[Edital]],tEditais[Edital],0)),"Não")</f>
        <v>Não</v>
      </c>
      <c r="P6545" s="4">
        <f>IF(COUNTIFS(INDEX(tItens[Edital],1):tItens[[#This Row],[Edital]],tItens[[#This Row],[Edital]],INDEX(tItens[Produto],1):tItens[[#This Row],[Produto]],tItens[[#This Row],[Produto]])=1,1,0)</f>
        <v>0</v>
      </c>
    </row>
    <row r="6546" spans="1:16" x14ac:dyDescent="0.25">
      <c r="A6546" t="s">
        <v>2361</v>
      </c>
      <c r="B6546">
        <v>18</v>
      </c>
      <c r="C6546" t="s">
        <v>9237</v>
      </c>
      <c r="D6546" t="s">
        <v>104</v>
      </c>
      <c r="E6546" s="13">
        <v>1000</v>
      </c>
      <c r="F6546" s="12">
        <v>0</v>
      </c>
      <c r="G6546" t="str">
        <f>IFERROR(INDEX(tEditais[Órgão],MATCH(tItens[[#This Row],[Edital]],tEditais[Edital],0)),"")</f>
        <v>FUNDACAO OSWALDO CRUZ</v>
      </c>
      <c r="H6546" t="str">
        <f>IFERROR(INDEX(tEditais[UF],MATCH(tItens[[#This Row],[Edital]],tEditais[Edital],0)),"")</f>
        <v>RJ</v>
      </c>
      <c r="I6546" s="11">
        <f>IFERROR(INDEX(tEditais[Encerramento],MATCH(tItens[[#This Row],[Edital]],tEditais[Edital],0)),"")</f>
        <v>46311.416666666664</v>
      </c>
      <c r="J6546" t="str">
        <f>IFERROR(INDEX(tProdutos[Classe],MATCH(tItens[[#This Row],[Produto]],tProdutos[Produto],0)),"produto não cadastrado")</f>
        <v>DISPUTADO</v>
      </c>
      <c r="K6546" s="12">
        <f>tItens[[#This Row],[Qtd]]*tItens[[#This Row],[Vlr unit]]</f>
        <v>0</v>
      </c>
      <c r="L6546" s="6">
        <f>IFERROR(IF(INDEX(tProdutos[Desconto homologado],MATCH(tItens[[#This Row],[Produto]],tProdutos[Produto],0))="",DescontoPadrao,INDEX(tProdutos[Desconto homologado],MATCH(tItens[[#This Row],[Produto]],tProdutos[Produto],0))),DescontoPadrao)</f>
        <v>0.51</v>
      </c>
      <c r="M6546" s="12">
        <f>tItens[[#This Row],[Valor]]*(1-tItens[[#This Row],[Desconto]])</f>
        <v>0</v>
      </c>
      <c r="N6546" t="str">
        <f>IFERROR(INDEX(tProdutos[Foco],MATCH(tItens[[#This Row],[Produto]],tProdutos[Produto],0)),"Não")</f>
        <v>Sim</v>
      </c>
      <c r="O6546" t="str">
        <f>IFERROR(INDEX(tEditais[SRP],MATCH(tItens[[#This Row],[Edital]],tEditais[Edital],0)),"Não")</f>
        <v>Não</v>
      </c>
      <c r="P6546" s="4">
        <f>IF(COUNTIFS(INDEX(tItens[Edital],1):tItens[[#This Row],[Edital]],tItens[[#This Row],[Edital]],INDEX(tItens[Produto],1):tItens[[#This Row],[Produto]],tItens[[#This Row],[Produto]])=1,1,0)</f>
        <v>0</v>
      </c>
    </row>
    <row r="6547" spans="1:16" x14ac:dyDescent="0.25">
      <c r="A6547" t="s">
        <v>2361</v>
      </c>
      <c r="B6547">
        <v>28</v>
      </c>
      <c r="C6547" t="s">
        <v>9238</v>
      </c>
      <c r="D6547" t="s">
        <v>411</v>
      </c>
      <c r="E6547" s="13">
        <v>300</v>
      </c>
      <c r="F6547" s="12">
        <v>0</v>
      </c>
      <c r="G6547" t="str">
        <f>IFERROR(INDEX(tEditais[Órgão],MATCH(tItens[[#This Row],[Edital]],tEditais[Edital],0)),"")</f>
        <v>FUNDACAO OSWALDO CRUZ</v>
      </c>
      <c r="H6547" t="str">
        <f>IFERROR(INDEX(tEditais[UF],MATCH(tItens[[#This Row],[Edital]],tEditais[Edital],0)),"")</f>
        <v>RJ</v>
      </c>
      <c r="I6547" s="11">
        <f>IFERROR(INDEX(tEditais[Encerramento],MATCH(tItens[[#This Row],[Edital]],tEditais[Edital],0)),"")</f>
        <v>46311.416666666664</v>
      </c>
      <c r="J6547" t="str">
        <f>IFERROR(INDEX(tProdutos[Classe],MATCH(tItens[[#This Row],[Produto]],tProdutos[Produto],0)),"produto não cadastrado")</f>
        <v>FORA</v>
      </c>
      <c r="K6547" s="12">
        <f>tItens[[#This Row],[Qtd]]*tItens[[#This Row],[Vlr unit]]</f>
        <v>0</v>
      </c>
      <c r="L6547" s="6">
        <f>IFERROR(IF(INDEX(tProdutos[Desconto homologado],MATCH(tItens[[#This Row],[Produto]],tProdutos[Produto],0))="",DescontoPadrao,INDEX(tProdutos[Desconto homologado],MATCH(tItens[[#This Row],[Produto]],tProdutos[Produto],0))),DescontoPadrao)</f>
        <v>0.50029835957199398</v>
      </c>
      <c r="M6547" s="12">
        <f>tItens[[#This Row],[Valor]]*(1-tItens[[#This Row],[Desconto]])</f>
        <v>0</v>
      </c>
      <c r="N6547" t="str">
        <f>IFERROR(INDEX(tProdutos[Foco],MATCH(tItens[[#This Row],[Produto]],tProdutos[Produto],0)),"Não")</f>
        <v>Não</v>
      </c>
      <c r="O6547" t="str">
        <f>IFERROR(INDEX(tEditais[SRP],MATCH(tItens[[#This Row],[Edital]],tEditais[Edital],0)),"Não")</f>
        <v>Não</v>
      </c>
      <c r="P6547" s="4">
        <f>IF(COUNTIFS(INDEX(tItens[Edital],1):tItens[[#This Row],[Edital]],tItens[[#This Row],[Edital]],INDEX(tItens[Produto],1):tItens[[#This Row],[Produto]],tItens[[#This Row],[Produto]])=1,1,0)</f>
        <v>1</v>
      </c>
    </row>
    <row r="6548" spans="1:16" x14ac:dyDescent="0.25">
      <c r="A6548" t="s">
        <v>2364</v>
      </c>
      <c r="B6548">
        <v>28</v>
      </c>
      <c r="C6548" t="s">
        <v>9239</v>
      </c>
      <c r="D6548" t="s">
        <v>144</v>
      </c>
      <c r="E6548" s="13">
        <v>4060</v>
      </c>
      <c r="F6548" s="12">
        <v>0</v>
      </c>
      <c r="G6548" t="str">
        <f>IFERROR(INDEX(tEditais[Órgão],MATCH(tItens[[#This Row],[Edital]],tEditais[Edital],0)),"")</f>
        <v>EMPRESA BRASILEIRA DE SERVICOS HOSPITALARES - EBSERH</v>
      </c>
      <c r="H6548" t="str">
        <f>IFERROR(INDEX(tEditais[UF],MATCH(tItens[[#This Row],[Edital]],tEditais[Edital],0)),"")</f>
        <v>RJ</v>
      </c>
      <c r="I6548" s="11">
        <f>IFERROR(INDEX(tEditais[Encerramento],MATCH(tItens[[#This Row],[Edital]],tEditais[Edital],0)),"")</f>
        <v>46314.416666666664</v>
      </c>
      <c r="J6548" t="str">
        <f>IFERROR(INDEX(tProdutos[Classe],MATCH(tItens[[#This Row],[Produto]],tProdutos[Produto],0)),"produto não cadastrado")</f>
        <v>DISPUTADO</v>
      </c>
      <c r="K6548" s="12">
        <f>tItens[[#This Row],[Qtd]]*tItens[[#This Row],[Vlr unit]]</f>
        <v>0</v>
      </c>
      <c r="L6548" s="6">
        <f>IFERROR(IF(INDEX(tProdutos[Desconto homologado],MATCH(tItens[[#This Row],[Produto]],tProdutos[Produto],0))="",DescontoPadrao,INDEX(tProdutos[Desconto homologado],MATCH(tItens[[#This Row],[Produto]],tProdutos[Produto],0))),DescontoPadrao)</f>
        <v>0.371428571428571</v>
      </c>
      <c r="M6548" s="12">
        <f>tItens[[#This Row],[Valor]]*(1-tItens[[#This Row],[Desconto]])</f>
        <v>0</v>
      </c>
      <c r="N6548" t="str">
        <f>IFERROR(INDEX(tProdutos[Foco],MATCH(tItens[[#This Row],[Produto]],tProdutos[Produto],0)),"Não")</f>
        <v>Não</v>
      </c>
      <c r="O6548" t="str">
        <f>IFERROR(INDEX(tEditais[SRP],MATCH(tItens[[#This Row],[Edital]],tEditais[Edital],0)),"Não")</f>
        <v>Não</v>
      </c>
      <c r="P6548" s="4">
        <f>IF(COUNTIFS(INDEX(tItens[Edital],1):tItens[[#This Row],[Edital]],tItens[[#This Row],[Edital]],INDEX(tItens[Produto],1):tItens[[#This Row],[Produto]],tItens[[#This Row],[Produto]])=1,1,0)</f>
        <v>1</v>
      </c>
    </row>
    <row r="6549" spans="1:16" x14ac:dyDescent="0.25">
      <c r="A6549" t="s">
        <v>2364</v>
      </c>
      <c r="B6549">
        <v>29</v>
      </c>
      <c r="C6549" t="s">
        <v>9240</v>
      </c>
      <c r="D6549" t="s">
        <v>144</v>
      </c>
      <c r="E6549" s="13">
        <v>1830</v>
      </c>
      <c r="F6549" s="12">
        <v>0</v>
      </c>
      <c r="G6549" t="str">
        <f>IFERROR(INDEX(tEditais[Órgão],MATCH(tItens[[#This Row],[Edital]],tEditais[Edital],0)),"")</f>
        <v>EMPRESA BRASILEIRA DE SERVICOS HOSPITALARES - EBSERH</v>
      </c>
      <c r="H6549" t="str">
        <f>IFERROR(INDEX(tEditais[UF],MATCH(tItens[[#This Row],[Edital]],tEditais[Edital],0)),"")</f>
        <v>RJ</v>
      </c>
      <c r="I6549" s="11">
        <f>IFERROR(INDEX(tEditais[Encerramento],MATCH(tItens[[#This Row],[Edital]],tEditais[Edital],0)),"")</f>
        <v>46314.416666666664</v>
      </c>
      <c r="J6549" t="str">
        <f>IFERROR(INDEX(tProdutos[Classe],MATCH(tItens[[#This Row],[Produto]],tProdutos[Produto],0)),"produto não cadastrado")</f>
        <v>DISPUTADO</v>
      </c>
      <c r="K6549" s="12">
        <f>tItens[[#This Row],[Qtd]]*tItens[[#This Row],[Vlr unit]]</f>
        <v>0</v>
      </c>
      <c r="L6549" s="6">
        <f>IFERROR(IF(INDEX(tProdutos[Desconto homologado],MATCH(tItens[[#This Row],[Produto]],tProdutos[Produto],0))="",DescontoPadrao,INDEX(tProdutos[Desconto homologado],MATCH(tItens[[#This Row],[Produto]],tProdutos[Produto],0))),DescontoPadrao)</f>
        <v>0.371428571428571</v>
      </c>
      <c r="M6549" s="12">
        <f>tItens[[#This Row],[Valor]]*(1-tItens[[#This Row],[Desconto]])</f>
        <v>0</v>
      </c>
      <c r="N6549" t="str">
        <f>IFERROR(INDEX(tProdutos[Foco],MATCH(tItens[[#This Row],[Produto]],tProdutos[Produto],0)),"Não")</f>
        <v>Não</v>
      </c>
      <c r="O6549" t="str">
        <f>IFERROR(INDEX(tEditais[SRP],MATCH(tItens[[#This Row],[Edital]],tEditais[Edital],0)),"Não")</f>
        <v>Não</v>
      </c>
      <c r="P6549" s="4">
        <f>IF(COUNTIFS(INDEX(tItens[Edital],1):tItens[[#This Row],[Edital]],tItens[[#This Row],[Edital]],INDEX(tItens[Produto],1):tItens[[#This Row],[Produto]],tItens[[#This Row],[Produto]])=1,1,0)</f>
        <v>0</v>
      </c>
    </row>
    <row r="6550" spans="1:16" x14ac:dyDescent="0.25">
      <c r="A6550" t="s">
        <v>2364</v>
      </c>
      <c r="B6550">
        <v>30</v>
      </c>
      <c r="C6550" t="s">
        <v>9241</v>
      </c>
      <c r="D6550" t="s">
        <v>144</v>
      </c>
      <c r="E6550" s="13">
        <v>3450</v>
      </c>
      <c r="F6550" s="12">
        <v>0</v>
      </c>
      <c r="G6550" t="str">
        <f>IFERROR(INDEX(tEditais[Órgão],MATCH(tItens[[#This Row],[Edital]],tEditais[Edital],0)),"")</f>
        <v>EMPRESA BRASILEIRA DE SERVICOS HOSPITALARES - EBSERH</v>
      </c>
      <c r="H6550" t="str">
        <f>IFERROR(INDEX(tEditais[UF],MATCH(tItens[[#This Row],[Edital]],tEditais[Edital],0)),"")</f>
        <v>RJ</v>
      </c>
      <c r="I6550" s="11">
        <f>IFERROR(INDEX(tEditais[Encerramento],MATCH(tItens[[#This Row],[Edital]],tEditais[Edital],0)),"")</f>
        <v>46314.416666666664</v>
      </c>
      <c r="J6550" t="str">
        <f>IFERROR(INDEX(tProdutos[Classe],MATCH(tItens[[#This Row],[Produto]],tProdutos[Produto],0)),"produto não cadastrado")</f>
        <v>DISPUTADO</v>
      </c>
      <c r="K6550" s="12">
        <f>tItens[[#This Row],[Qtd]]*tItens[[#This Row],[Vlr unit]]</f>
        <v>0</v>
      </c>
      <c r="L6550" s="6">
        <f>IFERROR(IF(INDEX(tProdutos[Desconto homologado],MATCH(tItens[[#This Row],[Produto]],tProdutos[Produto],0))="",DescontoPadrao,INDEX(tProdutos[Desconto homologado],MATCH(tItens[[#This Row],[Produto]],tProdutos[Produto],0))),DescontoPadrao)</f>
        <v>0.371428571428571</v>
      </c>
      <c r="M6550" s="12">
        <f>tItens[[#This Row],[Valor]]*(1-tItens[[#This Row],[Desconto]])</f>
        <v>0</v>
      </c>
      <c r="N6550" t="str">
        <f>IFERROR(INDEX(tProdutos[Foco],MATCH(tItens[[#This Row],[Produto]],tProdutos[Produto],0)),"Não")</f>
        <v>Não</v>
      </c>
      <c r="O6550" t="str">
        <f>IFERROR(INDEX(tEditais[SRP],MATCH(tItens[[#This Row],[Edital]],tEditais[Edital],0)),"Não")</f>
        <v>Não</v>
      </c>
      <c r="P6550" s="4">
        <f>IF(COUNTIFS(INDEX(tItens[Edital],1):tItens[[#This Row],[Edital]],tItens[[#This Row],[Edital]],INDEX(tItens[Produto],1):tItens[[#This Row],[Produto]],tItens[[#This Row],[Produto]])=1,1,0)</f>
        <v>0</v>
      </c>
    </row>
    <row r="6551" spans="1:16" x14ac:dyDescent="0.25">
      <c r="A6551" t="s">
        <v>2364</v>
      </c>
      <c r="B6551">
        <v>31</v>
      </c>
      <c r="C6551" t="s">
        <v>4223</v>
      </c>
      <c r="D6551" t="s">
        <v>144</v>
      </c>
      <c r="E6551" s="13">
        <v>6800</v>
      </c>
      <c r="F6551" s="12">
        <v>0</v>
      </c>
      <c r="G6551" t="str">
        <f>IFERROR(INDEX(tEditais[Órgão],MATCH(tItens[[#This Row],[Edital]],tEditais[Edital],0)),"")</f>
        <v>EMPRESA BRASILEIRA DE SERVICOS HOSPITALARES - EBSERH</v>
      </c>
      <c r="H6551" t="str">
        <f>IFERROR(INDEX(tEditais[UF],MATCH(tItens[[#This Row],[Edital]],tEditais[Edital],0)),"")</f>
        <v>RJ</v>
      </c>
      <c r="I6551" s="11">
        <f>IFERROR(INDEX(tEditais[Encerramento],MATCH(tItens[[#This Row],[Edital]],tEditais[Edital],0)),"")</f>
        <v>46314.416666666664</v>
      </c>
      <c r="J6551" t="str">
        <f>IFERROR(INDEX(tProdutos[Classe],MATCH(tItens[[#This Row],[Produto]],tProdutos[Produto],0)),"produto não cadastrado")</f>
        <v>DISPUTADO</v>
      </c>
      <c r="K6551" s="12">
        <f>tItens[[#This Row],[Qtd]]*tItens[[#This Row],[Vlr unit]]</f>
        <v>0</v>
      </c>
      <c r="L6551" s="6">
        <f>IFERROR(IF(INDEX(tProdutos[Desconto homologado],MATCH(tItens[[#This Row],[Produto]],tProdutos[Produto],0))="",DescontoPadrao,INDEX(tProdutos[Desconto homologado],MATCH(tItens[[#This Row],[Produto]],tProdutos[Produto],0))),DescontoPadrao)</f>
        <v>0.371428571428571</v>
      </c>
      <c r="M6551" s="12">
        <f>tItens[[#This Row],[Valor]]*(1-tItens[[#This Row],[Desconto]])</f>
        <v>0</v>
      </c>
      <c r="N6551" t="str">
        <f>IFERROR(INDEX(tProdutos[Foco],MATCH(tItens[[#This Row],[Produto]],tProdutos[Produto],0)),"Não")</f>
        <v>Não</v>
      </c>
      <c r="O6551" t="str">
        <f>IFERROR(INDEX(tEditais[SRP],MATCH(tItens[[#This Row],[Edital]],tEditais[Edital],0)),"Não")</f>
        <v>Não</v>
      </c>
      <c r="P6551" s="4">
        <f>IF(COUNTIFS(INDEX(tItens[Edital],1):tItens[[#This Row],[Edital]],tItens[[#This Row],[Edital]],INDEX(tItens[Produto],1):tItens[[#This Row],[Produto]],tItens[[#This Row],[Produto]])=1,1,0)</f>
        <v>0</v>
      </c>
    </row>
    <row r="6552" spans="1:16" x14ac:dyDescent="0.25">
      <c r="A6552" t="s">
        <v>2364</v>
      </c>
      <c r="B6552">
        <v>48</v>
      </c>
      <c r="C6552" t="s">
        <v>4225</v>
      </c>
      <c r="D6552" t="s">
        <v>140</v>
      </c>
      <c r="E6552" s="13">
        <v>1430</v>
      </c>
      <c r="F6552" s="12">
        <v>0</v>
      </c>
      <c r="G6552" t="str">
        <f>IFERROR(INDEX(tEditais[Órgão],MATCH(tItens[[#This Row],[Edital]],tEditais[Edital],0)),"")</f>
        <v>EMPRESA BRASILEIRA DE SERVICOS HOSPITALARES - EBSERH</v>
      </c>
      <c r="H6552" t="str">
        <f>IFERROR(INDEX(tEditais[UF],MATCH(tItens[[#This Row],[Edital]],tEditais[Edital],0)),"")</f>
        <v>RJ</v>
      </c>
      <c r="I6552" s="11">
        <f>IFERROR(INDEX(tEditais[Encerramento],MATCH(tItens[[#This Row],[Edital]],tEditais[Edital],0)),"")</f>
        <v>46314.416666666664</v>
      </c>
      <c r="J6552" t="str">
        <f>IFERROR(INDEX(tProdutos[Classe],MATCH(tItens[[#This Row],[Produto]],tProdutos[Produto],0)),"produto não cadastrado")</f>
        <v>DISPUTADO</v>
      </c>
      <c r="K6552" s="12">
        <f>tItens[[#This Row],[Qtd]]*tItens[[#This Row],[Vlr unit]]</f>
        <v>0</v>
      </c>
      <c r="L6552" s="6">
        <f>IFERROR(IF(INDEX(tProdutos[Desconto homologado],MATCH(tItens[[#This Row],[Produto]],tProdutos[Produto],0))="",DescontoPadrao,INDEX(tProdutos[Desconto homologado],MATCH(tItens[[#This Row],[Produto]],tProdutos[Produto],0))),DescontoPadrao)</f>
        <v>0.48560177208958899</v>
      </c>
      <c r="M6552" s="12">
        <f>tItens[[#This Row],[Valor]]*(1-tItens[[#This Row],[Desconto]])</f>
        <v>0</v>
      </c>
      <c r="N6552" t="str">
        <f>IFERROR(INDEX(tProdutos[Foco],MATCH(tItens[[#This Row],[Produto]],tProdutos[Produto],0)),"Não")</f>
        <v>Não</v>
      </c>
      <c r="O6552" t="str">
        <f>IFERROR(INDEX(tEditais[SRP],MATCH(tItens[[#This Row],[Edital]],tEditais[Edital],0)),"Não")</f>
        <v>Não</v>
      </c>
      <c r="P6552" s="4">
        <f>IF(COUNTIFS(INDEX(tItens[Edital],1):tItens[[#This Row],[Edital]],tItens[[#This Row],[Edital]],INDEX(tItens[Produto],1):tItens[[#This Row],[Produto]],tItens[[#This Row],[Produto]])=1,1,0)</f>
        <v>1</v>
      </c>
    </row>
    <row r="6553" spans="1:16" x14ac:dyDescent="0.25">
      <c r="A6553" t="s">
        <v>2364</v>
      </c>
      <c r="B6553">
        <v>75</v>
      </c>
      <c r="C6553" t="s">
        <v>9242</v>
      </c>
      <c r="D6553" t="s">
        <v>267</v>
      </c>
      <c r="E6553" s="13">
        <v>2030</v>
      </c>
      <c r="F6553" s="12">
        <v>0</v>
      </c>
      <c r="G6553" t="str">
        <f>IFERROR(INDEX(tEditais[Órgão],MATCH(tItens[[#This Row],[Edital]],tEditais[Edital],0)),"")</f>
        <v>EMPRESA BRASILEIRA DE SERVICOS HOSPITALARES - EBSERH</v>
      </c>
      <c r="H6553" t="str">
        <f>IFERROR(INDEX(tEditais[UF],MATCH(tItens[[#This Row],[Edital]],tEditais[Edital],0)),"")</f>
        <v>RJ</v>
      </c>
      <c r="I6553" s="11">
        <f>IFERROR(INDEX(tEditais[Encerramento],MATCH(tItens[[#This Row],[Edital]],tEditais[Edital],0)),"")</f>
        <v>46314.416666666664</v>
      </c>
      <c r="J6553" t="str">
        <f>IFERROR(INDEX(tProdutos[Classe],MATCH(tItens[[#This Row],[Produto]],tProdutos[Produto],0)),"produto não cadastrado")</f>
        <v>FORA</v>
      </c>
      <c r="K6553" s="12">
        <f>tItens[[#This Row],[Qtd]]*tItens[[#This Row],[Vlr unit]]</f>
        <v>0</v>
      </c>
      <c r="L6553" s="6">
        <f>IFERROR(IF(INDEX(tProdutos[Desconto homologado],MATCH(tItens[[#This Row],[Produto]],tProdutos[Produto],0))="",DescontoPadrao,INDEX(tProdutos[Desconto homologado],MATCH(tItens[[#This Row],[Produto]],tProdutos[Produto],0))),DescontoPadrao)</f>
        <v>0.19963672657401599</v>
      </c>
      <c r="M6553" s="12">
        <f>tItens[[#This Row],[Valor]]*(1-tItens[[#This Row],[Desconto]])</f>
        <v>0</v>
      </c>
      <c r="N6553" t="str">
        <f>IFERROR(INDEX(tProdutos[Foco],MATCH(tItens[[#This Row],[Produto]],tProdutos[Produto],0)),"Não")</f>
        <v>Não</v>
      </c>
      <c r="O6553" t="str">
        <f>IFERROR(INDEX(tEditais[SRP],MATCH(tItens[[#This Row],[Edital]],tEditais[Edital],0)),"Não")</f>
        <v>Não</v>
      </c>
      <c r="P6553" s="4">
        <f>IF(COUNTIFS(INDEX(tItens[Edital],1):tItens[[#This Row],[Edital]],tItens[[#This Row],[Edital]],INDEX(tItens[Produto],1):tItens[[#This Row],[Produto]],tItens[[#This Row],[Produto]])=1,1,0)</f>
        <v>1</v>
      </c>
    </row>
    <row r="6554" spans="1:16" x14ac:dyDescent="0.25">
      <c r="A6554" t="s">
        <v>2367</v>
      </c>
      <c r="B6554">
        <v>4</v>
      </c>
      <c r="C6554" t="s">
        <v>9243</v>
      </c>
      <c r="D6554" t="s">
        <v>403</v>
      </c>
      <c r="E6554" s="13">
        <v>1300</v>
      </c>
      <c r="F6554" s="12">
        <v>1.17</v>
      </c>
      <c r="G6554" t="str">
        <f>IFERROR(INDEX(tEditais[Órgão],MATCH(tItens[[#This Row],[Edital]],tEditais[Edital],0)),"")</f>
        <v>MINISTERIO DA SAUDE</v>
      </c>
      <c r="H6554" t="str">
        <f>IFERROR(INDEX(tEditais[UF],MATCH(tItens[[#This Row],[Edital]],tEditais[Edital],0)),"")</f>
        <v>RJ</v>
      </c>
      <c r="I6554" s="11">
        <f>IFERROR(INDEX(tEditais[Encerramento],MATCH(tItens[[#This Row],[Edital]],tEditais[Edital],0)),"")</f>
        <v>46314.416666666664</v>
      </c>
      <c r="J6554" t="str">
        <f>IFERROR(INDEX(tProdutos[Classe],MATCH(tItens[[#This Row],[Produto]],tProdutos[Produto],0)),"produto não cadastrado")</f>
        <v>FORA</v>
      </c>
      <c r="K6554" s="12">
        <f>tItens[[#This Row],[Qtd]]*tItens[[#This Row],[Vlr unit]]</f>
        <v>1521</v>
      </c>
      <c r="L6554" s="6">
        <f>IFERROR(IF(INDEX(tProdutos[Desconto homologado],MATCH(tItens[[#This Row],[Produto]],tProdutos[Produto],0))="",DescontoPadrao,INDEX(tProdutos[Desconto homologado],MATCH(tItens[[#This Row],[Produto]],tProdutos[Produto],0))),DescontoPadrao)</f>
        <v>0.35326086956521702</v>
      </c>
      <c r="M6554" s="12">
        <f>tItens[[#This Row],[Valor]]*(1-tItens[[#This Row],[Desconto]])</f>
        <v>983.69021739130483</v>
      </c>
      <c r="N6554" t="str">
        <f>IFERROR(INDEX(tProdutos[Foco],MATCH(tItens[[#This Row],[Produto]],tProdutos[Produto],0)),"Não")</f>
        <v>Não</v>
      </c>
      <c r="O6554" t="str">
        <f>IFERROR(INDEX(tEditais[SRP],MATCH(tItens[[#This Row],[Edital]],tEditais[Edital],0)),"Não")</f>
        <v>Não</v>
      </c>
      <c r="P6554" s="4">
        <f>IF(COUNTIFS(INDEX(tItens[Edital],1):tItens[[#This Row],[Edital]],tItens[[#This Row],[Edital]],INDEX(tItens[Produto],1):tItens[[#This Row],[Produto]],tItens[[#This Row],[Produto]])=1,1,0)</f>
        <v>1</v>
      </c>
    </row>
    <row r="6555" spans="1:16" x14ac:dyDescent="0.25">
      <c r="A6555" t="s">
        <v>2370</v>
      </c>
      <c r="B6555">
        <v>7</v>
      </c>
      <c r="C6555" t="s">
        <v>9244</v>
      </c>
      <c r="D6555" t="s">
        <v>315</v>
      </c>
      <c r="E6555" s="13">
        <v>180</v>
      </c>
      <c r="F6555" s="12">
        <v>0</v>
      </c>
      <c r="G6555" t="str">
        <f>IFERROR(INDEX(tEditais[Órgão],MATCH(tItens[[#This Row],[Edital]],tEditais[Edital],0)),"")</f>
        <v>MUNICIPIO DE PARANA</v>
      </c>
      <c r="H6555" t="str">
        <f>IFERROR(INDEX(tEditais[UF],MATCH(tItens[[#This Row],[Edital]],tEditais[Edital],0)),"")</f>
        <v>RN</v>
      </c>
      <c r="I6555" s="11">
        <f>IFERROR(INDEX(tEditais[Encerramento],MATCH(tItens[[#This Row],[Edital]],tEditais[Edital],0)),"")</f>
        <v>46304.332638888889</v>
      </c>
      <c r="J6555" t="str">
        <f>IFERROR(INDEX(tProdutos[Classe],MATCH(tItens[[#This Row],[Produto]],tProdutos[Produto],0)),"produto não cadastrado")</f>
        <v>FORA</v>
      </c>
      <c r="K6555" s="12">
        <f>tItens[[#This Row],[Qtd]]*tItens[[#This Row],[Vlr unit]]</f>
        <v>0</v>
      </c>
      <c r="L6555" s="6">
        <f>IFERROR(IF(INDEX(tProdutos[Desconto homologado],MATCH(tItens[[#This Row],[Produto]],tProdutos[Produto],0))="",DescontoPadrao,INDEX(tProdutos[Desconto homologado],MATCH(tItens[[#This Row],[Produto]],tProdutos[Produto],0))),DescontoPadrao)</f>
        <v>0.38432036097010702</v>
      </c>
      <c r="M6555" s="12">
        <f>tItens[[#This Row],[Valor]]*(1-tItens[[#This Row],[Desconto]])</f>
        <v>0</v>
      </c>
      <c r="N6555" t="str">
        <f>IFERROR(INDEX(tProdutos[Foco],MATCH(tItens[[#This Row],[Produto]],tProdutos[Produto],0)),"Não")</f>
        <v>Não</v>
      </c>
      <c r="O6555" t="str">
        <f>IFERROR(INDEX(tEditais[SRP],MATCH(tItens[[#This Row],[Edital]],tEditais[Edital],0)),"Não")</f>
        <v>Não</v>
      </c>
      <c r="P6555" s="4">
        <f>IF(COUNTIFS(INDEX(tItens[Edital],1):tItens[[#This Row],[Edital]],tItens[[#This Row],[Edital]],INDEX(tItens[Produto],1):tItens[[#This Row],[Produto]],tItens[[#This Row],[Produto]])=1,1,0)</f>
        <v>1</v>
      </c>
    </row>
    <row r="6556" spans="1:16" x14ac:dyDescent="0.25">
      <c r="A6556" t="s">
        <v>2370</v>
      </c>
      <c r="B6556">
        <v>8</v>
      </c>
      <c r="C6556" t="s">
        <v>9245</v>
      </c>
      <c r="D6556" t="s">
        <v>315</v>
      </c>
      <c r="E6556" s="13">
        <v>180</v>
      </c>
      <c r="F6556" s="12">
        <v>0</v>
      </c>
      <c r="G6556" t="str">
        <f>IFERROR(INDEX(tEditais[Órgão],MATCH(tItens[[#This Row],[Edital]],tEditais[Edital],0)),"")</f>
        <v>MUNICIPIO DE PARANA</v>
      </c>
      <c r="H6556" t="str">
        <f>IFERROR(INDEX(tEditais[UF],MATCH(tItens[[#This Row],[Edital]],tEditais[Edital],0)),"")</f>
        <v>RN</v>
      </c>
      <c r="I6556" s="11">
        <f>IFERROR(INDEX(tEditais[Encerramento],MATCH(tItens[[#This Row],[Edital]],tEditais[Edital],0)),"")</f>
        <v>46304.332638888889</v>
      </c>
      <c r="J6556" t="str">
        <f>IFERROR(INDEX(tProdutos[Classe],MATCH(tItens[[#This Row],[Produto]],tProdutos[Produto],0)),"produto não cadastrado")</f>
        <v>FORA</v>
      </c>
      <c r="K6556" s="12">
        <f>tItens[[#This Row],[Qtd]]*tItens[[#This Row],[Vlr unit]]</f>
        <v>0</v>
      </c>
      <c r="L6556" s="6">
        <f>IFERROR(IF(INDEX(tProdutos[Desconto homologado],MATCH(tItens[[#This Row],[Produto]],tProdutos[Produto],0))="",DescontoPadrao,INDEX(tProdutos[Desconto homologado],MATCH(tItens[[#This Row],[Produto]],tProdutos[Produto],0))),DescontoPadrao)</f>
        <v>0.38432036097010702</v>
      </c>
      <c r="M6556" s="12">
        <f>tItens[[#This Row],[Valor]]*(1-tItens[[#This Row],[Desconto]])</f>
        <v>0</v>
      </c>
      <c r="N6556" t="str">
        <f>IFERROR(INDEX(tProdutos[Foco],MATCH(tItens[[#This Row],[Produto]],tProdutos[Produto],0)),"Não")</f>
        <v>Não</v>
      </c>
      <c r="O6556" t="str">
        <f>IFERROR(INDEX(tEditais[SRP],MATCH(tItens[[#This Row],[Edital]],tEditais[Edital],0)),"Não")</f>
        <v>Não</v>
      </c>
      <c r="P6556" s="4">
        <f>IF(COUNTIFS(INDEX(tItens[Edital],1):tItens[[#This Row],[Edital]],tItens[[#This Row],[Edital]],INDEX(tItens[Produto],1):tItens[[#This Row],[Produto]],tItens[[#This Row],[Produto]])=1,1,0)</f>
        <v>0</v>
      </c>
    </row>
    <row r="6557" spans="1:16" x14ac:dyDescent="0.25">
      <c r="A6557" t="s">
        <v>2370</v>
      </c>
      <c r="B6557">
        <v>9</v>
      </c>
      <c r="C6557" t="s">
        <v>9246</v>
      </c>
      <c r="D6557" t="s">
        <v>315</v>
      </c>
      <c r="E6557" s="13">
        <v>180</v>
      </c>
      <c r="F6557" s="12">
        <v>0</v>
      </c>
      <c r="G6557" t="str">
        <f>IFERROR(INDEX(tEditais[Órgão],MATCH(tItens[[#This Row],[Edital]],tEditais[Edital],0)),"")</f>
        <v>MUNICIPIO DE PARANA</v>
      </c>
      <c r="H6557" t="str">
        <f>IFERROR(INDEX(tEditais[UF],MATCH(tItens[[#This Row],[Edital]],tEditais[Edital],0)),"")</f>
        <v>RN</v>
      </c>
      <c r="I6557" s="11">
        <f>IFERROR(INDEX(tEditais[Encerramento],MATCH(tItens[[#This Row],[Edital]],tEditais[Edital],0)),"")</f>
        <v>46304.332638888889</v>
      </c>
      <c r="J6557" t="str">
        <f>IFERROR(INDEX(tProdutos[Classe],MATCH(tItens[[#This Row],[Produto]],tProdutos[Produto],0)),"produto não cadastrado")</f>
        <v>FORA</v>
      </c>
      <c r="K6557" s="12">
        <f>tItens[[#This Row],[Qtd]]*tItens[[#This Row],[Vlr unit]]</f>
        <v>0</v>
      </c>
      <c r="L6557" s="6">
        <f>IFERROR(IF(INDEX(tProdutos[Desconto homologado],MATCH(tItens[[#This Row],[Produto]],tProdutos[Produto],0))="",DescontoPadrao,INDEX(tProdutos[Desconto homologado],MATCH(tItens[[#This Row],[Produto]],tProdutos[Produto],0))),DescontoPadrao)</f>
        <v>0.38432036097010702</v>
      </c>
      <c r="M6557" s="12">
        <f>tItens[[#This Row],[Valor]]*(1-tItens[[#This Row],[Desconto]])</f>
        <v>0</v>
      </c>
      <c r="N6557" t="str">
        <f>IFERROR(INDEX(tProdutos[Foco],MATCH(tItens[[#This Row],[Produto]],tProdutos[Produto],0)),"Não")</f>
        <v>Não</v>
      </c>
      <c r="O6557" t="str">
        <f>IFERROR(INDEX(tEditais[SRP],MATCH(tItens[[#This Row],[Edital]],tEditais[Edital],0)),"Não")</f>
        <v>Não</v>
      </c>
      <c r="P6557" s="4">
        <f>IF(COUNTIFS(INDEX(tItens[Edital],1):tItens[[#This Row],[Edital]],tItens[[#This Row],[Edital]],INDEX(tItens[Produto],1):tItens[[#This Row],[Produto]],tItens[[#This Row],[Produto]])=1,1,0)</f>
        <v>0</v>
      </c>
    </row>
    <row r="6558" spans="1:16" x14ac:dyDescent="0.25">
      <c r="A6558" t="s">
        <v>2370</v>
      </c>
      <c r="B6558">
        <v>29</v>
      </c>
      <c r="C6558" t="s">
        <v>9247</v>
      </c>
      <c r="D6558" t="s">
        <v>679</v>
      </c>
      <c r="E6558" s="13">
        <v>100</v>
      </c>
      <c r="F6558" s="12">
        <v>0</v>
      </c>
      <c r="G6558" t="str">
        <f>IFERROR(INDEX(tEditais[Órgão],MATCH(tItens[[#This Row],[Edital]],tEditais[Edital],0)),"")</f>
        <v>MUNICIPIO DE PARANA</v>
      </c>
      <c r="H6558" t="str">
        <f>IFERROR(INDEX(tEditais[UF],MATCH(tItens[[#This Row],[Edital]],tEditais[Edital],0)),"")</f>
        <v>RN</v>
      </c>
      <c r="I6558" s="11">
        <f>IFERROR(INDEX(tEditais[Encerramento],MATCH(tItens[[#This Row],[Edital]],tEditais[Edital],0)),"")</f>
        <v>46304.332638888889</v>
      </c>
      <c r="J6558" t="str">
        <f>IFERROR(INDEX(tProdutos[Classe],MATCH(tItens[[#This Row],[Produto]],tProdutos[Produto],0)),"produto não cadastrado")</f>
        <v>FILA REBASE</v>
      </c>
      <c r="K6558" s="12">
        <f>tItens[[#This Row],[Qtd]]*tItens[[#This Row],[Vlr unit]]</f>
        <v>0</v>
      </c>
      <c r="L6558" s="6">
        <f>IFERROR(IF(INDEX(tProdutos[Desconto homologado],MATCH(tItens[[#This Row],[Produto]],tProdutos[Produto],0))="",DescontoPadrao,INDEX(tProdutos[Desconto homologado],MATCH(tItens[[#This Row],[Produto]],tProdutos[Produto],0))),DescontoPadrao)</f>
        <v>0.32552954292084701</v>
      </c>
      <c r="M6558" s="12">
        <f>tItens[[#This Row],[Valor]]*(1-tItens[[#This Row],[Desconto]])</f>
        <v>0</v>
      </c>
      <c r="N6558" t="str">
        <f>IFERROR(INDEX(tProdutos[Foco],MATCH(tItens[[#This Row],[Produto]],tProdutos[Produto],0)),"Não")</f>
        <v>Não</v>
      </c>
      <c r="O6558" t="str">
        <f>IFERROR(INDEX(tEditais[SRP],MATCH(tItens[[#This Row],[Edital]],tEditais[Edital],0)),"Não")</f>
        <v>Não</v>
      </c>
      <c r="P6558" s="4">
        <f>IF(COUNTIFS(INDEX(tItens[Edital],1):tItens[[#This Row],[Edital]],tItens[[#This Row],[Edital]],INDEX(tItens[Produto],1):tItens[[#This Row],[Produto]],tItens[[#This Row],[Produto]])=1,1,0)</f>
        <v>1</v>
      </c>
    </row>
    <row r="6559" spans="1:16" x14ac:dyDescent="0.25">
      <c r="A6559" t="s">
        <v>2370</v>
      </c>
      <c r="B6559">
        <v>37</v>
      </c>
      <c r="C6559" t="s">
        <v>9248</v>
      </c>
      <c r="D6559" t="s">
        <v>335</v>
      </c>
      <c r="E6559" s="13">
        <v>210</v>
      </c>
      <c r="F6559" s="12">
        <v>0</v>
      </c>
      <c r="G6559" t="str">
        <f>IFERROR(INDEX(tEditais[Órgão],MATCH(tItens[[#This Row],[Edital]],tEditais[Edital],0)),"")</f>
        <v>MUNICIPIO DE PARANA</v>
      </c>
      <c r="H6559" t="str">
        <f>IFERROR(INDEX(tEditais[UF],MATCH(tItens[[#This Row],[Edital]],tEditais[Edital],0)),"")</f>
        <v>RN</v>
      </c>
      <c r="I6559" s="11">
        <f>IFERROR(INDEX(tEditais[Encerramento],MATCH(tItens[[#This Row],[Edital]],tEditais[Edital],0)),"")</f>
        <v>46304.332638888889</v>
      </c>
      <c r="J6559" t="str">
        <f>IFERROR(INDEX(tProdutos[Classe],MATCH(tItens[[#This Row],[Produto]],tProdutos[Produto],0)),"produto não cadastrado")</f>
        <v>FORA</v>
      </c>
      <c r="K6559" s="12">
        <f>tItens[[#This Row],[Qtd]]*tItens[[#This Row],[Vlr unit]]</f>
        <v>0</v>
      </c>
      <c r="L6559" s="6">
        <f>IFERROR(IF(INDEX(tProdutos[Desconto homologado],MATCH(tItens[[#This Row],[Produto]],tProdutos[Produto],0))="",DescontoPadrao,INDEX(tProdutos[Desconto homologado],MATCH(tItens[[#This Row],[Produto]],tProdutos[Produto],0))),DescontoPadrao)</f>
        <v>0.419047619047619</v>
      </c>
      <c r="M6559" s="12">
        <f>tItens[[#This Row],[Valor]]*(1-tItens[[#This Row],[Desconto]])</f>
        <v>0</v>
      </c>
      <c r="N6559" t="str">
        <f>IFERROR(INDEX(tProdutos[Foco],MATCH(tItens[[#This Row],[Produto]],tProdutos[Produto],0)),"Não")</f>
        <v>Não</v>
      </c>
      <c r="O6559" t="str">
        <f>IFERROR(INDEX(tEditais[SRP],MATCH(tItens[[#This Row],[Edital]],tEditais[Edital],0)),"Não")</f>
        <v>Não</v>
      </c>
      <c r="P6559" s="4">
        <f>IF(COUNTIFS(INDEX(tItens[Edital],1):tItens[[#This Row],[Edital]],tItens[[#This Row],[Edital]],INDEX(tItens[Produto],1):tItens[[#This Row],[Produto]],tItens[[#This Row],[Produto]])=1,1,0)</f>
        <v>1</v>
      </c>
    </row>
    <row r="6560" spans="1:16" x14ac:dyDescent="0.25">
      <c r="A6560" t="s">
        <v>2370</v>
      </c>
      <c r="B6560">
        <v>38</v>
      </c>
      <c r="C6560" t="s">
        <v>9249</v>
      </c>
      <c r="D6560" t="s">
        <v>365</v>
      </c>
      <c r="E6560" s="13">
        <v>215</v>
      </c>
      <c r="F6560" s="12">
        <v>0</v>
      </c>
      <c r="G6560" t="str">
        <f>IFERROR(INDEX(tEditais[Órgão],MATCH(tItens[[#This Row],[Edital]],tEditais[Edital],0)),"")</f>
        <v>MUNICIPIO DE PARANA</v>
      </c>
      <c r="H6560" t="str">
        <f>IFERROR(INDEX(tEditais[UF],MATCH(tItens[[#This Row],[Edital]],tEditais[Edital],0)),"")</f>
        <v>RN</v>
      </c>
      <c r="I6560" s="11">
        <f>IFERROR(INDEX(tEditais[Encerramento],MATCH(tItens[[#This Row],[Edital]],tEditais[Edital],0)),"")</f>
        <v>46304.332638888889</v>
      </c>
      <c r="J6560" t="str">
        <f>IFERROR(INDEX(tProdutos[Classe],MATCH(tItens[[#This Row],[Produto]],tProdutos[Produto],0)),"produto não cadastrado")</f>
        <v>FORA</v>
      </c>
      <c r="K6560" s="12">
        <f>tItens[[#This Row],[Qtd]]*tItens[[#This Row],[Vlr unit]]</f>
        <v>0</v>
      </c>
      <c r="L6560" s="6">
        <f>IFERROR(IF(INDEX(tProdutos[Desconto homologado],MATCH(tItens[[#This Row],[Produto]],tProdutos[Produto],0))="",DescontoPadrao,INDEX(tProdutos[Desconto homologado],MATCH(tItens[[#This Row],[Produto]],tProdutos[Produto],0))),DescontoPadrao)</f>
        <v>0.41120529659182697</v>
      </c>
      <c r="M6560" s="12">
        <f>tItens[[#This Row],[Valor]]*(1-tItens[[#This Row],[Desconto]])</f>
        <v>0</v>
      </c>
      <c r="N6560" t="str">
        <f>IFERROR(INDEX(tProdutos[Foco],MATCH(tItens[[#This Row],[Produto]],tProdutos[Produto],0)),"Não")</f>
        <v>Não</v>
      </c>
      <c r="O6560" t="str">
        <f>IFERROR(INDEX(tEditais[SRP],MATCH(tItens[[#This Row],[Edital]],tEditais[Edital],0)),"Não")</f>
        <v>Não</v>
      </c>
      <c r="P6560" s="4">
        <f>IF(COUNTIFS(INDEX(tItens[Edital],1):tItens[[#This Row],[Edital]],tItens[[#This Row],[Edital]],INDEX(tItens[Produto],1):tItens[[#This Row],[Produto]],tItens[[#This Row],[Produto]])=1,1,0)</f>
        <v>1</v>
      </c>
    </row>
    <row r="6561" spans="1:16" x14ac:dyDescent="0.25">
      <c r="A6561" t="s">
        <v>2370</v>
      </c>
      <c r="B6561">
        <v>39</v>
      </c>
      <c r="C6561" t="s">
        <v>9250</v>
      </c>
      <c r="D6561" t="s">
        <v>379</v>
      </c>
      <c r="E6561" s="13">
        <v>218</v>
      </c>
      <c r="F6561" s="12">
        <v>0</v>
      </c>
      <c r="G6561" t="str">
        <f>IFERROR(INDEX(tEditais[Órgão],MATCH(tItens[[#This Row],[Edital]],tEditais[Edital],0)),"")</f>
        <v>MUNICIPIO DE PARANA</v>
      </c>
      <c r="H6561" t="str">
        <f>IFERROR(INDEX(tEditais[UF],MATCH(tItens[[#This Row],[Edital]],tEditais[Edital],0)),"")</f>
        <v>RN</v>
      </c>
      <c r="I6561" s="11">
        <f>IFERROR(INDEX(tEditais[Encerramento],MATCH(tItens[[#This Row],[Edital]],tEditais[Edital],0)),"")</f>
        <v>46304.332638888889</v>
      </c>
      <c r="J6561" t="str">
        <f>IFERROR(INDEX(tProdutos[Classe],MATCH(tItens[[#This Row],[Produto]],tProdutos[Produto],0)),"produto não cadastrado")</f>
        <v>FORA</v>
      </c>
      <c r="K6561" s="12">
        <f>tItens[[#This Row],[Qtd]]*tItens[[#This Row],[Vlr unit]]</f>
        <v>0</v>
      </c>
      <c r="L6561" s="6">
        <f>IFERROR(IF(INDEX(tProdutos[Desconto homologado],MATCH(tItens[[#This Row],[Produto]],tProdutos[Produto],0))="",DescontoPadrao,INDEX(tProdutos[Desconto homologado],MATCH(tItens[[#This Row],[Produto]],tProdutos[Produto],0))),DescontoPadrao)</f>
        <v>0.49504950495049499</v>
      </c>
      <c r="M6561" s="12">
        <f>tItens[[#This Row],[Valor]]*(1-tItens[[#This Row],[Desconto]])</f>
        <v>0</v>
      </c>
      <c r="N6561" t="str">
        <f>IFERROR(INDEX(tProdutos[Foco],MATCH(tItens[[#This Row],[Produto]],tProdutos[Produto],0)),"Não")</f>
        <v>Não</v>
      </c>
      <c r="O6561" t="str">
        <f>IFERROR(INDEX(tEditais[SRP],MATCH(tItens[[#This Row],[Edital]],tEditais[Edital],0)),"Não")</f>
        <v>Não</v>
      </c>
      <c r="P6561" s="4">
        <f>IF(COUNTIFS(INDEX(tItens[Edital],1):tItens[[#This Row],[Edital]],tItens[[#This Row],[Edital]],INDEX(tItens[Produto],1):tItens[[#This Row],[Produto]],tItens[[#This Row],[Produto]])=1,1,0)</f>
        <v>1</v>
      </c>
    </row>
    <row r="6562" spans="1:16" x14ac:dyDescent="0.25">
      <c r="A6562" t="s">
        <v>2370</v>
      </c>
      <c r="B6562">
        <v>41</v>
      </c>
      <c r="C6562" t="s">
        <v>9251</v>
      </c>
      <c r="D6562" t="s">
        <v>247</v>
      </c>
      <c r="E6562" s="13">
        <v>180</v>
      </c>
      <c r="F6562" s="12">
        <v>0</v>
      </c>
      <c r="G6562" t="str">
        <f>IFERROR(INDEX(tEditais[Órgão],MATCH(tItens[[#This Row],[Edital]],tEditais[Edital],0)),"")</f>
        <v>MUNICIPIO DE PARANA</v>
      </c>
      <c r="H6562" t="str">
        <f>IFERROR(INDEX(tEditais[UF],MATCH(tItens[[#This Row],[Edital]],tEditais[Edital],0)),"")</f>
        <v>RN</v>
      </c>
      <c r="I6562" s="11">
        <f>IFERROR(INDEX(tEditais[Encerramento],MATCH(tItens[[#This Row],[Edital]],tEditais[Edital],0)),"")</f>
        <v>46304.332638888889</v>
      </c>
      <c r="J6562" t="str">
        <f>IFERROR(INDEX(tProdutos[Classe],MATCH(tItens[[#This Row],[Produto]],tProdutos[Produto],0)),"produto não cadastrado")</f>
        <v>FORA</v>
      </c>
      <c r="K6562" s="12">
        <f>tItens[[#This Row],[Qtd]]*tItens[[#This Row],[Vlr unit]]</f>
        <v>0</v>
      </c>
      <c r="L6562" s="6">
        <f>IFERROR(IF(INDEX(tProdutos[Desconto homologado],MATCH(tItens[[#This Row],[Produto]],tProdutos[Produto],0))="",DescontoPadrao,INDEX(tProdutos[Desconto homologado],MATCH(tItens[[#This Row],[Produto]],tProdutos[Produto],0))),DescontoPadrao)</f>
        <v>0.27353256199762999</v>
      </c>
      <c r="M6562" s="12">
        <f>tItens[[#This Row],[Valor]]*(1-tItens[[#This Row],[Desconto]])</f>
        <v>0</v>
      </c>
      <c r="N6562" t="str">
        <f>IFERROR(INDEX(tProdutos[Foco],MATCH(tItens[[#This Row],[Produto]],tProdutos[Produto],0)),"Não")</f>
        <v>Não</v>
      </c>
      <c r="O6562" t="str">
        <f>IFERROR(INDEX(tEditais[SRP],MATCH(tItens[[#This Row],[Edital]],tEditais[Edital],0)),"Não")</f>
        <v>Não</v>
      </c>
      <c r="P6562" s="4">
        <f>IF(COUNTIFS(INDEX(tItens[Edital],1):tItens[[#This Row],[Edital]],tItens[[#This Row],[Edital]],INDEX(tItens[Produto],1):tItens[[#This Row],[Produto]],tItens[[#This Row],[Produto]])=1,1,0)</f>
        <v>1</v>
      </c>
    </row>
    <row r="6563" spans="1:16" x14ac:dyDescent="0.25">
      <c r="A6563" t="s">
        <v>2370</v>
      </c>
      <c r="B6563">
        <v>43</v>
      </c>
      <c r="C6563" t="s">
        <v>9252</v>
      </c>
      <c r="D6563" t="s">
        <v>73</v>
      </c>
      <c r="E6563" s="13">
        <v>350</v>
      </c>
      <c r="F6563" s="12">
        <v>0</v>
      </c>
      <c r="G6563" t="str">
        <f>IFERROR(INDEX(tEditais[Órgão],MATCH(tItens[[#This Row],[Edital]],tEditais[Edital],0)),"")</f>
        <v>MUNICIPIO DE PARANA</v>
      </c>
      <c r="H6563" t="str">
        <f>IFERROR(INDEX(tEditais[UF],MATCH(tItens[[#This Row],[Edital]],tEditais[Edital],0)),"")</f>
        <v>RN</v>
      </c>
      <c r="I6563" s="11">
        <f>IFERROR(INDEX(tEditais[Encerramento],MATCH(tItens[[#This Row],[Edital]],tEditais[Edital],0)),"")</f>
        <v>46304.332638888889</v>
      </c>
      <c r="J6563" t="str">
        <f>IFERROR(INDEX(tProdutos[Classe],MATCH(tItens[[#This Row],[Produto]],tProdutos[Produto],0)),"produto não cadastrado")</f>
        <v>NÚCLEO</v>
      </c>
      <c r="K6563" s="12">
        <f>tItens[[#This Row],[Qtd]]*tItens[[#This Row],[Vlr unit]]</f>
        <v>0</v>
      </c>
      <c r="L6563" s="6">
        <f>IFERROR(IF(INDEX(tProdutos[Desconto homologado],MATCH(tItens[[#This Row],[Produto]],tProdutos[Produto],0))="",DescontoPadrao,INDEX(tProdutos[Desconto homologado],MATCH(tItens[[#This Row],[Produto]],tProdutos[Produto],0))),DescontoPadrao)</f>
        <v>0.37</v>
      </c>
      <c r="M6563" s="12">
        <f>tItens[[#This Row],[Valor]]*(1-tItens[[#This Row],[Desconto]])</f>
        <v>0</v>
      </c>
      <c r="N6563" t="str">
        <f>IFERROR(INDEX(tProdutos[Foco],MATCH(tItens[[#This Row],[Produto]],tProdutos[Produto],0)),"Não")</f>
        <v>Sim</v>
      </c>
      <c r="O6563" t="str">
        <f>IFERROR(INDEX(tEditais[SRP],MATCH(tItens[[#This Row],[Edital]],tEditais[Edital],0)),"Não")</f>
        <v>Não</v>
      </c>
      <c r="P6563" s="4">
        <f>IF(COUNTIFS(INDEX(tItens[Edital],1):tItens[[#This Row],[Edital]],tItens[[#This Row],[Edital]],INDEX(tItens[Produto],1):tItens[[#This Row],[Produto]],tItens[[#This Row],[Produto]])=1,1,0)</f>
        <v>1</v>
      </c>
    </row>
    <row r="6564" spans="1:16" x14ac:dyDescent="0.25">
      <c r="A6564" t="s">
        <v>2370</v>
      </c>
      <c r="B6564">
        <v>44</v>
      </c>
      <c r="C6564" t="s">
        <v>9253</v>
      </c>
      <c r="D6564" t="s">
        <v>73</v>
      </c>
      <c r="E6564" s="13">
        <v>180</v>
      </c>
      <c r="F6564" s="12">
        <v>0</v>
      </c>
      <c r="G6564" t="str">
        <f>IFERROR(INDEX(tEditais[Órgão],MATCH(tItens[[#This Row],[Edital]],tEditais[Edital],0)),"")</f>
        <v>MUNICIPIO DE PARANA</v>
      </c>
      <c r="H6564" t="str">
        <f>IFERROR(INDEX(tEditais[UF],MATCH(tItens[[#This Row],[Edital]],tEditais[Edital],0)),"")</f>
        <v>RN</v>
      </c>
      <c r="I6564" s="11">
        <f>IFERROR(INDEX(tEditais[Encerramento],MATCH(tItens[[#This Row],[Edital]],tEditais[Edital],0)),"")</f>
        <v>46304.332638888889</v>
      </c>
      <c r="J6564" t="str">
        <f>IFERROR(INDEX(tProdutos[Classe],MATCH(tItens[[#This Row],[Produto]],tProdutos[Produto],0)),"produto não cadastrado")</f>
        <v>NÚCLEO</v>
      </c>
      <c r="K6564" s="12">
        <f>tItens[[#This Row],[Qtd]]*tItens[[#This Row],[Vlr unit]]</f>
        <v>0</v>
      </c>
      <c r="L6564" s="6">
        <f>IFERROR(IF(INDEX(tProdutos[Desconto homologado],MATCH(tItens[[#This Row],[Produto]],tProdutos[Produto],0))="",DescontoPadrao,INDEX(tProdutos[Desconto homologado],MATCH(tItens[[#This Row],[Produto]],tProdutos[Produto],0))),DescontoPadrao)</f>
        <v>0.37</v>
      </c>
      <c r="M6564" s="12">
        <f>tItens[[#This Row],[Valor]]*(1-tItens[[#This Row],[Desconto]])</f>
        <v>0</v>
      </c>
      <c r="N6564" t="str">
        <f>IFERROR(INDEX(tProdutos[Foco],MATCH(tItens[[#This Row],[Produto]],tProdutos[Produto],0)),"Não")</f>
        <v>Sim</v>
      </c>
      <c r="O6564" t="str">
        <f>IFERROR(INDEX(tEditais[SRP],MATCH(tItens[[#This Row],[Edital]],tEditais[Edital],0)),"Não")</f>
        <v>Não</v>
      </c>
      <c r="P6564" s="4">
        <f>IF(COUNTIFS(INDEX(tItens[Edital],1):tItens[[#This Row],[Edital]],tItens[[#This Row],[Edital]],INDEX(tItens[Produto],1):tItens[[#This Row],[Produto]],tItens[[#This Row],[Produto]])=1,1,0)</f>
        <v>0</v>
      </c>
    </row>
    <row r="6565" spans="1:16" x14ac:dyDescent="0.25">
      <c r="A6565" t="s">
        <v>2370</v>
      </c>
      <c r="B6565">
        <v>45</v>
      </c>
      <c r="C6565" t="s">
        <v>9254</v>
      </c>
      <c r="D6565" t="s">
        <v>73</v>
      </c>
      <c r="E6565" s="13">
        <v>300</v>
      </c>
      <c r="F6565" s="12">
        <v>0</v>
      </c>
      <c r="G6565" t="str">
        <f>IFERROR(INDEX(tEditais[Órgão],MATCH(tItens[[#This Row],[Edital]],tEditais[Edital],0)),"")</f>
        <v>MUNICIPIO DE PARANA</v>
      </c>
      <c r="H6565" t="str">
        <f>IFERROR(INDEX(tEditais[UF],MATCH(tItens[[#This Row],[Edital]],tEditais[Edital],0)),"")</f>
        <v>RN</v>
      </c>
      <c r="I6565" s="11">
        <f>IFERROR(INDEX(tEditais[Encerramento],MATCH(tItens[[#This Row],[Edital]],tEditais[Edital],0)),"")</f>
        <v>46304.332638888889</v>
      </c>
      <c r="J6565" t="str">
        <f>IFERROR(INDEX(tProdutos[Classe],MATCH(tItens[[#This Row],[Produto]],tProdutos[Produto],0)),"produto não cadastrado")</f>
        <v>NÚCLEO</v>
      </c>
      <c r="K6565" s="12">
        <f>tItens[[#This Row],[Qtd]]*tItens[[#This Row],[Vlr unit]]</f>
        <v>0</v>
      </c>
      <c r="L6565" s="6">
        <f>IFERROR(IF(INDEX(tProdutos[Desconto homologado],MATCH(tItens[[#This Row],[Produto]],tProdutos[Produto],0))="",DescontoPadrao,INDEX(tProdutos[Desconto homologado],MATCH(tItens[[#This Row],[Produto]],tProdutos[Produto],0))),DescontoPadrao)</f>
        <v>0.37</v>
      </c>
      <c r="M6565" s="12">
        <f>tItens[[#This Row],[Valor]]*(1-tItens[[#This Row],[Desconto]])</f>
        <v>0</v>
      </c>
      <c r="N6565" t="str">
        <f>IFERROR(INDEX(tProdutos[Foco],MATCH(tItens[[#This Row],[Produto]],tProdutos[Produto],0)),"Não")</f>
        <v>Sim</v>
      </c>
      <c r="O6565" t="str">
        <f>IFERROR(INDEX(tEditais[SRP],MATCH(tItens[[#This Row],[Edital]],tEditais[Edital],0)),"Não")</f>
        <v>Não</v>
      </c>
      <c r="P6565" s="4">
        <f>IF(COUNTIFS(INDEX(tItens[Edital],1):tItens[[#This Row],[Edital]],tItens[[#This Row],[Edital]],INDEX(tItens[Produto],1):tItens[[#This Row],[Produto]],tItens[[#This Row],[Produto]])=1,1,0)</f>
        <v>0</v>
      </c>
    </row>
    <row r="6566" spans="1:16" x14ac:dyDescent="0.25">
      <c r="A6566" t="s">
        <v>2370</v>
      </c>
      <c r="B6566">
        <v>46</v>
      </c>
      <c r="C6566" t="s">
        <v>9255</v>
      </c>
      <c r="D6566" t="s">
        <v>279</v>
      </c>
      <c r="E6566" s="13">
        <v>1000</v>
      </c>
      <c r="F6566" s="12">
        <v>0</v>
      </c>
      <c r="G6566" t="str">
        <f>IFERROR(INDEX(tEditais[Órgão],MATCH(tItens[[#This Row],[Edital]],tEditais[Edital],0)),"")</f>
        <v>MUNICIPIO DE PARANA</v>
      </c>
      <c r="H6566" t="str">
        <f>IFERROR(INDEX(tEditais[UF],MATCH(tItens[[#This Row],[Edital]],tEditais[Edital],0)),"")</f>
        <v>RN</v>
      </c>
      <c r="I6566" s="11">
        <f>IFERROR(INDEX(tEditais[Encerramento],MATCH(tItens[[#This Row],[Edital]],tEditais[Edital],0)),"")</f>
        <v>46304.332638888889</v>
      </c>
      <c r="J6566" t="str">
        <f>IFERROR(INDEX(tProdutos[Classe],MATCH(tItens[[#This Row],[Produto]],tProdutos[Produto],0)),"produto não cadastrado")</f>
        <v>FORA</v>
      </c>
      <c r="K6566" s="12">
        <f>tItens[[#This Row],[Qtd]]*tItens[[#This Row],[Vlr unit]]</f>
        <v>0</v>
      </c>
      <c r="L6566" s="6">
        <f>IFERROR(IF(INDEX(tProdutos[Desconto homologado],MATCH(tItens[[#This Row],[Produto]],tProdutos[Produto],0))="",DescontoPadrao,INDEX(tProdutos[Desconto homologado],MATCH(tItens[[#This Row],[Produto]],tProdutos[Produto],0))),DescontoPadrao)</f>
        <v>0.28909090909090901</v>
      </c>
      <c r="M6566" s="12">
        <f>tItens[[#This Row],[Valor]]*(1-tItens[[#This Row],[Desconto]])</f>
        <v>0</v>
      </c>
      <c r="N6566" t="str">
        <f>IFERROR(INDEX(tProdutos[Foco],MATCH(tItens[[#This Row],[Produto]],tProdutos[Produto],0)),"Não")</f>
        <v>Não</v>
      </c>
      <c r="O6566" t="str">
        <f>IFERROR(INDEX(tEditais[SRP],MATCH(tItens[[#This Row],[Edital]],tEditais[Edital],0)),"Não")</f>
        <v>Não</v>
      </c>
      <c r="P6566" s="4">
        <f>IF(COUNTIFS(INDEX(tItens[Edital],1):tItens[[#This Row],[Edital]],tItens[[#This Row],[Edital]],INDEX(tItens[Produto],1):tItens[[#This Row],[Produto]],tItens[[#This Row],[Produto]])=1,1,0)</f>
        <v>1</v>
      </c>
    </row>
    <row r="6567" spans="1:16" x14ac:dyDescent="0.25">
      <c r="A6567" t="s">
        <v>2370</v>
      </c>
      <c r="B6567">
        <v>47</v>
      </c>
      <c r="C6567" t="s">
        <v>9256</v>
      </c>
      <c r="D6567" t="s">
        <v>279</v>
      </c>
      <c r="E6567" s="13">
        <v>300</v>
      </c>
      <c r="F6567" s="12">
        <v>0</v>
      </c>
      <c r="G6567" t="str">
        <f>IFERROR(INDEX(tEditais[Órgão],MATCH(tItens[[#This Row],[Edital]],tEditais[Edital],0)),"")</f>
        <v>MUNICIPIO DE PARANA</v>
      </c>
      <c r="H6567" t="str">
        <f>IFERROR(INDEX(tEditais[UF],MATCH(tItens[[#This Row],[Edital]],tEditais[Edital],0)),"")</f>
        <v>RN</v>
      </c>
      <c r="I6567" s="11">
        <f>IFERROR(INDEX(tEditais[Encerramento],MATCH(tItens[[#This Row],[Edital]],tEditais[Edital],0)),"")</f>
        <v>46304.332638888889</v>
      </c>
      <c r="J6567" t="str">
        <f>IFERROR(INDEX(tProdutos[Classe],MATCH(tItens[[#This Row],[Produto]],tProdutos[Produto],0)),"produto não cadastrado")</f>
        <v>FORA</v>
      </c>
      <c r="K6567" s="12">
        <f>tItens[[#This Row],[Qtd]]*tItens[[#This Row],[Vlr unit]]</f>
        <v>0</v>
      </c>
      <c r="L6567" s="6">
        <f>IFERROR(IF(INDEX(tProdutos[Desconto homologado],MATCH(tItens[[#This Row],[Produto]],tProdutos[Produto],0))="",DescontoPadrao,INDEX(tProdutos[Desconto homologado],MATCH(tItens[[#This Row],[Produto]],tProdutos[Produto],0))),DescontoPadrao)</f>
        <v>0.28909090909090901</v>
      </c>
      <c r="M6567" s="12">
        <f>tItens[[#This Row],[Valor]]*(1-tItens[[#This Row],[Desconto]])</f>
        <v>0</v>
      </c>
      <c r="N6567" t="str">
        <f>IFERROR(INDEX(tProdutos[Foco],MATCH(tItens[[#This Row],[Produto]],tProdutos[Produto],0)),"Não")</f>
        <v>Não</v>
      </c>
      <c r="O6567" t="str">
        <f>IFERROR(INDEX(tEditais[SRP],MATCH(tItens[[#This Row],[Edital]],tEditais[Edital],0)),"Não")</f>
        <v>Não</v>
      </c>
      <c r="P6567" s="4">
        <f>IF(COUNTIFS(INDEX(tItens[Edital],1):tItens[[#This Row],[Edital]],tItens[[#This Row],[Edital]],INDEX(tItens[Produto],1):tItens[[#This Row],[Produto]],tItens[[#This Row],[Produto]])=1,1,0)</f>
        <v>0</v>
      </c>
    </row>
    <row r="6568" spans="1:16" x14ac:dyDescent="0.25">
      <c r="A6568" t="s">
        <v>2370</v>
      </c>
      <c r="B6568">
        <v>48</v>
      </c>
      <c r="C6568" t="s">
        <v>9257</v>
      </c>
      <c r="D6568" t="s">
        <v>80</v>
      </c>
      <c r="E6568" s="13">
        <v>1000</v>
      </c>
      <c r="F6568" s="12">
        <v>0</v>
      </c>
      <c r="G6568" t="str">
        <f>IFERROR(INDEX(tEditais[Órgão],MATCH(tItens[[#This Row],[Edital]],tEditais[Edital],0)),"")</f>
        <v>MUNICIPIO DE PARANA</v>
      </c>
      <c r="H6568" t="str">
        <f>IFERROR(INDEX(tEditais[UF],MATCH(tItens[[#This Row],[Edital]],tEditais[Edital],0)),"")</f>
        <v>RN</v>
      </c>
      <c r="I6568" s="11">
        <f>IFERROR(INDEX(tEditais[Encerramento],MATCH(tItens[[#This Row],[Edital]],tEditais[Edital],0)),"")</f>
        <v>46304.332638888889</v>
      </c>
      <c r="J6568" t="str">
        <f>IFERROR(INDEX(tProdutos[Classe],MATCH(tItens[[#This Row],[Produto]],tProdutos[Produto],0)),"produto não cadastrado")</f>
        <v>NÚCLEO</v>
      </c>
      <c r="K6568" s="12">
        <f>tItens[[#This Row],[Qtd]]*tItens[[#This Row],[Vlr unit]]</f>
        <v>0</v>
      </c>
      <c r="L6568" s="6">
        <f>IFERROR(IF(INDEX(tProdutos[Desconto homologado],MATCH(tItens[[#This Row],[Produto]],tProdutos[Produto],0))="",DescontoPadrao,INDEX(tProdutos[Desconto homologado],MATCH(tItens[[#This Row],[Produto]],tProdutos[Produto],0))),DescontoPadrao)</f>
        <v>0.33</v>
      </c>
      <c r="M6568" s="12">
        <f>tItens[[#This Row],[Valor]]*(1-tItens[[#This Row],[Desconto]])</f>
        <v>0</v>
      </c>
      <c r="N6568" t="str">
        <f>IFERROR(INDEX(tProdutos[Foco],MATCH(tItens[[#This Row],[Produto]],tProdutos[Produto],0)),"Não")</f>
        <v>Sim</v>
      </c>
      <c r="O6568" t="str">
        <f>IFERROR(INDEX(tEditais[SRP],MATCH(tItens[[#This Row],[Edital]],tEditais[Edital],0)),"Não")</f>
        <v>Não</v>
      </c>
      <c r="P6568" s="4">
        <f>IF(COUNTIFS(INDEX(tItens[Edital],1):tItens[[#This Row],[Edital]],tItens[[#This Row],[Edital]],INDEX(tItens[Produto],1):tItens[[#This Row],[Produto]],tItens[[#This Row],[Produto]])=1,1,0)</f>
        <v>1</v>
      </c>
    </row>
    <row r="6569" spans="1:16" x14ac:dyDescent="0.25">
      <c r="A6569" t="s">
        <v>2370</v>
      </c>
      <c r="B6569">
        <v>49</v>
      </c>
      <c r="C6569" t="s">
        <v>5259</v>
      </c>
      <c r="D6569" t="s">
        <v>311</v>
      </c>
      <c r="E6569" s="13">
        <v>300</v>
      </c>
      <c r="F6569" s="12">
        <v>0</v>
      </c>
      <c r="G6569" t="str">
        <f>IFERROR(INDEX(tEditais[Órgão],MATCH(tItens[[#This Row],[Edital]],tEditais[Edital],0)),"")</f>
        <v>MUNICIPIO DE PARANA</v>
      </c>
      <c r="H6569" t="str">
        <f>IFERROR(INDEX(tEditais[UF],MATCH(tItens[[#This Row],[Edital]],tEditais[Edital],0)),"")</f>
        <v>RN</v>
      </c>
      <c r="I6569" s="11">
        <f>IFERROR(INDEX(tEditais[Encerramento],MATCH(tItens[[#This Row],[Edital]],tEditais[Edital],0)),"")</f>
        <v>46304.332638888889</v>
      </c>
      <c r="J6569" t="str">
        <f>IFERROR(INDEX(tProdutos[Classe],MATCH(tItens[[#This Row],[Produto]],tProdutos[Produto],0)),"produto não cadastrado")</f>
        <v>FORA</v>
      </c>
      <c r="K6569" s="12">
        <f>tItens[[#This Row],[Qtd]]*tItens[[#This Row],[Vlr unit]]</f>
        <v>0</v>
      </c>
      <c r="L6569" s="6">
        <f>IFERROR(IF(INDEX(tProdutos[Desconto homologado],MATCH(tItens[[#This Row],[Produto]],tProdutos[Produto],0))="",DescontoPadrao,INDEX(tProdutos[Desconto homologado],MATCH(tItens[[#This Row],[Produto]],tProdutos[Produto],0))),DescontoPadrao)</f>
        <v>0.29046182846371399</v>
      </c>
      <c r="M6569" s="12">
        <f>tItens[[#This Row],[Valor]]*(1-tItens[[#This Row],[Desconto]])</f>
        <v>0</v>
      </c>
      <c r="N6569" t="str">
        <f>IFERROR(INDEX(tProdutos[Foco],MATCH(tItens[[#This Row],[Produto]],tProdutos[Produto],0)),"Não")</f>
        <v>Não</v>
      </c>
      <c r="O6569" t="str">
        <f>IFERROR(INDEX(tEditais[SRP],MATCH(tItens[[#This Row],[Edital]],tEditais[Edital],0)),"Não")</f>
        <v>Não</v>
      </c>
      <c r="P6569" s="4">
        <f>IF(COUNTIFS(INDEX(tItens[Edital],1):tItens[[#This Row],[Edital]],tItens[[#This Row],[Edital]],INDEX(tItens[Produto],1):tItens[[#This Row],[Produto]],tItens[[#This Row],[Produto]])=1,1,0)</f>
        <v>1</v>
      </c>
    </row>
    <row r="6570" spans="1:16" x14ac:dyDescent="0.25">
      <c r="A6570" t="s">
        <v>2370</v>
      </c>
      <c r="B6570">
        <v>50</v>
      </c>
      <c r="C6570" t="s">
        <v>9258</v>
      </c>
      <c r="D6570" t="s">
        <v>311</v>
      </c>
      <c r="E6570" s="13">
        <v>500</v>
      </c>
      <c r="F6570" s="12">
        <v>0</v>
      </c>
      <c r="G6570" t="str">
        <f>IFERROR(INDEX(tEditais[Órgão],MATCH(tItens[[#This Row],[Edital]],tEditais[Edital],0)),"")</f>
        <v>MUNICIPIO DE PARANA</v>
      </c>
      <c r="H6570" t="str">
        <f>IFERROR(INDEX(tEditais[UF],MATCH(tItens[[#This Row],[Edital]],tEditais[Edital],0)),"")</f>
        <v>RN</v>
      </c>
      <c r="I6570" s="11">
        <f>IFERROR(INDEX(tEditais[Encerramento],MATCH(tItens[[#This Row],[Edital]],tEditais[Edital],0)),"")</f>
        <v>46304.332638888889</v>
      </c>
      <c r="J6570" t="str">
        <f>IFERROR(INDEX(tProdutos[Classe],MATCH(tItens[[#This Row],[Produto]],tProdutos[Produto],0)),"produto não cadastrado")</f>
        <v>FORA</v>
      </c>
      <c r="K6570" s="12">
        <f>tItens[[#This Row],[Qtd]]*tItens[[#This Row],[Vlr unit]]</f>
        <v>0</v>
      </c>
      <c r="L6570" s="6">
        <f>IFERROR(IF(INDEX(tProdutos[Desconto homologado],MATCH(tItens[[#This Row],[Produto]],tProdutos[Produto],0))="",DescontoPadrao,INDEX(tProdutos[Desconto homologado],MATCH(tItens[[#This Row],[Produto]],tProdutos[Produto],0))),DescontoPadrao)</f>
        <v>0.29046182846371399</v>
      </c>
      <c r="M6570" s="12">
        <f>tItens[[#This Row],[Valor]]*(1-tItens[[#This Row],[Desconto]])</f>
        <v>0</v>
      </c>
      <c r="N6570" t="str">
        <f>IFERROR(INDEX(tProdutos[Foco],MATCH(tItens[[#This Row],[Produto]],tProdutos[Produto],0)),"Não")</f>
        <v>Não</v>
      </c>
      <c r="O6570" t="str">
        <f>IFERROR(INDEX(tEditais[SRP],MATCH(tItens[[#This Row],[Edital]],tEditais[Edital],0)),"Não")</f>
        <v>Não</v>
      </c>
      <c r="P6570" s="4">
        <f>IF(COUNTIFS(INDEX(tItens[Edital],1):tItens[[#This Row],[Edital]],tItens[[#This Row],[Edital]],INDEX(tItens[Produto],1):tItens[[#This Row],[Produto]],tItens[[#This Row],[Produto]])=1,1,0)</f>
        <v>0</v>
      </c>
    </row>
    <row r="6571" spans="1:16" x14ac:dyDescent="0.25">
      <c r="A6571" t="s">
        <v>2370</v>
      </c>
      <c r="B6571">
        <v>51</v>
      </c>
      <c r="C6571" t="s">
        <v>9259</v>
      </c>
      <c r="D6571" t="s">
        <v>279</v>
      </c>
      <c r="E6571" s="13">
        <v>1800</v>
      </c>
      <c r="F6571" s="12">
        <v>0</v>
      </c>
      <c r="G6571" t="str">
        <f>IFERROR(INDEX(tEditais[Órgão],MATCH(tItens[[#This Row],[Edital]],tEditais[Edital],0)),"")</f>
        <v>MUNICIPIO DE PARANA</v>
      </c>
      <c r="H6571" t="str">
        <f>IFERROR(INDEX(tEditais[UF],MATCH(tItens[[#This Row],[Edital]],tEditais[Edital],0)),"")</f>
        <v>RN</v>
      </c>
      <c r="I6571" s="11">
        <f>IFERROR(INDEX(tEditais[Encerramento],MATCH(tItens[[#This Row],[Edital]],tEditais[Edital],0)),"")</f>
        <v>46304.332638888889</v>
      </c>
      <c r="J6571" t="str">
        <f>IFERROR(INDEX(tProdutos[Classe],MATCH(tItens[[#This Row],[Produto]],tProdutos[Produto],0)),"produto não cadastrado")</f>
        <v>FORA</v>
      </c>
      <c r="K6571" s="12">
        <f>tItens[[#This Row],[Qtd]]*tItens[[#This Row],[Vlr unit]]</f>
        <v>0</v>
      </c>
      <c r="L6571" s="6">
        <f>IFERROR(IF(INDEX(tProdutos[Desconto homologado],MATCH(tItens[[#This Row],[Produto]],tProdutos[Produto],0))="",DescontoPadrao,INDEX(tProdutos[Desconto homologado],MATCH(tItens[[#This Row],[Produto]],tProdutos[Produto],0))),DescontoPadrao)</f>
        <v>0.28909090909090901</v>
      </c>
      <c r="M6571" s="12">
        <f>tItens[[#This Row],[Valor]]*(1-tItens[[#This Row],[Desconto]])</f>
        <v>0</v>
      </c>
      <c r="N6571" t="str">
        <f>IFERROR(INDEX(tProdutos[Foco],MATCH(tItens[[#This Row],[Produto]],tProdutos[Produto],0)),"Não")</f>
        <v>Não</v>
      </c>
      <c r="O6571" t="str">
        <f>IFERROR(INDEX(tEditais[SRP],MATCH(tItens[[#This Row],[Edital]],tEditais[Edital],0)),"Não")</f>
        <v>Não</v>
      </c>
      <c r="P6571" s="4">
        <f>IF(COUNTIFS(INDEX(tItens[Edital],1):tItens[[#This Row],[Edital]],tItens[[#This Row],[Edital]],INDEX(tItens[Produto],1):tItens[[#This Row],[Produto]],tItens[[#This Row],[Produto]])=1,1,0)</f>
        <v>0</v>
      </c>
    </row>
    <row r="6572" spans="1:16" x14ac:dyDescent="0.25">
      <c r="A6572" t="s">
        <v>2370</v>
      </c>
      <c r="B6572">
        <v>52</v>
      </c>
      <c r="C6572" t="s">
        <v>9260</v>
      </c>
      <c r="D6572" t="s">
        <v>383</v>
      </c>
      <c r="E6572" s="13">
        <v>500</v>
      </c>
      <c r="F6572" s="12">
        <v>0</v>
      </c>
      <c r="G6572" t="str">
        <f>IFERROR(INDEX(tEditais[Órgão],MATCH(tItens[[#This Row],[Edital]],tEditais[Edital],0)),"")</f>
        <v>MUNICIPIO DE PARANA</v>
      </c>
      <c r="H6572" t="str">
        <f>IFERROR(INDEX(tEditais[UF],MATCH(tItens[[#This Row],[Edital]],tEditais[Edital],0)),"")</f>
        <v>RN</v>
      </c>
      <c r="I6572" s="11">
        <f>IFERROR(INDEX(tEditais[Encerramento],MATCH(tItens[[#This Row],[Edital]],tEditais[Edital],0)),"")</f>
        <v>46304.332638888889</v>
      </c>
      <c r="J6572" t="str">
        <f>IFERROR(INDEX(tProdutos[Classe],MATCH(tItens[[#This Row],[Produto]],tProdutos[Produto],0)),"produto não cadastrado")</f>
        <v>FORA</v>
      </c>
      <c r="K6572" s="12">
        <f>tItens[[#This Row],[Qtd]]*tItens[[#This Row],[Vlr unit]]</f>
        <v>0</v>
      </c>
      <c r="L6572" s="6">
        <f>IFERROR(IF(INDEX(tProdutos[Desconto homologado],MATCH(tItens[[#This Row],[Produto]],tProdutos[Produto],0))="",DescontoPadrao,INDEX(tProdutos[Desconto homologado],MATCH(tItens[[#This Row],[Produto]],tProdutos[Produto],0))),DescontoPadrao)</f>
        <v>0.48749999999999999</v>
      </c>
      <c r="M6572" s="12">
        <f>tItens[[#This Row],[Valor]]*(1-tItens[[#This Row],[Desconto]])</f>
        <v>0</v>
      </c>
      <c r="N6572" t="str">
        <f>IFERROR(INDEX(tProdutos[Foco],MATCH(tItens[[#This Row],[Produto]],tProdutos[Produto],0)),"Não")</f>
        <v>Não</v>
      </c>
      <c r="O6572" t="str">
        <f>IFERROR(INDEX(tEditais[SRP],MATCH(tItens[[#This Row],[Edital]],tEditais[Edital],0)),"Não")</f>
        <v>Não</v>
      </c>
      <c r="P6572" s="4">
        <f>IF(COUNTIFS(INDEX(tItens[Edital],1):tItens[[#This Row],[Edital]],tItens[[#This Row],[Edital]],INDEX(tItens[Produto],1):tItens[[#This Row],[Produto]],tItens[[#This Row],[Produto]])=1,1,0)</f>
        <v>1</v>
      </c>
    </row>
    <row r="6573" spans="1:16" x14ac:dyDescent="0.25">
      <c r="A6573" t="s">
        <v>2370</v>
      </c>
      <c r="B6573">
        <v>53</v>
      </c>
      <c r="C6573" t="s">
        <v>9261</v>
      </c>
      <c r="D6573" t="s">
        <v>341</v>
      </c>
      <c r="E6573" s="13">
        <v>1000</v>
      </c>
      <c r="F6573" s="12">
        <v>0</v>
      </c>
      <c r="G6573" t="str">
        <f>IFERROR(INDEX(tEditais[Órgão],MATCH(tItens[[#This Row],[Edital]],tEditais[Edital],0)),"")</f>
        <v>MUNICIPIO DE PARANA</v>
      </c>
      <c r="H6573" t="str">
        <f>IFERROR(INDEX(tEditais[UF],MATCH(tItens[[#This Row],[Edital]],tEditais[Edital],0)),"")</f>
        <v>RN</v>
      </c>
      <c r="I6573" s="11">
        <f>IFERROR(INDEX(tEditais[Encerramento],MATCH(tItens[[#This Row],[Edital]],tEditais[Edital],0)),"")</f>
        <v>46304.332638888889</v>
      </c>
      <c r="J6573" t="str">
        <f>IFERROR(INDEX(tProdutos[Classe],MATCH(tItens[[#This Row],[Produto]],tProdutos[Produto],0)),"produto não cadastrado")</f>
        <v>FORA</v>
      </c>
      <c r="K6573" s="12">
        <f>tItens[[#This Row],[Qtd]]*tItens[[#This Row],[Vlr unit]]</f>
        <v>0</v>
      </c>
      <c r="L6573" s="6">
        <f>IFERROR(IF(INDEX(tProdutos[Desconto homologado],MATCH(tItens[[#This Row],[Produto]],tProdutos[Produto],0))="",DescontoPadrao,INDEX(tProdutos[Desconto homologado],MATCH(tItens[[#This Row],[Produto]],tProdutos[Produto],0))),DescontoPadrao)</f>
        <v>0.46918578497525898</v>
      </c>
      <c r="M6573" s="12">
        <f>tItens[[#This Row],[Valor]]*(1-tItens[[#This Row],[Desconto]])</f>
        <v>0</v>
      </c>
      <c r="N6573" t="str">
        <f>IFERROR(INDEX(tProdutos[Foco],MATCH(tItens[[#This Row],[Produto]],tProdutos[Produto],0)),"Não")</f>
        <v>Não</v>
      </c>
      <c r="O6573" t="str">
        <f>IFERROR(INDEX(tEditais[SRP],MATCH(tItens[[#This Row],[Edital]],tEditais[Edital],0)),"Não")</f>
        <v>Não</v>
      </c>
      <c r="P6573" s="4">
        <f>IF(COUNTIFS(INDEX(tItens[Edital],1):tItens[[#This Row],[Edital]],tItens[[#This Row],[Edital]],INDEX(tItens[Produto],1):tItens[[#This Row],[Produto]],tItens[[#This Row],[Produto]])=1,1,0)</f>
        <v>1</v>
      </c>
    </row>
    <row r="6574" spans="1:16" x14ac:dyDescent="0.25">
      <c r="A6574" t="s">
        <v>2370</v>
      </c>
      <c r="B6574">
        <v>54</v>
      </c>
      <c r="C6574" t="s">
        <v>9262</v>
      </c>
      <c r="D6574" t="s">
        <v>172</v>
      </c>
      <c r="E6574" s="13">
        <v>200</v>
      </c>
      <c r="F6574" s="12">
        <v>0</v>
      </c>
      <c r="G6574" t="str">
        <f>IFERROR(INDEX(tEditais[Órgão],MATCH(tItens[[#This Row],[Edital]],tEditais[Edital],0)),"")</f>
        <v>MUNICIPIO DE PARANA</v>
      </c>
      <c r="H6574" t="str">
        <f>IFERROR(INDEX(tEditais[UF],MATCH(tItens[[#This Row],[Edital]],tEditais[Edital],0)),"")</f>
        <v>RN</v>
      </c>
      <c r="I6574" s="11">
        <f>IFERROR(INDEX(tEditais[Encerramento],MATCH(tItens[[#This Row],[Edital]],tEditais[Edital],0)),"")</f>
        <v>46304.332638888889</v>
      </c>
      <c r="J6574" t="str">
        <f>IFERROR(INDEX(tProdutos[Classe],MATCH(tItens[[#This Row],[Produto]],tProdutos[Produto],0)),"produto não cadastrado")</f>
        <v>DISPUTADO</v>
      </c>
      <c r="K6574" s="12">
        <f>tItens[[#This Row],[Qtd]]*tItens[[#This Row],[Vlr unit]]</f>
        <v>0</v>
      </c>
      <c r="L6574" s="6">
        <f>IFERROR(IF(INDEX(tProdutos[Desconto homologado],MATCH(tItens[[#This Row],[Produto]],tProdutos[Produto],0))="",DescontoPadrao,INDEX(tProdutos[Desconto homologado],MATCH(tItens[[#This Row],[Produto]],tProdutos[Produto],0))),DescontoPadrao)</f>
        <v>0.33578431372549</v>
      </c>
      <c r="M6574" s="12">
        <f>tItens[[#This Row],[Valor]]*(1-tItens[[#This Row],[Desconto]])</f>
        <v>0</v>
      </c>
      <c r="N6574" t="str">
        <f>IFERROR(INDEX(tProdutos[Foco],MATCH(tItens[[#This Row],[Produto]],tProdutos[Produto],0)),"Não")</f>
        <v>Não</v>
      </c>
      <c r="O6574" t="str">
        <f>IFERROR(INDEX(tEditais[SRP],MATCH(tItens[[#This Row],[Edital]],tEditais[Edital],0)),"Não")</f>
        <v>Não</v>
      </c>
      <c r="P6574" s="4">
        <f>IF(COUNTIFS(INDEX(tItens[Edital],1):tItens[[#This Row],[Edital]],tItens[[#This Row],[Edital]],INDEX(tItens[Produto],1):tItens[[#This Row],[Produto]],tItens[[#This Row],[Produto]])=1,1,0)</f>
        <v>1</v>
      </c>
    </row>
    <row r="6575" spans="1:16" x14ac:dyDescent="0.25">
      <c r="A6575" t="s">
        <v>2370</v>
      </c>
      <c r="B6575">
        <v>58</v>
      </c>
      <c r="C6575" t="s">
        <v>4665</v>
      </c>
      <c r="D6575" t="s">
        <v>187</v>
      </c>
      <c r="E6575" s="13">
        <v>1000</v>
      </c>
      <c r="F6575" s="12">
        <v>0</v>
      </c>
      <c r="G6575" t="str">
        <f>IFERROR(INDEX(tEditais[Órgão],MATCH(tItens[[#This Row],[Edital]],tEditais[Edital],0)),"")</f>
        <v>MUNICIPIO DE PARANA</v>
      </c>
      <c r="H6575" t="str">
        <f>IFERROR(INDEX(tEditais[UF],MATCH(tItens[[#This Row],[Edital]],tEditais[Edital],0)),"")</f>
        <v>RN</v>
      </c>
      <c r="I6575" s="11">
        <f>IFERROR(INDEX(tEditais[Encerramento],MATCH(tItens[[#This Row],[Edital]],tEditais[Edital],0)),"")</f>
        <v>46304.332638888889</v>
      </c>
      <c r="J6575" t="str">
        <f>IFERROR(INDEX(tProdutos[Classe],MATCH(tItens[[#This Row],[Produto]],tProdutos[Produto],0)),"produto não cadastrado")</f>
        <v>DISPUTADO</v>
      </c>
      <c r="K6575" s="12">
        <f>tItens[[#This Row],[Qtd]]*tItens[[#This Row],[Vlr unit]]</f>
        <v>0</v>
      </c>
      <c r="L6575" s="6">
        <f>IFERROR(IF(INDEX(tProdutos[Desconto homologado],MATCH(tItens[[#This Row],[Produto]],tProdutos[Produto],0))="",DescontoPadrao,INDEX(tProdutos[Desconto homologado],MATCH(tItens[[#This Row],[Produto]],tProdutos[Produto],0))),DescontoPadrao)</f>
        <v>0.44298820445609399</v>
      </c>
      <c r="M6575" s="12">
        <f>tItens[[#This Row],[Valor]]*(1-tItens[[#This Row],[Desconto]])</f>
        <v>0</v>
      </c>
      <c r="N6575" t="str">
        <f>IFERROR(INDEX(tProdutos[Foco],MATCH(tItens[[#This Row],[Produto]],tProdutos[Produto],0)),"Não")</f>
        <v>Não</v>
      </c>
      <c r="O6575" t="str">
        <f>IFERROR(INDEX(tEditais[SRP],MATCH(tItens[[#This Row],[Edital]],tEditais[Edital],0)),"Não")</f>
        <v>Não</v>
      </c>
      <c r="P6575" s="4">
        <f>IF(COUNTIFS(INDEX(tItens[Edital],1):tItens[[#This Row],[Edital]],tItens[[#This Row],[Edital]],INDEX(tItens[Produto],1):tItens[[#This Row],[Produto]],tItens[[#This Row],[Produto]])=1,1,0)</f>
        <v>1</v>
      </c>
    </row>
    <row r="6576" spans="1:16" x14ac:dyDescent="0.25">
      <c r="A6576" t="s">
        <v>2370</v>
      </c>
      <c r="B6576">
        <v>59</v>
      </c>
      <c r="C6576" t="s">
        <v>9263</v>
      </c>
      <c r="D6576" t="s">
        <v>229</v>
      </c>
      <c r="E6576" s="13">
        <v>500</v>
      </c>
      <c r="F6576" s="12">
        <v>0</v>
      </c>
      <c r="G6576" t="str">
        <f>IFERROR(INDEX(tEditais[Órgão],MATCH(tItens[[#This Row],[Edital]],tEditais[Edital],0)),"")</f>
        <v>MUNICIPIO DE PARANA</v>
      </c>
      <c r="H6576" t="str">
        <f>IFERROR(INDEX(tEditais[UF],MATCH(tItens[[#This Row],[Edital]],tEditais[Edital],0)),"")</f>
        <v>RN</v>
      </c>
      <c r="I6576" s="11">
        <f>IFERROR(INDEX(tEditais[Encerramento],MATCH(tItens[[#This Row],[Edital]],tEditais[Edital],0)),"")</f>
        <v>46304.332638888889</v>
      </c>
      <c r="J6576" t="str">
        <f>IFERROR(INDEX(tProdutos[Classe],MATCH(tItens[[#This Row],[Produto]],tProdutos[Produto],0)),"produto não cadastrado")</f>
        <v>FORA</v>
      </c>
      <c r="K6576" s="12">
        <f>tItens[[#This Row],[Qtd]]*tItens[[#This Row],[Vlr unit]]</f>
        <v>0</v>
      </c>
      <c r="L6576" s="6">
        <f>IFERROR(IF(INDEX(tProdutos[Desconto homologado],MATCH(tItens[[#This Row],[Produto]],tProdutos[Produto],0))="",DescontoPadrao,INDEX(tProdutos[Desconto homologado],MATCH(tItens[[#This Row],[Produto]],tProdutos[Produto],0))),DescontoPadrao)</f>
        <v>0.33093491191658198</v>
      </c>
      <c r="M6576" s="12">
        <f>tItens[[#This Row],[Valor]]*(1-tItens[[#This Row],[Desconto]])</f>
        <v>0</v>
      </c>
      <c r="N6576" t="str">
        <f>IFERROR(INDEX(tProdutos[Foco],MATCH(tItens[[#This Row],[Produto]],tProdutos[Produto],0)),"Não")</f>
        <v>Não</v>
      </c>
      <c r="O6576" t="str">
        <f>IFERROR(INDEX(tEditais[SRP],MATCH(tItens[[#This Row],[Edital]],tEditais[Edital],0)),"Não")</f>
        <v>Não</v>
      </c>
      <c r="P6576" s="4">
        <f>IF(COUNTIFS(INDEX(tItens[Edital],1):tItens[[#This Row],[Edital]],tItens[[#This Row],[Edital]],INDEX(tItens[Produto],1):tItens[[#This Row],[Produto]],tItens[[#This Row],[Produto]])=1,1,0)</f>
        <v>1</v>
      </c>
    </row>
    <row r="6577" spans="1:16" x14ac:dyDescent="0.25">
      <c r="A6577" t="s">
        <v>2370</v>
      </c>
      <c r="B6577">
        <v>60</v>
      </c>
      <c r="C6577" t="s">
        <v>9264</v>
      </c>
      <c r="D6577" t="s">
        <v>333</v>
      </c>
      <c r="E6577" s="13">
        <v>3000</v>
      </c>
      <c r="F6577" s="12">
        <v>0</v>
      </c>
      <c r="G6577" t="str">
        <f>IFERROR(INDEX(tEditais[Órgão],MATCH(tItens[[#This Row],[Edital]],tEditais[Edital],0)),"")</f>
        <v>MUNICIPIO DE PARANA</v>
      </c>
      <c r="H6577" t="str">
        <f>IFERROR(INDEX(tEditais[UF],MATCH(tItens[[#This Row],[Edital]],tEditais[Edital],0)),"")</f>
        <v>RN</v>
      </c>
      <c r="I6577" s="11">
        <f>IFERROR(INDEX(tEditais[Encerramento],MATCH(tItens[[#This Row],[Edital]],tEditais[Edital],0)),"")</f>
        <v>46304.332638888889</v>
      </c>
      <c r="J6577" t="str">
        <f>IFERROR(INDEX(tProdutos[Classe],MATCH(tItens[[#This Row],[Produto]],tProdutos[Produto],0)),"produto não cadastrado")</f>
        <v>FORA</v>
      </c>
      <c r="K6577" s="12">
        <f>tItens[[#This Row],[Qtd]]*tItens[[#This Row],[Vlr unit]]</f>
        <v>0</v>
      </c>
      <c r="L6577" s="6">
        <f>IFERROR(IF(INDEX(tProdutos[Desconto homologado],MATCH(tItens[[#This Row],[Produto]],tProdutos[Produto],0))="",DescontoPadrao,INDEX(tProdutos[Desconto homologado],MATCH(tItens[[#This Row],[Produto]],tProdutos[Produto],0))),DescontoPadrao)</f>
        <v>0.48951048951048998</v>
      </c>
      <c r="M6577" s="12">
        <f>tItens[[#This Row],[Valor]]*(1-tItens[[#This Row],[Desconto]])</f>
        <v>0</v>
      </c>
      <c r="N6577" t="str">
        <f>IFERROR(INDEX(tProdutos[Foco],MATCH(tItens[[#This Row],[Produto]],tProdutos[Produto],0)),"Não")</f>
        <v>Não</v>
      </c>
      <c r="O6577" t="str">
        <f>IFERROR(INDEX(tEditais[SRP],MATCH(tItens[[#This Row],[Edital]],tEditais[Edital],0)),"Não")</f>
        <v>Não</v>
      </c>
      <c r="P6577" s="4">
        <f>IF(COUNTIFS(INDEX(tItens[Edital],1):tItens[[#This Row],[Edital]],tItens[[#This Row],[Edital]],INDEX(tItens[Produto],1):tItens[[#This Row],[Produto]],tItens[[#This Row],[Produto]])=1,1,0)</f>
        <v>1</v>
      </c>
    </row>
    <row r="6578" spans="1:16" x14ac:dyDescent="0.25">
      <c r="A6578" t="s">
        <v>2370</v>
      </c>
      <c r="B6578">
        <v>72</v>
      </c>
      <c r="C6578" t="s">
        <v>9265</v>
      </c>
      <c r="D6578" t="s">
        <v>90</v>
      </c>
      <c r="E6578" s="13">
        <v>600</v>
      </c>
      <c r="F6578" s="12">
        <v>0</v>
      </c>
      <c r="G6578" t="str">
        <f>IFERROR(INDEX(tEditais[Órgão],MATCH(tItens[[#This Row],[Edital]],tEditais[Edital],0)),"")</f>
        <v>MUNICIPIO DE PARANA</v>
      </c>
      <c r="H6578" t="str">
        <f>IFERROR(INDEX(tEditais[UF],MATCH(tItens[[#This Row],[Edital]],tEditais[Edital],0)),"")</f>
        <v>RN</v>
      </c>
      <c r="I6578" s="11">
        <f>IFERROR(INDEX(tEditais[Encerramento],MATCH(tItens[[#This Row],[Edital]],tEditais[Edital],0)),"")</f>
        <v>46304.332638888889</v>
      </c>
      <c r="J6578" t="str">
        <f>IFERROR(INDEX(tProdutos[Classe],MATCH(tItens[[#This Row],[Produto]],tProdutos[Produto],0)),"produto não cadastrado")</f>
        <v>DISPUTADO</v>
      </c>
      <c r="K6578" s="12">
        <f>tItens[[#This Row],[Qtd]]*tItens[[#This Row],[Vlr unit]]</f>
        <v>0</v>
      </c>
      <c r="L6578" s="6">
        <f>IFERROR(IF(INDEX(tProdutos[Desconto homologado],MATCH(tItens[[#This Row],[Produto]],tProdutos[Produto],0))="",DescontoPadrao,INDEX(tProdutos[Desconto homologado],MATCH(tItens[[#This Row],[Produto]],tProdutos[Produto],0))),DescontoPadrao)</f>
        <v>0.25393823957010597</v>
      </c>
      <c r="M6578" s="12">
        <f>tItens[[#This Row],[Valor]]*(1-tItens[[#This Row],[Desconto]])</f>
        <v>0</v>
      </c>
      <c r="N6578" t="str">
        <f>IFERROR(INDEX(tProdutos[Foco],MATCH(tItens[[#This Row],[Produto]],tProdutos[Produto],0)),"Não")</f>
        <v>Não</v>
      </c>
      <c r="O6578" t="str">
        <f>IFERROR(INDEX(tEditais[SRP],MATCH(tItens[[#This Row],[Edital]],tEditais[Edital],0)),"Não")</f>
        <v>Não</v>
      </c>
      <c r="P6578" s="4">
        <f>IF(COUNTIFS(INDEX(tItens[Edital],1):tItens[[#This Row],[Edital]],tItens[[#This Row],[Edital]],INDEX(tItens[Produto],1):tItens[[#This Row],[Produto]],tItens[[#This Row],[Produto]])=1,1,0)</f>
        <v>1</v>
      </c>
    </row>
    <row r="6579" spans="1:16" x14ac:dyDescent="0.25">
      <c r="A6579" t="s">
        <v>2370</v>
      </c>
      <c r="B6579">
        <v>73</v>
      </c>
      <c r="C6579" t="s">
        <v>9266</v>
      </c>
      <c r="D6579" t="s">
        <v>90</v>
      </c>
      <c r="E6579" s="13">
        <v>900</v>
      </c>
      <c r="F6579" s="12">
        <v>0</v>
      </c>
      <c r="G6579" t="str">
        <f>IFERROR(INDEX(tEditais[Órgão],MATCH(tItens[[#This Row],[Edital]],tEditais[Edital],0)),"")</f>
        <v>MUNICIPIO DE PARANA</v>
      </c>
      <c r="H6579" t="str">
        <f>IFERROR(INDEX(tEditais[UF],MATCH(tItens[[#This Row],[Edital]],tEditais[Edital],0)),"")</f>
        <v>RN</v>
      </c>
      <c r="I6579" s="11">
        <f>IFERROR(INDEX(tEditais[Encerramento],MATCH(tItens[[#This Row],[Edital]],tEditais[Edital],0)),"")</f>
        <v>46304.332638888889</v>
      </c>
      <c r="J6579" t="str">
        <f>IFERROR(INDEX(tProdutos[Classe],MATCH(tItens[[#This Row],[Produto]],tProdutos[Produto],0)),"produto não cadastrado")</f>
        <v>DISPUTADO</v>
      </c>
      <c r="K6579" s="12">
        <f>tItens[[#This Row],[Qtd]]*tItens[[#This Row],[Vlr unit]]</f>
        <v>0</v>
      </c>
      <c r="L6579" s="6">
        <f>IFERROR(IF(INDEX(tProdutos[Desconto homologado],MATCH(tItens[[#This Row],[Produto]],tProdutos[Produto],0))="",DescontoPadrao,INDEX(tProdutos[Desconto homologado],MATCH(tItens[[#This Row],[Produto]],tProdutos[Produto],0))),DescontoPadrao)</f>
        <v>0.25393823957010597</v>
      </c>
      <c r="M6579" s="12">
        <f>tItens[[#This Row],[Valor]]*(1-tItens[[#This Row],[Desconto]])</f>
        <v>0</v>
      </c>
      <c r="N6579" t="str">
        <f>IFERROR(INDEX(tProdutos[Foco],MATCH(tItens[[#This Row],[Produto]],tProdutos[Produto],0)),"Não")</f>
        <v>Não</v>
      </c>
      <c r="O6579" t="str">
        <f>IFERROR(INDEX(tEditais[SRP],MATCH(tItens[[#This Row],[Edital]],tEditais[Edital],0)),"Não")</f>
        <v>Não</v>
      </c>
      <c r="P6579" s="4">
        <f>IF(COUNTIFS(INDEX(tItens[Edital],1):tItens[[#This Row],[Edital]],tItens[[#This Row],[Edital]],INDEX(tItens[Produto],1):tItens[[#This Row],[Produto]],tItens[[#This Row],[Produto]])=1,1,0)</f>
        <v>0</v>
      </c>
    </row>
    <row r="6580" spans="1:16" x14ac:dyDescent="0.25">
      <c r="A6580" t="s">
        <v>2370</v>
      </c>
      <c r="B6580">
        <v>74</v>
      </c>
      <c r="C6580" t="s">
        <v>9267</v>
      </c>
      <c r="D6580" t="s">
        <v>90</v>
      </c>
      <c r="E6580" s="13">
        <v>920</v>
      </c>
      <c r="F6580" s="12">
        <v>0</v>
      </c>
      <c r="G6580" t="str">
        <f>IFERROR(INDEX(tEditais[Órgão],MATCH(tItens[[#This Row],[Edital]],tEditais[Edital],0)),"")</f>
        <v>MUNICIPIO DE PARANA</v>
      </c>
      <c r="H6580" t="str">
        <f>IFERROR(INDEX(tEditais[UF],MATCH(tItens[[#This Row],[Edital]],tEditais[Edital],0)),"")</f>
        <v>RN</v>
      </c>
      <c r="I6580" s="11">
        <f>IFERROR(INDEX(tEditais[Encerramento],MATCH(tItens[[#This Row],[Edital]],tEditais[Edital],0)),"")</f>
        <v>46304.332638888889</v>
      </c>
      <c r="J6580" t="str">
        <f>IFERROR(INDEX(tProdutos[Classe],MATCH(tItens[[#This Row],[Produto]],tProdutos[Produto],0)),"produto não cadastrado")</f>
        <v>DISPUTADO</v>
      </c>
      <c r="K6580" s="12">
        <f>tItens[[#This Row],[Qtd]]*tItens[[#This Row],[Vlr unit]]</f>
        <v>0</v>
      </c>
      <c r="L6580" s="6">
        <f>IFERROR(IF(INDEX(tProdutos[Desconto homologado],MATCH(tItens[[#This Row],[Produto]],tProdutos[Produto],0))="",DescontoPadrao,INDEX(tProdutos[Desconto homologado],MATCH(tItens[[#This Row],[Produto]],tProdutos[Produto],0))),DescontoPadrao)</f>
        <v>0.25393823957010597</v>
      </c>
      <c r="M6580" s="12">
        <f>tItens[[#This Row],[Valor]]*(1-tItens[[#This Row],[Desconto]])</f>
        <v>0</v>
      </c>
      <c r="N6580" t="str">
        <f>IFERROR(INDEX(tProdutos[Foco],MATCH(tItens[[#This Row],[Produto]],tProdutos[Produto],0)),"Não")</f>
        <v>Não</v>
      </c>
      <c r="O6580" t="str">
        <f>IFERROR(INDEX(tEditais[SRP],MATCH(tItens[[#This Row],[Edital]],tEditais[Edital],0)),"Não")</f>
        <v>Não</v>
      </c>
      <c r="P6580" s="4">
        <f>IF(COUNTIFS(INDEX(tItens[Edital],1):tItens[[#This Row],[Edital]],tItens[[#This Row],[Edital]],INDEX(tItens[Produto],1):tItens[[#This Row],[Produto]],tItens[[#This Row],[Produto]])=1,1,0)</f>
        <v>0</v>
      </c>
    </row>
    <row r="6581" spans="1:16" x14ac:dyDescent="0.25">
      <c r="A6581" t="s">
        <v>2370</v>
      </c>
      <c r="B6581">
        <v>75</v>
      </c>
      <c r="C6581" t="s">
        <v>9268</v>
      </c>
      <c r="D6581" t="s">
        <v>233</v>
      </c>
      <c r="E6581" s="13">
        <v>500</v>
      </c>
      <c r="F6581" s="12">
        <v>0</v>
      </c>
      <c r="G6581" t="str">
        <f>IFERROR(INDEX(tEditais[Órgão],MATCH(tItens[[#This Row],[Edital]],tEditais[Edital],0)),"")</f>
        <v>MUNICIPIO DE PARANA</v>
      </c>
      <c r="H6581" t="str">
        <f>IFERROR(INDEX(tEditais[UF],MATCH(tItens[[#This Row],[Edital]],tEditais[Edital],0)),"")</f>
        <v>RN</v>
      </c>
      <c r="I6581" s="11">
        <f>IFERROR(INDEX(tEditais[Encerramento],MATCH(tItens[[#This Row],[Edital]],tEditais[Edital],0)),"")</f>
        <v>46304.332638888889</v>
      </c>
      <c r="J6581" t="str">
        <f>IFERROR(INDEX(tProdutos[Classe],MATCH(tItens[[#This Row],[Produto]],tProdutos[Produto],0)),"produto não cadastrado")</f>
        <v>FORA</v>
      </c>
      <c r="K6581" s="12">
        <f>tItens[[#This Row],[Qtd]]*tItens[[#This Row],[Vlr unit]]</f>
        <v>0</v>
      </c>
      <c r="L6581" s="6">
        <f>IFERROR(IF(INDEX(tProdutos[Desconto homologado],MATCH(tItens[[#This Row],[Produto]],tProdutos[Produto],0))="",DescontoPadrao,INDEX(tProdutos[Desconto homologado],MATCH(tItens[[#This Row],[Produto]],tProdutos[Produto],0))),DescontoPadrao)</f>
        <v>0.246270084162204</v>
      </c>
      <c r="M6581" s="12">
        <f>tItens[[#This Row],[Valor]]*(1-tItens[[#This Row],[Desconto]])</f>
        <v>0</v>
      </c>
      <c r="N6581" t="str">
        <f>IFERROR(INDEX(tProdutos[Foco],MATCH(tItens[[#This Row],[Produto]],tProdutos[Produto],0)),"Não")</f>
        <v>Não</v>
      </c>
      <c r="O6581" t="str">
        <f>IFERROR(INDEX(tEditais[SRP],MATCH(tItens[[#This Row],[Edital]],tEditais[Edital],0)),"Não")</f>
        <v>Não</v>
      </c>
      <c r="P6581" s="4">
        <f>IF(COUNTIFS(INDEX(tItens[Edital],1):tItens[[#This Row],[Edital]],tItens[[#This Row],[Edital]],INDEX(tItens[Produto],1):tItens[[#This Row],[Produto]],tItens[[#This Row],[Produto]])=1,1,0)</f>
        <v>1</v>
      </c>
    </row>
    <row r="6582" spans="1:16" x14ac:dyDescent="0.25">
      <c r="A6582" t="s">
        <v>2370</v>
      </c>
      <c r="B6582">
        <v>76</v>
      </c>
      <c r="C6582" t="s">
        <v>9269</v>
      </c>
      <c r="D6582" t="s">
        <v>75</v>
      </c>
      <c r="E6582" s="13">
        <v>540</v>
      </c>
      <c r="F6582" s="12">
        <v>0</v>
      </c>
      <c r="G6582" t="str">
        <f>IFERROR(INDEX(tEditais[Órgão],MATCH(tItens[[#This Row],[Edital]],tEditais[Edital],0)),"")</f>
        <v>MUNICIPIO DE PARANA</v>
      </c>
      <c r="H6582" t="str">
        <f>IFERROR(INDEX(tEditais[UF],MATCH(tItens[[#This Row],[Edital]],tEditais[Edital],0)),"")</f>
        <v>RN</v>
      </c>
      <c r="I6582" s="11">
        <f>IFERROR(INDEX(tEditais[Encerramento],MATCH(tItens[[#This Row],[Edital]],tEditais[Edital],0)),"")</f>
        <v>46304.332638888889</v>
      </c>
      <c r="J6582" t="str">
        <f>IFERROR(INDEX(tProdutos[Classe],MATCH(tItens[[#This Row],[Produto]],tProdutos[Produto],0)),"produto não cadastrado")</f>
        <v>NÚCLEO</v>
      </c>
      <c r="K6582" s="12">
        <f>tItens[[#This Row],[Qtd]]*tItens[[#This Row],[Vlr unit]]</f>
        <v>0</v>
      </c>
      <c r="L6582" s="6">
        <f>IFERROR(IF(INDEX(tProdutos[Desconto homologado],MATCH(tItens[[#This Row],[Produto]],tProdutos[Produto],0))="",DescontoPadrao,INDEX(tProdutos[Desconto homologado],MATCH(tItens[[#This Row],[Produto]],tProdutos[Produto],0))),DescontoPadrao)</f>
        <v>0.26</v>
      </c>
      <c r="M6582" s="12">
        <f>tItens[[#This Row],[Valor]]*(1-tItens[[#This Row],[Desconto]])</f>
        <v>0</v>
      </c>
      <c r="N6582" t="str">
        <f>IFERROR(INDEX(tProdutos[Foco],MATCH(tItens[[#This Row],[Produto]],tProdutos[Produto],0)),"Não")</f>
        <v>Sim</v>
      </c>
      <c r="O6582" t="str">
        <f>IFERROR(INDEX(tEditais[SRP],MATCH(tItens[[#This Row],[Edital]],tEditais[Edital],0)),"Não")</f>
        <v>Não</v>
      </c>
      <c r="P6582" s="4">
        <f>IF(COUNTIFS(INDEX(tItens[Edital],1):tItens[[#This Row],[Edital]],tItens[[#This Row],[Edital]],INDEX(tItens[Produto],1):tItens[[#This Row],[Produto]],tItens[[#This Row],[Produto]])=1,1,0)</f>
        <v>1</v>
      </c>
    </row>
    <row r="6583" spans="1:16" x14ac:dyDescent="0.25">
      <c r="A6583" t="s">
        <v>2370</v>
      </c>
      <c r="B6583">
        <v>77</v>
      </c>
      <c r="C6583" t="s">
        <v>9270</v>
      </c>
      <c r="D6583" t="s">
        <v>75</v>
      </c>
      <c r="E6583" s="13">
        <v>520</v>
      </c>
      <c r="F6583" s="12">
        <v>0</v>
      </c>
      <c r="G6583" t="str">
        <f>IFERROR(INDEX(tEditais[Órgão],MATCH(tItens[[#This Row],[Edital]],tEditais[Edital],0)),"")</f>
        <v>MUNICIPIO DE PARANA</v>
      </c>
      <c r="H6583" t="str">
        <f>IFERROR(INDEX(tEditais[UF],MATCH(tItens[[#This Row],[Edital]],tEditais[Edital],0)),"")</f>
        <v>RN</v>
      </c>
      <c r="I6583" s="11">
        <f>IFERROR(INDEX(tEditais[Encerramento],MATCH(tItens[[#This Row],[Edital]],tEditais[Edital],0)),"")</f>
        <v>46304.332638888889</v>
      </c>
      <c r="J6583" t="str">
        <f>IFERROR(INDEX(tProdutos[Classe],MATCH(tItens[[#This Row],[Produto]],tProdutos[Produto],0)),"produto não cadastrado")</f>
        <v>NÚCLEO</v>
      </c>
      <c r="K6583" s="12">
        <f>tItens[[#This Row],[Qtd]]*tItens[[#This Row],[Vlr unit]]</f>
        <v>0</v>
      </c>
      <c r="L6583" s="6">
        <f>IFERROR(IF(INDEX(tProdutos[Desconto homologado],MATCH(tItens[[#This Row],[Produto]],tProdutos[Produto],0))="",DescontoPadrao,INDEX(tProdutos[Desconto homologado],MATCH(tItens[[#This Row],[Produto]],tProdutos[Produto],0))),DescontoPadrao)</f>
        <v>0.26</v>
      </c>
      <c r="M6583" s="12">
        <f>tItens[[#This Row],[Valor]]*(1-tItens[[#This Row],[Desconto]])</f>
        <v>0</v>
      </c>
      <c r="N6583" t="str">
        <f>IFERROR(INDEX(tProdutos[Foco],MATCH(tItens[[#This Row],[Produto]],tProdutos[Produto],0)),"Não")</f>
        <v>Sim</v>
      </c>
      <c r="O6583" t="str">
        <f>IFERROR(INDEX(tEditais[SRP],MATCH(tItens[[#This Row],[Edital]],tEditais[Edital],0)),"Não")</f>
        <v>Não</v>
      </c>
      <c r="P6583" s="4">
        <f>IF(COUNTIFS(INDEX(tItens[Edital],1):tItens[[#This Row],[Edital]],tItens[[#This Row],[Edital]],INDEX(tItens[Produto],1):tItens[[#This Row],[Produto]],tItens[[#This Row],[Produto]])=1,1,0)</f>
        <v>0</v>
      </c>
    </row>
    <row r="6584" spans="1:16" x14ac:dyDescent="0.25">
      <c r="A6584" t="s">
        <v>2370</v>
      </c>
      <c r="B6584">
        <v>78</v>
      </c>
      <c r="C6584" t="s">
        <v>9271</v>
      </c>
      <c r="D6584" t="s">
        <v>75</v>
      </c>
      <c r="E6584" s="13">
        <v>580</v>
      </c>
      <c r="F6584" s="12">
        <v>0</v>
      </c>
      <c r="G6584" t="str">
        <f>IFERROR(INDEX(tEditais[Órgão],MATCH(tItens[[#This Row],[Edital]],tEditais[Edital],0)),"")</f>
        <v>MUNICIPIO DE PARANA</v>
      </c>
      <c r="H6584" t="str">
        <f>IFERROR(INDEX(tEditais[UF],MATCH(tItens[[#This Row],[Edital]],tEditais[Edital],0)),"")</f>
        <v>RN</v>
      </c>
      <c r="I6584" s="11">
        <f>IFERROR(INDEX(tEditais[Encerramento],MATCH(tItens[[#This Row],[Edital]],tEditais[Edital],0)),"")</f>
        <v>46304.332638888889</v>
      </c>
      <c r="J6584" t="str">
        <f>IFERROR(INDEX(tProdutos[Classe],MATCH(tItens[[#This Row],[Produto]],tProdutos[Produto],0)),"produto não cadastrado")</f>
        <v>NÚCLEO</v>
      </c>
      <c r="K6584" s="12">
        <f>tItens[[#This Row],[Qtd]]*tItens[[#This Row],[Vlr unit]]</f>
        <v>0</v>
      </c>
      <c r="L6584" s="6">
        <f>IFERROR(IF(INDEX(tProdutos[Desconto homologado],MATCH(tItens[[#This Row],[Produto]],tProdutos[Produto],0))="",DescontoPadrao,INDEX(tProdutos[Desconto homologado],MATCH(tItens[[#This Row],[Produto]],tProdutos[Produto],0))),DescontoPadrao)</f>
        <v>0.26</v>
      </c>
      <c r="M6584" s="12">
        <f>tItens[[#This Row],[Valor]]*(1-tItens[[#This Row],[Desconto]])</f>
        <v>0</v>
      </c>
      <c r="N6584" t="str">
        <f>IFERROR(INDEX(tProdutos[Foco],MATCH(tItens[[#This Row],[Produto]],tProdutos[Produto],0)),"Não")</f>
        <v>Sim</v>
      </c>
      <c r="O6584" t="str">
        <f>IFERROR(INDEX(tEditais[SRP],MATCH(tItens[[#This Row],[Edital]],tEditais[Edital],0)),"Não")</f>
        <v>Não</v>
      </c>
      <c r="P6584" s="4">
        <f>IF(COUNTIFS(INDEX(tItens[Edital],1):tItens[[#This Row],[Edital]],tItens[[#This Row],[Edital]],INDEX(tItens[Produto],1):tItens[[#This Row],[Produto]],tItens[[#This Row],[Produto]])=1,1,0)</f>
        <v>0</v>
      </c>
    </row>
    <row r="6585" spans="1:16" x14ac:dyDescent="0.25">
      <c r="A6585" t="s">
        <v>2370</v>
      </c>
      <c r="B6585">
        <v>85</v>
      </c>
      <c r="C6585" t="s">
        <v>9272</v>
      </c>
      <c r="D6585" t="s">
        <v>461</v>
      </c>
      <c r="E6585" s="13">
        <v>50</v>
      </c>
      <c r="F6585" s="12">
        <v>0</v>
      </c>
      <c r="G6585" t="str">
        <f>IFERROR(INDEX(tEditais[Órgão],MATCH(tItens[[#This Row],[Edital]],tEditais[Edital],0)),"")</f>
        <v>MUNICIPIO DE PARANA</v>
      </c>
      <c r="H6585" t="str">
        <f>IFERROR(INDEX(tEditais[UF],MATCH(tItens[[#This Row],[Edital]],tEditais[Edital],0)),"")</f>
        <v>RN</v>
      </c>
      <c r="I6585" s="11">
        <f>IFERROR(INDEX(tEditais[Encerramento],MATCH(tItens[[#This Row],[Edital]],tEditais[Edital],0)),"")</f>
        <v>46304.332638888889</v>
      </c>
      <c r="J6585" t="str">
        <f>IFERROR(INDEX(tProdutos[Classe],MATCH(tItens[[#This Row],[Produto]],tProdutos[Produto],0)),"produto não cadastrado")</f>
        <v>FILA REBASE</v>
      </c>
      <c r="K6585" s="12">
        <f>tItens[[#This Row],[Qtd]]*tItens[[#This Row],[Vlr unit]]</f>
        <v>0</v>
      </c>
      <c r="L6585" s="6">
        <f>IFERROR(IF(INDEX(tProdutos[Desconto homologado],MATCH(tItens[[#This Row],[Produto]],tProdutos[Produto],0))="",DescontoPadrao,INDEX(tProdutos[Desconto homologado],MATCH(tItens[[#This Row],[Produto]],tProdutos[Produto],0))),DescontoPadrao)</f>
        <v>0.44096385542168698</v>
      </c>
      <c r="M6585" s="12">
        <f>tItens[[#This Row],[Valor]]*(1-tItens[[#This Row],[Desconto]])</f>
        <v>0</v>
      </c>
      <c r="N6585" t="str">
        <f>IFERROR(INDEX(tProdutos[Foco],MATCH(tItens[[#This Row],[Produto]],tProdutos[Produto],0)),"Não")</f>
        <v>Não</v>
      </c>
      <c r="O6585" t="str">
        <f>IFERROR(INDEX(tEditais[SRP],MATCH(tItens[[#This Row],[Edital]],tEditais[Edital],0)),"Não")</f>
        <v>Não</v>
      </c>
      <c r="P6585" s="4">
        <f>IF(COUNTIFS(INDEX(tItens[Edital],1):tItens[[#This Row],[Edital]],tItens[[#This Row],[Edital]],INDEX(tItens[Produto],1):tItens[[#This Row],[Produto]],tItens[[#This Row],[Produto]])=1,1,0)</f>
        <v>1</v>
      </c>
    </row>
    <row r="6586" spans="1:16" x14ac:dyDescent="0.25">
      <c r="A6586" t="s">
        <v>2370</v>
      </c>
      <c r="B6586">
        <v>86</v>
      </c>
      <c r="C6586" t="s">
        <v>9273</v>
      </c>
      <c r="D6586" t="s">
        <v>461</v>
      </c>
      <c r="E6586" s="13">
        <v>800</v>
      </c>
      <c r="F6586" s="12">
        <v>0</v>
      </c>
      <c r="G6586" t="str">
        <f>IFERROR(INDEX(tEditais[Órgão],MATCH(tItens[[#This Row],[Edital]],tEditais[Edital],0)),"")</f>
        <v>MUNICIPIO DE PARANA</v>
      </c>
      <c r="H6586" t="str">
        <f>IFERROR(INDEX(tEditais[UF],MATCH(tItens[[#This Row],[Edital]],tEditais[Edital],0)),"")</f>
        <v>RN</v>
      </c>
      <c r="I6586" s="11">
        <f>IFERROR(INDEX(tEditais[Encerramento],MATCH(tItens[[#This Row],[Edital]],tEditais[Edital],0)),"")</f>
        <v>46304.332638888889</v>
      </c>
      <c r="J6586" t="str">
        <f>IFERROR(INDEX(tProdutos[Classe],MATCH(tItens[[#This Row],[Produto]],tProdutos[Produto],0)),"produto não cadastrado")</f>
        <v>FILA REBASE</v>
      </c>
      <c r="K6586" s="12">
        <f>tItens[[#This Row],[Qtd]]*tItens[[#This Row],[Vlr unit]]</f>
        <v>0</v>
      </c>
      <c r="L6586" s="6">
        <f>IFERROR(IF(INDEX(tProdutos[Desconto homologado],MATCH(tItens[[#This Row],[Produto]],tProdutos[Produto],0))="",DescontoPadrao,INDEX(tProdutos[Desconto homologado],MATCH(tItens[[#This Row],[Produto]],tProdutos[Produto],0))),DescontoPadrao)</f>
        <v>0.44096385542168698</v>
      </c>
      <c r="M6586" s="12">
        <f>tItens[[#This Row],[Valor]]*(1-tItens[[#This Row],[Desconto]])</f>
        <v>0</v>
      </c>
      <c r="N6586" t="str">
        <f>IFERROR(INDEX(tProdutos[Foco],MATCH(tItens[[#This Row],[Produto]],tProdutos[Produto],0)),"Não")</f>
        <v>Não</v>
      </c>
      <c r="O6586" t="str">
        <f>IFERROR(INDEX(tEditais[SRP],MATCH(tItens[[#This Row],[Edital]],tEditais[Edital],0)),"Não")</f>
        <v>Não</v>
      </c>
      <c r="P6586" s="4">
        <f>IF(COUNTIFS(INDEX(tItens[Edital],1):tItens[[#This Row],[Edital]],tItens[[#This Row],[Edital]],INDEX(tItens[Produto],1):tItens[[#This Row],[Produto]],tItens[[#This Row],[Produto]])=1,1,0)</f>
        <v>0</v>
      </c>
    </row>
    <row r="6587" spans="1:16" x14ac:dyDescent="0.25">
      <c r="A6587" t="s">
        <v>2370</v>
      </c>
      <c r="B6587">
        <v>87</v>
      </c>
      <c r="C6587" t="s">
        <v>9274</v>
      </c>
      <c r="D6587" t="s">
        <v>461</v>
      </c>
      <c r="E6587" s="13">
        <v>800</v>
      </c>
      <c r="F6587" s="12">
        <v>0</v>
      </c>
      <c r="G6587" t="str">
        <f>IFERROR(INDEX(tEditais[Órgão],MATCH(tItens[[#This Row],[Edital]],tEditais[Edital],0)),"")</f>
        <v>MUNICIPIO DE PARANA</v>
      </c>
      <c r="H6587" t="str">
        <f>IFERROR(INDEX(tEditais[UF],MATCH(tItens[[#This Row],[Edital]],tEditais[Edital],0)),"")</f>
        <v>RN</v>
      </c>
      <c r="I6587" s="11">
        <f>IFERROR(INDEX(tEditais[Encerramento],MATCH(tItens[[#This Row],[Edital]],tEditais[Edital],0)),"")</f>
        <v>46304.332638888889</v>
      </c>
      <c r="J6587" t="str">
        <f>IFERROR(INDEX(tProdutos[Classe],MATCH(tItens[[#This Row],[Produto]],tProdutos[Produto],0)),"produto não cadastrado")</f>
        <v>FILA REBASE</v>
      </c>
      <c r="K6587" s="12">
        <f>tItens[[#This Row],[Qtd]]*tItens[[#This Row],[Vlr unit]]</f>
        <v>0</v>
      </c>
      <c r="L6587" s="6">
        <f>IFERROR(IF(INDEX(tProdutos[Desconto homologado],MATCH(tItens[[#This Row],[Produto]],tProdutos[Produto],0))="",DescontoPadrao,INDEX(tProdutos[Desconto homologado],MATCH(tItens[[#This Row],[Produto]],tProdutos[Produto],0))),DescontoPadrao)</f>
        <v>0.44096385542168698</v>
      </c>
      <c r="M6587" s="12">
        <f>tItens[[#This Row],[Valor]]*(1-tItens[[#This Row],[Desconto]])</f>
        <v>0</v>
      </c>
      <c r="N6587" t="str">
        <f>IFERROR(INDEX(tProdutos[Foco],MATCH(tItens[[#This Row],[Produto]],tProdutos[Produto],0)),"Não")</f>
        <v>Não</v>
      </c>
      <c r="O6587" t="str">
        <f>IFERROR(INDEX(tEditais[SRP],MATCH(tItens[[#This Row],[Edital]],tEditais[Edital],0)),"Não")</f>
        <v>Não</v>
      </c>
      <c r="P6587" s="4">
        <f>IF(COUNTIFS(INDEX(tItens[Edital],1):tItens[[#This Row],[Edital]],tItens[[#This Row],[Edital]],INDEX(tItens[Produto],1):tItens[[#This Row],[Produto]],tItens[[#This Row],[Produto]])=1,1,0)</f>
        <v>0</v>
      </c>
    </row>
    <row r="6588" spans="1:16" x14ac:dyDescent="0.25">
      <c r="A6588" t="s">
        <v>2370</v>
      </c>
      <c r="B6588">
        <v>88</v>
      </c>
      <c r="C6588" t="s">
        <v>9275</v>
      </c>
      <c r="D6588" t="s">
        <v>461</v>
      </c>
      <c r="E6588" s="13">
        <v>800</v>
      </c>
      <c r="F6588" s="12">
        <v>0</v>
      </c>
      <c r="G6588" t="str">
        <f>IFERROR(INDEX(tEditais[Órgão],MATCH(tItens[[#This Row],[Edital]],tEditais[Edital],0)),"")</f>
        <v>MUNICIPIO DE PARANA</v>
      </c>
      <c r="H6588" t="str">
        <f>IFERROR(INDEX(tEditais[UF],MATCH(tItens[[#This Row],[Edital]],tEditais[Edital],0)),"")</f>
        <v>RN</v>
      </c>
      <c r="I6588" s="11">
        <f>IFERROR(INDEX(tEditais[Encerramento],MATCH(tItens[[#This Row],[Edital]],tEditais[Edital],0)),"")</f>
        <v>46304.332638888889</v>
      </c>
      <c r="J6588" t="str">
        <f>IFERROR(INDEX(tProdutos[Classe],MATCH(tItens[[#This Row],[Produto]],tProdutos[Produto],0)),"produto não cadastrado")</f>
        <v>FILA REBASE</v>
      </c>
      <c r="K6588" s="12">
        <f>tItens[[#This Row],[Qtd]]*tItens[[#This Row],[Vlr unit]]</f>
        <v>0</v>
      </c>
      <c r="L6588" s="6">
        <f>IFERROR(IF(INDEX(tProdutos[Desconto homologado],MATCH(tItens[[#This Row],[Produto]],tProdutos[Produto],0))="",DescontoPadrao,INDEX(tProdutos[Desconto homologado],MATCH(tItens[[#This Row],[Produto]],tProdutos[Produto],0))),DescontoPadrao)</f>
        <v>0.44096385542168698</v>
      </c>
      <c r="M6588" s="12">
        <f>tItens[[#This Row],[Valor]]*(1-tItens[[#This Row],[Desconto]])</f>
        <v>0</v>
      </c>
      <c r="N6588" t="str">
        <f>IFERROR(INDEX(tProdutos[Foco],MATCH(tItens[[#This Row],[Produto]],tProdutos[Produto],0)),"Não")</f>
        <v>Não</v>
      </c>
      <c r="O6588" t="str">
        <f>IFERROR(INDEX(tEditais[SRP],MATCH(tItens[[#This Row],[Edital]],tEditais[Edital],0)),"Não")</f>
        <v>Não</v>
      </c>
      <c r="P6588" s="4">
        <f>IF(COUNTIFS(INDEX(tItens[Edital],1):tItens[[#This Row],[Edital]],tItens[[#This Row],[Edital]],INDEX(tItens[Produto],1):tItens[[#This Row],[Produto]],tItens[[#This Row],[Produto]])=1,1,0)</f>
        <v>0</v>
      </c>
    </row>
    <row r="6589" spans="1:16" x14ac:dyDescent="0.25">
      <c r="A6589" t="s">
        <v>2370</v>
      </c>
      <c r="B6589">
        <v>91</v>
      </c>
      <c r="C6589" t="s">
        <v>9276</v>
      </c>
      <c r="D6589" t="s">
        <v>142</v>
      </c>
      <c r="E6589" s="13">
        <v>200</v>
      </c>
      <c r="F6589" s="12">
        <v>0</v>
      </c>
      <c r="G6589" t="str">
        <f>IFERROR(INDEX(tEditais[Órgão],MATCH(tItens[[#This Row],[Edital]],tEditais[Edital],0)),"")</f>
        <v>MUNICIPIO DE PARANA</v>
      </c>
      <c r="H6589" t="str">
        <f>IFERROR(INDEX(tEditais[UF],MATCH(tItens[[#This Row],[Edital]],tEditais[Edital],0)),"")</f>
        <v>RN</v>
      </c>
      <c r="I6589" s="11">
        <f>IFERROR(INDEX(tEditais[Encerramento],MATCH(tItens[[#This Row],[Edital]],tEditais[Edital],0)),"")</f>
        <v>46304.332638888889</v>
      </c>
      <c r="J6589" t="str">
        <f>IFERROR(INDEX(tProdutos[Classe],MATCH(tItens[[#This Row],[Produto]],tProdutos[Produto],0)),"produto não cadastrado")</f>
        <v>DISPUTADO</v>
      </c>
      <c r="K6589" s="12">
        <f>tItens[[#This Row],[Qtd]]*tItens[[#This Row],[Vlr unit]]</f>
        <v>0</v>
      </c>
      <c r="L6589" s="6">
        <f>IFERROR(IF(INDEX(tProdutos[Desconto homologado],MATCH(tItens[[#This Row],[Produto]],tProdutos[Produto],0))="",DescontoPadrao,INDEX(tProdutos[Desconto homologado],MATCH(tItens[[#This Row],[Produto]],tProdutos[Produto],0))),DescontoPadrao)</f>
        <v>0.37093619495691699</v>
      </c>
      <c r="M6589" s="12">
        <f>tItens[[#This Row],[Valor]]*(1-tItens[[#This Row],[Desconto]])</f>
        <v>0</v>
      </c>
      <c r="N6589" t="str">
        <f>IFERROR(INDEX(tProdutos[Foco],MATCH(tItens[[#This Row],[Produto]],tProdutos[Produto],0)),"Não")</f>
        <v>Não</v>
      </c>
      <c r="O6589" t="str">
        <f>IFERROR(INDEX(tEditais[SRP],MATCH(tItens[[#This Row],[Edital]],tEditais[Edital],0)),"Não")</f>
        <v>Não</v>
      </c>
      <c r="P6589" s="4">
        <f>IF(COUNTIFS(INDEX(tItens[Edital],1):tItens[[#This Row],[Edital]],tItens[[#This Row],[Edital]],INDEX(tItens[Produto],1):tItens[[#This Row],[Produto]],tItens[[#This Row],[Produto]])=1,1,0)</f>
        <v>1</v>
      </c>
    </row>
    <row r="6590" spans="1:16" x14ac:dyDescent="0.25">
      <c r="A6590" t="s">
        <v>2370</v>
      </c>
      <c r="B6590">
        <v>92</v>
      </c>
      <c r="C6590" t="s">
        <v>9277</v>
      </c>
      <c r="D6590" t="s">
        <v>142</v>
      </c>
      <c r="E6590" s="13">
        <v>130</v>
      </c>
      <c r="F6590" s="12">
        <v>0</v>
      </c>
      <c r="G6590" t="str">
        <f>IFERROR(INDEX(tEditais[Órgão],MATCH(tItens[[#This Row],[Edital]],tEditais[Edital],0)),"")</f>
        <v>MUNICIPIO DE PARANA</v>
      </c>
      <c r="H6590" t="str">
        <f>IFERROR(INDEX(tEditais[UF],MATCH(tItens[[#This Row],[Edital]],tEditais[Edital],0)),"")</f>
        <v>RN</v>
      </c>
      <c r="I6590" s="11">
        <f>IFERROR(INDEX(tEditais[Encerramento],MATCH(tItens[[#This Row],[Edital]],tEditais[Edital],0)),"")</f>
        <v>46304.332638888889</v>
      </c>
      <c r="J6590" t="str">
        <f>IFERROR(INDEX(tProdutos[Classe],MATCH(tItens[[#This Row],[Produto]],tProdutos[Produto],0)),"produto não cadastrado")</f>
        <v>DISPUTADO</v>
      </c>
      <c r="K6590" s="12">
        <f>tItens[[#This Row],[Qtd]]*tItens[[#This Row],[Vlr unit]]</f>
        <v>0</v>
      </c>
      <c r="L6590" s="6">
        <f>IFERROR(IF(INDEX(tProdutos[Desconto homologado],MATCH(tItens[[#This Row],[Produto]],tProdutos[Produto],0))="",DescontoPadrao,INDEX(tProdutos[Desconto homologado],MATCH(tItens[[#This Row],[Produto]],tProdutos[Produto],0))),DescontoPadrao)</f>
        <v>0.37093619495691699</v>
      </c>
      <c r="M6590" s="12">
        <f>tItens[[#This Row],[Valor]]*(1-tItens[[#This Row],[Desconto]])</f>
        <v>0</v>
      </c>
      <c r="N6590" t="str">
        <f>IFERROR(INDEX(tProdutos[Foco],MATCH(tItens[[#This Row],[Produto]],tProdutos[Produto],0)),"Não")</f>
        <v>Não</v>
      </c>
      <c r="O6590" t="str">
        <f>IFERROR(INDEX(tEditais[SRP],MATCH(tItens[[#This Row],[Edital]],tEditais[Edital],0)),"Não")</f>
        <v>Não</v>
      </c>
      <c r="P6590" s="4">
        <f>IF(COUNTIFS(INDEX(tItens[Edital],1):tItens[[#This Row],[Edital]],tItens[[#This Row],[Edital]],INDEX(tItens[Produto],1):tItens[[#This Row],[Produto]],tItens[[#This Row],[Produto]])=1,1,0)</f>
        <v>0</v>
      </c>
    </row>
    <row r="6591" spans="1:16" x14ac:dyDescent="0.25">
      <c r="A6591" t="s">
        <v>2370</v>
      </c>
      <c r="B6591">
        <v>94</v>
      </c>
      <c r="C6591" t="s">
        <v>9278</v>
      </c>
      <c r="D6591" t="s">
        <v>512</v>
      </c>
      <c r="E6591" s="13">
        <v>500</v>
      </c>
      <c r="F6591" s="12">
        <v>0</v>
      </c>
      <c r="G6591" t="str">
        <f>IFERROR(INDEX(tEditais[Órgão],MATCH(tItens[[#This Row],[Edital]],tEditais[Edital],0)),"")</f>
        <v>MUNICIPIO DE PARANA</v>
      </c>
      <c r="H6591" t="str">
        <f>IFERROR(INDEX(tEditais[UF],MATCH(tItens[[#This Row],[Edital]],tEditais[Edital],0)),"")</f>
        <v>RN</v>
      </c>
      <c r="I6591" s="11">
        <f>IFERROR(INDEX(tEditais[Encerramento],MATCH(tItens[[#This Row],[Edital]],tEditais[Edital],0)),"")</f>
        <v>46304.332638888889</v>
      </c>
      <c r="J6591" t="str">
        <f>IFERROR(INDEX(tProdutos[Classe],MATCH(tItens[[#This Row],[Produto]],tProdutos[Produto],0)),"produto não cadastrado")</f>
        <v>FILA REBASE</v>
      </c>
      <c r="K6591" s="12">
        <f>tItens[[#This Row],[Qtd]]*tItens[[#This Row],[Vlr unit]]</f>
        <v>0</v>
      </c>
      <c r="L6591" s="6">
        <f>IFERROR(IF(INDEX(tProdutos[Desconto homologado],MATCH(tItens[[#This Row],[Produto]],tProdutos[Produto],0))="",DescontoPadrao,INDEX(tProdutos[Desconto homologado],MATCH(tItens[[#This Row],[Produto]],tProdutos[Produto],0))),DescontoPadrao)</f>
        <v>0.32579365079365102</v>
      </c>
      <c r="M6591" s="12">
        <f>tItens[[#This Row],[Valor]]*(1-tItens[[#This Row],[Desconto]])</f>
        <v>0</v>
      </c>
      <c r="N6591" t="str">
        <f>IFERROR(INDEX(tProdutos[Foco],MATCH(tItens[[#This Row],[Produto]],tProdutos[Produto],0)),"Não")</f>
        <v>Não</v>
      </c>
      <c r="O6591" t="str">
        <f>IFERROR(INDEX(tEditais[SRP],MATCH(tItens[[#This Row],[Edital]],tEditais[Edital],0)),"Não")</f>
        <v>Não</v>
      </c>
      <c r="P6591" s="4">
        <f>IF(COUNTIFS(INDEX(tItens[Edital],1):tItens[[#This Row],[Edital]],tItens[[#This Row],[Edital]],INDEX(tItens[Produto],1):tItens[[#This Row],[Produto]],tItens[[#This Row],[Produto]])=1,1,0)</f>
        <v>1</v>
      </c>
    </row>
    <row r="6592" spans="1:16" x14ac:dyDescent="0.25">
      <c r="A6592" t="s">
        <v>2370</v>
      </c>
      <c r="B6592">
        <v>96</v>
      </c>
      <c r="C6592" t="s">
        <v>9279</v>
      </c>
      <c r="D6592" t="s">
        <v>467</v>
      </c>
      <c r="E6592" s="13">
        <v>180</v>
      </c>
      <c r="F6592" s="12">
        <v>0</v>
      </c>
      <c r="G6592" t="str">
        <f>IFERROR(INDEX(tEditais[Órgão],MATCH(tItens[[#This Row],[Edital]],tEditais[Edital],0)),"")</f>
        <v>MUNICIPIO DE PARANA</v>
      </c>
      <c r="H6592" t="str">
        <f>IFERROR(INDEX(tEditais[UF],MATCH(tItens[[#This Row],[Edital]],tEditais[Edital],0)),"")</f>
        <v>RN</v>
      </c>
      <c r="I6592" s="11">
        <f>IFERROR(INDEX(tEditais[Encerramento],MATCH(tItens[[#This Row],[Edital]],tEditais[Edital],0)),"")</f>
        <v>46304.332638888889</v>
      </c>
      <c r="J6592" t="str">
        <f>IFERROR(INDEX(tProdutos[Classe],MATCH(tItens[[#This Row],[Produto]],tProdutos[Produto],0)),"produto não cadastrado")</f>
        <v>FILA REBASE</v>
      </c>
      <c r="K6592" s="12">
        <f>tItens[[#This Row],[Qtd]]*tItens[[#This Row],[Vlr unit]]</f>
        <v>0</v>
      </c>
      <c r="L6592" s="6">
        <f>IFERROR(IF(INDEX(tProdutos[Desconto homologado],MATCH(tItens[[#This Row],[Produto]],tProdutos[Produto],0))="",DescontoPadrao,INDEX(tProdutos[Desconto homologado],MATCH(tItens[[#This Row],[Produto]],tProdutos[Produto],0))),DescontoPadrao)</f>
        <v>0.25007144898542499</v>
      </c>
      <c r="M6592" s="12">
        <f>tItens[[#This Row],[Valor]]*(1-tItens[[#This Row],[Desconto]])</f>
        <v>0</v>
      </c>
      <c r="N6592" t="str">
        <f>IFERROR(INDEX(tProdutos[Foco],MATCH(tItens[[#This Row],[Produto]],tProdutos[Produto],0)),"Não")</f>
        <v>Não</v>
      </c>
      <c r="O6592" t="str">
        <f>IFERROR(INDEX(tEditais[SRP],MATCH(tItens[[#This Row],[Edital]],tEditais[Edital],0)),"Não")</f>
        <v>Não</v>
      </c>
      <c r="P6592" s="4">
        <f>IF(COUNTIFS(INDEX(tItens[Edital],1):tItens[[#This Row],[Edital]],tItens[[#This Row],[Edital]],INDEX(tItens[Produto],1):tItens[[#This Row],[Produto]],tItens[[#This Row],[Produto]])=1,1,0)</f>
        <v>1</v>
      </c>
    </row>
    <row r="6593" spans="1:16" x14ac:dyDescent="0.25">
      <c r="A6593" t="s">
        <v>2370</v>
      </c>
      <c r="B6593">
        <v>100</v>
      </c>
      <c r="C6593" t="s">
        <v>9280</v>
      </c>
      <c r="D6593" t="s">
        <v>56</v>
      </c>
      <c r="E6593" s="13">
        <v>180</v>
      </c>
      <c r="F6593" s="12">
        <v>0</v>
      </c>
      <c r="G6593" t="str">
        <f>IFERROR(INDEX(tEditais[Órgão],MATCH(tItens[[#This Row],[Edital]],tEditais[Edital],0)),"")</f>
        <v>MUNICIPIO DE PARANA</v>
      </c>
      <c r="H6593" t="str">
        <f>IFERROR(INDEX(tEditais[UF],MATCH(tItens[[#This Row],[Edital]],tEditais[Edital],0)),"")</f>
        <v>RN</v>
      </c>
      <c r="I6593" s="11">
        <f>IFERROR(INDEX(tEditais[Encerramento],MATCH(tItens[[#This Row],[Edital]],tEditais[Edital],0)),"")</f>
        <v>46304.332638888889</v>
      </c>
      <c r="J6593" t="str">
        <f>IFERROR(INDEX(tProdutos[Classe],MATCH(tItens[[#This Row],[Produto]],tProdutos[Produto],0)),"produto não cadastrado")</f>
        <v>NÚCLEO</v>
      </c>
      <c r="K6593" s="12">
        <f>tItens[[#This Row],[Qtd]]*tItens[[#This Row],[Vlr unit]]</f>
        <v>0</v>
      </c>
      <c r="L6593" s="6">
        <f>IFERROR(IF(INDEX(tProdutos[Desconto homologado],MATCH(tItens[[#This Row],[Produto]],tProdutos[Produto],0))="",DescontoPadrao,INDEX(tProdutos[Desconto homologado],MATCH(tItens[[#This Row],[Produto]],tProdutos[Produto],0))),DescontoPadrao)</f>
        <v>0.34</v>
      </c>
      <c r="M6593" s="12">
        <f>tItens[[#This Row],[Valor]]*(1-tItens[[#This Row],[Desconto]])</f>
        <v>0</v>
      </c>
      <c r="N6593" t="str">
        <f>IFERROR(INDEX(tProdutos[Foco],MATCH(tItens[[#This Row],[Produto]],tProdutos[Produto],0)),"Não")</f>
        <v>Sim</v>
      </c>
      <c r="O6593" t="str">
        <f>IFERROR(INDEX(tEditais[SRP],MATCH(tItens[[#This Row],[Edital]],tEditais[Edital],0)),"Não")</f>
        <v>Não</v>
      </c>
      <c r="P6593" s="4">
        <f>IF(COUNTIFS(INDEX(tItens[Edital],1):tItens[[#This Row],[Edital]],tItens[[#This Row],[Edital]],INDEX(tItens[Produto],1):tItens[[#This Row],[Produto]],tItens[[#This Row],[Produto]])=1,1,0)</f>
        <v>1</v>
      </c>
    </row>
    <row r="6594" spans="1:16" x14ac:dyDescent="0.25">
      <c r="A6594" t="s">
        <v>2370</v>
      </c>
      <c r="B6594">
        <v>101</v>
      </c>
      <c r="C6594" t="s">
        <v>9281</v>
      </c>
      <c r="D6594" t="s">
        <v>56</v>
      </c>
      <c r="E6594" s="13">
        <v>200</v>
      </c>
      <c r="F6594" s="12">
        <v>0</v>
      </c>
      <c r="G6594" t="str">
        <f>IFERROR(INDEX(tEditais[Órgão],MATCH(tItens[[#This Row],[Edital]],tEditais[Edital],0)),"")</f>
        <v>MUNICIPIO DE PARANA</v>
      </c>
      <c r="H6594" t="str">
        <f>IFERROR(INDEX(tEditais[UF],MATCH(tItens[[#This Row],[Edital]],tEditais[Edital],0)),"")</f>
        <v>RN</v>
      </c>
      <c r="I6594" s="11">
        <f>IFERROR(INDEX(tEditais[Encerramento],MATCH(tItens[[#This Row],[Edital]],tEditais[Edital],0)),"")</f>
        <v>46304.332638888889</v>
      </c>
      <c r="J6594" t="str">
        <f>IFERROR(INDEX(tProdutos[Classe],MATCH(tItens[[#This Row],[Produto]],tProdutos[Produto],0)),"produto não cadastrado")</f>
        <v>NÚCLEO</v>
      </c>
      <c r="K6594" s="12">
        <f>tItens[[#This Row],[Qtd]]*tItens[[#This Row],[Vlr unit]]</f>
        <v>0</v>
      </c>
      <c r="L6594" s="6">
        <f>IFERROR(IF(INDEX(tProdutos[Desconto homologado],MATCH(tItens[[#This Row],[Produto]],tProdutos[Produto],0))="",DescontoPadrao,INDEX(tProdutos[Desconto homologado],MATCH(tItens[[#This Row],[Produto]],tProdutos[Produto],0))),DescontoPadrao)</f>
        <v>0.34</v>
      </c>
      <c r="M6594" s="12">
        <f>tItens[[#This Row],[Valor]]*(1-tItens[[#This Row],[Desconto]])</f>
        <v>0</v>
      </c>
      <c r="N6594" t="str">
        <f>IFERROR(INDEX(tProdutos[Foco],MATCH(tItens[[#This Row],[Produto]],tProdutos[Produto],0)),"Não")</f>
        <v>Sim</v>
      </c>
      <c r="O6594" t="str">
        <f>IFERROR(INDEX(tEditais[SRP],MATCH(tItens[[#This Row],[Edital]],tEditais[Edital],0)),"Não")</f>
        <v>Não</v>
      </c>
      <c r="P6594" s="4">
        <f>IF(COUNTIFS(INDEX(tItens[Edital],1):tItens[[#This Row],[Edital]],tItens[[#This Row],[Edital]],INDEX(tItens[Produto],1):tItens[[#This Row],[Produto]],tItens[[#This Row],[Produto]])=1,1,0)</f>
        <v>0</v>
      </c>
    </row>
    <row r="6595" spans="1:16" x14ac:dyDescent="0.25">
      <c r="A6595" t="s">
        <v>2370</v>
      </c>
      <c r="B6595">
        <v>102</v>
      </c>
      <c r="C6595" t="s">
        <v>9282</v>
      </c>
      <c r="D6595" t="s">
        <v>56</v>
      </c>
      <c r="E6595" s="13">
        <v>100</v>
      </c>
      <c r="F6595" s="12">
        <v>0</v>
      </c>
      <c r="G6595" t="str">
        <f>IFERROR(INDEX(tEditais[Órgão],MATCH(tItens[[#This Row],[Edital]],tEditais[Edital],0)),"")</f>
        <v>MUNICIPIO DE PARANA</v>
      </c>
      <c r="H6595" t="str">
        <f>IFERROR(INDEX(tEditais[UF],MATCH(tItens[[#This Row],[Edital]],tEditais[Edital],0)),"")</f>
        <v>RN</v>
      </c>
      <c r="I6595" s="11">
        <f>IFERROR(INDEX(tEditais[Encerramento],MATCH(tItens[[#This Row],[Edital]],tEditais[Edital],0)),"")</f>
        <v>46304.332638888889</v>
      </c>
      <c r="J6595" t="str">
        <f>IFERROR(INDEX(tProdutos[Classe],MATCH(tItens[[#This Row],[Produto]],tProdutos[Produto],0)),"produto não cadastrado")</f>
        <v>NÚCLEO</v>
      </c>
      <c r="K6595" s="12">
        <f>tItens[[#This Row],[Qtd]]*tItens[[#This Row],[Vlr unit]]</f>
        <v>0</v>
      </c>
      <c r="L6595" s="6">
        <f>IFERROR(IF(INDEX(tProdutos[Desconto homologado],MATCH(tItens[[#This Row],[Produto]],tProdutos[Produto],0))="",DescontoPadrao,INDEX(tProdutos[Desconto homologado],MATCH(tItens[[#This Row],[Produto]],tProdutos[Produto],0))),DescontoPadrao)</f>
        <v>0.34</v>
      </c>
      <c r="M6595" s="12">
        <f>tItens[[#This Row],[Valor]]*(1-tItens[[#This Row],[Desconto]])</f>
        <v>0</v>
      </c>
      <c r="N6595" t="str">
        <f>IFERROR(INDEX(tProdutos[Foco],MATCH(tItens[[#This Row],[Produto]],tProdutos[Produto],0)),"Não")</f>
        <v>Sim</v>
      </c>
      <c r="O6595" t="str">
        <f>IFERROR(INDEX(tEditais[SRP],MATCH(tItens[[#This Row],[Edital]],tEditais[Edital],0)),"Não")</f>
        <v>Não</v>
      </c>
      <c r="P6595" s="4">
        <f>IF(COUNTIFS(INDEX(tItens[Edital],1):tItens[[#This Row],[Edital]],tItens[[#This Row],[Edital]],INDEX(tItens[Produto],1):tItens[[#This Row],[Produto]],tItens[[#This Row],[Produto]])=1,1,0)</f>
        <v>0</v>
      </c>
    </row>
    <row r="6596" spans="1:16" x14ac:dyDescent="0.25">
      <c r="A6596" t="s">
        <v>2370</v>
      </c>
      <c r="B6596">
        <v>103</v>
      </c>
      <c r="C6596" t="s">
        <v>9283</v>
      </c>
      <c r="D6596" t="s">
        <v>56</v>
      </c>
      <c r="E6596" s="13">
        <v>210</v>
      </c>
      <c r="F6596" s="12">
        <v>0</v>
      </c>
      <c r="G6596" t="str">
        <f>IFERROR(INDEX(tEditais[Órgão],MATCH(tItens[[#This Row],[Edital]],tEditais[Edital],0)),"")</f>
        <v>MUNICIPIO DE PARANA</v>
      </c>
      <c r="H6596" t="str">
        <f>IFERROR(INDEX(tEditais[UF],MATCH(tItens[[#This Row],[Edital]],tEditais[Edital],0)),"")</f>
        <v>RN</v>
      </c>
      <c r="I6596" s="11">
        <f>IFERROR(INDEX(tEditais[Encerramento],MATCH(tItens[[#This Row],[Edital]],tEditais[Edital],0)),"")</f>
        <v>46304.332638888889</v>
      </c>
      <c r="J6596" t="str">
        <f>IFERROR(INDEX(tProdutos[Classe],MATCH(tItens[[#This Row],[Produto]],tProdutos[Produto],0)),"produto não cadastrado")</f>
        <v>NÚCLEO</v>
      </c>
      <c r="K6596" s="12">
        <f>tItens[[#This Row],[Qtd]]*tItens[[#This Row],[Vlr unit]]</f>
        <v>0</v>
      </c>
      <c r="L6596" s="6">
        <f>IFERROR(IF(INDEX(tProdutos[Desconto homologado],MATCH(tItens[[#This Row],[Produto]],tProdutos[Produto],0))="",DescontoPadrao,INDEX(tProdutos[Desconto homologado],MATCH(tItens[[#This Row],[Produto]],tProdutos[Produto],0))),DescontoPadrao)</f>
        <v>0.34</v>
      </c>
      <c r="M6596" s="12">
        <f>tItens[[#This Row],[Valor]]*(1-tItens[[#This Row],[Desconto]])</f>
        <v>0</v>
      </c>
      <c r="N6596" t="str">
        <f>IFERROR(INDEX(tProdutos[Foco],MATCH(tItens[[#This Row],[Produto]],tProdutos[Produto],0)),"Não")</f>
        <v>Sim</v>
      </c>
      <c r="O6596" t="str">
        <f>IFERROR(INDEX(tEditais[SRP],MATCH(tItens[[#This Row],[Edital]],tEditais[Edital],0)),"Não")</f>
        <v>Não</v>
      </c>
      <c r="P6596" s="4">
        <f>IF(COUNTIFS(INDEX(tItens[Edital],1):tItens[[#This Row],[Edital]],tItens[[#This Row],[Edital]],INDEX(tItens[Produto],1):tItens[[#This Row],[Produto]],tItens[[#This Row],[Produto]])=1,1,0)</f>
        <v>0</v>
      </c>
    </row>
    <row r="6597" spans="1:16" x14ac:dyDescent="0.25">
      <c r="A6597" t="s">
        <v>2370</v>
      </c>
      <c r="B6597">
        <v>107</v>
      </c>
      <c r="C6597" t="s">
        <v>9284</v>
      </c>
      <c r="D6597" t="s">
        <v>277</v>
      </c>
      <c r="E6597" s="13">
        <v>200</v>
      </c>
      <c r="F6597" s="12">
        <v>0</v>
      </c>
      <c r="G6597" t="str">
        <f>IFERROR(INDEX(tEditais[Órgão],MATCH(tItens[[#This Row],[Edital]],tEditais[Edital],0)),"")</f>
        <v>MUNICIPIO DE PARANA</v>
      </c>
      <c r="H6597" t="str">
        <f>IFERROR(INDEX(tEditais[UF],MATCH(tItens[[#This Row],[Edital]],tEditais[Edital],0)),"")</f>
        <v>RN</v>
      </c>
      <c r="I6597" s="11">
        <f>IFERROR(INDEX(tEditais[Encerramento],MATCH(tItens[[#This Row],[Edital]],tEditais[Edital],0)),"")</f>
        <v>46304.332638888889</v>
      </c>
      <c r="J6597" t="str">
        <f>IFERROR(INDEX(tProdutos[Classe],MATCH(tItens[[#This Row],[Produto]],tProdutos[Produto],0)),"produto não cadastrado")</f>
        <v>DISPUTADO</v>
      </c>
      <c r="K6597" s="12">
        <f>tItens[[#This Row],[Qtd]]*tItens[[#This Row],[Vlr unit]]</f>
        <v>0</v>
      </c>
      <c r="L6597" s="6">
        <f>IFERROR(IF(INDEX(tProdutos[Desconto homologado],MATCH(tItens[[#This Row],[Produto]],tProdutos[Produto],0))="",DescontoPadrao,INDEX(tProdutos[Desconto homologado],MATCH(tItens[[#This Row],[Produto]],tProdutos[Produto],0))),DescontoPadrao)</f>
        <v>0.50460666194188497</v>
      </c>
      <c r="M6597" s="12">
        <f>tItens[[#This Row],[Valor]]*(1-tItens[[#This Row],[Desconto]])</f>
        <v>0</v>
      </c>
      <c r="N6597" t="str">
        <f>IFERROR(INDEX(tProdutos[Foco],MATCH(tItens[[#This Row],[Produto]],tProdutos[Produto],0)),"Não")</f>
        <v>Não</v>
      </c>
      <c r="O6597" t="str">
        <f>IFERROR(INDEX(tEditais[SRP],MATCH(tItens[[#This Row],[Edital]],tEditais[Edital],0)),"Não")</f>
        <v>Não</v>
      </c>
      <c r="P6597" s="4">
        <f>IF(COUNTIFS(INDEX(tItens[Edital],1):tItens[[#This Row],[Edital]],tItens[[#This Row],[Edital]],INDEX(tItens[Produto],1):tItens[[#This Row],[Produto]],tItens[[#This Row],[Produto]])=1,1,0)</f>
        <v>1</v>
      </c>
    </row>
    <row r="6598" spans="1:16" x14ac:dyDescent="0.25">
      <c r="A6598" t="s">
        <v>2370</v>
      </c>
      <c r="B6598">
        <v>108</v>
      </c>
      <c r="C6598" t="s">
        <v>9285</v>
      </c>
      <c r="D6598" t="s">
        <v>267</v>
      </c>
      <c r="E6598" s="13">
        <v>50</v>
      </c>
      <c r="F6598" s="12">
        <v>0</v>
      </c>
      <c r="G6598" t="str">
        <f>IFERROR(INDEX(tEditais[Órgão],MATCH(tItens[[#This Row],[Edital]],tEditais[Edital],0)),"")</f>
        <v>MUNICIPIO DE PARANA</v>
      </c>
      <c r="H6598" t="str">
        <f>IFERROR(INDEX(tEditais[UF],MATCH(tItens[[#This Row],[Edital]],tEditais[Edital],0)),"")</f>
        <v>RN</v>
      </c>
      <c r="I6598" s="11">
        <f>IFERROR(INDEX(tEditais[Encerramento],MATCH(tItens[[#This Row],[Edital]],tEditais[Edital],0)),"")</f>
        <v>46304.332638888889</v>
      </c>
      <c r="J6598" t="str">
        <f>IFERROR(INDEX(tProdutos[Classe],MATCH(tItens[[#This Row],[Produto]],tProdutos[Produto],0)),"produto não cadastrado")</f>
        <v>FORA</v>
      </c>
      <c r="K6598" s="12">
        <f>tItens[[#This Row],[Qtd]]*tItens[[#This Row],[Vlr unit]]</f>
        <v>0</v>
      </c>
      <c r="L6598" s="6">
        <f>IFERROR(IF(INDEX(tProdutos[Desconto homologado],MATCH(tItens[[#This Row],[Produto]],tProdutos[Produto],0))="",DescontoPadrao,INDEX(tProdutos[Desconto homologado],MATCH(tItens[[#This Row],[Produto]],tProdutos[Produto],0))),DescontoPadrao)</f>
        <v>0.19963672657401599</v>
      </c>
      <c r="M6598" s="12">
        <f>tItens[[#This Row],[Valor]]*(1-tItens[[#This Row],[Desconto]])</f>
        <v>0</v>
      </c>
      <c r="N6598" t="str">
        <f>IFERROR(INDEX(tProdutos[Foco],MATCH(tItens[[#This Row],[Produto]],tProdutos[Produto],0)),"Não")</f>
        <v>Não</v>
      </c>
      <c r="O6598" t="str">
        <f>IFERROR(INDEX(tEditais[SRP],MATCH(tItens[[#This Row],[Edital]],tEditais[Edital],0)),"Não")</f>
        <v>Não</v>
      </c>
      <c r="P6598" s="4">
        <f>IF(COUNTIFS(INDEX(tItens[Edital],1):tItens[[#This Row],[Edital]],tItens[[#This Row],[Edital]],INDEX(tItens[Produto],1):tItens[[#This Row],[Produto]],tItens[[#This Row],[Produto]])=1,1,0)</f>
        <v>1</v>
      </c>
    </row>
    <row r="6599" spans="1:16" x14ac:dyDescent="0.25">
      <c r="A6599" t="s">
        <v>2370</v>
      </c>
      <c r="B6599">
        <v>112</v>
      </c>
      <c r="C6599" t="s">
        <v>9286</v>
      </c>
      <c r="D6599" t="s">
        <v>251</v>
      </c>
      <c r="E6599" s="13">
        <v>500</v>
      </c>
      <c r="F6599" s="12">
        <v>0</v>
      </c>
      <c r="G6599" t="str">
        <f>IFERROR(INDEX(tEditais[Órgão],MATCH(tItens[[#This Row],[Edital]],tEditais[Edital],0)),"")</f>
        <v>MUNICIPIO DE PARANA</v>
      </c>
      <c r="H6599" t="str">
        <f>IFERROR(INDEX(tEditais[UF],MATCH(tItens[[#This Row],[Edital]],tEditais[Edital],0)),"")</f>
        <v>RN</v>
      </c>
      <c r="I6599" s="11">
        <f>IFERROR(INDEX(tEditais[Encerramento],MATCH(tItens[[#This Row],[Edital]],tEditais[Edital],0)),"")</f>
        <v>46304.332638888889</v>
      </c>
      <c r="J6599" t="str">
        <f>IFERROR(INDEX(tProdutos[Classe],MATCH(tItens[[#This Row],[Produto]],tProdutos[Produto],0)),"produto não cadastrado")</f>
        <v>FORA</v>
      </c>
      <c r="K6599" s="12">
        <f>tItens[[#This Row],[Qtd]]*tItens[[#This Row],[Vlr unit]]</f>
        <v>0</v>
      </c>
      <c r="L6599" s="6">
        <f>IFERROR(IF(INDEX(tProdutos[Desconto homologado],MATCH(tItens[[#This Row],[Produto]],tProdutos[Produto],0))="",DescontoPadrao,INDEX(tProdutos[Desconto homologado],MATCH(tItens[[#This Row],[Produto]],tProdutos[Produto],0))),DescontoPadrao)</f>
        <v>0.36759020274436599</v>
      </c>
      <c r="M6599" s="12">
        <f>tItens[[#This Row],[Valor]]*(1-tItens[[#This Row],[Desconto]])</f>
        <v>0</v>
      </c>
      <c r="N6599" t="str">
        <f>IFERROR(INDEX(tProdutos[Foco],MATCH(tItens[[#This Row],[Produto]],tProdutos[Produto],0)),"Não")</f>
        <v>Não</v>
      </c>
      <c r="O6599" t="str">
        <f>IFERROR(INDEX(tEditais[SRP],MATCH(tItens[[#This Row],[Edital]],tEditais[Edital],0)),"Não")</f>
        <v>Não</v>
      </c>
      <c r="P6599" s="4">
        <f>IF(COUNTIFS(INDEX(tItens[Edital],1):tItens[[#This Row],[Edital]],tItens[[#This Row],[Edital]],INDEX(tItens[Produto],1):tItens[[#This Row],[Produto]],tItens[[#This Row],[Produto]])=1,1,0)</f>
        <v>1</v>
      </c>
    </row>
    <row r="6600" spans="1:16" x14ac:dyDescent="0.25">
      <c r="A6600" t="s">
        <v>2370</v>
      </c>
      <c r="B6600">
        <v>113</v>
      </c>
      <c r="C6600" t="s">
        <v>9287</v>
      </c>
      <c r="D6600" t="s">
        <v>251</v>
      </c>
      <c r="E6600" s="13">
        <v>500</v>
      </c>
      <c r="F6600" s="12">
        <v>0</v>
      </c>
      <c r="G6600" t="str">
        <f>IFERROR(INDEX(tEditais[Órgão],MATCH(tItens[[#This Row],[Edital]],tEditais[Edital],0)),"")</f>
        <v>MUNICIPIO DE PARANA</v>
      </c>
      <c r="H6600" t="str">
        <f>IFERROR(INDEX(tEditais[UF],MATCH(tItens[[#This Row],[Edital]],tEditais[Edital],0)),"")</f>
        <v>RN</v>
      </c>
      <c r="I6600" s="11">
        <f>IFERROR(INDEX(tEditais[Encerramento],MATCH(tItens[[#This Row],[Edital]],tEditais[Edital],0)),"")</f>
        <v>46304.332638888889</v>
      </c>
      <c r="J6600" t="str">
        <f>IFERROR(INDEX(tProdutos[Classe],MATCH(tItens[[#This Row],[Produto]],tProdutos[Produto],0)),"produto não cadastrado")</f>
        <v>FORA</v>
      </c>
      <c r="K6600" s="12">
        <f>tItens[[#This Row],[Qtd]]*tItens[[#This Row],[Vlr unit]]</f>
        <v>0</v>
      </c>
      <c r="L6600" s="6">
        <f>IFERROR(IF(INDEX(tProdutos[Desconto homologado],MATCH(tItens[[#This Row],[Produto]],tProdutos[Produto],0))="",DescontoPadrao,INDEX(tProdutos[Desconto homologado],MATCH(tItens[[#This Row],[Produto]],tProdutos[Produto],0))),DescontoPadrao)</f>
        <v>0.36759020274436599</v>
      </c>
      <c r="M6600" s="12">
        <f>tItens[[#This Row],[Valor]]*(1-tItens[[#This Row],[Desconto]])</f>
        <v>0</v>
      </c>
      <c r="N6600" t="str">
        <f>IFERROR(INDEX(tProdutos[Foco],MATCH(tItens[[#This Row],[Produto]],tProdutos[Produto],0)),"Não")</f>
        <v>Não</v>
      </c>
      <c r="O6600" t="str">
        <f>IFERROR(INDEX(tEditais[SRP],MATCH(tItens[[#This Row],[Edital]],tEditais[Edital],0)),"Não")</f>
        <v>Não</v>
      </c>
      <c r="P6600" s="4">
        <f>IF(COUNTIFS(INDEX(tItens[Edital],1):tItens[[#This Row],[Edital]],tItens[[#This Row],[Edital]],INDEX(tItens[Produto],1):tItens[[#This Row],[Produto]],tItens[[#This Row],[Produto]])=1,1,0)</f>
        <v>0</v>
      </c>
    </row>
    <row r="6601" spans="1:16" x14ac:dyDescent="0.25">
      <c r="A6601" t="s">
        <v>2370</v>
      </c>
      <c r="B6601">
        <v>114</v>
      </c>
      <c r="C6601" t="s">
        <v>9288</v>
      </c>
      <c r="D6601" t="s">
        <v>251</v>
      </c>
      <c r="E6601" s="13">
        <v>500</v>
      </c>
      <c r="F6601" s="12">
        <v>0</v>
      </c>
      <c r="G6601" t="str">
        <f>IFERROR(INDEX(tEditais[Órgão],MATCH(tItens[[#This Row],[Edital]],tEditais[Edital],0)),"")</f>
        <v>MUNICIPIO DE PARANA</v>
      </c>
      <c r="H6601" t="str">
        <f>IFERROR(INDEX(tEditais[UF],MATCH(tItens[[#This Row],[Edital]],tEditais[Edital],0)),"")</f>
        <v>RN</v>
      </c>
      <c r="I6601" s="11">
        <f>IFERROR(INDEX(tEditais[Encerramento],MATCH(tItens[[#This Row],[Edital]],tEditais[Edital],0)),"")</f>
        <v>46304.332638888889</v>
      </c>
      <c r="J6601" t="str">
        <f>IFERROR(INDEX(tProdutos[Classe],MATCH(tItens[[#This Row],[Produto]],tProdutos[Produto],0)),"produto não cadastrado")</f>
        <v>FORA</v>
      </c>
      <c r="K6601" s="12">
        <f>tItens[[#This Row],[Qtd]]*tItens[[#This Row],[Vlr unit]]</f>
        <v>0</v>
      </c>
      <c r="L6601" s="6">
        <f>IFERROR(IF(INDEX(tProdutos[Desconto homologado],MATCH(tItens[[#This Row],[Produto]],tProdutos[Produto],0))="",DescontoPadrao,INDEX(tProdutos[Desconto homologado],MATCH(tItens[[#This Row],[Produto]],tProdutos[Produto],0))),DescontoPadrao)</f>
        <v>0.36759020274436599</v>
      </c>
      <c r="M6601" s="12">
        <f>tItens[[#This Row],[Valor]]*(1-tItens[[#This Row],[Desconto]])</f>
        <v>0</v>
      </c>
      <c r="N6601" t="str">
        <f>IFERROR(INDEX(tProdutos[Foco],MATCH(tItens[[#This Row],[Produto]],tProdutos[Produto],0)),"Não")</f>
        <v>Não</v>
      </c>
      <c r="O6601" t="str">
        <f>IFERROR(INDEX(tEditais[SRP],MATCH(tItens[[#This Row],[Edital]],tEditais[Edital],0)),"Não")</f>
        <v>Não</v>
      </c>
      <c r="P6601" s="4">
        <f>IF(COUNTIFS(INDEX(tItens[Edital],1):tItens[[#This Row],[Edital]],tItens[[#This Row],[Edital]],INDEX(tItens[Produto],1):tItens[[#This Row],[Produto]],tItens[[#This Row],[Produto]])=1,1,0)</f>
        <v>0</v>
      </c>
    </row>
    <row r="6602" spans="1:16" x14ac:dyDescent="0.25">
      <c r="A6602" t="s">
        <v>2370</v>
      </c>
      <c r="B6602">
        <v>115</v>
      </c>
      <c r="C6602" t="s">
        <v>9289</v>
      </c>
      <c r="D6602" t="s">
        <v>251</v>
      </c>
      <c r="E6602" s="13">
        <v>500</v>
      </c>
      <c r="F6602" s="12">
        <v>0</v>
      </c>
      <c r="G6602" t="str">
        <f>IFERROR(INDEX(tEditais[Órgão],MATCH(tItens[[#This Row],[Edital]],tEditais[Edital],0)),"")</f>
        <v>MUNICIPIO DE PARANA</v>
      </c>
      <c r="H6602" t="str">
        <f>IFERROR(INDEX(tEditais[UF],MATCH(tItens[[#This Row],[Edital]],tEditais[Edital],0)),"")</f>
        <v>RN</v>
      </c>
      <c r="I6602" s="11">
        <f>IFERROR(INDEX(tEditais[Encerramento],MATCH(tItens[[#This Row],[Edital]],tEditais[Edital],0)),"")</f>
        <v>46304.332638888889</v>
      </c>
      <c r="J6602" t="str">
        <f>IFERROR(INDEX(tProdutos[Classe],MATCH(tItens[[#This Row],[Produto]],tProdutos[Produto],0)),"produto não cadastrado")</f>
        <v>FORA</v>
      </c>
      <c r="K6602" s="12">
        <f>tItens[[#This Row],[Qtd]]*tItens[[#This Row],[Vlr unit]]</f>
        <v>0</v>
      </c>
      <c r="L6602" s="6">
        <f>IFERROR(IF(INDEX(tProdutos[Desconto homologado],MATCH(tItens[[#This Row],[Produto]],tProdutos[Produto],0))="",DescontoPadrao,INDEX(tProdutos[Desconto homologado],MATCH(tItens[[#This Row],[Produto]],tProdutos[Produto],0))),DescontoPadrao)</f>
        <v>0.36759020274436599</v>
      </c>
      <c r="M6602" s="12">
        <f>tItens[[#This Row],[Valor]]*(1-tItens[[#This Row],[Desconto]])</f>
        <v>0</v>
      </c>
      <c r="N6602" t="str">
        <f>IFERROR(INDEX(tProdutos[Foco],MATCH(tItens[[#This Row],[Produto]],tProdutos[Produto],0)),"Não")</f>
        <v>Não</v>
      </c>
      <c r="O6602" t="str">
        <f>IFERROR(INDEX(tEditais[SRP],MATCH(tItens[[#This Row],[Edital]],tEditais[Edital],0)),"Não")</f>
        <v>Não</v>
      </c>
      <c r="P6602" s="4">
        <f>IF(COUNTIFS(INDEX(tItens[Edital],1):tItens[[#This Row],[Edital]],tItens[[#This Row],[Edital]],INDEX(tItens[Produto],1):tItens[[#This Row],[Produto]],tItens[[#This Row],[Produto]])=1,1,0)</f>
        <v>0</v>
      </c>
    </row>
    <row r="6603" spans="1:16" x14ac:dyDescent="0.25">
      <c r="A6603" t="s">
        <v>2370</v>
      </c>
      <c r="B6603">
        <v>120</v>
      </c>
      <c r="C6603" t="s">
        <v>9290</v>
      </c>
      <c r="D6603" t="s">
        <v>257</v>
      </c>
      <c r="E6603" s="13">
        <v>100</v>
      </c>
      <c r="F6603" s="12">
        <v>0</v>
      </c>
      <c r="G6603" t="str">
        <f>IFERROR(INDEX(tEditais[Órgão],MATCH(tItens[[#This Row],[Edital]],tEditais[Edital],0)),"")</f>
        <v>MUNICIPIO DE PARANA</v>
      </c>
      <c r="H6603" t="str">
        <f>IFERROR(INDEX(tEditais[UF],MATCH(tItens[[#This Row],[Edital]],tEditais[Edital],0)),"")</f>
        <v>RN</v>
      </c>
      <c r="I6603" s="11">
        <f>IFERROR(INDEX(tEditais[Encerramento],MATCH(tItens[[#This Row],[Edital]],tEditais[Edital],0)),"")</f>
        <v>46304.332638888889</v>
      </c>
      <c r="J6603" t="str">
        <f>IFERROR(INDEX(tProdutos[Classe],MATCH(tItens[[#This Row],[Produto]],tProdutos[Produto],0)),"produto não cadastrado")</f>
        <v>FORA</v>
      </c>
      <c r="K6603" s="12">
        <f>tItens[[#This Row],[Qtd]]*tItens[[#This Row],[Vlr unit]]</f>
        <v>0</v>
      </c>
      <c r="L6603" s="6">
        <f>IFERROR(IF(INDEX(tProdutos[Desconto homologado],MATCH(tItens[[#This Row],[Produto]],tProdutos[Produto],0))="",DescontoPadrao,INDEX(tProdutos[Desconto homologado],MATCH(tItens[[#This Row],[Produto]],tProdutos[Produto],0))),DescontoPadrao)</f>
        <v>0.500812004991805</v>
      </c>
      <c r="M6603" s="12">
        <f>tItens[[#This Row],[Valor]]*(1-tItens[[#This Row],[Desconto]])</f>
        <v>0</v>
      </c>
      <c r="N6603" t="str">
        <f>IFERROR(INDEX(tProdutos[Foco],MATCH(tItens[[#This Row],[Produto]],tProdutos[Produto],0)),"Não")</f>
        <v>Não</v>
      </c>
      <c r="O6603" t="str">
        <f>IFERROR(INDEX(tEditais[SRP],MATCH(tItens[[#This Row],[Edital]],tEditais[Edital],0)),"Não")</f>
        <v>Não</v>
      </c>
      <c r="P6603" s="4">
        <f>IF(COUNTIFS(INDEX(tItens[Edital],1):tItens[[#This Row],[Edital]],tItens[[#This Row],[Edital]],INDEX(tItens[Produto],1):tItens[[#This Row],[Produto]],tItens[[#This Row],[Produto]])=1,1,0)</f>
        <v>1</v>
      </c>
    </row>
    <row r="6604" spans="1:16" x14ac:dyDescent="0.25">
      <c r="A6604" t="s">
        <v>2370</v>
      </c>
      <c r="B6604">
        <v>121</v>
      </c>
      <c r="C6604" t="s">
        <v>9291</v>
      </c>
      <c r="D6604" t="s">
        <v>249</v>
      </c>
      <c r="E6604" s="13">
        <v>100</v>
      </c>
      <c r="F6604" s="12">
        <v>0</v>
      </c>
      <c r="G6604" t="str">
        <f>IFERROR(INDEX(tEditais[Órgão],MATCH(tItens[[#This Row],[Edital]],tEditais[Edital],0)),"")</f>
        <v>MUNICIPIO DE PARANA</v>
      </c>
      <c r="H6604" t="str">
        <f>IFERROR(INDEX(tEditais[UF],MATCH(tItens[[#This Row],[Edital]],tEditais[Edital],0)),"")</f>
        <v>RN</v>
      </c>
      <c r="I6604" s="11">
        <f>IFERROR(INDEX(tEditais[Encerramento],MATCH(tItens[[#This Row],[Edital]],tEditais[Edital],0)),"")</f>
        <v>46304.332638888889</v>
      </c>
      <c r="J6604" t="str">
        <f>IFERROR(INDEX(tProdutos[Classe],MATCH(tItens[[#This Row],[Produto]],tProdutos[Produto],0)),"produto não cadastrado")</f>
        <v>FORA</v>
      </c>
      <c r="K6604" s="12">
        <f>tItens[[#This Row],[Qtd]]*tItens[[#This Row],[Vlr unit]]</f>
        <v>0</v>
      </c>
      <c r="L6604" s="6">
        <f>IFERROR(IF(INDEX(tProdutos[Desconto homologado],MATCH(tItens[[#This Row],[Produto]],tProdutos[Produto],0))="",DescontoPadrao,INDEX(tProdutos[Desconto homologado],MATCH(tItens[[#This Row],[Produto]],tProdutos[Produto],0))),DescontoPadrao)</f>
        <v>0.45399945399945402</v>
      </c>
      <c r="M6604" s="12">
        <f>tItens[[#This Row],[Valor]]*(1-tItens[[#This Row],[Desconto]])</f>
        <v>0</v>
      </c>
      <c r="N6604" t="str">
        <f>IFERROR(INDEX(tProdutos[Foco],MATCH(tItens[[#This Row],[Produto]],tProdutos[Produto],0)),"Não")</f>
        <v>Não</v>
      </c>
      <c r="O6604" t="str">
        <f>IFERROR(INDEX(tEditais[SRP],MATCH(tItens[[#This Row],[Edital]],tEditais[Edital],0)),"Não")</f>
        <v>Não</v>
      </c>
      <c r="P6604" s="4">
        <f>IF(COUNTIFS(INDEX(tItens[Edital],1):tItens[[#This Row],[Edital]],tItens[[#This Row],[Edital]],INDEX(tItens[Produto],1):tItens[[#This Row],[Produto]],tItens[[#This Row],[Produto]])=1,1,0)</f>
        <v>1</v>
      </c>
    </row>
    <row r="6605" spans="1:16" x14ac:dyDescent="0.25">
      <c r="A6605" t="s">
        <v>2370</v>
      </c>
      <c r="B6605">
        <v>126</v>
      </c>
      <c r="C6605" t="s">
        <v>9292</v>
      </c>
      <c r="D6605" t="s">
        <v>494</v>
      </c>
      <c r="E6605" s="13">
        <v>20</v>
      </c>
      <c r="F6605" s="12">
        <v>0</v>
      </c>
      <c r="G6605" t="str">
        <f>IFERROR(INDEX(tEditais[Órgão],MATCH(tItens[[#This Row],[Edital]],tEditais[Edital],0)),"")</f>
        <v>MUNICIPIO DE PARANA</v>
      </c>
      <c r="H6605" t="str">
        <f>IFERROR(INDEX(tEditais[UF],MATCH(tItens[[#This Row],[Edital]],tEditais[Edital],0)),"")</f>
        <v>RN</v>
      </c>
      <c r="I6605" s="11">
        <f>IFERROR(INDEX(tEditais[Encerramento],MATCH(tItens[[#This Row],[Edital]],tEditais[Edital],0)),"")</f>
        <v>46304.332638888889</v>
      </c>
      <c r="J6605" t="str">
        <f>IFERROR(INDEX(tProdutos[Classe],MATCH(tItens[[#This Row],[Produto]],tProdutos[Produto],0)),"produto não cadastrado")</f>
        <v>FILA REBASE</v>
      </c>
      <c r="K6605" s="12">
        <f>tItens[[#This Row],[Qtd]]*tItens[[#This Row],[Vlr unit]]</f>
        <v>0</v>
      </c>
      <c r="L6605" s="6">
        <f>IFERROR(IF(INDEX(tProdutos[Desconto homologado],MATCH(tItens[[#This Row],[Produto]],tProdutos[Produto],0))="",DescontoPadrao,INDEX(tProdutos[Desconto homologado],MATCH(tItens[[#This Row],[Produto]],tProdutos[Produto],0))),DescontoPadrao)</f>
        <v>0.253736324829619</v>
      </c>
      <c r="M6605" s="12">
        <f>tItens[[#This Row],[Valor]]*(1-tItens[[#This Row],[Desconto]])</f>
        <v>0</v>
      </c>
      <c r="N6605" t="str">
        <f>IFERROR(INDEX(tProdutos[Foco],MATCH(tItens[[#This Row],[Produto]],tProdutos[Produto],0)),"Não")</f>
        <v>Não</v>
      </c>
      <c r="O6605" t="str">
        <f>IFERROR(INDEX(tEditais[SRP],MATCH(tItens[[#This Row],[Edital]],tEditais[Edital],0)),"Não")</f>
        <v>Não</v>
      </c>
      <c r="P6605" s="4">
        <f>IF(COUNTIFS(INDEX(tItens[Edital],1):tItens[[#This Row],[Edital]],tItens[[#This Row],[Edital]],INDEX(tItens[Produto],1):tItens[[#This Row],[Produto]],tItens[[#This Row],[Produto]])=1,1,0)</f>
        <v>1</v>
      </c>
    </row>
    <row r="6606" spans="1:16" x14ac:dyDescent="0.25">
      <c r="A6606" t="s">
        <v>2370</v>
      </c>
      <c r="B6606">
        <v>127</v>
      </c>
      <c r="C6606" t="s">
        <v>9293</v>
      </c>
      <c r="D6606" t="s">
        <v>494</v>
      </c>
      <c r="E6606" s="13">
        <v>20</v>
      </c>
      <c r="F6606" s="12">
        <v>0</v>
      </c>
      <c r="G6606" t="str">
        <f>IFERROR(INDEX(tEditais[Órgão],MATCH(tItens[[#This Row],[Edital]],tEditais[Edital],0)),"")</f>
        <v>MUNICIPIO DE PARANA</v>
      </c>
      <c r="H6606" t="str">
        <f>IFERROR(INDEX(tEditais[UF],MATCH(tItens[[#This Row],[Edital]],tEditais[Edital],0)),"")</f>
        <v>RN</v>
      </c>
      <c r="I6606" s="11">
        <f>IFERROR(INDEX(tEditais[Encerramento],MATCH(tItens[[#This Row],[Edital]],tEditais[Edital],0)),"")</f>
        <v>46304.332638888889</v>
      </c>
      <c r="J6606" t="str">
        <f>IFERROR(INDEX(tProdutos[Classe],MATCH(tItens[[#This Row],[Produto]],tProdutos[Produto],0)),"produto não cadastrado")</f>
        <v>FILA REBASE</v>
      </c>
      <c r="K6606" s="12">
        <f>tItens[[#This Row],[Qtd]]*tItens[[#This Row],[Vlr unit]]</f>
        <v>0</v>
      </c>
      <c r="L6606" s="6">
        <f>IFERROR(IF(INDEX(tProdutos[Desconto homologado],MATCH(tItens[[#This Row],[Produto]],tProdutos[Produto],0))="",DescontoPadrao,INDEX(tProdutos[Desconto homologado],MATCH(tItens[[#This Row],[Produto]],tProdutos[Produto],0))),DescontoPadrao)</f>
        <v>0.253736324829619</v>
      </c>
      <c r="M6606" s="12">
        <f>tItens[[#This Row],[Valor]]*(1-tItens[[#This Row],[Desconto]])</f>
        <v>0</v>
      </c>
      <c r="N6606" t="str">
        <f>IFERROR(INDEX(tProdutos[Foco],MATCH(tItens[[#This Row],[Produto]],tProdutos[Produto],0)),"Não")</f>
        <v>Não</v>
      </c>
      <c r="O6606" t="str">
        <f>IFERROR(INDEX(tEditais[SRP],MATCH(tItens[[#This Row],[Edital]],tEditais[Edital],0)),"Não")</f>
        <v>Não</v>
      </c>
      <c r="P6606" s="4">
        <f>IF(COUNTIFS(INDEX(tItens[Edital],1):tItens[[#This Row],[Edital]],tItens[[#This Row],[Edital]],INDEX(tItens[Produto],1):tItens[[#This Row],[Produto]],tItens[[#This Row],[Produto]])=1,1,0)</f>
        <v>0</v>
      </c>
    </row>
    <row r="6607" spans="1:16" x14ac:dyDescent="0.25">
      <c r="A6607" t="s">
        <v>2370</v>
      </c>
      <c r="B6607">
        <v>128</v>
      </c>
      <c r="C6607" t="s">
        <v>9294</v>
      </c>
      <c r="D6607" t="s">
        <v>494</v>
      </c>
      <c r="E6607" s="13">
        <v>25</v>
      </c>
      <c r="F6607" s="12">
        <v>0</v>
      </c>
      <c r="G6607" t="str">
        <f>IFERROR(INDEX(tEditais[Órgão],MATCH(tItens[[#This Row],[Edital]],tEditais[Edital],0)),"")</f>
        <v>MUNICIPIO DE PARANA</v>
      </c>
      <c r="H6607" t="str">
        <f>IFERROR(INDEX(tEditais[UF],MATCH(tItens[[#This Row],[Edital]],tEditais[Edital],0)),"")</f>
        <v>RN</v>
      </c>
      <c r="I6607" s="11">
        <f>IFERROR(INDEX(tEditais[Encerramento],MATCH(tItens[[#This Row],[Edital]],tEditais[Edital],0)),"")</f>
        <v>46304.332638888889</v>
      </c>
      <c r="J6607" t="str">
        <f>IFERROR(INDEX(tProdutos[Classe],MATCH(tItens[[#This Row],[Produto]],tProdutos[Produto],0)),"produto não cadastrado")</f>
        <v>FILA REBASE</v>
      </c>
      <c r="K6607" s="12">
        <f>tItens[[#This Row],[Qtd]]*tItens[[#This Row],[Vlr unit]]</f>
        <v>0</v>
      </c>
      <c r="L6607" s="6">
        <f>IFERROR(IF(INDEX(tProdutos[Desconto homologado],MATCH(tItens[[#This Row],[Produto]],tProdutos[Produto],0))="",DescontoPadrao,INDEX(tProdutos[Desconto homologado],MATCH(tItens[[#This Row],[Produto]],tProdutos[Produto],0))),DescontoPadrao)</f>
        <v>0.253736324829619</v>
      </c>
      <c r="M6607" s="12">
        <f>tItens[[#This Row],[Valor]]*(1-tItens[[#This Row],[Desconto]])</f>
        <v>0</v>
      </c>
      <c r="N6607" t="str">
        <f>IFERROR(INDEX(tProdutos[Foco],MATCH(tItens[[#This Row],[Produto]],tProdutos[Produto],0)),"Não")</f>
        <v>Não</v>
      </c>
      <c r="O6607" t="str">
        <f>IFERROR(INDEX(tEditais[SRP],MATCH(tItens[[#This Row],[Edital]],tEditais[Edital],0)),"Não")</f>
        <v>Não</v>
      </c>
      <c r="P6607" s="4">
        <f>IF(COUNTIFS(INDEX(tItens[Edital],1):tItens[[#This Row],[Edital]],tItens[[#This Row],[Edital]],INDEX(tItens[Produto],1):tItens[[#This Row],[Produto]],tItens[[#This Row],[Produto]])=1,1,0)</f>
        <v>0</v>
      </c>
    </row>
    <row r="6608" spans="1:16" x14ac:dyDescent="0.25">
      <c r="A6608" t="s">
        <v>2370</v>
      </c>
      <c r="B6608">
        <v>129</v>
      </c>
      <c r="C6608" t="s">
        <v>9295</v>
      </c>
      <c r="D6608" t="s">
        <v>494</v>
      </c>
      <c r="E6608" s="13">
        <v>25</v>
      </c>
      <c r="F6608" s="12">
        <v>0</v>
      </c>
      <c r="G6608" t="str">
        <f>IFERROR(INDEX(tEditais[Órgão],MATCH(tItens[[#This Row],[Edital]],tEditais[Edital],0)),"")</f>
        <v>MUNICIPIO DE PARANA</v>
      </c>
      <c r="H6608" t="str">
        <f>IFERROR(INDEX(tEditais[UF],MATCH(tItens[[#This Row],[Edital]],tEditais[Edital],0)),"")</f>
        <v>RN</v>
      </c>
      <c r="I6608" s="11">
        <f>IFERROR(INDEX(tEditais[Encerramento],MATCH(tItens[[#This Row],[Edital]],tEditais[Edital],0)),"")</f>
        <v>46304.332638888889</v>
      </c>
      <c r="J6608" t="str">
        <f>IFERROR(INDEX(tProdutos[Classe],MATCH(tItens[[#This Row],[Produto]],tProdutos[Produto],0)),"produto não cadastrado")</f>
        <v>FILA REBASE</v>
      </c>
      <c r="K6608" s="12">
        <f>tItens[[#This Row],[Qtd]]*tItens[[#This Row],[Vlr unit]]</f>
        <v>0</v>
      </c>
      <c r="L6608" s="6">
        <f>IFERROR(IF(INDEX(tProdutos[Desconto homologado],MATCH(tItens[[#This Row],[Produto]],tProdutos[Produto],0))="",DescontoPadrao,INDEX(tProdutos[Desconto homologado],MATCH(tItens[[#This Row],[Produto]],tProdutos[Produto],0))),DescontoPadrao)</f>
        <v>0.253736324829619</v>
      </c>
      <c r="M6608" s="12">
        <f>tItens[[#This Row],[Valor]]*(1-tItens[[#This Row],[Desconto]])</f>
        <v>0</v>
      </c>
      <c r="N6608" t="str">
        <f>IFERROR(INDEX(tProdutos[Foco],MATCH(tItens[[#This Row],[Produto]],tProdutos[Produto],0)),"Não")</f>
        <v>Não</v>
      </c>
      <c r="O6608" t="str">
        <f>IFERROR(INDEX(tEditais[SRP],MATCH(tItens[[#This Row],[Edital]],tEditais[Edital],0)),"Não")</f>
        <v>Não</v>
      </c>
      <c r="P6608" s="4">
        <f>IF(COUNTIFS(INDEX(tItens[Edital],1):tItens[[#This Row],[Edital]],tItens[[#This Row],[Edital]],INDEX(tItens[Produto],1):tItens[[#This Row],[Produto]],tItens[[#This Row],[Produto]])=1,1,0)</f>
        <v>0</v>
      </c>
    </row>
    <row r="6609" spans="1:16" x14ac:dyDescent="0.25">
      <c r="A6609" t="s">
        <v>2370</v>
      </c>
      <c r="B6609">
        <v>131</v>
      </c>
      <c r="C6609" t="s">
        <v>9296</v>
      </c>
      <c r="D6609" t="s">
        <v>317</v>
      </c>
      <c r="E6609" s="13">
        <v>1000</v>
      </c>
      <c r="F6609" s="12">
        <v>0</v>
      </c>
      <c r="G6609" t="str">
        <f>IFERROR(INDEX(tEditais[Órgão],MATCH(tItens[[#This Row],[Edital]],tEditais[Edital],0)),"")</f>
        <v>MUNICIPIO DE PARANA</v>
      </c>
      <c r="H6609" t="str">
        <f>IFERROR(INDEX(tEditais[UF],MATCH(tItens[[#This Row],[Edital]],tEditais[Edital],0)),"")</f>
        <v>RN</v>
      </c>
      <c r="I6609" s="11">
        <f>IFERROR(INDEX(tEditais[Encerramento],MATCH(tItens[[#This Row],[Edital]],tEditais[Edital],0)),"")</f>
        <v>46304.332638888889</v>
      </c>
      <c r="J6609" t="str">
        <f>IFERROR(INDEX(tProdutos[Classe],MATCH(tItens[[#This Row],[Produto]],tProdutos[Produto],0)),"produto não cadastrado")</f>
        <v>FORA</v>
      </c>
      <c r="K6609" s="12">
        <f>tItens[[#This Row],[Qtd]]*tItens[[#This Row],[Vlr unit]]</f>
        <v>0</v>
      </c>
      <c r="L6609" s="6">
        <f>IFERROR(IF(INDEX(tProdutos[Desconto homologado],MATCH(tItens[[#This Row],[Produto]],tProdutos[Produto],0))="",DescontoPadrao,INDEX(tProdutos[Desconto homologado],MATCH(tItens[[#This Row],[Produto]],tProdutos[Produto],0))),DescontoPadrao)</f>
        <v>0.5</v>
      </c>
      <c r="M6609" s="12">
        <f>tItens[[#This Row],[Valor]]*(1-tItens[[#This Row],[Desconto]])</f>
        <v>0</v>
      </c>
      <c r="N6609" t="str">
        <f>IFERROR(INDEX(tProdutos[Foco],MATCH(tItens[[#This Row],[Produto]],tProdutos[Produto],0)),"Não")</f>
        <v>Não</v>
      </c>
      <c r="O6609" t="str">
        <f>IFERROR(INDEX(tEditais[SRP],MATCH(tItens[[#This Row],[Edital]],tEditais[Edital],0)),"Não")</f>
        <v>Não</v>
      </c>
      <c r="P6609" s="4">
        <f>IF(COUNTIFS(INDEX(tItens[Edital],1):tItens[[#This Row],[Edital]],tItens[[#This Row],[Edital]],INDEX(tItens[Produto],1):tItens[[#This Row],[Produto]],tItens[[#This Row],[Produto]])=1,1,0)</f>
        <v>1</v>
      </c>
    </row>
    <row r="6610" spans="1:16" x14ac:dyDescent="0.25">
      <c r="A6610" t="s">
        <v>2370</v>
      </c>
      <c r="B6610">
        <v>132</v>
      </c>
      <c r="C6610" t="s">
        <v>9297</v>
      </c>
      <c r="D6610" t="s">
        <v>275</v>
      </c>
      <c r="E6610" s="13">
        <v>800</v>
      </c>
      <c r="F6610" s="12">
        <v>0</v>
      </c>
      <c r="G6610" t="str">
        <f>IFERROR(INDEX(tEditais[Órgão],MATCH(tItens[[#This Row],[Edital]],tEditais[Edital],0)),"")</f>
        <v>MUNICIPIO DE PARANA</v>
      </c>
      <c r="H6610" t="str">
        <f>IFERROR(INDEX(tEditais[UF],MATCH(tItens[[#This Row],[Edital]],tEditais[Edital],0)),"")</f>
        <v>RN</v>
      </c>
      <c r="I6610" s="11">
        <f>IFERROR(INDEX(tEditais[Encerramento],MATCH(tItens[[#This Row],[Edital]],tEditais[Edital],0)),"")</f>
        <v>46304.332638888889</v>
      </c>
      <c r="J6610" t="str">
        <f>IFERROR(INDEX(tProdutos[Classe],MATCH(tItens[[#This Row],[Produto]],tProdutos[Produto],0)),"produto não cadastrado")</f>
        <v>FORA</v>
      </c>
      <c r="K6610" s="12">
        <f>tItens[[#This Row],[Qtd]]*tItens[[#This Row],[Vlr unit]]</f>
        <v>0</v>
      </c>
      <c r="L6610" s="6">
        <f>IFERROR(IF(INDEX(tProdutos[Desconto homologado],MATCH(tItens[[#This Row],[Produto]],tProdutos[Produto],0))="",DescontoPadrao,INDEX(tProdutos[Desconto homologado],MATCH(tItens[[#This Row],[Produto]],tProdutos[Produto],0))),DescontoPadrao)</f>
        <v>0.405797101449275</v>
      </c>
      <c r="M6610" s="12">
        <f>tItens[[#This Row],[Valor]]*(1-tItens[[#This Row],[Desconto]])</f>
        <v>0</v>
      </c>
      <c r="N6610" t="str">
        <f>IFERROR(INDEX(tProdutos[Foco],MATCH(tItens[[#This Row],[Produto]],tProdutos[Produto],0)),"Não")</f>
        <v>Não</v>
      </c>
      <c r="O6610" t="str">
        <f>IFERROR(INDEX(tEditais[SRP],MATCH(tItens[[#This Row],[Edital]],tEditais[Edital],0)),"Não")</f>
        <v>Não</v>
      </c>
      <c r="P6610" s="4">
        <f>IF(COUNTIFS(INDEX(tItens[Edital],1):tItens[[#This Row],[Edital]],tItens[[#This Row],[Edital]],INDEX(tItens[Produto],1):tItens[[#This Row],[Produto]],tItens[[#This Row],[Produto]])=1,1,0)</f>
        <v>1</v>
      </c>
    </row>
    <row r="6611" spans="1:16" x14ac:dyDescent="0.25">
      <c r="A6611" t="s">
        <v>2370</v>
      </c>
      <c r="B6611">
        <v>133</v>
      </c>
      <c r="C6611" t="s">
        <v>9298</v>
      </c>
      <c r="D6611" t="s">
        <v>281</v>
      </c>
      <c r="E6611" s="13">
        <v>800</v>
      </c>
      <c r="F6611" s="12">
        <v>0</v>
      </c>
      <c r="G6611" t="str">
        <f>IFERROR(INDEX(tEditais[Órgão],MATCH(tItens[[#This Row],[Edital]],tEditais[Edital],0)),"")</f>
        <v>MUNICIPIO DE PARANA</v>
      </c>
      <c r="H6611" t="str">
        <f>IFERROR(INDEX(tEditais[UF],MATCH(tItens[[#This Row],[Edital]],tEditais[Edital],0)),"")</f>
        <v>RN</v>
      </c>
      <c r="I6611" s="11">
        <f>IFERROR(INDEX(tEditais[Encerramento],MATCH(tItens[[#This Row],[Edital]],tEditais[Edital],0)),"")</f>
        <v>46304.332638888889</v>
      </c>
      <c r="J6611" t="str">
        <f>IFERROR(INDEX(tProdutos[Classe],MATCH(tItens[[#This Row],[Produto]],tProdutos[Produto],0)),"produto não cadastrado")</f>
        <v>DISPUTADO</v>
      </c>
      <c r="K6611" s="12">
        <f>tItens[[#This Row],[Qtd]]*tItens[[#This Row],[Vlr unit]]</f>
        <v>0</v>
      </c>
      <c r="L6611" s="6">
        <f>IFERROR(IF(INDEX(tProdutos[Desconto homologado],MATCH(tItens[[#This Row],[Produto]],tProdutos[Produto],0))="",DescontoPadrao,INDEX(tProdutos[Desconto homologado],MATCH(tItens[[#This Row],[Produto]],tProdutos[Produto],0))),DescontoPadrao)</f>
        <v>0.42461538461538501</v>
      </c>
      <c r="M6611" s="12">
        <f>tItens[[#This Row],[Valor]]*(1-tItens[[#This Row],[Desconto]])</f>
        <v>0</v>
      </c>
      <c r="N6611" t="str">
        <f>IFERROR(INDEX(tProdutos[Foco],MATCH(tItens[[#This Row],[Produto]],tProdutos[Produto],0)),"Não")</f>
        <v>Não</v>
      </c>
      <c r="O6611" t="str">
        <f>IFERROR(INDEX(tEditais[SRP],MATCH(tItens[[#This Row],[Edital]],tEditais[Edital],0)),"Não")</f>
        <v>Não</v>
      </c>
      <c r="P6611" s="4">
        <f>IF(COUNTIFS(INDEX(tItens[Edital],1):tItens[[#This Row],[Edital]],tItens[[#This Row],[Edital]],INDEX(tItens[Produto],1):tItens[[#This Row],[Produto]],tItens[[#This Row],[Produto]])=1,1,0)</f>
        <v>1</v>
      </c>
    </row>
    <row r="6612" spans="1:16" x14ac:dyDescent="0.25">
      <c r="A6612" t="s">
        <v>2370</v>
      </c>
      <c r="B6612">
        <v>134</v>
      </c>
      <c r="C6612" t="s">
        <v>9299</v>
      </c>
      <c r="D6612" t="s">
        <v>303</v>
      </c>
      <c r="E6612" s="13">
        <v>800</v>
      </c>
      <c r="F6612" s="12">
        <v>0</v>
      </c>
      <c r="G6612" t="str">
        <f>IFERROR(INDEX(tEditais[Órgão],MATCH(tItens[[#This Row],[Edital]],tEditais[Edital],0)),"")</f>
        <v>MUNICIPIO DE PARANA</v>
      </c>
      <c r="H6612" t="str">
        <f>IFERROR(INDEX(tEditais[UF],MATCH(tItens[[#This Row],[Edital]],tEditais[Edital],0)),"")</f>
        <v>RN</v>
      </c>
      <c r="I6612" s="11">
        <f>IFERROR(INDEX(tEditais[Encerramento],MATCH(tItens[[#This Row],[Edital]],tEditais[Edital],0)),"")</f>
        <v>46304.332638888889</v>
      </c>
      <c r="J6612" t="str">
        <f>IFERROR(INDEX(tProdutos[Classe],MATCH(tItens[[#This Row],[Produto]],tProdutos[Produto],0)),"produto não cadastrado")</f>
        <v>FORA</v>
      </c>
      <c r="K6612" s="12">
        <f>tItens[[#This Row],[Qtd]]*tItens[[#This Row],[Vlr unit]]</f>
        <v>0</v>
      </c>
      <c r="L6612" s="6">
        <f>IFERROR(IF(INDEX(tProdutos[Desconto homologado],MATCH(tItens[[#This Row],[Produto]],tProdutos[Produto],0))="",DescontoPadrao,INDEX(tProdutos[Desconto homologado],MATCH(tItens[[#This Row],[Produto]],tProdutos[Produto],0))),DescontoPadrao)</f>
        <v>0.35748048048048098</v>
      </c>
      <c r="M6612" s="12">
        <f>tItens[[#This Row],[Valor]]*(1-tItens[[#This Row],[Desconto]])</f>
        <v>0</v>
      </c>
      <c r="N6612" t="str">
        <f>IFERROR(INDEX(tProdutos[Foco],MATCH(tItens[[#This Row],[Produto]],tProdutos[Produto],0)),"Não")</f>
        <v>Não</v>
      </c>
      <c r="O6612" t="str">
        <f>IFERROR(INDEX(tEditais[SRP],MATCH(tItens[[#This Row],[Edital]],tEditais[Edital],0)),"Não")</f>
        <v>Não</v>
      </c>
      <c r="P6612" s="4">
        <f>IF(COUNTIFS(INDEX(tItens[Edital],1):tItens[[#This Row],[Edital]],tItens[[#This Row],[Edital]],INDEX(tItens[Produto],1):tItens[[#This Row],[Produto]],tItens[[#This Row],[Produto]])=1,1,0)</f>
        <v>1</v>
      </c>
    </row>
    <row r="6613" spans="1:16" x14ac:dyDescent="0.25">
      <c r="A6613" t="s">
        <v>2370</v>
      </c>
      <c r="B6613">
        <v>135</v>
      </c>
      <c r="C6613" t="s">
        <v>9300</v>
      </c>
      <c r="D6613" t="s">
        <v>283</v>
      </c>
      <c r="E6613" s="13">
        <v>830</v>
      </c>
      <c r="F6613" s="12">
        <v>0</v>
      </c>
      <c r="G6613" t="str">
        <f>IFERROR(INDEX(tEditais[Órgão],MATCH(tItens[[#This Row],[Edital]],tEditais[Edital],0)),"")</f>
        <v>MUNICIPIO DE PARANA</v>
      </c>
      <c r="H6613" t="str">
        <f>IFERROR(INDEX(tEditais[UF],MATCH(tItens[[#This Row],[Edital]],tEditais[Edital],0)),"")</f>
        <v>RN</v>
      </c>
      <c r="I6613" s="11">
        <f>IFERROR(INDEX(tEditais[Encerramento],MATCH(tItens[[#This Row],[Edital]],tEditais[Edital],0)),"")</f>
        <v>46304.332638888889</v>
      </c>
      <c r="J6613" t="str">
        <f>IFERROR(INDEX(tProdutos[Classe],MATCH(tItens[[#This Row],[Produto]],tProdutos[Produto],0)),"produto não cadastrado")</f>
        <v>FORA</v>
      </c>
      <c r="K6613" s="12">
        <f>tItens[[#This Row],[Qtd]]*tItens[[#This Row],[Vlr unit]]</f>
        <v>0</v>
      </c>
      <c r="L6613" s="6">
        <f>IFERROR(IF(INDEX(tProdutos[Desconto homologado],MATCH(tItens[[#This Row],[Produto]],tProdutos[Produto],0))="",DescontoPadrao,INDEX(tProdutos[Desconto homologado],MATCH(tItens[[#This Row],[Produto]],tProdutos[Produto],0))),DescontoPadrao)</f>
        <v>0.40540540540540498</v>
      </c>
      <c r="M6613" s="12">
        <f>tItens[[#This Row],[Valor]]*(1-tItens[[#This Row],[Desconto]])</f>
        <v>0</v>
      </c>
      <c r="N6613" t="str">
        <f>IFERROR(INDEX(tProdutos[Foco],MATCH(tItens[[#This Row],[Produto]],tProdutos[Produto],0)),"Não")</f>
        <v>Não</v>
      </c>
      <c r="O6613" t="str">
        <f>IFERROR(INDEX(tEditais[SRP],MATCH(tItens[[#This Row],[Edital]],tEditais[Edital],0)),"Não")</f>
        <v>Não</v>
      </c>
      <c r="P6613" s="4">
        <f>IF(COUNTIFS(INDEX(tItens[Edital],1):tItens[[#This Row],[Edital]],tItens[[#This Row],[Edital]],INDEX(tItens[Produto],1):tItens[[#This Row],[Produto]],tItens[[#This Row],[Produto]])=1,1,0)</f>
        <v>1</v>
      </c>
    </row>
    <row r="6614" spans="1:16" x14ac:dyDescent="0.25">
      <c r="A6614" t="s">
        <v>2370</v>
      </c>
      <c r="B6614">
        <v>136</v>
      </c>
      <c r="C6614" t="s">
        <v>9301</v>
      </c>
      <c r="D6614" t="s">
        <v>265</v>
      </c>
      <c r="E6614" s="13">
        <v>600</v>
      </c>
      <c r="F6614" s="12">
        <v>0</v>
      </c>
      <c r="G6614" t="str">
        <f>IFERROR(INDEX(tEditais[Órgão],MATCH(tItens[[#This Row],[Edital]],tEditais[Edital],0)),"")</f>
        <v>MUNICIPIO DE PARANA</v>
      </c>
      <c r="H6614" t="str">
        <f>IFERROR(INDEX(tEditais[UF],MATCH(tItens[[#This Row],[Edital]],tEditais[Edital],0)),"")</f>
        <v>RN</v>
      </c>
      <c r="I6614" s="11">
        <f>IFERROR(INDEX(tEditais[Encerramento],MATCH(tItens[[#This Row],[Edital]],tEditais[Edital],0)),"")</f>
        <v>46304.332638888889</v>
      </c>
      <c r="J6614" t="str">
        <f>IFERROR(INDEX(tProdutos[Classe],MATCH(tItens[[#This Row],[Produto]],tProdutos[Produto],0)),"produto não cadastrado")</f>
        <v>DISPUTADO</v>
      </c>
      <c r="K6614" s="12">
        <f>tItens[[#This Row],[Qtd]]*tItens[[#This Row],[Vlr unit]]</f>
        <v>0</v>
      </c>
      <c r="L6614" s="6">
        <f>IFERROR(IF(INDEX(tProdutos[Desconto homologado],MATCH(tItens[[#This Row],[Produto]],tProdutos[Produto],0))="",DescontoPadrao,INDEX(tProdutos[Desconto homologado],MATCH(tItens[[#This Row],[Produto]],tProdutos[Produto],0))),DescontoPadrao)</f>
        <v>0.377587663709337</v>
      </c>
      <c r="M6614" s="12">
        <f>tItens[[#This Row],[Valor]]*(1-tItens[[#This Row],[Desconto]])</f>
        <v>0</v>
      </c>
      <c r="N6614" t="str">
        <f>IFERROR(INDEX(tProdutos[Foco],MATCH(tItens[[#This Row],[Produto]],tProdutos[Produto],0)),"Não")</f>
        <v>Não</v>
      </c>
      <c r="O6614" t="str">
        <f>IFERROR(INDEX(tEditais[SRP],MATCH(tItens[[#This Row],[Edital]],tEditais[Edital],0)),"Não")</f>
        <v>Não</v>
      </c>
      <c r="P6614" s="4">
        <f>IF(COUNTIFS(INDEX(tItens[Edital],1):tItens[[#This Row],[Edital]],tItens[[#This Row],[Edital]],INDEX(tItens[Produto],1):tItens[[#This Row],[Produto]],tItens[[#This Row],[Produto]])=1,1,0)</f>
        <v>1</v>
      </c>
    </row>
    <row r="6615" spans="1:16" x14ac:dyDescent="0.25">
      <c r="A6615" t="s">
        <v>2370</v>
      </c>
      <c r="B6615">
        <v>145</v>
      </c>
      <c r="C6615" t="s">
        <v>9302</v>
      </c>
      <c r="D6615" t="s">
        <v>110</v>
      </c>
      <c r="E6615" s="13">
        <v>200</v>
      </c>
      <c r="F6615" s="12">
        <v>0</v>
      </c>
      <c r="G6615" t="str">
        <f>IFERROR(INDEX(tEditais[Órgão],MATCH(tItens[[#This Row],[Edital]],tEditais[Edital],0)),"")</f>
        <v>MUNICIPIO DE PARANA</v>
      </c>
      <c r="H6615" t="str">
        <f>IFERROR(INDEX(tEditais[UF],MATCH(tItens[[#This Row],[Edital]],tEditais[Edital],0)),"")</f>
        <v>RN</v>
      </c>
      <c r="I6615" s="11">
        <f>IFERROR(INDEX(tEditais[Encerramento],MATCH(tItens[[#This Row],[Edital]],tEditais[Edital],0)),"")</f>
        <v>46304.332638888889</v>
      </c>
      <c r="J6615" t="str">
        <f>IFERROR(INDEX(tProdutos[Classe],MATCH(tItens[[#This Row],[Produto]],tProdutos[Produto],0)),"produto não cadastrado")</f>
        <v>NÚCLEO</v>
      </c>
      <c r="K6615" s="12">
        <f>tItens[[#This Row],[Qtd]]*tItens[[#This Row],[Vlr unit]]</f>
        <v>0</v>
      </c>
      <c r="L6615" s="6">
        <f>IFERROR(IF(INDEX(tProdutos[Desconto homologado],MATCH(tItens[[#This Row],[Produto]],tProdutos[Produto],0))="",DescontoPadrao,INDEX(tProdutos[Desconto homologado],MATCH(tItens[[#This Row],[Produto]],tProdutos[Produto],0))),DescontoPadrao)</f>
        <v>0.30410958904109597</v>
      </c>
      <c r="M6615" s="12">
        <f>tItens[[#This Row],[Valor]]*(1-tItens[[#This Row],[Desconto]])</f>
        <v>0</v>
      </c>
      <c r="N6615" t="str">
        <f>IFERROR(INDEX(tProdutos[Foco],MATCH(tItens[[#This Row],[Produto]],tProdutos[Produto],0)),"Não")</f>
        <v>Não</v>
      </c>
      <c r="O6615" t="str">
        <f>IFERROR(INDEX(tEditais[SRP],MATCH(tItens[[#This Row],[Edital]],tEditais[Edital],0)),"Não")</f>
        <v>Não</v>
      </c>
      <c r="P6615" s="4">
        <f>IF(COUNTIFS(INDEX(tItens[Edital],1):tItens[[#This Row],[Edital]],tItens[[#This Row],[Edital]],INDEX(tItens[Produto],1):tItens[[#This Row],[Produto]],tItens[[#This Row],[Produto]])=1,1,0)</f>
        <v>1</v>
      </c>
    </row>
    <row r="6616" spans="1:16" x14ac:dyDescent="0.25">
      <c r="A6616" t="s">
        <v>2370</v>
      </c>
      <c r="B6616">
        <v>146</v>
      </c>
      <c r="C6616" t="s">
        <v>9303</v>
      </c>
      <c r="D6616" t="s">
        <v>110</v>
      </c>
      <c r="E6616" s="13">
        <v>100</v>
      </c>
      <c r="F6616" s="12">
        <v>0</v>
      </c>
      <c r="G6616" t="str">
        <f>IFERROR(INDEX(tEditais[Órgão],MATCH(tItens[[#This Row],[Edital]],tEditais[Edital],0)),"")</f>
        <v>MUNICIPIO DE PARANA</v>
      </c>
      <c r="H6616" t="str">
        <f>IFERROR(INDEX(tEditais[UF],MATCH(tItens[[#This Row],[Edital]],tEditais[Edital],0)),"")</f>
        <v>RN</v>
      </c>
      <c r="I6616" s="11">
        <f>IFERROR(INDEX(tEditais[Encerramento],MATCH(tItens[[#This Row],[Edital]],tEditais[Edital],0)),"")</f>
        <v>46304.332638888889</v>
      </c>
      <c r="J6616" t="str">
        <f>IFERROR(INDEX(tProdutos[Classe],MATCH(tItens[[#This Row],[Produto]],tProdutos[Produto],0)),"produto não cadastrado")</f>
        <v>NÚCLEO</v>
      </c>
      <c r="K6616" s="12">
        <f>tItens[[#This Row],[Qtd]]*tItens[[#This Row],[Vlr unit]]</f>
        <v>0</v>
      </c>
      <c r="L6616" s="6">
        <f>IFERROR(IF(INDEX(tProdutos[Desconto homologado],MATCH(tItens[[#This Row],[Produto]],tProdutos[Produto],0))="",DescontoPadrao,INDEX(tProdutos[Desconto homologado],MATCH(tItens[[#This Row],[Produto]],tProdutos[Produto],0))),DescontoPadrao)</f>
        <v>0.30410958904109597</v>
      </c>
      <c r="M6616" s="12">
        <f>tItens[[#This Row],[Valor]]*(1-tItens[[#This Row],[Desconto]])</f>
        <v>0</v>
      </c>
      <c r="N6616" t="str">
        <f>IFERROR(INDEX(tProdutos[Foco],MATCH(tItens[[#This Row],[Produto]],tProdutos[Produto],0)),"Não")</f>
        <v>Não</v>
      </c>
      <c r="O6616" t="str">
        <f>IFERROR(INDEX(tEditais[SRP],MATCH(tItens[[#This Row],[Edital]],tEditais[Edital],0)),"Não")</f>
        <v>Não</v>
      </c>
      <c r="P6616" s="4">
        <f>IF(COUNTIFS(INDEX(tItens[Edital],1):tItens[[#This Row],[Edital]],tItens[[#This Row],[Edital]],INDEX(tItens[Produto],1):tItens[[#This Row],[Produto]],tItens[[#This Row],[Produto]])=1,1,0)</f>
        <v>0</v>
      </c>
    </row>
    <row r="6617" spans="1:16" x14ac:dyDescent="0.25">
      <c r="A6617" t="s">
        <v>2370</v>
      </c>
      <c r="B6617">
        <v>147</v>
      </c>
      <c r="C6617" t="s">
        <v>9304</v>
      </c>
      <c r="D6617" t="s">
        <v>110</v>
      </c>
      <c r="E6617" s="13">
        <v>500</v>
      </c>
      <c r="F6617" s="12">
        <v>0</v>
      </c>
      <c r="G6617" t="str">
        <f>IFERROR(INDEX(tEditais[Órgão],MATCH(tItens[[#This Row],[Edital]],tEditais[Edital],0)),"")</f>
        <v>MUNICIPIO DE PARANA</v>
      </c>
      <c r="H6617" t="str">
        <f>IFERROR(INDEX(tEditais[UF],MATCH(tItens[[#This Row],[Edital]],tEditais[Edital],0)),"")</f>
        <v>RN</v>
      </c>
      <c r="I6617" s="11">
        <f>IFERROR(INDEX(tEditais[Encerramento],MATCH(tItens[[#This Row],[Edital]],tEditais[Edital],0)),"")</f>
        <v>46304.332638888889</v>
      </c>
      <c r="J6617" t="str">
        <f>IFERROR(INDEX(tProdutos[Classe],MATCH(tItens[[#This Row],[Produto]],tProdutos[Produto],0)),"produto não cadastrado")</f>
        <v>NÚCLEO</v>
      </c>
      <c r="K6617" s="12">
        <f>tItens[[#This Row],[Qtd]]*tItens[[#This Row],[Vlr unit]]</f>
        <v>0</v>
      </c>
      <c r="L6617" s="6">
        <f>IFERROR(IF(INDEX(tProdutos[Desconto homologado],MATCH(tItens[[#This Row],[Produto]],tProdutos[Produto],0))="",DescontoPadrao,INDEX(tProdutos[Desconto homologado],MATCH(tItens[[#This Row],[Produto]],tProdutos[Produto],0))),DescontoPadrao)</f>
        <v>0.30410958904109597</v>
      </c>
      <c r="M6617" s="12">
        <f>tItens[[#This Row],[Valor]]*(1-tItens[[#This Row],[Desconto]])</f>
        <v>0</v>
      </c>
      <c r="N6617" t="str">
        <f>IFERROR(INDEX(tProdutos[Foco],MATCH(tItens[[#This Row],[Produto]],tProdutos[Produto],0)),"Não")</f>
        <v>Não</v>
      </c>
      <c r="O6617" t="str">
        <f>IFERROR(INDEX(tEditais[SRP],MATCH(tItens[[#This Row],[Edital]],tEditais[Edital],0)),"Não")</f>
        <v>Não</v>
      </c>
      <c r="P6617" s="4">
        <f>IF(COUNTIFS(INDEX(tItens[Edital],1):tItens[[#This Row],[Edital]],tItens[[#This Row],[Edital]],INDEX(tItens[Produto],1):tItens[[#This Row],[Produto]],tItens[[#This Row],[Produto]])=1,1,0)</f>
        <v>0</v>
      </c>
    </row>
    <row r="6618" spans="1:16" x14ac:dyDescent="0.25">
      <c r="A6618" t="s">
        <v>2370</v>
      </c>
      <c r="B6618">
        <v>148</v>
      </c>
      <c r="C6618" t="s">
        <v>9305</v>
      </c>
      <c r="D6618" t="s">
        <v>110</v>
      </c>
      <c r="E6618" s="13">
        <v>100</v>
      </c>
      <c r="F6618" s="12">
        <v>0</v>
      </c>
      <c r="G6618" t="str">
        <f>IFERROR(INDEX(tEditais[Órgão],MATCH(tItens[[#This Row],[Edital]],tEditais[Edital],0)),"")</f>
        <v>MUNICIPIO DE PARANA</v>
      </c>
      <c r="H6618" t="str">
        <f>IFERROR(INDEX(tEditais[UF],MATCH(tItens[[#This Row],[Edital]],tEditais[Edital],0)),"")</f>
        <v>RN</v>
      </c>
      <c r="I6618" s="11">
        <f>IFERROR(INDEX(tEditais[Encerramento],MATCH(tItens[[#This Row],[Edital]],tEditais[Edital],0)),"")</f>
        <v>46304.332638888889</v>
      </c>
      <c r="J6618" t="str">
        <f>IFERROR(INDEX(tProdutos[Classe],MATCH(tItens[[#This Row],[Produto]],tProdutos[Produto],0)),"produto não cadastrado")</f>
        <v>NÚCLEO</v>
      </c>
      <c r="K6618" s="12">
        <f>tItens[[#This Row],[Qtd]]*tItens[[#This Row],[Vlr unit]]</f>
        <v>0</v>
      </c>
      <c r="L6618" s="6">
        <f>IFERROR(IF(INDEX(tProdutos[Desconto homologado],MATCH(tItens[[#This Row],[Produto]],tProdutos[Produto],0))="",DescontoPadrao,INDEX(tProdutos[Desconto homologado],MATCH(tItens[[#This Row],[Produto]],tProdutos[Produto],0))),DescontoPadrao)</f>
        <v>0.30410958904109597</v>
      </c>
      <c r="M6618" s="12">
        <f>tItens[[#This Row],[Valor]]*(1-tItens[[#This Row],[Desconto]])</f>
        <v>0</v>
      </c>
      <c r="N6618" t="str">
        <f>IFERROR(INDEX(tProdutos[Foco],MATCH(tItens[[#This Row],[Produto]],tProdutos[Produto],0)),"Não")</f>
        <v>Não</v>
      </c>
      <c r="O6618" t="str">
        <f>IFERROR(INDEX(tEditais[SRP],MATCH(tItens[[#This Row],[Edital]],tEditais[Edital],0)),"Não")</f>
        <v>Não</v>
      </c>
      <c r="P6618" s="4">
        <f>IF(COUNTIFS(INDEX(tItens[Edital],1):tItens[[#This Row],[Edital]],tItens[[#This Row],[Edital]],INDEX(tItens[Produto],1):tItens[[#This Row],[Produto]],tItens[[#This Row],[Produto]])=1,1,0)</f>
        <v>0</v>
      </c>
    </row>
    <row r="6619" spans="1:16" x14ac:dyDescent="0.25">
      <c r="A6619" t="s">
        <v>2370</v>
      </c>
      <c r="B6619">
        <v>149</v>
      </c>
      <c r="C6619" t="s">
        <v>9306</v>
      </c>
      <c r="D6619" t="s">
        <v>110</v>
      </c>
      <c r="E6619" s="13">
        <v>100</v>
      </c>
      <c r="F6619" s="12">
        <v>0</v>
      </c>
      <c r="G6619" t="str">
        <f>IFERROR(INDEX(tEditais[Órgão],MATCH(tItens[[#This Row],[Edital]],tEditais[Edital],0)),"")</f>
        <v>MUNICIPIO DE PARANA</v>
      </c>
      <c r="H6619" t="str">
        <f>IFERROR(INDEX(tEditais[UF],MATCH(tItens[[#This Row],[Edital]],tEditais[Edital],0)),"")</f>
        <v>RN</v>
      </c>
      <c r="I6619" s="11">
        <f>IFERROR(INDEX(tEditais[Encerramento],MATCH(tItens[[#This Row],[Edital]],tEditais[Edital],0)),"")</f>
        <v>46304.332638888889</v>
      </c>
      <c r="J6619" t="str">
        <f>IFERROR(INDEX(tProdutos[Classe],MATCH(tItens[[#This Row],[Produto]],tProdutos[Produto],0)),"produto não cadastrado")</f>
        <v>NÚCLEO</v>
      </c>
      <c r="K6619" s="12">
        <f>tItens[[#This Row],[Qtd]]*tItens[[#This Row],[Vlr unit]]</f>
        <v>0</v>
      </c>
      <c r="L6619" s="6">
        <f>IFERROR(IF(INDEX(tProdutos[Desconto homologado],MATCH(tItens[[#This Row],[Produto]],tProdutos[Produto],0))="",DescontoPadrao,INDEX(tProdutos[Desconto homologado],MATCH(tItens[[#This Row],[Produto]],tProdutos[Produto],0))),DescontoPadrao)</f>
        <v>0.30410958904109597</v>
      </c>
      <c r="M6619" s="12">
        <f>tItens[[#This Row],[Valor]]*(1-tItens[[#This Row],[Desconto]])</f>
        <v>0</v>
      </c>
      <c r="N6619" t="str">
        <f>IFERROR(INDEX(tProdutos[Foco],MATCH(tItens[[#This Row],[Produto]],tProdutos[Produto],0)),"Não")</f>
        <v>Não</v>
      </c>
      <c r="O6619" t="str">
        <f>IFERROR(INDEX(tEditais[SRP],MATCH(tItens[[#This Row],[Edital]],tEditais[Edital],0)),"Não")</f>
        <v>Não</v>
      </c>
      <c r="P6619" s="4">
        <f>IF(COUNTIFS(INDEX(tItens[Edital],1):tItens[[#This Row],[Edital]],tItens[[#This Row],[Edital]],INDEX(tItens[Produto],1):tItens[[#This Row],[Produto]],tItens[[#This Row],[Produto]])=1,1,0)</f>
        <v>0</v>
      </c>
    </row>
    <row r="6620" spans="1:16" x14ac:dyDescent="0.25">
      <c r="A6620" t="s">
        <v>2370</v>
      </c>
      <c r="B6620">
        <v>150</v>
      </c>
      <c r="C6620" t="s">
        <v>9307</v>
      </c>
      <c r="D6620" t="s">
        <v>110</v>
      </c>
      <c r="E6620" s="13">
        <v>100</v>
      </c>
      <c r="F6620" s="12">
        <v>0</v>
      </c>
      <c r="G6620" t="str">
        <f>IFERROR(INDEX(tEditais[Órgão],MATCH(tItens[[#This Row],[Edital]],tEditais[Edital],0)),"")</f>
        <v>MUNICIPIO DE PARANA</v>
      </c>
      <c r="H6620" t="str">
        <f>IFERROR(INDEX(tEditais[UF],MATCH(tItens[[#This Row],[Edital]],tEditais[Edital],0)),"")</f>
        <v>RN</v>
      </c>
      <c r="I6620" s="11">
        <f>IFERROR(INDEX(tEditais[Encerramento],MATCH(tItens[[#This Row],[Edital]],tEditais[Edital],0)),"")</f>
        <v>46304.332638888889</v>
      </c>
      <c r="J6620" t="str">
        <f>IFERROR(INDEX(tProdutos[Classe],MATCH(tItens[[#This Row],[Produto]],tProdutos[Produto],0)),"produto não cadastrado")</f>
        <v>NÚCLEO</v>
      </c>
      <c r="K6620" s="12">
        <f>tItens[[#This Row],[Qtd]]*tItens[[#This Row],[Vlr unit]]</f>
        <v>0</v>
      </c>
      <c r="L6620" s="6">
        <f>IFERROR(IF(INDEX(tProdutos[Desconto homologado],MATCH(tItens[[#This Row],[Produto]],tProdutos[Produto],0))="",DescontoPadrao,INDEX(tProdutos[Desconto homologado],MATCH(tItens[[#This Row],[Produto]],tProdutos[Produto],0))),DescontoPadrao)</f>
        <v>0.30410958904109597</v>
      </c>
      <c r="M6620" s="12">
        <f>tItens[[#This Row],[Valor]]*(1-tItens[[#This Row],[Desconto]])</f>
        <v>0</v>
      </c>
      <c r="N6620" t="str">
        <f>IFERROR(INDEX(tProdutos[Foco],MATCH(tItens[[#This Row],[Produto]],tProdutos[Produto],0)),"Não")</f>
        <v>Não</v>
      </c>
      <c r="O6620" t="str">
        <f>IFERROR(INDEX(tEditais[SRP],MATCH(tItens[[#This Row],[Edital]],tEditais[Edital],0)),"Não")</f>
        <v>Não</v>
      </c>
      <c r="P6620" s="4">
        <f>IF(COUNTIFS(INDEX(tItens[Edital],1):tItens[[#This Row],[Edital]],tItens[[#This Row],[Edital]],INDEX(tItens[Produto],1):tItens[[#This Row],[Produto]],tItens[[#This Row],[Produto]])=1,1,0)</f>
        <v>0</v>
      </c>
    </row>
    <row r="6621" spans="1:16" x14ac:dyDescent="0.25">
      <c r="A6621" t="s">
        <v>2370</v>
      </c>
      <c r="B6621">
        <v>151</v>
      </c>
      <c r="C6621" t="s">
        <v>9308</v>
      </c>
      <c r="D6621" t="s">
        <v>110</v>
      </c>
      <c r="E6621" s="13">
        <v>100</v>
      </c>
      <c r="F6621" s="12">
        <v>0</v>
      </c>
      <c r="G6621" t="str">
        <f>IFERROR(INDEX(tEditais[Órgão],MATCH(tItens[[#This Row],[Edital]],tEditais[Edital],0)),"")</f>
        <v>MUNICIPIO DE PARANA</v>
      </c>
      <c r="H6621" t="str">
        <f>IFERROR(INDEX(tEditais[UF],MATCH(tItens[[#This Row],[Edital]],tEditais[Edital],0)),"")</f>
        <v>RN</v>
      </c>
      <c r="I6621" s="11">
        <f>IFERROR(INDEX(tEditais[Encerramento],MATCH(tItens[[#This Row],[Edital]],tEditais[Edital],0)),"")</f>
        <v>46304.332638888889</v>
      </c>
      <c r="J6621" t="str">
        <f>IFERROR(INDEX(tProdutos[Classe],MATCH(tItens[[#This Row],[Produto]],tProdutos[Produto],0)),"produto não cadastrado")</f>
        <v>NÚCLEO</v>
      </c>
      <c r="K6621" s="12">
        <f>tItens[[#This Row],[Qtd]]*tItens[[#This Row],[Vlr unit]]</f>
        <v>0</v>
      </c>
      <c r="L6621" s="6">
        <f>IFERROR(IF(INDEX(tProdutos[Desconto homologado],MATCH(tItens[[#This Row],[Produto]],tProdutos[Produto],0))="",DescontoPadrao,INDEX(tProdutos[Desconto homologado],MATCH(tItens[[#This Row],[Produto]],tProdutos[Produto],0))),DescontoPadrao)</f>
        <v>0.30410958904109597</v>
      </c>
      <c r="M6621" s="12">
        <f>tItens[[#This Row],[Valor]]*(1-tItens[[#This Row],[Desconto]])</f>
        <v>0</v>
      </c>
      <c r="N6621" t="str">
        <f>IFERROR(INDEX(tProdutos[Foco],MATCH(tItens[[#This Row],[Produto]],tProdutos[Produto],0)),"Não")</f>
        <v>Não</v>
      </c>
      <c r="O6621" t="str">
        <f>IFERROR(INDEX(tEditais[SRP],MATCH(tItens[[#This Row],[Edital]],tEditais[Edital],0)),"Não")</f>
        <v>Não</v>
      </c>
      <c r="P6621" s="4">
        <f>IF(COUNTIFS(INDEX(tItens[Edital],1):tItens[[#This Row],[Edital]],tItens[[#This Row],[Edital]],INDEX(tItens[Produto],1):tItens[[#This Row],[Produto]],tItens[[#This Row],[Produto]])=1,1,0)</f>
        <v>0</v>
      </c>
    </row>
    <row r="6622" spans="1:16" x14ac:dyDescent="0.25">
      <c r="A6622" t="s">
        <v>2370</v>
      </c>
      <c r="B6622">
        <v>152</v>
      </c>
      <c r="C6622" t="s">
        <v>9309</v>
      </c>
      <c r="D6622" t="s">
        <v>120</v>
      </c>
      <c r="E6622" s="13">
        <v>350</v>
      </c>
      <c r="F6622" s="12">
        <v>0</v>
      </c>
      <c r="G6622" t="str">
        <f>IFERROR(INDEX(tEditais[Órgão],MATCH(tItens[[#This Row],[Edital]],tEditais[Edital],0)),"")</f>
        <v>MUNICIPIO DE PARANA</v>
      </c>
      <c r="H6622" t="str">
        <f>IFERROR(INDEX(tEditais[UF],MATCH(tItens[[#This Row],[Edital]],tEditais[Edital],0)),"")</f>
        <v>RN</v>
      </c>
      <c r="I6622" s="11">
        <f>IFERROR(INDEX(tEditais[Encerramento],MATCH(tItens[[#This Row],[Edital]],tEditais[Edital],0)),"")</f>
        <v>46304.332638888889</v>
      </c>
      <c r="J6622" t="str">
        <f>IFERROR(INDEX(tProdutos[Classe],MATCH(tItens[[#This Row],[Produto]],tProdutos[Produto],0)),"produto não cadastrado")</f>
        <v>DISPUTADO</v>
      </c>
      <c r="K6622" s="12">
        <f>tItens[[#This Row],[Qtd]]*tItens[[#This Row],[Vlr unit]]</f>
        <v>0</v>
      </c>
      <c r="L6622" s="6">
        <f>IFERROR(IF(INDEX(tProdutos[Desconto homologado],MATCH(tItens[[#This Row],[Produto]],tProdutos[Produto],0))="",DescontoPadrao,INDEX(tProdutos[Desconto homologado],MATCH(tItens[[#This Row],[Produto]],tProdutos[Produto],0))),DescontoPadrao)</f>
        <v>0.40909090909090901</v>
      </c>
      <c r="M6622" s="12">
        <f>tItens[[#This Row],[Valor]]*(1-tItens[[#This Row],[Desconto]])</f>
        <v>0</v>
      </c>
      <c r="N6622" t="str">
        <f>IFERROR(INDEX(tProdutos[Foco],MATCH(tItens[[#This Row],[Produto]],tProdutos[Produto],0)),"Não")</f>
        <v>Não</v>
      </c>
      <c r="O6622" t="str">
        <f>IFERROR(INDEX(tEditais[SRP],MATCH(tItens[[#This Row],[Edital]],tEditais[Edital],0)),"Não")</f>
        <v>Não</v>
      </c>
      <c r="P6622" s="4">
        <f>IF(COUNTIFS(INDEX(tItens[Edital],1):tItens[[#This Row],[Edital]],tItens[[#This Row],[Edital]],INDEX(tItens[Produto],1):tItens[[#This Row],[Produto]],tItens[[#This Row],[Produto]])=1,1,0)</f>
        <v>1</v>
      </c>
    </row>
    <row r="6623" spans="1:16" x14ac:dyDescent="0.25">
      <c r="A6623" t="s">
        <v>2370</v>
      </c>
      <c r="B6623">
        <v>153</v>
      </c>
      <c r="C6623" t="s">
        <v>9310</v>
      </c>
      <c r="D6623" t="s">
        <v>120</v>
      </c>
      <c r="E6623" s="13">
        <v>350</v>
      </c>
      <c r="F6623" s="12">
        <v>0</v>
      </c>
      <c r="G6623" t="str">
        <f>IFERROR(INDEX(tEditais[Órgão],MATCH(tItens[[#This Row],[Edital]],tEditais[Edital],0)),"")</f>
        <v>MUNICIPIO DE PARANA</v>
      </c>
      <c r="H6623" t="str">
        <f>IFERROR(INDEX(tEditais[UF],MATCH(tItens[[#This Row],[Edital]],tEditais[Edital],0)),"")</f>
        <v>RN</v>
      </c>
      <c r="I6623" s="11">
        <f>IFERROR(INDEX(tEditais[Encerramento],MATCH(tItens[[#This Row],[Edital]],tEditais[Edital],0)),"")</f>
        <v>46304.332638888889</v>
      </c>
      <c r="J6623" t="str">
        <f>IFERROR(INDEX(tProdutos[Classe],MATCH(tItens[[#This Row],[Produto]],tProdutos[Produto],0)),"produto não cadastrado")</f>
        <v>DISPUTADO</v>
      </c>
      <c r="K6623" s="12">
        <f>tItens[[#This Row],[Qtd]]*tItens[[#This Row],[Vlr unit]]</f>
        <v>0</v>
      </c>
      <c r="L6623" s="6">
        <f>IFERROR(IF(INDEX(tProdutos[Desconto homologado],MATCH(tItens[[#This Row],[Produto]],tProdutos[Produto],0))="",DescontoPadrao,INDEX(tProdutos[Desconto homologado],MATCH(tItens[[#This Row],[Produto]],tProdutos[Produto],0))),DescontoPadrao)</f>
        <v>0.40909090909090901</v>
      </c>
      <c r="M6623" s="12">
        <f>tItens[[#This Row],[Valor]]*(1-tItens[[#This Row],[Desconto]])</f>
        <v>0</v>
      </c>
      <c r="N6623" t="str">
        <f>IFERROR(INDEX(tProdutos[Foco],MATCH(tItens[[#This Row],[Produto]],tProdutos[Produto],0)),"Não")</f>
        <v>Não</v>
      </c>
      <c r="O6623" t="str">
        <f>IFERROR(INDEX(tEditais[SRP],MATCH(tItens[[#This Row],[Edital]],tEditais[Edital],0)),"Não")</f>
        <v>Não</v>
      </c>
      <c r="P6623" s="4">
        <f>IF(COUNTIFS(INDEX(tItens[Edital],1):tItens[[#This Row],[Edital]],tItens[[#This Row],[Edital]],INDEX(tItens[Produto],1):tItens[[#This Row],[Produto]],tItens[[#This Row],[Produto]])=1,1,0)</f>
        <v>0</v>
      </c>
    </row>
    <row r="6624" spans="1:16" x14ac:dyDescent="0.25">
      <c r="A6624" t="s">
        <v>2370</v>
      </c>
      <c r="B6624">
        <v>154</v>
      </c>
      <c r="C6624" t="s">
        <v>9311</v>
      </c>
      <c r="D6624" t="s">
        <v>120</v>
      </c>
      <c r="E6624" s="13">
        <v>25</v>
      </c>
      <c r="F6624" s="12">
        <v>0</v>
      </c>
      <c r="G6624" t="str">
        <f>IFERROR(INDEX(tEditais[Órgão],MATCH(tItens[[#This Row],[Edital]],tEditais[Edital],0)),"")</f>
        <v>MUNICIPIO DE PARANA</v>
      </c>
      <c r="H6624" t="str">
        <f>IFERROR(INDEX(tEditais[UF],MATCH(tItens[[#This Row],[Edital]],tEditais[Edital],0)),"")</f>
        <v>RN</v>
      </c>
      <c r="I6624" s="11">
        <f>IFERROR(INDEX(tEditais[Encerramento],MATCH(tItens[[#This Row],[Edital]],tEditais[Edital],0)),"")</f>
        <v>46304.332638888889</v>
      </c>
      <c r="J6624" t="str">
        <f>IFERROR(INDEX(tProdutos[Classe],MATCH(tItens[[#This Row],[Produto]],tProdutos[Produto],0)),"produto não cadastrado")</f>
        <v>DISPUTADO</v>
      </c>
      <c r="K6624" s="12">
        <f>tItens[[#This Row],[Qtd]]*tItens[[#This Row],[Vlr unit]]</f>
        <v>0</v>
      </c>
      <c r="L6624" s="6">
        <f>IFERROR(IF(INDEX(tProdutos[Desconto homologado],MATCH(tItens[[#This Row],[Produto]],tProdutos[Produto],0))="",DescontoPadrao,INDEX(tProdutos[Desconto homologado],MATCH(tItens[[#This Row],[Produto]],tProdutos[Produto],0))),DescontoPadrao)</f>
        <v>0.40909090909090901</v>
      </c>
      <c r="M6624" s="12">
        <f>tItens[[#This Row],[Valor]]*(1-tItens[[#This Row],[Desconto]])</f>
        <v>0</v>
      </c>
      <c r="N6624" t="str">
        <f>IFERROR(INDEX(tProdutos[Foco],MATCH(tItens[[#This Row],[Produto]],tProdutos[Produto],0)),"Não")</f>
        <v>Não</v>
      </c>
      <c r="O6624" t="str">
        <f>IFERROR(INDEX(tEditais[SRP],MATCH(tItens[[#This Row],[Edital]],tEditais[Edital],0)),"Não")</f>
        <v>Não</v>
      </c>
      <c r="P6624" s="4">
        <f>IF(COUNTIFS(INDEX(tItens[Edital],1):tItens[[#This Row],[Edital]],tItens[[#This Row],[Edital]],INDEX(tItens[Produto],1):tItens[[#This Row],[Produto]],tItens[[#This Row],[Produto]])=1,1,0)</f>
        <v>0</v>
      </c>
    </row>
    <row r="6625" spans="1:16" x14ac:dyDescent="0.25">
      <c r="A6625" t="s">
        <v>2370</v>
      </c>
      <c r="B6625">
        <v>155</v>
      </c>
      <c r="C6625" t="s">
        <v>9312</v>
      </c>
      <c r="D6625" t="s">
        <v>120</v>
      </c>
      <c r="E6625" s="13">
        <v>250</v>
      </c>
      <c r="F6625" s="12">
        <v>0</v>
      </c>
      <c r="G6625" t="str">
        <f>IFERROR(INDEX(tEditais[Órgão],MATCH(tItens[[#This Row],[Edital]],tEditais[Edital],0)),"")</f>
        <v>MUNICIPIO DE PARANA</v>
      </c>
      <c r="H6625" t="str">
        <f>IFERROR(INDEX(tEditais[UF],MATCH(tItens[[#This Row],[Edital]],tEditais[Edital],0)),"")</f>
        <v>RN</v>
      </c>
      <c r="I6625" s="11">
        <f>IFERROR(INDEX(tEditais[Encerramento],MATCH(tItens[[#This Row],[Edital]],tEditais[Edital],0)),"")</f>
        <v>46304.332638888889</v>
      </c>
      <c r="J6625" t="str">
        <f>IFERROR(INDEX(tProdutos[Classe],MATCH(tItens[[#This Row],[Produto]],tProdutos[Produto],0)),"produto não cadastrado")</f>
        <v>DISPUTADO</v>
      </c>
      <c r="K6625" s="12">
        <f>tItens[[#This Row],[Qtd]]*tItens[[#This Row],[Vlr unit]]</f>
        <v>0</v>
      </c>
      <c r="L6625" s="6">
        <f>IFERROR(IF(INDEX(tProdutos[Desconto homologado],MATCH(tItens[[#This Row],[Produto]],tProdutos[Produto],0))="",DescontoPadrao,INDEX(tProdutos[Desconto homologado],MATCH(tItens[[#This Row],[Produto]],tProdutos[Produto],0))),DescontoPadrao)</f>
        <v>0.40909090909090901</v>
      </c>
      <c r="M6625" s="12">
        <f>tItens[[#This Row],[Valor]]*(1-tItens[[#This Row],[Desconto]])</f>
        <v>0</v>
      </c>
      <c r="N6625" t="str">
        <f>IFERROR(INDEX(tProdutos[Foco],MATCH(tItens[[#This Row],[Produto]],tProdutos[Produto],0)),"Não")</f>
        <v>Não</v>
      </c>
      <c r="O6625" t="str">
        <f>IFERROR(INDEX(tEditais[SRP],MATCH(tItens[[#This Row],[Edital]],tEditais[Edital],0)),"Não")</f>
        <v>Não</v>
      </c>
      <c r="P6625" s="4">
        <f>IF(COUNTIFS(INDEX(tItens[Edital],1):tItens[[#This Row],[Edital]],tItens[[#This Row],[Edital]],INDEX(tItens[Produto],1):tItens[[#This Row],[Produto]],tItens[[#This Row],[Produto]])=1,1,0)</f>
        <v>0</v>
      </c>
    </row>
    <row r="6626" spans="1:16" x14ac:dyDescent="0.25">
      <c r="A6626" t="s">
        <v>2370</v>
      </c>
      <c r="B6626">
        <v>156</v>
      </c>
      <c r="C6626" t="s">
        <v>9313</v>
      </c>
      <c r="D6626" t="s">
        <v>120</v>
      </c>
      <c r="E6626" s="13">
        <v>250</v>
      </c>
      <c r="F6626" s="12">
        <v>0</v>
      </c>
      <c r="G6626" t="str">
        <f>IFERROR(INDEX(tEditais[Órgão],MATCH(tItens[[#This Row],[Edital]],tEditais[Edital],0)),"")</f>
        <v>MUNICIPIO DE PARANA</v>
      </c>
      <c r="H6626" t="str">
        <f>IFERROR(INDEX(tEditais[UF],MATCH(tItens[[#This Row],[Edital]],tEditais[Edital],0)),"")</f>
        <v>RN</v>
      </c>
      <c r="I6626" s="11">
        <f>IFERROR(INDEX(tEditais[Encerramento],MATCH(tItens[[#This Row],[Edital]],tEditais[Edital],0)),"")</f>
        <v>46304.332638888889</v>
      </c>
      <c r="J6626" t="str">
        <f>IFERROR(INDEX(tProdutos[Classe],MATCH(tItens[[#This Row],[Produto]],tProdutos[Produto],0)),"produto não cadastrado")</f>
        <v>DISPUTADO</v>
      </c>
      <c r="K6626" s="12">
        <f>tItens[[#This Row],[Qtd]]*tItens[[#This Row],[Vlr unit]]</f>
        <v>0</v>
      </c>
      <c r="L6626" s="6">
        <f>IFERROR(IF(INDEX(tProdutos[Desconto homologado],MATCH(tItens[[#This Row],[Produto]],tProdutos[Produto],0))="",DescontoPadrao,INDEX(tProdutos[Desconto homologado],MATCH(tItens[[#This Row],[Produto]],tProdutos[Produto],0))),DescontoPadrao)</f>
        <v>0.40909090909090901</v>
      </c>
      <c r="M6626" s="12">
        <f>tItens[[#This Row],[Valor]]*(1-tItens[[#This Row],[Desconto]])</f>
        <v>0</v>
      </c>
      <c r="N6626" t="str">
        <f>IFERROR(INDEX(tProdutos[Foco],MATCH(tItens[[#This Row],[Produto]],tProdutos[Produto],0)),"Não")</f>
        <v>Não</v>
      </c>
      <c r="O6626" t="str">
        <f>IFERROR(INDEX(tEditais[SRP],MATCH(tItens[[#This Row],[Edital]],tEditais[Edital],0)),"Não")</f>
        <v>Não</v>
      </c>
      <c r="P6626" s="4">
        <f>IF(COUNTIFS(INDEX(tItens[Edital],1):tItens[[#This Row],[Edital]],tItens[[#This Row],[Edital]],INDEX(tItens[Produto],1):tItens[[#This Row],[Produto]],tItens[[#This Row],[Produto]])=1,1,0)</f>
        <v>0</v>
      </c>
    </row>
    <row r="6627" spans="1:16" x14ac:dyDescent="0.25">
      <c r="A6627" t="s">
        <v>2370</v>
      </c>
      <c r="B6627">
        <v>157</v>
      </c>
      <c r="C6627" t="s">
        <v>9314</v>
      </c>
      <c r="D6627" t="s">
        <v>120</v>
      </c>
      <c r="E6627" s="13">
        <v>500</v>
      </c>
      <c r="F6627" s="12">
        <v>0</v>
      </c>
      <c r="G6627" t="str">
        <f>IFERROR(INDEX(tEditais[Órgão],MATCH(tItens[[#This Row],[Edital]],tEditais[Edital],0)),"")</f>
        <v>MUNICIPIO DE PARANA</v>
      </c>
      <c r="H6627" t="str">
        <f>IFERROR(INDEX(tEditais[UF],MATCH(tItens[[#This Row],[Edital]],tEditais[Edital],0)),"")</f>
        <v>RN</v>
      </c>
      <c r="I6627" s="11">
        <f>IFERROR(INDEX(tEditais[Encerramento],MATCH(tItens[[#This Row],[Edital]],tEditais[Edital],0)),"")</f>
        <v>46304.332638888889</v>
      </c>
      <c r="J6627" t="str">
        <f>IFERROR(INDEX(tProdutos[Classe],MATCH(tItens[[#This Row],[Produto]],tProdutos[Produto],0)),"produto não cadastrado")</f>
        <v>DISPUTADO</v>
      </c>
      <c r="K6627" s="12">
        <f>tItens[[#This Row],[Qtd]]*tItens[[#This Row],[Vlr unit]]</f>
        <v>0</v>
      </c>
      <c r="L6627" s="6">
        <f>IFERROR(IF(INDEX(tProdutos[Desconto homologado],MATCH(tItens[[#This Row],[Produto]],tProdutos[Produto],0))="",DescontoPadrao,INDEX(tProdutos[Desconto homologado],MATCH(tItens[[#This Row],[Produto]],tProdutos[Produto],0))),DescontoPadrao)</f>
        <v>0.40909090909090901</v>
      </c>
      <c r="M6627" s="12">
        <f>tItens[[#This Row],[Valor]]*(1-tItens[[#This Row],[Desconto]])</f>
        <v>0</v>
      </c>
      <c r="N6627" t="str">
        <f>IFERROR(INDEX(tProdutos[Foco],MATCH(tItens[[#This Row],[Produto]],tProdutos[Produto],0)),"Não")</f>
        <v>Não</v>
      </c>
      <c r="O6627" t="str">
        <f>IFERROR(INDEX(tEditais[SRP],MATCH(tItens[[#This Row],[Edital]],tEditais[Edital],0)),"Não")</f>
        <v>Não</v>
      </c>
      <c r="P6627" s="4">
        <f>IF(COUNTIFS(INDEX(tItens[Edital],1):tItens[[#This Row],[Edital]],tItens[[#This Row],[Edital]],INDEX(tItens[Produto],1):tItens[[#This Row],[Produto]],tItens[[#This Row],[Produto]])=1,1,0)</f>
        <v>0</v>
      </c>
    </row>
    <row r="6628" spans="1:16" x14ac:dyDescent="0.25">
      <c r="A6628" t="s">
        <v>2370</v>
      </c>
      <c r="B6628">
        <v>158</v>
      </c>
      <c r="C6628" t="s">
        <v>9315</v>
      </c>
      <c r="D6628" t="s">
        <v>120</v>
      </c>
      <c r="E6628" s="13">
        <v>100</v>
      </c>
      <c r="F6628" s="12">
        <v>0</v>
      </c>
      <c r="G6628" t="str">
        <f>IFERROR(INDEX(tEditais[Órgão],MATCH(tItens[[#This Row],[Edital]],tEditais[Edital],0)),"")</f>
        <v>MUNICIPIO DE PARANA</v>
      </c>
      <c r="H6628" t="str">
        <f>IFERROR(INDEX(tEditais[UF],MATCH(tItens[[#This Row],[Edital]],tEditais[Edital],0)),"")</f>
        <v>RN</v>
      </c>
      <c r="I6628" s="11">
        <f>IFERROR(INDEX(tEditais[Encerramento],MATCH(tItens[[#This Row],[Edital]],tEditais[Edital],0)),"")</f>
        <v>46304.332638888889</v>
      </c>
      <c r="J6628" t="str">
        <f>IFERROR(INDEX(tProdutos[Classe],MATCH(tItens[[#This Row],[Produto]],tProdutos[Produto],0)),"produto não cadastrado")</f>
        <v>DISPUTADO</v>
      </c>
      <c r="K6628" s="12">
        <f>tItens[[#This Row],[Qtd]]*tItens[[#This Row],[Vlr unit]]</f>
        <v>0</v>
      </c>
      <c r="L6628" s="6">
        <f>IFERROR(IF(INDEX(tProdutos[Desconto homologado],MATCH(tItens[[#This Row],[Produto]],tProdutos[Produto],0))="",DescontoPadrao,INDEX(tProdutos[Desconto homologado],MATCH(tItens[[#This Row],[Produto]],tProdutos[Produto],0))),DescontoPadrao)</f>
        <v>0.40909090909090901</v>
      </c>
      <c r="M6628" s="12">
        <f>tItens[[#This Row],[Valor]]*(1-tItens[[#This Row],[Desconto]])</f>
        <v>0</v>
      </c>
      <c r="N6628" t="str">
        <f>IFERROR(INDEX(tProdutos[Foco],MATCH(tItens[[#This Row],[Produto]],tProdutos[Produto],0)),"Não")</f>
        <v>Não</v>
      </c>
      <c r="O6628" t="str">
        <f>IFERROR(INDEX(tEditais[SRP],MATCH(tItens[[#This Row],[Edital]],tEditais[Edital],0)),"Não")</f>
        <v>Não</v>
      </c>
      <c r="P6628" s="4">
        <f>IF(COUNTIFS(INDEX(tItens[Edital],1):tItens[[#This Row],[Edital]],tItens[[#This Row],[Edital]],INDEX(tItens[Produto],1):tItens[[#This Row],[Produto]],tItens[[#This Row],[Produto]])=1,1,0)</f>
        <v>0</v>
      </c>
    </row>
    <row r="6629" spans="1:16" x14ac:dyDescent="0.25">
      <c r="A6629" t="s">
        <v>2370</v>
      </c>
      <c r="B6629">
        <v>168</v>
      </c>
      <c r="C6629" t="s">
        <v>9316</v>
      </c>
      <c r="D6629" t="s">
        <v>114</v>
      </c>
      <c r="E6629" s="13">
        <v>100</v>
      </c>
      <c r="F6629" s="12">
        <v>0</v>
      </c>
      <c r="G6629" t="str">
        <f>IFERROR(INDEX(tEditais[Órgão],MATCH(tItens[[#This Row],[Edital]],tEditais[Edital],0)),"")</f>
        <v>MUNICIPIO DE PARANA</v>
      </c>
      <c r="H6629" t="str">
        <f>IFERROR(INDEX(tEditais[UF],MATCH(tItens[[#This Row],[Edital]],tEditais[Edital],0)),"")</f>
        <v>RN</v>
      </c>
      <c r="I6629" s="11">
        <f>IFERROR(INDEX(tEditais[Encerramento],MATCH(tItens[[#This Row],[Edital]],tEditais[Edital],0)),"")</f>
        <v>46304.332638888889</v>
      </c>
      <c r="J6629" t="str">
        <f>IFERROR(INDEX(tProdutos[Classe],MATCH(tItens[[#This Row],[Produto]],tProdutos[Produto],0)),"produto não cadastrado")</f>
        <v>DISPUTADO</v>
      </c>
      <c r="K6629" s="12">
        <f>tItens[[#This Row],[Qtd]]*tItens[[#This Row],[Vlr unit]]</f>
        <v>0</v>
      </c>
      <c r="L6629" s="6">
        <f>IFERROR(IF(INDEX(tProdutos[Desconto homologado],MATCH(tItens[[#This Row],[Produto]],tProdutos[Produto],0))="",DescontoPadrao,INDEX(tProdutos[Desconto homologado],MATCH(tItens[[#This Row],[Produto]],tProdutos[Produto],0))),DescontoPadrao)</f>
        <v>0.24332656063896899</v>
      </c>
      <c r="M6629" s="12">
        <f>tItens[[#This Row],[Valor]]*(1-tItens[[#This Row],[Desconto]])</f>
        <v>0</v>
      </c>
      <c r="N6629" t="str">
        <f>IFERROR(INDEX(tProdutos[Foco],MATCH(tItens[[#This Row],[Produto]],tProdutos[Produto],0)),"Não")</f>
        <v>Não</v>
      </c>
      <c r="O6629" t="str">
        <f>IFERROR(INDEX(tEditais[SRP],MATCH(tItens[[#This Row],[Edital]],tEditais[Edital],0)),"Não")</f>
        <v>Não</v>
      </c>
      <c r="P6629" s="4">
        <f>IF(COUNTIFS(INDEX(tItens[Edital],1):tItens[[#This Row],[Edital]],tItens[[#This Row],[Edital]],INDEX(tItens[Produto],1):tItens[[#This Row],[Produto]],tItens[[#This Row],[Produto]])=1,1,0)</f>
        <v>1</v>
      </c>
    </row>
    <row r="6630" spans="1:16" x14ac:dyDescent="0.25">
      <c r="A6630" t="s">
        <v>2370</v>
      </c>
      <c r="B6630">
        <v>169</v>
      </c>
      <c r="C6630" t="s">
        <v>9317</v>
      </c>
      <c r="D6630" t="s">
        <v>114</v>
      </c>
      <c r="E6630" s="13">
        <v>150</v>
      </c>
      <c r="F6630" s="12">
        <v>0</v>
      </c>
      <c r="G6630" t="str">
        <f>IFERROR(INDEX(tEditais[Órgão],MATCH(tItens[[#This Row],[Edital]],tEditais[Edital],0)),"")</f>
        <v>MUNICIPIO DE PARANA</v>
      </c>
      <c r="H6630" t="str">
        <f>IFERROR(INDEX(tEditais[UF],MATCH(tItens[[#This Row],[Edital]],tEditais[Edital],0)),"")</f>
        <v>RN</v>
      </c>
      <c r="I6630" s="11">
        <f>IFERROR(INDEX(tEditais[Encerramento],MATCH(tItens[[#This Row],[Edital]],tEditais[Edital],0)),"")</f>
        <v>46304.332638888889</v>
      </c>
      <c r="J6630" t="str">
        <f>IFERROR(INDEX(tProdutos[Classe],MATCH(tItens[[#This Row],[Produto]],tProdutos[Produto],0)),"produto não cadastrado")</f>
        <v>DISPUTADO</v>
      </c>
      <c r="K6630" s="12">
        <f>tItens[[#This Row],[Qtd]]*tItens[[#This Row],[Vlr unit]]</f>
        <v>0</v>
      </c>
      <c r="L6630" s="6">
        <f>IFERROR(IF(INDEX(tProdutos[Desconto homologado],MATCH(tItens[[#This Row],[Produto]],tProdutos[Produto],0))="",DescontoPadrao,INDEX(tProdutos[Desconto homologado],MATCH(tItens[[#This Row],[Produto]],tProdutos[Produto],0))),DescontoPadrao)</f>
        <v>0.24332656063896899</v>
      </c>
      <c r="M6630" s="12">
        <f>tItens[[#This Row],[Valor]]*(1-tItens[[#This Row],[Desconto]])</f>
        <v>0</v>
      </c>
      <c r="N6630" t="str">
        <f>IFERROR(INDEX(tProdutos[Foco],MATCH(tItens[[#This Row],[Produto]],tProdutos[Produto],0)),"Não")</f>
        <v>Não</v>
      </c>
      <c r="O6630" t="str">
        <f>IFERROR(INDEX(tEditais[SRP],MATCH(tItens[[#This Row],[Edital]],tEditais[Edital],0)),"Não")</f>
        <v>Não</v>
      </c>
      <c r="P6630" s="4">
        <f>IF(COUNTIFS(INDEX(tItens[Edital],1):tItens[[#This Row],[Edital]],tItens[[#This Row],[Edital]],INDEX(tItens[Produto],1):tItens[[#This Row],[Produto]],tItens[[#This Row],[Produto]])=1,1,0)</f>
        <v>0</v>
      </c>
    </row>
    <row r="6631" spans="1:16" x14ac:dyDescent="0.25">
      <c r="A6631" t="s">
        <v>2375</v>
      </c>
      <c r="B6631">
        <v>6</v>
      </c>
      <c r="C6631" t="s">
        <v>9318</v>
      </c>
      <c r="D6631" t="s">
        <v>150</v>
      </c>
      <c r="E6631" s="13">
        <v>10</v>
      </c>
      <c r="F6631" s="12">
        <v>50.92</v>
      </c>
      <c r="G6631" t="str">
        <f>IFERROR(INDEX(tEditais[Órgão],MATCH(tItens[[#This Row],[Edital]],tEditais[Edital],0)),"")</f>
        <v>MUNICIPIO DE ACARI</v>
      </c>
      <c r="H6631" t="str">
        <f>IFERROR(INDEX(tEditais[UF],MATCH(tItens[[#This Row],[Edital]],tEditais[Edital],0)),"")</f>
        <v>RN</v>
      </c>
      <c r="I6631" s="11">
        <f>IFERROR(INDEX(tEditais[Encerramento],MATCH(tItens[[#This Row],[Edital]],tEditais[Edital],0)),"")</f>
        <v>46304.375</v>
      </c>
      <c r="J6631" t="str">
        <f>IFERROR(INDEX(tProdutos[Classe],MATCH(tItens[[#This Row],[Produto]],tProdutos[Produto],0)),"produto não cadastrado")</f>
        <v>DISPUTADO</v>
      </c>
      <c r="K6631" s="12">
        <f>tItens[[#This Row],[Qtd]]*tItens[[#This Row],[Vlr unit]]</f>
        <v>509.20000000000005</v>
      </c>
      <c r="L6631" s="6">
        <f>IFERROR(IF(INDEX(tProdutos[Desconto homologado],MATCH(tItens[[#This Row],[Produto]],tProdutos[Produto],0))="",DescontoPadrao,INDEX(tProdutos[Desconto homologado],MATCH(tItens[[#This Row],[Produto]],tProdutos[Produto],0))),DescontoPadrao)</f>
        <v>0.24874026568941801</v>
      </c>
      <c r="M6631" s="12">
        <f>tItens[[#This Row],[Valor]]*(1-tItens[[#This Row],[Desconto]])</f>
        <v>382.54145671094841</v>
      </c>
      <c r="N6631" t="str">
        <f>IFERROR(INDEX(tProdutos[Foco],MATCH(tItens[[#This Row],[Produto]],tProdutos[Produto],0)),"Não")</f>
        <v>Não</v>
      </c>
      <c r="O6631" t="str">
        <f>IFERROR(INDEX(tEditais[SRP],MATCH(tItens[[#This Row],[Edital]],tEditais[Edital],0)),"Não")</f>
        <v>Sim</v>
      </c>
      <c r="P6631" s="4">
        <f>IF(COUNTIFS(INDEX(tItens[Edital],1):tItens[[#This Row],[Edital]],tItens[[#This Row],[Edital]],INDEX(tItens[Produto],1):tItens[[#This Row],[Produto]],tItens[[#This Row],[Produto]])=1,1,0)</f>
        <v>1</v>
      </c>
    </row>
    <row r="6632" spans="1:16" x14ac:dyDescent="0.25">
      <c r="A6632" t="s">
        <v>2375</v>
      </c>
      <c r="B6632">
        <v>11</v>
      </c>
      <c r="C6632" t="s">
        <v>9319</v>
      </c>
      <c r="D6632" t="s">
        <v>158</v>
      </c>
      <c r="E6632" s="13">
        <v>10</v>
      </c>
      <c r="F6632" s="12">
        <v>80.67</v>
      </c>
      <c r="G6632" t="str">
        <f>IFERROR(INDEX(tEditais[Órgão],MATCH(tItens[[#This Row],[Edital]],tEditais[Edital],0)),"")</f>
        <v>MUNICIPIO DE ACARI</v>
      </c>
      <c r="H6632" t="str">
        <f>IFERROR(INDEX(tEditais[UF],MATCH(tItens[[#This Row],[Edital]],tEditais[Edital],0)),"")</f>
        <v>RN</v>
      </c>
      <c r="I6632" s="11">
        <f>IFERROR(INDEX(tEditais[Encerramento],MATCH(tItens[[#This Row],[Edital]],tEditais[Edital],0)),"")</f>
        <v>46304.375</v>
      </c>
      <c r="J6632" t="str">
        <f>IFERROR(INDEX(tProdutos[Classe],MATCH(tItens[[#This Row],[Produto]],tProdutos[Produto],0)),"produto não cadastrado")</f>
        <v>DISPUTADO</v>
      </c>
      <c r="K6632" s="12">
        <f>tItens[[#This Row],[Qtd]]*tItens[[#This Row],[Vlr unit]]</f>
        <v>806.7</v>
      </c>
      <c r="L6632" s="6">
        <f>IFERROR(IF(INDEX(tProdutos[Desconto homologado],MATCH(tItens[[#This Row],[Produto]],tProdutos[Produto],0))="",DescontoPadrao,INDEX(tProdutos[Desconto homologado],MATCH(tItens[[#This Row],[Produto]],tProdutos[Produto],0))),DescontoPadrao)</f>
        <v>0.26086956521739102</v>
      </c>
      <c r="M6632" s="12">
        <f>tItens[[#This Row],[Valor]]*(1-tItens[[#This Row],[Desconto]])</f>
        <v>596.25652173913068</v>
      </c>
      <c r="N6632" t="str">
        <f>IFERROR(INDEX(tProdutos[Foco],MATCH(tItens[[#This Row],[Produto]],tProdutos[Produto],0)),"Não")</f>
        <v>Não</v>
      </c>
      <c r="O6632" t="str">
        <f>IFERROR(INDEX(tEditais[SRP],MATCH(tItens[[#This Row],[Edital]],tEditais[Edital],0)),"Não")</f>
        <v>Sim</v>
      </c>
      <c r="P6632" s="4">
        <f>IF(COUNTIFS(INDEX(tItens[Edital],1):tItens[[#This Row],[Edital]],tItens[[#This Row],[Edital]],INDEX(tItens[Produto],1):tItens[[#This Row],[Produto]],tItens[[#This Row],[Produto]])=1,1,0)</f>
        <v>1</v>
      </c>
    </row>
    <row r="6633" spans="1:16" x14ac:dyDescent="0.25">
      <c r="A6633" t="s">
        <v>2375</v>
      </c>
      <c r="B6633">
        <v>53</v>
      </c>
      <c r="C6633" t="s">
        <v>9320</v>
      </c>
      <c r="D6633" t="s">
        <v>371</v>
      </c>
      <c r="E6633" s="13">
        <v>2000</v>
      </c>
      <c r="F6633" s="12">
        <v>2.86</v>
      </c>
      <c r="G6633" t="str">
        <f>IFERROR(INDEX(tEditais[Órgão],MATCH(tItens[[#This Row],[Edital]],tEditais[Edital],0)),"")</f>
        <v>MUNICIPIO DE ACARI</v>
      </c>
      <c r="H6633" t="str">
        <f>IFERROR(INDEX(tEditais[UF],MATCH(tItens[[#This Row],[Edital]],tEditais[Edital],0)),"")</f>
        <v>RN</v>
      </c>
      <c r="I6633" s="11">
        <f>IFERROR(INDEX(tEditais[Encerramento],MATCH(tItens[[#This Row],[Edital]],tEditais[Edital],0)),"")</f>
        <v>46304.375</v>
      </c>
      <c r="J6633" t="str">
        <f>IFERROR(INDEX(tProdutos[Classe],MATCH(tItens[[#This Row],[Produto]],tProdutos[Produto],0)),"produto não cadastrado")</f>
        <v>FORA</v>
      </c>
      <c r="K6633" s="12">
        <f>tItens[[#This Row],[Qtd]]*tItens[[#This Row],[Vlr unit]]</f>
        <v>5720</v>
      </c>
      <c r="L6633" s="6">
        <f>IFERROR(IF(INDEX(tProdutos[Desconto homologado],MATCH(tItens[[#This Row],[Produto]],tProdutos[Produto],0))="",DescontoPadrao,INDEX(tProdutos[Desconto homologado],MATCH(tItens[[#This Row],[Produto]],tProdutos[Produto],0))),DescontoPadrao)</f>
        <v>0.217826086956522</v>
      </c>
      <c r="M6633" s="12">
        <f>tItens[[#This Row],[Valor]]*(1-tItens[[#This Row],[Desconto]])</f>
        <v>4474.0347826086936</v>
      </c>
      <c r="N6633" t="str">
        <f>IFERROR(INDEX(tProdutos[Foco],MATCH(tItens[[#This Row],[Produto]],tProdutos[Produto],0)),"Não")</f>
        <v>Não</v>
      </c>
      <c r="O6633" t="str">
        <f>IFERROR(INDEX(tEditais[SRP],MATCH(tItens[[#This Row],[Edital]],tEditais[Edital],0)),"Não")</f>
        <v>Sim</v>
      </c>
      <c r="P6633" s="4">
        <f>IF(COUNTIFS(INDEX(tItens[Edital],1):tItens[[#This Row],[Edital]],tItens[[#This Row],[Edital]],INDEX(tItens[Produto],1):tItens[[#This Row],[Produto]],tItens[[#This Row],[Produto]])=1,1,0)</f>
        <v>1</v>
      </c>
    </row>
    <row r="6634" spans="1:16" x14ac:dyDescent="0.25">
      <c r="A6634" t="s">
        <v>2380</v>
      </c>
      <c r="B6634">
        <v>20</v>
      </c>
      <c r="C6634" t="s">
        <v>9321</v>
      </c>
      <c r="D6634" t="s">
        <v>98</v>
      </c>
      <c r="E6634" s="13">
        <v>150</v>
      </c>
      <c r="F6634" s="12">
        <v>4</v>
      </c>
      <c r="G6634" t="str">
        <f>IFERROR(INDEX(tEditais[Órgão],MATCH(tItens[[#This Row],[Edital]],tEditais[Edital],0)),"")</f>
        <v>MUNICIPIO DE FRUTUOSO GOMES</v>
      </c>
      <c r="H6634" t="str">
        <f>IFERROR(INDEX(tEditais[UF],MATCH(tItens[[#This Row],[Edital]],tEditais[Edital],0)),"")</f>
        <v>RN</v>
      </c>
      <c r="I6634" s="11">
        <f>IFERROR(INDEX(tEditais[Encerramento],MATCH(tItens[[#This Row],[Edital]],tEditais[Edital],0)),"")</f>
        <v>46308.375</v>
      </c>
      <c r="J6634" t="str">
        <f>IFERROR(INDEX(tProdutos[Classe],MATCH(tItens[[#This Row],[Produto]],tProdutos[Produto],0)),"produto não cadastrado")</f>
        <v>NÚCLEO</v>
      </c>
      <c r="K6634" s="12">
        <f>tItens[[#This Row],[Qtd]]*tItens[[#This Row],[Vlr unit]]</f>
        <v>600</v>
      </c>
      <c r="L6634" s="6">
        <f>IFERROR(IF(INDEX(tProdutos[Desconto homologado],MATCH(tItens[[#This Row],[Produto]],tProdutos[Produto],0))="",DescontoPadrao,INDEX(tProdutos[Desconto homologado],MATCH(tItens[[#This Row],[Produto]],tProdutos[Produto],0))),DescontoPadrao)</f>
        <v>0.39</v>
      </c>
      <c r="M6634" s="12">
        <f>tItens[[#This Row],[Valor]]*(1-tItens[[#This Row],[Desconto]])</f>
        <v>366</v>
      </c>
      <c r="N6634" t="str">
        <f>IFERROR(INDEX(tProdutos[Foco],MATCH(tItens[[#This Row],[Produto]],tProdutos[Produto],0)),"Não")</f>
        <v>Sim</v>
      </c>
      <c r="O6634" t="str">
        <f>IFERROR(INDEX(tEditais[SRP],MATCH(tItens[[#This Row],[Edital]],tEditais[Edital],0)),"Não")</f>
        <v>Sim</v>
      </c>
      <c r="P6634" s="4">
        <f>IF(COUNTIFS(INDEX(tItens[Edital],1):tItens[[#This Row],[Edital]],tItens[[#This Row],[Edital]],INDEX(tItens[Produto],1):tItens[[#This Row],[Produto]],tItens[[#This Row],[Produto]])=1,1,0)</f>
        <v>1</v>
      </c>
    </row>
    <row r="6635" spans="1:16" x14ac:dyDescent="0.25">
      <c r="A6635" t="s">
        <v>2380</v>
      </c>
      <c r="B6635">
        <v>21</v>
      </c>
      <c r="C6635" t="s">
        <v>9322</v>
      </c>
      <c r="D6635" t="s">
        <v>98</v>
      </c>
      <c r="E6635" s="13">
        <v>150</v>
      </c>
      <c r="F6635" s="12">
        <v>4</v>
      </c>
      <c r="G6635" t="str">
        <f>IFERROR(INDEX(tEditais[Órgão],MATCH(tItens[[#This Row],[Edital]],tEditais[Edital],0)),"")</f>
        <v>MUNICIPIO DE FRUTUOSO GOMES</v>
      </c>
      <c r="H6635" t="str">
        <f>IFERROR(INDEX(tEditais[UF],MATCH(tItens[[#This Row],[Edital]],tEditais[Edital],0)),"")</f>
        <v>RN</v>
      </c>
      <c r="I6635" s="11">
        <f>IFERROR(INDEX(tEditais[Encerramento],MATCH(tItens[[#This Row],[Edital]],tEditais[Edital],0)),"")</f>
        <v>46308.375</v>
      </c>
      <c r="J6635" t="str">
        <f>IFERROR(INDEX(tProdutos[Classe],MATCH(tItens[[#This Row],[Produto]],tProdutos[Produto],0)),"produto não cadastrado")</f>
        <v>NÚCLEO</v>
      </c>
      <c r="K6635" s="12">
        <f>tItens[[#This Row],[Qtd]]*tItens[[#This Row],[Vlr unit]]</f>
        <v>600</v>
      </c>
      <c r="L6635" s="6">
        <f>IFERROR(IF(INDEX(tProdutos[Desconto homologado],MATCH(tItens[[#This Row],[Produto]],tProdutos[Produto],0))="",DescontoPadrao,INDEX(tProdutos[Desconto homologado],MATCH(tItens[[#This Row],[Produto]],tProdutos[Produto],0))),DescontoPadrao)</f>
        <v>0.39</v>
      </c>
      <c r="M6635" s="12">
        <f>tItens[[#This Row],[Valor]]*(1-tItens[[#This Row],[Desconto]])</f>
        <v>366</v>
      </c>
      <c r="N6635" t="str">
        <f>IFERROR(INDEX(tProdutos[Foco],MATCH(tItens[[#This Row],[Produto]],tProdutos[Produto],0)),"Não")</f>
        <v>Sim</v>
      </c>
      <c r="O6635" t="str">
        <f>IFERROR(INDEX(tEditais[SRP],MATCH(tItens[[#This Row],[Edital]],tEditais[Edital],0)),"Não")</f>
        <v>Sim</v>
      </c>
      <c r="P6635" s="4">
        <f>IF(COUNTIFS(INDEX(tItens[Edital],1):tItens[[#This Row],[Edital]],tItens[[#This Row],[Edital]],INDEX(tItens[Produto],1):tItens[[#This Row],[Produto]],tItens[[#This Row],[Produto]])=1,1,0)</f>
        <v>0</v>
      </c>
    </row>
    <row r="6636" spans="1:16" x14ac:dyDescent="0.25">
      <c r="A6636" t="s">
        <v>2380</v>
      </c>
      <c r="B6636">
        <v>22</v>
      </c>
      <c r="C6636" t="s">
        <v>9323</v>
      </c>
      <c r="D6636" t="s">
        <v>98</v>
      </c>
      <c r="E6636" s="13">
        <v>150</v>
      </c>
      <c r="F6636" s="12">
        <v>4</v>
      </c>
      <c r="G6636" t="str">
        <f>IFERROR(INDEX(tEditais[Órgão],MATCH(tItens[[#This Row],[Edital]],tEditais[Edital],0)),"")</f>
        <v>MUNICIPIO DE FRUTUOSO GOMES</v>
      </c>
      <c r="H6636" t="str">
        <f>IFERROR(INDEX(tEditais[UF],MATCH(tItens[[#This Row],[Edital]],tEditais[Edital],0)),"")</f>
        <v>RN</v>
      </c>
      <c r="I6636" s="11">
        <f>IFERROR(INDEX(tEditais[Encerramento],MATCH(tItens[[#This Row],[Edital]],tEditais[Edital],0)),"")</f>
        <v>46308.375</v>
      </c>
      <c r="J6636" t="str">
        <f>IFERROR(INDEX(tProdutos[Classe],MATCH(tItens[[#This Row],[Produto]],tProdutos[Produto],0)),"produto não cadastrado")</f>
        <v>NÚCLEO</v>
      </c>
      <c r="K6636" s="12">
        <f>tItens[[#This Row],[Qtd]]*tItens[[#This Row],[Vlr unit]]</f>
        <v>600</v>
      </c>
      <c r="L6636" s="6">
        <f>IFERROR(IF(INDEX(tProdutos[Desconto homologado],MATCH(tItens[[#This Row],[Produto]],tProdutos[Produto],0))="",DescontoPadrao,INDEX(tProdutos[Desconto homologado],MATCH(tItens[[#This Row],[Produto]],tProdutos[Produto],0))),DescontoPadrao)</f>
        <v>0.39</v>
      </c>
      <c r="M6636" s="12">
        <f>tItens[[#This Row],[Valor]]*(1-tItens[[#This Row],[Desconto]])</f>
        <v>366</v>
      </c>
      <c r="N6636" t="str">
        <f>IFERROR(INDEX(tProdutos[Foco],MATCH(tItens[[#This Row],[Produto]],tProdutos[Produto],0)),"Não")</f>
        <v>Sim</v>
      </c>
      <c r="O6636" t="str">
        <f>IFERROR(INDEX(tEditais[SRP],MATCH(tItens[[#This Row],[Edital]],tEditais[Edital],0)),"Não")</f>
        <v>Sim</v>
      </c>
      <c r="P6636" s="4">
        <f>IF(COUNTIFS(INDEX(tItens[Edital],1):tItens[[#This Row],[Edital]],tItens[[#This Row],[Edital]],INDEX(tItens[Produto],1):tItens[[#This Row],[Produto]],tItens[[#This Row],[Produto]])=1,1,0)</f>
        <v>0</v>
      </c>
    </row>
    <row r="6637" spans="1:16" x14ac:dyDescent="0.25">
      <c r="A6637" t="s">
        <v>2380</v>
      </c>
      <c r="B6637">
        <v>23</v>
      </c>
      <c r="C6637" t="s">
        <v>9324</v>
      </c>
      <c r="D6637" t="s">
        <v>98</v>
      </c>
      <c r="E6637" s="13">
        <v>150</v>
      </c>
      <c r="F6637" s="12">
        <v>4</v>
      </c>
      <c r="G6637" t="str">
        <f>IFERROR(INDEX(tEditais[Órgão],MATCH(tItens[[#This Row],[Edital]],tEditais[Edital],0)),"")</f>
        <v>MUNICIPIO DE FRUTUOSO GOMES</v>
      </c>
      <c r="H6637" t="str">
        <f>IFERROR(INDEX(tEditais[UF],MATCH(tItens[[#This Row],[Edital]],tEditais[Edital],0)),"")</f>
        <v>RN</v>
      </c>
      <c r="I6637" s="11">
        <f>IFERROR(INDEX(tEditais[Encerramento],MATCH(tItens[[#This Row],[Edital]],tEditais[Edital],0)),"")</f>
        <v>46308.375</v>
      </c>
      <c r="J6637" t="str">
        <f>IFERROR(INDEX(tProdutos[Classe],MATCH(tItens[[#This Row],[Produto]],tProdutos[Produto],0)),"produto não cadastrado")</f>
        <v>NÚCLEO</v>
      </c>
      <c r="K6637" s="12">
        <f>tItens[[#This Row],[Qtd]]*tItens[[#This Row],[Vlr unit]]</f>
        <v>600</v>
      </c>
      <c r="L6637" s="6">
        <f>IFERROR(IF(INDEX(tProdutos[Desconto homologado],MATCH(tItens[[#This Row],[Produto]],tProdutos[Produto],0))="",DescontoPadrao,INDEX(tProdutos[Desconto homologado],MATCH(tItens[[#This Row],[Produto]],tProdutos[Produto],0))),DescontoPadrao)</f>
        <v>0.39</v>
      </c>
      <c r="M6637" s="12">
        <f>tItens[[#This Row],[Valor]]*(1-tItens[[#This Row],[Desconto]])</f>
        <v>366</v>
      </c>
      <c r="N6637" t="str">
        <f>IFERROR(INDEX(tProdutos[Foco],MATCH(tItens[[#This Row],[Produto]],tProdutos[Produto],0)),"Não")</f>
        <v>Sim</v>
      </c>
      <c r="O6637" t="str">
        <f>IFERROR(INDEX(tEditais[SRP],MATCH(tItens[[#This Row],[Edital]],tEditais[Edital],0)),"Não")</f>
        <v>Sim</v>
      </c>
      <c r="P6637" s="4">
        <f>IF(COUNTIFS(INDEX(tItens[Edital],1):tItens[[#This Row],[Edital]],tItens[[#This Row],[Edital]],INDEX(tItens[Produto],1):tItens[[#This Row],[Produto]],tItens[[#This Row],[Produto]])=1,1,0)</f>
        <v>0</v>
      </c>
    </row>
    <row r="6638" spans="1:16" x14ac:dyDescent="0.25">
      <c r="A6638" t="s">
        <v>2380</v>
      </c>
      <c r="B6638">
        <v>24</v>
      </c>
      <c r="C6638" t="s">
        <v>9325</v>
      </c>
      <c r="D6638" t="s">
        <v>98</v>
      </c>
      <c r="E6638" s="13">
        <v>150</v>
      </c>
      <c r="F6638" s="12">
        <v>4</v>
      </c>
      <c r="G6638" t="str">
        <f>IFERROR(INDEX(tEditais[Órgão],MATCH(tItens[[#This Row],[Edital]],tEditais[Edital],0)),"")</f>
        <v>MUNICIPIO DE FRUTUOSO GOMES</v>
      </c>
      <c r="H6638" t="str">
        <f>IFERROR(INDEX(tEditais[UF],MATCH(tItens[[#This Row],[Edital]],tEditais[Edital],0)),"")</f>
        <v>RN</v>
      </c>
      <c r="I6638" s="11">
        <f>IFERROR(INDEX(tEditais[Encerramento],MATCH(tItens[[#This Row],[Edital]],tEditais[Edital],0)),"")</f>
        <v>46308.375</v>
      </c>
      <c r="J6638" t="str">
        <f>IFERROR(INDEX(tProdutos[Classe],MATCH(tItens[[#This Row],[Produto]],tProdutos[Produto],0)),"produto não cadastrado")</f>
        <v>NÚCLEO</v>
      </c>
      <c r="K6638" s="12">
        <f>tItens[[#This Row],[Qtd]]*tItens[[#This Row],[Vlr unit]]</f>
        <v>600</v>
      </c>
      <c r="L6638" s="6">
        <f>IFERROR(IF(INDEX(tProdutos[Desconto homologado],MATCH(tItens[[#This Row],[Produto]],tProdutos[Produto],0))="",DescontoPadrao,INDEX(tProdutos[Desconto homologado],MATCH(tItens[[#This Row],[Produto]],tProdutos[Produto],0))),DescontoPadrao)</f>
        <v>0.39</v>
      </c>
      <c r="M6638" s="12">
        <f>tItens[[#This Row],[Valor]]*(1-tItens[[#This Row],[Desconto]])</f>
        <v>366</v>
      </c>
      <c r="N6638" t="str">
        <f>IFERROR(INDEX(tProdutos[Foco],MATCH(tItens[[#This Row],[Produto]],tProdutos[Produto],0)),"Não")</f>
        <v>Sim</v>
      </c>
      <c r="O6638" t="str">
        <f>IFERROR(INDEX(tEditais[SRP],MATCH(tItens[[#This Row],[Edital]],tEditais[Edital],0)),"Não")</f>
        <v>Sim</v>
      </c>
      <c r="P6638" s="4">
        <f>IF(COUNTIFS(INDEX(tItens[Edital],1):tItens[[#This Row],[Edital]],tItens[[#This Row],[Edital]],INDEX(tItens[Produto],1):tItens[[#This Row],[Produto]],tItens[[#This Row],[Produto]])=1,1,0)</f>
        <v>0</v>
      </c>
    </row>
    <row r="6639" spans="1:16" x14ac:dyDescent="0.25">
      <c r="A6639" t="s">
        <v>2380</v>
      </c>
      <c r="B6639">
        <v>25</v>
      </c>
      <c r="C6639" t="s">
        <v>9326</v>
      </c>
      <c r="D6639" t="s">
        <v>98</v>
      </c>
      <c r="E6639" s="13">
        <v>150</v>
      </c>
      <c r="F6639" s="12">
        <v>4</v>
      </c>
      <c r="G6639" t="str">
        <f>IFERROR(INDEX(tEditais[Órgão],MATCH(tItens[[#This Row],[Edital]],tEditais[Edital],0)),"")</f>
        <v>MUNICIPIO DE FRUTUOSO GOMES</v>
      </c>
      <c r="H6639" t="str">
        <f>IFERROR(INDEX(tEditais[UF],MATCH(tItens[[#This Row],[Edital]],tEditais[Edital],0)),"")</f>
        <v>RN</v>
      </c>
      <c r="I6639" s="11">
        <f>IFERROR(INDEX(tEditais[Encerramento],MATCH(tItens[[#This Row],[Edital]],tEditais[Edital],0)),"")</f>
        <v>46308.375</v>
      </c>
      <c r="J6639" t="str">
        <f>IFERROR(INDEX(tProdutos[Classe],MATCH(tItens[[#This Row],[Produto]],tProdutos[Produto],0)),"produto não cadastrado")</f>
        <v>NÚCLEO</v>
      </c>
      <c r="K6639" s="12">
        <f>tItens[[#This Row],[Qtd]]*tItens[[#This Row],[Vlr unit]]</f>
        <v>600</v>
      </c>
      <c r="L6639" s="6">
        <f>IFERROR(IF(INDEX(tProdutos[Desconto homologado],MATCH(tItens[[#This Row],[Produto]],tProdutos[Produto],0))="",DescontoPadrao,INDEX(tProdutos[Desconto homologado],MATCH(tItens[[#This Row],[Produto]],tProdutos[Produto],0))),DescontoPadrao)</f>
        <v>0.39</v>
      </c>
      <c r="M6639" s="12">
        <f>tItens[[#This Row],[Valor]]*(1-tItens[[#This Row],[Desconto]])</f>
        <v>366</v>
      </c>
      <c r="N6639" t="str">
        <f>IFERROR(INDEX(tProdutos[Foco],MATCH(tItens[[#This Row],[Produto]],tProdutos[Produto],0)),"Não")</f>
        <v>Sim</v>
      </c>
      <c r="O6639" t="str">
        <f>IFERROR(INDEX(tEditais[SRP],MATCH(tItens[[#This Row],[Edital]],tEditais[Edital],0)),"Não")</f>
        <v>Sim</v>
      </c>
      <c r="P6639" s="4">
        <f>IF(COUNTIFS(INDEX(tItens[Edital],1):tItens[[#This Row],[Edital]],tItens[[#This Row],[Edital]],INDEX(tItens[Produto],1):tItens[[#This Row],[Produto]],tItens[[#This Row],[Produto]])=1,1,0)</f>
        <v>0</v>
      </c>
    </row>
    <row r="6640" spans="1:16" x14ac:dyDescent="0.25">
      <c r="A6640" t="s">
        <v>2380</v>
      </c>
      <c r="B6640">
        <v>34</v>
      </c>
      <c r="C6640" t="s">
        <v>9327</v>
      </c>
      <c r="D6640" t="s">
        <v>75</v>
      </c>
      <c r="E6640" s="13">
        <v>1000</v>
      </c>
      <c r="F6640" s="12">
        <v>2</v>
      </c>
      <c r="G6640" t="str">
        <f>IFERROR(INDEX(tEditais[Órgão],MATCH(tItens[[#This Row],[Edital]],tEditais[Edital],0)),"")</f>
        <v>MUNICIPIO DE FRUTUOSO GOMES</v>
      </c>
      <c r="H6640" t="str">
        <f>IFERROR(INDEX(tEditais[UF],MATCH(tItens[[#This Row],[Edital]],tEditais[Edital],0)),"")</f>
        <v>RN</v>
      </c>
      <c r="I6640" s="11">
        <f>IFERROR(INDEX(tEditais[Encerramento],MATCH(tItens[[#This Row],[Edital]],tEditais[Edital],0)),"")</f>
        <v>46308.375</v>
      </c>
      <c r="J6640" t="str">
        <f>IFERROR(INDEX(tProdutos[Classe],MATCH(tItens[[#This Row],[Produto]],tProdutos[Produto],0)),"produto não cadastrado")</f>
        <v>NÚCLEO</v>
      </c>
      <c r="K6640" s="12">
        <f>tItens[[#This Row],[Qtd]]*tItens[[#This Row],[Vlr unit]]</f>
        <v>2000</v>
      </c>
      <c r="L6640" s="6">
        <f>IFERROR(IF(INDEX(tProdutos[Desconto homologado],MATCH(tItens[[#This Row],[Produto]],tProdutos[Produto],0))="",DescontoPadrao,INDEX(tProdutos[Desconto homologado],MATCH(tItens[[#This Row],[Produto]],tProdutos[Produto],0))),DescontoPadrao)</f>
        <v>0.26</v>
      </c>
      <c r="M6640" s="12">
        <f>tItens[[#This Row],[Valor]]*(1-tItens[[#This Row],[Desconto]])</f>
        <v>1480</v>
      </c>
      <c r="N6640" t="str">
        <f>IFERROR(INDEX(tProdutos[Foco],MATCH(tItens[[#This Row],[Produto]],tProdutos[Produto],0)),"Não")</f>
        <v>Sim</v>
      </c>
      <c r="O6640" t="str">
        <f>IFERROR(INDEX(tEditais[SRP],MATCH(tItens[[#This Row],[Edital]],tEditais[Edital],0)),"Não")</f>
        <v>Sim</v>
      </c>
      <c r="P6640" s="4">
        <f>IF(COUNTIFS(INDEX(tItens[Edital],1):tItens[[#This Row],[Edital]],tItens[[#This Row],[Edital]],INDEX(tItens[Produto],1):tItens[[#This Row],[Produto]],tItens[[#This Row],[Produto]])=1,1,0)</f>
        <v>1</v>
      </c>
    </row>
    <row r="6641" spans="1:16" x14ac:dyDescent="0.25">
      <c r="A6641" t="s">
        <v>2380</v>
      </c>
      <c r="B6641">
        <v>35</v>
      </c>
      <c r="C6641" t="s">
        <v>9328</v>
      </c>
      <c r="D6641" t="s">
        <v>75</v>
      </c>
      <c r="E6641" s="13">
        <v>1200</v>
      </c>
      <c r="F6641" s="12">
        <v>2</v>
      </c>
      <c r="G6641" t="str">
        <f>IFERROR(INDEX(tEditais[Órgão],MATCH(tItens[[#This Row],[Edital]],tEditais[Edital],0)),"")</f>
        <v>MUNICIPIO DE FRUTUOSO GOMES</v>
      </c>
      <c r="H6641" t="str">
        <f>IFERROR(INDEX(tEditais[UF],MATCH(tItens[[#This Row],[Edital]],tEditais[Edital],0)),"")</f>
        <v>RN</v>
      </c>
      <c r="I6641" s="11">
        <f>IFERROR(INDEX(tEditais[Encerramento],MATCH(tItens[[#This Row],[Edital]],tEditais[Edital],0)),"")</f>
        <v>46308.375</v>
      </c>
      <c r="J6641" t="str">
        <f>IFERROR(INDEX(tProdutos[Classe],MATCH(tItens[[#This Row],[Produto]],tProdutos[Produto],0)),"produto não cadastrado")</f>
        <v>NÚCLEO</v>
      </c>
      <c r="K6641" s="12">
        <f>tItens[[#This Row],[Qtd]]*tItens[[#This Row],[Vlr unit]]</f>
        <v>2400</v>
      </c>
      <c r="L6641" s="6">
        <f>IFERROR(IF(INDEX(tProdutos[Desconto homologado],MATCH(tItens[[#This Row],[Produto]],tProdutos[Produto],0))="",DescontoPadrao,INDEX(tProdutos[Desconto homologado],MATCH(tItens[[#This Row],[Produto]],tProdutos[Produto],0))),DescontoPadrao)</f>
        <v>0.26</v>
      </c>
      <c r="M6641" s="12">
        <f>tItens[[#This Row],[Valor]]*(1-tItens[[#This Row],[Desconto]])</f>
        <v>1776</v>
      </c>
      <c r="N6641" t="str">
        <f>IFERROR(INDEX(tProdutos[Foco],MATCH(tItens[[#This Row],[Produto]],tProdutos[Produto],0)),"Não")</f>
        <v>Sim</v>
      </c>
      <c r="O6641" t="str">
        <f>IFERROR(INDEX(tEditais[SRP],MATCH(tItens[[#This Row],[Edital]],tEditais[Edital],0)),"Não")</f>
        <v>Sim</v>
      </c>
      <c r="P6641" s="4">
        <f>IF(COUNTIFS(INDEX(tItens[Edital],1):tItens[[#This Row],[Edital]],tItens[[#This Row],[Edital]],INDEX(tItens[Produto],1):tItens[[#This Row],[Produto]],tItens[[#This Row],[Produto]])=1,1,0)</f>
        <v>0</v>
      </c>
    </row>
    <row r="6642" spans="1:16" x14ac:dyDescent="0.25">
      <c r="A6642" t="s">
        <v>2380</v>
      </c>
      <c r="B6642">
        <v>36</v>
      </c>
      <c r="C6642" t="s">
        <v>9329</v>
      </c>
      <c r="D6642" t="s">
        <v>75</v>
      </c>
      <c r="E6642" s="13">
        <v>1200</v>
      </c>
      <c r="F6642" s="12">
        <v>2</v>
      </c>
      <c r="G6642" t="str">
        <f>IFERROR(INDEX(tEditais[Órgão],MATCH(tItens[[#This Row],[Edital]],tEditais[Edital],0)),"")</f>
        <v>MUNICIPIO DE FRUTUOSO GOMES</v>
      </c>
      <c r="H6642" t="str">
        <f>IFERROR(INDEX(tEditais[UF],MATCH(tItens[[#This Row],[Edital]],tEditais[Edital],0)),"")</f>
        <v>RN</v>
      </c>
      <c r="I6642" s="11">
        <f>IFERROR(INDEX(tEditais[Encerramento],MATCH(tItens[[#This Row],[Edital]],tEditais[Edital],0)),"")</f>
        <v>46308.375</v>
      </c>
      <c r="J6642" t="str">
        <f>IFERROR(INDEX(tProdutos[Classe],MATCH(tItens[[#This Row],[Produto]],tProdutos[Produto],0)),"produto não cadastrado")</f>
        <v>NÚCLEO</v>
      </c>
      <c r="K6642" s="12">
        <f>tItens[[#This Row],[Qtd]]*tItens[[#This Row],[Vlr unit]]</f>
        <v>2400</v>
      </c>
      <c r="L6642" s="6">
        <f>IFERROR(IF(INDEX(tProdutos[Desconto homologado],MATCH(tItens[[#This Row],[Produto]],tProdutos[Produto],0))="",DescontoPadrao,INDEX(tProdutos[Desconto homologado],MATCH(tItens[[#This Row],[Produto]],tProdutos[Produto],0))),DescontoPadrao)</f>
        <v>0.26</v>
      </c>
      <c r="M6642" s="12">
        <f>tItens[[#This Row],[Valor]]*(1-tItens[[#This Row],[Desconto]])</f>
        <v>1776</v>
      </c>
      <c r="N6642" t="str">
        <f>IFERROR(INDEX(tProdutos[Foco],MATCH(tItens[[#This Row],[Produto]],tProdutos[Produto],0)),"Não")</f>
        <v>Sim</v>
      </c>
      <c r="O6642" t="str">
        <f>IFERROR(INDEX(tEditais[SRP],MATCH(tItens[[#This Row],[Edital]],tEditais[Edital],0)),"Não")</f>
        <v>Sim</v>
      </c>
      <c r="P6642" s="4">
        <f>IF(COUNTIFS(INDEX(tItens[Edital],1):tItens[[#This Row],[Edital]],tItens[[#This Row],[Edital]],INDEX(tItens[Produto],1):tItens[[#This Row],[Produto]],tItens[[#This Row],[Produto]])=1,1,0)</f>
        <v>0</v>
      </c>
    </row>
    <row r="6643" spans="1:16" x14ac:dyDescent="0.25">
      <c r="A6643" t="s">
        <v>2380</v>
      </c>
      <c r="B6643">
        <v>38</v>
      </c>
      <c r="C6643" t="s">
        <v>9330</v>
      </c>
      <c r="D6643" t="s">
        <v>233</v>
      </c>
      <c r="E6643" s="13">
        <v>50</v>
      </c>
      <c r="F6643" s="12">
        <v>18</v>
      </c>
      <c r="G6643" t="str">
        <f>IFERROR(INDEX(tEditais[Órgão],MATCH(tItens[[#This Row],[Edital]],tEditais[Edital],0)),"")</f>
        <v>MUNICIPIO DE FRUTUOSO GOMES</v>
      </c>
      <c r="H6643" t="str">
        <f>IFERROR(INDEX(tEditais[UF],MATCH(tItens[[#This Row],[Edital]],tEditais[Edital],0)),"")</f>
        <v>RN</v>
      </c>
      <c r="I6643" s="11">
        <f>IFERROR(INDEX(tEditais[Encerramento],MATCH(tItens[[#This Row],[Edital]],tEditais[Edital],0)),"")</f>
        <v>46308.375</v>
      </c>
      <c r="J6643" t="str">
        <f>IFERROR(INDEX(tProdutos[Classe],MATCH(tItens[[#This Row],[Produto]],tProdutos[Produto],0)),"produto não cadastrado")</f>
        <v>FORA</v>
      </c>
      <c r="K6643" s="12">
        <f>tItens[[#This Row],[Qtd]]*tItens[[#This Row],[Vlr unit]]</f>
        <v>900</v>
      </c>
      <c r="L6643" s="6">
        <f>IFERROR(IF(INDEX(tProdutos[Desconto homologado],MATCH(tItens[[#This Row],[Produto]],tProdutos[Produto],0))="",DescontoPadrao,INDEX(tProdutos[Desconto homologado],MATCH(tItens[[#This Row],[Produto]],tProdutos[Produto],0))),DescontoPadrao)</f>
        <v>0.246270084162204</v>
      </c>
      <c r="M6643" s="12">
        <f>tItens[[#This Row],[Valor]]*(1-tItens[[#This Row],[Desconto]])</f>
        <v>678.35692425401646</v>
      </c>
      <c r="N6643" t="str">
        <f>IFERROR(INDEX(tProdutos[Foco],MATCH(tItens[[#This Row],[Produto]],tProdutos[Produto],0)),"Não")</f>
        <v>Não</v>
      </c>
      <c r="O6643" t="str">
        <f>IFERROR(INDEX(tEditais[SRP],MATCH(tItens[[#This Row],[Edital]],tEditais[Edital],0)),"Não")</f>
        <v>Sim</v>
      </c>
      <c r="P6643" s="4">
        <f>IF(COUNTIFS(INDEX(tItens[Edital],1):tItens[[#This Row],[Edital]],tItens[[#This Row],[Edital]],INDEX(tItens[Produto],1):tItens[[#This Row],[Produto]],tItens[[#This Row],[Produto]])=1,1,0)</f>
        <v>1</v>
      </c>
    </row>
    <row r="6644" spans="1:16" x14ac:dyDescent="0.25">
      <c r="A6644" t="s">
        <v>2380</v>
      </c>
      <c r="B6644">
        <v>106</v>
      </c>
      <c r="C6644" t="s">
        <v>9331</v>
      </c>
      <c r="D6644" t="s">
        <v>461</v>
      </c>
      <c r="E6644" s="13">
        <v>30</v>
      </c>
      <c r="F6644" s="12">
        <v>48</v>
      </c>
      <c r="G6644" t="str">
        <f>IFERROR(INDEX(tEditais[Órgão],MATCH(tItens[[#This Row],[Edital]],tEditais[Edital],0)),"")</f>
        <v>MUNICIPIO DE FRUTUOSO GOMES</v>
      </c>
      <c r="H6644" t="str">
        <f>IFERROR(INDEX(tEditais[UF],MATCH(tItens[[#This Row],[Edital]],tEditais[Edital],0)),"")</f>
        <v>RN</v>
      </c>
      <c r="I6644" s="11">
        <f>IFERROR(INDEX(tEditais[Encerramento],MATCH(tItens[[#This Row],[Edital]],tEditais[Edital],0)),"")</f>
        <v>46308.375</v>
      </c>
      <c r="J6644" t="str">
        <f>IFERROR(INDEX(tProdutos[Classe],MATCH(tItens[[#This Row],[Produto]],tProdutos[Produto],0)),"produto não cadastrado")</f>
        <v>FILA REBASE</v>
      </c>
      <c r="K6644" s="12">
        <f>tItens[[#This Row],[Qtd]]*tItens[[#This Row],[Vlr unit]]</f>
        <v>1440</v>
      </c>
      <c r="L6644" s="6">
        <f>IFERROR(IF(INDEX(tProdutos[Desconto homologado],MATCH(tItens[[#This Row],[Produto]],tProdutos[Produto],0))="",DescontoPadrao,INDEX(tProdutos[Desconto homologado],MATCH(tItens[[#This Row],[Produto]],tProdutos[Produto],0))),DescontoPadrao)</f>
        <v>0.44096385542168698</v>
      </c>
      <c r="M6644" s="12">
        <f>tItens[[#This Row],[Valor]]*(1-tItens[[#This Row],[Desconto]])</f>
        <v>805.01204819277064</v>
      </c>
      <c r="N6644" t="str">
        <f>IFERROR(INDEX(tProdutos[Foco],MATCH(tItens[[#This Row],[Produto]],tProdutos[Produto],0)),"Não")</f>
        <v>Não</v>
      </c>
      <c r="O6644" t="str">
        <f>IFERROR(INDEX(tEditais[SRP],MATCH(tItens[[#This Row],[Edital]],tEditais[Edital],0)),"Não")</f>
        <v>Sim</v>
      </c>
      <c r="P6644" s="4">
        <f>IF(COUNTIFS(INDEX(tItens[Edital],1):tItens[[#This Row],[Edital]],tItens[[#This Row],[Edital]],INDEX(tItens[Produto],1):tItens[[#This Row],[Produto]],tItens[[#This Row],[Produto]])=1,1,0)</f>
        <v>1</v>
      </c>
    </row>
    <row r="6645" spans="1:16" x14ac:dyDescent="0.25">
      <c r="A6645" t="s">
        <v>2380</v>
      </c>
      <c r="B6645">
        <v>107</v>
      </c>
      <c r="C6645" t="s">
        <v>9332</v>
      </c>
      <c r="D6645" t="s">
        <v>461</v>
      </c>
      <c r="E6645" s="13">
        <v>30</v>
      </c>
      <c r="F6645" s="12">
        <v>48</v>
      </c>
      <c r="G6645" t="str">
        <f>IFERROR(INDEX(tEditais[Órgão],MATCH(tItens[[#This Row],[Edital]],tEditais[Edital],0)),"")</f>
        <v>MUNICIPIO DE FRUTUOSO GOMES</v>
      </c>
      <c r="H6645" t="str">
        <f>IFERROR(INDEX(tEditais[UF],MATCH(tItens[[#This Row],[Edital]],tEditais[Edital],0)),"")</f>
        <v>RN</v>
      </c>
      <c r="I6645" s="11">
        <f>IFERROR(INDEX(tEditais[Encerramento],MATCH(tItens[[#This Row],[Edital]],tEditais[Edital],0)),"")</f>
        <v>46308.375</v>
      </c>
      <c r="J6645" t="str">
        <f>IFERROR(INDEX(tProdutos[Classe],MATCH(tItens[[#This Row],[Produto]],tProdutos[Produto],0)),"produto não cadastrado")</f>
        <v>FILA REBASE</v>
      </c>
      <c r="K6645" s="12">
        <f>tItens[[#This Row],[Qtd]]*tItens[[#This Row],[Vlr unit]]</f>
        <v>1440</v>
      </c>
      <c r="L6645" s="6">
        <f>IFERROR(IF(INDEX(tProdutos[Desconto homologado],MATCH(tItens[[#This Row],[Produto]],tProdutos[Produto],0))="",DescontoPadrao,INDEX(tProdutos[Desconto homologado],MATCH(tItens[[#This Row],[Produto]],tProdutos[Produto],0))),DescontoPadrao)</f>
        <v>0.44096385542168698</v>
      </c>
      <c r="M6645" s="12">
        <f>tItens[[#This Row],[Valor]]*(1-tItens[[#This Row],[Desconto]])</f>
        <v>805.01204819277064</v>
      </c>
      <c r="N6645" t="str">
        <f>IFERROR(INDEX(tProdutos[Foco],MATCH(tItens[[#This Row],[Produto]],tProdutos[Produto],0)),"Não")</f>
        <v>Não</v>
      </c>
      <c r="O6645" t="str">
        <f>IFERROR(INDEX(tEditais[SRP],MATCH(tItens[[#This Row],[Edital]],tEditais[Edital],0)),"Não")</f>
        <v>Sim</v>
      </c>
      <c r="P6645" s="4">
        <f>IF(COUNTIFS(INDEX(tItens[Edital],1):tItens[[#This Row],[Edital]],tItens[[#This Row],[Edital]],INDEX(tItens[Produto],1):tItens[[#This Row],[Produto]],tItens[[#This Row],[Produto]])=1,1,0)</f>
        <v>0</v>
      </c>
    </row>
    <row r="6646" spans="1:16" x14ac:dyDescent="0.25">
      <c r="A6646" t="s">
        <v>2380</v>
      </c>
      <c r="B6646">
        <v>108</v>
      </c>
      <c r="C6646" t="s">
        <v>9333</v>
      </c>
      <c r="D6646" t="s">
        <v>461</v>
      </c>
      <c r="E6646" s="13">
        <v>30</v>
      </c>
      <c r="F6646" s="12">
        <v>48</v>
      </c>
      <c r="G6646" t="str">
        <f>IFERROR(INDEX(tEditais[Órgão],MATCH(tItens[[#This Row],[Edital]],tEditais[Edital],0)),"")</f>
        <v>MUNICIPIO DE FRUTUOSO GOMES</v>
      </c>
      <c r="H6646" t="str">
        <f>IFERROR(INDEX(tEditais[UF],MATCH(tItens[[#This Row],[Edital]],tEditais[Edital],0)),"")</f>
        <v>RN</v>
      </c>
      <c r="I6646" s="11">
        <f>IFERROR(INDEX(tEditais[Encerramento],MATCH(tItens[[#This Row],[Edital]],tEditais[Edital],0)),"")</f>
        <v>46308.375</v>
      </c>
      <c r="J6646" t="str">
        <f>IFERROR(INDEX(tProdutos[Classe],MATCH(tItens[[#This Row],[Produto]],tProdutos[Produto],0)),"produto não cadastrado")</f>
        <v>FILA REBASE</v>
      </c>
      <c r="K6646" s="12">
        <f>tItens[[#This Row],[Qtd]]*tItens[[#This Row],[Vlr unit]]</f>
        <v>1440</v>
      </c>
      <c r="L6646" s="6">
        <f>IFERROR(IF(INDEX(tProdutos[Desconto homologado],MATCH(tItens[[#This Row],[Produto]],tProdutos[Produto],0))="",DescontoPadrao,INDEX(tProdutos[Desconto homologado],MATCH(tItens[[#This Row],[Produto]],tProdutos[Produto],0))),DescontoPadrao)</f>
        <v>0.44096385542168698</v>
      </c>
      <c r="M6646" s="12">
        <f>tItens[[#This Row],[Valor]]*(1-tItens[[#This Row],[Desconto]])</f>
        <v>805.01204819277064</v>
      </c>
      <c r="N6646" t="str">
        <f>IFERROR(INDEX(tProdutos[Foco],MATCH(tItens[[#This Row],[Produto]],tProdutos[Produto],0)),"Não")</f>
        <v>Não</v>
      </c>
      <c r="O6646" t="str">
        <f>IFERROR(INDEX(tEditais[SRP],MATCH(tItens[[#This Row],[Edital]],tEditais[Edital],0)),"Não")</f>
        <v>Sim</v>
      </c>
      <c r="P6646" s="4">
        <f>IF(COUNTIFS(INDEX(tItens[Edital],1):tItens[[#This Row],[Edital]],tItens[[#This Row],[Edital]],INDEX(tItens[Produto],1):tItens[[#This Row],[Produto]],tItens[[#This Row],[Produto]])=1,1,0)</f>
        <v>0</v>
      </c>
    </row>
    <row r="6647" spans="1:16" x14ac:dyDescent="0.25">
      <c r="A6647" t="s">
        <v>2380</v>
      </c>
      <c r="B6647">
        <v>109</v>
      </c>
      <c r="C6647" t="s">
        <v>9334</v>
      </c>
      <c r="D6647" t="s">
        <v>461</v>
      </c>
      <c r="E6647" s="13">
        <v>30</v>
      </c>
      <c r="F6647" s="12">
        <v>48</v>
      </c>
      <c r="G6647" t="str">
        <f>IFERROR(INDEX(tEditais[Órgão],MATCH(tItens[[#This Row],[Edital]],tEditais[Edital],0)),"")</f>
        <v>MUNICIPIO DE FRUTUOSO GOMES</v>
      </c>
      <c r="H6647" t="str">
        <f>IFERROR(INDEX(tEditais[UF],MATCH(tItens[[#This Row],[Edital]],tEditais[Edital],0)),"")</f>
        <v>RN</v>
      </c>
      <c r="I6647" s="11">
        <f>IFERROR(INDEX(tEditais[Encerramento],MATCH(tItens[[#This Row],[Edital]],tEditais[Edital],0)),"")</f>
        <v>46308.375</v>
      </c>
      <c r="J6647" t="str">
        <f>IFERROR(INDEX(tProdutos[Classe],MATCH(tItens[[#This Row],[Produto]],tProdutos[Produto],0)),"produto não cadastrado")</f>
        <v>FILA REBASE</v>
      </c>
      <c r="K6647" s="12">
        <f>tItens[[#This Row],[Qtd]]*tItens[[#This Row],[Vlr unit]]</f>
        <v>1440</v>
      </c>
      <c r="L6647" s="6">
        <f>IFERROR(IF(INDEX(tProdutos[Desconto homologado],MATCH(tItens[[#This Row],[Produto]],tProdutos[Produto],0))="",DescontoPadrao,INDEX(tProdutos[Desconto homologado],MATCH(tItens[[#This Row],[Produto]],tProdutos[Produto],0))),DescontoPadrao)</f>
        <v>0.44096385542168698</v>
      </c>
      <c r="M6647" s="12">
        <f>tItens[[#This Row],[Valor]]*(1-tItens[[#This Row],[Desconto]])</f>
        <v>805.01204819277064</v>
      </c>
      <c r="N6647" t="str">
        <f>IFERROR(INDEX(tProdutos[Foco],MATCH(tItens[[#This Row],[Produto]],tProdutos[Produto],0)),"Não")</f>
        <v>Não</v>
      </c>
      <c r="O6647" t="str">
        <f>IFERROR(INDEX(tEditais[SRP],MATCH(tItens[[#This Row],[Edital]],tEditais[Edital],0)),"Não")</f>
        <v>Sim</v>
      </c>
      <c r="P6647" s="4">
        <f>IF(COUNTIFS(INDEX(tItens[Edital],1):tItens[[#This Row],[Edital]],tItens[[#This Row],[Edital]],INDEX(tItens[Produto],1):tItens[[#This Row],[Produto]],tItens[[#This Row],[Produto]])=1,1,0)</f>
        <v>0</v>
      </c>
    </row>
    <row r="6648" spans="1:16" x14ac:dyDescent="0.25">
      <c r="A6648" t="s">
        <v>2380</v>
      </c>
      <c r="B6648">
        <v>110</v>
      </c>
      <c r="C6648" t="s">
        <v>9335</v>
      </c>
      <c r="D6648" t="s">
        <v>461</v>
      </c>
      <c r="E6648" s="13">
        <v>30</v>
      </c>
      <c r="F6648" s="12">
        <v>48</v>
      </c>
      <c r="G6648" t="str">
        <f>IFERROR(INDEX(tEditais[Órgão],MATCH(tItens[[#This Row],[Edital]],tEditais[Edital],0)),"")</f>
        <v>MUNICIPIO DE FRUTUOSO GOMES</v>
      </c>
      <c r="H6648" t="str">
        <f>IFERROR(INDEX(tEditais[UF],MATCH(tItens[[#This Row],[Edital]],tEditais[Edital],0)),"")</f>
        <v>RN</v>
      </c>
      <c r="I6648" s="11">
        <f>IFERROR(INDEX(tEditais[Encerramento],MATCH(tItens[[#This Row],[Edital]],tEditais[Edital],0)),"")</f>
        <v>46308.375</v>
      </c>
      <c r="J6648" t="str">
        <f>IFERROR(INDEX(tProdutos[Classe],MATCH(tItens[[#This Row],[Produto]],tProdutos[Produto],0)),"produto não cadastrado")</f>
        <v>FILA REBASE</v>
      </c>
      <c r="K6648" s="12">
        <f>tItens[[#This Row],[Qtd]]*tItens[[#This Row],[Vlr unit]]</f>
        <v>1440</v>
      </c>
      <c r="L6648" s="6">
        <f>IFERROR(IF(INDEX(tProdutos[Desconto homologado],MATCH(tItens[[#This Row],[Produto]],tProdutos[Produto],0))="",DescontoPadrao,INDEX(tProdutos[Desconto homologado],MATCH(tItens[[#This Row],[Produto]],tProdutos[Produto],0))),DescontoPadrao)</f>
        <v>0.44096385542168698</v>
      </c>
      <c r="M6648" s="12">
        <f>tItens[[#This Row],[Valor]]*(1-tItens[[#This Row],[Desconto]])</f>
        <v>805.01204819277064</v>
      </c>
      <c r="N6648" t="str">
        <f>IFERROR(INDEX(tProdutos[Foco],MATCH(tItens[[#This Row],[Produto]],tProdutos[Produto],0)),"Não")</f>
        <v>Não</v>
      </c>
      <c r="O6648" t="str">
        <f>IFERROR(INDEX(tEditais[SRP],MATCH(tItens[[#This Row],[Edital]],tEditais[Edital],0)),"Não")</f>
        <v>Sim</v>
      </c>
      <c r="P6648" s="4">
        <f>IF(COUNTIFS(INDEX(tItens[Edital],1):tItens[[#This Row],[Edital]],tItens[[#This Row],[Edital]],INDEX(tItens[Produto],1):tItens[[#This Row],[Produto]],tItens[[#This Row],[Produto]])=1,1,0)</f>
        <v>0</v>
      </c>
    </row>
    <row r="6649" spans="1:16" x14ac:dyDescent="0.25">
      <c r="A6649" t="s">
        <v>2380</v>
      </c>
      <c r="B6649">
        <v>111</v>
      </c>
      <c r="C6649" t="s">
        <v>9336</v>
      </c>
      <c r="D6649" t="s">
        <v>461</v>
      </c>
      <c r="E6649" s="13">
        <v>30</v>
      </c>
      <c r="F6649" s="12">
        <v>48</v>
      </c>
      <c r="G6649" t="str">
        <f>IFERROR(INDEX(tEditais[Órgão],MATCH(tItens[[#This Row],[Edital]],tEditais[Edital],0)),"")</f>
        <v>MUNICIPIO DE FRUTUOSO GOMES</v>
      </c>
      <c r="H6649" t="str">
        <f>IFERROR(INDEX(tEditais[UF],MATCH(tItens[[#This Row],[Edital]],tEditais[Edital],0)),"")</f>
        <v>RN</v>
      </c>
      <c r="I6649" s="11">
        <f>IFERROR(INDEX(tEditais[Encerramento],MATCH(tItens[[#This Row],[Edital]],tEditais[Edital],0)),"")</f>
        <v>46308.375</v>
      </c>
      <c r="J6649" t="str">
        <f>IFERROR(INDEX(tProdutos[Classe],MATCH(tItens[[#This Row],[Produto]],tProdutos[Produto],0)),"produto não cadastrado")</f>
        <v>FILA REBASE</v>
      </c>
      <c r="K6649" s="12">
        <f>tItens[[#This Row],[Qtd]]*tItens[[#This Row],[Vlr unit]]</f>
        <v>1440</v>
      </c>
      <c r="L6649" s="6">
        <f>IFERROR(IF(INDEX(tProdutos[Desconto homologado],MATCH(tItens[[#This Row],[Produto]],tProdutos[Produto],0))="",DescontoPadrao,INDEX(tProdutos[Desconto homologado],MATCH(tItens[[#This Row],[Produto]],tProdutos[Produto],0))),DescontoPadrao)</f>
        <v>0.44096385542168698</v>
      </c>
      <c r="M6649" s="12">
        <f>tItens[[#This Row],[Valor]]*(1-tItens[[#This Row],[Desconto]])</f>
        <v>805.01204819277064</v>
      </c>
      <c r="N6649" t="str">
        <f>IFERROR(INDEX(tProdutos[Foco],MATCH(tItens[[#This Row],[Produto]],tProdutos[Produto],0)),"Não")</f>
        <v>Não</v>
      </c>
      <c r="O6649" t="str">
        <f>IFERROR(INDEX(tEditais[SRP],MATCH(tItens[[#This Row],[Edital]],tEditais[Edital],0)),"Não")</f>
        <v>Sim</v>
      </c>
      <c r="P6649" s="4">
        <f>IF(COUNTIFS(INDEX(tItens[Edital],1):tItens[[#This Row],[Edital]],tItens[[#This Row],[Edital]],INDEX(tItens[Produto],1):tItens[[#This Row],[Produto]],tItens[[#This Row],[Produto]])=1,1,0)</f>
        <v>0</v>
      </c>
    </row>
    <row r="6650" spans="1:16" x14ac:dyDescent="0.25">
      <c r="A6650" t="s">
        <v>2380</v>
      </c>
      <c r="B6650">
        <v>112</v>
      </c>
      <c r="C6650" t="s">
        <v>9337</v>
      </c>
      <c r="D6650" t="s">
        <v>461</v>
      </c>
      <c r="E6650" s="13">
        <v>30</v>
      </c>
      <c r="F6650" s="12">
        <v>48</v>
      </c>
      <c r="G6650" t="str">
        <f>IFERROR(INDEX(tEditais[Órgão],MATCH(tItens[[#This Row],[Edital]],tEditais[Edital],0)),"")</f>
        <v>MUNICIPIO DE FRUTUOSO GOMES</v>
      </c>
      <c r="H6650" t="str">
        <f>IFERROR(INDEX(tEditais[UF],MATCH(tItens[[#This Row],[Edital]],tEditais[Edital],0)),"")</f>
        <v>RN</v>
      </c>
      <c r="I6650" s="11">
        <f>IFERROR(INDEX(tEditais[Encerramento],MATCH(tItens[[#This Row],[Edital]],tEditais[Edital],0)),"")</f>
        <v>46308.375</v>
      </c>
      <c r="J6650" t="str">
        <f>IFERROR(INDEX(tProdutos[Classe],MATCH(tItens[[#This Row],[Produto]],tProdutos[Produto],0)),"produto não cadastrado")</f>
        <v>FILA REBASE</v>
      </c>
      <c r="K6650" s="12">
        <f>tItens[[#This Row],[Qtd]]*tItens[[#This Row],[Vlr unit]]</f>
        <v>1440</v>
      </c>
      <c r="L6650" s="6">
        <f>IFERROR(IF(INDEX(tProdutos[Desconto homologado],MATCH(tItens[[#This Row],[Produto]],tProdutos[Produto],0))="",DescontoPadrao,INDEX(tProdutos[Desconto homologado],MATCH(tItens[[#This Row],[Produto]],tProdutos[Produto],0))),DescontoPadrao)</f>
        <v>0.44096385542168698</v>
      </c>
      <c r="M6650" s="12">
        <f>tItens[[#This Row],[Valor]]*(1-tItens[[#This Row],[Desconto]])</f>
        <v>805.01204819277064</v>
      </c>
      <c r="N6650" t="str">
        <f>IFERROR(INDEX(tProdutos[Foco],MATCH(tItens[[#This Row],[Produto]],tProdutos[Produto],0)),"Não")</f>
        <v>Não</v>
      </c>
      <c r="O6650" t="str">
        <f>IFERROR(INDEX(tEditais[SRP],MATCH(tItens[[#This Row],[Edital]],tEditais[Edital],0)),"Não")</f>
        <v>Sim</v>
      </c>
      <c r="P6650" s="4">
        <f>IF(COUNTIFS(INDEX(tItens[Edital],1):tItens[[#This Row],[Edital]],tItens[[#This Row],[Edital]],INDEX(tItens[Produto],1):tItens[[#This Row],[Produto]],tItens[[#This Row],[Produto]])=1,1,0)</f>
        <v>0</v>
      </c>
    </row>
    <row r="6651" spans="1:16" x14ac:dyDescent="0.25">
      <c r="A6651" t="s">
        <v>2380</v>
      </c>
      <c r="B6651">
        <v>113</v>
      </c>
      <c r="C6651" t="s">
        <v>9338</v>
      </c>
      <c r="D6651" t="s">
        <v>461</v>
      </c>
      <c r="E6651" s="13">
        <v>30</v>
      </c>
      <c r="F6651" s="12">
        <v>48</v>
      </c>
      <c r="G6651" t="str">
        <f>IFERROR(INDEX(tEditais[Órgão],MATCH(tItens[[#This Row],[Edital]],tEditais[Edital],0)),"")</f>
        <v>MUNICIPIO DE FRUTUOSO GOMES</v>
      </c>
      <c r="H6651" t="str">
        <f>IFERROR(INDEX(tEditais[UF],MATCH(tItens[[#This Row],[Edital]],tEditais[Edital],0)),"")</f>
        <v>RN</v>
      </c>
      <c r="I6651" s="11">
        <f>IFERROR(INDEX(tEditais[Encerramento],MATCH(tItens[[#This Row],[Edital]],tEditais[Edital],0)),"")</f>
        <v>46308.375</v>
      </c>
      <c r="J6651" t="str">
        <f>IFERROR(INDEX(tProdutos[Classe],MATCH(tItens[[#This Row],[Produto]],tProdutos[Produto],0)),"produto não cadastrado")</f>
        <v>FILA REBASE</v>
      </c>
      <c r="K6651" s="12">
        <f>tItens[[#This Row],[Qtd]]*tItens[[#This Row],[Vlr unit]]</f>
        <v>1440</v>
      </c>
      <c r="L6651" s="6">
        <f>IFERROR(IF(INDEX(tProdutos[Desconto homologado],MATCH(tItens[[#This Row],[Produto]],tProdutos[Produto],0))="",DescontoPadrao,INDEX(tProdutos[Desconto homologado],MATCH(tItens[[#This Row],[Produto]],tProdutos[Produto],0))),DescontoPadrao)</f>
        <v>0.44096385542168698</v>
      </c>
      <c r="M6651" s="12">
        <f>tItens[[#This Row],[Valor]]*(1-tItens[[#This Row],[Desconto]])</f>
        <v>805.01204819277064</v>
      </c>
      <c r="N6651" t="str">
        <f>IFERROR(INDEX(tProdutos[Foco],MATCH(tItens[[#This Row],[Produto]],tProdutos[Produto],0)),"Não")</f>
        <v>Não</v>
      </c>
      <c r="O6651" t="str">
        <f>IFERROR(INDEX(tEditais[SRP],MATCH(tItens[[#This Row],[Edital]],tEditais[Edital],0)),"Não")</f>
        <v>Sim</v>
      </c>
      <c r="P6651" s="4">
        <f>IF(COUNTIFS(INDEX(tItens[Edital],1):tItens[[#This Row],[Edital]],tItens[[#This Row],[Edital]],INDEX(tItens[Produto],1):tItens[[#This Row],[Produto]],tItens[[#This Row],[Produto]])=1,1,0)</f>
        <v>0</v>
      </c>
    </row>
    <row r="6652" spans="1:16" x14ac:dyDescent="0.25">
      <c r="A6652" t="s">
        <v>2380</v>
      </c>
      <c r="B6652">
        <v>114</v>
      </c>
      <c r="C6652" t="s">
        <v>9339</v>
      </c>
      <c r="D6652" t="s">
        <v>461</v>
      </c>
      <c r="E6652" s="13">
        <v>30</v>
      </c>
      <c r="F6652" s="12">
        <v>48</v>
      </c>
      <c r="G6652" t="str">
        <f>IFERROR(INDEX(tEditais[Órgão],MATCH(tItens[[#This Row],[Edital]],tEditais[Edital],0)),"")</f>
        <v>MUNICIPIO DE FRUTUOSO GOMES</v>
      </c>
      <c r="H6652" t="str">
        <f>IFERROR(INDEX(tEditais[UF],MATCH(tItens[[#This Row],[Edital]],tEditais[Edital],0)),"")</f>
        <v>RN</v>
      </c>
      <c r="I6652" s="11">
        <f>IFERROR(INDEX(tEditais[Encerramento],MATCH(tItens[[#This Row],[Edital]],tEditais[Edital],0)),"")</f>
        <v>46308.375</v>
      </c>
      <c r="J6652" t="str">
        <f>IFERROR(INDEX(tProdutos[Classe],MATCH(tItens[[#This Row],[Produto]],tProdutos[Produto],0)),"produto não cadastrado")</f>
        <v>FILA REBASE</v>
      </c>
      <c r="K6652" s="12">
        <f>tItens[[#This Row],[Qtd]]*tItens[[#This Row],[Vlr unit]]</f>
        <v>1440</v>
      </c>
      <c r="L6652" s="6">
        <f>IFERROR(IF(INDEX(tProdutos[Desconto homologado],MATCH(tItens[[#This Row],[Produto]],tProdutos[Produto],0))="",DescontoPadrao,INDEX(tProdutos[Desconto homologado],MATCH(tItens[[#This Row],[Produto]],tProdutos[Produto],0))),DescontoPadrao)</f>
        <v>0.44096385542168698</v>
      </c>
      <c r="M6652" s="12">
        <f>tItens[[#This Row],[Valor]]*(1-tItens[[#This Row],[Desconto]])</f>
        <v>805.01204819277064</v>
      </c>
      <c r="N6652" t="str">
        <f>IFERROR(INDEX(tProdutos[Foco],MATCH(tItens[[#This Row],[Produto]],tProdutos[Produto],0)),"Não")</f>
        <v>Não</v>
      </c>
      <c r="O6652" t="str">
        <f>IFERROR(INDEX(tEditais[SRP],MATCH(tItens[[#This Row],[Edital]],tEditais[Edital],0)),"Não")</f>
        <v>Sim</v>
      </c>
      <c r="P6652" s="4">
        <f>IF(COUNTIFS(INDEX(tItens[Edital],1):tItens[[#This Row],[Edital]],tItens[[#This Row],[Edital]],INDEX(tItens[Produto],1):tItens[[#This Row],[Produto]],tItens[[#This Row],[Produto]])=1,1,0)</f>
        <v>0</v>
      </c>
    </row>
    <row r="6653" spans="1:16" x14ac:dyDescent="0.25">
      <c r="A6653" t="s">
        <v>2380</v>
      </c>
      <c r="B6653">
        <v>115</v>
      </c>
      <c r="C6653" t="s">
        <v>9340</v>
      </c>
      <c r="D6653" t="s">
        <v>461</v>
      </c>
      <c r="E6653" s="13">
        <v>30</v>
      </c>
      <c r="F6653" s="12">
        <v>48</v>
      </c>
      <c r="G6653" t="str">
        <f>IFERROR(INDEX(tEditais[Órgão],MATCH(tItens[[#This Row],[Edital]],tEditais[Edital],0)),"")</f>
        <v>MUNICIPIO DE FRUTUOSO GOMES</v>
      </c>
      <c r="H6653" t="str">
        <f>IFERROR(INDEX(tEditais[UF],MATCH(tItens[[#This Row],[Edital]],tEditais[Edital],0)),"")</f>
        <v>RN</v>
      </c>
      <c r="I6653" s="11">
        <f>IFERROR(INDEX(tEditais[Encerramento],MATCH(tItens[[#This Row],[Edital]],tEditais[Edital],0)),"")</f>
        <v>46308.375</v>
      </c>
      <c r="J6653" t="str">
        <f>IFERROR(INDEX(tProdutos[Classe],MATCH(tItens[[#This Row],[Produto]],tProdutos[Produto],0)),"produto não cadastrado")</f>
        <v>FILA REBASE</v>
      </c>
      <c r="K6653" s="12">
        <f>tItens[[#This Row],[Qtd]]*tItens[[#This Row],[Vlr unit]]</f>
        <v>1440</v>
      </c>
      <c r="L6653" s="6">
        <f>IFERROR(IF(INDEX(tProdutos[Desconto homologado],MATCH(tItens[[#This Row],[Produto]],tProdutos[Produto],0))="",DescontoPadrao,INDEX(tProdutos[Desconto homologado],MATCH(tItens[[#This Row],[Produto]],tProdutos[Produto],0))),DescontoPadrao)</f>
        <v>0.44096385542168698</v>
      </c>
      <c r="M6653" s="12">
        <f>tItens[[#This Row],[Valor]]*(1-tItens[[#This Row],[Desconto]])</f>
        <v>805.01204819277064</v>
      </c>
      <c r="N6653" t="str">
        <f>IFERROR(INDEX(tProdutos[Foco],MATCH(tItens[[#This Row],[Produto]],tProdutos[Produto],0)),"Não")</f>
        <v>Não</v>
      </c>
      <c r="O6653" t="str">
        <f>IFERROR(INDEX(tEditais[SRP],MATCH(tItens[[#This Row],[Edital]],tEditais[Edital],0)),"Não")</f>
        <v>Sim</v>
      </c>
      <c r="P6653" s="4">
        <f>IF(COUNTIFS(INDEX(tItens[Edital],1):tItens[[#This Row],[Edital]],tItens[[#This Row],[Edital]],INDEX(tItens[Produto],1):tItens[[#This Row],[Produto]],tItens[[#This Row],[Produto]])=1,1,0)</f>
        <v>0</v>
      </c>
    </row>
    <row r="6654" spans="1:16" x14ac:dyDescent="0.25">
      <c r="A6654" t="s">
        <v>2380</v>
      </c>
      <c r="B6654">
        <v>116</v>
      </c>
      <c r="C6654" t="s">
        <v>9341</v>
      </c>
      <c r="D6654" t="s">
        <v>461</v>
      </c>
      <c r="E6654" s="13">
        <v>30</v>
      </c>
      <c r="F6654" s="12">
        <v>48</v>
      </c>
      <c r="G6654" t="str">
        <f>IFERROR(INDEX(tEditais[Órgão],MATCH(tItens[[#This Row],[Edital]],tEditais[Edital],0)),"")</f>
        <v>MUNICIPIO DE FRUTUOSO GOMES</v>
      </c>
      <c r="H6654" t="str">
        <f>IFERROR(INDEX(tEditais[UF],MATCH(tItens[[#This Row],[Edital]],tEditais[Edital],0)),"")</f>
        <v>RN</v>
      </c>
      <c r="I6654" s="11">
        <f>IFERROR(INDEX(tEditais[Encerramento],MATCH(tItens[[#This Row],[Edital]],tEditais[Edital],0)),"")</f>
        <v>46308.375</v>
      </c>
      <c r="J6654" t="str">
        <f>IFERROR(INDEX(tProdutos[Classe],MATCH(tItens[[#This Row],[Produto]],tProdutos[Produto],0)),"produto não cadastrado")</f>
        <v>FILA REBASE</v>
      </c>
      <c r="K6654" s="12">
        <f>tItens[[#This Row],[Qtd]]*tItens[[#This Row],[Vlr unit]]</f>
        <v>1440</v>
      </c>
      <c r="L6654" s="6">
        <f>IFERROR(IF(INDEX(tProdutos[Desconto homologado],MATCH(tItens[[#This Row],[Produto]],tProdutos[Produto],0))="",DescontoPadrao,INDEX(tProdutos[Desconto homologado],MATCH(tItens[[#This Row],[Produto]],tProdutos[Produto],0))),DescontoPadrao)</f>
        <v>0.44096385542168698</v>
      </c>
      <c r="M6654" s="12">
        <f>tItens[[#This Row],[Valor]]*(1-tItens[[#This Row],[Desconto]])</f>
        <v>805.01204819277064</v>
      </c>
      <c r="N6654" t="str">
        <f>IFERROR(INDEX(tProdutos[Foco],MATCH(tItens[[#This Row],[Produto]],tProdutos[Produto],0)),"Não")</f>
        <v>Não</v>
      </c>
      <c r="O6654" t="str">
        <f>IFERROR(INDEX(tEditais[SRP],MATCH(tItens[[#This Row],[Edital]],tEditais[Edital],0)),"Não")</f>
        <v>Sim</v>
      </c>
      <c r="P6654" s="4">
        <f>IF(COUNTIFS(INDEX(tItens[Edital],1):tItens[[#This Row],[Edital]],tItens[[#This Row],[Edital]],INDEX(tItens[Produto],1):tItens[[#This Row],[Produto]],tItens[[#This Row],[Produto]])=1,1,0)</f>
        <v>0</v>
      </c>
    </row>
    <row r="6655" spans="1:16" x14ac:dyDescent="0.25">
      <c r="A6655" t="s">
        <v>2380</v>
      </c>
      <c r="B6655">
        <v>117</v>
      </c>
      <c r="C6655" t="s">
        <v>9342</v>
      </c>
      <c r="D6655" t="s">
        <v>461</v>
      </c>
      <c r="E6655" s="13">
        <v>30</v>
      </c>
      <c r="F6655" s="12">
        <v>48</v>
      </c>
      <c r="G6655" t="str">
        <f>IFERROR(INDEX(tEditais[Órgão],MATCH(tItens[[#This Row],[Edital]],tEditais[Edital],0)),"")</f>
        <v>MUNICIPIO DE FRUTUOSO GOMES</v>
      </c>
      <c r="H6655" t="str">
        <f>IFERROR(INDEX(tEditais[UF],MATCH(tItens[[#This Row],[Edital]],tEditais[Edital],0)),"")</f>
        <v>RN</v>
      </c>
      <c r="I6655" s="11">
        <f>IFERROR(INDEX(tEditais[Encerramento],MATCH(tItens[[#This Row],[Edital]],tEditais[Edital],0)),"")</f>
        <v>46308.375</v>
      </c>
      <c r="J6655" t="str">
        <f>IFERROR(INDEX(tProdutos[Classe],MATCH(tItens[[#This Row],[Produto]],tProdutos[Produto],0)),"produto não cadastrado")</f>
        <v>FILA REBASE</v>
      </c>
      <c r="K6655" s="12">
        <f>tItens[[#This Row],[Qtd]]*tItens[[#This Row],[Vlr unit]]</f>
        <v>1440</v>
      </c>
      <c r="L6655" s="6">
        <f>IFERROR(IF(INDEX(tProdutos[Desconto homologado],MATCH(tItens[[#This Row],[Produto]],tProdutos[Produto],0))="",DescontoPadrao,INDEX(tProdutos[Desconto homologado],MATCH(tItens[[#This Row],[Produto]],tProdutos[Produto],0))),DescontoPadrao)</f>
        <v>0.44096385542168698</v>
      </c>
      <c r="M6655" s="12">
        <f>tItens[[#This Row],[Valor]]*(1-tItens[[#This Row],[Desconto]])</f>
        <v>805.01204819277064</v>
      </c>
      <c r="N6655" t="str">
        <f>IFERROR(INDEX(tProdutos[Foco],MATCH(tItens[[#This Row],[Produto]],tProdutos[Produto],0)),"Não")</f>
        <v>Não</v>
      </c>
      <c r="O6655" t="str">
        <f>IFERROR(INDEX(tEditais[SRP],MATCH(tItens[[#This Row],[Edital]],tEditais[Edital],0)),"Não")</f>
        <v>Sim</v>
      </c>
      <c r="P6655" s="4">
        <f>IF(COUNTIFS(INDEX(tItens[Edital],1):tItens[[#This Row],[Edital]],tItens[[#This Row],[Edital]],INDEX(tItens[Produto],1):tItens[[#This Row],[Produto]],tItens[[#This Row],[Produto]])=1,1,0)</f>
        <v>0</v>
      </c>
    </row>
    <row r="6656" spans="1:16" x14ac:dyDescent="0.25">
      <c r="A6656" t="s">
        <v>2380</v>
      </c>
      <c r="B6656">
        <v>118</v>
      </c>
      <c r="C6656" t="s">
        <v>9343</v>
      </c>
      <c r="D6656" t="s">
        <v>461</v>
      </c>
      <c r="E6656" s="13">
        <v>30</v>
      </c>
      <c r="F6656" s="12">
        <v>48</v>
      </c>
      <c r="G6656" t="str">
        <f>IFERROR(INDEX(tEditais[Órgão],MATCH(tItens[[#This Row],[Edital]],tEditais[Edital],0)),"")</f>
        <v>MUNICIPIO DE FRUTUOSO GOMES</v>
      </c>
      <c r="H6656" t="str">
        <f>IFERROR(INDEX(tEditais[UF],MATCH(tItens[[#This Row],[Edital]],tEditais[Edital],0)),"")</f>
        <v>RN</v>
      </c>
      <c r="I6656" s="11">
        <f>IFERROR(INDEX(tEditais[Encerramento],MATCH(tItens[[#This Row],[Edital]],tEditais[Edital],0)),"")</f>
        <v>46308.375</v>
      </c>
      <c r="J6656" t="str">
        <f>IFERROR(INDEX(tProdutos[Classe],MATCH(tItens[[#This Row],[Produto]],tProdutos[Produto],0)),"produto não cadastrado")</f>
        <v>FILA REBASE</v>
      </c>
      <c r="K6656" s="12">
        <f>tItens[[#This Row],[Qtd]]*tItens[[#This Row],[Vlr unit]]</f>
        <v>1440</v>
      </c>
      <c r="L6656" s="6">
        <f>IFERROR(IF(INDEX(tProdutos[Desconto homologado],MATCH(tItens[[#This Row],[Produto]],tProdutos[Produto],0))="",DescontoPadrao,INDEX(tProdutos[Desconto homologado],MATCH(tItens[[#This Row],[Produto]],tProdutos[Produto],0))),DescontoPadrao)</f>
        <v>0.44096385542168698</v>
      </c>
      <c r="M6656" s="12">
        <f>tItens[[#This Row],[Valor]]*(1-tItens[[#This Row],[Desconto]])</f>
        <v>805.01204819277064</v>
      </c>
      <c r="N6656" t="str">
        <f>IFERROR(INDEX(tProdutos[Foco],MATCH(tItens[[#This Row],[Produto]],tProdutos[Produto],0)),"Não")</f>
        <v>Não</v>
      </c>
      <c r="O6656" t="str">
        <f>IFERROR(INDEX(tEditais[SRP],MATCH(tItens[[#This Row],[Edital]],tEditais[Edital],0)),"Não")</f>
        <v>Sim</v>
      </c>
      <c r="P6656" s="4">
        <f>IF(COUNTIFS(INDEX(tItens[Edital],1):tItens[[#This Row],[Edital]],tItens[[#This Row],[Edital]],INDEX(tItens[Produto],1):tItens[[#This Row],[Produto]],tItens[[#This Row],[Produto]])=1,1,0)</f>
        <v>0</v>
      </c>
    </row>
    <row r="6657" spans="1:16" x14ac:dyDescent="0.25">
      <c r="A6657" t="s">
        <v>2380</v>
      </c>
      <c r="B6657">
        <v>119</v>
      </c>
      <c r="C6657" t="s">
        <v>9344</v>
      </c>
      <c r="D6657" t="s">
        <v>461</v>
      </c>
      <c r="E6657" s="13">
        <v>30</v>
      </c>
      <c r="F6657" s="12">
        <v>48</v>
      </c>
      <c r="G6657" t="str">
        <f>IFERROR(INDEX(tEditais[Órgão],MATCH(tItens[[#This Row],[Edital]],tEditais[Edital],0)),"")</f>
        <v>MUNICIPIO DE FRUTUOSO GOMES</v>
      </c>
      <c r="H6657" t="str">
        <f>IFERROR(INDEX(tEditais[UF],MATCH(tItens[[#This Row],[Edital]],tEditais[Edital],0)),"")</f>
        <v>RN</v>
      </c>
      <c r="I6657" s="11">
        <f>IFERROR(INDEX(tEditais[Encerramento],MATCH(tItens[[#This Row],[Edital]],tEditais[Edital],0)),"")</f>
        <v>46308.375</v>
      </c>
      <c r="J6657" t="str">
        <f>IFERROR(INDEX(tProdutos[Classe],MATCH(tItens[[#This Row],[Produto]],tProdutos[Produto],0)),"produto não cadastrado")</f>
        <v>FILA REBASE</v>
      </c>
      <c r="K6657" s="12">
        <f>tItens[[#This Row],[Qtd]]*tItens[[#This Row],[Vlr unit]]</f>
        <v>1440</v>
      </c>
      <c r="L6657" s="6">
        <f>IFERROR(IF(INDEX(tProdutos[Desconto homologado],MATCH(tItens[[#This Row],[Produto]],tProdutos[Produto],0))="",DescontoPadrao,INDEX(tProdutos[Desconto homologado],MATCH(tItens[[#This Row],[Produto]],tProdutos[Produto],0))),DescontoPadrao)</f>
        <v>0.44096385542168698</v>
      </c>
      <c r="M6657" s="12">
        <f>tItens[[#This Row],[Valor]]*(1-tItens[[#This Row],[Desconto]])</f>
        <v>805.01204819277064</v>
      </c>
      <c r="N6657" t="str">
        <f>IFERROR(INDEX(tProdutos[Foco],MATCH(tItens[[#This Row],[Produto]],tProdutos[Produto],0)),"Não")</f>
        <v>Não</v>
      </c>
      <c r="O6657" t="str">
        <f>IFERROR(INDEX(tEditais[SRP],MATCH(tItens[[#This Row],[Edital]],tEditais[Edital],0)),"Não")</f>
        <v>Sim</v>
      </c>
      <c r="P6657" s="4">
        <f>IF(COUNTIFS(INDEX(tItens[Edital],1):tItens[[#This Row],[Edital]],tItens[[#This Row],[Edital]],INDEX(tItens[Produto],1):tItens[[#This Row],[Produto]],tItens[[#This Row],[Produto]])=1,1,0)</f>
        <v>0</v>
      </c>
    </row>
    <row r="6658" spans="1:16" x14ac:dyDescent="0.25">
      <c r="A6658" t="s">
        <v>2380</v>
      </c>
      <c r="B6658">
        <v>120</v>
      </c>
      <c r="C6658" t="s">
        <v>9345</v>
      </c>
      <c r="D6658" t="s">
        <v>461</v>
      </c>
      <c r="E6658" s="13">
        <v>30</v>
      </c>
      <c r="F6658" s="12">
        <v>48</v>
      </c>
      <c r="G6658" t="str">
        <f>IFERROR(INDEX(tEditais[Órgão],MATCH(tItens[[#This Row],[Edital]],tEditais[Edital],0)),"")</f>
        <v>MUNICIPIO DE FRUTUOSO GOMES</v>
      </c>
      <c r="H6658" t="str">
        <f>IFERROR(INDEX(tEditais[UF],MATCH(tItens[[#This Row],[Edital]],tEditais[Edital],0)),"")</f>
        <v>RN</v>
      </c>
      <c r="I6658" s="11">
        <f>IFERROR(INDEX(tEditais[Encerramento],MATCH(tItens[[#This Row],[Edital]],tEditais[Edital],0)),"")</f>
        <v>46308.375</v>
      </c>
      <c r="J6658" t="str">
        <f>IFERROR(INDEX(tProdutos[Classe],MATCH(tItens[[#This Row],[Produto]],tProdutos[Produto],0)),"produto não cadastrado")</f>
        <v>FILA REBASE</v>
      </c>
      <c r="K6658" s="12">
        <f>tItens[[#This Row],[Qtd]]*tItens[[#This Row],[Vlr unit]]</f>
        <v>1440</v>
      </c>
      <c r="L6658" s="6">
        <f>IFERROR(IF(INDEX(tProdutos[Desconto homologado],MATCH(tItens[[#This Row],[Produto]],tProdutos[Produto],0))="",DescontoPadrao,INDEX(tProdutos[Desconto homologado],MATCH(tItens[[#This Row],[Produto]],tProdutos[Produto],0))),DescontoPadrao)</f>
        <v>0.44096385542168698</v>
      </c>
      <c r="M6658" s="12">
        <f>tItens[[#This Row],[Valor]]*(1-tItens[[#This Row],[Desconto]])</f>
        <v>805.01204819277064</v>
      </c>
      <c r="N6658" t="str">
        <f>IFERROR(INDEX(tProdutos[Foco],MATCH(tItens[[#This Row],[Produto]],tProdutos[Produto],0)),"Não")</f>
        <v>Não</v>
      </c>
      <c r="O6658" t="str">
        <f>IFERROR(INDEX(tEditais[SRP],MATCH(tItens[[#This Row],[Edital]],tEditais[Edital],0)),"Não")</f>
        <v>Sim</v>
      </c>
      <c r="P6658" s="4">
        <f>IF(COUNTIFS(INDEX(tItens[Edital],1):tItens[[#This Row],[Edital]],tItens[[#This Row],[Edital]],INDEX(tItens[Produto],1):tItens[[#This Row],[Produto]],tItens[[#This Row],[Produto]])=1,1,0)</f>
        <v>0</v>
      </c>
    </row>
    <row r="6659" spans="1:16" x14ac:dyDescent="0.25">
      <c r="A6659" t="s">
        <v>2380</v>
      </c>
      <c r="B6659">
        <v>121</v>
      </c>
      <c r="C6659" t="s">
        <v>9346</v>
      </c>
      <c r="D6659" t="s">
        <v>461</v>
      </c>
      <c r="E6659" s="13">
        <v>30</v>
      </c>
      <c r="F6659" s="12">
        <v>48</v>
      </c>
      <c r="G6659" t="str">
        <f>IFERROR(INDEX(tEditais[Órgão],MATCH(tItens[[#This Row],[Edital]],tEditais[Edital],0)),"")</f>
        <v>MUNICIPIO DE FRUTUOSO GOMES</v>
      </c>
      <c r="H6659" t="str">
        <f>IFERROR(INDEX(tEditais[UF],MATCH(tItens[[#This Row],[Edital]],tEditais[Edital],0)),"")</f>
        <v>RN</v>
      </c>
      <c r="I6659" s="11">
        <f>IFERROR(INDEX(tEditais[Encerramento],MATCH(tItens[[#This Row],[Edital]],tEditais[Edital],0)),"")</f>
        <v>46308.375</v>
      </c>
      <c r="J6659" t="str">
        <f>IFERROR(INDEX(tProdutos[Classe],MATCH(tItens[[#This Row],[Produto]],tProdutos[Produto],0)),"produto não cadastrado")</f>
        <v>FILA REBASE</v>
      </c>
      <c r="K6659" s="12">
        <f>tItens[[#This Row],[Qtd]]*tItens[[#This Row],[Vlr unit]]</f>
        <v>1440</v>
      </c>
      <c r="L6659" s="6">
        <f>IFERROR(IF(INDEX(tProdutos[Desconto homologado],MATCH(tItens[[#This Row],[Produto]],tProdutos[Produto],0))="",DescontoPadrao,INDEX(tProdutos[Desconto homologado],MATCH(tItens[[#This Row],[Produto]],tProdutos[Produto],0))),DescontoPadrao)</f>
        <v>0.44096385542168698</v>
      </c>
      <c r="M6659" s="12">
        <f>tItens[[#This Row],[Valor]]*(1-tItens[[#This Row],[Desconto]])</f>
        <v>805.01204819277064</v>
      </c>
      <c r="N6659" t="str">
        <f>IFERROR(INDEX(tProdutos[Foco],MATCH(tItens[[#This Row],[Produto]],tProdutos[Produto],0)),"Não")</f>
        <v>Não</v>
      </c>
      <c r="O6659" t="str">
        <f>IFERROR(INDEX(tEditais[SRP],MATCH(tItens[[#This Row],[Edital]],tEditais[Edital],0)),"Não")</f>
        <v>Sim</v>
      </c>
      <c r="P6659" s="4">
        <f>IF(COUNTIFS(INDEX(tItens[Edital],1):tItens[[#This Row],[Edital]],tItens[[#This Row],[Edital]],INDEX(tItens[Produto],1):tItens[[#This Row],[Produto]],tItens[[#This Row],[Produto]])=1,1,0)</f>
        <v>0</v>
      </c>
    </row>
    <row r="6660" spans="1:16" x14ac:dyDescent="0.25">
      <c r="A6660" t="s">
        <v>2380</v>
      </c>
      <c r="B6660">
        <v>122</v>
      </c>
      <c r="C6660" t="s">
        <v>9347</v>
      </c>
      <c r="D6660" t="s">
        <v>461</v>
      </c>
      <c r="E6660" s="13">
        <v>30</v>
      </c>
      <c r="F6660" s="12">
        <v>48</v>
      </c>
      <c r="G6660" t="str">
        <f>IFERROR(INDEX(tEditais[Órgão],MATCH(tItens[[#This Row],[Edital]],tEditais[Edital],0)),"")</f>
        <v>MUNICIPIO DE FRUTUOSO GOMES</v>
      </c>
      <c r="H6660" t="str">
        <f>IFERROR(INDEX(tEditais[UF],MATCH(tItens[[#This Row],[Edital]],tEditais[Edital],0)),"")</f>
        <v>RN</v>
      </c>
      <c r="I6660" s="11">
        <f>IFERROR(INDEX(tEditais[Encerramento],MATCH(tItens[[#This Row],[Edital]],tEditais[Edital],0)),"")</f>
        <v>46308.375</v>
      </c>
      <c r="J6660" t="str">
        <f>IFERROR(INDEX(tProdutos[Classe],MATCH(tItens[[#This Row],[Produto]],tProdutos[Produto],0)),"produto não cadastrado")</f>
        <v>FILA REBASE</v>
      </c>
      <c r="K6660" s="12">
        <f>tItens[[#This Row],[Qtd]]*tItens[[#This Row],[Vlr unit]]</f>
        <v>1440</v>
      </c>
      <c r="L6660" s="6">
        <f>IFERROR(IF(INDEX(tProdutos[Desconto homologado],MATCH(tItens[[#This Row],[Produto]],tProdutos[Produto],0))="",DescontoPadrao,INDEX(tProdutos[Desconto homologado],MATCH(tItens[[#This Row],[Produto]],tProdutos[Produto],0))),DescontoPadrao)</f>
        <v>0.44096385542168698</v>
      </c>
      <c r="M6660" s="12">
        <f>tItens[[#This Row],[Valor]]*(1-tItens[[#This Row],[Desconto]])</f>
        <v>805.01204819277064</v>
      </c>
      <c r="N6660" t="str">
        <f>IFERROR(INDEX(tProdutos[Foco],MATCH(tItens[[#This Row],[Produto]],tProdutos[Produto],0)),"Não")</f>
        <v>Não</v>
      </c>
      <c r="O6660" t="str">
        <f>IFERROR(INDEX(tEditais[SRP],MATCH(tItens[[#This Row],[Edital]],tEditais[Edital],0)),"Não")</f>
        <v>Sim</v>
      </c>
      <c r="P6660" s="4">
        <f>IF(COUNTIFS(INDEX(tItens[Edital],1):tItens[[#This Row],[Edital]],tItens[[#This Row],[Edital]],INDEX(tItens[Produto],1):tItens[[#This Row],[Produto]],tItens[[#This Row],[Produto]])=1,1,0)</f>
        <v>0</v>
      </c>
    </row>
    <row r="6661" spans="1:16" x14ac:dyDescent="0.25">
      <c r="A6661" t="s">
        <v>2380</v>
      </c>
      <c r="B6661">
        <v>123</v>
      </c>
      <c r="C6661" t="s">
        <v>9348</v>
      </c>
      <c r="D6661" t="s">
        <v>461</v>
      </c>
      <c r="E6661" s="13">
        <v>30</v>
      </c>
      <c r="F6661" s="12">
        <v>48</v>
      </c>
      <c r="G6661" t="str">
        <f>IFERROR(INDEX(tEditais[Órgão],MATCH(tItens[[#This Row],[Edital]],tEditais[Edital],0)),"")</f>
        <v>MUNICIPIO DE FRUTUOSO GOMES</v>
      </c>
      <c r="H6661" t="str">
        <f>IFERROR(INDEX(tEditais[UF],MATCH(tItens[[#This Row],[Edital]],tEditais[Edital],0)),"")</f>
        <v>RN</v>
      </c>
      <c r="I6661" s="11">
        <f>IFERROR(INDEX(tEditais[Encerramento],MATCH(tItens[[#This Row],[Edital]],tEditais[Edital],0)),"")</f>
        <v>46308.375</v>
      </c>
      <c r="J6661" t="str">
        <f>IFERROR(INDEX(tProdutos[Classe],MATCH(tItens[[#This Row],[Produto]],tProdutos[Produto],0)),"produto não cadastrado")</f>
        <v>FILA REBASE</v>
      </c>
      <c r="K6661" s="12">
        <f>tItens[[#This Row],[Qtd]]*tItens[[#This Row],[Vlr unit]]</f>
        <v>1440</v>
      </c>
      <c r="L6661" s="6">
        <f>IFERROR(IF(INDEX(tProdutos[Desconto homologado],MATCH(tItens[[#This Row],[Produto]],tProdutos[Produto],0))="",DescontoPadrao,INDEX(tProdutos[Desconto homologado],MATCH(tItens[[#This Row],[Produto]],tProdutos[Produto],0))),DescontoPadrao)</f>
        <v>0.44096385542168698</v>
      </c>
      <c r="M6661" s="12">
        <f>tItens[[#This Row],[Valor]]*(1-tItens[[#This Row],[Desconto]])</f>
        <v>805.01204819277064</v>
      </c>
      <c r="N6661" t="str">
        <f>IFERROR(INDEX(tProdutos[Foco],MATCH(tItens[[#This Row],[Produto]],tProdutos[Produto],0)),"Não")</f>
        <v>Não</v>
      </c>
      <c r="O6661" t="str">
        <f>IFERROR(INDEX(tEditais[SRP],MATCH(tItens[[#This Row],[Edital]],tEditais[Edital],0)),"Não")</f>
        <v>Sim</v>
      </c>
      <c r="P6661" s="4">
        <f>IF(COUNTIFS(INDEX(tItens[Edital],1):tItens[[#This Row],[Edital]],tItens[[#This Row],[Edital]],INDEX(tItens[Produto],1):tItens[[#This Row],[Produto]],tItens[[#This Row],[Produto]])=1,1,0)</f>
        <v>0</v>
      </c>
    </row>
    <row r="6662" spans="1:16" x14ac:dyDescent="0.25">
      <c r="A6662" t="s">
        <v>2380</v>
      </c>
      <c r="B6662">
        <v>124</v>
      </c>
      <c r="C6662" t="s">
        <v>9349</v>
      </c>
      <c r="D6662" t="s">
        <v>461</v>
      </c>
      <c r="E6662" s="13">
        <v>30</v>
      </c>
      <c r="F6662" s="12">
        <v>48</v>
      </c>
      <c r="G6662" t="str">
        <f>IFERROR(INDEX(tEditais[Órgão],MATCH(tItens[[#This Row],[Edital]],tEditais[Edital],0)),"")</f>
        <v>MUNICIPIO DE FRUTUOSO GOMES</v>
      </c>
      <c r="H6662" t="str">
        <f>IFERROR(INDEX(tEditais[UF],MATCH(tItens[[#This Row],[Edital]],tEditais[Edital],0)),"")</f>
        <v>RN</v>
      </c>
      <c r="I6662" s="11">
        <f>IFERROR(INDEX(tEditais[Encerramento],MATCH(tItens[[#This Row],[Edital]],tEditais[Edital],0)),"")</f>
        <v>46308.375</v>
      </c>
      <c r="J6662" t="str">
        <f>IFERROR(INDEX(tProdutos[Classe],MATCH(tItens[[#This Row],[Produto]],tProdutos[Produto],0)),"produto não cadastrado")</f>
        <v>FILA REBASE</v>
      </c>
      <c r="K6662" s="12">
        <f>tItens[[#This Row],[Qtd]]*tItens[[#This Row],[Vlr unit]]</f>
        <v>1440</v>
      </c>
      <c r="L6662" s="6">
        <f>IFERROR(IF(INDEX(tProdutos[Desconto homologado],MATCH(tItens[[#This Row],[Produto]],tProdutos[Produto],0))="",DescontoPadrao,INDEX(tProdutos[Desconto homologado],MATCH(tItens[[#This Row],[Produto]],tProdutos[Produto],0))),DescontoPadrao)</f>
        <v>0.44096385542168698</v>
      </c>
      <c r="M6662" s="12">
        <f>tItens[[#This Row],[Valor]]*(1-tItens[[#This Row],[Desconto]])</f>
        <v>805.01204819277064</v>
      </c>
      <c r="N6662" t="str">
        <f>IFERROR(INDEX(tProdutos[Foco],MATCH(tItens[[#This Row],[Produto]],tProdutos[Produto],0)),"Não")</f>
        <v>Não</v>
      </c>
      <c r="O6662" t="str">
        <f>IFERROR(INDEX(tEditais[SRP],MATCH(tItens[[#This Row],[Edital]],tEditais[Edital],0)),"Não")</f>
        <v>Sim</v>
      </c>
      <c r="P6662" s="4">
        <f>IF(COUNTIFS(INDEX(tItens[Edital],1):tItens[[#This Row],[Edital]],tItens[[#This Row],[Edital]],INDEX(tItens[Produto],1):tItens[[#This Row],[Produto]],tItens[[#This Row],[Produto]])=1,1,0)</f>
        <v>0</v>
      </c>
    </row>
    <row r="6663" spans="1:16" x14ac:dyDescent="0.25">
      <c r="A6663" t="s">
        <v>2380</v>
      </c>
      <c r="B6663">
        <v>125</v>
      </c>
      <c r="C6663" t="s">
        <v>9350</v>
      </c>
      <c r="D6663" t="s">
        <v>461</v>
      </c>
      <c r="E6663" s="13">
        <v>30</v>
      </c>
      <c r="F6663" s="12">
        <v>48</v>
      </c>
      <c r="G6663" t="str">
        <f>IFERROR(INDEX(tEditais[Órgão],MATCH(tItens[[#This Row],[Edital]],tEditais[Edital],0)),"")</f>
        <v>MUNICIPIO DE FRUTUOSO GOMES</v>
      </c>
      <c r="H6663" t="str">
        <f>IFERROR(INDEX(tEditais[UF],MATCH(tItens[[#This Row],[Edital]],tEditais[Edital],0)),"")</f>
        <v>RN</v>
      </c>
      <c r="I6663" s="11">
        <f>IFERROR(INDEX(tEditais[Encerramento],MATCH(tItens[[#This Row],[Edital]],tEditais[Edital],0)),"")</f>
        <v>46308.375</v>
      </c>
      <c r="J6663" t="str">
        <f>IFERROR(INDEX(tProdutos[Classe],MATCH(tItens[[#This Row],[Produto]],tProdutos[Produto],0)),"produto não cadastrado")</f>
        <v>FILA REBASE</v>
      </c>
      <c r="K6663" s="12">
        <f>tItens[[#This Row],[Qtd]]*tItens[[#This Row],[Vlr unit]]</f>
        <v>1440</v>
      </c>
      <c r="L6663" s="6">
        <f>IFERROR(IF(INDEX(tProdutos[Desconto homologado],MATCH(tItens[[#This Row],[Produto]],tProdutos[Produto],0))="",DescontoPadrao,INDEX(tProdutos[Desconto homologado],MATCH(tItens[[#This Row],[Produto]],tProdutos[Produto],0))),DescontoPadrao)</f>
        <v>0.44096385542168698</v>
      </c>
      <c r="M6663" s="12">
        <f>tItens[[#This Row],[Valor]]*(1-tItens[[#This Row],[Desconto]])</f>
        <v>805.01204819277064</v>
      </c>
      <c r="N6663" t="str">
        <f>IFERROR(INDEX(tProdutos[Foco],MATCH(tItens[[#This Row],[Produto]],tProdutos[Produto],0)),"Não")</f>
        <v>Não</v>
      </c>
      <c r="O6663" t="str">
        <f>IFERROR(INDEX(tEditais[SRP],MATCH(tItens[[#This Row],[Edital]],tEditais[Edital],0)),"Não")</f>
        <v>Sim</v>
      </c>
      <c r="P6663" s="4">
        <f>IF(COUNTIFS(INDEX(tItens[Edital],1):tItens[[#This Row],[Edital]],tItens[[#This Row],[Edital]],INDEX(tItens[Produto],1):tItens[[#This Row],[Produto]],tItens[[#This Row],[Produto]])=1,1,0)</f>
        <v>0</v>
      </c>
    </row>
    <row r="6664" spans="1:16" x14ac:dyDescent="0.25">
      <c r="A6664" t="s">
        <v>2380</v>
      </c>
      <c r="B6664">
        <v>126</v>
      </c>
      <c r="C6664" t="s">
        <v>9351</v>
      </c>
      <c r="D6664" t="s">
        <v>461</v>
      </c>
      <c r="E6664" s="13">
        <v>30</v>
      </c>
      <c r="F6664" s="12">
        <v>48</v>
      </c>
      <c r="G6664" t="str">
        <f>IFERROR(INDEX(tEditais[Órgão],MATCH(tItens[[#This Row],[Edital]],tEditais[Edital],0)),"")</f>
        <v>MUNICIPIO DE FRUTUOSO GOMES</v>
      </c>
      <c r="H6664" t="str">
        <f>IFERROR(INDEX(tEditais[UF],MATCH(tItens[[#This Row],[Edital]],tEditais[Edital],0)),"")</f>
        <v>RN</v>
      </c>
      <c r="I6664" s="11">
        <f>IFERROR(INDEX(tEditais[Encerramento],MATCH(tItens[[#This Row],[Edital]],tEditais[Edital],0)),"")</f>
        <v>46308.375</v>
      </c>
      <c r="J6664" t="str">
        <f>IFERROR(INDEX(tProdutos[Classe],MATCH(tItens[[#This Row],[Produto]],tProdutos[Produto],0)),"produto não cadastrado")</f>
        <v>FILA REBASE</v>
      </c>
      <c r="K6664" s="12">
        <f>tItens[[#This Row],[Qtd]]*tItens[[#This Row],[Vlr unit]]</f>
        <v>1440</v>
      </c>
      <c r="L6664" s="6">
        <f>IFERROR(IF(INDEX(tProdutos[Desconto homologado],MATCH(tItens[[#This Row],[Produto]],tProdutos[Produto],0))="",DescontoPadrao,INDEX(tProdutos[Desconto homologado],MATCH(tItens[[#This Row],[Produto]],tProdutos[Produto],0))),DescontoPadrao)</f>
        <v>0.44096385542168698</v>
      </c>
      <c r="M6664" s="12">
        <f>tItens[[#This Row],[Valor]]*(1-tItens[[#This Row],[Desconto]])</f>
        <v>805.01204819277064</v>
      </c>
      <c r="N6664" t="str">
        <f>IFERROR(INDEX(tProdutos[Foco],MATCH(tItens[[#This Row],[Produto]],tProdutos[Produto],0)),"Não")</f>
        <v>Não</v>
      </c>
      <c r="O6664" t="str">
        <f>IFERROR(INDEX(tEditais[SRP],MATCH(tItens[[#This Row],[Edital]],tEditais[Edital],0)),"Não")</f>
        <v>Sim</v>
      </c>
      <c r="P6664" s="4">
        <f>IF(COUNTIFS(INDEX(tItens[Edital],1):tItens[[#This Row],[Edital]],tItens[[#This Row],[Edital]],INDEX(tItens[Produto],1):tItens[[#This Row],[Produto]],tItens[[#This Row],[Produto]])=1,1,0)</f>
        <v>0</v>
      </c>
    </row>
    <row r="6665" spans="1:16" x14ac:dyDescent="0.25">
      <c r="A6665" t="s">
        <v>2380</v>
      </c>
      <c r="B6665">
        <v>127</v>
      </c>
      <c r="C6665" t="s">
        <v>9352</v>
      </c>
      <c r="D6665" t="s">
        <v>461</v>
      </c>
      <c r="E6665" s="13">
        <v>30</v>
      </c>
      <c r="F6665" s="12">
        <v>48</v>
      </c>
      <c r="G6665" t="str">
        <f>IFERROR(INDEX(tEditais[Órgão],MATCH(tItens[[#This Row],[Edital]],tEditais[Edital],0)),"")</f>
        <v>MUNICIPIO DE FRUTUOSO GOMES</v>
      </c>
      <c r="H6665" t="str">
        <f>IFERROR(INDEX(tEditais[UF],MATCH(tItens[[#This Row],[Edital]],tEditais[Edital],0)),"")</f>
        <v>RN</v>
      </c>
      <c r="I6665" s="11">
        <f>IFERROR(INDEX(tEditais[Encerramento],MATCH(tItens[[#This Row],[Edital]],tEditais[Edital],0)),"")</f>
        <v>46308.375</v>
      </c>
      <c r="J6665" t="str">
        <f>IFERROR(INDEX(tProdutos[Classe],MATCH(tItens[[#This Row],[Produto]],tProdutos[Produto],0)),"produto não cadastrado")</f>
        <v>FILA REBASE</v>
      </c>
      <c r="K6665" s="12">
        <f>tItens[[#This Row],[Qtd]]*tItens[[#This Row],[Vlr unit]]</f>
        <v>1440</v>
      </c>
      <c r="L6665" s="6">
        <f>IFERROR(IF(INDEX(tProdutos[Desconto homologado],MATCH(tItens[[#This Row],[Produto]],tProdutos[Produto],0))="",DescontoPadrao,INDEX(tProdutos[Desconto homologado],MATCH(tItens[[#This Row],[Produto]],tProdutos[Produto],0))),DescontoPadrao)</f>
        <v>0.44096385542168698</v>
      </c>
      <c r="M6665" s="12">
        <f>tItens[[#This Row],[Valor]]*(1-tItens[[#This Row],[Desconto]])</f>
        <v>805.01204819277064</v>
      </c>
      <c r="N6665" t="str">
        <f>IFERROR(INDEX(tProdutos[Foco],MATCH(tItens[[#This Row],[Produto]],tProdutos[Produto],0)),"Não")</f>
        <v>Não</v>
      </c>
      <c r="O6665" t="str">
        <f>IFERROR(INDEX(tEditais[SRP],MATCH(tItens[[#This Row],[Edital]],tEditais[Edital],0)),"Não")</f>
        <v>Sim</v>
      </c>
      <c r="P6665" s="4">
        <f>IF(COUNTIFS(INDEX(tItens[Edital],1):tItens[[#This Row],[Edital]],tItens[[#This Row],[Edital]],INDEX(tItens[Produto],1):tItens[[#This Row],[Produto]],tItens[[#This Row],[Produto]])=1,1,0)</f>
        <v>0</v>
      </c>
    </row>
    <row r="6666" spans="1:16" x14ac:dyDescent="0.25">
      <c r="A6666" t="s">
        <v>2380</v>
      </c>
      <c r="B6666">
        <v>128</v>
      </c>
      <c r="C6666" t="s">
        <v>9353</v>
      </c>
      <c r="D6666" t="s">
        <v>461</v>
      </c>
      <c r="E6666" s="13">
        <v>30</v>
      </c>
      <c r="F6666" s="12">
        <v>48</v>
      </c>
      <c r="G6666" t="str">
        <f>IFERROR(INDEX(tEditais[Órgão],MATCH(tItens[[#This Row],[Edital]],tEditais[Edital],0)),"")</f>
        <v>MUNICIPIO DE FRUTUOSO GOMES</v>
      </c>
      <c r="H6666" t="str">
        <f>IFERROR(INDEX(tEditais[UF],MATCH(tItens[[#This Row],[Edital]],tEditais[Edital],0)),"")</f>
        <v>RN</v>
      </c>
      <c r="I6666" s="11">
        <f>IFERROR(INDEX(tEditais[Encerramento],MATCH(tItens[[#This Row],[Edital]],tEditais[Edital],0)),"")</f>
        <v>46308.375</v>
      </c>
      <c r="J6666" t="str">
        <f>IFERROR(INDEX(tProdutos[Classe],MATCH(tItens[[#This Row],[Produto]],tProdutos[Produto],0)),"produto não cadastrado")</f>
        <v>FILA REBASE</v>
      </c>
      <c r="K6666" s="12">
        <f>tItens[[#This Row],[Qtd]]*tItens[[#This Row],[Vlr unit]]</f>
        <v>1440</v>
      </c>
      <c r="L6666" s="6">
        <f>IFERROR(IF(INDEX(tProdutos[Desconto homologado],MATCH(tItens[[#This Row],[Produto]],tProdutos[Produto],0))="",DescontoPadrao,INDEX(tProdutos[Desconto homologado],MATCH(tItens[[#This Row],[Produto]],tProdutos[Produto],0))),DescontoPadrao)</f>
        <v>0.44096385542168698</v>
      </c>
      <c r="M6666" s="12">
        <f>tItens[[#This Row],[Valor]]*(1-tItens[[#This Row],[Desconto]])</f>
        <v>805.01204819277064</v>
      </c>
      <c r="N6666" t="str">
        <f>IFERROR(INDEX(tProdutos[Foco],MATCH(tItens[[#This Row],[Produto]],tProdutos[Produto],0)),"Não")</f>
        <v>Não</v>
      </c>
      <c r="O6666" t="str">
        <f>IFERROR(INDEX(tEditais[SRP],MATCH(tItens[[#This Row],[Edital]],tEditais[Edital],0)),"Não")</f>
        <v>Sim</v>
      </c>
      <c r="P6666" s="4">
        <f>IF(COUNTIFS(INDEX(tItens[Edital],1):tItens[[#This Row],[Edital]],tItens[[#This Row],[Edital]],INDEX(tItens[Produto],1):tItens[[#This Row],[Produto]],tItens[[#This Row],[Produto]])=1,1,0)</f>
        <v>0</v>
      </c>
    </row>
    <row r="6667" spans="1:16" x14ac:dyDescent="0.25">
      <c r="A6667" t="s">
        <v>2380</v>
      </c>
      <c r="B6667">
        <v>129</v>
      </c>
      <c r="C6667" t="s">
        <v>9354</v>
      </c>
      <c r="D6667" t="s">
        <v>461</v>
      </c>
      <c r="E6667" s="13">
        <v>30</v>
      </c>
      <c r="F6667" s="12">
        <v>48</v>
      </c>
      <c r="G6667" t="str">
        <f>IFERROR(INDEX(tEditais[Órgão],MATCH(tItens[[#This Row],[Edital]],tEditais[Edital],0)),"")</f>
        <v>MUNICIPIO DE FRUTUOSO GOMES</v>
      </c>
      <c r="H6667" t="str">
        <f>IFERROR(INDEX(tEditais[UF],MATCH(tItens[[#This Row],[Edital]],tEditais[Edital],0)),"")</f>
        <v>RN</v>
      </c>
      <c r="I6667" s="11">
        <f>IFERROR(INDEX(tEditais[Encerramento],MATCH(tItens[[#This Row],[Edital]],tEditais[Edital],0)),"")</f>
        <v>46308.375</v>
      </c>
      <c r="J6667" t="str">
        <f>IFERROR(INDEX(tProdutos[Classe],MATCH(tItens[[#This Row],[Produto]],tProdutos[Produto],0)),"produto não cadastrado")</f>
        <v>FILA REBASE</v>
      </c>
      <c r="K6667" s="12">
        <f>tItens[[#This Row],[Qtd]]*tItens[[#This Row],[Vlr unit]]</f>
        <v>1440</v>
      </c>
      <c r="L6667" s="6">
        <f>IFERROR(IF(INDEX(tProdutos[Desconto homologado],MATCH(tItens[[#This Row],[Produto]],tProdutos[Produto],0))="",DescontoPadrao,INDEX(tProdutos[Desconto homologado],MATCH(tItens[[#This Row],[Produto]],tProdutos[Produto],0))),DescontoPadrao)</f>
        <v>0.44096385542168698</v>
      </c>
      <c r="M6667" s="12">
        <f>tItens[[#This Row],[Valor]]*(1-tItens[[#This Row],[Desconto]])</f>
        <v>805.01204819277064</v>
      </c>
      <c r="N6667" t="str">
        <f>IFERROR(INDEX(tProdutos[Foco],MATCH(tItens[[#This Row],[Produto]],tProdutos[Produto],0)),"Não")</f>
        <v>Não</v>
      </c>
      <c r="O6667" t="str">
        <f>IFERROR(INDEX(tEditais[SRP],MATCH(tItens[[#This Row],[Edital]],tEditais[Edital],0)),"Não")</f>
        <v>Sim</v>
      </c>
      <c r="P6667" s="4">
        <f>IF(COUNTIFS(INDEX(tItens[Edital],1):tItens[[#This Row],[Edital]],tItens[[#This Row],[Edital]],INDEX(tItens[Produto],1):tItens[[#This Row],[Produto]],tItens[[#This Row],[Produto]])=1,1,0)</f>
        <v>0</v>
      </c>
    </row>
    <row r="6668" spans="1:16" x14ac:dyDescent="0.25">
      <c r="A6668" t="s">
        <v>2380</v>
      </c>
      <c r="B6668">
        <v>130</v>
      </c>
      <c r="C6668" t="s">
        <v>9355</v>
      </c>
      <c r="D6668" t="s">
        <v>461</v>
      </c>
      <c r="E6668" s="13">
        <v>30</v>
      </c>
      <c r="F6668" s="12">
        <v>48</v>
      </c>
      <c r="G6668" t="str">
        <f>IFERROR(INDEX(tEditais[Órgão],MATCH(tItens[[#This Row],[Edital]],tEditais[Edital],0)),"")</f>
        <v>MUNICIPIO DE FRUTUOSO GOMES</v>
      </c>
      <c r="H6668" t="str">
        <f>IFERROR(INDEX(tEditais[UF],MATCH(tItens[[#This Row],[Edital]],tEditais[Edital],0)),"")</f>
        <v>RN</v>
      </c>
      <c r="I6668" s="11">
        <f>IFERROR(INDEX(tEditais[Encerramento],MATCH(tItens[[#This Row],[Edital]],tEditais[Edital],0)),"")</f>
        <v>46308.375</v>
      </c>
      <c r="J6668" t="str">
        <f>IFERROR(INDEX(tProdutos[Classe],MATCH(tItens[[#This Row],[Produto]],tProdutos[Produto],0)),"produto não cadastrado")</f>
        <v>FILA REBASE</v>
      </c>
      <c r="K6668" s="12">
        <f>tItens[[#This Row],[Qtd]]*tItens[[#This Row],[Vlr unit]]</f>
        <v>1440</v>
      </c>
      <c r="L6668" s="6">
        <f>IFERROR(IF(INDEX(tProdutos[Desconto homologado],MATCH(tItens[[#This Row],[Produto]],tProdutos[Produto],0))="",DescontoPadrao,INDEX(tProdutos[Desconto homologado],MATCH(tItens[[#This Row],[Produto]],tProdutos[Produto],0))),DescontoPadrao)</f>
        <v>0.44096385542168698</v>
      </c>
      <c r="M6668" s="12">
        <f>tItens[[#This Row],[Valor]]*(1-tItens[[#This Row],[Desconto]])</f>
        <v>805.01204819277064</v>
      </c>
      <c r="N6668" t="str">
        <f>IFERROR(INDEX(tProdutos[Foco],MATCH(tItens[[#This Row],[Produto]],tProdutos[Produto],0)),"Não")</f>
        <v>Não</v>
      </c>
      <c r="O6668" t="str">
        <f>IFERROR(INDEX(tEditais[SRP],MATCH(tItens[[#This Row],[Edital]],tEditais[Edital],0)),"Não")</f>
        <v>Sim</v>
      </c>
      <c r="P6668" s="4">
        <f>IF(COUNTIFS(INDEX(tItens[Edital],1):tItens[[#This Row],[Edital]],tItens[[#This Row],[Edital]],INDEX(tItens[Produto],1):tItens[[#This Row],[Produto]],tItens[[#This Row],[Produto]])=1,1,0)</f>
        <v>0</v>
      </c>
    </row>
    <row r="6669" spans="1:16" x14ac:dyDescent="0.25">
      <c r="A6669" t="s">
        <v>2380</v>
      </c>
      <c r="B6669">
        <v>131</v>
      </c>
      <c r="C6669" t="s">
        <v>9356</v>
      </c>
      <c r="D6669" t="s">
        <v>461</v>
      </c>
      <c r="E6669" s="13">
        <v>30</v>
      </c>
      <c r="F6669" s="12">
        <v>48</v>
      </c>
      <c r="G6669" t="str">
        <f>IFERROR(INDEX(tEditais[Órgão],MATCH(tItens[[#This Row],[Edital]],tEditais[Edital],0)),"")</f>
        <v>MUNICIPIO DE FRUTUOSO GOMES</v>
      </c>
      <c r="H6669" t="str">
        <f>IFERROR(INDEX(tEditais[UF],MATCH(tItens[[#This Row],[Edital]],tEditais[Edital],0)),"")</f>
        <v>RN</v>
      </c>
      <c r="I6669" s="11">
        <f>IFERROR(INDEX(tEditais[Encerramento],MATCH(tItens[[#This Row],[Edital]],tEditais[Edital],0)),"")</f>
        <v>46308.375</v>
      </c>
      <c r="J6669" t="str">
        <f>IFERROR(INDEX(tProdutos[Classe],MATCH(tItens[[#This Row],[Produto]],tProdutos[Produto],0)),"produto não cadastrado")</f>
        <v>FILA REBASE</v>
      </c>
      <c r="K6669" s="12">
        <f>tItens[[#This Row],[Qtd]]*tItens[[#This Row],[Vlr unit]]</f>
        <v>1440</v>
      </c>
      <c r="L6669" s="6">
        <f>IFERROR(IF(INDEX(tProdutos[Desconto homologado],MATCH(tItens[[#This Row],[Produto]],tProdutos[Produto],0))="",DescontoPadrao,INDEX(tProdutos[Desconto homologado],MATCH(tItens[[#This Row],[Produto]],tProdutos[Produto],0))),DescontoPadrao)</f>
        <v>0.44096385542168698</v>
      </c>
      <c r="M6669" s="12">
        <f>tItens[[#This Row],[Valor]]*(1-tItens[[#This Row],[Desconto]])</f>
        <v>805.01204819277064</v>
      </c>
      <c r="N6669" t="str">
        <f>IFERROR(INDEX(tProdutos[Foco],MATCH(tItens[[#This Row],[Produto]],tProdutos[Produto],0)),"Não")</f>
        <v>Não</v>
      </c>
      <c r="O6669" t="str">
        <f>IFERROR(INDEX(tEditais[SRP],MATCH(tItens[[#This Row],[Edital]],tEditais[Edital],0)),"Não")</f>
        <v>Sim</v>
      </c>
      <c r="P6669" s="4">
        <f>IF(COUNTIFS(INDEX(tItens[Edital],1):tItens[[#This Row],[Edital]],tItens[[#This Row],[Edital]],INDEX(tItens[Produto],1):tItens[[#This Row],[Produto]],tItens[[#This Row],[Produto]])=1,1,0)</f>
        <v>0</v>
      </c>
    </row>
    <row r="6670" spans="1:16" x14ac:dyDescent="0.25">
      <c r="A6670" t="s">
        <v>2380</v>
      </c>
      <c r="B6670">
        <v>132</v>
      </c>
      <c r="C6670" t="s">
        <v>9357</v>
      </c>
      <c r="D6670" t="s">
        <v>461</v>
      </c>
      <c r="E6670" s="13">
        <v>30</v>
      </c>
      <c r="F6670" s="12">
        <v>48</v>
      </c>
      <c r="G6670" t="str">
        <f>IFERROR(INDEX(tEditais[Órgão],MATCH(tItens[[#This Row],[Edital]],tEditais[Edital],0)),"")</f>
        <v>MUNICIPIO DE FRUTUOSO GOMES</v>
      </c>
      <c r="H6670" t="str">
        <f>IFERROR(INDEX(tEditais[UF],MATCH(tItens[[#This Row],[Edital]],tEditais[Edital],0)),"")</f>
        <v>RN</v>
      </c>
      <c r="I6670" s="11">
        <f>IFERROR(INDEX(tEditais[Encerramento],MATCH(tItens[[#This Row],[Edital]],tEditais[Edital],0)),"")</f>
        <v>46308.375</v>
      </c>
      <c r="J6670" t="str">
        <f>IFERROR(INDEX(tProdutos[Classe],MATCH(tItens[[#This Row],[Produto]],tProdutos[Produto],0)),"produto não cadastrado")</f>
        <v>FILA REBASE</v>
      </c>
      <c r="K6670" s="12">
        <f>tItens[[#This Row],[Qtd]]*tItens[[#This Row],[Vlr unit]]</f>
        <v>1440</v>
      </c>
      <c r="L6670" s="6">
        <f>IFERROR(IF(INDEX(tProdutos[Desconto homologado],MATCH(tItens[[#This Row],[Produto]],tProdutos[Produto],0))="",DescontoPadrao,INDEX(tProdutos[Desconto homologado],MATCH(tItens[[#This Row],[Produto]],tProdutos[Produto],0))),DescontoPadrao)</f>
        <v>0.44096385542168698</v>
      </c>
      <c r="M6670" s="12">
        <f>tItens[[#This Row],[Valor]]*(1-tItens[[#This Row],[Desconto]])</f>
        <v>805.01204819277064</v>
      </c>
      <c r="N6670" t="str">
        <f>IFERROR(INDEX(tProdutos[Foco],MATCH(tItens[[#This Row],[Produto]],tProdutos[Produto],0)),"Não")</f>
        <v>Não</v>
      </c>
      <c r="O6670" t="str">
        <f>IFERROR(INDEX(tEditais[SRP],MATCH(tItens[[#This Row],[Edital]],tEditais[Edital],0)),"Não")</f>
        <v>Sim</v>
      </c>
      <c r="P6670" s="4">
        <f>IF(COUNTIFS(INDEX(tItens[Edital],1):tItens[[#This Row],[Edital]],tItens[[#This Row],[Edital]],INDEX(tItens[Produto],1):tItens[[#This Row],[Produto]],tItens[[#This Row],[Produto]])=1,1,0)</f>
        <v>0</v>
      </c>
    </row>
    <row r="6671" spans="1:16" x14ac:dyDescent="0.25">
      <c r="A6671" t="s">
        <v>2380</v>
      </c>
      <c r="B6671">
        <v>133</v>
      </c>
      <c r="C6671" t="s">
        <v>9358</v>
      </c>
      <c r="D6671" t="s">
        <v>461</v>
      </c>
      <c r="E6671" s="13">
        <v>30</v>
      </c>
      <c r="F6671" s="12">
        <v>48</v>
      </c>
      <c r="G6671" t="str">
        <f>IFERROR(INDEX(tEditais[Órgão],MATCH(tItens[[#This Row],[Edital]],tEditais[Edital],0)),"")</f>
        <v>MUNICIPIO DE FRUTUOSO GOMES</v>
      </c>
      <c r="H6671" t="str">
        <f>IFERROR(INDEX(tEditais[UF],MATCH(tItens[[#This Row],[Edital]],tEditais[Edital],0)),"")</f>
        <v>RN</v>
      </c>
      <c r="I6671" s="11">
        <f>IFERROR(INDEX(tEditais[Encerramento],MATCH(tItens[[#This Row],[Edital]],tEditais[Edital],0)),"")</f>
        <v>46308.375</v>
      </c>
      <c r="J6671" t="str">
        <f>IFERROR(INDEX(tProdutos[Classe],MATCH(tItens[[#This Row],[Produto]],tProdutos[Produto],0)),"produto não cadastrado")</f>
        <v>FILA REBASE</v>
      </c>
      <c r="K6671" s="12">
        <f>tItens[[#This Row],[Qtd]]*tItens[[#This Row],[Vlr unit]]</f>
        <v>1440</v>
      </c>
      <c r="L6671" s="6">
        <f>IFERROR(IF(INDEX(tProdutos[Desconto homologado],MATCH(tItens[[#This Row],[Produto]],tProdutos[Produto],0))="",DescontoPadrao,INDEX(tProdutos[Desconto homologado],MATCH(tItens[[#This Row],[Produto]],tProdutos[Produto],0))),DescontoPadrao)</f>
        <v>0.44096385542168698</v>
      </c>
      <c r="M6671" s="12">
        <f>tItens[[#This Row],[Valor]]*(1-tItens[[#This Row],[Desconto]])</f>
        <v>805.01204819277064</v>
      </c>
      <c r="N6671" t="str">
        <f>IFERROR(INDEX(tProdutos[Foco],MATCH(tItens[[#This Row],[Produto]],tProdutos[Produto],0)),"Não")</f>
        <v>Não</v>
      </c>
      <c r="O6671" t="str">
        <f>IFERROR(INDEX(tEditais[SRP],MATCH(tItens[[#This Row],[Edital]],tEditais[Edital],0)),"Não")</f>
        <v>Sim</v>
      </c>
      <c r="P6671" s="4">
        <f>IF(COUNTIFS(INDEX(tItens[Edital],1):tItens[[#This Row],[Edital]],tItens[[#This Row],[Edital]],INDEX(tItens[Produto],1):tItens[[#This Row],[Produto]],tItens[[#This Row],[Produto]])=1,1,0)</f>
        <v>0</v>
      </c>
    </row>
    <row r="6672" spans="1:16" x14ac:dyDescent="0.25">
      <c r="A6672" t="s">
        <v>2380</v>
      </c>
      <c r="B6672">
        <v>134</v>
      </c>
      <c r="C6672" t="s">
        <v>9359</v>
      </c>
      <c r="D6672" t="s">
        <v>461</v>
      </c>
      <c r="E6672" s="13">
        <v>30</v>
      </c>
      <c r="F6672" s="12">
        <v>48</v>
      </c>
      <c r="G6672" t="str">
        <f>IFERROR(INDEX(tEditais[Órgão],MATCH(tItens[[#This Row],[Edital]],tEditais[Edital],0)),"")</f>
        <v>MUNICIPIO DE FRUTUOSO GOMES</v>
      </c>
      <c r="H6672" t="str">
        <f>IFERROR(INDEX(tEditais[UF],MATCH(tItens[[#This Row],[Edital]],tEditais[Edital],0)),"")</f>
        <v>RN</v>
      </c>
      <c r="I6672" s="11">
        <f>IFERROR(INDEX(tEditais[Encerramento],MATCH(tItens[[#This Row],[Edital]],tEditais[Edital],0)),"")</f>
        <v>46308.375</v>
      </c>
      <c r="J6672" t="str">
        <f>IFERROR(INDEX(tProdutos[Classe],MATCH(tItens[[#This Row],[Produto]],tProdutos[Produto],0)),"produto não cadastrado")</f>
        <v>FILA REBASE</v>
      </c>
      <c r="K6672" s="12">
        <f>tItens[[#This Row],[Qtd]]*tItens[[#This Row],[Vlr unit]]</f>
        <v>1440</v>
      </c>
      <c r="L6672" s="6">
        <f>IFERROR(IF(INDEX(tProdutos[Desconto homologado],MATCH(tItens[[#This Row],[Produto]],tProdutos[Produto],0))="",DescontoPadrao,INDEX(tProdutos[Desconto homologado],MATCH(tItens[[#This Row],[Produto]],tProdutos[Produto],0))),DescontoPadrao)</f>
        <v>0.44096385542168698</v>
      </c>
      <c r="M6672" s="12">
        <f>tItens[[#This Row],[Valor]]*(1-tItens[[#This Row],[Desconto]])</f>
        <v>805.01204819277064</v>
      </c>
      <c r="N6672" t="str">
        <f>IFERROR(INDEX(tProdutos[Foco],MATCH(tItens[[#This Row],[Produto]],tProdutos[Produto],0)),"Não")</f>
        <v>Não</v>
      </c>
      <c r="O6672" t="str">
        <f>IFERROR(INDEX(tEditais[SRP],MATCH(tItens[[#This Row],[Edital]],tEditais[Edital],0)),"Não")</f>
        <v>Sim</v>
      </c>
      <c r="P6672" s="4">
        <f>IF(COUNTIFS(INDEX(tItens[Edital],1):tItens[[#This Row],[Edital]],tItens[[#This Row],[Edital]],INDEX(tItens[Produto],1):tItens[[#This Row],[Produto]],tItens[[#This Row],[Produto]])=1,1,0)</f>
        <v>0</v>
      </c>
    </row>
    <row r="6673" spans="1:16" x14ac:dyDescent="0.25">
      <c r="A6673" t="s">
        <v>2380</v>
      </c>
      <c r="B6673">
        <v>135</v>
      </c>
      <c r="C6673" t="s">
        <v>9360</v>
      </c>
      <c r="D6673" t="s">
        <v>461</v>
      </c>
      <c r="E6673" s="13">
        <v>30</v>
      </c>
      <c r="F6673" s="12">
        <v>48</v>
      </c>
      <c r="G6673" t="str">
        <f>IFERROR(INDEX(tEditais[Órgão],MATCH(tItens[[#This Row],[Edital]],tEditais[Edital],0)),"")</f>
        <v>MUNICIPIO DE FRUTUOSO GOMES</v>
      </c>
      <c r="H6673" t="str">
        <f>IFERROR(INDEX(tEditais[UF],MATCH(tItens[[#This Row],[Edital]],tEditais[Edital],0)),"")</f>
        <v>RN</v>
      </c>
      <c r="I6673" s="11">
        <f>IFERROR(INDEX(tEditais[Encerramento],MATCH(tItens[[#This Row],[Edital]],tEditais[Edital],0)),"")</f>
        <v>46308.375</v>
      </c>
      <c r="J6673" t="str">
        <f>IFERROR(INDEX(tProdutos[Classe],MATCH(tItens[[#This Row],[Produto]],tProdutos[Produto],0)),"produto não cadastrado")</f>
        <v>FILA REBASE</v>
      </c>
      <c r="K6673" s="12">
        <f>tItens[[#This Row],[Qtd]]*tItens[[#This Row],[Vlr unit]]</f>
        <v>1440</v>
      </c>
      <c r="L6673" s="6">
        <f>IFERROR(IF(INDEX(tProdutos[Desconto homologado],MATCH(tItens[[#This Row],[Produto]],tProdutos[Produto],0))="",DescontoPadrao,INDEX(tProdutos[Desconto homologado],MATCH(tItens[[#This Row],[Produto]],tProdutos[Produto],0))),DescontoPadrao)</f>
        <v>0.44096385542168698</v>
      </c>
      <c r="M6673" s="12">
        <f>tItens[[#This Row],[Valor]]*(1-tItens[[#This Row],[Desconto]])</f>
        <v>805.01204819277064</v>
      </c>
      <c r="N6673" t="str">
        <f>IFERROR(INDEX(tProdutos[Foco],MATCH(tItens[[#This Row],[Produto]],tProdutos[Produto],0)),"Não")</f>
        <v>Não</v>
      </c>
      <c r="O6673" t="str">
        <f>IFERROR(INDEX(tEditais[SRP],MATCH(tItens[[#This Row],[Edital]],tEditais[Edital],0)),"Não")</f>
        <v>Sim</v>
      </c>
      <c r="P6673" s="4">
        <f>IF(COUNTIFS(INDEX(tItens[Edital],1):tItens[[#This Row],[Edital]],tItens[[#This Row],[Edital]],INDEX(tItens[Produto],1):tItens[[#This Row],[Produto]],tItens[[#This Row],[Produto]])=1,1,0)</f>
        <v>0</v>
      </c>
    </row>
    <row r="6674" spans="1:16" x14ac:dyDescent="0.25">
      <c r="A6674" t="s">
        <v>2380</v>
      </c>
      <c r="B6674">
        <v>136</v>
      </c>
      <c r="C6674" t="s">
        <v>9361</v>
      </c>
      <c r="D6674" t="s">
        <v>461</v>
      </c>
      <c r="E6674" s="13">
        <v>30</v>
      </c>
      <c r="F6674" s="12">
        <v>48</v>
      </c>
      <c r="G6674" t="str">
        <f>IFERROR(INDEX(tEditais[Órgão],MATCH(tItens[[#This Row],[Edital]],tEditais[Edital],0)),"")</f>
        <v>MUNICIPIO DE FRUTUOSO GOMES</v>
      </c>
      <c r="H6674" t="str">
        <f>IFERROR(INDEX(tEditais[UF],MATCH(tItens[[#This Row],[Edital]],tEditais[Edital],0)),"")</f>
        <v>RN</v>
      </c>
      <c r="I6674" s="11">
        <f>IFERROR(INDEX(tEditais[Encerramento],MATCH(tItens[[#This Row],[Edital]],tEditais[Edital],0)),"")</f>
        <v>46308.375</v>
      </c>
      <c r="J6674" t="str">
        <f>IFERROR(INDEX(tProdutos[Classe],MATCH(tItens[[#This Row],[Produto]],tProdutos[Produto],0)),"produto não cadastrado")</f>
        <v>FILA REBASE</v>
      </c>
      <c r="K6674" s="12">
        <f>tItens[[#This Row],[Qtd]]*tItens[[#This Row],[Vlr unit]]</f>
        <v>1440</v>
      </c>
      <c r="L6674" s="6">
        <f>IFERROR(IF(INDEX(tProdutos[Desconto homologado],MATCH(tItens[[#This Row],[Produto]],tProdutos[Produto],0))="",DescontoPadrao,INDEX(tProdutos[Desconto homologado],MATCH(tItens[[#This Row],[Produto]],tProdutos[Produto],0))),DescontoPadrao)</f>
        <v>0.44096385542168698</v>
      </c>
      <c r="M6674" s="12">
        <f>tItens[[#This Row],[Valor]]*(1-tItens[[#This Row],[Desconto]])</f>
        <v>805.01204819277064</v>
      </c>
      <c r="N6674" t="str">
        <f>IFERROR(INDEX(tProdutos[Foco],MATCH(tItens[[#This Row],[Produto]],tProdutos[Produto],0)),"Não")</f>
        <v>Não</v>
      </c>
      <c r="O6674" t="str">
        <f>IFERROR(INDEX(tEditais[SRP],MATCH(tItens[[#This Row],[Edital]],tEditais[Edital],0)),"Não")</f>
        <v>Sim</v>
      </c>
      <c r="P6674" s="4">
        <f>IF(COUNTIFS(INDEX(tItens[Edital],1):tItens[[#This Row],[Edital]],tItens[[#This Row],[Edital]],INDEX(tItens[Produto],1):tItens[[#This Row],[Produto]],tItens[[#This Row],[Produto]])=1,1,0)</f>
        <v>0</v>
      </c>
    </row>
    <row r="6675" spans="1:16" x14ac:dyDescent="0.25">
      <c r="A6675" t="s">
        <v>2380</v>
      </c>
      <c r="B6675">
        <v>137</v>
      </c>
      <c r="C6675" t="s">
        <v>9362</v>
      </c>
      <c r="D6675" t="s">
        <v>461</v>
      </c>
      <c r="E6675" s="13">
        <v>30</v>
      </c>
      <c r="F6675" s="12">
        <v>48</v>
      </c>
      <c r="G6675" t="str">
        <f>IFERROR(INDEX(tEditais[Órgão],MATCH(tItens[[#This Row],[Edital]],tEditais[Edital],0)),"")</f>
        <v>MUNICIPIO DE FRUTUOSO GOMES</v>
      </c>
      <c r="H6675" t="str">
        <f>IFERROR(INDEX(tEditais[UF],MATCH(tItens[[#This Row],[Edital]],tEditais[Edital],0)),"")</f>
        <v>RN</v>
      </c>
      <c r="I6675" s="11">
        <f>IFERROR(INDEX(tEditais[Encerramento],MATCH(tItens[[#This Row],[Edital]],tEditais[Edital],0)),"")</f>
        <v>46308.375</v>
      </c>
      <c r="J6675" t="str">
        <f>IFERROR(INDEX(tProdutos[Classe],MATCH(tItens[[#This Row],[Produto]],tProdutos[Produto],0)),"produto não cadastrado")</f>
        <v>FILA REBASE</v>
      </c>
      <c r="K6675" s="12">
        <f>tItens[[#This Row],[Qtd]]*tItens[[#This Row],[Vlr unit]]</f>
        <v>1440</v>
      </c>
      <c r="L6675" s="6">
        <f>IFERROR(IF(INDEX(tProdutos[Desconto homologado],MATCH(tItens[[#This Row],[Produto]],tProdutos[Produto],0))="",DescontoPadrao,INDEX(tProdutos[Desconto homologado],MATCH(tItens[[#This Row],[Produto]],tProdutos[Produto],0))),DescontoPadrao)</f>
        <v>0.44096385542168698</v>
      </c>
      <c r="M6675" s="12">
        <f>tItens[[#This Row],[Valor]]*(1-tItens[[#This Row],[Desconto]])</f>
        <v>805.01204819277064</v>
      </c>
      <c r="N6675" t="str">
        <f>IFERROR(INDEX(tProdutos[Foco],MATCH(tItens[[#This Row],[Produto]],tProdutos[Produto],0)),"Não")</f>
        <v>Não</v>
      </c>
      <c r="O6675" t="str">
        <f>IFERROR(INDEX(tEditais[SRP],MATCH(tItens[[#This Row],[Edital]],tEditais[Edital],0)),"Não")</f>
        <v>Sim</v>
      </c>
      <c r="P6675" s="4">
        <f>IF(COUNTIFS(INDEX(tItens[Edital],1):tItens[[#This Row],[Edital]],tItens[[#This Row],[Edital]],INDEX(tItens[Produto],1):tItens[[#This Row],[Produto]],tItens[[#This Row],[Produto]])=1,1,0)</f>
        <v>0</v>
      </c>
    </row>
    <row r="6676" spans="1:16" x14ac:dyDescent="0.25">
      <c r="A6676" t="s">
        <v>2380</v>
      </c>
      <c r="B6676">
        <v>146</v>
      </c>
      <c r="C6676" t="s">
        <v>9363</v>
      </c>
      <c r="D6676" t="s">
        <v>56</v>
      </c>
      <c r="E6676" s="13">
        <v>15</v>
      </c>
      <c r="F6676" s="12">
        <v>46</v>
      </c>
      <c r="G6676" t="str">
        <f>IFERROR(INDEX(tEditais[Órgão],MATCH(tItens[[#This Row],[Edital]],tEditais[Edital],0)),"")</f>
        <v>MUNICIPIO DE FRUTUOSO GOMES</v>
      </c>
      <c r="H6676" t="str">
        <f>IFERROR(INDEX(tEditais[UF],MATCH(tItens[[#This Row],[Edital]],tEditais[Edital],0)),"")</f>
        <v>RN</v>
      </c>
      <c r="I6676" s="11">
        <f>IFERROR(INDEX(tEditais[Encerramento],MATCH(tItens[[#This Row],[Edital]],tEditais[Edital],0)),"")</f>
        <v>46308.375</v>
      </c>
      <c r="J6676" t="str">
        <f>IFERROR(INDEX(tProdutos[Classe],MATCH(tItens[[#This Row],[Produto]],tProdutos[Produto],0)),"produto não cadastrado")</f>
        <v>NÚCLEO</v>
      </c>
      <c r="K6676" s="12">
        <f>tItens[[#This Row],[Qtd]]*tItens[[#This Row],[Vlr unit]]</f>
        <v>690</v>
      </c>
      <c r="L6676" s="6">
        <f>IFERROR(IF(INDEX(tProdutos[Desconto homologado],MATCH(tItens[[#This Row],[Produto]],tProdutos[Produto],0))="",DescontoPadrao,INDEX(tProdutos[Desconto homologado],MATCH(tItens[[#This Row],[Produto]],tProdutos[Produto],0))),DescontoPadrao)</f>
        <v>0.34</v>
      </c>
      <c r="M6676" s="12">
        <f>tItens[[#This Row],[Valor]]*(1-tItens[[#This Row],[Desconto]])</f>
        <v>455.39999999999992</v>
      </c>
      <c r="N6676" t="str">
        <f>IFERROR(INDEX(tProdutos[Foco],MATCH(tItens[[#This Row],[Produto]],tProdutos[Produto],0)),"Não")</f>
        <v>Sim</v>
      </c>
      <c r="O6676" t="str">
        <f>IFERROR(INDEX(tEditais[SRP],MATCH(tItens[[#This Row],[Edital]],tEditais[Edital],0)),"Não")</f>
        <v>Sim</v>
      </c>
      <c r="P6676" s="4">
        <f>IF(COUNTIFS(INDEX(tItens[Edital],1):tItens[[#This Row],[Edital]],tItens[[#This Row],[Edital]],INDEX(tItens[Produto],1):tItens[[#This Row],[Produto]],tItens[[#This Row],[Produto]])=1,1,0)</f>
        <v>1</v>
      </c>
    </row>
    <row r="6677" spans="1:16" x14ac:dyDescent="0.25">
      <c r="A6677" t="s">
        <v>2380</v>
      </c>
      <c r="B6677">
        <v>147</v>
      </c>
      <c r="C6677" t="s">
        <v>9364</v>
      </c>
      <c r="D6677" t="s">
        <v>56</v>
      </c>
      <c r="E6677" s="13">
        <v>15</v>
      </c>
      <c r="F6677" s="12">
        <v>46</v>
      </c>
      <c r="G6677" t="str">
        <f>IFERROR(INDEX(tEditais[Órgão],MATCH(tItens[[#This Row],[Edital]],tEditais[Edital],0)),"")</f>
        <v>MUNICIPIO DE FRUTUOSO GOMES</v>
      </c>
      <c r="H6677" t="str">
        <f>IFERROR(INDEX(tEditais[UF],MATCH(tItens[[#This Row],[Edital]],tEditais[Edital],0)),"")</f>
        <v>RN</v>
      </c>
      <c r="I6677" s="11">
        <f>IFERROR(INDEX(tEditais[Encerramento],MATCH(tItens[[#This Row],[Edital]],tEditais[Edital],0)),"")</f>
        <v>46308.375</v>
      </c>
      <c r="J6677" t="str">
        <f>IFERROR(INDEX(tProdutos[Classe],MATCH(tItens[[#This Row],[Produto]],tProdutos[Produto],0)),"produto não cadastrado")</f>
        <v>NÚCLEO</v>
      </c>
      <c r="K6677" s="12">
        <f>tItens[[#This Row],[Qtd]]*tItens[[#This Row],[Vlr unit]]</f>
        <v>690</v>
      </c>
      <c r="L6677" s="6">
        <f>IFERROR(IF(INDEX(tProdutos[Desconto homologado],MATCH(tItens[[#This Row],[Produto]],tProdutos[Produto],0))="",DescontoPadrao,INDEX(tProdutos[Desconto homologado],MATCH(tItens[[#This Row],[Produto]],tProdutos[Produto],0))),DescontoPadrao)</f>
        <v>0.34</v>
      </c>
      <c r="M6677" s="12">
        <f>tItens[[#This Row],[Valor]]*(1-tItens[[#This Row],[Desconto]])</f>
        <v>455.39999999999992</v>
      </c>
      <c r="N6677" t="str">
        <f>IFERROR(INDEX(tProdutos[Foco],MATCH(tItens[[#This Row],[Produto]],tProdutos[Produto],0)),"Não")</f>
        <v>Sim</v>
      </c>
      <c r="O6677" t="str">
        <f>IFERROR(INDEX(tEditais[SRP],MATCH(tItens[[#This Row],[Edital]],tEditais[Edital],0)),"Não")</f>
        <v>Sim</v>
      </c>
      <c r="P6677" s="4">
        <f>IF(COUNTIFS(INDEX(tItens[Edital],1):tItens[[#This Row],[Edital]],tItens[[#This Row],[Edital]],INDEX(tItens[Produto],1):tItens[[#This Row],[Produto]],tItens[[#This Row],[Produto]])=1,1,0)</f>
        <v>0</v>
      </c>
    </row>
    <row r="6678" spans="1:16" x14ac:dyDescent="0.25">
      <c r="A6678" t="s">
        <v>2380</v>
      </c>
      <c r="B6678">
        <v>148</v>
      </c>
      <c r="C6678" t="s">
        <v>9365</v>
      </c>
      <c r="D6678" t="s">
        <v>343</v>
      </c>
      <c r="E6678" s="13">
        <v>1500</v>
      </c>
      <c r="F6678" s="12">
        <v>3</v>
      </c>
      <c r="G6678" t="str">
        <f>IFERROR(INDEX(tEditais[Órgão],MATCH(tItens[[#This Row],[Edital]],tEditais[Edital],0)),"")</f>
        <v>MUNICIPIO DE FRUTUOSO GOMES</v>
      </c>
      <c r="H6678" t="str">
        <f>IFERROR(INDEX(tEditais[UF],MATCH(tItens[[#This Row],[Edital]],tEditais[Edital],0)),"")</f>
        <v>RN</v>
      </c>
      <c r="I6678" s="11">
        <f>IFERROR(INDEX(tEditais[Encerramento],MATCH(tItens[[#This Row],[Edital]],tEditais[Edital],0)),"")</f>
        <v>46308.375</v>
      </c>
      <c r="J6678" t="str">
        <f>IFERROR(INDEX(tProdutos[Classe],MATCH(tItens[[#This Row],[Produto]],tProdutos[Produto],0)),"produto não cadastrado")</f>
        <v>FORA</v>
      </c>
      <c r="K6678" s="12">
        <f>tItens[[#This Row],[Qtd]]*tItens[[#This Row],[Vlr unit]]</f>
        <v>4500</v>
      </c>
      <c r="L6678" s="6">
        <f>IFERROR(IF(INDEX(tProdutos[Desconto homologado],MATCH(tItens[[#This Row],[Produto]],tProdutos[Produto],0))="",DescontoPadrao,INDEX(tProdutos[Desconto homologado],MATCH(tItens[[#This Row],[Produto]],tProdutos[Produto],0))),DescontoPadrao)</f>
        <v>0.35412234042553198</v>
      </c>
      <c r="M6678" s="12">
        <f>tItens[[#This Row],[Valor]]*(1-tItens[[#This Row],[Desconto]])</f>
        <v>2906.4494680851058</v>
      </c>
      <c r="N6678" t="str">
        <f>IFERROR(INDEX(tProdutos[Foco],MATCH(tItens[[#This Row],[Produto]],tProdutos[Produto],0)),"Não")</f>
        <v>Não</v>
      </c>
      <c r="O6678" t="str">
        <f>IFERROR(INDEX(tEditais[SRP],MATCH(tItens[[#This Row],[Edital]],tEditais[Edital],0)),"Não")</f>
        <v>Sim</v>
      </c>
      <c r="P6678" s="4">
        <f>IF(COUNTIFS(INDEX(tItens[Edital],1):tItens[[#This Row],[Edital]],tItens[[#This Row],[Edital]],INDEX(tItens[Produto],1):tItens[[#This Row],[Produto]],tItens[[#This Row],[Produto]])=1,1,0)</f>
        <v>1</v>
      </c>
    </row>
    <row r="6679" spans="1:16" x14ac:dyDescent="0.25">
      <c r="A6679" t="s">
        <v>2380</v>
      </c>
      <c r="B6679">
        <v>157</v>
      </c>
      <c r="C6679" t="s">
        <v>9366</v>
      </c>
      <c r="D6679" t="s">
        <v>184</v>
      </c>
      <c r="E6679" s="13">
        <v>20</v>
      </c>
      <c r="F6679" s="12">
        <v>48</v>
      </c>
      <c r="G6679" t="str">
        <f>IFERROR(INDEX(tEditais[Órgão],MATCH(tItens[[#This Row],[Edital]],tEditais[Edital],0)),"")</f>
        <v>MUNICIPIO DE FRUTUOSO GOMES</v>
      </c>
      <c r="H6679" t="str">
        <f>IFERROR(INDEX(tEditais[UF],MATCH(tItens[[#This Row],[Edital]],tEditais[Edital],0)),"")</f>
        <v>RN</v>
      </c>
      <c r="I6679" s="11">
        <f>IFERROR(INDEX(tEditais[Encerramento],MATCH(tItens[[#This Row],[Edital]],tEditais[Edital],0)),"")</f>
        <v>46308.375</v>
      </c>
      <c r="J6679" t="str">
        <f>IFERROR(INDEX(tProdutos[Classe],MATCH(tItens[[#This Row],[Produto]],tProdutos[Produto],0)),"produto não cadastrado")</f>
        <v>FORA</v>
      </c>
      <c r="K6679" s="12">
        <f>tItens[[#This Row],[Qtd]]*tItens[[#This Row],[Vlr unit]]</f>
        <v>960</v>
      </c>
      <c r="L6679" s="6">
        <f>IFERROR(IF(INDEX(tProdutos[Desconto homologado],MATCH(tItens[[#This Row],[Produto]],tProdutos[Produto],0))="",DescontoPadrao,INDEX(tProdutos[Desconto homologado],MATCH(tItens[[#This Row],[Produto]],tProdutos[Produto],0))),DescontoPadrao)</f>
        <v>0.363567906332742</v>
      </c>
      <c r="M6679" s="12">
        <f>tItens[[#This Row],[Valor]]*(1-tItens[[#This Row],[Desconto]])</f>
        <v>610.97480992056774</v>
      </c>
      <c r="N6679" t="str">
        <f>IFERROR(INDEX(tProdutos[Foco],MATCH(tItens[[#This Row],[Produto]],tProdutos[Produto],0)),"Não")</f>
        <v>Não</v>
      </c>
      <c r="O6679" t="str">
        <f>IFERROR(INDEX(tEditais[SRP],MATCH(tItens[[#This Row],[Edital]],tEditais[Edital],0)),"Não")</f>
        <v>Sim</v>
      </c>
      <c r="P6679" s="4">
        <f>IF(COUNTIFS(INDEX(tItens[Edital],1):tItens[[#This Row],[Edital]],tItens[[#This Row],[Edital]],INDEX(tItens[Produto],1):tItens[[#This Row],[Produto]],tItens[[#This Row],[Produto]])=1,1,0)</f>
        <v>1</v>
      </c>
    </row>
    <row r="6680" spans="1:16" x14ac:dyDescent="0.25">
      <c r="A6680" t="s">
        <v>2380</v>
      </c>
      <c r="B6680">
        <v>158</v>
      </c>
      <c r="C6680" t="s">
        <v>9367</v>
      </c>
      <c r="D6680" t="s">
        <v>184</v>
      </c>
      <c r="E6680" s="13">
        <v>20</v>
      </c>
      <c r="F6680" s="12">
        <v>48</v>
      </c>
      <c r="G6680" t="str">
        <f>IFERROR(INDEX(tEditais[Órgão],MATCH(tItens[[#This Row],[Edital]],tEditais[Edital],0)),"")</f>
        <v>MUNICIPIO DE FRUTUOSO GOMES</v>
      </c>
      <c r="H6680" t="str">
        <f>IFERROR(INDEX(tEditais[UF],MATCH(tItens[[#This Row],[Edital]],tEditais[Edital],0)),"")</f>
        <v>RN</v>
      </c>
      <c r="I6680" s="11">
        <f>IFERROR(INDEX(tEditais[Encerramento],MATCH(tItens[[#This Row],[Edital]],tEditais[Edital],0)),"")</f>
        <v>46308.375</v>
      </c>
      <c r="J6680" t="str">
        <f>IFERROR(INDEX(tProdutos[Classe],MATCH(tItens[[#This Row],[Produto]],tProdutos[Produto],0)),"produto não cadastrado")</f>
        <v>FORA</v>
      </c>
      <c r="K6680" s="12">
        <f>tItens[[#This Row],[Qtd]]*tItens[[#This Row],[Vlr unit]]</f>
        <v>960</v>
      </c>
      <c r="L6680" s="6">
        <f>IFERROR(IF(INDEX(tProdutos[Desconto homologado],MATCH(tItens[[#This Row],[Produto]],tProdutos[Produto],0))="",DescontoPadrao,INDEX(tProdutos[Desconto homologado],MATCH(tItens[[#This Row],[Produto]],tProdutos[Produto],0))),DescontoPadrao)</f>
        <v>0.363567906332742</v>
      </c>
      <c r="M6680" s="12">
        <f>tItens[[#This Row],[Valor]]*(1-tItens[[#This Row],[Desconto]])</f>
        <v>610.97480992056774</v>
      </c>
      <c r="N6680" t="str">
        <f>IFERROR(INDEX(tProdutos[Foco],MATCH(tItens[[#This Row],[Produto]],tProdutos[Produto],0)),"Não")</f>
        <v>Não</v>
      </c>
      <c r="O6680" t="str">
        <f>IFERROR(INDEX(tEditais[SRP],MATCH(tItens[[#This Row],[Edital]],tEditais[Edital],0)),"Não")</f>
        <v>Sim</v>
      </c>
      <c r="P6680" s="4">
        <f>IF(COUNTIFS(INDEX(tItens[Edital],1):tItens[[#This Row],[Edital]],tItens[[#This Row],[Edital]],INDEX(tItens[Produto],1):tItens[[#This Row],[Produto]],tItens[[#This Row],[Produto]])=1,1,0)</f>
        <v>0</v>
      </c>
    </row>
    <row r="6681" spans="1:16" x14ac:dyDescent="0.25">
      <c r="A6681" t="s">
        <v>2380</v>
      </c>
      <c r="B6681">
        <v>159</v>
      </c>
      <c r="C6681" t="s">
        <v>9368</v>
      </c>
      <c r="D6681" t="s">
        <v>184</v>
      </c>
      <c r="E6681" s="13">
        <v>20</v>
      </c>
      <c r="F6681" s="12">
        <v>48</v>
      </c>
      <c r="G6681" t="str">
        <f>IFERROR(INDEX(tEditais[Órgão],MATCH(tItens[[#This Row],[Edital]],tEditais[Edital],0)),"")</f>
        <v>MUNICIPIO DE FRUTUOSO GOMES</v>
      </c>
      <c r="H6681" t="str">
        <f>IFERROR(INDEX(tEditais[UF],MATCH(tItens[[#This Row],[Edital]],tEditais[Edital],0)),"")</f>
        <v>RN</v>
      </c>
      <c r="I6681" s="11">
        <f>IFERROR(INDEX(tEditais[Encerramento],MATCH(tItens[[#This Row],[Edital]],tEditais[Edital],0)),"")</f>
        <v>46308.375</v>
      </c>
      <c r="J6681" t="str">
        <f>IFERROR(INDEX(tProdutos[Classe],MATCH(tItens[[#This Row],[Produto]],tProdutos[Produto],0)),"produto não cadastrado")</f>
        <v>FORA</v>
      </c>
      <c r="K6681" s="12">
        <f>tItens[[#This Row],[Qtd]]*tItens[[#This Row],[Vlr unit]]</f>
        <v>960</v>
      </c>
      <c r="L6681" s="6">
        <f>IFERROR(IF(INDEX(tProdutos[Desconto homologado],MATCH(tItens[[#This Row],[Produto]],tProdutos[Produto],0))="",DescontoPadrao,INDEX(tProdutos[Desconto homologado],MATCH(tItens[[#This Row],[Produto]],tProdutos[Produto],0))),DescontoPadrao)</f>
        <v>0.363567906332742</v>
      </c>
      <c r="M6681" s="12">
        <f>tItens[[#This Row],[Valor]]*(1-tItens[[#This Row],[Desconto]])</f>
        <v>610.97480992056774</v>
      </c>
      <c r="N6681" t="str">
        <f>IFERROR(INDEX(tProdutos[Foco],MATCH(tItens[[#This Row],[Produto]],tProdutos[Produto],0)),"Não")</f>
        <v>Não</v>
      </c>
      <c r="O6681" t="str">
        <f>IFERROR(INDEX(tEditais[SRP],MATCH(tItens[[#This Row],[Edital]],tEditais[Edital],0)),"Não")</f>
        <v>Sim</v>
      </c>
      <c r="P6681" s="4">
        <f>IF(COUNTIFS(INDEX(tItens[Edital],1):tItens[[#This Row],[Edital]],tItens[[#This Row],[Edital]],INDEX(tItens[Produto],1):tItens[[#This Row],[Produto]],tItens[[#This Row],[Produto]])=1,1,0)</f>
        <v>0</v>
      </c>
    </row>
    <row r="6682" spans="1:16" x14ac:dyDescent="0.25">
      <c r="A6682" t="s">
        <v>2380</v>
      </c>
      <c r="B6682">
        <v>160</v>
      </c>
      <c r="C6682" t="s">
        <v>9369</v>
      </c>
      <c r="D6682" t="s">
        <v>184</v>
      </c>
      <c r="E6682" s="13">
        <v>20</v>
      </c>
      <c r="F6682" s="12">
        <v>48</v>
      </c>
      <c r="G6682" t="str">
        <f>IFERROR(INDEX(tEditais[Órgão],MATCH(tItens[[#This Row],[Edital]],tEditais[Edital],0)),"")</f>
        <v>MUNICIPIO DE FRUTUOSO GOMES</v>
      </c>
      <c r="H6682" t="str">
        <f>IFERROR(INDEX(tEditais[UF],MATCH(tItens[[#This Row],[Edital]],tEditais[Edital],0)),"")</f>
        <v>RN</v>
      </c>
      <c r="I6682" s="11">
        <f>IFERROR(INDEX(tEditais[Encerramento],MATCH(tItens[[#This Row],[Edital]],tEditais[Edital],0)),"")</f>
        <v>46308.375</v>
      </c>
      <c r="J6682" t="str">
        <f>IFERROR(INDEX(tProdutos[Classe],MATCH(tItens[[#This Row],[Produto]],tProdutos[Produto],0)),"produto não cadastrado")</f>
        <v>FORA</v>
      </c>
      <c r="K6682" s="12">
        <f>tItens[[#This Row],[Qtd]]*tItens[[#This Row],[Vlr unit]]</f>
        <v>960</v>
      </c>
      <c r="L6682" s="6">
        <f>IFERROR(IF(INDEX(tProdutos[Desconto homologado],MATCH(tItens[[#This Row],[Produto]],tProdutos[Produto],0))="",DescontoPadrao,INDEX(tProdutos[Desconto homologado],MATCH(tItens[[#This Row],[Produto]],tProdutos[Produto],0))),DescontoPadrao)</f>
        <v>0.363567906332742</v>
      </c>
      <c r="M6682" s="12">
        <f>tItens[[#This Row],[Valor]]*(1-tItens[[#This Row],[Desconto]])</f>
        <v>610.97480992056774</v>
      </c>
      <c r="N6682" t="str">
        <f>IFERROR(INDEX(tProdutos[Foco],MATCH(tItens[[#This Row],[Produto]],tProdutos[Produto],0)),"Não")</f>
        <v>Não</v>
      </c>
      <c r="O6682" t="str">
        <f>IFERROR(INDEX(tEditais[SRP],MATCH(tItens[[#This Row],[Edital]],tEditais[Edital],0)),"Não")</f>
        <v>Sim</v>
      </c>
      <c r="P6682" s="4">
        <f>IF(COUNTIFS(INDEX(tItens[Edital],1):tItens[[#This Row],[Edital]],tItens[[#This Row],[Edital]],INDEX(tItens[Produto],1):tItens[[#This Row],[Produto]],tItens[[#This Row],[Produto]])=1,1,0)</f>
        <v>0</v>
      </c>
    </row>
    <row r="6683" spans="1:16" x14ac:dyDescent="0.25">
      <c r="A6683" t="s">
        <v>2380</v>
      </c>
      <c r="B6683">
        <v>161</v>
      </c>
      <c r="C6683" t="s">
        <v>9370</v>
      </c>
      <c r="D6683" t="s">
        <v>184</v>
      </c>
      <c r="E6683" s="13">
        <v>20</v>
      </c>
      <c r="F6683" s="12">
        <v>48</v>
      </c>
      <c r="G6683" t="str">
        <f>IFERROR(INDEX(tEditais[Órgão],MATCH(tItens[[#This Row],[Edital]],tEditais[Edital],0)),"")</f>
        <v>MUNICIPIO DE FRUTUOSO GOMES</v>
      </c>
      <c r="H6683" t="str">
        <f>IFERROR(INDEX(tEditais[UF],MATCH(tItens[[#This Row],[Edital]],tEditais[Edital],0)),"")</f>
        <v>RN</v>
      </c>
      <c r="I6683" s="11">
        <f>IFERROR(INDEX(tEditais[Encerramento],MATCH(tItens[[#This Row],[Edital]],tEditais[Edital],0)),"")</f>
        <v>46308.375</v>
      </c>
      <c r="J6683" t="str">
        <f>IFERROR(INDEX(tProdutos[Classe],MATCH(tItens[[#This Row],[Produto]],tProdutos[Produto],0)),"produto não cadastrado")</f>
        <v>FORA</v>
      </c>
      <c r="K6683" s="12">
        <f>tItens[[#This Row],[Qtd]]*tItens[[#This Row],[Vlr unit]]</f>
        <v>960</v>
      </c>
      <c r="L6683" s="6">
        <f>IFERROR(IF(INDEX(tProdutos[Desconto homologado],MATCH(tItens[[#This Row],[Produto]],tProdutos[Produto],0))="",DescontoPadrao,INDEX(tProdutos[Desconto homologado],MATCH(tItens[[#This Row],[Produto]],tProdutos[Produto],0))),DescontoPadrao)</f>
        <v>0.363567906332742</v>
      </c>
      <c r="M6683" s="12">
        <f>tItens[[#This Row],[Valor]]*(1-tItens[[#This Row],[Desconto]])</f>
        <v>610.97480992056774</v>
      </c>
      <c r="N6683" t="str">
        <f>IFERROR(INDEX(tProdutos[Foco],MATCH(tItens[[#This Row],[Produto]],tProdutos[Produto],0)),"Não")</f>
        <v>Não</v>
      </c>
      <c r="O6683" t="str">
        <f>IFERROR(INDEX(tEditais[SRP],MATCH(tItens[[#This Row],[Edital]],tEditais[Edital],0)),"Não")</f>
        <v>Sim</v>
      </c>
      <c r="P6683" s="4">
        <f>IF(COUNTIFS(INDEX(tItens[Edital],1):tItens[[#This Row],[Edital]],tItens[[#This Row],[Edital]],INDEX(tItens[Produto],1):tItens[[#This Row],[Produto]],tItens[[#This Row],[Produto]])=1,1,0)</f>
        <v>0</v>
      </c>
    </row>
    <row r="6684" spans="1:16" x14ac:dyDescent="0.25">
      <c r="A6684" t="s">
        <v>2380</v>
      </c>
      <c r="B6684">
        <v>162</v>
      </c>
      <c r="C6684" t="s">
        <v>9371</v>
      </c>
      <c r="D6684" t="s">
        <v>184</v>
      </c>
      <c r="E6684" s="13">
        <v>20</v>
      </c>
      <c r="F6684" s="12">
        <v>48</v>
      </c>
      <c r="G6684" t="str">
        <f>IFERROR(INDEX(tEditais[Órgão],MATCH(tItens[[#This Row],[Edital]],tEditais[Edital],0)),"")</f>
        <v>MUNICIPIO DE FRUTUOSO GOMES</v>
      </c>
      <c r="H6684" t="str">
        <f>IFERROR(INDEX(tEditais[UF],MATCH(tItens[[#This Row],[Edital]],tEditais[Edital],0)),"")</f>
        <v>RN</v>
      </c>
      <c r="I6684" s="11">
        <f>IFERROR(INDEX(tEditais[Encerramento],MATCH(tItens[[#This Row],[Edital]],tEditais[Edital],0)),"")</f>
        <v>46308.375</v>
      </c>
      <c r="J6684" t="str">
        <f>IFERROR(INDEX(tProdutos[Classe],MATCH(tItens[[#This Row],[Produto]],tProdutos[Produto],0)),"produto não cadastrado")</f>
        <v>FORA</v>
      </c>
      <c r="K6684" s="12">
        <f>tItens[[#This Row],[Qtd]]*tItens[[#This Row],[Vlr unit]]</f>
        <v>960</v>
      </c>
      <c r="L6684" s="6">
        <f>IFERROR(IF(INDEX(tProdutos[Desconto homologado],MATCH(tItens[[#This Row],[Produto]],tProdutos[Produto],0))="",DescontoPadrao,INDEX(tProdutos[Desconto homologado],MATCH(tItens[[#This Row],[Produto]],tProdutos[Produto],0))),DescontoPadrao)</f>
        <v>0.363567906332742</v>
      </c>
      <c r="M6684" s="12">
        <f>tItens[[#This Row],[Valor]]*(1-tItens[[#This Row],[Desconto]])</f>
        <v>610.97480992056774</v>
      </c>
      <c r="N6684" t="str">
        <f>IFERROR(INDEX(tProdutos[Foco],MATCH(tItens[[#This Row],[Produto]],tProdutos[Produto],0)),"Não")</f>
        <v>Não</v>
      </c>
      <c r="O6684" t="str">
        <f>IFERROR(INDEX(tEditais[SRP],MATCH(tItens[[#This Row],[Edital]],tEditais[Edital],0)),"Não")</f>
        <v>Sim</v>
      </c>
      <c r="P6684" s="4">
        <f>IF(COUNTIFS(INDEX(tItens[Edital],1):tItens[[#This Row],[Edital]],tItens[[#This Row],[Edital]],INDEX(tItens[Produto],1):tItens[[#This Row],[Produto]],tItens[[#This Row],[Produto]])=1,1,0)</f>
        <v>0</v>
      </c>
    </row>
    <row r="6685" spans="1:16" x14ac:dyDescent="0.25">
      <c r="A6685" t="s">
        <v>2380</v>
      </c>
      <c r="B6685">
        <v>163</v>
      </c>
      <c r="C6685" t="s">
        <v>9372</v>
      </c>
      <c r="D6685" t="s">
        <v>184</v>
      </c>
      <c r="E6685" s="13">
        <v>20</v>
      </c>
      <c r="F6685" s="12">
        <v>48</v>
      </c>
      <c r="G6685" t="str">
        <f>IFERROR(INDEX(tEditais[Órgão],MATCH(tItens[[#This Row],[Edital]],tEditais[Edital],0)),"")</f>
        <v>MUNICIPIO DE FRUTUOSO GOMES</v>
      </c>
      <c r="H6685" t="str">
        <f>IFERROR(INDEX(tEditais[UF],MATCH(tItens[[#This Row],[Edital]],tEditais[Edital],0)),"")</f>
        <v>RN</v>
      </c>
      <c r="I6685" s="11">
        <f>IFERROR(INDEX(tEditais[Encerramento],MATCH(tItens[[#This Row],[Edital]],tEditais[Edital],0)),"")</f>
        <v>46308.375</v>
      </c>
      <c r="J6685" t="str">
        <f>IFERROR(INDEX(tProdutos[Classe],MATCH(tItens[[#This Row],[Produto]],tProdutos[Produto],0)),"produto não cadastrado")</f>
        <v>FORA</v>
      </c>
      <c r="K6685" s="12">
        <f>tItens[[#This Row],[Qtd]]*tItens[[#This Row],[Vlr unit]]</f>
        <v>960</v>
      </c>
      <c r="L6685" s="6">
        <f>IFERROR(IF(INDEX(tProdutos[Desconto homologado],MATCH(tItens[[#This Row],[Produto]],tProdutos[Produto],0))="",DescontoPadrao,INDEX(tProdutos[Desconto homologado],MATCH(tItens[[#This Row],[Produto]],tProdutos[Produto],0))),DescontoPadrao)</f>
        <v>0.363567906332742</v>
      </c>
      <c r="M6685" s="12">
        <f>tItens[[#This Row],[Valor]]*(1-tItens[[#This Row],[Desconto]])</f>
        <v>610.97480992056774</v>
      </c>
      <c r="N6685" t="str">
        <f>IFERROR(INDEX(tProdutos[Foco],MATCH(tItens[[#This Row],[Produto]],tProdutos[Produto],0)),"Não")</f>
        <v>Não</v>
      </c>
      <c r="O6685" t="str">
        <f>IFERROR(INDEX(tEditais[SRP],MATCH(tItens[[#This Row],[Edital]],tEditais[Edital],0)),"Não")</f>
        <v>Sim</v>
      </c>
      <c r="P6685" s="4">
        <f>IF(COUNTIFS(INDEX(tItens[Edital],1):tItens[[#This Row],[Edital]],tItens[[#This Row],[Edital]],INDEX(tItens[Produto],1):tItens[[#This Row],[Produto]],tItens[[#This Row],[Produto]])=1,1,0)</f>
        <v>0</v>
      </c>
    </row>
    <row r="6686" spans="1:16" x14ac:dyDescent="0.25">
      <c r="A6686" t="s">
        <v>2380</v>
      </c>
      <c r="B6686">
        <v>164</v>
      </c>
      <c r="C6686" t="s">
        <v>9373</v>
      </c>
      <c r="D6686" t="s">
        <v>184</v>
      </c>
      <c r="E6686" s="13">
        <v>20</v>
      </c>
      <c r="F6686" s="12">
        <v>48</v>
      </c>
      <c r="G6686" t="str">
        <f>IFERROR(INDEX(tEditais[Órgão],MATCH(tItens[[#This Row],[Edital]],tEditais[Edital],0)),"")</f>
        <v>MUNICIPIO DE FRUTUOSO GOMES</v>
      </c>
      <c r="H6686" t="str">
        <f>IFERROR(INDEX(tEditais[UF],MATCH(tItens[[#This Row],[Edital]],tEditais[Edital],0)),"")</f>
        <v>RN</v>
      </c>
      <c r="I6686" s="11">
        <f>IFERROR(INDEX(tEditais[Encerramento],MATCH(tItens[[#This Row],[Edital]],tEditais[Edital],0)),"")</f>
        <v>46308.375</v>
      </c>
      <c r="J6686" t="str">
        <f>IFERROR(INDEX(tProdutos[Classe],MATCH(tItens[[#This Row],[Produto]],tProdutos[Produto],0)),"produto não cadastrado")</f>
        <v>FORA</v>
      </c>
      <c r="K6686" s="12">
        <f>tItens[[#This Row],[Qtd]]*tItens[[#This Row],[Vlr unit]]</f>
        <v>960</v>
      </c>
      <c r="L6686" s="6">
        <f>IFERROR(IF(INDEX(tProdutos[Desconto homologado],MATCH(tItens[[#This Row],[Produto]],tProdutos[Produto],0))="",DescontoPadrao,INDEX(tProdutos[Desconto homologado],MATCH(tItens[[#This Row],[Produto]],tProdutos[Produto],0))),DescontoPadrao)</f>
        <v>0.363567906332742</v>
      </c>
      <c r="M6686" s="12">
        <f>tItens[[#This Row],[Valor]]*(1-tItens[[#This Row],[Desconto]])</f>
        <v>610.97480992056774</v>
      </c>
      <c r="N6686" t="str">
        <f>IFERROR(INDEX(tProdutos[Foco],MATCH(tItens[[#This Row],[Produto]],tProdutos[Produto],0)),"Não")</f>
        <v>Não</v>
      </c>
      <c r="O6686" t="str">
        <f>IFERROR(INDEX(tEditais[SRP],MATCH(tItens[[#This Row],[Edital]],tEditais[Edital],0)),"Não")</f>
        <v>Sim</v>
      </c>
      <c r="P6686" s="4">
        <f>IF(COUNTIFS(INDEX(tItens[Edital],1):tItens[[#This Row],[Edital]],tItens[[#This Row],[Edital]],INDEX(tItens[Produto],1):tItens[[#This Row],[Produto]],tItens[[#This Row],[Produto]])=1,1,0)</f>
        <v>0</v>
      </c>
    </row>
    <row r="6687" spans="1:16" x14ac:dyDescent="0.25">
      <c r="A6687" t="s">
        <v>2380</v>
      </c>
      <c r="B6687">
        <v>165</v>
      </c>
      <c r="C6687" t="s">
        <v>9374</v>
      </c>
      <c r="D6687" t="s">
        <v>184</v>
      </c>
      <c r="E6687" s="13">
        <v>20</v>
      </c>
      <c r="F6687" s="12">
        <v>48</v>
      </c>
      <c r="G6687" t="str">
        <f>IFERROR(INDEX(tEditais[Órgão],MATCH(tItens[[#This Row],[Edital]],tEditais[Edital],0)),"")</f>
        <v>MUNICIPIO DE FRUTUOSO GOMES</v>
      </c>
      <c r="H6687" t="str">
        <f>IFERROR(INDEX(tEditais[UF],MATCH(tItens[[#This Row],[Edital]],tEditais[Edital],0)),"")</f>
        <v>RN</v>
      </c>
      <c r="I6687" s="11">
        <f>IFERROR(INDEX(tEditais[Encerramento],MATCH(tItens[[#This Row],[Edital]],tEditais[Edital],0)),"")</f>
        <v>46308.375</v>
      </c>
      <c r="J6687" t="str">
        <f>IFERROR(INDEX(tProdutos[Classe],MATCH(tItens[[#This Row],[Produto]],tProdutos[Produto],0)),"produto não cadastrado")</f>
        <v>FORA</v>
      </c>
      <c r="K6687" s="12">
        <f>tItens[[#This Row],[Qtd]]*tItens[[#This Row],[Vlr unit]]</f>
        <v>960</v>
      </c>
      <c r="L6687" s="6">
        <f>IFERROR(IF(INDEX(tProdutos[Desconto homologado],MATCH(tItens[[#This Row],[Produto]],tProdutos[Produto],0))="",DescontoPadrao,INDEX(tProdutos[Desconto homologado],MATCH(tItens[[#This Row],[Produto]],tProdutos[Produto],0))),DescontoPadrao)</f>
        <v>0.363567906332742</v>
      </c>
      <c r="M6687" s="12">
        <f>tItens[[#This Row],[Valor]]*(1-tItens[[#This Row],[Desconto]])</f>
        <v>610.97480992056774</v>
      </c>
      <c r="N6687" t="str">
        <f>IFERROR(INDEX(tProdutos[Foco],MATCH(tItens[[#This Row],[Produto]],tProdutos[Produto],0)),"Não")</f>
        <v>Não</v>
      </c>
      <c r="O6687" t="str">
        <f>IFERROR(INDEX(tEditais[SRP],MATCH(tItens[[#This Row],[Edital]],tEditais[Edital],0)),"Não")</f>
        <v>Sim</v>
      </c>
      <c r="P6687" s="4">
        <f>IF(COUNTIFS(INDEX(tItens[Edital],1):tItens[[#This Row],[Edital]],tItens[[#This Row],[Edital]],INDEX(tItens[Produto],1):tItens[[#This Row],[Produto]],tItens[[#This Row],[Produto]])=1,1,0)</f>
        <v>0</v>
      </c>
    </row>
    <row r="6688" spans="1:16" x14ac:dyDescent="0.25">
      <c r="A6688" t="s">
        <v>2380</v>
      </c>
      <c r="B6688">
        <v>166</v>
      </c>
      <c r="C6688" t="s">
        <v>9375</v>
      </c>
      <c r="D6688" t="s">
        <v>253</v>
      </c>
      <c r="E6688" s="13">
        <v>10</v>
      </c>
      <c r="F6688" s="12">
        <v>48</v>
      </c>
      <c r="G6688" t="str">
        <f>IFERROR(INDEX(tEditais[Órgão],MATCH(tItens[[#This Row],[Edital]],tEditais[Edital],0)),"")</f>
        <v>MUNICIPIO DE FRUTUOSO GOMES</v>
      </c>
      <c r="H6688" t="str">
        <f>IFERROR(INDEX(tEditais[UF],MATCH(tItens[[#This Row],[Edital]],tEditais[Edital],0)),"")</f>
        <v>RN</v>
      </c>
      <c r="I6688" s="11">
        <f>IFERROR(INDEX(tEditais[Encerramento],MATCH(tItens[[#This Row],[Edital]],tEditais[Edital],0)),"")</f>
        <v>46308.375</v>
      </c>
      <c r="J6688" t="str">
        <f>IFERROR(INDEX(tProdutos[Classe],MATCH(tItens[[#This Row],[Produto]],tProdutos[Produto],0)),"produto não cadastrado")</f>
        <v>FORA</v>
      </c>
      <c r="K6688" s="12">
        <f>tItens[[#This Row],[Qtd]]*tItens[[#This Row],[Vlr unit]]</f>
        <v>480</v>
      </c>
      <c r="L6688" s="6">
        <f>IFERROR(IF(INDEX(tProdutos[Desconto homologado],MATCH(tItens[[#This Row],[Produto]],tProdutos[Produto],0))="",DescontoPadrao,INDEX(tProdutos[Desconto homologado],MATCH(tItens[[#This Row],[Produto]],tProdutos[Produto],0))),DescontoPadrao)</f>
        <v>0.31735159817351599</v>
      </c>
      <c r="M6688" s="12">
        <f>tItens[[#This Row],[Valor]]*(1-tItens[[#This Row],[Desconto]])</f>
        <v>327.67123287671234</v>
      </c>
      <c r="N6688" t="str">
        <f>IFERROR(INDEX(tProdutos[Foco],MATCH(tItens[[#This Row],[Produto]],tProdutos[Produto],0)),"Não")</f>
        <v>Não</v>
      </c>
      <c r="O6688" t="str">
        <f>IFERROR(INDEX(tEditais[SRP],MATCH(tItens[[#This Row],[Edital]],tEditais[Edital],0)),"Não")</f>
        <v>Sim</v>
      </c>
      <c r="P6688" s="4">
        <f>IF(COUNTIFS(INDEX(tItens[Edital],1):tItens[[#This Row],[Edital]],tItens[[#This Row],[Edital]],INDEX(tItens[Produto],1):tItens[[#This Row],[Produto]],tItens[[#This Row],[Produto]])=1,1,0)</f>
        <v>1</v>
      </c>
    </row>
    <row r="6689" spans="1:16" x14ac:dyDescent="0.25">
      <c r="A6689" t="s">
        <v>2380</v>
      </c>
      <c r="B6689">
        <v>167</v>
      </c>
      <c r="C6689" t="s">
        <v>9376</v>
      </c>
      <c r="D6689" t="s">
        <v>253</v>
      </c>
      <c r="E6689" s="13">
        <v>10</v>
      </c>
      <c r="F6689" s="12">
        <v>48</v>
      </c>
      <c r="G6689" t="str">
        <f>IFERROR(INDEX(tEditais[Órgão],MATCH(tItens[[#This Row],[Edital]],tEditais[Edital],0)),"")</f>
        <v>MUNICIPIO DE FRUTUOSO GOMES</v>
      </c>
      <c r="H6689" t="str">
        <f>IFERROR(INDEX(tEditais[UF],MATCH(tItens[[#This Row],[Edital]],tEditais[Edital],0)),"")</f>
        <v>RN</v>
      </c>
      <c r="I6689" s="11">
        <f>IFERROR(INDEX(tEditais[Encerramento],MATCH(tItens[[#This Row],[Edital]],tEditais[Edital],0)),"")</f>
        <v>46308.375</v>
      </c>
      <c r="J6689" t="str">
        <f>IFERROR(INDEX(tProdutos[Classe],MATCH(tItens[[#This Row],[Produto]],tProdutos[Produto],0)),"produto não cadastrado")</f>
        <v>FORA</v>
      </c>
      <c r="K6689" s="12">
        <f>tItens[[#This Row],[Qtd]]*tItens[[#This Row],[Vlr unit]]</f>
        <v>480</v>
      </c>
      <c r="L6689" s="6">
        <f>IFERROR(IF(INDEX(tProdutos[Desconto homologado],MATCH(tItens[[#This Row],[Produto]],tProdutos[Produto],0))="",DescontoPadrao,INDEX(tProdutos[Desconto homologado],MATCH(tItens[[#This Row],[Produto]],tProdutos[Produto],0))),DescontoPadrao)</f>
        <v>0.31735159817351599</v>
      </c>
      <c r="M6689" s="12">
        <f>tItens[[#This Row],[Valor]]*(1-tItens[[#This Row],[Desconto]])</f>
        <v>327.67123287671234</v>
      </c>
      <c r="N6689" t="str">
        <f>IFERROR(INDEX(tProdutos[Foco],MATCH(tItens[[#This Row],[Produto]],tProdutos[Produto],0)),"Não")</f>
        <v>Não</v>
      </c>
      <c r="O6689" t="str">
        <f>IFERROR(INDEX(tEditais[SRP],MATCH(tItens[[#This Row],[Edital]],tEditais[Edital],0)),"Não")</f>
        <v>Sim</v>
      </c>
      <c r="P6689" s="4">
        <f>IF(COUNTIFS(INDEX(tItens[Edital],1):tItens[[#This Row],[Edital]],tItens[[#This Row],[Edital]],INDEX(tItens[Produto],1):tItens[[#This Row],[Produto]],tItens[[#This Row],[Produto]])=1,1,0)</f>
        <v>0</v>
      </c>
    </row>
    <row r="6690" spans="1:16" x14ac:dyDescent="0.25">
      <c r="A6690" t="s">
        <v>2380</v>
      </c>
      <c r="B6690">
        <v>168</v>
      </c>
      <c r="C6690" t="s">
        <v>9377</v>
      </c>
      <c r="D6690" t="s">
        <v>253</v>
      </c>
      <c r="E6690" s="13">
        <v>10</v>
      </c>
      <c r="F6690" s="12">
        <v>48</v>
      </c>
      <c r="G6690" t="str">
        <f>IFERROR(INDEX(tEditais[Órgão],MATCH(tItens[[#This Row],[Edital]],tEditais[Edital],0)),"")</f>
        <v>MUNICIPIO DE FRUTUOSO GOMES</v>
      </c>
      <c r="H6690" t="str">
        <f>IFERROR(INDEX(tEditais[UF],MATCH(tItens[[#This Row],[Edital]],tEditais[Edital],0)),"")</f>
        <v>RN</v>
      </c>
      <c r="I6690" s="11">
        <f>IFERROR(INDEX(tEditais[Encerramento],MATCH(tItens[[#This Row],[Edital]],tEditais[Edital],0)),"")</f>
        <v>46308.375</v>
      </c>
      <c r="J6690" t="str">
        <f>IFERROR(INDEX(tProdutos[Classe],MATCH(tItens[[#This Row],[Produto]],tProdutos[Produto],0)),"produto não cadastrado")</f>
        <v>FORA</v>
      </c>
      <c r="K6690" s="12">
        <f>tItens[[#This Row],[Qtd]]*tItens[[#This Row],[Vlr unit]]</f>
        <v>480</v>
      </c>
      <c r="L6690" s="6">
        <f>IFERROR(IF(INDEX(tProdutos[Desconto homologado],MATCH(tItens[[#This Row],[Produto]],tProdutos[Produto],0))="",DescontoPadrao,INDEX(tProdutos[Desconto homologado],MATCH(tItens[[#This Row],[Produto]],tProdutos[Produto],0))),DescontoPadrao)</f>
        <v>0.31735159817351599</v>
      </c>
      <c r="M6690" s="12">
        <f>tItens[[#This Row],[Valor]]*(1-tItens[[#This Row],[Desconto]])</f>
        <v>327.67123287671234</v>
      </c>
      <c r="N6690" t="str">
        <f>IFERROR(INDEX(tProdutos[Foco],MATCH(tItens[[#This Row],[Produto]],tProdutos[Produto],0)),"Não")</f>
        <v>Não</v>
      </c>
      <c r="O6690" t="str">
        <f>IFERROR(INDEX(tEditais[SRP],MATCH(tItens[[#This Row],[Edital]],tEditais[Edital],0)),"Não")</f>
        <v>Sim</v>
      </c>
      <c r="P6690" s="4">
        <f>IF(COUNTIFS(INDEX(tItens[Edital],1):tItens[[#This Row],[Edital]],tItens[[#This Row],[Edital]],INDEX(tItens[Produto],1):tItens[[#This Row],[Produto]],tItens[[#This Row],[Produto]])=1,1,0)</f>
        <v>0</v>
      </c>
    </row>
    <row r="6691" spans="1:16" x14ac:dyDescent="0.25">
      <c r="A6691" t="s">
        <v>2380</v>
      </c>
      <c r="B6691">
        <v>169</v>
      </c>
      <c r="C6691" t="s">
        <v>9378</v>
      </c>
      <c r="D6691" t="s">
        <v>253</v>
      </c>
      <c r="E6691" s="13">
        <v>10</v>
      </c>
      <c r="F6691" s="12">
        <v>48</v>
      </c>
      <c r="G6691" t="str">
        <f>IFERROR(INDEX(tEditais[Órgão],MATCH(tItens[[#This Row],[Edital]],tEditais[Edital],0)),"")</f>
        <v>MUNICIPIO DE FRUTUOSO GOMES</v>
      </c>
      <c r="H6691" t="str">
        <f>IFERROR(INDEX(tEditais[UF],MATCH(tItens[[#This Row],[Edital]],tEditais[Edital],0)),"")</f>
        <v>RN</v>
      </c>
      <c r="I6691" s="11">
        <f>IFERROR(INDEX(tEditais[Encerramento],MATCH(tItens[[#This Row],[Edital]],tEditais[Edital],0)),"")</f>
        <v>46308.375</v>
      </c>
      <c r="J6691" t="str">
        <f>IFERROR(INDEX(tProdutos[Classe],MATCH(tItens[[#This Row],[Produto]],tProdutos[Produto],0)),"produto não cadastrado")</f>
        <v>FORA</v>
      </c>
      <c r="K6691" s="12">
        <f>tItens[[#This Row],[Qtd]]*tItens[[#This Row],[Vlr unit]]</f>
        <v>480</v>
      </c>
      <c r="L6691" s="6">
        <f>IFERROR(IF(INDEX(tProdutos[Desconto homologado],MATCH(tItens[[#This Row],[Produto]],tProdutos[Produto],0))="",DescontoPadrao,INDEX(tProdutos[Desconto homologado],MATCH(tItens[[#This Row],[Produto]],tProdutos[Produto],0))),DescontoPadrao)</f>
        <v>0.31735159817351599</v>
      </c>
      <c r="M6691" s="12">
        <f>tItens[[#This Row],[Valor]]*(1-tItens[[#This Row],[Desconto]])</f>
        <v>327.67123287671234</v>
      </c>
      <c r="N6691" t="str">
        <f>IFERROR(INDEX(tProdutos[Foco],MATCH(tItens[[#This Row],[Produto]],tProdutos[Produto],0)),"Não")</f>
        <v>Não</v>
      </c>
      <c r="O6691" t="str">
        <f>IFERROR(INDEX(tEditais[SRP],MATCH(tItens[[#This Row],[Edital]],tEditais[Edital],0)),"Não")</f>
        <v>Sim</v>
      </c>
      <c r="P6691" s="4">
        <f>IF(COUNTIFS(INDEX(tItens[Edital],1):tItens[[#This Row],[Edital]],tItens[[#This Row],[Edital]],INDEX(tItens[Produto],1):tItens[[#This Row],[Produto]],tItens[[#This Row],[Produto]])=1,1,0)</f>
        <v>0</v>
      </c>
    </row>
    <row r="6692" spans="1:16" x14ac:dyDescent="0.25">
      <c r="A6692" t="s">
        <v>2380</v>
      </c>
      <c r="B6692">
        <v>170</v>
      </c>
      <c r="C6692" t="s">
        <v>9379</v>
      </c>
      <c r="D6692" t="s">
        <v>253</v>
      </c>
      <c r="E6692" s="13">
        <v>10</v>
      </c>
      <c r="F6692" s="12">
        <v>48</v>
      </c>
      <c r="G6692" t="str">
        <f>IFERROR(INDEX(tEditais[Órgão],MATCH(tItens[[#This Row],[Edital]],tEditais[Edital],0)),"")</f>
        <v>MUNICIPIO DE FRUTUOSO GOMES</v>
      </c>
      <c r="H6692" t="str">
        <f>IFERROR(INDEX(tEditais[UF],MATCH(tItens[[#This Row],[Edital]],tEditais[Edital],0)),"")</f>
        <v>RN</v>
      </c>
      <c r="I6692" s="11">
        <f>IFERROR(INDEX(tEditais[Encerramento],MATCH(tItens[[#This Row],[Edital]],tEditais[Edital],0)),"")</f>
        <v>46308.375</v>
      </c>
      <c r="J6692" t="str">
        <f>IFERROR(INDEX(tProdutos[Classe],MATCH(tItens[[#This Row],[Produto]],tProdutos[Produto],0)),"produto não cadastrado")</f>
        <v>FORA</v>
      </c>
      <c r="K6692" s="12">
        <f>tItens[[#This Row],[Qtd]]*tItens[[#This Row],[Vlr unit]]</f>
        <v>480</v>
      </c>
      <c r="L6692" s="6">
        <f>IFERROR(IF(INDEX(tProdutos[Desconto homologado],MATCH(tItens[[#This Row],[Produto]],tProdutos[Produto],0))="",DescontoPadrao,INDEX(tProdutos[Desconto homologado],MATCH(tItens[[#This Row],[Produto]],tProdutos[Produto],0))),DescontoPadrao)</f>
        <v>0.31735159817351599</v>
      </c>
      <c r="M6692" s="12">
        <f>tItens[[#This Row],[Valor]]*(1-tItens[[#This Row],[Desconto]])</f>
        <v>327.67123287671234</v>
      </c>
      <c r="N6692" t="str">
        <f>IFERROR(INDEX(tProdutos[Foco],MATCH(tItens[[#This Row],[Produto]],tProdutos[Produto],0)),"Não")</f>
        <v>Não</v>
      </c>
      <c r="O6692" t="str">
        <f>IFERROR(INDEX(tEditais[SRP],MATCH(tItens[[#This Row],[Edital]],tEditais[Edital],0)),"Não")</f>
        <v>Sim</v>
      </c>
      <c r="P6692" s="4">
        <f>IF(COUNTIFS(INDEX(tItens[Edital],1):tItens[[#This Row],[Edital]],tItens[[#This Row],[Edital]],INDEX(tItens[Produto],1):tItens[[#This Row],[Produto]],tItens[[#This Row],[Produto]])=1,1,0)</f>
        <v>0</v>
      </c>
    </row>
    <row r="6693" spans="1:16" x14ac:dyDescent="0.25">
      <c r="A6693" t="s">
        <v>2380</v>
      </c>
      <c r="B6693">
        <v>171</v>
      </c>
      <c r="C6693" t="s">
        <v>9380</v>
      </c>
      <c r="D6693" t="s">
        <v>253</v>
      </c>
      <c r="E6693" s="13">
        <v>10</v>
      </c>
      <c r="F6693" s="12">
        <v>48</v>
      </c>
      <c r="G6693" t="str">
        <f>IFERROR(INDEX(tEditais[Órgão],MATCH(tItens[[#This Row],[Edital]],tEditais[Edital],0)),"")</f>
        <v>MUNICIPIO DE FRUTUOSO GOMES</v>
      </c>
      <c r="H6693" t="str">
        <f>IFERROR(INDEX(tEditais[UF],MATCH(tItens[[#This Row],[Edital]],tEditais[Edital],0)),"")</f>
        <v>RN</v>
      </c>
      <c r="I6693" s="11">
        <f>IFERROR(INDEX(tEditais[Encerramento],MATCH(tItens[[#This Row],[Edital]],tEditais[Edital],0)),"")</f>
        <v>46308.375</v>
      </c>
      <c r="J6693" t="str">
        <f>IFERROR(INDEX(tProdutos[Classe],MATCH(tItens[[#This Row],[Produto]],tProdutos[Produto],0)),"produto não cadastrado")</f>
        <v>FORA</v>
      </c>
      <c r="K6693" s="12">
        <f>tItens[[#This Row],[Qtd]]*tItens[[#This Row],[Vlr unit]]</f>
        <v>480</v>
      </c>
      <c r="L6693" s="6">
        <f>IFERROR(IF(INDEX(tProdutos[Desconto homologado],MATCH(tItens[[#This Row],[Produto]],tProdutos[Produto],0))="",DescontoPadrao,INDEX(tProdutos[Desconto homologado],MATCH(tItens[[#This Row],[Produto]],tProdutos[Produto],0))),DescontoPadrao)</f>
        <v>0.31735159817351599</v>
      </c>
      <c r="M6693" s="12">
        <f>tItens[[#This Row],[Valor]]*(1-tItens[[#This Row],[Desconto]])</f>
        <v>327.67123287671234</v>
      </c>
      <c r="N6693" t="str">
        <f>IFERROR(INDEX(tProdutos[Foco],MATCH(tItens[[#This Row],[Produto]],tProdutos[Produto],0)),"Não")</f>
        <v>Não</v>
      </c>
      <c r="O6693" t="str">
        <f>IFERROR(INDEX(tEditais[SRP],MATCH(tItens[[#This Row],[Edital]],tEditais[Edital],0)),"Não")</f>
        <v>Sim</v>
      </c>
      <c r="P6693" s="4">
        <f>IF(COUNTIFS(INDEX(tItens[Edital],1):tItens[[#This Row],[Edital]],tItens[[#This Row],[Edital]],INDEX(tItens[Produto],1):tItens[[#This Row],[Produto]],tItens[[#This Row],[Produto]])=1,1,0)</f>
        <v>0</v>
      </c>
    </row>
    <row r="6694" spans="1:16" x14ac:dyDescent="0.25">
      <c r="A6694" t="s">
        <v>2380</v>
      </c>
      <c r="B6694">
        <v>172</v>
      </c>
      <c r="C6694" t="s">
        <v>9381</v>
      </c>
      <c r="D6694" t="s">
        <v>253</v>
      </c>
      <c r="E6694" s="13">
        <v>10</v>
      </c>
      <c r="F6694" s="12">
        <v>48</v>
      </c>
      <c r="G6694" t="str">
        <f>IFERROR(INDEX(tEditais[Órgão],MATCH(tItens[[#This Row],[Edital]],tEditais[Edital],0)),"")</f>
        <v>MUNICIPIO DE FRUTUOSO GOMES</v>
      </c>
      <c r="H6694" t="str">
        <f>IFERROR(INDEX(tEditais[UF],MATCH(tItens[[#This Row],[Edital]],tEditais[Edital],0)),"")</f>
        <v>RN</v>
      </c>
      <c r="I6694" s="11">
        <f>IFERROR(INDEX(tEditais[Encerramento],MATCH(tItens[[#This Row],[Edital]],tEditais[Edital],0)),"")</f>
        <v>46308.375</v>
      </c>
      <c r="J6694" t="str">
        <f>IFERROR(INDEX(tProdutos[Classe],MATCH(tItens[[#This Row],[Produto]],tProdutos[Produto],0)),"produto não cadastrado")</f>
        <v>FORA</v>
      </c>
      <c r="K6694" s="12">
        <f>tItens[[#This Row],[Qtd]]*tItens[[#This Row],[Vlr unit]]</f>
        <v>480</v>
      </c>
      <c r="L6694" s="6">
        <f>IFERROR(IF(INDEX(tProdutos[Desconto homologado],MATCH(tItens[[#This Row],[Produto]],tProdutos[Produto],0))="",DescontoPadrao,INDEX(tProdutos[Desconto homologado],MATCH(tItens[[#This Row],[Produto]],tProdutos[Produto],0))),DescontoPadrao)</f>
        <v>0.31735159817351599</v>
      </c>
      <c r="M6694" s="12">
        <f>tItens[[#This Row],[Valor]]*(1-tItens[[#This Row],[Desconto]])</f>
        <v>327.67123287671234</v>
      </c>
      <c r="N6694" t="str">
        <f>IFERROR(INDEX(tProdutos[Foco],MATCH(tItens[[#This Row],[Produto]],tProdutos[Produto],0)),"Não")</f>
        <v>Não</v>
      </c>
      <c r="O6694" t="str">
        <f>IFERROR(INDEX(tEditais[SRP],MATCH(tItens[[#This Row],[Edital]],tEditais[Edital],0)),"Não")</f>
        <v>Sim</v>
      </c>
      <c r="P6694" s="4">
        <f>IF(COUNTIFS(INDEX(tItens[Edital],1):tItens[[#This Row],[Edital]],tItens[[#This Row],[Edital]],INDEX(tItens[Produto],1):tItens[[#This Row],[Produto]],tItens[[#This Row],[Produto]])=1,1,0)</f>
        <v>0</v>
      </c>
    </row>
    <row r="6695" spans="1:16" x14ac:dyDescent="0.25">
      <c r="A6695" t="s">
        <v>2380</v>
      </c>
      <c r="B6695">
        <v>173</v>
      </c>
      <c r="C6695" t="s">
        <v>9382</v>
      </c>
      <c r="D6695" t="s">
        <v>253</v>
      </c>
      <c r="E6695" s="13">
        <v>10</v>
      </c>
      <c r="F6695" s="12">
        <v>48</v>
      </c>
      <c r="G6695" t="str">
        <f>IFERROR(INDEX(tEditais[Órgão],MATCH(tItens[[#This Row],[Edital]],tEditais[Edital],0)),"")</f>
        <v>MUNICIPIO DE FRUTUOSO GOMES</v>
      </c>
      <c r="H6695" t="str">
        <f>IFERROR(INDEX(tEditais[UF],MATCH(tItens[[#This Row],[Edital]],tEditais[Edital],0)),"")</f>
        <v>RN</v>
      </c>
      <c r="I6695" s="11">
        <f>IFERROR(INDEX(tEditais[Encerramento],MATCH(tItens[[#This Row],[Edital]],tEditais[Edital],0)),"")</f>
        <v>46308.375</v>
      </c>
      <c r="J6695" t="str">
        <f>IFERROR(INDEX(tProdutos[Classe],MATCH(tItens[[#This Row],[Produto]],tProdutos[Produto],0)),"produto não cadastrado")</f>
        <v>FORA</v>
      </c>
      <c r="K6695" s="12">
        <f>tItens[[#This Row],[Qtd]]*tItens[[#This Row],[Vlr unit]]</f>
        <v>480</v>
      </c>
      <c r="L6695" s="6">
        <f>IFERROR(IF(INDEX(tProdutos[Desconto homologado],MATCH(tItens[[#This Row],[Produto]],tProdutos[Produto],0))="",DescontoPadrao,INDEX(tProdutos[Desconto homologado],MATCH(tItens[[#This Row],[Produto]],tProdutos[Produto],0))),DescontoPadrao)</f>
        <v>0.31735159817351599</v>
      </c>
      <c r="M6695" s="12">
        <f>tItens[[#This Row],[Valor]]*(1-tItens[[#This Row],[Desconto]])</f>
        <v>327.67123287671234</v>
      </c>
      <c r="N6695" t="str">
        <f>IFERROR(INDEX(tProdutos[Foco],MATCH(tItens[[#This Row],[Produto]],tProdutos[Produto],0)),"Não")</f>
        <v>Não</v>
      </c>
      <c r="O6695" t="str">
        <f>IFERROR(INDEX(tEditais[SRP],MATCH(tItens[[#This Row],[Edital]],tEditais[Edital],0)),"Não")</f>
        <v>Sim</v>
      </c>
      <c r="P6695" s="4">
        <f>IF(COUNTIFS(INDEX(tItens[Edital],1):tItens[[#This Row],[Edital]],tItens[[#This Row],[Edital]],INDEX(tItens[Produto],1):tItens[[#This Row],[Produto]],tItens[[#This Row],[Produto]])=1,1,0)</f>
        <v>0</v>
      </c>
    </row>
    <row r="6696" spans="1:16" x14ac:dyDescent="0.25">
      <c r="A6696" t="s">
        <v>2380</v>
      </c>
      <c r="B6696">
        <v>174</v>
      </c>
      <c r="C6696" t="s">
        <v>9383</v>
      </c>
      <c r="D6696" t="s">
        <v>120</v>
      </c>
      <c r="E6696" s="13">
        <v>50</v>
      </c>
      <c r="F6696" s="12">
        <v>10</v>
      </c>
      <c r="G6696" t="str">
        <f>IFERROR(INDEX(tEditais[Órgão],MATCH(tItens[[#This Row],[Edital]],tEditais[Edital],0)),"")</f>
        <v>MUNICIPIO DE FRUTUOSO GOMES</v>
      </c>
      <c r="H6696" t="str">
        <f>IFERROR(INDEX(tEditais[UF],MATCH(tItens[[#This Row],[Edital]],tEditais[Edital],0)),"")</f>
        <v>RN</v>
      </c>
      <c r="I6696" s="11">
        <f>IFERROR(INDEX(tEditais[Encerramento],MATCH(tItens[[#This Row],[Edital]],tEditais[Edital],0)),"")</f>
        <v>46308.375</v>
      </c>
      <c r="J6696" t="str">
        <f>IFERROR(INDEX(tProdutos[Classe],MATCH(tItens[[#This Row],[Produto]],tProdutos[Produto],0)),"produto não cadastrado")</f>
        <v>DISPUTADO</v>
      </c>
      <c r="K6696" s="12">
        <f>tItens[[#This Row],[Qtd]]*tItens[[#This Row],[Vlr unit]]</f>
        <v>500</v>
      </c>
      <c r="L6696" s="6">
        <f>IFERROR(IF(INDEX(tProdutos[Desconto homologado],MATCH(tItens[[#This Row],[Produto]],tProdutos[Produto],0))="",DescontoPadrao,INDEX(tProdutos[Desconto homologado],MATCH(tItens[[#This Row],[Produto]],tProdutos[Produto],0))),DescontoPadrao)</f>
        <v>0.40909090909090901</v>
      </c>
      <c r="M6696" s="12">
        <f>tItens[[#This Row],[Valor]]*(1-tItens[[#This Row],[Desconto]])</f>
        <v>295.45454545454555</v>
      </c>
      <c r="N6696" t="str">
        <f>IFERROR(INDEX(tProdutos[Foco],MATCH(tItens[[#This Row],[Produto]],tProdutos[Produto],0)),"Não")</f>
        <v>Não</v>
      </c>
      <c r="O6696" t="str">
        <f>IFERROR(INDEX(tEditais[SRP],MATCH(tItens[[#This Row],[Edital]],tEditais[Edital],0)),"Não")</f>
        <v>Sim</v>
      </c>
      <c r="P6696" s="4">
        <f>IF(COUNTIFS(INDEX(tItens[Edital],1):tItens[[#This Row],[Edital]],tItens[[#This Row],[Edital]],INDEX(tItens[Produto],1):tItens[[#This Row],[Produto]],tItens[[#This Row],[Produto]])=1,1,0)</f>
        <v>1</v>
      </c>
    </row>
    <row r="6697" spans="1:16" x14ac:dyDescent="0.25">
      <c r="A6697" t="s">
        <v>2380</v>
      </c>
      <c r="B6697">
        <v>175</v>
      </c>
      <c r="C6697" t="s">
        <v>9384</v>
      </c>
      <c r="D6697" t="s">
        <v>110</v>
      </c>
      <c r="E6697" s="13">
        <v>100</v>
      </c>
      <c r="F6697" s="12">
        <v>8</v>
      </c>
      <c r="G6697" t="str">
        <f>IFERROR(INDEX(tEditais[Órgão],MATCH(tItens[[#This Row],[Edital]],tEditais[Edital],0)),"")</f>
        <v>MUNICIPIO DE FRUTUOSO GOMES</v>
      </c>
      <c r="H6697" t="str">
        <f>IFERROR(INDEX(tEditais[UF],MATCH(tItens[[#This Row],[Edital]],tEditais[Edital],0)),"")</f>
        <v>RN</v>
      </c>
      <c r="I6697" s="11">
        <f>IFERROR(INDEX(tEditais[Encerramento],MATCH(tItens[[#This Row],[Edital]],tEditais[Edital],0)),"")</f>
        <v>46308.375</v>
      </c>
      <c r="J6697" t="str">
        <f>IFERROR(INDEX(tProdutos[Classe],MATCH(tItens[[#This Row],[Produto]],tProdutos[Produto],0)),"produto não cadastrado")</f>
        <v>NÚCLEO</v>
      </c>
      <c r="K6697" s="12">
        <f>tItens[[#This Row],[Qtd]]*tItens[[#This Row],[Vlr unit]]</f>
        <v>800</v>
      </c>
      <c r="L6697" s="6">
        <f>IFERROR(IF(INDEX(tProdutos[Desconto homologado],MATCH(tItens[[#This Row],[Produto]],tProdutos[Produto],0))="",DescontoPadrao,INDEX(tProdutos[Desconto homologado],MATCH(tItens[[#This Row],[Produto]],tProdutos[Produto],0))),DescontoPadrao)</f>
        <v>0.30410958904109597</v>
      </c>
      <c r="M6697" s="12">
        <f>tItens[[#This Row],[Valor]]*(1-tItens[[#This Row],[Desconto]])</f>
        <v>556.71232876712327</v>
      </c>
      <c r="N6697" t="str">
        <f>IFERROR(INDEX(tProdutos[Foco],MATCH(tItens[[#This Row],[Produto]],tProdutos[Produto],0)),"Não")</f>
        <v>Não</v>
      </c>
      <c r="O6697" t="str">
        <f>IFERROR(INDEX(tEditais[SRP],MATCH(tItens[[#This Row],[Edital]],tEditais[Edital],0)),"Não")</f>
        <v>Sim</v>
      </c>
      <c r="P6697" s="4">
        <f>IF(COUNTIFS(INDEX(tItens[Edital],1):tItens[[#This Row],[Edital]],tItens[[#This Row],[Edital]],INDEX(tItens[Produto],1):tItens[[#This Row],[Produto]],tItens[[#This Row],[Produto]])=1,1,0)</f>
        <v>1</v>
      </c>
    </row>
    <row r="6698" spans="1:16" x14ac:dyDescent="0.25">
      <c r="A6698" t="s">
        <v>2380</v>
      </c>
      <c r="B6698">
        <v>176</v>
      </c>
      <c r="C6698" t="s">
        <v>9385</v>
      </c>
      <c r="D6698" t="s">
        <v>110</v>
      </c>
      <c r="E6698" s="13">
        <v>100</v>
      </c>
      <c r="F6698" s="12">
        <v>8</v>
      </c>
      <c r="G6698" t="str">
        <f>IFERROR(INDEX(tEditais[Órgão],MATCH(tItens[[#This Row],[Edital]],tEditais[Edital],0)),"")</f>
        <v>MUNICIPIO DE FRUTUOSO GOMES</v>
      </c>
      <c r="H6698" t="str">
        <f>IFERROR(INDEX(tEditais[UF],MATCH(tItens[[#This Row],[Edital]],tEditais[Edital],0)),"")</f>
        <v>RN</v>
      </c>
      <c r="I6698" s="11">
        <f>IFERROR(INDEX(tEditais[Encerramento],MATCH(tItens[[#This Row],[Edital]],tEditais[Edital],0)),"")</f>
        <v>46308.375</v>
      </c>
      <c r="J6698" t="str">
        <f>IFERROR(INDEX(tProdutos[Classe],MATCH(tItens[[#This Row],[Produto]],tProdutos[Produto],0)),"produto não cadastrado")</f>
        <v>NÚCLEO</v>
      </c>
      <c r="K6698" s="12">
        <f>tItens[[#This Row],[Qtd]]*tItens[[#This Row],[Vlr unit]]</f>
        <v>800</v>
      </c>
      <c r="L6698" s="6">
        <f>IFERROR(IF(INDEX(tProdutos[Desconto homologado],MATCH(tItens[[#This Row],[Produto]],tProdutos[Produto],0))="",DescontoPadrao,INDEX(tProdutos[Desconto homologado],MATCH(tItens[[#This Row],[Produto]],tProdutos[Produto],0))),DescontoPadrao)</f>
        <v>0.30410958904109597</v>
      </c>
      <c r="M6698" s="12">
        <f>tItens[[#This Row],[Valor]]*(1-tItens[[#This Row],[Desconto]])</f>
        <v>556.71232876712327</v>
      </c>
      <c r="N6698" t="str">
        <f>IFERROR(INDEX(tProdutos[Foco],MATCH(tItens[[#This Row],[Produto]],tProdutos[Produto],0)),"Não")</f>
        <v>Não</v>
      </c>
      <c r="O6698" t="str">
        <f>IFERROR(INDEX(tEditais[SRP],MATCH(tItens[[#This Row],[Edital]],tEditais[Edital],0)),"Não")</f>
        <v>Sim</v>
      </c>
      <c r="P6698" s="4">
        <f>IF(COUNTIFS(INDEX(tItens[Edital],1):tItens[[#This Row],[Edital]],tItens[[#This Row],[Edital]],INDEX(tItens[Produto],1):tItens[[#This Row],[Produto]],tItens[[#This Row],[Produto]])=1,1,0)</f>
        <v>0</v>
      </c>
    </row>
    <row r="6699" spans="1:16" x14ac:dyDescent="0.25">
      <c r="A6699" t="s">
        <v>2380</v>
      </c>
      <c r="B6699">
        <v>177</v>
      </c>
      <c r="C6699" t="s">
        <v>9386</v>
      </c>
      <c r="D6699" t="s">
        <v>110</v>
      </c>
      <c r="E6699" s="13">
        <v>100</v>
      </c>
      <c r="F6699" s="12">
        <v>8</v>
      </c>
      <c r="G6699" t="str">
        <f>IFERROR(INDEX(tEditais[Órgão],MATCH(tItens[[#This Row],[Edital]],tEditais[Edital],0)),"")</f>
        <v>MUNICIPIO DE FRUTUOSO GOMES</v>
      </c>
      <c r="H6699" t="str">
        <f>IFERROR(INDEX(tEditais[UF],MATCH(tItens[[#This Row],[Edital]],tEditais[Edital],0)),"")</f>
        <v>RN</v>
      </c>
      <c r="I6699" s="11">
        <f>IFERROR(INDEX(tEditais[Encerramento],MATCH(tItens[[#This Row],[Edital]],tEditais[Edital],0)),"")</f>
        <v>46308.375</v>
      </c>
      <c r="J6699" t="str">
        <f>IFERROR(INDEX(tProdutos[Classe],MATCH(tItens[[#This Row],[Produto]],tProdutos[Produto],0)),"produto não cadastrado")</f>
        <v>NÚCLEO</v>
      </c>
      <c r="K6699" s="12">
        <f>tItens[[#This Row],[Qtd]]*tItens[[#This Row],[Vlr unit]]</f>
        <v>800</v>
      </c>
      <c r="L6699" s="6">
        <f>IFERROR(IF(INDEX(tProdutos[Desconto homologado],MATCH(tItens[[#This Row],[Produto]],tProdutos[Produto],0))="",DescontoPadrao,INDEX(tProdutos[Desconto homologado],MATCH(tItens[[#This Row],[Produto]],tProdutos[Produto],0))),DescontoPadrao)</f>
        <v>0.30410958904109597</v>
      </c>
      <c r="M6699" s="12">
        <f>tItens[[#This Row],[Valor]]*(1-tItens[[#This Row],[Desconto]])</f>
        <v>556.71232876712327</v>
      </c>
      <c r="N6699" t="str">
        <f>IFERROR(INDEX(tProdutos[Foco],MATCH(tItens[[#This Row],[Produto]],tProdutos[Produto],0)),"Não")</f>
        <v>Não</v>
      </c>
      <c r="O6699" t="str">
        <f>IFERROR(INDEX(tEditais[SRP],MATCH(tItens[[#This Row],[Edital]],tEditais[Edital],0)),"Não")</f>
        <v>Sim</v>
      </c>
      <c r="P6699" s="4">
        <f>IF(COUNTIFS(INDEX(tItens[Edital],1):tItens[[#This Row],[Edital]],tItens[[#This Row],[Edital]],INDEX(tItens[Produto],1):tItens[[#This Row],[Produto]],tItens[[#This Row],[Produto]])=1,1,0)</f>
        <v>0</v>
      </c>
    </row>
    <row r="6700" spans="1:16" x14ac:dyDescent="0.25">
      <c r="A6700" t="s">
        <v>2380</v>
      </c>
      <c r="B6700">
        <v>178</v>
      </c>
      <c r="C6700" t="s">
        <v>9387</v>
      </c>
      <c r="D6700" t="s">
        <v>110</v>
      </c>
      <c r="E6700" s="13">
        <v>100</v>
      </c>
      <c r="F6700" s="12">
        <v>8</v>
      </c>
      <c r="G6700" t="str">
        <f>IFERROR(INDEX(tEditais[Órgão],MATCH(tItens[[#This Row],[Edital]],tEditais[Edital],0)),"")</f>
        <v>MUNICIPIO DE FRUTUOSO GOMES</v>
      </c>
      <c r="H6700" t="str">
        <f>IFERROR(INDEX(tEditais[UF],MATCH(tItens[[#This Row],[Edital]],tEditais[Edital],0)),"")</f>
        <v>RN</v>
      </c>
      <c r="I6700" s="11">
        <f>IFERROR(INDEX(tEditais[Encerramento],MATCH(tItens[[#This Row],[Edital]],tEditais[Edital],0)),"")</f>
        <v>46308.375</v>
      </c>
      <c r="J6700" t="str">
        <f>IFERROR(INDEX(tProdutos[Classe],MATCH(tItens[[#This Row],[Produto]],tProdutos[Produto],0)),"produto não cadastrado")</f>
        <v>NÚCLEO</v>
      </c>
      <c r="K6700" s="12">
        <f>tItens[[#This Row],[Qtd]]*tItens[[#This Row],[Vlr unit]]</f>
        <v>800</v>
      </c>
      <c r="L6700" s="6">
        <f>IFERROR(IF(INDEX(tProdutos[Desconto homologado],MATCH(tItens[[#This Row],[Produto]],tProdutos[Produto],0))="",DescontoPadrao,INDEX(tProdutos[Desconto homologado],MATCH(tItens[[#This Row],[Produto]],tProdutos[Produto],0))),DescontoPadrao)</f>
        <v>0.30410958904109597</v>
      </c>
      <c r="M6700" s="12">
        <f>tItens[[#This Row],[Valor]]*(1-tItens[[#This Row],[Desconto]])</f>
        <v>556.71232876712327</v>
      </c>
      <c r="N6700" t="str">
        <f>IFERROR(INDEX(tProdutos[Foco],MATCH(tItens[[#This Row],[Produto]],tProdutos[Produto],0)),"Não")</f>
        <v>Não</v>
      </c>
      <c r="O6700" t="str">
        <f>IFERROR(INDEX(tEditais[SRP],MATCH(tItens[[#This Row],[Edital]],tEditais[Edital],0)),"Não")</f>
        <v>Sim</v>
      </c>
      <c r="P6700" s="4">
        <f>IF(COUNTIFS(INDEX(tItens[Edital],1):tItens[[#This Row],[Edital]],tItens[[#This Row],[Edital]],INDEX(tItens[Produto],1):tItens[[#This Row],[Produto]],tItens[[#This Row],[Produto]])=1,1,0)</f>
        <v>0</v>
      </c>
    </row>
    <row r="6701" spans="1:16" x14ac:dyDescent="0.25">
      <c r="A6701" t="s">
        <v>2380</v>
      </c>
      <c r="B6701">
        <v>179</v>
      </c>
      <c r="C6701" t="s">
        <v>9388</v>
      </c>
      <c r="D6701" t="s">
        <v>110</v>
      </c>
      <c r="E6701" s="13">
        <v>100</v>
      </c>
      <c r="F6701" s="12">
        <v>8</v>
      </c>
      <c r="G6701" t="str">
        <f>IFERROR(INDEX(tEditais[Órgão],MATCH(tItens[[#This Row],[Edital]],tEditais[Edital],0)),"")</f>
        <v>MUNICIPIO DE FRUTUOSO GOMES</v>
      </c>
      <c r="H6701" t="str">
        <f>IFERROR(INDEX(tEditais[UF],MATCH(tItens[[#This Row],[Edital]],tEditais[Edital],0)),"")</f>
        <v>RN</v>
      </c>
      <c r="I6701" s="11">
        <f>IFERROR(INDEX(tEditais[Encerramento],MATCH(tItens[[#This Row],[Edital]],tEditais[Edital],0)),"")</f>
        <v>46308.375</v>
      </c>
      <c r="J6701" t="str">
        <f>IFERROR(INDEX(tProdutos[Classe],MATCH(tItens[[#This Row],[Produto]],tProdutos[Produto],0)),"produto não cadastrado")</f>
        <v>NÚCLEO</v>
      </c>
      <c r="K6701" s="12">
        <f>tItens[[#This Row],[Qtd]]*tItens[[#This Row],[Vlr unit]]</f>
        <v>800</v>
      </c>
      <c r="L6701" s="6">
        <f>IFERROR(IF(INDEX(tProdutos[Desconto homologado],MATCH(tItens[[#This Row],[Produto]],tProdutos[Produto],0))="",DescontoPadrao,INDEX(tProdutos[Desconto homologado],MATCH(tItens[[#This Row],[Produto]],tProdutos[Produto],0))),DescontoPadrao)</f>
        <v>0.30410958904109597</v>
      </c>
      <c r="M6701" s="12">
        <f>tItens[[#This Row],[Valor]]*(1-tItens[[#This Row],[Desconto]])</f>
        <v>556.71232876712327</v>
      </c>
      <c r="N6701" t="str">
        <f>IFERROR(INDEX(tProdutos[Foco],MATCH(tItens[[#This Row],[Produto]],tProdutos[Produto],0)),"Não")</f>
        <v>Não</v>
      </c>
      <c r="O6701" t="str">
        <f>IFERROR(INDEX(tEditais[SRP],MATCH(tItens[[#This Row],[Edital]],tEditais[Edital],0)),"Não")</f>
        <v>Sim</v>
      </c>
      <c r="P6701" s="4">
        <f>IF(COUNTIFS(INDEX(tItens[Edital],1):tItens[[#This Row],[Edital]],tItens[[#This Row],[Edital]],INDEX(tItens[Produto],1):tItens[[#This Row],[Produto]],tItens[[#This Row],[Produto]])=1,1,0)</f>
        <v>0</v>
      </c>
    </row>
    <row r="6702" spans="1:16" x14ac:dyDescent="0.25">
      <c r="A6702" t="s">
        <v>2380</v>
      </c>
      <c r="B6702">
        <v>180</v>
      </c>
      <c r="C6702" t="s">
        <v>9389</v>
      </c>
      <c r="D6702" t="s">
        <v>110</v>
      </c>
      <c r="E6702" s="13">
        <v>100</v>
      </c>
      <c r="F6702" s="12">
        <v>8</v>
      </c>
      <c r="G6702" t="str">
        <f>IFERROR(INDEX(tEditais[Órgão],MATCH(tItens[[#This Row],[Edital]],tEditais[Edital],0)),"")</f>
        <v>MUNICIPIO DE FRUTUOSO GOMES</v>
      </c>
      <c r="H6702" t="str">
        <f>IFERROR(INDEX(tEditais[UF],MATCH(tItens[[#This Row],[Edital]],tEditais[Edital],0)),"")</f>
        <v>RN</v>
      </c>
      <c r="I6702" s="11">
        <f>IFERROR(INDEX(tEditais[Encerramento],MATCH(tItens[[#This Row],[Edital]],tEditais[Edital],0)),"")</f>
        <v>46308.375</v>
      </c>
      <c r="J6702" t="str">
        <f>IFERROR(INDEX(tProdutos[Classe],MATCH(tItens[[#This Row],[Produto]],tProdutos[Produto],0)),"produto não cadastrado")</f>
        <v>NÚCLEO</v>
      </c>
      <c r="K6702" s="12">
        <f>tItens[[#This Row],[Qtd]]*tItens[[#This Row],[Vlr unit]]</f>
        <v>800</v>
      </c>
      <c r="L6702" s="6">
        <f>IFERROR(IF(INDEX(tProdutos[Desconto homologado],MATCH(tItens[[#This Row],[Produto]],tProdutos[Produto],0))="",DescontoPadrao,INDEX(tProdutos[Desconto homologado],MATCH(tItens[[#This Row],[Produto]],tProdutos[Produto],0))),DescontoPadrao)</f>
        <v>0.30410958904109597</v>
      </c>
      <c r="M6702" s="12">
        <f>tItens[[#This Row],[Valor]]*(1-tItens[[#This Row],[Desconto]])</f>
        <v>556.71232876712327</v>
      </c>
      <c r="N6702" t="str">
        <f>IFERROR(INDEX(tProdutos[Foco],MATCH(tItens[[#This Row],[Produto]],tProdutos[Produto],0)),"Não")</f>
        <v>Não</v>
      </c>
      <c r="O6702" t="str">
        <f>IFERROR(INDEX(tEditais[SRP],MATCH(tItens[[#This Row],[Edital]],tEditais[Edital],0)),"Não")</f>
        <v>Sim</v>
      </c>
      <c r="P6702" s="4">
        <f>IF(COUNTIFS(INDEX(tItens[Edital],1):tItens[[#This Row],[Edital]],tItens[[#This Row],[Edital]],INDEX(tItens[Produto],1):tItens[[#This Row],[Produto]],tItens[[#This Row],[Produto]])=1,1,0)</f>
        <v>0</v>
      </c>
    </row>
    <row r="6703" spans="1:16" x14ac:dyDescent="0.25">
      <c r="A6703" t="s">
        <v>2380</v>
      </c>
      <c r="B6703">
        <v>181</v>
      </c>
      <c r="C6703" t="s">
        <v>9390</v>
      </c>
      <c r="D6703" t="s">
        <v>110</v>
      </c>
      <c r="E6703" s="13">
        <v>100</v>
      </c>
      <c r="F6703" s="12">
        <v>8</v>
      </c>
      <c r="G6703" t="str">
        <f>IFERROR(INDEX(tEditais[Órgão],MATCH(tItens[[#This Row],[Edital]],tEditais[Edital],0)),"")</f>
        <v>MUNICIPIO DE FRUTUOSO GOMES</v>
      </c>
      <c r="H6703" t="str">
        <f>IFERROR(INDEX(tEditais[UF],MATCH(tItens[[#This Row],[Edital]],tEditais[Edital],0)),"")</f>
        <v>RN</v>
      </c>
      <c r="I6703" s="11">
        <f>IFERROR(INDEX(tEditais[Encerramento],MATCH(tItens[[#This Row],[Edital]],tEditais[Edital],0)),"")</f>
        <v>46308.375</v>
      </c>
      <c r="J6703" t="str">
        <f>IFERROR(INDEX(tProdutos[Classe],MATCH(tItens[[#This Row],[Produto]],tProdutos[Produto],0)),"produto não cadastrado")</f>
        <v>NÚCLEO</v>
      </c>
      <c r="K6703" s="12">
        <f>tItens[[#This Row],[Qtd]]*tItens[[#This Row],[Vlr unit]]</f>
        <v>800</v>
      </c>
      <c r="L6703" s="6">
        <f>IFERROR(IF(INDEX(tProdutos[Desconto homologado],MATCH(tItens[[#This Row],[Produto]],tProdutos[Produto],0))="",DescontoPadrao,INDEX(tProdutos[Desconto homologado],MATCH(tItens[[#This Row],[Produto]],tProdutos[Produto],0))),DescontoPadrao)</f>
        <v>0.30410958904109597</v>
      </c>
      <c r="M6703" s="12">
        <f>tItens[[#This Row],[Valor]]*(1-tItens[[#This Row],[Desconto]])</f>
        <v>556.71232876712327</v>
      </c>
      <c r="N6703" t="str">
        <f>IFERROR(INDEX(tProdutos[Foco],MATCH(tItens[[#This Row],[Produto]],tProdutos[Produto],0)),"Não")</f>
        <v>Não</v>
      </c>
      <c r="O6703" t="str">
        <f>IFERROR(INDEX(tEditais[SRP],MATCH(tItens[[#This Row],[Edital]],tEditais[Edital],0)),"Não")</f>
        <v>Sim</v>
      </c>
      <c r="P6703" s="4">
        <f>IF(COUNTIFS(INDEX(tItens[Edital],1):tItens[[#This Row],[Edital]],tItens[[#This Row],[Edital]],INDEX(tItens[Produto],1):tItens[[#This Row],[Produto]],tItens[[#This Row],[Produto]])=1,1,0)</f>
        <v>0</v>
      </c>
    </row>
    <row r="6704" spans="1:16" x14ac:dyDescent="0.25">
      <c r="A6704" t="s">
        <v>2380</v>
      </c>
      <c r="B6704">
        <v>182</v>
      </c>
      <c r="C6704" t="s">
        <v>9391</v>
      </c>
      <c r="D6704" t="s">
        <v>110</v>
      </c>
      <c r="E6704" s="13">
        <v>100</v>
      </c>
      <c r="F6704" s="12">
        <v>8</v>
      </c>
      <c r="G6704" t="str">
        <f>IFERROR(INDEX(tEditais[Órgão],MATCH(tItens[[#This Row],[Edital]],tEditais[Edital],0)),"")</f>
        <v>MUNICIPIO DE FRUTUOSO GOMES</v>
      </c>
      <c r="H6704" t="str">
        <f>IFERROR(INDEX(tEditais[UF],MATCH(tItens[[#This Row],[Edital]],tEditais[Edital],0)),"")</f>
        <v>RN</v>
      </c>
      <c r="I6704" s="11">
        <f>IFERROR(INDEX(tEditais[Encerramento],MATCH(tItens[[#This Row],[Edital]],tEditais[Edital],0)),"")</f>
        <v>46308.375</v>
      </c>
      <c r="J6704" t="str">
        <f>IFERROR(INDEX(tProdutos[Classe],MATCH(tItens[[#This Row],[Produto]],tProdutos[Produto],0)),"produto não cadastrado")</f>
        <v>NÚCLEO</v>
      </c>
      <c r="K6704" s="12">
        <f>tItens[[#This Row],[Qtd]]*tItens[[#This Row],[Vlr unit]]</f>
        <v>800</v>
      </c>
      <c r="L6704" s="6">
        <f>IFERROR(IF(INDEX(tProdutos[Desconto homologado],MATCH(tItens[[#This Row],[Produto]],tProdutos[Produto],0))="",DescontoPadrao,INDEX(tProdutos[Desconto homologado],MATCH(tItens[[#This Row],[Produto]],tProdutos[Produto],0))),DescontoPadrao)</f>
        <v>0.30410958904109597</v>
      </c>
      <c r="M6704" s="12">
        <f>tItens[[#This Row],[Valor]]*(1-tItens[[#This Row],[Desconto]])</f>
        <v>556.71232876712327</v>
      </c>
      <c r="N6704" t="str">
        <f>IFERROR(INDEX(tProdutos[Foco],MATCH(tItens[[#This Row],[Produto]],tProdutos[Produto],0)),"Não")</f>
        <v>Não</v>
      </c>
      <c r="O6704" t="str">
        <f>IFERROR(INDEX(tEditais[SRP],MATCH(tItens[[#This Row],[Edital]],tEditais[Edital],0)),"Não")</f>
        <v>Sim</v>
      </c>
      <c r="P6704" s="4">
        <f>IF(COUNTIFS(INDEX(tItens[Edital],1):tItens[[#This Row],[Edital]],tItens[[#This Row],[Edital]],INDEX(tItens[Produto],1):tItens[[#This Row],[Produto]],tItens[[#This Row],[Produto]])=1,1,0)</f>
        <v>0</v>
      </c>
    </row>
    <row r="6705" spans="1:16" x14ac:dyDescent="0.25">
      <c r="A6705" t="s">
        <v>2380</v>
      </c>
      <c r="B6705">
        <v>183</v>
      </c>
      <c r="C6705" t="s">
        <v>9392</v>
      </c>
      <c r="D6705" t="s">
        <v>110</v>
      </c>
      <c r="E6705" s="13">
        <v>100</v>
      </c>
      <c r="F6705" s="12">
        <v>8</v>
      </c>
      <c r="G6705" t="str">
        <f>IFERROR(INDEX(tEditais[Órgão],MATCH(tItens[[#This Row],[Edital]],tEditais[Edital],0)),"")</f>
        <v>MUNICIPIO DE FRUTUOSO GOMES</v>
      </c>
      <c r="H6705" t="str">
        <f>IFERROR(INDEX(tEditais[UF],MATCH(tItens[[#This Row],[Edital]],tEditais[Edital],0)),"")</f>
        <v>RN</v>
      </c>
      <c r="I6705" s="11">
        <f>IFERROR(INDEX(tEditais[Encerramento],MATCH(tItens[[#This Row],[Edital]],tEditais[Edital],0)),"")</f>
        <v>46308.375</v>
      </c>
      <c r="J6705" t="str">
        <f>IFERROR(INDEX(tProdutos[Classe],MATCH(tItens[[#This Row],[Produto]],tProdutos[Produto],0)),"produto não cadastrado")</f>
        <v>NÚCLEO</v>
      </c>
      <c r="K6705" s="12">
        <f>tItens[[#This Row],[Qtd]]*tItens[[#This Row],[Vlr unit]]</f>
        <v>800</v>
      </c>
      <c r="L6705" s="6">
        <f>IFERROR(IF(INDEX(tProdutos[Desconto homologado],MATCH(tItens[[#This Row],[Produto]],tProdutos[Produto],0))="",DescontoPadrao,INDEX(tProdutos[Desconto homologado],MATCH(tItens[[#This Row],[Produto]],tProdutos[Produto],0))),DescontoPadrao)</f>
        <v>0.30410958904109597</v>
      </c>
      <c r="M6705" s="12">
        <f>tItens[[#This Row],[Valor]]*(1-tItens[[#This Row],[Desconto]])</f>
        <v>556.71232876712327</v>
      </c>
      <c r="N6705" t="str">
        <f>IFERROR(INDEX(tProdutos[Foco],MATCH(tItens[[#This Row],[Produto]],tProdutos[Produto],0)),"Não")</f>
        <v>Não</v>
      </c>
      <c r="O6705" t="str">
        <f>IFERROR(INDEX(tEditais[SRP],MATCH(tItens[[#This Row],[Edital]],tEditais[Edital],0)),"Não")</f>
        <v>Sim</v>
      </c>
      <c r="P6705" s="4">
        <f>IF(COUNTIFS(INDEX(tItens[Edital],1):tItens[[#This Row],[Edital]],tItens[[#This Row],[Edital]],INDEX(tItens[Produto],1):tItens[[#This Row],[Produto]],tItens[[#This Row],[Produto]])=1,1,0)</f>
        <v>0</v>
      </c>
    </row>
    <row r="6706" spans="1:16" x14ac:dyDescent="0.25">
      <c r="A6706" t="s">
        <v>2380</v>
      </c>
      <c r="B6706">
        <v>190</v>
      </c>
      <c r="C6706" t="s">
        <v>9393</v>
      </c>
      <c r="D6706" t="s">
        <v>114</v>
      </c>
      <c r="E6706" s="13">
        <v>200</v>
      </c>
      <c r="F6706" s="12">
        <v>20</v>
      </c>
      <c r="G6706" t="str">
        <f>IFERROR(INDEX(tEditais[Órgão],MATCH(tItens[[#This Row],[Edital]],tEditais[Edital],0)),"")</f>
        <v>MUNICIPIO DE FRUTUOSO GOMES</v>
      </c>
      <c r="H6706" t="str">
        <f>IFERROR(INDEX(tEditais[UF],MATCH(tItens[[#This Row],[Edital]],tEditais[Edital],0)),"")</f>
        <v>RN</v>
      </c>
      <c r="I6706" s="11">
        <f>IFERROR(INDEX(tEditais[Encerramento],MATCH(tItens[[#This Row],[Edital]],tEditais[Edital],0)),"")</f>
        <v>46308.375</v>
      </c>
      <c r="J6706" t="str">
        <f>IFERROR(INDEX(tProdutos[Classe],MATCH(tItens[[#This Row],[Produto]],tProdutos[Produto],0)),"produto não cadastrado")</f>
        <v>DISPUTADO</v>
      </c>
      <c r="K6706" s="12">
        <f>tItens[[#This Row],[Qtd]]*tItens[[#This Row],[Vlr unit]]</f>
        <v>4000</v>
      </c>
      <c r="L6706" s="6">
        <f>IFERROR(IF(INDEX(tProdutos[Desconto homologado],MATCH(tItens[[#This Row],[Produto]],tProdutos[Produto],0))="",DescontoPadrao,INDEX(tProdutos[Desconto homologado],MATCH(tItens[[#This Row],[Produto]],tProdutos[Produto],0))),DescontoPadrao)</f>
        <v>0.24332656063896899</v>
      </c>
      <c r="M6706" s="12">
        <f>tItens[[#This Row],[Valor]]*(1-tItens[[#This Row],[Desconto]])</f>
        <v>3026.693757444124</v>
      </c>
      <c r="N6706" t="str">
        <f>IFERROR(INDEX(tProdutos[Foco],MATCH(tItens[[#This Row],[Produto]],tProdutos[Produto],0)),"Não")</f>
        <v>Não</v>
      </c>
      <c r="O6706" t="str">
        <f>IFERROR(INDEX(tEditais[SRP],MATCH(tItens[[#This Row],[Edital]],tEditais[Edital],0)),"Não")</f>
        <v>Sim</v>
      </c>
      <c r="P6706" s="4">
        <f>IF(COUNTIFS(INDEX(tItens[Edital],1):tItens[[#This Row],[Edital]],tItens[[#This Row],[Edital]],INDEX(tItens[Produto],1):tItens[[#This Row],[Produto]],tItens[[#This Row],[Produto]])=1,1,0)</f>
        <v>1</v>
      </c>
    </row>
    <row r="6707" spans="1:16" x14ac:dyDescent="0.25">
      <c r="A6707" t="s">
        <v>2384</v>
      </c>
      <c r="B6707">
        <v>5</v>
      </c>
      <c r="C6707" t="s">
        <v>9394</v>
      </c>
      <c r="D6707" t="s">
        <v>464</v>
      </c>
      <c r="E6707" s="13">
        <v>180</v>
      </c>
      <c r="F6707" s="12">
        <v>59</v>
      </c>
      <c r="G6707" t="str">
        <f>IFERROR(INDEX(tEditais[Órgão],MATCH(tItens[[#This Row],[Edital]],tEditais[Edital],0)),"")</f>
        <v>RIO GRANDE DO NORTE SECRETARIA DA SAUDE PUBLICA</v>
      </c>
      <c r="H6707" t="str">
        <f>IFERROR(INDEX(tEditais[UF],MATCH(tItens[[#This Row],[Edital]],tEditais[Edital],0)),"")</f>
        <v>RN</v>
      </c>
      <c r="I6707" s="11">
        <f>IFERROR(INDEX(tEditais[Encerramento],MATCH(tItens[[#This Row],[Edital]],tEditais[Edital],0)),"")</f>
        <v>46308.375</v>
      </c>
      <c r="J6707" t="str">
        <f>IFERROR(INDEX(tProdutos[Classe],MATCH(tItens[[#This Row],[Produto]],tProdutos[Produto],0)),"produto não cadastrado")</f>
        <v>FILA REBASE</v>
      </c>
      <c r="K6707" s="12">
        <f>tItens[[#This Row],[Qtd]]*tItens[[#This Row],[Vlr unit]]</f>
        <v>10620</v>
      </c>
      <c r="L6707" s="6">
        <f>IFERROR(IF(INDEX(tProdutos[Desconto homologado],MATCH(tItens[[#This Row],[Produto]],tProdutos[Produto],0))="",DescontoPadrao,INDEX(tProdutos[Desconto homologado],MATCH(tItens[[#This Row],[Produto]],tProdutos[Produto],0))),DescontoPadrao)</f>
        <v>0.3</v>
      </c>
      <c r="M6707" s="12">
        <f>tItens[[#This Row],[Valor]]*(1-tItens[[#This Row],[Desconto]])</f>
        <v>7433.9999999999991</v>
      </c>
      <c r="N6707" t="str">
        <f>IFERROR(INDEX(tProdutos[Foco],MATCH(tItens[[#This Row],[Produto]],tProdutos[Produto],0)),"Não")</f>
        <v>Não</v>
      </c>
      <c r="O6707" t="str">
        <f>IFERROR(INDEX(tEditais[SRP],MATCH(tItens[[#This Row],[Edital]],tEditais[Edital],0)),"Não")</f>
        <v>Não</v>
      </c>
      <c r="P6707" s="4">
        <f>IF(COUNTIFS(INDEX(tItens[Edital],1):tItens[[#This Row],[Edital]],tItens[[#This Row],[Edital]],INDEX(tItens[Produto],1):tItens[[#This Row],[Produto]],tItens[[#This Row],[Produto]])=1,1,0)</f>
        <v>1</v>
      </c>
    </row>
    <row r="6708" spans="1:16" x14ac:dyDescent="0.25">
      <c r="A6708" t="s">
        <v>2389</v>
      </c>
      <c r="B6708">
        <v>33</v>
      </c>
      <c r="C6708" t="s">
        <v>9395</v>
      </c>
      <c r="D6708" t="s">
        <v>417</v>
      </c>
      <c r="E6708" s="13">
        <v>1</v>
      </c>
      <c r="F6708" s="12">
        <v>715.1</v>
      </c>
      <c r="G6708" t="str">
        <f>IFERROR(INDEX(tEditais[Órgão],MATCH(tItens[[#This Row],[Edital]],tEditais[Edital],0)),"")</f>
        <v>MUNICIPIO DE BARAUNA</v>
      </c>
      <c r="H6708" t="str">
        <f>IFERROR(INDEX(tEditais[UF],MATCH(tItens[[#This Row],[Edital]],tEditais[Edital],0)),"")</f>
        <v>RN</v>
      </c>
      <c r="I6708" s="11">
        <f>IFERROR(INDEX(tEditais[Encerramento],MATCH(tItens[[#This Row],[Edital]],tEditais[Edital],0)),"")</f>
        <v>46309.333333333336</v>
      </c>
      <c r="J6708" t="str">
        <f>IFERROR(INDEX(tProdutos[Classe],MATCH(tItens[[#This Row],[Produto]],tProdutos[Produto],0)),"produto não cadastrado")</f>
        <v>FORA</v>
      </c>
      <c r="K6708" s="12">
        <f>tItens[[#This Row],[Qtd]]*tItens[[#This Row],[Vlr unit]]</f>
        <v>715.1</v>
      </c>
      <c r="L6708" s="6">
        <f>IFERROR(IF(INDEX(tProdutos[Desconto homologado],MATCH(tItens[[#This Row],[Produto]],tProdutos[Produto],0))="",DescontoPadrao,INDEX(tProdutos[Desconto homologado],MATCH(tItens[[#This Row],[Produto]],tProdutos[Produto],0))),DescontoPadrao)</f>
        <v>0.27842432580405202</v>
      </c>
      <c r="M6708" s="12">
        <f>tItens[[#This Row],[Valor]]*(1-tItens[[#This Row],[Desconto]])</f>
        <v>515.99876461752251</v>
      </c>
      <c r="N6708" t="str">
        <f>IFERROR(INDEX(tProdutos[Foco],MATCH(tItens[[#This Row],[Produto]],tProdutos[Produto],0)),"Não")</f>
        <v>Não</v>
      </c>
      <c r="O6708" t="str">
        <f>IFERROR(INDEX(tEditais[SRP],MATCH(tItens[[#This Row],[Edital]],tEditais[Edital],0)),"Não")</f>
        <v>Não</v>
      </c>
      <c r="P6708" s="4">
        <f>IF(COUNTIFS(INDEX(tItens[Edital],1):tItens[[#This Row],[Edital]],tItens[[#This Row],[Edital]],INDEX(tItens[Produto],1):tItens[[#This Row],[Produto]],tItens[[#This Row],[Produto]])=1,1,0)</f>
        <v>1</v>
      </c>
    </row>
    <row r="6709" spans="1:16" x14ac:dyDescent="0.25">
      <c r="A6709" t="s">
        <v>2394</v>
      </c>
      <c r="B6709">
        <v>1</v>
      </c>
      <c r="C6709" t="s">
        <v>9396</v>
      </c>
      <c r="D6709" t="s">
        <v>315</v>
      </c>
      <c r="E6709" s="13">
        <v>1</v>
      </c>
      <c r="F6709" s="12">
        <v>20.36</v>
      </c>
      <c r="G6709" t="str">
        <f>IFERROR(INDEX(tEditais[Órgão],MATCH(tItens[[#This Row],[Edital]],tEditais[Edital],0)),"")</f>
        <v>COMANDO DA MARINHA</v>
      </c>
      <c r="H6709" t="str">
        <f>IFERROR(INDEX(tEditais[UF],MATCH(tItens[[#This Row],[Edital]],tEditais[Edital],0)),"")</f>
        <v>RN</v>
      </c>
      <c r="I6709" s="11">
        <f>IFERROR(INDEX(tEditais[Encerramento],MATCH(tItens[[#This Row],[Edital]],tEditais[Edital],0)),"")</f>
        <v>46309.333333333336</v>
      </c>
      <c r="J6709" t="str">
        <f>IFERROR(INDEX(tProdutos[Classe],MATCH(tItens[[#This Row],[Produto]],tProdutos[Produto],0)),"produto não cadastrado")</f>
        <v>FORA</v>
      </c>
      <c r="K6709" s="12">
        <f>tItens[[#This Row],[Qtd]]*tItens[[#This Row],[Vlr unit]]</f>
        <v>20.36</v>
      </c>
      <c r="L6709" s="6">
        <f>IFERROR(IF(INDEX(tProdutos[Desconto homologado],MATCH(tItens[[#This Row],[Produto]],tProdutos[Produto],0))="",DescontoPadrao,INDEX(tProdutos[Desconto homologado],MATCH(tItens[[#This Row],[Produto]],tProdutos[Produto],0))),DescontoPadrao)</f>
        <v>0.38432036097010702</v>
      </c>
      <c r="M6709" s="12">
        <f>tItens[[#This Row],[Valor]]*(1-tItens[[#This Row],[Desconto]])</f>
        <v>12.535237450648621</v>
      </c>
      <c r="N6709" t="str">
        <f>IFERROR(INDEX(tProdutos[Foco],MATCH(tItens[[#This Row],[Produto]],tProdutos[Produto],0)),"Não")</f>
        <v>Não</v>
      </c>
      <c r="O6709" t="str">
        <f>IFERROR(INDEX(tEditais[SRP],MATCH(tItens[[#This Row],[Edital]],tEditais[Edital],0)),"Não")</f>
        <v>Não</v>
      </c>
      <c r="P6709" s="4">
        <f>IF(COUNTIFS(INDEX(tItens[Edital],1):tItens[[#This Row],[Edital]],tItens[[#This Row],[Edital]],INDEX(tItens[Produto],1):tItens[[#This Row],[Produto]],tItens[[#This Row],[Produto]])=1,1,0)</f>
        <v>1</v>
      </c>
    </row>
    <row r="6710" spans="1:16" x14ac:dyDescent="0.25">
      <c r="A6710" t="s">
        <v>2394</v>
      </c>
      <c r="B6710">
        <v>2</v>
      </c>
      <c r="C6710" t="s">
        <v>8554</v>
      </c>
      <c r="D6710" t="s">
        <v>98</v>
      </c>
      <c r="E6710" s="13">
        <v>1</v>
      </c>
      <c r="F6710" s="12">
        <v>10.51</v>
      </c>
      <c r="G6710" t="str">
        <f>IFERROR(INDEX(tEditais[Órgão],MATCH(tItens[[#This Row],[Edital]],tEditais[Edital],0)),"")</f>
        <v>COMANDO DA MARINHA</v>
      </c>
      <c r="H6710" t="str">
        <f>IFERROR(INDEX(tEditais[UF],MATCH(tItens[[#This Row],[Edital]],tEditais[Edital],0)),"")</f>
        <v>RN</v>
      </c>
      <c r="I6710" s="11">
        <f>IFERROR(INDEX(tEditais[Encerramento],MATCH(tItens[[#This Row],[Edital]],tEditais[Edital],0)),"")</f>
        <v>46309.333333333336</v>
      </c>
      <c r="J6710" t="str">
        <f>IFERROR(INDEX(tProdutos[Classe],MATCH(tItens[[#This Row],[Produto]],tProdutos[Produto],0)),"produto não cadastrado")</f>
        <v>NÚCLEO</v>
      </c>
      <c r="K6710" s="12">
        <f>tItens[[#This Row],[Qtd]]*tItens[[#This Row],[Vlr unit]]</f>
        <v>10.51</v>
      </c>
      <c r="L6710" s="6">
        <f>IFERROR(IF(INDEX(tProdutos[Desconto homologado],MATCH(tItens[[#This Row],[Produto]],tProdutos[Produto],0))="",DescontoPadrao,INDEX(tProdutos[Desconto homologado],MATCH(tItens[[#This Row],[Produto]],tProdutos[Produto],0))),DescontoPadrao)</f>
        <v>0.39</v>
      </c>
      <c r="M6710" s="12">
        <f>tItens[[#This Row],[Valor]]*(1-tItens[[#This Row],[Desconto]])</f>
        <v>6.4110999999999994</v>
      </c>
      <c r="N6710" t="str">
        <f>IFERROR(INDEX(tProdutos[Foco],MATCH(tItens[[#This Row],[Produto]],tProdutos[Produto],0)),"Não")</f>
        <v>Sim</v>
      </c>
      <c r="O6710" t="str">
        <f>IFERROR(INDEX(tEditais[SRP],MATCH(tItens[[#This Row],[Edital]],tEditais[Edital],0)),"Não")</f>
        <v>Não</v>
      </c>
      <c r="P6710" s="4">
        <f>IF(COUNTIFS(INDEX(tItens[Edital],1):tItens[[#This Row],[Edital]],tItens[[#This Row],[Edital]],INDEX(tItens[Produto],1):tItens[[#This Row],[Produto]],tItens[[#This Row],[Produto]])=1,1,0)</f>
        <v>1</v>
      </c>
    </row>
    <row r="6711" spans="1:16" x14ac:dyDescent="0.25">
      <c r="A6711" t="s">
        <v>2394</v>
      </c>
      <c r="B6711">
        <v>3</v>
      </c>
      <c r="C6711" t="s">
        <v>6975</v>
      </c>
      <c r="D6711" t="s">
        <v>333</v>
      </c>
      <c r="E6711" s="13">
        <v>30</v>
      </c>
      <c r="F6711" s="12">
        <v>1.1200000000000001</v>
      </c>
      <c r="G6711" t="str">
        <f>IFERROR(INDEX(tEditais[Órgão],MATCH(tItens[[#This Row],[Edital]],tEditais[Edital],0)),"")</f>
        <v>COMANDO DA MARINHA</v>
      </c>
      <c r="H6711" t="str">
        <f>IFERROR(INDEX(tEditais[UF],MATCH(tItens[[#This Row],[Edital]],tEditais[Edital],0)),"")</f>
        <v>RN</v>
      </c>
      <c r="I6711" s="11">
        <f>IFERROR(INDEX(tEditais[Encerramento],MATCH(tItens[[#This Row],[Edital]],tEditais[Edital],0)),"")</f>
        <v>46309.333333333336</v>
      </c>
      <c r="J6711" t="str">
        <f>IFERROR(INDEX(tProdutos[Classe],MATCH(tItens[[#This Row],[Produto]],tProdutos[Produto],0)),"produto não cadastrado")</f>
        <v>FORA</v>
      </c>
      <c r="K6711" s="12">
        <f>tItens[[#This Row],[Qtd]]*tItens[[#This Row],[Vlr unit]]</f>
        <v>33.6</v>
      </c>
      <c r="L6711" s="6">
        <f>IFERROR(IF(INDEX(tProdutos[Desconto homologado],MATCH(tItens[[#This Row],[Produto]],tProdutos[Produto],0))="",DescontoPadrao,INDEX(tProdutos[Desconto homologado],MATCH(tItens[[#This Row],[Produto]],tProdutos[Produto],0))),DescontoPadrao)</f>
        <v>0.48951048951048998</v>
      </c>
      <c r="M6711" s="12">
        <f>tItens[[#This Row],[Valor]]*(1-tItens[[#This Row],[Desconto]])</f>
        <v>17.152447552447537</v>
      </c>
      <c r="N6711" t="str">
        <f>IFERROR(INDEX(tProdutos[Foco],MATCH(tItens[[#This Row],[Produto]],tProdutos[Produto],0)),"Não")</f>
        <v>Não</v>
      </c>
      <c r="O6711" t="str">
        <f>IFERROR(INDEX(tEditais[SRP],MATCH(tItens[[#This Row],[Edital]],tEditais[Edital],0)),"Não")</f>
        <v>Não</v>
      </c>
      <c r="P6711" s="4">
        <f>IF(COUNTIFS(INDEX(tItens[Edital],1):tItens[[#This Row],[Edital]],tItens[[#This Row],[Edital]],INDEX(tItens[Produto],1):tItens[[#This Row],[Produto]],tItens[[#This Row],[Produto]])=1,1,0)</f>
        <v>1</v>
      </c>
    </row>
    <row r="6712" spans="1:16" x14ac:dyDescent="0.25">
      <c r="A6712" t="s">
        <v>2394</v>
      </c>
      <c r="B6712">
        <v>14</v>
      </c>
      <c r="C6712" t="s">
        <v>9397</v>
      </c>
      <c r="D6712" t="s">
        <v>313</v>
      </c>
      <c r="E6712" s="13">
        <v>2</v>
      </c>
      <c r="F6712" s="12">
        <v>27.8</v>
      </c>
      <c r="G6712" t="str">
        <f>IFERROR(INDEX(tEditais[Órgão],MATCH(tItens[[#This Row],[Edital]],tEditais[Edital],0)),"")</f>
        <v>COMANDO DA MARINHA</v>
      </c>
      <c r="H6712" t="str">
        <f>IFERROR(INDEX(tEditais[UF],MATCH(tItens[[#This Row],[Edital]],tEditais[Edital],0)),"")</f>
        <v>RN</v>
      </c>
      <c r="I6712" s="11">
        <f>IFERROR(INDEX(tEditais[Encerramento],MATCH(tItens[[#This Row],[Edital]],tEditais[Edital],0)),"")</f>
        <v>46309.333333333336</v>
      </c>
      <c r="J6712" t="str">
        <f>IFERROR(INDEX(tProdutos[Classe],MATCH(tItens[[#This Row],[Produto]],tProdutos[Produto],0)),"produto não cadastrado")</f>
        <v>FORA</v>
      </c>
      <c r="K6712" s="12">
        <f>tItens[[#This Row],[Qtd]]*tItens[[#This Row],[Vlr unit]]</f>
        <v>55.6</v>
      </c>
      <c r="L6712" s="6">
        <f>IFERROR(IF(INDEX(tProdutos[Desconto homologado],MATCH(tItens[[#This Row],[Produto]],tProdutos[Produto],0))="",DescontoPadrao,INDEX(tProdutos[Desconto homologado],MATCH(tItens[[#This Row],[Produto]],tProdutos[Produto],0))),DescontoPadrao)</f>
        <v>0.35766373163696302</v>
      </c>
      <c r="M6712" s="12">
        <f>tItens[[#This Row],[Valor]]*(1-tItens[[#This Row],[Desconto]])</f>
        <v>35.713896520984854</v>
      </c>
      <c r="N6712" t="str">
        <f>IFERROR(INDEX(tProdutos[Foco],MATCH(tItens[[#This Row],[Produto]],tProdutos[Produto],0)),"Não")</f>
        <v>Não</v>
      </c>
      <c r="O6712" t="str">
        <f>IFERROR(INDEX(tEditais[SRP],MATCH(tItens[[#This Row],[Edital]],tEditais[Edital],0)),"Não")</f>
        <v>Não</v>
      </c>
      <c r="P6712" s="4">
        <f>IF(COUNTIFS(INDEX(tItens[Edital],1):tItens[[#This Row],[Edital]],tItens[[#This Row],[Edital]],INDEX(tItens[Produto],1):tItens[[#This Row],[Produto]],tItens[[#This Row],[Produto]])=1,1,0)</f>
        <v>1</v>
      </c>
    </row>
    <row r="6713" spans="1:16" x14ac:dyDescent="0.25">
      <c r="A6713" t="s">
        <v>2398</v>
      </c>
      <c r="B6713">
        <v>2</v>
      </c>
      <c r="C6713" t="s">
        <v>9398</v>
      </c>
      <c r="D6713" t="s">
        <v>180</v>
      </c>
      <c r="E6713" s="13">
        <v>634</v>
      </c>
      <c r="F6713" s="12">
        <v>0</v>
      </c>
      <c r="G6713" t="str">
        <f>IFERROR(INDEX(tEditais[Órgão],MATCH(tItens[[#This Row],[Edital]],tEditais[Edital],0)),"")</f>
        <v>RIO GRANDE DO NORTE SECRETARIA DA SAUDE PUBLICA</v>
      </c>
      <c r="H6713" t="str">
        <f>IFERROR(INDEX(tEditais[UF],MATCH(tItens[[#This Row],[Edital]],tEditais[Edital],0)),"")</f>
        <v>RN</v>
      </c>
      <c r="I6713" s="11">
        <f>IFERROR(INDEX(tEditais[Encerramento],MATCH(tItens[[#This Row],[Edital]],tEditais[Edital],0)),"")</f>
        <v>46310.374305555553</v>
      </c>
      <c r="J6713" t="str">
        <f>IFERROR(INDEX(tProdutos[Classe],MATCH(tItens[[#This Row],[Produto]],tProdutos[Produto],0)),"produto não cadastrado")</f>
        <v>DISPUTADO</v>
      </c>
      <c r="K6713" s="12">
        <f>tItens[[#This Row],[Qtd]]*tItens[[#This Row],[Vlr unit]]</f>
        <v>0</v>
      </c>
      <c r="L6713" s="6">
        <f>IFERROR(IF(INDEX(tProdutos[Desconto homologado],MATCH(tItens[[#This Row],[Produto]],tProdutos[Produto],0))="",DescontoPadrao,INDEX(tProdutos[Desconto homologado],MATCH(tItens[[#This Row],[Produto]],tProdutos[Produto],0))),DescontoPadrao)</f>
        <v>0.33333333333333298</v>
      </c>
      <c r="M6713" s="12">
        <f>tItens[[#This Row],[Valor]]*(1-tItens[[#This Row],[Desconto]])</f>
        <v>0</v>
      </c>
      <c r="N6713" t="str">
        <f>IFERROR(INDEX(tProdutos[Foco],MATCH(tItens[[#This Row],[Produto]],tProdutos[Produto],0)),"Não")</f>
        <v>Não</v>
      </c>
      <c r="O6713" t="str">
        <f>IFERROR(INDEX(tEditais[SRP],MATCH(tItens[[#This Row],[Edital]],tEditais[Edital],0)),"Não")</f>
        <v>Não</v>
      </c>
      <c r="P6713" s="4">
        <f>IF(COUNTIFS(INDEX(tItens[Edital],1):tItens[[#This Row],[Edital]],tItens[[#This Row],[Edital]],INDEX(tItens[Produto],1):tItens[[#This Row],[Produto]],tItens[[#This Row],[Produto]])=1,1,0)</f>
        <v>1</v>
      </c>
    </row>
    <row r="6714" spans="1:16" x14ac:dyDescent="0.25">
      <c r="A6714" t="s">
        <v>2401</v>
      </c>
      <c r="B6714">
        <v>88</v>
      </c>
      <c r="C6714" t="s">
        <v>9399</v>
      </c>
      <c r="D6714" t="s">
        <v>371</v>
      </c>
      <c r="E6714" s="13">
        <v>7000</v>
      </c>
      <c r="F6714" s="12">
        <v>0</v>
      </c>
      <c r="G6714" t="str">
        <f>IFERROR(INDEX(tEditais[Órgão],MATCH(tItens[[#This Row],[Edital]],tEditais[Edital],0)),"")</f>
        <v>MUNICIPIO DE FERNANDO PEDROZA</v>
      </c>
      <c r="H6714" t="str">
        <f>IFERROR(INDEX(tEditais[UF],MATCH(tItens[[#This Row],[Edital]],tEditais[Edital],0)),"")</f>
        <v>RN</v>
      </c>
      <c r="I6714" s="11">
        <f>IFERROR(INDEX(tEditais[Encerramento],MATCH(tItens[[#This Row],[Edital]],tEditais[Edital],0)),"")</f>
        <v>46310.395138888889</v>
      </c>
      <c r="J6714" t="str">
        <f>IFERROR(INDEX(tProdutos[Classe],MATCH(tItens[[#This Row],[Produto]],tProdutos[Produto],0)),"produto não cadastrado")</f>
        <v>FORA</v>
      </c>
      <c r="K6714" s="12">
        <f>tItens[[#This Row],[Qtd]]*tItens[[#This Row],[Vlr unit]]</f>
        <v>0</v>
      </c>
      <c r="L6714" s="6">
        <f>IFERROR(IF(INDEX(tProdutos[Desconto homologado],MATCH(tItens[[#This Row],[Produto]],tProdutos[Produto],0))="",DescontoPadrao,INDEX(tProdutos[Desconto homologado],MATCH(tItens[[#This Row],[Produto]],tProdutos[Produto],0))),DescontoPadrao)</f>
        <v>0.217826086956522</v>
      </c>
      <c r="M6714" s="12">
        <f>tItens[[#This Row],[Valor]]*(1-tItens[[#This Row],[Desconto]])</f>
        <v>0</v>
      </c>
      <c r="N6714" t="str">
        <f>IFERROR(INDEX(tProdutos[Foco],MATCH(tItens[[#This Row],[Produto]],tProdutos[Produto],0)),"Não")</f>
        <v>Não</v>
      </c>
      <c r="O6714" t="str">
        <f>IFERROR(INDEX(tEditais[SRP],MATCH(tItens[[#This Row],[Edital]],tEditais[Edital],0)),"Não")</f>
        <v>Sim</v>
      </c>
      <c r="P6714" s="4">
        <f>IF(COUNTIFS(INDEX(tItens[Edital],1):tItens[[#This Row],[Edital]],tItens[[#This Row],[Edital]],INDEX(tItens[Produto],1):tItens[[#This Row],[Produto]],tItens[[#This Row],[Produto]])=1,1,0)</f>
        <v>1</v>
      </c>
    </row>
    <row r="6715" spans="1:16" x14ac:dyDescent="0.25">
      <c r="A6715" t="s">
        <v>2401</v>
      </c>
      <c r="B6715">
        <v>89</v>
      </c>
      <c r="C6715" t="s">
        <v>9400</v>
      </c>
      <c r="D6715" t="s">
        <v>349</v>
      </c>
      <c r="E6715" s="13">
        <v>1000</v>
      </c>
      <c r="F6715" s="12">
        <v>0</v>
      </c>
      <c r="G6715" t="str">
        <f>IFERROR(INDEX(tEditais[Órgão],MATCH(tItens[[#This Row],[Edital]],tEditais[Edital],0)),"")</f>
        <v>MUNICIPIO DE FERNANDO PEDROZA</v>
      </c>
      <c r="H6715" t="str">
        <f>IFERROR(INDEX(tEditais[UF],MATCH(tItens[[#This Row],[Edital]],tEditais[Edital],0)),"")</f>
        <v>RN</v>
      </c>
      <c r="I6715" s="11">
        <f>IFERROR(INDEX(tEditais[Encerramento],MATCH(tItens[[#This Row],[Edital]],tEditais[Edital],0)),"")</f>
        <v>46310.395138888889</v>
      </c>
      <c r="J6715" t="str">
        <f>IFERROR(INDEX(tProdutos[Classe],MATCH(tItens[[#This Row],[Produto]],tProdutos[Produto],0)),"produto não cadastrado")</f>
        <v>FORA</v>
      </c>
      <c r="K6715" s="12">
        <f>tItens[[#This Row],[Qtd]]*tItens[[#This Row],[Vlr unit]]</f>
        <v>0</v>
      </c>
      <c r="L6715" s="6">
        <f>IFERROR(IF(INDEX(tProdutos[Desconto homologado],MATCH(tItens[[#This Row],[Produto]],tProdutos[Produto],0))="",DescontoPadrao,INDEX(tProdutos[Desconto homologado],MATCH(tItens[[#This Row],[Produto]],tProdutos[Produto],0))),DescontoPadrao)</f>
        <v>0.38826228254635797</v>
      </c>
      <c r="M6715" s="12">
        <f>tItens[[#This Row],[Valor]]*(1-tItens[[#This Row],[Desconto]])</f>
        <v>0</v>
      </c>
      <c r="N6715" t="str">
        <f>IFERROR(INDEX(tProdutos[Foco],MATCH(tItens[[#This Row],[Produto]],tProdutos[Produto],0)),"Não")</f>
        <v>Não</v>
      </c>
      <c r="O6715" t="str">
        <f>IFERROR(INDEX(tEditais[SRP],MATCH(tItens[[#This Row],[Edital]],tEditais[Edital],0)),"Não")</f>
        <v>Sim</v>
      </c>
      <c r="P6715" s="4">
        <f>IF(COUNTIFS(INDEX(tItens[Edital],1):tItens[[#This Row],[Edital]],tItens[[#This Row],[Edital]],INDEX(tItens[Produto],1):tItens[[#This Row],[Produto]],tItens[[#This Row],[Produto]])=1,1,0)</f>
        <v>1</v>
      </c>
    </row>
    <row r="6716" spans="1:16" x14ac:dyDescent="0.25">
      <c r="A6716" t="s">
        <v>2401</v>
      </c>
      <c r="B6716">
        <v>96</v>
      </c>
      <c r="C6716" t="s">
        <v>9401</v>
      </c>
      <c r="D6716" t="s">
        <v>176</v>
      </c>
      <c r="E6716" s="13">
        <v>300</v>
      </c>
      <c r="F6716" s="12">
        <v>0</v>
      </c>
      <c r="G6716" t="str">
        <f>IFERROR(INDEX(tEditais[Órgão],MATCH(tItens[[#This Row],[Edital]],tEditais[Edital],0)),"")</f>
        <v>MUNICIPIO DE FERNANDO PEDROZA</v>
      </c>
      <c r="H6716" t="str">
        <f>IFERROR(INDEX(tEditais[UF],MATCH(tItens[[#This Row],[Edital]],tEditais[Edital],0)),"")</f>
        <v>RN</v>
      </c>
      <c r="I6716" s="11">
        <f>IFERROR(INDEX(tEditais[Encerramento],MATCH(tItens[[#This Row],[Edital]],tEditais[Edital],0)),"")</f>
        <v>46310.395138888889</v>
      </c>
      <c r="J6716" t="str">
        <f>IFERROR(INDEX(tProdutos[Classe],MATCH(tItens[[#This Row],[Produto]],tProdutos[Produto],0)),"produto não cadastrado")</f>
        <v>DISPUTADO</v>
      </c>
      <c r="K6716" s="12">
        <f>tItens[[#This Row],[Qtd]]*tItens[[#This Row],[Vlr unit]]</f>
        <v>0</v>
      </c>
      <c r="L6716" s="6">
        <f>IFERROR(IF(INDEX(tProdutos[Desconto homologado],MATCH(tItens[[#This Row],[Produto]],tProdutos[Produto],0))="",DescontoPadrao,INDEX(tProdutos[Desconto homologado],MATCH(tItens[[#This Row],[Produto]],tProdutos[Produto],0))),DescontoPadrao)</f>
        <v>0.39921530161843999</v>
      </c>
      <c r="M6716" s="12">
        <f>tItens[[#This Row],[Valor]]*(1-tItens[[#This Row],[Desconto]])</f>
        <v>0</v>
      </c>
      <c r="N6716" t="str">
        <f>IFERROR(INDEX(tProdutos[Foco],MATCH(tItens[[#This Row],[Produto]],tProdutos[Produto],0)),"Não")</f>
        <v>Não</v>
      </c>
      <c r="O6716" t="str">
        <f>IFERROR(INDEX(tEditais[SRP],MATCH(tItens[[#This Row],[Edital]],tEditais[Edital],0)),"Não")</f>
        <v>Sim</v>
      </c>
      <c r="P6716" s="4">
        <f>IF(COUNTIFS(INDEX(tItens[Edital],1):tItens[[#This Row],[Edital]],tItens[[#This Row],[Edital]],INDEX(tItens[Produto],1):tItens[[#This Row],[Produto]],tItens[[#This Row],[Produto]])=1,1,0)</f>
        <v>1</v>
      </c>
    </row>
    <row r="6717" spans="1:16" x14ac:dyDescent="0.25">
      <c r="A6717" t="s">
        <v>2401</v>
      </c>
      <c r="B6717">
        <v>99</v>
      </c>
      <c r="C6717" t="s">
        <v>9402</v>
      </c>
      <c r="D6717" t="s">
        <v>158</v>
      </c>
      <c r="E6717" s="13">
        <v>20</v>
      </c>
      <c r="F6717" s="12">
        <v>0</v>
      </c>
      <c r="G6717" t="str">
        <f>IFERROR(INDEX(tEditais[Órgão],MATCH(tItens[[#This Row],[Edital]],tEditais[Edital],0)),"")</f>
        <v>MUNICIPIO DE FERNANDO PEDROZA</v>
      </c>
      <c r="H6717" t="str">
        <f>IFERROR(INDEX(tEditais[UF],MATCH(tItens[[#This Row],[Edital]],tEditais[Edital],0)),"")</f>
        <v>RN</v>
      </c>
      <c r="I6717" s="11">
        <f>IFERROR(INDEX(tEditais[Encerramento],MATCH(tItens[[#This Row],[Edital]],tEditais[Edital],0)),"")</f>
        <v>46310.395138888889</v>
      </c>
      <c r="J6717" t="str">
        <f>IFERROR(INDEX(tProdutos[Classe],MATCH(tItens[[#This Row],[Produto]],tProdutos[Produto],0)),"produto não cadastrado")</f>
        <v>DISPUTADO</v>
      </c>
      <c r="K6717" s="12">
        <f>tItens[[#This Row],[Qtd]]*tItens[[#This Row],[Vlr unit]]</f>
        <v>0</v>
      </c>
      <c r="L6717" s="6">
        <f>IFERROR(IF(INDEX(tProdutos[Desconto homologado],MATCH(tItens[[#This Row],[Produto]],tProdutos[Produto],0))="",DescontoPadrao,INDEX(tProdutos[Desconto homologado],MATCH(tItens[[#This Row],[Produto]],tProdutos[Produto],0))),DescontoPadrao)</f>
        <v>0.26086956521739102</v>
      </c>
      <c r="M6717" s="12">
        <f>tItens[[#This Row],[Valor]]*(1-tItens[[#This Row],[Desconto]])</f>
        <v>0</v>
      </c>
      <c r="N6717" t="str">
        <f>IFERROR(INDEX(tProdutos[Foco],MATCH(tItens[[#This Row],[Produto]],tProdutos[Produto],0)),"Não")</f>
        <v>Não</v>
      </c>
      <c r="O6717" t="str">
        <f>IFERROR(INDEX(tEditais[SRP],MATCH(tItens[[#This Row],[Edital]],tEditais[Edital],0)),"Não")</f>
        <v>Sim</v>
      </c>
      <c r="P6717" s="4">
        <f>IF(COUNTIFS(INDEX(tItens[Edital],1):tItens[[#This Row],[Edital]],tItens[[#This Row],[Edital]],INDEX(tItens[Produto],1):tItens[[#This Row],[Produto]],tItens[[#This Row],[Produto]])=1,1,0)</f>
        <v>1</v>
      </c>
    </row>
    <row r="6718" spans="1:16" x14ac:dyDescent="0.25">
      <c r="A6718" t="s">
        <v>2401</v>
      </c>
      <c r="B6718">
        <v>111</v>
      </c>
      <c r="C6718" t="s">
        <v>9403</v>
      </c>
      <c r="D6718" t="s">
        <v>512</v>
      </c>
      <c r="E6718" s="13">
        <v>20</v>
      </c>
      <c r="F6718" s="12">
        <v>0</v>
      </c>
      <c r="G6718" t="str">
        <f>IFERROR(INDEX(tEditais[Órgão],MATCH(tItens[[#This Row],[Edital]],tEditais[Edital],0)),"")</f>
        <v>MUNICIPIO DE FERNANDO PEDROZA</v>
      </c>
      <c r="H6718" t="str">
        <f>IFERROR(INDEX(tEditais[UF],MATCH(tItens[[#This Row],[Edital]],tEditais[Edital],0)),"")</f>
        <v>RN</v>
      </c>
      <c r="I6718" s="11">
        <f>IFERROR(INDEX(tEditais[Encerramento],MATCH(tItens[[#This Row],[Edital]],tEditais[Edital],0)),"")</f>
        <v>46310.395138888889</v>
      </c>
      <c r="J6718" t="str">
        <f>IFERROR(INDEX(tProdutos[Classe],MATCH(tItens[[#This Row],[Produto]],tProdutos[Produto],0)),"produto não cadastrado")</f>
        <v>FILA REBASE</v>
      </c>
      <c r="K6718" s="12">
        <f>tItens[[#This Row],[Qtd]]*tItens[[#This Row],[Vlr unit]]</f>
        <v>0</v>
      </c>
      <c r="L6718" s="6">
        <f>IFERROR(IF(INDEX(tProdutos[Desconto homologado],MATCH(tItens[[#This Row],[Produto]],tProdutos[Produto],0))="",DescontoPadrao,INDEX(tProdutos[Desconto homologado],MATCH(tItens[[#This Row],[Produto]],tProdutos[Produto],0))),DescontoPadrao)</f>
        <v>0.32579365079365102</v>
      </c>
      <c r="M6718" s="12">
        <f>tItens[[#This Row],[Valor]]*(1-tItens[[#This Row],[Desconto]])</f>
        <v>0</v>
      </c>
      <c r="N6718" t="str">
        <f>IFERROR(INDEX(tProdutos[Foco],MATCH(tItens[[#This Row],[Produto]],tProdutos[Produto],0)),"Não")</f>
        <v>Não</v>
      </c>
      <c r="O6718" t="str">
        <f>IFERROR(INDEX(tEditais[SRP],MATCH(tItens[[#This Row],[Edital]],tEditais[Edital],0)),"Não")</f>
        <v>Sim</v>
      </c>
      <c r="P6718" s="4">
        <f>IF(COUNTIFS(INDEX(tItens[Edital],1):tItens[[#This Row],[Edital]],tItens[[#This Row],[Edital]],INDEX(tItens[Produto],1):tItens[[#This Row],[Produto]],tItens[[#This Row],[Produto]])=1,1,0)</f>
        <v>1</v>
      </c>
    </row>
    <row r="6719" spans="1:16" x14ac:dyDescent="0.25">
      <c r="A6719" t="s">
        <v>2401</v>
      </c>
      <c r="B6719">
        <v>124</v>
      </c>
      <c r="C6719" t="s">
        <v>9404</v>
      </c>
      <c r="D6719" t="s">
        <v>80</v>
      </c>
      <c r="E6719" s="13">
        <v>30</v>
      </c>
      <c r="F6719" s="12">
        <v>0</v>
      </c>
      <c r="G6719" t="str">
        <f>IFERROR(INDEX(tEditais[Órgão],MATCH(tItens[[#This Row],[Edital]],tEditais[Edital],0)),"")</f>
        <v>MUNICIPIO DE FERNANDO PEDROZA</v>
      </c>
      <c r="H6719" t="str">
        <f>IFERROR(INDEX(tEditais[UF],MATCH(tItens[[#This Row],[Edital]],tEditais[Edital],0)),"")</f>
        <v>RN</v>
      </c>
      <c r="I6719" s="11">
        <f>IFERROR(INDEX(tEditais[Encerramento],MATCH(tItens[[#This Row],[Edital]],tEditais[Edital],0)),"")</f>
        <v>46310.395138888889</v>
      </c>
      <c r="J6719" t="str">
        <f>IFERROR(INDEX(tProdutos[Classe],MATCH(tItens[[#This Row],[Produto]],tProdutos[Produto],0)),"produto não cadastrado")</f>
        <v>NÚCLEO</v>
      </c>
      <c r="K6719" s="12">
        <f>tItens[[#This Row],[Qtd]]*tItens[[#This Row],[Vlr unit]]</f>
        <v>0</v>
      </c>
      <c r="L6719" s="6">
        <f>IFERROR(IF(INDEX(tProdutos[Desconto homologado],MATCH(tItens[[#This Row],[Produto]],tProdutos[Produto],0))="",DescontoPadrao,INDEX(tProdutos[Desconto homologado],MATCH(tItens[[#This Row],[Produto]],tProdutos[Produto],0))),DescontoPadrao)</f>
        <v>0.33</v>
      </c>
      <c r="M6719" s="12">
        <f>tItens[[#This Row],[Valor]]*(1-tItens[[#This Row],[Desconto]])</f>
        <v>0</v>
      </c>
      <c r="N6719" t="str">
        <f>IFERROR(INDEX(tProdutos[Foco],MATCH(tItens[[#This Row],[Produto]],tProdutos[Produto],0)),"Não")</f>
        <v>Sim</v>
      </c>
      <c r="O6719" t="str">
        <f>IFERROR(INDEX(tEditais[SRP],MATCH(tItens[[#This Row],[Edital]],tEditais[Edital],0)),"Não")</f>
        <v>Sim</v>
      </c>
      <c r="P6719" s="4">
        <f>IF(COUNTIFS(INDEX(tItens[Edital],1):tItens[[#This Row],[Edital]],tItens[[#This Row],[Edital]],INDEX(tItens[Produto],1):tItens[[#This Row],[Produto]],tItens[[#This Row],[Produto]])=1,1,0)</f>
        <v>1</v>
      </c>
    </row>
    <row r="6720" spans="1:16" x14ac:dyDescent="0.25">
      <c r="A6720" t="s">
        <v>2401</v>
      </c>
      <c r="B6720">
        <v>125</v>
      </c>
      <c r="C6720" t="s">
        <v>9405</v>
      </c>
      <c r="D6720" t="s">
        <v>311</v>
      </c>
      <c r="E6720" s="13">
        <v>200</v>
      </c>
      <c r="F6720" s="12">
        <v>0</v>
      </c>
      <c r="G6720" t="str">
        <f>IFERROR(INDEX(tEditais[Órgão],MATCH(tItens[[#This Row],[Edital]],tEditais[Edital],0)),"")</f>
        <v>MUNICIPIO DE FERNANDO PEDROZA</v>
      </c>
      <c r="H6720" t="str">
        <f>IFERROR(INDEX(tEditais[UF],MATCH(tItens[[#This Row],[Edital]],tEditais[Edital],0)),"")</f>
        <v>RN</v>
      </c>
      <c r="I6720" s="11">
        <f>IFERROR(INDEX(tEditais[Encerramento],MATCH(tItens[[#This Row],[Edital]],tEditais[Edital],0)),"")</f>
        <v>46310.395138888889</v>
      </c>
      <c r="J6720" t="str">
        <f>IFERROR(INDEX(tProdutos[Classe],MATCH(tItens[[#This Row],[Produto]],tProdutos[Produto],0)),"produto não cadastrado")</f>
        <v>FORA</v>
      </c>
      <c r="K6720" s="12">
        <f>tItens[[#This Row],[Qtd]]*tItens[[#This Row],[Vlr unit]]</f>
        <v>0</v>
      </c>
      <c r="L6720" s="6">
        <f>IFERROR(IF(INDEX(tProdutos[Desconto homologado],MATCH(tItens[[#This Row],[Produto]],tProdutos[Produto],0))="",DescontoPadrao,INDEX(tProdutos[Desconto homologado],MATCH(tItens[[#This Row],[Produto]],tProdutos[Produto],0))),DescontoPadrao)</f>
        <v>0.29046182846371399</v>
      </c>
      <c r="M6720" s="12">
        <f>tItens[[#This Row],[Valor]]*(1-tItens[[#This Row],[Desconto]])</f>
        <v>0</v>
      </c>
      <c r="N6720" t="str">
        <f>IFERROR(INDEX(tProdutos[Foco],MATCH(tItens[[#This Row],[Produto]],tProdutos[Produto],0)),"Não")</f>
        <v>Não</v>
      </c>
      <c r="O6720" t="str">
        <f>IFERROR(INDEX(tEditais[SRP],MATCH(tItens[[#This Row],[Edital]],tEditais[Edital],0)),"Não")</f>
        <v>Sim</v>
      </c>
      <c r="P6720" s="4">
        <f>IF(COUNTIFS(INDEX(tItens[Edital],1):tItens[[#This Row],[Edital]],tItens[[#This Row],[Edital]],INDEX(tItens[Produto],1):tItens[[#This Row],[Produto]],tItens[[#This Row],[Produto]])=1,1,0)</f>
        <v>1</v>
      </c>
    </row>
    <row r="6721" spans="1:16" x14ac:dyDescent="0.25">
      <c r="A6721" t="s">
        <v>2401</v>
      </c>
      <c r="B6721">
        <v>126</v>
      </c>
      <c r="C6721" t="s">
        <v>9406</v>
      </c>
      <c r="D6721" t="s">
        <v>311</v>
      </c>
      <c r="E6721" s="13">
        <v>200</v>
      </c>
      <c r="F6721" s="12">
        <v>0</v>
      </c>
      <c r="G6721" t="str">
        <f>IFERROR(INDEX(tEditais[Órgão],MATCH(tItens[[#This Row],[Edital]],tEditais[Edital],0)),"")</f>
        <v>MUNICIPIO DE FERNANDO PEDROZA</v>
      </c>
      <c r="H6721" t="str">
        <f>IFERROR(INDEX(tEditais[UF],MATCH(tItens[[#This Row],[Edital]],tEditais[Edital],0)),"")</f>
        <v>RN</v>
      </c>
      <c r="I6721" s="11">
        <f>IFERROR(INDEX(tEditais[Encerramento],MATCH(tItens[[#This Row],[Edital]],tEditais[Edital],0)),"")</f>
        <v>46310.395138888889</v>
      </c>
      <c r="J6721" t="str">
        <f>IFERROR(INDEX(tProdutos[Classe],MATCH(tItens[[#This Row],[Produto]],tProdutos[Produto],0)),"produto não cadastrado")</f>
        <v>FORA</v>
      </c>
      <c r="K6721" s="12">
        <f>tItens[[#This Row],[Qtd]]*tItens[[#This Row],[Vlr unit]]</f>
        <v>0</v>
      </c>
      <c r="L6721" s="6">
        <f>IFERROR(IF(INDEX(tProdutos[Desconto homologado],MATCH(tItens[[#This Row],[Produto]],tProdutos[Produto],0))="",DescontoPadrao,INDEX(tProdutos[Desconto homologado],MATCH(tItens[[#This Row],[Produto]],tProdutos[Produto],0))),DescontoPadrao)</f>
        <v>0.29046182846371399</v>
      </c>
      <c r="M6721" s="12">
        <f>tItens[[#This Row],[Valor]]*(1-tItens[[#This Row],[Desconto]])</f>
        <v>0</v>
      </c>
      <c r="N6721" t="str">
        <f>IFERROR(INDEX(tProdutos[Foco],MATCH(tItens[[#This Row],[Produto]],tProdutos[Produto],0)),"Não")</f>
        <v>Não</v>
      </c>
      <c r="O6721" t="str">
        <f>IFERROR(INDEX(tEditais[SRP],MATCH(tItens[[#This Row],[Edital]],tEditais[Edital],0)),"Não")</f>
        <v>Sim</v>
      </c>
      <c r="P6721" s="4">
        <f>IF(COUNTIFS(INDEX(tItens[Edital],1):tItens[[#This Row],[Edital]],tItens[[#This Row],[Edital]],INDEX(tItens[Produto],1):tItens[[#This Row],[Produto]],tItens[[#This Row],[Produto]])=1,1,0)</f>
        <v>0</v>
      </c>
    </row>
    <row r="6722" spans="1:16" x14ac:dyDescent="0.25">
      <c r="A6722" t="s">
        <v>2406</v>
      </c>
      <c r="B6722">
        <v>5</v>
      </c>
      <c r="C6722" t="s">
        <v>9407</v>
      </c>
      <c r="D6722" t="s">
        <v>512</v>
      </c>
      <c r="E6722" s="13">
        <v>24</v>
      </c>
      <c r="F6722" s="12">
        <v>0</v>
      </c>
      <c r="G6722" t="str">
        <f>IFERROR(INDEX(tEditais[Órgão],MATCH(tItens[[#This Row],[Edital]],tEditais[Edital],0)),"")</f>
        <v>DIRETORIA DE SAUDE DA POLICIA MILITAR HPM 1</v>
      </c>
      <c r="H6722" t="str">
        <f>IFERROR(INDEX(tEditais[UF],MATCH(tItens[[#This Row],[Edital]],tEditais[Edital],0)),"")</f>
        <v>RN</v>
      </c>
      <c r="I6722" s="11">
        <f>IFERROR(INDEX(tEditais[Encerramento],MATCH(tItens[[#This Row],[Edital]],tEditais[Edital],0)),"")</f>
        <v>46311.333333333336</v>
      </c>
      <c r="J6722" t="str">
        <f>IFERROR(INDEX(tProdutos[Classe],MATCH(tItens[[#This Row],[Produto]],tProdutos[Produto],0)),"produto não cadastrado")</f>
        <v>FILA REBASE</v>
      </c>
      <c r="K6722" s="12">
        <f>tItens[[#This Row],[Qtd]]*tItens[[#This Row],[Vlr unit]]</f>
        <v>0</v>
      </c>
      <c r="L6722" s="6">
        <f>IFERROR(IF(INDEX(tProdutos[Desconto homologado],MATCH(tItens[[#This Row],[Produto]],tProdutos[Produto],0))="",DescontoPadrao,INDEX(tProdutos[Desconto homologado],MATCH(tItens[[#This Row],[Produto]],tProdutos[Produto],0))),DescontoPadrao)</f>
        <v>0.32579365079365102</v>
      </c>
      <c r="M6722" s="12">
        <f>tItens[[#This Row],[Valor]]*(1-tItens[[#This Row],[Desconto]])</f>
        <v>0</v>
      </c>
      <c r="N6722" t="str">
        <f>IFERROR(INDEX(tProdutos[Foco],MATCH(tItens[[#This Row],[Produto]],tProdutos[Produto],0)),"Não")</f>
        <v>Não</v>
      </c>
      <c r="O6722" t="str">
        <f>IFERROR(INDEX(tEditais[SRP],MATCH(tItens[[#This Row],[Edital]],tEditais[Edital],0)),"Não")</f>
        <v>Não</v>
      </c>
      <c r="P6722" s="4">
        <f>IF(COUNTIFS(INDEX(tItens[Edital],1):tItens[[#This Row],[Edital]],tItens[[#This Row],[Edital]],INDEX(tItens[Produto],1):tItens[[#This Row],[Produto]],tItens[[#This Row],[Produto]])=1,1,0)</f>
        <v>1</v>
      </c>
    </row>
    <row r="6723" spans="1:16" x14ac:dyDescent="0.25">
      <c r="A6723" t="s">
        <v>2410</v>
      </c>
      <c r="B6723">
        <v>17</v>
      </c>
      <c r="C6723" t="s">
        <v>9408</v>
      </c>
      <c r="D6723" t="s">
        <v>371</v>
      </c>
      <c r="E6723" s="13">
        <v>4600</v>
      </c>
      <c r="F6723" s="12">
        <v>0</v>
      </c>
      <c r="G6723" t="str">
        <f>IFERROR(INDEX(tEditais[Órgão],MATCH(tItens[[#This Row],[Edital]],tEditais[Edital],0)),"")</f>
        <v>EMPRESA BRASILEIRA DE SERVICOS HOSPITALARES - EBSERH</v>
      </c>
      <c r="H6723" t="str">
        <f>IFERROR(INDEX(tEditais[UF],MATCH(tItens[[#This Row],[Edital]],tEditais[Edital],0)),"")</f>
        <v>RN</v>
      </c>
      <c r="I6723" s="11">
        <f>IFERROR(INDEX(tEditais[Encerramento],MATCH(tItens[[#This Row],[Edital]],tEditais[Edital],0)),"")</f>
        <v>46311.375</v>
      </c>
      <c r="J6723" t="str">
        <f>IFERROR(INDEX(tProdutos[Classe],MATCH(tItens[[#This Row],[Produto]],tProdutos[Produto],0)),"produto não cadastrado")</f>
        <v>FORA</v>
      </c>
      <c r="K6723" s="12">
        <f>tItens[[#This Row],[Qtd]]*tItens[[#This Row],[Vlr unit]]</f>
        <v>0</v>
      </c>
      <c r="L6723" s="6">
        <f>IFERROR(IF(INDEX(tProdutos[Desconto homologado],MATCH(tItens[[#This Row],[Produto]],tProdutos[Produto],0))="",DescontoPadrao,INDEX(tProdutos[Desconto homologado],MATCH(tItens[[#This Row],[Produto]],tProdutos[Produto],0))),DescontoPadrao)</f>
        <v>0.217826086956522</v>
      </c>
      <c r="M6723" s="12">
        <f>tItens[[#This Row],[Valor]]*(1-tItens[[#This Row],[Desconto]])</f>
        <v>0</v>
      </c>
      <c r="N6723" t="str">
        <f>IFERROR(INDEX(tProdutos[Foco],MATCH(tItens[[#This Row],[Produto]],tProdutos[Produto],0)),"Não")</f>
        <v>Não</v>
      </c>
      <c r="O6723" t="str">
        <f>IFERROR(INDEX(tEditais[SRP],MATCH(tItens[[#This Row],[Edital]],tEditais[Edital],0)),"Não")</f>
        <v>Não</v>
      </c>
      <c r="P6723" s="4">
        <f>IF(COUNTIFS(INDEX(tItens[Edital],1):tItens[[#This Row],[Edital]],tItens[[#This Row],[Edital]],INDEX(tItens[Produto],1):tItens[[#This Row],[Produto]],tItens[[#This Row],[Produto]])=1,1,0)</f>
        <v>1</v>
      </c>
    </row>
    <row r="6724" spans="1:16" x14ac:dyDescent="0.25">
      <c r="A6724" t="s">
        <v>2410</v>
      </c>
      <c r="B6724">
        <v>18</v>
      </c>
      <c r="C6724" t="s">
        <v>9409</v>
      </c>
      <c r="D6724" t="s">
        <v>62</v>
      </c>
      <c r="E6724" s="13">
        <v>7800</v>
      </c>
      <c r="F6724" s="12">
        <v>0</v>
      </c>
      <c r="G6724" t="str">
        <f>IFERROR(INDEX(tEditais[Órgão],MATCH(tItens[[#This Row],[Edital]],tEditais[Edital],0)),"")</f>
        <v>EMPRESA BRASILEIRA DE SERVICOS HOSPITALARES - EBSERH</v>
      </c>
      <c r="H6724" t="str">
        <f>IFERROR(INDEX(tEditais[UF],MATCH(tItens[[#This Row],[Edital]],tEditais[Edital],0)),"")</f>
        <v>RN</v>
      </c>
      <c r="I6724" s="11">
        <f>IFERROR(INDEX(tEditais[Encerramento],MATCH(tItens[[#This Row],[Edital]],tEditais[Edital],0)),"")</f>
        <v>46311.375</v>
      </c>
      <c r="J6724" t="str">
        <f>IFERROR(INDEX(tProdutos[Classe],MATCH(tItens[[#This Row],[Produto]],tProdutos[Produto],0)),"produto não cadastrado")</f>
        <v>NÚCLEO</v>
      </c>
      <c r="K6724" s="12">
        <f>tItens[[#This Row],[Qtd]]*tItens[[#This Row],[Vlr unit]]</f>
        <v>0</v>
      </c>
      <c r="L6724" s="6">
        <f>IFERROR(IF(INDEX(tProdutos[Desconto homologado],MATCH(tItens[[#This Row],[Produto]],tProdutos[Produto],0))="",DescontoPadrao,INDEX(tProdutos[Desconto homologado],MATCH(tItens[[#This Row],[Produto]],tProdutos[Produto],0))),DescontoPadrao)</f>
        <v>0.3</v>
      </c>
      <c r="M6724" s="12">
        <f>tItens[[#This Row],[Valor]]*(1-tItens[[#This Row],[Desconto]])</f>
        <v>0</v>
      </c>
      <c r="N6724" t="str">
        <f>IFERROR(INDEX(tProdutos[Foco],MATCH(tItens[[#This Row],[Produto]],tProdutos[Produto],0)),"Não")</f>
        <v>Sim</v>
      </c>
      <c r="O6724" t="str">
        <f>IFERROR(INDEX(tEditais[SRP],MATCH(tItens[[#This Row],[Edital]],tEditais[Edital],0)),"Não")</f>
        <v>Não</v>
      </c>
      <c r="P6724" s="4">
        <f>IF(COUNTIFS(INDEX(tItens[Edital],1):tItens[[#This Row],[Edital]],tItens[[#This Row],[Edital]],INDEX(tItens[Produto],1):tItens[[#This Row],[Produto]],tItens[[#This Row],[Produto]])=1,1,0)</f>
        <v>1</v>
      </c>
    </row>
    <row r="6725" spans="1:16" x14ac:dyDescent="0.25">
      <c r="A6725" t="s">
        <v>2410</v>
      </c>
      <c r="B6725">
        <v>19</v>
      </c>
      <c r="C6725" t="s">
        <v>9410</v>
      </c>
      <c r="D6725" t="s">
        <v>62</v>
      </c>
      <c r="E6725" s="13">
        <v>5000</v>
      </c>
      <c r="F6725" s="12">
        <v>0</v>
      </c>
      <c r="G6725" t="str">
        <f>IFERROR(INDEX(tEditais[Órgão],MATCH(tItens[[#This Row],[Edital]],tEditais[Edital],0)),"")</f>
        <v>EMPRESA BRASILEIRA DE SERVICOS HOSPITALARES - EBSERH</v>
      </c>
      <c r="H6725" t="str">
        <f>IFERROR(INDEX(tEditais[UF],MATCH(tItens[[#This Row],[Edital]],tEditais[Edital],0)),"")</f>
        <v>RN</v>
      </c>
      <c r="I6725" s="11">
        <f>IFERROR(INDEX(tEditais[Encerramento],MATCH(tItens[[#This Row],[Edital]],tEditais[Edital],0)),"")</f>
        <v>46311.375</v>
      </c>
      <c r="J6725" t="str">
        <f>IFERROR(INDEX(tProdutos[Classe],MATCH(tItens[[#This Row],[Produto]],tProdutos[Produto],0)),"produto não cadastrado")</f>
        <v>NÚCLEO</v>
      </c>
      <c r="K6725" s="12">
        <f>tItens[[#This Row],[Qtd]]*tItens[[#This Row],[Vlr unit]]</f>
        <v>0</v>
      </c>
      <c r="L6725" s="6">
        <f>IFERROR(IF(INDEX(tProdutos[Desconto homologado],MATCH(tItens[[#This Row],[Produto]],tProdutos[Produto],0))="",DescontoPadrao,INDEX(tProdutos[Desconto homologado],MATCH(tItens[[#This Row],[Produto]],tProdutos[Produto],0))),DescontoPadrao)</f>
        <v>0.3</v>
      </c>
      <c r="M6725" s="12">
        <f>tItens[[#This Row],[Valor]]*(1-tItens[[#This Row],[Desconto]])</f>
        <v>0</v>
      </c>
      <c r="N6725" t="str">
        <f>IFERROR(INDEX(tProdutos[Foco],MATCH(tItens[[#This Row],[Produto]],tProdutos[Produto],0)),"Não")</f>
        <v>Sim</v>
      </c>
      <c r="O6725" t="str">
        <f>IFERROR(INDEX(tEditais[SRP],MATCH(tItens[[#This Row],[Edital]],tEditais[Edital],0)),"Não")</f>
        <v>Não</v>
      </c>
      <c r="P6725" s="4">
        <f>IF(COUNTIFS(INDEX(tItens[Edital],1):tItens[[#This Row],[Edital]],tItens[[#This Row],[Edital]],INDEX(tItens[Produto],1):tItens[[#This Row],[Produto]],tItens[[#This Row],[Produto]])=1,1,0)</f>
        <v>0</v>
      </c>
    </row>
    <row r="6726" spans="1:16" x14ac:dyDescent="0.25">
      <c r="A6726" t="s">
        <v>2410</v>
      </c>
      <c r="B6726">
        <v>20</v>
      </c>
      <c r="C6726" t="s">
        <v>9410</v>
      </c>
      <c r="D6726" t="s">
        <v>62</v>
      </c>
      <c r="E6726" s="13">
        <v>3800</v>
      </c>
      <c r="F6726" s="12">
        <v>0</v>
      </c>
      <c r="G6726" t="str">
        <f>IFERROR(INDEX(tEditais[Órgão],MATCH(tItens[[#This Row],[Edital]],tEditais[Edital],0)),"")</f>
        <v>EMPRESA BRASILEIRA DE SERVICOS HOSPITALARES - EBSERH</v>
      </c>
      <c r="H6726" t="str">
        <f>IFERROR(INDEX(tEditais[UF],MATCH(tItens[[#This Row],[Edital]],tEditais[Edital],0)),"")</f>
        <v>RN</v>
      </c>
      <c r="I6726" s="11">
        <f>IFERROR(INDEX(tEditais[Encerramento],MATCH(tItens[[#This Row],[Edital]],tEditais[Edital],0)),"")</f>
        <v>46311.375</v>
      </c>
      <c r="J6726" t="str">
        <f>IFERROR(INDEX(tProdutos[Classe],MATCH(tItens[[#This Row],[Produto]],tProdutos[Produto],0)),"produto não cadastrado")</f>
        <v>NÚCLEO</v>
      </c>
      <c r="K6726" s="12">
        <f>tItens[[#This Row],[Qtd]]*tItens[[#This Row],[Vlr unit]]</f>
        <v>0</v>
      </c>
      <c r="L6726" s="6">
        <f>IFERROR(IF(INDEX(tProdutos[Desconto homologado],MATCH(tItens[[#This Row],[Produto]],tProdutos[Produto],0))="",DescontoPadrao,INDEX(tProdutos[Desconto homologado],MATCH(tItens[[#This Row],[Produto]],tProdutos[Produto],0))),DescontoPadrao)</f>
        <v>0.3</v>
      </c>
      <c r="M6726" s="12">
        <f>tItens[[#This Row],[Valor]]*(1-tItens[[#This Row],[Desconto]])</f>
        <v>0</v>
      </c>
      <c r="N6726" t="str">
        <f>IFERROR(INDEX(tProdutos[Foco],MATCH(tItens[[#This Row],[Produto]],tProdutos[Produto],0)),"Não")</f>
        <v>Sim</v>
      </c>
      <c r="O6726" t="str">
        <f>IFERROR(INDEX(tEditais[SRP],MATCH(tItens[[#This Row],[Edital]],tEditais[Edital],0)),"Não")</f>
        <v>Não</v>
      </c>
      <c r="P6726" s="4">
        <f>IF(COUNTIFS(INDEX(tItens[Edital],1):tItens[[#This Row],[Edital]],tItens[[#This Row],[Edital]],INDEX(tItens[Produto],1):tItens[[#This Row],[Produto]],tItens[[#This Row],[Produto]])=1,1,0)</f>
        <v>0</v>
      </c>
    </row>
    <row r="6727" spans="1:16" x14ac:dyDescent="0.25">
      <c r="A6727" t="s">
        <v>2410</v>
      </c>
      <c r="B6727">
        <v>33</v>
      </c>
      <c r="C6727" t="s">
        <v>9411</v>
      </c>
      <c r="D6727" t="s">
        <v>144</v>
      </c>
      <c r="E6727" s="13">
        <v>100</v>
      </c>
      <c r="F6727" s="12">
        <v>0</v>
      </c>
      <c r="G6727" t="str">
        <f>IFERROR(INDEX(tEditais[Órgão],MATCH(tItens[[#This Row],[Edital]],tEditais[Edital],0)),"")</f>
        <v>EMPRESA BRASILEIRA DE SERVICOS HOSPITALARES - EBSERH</v>
      </c>
      <c r="H6727" t="str">
        <f>IFERROR(INDEX(tEditais[UF],MATCH(tItens[[#This Row],[Edital]],tEditais[Edital],0)),"")</f>
        <v>RN</v>
      </c>
      <c r="I6727" s="11">
        <f>IFERROR(INDEX(tEditais[Encerramento],MATCH(tItens[[#This Row],[Edital]],tEditais[Edital],0)),"")</f>
        <v>46311.375</v>
      </c>
      <c r="J6727" t="str">
        <f>IFERROR(INDEX(tProdutos[Classe],MATCH(tItens[[#This Row],[Produto]],tProdutos[Produto],0)),"produto não cadastrado")</f>
        <v>DISPUTADO</v>
      </c>
      <c r="K6727" s="12">
        <f>tItens[[#This Row],[Qtd]]*tItens[[#This Row],[Vlr unit]]</f>
        <v>0</v>
      </c>
      <c r="L6727" s="6">
        <f>IFERROR(IF(INDEX(tProdutos[Desconto homologado],MATCH(tItens[[#This Row],[Produto]],tProdutos[Produto],0))="",DescontoPadrao,INDEX(tProdutos[Desconto homologado],MATCH(tItens[[#This Row],[Produto]],tProdutos[Produto],0))),DescontoPadrao)</f>
        <v>0.371428571428571</v>
      </c>
      <c r="M6727" s="12">
        <f>tItens[[#This Row],[Valor]]*(1-tItens[[#This Row],[Desconto]])</f>
        <v>0</v>
      </c>
      <c r="N6727" t="str">
        <f>IFERROR(INDEX(tProdutos[Foco],MATCH(tItens[[#This Row],[Produto]],tProdutos[Produto],0)),"Não")</f>
        <v>Não</v>
      </c>
      <c r="O6727" t="str">
        <f>IFERROR(INDEX(tEditais[SRP],MATCH(tItens[[#This Row],[Edital]],tEditais[Edital],0)),"Não")</f>
        <v>Não</v>
      </c>
      <c r="P6727" s="4">
        <f>IF(COUNTIFS(INDEX(tItens[Edital],1):tItens[[#This Row],[Edital]],tItens[[#This Row],[Edital]],INDEX(tItens[Produto],1):tItens[[#This Row],[Produto]],tItens[[#This Row],[Produto]])=1,1,0)</f>
        <v>1</v>
      </c>
    </row>
    <row r="6728" spans="1:16" x14ac:dyDescent="0.25">
      <c r="A6728" t="s">
        <v>2410</v>
      </c>
      <c r="B6728">
        <v>34</v>
      </c>
      <c r="C6728" t="s">
        <v>9241</v>
      </c>
      <c r="D6728" t="s">
        <v>144</v>
      </c>
      <c r="E6728" s="13">
        <v>400</v>
      </c>
      <c r="F6728" s="12">
        <v>0</v>
      </c>
      <c r="G6728" t="str">
        <f>IFERROR(INDEX(tEditais[Órgão],MATCH(tItens[[#This Row],[Edital]],tEditais[Edital],0)),"")</f>
        <v>EMPRESA BRASILEIRA DE SERVICOS HOSPITALARES - EBSERH</v>
      </c>
      <c r="H6728" t="str">
        <f>IFERROR(INDEX(tEditais[UF],MATCH(tItens[[#This Row],[Edital]],tEditais[Edital],0)),"")</f>
        <v>RN</v>
      </c>
      <c r="I6728" s="11">
        <f>IFERROR(INDEX(tEditais[Encerramento],MATCH(tItens[[#This Row],[Edital]],tEditais[Edital],0)),"")</f>
        <v>46311.375</v>
      </c>
      <c r="J6728" t="str">
        <f>IFERROR(INDEX(tProdutos[Classe],MATCH(tItens[[#This Row],[Produto]],tProdutos[Produto],0)),"produto não cadastrado")</f>
        <v>DISPUTADO</v>
      </c>
      <c r="K6728" s="12">
        <f>tItens[[#This Row],[Qtd]]*tItens[[#This Row],[Vlr unit]]</f>
        <v>0</v>
      </c>
      <c r="L6728" s="6">
        <f>IFERROR(IF(INDEX(tProdutos[Desconto homologado],MATCH(tItens[[#This Row],[Produto]],tProdutos[Produto],0))="",DescontoPadrao,INDEX(tProdutos[Desconto homologado],MATCH(tItens[[#This Row],[Produto]],tProdutos[Produto],0))),DescontoPadrao)</f>
        <v>0.371428571428571</v>
      </c>
      <c r="M6728" s="12">
        <f>tItens[[#This Row],[Valor]]*(1-tItens[[#This Row],[Desconto]])</f>
        <v>0</v>
      </c>
      <c r="N6728" t="str">
        <f>IFERROR(INDEX(tProdutos[Foco],MATCH(tItens[[#This Row],[Produto]],tProdutos[Produto],0)),"Não")</f>
        <v>Não</v>
      </c>
      <c r="O6728" t="str">
        <f>IFERROR(INDEX(tEditais[SRP],MATCH(tItens[[#This Row],[Edital]],tEditais[Edital],0)),"Não")</f>
        <v>Não</v>
      </c>
      <c r="P6728" s="4">
        <f>IF(COUNTIFS(INDEX(tItens[Edital],1):tItens[[#This Row],[Edital]],tItens[[#This Row],[Edital]],INDEX(tItens[Produto],1):tItens[[#This Row],[Produto]],tItens[[#This Row],[Produto]])=1,1,0)</f>
        <v>0</v>
      </c>
    </row>
    <row r="6729" spans="1:16" x14ac:dyDescent="0.25">
      <c r="A6729" t="s">
        <v>2410</v>
      </c>
      <c r="B6729">
        <v>44</v>
      </c>
      <c r="C6729" t="s">
        <v>9412</v>
      </c>
      <c r="D6729" t="s">
        <v>485</v>
      </c>
      <c r="E6729" s="13">
        <v>8200</v>
      </c>
      <c r="F6729" s="12">
        <v>0</v>
      </c>
      <c r="G6729" t="str">
        <f>IFERROR(INDEX(tEditais[Órgão],MATCH(tItens[[#This Row],[Edital]],tEditais[Edital],0)),"")</f>
        <v>EMPRESA BRASILEIRA DE SERVICOS HOSPITALARES - EBSERH</v>
      </c>
      <c r="H6729" t="str">
        <f>IFERROR(INDEX(tEditais[UF],MATCH(tItens[[#This Row],[Edital]],tEditais[Edital],0)),"")</f>
        <v>RN</v>
      </c>
      <c r="I6729" s="11">
        <f>IFERROR(INDEX(tEditais[Encerramento],MATCH(tItens[[#This Row],[Edital]],tEditais[Edital],0)),"")</f>
        <v>46311.375</v>
      </c>
      <c r="J6729" t="str">
        <f>IFERROR(INDEX(tProdutos[Classe],MATCH(tItens[[#This Row],[Produto]],tProdutos[Produto],0)),"produto não cadastrado")</f>
        <v>FILA REBASE</v>
      </c>
      <c r="K6729" s="12">
        <f>tItens[[#This Row],[Qtd]]*tItens[[#This Row],[Vlr unit]]</f>
        <v>0</v>
      </c>
      <c r="L6729" s="6">
        <f>IFERROR(IF(INDEX(tProdutos[Desconto homologado],MATCH(tItens[[#This Row],[Produto]],tProdutos[Produto],0))="",DescontoPadrao,INDEX(tProdutos[Desconto homologado],MATCH(tItens[[#This Row],[Produto]],tProdutos[Produto],0))),DescontoPadrao)</f>
        <v>0.371991013159302</v>
      </c>
      <c r="M6729" s="12">
        <f>tItens[[#This Row],[Valor]]*(1-tItens[[#This Row],[Desconto]])</f>
        <v>0</v>
      </c>
      <c r="N6729" t="str">
        <f>IFERROR(INDEX(tProdutos[Foco],MATCH(tItens[[#This Row],[Produto]],tProdutos[Produto],0)),"Não")</f>
        <v>Não</v>
      </c>
      <c r="O6729" t="str">
        <f>IFERROR(INDEX(tEditais[SRP],MATCH(tItens[[#This Row],[Edital]],tEditais[Edital],0)),"Não")</f>
        <v>Não</v>
      </c>
      <c r="P6729" s="4">
        <f>IF(COUNTIFS(INDEX(tItens[Edital],1):tItens[[#This Row],[Edital]],tItens[[#This Row],[Edital]],INDEX(tItens[Produto],1):tItens[[#This Row],[Produto]],tItens[[#This Row],[Produto]])=1,1,0)</f>
        <v>1</v>
      </c>
    </row>
    <row r="6730" spans="1:16" x14ac:dyDescent="0.25">
      <c r="A6730" t="s">
        <v>2410</v>
      </c>
      <c r="B6730">
        <v>45</v>
      </c>
      <c r="C6730" t="s">
        <v>9413</v>
      </c>
      <c r="D6730" t="s">
        <v>485</v>
      </c>
      <c r="E6730" s="13">
        <v>300</v>
      </c>
      <c r="F6730" s="12">
        <v>0</v>
      </c>
      <c r="G6730" t="str">
        <f>IFERROR(INDEX(tEditais[Órgão],MATCH(tItens[[#This Row],[Edital]],tEditais[Edital],0)),"")</f>
        <v>EMPRESA BRASILEIRA DE SERVICOS HOSPITALARES - EBSERH</v>
      </c>
      <c r="H6730" t="str">
        <f>IFERROR(INDEX(tEditais[UF],MATCH(tItens[[#This Row],[Edital]],tEditais[Edital],0)),"")</f>
        <v>RN</v>
      </c>
      <c r="I6730" s="11">
        <f>IFERROR(INDEX(tEditais[Encerramento],MATCH(tItens[[#This Row],[Edital]],tEditais[Edital],0)),"")</f>
        <v>46311.375</v>
      </c>
      <c r="J6730" t="str">
        <f>IFERROR(INDEX(tProdutos[Classe],MATCH(tItens[[#This Row],[Produto]],tProdutos[Produto],0)),"produto não cadastrado")</f>
        <v>FILA REBASE</v>
      </c>
      <c r="K6730" s="12">
        <f>tItens[[#This Row],[Qtd]]*tItens[[#This Row],[Vlr unit]]</f>
        <v>0</v>
      </c>
      <c r="L6730" s="6">
        <f>IFERROR(IF(INDEX(tProdutos[Desconto homologado],MATCH(tItens[[#This Row],[Produto]],tProdutos[Produto],0))="",DescontoPadrao,INDEX(tProdutos[Desconto homologado],MATCH(tItens[[#This Row],[Produto]],tProdutos[Produto],0))),DescontoPadrao)</f>
        <v>0.371991013159302</v>
      </c>
      <c r="M6730" s="12">
        <f>tItens[[#This Row],[Valor]]*(1-tItens[[#This Row],[Desconto]])</f>
        <v>0</v>
      </c>
      <c r="N6730" t="str">
        <f>IFERROR(INDEX(tProdutos[Foco],MATCH(tItens[[#This Row],[Produto]],tProdutos[Produto],0)),"Não")</f>
        <v>Não</v>
      </c>
      <c r="O6730" t="str">
        <f>IFERROR(INDEX(tEditais[SRP],MATCH(tItens[[#This Row],[Edital]],tEditais[Edital],0)),"Não")</f>
        <v>Não</v>
      </c>
      <c r="P6730" s="4">
        <f>IF(COUNTIFS(INDEX(tItens[Edital],1):tItens[[#This Row],[Edital]],tItens[[#This Row],[Edital]],INDEX(tItens[Produto],1):tItens[[#This Row],[Produto]],tItens[[#This Row],[Produto]])=1,1,0)</f>
        <v>0</v>
      </c>
    </row>
    <row r="6731" spans="1:16" x14ac:dyDescent="0.25">
      <c r="A6731" t="s">
        <v>2410</v>
      </c>
      <c r="B6731">
        <v>46</v>
      </c>
      <c r="C6731" t="s">
        <v>7387</v>
      </c>
      <c r="D6731" t="s">
        <v>299</v>
      </c>
      <c r="E6731" s="13">
        <v>118000</v>
      </c>
      <c r="F6731" s="12">
        <v>0</v>
      </c>
      <c r="G6731" t="str">
        <f>IFERROR(INDEX(tEditais[Órgão],MATCH(tItens[[#This Row],[Edital]],tEditais[Edital],0)),"")</f>
        <v>EMPRESA BRASILEIRA DE SERVICOS HOSPITALARES - EBSERH</v>
      </c>
      <c r="H6731" t="str">
        <f>IFERROR(INDEX(tEditais[UF],MATCH(tItens[[#This Row],[Edital]],tEditais[Edital],0)),"")</f>
        <v>RN</v>
      </c>
      <c r="I6731" s="11">
        <f>IFERROR(INDEX(tEditais[Encerramento],MATCH(tItens[[#This Row],[Edital]],tEditais[Edital],0)),"")</f>
        <v>46311.375</v>
      </c>
      <c r="J6731" t="str">
        <f>IFERROR(INDEX(tProdutos[Classe],MATCH(tItens[[#This Row],[Produto]],tProdutos[Produto],0)),"produto não cadastrado")</f>
        <v>FORA</v>
      </c>
      <c r="K6731" s="12">
        <f>tItens[[#This Row],[Qtd]]*tItens[[#This Row],[Vlr unit]]</f>
        <v>0</v>
      </c>
      <c r="L6731" s="6">
        <f>IFERROR(IF(INDEX(tProdutos[Desconto homologado],MATCH(tItens[[#This Row],[Produto]],tProdutos[Produto],0))="",DescontoPadrao,INDEX(tProdutos[Desconto homologado],MATCH(tItens[[#This Row],[Produto]],tProdutos[Produto],0))),DescontoPadrao)</f>
        <v>0.42211465163381601</v>
      </c>
      <c r="M6731" s="12">
        <f>tItens[[#This Row],[Valor]]*(1-tItens[[#This Row],[Desconto]])</f>
        <v>0</v>
      </c>
      <c r="N6731" t="str">
        <f>IFERROR(INDEX(tProdutos[Foco],MATCH(tItens[[#This Row],[Produto]],tProdutos[Produto],0)),"Não")</f>
        <v>Não</v>
      </c>
      <c r="O6731" t="str">
        <f>IFERROR(INDEX(tEditais[SRP],MATCH(tItens[[#This Row],[Edital]],tEditais[Edital],0)),"Não")</f>
        <v>Não</v>
      </c>
      <c r="P6731" s="4">
        <f>IF(COUNTIFS(INDEX(tItens[Edital],1):tItens[[#This Row],[Edital]],tItens[[#This Row],[Edital]],INDEX(tItens[Produto],1):tItens[[#This Row],[Produto]],tItens[[#This Row],[Produto]])=1,1,0)</f>
        <v>1</v>
      </c>
    </row>
    <row r="6732" spans="1:16" x14ac:dyDescent="0.25">
      <c r="A6732" t="s">
        <v>2410</v>
      </c>
      <c r="B6732">
        <v>47</v>
      </c>
      <c r="C6732" t="s">
        <v>9414</v>
      </c>
      <c r="D6732" t="s">
        <v>299</v>
      </c>
      <c r="E6732" s="13">
        <v>5200</v>
      </c>
      <c r="F6732" s="12">
        <v>0</v>
      </c>
      <c r="G6732" t="str">
        <f>IFERROR(INDEX(tEditais[Órgão],MATCH(tItens[[#This Row],[Edital]],tEditais[Edital],0)),"")</f>
        <v>EMPRESA BRASILEIRA DE SERVICOS HOSPITALARES - EBSERH</v>
      </c>
      <c r="H6732" t="str">
        <f>IFERROR(INDEX(tEditais[UF],MATCH(tItens[[#This Row],[Edital]],tEditais[Edital],0)),"")</f>
        <v>RN</v>
      </c>
      <c r="I6732" s="11">
        <f>IFERROR(INDEX(tEditais[Encerramento],MATCH(tItens[[#This Row],[Edital]],tEditais[Edital],0)),"")</f>
        <v>46311.375</v>
      </c>
      <c r="J6732" t="str">
        <f>IFERROR(INDEX(tProdutos[Classe],MATCH(tItens[[#This Row],[Produto]],tProdutos[Produto],0)),"produto não cadastrado")</f>
        <v>FORA</v>
      </c>
      <c r="K6732" s="12">
        <f>tItens[[#This Row],[Qtd]]*tItens[[#This Row],[Vlr unit]]</f>
        <v>0</v>
      </c>
      <c r="L6732" s="6">
        <f>IFERROR(IF(INDEX(tProdutos[Desconto homologado],MATCH(tItens[[#This Row],[Produto]],tProdutos[Produto],0))="",DescontoPadrao,INDEX(tProdutos[Desconto homologado],MATCH(tItens[[#This Row],[Produto]],tProdutos[Produto],0))),DescontoPadrao)</f>
        <v>0.42211465163381601</v>
      </c>
      <c r="M6732" s="12">
        <f>tItens[[#This Row],[Valor]]*(1-tItens[[#This Row],[Desconto]])</f>
        <v>0</v>
      </c>
      <c r="N6732" t="str">
        <f>IFERROR(INDEX(tProdutos[Foco],MATCH(tItens[[#This Row],[Produto]],tProdutos[Produto],0)),"Não")</f>
        <v>Não</v>
      </c>
      <c r="O6732" t="str">
        <f>IFERROR(INDEX(tEditais[SRP],MATCH(tItens[[#This Row],[Edital]],tEditais[Edital],0)),"Não")</f>
        <v>Não</v>
      </c>
      <c r="P6732" s="4">
        <f>IF(COUNTIFS(INDEX(tItens[Edital],1):tItens[[#This Row],[Edital]],tItens[[#This Row],[Edital]],INDEX(tItens[Produto],1):tItens[[#This Row],[Produto]],tItens[[#This Row],[Produto]])=1,1,0)</f>
        <v>0</v>
      </c>
    </row>
    <row r="6733" spans="1:16" x14ac:dyDescent="0.25">
      <c r="A6733" t="s">
        <v>2410</v>
      </c>
      <c r="B6733">
        <v>48</v>
      </c>
      <c r="C6733" t="s">
        <v>9415</v>
      </c>
      <c r="D6733" t="s">
        <v>102</v>
      </c>
      <c r="E6733" s="13">
        <v>8300</v>
      </c>
      <c r="F6733" s="12">
        <v>0</v>
      </c>
      <c r="G6733" t="str">
        <f>IFERROR(INDEX(tEditais[Órgão],MATCH(tItens[[#This Row],[Edital]],tEditais[Edital],0)),"")</f>
        <v>EMPRESA BRASILEIRA DE SERVICOS HOSPITALARES - EBSERH</v>
      </c>
      <c r="H6733" t="str">
        <f>IFERROR(INDEX(tEditais[UF],MATCH(tItens[[#This Row],[Edital]],tEditais[Edital],0)),"")</f>
        <v>RN</v>
      </c>
      <c r="I6733" s="11">
        <f>IFERROR(INDEX(tEditais[Encerramento],MATCH(tItens[[#This Row],[Edital]],tEditais[Edital],0)),"")</f>
        <v>46311.375</v>
      </c>
      <c r="J6733" t="str">
        <f>IFERROR(INDEX(tProdutos[Classe],MATCH(tItens[[#This Row],[Produto]],tProdutos[Produto],0)),"produto não cadastrado")</f>
        <v>DISPUTADO</v>
      </c>
      <c r="K6733" s="12">
        <f>tItens[[#This Row],[Qtd]]*tItens[[#This Row],[Vlr unit]]</f>
        <v>0</v>
      </c>
      <c r="L6733" s="6">
        <f>IFERROR(IF(INDEX(tProdutos[Desconto homologado],MATCH(tItens[[#This Row],[Produto]],tProdutos[Produto],0))="",DescontoPadrao,INDEX(tProdutos[Desconto homologado],MATCH(tItens[[#This Row],[Produto]],tProdutos[Produto],0))),DescontoPadrao)</f>
        <v>0.38053097345132803</v>
      </c>
      <c r="M6733" s="12">
        <f>tItens[[#This Row],[Valor]]*(1-tItens[[#This Row],[Desconto]])</f>
        <v>0</v>
      </c>
      <c r="N6733" t="str">
        <f>IFERROR(INDEX(tProdutos[Foco],MATCH(tItens[[#This Row],[Produto]],tProdutos[Produto],0)),"Não")</f>
        <v>Não</v>
      </c>
      <c r="O6733" t="str">
        <f>IFERROR(INDEX(tEditais[SRP],MATCH(tItens[[#This Row],[Edital]],tEditais[Edital],0)),"Não")</f>
        <v>Não</v>
      </c>
      <c r="P6733" s="4">
        <f>IF(COUNTIFS(INDEX(tItens[Edital],1):tItens[[#This Row],[Edital]],tItens[[#This Row],[Edital]],INDEX(tItens[Produto],1):tItens[[#This Row],[Produto]],tItens[[#This Row],[Produto]])=1,1,0)</f>
        <v>1</v>
      </c>
    </row>
    <row r="6734" spans="1:16" x14ac:dyDescent="0.25">
      <c r="A6734" t="s">
        <v>2410</v>
      </c>
      <c r="B6734">
        <v>52</v>
      </c>
      <c r="C6734" t="s">
        <v>8585</v>
      </c>
      <c r="D6734" t="s">
        <v>75</v>
      </c>
      <c r="E6734" s="13">
        <v>500</v>
      </c>
      <c r="F6734" s="12">
        <v>0</v>
      </c>
      <c r="G6734" t="str">
        <f>IFERROR(INDEX(tEditais[Órgão],MATCH(tItens[[#This Row],[Edital]],tEditais[Edital],0)),"")</f>
        <v>EMPRESA BRASILEIRA DE SERVICOS HOSPITALARES - EBSERH</v>
      </c>
      <c r="H6734" t="str">
        <f>IFERROR(INDEX(tEditais[UF],MATCH(tItens[[#This Row],[Edital]],tEditais[Edital],0)),"")</f>
        <v>RN</v>
      </c>
      <c r="I6734" s="11">
        <f>IFERROR(INDEX(tEditais[Encerramento],MATCH(tItens[[#This Row],[Edital]],tEditais[Edital],0)),"")</f>
        <v>46311.375</v>
      </c>
      <c r="J6734" t="str">
        <f>IFERROR(INDEX(tProdutos[Classe],MATCH(tItens[[#This Row],[Produto]],tProdutos[Produto],0)),"produto não cadastrado")</f>
        <v>NÚCLEO</v>
      </c>
      <c r="K6734" s="12">
        <f>tItens[[#This Row],[Qtd]]*tItens[[#This Row],[Vlr unit]]</f>
        <v>0</v>
      </c>
      <c r="L6734" s="6">
        <f>IFERROR(IF(INDEX(tProdutos[Desconto homologado],MATCH(tItens[[#This Row],[Produto]],tProdutos[Produto],0))="",DescontoPadrao,INDEX(tProdutos[Desconto homologado],MATCH(tItens[[#This Row],[Produto]],tProdutos[Produto],0))),DescontoPadrao)</f>
        <v>0.26</v>
      </c>
      <c r="M6734" s="12">
        <f>tItens[[#This Row],[Valor]]*(1-tItens[[#This Row],[Desconto]])</f>
        <v>0</v>
      </c>
      <c r="N6734" t="str">
        <f>IFERROR(INDEX(tProdutos[Foco],MATCH(tItens[[#This Row],[Produto]],tProdutos[Produto],0)),"Não")</f>
        <v>Sim</v>
      </c>
      <c r="O6734" t="str">
        <f>IFERROR(INDEX(tEditais[SRP],MATCH(tItens[[#This Row],[Edital]],tEditais[Edital],0)),"Não")</f>
        <v>Não</v>
      </c>
      <c r="P6734" s="4">
        <f>IF(COUNTIFS(INDEX(tItens[Edital],1):tItens[[#This Row],[Edital]],tItens[[#This Row],[Edital]],INDEX(tItens[Produto],1):tItens[[#This Row],[Produto]],tItens[[#This Row],[Produto]])=1,1,0)</f>
        <v>1</v>
      </c>
    </row>
    <row r="6735" spans="1:16" x14ac:dyDescent="0.25">
      <c r="A6735" t="s">
        <v>2410</v>
      </c>
      <c r="B6735">
        <v>53</v>
      </c>
      <c r="C6735" t="s">
        <v>9416</v>
      </c>
      <c r="D6735" t="s">
        <v>75</v>
      </c>
      <c r="E6735" s="13">
        <v>2500</v>
      </c>
      <c r="F6735" s="12">
        <v>0</v>
      </c>
      <c r="G6735" t="str">
        <f>IFERROR(INDEX(tEditais[Órgão],MATCH(tItens[[#This Row],[Edital]],tEditais[Edital],0)),"")</f>
        <v>EMPRESA BRASILEIRA DE SERVICOS HOSPITALARES - EBSERH</v>
      </c>
      <c r="H6735" t="str">
        <f>IFERROR(INDEX(tEditais[UF],MATCH(tItens[[#This Row],[Edital]],tEditais[Edital],0)),"")</f>
        <v>RN</v>
      </c>
      <c r="I6735" s="11">
        <f>IFERROR(INDEX(tEditais[Encerramento],MATCH(tItens[[#This Row],[Edital]],tEditais[Edital],0)),"")</f>
        <v>46311.375</v>
      </c>
      <c r="J6735" t="str">
        <f>IFERROR(INDEX(tProdutos[Classe],MATCH(tItens[[#This Row],[Produto]],tProdutos[Produto],0)),"produto não cadastrado")</f>
        <v>NÚCLEO</v>
      </c>
      <c r="K6735" s="12">
        <f>tItens[[#This Row],[Qtd]]*tItens[[#This Row],[Vlr unit]]</f>
        <v>0</v>
      </c>
      <c r="L6735" s="6">
        <f>IFERROR(IF(INDEX(tProdutos[Desconto homologado],MATCH(tItens[[#This Row],[Produto]],tProdutos[Produto],0))="",DescontoPadrao,INDEX(tProdutos[Desconto homologado],MATCH(tItens[[#This Row],[Produto]],tProdutos[Produto],0))),DescontoPadrao)</f>
        <v>0.26</v>
      </c>
      <c r="M6735" s="12">
        <f>tItens[[#This Row],[Valor]]*(1-tItens[[#This Row],[Desconto]])</f>
        <v>0</v>
      </c>
      <c r="N6735" t="str">
        <f>IFERROR(INDEX(tProdutos[Foco],MATCH(tItens[[#This Row],[Produto]],tProdutos[Produto],0)),"Não")</f>
        <v>Sim</v>
      </c>
      <c r="O6735" t="str">
        <f>IFERROR(INDEX(tEditais[SRP],MATCH(tItens[[#This Row],[Edital]],tEditais[Edital],0)),"Não")</f>
        <v>Não</v>
      </c>
      <c r="P6735" s="4">
        <f>IF(COUNTIFS(INDEX(tItens[Edital],1):tItens[[#This Row],[Edital]],tItens[[#This Row],[Edital]],INDEX(tItens[Produto],1):tItens[[#This Row],[Produto]],tItens[[#This Row],[Produto]])=1,1,0)</f>
        <v>0</v>
      </c>
    </row>
    <row r="6736" spans="1:16" x14ac:dyDescent="0.25">
      <c r="A6736" t="s">
        <v>2410</v>
      </c>
      <c r="B6736">
        <v>54</v>
      </c>
      <c r="C6736" t="s">
        <v>9417</v>
      </c>
      <c r="D6736" t="s">
        <v>75</v>
      </c>
      <c r="E6736" s="13">
        <v>650</v>
      </c>
      <c r="F6736" s="12">
        <v>0</v>
      </c>
      <c r="G6736" t="str">
        <f>IFERROR(INDEX(tEditais[Órgão],MATCH(tItens[[#This Row],[Edital]],tEditais[Edital],0)),"")</f>
        <v>EMPRESA BRASILEIRA DE SERVICOS HOSPITALARES - EBSERH</v>
      </c>
      <c r="H6736" t="str">
        <f>IFERROR(INDEX(tEditais[UF],MATCH(tItens[[#This Row],[Edital]],tEditais[Edital],0)),"")</f>
        <v>RN</v>
      </c>
      <c r="I6736" s="11">
        <f>IFERROR(INDEX(tEditais[Encerramento],MATCH(tItens[[#This Row],[Edital]],tEditais[Edital],0)),"")</f>
        <v>46311.375</v>
      </c>
      <c r="J6736" t="str">
        <f>IFERROR(INDEX(tProdutos[Classe],MATCH(tItens[[#This Row],[Produto]],tProdutos[Produto],0)),"produto não cadastrado")</f>
        <v>NÚCLEO</v>
      </c>
      <c r="K6736" s="12">
        <f>tItens[[#This Row],[Qtd]]*tItens[[#This Row],[Vlr unit]]</f>
        <v>0</v>
      </c>
      <c r="L6736" s="6">
        <f>IFERROR(IF(INDEX(tProdutos[Desconto homologado],MATCH(tItens[[#This Row],[Produto]],tProdutos[Produto],0))="",DescontoPadrao,INDEX(tProdutos[Desconto homologado],MATCH(tItens[[#This Row],[Produto]],tProdutos[Produto],0))),DescontoPadrao)</f>
        <v>0.26</v>
      </c>
      <c r="M6736" s="12">
        <f>tItens[[#This Row],[Valor]]*(1-tItens[[#This Row],[Desconto]])</f>
        <v>0</v>
      </c>
      <c r="N6736" t="str">
        <f>IFERROR(INDEX(tProdutos[Foco],MATCH(tItens[[#This Row],[Produto]],tProdutos[Produto],0)),"Não")</f>
        <v>Sim</v>
      </c>
      <c r="O6736" t="str">
        <f>IFERROR(INDEX(tEditais[SRP],MATCH(tItens[[#This Row],[Edital]],tEditais[Edital],0)),"Não")</f>
        <v>Não</v>
      </c>
      <c r="P6736" s="4">
        <f>IF(COUNTIFS(INDEX(tItens[Edital],1):tItens[[#This Row],[Edital]],tItens[[#This Row],[Edital]],INDEX(tItens[Produto],1):tItens[[#This Row],[Produto]],tItens[[#This Row],[Produto]])=1,1,0)</f>
        <v>0</v>
      </c>
    </row>
    <row r="6737" spans="1:16" x14ac:dyDescent="0.25">
      <c r="A6737" t="s">
        <v>2410</v>
      </c>
      <c r="B6737">
        <v>56</v>
      </c>
      <c r="C6737" t="s">
        <v>9418</v>
      </c>
      <c r="D6737" t="s">
        <v>464</v>
      </c>
      <c r="E6737" s="13">
        <v>800</v>
      </c>
      <c r="F6737" s="12">
        <v>0</v>
      </c>
      <c r="G6737" t="str">
        <f>IFERROR(INDEX(tEditais[Órgão],MATCH(tItens[[#This Row],[Edital]],tEditais[Edital],0)),"")</f>
        <v>EMPRESA BRASILEIRA DE SERVICOS HOSPITALARES - EBSERH</v>
      </c>
      <c r="H6737" t="str">
        <f>IFERROR(INDEX(tEditais[UF],MATCH(tItens[[#This Row],[Edital]],tEditais[Edital],0)),"")</f>
        <v>RN</v>
      </c>
      <c r="I6737" s="11">
        <f>IFERROR(INDEX(tEditais[Encerramento],MATCH(tItens[[#This Row],[Edital]],tEditais[Edital],0)),"")</f>
        <v>46311.375</v>
      </c>
      <c r="J6737" t="str">
        <f>IFERROR(INDEX(tProdutos[Classe],MATCH(tItens[[#This Row],[Produto]],tProdutos[Produto],0)),"produto não cadastrado")</f>
        <v>FILA REBASE</v>
      </c>
      <c r="K6737" s="12">
        <f>tItens[[#This Row],[Qtd]]*tItens[[#This Row],[Vlr unit]]</f>
        <v>0</v>
      </c>
      <c r="L6737" s="6">
        <f>IFERROR(IF(INDEX(tProdutos[Desconto homologado],MATCH(tItens[[#This Row],[Produto]],tProdutos[Produto],0))="",DescontoPadrao,INDEX(tProdutos[Desconto homologado],MATCH(tItens[[#This Row],[Produto]],tProdutos[Produto],0))),DescontoPadrao)</f>
        <v>0.3</v>
      </c>
      <c r="M6737" s="12">
        <f>tItens[[#This Row],[Valor]]*(1-tItens[[#This Row],[Desconto]])</f>
        <v>0</v>
      </c>
      <c r="N6737" t="str">
        <f>IFERROR(INDEX(tProdutos[Foco],MATCH(tItens[[#This Row],[Produto]],tProdutos[Produto],0)),"Não")</f>
        <v>Não</v>
      </c>
      <c r="O6737" t="str">
        <f>IFERROR(INDEX(tEditais[SRP],MATCH(tItens[[#This Row],[Edital]],tEditais[Edital],0)),"Não")</f>
        <v>Não</v>
      </c>
      <c r="P6737" s="4">
        <f>IF(COUNTIFS(INDEX(tItens[Edital],1):tItens[[#This Row],[Edital]],tItens[[#This Row],[Edital]],INDEX(tItens[Produto],1):tItens[[#This Row],[Produto]],tItens[[#This Row],[Produto]])=1,1,0)</f>
        <v>1</v>
      </c>
    </row>
    <row r="6738" spans="1:16" x14ac:dyDescent="0.25">
      <c r="A6738" t="s">
        <v>2410</v>
      </c>
      <c r="B6738">
        <v>57</v>
      </c>
      <c r="C6738" t="s">
        <v>9419</v>
      </c>
      <c r="D6738" t="s">
        <v>136</v>
      </c>
      <c r="E6738" s="13">
        <v>250</v>
      </c>
      <c r="F6738" s="12">
        <v>0</v>
      </c>
      <c r="G6738" t="str">
        <f>IFERROR(INDEX(tEditais[Órgão],MATCH(tItens[[#This Row],[Edital]],tEditais[Edital],0)),"")</f>
        <v>EMPRESA BRASILEIRA DE SERVICOS HOSPITALARES - EBSERH</v>
      </c>
      <c r="H6738" t="str">
        <f>IFERROR(INDEX(tEditais[UF],MATCH(tItens[[#This Row],[Edital]],tEditais[Edital],0)),"")</f>
        <v>RN</v>
      </c>
      <c r="I6738" s="11">
        <f>IFERROR(INDEX(tEditais[Encerramento],MATCH(tItens[[#This Row],[Edital]],tEditais[Edital],0)),"")</f>
        <v>46311.375</v>
      </c>
      <c r="J6738" t="str">
        <f>IFERROR(INDEX(tProdutos[Classe],MATCH(tItens[[#This Row],[Produto]],tProdutos[Produto],0)),"produto não cadastrado")</f>
        <v>DISPUTADO</v>
      </c>
      <c r="K6738" s="12">
        <f>tItens[[#This Row],[Qtd]]*tItens[[#This Row],[Vlr unit]]</f>
        <v>0</v>
      </c>
      <c r="L6738" s="6">
        <f>IFERROR(IF(INDEX(tProdutos[Desconto homologado],MATCH(tItens[[#This Row],[Produto]],tProdutos[Produto],0))="",DescontoPadrao,INDEX(tProdutos[Desconto homologado],MATCH(tItens[[#This Row],[Produto]],tProdutos[Produto],0))),DescontoPadrao)</f>
        <v>0.330646209370899</v>
      </c>
      <c r="M6738" s="12">
        <f>tItens[[#This Row],[Valor]]*(1-tItens[[#This Row],[Desconto]])</f>
        <v>0</v>
      </c>
      <c r="N6738" t="str">
        <f>IFERROR(INDEX(tProdutos[Foco],MATCH(tItens[[#This Row],[Produto]],tProdutos[Produto],0)),"Não")</f>
        <v>Não</v>
      </c>
      <c r="O6738" t="str">
        <f>IFERROR(INDEX(tEditais[SRP],MATCH(tItens[[#This Row],[Edital]],tEditais[Edital],0)),"Não")</f>
        <v>Não</v>
      </c>
      <c r="P6738" s="4">
        <f>IF(COUNTIFS(INDEX(tItens[Edital],1):tItens[[#This Row],[Edital]],tItens[[#This Row],[Edital]],INDEX(tItens[Produto],1):tItens[[#This Row],[Produto]],tItens[[#This Row],[Produto]])=1,1,0)</f>
        <v>1</v>
      </c>
    </row>
    <row r="6739" spans="1:16" x14ac:dyDescent="0.25">
      <c r="A6739" t="s">
        <v>2410</v>
      </c>
      <c r="B6739">
        <v>58</v>
      </c>
      <c r="C6739" t="s">
        <v>9420</v>
      </c>
      <c r="D6739" t="s">
        <v>191</v>
      </c>
      <c r="E6739" s="13">
        <v>150</v>
      </c>
      <c r="F6739" s="12">
        <v>0</v>
      </c>
      <c r="G6739" t="str">
        <f>IFERROR(INDEX(tEditais[Órgão],MATCH(tItens[[#This Row],[Edital]],tEditais[Edital],0)),"")</f>
        <v>EMPRESA BRASILEIRA DE SERVICOS HOSPITALARES - EBSERH</v>
      </c>
      <c r="H6739" t="str">
        <f>IFERROR(INDEX(tEditais[UF],MATCH(tItens[[#This Row],[Edital]],tEditais[Edital],0)),"")</f>
        <v>RN</v>
      </c>
      <c r="I6739" s="11">
        <f>IFERROR(INDEX(tEditais[Encerramento],MATCH(tItens[[#This Row],[Edital]],tEditais[Edital],0)),"")</f>
        <v>46311.375</v>
      </c>
      <c r="J6739" t="str">
        <f>IFERROR(INDEX(tProdutos[Classe],MATCH(tItens[[#This Row],[Produto]],tProdutos[Produto],0)),"produto não cadastrado")</f>
        <v>DISPUTADO</v>
      </c>
      <c r="K6739" s="12">
        <f>tItens[[#This Row],[Qtd]]*tItens[[#This Row],[Vlr unit]]</f>
        <v>0</v>
      </c>
      <c r="L6739" s="6">
        <f>IFERROR(IF(INDEX(tProdutos[Desconto homologado],MATCH(tItens[[#This Row],[Produto]],tProdutos[Produto],0))="",DescontoPadrao,INDEX(tProdutos[Desconto homologado],MATCH(tItens[[#This Row],[Produto]],tProdutos[Produto],0))),DescontoPadrao)</f>
        <v>0.374129526462396</v>
      </c>
      <c r="M6739" s="12">
        <f>tItens[[#This Row],[Valor]]*(1-tItens[[#This Row],[Desconto]])</f>
        <v>0</v>
      </c>
      <c r="N6739" t="str">
        <f>IFERROR(INDEX(tProdutos[Foco],MATCH(tItens[[#This Row],[Produto]],tProdutos[Produto],0)),"Não")</f>
        <v>Não</v>
      </c>
      <c r="O6739" t="str">
        <f>IFERROR(INDEX(tEditais[SRP],MATCH(tItens[[#This Row],[Edital]],tEditais[Edital],0)),"Não")</f>
        <v>Não</v>
      </c>
      <c r="P6739" s="4">
        <f>IF(COUNTIFS(INDEX(tItens[Edital],1):tItens[[#This Row],[Edital]],tItens[[#This Row],[Edital]],INDEX(tItens[Produto],1):tItens[[#This Row],[Produto]],tItens[[#This Row],[Produto]])=1,1,0)</f>
        <v>1</v>
      </c>
    </row>
    <row r="6740" spans="1:16" x14ac:dyDescent="0.25">
      <c r="A6740" t="s">
        <v>2410</v>
      </c>
      <c r="B6740">
        <v>61</v>
      </c>
      <c r="C6740" t="s">
        <v>7719</v>
      </c>
      <c r="D6740" t="s">
        <v>77</v>
      </c>
      <c r="E6740" s="13">
        <v>700</v>
      </c>
      <c r="F6740" s="12">
        <v>0</v>
      </c>
      <c r="G6740" t="str">
        <f>IFERROR(INDEX(tEditais[Órgão],MATCH(tItens[[#This Row],[Edital]],tEditais[Edital],0)),"")</f>
        <v>EMPRESA BRASILEIRA DE SERVICOS HOSPITALARES - EBSERH</v>
      </c>
      <c r="H6740" t="str">
        <f>IFERROR(INDEX(tEditais[UF],MATCH(tItens[[#This Row],[Edital]],tEditais[Edital],0)),"")</f>
        <v>RN</v>
      </c>
      <c r="I6740" s="11">
        <f>IFERROR(INDEX(tEditais[Encerramento],MATCH(tItens[[#This Row],[Edital]],tEditais[Edital],0)),"")</f>
        <v>46311.375</v>
      </c>
      <c r="J6740" t="str">
        <f>IFERROR(INDEX(tProdutos[Classe],MATCH(tItens[[#This Row],[Produto]],tProdutos[Produto],0)),"produto não cadastrado")</f>
        <v>DISPUTADO</v>
      </c>
      <c r="K6740" s="12">
        <f>tItens[[#This Row],[Qtd]]*tItens[[#This Row],[Vlr unit]]</f>
        <v>0</v>
      </c>
      <c r="L6740" s="6">
        <f>IFERROR(IF(INDEX(tProdutos[Desconto homologado],MATCH(tItens[[#This Row],[Produto]],tProdutos[Produto],0))="",DescontoPadrao,INDEX(tProdutos[Desconto homologado],MATCH(tItens[[#This Row],[Produto]],tProdutos[Produto],0))),DescontoPadrao)</f>
        <v>0.33</v>
      </c>
      <c r="M6740" s="12">
        <f>tItens[[#This Row],[Valor]]*(1-tItens[[#This Row],[Desconto]])</f>
        <v>0</v>
      </c>
      <c r="N6740" t="str">
        <f>IFERROR(INDEX(tProdutos[Foco],MATCH(tItens[[#This Row],[Produto]],tProdutos[Produto],0)),"Não")</f>
        <v>Sim</v>
      </c>
      <c r="O6740" t="str">
        <f>IFERROR(INDEX(tEditais[SRP],MATCH(tItens[[#This Row],[Edital]],tEditais[Edital],0)),"Não")</f>
        <v>Não</v>
      </c>
      <c r="P6740" s="4">
        <f>IF(COUNTIFS(INDEX(tItens[Edital],1):tItens[[#This Row],[Edital]],tItens[[#This Row],[Edital]],INDEX(tItens[Produto],1):tItens[[#This Row],[Produto]],tItens[[#This Row],[Produto]])=1,1,0)</f>
        <v>1</v>
      </c>
    </row>
    <row r="6741" spans="1:16" x14ac:dyDescent="0.25">
      <c r="A6741" t="s">
        <v>2410</v>
      </c>
      <c r="B6741">
        <v>64</v>
      </c>
      <c r="C6741" t="s">
        <v>9421</v>
      </c>
      <c r="D6741" t="s">
        <v>67</v>
      </c>
      <c r="E6741" s="13">
        <v>100</v>
      </c>
      <c r="F6741" s="12">
        <v>0</v>
      </c>
      <c r="G6741" t="str">
        <f>IFERROR(INDEX(tEditais[Órgão],MATCH(tItens[[#This Row],[Edital]],tEditais[Edital],0)),"")</f>
        <v>EMPRESA BRASILEIRA DE SERVICOS HOSPITALARES - EBSERH</v>
      </c>
      <c r="H6741" t="str">
        <f>IFERROR(INDEX(tEditais[UF],MATCH(tItens[[#This Row],[Edital]],tEditais[Edital],0)),"")</f>
        <v>RN</v>
      </c>
      <c r="I6741" s="11">
        <f>IFERROR(INDEX(tEditais[Encerramento],MATCH(tItens[[#This Row],[Edital]],tEditais[Edital],0)),"")</f>
        <v>46311.375</v>
      </c>
      <c r="J6741" t="str">
        <f>IFERROR(INDEX(tProdutos[Classe],MATCH(tItens[[#This Row],[Produto]],tProdutos[Produto],0)),"produto não cadastrado")</f>
        <v>NÚCLEO</v>
      </c>
      <c r="K6741" s="12">
        <f>tItens[[#This Row],[Qtd]]*tItens[[#This Row],[Vlr unit]]</f>
        <v>0</v>
      </c>
      <c r="L6741" s="6">
        <f>IFERROR(IF(INDEX(tProdutos[Desconto homologado],MATCH(tItens[[#This Row],[Produto]],tProdutos[Produto],0))="",DescontoPadrao,INDEX(tProdutos[Desconto homologado],MATCH(tItens[[#This Row],[Produto]],tProdutos[Produto],0))),DescontoPadrao)</f>
        <v>0.35766423357664201</v>
      </c>
      <c r="M6741" s="12">
        <f>tItens[[#This Row],[Valor]]*(1-tItens[[#This Row],[Desconto]])</f>
        <v>0</v>
      </c>
      <c r="N6741" t="str">
        <f>IFERROR(INDEX(tProdutos[Foco],MATCH(tItens[[#This Row],[Produto]],tProdutos[Produto],0)),"Não")</f>
        <v>Não</v>
      </c>
      <c r="O6741" t="str">
        <f>IFERROR(INDEX(tEditais[SRP],MATCH(tItens[[#This Row],[Edital]],tEditais[Edital],0)),"Não")</f>
        <v>Não</v>
      </c>
      <c r="P6741" s="4">
        <f>IF(COUNTIFS(INDEX(tItens[Edital],1):tItens[[#This Row],[Edital]],tItens[[#This Row],[Edital]],INDEX(tItens[Produto],1):tItens[[#This Row],[Produto]],tItens[[#This Row],[Produto]])=1,1,0)</f>
        <v>1</v>
      </c>
    </row>
    <row r="6742" spans="1:16" x14ac:dyDescent="0.25">
      <c r="A6742" t="s">
        <v>2410</v>
      </c>
      <c r="B6742">
        <v>66</v>
      </c>
      <c r="C6742" t="s">
        <v>7764</v>
      </c>
      <c r="D6742" t="s">
        <v>339</v>
      </c>
      <c r="E6742" s="13">
        <v>11800</v>
      </c>
      <c r="F6742" s="12">
        <v>0</v>
      </c>
      <c r="G6742" t="str">
        <f>IFERROR(INDEX(tEditais[Órgão],MATCH(tItens[[#This Row],[Edital]],tEditais[Edital],0)),"")</f>
        <v>EMPRESA BRASILEIRA DE SERVICOS HOSPITALARES - EBSERH</v>
      </c>
      <c r="H6742" t="str">
        <f>IFERROR(INDEX(tEditais[UF],MATCH(tItens[[#This Row],[Edital]],tEditais[Edital],0)),"")</f>
        <v>RN</v>
      </c>
      <c r="I6742" s="11">
        <f>IFERROR(INDEX(tEditais[Encerramento],MATCH(tItens[[#This Row],[Edital]],tEditais[Edital],0)),"")</f>
        <v>46311.375</v>
      </c>
      <c r="J6742" t="str">
        <f>IFERROR(INDEX(tProdutos[Classe],MATCH(tItens[[#This Row],[Produto]],tProdutos[Produto],0)),"produto não cadastrado")</f>
        <v>FORA</v>
      </c>
      <c r="K6742" s="12">
        <f>tItens[[#This Row],[Qtd]]*tItens[[#This Row],[Vlr unit]]</f>
        <v>0</v>
      </c>
      <c r="L6742" s="6">
        <f>IFERROR(IF(INDEX(tProdutos[Desconto homologado],MATCH(tItens[[#This Row],[Produto]],tProdutos[Produto],0))="",DescontoPadrao,INDEX(tProdutos[Desconto homologado],MATCH(tItens[[#This Row],[Produto]],tProdutos[Produto],0))),DescontoPadrao)</f>
        <v>0.35388629091804102</v>
      </c>
      <c r="M6742" s="12">
        <f>tItens[[#This Row],[Valor]]*(1-tItens[[#This Row],[Desconto]])</f>
        <v>0</v>
      </c>
      <c r="N6742" t="str">
        <f>IFERROR(INDEX(tProdutos[Foco],MATCH(tItens[[#This Row],[Produto]],tProdutos[Produto],0)),"Não")</f>
        <v>Não</v>
      </c>
      <c r="O6742" t="str">
        <f>IFERROR(INDEX(tEditais[SRP],MATCH(tItens[[#This Row],[Edital]],tEditais[Edital],0)),"Não")</f>
        <v>Não</v>
      </c>
      <c r="P6742" s="4">
        <f>IF(COUNTIFS(INDEX(tItens[Edital],1):tItens[[#This Row],[Edital]],tItens[[#This Row],[Edital]],INDEX(tItens[Produto],1):tItens[[#This Row],[Produto]],tItens[[#This Row],[Produto]])=1,1,0)</f>
        <v>1</v>
      </c>
    </row>
    <row r="6743" spans="1:16" x14ac:dyDescent="0.25">
      <c r="A6743" t="s">
        <v>2410</v>
      </c>
      <c r="B6743">
        <v>73</v>
      </c>
      <c r="C6743" t="s">
        <v>9422</v>
      </c>
      <c r="D6743" t="s">
        <v>172</v>
      </c>
      <c r="E6743" s="13">
        <v>7200</v>
      </c>
      <c r="F6743" s="12">
        <v>0</v>
      </c>
      <c r="G6743" t="str">
        <f>IFERROR(INDEX(tEditais[Órgão],MATCH(tItens[[#This Row],[Edital]],tEditais[Edital],0)),"")</f>
        <v>EMPRESA BRASILEIRA DE SERVICOS HOSPITALARES - EBSERH</v>
      </c>
      <c r="H6743" t="str">
        <f>IFERROR(INDEX(tEditais[UF],MATCH(tItens[[#This Row],[Edital]],tEditais[Edital],0)),"")</f>
        <v>RN</v>
      </c>
      <c r="I6743" s="11">
        <f>IFERROR(INDEX(tEditais[Encerramento],MATCH(tItens[[#This Row],[Edital]],tEditais[Edital],0)),"")</f>
        <v>46311.375</v>
      </c>
      <c r="J6743" t="str">
        <f>IFERROR(INDEX(tProdutos[Classe],MATCH(tItens[[#This Row],[Produto]],tProdutos[Produto],0)),"produto não cadastrado")</f>
        <v>DISPUTADO</v>
      </c>
      <c r="K6743" s="12">
        <f>tItens[[#This Row],[Qtd]]*tItens[[#This Row],[Vlr unit]]</f>
        <v>0</v>
      </c>
      <c r="L6743" s="6">
        <f>IFERROR(IF(INDEX(tProdutos[Desconto homologado],MATCH(tItens[[#This Row],[Produto]],tProdutos[Produto],0))="",DescontoPadrao,INDEX(tProdutos[Desconto homologado],MATCH(tItens[[#This Row],[Produto]],tProdutos[Produto],0))),DescontoPadrao)</f>
        <v>0.33578431372549</v>
      </c>
      <c r="M6743" s="12">
        <f>tItens[[#This Row],[Valor]]*(1-tItens[[#This Row],[Desconto]])</f>
        <v>0</v>
      </c>
      <c r="N6743" t="str">
        <f>IFERROR(INDEX(tProdutos[Foco],MATCH(tItens[[#This Row],[Produto]],tProdutos[Produto],0)),"Não")</f>
        <v>Não</v>
      </c>
      <c r="O6743" t="str">
        <f>IFERROR(INDEX(tEditais[SRP],MATCH(tItens[[#This Row],[Edital]],tEditais[Edital],0)),"Não")</f>
        <v>Não</v>
      </c>
      <c r="P6743" s="4">
        <f>IF(COUNTIFS(INDEX(tItens[Edital],1):tItens[[#This Row],[Edital]],tItens[[#This Row],[Edital]],INDEX(tItens[Produto],1):tItens[[#This Row],[Produto]],tItens[[#This Row],[Produto]])=1,1,0)</f>
        <v>1</v>
      </c>
    </row>
    <row r="6744" spans="1:16" x14ac:dyDescent="0.25">
      <c r="A6744" t="s">
        <v>2410</v>
      </c>
      <c r="B6744">
        <v>80</v>
      </c>
      <c r="C6744" t="s">
        <v>4209</v>
      </c>
      <c r="D6744" t="s">
        <v>56</v>
      </c>
      <c r="E6744" s="13">
        <v>1050</v>
      </c>
      <c r="F6744" s="12">
        <v>0</v>
      </c>
      <c r="G6744" t="str">
        <f>IFERROR(INDEX(tEditais[Órgão],MATCH(tItens[[#This Row],[Edital]],tEditais[Edital],0)),"")</f>
        <v>EMPRESA BRASILEIRA DE SERVICOS HOSPITALARES - EBSERH</v>
      </c>
      <c r="H6744" t="str">
        <f>IFERROR(INDEX(tEditais[UF],MATCH(tItens[[#This Row],[Edital]],tEditais[Edital],0)),"")</f>
        <v>RN</v>
      </c>
      <c r="I6744" s="11">
        <f>IFERROR(INDEX(tEditais[Encerramento],MATCH(tItens[[#This Row],[Edital]],tEditais[Edital],0)),"")</f>
        <v>46311.375</v>
      </c>
      <c r="J6744" t="str">
        <f>IFERROR(INDEX(tProdutos[Classe],MATCH(tItens[[#This Row],[Produto]],tProdutos[Produto],0)),"produto não cadastrado")</f>
        <v>NÚCLEO</v>
      </c>
      <c r="K6744" s="12">
        <f>tItens[[#This Row],[Qtd]]*tItens[[#This Row],[Vlr unit]]</f>
        <v>0</v>
      </c>
      <c r="L6744" s="6">
        <f>IFERROR(IF(INDEX(tProdutos[Desconto homologado],MATCH(tItens[[#This Row],[Produto]],tProdutos[Produto],0))="",DescontoPadrao,INDEX(tProdutos[Desconto homologado],MATCH(tItens[[#This Row],[Produto]],tProdutos[Produto],0))),DescontoPadrao)</f>
        <v>0.34</v>
      </c>
      <c r="M6744" s="12">
        <f>tItens[[#This Row],[Valor]]*(1-tItens[[#This Row],[Desconto]])</f>
        <v>0</v>
      </c>
      <c r="N6744" t="str">
        <f>IFERROR(INDEX(tProdutos[Foco],MATCH(tItens[[#This Row],[Produto]],tProdutos[Produto],0)),"Não")</f>
        <v>Sim</v>
      </c>
      <c r="O6744" t="str">
        <f>IFERROR(INDEX(tEditais[SRP],MATCH(tItens[[#This Row],[Edital]],tEditais[Edital],0)),"Não")</f>
        <v>Não</v>
      </c>
      <c r="P6744" s="4">
        <f>IF(COUNTIFS(INDEX(tItens[Edital],1):tItens[[#This Row],[Edital]],tItens[[#This Row],[Edital]],INDEX(tItens[Produto],1):tItens[[#This Row],[Produto]],tItens[[#This Row],[Produto]])=1,1,0)</f>
        <v>1</v>
      </c>
    </row>
    <row r="6745" spans="1:16" x14ac:dyDescent="0.25">
      <c r="A6745" t="s">
        <v>2410</v>
      </c>
      <c r="B6745">
        <v>81</v>
      </c>
      <c r="C6745" t="s">
        <v>3484</v>
      </c>
      <c r="D6745" t="s">
        <v>56</v>
      </c>
      <c r="E6745" s="13">
        <v>2600</v>
      </c>
      <c r="F6745" s="12">
        <v>0</v>
      </c>
      <c r="G6745" t="str">
        <f>IFERROR(INDEX(tEditais[Órgão],MATCH(tItens[[#This Row],[Edital]],tEditais[Edital],0)),"")</f>
        <v>EMPRESA BRASILEIRA DE SERVICOS HOSPITALARES - EBSERH</v>
      </c>
      <c r="H6745" t="str">
        <f>IFERROR(INDEX(tEditais[UF],MATCH(tItens[[#This Row],[Edital]],tEditais[Edital],0)),"")</f>
        <v>RN</v>
      </c>
      <c r="I6745" s="11">
        <f>IFERROR(INDEX(tEditais[Encerramento],MATCH(tItens[[#This Row],[Edital]],tEditais[Edital],0)),"")</f>
        <v>46311.375</v>
      </c>
      <c r="J6745" t="str">
        <f>IFERROR(INDEX(tProdutos[Classe],MATCH(tItens[[#This Row],[Produto]],tProdutos[Produto],0)),"produto não cadastrado")</f>
        <v>NÚCLEO</v>
      </c>
      <c r="K6745" s="12">
        <f>tItens[[#This Row],[Qtd]]*tItens[[#This Row],[Vlr unit]]</f>
        <v>0</v>
      </c>
      <c r="L6745" s="6">
        <f>IFERROR(IF(INDEX(tProdutos[Desconto homologado],MATCH(tItens[[#This Row],[Produto]],tProdutos[Produto],0))="",DescontoPadrao,INDEX(tProdutos[Desconto homologado],MATCH(tItens[[#This Row],[Produto]],tProdutos[Produto],0))),DescontoPadrao)</f>
        <v>0.34</v>
      </c>
      <c r="M6745" s="12">
        <f>tItens[[#This Row],[Valor]]*(1-tItens[[#This Row],[Desconto]])</f>
        <v>0</v>
      </c>
      <c r="N6745" t="str">
        <f>IFERROR(INDEX(tProdutos[Foco],MATCH(tItens[[#This Row],[Produto]],tProdutos[Produto],0)),"Não")</f>
        <v>Sim</v>
      </c>
      <c r="O6745" t="str">
        <f>IFERROR(INDEX(tEditais[SRP],MATCH(tItens[[#This Row],[Edital]],tEditais[Edital],0)),"Não")</f>
        <v>Não</v>
      </c>
      <c r="P6745" s="4">
        <f>IF(COUNTIFS(INDEX(tItens[Edital],1):tItens[[#This Row],[Edital]],tItens[[#This Row],[Edital]],INDEX(tItens[Produto],1):tItens[[#This Row],[Produto]],tItens[[#This Row],[Produto]])=1,1,0)</f>
        <v>0</v>
      </c>
    </row>
    <row r="6746" spans="1:16" x14ac:dyDescent="0.25">
      <c r="A6746" t="s">
        <v>2410</v>
      </c>
      <c r="B6746">
        <v>82</v>
      </c>
      <c r="C6746" t="s">
        <v>3487</v>
      </c>
      <c r="D6746" t="s">
        <v>56</v>
      </c>
      <c r="E6746" s="13">
        <v>5900</v>
      </c>
      <c r="F6746" s="12">
        <v>0</v>
      </c>
      <c r="G6746" t="str">
        <f>IFERROR(INDEX(tEditais[Órgão],MATCH(tItens[[#This Row],[Edital]],tEditais[Edital],0)),"")</f>
        <v>EMPRESA BRASILEIRA DE SERVICOS HOSPITALARES - EBSERH</v>
      </c>
      <c r="H6746" t="str">
        <f>IFERROR(INDEX(tEditais[UF],MATCH(tItens[[#This Row],[Edital]],tEditais[Edital],0)),"")</f>
        <v>RN</v>
      </c>
      <c r="I6746" s="11">
        <f>IFERROR(INDEX(tEditais[Encerramento],MATCH(tItens[[#This Row],[Edital]],tEditais[Edital],0)),"")</f>
        <v>46311.375</v>
      </c>
      <c r="J6746" t="str">
        <f>IFERROR(INDEX(tProdutos[Classe],MATCH(tItens[[#This Row],[Produto]],tProdutos[Produto],0)),"produto não cadastrado")</f>
        <v>NÚCLEO</v>
      </c>
      <c r="K6746" s="12">
        <f>tItens[[#This Row],[Qtd]]*tItens[[#This Row],[Vlr unit]]</f>
        <v>0</v>
      </c>
      <c r="L6746" s="6">
        <f>IFERROR(IF(INDEX(tProdutos[Desconto homologado],MATCH(tItens[[#This Row],[Produto]],tProdutos[Produto],0))="",DescontoPadrao,INDEX(tProdutos[Desconto homologado],MATCH(tItens[[#This Row],[Produto]],tProdutos[Produto],0))),DescontoPadrao)</f>
        <v>0.34</v>
      </c>
      <c r="M6746" s="12">
        <f>tItens[[#This Row],[Valor]]*(1-tItens[[#This Row],[Desconto]])</f>
        <v>0</v>
      </c>
      <c r="N6746" t="str">
        <f>IFERROR(INDEX(tProdutos[Foco],MATCH(tItens[[#This Row],[Produto]],tProdutos[Produto],0)),"Não")</f>
        <v>Sim</v>
      </c>
      <c r="O6746" t="str">
        <f>IFERROR(INDEX(tEditais[SRP],MATCH(tItens[[#This Row],[Edital]],tEditais[Edital],0)),"Não")</f>
        <v>Não</v>
      </c>
      <c r="P6746" s="4">
        <f>IF(COUNTIFS(INDEX(tItens[Edital],1):tItens[[#This Row],[Edital]],tItens[[#This Row],[Edital]],INDEX(tItens[Produto],1):tItens[[#This Row],[Produto]],tItens[[#This Row],[Produto]])=1,1,0)</f>
        <v>0</v>
      </c>
    </row>
    <row r="6747" spans="1:16" x14ac:dyDescent="0.25">
      <c r="A6747" t="s">
        <v>2410</v>
      </c>
      <c r="B6747">
        <v>87</v>
      </c>
      <c r="C6747" t="s">
        <v>9423</v>
      </c>
      <c r="D6747" t="s">
        <v>239</v>
      </c>
      <c r="E6747" s="13">
        <v>1000</v>
      </c>
      <c r="F6747" s="12">
        <v>0</v>
      </c>
      <c r="G6747" t="str">
        <f>IFERROR(INDEX(tEditais[Órgão],MATCH(tItens[[#This Row],[Edital]],tEditais[Edital],0)),"")</f>
        <v>EMPRESA BRASILEIRA DE SERVICOS HOSPITALARES - EBSERH</v>
      </c>
      <c r="H6747" t="str">
        <f>IFERROR(INDEX(tEditais[UF],MATCH(tItens[[#This Row],[Edital]],tEditais[Edital],0)),"")</f>
        <v>RN</v>
      </c>
      <c r="I6747" s="11">
        <f>IFERROR(INDEX(tEditais[Encerramento],MATCH(tItens[[#This Row],[Edital]],tEditais[Edital],0)),"")</f>
        <v>46311.375</v>
      </c>
      <c r="J6747" t="str">
        <f>IFERROR(INDEX(tProdutos[Classe],MATCH(tItens[[#This Row],[Produto]],tProdutos[Produto],0)),"produto não cadastrado")</f>
        <v>FORA</v>
      </c>
      <c r="K6747" s="12">
        <f>tItens[[#This Row],[Qtd]]*tItens[[#This Row],[Vlr unit]]</f>
        <v>0</v>
      </c>
      <c r="L6747" s="6">
        <f>IFERROR(IF(INDEX(tProdutos[Desconto homologado],MATCH(tItens[[#This Row],[Produto]],tProdutos[Produto],0))="",DescontoPadrao,INDEX(tProdutos[Desconto homologado],MATCH(tItens[[#This Row],[Produto]],tProdutos[Produto],0))),DescontoPadrao)</f>
        <v>0.34905660377358499</v>
      </c>
      <c r="M6747" s="12">
        <f>tItens[[#This Row],[Valor]]*(1-tItens[[#This Row],[Desconto]])</f>
        <v>0</v>
      </c>
      <c r="N6747" t="str">
        <f>IFERROR(INDEX(tProdutos[Foco],MATCH(tItens[[#This Row],[Produto]],tProdutos[Produto],0)),"Não")</f>
        <v>Não</v>
      </c>
      <c r="O6747" t="str">
        <f>IFERROR(INDEX(tEditais[SRP],MATCH(tItens[[#This Row],[Edital]],tEditais[Edital],0)),"Não")</f>
        <v>Não</v>
      </c>
      <c r="P6747" s="4">
        <f>IF(COUNTIFS(INDEX(tItens[Edital],1):tItens[[#This Row],[Edital]],tItens[[#This Row],[Edital]],INDEX(tItens[Produto],1):tItens[[#This Row],[Produto]],tItens[[#This Row],[Produto]])=1,1,0)</f>
        <v>1</v>
      </c>
    </row>
    <row r="6748" spans="1:16" x14ac:dyDescent="0.25">
      <c r="A6748" t="s">
        <v>2410</v>
      </c>
      <c r="B6748">
        <v>89</v>
      </c>
      <c r="C6748" t="s">
        <v>9424</v>
      </c>
      <c r="D6748" t="s">
        <v>479</v>
      </c>
      <c r="E6748" s="13">
        <v>1200</v>
      </c>
      <c r="F6748" s="12">
        <v>0</v>
      </c>
      <c r="G6748" t="str">
        <f>IFERROR(INDEX(tEditais[Órgão],MATCH(tItens[[#This Row],[Edital]],tEditais[Edital],0)),"")</f>
        <v>EMPRESA BRASILEIRA DE SERVICOS HOSPITALARES - EBSERH</v>
      </c>
      <c r="H6748" t="str">
        <f>IFERROR(INDEX(tEditais[UF],MATCH(tItens[[#This Row],[Edital]],tEditais[Edital],0)),"")</f>
        <v>RN</v>
      </c>
      <c r="I6748" s="11">
        <f>IFERROR(INDEX(tEditais[Encerramento],MATCH(tItens[[#This Row],[Edital]],tEditais[Edital],0)),"")</f>
        <v>46311.375</v>
      </c>
      <c r="J6748" t="str">
        <f>IFERROR(INDEX(tProdutos[Classe],MATCH(tItens[[#This Row],[Produto]],tProdutos[Produto],0)),"produto não cadastrado")</f>
        <v>FILA REBASE</v>
      </c>
      <c r="K6748" s="12">
        <f>tItens[[#This Row],[Qtd]]*tItens[[#This Row],[Vlr unit]]</f>
        <v>0</v>
      </c>
      <c r="L6748" s="6">
        <f>IFERROR(IF(INDEX(tProdutos[Desconto homologado],MATCH(tItens[[#This Row],[Produto]],tProdutos[Produto],0))="",DescontoPadrao,INDEX(tProdutos[Desconto homologado],MATCH(tItens[[#This Row],[Produto]],tProdutos[Produto],0))),DescontoPadrao)</f>
        <v>0.41266209000762799</v>
      </c>
      <c r="M6748" s="12">
        <f>tItens[[#This Row],[Valor]]*(1-tItens[[#This Row],[Desconto]])</f>
        <v>0</v>
      </c>
      <c r="N6748" t="str">
        <f>IFERROR(INDEX(tProdutos[Foco],MATCH(tItens[[#This Row],[Produto]],tProdutos[Produto],0)),"Não")</f>
        <v>Não</v>
      </c>
      <c r="O6748" t="str">
        <f>IFERROR(INDEX(tEditais[SRP],MATCH(tItens[[#This Row],[Edital]],tEditais[Edital],0)),"Não")</f>
        <v>Não</v>
      </c>
      <c r="P6748" s="4">
        <f>IF(COUNTIFS(INDEX(tItens[Edital],1):tItens[[#This Row],[Edital]],tItens[[#This Row],[Edital]],INDEX(tItens[Produto],1):tItens[[#This Row],[Produto]],tItens[[#This Row],[Produto]])=1,1,0)</f>
        <v>1</v>
      </c>
    </row>
    <row r="6749" spans="1:16" x14ac:dyDescent="0.25">
      <c r="A6749" t="s">
        <v>2410</v>
      </c>
      <c r="B6749">
        <v>90</v>
      </c>
      <c r="C6749" t="s">
        <v>9425</v>
      </c>
      <c r="D6749" t="s">
        <v>479</v>
      </c>
      <c r="E6749" s="13">
        <v>1800</v>
      </c>
      <c r="F6749" s="12">
        <v>0</v>
      </c>
      <c r="G6749" t="str">
        <f>IFERROR(INDEX(tEditais[Órgão],MATCH(tItens[[#This Row],[Edital]],tEditais[Edital],0)),"")</f>
        <v>EMPRESA BRASILEIRA DE SERVICOS HOSPITALARES - EBSERH</v>
      </c>
      <c r="H6749" t="str">
        <f>IFERROR(INDEX(tEditais[UF],MATCH(tItens[[#This Row],[Edital]],tEditais[Edital],0)),"")</f>
        <v>RN</v>
      </c>
      <c r="I6749" s="11">
        <f>IFERROR(INDEX(tEditais[Encerramento],MATCH(tItens[[#This Row],[Edital]],tEditais[Edital],0)),"")</f>
        <v>46311.375</v>
      </c>
      <c r="J6749" t="str">
        <f>IFERROR(INDEX(tProdutos[Classe],MATCH(tItens[[#This Row],[Produto]],tProdutos[Produto],0)),"produto não cadastrado")</f>
        <v>FILA REBASE</v>
      </c>
      <c r="K6749" s="12">
        <f>tItens[[#This Row],[Qtd]]*tItens[[#This Row],[Vlr unit]]</f>
        <v>0</v>
      </c>
      <c r="L6749" s="6">
        <f>IFERROR(IF(INDEX(tProdutos[Desconto homologado],MATCH(tItens[[#This Row],[Produto]],tProdutos[Produto],0))="",DescontoPadrao,INDEX(tProdutos[Desconto homologado],MATCH(tItens[[#This Row],[Produto]],tProdutos[Produto],0))),DescontoPadrao)</f>
        <v>0.41266209000762799</v>
      </c>
      <c r="M6749" s="12">
        <f>tItens[[#This Row],[Valor]]*(1-tItens[[#This Row],[Desconto]])</f>
        <v>0</v>
      </c>
      <c r="N6749" t="str">
        <f>IFERROR(INDEX(tProdutos[Foco],MATCH(tItens[[#This Row],[Produto]],tProdutos[Produto],0)),"Não")</f>
        <v>Não</v>
      </c>
      <c r="O6749" t="str">
        <f>IFERROR(INDEX(tEditais[SRP],MATCH(tItens[[#This Row],[Edital]],tEditais[Edital],0)),"Não")</f>
        <v>Não</v>
      </c>
      <c r="P6749" s="4">
        <f>IF(COUNTIFS(INDEX(tItens[Edital],1):tItens[[#This Row],[Edital]],tItens[[#This Row],[Edital]],INDEX(tItens[Produto],1):tItens[[#This Row],[Produto]],tItens[[#This Row],[Produto]])=1,1,0)</f>
        <v>0</v>
      </c>
    </row>
    <row r="6750" spans="1:16" x14ac:dyDescent="0.25">
      <c r="A6750" t="s">
        <v>2410</v>
      </c>
      <c r="B6750">
        <v>91</v>
      </c>
      <c r="C6750" t="s">
        <v>9426</v>
      </c>
      <c r="D6750" t="s">
        <v>479</v>
      </c>
      <c r="E6750" s="13">
        <v>1700</v>
      </c>
      <c r="F6750" s="12">
        <v>0</v>
      </c>
      <c r="G6750" t="str">
        <f>IFERROR(INDEX(tEditais[Órgão],MATCH(tItens[[#This Row],[Edital]],tEditais[Edital],0)),"")</f>
        <v>EMPRESA BRASILEIRA DE SERVICOS HOSPITALARES - EBSERH</v>
      </c>
      <c r="H6750" t="str">
        <f>IFERROR(INDEX(tEditais[UF],MATCH(tItens[[#This Row],[Edital]],tEditais[Edital],0)),"")</f>
        <v>RN</v>
      </c>
      <c r="I6750" s="11">
        <f>IFERROR(INDEX(tEditais[Encerramento],MATCH(tItens[[#This Row],[Edital]],tEditais[Edital],0)),"")</f>
        <v>46311.375</v>
      </c>
      <c r="J6750" t="str">
        <f>IFERROR(INDEX(tProdutos[Classe],MATCH(tItens[[#This Row],[Produto]],tProdutos[Produto],0)),"produto não cadastrado")</f>
        <v>FILA REBASE</v>
      </c>
      <c r="K6750" s="12">
        <f>tItens[[#This Row],[Qtd]]*tItens[[#This Row],[Vlr unit]]</f>
        <v>0</v>
      </c>
      <c r="L6750" s="6">
        <f>IFERROR(IF(INDEX(tProdutos[Desconto homologado],MATCH(tItens[[#This Row],[Produto]],tProdutos[Produto],0))="",DescontoPadrao,INDEX(tProdutos[Desconto homologado],MATCH(tItens[[#This Row],[Produto]],tProdutos[Produto],0))),DescontoPadrao)</f>
        <v>0.41266209000762799</v>
      </c>
      <c r="M6750" s="12">
        <f>tItens[[#This Row],[Valor]]*(1-tItens[[#This Row],[Desconto]])</f>
        <v>0</v>
      </c>
      <c r="N6750" t="str">
        <f>IFERROR(INDEX(tProdutos[Foco],MATCH(tItens[[#This Row],[Produto]],tProdutos[Produto],0)),"Não")</f>
        <v>Não</v>
      </c>
      <c r="O6750" t="str">
        <f>IFERROR(INDEX(tEditais[SRP],MATCH(tItens[[#This Row],[Edital]],tEditais[Edital],0)),"Não")</f>
        <v>Não</v>
      </c>
      <c r="P6750" s="4">
        <f>IF(COUNTIFS(INDEX(tItens[Edital],1):tItens[[#This Row],[Edital]],tItens[[#This Row],[Edital]],INDEX(tItens[Produto],1):tItens[[#This Row],[Produto]],tItens[[#This Row],[Produto]])=1,1,0)</f>
        <v>0</v>
      </c>
    </row>
    <row r="6751" spans="1:16" x14ac:dyDescent="0.25">
      <c r="A6751" t="s">
        <v>2410</v>
      </c>
      <c r="B6751">
        <v>94</v>
      </c>
      <c r="C6751" t="s">
        <v>9082</v>
      </c>
      <c r="D6751" t="s">
        <v>106</v>
      </c>
      <c r="E6751" s="13">
        <v>100</v>
      </c>
      <c r="F6751" s="12">
        <v>0</v>
      </c>
      <c r="G6751" t="str">
        <f>IFERROR(INDEX(tEditais[Órgão],MATCH(tItens[[#This Row],[Edital]],tEditais[Edital],0)),"")</f>
        <v>EMPRESA BRASILEIRA DE SERVICOS HOSPITALARES - EBSERH</v>
      </c>
      <c r="H6751" t="str">
        <f>IFERROR(INDEX(tEditais[UF],MATCH(tItens[[#This Row],[Edital]],tEditais[Edital],0)),"")</f>
        <v>RN</v>
      </c>
      <c r="I6751" s="11">
        <f>IFERROR(INDEX(tEditais[Encerramento],MATCH(tItens[[#This Row],[Edital]],tEditais[Edital],0)),"")</f>
        <v>46311.375</v>
      </c>
      <c r="J6751" t="str">
        <f>IFERROR(INDEX(tProdutos[Classe],MATCH(tItens[[#This Row],[Produto]],tProdutos[Produto],0)),"produto não cadastrado")</f>
        <v>DISPUTADO</v>
      </c>
      <c r="K6751" s="12">
        <f>tItens[[#This Row],[Qtd]]*tItens[[#This Row],[Vlr unit]]</f>
        <v>0</v>
      </c>
      <c r="L6751" s="6">
        <f>IFERROR(IF(INDEX(tProdutos[Desconto homologado],MATCH(tItens[[#This Row],[Produto]],tProdutos[Produto],0))="",DescontoPadrao,INDEX(tProdutos[Desconto homologado],MATCH(tItens[[#This Row],[Produto]],tProdutos[Produto],0))),DescontoPadrao)</f>
        <v>0.24377518966589001</v>
      </c>
      <c r="M6751" s="12">
        <f>tItens[[#This Row],[Valor]]*(1-tItens[[#This Row],[Desconto]])</f>
        <v>0</v>
      </c>
      <c r="N6751" t="str">
        <f>IFERROR(INDEX(tProdutos[Foco],MATCH(tItens[[#This Row],[Produto]],tProdutos[Produto],0)),"Não")</f>
        <v>Não</v>
      </c>
      <c r="O6751" t="str">
        <f>IFERROR(INDEX(tEditais[SRP],MATCH(tItens[[#This Row],[Edital]],tEditais[Edital],0)),"Não")</f>
        <v>Não</v>
      </c>
      <c r="P6751" s="4">
        <f>IF(COUNTIFS(INDEX(tItens[Edital],1):tItens[[#This Row],[Edital]],tItens[[#This Row],[Edital]],INDEX(tItens[Produto],1):tItens[[#This Row],[Produto]],tItens[[#This Row],[Produto]])=1,1,0)</f>
        <v>1</v>
      </c>
    </row>
    <row r="6752" spans="1:16" x14ac:dyDescent="0.25">
      <c r="A6752" t="s">
        <v>2410</v>
      </c>
      <c r="B6752">
        <v>96</v>
      </c>
      <c r="C6752" t="s">
        <v>9427</v>
      </c>
      <c r="D6752" t="s">
        <v>184</v>
      </c>
      <c r="E6752" s="13">
        <v>50</v>
      </c>
      <c r="F6752" s="12">
        <v>0</v>
      </c>
      <c r="G6752" t="str">
        <f>IFERROR(INDEX(tEditais[Órgão],MATCH(tItens[[#This Row],[Edital]],tEditais[Edital],0)),"")</f>
        <v>EMPRESA BRASILEIRA DE SERVICOS HOSPITALARES - EBSERH</v>
      </c>
      <c r="H6752" t="str">
        <f>IFERROR(INDEX(tEditais[UF],MATCH(tItens[[#This Row],[Edital]],tEditais[Edital],0)),"")</f>
        <v>RN</v>
      </c>
      <c r="I6752" s="11">
        <f>IFERROR(INDEX(tEditais[Encerramento],MATCH(tItens[[#This Row],[Edital]],tEditais[Edital],0)),"")</f>
        <v>46311.375</v>
      </c>
      <c r="J6752" t="str">
        <f>IFERROR(INDEX(tProdutos[Classe],MATCH(tItens[[#This Row],[Produto]],tProdutos[Produto],0)),"produto não cadastrado")</f>
        <v>FORA</v>
      </c>
      <c r="K6752" s="12">
        <f>tItens[[#This Row],[Qtd]]*tItens[[#This Row],[Vlr unit]]</f>
        <v>0</v>
      </c>
      <c r="L6752" s="6">
        <f>IFERROR(IF(INDEX(tProdutos[Desconto homologado],MATCH(tItens[[#This Row],[Produto]],tProdutos[Produto],0))="",DescontoPadrao,INDEX(tProdutos[Desconto homologado],MATCH(tItens[[#This Row],[Produto]],tProdutos[Produto],0))),DescontoPadrao)</f>
        <v>0.363567906332742</v>
      </c>
      <c r="M6752" s="12">
        <f>tItens[[#This Row],[Valor]]*(1-tItens[[#This Row],[Desconto]])</f>
        <v>0</v>
      </c>
      <c r="N6752" t="str">
        <f>IFERROR(INDEX(tProdutos[Foco],MATCH(tItens[[#This Row],[Produto]],tProdutos[Produto],0)),"Não")</f>
        <v>Não</v>
      </c>
      <c r="O6752" t="str">
        <f>IFERROR(INDEX(tEditais[SRP],MATCH(tItens[[#This Row],[Edital]],tEditais[Edital],0)),"Não")</f>
        <v>Não</v>
      </c>
      <c r="P6752" s="4">
        <f>IF(COUNTIFS(INDEX(tItens[Edital],1):tItens[[#This Row],[Edital]],tItens[[#This Row],[Edital]],INDEX(tItens[Produto],1):tItens[[#This Row],[Produto]],tItens[[#This Row],[Produto]])=1,1,0)</f>
        <v>1</v>
      </c>
    </row>
    <row r="6753" spans="1:16" x14ac:dyDescent="0.25">
      <c r="A6753" t="s">
        <v>2410</v>
      </c>
      <c r="B6753">
        <v>97</v>
      </c>
      <c r="C6753" t="s">
        <v>9428</v>
      </c>
      <c r="D6753" t="s">
        <v>184</v>
      </c>
      <c r="E6753" s="13">
        <v>270</v>
      </c>
      <c r="F6753" s="12">
        <v>0</v>
      </c>
      <c r="G6753" t="str">
        <f>IFERROR(INDEX(tEditais[Órgão],MATCH(tItens[[#This Row],[Edital]],tEditais[Edital],0)),"")</f>
        <v>EMPRESA BRASILEIRA DE SERVICOS HOSPITALARES - EBSERH</v>
      </c>
      <c r="H6753" t="str">
        <f>IFERROR(INDEX(tEditais[UF],MATCH(tItens[[#This Row],[Edital]],tEditais[Edital],0)),"")</f>
        <v>RN</v>
      </c>
      <c r="I6753" s="11">
        <f>IFERROR(INDEX(tEditais[Encerramento],MATCH(tItens[[#This Row],[Edital]],tEditais[Edital],0)),"")</f>
        <v>46311.375</v>
      </c>
      <c r="J6753" t="str">
        <f>IFERROR(INDEX(tProdutos[Classe],MATCH(tItens[[#This Row],[Produto]],tProdutos[Produto],0)),"produto não cadastrado")</f>
        <v>FORA</v>
      </c>
      <c r="K6753" s="12">
        <f>tItens[[#This Row],[Qtd]]*tItens[[#This Row],[Vlr unit]]</f>
        <v>0</v>
      </c>
      <c r="L6753" s="6">
        <f>IFERROR(IF(INDEX(tProdutos[Desconto homologado],MATCH(tItens[[#This Row],[Produto]],tProdutos[Produto],0))="",DescontoPadrao,INDEX(tProdutos[Desconto homologado],MATCH(tItens[[#This Row],[Produto]],tProdutos[Produto],0))),DescontoPadrao)</f>
        <v>0.363567906332742</v>
      </c>
      <c r="M6753" s="12">
        <f>tItens[[#This Row],[Valor]]*(1-tItens[[#This Row],[Desconto]])</f>
        <v>0</v>
      </c>
      <c r="N6753" t="str">
        <f>IFERROR(INDEX(tProdutos[Foco],MATCH(tItens[[#This Row],[Produto]],tProdutos[Produto],0)),"Não")</f>
        <v>Não</v>
      </c>
      <c r="O6753" t="str">
        <f>IFERROR(INDEX(tEditais[SRP],MATCH(tItens[[#This Row],[Edital]],tEditais[Edital],0)),"Não")</f>
        <v>Não</v>
      </c>
      <c r="P6753" s="4">
        <f>IF(COUNTIFS(INDEX(tItens[Edital],1):tItens[[#This Row],[Edital]],tItens[[#This Row],[Edital]],INDEX(tItens[Produto],1):tItens[[#This Row],[Produto]],tItens[[#This Row],[Produto]])=1,1,0)</f>
        <v>0</v>
      </c>
    </row>
    <row r="6754" spans="1:16" x14ac:dyDescent="0.25">
      <c r="A6754" t="s">
        <v>2410</v>
      </c>
      <c r="B6754">
        <v>98</v>
      </c>
      <c r="C6754" t="s">
        <v>9429</v>
      </c>
      <c r="D6754" t="s">
        <v>184</v>
      </c>
      <c r="E6754" s="13">
        <v>125</v>
      </c>
      <c r="F6754" s="12">
        <v>0</v>
      </c>
      <c r="G6754" t="str">
        <f>IFERROR(INDEX(tEditais[Órgão],MATCH(tItens[[#This Row],[Edital]],tEditais[Edital],0)),"")</f>
        <v>EMPRESA BRASILEIRA DE SERVICOS HOSPITALARES - EBSERH</v>
      </c>
      <c r="H6754" t="str">
        <f>IFERROR(INDEX(tEditais[UF],MATCH(tItens[[#This Row],[Edital]],tEditais[Edital],0)),"")</f>
        <v>RN</v>
      </c>
      <c r="I6754" s="11">
        <f>IFERROR(INDEX(tEditais[Encerramento],MATCH(tItens[[#This Row],[Edital]],tEditais[Edital],0)),"")</f>
        <v>46311.375</v>
      </c>
      <c r="J6754" t="str">
        <f>IFERROR(INDEX(tProdutos[Classe],MATCH(tItens[[#This Row],[Produto]],tProdutos[Produto],0)),"produto não cadastrado")</f>
        <v>FORA</v>
      </c>
      <c r="K6754" s="12">
        <f>tItens[[#This Row],[Qtd]]*tItens[[#This Row],[Vlr unit]]</f>
        <v>0</v>
      </c>
      <c r="L6754" s="6">
        <f>IFERROR(IF(INDEX(tProdutos[Desconto homologado],MATCH(tItens[[#This Row],[Produto]],tProdutos[Produto],0))="",DescontoPadrao,INDEX(tProdutos[Desconto homologado],MATCH(tItens[[#This Row],[Produto]],tProdutos[Produto],0))),DescontoPadrao)</f>
        <v>0.363567906332742</v>
      </c>
      <c r="M6754" s="12">
        <f>tItens[[#This Row],[Valor]]*(1-tItens[[#This Row],[Desconto]])</f>
        <v>0</v>
      </c>
      <c r="N6754" t="str">
        <f>IFERROR(INDEX(tProdutos[Foco],MATCH(tItens[[#This Row],[Produto]],tProdutos[Produto],0)),"Não")</f>
        <v>Não</v>
      </c>
      <c r="O6754" t="str">
        <f>IFERROR(INDEX(tEditais[SRP],MATCH(tItens[[#This Row],[Edital]],tEditais[Edital],0)),"Não")</f>
        <v>Não</v>
      </c>
      <c r="P6754" s="4">
        <f>IF(COUNTIFS(INDEX(tItens[Edital],1):tItens[[#This Row],[Edital]],tItens[[#This Row],[Edital]],INDEX(tItens[Produto],1):tItens[[#This Row],[Produto]],tItens[[#This Row],[Produto]])=1,1,0)</f>
        <v>0</v>
      </c>
    </row>
    <row r="6755" spans="1:16" x14ac:dyDescent="0.25">
      <c r="A6755" t="s">
        <v>2410</v>
      </c>
      <c r="B6755">
        <v>99</v>
      </c>
      <c r="C6755" t="s">
        <v>9430</v>
      </c>
      <c r="D6755" t="s">
        <v>184</v>
      </c>
      <c r="E6755" s="13">
        <v>450</v>
      </c>
      <c r="F6755" s="12">
        <v>0</v>
      </c>
      <c r="G6755" t="str">
        <f>IFERROR(INDEX(tEditais[Órgão],MATCH(tItens[[#This Row],[Edital]],tEditais[Edital],0)),"")</f>
        <v>EMPRESA BRASILEIRA DE SERVICOS HOSPITALARES - EBSERH</v>
      </c>
      <c r="H6755" t="str">
        <f>IFERROR(INDEX(tEditais[UF],MATCH(tItens[[#This Row],[Edital]],tEditais[Edital],0)),"")</f>
        <v>RN</v>
      </c>
      <c r="I6755" s="11">
        <f>IFERROR(INDEX(tEditais[Encerramento],MATCH(tItens[[#This Row],[Edital]],tEditais[Edital],0)),"")</f>
        <v>46311.375</v>
      </c>
      <c r="J6755" t="str">
        <f>IFERROR(INDEX(tProdutos[Classe],MATCH(tItens[[#This Row],[Produto]],tProdutos[Produto],0)),"produto não cadastrado")</f>
        <v>FORA</v>
      </c>
      <c r="K6755" s="12">
        <f>tItens[[#This Row],[Qtd]]*tItens[[#This Row],[Vlr unit]]</f>
        <v>0</v>
      </c>
      <c r="L6755" s="6">
        <f>IFERROR(IF(INDEX(tProdutos[Desconto homologado],MATCH(tItens[[#This Row],[Produto]],tProdutos[Produto],0))="",DescontoPadrao,INDEX(tProdutos[Desconto homologado],MATCH(tItens[[#This Row],[Produto]],tProdutos[Produto],0))),DescontoPadrao)</f>
        <v>0.363567906332742</v>
      </c>
      <c r="M6755" s="12">
        <f>tItens[[#This Row],[Valor]]*(1-tItens[[#This Row],[Desconto]])</f>
        <v>0</v>
      </c>
      <c r="N6755" t="str">
        <f>IFERROR(INDEX(tProdutos[Foco],MATCH(tItens[[#This Row],[Produto]],tProdutos[Produto],0)),"Não")</f>
        <v>Não</v>
      </c>
      <c r="O6755" t="str">
        <f>IFERROR(INDEX(tEditais[SRP],MATCH(tItens[[#This Row],[Edital]],tEditais[Edital],0)),"Não")</f>
        <v>Não</v>
      </c>
      <c r="P6755" s="4">
        <f>IF(COUNTIFS(INDEX(tItens[Edital],1):tItens[[#This Row],[Edital]],tItens[[#This Row],[Edital]],INDEX(tItens[Produto],1):tItens[[#This Row],[Produto]],tItens[[#This Row],[Produto]])=1,1,0)</f>
        <v>0</v>
      </c>
    </row>
    <row r="6756" spans="1:16" x14ac:dyDescent="0.25">
      <c r="A6756" t="s">
        <v>2410</v>
      </c>
      <c r="B6756">
        <v>100</v>
      </c>
      <c r="C6756" t="s">
        <v>9431</v>
      </c>
      <c r="D6756" t="s">
        <v>184</v>
      </c>
      <c r="E6756" s="13">
        <v>7300</v>
      </c>
      <c r="F6756" s="12">
        <v>0</v>
      </c>
      <c r="G6756" t="str">
        <f>IFERROR(INDEX(tEditais[Órgão],MATCH(tItens[[#This Row],[Edital]],tEditais[Edital],0)),"")</f>
        <v>EMPRESA BRASILEIRA DE SERVICOS HOSPITALARES - EBSERH</v>
      </c>
      <c r="H6756" t="str">
        <f>IFERROR(INDEX(tEditais[UF],MATCH(tItens[[#This Row],[Edital]],tEditais[Edital],0)),"")</f>
        <v>RN</v>
      </c>
      <c r="I6756" s="11">
        <f>IFERROR(INDEX(tEditais[Encerramento],MATCH(tItens[[#This Row],[Edital]],tEditais[Edital],0)),"")</f>
        <v>46311.375</v>
      </c>
      <c r="J6756" t="str">
        <f>IFERROR(INDEX(tProdutos[Classe],MATCH(tItens[[#This Row],[Produto]],tProdutos[Produto],0)),"produto não cadastrado")</f>
        <v>FORA</v>
      </c>
      <c r="K6756" s="12">
        <f>tItens[[#This Row],[Qtd]]*tItens[[#This Row],[Vlr unit]]</f>
        <v>0</v>
      </c>
      <c r="L6756" s="6">
        <f>IFERROR(IF(INDEX(tProdutos[Desconto homologado],MATCH(tItens[[#This Row],[Produto]],tProdutos[Produto],0))="",DescontoPadrao,INDEX(tProdutos[Desconto homologado],MATCH(tItens[[#This Row],[Produto]],tProdutos[Produto],0))),DescontoPadrao)</f>
        <v>0.363567906332742</v>
      </c>
      <c r="M6756" s="12">
        <f>tItens[[#This Row],[Valor]]*(1-tItens[[#This Row],[Desconto]])</f>
        <v>0</v>
      </c>
      <c r="N6756" t="str">
        <f>IFERROR(INDEX(tProdutos[Foco],MATCH(tItens[[#This Row],[Produto]],tProdutos[Produto],0)),"Não")</f>
        <v>Não</v>
      </c>
      <c r="O6756" t="str">
        <f>IFERROR(INDEX(tEditais[SRP],MATCH(tItens[[#This Row],[Edital]],tEditais[Edital],0)),"Não")</f>
        <v>Não</v>
      </c>
      <c r="P6756" s="4">
        <f>IF(COUNTIFS(INDEX(tItens[Edital],1):tItens[[#This Row],[Edital]],tItens[[#This Row],[Edital]],INDEX(tItens[Produto],1):tItens[[#This Row],[Produto]],tItens[[#This Row],[Produto]])=1,1,0)</f>
        <v>0</v>
      </c>
    </row>
    <row r="6757" spans="1:16" x14ac:dyDescent="0.25">
      <c r="A6757" t="s">
        <v>2410</v>
      </c>
      <c r="B6757">
        <v>101</v>
      </c>
      <c r="C6757" t="s">
        <v>9432</v>
      </c>
      <c r="D6757" t="s">
        <v>184</v>
      </c>
      <c r="E6757" s="13">
        <v>1480</v>
      </c>
      <c r="F6757" s="12">
        <v>0</v>
      </c>
      <c r="G6757" t="str">
        <f>IFERROR(INDEX(tEditais[Órgão],MATCH(tItens[[#This Row],[Edital]],tEditais[Edital],0)),"")</f>
        <v>EMPRESA BRASILEIRA DE SERVICOS HOSPITALARES - EBSERH</v>
      </c>
      <c r="H6757" t="str">
        <f>IFERROR(INDEX(tEditais[UF],MATCH(tItens[[#This Row],[Edital]],tEditais[Edital],0)),"")</f>
        <v>RN</v>
      </c>
      <c r="I6757" s="11">
        <f>IFERROR(INDEX(tEditais[Encerramento],MATCH(tItens[[#This Row],[Edital]],tEditais[Edital],0)),"")</f>
        <v>46311.375</v>
      </c>
      <c r="J6757" t="str">
        <f>IFERROR(INDEX(tProdutos[Classe],MATCH(tItens[[#This Row],[Produto]],tProdutos[Produto],0)),"produto não cadastrado")</f>
        <v>FORA</v>
      </c>
      <c r="K6757" s="12">
        <f>tItens[[#This Row],[Qtd]]*tItens[[#This Row],[Vlr unit]]</f>
        <v>0</v>
      </c>
      <c r="L6757" s="6">
        <f>IFERROR(IF(INDEX(tProdutos[Desconto homologado],MATCH(tItens[[#This Row],[Produto]],tProdutos[Produto],0))="",DescontoPadrao,INDEX(tProdutos[Desconto homologado],MATCH(tItens[[#This Row],[Produto]],tProdutos[Produto],0))),DescontoPadrao)</f>
        <v>0.363567906332742</v>
      </c>
      <c r="M6757" s="12">
        <f>tItens[[#This Row],[Valor]]*(1-tItens[[#This Row],[Desconto]])</f>
        <v>0</v>
      </c>
      <c r="N6757" t="str">
        <f>IFERROR(INDEX(tProdutos[Foco],MATCH(tItens[[#This Row],[Produto]],tProdutos[Produto],0)),"Não")</f>
        <v>Não</v>
      </c>
      <c r="O6757" t="str">
        <f>IFERROR(INDEX(tEditais[SRP],MATCH(tItens[[#This Row],[Edital]],tEditais[Edital],0)),"Não")</f>
        <v>Não</v>
      </c>
      <c r="P6757" s="4">
        <f>IF(COUNTIFS(INDEX(tItens[Edital],1):tItens[[#This Row],[Edital]],tItens[[#This Row],[Edital]],INDEX(tItens[Produto],1):tItens[[#This Row],[Produto]],tItens[[#This Row],[Produto]])=1,1,0)</f>
        <v>0</v>
      </c>
    </row>
    <row r="6758" spans="1:16" x14ac:dyDescent="0.25">
      <c r="A6758" t="s">
        <v>2410</v>
      </c>
      <c r="B6758">
        <v>102</v>
      </c>
      <c r="C6758" t="s">
        <v>7877</v>
      </c>
      <c r="D6758" t="s">
        <v>164</v>
      </c>
      <c r="E6758" s="13">
        <v>110</v>
      </c>
      <c r="F6758" s="12">
        <v>0</v>
      </c>
      <c r="G6758" t="str">
        <f>IFERROR(INDEX(tEditais[Órgão],MATCH(tItens[[#This Row],[Edital]],tEditais[Edital],0)),"")</f>
        <v>EMPRESA BRASILEIRA DE SERVICOS HOSPITALARES - EBSERH</v>
      </c>
      <c r="H6758" t="str">
        <f>IFERROR(INDEX(tEditais[UF],MATCH(tItens[[#This Row],[Edital]],tEditais[Edital],0)),"")</f>
        <v>RN</v>
      </c>
      <c r="I6758" s="11">
        <f>IFERROR(INDEX(tEditais[Encerramento],MATCH(tItens[[#This Row],[Edital]],tEditais[Edital],0)),"")</f>
        <v>46311.375</v>
      </c>
      <c r="J6758" t="str">
        <f>IFERROR(INDEX(tProdutos[Classe],MATCH(tItens[[#This Row],[Produto]],tProdutos[Produto],0)),"produto não cadastrado")</f>
        <v>DISPUTADO</v>
      </c>
      <c r="K6758" s="12">
        <f>tItens[[#This Row],[Qtd]]*tItens[[#This Row],[Vlr unit]]</f>
        <v>0</v>
      </c>
      <c r="L6758" s="6">
        <f>IFERROR(IF(INDEX(tProdutos[Desconto homologado],MATCH(tItens[[#This Row],[Produto]],tProdutos[Produto],0))="",DescontoPadrao,INDEX(tProdutos[Desconto homologado],MATCH(tItens[[#This Row],[Produto]],tProdutos[Produto],0))),DescontoPadrao)</f>
        <v>0.445300462249615</v>
      </c>
      <c r="M6758" s="12">
        <f>tItens[[#This Row],[Valor]]*(1-tItens[[#This Row],[Desconto]])</f>
        <v>0</v>
      </c>
      <c r="N6758" t="str">
        <f>IFERROR(INDEX(tProdutos[Foco],MATCH(tItens[[#This Row],[Produto]],tProdutos[Produto],0)),"Não")</f>
        <v>Não</v>
      </c>
      <c r="O6758" t="str">
        <f>IFERROR(INDEX(tEditais[SRP],MATCH(tItens[[#This Row],[Edital]],tEditais[Edital],0)),"Não")</f>
        <v>Não</v>
      </c>
      <c r="P6758" s="4">
        <f>IF(COUNTIFS(INDEX(tItens[Edital],1):tItens[[#This Row],[Edital]],tItens[[#This Row],[Edital]],INDEX(tItens[Produto],1):tItens[[#This Row],[Produto]],tItens[[#This Row],[Produto]])=1,1,0)</f>
        <v>1</v>
      </c>
    </row>
    <row r="6759" spans="1:16" x14ac:dyDescent="0.25">
      <c r="A6759" t="s">
        <v>2410</v>
      </c>
      <c r="B6759">
        <v>103</v>
      </c>
      <c r="C6759" t="s">
        <v>9433</v>
      </c>
      <c r="D6759" t="s">
        <v>164</v>
      </c>
      <c r="E6759" s="13">
        <v>110</v>
      </c>
      <c r="F6759" s="12">
        <v>0</v>
      </c>
      <c r="G6759" t="str">
        <f>IFERROR(INDEX(tEditais[Órgão],MATCH(tItens[[#This Row],[Edital]],tEditais[Edital],0)),"")</f>
        <v>EMPRESA BRASILEIRA DE SERVICOS HOSPITALARES - EBSERH</v>
      </c>
      <c r="H6759" t="str">
        <f>IFERROR(INDEX(tEditais[UF],MATCH(tItens[[#This Row],[Edital]],tEditais[Edital],0)),"")</f>
        <v>RN</v>
      </c>
      <c r="I6759" s="11">
        <f>IFERROR(INDEX(tEditais[Encerramento],MATCH(tItens[[#This Row],[Edital]],tEditais[Edital],0)),"")</f>
        <v>46311.375</v>
      </c>
      <c r="J6759" t="str">
        <f>IFERROR(INDEX(tProdutos[Classe],MATCH(tItens[[#This Row],[Produto]],tProdutos[Produto],0)),"produto não cadastrado")</f>
        <v>DISPUTADO</v>
      </c>
      <c r="K6759" s="12">
        <f>tItens[[#This Row],[Qtd]]*tItens[[#This Row],[Vlr unit]]</f>
        <v>0</v>
      </c>
      <c r="L6759" s="6">
        <f>IFERROR(IF(INDEX(tProdutos[Desconto homologado],MATCH(tItens[[#This Row],[Produto]],tProdutos[Produto],0))="",DescontoPadrao,INDEX(tProdutos[Desconto homologado],MATCH(tItens[[#This Row],[Produto]],tProdutos[Produto],0))),DescontoPadrao)</f>
        <v>0.445300462249615</v>
      </c>
      <c r="M6759" s="12">
        <f>tItens[[#This Row],[Valor]]*(1-tItens[[#This Row],[Desconto]])</f>
        <v>0</v>
      </c>
      <c r="N6759" t="str">
        <f>IFERROR(INDEX(tProdutos[Foco],MATCH(tItens[[#This Row],[Produto]],tProdutos[Produto],0)),"Não")</f>
        <v>Não</v>
      </c>
      <c r="O6759" t="str">
        <f>IFERROR(INDEX(tEditais[SRP],MATCH(tItens[[#This Row],[Edital]],tEditais[Edital],0)),"Não")</f>
        <v>Não</v>
      </c>
      <c r="P6759" s="4">
        <f>IF(COUNTIFS(INDEX(tItens[Edital],1):tItens[[#This Row],[Edital]],tItens[[#This Row],[Edital]],INDEX(tItens[Produto],1):tItens[[#This Row],[Produto]],tItens[[#This Row],[Produto]])=1,1,0)</f>
        <v>0</v>
      </c>
    </row>
    <row r="6760" spans="1:16" x14ac:dyDescent="0.25">
      <c r="A6760" t="s">
        <v>2410</v>
      </c>
      <c r="B6760">
        <v>104</v>
      </c>
      <c r="C6760" t="s">
        <v>9434</v>
      </c>
      <c r="D6760" t="s">
        <v>164</v>
      </c>
      <c r="E6760" s="13">
        <v>660</v>
      </c>
      <c r="F6760" s="12">
        <v>0</v>
      </c>
      <c r="G6760" t="str">
        <f>IFERROR(INDEX(tEditais[Órgão],MATCH(tItens[[#This Row],[Edital]],tEditais[Edital],0)),"")</f>
        <v>EMPRESA BRASILEIRA DE SERVICOS HOSPITALARES - EBSERH</v>
      </c>
      <c r="H6760" t="str">
        <f>IFERROR(INDEX(tEditais[UF],MATCH(tItens[[#This Row],[Edital]],tEditais[Edital],0)),"")</f>
        <v>RN</v>
      </c>
      <c r="I6760" s="11">
        <f>IFERROR(INDEX(tEditais[Encerramento],MATCH(tItens[[#This Row],[Edital]],tEditais[Edital],0)),"")</f>
        <v>46311.375</v>
      </c>
      <c r="J6760" t="str">
        <f>IFERROR(INDEX(tProdutos[Classe],MATCH(tItens[[#This Row],[Produto]],tProdutos[Produto],0)),"produto não cadastrado")</f>
        <v>DISPUTADO</v>
      </c>
      <c r="K6760" s="12">
        <f>tItens[[#This Row],[Qtd]]*tItens[[#This Row],[Vlr unit]]</f>
        <v>0</v>
      </c>
      <c r="L6760" s="6">
        <f>IFERROR(IF(INDEX(tProdutos[Desconto homologado],MATCH(tItens[[#This Row],[Produto]],tProdutos[Produto],0))="",DescontoPadrao,INDEX(tProdutos[Desconto homologado],MATCH(tItens[[#This Row],[Produto]],tProdutos[Produto],0))),DescontoPadrao)</f>
        <v>0.445300462249615</v>
      </c>
      <c r="M6760" s="12">
        <f>tItens[[#This Row],[Valor]]*(1-tItens[[#This Row],[Desconto]])</f>
        <v>0</v>
      </c>
      <c r="N6760" t="str">
        <f>IFERROR(INDEX(tProdutos[Foco],MATCH(tItens[[#This Row],[Produto]],tProdutos[Produto],0)),"Não")</f>
        <v>Não</v>
      </c>
      <c r="O6760" t="str">
        <f>IFERROR(INDEX(tEditais[SRP],MATCH(tItens[[#This Row],[Edital]],tEditais[Edital],0)),"Não")</f>
        <v>Não</v>
      </c>
      <c r="P6760" s="4">
        <f>IF(COUNTIFS(INDEX(tItens[Edital],1):tItens[[#This Row],[Edital]],tItens[[#This Row],[Edital]],INDEX(tItens[Produto],1):tItens[[#This Row],[Produto]],tItens[[#This Row],[Produto]])=1,1,0)</f>
        <v>0</v>
      </c>
    </row>
    <row r="6761" spans="1:16" x14ac:dyDescent="0.25">
      <c r="A6761" t="s">
        <v>2410</v>
      </c>
      <c r="B6761">
        <v>105</v>
      </c>
      <c r="C6761" t="s">
        <v>9032</v>
      </c>
      <c r="D6761" t="s">
        <v>69</v>
      </c>
      <c r="E6761" s="13">
        <v>46200</v>
      </c>
      <c r="F6761" s="12">
        <v>0</v>
      </c>
      <c r="G6761" t="str">
        <f>IFERROR(INDEX(tEditais[Órgão],MATCH(tItens[[#This Row],[Edital]],tEditais[Edital],0)),"")</f>
        <v>EMPRESA BRASILEIRA DE SERVICOS HOSPITALARES - EBSERH</v>
      </c>
      <c r="H6761" t="str">
        <f>IFERROR(INDEX(tEditais[UF],MATCH(tItens[[#This Row],[Edital]],tEditais[Edital],0)),"")</f>
        <v>RN</v>
      </c>
      <c r="I6761" s="11">
        <f>IFERROR(INDEX(tEditais[Encerramento],MATCH(tItens[[#This Row],[Edital]],tEditais[Edital],0)),"")</f>
        <v>46311.375</v>
      </c>
      <c r="J6761" t="str">
        <f>IFERROR(INDEX(tProdutos[Classe],MATCH(tItens[[#This Row],[Produto]],tProdutos[Produto],0)),"produto não cadastrado")</f>
        <v>NÚCLEO</v>
      </c>
      <c r="K6761" s="12">
        <f>tItens[[#This Row],[Qtd]]*tItens[[#This Row],[Vlr unit]]</f>
        <v>0</v>
      </c>
      <c r="L6761" s="6">
        <f>IFERROR(IF(INDEX(tProdutos[Desconto homologado],MATCH(tItens[[#This Row],[Produto]],tProdutos[Produto],0))="",DescontoPadrao,INDEX(tProdutos[Desconto homologado],MATCH(tItens[[#This Row],[Produto]],tProdutos[Produto],0))),DescontoPadrao)</f>
        <v>0.38829259638568803</v>
      </c>
      <c r="M6761" s="12">
        <f>tItens[[#This Row],[Valor]]*(1-tItens[[#This Row],[Desconto]])</f>
        <v>0</v>
      </c>
      <c r="N6761" t="str">
        <f>IFERROR(INDEX(tProdutos[Foco],MATCH(tItens[[#This Row],[Produto]],tProdutos[Produto],0)),"Não")</f>
        <v>Não</v>
      </c>
      <c r="O6761" t="str">
        <f>IFERROR(INDEX(tEditais[SRP],MATCH(tItens[[#This Row],[Edital]],tEditais[Edital],0)),"Não")</f>
        <v>Não</v>
      </c>
      <c r="P6761" s="4">
        <f>IF(COUNTIFS(INDEX(tItens[Edital],1):tItens[[#This Row],[Edital]],tItens[[#This Row],[Edital]],INDEX(tItens[Produto],1):tItens[[#This Row],[Produto]],tItens[[#This Row],[Produto]])=1,1,0)</f>
        <v>1</v>
      </c>
    </row>
    <row r="6762" spans="1:16" x14ac:dyDescent="0.25">
      <c r="A6762" t="s">
        <v>2410</v>
      </c>
      <c r="B6762">
        <v>113</v>
      </c>
      <c r="C6762" t="s">
        <v>4211</v>
      </c>
      <c r="D6762" t="s">
        <v>195</v>
      </c>
      <c r="E6762" s="13">
        <v>43100</v>
      </c>
      <c r="F6762" s="12">
        <v>0</v>
      </c>
      <c r="G6762" t="str">
        <f>IFERROR(INDEX(tEditais[Órgão],MATCH(tItens[[#This Row],[Edital]],tEditais[Edital],0)),"")</f>
        <v>EMPRESA BRASILEIRA DE SERVICOS HOSPITALARES - EBSERH</v>
      </c>
      <c r="H6762" t="str">
        <f>IFERROR(INDEX(tEditais[UF],MATCH(tItens[[#This Row],[Edital]],tEditais[Edital],0)),"")</f>
        <v>RN</v>
      </c>
      <c r="I6762" s="11">
        <f>IFERROR(INDEX(tEditais[Encerramento],MATCH(tItens[[#This Row],[Edital]],tEditais[Edital],0)),"")</f>
        <v>46311.375</v>
      </c>
      <c r="J6762" t="str">
        <f>IFERROR(INDEX(tProdutos[Classe],MATCH(tItens[[#This Row],[Produto]],tProdutos[Produto],0)),"produto não cadastrado")</f>
        <v>FORA</v>
      </c>
      <c r="K6762" s="12">
        <f>tItens[[#This Row],[Qtd]]*tItens[[#This Row],[Vlr unit]]</f>
        <v>0</v>
      </c>
      <c r="L6762" s="6">
        <f>IFERROR(IF(INDEX(tProdutos[Desconto homologado],MATCH(tItens[[#This Row],[Produto]],tProdutos[Produto],0))="",DescontoPadrao,INDEX(tProdutos[Desconto homologado],MATCH(tItens[[#This Row],[Produto]],tProdutos[Produto],0))),DescontoPadrao)</f>
        <v>0.27813657840171302</v>
      </c>
      <c r="M6762" s="12">
        <f>tItens[[#This Row],[Valor]]*(1-tItens[[#This Row],[Desconto]])</f>
        <v>0</v>
      </c>
      <c r="N6762" t="str">
        <f>IFERROR(INDEX(tProdutos[Foco],MATCH(tItens[[#This Row],[Produto]],tProdutos[Produto],0)),"Não")</f>
        <v>Não</v>
      </c>
      <c r="O6762" t="str">
        <f>IFERROR(INDEX(tEditais[SRP],MATCH(tItens[[#This Row],[Edital]],tEditais[Edital],0)),"Não")</f>
        <v>Não</v>
      </c>
      <c r="P6762" s="4">
        <f>IF(COUNTIFS(INDEX(tItens[Edital],1):tItens[[#This Row],[Edital]],tItens[[#This Row],[Edital]],INDEX(tItens[Produto],1):tItens[[#This Row],[Produto]],tItens[[#This Row],[Produto]])=1,1,0)</f>
        <v>1</v>
      </c>
    </row>
    <row r="6763" spans="1:16" x14ac:dyDescent="0.25">
      <c r="A6763" t="s">
        <v>2410</v>
      </c>
      <c r="B6763">
        <v>118</v>
      </c>
      <c r="C6763" t="s">
        <v>3503</v>
      </c>
      <c r="D6763" t="s">
        <v>156</v>
      </c>
      <c r="E6763" s="13">
        <v>50</v>
      </c>
      <c r="F6763" s="12">
        <v>0</v>
      </c>
      <c r="G6763" t="str">
        <f>IFERROR(INDEX(tEditais[Órgão],MATCH(tItens[[#This Row],[Edital]],tEditais[Edital],0)),"")</f>
        <v>EMPRESA BRASILEIRA DE SERVICOS HOSPITALARES - EBSERH</v>
      </c>
      <c r="H6763" t="str">
        <f>IFERROR(INDEX(tEditais[UF],MATCH(tItens[[#This Row],[Edital]],tEditais[Edital],0)),"")</f>
        <v>RN</v>
      </c>
      <c r="I6763" s="11">
        <f>IFERROR(INDEX(tEditais[Encerramento],MATCH(tItens[[#This Row],[Edital]],tEditais[Edital],0)),"")</f>
        <v>46311.375</v>
      </c>
      <c r="J6763" t="str">
        <f>IFERROR(INDEX(tProdutos[Classe],MATCH(tItens[[#This Row],[Produto]],tProdutos[Produto],0)),"produto não cadastrado")</f>
        <v>DISPUTADO</v>
      </c>
      <c r="K6763" s="12">
        <f>tItens[[#This Row],[Qtd]]*tItens[[#This Row],[Vlr unit]]</f>
        <v>0</v>
      </c>
      <c r="L6763" s="6">
        <f>IFERROR(IF(INDEX(tProdutos[Desconto homologado],MATCH(tItens[[#This Row],[Produto]],tProdutos[Produto],0))="",DescontoPadrao,INDEX(tProdutos[Desconto homologado],MATCH(tItens[[#This Row],[Produto]],tProdutos[Produto],0))),DescontoPadrao)</f>
        <v>0.27131852489802799</v>
      </c>
      <c r="M6763" s="12">
        <f>tItens[[#This Row],[Valor]]*(1-tItens[[#This Row],[Desconto]])</f>
        <v>0</v>
      </c>
      <c r="N6763" t="str">
        <f>IFERROR(INDEX(tProdutos[Foco],MATCH(tItens[[#This Row],[Produto]],tProdutos[Produto],0)),"Não")</f>
        <v>Não</v>
      </c>
      <c r="O6763" t="str">
        <f>IFERROR(INDEX(tEditais[SRP],MATCH(tItens[[#This Row],[Edital]],tEditais[Edital],0)),"Não")</f>
        <v>Não</v>
      </c>
      <c r="P6763" s="4">
        <f>IF(COUNTIFS(INDEX(tItens[Edital],1):tItens[[#This Row],[Edital]],tItens[[#This Row],[Edital]],INDEX(tItens[Produto],1):tItens[[#This Row],[Produto]],tItens[[#This Row],[Produto]])=1,1,0)</f>
        <v>1</v>
      </c>
    </row>
    <row r="6764" spans="1:16" x14ac:dyDescent="0.25">
      <c r="A6764" t="s">
        <v>2414</v>
      </c>
      <c r="B6764">
        <v>39</v>
      </c>
      <c r="C6764" t="s">
        <v>9435</v>
      </c>
      <c r="D6764" t="s">
        <v>494</v>
      </c>
      <c r="E6764" s="13">
        <v>10</v>
      </c>
      <c r="F6764" s="12">
        <v>0</v>
      </c>
      <c r="G6764" t="str">
        <f>IFERROR(INDEX(tEditais[Órgão],MATCH(tItens[[#This Row],[Edital]],tEditais[Edital],0)),"")</f>
        <v>MUNICIPIO DE MONTE ALEGRE</v>
      </c>
      <c r="H6764" t="str">
        <f>IFERROR(INDEX(tEditais[UF],MATCH(tItens[[#This Row],[Edital]],tEditais[Edital],0)),"")</f>
        <v>RN</v>
      </c>
      <c r="I6764" s="11">
        <f>IFERROR(INDEX(tEditais[Encerramento],MATCH(tItens[[#This Row],[Edital]],tEditais[Edital],0)),"")</f>
        <v>46314.375694444447</v>
      </c>
      <c r="J6764" t="str">
        <f>IFERROR(INDEX(tProdutos[Classe],MATCH(tItens[[#This Row],[Produto]],tProdutos[Produto],0)),"produto não cadastrado")</f>
        <v>FILA REBASE</v>
      </c>
      <c r="K6764" s="12">
        <f>tItens[[#This Row],[Qtd]]*tItens[[#This Row],[Vlr unit]]</f>
        <v>0</v>
      </c>
      <c r="L6764" s="6">
        <f>IFERROR(IF(INDEX(tProdutos[Desconto homologado],MATCH(tItens[[#This Row],[Produto]],tProdutos[Produto],0))="",DescontoPadrao,INDEX(tProdutos[Desconto homologado],MATCH(tItens[[#This Row],[Produto]],tProdutos[Produto],0))),DescontoPadrao)</f>
        <v>0.253736324829619</v>
      </c>
      <c r="M6764" s="12">
        <f>tItens[[#This Row],[Valor]]*(1-tItens[[#This Row],[Desconto]])</f>
        <v>0</v>
      </c>
      <c r="N6764" t="str">
        <f>IFERROR(INDEX(tProdutos[Foco],MATCH(tItens[[#This Row],[Produto]],tProdutos[Produto],0)),"Não")</f>
        <v>Não</v>
      </c>
      <c r="O6764" t="str">
        <f>IFERROR(INDEX(tEditais[SRP],MATCH(tItens[[#This Row],[Edital]],tEditais[Edital],0)),"Não")</f>
        <v>Não</v>
      </c>
      <c r="P6764" s="4">
        <f>IF(COUNTIFS(INDEX(tItens[Edital],1):tItens[[#This Row],[Edital]],tItens[[#This Row],[Edital]],INDEX(tItens[Produto],1):tItens[[#This Row],[Produto]],tItens[[#This Row],[Produto]])=1,1,0)</f>
        <v>1</v>
      </c>
    </row>
    <row r="6765" spans="1:16" x14ac:dyDescent="0.25">
      <c r="A6765" t="s">
        <v>2418</v>
      </c>
      <c r="B6765">
        <v>13</v>
      </c>
      <c r="C6765" t="s">
        <v>9436</v>
      </c>
      <c r="D6765" t="s">
        <v>494</v>
      </c>
      <c r="E6765" s="13">
        <v>350</v>
      </c>
      <c r="F6765" s="12">
        <v>61.05</v>
      </c>
      <c r="G6765" t="str">
        <f>IFERROR(INDEX(tEditais[Órgão],MATCH(tItens[[#This Row],[Edital]],tEditais[Edital],0)),"")</f>
        <v>MUNICIPIO DE ALEXANDRIA</v>
      </c>
      <c r="H6765" t="str">
        <f>IFERROR(INDEX(tEditais[UF],MATCH(tItens[[#This Row],[Edital]],tEditais[Edital],0)),"")</f>
        <v>RN</v>
      </c>
      <c r="I6765" s="11">
        <f>IFERROR(INDEX(tEditais[Encerramento],MATCH(tItens[[#This Row],[Edital]],tEditais[Edital],0)),"")</f>
        <v>46314.415972222225</v>
      </c>
      <c r="J6765" t="str">
        <f>IFERROR(INDEX(tProdutos[Classe],MATCH(tItens[[#This Row],[Produto]],tProdutos[Produto],0)),"produto não cadastrado")</f>
        <v>FILA REBASE</v>
      </c>
      <c r="K6765" s="12">
        <f>tItens[[#This Row],[Qtd]]*tItens[[#This Row],[Vlr unit]]</f>
        <v>21367.5</v>
      </c>
      <c r="L6765" s="6">
        <f>IFERROR(IF(INDEX(tProdutos[Desconto homologado],MATCH(tItens[[#This Row],[Produto]],tProdutos[Produto],0))="",DescontoPadrao,INDEX(tProdutos[Desconto homologado],MATCH(tItens[[#This Row],[Produto]],tProdutos[Produto],0))),DescontoPadrao)</f>
        <v>0.253736324829619</v>
      </c>
      <c r="M6765" s="12">
        <f>tItens[[#This Row],[Valor]]*(1-tItens[[#This Row],[Desconto]])</f>
        <v>15945.789079203118</v>
      </c>
      <c r="N6765" t="str">
        <f>IFERROR(INDEX(tProdutos[Foco],MATCH(tItens[[#This Row],[Produto]],tProdutos[Produto],0)),"Não")</f>
        <v>Não</v>
      </c>
      <c r="O6765" t="str">
        <f>IFERROR(INDEX(tEditais[SRP],MATCH(tItens[[#This Row],[Edital]],tEditais[Edital],0)),"Não")</f>
        <v>Não</v>
      </c>
      <c r="P6765" s="4">
        <f>IF(COUNTIFS(INDEX(tItens[Edital],1):tItens[[#This Row],[Edital]],tItens[[#This Row],[Edital]],INDEX(tItens[Produto],1):tItens[[#This Row],[Produto]],tItens[[#This Row],[Produto]])=1,1,0)</f>
        <v>1</v>
      </c>
    </row>
    <row r="6766" spans="1:16" x14ac:dyDescent="0.25">
      <c r="A6766" t="s">
        <v>2418</v>
      </c>
      <c r="B6766">
        <v>14</v>
      </c>
      <c r="C6766" t="s">
        <v>9437</v>
      </c>
      <c r="D6766" t="s">
        <v>494</v>
      </c>
      <c r="E6766" s="13">
        <v>350</v>
      </c>
      <c r="F6766" s="12">
        <v>67.67</v>
      </c>
      <c r="G6766" t="str">
        <f>IFERROR(INDEX(tEditais[Órgão],MATCH(tItens[[#This Row],[Edital]],tEditais[Edital],0)),"")</f>
        <v>MUNICIPIO DE ALEXANDRIA</v>
      </c>
      <c r="H6766" t="str">
        <f>IFERROR(INDEX(tEditais[UF],MATCH(tItens[[#This Row],[Edital]],tEditais[Edital],0)),"")</f>
        <v>RN</v>
      </c>
      <c r="I6766" s="11">
        <f>IFERROR(INDEX(tEditais[Encerramento],MATCH(tItens[[#This Row],[Edital]],tEditais[Edital],0)),"")</f>
        <v>46314.415972222225</v>
      </c>
      <c r="J6766" t="str">
        <f>IFERROR(INDEX(tProdutos[Classe],MATCH(tItens[[#This Row],[Produto]],tProdutos[Produto],0)),"produto não cadastrado")</f>
        <v>FILA REBASE</v>
      </c>
      <c r="K6766" s="12">
        <f>tItens[[#This Row],[Qtd]]*tItens[[#This Row],[Vlr unit]]</f>
        <v>23684.5</v>
      </c>
      <c r="L6766" s="6">
        <f>IFERROR(IF(INDEX(tProdutos[Desconto homologado],MATCH(tItens[[#This Row],[Produto]],tProdutos[Produto],0))="",DescontoPadrao,INDEX(tProdutos[Desconto homologado],MATCH(tItens[[#This Row],[Produto]],tProdutos[Produto],0))),DescontoPadrao)</f>
        <v>0.253736324829619</v>
      </c>
      <c r="M6766" s="12">
        <f>tItens[[#This Row],[Valor]]*(1-tItens[[#This Row],[Desconto]])</f>
        <v>17674.88201457289</v>
      </c>
      <c r="N6766" t="str">
        <f>IFERROR(INDEX(tProdutos[Foco],MATCH(tItens[[#This Row],[Produto]],tProdutos[Produto],0)),"Não")</f>
        <v>Não</v>
      </c>
      <c r="O6766" t="str">
        <f>IFERROR(INDEX(tEditais[SRP],MATCH(tItens[[#This Row],[Edital]],tEditais[Edital],0)),"Não")</f>
        <v>Não</v>
      </c>
      <c r="P6766" s="4">
        <f>IF(COUNTIFS(INDEX(tItens[Edital],1):tItens[[#This Row],[Edital]],tItens[[#This Row],[Edital]],INDEX(tItens[Produto],1):tItens[[#This Row],[Produto]],tItens[[#This Row],[Produto]])=1,1,0)</f>
        <v>0</v>
      </c>
    </row>
    <row r="6767" spans="1:16" x14ac:dyDescent="0.25">
      <c r="A6767" t="s">
        <v>2418</v>
      </c>
      <c r="B6767">
        <v>15</v>
      </c>
      <c r="C6767" t="s">
        <v>9438</v>
      </c>
      <c r="D6767" t="s">
        <v>494</v>
      </c>
      <c r="E6767" s="13">
        <v>350</v>
      </c>
      <c r="F6767" s="12">
        <v>73.819999999999993</v>
      </c>
      <c r="G6767" t="str">
        <f>IFERROR(INDEX(tEditais[Órgão],MATCH(tItens[[#This Row],[Edital]],tEditais[Edital],0)),"")</f>
        <v>MUNICIPIO DE ALEXANDRIA</v>
      </c>
      <c r="H6767" t="str">
        <f>IFERROR(INDEX(tEditais[UF],MATCH(tItens[[#This Row],[Edital]],tEditais[Edital],0)),"")</f>
        <v>RN</v>
      </c>
      <c r="I6767" s="11">
        <f>IFERROR(INDEX(tEditais[Encerramento],MATCH(tItens[[#This Row],[Edital]],tEditais[Edital],0)),"")</f>
        <v>46314.415972222225</v>
      </c>
      <c r="J6767" t="str">
        <f>IFERROR(INDEX(tProdutos[Classe],MATCH(tItens[[#This Row],[Produto]],tProdutos[Produto],0)),"produto não cadastrado")</f>
        <v>FILA REBASE</v>
      </c>
      <c r="K6767" s="12">
        <f>tItens[[#This Row],[Qtd]]*tItens[[#This Row],[Vlr unit]]</f>
        <v>25836.999999999996</v>
      </c>
      <c r="L6767" s="6">
        <f>IFERROR(IF(INDEX(tProdutos[Desconto homologado],MATCH(tItens[[#This Row],[Produto]],tProdutos[Produto],0))="",DescontoPadrao,INDEX(tProdutos[Desconto homologado],MATCH(tItens[[#This Row],[Produto]],tProdutos[Produto],0))),DescontoPadrao)</f>
        <v>0.253736324829619</v>
      </c>
      <c r="M6767" s="12">
        <f>tItens[[#This Row],[Valor]]*(1-tItens[[#This Row],[Desconto]])</f>
        <v>19281.214575377133</v>
      </c>
      <c r="N6767" t="str">
        <f>IFERROR(INDEX(tProdutos[Foco],MATCH(tItens[[#This Row],[Produto]],tProdutos[Produto],0)),"Não")</f>
        <v>Não</v>
      </c>
      <c r="O6767" t="str">
        <f>IFERROR(INDEX(tEditais[SRP],MATCH(tItens[[#This Row],[Edital]],tEditais[Edital],0)),"Não")</f>
        <v>Não</v>
      </c>
      <c r="P6767" s="4">
        <f>IF(COUNTIFS(INDEX(tItens[Edital],1):tItens[[#This Row],[Edital]],tItens[[#This Row],[Edital]],INDEX(tItens[Produto],1):tItens[[#This Row],[Produto]],tItens[[#This Row],[Produto]])=1,1,0)</f>
        <v>0</v>
      </c>
    </row>
    <row r="6768" spans="1:16" x14ac:dyDescent="0.25">
      <c r="A6768" t="s">
        <v>2418</v>
      </c>
      <c r="B6768">
        <v>16</v>
      </c>
      <c r="C6768" t="s">
        <v>9439</v>
      </c>
      <c r="D6768" t="s">
        <v>494</v>
      </c>
      <c r="E6768" s="13">
        <v>350</v>
      </c>
      <c r="F6768" s="12">
        <v>88</v>
      </c>
      <c r="G6768" t="str">
        <f>IFERROR(INDEX(tEditais[Órgão],MATCH(tItens[[#This Row],[Edital]],tEditais[Edital],0)),"")</f>
        <v>MUNICIPIO DE ALEXANDRIA</v>
      </c>
      <c r="H6768" t="str">
        <f>IFERROR(INDEX(tEditais[UF],MATCH(tItens[[#This Row],[Edital]],tEditais[Edital],0)),"")</f>
        <v>RN</v>
      </c>
      <c r="I6768" s="11">
        <f>IFERROR(INDEX(tEditais[Encerramento],MATCH(tItens[[#This Row],[Edital]],tEditais[Edital],0)),"")</f>
        <v>46314.415972222225</v>
      </c>
      <c r="J6768" t="str">
        <f>IFERROR(INDEX(tProdutos[Classe],MATCH(tItens[[#This Row],[Produto]],tProdutos[Produto],0)),"produto não cadastrado")</f>
        <v>FILA REBASE</v>
      </c>
      <c r="K6768" s="12">
        <f>tItens[[#This Row],[Qtd]]*tItens[[#This Row],[Vlr unit]]</f>
        <v>30800</v>
      </c>
      <c r="L6768" s="6">
        <f>IFERROR(IF(INDEX(tProdutos[Desconto homologado],MATCH(tItens[[#This Row],[Produto]],tProdutos[Produto],0))="",DescontoPadrao,INDEX(tProdutos[Desconto homologado],MATCH(tItens[[#This Row],[Produto]],tProdutos[Produto],0))),DescontoPadrao)</f>
        <v>0.253736324829619</v>
      </c>
      <c r="M6768" s="12">
        <f>tItens[[#This Row],[Valor]]*(1-tItens[[#This Row],[Desconto]])</f>
        <v>22984.921195247738</v>
      </c>
      <c r="N6768" t="str">
        <f>IFERROR(INDEX(tProdutos[Foco],MATCH(tItens[[#This Row],[Produto]],tProdutos[Produto],0)),"Não")</f>
        <v>Não</v>
      </c>
      <c r="O6768" t="str">
        <f>IFERROR(INDEX(tEditais[SRP],MATCH(tItens[[#This Row],[Edital]],tEditais[Edital],0)),"Não")</f>
        <v>Não</v>
      </c>
      <c r="P6768" s="4">
        <f>IF(COUNTIFS(INDEX(tItens[Edital],1):tItens[[#This Row],[Edital]],tItens[[#This Row],[Edital]],INDEX(tItens[Produto],1):tItens[[#This Row],[Produto]],tItens[[#This Row],[Produto]])=1,1,0)</f>
        <v>0</v>
      </c>
    </row>
    <row r="6769" spans="1:16" x14ac:dyDescent="0.25">
      <c r="A6769" t="s">
        <v>2418</v>
      </c>
      <c r="B6769">
        <v>17</v>
      </c>
      <c r="C6769" t="s">
        <v>9440</v>
      </c>
      <c r="D6769" t="s">
        <v>494</v>
      </c>
      <c r="E6769" s="13">
        <v>350</v>
      </c>
      <c r="F6769" s="12">
        <v>149.18</v>
      </c>
      <c r="G6769" t="str">
        <f>IFERROR(INDEX(tEditais[Órgão],MATCH(tItens[[#This Row],[Edital]],tEditais[Edital],0)),"")</f>
        <v>MUNICIPIO DE ALEXANDRIA</v>
      </c>
      <c r="H6769" t="str">
        <f>IFERROR(INDEX(tEditais[UF],MATCH(tItens[[#This Row],[Edital]],tEditais[Edital],0)),"")</f>
        <v>RN</v>
      </c>
      <c r="I6769" s="11">
        <f>IFERROR(INDEX(tEditais[Encerramento],MATCH(tItens[[#This Row],[Edital]],tEditais[Edital],0)),"")</f>
        <v>46314.415972222225</v>
      </c>
      <c r="J6769" t="str">
        <f>IFERROR(INDEX(tProdutos[Classe],MATCH(tItens[[#This Row],[Produto]],tProdutos[Produto],0)),"produto não cadastrado")</f>
        <v>FILA REBASE</v>
      </c>
      <c r="K6769" s="12">
        <f>tItens[[#This Row],[Qtd]]*tItens[[#This Row],[Vlr unit]]</f>
        <v>52213</v>
      </c>
      <c r="L6769" s="6">
        <f>IFERROR(IF(INDEX(tProdutos[Desconto homologado],MATCH(tItens[[#This Row],[Produto]],tProdutos[Produto],0))="",DescontoPadrao,INDEX(tProdutos[Desconto homologado],MATCH(tItens[[#This Row],[Produto]],tProdutos[Produto],0))),DescontoPadrao)</f>
        <v>0.253736324829619</v>
      </c>
      <c r="M6769" s="12">
        <f>tItens[[#This Row],[Valor]]*(1-tItens[[#This Row],[Desconto]])</f>
        <v>38964.665271671103</v>
      </c>
      <c r="N6769" t="str">
        <f>IFERROR(INDEX(tProdutos[Foco],MATCH(tItens[[#This Row],[Produto]],tProdutos[Produto],0)),"Não")</f>
        <v>Não</v>
      </c>
      <c r="O6769" t="str">
        <f>IFERROR(INDEX(tEditais[SRP],MATCH(tItens[[#This Row],[Edital]],tEditais[Edital],0)),"Não")</f>
        <v>Não</v>
      </c>
      <c r="P6769" s="4">
        <f>IF(COUNTIFS(INDEX(tItens[Edital],1):tItens[[#This Row],[Edital]],tItens[[#This Row],[Edital]],INDEX(tItens[Produto],1):tItens[[#This Row],[Produto]],tItens[[#This Row],[Produto]])=1,1,0)</f>
        <v>0</v>
      </c>
    </row>
    <row r="6770" spans="1:16" x14ac:dyDescent="0.25">
      <c r="A6770" t="s">
        <v>2418</v>
      </c>
      <c r="B6770">
        <v>18</v>
      </c>
      <c r="C6770" t="s">
        <v>9441</v>
      </c>
      <c r="D6770" t="s">
        <v>62</v>
      </c>
      <c r="E6770" s="13">
        <v>370</v>
      </c>
      <c r="F6770" s="12">
        <v>69.709999999999994</v>
      </c>
      <c r="G6770" t="str">
        <f>IFERROR(INDEX(tEditais[Órgão],MATCH(tItens[[#This Row],[Edital]],tEditais[Edital],0)),"")</f>
        <v>MUNICIPIO DE ALEXANDRIA</v>
      </c>
      <c r="H6770" t="str">
        <f>IFERROR(INDEX(tEditais[UF],MATCH(tItens[[#This Row],[Edital]],tEditais[Edital],0)),"")</f>
        <v>RN</v>
      </c>
      <c r="I6770" s="11">
        <f>IFERROR(INDEX(tEditais[Encerramento],MATCH(tItens[[#This Row],[Edital]],tEditais[Edital],0)),"")</f>
        <v>46314.415972222225</v>
      </c>
      <c r="J6770" t="str">
        <f>IFERROR(INDEX(tProdutos[Classe],MATCH(tItens[[#This Row],[Produto]],tProdutos[Produto],0)),"produto não cadastrado")</f>
        <v>NÚCLEO</v>
      </c>
      <c r="K6770" s="12">
        <f>tItens[[#This Row],[Qtd]]*tItens[[#This Row],[Vlr unit]]</f>
        <v>25792.699999999997</v>
      </c>
      <c r="L6770" s="6">
        <f>IFERROR(IF(INDEX(tProdutos[Desconto homologado],MATCH(tItens[[#This Row],[Produto]],tProdutos[Produto],0))="",DescontoPadrao,INDEX(tProdutos[Desconto homologado],MATCH(tItens[[#This Row],[Produto]],tProdutos[Produto],0))),DescontoPadrao)</f>
        <v>0.3</v>
      </c>
      <c r="M6770" s="12">
        <f>tItens[[#This Row],[Valor]]*(1-tItens[[#This Row],[Desconto]])</f>
        <v>18054.889999999996</v>
      </c>
      <c r="N6770" t="str">
        <f>IFERROR(INDEX(tProdutos[Foco],MATCH(tItens[[#This Row],[Produto]],tProdutos[Produto],0)),"Não")</f>
        <v>Sim</v>
      </c>
      <c r="O6770" t="str">
        <f>IFERROR(INDEX(tEditais[SRP],MATCH(tItens[[#This Row],[Edital]],tEditais[Edital],0)),"Não")</f>
        <v>Não</v>
      </c>
      <c r="P6770" s="4">
        <f>IF(COUNTIFS(INDEX(tItens[Edital],1):tItens[[#This Row],[Edital]],tItens[[#This Row],[Edital]],INDEX(tItens[Produto],1):tItens[[#This Row],[Produto]],tItens[[#This Row],[Produto]])=1,1,0)</f>
        <v>1</v>
      </c>
    </row>
    <row r="6771" spans="1:16" x14ac:dyDescent="0.25">
      <c r="A6771" t="s">
        <v>2418</v>
      </c>
      <c r="B6771">
        <v>19</v>
      </c>
      <c r="C6771" t="s">
        <v>9442</v>
      </c>
      <c r="D6771" t="s">
        <v>62</v>
      </c>
      <c r="E6771" s="13">
        <v>1300</v>
      </c>
      <c r="F6771" s="12">
        <v>4.05</v>
      </c>
      <c r="G6771" t="str">
        <f>IFERROR(INDEX(tEditais[Órgão],MATCH(tItens[[#This Row],[Edital]],tEditais[Edital],0)),"")</f>
        <v>MUNICIPIO DE ALEXANDRIA</v>
      </c>
      <c r="H6771" t="str">
        <f>IFERROR(INDEX(tEditais[UF],MATCH(tItens[[#This Row],[Edital]],tEditais[Edital],0)),"")</f>
        <v>RN</v>
      </c>
      <c r="I6771" s="11">
        <f>IFERROR(INDEX(tEditais[Encerramento],MATCH(tItens[[#This Row],[Edital]],tEditais[Edital],0)),"")</f>
        <v>46314.415972222225</v>
      </c>
      <c r="J6771" t="str">
        <f>IFERROR(INDEX(tProdutos[Classe],MATCH(tItens[[#This Row],[Produto]],tProdutos[Produto],0)),"produto não cadastrado")</f>
        <v>NÚCLEO</v>
      </c>
      <c r="K6771" s="12">
        <f>tItens[[#This Row],[Qtd]]*tItens[[#This Row],[Vlr unit]]</f>
        <v>5265</v>
      </c>
      <c r="L6771" s="6">
        <f>IFERROR(IF(INDEX(tProdutos[Desconto homologado],MATCH(tItens[[#This Row],[Produto]],tProdutos[Produto],0))="",DescontoPadrao,INDEX(tProdutos[Desconto homologado],MATCH(tItens[[#This Row],[Produto]],tProdutos[Produto],0))),DescontoPadrao)</f>
        <v>0.3</v>
      </c>
      <c r="M6771" s="12">
        <f>tItens[[#This Row],[Valor]]*(1-tItens[[#This Row],[Desconto]])</f>
        <v>3685.4999999999995</v>
      </c>
      <c r="N6771" t="str">
        <f>IFERROR(INDEX(tProdutos[Foco],MATCH(tItens[[#This Row],[Produto]],tProdutos[Produto],0)),"Não")</f>
        <v>Sim</v>
      </c>
      <c r="O6771" t="str">
        <f>IFERROR(INDEX(tEditais[SRP],MATCH(tItens[[#This Row],[Edital]],tEditais[Edital],0)),"Não")</f>
        <v>Não</v>
      </c>
      <c r="P6771" s="4">
        <f>IF(COUNTIFS(INDEX(tItens[Edital],1):tItens[[#This Row],[Edital]],tItens[[#This Row],[Edital]],INDEX(tItens[Produto],1):tItens[[#This Row],[Produto]],tItens[[#This Row],[Produto]])=1,1,0)</f>
        <v>0</v>
      </c>
    </row>
    <row r="6772" spans="1:16" x14ac:dyDescent="0.25">
      <c r="A6772" t="s">
        <v>2418</v>
      </c>
      <c r="B6772">
        <v>24</v>
      </c>
      <c r="C6772" t="s">
        <v>9443</v>
      </c>
      <c r="D6772" t="s">
        <v>409</v>
      </c>
      <c r="E6772" s="13">
        <v>350</v>
      </c>
      <c r="F6772" s="12">
        <v>3.55</v>
      </c>
      <c r="G6772" t="str">
        <f>IFERROR(INDEX(tEditais[Órgão],MATCH(tItens[[#This Row],[Edital]],tEditais[Edital],0)),"")</f>
        <v>MUNICIPIO DE ALEXANDRIA</v>
      </c>
      <c r="H6772" t="str">
        <f>IFERROR(INDEX(tEditais[UF],MATCH(tItens[[#This Row],[Edital]],tEditais[Edital],0)),"")</f>
        <v>RN</v>
      </c>
      <c r="I6772" s="11">
        <f>IFERROR(INDEX(tEditais[Encerramento],MATCH(tItens[[#This Row],[Edital]],tEditais[Edital],0)),"")</f>
        <v>46314.415972222225</v>
      </c>
      <c r="J6772" t="str">
        <f>IFERROR(INDEX(tProdutos[Classe],MATCH(tItens[[#This Row],[Produto]],tProdutos[Produto],0)),"produto não cadastrado")</f>
        <v>FORA</v>
      </c>
      <c r="K6772" s="12">
        <f>tItens[[#This Row],[Qtd]]*tItens[[#This Row],[Vlr unit]]</f>
        <v>1242.5</v>
      </c>
      <c r="L6772" s="6">
        <f>IFERROR(IF(INDEX(tProdutos[Desconto homologado],MATCH(tItens[[#This Row],[Produto]],tProdutos[Produto],0))="",DescontoPadrao,INDEX(tProdutos[Desconto homologado],MATCH(tItens[[#This Row],[Produto]],tProdutos[Produto],0))),DescontoPadrao)</f>
        <v>0.24924924924924899</v>
      </c>
      <c r="M6772" s="12">
        <f>tItens[[#This Row],[Valor]]*(1-tItens[[#This Row],[Desconto]])</f>
        <v>932.80780780780822</v>
      </c>
      <c r="N6772" t="str">
        <f>IFERROR(INDEX(tProdutos[Foco],MATCH(tItens[[#This Row],[Produto]],tProdutos[Produto],0)),"Não")</f>
        <v>Não</v>
      </c>
      <c r="O6772" t="str">
        <f>IFERROR(INDEX(tEditais[SRP],MATCH(tItens[[#This Row],[Edital]],tEditais[Edital],0)),"Não")</f>
        <v>Não</v>
      </c>
      <c r="P6772" s="4">
        <f>IF(COUNTIFS(INDEX(tItens[Edital],1):tItens[[#This Row],[Edital]],tItens[[#This Row],[Edital]],INDEX(tItens[Produto],1):tItens[[#This Row],[Produto]],tItens[[#This Row],[Produto]])=1,1,0)</f>
        <v>1</v>
      </c>
    </row>
    <row r="6773" spans="1:16" x14ac:dyDescent="0.25">
      <c r="A6773" t="s">
        <v>2418</v>
      </c>
      <c r="B6773">
        <v>25</v>
      </c>
      <c r="C6773" t="s">
        <v>9444</v>
      </c>
      <c r="D6773" t="s">
        <v>409</v>
      </c>
      <c r="E6773" s="13">
        <v>500</v>
      </c>
      <c r="F6773" s="12">
        <v>4.07</v>
      </c>
      <c r="G6773" t="str">
        <f>IFERROR(INDEX(tEditais[Órgão],MATCH(tItens[[#This Row],[Edital]],tEditais[Edital],0)),"")</f>
        <v>MUNICIPIO DE ALEXANDRIA</v>
      </c>
      <c r="H6773" t="str">
        <f>IFERROR(INDEX(tEditais[UF],MATCH(tItens[[#This Row],[Edital]],tEditais[Edital],0)),"")</f>
        <v>RN</v>
      </c>
      <c r="I6773" s="11">
        <f>IFERROR(INDEX(tEditais[Encerramento],MATCH(tItens[[#This Row],[Edital]],tEditais[Edital],0)),"")</f>
        <v>46314.415972222225</v>
      </c>
      <c r="J6773" t="str">
        <f>IFERROR(INDEX(tProdutos[Classe],MATCH(tItens[[#This Row],[Produto]],tProdutos[Produto],0)),"produto não cadastrado")</f>
        <v>FORA</v>
      </c>
      <c r="K6773" s="12">
        <f>tItens[[#This Row],[Qtd]]*tItens[[#This Row],[Vlr unit]]</f>
        <v>2035.0000000000002</v>
      </c>
      <c r="L6773" s="6">
        <f>IFERROR(IF(INDEX(tProdutos[Desconto homologado],MATCH(tItens[[#This Row],[Produto]],tProdutos[Produto],0))="",DescontoPadrao,INDEX(tProdutos[Desconto homologado],MATCH(tItens[[#This Row],[Produto]],tProdutos[Produto],0))),DescontoPadrao)</f>
        <v>0.24924924924924899</v>
      </c>
      <c r="M6773" s="12">
        <f>tItens[[#This Row],[Valor]]*(1-tItens[[#This Row],[Desconto]])</f>
        <v>1527.7777777777785</v>
      </c>
      <c r="N6773" t="str">
        <f>IFERROR(INDEX(tProdutos[Foco],MATCH(tItens[[#This Row],[Produto]],tProdutos[Produto],0)),"Não")</f>
        <v>Não</v>
      </c>
      <c r="O6773" t="str">
        <f>IFERROR(INDEX(tEditais[SRP],MATCH(tItens[[#This Row],[Edital]],tEditais[Edital],0)),"Não")</f>
        <v>Não</v>
      </c>
      <c r="P6773" s="4">
        <f>IF(COUNTIFS(INDEX(tItens[Edital],1):tItens[[#This Row],[Edital]],tItens[[#This Row],[Edital]],INDEX(tItens[Produto],1):tItens[[#This Row],[Produto]],tItens[[#This Row],[Produto]])=1,1,0)</f>
        <v>0</v>
      </c>
    </row>
    <row r="6774" spans="1:16" x14ac:dyDescent="0.25">
      <c r="A6774" t="s">
        <v>2418</v>
      </c>
      <c r="B6774">
        <v>26</v>
      </c>
      <c r="C6774" t="s">
        <v>9445</v>
      </c>
      <c r="D6774" t="s">
        <v>409</v>
      </c>
      <c r="E6774" s="13">
        <v>350</v>
      </c>
      <c r="F6774" s="12">
        <v>11.74</v>
      </c>
      <c r="G6774" t="str">
        <f>IFERROR(INDEX(tEditais[Órgão],MATCH(tItens[[#This Row],[Edital]],tEditais[Edital],0)),"")</f>
        <v>MUNICIPIO DE ALEXANDRIA</v>
      </c>
      <c r="H6774" t="str">
        <f>IFERROR(INDEX(tEditais[UF],MATCH(tItens[[#This Row],[Edital]],tEditais[Edital],0)),"")</f>
        <v>RN</v>
      </c>
      <c r="I6774" s="11">
        <f>IFERROR(INDEX(tEditais[Encerramento],MATCH(tItens[[#This Row],[Edital]],tEditais[Edital],0)),"")</f>
        <v>46314.415972222225</v>
      </c>
      <c r="J6774" t="str">
        <f>IFERROR(INDEX(tProdutos[Classe],MATCH(tItens[[#This Row],[Produto]],tProdutos[Produto],0)),"produto não cadastrado")</f>
        <v>FORA</v>
      </c>
      <c r="K6774" s="12">
        <f>tItens[[#This Row],[Qtd]]*tItens[[#This Row],[Vlr unit]]</f>
        <v>4109</v>
      </c>
      <c r="L6774" s="6">
        <f>IFERROR(IF(INDEX(tProdutos[Desconto homologado],MATCH(tItens[[#This Row],[Produto]],tProdutos[Produto],0))="",DescontoPadrao,INDEX(tProdutos[Desconto homologado],MATCH(tItens[[#This Row],[Produto]],tProdutos[Produto],0))),DescontoPadrao)</f>
        <v>0.24924924924924899</v>
      </c>
      <c r="M6774" s="12">
        <f>tItens[[#This Row],[Valor]]*(1-tItens[[#This Row],[Desconto]])</f>
        <v>3084.8348348348359</v>
      </c>
      <c r="N6774" t="str">
        <f>IFERROR(INDEX(tProdutos[Foco],MATCH(tItens[[#This Row],[Produto]],tProdutos[Produto],0)),"Não")</f>
        <v>Não</v>
      </c>
      <c r="O6774" t="str">
        <f>IFERROR(INDEX(tEditais[SRP],MATCH(tItens[[#This Row],[Edital]],tEditais[Edital],0)),"Não")</f>
        <v>Não</v>
      </c>
      <c r="P6774" s="4">
        <f>IF(COUNTIFS(INDEX(tItens[Edital],1):tItens[[#This Row],[Edital]],tItens[[#This Row],[Edital]],INDEX(tItens[Produto],1):tItens[[#This Row],[Produto]],tItens[[#This Row],[Produto]])=1,1,0)</f>
        <v>0</v>
      </c>
    </row>
    <row r="6775" spans="1:16" x14ac:dyDescent="0.25">
      <c r="A6775" t="s">
        <v>2418</v>
      </c>
      <c r="B6775">
        <v>28</v>
      </c>
      <c r="C6775" t="s">
        <v>9446</v>
      </c>
      <c r="D6775" t="s">
        <v>329</v>
      </c>
      <c r="E6775" s="13">
        <v>50</v>
      </c>
      <c r="F6775" s="12">
        <v>188.41</v>
      </c>
      <c r="G6775" t="str">
        <f>IFERROR(INDEX(tEditais[Órgão],MATCH(tItens[[#This Row],[Edital]],tEditais[Edital],0)),"")</f>
        <v>MUNICIPIO DE ALEXANDRIA</v>
      </c>
      <c r="H6775" t="str">
        <f>IFERROR(INDEX(tEditais[UF],MATCH(tItens[[#This Row],[Edital]],tEditais[Edital],0)),"")</f>
        <v>RN</v>
      </c>
      <c r="I6775" s="11">
        <f>IFERROR(INDEX(tEditais[Encerramento],MATCH(tItens[[#This Row],[Edital]],tEditais[Edital],0)),"")</f>
        <v>46314.415972222225</v>
      </c>
      <c r="J6775" t="str">
        <f>IFERROR(INDEX(tProdutos[Classe],MATCH(tItens[[#This Row],[Produto]],tProdutos[Produto],0)),"produto não cadastrado")</f>
        <v>FORA</v>
      </c>
      <c r="K6775" s="12">
        <f>tItens[[#This Row],[Qtd]]*tItens[[#This Row],[Vlr unit]]</f>
        <v>9420.5</v>
      </c>
      <c r="L6775" s="6">
        <f>IFERROR(IF(INDEX(tProdutos[Desconto homologado],MATCH(tItens[[#This Row],[Produto]],tProdutos[Produto],0))="",DescontoPadrao,INDEX(tProdutos[Desconto homologado],MATCH(tItens[[#This Row],[Produto]],tProdutos[Produto],0))),DescontoPadrao)</f>
        <v>0.46441781031074703</v>
      </c>
      <c r="M6775" s="12">
        <f>tItens[[#This Row],[Valor]]*(1-tItens[[#This Row],[Desconto]])</f>
        <v>5045.4520179676074</v>
      </c>
      <c r="N6775" t="str">
        <f>IFERROR(INDEX(tProdutos[Foco],MATCH(tItens[[#This Row],[Produto]],tProdutos[Produto],0)),"Não")</f>
        <v>Não</v>
      </c>
      <c r="O6775" t="str">
        <f>IFERROR(INDEX(tEditais[SRP],MATCH(tItens[[#This Row],[Edital]],tEditais[Edital],0)),"Não")</f>
        <v>Não</v>
      </c>
      <c r="P6775" s="4">
        <f>IF(COUNTIFS(INDEX(tItens[Edital],1):tItens[[#This Row],[Edital]],tItens[[#This Row],[Edital]],INDEX(tItens[Produto],1):tItens[[#This Row],[Produto]],tItens[[#This Row],[Produto]])=1,1,0)</f>
        <v>1</v>
      </c>
    </row>
    <row r="6776" spans="1:16" x14ac:dyDescent="0.25">
      <c r="A6776" t="s">
        <v>2418</v>
      </c>
      <c r="B6776">
        <v>29</v>
      </c>
      <c r="C6776" t="s">
        <v>9447</v>
      </c>
      <c r="D6776" t="s">
        <v>335</v>
      </c>
      <c r="E6776" s="13">
        <v>50</v>
      </c>
      <c r="F6776" s="12">
        <v>105.77</v>
      </c>
      <c r="G6776" t="str">
        <f>IFERROR(INDEX(tEditais[Órgão],MATCH(tItens[[#This Row],[Edital]],tEditais[Edital],0)),"")</f>
        <v>MUNICIPIO DE ALEXANDRIA</v>
      </c>
      <c r="H6776" t="str">
        <f>IFERROR(INDEX(tEditais[UF],MATCH(tItens[[#This Row],[Edital]],tEditais[Edital],0)),"")</f>
        <v>RN</v>
      </c>
      <c r="I6776" s="11">
        <f>IFERROR(INDEX(tEditais[Encerramento],MATCH(tItens[[#This Row],[Edital]],tEditais[Edital],0)),"")</f>
        <v>46314.415972222225</v>
      </c>
      <c r="J6776" t="str">
        <f>IFERROR(INDEX(tProdutos[Classe],MATCH(tItens[[#This Row],[Produto]],tProdutos[Produto],0)),"produto não cadastrado")</f>
        <v>FORA</v>
      </c>
      <c r="K6776" s="12">
        <f>tItens[[#This Row],[Qtd]]*tItens[[#This Row],[Vlr unit]]</f>
        <v>5288.5</v>
      </c>
      <c r="L6776" s="6">
        <f>IFERROR(IF(INDEX(tProdutos[Desconto homologado],MATCH(tItens[[#This Row],[Produto]],tProdutos[Produto],0))="",DescontoPadrao,INDEX(tProdutos[Desconto homologado],MATCH(tItens[[#This Row],[Produto]],tProdutos[Produto],0))),DescontoPadrao)</f>
        <v>0.419047619047619</v>
      </c>
      <c r="M6776" s="12">
        <f>tItens[[#This Row],[Valor]]*(1-tItens[[#This Row],[Desconto]])</f>
        <v>3072.3666666666668</v>
      </c>
      <c r="N6776" t="str">
        <f>IFERROR(INDEX(tProdutos[Foco],MATCH(tItens[[#This Row],[Produto]],tProdutos[Produto],0)),"Não")</f>
        <v>Não</v>
      </c>
      <c r="O6776" t="str">
        <f>IFERROR(INDEX(tEditais[SRP],MATCH(tItens[[#This Row],[Edital]],tEditais[Edital],0)),"Não")</f>
        <v>Não</v>
      </c>
      <c r="P6776" s="4">
        <f>IF(COUNTIFS(INDEX(tItens[Edital],1):tItens[[#This Row],[Edital]],tItens[[#This Row],[Edital]],INDEX(tItens[Produto],1):tItens[[#This Row],[Produto]],tItens[[#This Row],[Produto]])=1,1,0)</f>
        <v>1</v>
      </c>
    </row>
    <row r="6777" spans="1:16" x14ac:dyDescent="0.25">
      <c r="A6777" t="s">
        <v>2418</v>
      </c>
      <c r="B6777">
        <v>30</v>
      </c>
      <c r="C6777" t="s">
        <v>9448</v>
      </c>
      <c r="D6777" t="s">
        <v>379</v>
      </c>
      <c r="E6777" s="13">
        <v>50</v>
      </c>
      <c r="F6777" s="12">
        <v>142.12</v>
      </c>
      <c r="G6777" t="str">
        <f>IFERROR(INDEX(tEditais[Órgão],MATCH(tItens[[#This Row],[Edital]],tEditais[Edital],0)),"")</f>
        <v>MUNICIPIO DE ALEXANDRIA</v>
      </c>
      <c r="H6777" t="str">
        <f>IFERROR(INDEX(tEditais[UF],MATCH(tItens[[#This Row],[Edital]],tEditais[Edital],0)),"")</f>
        <v>RN</v>
      </c>
      <c r="I6777" s="11">
        <f>IFERROR(INDEX(tEditais[Encerramento],MATCH(tItens[[#This Row],[Edital]],tEditais[Edital],0)),"")</f>
        <v>46314.415972222225</v>
      </c>
      <c r="J6777" t="str">
        <f>IFERROR(INDEX(tProdutos[Classe],MATCH(tItens[[#This Row],[Produto]],tProdutos[Produto],0)),"produto não cadastrado")</f>
        <v>FORA</v>
      </c>
      <c r="K6777" s="12">
        <f>tItens[[#This Row],[Qtd]]*tItens[[#This Row],[Vlr unit]]</f>
        <v>7106</v>
      </c>
      <c r="L6777" s="6">
        <f>IFERROR(IF(INDEX(tProdutos[Desconto homologado],MATCH(tItens[[#This Row],[Produto]],tProdutos[Produto],0))="",DescontoPadrao,INDEX(tProdutos[Desconto homologado],MATCH(tItens[[#This Row],[Produto]],tProdutos[Produto],0))),DescontoPadrao)</f>
        <v>0.49504950495049499</v>
      </c>
      <c r="M6777" s="12">
        <f>tItens[[#This Row],[Valor]]*(1-tItens[[#This Row],[Desconto]])</f>
        <v>3588.1782178217823</v>
      </c>
      <c r="N6777" t="str">
        <f>IFERROR(INDEX(tProdutos[Foco],MATCH(tItens[[#This Row],[Produto]],tProdutos[Produto],0)),"Não")</f>
        <v>Não</v>
      </c>
      <c r="O6777" t="str">
        <f>IFERROR(INDEX(tEditais[SRP],MATCH(tItens[[#This Row],[Edital]],tEditais[Edital],0)),"Não")</f>
        <v>Não</v>
      </c>
      <c r="P6777" s="4">
        <f>IF(COUNTIFS(INDEX(tItens[Edital],1):tItens[[#This Row],[Edital]],tItens[[#This Row],[Edital]],INDEX(tItens[Produto],1):tItens[[#This Row],[Produto]],tItens[[#This Row],[Produto]])=1,1,0)</f>
        <v>1</v>
      </c>
    </row>
    <row r="6778" spans="1:16" x14ac:dyDescent="0.25">
      <c r="A6778" t="s">
        <v>2418</v>
      </c>
      <c r="B6778">
        <v>31</v>
      </c>
      <c r="C6778" t="s">
        <v>9449</v>
      </c>
      <c r="D6778" t="s">
        <v>247</v>
      </c>
      <c r="E6778" s="13">
        <v>100</v>
      </c>
      <c r="F6778" s="12">
        <v>138.44999999999999</v>
      </c>
      <c r="G6778" t="str">
        <f>IFERROR(INDEX(tEditais[Órgão],MATCH(tItens[[#This Row],[Edital]],tEditais[Edital],0)),"")</f>
        <v>MUNICIPIO DE ALEXANDRIA</v>
      </c>
      <c r="H6778" t="str">
        <f>IFERROR(INDEX(tEditais[UF],MATCH(tItens[[#This Row],[Edital]],tEditais[Edital],0)),"")</f>
        <v>RN</v>
      </c>
      <c r="I6778" s="11">
        <f>IFERROR(INDEX(tEditais[Encerramento],MATCH(tItens[[#This Row],[Edital]],tEditais[Edital],0)),"")</f>
        <v>46314.415972222225</v>
      </c>
      <c r="J6778" t="str">
        <f>IFERROR(INDEX(tProdutos[Classe],MATCH(tItens[[#This Row],[Produto]],tProdutos[Produto],0)),"produto não cadastrado")</f>
        <v>FORA</v>
      </c>
      <c r="K6778" s="12">
        <f>tItens[[#This Row],[Qtd]]*tItens[[#This Row],[Vlr unit]]</f>
        <v>13844.999999999998</v>
      </c>
      <c r="L6778" s="6">
        <f>IFERROR(IF(INDEX(tProdutos[Desconto homologado],MATCH(tItens[[#This Row],[Produto]],tProdutos[Produto],0))="",DescontoPadrao,INDEX(tProdutos[Desconto homologado],MATCH(tItens[[#This Row],[Produto]],tProdutos[Produto],0))),DescontoPadrao)</f>
        <v>0.27353256199762999</v>
      </c>
      <c r="M6778" s="12">
        <f>tItens[[#This Row],[Valor]]*(1-tItens[[#This Row],[Desconto]])</f>
        <v>10057.941679142812</v>
      </c>
      <c r="N6778" t="str">
        <f>IFERROR(INDEX(tProdutos[Foco],MATCH(tItens[[#This Row],[Produto]],tProdutos[Produto],0)),"Não")</f>
        <v>Não</v>
      </c>
      <c r="O6778" t="str">
        <f>IFERROR(INDEX(tEditais[SRP],MATCH(tItens[[#This Row],[Edital]],tEditais[Edital],0)),"Não")</f>
        <v>Não</v>
      </c>
      <c r="P6778" s="4">
        <f>IF(COUNTIFS(INDEX(tItens[Edital],1):tItens[[#This Row],[Edital]],tItens[[#This Row],[Edital]],INDEX(tItens[Produto],1):tItens[[#This Row],[Produto]],tItens[[#This Row],[Produto]])=1,1,0)</f>
        <v>1</v>
      </c>
    </row>
    <row r="6779" spans="1:16" x14ac:dyDescent="0.25">
      <c r="A6779" t="s">
        <v>2418</v>
      </c>
      <c r="B6779">
        <v>32</v>
      </c>
      <c r="C6779" t="s">
        <v>9450</v>
      </c>
      <c r="D6779" t="s">
        <v>287</v>
      </c>
      <c r="E6779" s="13">
        <v>50</v>
      </c>
      <c r="F6779" s="12">
        <v>100.04</v>
      </c>
      <c r="G6779" t="str">
        <f>IFERROR(INDEX(tEditais[Órgão],MATCH(tItens[[#This Row],[Edital]],tEditais[Edital],0)),"")</f>
        <v>MUNICIPIO DE ALEXANDRIA</v>
      </c>
      <c r="H6779" t="str">
        <f>IFERROR(INDEX(tEditais[UF],MATCH(tItens[[#This Row],[Edital]],tEditais[Edital],0)),"")</f>
        <v>RN</v>
      </c>
      <c r="I6779" s="11">
        <f>IFERROR(INDEX(tEditais[Encerramento],MATCH(tItens[[#This Row],[Edital]],tEditais[Edital],0)),"")</f>
        <v>46314.415972222225</v>
      </c>
      <c r="J6779" t="str">
        <f>IFERROR(INDEX(tProdutos[Classe],MATCH(tItens[[#This Row],[Produto]],tProdutos[Produto],0)),"produto não cadastrado")</f>
        <v>FORA</v>
      </c>
      <c r="K6779" s="12">
        <f>tItens[[#This Row],[Qtd]]*tItens[[#This Row],[Vlr unit]]</f>
        <v>5002</v>
      </c>
      <c r="L6779" s="6">
        <f>IFERROR(IF(INDEX(tProdutos[Desconto homologado],MATCH(tItens[[#This Row],[Produto]],tProdutos[Produto],0))="",DescontoPadrao,INDEX(tProdutos[Desconto homologado],MATCH(tItens[[#This Row],[Produto]],tProdutos[Produto],0))),DescontoPadrao)</f>
        <v>0.46344491178876002</v>
      </c>
      <c r="M6779" s="12">
        <f>tItens[[#This Row],[Valor]]*(1-tItens[[#This Row],[Desconto]])</f>
        <v>2683.8485512326224</v>
      </c>
      <c r="N6779" t="str">
        <f>IFERROR(INDEX(tProdutos[Foco],MATCH(tItens[[#This Row],[Produto]],tProdutos[Produto],0)),"Não")</f>
        <v>Não</v>
      </c>
      <c r="O6779" t="str">
        <f>IFERROR(INDEX(tEditais[SRP],MATCH(tItens[[#This Row],[Edital]],tEditais[Edital],0)),"Não")</f>
        <v>Não</v>
      </c>
      <c r="P6779" s="4">
        <f>IF(COUNTIFS(INDEX(tItens[Edital],1):tItens[[#This Row],[Edital]],tItens[[#This Row],[Edital]],INDEX(tItens[Produto],1):tItens[[#This Row],[Produto]],tItens[[#This Row],[Produto]])=1,1,0)</f>
        <v>1</v>
      </c>
    </row>
    <row r="6780" spans="1:16" x14ac:dyDescent="0.25">
      <c r="A6780" t="s">
        <v>2418</v>
      </c>
      <c r="B6780">
        <v>37</v>
      </c>
      <c r="C6780" t="s">
        <v>9451</v>
      </c>
      <c r="D6780" t="s">
        <v>279</v>
      </c>
      <c r="E6780" s="13">
        <v>150</v>
      </c>
      <c r="F6780" s="12">
        <v>36.99</v>
      </c>
      <c r="G6780" t="str">
        <f>IFERROR(INDEX(tEditais[Órgão],MATCH(tItens[[#This Row],[Edital]],tEditais[Edital],0)),"")</f>
        <v>MUNICIPIO DE ALEXANDRIA</v>
      </c>
      <c r="H6780" t="str">
        <f>IFERROR(INDEX(tEditais[UF],MATCH(tItens[[#This Row],[Edital]],tEditais[Edital],0)),"")</f>
        <v>RN</v>
      </c>
      <c r="I6780" s="11">
        <f>IFERROR(INDEX(tEditais[Encerramento],MATCH(tItens[[#This Row],[Edital]],tEditais[Edital],0)),"")</f>
        <v>46314.415972222225</v>
      </c>
      <c r="J6780" t="str">
        <f>IFERROR(INDEX(tProdutos[Classe],MATCH(tItens[[#This Row],[Produto]],tProdutos[Produto],0)),"produto não cadastrado")</f>
        <v>FORA</v>
      </c>
      <c r="K6780" s="12">
        <f>tItens[[#This Row],[Qtd]]*tItens[[#This Row],[Vlr unit]]</f>
        <v>5548.5</v>
      </c>
      <c r="L6780" s="6">
        <f>IFERROR(IF(INDEX(tProdutos[Desconto homologado],MATCH(tItens[[#This Row],[Produto]],tProdutos[Produto],0))="",DescontoPadrao,INDEX(tProdutos[Desconto homologado],MATCH(tItens[[#This Row],[Produto]],tProdutos[Produto],0))),DescontoPadrao)</f>
        <v>0.28909090909090901</v>
      </c>
      <c r="M6780" s="12">
        <f>tItens[[#This Row],[Valor]]*(1-tItens[[#This Row],[Desconto]])</f>
        <v>3944.4790909090912</v>
      </c>
      <c r="N6780" t="str">
        <f>IFERROR(INDEX(tProdutos[Foco],MATCH(tItens[[#This Row],[Produto]],tProdutos[Produto],0)),"Não")</f>
        <v>Não</v>
      </c>
      <c r="O6780" t="str">
        <f>IFERROR(INDEX(tEditais[SRP],MATCH(tItens[[#This Row],[Edital]],tEditais[Edital],0)),"Não")</f>
        <v>Não</v>
      </c>
      <c r="P6780" s="4">
        <f>IF(COUNTIFS(INDEX(tItens[Edital],1):tItens[[#This Row],[Edital]],tItens[[#This Row],[Edital]],INDEX(tItens[Produto],1):tItens[[#This Row],[Produto]],tItens[[#This Row],[Produto]])=1,1,0)</f>
        <v>1</v>
      </c>
    </row>
    <row r="6781" spans="1:16" x14ac:dyDescent="0.25">
      <c r="A6781" t="s">
        <v>2418</v>
      </c>
      <c r="B6781">
        <v>40</v>
      </c>
      <c r="C6781" t="s">
        <v>9452</v>
      </c>
      <c r="D6781" t="s">
        <v>383</v>
      </c>
      <c r="E6781" s="13">
        <v>3000</v>
      </c>
      <c r="F6781" s="12">
        <v>3.37</v>
      </c>
      <c r="G6781" t="str">
        <f>IFERROR(INDEX(tEditais[Órgão],MATCH(tItens[[#This Row],[Edital]],tEditais[Edital],0)),"")</f>
        <v>MUNICIPIO DE ALEXANDRIA</v>
      </c>
      <c r="H6781" t="str">
        <f>IFERROR(INDEX(tEditais[UF],MATCH(tItens[[#This Row],[Edital]],tEditais[Edital],0)),"")</f>
        <v>RN</v>
      </c>
      <c r="I6781" s="11">
        <f>IFERROR(INDEX(tEditais[Encerramento],MATCH(tItens[[#This Row],[Edital]],tEditais[Edital],0)),"")</f>
        <v>46314.415972222225</v>
      </c>
      <c r="J6781" t="str">
        <f>IFERROR(INDEX(tProdutos[Classe],MATCH(tItens[[#This Row],[Produto]],tProdutos[Produto],0)),"produto não cadastrado")</f>
        <v>FORA</v>
      </c>
      <c r="K6781" s="12">
        <f>tItens[[#This Row],[Qtd]]*tItens[[#This Row],[Vlr unit]]</f>
        <v>10110</v>
      </c>
      <c r="L6781" s="6">
        <f>IFERROR(IF(INDEX(tProdutos[Desconto homologado],MATCH(tItens[[#This Row],[Produto]],tProdutos[Produto],0))="",DescontoPadrao,INDEX(tProdutos[Desconto homologado],MATCH(tItens[[#This Row],[Produto]],tProdutos[Produto],0))),DescontoPadrao)</f>
        <v>0.48749999999999999</v>
      </c>
      <c r="M6781" s="12">
        <f>tItens[[#This Row],[Valor]]*(1-tItens[[#This Row],[Desconto]])</f>
        <v>5181.375</v>
      </c>
      <c r="N6781" t="str">
        <f>IFERROR(INDEX(tProdutos[Foco],MATCH(tItens[[#This Row],[Produto]],tProdutos[Produto],0)),"Não")</f>
        <v>Não</v>
      </c>
      <c r="O6781" t="str">
        <f>IFERROR(INDEX(tEditais[SRP],MATCH(tItens[[#This Row],[Edital]],tEditais[Edital],0)),"Não")</f>
        <v>Não</v>
      </c>
      <c r="P6781" s="4">
        <f>IF(COUNTIFS(INDEX(tItens[Edital],1):tItens[[#This Row],[Edital]],tItens[[#This Row],[Edital]],INDEX(tItens[Produto],1):tItens[[#This Row],[Produto]],tItens[[#This Row],[Produto]])=1,1,0)</f>
        <v>1</v>
      </c>
    </row>
    <row r="6782" spans="1:16" x14ac:dyDescent="0.25">
      <c r="A6782" t="s">
        <v>2418</v>
      </c>
      <c r="B6782">
        <v>42</v>
      </c>
      <c r="C6782" t="s">
        <v>4398</v>
      </c>
      <c r="D6782" t="s">
        <v>333</v>
      </c>
      <c r="E6782" s="13">
        <v>5000</v>
      </c>
      <c r="F6782" s="12">
        <v>1.52</v>
      </c>
      <c r="G6782" t="str">
        <f>IFERROR(INDEX(tEditais[Órgão],MATCH(tItens[[#This Row],[Edital]],tEditais[Edital],0)),"")</f>
        <v>MUNICIPIO DE ALEXANDRIA</v>
      </c>
      <c r="H6782" t="str">
        <f>IFERROR(INDEX(tEditais[UF],MATCH(tItens[[#This Row],[Edital]],tEditais[Edital],0)),"")</f>
        <v>RN</v>
      </c>
      <c r="I6782" s="11">
        <f>IFERROR(INDEX(tEditais[Encerramento],MATCH(tItens[[#This Row],[Edital]],tEditais[Edital],0)),"")</f>
        <v>46314.415972222225</v>
      </c>
      <c r="J6782" t="str">
        <f>IFERROR(INDEX(tProdutos[Classe],MATCH(tItens[[#This Row],[Produto]],tProdutos[Produto],0)),"produto não cadastrado")</f>
        <v>FORA</v>
      </c>
      <c r="K6782" s="12">
        <f>tItens[[#This Row],[Qtd]]*tItens[[#This Row],[Vlr unit]]</f>
        <v>7600</v>
      </c>
      <c r="L6782" s="6">
        <f>IFERROR(IF(INDEX(tProdutos[Desconto homologado],MATCH(tItens[[#This Row],[Produto]],tProdutos[Produto],0))="",DescontoPadrao,INDEX(tProdutos[Desconto homologado],MATCH(tItens[[#This Row],[Produto]],tProdutos[Produto],0))),DescontoPadrao)</f>
        <v>0.48951048951048998</v>
      </c>
      <c r="M6782" s="12">
        <f>tItens[[#This Row],[Valor]]*(1-tItens[[#This Row],[Desconto]])</f>
        <v>3879.7202797202758</v>
      </c>
      <c r="N6782" t="str">
        <f>IFERROR(INDEX(tProdutos[Foco],MATCH(tItens[[#This Row],[Produto]],tProdutos[Produto],0)),"Não")</f>
        <v>Não</v>
      </c>
      <c r="O6782" t="str">
        <f>IFERROR(INDEX(tEditais[SRP],MATCH(tItens[[#This Row],[Edital]],tEditais[Edital],0)),"Não")</f>
        <v>Não</v>
      </c>
      <c r="P6782" s="4">
        <f>IF(COUNTIFS(INDEX(tItens[Edital],1):tItens[[#This Row],[Edital]],tItens[[#This Row],[Edital]],INDEX(tItens[Produto],1):tItens[[#This Row],[Produto]],tItens[[#This Row],[Produto]])=1,1,0)</f>
        <v>1</v>
      </c>
    </row>
    <row r="6783" spans="1:16" x14ac:dyDescent="0.25">
      <c r="A6783" t="s">
        <v>2418</v>
      </c>
      <c r="B6783">
        <v>43</v>
      </c>
      <c r="C6783" t="s">
        <v>4400</v>
      </c>
      <c r="D6783" t="s">
        <v>187</v>
      </c>
      <c r="E6783" s="13">
        <v>2000</v>
      </c>
      <c r="F6783" s="12">
        <v>1.39</v>
      </c>
      <c r="G6783" t="str">
        <f>IFERROR(INDEX(tEditais[Órgão],MATCH(tItens[[#This Row],[Edital]],tEditais[Edital],0)),"")</f>
        <v>MUNICIPIO DE ALEXANDRIA</v>
      </c>
      <c r="H6783" t="str">
        <f>IFERROR(INDEX(tEditais[UF],MATCH(tItens[[#This Row],[Edital]],tEditais[Edital],0)),"")</f>
        <v>RN</v>
      </c>
      <c r="I6783" s="11">
        <f>IFERROR(INDEX(tEditais[Encerramento],MATCH(tItens[[#This Row],[Edital]],tEditais[Edital],0)),"")</f>
        <v>46314.415972222225</v>
      </c>
      <c r="J6783" t="str">
        <f>IFERROR(INDEX(tProdutos[Classe],MATCH(tItens[[#This Row],[Produto]],tProdutos[Produto],0)),"produto não cadastrado")</f>
        <v>DISPUTADO</v>
      </c>
      <c r="K6783" s="12">
        <f>tItens[[#This Row],[Qtd]]*tItens[[#This Row],[Vlr unit]]</f>
        <v>2780</v>
      </c>
      <c r="L6783" s="6">
        <f>IFERROR(IF(INDEX(tProdutos[Desconto homologado],MATCH(tItens[[#This Row],[Produto]],tProdutos[Produto],0))="",DescontoPadrao,INDEX(tProdutos[Desconto homologado],MATCH(tItens[[#This Row],[Produto]],tProdutos[Produto],0))),DescontoPadrao)</f>
        <v>0.44298820445609399</v>
      </c>
      <c r="M6783" s="12">
        <f>tItens[[#This Row],[Valor]]*(1-tItens[[#This Row],[Desconto]])</f>
        <v>1548.4927916120587</v>
      </c>
      <c r="N6783" t="str">
        <f>IFERROR(INDEX(tProdutos[Foco],MATCH(tItens[[#This Row],[Produto]],tProdutos[Produto],0)),"Não")</f>
        <v>Não</v>
      </c>
      <c r="O6783" t="str">
        <f>IFERROR(INDEX(tEditais[SRP],MATCH(tItens[[#This Row],[Edital]],tEditais[Edital],0)),"Não")</f>
        <v>Não</v>
      </c>
      <c r="P6783" s="4">
        <f>IF(COUNTIFS(INDEX(tItens[Edital],1):tItens[[#This Row],[Edital]],tItens[[#This Row],[Edital]],INDEX(tItens[Produto],1):tItens[[#This Row],[Produto]],tItens[[#This Row],[Produto]])=1,1,0)</f>
        <v>1</v>
      </c>
    </row>
    <row r="6784" spans="1:16" x14ac:dyDescent="0.25">
      <c r="A6784" t="s">
        <v>2418</v>
      </c>
      <c r="B6784">
        <v>46</v>
      </c>
      <c r="C6784" t="s">
        <v>9453</v>
      </c>
      <c r="D6784" t="s">
        <v>60</v>
      </c>
      <c r="E6784" s="13">
        <v>200</v>
      </c>
      <c r="F6784" s="12">
        <v>41.61</v>
      </c>
      <c r="G6784" t="str">
        <f>IFERROR(INDEX(tEditais[Órgão],MATCH(tItens[[#This Row],[Edital]],tEditais[Edital],0)),"")</f>
        <v>MUNICIPIO DE ALEXANDRIA</v>
      </c>
      <c r="H6784" t="str">
        <f>IFERROR(INDEX(tEditais[UF],MATCH(tItens[[#This Row],[Edital]],tEditais[Edital],0)),"")</f>
        <v>RN</v>
      </c>
      <c r="I6784" s="11">
        <f>IFERROR(INDEX(tEditais[Encerramento],MATCH(tItens[[#This Row],[Edital]],tEditais[Edital],0)),"")</f>
        <v>46314.415972222225</v>
      </c>
      <c r="J6784" t="str">
        <f>IFERROR(INDEX(tProdutos[Classe],MATCH(tItens[[#This Row],[Produto]],tProdutos[Produto],0)),"produto não cadastrado")</f>
        <v>NÚCLEO</v>
      </c>
      <c r="K6784" s="12">
        <f>tItens[[#This Row],[Qtd]]*tItens[[#This Row],[Vlr unit]]</f>
        <v>8322</v>
      </c>
      <c r="L6784" s="6">
        <f>IFERROR(IF(INDEX(tProdutos[Desconto homologado],MATCH(tItens[[#This Row],[Produto]],tProdutos[Produto],0))="",DescontoPadrao,INDEX(tProdutos[Desconto homologado],MATCH(tItens[[#This Row],[Produto]],tProdutos[Produto],0))),DescontoPadrao)</f>
        <v>0.23</v>
      </c>
      <c r="M6784" s="12">
        <f>tItens[[#This Row],[Valor]]*(1-tItens[[#This Row],[Desconto]])</f>
        <v>6407.9400000000005</v>
      </c>
      <c r="N6784" t="str">
        <f>IFERROR(INDEX(tProdutos[Foco],MATCH(tItens[[#This Row],[Produto]],tProdutos[Produto],0)),"Não")</f>
        <v>Sim</v>
      </c>
      <c r="O6784" t="str">
        <f>IFERROR(INDEX(tEditais[SRP],MATCH(tItens[[#This Row],[Edital]],tEditais[Edital],0)),"Não")</f>
        <v>Não</v>
      </c>
      <c r="P6784" s="4">
        <f>IF(COUNTIFS(INDEX(tItens[Edital],1):tItens[[#This Row],[Edital]],tItens[[#This Row],[Edital]],INDEX(tItens[Produto],1):tItens[[#This Row],[Produto]],tItens[[#This Row],[Produto]])=1,1,0)</f>
        <v>1</v>
      </c>
    </row>
    <row r="6785" spans="1:16" x14ac:dyDescent="0.25">
      <c r="A6785" t="s">
        <v>2418</v>
      </c>
      <c r="B6785">
        <v>47</v>
      </c>
      <c r="C6785" t="s">
        <v>9454</v>
      </c>
      <c r="D6785" t="s">
        <v>638</v>
      </c>
      <c r="E6785" s="13">
        <v>200</v>
      </c>
      <c r="F6785" s="12">
        <v>42.03</v>
      </c>
      <c r="G6785" t="str">
        <f>IFERROR(INDEX(tEditais[Órgão],MATCH(tItens[[#This Row],[Edital]],tEditais[Edital],0)),"")</f>
        <v>MUNICIPIO DE ALEXANDRIA</v>
      </c>
      <c r="H6785" t="str">
        <f>IFERROR(INDEX(tEditais[UF],MATCH(tItens[[#This Row],[Edital]],tEditais[Edital],0)),"")</f>
        <v>RN</v>
      </c>
      <c r="I6785" s="11">
        <f>IFERROR(INDEX(tEditais[Encerramento],MATCH(tItens[[#This Row],[Edital]],tEditais[Edital],0)),"")</f>
        <v>46314.415972222225</v>
      </c>
      <c r="J6785" t="str">
        <f>IFERROR(INDEX(tProdutos[Classe],MATCH(tItens[[#This Row],[Produto]],tProdutos[Produto],0)),"produto não cadastrado")</f>
        <v>FILA REBASE</v>
      </c>
      <c r="K6785" s="12">
        <f>tItens[[#This Row],[Qtd]]*tItens[[#This Row],[Vlr unit]]</f>
        <v>8406</v>
      </c>
      <c r="L6785" s="6">
        <f>IFERROR(IF(INDEX(tProdutos[Desconto homologado],MATCH(tItens[[#This Row],[Produto]],tProdutos[Produto],0))="",DescontoPadrao,INDEX(tProdutos[Desconto homologado],MATCH(tItens[[#This Row],[Produto]],tProdutos[Produto],0))),DescontoPadrao)</f>
        <v>0.487179487179487</v>
      </c>
      <c r="M6785" s="12">
        <f>tItens[[#This Row],[Valor]]*(1-tItens[[#This Row],[Desconto]])</f>
        <v>4310.7692307692323</v>
      </c>
      <c r="N6785" t="str">
        <f>IFERROR(INDEX(tProdutos[Foco],MATCH(tItens[[#This Row],[Produto]],tProdutos[Produto],0)),"Não")</f>
        <v>Não</v>
      </c>
      <c r="O6785" t="str">
        <f>IFERROR(INDEX(tEditais[SRP],MATCH(tItens[[#This Row],[Edital]],tEditais[Edital],0)),"Não")</f>
        <v>Não</v>
      </c>
      <c r="P6785" s="4">
        <f>IF(COUNTIFS(INDEX(tItens[Edital],1):tItens[[#This Row],[Edital]],tItens[[#This Row],[Edital]],INDEX(tItens[Produto],1):tItens[[#This Row],[Produto]],tItens[[#This Row],[Produto]])=1,1,0)</f>
        <v>1</v>
      </c>
    </row>
    <row r="6786" spans="1:16" x14ac:dyDescent="0.25">
      <c r="A6786" t="s">
        <v>2418</v>
      </c>
      <c r="B6786">
        <v>48</v>
      </c>
      <c r="C6786" t="s">
        <v>9455</v>
      </c>
      <c r="D6786" t="s">
        <v>90</v>
      </c>
      <c r="E6786" s="13">
        <v>500</v>
      </c>
      <c r="F6786" s="12">
        <v>18.48</v>
      </c>
      <c r="G6786" t="str">
        <f>IFERROR(INDEX(tEditais[Órgão],MATCH(tItens[[#This Row],[Edital]],tEditais[Edital],0)),"")</f>
        <v>MUNICIPIO DE ALEXANDRIA</v>
      </c>
      <c r="H6786" t="str">
        <f>IFERROR(INDEX(tEditais[UF],MATCH(tItens[[#This Row],[Edital]],tEditais[Edital],0)),"")</f>
        <v>RN</v>
      </c>
      <c r="I6786" s="11">
        <f>IFERROR(INDEX(tEditais[Encerramento],MATCH(tItens[[#This Row],[Edital]],tEditais[Edital],0)),"")</f>
        <v>46314.415972222225</v>
      </c>
      <c r="J6786" t="str">
        <f>IFERROR(INDEX(tProdutos[Classe],MATCH(tItens[[#This Row],[Produto]],tProdutos[Produto],0)),"produto não cadastrado")</f>
        <v>DISPUTADO</v>
      </c>
      <c r="K6786" s="12">
        <f>tItens[[#This Row],[Qtd]]*tItens[[#This Row],[Vlr unit]]</f>
        <v>9240</v>
      </c>
      <c r="L6786" s="6">
        <f>IFERROR(IF(INDEX(tProdutos[Desconto homologado],MATCH(tItens[[#This Row],[Produto]],tProdutos[Produto],0))="",DescontoPadrao,INDEX(tProdutos[Desconto homologado],MATCH(tItens[[#This Row],[Produto]],tProdutos[Produto],0))),DescontoPadrao)</f>
        <v>0.25393823957010597</v>
      </c>
      <c r="M6786" s="12">
        <f>tItens[[#This Row],[Valor]]*(1-tItens[[#This Row],[Desconto]])</f>
        <v>6893.6106663722212</v>
      </c>
      <c r="N6786" t="str">
        <f>IFERROR(INDEX(tProdutos[Foco],MATCH(tItens[[#This Row],[Produto]],tProdutos[Produto],0)),"Não")</f>
        <v>Não</v>
      </c>
      <c r="O6786" t="str">
        <f>IFERROR(INDEX(tEditais[SRP],MATCH(tItens[[#This Row],[Edital]],tEditais[Edital],0)),"Não")</f>
        <v>Não</v>
      </c>
      <c r="P6786" s="4">
        <f>IF(COUNTIFS(INDEX(tItens[Edital],1):tItens[[#This Row],[Edital]],tItens[[#This Row],[Edital]],INDEX(tItens[Produto],1):tItens[[#This Row],[Produto]],tItens[[#This Row],[Produto]])=1,1,0)</f>
        <v>1</v>
      </c>
    </row>
    <row r="6787" spans="1:16" x14ac:dyDescent="0.25">
      <c r="A6787" t="s">
        <v>2418</v>
      </c>
      <c r="B6787">
        <v>49</v>
      </c>
      <c r="C6787" t="s">
        <v>9456</v>
      </c>
      <c r="D6787" t="s">
        <v>90</v>
      </c>
      <c r="E6787" s="13">
        <v>400</v>
      </c>
      <c r="F6787" s="12">
        <v>5.34</v>
      </c>
      <c r="G6787" t="str">
        <f>IFERROR(INDEX(tEditais[Órgão],MATCH(tItens[[#This Row],[Edital]],tEditais[Edital],0)),"")</f>
        <v>MUNICIPIO DE ALEXANDRIA</v>
      </c>
      <c r="H6787" t="str">
        <f>IFERROR(INDEX(tEditais[UF],MATCH(tItens[[#This Row],[Edital]],tEditais[Edital],0)),"")</f>
        <v>RN</v>
      </c>
      <c r="I6787" s="11">
        <f>IFERROR(INDEX(tEditais[Encerramento],MATCH(tItens[[#This Row],[Edital]],tEditais[Edital],0)),"")</f>
        <v>46314.415972222225</v>
      </c>
      <c r="J6787" t="str">
        <f>IFERROR(INDEX(tProdutos[Classe],MATCH(tItens[[#This Row],[Produto]],tProdutos[Produto],0)),"produto não cadastrado")</f>
        <v>DISPUTADO</v>
      </c>
      <c r="K6787" s="12">
        <f>tItens[[#This Row],[Qtd]]*tItens[[#This Row],[Vlr unit]]</f>
        <v>2136</v>
      </c>
      <c r="L6787" s="6">
        <f>IFERROR(IF(INDEX(tProdutos[Desconto homologado],MATCH(tItens[[#This Row],[Produto]],tProdutos[Produto],0))="",DescontoPadrao,INDEX(tProdutos[Desconto homologado],MATCH(tItens[[#This Row],[Produto]],tProdutos[Produto],0))),DescontoPadrao)</f>
        <v>0.25393823957010597</v>
      </c>
      <c r="M6787" s="12">
        <f>tItens[[#This Row],[Valor]]*(1-tItens[[#This Row],[Desconto]])</f>
        <v>1593.5879202782537</v>
      </c>
      <c r="N6787" t="str">
        <f>IFERROR(INDEX(tProdutos[Foco],MATCH(tItens[[#This Row],[Produto]],tProdutos[Produto],0)),"Não")</f>
        <v>Não</v>
      </c>
      <c r="O6787" t="str">
        <f>IFERROR(INDEX(tEditais[SRP],MATCH(tItens[[#This Row],[Edital]],tEditais[Edital],0)),"Não")</f>
        <v>Não</v>
      </c>
      <c r="P6787" s="4">
        <f>IF(COUNTIFS(INDEX(tItens[Edital],1):tItens[[#This Row],[Edital]],tItens[[#This Row],[Edital]],INDEX(tItens[Produto],1):tItens[[#This Row],[Produto]],tItens[[#This Row],[Produto]])=1,1,0)</f>
        <v>0</v>
      </c>
    </row>
    <row r="6788" spans="1:16" x14ac:dyDescent="0.25">
      <c r="A6788" t="s">
        <v>2418</v>
      </c>
      <c r="B6788">
        <v>50</v>
      </c>
      <c r="C6788" t="s">
        <v>9457</v>
      </c>
      <c r="D6788" t="s">
        <v>233</v>
      </c>
      <c r="E6788" s="13">
        <v>120</v>
      </c>
      <c r="F6788" s="12">
        <v>15.29</v>
      </c>
      <c r="G6788" t="str">
        <f>IFERROR(INDEX(tEditais[Órgão],MATCH(tItens[[#This Row],[Edital]],tEditais[Edital],0)),"")</f>
        <v>MUNICIPIO DE ALEXANDRIA</v>
      </c>
      <c r="H6788" t="str">
        <f>IFERROR(INDEX(tEditais[UF],MATCH(tItens[[#This Row],[Edital]],tEditais[Edital],0)),"")</f>
        <v>RN</v>
      </c>
      <c r="I6788" s="11">
        <f>IFERROR(INDEX(tEditais[Encerramento],MATCH(tItens[[#This Row],[Edital]],tEditais[Edital],0)),"")</f>
        <v>46314.415972222225</v>
      </c>
      <c r="J6788" t="str">
        <f>IFERROR(INDEX(tProdutos[Classe],MATCH(tItens[[#This Row],[Produto]],tProdutos[Produto],0)),"produto não cadastrado")</f>
        <v>FORA</v>
      </c>
      <c r="K6788" s="12">
        <f>tItens[[#This Row],[Qtd]]*tItens[[#This Row],[Vlr unit]]</f>
        <v>1834.8</v>
      </c>
      <c r="L6788" s="6">
        <f>IFERROR(IF(INDEX(tProdutos[Desconto homologado],MATCH(tItens[[#This Row],[Produto]],tProdutos[Produto],0))="",DescontoPadrao,INDEX(tProdutos[Desconto homologado],MATCH(tItens[[#This Row],[Produto]],tProdutos[Produto],0))),DescontoPadrao)</f>
        <v>0.246270084162204</v>
      </c>
      <c r="M6788" s="12">
        <f>tItens[[#This Row],[Valor]]*(1-tItens[[#This Row],[Desconto]])</f>
        <v>1382.9436495791881</v>
      </c>
      <c r="N6788" t="str">
        <f>IFERROR(INDEX(tProdutos[Foco],MATCH(tItens[[#This Row],[Produto]],tProdutos[Produto],0)),"Não")</f>
        <v>Não</v>
      </c>
      <c r="O6788" t="str">
        <f>IFERROR(INDEX(tEditais[SRP],MATCH(tItens[[#This Row],[Edital]],tEditais[Edital],0)),"Não")</f>
        <v>Não</v>
      </c>
      <c r="P6788" s="4">
        <f>IF(COUNTIFS(INDEX(tItens[Edital],1):tItens[[#This Row],[Edital]],tItens[[#This Row],[Edital]],INDEX(tItens[Produto],1):tItens[[#This Row],[Produto]],tItens[[#This Row],[Produto]])=1,1,0)</f>
        <v>1</v>
      </c>
    </row>
    <row r="6789" spans="1:16" x14ac:dyDescent="0.25">
      <c r="A6789" t="s">
        <v>2418</v>
      </c>
      <c r="B6789">
        <v>51</v>
      </c>
      <c r="C6789" t="s">
        <v>9458</v>
      </c>
      <c r="D6789" t="s">
        <v>75</v>
      </c>
      <c r="E6789" s="13">
        <v>5000</v>
      </c>
      <c r="F6789" s="12">
        <v>3.05</v>
      </c>
      <c r="G6789" t="str">
        <f>IFERROR(INDEX(tEditais[Órgão],MATCH(tItens[[#This Row],[Edital]],tEditais[Edital],0)),"")</f>
        <v>MUNICIPIO DE ALEXANDRIA</v>
      </c>
      <c r="H6789" t="str">
        <f>IFERROR(INDEX(tEditais[UF],MATCH(tItens[[#This Row],[Edital]],tEditais[Edital],0)),"")</f>
        <v>RN</v>
      </c>
      <c r="I6789" s="11">
        <f>IFERROR(INDEX(tEditais[Encerramento],MATCH(tItens[[#This Row],[Edital]],tEditais[Edital],0)),"")</f>
        <v>46314.415972222225</v>
      </c>
      <c r="J6789" t="str">
        <f>IFERROR(INDEX(tProdutos[Classe],MATCH(tItens[[#This Row],[Produto]],tProdutos[Produto],0)),"produto não cadastrado")</f>
        <v>NÚCLEO</v>
      </c>
      <c r="K6789" s="12">
        <f>tItens[[#This Row],[Qtd]]*tItens[[#This Row],[Vlr unit]]</f>
        <v>15250</v>
      </c>
      <c r="L6789" s="6">
        <f>IFERROR(IF(INDEX(tProdutos[Desconto homologado],MATCH(tItens[[#This Row],[Produto]],tProdutos[Produto],0))="",DescontoPadrao,INDEX(tProdutos[Desconto homologado],MATCH(tItens[[#This Row],[Produto]],tProdutos[Produto],0))),DescontoPadrao)</f>
        <v>0.26</v>
      </c>
      <c r="M6789" s="12">
        <f>tItens[[#This Row],[Valor]]*(1-tItens[[#This Row],[Desconto]])</f>
        <v>11285</v>
      </c>
      <c r="N6789" t="str">
        <f>IFERROR(INDEX(tProdutos[Foco],MATCH(tItens[[#This Row],[Produto]],tProdutos[Produto],0)),"Não")</f>
        <v>Sim</v>
      </c>
      <c r="O6789" t="str">
        <f>IFERROR(INDEX(tEditais[SRP],MATCH(tItens[[#This Row],[Edital]],tEditais[Edital],0)),"Não")</f>
        <v>Não</v>
      </c>
      <c r="P6789" s="4">
        <f>IF(COUNTIFS(INDEX(tItens[Edital],1):tItens[[#This Row],[Edital]],tItens[[#This Row],[Edital]],INDEX(tItens[Produto],1):tItens[[#This Row],[Produto]],tItens[[#This Row],[Produto]])=1,1,0)</f>
        <v>1</v>
      </c>
    </row>
    <row r="6790" spans="1:16" x14ac:dyDescent="0.25">
      <c r="A6790" t="s">
        <v>2418</v>
      </c>
      <c r="B6790">
        <v>52</v>
      </c>
      <c r="C6790" t="s">
        <v>4669</v>
      </c>
      <c r="D6790" t="s">
        <v>75</v>
      </c>
      <c r="E6790" s="13">
        <v>6000</v>
      </c>
      <c r="F6790" s="12">
        <v>1.96</v>
      </c>
      <c r="G6790" t="str">
        <f>IFERROR(INDEX(tEditais[Órgão],MATCH(tItens[[#This Row],[Edital]],tEditais[Edital],0)),"")</f>
        <v>MUNICIPIO DE ALEXANDRIA</v>
      </c>
      <c r="H6790" t="str">
        <f>IFERROR(INDEX(tEditais[UF],MATCH(tItens[[#This Row],[Edital]],tEditais[Edital],0)),"")</f>
        <v>RN</v>
      </c>
      <c r="I6790" s="11">
        <f>IFERROR(INDEX(tEditais[Encerramento],MATCH(tItens[[#This Row],[Edital]],tEditais[Edital],0)),"")</f>
        <v>46314.415972222225</v>
      </c>
      <c r="J6790" t="str">
        <f>IFERROR(INDEX(tProdutos[Classe],MATCH(tItens[[#This Row],[Produto]],tProdutos[Produto],0)),"produto não cadastrado")</f>
        <v>NÚCLEO</v>
      </c>
      <c r="K6790" s="12">
        <f>tItens[[#This Row],[Qtd]]*tItens[[#This Row],[Vlr unit]]</f>
        <v>11760</v>
      </c>
      <c r="L6790" s="6">
        <f>IFERROR(IF(INDEX(tProdutos[Desconto homologado],MATCH(tItens[[#This Row],[Produto]],tProdutos[Produto],0))="",DescontoPadrao,INDEX(tProdutos[Desconto homologado],MATCH(tItens[[#This Row],[Produto]],tProdutos[Produto],0))),DescontoPadrao)</f>
        <v>0.26</v>
      </c>
      <c r="M6790" s="12">
        <f>tItens[[#This Row],[Valor]]*(1-tItens[[#This Row],[Desconto]])</f>
        <v>8702.4</v>
      </c>
      <c r="N6790" t="str">
        <f>IFERROR(INDEX(tProdutos[Foco],MATCH(tItens[[#This Row],[Produto]],tProdutos[Produto],0)),"Não")</f>
        <v>Sim</v>
      </c>
      <c r="O6790" t="str">
        <f>IFERROR(INDEX(tEditais[SRP],MATCH(tItens[[#This Row],[Edital]],tEditais[Edital],0)),"Não")</f>
        <v>Não</v>
      </c>
      <c r="P6790" s="4">
        <f>IF(COUNTIFS(INDEX(tItens[Edital],1):tItens[[#This Row],[Edital]],tItens[[#This Row],[Edital]],INDEX(tItens[Produto],1):tItens[[#This Row],[Produto]],tItens[[#This Row],[Produto]])=1,1,0)</f>
        <v>0</v>
      </c>
    </row>
    <row r="6791" spans="1:16" x14ac:dyDescent="0.25">
      <c r="A6791" t="s">
        <v>2418</v>
      </c>
      <c r="B6791">
        <v>53</v>
      </c>
      <c r="C6791" t="s">
        <v>4668</v>
      </c>
      <c r="D6791" t="s">
        <v>75</v>
      </c>
      <c r="E6791" s="13">
        <v>8000</v>
      </c>
      <c r="F6791" s="12">
        <v>1.62</v>
      </c>
      <c r="G6791" t="str">
        <f>IFERROR(INDEX(tEditais[Órgão],MATCH(tItens[[#This Row],[Edital]],tEditais[Edital],0)),"")</f>
        <v>MUNICIPIO DE ALEXANDRIA</v>
      </c>
      <c r="H6791" t="str">
        <f>IFERROR(INDEX(tEditais[UF],MATCH(tItens[[#This Row],[Edital]],tEditais[Edital],0)),"")</f>
        <v>RN</v>
      </c>
      <c r="I6791" s="11">
        <f>IFERROR(INDEX(tEditais[Encerramento],MATCH(tItens[[#This Row],[Edital]],tEditais[Edital],0)),"")</f>
        <v>46314.415972222225</v>
      </c>
      <c r="J6791" t="str">
        <f>IFERROR(INDEX(tProdutos[Classe],MATCH(tItens[[#This Row],[Produto]],tProdutos[Produto],0)),"produto não cadastrado")</f>
        <v>NÚCLEO</v>
      </c>
      <c r="K6791" s="12">
        <f>tItens[[#This Row],[Qtd]]*tItens[[#This Row],[Vlr unit]]</f>
        <v>12960</v>
      </c>
      <c r="L6791" s="6">
        <f>IFERROR(IF(INDEX(tProdutos[Desconto homologado],MATCH(tItens[[#This Row],[Produto]],tProdutos[Produto],0))="",DescontoPadrao,INDEX(tProdutos[Desconto homologado],MATCH(tItens[[#This Row],[Produto]],tProdutos[Produto],0))),DescontoPadrao)</f>
        <v>0.26</v>
      </c>
      <c r="M6791" s="12">
        <f>tItens[[#This Row],[Valor]]*(1-tItens[[#This Row],[Desconto]])</f>
        <v>9590.4</v>
      </c>
      <c r="N6791" t="str">
        <f>IFERROR(INDEX(tProdutos[Foco],MATCH(tItens[[#This Row],[Produto]],tProdutos[Produto],0)),"Não")</f>
        <v>Sim</v>
      </c>
      <c r="O6791" t="str">
        <f>IFERROR(INDEX(tEditais[SRP],MATCH(tItens[[#This Row],[Edital]],tEditais[Edital],0)),"Não")</f>
        <v>Não</v>
      </c>
      <c r="P6791" s="4">
        <f>IF(COUNTIFS(INDEX(tItens[Edital],1):tItens[[#This Row],[Edital]],tItens[[#This Row],[Edital]],INDEX(tItens[Produto],1):tItens[[#This Row],[Produto]],tItens[[#This Row],[Produto]])=1,1,0)</f>
        <v>0</v>
      </c>
    </row>
    <row r="6792" spans="1:16" x14ac:dyDescent="0.25">
      <c r="A6792" t="s">
        <v>2418</v>
      </c>
      <c r="B6792">
        <v>63</v>
      </c>
      <c r="C6792" t="s">
        <v>9459</v>
      </c>
      <c r="D6792" t="s">
        <v>77</v>
      </c>
      <c r="E6792" s="13">
        <v>700</v>
      </c>
      <c r="F6792" s="12">
        <v>5.18</v>
      </c>
      <c r="G6792" t="str">
        <f>IFERROR(INDEX(tEditais[Órgão],MATCH(tItens[[#This Row],[Edital]],tEditais[Edital],0)),"")</f>
        <v>MUNICIPIO DE ALEXANDRIA</v>
      </c>
      <c r="H6792" t="str">
        <f>IFERROR(INDEX(tEditais[UF],MATCH(tItens[[#This Row],[Edital]],tEditais[Edital],0)),"")</f>
        <v>RN</v>
      </c>
      <c r="I6792" s="11">
        <f>IFERROR(INDEX(tEditais[Encerramento],MATCH(tItens[[#This Row],[Edital]],tEditais[Edital],0)),"")</f>
        <v>46314.415972222225</v>
      </c>
      <c r="J6792" t="str">
        <f>IFERROR(INDEX(tProdutos[Classe],MATCH(tItens[[#This Row],[Produto]],tProdutos[Produto],0)),"produto não cadastrado")</f>
        <v>DISPUTADO</v>
      </c>
      <c r="K6792" s="12">
        <f>tItens[[#This Row],[Qtd]]*tItens[[#This Row],[Vlr unit]]</f>
        <v>3626</v>
      </c>
      <c r="L6792" s="6">
        <f>IFERROR(IF(INDEX(tProdutos[Desconto homologado],MATCH(tItens[[#This Row],[Produto]],tProdutos[Produto],0))="",DescontoPadrao,INDEX(tProdutos[Desconto homologado],MATCH(tItens[[#This Row],[Produto]],tProdutos[Produto],0))),DescontoPadrao)</f>
        <v>0.33</v>
      </c>
      <c r="M6792" s="12">
        <f>tItens[[#This Row],[Valor]]*(1-tItens[[#This Row],[Desconto]])</f>
        <v>2429.4199999999996</v>
      </c>
      <c r="N6792" t="str">
        <f>IFERROR(INDEX(tProdutos[Foco],MATCH(tItens[[#This Row],[Produto]],tProdutos[Produto],0)),"Não")</f>
        <v>Sim</v>
      </c>
      <c r="O6792" t="str">
        <f>IFERROR(INDEX(tEditais[SRP],MATCH(tItens[[#This Row],[Edital]],tEditais[Edital],0)),"Não")</f>
        <v>Não</v>
      </c>
      <c r="P6792" s="4">
        <f>IF(COUNTIFS(INDEX(tItens[Edital],1):tItens[[#This Row],[Edital]],tItens[[#This Row],[Edital]],INDEX(tItens[Produto],1):tItens[[#This Row],[Produto]],tItens[[#This Row],[Produto]])=1,1,0)</f>
        <v>1</v>
      </c>
    </row>
    <row r="6793" spans="1:16" x14ac:dyDescent="0.25">
      <c r="A6793" t="s">
        <v>2418</v>
      </c>
      <c r="B6793">
        <v>64</v>
      </c>
      <c r="C6793" t="s">
        <v>9460</v>
      </c>
      <c r="D6793" t="s">
        <v>77</v>
      </c>
      <c r="E6793" s="13">
        <v>700</v>
      </c>
      <c r="F6793" s="12">
        <v>6.66</v>
      </c>
      <c r="G6793" t="str">
        <f>IFERROR(INDEX(tEditais[Órgão],MATCH(tItens[[#This Row],[Edital]],tEditais[Edital],0)),"")</f>
        <v>MUNICIPIO DE ALEXANDRIA</v>
      </c>
      <c r="H6793" t="str">
        <f>IFERROR(INDEX(tEditais[UF],MATCH(tItens[[#This Row],[Edital]],tEditais[Edital],0)),"")</f>
        <v>RN</v>
      </c>
      <c r="I6793" s="11">
        <f>IFERROR(INDEX(tEditais[Encerramento],MATCH(tItens[[#This Row],[Edital]],tEditais[Edital],0)),"")</f>
        <v>46314.415972222225</v>
      </c>
      <c r="J6793" t="str">
        <f>IFERROR(INDEX(tProdutos[Classe],MATCH(tItens[[#This Row],[Produto]],tProdutos[Produto],0)),"produto não cadastrado")</f>
        <v>DISPUTADO</v>
      </c>
      <c r="K6793" s="12">
        <f>tItens[[#This Row],[Qtd]]*tItens[[#This Row],[Vlr unit]]</f>
        <v>4662</v>
      </c>
      <c r="L6793" s="6">
        <f>IFERROR(IF(INDEX(tProdutos[Desconto homologado],MATCH(tItens[[#This Row],[Produto]],tProdutos[Produto],0))="",DescontoPadrao,INDEX(tProdutos[Desconto homologado],MATCH(tItens[[#This Row],[Produto]],tProdutos[Produto],0))),DescontoPadrao)</f>
        <v>0.33</v>
      </c>
      <c r="M6793" s="12">
        <f>tItens[[#This Row],[Valor]]*(1-tItens[[#This Row],[Desconto]])</f>
        <v>3123.5399999999995</v>
      </c>
      <c r="N6793" t="str">
        <f>IFERROR(INDEX(tProdutos[Foco],MATCH(tItens[[#This Row],[Produto]],tProdutos[Produto],0)),"Não")</f>
        <v>Sim</v>
      </c>
      <c r="O6793" t="str">
        <f>IFERROR(INDEX(tEditais[SRP],MATCH(tItens[[#This Row],[Edital]],tEditais[Edital],0)),"Não")</f>
        <v>Não</v>
      </c>
      <c r="P6793" s="4">
        <f>IF(COUNTIFS(INDEX(tItens[Edital],1):tItens[[#This Row],[Edital]],tItens[[#This Row],[Edital]],INDEX(tItens[Produto],1):tItens[[#This Row],[Produto]],tItens[[#This Row],[Produto]])=1,1,0)</f>
        <v>0</v>
      </c>
    </row>
    <row r="6794" spans="1:16" x14ac:dyDescent="0.25">
      <c r="A6794" t="s">
        <v>2418</v>
      </c>
      <c r="B6794">
        <v>66</v>
      </c>
      <c r="C6794" t="s">
        <v>9461</v>
      </c>
      <c r="D6794" t="s">
        <v>467</v>
      </c>
      <c r="E6794" s="13">
        <v>200</v>
      </c>
      <c r="F6794" s="12">
        <v>16.05</v>
      </c>
      <c r="G6794" t="str">
        <f>IFERROR(INDEX(tEditais[Órgão],MATCH(tItens[[#This Row],[Edital]],tEditais[Edital],0)),"")</f>
        <v>MUNICIPIO DE ALEXANDRIA</v>
      </c>
      <c r="H6794" t="str">
        <f>IFERROR(INDEX(tEditais[UF],MATCH(tItens[[#This Row],[Edital]],tEditais[Edital],0)),"")</f>
        <v>RN</v>
      </c>
      <c r="I6794" s="11">
        <f>IFERROR(INDEX(tEditais[Encerramento],MATCH(tItens[[#This Row],[Edital]],tEditais[Edital],0)),"")</f>
        <v>46314.415972222225</v>
      </c>
      <c r="J6794" t="str">
        <f>IFERROR(INDEX(tProdutos[Classe],MATCH(tItens[[#This Row],[Produto]],tProdutos[Produto],0)),"produto não cadastrado")</f>
        <v>FILA REBASE</v>
      </c>
      <c r="K6794" s="12">
        <f>tItens[[#This Row],[Qtd]]*tItens[[#This Row],[Vlr unit]]</f>
        <v>3210</v>
      </c>
      <c r="L6794" s="6">
        <f>IFERROR(IF(INDEX(tProdutos[Desconto homologado],MATCH(tItens[[#This Row],[Produto]],tProdutos[Produto],0))="",DescontoPadrao,INDEX(tProdutos[Desconto homologado],MATCH(tItens[[#This Row],[Produto]],tProdutos[Produto],0))),DescontoPadrao)</f>
        <v>0.25007144898542499</v>
      </c>
      <c r="M6794" s="12">
        <f>tItens[[#This Row],[Valor]]*(1-tItens[[#This Row],[Desconto]])</f>
        <v>2407.2706487567857</v>
      </c>
      <c r="N6794" t="str">
        <f>IFERROR(INDEX(tProdutos[Foco],MATCH(tItens[[#This Row],[Produto]],tProdutos[Produto],0)),"Não")</f>
        <v>Não</v>
      </c>
      <c r="O6794" t="str">
        <f>IFERROR(INDEX(tEditais[SRP],MATCH(tItens[[#This Row],[Edital]],tEditais[Edital],0)),"Não")</f>
        <v>Não</v>
      </c>
      <c r="P6794" s="4">
        <f>IF(COUNTIFS(INDEX(tItens[Edital],1):tItens[[#This Row],[Edital]],tItens[[#This Row],[Edital]],INDEX(tItens[Produto],1):tItens[[#This Row],[Produto]],tItens[[#This Row],[Produto]])=1,1,0)</f>
        <v>1</v>
      </c>
    </row>
    <row r="6795" spans="1:16" x14ac:dyDescent="0.25">
      <c r="A6795" t="s">
        <v>2418</v>
      </c>
      <c r="B6795">
        <v>68</v>
      </c>
      <c r="C6795" t="s">
        <v>9462</v>
      </c>
      <c r="D6795" t="s">
        <v>56</v>
      </c>
      <c r="E6795" s="13">
        <v>100</v>
      </c>
      <c r="F6795" s="12">
        <v>53.46</v>
      </c>
      <c r="G6795" t="str">
        <f>IFERROR(INDEX(tEditais[Órgão],MATCH(tItens[[#This Row],[Edital]],tEditais[Edital],0)),"")</f>
        <v>MUNICIPIO DE ALEXANDRIA</v>
      </c>
      <c r="H6795" t="str">
        <f>IFERROR(INDEX(tEditais[UF],MATCH(tItens[[#This Row],[Edital]],tEditais[Edital],0)),"")</f>
        <v>RN</v>
      </c>
      <c r="I6795" s="11">
        <f>IFERROR(INDEX(tEditais[Encerramento],MATCH(tItens[[#This Row],[Edital]],tEditais[Edital],0)),"")</f>
        <v>46314.415972222225</v>
      </c>
      <c r="J6795" t="str">
        <f>IFERROR(INDEX(tProdutos[Classe],MATCH(tItens[[#This Row],[Produto]],tProdutos[Produto],0)),"produto não cadastrado")</f>
        <v>NÚCLEO</v>
      </c>
      <c r="K6795" s="12">
        <f>tItens[[#This Row],[Qtd]]*tItens[[#This Row],[Vlr unit]]</f>
        <v>5346</v>
      </c>
      <c r="L6795" s="6">
        <f>IFERROR(IF(INDEX(tProdutos[Desconto homologado],MATCH(tItens[[#This Row],[Produto]],tProdutos[Produto],0))="",DescontoPadrao,INDEX(tProdutos[Desconto homologado],MATCH(tItens[[#This Row],[Produto]],tProdutos[Produto],0))),DescontoPadrao)</f>
        <v>0.34</v>
      </c>
      <c r="M6795" s="12">
        <f>tItens[[#This Row],[Valor]]*(1-tItens[[#This Row],[Desconto]])</f>
        <v>3528.3599999999997</v>
      </c>
      <c r="N6795" t="str">
        <f>IFERROR(INDEX(tProdutos[Foco],MATCH(tItens[[#This Row],[Produto]],tProdutos[Produto],0)),"Não")</f>
        <v>Sim</v>
      </c>
      <c r="O6795" t="str">
        <f>IFERROR(INDEX(tEditais[SRP],MATCH(tItens[[#This Row],[Edital]],tEditais[Edital],0)),"Não")</f>
        <v>Não</v>
      </c>
      <c r="P6795" s="4">
        <f>IF(COUNTIFS(INDEX(tItens[Edital],1):tItens[[#This Row],[Edital]],tItens[[#This Row],[Edital]],INDEX(tItens[Produto],1):tItens[[#This Row],[Produto]],tItens[[#This Row],[Produto]])=1,1,0)</f>
        <v>1</v>
      </c>
    </row>
    <row r="6796" spans="1:16" x14ac:dyDescent="0.25">
      <c r="A6796" t="s">
        <v>2418</v>
      </c>
      <c r="B6796">
        <v>69</v>
      </c>
      <c r="C6796" t="s">
        <v>9463</v>
      </c>
      <c r="D6796" t="s">
        <v>56</v>
      </c>
      <c r="E6796" s="13">
        <v>100</v>
      </c>
      <c r="F6796" s="12">
        <v>63.44</v>
      </c>
      <c r="G6796" t="str">
        <f>IFERROR(INDEX(tEditais[Órgão],MATCH(tItens[[#This Row],[Edital]],tEditais[Edital],0)),"")</f>
        <v>MUNICIPIO DE ALEXANDRIA</v>
      </c>
      <c r="H6796" t="str">
        <f>IFERROR(INDEX(tEditais[UF],MATCH(tItens[[#This Row],[Edital]],tEditais[Edital],0)),"")</f>
        <v>RN</v>
      </c>
      <c r="I6796" s="11">
        <f>IFERROR(INDEX(tEditais[Encerramento],MATCH(tItens[[#This Row],[Edital]],tEditais[Edital],0)),"")</f>
        <v>46314.415972222225</v>
      </c>
      <c r="J6796" t="str">
        <f>IFERROR(INDEX(tProdutos[Classe],MATCH(tItens[[#This Row],[Produto]],tProdutos[Produto],0)),"produto não cadastrado")</f>
        <v>NÚCLEO</v>
      </c>
      <c r="K6796" s="12">
        <f>tItens[[#This Row],[Qtd]]*tItens[[#This Row],[Vlr unit]]</f>
        <v>6344</v>
      </c>
      <c r="L6796" s="6">
        <f>IFERROR(IF(INDEX(tProdutos[Desconto homologado],MATCH(tItens[[#This Row],[Produto]],tProdutos[Produto],0))="",DescontoPadrao,INDEX(tProdutos[Desconto homologado],MATCH(tItens[[#This Row],[Produto]],tProdutos[Produto],0))),DescontoPadrao)</f>
        <v>0.34</v>
      </c>
      <c r="M6796" s="12">
        <f>tItens[[#This Row],[Valor]]*(1-tItens[[#This Row],[Desconto]])</f>
        <v>4187.0399999999991</v>
      </c>
      <c r="N6796" t="str">
        <f>IFERROR(INDEX(tProdutos[Foco],MATCH(tItens[[#This Row],[Produto]],tProdutos[Produto],0)),"Não")</f>
        <v>Sim</v>
      </c>
      <c r="O6796" t="str">
        <f>IFERROR(INDEX(tEditais[SRP],MATCH(tItens[[#This Row],[Edital]],tEditais[Edital],0)),"Não")</f>
        <v>Não</v>
      </c>
      <c r="P6796" s="4">
        <f>IF(COUNTIFS(INDEX(tItens[Edital],1):tItens[[#This Row],[Edital]],tItens[[#This Row],[Edital]],INDEX(tItens[Produto],1):tItens[[#This Row],[Produto]],tItens[[#This Row],[Produto]])=1,1,0)</f>
        <v>0</v>
      </c>
    </row>
    <row r="6797" spans="1:16" x14ac:dyDescent="0.25">
      <c r="A6797" t="s">
        <v>2418</v>
      </c>
      <c r="B6797">
        <v>70</v>
      </c>
      <c r="C6797" t="s">
        <v>9464</v>
      </c>
      <c r="D6797" t="s">
        <v>56</v>
      </c>
      <c r="E6797" s="13">
        <v>100</v>
      </c>
      <c r="F6797" s="12">
        <v>64.5</v>
      </c>
      <c r="G6797" t="str">
        <f>IFERROR(INDEX(tEditais[Órgão],MATCH(tItens[[#This Row],[Edital]],tEditais[Edital],0)),"")</f>
        <v>MUNICIPIO DE ALEXANDRIA</v>
      </c>
      <c r="H6797" t="str">
        <f>IFERROR(INDEX(tEditais[UF],MATCH(tItens[[#This Row],[Edital]],tEditais[Edital],0)),"")</f>
        <v>RN</v>
      </c>
      <c r="I6797" s="11">
        <f>IFERROR(INDEX(tEditais[Encerramento],MATCH(tItens[[#This Row],[Edital]],tEditais[Edital],0)),"")</f>
        <v>46314.415972222225</v>
      </c>
      <c r="J6797" t="str">
        <f>IFERROR(INDEX(tProdutos[Classe],MATCH(tItens[[#This Row],[Produto]],tProdutos[Produto],0)),"produto não cadastrado")</f>
        <v>NÚCLEO</v>
      </c>
      <c r="K6797" s="12">
        <f>tItens[[#This Row],[Qtd]]*tItens[[#This Row],[Vlr unit]]</f>
        <v>6450</v>
      </c>
      <c r="L6797" s="6">
        <f>IFERROR(IF(INDEX(tProdutos[Desconto homologado],MATCH(tItens[[#This Row],[Produto]],tProdutos[Produto],0))="",DescontoPadrao,INDEX(tProdutos[Desconto homologado],MATCH(tItens[[#This Row],[Produto]],tProdutos[Produto],0))),DescontoPadrao)</f>
        <v>0.34</v>
      </c>
      <c r="M6797" s="12">
        <f>tItens[[#This Row],[Valor]]*(1-tItens[[#This Row],[Desconto]])</f>
        <v>4256.9999999999991</v>
      </c>
      <c r="N6797" t="str">
        <f>IFERROR(INDEX(tProdutos[Foco],MATCH(tItens[[#This Row],[Produto]],tProdutos[Produto],0)),"Não")</f>
        <v>Sim</v>
      </c>
      <c r="O6797" t="str">
        <f>IFERROR(INDEX(tEditais[SRP],MATCH(tItens[[#This Row],[Edital]],tEditais[Edital],0)),"Não")</f>
        <v>Não</v>
      </c>
      <c r="P6797" s="4">
        <f>IF(COUNTIFS(INDEX(tItens[Edital],1):tItens[[#This Row],[Edital]],tItens[[#This Row],[Edital]],INDEX(tItens[Produto],1):tItens[[#This Row],[Produto]],tItens[[#This Row],[Produto]])=1,1,0)</f>
        <v>0</v>
      </c>
    </row>
    <row r="6798" spans="1:16" x14ac:dyDescent="0.25">
      <c r="A6798" t="s">
        <v>2418</v>
      </c>
      <c r="B6798">
        <v>71</v>
      </c>
      <c r="C6798" t="s">
        <v>9465</v>
      </c>
      <c r="D6798" t="s">
        <v>56</v>
      </c>
      <c r="E6798" s="13">
        <v>100</v>
      </c>
      <c r="F6798" s="12">
        <v>94.73</v>
      </c>
      <c r="G6798" t="str">
        <f>IFERROR(INDEX(tEditais[Órgão],MATCH(tItens[[#This Row],[Edital]],tEditais[Edital],0)),"")</f>
        <v>MUNICIPIO DE ALEXANDRIA</v>
      </c>
      <c r="H6798" t="str">
        <f>IFERROR(INDEX(tEditais[UF],MATCH(tItens[[#This Row],[Edital]],tEditais[Edital],0)),"")</f>
        <v>RN</v>
      </c>
      <c r="I6798" s="11">
        <f>IFERROR(INDEX(tEditais[Encerramento],MATCH(tItens[[#This Row],[Edital]],tEditais[Edital],0)),"")</f>
        <v>46314.415972222225</v>
      </c>
      <c r="J6798" t="str">
        <f>IFERROR(INDEX(tProdutos[Classe],MATCH(tItens[[#This Row],[Produto]],tProdutos[Produto],0)),"produto não cadastrado")</f>
        <v>NÚCLEO</v>
      </c>
      <c r="K6798" s="12">
        <f>tItens[[#This Row],[Qtd]]*tItens[[#This Row],[Vlr unit]]</f>
        <v>9473</v>
      </c>
      <c r="L6798" s="6">
        <f>IFERROR(IF(INDEX(tProdutos[Desconto homologado],MATCH(tItens[[#This Row],[Produto]],tProdutos[Produto],0))="",DescontoPadrao,INDEX(tProdutos[Desconto homologado],MATCH(tItens[[#This Row],[Produto]],tProdutos[Produto],0))),DescontoPadrao)</f>
        <v>0.34</v>
      </c>
      <c r="M6798" s="12">
        <f>tItens[[#This Row],[Valor]]*(1-tItens[[#This Row],[Desconto]])</f>
        <v>6252.1799999999994</v>
      </c>
      <c r="N6798" t="str">
        <f>IFERROR(INDEX(tProdutos[Foco],MATCH(tItens[[#This Row],[Produto]],tProdutos[Produto],0)),"Não")</f>
        <v>Sim</v>
      </c>
      <c r="O6798" t="str">
        <f>IFERROR(INDEX(tEditais[SRP],MATCH(tItens[[#This Row],[Edital]],tEditais[Edital],0)),"Não")</f>
        <v>Não</v>
      </c>
      <c r="P6798" s="4">
        <f>IF(COUNTIFS(INDEX(tItens[Edital],1):tItens[[#This Row],[Edital]],tItens[[#This Row],[Edital]],INDEX(tItens[Produto],1):tItens[[#This Row],[Produto]],tItens[[#This Row],[Produto]])=1,1,0)</f>
        <v>0</v>
      </c>
    </row>
    <row r="6799" spans="1:16" x14ac:dyDescent="0.25">
      <c r="A6799" t="s">
        <v>2418</v>
      </c>
      <c r="B6799">
        <v>81</v>
      </c>
      <c r="C6799" t="s">
        <v>9466</v>
      </c>
      <c r="D6799" t="s">
        <v>267</v>
      </c>
      <c r="E6799" s="13">
        <v>300</v>
      </c>
      <c r="F6799" s="12">
        <v>17.5</v>
      </c>
      <c r="G6799" t="str">
        <f>IFERROR(INDEX(tEditais[Órgão],MATCH(tItens[[#This Row],[Edital]],tEditais[Edital],0)),"")</f>
        <v>MUNICIPIO DE ALEXANDRIA</v>
      </c>
      <c r="H6799" t="str">
        <f>IFERROR(INDEX(tEditais[UF],MATCH(tItens[[#This Row],[Edital]],tEditais[Edital],0)),"")</f>
        <v>RN</v>
      </c>
      <c r="I6799" s="11">
        <f>IFERROR(INDEX(tEditais[Encerramento],MATCH(tItens[[#This Row],[Edital]],tEditais[Edital],0)),"")</f>
        <v>46314.415972222225</v>
      </c>
      <c r="J6799" t="str">
        <f>IFERROR(INDEX(tProdutos[Classe],MATCH(tItens[[#This Row],[Produto]],tProdutos[Produto],0)),"produto não cadastrado")</f>
        <v>FORA</v>
      </c>
      <c r="K6799" s="12">
        <f>tItens[[#This Row],[Qtd]]*tItens[[#This Row],[Vlr unit]]</f>
        <v>5250</v>
      </c>
      <c r="L6799" s="6">
        <f>IFERROR(IF(INDEX(tProdutos[Desconto homologado],MATCH(tItens[[#This Row],[Produto]],tProdutos[Produto],0))="",DescontoPadrao,INDEX(tProdutos[Desconto homologado],MATCH(tItens[[#This Row],[Produto]],tProdutos[Produto],0))),DescontoPadrao)</f>
        <v>0.19963672657401599</v>
      </c>
      <c r="M6799" s="12">
        <f>tItens[[#This Row],[Valor]]*(1-tItens[[#This Row],[Desconto]])</f>
        <v>4201.907185486416</v>
      </c>
      <c r="N6799" t="str">
        <f>IFERROR(INDEX(tProdutos[Foco],MATCH(tItens[[#This Row],[Produto]],tProdutos[Produto],0)),"Não")</f>
        <v>Não</v>
      </c>
      <c r="O6799" t="str">
        <f>IFERROR(INDEX(tEditais[SRP],MATCH(tItens[[#This Row],[Edital]],tEditais[Edital],0)),"Não")</f>
        <v>Não</v>
      </c>
      <c r="P6799" s="4">
        <f>IF(COUNTIFS(INDEX(tItens[Edital],1):tItens[[#This Row],[Edital]],tItens[[#This Row],[Edital]],INDEX(tItens[Produto],1):tItens[[#This Row],[Produto]],tItens[[#This Row],[Produto]])=1,1,0)</f>
        <v>1</v>
      </c>
    </row>
    <row r="6800" spans="1:16" x14ac:dyDescent="0.25">
      <c r="A6800" t="s">
        <v>2418</v>
      </c>
      <c r="B6800">
        <v>82</v>
      </c>
      <c r="C6800" t="s">
        <v>9467</v>
      </c>
      <c r="D6800" t="s">
        <v>267</v>
      </c>
      <c r="E6800" s="13">
        <v>300</v>
      </c>
      <c r="F6800" s="12">
        <v>18.670000000000002</v>
      </c>
      <c r="G6800" t="str">
        <f>IFERROR(INDEX(tEditais[Órgão],MATCH(tItens[[#This Row],[Edital]],tEditais[Edital],0)),"")</f>
        <v>MUNICIPIO DE ALEXANDRIA</v>
      </c>
      <c r="H6800" t="str">
        <f>IFERROR(INDEX(tEditais[UF],MATCH(tItens[[#This Row],[Edital]],tEditais[Edital],0)),"")</f>
        <v>RN</v>
      </c>
      <c r="I6800" s="11">
        <f>IFERROR(INDEX(tEditais[Encerramento],MATCH(tItens[[#This Row],[Edital]],tEditais[Edital],0)),"")</f>
        <v>46314.415972222225</v>
      </c>
      <c r="J6800" t="str">
        <f>IFERROR(INDEX(tProdutos[Classe],MATCH(tItens[[#This Row],[Produto]],tProdutos[Produto],0)),"produto não cadastrado")</f>
        <v>FORA</v>
      </c>
      <c r="K6800" s="12">
        <f>tItens[[#This Row],[Qtd]]*tItens[[#This Row],[Vlr unit]]</f>
        <v>5601.0000000000009</v>
      </c>
      <c r="L6800" s="6">
        <f>IFERROR(IF(INDEX(tProdutos[Desconto homologado],MATCH(tItens[[#This Row],[Produto]],tProdutos[Produto],0))="",DescontoPadrao,INDEX(tProdutos[Desconto homologado],MATCH(tItens[[#This Row],[Produto]],tProdutos[Produto],0))),DescontoPadrao)</f>
        <v>0.19963672657401599</v>
      </c>
      <c r="M6800" s="12">
        <f>tItens[[#This Row],[Valor]]*(1-tItens[[#This Row],[Desconto]])</f>
        <v>4482.8346944589375</v>
      </c>
      <c r="N6800" t="str">
        <f>IFERROR(INDEX(tProdutos[Foco],MATCH(tItens[[#This Row],[Produto]],tProdutos[Produto],0)),"Não")</f>
        <v>Não</v>
      </c>
      <c r="O6800" t="str">
        <f>IFERROR(INDEX(tEditais[SRP],MATCH(tItens[[#This Row],[Edital]],tEditais[Edital],0)),"Não")</f>
        <v>Não</v>
      </c>
      <c r="P6800" s="4">
        <f>IF(COUNTIFS(INDEX(tItens[Edital],1):tItens[[#This Row],[Edital]],tItens[[#This Row],[Edital]],INDEX(tItens[Produto],1):tItens[[#This Row],[Produto]],tItens[[#This Row],[Produto]])=1,1,0)</f>
        <v>0</v>
      </c>
    </row>
    <row r="6801" spans="1:16" x14ac:dyDescent="0.25">
      <c r="A6801" t="s">
        <v>2418</v>
      </c>
      <c r="B6801">
        <v>96</v>
      </c>
      <c r="C6801" t="s">
        <v>9468</v>
      </c>
      <c r="D6801" t="s">
        <v>275</v>
      </c>
      <c r="E6801" s="13">
        <v>500</v>
      </c>
      <c r="F6801" s="12">
        <v>1.04</v>
      </c>
      <c r="G6801" t="str">
        <f>IFERROR(INDEX(tEditais[Órgão],MATCH(tItens[[#This Row],[Edital]],tEditais[Edital],0)),"")</f>
        <v>MUNICIPIO DE ALEXANDRIA</v>
      </c>
      <c r="H6801" t="str">
        <f>IFERROR(INDEX(tEditais[UF],MATCH(tItens[[#This Row],[Edital]],tEditais[Edital],0)),"")</f>
        <v>RN</v>
      </c>
      <c r="I6801" s="11">
        <f>IFERROR(INDEX(tEditais[Encerramento],MATCH(tItens[[#This Row],[Edital]],tEditais[Edital],0)),"")</f>
        <v>46314.415972222225</v>
      </c>
      <c r="J6801" t="str">
        <f>IFERROR(INDEX(tProdutos[Classe],MATCH(tItens[[#This Row],[Produto]],tProdutos[Produto],0)),"produto não cadastrado")</f>
        <v>FORA</v>
      </c>
      <c r="K6801" s="12">
        <f>tItens[[#This Row],[Qtd]]*tItens[[#This Row],[Vlr unit]]</f>
        <v>520</v>
      </c>
      <c r="L6801" s="6">
        <f>IFERROR(IF(INDEX(tProdutos[Desconto homologado],MATCH(tItens[[#This Row],[Produto]],tProdutos[Produto],0))="",DescontoPadrao,INDEX(tProdutos[Desconto homologado],MATCH(tItens[[#This Row],[Produto]],tProdutos[Produto],0))),DescontoPadrao)</f>
        <v>0.405797101449275</v>
      </c>
      <c r="M6801" s="12">
        <f>tItens[[#This Row],[Valor]]*(1-tItens[[#This Row],[Desconto]])</f>
        <v>308.98550724637704</v>
      </c>
      <c r="N6801" t="str">
        <f>IFERROR(INDEX(tProdutos[Foco],MATCH(tItens[[#This Row],[Produto]],tProdutos[Produto],0)),"Não")</f>
        <v>Não</v>
      </c>
      <c r="O6801" t="str">
        <f>IFERROR(INDEX(tEditais[SRP],MATCH(tItens[[#This Row],[Edital]],tEditais[Edital],0)),"Não")</f>
        <v>Não</v>
      </c>
      <c r="P6801" s="4">
        <f>IF(COUNTIFS(INDEX(tItens[Edital],1):tItens[[#This Row],[Edital]],tItens[[#This Row],[Edital]],INDEX(tItens[Produto],1):tItens[[#This Row],[Produto]],tItens[[#This Row],[Produto]])=1,1,0)</f>
        <v>1</v>
      </c>
    </row>
    <row r="6802" spans="1:16" x14ac:dyDescent="0.25">
      <c r="A6802" t="s">
        <v>2418</v>
      </c>
      <c r="B6802">
        <v>97</v>
      </c>
      <c r="C6802" t="s">
        <v>9469</v>
      </c>
      <c r="D6802" t="s">
        <v>275</v>
      </c>
      <c r="E6802" s="13">
        <v>500</v>
      </c>
      <c r="F6802" s="12">
        <v>73.05</v>
      </c>
      <c r="G6802" t="str">
        <f>IFERROR(INDEX(tEditais[Órgão],MATCH(tItens[[#This Row],[Edital]],tEditais[Edital],0)),"")</f>
        <v>MUNICIPIO DE ALEXANDRIA</v>
      </c>
      <c r="H6802" t="str">
        <f>IFERROR(INDEX(tEditais[UF],MATCH(tItens[[#This Row],[Edital]],tEditais[Edital],0)),"")</f>
        <v>RN</v>
      </c>
      <c r="I6802" s="11">
        <f>IFERROR(INDEX(tEditais[Encerramento],MATCH(tItens[[#This Row],[Edital]],tEditais[Edital],0)),"")</f>
        <v>46314.415972222225</v>
      </c>
      <c r="J6802" t="str">
        <f>IFERROR(INDEX(tProdutos[Classe],MATCH(tItens[[#This Row],[Produto]],tProdutos[Produto],0)),"produto não cadastrado")</f>
        <v>FORA</v>
      </c>
      <c r="K6802" s="12">
        <f>tItens[[#This Row],[Qtd]]*tItens[[#This Row],[Vlr unit]]</f>
        <v>36525</v>
      </c>
      <c r="L6802" s="6">
        <f>IFERROR(IF(INDEX(tProdutos[Desconto homologado],MATCH(tItens[[#This Row],[Produto]],tProdutos[Produto],0))="",DescontoPadrao,INDEX(tProdutos[Desconto homologado],MATCH(tItens[[#This Row],[Produto]],tProdutos[Produto],0))),DescontoPadrao)</f>
        <v>0.405797101449275</v>
      </c>
      <c r="M6802" s="12">
        <f>tItens[[#This Row],[Valor]]*(1-tItens[[#This Row],[Desconto]])</f>
        <v>21703.260869565234</v>
      </c>
      <c r="N6802" t="str">
        <f>IFERROR(INDEX(tProdutos[Foco],MATCH(tItens[[#This Row],[Produto]],tProdutos[Produto],0)),"Não")</f>
        <v>Não</v>
      </c>
      <c r="O6802" t="str">
        <f>IFERROR(INDEX(tEditais[SRP],MATCH(tItens[[#This Row],[Edital]],tEditais[Edital],0)),"Não")</f>
        <v>Não</v>
      </c>
      <c r="P6802" s="4">
        <f>IF(COUNTIFS(INDEX(tItens[Edital],1):tItens[[#This Row],[Edital]],tItens[[#This Row],[Edital]],INDEX(tItens[Produto],1):tItens[[#This Row],[Produto]],tItens[[#This Row],[Produto]])=1,1,0)</f>
        <v>0</v>
      </c>
    </row>
    <row r="6803" spans="1:16" x14ac:dyDescent="0.25">
      <c r="A6803" t="s">
        <v>2418</v>
      </c>
      <c r="B6803">
        <v>98</v>
      </c>
      <c r="C6803" t="s">
        <v>9470</v>
      </c>
      <c r="D6803" t="s">
        <v>281</v>
      </c>
      <c r="E6803" s="13">
        <v>1000</v>
      </c>
      <c r="F6803" s="12">
        <v>43.92</v>
      </c>
      <c r="G6803" t="str">
        <f>IFERROR(INDEX(tEditais[Órgão],MATCH(tItens[[#This Row],[Edital]],tEditais[Edital],0)),"")</f>
        <v>MUNICIPIO DE ALEXANDRIA</v>
      </c>
      <c r="H6803" t="str">
        <f>IFERROR(INDEX(tEditais[UF],MATCH(tItens[[#This Row],[Edital]],tEditais[Edital],0)),"")</f>
        <v>RN</v>
      </c>
      <c r="I6803" s="11">
        <f>IFERROR(INDEX(tEditais[Encerramento],MATCH(tItens[[#This Row],[Edital]],tEditais[Edital],0)),"")</f>
        <v>46314.415972222225</v>
      </c>
      <c r="J6803" t="str">
        <f>IFERROR(INDEX(tProdutos[Classe],MATCH(tItens[[#This Row],[Produto]],tProdutos[Produto],0)),"produto não cadastrado")</f>
        <v>DISPUTADO</v>
      </c>
      <c r="K6803" s="12">
        <f>tItens[[#This Row],[Qtd]]*tItens[[#This Row],[Vlr unit]]</f>
        <v>43920</v>
      </c>
      <c r="L6803" s="6">
        <f>IFERROR(IF(INDEX(tProdutos[Desconto homologado],MATCH(tItens[[#This Row],[Produto]],tProdutos[Produto],0))="",DescontoPadrao,INDEX(tProdutos[Desconto homologado],MATCH(tItens[[#This Row],[Produto]],tProdutos[Produto],0))),DescontoPadrao)</f>
        <v>0.42461538461538501</v>
      </c>
      <c r="M6803" s="12">
        <f>tItens[[#This Row],[Valor]]*(1-tItens[[#This Row],[Desconto]])</f>
        <v>25270.892307692287</v>
      </c>
      <c r="N6803" t="str">
        <f>IFERROR(INDEX(tProdutos[Foco],MATCH(tItens[[#This Row],[Produto]],tProdutos[Produto],0)),"Não")</f>
        <v>Não</v>
      </c>
      <c r="O6803" t="str">
        <f>IFERROR(INDEX(tEditais[SRP],MATCH(tItens[[#This Row],[Edital]],tEditais[Edital],0)),"Não")</f>
        <v>Não</v>
      </c>
      <c r="P6803" s="4">
        <f>IF(COUNTIFS(INDEX(tItens[Edital],1):tItens[[#This Row],[Edital]],tItens[[#This Row],[Edital]],INDEX(tItens[Produto],1):tItens[[#This Row],[Produto]],tItens[[#This Row],[Produto]])=1,1,0)</f>
        <v>1</v>
      </c>
    </row>
    <row r="6804" spans="1:16" x14ac:dyDescent="0.25">
      <c r="A6804" t="s">
        <v>2418</v>
      </c>
      <c r="B6804">
        <v>99</v>
      </c>
      <c r="C6804" t="s">
        <v>9471</v>
      </c>
      <c r="D6804" t="s">
        <v>281</v>
      </c>
      <c r="E6804" s="13">
        <v>1000</v>
      </c>
      <c r="F6804" s="12">
        <v>34.24</v>
      </c>
      <c r="G6804" t="str">
        <f>IFERROR(INDEX(tEditais[Órgão],MATCH(tItens[[#This Row],[Edital]],tEditais[Edital],0)),"")</f>
        <v>MUNICIPIO DE ALEXANDRIA</v>
      </c>
      <c r="H6804" t="str">
        <f>IFERROR(INDEX(tEditais[UF],MATCH(tItens[[#This Row],[Edital]],tEditais[Edital],0)),"")</f>
        <v>RN</v>
      </c>
      <c r="I6804" s="11">
        <f>IFERROR(INDEX(tEditais[Encerramento],MATCH(tItens[[#This Row],[Edital]],tEditais[Edital],0)),"")</f>
        <v>46314.415972222225</v>
      </c>
      <c r="J6804" t="str">
        <f>IFERROR(INDEX(tProdutos[Classe],MATCH(tItens[[#This Row],[Produto]],tProdutos[Produto],0)),"produto não cadastrado")</f>
        <v>DISPUTADO</v>
      </c>
      <c r="K6804" s="12">
        <f>tItens[[#This Row],[Qtd]]*tItens[[#This Row],[Vlr unit]]</f>
        <v>34240</v>
      </c>
      <c r="L6804" s="6">
        <f>IFERROR(IF(INDEX(tProdutos[Desconto homologado],MATCH(tItens[[#This Row],[Produto]],tProdutos[Produto],0))="",DescontoPadrao,INDEX(tProdutos[Desconto homologado],MATCH(tItens[[#This Row],[Produto]],tProdutos[Produto],0))),DescontoPadrao)</f>
        <v>0.42461538461538501</v>
      </c>
      <c r="M6804" s="12">
        <f>tItens[[#This Row],[Valor]]*(1-tItens[[#This Row],[Desconto]])</f>
        <v>19701.169230769214</v>
      </c>
      <c r="N6804" t="str">
        <f>IFERROR(INDEX(tProdutos[Foco],MATCH(tItens[[#This Row],[Produto]],tProdutos[Produto],0)),"Não")</f>
        <v>Não</v>
      </c>
      <c r="O6804" t="str">
        <f>IFERROR(INDEX(tEditais[SRP],MATCH(tItens[[#This Row],[Edital]],tEditais[Edital],0)),"Não")</f>
        <v>Não</v>
      </c>
      <c r="P6804" s="4">
        <f>IF(COUNTIFS(INDEX(tItens[Edital],1):tItens[[#This Row],[Edital]],tItens[[#This Row],[Edital]],INDEX(tItens[Produto],1):tItens[[#This Row],[Produto]],tItens[[#This Row],[Produto]])=1,1,0)</f>
        <v>0</v>
      </c>
    </row>
    <row r="6805" spans="1:16" x14ac:dyDescent="0.25">
      <c r="A6805" t="s">
        <v>2418</v>
      </c>
      <c r="B6805">
        <v>100</v>
      </c>
      <c r="C6805" t="s">
        <v>9472</v>
      </c>
      <c r="D6805" t="s">
        <v>289</v>
      </c>
      <c r="E6805" s="13">
        <v>500</v>
      </c>
      <c r="F6805" s="12">
        <v>57.46</v>
      </c>
      <c r="G6805" t="str">
        <f>IFERROR(INDEX(tEditais[Órgão],MATCH(tItens[[#This Row],[Edital]],tEditais[Edital],0)),"")</f>
        <v>MUNICIPIO DE ALEXANDRIA</v>
      </c>
      <c r="H6805" t="str">
        <f>IFERROR(INDEX(tEditais[UF],MATCH(tItens[[#This Row],[Edital]],tEditais[Edital],0)),"")</f>
        <v>RN</v>
      </c>
      <c r="I6805" s="11">
        <f>IFERROR(INDEX(tEditais[Encerramento],MATCH(tItens[[#This Row],[Edital]],tEditais[Edital],0)),"")</f>
        <v>46314.415972222225</v>
      </c>
      <c r="J6805" t="str">
        <f>IFERROR(INDEX(tProdutos[Classe],MATCH(tItens[[#This Row],[Produto]],tProdutos[Produto],0)),"produto não cadastrado")</f>
        <v>DISPUTADO</v>
      </c>
      <c r="K6805" s="12">
        <f>tItens[[#This Row],[Qtd]]*tItens[[#This Row],[Vlr unit]]</f>
        <v>28730</v>
      </c>
      <c r="L6805" s="6">
        <f>IFERROR(IF(INDEX(tProdutos[Desconto homologado],MATCH(tItens[[#This Row],[Produto]],tProdutos[Produto],0))="",DescontoPadrao,INDEX(tProdutos[Desconto homologado],MATCH(tItens[[#This Row],[Produto]],tProdutos[Produto],0))),DescontoPadrao)</f>
        <v>0.35849056603773599</v>
      </c>
      <c r="M6805" s="12">
        <f>tItens[[#This Row],[Valor]]*(1-tItens[[#This Row],[Desconto]])</f>
        <v>18430.566037735844</v>
      </c>
      <c r="N6805" t="str">
        <f>IFERROR(INDEX(tProdutos[Foco],MATCH(tItens[[#This Row],[Produto]],tProdutos[Produto],0)),"Não")</f>
        <v>Não</v>
      </c>
      <c r="O6805" t="str">
        <f>IFERROR(INDEX(tEditais[SRP],MATCH(tItens[[#This Row],[Edital]],tEditais[Edital],0)),"Não")</f>
        <v>Não</v>
      </c>
      <c r="P6805" s="4">
        <f>IF(COUNTIFS(INDEX(tItens[Edital],1):tItens[[#This Row],[Edital]],tItens[[#This Row],[Edital]],INDEX(tItens[Produto],1):tItens[[#This Row],[Produto]],tItens[[#This Row],[Produto]])=1,1,0)</f>
        <v>1</v>
      </c>
    </row>
    <row r="6806" spans="1:16" x14ac:dyDescent="0.25">
      <c r="A6806" t="s">
        <v>2418</v>
      </c>
      <c r="B6806">
        <v>101</v>
      </c>
      <c r="C6806" t="s">
        <v>9473</v>
      </c>
      <c r="D6806" t="s">
        <v>289</v>
      </c>
      <c r="E6806" s="13">
        <v>500</v>
      </c>
      <c r="F6806" s="12">
        <v>57.46</v>
      </c>
      <c r="G6806" t="str">
        <f>IFERROR(INDEX(tEditais[Órgão],MATCH(tItens[[#This Row],[Edital]],tEditais[Edital],0)),"")</f>
        <v>MUNICIPIO DE ALEXANDRIA</v>
      </c>
      <c r="H6806" t="str">
        <f>IFERROR(INDEX(tEditais[UF],MATCH(tItens[[#This Row],[Edital]],tEditais[Edital],0)),"")</f>
        <v>RN</v>
      </c>
      <c r="I6806" s="11">
        <f>IFERROR(INDEX(tEditais[Encerramento],MATCH(tItens[[#This Row],[Edital]],tEditais[Edital],0)),"")</f>
        <v>46314.415972222225</v>
      </c>
      <c r="J6806" t="str">
        <f>IFERROR(INDEX(tProdutos[Classe],MATCH(tItens[[#This Row],[Produto]],tProdutos[Produto],0)),"produto não cadastrado")</f>
        <v>DISPUTADO</v>
      </c>
      <c r="K6806" s="12">
        <f>tItens[[#This Row],[Qtd]]*tItens[[#This Row],[Vlr unit]]</f>
        <v>28730</v>
      </c>
      <c r="L6806" s="6">
        <f>IFERROR(IF(INDEX(tProdutos[Desconto homologado],MATCH(tItens[[#This Row],[Produto]],tProdutos[Produto],0))="",DescontoPadrao,INDEX(tProdutos[Desconto homologado],MATCH(tItens[[#This Row],[Produto]],tProdutos[Produto],0))),DescontoPadrao)</f>
        <v>0.35849056603773599</v>
      </c>
      <c r="M6806" s="12">
        <f>tItens[[#This Row],[Valor]]*(1-tItens[[#This Row],[Desconto]])</f>
        <v>18430.566037735844</v>
      </c>
      <c r="N6806" t="str">
        <f>IFERROR(INDEX(tProdutos[Foco],MATCH(tItens[[#This Row],[Produto]],tProdutos[Produto],0)),"Não")</f>
        <v>Não</v>
      </c>
      <c r="O6806" t="str">
        <f>IFERROR(INDEX(tEditais[SRP],MATCH(tItens[[#This Row],[Edital]],tEditais[Edital],0)),"Não")</f>
        <v>Não</v>
      </c>
      <c r="P6806" s="4">
        <f>IF(COUNTIFS(INDEX(tItens[Edital],1):tItens[[#This Row],[Edital]],tItens[[#This Row],[Edital]],INDEX(tItens[Produto],1):tItens[[#This Row],[Produto]],tItens[[#This Row],[Produto]])=1,1,0)</f>
        <v>0</v>
      </c>
    </row>
    <row r="6807" spans="1:16" x14ac:dyDescent="0.25">
      <c r="A6807" t="s">
        <v>2418</v>
      </c>
      <c r="B6807">
        <v>102</v>
      </c>
      <c r="C6807" t="s">
        <v>9474</v>
      </c>
      <c r="D6807" t="s">
        <v>283</v>
      </c>
      <c r="E6807" s="13">
        <v>500</v>
      </c>
      <c r="F6807" s="12">
        <v>50.05</v>
      </c>
      <c r="G6807" t="str">
        <f>IFERROR(INDEX(tEditais[Órgão],MATCH(tItens[[#This Row],[Edital]],tEditais[Edital],0)),"")</f>
        <v>MUNICIPIO DE ALEXANDRIA</v>
      </c>
      <c r="H6807" t="str">
        <f>IFERROR(INDEX(tEditais[UF],MATCH(tItens[[#This Row],[Edital]],tEditais[Edital],0)),"")</f>
        <v>RN</v>
      </c>
      <c r="I6807" s="11">
        <f>IFERROR(INDEX(tEditais[Encerramento],MATCH(tItens[[#This Row],[Edital]],tEditais[Edital],0)),"")</f>
        <v>46314.415972222225</v>
      </c>
      <c r="J6807" t="str">
        <f>IFERROR(INDEX(tProdutos[Classe],MATCH(tItens[[#This Row],[Produto]],tProdutos[Produto],0)),"produto não cadastrado")</f>
        <v>FORA</v>
      </c>
      <c r="K6807" s="12">
        <f>tItens[[#This Row],[Qtd]]*tItens[[#This Row],[Vlr unit]]</f>
        <v>25025</v>
      </c>
      <c r="L6807" s="6">
        <f>IFERROR(IF(INDEX(tProdutos[Desconto homologado],MATCH(tItens[[#This Row],[Produto]],tProdutos[Produto],0))="",DescontoPadrao,INDEX(tProdutos[Desconto homologado],MATCH(tItens[[#This Row],[Produto]],tProdutos[Produto],0))),DescontoPadrao)</f>
        <v>0.40540540540540498</v>
      </c>
      <c r="M6807" s="12">
        <f>tItens[[#This Row],[Valor]]*(1-tItens[[#This Row],[Desconto]])</f>
        <v>14879.729729729739</v>
      </c>
      <c r="N6807" t="str">
        <f>IFERROR(INDEX(tProdutos[Foco],MATCH(tItens[[#This Row],[Produto]],tProdutos[Produto],0)),"Não")</f>
        <v>Não</v>
      </c>
      <c r="O6807" t="str">
        <f>IFERROR(INDEX(tEditais[SRP],MATCH(tItens[[#This Row],[Edital]],tEditais[Edital],0)),"Não")</f>
        <v>Não</v>
      </c>
      <c r="P6807" s="4">
        <f>IF(COUNTIFS(INDEX(tItens[Edital],1):tItens[[#This Row],[Edital]],tItens[[#This Row],[Edital]],INDEX(tItens[Produto],1):tItens[[#This Row],[Produto]],tItens[[#This Row],[Produto]])=1,1,0)</f>
        <v>1</v>
      </c>
    </row>
    <row r="6808" spans="1:16" x14ac:dyDescent="0.25">
      <c r="A6808" t="s">
        <v>2418</v>
      </c>
      <c r="B6808">
        <v>103</v>
      </c>
      <c r="C6808" t="s">
        <v>9475</v>
      </c>
      <c r="D6808" t="s">
        <v>283</v>
      </c>
      <c r="E6808" s="13">
        <v>500</v>
      </c>
      <c r="F6808" s="12">
        <v>16.940000000000001</v>
      </c>
      <c r="G6808" t="str">
        <f>IFERROR(INDEX(tEditais[Órgão],MATCH(tItens[[#This Row],[Edital]],tEditais[Edital],0)),"")</f>
        <v>MUNICIPIO DE ALEXANDRIA</v>
      </c>
      <c r="H6808" t="str">
        <f>IFERROR(INDEX(tEditais[UF],MATCH(tItens[[#This Row],[Edital]],tEditais[Edital],0)),"")</f>
        <v>RN</v>
      </c>
      <c r="I6808" s="11">
        <f>IFERROR(INDEX(tEditais[Encerramento],MATCH(tItens[[#This Row],[Edital]],tEditais[Edital],0)),"")</f>
        <v>46314.415972222225</v>
      </c>
      <c r="J6808" t="str">
        <f>IFERROR(INDEX(tProdutos[Classe],MATCH(tItens[[#This Row],[Produto]],tProdutos[Produto],0)),"produto não cadastrado")</f>
        <v>FORA</v>
      </c>
      <c r="K6808" s="12">
        <f>tItens[[#This Row],[Qtd]]*tItens[[#This Row],[Vlr unit]]</f>
        <v>8470</v>
      </c>
      <c r="L6808" s="6">
        <f>IFERROR(IF(INDEX(tProdutos[Desconto homologado],MATCH(tItens[[#This Row],[Produto]],tProdutos[Produto],0))="",DescontoPadrao,INDEX(tProdutos[Desconto homologado],MATCH(tItens[[#This Row],[Produto]],tProdutos[Produto],0))),DescontoPadrao)</f>
        <v>0.40540540540540498</v>
      </c>
      <c r="M6808" s="12">
        <f>tItens[[#This Row],[Valor]]*(1-tItens[[#This Row],[Desconto]])</f>
        <v>5036.2162162162194</v>
      </c>
      <c r="N6808" t="str">
        <f>IFERROR(INDEX(tProdutos[Foco],MATCH(tItens[[#This Row],[Produto]],tProdutos[Produto],0)),"Não")</f>
        <v>Não</v>
      </c>
      <c r="O6808" t="str">
        <f>IFERROR(INDEX(tEditais[SRP],MATCH(tItens[[#This Row],[Edital]],tEditais[Edital],0)),"Não")</f>
        <v>Não</v>
      </c>
      <c r="P6808" s="4">
        <f>IF(COUNTIFS(INDEX(tItens[Edital],1):tItens[[#This Row],[Edital]],tItens[[#This Row],[Edital]],INDEX(tItens[Produto],1):tItens[[#This Row],[Produto]],tItens[[#This Row],[Produto]])=1,1,0)</f>
        <v>0</v>
      </c>
    </row>
    <row r="6809" spans="1:16" x14ac:dyDescent="0.25">
      <c r="A6809" t="s">
        <v>2418</v>
      </c>
      <c r="B6809">
        <v>104</v>
      </c>
      <c r="C6809" t="s">
        <v>9476</v>
      </c>
      <c r="D6809" t="s">
        <v>265</v>
      </c>
      <c r="E6809" s="13">
        <v>500</v>
      </c>
      <c r="F6809" s="12">
        <v>42.25</v>
      </c>
      <c r="G6809" t="str">
        <f>IFERROR(INDEX(tEditais[Órgão],MATCH(tItens[[#This Row],[Edital]],tEditais[Edital],0)),"")</f>
        <v>MUNICIPIO DE ALEXANDRIA</v>
      </c>
      <c r="H6809" t="str">
        <f>IFERROR(INDEX(tEditais[UF],MATCH(tItens[[#This Row],[Edital]],tEditais[Edital],0)),"")</f>
        <v>RN</v>
      </c>
      <c r="I6809" s="11">
        <f>IFERROR(INDEX(tEditais[Encerramento],MATCH(tItens[[#This Row],[Edital]],tEditais[Edital],0)),"")</f>
        <v>46314.415972222225</v>
      </c>
      <c r="J6809" t="str">
        <f>IFERROR(INDEX(tProdutos[Classe],MATCH(tItens[[#This Row],[Produto]],tProdutos[Produto],0)),"produto não cadastrado")</f>
        <v>DISPUTADO</v>
      </c>
      <c r="K6809" s="12">
        <f>tItens[[#This Row],[Qtd]]*tItens[[#This Row],[Vlr unit]]</f>
        <v>21125</v>
      </c>
      <c r="L6809" s="6">
        <f>IFERROR(IF(INDEX(tProdutos[Desconto homologado],MATCH(tItens[[#This Row],[Produto]],tProdutos[Produto],0))="",DescontoPadrao,INDEX(tProdutos[Desconto homologado],MATCH(tItens[[#This Row],[Produto]],tProdutos[Produto],0))),DescontoPadrao)</f>
        <v>0.377587663709337</v>
      </c>
      <c r="M6809" s="12">
        <f>tItens[[#This Row],[Valor]]*(1-tItens[[#This Row],[Desconto]])</f>
        <v>13148.460604140257</v>
      </c>
      <c r="N6809" t="str">
        <f>IFERROR(INDEX(tProdutos[Foco],MATCH(tItens[[#This Row],[Produto]],tProdutos[Produto],0)),"Não")</f>
        <v>Não</v>
      </c>
      <c r="O6809" t="str">
        <f>IFERROR(INDEX(tEditais[SRP],MATCH(tItens[[#This Row],[Edital]],tEditais[Edital],0)),"Não")</f>
        <v>Não</v>
      </c>
      <c r="P6809" s="4">
        <f>IF(COUNTIFS(INDEX(tItens[Edital],1):tItens[[#This Row],[Edital]],tItens[[#This Row],[Edital]],INDEX(tItens[Produto],1):tItens[[#This Row],[Produto]],tItens[[#This Row],[Produto]])=1,1,0)</f>
        <v>1</v>
      </c>
    </row>
    <row r="6810" spans="1:16" x14ac:dyDescent="0.25">
      <c r="A6810" t="s">
        <v>2418</v>
      </c>
      <c r="B6810">
        <v>105</v>
      </c>
      <c r="C6810" t="s">
        <v>9477</v>
      </c>
      <c r="D6810" t="s">
        <v>265</v>
      </c>
      <c r="E6810" s="13">
        <v>500</v>
      </c>
      <c r="F6810" s="12">
        <v>33</v>
      </c>
      <c r="G6810" t="str">
        <f>IFERROR(INDEX(tEditais[Órgão],MATCH(tItens[[#This Row],[Edital]],tEditais[Edital],0)),"")</f>
        <v>MUNICIPIO DE ALEXANDRIA</v>
      </c>
      <c r="H6810" t="str">
        <f>IFERROR(INDEX(tEditais[UF],MATCH(tItens[[#This Row],[Edital]],tEditais[Edital],0)),"")</f>
        <v>RN</v>
      </c>
      <c r="I6810" s="11">
        <f>IFERROR(INDEX(tEditais[Encerramento],MATCH(tItens[[#This Row],[Edital]],tEditais[Edital],0)),"")</f>
        <v>46314.415972222225</v>
      </c>
      <c r="J6810" t="str">
        <f>IFERROR(INDEX(tProdutos[Classe],MATCH(tItens[[#This Row],[Produto]],tProdutos[Produto],0)),"produto não cadastrado")</f>
        <v>DISPUTADO</v>
      </c>
      <c r="K6810" s="12">
        <f>tItens[[#This Row],[Qtd]]*tItens[[#This Row],[Vlr unit]]</f>
        <v>16500</v>
      </c>
      <c r="L6810" s="6">
        <f>IFERROR(IF(INDEX(tProdutos[Desconto homologado],MATCH(tItens[[#This Row],[Produto]],tProdutos[Produto],0))="",DescontoPadrao,INDEX(tProdutos[Desconto homologado],MATCH(tItens[[#This Row],[Produto]],tProdutos[Produto],0))),DescontoPadrao)</f>
        <v>0.377587663709337</v>
      </c>
      <c r="M6810" s="12">
        <f>tItens[[#This Row],[Valor]]*(1-tItens[[#This Row],[Desconto]])</f>
        <v>10269.803548795941</v>
      </c>
      <c r="N6810" t="str">
        <f>IFERROR(INDEX(tProdutos[Foco],MATCH(tItens[[#This Row],[Produto]],tProdutos[Produto],0)),"Não")</f>
        <v>Não</v>
      </c>
      <c r="O6810" t="str">
        <f>IFERROR(INDEX(tEditais[SRP],MATCH(tItens[[#This Row],[Edital]],tEditais[Edital],0)),"Não")</f>
        <v>Não</v>
      </c>
      <c r="P6810" s="4">
        <f>IF(COUNTIFS(INDEX(tItens[Edital],1):tItens[[#This Row],[Edital]],tItens[[#This Row],[Edital]],INDEX(tItens[Produto],1):tItens[[#This Row],[Produto]],tItens[[#This Row],[Produto]])=1,1,0)</f>
        <v>0</v>
      </c>
    </row>
    <row r="6811" spans="1:16" x14ac:dyDescent="0.25">
      <c r="A6811" t="s">
        <v>2418</v>
      </c>
      <c r="B6811">
        <v>106</v>
      </c>
      <c r="C6811" t="s">
        <v>9478</v>
      </c>
      <c r="D6811" t="s">
        <v>275</v>
      </c>
      <c r="E6811" s="13">
        <v>500</v>
      </c>
      <c r="F6811" s="12">
        <v>50.5</v>
      </c>
      <c r="G6811" t="str">
        <f>IFERROR(INDEX(tEditais[Órgão],MATCH(tItens[[#This Row],[Edital]],tEditais[Edital],0)),"")</f>
        <v>MUNICIPIO DE ALEXANDRIA</v>
      </c>
      <c r="H6811" t="str">
        <f>IFERROR(INDEX(tEditais[UF],MATCH(tItens[[#This Row],[Edital]],tEditais[Edital],0)),"")</f>
        <v>RN</v>
      </c>
      <c r="I6811" s="11">
        <f>IFERROR(INDEX(tEditais[Encerramento],MATCH(tItens[[#This Row],[Edital]],tEditais[Edital],0)),"")</f>
        <v>46314.415972222225</v>
      </c>
      <c r="J6811" t="str">
        <f>IFERROR(INDEX(tProdutos[Classe],MATCH(tItens[[#This Row],[Produto]],tProdutos[Produto],0)),"produto não cadastrado")</f>
        <v>FORA</v>
      </c>
      <c r="K6811" s="12">
        <f>tItens[[#This Row],[Qtd]]*tItens[[#This Row],[Vlr unit]]</f>
        <v>25250</v>
      </c>
      <c r="L6811" s="6">
        <f>IFERROR(IF(INDEX(tProdutos[Desconto homologado],MATCH(tItens[[#This Row],[Produto]],tProdutos[Produto],0))="",DescontoPadrao,INDEX(tProdutos[Desconto homologado],MATCH(tItens[[#This Row],[Produto]],tProdutos[Produto],0))),DescontoPadrao)</f>
        <v>0.405797101449275</v>
      </c>
      <c r="M6811" s="12">
        <f>tItens[[#This Row],[Valor]]*(1-tItens[[#This Row],[Desconto]])</f>
        <v>15003.623188405807</v>
      </c>
      <c r="N6811" t="str">
        <f>IFERROR(INDEX(tProdutos[Foco],MATCH(tItens[[#This Row],[Produto]],tProdutos[Produto],0)),"Não")</f>
        <v>Não</v>
      </c>
      <c r="O6811" t="str">
        <f>IFERROR(INDEX(tEditais[SRP],MATCH(tItens[[#This Row],[Edital]],tEditais[Edital],0)),"Não")</f>
        <v>Não</v>
      </c>
      <c r="P6811" s="4">
        <f>IF(COUNTIFS(INDEX(tItens[Edital],1):tItens[[#This Row],[Edital]],tItens[[#This Row],[Edital]],INDEX(tItens[Produto],1):tItens[[#This Row],[Produto]],tItens[[#This Row],[Produto]])=1,1,0)</f>
        <v>0</v>
      </c>
    </row>
    <row r="6812" spans="1:16" x14ac:dyDescent="0.25">
      <c r="A6812" t="s">
        <v>2418</v>
      </c>
      <c r="B6812">
        <v>114</v>
      </c>
      <c r="C6812" t="s">
        <v>9479</v>
      </c>
      <c r="D6812" t="s">
        <v>184</v>
      </c>
      <c r="E6812" s="13">
        <v>200</v>
      </c>
      <c r="F6812" s="12">
        <v>38.99</v>
      </c>
      <c r="G6812" t="str">
        <f>IFERROR(INDEX(tEditais[Órgão],MATCH(tItens[[#This Row],[Edital]],tEditais[Edital],0)),"")</f>
        <v>MUNICIPIO DE ALEXANDRIA</v>
      </c>
      <c r="H6812" t="str">
        <f>IFERROR(INDEX(tEditais[UF],MATCH(tItens[[#This Row],[Edital]],tEditais[Edital],0)),"")</f>
        <v>RN</v>
      </c>
      <c r="I6812" s="11">
        <f>IFERROR(INDEX(tEditais[Encerramento],MATCH(tItens[[#This Row],[Edital]],tEditais[Edital],0)),"")</f>
        <v>46314.415972222225</v>
      </c>
      <c r="J6812" t="str">
        <f>IFERROR(INDEX(tProdutos[Classe],MATCH(tItens[[#This Row],[Produto]],tProdutos[Produto],0)),"produto não cadastrado")</f>
        <v>FORA</v>
      </c>
      <c r="K6812" s="12">
        <f>tItens[[#This Row],[Qtd]]*tItens[[#This Row],[Vlr unit]]</f>
        <v>7798</v>
      </c>
      <c r="L6812" s="6">
        <f>IFERROR(IF(INDEX(tProdutos[Desconto homologado],MATCH(tItens[[#This Row],[Produto]],tProdutos[Produto],0))="",DescontoPadrao,INDEX(tProdutos[Desconto homologado],MATCH(tItens[[#This Row],[Produto]],tProdutos[Produto],0))),DescontoPadrao)</f>
        <v>0.363567906332742</v>
      </c>
      <c r="M6812" s="12">
        <f>tItens[[#This Row],[Valor]]*(1-tItens[[#This Row],[Desconto]])</f>
        <v>4962.8974664172783</v>
      </c>
      <c r="N6812" t="str">
        <f>IFERROR(INDEX(tProdutos[Foco],MATCH(tItens[[#This Row],[Produto]],tProdutos[Produto],0)),"Não")</f>
        <v>Não</v>
      </c>
      <c r="O6812" t="str">
        <f>IFERROR(INDEX(tEditais[SRP],MATCH(tItens[[#This Row],[Edital]],tEditais[Edital],0)),"Não")</f>
        <v>Não</v>
      </c>
      <c r="P6812" s="4">
        <f>IF(COUNTIFS(INDEX(tItens[Edital],1):tItens[[#This Row],[Edital]],tItens[[#This Row],[Edital]],INDEX(tItens[Produto],1):tItens[[#This Row],[Produto]],tItens[[#This Row],[Produto]])=1,1,0)</f>
        <v>1</v>
      </c>
    </row>
    <row r="6813" spans="1:16" x14ac:dyDescent="0.25">
      <c r="A6813" t="s">
        <v>2418</v>
      </c>
      <c r="B6813">
        <v>115</v>
      </c>
      <c r="C6813" t="s">
        <v>9480</v>
      </c>
      <c r="D6813" t="s">
        <v>184</v>
      </c>
      <c r="E6813" s="13">
        <v>200</v>
      </c>
      <c r="F6813" s="12">
        <v>35.770000000000003</v>
      </c>
      <c r="G6813" t="str">
        <f>IFERROR(INDEX(tEditais[Órgão],MATCH(tItens[[#This Row],[Edital]],tEditais[Edital],0)),"")</f>
        <v>MUNICIPIO DE ALEXANDRIA</v>
      </c>
      <c r="H6813" t="str">
        <f>IFERROR(INDEX(tEditais[UF],MATCH(tItens[[#This Row],[Edital]],tEditais[Edital],0)),"")</f>
        <v>RN</v>
      </c>
      <c r="I6813" s="11">
        <f>IFERROR(INDEX(tEditais[Encerramento],MATCH(tItens[[#This Row],[Edital]],tEditais[Edital],0)),"")</f>
        <v>46314.415972222225</v>
      </c>
      <c r="J6813" t="str">
        <f>IFERROR(INDEX(tProdutos[Classe],MATCH(tItens[[#This Row],[Produto]],tProdutos[Produto],0)),"produto não cadastrado")</f>
        <v>FORA</v>
      </c>
      <c r="K6813" s="12">
        <f>tItens[[#This Row],[Qtd]]*tItens[[#This Row],[Vlr unit]]</f>
        <v>7154.0000000000009</v>
      </c>
      <c r="L6813" s="6">
        <f>IFERROR(IF(INDEX(tProdutos[Desconto homologado],MATCH(tItens[[#This Row],[Produto]],tProdutos[Produto],0))="",DescontoPadrao,INDEX(tProdutos[Desconto homologado],MATCH(tItens[[#This Row],[Produto]],tProdutos[Produto],0))),DescontoPadrao)</f>
        <v>0.363567906332742</v>
      </c>
      <c r="M6813" s="12">
        <f>tItens[[#This Row],[Valor]]*(1-tItens[[#This Row],[Desconto]])</f>
        <v>4553.0351980955647</v>
      </c>
      <c r="N6813" t="str">
        <f>IFERROR(INDEX(tProdutos[Foco],MATCH(tItens[[#This Row],[Produto]],tProdutos[Produto],0)),"Não")</f>
        <v>Não</v>
      </c>
      <c r="O6813" t="str">
        <f>IFERROR(INDEX(tEditais[SRP],MATCH(tItens[[#This Row],[Edital]],tEditais[Edital],0)),"Não")</f>
        <v>Não</v>
      </c>
      <c r="P6813" s="4">
        <f>IF(COUNTIFS(INDEX(tItens[Edital],1):tItens[[#This Row],[Edital]],tItens[[#This Row],[Edital]],INDEX(tItens[Produto],1):tItens[[#This Row],[Produto]],tItens[[#This Row],[Produto]])=1,1,0)</f>
        <v>0</v>
      </c>
    </row>
    <row r="6814" spans="1:16" x14ac:dyDescent="0.25">
      <c r="A6814" t="s">
        <v>2418</v>
      </c>
      <c r="B6814">
        <v>116</v>
      </c>
      <c r="C6814" t="s">
        <v>9481</v>
      </c>
      <c r="D6814" t="s">
        <v>184</v>
      </c>
      <c r="E6814" s="13">
        <v>50</v>
      </c>
      <c r="F6814" s="12">
        <v>17.37</v>
      </c>
      <c r="G6814" t="str">
        <f>IFERROR(INDEX(tEditais[Órgão],MATCH(tItens[[#This Row],[Edital]],tEditais[Edital],0)),"")</f>
        <v>MUNICIPIO DE ALEXANDRIA</v>
      </c>
      <c r="H6814" t="str">
        <f>IFERROR(INDEX(tEditais[UF],MATCH(tItens[[#This Row],[Edital]],tEditais[Edital],0)),"")</f>
        <v>RN</v>
      </c>
      <c r="I6814" s="11">
        <f>IFERROR(INDEX(tEditais[Encerramento],MATCH(tItens[[#This Row],[Edital]],tEditais[Edital],0)),"")</f>
        <v>46314.415972222225</v>
      </c>
      <c r="J6814" t="str">
        <f>IFERROR(INDEX(tProdutos[Classe],MATCH(tItens[[#This Row],[Produto]],tProdutos[Produto],0)),"produto não cadastrado")</f>
        <v>FORA</v>
      </c>
      <c r="K6814" s="12">
        <f>tItens[[#This Row],[Qtd]]*tItens[[#This Row],[Vlr unit]]</f>
        <v>868.5</v>
      </c>
      <c r="L6814" s="6">
        <f>IFERROR(IF(INDEX(tProdutos[Desconto homologado],MATCH(tItens[[#This Row],[Produto]],tProdutos[Produto],0))="",DescontoPadrao,INDEX(tProdutos[Desconto homologado],MATCH(tItens[[#This Row],[Produto]],tProdutos[Produto],0))),DescontoPadrao)</f>
        <v>0.363567906332742</v>
      </c>
      <c r="M6814" s="12">
        <f>tItens[[#This Row],[Valor]]*(1-tItens[[#This Row],[Desconto]])</f>
        <v>552.74127335001367</v>
      </c>
      <c r="N6814" t="str">
        <f>IFERROR(INDEX(tProdutos[Foco],MATCH(tItens[[#This Row],[Produto]],tProdutos[Produto],0)),"Não")</f>
        <v>Não</v>
      </c>
      <c r="O6814" t="str">
        <f>IFERROR(INDEX(tEditais[SRP],MATCH(tItens[[#This Row],[Edital]],tEditais[Edital],0)),"Não")</f>
        <v>Não</v>
      </c>
      <c r="P6814" s="4">
        <f>IF(COUNTIFS(INDEX(tItens[Edital],1):tItens[[#This Row],[Edital]],tItens[[#This Row],[Edital]],INDEX(tItens[Produto],1):tItens[[#This Row],[Produto]],tItens[[#This Row],[Produto]])=1,1,0)</f>
        <v>0</v>
      </c>
    </row>
    <row r="6815" spans="1:16" x14ac:dyDescent="0.25">
      <c r="A6815" t="s">
        <v>2418</v>
      </c>
      <c r="B6815">
        <v>117</v>
      </c>
      <c r="C6815" t="s">
        <v>9482</v>
      </c>
      <c r="D6815" t="s">
        <v>184</v>
      </c>
      <c r="E6815" s="13">
        <v>50</v>
      </c>
      <c r="F6815" s="12">
        <v>45.44</v>
      </c>
      <c r="G6815" t="str">
        <f>IFERROR(INDEX(tEditais[Órgão],MATCH(tItens[[#This Row],[Edital]],tEditais[Edital],0)),"")</f>
        <v>MUNICIPIO DE ALEXANDRIA</v>
      </c>
      <c r="H6815" t="str">
        <f>IFERROR(INDEX(tEditais[UF],MATCH(tItens[[#This Row],[Edital]],tEditais[Edital],0)),"")</f>
        <v>RN</v>
      </c>
      <c r="I6815" s="11">
        <f>IFERROR(INDEX(tEditais[Encerramento],MATCH(tItens[[#This Row],[Edital]],tEditais[Edital],0)),"")</f>
        <v>46314.415972222225</v>
      </c>
      <c r="J6815" t="str">
        <f>IFERROR(INDEX(tProdutos[Classe],MATCH(tItens[[#This Row],[Produto]],tProdutos[Produto],0)),"produto não cadastrado")</f>
        <v>FORA</v>
      </c>
      <c r="K6815" s="12">
        <f>tItens[[#This Row],[Qtd]]*tItens[[#This Row],[Vlr unit]]</f>
        <v>2272</v>
      </c>
      <c r="L6815" s="6">
        <f>IFERROR(IF(INDEX(tProdutos[Desconto homologado],MATCH(tItens[[#This Row],[Produto]],tProdutos[Produto],0))="",DescontoPadrao,INDEX(tProdutos[Desconto homologado],MATCH(tItens[[#This Row],[Produto]],tProdutos[Produto],0))),DescontoPadrao)</f>
        <v>0.363567906332742</v>
      </c>
      <c r="M6815" s="12">
        <f>tItens[[#This Row],[Valor]]*(1-tItens[[#This Row],[Desconto]])</f>
        <v>1445.9737168120103</v>
      </c>
      <c r="N6815" t="str">
        <f>IFERROR(INDEX(tProdutos[Foco],MATCH(tItens[[#This Row],[Produto]],tProdutos[Produto],0)),"Não")</f>
        <v>Não</v>
      </c>
      <c r="O6815" t="str">
        <f>IFERROR(INDEX(tEditais[SRP],MATCH(tItens[[#This Row],[Edital]],tEditais[Edital],0)),"Não")</f>
        <v>Não</v>
      </c>
      <c r="P6815" s="4">
        <f>IF(COUNTIFS(INDEX(tItens[Edital],1):tItens[[#This Row],[Edital]],tItens[[#This Row],[Edital]],INDEX(tItens[Produto],1):tItens[[#This Row],[Produto]],tItens[[#This Row],[Produto]])=1,1,0)</f>
        <v>0</v>
      </c>
    </row>
    <row r="6816" spans="1:16" x14ac:dyDescent="0.25">
      <c r="A6816" t="s">
        <v>2418</v>
      </c>
      <c r="B6816">
        <v>118</v>
      </c>
      <c r="C6816" t="s">
        <v>9483</v>
      </c>
      <c r="D6816" t="s">
        <v>184</v>
      </c>
      <c r="E6816" s="13">
        <v>200</v>
      </c>
      <c r="F6816" s="12">
        <v>36.49</v>
      </c>
      <c r="G6816" t="str">
        <f>IFERROR(INDEX(tEditais[Órgão],MATCH(tItens[[#This Row],[Edital]],tEditais[Edital],0)),"")</f>
        <v>MUNICIPIO DE ALEXANDRIA</v>
      </c>
      <c r="H6816" t="str">
        <f>IFERROR(INDEX(tEditais[UF],MATCH(tItens[[#This Row],[Edital]],tEditais[Edital],0)),"")</f>
        <v>RN</v>
      </c>
      <c r="I6816" s="11">
        <f>IFERROR(INDEX(tEditais[Encerramento],MATCH(tItens[[#This Row],[Edital]],tEditais[Edital],0)),"")</f>
        <v>46314.415972222225</v>
      </c>
      <c r="J6816" t="str">
        <f>IFERROR(INDEX(tProdutos[Classe],MATCH(tItens[[#This Row],[Produto]],tProdutos[Produto],0)),"produto não cadastrado")</f>
        <v>FORA</v>
      </c>
      <c r="K6816" s="12">
        <f>tItens[[#This Row],[Qtd]]*tItens[[#This Row],[Vlr unit]]</f>
        <v>7298</v>
      </c>
      <c r="L6816" s="6">
        <f>IFERROR(IF(INDEX(tProdutos[Desconto homologado],MATCH(tItens[[#This Row],[Produto]],tProdutos[Produto],0))="",DescontoPadrao,INDEX(tProdutos[Desconto homologado],MATCH(tItens[[#This Row],[Produto]],tProdutos[Produto],0))),DescontoPadrao)</f>
        <v>0.363567906332742</v>
      </c>
      <c r="M6816" s="12">
        <f>tItens[[#This Row],[Valor]]*(1-tItens[[#This Row],[Desconto]])</f>
        <v>4644.6814195836496</v>
      </c>
      <c r="N6816" t="str">
        <f>IFERROR(INDEX(tProdutos[Foco],MATCH(tItens[[#This Row],[Produto]],tProdutos[Produto],0)),"Não")</f>
        <v>Não</v>
      </c>
      <c r="O6816" t="str">
        <f>IFERROR(INDEX(tEditais[SRP],MATCH(tItens[[#This Row],[Edital]],tEditais[Edital],0)),"Não")</f>
        <v>Não</v>
      </c>
      <c r="P6816" s="4">
        <f>IF(COUNTIFS(INDEX(tItens[Edital],1):tItens[[#This Row],[Edital]],tItens[[#This Row],[Edital]],INDEX(tItens[Produto],1):tItens[[#This Row],[Produto]],tItens[[#This Row],[Produto]])=1,1,0)</f>
        <v>0</v>
      </c>
    </row>
    <row r="6817" spans="1:16" x14ac:dyDescent="0.25">
      <c r="A6817" t="s">
        <v>2418</v>
      </c>
      <c r="B6817">
        <v>119</v>
      </c>
      <c r="C6817" t="s">
        <v>9484</v>
      </c>
      <c r="D6817" t="s">
        <v>184</v>
      </c>
      <c r="E6817" s="13">
        <v>200</v>
      </c>
      <c r="F6817" s="12">
        <v>26.64</v>
      </c>
      <c r="G6817" t="str">
        <f>IFERROR(INDEX(tEditais[Órgão],MATCH(tItens[[#This Row],[Edital]],tEditais[Edital],0)),"")</f>
        <v>MUNICIPIO DE ALEXANDRIA</v>
      </c>
      <c r="H6817" t="str">
        <f>IFERROR(INDEX(tEditais[UF],MATCH(tItens[[#This Row],[Edital]],tEditais[Edital],0)),"")</f>
        <v>RN</v>
      </c>
      <c r="I6817" s="11">
        <f>IFERROR(INDEX(tEditais[Encerramento],MATCH(tItens[[#This Row],[Edital]],tEditais[Edital],0)),"")</f>
        <v>46314.415972222225</v>
      </c>
      <c r="J6817" t="str">
        <f>IFERROR(INDEX(tProdutos[Classe],MATCH(tItens[[#This Row],[Produto]],tProdutos[Produto],0)),"produto não cadastrado")</f>
        <v>FORA</v>
      </c>
      <c r="K6817" s="12">
        <f>tItens[[#This Row],[Qtd]]*tItens[[#This Row],[Vlr unit]]</f>
        <v>5328</v>
      </c>
      <c r="L6817" s="6">
        <f>IFERROR(IF(INDEX(tProdutos[Desconto homologado],MATCH(tItens[[#This Row],[Produto]],tProdutos[Produto],0))="",DescontoPadrao,INDEX(tProdutos[Desconto homologado],MATCH(tItens[[#This Row],[Produto]],tProdutos[Produto],0))),DescontoPadrao)</f>
        <v>0.363567906332742</v>
      </c>
      <c r="M6817" s="12">
        <f>tItens[[#This Row],[Valor]]*(1-tItens[[#This Row],[Desconto]])</f>
        <v>3390.9101950591507</v>
      </c>
      <c r="N6817" t="str">
        <f>IFERROR(INDEX(tProdutos[Foco],MATCH(tItens[[#This Row],[Produto]],tProdutos[Produto],0)),"Não")</f>
        <v>Não</v>
      </c>
      <c r="O6817" t="str">
        <f>IFERROR(INDEX(tEditais[SRP],MATCH(tItens[[#This Row],[Edital]],tEditais[Edital],0)),"Não")</f>
        <v>Não</v>
      </c>
      <c r="P6817" s="4">
        <f>IF(COUNTIFS(INDEX(tItens[Edital],1):tItens[[#This Row],[Edital]],tItens[[#This Row],[Edital]],INDEX(tItens[Produto],1):tItens[[#This Row],[Produto]],tItens[[#This Row],[Produto]])=1,1,0)</f>
        <v>0</v>
      </c>
    </row>
    <row r="6818" spans="1:16" x14ac:dyDescent="0.25">
      <c r="A6818" t="s">
        <v>2418</v>
      </c>
      <c r="B6818">
        <v>120</v>
      </c>
      <c r="C6818" t="s">
        <v>9485</v>
      </c>
      <c r="D6818" t="s">
        <v>184</v>
      </c>
      <c r="E6818" s="13">
        <v>200</v>
      </c>
      <c r="F6818" s="12">
        <v>31.85</v>
      </c>
      <c r="G6818" t="str">
        <f>IFERROR(INDEX(tEditais[Órgão],MATCH(tItens[[#This Row],[Edital]],tEditais[Edital],0)),"")</f>
        <v>MUNICIPIO DE ALEXANDRIA</v>
      </c>
      <c r="H6818" t="str">
        <f>IFERROR(INDEX(tEditais[UF],MATCH(tItens[[#This Row],[Edital]],tEditais[Edital],0)),"")</f>
        <v>RN</v>
      </c>
      <c r="I6818" s="11">
        <f>IFERROR(INDEX(tEditais[Encerramento],MATCH(tItens[[#This Row],[Edital]],tEditais[Edital],0)),"")</f>
        <v>46314.415972222225</v>
      </c>
      <c r="J6818" t="str">
        <f>IFERROR(INDEX(tProdutos[Classe],MATCH(tItens[[#This Row],[Produto]],tProdutos[Produto],0)),"produto não cadastrado")</f>
        <v>FORA</v>
      </c>
      <c r="K6818" s="12">
        <f>tItens[[#This Row],[Qtd]]*tItens[[#This Row],[Vlr unit]]</f>
        <v>6370</v>
      </c>
      <c r="L6818" s="6">
        <f>IFERROR(IF(INDEX(tProdutos[Desconto homologado],MATCH(tItens[[#This Row],[Produto]],tProdutos[Produto],0))="",DescontoPadrao,INDEX(tProdutos[Desconto homologado],MATCH(tItens[[#This Row],[Produto]],tProdutos[Produto],0))),DescontoPadrao)</f>
        <v>0.363567906332742</v>
      </c>
      <c r="M6818" s="12">
        <f>tItens[[#This Row],[Valor]]*(1-tItens[[#This Row],[Desconto]])</f>
        <v>4054.0724366604341</v>
      </c>
      <c r="N6818" t="str">
        <f>IFERROR(INDEX(tProdutos[Foco],MATCH(tItens[[#This Row],[Produto]],tProdutos[Produto],0)),"Não")</f>
        <v>Não</v>
      </c>
      <c r="O6818" t="str">
        <f>IFERROR(INDEX(tEditais[SRP],MATCH(tItens[[#This Row],[Edital]],tEditais[Edital],0)),"Não")</f>
        <v>Não</v>
      </c>
      <c r="P6818" s="4">
        <f>IF(COUNTIFS(INDEX(tItens[Edital],1):tItens[[#This Row],[Edital]],tItens[[#This Row],[Edital]],INDEX(tItens[Produto],1):tItens[[#This Row],[Produto]],tItens[[#This Row],[Produto]])=1,1,0)</f>
        <v>0</v>
      </c>
    </row>
    <row r="6819" spans="1:16" x14ac:dyDescent="0.25">
      <c r="A6819" t="s">
        <v>2418</v>
      </c>
      <c r="B6819">
        <v>121</v>
      </c>
      <c r="C6819" t="s">
        <v>7871</v>
      </c>
      <c r="D6819" t="s">
        <v>120</v>
      </c>
      <c r="E6819" s="13">
        <v>3000</v>
      </c>
      <c r="F6819" s="12">
        <v>1.36</v>
      </c>
      <c r="G6819" t="str">
        <f>IFERROR(INDEX(tEditais[Órgão],MATCH(tItens[[#This Row],[Edital]],tEditais[Edital],0)),"")</f>
        <v>MUNICIPIO DE ALEXANDRIA</v>
      </c>
      <c r="H6819" t="str">
        <f>IFERROR(INDEX(tEditais[UF],MATCH(tItens[[#This Row],[Edital]],tEditais[Edital],0)),"")</f>
        <v>RN</v>
      </c>
      <c r="I6819" s="11">
        <f>IFERROR(INDEX(tEditais[Encerramento],MATCH(tItens[[#This Row],[Edital]],tEditais[Edital],0)),"")</f>
        <v>46314.415972222225</v>
      </c>
      <c r="J6819" t="str">
        <f>IFERROR(INDEX(tProdutos[Classe],MATCH(tItens[[#This Row],[Produto]],tProdutos[Produto],0)),"produto não cadastrado")</f>
        <v>DISPUTADO</v>
      </c>
      <c r="K6819" s="12">
        <f>tItens[[#This Row],[Qtd]]*tItens[[#This Row],[Vlr unit]]</f>
        <v>4080.0000000000005</v>
      </c>
      <c r="L6819" s="6">
        <f>IFERROR(IF(INDEX(tProdutos[Desconto homologado],MATCH(tItens[[#This Row],[Produto]],tProdutos[Produto],0))="",DescontoPadrao,INDEX(tProdutos[Desconto homologado],MATCH(tItens[[#This Row],[Produto]],tProdutos[Produto],0))),DescontoPadrao)</f>
        <v>0.40909090909090901</v>
      </c>
      <c r="M6819" s="12">
        <f>tItens[[#This Row],[Valor]]*(1-tItens[[#This Row],[Desconto]])</f>
        <v>2410.9090909090919</v>
      </c>
      <c r="N6819" t="str">
        <f>IFERROR(INDEX(tProdutos[Foco],MATCH(tItens[[#This Row],[Produto]],tProdutos[Produto],0)),"Não")</f>
        <v>Não</v>
      </c>
      <c r="O6819" t="str">
        <f>IFERROR(INDEX(tEditais[SRP],MATCH(tItens[[#This Row],[Edital]],tEditais[Edital],0)),"Não")</f>
        <v>Não</v>
      </c>
      <c r="P6819" s="4">
        <f>IF(COUNTIFS(INDEX(tItens[Edital],1):tItens[[#This Row],[Edital]],tItens[[#This Row],[Edital]],INDEX(tItens[Produto],1):tItens[[#This Row],[Produto]],tItens[[#This Row],[Produto]])=1,1,0)</f>
        <v>1</v>
      </c>
    </row>
    <row r="6820" spans="1:16" x14ac:dyDescent="0.25">
      <c r="A6820" t="s">
        <v>2418</v>
      </c>
      <c r="B6820">
        <v>122</v>
      </c>
      <c r="C6820" t="s">
        <v>4888</v>
      </c>
      <c r="D6820" t="s">
        <v>120</v>
      </c>
      <c r="E6820" s="13">
        <v>6000</v>
      </c>
      <c r="F6820" s="12">
        <v>1.88</v>
      </c>
      <c r="G6820" t="str">
        <f>IFERROR(INDEX(tEditais[Órgão],MATCH(tItens[[#This Row],[Edital]],tEditais[Edital],0)),"")</f>
        <v>MUNICIPIO DE ALEXANDRIA</v>
      </c>
      <c r="H6820" t="str">
        <f>IFERROR(INDEX(tEditais[UF],MATCH(tItens[[#This Row],[Edital]],tEditais[Edital],0)),"")</f>
        <v>RN</v>
      </c>
      <c r="I6820" s="11">
        <f>IFERROR(INDEX(tEditais[Encerramento],MATCH(tItens[[#This Row],[Edital]],tEditais[Edital],0)),"")</f>
        <v>46314.415972222225</v>
      </c>
      <c r="J6820" t="str">
        <f>IFERROR(INDEX(tProdutos[Classe],MATCH(tItens[[#This Row],[Produto]],tProdutos[Produto],0)),"produto não cadastrado")</f>
        <v>DISPUTADO</v>
      </c>
      <c r="K6820" s="12">
        <f>tItens[[#This Row],[Qtd]]*tItens[[#This Row],[Vlr unit]]</f>
        <v>11280</v>
      </c>
      <c r="L6820" s="6">
        <f>IFERROR(IF(INDEX(tProdutos[Desconto homologado],MATCH(tItens[[#This Row],[Produto]],tProdutos[Produto],0))="",DescontoPadrao,INDEX(tProdutos[Desconto homologado],MATCH(tItens[[#This Row],[Produto]],tProdutos[Produto],0))),DescontoPadrao)</f>
        <v>0.40909090909090901</v>
      </c>
      <c r="M6820" s="12">
        <f>tItens[[#This Row],[Valor]]*(1-tItens[[#This Row],[Desconto]])</f>
        <v>6665.4545454545469</v>
      </c>
      <c r="N6820" t="str">
        <f>IFERROR(INDEX(tProdutos[Foco],MATCH(tItens[[#This Row],[Produto]],tProdutos[Produto],0)),"Não")</f>
        <v>Não</v>
      </c>
      <c r="O6820" t="str">
        <f>IFERROR(INDEX(tEditais[SRP],MATCH(tItens[[#This Row],[Edital]],tEditais[Edital],0)),"Não")</f>
        <v>Não</v>
      </c>
      <c r="P6820" s="4">
        <f>IF(COUNTIFS(INDEX(tItens[Edital],1):tItens[[#This Row],[Edital]],tItens[[#This Row],[Edital]],INDEX(tItens[Produto],1):tItens[[#This Row],[Produto]],tItens[[#This Row],[Produto]])=1,1,0)</f>
        <v>0</v>
      </c>
    </row>
    <row r="6821" spans="1:16" x14ac:dyDescent="0.25">
      <c r="A6821" t="s">
        <v>2418</v>
      </c>
      <c r="B6821">
        <v>123</v>
      </c>
      <c r="C6821" t="s">
        <v>9486</v>
      </c>
      <c r="D6821" t="s">
        <v>120</v>
      </c>
      <c r="E6821" s="13">
        <v>3000</v>
      </c>
      <c r="F6821" s="12">
        <v>1.99</v>
      </c>
      <c r="G6821" t="str">
        <f>IFERROR(INDEX(tEditais[Órgão],MATCH(tItens[[#This Row],[Edital]],tEditais[Edital],0)),"")</f>
        <v>MUNICIPIO DE ALEXANDRIA</v>
      </c>
      <c r="H6821" t="str">
        <f>IFERROR(INDEX(tEditais[UF],MATCH(tItens[[#This Row],[Edital]],tEditais[Edital],0)),"")</f>
        <v>RN</v>
      </c>
      <c r="I6821" s="11">
        <f>IFERROR(INDEX(tEditais[Encerramento],MATCH(tItens[[#This Row],[Edital]],tEditais[Edital],0)),"")</f>
        <v>46314.415972222225</v>
      </c>
      <c r="J6821" t="str">
        <f>IFERROR(INDEX(tProdutos[Classe],MATCH(tItens[[#This Row],[Produto]],tProdutos[Produto],0)),"produto não cadastrado")</f>
        <v>DISPUTADO</v>
      </c>
      <c r="K6821" s="12">
        <f>tItens[[#This Row],[Qtd]]*tItens[[#This Row],[Vlr unit]]</f>
        <v>5970</v>
      </c>
      <c r="L6821" s="6">
        <f>IFERROR(IF(INDEX(tProdutos[Desconto homologado],MATCH(tItens[[#This Row],[Produto]],tProdutos[Produto],0))="",DescontoPadrao,INDEX(tProdutos[Desconto homologado],MATCH(tItens[[#This Row],[Produto]],tProdutos[Produto],0))),DescontoPadrao)</f>
        <v>0.40909090909090901</v>
      </c>
      <c r="M6821" s="12">
        <f>tItens[[#This Row],[Valor]]*(1-tItens[[#This Row],[Desconto]])</f>
        <v>3527.7272727272734</v>
      </c>
      <c r="N6821" t="str">
        <f>IFERROR(INDEX(tProdutos[Foco],MATCH(tItens[[#This Row],[Produto]],tProdutos[Produto],0)),"Não")</f>
        <v>Não</v>
      </c>
      <c r="O6821" t="str">
        <f>IFERROR(INDEX(tEditais[SRP],MATCH(tItens[[#This Row],[Edital]],tEditais[Edital],0)),"Não")</f>
        <v>Não</v>
      </c>
      <c r="P6821" s="4">
        <f>IF(COUNTIFS(INDEX(tItens[Edital],1):tItens[[#This Row],[Edital]],tItens[[#This Row],[Edital]],INDEX(tItens[Produto],1):tItens[[#This Row],[Produto]],tItens[[#This Row],[Produto]])=1,1,0)</f>
        <v>0</v>
      </c>
    </row>
    <row r="6822" spans="1:16" x14ac:dyDescent="0.25">
      <c r="A6822" t="s">
        <v>2418</v>
      </c>
      <c r="B6822">
        <v>124</v>
      </c>
      <c r="C6822" t="s">
        <v>9487</v>
      </c>
      <c r="D6822" t="s">
        <v>120</v>
      </c>
      <c r="E6822" s="13">
        <v>3000</v>
      </c>
      <c r="F6822" s="12">
        <v>0.99</v>
      </c>
      <c r="G6822" t="str">
        <f>IFERROR(INDEX(tEditais[Órgão],MATCH(tItens[[#This Row],[Edital]],tEditais[Edital],0)),"")</f>
        <v>MUNICIPIO DE ALEXANDRIA</v>
      </c>
      <c r="H6822" t="str">
        <f>IFERROR(INDEX(tEditais[UF],MATCH(tItens[[#This Row],[Edital]],tEditais[Edital],0)),"")</f>
        <v>RN</v>
      </c>
      <c r="I6822" s="11">
        <f>IFERROR(INDEX(tEditais[Encerramento],MATCH(tItens[[#This Row],[Edital]],tEditais[Edital],0)),"")</f>
        <v>46314.415972222225</v>
      </c>
      <c r="J6822" t="str">
        <f>IFERROR(INDEX(tProdutos[Classe],MATCH(tItens[[#This Row],[Produto]],tProdutos[Produto],0)),"produto não cadastrado")</f>
        <v>DISPUTADO</v>
      </c>
      <c r="K6822" s="12">
        <f>tItens[[#This Row],[Qtd]]*tItens[[#This Row],[Vlr unit]]</f>
        <v>2970</v>
      </c>
      <c r="L6822" s="6">
        <f>IFERROR(IF(INDEX(tProdutos[Desconto homologado],MATCH(tItens[[#This Row],[Produto]],tProdutos[Produto],0))="",DescontoPadrao,INDEX(tProdutos[Desconto homologado],MATCH(tItens[[#This Row],[Produto]],tProdutos[Produto],0))),DescontoPadrao)</f>
        <v>0.40909090909090901</v>
      </c>
      <c r="M6822" s="12">
        <f>tItens[[#This Row],[Valor]]*(1-tItens[[#This Row],[Desconto]])</f>
        <v>1755.0000000000005</v>
      </c>
      <c r="N6822" t="str">
        <f>IFERROR(INDEX(tProdutos[Foco],MATCH(tItens[[#This Row],[Produto]],tProdutos[Produto],0)),"Não")</f>
        <v>Não</v>
      </c>
      <c r="O6822" t="str">
        <f>IFERROR(INDEX(tEditais[SRP],MATCH(tItens[[#This Row],[Edital]],tEditais[Edital],0)),"Não")</f>
        <v>Não</v>
      </c>
      <c r="P6822" s="4">
        <f>IF(COUNTIFS(INDEX(tItens[Edital],1):tItens[[#This Row],[Edital]],tItens[[#This Row],[Edital]],INDEX(tItens[Produto],1):tItens[[#This Row],[Produto]],tItens[[#This Row],[Produto]])=1,1,0)</f>
        <v>0</v>
      </c>
    </row>
    <row r="6823" spans="1:16" x14ac:dyDescent="0.25">
      <c r="A6823" t="s">
        <v>2418</v>
      </c>
      <c r="B6823">
        <v>131</v>
      </c>
      <c r="C6823" t="s">
        <v>9488</v>
      </c>
      <c r="D6823" t="s">
        <v>114</v>
      </c>
      <c r="E6823" s="13">
        <v>200</v>
      </c>
      <c r="F6823" s="12">
        <v>23.57</v>
      </c>
      <c r="G6823" t="str">
        <f>IFERROR(INDEX(tEditais[Órgão],MATCH(tItens[[#This Row],[Edital]],tEditais[Edital],0)),"")</f>
        <v>MUNICIPIO DE ALEXANDRIA</v>
      </c>
      <c r="H6823" t="str">
        <f>IFERROR(INDEX(tEditais[UF],MATCH(tItens[[#This Row],[Edital]],tEditais[Edital],0)),"")</f>
        <v>RN</v>
      </c>
      <c r="I6823" s="11">
        <f>IFERROR(INDEX(tEditais[Encerramento],MATCH(tItens[[#This Row],[Edital]],tEditais[Edital],0)),"")</f>
        <v>46314.415972222225</v>
      </c>
      <c r="J6823" t="str">
        <f>IFERROR(INDEX(tProdutos[Classe],MATCH(tItens[[#This Row],[Produto]],tProdutos[Produto],0)),"produto não cadastrado")</f>
        <v>DISPUTADO</v>
      </c>
      <c r="K6823" s="12">
        <f>tItens[[#This Row],[Qtd]]*tItens[[#This Row],[Vlr unit]]</f>
        <v>4714</v>
      </c>
      <c r="L6823" s="6">
        <f>IFERROR(IF(INDEX(tProdutos[Desconto homologado],MATCH(tItens[[#This Row],[Produto]],tProdutos[Produto],0))="",DescontoPadrao,INDEX(tProdutos[Desconto homologado],MATCH(tItens[[#This Row],[Produto]],tProdutos[Produto],0))),DescontoPadrao)</f>
        <v>0.24332656063896899</v>
      </c>
      <c r="M6823" s="12">
        <f>tItens[[#This Row],[Valor]]*(1-tItens[[#This Row],[Desconto]])</f>
        <v>3566.9585931479005</v>
      </c>
      <c r="N6823" t="str">
        <f>IFERROR(INDEX(tProdutos[Foco],MATCH(tItens[[#This Row],[Produto]],tProdutos[Produto],0)),"Não")</f>
        <v>Não</v>
      </c>
      <c r="O6823" t="str">
        <f>IFERROR(INDEX(tEditais[SRP],MATCH(tItens[[#This Row],[Edital]],tEditais[Edital],0)),"Não")</f>
        <v>Não</v>
      </c>
      <c r="P6823" s="4">
        <f>IF(COUNTIFS(INDEX(tItens[Edital],1):tItens[[#This Row],[Edital]],tItens[[#This Row],[Edital]],INDEX(tItens[Produto],1):tItens[[#This Row],[Produto]],tItens[[#This Row],[Produto]])=1,1,0)</f>
        <v>1</v>
      </c>
    </row>
    <row r="6824" spans="1:16" x14ac:dyDescent="0.25">
      <c r="A6824" t="s">
        <v>2418</v>
      </c>
      <c r="B6824">
        <v>144</v>
      </c>
      <c r="C6824" t="s">
        <v>9489</v>
      </c>
      <c r="D6824" t="s">
        <v>482</v>
      </c>
      <c r="E6824" s="13">
        <v>120</v>
      </c>
      <c r="F6824" s="12">
        <v>83.18</v>
      </c>
      <c r="G6824" t="str">
        <f>IFERROR(INDEX(tEditais[Órgão],MATCH(tItens[[#This Row],[Edital]],tEditais[Edital],0)),"")</f>
        <v>MUNICIPIO DE ALEXANDRIA</v>
      </c>
      <c r="H6824" t="str">
        <f>IFERROR(INDEX(tEditais[UF],MATCH(tItens[[#This Row],[Edital]],tEditais[Edital],0)),"")</f>
        <v>RN</v>
      </c>
      <c r="I6824" s="11">
        <f>IFERROR(INDEX(tEditais[Encerramento],MATCH(tItens[[#This Row],[Edital]],tEditais[Edital],0)),"")</f>
        <v>46314.415972222225</v>
      </c>
      <c r="J6824" t="str">
        <f>IFERROR(INDEX(tProdutos[Classe],MATCH(tItens[[#This Row],[Produto]],tProdutos[Produto],0)),"produto não cadastrado")</f>
        <v>FILA REBASE</v>
      </c>
      <c r="K6824" s="12">
        <f>tItens[[#This Row],[Qtd]]*tItens[[#This Row],[Vlr unit]]</f>
        <v>9981.6</v>
      </c>
      <c r="L6824" s="6">
        <f>IFERROR(IF(INDEX(tProdutos[Desconto homologado],MATCH(tItens[[#This Row],[Produto]],tProdutos[Produto],0))="",DescontoPadrao,INDEX(tProdutos[Desconto homologado],MATCH(tItens[[#This Row],[Produto]],tProdutos[Produto],0))),DescontoPadrao)</f>
        <v>0.29214514354940102</v>
      </c>
      <c r="M6824" s="12">
        <f>tItens[[#This Row],[Valor]]*(1-tItens[[#This Row],[Desconto]])</f>
        <v>7065.5240351472994</v>
      </c>
      <c r="N6824" t="str">
        <f>IFERROR(INDEX(tProdutos[Foco],MATCH(tItens[[#This Row],[Produto]],tProdutos[Produto],0)),"Não")</f>
        <v>Não</v>
      </c>
      <c r="O6824" t="str">
        <f>IFERROR(INDEX(tEditais[SRP],MATCH(tItens[[#This Row],[Edital]],tEditais[Edital],0)),"Não")</f>
        <v>Não</v>
      </c>
      <c r="P6824" s="4">
        <f>IF(COUNTIFS(INDEX(tItens[Edital],1):tItens[[#This Row],[Edital]],tItens[[#This Row],[Edital]],INDEX(tItens[Produto],1):tItens[[#This Row],[Produto]],tItens[[#This Row],[Produto]])=1,1,0)</f>
        <v>1</v>
      </c>
    </row>
    <row r="6825" spans="1:16" x14ac:dyDescent="0.25">
      <c r="A6825" t="s">
        <v>2418</v>
      </c>
      <c r="B6825">
        <v>145</v>
      </c>
      <c r="C6825" t="s">
        <v>9490</v>
      </c>
      <c r="D6825" t="s">
        <v>482</v>
      </c>
      <c r="E6825" s="13">
        <v>120</v>
      </c>
      <c r="F6825" s="12">
        <v>78.05</v>
      </c>
      <c r="G6825" t="str">
        <f>IFERROR(INDEX(tEditais[Órgão],MATCH(tItens[[#This Row],[Edital]],tEditais[Edital],0)),"")</f>
        <v>MUNICIPIO DE ALEXANDRIA</v>
      </c>
      <c r="H6825" t="str">
        <f>IFERROR(INDEX(tEditais[UF],MATCH(tItens[[#This Row],[Edital]],tEditais[Edital],0)),"")</f>
        <v>RN</v>
      </c>
      <c r="I6825" s="11">
        <f>IFERROR(INDEX(tEditais[Encerramento],MATCH(tItens[[#This Row],[Edital]],tEditais[Edital],0)),"")</f>
        <v>46314.415972222225</v>
      </c>
      <c r="J6825" t="str">
        <f>IFERROR(INDEX(tProdutos[Classe],MATCH(tItens[[#This Row],[Produto]],tProdutos[Produto],0)),"produto não cadastrado")</f>
        <v>FILA REBASE</v>
      </c>
      <c r="K6825" s="12">
        <f>tItens[[#This Row],[Qtd]]*tItens[[#This Row],[Vlr unit]]</f>
        <v>9366</v>
      </c>
      <c r="L6825" s="6">
        <f>IFERROR(IF(INDEX(tProdutos[Desconto homologado],MATCH(tItens[[#This Row],[Produto]],tProdutos[Produto],0))="",DescontoPadrao,INDEX(tProdutos[Desconto homologado],MATCH(tItens[[#This Row],[Produto]],tProdutos[Produto],0))),DescontoPadrao)</f>
        <v>0.29214514354940102</v>
      </c>
      <c r="M6825" s="12">
        <f>tItens[[#This Row],[Valor]]*(1-tItens[[#This Row],[Desconto]])</f>
        <v>6629.7685855163099</v>
      </c>
      <c r="N6825" t="str">
        <f>IFERROR(INDEX(tProdutos[Foco],MATCH(tItens[[#This Row],[Produto]],tProdutos[Produto],0)),"Não")</f>
        <v>Não</v>
      </c>
      <c r="O6825" t="str">
        <f>IFERROR(INDEX(tEditais[SRP],MATCH(tItens[[#This Row],[Edital]],tEditais[Edital],0)),"Não")</f>
        <v>Não</v>
      </c>
      <c r="P6825" s="4">
        <f>IF(COUNTIFS(INDEX(tItens[Edital],1):tItens[[#This Row],[Edital]],tItens[[#This Row],[Edital]],INDEX(tItens[Produto],1):tItens[[#This Row],[Produto]],tItens[[#This Row],[Produto]])=1,1,0)</f>
        <v>0</v>
      </c>
    </row>
    <row r="6826" spans="1:16" x14ac:dyDescent="0.25">
      <c r="A6826" t="s">
        <v>2418</v>
      </c>
      <c r="B6826">
        <v>150</v>
      </c>
      <c r="C6826" t="s">
        <v>9491</v>
      </c>
      <c r="D6826" t="s">
        <v>512</v>
      </c>
      <c r="E6826" s="13">
        <v>50</v>
      </c>
      <c r="F6826" s="12">
        <v>23.65</v>
      </c>
      <c r="G6826" t="str">
        <f>IFERROR(INDEX(tEditais[Órgão],MATCH(tItens[[#This Row],[Edital]],tEditais[Edital],0)),"")</f>
        <v>MUNICIPIO DE ALEXANDRIA</v>
      </c>
      <c r="H6826" t="str">
        <f>IFERROR(INDEX(tEditais[UF],MATCH(tItens[[#This Row],[Edital]],tEditais[Edital],0)),"")</f>
        <v>RN</v>
      </c>
      <c r="I6826" s="11">
        <f>IFERROR(INDEX(tEditais[Encerramento],MATCH(tItens[[#This Row],[Edital]],tEditais[Edital],0)),"")</f>
        <v>46314.415972222225</v>
      </c>
      <c r="J6826" t="str">
        <f>IFERROR(INDEX(tProdutos[Classe],MATCH(tItens[[#This Row],[Produto]],tProdutos[Produto],0)),"produto não cadastrado")</f>
        <v>FILA REBASE</v>
      </c>
      <c r="K6826" s="12">
        <f>tItens[[#This Row],[Qtd]]*tItens[[#This Row],[Vlr unit]]</f>
        <v>1182.5</v>
      </c>
      <c r="L6826" s="6">
        <f>IFERROR(IF(INDEX(tProdutos[Desconto homologado],MATCH(tItens[[#This Row],[Produto]],tProdutos[Produto],0))="",DescontoPadrao,INDEX(tProdutos[Desconto homologado],MATCH(tItens[[#This Row],[Produto]],tProdutos[Produto],0))),DescontoPadrao)</f>
        <v>0.32579365079365102</v>
      </c>
      <c r="M6826" s="12">
        <f>tItens[[#This Row],[Valor]]*(1-tItens[[#This Row],[Desconto]])</f>
        <v>797.24900793650772</v>
      </c>
      <c r="N6826" t="str">
        <f>IFERROR(INDEX(tProdutos[Foco],MATCH(tItens[[#This Row],[Produto]],tProdutos[Produto],0)),"Não")</f>
        <v>Não</v>
      </c>
      <c r="O6826" t="str">
        <f>IFERROR(INDEX(tEditais[SRP],MATCH(tItens[[#This Row],[Edital]],tEditais[Edital],0)),"Não")</f>
        <v>Não</v>
      </c>
      <c r="P6826" s="4">
        <f>IF(COUNTIFS(INDEX(tItens[Edital],1):tItens[[#This Row],[Edital]],tItens[[#This Row],[Edital]],INDEX(tItens[Produto],1):tItens[[#This Row],[Produto]],tItens[[#This Row],[Produto]])=1,1,0)</f>
        <v>1</v>
      </c>
    </row>
    <row r="6827" spans="1:16" x14ac:dyDescent="0.25">
      <c r="A6827" t="s">
        <v>2418</v>
      </c>
      <c r="B6827">
        <v>151</v>
      </c>
      <c r="C6827" t="s">
        <v>9492</v>
      </c>
      <c r="D6827" t="s">
        <v>512</v>
      </c>
      <c r="E6827" s="13">
        <v>200</v>
      </c>
      <c r="F6827" s="12">
        <v>33.49</v>
      </c>
      <c r="G6827" t="str">
        <f>IFERROR(INDEX(tEditais[Órgão],MATCH(tItens[[#This Row],[Edital]],tEditais[Edital],0)),"")</f>
        <v>MUNICIPIO DE ALEXANDRIA</v>
      </c>
      <c r="H6827" t="str">
        <f>IFERROR(INDEX(tEditais[UF],MATCH(tItens[[#This Row],[Edital]],tEditais[Edital],0)),"")</f>
        <v>RN</v>
      </c>
      <c r="I6827" s="11">
        <f>IFERROR(INDEX(tEditais[Encerramento],MATCH(tItens[[#This Row],[Edital]],tEditais[Edital],0)),"")</f>
        <v>46314.415972222225</v>
      </c>
      <c r="J6827" t="str">
        <f>IFERROR(INDEX(tProdutos[Classe],MATCH(tItens[[#This Row],[Produto]],tProdutos[Produto],0)),"produto não cadastrado")</f>
        <v>FILA REBASE</v>
      </c>
      <c r="K6827" s="12">
        <f>tItens[[#This Row],[Qtd]]*tItens[[#This Row],[Vlr unit]]</f>
        <v>6698</v>
      </c>
      <c r="L6827" s="6">
        <f>IFERROR(IF(INDEX(tProdutos[Desconto homologado],MATCH(tItens[[#This Row],[Produto]],tProdutos[Produto],0))="",DescontoPadrao,INDEX(tProdutos[Desconto homologado],MATCH(tItens[[#This Row],[Produto]],tProdutos[Produto],0))),DescontoPadrao)</f>
        <v>0.32579365079365102</v>
      </c>
      <c r="M6827" s="12">
        <f>tItens[[#This Row],[Valor]]*(1-tItens[[#This Row],[Desconto]])</f>
        <v>4515.8341269841258</v>
      </c>
      <c r="N6827" t="str">
        <f>IFERROR(INDEX(tProdutos[Foco],MATCH(tItens[[#This Row],[Produto]],tProdutos[Produto],0)),"Não")</f>
        <v>Não</v>
      </c>
      <c r="O6827" t="str">
        <f>IFERROR(INDEX(tEditais[SRP],MATCH(tItens[[#This Row],[Edital]],tEditais[Edital],0)),"Não")</f>
        <v>Não</v>
      </c>
      <c r="P6827" s="4">
        <f>IF(COUNTIFS(INDEX(tItens[Edital],1):tItens[[#This Row],[Edital]],tItens[[#This Row],[Edital]],INDEX(tItens[Produto],1):tItens[[#This Row],[Produto]],tItens[[#This Row],[Produto]])=1,1,0)</f>
        <v>0</v>
      </c>
    </row>
    <row r="6828" spans="1:16" x14ac:dyDescent="0.25">
      <c r="A6828" t="s">
        <v>2423</v>
      </c>
      <c r="B6828">
        <v>8023707</v>
      </c>
      <c r="C6828" t="s">
        <v>9493</v>
      </c>
      <c r="D6828" t="s">
        <v>500</v>
      </c>
      <c r="E6828" s="13">
        <v>290</v>
      </c>
      <c r="F6828" s="12">
        <v>21.67</v>
      </c>
      <c r="G6828" t="str">
        <f>IFERROR(INDEX(tEditais[Órgão],MATCH(tItens[[#This Row],[Edital]],tEditais[Edital],0)),"")</f>
        <v>MUNICIPIO DE COLORADO DO OESTE</v>
      </c>
      <c r="H6828" t="str">
        <f>IFERROR(INDEX(tEditais[UF],MATCH(tItens[[#This Row],[Edital]],tEditais[Edital],0)),"")</f>
        <v>RO</v>
      </c>
      <c r="I6828" s="11">
        <f>IFERROR(INDEX(tEditais[Encerramento],MATCH(tItens[[#This Row],[Edital]],tEditais[Edital],0)),"")</f>
        <v>46304.375</v>
      </c>
      <c r="J6828" t="str">
        <f>IFERROR(INDEX(tProdutos[Classe],MATCH(tItens[[#This Row],[Produto]],tProdutos[Produto],0)),"produto não cadastrado")</f>
        <v>FILA REBASE</v>
      </c>
      <c r="K6828" s="12">
        <f>tItens[[#This Row],[Qtd]]*tItens[[#This Row],[Vlr unit]]</f>
        <v>6284.3</v>
      </c>
      <c r="L6828" s="6">
        <f>IFERROR(IF(INDEX(tProdutos[Desconto homologado],MATCH(tItens[[#This Row],[Produto]],tProdutos[Produto],0))="",DescontoPadrao,INDEX(tProdutos[Desconto homologado],MATCH(tItens[[#This Row],[Produto]],tProdutos[Produto],0))),DescontoPadrao)</f>
        <v>0.267022226451467</v>
      </c>
      <c r="M6828" s="12">
        <f>tItens[[#This Row],[Valor]]*(1-tItens[[#This Row],[Desconto]])</f>
        <v>4606.2522223110464</v>
      </c>
      <c r="N6828" t="str">
        <f>IFERROR(INDEX(tProdutos[Foco],MATCH(tItens[[#This Row],[Produto]],tProdutos[Produto],0)),"Não")</f>
        <v>Não</v>
      </c>
      <c r="O6828" t="str">
        <f>IFERROR(INDEX(tEditais[SRP],MATCH(tItens[[#This Row],[Edital]],tEditais[Edital],0)),"Não")</f>
        <v>Sim</v>
      </c>
      <c r="P6828" s="4">
        <f>IF(COUNTIFS(INDEX(tItens[Edital],1):tItens[[#This Row],[Edital]],tItens[[#This Row],[Edital]],INDEX(tItens[Produto],1):tItens[[#This Row],[Produto]],tItens[[#This Row],[Produto]])=1,1,0)</f>
        <v>1</v>
      </c>
    </row>
    <row r="6829" spans="1:16" x14ac:dyDescent="0.25">
      <c r="A6829" t="s">
        <v>2429</v>
      </c>
      <c r="B6829">
        <v>2</v>
      </c>
      <c r="C6829" t="s">
        <v>9494</v>
      </c>
      <c r="D6829" t="s">
        <v>267</v>
      </c>
      <c r="E6829" s="13">
        <v>250</v>
      </c>
      <c r="F6829" s="12">
        <v>25.81</v>
      </c>
      <c r="G6829" t="str">
        <f>IFERROR(INDEX(tEditais[Órgão],MATCH(tItens[[#This Row],[Edital]],tEditais[Edital],0)),"")</f>
        <v>MUNICIPIO DE SERINGUEIRAS</v>
      </c>
      <c r="H6829" t="str">
        <f>IFERROR(INDEX(tEditais[UF],MATCH(tItens[[#This Row],[Edital]],tEditais[Edital],0)),"")</f>
        <v>RO</v>
      </c>
      <c r="I6829" s="11">
        <f>IFERROR(INDEX(tEditais[Encerramento],MATCH(tItens[[#This Row],[Edital]],tEditais[Edital],0)),"")</f>
        <v>46304.375</v>
      </c>
      <c r="J6829" t="str">
        <f>IFERROR(INDEX(tProdutos[Classe],MATCH(tItens[[#This Row],[Produto]],tProdutos[Produto],0)),"produto não cadastrado")</f>
        <v>FORA</v>
      </c>
      <c r="K6829" s="12">
        <f>tItens[[#This Row],[Qtd]]*tItens[[#This Row],[Vlr unit]]</f>
        <v>6452.5</v>
      </c>
      <c r="L6829" s="6">
        <f>IFERROR(IF(INDEX(tProdutos[Desconto homologado],MATCH(tItens[[#This Row],[Produto]],tProdutos[Produto],0))="",DescontoPadrao,INDEX(tProdutos[Desconto homologado],MATCH(tItens[[#This Row],[Produto]],tProdutos[Produto],0))),DescontoPadrao)</f>
        <v>0.19963672657401599</v>
      </c>
      <c r="M6829" s="12">
        <f>tItens[[#This Row],[Valor]]*(1-tItens[[#This Row],[Desconto]])</f>
        <v>5164.3440217811622</v>
      </c>
      <c r="N6829" t="str">
        <f>IFERROR(INDEX(tProdutos[Foco],MATCH(tItens[[#This Row],[Produto]],tProdutos[Produto],0)),"Não")</f>
        <v>Não</v>
      </c>
      <c r="O6829" t="str">
        <f>IFERROR(INDEX(tEditais[SRP],MATCH(tItens[[#This Row],[Edital]],tEditais[Edital],0)),"Não")</f>
        <v>Sim</v>
      </c>
      <c r="P6829" s="4">
        <f>IF(COUNTIFS(INDEX(tItens[Edital],1):tItens[[#This Row],[Edital]],tItens[[#This Row],[Edital]],INDEX(tItens[Produto],1):tItens[[#This Row],[Produto]],tItens[[#This Row],[Produto]])=1,1,0)</f>
        <v>1</v>
      </c>
    </row>
    <row r="6830" spans="1:16" x14ac:dyDescent="0.25">
      <c r="A6830" t="s">
        <v>2433</v>
      </c>
      <c r="B6830">
        <v>7985020</v>
      </c>
      <c r="C6830" t="s">
        <v>9495</v>
      </c>
      <c r="D6830" t="s">
        <v>88</v>
      </c>
      <c r="E6830" s="13">
        <v>50</v>
      </c>
      <c r="F6830" s="12">
        <v>53.63</v>
      </c>
      <c r="G6830" t="str">
        <f>IFERROR(INDEX(tEditais[Órgão],MATCH(tItens[[#This Row],[Edital]],tEditais[Edital],0)),"")</f>
        <v>MUNICIPIO DE CHUPINGUAIA</v>
      </c>
      <c r="H6830" t="str">
        <f>IFERROR(INDEX(tEditais[UF],MATCH(tItens[[#This Row],[Edital]],tEditais[Edital],0)),"")</f>
        <v>RO</v>
      </c>
      <c r="I6830" s="11">
        <f>IFERROR(INDEX(tEditais[Encerramento],MATCH(tItens[[#This Row],[Edital]],tEditais[Edital],0)),"")</f>
        <v>46304.375</v>
      </c>
      <c r="J6830" t="str">
        <f>IFERROR(INDEX(tProdutos[Classe],MATCH(tItens[[#This Row],[Produto]],tProdutos[Produto],0)),"produto não cadastrado")</f>
        <v>NÚCLEO</v>
      </c>
      <c r="K6830" s="12">
        <f>tItens[[#This Row],[Qtd]]*tItens[[#This Row],[Vlr unit]]</f>
        <v>2681.5</v>
      </c>
      <c r="L6830" s="6">
        <f>IFERROR(IF(INDEX(tProdutos[Desconto homologado],MATCH(tItens[[#This Row],[Produto]],tProdutos[Produto],0))="",DescontoPadrao,INDEX(tProdutos[Desconto homologado],MATCH(tItens[[#This Row],[Produto]],tProdutos[Produto],0))),DescontoPadrao)</f>
        <v>0.30251202565473001</v>
      </c>
      <c r="M6830" s="12">
        <f>tItens[[#This Row],[Valor]]*(1-tItens[[#This Row],[Desconto]])</f>
        <v>1870.3140032068416</v>
      </c>
      <c r="N6830" t="str">
        <f>IFERROR(INDEX(tProdutos[Foco],MATCH(tItens[[#This Row],[Produto]],tProdutos[Produto],0)),"Não")</f>
        <v>Não</v>
      </c>
      <c r="O6830" t="str">
        <f>IFERROR(INDEX(tEditais[SRP],MATCH(tItens[[#This Row],[Edital]],tEditais[Edital],0)),"Não")</f>
        <v>Não</v>
      </c>
      <c r="P6830" s="4">
        <f>IF(COUNTIFS(INDEX(tItens[Edital],1):tItens[[#This Row],[Edital]],tItens[[#This Row],[Edital]],INDEX(tItens[Produto],1):tItens[[#This Row],[Produto]],tItens[[#This Row],[Produto]])=1,1,0)</f>
        <v>1</v>
      </c>
    </row>
    <row r="6831" spans="1:16" x14ac:dyDescent="0.25">
      <c r="A6831" t="s">
        <v>2433</v>
      </c>
      <c r="B6831">
        <v>7985021</v>
      </c>
      <c r="C6831" t="s">
        <v>9496</v>
      </c>
      <c r="D6831" t="s">
        <v>71</v>
      </c>
      <c r="E6831" s="13">
        <v>100</v>
      </c>
      <c r="F6831" s="12">
        <v>48.39</v>
      </c>
      <c r="G6831" t="str">
        <f>IFERROR(INDEX(tEditais[Órgão],MATCH(tItens[[#This Row],[Edital]],tEditais[Edital],0)),"")</f>
        <v>MUNICIPIO DE CHUPINGUAIA</v>
      </c>
      <c r="H6831" t="str">
        <f>IFERROR(INDEX(tEditais[UF],MATCH(tItens[[#This Row],[Edital]],tEditais[Edital],0)),"")</f>
        <v>RO</v>
      </c>
      <c r="I6831" s="11">
        <f>IFERROR(INDEX(tEditais[Encerramento],MATCH(tItens[[#This Row],[Edital]],tEditais[Edital],0)),"")</f>
        <v>46304.375</v>
      </c>
      <c r="J6831" t="str">
        <f>IFERROR(INDEX(tProdutos[Classe],MATCH(tItens[[#This Row],[Produto]],tProdutos[Produto],0)),"produto não cadastrado")</f>
        <v>NÚCLEO</v>
      </c>
      <c r="K6831" s="12">
        <f>tItens[[#This Row],[Qtd]]*tItens[[#This Row],[Vlr unit]]</f>
        <v>4839</v>
      </c>
      <c r="L6831" s="6">
        <f>IFERROR(IF(INDEX(tProdutos[Desconto homologado],MATCH(tItens[[#This Row],[Produto]],tProdutos[Produto],0))="",DescontoPadrao,INDEX(tProdutos[Desconto homologado],MATCH(tItens[[#This Row],[Produto]],tProdutos[Produto],0))),DescontoPadrao)</f>
        <v>0.44981412639405199</v>
      </c>
      <c r="M6831" s="12">
        <f>tItens[[#This Row],[Valor]]*(1-tItens[[#This Row],[Desconto]])</f>
        <v>2662.3494423791822</v>
      </c>
      <c r="N6831" t="str">
        <f>IFERROR(INDEX(tProdutos[Foco],MATCH(tItens[[#This Row],[Produto]],tProdutos[Produto],0)),"Não")</f>
        <v>Não</v>
      </c>
      <c r="O6831" t="str">
        <f>IFERROR(INDEX(tEditais[SRP],MATCH(tItens[[#This Row],[Edital]],tEditais[Edital],0)),"Não")</f>
        <v>Não</v>
      </c>
      <c r="P6831" s="4">
        <f>IF(COUNTIFS(INDEX(tItens[Edital],1):tItens[[#This Row],[Edital]],tItens[[#This Row],[Edital]],INDEX(tItens[Produto],1):tItens[[#This Row],[Produto]],tItens[[#This Row],[Produto]])=1,1,0)</f>
        <v>1</v>
      </c>
    </row>
    <row r="6832" spans="1:16" x14ac:dyDescent="0.25">
      <c r="A6832" t="s">
        <v>2433</v>
      </c>
      <c r="B6832">
        <v>7985022</v>
      </c>
      <c r="C6832" t="s">
        <v>9497</v>
      </c>
      <c r="D6832" t="s">
        <v>112</v>
      </c>
      <c r="E6832" s="13">
        <v>50</v>
      </c>
      <c r="F6832" s="12">
        <v>47.63</v>
      </c>
      <c r="G6832" t="str">
        <f>IFERROR(INDEX(tEditais[Órgão],MATCH(tItens[[#This Row],[Edital]],tEditais[Edital],0)),"")</f>
        <v>MUNICIPIO DE CHUPINGUAIA</v>
      </c>
      <c r="H6832" t="str">
        <f>IFERROR(INDEX(tEditais[UF],MATCH(tItens[[#This Row],[Edital]],tEditais[Edital],0)),"")</f>
        <v>RO</v>
      </c>
      <c r="I6832" s="11">
        <f>IFERROR(INDEX(tEditais[Encerramento],MATCH(tItens[[#This Row],[Edital]],tEditais[Edital],0)),"")</f>
        <v>46304.375</v>
      </c>
      <c r="J6832" t="str">
        <f>IFERROR(INDEX(tProdutos[Classe],MATCH(tItens[[#This Row],[Produto]],tProdutos[Produto],0)),"produto não cadastrado")</f>
        <v>DISPUTADO</v>
      </c>
      <c r="K6832" s="12">
        <f>tItens[[#This Row],[Qtd]]*tItens[[#This Row],[Vlr unit]]</f>
        <v>2381.5</v>
      </c>
      <c r="L6832" s="6">
        <f>IFERROR(IF(INDEX(tProdutos[Desconto homologado],MATCH(tItens[[#This Row],[Produto]],tProdutos[Produto],0))="",DescontoPadrao,INDEX(tProdutos[Desconto homologado],MATCH(tItens[[#This Row],[Produto]],tProdutos[Produto],0))),DescontoPadrao)</f>
        <v>0.35273348841447499</v>
      </c>
      <c r="M6832" s="12">
        <f>tItens[[#This Row],[Valor]]*(1-tItens[[#This Row],[Desconto]])</f>
        <v>1541.4651973409277</v>
      </c>
      <c r="N6832" t="str">
        <f>IFERROR(INDEX(tProdutos[Foco],MATCH(tItens[[#This Row],[Produto]],tProdutos[Produto],0)),"Não")</f>
        <v>Não</v>
      </c>
      <c r="O6832" t="str">
        <f>IFERROR(INDEX(tEditais[SRP],MATCH(tItens[[#This Row],[Edital]],tEditais[Edital],0)),"Não")</f>
        <v>Não</v>
      </c>
      <c r="P6832" s="4">
        <f>IF(COUNTIFS(INDEX(tItens[Edital],1):tItens[[#This Row],[Edital]],tItens[[#This Row],[Edital]],INDEX(tItens[Produto],1):tItens[[#This Row],[Produto]],tItens[[#This Row],[Produto]])=1,1,0)</f>
        <v>1</v>
      </c>
    </row>
    <row r="6833" spans="1:16" x14ac:dyDescent="0.25">
      <c r="A6833" t="s">
        <v>2433</v>
      </c>
      <c r="B6833">
        <v>7985034</v>
      </c>
      <c r="C6833" t="s">
        <v>9498</v>
      </c>
      <c r="D6833" t="s">
        <v>86</v>
      </c>
      <c r="E6833" s="13">
        <v>100</v>
      </c>
      <c r="F6833" s="12">
        <v>21.75</v>
      </c>
      <c r="G6833" t="str">
        <f>IFERROR(INDEX(tEditais[Órgão],MATCH(tItens[[#This Row],[Edital]],tEditais[Edital],0)),"")</f>
        <v>MUNICIPIO DE CHUPINGUAIA</v>
      </c>
      <c r="H6833" t="str">
        <f>IFERROR(INDEX(tEditais[UF],MATCH(tItens[[#This Row],[Edital]],tEditais[Edital],0)),"")</f>
        <v>RO</v>
      </c>
      <c r="I6833" s="11">
        <f>IFERROR(INDEX(tEditais[Encerramento],MATCH(tItens[[#This Row],[Edital]],tEditais[Edital],0)),"")</f>
        <v>46304.375</v>
      </c>
      <c r="J6833" t="str">
        <f>IFERROR(INDEX(tProdutos[Classe],MATCH(tItens[[#This Row],[Produto]],tProdutos[Produto],0)),"produto não cadastrado")</f>
        <v>NÚCLEO</v>
      </c>
      <c r="K6833" s="12">
        <f>tItens[[#This Row],[Qtd]]*tItens[[#This Row],[Vlr unit]]</f>
        <v>2175</v>
      </c>
      <c r="L6833" s="6">
        <f>IFERROR(IF(INDEX(tProdutos[Desconto homologado],MATCH(tItens[[#This Row],[Produto]],tProdutos[Produto],0))="",DescontoPadrao,INDEX(tProdutos[Desconto homologado],MATCH(tItens[[#This Row],[Produto]],tProdutos[Produto],0))),DescontoPadrao)</f>
        <v>0.20202020202020199</v>
      </c>
      <c r="M6833" s="12">
        <f>tItens[[#This Row],[Valor]]*(1-tItens[[#This Row],[Desconto]])</f>
        <v>1735.6060606060607</v>
      </c>
      <c r="N6833" t="str">
        <f>IFERROR(INDEX(tProdutos[Foco],MATCH(tItens[[#This Row],[Produto]],tProdutos[Produto],0)),"Não")</f>
        <v>Não</v>
      </c>
      <c r="O6833" t="str">
        <f>IFERROR(INDEX(tEditais[SRP],MATCH(tItens[[#This Row],[Edital]],tEditais[Edital],0)),"Não")</f>
        <v>Não</v>
      </c>
      <c r="P6833" s="4">
        <f>IF(COUNTIFS(INDEX(tItens[Edital],1):tItens[[#This Row],[Edital]],tItens[[#This Row],[Edital]],INDEX(tItens[Produto],1):tItens[[#This Row],[Produto]],tItens[[#This Row],[Produto]])=1,1,0)</f>
        <v>1</v>
      </c>
    </row>
    <row r="6834" spans="1:16" x14ac:dyDescent="0.25">
      <c r="A6834" t="s">
        <v>2433</v>
      </c>
      <c r="B6834">
        <v>7985037</v>
      </c>
      <c r="C6834" t="s">
        <v>9499</v>
      </c>
      <c r="D6834" t="s">
        <v>321</v>
      </c>
      <c r="E6834" s="13">
        <v>100</v>
      </c>
      <c r="F6834" s="12">
        <v>58.63</v>
      </c>
      <c r="G6834" t="str">
        <f>IFERROR(INDEX(tEditais[Órgão],MATCH(tItens[[#This Row],[Edital]],tEditais[Edital],0)),"")</f>
        <v>MUNICIPIO DE CHUPINGUAIA</v>
      </c>
      <c r="H6834" t="str">
        <f>IFERROR(INDEX(tEditais[UF],MATCH(tItens[[#This Row],[Edital]],tEditais[Edital],0)),"")</f>
        <v>RO</v>
      </c>
      <c r="I6834" s="11">
        <f>IFERROR(INDEX(tEditais[Encerramento],MATCH(tItens[[#This Row],[Edital]],tEditais[Edital],0)),"")</f>
        <v>46304.375</v>
      </c>
      <c r="J6834" t="str">
        <f>IFERROR(INDEX(tProdutos[Classe],MATCH(tItens[[#This Row],[Produto]],tProdutos[Produto],0)),"produto não cadastrado")</f>
        <v>FORA</v>
      </c>
      <c r="K6834" s="12">
        <f>tItens[[#This Row],[Qtd]]*tItens[[#This Row],[Vlr unit]]</f>
        <v>5863</v>
      </c>
      <c r="L6834" s="6">
        <f>IFERROR(IF(INDEX(tProdutos[Desconto homologado],MATCH(tItens[[#This Row],[Produto]],tProdutos[Produto],0))="",DescontoPadrao,INDEX(tProdutos[Desconto homologado],MATCH(tItens[[#This Row],[Produto]],tProdutos[Produto],0))),DescontoPadrao)</f>
        <v>0.380257510729614</v>
      </c>
      <c r="M6834" s="12">
        <f>tItens[[#This Row],[Valor]]*(1-tItens[[#This Row],[Desconto]])</f>
        <v>3633.5502145922733</v>
      </c>
      <c r="N6834" t="str">
        <f>IFERROR(INDEX(tProdutos[Foco],MATCH(tItens[[#This Row],[Produto]],tProdutos[Produto],0)),"Não")</f>
        <v>Não</v>
      </c>
      <c r="O6834" t="str">
        <f>IFERROR(INDEX(tEditais[SRP],MATCH(tItens[[#This Row],[Edital]],tEditais[Edital],0)),"Não")</f>
        <v>Não</v>
      </c>
      <c r="P6834" s="4">
        <f>IF(COUNTIFS(INDEX(tItens[Edital],1):tItens[[#This Row],[Edital]],tItens[[#This Row],[Edital]],INDEX(tItens[Produto],1):tItens[[#This Row],[Produto]],tItens[[#This Row],[Produto]])=1,1,0)</f>
        <v>1</v>
      </c>
    </row>
    <row r="6835" spans="1:16" x14ac:dyDescent="0.25">
      <c r="A6835" t="s">
        <v>2433</v>
      </c>
      <c r="B6835">
        <v>7985038</v>
      </c>
      <c r="C6835" t="s">
        <v>9500</v>
      </c>
      <c r="D6835" t="s">
        <v>311</v>
      </c>
      <c r="E6835" s="13">
        <v>120</v>
      </c>
      <c r="F6835" s="12">
        <v>16.13</v>
      </c>
      <c r="G6835" t="str">
        <f>IFERROR(INDEX(tEditais[Órgão],MATCH(tItens[[#This Row],[Edital]],tEditais[Edital],0)),"")</f>
        <v>MUNICIPIO DE CHUPINGUAIA</v>
      </c>
      <c r="H6835" t="str">
        <f>IFERROR(INDEX(tEditais[UF],MATCH(tItens[[#This Row],[Edital]],tEditais[Edital],0)),"")</f>
        <v>RO</v>
      </c>
      <c r="I6835" s="11">
        <f>IFERROR(INDEX(tEditais[Encerramento],MATCH(tItens[[#This Row],[Edital]],tEditais[Edital],0)),"")</f>
        <v>46304.375</v>
      </c>
      <c r="J6835" t="str">
        <f>IFERROR(INDEX(tProdutos[Classe],MATCH(tItens[[#This Row],[Produto]],tProdutos[Produto],0)),"produto não cadastrado")</f>
        <v>FORA</v>
      </c>
      <c r="K6835" s="12">
        <f>tItens[[#This Row],[Qtd]]*tItens[[#This Row],[Vlr unit]]</f>
        <v>1935.6</v>
      </c>
      <c r="L6835" s="6">
        <f>IFERROR(IF(INDEX(tProdutos[Desconto homologado],MATCH(tItens[[#This Row],[Produto]],tProdutos[Produto],0))="",DescontoPadrao,INDEX(tProdutos[Desconto homologado],MATCH(tItens[[#This Row],[Produto]],tProdutos[Produto],0))),DescontoPadrao)</f>
        <v>0.29046182846371399</v>
      </c>
      <c r="M6835" s="12">
        <f>tItens[[#This Row],[Valor]]*(1-tItens[[#This Row],[Desconto]])</f>
        <v>1373.3820848256353</v>
      </c>
      <c r="N6835" t="str">
        <f>IFERROR(INDEX(tProdutos[Foco],MATCH(tItens[[#This Row],[Produto]],tProdutos[Produto],0)),"Não")</f>
        <v>Não</v>
      </c>
      <c r="O6835" t="str">
        <f>IFERROR(INDEX(tEditais[SRP],MATCH(tItens[[#This Row],[Edital]],tEditais[Edital],0)),"Não")</f>
        <v>Não</v>
      </c>
      <c r="P6835" s="4">
        <f>IF(COUNTIFS(INDEX(tItens[Edital],1):tItens[[#This Row],[Edital]],tItens[[#This Row],[Edital]],INDEX(tItens[Produto],1):tItens[[#This Row],[Produto]],tItens[[#This Row],[Produto]])=1,1,0)</f>
        <v>1</v>
      </c>
    </row>
    <row r="6836" spans="1:16" x14ac:dyDescent="0.25">
      <c r="A6836" t="s">
        <v>2433</v>
      </c>
      <c r="B6836">
        <v>7985117</v>
      </c>
      <c r="C6836" t="s">
        <v>9501</v>
      </c>
      <c r="D6836" t="s">
        <v>142</v>
      </c>
      <c r="E6836" s="13">
        <v>200</v>
      </c>
      <c r="F6836" s="12">
        <v>11.13</v>
      </c>
      <c r="G6836" t="str">
        <f>IFERROR(INDEX(tEditais[Órgão],MATCH(tItens[[#This Row],[Edital]],tEditais[Edital],0)),"")</f>
        <v>MUNICIPIO DE CHUPINGUAIA</v>
      </c>
      <c r="H6836" t="str">
        <f>IFERROR(INDEX(tEditais[UF],MATCH(tItens[[#This Row],[Edital]],tEditais[Edital],0)),"")</f>
        <v>RO</v>
      </c>
      <c r="I6836" s="11">
        <f>IFERROR(INDEX(tEditais[Encerramento],MATCH(tItens[[#This Row],[Edital]],tEditais[Edital],0)),"")</f>
        <v>46304.375</v>
      </c>
      <c r="J6836" t="str">
        <f>IFERROR(INDEX(tProdutos[Classe],MATCH(tItens[[#This Row],[Produto]],tProdutos[Produto],0)),"produto não cadastrado")</f>
        <v>DISPUTADO</v>
      </c>
      <c r="K6836" s="12">
        <f>tItens[[#This Row],[Qtd]]*tItens[[#This Row],[Vlr unit]]</f>
        <v>2226</v>
      </c>
      <c r="L6836" s="6">
        <f>IFERROR(IF(INDEX(tProdutos[Desconto homologado],MATCH(tItens[[#This Row],[Produto]],tProdutos[Produto],0))="",DescontoPadrao,INDEX(tProdutos[Desconto homologado],MATCH(tItens[[#This Row],[Produto]],tProdutos[Produto],0))),DescontoPadrao)</f>
        <v>0.37093619495691699</v>
      </c>
      <c r="M6836" s="12">
        <f>tItens[[#This Row],[Valor]]*(1-tItens[[#This Row],[Desconto]])</f>
        <v>1400.2960300259028</v>
      </c>
      <c r="N6836" t="str">
        <f>IFERROR(INDEX(tProdutos[Foco],MATCH(tItens[[#This Row],[Produto]],tProdutos[Produto],0)),"Não")</f>
        <v>Não</v>
      </c>
      <c r="O6836" t="str">
        <f>IFERROR(INDEX(tEditais[SRP],MATCH(tItens[[#This Row],[Edital]],tEditais[Edital],0)),"Não")</f>
        <v>Não</v>
      </c>
      <c r="P6836" s="4">
        <f>IF(COUNTIFS(INDEX(tItens[Edital],1):tItens[[#This Row],[Edital]],tItens[[#This Row],[Edital]],INDEX(tItens[Produto],1):tItens[[#This Row],[Produto]],tItens[[#This Row],[Produto]])=1,1,0)</f>
        <v>1</v>
      </c>
    </row>
    <row r="6837" spans="1:16" x14ac:dyDescent="0.25">
      <c r="A6837" t="s">
        <v>2433</v>
      </c>
      <c r="B6837">
        <v>7985118</v>
      </c>
      <c r="C6837" t="s">
        <v>9502</v>
      </c>
      <c r="D6837" t="s">
        <v>126</v>
      </c>
      <c r="E6837" s="13">
        <v>100</v>
      </c>
      <c r="F6837" s="12">
        <v>35</v>
      </c>
      <c r="G6837" t="str">
        <f>IFERROR(INDEX(tEditais[Órgão],MATCH(tItens[[#This Row],[Edital]],tEditais[Edital],0)),"")</f>
        <v>MUNICIPIO DE CHUPINGUAIA</v>
      </c>
      <c r="H6837" t="str">
        <f>IFERROR(INDEX(tEditais[UF],MATCH(tItens[[#This Row],[Edital]],tEditais[Edital],0)),"")</f>
        <v>RO</v>
      </c>
      <c r="I6837" s="11">
        <f>IFERROR(INDEX(tEditais[Encerramento],MATCH(tItens[[#This Row],[Edital]],tEditais[Edital],0)),"")</f>
        <v>46304.375</v>
      </c>
      <c r="J6837" t="str">
        <f>IFERROR(INDEX(tProdutos[Classe],MATCH(tItens[[#This Row],[Produto]],tProdutos[Produto],0)),"produto não cadastrado")</f>
        <v>DISPUTADO</v>
      </c>
      <c r="K6837" s="12">
        <f>tItens[[#This Row],[Qtd]]*tItens[[#This Row],[Vlr unit]]</f>
        <v>3500</v>
      </c>
      <c r="L6837" s="6">
        <f>IFERROR(IF(INDEX(tProdutos[Desconto homologado],MATCH(tItens[[#This Row],[Produto]],tProdutos[Produto],0))="",DescontoPadrao,INDEX(tProdutos[Desconto homologado],MATCH(tItens[[#This Row],[Produto]],tProdutos[Produto],0))),DescontoPadrao)</f>
        <v>0.21</v>
      </c>
      <c r="M6837" s="12">
        <f>tItens[[#This Row],[Valor]]*(1-tItens[[#This Row],[Desconto]])</f>
        <v>2765</v>
      </c>
      <c r="N6837" t="str">
        <f>IFERROR(INDEX(tProdutos[Foco],MATCH(tItens[[#This Row],[Produto]],tProdutos[Produto],0)),"Não")</f>
        <v>Sim</v>
      </c>
      <c r="O6837" t="str">
        <f>IFERROR(INDEX(tEditais[SRP],MATCH(tItens[[#This Row],[Edital]],tEditais[Edital],0)),"Não")</f>
        <v>Não</v>
      </c>
      <c r="P6837" s="4">
        <f>IF(COUNTIFS(INDEX(tItens[Edital],1):tItens[[#This Row],[Edital]],tItens[[#This Row],[Edital]],INDEX(tItens[Produto],1):tItens[[#This Row],[Produto]],tItens[[#This Row],[Produto]])=1,1,0)</f>
        <v>1</v>
      </c>
    </row>
    <row r="6838" spans="1:16" x14ac:dyDescent="0.25">
      <c r="A6838" t="s">
        <v>2433</v>
      </c>
      <c r="B6838">
        <v>7985119</v>
      </c>
      <c r="C6838" t="s">
        <v>9503</v>
      </c>
      <c r="D6838" t="s">
        <v>411</v>
      </c>
      <c r="E6838" s="13">
        <v>100</v>
      </c>
      <c r="F6838" s="12">
        <v>75</v>
      </c>
      <c r="G6838" t="str">
        <f>IFERROR(INDEX(tEditais[Órgão],MATCH(tItens[[#This Row],[Edital]],tEditais[Edital],0)),"")</f>
        <v>MUNICIPIO DE CHUPINGUAIA</v>
      </c>
      <c r="H6838" t="str">
        <f>IFERROR(INDEX(tEditais[UF],MATCH(tItens[[#This Row],[Edital]],tEditais[Edital],0)),"")</f>
        <v>RO</v>
      </c>
      <c r="I6838" s="11">
        <f>IFERROR(INDEX(tEditais[Encerramento],MATCH(tItens[[#This Row],[Edital]],tEditais[Edital],0)),"")</f>
        <v>46304.375</v>
      </c>
      <c r="J6838" t="str">
        <f>IFERROR(INDEX(tProdutos[Classe],MATCH(tItens[[#This Row],[Produto]],tProdutos[Produto],0)),"produto não cadastrado")</f>
        <v>FORA</v>
      </c>
      <c r="K6838" s="12">
        <f>tItens[[#This Row],[Qtd]]*tItens[[#This Row],[Vlr unit]]</f>
        <v>7500</v>
      </c>
      <c r="L6838" s="6">
        <f>IFERROR(IF(INDEX(tProdutos[Desconto homologado],MATCH(tItens[[#This Row],[Produto]],tProdutos[Produto],0))="",DescontoPadrao,INDEX(tProdutos[Desconto homologado],MATCH(tItens[[#This Row],[Produto]],tProdutos[Produto],0))),DescontoPadrao)</f>
        <v>0.50029835957199398</v>
      </c>
      <c r="M6838" s="12">
        <f>tItens[[#This Row],[Valor]]*(1-tItens[[#This Row],[Desconto]])</f>
        <v>3747.762303210045</v>
      </c>
      <c r="N6838" t="str">
        <f>IFERROR(INDEX(tProdutos[Foco],MATCH(tItens[[#This Row],[Produto]],tProdutos[Produto],0)),"Não")</f>
        <v>Não</v>
      </c>
      <c r="O6838" t="str">
        <f>IFERROR(INDEX(tEditais[SRP],MATCH(tItens[[#This Row],[Edital]],tEditais[Edital],0)),"Não")</f>
        <v>Não</v>
      </c>
      <c r="P6838" s="4">
        <f>IF(COUNTIFS(INDEX(tItens[Edital],1):tItens[[#This Row],[Edital]],tItens[[#This Row],[Edital]],INDEX(tItens[Produto],1):tItens[[#This Row],[Produto]],tItens[[#This Row],[Produto]])=1,1,0)</f>
        <v>1</v>
      </c>
    </row>
    <row r="6839" spans="1:16" x14ac:dyDescent="0.25">
      <c r="A6839" t="s">
        <v>2438</v>
      </c>
      <c r="B6839">
        <v>8043730</v>
      </c>
      <c r="C6839" t="s">
        <v>9504</v>
      </c>
      <c r="D6839" t="s">
        <v>80</v>
      </c>
      <c r="E6839" s="13">
        <v>50</v>
      </c>
      <c r="F6839" s="12">
        <v>79.83</v>
      </c>
      <c r="G6839" t="str">
        <f>IFERROR(INDEX(tEditais[Órgão],MATCH(tItens[[#This Row],[Edital]],tEditais[Edital],0)),"")</f>
        <v>MUNICIPIO DE ALTA FLORESTA D'OESTE</v>
      </c>
      <c r="H6839" t="str">
        <f>IFERROR(INDEX(tEditais[UF],MATCH(tItens[[#This Row],[Edital]],tEditais[Edital],0)),"")</f>
        <v>RO</v>
      </c>
      <c r="I6839" s="11">
        <f>IFERROR(INDEX(tEditais[Encerramento],MATCH(tItens[[#This Row],[Edital]],tEditais[Edital],0)),"")</f>
        <v>46308.416666666664</v>
      </c>
      <c r="J6839" t="str">
        <f>IFERROR(INDEX(tProdutos[Classe],MATCH(tItens[[#This Row],[Produto]],tProdutos[Produto],0)),"produto não cadastrado")</f>
        <v>NÚCLEO</v>
      </c>
      <c r="K6839" s="12">
        <f>tItens[[#This Row],[Qtd]]*tItens[[#This Row],[Vlr unit]]</f>
        <v>3991.5</v>
      </c>
      <c r="L6839" s="6">
        <f>IFERROR(IF(INDEX(tProdutos[Desconto homologado],MATCH(tItens[[#This Row],[Produto]],tProdutos[Produto],0))="",DescontoPadrao,INDEX(tProdutos[Desconto homologado],MATCH(tItens[[#This Row],[Produto]],tProdutos[Produto],0))),DescontoPadrao)</f>
        <v>0.33</v>
      </c>
      <c r="M6839" s="12">
        <f>tItens[[#This Row],[Valor]]*(1-tItens[[#This Row],[Desconto]])</f>
        <v>2674.3049999999998</v>
      </c>
      <c r="N6839" t="str">
        <f>IFERROR(INDEX(tProdutos[Foco],MATCH(tItens[[#This Row],[Produto]],tProdutos[Produto],0)),"Não")</f>
        <v>Sim</v>
      </c>
      <c r="O6839" t="str">
        <f>IFERROR(INDEX(tEditais[SRP],MATCH(tItens[[#This Row],[Edital]],tEditais[Edital],0)),"Não")</f>
        <v>Sim</v>
      </c>
      <c r="P6839" s="4">
        <f>IF(COUNTIFS(INDEX(tItens[Edital],1):tItens[[#This Row],[Edital]],tItens[[#This Row],[Edital]],INDEX(tItens[Produto],1):tItens[[#This Row],[Produto]],tItens[[#This Row],[Produto]])=1,1,0)</f>
        <v>1</v>
      </c>
    </row>
    <row r="6840" spans="1:16" x14ac:dyDescent="0.25">
      <c r="A6840" t="s">
        <v>2438</v>
      </c>
      <c r="B6840">
        <v>8043731</v>
      </c>
      <c r="C6840" t="s">
        <v>9505</v>
      </c>
      <c r="D6840" t="s">
        <v>80</v>
      </c>
      <c r="E6840" s="13">
        <v>50</v>
      </c>
      <c r="F6840" s="12">
        <v>80.13</v>
      </c>
      <c r="G6840" t="str">
        <f>IFERROR(INDEX(tEditais[Órgão],MATCH(tItens[[#This Row],[Edital]],tEditais[Edital],0)),"")</f>
        <v>MUNICIPIO DE ALTA FLORESTA D'OESTE</v>
      </c>
      <c r="H6840" t="str">
        <f>IFERROR(INDEX(tEditais[UF],MATCH(tItens[[#This Row],[Edital]],tEditais[Edital],0)),"")</f>
        <v>RO</v>
      </c>
      <c r="I6840" s="11">
        <f>IFERROR(INDEX(tEditais[Encerramento],MATCH(tItens[[#This Row],[Edital]],tEditais[Edital],0)),"")</f>
        <v>46308.416666666664</v>
      </c>
      <c r="J6840" t="str">
        <f>IFERROR(INDEX(tProdutos[Classe],MATCH(tItens[[#This Row],[Produto]],tProdutos[Produto],0)),"produto não cadastrado")</f>
        <v>NÚCLEO</v>
      </c>
      <c r="K6840" s="12">
        <f>tItens[[#This Row],[Qtd]]*tItens[[#This Row],[Vlr unit]]</f>
        <v>4006.5</v>
      </c>
      <c r="L6840" s="6">
        <f>IFERROR(IF(INDEX(tProdutos[Desconto homologado],MATCH(tItens[[#This Row],[Produto]],tProdutos[Produto],0))="",DescontoPadrao,INDEX(tProdutos[Desconto homologado],MATCH(tItens[[#This Row],[Produto]],tProdutos[Produto],0))),DescontoPadrao)</f>
        <v>0.33</v>
      </c>
      <c r="M6840" s="12">
        <f>tItens[[#This Row],[Valor]]*(1-tItens[[#This Row],[Desconto]])</f>
        <v>2684.3549999999996</v>
      </c>
      <c r="N6840" t="str">
        <f>IFERROR(INDEX(tProdutos[Foco],MATCH(tItens[[#This Row],[Produto]],tProdutos[Produto],0)),"Não")</f>
        <v>Sim</v>
      </c>
      <c r="O6840" t="str">
        <f>IFERROR(INDEX(tEditais[SRP],MATCH(tItens[[#This Row],[Edital]],tEditais[Edital],0)),"Não")</f>
        <v>Sim</v>
      </c>
      <c r="P6840" s="4">
        <f>IF(COUNTIFS(INDEX(tItens[Edital],1):tItens[[#This Row],[Edital]],tItens[[#This Row],[Edital]],INDEX(tItens[Produto],1):tItens[[#This Row],[Produto]],tItens[[#This Row],[Produto]])=1,1,0)</f>
        <v>0</v>
      </c>
    </row>
    <row r="6841" spans="1:16" x14ac:dyDescent="0.25">
      <c r="A6841" t="s">
        <v>2438</v>
      </c>
      <c r="B6841">
        <v>8043732</v>
      </c>
      <c r="C6841" t="s">
        <v>9506</v>
      </c>
      <c r="D6841" t="s">
        <v>371</v>
      </c>
      <c r="E6841" s="13">
        <v>3000</v>
      </c>
      <c r="F6841" s="12">
        <v>0.79</v>
      </c>
      <c r="G6841" t="str">
        <f>IFERROR(INDEX(tEditais[Órgão],MATCH(tItens[[#This Row],[Edital]],tEditais[Edital],0)),"")</f>
        <v>MUNICIPIO DE ALTA FLORESTA D'OESTE</v>
      </c>
      <c r="H6841" t="str">
        <f>IFERROR(INDEX(tEditais[UF],MATCH(tItens[[#This Row],[Edital]],tEditais[Edital],0)),"")</f>
        <v>RO</v>
      </c>
      <c r="I6841" s="11">
        <f>IFERROR(INDEX(tEditais[Encerramento],MATCH(tItens[[#This Row],[Edital]],tEditais[Edital],0)),"")</f>
        <v>46308.416666666664</v>
      </c>
      <c r="J6841" t="str">
        <f>IFERROR(INDEX(tProdutos[Classe],MATCH(tItens[[#This Row],[Produto]],tProdutos[Produto],0)),"produto não cadastrado")</f>
        <v>FORA</v>
      </c>
      <c r="K6841" s="12">
        <f>tItens[[#This Row],[Qtd]]*tItens[[#This Row],[Vlr unit]]</f>
        <v>2370</v>
      </c>
      <c r="L6841" s="6">
        <f>IFERROR(IF(INDEX(tProdutos[Desconto homologado],MATCH(tItens[[#This Row],[Produto]],tProdutos[Produto],0))="",DescontoPadrao,INDEX(tProdutos[Desconto homologado],MATCH(tItens[[#This Row],[Produto]],tProdutos[Produto],0))),DescontoPadrao)</f>
        <v>0.217826086956522</v>
      </c>
      <c r="M6841" s="12">
        <f>tItens[[#This Row],[Valor]]*(1-tItens[[#This Row],[Desconto]])</f>
        <v>1853.7521739130427</v>
      </c>
      <c r="N6841" t="str">
        <f>IFERROR(INDEX(tProdutos[Foco],MATCH(tItens[[#This Row],[Produto]],tProdutos[Produto],0)),"Não")</f>
        <v>Não</v>
      </c>
      <c r="O6841" t="str">
        <f>IFERROR(INDEX(tEditais[SRP],MATCH(tItens[[#This Row],[Edital]],tEditais[Edital],0)),"Não")</f>
        <v>Sim</v>
      </c>
      <c r="P6841" s="4">
        <f>IF(COUNTIFS(INDEX(tItens[Edital],1):tItens[[#This Row],[Edital]],tItens[[#This Row],[Edital]],INDEX(tItens[Produto],1):tItens[[#This Row],[Produto]],tItens[[#This Row],[Produto]])=1,1,0)</f>
        <v>1</v>
      </c>
    </row>
    <row r="6842" spans="1:16" x14ac:dyDescent="0.25">
      <c r="A6842" t="s">
        <v>2438</v>
      </c>
      <c r="B6842">
        <v>8043757</v>
      </c>
      <c r="C6842" t="s">
        <v>9507</v>
      </c>
      <c r="D6842" t="s">
        <v>569</v>
      </c>
      <c r="E6842" s="13">
        <v>4</v>
      </c>
      <c r="F6842" s="12">
        <v>47.1</v>
      </c>
      <c r="G6842" t="str">
        <f>IFERROR(INDEX(tEditais[Órgão],MATCH(tItens[[#This Row],[Edital]],tEditais[Edital],0)),"")</f>
        <v>MUNICIPIO DE ALTA FLORESTA D'OESTE</v>
      </c>
      <c r="H6842" t="str">
        <f>IFERROR(INDEX(tEditais[UF],MATCH(tItens[[#This Row],[Edital]],tEditais[Edital],0)),"")</f>
        <v>RO</v>
      </c>
      <c r="I6842" s="11">
        <f>IFERROR(INDEX(tEditais[Encerramento],MATCH(tItens[[#This Row],[Edital]],tEditais[Edital],0)),"")</f>
        <v>46308.416666666664</v>
      </c>
      <c r="J6842" t="str">
        <f>IFERROR(INDEX(tProdutos[Classe],MATCH(tItens[[#This Row],[Produto]],tProdutos[Produto],0)),"produto não cadastrado")</f>
        <v>FILA REBASE</v>
      </c>
      <c r="K6842" s="12">
        <f>tItens[[#This Row],[Qtd]]*tItens[[#This Row],[Vlr unit]]</f>
        <v>188.4</v>
      </c>
      <c r="L6842" s="6">
        <f>IFERROR(IF(INDEX(tProdutos[Desconto homologado],MATCH(tItens[[#This Row],[Produto]],tProdutos[Produto],0))="",DescontoPadrao,INDEX(tProdutos[Desconto homologado],MATCH(tItens[[#This Row],[Produto]],tProdutos[Produto],0))),DescontoPadrao)</f>
        <v>0.3</v>
      </c>
      <c r="M6842" s="12">
        <f>tItens[[#This Row],[Valor]]*(1-tItens[[#This Row],[Desconto]])</f>
        <v>131.88</v>
      </c>
      <c r="N6842" t="str">
        <f>IFERROR(INDEX(tProdutos[Foco],MATCH(tItens[[#This Row],[Produto]],tProdutos[Produto],0)),"Não")</f>
        <v>Não</v>
      </c>
      <c r="O6842" t="str">
        <f>IFERROR(INDEX(tEditais[SRP],MATCH(tItens[[#This Row],[Edital]],tEditais[Edital],0)),"Não")</f>
        <v>Sim</v>
      </c>
      <c r="P6842" s="4">
        <f>IF(COUNTIFS(INDEX(tItens[Edital],1):tItens[[#This Row],[Edital]],tItens[[#This Row],[Edital]],INDEX(tItens[Produto],1):tItens[[#This Row],[Produto]],tItens[[#This Row],[Produto]])=1,1,0)</f>
        <v>1</v>
      </c>
    </row>
    <row r="6843" spans="1:16" x14ac:dyDescent="0.25">
      <c r="A6843" t="s">
        <v>2438</v>
      </c>
      <c r="B6843">
        <v>8043758</v>
      </c>
      <c r="C6843" t="s">
        <v>9508</v>
      </c>
      <c r="D6843" t="s">
        <v>569</v>
      </c>
      <c r="E6843" s="13">
        <v>5</v>
      </c>
      <c r="F6843" s="12">
        <v>36.619999999999997</v>
      </c>
      <c r="G6843" t="str">
        <f>IFERROR(INDEX(tEditais[Órgão],MATCH(tItens[[#This Row],[Edital]],tEditais[Edital],0)),"")</f>
        <v>MUNICIPIO DE ALTA FLORESTA D'OESTE</v>
      </c>
      <c r="H6843" t="str">
        <f>IFERROR(INDEX(tEditais[UF],MATCH(tItens[[#This Row],[Edital]],tEditais[Edital],0)),"")</f>
        <v>RO</v>
      </c>
      <c r="I6843" s="11">
        <f>IFERROR(INDEX(tEditais[Encerramento],MATCH(tItens[[#This Row],[Edital]],tEditais[Edital],0)),"")</f>
        <v>46308.416666666664</v>
      </c>
      <c r="J6843" t="str">
        <f>IFERROR(INDEX(tProdutos[Classe],MATCH(tItens[[#This Row],[Produto]],tProdutos[Produto],0)),"produto não cadastrado")</f>
        <v>FILA REBASE</v>
      </c>
      <c r="K6843" s="12">
        <f>tItens[[#This Row],[Qtd]]*tItens[[#This Row],[Vlr unit]]</f>
        <v>183.1</v>
      </c>
      <c r="L6843" s="6">
        <f>IFERROR(IF(INDEX(tProdutos[Desconto homologado],MATCH(tItens[[#This Row],[Produto]],tProdutos[Produto],0))="",DescontoPadrao,INDEX(tProdutos[Desconto homologado],MATCH(tItens[[#This Row],[Produto]],tProdutos[Produto],0))),DescontoPadrao)</f>
        <v>0.3</v>
      </c>
      <c r="M6843" s="12">
        <f>tItens[[#This Row],[Valor]]*(1-tItens[[#This Row],[Desconto]])</f>
        <v>128.16999999999999</v>
      </c>
      <c r="N6843" t="str">
        <f>IFERROR(INDEX(tProdutos[Foco],MATCH(tItens[[#This Row],[Produto]],tProdutos[Produto],0)),"Não")</f>
        <v>Não</v>
      </c>
      <c r="O6843" t="str">
        <f>IFERROR(INDEX(tEditais[SRP],MATCH(tItens[[#This Row],[Edital]],tEditais[Edital],0)),"Não")</f>
        <v>Sim</v>
      </c>
      <c r="P6843" s="4">
        <f>IF(COUNTIFS(INDEX(tItens[Edital],1):tItens[[#This Row],[Edital]],tItens[[#This Row],[Edital]],INDEX(tItens[Produto],1):tItens[[#This Row],[Produto]],tItens[[#This Row],[Produto]])=1,1,0)</f>
        <v>0</v>
      </c>
    </row>
    <row r="6844" spans="1:16" x14ac:dyDescent="0.25">
      <c r="A6844" t="s">
        <v>2438</v>
      </c>
      <c r="B6844">
        <v>8043759</v>
      </c>
      <c r="C6844" t="s">
        <v>9509</v>
      </c>
      <c r="D6844" t="s">
        <v>569</v>
      </c>
      <c r="E6844" s="13">
        <v>5</v>
      </c>
      <c r="F6844" s="12">
        <v>15.87</v>
      </c>
      <c r="G6844" t="str">
        <f>IFERROR(INDEX(tEditais[Órgão],MATCH(tItens[[#This Row],[Edital]],tEditais[Edital],0)),"")</f>
        <v>MUNICIPIO DE ALTA FLORESTA D'OESTE</v>
      </c>
      <c r="H6844" t="str">
        <f>IFERROR(INDEX(tEditais[UF],MATCH(tItens[[#This Row],[Edital]],tEditais[Edital],0)),"")</f>
        <v>RO</v>
      </c>
      <c r="I6844" s="11">
        <f>IFERROR(INDEX(tEditais[Encerramento],MATCH(tItens[[#This Row],[Edital]],tEditais[Edital],0)),"")</f>
        <v>46308.416666666664</v>
      </c>
      <c r="J6844" t="str">
        <f>IFERROR(INDEX(tProdutos[Classe],MATCH(tItens[[#This Row],[Produto]],tProdutos[Produto],0)),"produto não cadastrado")</f>
        <v>FILA REBASE</v>
      </c>
      <c r="K6844" s="12">
        <f>tItens[[#This Row],[Qtd]]*tItens[[#This Row],[Vlr unit]]</f>
        <v>79.349999999999994</v>
      </c>
      <c r="L6844" s="6">
        <f>IFERROR(IF(INDEX(tProdutos[Desconto homologado],MATCH(tItens[[#This Row],[Produto]],tProdutos[Produto],0))="",DescontoPadrao,INDEX(tProdutos[Desconto homologado],MATCH(tItens[[#This Row],[Produto]],tProdutos[Produto],0))),DescontoPadrao)</f>
        <v>0.3</v>
      </c>
      <c r="M6844" s="12">
        <f>tItens[[#This Row],[Valor]]*(1-tItens[[#This Row],[Desconto]])</f>
        <v>55.544999999999995</v>
      </c>
      <c r="N6844" t="str">
        <f>IFERROR(INDEX(tProdutos[Foco],MATCH(tItens[[#This Row],[Produto]],tProdutos[Produto],0)),"Não")</f>
        <v>Não</v>
      </c>
      <c r="O6844" t="str">
        <f>IFERROR(INDEX(tEditais[SRP],MATCH(tItens[[#This Row],[Edital]],tEditais[Edital],0)),"Não")</f>
        <v>Sim</v>
      </c>
      <c r="P6844" s="4">
        <f>IF(COUNTIFS(INDEX(tItens[Edital],1):tItens[[#This Row],[Edital]],tItens[[#This Row],[Edital]],INDEX(tItens[Produto],1):tItens[[#This Row],[Produto]],tItens[[#This Row],[Produto]])=1,1,0)</f>
        <v>0</v>
      </c>
    </row>
    <row r="6845" spans="1:16" x14ac:dyDescent="0.25">
      <c r="A6845" t="s">
        <v>2438</v>
      </c>
      <c r="B6845">
        <v>8043777</v>
      </c>
      <c r="C6845" t="s">
        <v>9510</v>
      </c>
      <c r="D6845" t="s">
        <v>150</v>
      </c>
      <c r="E6845" s="13">
        <v>10000</v>
      </c>
      <c r="F6845" s="12">
        <v>0.68</v>
      </c>
      <c r="G6845" t="str">
        <f>IFERROR(INDEX(tEditais[Órgão],MATCH(tItens[[#This Row],[Edital]],tEditais[Edital],0)),"")</f>
        <v>MUNICIPIO DE ALTA FLORESTA D'OESTE</v>
      </c>
      <c r="H6845" t="str">
        <f>IFERROR(INDEX(tEditais[UF],MATCH(tItens[[#This Row],[Edital]],tEditais[Edital],0)),"")</f>
        <v>RO</v>
      </c>
      <c r="I6845" s="11">
        <f>IFERROR(INDEX(tEditais[Encerramento],MATCH(tItens[[#This Row],[Edital]],tEditais[Edital],0)),"")</f>
        <v>46308.416666666664</v>
      </c>
      <c r="J6845" t="str">
        <f>IFERROR(INDEX(tProdutos[Classe],MATCH(tItens[[#This Row],[Produto]],tProdutos[Produto],0)),"produto não cadastrado")</f>
        <v>DISPUTADO</v>
      </c>
      <c r="K6845" s="12">
        <f>tItens[[#This Row],[Qtd]]*tItens[[#This Row],[Vlr unit]]</f>
        <v>6800.0000000000009</v>
      </c>
      <c r="L6845" s="6">
        <f>IFERROR(IF(INDEX(tProdutos[Desconto homologado],MATCH(tItens[[#This Row],[Produto]],tProdutos[Produto],0))="",DescontoPadrao,INDEX(tProdutos[Desconto homologado],MATCH(tItens[[#This Row],[Produto]],tProdutos[Produto],0))),DescontoPadrao)</f>
        <v>0.24874026568941801</v>
      </c>
      <c r="M6845" s="12">
        <f>tItens[[#This Row],[Valor]]*(1-tItens[[#This Row],[Desconto]])</f>
        <v>5108.5661933119582</v>
      </c>
      <c r="N6845" t="str">
        <f>IFERROR(INDEX(tProdutos[Foco],MATCH(tItens[[#This Row],[Produto]],tProdutos[Produto],0)),"Não")</f>
        <v>Não</v>
      </c>
      <c r="O6845" t="str">
        <f>IFERROR(INDEX(tEditais[SRP],MATCH(tItens[[#This Row],[Edital]],tEditais[Edital],0)),"Não")</f>
        <v>Sim</v>
      </c>
      <c r="P6845" s="4">
        <f>IF(COUNTIFS(INDEX(tItens[Edital],1):tItens[[#This Row],[Edital]],tItens[[#This Row],[Edital]],INDEX(tItens[Produto],1):tItens[[#This Row],[Produto]],tItens[[#This Row],[Produto]])=1,1,0)</f>
        <v>1</v>
      </c>
    </row>
    <row r="6846" spans="1:16" x14ac:dyDescent="0.25">
      <c r="A6846" t="s">
        <v>2438</v>
      </c>
      <c r="B6846">
        <v>8043778</v>
      </c>
      <c r="C6846" t="s">
        <v>9511</v>
      </c>
      <c r="D6846" t="s">
        <v>176</v>
      </c>
      <c r="E6846" s="13">
        <v>5000</v>
      </c>
      <c r="F6846" s="12">
        <v>1.02</v>
      </c>
      <c r="G6846" t="str">
        <f>IFERROR(INDEX(tEditais[Órgão],MATCH(tItens[[#This Row],[Edital]],tEditais[Edital],0)),"")</f>
        <v>MUNICIPIO DE ALTA FLORESTA D'OESTE</v>
      </c>
      <c r="H6846" t="str">
        <f>IFERROR(INDEX(tEditais[UF],MATCH(tItens[[#This Row],[Edital]],tEditais[Edital],0)),"")</f>
        <v>RO</v>
      </c>
      <c r="I6846" s="11">
        <f>IFERROR(INDEX(tEditais[Encerramento],MATCH(tItens[[#This Row],[Edital]],tEditais[Edital],0)),"")</f>
        <v>46308.416666666664</v>
      </c>
      <c r="J6846" t="str">
        <f>IFERROR(INDEX(tProdutos[Classe],MATCH(tItens[[#This Row],[Produto]],tProdutos[Produto],0)),"produto não cadastrado")</f>
        <v>DISPUTADO</v>
      </c>
      <c r="K6846" s="12">
        <f>tItens[[#This Row],[Qtd]]*tItens[[#This Row],[Vlr unit]]</f>
        <v>5100</v>
      </c>
      <c r="L6846" s="6">
        <f>IFERROR(IF(INDEX(tProdutos[Desconto homologado],MATCH(tItens[[#This Row],[Produto]],tProdutos[Produto],0))="",DescontoPadrao,INDEX(tProdutos[Desconto homologado],MATCH(tItens[[#This Row],[Produto]],tProdutos[Produto],0))),DescontoPadrao)</f>
        <v>0.39921530161843999</v>
      </c>
      <c r="M6846" s="12">
        <f>tItens[[#This Row],[Valor]]*(1-tItens[[#This Row],[Desconto]])</f>
        <v>3064.0019617459561</v>
      </c>
      <c r="N6846" t="str">
        <f>IFERROR(INDEX(tProdutos[Foco],MATCH(tItens[[#This Row],[Produto]],tProdutos[Produto],0)),"Não")</f>
        <v>Não</v>
      </c>
      <c r="O6846" t="str">
        <f>IFERROR(INDEX(tEditais[SRP],MATCH(tItens[[#This Row],[Edital]],tEditais[Edital],0)),"Não")</f>
        <v>Sim</v>
      </c>
      <c r="P6846" s="4">
        <f>IF(COUNTIFS(INDEX(tItens[Edital],1):tItens[[#This Row],[Edital]],tItens[[#This Row],[Edital]],INDEX(tItens[Produto],1):tItens[[#This Row],[Produto]],tItens[[#This Row],[Produto]])=1,1,0)</f>
        <v>1</v>
      </c>
    </row>
    <row r="6847" spans="1:16" x14ac:dyDescent="0.25">
      <c r="A6847" t="s">
        <v>2438</v>
      </c>
      <c r="B6847">
        <v>8043779</v>
      </c>
      <c r="C6847" t="s">
        <v>9512</v>
      </c>
      <c r="D6847" t="s">
        <v>176</v>
      </c>
      <c r="E6847" s="13">
        <v>6000</v>
      </c>
      <c r="F6847" s="12">
        <v>1.18</v>
      </c>
      <c r="G6847" t="str">
        <f>IFERROR(INDEX(tEditais[Órgão],MATCH(tItens[[#This Row],[Edital]],tEditais[Edital],0)),"")</f>
        <v>MUNICIPIO DE ALTA FLORESTA D'OESTE</v>
      </c>
      <c r="H6847" t="str">
        <f>IFERROR(INDEX(tEditais[UF],MATCH(tItens[[#This Row],[Edital]],tEditais[Edital],0)),"")</f>
        <v>RO</v>
      </c>
      <c r="I6847" s="11">
        <f>IFERROR(INDEX(tEditais[Encerramento],MATCH(tItens[[#This Row],[Edital]],tEditais[Edital],0)),"")</f>
        <v>46308.416666666664</v>
      </c>
      <c r="J6847" t="str">
        <f>IFERROR(INDEX(tProdutos[Classe],MATCH(tItens[[#This Row],[Produto]],tProdutos[Produto],0)),"produto não cadastrado")</f>
        <v>DISPUTADO</v>
      </c>
      <c r="K6847" s="12">
        <f>tItens[[#This Row],[Qtd]]*tItens[[#This Row],[Vlr unit]]</f>
        <v>7080</v>
      </c>
      <c r="L6847" s="6">
        <f>IFERROR(IF(INDEX(tProdutos[Desconto homologado],MATCH(tItens[[#This Row],[Produto]],tProdutos[Produto],0))="",DescontoPadrao,INDEX(tProdutos[Desconto homologado],MATCH(tItens[[#This Row],[Produto]],tProdutos[Produto],0))),DescontoPadrao)</f>
        <v>0.39921530161843999</v>
      </c>
      <c r="M6847" s="12">
        <f>tItens[[#This Row],[Valor]]*(1-tItens[[#This Row],[Desconto]])</f>
        <v>4253.5556645414445</v>
      </c>
      <c r="N6847" t="str">
        <f>IFERROR(INDEX(tProdutos[Foco],MATCH(tItens[[#This Row],[Produto]],tProdutos[Produto],0)),"Não")</f>
        <v>Não</v>
      </c>
      <c r="O6847" t="str">
        <f>IFERROR(INDEX(tEditais[SRP],MATCH(tItens[[#This Row],[Edital]],tEditais[Edital],0)),"Não")</f>
        <v>Sim</v>
      </c>
      <c r="P6847" s="4">
        <f>IF(COUNTIFS(INDEX(tItens[Edital],1):tItens[[#This Row],[Edital]],tItens[[#This Row],[Edital]],INDEX(tItens[Produto],1):tItens[[#This Row],[Produto]],tItens[[#This Row],[Produto]])=1,1,0)</f>
        <v>0</v>
      </c>
    </row>
    <row r="6848" spans="1:16" x14ac:dyDescent="0.25">
      <c r="A6848" t="s">
        <v>2438</v>
      </c>
      <c r="B6848">
        <v>8043786</v>
      </c>
      <c r="C6848" t="s">
        <v>9513</v>
      </c>
      <c r="D6848" t="s">
        <v>512</v>
      </c>
      <c r="E6848" s="13">
        <v>5</v>
      </c>
      <c r="F6848" s="12">
        <v>48.89</v>
      </c>
      <c r="G6848" t="str">
        <f>IFERROR(INDEX(tEditais[Órgão],MATCH(tItens[[#This Row],[Edital]],tEditais[Edital],0)),"")</f>
        <v>MUNICIPIO DE ALTA FLORESTA D'OESTE</v>
      </c>
      <c r="H6848" t="str">
        <f>IFERROR(INDEX(tEditais[UF],MATCH(tItens[[#This Row],[Edital]],tEditais[Edital],0)),"")</f>
        <v>RO</v>
      </c>
      <c r="I6848" s="11">
        <f>IFERROR(INDEX(tEditais[Encerramento],MATCH(tItens[[#This Row],[Edital]],tEditais[Edital],0)),"")</f>
        <v>46308.416666666664</v>
      </c>
      <c r="J6848" t="str">
        <f>IFERROR(INDEX(tProdutos[Classe],MATCH(tItens[[#This Row],[Produto]],tProdutos[Produto],0)),"produto não cadastrado")</f>
        <v>FILA REBASE</v>
      </c>
      <c r="K6848" s="12">
        <f>tItens[[#This Row],[Qtd]]*tItens[[#This Row],[Vlr unit]]</f>
        <v>244.45</v>
      </c>
      <c r="L6848" s="6">
        <f>IFERROR(IF(INDEX(tProdutos[Desconto homologado],MATCH(tItens[[#This Row],[Produto]],tProdutos[Produto],0))="",DescontoPadrao,INDEX(tProdutos[Desconto homologado],MATCH(tItens[[#This Row],[Produto]],tProdutos[Produto],0))),DescontoPadrao)</f>
        <v>0.32579365079365102</v>
      </c>
      <c r="M6848" s="12">
        <f>tItens[[#This Row],[Valor]]*(1-tItens[[#This Row],[Desconto]])</f>
        <v>164.80974206349202</v>
      </c>
      <c r="N6848" t="str">
        <f>IFERROR(INDEX(tProdutos[Foco],MATCH(tItens[[#This Row],[Produto]],tProdutos[Produto],0)),"Não")</f>
        <v>Não</v>
      </c>
      <c r="O6848" t="str">
        <f>IFERROR(INDEX(tEditais[SRP],MATCH(tItens[[#This Row],[Edital]],tEditais[Edital],0)),"Não")</f>
        <v>Sim</v>
      </c>
      <c r="P6848" s="4">
        <f>IF(COUNTIFS(INDEX(tItens[Edital],1):tItens[[#This Row],[Edital]],tItens[[#This Row],[Edital]],INDEX(tItens[Produto],1):tItens[[#This Row],[Produto]],tItens[[#This Row],[Produto]])=1,1,0)</f>
        <v>1</v>
      </c>
    </row>
    <row r="6849" spans="1:16" x14ac:dyDescent="0.25">
      <c r="A6849" t="s">
        <v>2443</v>
      </c>
      <c r="B6849">
        <v>4</v>
      </c>
      <c r="C6849" t="s">
        <v>9514</v>
      </c>
      <c r="D6849" t="s">
        <v>315</v>
      </c>
      <c r="E6849" s="13">
        <v>1000</v>
      </c>
      <c r="F6849" s="12">
        <v>6.96</v>
      </c>
      <c r="G6849" t="str">
        <f>IFERROR(INDEX(tEditais[Órgão],MATCH(tItens[[#This Row],[Edital]],tEditais[Edital],0)),"")</f>
        <v>MUNICIPIO DE ESPIGAO D'OESTE</v>
      </c>
      <c r="H6849" t="str">
        <f>IFERROR(INDEX(tEditais[UF],MATCH(tItens[[#This Row],[Edital]],tEditais[Edital],0)),"")</f>
        <v>RO</v>
      </c>
      <c r="I6849" s="11">
        <f>IFERROR(INDEX(tEditais[Encerramento],MATCH(tItens[[#This Row],[Edital]],tEditais[Edital],0)),"")</f>
        <v>46309.354166666664</v>
      </c>
      <c r="J6849" t="str">
        <f>IFERROR(INDEX(tProdutos[Classe],MATCH(tItens[[#This Row],[Produto]],tProdutos[Produto],0)),"produto não cadastrado")</f>
        <v>FORA</v>
      </c>
      <c r="K6849" s="12">
        <f>tItens[[#This Row],[Qtd]]*tItens[[#This Row],[Vlr unit]]</f>
        <v>6960</v>
      </c>
      <c r="L6849" s="6">
        <f>IFERROR(IF(INDEX(tProdutos[Desconto homologado],MATCH(tItens[[#This Row],[Produto]],tProdutos[Produto],0))="",DescontoPadrao,INDEX(tProdutos[Desconto homologado],MATCH(tItens[[#This Row],[Produto]],tProdutos[Produto],0))),DescontoPadrao)</f>
        <v>0.38432036097010702</v>
      </c>
      <c r="M6849" s="12">
        <f>tItens[[#This Row],[Valor]]*(1-tItens[[#This Row],[Desconto]])</f>
        <v>4285.1302876480549</v>
      </c>
      <c r="N6849" t="str">
        <f>IFERROR(INDEX(tProdutos[Foco],MATCH(tItens[[#This Row],[Produto]],tProdutos[Produto],0)),"Não")</f>
        <v>Não</v>
      </c>
      <c r="O6849" t="str">
        <f>IFERROR(INDEX(tEditais[SRP],MATCH(tItens[[#This Row],[Edital]],tEditais[Edital],0)),"Não")</f>
        <v>Sim</v>
      </c>
      <c r="P6849" s="4">
        <f>IF(COUNTIFS(INDEX(tItens[Edital],1):tItens[[#This Row],[Edital]],tItens[[#This Row],[Edital]],INDEX(tItens[Produto],1):tItens[[#This Row],[Produto]],tItens[[#This Row],[Produto]])=1,1,0)</f>
        <v>1</v>
      </c>
    </row>
    <row r="6850" spans="1:16" x14ac:dyDescent="0.25">
      <c r="A6850" t="s">
        <v>2443</v>
      </c>
      <c r="B6850">
        <v>5</v>
      </c>
      <c r="C6850" t="s">
        <v>9515</v>
      </c>
      <c r="D6850" t="s">
        <v>315</v>
      </c>
      <c r="E6850" s="13">
        <v>400</v>
      </c>
      <c r="F6850" s="12">
        <v>8.86</v>
      </c>
      <c r="G6850" t="str">
        <f>IFERROR(INDEX(tEditais[Órgão],MATCH(tItens[[#This Row],[Edital]],tEditais[Edital],0)),"")</f>
        <v>MUNICIPIO DE ESPIGAO D'OESTE</v>
      </c>
      <c r="H6850" t="str">
        <f>IFERROR(INDEX(tEditais[UF],MATCH(tItens[[#This Row],[Edital]],tEditais[Edital],0)),"")</f>
        <v>RO</v>
      </c>
      <c r="I6850" s="11">
        <f>IFERROR(INDEX(tEditais[Encerramento],MATCH(tItens[[#This Row],[Edital]],tEditais[Edital],0)),"")</f>
        <v>46309.354166666664</v>
      </c>
      <c r="J6850" t="str">
        <f>IFERROR(INDEX(tProdutos[Classe],MATCH(tItens[[#This Row],[Produto]],tProdutos[Produto],0)),"produto não cadastrado")</f>
        <v>FORA</v>
      </c>
      <c r="K6850" s="12">
        <f>tItens[[#This Row],[Qtd]]*tItens[[#This Row],[Vlr unit]]</f>
        <v>3544</v>
      </c>
      <c r="L6850" s="6">
        <f>IFERROR(IF(INDEX(tProdutos[Desconto homologado],MATCH(tItens[[#This Row],[Produto]],tProdutos[Produto],0))="",DescontoPadrao,INDEX(tProdutos[Desconto homologado],MATCH(tItens[[#This Row],[Produto]],tProdutos[Produto],0))),DescontoPadrao)</f>
        <v>0.38432036097010702</v>
      </c>
      <c r="M6850" s="12">
        <f>tItens[[#This Row],[Valor]]*(1-tItens[[#This Row],[Desconto]])</f>
        <v>2181.9686407219406</v>
      </c>
      <c r="N6850" t="str">
        <f>IFERROR(INDEX(tProdutos[Foco],MATCH(tItens[[#This Row],[Produto]],tProdutos[Produto],0)),"Não")</f>
        <v>Não</v>
      </c>
      <c r="O6850" t="str">
        <f>IFERROR(INDEX(tEditais[SRP],MATCH(tItens[[#This Row],[Edital]],tEditais[Edital],0)),"Não")</f>
        <v>Sim</v>
      </c>
      <c r="P6850" s="4">
        <f>IF(COUNTIFS(INDEX(tItens[Edital],1):tItens[[#This Row],[Edital]],tItens[[#This Row],[Edital]],INDEX(tItens[Produto],1):tItens[[#This Row],[Produto]],tItens[[#This Row],[Produto]])=1,1,0)</f>
        <v>0</v>
      </c>
    </row>
    <row r="6851" spans="1:16" x14ac:dyDescent="0.25">
      <c r="A6851" t="s">
        <v>2443</v>
      </c>
      <c r="B6851">
        <v>7</v>
      </c>
      <c r="C6851" t="s">
        <v>9516</v>
      </c>
      <c r="D6851" t="s">
        <v>363</v>
      </c>
      <c r="E6851" s="13">
        <v>25</v>
      </c>
      <c r="F6851" s="12">
        <v>151.13999999999999</v>
      </c>
      <c r="G6851" t="str">
        <f>IFERROR(INDEX(tEditais[Órgão],MATCH(tItens[[#This Row],[Edital]],tEditais[Edital],0)),"")</f>
        <v>MUNICIPIO DE ESPIGAO D'OESTE</v>
      </c>
      <c r="H6851" t="str">
        <f>IFERROR(INDEX(tEditais[UF],MATCH(tItens[[#This Row],[Edital]],tEditais[Edital],0)),"")</f>
        <v>RO</v>
      </c>
      <c r="I6851" s="11">
        <f>IFERROR(INDEX(tEditais[Encerramento],MATCH(tItens[[#This Row],[Edital]],tEditais[Edital],0)),"")</f>
        <v>46309.354166666664</v>
      </c>
      <c r="J6851" t="str">
        <f>IFERROR(INDEX(tProdutos[Classe],MATCH(tItens[[#This Row],[Produto]],tProdutos[Produto],0)),"produto não cadastrado")</f>
        <v>FORA</v>
      </c>
      <c r="K6851" s="12">
        <f>tItens[[#This Row],[Qtd]]*tItens[[#This Row],[Vlr unit]]</f>
        <v>3778.4999999999995</v>
      </c>
      <c r="L6851" s="6">
        <f>IFERROR(IF(INDEX(tProdutos[Desconto homologado],MATCH(tItens[[#This Row],[Produto]],tProdutos[Produto],0))="",DescontoPadrao,INDEX(tProdutos[Desconto homologado],MATCH(tItens[[#This Row],[Produto]],tProdutos[Produto],0))),DescontoPadrao)</f>
        <v>0.36454545454545501</v>
      </c>
      <c r="M6851" s="12">
        <f>tItens[[#This Row],[Valor]]*(1-tItens[[#This Row],[Desconto]])</f>
        <v>2401.0649999999982</v>
      </c>
      <c r="N6851" t="str">
        <f>IFERROR(INDEX(tProdutos[Foco],MATCH(tItens[[#This Row],[Produto]],tProdutos[Produto],0)),"Não")</f>
        <v>Não</v>
      </c>
      <c r="O6851" t="str">
        <f>IFERROR(INDEX(tEditais[SRP],MATCH(tItens[[#This Row],[Edital]],tEditais[Edital],0)),"Não")</f>
        <v>Sim</v>
      </c>
      <c r="P6851" s="4">
        <f>IF(COUNTIFS(INDEX(tItens[Edital],1):tItens[[#This Row],[Edital]],tItens[[#This Row],[Edital]],INDEX(tItens[Produto],1):tItens[[#This Row],[Produto]],tItens[[#This Row],[Produto]])=1,1,0)</f>
        <v>1</v>
      </c>
    </row>
    <row r="6852" spans="1:16" x14ac:dyDescent="0.25">
      <c r="A6852" t="s">
        <v>2443</v>
      </c>
      <c r="B6852">
        <v>15</v>
      </c>
      <c r="C6852" t="s">
        <v>9517</v>
      </c>
      <c r="D6852" t="s">
        <v>277</v>
      </c>
      <c r="E6852" s="13">
        <v>15000</v>
      </c>
      <c r="F6852" s="12">
        <v>12.69</v>
      </c>
      <c r="G6852" t="str">
        <f>IFERROR(INDEX(tEditais[Órgão],MATCH(tItens[[#This Row],[Edital]],tEditais[Edital],0)),"")</f>
        <v>MUNICIPIO DE ESPIGAO D'OESTE</v>
      </c>
      <c r="H6852" t="str">
        <f>IFERROR(INDEX(tEditais[UF],MATCH(tItens[[#This Row],[Edital]],tEditais[Edital],0)),"")</f>
        <v>RO</v>
      </c>
      <c r="I6852" s="11">
        <f>IFERROR(INDEX(tEditais[Encerramento],MATCH(tItens[[#This Row],[Edital]],tEditais[Edital],0)),"")</f>
        <v>46309.354166666664</v>
      </c>
      <c r="J6852" t="str">
        <f>IFERROR(INDEX(tProdutos[Classe],MATCH(tItens[[#This Row],[Produto]],tProdutos[Produto],0)),"produto não cadastrado")</f>
        <v>DISPUTADO</v>
      </c>
      <c r="K6852" s="12">
        <f>tItens[[#This Row],[Qtd]]*tItens[[#This Row],[Vlr unit]]</f>
        <v>190350</v>
      </c>
      <c r="L6852" s="6">
        <f>IFERROR(IF(INDEX(tProdutos[Desconto homologado],MATCH(tItens[[#This Row],[Produto]],tProdutos[Produto],0))="",DescontoPadrao,INDEX(tProdutos[Desconto homologado],MATCH(tItens[[#This Row],[Produto]],tProdutos[Produto],0))),DescontoPadrao)</f>
        <v>0.50460666194188497</v>
      </c>
      <c r="M6852" s="12">
        <f>tItens[[#This Row],[Valor]]*(1-tItens[[#This Row],[Desconto]])</f>
        <v>94298.121899362202</v>
      </c>
      <c r="N6852" t="str">
        <f>IFERROR(INDEX(tProdutos[Foco],MATCH(tItens[[#This Row],[Produto]],tProdutos[Produto],0)),"Não")</f>
        <v>Não</v>
      </c>
      <c r="O6852" t="str">
        <f>IFERROR(INDEX(tEditais[SRP],MATCH(tItens[[#This Row],[Edital]],tEditais[Edital],0)),"Não")</f>
        <v>Sim</v>
      </c>
      <c r="P6852" s="4">
        <f>IF(COUNTIFS(INDEX(tItens[Edital],1):tItens[[#This Row],[Edital]],tItens[[#This Row],[Edital]],INDEX(tItens[Produto],1):tItens[[#This Row],[Produto]],tItens[[#This Row],[Produto]])=1,1,0)</f>
        <v>1</v>
      </c>
    </row>
    <row r="6853" spans="1:16" x14ac:dyDescent="0.25">
      <c r="A6853" t="s">
        <v>2443</v>
      </c>
      <c r="B6853">
        <v>19</v>
      </c>
      <c r="C6853" t="s">
        <v>9518</v>
      </c>
      <c r="D6853" t="s">
        <v>62</v>
      </c>
      <c r="E6853" s="13">
        <v>4000</v>
      </c>
      <c r="F6853" s="12">
        <v>3.29</v>
      </c>
      <c r="G6853" t="str">
        <f>IFERROR(INDEX(tEditais[Órgão],MATCH(tItens[[#This Row],[Edital]],tEditais[Edital],0)),"")</f>
        <v>MUNICIPIO DE ESPIGAO D'OESTE</v>
      </c>
      <c r="H6853" t="str">
        <f>IFERROR(INDEX(tEditais[UF],MATCH(tItens[[#This Row],[Edital]],tEditais[Edital],0)),"")</f>
        <v>RO</v>
      </c>
      <c r="I6853" s="11">
        <f>IFERROR(INDEX(tEditais[Encerramento],MATCH(tItens[[#This Row],[Edital]],tEditais[Edital],0)),"")</f>
        <v>46309.354166666664</v>
      </c>
      <c r="J6853" t="str">
        <f>IFERROR(INDEX(tProdutos[Classe],MATCH(tItens[[#This Row],[Produto]],tProdutos[Produto],0)),"produto não cadastrado")</f>
        <v>NÚCLEO</v>
      </c>
      <c r="K6853" s="12">
        <f>tItens[[#This Row],[Qtd]]*tItens[[#This Row],[Vlr unit]]</f>
        <v>13160</v>
      </c>
      <c r="L6853" s="6">
        <f>IFERROR(IF(INDEX(tProdutos[Desconto homologado],MATCH(tItens[[#This Row],[Produto]],tProdutos[Produto],0))="",DescontoPadrao,INDEX(tProdutos[Desconto homologado],MATCH(tItens[[#This Row],[Produto]],tProdutos[Produto],0))),DescontoPadrao)</f>
        <v>0.3</v>
      </c>
      <c r="M6853" s="12">
        <f>tItens[[#This Row],[Valor]]*(1-tItens[[#This Row],[Desconto]])</f>
        <v>9212</v>
      </c>
      <c r="N6853" t="str">
        <f>IFERROR(INDEX(tProdutos[Foco],MATCH(tItens[[#This Row],[Produto]],tProdutos[Produto],0)),"Não")</f>
        <v>Sim</v>
      </c>
      <c r="O6853" t="str">
        <f>IFERROR(INDEX(tEditais[SRP],MATCH(tItens[[#This Row],[Edital]],tEditais[Edital],0)),"Não")</f>
        <v>Sim</v>
      </c>
      <c r="P6853" s="4">
        <f>IF(COUNTIFS(INDEX(tItens[Edital],1):tItens[[#This Row],[Edital]],tItens[[#This Row],[Edital]],INDEX(tItens[Produto],1):tItens[[#This Row],[Produto]],tItens[[#This Row],[Produto]])=1,1,0)</f>
        <v>1</v>
      </c>
    </row>
    <row r="6854" spans="1:16" x14ac:dyDescent="0.25">
      <c r="A6854" t="s">
        <v>2443</v>
      </c>
      <c r="B6854">
        <v>31</v>
      </c>
      <c r="C6854" t="s">
        <v>9519</v>
      </c>
      <c r="D6854" t="s">
        <v>409</v>
      </c>
      <c r="E6854" s="13">
        <v>300</v>
      </c>
      <c r="F6854" s="12">
        <v>68.7</v>
      </c>
      <c r="G6854" t="str">
        <f>IFERROR(INDEX(tEditais[Órgão],MATCH(tItens[[#This Row],[Edital]],tEditais[Edital],0)),"")</f>
        <v>MUNICIPIO DE ESPIGAO D'OESTE</v>
      </c>
      <c r="H6854" t="str">
        <f>IFERROR(INDEX(tEditais[UF],MATCH(tItens[[#This Row],[Edital]],tEditais[Edital],0)),"")</f>
        <v>RO</v>
      </c>
      <c r="I6854" s="11">
        <f>IFERROR(INDEX(tEditais[Encerramento],MATCH(tItens[[#This Row],[Edital]],tEditais[Edital],0)),"")</f>
        <v>46309.354166666664</v>
      </c>
      <c r="J6854" t="str">
        <f>IFERROR(INDEX(tProdutos[Classe],MATCH(tItens[[#This Row],[Produto]],tProdutos[Produto],0)),"produto não cadastrado")</f>
        <v>FORA</v>
      </c>
      <c r="K6854" s="12">
        <f>tItens[[#This Row],[Qtd]]*tItens[[#This Row],[Vlr unit]]</f>
        <v>20610</v>
      </c>
      <c r="L6854" s="6">
        <f>IFERROR(IF(INDEX(tProdutos[Desconto homologado],MATCH(tItens[[#This Row],[Produto]],tProdutos[Produto],0))="",DescontoPadrao,INDEX(tProdutos[Desconto homologado],MATCH(tItens[[#This Row],[Produto]],tProdutos[Produto],0))),DescontoPadrao)</f>
        <v>0.24924924924924899</v>
      </c>
      <c r="M6854" s="12">
        <f>tItens[[#This Row],[Valor]]*(1-tItens[[#This Row],[Desconto]])</f>
        <v>15472.972972972979</v>
      </c>
      <c r="N6854" t="str">
        <f>IFERROR(INDEX(tProdutos[Foco],MATCH(tItens[[#This Row],[Produto]],tProdutos[Produto],0)),"Não")</f>
        <v>Não</v>
      </c>
      <c r="O6854" t="str">
        <f>IFERROR(INDEX(tEditais[SRP],MATCH(tItens[[#This Row],[Edital]],tEditais[Edital],0)),"Não")</f>
        <v>Sim</v>
      </c>
      <c r="P6854" s="4">
        <f>IF(COUNTIFS(INDEX(tItens[Edital],1):tItens[[#This Row],[Edital]],tItens[[#This Row],[Edital]],INDEX(tItens[Produto],1):tItens[[#This Row],[Produto]],tItens[[#This Row],[Produto]])=1,1,0)</f>
        <v>1</v>
      </c>
    </row>
    <row r="6855" spans="1:16" x14ac:dyDescent="0.25">
      <c r="A6855" t="s">
        <v>2443</v>
      </c>
      <c r="B6855">
        <v>34</v>
      </c>
      <c r="C6855" t="s">
        <v>9520</v>
      </c>
      <c r="D6855" t="s">
        <v>160</v>
      </c>
      <c r="E6855" s="13">
        <v>300</v>
      </c>
      <c r="F6855" s="12">
        <v>60.86</v>
      </c>
      <c r="G6855" t="str">
        <f>IFERROR(INDEX(tEditais[Órgão],MATCH(tItens[[#This Row],[Edital]],tEditais[Edital],0)),"")</f>
        <v>MUNICIPIO DE ESPIGAO D'OESTE</v>
      </c>
      <c r="H6855" t="str">
        <f>IFERROR(INDEX(tEditais[UF],MATCH(tItens[[#This Row],[Edital]],tEditais[Edital],0)),"")</f>
        <v>RO</v>
      </c>
      <c r="I6855" s="11">
        <f>IFERROR(INDEX(tEditais[Encerramento],MATCH(tItens[[#This Row],[Edital]],tEditais[Edital],0)),"")</f>
        <v>46309.354166666664</v>
      </c>
      <c r="J6855" t="str">
        <f>IFERROR(INDEX(tProdutos[Classe],MATCH(tItens[[#This Row],[Produto]],tProdutos[Produto],0)),"produto não cadastrado")</f>
        <v>DISPUTADO</v>
      </c>
      <c r="K6855" s="12">
        <f>tItens[[#This Row],[Qtd]]*tItens[[#This Row],[Vlr unit]]</f>
        <v>18258</v>
      </c>
      <c r="L6855" s="6">
        <f>IFERROR(IF(INDEX(tProdutos[Desconto homologado],MATCH(tItens[[#This Row],[Produto]],tProdutos[Produto],0))="",DescontoPadrao,INDEX(tProdutos[Desconto homologado],MATCH(tItens[[#This Row],[Produto]],tProdutos[Produto],0))),DescontoPadrao)</f>
        <v>0.28000000000000003</v>
      </c>
      <c r="M6855" s="12">
        <f>tItens[[#This Row],[Valor]]*(1-tItens[[#This Row],[Desconto]])</f>
        <v>13145.76</v>
      </c>
      <c r="N6855" t="str">
        <f>IFERROR(INDEX(tProdutos[Foco],MATCH(tItens[[#This Row],[Produto]],tProdutos[Produto],0)),"Não")</f>
        <v>Sim</v>
      </c>
      <c r="O6855" t="str">
        <f>IFERROR(INDEX(tEditais[SRP],MATCH(tItens[[#This Row],[Edital]],tEditais[Edital],0)),"Não")</f>
        <v>Sim</v>
      </c>
      <c r="P6855" s="4">
        <f>IF(COUNTIFS(INDEX(tItens[Edital],1):tItens[[#This Row],[Edital]],tItens[[#This Row],[Edital]],INDEX(tItens[Produto],1):tItens[[#This Row],[Produto]],tItens[[#This Row],[Produto]])=1,1,0)</f>
        <v>1</v>
      </c>
    </row>
    <row r="6856" spans="1:16" x14ac:dyDescent="0.25">
      <c r="A6856" t="s">
        <v>2443</v>
      </c>
      <c r="B6856">
        <v>35</v>
      </c>
      <c r="C6856" t="s">
        <v>9521</v>
      </c>
      <c r="D6856" t="s">
        <v>118</v>
      </c>
      <c r="E6856" s="13">
        <v>50</v>
      </c>
      <c r="F6856" s="12">
        <v>351.09</v>
      </c>
      <c r="G6856" t="str">
        <f>IFERROR(INDEX(tEditais[Órgão],MATCH(tItens[[#This Row],[Edital]],tEditais[Edital],0)),"")</f>
        <v>MUNICIPIO DE ESPIGAO D'OESTE</v>
      </c>
      <c r="H6856" t="str">
        <f>IFERROR(INDEX(tEditais[UF],MATCH(tItens[[#This Row],[Edital]],tEditais[Edital],0)),"")</f>
        <v>RO</v>
      </c>
      <c r="I6856" s="11">
        <f>IFERROR(INDEX(tEditais[Encerramento],MATCH(tItens[[#This Row],[Edital]],tEditais[Edital],0)),"")</f>
        <v>46309.354166666664</v>
      </c>
      <c r="J6856" t="str">
        <f>IFERROR(INDEX(tProdutos[Classe],MATCH(tItens[[#This Row],[Produto]],tProdutos[Produto],0)),"produto não cadastrado")</f>
        <v>DISPUTADO</v>
      </c>
      <c r="K6856" s="12">
        <f>tItens[[#This Row],[Qtd]]*tItens[[#This Row],[Vlr unit]]</f>
        <v>17554.5</v>
      </c>
      <c r="L6856" s="6">
        <f>IFERROR(IF(INDEX(tProdutos[Desconto homologado],MATCH(tItens[[#This Row],[Produto]],tProdutos[Produto],0))="",DescontoPadrao,INDEX(tProdutos[Desconto homologado],MATCH(tItens[[#This Row],[Produto]],tProdutos[Produto],0))),DescontoPadrao)</f>
        <v>0.45970952208503602</v>
      </c>
      <c r="M6856" s="12">
        <f>tItens[[#This Row],[Valor]]*(1-tItens[[#This Row],[Desconto]])</f>
        <v>9484.5291945582358</v>
      </c>
      <c r="N6856" t="str">
        <f>IFERROR(INDEX(tProdutos[Foco],MATCH(tItens[[#This Row],[Produto]],tProdutos[Produto],0)),"Não")</f>
        <v>Não</v>
      </c>
      <c r="O6856" t="str">
        <f>IFERROR(INDEX(tEditais[SRP],MATCH(tItens[[#This Row],[Edital]],tEditais[Edital],0)),"Não")</f>
        <v>Sim</v>
      </c>
      <c r="P6856" s="4">
        <f>IF(COUNTIFS(INDEX(tItens[Edital],1):tItens[[#This Row],[Edital]],tItens[[#This Row],[Edital]],INDEX(tItens[Produto],1):tItens[[#This Row],[Produto]],tItens[[#This Row],[Produto]])=1,1,0)</f>
        <v>1</v>
      </c>
    </row>
    <row r="6857" spans="1:16" x14ac:dyDescent="0.25">
      <c r="A6857" t="s">
        <v>2443</v>
      </c>
      <c r="B6857">
        <v>36</v>
      </c>
      <c r="C6857" t="s">
        <v>9522</v>
      </c>
      <c r="D6857" t="s">
        <v>118</v>
      </c>
      <c r="E6857" s="13">
        <v>200</v>
      </c>
      <c r="F6857" s="12">
        <v>18.899999999999999</v>
      </c>
      <c r="G6857" t="str">
        <f>IFERROR(INDEX(tEditais[Órgão],MATCH(tItens[[#This Row],[Edital]],tEditais[Edital],0)),"")</f>
        <v>MUNICIPIO DE ESPIGAO D'OESTE</v>
      </c>
      <c r="H6857" t="str">
        <f>IFERROR(INDEX(tEditais[UF],MATCH(tItens[[#This Row],[Edital]],tEditais[Edital],0)),"")</f>
        <v>RO</v>
      </c>
      <c r="I6857" s="11">
        <f>IFERROR(INDEX(tEditais[Encerramento],MATCH(tItens[[#This Row],[Edital]],tEditais[Edital],0)),"")</f>
        <v>46309.354166666664</v>
      </c>
      <c r="J6857" t="str">
        <f>IFERROR(INDEX(tProdutos[Classe],MATCH(tItens[[#This Row],[Produto]],tProdutos[Produto],0)),"produto não cadastrado")</f>
        <v>DISPUTADO</v>
      </c>
      <c r="K6857" s="12">
        <f>tItens[[#This Row],[Qtd]]*tItens[[#This Row],[Vlr unit]]</f>
        <v>3779.9999999999995</v>
      </c>
      <c r="L6857" s="6">
        <f>IFERROR(IF(INDEX(tProdutos[Desconto homologado],MATCH(tItens[[#This Row],[Produto]],tProdutos[Produto],0))="",DescontoPadrao,INDEX(tProdutos[Desconto homologado],MATCH(tItens[[#This Row],[Produto]],tProdutos[Produto],0))),DescontoPadrao)</f>
        <v>0.45970952208503602</v>
      </c>
      <c r="M6857" s="12">
        <f>tItens[[#This Row],[Valor]]*(1-tItens[[#This Row],[Desconto]])</f>
        <v>2042.2980065185636</v>
      </c>
      <c r="N6857" t="str">
        <f>IFERROR(INDEX(tProdutos[Foco],MATCH(tItens[[#This Row],[Produto]],tProdutos[Produto],0)),"Não")</f>
        <v>Não</v>
      </c>
      <c r="O6857" t="str">
        <f>IFERROR(INDEX(tEditais[SRP],MATCH(tItens[[#This Row],[Edital]],tEditais[Edital],0)),"Não")</f>
        <v>Sim</v>
      </c>
      <c r="P6857" s="4">
        <f>IF(COUNTIFS(INDEX(tItens[Edital],1):tItens[[#This Row],[Edital]],tItens[[#This Row],[Edital]],INDEX(tItens[Produto],1):tItens[[#This Row],[Produto]],tItens[[#This Row],[Produto]])=1,1,0)</f>
        <v>0</v>
      </c>
    </row>
    <row r="6858" spans="1:16" x14ac:dyDescent="0.25">
      <c r="A6858" t="s">
        <v>2443</v>
      </c>
      <c r="B6858">
        <v>49</v>
      </c>
      <c r="C6858" t="s">
        <v>9523</v>
      </c>
      <c r="D6858" t="s">
        <v>245</v>
      </c>
      <c r="E6858" s="13">
        <v>80</v>
      </c>
      <c r="F6858" s="12">
        <v>77.12</v>
      </c>
      <c r="G6858" t="str">
        <f>IFERROR(INDEX(tEditais[Órgão],MATCH(tItens[[#This Row],[Edital]],tEditais[Edital],0)),"")</f>
        <v>MUNICIPIO DE ESPIGAO D'OESTE</v>
      </c>
      <c r="H6858" t="str">
        <f>IFERROR(INDEX(tEditais[UF],MATCH(tItens[[#This Row],[Edital]],tEditais[Edital],0)),"")</f>
        <v>RO</v>
      </c>
      <c r="I6858" s="11">
        <f>IFERROR(INDEX(tEditais[Encerramento],MATCH(tItens[[#This Row],[Edital]],tEditais[Edital],0)),"")</f>
        <v>46309.354166666664</v>
      </c>
      <c r="J6858" t="str">
        <f>IFERROR(INDEX(tProdutos[Classe],MATCH(tItens[[#This Row],[Produto]],tProdutos[Produto],0)),"produto não cadastrado")</f>
        <v>FORA</v>
      </c>
      <c r="K6858" s="12">
        <f>tItens[[#This Row],[Qtd]]*tItens[[#This Row],[Vlr unit]]</f>
        <v>6169.6</v>
      </c>
      <c r="L6858" s="6">
        <f>IFERROR(IF(INDEX(tProdutos[Desconto homologado],MATCH(tItens[[#This Row],[Produto]],tProdutos[Produto],0))="",DescontoPadrao,INDEX(tProdutos[Desconto homologado],MATCH(tItens[[#This Row],[Produto]],tProdutos[Produto],0))),DescontoPadrao)</f>
        <v>0.34516963542284401</v>
      </c>
      <c r="M6858" s="12">
        <f>tItens[[#This Row],[Valor]]*(1-tItens[[#This Row],[Desconto]])</f>
        <v>4040.0414172952223</v>
      </c>
      <c r="N6858" t="str">
        <f>IFERROR(INDEX(tProdutos[Foco],MATCH(tItens[[#This Row],[Produto]],tProdutos[Produto],0)),"Não")</f>
        <v>Não</v>
      </c>
      <c r="O6858" t="str">
        <f>IFERROR(INDEX(tEditais[SRP],MATCH(tItens[[#This Row],[Edital]],tEditais[Edital],0)),"Não")</f>
        <v>Sim</v>
      </c>
      <c r="P6858" s="4">
        <f>IF(COUNTIFS(INDEX(tItens[Edital],1):tItens[[#This Row],[Edital]],tItens[[#This Row],[Edital]],INDEX(tItens[Produto],1):tItens[[#This Row],[Produto]],tItens[[#This Row],[Produto]])=1,1,0)</f>
        <v>1</v>
      </c>
    </row>
    <row r="6859" spans="1:16" x14ac:dyDescent="0.25">
      <c r="A6859" t="s">
        <v>2443</v>
      </c>
      <c r="B6859">
        <v>55</v>
      </c>
      <c r="C6859" t="s">
        <v>9524</v>
      </c>
      <c r="D6859" t="s">
        <v>279</v>
      </c>
      <c r="E6859" s="13">
        <v>200</v>
      </c>
      <c r="F6859" s="12">
        <v>39.33</v>
      </c>
      <c r="G6859" t="str">
        <f>IFERROR(INDEX(tEditais[Órgão],MATCH(tItens[[#This Row],[Edital]],tEditais[Edital],0)),"")</f>
        <v>MUNICIPIO DE ESPIGAO D'OESTE</v>
      </c>
      <c r="H6859" t="str">
        <f>IFERROR(INDEX(tEditais[UF],MATCH(tItens[[#This Row],[Edital]],tEditais[Edital],0)),"")</f>
        <v>RO</v>
      </c>
      <c r="I6859" s="11">
        <f>IFERROR(INDEX(tEditais[Encerramento],MATCH(tItens[[#This Row],[Edital]],tEditais[Edital],0)),"")</f>
        <v>46309.354166666664</v>
      </c>
      <c r="J6859" t="str">
        <f>IFERROR(INDEX(tProdutos[Classe],MATCH(tItens[[#This Row],[Produto]],tProdutos[Produto],0)),"produto não cadastrado")</f>
        <v>FORA</v>
      </c>
      <c r="K6859" s="12">
        <f>tItens[[#This Row],[Qtd]]*tItens[[#This Row],[Vlr unit]]</f>
        <v>7866</v>
      </c>
      <c r="L6859" s="6">
        <f>IFERROR(IF(INDEX(tProdutos[Desconto homologado],MATCH(tItens[[#This Row],[Produto]],tProdutos[Produto],0))="",DescontoPadrao,INDEX(tProdutos[Desconto homologado],MATCH(tItens[[#This Row],[Produto]],tProdutos[Produto],0))),DescontoPadrao)</f>
        <v>0.28909090909090901</v>
      </c>
      <c r="M6859" s="12">
        <f>tItens[[#This Row],[Valor]]*(1-tItens[[#This Row],[Desconto]])</f>
        <v>5592.0109090909091</v>
      </c>
      <c r="N6859" t="str">
        <f>IFERROR(INDEX(tProdutos[Foco],MATCH(tItens[[#This Row],[Produto]],tProdutos[Produto],0)),"Não")</f>
        <v>Não</v>
      </c>
      <c r="O6859" t="str">
        <f>IFERROR(INDEX(tEditais[SRP],MATCH(tItens[[#This Row],[Edital]],tEditais[Edital],0)),"Não")</f>
        <v>Sim</v>
      </c>
      <c r="P6859" s="4">
        <f>IF(COUNTIFS(INDEX(tItens[Edital],1):tItens[[#This Row],[Edital]],tItens[[#This Row],[Edital]],INDEX(tItens[Produto],1):tItens[[#This Row],[Produto]],tItens[[#This Row],[Produto]])=1,1,0)</f>
        <v>1</v>
      </c>
    </row>
    <row r="6860" spans="1:16" x14ac:dyDescent="0.25">
      <c r="A6860" t="s">
        <v>2443</v>
      </c>
      <c r="B6860">
        <v>57</v>
      </c>
      <c r="C6860" t="s">
        <v>9525</v>
      </c>
      <c r="D6860" t="s">
        <v>587</v>
      </c>
      <c r="E6860" s="13">
        <v>10</v>
      </c>
      <c r="F6860" s="12">
        <v>25.29</v>
      </c>
      <c r="G6860" t="str">
        <f>IFERROR(INDEX(tEditais[Órgão],MATCH(tItens[[#This Row],[Edital]],tEditais[Edital],0)),"")</f>
        <v>MUNICIPIO DE ESPIGAO D'OESTE</v>
      </c>
      <c r="H6860" t="str">
        <f>IFERROR(INDEX(tEditais[UF],MATCH(tItens[[#This Row],[Edital]],tEditais[Edital],0)),"")</f>
        <v>RO</v>
      </c>
      <c r="I6860" s="11">
        <f>IFERROR(INDEX(tEditais[Encerramento],MATCH(tItens[[#This Row],[Edital]],tEditais[Edital],0)),"")</f>
        <v>46309.354166666664</v>
      </c>
      <c r="J6860" t="str">
        <f>IFERROR(INDEX(tProdutos[Classe],MATCH(tItens[[#This Row],[Produto]],tProdutos[Produto],0)),"produto não cadastrado")</f>
        <v>FILA REBASE</v>
      </c>
      <c r="K6860" s="12">
        <f>tItens[[#This Row],[Qtd]]*tItens[[#This Row],[Vlr unit]]</f>
        <v>252.89999999999998</v>
      </c>
      <c r="L6860" s="6">
        <f>IFERROR(IF(INDEX(tProdutos[Desconto homologado],MATCH(tItens[[#This Row],[Produto]],tProdutos[Produto],0))="",DescontoPadrao,INDEX(tProdutos[Desconto homologado],MATCH(tItens[[#This Row],[Produto]],tProdutos[Produto],0))),DescontoPadrao)</f>
        <v>0.35356200527704501</v>
      </c>
      <c r="M6860" s="12">
        <f>tItens[[#This Row],[Valor]]*(1-tItens[[#This Row],[Desconto]])</f>
        <v>163.48416886543532</v>
      </c>
      <c r="N6860" t="str">
        <f>IFERROR(INDEX(tProdutos[Foco],MATCH(tItens[[#This Row],[Produto]],tProdutos[Produto],0)),"Não")</f>
        <v>Não</v>
      </c>
      <c r="O6860" t="str">
        <f>IFERROR(INDEX(tEditais[SRP],MATCH(tItens[[#This Row],[Edital]],tEditais[Edital],0)),"Não")</f>
        <v>Sim</v>
      </c>
      <c r="P6860" s="4">
        <f>IF(COUNTIFS(INDEX(tItens[Edital],1):tItens[[#This Row],[Edital]],tItens[[#This Row],[Edital]],INDEX(tItens[Produto],1):tItens[[#This Row],[Produto]],tItens[[#This Row],[Produto]])=1,1,0)</f>
        <v>1</v>
      </c>
    </row>
    <row r="6861" spans="1:16" x14ac:dyDescent="0.25">
      <c r="A6861" t="s">
        <v>2443</v>
      </c>
      <c r="B6861">
        <v>58</v>
      </c>
      <c r="C6861" t="s">
        <v>9526</v>
      </c>
      <c r="D6861" t="s">
        <v>587</v>
      </c>
      <c r="E6861" s="13">
        <v>10</v>
      </c>
      <c r="F6861" s="12">
        <v>25.5</v>
      </c>
      <c r="G6861" t="str">
        <f>IFERROR(INDEX(tEditais[Órgão],MATCH(tItens[[#This Row],[Edital]],tEditais[Edital],0)),"")</f>
        <v>MUNICIPIO DE ESPIGAO D'OESTE</v>
      </c>
      <c r="H6861" t="str">
        <f>IFERROR(INDEX(tEditais[UF],MATCH(tItens[[#This Row],[Edital]],tEditais[Edital],0)),"")</f>
        <v>RO</v>
      </c>
      <c r="I6861" s="11">
        <f>IFERROR(INDEX(tEditais[Encerramento],MATCH(tItens[[#This Row],[Edital]],tEditais[Edital],0)),"")</f>
        <v>46309.354166666664</v>
      </c>
      <c r="J6861" t="str">
        <f>IFERROR(INDEX(tProdutos[Classe],MATCH(tItens[[#This Row],[Produto]],tProdutos[Produto],0)),"produto não cadastrado")</f>
        <v>FILA REBASE</v>
      </c>
      <c r="K6861" s="12">
        <f>tItens[[#This Row],[Qtd]]*tItens[[#This Row],[Vlr unit]]</f>
        <v>255</v>
      </c>
      <c r="L6861" s="6">
        <f>IFERROR(IF(INDEX(tProdutos[Desconto homologado],MATCH(tItens[[#This Row],[Produto]],tProdutos[Produto],0))="",DescontoPadrao,INDEX(tProdutos[Desconto homologado],MATCH(tItens[[#This Row],[Produto]],tProdutos[Produto],0))),DescontoPadrao)</f>
        <v>0.35356200527704501</v>
      </c>
      <c r="M6861" s="12">
        <f>tItens[[#This Row],[Valor]]*(1-tItens[[#This Row],[Desconto]])</f>
        <v>164.84168865435353</v>
      </c>
      <c r="N6861" t="str">
        <f>IFERROR(INDEX(tProdutos[Foco],MATCH(tItens[[#This Row],[Produto]],tProdutos[Produto],0)),"Não")</f>
        <v>Não</v>
      </c>
      <c r="O6861" t="str">
        <f>IFERROR(INDEX(tEditais[SRP],MATCH(tItens[[#This Row],[Edital]],tEditais[Edital],0)),"Não")</f>
        <v>Sim</v>
      </c>
      <c r="P6861" s="4">
        <f>IF(COUNTIFS(INDEX(tItens[Edital],1):tItens[[#This Row],[Edital]],tItens[[#This Row],[Edital]],INDEX(tItens[Produto],1):tItens[[#This Row],[Produto]],tItens[[#This Row],[Produto]])=1,1,0)</f>
        <v>0</v>
      </c>
    </row>
    <row r="6862" spans="1:16" x14ac:dyDescent="0.25">
      <c r="A6862" t="s">
        <v>2443</v>
      </c>
      <c r="B6862">
        <v>89</v>
      </c>
      <c r="C6862" t="s">
        <v>9527</v>
      </c>
      <c r="D6862" t="s">
        <v>187</v>
      </c>
      <c r="E6862" s="13">
        <v>100</v>
      </c>
      <c r="F6862" s="12">
        <v>4.63</v>
      </c>
      <c r="G6862" t="str">
        <f>IFERROR(INDEX(tEditais[Órgão],MATCH(tItens[[#This Row],[Edital]],tEditais[Edital],0)),"")</f>
        <v>MUNICIPIO DE ESPIGAO D'OESTE</v>
      </c>
      <c r="H6862" t="str">
        <f>IFERROR(INDEX(tEditais[UF],MATCH(tItens[[#This Row],[Edital]],tEditais[Edital],0)),"")</f>
        <v>RO</v>
      </c>
      <c r="I6862" s="11">
        <f>IFERROR(INDEX(tEditais[Encerramento],MATCH(tItens[[#This Row],[Edital]],tEditais[Edital],0)),"")</f>
        <v>46309.354166666664</v>
      </c>
      <c r="J6862" t="str">
        <f>IFERROR(INDEX(tProdutos[Classe],MATCH(tItens[[#This Row],[Produto]],tProdutos[Produto],0)),"produto não cadastrado")</f>
        <v>DISPUTADO</v>
      </c>
      <c r="K6862" s="12">
        <f>tItens[[#This Row],[Qtd]]*tItens[[#This Row],[Vlr unit]]</f>
        <v>463</v>
      </c>
      <c r="L6862" s="6">
        <f>IFERROR(IF(INDEX(tProdutos[Desconto homologado],MATCH(tItens[[#This Row],[Produto]],tProdutos[Produto],0))="",DescontoPadrao,INDEX(tProdutos[Desconto homologado],MATCH(tItens[[#This Row],[Produto]],tProdutos[Produto],0))),DescontoPadrao)</f>
        <v>0.44298820445609399</v>
      </c>
      <c r="M6862" s="12">
        <f>tItens[[#This Row],[Valor]]*(1-tItens[[#This Row],[Desconto]])</f>
        <v>257.89646133682851</v>
      </c>
      <c r="N6862" t="str">
        <f>IFERROR(INDEX(tProdutos[Foco],MATCH(tItens[[#This Row],[Produto]],tProdutos[Produto],0)),"Não")</f>
        <v>Não</v>
      </c>
      <c r="O6862" t="str">
        <f>IFERROR(INDEX(tEditais[SRP],MATCH(tItens[[#This Row],[Edital]],tEditais[Edital],0)),"Não")</f>
        <v>Sim</v>
      </c>
      <c r="P6862" s="4">
        <f>IF(COUNTIFS(INDEX(tItens[Edital],1):tItens[[#This Row],[Edital]],tItens[[#This Row],[Edital]],INDEX(tItens[Produto],1):tItens[[#This Row],[Produto]],tItens[[#This Row],[Produto]])=1,1,0)</f>
        <v>1</v>
      </c>
    </row>
    <row r="6863" spans="1:16" x14ac:dyDescent="0.25">
      <c r="A6863" t="s">
        <v>2443</v>
      </c>
      <c r="B6863">
        <v>90</v>
      </c>
      <c r="C6863" t="s">
        <v>9528</v>
      </c>
      <c r="D6863" t="s">
        <v>187</v>
      </c>
      <c r="E6863" s="13">
        <v>1000</v>
      </c>
      <c r="F6863" s="12">
        <v>1.17</v>
      </c>
      <c r="G6863" t="str">
        <f>IFERROR(INDEX(tEditais[Órgão],MATCH(tItens[[#This Row],[Edital]],tEditais[Edital],0)),"")</f>
        <v>MUNICIPIO DE ESPIGAO D'OESTE</v>
      </c>
      <c r="H6863" t="str">
        <f>IFERROR(INDEX(tEditais[UF],MATCH(tItens[[#This Row],[Edital]],tEditais[Edital],0)),"")</f>
        <v>RO</v>
      </c>
      <c r="I6863" s="11">
        <f>IFERROR(INDEX(tEditais[Encerramento],MATCH(tItens[[#This Row],[Edital]],tEditais[Edital],0)),"")</f>
        <v>46309.354166666664</v>
      </c>
      <c r="J6863" t="str">
        <f>IFERROR(INDEX(tProdutos[Classe],MATCH(tItens[[#This Row],[Produto]],tProdutos[Produto],0)),"produto não cadastrado")</f>
        <v>DISPUTADO</v>
      </c>
      <c r="K6863" s="12">
        <f>tItens[[#This Row],[Qtd]]*tItens[[#This Row],[Vlr unit]]</f>
        <v>1170</v>
      </c>
      <c r="L6863" s="6">
        <f>IFERROR(IF(INDEX(tProdutos[Desconto homologado],MATCH(tItens[[#This Row],[Produto]],tProdutos[Produto],0))="",DescontoPadrao,INDEX(tProdutos[Desconto homologado],MATCH(tItens[[#This Row],[Produto]],tProdutos[Produto],0))),DescontoPadrao)</f>
        <v>0.44298820445609399</v>
      </c>
      <c r="M6863" s="12">
        <f>tItens[[#This Row],[Valor]]*(1-tItens[[#This Row],[Desconto]])</f>
        <v>651.70380078637004</v>
      </c>
      <c r="N6863" t="str">
        <f>IFERROR(INDEX(tProdutos[Foco],MATCH(tItens[[#This Row],[Produto]],tProdutos[Produto],0)),"Não")</f>
        <v>Não</v>
      </c>
      <c r="O6863" t="str">
        <f>IFERROR(INDEX(tEditais[SRP],MATCH(tItens[[#This Row],[Edital]],tEditais[Edital],0)),"Não")</f>
        <v>Sim</v>
      </c>
      <c r="P6863" s="4">
        <f>IF(COUNTIFS(INDEX(tItens[Edital],1):tItens[[#This Row],[Edital]],tItens[[#This Row],[Edital]],INDEX(tItens[Produto],1):tItens[[#This Row],[Produto]],tItens[[#This Row],[Produto]])=1,1,0)</f>
        <v>0</v>
      </c>
    </row>
    <row r="6864" spans="1:16" x14ac:dyDescent="0.25">
      <c r="A6864" t="s">
        <v>2443</v>
      </c>
      <c r="B6864">
        <v>92</v>
      </c>
      <c r="C6864" t="s">
        <v>9529</v>
      </c>
      <c r="D6864" t="s">
        <v>90</v>
      </c>
      <c r="E6864" s="13">
        <v>6000</v>
      </c>
      <c r="F6864" s="12">
        <v>11.8</v>
      </c>
      <c r="G6864" t="str">
        <f>IFERROR(INDEX(tEditais[Órgão],MATCH(tItens[[#This Row],[Edital]],tEditais[Edital],0)),"")</f>
        <v>MUNICIPIO DE ESPIGAO D'OESTE</v>
      </c>
      <c r="H6864" t="str">
        <f>IFERROR(INDEX(tEditais[UF],MATCH(tItens[[#This Row],[Edital]],tEditais[Edital],0)),"")</f>
        <v>RO</v>
      </c>
      <c r="I6864" s="11">
        <f>IFERROR(INDEX(tEditais[Encerramento],MATCH(tItens[[#This Row],[Edital]],tEditais[Edital],0)),"")</f>
        <v>46309.354166666664</v>
      </c>
      <c r="J6864" t="str">
        <f>IFERROR(INDEX(tProdutos[Classe],MATCH(tItens[[#This Row],[Produto]],tProdutos[Produto],0)),"produto não cadastrado")</f>
        <v>DISPUTADO</v>
      </c>
      <c r="K6864" s="12">
        <f>tItens[[#This Row],[Qtd]]*tItens[[#This Row],[Vlr unit]]</f>
        <v>70800</v>
      </c>
      <c r="L6864" s="6">
        <f>IFERROR(IF(INDEX(tProdutos[Desconto homologado],MATCH(tItens[[#This Row],[Produto]],tProdutos[Produto],0))="",DescontoPadrao,INDEX(tProdutos[Desconto homologado],MATCH(tItens[[#This Row],[Produto]],tProdutos[Produto],0))),DescontoPadrao)</f>
        <v>0.25393823957010597</v>
      </c>
      <c r="M6864" s="12">
        <f>tItens[[#This Row],[Valor]]*(1-tItens[[#This Row],[Desconto]])</f>
        <v>52821.172638436496</v>
      </c>
      <c r="N6864" t="str">
        <f>IFERROR(INDEX(tProdutos[Foco],MATCH(tItens[[#This Row],[Produto]],tProdutos[Produto],0)),"Não")</f>
        <v>Não</v>
      </c>
      <c r="O6864" t="str">
        <f>IFERROR(INDEX(tEditais[SRP],MATCH(tItens[[#This Row],[Edital]],tEditais[Edital],0)),"Não")</f>
        <v>Sim</v>
      </c>
      <c r="P6864" s="4">
        <f>IF(COUNTIFS(INDEX(tItens[Edital],1):tItens[[#This Row],[Edital]],tItens[[#This Row],[Edital]],INDEX(tItens[Produto],1):tItens[[#This Row],[Produto]],tItens[[#This Row],[Produto]])=1,1,0)</f>
        <v>1</v>
      </c>
    </row>
    <row r="6865" spans="1:16" x14ac:dyDescent="0.25">
      <c r="A6865" t="s">
        <v>2443</v>
      </c>
      <c r="B6865">
        <v>93</v>
      </c>
      <c r="C6865" t="s">
        <v>9530</v>
      </c>
      <c r="D6865" t="s">
        <v>90</v>
      </c>
      <c r="E6865" s="13">
        <v>1000</v>
      </c>
      <c r="F6865" s="12">
        <v>12.06</v>
      </c>
      <c r="G6865" t="str">
        <f>IFERROR(INDEX(tEditais[Órgão],MATCH(tItens[[#This Row],[Edital]],tEditais[Edital],0)),"")</f>
        <v>MUNICIPIO DE ESPIGAO D'OESTE</v>
      </c>
      <c r="H6865" t="str">
        <f>IFERROR(INDEX(tEditais[UF],MATCH(tItens[[#This Row],[Edital]],tEditais[Edital],0)),"")</f>
        <v>RO</v>
      </c>
      <c r="I6865" s="11">
        <f>IFERROR(INDEX(tEditais[Encerramento],MATCH(tItens[[#This Row],[Edital]],tEditais[Edital],0)),"")</f>
        <v>46309.354166666664</v>
      </c>
      <c r="J6865" t="str">
        <f>IFERROR(INDEX(tProdutos[Classe],MATCH(tItens[[#This Row],[Produto]],tProdutos[Produto],0)),"produto não cadastrado")</f>
        <v>DISPUTADO</v>
      </c>
      <c r="K6865" s="12">
        <f>tItens[[#This Row],[Qtd]]*tItens[[#This Row],[Vlr unit]]</f>
        <v>12060</v>
      </c>
      <c r="L6865" s="6">
        <f>IFERROR(IF(INDEX(tProdutos[Desconto homologado],MATCH(tItens[[#This Row],[Produto]],tProdutos[Produto],0))="",DescontoPadrao,INDEX(tProdutos[Desconto homologado],MATCH(tItens[[#This Row],[Produto]],tProdutos[Produto],0))),DescontoPadrao)</f>
        <v>0.25393823957010597</v>
      </c>
      <c r="M6865" s="12">
        <f>tItens[[#This Row],[Valor]]*(1-tItens[[#This Row],[Desconto]])</f>
        <v>8997.5048307845227</v>
      </c>
      <c r="N6865" t="str">
        <f>IFERROR(INDEX(tProdutos[Foco],MATCH(tItens[[#This Row],[Produto]],tProdutos[Produto],0)),"Não")</f>
        <v>Não</v>
      </c>
      <c r="O6865" t="str">
        <f>IFERROR(INDEX(tEditais[SRP],MATCH(tItens[[#This Row],[Edital]],tEditais[Edital],0)),"Não")</f>
        <v>Sim</v>
      </c>
      <c r="P6865" s="4">
        <f>IF(COUNTIFS(INDEX(tItens[Edital],1):tItens[[#This Row],[Edital]],tItens[[#This Row],[Edital]],INDEX(tItens[Produto],1):tItens[[#This Row],[Produto]],tItens[[#This Row],[Produto]])=1,1,0)</f>
        <v>0</v>
      </c>
    </row>
    <row r="6866" spans="1:16" x14ac:dyDescent="0.25">
      <c r="A6866" t="s">
        <v>2443</v>
      </c>
      <c r="B6866">
        <v>99</v>
      </c>
      <c r="C6866" t="s">
        <v>9531</v>
      </c>
      <c r="D6866" t="s">
        <v>259</v>
      </c>
      <c r="E6866" s="13">
        <v>50</v>
      </c>
      <c r="F6866" s="12">
        <v>6.32</v>
      </c>
      <c r="G6866" t="str">
        <f>IFERROR(INDEX(tEditais[Órgão],MATCH(tItens[[#This Row],[Edital]],tEditais[Edital],0)),"")</f>
        <v>MUNICIPIO DE ESPIGAO D'OESTE</v>
      </c>
      <c r="H6866" t="str">
        <f>IFERROR(INDEX(tEditais[UF],MATCH(tItens[[#This Row],[Edital]],tEditais[Edital],0)),"")</f>
        <v>RO</v>
      </c>
      <c r="I6866" s="11">
        <f>IFERROR(INDEX(tEditais[Encerramento],MATCH(tItens[[#This Row],[Edital]],tEditais[Edital],0)),"")</f>
        <v>46309.354166666664</v>
      </c>
      <c r="J6866" t="str">
        <f>IFERROR(INDEX(tProdutos[Classe],MATCH(tItens[[#This Row],[Produto]],tProdutos[Produto],0)),"produto não cadastrado")</f>
        <v>FORA</v>
      </c>
      <c r="K6866" s="12">
        <f>tItens[[#This Row],[Qtd]]*tItens[[#This Row],[Vlr unit]]</f>
        <v>316</v>
      </c>
      <c r="L6866" s="6">
        <f>IFERROR(IF(INDEX(tProdutos[Desconto homologado],MATCH(tItens[[#This Row],[Produto]],tProdutos[Produto],0))="",DescontoPadrao,INDEX(tProdutos[Desconto homologado],MATCH(tItens[[#This Row],[Produto]],tProdutos[Produto],0))),DescontoPadrao)</f>
        <v>0.374798283789543</v>
      </c>
      <c r="M6866" s="12">
        <f>tItens[[#This Row],[Valor]]*(1-tItens[[#This Row],[Desconto]])</f>
        <v>197.56374232250442</v>
      </c>
      <c r="N6866" t="str">
        <f>IFERROR(INDEX(tProdutos[Foco],MATCH(tItens[[#This Row],[Produto]],tProdutos[Produto],0)),"Não")</f>
        <v>Não</v>
      </c>
      <c r="O6866" t="str">
        <f>IFERROR(INDEX(tEditais[SRP],MATCH(tItens[[#This Row],[Edital]],tEditais[Edital],0)),"Não")</f>
        <v>Sim</v>
      </c>
      <c r="P6866" s="4">
        <f>IF(COUNTIFS(INDEX(tItens[Edital],1):tItens[[#This Row],[Edital]],tItens[[#This Row],[Edital]],INDEX(tItens[Produto],1):tItens[[#This Row],[Produto]],tItens[[#This Row],[Produto]])=1,1,0)</f>
        <v>1</v>
      </c>
    </row>
    <row r="6867" spans="1:16" x14ac:dyDescent="0.25">
      <c r="A6867" t="s">
        <v>2443</v>
      </c>
      <c r="B6867">
        <v>102</v>
      </c>
      <c r="C6867" t="s">
        <v>9532</v>
      </c>
      <c r="D6867" t="s">
        <v>301</v>
      </c>
      <c r="E6867" s="13">
        <v>1000</v>
      </c>
      <c r="F6867" s="12">
        <v>9.9700000000000006</v>
      </c>
      <c r="G6867" t="str">
        <f>IFERROR(INDEX(tEditais[Órgão],MATCH(tItens[[#This Row],[Edital]],tEditais[Edital],0)),"")</f>
        <v>MUNICIPIO DE ESPIGAO D'OESTE</v>
      </c>
      <c r="H6867" t="str">
        <f>IFERROR(INDEX(tEditais[UF],MATCH(tItens[[#This Row],[Edital]],tEditais[Edital],0)),"")</f>
        <v>RO</v>
      </c>
      <c r="I6867" s="11">
        <f>IFERROR(INDEX(tEditais[Encerramento],MATCH(tItens[[#This Row],[Edital]],tEditais[Edital],0)),"")</f>
        <v>46309.354166666664</v>
      </c>
      <c r="J6867" t="str">
        <f>IFERROR(INDEX(tProdutos[Classe],MATCH(tItens[[#This Row],[Produto]],tProdutos[Produto],0)),"produto não cadastrado")</f>
        <v>FORA</v>
      </c>
      <c r="K6867" s="12">
        <f>tItens[[#This Row],[Qtd]]*tItens[[#This Row],[Vlr unit]]</f>
        <v>9970</v>
      </c>
      <c r="L6867" s="6">
        <f>IFERROR(IF(INDEX(tProdutos[Desconto homologado],MATCH(tItens[[#This Row],[Produto]],tProdutos[Produto],0))="",DescontoPadrao,INDEX(tProdutos[Desconto homologado],MATCH(tItens[[#This Row],[Produto]],tProdutos[Produto],0))),DescontoPadrao)</f>
        <v>0.37334194659776099</v>
      </c>
      <c r="M6867" s="12">
        <f>tItens[[#This Row],[Valor]]*(1-tItens[[#This Row],[Desconto]])</f>
        <v>6247.7807924203225</v>
      </c>
      <c r="N6867" t="str">
        <f>IFERROR(INDEX(tProdutos[Foco],MATCH(tItens[[#This Row],[Produto]],tProdutos[Produto],0)),"Não")</f>
        <v>Não</v>
      </c>
      <c r="O6867" t="str">
        <f>IFERROR(INDEX(tEditais[SRP],MATCH(tItens[[#This Row],[Edital]],tEditais[Edital],0)),"Não")</f>
        <v>Sim</v>
      </c>
      <c r="P6867" s="4">
        <f>IF(COUNTIFS(INDEX(tItens[Edital],1):tItens[[#This Row],[Edital]],tItens[[#This Row],[Edital]],INDEX(tItens[Produto],1):tItens[[#This Row],[Produto]],tItens[[#This Row],[Produto]])=1,1,0)</f>
        <v>1</v>
      </c>
    </row>
    <row r="6868" spans="1:16" x14ac:dyDescent="0.25">
      <c r="A6868" t="s">
        <v>2443</v>
      </c>
      <c r="B6868">
        <v>103</v>
      </c>
      <c r="C6868" t="s">
        <v>9533</v>
      </c>
      <c r="D6868" t="s">
        <v>136</v>
      </c>
      <c r="E6868" s="13">
        <v>1000</v>
      </c>
      <c r="F6868" s="12">
        <v>5.24</v>
      </c>
      <c r="G6868" t="str">
        <f>IFERROR(INDEX(tEditais[Órgão],MATCH(tItens[[#This Row],[Edital]],tEditais[Edital],0)),"")</f>
        <v>MUNICIPIO DE ESPIGAO D'OESTE</v>
      </c>
      <c r="H6868" t="str">
        <f>IFERROR(INDEX(tEditais[UF],MATCH(tItens[[#This Row],[Edital]],tEditais[Edital],0)),"")</f>
        <v>RO</v>
      </c>
      <c r="I6868" s="11">
        <f>IFERROR(INDEX(tEditais[Encerramento],MATCH(tItens[[#This Row],[Edital]],tEditais[Edital],0)),"")</f>
        <v>46309.354166666664</v>
      </c>
      <c r="J6868" t="str">
        <f>IFERROR(INDEX(tProdutos[Classe],MATCH(tItens[[#This Row],[Produto]],tProdutos[Produto],0)),"produto não cadastrado")</f>
        <v>DISPUTADO</v>
      </c>
      <c r="K6868" s="12">
        <f>tItens[[#This Row],[Qtd]]*tItens[[#This Row],[Vlr unit]]</f>
        <v>5240</v>
      </c>
      <c r="L6868" s="6">
        <f>IFERROR(IF(INDEX(tProdutos[Desconto homologado],MATCH(tItens[[#This Row],[Produto]],tProdutos[Produto],0))="",DescontoPadrao,INDEX(tProdutos[Desconto homologado],MATCH(tItens[[#This Row],[Produto]],tProdutos[Produto],0))),DescontoPadrao)</f>
        <v>0.330646209370899</v>
      </c>
      <c r="M6868" s="12">
        <f>tItens[[#This Row],[Valor]]*(1-tItens[[#This Row],[Desconto]])</f>
        <v>3507.4138628964888</v>
      </c>
      <c r="N6868" t="str">
        <f>IFERROR(INDEX(tProdutos[Foco],MATCH(tItens[[#This Row],[Produto]],tProdutos[Produto],0)),"Não")</f>
        <v>Não</v>
      </c>
      <c r="O6868" t="str">
        <f>IFERROR(INDEX(tEditais[SRP],MATCH(tItens[[#This Row],[Edital]],tEditais[Edital],0)),"Não")</f>
        <v>Sim</v>
      </c>
      <c r="P6868" s="4">
        <f>IF(COUNTIFS(INDEX(tItens[Edital],1):tItens[[#This Row],[Edital]],tItens[[#This Row],[Edital]],INDEX(tItens[Produto],1):tItens[[#This Row],[Produto]],tItens[[#This Row],[Produto]])=1,1,0)</f>
        <v>1</v>
      </c>
    </row>
    <row r="6869" spans="1:16" x14ac:dyDescent="0.25">
      <c r="A6869" t="s">
        <v>2443</v>
      </c>
      <c r="B6869">
        <v>104</v>
      </c>
      <c r="C6869" t="s">
        <v>9534</v>
      </c>
      <c r="D6869" t="s">
        <v>136</v>
      </c>
      <c r="E6869" s="13">
        <v>500</v>
      </c>
      <c r="F6869" s="12">
        <v>7.49</v>
      </c>
      <c r="G6869" t="str">
        <f>IFERROR(INDEX(tEditais[Órgão],MATCH(tItens[[#This Row],[Edital]],tEditais[Edital],0)),"")</f>
        <v>MUNICIPIO DE ESPIGAO D'OESTE</v>
      </c>
      <c r="H6869" t="str">
        <f>IFERROR(INDEX(tEditais[UF],MATCH(tItens[[#This Row],[Edital]],tEditais[Edital],0)),"")</f>
        <v>RO</v>
      </c>
      <c r="I6869" s="11">
        <f>IFERROR(INDEX(tEditais[Encerramento],MATCH(tItens[[#This Row],[Edital]],tEditais[Edital],0)),"")</f>
        <v>46309.354166666664</v>
      </c>
      <c r="J6869" t="str">
        <f>IFERROR(INDEX(tProdutos[Classe],MATCH(tItens[[#This Row],[Produto]],tProdutos[Produto],0)),"produto não cadastrado")</f>
        <v>DISPUTADO</v>
      </c>
      <c r="K6869" s="12">
        <f>tItens[[#This Row],[Qtd]]*tItens[[#This Row],[Vlr unit]]</f>
        <v>3745</v>
      </c>
      <c r="L6869" s="6">
        <f>IFERROR(IF(INDEX(tProdutos[Desconto homologado],MATCH(tItens[[#This Row],[Produto]],tProdutos[Produto],0))="",DescontoPadrao,INDEX(tProdutos[Desconto homologado],MATCH(tItens[[#This Row],[Produto]],tProdutos[Produto],0))),DescontoPadrao)</f>
        <v>0.330646209370899</v>
      </c>
      <c r="M6869" s="12">
        <f>tItens[[#This Row],[Valor]]*(1-tItens[[#This Row],[Desconto]])</f>
        <v>2506.7299459059832</v>
      </c>
      <c r="N6869" t="str">
        <f>IFERROR(INDEX(tProdutos[Foco],MATCH(tItens[[#This Row],[Produto]],tProdutos[Produto],0)),"Não")</f>
        <v>Não</v>
      </c>
      <c r="O6869" t="str">
        <f>IFERROR(INDEX(tEditais[SRP],MATCH(tItens[[#This Row],[Edital]],tEditais[Edital],0)),"Não")</f>
        <v>Sim</v>
      </c>
      <c r="P6869" s="4">
        <f>IF(COUNTIFS(INDEX(tItens[Edital],1):tItens[[#This Row],[Edital]],tItens[[#This Row],[Edital]],INDEX(tItens[Produto],1):tItens[[#This Row],[Produto]],tItens[[#This Row],[Produto]])=1,1,0)</f>
        <v>0</v>
      </c>
    </row>
    <row r="6870" spans="1:16" x14ac:dyDescent="0.25">
      <c r="A6870" t="s">
        <v>2443</v>
      </c>
      <c r="B6870">
        <v>105</v>
      </c>
      <c r="C6870" t="s">
        <v>9535</v>
      </c>
      <c r="D6870" t="s">
        <v>136</v>
      </c>
      <c r="E6870" s="13">
        <v>2000</v>
      </c>
      <c r="F6870" s="12">
        <v>7.13</v>
      </c>
      <c r="G6870" t="str">
        <f>IFERROR(INDEX(tEditais[Órgão],MATCH(tItens[[#This Row],[Edital]],tEditais[Edital],0)),"")</f>
        <v>MUNICIPIO DE ESPIGAO D'OESTE</v>
      </c>
      <c r="H6870" t="str">
        <f>IFERROR(INDEX(tEditais[UF],MATCH(tItens[[#This Row],[Edital]],tEditais[Edital],0)),"")</f>
        <v>RO</v>
      </c>
      <c r="I6870" s="11">
        <f>IFERROR(INDEX(tEditais[Encerramento],MATCH(tItens[[#This Row],[Edital]],tEditais[Edital],0)),"")</f>
        <v>46309.354166666664</v>
      </c>
      <c r="J6870" t="str">
        <f>IFERROR(INDEX(tProdutos[Classe],MATCH(tItens[[#This Row],[Produto]],tProdutos[Produto],0)),"produto não cadastrado")</f>
        <v>DISPUTADO</v>
      </c>
      <c r="K6870" s="12">
        <f>tItens[[#This Row],[Qtd]]*tItens[[#This Row],[Vlr unit]]</f>
        <v>14260</v>
      </c>
      <c r="L6870" s="6">
        <f>IFERROR(IF(INDEX(tProdutos[Desconto homologado],MATCH(tItens[[#This Row],[Produto]],tProdutos[Produto],0))="",DescontoPadrao,INDEX(tProdutos[Desconto homologado],MATCH(tItens[[#This Row],[Produto]],tProdutos[Produto],0))),DescontoPadrao)</f>
        <v>0.330646209370899</v>
      </c>
      <c r="M6870" s="12">
        <f>tItens[[#This Row],[Valor]]*(1-tItens[[#This Row],[Desconto]])</f>
        <v>9544.9850543709799</v>
      </c>
      <c r="N6870" t="str">
        <f>IFERROR(INDEX(tProdutos[Foco],MATCH(tItens[[#This Row],[Produto]],tProdutos[Produto],0)),"Não")</f>
        <v>Não</v>
      </c>
      <c r="O6870" t="str">
        <f>IFERROR(INDEX(tEditais[SRP],MATCH(tItens[[#This Row],[Edital]],tEditais[Edital],0)),"Não")</f>
        <v>Sim</v>
      </c>
      <c r="P6870" s="4">
        <f>IF(COUNTIFS(INDEX(tItens[Edital],1):tItens[[#This Row],[Edital]],tItens[[#This Row],[Edital]],INDEX(tItens[Produto],1):tItens[[#This Row],[Produto]],tItens[[#This Row],[Produto]])=1,1,0)</f>
        <v>0</v>
      </c>
    </row>
    <row r="6871" spans="1:16" x14ac:dyDescent="0.25">
      <c r="A6871" t="s">
        <v>2443</v>
      </c>
      <c r="B6871">
        <v>112</v>
      </c>
      <c r="C6871" t="s">
        <v>9536</v>
      </c>
      <c r="D6871" t="s">
        <v>205</v>
      </c>
      <c r="E6871" s="13">
        <v>400</v>
      </c>
      <c r="F6871" s="12">
        <v>27.35</v>
      </c>
      <c r="G6871" t="str">
        <f>IFERROR(INDEX(tEditais[Órgão],MATCH(tItens[[#This Row],[Edital]],tEditais[Edital],0)),"")</f>
        <v>MUNICIPIO DE ESPIGAO D'OESTE</v>
      </c>
      <c r="H6871" t="str">
        <f>IFERROR(INDEX(tEditais[UF],MATCH(tItens[[#This Row],[Edital]],tEditais[Edital],0)),"")</f>
        <v>RO</v>
      </c>
      <c r="I6871" s="11">
        <f>IFERROR(INDEX(tEditais[Encerramento],MATCH(tItens[[#This Row],[Edital]],tEditais[Edital],0)),"")</f>
        <v>46309.354166666664</v>
      </c>
      <c r="J6871" t="str">
        <f>IFERROR(INDEX(tProdutos[Classe],MATCH(tItens[[#This Row],[Produto]],tProdutos[Produto],0)),"produto não cadastrado")</f>
        <v>FORA</v>
      </c>
      <c r="K6871" s="12">
        <f>tItens[[#This Row],[Qtd]]*tItens[[#This Row],[Vlr unit]]</f>
        <v>10940</v>
      </c>
      <c r="L6871" s="6">
        <f>IFERROR(IF(INDEX(tProdutos[Desconto homologado],MATCH(tItens[[#This Row],[Produto]],tProdutos[Produto],0))="",DescontoPadrao,INDEX(tProdutos[Desconto homologado],MATCH(tItens[[#This Row],[Produto]],tProdutos[Produto],0))),DescontoPadrao)</f>
        <v>0.468911625815156</v>
      </c>
      <c r="M6871" s="12">
        <f>tItens[[#This Row],[Valor]]*(1-tItens[[#This Row],[Desconto]])</f>
        <v>5810.1068135821934</v>
      </c>
      <c r="N6871" t="str">
        <f>IFERROR(INDEX(tProdutos[Foco],MATCH(tItens[[#This Row],[Produto]],tProdutos[Produto],0)),"Não")</f>
        <v>Não</v>
      </c>
      <c r="O6871" t="str">
        <f>IFERROR(INDEX(tEditais[SRP],MATCH(tItens[[#This Row],[Edital]],tEditais[Edital],0)),"Não")</f>
        <v>Sim</v>
      </c>
      <c r="P6871" s="4">
        <f>IF(COUNTIFS(INDEX(tItens[Edital],1):tItens[[#This Row],[Edital]],tItens[[#This Row],[Edital]],INDEX(tItens[Produto],1):tItens[[#This Row],[Produto]],tItens[[#This Row],[Produto]])=1,1,0)</f>
        <v>1</v>
      </c>
    </row>
    <row r="6872" spans="1:16" x14ac:dyDescent="0.25">
      <c r="A6872" t="s">
        <v>2443</v>
      </c>
      <c r="B6872">
        <v>113</v>
      </c>
      <c r="C6872" t="s">
        <v>9537</v>
      </c>
      <c r="D6872" t="s">
        <v>205</v>
      </c>
      <c r="E6872" s="13">
        <v>100</v>
      </c>
      <c r="F6872" s="12">
        <v>32.72</v>
      </c>
      <c r="G6872" t="str">
        <f>IFERROR(INDEX(tEditais[Órgão],MATCH(tItens[[#This Row],[Edital]],tEditais[Edital],0)),"")</f>
        <v>MUNICIPIO DE ESPIGAO D'OESTE</v>
      </c>
      <c r="H6872" t="str">
        <f>IFERROR(INDEX(tEditais[UF],MATCH(tItens[[#This Row],[Edital]],tEditais[Edital],0)),"")</f>
        <v>RO</v>
      </c>
      <c r="I6872" s="11">
        <f>IFERROR(INDEX(tEditais[Encerramento],MATCH(tItens[[#This Row],[Edital]],tEditais[Edital],0)),"")</f>
        <v>46309.354166666664</v>
      </c>
      <c r="J6872" t="str">
        <f>IFERROR(INDEX(tProdutos[Classe],MATCH(tItens[[#This Row],[Produto]],tProdutos[Produto],0)),"produto não cadastrado")</f>
        <v>FORA</v>
      </c>
      <c r="K6872" s="12">
        <f>tItens[[#This Row],[Qtd]]*tItens[[#This Row],[Vlr unit]]</f>
        <v>3272</v>
      </c>
      <c r="L6872" s="6">
        <f>IFERROR(IF(INDEX(tProdutos[Desconto homologado],MATCH(tItens[[#This Row],[Produto]],tProdutos[Produto],0))="",DescontoPadrao,INDEX(tProdutos[Desconto homologado],MATCH(tItens[[#This Row],[Produto]],tProdutos[Produto],0))),DescontoPadrao)</f>
        <v>0.468911625815156</v>
      </c>
      <c r="M6872" s="12">
        <f>tItens[[#This Row],[Valor]]*(1-tItens[[#This Row],[Desconto]])</f>
        <v>1737.7211603328096</v>
      </c>
      <c r="N6872" t="str">
        <f>IFERROR(INDEX(tProdutos[Foco],MATCH(tItens[[#This Row],[Produto]],tProdutos[Produto],0)),"Não")</f>
        <v>Não</v>
      </c>
      <c r="O6872" t="str">
        <f>IFERROR(INDEX(tEditais[SRP],MATCH(tItens[[#This Row],[Edital]],tEditais[Edital],0)),"Não")</f>
        <v>Sim</v>
      </c>
      <c r="P6872" s="4">
        <f>IF(COUNTIFS(INDEX(tItens[Edital],1):tItens[[#This Row],[Edital]],tItens[[#This Row],[Edital]],INDEX(tItens[Produto],1):tItens[[#This Row],[Produto]],tItens[[#This Row],[Produto]])=1,1,0)</f>
        <v>0</v>
      </c>
    </row>
    <row r="6873" spans="1:16" x14ac:dyDescent="0.25">
      <c r="A6873" t="s">
        <v>2443</v>
      </c>
      <c r="B6873">
        <v>135</v>
      </c>
      <c r="C6873" t="s">
        <v>9538</v>
      </c>
      <c r="D6873" t="s">
        <v>67</v>
      </c>
      <c r="E6873" s="13">
        <v>150</v>
      </c>
      <c r="F6873" s="12">
        <v>7.65</v>
      </c>
      <c r="G6873" t="str">
        <f>IFERROR(INDEX(tEditais[Órgão],MATCH(tItens[[#This Row],[Edital]],tEditais[Edital],0)),"")</f>
        <v>MUNICIPIO DE ESPIGAO D'OESTE</v>
      </c>
      <c r="H6873" t="str">
        <f>IFERROR(INDEX(tEditais[UF],MATCH(tItens[[#This Row],[Edital]],tEditais[Edital],0)),"")</f>
        <v>RO</v>
      </c>
      <c r="I6873" s="11">
        <f>IFERROR(INDEX(tEditais[Encerramento],MATCH(tItens[[#This Row],[Edital]],tEditais[Edital],0)),"")</f>
        <v>46309.354166666664</v>
      </c>
      <c r="J6873" t="str">
        <f>IFERROR(INDEX(tProdutos[Classe],MATCH(tItens[[#This Row],[Produto]],tProdutos[Produto],0)),"produto não cadastrado")</f>
        <v>NÚCLEO</v>
      </c>
      <c r="K6873" s="12">
        <f>tItens[[#This Row],[Qtd]]*tItens[[#This Row],[Vlr unit]]</f>
        <v>1147.5</v>
      </c>
      <c r="L6873" s="6">
        <f>IFERROR(IF(INDEX(tProdutos[Desconto homologado],MATCH(tItens[[#This Row],[Produto]],tProdutos[Produto],0))="",DescontoPadrao,INDEX(tProdutos[Desconto homologado],MATCH(tItens[[#This Row],[Produto]],tProdutos[Produto],0))),DescontoPadrao)</f>
        <v>0.35766423357664201</v>
      </c>
      <c r="M6873" s="12">
        <f>tItens[[#This Row],[Valor]]*(1-tItens[[#This Row],[Desconto]])</f>
        <v>737.08029197080327</v>
      </c>
      <c r="N6873" t="str">
        <f>IFERROR(INDEX(tProdutos[Foco],MATCH(tItens[[#This Row],[Produto]],tProdutos[Produto],0)),"Não")</f>
        <v>Não</v>
      </c>
      <c r="O6873" t="str">
        <f>IFERROR(INDEX(tEditais[SRP],MATCH(tItens[[#This Row],[Edital]],tEditais[Edital],0)),"Não")</f>
        <v>Sim</v>
      </c>
      <c r="P6873" s="4">
        <f>IF(COUNTIFS(INDEX(tItens[Edital],1):tItens[[#This Row],[Edital]],tItens[[#This Row],[Edital]],INDEX(tItens[Produto],1):tItens[[#This Row],[Produto]],tItens[[#This Row],[Produto]])=1,1,0)</f>
        <v>1</v>
      </c>
    </row>
    <row r="6874" spans="1:16" x14ac:dyDescent="0.25">
      <c r="A6874" t="s">
        <v>2443</v>
      </c>
      <c r="B6874">
        <v>136</v>
      </c>
      <c r="C6874" t="s">
        <v>9539</v>
      </c>
      <c r="D6874" t="s">
        <v>67</v>
      </c>
      <c r="E6874" s="13">
        <v>50</v>
      </c>
      <c r="F6874" s="12">
        <v>6.06</v>
      </c>
      <c r="G6874" t="str">
        <f>IFERROR(INDEX(tEditais[Órgão],MATCH(tItens[[#This Row],[Edital]],tEditais[Edital],0)),"")</f>
        <v>MUNICIPIO DE ESPIGAO D'OESTE</v>
      </c>
      <c r="H6874" t="str">
        <f>IFERROR(INDEX(tEditais[UF],MATCH(tItens[[#This Row],[Edital]],tEditais[Edital],0)),"")</f>
        <v>RO</v>
      </c>
      <c r="I6874" s="11">
        <f>IFERROR(INDEX(tEditais[Encerramento],MATCH(tItens[[#This Row],[Edital]],tEditais[Edital],0)),"")</f>
        <v>46309.354166666664</v>
      </c>
      <c r="J6874" t="str">
        <f>IFERROR(INDEX(tProdutos[Classe],MATCH(tItens[[#This Row],[Produto]],tProdutos[Produto],0)),"produto não cadastrado")</f>
        <v>NÚCLEO</v>
      </c>
      <c r="K6874" s="12">
        <f>tItens[[#This Row],[Qtd]]*tItens[[#This Row],[Vlr unit]]</f>
        <v>303</v>
      </c>
      <c r="L6874" s="6">
        <f>IFERROR(IF(INDEX(tProdutos[Desconto homologado],MATCH(tItens[[#This Row],[Produto]],tProdutos[Produto],0))="",DescontoPadrao,INDEX(tProdutos[Desconto homologado],MATCH(tItens[[#This Row],[Produto]],tProdutos[Produto],0))),DescontoPadrao)</f>
        <v>0.35766423357664201</v>
      </c>
      <c r="M6874" s="12">
        <f>tItens[[#This Row],[Valor]]*(1-tItens[[#This Row],[Desconto]])</f>
        <v>194.62773722627747</v>
      </c>
      <c r="N6874" t="str">
        <f>IFERROR(INDEX(tProdutos[Foco],MATCH(tItens[[#This Row],[Produto]],tProdutos[Produto],0)),"Não")</f>
        <v>Não</v>
      </c>
      <c r="O6874" t="str">
        <f>IFERROR(INDEX(tEditais[SRP],MATCH(tItens[[#This Row],[Edital]],tEditais[Edital],0)),"Não")</f>
        <v>Sim</v>
      </c>
      <c r="P6874" s="4">
        <f>IF(COUNTIFS(INDEX(tItens[Edital],1):tItens[[#This Row],[Edital]],tItens[[#This Row],[Edital]],INDEX(tItens[Produto],1):tItens[[#This Row],[Produto]],tItens[[#This Row],[Produto]])=1,1,0)</f>
        <v>0</v>
      </c>
    </row>
    <row r="6875" spans="1:16" x14ac:dyDescent="0.25">
      <c r="A6875" t="s">
        <v>2443</v>
      </c>
      <c r="B6875">
        <v>142</v>
      </c>
      <c r="C6875" t="s">
        <v>9540</v>
      </c>
      <c r="D6875" t="s">
        <v>397</v>
      </c>
      <c r="E6875" s="13">
        <v>300</v>
      </c>
      <c r="F6875" s="12">
        <v>127.36</v>
      </c>
      <c r="G6875" t="str">
        <f>IFERROR(INDEX(tEditais[Órgão],MATCH(tItens[[#This Row],[Edital]],tEditais[Edital],0)),"")</f>
        <v>MUNICIPIO DE ESPIGAO D'OESTE</v>
      </c>
      <c r="H6875" t="str">
        <f>IFERROR(INDEX(tEditais[UF],MATCH(tItens[[#This Row],[Edital]],tEditais[Edital],0)),"")</f>
        <v>RO</v>
      </c>
      <c r="I6875" s="11">
        <f>IFERROR(INDEX(tEditais[Encerramento],MATCH(tItens[[#This Row],[Edital]],tEditais[Edital],0)),"")</f>
        <v>46309.354166666664</v>
      </c>
      <c r="J6875" t="str">
        <f>IFERROR(INDEX(tProdutos[Classe],MATCH(tItens[[#This Row],[Produto]],tProdutos[Produto],0)),"produto não cadastrado")</f>
        <v>FORA</v>
      </c>
      <c r="K6875" s="12">
        <f>tItens[[#This Row],[Qtd]]*tItens[[#This Row],[Vlr unit]]</f>
        <v>38208</v>
      </c>
      <c r="L6875" s="6">
        <f>IFERROR(IF(INDEX(tProdutos[Desconto homologado],MATCH(tItens[[#This Row],[Produto]],tProdutos[Produto],0))="",DescontoPadrao,INDEX(tProdutos[Desconto homologado],MATCH(tItens[[#This Row],[Produto]],tProdutos[Produto],0))),DescontoPadrao)</f>
        <v>0.336426116838488</v>
      </c>
      <c r="M6875" s="12">
        <f>tItens[[#This Row],[Valor]]*(1-tItens[[#This Row],[Desconto]])</f>
        <v>25353.83092783505</v>
      </c>
      <c r="N6875" t="str">
        <f>IFERROR(INDEX(tProdutos[Foco],MATCH(tItens[[#This Row],[Produto]],tProdutos[Produto],0)),"Não")</f>
        <v>Não</v>
      </c>
      <c r="O6875" t="str">
        <f>IFERROR(INDEX(tEditais[SRP],MATCH(tItens[[#This Row],[Edital]],tEditais[Edital],0)),"Não")</f>
        <v>Sim</v>
      </c>
      <c r="P6875" s="4">
        <f>IF(COUNTIFS(INDEX(tItens[Edital],1):tItens[[#This Row],[Edital]],tItens[[#This Row],[Edital]],INDEX(tItens[Produto],1):tItens[[#This Row],[Produto]],tItens[[#This Row],[Produto]])=1,1,0)</f>
        <v>1</v>
      </c>
    </row>
    <row r="6876" spans="1:16" x14ac:dyDescent="0.25">
      <c r="A6876" t="s">
        <v>2443</v>
      </c>
      <c r="B6876">
        <v>143</v>
      </c>
      <c r="C6876" t="s">
        <v>9541</v>
      </c>
      <c r="D6876" t="s">
        <v>130</v>
      </c>
      <c r="E6876" s="13">
        <v>50</v>
      </c>
      <c r="F6876" s="12">
        <v>55.16</v>
      </c>
      <c r="G6876" t="str">
        <f>IFERROR(INDEX(tEditais[Órgão],MATCH(tItens[[#This Row],[Edital]],tEditais[Edital],0)),"")</f>
        <v>MUNICIPIO DE ESPIGAO D'OESTE</v>
      </c>
      <c r="H6876" t="str">
        <f>IFERROR(INDEX(tEditais[UF],MATCH(tItens[[#This Row],[Edital]],tEditais[Edital],0)),"")</f>
        <v>RO</v>
      </c>
      <c r="I6876" s="11">
        <f>IFERROR(INDEX(tEditais[Encerramento],MATCH(tItens[[#This Row],[Edital]],tEditais[Edital],0)),"")</f>
        <v>46309.354166666664</v>
      </c>
      <c r="J6876" t="str">
        <f>IFERROR(INDEX(tProdutos[Classe],MATCH(tItens[[#This Row],[Produto]],tProdutos[Produto],0)),"produto não cadastrado")</f>
        <v>DISPUTADO</v>
      </c>
      <c r="K6876" s="12">
        <f>tItens[[#This Row],[Qtd]]*tItens[[#This Row],[Vlr unit]]</f>
        <v>2758</v>
      </c>
      <c r="L6876" s="6">
        <f>IFERROR(IF(INDEX(tProdutos[Desconto homologado],MATCH(tItens[[#This Row],[Produto]],tProdutos[Produto],0))="",DescontoPadrao,INDEX(tProdutos[Desconto homologado],MATCH(tItens[[#This Row],[Produto]],tProdutos[Produto],0))),DescontoPadrao)</f>
        <v>0.32</v>
      </c>
      <c r="M6876" s="12">
        <f>tItens[[#This Row],[Valor]]*(1-tItens[[#This Row],[Desconto]])</f>
        <v>1875.4399999999998</v>
      </c>
      <c r="N6876" t="str">
        <f>IFERROR(INDEX(tProdutos[Foco],MATCH(tItens[[#This Row],[Produto]],tProdutos[Produto],0)),"Não")</f>
        <v>Sim</v>
      </c>
      <c r="O6876" t="str">
        <f>IFERROR(INDEX(tEditais[SRP],MATCH(tItens[[#This Row],[Edital]],tEditais[Edital],0)),"Não")</f>
        <v>Sim</v>
      </c>
      <c r="P6876" s="4">
        <f>IF(COUNTIFS(INDEX(tItens[Edital],1):tItens[[#This Row],[Edital]],tItens[[#This Row],[Edital]],INDEX(tItens[Produto],1):tItens[[#This Row],[Produto]],tItens[[#This Row],[Produto]])=1,1,0)</f>
        <v>1</v>
      </c>
    </row>
    <row r="6877" spans="1:16" x14ac:dyDescent="0.25">
      <c r="A6877" t="s">
        <v>2443</v>
      </c>
      <c r="B6877">
        <v>144</v>
      </c>
      <c r="C6877" t="s">
        <v>9542</v>
      </c>
      <c r="D6877" t="s">
        <v>399</v>
      </c>
      <c r="E6877" s="13">
        <v>50</v>
      </c>
      <c r="F6877" s="12">
        <v>18.72</v>
      </c>
      <c r="G6877" t="str">
        <f>IFERROR(INDEX(tEditais[Órgão],MATCH(tItens[[#This Row],[Edital]],tEditais[Edital],0)),"")</f>
        <v>MUNICIPIO DE ESPIGAO D'OESTE</v>
      </c>
      <c r="H6877" t="str">
        <f>IFERROR(INDEX(tEditais[UF],MATCH(tItens[[#This Row],[Edital]],tEditais[Edital],0)),"")</f>
        <v>RO</v>
      </c>
      <c r="I6877" s="11">
        <f>IFERROR(INDEX(tEditais[Encerramento],MATCH(tItens[[#This Row],[Edital]],tEditais[Edital],0)),"")</f>
        <v>46309.354166666664</v>
      </c>
      <c r="J6877" t="str">
        <f>IFERROR(INDEX(tProdutos[Classe],MATCH(tItens[[#This Row],[Produto]],tProdutos[Produto],0)),"produto não cadastrado")</f>
        <v>FORA</v>
      </c>
      <c r="K6877" s="12">
        <f>tItens[[#This Row],[Qtd]]*tItens[[#This Row],[Vlr unit]]</f>
        <v>936</v>
      </c>
      <c r="L6877" s="6">
        <f>IFERROR(IF(INDEX(tProdutos[Desconto homologado],MATCH(tItens[[#This Row],[Produto]],tProdutos[Produto],0))="",DescontoPadrao,INDEX(tProdutos[Desconto homologado],MATCH(tItens[[#This Row],[Produto]],tProdutos[Produto],0))),DescontoPadrao)</f>
        <v>0.30009041591320101</v>
      </c>
      <c r="M6877" s="12">
        <f>tItens[[#This Row],[Valor]]*(1-tItens[[#This Row],[Desconto]])</f>
        <v>655.11537070524389</v>
      </c>
      <c r="N6877" t="str">
        <f>IFERROR(INDEX(tProdutos[Foco],MATCH(tItens[[#This Row],[Produto]],tProdutos[Produto],0)),"Não")</f>
        <v>Não</v>
      </c>
      <c r="O6877" t="str">
        <f>IFERROR(INDEX(tEditais[SRP],MATCH(tItens[[#This Row],[Edital]],tEditais[Edital],0)),"Não")</f>
        <v>Sim</v>
      </c>
      <c r="P6877" s="4">
        <f>IF(COUNTIFS(INDEX(tItens[Edital],1):tItens[[#This Row],[Edital]],tItens[[#This Row],[Edital]],INDEX(tItens[Produto],1):tItens[[#This Row],[Produto]],tItens[[#This Row],[Produto]])=1,1,0)</f>
        <v>1</v>
      </c>
    </row>
    <row r="6878" spans="1:16" x14ac:dyDescent="0.25">
      <c r="A6878" t="s">
        <v>2443</v>
      </c>
      <c r="B6878">
        <v>145</v>
      </c>
      <c r="C6878" t="s">
        <v>9543</v>
      </c>
      <c r="D6878" t="s">
        <v>399</v>
      </c>
      <c r="E6878" s="13">
        <v>50</v>
      </c>
      <c r="F6878" s="12">
        <v>8.19</v>
      </c>
      <c r="G6878" t="str">
        <f>IFERROR(INDEX(tEditais[Órgão],MATCH(tItens[[#This Row],[Edital]],tEditais[Edital],0)),"")</f>
        <v>MUNICIPIO DE ESPIGAO D'OESTE</v>
      </c>
      <c r="H6878" t="str">
        <f>IFERROR(INDEX(tEditais[UF],MATCH(tItens[[#This Row],[Edital]],tEditais[Edital],0)),"")</f>
        <v>RO</v>
      </c>
      <c r="I6878" s="11">
        <f>IFERROR(INDEX(tEditais[Encerramento],MATCH(tItens[[#This Row],[Edital]],tEditais[Edital],0)),"")</f>
        <v>46309.354166666664</v>
      </c>
      <c r="J6878" t="str">
        <f>IFERROR(INDEX(tProdutos[Classe],MATCH(tItens[[#This Row],[Produto]],tProdutos[Produto],0)),"produto não cadastrado")</f>
        <v>FORA</v>
      </c>
      <c r="K6878" s="12">
        <f>tItens[[#This Row],[Qtd]]*tItens[[#This Row],[Vlr unit]]</f>
        <v>409.5</v>
      </c>
      <c r="L6878" s="6">
        <f>IFERROR(IF(INDEX(tProdutos[Desconto homologado],MATCH(tItens[[#This Row],[Produto]],tProdutos[Produto],0))="",DescontoPadrao,INDEX(tProdutos[Desconto homologado],MATCH(tItens[[#This Row],[Produto]],tProdutos[Produto],0))),DescontoPadrao)</f>
        <v>0.30009041591320101</v>
      </c>
      <c r="M6878" s="12">
        <f>tItens[[#This Row],[Valor]]*(1-tItens[[#This Row],[Desconto]])</f>
        <v>286.61297468354422</v>
      </c>
      <c r="N6878" t="str">
        <f>IFERROR(INDEX(tProdutos[Foco],MATCH(tItens[[#This Row],[Produto]],tProdutos[Produto],0)),"Não")</f>
        <v>Não</v>
      </c>
      <c r="O6878" t="str">
        <f>IFERROR(INDEX(tEditais[SRP],MATCH(tItens[[#This Row],[Edital]],tEditais[Edital],0)),"Não")</f>
        <v>Sim</v>
      </c>
      <c r="P6878" s="4">
        <f>IF(COUNTIFS(INDEX(tItens[Edital],1):tItens[[#This Row],[Edital]],tItens[[#This Row],[Edital]],INDEX(tItens[Produto],1):tItens[[#This Row],[Produto]],tItens[[#This Row],[Produto]])=1,1,0)</f>
        <v>0</v>
      </c>
    </row>
    <row r="6879" spans="1:16" x14ac:dyDescent="0.25">
      <c r="A6879" t="s">
        <v>2443</v>
      </c>
      <c r="B6879">
        <v>146</v>
      </c>
      <c r="C6879" t="s">
        <v>9544</v>
      </c>
      <c r="D6879" t="s">
        <v>301</v>
      </c>
      <c r="E6879" s="13">
        <v>2000</v>
      </c>
      <c r="F6879" s="12">
        <v>158.81</v>
      </c>
      <c r="G6879" t="str">
        <f>IFERROR(INDEX(tEditais[Órgão],MATCH(tItens[[#This Row],[Edital]],tEditais[Edital],0)),"")</f>
        <v>MUNICIPIO DE ESPIGAO D'OESTE</v>
      </c>
      <c r="H6879" t="str">
        <f>IFERROR(INDEX(tEditais[UF],MATCH(tItens[[#This Row],[Edital]],tEditais[Edital],0)),"")</f>
        <v>RO</v>
      </c>
      <c r="I6879" s="11">
        <f>IFERROR(INDEX(tEditais[Encerramento],MATCH(tItens[[#This Row],[Edital]],tEditais[Edital],0)),"")</f>
        <v>46309.354166666664</v>
      </c>
      <c r="J6879" t="str">
        <f>IFERROR(INDEX(tProdutos[Classe],MATCH(tItens[[#This Row],[Produto]],tProdutos[Produto],0)),"produto não cadastrado")</f>
        <v>FORA</v>
      </c>
      <c r="K6879" s="12">
        <f>tItens[[#This Row],[Qtd]]*tItens[[#This Row],[Vlr unit]]</f>
        <v>317620</v>
      </c>
      <c r="L6879" s="6">
        <f>IFERROR(IF(INDEX(tProdutos[Desconto homologado],MATCH(tItens[[#This Row],[Produto]],tProdutos[Produto],0))="",DescontoPadrao,INDEX(tProdutos[Desconto homologado],MATCH(tItens[[#This Row],[Produto]],tProdutos[Produto],0))),DescontoPadrao)</f>
        <v>0.37334194659776099</v>
      </c>
      <c r="M6879" s="12">
        <f>tItens[[#This Row],[Valor]]*(1-tItens[[#This Row],[Desconto]])</f>
        <v>199039.13092161916</v>
      </c>
      <c r="N6879" t="str">
        <f>IFERROR(INDEX(tProdutos[Foco],MATCH(tItens[[#This Row],[Produto]],tProdutos[Produto],0)),"Não")</f>
        <v>Não</v>
      </c>
      <c r="O6879" t="str">
        <f>IFERROR(INDEX(tEditais[SRP],MATCH(tItens[[#This Row],[Edital]],tEditais[Edital],0)),"Não")</f>
        <v>Sim</v>
      </c>
      <c r="P6879" s="4">
        <f>IF(COUNTIFS(INDEX(tItens[Edital],1):tItens[[#This Row],[Edital]],tItens[[#This Row],[Edital]],INDEX(tItens[Produto],1):tItens[[#This Row],[Produto]],tItens[[#This Row],[Produto]])=1,1,0)</f>
        <v>0</v>
      </c>
    </row>
    <row r="6880" spans="1:16" x14ac:dyDescent="0.25">
      <c r="A6880" t="s">
        <v>2443</v>
      </c>
      <c r="B6880">
        <v>149</v>
      </c>
      <c r="C6880" t="s">
        <v>9545</v>
      </c>
      <c r="D6880" t="s">
        <v>575</v>
      </c>
      <c r="E6880" s="13">
        <v>10</v>
      </c>
      <c r="F6880" s="12">
        <v>142.62</v>
      </c>
      <c r="G6880" t="str">
        <f>IFERROR(INDEX(tEditais[Órgão],MATCH(tItens[[#This Row],[Edital]],tEditais[Edital],0)),"")</f>
        <v>MUNICIPIO DE ESPIGAO D'OESTE</v>
      </c>
      <c r="H6880" t="str">
        <f>IFERROR(INDEX(tEditais[UF],MATCH(tItens[[#This Row],[Edital]],tEditais[Edital],0)),"")</f>
        <v>RO</v>
      </c>
      <c r="I6880" s="11">
        <f>IFERROR(INDEX(tEditais[Encerramento],MATCH(tItens[[#This Row],[Edital]],tEditais[Edital],0)),"")</f>
        <v>46309.354166666664</v>
      </c>
      <c r="J6880" t="str">
        <f>IFERROR(INDEX(tProdutos[Classe],MATCH(tItens[[#This Row],[Produto]],tProdutos[Produto],0)),"produto não cadastrado")</f>
        <v>FILA REBASE</v>
      </c>
      <c r="K6880" s="12">
        <f>tItens[[#This Row],[Qtd]]*tItens[[#This Row],[Vlr unit]]</f>
        <v>1426.2</v>
      </c>
      <c r="L6880" s="6">
        <f>IFERROR(IF(INDEX(tProdutos[Desconto homologado],MATCH(tItens[[#This Row],[Produto]],tProdutos[Produto],0))="",DescontoPadrao,INDEX(tProdutos[Desconto homologado],MATCH(tItens[[#This Row],[Produto]],tProdutos[Produto],0))),DescontoPadrao)</f>
        <v>0.31845403469778399</v>
      </c>
      <c r="M6880" s="12">
        <f>tItens[[#This Row],[Valor]]*(1-tItens[[#This Row],[Desconto]])</f>
        <v>972.02085571402051</v>
      </c>
      <c r="N6880" t="str">
        <f>IFERROR(INDEX(tProdutos[Foco],MATCH(tItens[[#This Row],[Produto]],tProdutos[Produto],0)),"Não")</f>
        <v>Não</v>
      </c>
      <c r="O6880" t="str">
        <f>IFERROR(INDEX(tEditais[SRP],MATCH(tItens[[#This Row],[Edital]],tEditais[Edital],0)),"Não")</f>
        <v>Sim</v>
      </c>
      <c r="P6880" s="4">
        <f>IF(COUNTIFS(INDEX(tItens[Edital],1):tItens[[#This Row],[Edital]],tItens[[#This Row],[Edital]],INDEX(tItens[Produto],1):tItens[[#This Row],[Produto]],tItens[[#This Row],[Produto]])=1,1,0)</f>
        <v>1</v>
      </c>
    </row>
    <row r="6881" spans="1:16" x14ac:dyDescent="0.25">
      <c r="A6881" t="s">
        <v>2443</v>
      </c>
      <c r="B6881">
        <v>152</v>
      </c>
      <c r="C6881" t="s">
        <v>9546</v>
      </c>
      <c r="D6881" t="s">
        <v>56</v>
      </c>
      <c r="E6881" s="13">
        <v>100</v>
      </c>
      <c r="F6881" s="12">
        <v>29.37</v>
      </c>
      <c r="G6881" t="str">
        <f>IFERROR(INDEX(tEditais[Órgão],MATCH(tItens[[#This Row],[Edital]],tEditais[Edital],0)),"")</f>
        <v>MUNICIPIO DE ESPIGAO D'OESTE</v>
      </c>
      <c r="H6881" t="str">
        <f>IFERROR(INDEX(tEditais[UF],MATCH(tItens[[#This Row],[Edital]],tEditais[Edital],0)),"")</f>
        <v>RO</v>
      </c>
      <c r="I6881" s="11">
        <f>IFERROR(INDEX(tEditais[Encerramento],MATCH(tItens[[#This Row],[Edital]],tEditais[Edital],0)),"")</f>
        <v>46309.354166666664</v>
      </c>
      <c r="J6881" t="str">
        <f>IFERROR(INDEX(tProdutos[Classe],MATCH(tItens[[#This Row],[Produto]],tProdutos[Produto],0)),"produto não cadastrado")</f>
        <v>NÚCLEO</v>
      </c>
      <c r="K6881" s="12">
        <f>tItens[[#This Row],[Qtd]]*tItens[[#This Row],[Vlr unit]]</f>
        <v>2937</v>
      </c>
      <c r="L6881" s="6">
        <f>IFERROR(IF(INDEX(tProdutos[Desconto homologado],MATCH(tItens[[#This Row],[Produto]],tProdutos[Produto],0))="",DescontoPadrao,INDEX(tProdutos[Desconto homologado],MATCH(tItens[[#This Row],[Produto]],tProdutos[Produto],0))),DescontoPadrao)</f>
        <v>0.34</v>
      </c>
      <c r="M6881" s="12">
        <f>tItens[[#This Row],[Valor]]*(1-tItens[[#This Row],[Desconto]])</f>
        <v>1938.4199999999998</v>
      </c>
      <c r="N6881" t="str">
        <f>IFERROR(INDEX(tProdutos[Foco],MATCH(tItens[[#This Row],[Produto]],tProdutos[Produto],0)),"Não")</f>
        <v>Sim</v>
      </c>
      <c r="O6881" t="str">
        <f>IFERROR(INDEX(tEditais[SRP],MATCH(tItens[[#This Row],[Edital]],tEditais[Edital],0)),"Não")</f>
        <v>Sim</v>
      </c>
      <c r="P6881" s="4">
        <f>IF(COUNTIFS(INDEX(tItens[Edital],1):tItens[[#This Row],[Edital]],tItens[[#This Row],[Edital]],INDEX(tItens[Produto],1):tItens[[#This Row],[Produto]],tItens[[#This Row],[Produto]])=1,1,0)</f>
        <v>1</v>
      </c>
    </row>
    <row r="6882" spans="1:16" x14ac:dyDescent="0.25">
      <c r="A6882" t="s">
        <v>2443</v>
      </c>
      <c r="B6882">
        <v>155</v>
      </c>
      <c r="C6882" t="s">
        <v>9547</v>
      </c>
      <c r="D6882" t="s">
        <v>267</v>
      </c>
      <c r="E6882" s="13">
        <v>400</v>
      </c>
      <c r="F6882" s="12">
        <v>64.95</v>
      </c>
      <c r="G6882" t="str">
        <f>IFERROR(INDEX(tEditais[Órgão],MATCH(tItens[[#This Row],[Edital]],tEditais[Edital],0)),"")</f>
        <v>MUNICIPIO DE ESPIGAO D'OESTE</v>
      </c>
      <c r="H6882" t="str">
        <f>IFERROR(INDEX(tEditais[UF],MATCH(tItens[[#This Row],[Edital]],tEditais[Edital],0)),"")</f>
        <v>RO</v>
      </c>
      <c r="I6882" s="11">
        <f>IFERROR(INDEX(tEditais[Encerramento],MATCH(tItens[[#This Row],[Edital]],tEditais[Edital],0)),"")</f>
        <v>46309.354166666664</v>
      </c>
      <c r="J6882" t="str">
        <f>IFERROR(INDEX(tProdutos[Classe],MATCH(tItens[[#This Row],[Produto]],tProdutos[Produto],0)),"produto não cadastrado")</f>
        <v>FORA</v>
      </c>
      <c r="K6882" s="12">
        <f>tItens[[#This Row],[Qtd]]*tItens[[#This Row],[Vlr unit]]</f>
        <v>25980</v>
      </c>
      <c r="L6882" s="6">
        <f>IFERROR(IF(INDEX(tProdutos[Desconto homologado],MATCH(tItens[[#This Row],[Produto]],tProdutos[Produto],0))="",DescontoPadrao,INDEX(tProdutos[Desconto homologado],MATCH(tItens[[#This Row],[Produto]],tProdutos[Produto],0))),DescontoPadrao)</f>
        <v>0.19963672657401599</v>
      </c>
      <c r="M6882" s="12">
        <f>tItens[[#This Row],[Valor]]*(1-tItens[[#This Row],[Desconto]])</f>
        <v>20793.437843607066</v>
      </c>
      <c r="N6882" t="str">
        <f>IFERROR(INDEX(tProdutos[Foco],MATCH(tItens[[#This Row],[Produto]],tProdutos[Produto],0)),"Não")</f>
        <v>Não</v>
      </c>
      <c r="O6882" t="str">
        <f>IFERROR(INDEX(tEditais[SRP],MATCH(tItens[[#This Row],[Edital]],tEditais[Edital],0)),"Não")</f>
        <v>Sim</v>
      </c>
      <c r="P6882" s="4">
        <f>IF(COUNTIFS(INDEX(tItens[Edital],1):tItens[[#This Row],[Edital]],tItens[[#This Row],[Edital]],INDEX(tItens[Produto],1):tItens[[#This Row],[Produto]],tItens[[#This Row],[Produto]])=1,1,0)</f>
        <v>1</v>
      </c>
    </row>
    <row r="6883" spans="1:16" x14ac:dyDescent="0.25">
      <c r="A6883" t="s">
        <v>2443</v>
      </c>
      <c r="B6883">
        <v>156</v>
      </c>
      <c r="C6883" t="s">
        <v>9548</v>
      </c>
      <c r="D6883" t="s">
        <v>267</v>
      </c>
      <c r="E6883" s="13">
        <v>400</v>
      </c>
      <c r="F6883" s="12">
        <v>33.58</v>
      </c>
      <c r="G6883" t="str">
        <f>IFERROR(INDEX(tEditais[Órgão],MATCH(tItens[[#This Row],[Edital]],tEditais[Edital],0)),"")</f>
        <v>MUNICIPIO DE ESPIGAO D'OESTE</v>
      </c>
      <c r="H6883" t="str">
        <f>IFERROR(INDEX(tEditais[UF],MATCH(tItens[[#This Row],[Edital]],tEditais[Edital],0)),"")</f>
        <v>RO</v>
      </c>
      <c r="I6883" s="11">
        <f>IFERROR(INDEX(tEditais[Encerramento],MATCH(tItens[[#This Row],[Edital]],tEditais[Edital],0)),"")</f>
        <v>46309.354166666664</v>
      </c>
      <c r="J6883" t="str">
        <f>IFERROR(INDEX(tProdutos[Classe],MATCH(tItens[[#This Row],[Produto]],tProdutos[Produto],0)),"produto não cadastrado")</f>
        <v>FORA</v>
      </c>
      <c r="K6883" s="12">
        <f>tItens[[#This Row],[Qtd]]*tItens[[#This Row],[Vlr unit]]</f>
        <v>13432</v>
      </c>
      <c r="L6883" s="6">
        <f>IFERROR(IF(INDEX(tProdutos[Desconto homologado],MATCH(tItens[[#This Row],[Produto]],tProdutos[Produto],0))="",DescontoPadrao,INDEX(tProdutos[Desconto homologado],MATCH(tItens[[#This Row],[Produto]],tProdutos[Produto],0))),DescontoPadrao)</f>
        <v>0.19963672657401599</v>
      </c>
      <c r="M6883" s="12">
        <f>tItens[[#This Row],[Valor]]*(1-tItens[[#This Row],[Desconto]])</f>
        <v>10750.479488657817</v>
      </c>
      <c r="N6883" t="str">
        <f>IFERROR(INDEX(tProdutos[Foco],MATCH(tItens[[#This Row],[Produto]],tProdutos[Produto],0)),"Não")</f>
        <v>Não</v>
      </c>
      <c r="O6883" t="str">
        <f>IFERROR(INDEX(tEditais[SRP],MATCH(tItens[[#This Row],[Edital]],tEditais[Edital],0)),"Não")</f>
        <v>Sim</v>
      </c>
      <c r="P6883" s="4">
        <f>IF(COUNTIFS(INDEX(tItens[Edital],1):tItens[[#This Row],[Edital]],tItens[[#This Row],[Edital]],INDEX(tItens[Produto],1):tItens[[#This Row],[Produto]],tItens[[#This Row],[Produto]])=1,1,0)</f>
        <v>0</v>
      </c>
    </row>
    <row r="6884" spans="1:16" x14ac:dyDescent="0.25">
      <c r="A6884" t="s">
        <v>2443</v>
      </c>
      <c r="B6884">
        <v>157</v>
      </c>
      <c r="C6884" t="s">
        <v>9549</v>
      </c>
      <c r="D6884" t="s">
        <v>267</v>
      </c>
      <c r="E6884" s="13">
        <v>1000</v>
      </c>
      <c r="F6884" s="12">
        <v>8.09</v>
      </c>
      <c r="G6884" t="str">
        <f>IFERROR(INDEX(tEditais[Órgão],MATCH(tItens[[#This Row],[Edital]],tEditais[Edital],0)),"")</f>
        <v>MUNICIPIO DE ESPIGAO D'OESTE</v>
      </c>
      <c r="H6884" t="str">
        <f>IFERROR(INDEX(tEditais[UF],MATCH(tItens[[#This Row],[Edital]],tEditais[Edital],0)),"")</f>
        <v>RO</v>
      </c>
      <c r="I6884" s="11">
        <f>IFERROR(INDEX(tEditais[Encerramento],MATCH(tItens[[#This Row],[Edital]],tEditais[Edital],0)),"")</f>
        <v>46309.354166666664</v>
      </c>
      <c r="J6884" t="str">
        <f>IFERROR(INDEX(tProdutos[Classe],MATCH(tItens[[#This Row],[Produto]],tProdutos[Produto],0)),"produto não cadastrado")</f>
        <v>FORA</v>
      </c>
      <c r="K6884" s="12">
        <f>tItens[[#This Row],[Qtd]]*tItens[[#This Row],[Vlr unit]]</f>
        <v>8090</v>
      </c>
      <c r="L6884" s="6">
        <f>IFERROR(IF(INDEX(tProdutos[Desconto homologado],MATCH(tItens[[#This Row],[Produto]],tProdutos[Produto],0))="",DescontoPadrao,INDEX(tProdutos[Desconto homologado],MATCH(tItens[[#This Row],[Produto]],tProdutos[Produto],0))),DescontoPadrao)</f>
        <v>0.19963672657401599</v>
      </c>
      <c r="M6884" s="12">
        <f>tItens[[#This Row],[Valor]]*(1-tItens[[#This Row],[Desconto]])</f>
        <v>6474.9388820162103</v>
      </c>
      <c r="N6884" t="str">
        <f>IFERROR(INDEX(tProdutos[Foco],MATCH(tItens[[#This Row],[Produto]],tProdutos[Produto],0)),"Não")</f>
        <v>Não</v>
      </c>
      <c r="O6884" t="str">
        <f>IFERROR(INDEX(tEditais[SRP],MATCH(tItens[[#This Row],[Edital]],tEditais[Edital],0)),"Não")</f>
        <v>Sim</v>
      </c>
      <c r="P6884" s="4">
        <f>IF(COUNTIFS(INDEX(tItens[Edital],1):tItens[[#This Row],[Edital]],tItens[[#This Row],[Edital]],INDEX(tItens[Produto],1):tItens[[#This Row],[Produto]],tItens[[#This Row],[Produto]])=1,1,0)</f>
        <v>0</v>
      </c>
    </row>
    <row r="6885" spans="1:16" x14ac:dyDescent="0.25">
      <c r="A6885" t="s">
        <v>2443</v>
      </c>
      <c r="B6885">
        <v>158</v>
      </c>
      <c r="C6885" t="s">
        <v>9550</v>
      </c>
      <c r="D6885" t="s">
        <v>267</v>
      </c>
      <c r="E6885" s="13">
        <v>500</v>
      </c>
      <c r="F6885" s="12">
        <v>19.79</v>
      </c>
      <c r="G6885" t="str">
        <f>IFERROR(INDEX(tEditais[Órgão],MATCH(tItens[[#This Row],[Edital]],tEditais[Edital],0)),"")</f>
        <v>MUNICIPIO DE ESPIGAO D'OESTE</v>
      </c>
      <c r="H6885" t="str">
        <f>IFERROR(INDEX(tEditais[UF],MATCH(tItens[[#This Row],[Edital]],tEditais[Edital],0)),"")</f>
        <v>RO</v>
      </c>
      <c r="I6885" s="11">
        <f>IFERROR(INDEX(tEditais[Encerramento],MATCH(tItens[[#This Row],[Edital]],tEditais[Edital],0)),"")</f>
        <v>46309.354166666664</v>
      </c>
      <c r="J6885" t="str">
        <f>IFERROR(INDEX(tProdutos[Classe],MATCH(tItens[[#This Row],[Produto]],tProdutos[Produto],0)),"produto não cadastrado")</f>
        <v>FORA</v>
      </c>
      <c r="K6885" s="12">
        <f>tItens[[#This Row],[Qtd]]*tItens[[#This Row],[Vlr unit]]</f>
        <v>9895</v>
      </c>
      <c r="L6885" s="6">
        <f>IFERROR(IF(INDEX(tProdutos[Desconto homologado],MATCH(tItens[[#This Row],[Produto]],tProdutos[Produto],0))="",DescontoPadrao,INDEX(tProdutos[Desconto homologado],MATCH(tItens[[#This Row],[Produto]],tProdutos[Produto],0))),DescontoPadrao)</f>
        <v>0.19963672657401599</v>
      </c>
      <c r="M6885" s="12">
        <f>tItens[[#This Row],[Valor]]*(1-tItens[[#This Row],[Desconto]])</f>
        <v>7919.5945905501121</v>
      </c>
      <c r="N6885" t="str">
        <f>IFERROR(INDEX(tProdutos[Foco],MATCH(tItens[[#This Row],[Produto]],tProdutos[Produto],0)),"Não")</f>
        <v>Não</v>
      </c>
      <c r="O6885" t="str">
        <f>IFERROR(INDEX(tEditais[SRP],MATCH(tItens[[#This Row],[Edital]],tEditais[Edital],0)),"Não")</f>
        <v>Sim</v>
      </c>
      <c r="P6885" s="4">
        <f>IF(COUNTIFS(INDEX(tItens[Edital],1):tItens[[#This Row],[Edital]],tItens[[#This Row],[Edital]],INDEX(tItens[Produto],1):tItens[[#This Row],[Produto]],tItens[[#This Row],[Produto]])=1,1,0)</f>
        <v>0</v>
      </c>
    </row>
    <row r="6886" spans="1:16" x14ac:dyDescent="0.25">
      <c r="A6886" t="s">
        <v>2443</v>
      </c>
      <c r="B6886">
        <v>159</v>
      </c>
      <c r="C6886" t="s">
        <v>9551</v>
      </c>
      <c r="D6886" t="s">
        <v>267</v>
      </c>
      <c r="E6886" s="13">
        <v>300</v>
      </c>
      <c r="F6886" s="12">
        <v>44.12</v>
      </c>
      <c r="G6886" t="str">
        <f>IFERROR(INDEX(tEditais[Órgão],MATCH(tItens[[#This Row],[Edital]],tEditais[Edital],0)),"")</f>
        <v>MUNICIPIO DE ESPIGAO D'OESTE</v>
      </c>
      <c r="H6886" t="str">
        <f>IFERROR(INDEX(tEditais[UF],MATCH(tItens[[#This Row],[Edital]],tEditais[Edital],0)),"")</f>
        <v>RO</v>
      </c>
      <c r="I6886" s="11">
        <f>IFERROR(INDEX(tEditais[Encerramento],MATCH(tItens[[#This Row],[Edital]],tEditais[Edital],0)),"")</f>
        <v>46309.354166666664</v>
      </c>
      <c r="J6886" t="str">
        <f>IFERROR(INDEX(tProdutos[Classe],MATCH(tItens[[#This Row],[Produto]],tProdutos[Produto],0)),"produto não cadastrado")</f>
        <v>FORA</v>
      </c>
      <c r="K6886" s="12">
        <f>tItens[[#This Row],[Qtd]]*tItens[[#This Row],[Vlr unit]]</f>
        <v>13236</v>
      </c>
      <c r="L6886" s="6">
        <f>IFERROR(IF(INDEX(tProdutos[Desconto homologado],MATCH(tItens[[#This Row],[Produto]],tProdutos[Produto],0))="",DescontoPadrao,INDEX(tProdutos[Desconto homologado],MATCH(tItens[[#This Row],[Produto]],tProdutos[Produto],0))),DescontoPadrao)</f>
        <v>0.19963672657401599</v>
      </c>
      <c r="M6886" s="12">
        <f>tItens[[#This Row],[Valor]]*(1-tItens[[#This Row],[Desconto]])</f>
        <v>10593.608287066325</v>
      </c>
      <c r="N6886" t="str">
        <f>IFERROR(INDEX(tProdutos[Foco],MATCH(tItens[[#This Row],[Produto]],tProdutos[Produto],0)),"Não")</f>
        <v>Não</v>
      </c>
      <c r="O6886" t="str">
        <f>IFERROR(INDEX(tEditais[SRP],MATCH(tItens[[#This Row],[Edital]],tEditais[Edital],0)),"Não")</f>
        <v>Sim</v>
      </c>
      <c r="P6886" s="4">
        <f>IF(COUNTIFS(INDEX(tItens[Edital],1):tItens[[#This Row],[Edital]],tItens[[#This Row],[Edital]],INDEX(tItens[Produto],1):tItens[[#This Row],[Produto]],tItens[[#This Row],[Produto]])=1,1,0)</f>
        <v>0</v>
      </c>
    </row>
    <row r="6887" spans="1:16" x14ac:dyDescent="0.25">
      <c r="A6887" t="s">
        <v>2443</v>
      </c>
      <c r="B6887">
        <v>160</v>
      </c>
      <c r="C6887" t="s">
        <v>9552</v>
      </c>
      <c r="D6887" t="s">
        <v>267</v>
      </c>
      <c r="E6887" s="13">
        <v>2500</v>
      </c>
      <c r="F6887" s="12">
        <v>55.96</v>
      </c>
      <c r="G6887" t="str">
        <f>IFERROR(INDEX(tEditais[Órgão],MATCH(tItens[[#This Row],[Edital]],tEditais[Edital],0)),"")</f>
        <v>MUNICIPIO DE ESPIGAO D'OESTE</v>
      </c>
      <c r="H6887" t="str">
        <f>IFERROR(INDEX(tEditais[UF],MATCH(tItens[[#This Row],[Edital]],tEditais[Edital],0)),"")</f>
        <v>RO</v>
      </c>
      <c r="I6887" s="11">
        <f>IFERROR(INDEX(tEditais[Encerramento],MATCH(tItens[[#This Row],[Edital]],tEditais[Edital],0)),"")</f>
        <v>46309.354166666664</v>
      </c>
      <c r="J6887" t="str">
        <f>IFERROR(INDEX(tProdutos[Classe],MATCH(tItens[[#This Row],[Produto]],tProdutos[Produto],0)),"produto não cadastrado")</f>
        <v>FORA</v>
      </c>
      <c r="K6887" s="12">
        <f>tItens[[#This Row],[Qtd]]*tItens[[#This Row],[Vlr unit]]</f>
        <v>139900</v>
      </c>
      <c r="L6887" s="6">
        <f>IFERROR(IF(INDEX(tProdutos[Desconto homologado],MATCH(tItens[[#This Row],[Produto]],tProdutos[Produto],0))="",DescontoPadrao,INDEX(tProdutos[Desconto homologado],MATCH(tItens[[#This Row],[Produto]],tProdutos[Produto],0))),DescontoPadrao)</f>
        <v>0.19963672657401599</v>
      </c>
      <c r="M6887" s="12">
        <f>tItens[[#This Row],[Valor]]*(1-tItens[[#This Row],[Desconto]])</f>
        <v>111970.82195229517</v>
      </c>
      <c r="N6887" t="str">
        <f>IFERROR(INDEX(tProdutos[Foco],MATCH(tItens[[#This Row],[Produto]],tProdutos[Produto],0)),"Não")</f>
        <v>Não</v>
      </c>
      <c r="O6887" t="str">
        <f>IFERROR(INDEX(tEditais[SRP],MATCH(tItens[[#This Row],[Edital]],tEditais[Edital],0)),"Não")</f>
        <v>Sim</v>
      </c>
      <c r="P6887" s="4">
        <f>IF(COUNTIFS(INDEX(tItens[Edital],1):tItens[[#This Row],[Edital]],tItens[[#This Row],[Edital]],INDEX(tItens[Produto],1):tItens[[#This Row],[Produto]],tItens[[#This Row],[Produto]])=1,1,0)</f>
        <v>0</v>
      </c>
    </row>
    <row r="6888" spans="1:16" x14ac:dyDescent="0.25">
      <c r="A6888" t="s">
        <v>2443</v>
      </c>
      <c r="B6888">
        <v>167</v>
      </c>
      <c r="C6888" t="s">
        <v>9553</v>
      </c>
      <c r="D6888" t="s">
        <v>385</v>
      </c>
      <c r="E6888" s="13">
        <v>4000</v>
      </c>
      <c r="F6888" s="12">
        <v>4.7699999999999996</v>
      </c>
      <c r="G6888" t="str">
        <f>IFERROR(INDEX(tEditais[Órgão],MATCH(tItens[[#This Row],[Edital]],tEditais[Edital],0)),"")</f>
        <v>MUNICIPIO DE ESPIGAO D'OESTE</v>
      </c>
      <c r="H6888" t="str">
        <f>IFERROR(INDEX(tEditais[UF],MATCH(tItens[[#This Row],[Edital]],tEditais[Edital],0)),"")</f>
        <v>RO</v>
      </c>
      <c r="I6888" s="11">
        <f>IFERROR(INDEX(tEditais[Encerramento],MATCH(tItens[[#This Row],[Edital]],tEditais[Edital],0)),"")</f>
        <v>46309.354166666664</v>
      </c>
      <c r="J6888" t="str">
        <f>IFERROR(INDEX(tProdutos[Classe],MATCH(tItens[[#This Row],[Produto]],tProdutos[Produto],0)),"produto não cadastrado")</f>
        <v>FORA</v>
      </c>
      <c r="K6888" s="12">
        <f>tItens[[#This Row],[Qtd]]*tItens[[#This Row],[Vlr unit]]</f>
        <v>19080</v>
      </c>
      <c r="L6888" s="6">
        <f>IFERROR(IF(INDEX(tProdutos[Desconto homologado],MATCH(tItens[[#This Row],[Produto]],tProdutos[Produto],0))="",DescontoPadrao,INDEX(tProdutos[Desconto homologado],MATCH(tItens[[#This Row],[Produto]],tProdutos[Produto],0))),DescontoPadrao)</f>
        <v>0.46969696969697</v>
      </c>
      <c r="M6888" s="12">
        <f>tItens[[#This Row],[Valor]]*(1-tItens[[#This Row],[Desconto]])</f>
        <v>10118.181818181813</v>
      </c>
      <c r="N6888" t="str">
        <f>IFERROR(INDEX(tProdutos[Foco],MATCH(tItens[[#This Row],[Produto]],tProdutos[Produto],0)),"Não")</f>
        <v>Não</v>
      </c>
      <c r="O6888" t="str">
        <f>IFERROR(INDEX(tEditais[SRP],MATCH(tItens[[#This Row],[Edital]],tEditais[Edital],0)),"Não")</f>
        <v>Sim</v>
      </c>
      <c r="P6888" s="4">
        <f>IF(COUNTIFS(INDEX(tItens[Edital],1):tItens[[#This Row],[Edital]],tItens[[#This Row],[Edital]],INDEX(tItens[Produto],1):tItens[[#This Row],[Produto]],tItens[[#This Row],[Produto]])=1,1,0)</f>
        <v>1</v>
      </c>
    </row>
    <row r="6889" spans="1:16" x14ac:dyDescent="0.25">
      <c r="A6889" t="s">
        <v>2443</v>
      </c>
      <c r="B6889">
        <v>168</v>
      </c>
      <c r="C6889" t="s">
        <v>9554</v>
      </c>
      <c r="D6889" t="s">
        <v>170</v>
      </c>
      <c r="E6889" s="13">
        <v>5</v>
      </c>
      <c r="F6889" s="12">
        <v>11.3</v>
      </c>
      <c r="G6889" t="str">
        <f>IFERROR(INDEX(tEditais[Órgão],MATCH(tItens[[#This Row],[Edital]],tEditais[Edital],0)),"")</f>
        <v>MUNICIPIO DE ESPIGAO D'OESTE</v>
      </c>
      <c r="H6889" t="str">
        <f>IFERROR(INDEX(tEditais[UF],MATCH(tItens[[#This Row],[Edital]],tEditais[Edital],0)),"")</f>
        <v>RO</v>
      </c>
      <c r="I6889" s="11">
        <f>IFERROR(INDEX(tEditais[Encerramento],MATCH(tItens[[#This Row],[Edital]],tEditais[Edital],0)),"")</f>
        <v>46309.354166666664</v>
      </c>
      <c r="J6889" t="str">
        <f>IFERROR(INDEX(tProdutos[Classe],MATCH(tItens[[#This Row],[Produto]],tProdutos[Produto],0)),"produto não cadastrado")</f>
        <v>DISPUTADO</v>
      </c>
      <c r="K6889" s="12">
        <f>tItens[[#This Row],[Qtd]]*tItens[[#This Row],[Vlr unit]]</f>
        <v>56.5</v>
      </c>
      <c r="L6889" s="6">
        <f>IFERROR(IF(INDEX(tProdutos[Desconto homologado],MATCH(tItens[[#This Row],[Produto]],tProdutos[Produto],0))="",DescontoPadrao,INDEX(tProdutos[Desconto homologado],MATCH(tItens[[#This Row],[Produto]],tProdutos[Produto],0))),DescontoPadrao)</f>
        <v>0.36</v>
      </c>
      <c r="M6889" s="12">
        <f>tItens[[#This Row],[Valor]]*(1-tItens[[#This Row],[Desconto]])</f>
        <v>36.160000000000004</v>
      </c>
      <c r="N6889" t="str">
        <f>IFERROR(INDEX(tProdutos[Foco],MATCH(tItens[[#This Row],[Produto]],tProdutos[Produto],0)),"Não")</f>
        <v>Sim</v>
      </c>
      <c r="O6889" t="str">
        <f>IFERROR(INDEX(tEditais[SRP],MATCH(tItens[[#This Row],[Edital]],tEditais[Edital],0)),"Não")</f>
        <v>Sim</v>
      </c>
      <c r="P6889" s="4">
        <f>IF(COUNTIFS(INDEX(tItens[Edital],1):tItens[[#This Row],[Edital]],tItens[[#This Row],[Edital]],INDEX(tItens[Produto],1):tItens[[#This Row],[Produto]],tItens[[#This Row],[Produto]])=1,1,0)</f>
        <v>1</v>
      </c>
    </row>
    <row r="6890" spans="1:16" x14ac:dyDescent="0.25">
      <c r="A6890" t="s">
        <v>2443</v>
      </c>
      <c r="B6890">
        <v>169</v>
      </c>
      <c r="C6890" t="s">
        <v>9555</v>
      </c>
      <c r="D6890" t="s">
        <v>170</v>
      </c>
      <c r="E6890" s="13">
        <v>5</v>
      </c>
      <c r="F6890" s="12">
        <v>27.85</v>
      </c>
      <c r="G6890" t="str">
        <f>IFERROR(INDEX(tEditais[Órgão],MATCH(tItens[[#This Row],[Edital]],tEditais[Edital],0)),"")</f>
        <v>MUNICIPIO DE ESPIGAO D'OESTE</v>
      </c>
      <c r="H6890" t="str">
        <f>IFERROR(INDEX(tEditais[UF],MATCH(tItens[[#This Row],[Edital]],tEditais[Edital],0)),"")</f>
        <v>RO</v>
      </c>
      <c r="I6890" s="11">
        <f>IFERROR(INDEX(tEditais[Encerramento],MATCH(tItens[[#This Row],[Edital]],tEditais[Edital],0)),"")</f>
        <v>46309.354166666664</v>
      </c>
      <c r="J6890" t="str">
        <f>IFERROR(INDEX(tProdutos[Classe],MATCH(tItens[[#This Row],[Produto]],tProdutos[Produto],0)),"produto não cadastrado")</f>
        <v>DISPUTADO</v>
      </c>
      <c r="K6890" s="12">
        <f>tItens[[#This Row],[Qtd]]*tItens[[#This Row],[Vlr unit]]</f>
        <v>139.25</v>
      </c>
      <c r="L6890" s="6">
        <f>IFERROR(IF(INDEX(tProdutos[Desconto homologado],MATCH(tItens[[#This Row],[Produto]],tProdutos[Produto],0))="",DescontoPadrao,INDEX(tProdutos[Desconto homologado],MATCH(tItens[[#This Row],[Produto]],tProdutos[Produto],0))),DescontoPadrao)</f>
        <v>0.36</v>
      </c>
      <c r="M6890" s="12">
        <f>tItens[[#This Row],[Valor]]*(1-tItens[[#This Row],[Desconto]])</f>
        <v>89.12</v>
      </c>
      <c r="N6890" t="str">
        <f>IFERROR(INDEX(tProdutos[Foco],MATCH(tItens[[#This Row],[Produto]],tProdutos[Produto],0)),"Não")</f>
        <v>Sim</v>
      </c>
      <c r="O6890" t="str">
        <f>IFERROR(INDEX(tEditais[SRP],MATCH(tItens[[#This Row],[Edital]],tEditais[Edital],0)),"Não")</f>
        <v>Sim</v>
      </c>
      <c r="P6890" s="4">
        <f>IF(COUNTIFS(INDEX(tItens[Edital],1):tItens[[#This Row],[Edital]],tItens[[#This Row],[Edital]],INDEX(tItens[Produto],1):tItens[[#This Row],[Produto]],tItens[[#This Row],[Produto]])=1,1,0)</f>
        <v>0</v>
      </c>
    </row>
    <row r="6891" spans="1:16" x14ac:dyDescent="0.25">
      <c r="A6891" t="s">
        <v>2443</v>
      </c>
      <c r="B6891">
        <v>170</v>
      </c>
      <c r="C6891" t="s">
        <v>9556</v>
      </c>
      <c r="D6891" t="s">
        <v>170</v>
      </c>
      <c r="E6891" s="13">
        <v>5</v>
      </c>
      <c r="F6891" s="12">
        <v>29.3</v>
      </c>
      <c r="G6891" t="str">
        <f>IFERROR(INDEX(tEditais[Órgão],MATCH(tItens[[#This Row],[Edital]],tEditais[Edital],0)),"")</f>
        <v>MUNICIPIO DE ESPIGAO D'OESTE</v>
      </c>
      <c r="H6891" t="str">
        <f>IFERROR(INDEX(tEditais[UF],MATCH(tItens[[#This Row],[Edital]],tEditais[Edital],0)),"")</f>
        <v>RO</v>
      </c>
      <c r="I6891" s="11">
        <f>IFERROR(INDEX(tEditais[Encerramento],MATCH(tItens[[#This Row],[Edital]],tEditais[Edital],0)),"")</f>
        <v>46309.354166666664</v>
      </c>
      <c r="J6891" t="str">
        <f>IFERROR(INDEX(tProdutos[Classe],MATCH(tItens[[#This Row],[Produto]],tProdutos[Produto],0)),"produto não cadastrado")</f>
        <v>DISPUTADO</v>
      </c>
      <c r="K6891" s="12">
        <f>tItens[[#This Row],[Qtd]]*tItens[[#This Row],[Vlr unit]]</f>
        <v>146.5</v>
      </c>
      <c r="L6891" s="6">
        <f>IFERROR(IF(INDEX(tProdutos[Desconto homologado],MATCH(tItens[[#This Row],[Produto]],tProdutos[Produto],0))="",DescontoPadrao,INDEX(tProdutos[Desconto homologado],MATCH(tItens[[#This Row],[Produto]],tProdutos[Produto],0))),DescontoPadrao)</f>
        <v>0.36</v>
      </c>
      <c r="M6891" s="12">
        <f>tItens[[#This Row],[Valor]]*(1-tItens[[#This Row],[Desconto]])</f>
        <v>93.76</v>
      </c>
      <c r="N6891" t="str">
        <f>IFERROR(INDEX(tProdutos[Foco],MATCH(tItens[[#This Row],[Produto]],tProdutos[Produto],0)),"Não")</f>
        <v>Sim</v>
      </c>
      <c r="O6891" t="str">
        <f>IFERROR(INDEX(tEditais[SRP],MATCH(tItens[[#This Row],[Edital]],tEditais[Edital],0)),"Não")</f>
        <v>Sim</v>
      </c>
      <c r="P6891" s="4">
        <f>IF(COUNTIFS(INDEX(tItens[Edital],1):tItens[[#This Row],[Edital]],tItens[[#This Row],[Edital]],INDEX(tItens[Produto],1):tItens[[#This Row],[Produto]],tItens[[#This Row],[Produto]])=1,1,0)</f>
        <v>0</v>
      </c>
    </row>
    <row r="6892" spans="1:16" x14ac:dyDescent="0.25">
      <c r="A6892" t="s">
        <v>2443</v>
      </c>
      <c r="B6892">
        <v>171</v>
      </c>
      <c r="C6892" t="s">
        <v>9557</v>
      </c>
      <c r="D6892" t="s">
        <v>170</v>
      </c>
      <c r="E6892" s="13">
        <v>5</v>
      </c>
      <c r="F6892" s="12">
        <v>29.41</v>
      </c>
      <c r="G6892" t="str">
        <f>IFERROR(INDEX(tEditais[Órgão],MATCH(tItens[[#This Row],[Edital]],tEditais[Edital],0)),"")</f>
        <v>MUNICIPIO DE ESPIGAO D'OESTE</v>
      </c>
      <c r="H6892" t="str">
        <f>IFERROR(INDEX(tEditais[UF],MATCH(tItens[[#This Row],[Edital]],tEditais[Edital],0)),"")</f>
        <v>RO</v>
      </c>
      <c r="I6892" s="11">
        <f>IFERROR(INDEX(tEditais[Encerramento],MATCH(tItens[[#This Row],[Edital]],tEditais[Edital],0)),"")</f>
        <v>46309.354166666664</v>
      </c>
      <c r="J6892" t="str">
        <f>IFERROR(INDEX(tProdutos[Classe],MATCH(tItens[[#This Row],[Produto]],tProdutos[Produto],0)),"produto não cadastrado")</f>
        <v>DISPUTADO</v>
      </c>
      <c r="K6892" s="12">
        <f>tItens[[#This Row],[Qtd]]*tItens[[#This Row],[Vlr unit]]</f>
        <v>147.05000000000001</v>
      </c>
      <c r="L6892" s="6">
        <f>IFERROR(IF(INDEX(tProdutos[Desconto homologado],MATCH(tItens[[#This Row],[Produto]],tProdutos[Produto],0))="",DescontoPadrao,INDEX(tProdutos[Desconto homologado],MATCH(tItens[[#This Row],[Produto]],tProdutos[Produto],0))),DescontoPadrao)</f>
        <v>0.36</v>
      </c>
      <c r="M6892" s="12">
        <f>tItens[[#This Row],[Valor]]*(1-tItens[[#This Row],[Desconto]])</f>
        <v>94.112000000000009</v>
      </c>
      <c r="N6892" t="str">
        <f>IFERROR(INDEX(tProdutos[Foco],MATCH(tItens[[#This Row],[Produto]],tProdutos[Produto],0)),"Não")</f>
        <v>Sim</v>
      </c>
      <c r="O6892" t="str">
        <f>IFERROR(INDEX(tEditais[SRP],MATCH(tItens[[#This Row],[Edital]],tEditais[Edital],0)),"Não")</f>
        <v>Sim</v>
      </c>
      <c r="P6892" s="4">
        <f>IF(COUNTIFS(INDEX(tItens[Edital],1):tItens[[#This Row],[Edital]],tItens[[#This Row],[Edital]],INDEX(tItens[Produto],1):tItens[[#This Row],[Produto]],tItens[[#This Row],[Produto]])=1,1,0)</f>
        <v>0</v>
      </c>
    </row>
    <row r="6893" spans="1:16" x14ac:dyDescent="0.25">
      <c r="A6893" t="s">
        <v>2443</v>
      </c>
      <c r="B6893">
        <v>172</v>
      </c>
      <c r="C6893" t="s">
        <v>9558</v>
      </c>
      <c r="D6893" t="s">
        <v>170</v>
      </c>
      <c r="E6893" s="13">
        <v>10</v>
      </c>
      <c r="F6893" s="12">
        <v>20.72</v>
      </c>
      <c r="G6893" t="str">
        <f>IFERROR(INDEX(tEditais[Órgão],MATCH(tItens[[#This Row],[Edital]],tEditais[Edital],0)),"")</f>
        <v>MUNICIPIO DE ESPIGAO D'OESTE</v>
      </c>
      <c r="H6893" t="str">
        <f>IFERROR(INDEX(tEditais[UF],MATCH(tItens[[#This Row],[Edital]],tEditais[Edital],0)),"")</f>
        <v>RO</v>
      </c>
      <c r="I6893" s="11">
        <f>IFERROR(INDEX(tEditais[Encerramento],MATCH(tItens[[#This Row],[Edital]],tEditais[Edital],0)),"")</f>
        <v>46309.354166666664</v>
      </c>
      <c r="J6893" t="str">
        <f>IFERROR(INDEX(tProdutos[Classe],MATCH(tItens[[#This Row],[Produto]],tProdutos[Produto],0)),"produto não cadastrado")</f>
        <v>DISPUTADO</v>
      </c>
      <c r="K6893" s="12">
        <f>tItens[[#This Row],[Qtd]]*tItens[[#This Row],[Vlr unit]]</f>
        <v>207.2</v>
      </c>
      <c r="L6893" s="6">
        <f>IFERROR(IF(INDEX(tProdutos[Desconto homologado],MATCH(tItens[[#This Row],[Produto]],tProdutos[Produto],0))="",DescontoPadrao,INDEX(tProdutos[Desconto homologado],MATCH(tItens[[#This Row],[Produto]],tProdutos[Produto],0))),DescontoPadrao)</f>
        <v>0.36</v>
      </c>
      <c r="M6893" s="12">
        <f>tItens[[#This Row],[Valor]]*(1-tItens[[#This Row],[Desconto]])</f>
        <v>132.608</v>
      </c>
      <c r="N6893" t="str">
        <f>IFERROR(INDEX(tProdutos[Foco],MATCH(tItens[[#This Row],[Produto]],tProdutos[Produto],0)),"Não")</f>
        <v>Sim</v>
      </c>
      <c r="O6893" t="str">
        <f>IFERROR(INDEX(tEditais[SRP],MATCH(tItens[[#This Row],[Edital]],tEditais[Edital],0)),"Não")</f>
        <v>Sim</v>
      </c>
      <c r="P6893" s="4">
        <f>IF(COUNTIFS(INDEX(tItens[Edital],1):tItens[[#This Row],[Edital]],tItens[[#This Row],[Edital]],INDEX(tItens[Produto],1):tItens[[#This Row],[Produto]],tItens[[#This Row],[Produto]])=1,1,0)</f>
        <v>0</v>
      </c>
    </row>
    <row r="6894" spans="1:16" x14ac:dyDescent="0.25">
      <c r="A6894" t="s">
        <v>2443</v>
      </c>
      <c r="B6894">
        <v>173</v>
      </c>
      <c r="C6894" t="s">
        <v>9559</v>
      </c>
      <c r="D6894" t="s">
        <v>170</v>
      </c>
      <c r="E6894" s="13">
        <v>10</v>
      </c>
      <c r="F6894" s="12">
        <v>12.27</v>
      </c>
      <c r="G6894" t="str">
        <f>IFERROR(INDEX(tEditais[Órgão],MATCH(tItens[[#This Row],[Edital]],tEditais[Edital],0)),"")</f>
        <v>MUNICIPIO DE ESPIGAO D'OESTE</v>
      </c>
      <c r="H6894" t="str">
        <f>IFERROR(INDEX(tEditais[UF],MATCH(tItens[[#This Row],[Edital]],tEditais[Edital],0)),"")</f>
        <v>RO</v>
      </c>
      <c r="I6894" s="11">
        <f>IFERROR(INDEX(tEditais[Encerramento],MATCH(tItens[[#This Row],[Edital]],tEditais[Edital],0)),"")</f>
        <v>46309.354166666664</v>
      </c>
      <c r="J6894" t="str">
        <f>IFERROR(INDEX(tProdutos[Classe],MATCH(tItens[[#This Row],[Produto]],tProdutos[Produto],0)),"produto não cadastrado")</f>
        <v>DISPUTADO</v>
      </c>
      <c r="K6894" s="12">
        <f>tItens[[#This Row],[Qtd]]*tItens[[#This Row],[Vlr unit]]</f>
        <v>122.69999999999999</v>
      </c>
      <c r="L6894" s="6">
        <f>IFERROR(IF(INDEX(tProdutos[Desconto homologado],MATCH(tItens[[#This Row],[Produto]],tProdutos[Produto],0))="",DescontoPadrao,INDEX(tProdutos[Desconto homologado],MATCH(tItens[[#This Row],[Produto]],tProdutos[Produto],0))),DescontoPadrao)</f>
        <v>0.36</v>
      </c>
      <c r="M6894" s="12">
        <f>tItens[[#This Row],[Valor]]*(1-tItens[[#This Row],[Desconto]])</f>
        <v>78.527999999999992</v>
      </c>
      <c r="N6894" t="str">
        <f>IFERROR(INDEX(tProdutos[Foco],MATCH(tItens[[#This Row],[Produto]],tProdutos[Produto],0)),"Não")</f>
        <v>Sim</v>
      </c>
      <c r="O6894" t="str">
        <f>IFERROR(INDEX(tEditais[SRP],MATCH(tItens[[#This Row],[Edital]],tEditais[Edital],0)),"Não")</f>
        <v>Sim</v>
      </c>
      <c r="P6894" s="4">
        <f>IF(COUNTIFS(INDEX(tItens[Edital],1):tItens[[#This Row],[Edital]],tItens[[#This Row],[Edital]],INDEX(tItens[Produto],1):tItens[[#This Row],[Produto]],tItens[[#This Row],[Produto]])=1,1,0)</f>
        <v>0</v>
      </c>
    </row>
    <row r="6895" spans="1:16" x14ac:dyDescent="0.25">
      <c r="A6895" t="s">
        <v>2443</v>
      </c>
      <c r="B6895">
        <v>174</v>
      </c>
      <c r="C6895" t="s">
        <v>9560</v>
      </c>
      <c r="D6895" t="s">
        <v>170</v>
      </c>
      <c r="E6895" s="13">
        <v>10</v>
      </c>
      <c r="F6895" s="12">
        <v>15.02</v>
      </c>
      <c r="G6895" t="str">
        <f>IFERROR(INDEX(tEditais[Órgão],MATCH(tItens[[#This Row],[Edital]],tEditais[Edital],0)),"")</f>
        <v>MUNICIPIO DE ESPIGAO D'OESTE</v>
      </c>
      <c r="H6895" t="str">
        <f>IFERROR(INDEX(tEditais[UF],MATCH(tItens[[#This Row],[Edital]],tEditais[Edital],0)),"")</f>
        <v>RO</v>
      </c>
      <c r="I6895" s="11">
        <f>IFERROR(INDEX(tEditais[Encerramento],MATCH(tItens[[#This Row],[Edital]],tEditais[Edital],0)),"")</f>
        <v>46309.354166666664</v>
      </c>
      <c r="J6895" t="str">
        <f>IFERROR(INDEX(tProdutos[Classe],MATCH(tItens[[#This Row],[Produto]],tProdutos[Produto],0)),"produto não cadastrado")</f>
        <v>DISPUTADO</v>
      </c>
      <c r="K6895" s="12">
        <f>tItens[[#This Row],[Qtd]]*tItens[[#This Row],[Vlr unit]]</f>
        <v>150.19999999999999</v>
      </c>
      <c r="L6895" s="6">
        <f>IFERROR(IF(INDEX(tProdutos[Desconto homologado],MATCH(tItens[[#This Row],[Produto]],tProdutos[Produto],0))="",DescontoPadrao,INDEX(tProdutos[Desconto homologado],MATCH(tItens[[#This Row],[Produto]],tProdutos[Produto],0))),DescontoPadrao)</f>
        <v>0.36</v>
      </c>
      <c r="M6895" s="12">
        <f>tItens[[#This Row],[Valor]]*(1-tItens[[#This Row],[Desconto]])</f>
        <v>96.128</v>
      </c>
      <c r="N6895" t="str">
        <f>IFERROR(INDEX(tProdutos[Foco],MATCH(tItens[[#This Row],[Produto]],tProdutos[Produto],0)),"Não")</f>
        <v>Sim</v>
      </c>
      <c r="O6895" t="str">
        <f>IFERROR(INDEX(tEditais[SRP],MATCH(tItens[[#This Row],[Edital]],tEditais[Edital],0)),"Não")</f>
        <v>Sim</v>
      </c>
      <c r="P6895" s="4">
        <f>IF(COUNTIFS(INDEX(tItens[Edital],1):tItens[[#This Row],[Edital]],tItens[[#This Row],[Edital]],INDEX(tItens[Produto],1):tItens[[#This Row],[Produto]],tItens[[#This Row],[Produto]])=1,1,0)</f>
        <v>0</v>
      </c>
    </row>
    <row r="6896" spans="1:16" x14ac:dyDescent="0.25">
      <c r="A6896" t="s">
        <v>2443</v>
      </c>
      <c r="B6896">
        <v>183</v>
      </c>
      <c r="C6896" t="s">
        <v>9561</v>
      </c>
      <c r="D6896" t="s">
        <v>494</v>
      </c>
      <c r="E6896" s="13">
        <v>300</v>
      </c>
      <c r="F6896" s="12">
        <v>42.93</v>
      </c>
      <c r="G6896" t="str">
        <f>IFERROR(INDEX(tEditais[Órgão],MATCH(tItens[[#This Row],[Edital]],tEditais[Edital],0)),"")</f>
        <v>MUNICIPIO DE ESPIGAO D'OESTE</v>
      </c>
      <c r="H6896" t="str">
        <f>IFERROR(INDEX(tEditais[UF],MATCH(tItens[[#This Row],[Edital]],tEditais[Edital],0)),"")</f>
        <v>RO</v>
      </c>
      <c r="I6896" s="11">
        <f>IFERROR(INDEX(tEditais[Encerramento],MATCH(tItens[[#This Row],[Edital]],tEditais[Edital],0)),"")</f>
        <v>46309.354166666664</v>
      </c>
      <c r="J6896" t="str">
        <f>IFERROR(INDEX(tProdutos[Classe],MATCH(tItens[[#This Row],[Produto]],tProdutos[Produto],0)),"produto não cadastrado")</f>
        <v>FILA REBASE</v>
      </c>
      <c r="K6896" s="12">
        <f>tItens[[#This Row],[Qtd]]*tItens[[#This Row],[Vlr unit]]</f>
        <v>12879</v>
      </c>
      <c r="L6896" s="6">
        <f>IFERROR(IF(INDEX(tProdutos[Desconto homologado],MATCH(tItens[[#This Row],[Produto]],tProdutos[Produto],0))="",DescontoPadrao,INDEX(tProdutos[Desconto homologado],MATCH(tItens[[#This Row],[Produto]],tProdutos[Produto],0))),DescontoPadrao)</f>
        <v>0.253736324829619</v>
      </c>
      <c r="M6896" s="12">
        <f>tItens[[#This Row],[Valor]]*(1-tItens[[#This Row],[Desconto]])</f>
        <v>9611.1298725193374</v>
      </c>
      <c r="N6896" t="str">
        <f>IFERROR(INDEX(tProdutos[Foco],MATCH(tItens[[#This Row],[Produto]],tProdutos[Produto],0)),"Não")</f>
        <v>Não</v>
      </c>
      <c r="O6896" t="str">
        <f>IFERROR(INDEX(tEditais[SRP],MATCH(tItens[[#This Row],[Edital]],tEditais[Edital],0)),"Não")</f>
        <v>Sim</v>
      </c>
      <c r="P6896" s="4">
        <f>IF(COUNTIFS(INDEX(tItens[Edital],1):tItens[[#This Row],[Edital]],tItens[[#This Row],[Edital]],INDEX(tItens[Produto],1):tItens[[#This Row],[Produto]],tItens[[#This Row],[Produto]])=1,1,0)</f>
        <v>1</v>
      </c>
    </row>
    <row r="6897" spans="1:16" x14ac:dyDescent="0.25">
      <c r="A6897" t="s">
        <v>2443</v>
      </c>
      <c r="B6897">
        <v>184</v>
      </c>
      <c r="C6897" t="s">
        <v>9562</v>
      </c>
      <c r="D6897" t="s">
        <v>494</v>
      </c>
      <c r="E6897" s="13">
        <v>200</v>
      </c>
      <c r="F6897" s="12">
        <v>74</v>
      </c>
      <c r="G6897" t="str">
        <f>IFERROR(INDEX(tEditais[Órgão],MATCH(tItens[[#This Row],[Edital]],tEditais[Edital],0)),"")</f>
        <v>MUNICIPIO DE ESPIGAO D'OESTE</v>
      </c>
      <c r="H6897" t="str">
        <f>IFERROR(INDEX(tEditais[UF],MATCH(tItens[[#This Row],[Edital]],tEditais[Edital],0)),"")</f>
        <v>RO</v>
      </c>
      <c r="I6897" s="11">
        <f>IFERROR(INDEX(tEditais[Encerramento],MATCH(tItens[[#This Row],[Edital]],tEditais[Edital],0)),"")</f>
        <v>46309.354166666664</v>
      </c>
      <c r="J6897" t="str">
        <f>IFERROR(INDEX(tProdutos[Classe],MATCH(tItens[[#This Row],[Produto]],tProdutos[Produto],0)),"produto não cadastrado")</f>
        <v>FILA REBASE</v>
      </c>
      <c r="K6897" s="12">
        <f>tItens[[#This Row],[Qtd]]*tItens[[#This Row],[Vlr unit]]</f>
        <v>14800</v>
      </c>
      <c r="L6897" s="6">
        <f>IFERROR(IF(INDEX(tProdutos[Desconto homologado],MATCH(tItens[[#This Row],[Produto]],tProdutos[Produto],0))="",DescontoPadrao,INDEX(tProdutos[Desconto homologado],MATCH(tItens[[#This Row],[Produto]],tProdutos[Produto],0))),DescontoPadrao)</f>
        <v>0.253736324829619</v>
      </c>
      <c r="M6897" s="12">
        <f>tItens[[#This Row],[Valor]]*(1-tItens[[#This Row],[Desconto]])</f>
        <v>11044.70239252164</v>
      </c>
      <c r="N6897" t="str">
        <f>IFERROR(INDEX(tProdutos[Foco],MATCH(tItens[[#This Row],[Produto]],tProdutos[Produto],0)),"Não")</f>
        <v>Não</v>
      </c>
      <c r="O6897" t="str">
        <f>IFERROR(INDEX(tEditais[SRP],MATCH(tItens[[#This Row],[Edital]],tEditais[Edital],0)),"Não")</f>
        <v>Sim</v>
      </c>
      <c r="P6897" s="4">
        <f>IF(COUNTIFS(INDEX(tItens[Edital],1):tItens[[#This Row],[Edital]],tItens[[#This Row],[Edital]],INDEX(tItens[Produto],1):tItens[[#This Row],[Produto]],tItens[[#This Row],[Produto]])=1,1,0)</f>
        <v>0</v>
      </c>
    </row>
    <row r="6898" spans="1:16" x14ac:dyDescent="0.25">
      <c r="A6898" t="s">
        <v>2443</v>
      </c>
      <c r="B6898">
        <v>196</v>
      </c>
      <c r="C6898" t="s">
        <v>9563</v>
      </c>
      <c r="D6898" t="s">
        <v>479</v>
      </c>
      <c r="E6898" s="13">
        <v>100</v>
      </c>
      <c r="F6898" s="12">
        <v>22</v>
      </c>
      <c r="G6898" t="str">
        <f>IFERROR(INDEX(tEditais[Órgão],MATCH(tItens[[#This Row],[Edital]],tEditais[Edital],0)),"")</f>
        <v>MUNICIPIO DE ESPIGAO D'OESTE</v>
      </c>
      <c r="H6898" t="str">
        <f>IFERROR(INDEX(tEditais[UF],MATCH(tItens[[#This Row],[Edital]],tEditais[Edital],0)),"")</f>
        <v>RO</v>
      </c>
      <c r="I6898" s="11">
        <f>IFERROR(INDEX(tEditais[Encerramento],MATCH(tItens[[#This Row],[Edital]],tEditais[Edital],0)),"")</f>
        <v>46309.354166666664</v>
      </c>
      <c r="J6898" t="str">
        <f>IFERROR(INDEX(tProdutos[Classe],MATCH(tItens[[#This Row],[Produto]],tProdutos[Produto],0)),"produto não cadastrado")</f>
        <v>FILA REBASE</v>
      </c>
      <c r="K6898" s="12">
        <f>tItens[[#This Row],[Qtd]]*tItens[[#This Row],[Vlr unit]]</f>
        <v>2200</v>
      </c>
      <c r="L6898" s="6">
        <f>IFERROR(IF(INDEX(tProdutos[Desconto homologado],MATCH(tItens[[#This Row],[Produto]],tProdutos[Produto],0))="",DescontoPadrao,INDEX(tProdutos[Desconto homologado],MATCH(tItens[[#This Row],[Produto]],tProdutos[Produto],0))),DescontoPadrao)</f>
        <v>0.41266209000762799</v>
      </c>
      <c r="M6898" s="12">
        <f>tItens[[#This Row],[Valor]]*(1-tItens[[#This Row],[Desconto]])</f>
        <v>1292.1434019832184</v>
      </c>
      <c r="N6898" t="str">
        <f>IFERROR(INDEX(tProdutos[Foco],MATCH(tItens[[#This Row],[Produto]],tProdutos[Produto],0)),"Não")</f>
        <v>Não</v>
      </c>
      <c r="O6898" t="str">
        <f>IFERROR(INDEX(tEditais[SRP],MATCH(tItens[[#This Row],[Edital]],tEditais[Edital],0)),"Não")</f>
        <v>Sim</v>
      </c>
      <c r="P6898" s="4">
        <f>IF(COUNTIFS(INDEX(tItens[Edital],1):tItens[[#This Row],[Edital]],tItens[[#This Row],[Edital]],INDEX(tItens[Produto],1):tItens[[#This Row],[Produto]],tItens[[#This Row],[Produto]])=1,1,0)</f>
        <v>1</v>
      </c>
    </row>
    <row r="6899" spans="1:16" x14ac:dyDescent="0.25">
      <c r="A6899" t="s">
        <v>2443</v>
      </c>
      <c r="B6899">
        <v>208</v>
      </c>
      <c r="C6899" t="s">
        <v>9564</v>
      </c>
      <c r="D6899" t="s">
        <v>682</v>
      </c>
      <c r="E6899" s="13">
        <v>30</v>
      </c>
      <c r="F6899" s="12">
        <v>298.73</v>
      </c>
      <c r="G6899" t="str">
        <f>IFERROR(INDEX(tEditais[Órgão],MATCH(tItens[[#This Row],[Edital]],tEditais[Edital],0)),"")</f>
        <v>MUNICIPIO DE ESPIGAO D'OESTE</v>
      </c>
      <c r="H6899" t="str">
        <f>IFERROR(INDEX(tEditais[UF],MATCH(tItens[[#This Row],[Edital]],tEditais[Edital],0)),"")</f>
        <v>RO</v>
      </c>
      <c r="I6899" s="11">
        <f>IFERROR(INDEX(tEditais[Encerramento],MATCH(tItens[[#This Row],[Edital]],tEditais[Edital],0)),"")</f>
        <v>46309.354166666664</v>
      </c>
      <c r="J6899" t="str">
        <f>IFERROR(INDEX(tProdutos[Classe],MATCH(tItens[[#This Row],[Produto]],tProdutos[Produto],0)),"produto não cadastrado")</f>
        <v>FILA REBASE</v>
      </c>
      <c r="K6899" s="12">
        <f>tItens[[#This Row],[Qtd]]*tItens[[#This Row],[Vlr unit]]</f>
        <v>8961.9000000000015</v>
      </c>
      <c r="L6899" s="6">
        <f>IFERROR(IF(INDEX(tProdutos[Desconto homologado],MATCH(tItens[[#This Row],[Produto]],tProdutos[Produto],0))="",DescontoPadrao,INDEX(tProdutos[Desconto homologado],MATCH(tItens[[#This Row],[Produto]],tProdutos[Produto],0))),DescontoPadrao)</f>
        <v>0.3</v>
      </c>
      <c r="M6899" s="12">
        <f>tItens[[#This Row],[Valor]]*(1-tItens[[#This Row],[Desconto]])</f>
        <v>6273.3300000000008</v>
      </c>
      <c r="N6899" t="str">
        <f>IFERROR(INDEX(tProdutos[Foco],MATCH(tItens[[#This Row],[Produto]],tProdutos[Produto],0)),"Não")</f>
        <v>Não</v>
      </c>
      <c r="O6899" t="str">
        <f>IFERROR(INDEX(tEditais[SRP],MATCH(tItens[[#This Row],[Edital]],tEditais[Edital],0)),"Não")</f>
        <v>Sim</v>
      </c>
      <c r="P6899" s="4">
        <f>IF(COUNTIFS(INDEX(tItens[Edital],1):tItens[[#This Row],[Edital]],tItens[[#This Row],[Edital]],INDEX(tItens[Produto],1):tItens[[#This Row],[Produto]],tItens[[#This Row],[Produto]])=1,1,0)</f>
        <v>1</v>
      </c>
    </row>
    <row r="6900" spans="1:16" x14ac:dyDescent="0.25">
      <c r="A6900" t="s">
        <v>2443</v>
      </c>
      <c r="B6900">
        <v>209</v>
      </c>
      <c r="C6900" t="s">
        <v>9565</v>
      </c>
      <c r="D6900" t="s">
        <v>682</v>
      </c>
      <c r="E6900" s="13">
        <v>100</v>
      </c>
      <c r="F6900" s="12">
        <v>182.72</v>
      </c>
      <c r="G6900" t="str">
        <f>IFERROR(INDEX(tEditais[Órgão],MATCH(tItens[[#This Row],[Edital]],tEditais[Edital],0)),"")</f>
        <v>MUNICIPIO DE ESPIGAO D'OESTE</v>
      </c>
      <c r="H6900" t="str">
        <f>IFERROR(INDEX(tEditais[UF],MATCH(tItens[[#This Row],[Edital]],tEditais[Edital],0)),"")</f>
        <v>RO</v>
      </c>
      <c r="I6900" s="11">
        <f>IFERROR(INDEX(tEditais[Encerramento],MATCH(tItens[[#This Row],[Edital]],tEditais[Edital],0)),"")</f>
        <v>46309.354166666664</v>
      </c>
      <c r="J6900" t="str">
        <f>IFERROR(INDEX(tProdutos[Classe],MATCH(tItens[[#This Row],[Produto]],tProdutos[Produto],0)),"produto não cadastrado")</f>
        <v>FILA REBASE</v>
      </c>
      <c r="K6900" s="12">
        <f>tItens[[#This Row],[Qtd]]*tItens[[#This Row],[Vlr unit]]</f>
        <v>18272</v>
      </c>
      <c r="L6900" s="6">
        <f>IFERROR(IF(INDEX(tProdutos[Desconto homologado],MATCH(tItens[[#This Row],[Produto]],tProdutos[Produto],0))="",DescontoPadrao,INDEX(tProdutos[Desconto homologado],MATCH(tItens[[#This Row],[Produto]],tProdutos[Produto],0))),DescontoPadrao)</f>
        <v>0.3</v>
      </c>
      <c r="M6900" s="12">
        <f>tItens[[#This Row],[Valor]]*(1-tItens[[#This Row],[Desconto]])</f>
        <v>12790.4</v>
      </c>
      <c r="N6900" t="str">
        <f>IFERROR(INDEX(tProdutos[Foco],MATCH(tItens[[#This Row],[Produto]],tProdutos[Produto],0)),"Não")</f>
        <v>Não</v>
      </c>
      <c r="O6900" t="str">
        <f>IFERROR(INDEX(tEditais[SRP],MATCH(tItens[[#This Row],[Edital]],tEditais[Edital],0)),"Não")</f>
        <v>Sim</v>
      </c>
      <c r="P6900" s="4">
        <f>IF(COUNTIFS(INDEX(tItens[Edital],1):tItens[[#This Row],[Edital]],tItens[[#This Row],[Edital]],INDEX(tItens[Produto],1):tItens[[#This Row],[Produto]],tItens[[#This Row],[Produto]])=1,1,0)</f>
        <v>0</v>
      </c>
    </row>
    <row r="6901" spans="1:16" x14ac:dyDescent="0.25">
      <c r="A6901" t="s">
        <v>2443</v>
      </c>
      <c r="B6901">
        <v>211</v>
      </c>
      <c r="C6901" t="s">
        <v>9566</v>
      </c>
      <c r="D6901" t="s">
        <v>289</v>
      </c>
      <c r="E6901" s="13">
        <v>10000</v>
      </c>
      <c r="F6901" s="12">
        <v>0.8</v>
      </c>
      <c r="G6901" t="str">
        <f>IFERROR(INDEX(tEditais[Órgão],MATCH(tItens[[#This Row],[Edital]],tEditais[Edital],0)),"")</f>
        <v>MUNICIPIO DE ESPIGAO D'OESTE</v>
      </c>
      <c r="H6901" t="str">
        <f>IFERROR(INDEX(tEditais[UF],MATCH(tItens[[#This Row],[Edital]],tEditais[Edital],0)),"")</f>
        <v>RO</v>
      </c>
      <c r="I6901" s="11">
        <f>IFERROR(INDEX(tEditais[Encerramento],MATCH(tItens[[#This Row],[Edital]],tEditais[Edital],0)),"")</f>
        <v>46309.354166666664</v>
      </c>
      <c r="J6901" t="str">
        <f>IFERROR(INDEX(tProdutos[Classe],MATCH(tItens[[#This Row],[Produto]],tProdutos[Produto],0)),"produto não cadastrado")</f>
        <v>DISPUTADO</v>
      </c>
      <c r="K6901" s="12">
        <f>tItens[[#This Row],[Qtd]]*tItens[[#This Row],[Vlr unit]]</f>
        <v>8000</v>
      </c>
      <c r="L6901" s="6">
        <f>IFERROR(IF(INDEX(tProdutos[Desconto homologado],MATCH(tItens[[#This Row],[Produto]],tProdutos[Produto],0))="",DescontoPadrao,INDEX(tProdutos[Desconto homologado],MATCH(tItens[[#This Row],[Produto]],tProdutos[Produto],0))),DescontoPadrao)</f>
        <v>0.35849056603773599</v>
      </c>
      <c r="M6901" s="12">
        <f>tItens[[#This Row],[Valor]]*(1-tItens[[#This Row],[Desconto]])</f>
        <v>5132.0754716981119</v>
      </c>
      <c r="N6901" t="str">
        <f>IFERROR(INDEX(tProdutos[Foco],MATCH(tItens[[#This Row],[Produto]],tProdutos[Produto],0)),"Não")</f>
        <v>Não</v>
      </c>
      <c r="O6901" t="str">
        <f>IFERROR(INDEX(tEditais[SRP],MATCH(tItens[[#This Row],[Edital]],tEditais[Edital],0)),"Não")</f>
        <v>Sim</v>
      </c>
      <c r="P6901" s="4">
        <f>IF(COUNTIFS(INDEX(tItens[Edital],1):tItens[[#This Row],[Edital]],tItens[[#This Row],[Edital]],INDEX(tItens[Produto],1):tItens[[#This Row],[Produto]],tItens[[#This Row],[Produto]])=1,1,0)</f>
        <v>1</v>
      </c>
    </row>
    <row r="6902" spans="1:16" x14ac:dyDescent="0.25">
      <c r="A6902" t="s">
        <v>2443</v>
      </c>
      <c r="B6902">
        <v>212</v>
      </c>
      <c r="C6902" t="s">
        <v>9567</v>
      </c>
      <c r="D6902" t="s">
        <v>281</v>
      </c>
      <c r="E6902" s="13">
        <v>100000</v>
      </c>
      <c r="F6902" s="12">
        <v>0.33</v>
      </c>
      <c r="G6902" t="str">
        <f>IFERROR(INDEX(tEditais[Órgão],MATCH(tItens[[#This Row],[Edital]],tEditais[Edital],0)),"")</f>
        <v>MUNICIPIO DE ESPIGAO D'OESTE</v>
      </c>
      <c r="H6902" t="str">
        <f>IFERROR(INDEX(tEditais[UF],MATCH(tItens[[#This Row],[Edital]],tEditais[Edital],0)),"")</f>
        <v>RO</v>
      </c>
      <c r="I6902" s="11">
        <f>IFERROR(INDEX(tEditais[Encerramento],MATCH(tItens[[#This Row],[Edital]],tEditais[Edital],0)),"")</f>
        <v>46309.354166666664</v>
      </c>
      <c r="J6902" t="str">
        <f>IFERROR(INDEX(tProdutos[Classe],MATCH(tItens[[#This Row],[Produto]],tProdutos[Produto],0)),"produto não cadastrado")</f>
        <v>DISPUTADO</v>
      </c>
      <c r="K6902" s="12">
        <f>tItens[[#This Row],[Qtd]]*tItens[[#This Row],[Vlr unit]]</f>
        <v>33000</v>
      </c>
      <c r="L6902" s="6">
        <f>IFERROR(IF(INDEX(tProdutos[Desconto homologado],MATCH(tItens[[#This Row],[Produto]],tProdutos[Produto],0))="",DescontoPadrao,INDEX(tProdutos[Desconto homologado],MATCH(tItens[[#This Row],[Produto]],tProdutos[Produto],0))),DescontoPadrao)</f>
        <v>0.42461538461538501</v>
      </c>
      <c r="M6902" s="12">
        <f>tItens[[#This Row],[Valor]]*(1-tItens[[#This Row],[Desconto]])</f>
        <v>18987.692307692294</v>
      </c>
      <c r="N6902" t="str">
        <f>IFERROR(INDEX(tProdutos[Foco],MATCH(tItens[[#This Row],[Produto]],tProdutos[Produto],0)),"Não")</f>
        <v>Não</v>
      </c>
      <c r="O6902" t="str">
        <f>IFERROR(INDEX(tEditais[SRP],MATCH(tItens[[#This Row],[Edital]],tEditais[Edital],0)),"Não")</f>
        <v>Sim</v>
      </c>
      <c r="P6902" s="4">
        <f>IF(COUNTIFS(INDEX(tItens[Edital],1):tItens[[#This Row],[Edital]],tItens[[#This Row],[Edital]],INDEX(tItens[Produto],1):tItens[[#This Row],[Produto]],tItens[[#This Row],[Produto]])=1,1,0)</f>
        <v>1</v>
      </c>
    </row>
    <row r="6903" spans="1:16" x14ac:dyDescent="0.25">
      <c r="A6903" t="s">
        <v>2443</v>
      </c>
      <c r="B6903">
        <v>229</v>
      </c>
      <c r="C6903" t="s">
        <v>9568</v>
      </c>
      <c r="D6903" t="s">
        <v>110</v>
      </c>
      <c r="E6903" s="13">
        <v>300</v>
      </c>
      <c r="F6903" s="12">
        <v>9.74</v>
      </c>
      <c r="G6903" t="str">
        <f>IFERROR(INDEX(tEditais[Órgão],MATCH(tItens[[#This Row],[Edital]],tEditais[Edital],0)),"")</f>
        <v>MUNICIPIO DE ESPIGAO D'OESTE</v>
      </c>
      <c r="H6903" t="str">
        <f>IFERROR(INDEX(tEditais[UF],MATCH(tItens[[#This Row],[Edital]],tEditais[Edital],0)),"")</f>
        <v>RO</v>
      </c>
      <c r="I6903" s="11">
        <f>IFERROR(INDEX(tEditais[Encerramento],MATCH(tItens[[#This Row],[Edital]],tEditais[Edital],0)),"")</f>
        <v>46309.354166666664</v>
      </c>
      <c r="J6903" t="str">
        <f>IFERROR(INDEX(tProdutos[Classe],MATCH(tItens[[#This Row],[Produto]],tProdutos[Produto],0)),"produto não cadastrado")</f>
        <v>NÚCLEO</v>
      </c>
      <c r="K6903" s="12">
        <f>tItens[[#This Row],[Qtd]]*tItens[[#This Row],[Vlr unit]]</f>
        <v>2922</v>
      </c>
      <c r="L6903" s="6">
        <f>IFERROR(IF(INDEX(tProdutos[Desconto homologado],MATCH(tItens[[#This Row],[Produto]],tProdutos[Produto],0))="",DescontoPadrao,INDEX(tProdutos[Desconto homologado],MATCH(tItens[[#This Row],[Produto]],tProdutos[Produto],0))),DescontoPadrao)</f>
        <v>0.30410958904109597</v>
      </c>
      <c r="M6903" s="12">
        <f>tItens[[#This Row],[Valor]]*(1-tItens[[#This Row],[Desconto]])</f>
        <v>2033.3917808219176</v>
      </c>
      <c r="N6903" t="str">
        <f>IFERROR(INDEX(tProdutos[Foco],MATCH(tItens[[#This Row],[Produto]],tProdutos[Produto],0)),"Não")</f>
        <v>Não</v>
      </c>
      <c r="O6903" t="str">
        <f>IFERROR(INDEX(tEditais[SRP],MATCH(tItens[[#This Row],[Edital]],tEditais[Edital],0)),"Não")</f>
        <v>Sim</v>
      </c>
      <c r="P6903" s="4">
        <f>IF(COUNTIFS(INDEX(tItens[Edital],1):tItens[[#This Row],[Edital]],tItens[[#This Row],[Edital]],INDEX(tItens[Produto],1):tItens[[#This Row],[Produto]],tItens[[#This Row],[Produto]])=1,1,0)</f>
        <v>1</v>
      </c>
    </row>
    <row r="6904" spans="1:16" x14ac:dyDescent="0.25">
      <c r="A6904" t="s">
        <v>2443</v>
      </c>
      <c r="B6904">
        <v>230</v>
      </c>
      <c r="C6904" t="s">
        <v>9569</v>
      </c>
      <c r="D6904" t="s">
        <v>110</v>
      </c>
      <c r="E6904" s="13">
        <v>50</v>
      </c>
      <c r="F6904" s="12">
        <v>7.55</v>
      </c>
      <c r="G6904" t="str">
        <f>IFERROR(INDEX(tEditais[Órgão],MATCH(tItens[[#This Row],[Edital]],tEditais[Edital],0)),"")</f>
        <v>MUNICIPIO DE ESPIGAO D'OESTE</v>
      </c>
      <c r="H6904" t="str">
        <f>IFERROR(INDEX(tEditais[UF],MATCH(tItens[[#This Row],[Edital]],tEditais[Edital],0)),"")</f>
        <v>RO</v>
      </c>
      <c r="I6904" s="11">
        <f>IFERROR(INDEX(tEditais[Encerramento],MATCH(tItens[[#This Row],[Edital]],tEditais[Edital],0)),"")</f>
        <v>46309.354166666664</v>
      </c>
      <c r="J6904" t="str">
        <f>IFERROR(INDEX(tProdutos[Classe],MATCH(tItens[[#This Row],[Produto]],tProdutos[Produto],0)),"produto não cadastrado")</f>
        <v>NÚCLEO</v>
      </c>
      <c r="K6904" s="12">
        <f>tItens[[#This Row],[Qtd]]*tItens[[#This Row],[Vlr unit]]</f>
        <v>377.5</v>
      </c>
      <c r="L6904" s="6">
        <f>IFERROR(IF(INDEX(tProdutos[Desconto homologado],MATCH(tItens[[#This Row],[Produto]],tProdutos[Produto],0))="",DescontoPadrao,INDEX(tProdutos[Desconto homologado],MATCH(tItens[[#This Row],[Produto]],tProdutos[Produto],0))),DescontoPadrao)</f>
        <v>0.30410958904109597</v>
      </c>
      <c r="M6904" s="12">
        <f>tItens[[#This Row],[Valor]]*(1-tItens[[#This Row],[Desconto]])</f>
        <v>262.69863013698625</v>
      </c>
      <c r="N6904" t="str">
        <f>IFERROR(INDEX(tProdutos[Foco],MATCH(tItens[[#This Row],[Produto]],tProdutos[Produto],0)),"Não")</f>
        <v>Não</v>
      </c>
      <c r="O6904" t="str">
        <f>IFERROR(INDEX(tEditais[SRP],MATCH(tItens[[#This Row],[Edital]],tEditais[Edital],0)),"Não")</f>
        <v>Sim</v>
      </c>
      <c r="P6904" s="4">
        <f>IF(COUNTIFS(INDEX(tItens[Edital],1):tItens[[#This Row],[Edital]],tItens[[#This Row],[Edital]],INDEX(tItens[Produto],1):tItens[[#This Row],[Produto]],tItens[[#This Row],[Produto]])=1,1,0)</f>
        <v>0</v>
      </c>
    </row>
    <row r="6905" spans="1:16" x14ac:dyDescent="0.25">
      <c r="A6905" t="s">
        <v>2443</v>
      </c>
      <c r="B6905">
        <v>231</v>
      </c>
      <c r="C6905" t="s">
        <v>9570</v>
      </c>
      <c r="D6905" t="s">
        <v>110</v>
      </c>
      <c r="E6905" s="13">
        <v>50</v>
      </c>
      <c r="F6905" s="12">
        <v>8.1999999999999993</v>
      </c>
      <c r="G6905" t="str">
        <f>IFERROR(INDEX(tEditais[Órgão],MATCH(tItens[[#This Row],[Edital]],tEditais[Edital],0)),"")</f>
        <v>MUNICIPIO DE ESPIGAO D'OESTE</v>
      </c>
      <c r="H6905" t="str">
        <f>IFERROR(INDEX(tEditais[UF],MATCH(tItens[[#This Row],[Edital]],tEditais[Edital],0)),"")</f>
        <v>RO</v>
      </c>
      <c r="I6905" s="11">
        <f>IFERROR(INDEX(tEditais[Encerramento],MATCH(tItens[[#This Row],[Edital]],tEditais[Edital],0)),"")</f>
        <v>46309.354166666664</v>
      </c>
      <c r="J6905" t="str">
        <f>IFERROR(INDEX(tProdutos[Classe],MATCH(tItens[[#This Row],[Produto]],tProdutos[Produto],0)),"produto não cadastrado")</f>
        <v>NÚCLEO</v>
      </c>
      <c r="K6905" s="12">
        <f>tItens[[#This Row],[Qtd]]*tItens[[#This Row],[Vlr unit]]</f>
        <v>409.99999999999994</v>
      </c>
      <c r="L6905" s="6">
        <f>IFERROR(IF(INDEX(tProdutos[Desconto homologado],MATCH(tItens[[#This Row],[Produto]],tProdutos[Produto],0))="",DescontoPadrao,INDEX(tProdutos[Desconto homologado],MATCH(tItens[[#This Row],[Produto]],tProdutos[Produto],0))),DescontoPadrao)</f>
        <v>0.30410958904109597</v>
      </c>
      <c r="M6905" s="12">
        <f>tItens[[#This Row],[Valor]]*(1-tItens[[#This Row],[Desconto]])</f>
        <v>285.31506849315059</v>
      </c>
      <c r="N6905" t="str">
        <f>IFERROR(INDEX(tProdutos[Foco],MATCH(tItens[[#This Row],[Produto]],tProdutos[Produto],0)),"Não")</f>
        <v>Não</v>
      </c>
      <c r="O6905" t="str">
        <f>IFERROR(INDEX(tEditais[SRP],MATCH(tItens[[#This Row],[Edital]],tEditais[Edital],0)),"Não")</f>
        <v>Sim</v>
      </c>
      <c r="P6905" s="4">
        <f>IF(COUNTIFS(INDEX(tItens[Edital],1):tItens[[#This Row],[Edital]],tItens[[#This Row],[Edital]],INDEX(tItens[Produto],1):tItens[[#This Row],[Produto]],tItens[[#This Row],[Produto]])=1,1,0)</f>
        <v>0</v>
      </c>
    </row>
    <row r="6906" spans="1:16" x14ac:dyDescent="0.25">
      <c r="A6906" t="s">
        <v>2443</v>
      </c>
      <c r="B6906">
        <v>232</v>
      </c>
      <c r="C6906" t="s">
        <v>9571</v>
      </c>
      <c r="D6906" t="s">
        <v>110</v>
      </c>
      <c r="E6906" s="13">
        <v>60</v>
      </c>
      <c r="F6906" s="12">
        <v>8.3000000000000007</v>
      </c>
      <c r="G6906" t="str">
        <f>IFERROR(INDEX(tEditais[Órgão],MATCH(tItens[[#This Row],[Edital]],tEditais[Edital],0)),"")</f>
        <v>MUNICIPIO DE ESPIGAO D'OESTE</v>
      </c>
      <c r="H6906" t="str">
        <f>IFERROR(INDEX(tEditais[UF],MATCH(tItens[[#This Row],[Edital]],tEditais[Edital],0)),"")</f>
        <v>RO</v>
      </c>
      <c r="I6906" s="11">
        <f>IFERROR(INDEX(tEditais[Encerramento],MATCH(tItens[[#This Row],[Edital]],tEditais[Edital],0)),"")</f>
        <v>46309.354166666664</v>
      </c>
      <c r="J6906" t="str">
        <f>IFERROR(INDEX(tProdutos[Classe],MATCH(tItens[[#This Row],[Produto]],tProdutos[Produto],0)),"produto não cadastrado")</f>
        <v>NÚCLEO</v>
      </c>
      <c r="K6906" s="12">
        <f>tItens[[#This Row],[Qtd]]*tItens[[#This Row],[Vlr unit]]</f>
        <v>498.00000000000006</v>
      </c>
      <c r="L6906" s="6">
        <f>IFERROR(IF(INDEX(tProdutos[Desconto homologado],MATCH(tItens[[#This Row],[Produto]],tProdutos[Produto],0))="",DescontoPadrao,INDEX(tProdutos[Desconto homologado],MATCH(tItens[[#This Row],[Produto]],tProdutos[Produto],0))),DescontoPadrao)</f>
        <v>0.30410958904109597</v>
      </c>
      <c r="M6906" s="12">
        <f>tItens[[#This Row],[Valor]]*(1-tItens[[#This Row],[Desconto]])</f>
        <v>346.55342465753426</v>
      </c>
      <c r="N6906" t="str">
        <f>IFERROR(INDEX(tProdutos[Foco],MATCH(tItens[[#This Row],[Produto]],tProdutos[Produto],0)),"Não")</f>
        <v>Não</v>
      </c>
      <c r="O6906" t="str">
        <f>IFERROR(INDEX(tEditais[SRP],MATCH(tItens[[#This Row],[Edital]],tEditais[Edital],0)),"Não")</f>
        <v>Sim</v>
      </c>
      <c r="P6906" s="4">
        <f>IF(COUNTIFS(INDEX(tItens[Edital],1):tItens[[#This Row],[Edital]],tItens[[#This Row],[Edital]],INDEX(tItens[Produto],1):tItens[[#This Row],[Produto]],tItens[[#This Row],[Produto]])=1,1,0)</f>
        <v>0</v>
      </c>
    </row>
    <row r="6907" spans="1:16" x14ac:dyDescent="0.25">
      <c r="A6907" t="s">
        <v>2443</v>
      </c>
      <c r="B6907">
        <v>233</v>
      </c>
      <c r="C6907" t="s">
        <v>9572</v>
      </c>
      <c r="D6907" t="s">
        <v>110</v>
      </c>
      <c r="E6907" s="13">
        <v>30</v>
      </c>
      <c r="F6907" s="12">
        <v>9.65</v>
      </c>
      <c r="G6907" t="str">
        <f>IFERROR(INDEX(tEditais[Órgão],MATCH(tItens[[#This Row],[Edital]],tEditais[Edital],0)),"")</f>
        <v>MUNICIPIO DE ESPIGAO D'OESTE</v>
      </c>
      <c r="H6907" t="str">
        <f>IFERROR(INDEX(tEditais[UF],MATCH(tItens[[#This Row],[Edital]],tEditais[Edital],0)),"")</f>
        <v>RO</v>
      </c>
      <c r="I6907" s="11">
        <f>IFERROR(INDEX(tEditais[Encerramento],MATCH(tItens[[#This Row],[Edital]],tEditais[Edital],0)),"")</f>
        <v>46309.354166666664</v>
      </c>
      <c r="J6907" t="str">
        <f>IFERROR(INDEX(tProdutos[Classe],MATCH(tItens[[#This Row],[Produto]],tProdutos[Produto],0)),"produto não cadastrado")</f>
        <v>NÚCLEO</v>
      </c>
      <c r="K6907" s="12">
        <f>tItens[[#This Row],[Qtd]]*tItens[[#This Row],[Vlr unit]]</f>
        <v>289.5</v>
      </c>
      <c r="L6907" s="6">
        <f>IFERROR(IF(INDEX(tProdutos[Desconto homologado],MATCH(tItens[[#This Row],[Produto]],tProdutos[Produto],0))="",DescontoPadrao,INDEX(tProdutos[Desconto homologado],MATCH(tItens[[#This Row],[Produto]],tProdutos[Produto],0))),DescontoPadrao)</f>
        <v>0.30410958904109597</v>
      </c>
      <c r="M6907" s="12">
        <f>tItens[[#This Row],[Valor]]*(1-tItens[[#This Row],[Desconto]])</f>
        <v>201.46027397260272</v>
      </c>
      <c r="N6907" t="str">
        <f>IFERROR(INDEX(tProdutos[Foco],MATCH(tItens[[#This Row],[Produto]],tProdutos[Produto],0)),"Não")</f>
        <v>Não</v>
      </c>
      <c r="O6907" t="str">
        <f>IFERROR(INDEX(tEditais[SRP],MATCH(tItens[[#This Row],[Edital]],tEditais[Edital],0)),"Não")</f>
        <v>Sim</v>
      </c>
      <c r="P6907" s="4">
        <f>IF(COUNTIFS(INDEX(tItens[Edital],1):tItens[[#This Row],[Edital]],tItens[[#This Row],[Edital]],INDEX(tItens[Produto],1):tItens[[#This Row],[Produto]],tItens[[#This Row],[Produto]])=1,1,0)</f>
        <v>0</v>
      </c>
    </row>
    <row r="6908" spans="1:16" x14ac:dyDescent="0.25">
      <c r="A6908" t="s">
        <v>2443</v>
      </c>
      <c r="B6908">
        <v>234</v>
      </c>
      <c r="C6908" t="s">
        <v>9573</v>
      </c>
      <c r="D6908" t="s">
        <v>110</v>
      </c>
      <c r="E6908" s="13">
        <v>30</v>
      </c>
      <c r="F6908" s="12">
        <v>9.5500000000000007</v>
      </c>
      <c r="G6908" t="str">
        <f>IFERROR(INDEX(tEditais[Órgão],MATCH(tItens[[#This Row],[Edital]],tEditais[Edital],0)),"")</f>
        <v>MUNICIPIO DE ESPIGAO D'OESTE</v>
      </c>
      <c r="H6908" t="str">
        <f>IFERROR(INDEX(tEditais[UF],MATCH(tItens[[#This Row],[Edital]],tEditais[Edital],0)),"")</f>
        <v>RO</v>
      </c>
      <c r="I6908" s="11">
        <f>IFERROR(INDEX(tEditais[Encerramento],MATCH(tItens[[#This Row],[Edital]],tEditais[Edital],0)),"")</f>
        <v>46309.354166666664</v>
      </c>
      <c r="J6908" t="str">
        <f>IFERROR(INDEX(tProdutos[Classe],MATCH(tItens[[#This Row],[Produto]],tProdutos[Produto],0)),"produto não cadastrado")</f>
        <v>NÚCLEO</v>
      </c>
      <c r="K6908" s="12">
        <f>tItens[[#This Row],[Qtd]]*tItens[[#This Row],[Vlr unit]]</f>
        <v>286.5</v>
      </c>
      <c r="L6908" s="6">
        <f>IFERROR(IF(INDEX(tProdutos[Desconto homologado],MATCH(tItens[[#This Row],[Produto]],tProdutos[Produto],0))="",DescontoPadrao,INDEX(tProdutos[Desconto homologado],MATCH(tItens[[#This Row],[Produto]],tProdutos[Produto],0))),DescontoPadrao)</f>
        <v>0.30410958904109597</v>
      </c>
      <c r="M6908" s="12">
        <f>tItens[[#This Row],[Valor]]*(1-tItens[[#This Row],[Desconto]])</f>
        <v>199.37260273972601</v>
      </c>
      <c r="N6908" t="str">
        <f>IFERROR(INDEX(tProdutos[Foco],MATCH(tItens[[#This Row],[Produto]],tProdutos[Produto],0)),"Não")</f>
        <v>Não</v>
      </c>
      <c r="O6908" t="str">
        <f>IFERROR(INDEX(tEditais[SRP],MATCH(tItens[[#This Row],[Edital]],tEditais[Edital],0)),"Não")</f>
        <v>Sim</v>
      </c>
      <c r="P6908" s="4">
        <f>IF(COUNTIFS(INDEX(tItens[Edital],1):tItens[[#This Row],[Edital]],tItens[[#This Row],[Edital]],INDEX(tItens[Produto],1):tItens[[#This Row],[Produto]],tItens[[#This Row],[Produto]])=1,1,0)</f>
        <v>0</v>
      </c>
    </row>
    <row r="6909" spans="1:16" x14ac:dyDescent="0.25">
      <c r="A6909" t="s">
        <v>2443</v>
      </c>
      <c r="B6909">
        <v>235</v>
      </c>
      <c r="C6909" t="s">
        <v>9574</v>
      </c>
      <c r="D6909" t="s">
        <v>110</v>
      </c>
      <c r="E6909" s="13">
        <v>30</v>
      </c>
      <c r="F6909" s="12">
        <v>11.76</v>
      </c>
      <c r="G6909" t="str">
        <f>IFERROR(INDEX(tEditais[Órgão],MATCH(tItens[[#This Row],[Edital]],tEditais[Edital],0)),"")</f>
        <v>MUNICIPIO DE ESPIGAO D'OESTE</v>
      </c>
      <c r="H6909" t="str">
        <f>IFERROR(INDEX(tEditais[UF],MATCH(tItens[[#This Row],[Edital]],tEditais[Edital],0)),"")</f>
        <v>RO</v>
      </c>
      <c r="I6909" s="11">
        <f>IFERROR(INDEX(tEditais[Encerramento],MATCH(tItens[[#This Row],[Edital]],tEditais[Edital],0)),"")</f>
        <v>46309.354166666664</v>
      </c>
      <c r="J6909" t="str">
        <f>IFERROR(INDEX(tProdutos[Classe],MATCH(tItens[[#This Row],[Produto]],tProdutos[Produto],0)),"produto não cadastrado")</f>
        <v>NÚCLEO</v>
      </c>
      <c r="K6909" s="12">
        <f>tItens[[#This Row],[Qtd]]*tItens[[#This Row],[Vlr unit]]</f>
        <v>352.8</v>
      </c>
      <c r="L6909" s="6">
        <f>IFERROR(IF(INDEX(tProdutos[Desconto homologado],MATCH(tItens[[#This Row],[Produto]],tProdutos[Produto],0))="",DescontoPadrao,INDEX(tProdutos[Desconto homologado],MATCH(tItens[[#This Row],[Produto]],tProdutos[Produto],0))),DescontoPadrao)</f>
        <v>0.30410958904109597</v>
      </c>
      <c r="M6909" s="12">
        <f>tItens[[#This Row],[Valor]]*(1-tItens[[#This Row],[Desconto]])</f>
        <v>245.51013698630135</v>
      </c>
      <c r="N6909" t="str">
        <f>IFERROR(INDEX(tProdutos[Foco],MATCH(tItens[[#This Row],[Produto]],tProdutos[Produto],0)),"Não")</f>
        <v>Não</v>
      </c>
      <c r="O6909" t="str">
        <f>IFERROR(INDEX(tEditais[SRP],MATCH(tItens[[#This Row],[Edital]],tEditais[Edital],0)),"Não")</f>
        <v>Sim</v>
      </c>
      <c r="P6909" s="4">
        <f>IF(COUNTIFS(INDEX(tItens[Edital],1):tItens[[#This Row],[Edital]],tItens[[#This Row],[Edital]],INDEX(tItens[Produto],1):tItens[[#This Row],[Produto]],tItens[[#This Row],[Produto]])=1,1,0)</f>
        <v>0</v>
      </c>
    </row>
    <row r="6910" spans="1:16" x14ac:dyDescent="0.25">
      <c r="A6910" t="s">
        <v>2443</v>
      </c>
      <c r="B6910">
        <v>236</v>
      </c>
      <c r="C6910" t="s">
        <v>9575</v>
      </c>
      <c r="D6910" t="s">
        <v>110</v>
      </c>
      <c r="E6910" s="13">
        <v>30</v>
      </c>
      <c r="F6910" s="12">
        <v>14.08</v>
      </c>
      <c r="G6910" t="str">
        <f>IFERROR(INDEX(tEditais[Órgão],MATCH(tItens[[#This Row],[Edital]],tEditais[Edital],0)),"")</f>
        <v>MUNICIPIO DE ESPIGAO D'OESTE</v>
      </c>
      <c r="H6910" t="str">
        <f>IFERROR(INDEX(tEditais[UF],MATCH(tItens[[#This Row],[Edital]],tEditais[Edital],0)),"")</f>
        <v>RO</v>
      </c>
      <c r="I6910" s="11">
        <f>IFERROR(INDEX(tEditais[Encerramento],MATCH(tItens[[#This Row],[Edital]],tEditais[Edital],0)),"")</f>
        <v>46309.354166666664</v>
      </c>
      <c r="J6910" t="str">
        <f>IFERROR(INDEX(tProdutos[Classe],MATCH(tItens[[#This Row],[Produto]],tProdutos[Produto],0)),"produto não cadastrado")</f>
        <v>NÚCLEO</v>
      </c>
      <c r="K6910" s="12">
        <f>tItens[[#This Row],[Qtd]]*tItens[[#This Row],[Vlr unit]]</f>
        <v>422.4</v>
      </c>
      <c r="L6910" s="6">
        <f>IFERROR(IF(INDEX(tProdutos[Desconto homologado],MATCH(tItens[[#This Row],[Produto]],tProdutos[Produto],0))="",DescontoPadrao,INDEX(tProdutos[Desconto homologado],MATCH(tItens[[#This Row],[Produto]],tProdutos[Produto],0))),DescontoPadrao)</f>
        <v>0.30410958904109597</v>
      </c>
      <c r="M6910" s="12">
        <f>tItens[[#This Row],[Valor]]*(1-tItens[[#This Row],[Desconto]])</f>
        <v>293.94410958904103</v>
      </c>
      <c r="N6910" t="str">
        <f>IFERROR(INDEX(tProdutos[Foco],MATCH(tItens[[#This Row],[Produto]],tProdutos[Produto],0)),"Não")</f>
        <v>Não</v>
      </c>
      <c r="O6910" t="str">
        <f>IFERROR(INDEX(tEditais[SRP],MATCH(tItens[[#This Row],[Edital]],tEditais[Edital],0)),"Não")</f>
        <v>Sim</v>
      </c>
      <c r="P6910" s="4">
        <f>IF(COUNTIFS(INDEX(tItens[Edital],1):tItens[[#This Row],[Edital]],tItens[[#This Row],[Edital]],INDEX(tItens[Produto],1):tItens[[#This Row],[Produto]],tItens[[#This Row],[Produto]])=1,1,0)</f>
        <v>0</v>
      </c>
    </row>
    <row r="6911" spans="1:16" x14ac:dyDescent="0.25">
      <c r="A6911" t="s">
        <v>2443</v>
      </c>
      <c r="B6911">
        <v>237</v>
      </c>
      <c r="C6911" t="s">
        <v>9576</v>
      </c>
      <c r="D6911" t="s">
        <v>110</v>
      </c>
      <c r="E6911" s="13">
        <v>30</v>
      </c>
      <c r="F6911" s="12">
        <v>15.25</v>
      </c>
      <c r="G6911" t="str">
        <f>IFERROR(INDEX(tEditais[Órgão],MATCH(tItens[[#This Row],[Edital]],tEditais[Edital],0)),"")</f>
        <v>MUNICIPIO DE ESPIGAO D'OESTE</v>
      </c>
      <c r="H6911" t="str">
        <f>IFERROR(INDEX(tEditais[UF],MATCH(tItens[[#This Row],[Edital]],tEditais[Edital],0)),"")</f>
        <v>RO</v>
      </c>
      <c r="I6911" s="11">
        <f>IFERROR(INDEX(tEditais[Encerramento],MATCH(tItens[[#This Row],[Edital]],tEditais[Edital],0)),"")</f>
        <v>46309.354166666664</v>
      </c>
      <c r="J6911" t="str">
        <f>IFERROR(INDEX(tProdutos[Classe],MATCH(tItens[[#This Row],[Produto]],tProdutos[Produto],0)),"produto não cadastrado")</f>
        <v>NÚCLEO</v>
      </c>
      <c r="K6911" s="12">
        <f>tItens[[#This Row],[Qtd]]*tItens[[#This Row],[Vlr unit]]</f>
        <v>457.5</v>
      </c>
      <c r="L6911" s="6">
        <f>IFERROR(IF(INDEX(tProdutos[Desconto homologado],MATCH(tItens[[#This Row],[Produto]],tProdutos[Produto],0))="",DescontoPadrao,INDEX(tProdutos[Desconto homologado],MATCH(tItens[[#This Row],[Produto]],tProdutos[Produto],0))),DescontoPadrao)</f>
        <v>0.30410958904109597</v>
      </c>
      <c r="M6911" s="12">
        <f>tItens[[#This Row],[Valor]]*(1-tItens[[#This Row],[Desconto]])</f>
        <v>318.36986301369859</v>
      </c>
      <c r="N6911" t="str">
        <f>IFERROR(INDEX(tProdutos[Foco],MATCH(tItens[[#This Row],[Produto]],tProdutos[Produto],0)),"Não")</f>
        <v>Não</v>
      </c>
      <c r="O6911" t="str">
        <f>IFERROR(INDEX(tEditais[SRP],MATCH(tItens[[#This Row],[Edital]],tEditais[Edital],0)),"Não")</f>
        <v>Sim</v>
      </c>
      <c r="P6911" s="4">
        <f>IF(COUNTIFS(INDEX(tItens[Edital],1):tItens[[#This Row],[Edital]],tItens[[#This Row],[Edital]],INDEX(tItens[Produto],1):tItens[[#This Row],[Produto]],tItens[[#This Row],[Produto]])=1,1,0)</f>
        <v>0</v>
      </c>
    </row>
    <row r="6912" spans="1:16" x14ac:dyDescent="0.25">
      <c r="A6912" t="s">
        <v>2443</v>
      </c>
      <c r="B6912">
        <v>238</v>
      </c>
      <c r="C6912" t="s">
        <v>9577</v>
      </c>
      <c r="D6912" t="s">
        <v>110</v>
      </c>
      <c r="E6912" s="13">
        <v>200</v>
      </c>
      <c r="F6912" s="12">
        <v>16.37</v>
      </c>
      <c r="G6912" t="str">
        <f>IFERROR(INDEX(tEditais[Órgão],MATCH(tItens[[#This Row],[Edital]],tEditais[Edital],0)),"")</f>
        <v>MUNICIPIO DE ESPIGAO D'OESTE</v>
      </c>
      <c r="H6912" t="str">
        <f>IFERROR(INDEX(tEditais[UF],MATCH(tItens[[#This Row],[Edital]],tEditais[Edital],0)),"")</f>
        <v>RO</v>
      </c>
      <c r="I6912" s="11">
        <f>IFERROR(INDEX(tEditais[Encerramento],MATCH(tItens[[#This Row],[Edital]],tEditais[Edital],0)),"")</f>
        <v>46309.354166666664</v>
      </c>
      <c r="J6912" t="str">
        <f>IFERROR(INDEX(tProdutos[Classe],MATCH(tItens[[#This Row],[Produto]],tProdutos[Produto],0)),"produto não cadastrado")</f>
        <v>NÚCLEO</v>
      </c>
      <c r="K6912" s="12">
        <f>tItens[[#This Row],[Qtd]]*tItens[[#This Row],[Vlr unit]]</f>
        <v>3274</v>
      </c>
      <c r="L6912" s="6">
        <f>IFERROR(IF(INDEX(tProdutos[Desconto homologado],MATCH(tItens[[#This Row],[Produto]],tProdutos[Produto],0))="",DescontoPadrao,INDEX(tProdutos[Desconto homologado],MATCH(tItens[[#This Row],[Produto]],tProdutos[Produto],0))),DescontoPadrao)</f>
        <v>0.30410958904109597</v>
      </c>
      <c r="M6912" s="12">
        <f>tItens[[#This Row],[Valor]]*(1-tItens[[#This Row],[Desconto]])</f>
        <v>2278.3452054794516</v>
      </c>
      <c r="N6912" t="str">
        <f>IFERROR(INDEX(tProdutos[Foco],MATCH(tItens[[#This Row],[Produto]],tProdutos[Produto],0)),"Não")</f>
        <v>Não</v>
      </c>
      <c r="O6912" t="str">
        <f>IFERROR(INDEX(tEditais[SRP],MATCH(tItens[[#This Row],[Edital]],tEditais[Edital],0)),"Não")</f>
        <v>Sim</v>
      </c>
      <c r="P6912" s="4">
        <f>IF(COUNTIFS(INDEX(tItens[Edital],1):tItens[[#This Row],[Edital]],tItens[[#This Row],[Edital]],INDEX(tItens[Produto],1):tItens[[#This Row],[Produto]],tItens[[#This Row],[Produto]])=1,1,0)</f>
        <v>0</v>
      </c>
    </row>
    <row r="6913" spans="1:16" x14ac:dyDescent="0.25">
      <c r="A6913" t="s">
        <v>2443</v>
      </c>
      <c r="B6913">
        <v>239</v>
      </c>
      <c r="C6913" t="s">
        <v>9578</v>
      </c>
      <c r="D6913" t="s">
        <v>110</v>
      </c>
      <c r="E6913" s="13">
        <v>50</v>
      </c>
      <c r="F6913" s="12">
        <v>10.01</v>
      </c>
      <c r="G6913" t="str">
        <f>IFERROR(INDEX(tEditais[Órgão],MATCH(tItens[[#This Row],[Edital]],tEditais[Edital],0)),"")</f>
        <v>MUNICIPIO DE ESPIGAO D'OESTE</v>
      </c>
      <c r="H6913" t="str">
        <f>IFERROR(INDEX(tEditais[UF],MATCH(tItens[[#This Row],[Edital]],tEditais[Edital],0)),"")</f>
        <v>RO</v>
      </c>
      <c r="I6913" s="11">
        <f>IFERROR(INDEX(tEditais[Encerramento],MATCH(tItens[[#This Row],[Edital]],tEditais[Edital],0)),"")</f>
        <v>46309.354166666664</v>
      </c>
      <c r="J6913" t="str">
        <f>IFERROR(INDEX(tProdutos[Classe],MATCH(tItens[[#This Row],[Produto]],tProdutos[Produto],0)),"produto não cadastrado")</f>
        <v>NÚCLEO</v>
      </c>
      <c r="K6913" s="12">
        <f>tItens[[#This Row],[Qtd]]*tItens[[#This Row],[Vlr unit]]</f>
        <v>500.5</v>
      </c>
      <c r="L6913" s="6">
        <f>IFERROR(IF(INDEX(tProdutos[Desconto homologado],MATCH(tItens[[#This Row],[Produto]],tProdutos[Produto],0))="",DescontoPadrao,INDEX(tProdutos[Desconto homologado],MATCH(tItens[[#This Row],[Produto]],tProdutos[Produto],0))),DescontoPadrao)</f>
        <v>0.30410958904109597</v>
      </c>
      <c r="M6913" s="12">
        <f>tItens[[#This Row],[Valor]]*(1-tItens[[#This Row],[Desconto]])</f>
        <v>348.29315068493145</v>
      </c>
      <c r="N6913" t="str">
        <f>IFERROR(INDEX(tProdutos[Foco],MATCH(tItens[[#This Row],[Produto]],tProdutos[Produto],0)),"Não")</f>
        <v>Não</v>
      </c>
      <c r="O6913" t="str">
        <f>IFERROR(INDEX(tEditais[SRP],MATCH(tItens[[#This Row],[Edital]],tEditais[Edital],0)),"Não")</f>
        <v>Sim</v>
      </c>
      <c r="P6913" s="4">
        <f>IF(COUNTIFS(INDEX(tItens[Edital],1):tItens[[#This Row],[Edital]],tItens[[#This Row],[Edital]],INDEX(tItens[Produto],1):tItens[[#This Row],[Produto]],tItens[[#This Row],[Produto]])=1,1,0)</f>
        <v>0</v>
      </c>
    </row>
    <row r="6914" spans="1:16" x14ac:dyDescent="0.25">
      <c r="A6914" t="s">
        <v>2443</v>
      </c>
      <c r="B6914">
        <v>250</v>
      </c>
      <c r="C6914" t="s">
        <v>9579</v>
      </c>
      <c r="D6914" t="s">
        <v>120</v>
      </c>
      <c r="E6914" s="13">
        <v>100</v>
      </c>
      <c r="F6914" s="12">
        <v>0.57999999999999996</v>
      </c>
      <c r="G6914" t="str">
        <f>IFERROR(INDEX(tEditais[Órgão],MATCH(tItens[[#This Row],[Edital]],tEditais[Edital],0)),"")</f>
        <v>MUNICIPIO DE ESPIGAO D'OESTE</v>
      </c>
      <c r="H6914" t="str">
        <f>IFERROR(INDEX(tEditais[UF],MATCH(tItens[[#This Row],[Edital]],tEditais[Edital],0)),"")</f>
        <v>RO</v>
      </c>
      <c r="I6914" s="11">
        <f>IFERROR(INDEX(tEditais[Encerramento],MATCH(tItens[[#This Row],[Edital]],tEditais[Edital],0)),"")</f>
        <v>46309.354166666664</v>
      </c>
      <c r="J6914" t="str">
        <f>IFERROR(INDEX(tProdutos[Classe],MATCH(tItens[[#This Row],[Produto]],tProdutos[Produto],0)),"produto não cadastrado")</f>
        <v>DISPUTADO</v>
      </c>
      <c r="K6914" s="12">
        <f>tItens[[#This Row],[Qtd]]*tItens[[#This Row],[Vlr unit]]</f>
        <v>57.999999999999993</v>
      </c>
      <c r="L6914" s="6">
        <f>IFERROR(IF(INDEX(tProdutos[Desconto homologado],MATCH(tItens[[#This Row],[Produto]],tProdutos[Produto],0))="",DescontoPadrao,INDEX(tProdutos[Desconto homologado],MATCH(tItens[[#This Row],[Produto]],tProdutos[Produto],0))),DescontoPadrao)</f>
        <v>0.40909090909090901</v>
      </c>
      <c r="M6914" s="12">
        <f>tItens[[#This Row],[Valor]]*(1-tItens[[#This Row],[Desconto]])</f>
        <v>34.272727272727273</v>
      </c>
      <c r="N6914" t="str">
        <f>IFERROR(INDEX(tProdutos[Foco],MATCH(tItens[[#This Row],[Produto]],tProdutos[Produto],0)),"Não")</f>
        <v>Não</v>
      </c>
      <c r="O6914" t="str">
        <f>IFERROR(INDEX(tEditais[SRP],MATCH(tItens[[#This Row],[Edital]],tEditais[Edital],0)),"Não")</f>
        <v>Sim</v>
      </c>
      <c r="P6914" s="4">
        <f>IF(COUNTIFS(INDEX(tItens[Edital],1):tItens[[#This Row],[Edital]],tItens[[#This Row],[Edital]],INDEX(tItens[Produto],1):tItens[[#This Row],[Produto]],tItens[[#This Row],[Produto]])=1,1,0)</f>
        <v>1</v>
      </c>
    </row>
    <row r="6915" spans="1:16" x14ac:dyDescent="0.25">
      <c r="A6915" t="s">
        <v>2443</v>
      </c>
      <c r="B6915">
        <v>251</v>
      </c>
      <c r="C6915" t="s">
        <v>9580</v>
      </c>
      <c r="D6915" t="s">
        <v>120</v>
      </c>
      <c r="E6915" s="13">
        <v>10000</v>
      </c>
      <c r="F6915" s="12">
        <v>0.56000000000000005</v>
      </c>
      <c r="G6915" t="str">
        <f>IFERROR(INDEX(tEditais[Órgão],MATCH(tItens[[#This Row],[Edital]],tEditais[Edital],0)),"")</f>
        <v>MUNICIPIO DE ESPIGAO D'OESTE</v>
      </c>
      <c r="H6915" t="str">
        <f>IFERROR(INDEX(tEditais[UF],MATCH(tItens[[#This Row],[Edital]],tEditais[Edital],0)),"")</f>
        <v>RO</v>
      </c>
      <c r="I6915" s="11">
        <f>IFERROR(INDEX(tEditais[Encerramento],MATCH(tItens[[#This Row],[Edital]],tEditais[Edital],0)),"")</f>
        <v>46309.354166666664</v>
      </c>
      <c r="J6915" t="str">
        <f>IFERROR(INDEX(tProdutos[Classe],MATCH(tItens[[#This Row],[Produto]],tProdutos[Produto],0)),"produto não cadastrado")</f>
        <v>DISPUTADO</v>
      </c>
      <c r="K6915" s="12">
        <f>tItens[[#This Row],[Qtd]]*tItens[[#This Row],[Vlr unit]]</f>
        <v>5600.0000000000009</v>
      </c>
      <c r="L6915" s="6">
        <f>IFERROR(IF(INDEX(tProdutos[Desconto homologado],MATCH(tItens[[#This Row],[Produto]],tProdutos[Produto],0))="",DescontoPadrao,INDEX(tProdutos[Desconto homologado],MATCH(tItens[[#This Row],[Produto]],tProdutos[Produto],0))),DescontoPadrao)</f>
        <v>0.40909090909090901</v>
      </c>
      <c r="M6915" s="12">
        <f>tItens[[#This Row],[Valor]]*(1-tItens[[#This Row],[Desconto]])</f>
        <v>3309.0909090909104</v>
      </c>
      <c r="N6915" t="str">
        <f>IFERROR(INDEX(tProdutos[Foco],MATCH(tItens[[#This Row],[Produto]],tProdutos[Produto],0)),"Não")</f>
        <v>Não</v>
      </c>
      <c r="O6915" t="str">
        <f>IFERROR(INDEX(tEditais[SRP],MATCH(tItens[[#This Row],[Edital]],tEditais[Edital],0)),"Não")</f>
        <v>Sim</v>
      </c>
      <c r="P6915" s="4">
        <f>IF(COUNTIFS(INDEX(tItens[Edital],1):tItens[[#This Row],[Edital]],tItens[[#This Row],[Edital]],INDEX(tItens[Produto],1):tItens[[#This Row],[Produto]],tItens[[#This Row],[Produto]])=1,1,0)</f>
        <v>0</v>
      </c>
    </row>
    <row r="6916" spans="1:16" x14ac:dyDescent="0.25">
      <c r="A6916" t="s">
        <v>2443</v>
      </c>
      <c r="B6916">
        <v>252</v>
      </c>
      <c r="C6916" t="s">
        <v>4392</v>
      </c>
      <c r="D6916" t="s">
        <v>120</v>
      </c>
      <c r="E6916" s="13">
        <v>100</v>
      </c>
      <c r="F6916" s="12">
        <v>0.79</v>
      </c>
      <c r="G6916" t="str">
        <f>IFERROR(INDEX(tEditais[Órgão],MATCH(tItens[[#This Row],[Edital]],tEditais[Edital],0)),"")</f>
        <v>MUNICIPIO DE ESPIGAO D'OESTE</v>
      </c>
      <c r="H6916" t="str">
        <f>IFERROR(INDEX(tEditais[UF],MATCH(tItens[[#This Row],[Edital]],tEditais[Edital],0)),"")</f>
        <v>RO</v>
      </c>
      <c r="I6916" s="11">
        <f>IFERROR(INDEX(tEditais[Encerramento],MATCH(tItens[[#This Row],[Edital]],tEditais[Edital],0)),"")</f>
        <v>46309.354166666664</v>
      </c>
      <c r="J6916" t="str">
        <f>IFERROR(INDEX(tProdutos[Classe],MATCH(tItens[[#This Row],[Produto]],tProdutos[Produto],0)),"produto não cadastrado")</f>
        <v>DISPUTADO</v>
      </c>
      <c r="K6916" s="12">
        <f>tItens[[#This Row],[Qtd]]*tItens[[#This Row],[Vlr unit]]</f>
        <v>79</v>
      </c>
      <c r="L6916" s="6">
        <f>IFERROR(IF(INDEX(tProdutos[Desconto homologado],MATCH(tItens[[#This Row],[Produto]],tProdutos[Produto],0))="",DescontoPadrao,INDEX(tProdutos[Desconto homologado],MATCH(tItens[[#This Row],[Produto]],tProdutos[Produto],0))),DescontoPadrao)</f>
        <v>0.40909090909090901</v>
      </c>
      <c r="M6916" s="12">
        <f>tItens[[#This Row],[Valor]]*(1-tItens[[#This Row],[Desconto]])</f>
        <v>46.681818181818194</v>
      </c>
      <c r="N6916" t="str">
        <f>IFERROR(INDEX(tProdutos[Foco],MATCH(tItens[[#This Row],[Produto]],tProdutos[Produto],0)),"Não")</f>
        <v>Não</v>
      </c>
      <c r="O6916" t="str">
        <f>IFERROR(INDEX(tEditais[SRP],MATCH(tItens[[#This Row],[Edital]],tEditais[Edital],0)),"Não")</f>
        <v>Sim</v>
      </c>
      <c r="P6916" s="4">
        <f>IF(COUNTIFS(INDEX(tItens[Edital],1):tItens[[#This Row],[Edital]],tItens[[#This Row],[Edital]],INDEX(tItens[Produto],1):tItens[[#This Row],[Produto]],tItens[[#This Row],[Produto]])=1,1,0)</f>
        <v>0</v>
      </c>
    </row>
    <row r="6917" spans="1:16" x14ac:dyDescent="0.25">
      <c r="A6917" t="s">
        <v>2443</v>
      </c>
      <c r="B6917">
        <v>260</v>
      </c>
      <c r="C6917" t="s">
        <v>9581</v>
      </c>
      <c r="D6917" t="s">
        <v>126</v>
      </c>
      <c r="E6917" s="13">
        <v>500</v>
      </c>
      <c r="F6917" s="12">
        <v>9.33</v>
      </c>
      <c r="G6917" t="str">
        <f>IFERROR(INDEX(tEditais[Órgão],MATCH(tItens[[#This Row],[Edital]],tEditais[Edital],0)),"")</f>
        <v>MUNICIPIO DE ESPIGAO D'OESTE</v>
      </c>
      <c r="H6917" t="str">
        <f>IFERROR(INDEX(tEditais[UF],MATCH(tItens[[#This Row],[Edital]],tEditais[Edital],0)),"")</f>
        <v>RO</v>
      </c>
      <c r="I6917" s="11">
        <f>IFERROR(INDEX(tEditais[Encerramento],MATCH(tItens[[#This Row],[Edital]],tEditais[Edital],0)),"")</f>
        <v>46309.354166666664</v>
      </c>
      <c r="J6917" t="str">
        <f>IFERROR(INDEX(tProdutos[Classe],MATCH(tItens[[#This Row],[Produto]],tProdutos[Produto],0)),"produto não cadastrado")</f>
        <v>DISPUTADO</v>
      </c>
      <c r="K6917" s="12">
        <f>tItens[[#This Row],[Qtd]]*tItens[[#This Row],[Vlr unit]]</f>
        <v>4665</v>
      </c>
      <c r="L6917" s="6">
        <f>IFERROR(IF(INDEX(tProdutos[Desconto homologado],MATCH(tItens[[#This Row],[Produto]],tProdutos[Produto],0))="",DescontoPadrao,INDEX(tProdutos[Desconto homologado],MATCH(tItens[[#This Row],[Produto]],tProdutos[Produto],0))),DescontoPadrao)</f>
        <v>0.21</v>
      </c>
      <c r="M6917" s="12">
        <f>tItens[[#This Row],[Valor]]*(1-tItens[[#This Row],[Desconto]])</f>
        <v>3685.3500000000004</v>
      </c>
      <c r="N6917" t="str">
        <f>IFERROR(INDEX(tProdutos[Foco],MATCH(tItens[[#This Row],[Produto]],tProdutos[Produto],0)),"Não")</f>
        <v>Sim</v>
      </c>
      <c r="O6917" t="str">
        <f>IFERROR(INDEX(tEditais[SRP],MATCH(tItens[[#This Row],[Edital]],tEditais[Edital],0)),"Não")</f>
        <v>Sim</v>
      </c>
      <c r="P6917" s="4">
        <f>IF(COUNTIFS(INDEX(tItens[Edital],1):tItens[[#This Row],[Edital]],tItens[[#This Row],[Edital]],INDEX(tItens[Produto],1):tItens[[#This Row],[Produto]],tItens[[#This Row],[Produto]])=1,1,0)</f>
        <v>1</v>
      </c>
    </row>
    <row r="6918" spans="1:16" x14ac:dyDescent="0.25">
      <c r="A6918" t="s">
        <v>2448</v>
      </c>
      <c r="B6918">
        <v>11</v>
      </c>
      <c r="C6918" t="s">
        <v>9582</v>
      </c>
      <c r="D6918" t="s">
        <v>229</v>
      </c>
      <c r="E6918" s="13">
        <v>4000</v>
      </c>
      <c r="F6918" s="12">
        <v>11.03</v>
      </c>
      <c r="G6918" t="str">
        <f>IFERROR(INDEX(tEditais[Órgão],MATCH(tItens[[#This Row],[Edital]],tEditais[Edital],0)),"")</f>
        <v>MUNICIPIO DE ROLIM DE MOURA</v>
      </c>
      <c r="H6918" t="str">
        <f>IFERROR(INDEX(tEditais[UF],MATCH(tItens[[#This Row],[Edital]],tEditais[Edital],0)),"")</f>
        <v>RO</v>
      </c>
      <c r="I6918" s="11">
        <f>IFERROR(INDEX(tEditais[Encerramento],MATCH(tItens[[#This Row],[Edital]],tEditais[Edital],0)),"")</f>
        <v>46309.375</v>
      </c>
      <c r="J6918" t="str">
        <f>IFERROR(INDEX(tProdutos[Classe],MATCH(tItens[[#This Row],[Produto]],tProdutos[Produto],0)),"produto não cadastrado")</f>
        <v>FORA</v>
      </c>
      <c r="K6918" s="12">
        <f>tItens[[#This Row],[Qtd]]*tItens[[#This Row],[Vlr unit]]</f>
        <v>44120</v>
      </c>
      <c r="L6918" s="6">
        <f>IFERROR(IF(INDEX(tProdutos[Desconto homologado],MATCH(tItens[[#This Row],[Produto]],tProdutos[Produto],0))="",DescontoPadrao,INDEX(tProdutos[Desconto homologado],MATCH(tItens[[#This Row],[Produto]],tProdutos[Produto],0))),DescontoPadrao)</f>
        <v>0.33093491191658198</v>
      </c>
      <c r="M6918" s="12">
        <f>tItens[[#This Row],[Valor]]*(1-tItens[[#This Row],[Desconto]])</f>
        <v>29519.151686240402</v>
      </c>
      <c r="N6918" t="str">
        <f>IFERROR(INDEX(tProdutos[Foco],MATCH(tItens[[#This Row],[Produto]],tProdutos[Produto],0)),"Não")</f>
        <v>Não</v>
      </c>
      <c r="O6918" t="str">
        <f>IFERROR(INDEX(tEditais[SRP],MATCH(tItens[[#This Row],[Edital]],tEditais[Edital],0)),"Não")</f>
        <v>Não</v>
      </c>
      <c r="P6918" s="4">
        <f>IF(COUNTIFS(INDEX(tItens[Edital],1):tItens[[#This Row],[Edital]],tItens[[#This Row],[Edital]],INDEX(tItens[Produto],1):tItens[[#This Row],[Produto]],tItens[[#This Row],[Produto]])=1,1,0)</f>
        <v>1</v>
      </c>
    </row>
    <row r="6919" spans="1:16" x14ac:dyDescent="0.25">
      <c r="A6919" t="s">
        <v>2452</v>
      </c>
      <c r="B6919">
        <v>8039840</v>
      </c>
      <c r="C6919" t="s">
        <v>9583</v>
      </c>
      <c r="D6919" t="s">
        <v>315</v>
      </c>
      <c r="E6919" s="13">
        <v>30000</v>
      </c>
      <c r="F6919" s="12">
        <v>0.25</v>
      </c>
      <c r="G6919" t="str">
        <f>IFERROR(INDEX(tEditais[Órgão],MATCH(tItens[[#This Row],[Edital]],tEditais[Edital],0)),"")</f>
        <v>MUNICIPIO DE ALTA FLORESTA D'OESTE</v>
      </c>
      <c r="H6919" t="str">
        <f>IFERROR(INDEX(tEditais[UF],MATCH(tItens[[#This Row],[Edital]],tEditais[Edital],0)),"")</f>
        <v>RO</v>
      </c>
      <c r="I6919" s="11">
        <f>IFERROR(INDEX(tEditais[Encerramento],MATCH(tItens[[#This Row],[Edital]],tEditais[Edital],0)),"")</f>
        <v>46309.416666666664</v>
      </c>
      <c r="J6919" t="str">
        <f>IFERROR(INDEX(tProdutos[Classe],MATCH(tItens[[#This Row],[Produto]],tProdutos[Produto],0)),"produto não cadastrado")</f>
        <v>FORA</v>
      </c>
      <c r="K6919" s="12">
        <f>tItens[[#This Row],[Qtd]]*tItens[[#This Row],[Vlr unit]]</f>
        <v>7500</v>
      </c>
      <c r="L6919" s="6">
        <f>IFERROR(IF(INDEX(tProdutos[Desconto homologado],MATCH(tItens[[#This Row],[Produto]],tProdutos[Produto],0))="",DescontoPadrao,INDEX(tProdutos[Desconto homologado],MATCH(tItens[[#This Row],[Produto]],tProdutos[Produto],0))),DescontoPadrao)</f>
        <v>0.38432036097010702</v>
      </c>
      <c r="M6919" s="12">
        <f>tItens[[#This Row],[Valor]]*(1-tItens[[#This Row],[Desconto]])</f>
        <v>4617.5972927241974</v>
      </c>
      <c r="N6919" t="str">
        <f>IFERROR(INDEX(tProdutos[Foco],MATCH(tItens[[#This Row],[Produto]],tProdutos[Produto],0)),"Não")</f>
        <v>Não</v>
      </c>
      <c r="O6919" t="str">
        <f>IFERROR(INDEX(tEditais[SRP],MATCH(tItens[[#This Row],[Edital]],tEditais[Edital],0)),"Não")</f>
        <v>Não</v>
      </c>
      <c r="P6919" s="4">
        <f>IF(COUNTIFS(INDEX(tItens[Edital],1):tItens[[#This Row],[Edital]],tItens[[#This Row],[Edital]],INDEX(tItens[Produto],1):tItens[[#This Row],[Produto]],tItens[[#This Row],[Produto]])=1,1,0)</f>
        <v>1</v>
      </c>
    </row>
    <row r="6920" spans="1:16" x14ac:dyDescent="0.25">
      <c r="A6920" t="s">
        <v>2452</v>
      </c>
      <c r="B6920">
        <v>8039841</v>
      </c>
      <c r="C6920" t="s">
        <v>9584</v>
      </c>
      <c r="D6920" t="s">
        <v>315</v>
      </c>
      <c r="E6920" s="13">
        <v>47000</v>
      </c>
      <c r="F6920" s="12">
        <v>0.22</v>
      </c>
      <c r="G6920" t="str">
        <f>IFERROR(INDEX(tEditais[Órgão],MATCH(tItens[[#This Row],[Edital]],tEditais[Edital],0)),"")</f>
        <v>MUNICIPIO DE ALTA FLORESTA D'OESTE</v>
      </c>
      <c r="H6920" t="str">
        <f>IFERROR(INDEX(tEditais[UF],MATCH(tItens[[#This Row],[Edital]],tEditais[Edital],0)),"")</f>
        <v>RO</v>
      </c>
      <c r="I6920" s="11">
        <f>IFERROR(INDEX(tEditais[Encerramento],MATCH(tItens[[#This Row],[Edital]],tEditais[Edital],0)),"")</f>
        <v>46309.416666666664</v>
      </c>
      <c r="J6920" t="str">
        <f>IFERROR(INDEX(tProdutos[Classe],MATCH(tItens[[#This Row],[Produto]],tProdutos[Produto],0)),"produto não cadastrado")</f>
        <v>FORA</v>
      </c>
      <c r="K6920" s="12">
        <f>tItens[[#This Row],[Qtd]]*tItens[[#This Row],[Vlr unit]]</f>
        <v>10340</v>
      </c>
      <c r="L6920" s="6">
        <f>IFERROR(IF(INDEX(tProdutos[Desconto homologado],MATCH(tItens[[#This Row],[Produto]],tProdutos[Produto],0))="",DescontoPadrao,INDEX(tProdutos[Desconto homologado],MATCH(tItens[[#This Row],[Produto]],tProdutos[Produto],0))),DescontoPadrao)</f>
        <v>0.38432036097010702</v>
      </c>
      <c r="M6920" s="12">
        <f>tItens[[#This Row],[Valor]]*(1-tItens[[#This Row],[Desconto]])</f>
        <v>6366.1274675690938</v>
      </c>
      <c r="N6920" t="str">
        <f>IFERROR(INDEX(tProdutos[Foco],MATCH(tItens[[#This Row],[Produto]],tProdutos[Produto],0)),"Não")</f>
        <v>Não</v>
      </c>
      <c r="O6920" t="str">
        <f>IFERROR(INDEX(tEditais[SRP],MATCH(tItens[[#This Row],[Edital]],tEditais[Edital],0)),"Não")</f>
        <v>Não</v>
      </c>
      <c r="P6920" s="4">
        <f>IF(COUNTIFS(INDEX(tItens[Edital],1):tItens[[#This Row],[Edital]],tItens[[#This Row],[Edital]],INDEX(tItens[Produto],1):tItens[[#This Row],[Produto]],tItens[[#This Row],[Produto]])=1,1,0)</f>
        <v>0</v>
      </c>
    </row>
    <row r="6921" spans="1:16" x14ac:dyDescent="0.25">
      <c r="A6921" t="s">
        <v>2452</v>
      </c>
      <c r="B6921">
        <v>8039842</v>
      </c>
      <c r="C6921" t="s">
        <v>9585</v>
      </c>
      <c r="D6921" t="s">
        <v>297</v>
      </c>
      <c r="E6921" s="13">
        <v>47000</v>
      </c>
      <c r="F6921" s="12">
        <v>0.3</v>
      </c>
      <c r="G6921" t="str">
        <f>IFERROR(INDEX(tEditais[Órgão],MATCH(tItens[[#This Row],[Edital]],tEditais[Edital],0)),"")</f>
        <v>MUNICIPIO DE ALTA FLORESTA D'OESTE</v>
      </c>
      <c r="H6921" t="str">
        <f>IFERROR(INDEX(tEditais[UF],MATCH(tItens[[#This Row],[Edital]],tEditais[Edital],0)),"")</f>
        <v>RO</v>
      </c>
      <c r="I6921" s="11">
        <f>IFERROR(INDEX(tEditais[Encerramento],MATCH(tItens[[#This Row],[Edital]],tEditais[Edital],0)),"")</f>
        <v>46309.416666666664</v>
      </c>
      <c r="J6921" t="str">
        <f>IFERROR(INDEX(tProdutos[Classe],MATCH(tItens[[#This Row],[Produto]],tProdutos[Produto],0)),"produto não cadastrado")</f>
        <v>FORA</v>
      </c>
      <c r="K6921" s="12">
        <f>tItens[[#This Row],[Qtd]]*tItens[[#This Row],[Vlr unit]]</f>
        <v>14100</v>
      </c>
      <c r="L6921" s="6">
        <f>IFERROR(IF(INDEX(tProdutos[Desconto homologado],MATCH(tItens[[#This Row],[Produto]],tProdutos[Produto],0))="",DescontoPadrao,INDEX(tProdutos[Desconto homologado],MATCH(tItens[[#This Row],[Produto]],tProdutos[Produto],0))),DescontoPadrao)</f>
        <v>0.249544626593807</v>
      </c>
      <c r="M6921" s="12">
        <f>tItens[[#This Row],[Valor]]*(1-tItens[[#This Row],[Desconto]])</f>
        <v>10581.42076502732</v>
      </c>
      <c r="N6921" t="str">
        <f>IFERROR(INDEX(tProdutos[Foco],MATCH(tItens[[#This Row],[Produto]],tProdutos[Produto],0)),"Não")</f>
        <v>Não</v>
      </c>
      <c r="O6921" t="str">
        <f>IFERROR(INDEX(tEditais[SRP],MATCH(tItens[[#This Row],[Edital]],tEditais[Edital],0)),"Não")</f>
        <v>Não</v>
      </c>
      <c r="P6921" s="4">
        <f>IF(COUNTIFS(INDEX(tItens[Edital],1):tItens[[#This Row],[Edital]],tItens[[#This Row],[Edital]],INDEX(tItens[Produto],1):tItens[[#This Row],[Produto]],tItens[[#This Row],[Produto]])=1,1,0)</f>
        <v>1</v>
      </c>
    </row>
    <row r="6922" spans="1:16" x14ac:dyDescent="0.25">
      <c r="A6922" t="s">
        <v>2452</v>
      </c>
      <c r="B6922">
        <v>8039843</v>
      </c>
      <c r="C6922" t="s">
        <v>9586</v>
      </c>
      <c r="D6922" t="s">
        <v>315</v>
      </c>
      <c r="E6922" s="13">
        <v>30000</v>
      </c>
      <c r="F6922" s="12">
        <v>0.21</v>
      </c>
      <c r="G6922" t="str">
        <f>IFERROR(INDEX(tEditais[Órgão],MATCH(tItens[[#This Row],[Edital]],tEditais[Edital],0)),"")</f>
        <v>MUNICIPIO DE ALTA FLORESTA D'OESTE</v>
      </c>
      <c r="H6922" t="str">
        <f>IFERROR(INDEX(tEditais[UF],MATCH(tItens[[#This Row],[Edital]],tEditais[Edital],0)),"")</f>
        <v>RO</v>
      </c>
      <c r="I6922" s="11">
        <f>IFERROR(INDEX(tEditais[Encerramento],MATCH(tItens[[#This Row],[Edital]],tEditais[Edital],0)),"")</f>
        <v>46309.416666666664</v>
      </c>
      <c r="J6922" t="str">
        <f>IFERROR(INDEX(tProdutos[Classe],MATCH(tItens[[#This Row],[Produto]],tProdutos[Produto],0)),"produto não cadastrado")</f>
        <v>FORA</v>
      </c>
      <c r="K6922" s="12">
        <f>tItens[[#This Row],[Qtd]]*tItens[[#This Row],[Vlr unit]]</f>
        <v>6300</v>
      </c>
      <c r="L6922" s="6">
        <f>IFERROR(IF(INDEX(tProdutos[Desconto homologado],MATCH(tItens[[#This Row],[Produto]],tProdutos[Produto],0))="",DescontoPadrao,INDEX(tProdutos[Desconto homologado],MATCH(tItens[[#This Row],[Produto]],tProdutos[Produto],0))),DescontoPadrao)</f>
        <v>0.38432036097010702</v>
      </c>
      <c r="M6922" s="12">
        <f>tItens[[#This Row],[Valor]]*(1-tItens[[#This Row],[Desconto]])</f>
        <v>3878.7817258883256</v>
      </c>
      <c r="N6922" t="str">
        <f>IFERROR(INDEX(tProdutos[Foco],MATCH(tItens[[#This Row],[Produto]],tProdutos[Produto],0)),"Não")</f>
        <v>Não</v>
      </c>
      <c r="O6922" t="str">
        <f>IFERROR(INDEX(tEditais[SRP],MATCH(tItens[[#This Row],[Edital]],tEditais[Edital],0)),"Não")</f>
        <v>Não</v>
      </c>
      <c r="P6922" s="4">
        <f>IF(COUNTIFS(INDEX(tItens[Edital],1):tItens[[#This Row],[Edital]],tItens[[#This Row],[Edital]],INDEX(tItens[Produto],1):tItens[[#This Row],[Produto]],tItens[[#This Row],[Produto]])=1,1,0)</f>
        <v>0</v>
      </c>
    </row>
    <row r="6923" spans="1:16" x14ac:dyDescent="0.25">
      <c r="A6923" t="s">
        <v>2452</v>
      </c>
      <c r="B6923">
        <v>8039854</v>
      </c>
      <c r="C6923" t="s">
        <v>9587</v>
      </c>
      <c r="D6923" t="s">
        <v>578</v>
      </c>
      <c r="E6923" s="13">
        <v>4</v>
      </c>
      <c r="F6923" s="12">
        <v>1634.98</v>
      </c>
      <c r="G6923" t="str">
        <f>IFERROR(INDEX(tEditais[Órgão],MATCH(tItens[[#This Row],[Edital]],tEditais[Edital],0)),"")</f>
        <v>MUNICIPIO DE ALTA FLORESTA D'OESTE</v>
      </c>
      <c r="H6923" t="str">
        <f>IFERROR(INDEX(tEditais[UF],MATCH(tItens[[#This Row],[Edital]],tEditais[Edital],0)),"")</f>
        <v>RO</v>
      </c>
      <c r="I6923" s="11">
        <f>IFERROR(INDEX(tEditais[Encerramento],MATCH(tItens[[#This Row],[Edital]],tEditais[Edital],0)),"")</f>
        <v>46309.416666666664</v>
      </c>
      <c r="J6923" t="str">
        <f>IFERROR(INDEX(tProdutos[Classe],MATCH(tItens[[#This Row],[Produto]],tProdutos[Produto],0)),"produto não cadastrado")</f>
        <v>FILA REBASE</v>
      </c>
      <c r="K6923" s="12">
        <f>tItens[[#This Row],[Qtd]]*tItens[[#This Row],[Vlr unit]]</f>
        <v>6539.92</v>
      </c>
      <c r="L6923" s="6">
        <f>IFERROR(IF(INDEX(tProdutos[Desconto homologado],MATCH(tItens[[#This Row],[Produto]],tProdutos[Produto],0))="",DescontoPadrao,INDEX(tProdutos[Desconto homologado],MATCH(tItens[[#This Row],[Produto]],tProdutos[Produto],0))),DescontoPadrao)</f>
        <v>0.36014625228519198</v>
      </c>
      <c r="M6923" s="12">
        <f>tItens[[#This Row],[Valor]]*(1-tItens[[#This Row],[Desconto]])</f>
        <v>4184.592321755028</v>
      </c>
      <c r="N6923" t="str">
        <f>IFERROR(INDEX(tProdutos[Foco],MATCH(tItens[[#This Row],[Produto]],tProdutos[Produto],0)),"Não")</f>
        <v>Não</v>
      </c>
      <c r="O6923" t="str">
        <f>IFERROR(INDEX(tEditais[SRP],MATCH(tItens[[#This Row],[Edital]],tEditais[Edital],0)),"Não")</f>
        <v>Não</v>
      </c>
      <c r="P6923" s="4">
        <f>IF(COUNTIFS(INDEX(tItens[Edital],1):tItens[[#This Row],[Edital]],tItens[[#This Row],[Edital]],INDEX(tItens[Produto],1):tItens[[#This Row],[Produto]],tItens[[#This Row],[Produto]])=1,1,0)</f>
        <v>1</v>
      </c>
    </row>
    <row r="6924" spans="1:16" x14ac:dyDescent="0.25">
      <c r="A6924" t="s">
        <v>2452</v>
      </c>
      <c r="B6924">
        <v>8039855</v>
      </c>
      <c r="C6924" t="s">
        <v>9588</v>
      </c>
      <c r="D6924" t="s">
        <v>578</v>
      </c>
      <c r="E6924" s="13">
        <v>3</v>
      </c>
      <c r="F6924" s="12">
        <v>2831</v>
      </c>
      <c r="G6924" t="str">
        <f>IFERROR(INDEX(tEditais[Órgão],MATCH(tItens[[#This Row],[Edital]],tEditais[Edital],0)),"")</f>
        <v>MUNICIPIO DE ALTA FLORESTA D'OESTE</v>
      </c>
      <c r="H6924" t="str">
        <f>IFERROR(INDEX(tEditais[UF],MATCH(tItens[[#This Row],[Edital]],tEditais[Edital],0)),"")</f>
        <v>RO</v>
      </c>
      <c r="I6924" s="11">
        <f>IFERROR(INDEX(tEditais[Encerramento],MATCH(tItens[[#This Row],[Edital]],tEditais[Edital],0)),"")</f>
        <v>46309.416666666664</v>
      </c>
      <c r="J6924" t="str">
        <f>IFERROR(INDEX(tProdutos[Classe],MATCH(tItens[[#This Row],[Produto]],tProdutos[Produto],0)),"produto não cadastrado")</f>
        <v>FILA REBASE</v>
      </c>
      <c r="K6924" s="12">
        <f>tItens[[#This Row],[Qtd]]*tItens[[#This Row],[Vlr unit]]</f>
        <v>8493</v>
      </c>
      <c r="L6924" s="6">
        <f>IFERROR(IF(INDEX(tProdutos[Desconto homologado],MATCH(tItens[[#This Row],[Produto]],tProdutos[Produto],0))="",DescontoPadrao,INDEX(tProdutos[Desconto homologado],MATCH(tItens[[#This Row],[Produto]],tProdutos[Produto],0))),DescontoPadrao)</f>
        <v>0.36014625228519198</v>
      </c>
      <c r="M6924" s="12">
        <f>tItens[[#This Row],[Valor]]*(1-tItens[[#This Row],[Desconto]])</f>
        <v>5434.2778793418647</v>
      </c>
      <c r="N6924" t="str">
        <f>IFERROR(INDEX(tProdutos[Foco],MATCH(tItens[[#This Row],[Produto]],tProdutos[Produto],0)),"Não")</f>
        <v>Não</v>
      </c>
      <c r="O6924" t="str">
        <f>IFERROR(INDEX(tEditais[SRP],MATCH(tItens[[#This Row],[Edital]],tEditais[Edital],0)),"Não")</f>
        <v>Não</v>
      </c>
      <c r="P6924" s="4">
        <f>IF(COUNTIFS(INDEX(tItens[Edital],1):tItens[[#This Row],[Edital]],tItens[[#This Row],[Edital]],INDEX(tItens[Produto],1):tItens[[#This Row],[Produto]],tItens[[#This Row],[Produto]])=1,1,0)</f>
        <v>0</v>
      </c>
    </row>
    <row r="6925" spans="1:16" x14ac:dyDescent="0.25">
      <c r="A6925" t="s">
        <v>2452</v>
      </c>
      <c r="B6925">
        <v>8039862</v>
      </c>
      <c r="C6925" t="s">
        <v>9589</v>
      </c>
      <c r="D6925" t="s">
        <v>132</v>
      </c>
      <c r="E6925" s="13">
        <v>150</v>
      </c>
      <c r="F6925" s="12">
        <v>83.94</v>
      </c>
      <c r="G6925" t="str">
        <f>IFERROR(INDEX(tEditais[Órgão],MATCH(tItens[[#This Row],[Edital]],tEditais[Edital],0)),"")</f>
        <v>MUNICIPIO DE ALTA FLORESTA D'OESTE</v>
      </c>
      <c r="H6925" t="str">
        <f>IFERROR(INDEX(tEditais[UF],MATCH(tItens[[#This Row],[Edital]],tEditais[Edital],0)),"")</f>
        <v>RO</v>
      </c>
      <c r="I6925" s="11">
        <f>IFERROR(INDEX(tEditais[Encerramento],MATCH(tItens[[#This Row],[Edital]],tEditais[Edital],0)),"")</f>
        <v>46309.416666666664</v>
      </c>
      <c r="J6925" t="str">
        <f>IFERROR(INDEX(tProdutos[Classe],MATCH(tItens[[#This Row],[Produto]],tProdutos[Produto],0)),"produto não cadastrado")</f>
        <v>NÚCLEO</v>
      </c>
      <c r="K6925" s="12">
        <f>tItens[[#This Row],[Qtd]]*tItens[[#This Row],[Vlr unit]]</f>
        <v>12591</v>
      </c>
      <c r="L6925" s="6">
        <f>IFERROR(IF(INDEX(tProdutos[Desconto homologado],MATCH(tItens[[#This Row],[Produto]],tProdutos[Produto],0))="",DescontoPadrao,INDEX(tProdutos[Desconto homologado],MATCH(tItens[[#This Row],[Produto]],tProdutos[Produto],0))),DescontoPadrao)</f>
        <v>0.27</v>
      </c>
      <c r="M6925" s="12">
        <f>tItens[[#This Row],[Valor]]*(1-tItens[[#This Row],[Desconto]])</f>
        <v>9191.43</v>
      </c>
      <c r="N6925" t="str">
        <f>IFERROR(INDEX(tProdutos[Foco],MATCH(tItens[[#This Row],[Produto]],tProdutos[Produto],0)),"Não")</f>
        <v>Sim</v>
      </c>
      <c r="O6925" t="str">
        <f>IFERROR(INDEX(tEditais[SRP],MATCH(tItens[[#This Row],[Edital]],tEditais[Edital],0)),"Não")</f>
        <v>Não</v>
      </c>
      <c r="P6925" s="4">
        <f>IF(COUNTIFS(INDEX(tItens[Edital],1):tItens[[#This Row],[Edital]],tItens[[#This Row],[Edital]],INDEX(tItens[Produto],1):tItens[[#This Row],[Produto]],tItens[[#This Row],[Produto]])=1,1,0)</f>
        <v>1</v>
      </c>
    </row>
    <row r="6926" spans="1:16" x14ac:dyDescent="0.25">
      <c r="A6926" t="s">
        <v>2452</v>
      </c>
      <c r="B6926">
        <v>8039871</v>
      </c>
      <c r="C6926" t="s">
        <v>9590</v>
      </c>
      <c r="D6926" t="s">
        <v>62</v>
      </c>
      <c r="E6926" s="13">
        <v>2300</v>
      </c>
      <c r="F6926" s="12">
        <v>7.39</v>
      </c>
      <c r="G6926" t="str">
        <f>IFERROR(INDEX(tEditais[Órgão],MATCH(tItens[[#This Row],[Edital]],tEditais[Edital],0)),"")</f>
        <v>MUNICIPIO DE ALTA FLORESTA D'OESTE</v>
      </c>
      <c r="H6926" t="str">
        <f>IFERROR(INDEX(tEditais[UF],MATCH(tItens[[#This Row],[Edital]],tEditais[Edital],0)),"")</f>
        <v>RO</v>
      </c>
      <c r="I6926" s="11">
        <f>IFERROR(INDEX(tEditais[Encerramento],MATCH(tItens[[#This Row],[Edital]],tEditais[Edital],0)),"")</f>
        <v>46309.416666666664</v>
      </c>
      <c r="J6926" t="str">
        <f>IFERROR(INDEX(tProdutos[Classe],MATCH(tItens[[#This Row],[Produto]],tProdutos[Produto],0)),"produto não cadastrado")</f>
        <v>NÚCLEO</v>
      </c>
      <c r="K6926" s="12">
        <f>tItens[[#This Row],[Qtd]]*tItens[[#This Row],[Vlr unit]]</f>
        <v>16997</v>
      </c>
      <c r="L6926" s="6">
        <f>IFERROR(IF(INDEX(tProdutos[Desconto homologado],MATCH(tItens[[#This Row],[Produto]],tProdutos[Produto],0))="",DescontoPadrao,INDEX(tProdutos[Desconto homologado],MATCH(tItens[[#This Row],[Produto]],tProdutos[Produto],0))),DescontoPadrao)</f>
        <v>0.3</v>
      </c>
      <c r="M6926" s="12">
        <f>tItens[[#This Row],[Valor]]*(1-tItens[[#This Row],[Desconto]])</f>
        <v>11897.9</v>
      </c>
      <c r="N6926" t="str">
        <f>IFERROR(INDEX(tProdutos[Foco],MATCH(tItens[[#This Row],[Produto]],tProdutos[Produto],0)),"Não")</f>
        <v>Sim</v>
      </c>
      <c r="O6926" t="str">
        <f>IFERROR(INDEX(tEditais[SRP],MATCH(tItens[[#This Row],[Edital]],tEditais[Edital],0)),"Não")</f>
        <v>Não</v>
      </c>
      <c r="P6926" s="4">
        <f>IF(COUNTIFS(INDEX(tItens[Edital],1):tItens[[#This Row],[Edital]],tItens[[#This Row],[Edital]],INDEX(tItens[Produto],1):tItens[[#This Row],[Produto]],tItens[[#This Row],[Produto]])=1,1,0)</f>
        <v>1</v>
      </c>
    </row>
    <row r="6927" spans="1:16" x14ac:dyDescent="0.25">
      <c r="A6927" t="s">
        <v>2452</v>
      </c>
      <c r="B6927">
        <v>8039880</v>
      </c>
      <c r="C6927" t="s">
        <v>9591</v>
      </c>
      <c r="D6927" t="s">
        <v>423</v>
      </c>
      <c r="E6927" s="13">
        <v>30</v>
      </c>
      <c r="F6927" s="12">
        <v>23.25</v>
      </c>
      <c r="G6927" t="str">
        <f>IFERROR(INDEX(tEditais[Órgão],MATCH(tItens[[#This Row],[Edital]],tEditais[Edital],0)),"")</f>
        <v>MUNICIPIO DE ALTA FLORESTA D'OESTE</v>
      </c>
      <c r="H6927" t="str">
        <f>IFERROR(INDEX(tEditais[UF],MATCH(tItens[[#This Row],[Edital]],tEditais[Edital],0)),"")</f>
        <v>RO</v>
      </c>
      <c r="I6927" s="11">
        <f>IFERROR(INDEX(tEditais[Encerramento],MATCH(tItens[[#This Row],[Edital]],tEditais[Edital],0)),"")</f>
        <v>46309.416666666664</v>
      </c>
      <c r="J6927" t="str">
        <f>IFERROR(INDEX(tProdutos[Classe],MATCH(tItens[[#This Row],[Produto]],tProdutos[Produto],0)),"produto não cadastrado")</f>
        <v>FORA</v>
      </c>
      <c r="K6927" s="12">
        <f>tItens[[#This Row],[Qtd]]*tItens[[#This Row],[Vlr unit]]</f>
        <v>697.5</v>
      </c>
      <c r="L6927" s="6">
        <f>IFERROR(IF(INDEX(tProdutos[Desconto homologado],MATCH(tItens[[#This Row],[Produto]],tProdutos[Produto],0))="",DescontoPadrao,INDEX(tProdutos[Desconto homologado],MATCH(tItens[[#This Row],[Produto]],tProdutos[Produto],0))),DescontoPadrao)</f>
        <v>0.38271604938271597</v>
      </c>
      <c r="M6927" s="12">
        <f>tItens[[#This Row],[Valor]]*(1-tItens[[#This Row],[Desconto]])</f>
        <v>430.5555555555556</v>
      </c>
      <c r="N6927" t="str">
        <f>IFERROR(INDEX(tProdutos[Foco],MATCH(tItens[[#This Row],[Produto]],tProdutos[Produto],0)),"Não")</f>
        <v>Não</v>
      </c>
      <c r="O6927" t="str">
        <f>IFERROR(INDEX(tEditais[SRP],MATCH(tItens[[#This Row],[Edital]],tEditais[Edital],0)),"Não")</f>
        <v>Não</v>
      </c>
      <c r="P6927" s="4">
        <f>IF(COUNTIFS(INDEX(tItens[Edital],1):tItens[[#This Row],[Edital]],tItens[[#This Row],[Edital]],INDEX(tItens[Produto],1):tItens[[#This Row],[Produto]],tItens[[#This Row],[Produto]])=1,1,0)</f>
        <v>1</v>
      </c>
    </row>
    <row r="6928" spans="1:16" x14ac:dyDescent="0.25">
      <c r="A6928" t="s">
        <v>2452</v>
      </c>
      <c r="B6928">
        <v>8039881</v>
      </c>
      <c r="C6928" t="s">
        <v>9592</v>
      </c>
      <c r="D6928" t="s">
        <v>421</v>
      </c>
      <c r="E6928" s="13">
        <v>30</v>
      </c>
      <c r="F6928" s="12">
        <v>22.47</v>
      </c>
      <c r="G6928" t="str">
        <f>IFERROR(INDEX(tEditais[Órgão],MATCH(tItens[[#This Row],[Edital]],tEditais[Edital],0)),"")</f>
        <v>MUNICIPIO DE ALTA FLORESTA D'OESTE</v>
      </c>
      <c r="H6928" t="str">
        <f>IFERROR(INDEX(tEditais[UF],MATCH(tItens[[#This Row],[Edital]],tEditais[Edital],0)),"")</f>
        <v>RO</v>
      </c>
      <c r="I6928" s="11">
        <f>IFERROR(INDEX(tEditais[Encerramento],MATCH(tItens[[#This Row],[Edital]],tEditais[Edital],0)),"")</f>
        <v>46309.416666666664</v>
      </c>
      <c r="J6928" t="str">
        <f>IFERROR(INDEX(tProdutos[Classe],MATCH(tItens[[#This Row],[Produto]],tProdutos[Produto],0)),"produto não cadastrado")</f>
        <v>FORA</v>
      </c>
      <c r="K6928" s="12">
        <f>tItens[[#This Row],[Qtd]]*tItens[[#This Row],[Vlr unit]]</f>
        <v>674.09999999999991</v>
      </c>
      <c r="L6928" s="6">
        <f>IFERROR(IF(INDEX(tProdutos[Desconto homologado],MATCH(tItens[[#This Row],[Produto]],tProdutos[Produto],0))="",DescontoPadrao,INDEX(tProdutos[Desconto homologado],MATCH(tItens[[#This Row],[Produto]],tProdutos[Produto],0))),DescontoPadrao)</f>
        <v>0.43</v>
      </c>
      <c r="M6928" s="12">
        <f>tItens[[#This Row],[Valor]]*(1-tItens[[#This Row],[Desconto]])</f>
        <v>384.23699999999997</v>
      </c>
      <c r="N6928" t="str">
        <f>IFERROR(INDEX(tProdutos[Foco],MATCH(tItens[[#This Row],[Produto]],tProdutos[Produto],0)),"Não")</f>
        <v>Sim</v>
      </c>
      <c r="O6928" t="str">
        <f>IFERROR(INDEX(tEditais[SRP],MATCH(tItens[[#This Row],[Edital]],tEditais[Edital],0)),"Não")</f>
        <v>Não</v>
      </c>
      <c r="P6928" s="4">
        <f>IF(COUNTIFS(INDEX(tItens[Edital],1):tItens[[#This Row],[Edital]],tItens[[#This Row],[Edital]],INDEX(tItens[Produto],1):tItens[[#This Row],[Produto]],tItens[[#This Row],[Produto]])=1,1,0)</f>
        <v>1</v>
      </c>
    </row>
    <row r="6929" spans="1:16" x14ac:dyDescent="0.25">
      <c r="A6929" t="s">
        <v>2452</v>
      </c>
      <c r="B6929">
        <v>8039887</v>
      </c>
      <c r="C6929" t="s">
        <v>9593</v>
      </c>
      <c r="D6929" t="s">
        <v>98</v>
      </c>
      <c r="E6929" s="13">
        <v>4</v>
      </c>
      <c r="F6929" s="12">
        <v>6.37</v>
      </c>
      <c r="G6929" t="str">
        <f>IFERROR(INDEX(tEditais[Órgão],MATCH(tItens[[#This Row],[Edital]],tEditais[Edital],0)),"")</f>
        <v>MUNICIPIO DE ALTA FLORESTA D'OESTE</v>
      </c>
      <c r="H6929" t="str">
        <f>IFERROR(INDEX(tEditais[UF],MATCH(tItens[[#This Row],[Edital]],tEditais[Edital],0)),"")</f>
        <v>RO</v>
      </c>
      <c r="I6929" s="11">
        <f>IFERROR(INDEX(tEditais[Encerramento],MATCH(tItens[[#This Row],[Edital]],tEditais[Edital],0)),"")</f>
        <v>46309.416666666664</v>
      </c>
      <c r="J6929" t="str">
        <f>IFERROR(INDEX(tProdutos[Classe],MATCH(tItens[[#This Row],[Produto]],tProdutos[Produto],0)),"produto não cadastrado")</f>
        <v>NÚCLEO</v>
      </c>
      <c r="K6929" s="12">
        <f>tItens[[#This Row],[Qtd]]*tItens[[#This Row],[Vlr unit]]</f>
        <v>25.48</v>
      </c>
      <c r="L6929" s="6">
        <f>IFERROR(IF(INDEX(tProdutos[Desconto homologado],MATCH(tItens[[#This Row],[Produto]],tProdutos[Produto],0))="",DescontoPadrao,INDEX(tProdutos[Desconto homologado],MATCH(tItens[[#This Row],[Produto]],tProdutos[Produto],0))),DescontoPadrao)</f>
        <v>0.39</v>
      </c>
      <c r="M6929" s="12">
        <f>tItens[[#This Row],[Valor]]*(1-tItens[[#This Row],[Desconto]])</f>
        <v>15.5428</v>
      </c>
      <c r="N6929" t="str">
        <f>IFERROR(INDEX(tProdutos[Foco],MATCH(tItens[[#This Row],[Produto]],tProdutos[Produto],0)),"Não")</f>
        <v>Sim</v>
      </c>
      <c r="O6929" t="str">
        <f>IFERROR(INDEX(tEditais[SRP],MATCH(tItens[[#This Row],[Edital]],tEditais[Edital],0)),"Não")</f>
        <v>Não</v>
      </c>
      <c r="P6929" s="4">
        <f>IF(COUNTIFS(INDEX(tItens[Edital],1):tItens[[#This Row],[Edital]],tItens[[#This Row],[Edital]],INDEX(tItens[Produto],1):tItens[[#This Row],[Produto]],tItens[[#This Row],[Produto]])=1,1,0)</f>
        <v>1</v>
      </c>
    </row>
    <row r="6930" spans="1:16" x14ac:dyDescent="0.25">
      <c r="A6930" t="s">
        <v>2452</v>
      </c>
      <c r="B6930">
        <v>8039888</v>
      </c>
      <c r="C6930" t="s">
        <v>9594</v>
      </c>
      <c r="D6930" t="s">
        <v>98</v>
      </c>
      <c r="E6930" s="13">
        <v>4</v>
      </c>
      <c r="F6930" s="12">
        <v>6.78</v>
      </c>
      <c r="G6930" t="str">
        <f>IFERROR(INDEX(tEditais[Órgão],MATCH(tItens[[#This Row],[Edital]],tEditais[Edital],0)),"")</f>
        <v>MUNICIPIO DE ALTA FLORESTA D'OESTE</v>
      </c>
      <c r="H6930" t="str">
        <f>IFERROR(INDEX(tEditais[UF],MATCH(tItens[[#This Row],[Edital]],tEditais[Edital],0)),"")</f>
        <v>RO</v>
      </c>
      <c r="I6930" s="11">
        <f>IFERROR(INDEX(tEditais[Encerramento],MATCH(tItens[[#This Row],[Edital]],tEditais[Edital],0)),"")</f>
        <v>46309.416666666664</v>
      </c>
      <c r="J6930" t="str">
        <f>IFERROR(INDEX(tProdutos[Classe],MATCH(tItens[[#This Row],[Produto]],tProdutos[Produto],0)),"produto não cadastrado")</f>
        <v>NÚCLEO</v>
      </c>
      <c r="K6930" s="12">
        <f>tItens[[#This Row],[Qtd]]*tItens[[#This Row],[Vlr unit]]</f>
        <v>27.12</v>
      </c>
      <c r="L6930" s="6">
        <f>IFERROR(IF(INDEX(tProdutos[Desconto homologado],MATCH(tItens[[#This Row],[Produto]],tProdutos[Produto],0))="",DescontoPadrao,INDEX(tProdutos[Desconto homologado],MATCH(tItens[[#This Row],[Produto]],tProdutos[Produto],0))),DescontoPadrao)</f>
        <v>0.39</v>
      </c>
      <c r="M6930" s="12">
        <f>tItens[[#This Row],[Valor]]*(1-tItens[[#This Row],[Desconto]])</f>
        <v>16.543199999999999</v>
      </c>
      <c r="N6930" t="str">
        <f>IFERROR(INDEX(tProdutos[Foco],MATCH(tItens[[#This Row],[Produto]],tProdutos[Produto],0)),"Não")</f>
        <v>Sim</v>
      </c>
      <c r="O6930" t="str">
        <f>IFERROR(INDEX(tEditais[SRP],MATCH(tItens[[#This Row],[Edital]],tEditais[Edital],0)),"Não")</f>
        <v>Não</v>
      </c>
      <c r="P6930" s="4">
        <f>IF(COUNTIFS(INDEX(tItens[Edital],1):tItens[[#This Row],[Edital]],tItens[[#This Row],[Edital]],INDEX(tItens[Produto],1):tItens[[#This Row],[Produto]],tItens[[#This Row],[Produto]])=1,1,0)</f>
        <v>0</v>
      </c>
    </row>
    <row r="6931" spans="1:16" x14ac:dyDescent="0.25">
      <c r="A6931" t="s">
        <v>2452</v>
      </c>
      <c r="B6931">
        <v>8039889</v>
      </c>
      <c r="C6931" t="s">
        <v>9595</v>
      </c>
      <c r="D6931" t="s">
        <v>98</v>
      </c>
      <c r="E6931" s="13">
        <v>4</v>
      </c>
      <c r="F6931" s="12">
        <v>7.06</v>
      </c>
      <c r="G6931" t="str">
        <f>IFERROR(INDEX(tEditais[Órgão],MATCH(tItens[[#This Row],[Edital]],tEditais[Edital],0)),"")</f>
        <v>MUNICIPIO DE ALTA FLORESTA D'OESTE</v>
      </c>
      <c r="H6931" t="str">
        <f>IFERROR(INDEX(tEditais[UF],MATCH(tItens[[#This Row],[Edital]],tEditais[Edital],0)),"")</f>
        <v>RO</v>
      </c>
      <c r="I6931" s="11">
        <f>IFERROR(INDEX(tEditais[Encerramento],MATCH(tItens[[#This Row],[Edital]],tEditais[Edital],0)),"")</f>
        <v>46309.416666666664</v>
      </c>
      <c r="J6931" t="str">
        <f>IFERROR(INDEX(tProdutos[Classe],MATCH(tItens[[#This Row],[Produto]],tProdutos[Produto],0)),"produto não cadastrado")</f>
        <v>NÚCLEO</v>
      </c>
      <c r="K6931" s="12">
        <f>tItens[[#This Row],[Qtd]]*tItens[[#This Row],[Vlr unit]]</f>
        <v>28.24</v>
      </c>
      <c r="L6931" s="6">
        <f>IFERROR(IF(INDEX(tProdutos[Desconto homologado],MATCH(tItens[[#This Row],[Produto]],tProdutos[Produto],0))="",DescontoPadrao,INDEX(tProdutos[Desconto homologado],MATCH(tItens[[#This Row],[Produto]],tProdutos[Produto],0))),DescontoPadrao)</f>
        <v>0.39</v>
      </c>
      <c r="M6931" s="12">
        <f>tItens[[#This Row],[Valor]]*(1-tItens[[#This Row],[Desconto]])</f>
        <v>17.226399999999998</v>
      </c>
      <c r="N6931" t="str">
        <f>IFERROR(INDEX(tProdutos[Foco],MATCH(tItens[[#This Row],[Produto]],tProdutos[Produto],0)),"Não")</f>
        <v>Sim</v>
      </c>
      <c r="O6931" t="str">
        <f>IFERROR(INDEX(tEditais[SRP],MATCH(tItens[[#This Row],[Edital]],tEditais[Edital],0)),"Não")</f>
        <v>Não</v>
      </c>
      <c r="P6931" s="4">
        <f>IF(COUNTIFS(INDEX(tItens[Edital],1):tItens[[#This Row],[Edital]],tItens[[#This Row],[Edital]],INDEX(tItens[Produto],1):tItens[[#This Row],[Produto]],tItens[[#This Row],[Produto]])=1,1,0)</f>
        <v>0</v>
      </c>
    </row>
    <row r="6932" spans="1:16" x14ac:dyDescent="0.25">
      <c r="A6932" t="s">
        <v>2452</v>
      </c>
      <c r="B6932">
        <v>8039890</v>
      </c>
      <c r="C6932" t="s">
        <v>9596</v>
      </c>
      <c r="D6932" t="s">
        <v>98</v>
      </c>
      <c r="E6932" s="13">
        <v>4</v>
      </c>
      <c r="F6932" s="12">
        <v>7.31</v>
      </c>
      <c r="G6932" t="str">
        <f>IFERROR(INDEX(tEditais[Órgão],MATCH(tItens[[#This Row],[Edital]],tEditais[Edital],0)),"")</f>
        <v>MUNICIPIO DE ALTA FLORESTA D'OESTE</v>
      </c>
      <c r="H6932" t="str">
        <f>IFERROR(INDEX(tEditais[UF],MATCH(tItens[[#This Row],[Edital]],tEditais[Edital],0)),"")</f>
        <v>RO</v>
      </c>
      <c r="I6932" s="11">
        <f>IFERROR(INDEX(tEditais[Encerramento],MATCH(tItens[[#This Row],[Edital]],tEditais[Edital],0)),"")</f>
        <v>46309.416666666664</v>
      </c>
      <c r="J6932" t="str">
        <f>IFERROR(INDEX(tProdutos[Classe],MATCH(tItens[[#This Row],[Produto]],tProdutos[Produto],0)),"produto não cadastrado")</f>
        <v>NÚCLEO</v>
      </c>
      <c r="K6932" s="12">
        <f>tItens[[#This Row],[Qtd]]*tItens[[#This Row],[Vlr unit]]</f>
        <v>29.24</v>
      </c>
      <c r="L6932" s="6">
        <f>IFERROR(IF(INDEX(tProdutos[Desconto homologado],MATCH(tItens[[#This Row],[Produto]],tProdutos[Produto],0))="",DescontoPadrao,INDEX(tProdutos[Desconto homologado],MATCH(tItens[[#This Row],[Produto]],tProdutos[Produto],0))),DescontoPadrao)</f>
        <v>0.39</v>
      </c>
      <c r="M6932" s="12">
        <f>tItens[[#This Row],[Valor]]*(1-tItens[[#This Row],[Desconto]])</f>
        <v>17.836399999999998</v>
      </c>
      <c r="N6932" t="str">
        <f>IFERROR(INDEX(tProdutos[Foco],MATCH(tItens[[#This Row],[Produto]],tProdutos[Produto],0)),"Não")</f>
        <v>Sim</v>
      </c>
      <c r="O6932" t="str">
        <f>IFERROR(INDEX(tEditais[SRP],MATCH(tItens[[#This Row],[Edital]],tEditais[Edital],0)),"Não")</f>
        <v>Não</v>
      </c>
      <c r="P6932" s="4">
        <f>IF(COUNTIFS(INDEX(tItens[Edital],1):tItens[[#This Row],[Edital]],tItens[[#This Row],[Edital]],INDEX(tItens[Produto],1):tItens[[#This Row],[Produto]],tItens[[#This Row],[Produto]])=1,1,0)</f>
        <v>0</v>
      </c>
    </row>
    <row r="6933" spans="1:16" x14ac:dyDescent="0.25">
      <c r="A6933" t="s">
        <v>2452</v>
      </c>
      <c r="B6933">
        <v>8039891</v>
      </c>
      <c r="C6933" t="s">
        <v>9597</v>
      </c>
      <c r="D6933" t="s">
        <v>98</v>
      </c>
      <c r="E6933" s="13">
        <v>4</v>
      </c>
      <c r="F6933" s="12">
        <v>8.3800000000000008</v>
      </c>
      <c r="G6933" t="str">
        <f>IFERROR(INDEX(tEditais[Órgão],MATCH(tItens[[#This Row],[Edital]],tEditais[Edital],0)),"")</f>
        <v>MUNICIPIO DE ALTA FLORESTA D'OESTE</v>
      </c>
      <c r="H6933" t="str">
        <f>IFERROR(INDEX(tEditais[UF],MATCH(tItens[[#This Row],[Edital]],tEditais[Edital],0)),"")</f>
        <v>RO</v>
      </c>
      <c r="I6933" s="11">
        <f>IFERROR(INDEX(tEditais[Encerramento],MATCH(tItens[[#This Row],[Edital]],tEditais[Edital],0)),"")</f>
        <v>46309.416666666664</v>
      </c>
      <c r="J6933" t="str">
        <f>IFERROR(INDEX(tProdutos[Classe],MATCH(tItens[[#This Row],[Produto]],tProdutos[Produto],0)),"produto não cadastrado")</f>
        <v>NÚCLEO</v>
      </c>
      <c r="K6933" s="12">
        <f>tItens[[#This Row],[Qtd]]*tItens[[#This Row],[Vlr unit]]</f>
        <v>33.520000000000003</v>
      </c>
      <c r="L6933" s="6">
        <f>IFERROR(IF(INDEX(tProdutos[Desconto homologado],MATCH(tItens[[#This Row],[Produto]],tProdutos[Produto],0))="",DescontoPadrao,INDEX(tProdutos[Desconto homologado],MATCH(tItens[[#This Row],[Produto]],tProdutos[Produto],0))),DescontoPadrao)</f>
        <v>0.39</v>
      </c>
      <c r="M6933" s="12">
        <f>tItens[[#This Row],[Valor]]*(1-tItens[[#This Row],[Desconto]])</f>
        <v>20.447200000000002</v>
      </c>
      <c r="N6933" t="str">
        <f>IFERROR(INDEX(tProdutos[Foco],MATCH(tItens[[#This Row],[Produto]],tProdutos[Produto],0)),"Não")</f>
        <v>Sim</v>
      </c>
      <c r="O6933" t="str">
        <f>IFERROR(INDEX(tEditais[SRP],MATCH(tItens[[#This Row],[Edital]],tEditais[Edital],0)),"Não")</f>
        <v>Não</v>
      </c>
      <c r="P6933" s="4">
        <f>IF(COUNTIFS(INDEX(tItens[Edital],1):tItens[[#This Row],[Edital]],tItens[[#This Row],[Edital]],INDEX(tItens[Produto],1):tItens[[#This Row],[Produto]],tItens[[#This Row],[Produto]])=1,1,0)</f>
        <v>0</v>
      </c>
    </row>
    <row r="6934" spans="1:16" x14ac:dyDescent="0.25">
      <c r="A6934" t="s">
        <v>2452</v>
      </c>
      <c r="B6934">
        <v>8039899</v>
      </c>
      <c r="C6934" t="s">
        <v>9598</v>
      </c>
      <c r="D6934" t="s">
        <v>69</v>
      </c>
      <c r="E6934" s="13">
        <v>250</v>
      </c>
      <c r="F6934" s="12">
        <v>1.04</v>
      </c>
      <c r="G6934" t="str">
        <f>IFERROR(INDEX(tEditais[Órgão],MATCH(tItens[[#This Row],[Edital]],tEditais[Edital],0)),"")</f>
        <v>MUNICIPIO DE ALTA FLORESTA D'OESTE</v>
      </c>
      <c r="H6934" t="str">
        <f>IFERROR(INDEX(tEditais[UF],MATCH(tItens[[#This Row],[Edital]],tEditais[Edital],0)),"")</f>
        <v>RO</v>
      </c>
      <c r="I6934" s="11">
        <f>IFERROR(INDEX(tEditais[Encerramento],MATCH(tItens[[#This Row],[Edital]],tEditais[Edital],0)),"")</f>
        <v>46309.416666666664</v>
      </c>
      <c r="J6934" t="str">
        <f>IFERROR(INDEX(tProdutos[Classe],MATCH(tItens[[#This Row],[Produto]],tProdutos[Produto],0)),"produto não cadastrado")</f>
        <v>NÚCLEO</v>
      </c>
      <c r="K6934" s="12">
        <f>tItens[[#This Row],[Qtd]]*tItens[[#This Row],[Vlr unit]]</f>
        <v>260</v>
      </c>
      <c r="L6934" s="6">
        <f>IFERROR(IF(INDEX(tProdutos[Desconto homologado],MATCH(tItens[[#This Row],[Produto]],tProdutos[Produto],0))="",DescontoPadrao,INDEX(tProdutos[Desconto homologado],MATCH(tItens[[#This Row],[Produto]],tProdutos[Produto],0))),DescontoPadrao)</f>
        <v>0.38829259638568803</v>
      </c>
      <c r="M6934" s="12">
        <f>tItens[[#This Row],[Valor]]*(1-tItens[[#This Row],[Desconto]])</f>
        <v>159.04392493972111</v>
      </c>
      <c r="N6934" t="str">
        <f>IFERROR(INDEX(tProdutos[Foco],MATCH(tItens[[#This Row],[Produto]],tProdutos[Produto],0)),"Não")</f>
        <v>Não</v>
      </c>
      <c r="O6934" t="str">
        <f>IFERROR(INDEX(tEditais[SRP],MATCH(tItens[[#This Row],[Edital]],tEditais[Edital],0)),"Não")</f>
        <v>Não</v>
      </c>
      <c r="P6934" s="4">
        <f>IF(COUNTIFS(INDEX(tItens[Edital],1):tItens[[#This Row],[Edital]],tItens[[#This Row],[Edital]],INDEX(tItens[Produto],1):tItens[[#This Row],[Produto]],tItens[[#This Row],[Produto]])=1,1,0)</f>
        <v>1</v>
      </c>
    </row>
    <row r="6935" spans="1:16" x14ac:dyDescent="0.25">
      <c r="A6935" t="s">
        <v>2452</v>
      </c>
      <c r="B6935">
        <v>8039900</v>
      </c>
      <c r="C6935" t="s">
        <v>9599</v>
      </c>
      <c r="D6935" t="s">
        <v>69</v>
      </c>
      <c r="E6935" s="13">
        <v>400</v>
      </c>
      <c r="F6935" s="12">
        <v>1.1000000000000001</v>
      </c>
      <c r="G6935" t="str">
        <f>IFERROR(INDEX(tEditais[Órgão],MATCH(tItens[[#This Row],[Edital]],tEditais[Edital],0)),"")</f>
        <v>MUNICIPIO DE ALTA FLORESTA D'OESTE</v>
      </c>
      <c r="H6935" t="str">
        <f>IFERROR(INDEX(tEditais[UF],MATCH(tItens[[#This Row],[Edital]],tEditais[Edital],0)),"")</f>
        <v>RO</v>
      </c>
      <c r="I6935" s="11">
        <f>IFERROR(INDEX(tEditais[Encerramento],MATCH(tItens[[#This Row],[Edital]],tEditais[Edital],0)),"")</f>
        <v>46309.416666666664</v>
      </c>
      <c r="J6935" t="str">
        <f>IFERROR(INDEX(tProdutos[Classe],MATCH(tItens[[#This Row],[Produto]],tProdutos[Produto],0)),"produto não cadastrado")</f>
        <v>NÚCLEO</v>
      </c>
      <c r="K6935" s="12">
        <f>tItens[[#This Row],[Qtd]]*tItens[[#This Row],[Vlr unit]]</f>
        <v>440.00000000000006</v>
      </c>
      <c r="L6935" s="6">
        <f>IFERROR(IF(INDEX(tProdutos[Desconto homologado],MATCH(tItens[[#This Row],[Produto]],tProdutos[Produto],0))="",DescontoPadrao,INDEX(tProdutos[Desconto homologado],MATCH(tItens[[#This Row],[Produto]],tProdutos[Produto],0))),DescontoPadrao)</f>
        <v>0.38829259638568803</v>
      </c>
      <c r="M6935" s="12">
        <f>tItens[[#This Row],[Valor]]*(1-tItens[[#This Row],[Desconto]])</f>
        <v>269.15125759029729</v>
      </c>
      <c r="N6935" t="str">
        <f>IFERROR(INDEX(tProdutos[Foco],MATCH(tItens[[#This Row],[Produto]],tProdutos[Produto],0)),"Não")</f>
        <v>Não</v>
      </c>
      <c r="O6935" t="str">
        <f>IFERROR(INDEX(tEditais[SRP],MATCH(tItens[[#This Row],[Edital]],tEditais[Edital],0)),"Não")</f>
        <v>Não</v>
      </c>
      <c r="P6935" s="4">
        <f>IF(COUNTIFS(INDEX(tItens[Edital],1):tItens[[#This Row],[Edital]],tItens[[#This Row],[Edital]],INDEX(tItens[Produto],1):tItens[[#This Row],[Produto]],tItens[[#This Row],[Produto]])=1,1,0)</f>
        <v>0</v>
      </c>
    </row>
    <row r="6936" spans="1:16" x14ac:dyDescent="0.25">
      <c r="A6936" t="s">
        <v>2452</v>
      </c>
      <c r="B6936">
        <v>8039901</v>
      </c>
      <c r="C6936" t="s">
        <v>9600</v>
      </c>
      <c r="D6936" t="s">
        <v>69</v>
      </c>
      <c r="E6936" s="13">
        <v>400</v>
      </c>
      <c r="F6936" s="12">
        <v>1.1499999999999999</v>
      </c>
      <c r="G6936" t="str">
        <f>IFERROR(INDEX(tEditais[Órgão],MATCH(tItens[[#This Row],[Edital]],tEditais[Edital],0)),"")</f>
        <v>MUNICIPIO DE ALTA FLORESTA D'OESTE</v>
      </c>
      <c r="H6936" t="str">
        <f>IFERROR(INDEX(tEditais[UF],MATCH(tItens[[#This Row],[Edital]],tEditais[Edital],0)),"")</f>
        <v>RO</v>
      </c>
      <c r="I6936" s="11">
        <f>IFERROR(INDEX(tEditais[Encerramento],MATCH(tItens[[#This Row],[Edital]],tEditais[Edital],0)),"")</f>
        <v>46309.416666666664</v>
      </c>
      <c r="J6936" t="str">
        <f>IFERROR(INDEX(tProdutos[Classe],MATCH(tItens[[#This Row],[Produto]],tProdutos[Produto],0)),"produto não cadastrado")</f>
        <v>NÚCLEO</v>
      </c>
      <c r="K6936" s="12">
        <f>tItens[[#This Row],[Qtd]]*tItens[[#This Row],[Vlr unit]]</f>
        <v>459.99999999999994</v>
      </c>
      <c r="L6936" s="6">
        <f>IFERROR(IF(INDEX(tProdutos[Desconto homologado],MATCH(tItens[[#This Row],[Produto]],tProdutos[Produto],0))="",DescontoPadrao,INDEX(tProdutos[Desconto homologado],MATCH(tItens[[#This Row],[Produto]],tProdutos[Produto],0))),DescontoPadrao)</f>
        <v>0.38829259638568803</v>
      </c>
      <c r="M6936" s="12">
        <f>tItens[[#This Row],[Valor]]*(1-tItens[[#This Row],[Desconto]])</f>
        <v>281.38540566258348</v>
      </c>
      <c r="N6936" t="str">
        <f>IFERROR(INDEX(tProdutos[Foco],MATCH(tItens[[#This Row],[Produto]],tProdutos[Produto],0)),"Não")</f>
        <v>Não</v>
      </c>
      <c r="O6936" t="str">
        <f>IFERROR(INDEX(tEditais[SRP],MATCH(tItens[[#This Row],[Edital]],tEditais[Edital],0)),"Não")</f>
        <v>Não</v>
      </c>
      <c r="P6936" s="4">
        <f>IF(COUNTIFS(INDEX(tItens[Edital],1):tItens[[#This Row],[Edital]],tItens[[#This Row],[Edital]],INDEX(tItens[Produto],1):tItens[[#This Row],[Produto]],tItens[[#This Row],[Produto]])=1,1,0)</f>
        <v>0</v>
      </c>
    </row>
    <row r="6937" spans="1:16" x14ac:dyDescent="0.25">
      <c r="A6937" t="s">
        <v>2452</v>
      </c>
      <c r="B6937">
        <v>8039902</v>
      </c>
      <c r="C6937" t="s">
        <v>9601</v>
      </c>
      <c r="D6937" t="s">
        <v>69</v>
      </c>
      <c r="E6937" s="13">
        <v>300</v>
      </c>
      <c r="F6937" s="12">
        <v>1.1399999999999999</v>
      </c>
      <c r="G6937" t="str">
        <f>IFERROR(INDEX(tEditais[Órgão],MATCH(tItens[[#This Row],[Edital]],tEditais[Edital],0)),"")</f>
        <v>MUNICIPIO DE ALTA FLORESTA D'OESTE</v>
      </c>
      <c r="H6937" t="str">
        <f>IFERROR(INDEX(tEditais[UF],MATCH(tItens[[#This Row],[Edital]],tEditais[Edital],0)),"")</f>
        <v>RO</v>
      </c>
      <c r="I6937" s="11">
        <f>IFERROR(INDEX(tEditais[Encerramento],MATCH(tItens[[#This Row],[Edital]],tEditais[Edital],0)),"")</f>
        <v>46309.416666666664</v>
      </c>
      <c r="J6937" t="str">
        <f>IFERROR(INDEX(tProdutos[Classe],MATCH(tItens[[#This Row],[Produto]],tProdutos[Produto],0)),"produto não cadastrado")</f>
        <v>NÚCLEO</v>
      </c>
      <c r="K6937" s="12">
        <f>tItens[[#This Row],[Qtd]]*tItens[[#This Row],[Vlr unit]]</f>
        <v>341.99999999999994</v>
      </c>
      <c r="L6937" s="6">
        <f>IFERROR(IF(INDEX(tProdutos[Desconto homologado],MATCH(tItens[[#This Row],[Produto]],tProdutos[Produto],0))="",DescontoPadrao,INDEX(tProdutos[Desconto homologado],MATCH(tItens[[#This Row],[Produto]],tProdutos[Produto],0))),DescontoPadrao)</f>
        <v>0.38829259638568803</v>
      </c>
      <c r="M6937" s="12">
        <f>tItens[[#This Row],[Valor]]*(1-tItens[[#This Row],[Desconto]])</f>
        <v>209.20393203609467</v>
      </c>
      <c r="N6937" t="str">
        <f>IFERROR(INDEX(tProdutos[Foco],MATCH(tItens[[#This Row],[Produto]],tProdutos[Produto],0)),"Não")</f>
        <v>Não</v>
      </c>
      <c r="O6937" t="str">
        <f>IFERROR(INDEX(tEditais[SRP],MATCH(tItens[[#This Row],[Edital]],tEditais[Edital],0)),"Não")</f>
        <v>Não</v>
      </c>
      <c r="P6937" s="4">
        <f>IF(COUNTIFS(INDEX(tItens[Edital],1):tItens[[#This Row],[Edital]],tItens[[#This Row],[Edital]],INDEX(tItens[Produto],1):tItens[[#This Row],[Produto]],tItens[[#This Row],[Produto]])=1,1,0)</f>
        <v>0</v>
      </c>
    </row>
    <row r="6938" spans="1:16" x14ac:dyDescent="0.25">
      <c r="A6938" t="s">
        <v>2452</v>
      </c>
      <c r="B6938">
        <v>8039903</v>
      </c>
      <c r="C6938" t="s">
        <v>9602</v>
      </c>
      <c r="D6938" t="s">
        <v>69</v>
      </c>
      <c r="E6938" s="13">
        <v>400</v>
      </c>
      <c r="F6938" s="12">
        <v>1.23</v>
      </c>
      <c r="G6938" t="str">
        <f>IFERROR(INDEX(tEditais[Órgão],MATCH(tItens[[#This Row],[Edital]],tEditais[Edital],0)),"")</f>
        <v>MUNICIPIO DE ALTA FLORESTA D'OESTE</v>
      </c>
      <c r="H6938" t="str">
        <f>IFERROR(INDEX(tEditais[UF],MATCH(tItens[[#This Row],[Edital]],tEditais[Edital],0)),"")</f>
        <v>RO</v>
      </c>
      <c r="I6938" s="11">
        <f>IFERROR(INDEX(tEditais[Encerramento],MATCH(tItens[[#This Row],[Edital]],tEditais[Edital],0)),"")</f>
        <v>46309.416666666664</v>
      </c>
      <c r="J6938" t="str">
        <f>IFERROR(INDEX(tProdutos[Classe],MATCH(tItens[[#This Row],[Produto]],tProdutos[Produto],0)),"produto não cadastrado")</f>
        <v>NÚCLEO</v>
      </c>
      <c r="K6938" s="12">
        <f>tItens[[#This Row],[Qtd]]*tItens[[#This Row],[Vlr unit]]</f>
        <v>492</v>
      </c>
      <c r="L6938" s="6">
        <f>IFERROR(IF(INDEX(tProdutos[Desconto homologado],MATCH(tItens[[#This Row],[Produto]],tProdutos[Produto],0))="",DescontoPadrao,INDEX(tProdutos[Desconto homologado],MATCH(tItens[[#This Row],[Produto]],tProdutos[Produto],0))),DescontoPadrao)</f>
        <v>0.38829259638568803</v>
      </c>
      <c r="M6938" s="12">
        <f>tItens[[#This Row],[Valor]]*(1-tItens[[#This Row],[Desconto]])</f>
        <v>300.96004257824148</v>
      </c>
      <c r="N6938" t="str">
        <f>IFERROR(INDEX(tProdutos[Foco],MATCH(tItens[[#This Row],[Produto]],tProdutos[Produto],0)),"Não")</f>
        <v>Não</v>
      </c>
      <c r="O6938" t="str">
        <f>IFERROR(INDEX(tEditais[SRP],MATCH(tItens[[#This Row],[Edital]],tEditais[Edital],0)),"Não")</f>
        <v>Não</v>
      </c>
      <c r="P6938" s="4">
        <f>IF(COUNTIFS(INDEX(tItens[Edital],1):tItens[[#This Row],[Edital]],tItens[[#This Row],[Edital]],INDEX(tItens[Produto],1):tItens[[#This Row],[Produto]],tItens[[#This Row],[Produto]])=1,1,0)</f>
        <v>0</v>
      </c>
    </row>
    <row r="6939" spans="1:16" x14ac:dyDescent="0.25">
      <c r="A6939" t="s">
        <v>2452</v>
      </c>
      <c r="B6939">
        <v>8039904</v>
      </c>
      <c r="C6939" t="s">
        <v>9603</v>
      </c>
      <c r="D6939" t="s">
        <v>69</v>
      </c>
      <c r="E6939" s="13">
        <v>300</v>
      </c>
      <c r="F6939" s="12">
        <v>1.38</v>
      </c>
      <c r="G6939" t="str">
        <f>IFERROR(INDEX(tEditais[Órgão],MATCH(tItens[[#This Row],[Edital]],tEditais[Edital],0)),"")</f>
        <v>MUNICIPIO DE ALTA FLORESTA D'OESTE</v>
      </c>
      <c r="H6939" t="str">
        <f>IFERROR(INDEX(tEditais[UF],MATCH(tItens[[#This Row],[Edital]],tEditais[Edital],0)),"")</f>
        <v>RO</v>
      </c>
      <c r="I6939" s="11">
        <f>IFERROR(INDEX(tEditais[Encerramento],MATCH(tItens[[#This Row],[Edital]],tEditais[Edital],0)),"")</f>
        <v>46309.416666666664</v>
      </c>
      <c r="J6939" t="str">
        <f>IFERROR(INDEX(tProdutos[Classe],MATCH(tItens[[#This Row],[Produto]],tProdutos[Produto],0)),"produto não cadastrado")</f>
        <v>NÚCLEO</v>
      </c>
      <c r="K6939" s="12">
        <f>tItens[[#This Row],[Qtd]]*tItens[[#This Row],[Vlr unit]]</f>
        <v>413.99999999999994</v>
      </c>
      <c r="L6939" s="6">
        <f>IFERROR(IF(INDEX(tProdutos[Desconto homologado],MATCH(tItens[[#This Row],[Produto]],tProdutos[Produto],0))="",DescontoPadrao,INDEX(tProdutos[Desconto homologado],MATCH(tItens[[#This Row],[Produto]],tProdutos[Produto],0))),DescontoPadrao)</f>
        <v>0.38829259638568803</v>
      </c>
      <c r="M6939" s="12">
        <f>tItens[[#This Row],[Valor]]*(1-tItens[[#This Row],[Desconto]])</f>
        <v>253.24686509632511</v>
      </c>
      <c r="N6939" t="str">
        <f>IFERROR(INDEX(tProdutos[Foco],MATCH(tItens[[#This Row],[Produto]],tProdutos[Produto],0)),"Não")</f>
        <v>Não</v>
      </c>
      <c r="O6939" t="str">
        <f>IFERROR(INDEX(tEditais[SRP],MATCH(tItens[[#This Row],[Edital]],tEditais[Edital],0)),"Não")</f>
        <v>Não</v>
      </c>
      <c r="P6939" s="4">
        <f>IF(COUNTIFS(INDEX(tItens[Edital],1):tItens[[#This Row],[Edital]],tItens[[#This Row],[Edital]],INDEX(tItens[Produto],1):tItens[[#This Row],[Produto]],tItens[[#This Row],[Produto]])=1,1,0)</f>
        <v>0</v>
      </c>
    </row>
    <row r="6940" spans="1:16" x14ac:dyDescent="0.25">
      <c r="A6940" t="s">
        <v>2452</v>
      </c>
      <c r="B6940">
        <v>8039905</v>
      </c>
      <c r="C6940" t="s">
        <v>9604</v>
      </c>
      <c r="D6940" t="s">
        <v>69</v>
      </c>
      <c r="E6940" s="13">
        <v>500</v>
      </c>
      <c r="F6940" s="12">
        <v>1.47</v>
      </c>
      <c r="G6940" t="str">
        <f>IFERROR(INDEX(tEditais[Órgão],MATCH(tItens[[#This Row],[Edital]],tEditais[Edital],0)),"")</f>
        <v>MUNICIPIO DE ALTA FLORESTA D'OESTE</v>
      </c>
      <c r="H6940" t="str">
        <f>IFERROR(INDEX(tEditais[UF],MATCH(tItens[[#This Row],[Edital]],tEditais[Edital],0)),"")</f>
        <v>RO</v>
      </c>
      <c r="I6940" s="11">
        <f>IFERROR(INDEX(tEditais[Encerramento],MATCH(tItens[[#This Row],[Edital]],tEditais[Edital],0)),"")</f>
        <v>46309.416666666664</v>
      </c>
      <c r="J6940" t="str">
        <f>IFERROR(INDEX(tProdutos[Classe],MATCH(tItens[[#This Row],[Produto]],tProdutos[Produto],0)),"produto não cadastrado")</f>
        <v>NÚCLEO</v>
      </c>
      <c r="K6940" s="12">
        <f>tItens[[#This Row],[Qtd]]*tItens[[#This Row],[Vlr unit]]</f>
        <v>735</v>
      </c>
      <c r="L6940" s="6">
        <f>IFERROR(IF(INDEX(tProdutos[Desconto homologado],MATCH(tItens[[#This Row],[Produto]],tProdutos[Produto],0))="",DescontoPadrao,INDEX(tProdutos[Desconto homologado],MATCH(tItens[[#This Row],[Produto]],tProdutos[Produto],0))),DescontoPadrao)</f>
        <v>0.38829259638568803</v>
      </c>
      <c r="M6940" s="12">
        <f>tItens[[#This Row],[Valor]]*(1-tItens[[#This Row],[Desconto]])</f>
        <v>449.60494165651932</v>
      </c>
      <c r="N6940" t="str">
        <f>IFERROR(INDEX(tProdutos[Foco],MATCH(tItens[[#This Row],[Produto]],tProdutos[Produto],0)),"Não")</f>
        <v>Não</v>
      </c>
      <c r="O6940" t="str">
        <f>IFERROR(INDEX(tEditais[SRP],MATCH(tItens[[#This Row],[Edital]],tEditais[Edital],0)),"Não")</f>
        <v>Não</v>
      </c>
      <c r="P6940" s="4">
        <f>IF(COUNTIFS(INDEX(tItens[Edital],1):tItens[[#This Row],[Edital]],tItens[[#This Row],[Edital]],INDEX(tItens[Produto],1):tItens[[#This Row],[Produto]],tItens[[#This Row],[Produto]])=1,1,0)</f>
        <v>0</v>
      </c>
    </row>
    <row r="6941" spans="1:16" x14ac:dyDescent="0.25">
      <c r="A6941" t="s">
        <v>2452</v>
      </c>
      <c r="B6941">
        <v>8039906</v>
      </c>
      <c r="C6941" t="s">
        <v>9605</v>
      </c>
      <c r="D6941" t="s">
        <v>69</v>
      </c>
      <c r="E6941" s="13">
        <v>140</v>
      </c>
      <c r="F6941" s="12">
        <v>1.8</v>
      </c>
      <c r="G6941" t="str">
        <f>IFERROR(INDEX(tEditais[Órgão],MATCH(tItens[[#This Row],[Edital]],tEditais[Edital],0)),"")</f>
        <v>MUNICIPIO DE ALTA FLORESTA D'OESTE</v>
      </c>
      <c r="H6941" t="str">
        <f>IFERROR(INDEX(tEditais[UF],MATCH(tItens[[#This Row],[Edital]],tEditais[Edital],0)),"")</f>
        <v>RO</v>
      </c>
      <c r="I6941" s="11">
        <f>IFERROR(INDEX(tEditais[Encerramento],MATCH(tItens[[#This Row],[Edital]],tEditais[Edital],0)),"")</f>
        <v>46309.416666666664</v>
      </c>
      <c r="J6941" t="str">
        <f>IFERROR(INDEX(tProdutos[Classe],MATCH(tItens[[#This Row],[Produto]],tProdutos[Produto],0)),"produto não cadastrado")</f>
        <v>NÚCLEO</v>
      </c>
      <c r="K6941" s="12">
        <f>tItens[[#This Row],[Qtd]]*tItens[[#This Row],[Vlr unit]]</f>
        <v>252</v>
      </c>
      <c r="L6941" s="6">
        <f>IFERROR(IF(INDEX(tProdutos[Desconto homologado],MATCH(tItens[[#This Row],[Produto]],tProdutos[Produto],0))="",DescontoPadrao,INDEX(tProdutos[Desconto homologado],MATCH(tItens[[#This Row],[Produto]],tProdutos[Produto],0))),DescontoPadrao)</f>
        <v>0.38829259638568803</v>
      </c>
      <c r="M6941" s="12">
        <f>tItens[[#This Row],[Valor]]*(1-tItens[[#This Row],[Desconto]])</f>
        <v>154.15026571080662</v>
      </c>
      <c r="N6941" t="str">
        <f>IFERROR(INDEX(tProdutos[Foco],MATCH(tItens[[#This Row],[Produto]],tProdutos[Produto],0)),"Não")</f>
        <v>Não</v>
      </c>
      <c r="O6941" t="str">
        <f>IFERROR(INDEX(tEditais[SRP],MATCH(tItens[[#This Row],[Edital]],tEditais[Edital],0)),"Não")</f>
        <v>Não</v>
      </c>
      <c r="P6941" s="4">
        <f>IF(COUNTIFS(INDEX(tItens[Edital],1):tItens[[#This Row],[Edital]],tItens[[#This Row],[Edital]],INDEX(tItens[Produto],1):tItens[[#This Row],[Produto]],tItens[[#This Row],[Produto]])=1,1,0)</f>
        <v>0</v>
      </c>
    </row>
    <row r="6942" spans="1:16" x14ac:dyDescent="0.25">
      <c r="A6942" t="s">
        <v>2452</v>
      </c>
      <c r="B6942">
        <v>8039907</v>
      </c>
      <c r="C6942" t="s">
        <v>9606</v>
      </c>
      <c r="D6942" t="s">
        <v>69</v>
      </c>
      <c r="E6942" s="13">
        <v>150</v>
      </c>
      <c r="F6942" s="12">
        <v>1.71</v>
      </c>
      <c r="G6942" t="str">
        <f>IFERROR(INDEX(tEditais[Órgão],MATCH(tItens[[#This Row],[Edital]],tEditais[Edital],0)),"")</f>
        <v>MUNICIPIO DE ALTA FLORESTA D'OESTE</v>
      </c>
      <c r="H6942" t="str">
        <f>IFERROR(INDEX(tEditais[UF],MATCH(tItens[[#This Row],[Edital]],tEditais[Edital],0)),"")</f>
        <v>RO</v>
      </c>
      <c r="I6942" s="11">
        <f>IFERROR(INDEX(tEditais[Encerramento],MATCH(tItens[[#This Row],[Edital]],tEditais[Edital],0)),"")</f>
        <v>46309.416666666664</v>
      </c>
      <c r="J6942" t="str">
        <f>IFERROR(INDEX(tProdutos[Classe],MATCH(tItens[[#This Row],[Produto]],tProdutos[Produto],0)),"produto não cadastrado")</f>
        <v>NÚCLEO</v>
      </c>
      <c r="K6942" s="12">
        <f>tItens[[#This Row],[Qtd]]*tItens[[#This Row],[Vlr unit]]</f>
        <v>256.5</v>
      </c>
      <c r="L6942" s="6">
        <f>IFERROR(IF(INDEX(tProdutos[Desconto homologado],MATCH(tItens[[#This Row],[Produto]],tProdutos[Produto],0))="",DescontoPadrao,INDEX(tProdutos[Desconto homologado],MATCH(tItens[[#This Row],[Produto]],tProdutos[Produto],0))),DescontoPadrao)</f>
        <v>0.38829259638568803</v>
      </c>
      <c r="M6942" s="12">
        <f>tItens[[#This Row],[Valor]]*(1-tItens[[#This Row],[Desconto]])</f>
        <v>156.90294902707103</v>
      </c>
      <c r="N6942" t="str">
        <f>IFERROR(INDEX(tProdutos[Foco],MATCH(tItens[[#This Row],[Produto]],tProdutos[Produto],0)),"Não")</f>
        <v>Não</v>
      </c>
      <c r="O6942" t="str">
        <f>IFERROR(INDEX(tEditais[SRP],MATCH(tItens[[#This Row],[Edital]],tEditais[Edital],0)),"Não")</f>
        <v>Não</v>
      </c>
      <c r="P6942" s="4">
        <f>IF(COUNTIFS(INDEX(tItens[Edital],1):tItens[[#This Row],[Edital]],tItens[[#This Row],[Edital]],INDEX(tItens[Produto],1):tItens[[#This Row],[Produto]],tItens[[#This Row],[Produto]])=1,1,0)</f>
        <v>0</v>
      </c>
    </row>
    <row r="6943" spans="1:16" x14ac:dyDescent="0.25">
      <c r="A6943" t="s">
        <v>2452</v>
      </c>
      <c r="B6943">
        <v>8039915</v>
      </c>
      <c r="C6943" t="s">
        <v>9607</v>
      </c>
      <c r="D6943" t="s">
        <v>245</v>
      </c>
      <c r="E6943" s="13">
        <v>15</v>
      </c>
      <c r="F6943" s="12">
        <v>167.6</v>
      </c>
      <c r="G6943" t="str">
        <f>IFERROR(INDEX(tEditais[Órgão],MATCH(tItens[[#This Row],[Edital]],tEditais[Edital],0)),"")</f>
        <v>MUNICIPIO DE ALTA FLORESTA D'OESTE</v>
      </c>
      <c r="H6943" t="str">
        <f>IFERROR(INDEX(tEditais[UF],MATCH(tItens[[#This Row],[Edital]],tEditais[Edital],0)),"")</f>
        <v>RO</v>
      </c>
      <c r="I6943" s="11">
        <f>IFERROR(INDEX(tEditais[Encerramento],MATCH(tItens[[#This Row],[Edital]],tEditais[Edital],0)),"")</f>
        <v>46309.416666666664</v>
      </c>
      <c r="J6943" t="str">
        <f>IFERROR(INDEX(tProdutos[Classe],MATCH(tItens[[#This Row],[Produto]],tProdutos[Produto],0)),"produto não cadastrado")</f>
        <v>FORA</v>
      </c>
      <c r="K6943" s="12">
        <f>tItens[[#This Row],[Qtd]]*tItens[[#This Row],[Vlr unit]]</f>
        <v>2514</v>
      </c>
      <c r="L6943" s="6">
        <f>IFERROR(IF(INDEX(tProdutos[Desconto homologado],MATCH(tItens[[#This Row],[Produto]],tProdutos[Produto],0))="",DescontoPadrao,INDEX(tProdutos[Desconto homologado],MATCH(tItens[[#This Row],[Produto]],tProdutos[Produto],0))),DescontoPadrao)</f>
        <v>0.34516963542284401</v>
      </c>
      <c r="M6943" s="12">
        <f>tItens[[#This Row],[Valor]]*(1-tItens[[#This Row],[Desconto]])</f>
        <v>1646.2435365469703</v>
      </c>
      <c r="N6943" t="str">
        <f>IFERROR(INDEX(tProdutos[Foco],MATCH(tItens[[#This Row],[Produto]],tProdutos[Produto],0)),"Não")</f>
        <v>Não</v>
      </c>
      <c r="O6943" t="str">
        <f>IFERROR(INDEX(tEditais[SRP],MATCH(tItens[[#This Row],[Edital]],tEditais[Edital],0)),"Não")</f>
        <v>Não</v>
      </c>
      <c r="P6943" s="4">
        <f>IF(COUNTIFS(INDEX(tItens[Edital],1):tItens[[#This Row],[Edital]],tItens[[#This Row],[Edital]],INDEX(tItens[Produto],1):tItens[[#This Row],[Produto]],tItens[[#This Row],[Produto]])=1,1,0)</f>
        <v>1</v>
      </c>
    </row>
    <row r="6944" spans="1:16" x14ac:dyDescent="0.25">
      <c r="A6944" t="s">
        <v>2452</v>
      </c>
      <c r="B6944">
        <v>8039916</v>
      </c>
      <c r="C6944" t="s">
        <v>9608</v>
      </c>
      <c r="D6944" t="s">
        <v>245</v>
      </c>
      <c r="E6944" s="13">
        <v>20</v>
      </c>
      <c r="F6944" s="12">
        <v>81.819999999999993</v>
      </c>
      <c r="G6944" t="str">
        <f>IFERROR(INDEX(tEditais[Órgão],MATCH(tItens[[#This Row],[Edital]],tEditais[Edital],0)),"")</f>
        <v>MUNICIPIO DE ALTA FLORESTA D'OESTE</v>
      </c>
      <c r="H6944" t="str">
        <f>IFERROR(INDEX(tEditais[UF],MATCH(tItens[[#This Row],[Edital]],tEditais[Edital],0)),"")</f>
        <v>RO</v>
      </c>
      <c r="I6944" s="11">
        <f>IFERROR(INDEX(tEditais[Encerramento],MATCH(tItens[[#This Row],[Edital]],tEditais[Edital],0)),"")</f>
        <v>46309.416666666664</v>
      </c>
      <c r="J6944" t="str">
        <f>IFERROR(INDEX(tProdutos[Classe],MATCH(tItens[[#This Row],[Produto]],tProdutos[Produto],0)),"produto não cadastrado")</f>
        <v>FORA</v>
      </c>
      <c r="K6944" s="12">
        <f>tItens[[#This Row],[Qtd]]*tItens[[#This Row],[Vlr unit]]</f>
        <v>1636.3999999999999</v>
      </c>
      <c r="L6944" s="6">
        <f>IFERROR(IF(INDEX(tProdutos[Desconto homologado],MATCH(tItens[[#This Row],[Produto]],tProdutos[Produto],0))="",DescontoPadrao,INDEX(tProdutos[Desconto homologado],MATCH(tItens[[#This Row],[Produto]],tProdutos[Produto],0))),DescontoPadrao)</f>
        <v>0.34516963542284401</v>
      </c>
      <c r="M6944" s="12">
        <f>tItens[[#This Row],[Valor]]*(1-tItens[[#This Row],[Desconto]])</f>
        <v>1071.564408594058</v>
      </c>
      <c r="N6944" t="str">
        <f>IFERROR(INDEX(tProdutos[Foco],MATCH(tItens[[#This Row],[Produto]],tProdutos[Produto],0)),"Não")</f>
        <v>Não</v>
      </c>
      <c r="O6944" t="str">
        <f>IFERROR(INDEX(tEditais[SRP],MATCH(tItens[[#This Row],[Edital]],tEditais[Edital],0)),"Não")</f>
        <v>Não</v>
      </c>
      <c r="P6944" s="4">
        <f>IF(COUNTIFS(INDEX(tItens[Edital],1):tItens[[#This Row],[Edital]],tItens[[#This Row],[Edital]],INDEX(tItens[Produto],1):tItens[[#This Row],[Produto]],tItens[[#This Row],[Produto]])=1,1,0)</f>
        <v>0</v>
      </c>
    </row>
    <row r="6945" spans="1:16" x14ac:dyDescent="0.25">
      <c r="A6945" t="s">
        <v>2452</v>
      </c>
      <c r="B6945">
        <v>8039917</v>
      </c>
      <c r="C6945" t="s">
        <v>9609</v>
      </c>
      <c r="D6945" t="s">
        <v>245</v>
      </c>
      <c r="E6945" s="13">
        <v>15</v>
      </c>
      <c r="F6945" s="12">
        <v>79.56</v>
      </c>
      <c r="G6945" t="str">
        <f>IFERROR(INDEX(tEditais[Órgão],MATCH(tItens[[#This Row],[Edital]],tEditais[Edital],0)),"")</f>
        <v>MUNICIPIO DE ALTA FLORESTA D'OESTE</v>
      </c>
      <c r="H6945" t="str">
        <f>IFERROR(INDEX(tEditais[UF],MATCH(tItens[[#This Row],[Edital]],tEditais[Edital],0)),"")</f>
        <v>RO</v>
      </c>
      <c r="I6945" s="11">
        <f>IFERROR(INDEX(tEditais[Encerramento],MATCH(tItens[[#This Row],[Edital]],tEditais[Edital],0)),"")</f>
        <v>46309.416666666664</v>
      </c>
      <c r="J6945" t="str">
        <f>IFERROR(INDEX(tProdutos[Classe],MATCH(tItens[[#This Row],[Produto]],tProdutos[Produto],0)),"produto não cadastrado")</f>
        <v>FORA</v>
      </c>
      <c r="K6945" s="12">
        <f>tItens[[#This Row],[Qtd]]*tItens[[#This Row],[Vlr unit]]</f>
        <v>1193.4000000000001</v>
      </c>
      <c r="L6945" s="6">
        <f>IFERROR(IF(INDEX(tProdutos[Desconto homologado],MATCH(tItens[[#This Row],[Produto]],tProdutos[Produto],0))="",DescontoPadrao,INDEX(tProdutos[Desconto homologado],MATCH(tItens[[#This Row],[Produto]],tProdutos[Produto],0))),DescontoPadrao)</f>
        <v>0.34516963542284401</v>
      </c>
      <c r="M6945" s="12">
        <f>tItens[[#This Row],[Valor]]*(1-tItens[[#This Row],[Desconto]])</f>
        <v>781.47455708637813</v>
      </c>
      <c r="N6945" t="str">
        <f>IFERROR(INDEX(tProdutos[Foco],MATCH(tItens[[#This Row],[Produto]],tProdutos[Produto],0)),"Não")</f>
        <v>Não</v>
      </c>
      <c r="O6945" t="str">
        <f>IFERROR(INDEX(tEditais[SRP],MATCH(tItens[[#This Row],[Edital]],tEditais[Edital],0)),"Não")</f>
        <v>Não</v>
      </c>
      <c r="P6945" s="4">
        <f>IF(COUNTIFS(INDEX(tItens[Edital],1):tItens[[#This Row],[Edital]],tItens[[#This Row],[Edital]],INDEX(tItens[Produto],1):tItens[[#This Row],[Produto]],tItens[[#This Row],[Produto]])=1,1,0)</f>
        <v>0</v>
      </c>
    </row>
    <row r="6946" spans="1:16" x14ac:dyDescent="0.25">
      <c r="A6946" t="s">
        <v>2452</v>
      </c>
      <c r="B6946">
        <v>8039918</v>
      </c>
      <c r="C6946" t="s">
        <v>9610</v>
      </c>
      <c r="D6946" t="s">
        <v>73</v>
      </c>
      <c r="E6946" s="13">
        <v>100</v>
      </c>
      <c r="F6946" s="12">
        <v>2.11</v>
      </c>
      <c r="G6946" t="str">
        <f>IFERROR(INDEX(tEditais[Órgão],MATCH(tItens[[#This Row],[Edital]],tEditais[Edital],0)),"")</f>
        <v>MUNICIPIO DE ALTA FLORESTA D'OESTE</v>
      </c>
      <c r="H6946" t="str">
        <f>IFERROR(INDEX(tEditais[UF],MATCH(tItens[[#This Row],[Edital]],tEditais[Edital],0)),"")</f>
        <v>RO</v>
      </c>
      <c r="I6946" s="11">
        <f>IFERROR(INDEX(tEditais[Encerramento],MATCH(tItens[[#This Row],[Edital]],tEditais[Edital],0)),"")</f>
        <v>46309.416666666664</v>
      </c>
      <c r="J6946" t="str">
        <f>IFERROR(INDEX(tProdutos[Classe],MATCH(tItens[[#This Row],[Produto]],tProdutos[Produto],0)),"produto não cadastrado")</f>
        <v>NÚCLEO</v>
      </c>
      <c r="K6946" s="12">
        <f>tItens[[#This Row],[Qtd]]*tItens[[#This Row],[Vlr unit]]</f>
        <v>211</v>
      </c>
      <c r="L6946" s="6">
        <f>IFERROR(IF(INDEX(tProdutos[Desconto homologado],MATCH(tItens[[#This Row],[Produto]],tProdutos[Produto],0))="",DescontoPadrao,INDEX(tProdutos[Desconto homologado],MATCH(tItens[[#This Row],[Produto]],tProdutos[Produto],0))),DescontoPadrao)</f>
        <v>0.37</v>
      </c>
      <c r="M6946" s="12">
        <f>tItens[[#This Row],[Valor]]*(1-tItens[[#This Row],[Desconto]])</f>
        <v>132.93</v>
      </c>
      <c r="N6946" t="str">
        <f>IFERROR(INDEX(tProdutos[Foco],MATCH(tItens[[#This Row],[Produto]],tProdutos[Produto],0)),"Não")</f>
        <v>Sim</v>
      </c>
      <c r="O6946" t="str">
        <f>IFERROR(INDEX(tEditais[SRP],MATCH(tItens[[#This Row],[Edital]],tEditais[Edital],0)),"Não")</f>
        <v>Não</v>
      </c>
      <c r="P6946" s="4">
        <f>IF(COUNTIFS(INDEX(tItens[Edital],1):tItens[[#This Row],[Edital]],tItens[[#This Row],[Edital]],INDEX(tItens[Produto],1):tItens[[#This Row],[Produto]],tItens[[#This Row],[Produto]])=1,1,0)</f>
        <v>1</v>
      </c>
    </row>
    <row r="6947" spans="1:16" x14ac:dyDescent="0.25">
      <c r="A6947" t="s">
        <v>2452</v>
      </c>
      <c r="B6947">
        <v>8039919</v>
      </c>
      <c r="C6947" t="s">
        <v>9611</v>
      </c>
      <c r="D6947" t="s">
        <v>73</v>
      </c>
      <c r="E6947" s="13">
        <v>3500</v>
      </c>
      <c r="F6947" s="12">
        <v>2.4700000000000002</v>
      </c>
      <c r="G6947" t="str">
        <f>IFERROR(INDEX(tEditais[Órgão],MATCH(tItens[[#This Row],[Edital]],tEditais[Edital],0)),"")</f>
        <v>MUNICIPIO DE ALTA FLORESTA D'OESTE</v>
      </c>
      <c r="H6947" t="str">
        <f>IFERROR(INDEX(tEditais[UF],MATCH(tItens[[#This Row],[Edital]],tEditais[Edital],0)),"")</f>
        <v>RO</v>
      </c>
      <c r="I6947" s="11">
        <f>IFERROR(INDEX(tEditais[Encerramento],MATCH(tItens[[#This Row],[Edital]],tEditais[Edital],0)),"")</f>
        <v>46309.416666666664</v>
      </c>
      <c r="J6947" t="str">
        <f>IFERROR(INDEX(tProdutos[Classe],MATCH(tItens[[#This Row],[Produto]],tProdutos[Produto],0)),"produto não cadastrado")</f>
        <v>NÚCLEO</v>
      </c>
      <c r="K6947" s="12">
        <f>tItens[[#This Row],[Qtd]]*tItens[[#This Row],[Vlr unit]]</f>
        <v>8645</v>
      </c>
      <c r="L6947" s="6">
        <f>IFERROR(IF(INDEX(tProdutos[Desconto homologado],MATCH(tItens[[#This Row],[Produto]],tProdutos[Produto],0))="",DescontoPadrao,INDEX(tProdutos[Desconto homologado],MATCH(tItens[[#This Row],[Produto]],tProdutos[Produto],0))),DescontoPadrao)</f>
        <v>0.37</v>
      </c>
      <c r="M6947" s="12">
        <f>tItens[[#This Row],[Valor]]*(1-tItens[[#This Row],[Desconto]])</f>
        <v>5446.35</v>
      </c>
      <c r="N6947" t="str">
        <f>IFERROR(INDEX(tProdutos[Foco],MATCH(tItens[[#This Row],[Produto]],tProdutos[Produto],0)),"Não")</f>
        <v>Sim</v>
      </c>
      <c r="O6947" t="str">
        <f>IFERROR(INDEX(tEditais[SRP],MATCH(tItens[[#This Row],[Edital]],tEditais[Edital],0)),"Não")</f>
        <v>Não</v>
      </c>
      <c r="P6947" s="4">
        <f>IF(COUNTIFS(INDEX(tItens[Edital],1):tItens[[#This Row],[Edital]],tItens[[#This Row],[Edital]],INDEX(tItens[Produto],1):tItens[[#This Row],[Produto]],tItens[[#This Row],[Produto]])=1,1,0)</f>
        <v>0</v>
      </c>
    </row>
    <row r="6948" spans="1:16" x14ac:dyDescent="0.25">
      <c r="A6948" t="s">
        <v>2452</v>
      </c>
      <c r="B6948">
        <v>8039920</v>
      </c>
      <c r="C6948" t="s">
        <v>9612</v>
      </c>
      <c r="D6948" t="s">
        <v>73</v>
      </c>
      <c r="E6948" s="13">
        <v>1000</v>
      </c>
      <c r="F6948" s="12">
        <v>2.11</v>
      </c>
      <c r="G6948" t="str">
        <f>IFERROR(INDEX(tEditais[Órgão],MATCH(tItens[[#This Row],[Edital]],tEditais[Edital],0)),"")</f>
        <v>MUNICIPIO DE ALTA FLORESTA D'OESTE</v>
      </c>
      <c r="H6948" t="str">
        <f>IFERROR(INDEX(tEditais[UF],MATCH(tItens[[#This Row],[Edital]],tEditais[Edital],0)),"")</f>
        <v>RO</v>
      </c>
      <c r="I6948" s="11">
        <f>IFERROR(INDEX(tEditais[Encerramento],MATCH(tItens[[#This Row],[Edital]],tEditais[Edital],0)),"")</f>
        <v>46309.416666666664</v>
      </c>
      <c r="J6948" t="str">
        <f>IFERROR(INDEX(tProdutos[Classe],MATCH(tItens[[#This Row],[Produto]],tProdutos[Produto],0)),"produto não cadastrado")</f>
        <v>NÚCLEO</v>
      </c>
      <c r="K6948" s="12">
        <f>tItens[[#This Row],[Qtd]]*tItens[[#This Row],[Vlr unit]]</f>
        <v>2110</v>
      </c>
      <c r="L6948" s="6">
        <f>IFERROR(IF(INDEX(tProdutos[Desconto homologado],MATCH(tItens[[#This Row],[Produto]],tProdutos[Produto],0))="",DescontoPadrao,INDEX(tProdutos[Desconto homologado],MATCH(tItens[[#This Row],[Produto]],tProdutos[Produto],0))),DescontoPadrao)</f>
        <v>0.37</v>
      </c>
      <c r="M6948" s="12">
        <f>tItens[[#This Row],[Valor]]*(1-tItens[[#This Row],[Desconto]])</f>
        <v>1329.3</v>
      </c>
      <c r="N6948" t="str">
        <f>IFERROR(INDEX(tProdutos[Foco],MATCH(tItens[[#This Row],[Produto]],tProdutos[Produto],0)),"Não")</f>
        <v>Sim</v>
      </c>
      <c r="O6948" t="str">
        <f>IFERROR(INDEX(tEditais[SRP],MATCH(tItens[[#This Row],[Edital]],tEditais[Edital],0)),"Não")</f>
        <v>Não</v>
      </c>
      <c r="P6948" s="4">
        <f>IF(COUNTIFS(INDEX(tItens[Edital],1):tItens[[#This Row],[Edital]],tItens[[#This Row],[Edital]],INDEX(tItens[Produto],1):tItens[[#This Row],[Produto]],tItens[[#This Row],[Produto]])=1,1,0)</f>
        <v>0</v>
      </c>
    </row>
    <row r="6949" spans="1:16" x14ac:dyDescent="0.25">
      <c r="A6949" t="s">
        <v>2452</v>
      </c>
      <c r="B6949">
        <v>8039926</v>
      </c>
      <c r="C6949" t="s">
        <v>9613</v>
      </c>
      <c r="D6949" t="s">
        <v>245</v>
      </c>
      <c r="E6949" s="13">
        <v>20</v>
      </c>
      <c r="F6949" s="12">
        <v>31.13</v>
      </c>
      <c r="G6949" t="str">
        <f>IFERROR(INDEX(tEditais[Órgão],MATCH(tItens[[#This Row],[Edital]],tEditais[Edital],0)),"")</f>
        <v>MUNICIPIO DE ALTA FLORESTA D'OESTE</v>
      </c>
      <c r="H6949" t="str">
        <f>IFERROR(INDEX(tEditais[UF],MATCH(tItens[[#This Row],[Edital]],tEditais[Edital],0)),"")</f>
        <v>RO</v>
      </c>
      <c r="I6949" s="11">
        <f>IFERROR(INDEX(tEditais[Encerramento],MATCH(tItens[[#This Row],[Edital]],tEditais[Edital],0)),"")</f>
        <v>46309.416666666664</v>
      </c>
      <c r="J6949" t="str">
        <f>IFERROR(INDEX(tProdutos[Classe],MATCH(tItens[[#This Row],[Produto]],tProdutos[Produto],0)),"produto não cadastrado")</f>
        <v>FORA</v>
      </c>
      <c r="K6949" s="12">
        <f>tItens[[#This Row],[Qtd]]*tItens[[#This Row],[Vlr unit]]</f>
        <v>622.6</v>
      </c>
      <c r="L6949" s="6">
        <f>IFERROR(IF(INDEX(tProdutos[Desconto homologado],MATCH(tItens[[#This Row],[Produto]],tProdutos[Produto],0))="",DescontoPadrao,INDEX(tProdutos[Desconto homologado],MATCH(tItens[[#This Row],[Produto]],tProdutos[Produto],0))),DescontoPadrao)</f>
        <v>0.34516963542284401</v>
      </c>
      <c r="M6949" s="12">
        <f>tItens[[#This Row],[Valor]]*(1-tItens[[#This Row],[Desconto]])</f>
        <v>407.69738498573736</v>
      </c>
      <c r="N6949" t="str">
        <f>IFERROR(INDEX(tProdutos[Foco],MATCH(tItens[[#This Row],[Produto]],tProdutos[Produto],0)),"Não")</f>
        <v>Não</v>
      </c>
      <c r="O6949" t="str">
        <f>IFERROR(INDEX(tEditais[SRP],MATCH(tItens[[#This Row],[Edital]],tEditais[Edital],0)),"Não")</f>
        <v>Não</v>
      </c>
      <c r="P6949" s="4">
        <f>IF(COUNTIFS(INDEX(tItens[Edital],1):tItens[[#This Row],[Edital]],tItens[[#This Row],[Edital]],INDEX(tItens[Produto],1):tItens[[#This Row],[Produto]],tItens[[#This Row],[Produto]])=1,1,0)</f>
        <v>0</v>
      </c>
    </row>
    <row r="6950" spans="1:16" x14ac:dyDescent="0.25">
      <c r="A6950" t="s">
        <v>2452</v>
      </c>
      <c r="B6950">
        <v>8039927</v>
      </c>
      <c r="C6950" t="s">
        <v>9614</v>
      </c>
      <c r="D6950" t="s">
        <v>245</v>
      </c>
      <c r="E6950" s="13">
        <v>10</v>
      </c>
      <c r="F6950" s="12">
        <v>27.57</v>
      </c>
      <c r="G6950" t="str">
        <f>IFERROR(INDEX(tEditais[Órgão],MATCH(tItens[[#This Row],[Edital]],tEditais[Edital],0)),"")</f>
        <v>MUNICIPIO DE ALTA FLORESTA D'OESTE</v>
      </c>
      <c r="H6950" t="str">
        <f>IFERROR(INDEX(tEditais[UF],MATCH(tItens[[#This Row],[Edital]],tEditais[Edital],0)),"")</f>
        <v>RO</v>
      </c>
      <c r="I6950" s="11">
        <f>IFERROR(INDEX(tEditais[Encerramento],MATCH(tItens[[#This Row],[Edital]],tEditais[Edital],0)),"")</f>
        <v>46309.416666666664</v>
      </c>
      <c r="J6950" t="str">
        <f>IFERROR(INDEX(tProdutos[Classe],MATCH(tItens[[#This Row],[Produto]],tProdutos[Produto],0)),"produto não cadastrado")</f>
        <v>FORA</v>
      </c>
      <c r="K6950" s="12">
        <f>tItens[[#This Row],[Qtd]]*tItens[[#This Row],[Vlr unit]]</f>
        <v>275.7</v>
      </c>
      <c r="L6950" s="6">
        <f>IFERROR(IF(INDEX(tProdutos[Desconto homologado],MATCH(tItens[[#This Row],[Produto]],tProdutos[Produto],0))="",DescontoPadrao,INDEX(tProdutos[Desconto homologado],MATCH(tItens[[#This Row],[Produto]],tProdutos[Produto],0))),DescontoPadrao)</f>
        <v>0.34516963542284401</v>
      </c>
      <c r="M6950" s="12">
        <f>tItens[[#This Row],[Valor]]*(1-tItens[[#This Row],[Desconto]])</f>
        <v>180.53673151392192</v>
      </c>
      <c r="N6950" t="str">
        <f>IFERROR(INDEX(tProdutos[Foco],MATCH(tItens[[#This Row],[Produto]],tProdutos[Produto],0)),"Não")</f>
        <v>Não</v>
      </c>
      <c r="O6950" t="str">
        <f>IFERROR(INDEX(tEditais[SRP],MATCH(tItens[[#This Row],[Edital]],tEditais[Edital],0)),"Não")</f>
        <v>Não</v>
      </c>
      <c r="P6950" s="4">
        <f>IF(COUNTIFS(INDEX(tItens[Edital],1):tItens[[#This Row],[Edital]],tItens[[#This Row],[Edital]],INDEX(tItens[Produto],1):tItens[[#This Row],[Produto]],tItens[[#This Row],[Produto]])=1,1,0)</f>
        <v>0</v>
      </c>
    </row>
    <row r="6951" spans="1:16" x14ac:dyDescent="0.25">
      <c r="A6951" t="s">
        <v>2452</v>
      </c>
      <c r="B6951">
        <v>8039938</v>
      </c>
      <c r="C6951" t="s">
        <v>9615</v>
      </c>
      <c r="D6951" t="s">
        <v>611</v>
      </c>
      <c r="E6951" s="13">
        <v>12</v>
      </c>
      <c r="F6951" s="12">
        <v>204.7</v>
      </c>
      <c r="G6951" t="str">
        <f>IFERROR(INDEX(tEditais[Órgão],MATCH(tItens[[#This Row],[Edital]],tEditais[Edital],0)),"")</f>
        <v>MUNICIPIO DE ALTA FLORESTA D'OESTE</v>
      </c>
      <c r="H6951" t="str">
        <f>IFERROR(INDEX(tEditais[UF],MATCH(tItens[[#This Row],[Edital]],tEditais[Edital],0)),"")</f>
        <v>RO</v>
      </c>
      <c r="I6951" s="11">
        <f>IFERROR(INDEX(tEditais[Encerramento],MATCH(tItens[[#This Row],[Edital]],tEditais[Edital],0)),"")</f>
        <v>46309.416666666664</v>
      </c>
      <c r="J6951" t="str">
        <f>IFERROR(INDEX(tProdutos[Classe],MATCH(tItens[[#This Row],[Produto]],tProdutos[Produto],0)),"produto não cadastrado")</f>
        <v>FILA REBASE</v>
      </c>
      <c r="K6951" s="12">
        <f>tItens[[#This Row],[Qtd]]*tItens[[#This Row],[Vlr unit]]</f>
        <v>2456.3999999999996</v>
      </c>
      <c r="L6951" s="6">
        <f>IFERROR(IF(INDEX(tProdutos[Desconto homologado],MATCH(tItens[[#This Row],[Produto]],tProdutos[Produto],0))="",DescontoPadrao,INDEX(tProdutos[Desconto homologado],MATCH(tItens[[#This Row],[Produto]],tProdutos[Produto],0))),DescontoPadrao)</f>
        <v>0.3</v>
      </c>
      <c r="M6951" s="12">
        <f>tItens[[#This Row],[Valor]]*(1-tItens[[#This Row],[Desconto]])</f>
        <v>1719.4799999999996</v>
      </c>
      <c r="N6951" t="str">
        <f>IFERROR(INDEX(tProdutos[Foco],MATCH(tItens[[#This Row],[Produto]],tProdutos[Produto],0)),"Não")</f>
        <v>Não</v>
      </c>
      <c r="O6951" t="str">
        <f>IFERROR(INDEX(tEditais[SRP],MATCH(tItens[[#This Row],[Edital]],tEditais[Edital],0)),"Não")</f>
        <v>Não</v>
      </c>
      <c r="P6951" s="4">
        <f>IF(COUNTIFS(INDEX(tItens[Edital],1):tItens[[#This Row],[Edital]],tItens[[#This Row],[Edital]],INDEX(tItens[Produto],1):tItens[[#This Row],[Produto]],tItens[[#This Row],[Produto]])=1,1,0)</f>
        <v>1</v>
      </c>
    </row>
    <row r="6952" spans="1:16" x14ac:dyDescent="0.25">
      <c r="A6952" t="s">
        <v>2452</v>
      </c>
      <c r="B6952">
        <v>8039942</v>
      </c>
      <c r="C6952" t="s">
        <v>9616</v>
      </c>
      <c r="D6952" t="s">
        <v>140</v>
      </c>
      <c r="E6952" s="13">
        <v>400</v>
      </c>
      <c r="F6952" s="12">
        <v>29.27</v>
      </c>
      <c r="G6952" t="str">
        <f>IFERROR(INDEX(tEditais[Órgão],MATCH(tItens[[#This Row],[Edital]],tEditais[Edital],0)),"")</f>
        <v>MUNICIPIO DE ALTA FLORESTA D'OESTE</v>
      </c>
      <c r="H6952" t="str">
        <f>IFERROR(INDEX(tEditais[UF],MATCH(tItens[[#This Row],[Edital]],tEditais[Edital],0)),"")</f>
        <v>RO</v>
      </c>
      <c r="I6952" s="11">
        <f>IFERROR(INDEX(tEditais[Encerramento],MATCH(tItens[[#This Row],[Edital]],tEditais[Edital],0)),"")</f>
        <v>46309.416666666664</v>
      </c>
      <c r="J6952" t="str">
        <f>IFERROR(INDEX(tProdutos[Classe],MATCH(tItens[[#This Row],[Produto]],tProdutos[Produto],0)),"produto não cadastrado")</f>
        <v>DISPUTADO</v>
      </c>
      <c r="K6952" s="12">
        <f>tItens[[#This Row],[Qtd]]*tItens[[#This Row],[Vlr unit]]</f>
        <v>11708</v>
      </c>
      <c r="L6952" s="6">
        <f>IFERROR(IF(INDEX(tProdutos[Desconto homologado],MATCH(tItens[[#This Row],[Produto]],tProdutos[Produto],0))="",DescontoPadrao,INDEX(tProdutos[Desconto homologado],MATCH(tItens[[#This Row],[Produto]],tProdutos[Produto],0))),DescontoPadrao)</f>
        <v>0.48560177208958899</v>
      </c>
      <c r="M6952" s="12">
        <f>tItens[[#This Row],[Valor]]*(1-tItens[[#This Row],[Desconto]])</f>
        <v>6022.5744523750918</v>
      </c>
      <c r="N6952" t="str">
        <f>IFERROR(INDEX(tProdutos[Foco],MATCH(tItens[[#This Row],[Produto]],tProdutos[Produto],0)),"Não")</f>
        <v>Não</v>
      </c>
      <c r="O6952" t="str">
        <f>IFERROR(INDEX(tEditais[SRP],MATCH(tItens[[#This Row],[Edital]],tEditais[Edital],0)),"Não")</f>
        <v>Não</v>
      </c>
      <c r="P6952" s="4">
        <f>IF(COUNTIFS(INDEX(tItens[Edital],1):tItens[[#This Row],[Edital]],tItens[[#This Row],[Edital]],INDEX(tItens[Produto],1):tItens[[#This Row],[Produto]],tItens[[#This Row],[Produto]])=1,1,0)</f>
        <v>1</v>
      </c>
    </row>
    <row r="6953" spans="1:16" x14ac:dyDescent="0.25">
      <c r="A6953" t="s">
        <v>2452</v>
      </c>
      <c r="B6953">
        <v>8039943</v>
      </c>
      <c r="C6953" t="s">
        <v>9617</v>
      </c>
      <c r="D6953" t="s">
        <v>140</v>
      </c>
      <c r="E6953" s="13">
        <v>400</v>
      </c>
      <c r="F6953" s="12">
        <v>41.79</v>
      </c>
      <c r="G6953" t="str">
        <f>IFERROR(INDEX(tEditais[Órgão],MATCH(tItens[[#This Row],[Edital]],tEditais[Edital],0)),"")</f>
        <v>MUNICIPIO DE ALTA FLORESTA D'OESTE</v>
      </c>
      <c r="H6953" t="str">
        <f>IFERROR(INDEX(tEditais[UF],MATCH(tItens[[#This Row],[Edital]],tEditais[Edital],0)),"")</f>
        <v>RO</v>
      </c>
      <c r="I6953" s="11">
        <f>IFERROR(INDEX(tEditais[Encerramento],MATCH(tItens[[#This Row],[Edital]],tEditais[Edital],0)),"")</f>
        <v>46309.416666666664</v>
      </c>
      <c r="J6953" t="str">
        <f>IFERROR(INDEX(tProdutos[Classe],MATCH(tItens[[#This Row],[Produto]],tProdutos[Produto],0)),"produto não cadastrado")</f>
        <v>DISPUTADO</v>
      </c>
      <c r="K6953" s="12">
        <f>tItens[[#This Row],[Qtd]]*tItens[[#This Row],[Vlr unit]]</f>
        <v>16716</v>
      </c>
      <c r="L6953" s="6">
        <f>IFERROR(IF(INDEX(tProdutos[Desconto homologado],MATCH(tItens[[#This Row],[Produto]],tProdutos[Produto],0))="",DescontoPadrao,INDEX(tProdutos[Desconto homologado],MATCH(tItens[[#This Row],[Produto]],tProdutos[Produto],0))),DescontoPadrao)</f>
        <v>0.48560177208958899</v>
      </c>
      <c r="M6953" s="12">
        <f>tItens[[#This Row],[Valor]]*(1-tItens[[#This Row],[Desconto]])</f>
        <v>8598.6807777504309</v>
      </c>
      <c r="N6953" t="str">
        <f>IFERROR(INDEX(tProdutos[Foco],MATCH(tItens[[#This Row],[Produto]],tProdutos[Produto],0)),"Não")</f>
        <v>Não</v>
      </c>
      <c r="O6953" t="str">
        <f>IFERROR(INDEX(tEditais[SRP],MATCH(tItens[[#This Row],[Edital]],tEditais[Edital],0)),"Não")</f>
        <v>Não</v>
      </c>
      <c r="P6953" s="4">
        <f>IF(COUNTIFS(INDEX(tItens[Edital],1):tItens[[#This Row],[Edital]],tItens[[#This Row],[Edital]],INDEX(tItens[Produto],1):tItens[[#This Row],[Produto]],tItens[[#This Row],[Produto]])=1,1,0)</f>
        <v>0</v>
      </c>
    </row>
    <row r="6954" spans="1:16" x14ac:dyDescent="0.25">
      <c r="A6954" t="s">
        <v>2452</v>
      </c>
      <c r="B6954">
        <v>8039944</v>
      </c>
      <c r="C6954" t="s">
        <v>9618</v>
      </c>
      <c r="D6954" t="s">
        <v>140</v>
      </c>
      <c r="E6954" s="13">
        <v>300</v>
      </c>
      <c r="F6954" s="12">
        <v>31.24</v>
      </c>
      <c r="G6954" t="str">
        <f>IFERROR(INDEX(tEditais[Órgão],MATCH(tItens[[#This Row],[Edital]],tEditais[Edital],0)),"")</f>
        <v>MUNICIPIO DE ALTA FLORESTA D'OESTE</v>
      </c>
      <c r="H6954" t="str">
        <f>IFERROR(INDEX(tEditais[UF],MATCH(tItens[[#This Row],[Edital]],tEditais[Edital],0)),"")</f>
        <v>RO</v>
      </c>
      <c r="I6954" s="11">
        <f>IFERROR(INDEX(tEditais[Encerramento],MATCH(tItens[[#This Row],[Edital]],tEditais[Edital],0)),"")</f>
        <v>46309.416666666664</v>
      </c>
      <c r="J6954" t="str">
        <f>IFERROR(INDEX(tProdutos[Classe],MATCH(tItens[[#This Row],[Produto]],tProdutos[Produto],0)),"produto não cadastrado")</f>
        <v>DISPUTADO</v>
      </c>
      <c r="K6954" s="12">
        <f>tItens[[#This Row],[Qtd]]*tItens[[#This Row],[Vlr unit]]</f>
        <v>9372</v>
      </c>
      <c r="L6954" s="6">
        <f>IFERROR(IF(INDEX(tProdutos[Desconto homologado],MATCH(tItens[[#This Row],[Produto]],tProdutos[Produto],0))="",DescontoPadrao,INDEX(tProdutos[Desconto homologado],MATCH(tItens[[#This Row],[Produto]],tProdutos[Produto],0))),DescontoPadrao)</f>
        <v>0.48560177208958899</v>
      </c>
      <c r="M6954" s="12">
        <f>tItens[[#This Row],[Valor]]*(1-tItens[[#This Row],[Desconto]])</f>
        <v>4820.9401919763723</v>
      </c>
      <c r="N6954" t="str">
        <f>IFERROR(INDEX(tProdutos[Foco],MATCH(tItens[[#This Row],[Produto]],tProdutos[Produto],0)),"Não")</f>
        <v>Não</v>
      </c>
      <c r="O6954" t="str">
        <f>IFERROR(INDEX(tEditais[SRP],MATCH(tItens[[#This Row],[Edital]],tEditais[Edital],0)),"Não")</f>
        <v>Não</v>
      </c>
      <c r="P6954" s="4">
        <f>IF(COUNTIFS(INDEX(tItens[Edital],1):tItens[[#This Row],[Edital]],tItens[[#This Row],[Edital]],INDEX(tItens[Produto],1):tItens[[#This Row],[Produto]],tItens[[#This Row],[Produto]])=1,1,0)</f>
        <v>0</v>
      </c>
    </row>
    <row r="6955" spans="1:16" x14ac:dyDescent="0.25">
      <c r="A6955" t="s">
        <v>2452</v>
      </c>
      <c r="B6955">
        <v>8039949</v>
      </c>
      <c r="C6955" t="s">
        <v>9619</v>
      </c>
      <c r="D6955" t="s">
        <v>140</v>
      </c>
      <c r="E6955" s="13">
        <v>100</v>
      </c>
      <c r="F6955" s="12">
        <v>34.25</v>
      </c>
      <c r="G6955" t="str">
        <f>IFERROR(INDEX(tEditais[Órgão],MATCH(tItens[[#This Row],[Edital]],tEditais[Edital],0)),"")</f>
        <v>MUNICIPIO DE ALTA FLORESTA D'OESTE</v>
      </c>
      <c r="H6955" t="str">
        <f>IFERROR(INDEX(tEditais[UF],MATCH(tItens[[#This Row],[Edital]],tEditais[Edital],0)),"")</f>
        <v>RO</v>
      </c>
      <c r="I6955" s="11">
        <f>IFERROR(INDEX(tEditais[Encerramento],MATCH(tItens[[#This Row],[Edital]],tEditais[Edital],0)),"")</f>
        <v>46309.416666666664</v>
      </c>
      <c r="J6955" t="str">
        <f>IFERROR(INDEX(tProdutos[Classe],MATCH(tItens[[#This Row],[Produto]],tProdutos[Produto],0)),"produto não cadastrado")</f>
        <v>DISPUTADO</v>
      </c>
      <c r="K6955" s="12">
        <f>tItens[[#This Row],[Qtd]]*tItens[[#This Row],[Vlr unit]]</f>
        <v>3425</v>
      </c>
      <c r="L6955" s="6">
        <f>IFERROR(IF(INDEX(tProdutos[Desconto homologado],MATCH(tItens[[#This Row],[Produto]],tProdutos[Produto],0))="",DescontoPadrao,INDEX(tProdutos[Desconto homologado],MATCH(tItens[[#This Row],[Produto]],tProdutos[Produto],0))),DescontoPadrao)</f>
        <v>0.48560177208958899</v>
      </c>
      <c r="M6955" s="12">
        <f>tItens[[#This Row],[Valor]]*(1-tItens[[#This Row],[Desconto]])</f>
        <v>1761.8139305931577</v>
      </c>
      <c r="N6955" t="str">
        <f>IFERROR(INDEX(tProdutos[Foco],MATCH(tItens[[#This Row],[Produto]],tProdutos[Produto],0)),"Não")</f>
        <v>Não</v>
      </c>
      <c r="O6955" t="str">
        <f>IFERROR(INDEX(tEditais[SRP],MATCH(tItens[[#This Row],[Edital]],tEditais[Edital],0)),"Não")</f>
        <v>Não</v>
      </c>
      <c r="P6955" s="4">
        <f>IF(COUNTIFS(INDEX(tItens[Edital],1):tItens[[#This Row],[Edital]],tItens[[#This Row],[Edital]],INDEX(tItens[Produto],1):tItens[[#This Row],[Produto]],tItens[[#This Row],[Produto]])=1,1,0)</f>
        <v>0</v>
      </c>
    </row>
    <row r="6956" spans="1:16" x14ac:dyDescent="0.25">
      <c r="A6956" t="s">
        <v>2452</v>
      </c>
      <c r="B6956">
        <v>8039950</v>
      </c>
      <c r="C6956" t="s">
        <v>9620</v>
      </c>
      <c r="D6956" t="s">
        <v>140</v>
      </c>
      <c r="E6956" s="13">
        <v>100</v>
      </c>
      <c r="F6956" s="12">
        <v>43.1</v>
      </c>
      <c r="G6956" t="str">
        <f>IFERROR(INDEX(tEditais[Órgão],MATCH(tItens[[#This Row],[Edital]],tEditais[Edital],0)),"")</f>
        <v>MUNICIPIO DE ALTA FLORESTA D'OESTE</v>
      </c>
      <c r="H6956" t="str">
        <f>IFERROR(INDEX(tEditais[UF],MATCH(tItens[[#This Row],[Edital]],tEditais[Edital],0)),"")</f>
        <v>RO</v>
      </c>
      <c r="I6956" s="11">
        <f>IFERROR(INDEX(tEditais[Encerramento],MATCH(tItens[[#This Row],[Edital]],tEditais[Edital],0)),"")</f>
        <v>46309.416666666664</v>
      </c>
      <c r="J6956" t="str">
        <f>IFERROR(INDEX(tProdutos[Classe],MATCH(tItens[[#This Row],[Produto]],tProdutos[Produto],0)),"produto não cadastrado")</f>
        <v>DISPUTADO</v>
      </c>
      <c r="K6956" s="12">
        <f>tItens[[#This Row],[Qtd]]*tItens[[#This Row],[Vlr unit]]</f>
        <v>4310</v>
      </c>
      <c r="L6956" s="6">
        <f>IFERROR(IF(INDEX(tProdutos[Desconto homologado],MATCH(tItens[[#This Row],[Produto]],tProdutos[Produto],0))="",DescontoPadrao,INDEX(tProdutos[Desconto homologado],MATCH(tItens[[#This Row],[Produto]],tProdutos[Produto],0))),DescontoPadrao)</f>
        <v>0.48560177208958899</v>
      </c>
      <c r="M6956" s="12">
        <f>tItens[[#This Row],[Valor]]*(1-tItens[[#This Row],[Desconto]])</f>
        <v>2217.0563622938716</v>
      </c>
      <c r="N6956" t="str">
        <f>IFERROR(INDEX(tProdutos[Foco],MATCH(tItens[[#This Row],[Produto]],tProdutos[Produto],0)),"Não")</f>
        <v>Não</v>
      </c>
      <c r="O6956" t="str">
        <f>IFERROR(INDEX(tEditais[SRP],MATCH(tItens[[#This Row],[Edital]],tEditais[Edital],0)),"Não")</f>
        <v>Não</v>
      </c>
      <c r="P6956" s="4">
        <f>IF(COUNTIFS(INDEX(tItens[Edital],1):tItens[[#This Row],[Edital]],tItens[[#This Row],[Edital]],INDEX(tItens[Produto],1):tItens[[#This Row],[Produto]],tItens[[#This Row],[Produto]])=1,1,0)</f>
        <v>0</v>
      </c>
    </row>
    <row r="6957" spans="1:16" x14ac:dyDescent="0.25">
      <c r="A6957" t="s">
        <v>2452</v>
      </c>
      <c r="B6957">
        <v>8039952</v>
      </c>
      <c r="C6957" t="s">
        <v>9621</v>
      </c>
      <c r="D6957" t="s">
        <v>641</v>
      </c>
      <c r="E6957" s="13">
        <v>20</v>
      </c>
      <c r="F6957" s="12">
        <v>59.08</v>
      </c>
      <c r="G6957" t="str">
        <f>IFERROR(INDEX(tEditais[Órgão],MATCH(tItens[[#This Row],[Edital]],tEditais[Edital],0)),"")</f>
        <v>MUNICIPIO DE ALTA FLORESTA D'OESTE</v>
      </c>
      <c r="H6957" t="str">
        <f>IFERROR(INDEX(tEditais[UF],MATCH(tItens[[#This Row],[Edital]],tEditais[Edital],0)),"")</f>
        <v>RO</v>
      </c>
      <c r="I6957" s="11">
        <f>IFERROR(INDEX(tEditais[Encerramento],MATCH(tItens[[#This Row],[Edital]],tEditais[Edital],0)),"")</f>
        <v>46309.416666666664</v>
      </c>
      <c r="J6957" t="str">
        <f>IFERROR(INDEX(tProdutos[Classe],MATCH(tItens[[#This Row],[Produto]],tProdutos[Produto],0)),"produto não cadastrado")</f>
        <v>FILA REBASE</v>
      </c>
      <c r="K6957" s="12">
        <f>tItens[[#This Row],[Qtd]]*tItens[[#This Row],[Vlr unit]]</f>
        <v>1181.5999999999999</v>
      </c>
      <c r="L6957" s="6">
        <f>IFERROR(IF(INDEX(tProdutos[Desconto homologado],MATCH(tItens[[#This Row],[Produto]],tProdutos[Produto],0))="",DescontoPadrao,INDEX(tProdutos[Desconto homologado],MATCH(tItens[[#This Row],[Produto]],tProdutos[Produto],0))),DescontoPadrao)</f>
        <v>0.3</v>
      </c>
      <c r="M6957" s="12">
        <f>tItens[[#This Row],[Valor]]*(1-tItens[[#This Row],[Desconto]])</f>
        <v>827.11999999999989</v>
      </c>
      <c r="N6957" t="str">
        <f>IFERROR(INDEX(tProdutos[Foco],MATCH(tItens[[#This Row],[Produto]],tProdutos[Produto],0)),"Não")</f>
        <v>Não</v>
      </c>
      <c r="O6957" t="str">
        <f>IFERROR(INDEX(tEditais[SRP],MATCH(tItens[[#This Row],[Edital]],tEditais[Edital],0)),"Não")</f>
        <v>Não</v>
      </c>
      <c r="P6957" s="4">
        <f>IF(COUNTIFS(INDEX(tItens[Edital],1):tItens[[#This Row],[Edital]],tItens[[#This Row],[Edital]],INDEX(tItens[Produto],1):tItens[[#This Row],[Produto]],tItens[[#This Row],[Produto]])=1,1,0)</f>
        <v>1</v>
      </c>
    </row>
    <row r="6958" spans="1:16" x14ac:dyDescent="0.25">
      <c r="A6958" t="s">
        <v>2452</v>
      </c>
      <c r="B6958">
        <v>8039966</v>
      </c>
      <c r="C6958" t="s">
        <v>9622</v>
      </c>
      <c r="D6958" t="s">
        <v>347</v>
      </c>
      <c r="E6958" s="13">
        <v>10</v>
      </c>
      <c r="F6958" s="12">
        <v>7.7</v>
      </c>
      <c r="G6958" t="str">
        <f>IFERROR(INDEX(tEditais[Órgão],MATCH(tItens[[#This Row],[Edital]],tEditais[Edital],0)),"")</f>
        <v>MUNICIPIO DE ALTA FLORESTA D'OESTE</v>
      </c>
      <c r="H6958" t="str">
        <f>IFERROR(INDEX(tEditais[UF],MATCH(tItens[[#This Row],[Edital]],tEditais[Edital],0)),"")</f>
        <v>RO</v>
      </c>
      <c r="I6958" s="11">
        <f>IFERROR(INDEX(tEditais[Encerramento],MATCH(tItens[[#This Row],[Edital]],tEditais[Edital],0)),"")</f>
        <v>46309.416666666664</v>
      </c>
      <c r="J6958" t="str">
        <f>IFERROR(INDEX(tProdutos[Classe],MATCH(tItens[[#This Row],[Produto]],tProdutos[Produto],0)),"produto não cadastrado")</f>
        <v>FORA</v>
      </c>
      <c r="K6958" s="12">
        <f>tItens[[#This Row],[Qtd]]*tItens[[#This Row],[Vlr unit]]</f>
        <v>77</v>
      </c>
      <c r="L6958" s="6">
        <f>IFERROR(IF(INDEX(tProdutos[Desconto homologado],MATCH(tItens[[#This Row],[Produto]],tProdutos[Produto],0))="",DescontoPadrao,INDEX(tProdutos[Desconto homologado],MATCH(tItens[[#This Row],[Produto]],tProdutos[Produto],0))),DescontoPadrao)</f>
        <v>0.26356465005931201</v>
      </c>
      <c r="M6958" s="12">
        <f>tItens[[#This Row],[Valor]]*(1-tItens[[#This Row],[Desconto]])</f>
        <v>56.70552194543297</v>
      </c>
      <c r="N6958" t="str">
        <f>IFERROR(INDEX(tProdutos[Foco],MATCH(tItens[[#This Row],[Produto]],tProdutos[Produto],0)),"Não")</f>
        <v>Não</v>
      </c>
      <c r="O6958" t="str">
        <f>IFERROR(INDEX(tEditais[SRP],MATCH(tItens[[#This Row],[Edital]],tEditais[Edital],0)),"Não")</f>
        <v>Não</v>
      </c>
      <c r="P6958" s="4">
        <f>IF(COUNTIFS(INDEX(tItens[Edital],1):tItens[[#This Row],[Edital]],tItens[[#This Row],[Edital]],INDEX(tItens[Produto],1):tItens[[#This Row],[Produto]],tItens[[#This Row],[Produto]])=1,1,0)</f>
        <v>1</v>
      </c>
    </row>
    <row r="6959" spans="1:16" x14ac:dyDescent="0.25">
      <c r="A6959" t="s">
        <v>2452</v>
      </c>
      <c r="B6959">
        <v>8039967</v>
      </c>
      <c r="C6959" t="s">
        <v>9623</v>
      </c>
      <c r="D6959" t="s">
        <v>347</v>
      </c>
      <c r="E6959" s="13">
        <v>4</v>
      </c>
      <c r="F6959" s="12">
        <v>17.87</v>
      </c>
      <c r="G6959" t="str">
        <f>IFERROR(INDEX(tEditais[Órgão],MATCH(tItens[[#This Row],[Edital]],tEditais[Edital],0)),"")</f>
        <v>MUNICIPIO DE ALTA FLORESTA D'OESTE</v>
      </c>
      <c r="H6959" t="str">
        <f>IFERROR(INDEX(tEditais[UF],MATCH(tItens[[#This Row],[Edital]],tEditais[Edital],0)),"")</f>
        <v>RO</v>
      </c>
      <c r="I6959" s="11">
        <f>IFERROR(INDEX(tEditais[Encerramento],MATCH(tItens[[#This Row],[Edital]],tEditais[Edital],0)),"")</f>
        <v>46309.416666666664</v>
      </c>
      <c r="J6959" t="str">
        <f>IFERROR(INDEX(tProdutos[Classe],MATCH(tItens[[#This Row],[Produto]],tProdutos[Produto],0)),"produto não cadastrado")</f>
        <v>FORA</v>
      </c>
      <c r="K6959" s="12">
        <f>tItens[[#This Row],[Qtd]]*tItens[[#This Row],[Vlr unit]]</f>
        <v>71.48</v>
      </c>
      <c r="L6959" s="6">
        <f>IFERROR(IF(INDEX(tProdutos[Desconto homologado],MATCH(tItens[[#This Row],[Produto]],tProdutos[Produto],0))="",DescontoPadrao,INDEX(tProdutos[Desconto homologado],MATCH(tItens[[#This Row],[Produto]],tProdutos[Produto],0))),DescontoPadrao)</f>
        <v>0.26356465005931201</v>
      </c>
      <c r="M6959" s="12">
        <f>tItens[[#This Row],[Valor]]*(1-tItens[[#This Row],[Desconto]])</f>
        <v>52.640398813760378</v>
      </c>
      <c r="N6959" t="str">
        <f>IFERROR(INDEX(tProdutos[Foco],MATCH(tItens[[#This Row],[Produto]],tProdutos[Produto],0)),"Não")</f>
        <v>Não</v>
      </c>
      <c r="O6959" t="str">
        <f>IFERROR(INDEX(tEditais[SRP],MATCH(tItens[[#This Row],[Edital]],tEditais[Edital],0)),"Não")</f>
        <v>Não</v>
      </c>
      <c r="P6959" s="4">
        <f>IF(COUNTIFS(INDEX(tItens[Edital],1):tItens[[#This Row],[Edital]],tItens[[#This Row],[Edital]],INDEX(tItens[Produto],1):tItens[[#This Row],[Produto]],tItens[[#This Row],[Produto]])=1,1,0)</f>
        <v>0</v>
      </c>
    </row>
    <row r="6960" spans="1:16" x14ac:dyDescent="0.25">
      <c r="A6960" t="s">
        <v>2452</v>
      </c>
      <c r="B6960">
        <v>8039968</v>
      </c>
      <c r="C6960" t="s">
        <v>9624</v>
      </c>
      <c r="D6960" t="s">
        <v>347</v>
      </c>
      <c r="E6960" s="13">
        <v>4</v>
      </c>
      <c r="F6960" s="12">
        <v>7.2</v>
      </c>
      <c r="G6960" t="str">
        <f>IFERROR(INDEX(tEditais[Órgão],MATCH(tItens[[#This Row],[Edital]],tEditais[Edital],0)),"")</f>
        <v>MUNICIPIO DE ALTA FLORESTA D'OESTE</v>
      </c>
      <c r="H6960" t="str">
        <f>IFERROR(INDEX(tEditais[UF],MATCH(tItens[[#This Row],[Edital]],tEditais[Edital],0)),"")</f>
        <v>RO</v>
      </c>
      <c r="I6960" s="11">
        <f>IFERROR(INDEX(tEditais[Encerramento],MATCH(tItens[[#This Row],[Edital]],tEditais[Edital],0)),"")</f>
        <v>46309.416666666664</v>
      </c>
      <c r="J6960" t="str">
        <f>IFERROR(INDEX(tProdutos[Classe],MATCH(tItens[[#This Row],[Produto]],tProdutos[Produto],0)),"produto não cadastrado")</f>
        <v>FORA</v>
      </c>
      <c r="K6960" s="12">
        <f>tItens[[#This Row],[Qtd]]*tItens[[#This Row],[Vlr unit]]</f>
        <v>28.8</v>
      </c>
      <c r="L6960" s="6">
        <f>IFERROR(IF(INDEX(tProdutos[Desconto homologado],MATCH(tItens[[#This Row],[Produto]],tProdutos[Produto],0))="",DescontoPadrao,INDEX(tProdutos[Desconto homologado],MATCH(tItens[[#This Row],[Produto]],tProdutos[Produto],0))),DescontoPadrao)</f>
        <v>0.26356465005931201</v>
      </c>
      <c r="M6960" s="12">
        <f>tItens[[#This Row],[Valor]]*(1-tItens[[#This Row],[Desconto]])</f>
        <v>21.209338078291815</v>
      </c>
      <c r="N6960" t="str">
        <f>IFERROR(INDEX(tProdutos[Foco],MATCH(tItens[[#This Row],[Produto]],tProdutos[Produto],0)),"Não")</f>
        <v>Não</v>
      </c>
      <c r="O6960" t="str">
        <f>IFERROR(INDEX(tEditais[SRP],MATCH(tItens[[#This Row],[Edital]],tEditais[Edital],0)),"Não")</f>
        <v>Não</v>
      </c>
      <c r="P6960" s="4">
        <f>IF(COUNTIFS(INDEX(tItens[Edital],1):tItens[[#This Row],[Edital]],tItens[[#This Row],[Edital]],INDEX(tItens[Produto],1):tItens[[#This Row],[Produto]],tItens[[#This Row],[Produto]])=1,1,0)</f>
        <v>0</v>
      </c>
    </row>
    <row r="6961" spans="1:16" x14ac:dyDescent="0.25">
      <c r="A6961" t="s">
        <v>2452</v>
      </c>
      <c r="B6961">
        <v>8039969</v>
      </c>
      <c r="C6961" t="s">
        <v>9625</v>
      </c>
      <c r="D6961" t="s">
        <v>347</v>
      </c>
      <c r="E6961" s="13">
        <v>10</v>
      </c>
      <c r="F6961" s="12">
        <v>5.5</v>
      </c>
      <c r="G6961" t="str">
        <f>IFERROR(INDEX(tEditais[Órgão],MATCH(tItens[[#This Row],[Edital]],tEditais[Edital],0)),"")</f>
        <v>MUNICIPIO DE ALTA FLORESTA D'OESTE</v>
      </c>
      <c r="H6961" t="str">
        <f>IFERROR(INDEX(tEditais[UF],MATCH(tItens[[#This Row],[Edital]],tEditais[Edital],0)),"")</f>
        <v>RO</v>
      </c>
      <c r="I6961" s="11">
        <f>IFERROR(INDEX(tEditais[Encerramento],MATCH(tItens[[#This Row],[Edital]],tEditais[Edital],0)),"")</f>
        <v>46309.416666666664</v>
      </c>
      <c r="J6961" t="str">
        <f>IFERROR(INDEX(tProdutos[Classe],MATCH(tItens[[#This Row],[Produto]],tProdutos[Produto],0)),"produto não cadastrado")</f>
        <v>FORA</v>
      </c>
      <c r="K6961" s="12">
        <f>tItens[[#This Row],[Qtd]]*tItens[[#This Row],[Vlr unit]]</f>
        <v>55</v>
      </c>
      <c r="L6961" s="6">
        <f>IFERROR(IF(INDEX(tProdutos[Desconto homologado],MATCH(tItens[[#This Row],[Produto]],tProdutos[Produto],0))="",DescontoPadrao,INDEX(tProdutos[Desconto homologado],MATCH(tItens[[#This Row],[Produto]],tProdutos[Produto],0))),DescontoPadrao)</f>
        <v>0.26356465005931201</v>
      </c>
      <c r="M6961" s="12">
        <f>tItens[[#This Row],[Valor]]*(1-tItens[[#This Row],[Desconto]])</f>
        <v>40.503944246737838</v>
      </c>
      <c r="N6961" t="str">
        <f>IFERROR(INDEX(tProdutos[Foco],MATCH(tItens[[#This Row],[Produto]],tProdutos[Produto],0)),"Não")</f>
        <v>Não</v>
      </c>
      <c r="O6961" t="str">
        <f>IFERROR(INDEX(tEditais[SRP],MATCH(tItens[[#This Row],[Edital]],tEditais[Edital],0)),"Não")</f>
        <v>Não</v>
      </c>
      <c r="P6961" s="4">
        <f>IF(COUNTIFS(INDEX(tItens[Edital],1):tItens[[#This Row],[Edital]],tItens[[#This Row],[Edital]],INDEX(tItens[Produto],1):tItens[[#This Row],[Produto]],tItens[[#This Row],[Produto]])=1,1,0)</f>
        <v>0</v>
      </c>
    </row>
    <row r="6962" spans="1:16" x14ac:dyDescent="0.25">
      <c r="A6962" t="s">
        <v>2452</v>
      </c>
      <c r="B6962">
        <v>8039970</v>
      </c>
      <c r="C6962" t="s">
        <v>9626</v>
      </c>
      <c r="D6962" t="s">
        <v>347</v>
      </c>
      <c r="E6962" s="13">
        <v>10</v>
      </c>
      <c r="F6962" s="12">
        <v>13.18</v>
      </c>
      <c r="G6962" t="str">
        <f>IFERROR(INDEX(tEditais[Órgão],MATCH(tItens[[#This Row],[Edital]],tEditais[Edital],0)),"")</f>
        <v>MUNICIPIO DE ALTA FLORESTA D'OESTE</v>
      </c>
      <c r="H6962" t="str">
        <f>IFERROR(INDEX(tEditais[UF],MATCH(tItens[[#This Row],[Edital]],tEditais[Edital],0)),"")</f>
        <v>RO</v>
      </c>
      <c r="I6962" s="11">
        <f>IFERROR(INDEX(tEditais[Encerramento],MATCH(tItens[[#This Row],[Edital]],tEditais[Edital],0)),"")</f>
        <v>46309.416666666664</v>
      </c>
      <c r="J6962" t="str">
        <f>IFERROR(INDEX(tProdutos[Classe],MATCH(tItens[[#This Row],[Produto]],tProdutos[Produto],0)),"produto não cadastrado")</f>
        <v>FORA</v>
      </c>
      <c r="K6962" s="12">
        <f>tItens[[#This Row],[Qtd]]*tItens[[#This Row],[Vlr unit]]</f>
        <v>131.80000000000001</v>
      </c>
      <c r="L6962" s="6">
        <f>IFERROR(IF(INDEX(tProdutos[Desconto homologado],MATCH(tItens[[#This Row],[Produto]],tProdutos[Produto],0))="",DescontoPadrao,INDEX(tProdutos[Desconto homologado],MATCH(tItens[[#This Row],[Produto]],tProdutos[Produto],0))),DescontoPadrao)</f>
        <v>0.26356465005931201</v>
      </c>
      <c r="M6962" s="12">
        <f>tItens[[#This Row],[Valor]]*(1-tItens[[#This Row],[Desconto]])</f>
        <v>97.062179122182684</v>
      </c>
      <c r="N6962" t="str">
        <f>IFERROR(INDEX(tProdutos[Foco],MATCH(tItens[[#This Row],[Produto]],tProdutos[Produto],0)),"Não")</f>
        <v>Não</v>
      </c>
      <c r="O6962" t="str">
        <f>IFERROR(INDEX(tEditais[SRP],MATCH(tItens[[#This Row],[Edital]],tEditais[Edital],0)),"Não")</f>
        <v>Não</v>
      </c>
      <c r="P6962" s="4">
        <f>IF(COUNTIFS(INDEX(tItens[Edital],1):tItens[[#This Row],[Edital]],tItens[[#This Row],[Edital]],INDEX(tItens[Produto],1):tItens[[#This Row],[Produto]],tItens[[#This Row],[Produto]])=1,1,0)</f>
        <v>0</v>
      </c>
    </row>
    <row r="6963" spans="1:16" x14ac:dyDescent="0.25">
      <c r="A6963" t="s">
        <v>2452</v>
      </c>
      <c r="B6963">
        <v>8039971</v>
      </c>
      <c r="C6963" t="s">
        <v>9627</v>
      </c>
      <c r="D6963" t="s">
        <v>347</v>
      </c>
      <c r="E6963" s="13">
        <v>10</v>
      </c>
      <c r="F6963" s="12">
        <v>6.29</v>
      </c>
      <c r="G6963" t="str">
        <f>IFERROR(INDEX(tEditais[Órgão],MATCH(tItens[[#This Row],[Edital]],tEditais[Edital],0)),"")</f>
        <v>MUNICIPIO DE ALTA FLORESTA D'OESTE</v>
      </c>
      <c r="H6963" t="str">
        <f>IFERROR(INDEX(tEditais[UF],MATCH(tItens[[#This Row],[Edital]],tEditais[Edital],0)),"")</f>
        <v>RO</v>
      </c>
      <c r="I6963" s="11">
        <f>IFERROR(INDEX(tEditais[Encerramento],MATCH(tItens[[#This Row],[Edital]],tEditais[Edital],0)),"")</f>
        <v>46309.416666666664</v>
      </c>
      <c r="J6963" t="str">
        <f>IFERROR(INDEX(tProdutos[Classe],MATCH(tItens[[#This Row],[Produto]],tProdutos[Produto],0)),"produto não cadastrado")</f>
        <v>FORA</v>
      </c>
      <c r="K6963" s="12">
        <f>tItens[[#This Row],[Qtd]]*tItens[[#This Row],[Vlr unit]]</f>
        <v>62.9</v>
      </c>
      <c r="L6963" s="6">
        <f>IFERROR(IF(INDEX(tProdutos[Desconto homologado],MATCH(tItens[[#This Row],[Produto]],tProdutos[Produto],0))="",DescontoPadrao,INDEX(tProdutos[Desconto homologado],MATCH(tItens[[#This Row],[Produto]],tProdutos[Produto],0))),DescontoPadrao)</f>
        <v>0.26356465005931201</v>
      </c>
      <c r="M6963" s="12">
        <f>tItens[[#This Row],[Valor]]*(1-tItens[[#This Row],[Desconto]])</f>
        <v>46.321783511269267</v>
      </c>
      <c r="N6963" t="str">
        <f>IFERROR(INDEX(tProdutos[Foco],MATCH(tItens[[#This Row],[Produto]],tProdutos[Produto],0)),"Não")</f>
        <v>Não</v>
      </c>
      <c r="O6963" t="str">
        <f>IFERROR(INDEX(tEditais[SRP],MATCH(tItens[[#This Row],[Edital]],tEditais[Edital],0)),"Não")</f>
        <v>Não</v>
      </c>
      <c r="P6963" s="4">
        <f>IF(COUNTIFS(INDEX(tItens[Edital],1):tItens[[#This Row],[Edital]],tItens[[#This Row],[Edital]],INDEX(tItens[Produto],1):tItens[[#This Row],[Produto]],tItens[[#This Row],[Produto]])=1,1,0)</f>
        <v>0</v>
      </c>
    </row>
    <row r="6964" spans="1:16" x14ac:dyDescent="0.25">
      <c r="A6964" t="s">
        <v>2452</v>
      </c>
      <c r="B6964">
        <v>8039972</v>
      </c>
      <c r="C6964" t="s">
        <v>9628</v>
      </c>
      <c r="D6964" t="s">
        <v>347</v>
      </c>
      <c r="E6964" s="13">
        <v>4</v>
      </c>
      <c r="F6964" s="12">
        <v>12.56</v>
      </c>
      <c r="G6964" t="str">
        <f>IFERROR(INDEX(tEditais[Órgão],MATCH(tItens[[#This Row],[Edital]],tEditais[Edital],0)),"")</f>
        <v>MUNICIPIO DE ALTA FLORESTA D'OESTE</v>
      </c>
      <c r="H6964" t="str">
        <f>IFERROR(INDEX(tEditais[UF],MATCH(tItens[[#This Row],[Edital]],tEditais[Edital],0)),"")</f>
        <v>RO</v>
      </c>
      <c r="I6964" s="11">
        <f>IFERROR(INDEX(tEditais[Encerramento],MATCH(tItens[[#This Row],[Edital]],tEditais[Edital],0)),"")</f>
        <v>46309.416666666664</v>
      </c>
      <c r="J6964" t="str">
        <f>IFERROR(INDEX(tProdutos[Classe],MATCH(tItens[[#This Row],[Produto]],tProdutos[Produto],0)),"produto não cadastrado")</f>
        <v>FORA</v>
      </c>
      <c r="K6964" s="12">
        <f>tItens[[#This Row],[Qtd]]*tItens[[#This Row],[Vlr unit]]</f>
        <v>50.24</v>
      </c>
      <c r="L6964" s="6">
        <f>IFERROR(IF(INDEX(tProdutos[Desconto homologado],MATCH(tItens[[#This Row],[Produto]],tProdutos[Produto],0))="",DescontoPadrao,INDEX(tProdutos[Desconto homologado],MATCH(tItens[[#This Row],[Produto]],tProdutos[Produto],0))),DescontoPadrao)</f>
        <v>0.26356465005931201</v>
      </c>
      <c r="M6964" s="12">
        <f>tItens[[#This Row],[Valor]]*(1-tItens[[#This Row],[Desconto]])</f>
        <v>36.998511981020165</v>
      </c>
      <c r="N6964" t="str">
        <f>IFERROR(INDEX(tProdutos[Foco],MATCH(tItens[[#This Row],[Produto]],tProdutos[Produto],0)),"Não")</f>
        <v>Não</v>
      </c>
      <c r="O6964" t="str">
        <f>IFERROR(INDEX(tEditais[SRP],MATCH(tItens[[#This Row],[Edital]],tEditais[Edital],0)),"Não")</f>
        <v>Não</v>
      </c>
      <c r="P6964" s="4">
        <f>IF(COUNTIFS(INDEX(tItens[Edital],1):tItens[[#This Row],[Edital]],tItens[[#This Row],[Edital]],INDEX(tItens[Produto],1):tItens[[#This Row],[Produto]],tItens[[#This Row],[Produto]])=1,1,0)</f>
        <v>0</v>
      </c>
    </row>
    <row r="6965" spans="1:16" x14ac:dyDescent="0.25">
      <c r="A6965" t="s">
        <v>2452</v>
      </c>
      <c r="B6965">
        <v>8039973</v>
      </c>
      <c r="C6965" t="s">
        <v>9629</v>
      </c>
      <c r="D6965" t="s">
        <v>347</v>
      </c>
      <c r="E6965" s="13">
        <v>4</v>
      </c>
      <c r="F6965" s="12">
        <v>13.05</v>
      </c>
      <c r="G6965" t="str">
        <f>IFERROR(INDEX(tEditais[Órgão],MATCH(tItens[[#This Row],[Edital]],tEditais[Edital],0)),"")</f>
        <v>MUNICIPIO DE ALTA FLORESTA D'OESTE</v>
      </c>
      <c r="H6965" t="str">
        <f>IFERROR(INDEX(tEditais[UF],MATCH(tItens[[#This Row],[Edital]],tEditais[Edital],0)),"")</f>
        <v>RO</v>
      </c>
      <c r="I6965" s="11">
        <f>IFERROR(INDEX(tEditais[Encerramento],MATCH(tItens[[#This Row],[Edital]],tEditais[Edital],0)),"")</f>
        <v>46309.416666666664</v>
      </c>
      <c r="J6965" t="str">
        <f>IFERROR(INDEX(tProdutos[Classe],MATCH(tItens[[#This Row],[Produto]],tProdutos[Produto],0)),"produto não cadastrado")</f>
        <v>FORA</v>
      </c>
      <c r="K6965" s="12">
        <f>tItens[[#This Row],[Qtd]]*tItens[[#This Row],[Vlr unit]]</f>
        <v>52.2</v>
      </c>
      <c r="L6965" s="6">
        <f>IFERROR(IF(INDEX(tProdutos[Desconto homologado],MATCH(tItens[[#This Row],[Produto]],tProdutos[Produto],0))="",DescontoPadrao,INDEX(tProdutos[Desconto homologado],MATCH(tItens[[#This Row],[Produto]],tProdutos[Produto],0))),DescontoPadrao)</f>
        <v>0.26356465005931201</v>
      </c>
      <c r="M6965" s="12">
        <f>tItens[[#This Row],[Valor]]*(1-tItens[[#This Row],[Desconto]])</f>
        <v>38.441925266903915</v>
      </c>
      <c r="N6965" t="str">
        <f>IFERROR(INDEX(tProdutos[Foco],MATCH(tItens[[#This Row],[Produto]],tProdutos[Produto],0)),"Não")</f>
        <v>Não</v>
      </c>
      <c r="O6965" t="str">
        <f>IFERROR(INDEX(tEditais[SRP],MATCH(tItens[[#This Row],[Edital]],tEditais[Edital],0)),"Não")</f>
        <v>Não</v>
      </c>
      <c r="P6965" s="4">
        <f>IF(COUNTIFS(INDEX(tItens[Edital],1):tItens[[#This Row],[Edital]],tItens[[#This Row],[Edital]],INDEX(tItens[Produto],1):tItens[[#This Row],[Produto]],tItens[[#This Row],[Produto]])=1,1,0)</f>
        <v>0</v>
      </c>
    </row>
    <row r="6966" spans="1:16" x14ac:dyDescent="0.25">
      <c r="A6966" t="s">
        <v>2452</v>
      </c>
      <c r="B6966">
        <v>8039974</v>
      </c>
      <c r="C6966" t="s">
        <v>9630</v>
      </c>
      <c r="D6966" t="s">
        <v>347</v>
      </c>
      <c r="E6966" s="13">
        <v>4</v>
      </c>
      <c r="F6966" s="12">
        <v>13.83</v>
      </c>
      <c r="G6966" t="str">
        <f>IFERROR(INDEX(tEditais[Órgão],MATCH(tItens[[#This Row],[Edital]],tEditais[Edital],0)),"")</f>
        <v>MUNICIPIO DE ALTA FLORESTA D'OESTE</v>
      </c>
      <c r="H6966" t="str">
        <f>IFERROR(INDEX(tEditais[UF],MATCH(tItens[[#This Row],[Edital]],tEditais[Edital],0)),"")</f>
        <v>RO</v>
      </c>
      <c r="I6966" s="11">
        <f>IFERROR(INDEX(tEditais[Encerramento],MATCH(tItens[[#This Row],[Edital]],tEditais[Edital],0)),"")</f>
        <v>46309.416666666664</v>
      </c>
      <c r="J6966" t="str">
        <f>IFERROR(INDEX(tProdutos[Classe],MATCH(tItens[[#This Row],[Produto]],tProdutos[Produto],0)),"produto não cadastrado")</f>
        <v>FORA</v>
      </c>
      <c r="K6966" s="12">
        <f>tItens[[#This Row],[Qtd]]*tItens[[#This Row],[Vlr unit]]</f>
        <v>55.32</v>
      </c>
      <c r="L6966" s="6">
        <f>IFERROR(IF(INDEX(tProdutos[Desconto homologado],MATCH(tItens[[#This Row],[Produto]],tProdutos[Produto],0))="",DescontoPadrao,INDEX(tProdutos[Desconto homologado],MATCH(tItens[[#This Row],[Produto]],tProdutos[Produto],0))),DescontoPadrao)</f>
        <v>0.26356465005931201</v>
      </c>
      <c r="M6966" s="12">
        <f>tItens[[#This Row],[Valor]]*(1-tItens[[#This Row],[Desconto]])</f>
        <v>40.739603558718855</v>
      </c>
      <c r="N6966" t="str">
        <f>IFERROR(INDEX(tProdutos[Foco],MATCH(tItens[[#This Row],[Produto]],tProdutos[Produto],0)),"Não")</f>
        <v>Não</v>
      </c>
      <c r="O6966" t="str">
        <f>IFERROR(INDEX(tEditais[SRP],MATCH(tItens[[#This Row],[Edital]],tEditais[Edital],0)),"Não")</f>
        <v>Não</v>
      </c>
      <c r="P6966" s="4">
        <f>IF(COUNTIFS(INDEX(tItens[Edital],1):tItens[[#This Row],[Edital]],tItens[[#This Row],[Edital]],INDEX(tItens[Produto],1):tItens[[#This Row],[Produto]],tItens[[#This Row],[Produto]])=1,1,0)</f>
        <v>0</v>
      </c>
    </row>
    <row r="6967" spans="1:16" x14ac:dyDescent="0.25">
      <c r="A6967" t="s">
        <v>2452</v>
      </c>
      <c r="B6967">
        <v>8039993</v>
      </c>
      <c r="C6967" t="s">
        <v>9631</v>
      </c>
      <c r="D6967" t="s">
        <v>333</v>
      </c>
      <c r="E6967" s="13">
        <v>56000</v>
      </c>
      <c r="F6967" s="12">
        <v>1.52</v>
      </c>
      <c r="G6967" t="str">
        <f>IFERROR(INDEX(tEditais[Órgão],MATCH(tItens[[#This Row],[Edital]],tEditais[Edital],0)),"")</f>
        <v>MUNICIPIO DE ALTA FLORESTA D'OESTE</v>
      </c>
      <c r="H6967" t="str">
        <f>IFERROR(INDEX(tEditais[UF],MATCH(tItens[[#This Row],[Edital]],tEditais[Edital],0)),"")</f>
        <v>RO</v>
      </c>
      <c r="I6967" s="11">
        <f>IFERROR(INDEX(tEditais[Encerramento],MATCH(tItens[[#This Row],[Edital]],tEditais[Edital],0)),"")</f>
        <v>46309.416666666664</v>
      </c>
      <c r="J6967" t="str">
        <f>IFERROR(INDEX(tProdutos[Classe],MATCH(tItens[[#This Row],[Produto]],tProdutos[Produto],0)),"produto não cadastrado")</f>
        <v>FORA</v>
      </c>
      <c r="K6967" s="12">
        <f>tItens[[#This Row],[Qtd]]*tItens[[#This Row],[Vlr unit]]</f>
        <v>85120</v>
      </c>
      <c r="L6967" s="6">
        <f>IFERROR(IF(INDEX(tProdutos[Desconto homologado],MATCH(tItens[[#This Row],[Produto]],tProdutos[Produto],0))="",DescontoPadrao,INDEX(tProdutos[Desconto homologado],MATCH(tItens[[#This Row],[Produto]],tProdutos[Produto],0))),DescontoPadrao)</f>
        <v>0.48951048951048998</v>
      </c>
      <c r="M6967" s="12">
        <f>tItens[[#This Row],[Valor]]*(1-tItens[[#This Row],[Desconto]])</f>
        <v>43452.86713286709</v>
      </c>
      <c r="N6967" t="str">
        <f>IFERROR(INDEX(tProdutos[Foco],MATCH(tItens[[#This Row],[Produto]],tProdutos[Produto],0)),"Não")</f>
        <v>Não</v>
      </c>
      <c r="O6967" t="str">
        <f>IFERROR(INDEX(tEditais[SRP],MATCH(tItens[[#This Row],[Edital]],tEditais[Edital],0)),"Não")</f>
        <v>Não</v>
      </c>
      <c r="P6967" s="4">
        <f>IF(COUNTIFS(INDEX(tItens[Edital],1):tItens[[#This Row],[Edital]],tItens[[#This Row],[Edital]],INDEX(tItens[Produto],1):tItens[[#This Row],[Produto]],tItens[[#This Row],[Produto]])=1,1,0)</f>
        <v>1</v>
      </c>
    </row>
    <row r="6968" spans="1:16" x14ac:dyDescent="0.25">
      <c r="A6968" t="s">
        <v>2452</v>
      </c>
      <c r="B6968">
        <v>8039994</v>
      </c>
      <c r="C6968" t="s">
        <v>9632</v>
      </c>
      <c r="D6968" t="s">
        <v>333</v>
      </c>
      <c r="E6968" s="13">
        <v>10000</v>
      </c>
      <c r="F6968" s="12">
        <v>1.3</v>
      </c>
      <c r="G6968" t="str">
        <f>IFERROR(INDEX(tEditais[Órgão],MATCH(tItens[[#This Row],[Edital]],tEditais[Edital],0)),"")</f>
        <v>MUNICIPIO DE ALTA FLORESTA D'OESTE</v>
      </c>
      <c r="H6968" t="str">
        <f>IFERROR(INDEX(tEditais[UF],MATCH(tItens[[#This Row],[Edital]],tEditais[Edital],0)),"")</f>
        <v>RO</v>
      </c>
      <c r="I6968" s="11">
        <f>IFERROR(INDEX(tEditais[Encerramento],MATCH(tItens[[#This Row],[Edital]],tEditais[Edital],0)),"")</f>
        <v>46309.416666666664</v>
      </c>
      <c r="J6968" t="str">
        <f>IFERROR(INDEX(tProdutos[Classe],MATCH(tItens[[#This Row],[Produto]],tProdutos[Produto],0)),"produto não cadastrado")</f>
        <v>FORA</v>
      </c>
      <c r="K6968" s="12">
        <f>tItens[[#This Row],[Qtd]]*tItens[[#This Row],[Vlr unit]]</f>
        <v>13000</v>
      </c>
      <c r="L6968" s="6">
        <f>IFERROR(IF(INDEX(tProdutos[Desconto homologado],MATCH(tItens[[#This Row],[Produto]],tProdutos[Produto],0))="",DescontoPadrao,INDEX(tProdutos[Desconto homologado],MATCH(tItens[[#This Row],[Produto]],tProdutos[Produto],0))),DescontoPadrao)</f>
        <v>0.48951048951048998</v>
      </c>
      <c r="M6968" s="12">
        <f>tItens[[#This Row],[Valor]]*(1-tItens[[#This Row],[Desconto]])</f>
        <v>6636.3636363636297</v>
      </c>
      <c r="N6968" t="str">
        <f>IFERROR(INDEX(tProdutos[Foco],MATCH(tItens[[#This Row],[Produto]],tProdutos[Produto],0)),"Não")</f>
        <v>Não</v>
      </c>
      <c r="O6968" t="str">
        <f>IFERROR(INDEX(tEditais[SRP],MATCH(tItens[[#This Row],[Edital]],tEditais[Edital],0)),"Não")</f>
        <v>Não</v>
      </c>
      <c r="P6968" s="4">
        <f>IF(COUNTIFS(INDEX(tItens[Edital],1):tItens[[#This Row],[Edital]],tItens[[#This Row],[Edital]],INDEX(tItens[Produto],1):tItens[[#This Row],[Produto]],tItens[[#This Row],[Produto]])=1,1,0)</f>
        <v>0</v>
      </c>
    </row>
    <row r="6969" spans="1:16" x14ac:dyDescent="0.25">
      <c r="A6969" t="s">
        <v>2452</v>
      </c>
      <c r="B6969">
        <v>8039995</v>
      </c>
      <c r="C6969" t="s">
        <v>9633</v>
      </c>
      <c r="D6969" t="s">
        <v>187</v>
      </c>
      <c r="E6969" s="13">
        <v>5000</v>
      </c>
      <c r="F6969" s="12">
        <v>2.7</v>
      </c>
      <c r="G6969" t="str">
        <f>IFERROR(INDEX(tEditais[Órgão],MATCH(tItens[[#This Row],[Edital]],tEditais[Edital],0)),"")</f>
        <v>MUNICIPIO DE ALTA FLORESTA D'OESTE</v>
      </c>
      <c r="H6969" t="str">
        <f>IFERROR(INDEX(tEditais[UF],MATCH(tItens[[#This Row],[Edital]],tEditais[Edital],0)),"")</f>
        <v>RO</v>
      </c>
      <c r="I6969" s="11">
        <f>IFERROR(INDEX(tEditais[Encerramento],MATCH(tItens[[#This Row],[Edital]],tEditais[Edital],0)),"")</f>
        <v>46309.416666666664</v>
      </c>
      <c r="J6969" t="str">
        <f>IFERROR(INDEX(tProdutos[Classe],MATCH(tItens[[#This Row],[Produto]],tProdutos[Produto],0)),"produto não cadastrado")</f>
        <v>DISPUTADO</v>
      </c>
      <c r="K6969" s="12">
        <f>tItens[[#This Row],[Qtd]]*tItens[[#This Row],[Vlr unit]]</f>
        <v>13500</v>
      </c>
      <c r="L6969" s="6">
        <f>IFERROR(IF(INDEX(tProdutos[Desconto homologado],MATCH(tItens[[#This Row],[Produto]],tProdutos[Produto],0))="",DescontoPadrao,INDEX(tProdutos[Desconto homologado],MATCH(tItens[[#This Row],[Produto]],tProdutos[Produto],0))),DescontoPadrao)</f>
        <v>0.44298820445609399</v>
      </c>
      <c r="M6969" s="12">
        <f>tItens[[#This Row],[Valor]]*(1-tItens[[#This Row],[Desconto]])</f>
        <v>7519.659239842731</v>
      </c>
      <c r="N6969" t="str">
        <f>IFERROR(INDEX(tProdutos[Foco],MATCH(tItens[[#This Row],[Produto]],tProdutos[Produto],0)),"Não")</f>
        <v>Não</v>
      </c>
      <c r="O6969" t="str">
        <f>IFERROR(INDEX(tEditais[SRP],MATCH(tItens[[#This Row],[Edital]],tEditais[Edital],0)),"Não")</f>
        <v>Não</v>
      </c>
      <c r="P6969" s="4">
        <f>IF(COUNTIFS(INDEX(tItens[Edital],1):tItens[[#This Row],[Edital]],tItens[[#This Row],[Edital]],INDEX(tItens[Produto],1):tItens[[#This Row],[Produto]],tItens[[#This Row],[Produto]])=1,1,0)</f>
        <v>1</v>
      </c>
    </row>
    <row r="6970" spans="1:16" x14ac:dyDescent="0.25">
      <c r="A6970" t="s">
        <v>2452</v>
      </c>
      <c r="B6970">
        <v>8039996</v>
      </c>
      <c r="C6970" t="s">
        <v>9634</v>
      </c>
      <c r="D6970" t="s">
        <v>187</v>
      </c>
      <c r="E6970" s="13">
        <v>1000</v>
      </c>
      <c r="F6970" s="12">
        <v>3.66</v>
      </c>
      <c r="G6970" t="str">
        <f>IFERROR(INDEX(tEditais[Órgão],MATCH(tItens[[#This Row],[Edital]],tEditais[Edital],0)),"")</f>
        <v>MUNICIPIO DE ALTA FLORESTA D'OESTE</v>
      </c>
      <c r="H6970" t="str">
        <f>IFERROR(INDEX(tEditais[UF],MATCH(tItens[[#This Row],[Edital]],tEditais[Edital],0)),"")</f>
        <v>RO</v>
      </c>
      <c r="I6970" s="11">
        <f>IFERROR(INDEX(tEditais[Encerramento],MATCH(tItens[[#This Row],[Edital]],tEditais[Edital],0)),"")</f>
        <v>46309.416666666664</v>
      </c>
      <c r="J6970" t="str">
        <f>IFERROR(INDEX(tProdutos[Classe],MATCH(tItens[[#This Row],[Produto]],tProdutos[Produto],0)),"produto não cadastrado")</f>
        <v>DISPUTADO</v>
      </c>
      <c r="K6970" s="12">
        <f>tItens[[#This Row],[Qtd]]*tItens[[#This Row],[Vlr unit]]</f>
        <v>3660</v>
      </c>
      <c r="L6970" s="6">
        <f>IFERROR(IF(INDEX(tProdutos[Desconto homologado],MATCH(tItens[[#This Row],[Produto]],tProdutos[Produto],0))="",DescontoPadrao,INDEX(tProdutos[Desconto homologado],MATCH(tItens[[#This Row],[Produto]],tProdutos[Produto],0))),DescontoPadrao)</f>
        <v>0.44298820445609399</v>
      </c>
      <c r="M6970" s="12">
        <f>tItens[[#This Row],[Valor]]*(1-tItens[[#This Row],[Desconto]])</f>
        <v>2038.6631716906959</v>
      </c>
      <c r="N6970" t="str">
        <f>IFERROR(INDEX(tProdutos[Foco],MATCH(tItens[[#This Row],[Produto]],tProdutos[Produto],0)),"Não")</f>
        <v>Não</v>
      </c>
      <c r="O6970" t="str">
        <f>IFERROR(INDEX(tEditais[SRP],MATCH(tItens[[#This Row],[Edital]],tEditais[Edital],0)),"Não")</f>
        <v>Não</v>
      </c>
      <c r="P6970" s="4">
        <f>IF(COUNTIFS(INDEX(tItens[Edital],1):tItens[[#This Row],[Edital]],tItens[[#This Row],[Edital]],INDEX(tItens[Produto],1):tItens[[#This Row],[Produto]],tItens[[#This Row],[Produto]])=1,1,0)</f>
        <v>0</v>
      </c>
    </row>
    <row r="6971" spans="1:16" x14ac:dyDescent="0.25">
      <c r="A6971" t="s">
        <v>2452</v>
      </c>
      <c r="B6971">
        <v>8039997</v>
      </c>
      <c r="C6971" t="s">
        <v>9635</v>
      </c>
      <c r="D6971" t="s">
        <v>209</v>
      </c>
      <c r="E6971" s="13">
        <v>1000</v>
      </c>
      <c r="F6971" s="12">
        <v>3.73</v>
      </c>
      <c r="G6971" t="str">
        <f>IFERROR(INDEX(tEditais[Órgão],MATCH(tItens[[#This Row],[Edital]],tEditais[Edital],0)),"")</f>
        <v>MUNICIPIO DE ALTA FLORESTA D'OESTE</v>
      </c>
      <c r="H6971" t="str">
        <f>IFERROR(INDEX(tEditais[UF],MATCH(tItens[[#This Row],[Edital]],tEditais[Edital],0)),"")</f>
        <v>RO</v>
      </c>
      <c r="I6971" s="11">
        <f>IFERROR(INDEX(tEditais[Encerramento],MATCH(tItens[[#This Row],[Edital]],tEditais[Edital],0)),"")</f>
        <v>46309.416666666664</v>
      </c>
      <c r="J6971" t="str">
        <f>IFERROR(INDEX(tProdutos[Classe],MATCH(tItens[[#This Row],[Produto]],tProdutos[Produto],0)),"produto não cadastrado")</f>
        <v>FORA</v>
      </c>
      <c r="K6971" s="12">
        <f>tItens[[#This Row],[Qtd]]*tItens[[#This Row],[Vlr unit]]</f>
        <v>3730</v>
      </c>
      <c r="L6971" s="6">
        <f>IFERROR(IF(INDEX(tProdutos[Desconto homologado],MATCH(tItens[[#This Row],[Produto]],tProdutos[Produto],0))="",DescontoPadrao,INDEX(tProdutos[Desconto homologado],MATCH(tItens[[#This Row],[Produto]],tProdutos[Produto],0))),DescontoPadrao)</f>
        <v>0.16442507504040599</v>
      </c>
      <c r="M6971" s="12">
        <f>tItens[[#This Row],[Valor]]*(1-tItens[[#This Row],[Desconto]])</f>
        <v>3116.6944700992858</v>
      </c>
      <c r="N6971" t="str">
        <f>IFERROR(INDEX(tProdutos[Foco],MATCH(tItens[[#This Row],[Produto]],tProdutos[Produto],0)),"Não")</f>
        <v>Não</v>
      </c>
      <c r="O6971" t="str">
        <f>IFERROR(INDEX(tEditais[SRP],MATCH(tItens[[#This Row],[Edital]],tEditais[Edital],0)),"Não")</f>
        <v>Não</v>
      </c>
      <c r="P6971" s="4">
        <f>IF(COUNTIFS(INDEX(tItens[Edital],1):tItens[[#This Row],[Edital]],tItens[[#This Row],[Edital]],INDEX(tItens[Produto],1):tItens[[#This Row],[Produto]],tItens[[#This Row],[Produto]])=1,1,0)</f>
        <v>1</v>
      </c>
    </row>
    <row r="6972" spans="1:16" x14ac:dyDescent="0.25">
      <c r="A6972" t="s">
        <v>2452</v>
      </c>
      <c r="B6972">
        <v>8039998</v>
      </c>
      <c r="C6972" t="s">
        <v>9636</v>
      </c>
      <c r="D6972" t="s">
        <v>333</v>
      </c>
      <c r="E6972" s="13">
        <v>4000</v>
      </c>
      <c r="F6972" s="12">
        <v>1.6</v>
      </c>
      <c r="G6972" t="str">
        <f>IFERROR(INDEX(tEditais[Órgão],MATCH(tItens[[#This Row],[Edital]],tEditais[Edital],0)),"")</f>
        <v>MUNICIPIO DE ALTA FLORESTA D'OESTE</v>
      </c>
      <c r="H6972" t="str">
        <f>IFERROR(INDEX(tEditais[UF],MATCH(tItens[[#This Row],[Edital]],tEditais[Edital],0)),"")</f>
        <v>RO</v>
      </c>
      <c r="I6972" s="11">
        <f>IFERROR(INDEX(tEditais[Encerramento],MATCH(tItens[[#This Row],[Edital]],tEditais[Edital],0)),"")</f>
        <v>46309.416666666664</v>
      </c>
      <c r="J6972" t="str">
        <f>IFERROR(INDEX(tProdutos[Classe],MATCH(tItens[[#This Row],[Produto]],tProdutos[Produto],0)),"produto não cadastrado")</f>
        <v>FORA</v>
      </c>
      <c r="K6972" s="12">
        <f>tItens[[#This Row],[Qtd]]*tItens[[#This Row],[Vlr unit]]</f>
        <v>6400</v>
      </c>
      <c r="L6972" s="6">
        <f>IFERROR(IF(INDEX(tProdutos[Desconto homologado],MATCH(tItens[[#This Row],[Produto]],tProdutos[Produto],0))="",DescontoPadrao,INDEX(tProdutos[Desconto homologado],MATCH(tItens[[#This Row],[Produto]],tProdutos[Produto],0))),DescontoPadrao)</f>
        <v>0.48951048951048998</v>
      </c>
      <c r="M6972" s="12">
        <f>tItens[[#This Row],[Valor]]*(1-tItens[[#This Row],[Desconto]])</f>
        <v>3267.1328671328638</v>
      </c>
      <c r="N6972" t="str">
        <f>IFERROR(INDEX(tProdutos[Foco],MATCH(tItens[[#This Row],[Produto]],tProdutos[Produto],0)),"Não")</f>
        <v>Não</v>
      </c>
      <c r="O6972" t="str">
        <f>IFERROR(INDEX(tEditais[SRP],MATCH(tItens[[#This Row],[Edital]],tEditais[Edital],0)),"Não")</f>
        <v>Não</v>
      </c>
      <c r="P6972" s="4">
        <f>IF(COUNTIFS(INDEX(tItens[Edital],1):tItens[[#This Row],[Edital]],tItens[[#This Row],[Edital]],INDEX(tItens[Produto],1):tItens[[#This Row],[Produto]],tItens[[#This Row],[Produto]])=1,1,0)</f>
        <v>0</v>
      </c>
    </row>
    <row r="6973" spans="1:16" x14ac:dyDescent="0.25">
      <c r="A6973" t="s">
        <v>2452</v>
      </c>
      <c r="B6973">
        <v>8040001</v>
      </c>
      <c r="C6973" t="s">
        <v>9637</v>
      </c>
      <c r="D6973" t="s">
        <v>102</v>
      </c>
      <c r="E6973" s="13">
        <v>1000</v>
      </c>
      <c r="F6973" s="12">
        <v>4.0999999999999996</v>
      </c>
      <c r="G6973" t="str">
        <f>IFERROR(INDEX(tEditais[Órgão],MATCH(tItens[[#This Row],[Edital]],tEditais[Edital],0)),"")</f>
        <v>MUNICIPIO DE ALTA FLORESTA D'OESTE</v>
      </c>
      <c r="H6973" t="str">
        <f>IFERROR(INDEX(tEditais[UF],MATCH(tItens[[#This Row],[Edital]],tEditais[Edital],0)),"")</f>
        <v>RO</v>
      </c>
      <c r="I6973" s="11">
        <f>IFERROR(INDEX(tEditais[Encerramento],MATCH(tItens[[#This Row],[Edital]],tEditais[Edital],0)),"")</f>
        <v>46309.416666666664</v>
      </c>
      <c r="J6973" t="str">
        <f>IFERROR(INDEX(tProdutos[Classe],MATCH(tItens[[#This Row],[Produto]],tProdutos[Produto],0)),"produto não cadastrado")</f>
        <v>DISPUTADO</v>
      </c>
      <c r="K6973" s="12">
        <f>tItens[[#This Row],[Qtd]]*tItens[[#This Row],[Vlr unit]]</f>
        <v>4100</v>
      </c>
      <c r="L6973" s="6">
        <f>IFERROR(IF(INDEX(tProdutos[Desconto homologado],MATCH(tItens[[#This Row],[Produto]],tProdutos[Produto],0))="",DescontoPadrao,INDEX(tProdutos[Desconto homologado],MATCH(tItens[[#This Row],[Produto]],tProdutos[Produto],0))),DescontoPadrao)</f>
        <v>0.38053097345132803</v>
      </c>
      <c r="M6973" s="12">
        <f>tItens[[#This Row],[Valor]]*(1-tItens[[#This Row],[Desconto]])</f>
        <v>2539.8230088495552</v>
      </c>
      <c r="N6973" t="str">
        <f>IFERROR(INDEX(tProdutos[Foco],MATCH(tItens[[#This Row],[Produto]],tProdutos[Produto],0)),"Não")</f>
        <v>Não</v>
      </c>
      <c r="O6973" t="str">
        <f>IFERROR(INDEX(tEditais[SRP],MATCH(tItens[[#This Row],[Edital]],tEditais[Edital],0)),"Não")</f>
        <v>Não</v>
      </c>
      <c r="P6973" s="4">
        <f>IF(COUNTIFS(INDEX(tItens[Edital],1):tItens[[#This Row],[Edital]],tItens[[#This Row],[Edital]],INDEX(tItens[Produto],1):tItens[[#This Row],[Produto]],tItens[[#This Row],[Produto]])=1,1,0)</f>
        <v>1</v>
      </c>
    </row>
    <row r="6974" spans="1:16" x14ac:dyDescent="0.25">
      <c r="A6974" t="s">
        <v>2452</v>
      </c>
      <c r="B6974">
        <v>8040002</v>
      </c>
      <c r="C6974" t="s">
        <v>9638</v>
      </c>
      <c r="D6974" t="s">
        <v>102</v>
      </c>
      <c r="E6974" s="13">
        <v>700</v>
      </c>
      <c r="F6974" s="12">
        <v>5.32</v>
      </c>
      <c r="G6974" t="str">
        <f>IFERROR(INDEX(tEditais[Órgão],MATCH(tItens[[#This Row],[Edital]],tEditais[Edital],0)),"")</f>
        <v>MUNICIPIO DE ALTA FLORESTA D'OESTE</v>
      </c>
      <c r="H6974" t="str">
        <f>IFERROR(INDEX(tEditais[UF],MATCH(tItens[[#This Row],[Edital]],tEditais[Edital],0)),"")</f>
        <v>RO</v>
      </c>
      <c r="I6974" s="11">
        <f>IFERROR(INDEX(tEditais[Encerramento],MATCH(tItens[[#This Row],[Edital]],tEditais[Edital],0)),"")</f>
        <v>46309.416666666664</v>
      </c>
      <c r="J6974" t="str">
        <f>IFERROR(INDEX(tProdutos[Classe],MATCH(tItens[[#This Row],[Produto]],tProdutos[Produto],0)),"produto não cadastrado")</f>
        <v>DISPUTADO</v>
      </c>
      <c r="K6974" s="12">
        <f>tItens[[#This Row],[Qtd]]*tItens[[#This Row],[Vlr unit]]</f>
        <v>3724</v>
      </c>
      <c r="L6974" s="6">
        <f>IFERROR(IF(INDEX(tProdutos[Desconto homologado],MATCH(tItens[[#This Row],[Produto]],tProdutos[Produto],0))="",DescontoPadrao,INDEX(tProdutos[Desconto homologado],MATCH(tItens[[#This Row],[Produto]],tProdutos[Produto],0))),DescontoPadrao)</f>
        <v>0.38053097345132803</v>
      </c>
      <c r="M6974" s="12">
        <f>tItens[[#This Row],[Valor]]*(1-tItens[[#This Row],[Desconto]])</f>
        <v>2306.9026548672546</v>
      </c>
      <c r="N6974" t="str">
        <f>IFERROR(INDEX(tProdutos[Foco],MATCH(tItens[[#This Row],[Produto]],tProdutos[Produto],0)),"Não")</f>
        <v>Não</v>
      </c>
      <c r="O6974" t="str">
        <f>IFERROR(INDEX(tEditais[SRP],MATCH(tItens[[#This Row],[Edital]],tEditais[Edital],0)),"Não")</f>
        <v>Não</v>
      </c>
      <c r="P6974" s="4">
        <f>IF(COUNTIFS(INDEX(tItens[Edital],1):tItens[[#This Row],[Edital]],tItens[[#This Row],[Edital]],INDEX(tItens[Produto],1):tItens[[#This Row],[Produto]],tItens[[#This Row],[Produto]])=1,1,0)</f>
        <v>0</v>
      </c>
    </row>
    <row r="6975" spans="1:16" x14ac:dyDescent="0.25">
      <c r="A6975" t="s">
        <v>2452</v>
      </c>
      <c r="B6975">
        <v>8040003</v>
      </c>
      <c r="C6975" t="s">
        <v>9639</v>
      </c>
      <c r="D6975" t="s">
        <v>229</v>
      </c>
      <c r="E6975" s="13">
        <v>200</v>
      </c>
      <c r="F6975" s="12">
        <v>30.5</v>
      </c>
      <c r="G6975" t="str">
        <f>IFERROR(INDEX(tEditais[Órgão],MATCH(tItens[[#This Row],[Edital]],tEditais[Edital],0)),"")</f>
        <v>MUNICIPIO DE ALTA FLORESTA D'OESTE</v>
      </c>
      <c r="H6975" t="str">
        <f>IFERROR(INDEX(tEditais[UF],MATCH(tItens[[#This Row],[Edital]],tEditais[Edital],0)),"")</f>
        <v>RO</v>
      </c>
      <c r="I6975" s="11">
        <f>IFERROR(INDEX(tEditais[Encerramento],MATCH(tItens[[#This Row],[Edital]],tEditais[Edital],0)),"")</f>
        <v>46309.416666666664</v>
      </c>
      <c r="J6975" t="str">
        <f>IFERROR(INDEX(tProdutos[Classe],MATCH(tItens[[#This Row],[Produto]],tProdutos[Produto],0)),"produto não cadastrado")</f>
        <v>FORA</v>
      </c>
      <c r="K6975" s="12">
        <f>tItens[[#This Row],[Qtd]]*tItens[[#This Row],[Vlr unit]]</f>
        <v>6100</v>
      </c>
      <c r="L6975" s="6">
        <f>IFERROR(IF(INDEX(tProdutos[Desconto homologado],MATCH(tItens[[#This Row],[Produto]],tProdutos[Produto],0))="",DescontoPadrao,INDEX(tProdutos[Desconto homologado],MATCH(tItens[[#This Row],[Produto]],tProdutos[Produto],0))),DescontoPadrao)</f>
        <v>0.33093491191658198</v>
      </c>
      <c r="M6975" s="12">
        <f>tItens[[#This Row],[Valor]]*(1-tItens[[#This Row],[Desconto]])</f>
        <v>4081.2970373088501</v>
      </c>
      <c r="N6975" t="str">
        <f>IFERROR(INDEX(tProdutos[Foco],MATCH(tItens[[#This Row],[Produto]],tProdutos[Produto],0)),"Não")</f>
        <v>Não</v>
      </c>
      <c r="O6975" t="str">
        <f>IFERROR(INDEX(tEditais[SRP],MATCH(tItens[[#This Row],[Edital]],tEditais[Edital],0)),"Não")</f>
        <v>Não</v>
      </c>
      <c r="P6975" s="4">
        <f>IF(COUNTIFS(INDEX(tItens[Edital],1):tItens[[#This Row],[Edital]],tItens[[#This Row],[Edital]],INDEX(tItens[Produto],1):tItens[[#This Row],[Produto]],tItens[[#This Row],[Produto]])=1,1,0)</f>
        <v>1</v>
      </c>
    </row>
    <row r="6976" spans="1:16" x14ac:dyDescent="0.25">
      <c r="A6976" t="s">
        <v>2452</v>
      </c>
      <c r="B6976">
        <v>8040004</v>
      </c>
      <c r="C6976" t="s">
        <v>9640</v>
      </c>
      <c r="D6976" t="s">
        <v>229</v>
      </c>
      <c r="E6976" s="13">
        <v>200</v>
      </c>
      <c r="F6976" s="12">
        <v>35.799999999999997</v>
      </c>
      <c r="G6976" t="str">
        <f>IFERROR(INDEX(tEditais[Órgão],MATCH(tItens[[#This Row],[Edital]],tEditais[Edital],0)),"")</f>
        <v>MUNICIPIO DE ALTA FLORESTA D'OESTE</v>
      </c>
      <c r="H6976" t="str">
        <f>IFERROR(INDEX(tEditais[UF],MATCH(tItens[[#This Row],[Edital]],tEditais[Edital],0)),"")</f>
        <v>RO</v>
      </c>
      <c r="I6976" s="11">
        <f>IFERROR(INDEX(tEditais[Encerramento],MATCH(tItens[[#This Row],[Edital]],tEditais[Edital],0)),"")</f>
        <v>46309.416666666664</v>
      </c>
      <c r="J6976" t="str">
        <f>IFERROR(INDEX(tProdutos[Classe],MATCH(tItens[[#This Row],[Produto]],tProdutos[Produto],0)),"produto não cadastrado")</f>
        <v>FORA</v>
      </c>
      <c r="K6976" s="12">
        <f>tItens[[#This Row],[Qtd]]*tItens[[#This Row],[Vlr unit]]</f>
        <v>7159.9999999999991</v>
      </c>
      <c r="L6976" s="6">
        <f>IFERROR(IF(INDEX(tProdutos[Desconto homologado],MATCH(tItens[[#This Row],[Produto]],tProdutos[Produto],0))="",DescontoPadrao,INDEX(tProdutos[Desconto homologado],MATCH(tItens[[#This Row],[Produto]],tProdutos[Produto],0))),DescontoPadrao)</f>
        <v>0.33093491191658198</v>
      </c>
      <c r="M6976" s="12">
        <f>tItens[[#This Row],[Valor]]*(1-tItens[[#This Row],[Desconto]])</f>
        <v>4790.5060306772721</v>
      </c>
      <c r="N6976" t="str">
        <f>IFERROR(INDEX(tProdutos[Foco],MATCH(tItens[[#This Row],[Produto]],tProdutos[Produto],0)),"Não")</f>
        <v>Não</v>
      </c>
      <c r="O6976" t="str">
        <f>IFERROR(INDEX(tEditais[SRP],MATCH(tItens[[#This Row],[Edital]],tEditais[Edital],0)),"Não")</f>
        <v>Não</v>
      </c>
      <c r="P6976" s="4">
        <f>IF(COUNTIFS(INDEX(tItens[Edital],1):tItens[[#This Row],[Edital]],tItens[[#This Row],[Edital]],INDEX(tItens[Produto],1):tItens[[#This Row],[Produto]],tItens[[#This Row],[Produto]])=1,1,0)</f>
        <v>0</v>
      </c>
    </row>
    <row r="6977" spans="1:16" x14ac:dyDescent="0.25">
      <c r="A6977" t="s">
        <v>2452</v>
      </c>
      <c r="B6977">
        <v>8040012</v>
      </c>
      <c r="C6977" t="s">
        <v>9641</v>
      </c>
      <c r="D6977" t="s">
        <v>233</v>
      </c>
      <c r="E6977" s="13">
        <v>200</v>
      </c>
      <c r="F6977" s="12">
        <v>17.52</v>
      </c>
      <c r="G6977" t="str">
        <f>IFERROR(INDEX(tEditais[Órgão],MATCH(tItens[[#This Row],[Edital]],tEditais[Edital],0)),"")</f>
        <v>MUNICIPIO DE ALTA FLORESTA D'OESTE</v>
      </c>
      <c r="H6977" t="str">
        <f>IFERROR(INDEX(tEditais[UF],MATCH(tItens[[#This Row],[Edital]],tEditais[Edital],0)),"")</f>
        <v>RO</v>
      </c>
      <c r="I6977" s="11">
        <f>IFERROR(INDEX(tEditais[Encerramento],MATCH(tItens[[#This Row],[Edital]],tEditais[Edital],0)),"")</f>
        <v>46309.416666666664</v>
      </c>
      <c r="J6977" t="str">
        <f>IFERROR(INDEX(tProdutos[Classe],MATCH(tItens[[#This Row],[Produto]],tProdutos[Produto],0)),"produto não cadastrado")</f>
        <v>FORA</v>
      </c>
      <c r="K6977" s="12">
        <f>tItens[[#This Row],[Qtd]]*tItens[[#This Row],[Vlr unit]]</f>
        <v>3504</v>
      </c>
      <c r="L6977" s="6">
        <f>IFERROR(IF(INDEX(tProdutos[Desconto homologado],MATCH(tItens[[#This Row],[Produto]],tProdutos[Produto],0))="",DescontoPadrao,INDEX(tProdutos[Desconto homologado],MATCH(tItens[[#This Row],[Produto]],tProdutos[Produto],0))),DescontoPadrao)</f>
        <v>0.246270084162204</v>
      </c>
      <c r="M6977" s="12">
        <f>tItens[[#This Row],[Valor]]*(1-tItens[[#This Row],[Desconto]])</f>
        <v>2641.0696250956371</v>
      </c>
      <c r="N6977" t="str">
        <f>IFERROR(INDEX(tProdutos[Foco],MATCH(tItens[[#This Row],[Produto]],tProdutos[Produto],0)),"Não")</f>
        <v>Não</v>
      </c>
      <c r="O6977" t="str">
        <f>IFERROR(INDEX(tEditais[SRP],MATCH(tItens[[#This Row],[Edital]],tEditais[Edital],0)),"Não")</f>
        <v>Não</v>
      </c>
      <c r="P6977" s="4">
        <f>IF(COUNTIFS(INDEX(tItens[Edital],1):tItens[[#This Row],[Edital]],tItens[[#This Row],[Edital]],INDEX(tItens[Produto],1):tItens[[#This Row],[Produto]],tItens[[#This Row],[Produto]])=1,1,0)</f>
        <v>1</v>
      </c>
    </row>
    <row r="6978" spans="1:16" x14ac:dyDescent="0.25">
      <c r="A6978" t="s">
        <v>2452</v>
      </c>
      <c r="B6978">
        <v>8040019</v>
      </c>
      <c r="C6978" t="s">
        <v>9642</v>
      </c>
      <c r="D6978" t="s">
        <v>77</v>
      </c>
      <c r="E6978" s="13">
        <v>900</v>
      </c>
      <c r="F6978" s="12">
        <v>10.66</v>
      </c>
      <c r="G6978" t="str">
        <f>IFERROR(INDEX(tEditais[Órgão],MATCH(tItens[[#This Row],[Edital]],tEditais[Edital],0)),"")</f>
        <v>MUNICIPIO DE ALTA FLORESTA D'OESTE</v>
      </c>
      <c r="H6978" t="str">
        <f>IFERROR(INDEX(tEditais[UF],MATCH(tItens[[#This Row],[Edital]],tEditais[Edital],0)),"")</f>
        <v>RO</v>
      </c>
      <c r="I6978" s="11">
        <f>IFERROR(INDEX(tEditais[Encerramento],MATCH(tItens[[#This Row],[Edital]],tEditais[Edital],0)),"")</f>
        <v>46309.416666666664</v>
      </c>
      <c r="J6978" t="str">
        <f>IFERROR(INDEX(tProdutos[Classe],MATCH(tItens[[#This Row],[Produto]],tProdutos[Produto],0)),"produto não cadastrado")</f>
        <v>DISPUTADO</v>
      </c>
      <c r="K6978" s="12">
        <f>tItens[[#This Row],[Qtd]]*tItens[[#This Row],[Vlr unit]]</f>
        <v>9594</v>
      </c>
      <c r="L6978" s="6">
        <f>IFERROR(IF(INDEX(tProdutos[Desconto homologado],MATCH(tItens[[#This Row],[Produto]],tProdutos[Produto],0))="",DescontoPadrao,INDEX(tProdutos[Desconto homologado],MATCH(tItens[[#This Row],[Produto]],tProdutos[Produto],0))),DescontoPadrao)</f>
        <v>0.33</v>
      </c>
      <c r="M6978" s="12">
        <f>tItens[[#This Row],[Valor]]*(1-tItens[[#This Row],[Desconto]])</f>
        <v>6427.98</v>
      </c>
      <c r="N6978" t="str">
        <f>IFERROR(INDEX(tProdutos[Foco],MATCH(tItens[[#This Row],[Produto]],tProdutos[Produto],0)),"Não")</f>
        <v>Sim</v>
      </c>
      <c r="O6978" t="str">
        <f>IFERROR(INDEX(tEditais[SRP],MATCH(tItens[[#This Row],[Edital]],tEditais[Edital],0)),"Não")</f>
        <v>Não</v>
      </c>
      <c r="P6978" s="4">
        <f>IF(COUNTIFS(INDEX(tItens[Edital],1):tItens[[#This Row],[Edital]],tItens[[#This Row],[Edital]],INDEX(tItens[Produto],1):tItens[[#This Row],[Produto]],tItens[[#This Row],[Produto]])=1,1,0)</f>
        <v>1</v>
      </c>
    </row>
    <row r="6979" spans="1:16" x14ac:dyDescent="0.25">
      <c r="A6979" t="s">
        <v>2452</v>
      </c>
      <c r="B6979">
        <v>8040020</v>
      </c>
      <c r="C6979" t="s">
        <v>9643</v>
      </c>
      <c r="D6979" t="s">
        <v>77</v>
      </c>
      <c r="E6979" s="13">
        <v>600</v>
      </c>
      <c r="F6979" s="12">
        <v>35.6</v>
      </c>
      <c r="G6979" t="str">
        <f>IFERROR(INDEX(tEditais[Órgão],MATCH(tItens[[#This Row],[Edital]],tEditais[Edital],0)),"")</f>
        <v>MUNICIPIO DE ALTA FLORESTA D'OESTE</v>
      </c>
      <c r="H6979" t="str">
        <f>IFERROR(INDEX(tEditais[UF],MATCH(tItens[[#This Row],[Edital]],tEditais[Edital],0)),"")</f>
        <v>RO</v>
      </c>
      <c r="I6979" s="11">
        <f>IFERROR(INDEX(tEditais[Encerramento],MATCH(tItens[[#This Row],[Edital]],tEditais[Edital],0)),"")</f>
        <v>46309.416666666664</v>
      </c>
      <c r="J6979" t="str">
        <f>IFERROR(INDEX(tProdutos[Classe],MATCH(tItens[[#This Row],[Produto]],tProdutos[Produto],0)),"produto não cadastrado")</f>
        <v>DISPUTADO</v>
      </c>
      <c r="K6979" s="12">
        <f>tItens[[#This Row],[Qtd]]*tItens[[#This Row],[Vlr unit]]</f>
        <v>21360</v>
      </c>
      <c r="L6979" s="6">
        <f>IFERROR(IF(INDEX(tProdutos[Desconto homologado],MATCH(tItens[[#This Row],[Produto]],tProdutos[Produto],0))="",DescontoPadrao,INDEX(tProdutos[Desconto homologado],MATCH(tItens[[#This Row],[Produto]],tProdutos[Produto],0))),DescontoPadrao)</f>
        <v>0.33</v>
      </c>
      <c r="M6979" s="12">
        <f>tItens[[#This Row],[Valor]]*(1-tItens[[#This Row],[Desconto]])</f>
        <v>14311.199999999999</v>
      </c>
      <c r="N6979" t="str">
        <f>IFERROR(INDEX(tProdutos[Foco],MATCH(tItens[[#This Row],[Produto]],tProdutos[Produto],0)),"Não")</f>
        <v>Sim</v>
      </c>
      <c r="O6979" t="str">
        <f>IFERROR(INDEX(tEditais[SRP],MATCH(tItens[[#This Row],[Edital]],tEditais[Edital],0)),"Não")</f>
        <v>Não</v>
      </c>
      <c r="P6979" s="4">
        <f>IF(COUNTIFS(INDEX(tItens[Edital],1):tItens[[#This Row],[Edital]],tItens[[#This Row],[Edital]],INDEX(tItens[Produto],1):tItens[[#This Row],[Produto]],tItens[[#This Row],[Produto]])=1,1,0)</f>
        <v>0</v>
      </c>
    </row>
    <row r="6980" spans="1:16" x14ac:dyDescent="0.25">
      <c r="A6980" t="s">
        <v>2452</v>
      </c>
      <c r="B6980">
        <v>8040021</v>
      </c>
      <c r="C6980" t="s">
        <v>9644</v>
      </c>
      <c r="D6980" t="s">
        <v>77</v>
      </c>
      <c r="E6980" s="13">
        <v>600</v>
      </c>
      <c r="F6980" s="12">
        <v>13.39</v>
      </c>
      <c r="G6980" t="str">
        <f>IFERROR(INDEX(tEditais[Órgão],MATCH(tItens[[#This Row],[Edital]],tEditais[Edital],0)),"")</f>
        <v>MUNICIPIO DE ALTA FLORESTA D'OESTE</v>
      </c>
      <c r="H6980" t="str">
        <f>IFERROR(INDEX(tEditais[UF],MATCH(tItens[[#This Row],[Edital]],tEditais[Edital],0)),"")</f>
        <v>RO</v>
      </c>
      <c r="I6980" s="11">
        <f>IFERROR(INDEX(tEditais[Encerramento],MATCH(tItens[[#This Row],[Edital]],tEditais[Edital],0)),"")</f>
        <v>46309.416666666664</v>
      </c>
      <c r="J6980" t="str">
        <f>IFERROR(INDEX(tProdutos[Classe],MATCH(tItens[[#This Row],[Produto]],tProdutos[Produto],0)),"produto não cadastrado")</f>
        <v>DISPUTADO</v>
      </c>
      <c r="K6980" s="12">
        <f>tItens[[#This Row],[Qtd]]*tItens[[#This Row],[Vlr unit]]</f>
        <v>8034</v>
      </c>
      <c r="L6980" s="6">
        <f>IFERROR(IF(INDEX(tProdutos[Desconto homologado],MATCH(tItens[[#This Row],[Produto]],tProdutos[Produto],0))="",DescontoPadrao,INDEX(tProdutos[Desconto homologado],MATCH(tItens[[#This Row],[Produto]],tProdutos[Produto],0))),DescontoPadrao)</f>
        <v>0.33</v>
      </c>
      <c r="M6980" s="12">
        <f>tItens[[#This Row],[Valor]]*(1-tItens[[#This Row],[Desconto]])</f>
        <v>5382.78</v>
      </c>
      <c r="N6980" t="str">
        <f>IFERROR(INDEX(tProdutos[Foco],MATCH(tItens[[#This Row],[Produto]],tProdutos[Produto],0)),"Não")</f>
        <v>Sim</v>
      </c>
      <c r="O6980" t="str">
        <f>IFERROR(INDEX(tEditais[SRP],MATCH(tItens[[#This Row],[Edital]],tEditais[Edital],0)),"Não")</f>
        <v>Não</v>
      </c>
      <c r="P6980" s="4">
        <f>IF(COUNTIFS(INDEX(tItens[Edital],1):tItens[[#This Row],[Edital]],tItens[[#This Row],[Edital]],INDEX(tItens[Produto],1):tItens[[#This Row],[Produto]],tItens[[#This Row],[Produto]])=1,1,0)</f>
        <v>0</v>
      </c>
    </row>
    <row r="6981" spans="1:16" x14ac:dyDescent="0.25">
      <c r="A6981" t="s">
        <v>2452</v>
      </c>
      <c r="B6981">
        <v>8040029</v>
      </c>
      <c r="C6981" t="s">
        <v>9645</v>
      </c>
      <c r="D6981" t="s">
        <v>67</v>
      </c>
      <c r="E6981" s="13">
        <v>20</v>
      </c>
      <c r="F6981" s="12">
        <v>8.25</v>
      </c>
      <c r="G6981" t="str">
        <f>IFERROR(INDEX(tEditais[Órgão],MATCH(tItens[[#This Row],[Edital]],tEditais[Edital],0)),"")</f>
        <v>MUNICIPIO DE ALTA FLORESTA D'OESTE</v>
      </c>
      <c r="H6981" t="str">
        <f>IFERROR(INDEX(tEditais[UF],MATCH(tItens[[#This Row],[Edital]],tEditais[Edital],0)),"")</f>
        <v>RO</v>
      </c>
      <c r="I6981" s="11">
        <f>IFERROR(INDEX(tEditais[Encerramento],MATCH(tItens[[#This Row],[Edital]],tEditais[Edital],0)),"")</f>
        <v>46309.416666666664</v>
      </c>
      <c r="J6981" t="str">
        <f>IFERROR(INDEX(tProdutos[Classe],MATCH(tItens[[#This Row],[Produto]],tProdutos[Produto],0)),"produto não cadastrado")</f>
        <v>NÚCLEO</v>
      </c>
      <c r="K6981" s="12">
        <f>tItens[[#This Row],[Qtd]]*tItens[[#This Row],[Vlr unit]]</f>
        <v>165</v>
      </c>
      <c r="L6981" s="6">
        <f>IFERROR(IF(INDEX(tProdutos[Desconto homologado],MATCH(tItens[[#This Row],[Produto]],tProdutos[Produto],0))="",DescontoPadrao,INDEX(tProdutos[Desconto homologado],MATCH(tItens[[#This Row],[Produto]],tProdutos[Produto],0))),DescontoPadrao)</f>
        <v>0.35766423357664201</v>
      </c>
      <c r="M6981" s="12">
        <f>tItens[[#This Row],[Valor]]*(1-tItens[[#This Row],[Desconto]])</f>
        <v>105.98540145985407</v>
      </c>
      <c r="N6981" t="str">
        <f>IFERROR(INDEX(tProdutos[Foco],MATCH(tItens[[#This Row],[Produto]],tProdutos[Produto],0)),"Não")</f>
        <v>Não</v>
      </c>
      <c r="O6981" t="str">
        <f>IFERROR(INDEX(tEditais[SRP],MATCH(tItens[[#This Row],[Edital]],tEditais[Edital],0)),"Não")</f>
        <v>Não</v>
      </c>
      <c r="P6981" s="4">
        <f>IF(COUNTIFS(INDEX(tItens[Edital],1):tItens[[#This Row],[Edital]],tItens[[#This Row],[Edital]],INDEX(tItens[Produto],1):tItens[[#This Row],[Produto]],tItens[[#This Row],[Produto]])=1,1,0)</f>
        <v>1</v>
      </c>
    </row>
    <row r="6982" spans="1:16" x14ac:dyDescent="0.25">
      <c r="A6982" t="s">
        <v>2452</v>
      </c>
      <c r="B6982">
        <v>8040032</v>
      </c>
      <c r="C6982" t="s">
        <v>9646</v>
      </c>
      <c r="D6982" t="s">
        <v>375</v>
      </c>
      <c r="E6982" s="13">
        <v>288</v>
      </c>
      <c r="F6982" s="12">
        <v>3.52</v>
      </c>
      <c r="G6982" t="str">
        <f>IFERROR(INDEX(tEditais[Órgão],MATCH(tItens[[#This Row],[Edital]],tEditais[Edital],0)),"")</f>
        <v>MUNICIPIO DE ALTA FLORESTA D'OESTE</v>
      </c>
      <c r="H6982" t="str">
        <f>IFERROR(INDEX(tEditais[UF],MATCH(tItens[[#This Row],[Edital]],tEditais[Edital],0)),"")</f>
        <v>RO</v>
      </c>
      <c r="I6982" s="11">
        <f>IFERROR(INDEX(tEditais[Encerramento],MATCH(tItens[[#This Row],[Edital]],tEditais[Edital],0)),"")</f>
        <v>46309.416666666664</v>
      </c>
      <c r="J6982" t="str">
        <f>IFERROR(INDEX(tProdutos[Classe],MATCH(tItens[[#This Row],[Produto]],tProdutos[Produto],0)),"produto não cadastrado")</f>
        <v>FORA</v>
      </c>
      <c r="K6982" s="12">
        <f>tItens[[#This Row],[Qtd]]*tItens[[#This Row],[Vlr unit]]</f>
        <v>1013.76</v>
      </c>
      <c r="L6982" s="6">
        <f>IFERROR(IF(INDEX(tProdutos[Desconto homologado],MATCH(tItens[[#This Row],[Produto]],tProdutos[Produto],0))="",DescontoPadrao,INDEX(tProdutos[Desconto homologado],MATCH(tItens[[#This Row],[Produto]],tProdutos[Produto],0))),DescontoPadrao)</f>
        <v>0.25005895299481201</v>
      </c>
      <c r="M6982" s="12">
        <f>tItens[[#This Row],[Valor]]*(1-tItens[[#This Row],[Desconto]])</f>
        <v>760.26023581197933</v>
      </c>
      <c r="N6982" t="str">
        <f>IFERROR(INDEX(tProdutos[Foco],MATCH(tItens[[#This Row],[Produto]],tProdutos[Produto],0)),"Não")</f>
        <v>Não</v>
      </c>
      <c r="O6982" t="str">
        <f>IFERROR(INDEX(tEditais[SRP],MATCH(tItens[[#This Row],[Edital]],tEditais[Edital],0)),"Não")</f>
        <v>Não</v>
      </c>
      <c r="P6982" s="4">
        <f>IF(COUNTIFS(INDEX(tItens[Edital],1):tItens[[#This Row],[Edital]],tItens[[#This Row],[Edital]],INDEX(tItens[Produto],1):tItens[[#This Row],[Produto]],tItens[[#This Row],[Produto]])=1,1,0)</f>
        <v>1</v>
      </c>
    </row>
    <row r="6983" spans="1:16" x14ac:dyDescent="0.25">
      <c r="A6983" t="s">
        <v>2452</v>
      </c>
      <c r="B6983">
        <v>8040033</v>
      </c>
      <c r="C6983" t="s">
        <v>9647</v>
      </c>
      <c r="D6983" t="s">
        <v>375</v>
      </c>
      <c r="E6983" s="13">
        <v>240</v>
      </c>
      <c r="F6983" s="12">
        <v>2.68</v>
      </c>
      <c r="G6983" t="str">
        <f>IFERROR(INDEX(tEditais[Órgão],MATCH(tItens[[#This Row],[Edital]],tEditais[Edital],0)),"")</f>
        <v>MUNICIPIO DE ALTA FLORESTA D'OESTE</v>
      </c>
      <c r="H6983" t="str">
        <f>IFERROR(INDEX(tEditais[UF],MATCH(tItens[[#This Row],[Edital]],tEditais[Edital],0)),"")</f>
        <v>RO</v>
      </c>
      <c r="I6983" s="11">
        <f>IFERROR(INDEX(tEditais[Encerramento],MATCH(tItens[[#This Row],[Edital]],tEditais[Edital],0)),"")</f>
        <v>46309.416666666664</v>
      </c>
      <c r="J6983" t="str">
        <f>IFERROR(INDEX(tProdutos[Classe],MATCH(tItens[[#This Row],[Produto]],tProdutos[Produto],0)),"produto não cadastrado")</f>
        <v>FORA</v>
      </c>
      <c r="K6983" s="12">
        <f>tItens[[#This Row],[Qtd]]*tItens[[#This Row],[Vlr unit]]</f>
        <v>643.20000000000005</v>
      </c>
      <c r="L6983" s="6">
        <f>IFERROR(IF(INDEX(tProdutos[Desconto homologado],MATCH(tItens[[#This Row],[Produto]],tProdutos[Produto],0))="",DescontoPadrao,INDEX(tProdutos[Desconto homologado],MATCH(tItens[[#This Row],[Produto]],tProdutos[Produto],0))),DescontoPadrao)</f>
        <v>0.25005895299481201</v>
      </c>
      <c r="M6983" s="12">
        <f>tItens[[#This Row],[Valor]]*(1-tItens[[#This Row],[Desconto]])</f>
        <v>482.36208143373693</v>
      </c>
      <c r="N6983" t="str">
        <f>IFERROR(INDEX(tProdutos[Foco],MATCH(tItens[[#This Row],[Produto]],tProdutos[Produto],0)),"Não")</f>
        <v>Não</v>
      </c>
      <c r="O6983" t="str">
        <f>IFERROR(INDEX(tEditais[SRP],MATCH(tItens[[#This Row],[Edital]],tEditais[Edital],0)),"Não")</f>
        <v>Não</v>
      </c>
      <c r="P6983" s="4">
        <f>IF(COUNTIFS(INDEX(tItens[Edital],1):tItens[[#This Row],[Edital]],tItens[[#This Row],[Edital]],INDEX(tItens[Produto],1):tItens[[#This Row],[Produto]],tItens[[#This Row],[Produto]])=1,1,0)</f>
        <v>0</v>
      </c>
    </row>
    <row r="6984" spans="1:16" x14ac:dyDescent="0.25">
      <c r="A6984" t="s">
        <v>2452</v>
      </c>
      <c r="B6984">
        <v>8040034</v>
      </c>
      <c r="C6984" t="s">
        <v>9648</v>
      </c>
      <c r="D6984" t="s">
        <v>375</v>
      </c>
      <c r="E6984" s="13">
        <v>288</v>
      </c>
      <c r="F6984" s="12">
        <v>3.9</v>
      </c>
      <c r="G6984" t="str">
        <f>IFERROR(INDEX(tEditais[Órgão],MATCH(tItens[[#This Row],[Edital]],tEditais[Edital],0)),"")</f>
        <v>MUNICIPIO DE ALTA FLORESTA D'OESTE</v>
      </c>
      <c r="H6984" t="str">
        <f>IFERROR(INDEX(tEditais[UF],MATCH(tItens[[#This Row],[Edital]],tEditais[Edital],0)),"")</f>
        <v>RO</v>
      </c>
      <c r="I6984" s="11">
        <f>IFERROR(INDEX(tEditais[Encerramento],MATCH(tItens[[#This Row],[Edital]],tEditais[Edital],0)),"")</f>
        <v>46309.416666666664</v>
      </c>
      <c r="J6984" t="str">
        <f>IFERROR(INDEX(tProdutos[Classe],MATCH(tItens[[#This Row],[Produto]],tProdutos[Produto],0)),"produto não cadastrado")</f>
        <v>FORA</v>
      </c>
      <c r="K6984" s="12">
        <f>tItens[[#This Row],[Qtd]]*tItens[[#This Row],[Vlr unit]]</f>
        <v>1123.2</v>
      </c>
      <c r="L6984" s="6">
        <f>IFERROR(IF(INDEX(tProdutos[Desconto homologado],MATCH(tItens[[#This Row],[Produto]],tProdutos[Produto],0))="",DescontoPadrao,INDEX(tProdutos[Desconto homologado],MATCH(tItens[[#This Row],[Produto]],tProdutos[Produto],0))),DescontoPadrao)</f>
        <v>0.25005895299481201</v>
      </c>
      <c r="M6984" s="12">
        <f>tItens[[#This Row],[Valor]]*(1-tItens[[#This Row],[Desconto]])</f>
        <v>842.33378399622711</v>
      </c>
      <c r="N6984" t="str">
        <f>IFERROR(INDEX(tProdutos[Foco],MATCH(tItens[[#This Row],[Produto]],tProdutos[Produto],0)),"Não")</f>
        <v>Não</v>
      </c>
      <c r="O6984" t="str">
        <f>IFERROR(INDEX(tEditais[SRP],MATCH(tItens[[#This Row],[Edital]],tEditais[Edital],0)),"Não")</f>
        <v>Não</v>
      </c>
      <c r="P6984" s="4">
        <f>IF(COUNTIFS(INDEX(tItens[Edital],1):tItens[[#This Row],[Edital]],tItens[[#This Row],[Edital]],INDEX(tItens[Produto],1):tItens[[#This Row],[Produto]],tItens[[#This Row],[Produto]])=1,1,0)</f>
        <v>0</v>
      </c>
    </row>
    <row r="6985" spans="1:16" x14ac:dyDescent="0.25">
      <c r="A6985" t="s">
        <v>2452</v>
      </c>
      <c r="B6985">
        <v>8040035</v>
      </c>
      <c r="C6985" t="s">
        <v>9649</v>
      </c>
      <c r="D6985" t="s">
        <v>375</v>
      </c>
      <c r="E6985" s="13">
        <v>120</v>
      </c>
      <c r="F6985" s="12">
        <v>3.66</v>
      </c>
      <c r="G6985" t="str">
        <f>IFERROR(INDEX(tEditais[Órgão],MATCH(tItens[[#This Row],[Edital]],tEditais[Edital],0)),"")</f>
        <v>MUNICIPIO DE ALTA FLORESTA D'OESTE</v>
      </c>
      <c r="H6985" t="str">
        <f>IFERROR(INDEX(tEditais[UF],MATCH(tItens[[#This Row],[Edital]],tEditais[Edital],0)),"")</f>
        <v>RO</v>
      </c>
      <c r="I6985" s="11">
        <f>IFERROR(INDEX(tEditais[Encerramento],MATCH(tItens[[#This Row],[Edital]],tEditais[Edital],0)),"")</f>
        <v>46309.416666666664</v>
      </c>
      <c r="J6985" t="str">
        <f>IFERROR(INDEX(tProdutos[Classe],MATCH(tItens[[#This Row],[Produto]],tProdutos[Produto],0)),"produto não cadastrado")</f>
        <v>FORA</v>
      </c>
      <c r="K6985" s="12">
        <f>tItens[[#This Row],[Qtd]]*tItens[[#This Row],[Vlr unit]]</f>
        <v>439.20000000000005</v>
      </c>
      <c r="L6985" s="6">
        <f>IFERROR(IF(INDEX(tProdutos[Desconto homologado],MATCH(tItens[[#This Row],[Produto]],tProdutos[Produto],0))="",DescontoPadrao,INDEX(tProdutos[Desconto homologado],MATCH(tItens[[#This Row],[Produto]],tProdutos[Produto],0))),DescontoPadrao)</f>
        <v>0.25005895299481201</v>
      </c>
      <c r="M6985" s="12">
        <f>tItens[[#This Row],[Valor]]*(1-tItens[[#This Row],[Desconto]])</f>
        <v>329.37410784467858</v>
      </c>
      <c r="N6985" t="str">
        <f>IFERROR(INDEX(tProdutos[Foco],MATCH(tItens[[#This Row],[Produto]],tProdutos[Produto],0)),"Não")</f>
        <v>Não</v>
      </c>
      <c r="O6985" t="str">
        <f>IFERROR(INDEX(tEditais[SRP],MATCH(tItens[[#This Row],[Edital]],tEditais[Edital],0)),"Não")</f>
        <v>Não</v>
      </c>
      <c r="P6985" s="4">
        <f>IF(COUNTIFS(INDEX(tItens[Edital],1):tItens[[#This Row],[Edital]],tItens[[#This Row],[Edital]],INDEX(tItens[Produto],1):tItens[[#This Row],[Produto]],tItens[[#This Row],[Produto]])=1,1,0)</f>
        <v>0</v>
      </c>
    </row>
    <row r="6986" spans="1:16" x14ac:dyDescent="0.25">
      <c r="A6986" t="s">
        <v>2452</v>
      </c>
      <c r="B6986">
        <v>8040036</v>
      </c>
      <c r="C6986" t="s">
        <v>9650</v>
      </c>
      <c r="D6986" t="s">
        <v>375</v>
      </c>
      <c r="E6986" s="13">
        <v>120</v>
      </c>
      <c r="F6986" s="12">
        <v>3.65</v>
      </c>
      <c r="G6986" t="str">
        <f>IFERROR(INDEX(tEditais[Órgão],MATCH(tItens[[#This Row],[Edital]],tEditais[Edital],0)),"")</f>
        <v>MUNICIPIO DE ALTA FLORESTA D'OESTE</v>
      </c>
      <c r="H6986" t="str">
        <f>IFERROR(INDEX(tEditais[UF],MATCH(tItens[[#This Row],[Edital]],tEditais[Edital],0)),"")</f>
        <v>RO</v>
      </c>
      <c r="I6986" s="11">
        <f>IFERROR(INDEX(tEditais[Encerramento],MATCH(tItens[[#This Row],[Edital]],tEditais[Edital],0)),"")</f>
        <v>46309.416666666664</v>
      </c>
      <c r="J6986" t="str">
        <f>IFERROR(INDEX(tProdutos[Classe],MATCH(tItens[[#This Row],[Produto]],tProdutos[Produto],0)),"produto não cadastrado")</f>
        <v>FORA</v>
      </c>
      <c r="K6986" s="12">
        <f>tItens[[#This Row],[Qtd]]*tItens[[#This Row],[Vlr unit]]</f>
        <v>438</v>
      </c>
      <c r="L6986" s="6">
        <f>IFERROR(IF(INDEX(tProdutos[Desconto homologado],MATCH(tItens[[#This Row],[Produto]],tProdutos[Produto],0))="",DescontoPadrao,INDEX(tProdutos[Desconto homologado],MATCH(tItens[[#This Row],[Produto]],tProdutos[Produto],0))),DescontoPadrao)</f>
        <v>0.25005895299481201</v>
      </c>
      <c r="M6986" s="12">
        <f>tItens[[#This Row],[Valor]]*(1-tItens[[#This Row],[Desconto]])</f>
        <v>328.47417858827231</v>
      </c>
      <c r="N6986" t="str">
        <f>IFERROR(INDEX(tProdutos[Foco],MATCH(tItens[[#This Row],[Produto]],tProdutos[Produto],0)),"Não")</f>
        <v>Não</v>
      </c>
      <c r="O6986" t="str">
        <f>IFERROR(INDEX(tEditais[SRP],MATCH(tItens[[#This Row],[Edital]],tEditais[Edital],0)),"Não")</f>
        <v>Não</v>
      </c>
      <c r="P6986" s="4">
        <f>IF(COUNTIFS(INDEX(tItens[Edital],1):tItens[[#This Row],[Edital]],tItens[[#This Row],[Edital]],INDEX(tItens[Produto],1):tItens[[#This Row],[Produto]],tItens[[#This Row],[Produto]])=1,1,0)</f>
        <v>0</v>
      </c>
    </row>
    <row r="6987" spans="1:16" x14ac:dyDescent="0.25">
      <c r="A6987" t="s">
        <v>2452</v>
      </c>
      <c r="B6987">
        <v>8040037</v>
      </c>
      <c r="C6987" t="s">
        <v>9651</v>
      </c>
      <c r="D6987" t="s">
        <v>375</v>
      </c>
      <c r="E6987" s="13">
        <v>360</v>
      </c>
      <c r="F6987" s="12">
        <v>8.84</v>
      </c>
      <c r="G6987" t="str">
        <f>IFERROR(INDEX(tEditais[Órgão],MATCH(tItens[[#This Row],[Edital]],tEditais[Edital],0)),"")</f>
        <v>MUNICIPIO DE ALTA FLORESTA D'OESTE</v>
      </c>
      <c r="H6987" t="str">
        <f>IFERROR(INDEX(tEditais[UF],MATCH(tItens[[#This Row],[Edital]],tEditais[Edital],0)),"")</f>
        <v>RO</v>
      </c>
      <c r="I6987" s="11">
        <f>IFERROR(INDEX(tEditais[Encerramento],MATCH(tItens[[#This Row],[Edital]],tEditais[Edital],0)),"")</f>
        <v>46309.416666666664</v>
      </c>
      <c r="J6987" t="str">
        <f>IFERROR(INDEX(tProdutos[Classe],MATCH(tItens[[#This Row],[Produto]],tProdutos[Produto],0)),"produto não cadastrado")</f>
        <v>FORA</v>
      </c>
      <c r="K6987" s="12">
        <f>tItens[[#This Row],[Qtd]]*tItens[[#This Row],[Vlr unit]]</f>
        <v>3182.4</v>
      </c>
      <c r="L6987" s="6">
        <f>IFERROR(IF(INDEX(tProdutos[Desconto homologado],MATCH(tItens[[#This Row],[Produto]],tProdutos[Produto],0))="",DescontoPadrao,INDEX(tProdutos[Desconto homologado],MATCH(tItens[[#This Row],[Produto]],tProdutos[Produto],0))),DescontoPadrao)</f>
        <v>0.25005895299481201</v>
      </c>
      <c r="M6987" s="12">
        <f>tItens[[#This Row],[Valor]]*(1-tItens[[#This Row],[Desconto]])</f>
        <v>2386.6123879893103</v>
      </c>
      <c r="N6987" t="str">
        <f>IFERROR(INDEX(tProdutos[Foco],MATCH(tItens[[#This Row],[Produto]],tProdutos[Produto],0)),"Não")</f>
        <v>Não</v>
      </c>
      <c r="O6987" t="str">
        <f>IFERROR(INDEX(tEditais[SRP],MATCH(tItens[[#This Row],[Edital]],tEditais[Edital],0)),"Não")</f>
        <v>Não</v>
      </c>
      <c r="P6987" s="4">
        <f>IF(COUNTIFS(INDEX(tItens[Edital],1):tItens[[#This Row],[Edital]],tItens[[#This Row],[Edital]],INDEX(tItens[Produto],1):tItens[[#This Row],[Produto]],tItens[[#This Row],[Produto]])=1,1,0)</f>
        <v>0</v>
      </c>
    </row>
    <row r="6988" spans="1:16" x14ac:dyDescent="0.25">
      <c r="A6988" t="s">
        <v>2452</v>
      </c>
      <c r="B6988">
        <v>8040038</v>
      </c>
      <c r="C6988" t="s">
        <v>9652</v>
      </c>
      <c r="D6988" t="s">
        <v>375</v>
      </c>
      <c r="E6988" s="13">
        <v>288</v>
      </c>
      <c r="F6988" s="12">
        <v>9.9</v>
      </c>
      <c r="G6988" t="str">
        <f>IFERROR(INDEX(tEditais[Órgão],MATCH(tItens[[#This Row],[Edital]],tEditais[Edital],0)),"")</f>
        <v>MUNICIPIO DE ALTA FLORESTA D'OESTE</v>
      </c>
      <c r="H6988" t="str">
        <f>IFERROR(INDEX(tEditais[UF],MATCH(tItens[[#This Row],[Edital]],tEditais[Edital],0)),"")</f>
        <v>RO</v>
      </c>
      <c r="I6988" s="11">
        <f>IFERROR(INDEX(tEditais[Encerramento],MATCH(tItens[[#This Row],[Edital]],tEditais[Edital],0)),"")</f>
        <v>46309.416666666664</v>
      </c>
      <c r="J6988" t="str">
        <f>IFERROR(INDEX(tProdutos[Classe],MATCH(tItens[[#This Row],[Produto]],tProdutos[Produto],0)),"produto não cadastrado")</f>
        <v>FORA</v>
      </c>
      <c r="K6988" s="12">
        <f>tItens[[#This Row],[Qtd]]*tItens[[#This Row],[Vlr unit]]</f>
        <v>2851.2000000000003</v>
      </c>
      <c r="L6988" s="6">
        <f>IFERROR(IF(INDEX(tProdutos[Desconto homologado],MATCH(tItens[[#This Row],[Produto]],tProdutos[Produto],0))="",DescontoPadrao,INDEX(tProdutos[Desconto homologado],MATCH(tItens[[#This Row],[Produto]],tProdutos[Produto],0))),DescontoPadrao)</f>
        <v>0.25005895299481201</v>
      </c>
      <c r="M6988" s="12">
        <f>tItens[[#This Row],[Valor]]*(1-tItens[[#This Row],[Desconto]])</f>
        <v>2138.2319132211919</v>
      </c>
      <c r="N6988" t="str">
        <f>IFERROR(INDEX(tProdutos[Foco],MATCH(tItens[[#This Row],[Produto]],tProdutos[Produto],0)),"Não")</f>
        <v>Não</v>
      </c>
      <c r="O6988" t="str">
        <f>IFERROR(INDEX(tEditais[SRP],MATCH(tItens[[#This Row],[Edital]],tEditais[Edital],0)),"Não")</f>
        <v>Não</v>
      </c>
      <c r="P6988" s="4">
        <f>IF(COUNTIFS(INDEX(tItens[Edital],1):tItens[[#This Row],[Edital]],tItens[[#This Row],[Edital]],INDEX(tItens[Produto],1):tItens[[#This Row],[Produto]],tItens[[#This Row],[Produto]])=1,1,0)</f>
        <v>0</v>
      </c>
    </row>
    <row r="6989" spans="1:16" x14ac:dyDescent="0.25">
      <c r="A6989" t="s">
        <v>2452</v>
      </c>
      <c r="B6989">
        <v>8040039</v>
      </c>
      <c r="C6989" t="s">
        <v>9653</v>
      </c>
      <c r="D6989" t="s">
        <v>375</v>
      </c>
      <c r="E6989" s="13">
        <v>360</v>
      </c>
      <c r="F6989" s="12">
        <v>9.26</v>
      </c>
      <c r="G6989" t="str">
        <f>IFERROR(INDEX(tEditais[Órgão],MATCH(tItens[[#This Row],[Edital]],tEditais[Edital],0)),"")</f>
        <v>MUNICIPIO DE ALTA FLORESTA D'OESTE</v>
      </c>
      <c r="H6989" t="str">
        <f>IFERROR(INDEX(tEditais[UF],MATCH(tItens[[#This Row],[Edital]],tEditais[Edital],0)),"")</f>
        <v>RO</v>
      </c>
      <c r="I6989" s="11">
        <f>IFERROR(INDEX(tEditais[Encerramento],MATCH(tItens[[#This Row],[Edital]],tEditais[Edital],0)),"")</f>
        <v>46309.416666666664</v>
      </c>
      <c r="J6989" t="str">
        <f>IFERROR(INDEX(tProdutos[Classe],MATCH(tItens[[#This Row],[Produto]],tProdutos[Produto],0)),"produto não cadastrado")</f>
        <v>FORA</v>
      </c>
      <c r="K6989" s="12">
        <f>tItens[[#This Row],[Qtd]]*tItens[[#This Row],[Vlr unit]]</f>
        <v>3333.6</v>
      </c>
      <c r="L6989" s="6">
        <f>IFERROR(IF(INDEX(tProdutos[Desconto homologado],MATCH(tItens[[#This Row],[Produto]],tProdutos[Produto],0))="",DescontoPadrao,INDEX(tProdutos[Desconto homologado],MATCH(tItens[[#This Row],[Produto]],tProdutos[Produto],0))),DescontoPadrao)</f>
        <v>0.25005895299481201</v>
      </c>
      <c r="M6989" s="12">
        <f>tItens[[#This Row],[Valor]]*(1-tItens[[#This Row],[Desconto]])</f>
        <v>2500.0034742964945</v>
      </c>
      <c r="N6989" t="str">
        <f>IFERROR(INDEX(tProdutos[Foco],MATCH(tItens[[#This Row],[Produto]],tProdutos[Produto],0)),"Não")</f>
        <v>Não</v>
      </c>
      <c r="O6989" t="str">
        <f>IFERROR(INDEX(tEditais[SRP],MATCH(tItens[[#This Row],[Edital]],tEditais[Edital],0)),"Não")</f>
        <v>Não</v>
      </c>
      <c r="P6989" s="4">
        <f>IF(COUNTIFS(INDEX(tItens[Edital],1):tItens[[#This Row],[Edital]],tItens[[#This Row],[Edital]],INDEX(tItens[Produto],1):tItens[[#This Row],[Produto]],tItens[[#This Row],[Produto]])=1,1,0)</f>
        <v>0</v>
      </c>
    </row>
    <row r="6990" spans="1:16" x14ac:dyDescent="0.25">
      <c r="A6990" t="s">
        <v>2452</v>
      </c>
      <c r="B6990">
        <v>8040040</v>
      </c>
      <c r="C6990" t="s">
        <v>9654</v>
      </c>
      <c r="D6990" t="s">
        <v>375</v>
      </c>
      <c r="E6990" s="13">
        <v>360</v>
      </c>
      <c r="F6990" s="12">
        <v>11.89</v>
      </c>
      <c r="G6990" t="str">
        <f>IFERROR(INDEX(tEditais[Órgão],MATCH(tItens[[#This Row],[Edital]],tEditais[Edital],0)),"")</f>
        <v>MUNICIPIO DE ALTA FLORESTA D'OESTE</v>
      </c>
      <c r="H6990" t="str">
        <f>IFERROR(INDEX(tEditais[UF],MATCH(tItens[[#This Row],[Edital]],tEditais[Edital],0)),"")</f>
        <v>RO</v>
      </c>
      <c r="I6990" s="11">
        <f>IFERROR(INDEX(tEditais[Encerramento],MATCH(tItens[[#This Row],[Edital]],tEditais[Edital],0)),"")</f>
        <v>46309.416666666664</v>
      </c>
      <c r="J6990" t="str">
        <f>IFERROR(INDEX(tProdutos[Classe],MATCH(tItens[[#This Row],[Produto]],tProdutos[Produto],0)),"produto não cadastrado")</f>
        <v>FORA</v>
      </c>
      <c r="K6990" s="12">
        <f>tItens[[#This Row],[Qtd]]*tItens[[#This Row],[Vlr unit]]</f>
        <v>4280.4000000000005</v>
      </c>
      <c r="L6990" s="6">
        <f>IFERROR(IF(INDEX(tProdutos[Desconto homologado],MATCH(tItens[[#This Row],[Produto]],tProdutos[Produto],0))="",DescontoPadrao,INDEX(tProdutos[Desconto homologado],MATCH(tItens[[#This Row],[Produto]],tProdutos[Produto],0))),DescontoPadrao)</f>
        <v>0.25005895299481201</v>
      </c>
      <c r="M6990" s="12">
        <f>tItens[[#This Row],[Valor]]*(1-tItens[[#This Row],[Desconto]])</f>
        <v>3210.0476576010069</v>
      </c>
      <c r="N6990" t="str">
        <f>IFERROR(INDEX(tProdutos[Foco],MATCH(tItens[[#This Row],[Produto]],tProdutos[Produto],0)),"Não")</f>
        <v>Não</v>
      </c>
      <c r="O6990" t="str">
        <f>IFERROR(INDEX(tEditais[SRP],MATCH(tItens[[#This Row],[Edital]],tEditais[Edital],0)),"Não")</f>
        <v>Não</v>
      </c>
      <c r="P6990" s="4">
        <f>IF(COUNTIFS(INDEX(tItens[Edital],1):tItens[[#This Row],[Edital]],tItens[[#This Row],[Edital]],INDEX(tItens[Produto],1):tItens[[#This Row],[Produto]],tItens[[#This Row],[Produto]])=1,1,0)</f>
        <v>0</v>
      </c>
    </row>
    <row r="6991" spans="1:16" x14ac:dyDescent="0.25">
      <c r="A6991" t="s">
        <v>2452</v>
      </c>
      <c r="B6991">
        <v>8040041</v>
      </c>
      <c r="C6991" t="s">
        <v>9655</v>
      </c>
      <c r="D6991" t="s">
        <v>375</v>
      </c>
      <c r="E6991" s="13">
        <v>720</v>
      </c>
      <c r="F6991" s="12">
        <v>7.62</v>
      </c>
      <c r="G6991" t="str">
        <f>IFERROR(INDEX(tEditais[Órgão],MATCH(tItens[[#This Row],[Edital]],tEditais[Edital],0)),"")</f>
        <v>MUNICIPIO DE ALTA FLORESTA D'OESTE</v>
      </c>
      <c r="H6991" t="str">
        <f>IFERROR(INDEX(tEditais[UF],MATCH(tItens[[#This Row],[Edital]],tEditais[Edital],0)),"")</f>
        <v>RO</v>
      </c>
      <c r="I6991" s="11">
        <f>IFERROR(INDEX(tEditais[Encerramento],MATCH(tItens[[#This Row],[Edital]],tEditais[Edital],0)),"")</f>
        <v>46309.416666666664</v>
      </c>
      <c r="J6991" t="str">
        <f>IFERROR(INDEX(tProdutos[Classe],MATCH(tItens[[#This Row],[Produto]],tProdutos[Produto],0)),"produto não cadastrado")</f>
        <v>FORA</v>
      </c>
      <c r="K6991" s="12">
        <f>tItens[[#This Row],[Qtd]]*tItens[[#This Row],[Vlr unit]]</f>
        <v>5486.4</v>
      </c>
      <c r="L6991" s="6">
        <f>IFERROR(IF(INDEX(tProdutos[Desconto homologado],MATCH(tItens[[#This Row],[Produto]],tProdutos[Produto],0))="",DescontoPadrao,INDEX(tProdutos[Desconto homologado],MATCH(tItens[[#This Row],[Produto]],tProdutos[Produto],0))),DescontoPadrao)</f>
        <v>0.25005895299481201</v>
      </c>
      <c r="M6991" s="12">
        <f>tItens[[#This Row],[Valor]]*(1-tItens[[#This Row],[Desconto]])</f>
        <v>4114.476560289263</v>
      </c>
      <c r="N6991" t="str">
        <f>IFERROR(INDEX(tProdutos[Foco],MATCH(tItens[[#This Row],[Produto]],tProdutos[Produto],0)),"Não")</f>
        <v>Não</v>
      </c>
      <c r="O6991" t="str">
        <f>IFERROR(INDEX(tEditais[SRP],MATCH(tItens[[#This Row],[Edital]],tEditais[Edital],0)),"Não")</f>
        <v>Não</v>
      </c>
      <c r="P6991" s="4">
        <f>IF(COUNTIFS(INDEX(tItens[Edital],1):tItens[[#This Row],[Edital]],tItens[[#This Row],[Edital]],INDEX(tItens[Produto],1):tItens[[#This Row],[Produto]],tItens[[#This Row],[Produto]])=1,1,0)</f>
        <v>0</v>
      </c>
    </row>
    <row r="6992" spans="1:16" x14ac:dyDescent="0.25">
      <c r="A6992" t="s">
        <v>2452</v>
      </c>
      <c r="B6992">
        <v>8040042</v>
      </c>
      <c r="C6992" t="s">
        <v>9656</v>
      </c>
      <c r="D6992" t="s">
        <v>375</v>
      </c>
      <c r="E6992" s="13">
        <v>720</v>
      </c>
      <c r="F6992" s="12">
        <v>7.62</v>
      </c>
      <c r="G6992" t="str">
        <f>IFERROR(INDEX(tEditais[Órgão],MATCH(tItens[[#This Row],[Edital]],tEditais[Edital],0)),"")</f>
        <v>MUNICIPIO DE ALTA FLORESTA D'OESTE</v>
      </c>
      <c r="H6992" t="str">
        <f>IFERROR(INDEX(tEditais[UF],MATCH(tItens[[#This Row],[Edital]],tEditais[Edital],0)),"")</f>
        <v>RO</v>
      </c>
      <c r="I6992" s="11">
        <f>IFERROR(INDEX(tEditais[Encerramento],MATCH(tItens[[#This Row],[Edital]],tEditais[Edital],0)),"")</f>
        <v>46309.416666666664</v>
      </c>
      <c r="J6992" t="str">
        <f>IFERROR(INDEX(tProdutos[Classe],MATCH(tItens[[#This Row],[Produto]],tProdutos[Produto],0)),"produto não cadastrado")</f>
        <v>FORA</v>
      </c>
      <c r="K6992" s="12">
        <f>tItens[[#This Row],[Qtd]]*tItens[[#This Row],[Vlr unit]]</f>
        <v>5486.4</v>
      </c>
      <c r="L6992" s="6">
        <f>IFERROR(IF(INDEX(tProdutos[Desconto homologado],MATCH(tItens[[#This Row],[Produto]],tProdutos[Produto],0))="",DescontoPadrao,INDEX(tProdutos[Desconto homologado],MATCH(tItens[[#This Row],[Produto]],tProdutos[Produto],0))),DescontoPadrao)</f>
        <v>0.25005895299481201</v>
      </c>
      <c r="M6992" s="12">
        <f>tItens[[#This Row],[Valor]]*(1-tItens[[#This Row],[Desconto]])</f>
        <v>4114.476560289263</v>
      </c>
      <c r="N6992" t="str">
        <f>IFERROR(INDEX(tProdutos[Foco],MATCH(tItens[[#This Row],[Produto]],tProdutos[Produto],0)),"Não")</f>
        <v>Não</v>
      </c>
      <c r="O6992" t="str">
        <f>IFERROR(INDEX(tEditais[SRP],MATCH(tItens[[#This Row],[Edital]],tEditais[Edital],0)),"Não")</f>
        <v>Não</v>
      </c>
      <c r="P6992" s="4">
        <f>IF(COUNTIFS(INDEX(tItens[Edital],1):tItens[[#This Row],[Edital]],tItens[[#This Row],[Edital]],INDEX(tItens[Produto],1):tItens[[#This Row],[Produto]],tItens[[#This Row],[Produto]])=1,1,0)</f>
        <v>0</v>
      </c>
    </row>
    <row r="6993" spans="1:16" x14ac:dyDescent="0.25">
      <c r="A6993" t="s">
        <v>2452</v>
      </c>
      <c r="B6993">
        <v>8040043</v>
      </c>
      <c r="C6993" t="s">
        <v>9657</v>
      </c>
      <c r="D6993" t="s">
        <v>375</v>
      </c>
      <c r="E6993" s="13">
        <v>720</v>
      </c>
      <c r="F6993" s="12">
        <v>7.73</v>
      </c>
      <c r="G6993" t="str">
        <f>IFERROR(INDEX(tEditais[Órgão],MATCH(tItens[[#This Row],[Edital]],tEditais[Edital],0)),"")</f>
        <v>MUNICIPIO DE ALTA FLORESTA D'OESTE</v>
      </c>
      <c r="H6993" t="str">
        <f>IFERROR(INDEX(tEditais[UF],MATCH(tItens[[#This Row],[Edital]],tEditais[Edital],0)),"")</f>
        <v>RO</v>
      </c>
      <c r="I6993" s="11">
        <f>IFERROR(INDEX(tEditais[Encerramento],MATCH(tItens[[#This Row],[Edital]],tEditais[Edital],0)),"")</f>
        <v>46309.416666666664</v>
      </c>
      <c r="J6993" t="str">
        <f>IFERROR(INDEX(tProdutos[Classe],MATCH(tItens[[#This Row],[Produto]],tProdutos[Produto],0)),"produto não cadastrado")</f>
        <v>FORA</v>
      </c>
      <c r="K6993" s="12">
        <f>tItens[[#This Row],[Qtd]]*tItens[[#This Row],[Vlr unit]]</f>
        <v>5565.6</v>
      </c>
      <c r="L6993" s="6">
        <f>IFERROR(IF(INDEX(tProdutos[Desconto homologado],MATCH(tItens[[#This Row],[Produto]],tProdutos[Produto],0))="",DescontoPadrao,INDEX(tProdutos[Desconto homologado],MATCH(tItens[[#This Row],[Produto]],tProdutos[Produto],0))),DescontoPadrao)</f>
        <v>0.25005895299481201</v>
      </c>
      <c r="M6993" s="12">
        <f>tItens[[#This Row],[Valor]]*(1-tItens[[#This Row],[Desconto]])</f>
        <v>4173.8718912120739</v>
      </c>
      <c r="N6993" t="str">
        <f>IFERROR(INDEX(tProdutos[Foco],MATCH(tItens[[#This Row],[Produto]],tProdutos[Produto],0)),"Não")</f>
        <v>Não</v>
      </c>
      <c r="O6993" t="str">
        <f>IFERROR(INDEX(tEditais[SRP],MATCH(tItens[[#This Row],[Edital]],tEditais[Edital],0)),"Não")</f>
        <v>Não</v>
      </c>
      <c r="P6993" s="4">
        <f>IF(COUNTIFS(INDEX(tItens[Edital],1):tItens[[#This Row],[Edital]],tItens[[#This Row],[Edital]],INDEX(tItens[Produto],1):tItens[[#This Row],[Produto]],tItens[[#This Row],[Produto]])=1,1,0)</f>
        <v>0</v>
      </c>
    </row>
    <row r="6994" spans="1:16" x14ac:dyDescent="0.25">
      <c r="A6994" t="s">
        <v>2452</v>
      </c>
      <c r="B6994">
        <v>8040044</v>
      </c>
      <c r="C6994" t="s">
        <v>9658</v>
      </c>
      <c r="D6994" t="s">
        <v>375</v>
      </c>
      <c r="E6994" s="13">
        <v>360</v>
      </c>
      <c r="F6994" s="12">
        <v>7.47</v>
      </c>
      <c r="G6994" t="str">
        <f>IFERROR(INDEX(tEditais[Órgão],MATCH(tItens[[#This Row],[Edital]],tEditais[Edital],0)),"")</f>
        <v>MUNICIPIO DE ALTA FLORESTA D'OESTE</v>
      </c>
      <c r="H6994" t="str">
        <f>IFERROR(INDEX(tEditais[UF],MATCH(tItens[[#This Row],[Edital]],tEditais[Edital],0)),"")</f>
        <v>RO</v>
      </c>
      <c r="I6994" s="11">
        <f>IFERROR(INDEX(tEditais[Encerramento],MATCH(tItens[[#This Row],[Edital]],tEditais[Edital],0)),"")</f>
        <v>46309.416666666664</v>
      </c>
      <c r="J6994" t="str">
        <f>IFERROR(INDEX(tProdutos[Classe],MATCH(tItens[[#This Row],[Produto]],tProdutos[Produto],0)),"produto não cadastrado")</f>
        <v>FORA</v>
      </c>
      <c r="K6994" s="12">
        <f>tItens[[#This Row],[Qtd]]*tItens[[#This Row],[Vlr unit]]</f>
        <v>2689.2</v>
      </c>
      <c r="L6994" s="6">
        <f>IFERROR(IF(INDEX(tProdutos[Desconto homologado],MATCH(tItens[[#This Row],[Produto]],tProdutos[Produto],0))="",DescontoPadrao,INDEX(tProdutos[Desconto homologado],MATCH(tItens[[#This Row],[Produto]],tProdutos[Produto],0))),DescontoPadrao)</f>
        <v>0.25005895299481201</v>
      </c>
      <c r="M6994" s="12">
        <f>tItens[[#This Row],[Valor]]*(1-tItens[[#This Row],[Desconto]])</f>
        <v>2016.7414636063513</v>
      </c>
      <c r="N6994" t="str">
        <f>IFERROR(INDEX(tProdutos[Foco],MATCH(tItens[[#This Row],[Produto]],tProdutos[Produto],0)),"Não")</f>
        <v>Não</v>
      </c>
      <c r="O6994" t="str">
        <f>IFERROR(INDEX(tEditais[SRP],MATCH(tItens[[#This Row],[Edital]],tEditais[Edital],0)),"Não")</f>
        <v>Não</v>
      </c>
      <c r="P6994" s="4">
        <f>IF(COUNTIFS(INDEX(tItens[Edital],1):tItens[[#This Row],[Edital]],tItens[[#This Row],[Edital]],INDEX(tItens[Produto],1):tItens[[#This Row],[Produto]],tItens[[#This Row],[Produto]])=1,1,0)</f>
        <v>0</v>
      </c>
    </row>
    <row r="6995" spans="1:16" x14ac:dyDescent="0.25">
      <c r="A6995" t="s">
        <v>2452</v>
      </c>
      <c r="B6995">
        <v>8040045</v>
      </c>
      <c r="C6995" t="s">
        <v>9659</v>
      </c>
      <c r="D6995" t="s">
        <v>375</v>
      </c>
      <c r="E6995" s="13">
        <v>360</v>
      </c>
      <c r="F6995" s="12">
        <v>6.94</v>
      </c>
      <c r="G6995" t="str">
        <f>IFERROR(INDEX(tEditais[Órgão],MATCH(tItens[[#This Row],[Edital]],tEditais[Edital],0)),"")</f>
        <v>MUNICIPIO DE ALTA FLORESTA D'OESTE</v>
      </c>
      <c r="H6995" t="str">
        <f>IFERROR(INDEX(tEditais[UF],MATCH(tItens[[#This Row],[Edital]],tEditais[Edital],0)),"")</f>
        <v>RO</v>
      </c>
      <c r="I6995" s="11">
        <f>IFERROR(INDEX(tEditais[Encerramento],MATCH(tItens[[#This Row],[Edital]],tEditais[Edital],0)),"")</f>
        <v>46309.416666666664</v>
      </c>
      <c r="J6995" t="str">
        <f>IFERROR(INDEX(tProdutos[Classe],MATCH(tItens[[#This Row],[Produto]],tProdutos[Produto],0)),"produto não cadastrado")</f>
        <v>FORA</v>
      </c>
      <c r="K6995" s="12">
        <f>tItens[[#This Row],[Qtd]]*tItens[[#This Row],[Vlr unit]]</f>
        <v>2498.4</v>
      </c>
      <c r="L6995" s="6">
        <f>IFERROR(IF(INDEX(tProdutos[Desconto homologado],MATCH(tItens[[#This Row],[Produto]],tProdutos[Produto],0))="",DescontoPadrao,INDEX(tProdutos[Desconto homologado],MATCH(tItens[[#This Row],[Produto]],tProdutos[Produto],0))),DescontoPadrao)</f>
        <v>0.25005895299481201</v>
      </c>
      <c r="M6995" s="12">
        <f>tItens[[#This Row],[Valor]]*(1-tItens[[#This Row],[Desconto]])</f>
        <v>1873.6527118377617</v>
      </c>
      <c r="N6995" t="str">
        <f>IFERROR(INDEX(tProdutos[Foco],MATCH(tItens[[#This Row],[Produto]],tProdutos[Produto],0)),"Não")</f>
        <v>Não</v>
      </c>
      <c r="O6995" t="str">
        <f>IFERROR(INDEX(tEditais[SRP],MATCH(tItens[[#This Row],[Edital]],tEditais[Edital],0)),"Não")</f>
        <v>Não</v>
      </c>
      <c r="P6995" s="4">
        <f>IF(COUNTIFS(INDEX(tItens[Edital],1):tItens[[#This Row],[Edital]],tItens[[#This Row],[Edital]],INDEX(tItens[Produto],1):tItens[[#This Row],[Produto]],tItens[[#This Row],[Produto]])=1,1,0)</f>
        <v>0</v>
      </c>
    </row>
    <row r="6996" spans="1:16" x14ac:dyDescent="0.25">
      <c r="A6996" t="s">
        <v>2452</v>
      </c>
      <c r="B6996">
        <v>8040046</v>
      </c>
      <c r="C6996" t="s">
        <v>9660</v>
      </c>
      <c r="D6996" t="s">
        <v>375</v>
      </c>
      <c r="E6996" s="13">
        <v>240</v>
      </c>
      <c r="F6996" s="12">
        <v>6.7</v>
      </c>
      <c r="G6996" t="str">
        <f>IFERROR(INDEX(tEditais[Órgão],MATCH(tItens[[#This Row],[Edital]],tEditais[Edital],0)),"")</f>
        <v>MUNICIPIO DE ALTA FLORESTA D'OESTE</v>
      </c>
      <c r="H6996" t="str">
        <f>IFERROR(INDEX(tEditais[UF],MATCH(tItens[[#This Row],[Edital]],tEditais[Edital],0)),"")</f>
        <v>RO</v>
      </c>
      <c r="I6996" s="11">
        <f>IFERROR(INDEX(tEditais[Encerramento],MATCH(tItens[[#This Row],[Edital]],tEditais[Edital],0)),"")</f>
        <v>46309.416666666664</v>
      </c>
      <c r="J6996" t="str">
        <f>IFERROR(INDEX(tProdutos[Classe],MATCH(tItens[[#This Row],[Produto]],tProdutos[Produto],0)),"produto não cadastrado")</f>
        <v>FORA</v>
      </c>
      <c r="K6996" s="12">
        <f>tItens[[#This Row],[Qtd]]*tItens[[#This Row],[Vlr unit]]</f>
        <v>1608</v>
      </c>
      <c r="L6996" s="6">
        <f>IFERROR(IF(INDEX(tProdutos[Desconto homologado],MATCH(tItens[[#This Row],[Produto]],tProdutos[Produto],0))="",DescontoPadrao,INDEX(tProdutos[Desconto homologado],MATCH(tItens[[#This Row],[Produto]],tProdutos[Produto],0))),DescontoPadrao)</f>
        <v>0.25005895299481201</v>
      </c>
      <c r="M6996" s="12">
        <f>tItens[[#This Row],[Valor]]*(1-tItens[[#This Row],[Desconto]])</f>
        <v>1205.9052035843422</v>
      </c>
      <c r="N6996" t="str">
        <f>IFERROR(INDEX(tProdutos[Foco],MATCH(tItens[[#This Row],[Produto]],tProdutos[Produto],0)),"Não")</f>
        <v>Não</v>
      </c>
      <c r="O6996" t="str">
        <f>IFERROR(INDEX(tEditais[SRP],MATCH(tItens[[#This Row],[Edital]],tEditais[Edital],0)),"Não")</f>
        <v>Não</v>
      </c>
      <c r="P6996" s="4">
        <f>IF(COUNTIFS(INDEX(tItens[Edital],1):tItens[[#This Row],[Edital]],tItens[[#This Row],[Edital]],INDEX(tItens[Produto],1):tItens[[#This Row],[Produto]],tItens[[#This Row],[Produto]])=1,1,0)</f>
        <v>0</v>
      </c>
    </row>
    <row r="6997" spans="1:16" x14ac:dyDescent="0.25">
      <c r="A6997" t="s">
        <v>2452</v>
      </c>
      <c r="B6997">
        <v>8040047</v>
      </c>
      <c r="C6997" t="s">
        <v>9661</v>
      </c>
      <c r="D6997" t="s">
        <v>375</v>
      </c>
      <c r="E6997" s="13">
        <v>240</v>
      </c>
      <c r="F6997" s="12">
        <v>6.94</v>
      </c>
      <c r="G6997" t="str">
        <f>IFERROR(INDEX(tEditais[Órgão],MATCH(tItens[[#This Row],[Edital]],tEditais[Edital],0)),"")</f>
        <v>MUNICIPIO DE ALTA FLORESTA D'OESTE</v>
      </c>
      <c r="H6997" t="str">
        <f>IFERROR(INDEX(tEditais[UF],MATCH(tItens[[#This Row],[Edital]],tEditais[Edital],0)),"")</f>
        <v>RO</v>
      </c>
      <c r="I6997" s="11">
        <f>IFERROR(INDEX(tEditais[Encerramento],MATCH(tItens[[#This Row],[Edital]],tEditais[Edital],0)),"")</f>
        <v>46309.416666666664</v>
      </c>
      <c r="J6997" t="str">
        <f>IFERROR(INDEX(tProdutos[Classe],MATCH(tItens[[#This Row],[Produto]],tProdutos[Produto],0)),"produto não cadastrado")</f>
        <v>FORA</v>
      </c>
      <c r="K6997" s="12">
        <f>tItens[[#This Row],[Qtd]]*tItens[[#This Row],[Vlr unit]]</f>
        <v>1665.6000000000001</v>
      </c>
      <c r="L6997" s="6">
        <f>IFERROR(IF(INDEX(tProdutos[Desconto homologado],MATCH(tItens[[#This Row],[Produto]],tProdutos[Produto],0))="",DescontoPadrao,INDEX(tProdutos[Desconto homologado],MATCH(tItens[[#This Row],[Produto]],tProdutos[Produto],0))),DescontoPadrao)</f>
        <v>0.25005895299481201</v>
      </c>
      <c r="M6997" s="12">
        <f>tItens[[#This Row],[Valor]]*(1-tItens[[#This Row],[Desconto]])</f>
        <v>1249.1018078918412</v>
      </c>
      <c r="N6997" t="str">
        <f>IFERROR(INDEX(tProdutos[Foco],MATCH(tItens[[#This Row],[Produto]],tProdutos[Produto],0)),"Não")</f>
        <v>Não</v>
      </c>
      <c r="O6997" t="str">
        <f>IFERROR(INDEX(tEditais[SRP],MATCH(tItens[[#This Row],[Edital]],tEditais[Edital],0)),"Não")</f>
        <v>Não</v>
      </c>
      <c r="P6997" s="4">
        <f>IF(COUNTIFS(INDEX(tItens[Edital],1):tItens[[#This Row],[Edital]],tItens[[#This Row],[Edital]],INDEX(tItens[Produto],1):tItens[[#This Row],[Produto]],tItens[[#This Row],[Produto]])=1,1,0)</f>
        <v>0</v>
      </c>
    </row>
    <row r="6998" spans="1:16" x14ac:dyDescent="0.25">
      <c r="A6998" t="s">
        <v>2452</v>
      </c>
      <c r="B6998">
        <v>8040048</v>
      </c>
      <c r="C6998" t="s">
        <v>9662</v>
      </c>
      <c r="D6998" t="s">
        <v>375</v>
      </c>
      <c r="E6998" s="13">
        <v>120</v>
      </c>
      <c r="F6998" s="12">
        <v>6.66</v>
      </c>
      <c r="G6998" t="str">
        <f>IFERROR(INDEX(tEditais[Órgão],MATCH(tItens[[#This Row],[Edital]],tEditais[Edital],0)),"")</f>
        <v>MUNICIPIO DE ALTA FLORESTA D'OESTE</v>
      </c>
      <c r="H6998" t="str">
        <f>IFERROR(INDEX(tEditais[UF],MATCH(tItens[[#This Row],[Edital]],tEditais[Edital],0)),"")</f>
        <v>RO</v>
      </c>
      <c r="I6998" s="11">
        <f>IFERROR(INDEX(tEditais[Encerramento],MATCH(tItens[[#This Row],[Edital]],tEditais[Edital],0)),"")</f>
        <v>46309.416666666664</v>
      </c>
      <c r="J6998" t="str">
        <f>IFERROR(INDEX(tProdutos[Classe],MATCH(tItens[[#This Row],[Produto]],tProdutos[Produto],0)),"produto não cadastrado")</f>
        <v>FORA</v>
      </c>
      <c r="K6998" s="12">
        <f>tItens[[#This Row],[Qtd]]*tItens[[#This Row],[Vlr unit]]</f>
        <v>799.2</v>
      </c>
      <c r="L6998" s="6">
        <f>IFERROR(IF(INDEX(tProdutos[Desconto homologado],MATCH(tItens[[#This Row],[Produto]],tProdutos[Produto],0))="",DescontoPadrao,INDEX(tProdutos[Desconto homologado],MATCH(tItens[[#This Row],[Produto]],tProdutos[Produto],0))),DescontoPadrao)</f>
        <v>0.25005895299481201</v>
      </c>
      <c r="M6998" s="12">
        <f>tItens[[#This Row],[Valor]]*(1-tItens[[#This Row],[Desconto]])</f>
        <v>599.35288476654625</v>
      </c>
      <c r="N6998" t="str">
        <f>IFERROR(INDEX(tProdutos[Foco],MATCH(tItens[[#This Row],[Produto]],tProdutos[Produto],0)),"Não")</f>
        <v>Não</v>
      </c>
      <c r="O6998" t="str">
        <f>IFERROR(INDEX(tEditais[SRP],MATCH(tItens[[#This Row],[Edital]],tEditais[Edital],0)),"Não")</f>
        <v>Não</v>
      </c>
      <c r="P6998" s="4">
        <f>IF(COUNTIFS(INDEX(tItens[Edital],1):tItens[[#This Row],[Edital]],tItens[[#This Row],[Edital]],INDEX(tItens[Produto],1):tItens[[#This Row],[Produto]],tItens[[#This Row],[Produto]])=1,1,0)</f>
        <v>0</v>
      </c>
    </row>
    <row r="6999" spans="1:16" x14ac:dyDescent="0.25">
      <c r="A6999" t="s">
        <v>2452</v>
      </c>
      <c r="B6999">
        <v>8040049</v>
      </c>
      <c r="C6999" t="s">
        <v>9663</v>
      </c>
      <c r="D6999" t="s">
        <v>375</v>
      </c>
      <c r="E6999" s="13">
        <v>240</v>
      </c>
      <c r="F6999" s="12">
        <v>6.27</v>
      </c>
      <c r="G6999" t="str">
        <f>IFERROR(INDEX(tEditais[Órgão],MATCH(tItens[[#This Row],[Edital]],tEditais[Edital],0)),"")</f>
        <v>MUNICIPIO DE ALTA FLORESTA D'OESTE</v>
      </c>
      <c r="H6999" t="str">
        <f>IFERROR(INDEX(tEditais[UF],MATCH(tItens[[#This Row],[Edital]],tEditais[Edital],0)),"")</f>
        <v>RO</v>
      </c>
      <c r="I6999" s="11">
        <f>IFERROR(INDEX(tEditais[Encerramento],MATCH(tItens[[#This Row],[Edital]],tEditais[Edital],0)),"")</f>
        <v>46309.416666666664</v>
      </c>
      <c r="J6999" t="str">
        <f>IFERROR(INDEX(tProdutos[Classe],MATCH(tItens[[#This Row],[Produto]],tProdutos[Produto],0)),"produto não cadastrado")</f>
        <v>FORA</v>
      </c>
      <c r="K6999" s="12">
        <f>tItens[[#This Row],[Qtd]]*tItens[[#This Row],[Vlr unit]]</f>
        <v>1504.8</v>
      </c>
      <c r="L6999" s="6">
        <f>IFERROR(IF(INDEX(tProdutos[Desconto homologado],MATCH(tItens[[#This Row],[Produto]],tProdutos[Produto],0))="",DescontoPadrao,INDEX(tProdutos[Desconto homologado],MATCH(tItens[[#This Row],[Produto]],tProdutos[Produto],0))),DescontoPadrao)</f>
        <v>0.25005895299481201</v>
      </c>
      <c r="M6999" s="12">
        <f>tItens[[#This Row],[Valor]]*(1-tItens[[#This Row],[Desconto]])</f>
        <v>1128.5112875334069</v>
      </c>
      <c r="N6999" t="str">
        <f>IFERROR(INDEX(tProdutos[Foco],MATCH(tItens[[#This Row],[Produto]],tProdutos[Produto],0)),"Não")</f>
        <v>Não</v>
      </c>
      <c r="O6999" t="str">
        <f>IFERROR(INDEX(tEditais[SRP],MATCH(tItens[[#This Row],[Edital]],tEditais[Edital],0)),"Não")</f>
        <v>Não</v>
      </c>
      <c r="P6999" s="4">
        <f>IF(COUNTIFS(INDEX(tItens[Edital],1):tItens[[#This Row],[Edital]],tItens[[#This Row],[Edital]],INDEX(tItens[Produto],1):tItens[[#This Row],[Produto]],tItens[[#This Row],[Produto]])=1,1,0)</f>
        <v>0</v>
      </c>
    </row>
    <row r="7000" spans="1:16" x14ac:dyDescent="0.25">
      <c r="A7000" t="s">
        <v>2452</v>
      </c>
      <c r="B7000">
        <v>8040050</v>
      </c>
      <c r="C7000" t="s">
        <v>9664</v>
      </c>
      <c r="D7000" t="s">
        <v>375</v>
      </c>
      <c r="E7000" s="13">
        <v>336</v>
      </c>
      <c r="F7000" s="12">
        <v>6.52</v>
      </c>
      <c r="G7000" t="str">
        <f>IFERROR(INDEX(tEditais[Órgão],MATCH(tItens[[#This Row],[Edital]],tEditais[Edital],0)),"")</f>
        <v>MUNICIPIO DE ALTA FLORESTA D'OESTE</v>
      </c>
      <c r="H7000" t="str">
        <f>IFERROR(INDEX(tEditais[UF],MATCH(tItens[[#This Row],[Edital]],tEditais[Edital],0)),"")</f>
        <v>RO</v>
      </c>
      <c r="I7000" s="11">
        <f>IFERROR(INDEX(tEditais[Encerramento],MATCH(tItens[[#This Row],[Edital]],tEditais[Edital],0)),"")</f>
        <v>46309.416666666664</v>
      </c>
      <c r="J7000" t="str">
        <f>IFERROR(INDEX(tProdutos[Classe],MATCH(tItens[[#This Row],[Produto]],tProdutos[Produto],0)),"produto não cadastrado")</f>
        <v>FORA</v>
      </c>
      <c r="K7000" s="12">
        <f>tItens[[#This Row],[Qtd]]*tItens[[#This Row],[Vlr unit]]</f>
        <v>2190.7199999999998</v>
      </c>
      <c r="L7000" s="6">
        <f>IFERROR(IF(INDEX(tProdutos[Desconto homologado],MATCH(tItens[[#This Row],[Produto]],tProdutos[Produto],0))="",DescontoPadrao,INDEX(tProdutos[Desconto homologado],MATCH(tItens[[#This Row],[Produto]],tProdutos[Produto],0))),DescontoPadrao)</f>
        <v>0.25005895299481201</v>
      </c>
      <c r="M7000" s="12">
        <f>tItens[[#This Row],[Valor]]*(1-tItens[[#This Row],[Desconto]])</f>
        <v>1642.9108504952051</v>
      </c>
      <c r="N7000" t="str">
        <f>IFERROR(INDEX(tProdutos[Foco],MATCH(tItens[[#This Row],[Produto]],tProdutos[Produto],0)),"Não")</f>
        <v>Não</v>
      </c>
      <c r="O7000" t="str">
        <f>IFERROR(INDEX(tEditais[SRP],MATCH(tItens[[#This Row],[Edital]],tEditais[Edital],0)),"Não")</f>
        <v>Não</v>
      </c>
      <c r="P7000" s="4">
        <f>IF(COUNTIFS(INDEX(tItens[Edital],1):tItens[[#This Row],[Edital]],tItens[[#This Row],[Edital]],INDEX(tItens[Produto],1):tItens[[#This Row],[Produto]],tItens[[#This Row],[Produto]])=1,1,0)</f>
        <v>0</v>
      </c>
    </row>
    <row r="7001" spans="1:16" x14ac:dyDescent="0.25">
      <c r="A7001" t="s">
        <v>2452</v>
      </c>
      <c r="B7001">
        <v>8040051</v>
      </c>
      <c r="C7001" t="s">
        <v>9665</v>
      </c>
      <c r="D7001" t="s">
        <v>375</v>
      </c>
      <c r="E7001" s="13">
        <v>120</v>
      </c>
      <c r="F7001" s="12">
        <v>6.75</v>
      </c>
      <c r="G7001" t="str">
        <f>IFERROR(INDEX(tEditais[Órgão],MATCH(tItens[[#This Row],[Edital]],tEditais[Edital],0)),"")</f>
        <v>MUNICIPIO DE ALTA FLORESTA D'OESTE</v>
      </c>
      <c r="H7001" t="str">
        <f>IFERROR(INDEX(tEditais[UF],MATCH(tItens[[#This Row],[Edital]],tEditais[Edital],0)),"")</f>
        <v>RO</v>
      </c>
      <c r="I7001" s="11">
        <f>IFERROR(INDEX(tEditais[Encerramento],MATCH(tItens[[#This Row],[Edital]],tEditais[Edital],0)),"")</f>
        <v>46309.416666666664</v>
      </c>
      <c r="J7001" t="str">
        <f>IFERROR(INDEX(tProdutos[Classe],MATCH(tItens[[#This Row],[Produto]],tProdutos[Produto],0)),"produto não cadastrado")</f>
        <v>FORA</v>
      </c>
      <c r="K7001" s="12">
        <f>tItens[[#This Row],[Qtd]]*tItens[[#This Row],[Vlr unit]]</f>
        <v>810</v>
      </c>
      <c r="L7001" s="6">
        <f>IFERROR(IF(INDEX(tProdutos[Desconto homologado],MATCH(tItens[[#This Row],[Produto]],tProdutos[Produto],0))="",DescontoPadrao,INDEX(tProdutos[Desconto homologado],MATCH(tItens[[#This Row],[Produto]],tProdutos[Produto],0))),DescontoPadrao)</f>
        <v>0.25005895299481201</v>
      </c>
      <c r="M7001" s="12">
        <f>tItens[[#This Row],[Valor]]*(1-tItens[[#This Row],[Desconto]])</f>
        <v>607.4522480742022</v>
      </c>
      <c r="N7001" t="str">
        <f>IFERROR(INDEX(tProdutos[Foco],MATCH(tItens[[#This Row],[Produto]],tProdutos[Produto],0)),"Não")</f>
        <v>Não</v>
      </c>
      <c r="O7001" t="str">
        <f>IFERROR(INDEX(tEditais[SRP],MATCH(tItens[[#This Row],[Edital]],tEditais[Edital],0)),"Não")</f>
        <v>Não</v>
      </c>
      <c r="P7001" s="4">
        <f>IF(COUNTIFS(INDEX(tItens[Edital],1):tItens[[#This Row],[Edital]],tItens[[#This Row],[Edital]],INDEX(tItens[Produto],1):tItens[[#This Row],[Produto]],tItens[[#This Row],[Produto]])=1,1,0)</f>
        <v>0</v>
      </c>
    </row>
    <row r="7002" spans="1:16" x14ac:dyDescent="0.25">
      <c r="A7002" t="s">
        <v>2452</v>
      </c>
      <c r="B7002">
        <v>8040052</v>
      </c>
      <c r="C7002" t="s">
        <v>9666</v>
      </c>
      <c r="D7002" t="s">
        <v>375</v>
      </c>
      <c r="E7002" s="13">
        <v>240</v>
      </c>
      <c r="F7002" s="12">
        <v>6.11</v>
      </c>
      <c r="G7002" t="str">
        <f>IFERROR(INDEX(tEditais[Órgão],MATCH(tItens[[#This Row],[Edital]],tEditais[Edital],0)),"")</f>
        <v>MUNICIPIO DE ALTA FLORESTA D'OESTE</v>
      </c>
      <c r="H7002" t="str">
        <f>IFERROR(INDEX(tEditais[UF],MATCH(tItens[[#This Row],[Edital]],tEditais[Edital],0)),"")</f>
        <v>RO</v>
      </c>
      <c r="I7002" s="11">
        <f>IFERROR(INDEX(tEditais[Encerramento],MATCH(tItens[[#This Row],[Edital]],tEditais[Edital],0)),"")</f>
        <v>46309.416666666664</v>
      </c>
      <c r="J7002" t="str">
        <f>IFERROR(INDEX(tProdutos[Classe],MATCH(tItens[[#This Row],[Produto]],tProdutos[Produto],0)),"produto não cadastrado")</f>
        <v>FORA</v>
      </c>
      <c r="K7002" s="12">
        <f>tItens[[#This Row],[Qtd]]*tItens[[#This Row],[Vlr unit]]</f>
        <v>1466.4</v>
      </c>
      <c r="L7002" s="6">
        <f>IFERROR(IF(INDEX(tProdutos[Desconto homologado],MATCH(tItens[[#This Row],[Produto]],tProdutos[Produto],0))="",DescontoPadrao,INDEX(tProdutos[Desconto homologado],MATCH(tItens[[#This Row],[Produto]],tProdutos[Produto],0))),DescontoPadrao)</f>
        <v>0.25005895299481201</v>
      </c>
      <c r="M7002" s="12">
        <f>tItens[[#This Row],[Valor]]*(1-tItens[[#This Row],[Desconto]])</f>
        <v>1099.7135513284077</v>
      </c>
      <c r="N7002" t="str">
        <f>IFERROR(INDEX(tProdutos[Foco],MATCH(tItens[[#This Row],[Produto]],tProdutos[Produto],0)),"Não")</f>
        <v>Não</v>
      </c>
      <c r="O7002" t="str">
        <f>IFERROR(INDEX(tEditais[SRP],MATCH(tItens[[#This Row],[Edital]],tEditais[Edital],0)),"Não")</f>
        <v>Não</v>
      </c>
      <c r="P7002" s="4">
        <f>IF(COUNTIFS(INDEX(tItens[Edital],1):tItens[[#This Row],[Edital]],tItens[[#This Row],[Edital]],INDEX(tItens[Produto],1):tItens[[#This Row],[Produto]],tItens[[#This Row],[Produto]])=1,1,0)</f>
        <v>0</v>
      </c>
    </row>
    <row r="7003" spans="1:16" x14ac:dyDescent="0.25">
      <c r="A7003" t="s">
        <v>2452</v>
      </c>
      <c r="B7003">
        <v>8040053</v>
      </c>
      <c r="C7003" t="s">
        <v>9667</v>
      </c>
      <c r="D7003" t="s">
        <v>375</v>
      </c>
      <c r="E7003" s="13">
        <v>120</v>
      </c>
      <c r="F7003" s="12">
        <v>6.22</v>
      </c>
      <c r="G7003" t="str">
        <f>IFERROR(INDEX(tEditais[Órgão],MATCH(tItens[[#This Row],[Edital]],tEditais[Edital],0)),"")</f>
        <v>MUNICIPIO DE ALTA FLORESTA D'OESTE</v>
      </c>
      <c r="H7003" t="str">
        <f>IFERROR(INDEX(tEditais[UF],MATCH(tItens[[#This Row],[Edital]],tEditais[Edital],0)),"")</f>
        <v>RO</v>
      </c>
      <c r="I7003" s="11">
        <f>IFERROR(INDEX(tEditais[Encerramento],MATCH(tItens[[#This Row],[Edital]],tEditais[Edital],0)),"")</f>
        <v>46309.416666666664</v>
      </c>
      <c r="J7003" t="str">
        <f>IFERROR(INDEX(tProdutos[Classe],MATCH(tItens[[#This Row],[Produto]],tProdutos[Produto],0)),"produto não cadastrado")</f>
        <v>FORA</v>
      </c>
      <c r="K7003" s="12">
        <f>tItens[[#This Row],[Qtd]]*tItens[[#This Row],[Vlr unit]]</f>
        <v>746.4</v>
      </c>
      <c r="L7003" s="6">
        <f>IFERROR(IF(INDEX(tProdutos[Desconto homologado],MATCH(tItens[[#This Row],[Produto]],tProdutos[Produto],0))="",DescontoPadrao,INDEX(tProdutos[Desconto homologado],MATCH(tItens[[#This Row],[Produto]],tProdutos[Produto],0))),DescontoPadrao)</f>
        <v>0.25005895299481201</v>
      </c>
      <c r="M7003" s="12">
        <f>tItens[[#This Row],[Valor]]*(1-tItens[[#This Row],[Desconto]])</f>
        <v>559.75599748467221</v>
      </c>
      <c r="N7003" t="str">
        <f>IFERROR(INDEX(tProdutos[Foco],MATCH(tItens[[#This Row],[Produto]],tProdutos[Produto],0)),"Não")</f>
        <v>Não</v>
      </c>
      <c r="O7003" t="str">
        <f>IFERROR(INDEX(tEditais[SRP],MATCH(tItens[[#This Row],[Edital]],tEditais[Edital],0)),"Não")</f>
        <v>Não</v>
      </c>
      <c r="P7003" s="4">
        <f>IF(COUNTIFS(INDEX(tItens[Edital],1):tItens[[#This Row],[Edital]],tItens[[#This Row],[Edital]],INDEX(tItens[Produto],1):tItens[[#This Row],[Produto]],tItens[[#This Row],[Produto]])=1,1,0)</f>
        <v>0</v>
      </c>
    </row>
    <row r="7004" spans="1:16" x14ac:dyDescent="0.25">
      <c r="A7004" t="s">
        <v>2452</v>
      </c>
      <c r="B7004">
        <v>8040054</v>
      </c>
      <c r="C7004" t="s">
        <v>9668</v>
      </c>
      <c r="D7004" t="s">
        <v>375</v>
      </c>
      <c r="E7004" s="13">
        <v>120</v>
      </c>
      <c r="F7004" s="12">
        <v>6.83</v>
      </c>
      <c r="G7004" t="str">
        <f>IFERROR(INDEX(tEditais[Órgão],MATCH(tItens[[#This Row],[Edital]],tEditais[Edital],0)),"")</f>
        <v>MUNICIPIO DE ALTA FLORESTA D'OESTE</v>
      </c>
      <c r="H7004" t="str">
        <f>IFERROR(INDEX(tEditais[UF],MATCH(tItens[[#This Row],[Edital]],tEditais[Edital],0)),"")</f>
        <v>RO</v>
      </c>
      <c r="I7004" s="11">
        <f>IFERROR(INDEX(tEditais[Encerramento],MATCH(tItens[[#This Row],[Edital]],tEditais[Edital],0)),"")</f>
        <v>46309.416666666664</v>
      </c>
      <c r="J7004" t="str">
        <f>IFERROR(INDEX(tProdutos[Classe],MATCH(tItens[[#This Row],[Produto]],tProdutos[Produto],0)),"produto não cadastrado")</f>
        <v>FORA</v>
      </c>
      <c r="K7004" s="12">
        <f>tItens[[#This Row],[Qtd]]*tItens[[#This Row],[Vlr unit]]</f>
        <v>819.6</v>
      </c>
      <c r="L7004" s="6">
        <f>IFERROR(IF(INDEX(tProdutos[Desconto homologado],MATCH(tItens[[#This Row],[Produto]],tProdutos[Produto],0))="",DescontoPadrao,INDEX(tProdutos[Desconto homologado],MATCH(tItens[[#This Row],[Produto]],tProdutos[Produto],0))),DescontoPadrao)</f>
        <v>0.25005895299481201</v>
      </c>
      <c r="M7004" s="12">
        <f>tItens[[#This Row],[Valor]]*(1-tItens[[#This Row],[Desconto]])</f>
        <v>614.651682125452</v>
      </c>
      <c r="N7004" t="str">
        <f>IFERROR(INDEX(tProdutos[Foco],MATCH(tItens[[#This Row],[Produto]],tProdutos[Produto],0)),"Não")</f>
        <v>Não</v>
      </c>
      <c r="O7004" t="str">
        <f>IFERROR(INDEX(tEditais[SRP],MATCH(tItens[[#This Row],[Edital]],tEditais[Edital],0)),"Não")</f>
        <v>Não</v>
      </c>
      <c r="P7004" s="4">
        <f>IF(COUNTIFS(INDEX(tItens[Edital],1):tItens[[#This Row],[Edital]],tItens[[#This Row],[Edital]],INDEX(tItens[Produto],1):tItens[[#This Row],[Produto]],tItens[[#This Row],[Produto]])=1,1,0)</f>
        <v>0</v>
      </c>
    </row>
    <row r="7005" spans="1:16" x14ac:dyDescent="0.25">
      <c r="A7005" t="s">
        <v>2452</v>
      </c>
      <c r="B7005">
        <v>8040055</v>
      </c>
      <c r="C7005" t="s">
        <v>9669</v>
      </c>
      <c r="D7005" t="s">
        <v>461</v>
      </c>
      <c r="E7005" s="13">
        <v>360</v>
      </c>
      <c r="F7005" s="12">
        <v>3.53</v>
      </c>
      <c r="G7005" t="str">
        <f>IFERROR(INDEX(tEditais[Órgão],MATCH(tItens[[#This Row],[Edital]],tEditais[Edital],0)),"")</f>
        <v>MUNICIPIO DE ALTA FLORESTA D'OESTE</v>
      </c>
      <c r="H7005" t="str">
        <f>IFERROR(INDEX(tEditais[UF],MATCH(tItens[[#This Row],[Edital]],tEditais[Edital],0)),"")</f>
        <v>RO</v>
      </c>
      <c r="I7005" s="11">
        <f>IFERROR(INDEX(tEditais[Encerramento],MATCH(tItens[[#This Row],[Edital]],tEditais[Edital],0)),"")</f>
        <v>46309.416666666664</v>
      </c>
      <c r="J7005" t="str">
        <f>IFERROR(INDEX(tProdutos[Classe],MATCH(tItens[[#This Row],[Produto]],tProdutos[Produto],0)),"produto não cadastrado")</f>
        <v>FILA REBASE</v>
      </c>
      <c r="K7005" s="12">
        <f>tItens[[#This Row],[Qtd]]*tItens[[#This Row],[Vlr unit]]</f>
        <v>1270.8</v>
      </c>
      <c r="L7005" s="6">
        <f>IFERROR(IF(INDEX(tProdutos[Desconto homologado],MATCH(tItens[[#This Row],[Produto]],tProdutos[Produto],0))="",DescontoPadrao,INDEX(tProdutos[Desconto homologado],MATCH(tItens[[#This Row],[Produto]],tProdutos[Produto],0))),DescontoPadrao)</f>
        <v>0.44096385542168698</v>
      </c>
      <c r="M7005" s="12">
        <f>tItens[[#This Row],[Valor]]*(1-tItens[[#This Row],[Desconto]])</f>
        <v>710.42313253012014</v>
      </c>
      <c r="N7005" t="str">
        <f>IFERROR(INDEX(tProdutos[Foco],MATCH(tItens[[#This Row],[Produto]],tProdutos[Produto],0)),"Não")</f>
        <v>Não</v>
      </c>
      <c r="O7005" t="str">
        <f>IFERROR(INDEX(tEditais[SRP],MATCH(tItens[[#This Row],[Edital]],tEditais[Edital],0)),"Não")</f>
        <v>Não</v>
      </c>
      <c r="P7005" s="4">
        <f>IF(COUNTIFS(INDEX(tItens[Edital],1):tItens[[#This Row],[Edital]],tItens[[#This Row],[Edital]],INDEX(tItens[Produto],1):tItens[[#This Row],[Produto]],tItens[[#This Row],[Produto]])=1,1,0)</f>
        <v>1</v>
      </c>
    </row>
    <row r="7006" spans="1:16" x14ac:dyDescent="0.25">
      <c r="A7006" t="s">
        <v>2452</v>
      </c>
      <c r="B7006">
        <v>8040056</v>
      </c>
      <c r="C7006" t="s">
        <v>9670</v>
      </c>
      <c r="D7006" t="s">
        <v>461</v>
      </c>
      <c r="E7006" s="13">
        <v>360</v>
      </c>
      <c r="F7006" s="12">
        <v>3.58</v>
      </c>
      <c r="G7006" t="str">
        <f>IFERROR(INDEX(tEditais[Órgão],MATCH(tItens[[#This Row],[Edital]],tEditais[Edital],0)),"")</f>
        <v>MUNICIPIO DE ALTA FLORESTA D'OESTE</v>
      </c>
      <c r="H7006" t="str">
        <f>IFERROR(INDEX(tEditais[UF],MATCH(tItens[[#This Row],[Edital]],tEditais[Edital],0)),"")</f>
        <v>RO</v>
      </c>
      <c r="I7006" s="11">
        <f>IFERROR(INDEX(tEditais[Encerramento],MATCH(tItens[[#This Row],[Edital]],tEditais[Edital],0)),"")</f>
        <v>46309.416666666664</v>
      </c>
      <c r="J7006" t="str">
        <f>IFERROR(INDEX(tProdutos[Classe],MATCH(tItens[[#This Row],[Produto]],tProdutos[Produto],0)),"produto não cadastrado")</f>
        <v>FILA REBASE</v>
      </c>
      <c r="K7006" s="12">
        <f>tItens[[#This Row],[Qtd]]*tItens[[#This Row],[Vlr unit]]</f>
        <v>1288.8</v>
      </c>
      <c r="L7006" s="6">
        <f>IFERROR(IF(INDEX(tProdutos[Desconto homologado],MATCH(tItens[[#This Row],[Produto]],tProdutos[Produto],0))="",DescontoPadrao,INDEX(tProdutos[Desconto homologado],MATCH(tItens[[#This Row],[Produto]],tProdutos[Produto],0))),DescontoPadrao)</f>
        <v>0.44096385542168698</v>
      </c>
      <c r="M7006" s="12">
        <f>tItens[[#This Row],[Valor]]*(1-tItens[[#This Row],[Desconto]])</f>
        <v>720.48578313252972</v>
      </c>
      <c r="N7006" t="str">
        <f>IFERROR(INDEX(tProdutos[Foco],MATCH(tItens[[#This Row],[Produto]],tProdutos[Produto],0)),"Não")</f>
        <v>Não</v>
      </c>
      <c r="O7006" t="str">
        <f>IFERROR(INDEX(tEditais[SRP],MATCH(tItens[[#This Row],[Edital]],tEditais[Edital],0)),"Não")</f>
        <v>Não</v>
      </c>
      <c r="P7006" s="4">
        <f>IF(COUNTIFS(INDEX(tItens[Edital],1):tItens[[#This Row],[Edital]],tItens[[#This Row],[Edital]],INDEX(tItens[Produto],1):tItens[[#This Row],[Produto]],tItens[[#This Row],[Produto]])=1,1,0)</f>
        <v>0</v>
      </c>
    </row>
    <row r="7007" spans="1:16" x14ac:dyDescent="0.25">
      <c r="A7007" t="s">
        <v>2452</v>
      </c>
      <c r="B7007">
        <v>8040057</v>
      </c>
      <c r="C7007" t="s">
        <v>9671</v>
      </c>
      <c r="D7007" t="s">
        <v>461</v>
      </c>
      <c r="E7007" s="13">
        <v>288</v>
      </c>
      <c r="F7007" s="12">
        <v>3.63</v>
      </c>
      <c r="G7007" t="str">
        <f>IFERROR(INDEX(tEditais[Órgão],MATCH(tItens[[#This Row],[Edital]],tEditais[Edital],0)),"")</f>
        <v>MUNICIPIO DE ALTA FLORESTA D'OESTE</v>
      </c>
      <c r="H7007" t="str">
        <f>IFERROR(INDEX(tEditais[UF],MATCH(tItens[[#This Row],[Edital]],tEditais[Edital],0)),"")</f>
        <v>RO</v>
      </c>
      <c r="I7007" s="11">
        <f>IFERROR(INDEX(tEditais[Encerramento],MATCH(tItens[[#This Row],[Edital]],tEditais[Edital],0)),"")</f>
        <v>46309.416666666664</v>
      </c>
      <c r="J7007" t="str">
        <f>IFERROR(INDEX(tProdutos[Classe],MATCH(tItens[[#This Row],[Produto]],tProdutos[Produto],0)),"produto não cadastrado")</f>
        <v>FILA REBASE</v>
      </c>
      <c r="K7007" s="12">
        <f>tItens[[#This Row],[Qtd]]*tItens[[#This Row],[Vlr unit]]</f>
        <v>1045.44</v>
      </c>
      <c r="L7007" s="6">
        <f>IFERROR(IF(INDEX(tProdutos[Desconto homologado],MATCH(tItens[[#This Row],[Produto]],tProdutos[Produto],0))="",DescontoPadrao,INDEX(tProdutos[Desconto homologado],MATCH(tItens[[#This Row],[Produto]],tProdutos[Produto],0))),DescontoPadrao)</f>
        <v>0.44096385542168698</v>
      </c>
      <c r="M7007" s="12">
        <f>tItens[[#This Row],[Valor]]*(1-tItens[[#This Row],[Desconto]])</f>
        <v>584.4387469879515</v>
      </c>
      <c r="N7007" t="str">
        <f>IFERROR(INDEX(tProdutos[Foco],MATCH(tItens[[#This Row],[Produto]],tProdutos[Produto],0)),"Não")</f>
        <v>Não</v>
      </c>
      <c r="O7007" t="str">
        <f>IFERROR(INDEX(tEditais[SRP],MATCH(tItens[[#This Row],[Edital]],tEditais[Edital],0)),"Não")</f>
        <v>Não</v>
      </c>
      <c r="P7007" s="4">
        <f>IF(COUNTIFS(INDEX(tItens[Edital],1):tItens[[#This Row],[Edital]],tItens[[#This Row],[Edital]],INDEX(tItens[Produto],1):tItens[[#This Row],[Produto]],tItens[[#This Row],[Produto]])=1,1,0)</f>
        <v>0</v>
      </c>
    </row>
    <row r="7008" spans="1:16" x14ac:dyDescent="0.25">
      <c r="A7008" t="s">
        <v>2452</v>
      </c>
      <c r="B7008">
        <v>8040058</v>
      </c>
      <c r="C7008" t="s">
        <v>9672</v>
      </c>
      <c r="D7008" t="s">
        <v>461</v>
      </c>
      <c r="E7008" s="13">
        <v>288</v>
      </c>
      <c r="F7008" s="12">
        <v>3.67</v>
      </c>
      <c r="G7008" t="str">
        <f>IFERROR(INDEX(tEditais[Órgão],MATCH(tItens[[#This Row],[Edital]],tEditais[Edital],0)),"")</f>
        <v>MUNICIPIO DE ALTA FLORESTA D'OESTE</v>
      </c>
      <c r="H7008" t="str">
        <f>IFERROR(INDEX(tEditais[UF],MATCH(tItens[[#This Row],[Edital]],tEditais[Edital],0)),"")</f>
        <v>RO</v>
      </c>
      <c r="I7008" s="11">
        <f>IFERROR(INDEX(tEditais[Encerramento],MATCH(tItens[[#This Row],[Edital]],tEditais[Edital],0)),"")</f>
        <v>46309.416666666664</v>
      </c>
      <c r="J7008" t="str">
        <f>IFERROR(INDEX(tProdutos[Classe],MATCH(tItens[[#This Row],[Produto]],tProdutos[Produto],0)),"produto não cadastrado")</f>
        <v>FILA REBASE</v>
      </c>
      <c r="K7008" s="12">
        <f>tItens[[#This Row],[Qtd]]*tItens[[#This Row],[Vlr unit]]</f>
        <v>1056.96</v>
      </c>
      <c r="L7008" s="6">
        <f>IFERROR(IF(INDEX(tProdutos[Desconto homologado],MATCH(tItens[[#This Row],[Produto]],tProdutos[Produto],0))="",DescontoPadrao,INDEX(tProdutos[Desconto homologado],MATCH(tItens[[#This Row],[Produto]],tProdutos[Produto],0))),DescontoPadrao)</f>
        <v>0.44096385542168698</v>
      </c>
      <c r="M7008" s="12">
        <f>tItens[[#This Row],[Valor]]*(1-tItens[[#This Row],[Desconto]])</f>
        <v>590.87884337349374</v>
      </c>
      <c r="N7008" t="str">
        <f>IFERROR(INDEX(tProdutos[Foco],MATCH(tItens[[#This Row],[Produto]],tProdutos[Produto],0)),"Não")</f>
        <v>Não</v>
      </c>
      <c r="O7008" t="str">
        <f>IFERROR(INDEX(tEditais[SRP],MATCH(tItens[[#This Row],[Edital]],tEditais[Edital],0)),"Não")</f>
        <v>Não</v>
      </c>
      <c r="P7008" s="4">
        <f>IF(COUNTIFS(INDEX(tItens[Edital],1):tItens[[#This Row],[Edital]],tItens[[#This Row],[Edital]],INDEX(tItens[Produto],1):tItens[[#This Row],[Produto]],tItens[[#This Row],[Produto]])=1,1,0)</f>
        <v>0</v>
      </c>
    </row>
    <row r="7009" spans="1:16" x14ac:dyDescent="0.25">
      <c r="A7009" t="s">
        <v>2452</v>
      </c>
      <c r="B7009">
        <v>8040059</v>
      </c>
      <c r="C7009" t="s">
        <v>9673</v>
      </c>
      <c r="D7009" t="s">
        <v>461</v>
      </c>
      <c r="E7009" s="13">
        <v>1200</v>
      </c>
      <c r="F7009" s="12">
        <v>3.51</v>
      </c>
      <c r="G7009" t="str">
        <f>IFERROR(INDEX(tEditais[Órgão],MATCH(tItens[[#This Row],[Edital]],tEditais[Edital],0)),"")</f>
        <v>MUNICIPIO DE ALTA FLORESTA D'OESTE</v>
      </c>
      <c r="H7009" t="str">
        <f>IFERROR(INDEX(tEditais[UF],MATCH(tItens[[#This Row],[Edital]],tEditais[Edital],0)),"")</f>
        <v>RO</v>
      </c>
      <c r="I7009" s="11">
        <f>IFERROR(INDEX(tEditais[Encerramento],MATCH(tItens[[#This Row],[Edital]],tEditais[Edital],0)),"")</f>
        <v>46309.416666666664</v>
      </c>
      <c r="J7009" t="str">
        <f>IFERROR(INDEX(tProdutos[Classe],MATCH(tItens[[#This Row],[Produto]],tProdutos[Produto],0)),"produto não cadastrado")</f>
        <v>FILA REBASE</v>
      </c>
      <c r="K7009" s="12">
        <f>tItens[[#This Row],[Qtd]]*tItens[[#This Row],[Vlr unit]]</f>
        <v>4212</v>
      </c>
      <c r="L7009" s="6">
        <f>IFERROR(IF(INDEX(tProdutos[Desconto homologado],MATCH(tItens[[#This Row],[Produto]],tProdutos[Produto],0))="",DescontoPadrao,INDEX(tProdutos[Desconto homologado],MATCH(tItens[[#This Row],[Produto]],tProdutos[Produto],0))),DescontoPadrao)</f>
        <v>0.44096385542168698</v>
      </c>
      <c r="M7009" s="12">
        <f>tItens[[#This Row],[Valor]]*(1-tItens[[#This Row],[Desconto]])</f>
        <v>2354.660240963854</v>
      </c>
      <c r="N7009" t="str">
        <f>IFERROR(INDEX(tProdutos[Foco],MATCH(tItens[[#This Row],[Produto]],tProdutos[Produto],0)),"Não")</f>
        <v>Não</v>
      </c>
      <c r="O7009" t="str">
        <f>IFERROR(INDEX(tEditais[SRP],MATCH(tItens[[#This Row],[Edital]],tEditais[Edital],0)),"Não")</f>
        <v>Não</v>
      </c>
      <c r="P7009" s="4">
        <f>IF(COUNTIFS(INDEX(tItens[Edital],1):tItens[[#This Row],[Edital]],tItens[[#This Row],[Edital]],INDEX(tItens[Produto],1):tItens[[#This Row],[Produto]],tItens[[#This Row],[Produto]])=1,1,0)</f>
        <v>0</v>
      </c>
    </row>
    <row r="7010" spans="1:16" x14ac:dyDescent="0.25">
      <c r="A7010" t="s">
        <v>2452</v>
      </c>
      <c r="B7010">
        <v>8040060</v>
      </c>
      <c r="C7010" t="s">
        <v>9674</v>
      </c>
      <c r="D7010" t="s">
        <v>461</v>
      </c>
      <c r="E7010" s="13">
        <v>1200</v>
      </c>
      <c r="F7010" s="12">
        <v>3.46</v>
      </c>
      <c r="G7010" t="str">
        <f>IFERROR(INDEX(tEditais[Órgão],MATCH(tItens[[#This Row],[Edital]],tEditais[Edital],0)),"")</f>
        <v>MUNICIPIO DE ALTA FLORESTA D'OESTE</v>
      </c>
      <c r="H7010" t="str">
        <f>IFERROR(INDEX(tEditais[UF],MATCH(tItens[[#This Row],[Edital]],tEditais[Edital],0)),"")</f>
        <v>RO</v>
      </c>
      <c r="I7010" s="11">
        <f>IFERROR(INDEX(tEditais[Encerramento],MATCH(tItens[[#This Row],[Edital]],tEditais[Edital],0)),"")</f>
        <v>46309.416666666664</v>
      </c>
      <c r="J7010" t="str">
        <f>IFERROR(INDEX(tProdutos[Classe],MATCH(tItens[[#This Row],[Produto]],tProdutos[Produto],0)),"produto não cadastrado")</f>
        <v>FILA REBASE</v>
      </c>
      <c r="K7010" s="12">
        <f>tItens[[#This Row],[Qtd]]*tItens[[#This Row],[Vlr unit]]</f>
        <v>4152</v>
      </c>
      <c r="L7010" s="6">
        <f>IFERROR(IF(INDEX(tProdutos[Desconto homologado],MATCH(tItens[[#This Row],[Produto]],tProdutos[Produto],0))="",DescontoPadrao,INDEX(tProdutos[Desconto homologado],MATCH(tItens[[#This Row],[Produto]],tProdutos[Produto],0))),DescontoPadrao)</f>
        <v>0.44096385542168698</v>
      </c>
      <c r="M7010" s="12">
        <f>tItens[[#This Row],[Valor]]*(1-tItens[[#This Row],[Desconto]])</f>
        <v>2321.1180722891554</v>
      </c>
      <c r="N7010" t="str">
        <f>IFERROR(INDEX(tProdutos[Foco],MATCH(tItens[[#This Row],[Produto]],tProdutos[Produto],0)),"Não")</f>
        <v>Não</v>
      </c>
      <c r="O7010" t="str">
        <f>IFERROR(INDEX(tEditais[SRP],MATCH(tItens[[#This Row],[Edital]],tEditais[Edital],0)),"Não")</f>
        <v>Não</v>
      </c>
      <c r="P7010" s="4">
        <f>IF(COUNTIFS(INDEX(tItens[Edital],1):tItens[[#This Row],[Edital]],tItens[[#This Row],[Edital]],INDEX(tItens[Produto],1):tItens[[#This Row],[Produto]],tItens[[#This Row],[Produto]])=1,1,0)</f>
        <v>0</v>
      </c>
    </row>
    <row r="7011" spans="1:16" x14ac:dyDescent="0.25">
      <c r="A7011" t="s">
        <v>2452</v>
      </c>
      <c r="B7011">
        <v>8040061</v>
      </c>
      <c r="C7011" t="s">
        <v>9675</v>
      </c>
      <c r="D7011" t="s">
        <v>461</v>
      </c>
      <c r="E7011" s="13">
        <v>480</v>
      </c>
      <c r="F7011" s="12">
        <v>3.32</v>
      </c>
      <c r="G7011" t="str">
        <f>IFERROR(INDEX(tEditais[Órgão],MATCH(tItens[[#This Row],[Edital]],tEditais[Edital],0)),"")</f>
        <v>MUNICIPIO DE ALTA FLORESTA D'OESTE</v>
      </c>
      <c r="H7011" t="str">
        <f>IFERROR(INDEX(tEditais[UF],MATCH(tItens[[#This Row],[Edital]],tEditais[Edital],0)),"")</f>
        <v>RO</v>
      </c>
      <c r="I7011" s="11">
        <f>IFERROR(INDEX(tEditais[Encerramento],MATCH(tItens[[#This Row],[Edital]],tEditais[Edital],0)),"")</f>
        <v>46309.416666666664</v>
      </c>
      <c r="J7011" t="str">
        <f>IFERROR(INDEX(tProdutos[Classe],MATCH(tItens[[#This Row],[Produto]],tProdutos[Produto],0)),"produto não cadastrado")</f>
        <v>FILA REBASE</v>
      </c>
      <c r="K7011" s="12">
        <f>tItens[[#This Row],[Qtd]]*tItens[[#This Row],[Vlr unit]]</f>
        <v>1593.6</v>
      </c>
      <c r="L7011" s="6">
        <f>IFERROR(IF(INDEX(tProdutos[Desconto homologado],MATCH(tItens[[#This Row],[Produto]],tProdutos[Produto],0))="",DescontoPadrao,INDEX(tProdutos[Desconto homologado],MATCH(tItens[[#This Row],[Produto]],tProdutos[Produto],0))),DescontoPadrao)</f>
        <v>0.44096385542168698</v>
      </c>
      <c r="M7011" s="12">
        <f>tItens[[#This Row],[Valor]]*(1-tItens[[#This Row],[Desconto]])</f>
        <v>890.87999999999954</v>
      </c>
      <c r="N7011" t="str">
        <f>IFERROR(INDEX(tProdutos[Foco],MATCH(tItens[[#This Row],[Produto]],tProdutos[Produto],0)),"Não")</f>
        <v>Não</v>
      </c>
      <c r="O7011" t="str">
        <f>IFERROR(INDEX(tEditais[SRP],MATCH(tItens[[#This Row],[Edital]],tEditais[Edital],0)),"Não")</f>
        <v>Não</v>
      </c>
      <c r="P7011" s="4">
        <f>IF(COUNTIFS(INDEX(tItens[Edital],1):tItens[[#This Row],[Edital]],tItens[[#This Row],[Edital]],INDEX(tItens[Produto],1):tItens[[#This Row],[Produto]],tItens[[#This Row],[Produto]])=1,1,0)</f>
        <v>0</v>
      </c>
    </row>
    <row r="7012" spans="1:16" x14ac:dyDescent="0.25">
      <c r="A7012" t="s">
        <v>2452</v>
      </c>
      <c r="B7012">
        <v>8040062</v>
      </c>
      <c r="C7012" t="s">
        <v>9676</v>
      </c>
      <c r="D7012" t="s">
        <v>461</v>
      </c>
      <c r="E7012" s="13">
        <v>288</v>
      </c>
      <c r="F7012" s="12">
        <v>2.87</v>
      </c>
      <c r="G7012" t="str">
        <f>IFERROR(INDEX(tEditais[Órgão],MATCH(tItens[[#This Row],[Edital]],tEditais[Edital],0)),"")</f>
        <v>MUNICIPIO DE ALTA FLORESTA D'OESTE</v>
      </c>
      <c r="H7012" t="str">
        <f>IFERROR(INDEX(tEditais[UF],MATCH(tItens[[#This Row],[Edital]],tEditais[Edital],0)),"")</f>
        <v>RO</v>
      </c>
      <c r="I7012" s="11">
        <f>IFERROR(INDEX(tEditais[Encerramento],MATCH(tItens[[#This Row],[Edital]],tEditais[Edital],0)),"")</f>
        <v>46309.416666666664</v>
      </c>
      <c r="J7012" t="str">
        <f>IFERROR(INDEX(tProdutos[Classe],MATCH(tItens[[#This Row],[Produto]],tProdutos[Produto],0)),"produto não cadastrado")</f>
        <v>FILA REBASE</v>
      </c>
      <c r="K7012" s="12">
        <f>tItens[[#This Row],[Qtd]]*tItens[[#This Row],[Vlr unit]]</f>
        <v>826.56000000000006</v>
      </c>
      <c r="L7012" s="6">
        <f>IFERROR(IF(INDEX(tProdutos[Desconto homologado],MATCH(tItens[[#This Row],[Produto]],tProdutos[Produto],0))="",DescontoPadrao,INDEX(tProdutos[Desconto homologado],MATCH(tItens[[#This Row],[Produto]],tProdutos[Produto],0))),DescontoPadrao)</f>
        <v>0.44096385542168698</v>
      </c>
      <c r="M7012" s="12">
        <f>tItens[[#This Row],[Valor]]*(1-tItens[[#This Row],[Desconto]])</f>
        <v>462.07691566265038</v>
      </c>
      <c r="N7012" t="str">
        <f>IFERROR(INDEX(tProdutos[Foco],MATCH(tItens[[#This Row],[Produto]],tProdutos[Produto],0)),"Não")</f>
        <v>Não</v>
      </c>
      <c r="O7012" t="str">
        <f>IFERROR(INDEX(tEditais[SRP],MATCH(tItens[[#This Row],[Edital]],tEditais[Edital],0)),"Não")</f>
        <v>Não</v>
      </c>
      <c r="P7012" s="4">
        <f>IF(COUNTIFS(INDEX(tItens[Edital],1):tItens[[#This Row],[Edital]],tItens[[#This Row],[Edital]],INDEX(tItens[Produto],1):tItens[[#This Row],[Produto]],tItens[[#This Row],[Produto]])=1,1,0)</f>
        <v>0</v>
      </c>
    </row>
    <row r="7013" spans="1:16" x14ac:dyDescent="0.25">
      <c r="A7013" t="s">
        <v>2452</v>
      </c>
      <c r="B7013">
        <v>8040063</v>
      </c>
      <c r="C7013" t="s">
        <v>9677</v>
      </c>
      <c r="D7013" t="s">
        <v>461</v>
      </c>
      <c r="E7013" s="13">
        <v>1800</v>
      </c>
      <c r="F7013" s="12">
        <v>3.24</v>
      </c>
      <c r="G7013" t="str">
        <f>IFERROR(INDEX(tEditais[Órgão],MATCH(tItens[[#This Row],[Edital]],tEditais[Edital],0)),"")</f>
        <v>MUNICIPIO DE ALTA FLORESTA D'OESTE</v>
      </c>
      <c r="H7013" t="str">
        <f>IFERROR(INDEX(tEditais[UF],MATCH(tItens[[#This Row],[Edital]],tEditais[Edital],0)),"")</f>
        <v>RO</v>
      </c>
      <c r="I7013" s="11">
        <f>IFERROR(INDEX(tEditais[Encerramento],MATCH(tItens[[#This Row],[Edital]],tEditais[Edital],0)),"")</f>
        <v>46309.416666666664</v>
      </c>
      <c r="J7013" t="str">
        <f>IFERROR(INDEX(tProdutos[Classe],MATCH(tItens[[#This Row],[Produto]],tProdutos[Produto],0)),"produto não cadastrado")</f>
        <v>FILA REBASE</v>
      </c>
      <c r="K7013" s="12">
        <f>tItens[[#This Row],[Qtd]]*tItens[[#This Row],[Vlr unit]]</f>
        <v>5832</v>
      </c>
      <c r="L7013" s="6">
        <f>IFERROR(IF(INDEX(tProdutos[Desconto homologado],MATCH(tItens[[#This Row],[Produto]],tProdutos[Produto],0))="",DescontoPadrao,INDEX(tProdutos[Desconto homologado],MATCH(tItens[[#This Row],[Produto]],tProdutos[Produto],0))),DescontoPadrao)</f>
        <v>0.44096385542168698</v>
      </c>
      <c r="M7013" s="12">
        <f>tItens[[#This Row],[Valor]]*(1-tItens[[#This Row],[Desconto]])</f>
        <v>3260.2987951807213</v>
      </c>
      <c r="N7013" t="str">
        <f>IFERROR(INDEX(tProdutos[Foco],MATCH(tItens[[#This Row],[Produto]],tProdutos[Produto],0)),"Não")</f>
        <v>Não</v>
      </c>
      <c r="O7013" t="str">
        <f>IFERROR(INDEX(tEditais[SRP],MATCH(tItens[[#This Row],[Edital]],tEditais[Edital],0)),"Não")</f>
        <v>Não</v>
      </c>
      <c r="P7013" s="4">
        <f>IF(COUNTIFS(INDEX(tItens[Edital],1):tItens[[#This Row],[Edital]],tItens[[#This Row],[Edital]],INDEX(tItens[Produto],1):tItens[[#This Row],[Produto]],tItens[[#This Row],[Produto]])=1,1,0)</f>
        <v>0</v>
      </c>
    </row>
    <row r="7014" spans="1:16" x14ac:dyDescent="0.25">
      <c r="A7014" t="s">
        <v>2452</v>
      </c>
      <c r="B7014">
        <v>8040064</v>
      </c>
      <c r="C7014" t="s">
        <v>9678</v>
      </c>
      <c r="D7014" t="s">
        <v>461</v>
      </c>
      <c r="E7014" s="13">
        <v>600</v>
      </c>
      <c r="F7014" s="12">
        <v>2.87</v>
      </c>
      <c r="G7014" t="str">
        <f>IFERROR(INDEX(tEditais[Órgão],MATCH(tItens[[#This Row],[Edital]],tEditais[Edital],0)),"")</f>
        <v>MUNICIPIO DE ALTA FLORESTA D'OESTE</v>
      </c>
      <c r="H7014" t="str">
        <f>IFERROR(INDEX(tEditais[UF],MATCH(tItens[[#This Row],[Edital]],tEditais[Edital],0)),"")</f>
        <v>RO</v>
      </c>
      <c r="I7014" s="11">
        <f>IFERROR(INDEX(tEditais[Encerramento],MATCH(tItens[[#This Row],[Edital]],tEditais[Edital],0)),"")</f>
        <v>46309.416666666664</v>
      </c>
      <c r="J7014" t="str">
        <f>IFERROR(INDEX(tProdutos[Classe],MATCH(tItens[[#This Row],[Produto]],tProdutos[Produto],0)),"produto não cadastrado")</f>
        <v>FILA REBASE</v>
      </c>
      <c r="K7014" s="12">
        <f>tItens[[#This Row],[Qtd]]*tItens[[#This Row],[Vlr unit]]</f>
        <v>1722</v>
      </c>
      <c r="L7014" s="6">
        <f>IFERROR(IF(INDEX(tProdutos[Desconto homologado],MATCH(tItens[[#This Row],[Produto]],tProdutos[Produto],0))="",DescontoPadrao,INDEX(tProdutos[Desconto homologado],MATCH(tItens[[#This Row],[Produto]],tProdutos[Produto],0))),DescontoPadrao)</f>
        <v>0.44096385542168698</v>
      </c>
      <c r="M7014" s="12">
        <f>tItens[[#This Row],[Valor]]*(1-tItens[[#This Row],[Desconto]])</f>
        <v>962.6602409638549</v>
      </c>
      <c r="N7014" t="str">
        <f>IFERROR(INDEX(tProdutos[Foco],MATCH(tItens[[#This Row],[Produto]],tProdutos[Produto],0)),"Não")</f>
        <v>Não</v>
      </c>
      <c r="O7014" t="str">
        <f>IFERROR(INDEX(tEditais[SRP],MATCH(tItens[[#This Row],[Edital]],tEditais[Edital],0)),"Não")</f>
        <v>Não</v>
      </c>
      <c r="P7014" s="4">
        <f>IF(COUNTIFS(INDEX(tItens[Edital],1):tItens[[#This Row],[Edital]],tItens[[#This Row],[Edital]],INDEX(tItens[Produto],1):tItens[[#This Row],[Produto]],tItens[[#This Row],[Produto]])=1,1,0)</f>
        <v>0</v>
      </c>
    </row>
    <row r="7015" spans="1:16" x14ac:dyDescent="0.25">
      <c r="A7015" t="s">
        <v>2452</v>
      </c>
      <c r="B7015">
        <v>8040065</v>
      </c>
      <c r="C7015" t="s">
        <v>9679</v>
      </c>
      <c r="D7015" t="s">
        <v>461</v>
      </c>
      <c r="E7015" s="13">
        <v>720</v>
      </c>
      <c r="F7015" s="12">
        <v>2.88</v>
      </c>
      <c r="G7015" t="str">
        <f>IFERROR(INDEX(tEditais[Órgão],MATCH(tItens[[#This Row],[Edital]],tEditais[Edital],0)),"")</f>
        <v>MUNICIPIO DE ALTA FLORESTA D'OESTE</v>
      </c>
      <c r="H7015" t="str">
        <f>IFERROR(INDEX(tEditais[UF],MATCH(tItens[[#This Row],[Edital]],tEditais[Edital],0)),"")</f>
        <v>RO</v>
      </c>
      <c r="I7015" s="11">
        <f>IFERROR(INDEX(tEditais[Encerramento],MATCH(tItens[[#This Row],[Edital]],tEditais[Edital],0)),"")</f>
        <v>46309.416666666664</v>
      </c>
      <c r="J7015" t="str">
        <f>IFERROR(INDEX(tProdutos[Classe],MATCH(tItens[[#This Row],[Produto]],tProdutos[Produto],0)),"produto não cadastrado")</f>
        <v>FILA REBASE</v>
      </c>
      <c r="K7015" s="12">
        <f>tItens[[#This Row],[Qtd]]*tItens[[#This Row],[Vlr unit]]</f>
        <v>2073.6</v>
      </c>
      <c r="L7015" s="6">
        <f>IFERROR(IF(INDEX(tProdutos[Desconto homologado],MATCH(tItens[[#This Row],[Produto]],tProdutos[Produto],0))="",DescontoPadrao,INDEX(tProdutos[Desconto homologado],MATCH(tItens[[#This Row],[Produto]],tProdutos[Produto],0))),DescontoPadrao)</f>
        <v>0.44096385542168698</v>
      </c>
      <c r="M7015" s="12">
        <f>tItens[[#This Row],[Valor]]*(1-tItens[[#This Row],[Desconto]])</f>
        <v>1159.2173493975897</v>
      </c>
      <c r="N7015" t="str">
        <f>IFERROR(INDEX(tProdutos[Foco],MATCH(tItens[[#This Row],[Produto]],tProdutos[Produto],0)),"Não")</f>
        <v>Não</v>
      </c>
      <c r="O7015" t="str">
        <f>IFERROR(INDEX(tEditais[SRP],MATCH(tItens[[#This Row],[Edital]],tEditais[Edital],0)),"Não")</f>
        <v>Não</v>
      </c>
      <c r="P7015" s="4">
        <f>IF(COUNTIFS(INDEX(tItens[Edital],1):tItens[[#This Row],[Edital]],tItens[[#This Row],[Edital]],INDEX(tItens[Produto],1):tItens[[#This Row],[Produto]],tItens[[#This Row],[Produto]])=1,1,0)</f>
        <v>0</v>
      </c>
    </row>
    <row r="7016" spans="1:16" x14ac:dyDescent="0.25">
      <c r="A7016" t="s">
        <v>2452</v>
      </c>
      <c r="B7016">
        <v>8040066</v>
      </c>
      <c r="C7016" t="s">
        <v>9680</v>
      </c>
      <c r="D7016" t="s">
        <v>461</v>
      </c>
      <c r="E7016" s="13">
        <v>720</v>
      </c>
      <c r="F7016" s="12">
        <v>3.05</v>
      </c>
      <c r="G7016" t="str">
        <f>IFERROR(INDEX(tEditais[Órgão],MATCH(tItens[[#This Row],[Edital]],tEditais[Edital],0)),"")</f>
        <v>MUNICIPIO DE ALTA FLORESTA D'OESTE</v>
      </c>
      <c r="H7016" t="str">
        <f>IFERROR(INDEX(tEditais[UF],MATCH(tItens[[#This Row],[Edital]],tEditais[Edital],0)),"")</f>
        <v>RO</v>
      </c>
      <c r="I7016" s="11">
        <f>IFERROR(INDEX(tEditais[Encerramento],MATCH(tItens[[#This Row],[Edital]],tEditais[Edital],0)),"")</f>
        <v>46309.416666666664</v>
      </c>
      <c r="J7016" t="str">
        <f>IFERROR(INDEX(tProdutos[Classe],MATCH(tItens[[#This Row],[Produto]],tProdutos[Produto],0)),"produto não cadastrado")</f>
        <v>FILA REBASE</v>
      </c>
      <c r="K7016" s="12">
        <f>tItens[[#This Row],[Qtd]]*tItens[[#This Row],[Vlr unit]]</f>
        <v>2196</v>
      </c>
      <c r="L7016" s="6">
        <f>IFERROR(IF(INDEX(tProdutos[Desconto homologado],MATCH(tItens[[#This Row],[Produto]],tProdutos[Produto],0))="",DescontoPadrao,INDEX(tProdutos[Desconto homologado],MATCH(tItens[[#This Row],[Produto]],tProdutos[Produto],0))),DescontoPadrao)</f>
        <v>0.44096385542168698</v>
      </c>
      <c r="M7016" s="12">
        <f>tItens[[#This Row],[Valor]]*(1-tItens[[#This Row],[Desconto]])</f>
        <v>1227.6433734939753</v>
      </c>
      <c r="N7016" t="str">
        <f>IFERROR(INDEX(tProdutos[Foco],MATCH(tItens[[#This Row],[Produto]],tProdutos[Produto],0)),"Não")</f>
        <v>Não</v>
      </c>
      <c r="O7016" t="str">
        <f>IFERROR(INDEX(tEditais[SRP],MATCH(tItens[[#This Row],[Edital]],tEditais[Edital],0)),"Não")</f>
        <v>Não</v>
      </c>
      <c r="P7016" s="4">
        <f>IF(COUNTIFS(INDEX(tItens[Edital],1):tItens[[#This Row],[Edital]],tItens[[#This Row],[Edital]],INDEX(tItens[Produto],1):tItens[[#This Row],[Produto]],tItens[[#This Row],[Produto]])=1,1,0)</f>
        <v>0</v>
      </c>
    </row>
    <row r="7017" spans="1:16" x14ac:dyDescent="0.25">
      <c r="A7017" t="s">
        <v>2452</v>
      </c>
      <c r="B7017">
        <v>8040067</v>
      </c>
      <c r="C7017" t="s">
        <v>9681</v>
      </c>
      <c r="D7017" t="s">
        <v>461</v>
      </c>
      <c r="E7017" s="13">
        <v>288</v>
      </c>
      <c r="F7017" s="12">
        <v>3.18</v>
      </c>
      <c r="G7017" t="str">
        <f>IFERROR(INDEX(tEditais[Órgão],MATCH(tItens[[#This Row],[Edital]],tEditais[Edital],0)),"")</f>
        <v>MUNICIPIO DE ALTA FLORESTA D'OESTE</v>
      </c>
      <c r="H7017" t="str">
        <f>IFERROR(INDEX(tEditais[UF],MATCH(tItens[[#This Row],[Edital]],tEditais[Edital],0)),"")</f>
        <v>RO</v>
      </c>
      <c r="I7017" s="11">
        <f>IFERROR(INDEX(tEditais[Encerramento],MATCH(tItens[[#This Row],[Edital]],tEditais[Edital],0)),"")</f>
        <v>46309.416666666664</v>
      </c>
      <c r="J7017" t="str">
        <f>IFERROR(INDEX(tProdutos[Classe],MATCH(tItens[[#This Row],[Produto]],tProdutos[Produto],0)),"produto não cadastrado")</f>
        <v>FILA REBASE</v>
      </c>
      <c r="K7017" s="12">
        <f>tItens[[#This Row],[Qtd]]*tItens[[#This Row],[Vlr unit]]</f>
        <v>915.84</v>
      </c>
      <c r="L7017" s="6">
        <f>IFERROR(IF(INDEX(tProdutos[Desconto homologado],MATCH(tItens[[#This Row],[Produto]],tProdutos[Produto],0))="",DescontoPadrao,INDEX(tProdutos[Desconto homologado],MATCH(tItens[[#This Row],[Produto]],tProdutos[Produto],0))),DescontoPadrao)</f>
        <v>0.44096385542168698</v>
      </c>
      <c r="M7017" s="12">
        <f>tItens[[#This Row],[Valor]]*(1-tItens[[#This Row],[Desconto]])</f>
        <v>511.98766265060215</v>
      </c>
      <c r="N7017" t="str">
        <f>IFERROR(INDEX(tProdutos[Foco],MATCH(tItens[[#This Row],[Produto]],tProdutos[Produto],0)),"Não")</f>
        <v>Não</v>
      </c>
      <c r="O7017" t="str">
        <f>IFERROR(INDEX(tEditais[SRP],MATCH(tItens[[#This Row],[Edital]],tEditais[Edital],0)),"Não")</f>
        <v>Não</v>
      </c>
      <c r="P7017" s="4">
        <f>IF(COUNTIFS(INDEX(tItens[Edital],1):tItens[[#This Row],[Edital]],tItens[[#This Row],[Edital]],INDEX(tItens[Produto],1):tItens[[#This Row],[Produto]],tItens[[#This Row],[Produto]])=1,1,0)</f>
        <v>0</v>
      </c>
    </row>
    <row r="7018" spans="1:16" x14ac:dyDescent="0.25">
      <c r="A7018" t="s">
        <v>2452</v>
      </c>
      <c r="B7018">
        <v>8040068</v>
      </c>
      <c r="C7018" t="s">
        <v>9682</v>
      </c>
      <c r="D7018" t="s">
        <v>461</v>
      </c>
      <c r="E7018" s="13">
        <v>288</v>
      </c>
      <c r="F7018" s="12">
        <v>2.85</v>
      </c>
      <c r="G7018" t="str">
        <f>IFERROR(INDEX(tEditais[Órgão],MATCH(tItens[[#This Row],[Edital]],tEditais[Edital],0)),"")</f>
        <v>MUNICIPIO DE ALTA FLORESTA D'OESTE</v>
      </c>
      <c r="H7018" t="str">
        <f>IFERROR(INDEX(tEditais[UF],MATCH(tItens[[#This Row],[Edital]],tEditais[Edital],0)),"")</f>
        <v>RO</v>
      </c>
      <c r="I7018" s="11">
        <f>IFERROR(INDEX(tEditais[Encerramento],MATCH(tItens[[#This Row],[Edital]],tEditais[Edital],0)),"")</f>
        <v>46309.416666666664</v>
      </c>
      <c r="J7018" t="str">
        <f>IFERROR(INDEX(tProdutos[Classe],MATCH(tItens[[#This Row],[Produto]],tProdutos[Produto],0)),"produto não cadastrado")</f>
        <v>FILA REBASE</v>
      </c>
      <c r="K7018" s="12">
        <f>tItens[[#This Row],[Qtd]]*tItens[[#This Row],[Vlr unit]]</f>
        <v>820.80000000000007</v>
      </c>
      <c r="L7018" s="6">
        <f>IFERROR(IF(INDEX(tProdutos[Desconto homologado],MATCH(tItens[[#This Row],[Produto]],tProdutos[Produto],0))="",DescontoPadrao,INDEX(tProdutos[Desconto homologado],MATCH(tItens[[#This Row],[Produto]],tProdutos[Produto],0))),DescontoPadrao)</f>
        <v>0.44096385542168698</v>
      </c>
      <c r="M7018" s="12">
        <f>tItens[[#This Row],[Valor]]*(1-tItens[[#This Row],[Desconto]])</f>
        <v>458.85686746987932</v>
      </c>
      <c r="N7018" t="str">
        <f>IFERROR(INDEX(tProdutos[Foco],MATCH(tItens[[#This Row],[Produto]],tProdutos[Produto],0)),"Não")</f>
        <v>Não</v>
      </c>
      <c r="O7018" t="str">
        <f>IFERROR(INDEX(tEditais[SRP],MATCH(tItens[[#This Row],[Edital]],tEditais[Edital],0)),"Não")</f>
        <v>Não</v>
      </c>
      <c r="P7018" s="4">
        <f>IF(COUNTIFS(INDEX(tItens[Edital],1):tItens[[#This Row],[Edital]],tItens[[#This Row],[Edital]],INDEX(tItens[Produto],1):tItens[[#This Row],[Produto]],tItens[[#This Row],[Produto]])=1,1,0)</f>
        <v>0</v>
      </c>
    </row>
    <row r="7019" spans="1:16" x14ac:dyDescent="0.25">
      <c r="A7019" t="s">
        <v>2452</v>
      </c>
      <c r="B7019">
        <v>8040069</v>
      </c>
      <c r="C7019" t="s">
        <v>9683</v>
      </c>
      <c r="D7019" t="s">
        <v>461</v>
      </c>
      <c r="E7019" s="13">
        <v>120</v>
      </c>
      <c r="F7019" s="12">
        <v>3.85</v>
      </c>
      <c r="G7019" t="str">
        <f>IFERROR(INDEX(tEditais[Órgão],MATCH(tItens[[#This Row],[Edital]],tEditais[Edital],0)),"")</f>
        <v>MUNICIPIO DE ALTA FLORESTA D'OESTE</v>
      </c>
      <c r="H7019" t="str">
        <f>IFERROR(INDEX(tEditais[UF],MATCH(tItens[[#This Row],[Edital]],tEditais[Edital],0)),"")</f>
        <v>RO</v>
      </c>
      <c r="I7019" s="11">
        <f>IFERROR(INDEX(tEditais[Encerramento],MATCH(tItens[[#This Row],[Edital]],tEditais[Edital],0)),"")</f>
        <v>46309.416666666664</v>
      </c>
      <c r="J7019" t="str">
        <f>IFERROR(INDEX(tProdutos[Classe],MATCH(tItens[[#This Row],[Produto]],tProdutos[Produto],0)),"produto não cadastrado")</f>
        <v>FILA REBASE</v>
      </c>
      <c r="K7019" s="12">
        <f>tItens[[#This Row],[Qtd]]*tItens[[#This Row],[Vlr unit]]</f>
        <v>462</v>
      </c>
      <c r="L7019" s="6">
        <f>IFERROR(IF(INDEX(tProdutos[Desconto homologado],MATCH(tItens[[#This Row],[Produto]],tProdutos[Produto],0))="",DescontoPadrao,INDEX(tProdutos[Desconto homologado],MATCH(tItens[[#This Row],[Produto]],tProdutos[Produto],0))),DescontoPadrao)</f>
        <v>0.44096385542168698</v>
      </c>
      <c r="M7019" s="12">
        <f>tItens[[#This Row],[Valor]]*(1-tItens[[#This Row],[Desconto]])</f>
        <v>258.2746987951806</v>
      </c>
      <c r="N7019" t="str">
        <f>IFERROR(INDEX(tProdutos[Foco],MATCH(tItens[[#This Row],[Produto]],tProdutos[Produto],0)),"Não")</f>
        <v>Não</v>
      </c>
      <c r="O7019" t="str">
        <f>IFERROR(INDEX(tEditais[SRP],MATCH(tItens[[#This Row],[Edital]],tEditais[Edital],0)),"Não")</f>
        <v>Não</v>
      </c>
      <c r="P7019" s="4">
        <f>IF(COUNTIFS(INDEX(tItens[Edital],1):tItens[[#This Row],[Edital]],tItens[[#This Row],[Edital]],INDEX(tItens[Produto],1):tItens[[#This Row],[Produto]],tItens[[#This Row],[Produto]])=1,1,0)</f>
        <v>0</v>
      </c>
    </row>
    <row r="7020" spans="1:16" x14ac:dyDescent="0.25">
      <c r="A7020" t="s">
        <v>2452</v>
      </c>
      <c r="B7020">
        <v>8040070</v>
      </c>
      <c r="C7020" t="s">
        <v>9684</v>
      </c>
      <c r="D7020" t="s">
        <v>461</v>
      </c>
      <c r="E7020" s="13">
        <v>168</v>
      </c>
      <c r="F7020" s="12">
        <v>6.02</v>
      </c>
      <c r="G7020" t="str">
        <f>IFERROR(INDEX(tEditais[Órgão],MATCH(tItens[[#This Row],[Edital]],tEditais[Edital],0)),"")</f>
        <v>MUNICIPIO DE ALTA FLORESTA D'OESTE</v>
      </c>
      <c r="H7020" t="str">
        <f>IFERROR(INDEX(tEditais[UF],MATCH(tItens[[#This Row],[Edital]],tEditais[Edital],0)),"")</f>
        <v>RO</v>
      </c>
      <c r="I7020" s="11">
        <f>IFERROR(INDEX(tEditais[Encerramento],MATCH(tItens[[#This Row],[Edital]],tEditais[Edital],0)),"")</f>
        <v>46309.416666666664</v>
      </c>
      <c r="J7020" t="str">
        <f>IFERROR(INDEX(tProdutos[Classe],MATCH(tItens[[#This Row],[Produto]],tProdutos[Produto],0)),"produto não cadastrado")</f>
        <v>FILA REBASE</v>
      </c>
      <c r="K7020" s="12">
        <f>tItens[[#This Row],[Qtd]]*tItens[[#This Row],[Vlr unit]]</f>
        <v>1011.3599999999999</v>
      </c>
      <c r="L7020" s="6">
        <f>IFERROR(IF(INDEX(tProdutos[Desconto homologado],MATCH(tItens[[#This Row],[Produto]],tProdutos[Produto],0))="",DescontoPadrao,INDEX(tProdutos[Desconto homologado],MATCH(tItens[[#This Row],[Produto]],tProdutos[Produto],0))),DescontoPadrao)</f>
        <v>0.44096385542168698</v>
      </c>
      <c r="M7020" s="12">
        <f>tItens[[#This Row],[Valor]]*(1-tItens[[#This Row],[Desconto]])</f>
        <v>565.38679518072252</v>
      </c>
      <c r="N7020" t="str">
        <f>IFERROR(INDEX(tProdutos[Foco],MATCH(tItens[[#This Row],[Produto]],tProdutos[Produto],0)),"Não")</f>
        <v>Não</v>
      </c>
      <c r="O7020" t="str">
        <f>IFERROR(INDEX(tEditais[SRP],MATCH(tItens[[#This Row],[Edital]],tEditais[Edital],0)),"Não")</f>
        <v>Não</v>
      </c>
      <c r="P7020" s="4">
        <f>IF(COUNTIFS(INDEX(tItens[Edital],1):tItens[[#This Row],[Edital]],tItens[[#This Row],[Edital]],INDEX(tItens[Produto],1):tItens[[#This Row],[Produto]],tItens[[#This Row],[Produto]])=1,1,0)</f>
        <v>0</v>
      </c>
    </row>
    <row r="7021" spans="1:16" x14ac:dyDescent="0.25">
      <c r="A7021" t="s">
        <v>2452</v>
      </c>
      <c r="B7021">
        <v>8040071</v>
      </c>
      <c r="C7021" t="s">
        <v>9685</v>
      </c>
      <c r="D7021" t="s">
        <v>461</v>
      </c>
      <c r="E7021" s="13">
        <v>336</v>
      </c>
      <c r="F7021" s="12">
        <v>5.74</v>
      </c>
      <c r="G7021" t="str">
        <f>IFERROR(INDEX(tEditais[Órgão],MATCH(tItens[[#This Row],[Edital]],tEditais[Edital],0)),"")</f>
        <v>MUNICIPIO DE ALTA FLORESTA D'OESTE</v>
      </c>
      <c r="H7021" t="str">
        <f>IFERROR(INDEX(tEditais[UF],MATCH(tItens[[#This Row],[Edital]],tEditais[Edital],0)),"")</f>
        <v>RO</v>
      </c>
      <c r="I7021" s="11">
        <f>IFERROR(INDEX(tEditais[Encerramento],MATCH(tItens[[#This Row],[Edital]],tEditais[Edital],0)),"")</f>
        <v>46309.416666666664</v>
      </c>
      <c r="J7021" t="str">
        <f>IFERROR(INDEX(tProdutos[Classe],MATCH(tItens[[#This Row],[Produto]],tProdutos[Produto],0)),"produto não cadastrado")</f>
        <v>FILA REBASE</v>
      </c>
      <c r="K7021" s="12">
        <f>tItens[[#This Row],[Qtd]]*tItens[[#This Row],[Vlr unit]]</f>
        <v>1928.64</v>
      </c>
      <c r="L7021" s="6">
        <f>IFERROR(IF(INDEX(tProdutos[Desconto homologado],MATCH(tItens[[#This Row],[Produto]],tProdutos[Produto],0))="",DescontoPadrao,INDEX(tProdutos[Desconto homologado],MATCH(tItens[[#This Row],[Produto]],tProdutos[Produto],0))),DescontoPadrao)</f>
        <v>0.44096385542168698</v>
      </c>
      <c r="M7021" s="12">
        <f>tItens[[#This Row],[Valor]]*(1-tItens[[#This Row],[Desconto]])</f>
        <v>1078.1794698795177</v>
      </c>
      <c r="N7021" t="str">
        <f>IFERROR(INDEX(tProdutos[Foco],MATCH(tItens[[#This Row],[Produto]],tProdutos[Produto],0)),"Não")</f>
        <v>Não</v>
      </c>
      <c r="O7021" t="str">
        <f>IFERROR(INDEX(tEditais[SRP],MATCH(tItens[[#This Row],[Edital]],tEditais[Edital],0)),"Não")</f>
        <v>Não</v>
      </c>
      <c r="P7021" s="4">
        <f>IF(COUNTIFS(INDEX(tItens[Edital],1):tItens[[#This Row],[Edital]],tItens[[#This Row],[Edital]],INDEX(tItens[Produto],1):tItens[[#This Row],[Produto]],tItens[[#This Row],[Produto]])=1,1,0)</f>
        <v>0</v>
      </c>
    </row>
    <row r="7022" spans="1:16" x14ac:dyDescent="0.25">
      <c r="A7022" t="s">
        <v>2452</v>
      </c>
      <c r="B7022">
        <v>8040072</v>
      </c>
      <c r="C7022" t="s">
        <v>9686</v>
      </c>
      <c r="D7022" t="s">
        <v>461</v>
      </c>
      <c r="E7022" s="13">
        <v>120</v>
      </c>
      <c r="F7022" s="12">
        <v>6.18</v>
      </c>
      <c r="G7022" t="str">
        <f>IFERROR(INDEX(tEditais[Órgão],MATCH(tItens[[#This Row],[Edital]],tEditais[Edital],0)),"")</f>
        <v>MUNICIPIO DE ALTA FLORESTA D'OESTE</v>
      </c>
      <c r="H7022" t="str">
        <f>IFERROR(INDEX(tEditais[UF],MATCH(tItens[[#This Row],[Edital]],tEditais[Edital],0)),"")</f>
        <v>RO</v>
      </c>
      <c r="I7022" s="11">
        <f>IFERROR(INDEX(tEditais[Encerramento],MATCH(tItens[[#This Row],[Edital]],tEditais[Edital],0)),"")</f>
        <v>46309.416666666664</v>
      </c>
      <c r="J7022" t="str">
        <f>IFERROR(INDEX(tProdutos[Classe],MATCH(tItens[[#This Row],[Produto]],tProdutos[Produto],0)),"produto não cadastrado")</f>
        <v>FILA REBASE</v>
      </c>
      <c r="K7022" s="12">
        <f>tItens[[#This Row],[Qtd]]*tItens[[#This Row],[Vlr unit]]</f>
        <v>741.59999999999991</v>
      </c>
      <c r="L7022" s="6">
        <f>IFERROR(IF(INDEX(tProdutos[Desconto homologado],MATCH(tItens[[#This Row],[Produto]],tProdutos[Produto],0))="",DescontoPadrao,INDEX(tProdutos[Desconto homologado],MATCH(tItens[[#This Row],[Produto]],tProdutos[Produto],0))),DescontoPadrao)</f>
        <v>0.44096385542168698</v>
      </c>
      <c r="M7022" s="12">
        <f>tItens[[#This Row],[Valor]]*(1-tItens[[#This Row],[Desconto]])</f>
        <v>414.58120481927682</v>
      </c>
      <c r="N7022" t="str">
        <f>IFERROR(INDEX(tProdutos[Foco],MATCH(tItens[[#This Row],[Produto]],tProdutos[Produto],0)),"Não")</f>
        <v>Não</v>
      </c>
      <c r="O7022" t="str">
        <f>IFERROR(INDEX(tEditais[SRP],MATCH(tItens[[#This Row],[Edital]],tEditais[Edital],0)),"Não")</f>
        <v>Não</v>
      </c>
      <c r="P7022" s="4">
        <f>IF(COUNTIFS(INDEX(tItens[Edital],1):tItens[[#This Row],[Edital]],tItens[[#This Row],[Edital]],INDEX(tItens[Produto],1):tItens[[#This Row],[Produto]],tItens[[#This Row],[Produto]])=1,1,0)</f>
        <v>0</v>
      </c>
    </row>
    <row r="7023" spans="1:16" x14ac:dyDescent="0.25">
      <c r="A7023" t="s">
        <v>2452</v>
      </c>
      <c r="B7023">
        <v>8040073</v>
      </c>
      <c r="C7023" t="s">
        <v>9687</v>
      </c>
      <c r="D7023" t="s">
        <v>461</v>
      </c>
      <c r="E7023" s="13">
        <v>720</v>
      </c>
      <c r="F7023" s="12">
        <v>5.92</v>
      </c>
      <c r="G7023" t="str">
        <f>IFERROR(INDEX(tEditais[Órgão],MATCH(tItens[[#This Row],[Edital]],tEditais[Edital],0)),"")</f>
        <v>MUNICIPIO DE ALTA FLORESTA D'OESTE</v>
      </c>
      <c r="H7023" t="str">
        <f>IFERROR(INDEX(tEditais[UF],MATCH(tItens[[#This Row],[Edital]],tEditais[Edital],0)),"")</f>
        <v>RO</v>
      </c>
      <c r="I7023" s="11">
        <f>IFERROR(INDEX(tEditais[Encerramento],MATCH(tItens[[#This Row],[Edital]],tEditais[Edital],0)),"")</f>
        <v>46309.416666666664</v>
      </c>
      <c r="J7023" t="str">
        <f>IFERROR(INDEX(tProdutos[Classe],MATCH(tItens[[#This Row],[Produto]],tProdutos[Produto],0)),"produto não cadastrado")</f>
        <v>FILA REBASE</v>
      </c>
      <c r="K7023" s="12">
        <f>tItens[[#This Row],[Qtd]]*tItens[[#This Row],[Vlr unit]]</f>
        <v>4262.3999999999996</v>
      </c>
      <c r="L7023" s="6">
        <f>IFERROR(IF(INDEX(tProdutos[Desconto homologado],MATCH(tItens[[#This Row],[Produto]],tProdutos[Produto],0))="",DescontoPadrao,INDEX(tProdutos[Desconto homologado],MATCH(tItens[[#This Row],[Produto]],tProdutos[Produto],0))),DescontoPadrao)</f>
        <v>0.44096385542168698</v>
      </c>
      <c r="M7023" s="12">
        <f>tItens[[#This Row],[Valor]]*(1-tItens[[#This Row],[Desconto]])</f>
        <v>2382.8356626506011</v>
      </c>
      <c r="N7023" t="str">
        <f>IFERROR(INDEX(tProdutos[Foco],MATCH(tItens[[#This Row],[Produto]],tProdutos[Produto],0)),"Não")</f>
        <v>Não</v>
      </c>
      <c r="O7023" t="str">
        <f>IFERROR(INDEX(tEditais[SRP],MATCH(tItens[[#This Row],[Edital]],tEditais[Edital],0)),"Não")</f>
        <v>Não</v>
      </c>
      <c r="P7023" s="4">
        <f>IF(COUNTIFS(INDEX(tItens[Edital],1):tItens[[#This Row],[Edital]],tItens[[#This Row],[Edital]],INDEX(tItens[Produto],1):tItens[[#This Row],[Produto]],tItens[[#This Row],[Produto]])=1,1,0)</f>
        <v>0</v>
      </c>
    </row>
    <row r="7024" spans="1:16" x14ac:dyDescent="0.25">
      <c r="A7024" t="s">
        <v>2452</v>
      </c>
      <c r="B7024">
        <v>8040074</v>
      </c>
      <c r="C7024" t="s">
        <v>9688</v>
      </c>
      <c r="D7024" t="s">
        <v>461</v>
      </c>
      <c r="E7024" s="13">
        <v>720</v>
      </c>
      <c r="F7024" s="12">
        <v>9.4700000000000006</v>
      </c>
      <c r="G7024" t="str">
        <f>IFERROR(INDEX(tEditais[Órgão],MATCH(tItens[[#This Row],[Edital]],tEditais[Edital],0)),"")</f>
        <v>MUNICIPIO DE ALTA FLORESTA D'OESTE</v>
      </c>
      <c r="H7024" t="str">
        <f>IFERROR(INDEX(tEditais[UF],MATCH(tItens[[#This Row],[Edital]],tEditais[Edital],0)),"")</f>
        <v>RO</v>
      </c>
      <c r="I7024" s="11">
        <f>IFERROR(INDEX(tEditais[Encerramento],MATCH(tItens[[#This Row],[Edital]],tEditais[Edital],0)),"")</f>
        <v>46309.416666666664</v>
      </c>
      <c r="J7024" t="str">
        <f>IFERROR(INDEX(tProdutos[Classe],MATCH(tItens[[#This Row],[Produto]],tProdutos[Produto],0)),"produto não cadastrado")</f>
        <v>FILA REBASE</v>
      </c>
      <c r="K7024" s="12">
        <f>tItens[[#This Row],[Qtd]]*tItens[[#This Row],[Vlr unit]]</f>
        <v>6818.4000000000005</v>
      </c>
      <c r="L7024" s="6">
        <f>IFERROR(IF(INDEX(tProdutos[Desconto homologado],MATCH(tItens[[#This Row],[Produto]],tProdutos[Produto],0))="",DescontoPadrao,INDEX(tProdutos[Desconto homologado],MATCH(tItens[[#This Row],[Produto]],tProdutos[Produto],0))),DescontoPadrao)</f>
        <v>0.44096385542168698</v>
      </c>
      <c r="M7024" s="12">
        <f>tItens[[#This Row],[Valor]]*(1-tItens[[#This Row],[Desconto]])</f>
        <v>3811.7320481927695</v>
      </c>
      <c r="N7024" t="str">
        <f>IFERROR(INDEX(tProdutos[Foco],MATCH(tItens[[#This Row],[Produto]],tProdutos[Produto],0)),"Não")</f>
        <v>Não</v>
      </c>
      <c r="O7024" t="str">
        <f>IFERROR(INDEX(tEditais[SRP],MATCH(tItens[[#This Row],[Edital]],tEditais[Edital],0)),"Não")</f>
        <v>Não</v>
      </c>
      <c r="P7024" s="4">
        <f>IF(COUNTIFS(INDEX(tItens[Edital],1):tItens[[#This Row],[Edital]],tItens[[#This Row],[Edital]],INDEX(tItens[Produto],1):tItens[[#This Row],[Produto]],tItens[[#This Row],[Produto]])=1,1,0)</f>
        <v>0</v>
      </c>
    </row>
    <row r="7025" spans="1:16" x14ac:dyDescent="0.25">
      <c r="A7025" t="s">
        <v>2452</v>
      </c>
      <c r="B7025">
        <v>8040075</v>
      </c>
      <c r="C7025" t="s">
        <v>9689</v>
      </c>
      <c r="D7025" t="s">
        <v>375</v>
      </c>
      <c r="E7025" s="13">
        <v>504</v>
      </c>
      <c r="F7025" s="12">
        <v>11.72</v>
      </c>
      <c r="G7025" t="str">
        <f>IFERROR(INDEX(tEditais[Órgão],MATCH(tItens[[#This Row],[Edital]],tEditais[Edital],0)),"")</f>
        <v>MUNICIPIO DE ALTA FLORESTA D'OESTE</v>
      </c>
      <c r="H7025" t="str">
        <f>IFERROR(INDEX(tEditais[UF],MATCH(tItens[[#This Row],[Edital]],tEditais[Edital],0)),"")</f>
        <v>RO</v>
      </c>
      <c r="I7025" s="11">
        <f>IFERROR(INDEX(tEditais[Encerramento],MATCH(tItens[[#This Row],[Edital]],tEditais[Edital],0)),"")</f>
        <v>46309.416666666664</v>
      </c>
      <c r="J7025" t="str">
        <f>IFERROR(INDEX(tProdutos[Classe],MATCH(tItens[[#This Row],[Produto]],tProdutos[Produto],0)),"produto não cadastrado")</f>
        <v>FORA</v>
      </c>
      <c r="K7025" s="12">
        <f>tItens[[#This Row],[Qtd]]*tItens[[#This Row],[Vlr unit]]</f>
        <v>5906.88</v>
      </c>
      <c r="L7025" s="6">
        <f>IFERROR(IF(INDEX(tProdutos[Desconto homologado],MATCH(tItens[[#This Row],[Produto]],tProdutos[Produto],0))="",DescontoPadrao,INDEX(tProdutos[Desconto homologado],MATCH(tItens[[#This Row],[Produto]],tProdutos[Produto],0))),DescontoPadrao)</f>
        <v>0.25005895299481201</v>
      </c>
      <c r="M7025" s="12">
        <f>tItens[[#This Row],[Valor]]*(1-tItens[[#This Row],[Desconto]])</f>
        <v>4429.8117717340047</v>
      </c>
      <c r="N7025" t="str">
        <f>IFERROR(INDEX(tProdutos[Foco],MATCH(tItens[[#This Row],[Produto]],tProdutos[Produto],0)),"Não")</f>
        <v>Não</v>
      </c>
      <c r="O7025" t="str">
        <f>IFERROR(INDEX(tEditais[SRP],MATCH(tItens[[#This Row],[Edital]],tEditais[Edital],0)),"Não")</f>
        <v>Não</v>
      </c>
      <c r="P7025" s="4">
        <f>IF(COUNTIFS(INDEX(tItens[Edital],1):tItens[[#This Row],[Edital]],tItens[[#This Row],[Edital]],INDEX(tItens[Produto],1):tItens[[#This Row],[Produto]],tItens[[#This Row],[Produto]])=1,1,0)</f>
        <v>0</v>
      </c>
    </row>
    <row r="7026" spans="1:16" x14ac:dyDescent="0.25">
      <c r="A7026" t="s">
        <v>2452</v>
      </c>
      <c r="B7026">
        <v>8040076</v>
      </c>
      <c r="C7026" t="s">
        <v>9690</v>
      </c>
      <c r="D7026" t="s">
        <v>375</v>
      </c>
      <c r="E7026" s="13">
        <v>504</v>
      </c>
      <c r="F7026" s="12">
        <v>10.46</v>
      </c>
      <c r="G7026" t="str">
        <f>IFERROR(INDEX(tEditais[Órgão],MATCH(tItens[[#This Row],[Edital]],tEditais[Edital],0)),"")</f>
        <v>MUNICIPIO DE ALTA FLORESTA D'OESTE</v>
      </c>
      <c r="H7026" t="str">
        <f>IFERROR(INDEX(tEditais[UF],MATCH(tItens[[#This Row],[Edital]],tEditais[Edital],0)),"")</f>
        <v>RO</v>
      </c>
      <c r="I7026" s="11">
        <f>IFERROR(INDEX(tEditais[Encerramento],MATCH(tItens[[#This Row],[Edital]],tEditais[Edital],0)),"")</f>
        <v>46309.416666666664</v>
      </c>
      <c r="J7026" t="str">
        <f>IFERROR(INDEX(tProdutos[Classe],MATCH(tItens[[#This Row],[Produto]],tProdutos[Produto],0)),"produto não cadastrado")</f>
        <v>FORA</v>
      </c>
      <c r="K7026" s="12">
        <f>tItens[[#This Row],[Qtd]]*tItens[[#This Row],[Vlr unit]]</f>
        <v>5271.84</v>
      </c>
      <c r="L7026" s="6">
        <f>IFERROR(IF(INDEX(tProdutos[Desconto homologado],MATCH(tItens[[#This Row],[Produto]],tProdutos[Produto],0))="",DescontoPadrao,INDEX(tProdutos[Desconto homologado],MATCH(tItens[[#This Row],[Produto]],tProdutos[Produto],0))),DescontoPadrao)</f>
        <v>0.25005895299481201</v>
      </c>
      <c r="M7026" s="12">
        <f>tItens[[#This Row],[Valor]]*(1-tItens[[#This Row],[Desconto]])</f>
        <v>3953.5692092438298</v>
      </c>
      <c r="N7026" t="str">
        <f>IFERROR(INDEX(tProdutos[Foco],MATCH(tItens[[#This Row],[Produto]],tProdutos[Produto],0)),"Não")</f>
        <v>Não</v>
      </c>
      <c r="O7026" t="str">
        <f>IFERROR(INDEX(tEditais[SRP],MATCH(tItens[[#This Row],[Edital]],tEditais[Edital],0)),"Não")</f>
        <v>Não</v>
      </c>
      <c r="P7026" s="4">
        <f>IF(COUNTIFS(INDEX(tItens[Edital],1):tItens[[#This Row],[Edital]],tItens[[#This Row],[Edital]],INDEX(tItens[Produto],1):tItens[[#This Row],[Produto]],tItens[[#This Row],[Produto]])=1,1,0)</f>
        <v>0</v>
      </c>
    </row>
    <row r="7027" spans="1:16" x14ac:dyDescent="0.25">
      <c r="A7027" t="s">
        <v>2452</v>
      </c>
      <c r="B7027">
        <v>8040077</v>
      </c>
      <c r="C7027" t="s">
        <v>9691</v>
      </c>
      <c r="D7027" t="s">
        <v>375</v>
      </c>
      <c r="E7027" s="13">
        <v>216</v>
      </c>
      <c r="F7027" s="12">
        <v>10.89</v>
      </c>
      <c r="G7027" t="str">
        <f>IFERROR(INDEX(tEditais[Órgão],MATCH(tItens[[#This Row],[Edital]],tEditais[Edital],0)),"")</f>
        <v>MUNICIPIO DE ALTA FLORESTA D'OESTE</v>
      </c>
      <c r="H7027" t="str">
        <f>IFERROR(INDEX(tEditais[UF],MATCH(tItens[[#This Row],[Edital]],tEditais[Edital],0)),"")</f>
        <v>RO</v>
      </c>
      <c r="I7027" s="11">
        <f>IFERROR(INDEX(tEditais[Encerramento],MATCH(tItens[[#This Row],[Edital]],tEditais[Edital],0)),"")</f>
        <v>46309.416666666664</v>
      </c>
      <c r="J7027" t="str">
        <f>IFERROR(INDEX(tProdutos[Classe],MATCH(tItens[[#This Row],[Produto]],tProdutos[Produto],0)),"produto não cadastrado")</f>
        <v>FORA</v>
      </c>
      <c r="K7027" s="12">
        <f>tItens[[#This Row],[Qtd]]*tItens[[#This Row],[Vlr unit]]</f>
        <v>2352.2400000000002</v>
      </c>
      <c r="L7027" s="6">
        <f>IFERROR(IF(INDEX(tProdutos[Desconto homologado],MATCH(tItens[[#This Row],[Produto]],tProdutos[Produto],0))="",DescontoPadrao,INDEX(tProdutos[Desconto homologado],MATCH(tItens[[#This Row],[Produto]],tProdutos[Produto],0))),DescontoPadrao)</f>
        <v>0.25005895299481201</v>
      </c>
      <c r="M7027" s="12">
        <f>tItens[[#This Row],[Valor]]*(1-tItens[[#This Row],[Desconto]])</f>
        <v>1764.0413284074834</v>
      </c>
      <c r="N7027" t="str">
        <f>IFERROR(INDEX(tProdutos[Foco],MATCH(tItens[[#This Row],[Produto]],tProdutos[Produto],0)),"Não")</f>
        <v>Não</v>
      </c>
      <c r="O7027" t="str">
        <f>IFERROR(INDEX(tEditais[SRP],MATCH(tItens[[#This Row],[Edital]],tEditais[Edital],0)),"Não")</f>
        <v>Não</v>
      </c>
      <c r="P7027" s="4">
        <f>IF(COUNTIFS(INDEX(tItens[Edital],1):tItens[[#This Row],[Edital]],tItens[[#This Row],[Edital]],INDEX(tItens[Produto],1):tItens[[#This Row],[Produto]],tItens[[#This Row],[Produto]])=1,1,0)</f>
        <v>0</v>
      </c>
    </row>
    <row r="7028" spans="1:16" x14ac:dyDescent="0.25">
      <c r="A7028" t="s">
        <v>2452</v>
      </c>
      <c r="B7028">
        <v>8040078</v>
      </c>
      <c r="C7028" t="s">
        <v>9692</v>
      </c>
      <c r="D7028" t="s">
        <v>375</v>
      </c>
      <c r="E7028" s="13">
        <v>360</v>
      </c>
      <c r="F7028" s="12">
        <v>10.79</v>
      </c>
      <c r="G7028" t="str">
        <f>IFERROR(INDEX(tEditais[Órgão],MATCH(tItens[[#This Row],[Edital]],tEditais[Edital],0)),"")</f>
        <v>MUNICIPIO DE ALTA FLORESTA D'OESTE</v>
      </c>
      <c r="H7028" t="str">
        <f>IFERROR(INDEX(tEditais[UF],MATCH(tItens[[#This Row],[Edital]],tEditais[Edital],0)),"")</f>
        <v>RO</v>
      </c>
      <c r="I7028" s="11">
        <f>IFERROR(INDEX(tEditais[Encerramento],MATCH(tItens[[#This Row],[Edital]],tEditais[Edital],0)),"")</f>
        <v>46309.416666666664</v>
      </c>
      <c r="J7028" t="str">
        <f>IFERROR(INDEX(tProdutos[Classe],MATCH(tItens[[#This Row],[Produto]],tProdutos[Produto],0)),"produto não cadastrado")</f>
        <v>FORA</v>
      </c>
      <c r="K7028" s="12">
        <f>tItens[[#This Row],[Qtd]]*tItens[[#This Row],[Vlr unit]]</f>
        <v>3884.3999999999996</v>
      </c>
      <c r="L7028" s="6">
        <f>IFERROR(IF(INDEX(tProdutos[Desconto homologado],MATCH(tItens[[#This Row],[Produto]],tProdutos[Produto],0))="",DescontoPadrao,INDEX(tProdutos[Desconto homologado],MATCH(tItens[[#This Row],[Produto]],tProdutos[Produto],0))),DescontoPadrao)</f>
        <v>0.25005895299481201</v>
      </c>
      <c r="M7028" s="12">
        <f>tItens[[#This Row],[Valor]]*(1-tItens[[#This Row],[Desconto]])</f>
        <v>2913.071002986952</v>
      </c>
      <c r="N7028" t="str">
        <f>IFERROR(INDEX(tProdutos[Foco],MATCH(tItens[[#This Row],[Produto]],tProdutos[Produto],0)),"Não")</f>
        <v>Não</v>
      </c>
      <c r="O7028" t="str">
        <f>IFERROR(INDEX(tEditais[SRP],MATCH(tItens[[#This Row],[Edital]],tEditais[Edital],0)),"Não")</f>
        <v>Não</v>
      </c>
      <c r="P7028" s="4">
        <f>IF(COUNTIFS(INDEX(tItens[Edital],1):tItens[[#This Row],[Edital]],tItens[[#This Row],[Edital]],INDEX(tItens[Produto],1):tItens[[#This Row],[Produto]],tItens[[#This Row],[Produto]])=1,1,0)</f>
        <v>0</v>
      </c>
    </row>
    <row r="7029" spans="1:16" x14ac:dyDescent="0.25">
      <c r="A7029" t="s">
        <v>2452</v>
      </c>
      <c r="B7029">
        <v>8040079</v>
      </c>
      <c r="C7029" t="s">
        <v>9693</v>
      </c>
      <c r="D7029" t="s">
        <v>375</v>
      </c>
      <c r="E7029" s="13">
        <v>360</v>
      </c>
      <c r="F7029" s="12">
        <v>11.57</v>
      </c>
      <c r="G7029" t="str">
        <f>IFERROR(INDEX(tEditais[Órgão],MATCH(tItens[[#This Row],[Edital]],tEditais[Edital],0)),"")</f>
        <v>MUNICIPIO DE ALTA FLORESTA D'OESTE</v>
      </c>
      <c r="H7029" t="str">
        <f>IFERROR(INDEX(tEditais[UF],MATCH(tItens[[#This Row],[Edital]],tEditais[Edital],0)),"")</f>
        <v>RO</v>
      </c>
      <c r="I7029" s="11">
        <f>IFERROR(INDEX(tEditais[Encerramento],MATCH(tItens[[#This Row],[Edital]],tEditais[Edital],0)),"")</f>
        <v>46309.416666666664</v>
      </c>
      <c r="J7029" t="str">
        <f>IFERROR(INDEX(tProdutos[Classe],MATCH(tItens[[#This Row],[Produto]],tProdutos[Produto],0)),"produto não cadastrado")</f>
        <v>FORA</v>
      </c>
      <c r="K7029" s="12">
        <f>tItens[[#This Row],[Qtd]]*tItens[[#This Row],[Vlr unit]]</f>
        <v>4165.2</v>
      </c>
      <c r="L7029" s="6">
        <f>IFERROR(IF(INDEX(tProdutos[Desconto homologado],MATCH(tItens[[#This Row],[Produto]],tProdutos[Produto],0))="",DescontoPadrao,INDEX(tProdutos[Desconto homologado],MATCH(tItens[[#This Row],[Produto]],tProdutos[Produto],0))),DescontoPadrao)</f>
        <v>0.25005895299481201</v>
      </c>
      <c r="M7029" s="12">
        <f>tItens[[#This Row],[Valor]]*(1-tItens[[#This Row],[Desconto]])</f>
        <v>3123.6544489860084</v>
      </c>
      <c r="N7029" t="str">
        <f>IFERROR(INDEX(tProdutos[Foco],MATCH(tItens[[#This Row],[Produto]],tProdutos[Produto],0)),"Não")</f>
        <v>Não</v>
      </c>
      <c r="O7029" t="str">
        <f>IFERROR(INDEX(tEditais[SRP],MATCH(tItens[[#This Row],[Edital]],tEditais[Edital],0)),"Não")</f>
        <v>Não</v>
      </c>
      <c r="P7029" s="4">
        <f>IF(COUNTIFS(INDEX(tItens[Edital],1):tItens[[#This Row],[Edital]],tItens[[#This Row],[Edital]],INDEX(tItens[Produto],1):tItens[[#This Row],[Produto]],tItens[[#This Row],[Produto]])=1,1,0)</f>
        <v>0</v>
      </c>
    </row>
    <row r="7030" spans="1:16" x14ac:dyDescent="0.25">
      <c r="A7030" t="s">
        <v>2452</v>
      </c>
      <c r="B7030">
        <v>8040080</v>
      </c>
      <c r="C7030" t="s">
        <v>9694</v>
      </c>
      <c r="D7030" t="s">
        <v>375</v>
      </c>
      <c r="E7030" s="13">
        <v>360</v>
      </c>
      <c r="F7030" s="12">
        <v>9.57</v>
      </c>
      <c r="G7030" t="str">
        <f>IFERROR(INDEX(tEditais[Órgão],MATCH(tItens[[#This Row],[Edital]],tEditais[Edital],0)),"")</f>
        <v>MUNICIPIO DE ALTA FLORESTA D'OESTE</v>
      </c>
      <c r="H7030" t="str">
        <f>IFERROR(INDEX(tEditais[UF],MATCH(tItens[[#This Row],[Edital]],tEditais[Edital],0)),"")</f>
        <v>RO</v>
      </c>
      <c r="I7030" s="11">
        <f>IFERROR(INDEX(tEditais[Encerramento],MATCH(tItens[[#This Row],[Edital]],tEditais[Edital],0)),"")</f>
        <v>46309.416666666664</v>
      </c>
      <c r="J7030" t="str">
        <f>IFERROR(INDEX(tProdutos[Classe],MATCH(tItens[[#This Row],[Produto]],tProdutos[Produto],0)),"produto não cadastrado")</f>
        <v>FORA</v>
      </c>
      <c r="K7030" s="12">
        <f>tItens[[#This Row],[Qtd]]*tItens[[#This Row],[Vlr unit]]</f>
        <v>3445.2000000000003</v>
      </c>
      <c r="L7030" s="6">
        <f>IFERROR(IF(INDEX(tProdutos[Desconto homologado],MATCH(tItens[[#This Row],[Produto]],tProdutos[Produto],0))="",DescontoPadrao,INDEX(tProdutos[Desconto homologado],MATCH(tItens[[#This Row],[Produto]],tProdutos[Produto],0))),DescontoPadrao)</f>
        <v>0.25005895299481201</v>
      </c>
      <c r="M7030" s="12">
        <f>tItens[[#This Row],[Valor]]*(1-tItens[[#This Row],[Desconto]])</f>
        <v>2583.6968951422737</v>
      </c>
      <c r="N7030" t="str">
        <f>IFERROR(INDEX(tProdutos[Foco],MATCH(tItens[[#This Row],[Produto]],tProdutos[Produto],0)),"Não")</f>
        <v>Não</v>
      </c>
      <c r="O7030" t="str">
        <f>IFERROR(INDEX(tEditais[SRP],MATCH(tItens[[#This Row],[Edital]],tEditais[Edital],0)),"Não")</f>
        <v>Não</v>
      </c>
      <c r="P7030" s="4">
        <f>IF(COUNTIFS(INDEX(tItens[Edital],1):tItens[[#This Row],[Edital]],tItens[[#This Row],[Edital]],INDEX(tItens[Produto],1):tItens[[#This Row],[Produto]],tItens[[#This Row],[Produto]])=1,1,0)</f>
        <v>0</v>
      </c>
    </row>
    <row r="7031" spans="1:16" x14ac:dyDescent="0.25">
      <c r="A7031" t="s">
        <v>2452</v>
      </c>
      <c r="B7031">
        <v>8040081</v>
      </c>
      <c r="C7031" t="s">
        <v>9695</v>
      </c>
      <c r="D7031" t="s">
        <v>136</v>
      </c>
      <c r="E7031" s="13">
        <v>400</v>
      </c>
      <c r="F7031" s="12">
        <v>9.3000000000000007</v>
      </c>
      <c r="G7031" t="str">
        <f>IFERROR(INDEX(tEditais[Órgão],MATCH(tItens[[#This Row],[Edital]],tEditais[Edital],0)),"")</f>
        <v>MUNICIPIO DE ALTA FLORESTA D'OESTE</v>
      </c>
      <c r="H7031" t="str">
        <f>IFERROR(INDEX(tEditais[UF],MATCH(tItens[[#This Row],[Edital]],tEditais[Edital],0)),"")</f>
        <v>RO</v>
      </c>
      <c r="I7031" s="11">
        <f>IFERROR(INDEX(tEditais[Encerramento],MATCH(tItens[[#This Row],[Edital]],tEditais[Edital],0)),"")</f>
        <v>46309.416666666664</v>
      </c>
      <c r="J7031" t="str">
        <f>IFERROR(INDEX(tProdutos[Classe],MATCH(tItens[[#This Row],[Produto]],tProdutos[Produto],0)),"produto não cadastrado")</f>
        <v>DISPUTADO</v>
      </c>
      <c r="K7031" s="12">
        <f>tItens[[#This Row],[Qtd]]*tItens[[#This Row],[Vlr unit]]</f>
        <v>3720.0000000000005</v>
      </c>
      <c r="L7031" s="6">
        <f>IFERROR(IF(INDEX(tProdutos[Desconto homologado],MATCH(tItens[[#This Row],[Produto]],tProdutos[Produto],0))="",DescontoPadrao,INDEX(tProdutos[Desconto homologado],MATCH(tItens[[#This Row],[Produto]],tProdutos[Produto],0))),DescontoPadrao)</f>
        <v>0.330646209370899</v>
      </c>
      <c r="M7031" s="12">
        <f>tItens[[#This Row],[Valor]]*(1-tItens[[#This Row],[Desconto]])</f>
        <v>2489.9961011402556</v>
      </c>
      <c r="N7031" t="str">
        <f>IFERROR(INDEX(tProdutos[Foco],MATCH(tItens[[#This Row],[Produto]],tProdutos[Produto],0)),"Não")</f>
        <v>Não</v>
      </c>
      <c r="O7031" t="str">
        <f>IFERROR(INDEX(tEditais[SRP],MATCH(tItens[[#This Row],[Edital]],tEditais[Edital],0)),"Não")</f>
        <v>Não</v>
      </c>
      <c r="P7031" s="4">
        <f>IF(COUNTIFS(INDEX(tItens[Edital],1):tItens[[#This Row],[Edital]],tItens[[#This Row],[Edital]],INDEX(tItens[Produto],1):tItens[[#This Row],[Produto]],tItens[[#This Row],[Produto]])=1,1,0)</f>
        <v>1</v>
      </c>
    </row>
    <row r="7032" spans="1:16" x14ac:dyDescent="0.25">
      <c r="A7032" t="s">
        <v>2452</v>
      </c>
      <c r="B7032">
        <v>8040082</v>
      </c>
      <c r="C7032" t="s">
        <v>9695</v>
      </c>
      <c r="D7032" t="s">
        <v>136</v>
      </c>
      <c r="E7032" s="13">
        <v>200</v>
      </c>
      <c r="F7032" s="12">
        <v>8.9</v>
      </c>
      <c r="G7032" t="str">
        <f>IFERROR(INDEX(tEditais[Órgão],MATCH(tItens[[#This Row],[Edital]],tEditais[Edital],0)),"")</f>
        <v>MUNICIPIO DE ALTA FLORESTA D'OESTE</v>
      </c>
      <c r="H7032" t="str">
        <f>IFERROR(INDEX(tEditais[UF],MATCH(tItens[[#This Row],[Edital]],tEditais[Edital],0)),"")</f>
        <v>RO</v>
      </c>
      <c r="I7032" s="11">
        <f>IFERROR(INDEX(tEditais[Encerramento],MATCH(tItens[[#This Row],[Edital]],tEditais[Edital],0)),"")</f>
        <v>46309.416666666664</v>
      </c>
      <c r="J7032" t="str">
        <f>IFERROR(INDEX(tProdutos[Classe],MATCH(tItens[[#This Row],[Produto]],tProdutos[Produto],0)),"produto não cadastrado")</f>
        <v>DISPUTADO</v>
      </c>
      <c r="K7032" s="12">
        <f>tItens[[#This Row],[Qtd]]*tItens[[#This Row],[Vlr unit]]</f>
        <v>1780</v>
      </c>
      <c r="L7032" s="6">
        <f>IFERROR(IF(INDEX(tProdutos[Desconto homologado],MATCH(tItens[[#This Row],[Produto]],tProdutos[Produto],0))="",DescontoPadrao,INDEX(tProdutos[Desconto homologado],MATCH(tItens[[#This Row],[Produto]],tProdutos[Produto],0))),DescontoPadrao)</f>
        <v>0.330646209370899</v>
      </c>
      <c r="M7032" s="12">
        <f>tItens[[#This Row],[Valor]]*(1-tItens[[#This Row],[Desconto]])</f>
        <v>1191.4497473197996</v>
      </c>
      <c r="N7032" t="str">
        <f>IFERROR(INDEX(tProdutos[Foco],MATCH(tItens[[#This Row],[Produto]],tProdutos[Produto],0)),"Não")</f>
        <v>Não</v>
      </c>
      <c r="O7032" t="str">
        <f>IFERROR(INDEX(tEditais[SRP],MATCH(tItens[[#This Row],[Edital]],tEditais[Edital],0)),"Não")</f>
        <v>Não</v>
      </c>
      <c r="P7032" s="4">
        <f>IF(COUNTIFS(INDEX(tItens[Edital],1):tItens[[#This Row],[Edital]],tItens[[#This Row],[Edital]],INDEX(tItens[Produto],1):tItens[[#This Row],[Produto]],tItens[[#This Row],[Produto]])=1,1,0)</f>
        <v>0</v>
      </c>
    </row>
    <row r="7033" spans="1:16" x14ac:dyDescent="0.25">
      <c r="A7033" t="s">
        <v>2452</v>
      </c>
      <c r="B7033">
        <v>8040088</v>
      </c>
      <c r="C7033" t="s">
        <v>9696</v>
      </c>
      <c r="D7033" t="s">
        <v>339</v>
      </c>
      <c r="E7033" s="13">
        <v>1000</v>
      </c>
      <c r="F7033" s="12">
        <v>1.31</v>
      </c>
      <c r="G7033" t="str">
        <f>IFERROR(INDEX(tEditais[Órgão],MATCH(tItens[[#This Row],[Edital]],tEditais[Edital],0)),"")</f>
        <v>MUNICIPIO DE ALTA FLORESTA D'OESTE</v>
      </c>
      <c r="H7033" t="str">
        <f>IFERROR(INDEX(tEditais[UF],MATCH(tItens[[#This Row],[Edital]],tEditais[Edital],0)),"")</f>
        <v>RO</v>
      </c>
      <c r="I7033" s="11">
        <f>IFERROR(INDEX(tEditais[Encerramento],MATCH(tItens[[#This Row],[Edital]],tEditais[Edital],0)),"")</f>
        <v>46309.416666666664</v>
      </c>
      <c r="J7033" t="str">
        <f>IFERROR(INDEX(tProdutos[Classe],MATCH(tItens[[#This Row],[Produto]],tProdutos[Produto],0)),"produto não cadastrado")</f>
        <v>FORA</v>
      </c>
      <c r="K7033" s="12">
        <f>tItens[[#This Row],[Qtd]]*tItens[[#This Row],[Vlr unit]]</f>
        <v>1310</v>
      </c>
      <c r="L7033" s="6">
        <f>IFERROR(IF(INDEX(tProdutos[Desconto homologado],MATCH(tItens[[#This Row],[Produto]],tProdutos[Produto],0))="",DescontoPadrao,INDEX(tProdutos[Desconto homologado],MATCH(tItens[[#This Row],[Produto]],tProdutos[Produto],0))),DescontoPadrao)</f>
        <v>0.35388629091804102</v>
      </c>
      <c r="M7033" s="12">
        <f>tItens[[#This Row],[Valor]]*(1-tItens[[#This Row],[Desconto]])</f>
        <v>846.40895889736623</v>
      </c>
      <c r="N7033" t="str">
        <f>IFERROR(INDEX(tProdutos[Foco],MATCH(tItens[[#This Row],[Produto]],tProdutos[Produto],0)),"Não")</f>
        <v>Não</v>
      </c>
      <c r="O7033" t="str">
        <f>IFERROR(INDEX(tEditais[SRP],MATCH(tItens[[#This Row],[Edital]],tEditais[Edital],0)),"Não")</f>
        <v>Não</v>
      </c>
      <c r="P7033" s="4">
        <f>IF(COUNTIFS(INDEX(tItens[Edital],1):tItens[[#This Row],[Edital]],tItens[[#This Row],[Edital]],INDEX(tItens[Produto],1):tItens[[#This Row],[Produto]],tItens[[#This Row],[Produto]])=1,1,0)</f>
        <v>1</v>
      </c>
    </row>
    <row r="7034" spans="1:16" x14ac:dyDescent="0.25">
      <c r="A7034" t="s">
        <v>2452</v>
      </c>
      <c r="B7034">
        <v>8040089</v>
      </c>
      <c r="C7034" t="s">
        <v>9697</v>
      </c>
      <c r="D7034" t="s">
        <v>339</v>
      </c>
      <c r="E7034" s="13">
        <v>3000</v>
      </c>
      <c r="F7034" s="12">
        <v>1.32</v>
      </c>
      <c r="G7034" t="str">
        <f>IFERROR(INDEX(tEditais[Órgão],MATCH(tItens[[#This Row],[Edital]],tEditais[Edital],0)),"")</f>
        <v>MUNICIPIO DE ALTA FLORESTA D'OESTE</v>
      </c>
      <c r="H7034" t="str">
        <f>IFERROR(INDEX(tEditais[UF],MATCH(tItens[[#This Row],[Edital]],tEditais[Edital],0)),"")</f>
        <v>RO</v>
      </c>
      <c r="I7034" s="11">
        <f>IFERROR(INDEX(tEditais[Encerramento],MATCH(tItens[[#This Row],[Edital]],tEditais[Edital],0)),"")</f>
        <v>46309.416666666664</v>
      </c>
      <c r="J7034" t="str">
        <f>IFERROR(INDEX(tProdutos[Classe],MATCH(tItens[[#This Row],[Produto]],tProdutos[Produto],0)),"produto não cadastrado")</f>
        <v>FORA</v>
      </c>
      <c r="K7034" s="12">
        <f>tItens[[#This Row],[Qtd]]*tItens[[#This Row],[Vlr unit]]</f>
        <v>3960</v>
      </c>
      <c r="L7034" s="6">
        <f>IFERROR(IF(INDEX(tProdutos[Desconto homologado],MATCH(tItens[[#This Row],[Produto]],tProdutos[Produto],0))="",DescontoPadrao,INDEX(tProdutos[Desconto homologado],MATCH(tItens[[#This Row],[Produto]],tProdutos[Produto],0))),DescontoPadrao)</f>
        <v>0.35388629091804102</v>
      </c>
      <c r="M7034" s="12">
        <f>tItens[[#This Row],[Valor]]*(1-tItens[[#This Row],[Desconto]])</f>
        <v>2558.6102879645578</v>
      </c>
      <c r="N7034" t="str">
        <f>IFERROR(INDEX(tProdutos[Foco],MATCH(tItens[[#This Row],[Produto]],tProdutos[Produto],0)),"Não")</f>
        <v>Não</v>
      </c>
      <c r="O7034" t="str">
        <f>IFERROR(INDEX(tEditais[SRP],MATCH(tItens[[#This Row],[Edital]],tEditais[Edital],0)),"Não")</f>
        <v>Não</v>
      </c>
      <c r="P7034" s="4">
        <f>IF(COUNTIFS(INDEX(tItens[Edital],1):tItens[[#This Row],[Edital]],tItens[[#This Row],[Edital]],INDEX(tItens[Produto],1):tItens[[#This Row],[Produto]],tItens[[#This Row],[Produto]])=1,1,0)</f>
        <v>0</v>
      </c>
    </row>
    <row r="7035" spans="1:16" x14ac:dyDescent="0.25">
      <c r="A7035" t="s">
        <v>2452</v>
      </c>
      <c r="B7035">
        <v>8040090</v>
      </c>
      <c r="C7035" t="s">
        <v>9698</v>
      </c>
      <c r="D7035" t="s">
        <v>339</v>
      </c>
      <c r="E7035" s="13">
        <v>5000</v>
      </c>
      <c r="F7035" s="12">
        <v>1.21</v>
      </c>
      <c r="G7035" t="str">
        <f>IFERROR(INDEX(tEditais[Órgão],MATCH(tItens[[#This Row],[Edital]],tEditais[Edital],0)),"")</f>
        <v>MUNICIPIO DE ALTA FLORESTA D'OESTE</v>
      </c>
      <c r="H7035" t="str">
        <f>IFERROR(INDEX(tEditais[UF],MATCH(tItens[[#This Row],[Edital]],tEditais[Edital],0)),"")</f>
        <v>RO</v>
      </c>
      <c r="I7035" s="11">
        <f>IFERROR(INDEX(tEditais[Encerramento],MATCH(tItens[[#This Row],[Edital]],tEditais[Edital],0)),"")</f>
        <v>46309.416666666664</v>
      </c>
      <c r="J7035" t="str">
        <f>IFERROR(INDEX(tProdutos[Classe],MATCH(tItens[[#This Row],[Produto]],tProdutos[Produto],0)),"produto não cadastrado")</f>
        <v>FORA</v>
      </c>
      <c r="K7035" s="12">
        <f>tItens[[#This Row],[Qtd]]*tItens[[#This Row],[Vlr unit]]</f>
        <v>6050</v>
      </c>
      <c r="L7035" s="6">
        <f>IFERROR(IF(INDEX(tProdutos[Desconto homologado],MATCH(tItens[[#This Row],[Produto]],tProdutos[Produto],0))="",DescontoPadrao,INDEX(tProdutos[Desconto homologado],MATCH(tItens[[#This Row],[Produto]],tProdutos[Produto],0))),DescontoPadrao)</f>
        <v>0.35388629091804102</v>
      </c>
      <c r="M7035" s="12">
        <f>tItens[[#This Row],[Valor]]*(1-tItens[[#This Row],[Desconto]])</f>
        <v>3908.9879399458518</v>
      </c>
      <c r="N7035" t="str">
        <f>IFERROR(INDEX(tProdutos[Foco],MATCH(tItens[[#This Row],[Produto]],tProdutos[Produto],0)),"Não")</f>
        <v>Não</v>
      </c>
      <c r="O7035" t="str">
        <f>IFERROR(INDEX(tEditais[SRP],MATCH(tItens[[#This Row],[Edital]],tEditais[Edital],0)),"Não")</f>
        <v>Não</v>
      </c>
      <c r="P7035" s="4">
        <f>IF(COUNTIFS(INDEX(tItens[Edital],1):tItens[[#This Row],[Edital]],tItens[[#This Row],[Edital]],INDEX(tItens[Produto],1):tItens[[#This Row],[Produto]],tItens[[#This Row],[Produto]])=1,1,0)</f>
        <v>0</v>
      </c>
    </row>
    <row r="7036" spans="1:16" x14ac:dyDescent="0.25">
      <c r="A7036" t="s">
        <v>2452</v>
      </c>
      <c r="B7036">
        <v>8040091</v>
      </c>
      <c r="C7036" t="s">
        <v>9699</v>
      </c>
      <c r="D7036" t="s">
        <v>339</v>
      </c>
      <c r="E7036" s="13">
        <v>5000</v>
      </c>
      <c r="F7036" s="12">
        <v>1.68</v>
      </c>
      <c r="G7036" t="str">
        <f>IFERROR(INDEX(tEditais[Órgão],MATCH(tItens[[#This Row],[Edital]],tEditais[Edital],0)),"")</f>
        <v>MUNICIPIO DE ALTA FLORESTA D'OESTE</v>
      </c>
      <c r="H7036" t="str">
        <f>IFERROR(INDEX(tEditais[UF],MATCH(tItens[[#This Row],[Edital]],tEditais[Edital],0)),"")</f>
        <v>RO</v>
      </c>
      <c r="I7036" s="11">
        <f>IFERROR(INDEX(tEditais[Encerramento],MATCH(tItens[[#This Row],[Edital]],tEditais[Edital],0)),"")</f>
        <v>46309.416666666664</v>
      </c>
      <c r="J7036" t="str">
        <f>IFERROR(INDEX(tProdutos[Classe],MATCH(tItens[[#This Row],[Produto]],tProdutos[Produto],0)),"produto não cadastrado")</f>
        <v>FORA</v>
      </c>
      <c r="K7036" s="12">
        <f>tItens[[#This Row],[Qtd]]*tItens[[#This Row],[Vlr unit]]</f>
        <v>8400</v>
      </c>
      <c r="L7036" s="6">
        <f>IFERROR(IF(INDEX(tProdutos[Desconto homologado],MATCH(tItens[[#This Row],[Produto]],tProdutos[Produto],0))="",DescontoPadrao,INDEX(tProdutos[Desconto homologado],MATCH(tItens[[#This Row],[Produto]],tProdutos[Produto],0))),DescontoPadrao)</f>
        <v>0.35388629091804102</v>
      </c>
      <c r="M7036" s="12">
        <f>tItens[[#This Row],[Valor]]*(1-tItens[[#This Row],[Desconto]])</f>
        <v>5427.355156288455</v>
      </c>
      <c r="N7036" t="str">
        <f>IFERROR(INDEX(tProdutos[Foco],MATCH(tItens[[#This Row],[Produto]],tProdutos[Produto],0)),"Não")</f>
        <v>Não</v>
      </c>
      <c r="O7036" t="str">
        <f>IFERROR(INDEX(tEditais[SRP],MATCH(tItens[[#This Row],[Edital]],tEditais[Edital],0)),"Não")</f>
        <v>Não</v>
      </c>
      <c r="P7036" s="4">
        <f>IF(COUNTIFS(INDEX(tItens[Edital],1):tItens[[#This Row],[Edital]],tItens[[#This Row],[Edital]],INDEX(tItens[Produto],1):tItens[[#This Row],[Produto]],tItens[[#This Row],[Produto]])=1,1,0)</f>
        <v>0</v>
      </c>
    </row>
    <row r="7037" spans="1:16" x14ac:dyDescent="0.25">
      <c r="A7037" t="s">
        <v>2452</v>
      </c>
      <c r="B7037">
        <v>8040093</v>
      </c>
      <c r="C7037" t="s">
        <v>9700</v>
      </c>
      <c r="D7037" t="s">
        <v>512</v>
      </c>
      <c r="E7037" s="13">
        <v>30</v>
      </c>
      <c r="F7037" s="12">
        <v>13.19</v>
      </c>
      <c r="G7037" t="str">
        <f>IFERROR(INDEX(tEditais[Órgão],MATCH(tItens[[#This Row],[Edital]],tEditais[Edital],0)),"")</f>
        <v>MUNICIPIO DE ALTA FLORESTA D'OESTE</v>
      </c>
      <c r="H7037" t="str">
        <f>IFERROR(INDEX(tEditais[UF],MATCH(tItens[[#This Row],[Edital]],tEditais[Edital],0)),"")</f>
        <v>RO</v>
      </c>
      <c r="I7037" s="11">
        <f>IFERROR(INDEX(tEditais[Encerramento],MATCH(tItens[[#This Row],[Edital]],tEditais[Edital],0)),"")</f>
        <v>46309.416666666664</v>
      </c>
      <c r="J7037" t="str">
        <f>IFERROR(INDEX(tProdutos[Classe],MATCH(tItens[[#This Row],[Produto]],tProdutos[Produto],0)),"produto não cadastrado")</f>
        <v>FILA REBASE</v>
      </c>
      <c r="K7037" s="12">
        <f>tItens[[#This Row],[Qtd]]*tItens[[#This Row],[Vlr unit]]</f>
        <v>395.7</v>
      </c>
      <c r="L7037" s="6">
        <f>IFERROR(IF(INDEX(tProdutos[Desconto homologado],MATCH(tItens[[#This Row],[Produto]],tProdutos[Produto],0))="",DescontoPadrao,INDEX(tProdutos[Desconto homologado],MATCH(tItens[[#This Row],[Produto]],tProdutos[Produto],0))),DescontoPadrao)</f>
        <v>0.32579365079365102</v>
      </c>
      <c r="M7037" s="12">
        <f>tItens[[#This Row],[Valor]]*(1-tItens[[#This Row],[Desconto]])</f>
        <v>266.78345238095233</v>
      </c>
      <c r="N7037" t="str">
        <f>IFERROR(INDEX(tProdutos[Foco],MATCH(tItens[[#This Row],[Produto]],tProdutos[Produto],0)),"Não")</f>
        <v>Não</v>
      </c>
      <c r="O7037" t="str">
        <f>IFERROR(INDEX(tEditais[SRP],MATCH(tItens[[#This Row],[Edital]],tEditais[Edital],0)),"Não")</f>
        <v>Não</v>
      </c>
      <c r="P7037" s="4">
        <f>IF(COUNTIFS(INDEX(tItens[Edital],1):tItens[[#This Row],[Edital]],tItens[[#This Row],[Edital]],INDEX(tItens[Produto],1):tItens[[#This Row],[Produto]],tItens[[#This Row],[Produto]])=1,1,0)</f>
        <v>1</v>
      </c>
    </row>
    <row r="7038" spans="1:16" x14ac:dyDescent="0.25">
      <c r="A7038" t="s">
        <v>2452</v>
      </c>
      <c r="B7038">
        <v>8040094</v>
      </c>
      <c r="C7038" t="s">
        <v>9701</v>
      </c>
      <c r="D7038" t="s">
        <v>512</v>
      </c>
      <c r="E7038" s="13">
        <v>30</v>
      </c>
      <c r="F7038" s="12">
        <v>13.8</v>
      </c>
      <c r="G7038" t="str">
        <f>IFERROR(INDEX(tEditais[Órgão],MATCH(tItens[[#This Row],[Edital]],tEditais[Edital],0)),"")</f>
        <v>MUNICIPIO DE ALTA FLORESTA D'OESTE</v>
      </c>
      <c r="H7038" t="str">
        <f>IFERROR(INDEX(tEditais[UF],MATCH(tItens[[#This Row],[Edital]],tEditais[Edital],0)),"")</f>
        <v>RO</v>
      </c>
      <c r="I7038" s="11">
        <f>IFERROR(INDEX(tEditais[Encerramento],MATCH(tItens[[#This Row],[Edital]],tEditais[Edital],0)),"")</f>
        <v>46309.416666666664</v>
      </c>
      <c r="J7038" t="str">
        <f>IFERROR(INDEX(tProdutos[Classe],MATCH(tItens[[#This Row],[Produto]],tProdutos[Produto],0)),"produto não cadastrado")</f>
        <v>FILA REBASE</v>
      </c>
      <c r="K7038" s="12">
        <f>tItens[[#This Row],[Qtd]]*tItens[[#This Row],[Vlr unit]]</f>
        <v>414</v>
      </c>
      <c r="L7038" s="6">
        <f>IFERROR(IF(INDEX(tProdutos[Desconto homologado],MATCH(tItens[[#This Row],[Produto]],tProdutos[Produto],0))="",DescontoPadrao,INDEX(tProdutos[Desconto homologado],MATCH(tItens[[#This Row],[Produto]],tProdutos[Produto],0))),DescontoPadrao)</f>
        <v>0.32579365079365102</v>
      </c>
      <c r="M7038" s="12">
        <f>tItens[[#This Row],[Valor]]*(1-tItens[[#This Row],[Desconto]])</f>
        <v>279.12142857142851</v>
      </c>
      <c r="N7038" t="str">
        <f>IFERROR(INDEX(tProdutos[Foco],MATCH(tItens[[#This Row],[Produto]],tProdutos[Produto],0)),"Não")</f>
        <v>Não</v>
      </c>
      <c r="O7038" t="str">
        <f>IFERROR(INDEX(tEditais[SRP],MATCH(tItens[[#This Row],[Edital]],tEditais[Edital],0)),"Não")</f>
        <v>Não</v>
      </c>
      <c r="P7038" s="4">
        <f>IF(COUNTIFS(INDEX(tItens[Edital],1):tItens[[#This Row],[Edital]],tItens[[#This Row],[Edital]],INDEX(tItens[Produto],1):tItens[[#This Row],[Produto]],tItens[[#This Row],[Produto]])=1,1,0)</f>
        <v>0</v>
      </c>
    </row>
    <row r="7039" spans="1:16" x14ac:dyDescent="0.25">
      <c r="A7039" t="s">
        <v>2452</v>
      </c>
      <c r="B7039">
        <v>8040095</v>
      </c>
      <c r="C7039" t="s">
        <v>9702</v>
      </c>
      <c r="D7039" t="s">
        <v>467</v>
      </c>
      <c r="E7039" s="13">
        <v>30</v>
      </c>
      <c r="F7039" s="12">
        <v>55.36</v>
      </c>
      <c r="G7039" t="str">
        <f>IFERROR(INDEX(tEditais[Órgão],MATCH(tItens[[#This Row],[Edital]],tEditais[Edital],0)),"")</f>
        <v>MUNICIPIO DE ALTA FLORESTA D'OESTE</v>
      </c>
      <c r="H7039" t="str">
        <f>IFERROR(INDEX(tEditais[UF],MATCH(tItens[[#This Row],[Edital]],tEditais[Edital],0)),"")</f>
        <v>RO</v>
      </c>
      <c r="I7039" s="11">
        <f>IFERROR(INDEX(tEditais[Encerramento],MATCH(tItens[[#This Row],[Edital]],tEditais[Edital],0)),"")</f>
        <v>46309.416666666664</v>
      </c>
      <c r="J7039" t="str">
        <f>IFERROR(INDEX(tProdutos[Classe],MATCH(tItens[[#This Row],[Produto]],tProdutos[Produto],0)),"produto não cadastrado")</f>
        <v>FILA REBASE</v>
      </c>
      <c r="K7039" s="12">
        <f>tItens[[#This Row],[Qtd]]*tItens[[#This Row],[Vlr unit]]</f>
        <v>1660.8</v>
      </c>
      <c r="L7039" s="6">
        <f>IFERROR(IF(INDEX(tProdutos[Desconto homologado],MATCH(tItens[[#This Row],[Produto]],tProdutos[Produto],0))="",DescontoPadrao,INDEX(tProdutos[Desconto homologado],MATCH(tItens[[#This Row],[Produto]],tProdutos[Produto],0))),DescontoPadrao)</f>
        <v>0.25007144898542499</v>
      </c>
      <c r="M7039" s="12">
        <f>tItens[[#This Row],[Valor]]*(1-tItens[[#This Row],[Desconto]])</f>
        <v>1245.4813375250062</v>
      </c>
      <c r="N7039" t="str">
        <f>IFERROR(INDEX(tProdutos[Foco],MATCH(tItens[[#This Row],[Produto]],tProdutos[Produto],0)),"Não")</f>
        <v>Não</v>
      </c>
      <c r="O7039" t="str">
        <f>IFERROR(INDEX(tEditais[SRP],MATCH(tItens[[#This Row],[Edital]],tEditais[Edital],0)),"Não")</f>
        <v>Não</v>
      </c>
      <c r="P7039" s="4">
        <f>IF(COUNTIFS(INDEX(tItens[Edital],1):tItens[[#This Row],[Edital]],tItens[[#This Row],[Edital]],INDEX(tItens[Produto],1):tItens[[#This Row],[Produto]],tItens[[#This Row],[Produto]])=1,1,0)</f>
        <v>1</v>
      </c>
    </row>
    <row r="7040" spans="1:16" x14ac:dyDescent="0.25">
      <c r="A7040" t="s">
        <v>2452</v>
      </c>
      <c r="B7040">
        <v>8040105</v>
      </c>
      <c r="C7040" t="s">
        <v>9703</v>
      </c>
      <c r="D7040" t="s">
        <v>411</v>
      </c>
      <c r="E7040" s="13">
        <v>1000</v>
      </c>
      <c r="F7040" s="12">
        <v>21.58</v>
      </c>
      <c r="G7040" t="str">
        <f>IFERROR(INDEX(tEditais[Órgão],MATCH(tItens[[#This Row],[Edital]],tEditais[Edital],0)),"")</f>
        <v>MUNICIPIO DE ALTA FLORESTA D'OESTE</v>
      </c>
      <c r="H7040" t="str">
        <f>IFERROR(INDEX(tEditais[UF],MATCH(tItens[[#This Row],[Edital]],tEditais[Edital],0)),"")</f>
        <v>RO</v>
      </c>
      <c r="I7040" s="11">
        <f>IFERROR(INDEX(tEditais[Encerramento],MATCH(tItens[[#This Row],[Edital]],tEditais[Edital],0)),"")</f>
        <v>46309.416666666664</v>
      </c>
      <c r="J7040" t="str">
        <f>IFERROR(INDEX(tProdutos[Classe],MATCH(tItens[[#This Row],[Produto]],tProdutos[Produto],0)),"produto não cadastrado")</f>
        <v>FORA</v>
      </c>
      <c r="K7040" s="12">
        <f>tItens[[#This Row],[Qtd]]*tItens[[#This Row],[Vlr unit]]</f>
        <v>21580</v>
      </c>
      <c r="L7040" s="6">
        <f>IFERROR(IF(INDEX(tProdutos[Desconto homologado],MATCH(tItens[[#This Row],[Produto]],tProdutos[Produto],0))="",DescontoPadrao,INDEX(tProdutos[Desconto homologado],MATCH(tItens[[#This Row],[Produto]],tProdutos[Produto],0))),DescontoPadrao)</f>
        <v>0.50029835957199398</v>
      </c>
      <c r="M7040" s="12">
        <f>tItens[[#This Row],[Valor]]*(1-tItens[[#This Row],[Desconto]])</f>
        <v>10783.561400436371</v>
      </c>
      <c r="N7040" t="str">
        <f>IFERROR(INDEX(tProdutos[Foco],MATCH(tItens[[#This Row],[Produto]],tProdutos[Produto],0)),"Não")</f>
        <v>Não</v>
      </c>
      <c r="O7040" t="str">
        <f>IFERROR(INDEX(tEditais[SRP],MATCH(tItens[[#This Row],[Edital]],tEditais[Edital],0)),"Não")</f>
        <v>Não</v>
      </c>
      <c r="P7040" s="4">
        <f>IF(COUNTIFS(INDEX(tItens[Edital],1):tItens[[#This Row],[Edital]],tItens[[#This Row],[Edital]],INDEX(tItens[Produto],1):tItens[[#This Row],[Produto]],tItens[[#This Row],[Produto]])=1,1,0)</f>
        <v>1</v>
      </c>
    </row>
    <row r="7041" spans="1:16" x14ac:dyDescent="0.25">
      <c r="A7041" t="s">
        <v>2452</v>
      </c>
      <c r="B7041">
        <v>8040106</v>
      </c>
      <c r="C7041" t="s">
        <v>9704</v>
      </c>
      <c r="D7041" t="s">
        <v>411</v>
      </c>
      <c r="E7041" s="13">
        <v>10000</v>
      </c>
      <c r="F7041" s="12">
        <v>2.16</v>
      </c>
      <c r="G7041" t="str">
        <f>IFERROR(INDEX(tEditais[Órgão],MATCH(tItens[[#This Row],[Edital]],tEditais[Edital],0)),"")</f>
        <v>MUNICIPIO DE ALTA FLORESTA D'OESTE</v>
      </c>
      <c r="H7041" t="str">
        <f>IFERROR(INDEX(tEditais[UF],MATCH(tItens[[#This Row],[Edital]],tEditais[Edital],0)),"")</f>
        <v>RO</v>
      </c>
      <c r="I7041" s="11">
        <f>IFERROR(INDEX(tEditais[Encerramento],MATCH(tItens[[#This Row],[Edital]],tEditais[Edital],0)),"")</f>
        <v>46309.416666666664</v>
      </c>
      <c r="J7041" t="str">
        <f>IFERROR(INDEX(tProdutos[Classe],MATCH(tItens[[#This Row],[Produto]],tProdutos[Produto],0)),"produto não cadastrado")</f>
        <v>FORA</v>
      </c>
      <c r="K7041" s="12">
        <f>tItens[[#This Row],[Qtd]]*tItens[[#This Row],[Vlr unit]]</f>
        <v>21600</v>
      </c>
      <c r="L7041" s="6">
        <f>IFERROR(IF(INDEX(tProdutos[Desconto homologado],MATCH(tItens[[#This Row],[Produto]],tProdutos[Produto],0))="",DescontoPadrao,INDEX(tProdutos[Desconto homologado],MATCH(tItens[[#This Row],[Produto]],tProdutos[Produto],0))),DescontoPadrao)</f>
        <v>0.50029835957199398</v>
      </c>
      <c r="M7041" s="12">
        <f>tItens[[#This Row],[Valor]]*(1-tItens[[#This Row],[Desconto]])</f>
        <v>10793.55543324493</v>
      </c>
      <c r="N7041" t="str">
        <f>IFERROR(INDEX(tProdutos[Foco],MATCH(tItens[[#This Row],[Produto]],tProdutos[Produto],0)),"Não")</f>
        <v>Não</v>
      </c>
      <c r="O7041" t="str">
        <f>IFERROR(INDEX(tEditais[SRP],MATCH(tItens[[#This Row],[Edital]],tEditais[Edital],0)),"Não")</f>
        <v>Não</v>
      </c>
      <c r="P7041" s="4">
        <f>IF(COUNTIFS(INDEX(tItens[Edital],1):tItens[[#This Row],[Edital]],tItens[[#This Row],[Edital]],INDEX(tItens[Produto],1):tItens[[#This Row],[Produto]],tItens[[#This Row],[Produto]])=1,1,0)</f>
        <v>0</v>
      </c>
    </row>
    <row r="7042" spans="1:16" x14ac:dyDescent="0.25">
      <c r="A7042" t="s">
        <v>2452</v>
      </c>
      <c r="B7042">
        <v>8040110</v>
      </c>
      <c r="C7042" t="s">
        <v>9705</v>
      </c>
      <c r="D7042" t="s">
        <v>104</v>
      </c>
      <c r="E7042" s="13">
        <v>1000</v>
      </c>
      <c r="F7042" s="12">
        <v>16.8</v>
      </c>
      <c r="G7042" t="str">
        <f>IFERROR(INDEX(tEditais[Órgão],MATCH(tItens[[#This Row],[Edital]],tEditais[Edital],0)),"")</f>
        <v>MUNICIPIO DE ALTA FLORESTA D'OESTE</v>
      </c>
      <c r="H7042" t="str">
        <f>IFERROR(INDEX(tEditais[UF],MATCH(tItens[[#This Row],[Edital]],tEditais[Edital],0)),"")</f>
        <v>RO</v>
      </c>
      <c r="I7042" s="11">
        <f>IFERROR(INDEX(tEditais[Encerramento],MATCH(tItens[[#This Row],[Edital]],tEditais[Edital],0)),"")</f>
        <v>46309.416666666664</v>
      </c>
      <c r="J7042" t="str">
        <f>IFERROR(INDEX(tProdutos[Classe],MATCH(tItens[[#This Row],[Produto]],tProdutos[Produto],0)),"produto não cadastrado")</f>
        <v>DISPUTADO</v>
      </c>
      <c r="K7042" s="12">
        <f>tItens[[#This Row],[Qtd]]*tItens[[#This Row],[Vlr unit]]</f>
        <v>16800</v>
      </c>
      <c r="L7042" s="6">
        <f>IFERROR(IF(INDEX(tProdutos[Desconto homologado],MATCH(tItens[[#This Row],[Produto]],tProdutos[Produto],0))="",DescontoPadrao,INDEX(tProdutos[Desconto homologado],MATCH(tItens[[#This Row],[Produto]],tProdutos[Produto],0))),DescontoPadrao)</f>
        <v>0.51</v>
      </c>
      <c r="M7042" s="12">
        <f>tItens[[#This Row],[Valor]]*(1-tItens[[#This Row],[Desconto]])</f>
        <v>8232</v>
      </c>
      <c r="N7042" t="str">
        <f>IFERROR(INDEX(tProdutos[Foco],MATCH(tItens[[#This Row],[Produto]],tProdutos[Produto],0)),"Não")</f>
        <v>Sim</v>
      </c>
      <c r="O7042" t="str">
        <f>IFERROR(INDEX(tEditais[SRP],MATCH(tItens[[#This Row],[Edital]],tEditais[Edital],0)),"Não")</f>
        <v>Não</v>
      </c>
      <c r="P7042" s="4">
        <f>IF(COUNTIFS(INDEX(tItens[Edital],1):tItens[[#This Row],[Edital]],tItens[[#This Row],[Edital]],INDEX(tItens[Produto],1):tItens[[#This Row],[Produto]],tItens[[#This Row],[Produto]])=1,1,0)</f>
        <v>1</v>
      </c>
    </row>
    <row r="7043" spans="1:16" x14ac:dyDescent="0.25">
      <c r="A7043" t="s">
        <v>2452</v>
      </c>
      <c r="B7043">
        <v>8040111</v>
      </c>
      <c r="C7043" t="s">
        <v>9706</v>
      </c>
      <c r="D7043" t="s">
        <v>411</v>
      </c>
      <c r="E7043" s="13">
        <v>200</v>
      </c>
      <c r="F7043" s="12">
        <v>7.81</v>
      </c>
      <c r="G7043" t="str">
        <f>IFERROR(INDEX(tEditais[Órgão],MATCH(tItens[[#This Row],[Edital]],tEditais[Edital],0)),"")</f>
        <v>MUNICIPIO DE ALTA FLORESTA D'OESTE</v>
      </c>
      <c r="H7043" t="str">
        <f>IFERROR(INDEX(tEditais[UF],MATCH(tItens[[#This Row],[Edital]],tEditais[Edital],0)),"")</f>
        <v>RO</v>
      </c>
      <c r="I7043" s="11">
        <f>IFERROR(INDEX(tEditais[Encerramento],MATCH(tItens[[#This Row],[Edital]],tEditais[Edital],0)),"")</f>
        <v>46309.416666666664</v>
      </c>
      <c r="J7043" t="str">
        <f>IFERROR(INDEX(tProdutos[Classe],MATCH(tItens[[#This Row],[Produto]],tProdutos[Produto],0)),"produto não cadastrado")</f>
        <v>FORA</v>
      </c>
      <c r="K7043" s="12">
        <f>tItens[[#This Row],[Qtd]]*tItens[[#This Row],[Vlr unit]]</f>
        <v>1562</v>
      </c>
      <c r="L7043" s="6">
        <f>IFERROR(IF(INDEX(tProdutos[Desconto homologado],MATCH(tItens[[#This Row],[Produto]],tProdutos[Produto],0))="",DescontoPadrao,INDEX(tProdutos[Desconto homologado],MATCH(tItens[[#This Row],[Produto]],tProdutos[Produto],0))),DescontoPadrao)</f>
        <v>0.50029835957199398</v>
      </c>
      <c r="M7043" s="12">
        <f>tItens[[#This Row],[Valor]]*(1-tItens[[#This Row],[Desconto]])</f>
        <v>780.5339623485454</v>
      </c>
      <c r="N7043" t="str">
        <f>IFERROR(INDEX(tProdutos[Foco],MATCH(tItens[[#This Row],[Produto]],tProdutos[Produto],0)),"Não")</f>
        <v>Não</v>
      </c>
      <c r="O7043" t="str">
        <f>IFERROR(INDEX(tEditais[SRP],MATCH(tItens[[#This Row],[Edital]],tEditais[Edital],0)),"Não")</f>
        <v>Não</v>
      </c>
      <c r="P7043" s="4">
        <f>IF(COUNTIFS(INDEX(tItens[Edital],1):tItens[[#This Row],[Edital]],tItens[[#This Row],[Edital]],INDEX(tItens[Produto],1):tItens[[#This Row],[Produto]],tItens[[#This Row],[Produto]])=1,1,0)</f>
        <v>0</v>
      </c>
    </row>
    <row r="7044" spans="1:16" x14ac:dyDescent="0.25">
      <c r="A7044" t="s">
        <v>2452</v>
      </c>
      <c r="B7044">
        <v>8040112</v>
      </c>
      <c r="C7044" t="s">
        <v>9707</v>
      </c>
      <c r="D7044" t="s">
        <v>411</v>
      </c>
      <c r="E7044" s="13">
        <v>500</v>
      </c>
      <c r="F7044" s="12">
        <v>34.22</v>
      </c>
      <c r="G7044" t="str">
        <f>IFERROR(INDEX(tEditais[Órgão],MATCH(tItens[[#This Row],[Edital]],tEditais[Edital],0)),"")</f>
        <v>MUNICIPIO DE ALTA FLORESTA D'OESTE</v>
      </c>
      <c r="H7044" t="str">
        <f>IFERROR(INDEX(tEditais[UF],MATCH(tItens[[#This Row],[Edital]],tEditais[Edital],0)),"")</f>
        <v>RO</v>
      </c>
      <c r="I7044" s="11">
        <f>IFERROR(INDEX(tEditais[Encerramento],MATCH(tItens[[#This Row],[Edital]],tEditais[Edital],0)),"")</f>
        <v>46309.416666666664</v>
      </c>
      <c r="J7044" t="str">
        <f>IFERROR(INDEX(tProdutos[Classe],MATCH(tItens[[#This Row],[Produto]],tProdutos[Produto],0)),"produto não cadastrado")</f>
        <v>FORA</v>
      </c>
      <c r="K7044" s="12">
        <f>tItens[[#This Row],[Qtd]]*tItens[[#This Row],[Vlr unit]]</f>
        <v>17110</v>
      </c>
      <c r="L7044" s="6">
        <f>IFERROR(IF(INDEX(tProdutos[Desconto homologado],MATCH(tItens[[#This Row],[Produto]],tProdutos[Produto],0))="",DescontoPadrao,INDEX(tProdutos[Desconto homologado],MATCH(tItens[[#This Row],[Produto]],tProdutos[Produto],0))),DescontoPadrao)</f>
        <v>0.50029835957199398</v>
      </c>
      <c r="M7044" s="12">
        <f>tItens[[#This Row],[Valor]]*(1-tItens[[#This Row],[Desconto]])</f>
        <v>8549.8950677231824</v>
      </c>
      <c r="N7044" t="str">
        <f>IFERROR(INDEX(tProdutos[Foco],MATCH(tItens[[#This Row],[Produto]],tProdutos[Produto],0)),"Não")</f>
        <v>Não</v>
      </c>
      <c r="O7044" t="str">
        <f>IFERROR(INDEX(tEditais[SRP],MATCH(tItens[[#This Row],[Edital]],tEditais[Edital],0)),"Não")</f>
        <v>Não</v>
      </c>
      <c r="P7044" s="4">
        <f>IF(COUNTIFS(INDEX(tItens[Edital],1):tItens[[#This Row],[Edital]],tItens[[#This Row],[Edital]],INDEX(tItens[Produto],1):tItens[[#This Row],[Produto]],tItens[[#This Row],[Produto]])=1,1,0)</f>
        <v>0</v>
      </c>
    </row>
    <row r="7045" spans="1:16" x14ac:dyDescent="0.25">
      <c r="A7045" t="s">
        <v>2452</v>
      </c>
      <c r="B7045">
        <v>8040139</v>
      </c>
      <c r="C7045" t="s">
        <v>9708</v>
      </c>
      <c r="D7045" t="s">
        <v>56</v>
      </c>
      <c r="E7045" s="13">
        <v>30</v>
      </c>
      <c r="F7045" s="12">
        <v>42.41</v>
      </c>
      <c r="G7045" t="str">
        <f>IFERROR(INDEX(tEditais[Órgão],MATCH(tItens[[#This Row],[Edital]],tEditais[Edital],0)),"")</f>
        <v>MUNICIPIO DE ALTA FLORESTA D'OESTE</v>
      </c>
      <c r="H7045" t="str">
        <f>IFERROR(INDEX(tEditais[UF],MATCH(tItens[[#This Row],[Edital]],tEditais[Edital],0)),"")</f>
        <v>RO</v>
      </c>
      <c r="I7045" s="11">
        <f>IFERROR(INDEX(tEditais[Encerramento],MATCH(tItens[[#This Row],[Edital]],tEditais[Edital],0)),"")</f>
        <v>46309.416666666664</v>
      </c>
      <c r="J7045" t="str">
        <f>IFERROR(INDEX(tProdutos[Classe],MATCH(tItens[[#This Row],[Produto]],tProdutos[Produto],0)),"produto não cadastrado")</f>
        <v>NÚCLEO</v>
      </c>
      <c r="K7045" s="12">
        <f>tItens[[#This Row],[Qtd]]*tItens[[#This Row],[Vlr unit]]</f>
        <v>1272.3</v>
      </c>
      <c r="L7045" s="6">
        <f>IFERROR(IF(INDEX(tProdutos[Desconto homologado],MATCH(tItens[[#This Row],[Produto]],tProdutos[Produto],0))="",DescontoPadrao,INDEX(tProdutos[Desconto homologado],MATCH(tItens[[#This Row],[Produto]],tProdutos[Produto],0))),DescontoPadrao)</f>
        <v>0.34</v>
      </c>
      <c r="M7045" s="12">
        <f>tItens[[#This Row],[Valor]]*(1-tItens[[#This Row],[Desconto]])</f>
        <v>839.71799999999985</v>
      </c>
      <c r="N7045" t="str">
        <f>IFERROR(INDEX(tProdutos[Foco],MATCH(tItens[[#This Row],[Produto]],tProdutos[Produto],0)),"Não")</f>
        <v>Sim</v>
      </c>
      <c r="O7045" t="str">
        <f>IFERROR(INDEX(tEditais[SRP],MATCH(tItens[[#This Row],[Edital]],tEditais[Edital],0)),"Não")</f>
        <v>Não</v>
      </c>
      <c r="P7045" s="4">
        <f>IF(COUNTIFS(INDEX(tItens[Edital],1):tItens[[#This Row],[Edital]],tItens[[#This Row],[Edital]],INDEX(tItens[Produto],1):tItens[[#This Row],[Produto]],tItens[[#This Row],[Produto]])=1,1,0)</f>
        <v>1</v>
      </c>
    </row>
    <row r="7046" spans="1:16" x14ac:dyDescent="0.25">
      <c r="A7046" t="s">
        <v>2452</v>
      </c>
      <c r="B7046">
        <v>8040140</v>
      </c>
      <c r="C7046" t="s">
        <v>9709</v>
      </c>
      <c r="D7046" t="s">
        <v>56</v>
      </c>
      <c r="E7046" s="13">
        <v>30</v>
      </c>
      <c r="F7046" s="12">
        <v>42.47</v>
      </c>
      <c r="G7046" t="str">
        <f>IFERROR(INDEX(tEditais[Órgão],MATCH(tItens[[#This Row],[Edital]],tEditais[Edital],0)),"")</f>
        <v>MUNICIPIO DE ALTA FLORESTA D'OESTE</v>
      </c>
      <c r="H7046" t="str">
        <f>IFERROR(INDEX(tEditais[UF],MATCH(tItens[[#This Row],[Edital]],tEditais[Edital],0)),"")</f>
        <v>RO</v>
      </c>
      <c r="I7046" s="11">
        <f>IFERROR(INDEX(tEditais[Encerramento],MATCH(tItens[[#This Row],[Edital]],tEditais[Edital],0)),"")</f>
        <v>46309.416666666664</v>
      </c>
      <c r="J7046" t="str">
        <f>IFERROR(INDEX(tProdutos[Classe],MATCH(tItens[[#This Row],[Produto]],tProdutos[Produto],0)),"produto não cadastrado")</f>
        <v>NÚCLEO</v>
      </c>
      <c r="K7046" s="12">
        <f>tItens[[#This Row],[Qtd]]*tItens[[#This Row],[Vlr unit]]</f>
        <v>1274.0999999999999</v>
      </c>
      <c r="L7046" s="6">
        <f>IFERROR(IF(INDEX(tProdutos[Desconto homologado],MATCH(tItens[[#This Row],[Produto]],tProdutos[Produto],0))="",DescontoPadrao,INDEX(tProdutos[Desconto homologado],MATCH(tItens[[#This Row],[Produto]],tProdutos[Produto],0))),DescontoPadrao)</f>
        <v>0.34</v>
      </c>
      <c r="M7046" s="12">
        <f>tItens[[#This Row],[Valor]]*(1-tItens[[#This Row],[Desconto]])</f>
        <v>840.90599999999984</v>
      </c>
      <c r="N7046" t="str">
        <f>IFERROR(INDEX(tProdutos[Foco],MATCH(tItens[[#This Row],[Produto]],tProdutos[Produto],0)),"Não")</f>
        <v>Sim</v>
      </c>
      <c r="O7046" t="str">
        <f>IFERROR(INDEX(tEditais[SRP],MATCH(tItens[[#This Row],[Edital]],tEditais[Edital],0)),"Não")</f>
        <v>Não</v>
      </c>
      <c r="P7046" s="4">
        <f>IF(COUNTIFS(INDEX(tItens[Edital],1):tItens[[#This Row],[Edital]],tItens[[#This Row],[Edital]],INDEX(tItens[Produto],1):tItens[[#This Row],[Produto]],tItens[[#This Row],[Produto]])=1,1,0)</f>
        <v>0</v>
      </c>
    </row>
    <row r="7047" spans="1:16" x14ac:dyDescent="0.25">
      <c r="A7047" t="s">
        <v>2452</v>
      </c>
      <c r="B7047">
        <v>8040141</v>
      </c>
      <c r="C7047" t="s">
        <v>9710</v>
      </c>
      <c r="D7047" t="s">
        <v>56</v>
      </c>
      <c r="E7047" s="13">
        <v>30</v>
      </c>
      <c r="F7047" s="12">
        <v>44.67</v>
      </c>
      <c r="G7047" t="str">
        <f>IFERROR(INDEX(tEditais[Órgão],MATCH(tItens[[#This Row],[Edital]],tEditais[Edital],0)),"")</f>
        <v>MUNICIPIO DE ALTA FLORESTA D'OESTE</v>
      </c>
      <c r="H7047" t="str">
        <f>IFERROR(INDEX(tEditais[UF],MATCH(tItens[[#This Row],[Edital]],tEditais[Edital],0)),"")</f>
        <v>RO</v>
      </c>
      <c r="I7047" s="11">
        <f>IFERROR(INDEX(tEditais[Encerramento],MATCH(tItens[[#This Row],[Edital]],tEditais[Edital],0)),"")</f>
        <v>46309.416666666664</v>
      </c>
      <c r="J7047" t="str">
        <f>IFERROR(INDEX(tProdutos[Classe],MATCH(tItens[[#This Row],[Produto]],tProdutos[Produto],0)),"produto não cadastrado")</f>
        <v>NÚCLEO</v>
      </c>
      <c r="K7047" s="12">
        <f>tItens[[#This Row],[Qtd]]*tItens[[#This Row],[Vlr unit]]</f>
        <v>1340.1000000000001</v>
      </c>
      <c r="L7047" s="6">
        <f>IFERROR(IF(INDEX(tProdutos[Desconto homologado],MATCH(tItens[[#This Row],[Produto]],tProdutos[Produto],0))="",DescontoPadrao,INDEX(tProdutos[Desconto homologado],MATCH(tItens[[#This Row],[Produto]],tProdutos[Produto],0))),DescontoPadrao)</f>
        <v>0.34</v>
      </c>
      <c r="M7047" s="12">
        <f>tItens[[#This Row],[Valor]]*(1-tItens[[#This Row],[Desconto]])</f>
        <v>884.46600000000001</v>
      </c>
      <c r="N7047" t="str">
        <f>IFERROR(INDEX(tProdutos[Foco],MATCH(tItens[[#This Row],[Produto]],tProdutos[Produto],0)),"Não")</f>
        <v>Sim</v>
      </c>
      <c r="O7047" t="str">
        <f>IFERROR(INDEX(tEditais[SRP],MATCH(tItens[[#This Row],[Edital]],tEditais[Edital],0)),"Não")</f>
        <v>Não</v>
      </c>
      <c r="P7047" s="4">
        <f>IF(COUNTIFS(INDEX(tItens[Edital],1):tItens[[#This Row],[Edital]],tItens[[#This Row],[Edital]],INDEX(tItens[Produto],1):tItens[[#This Row],[Produto]],tItens[[#This Row],[Produto]])=1,1,0)</f>
        <v>0</v>
      </c>
    </row>
    <row r="7048" spans="1:16" x14ac:dyDescent="0.25">
      <c r="A7048" t="s">
        <v>2452</v>
      </c>
      <c r="B7048">
        <v>8040142</v>
      </c>
      <c r="C7048" t="s">
        <v>9711</v>
      </c>
      <c r="D7048" t="s">
        <v>56</v>
      </c>
      <c r="E7048" s="13">
        <v>30</v>
      </c>
      <c r="F7048" s="12">
        <v>43.74</v>
      </c>
      <c r="G7048" t="str">
        <f>IFERROR(INDEX(tEditais[Órgão],MATCH(tItens[[#This Row],[Edital]],tEditais[Edital],0)),"")</f>
        <v>MUNICIPIO DE ALTA FLORESTA D'OESTE</v>
      </c>
      <c r="H7048" t="str">
        <f>IFERROR(INDEX(tEditais[UF],MATCH(tItens[[#This Row],[Edital]],tEditais[Edital],0)),"")</f>
        <v>RO</v>
      </c>
      <c r="I7048" s="11">
        <f>IFERROR(INDEX(tEditais[Encerramento],MATCH(tItens[[#This Row],[Edital]],tEditais[Edital],0)),"")</f>
        <v>46309.416666666664</v>
      </c>
      <c r="J7048" t="str">
        <f>IFERROR(INDEX(tProdutos[Classe],MATCH(tItens[[#This Row],[Produto]],tProdutos[Produto],0)),"produto não cadastrado")</f>
        <v>NÚCLEO</v>
      </c>
      <c r="K7048" s="12">
        <f>tItens[[#This Row],[Qtd]]*tItens[[#This Row],[Vlr unit]]</f>
        <v>1312.2</v>
      </c>
      <c r="L7048" s="6">
        <f>IFERROR(IF(INDEX(tProdutos[Desconto homologado],MATCH(tItens[[#This Row],[Produto]],tProdutos[Produto],0))="",DescontoPadrao,INDEX(tProdutos[Desconto homologado],MATCH(tItens[[#This Row],[Produto]],tProdutos[Produto],0))),DescontoPadrao)</f>
        <v>0.34</v>
      </c>
      <c r="M7048" s="12">
        <f>tItens[[#This Row],[Valor]]*(1-tItens[[#This Row],[Desconto]])</f>
        <v>866.05199999999991</v>
      </c>
      <c r="N7048" t="str">
        <f>IFERROR(INDEX(tProdutos[Foco],MATCH(tItens[[#This Row],[Produto]],tProdutos[Produto],0)),"Não")</f>
        <v>Sim</v>
      </c>
      <c r="O7048" t="str">
        <f>IFERROR(INDEX(tEditais[SRP],MATCH(tItens[[#This Row],[Edital]],tEditais[Edital],0)),"Não")</f>
        <v>Não</v>
      </c>
      <c r="P7048" s="4">
        <f>IF(COUNTIFS(INDEX(tItens[Edital],1):tItens[[#This Row],[Edital]],tItens[[#This Row],[Edital]],INDEX(tItens[Produto],1):tItens[[#This Row],[Produto]],tItens[[#This Row],[Produto]])=1,1,0)</f>
        <v>0</v>
      </c>
    </row>
    <row r="7049" spans="1:16" x14ac:dyDescent="0.25">
      <c r="A7049" t="s">
        <v>2452</v>
      </c>
      <c r="B7049">
        <v>8040143</v>
      </c>
      <c r="C7049" t="s">
        <v>9712</v>
      </c>
      <c r="D7049" t="s">
        <v>56</v>
      </c>
      <c r="E7049" s="13">
        <v>35</v>
      </c>
      <c r="F7049" s="12">
        <v>44.17</v>
      </c>
      <c r="G7049" t="str">
        <f>IFERROR(INDEX(tEditais[Órgão],MATCH(tItens[[#This Row],[Edital]],tEditais[Edital],0)),"")</f>
        <v>MUNICIPIO DE ALTA FLORESTA D'OESTE</v>
      </c>
      <c r="H7049" t="str">
        <f>IFERROR(INDEX(tEditais[UF],MATCH(tItens[[#This Row],[Edital]],tEditais[Edital],0)),"")</f>
        <v>RO</v>
      </c>
      <c r="I7049" s="11">
        <f>IFERROR(INDEX(tEditais[Encerramento],MATCH(tItens[[#This Row],[Edital]],tEditais[Edital],0)),"")</f>
        <v>46309.416666666664</v>
      </c>
      <c r="J7049" t="str">
        <f>IFERROR(INDEX(tProdutos[Classe],MATCH(tItens[[#This Row],[Produto]],tProdutos[Produto],0)),"produto não cadastrado")</f>
        <v>NÚCLEO</v>
      </c>
      <c r="K7049" s="12">
        <f>tItens[[#This Row],[Qtd]]*tItens[[#This Row],[Vlr unit]]</f>
        <v>1545.95</v>
      </c>
      <c r="L7049" s="6">
        <f>IFERROR(IF(INDEX(tProdutos[Desconto homologado],MATCH(tItens[[#This Row],[Produto]],tProdutos[Produto],0))="",DescontoPadrao,INDEX(tProdutos[Desconto homologado],MATCH(tItens[[#This Row],[Produto]],tProdutos[Produto],0))),DescontoPadrao)</f>
        <v>0.34</v>
      </c>
      <c r="M7049" s="12">
        <f>tItens[[#This Row],[Valor]]*(1-tItens[[#This Row],[Desconto]])</f>
        <v>1020.3269999999999</v>
      </c>
      <c r="N7049" t="str">
        <f>IFERROR(INDEX(tProdutos[Foco],MATCH(tItens[[#This Row],[Produto]],tProdutos[Produto],0)),"Não")</f>
        <v>Sim</v>
      </c>
      <c r="O7049" t="str">
        <f>IFERROR(INDEX(tEditais[SRP],MATCH(tItens[[#This Row],[Edital]],tEditais[Edital],0)),"Não")</f>
        <v>Não</v>
      </c>
      <c r="P7049" s="4">
        <f>IF(COUNTIFS(INDEX(tItens[Edital],1):tItens[[#This Row],[Edital]],tItens[[#This Row],[Edital]],INDEX(tItens[Produto],1):tItens[[#This Row],[Produto]],tItens[[#This Row],[Produto]])=1,1,0)</f>
        <v>0</v>
      </c>
    </row>
    <row r="7050" spans="1:16" x14ac:dyDescent="0.25">
      <c r="A7050" t="s">
        <v>2452</v>
      </c>
      <c r="B7050">
        <v>8040144</v>
      </c>
      <c r="C7050" t="s">
        <v>9713</v>
      </c>
      <c r="D7050" t="s">
        <v>56</v>
      </c>
      <c r="E7050" s="13">
        <v>70</v>
      </c>
      <c r="F7050" s="12">
        <v>43.05</v>
      </c>
      <c r="G7050" t="str">
        <f>IFERROR(INDEX(tEditais[Órgão],MATCH(tItens[[#This Row],[Edital]],tEditais[Edital],0)),"")</f>
        <v>MUNICIPIO DE ALTA FLORESTA D'OESTE</v>
      </c>
      <c r="H7050" t="str">
        <f>IFERROR(INDEX(tEditais[UF],MATCH(tItens[[#This Row],[Edital]],tEditais[Edital],0)),"")</f>
        <v>RO</v>
      </c>
      <c r="I7050" s="11">
        <f>IFERROR(INDEX(tEditais[Encerramento],MATCH(tItens[[#This Row],[Edital]],tEditais[Edital],0)),"")</f>
        <v>46309.416666666664</v>
      </c>
      <c r="J7050" t="str">
        <f>IFERROR(INDEX(tProdutos[Classe],MATCH(tItens[[#This Row],[Produto]],tProdutos[Produto],0)),"produto não cadastrado")</f>
        <v>NÚCLEO</v>
      </c>
      <c r="K7050" s="12">
        <f>tItens[[#This Row],[Qtd]]*tItens[[#This Row],[Vlr unit]]</f>
        <v>3013.5</v>
      </c>
      <c r="L7050" s="6">
        <f>IFERROR(IF(INDEX(tProdutos[Desconto homologado],MATCH(tItens[[#This Row],[Produto]],tProdutos[Produto],0))="",DescontoPadrao,INDEX(tProdutos[Desconto homologado],MATCH(tItens[[#This Row],[Produto]],tProdutos[Produto],0))),DescontoPadrao)</f>
        <v>0.34</v>
      </c>
      <c r="M7050" s="12">
        <f>tItens[[#This Row],[Valor]]*(1-tItens[[#This Row],[Desconto]])</f>
        <v>1988.9099999999999</v>
      </c>
      <c r="N7050" t="str">
        <f>IFERROR(INDEX(tProdutos[Foco],MATCH(tItens[[#This Row],[Produto]],tProdutos[Produto],0)),"Não")</f>
        <v>Sim</v>
      </c>
      <c r="O7050" t="str">
        <f>IFERROR(INDEX(tEditais[SRP],MATCH(tItens[[#This Row],[Edital]],tEditais[Edital],0)),"Não")</f>
        <v>Não</v>
      </c>
      <c r="P7050" s="4">
        <f>IF(COUNTIFS(INDEX(tItens[Edital],1):tItens[[#This Row],[Edital]],tItens[[#This Row],[Edital]],INDEX(tItens[Produto],1):tItens[[#This Row],[Produto]],tItens[[#This Row],[Produto]])=1,1,0)</f>
        <v>0</v>
      </c>
    </row>
    <row r="7051" spans="1:16" x14ac:dyDescent="0.25">
      <c r="A7051" t="s">
        <v>2452</v>
      </c>
      <c r="B7051">
        <v>8040146</v>
      </c>
      <c r="C7051" t="s">
        <v>9714</v>
      </c>
      <c r="D7051" t="s">
        <v>277</v>
      </c>
      <c r="E7051" s="13">
        <v>2000</v>
      </c>
      <c r="F7051" s="12">
        <v>25.1</v>
      </c>
      <c r="G7051" t="str">
        <f>IFERROR(INDEX(tEditais[Órgão],MATCH(tItens[[#This Row],[Edital]],tEditais[Edital],0)),"")</f>
        <v>MUNICIPIO DE ALTA FLORESTA D'OESTE</v>
      </c>
      <c r="H7051" t="str">
        <f>IFERROR(INDEX(tEditais[UF],MATCH(tItens[[#This Row],[Edital]],tEditais[Edital],0)),"")</f>
        <v>RO</v>
      </c>
      <c r="I7051" s="11">
        <f>IFERROR(INDEX(tEditais[Encerramento],MATCH(tItens[[#This Row],[Edital]],tEditais[Edital],0)),"")</f>
        <v>46309.416666666664</v>
      </c>
      <c r="J7051" t="str">
        <f>IFERROR(INDEX(tProdutos[Classe],MATCH(tItens[[#This Row],[Produto]],tProdutos[Produto],0)),"produto não cadastrado")</f>
        <v>DISPUTADO</v>
      </c>
      <c r="K7051" s="12">
        <f>tItens[[#This Row],[Qtd]]*tItens[[#This Row],[Vlr unit]]</f>
        <v>50200</v>
      </c>
      <c r="L7051" s="6">
        <f>IFERROR(IF(INDEX(tProdutos[Desconto homologado],MATCH(tItens[[#This Row],[Produto]],tProdutos[Produto],0))="",DescontoPadrao,INDEX(tProdutos[Desconto homologado],MATCH(tItens[[#This Row],[Produto]],tProdutos[Produto],0))),DescontoPadrao)</f>
        <v>0.50460666194188497</v>
      </c>
      <c r="M7051" s="12">
        <f>tItens[[#This Row],[Valor]]*(1-tItens[[#This Row],[Desconto]])</f>
        <v>24868.745570517374</v>
      </c>
      <c r="N7051" t="str">
        <f>IFERROR(INDEX(tProdutos[Foco],MATCH(tItens[[#This Row],[Produto]],tProdutos[Produto],0)),"Não")</f>
        <v>Não</v>
      </c>
      <c r="O7051" t="str">
        <f>IFERROR(INDEX(tEditais[SRP],MATCH(tItens[[#This Row],[Edital]],tEditais[Edital],0)),"Não")</f>
        <v>Não</v>
      </c>
      <c r="P7051" s="4">
        <f>IF(COUNTIFS(INDEX(tItens[Edital],1):tItens[[#This Row],[Edital]],tItens[[#This Row],[Edital]],INDEX(tItens[Produto],1):tItens[[#This Row],[Produto]],tItens[[#This Row],[Produto]])=1,1,0)</f>
        <v>1</v>
      </c>
    </row>
    <row r="7052" spans="1:16" x14ac:dyDescent="0.25">
      <c r="A7052" t="s">
        <v>2452</v>
      </c>
      <c r="B7052">
        <v>8040147</v>
      </c>
      <c r="C7052" t="s">
        <v>9715</v>
      </c>
      <c r="D7052" t="s">
        <v>267</v>
      </c>
      <c r="E7052" s="13">
        <v>1000</v>
      </c>
      <c r="F7052" s="12">
        <v>2.02</v>
      </c>
      <c r="G7052" t="str">
        <f>IFERROR(INDEX(tEditais[Órgão],MATCH(tItens[[#This Row],[Edital]],tEditais[Edital],0)),"")</f>
        <v>MUNICIPIO DE ALTA FLORESTA D'OESTE</v>
      </c>
      <c r="H7052" t="str">
        <f>IFERROR(INDEX(tEditais[UF],MATCH(tItens[[#This Row],[Edital]],tEditais[Edital],0)),"")</f>
        <v>RO</v>
      </c>
      <c r="I7052" s="11">
        <f>IFERROR(INDEX(tEditais[Encerramento],MATCH(tItens[[#This Row],[Edital]],tEditais[Edital],0)),"")</f>
        <v>46309.416666666664</v>
      </c>
      <c r="J7052" t="str">
        <f>IFERROR(INDEX(tProdutos[Classe],MATCH(tItens[[#This Row],[Produto]],tProdutos[Produto],0)),"produto não cadastrado")</f>
        <v>FORA</v>
      </c>
      <c r="K7052" s="12">
        <f>tItens[[#This Row],[Qtd]]*tItens[[#This Row],[Vlr unit]]</f>
        <v>2020</v>
      </c>
      <c r="L7052" s="6">
        <f>IFERROR(IF(INDEX(tProdutos[Desconto homologado],MATCH(tItens[[#This Row],[Produto]],tProdutos[Produto],0))="",DescontoPadrao,INDEX(tProdutos[Desconto homologado],MATCH(tItens[[#This Row],[Produto]],tProdutos[Produto],0))),DescontoPadrao)</f>
        <v>0.19963672657401599</v>
      </c>
      <c r="M7052" s="12">
        <f>tItens[[#This Row],[Valor]]*(1-tItens[[#This Row],[Desconto]])</f>
        <v>1616.7338123204877</v>
      </c>
      <c r="N7052" t="str">
        <f>IFERROR(INDEX(tProdutos[Foco],MATCH(tItens[[#This Row],[Produto]],tProdutos[Produto],0)),"Não")</f>
        <v>Não</v>
      </c>
      <c r="O7052" t="str">
        <f>IFERROR(INDEX(tEditais[SRP],MATCH(tItens[[#This Row],[Edital]],tEditais[Edital],0)),"Não")</f>
        <v>Não</v>
      </c>
      <c r="P7052" s="4">
        <f>IF(COUNTIFS(INDEX(tItens[Edital],1):tItens[[#This Row],[Edital]],tItens[[#This Row],[Edital]],INDEX(tItens[Produto],1):tItens[[#This Row],[Produto]],tItens[[#This Row],[Produto]])=1,1,0)</f>
        <v>1</v>
      </c>
    </row>
    <row r="7053" spans="1:16" x14ac:dyDescent="0.25">
      <c r="A7053" t="s">
        <v>2452</v>
      </c>
      <c r="B7053">
        <v>8040148</v>
      </c>
      <c r="C7053" t="s">
        <v>9716</v>
      </c>
      <c r="D7053" t="s">
        <v>267</v>
      </c>
      <c r="E7053" s="13">
        <v>100</v>
      </c>
      <c r="F7053" s="12">
        <v>23.33</v>
      </c>
      <c r="G7053" t="str">
        <f>IFERROR(INDEX(tEditais[Órgão],MATCH(tItens[[#This Row],[Edital]],tEditais[Edital],0)),"")</f>
        <v>MUNICIPIO DE ALTA FLORESTA D'OESTE</v>
      </c>
      <c r="H7053" t="str">
        <f>IFERROR(INDEX(tEditais[UF],MATCH(tItens[[#This Row],[Edital]],tEditais[Edital],0)),"")</f>
        <v>RO</v>
      </c>
      <c r="I7053" s="11">
        <f>IFERROR(INDEX(tEditais[Encerramento],MATCH(tItens[[#This Row],[Edital]],tEditais[Edital],0)),"")</f>
        <v>46309.416666666664</v>
      </c>
      <c r="J7053" t="str">
        <f>IFERROR(INDEX(tProdutos[Classe],MATCH(tItens[[#This Row],[Produto]],tProdutos[Produto],0)),"produto não cadastrado")</f>
        <v>FORA</v>
      </c>
      <c r="K7053" s="12">
        <f>tItens[[#This Row],[Qtd]]*tItens[[#This Row],[Vlr unit]]</f>
        <v>2333</v>
      </c>
      <c r="L7053" s="6">
        <f>IFERROR(IF(INDEX(tProdutos[Desconto homologado],MATCH(tItens[[#This Row],[Produto]],tProdutos[Produto],0))="",DescontoPadrao,INDEX(tProdutos[Desconto homologado],MATCH(tItens[[#This Row],[Produto]],tProdutos[Produto],0))),DescontoPadrao)</f>
        <v>0.19963672657401599</v>
      </c>
      <c r="M7053" s="12">
        <f>tItens[[#This Row],[Valor]]*(1-tItens[[#This Row],[Desconto]])</f>
        <v>1867.2475169028207</v>
      </c>
      <c r="N7053" t="str">
        <f>IFERROR(INDEX(tProdutos[Foco],MATCH(tItens[[#This Row],[Produto]],tProdutos[Produto],0)),"Não")</f>
        <v>Não</v>
      </c>
      <c r="O7053" t="str">
        <f>IFERROR(INDEX(tEditais[SRP],MATCH(tItens[[#This Row],[Edital]],tEditais[Edital],0)),"Não")</f>
        <v>Não</v>
      </c>
      <c r="P7053" s="4">
        <f>IF(COUNTIFS(INDEX(tItens[Edital],1):tItens[[#This Row],[Edital]],tItens[[#This Row],[Edital]],INDEX(tItens[Produto],1):tItens[[#This Row],[Produto]],tItens[[#This Row],[Produto]])=1,1,0)</f>
        <v>0</v>
      </c>
    </row>
    <row r="7054" spans="1:16" x14ac:dyDescent="0.25">
      <c r="A7054" t="s">
        <v>2452</v>
      </c>
      <c r="B7054">
        <v>8040149</v>
      </c>
      <c r="C7054" t="s">
        <v>9717</v>
      </c>
      <c r="D7054" t="s">
        <v>267</v>
      </c>
      <c r="E7054" s="13">
        <v>1000</v>
      </c>
      <c r="F7054" s="12">
        <v>8.59</v>
      </c>
      <c r="G7054" t="str">
        <f>IFERROR(INDEX(tEditais[Órgão],MATCH(tItens[[#This Row],[Edital]],tEditais[Edital],0)),"")</f>
        <v>MUNICIPIO DE ALTA FLORESTA D'OESTE</v>
      </c>
      <c r="H7054" t="str">
        <f>IFERROR(INDEX(tEditais[UF],MATCH(tItens[[#This Row],[Edital]],tEditais[Edital],0)),"")</f>
        <v>RO</v>
      </c>
      <c r="I7054" s="11">
        <f>IFERROR(INDEX(tEditais[Encerramento],MATCH(tItens[[#This Row],[Edital]],tEditais[Edital],0)),"")</f>
        <v>46309.416666666664</v>
      </c>
      <c r="J7054" t="str">
        <f>IFERROR(INDEX(tProdutos[Classe],MATCH(tItens[[#This Row],[Produto]],tProdutos[Produto],0)),"produto não cadastrado")</f>
        <v>FORA</v>
      </c>
      <c r="K7054" s="12">
        <f>tItens[[#This Row],[Qtd]]*tItens[[#This Row],[Vlr unit]]</f>
        <v>8590</v>
      </c>
      <c r="L7054" s="6">
        <f>IFERROR(IF(INDEX(tProdutos[Desconto homologado],MATCH(tItens[[#This Row],[Produto]],tProdutos[Produto],0))="",DescontoPadrao,INDEX(tProdutos[Desconto homologado],MATCH(tItens[[#This Row],[Produto]],tProdutos[Produto],0))),DescontoPadrao)</f>
        <v>0.19963672657401599</v>
      </c>
      <c r="M7054" s="12">
        <f>tItens[[#This Row],[Valor]]*(1-tItens[[#This Row],[Desconto]])</f>
        <v>6875.1205187292026</v>
      </c>
      <c r="N7054" t="str">
        <f>IFERROR(INDEX(tProdutos[Foco],MATCH(tItens[[#This Row],[Produto]],tProdutos[Produto],0)),"Não")</f>
        <v>Não</v>
      </c>
      <c r="O7054" t="str">
        <f>IFERROR(INDEX(tEditais[SRP],MATCH(tItens[[#This Row],[Edital]],tEditais[Edital],0)),"Não")</f>
        <v>Não</v>
      </c>
      <c r="P7054" s="4">
        <f>IF(COUNTIFS(INDEX(tItens[Edital],1):tItens[[#This Row],[Edital]],tItens[[#This Row],[Edital]],INDEX(tItens[Produto],1):tItens[[#This Row],[Produto]],tItens[[#This Row],[Produto]])=1,1,0)</f>
        <v>0</v>
      </c>
    </row>
    <row r="7055" spans="1:16" x14ac:dyDescent="0.25">
      <c r="A7055" t="s">
        <v>2452</v>
      </c>
      <c r="B7055">
        <v>8040150</v>
      </c>
      <c r="C7055" t="s">
        <v>9718</v>
      </c>
      <c r="D7055" t="s">
        <v>413</v>
      </c>
      <c r="E7055" s="13">
        <v>5000</v>
      </c>
      <c r="F7055" s="12">
        <v>2.21</v>
      </c>
      <c r="G7055" t="str">
        <f>IFERROR(INDEX(tEditais[Órgão],MATCH(tItens[[#This Row],[Edital]],tEditais[Edital],0)),"")</f>
        <v>MUNICIPIO DE ALTA FLORESTA D'OESTE</v>
      </c>
      <c r="H7055" t="str">
        <f>IFERROR(INDEX(tEditais[UF],MATCH(tItens[[#This Row],[Edital]],tEditais[Edital],0)),"")</f>
        <v>RO</v>
      </c>
      <c r="I7055" s="11">
        <f>IFERROR(INDEX(tEditais[Encerramento],MATCH(tItens[[#This Row],[Edital]],tEditais[Edital],0)),"")</f>
        <v>46309.416666666664</v>
      </c>
      <c r="J7055" t="str">
        <f>IFERROR(INDEX(tProdutos[Classe],MATCH(tItens[[#This Row],[Produto]],tProdutos[Produto],0)),"produto não cadastrado")</f>
        <v>FORA</v>
      </c>
      <c r="K7055" s="12">
        <f>tItens[[#This Row],[Qtd]]*tItens[[#This Row],[Vlr unit]]</f>
        <v>11050</v>
      </c>
      <c r="L7055" s="6">
        <f>IFERROR(IF(INDEX(tProdutos[Desconto homologado],MATCH(tItens[[#This Row],[Produto]],tProdutos[Produto],0))="",DescontoPadrao,INDEX(tProdutos[Desconto homologado],MATCH(tItens[[#This Row],[Produto]],tProdutos[Produto],0))),DescontoPadrao)</f>
        <v>0.477732793522267</v>
      </c>
      <c r="M7055" s="12">
        <f>tItens[[#This Row],[Valor]]*(1-tItens[[#This Row],[Desconto]])</f>
        <v>5771.0526315789493</v>
      </c>
      <c r="N7055" t="str">
        <f>IFERROR(INDEX(tProdutos[Foco],MATCH(tItens[[#This Row],[Produto]],tProdutos[Produto],0)),"Não")</f>
        <v>Não</v>
      </c>
      <c r="O7055" t="str">
        <f>IFERROR(INDEX(tEditais[SRP],MATCH(tItens[[#This Row],[Edital]],tEditais[Edital],0)),"Não")</f>
        <v>Não</v>
      </c>
      <c r="P7055" s="4">
        <f>IF(COUNTIFS(INDEX(tItens[Edital],1):tItens[[#This Row],[Edital]],tItens[[#This Row],[Edital]],INDEX(tItens[Produto],1):tItens[[#This Row],[Produto]],tItens[[#This Row],[Produto]])=1,1,0)</f>
        <v>1</v>
      </c>
    </row>
    <row r="7056" spans="1:16" x14ac:dyDescent="0.25">
      <c r="A7056" t="s">
        <v>2452</v>
      </c>
      <c r="B7056">
        <v>8040151</v>
      </c>
      <c r="C7056" t="s">
        <v>9719</v>
      </c>
      <c r="D7056" t="s">
        <v>413</v>
      </c>
      <c r="E7056" s="13">
        <v>6500</v>
      </c>
      <c r="F7056" s="12">
        <v>2.2799999999999998</v>
      </c>
      <c r="G7056" t="str">
        <f>IFERROR(INDEX(tEditais[Órgão],MATCH(tItens[[#This Row],[Edital]],tEditais[Edital],0)),"")</f>
        <v>MUNICIPIO DE ALTA FLORESTA D'OESTE</v>
      </c>
      <c r="H7056" t="str">
        <f>IFERROR(INDEX(tEditais[UF],MATCH(tItens[[#This Row],[Edital]],tEditais[Edital],0)),"")</f>
        <v>RO</v>
      </c>
      <c r="I7056" s="11">
        <f>IFERROR(INDEX(tEditais[Encerramento],MATCH(tItens[[#This Row],[Edital]],tEditais[Edital],0)),"")</f>
        <v>46309.416666666664</v>
      </c>
      <c r="J7056" t="str">
        <f>IFERROR(INDEX(tProdutos[Classe],MATCH(tItens[[#This Row],[Produto]],tProdutos[Produto],0)),"produto não cadastrado")</f>
        <v>FORA</v>
      </c>
      <c r="K7056" s="12">
        <f>tItens[[#This Row],[Qtd]]*tItens[[#This Row],[Vlr unit]]</f>
        <v>14819.999999999998</v>
      </c>
      <c r="L7056" s="6">
        <f>IFERROR(IF(INDEX(tProdutos[Desconto homologado],MATCH(tItens[[#This Row],[Produto]],tProdutos[Produto],0))="",DescontoPadrao,INDEX(tProdutos[Desconto homologado],MATCH(tItens[[#This Row],[Produto]],tProdutos[Produto],0))),DescontoPadrao)</f>
        <v>0.477732793522267</v>
      </c>
      <c r="M7056" s="12">
        <f>tItens[[#This Row],[Valor]]*(1-tItens[[#This Row],[Desconto]])</f>
        <v>7740.0000000000009</v>
      </c>
      <c r="N7056" t="str">
        <f>IFERROR(INDEX(tProdutos[Foco],MATCH(tItens[[#This Row],[Produto]],tProdutos[Produto],0)),"Não")</f>
        <v>Não</v>
      </c>
      <c r="O7056" t="str">
        <f>IFERROR(INDEX(tEditais[SRP],MATCH(tItens[[#This Row],[Edital]],tEditais[Edital],0)),"Não")</f>
        <v>Não</v>
      </c>
      <c r="P7056" s="4">
        <f>IF(COUNTIFS(INDEX(tItens[Edital],1):tItens[[#This Row],[Edital]],tItens[[#This Row],[Edital]],INDEX(tItens[Produto],1):tItens[[#This Row],[Produto]],tItens[[#This Row],[Produto]])=1,1,0)</f>
        <v>0</v>
      </c>
    </row>
    <row r="7057" spans="1:16" x14ac:dyDescent="0.25">
      <c r="A7057" t="s">
        <v>2452</v>
      </c>
      <c r="B7057">
        <v>8040152</v>
      </c>
      <c r="C7057" t="s">
        <v>9720</v>
      </c>
      <c r="D7057" t="s">
        <v>413</v>
      </c>
      <c r="E7057" s="13">
        <v>6500</v>
      </c>
      <c r="F7057" s="12">
        <v>2.29</v>
      </c>
      <c r="G7057" t="str">
        <f>IFERROR(INDEX(tEditais[Órgão],MATCH(tItens[[#This Row],[Edital]],tEditais[Edital],0)),"")</f>
        <v>MUNICIPIO DE ALTA FLORESTA D'OESTE</v>
      </c>
      <c r="H7057" t="str">
        <f>IFERROR(INDEX(tEditais[UF],MATCH(tItens[[#This Row],[Edital]],tEditais[Edital],0)),"")</f>
        <v>RO</v>
      </c>
      <c r="I7057" s="11">
        <f>IFERROR(INDEX(tEditais[Encerramento],MATCH(tItens[[#This Row],[Edital]],tEditais[Edital],0)),"")</f>
        <v>46309.416666666664</v>
      </c>
      <c r="J7057" t="str">
        <f>IFERROR(INDEX(tProdutos[Classe],MATCH(tItens[[#This Row],[Produto]],tProdutos[Produto],0)),"produto não cadastrado")</f>
        <v>FORA</v>
      </c>
      <c r="K7057" s="12">
        <f>tItens[[#This Row],[Qtd]]*tItens[[#This Row],[Vlr unit]]</f>
        <v>14885</v>
      </c>
      <c r="L7057" s="6">
        <f>IFERROR(IF(INDEX(tProdutos[Desconto homologado],MATCH(tItens[[#This Row],[Produto]],tProdutos[Produto],0))="",DescontoPadrao,INDEX(tProdutos[Desconto homologado],MATCH(tItens[[#This Row],[Produto]],tProdutos[Produto],0))),DescontoPadrao)</f>
        <v>0.477732793522267</v>
      </c>
      <c r="M7057" s="12">
        <f>tItens[[#This Row],[Valor]]*(1-tItens[[#This Row],[Desconto]])</f>
        <v>7773.9473684210552</v>
      </c>
      <c r="N7057" t="str">
        <f>IFERROR(INDEX(tProdutos[Foco],MATCH(tItens[[#This Row],[Produto]],tProdutos[Produto],0)),"Não")</f>
        <v>Não</v>
      </c>
      <c r="O7057" t="str">
        <f>IFERROR(INDEX(tEditais[SRP],MATCH(tItens[[#This Row],[Edital]],tEditais[Edital],0)),"Não")</f>
        <v>Não</v>
      </c>
      <c r="P7057" s="4">
        <f>IF(COUNTIFS(INDEX(tItens[Edital],1):tItens[[#This Row],[Edital]],tItens[[#This Row],[Edital]],INDEX(tItens[Produto],1):tItens[[#This Row],[Produto]],tItens[[#This Row],[Produto]])=1,1,0)</f>
        <v>0</v>
      </c>
    </row>
    <row r="7058" spans="1:16" x14ac:dyDescent="0.25">
      <c r="A7058" t="s">
        <v>2452</v>
      </c>
      <c r="B7058">
        <v>8040153</v>
      </c>
      <c r="C7058" t="s">
        <v>9721</v>
      </c>
      <c r="D7058" t="s">
        <v>413</v>
      </c>
      <c r="E7058" s="13">
        <v>3000</v>
      </c>
      <c r="F7058" s="12">
        <v>2.38</v>
      </c>
      <c r="G7058" t="str">
        <f>IFERROR(INDEX(tEditais[Órgão],MATCH(tItens[[#This Row],[Edital]],tEditais[Edital],0)),"")</f>
        <v>MUNICIPIO DE ALTA FLORESTA D'OESTE</v>
      </c>
      <c r="H7058" t="str">
        <f>IFERROR(INDEX(tEditais[UF],MATCH(tItens[[#This Row],[Edital]],tEditais[Edital],0)),"")</f>
        <v>RO</v>
      </c>
      <c r="I7058" s="11">
        <f>IFERROR(INDEX(tEditais[Encerramento],MATCH(tItens[[#This Row],[Edital]],tEditais[Edital],0)),"")</f>
        <v>46309.416666666664</v>
      </c>
      <c r="J7058" t="str">
        <f>IFERROR(INDEX(tProdutos[Classe],MATCH(tItens[[#This Row],[Produto]],tProdutos[Produto],0)),"produto não cadastrado")</f>
        <v>FORA</v>
      </c>
      <c r="K7058" s="12">
        <f>tItens[[#This Row],[Qtd]]*tItens[[#This Row],[Vlr unit]]</f>
        <v>7140</v>
      </c>
      <c r="L7058" s="6">
        <f>IFERROR(IF(INDEX(tProdutos[Desconto homologado],MATCH(tItens[[#This Row],[Produto]],tProdutos[Produto],0))="",DescontoPadrao,INDEX(tProdutos[Desconto homologado],MATCH(tItens[[#This Row],[Produto]],tProdutos[Produto],0))),DescontoPadrao)</f>
        <v>0.477732793522267</v>
      </c>
      <c r="M7058" s="12">
        <f>tItens[[#This Row],[Valor]]*(1-tItens[[#This Row],[Desconto]])</f>
        <v>3728.9878542510132</v>
      </c>
      <c r="N7058" t="str">
        <f>IFERROR(INDEX(tProdutos[Foco],MATCH(tItens[[#This Row],[Produto]],tProdutos[Produto],0)),"Não")</f>
        <v>Não</v>
      </c>
      <c r="O7058" t="str">
        <f>IFERROR(INDEX(tEditais[SRP],MATCH(tItens[[#This Row],[Edital]],tEditais[Edital],0)),"Não")</f>
        <v>Não</v>
      </c>
      <c r="P7058" s="4">
        <f>IF(COUNTIFS(INDEX(tItens[Edital],1):tItens[[#This Row],[Edital]],tItens[[#This Row],[Edital]],INDEX(tItens[Produto],1):tItens[[#This Row],[Produto]],tItens[[#This Row],[Produto]])=1,1,0)</f>
        <v>0</v>
      </c>
    </row>
    <row r="7059" spans="1:16" x14ac:dyDescent="0.25">
      <c r="A7059" t="s">
        <v>2452</v>
      </c>
      <c r="B7059">
        <v>8040154</v>
      </c>
      <c r="C7059" t="s">
        <v>9722</v>
      </c>
      <c r="D7059" t="s">
        <v>313</v>
      </c>
      <c r="E7059" s="13">
        <v>2000</v>
      </c>
      <c r="F7059" s="12">
        <v>29.63</v>
      </c>
      <c r="G7059" t="str">
        <f>IFERROR(INDEX(tEditais[Órgão],MATCH(tItens[[#This Row],[Edital]],tEditais[Edital],0)),"")</f>
        <v>MUNICIPIO DE ALTA FLORESTA D'OESTE</v>
      </c>
      <c r="H7059" t="str">
        <f>IFERROR(INDEX(tEditais[UF],MATCH(tItens[[#This Row],[Edital]],tEditais[Edital],0)),"")</f>
        <v>RO</v>
      </c>
      <c r="I7059" s="11">
        <f>IFERROR(INDEX(tEditais[Encerramento],MATCH(tItens[[#This Row],[Edital]],tEditais[Edital],0)),"")</f>
        <v>46309.416666666664</v>
      </c>
      <c r="J7059" t="str">
        <f>IFERROR(INDEX(tProdutos[Classe],MATCH(tItens[[#This Row],[Produto]],tProdutos[Produto],0)),"produto não cadastrado")</f>
        <v>FORA</v>
      </c>
      <c r="K7059" s="12">
        <f>tItens[[#This Row],[Qtd]]*tItens[[#This Row],[Vlr unit]]</f>
        <v>59260</v>
      </c>
      <c r="L7059" s="6">
        <f>IFERROR(IF(INDEX(tProdutos[Desconto homologado],MATCH(tItens[[#This Row],[Produto]],tProdutos[Produto],0))="",DescontoPadrao,INDEX(tProdutos[Desconto homologado],MATCH(tItens[[#This Row],[Produto]],tProdutos[Produto],0))),DescontoPadrao)</f>
        <v>0.35766373163696302</v>
      </c>
      <c r="M7059" s="12">
        <f>tItens[[#This Row],[Valor]]*(1-tItens[[#This Row],[Desconto]])</f>
        <v>38064.847263193566</v>
      </c>
      <c r="N7059" t="str">
        <f>IFERROR(INDEX(tProdutos[Foco],MATCH(tItens[[#This Row],[Produto]],tProdutos[Produto],0)),"Não")</f>
        <v>Não</v>
      </c>
      <c r="O7059" t="str">
        <f>IFERROR(INDEX(tEditais[SRP],MATCH(tItens[[#This Row],[Edital]],tEditais[Edital],0)),"Não")</f>
        <v>Não</v>
      </c>
      <c r="P7059" s="4">
        <f>IF(COUNTIFS(INDEX(tItens[Edital],1):tItens[[#This Row],[Edital]],tItens[[#This Row],[Edital]],INDEX(tItens[Produto],1):tItens[[#This Row],[Produto]],tItens[[#This Row],[Produto]])=1,1,0)</f>
        <v>1</v>
      </c>
    </row>
    <row r="7060" spans="1:16" x14ac:dyDescent="0.25">
      <c r="A7060" t="s">
        <v>2452</v>
      </c>
      <c r="B7060">
        <v>8040155</v>
      </c>
      <c r="C7060" t="s">
        <v>9723</v>
      </c>
      <c r="D7060" t="s">
        <v>313</v>
      </c>
      <c r="E7060" s="13">
        <v>3600</v>
      </c>
      <c r="F7060" s="12">
        <v>32.43</v>
      </c>
      <c r="G7060" t="str">
        <f>IFERROR(INDEX(tEditais[Órgão],MATCH(tItens[[#This Row],[Edital]],tEditais[Edital],0)),"")</f>
        <v>MUNICIPIO DE ALTA FLORESTA D'OESTE</v>
      </c>
      <c r="H7060" t="str">
        <f>IFERROR(INDEX(tEditais[UF],MATCH(tItens[[#This Row],[Edital]],tEditais[Edital],0)),"")</f>
        <v>RO</v>
      </c>
      <c r="I7060" s="11">
        <f>IFERROR(INDEX(tEditais[Encerramento],MATCH(tItens[[#This Row],[Edital]],tEditais[Edital],0)),"")</f>
        <v>46309.416666666664</v>
      </c>
      <c r="J7060" t="str">
        <f>IFERROR(INDEX(tProdutos[Classe],MATCH(tItens[[#This Row],[Produto]],tProdutos[Produto],0)),"produto não cadastrado")</f>
        <v>FORA</v>
      </c>
      <c r="K7060" s="12">
        <f>tItens[[#This Row],[Qtd]]*tItens[[#This Row],[Vlr unit]]</f>
        <v>116748</v>
      </c>
      <c r="L7060" s="6">
        <f>IFERROR(IF(INDEX(tProdutos[Desconto homologado],MATCH(tItens[[#This Row],[Produto]],tProdutos[Produto],0))="",DescontoPadrao,INDEX(tProdutos[Desconto homologado],MATCH(tItens[[#This Row],[Produto]],tProdutos[Produto],0))),DescontoPadrao)</f>
        <v>0.35766373163696302</v>
      </c>
      <c r="M7060" s="12">
        <f>tItens[[#This Row],[Valor]]*(1-tItens[[#This Row],[Desconto]])</f>
        <v>74991.47465884783</v>
      </c>
      <c r="N7060" t="str">
        <f>IFERROR(INDEX(tProdutos[Foco],MATCH(tItens[[#This Row],[Produto]],tProdutos[Produto],0)),"Não")</f>
        <v>Não</v>
      </c>
      <c r="O7060" t="str">
        <f>IFERROR(INDEX(tEditais[SRP],MATCH(tItens[[#This Row],[Edital]],tEditais[Edital],0)),"Não")</f>
        <v>Não</v>
      </c>
      <c r="P7060" s="4">
        <f>IF(COUNTIFS(INDEX(tItens[Edital],1):tItens[[#This Row],[Edital]],tItens[[#This Row],[Edital]],INDEX(tItens[Produto],1):tItens[[#This Row],[Produto]],tItens[[#This Row],[Produto]])=1,1,0)</f>
        <v>0</v>
      </c>
    </row>
    <row r="7061" spans="1:16" x14ac:dyDescent="0.25">
      <c r="A7061" t="s">
        <v>2452</v>
      </c>
      <c r="B7061">
        <v>8040156</v>
      </c>
      <c r="C7061" t="s">
        <v>9724</v>
      </c>
      <c r="D7061" t="s">
        <v>313</v>
      </c>
      <c r="E7061" s="13">
        <v>2500</v>
      </c>
      <c r="F7061" s="12">
        <v>32.21</v>
      </c>
      <c r="G7061" t="str">
        <f>IFERROR(INDEX(tEditais[Órgão],MATCH(tItens[[#This Row],[Edital]],tEditais[Edital],0)),"")</f>
        <v>MUNICIPIO DE ALTA FLORESTA D'OESTE</v>
      </c>
      <c r="H7061" t="str">
        <f>IFERROR(INDEX(tEditais[UF],MATCH(tItens[[#This Row],[Edital]],tEditais[Edital],0)),"")</f>
        <v>RO</v>
      </c>
      <c r="I7061" s="11">
        <f>IFERROR(INDEX(tEditais[Encerramento],MATCH(tItens[[#This Row],[Edital]],tEditais[Edital],0)),"")</f>
        <v>46309.416666666664</v>
      </c>
      <c r="J7061" t="str">
        <f>IFERROR(INDEX(tProdutos[Classe],MATCH(tItens[[#This Row],[Produto]],tProdutos[Produto],0)),"produto não cadastrado")</f>
        <v>FORA</v>
      </c>
      <c r="K7061" s="12">
        <f>tItens[[#This Row],[Qtd]]*tItens[[#This Row],[Vlr unit]]</f>
        <v>80525</v>
      </c>
      <c r="L7061" s="6">
        <f>IFERROR(IF(INDEX(tProdutos[Desconto homologado],MATCH(tItens[[#This Row],[Produto]],tProdutos[Produto],0))="",DescontoPadrao,INDEX(tProdutos[Desconto homologado],MATCH(tItens[[#This Row],[Produto]],tProdutos[Produto],0))),DescontoPadrao)</f>
        <v>0.35766373163696302</v>
      </c>
      <c r="M7061" s="12">
        <f>tItens[[#This Row],[Valor]]*(1-tItens[[#This Row],[Desconto]])</f>
        <v>51724.128009933549</v>
      </c>
      <c r="N7061" t="str">
        <f>IFERROR(INDEX(tProdutos[Foco],MATCH(tItens[[#This Row],[Produto]],tProdutos[Produto],0)),"Não")</f>
        <v>Não</v>
      </c>
      <c r="O7061" t="str">
        <f>IFERROR(INDEX(tEditais[SRP],MATCH(tItens[[#This Row],[Edital]],tEditais[Edital],0)),"Não")</f>
        <v>Não</v>
      </c>
      <c r="P7061" s="4">
        <f>IF(COUNTIFS(INDEX(tItens[Edital],1):tItens[[#This Row],[Edital]],tItens[[#This Row],[Edital]],INDEX(tItens[Produto],1):tItens[[#This Row],[Produto]],tItens[[#This Row],[Produto]])=1,1,0)</f>
        <v>0</v>
      </c>
    </row>
    <row r="7062" spans="1:16" x14ac:dyDescent="0.25">
      <c r="A7062" t="s">
        <v>2452</v>
      </c>
      <c r="B7062">
        <v>8040157</v>
      </c>
      <c r="C7062" t="s">
        <v>9725</v>
      </c>
      <c r="D7062" t="s">
        <v>313</v>
      </c>
      <c r="E7062" s="13">
        <v>500</v>
      </c>
      <c r="F7062" s="12">
        <v>31.38</v>
      </c>
      <c r="G7062" t="str">
        <f>IFERROR(INDEX(tEditais[Órgão],MATCH(tItens[[#This Row],[Edital]],tEditais[Edital],0)),"")</f>
        <v>MUNICIPIO DE ALTA FLORESTA D'OESTE</v>
      </c>
      <c r="H7062" t="str">
        <f>IFERROR(INDEX(tEditais[UF],MATCH(tItens[[#This Row],[Edital]],tEditais[Edital],0)),"")</f>
        <v>RO</v>
      </c>
      <c r="I7062" s="11">
        <f>IFERROR(INDEX(tEditais[Encerramento],MATCH(tItens[[#This Row],[Edital]],tEditais[Edital],0)),"")</f>
        <v>46309.416666666664</v>
      </c>
      <c r="J7062" t="str">
        <f>IFERROR(INDEX(tProdutos[Classe],MATCH(tItens[[#This Row],[Produto]],tProdutos[Produto],0)),"produto não cadastrado")</f>
        <v>FORA</v>
      </c>
      <c r="K7062" s="12">
        <f>tItens[[#This Row],[Qtd]]*tItens[[#This Row],[Vlr unit]]</f>
        <v>15690</v>
      </c>
      <c r="L7062" s="6">
        <f>IFERROR(IF(INDEX(tProdutos[Desconto homologado],MATCH(tItens[[#This Row],[Produto]],tProdutos[Produto],0))="",DescontoPadrao,INDEX(tProdutos[Desconto homologado],MATCH(tItens[[#This Row],[Produto]],tProdutos[Produto],0))),DescontoPadrao)</f>
        <v>0.35766373163696302</v>
      </c>
      <c r="M7062" s="12">
        <f>tItens[[#This Row],[Valor]]*(1-tItens[[#This Row],[Desconto]])</f>
        <v>10078.25605061605</v>
      </c>
      <c r="N7062" t="str">
        <f>IFERROR(INDEX(tProdutos[Foco],MATCH(tItens[[#This Row],[Produto]],tProdutos[Produto],0)),"Não")</f>
        <v>Não</v>
      </c>
      <c r="O7062" t="str">
        <f>IFERROR(INDEX(tEditais[SRP],MATCH(tItens[[#This Row],[Edital]],tEditais[Edital],0)),"Não")</f>
        <v>Não</v>
      </c>
      <c r="P7062" s="4">
        <f>IF(COUNTIFS(INDEX(tItens[Edital],1):tItens[[#This Row],[Edital]],tItens[[#This Row],[Edital]],INDEX(tItens[Produto],1):tItens[[#This Row],[Produto]],tItens[[#This Row],[Produto]])=1,1,0)</f>
        <v>0</v>
      </c>
    </row>
    <row r="7063" spans="1:16" x14ac:dyDescent="0.25">
      <c r="A7063" t="s">
        <v>2452</v>
      </c>
      <c r="B7063">
        <v>8040158</v>
      </c>
      <c r="C7063" t="s">
        <v>9726</v>
      </c>
      <c r="D7063" t="s">
        <v>381</v>
      </c>
      <c r="E7063" s="13">
        <v>400</v>
      </c>
      <c r="F7063" s="12">
        <v>30.12</v>
      </c>
      <c r="G7063" t="str">
        <f>IFERROR(INDEX(tEditais[Órgão],MATCH(tItens[[#This Row],[Edital]],tEditais[Edital],0)),"")</f>
        <v>MUNICIPIO DE ALTA FLORESTA D'OESTE</v>
      </c>
      <c r="H7063" t="str">
        <f>IFERROR(INDEX(tEditais[UF],MATCH(tItens[[#This Row],[Edital]],tEditais[Edital],0)),"")</f>
        <v>RO</v>
      </c>
      <c r="I7063" s="11">
        <f>IFERROR(INDEX(tEditais[Encerramento],MATCH(tItens[[#This Row],[Edital]],tEditais[Edital],0)),"")</f>
        <v>46309.416666666664</v>
      </c>
      <c r="J7063" t="str">
        <f>IFERROR(INDEX(tProdutos[Classe],MATCH(tItens[[#This Row],[Produto]],tProdutos[Produto],0)),"produto não cadastrado")</f>
        <v>FORA</v>
      </c>
      <c r="K7063" s="12">
        <f>tItens[[#This Row],[Qtd]]*tItens[[#This Row],[Vlr unit]]</f>
        <v>12048</v>
      </c>
      <c r="L7063" s="6">
        <f>IFERROR(IF(INDEX(tProdutos[Desconto homologado],MATCH(tItens[[#This Row],[Produto]],tProdutos[Produto],0))="",DescontoPadrao,INDEX(tProdutos[Desconto homologado],MATCH(tItens[[#This Row],[Produto]],tProdutos[Produto],0))),DescontoPadrao)</f>
        <v>0.41112828438949001</v>
      </c>
      <c r="M7063" s="12">
        <f>tItens[[#This Row],[Valor]]*(1-tItens[[#This Row],[Desconto]])</f>
        <v>7094.7264296754247</v>
      </c>
      <c r="N7063" t="str">
        <f>IFERROR(INDEX(tProdutos[Foco],MATCH(tItens[[#This Row],[Produto]],tProdutos[Produto],0)),"Não")</f>
        <v>Não</v>
      </c>
      <c r="O7063" t="str">
        <f>IFERROR(INDEX(tEditais[SRP],MATCH(tItens[[#This Row],[Edital]],tEditais[Edital],0)),"Não")</f>
        <v>Não</v>
      </c>
      <c r="P7063" s="4">
        <f>IF(COUNTIFS(INDEX(tItens[Edital],1):tItens[[#This Row],[Edital]],tItens[[#This Row],[Edital]],INDEX(tItens[Produto],1):tItens[[#This Row],[Produto]],tItens[[#This Row],[Produto]])=1,1,0)</f>
        <v>1</v>
      </c>
    </row>
    <row r="7064" spans="1:16" x14ac:dyDescent="0.25">
      <c r="A7064" t="s">
        <v>2452</v>
      </c>
      <c r="B7064">
        <v>8040159</v>
      </c>
      <c r="C7064" t="s">
        <v>9727</v>
      </c>
      <c r="D7064" t="s">
        <v>381</v>
      </c>
      <c r="E7064" s="13">
        <v>600</v>
      </c>
      <c r="F7064" s="12">
        <v>32.049999999999997</v>
      </c>
      <c r="G7064" t="str">
        <f>IFERROR(INDEX(tEditais[Órgão],MATCH(tItens[[#This Row],[Edital]],tEditais[Edital],0)),"")</f>
        <v>MUNICIPIO DE ALTA FLORESTA D'OESTE</v>
      </c>
      <c r="H7064" t="str">
        <f>IFERROR(INDEX(tEditais[UF],MATCH(tItens[[#This Row],[Edital]],tEditais[Edital],0)),"")</f>
        <v>RO</v>
      </c>
      <c r="I7064" s="11">
        <f>IFERROR(INDEX(tEditais[Encerramento],MATCH(tItens[[#This Row],[Edital]],tEditais[Edital],0)),"")</f>
        <v>46309.416666666664</v>
      </c>
      <c r="J7064" t="str">
        <f>IFERROR(INDEX(tProdutos[Classe],MATCH(tItens[[#This Row],[Produto]],tProdutos[Produto],0)),"produto não cadastrado")</f>
        <v>FORA</v>
      </c>
      <c r="K7064" s="12">
        <f>tItens[[#This Row],[Qtd]]*tItens[[#This Row],[Vlr unit]]</f>
        <v>19230</v>
      </c>
      <c r="L7064" s="6">
        <f>IFERROR(IF(INDEX(tProdutos[Desconto homologado],MATCH(tItens[[#This Row],[Produto]],tProdutos[Produto],0))="",DescontoPadrao,INDEX(tProdutos[Desconto homologado],MATCH(tItens[[#This Row],[Produto]],tProdutos[Produto],0))),DescontoPadrao)</f>
        <v>0.41112828438949001</v>
      </c>
      <c r="M7064" s="12">
        <f>tItens[[#This Row],[Valor]]*(1-tItens[[#This Row],[Desconto]])</f>
        <v>11324.003091190107</v>
      </c>
      <c r="N7064" t="str">
        <f>IFERROR(INDEX(tProdutos[Foco],MATCH(tItens[[#This Row],[Produto]],tProdutos[Produto],0)),"Não")</f>
        <v>Não</v>
      </c>
      <c r="O7064" t="str">
        <f>IFERROR(INDEX(tEditais[SRP],MATCH(tItens[[#This Row],[Edital]],tEditais[Edital],0)),"Não")</f>
        <v>Não</v>
      </c>
      <c r="P7064" s="4">
        <f>IF(COUNTIFS(INDEX(tItens[Edital],1):tItens[[#This Row],[Edital]],tItens[[#This Row],[Edital]],INDEX(tItens[Produto],1):tItens[[#This Row],[Produto]],tItens[[#This Row],[Produto]])=1,1,0)</f>
        <v>0</v>
      </c>
    </row>
    <row r="7065" spans="1:16" x14ac:dyDescent="0.25">
      <c r="A7065" t="s">
        <v>2452</v>
      </c>
      <c r="B7065">
        <v>8040160</v>
      </c>
      <c r="C7065" t="s">
        <v>9728</v>
      </c>
      <c r="D7065" t="s">
        <v>381</v>
      </c>
      <c r="E7065" s="13">
        <v>300</v>
      </c>
      <c r="F7065" s="12">
        <v>31.04</v>
      </c>
      <c r="G7065" t="str">
        <f>IFERROR(INDEX(tEditais[Órgão],MATCH(tItens[[#This Row],[Edital]],tEditais[Edital],0)),"")</f>
        <v>MUNICIPIO DE ALTA FLORESTA D'OESTE</v>
      </c>
      <c r="H7065" t="str">
        <f>IFERROR(INDEX(tEditais[UF],MATCH(tItens[[#This Row],[Edital]],tEditais[Edital],0)),"")</f>
        <v>RO</v>
      </c>
      <c r="I7065" s="11">
        <f>IFERROR(INDEX(tEditais[Encerramento],MATCH(tItens[[#This Row],[Edital]],tEditais[Edital],0)),"")</f>
        <v>46309.416666666664</v>
      </c>
      <c r="J7065" t="str">
        <f>IFERROR(INDEX(tProdutos[Classe],MATCH(tItens[[#This Row],[Produto]],tProdutos[Produto],0)),"produto não cadastrado")</f>
        <v>FORA</v>
      </c>
      <c r="K7065" s="12">
        <f>tItens[[#This Row],[Qtd]]*tItens[[#This Row],[Vlr unit]]</f>
        <v>9312</v>
      </c>
      <c r="L7065" s="6">
        <f>IFERROR(IF(INDEX(tProdutos[Desconto homologado],MATCH(tItens[[#This Row],[Produto]],tProdutos[Produto],0))="",DescontoPadrao,INDEX(tProdutos[Desconto homologado],MATCH(tItens[[#This Row],[Produto]],tProdutos[Produto],0))),DescontoPadrao)</f>
        <v>0.41112828438949001</v>
      </c>
      <c r="M7065" s="12">
        <f>tItens[[#This Row],[Valor]]*(1-tItens[[#This Row],[Desconto]])</f>
        <v>5483.5734157650695</v>
      </c>
      <c r="N7065" t="str">
        <f>IFERROR(INDEX(tProdutos[Foco],MATCH(tItens[[#This Row],[Produto]],tProdutos[Produto],0)),"Não")</f>
        <v>Não</v>
      </c>
      <c r="O7065" t="str">
        <f>IFERROR(INDEX(tEditais[SRP],MATCH(tItens[[#This Row],[Edital]],tEditais[Edital],0)),"Não")</f>
        <v>Não</v>
      </c>
      <c r="P7065" s="4">
        <f>IF(COUNTIFS(INDEX(tItens[Edital],1):tItens[[#This Row],[Edital]],tItens[[#This Row],[Edital]],INDEX(tItens[Produto],1):tItens[[#This Row],[Produto]],tItens[[#This Row],[Produto]])=1,1,0)</f>
        <v>0</v>
      </c>
    </row>
    <row r="7066" spans="1:16" x14ac:dyDescent="0.25">
      <c r="A7066" t="s">
        <v>2452</v>
      </c>
      <c r="B7066">
        <v>8040161</v>
      </c>
      <c r="C7066" t="s">
        <v>9729</v>
      </c>
      <c r="D7066" t="s">
        <v>381</v>
      </c>
      <c r="E7066" s="13">
        <v>200</v>
      </c>
      <c r="F7066" s="12">
        <v>27.56</v>
      </c>
      <c r="G7066" t="str">
        <f>IFERROR(INDEX(tEditais[Órgão],MATCH(tItens[[#This Row],[Edital]],tEditais[Edital],0)),"")</f>
        <v>MUNICIPIO DE ALTA FLORESTA D'OESTE</v>
      </c>
      <c r="H7066" t="str">
        <f>IFERROR(INDEX(tEditais[UF],MATCH(tItens[[#This Row],[Edital]],tEditais[Edital],0)),"")</f>
        <v>RO</v>
      </c>
      <c r="I7066" s="11">
        <f>IFERROR(INDEX(tEditais[Encerramento],MATCH(tItens[[#This Row],[Edital]],tEditais[Edital],0)),"")</f>
        <v>46309.416666666664</v>
      </c>
      <c r="J7066" t="str">
        <f>IFERROR(INDEX(tProdutos[Classe],MATCH(tItens[[#This Row],[Produto]],tProdutos[Produto],0)),"produto não cadastrado")</f>
        <v>FORA</v>
      </c>
      <c r="K7066" s="12">
        <f>tItens[[#This Row],[Qtd]]*tItens[[#This Row],[Vlr unit]]</f>
        <v>5512</v>
      </c>
      <c r="L7066" s="6">
        <f>IFERROR(IF(INDEX(tProdutos[Desconto homologado],MATCH(tItens[[#This Row],[Produto]],tProdutos[Produto],0))="",DescontoPadrao,INDEX(tProdutos[Desconto homologado],MATCH(tItens[[#This Row],[Produto]],tProdutos[Produto],0))),DescontoPadrao)</f>
        <v>0.41112828438949001</v>
      </c>
      <c r="M7066" s="12">
        <f>tItens[[#This Row],[Valor]]*(1-tItens[[#This Row],[Desconto]])</f>
        <v>3245.8608964451309</v>
      </c>
      <c r="N7066" t="str">
        <f>IFERROR(INDEX(tProdutos[Foco],MATCH(tItens[[#This Row],[Produto]],tProdutos[Produto],0)),"Não")</f>
        <v>Não</v>
      </c>
      <c r="O7066" t="str">
        <f>IFERROR(INDEX(tEditais[SRP],MATCH(tItens[[#This Row],[Edital]],tEditais[Edital],0)),"Não")</f>
        <v>Não</v>
      </c>
      <c r="P7066" s="4">
        <f>IF(COUNTIFS(INDEX(tItens[Edital],1):tItens[[#This Row],[Edital]],tItens[[#This Row],[Edital]],INDEX(tItens[Produto],1):tItens[[#This Row],[Produto]],tItens[[#This Row],[Produto]])=1,1,0)</f>
        <v>0</v>
      </c>
    </row>
    <row r="7067" spans="1:16" x14ac:dyDescent="0.25">
      <c r="A7067" t="s">
        <v>2452</v>
      </c>
      <c r="B7067">
        <v>8040179</v>
      </c>
      <c r="C7067" t="s">
        <v>9730</v>
      </c>
      <c r="D7067" t="s">
        <v>399</v>
      </c>
      <c r="E7067" s="13">
        <v>40</v>
      </c>
      <c r="F7067" s="12">
        <v>34.72</v>
      </c>
      <c r="G7067" t="str">
        <f>IFERROR(INDEX(tEditais[Órgão],MATCH(tItens[[#This Row],[Edital]],tEditais[Edital],0)),"")</f>
        <v>MUNICIPIO DE ALTA FLORESTA D'OESTE</v>
      </c>
      <c r="H7067" t="str">
        <f>IFERROR(INDEX(tEditais[UF],MATCH(tItens[[#This Row],[Edital]],tEditais[Edital],0)),"")</f>
        <v>RO</v>
      </c>
      <c r="I7067" s="11">
        <f>IFERROR(INDEX(tEditais[Encerramento],MATCH(tItens[[#This Row],[Edital]],tEditais[Edital],0)),"")</f>
        <v>46309.416666666664</v>
      </c>
      <c r="J7067" t="str">
        <f>IFERROR(INDEX(tProdutos[Classe],MATCH(tItens[[#This Row],[Produto]],tProdutos[Produto],0)),"produto não cadastrado")</f>
        <v>FORA</v>
      </c>
      <c r="K7067" s="12">
        <f>tItens[[#This Row],[Qtd]]*tItens[[#This Row],[Vlr unit]]</f>
        <v>1388.8</v>
      </c>
      <c r="L7067" s="6">
        <f>IFERROR(IF(INDEX(tProdutos[Desconto homologado],MATCH(tItens[[#This Row],[Produto]],tProdutos[Produto],0))="",DescontoPadrao,INDEX(tProdutos[Desconto homologado],MATCH(tItens[[#This Row],[Produto]],tProdutos[Produto],0))),DescontoPadrao)</f>
        <v>0.30009041591320101</v>
      </c>
      <c r="M7067" s="12">
        <f>tItens[[#This Row],[Valor]]*(1-tItens[[#This Row],[Desconto]])</f>
        <v>972.03443037974648</v>
      </c>
      <c r="N7067" t="str">
        <f>IFERROR(INDEX(tProdutos[Foco],MATCH(tItens[[#This Row],[Produto]],tProdutos[Produto],0)),"Não")</f>
        <v>Não</v>
      </c>
      <c r="O7067" t="str">
        <f>IFERROR(INDEX(tEditais[SRP],MATCH(tItens[[#This Row],[Edital]],tEditais[Edital],0)),"Não")</f>
        <v>Não</v>
      </c>
      <c r="P7067" s="4">
        <f>IF(COUNTIFS(INDEX(tItens[Edital],1):tItens[[#This Row],[Edital]],tItens[[#This Row],[Edital]],INDEX(tItens[Produto],1):tItens[[#This Row],[Produto]],tItens[[#This Row],[Produto]])=1,1,0)</f>
        <v>1</v>
      </c>
    </row>
    <row r="7068" spans="1:16" x14ac:dyDescent="0.25">
      <c r="A7068" t="s">
        <v>2452</v>
      </c>
      <c r="B7068">
        <v>8040180</v>
      </c>
      <c r="C7068" t="s">
        <v>9731</v>
      </c>
      <c r="D7068" t="s">
        <v>399</v>
      </c>
      <c r="E7068" s="13">
        <v>40</v>
      </c>
      <c r="F7068" s="12">
        <v>41.29</v>
      </c>
      <c r="G7068" t="str">
        <f>IFERROR(INDEX(tEditais[Órgão],MATCH(tItens[[#This Row],[Edital]],tEditais[Edital],0)),"")</f>
        <v>MUNICIPIO DE ALTA FLORESTA D'OESTE</v>
      </c>
      <c r="H7068" t="str">
        <f>IFERROR(INDEX(tEditais[UF],MATCH(tItens[[#This Row],[Edital]],tEditais[Edital],0)),"")</f>
        <v>RO</v>
      </c>
      <c r="I7068" s="11">
        <f>IFERROR(INDEX(tEditais[Encerramento],MATCH(tItens[[#This Row],[Edital]],tEditais[Edital],0)),"")</f>
        <v>46309.416666666664</v>
      </c>
      <c r="J7068" t="str">
        <f>IFERROR(INDEX(tProdutos[Classe],MATCH(tItens[[#This Row],[Produto]],tProdutos[Produto],0)),"produto não cadastrado")</f>
        <v>FORA</v>
      </c>
      <c r="K7068" s="12">
        <f>tItens[[#This Row],[Qtd]]*tItens[[#This Row],[Vlr unit]]</f>
        <v>1651.6</v>
      </c>
      <c r="L7068" s="6">
        <f>IFERROR(IF(INDEX(tProdutos[Desconto homologado],MATCH(tItens[[#This Row],[Produto]],tProdutos[Produto],0))="",DescontoPadrao,INDEX(tProdutos[Desconto homologado],MATCH(tItens[[#This Row],[Produto]],tProdutos[Produto],0))),DescontoPadrao)</f>
        <v>0.30009041591320101</v>
      </c>
      <c r="M7068" s="12">
        <f>tItens[[#This Row],[Valor]]*(1-tItens[[#This Row],[Desconto]])</f>
        <v>1155.9706690777573</v>
      </c>
      <c r="N7068" t="str">
        <f>IFERROR(INDEX(tProdutos[Foco],MATCH(tItens[[#This Row],[Produto]],tProdutos[Produto],0)),"Não")</f>
        <v>Não</v>
      </c>
      <c r="O7068" t="str">
        <f>IFERROR(INDEX(tEditais[SRP],MATCH(tItens[[#This Row],[Edital]],tEditais[Edital],0)),"Não")</f>
        <v>Não</v>
      </c>
      <c r="P7068" s="4">
        <f>IF(COUNTIFS(INDEX(tItens[Edital],1):tItens[[#This Row],[Edital]],tItens[[#This Row],[Edital]],INDEX(tItens[Produto],1):tItens[[#This Row],[Produto]],tItens[[#This Row],[Produto]])=1,1,0)</f>
        <v>0</v>
      </c>
    </row>
    <row r="7069" spans="1:16" x14ac:dyDescent="0.25">
      <c r="A7069" t="s">
        <v>2452</v>
      </c>
      <c r="B7069">
        <v>8040191</v>
      </c>
      <c r="C7069" t="s">
        <v>9732</v>
      </c>
      <c r="D7069" t="s">
        <v>172</v>
      </c>
      <c r="E7069" s="13">
        <v>2000</v>
      </c>
      <c r="F7069" s="12">
        <v>0.91</v>
      </c>
      <c r="G7069" t="str">
        <f>IFERROR(INDEX(tEditais[Órgão],MATCH(tItens[[#This Row],[Edital]],tEditais[Edital],0)),"")</f>
        <v>MUNICIPIO DE ALTA FLORESTA D'OESTE</v>
      </c>
      <c r="H7069" t="str">
        <f>IFERROR(INDEX(tEditais[UF],MATCH(tItens[[#This Row],[Edital]],tEditais[Edital],0)),"")</f>
        <v>RO</v>
      </c>
      <c r="I7069" s="11">
        <f>IFERROR(INDEX(tEditais[Encerramento],MATCH(tItens[[#This Row],[Edital]],tEditais[Edital],0)),"")</f>
        <v>46309.416666666664</v>
      </c>
      <c r="J7069" t="str">
        <f>IFERROR(INDEX(tProdutos[Classe],MATCH(tItens[[#This Row],[Produto]],tProdutos[Produto],0)),"produto não cadastrado")</f>
        <v>DISPUTADO</v>
      </c>
      <c r="K7069" s="12">
        <f>tItens[[#This Row],[Qtd]]*tItens[[#This Row],[Vlr unit]]</f>
        <v>1820</v>
      </c>
      <c r="L7069" s="6">
        <f>IFERROR(IF(INDEX(tProdutos[Desconto homologado],MATCH(tItens[[#This Row],[Produto]],tProdutos[Produto],0))="",DescontoPadrao,INDEX(tProdutos[Desconto homologado],MATCH(tItens[[#This Row],[Produto]],tProdutos[Produto],0))),DescontoPadrao)</f>
        <v>0.33578431372549</v>
      </c>
      <c r="M7069" s="12">
        <f>tItens[[#This Row],[Valor]]*(1-tItens[[#This Row],[Desconto]])</f>
        <v>1208.8725490196082</v>
      </c>
      <c r="N7069" t="str">
        <f>IFERROR(INDEX(tProdutos[Foco],MATCH(tItens[[#This Row],[Produto]],tProdutos[Produto],0)),"Não")</f>
        <v>Não</v>
      </c>
      <c r="O7069" t="str">
        <f>IFERROR(INDEX(tEditais[SRP],MATCH(tItens[[#This Row],[Edital]],tEditais[Edital],0)),"Não")</f>
        <v>Não</v>
      </c>
      <c r="P7069" s="4">
        <f>IF(COUNTIFS(INDEX(tItens[Edital],1):tItens[[#This Row],[Edital]],tItens[[#This Row],[Edital]],INDEX(tItens[Produto],1):tItens[[#This Row],[Produto]],tItens[[#This Row],[Produto]])=1,1,0)</f>
        <v>1</v>
      </c>
    </row>
    <row r="7070" spans="1:16" x14ac:dyDescent="0.25">
      <c r="A7070" t="s">
        <v>2452</v>
      </c>
      <c r="B7070">
        <v>8040194</v>
      </c>
      <c r="C7070" t="s">
        <v>9733</v>
      </c>
      <c r="D7070" t="s">
        <v>156</v>
      </c>
      <c r="E7070" s="13">
        <v>120</v>
      </c>
      <c r="F7070" s="12">
        <v>17.309999999999999</v>
      </c>
      <c r="G7070" t="str">
        <f>IFERROR(INDEX(tEditais[Órgão],MATCH(tItens[[#This Row],[Edital]],tEditais[Edital],0)),"")</f>
        <v>MUNICIPIO DE ALTA FLORESTA D'OESTE</v>
      </c>
      <c r="H7070" t="str">
        <f>IFERROR(INDEX(tEditais[UF],MATCH(tItens[[#This Row],[Edital]],tEditais[Edital],0)),"")</f>
        <v>RO</v>
      </c>
      <c r="I7070" s="11">
        <f>IFERROR(INDEX(tEditais[Encerramento],MATCH(tItens[[#This Row],[Edital]],tEditais[Edital],0)),"")</f>
        <v>46309.416666666664</v>
      </c>
      <c r="J7070" t="str">
        <f>IFERROR(INDEX(tProdutos[Classe],MATCH(tItens[[#This Row],[Produto]],tProdutos[Produto],0)),"produto não cadastrado")</f>
        <v>DISPUTADO</v>
      </c>
      <c r="K7070" s="12">
        <f>tItens[[#This Row],[Qtd]]*tItens[[#This Row],[Vlr unit]]</f>
        <v>2077.1999999999998</v>
      </c>
      <c r="L7070" s="6">
        <f>IFERROR(IF(INDEX(tProdutos[Desconto homologado],MATCH(tItens[[#This Row],[Produto]],tProdutos[Produto],0))="",DescontoPadrao,INDEX(tProdutos[Desconto homologado],MATCH(tItens[[#This Row],[Produto]],tProdutos[Produto],0))),DescontoPadrao)</f>
        <v>0.27131852489802799</v>
      </c>
      <c r="M7070" s="12">
        <f>tItens[[#This Row],[Valor]]*(1-tItens[[#This Row],[Desconto]])</f>
        <v>1513.6171600818161</v>
      </c>
      <c r="N7070" t="str">
        <f>IFERROR(INDEX(tProdutos[Foco],MATCH(tItens[[#This Row],[Produto]],tProdutos[Produto],0)),"Não")</f>
        <v>Não</v>
      </c>
      <c r="O7070" t="str">
        <f>IFERROR(INDEX(tEditais[SRP],MATCH(tItens[[#This Row],[Edital]],tEditais[Edital],0)),"Não")</f>
        <v>Não</v>
      </c>
      <c r="P7070" s="4">
        <f>IF(COUNTIFS(INDEX(tItens[Edital],1):tItens[[#This Row],[Edital]],tItens[[#This Row],[Edital]],INDEX(tItens[Produto],1):tItens[[#This Row],[Produto]],tItens[[#This Row],[Produto]])=1,1,0)</f>
        <v>1</v>
      </c>
    </row>
    <row r="7071" spans="1:16" x14ac:dyDescent="0.25">
      <c r="A7071" t="s">
        <v>2452</v>
      </c>
      <c r="B7071">
        <v>8040228</v>
      </c>
      <c r="C7071" t="s">
        <v>9734</v>
      </c>
      <c r="D7071" t="s">
        <v>371</v>
      </c>
      <c r="E7071" s="13">
        <v>30</v>
      </c>
      <c r="F7071" s="12">
        <v>0.5</v>
      </c>
      <c r="G7071" t="str">
        <f>IFERROR(INDEX(tEditais[Órgão],MATCH(tItens[[#This Row],[Edital]],tEditais[Edital],0)),"")</f>
        <v>MUNICIPIO DE ALTA FLORESTA D'OESTE</v>
      </c>
      <c r="H7071" t="str">
        <f>IFERROR(INDEX(tEditais[UF],MATCH(tItens[[#This Row],[Edital]],tEditais[Edital],0)),"")</f>
        <v>RO</v>
      </c>
      <c r="I7071" s="11">
        <f>IFERROR(INDEX(tEditais[Encerramento],MATCH(tItens[[#This Row],[Edital]],tEditais[Edital],0)),"")</f>
        <v>46309.416666666664</v>
      </c>
      <c r="J7071" t="str">
        <f>IFERROR(INDEX(tProdutos[Classe],MATCH(tItens[[#This Row],[Produto]],tProdutos[Produto],0)),"produto não cadastrado")</f>
        <v>FORA</v>
      </c>
      <c r="K7071" s="12">
        <f>tItens[[#This Row],[Qtd]]*tItens[[#This Row],[Vlr unit]]</f>
        <v>15</v>
      </c>
      <c r="L7071" s="6">
        <f>IFERROR(IF(INDEX(tProdutos[Desconto homologado],MATCH(tItens[[#This Row],[Produto]],tProdutos[Produto],0))="",DescontoPadrao,INDEX(tProdutos[Desconto homologado],MATCH(tItens[[#This Row],[Produto]],tProdutos[Produto],0))),DescontoPadrao)</f>
        <v>0.217826086956522</v>
      </c>
      <c r="M7071" s="12">
        <f>tItens[[#This Row],[Valor]]*(1-tItens[[#This Row],[Desconto]])</f>
        <v>11.73260869565217</v>
      </c>
      <c r="N7071" t="str">
        <f>IFERROR(INDEX(tProdutos[Foco],MATCH(tItens[[#This Row],[Produto]],tProdutos[Produto],0)),"Não")</f>
        <v>Não</v>
      </c>
      <c r="O7071" t="str">
        <f>IFERROR(INDEX(tEditais[SRP],MATCH(tItens[[#This Row],[Edital]],tEditais[Edital],0)),"Não")</f>
        <v>Não</v>
      </c>
      <c r="P7071" s="4">
        <f>IF(COUNTIFS(INDEX(tItens[Edital],1):tItens[[#This Row],[Edital]],tItens[[#This Row],[Edital]],INDEX(tItens[Produto],1):tItens[[#This Row],[Produto]],tItens[[#This Row],[Produto]])=1,1,0)</f>
        <v>1</v>
      </c>
    </row>
    <row r="7072" spans="1:16" x14ac:dyDescent="0.25">
      <c r="A7072" t="s">
        <v>2452</v>
      </c>
      <c r="B7072">
        <v>8040229</v>
      </c>
      <c r="C7072" t="s">
        <v>9735</v>
      </c>
      <c r="D7072" t="s">
        <v>80</v>
      </c>
      <c r="E7072" s="13">
        <v>100</v>
      </c>
      <c r="F7072" s="12">
        <v>0.82</v>
      </c>
      <c r="G7072" t="str">
        <f>IFERROR(INDEX(tEditais[Órgão],MATCH(tItens[[#This Row],[Edital]],tEditais[Edital],0)),"")</f>
        <v>MUNICIPIO DE ALTA FLORESTA D'OESTE</v>
      </c>
      <c r="H7072" t="str">
        <f>IFERROR(INDEX(tEditais[UF],MATCH(tItens[[#This Row],[Edital]],tEditais[Edital],0)),"")</f>
        <v>RO</v>
      </c>
      <c r="I7072" s="11">
        <f>IFERROR(INDEX(tEditais[Encerramento],MATCH(tItens[[#This Row],[Edital]],tEditais[Edital],0)),"")</f>
        <v>46309.416666666664</v>
      </c>
      <c r="J7072" t="str">
        <f>IFERROR(INDEX(tProdutos[Classe],MATCH(tItens[[#This Row],[Produto]],tProdutos[Produto],0)),"produto não cadastrado")</f>
        <v>NÚCLEO</v>
      </c>
      <c r="K7072" s="12">
        <f>tItens[[#This Row],[Qtd]]*tItens[[#This Row],[Vlr unit]]</f>
        <v>82</v>
      </c>
      <c r="L7072" s="6">
        <f>IFERROR(IF(INDEX(tProdutos[Desconto homologado],MATCH(tItens[[#This Row],[Produto]],tProdutos[Produto],0))="",DescontoPadrao,INDEX(tProdutos[Desconto homologado],MATCH(tItens[[#This Row],[Produto]],tProdutos[Produto],0))),DescontoPadrao)</f>
        <v>0.33</v>
      </c>
      <c r="M7072" s="12">
        <f>tItens[[#This Row],[Valor]]*(1-tItens[[#This Row],[Desconto]])</f>
        <v>54.94</v>
      </c>
      <c r="N7072" t="str">
        <f>IFERROR(INDEX(tProdutos[Foco],MATCH(tItens[[#This Row],[Produto]],tProdutos[Produto],0)),"Não")</f>
        <v>Sim</v>
      </c>
      <c r="O7072" t="str">
        <f>IFERROR(INDEX(tEditais[SRP],MATCH(tItens[[#This Row],[Edital]],tEditais[Edital],0)),"Não")</f>
        <v>Não</v>
      </c>
      <c r="P7072" s="4">
        <f>IF(COUNTIFS(INDEX(tItens[Edital],1):tItens[[#This Row],[Edital]],tItens[[#This Row],[Edital]],INDEX(tItens[Produto],1):tItens[[#This Row],[Produto]],tItens[[#This Row],[Produto]])=1,1,0)</f>
        <v>1</v>
      </c>
    </row>
    <row r="7073" spans="1:16" x14ac:dyDescent="0.25">
      <c r="A7073" t="s">
        <v>2452</v>
      </c>
      <c r="B7073">
        <v>8040244</v>
      </c>
      <c r="C7073" t="s">
        <v>9736</v>
      </c>
      <c r="D7073" t="s">
        <v>275</v>
      </c>
      <c r="E7073" s="13">
        <v>5000</v>
      </c>
      <c r="F7073" s="12">
        <v>0.28000000000000003</v>
      </c>
      <c r="G7073" t="str">
        <f>IFERROR(INDEX(tEditais[Órgão],MATCH(tItens[[#This Row],[Edital]],tEditais[Edital],0)),"")</f>
        <v>MUNICIPIO DE ALTA FLORESTA D'OESTE</v>
      </c>
      <c r="H7073" t="str">
        <f>IFERROR(INDEX(tEditais[UF],MATCH(tItens[[#This Row],[Edital]],tEditais[Edital],0)),"")</f>
        <v>RO</v>
      </c>
      <c r="I7073" s="11">
        <f>IFERROR(INDEX(tEditais[Encerramento],MATCH(tItens[[#This Row],[Edital]],tEditais[Edital],0)),"")</f>
        <v>46309.416666666664</v>
      </c>
      <c r="J7073" t="str">
        <f>IFERROR(INDEX(tProdutos[Classe],MATCH(tItens[[#This Row],[Produto]],tProdutos[Produto],0)),"produto não cadastrado")</f>
        <v>FORA</v>
      </c>
      <c r="K7073" s="12">
        <f>tItens[[#This Row],[Qtd]]*tItens[[#This Row],[Vlr unit]]</f>
        <v>1400.0000000000002</v>
      </c>
      <c r="L7073" s="6">
        <f>IFERROR(IF(INDEX(tProdutos[Desconto homologado],MATCH(tItens[[#This Row],[Produto]],tProdutos[Produto],0))="",DescontoPadrao,INDEX(tProdutos[Desconto homologado],MATCH(tItens[[#This Row],[Produto]],tProdutos[Produto],0))),DescontoPadrao)</f>
        <v>0.405797101449275</v>
      </c>
      <c r="M7073" s="12">
        <f>tItens[[#This Row],[Valor]]*(1-tItens[[#This Row],[Desconto]])</f>
        <v>831.88405797101518</v>
      </c>
      <c r="N7073" t="str">
        <f>IFERROR(INDEX(tProdutos[Foco],MATCH(tItens[[#This Row],[Produto]],tProdutos[Produto],0)),"Não")</f>
        <v>Não</v>
      </c>
      <c r="O7073" t="str">
        <f>IFERROR(INDEX(tEditais[SRP],MATCH(tItens[[#This Row],[Edital]],tEditais[Edital],0)),"Não")</f>
        <v>Não</v>
      </c>
      <c r="P7073" s="4">
        <f>IF(COUNTIFS(INDEX(tItens[Edital],1):tItens[[#This Row],[Edital]],tItens[[#This Row],[Edital]],INDEX(tItens[Produto],1):tItens[[#This Row],[Produto]],tItens[[#This Row],[Produto]])=1,1,0)</f>
        <v>1</v>
      </c>
    </row>
    <row r="7074" spans="1:16" x14ac:dyDescent="0.25">
      <c r="A7074" t="s">
        <v>2452</v>
      </c>
      <c r="B7074">
        <v>8040245</v>
      </c>
      <c r="C7074" t="s">
        <v>9737</v>
      </c>
      <c r="D7074" t="s">
        <v>275</v>
      </c>
      <c r="E7074" s="13">
        <v>40000</v>
      </c>
      <c r="F7074" s="12">
        <v>0.53</v>
      </c>
      <c r="G7074" t="str">
        <f>IFERROR(INDEX(tEditais[Órgão],MATCH(tItens[[#This Row],[Edital]],tEditais[Edital],0)),"")</f>
        <v>MUNICIPIO DE ALTA FLORESTA D'OESTE</v>
      </c>
      <c r="H7074" t="str">
        <f>IFERROR(INDEX(tEditais[UF],MATCH(tItens[[#This Row],[Edital]],tEditais[Edital],0)),"")</f>
        <v>RO</v>
      </c>
      <c r="I7074" s="11">
        <f>IFERROR(INDEX(tEditais[Encerramento],MATCH(tItens[[#This Row],[Edital]],tEditais[Edital],0)),"")</f>
        <v>46309.416666666664</v>
      </c>
      <c r="J7074" t="str">
        <f>IFERROR(INDEX(tProdutos[Classe],MATCH(tItens[[#This Row],[Produto]],tProdutos[Produto],0)),"produto não cadastrado")</f>
        <v>FORA</v>
      </c>
      <c r="K7074" s="12">
        <f>tItens[[#This Row],[Qtd]]*tItens[[#This Row],[Vlr unit]]</f>
        <v>21200</v>
      </c>
      <c r="L7074" s="6">
        <f>IFERROR(IF(INDEX(tProdutos[Desconto homologado],MATCH(tItens[[#This Row],[Produto]],tProdutos[Produto],0))="",DescontoPadrao,INDEX(tProdutos[Desconto homologado],MATCH(tItens[[#This Row],[Produto]],tProdutos[Produto],0))),DescontoPadrao)</f>
        <v>0.405797101449275</v>
      </c>
      <c r="M7074" s="12">
        <f>tItens[[#This Row],[Valor]]*(1-tItens[[#This Row],[Desconto]])</f>
        <v>12597.101449275371</v>
      </c>
      <c r="N7074" t="str">
        <f>IFERROR(INDEX(tProdutos[Foco],MATCH(tItens[[#This Row],[Produto]],tProdutos[Produto],0)),"Não")</f>
        <v>Não</v>
      </c>
      <c r="O7074" t="str">
        <f>IFERROR(INDEX(tEditais[SRP],MATCH(tItens[[#This Row],[Edital]],tEditais[Edital],0)),"Não")</f>
        <v>Não</v>
      </c>
      <c r="P7074" s="4">
        <f>IF(COUNTIFS(INDEX(tItens[Edital],1):tItens[[#This Row],[Edital]],tItens[[#This Row],[Edital]],INDEX(tItens[Produto],1):tItens[[#This Row],[Produto]],tItens[[#This Row],[Produto]])=1,1,0)</f>
        <v>0</v>
      </c>
    </row>
    <row r="7075" spans="1:16" x14ac:dyDescent="0.25">
      <c r="A7075" t="s">
        <v>2452</v>
      </c>
      <c r="B7075">
        <v>8040246</v>
      </c>
      <c r="C7075" t="s">
        <v>9738</v>
      </c>
      <c r="D7075" t="s">
        <v>275</v>
      </c>
      <c r="E7075" s="13">
        <v>10000</v>
      </c>
      <c r="F7075" s="12">
        <v>0.69</v>
      </c>
      <c r="G7075" t="str">
        <f>IFERROR(INDEX(tEditais[Órgão],MATCH(tItens[[#This Row],[Edital]],tEditais[Edital],0)),"")</f>
        <v>MUNICIPIO DE ALTA FLORESTA D'OESTE</v>
      </c>
      <c r="H7075" t="str">
        <f>IFERROR(INDEX(tEditais[UF],MATCH(tItens[[#This Row],[Edital]],tEditais[Edital],0)),"")</f>
        <v>RO</v>
      </c>
      <c r="I7075" s="11">
        <f>IFERROR(INDEX(tEditais[Encerramento],MATCH(tItens[[#This Row],[Edital]],tEditais[Edital],0)),"")</f>
        <v>46309.416666666664</v>
      </c>
      <c r="J7075" t="str">
        <f>IFERROR(INDEX(tProdutos[Classe],MATCH(tItens[[#This Row],[Produto]],tProdutos[Produto],0)),"produto não cadastrado")</f>
        <v>FORA</v>
      </c>
      <c r="K7075" s="12">
        <f>tItens[[#This Row],[Qtd]]*tItens[[#This Row],[Vlr unit]]</f>
        <v>6899.9999999999991</v>
      </c>
      <c r="L7075" s="6">
        <f>IFERROR(IF(INDEX(tProdutos[Desconto homologado],MATCH(tItens[[#This Row],[Produto]],tProdutos[Produto],0))="",DescontoPadrao,INDEX(tProdutos[Desconto homologado],MATCH(tItens[[#This Row],[Produto]],tProdutos[Produto],0))),DescontoPadrao)</f>
        <v>0.405797101449275</v>
      </c>
      <c r="M7075" s="12">
        <f>tItens[[#This Row],[Valor]]*(1-tItens[[#This Row],[Desconto]])</f>
        <v>4100.0000000000027</v>
      </c>
      <c r="N7075" t="str">
        <f>IFERROR(INDEX(tProdutos[Foco],MATCH(tItens[[#This Row],[Produto]],tProdutos[Produto],0)),"Não")</f>
        <v>Não</v>
      </c>
      <c r="O7075" t="str">
        <f>IFERROR(INDEX(tEditais[SRP],MATCH(tItens[[#This Row],[Edital]],tEditais[Edital],0)),"Não")</f>
        <v>Não</v>
      </c>
      <c r="P7075" s="4">
        <f>IF(COUNTIFS(INDEX(tItens[Edital],1):tItens[[#This Row],[Edital]],tItens[[#This Row],[Edital]],INDEX(tItens[Produto],1):tItens[[#This Row],[Produto]],tItens[[#This Row],[Produto]])=1,1,0)</f>
        <v>0</v>
      </c>
    </row>
    <row r="7076" spans="1:16" x14ac:dyDescent="0.25">
      <c r="A7076" t="s">
        <v>2452</v>
      </c>
      <c r="B7076">
        <v>8040247</v>
      </c>
      <c r="C7076" t="s">
        <v>9739</v>
      </c>
      <c r="D7076" t="s">
        <v>283</v>
      </c>
      <c r="E7076" s="13">
        <v>30000</v>
      </c>
      <c r="F7076" s="12">
        <v>0.4</v>
      </c>
      <c r="G7076" t="str">
        <f>IFERROR(INDEX(tEditais[Órgão],MATCH(tItens[[#This Row],[Edital]],tEditais[Edital],0)),"")</f>
        <v>MUNICIPIO DE ALTA FLORESTA D'OESTE</v>
      </c>
      <c r="H7076" t="str">
        <f>IFERROR(INDEX(tEditais[UF],MATCH(tItens[[#This Row],[Edital]],tEditais[Edital],0)),"")</f>
        <v>RO</v>
      </c>
      <c r="I7076" s="11">
        <f>IFERROR(INDEX(tEditais[Encerramento],MATCH(tItens[[#This Row],[Edital]],tEditais[Edital],0)),"")</f>
        <v>46309.416666666664</v>
      </c>
      <c r="J7076" t="str">
        <f>IFERROR(INDEX(tProdutos[Classe],MATCH(tItens[[#This Row],[Produto]],tProdutos[Produto],0)),"produto não cadastrado")</f>
        <v>FORA</v>
      </c>
      <c r="K7076" s="12">
        <f>tItens[[#This Row],[Qtd]]*tItens[[#This Row],[Vlr unit]]</f>
        <v>12000</v>
      </c>
      <c r="L7076" s="6">
        <f>IFERROR(IF(INDEX(tProdutos[Desconto homologado],MATCH(tItens[[#This Row],[Produto]],tProdutos[Produto],0))="",DescontoPadrao,INDEX(tProdutos[Desconto homologado],MATCH(tItens[[#This Row],[Produto]],tProdutos[Produto],0))),DescontoPadrao)</f>
        <v>0.40540540540540498</v>
      </c>
      <c r="M7076" s="12">
        <f>tItens[[#This Row],[Valor]]*(1-tItens[[#This Row],[Desconto]])</f>
        <v>7135.1351351351395</v>
      </c>
      <c r="N7076" t="str">
        <f>IFERROR(INDEX(tProdutos[Foco],MATCH(tItens[[#This Row],[Produto]],tProdutos[Produto],0)),"Não")</f>
        <v>Não</v>
      </c>
      <c r="O7076" t="str">
        <f>IFERROR(INDEX(tEditais[SRP],MATCH(tItens[[#This Row],[Edital]],tEditais[Edital],0)),"Não")</f>
        <v>Não</v>
      </c>
      <c r="P7076" s="4">
        <f>IF(COUNTIFS(INDEX(tItens[Edital],1):tItens[[#This Row],[Edital]],tItens[[#This Row],[Edital]],INDEX(tItens[Produto],1):tItens[[#This Row],[Produto]],tItens[[#This Row],[Produto]])=1,1,0)</f>
        <v>1</v>
      </c>
    </row>
    <row r="7077" spans="1:16" x14ac:dyDescent="0.25">
      <c r="A7077" t="s">
        <v>2452</v>
      </c>
      <c r="B7077">
        <v>8040248</v>
      </c>
      <c r="C7077" t="s">
        <v>9740</v>
      </c>
      <c r="D7077" t="s">
        <v>265</v>
      </c>
      <c r="E7077" s="13">
        <v>80000</v>
      </c>
      <c r="F7077" s="12">
        <v>0.39</v>
      </c>
      <c r="G7077" t="str">
        <f>IFERROR(INDEX(tEditais[Órgão],MATCH(tItens[[#This Row],[Edital]],tEditais[Edital],0)),"")</f>
        <v>MUNICIPIO DE ALTA FLORESTA D'OESTE</v>
      </c>
      <c r="H7077" t="str">
        <f>IFERROR(INDEX(tEditais[UF],MATCH(tItens[[#This Row],[Edital]],tEditais[Edital],0)),"")</f>
        <v>RO</v>
      </c>
      <c r="I7077" s="11">
        <f>IFERROR(INDEX(tEditais[Encerramento],MATCH(tItens[[#This Row],[Edital]],tEditais[Edital],0)),"")</f>
        <v>46309.416666666664</v>
      </c>
      <c r="J7077" t="str">
        <f>IFERROR(INDEX(tProdutos[Classe],MATCH(tItens[[#This Row],[Produto]],tProdutos[Produto],0)),"produto não cadastrado")</f>
        <v>DISPUTADO</v>
      </c>
      <c r="K7077" s="12">
        <f>tItens[[#This Row],[Qtd]]*tItens[[#This Row],[Vlr unit]]</f>
        <v>31200</v>
      </c>
      <c r="L7077" s="6">
        <f>IFERROR(IF(INDEX(tProdutos[Desconto homologado],MATCH(tItens[[#This Row],[Produto]],tProdutos[Produto],0))="",DescontoPadrao,INDEX(tProdutos[Desconto homologado],MATCH(tItens[[#This Row],[Produto]],tProdutos[Produto],0))),DescontoPadrao)</f>
        <v>0.377587663709337</v>
      </c>
      <c r="M7077" s="12">
        <f>tItens[[#This Row],[Valor]]*(1-tItens[[#This Row],[Desconto]])</f>
        <v>19419.264892268686</v>
      </c>
      <c r="N7077" t="str">
        <f>IFERROR(INDEX(tProdutos[Foco],MATCH(tItens[[#This Row],[Produto]],tProdutos[Produto],0)),"Não")</f>
        <v>Não</v>
      </c>
      <c r="O7077" t="str">
        <f>IFERROR(INDEX(tEditais[SRP],MATCH(tItens[[#This Row],[Edital]],tEditais[Edital],0)),"Não")</f>
        <v>Não</v>
      </c>
      <c r="P7077" s="4">
        <f>IF(COUNTIFS(INDEX(tItens[Edital],1):tItens[[#This Row],[Edital]],tItens[[#This Row],[Edital]],INDEX(tItens[Produto],1):tItens[[#This Row],[Produto]],tItens[[#This Row],[Produto]])=1,1,0)</f>
        <v>1</v>
      </c>
    </row>
    <row r="7078" spans="1:16" x14ac:dyDescent="0.25">
      <c r="A7078" t="s">
        <v>2452</v>
      </c>
      <c r="B7078">
        <v>8040249</v>
      </c>
      <c r="C7078" t="s">
        <v>9741</v>
      </c>
      <c r="D7078" t="s">
        <v>265</v>
      </c>
      <c r="E7078" s="13">
        <v>120000</v>
      </c>
      <c r="F7078" s="12">
        <v>0.38</v>
      </c>
      <c r="G7078" t="str">
        <f>IFERROR(INDEX(tEditais[Órgão],MATCH(tItens[[#This Row],[Edital]],tEditais[Edital],0)),"")</f>
        <v>MUNICIPIO DE ALTA FLORESTA D'OESTE</v>
      </c>
      <c r="H7078" t="str">
        <f>IFERROR(INDEX(tEditais[UF],MATCH(tItens[[#This Row],[Edital]],tEditais[Edital],0)),"")</f>
        <v>RO</v>
      </c>
      <c r="I7078" s="11">
        <f>IFERROR(INDEX(tEditais[Encerramento],MATCH(tItens[[#This Row],[Edital]],tEditais[Edital],0)),"")</f>
        <v>46309.416666666664</v>
      </c>
      <c r="J7078" t="str">
        <f>IFERROR(INDEX(tProdutos[Classe],MATCH(tItens[[#This Row],[Produto]],tProdutos[Produto],0)),"produto não cadastrado")</f>
        <v>DISPUTADO</v>
      </c>
      <c r="K7078" s="12">
        <f>tItens[[#This Row],[Qtd]]*tItens[[#This Row],[Vlr unit]]</f>
        <v>45600</v>
      </c>
      <c r="L7078" s="6">
        <f>IFERROR(IF(INDEX(tProdutos[Desconto homologado],MATCH(tItens[[#This Row],[Produto]],tProdutos[Produto],0))="",DescontoPadrao,INDEX(tProdutos[Desconto homologado],MATCH(tItens[[#This Row],[Produto]],tProdutos[Produto],0))),DescontoPadrao)</f>
        <v>0.377587663709337</v>
      </c>
      <c r="M7078" s="12">
        <f>tItens[[#This Row],[Valor]]*(1-tItens[[#This Row],[Desconto]])</f>
        <v>28382.002534854237</v>
      </c>
      <c r="N7078" t="str">
        <f>IFERROR(INDEX(tProdutos[Foco],MATCH(tItens[[#This Row],[Produto]],tProdutos[Produto],0)),"Não")</f>
        <v>Não</v>
      </c>
      <c r="O7078" t="str">
        <f>IFERROR(INDEX(tEditais[SRP],MATCH(tItens[[#This Row],[Edital]],tEditais[Edital],0)),"Não")</f>
        <v>Não</v>
      </c>
      <c r="P7078" s="4">
        <f>IF(COUNTIFS(INDEX(tItens[Edital],1):tItens[[#This Row],[Edital]],tItens[[#This Row],[Edital]],INDEX(tItens[Produto],1):tItens[[#This Row],[Produto]],tItens[[#This Row],[Produto]])=1,1,0)</f>
        <v>0</v>
      </c>
    </row>
    <row r="7079" spans="1:16" x14ac:dyDescent="0.25">
      <c r="A7079" t="s">
        <v>2452</v>
      </c>
      <c r="B7079">
        <v>8040250</v>
      </c>
      <c r="C7079" t="s">
        <v>9742</v>
      </c>
      <c r="D7079" t="s">
        <v>281</v>
      </c>
      <c r="E7079" s="13">
        <v>100000</v>
      </c>
      <c r="F7079" s="12">
        <v>0.6</v>
      </c>
      <c r="G7079" t="str">
        <f>IFERROR(INDEX(tEditais[Órgão],MATCH(tItens[[#This Row],[Edital]],tEditais[Edital],0)),"")</f>
        <v>MUNICIPIO DE ALTA FLORESTA D'OESTE</v>
      </c>
      <c r="H7079" t="str">
        <f>IFERROR(INDEX(tEditais[UF],MATCH(tItens[[#This Row],[Edital]],tEditais[Edital],0)),"")</f>
        <v>RO</v>
      </c>
      <c r="I7079" s="11">
        <f>IFERROR(INDEX(tEditais[Encerramento],MATCH(tItens[[#This Row],[Edital]],tEditais[Edital],0)),"")</f>
        <v>46309.416666666664</v>
      </c>
      <c r="J7079" t="str">
        <f>IFERROR(INDEX(tProdutos[Classe],MATCH(tItens[[#This Row],[Produto]],tProdutos[Produto],0)),"produto não cadastrado")</f>
        <v>DISPUTADO</v>
      </c>
      <c r="K7079" s="12">
        <f>tItens[[#This Row],[Qtd]]*tItens[[#This Row],[Vlr unit]]</f>
        <v>60000</v>
      </c>
      <c r="L7079" s="6">
        <f>IFERROR(IF(INDEX(tProdutos[Desconto homologado],MATCH(tItens[[#This Row],[Produto]],tProdutos[Produto],0))="",DescontoPadrao,INDEX(tProdutos[Desconto homologado],MATCH(tItens[[#This Row],[Produto]],tProdutos[Produto],0))),DescontoPadrao)</f>
        <v>0.42461538461538501</v>
      </c>
      <c r="M7079" s="12">
        <f>tItens[[#This Row],[Valor]]*(1-tItens[[#This Row],[Desconto]])</f>
        <v>34523.076923076893</v>
      </c>
      <c r="N7079" t="str">
        <f>IFERROR(INDEX(tProdutos[Foco],MATCH(tItens[[#This Row],[Produto]],tProdutos[Produto],0)),"Não")</f>
        <v>Não</v>
      </c>
      <c r="O7079" t="str">
        <f>IFERROR(INDEX(tEditais[SRP],MATCH(tItens[[#This Row],[Edital]],tEditais[Edital],0)),"Não")</f>
        <v>Não</v>
      </c>
      <c r="P7079" s="4">
        <f>IF(COUNTIFS(INDEX(tItens[Edital],1):tItens[[#This Row],[Edital]],tItens[[#This Row],[Edital]],INDEX(tItens[Produto],1):tItens[[#This Row],[Produto]],tItens[[#This Row],[Produto]])=1,1,0)</f>
        <v>1</v>
      </c>
    </row>
    <row r="7080" spans="1:16" x14ac:dyDescent="0.25">
      <c r="A7080" t="s">
        <v>2452</v>
      </c>
      <c r="B7080">
        <v>8040251</v>
      </c>
      <c r="C7080" t="s">
        <v>9743</v>
      </c>
      <c r="D7080" t="s">
        <v>281</v>
      </c>
      <c r="E7080" s="13">
        <v>50000</v>
      </c>
      <c r="F7080" s="12">
        <v>0.56000000000000005</v>
      </c>
      <c r="G7080" t="str">
        <f>IFERROR(INDEX(tEditais[Órgão],MATCH(tItens[[#This Row],[Edital]],tEditais[Edital],0)),"")</f>
        <v>MUNICIPIO DE ALTA FLORESTA D'OESTE</v>
      </c>
      <c r="H7080" t="str">
        <f>IFERROR(INDEX(tEditais[UF],MATCH(tItens[[#This Row],[Edital]],tEditais[Edital],0)),"")</f>
        <v>RO</v>
      </c>
      <c r="I7080" s="11">
        <f>IFERROR(INDEX(tEditais[Encerramento],MATCH(tItens[[#This Row],[Edital]],tEditais[Edital],0)),"")</f>
        <v>46309.416666666664</v>
      </c>
      <c r="J7080" t="str">
        <f>IFERROR(INDEX(tProdutos[Classe],MATCH(tItens[[#This Row],[Produto]],tProdutos[Produto],0)),"produto não cadastrado")</f>
        <v>DISPUTADO</v>
      </c>
      <c r="K7080" s="12">
        <f>tItens[[#This Row],[Qtd]]*tItens[[#This Row],[Vlr unit]]</f>
        <v>28000.000000000004</v>
      </c>
      <c r="L7080" s="6">
        <f>IFERROR(IF(INDEX(tProdutos[Desconto homologado],MATCH(tItens[[#This Row],[Produto]],tProdutos[Produto],0))="",DescontoPadrao,INDEX(tProdutos[Desconto homologado],MATCH(tItens[[#This Row],[Produto]],tProdutos[Produto],0))),DescontoPadrao)</f>
        <v>0.42461538461538501</v>
      </c>
      <c r="M7080" s="12">
        <f>tItens[[#This Row],[Valor]]*(1-tItens[[#This Row],[Desconto]])</f>
        <v>16110.76923076922</v>
      </c>
      <c r="N7080" t="str">
        <f>IFERROR(INDEX(tProdutos[Foco],MATCH(tItens[[#This Row],[Produto]],tProdutos[Produto],0)),"Não")</f>
        <v>Não</v>
      </c>
      <c r="O7080" t="str">
        <f>IFERROR(INDEX(tEditais[SRP],MATCH(tItens[[#This Row],[Edital]],tEditais[Edital],0)),"Não")</f>
        <v>Não</v>
      </c>
      <c r="P7080" s="4">
        <f>IF(COUNTIFS(INDEX(tItens[Edital],1):tItens[[#This Row],[Edital]],tItens[[#This Row],[Edital]],INDEX(tItens[Produto],1):tItens[[#This Row],[Produto]],tItens[[#This Row],[Produto]])=1,1,0)</f>
        <v>0</v>
      </c>
    </row>
    <row r="7081" spans="1:16" x14ac:dyDescent="0.25">
      <c r="A7081" t="s">
        <v>2452</v>
      </c>
      <c r="B7081">
        <v>8040252</v>
      </c>
      <c r="C7081" t="s">
        <v>9744</v>
      </c>
      <c r="D7081" t="s">
        <v>303</v>
      </c>
      <c r="E7081" s="13">
        <v>30000</v>
      </c>
      <c r="F7081" s="12">
        <v>0.72</v>
      </c>
      <c r="G7081" t="str">
        <f>IFERROR(INDEX(tEditais[Órgão],MATCH(tItens[[#This Row],[Edital]],tEditais[Edital],0)),"")</f>
        <v>MUNICIPIO DE ALTA FLORESTA D'OESTE</v>
      </c>
      <c r="H7081" t="str">
        <f>IFERROR(INDEX(tEditais[UF],MATCH(tItens[[#This Row],[Edital]],tEditais[Edital],0)),"")</f>
        <v>RO</v>
      </c>
      <c r="I7081" s="11">
        <f>IFERROR(INDEX(tEditais[Encerramento],MATCH(tItens[[#This Row],[Edital]],tEditais[Edital],0)),"")</f>
        <v>46309.416666666664</v>
      </c>
      <c r="J7081" t="str">
        <f>IFERROR(INDEX(tProdutos[Classe],MATCH(tItens[[#This Row],[Produto]],tProdutos[Produto],0)),"produto não cadastrado")</f>
        <v>FORA</v>
      </c>
      <c r="K7081" s="12">
        <f>tItens[[#This Row],[Qtd]]*tItens[[#This Row],[Vlr unit]]</f>
        <v>21600</v>
      </c>
      <c r="L7081" s="6">
        <f>IFERROR(IF(INDEX(tProdutos[Desconto homologado],MATCH(tItens[[#This Row],[Produto]],tProdutos[Produto],0))="",DescontoPadrao,INDEX(tProdutos[Desconto homologado],MATCH(tItens[[#This Row],[Produto]],tProdutos[Produto],0))),DescontoPadrao)</f>
        <v>0.35748048048048098</v>
      </c>
      <c r="M7081" s="12">
        <f>tItens[[#This Row],[Valor]]*(1-tItens[[#This Row],[Desconto]])</f>
        <v>13878.42162162161</v>
      </c>
      <c r="N7081" t="str">
        <f>IFERROR(INDEX(tProdutos[Foco],MATCH(tItens[[#This Row],[Produto]],tProdutos[Produto],0)),"Não")</f>
        <v>Não</v>
      </c>
      <c r="O7081" t="str">
        <f>IFERROR(INDEX(tEditais[SRP],MATCH(tItens[[#This Row],[Edital]],tEditais[Edital],0)),"Não")</f>
        <v>Não</v>
      </c>
      <c r="P7081" s="4">
        <f>IF(COUNTIFS(INDEX(tItens[Edital],1):tItens[[#This Row],[Edital]],tItens[[#This Row],[Edital]],INDEX(tItens[Produto],1):tItens[[#This Row],[Produto]],tItens[[#This Row],[Produto]])=1,1,0)</f>
        <v>1</v>
      </c>
    </row>
    <row r="7082" spans="1:16" x14ac:dyDescent="0.25">
      <c r="A7082" t="s">
        <v>2452</v>
      </c>
      <c r="B7082">
        <v>8040253</v>
      </c>
      <c r="C7082" t="s">
        <v>9745</v>
      </c>
      <c r="D7082" t="s">
        <v>303</v>
      </c>
      <c r="E7082" s="13">
        <v>80000</v>
      </c>
      <c r="F7082" s="12">
        <v>0.87</v>
      </c>
      <c r="G7082" t="str">
        <f>IFERROR(INDEX(tEditais[Órgão],MATCH(tItens[[#This Row],[Edital]],tEditais[Edital],0)),"")</f>
        <v>MUNICIPIO DE ALTA FLORESTA D'OESTE</v>
      </c>
      <c r="H7082" t="str">
        <f>IFERROR(INDEX(tEditais[UF],MATCH(tItens[[#This Row],[Edital]],tEditais[Edital],0)),"")</f>
        <v>RO</v>
      </c>
      <c r="I7082" s="11">
        <f>IFERROR(INDEX(tEditais[Encerramento],MATCH(tItens[[#This Row],[Edital]],tEditais[Edital],0)),"")</f>
        <v>46309.416666666664</v>
      </c>
      <c r="J7082" t="str">
        <f>IFERROR(INDEX(tProdutos[Classe],MATCH(tItens[[#This Row],[Produto]],tProdutos[Produto],0)),"produto não cadastrado")</f>
        <v>FORA</v>
      </c>
      <c r="K7082" s="12">
        <f>tItens[[#This Row],[Qtd]]*tItens[[#This Row],[Vlr unit]]</f>
        <v>69600</v>
      </c>
      <c r="L7082" s="6">
        <f>IFERROR(IF(INDEX(tProdutos[Desconto homologado],MATCH(tItens[[#This Row],[Produto]],tProdutos[Produto],0))="",DescontoPadrao,INDEX(tProdutos[Desconto homologado],MATCH(tItens[[#This Row],[Produto]],tProdutos[Produto],0))),DescontoPadrao)</f>
        <v>0.35748048048048098</v>
      </c>
      <c r="M7082" s="12">
        <f>tItens[[#This Row],[Valor]]*(1-tItens[[#This Row],[Desconto]])</f>
        <v>44719.358558558524</v>
      </c>
      <c r="N7082" t="str">
        <f>IFERROR(INDEX(tProdutos[Foco],MATCH(tItens[[#This Row],[Produto]],tProdutos[Produto],0)),"Não")</f>
        <v>Não</v>
      </c>
      <c r="O7082" t="str">
        <f>IFERROR(INDEX(tEditais[SRP],MATCH(tItens[[#This Row],[Edital]],tEditais[Edital],0)),"Não")</f>
        <v>Não</v>
      </c>
      <c r="P7082" s="4">
        <f>IF(COUNTIFS(INDEX(tItens[Edital],1):tItens[[#This Row],[Edital]],tItens[[#This Row],[Edital]],INDEX(tItens[Produto],1):tItens[[#This Row],[Produto]],tItens[[#This Row],[Produto]])=1,1,0)</f>
        <v>0</v>
      </c>
    </row>
    <row r="7083" spans="1:16" x14ac:dyDescent="0.25">
      <c r="A7083" t="s">
        <v>2452</v>
      </c>
      <c r="B7083">
        <v>8040254</v>
      </c>
      <c r="C7083" t="s">
        <v>9746</v>
      </c>
      <c r="D7083" t="s">
        <v>303</v>
      </c>
      <c r="E7083" s="13">
        <v>50000</v>
      </c>
      <c r="F7083" s="12">
        <v>0.75</v>
      </c>
      <c r="G7083" t="str">
        <f>IFERROR(INDEX(tEditais[Órgão],MATCH(tItens[[#This Row],[Edital]],tEditais[Edital],0)),"")</f>
        <v>MUNICIPIO DE ALTA FLORESTA D'OESTE</v>
      </c>
      <c r="H7083" t="str">
        <f>IFERROR(INDEX(tEditais[UF],MATCH(tItens[[#This Row],[Edital]],tEditais[Edital],0)),"")</f>
        <v>RO</v>
      </c>
      <c r="I7083" s="11">
        <f>IFERROR(INDEX(tEditais[Encerramento],MATCH(tItens[[#This Row],[Edital]],tEditais[Edital],0)),"")</f>
        <v>46309.416666666664</v>
      </c>
      <c r="J7083" t="str">
        <f>IFERROR(INDEX(tProdutos[Classe],MATCH(tItens[[#This Row],[Produto]],tProdutos[Produto],0)),"produto não cadastrado")</f>
        <v>FORA</v>
      </c>
      <c r="K7083" s="12">
        <f>tItens[[#This Row],[Qtd]]*tItens[[#This Row],[Vlr unit]]</f>
        <v>37500</v>
      </c>
      <c r="L7083" s="6">
        <f>IFERROR(IF(INDEX(tProdutos[Desconto homologado],MATCH(tItens[[#This Row],[Produto]],tProdutos[Produto],0))="",DescontoPadrao,INDEX(tProdutos[Desconto homologado],MATCH(tItens[[#This Row],[Produto]],tProdutos[Produto],0))),DescontoPadrao)</f>
        <v>0.35748048048048098</v>
      </c>
      <c r="M7083" s="12">
        <f>tItens[[#This Row],[Valor]]*(1-tItens[[#This Row],[Desconto]])</f>
        <v>24094.481981981964</v>
      </c>
      <c r="N7083" t="str">
        <f>IFERROR(INDEX(tProdutos[Foco],MATCH(tItens[[#This Row],[Produto]],tProdutos[Produto],0)),"Não")</f>
        <v>Não</v>
      </c>
      <c r="O7083" t="str">
        <f>IFERROR(INDEX(tEditais[SRP],MATCH(tItens[[#This Row],[Edital]],tEditais[Edital],0)),"Não")</f>
        <v>Não</v>
      </c>
      <c r="P7083" s="4">
        <f>IF(COUNTIFS(INDEX(tItens[Edital],1):tItens[[#This Row],[Edital]],tItens[[#This Row],[Edital]],INDEX(tItens[Produto],1):tItens[[#This Row],[Produto]],tItens[[#This Row],[Produto]])=1,1,0)</f>
        <v>0</v>
      </c>
    </row>
    <row r="7084" spans="1:16" x14ac:dyDescent="0.25">
      <c r="A7084" t="s">
        <v>2452</v>
      </c>
      <c r="B7084">
        <v>8040259</v>
      </c>
      <c r="C7084" t="s">
        <v>9747</v>
      </c>
      <c r="D7084" t="s">
        <v>164</v>
      </c>
      <c r="E7084" s="13">
        <v>200</v>
      </c>
      <c r="F7084" s="12">
        <v>15.03</v>
      </c>
      <c r="G7084" t="str">
        <f>IFERROR(INDEX(tEditais[Órgão],MATCH(tItens[[#This Row],[Edital]],tEditais[Edital],0)),"")</f>
        <v>MUNICIPIO DE ALTA FLORESTA D'OESTE</v>
      </c>
      <c r="H7084" t="str">
        <f>IFERROR(INDEX(tEditais[UF],MATCH(tItens[[#This Row],[Edital]],tEditais[Edital],0)),"")</f>
        <v>RO</v>
      </c>
      <c r="I7084" s="11">
        <f>IFERROR(INDEX(tEditais[Encerramento],MATCH(tItens[[#This Row],[Edital]],tEditais[Edital],0)),"")</f>
        <v>46309.416666666664</v>
      </c>
      <c r="J7084" t="str">
        <f>IFERROR(INDEX(tProdutos[Classe],MATCH(tItens[[#This Row],[Produto]],tProdutos[Produto],0)),"produto não cadastrado")</f>
        <v>DISPUTADO</v>
      </c>
      <c r="K7084" s="12">
        <f>tItens[[#This Row],[Qtd]]*tItens[[#This Row],[Vlr unit]]</f>
        <v>3006</v>
      </c>
      <c r="L7084" s="6">
        <f>IFERROR(IF(INDEX(tProdutos[Desconto homologado],MATCH(tItens[[#This Row],[Produto]],tProdutos[Produto],0))="",DescontoPadrao,INDEX(tProdutos[Desconto homologado],MATCH(tItens[[#This Row],[Produto]],tProdutos[Produto],0))),DescontoPadrao)</f>
        <v>0.445300462249615</v>
      </c>
      <c r="M7084" s="12">
        <f>tItens[[#This Row],[Valor]]*(1-tItens[[#This Row],[Desconto]])</f>
        <v>1667.4268104776572</v>
      </c>
      <c r="N7084" t="str">
        <f>IFERROR(INDEX(tProdutos[Foco],MATCH(tItens[[#This Row],[Produto]],tProdutos[Produto],0)),"Não")</f>
        <v>Não</v>
      </c>
      <c r="O7084" t="str">
        <f>IFERROR(INDEX(tEditais[SRP],MATCH(tItens[[#This Row],[Edital]],tEditais[Edital],0)),"Não")</f>
        <v>Não</v>
      </c>
      <c r="P7084" s="4">
        <f>IF(COUNTIFS(INDEX(tItens[Edital],1):tItens[[#This Row],[Edital]],tItens[[#This Row],[Edital]],INDEX(tItens[Produto],1):tItens[[#This Row],[Produto]],tItens[[#This Row],[Produto]])=1,1,0)</f>
        <v>1</v>
      </c>
    </row>
    <row r="7085" spans="1:16" x14ac:dyDescent="0.25">
      <c r="A7085" t="s">
        <v>2452</v>
      </c>
      <c r="B7085">
        <v>8040260</v>
      </c>
      <c r="C7085" t="s">
        <v>9748</v>
      </c>
      <c r="D7085" t="s">
        <v>164</v>
      </c>
      <c r="E7085" s="13">
        <v>200</v>
      </c>
      <c r="F7085" s="12">
        <v>20.350000000000001</v>
      </c>
      <c r="G7085" t="str">
        <f>IFERROR(INDEX(tEditais[Órgão],MATCH(tItens[[#This Row],[Edital]],tEditais[Edital],0)),"")</f>
        <v>MUNICIPIO DE ALTA FLORESTA D'OESTE</v>
      </c>
      <c r="H7085" t="str">
        <f>IFERROR(INDEX(tEditais[UF],MATCH(tItens[[#This Row],[Edital]],tEditais[Edital],0)),"")</f>
        <v>RO</v>
      </c>
      <c r="I7085" s="11">
        <f>IFERROR(INDEX(tEditais[Encerramento],MATCH(tItens[[#This Row],[Edital]],tEditais[Edital],0)),"")</f>
        <v>46309.416666666664</v>
      </c>
      <c r="J7085" t="str">
        <f>IFERROR(INDEX(tProdutos[Classe],MATCH(tItens[[#This Row],[Produto]],tProdutos[Produto],0)),"produto não cadastrado")</f>
        <v>DISPUTADO</v>
      </c>
      <c r="K7085" s="12">
        <f>tItens[[#This Row],[Qtd]]*tItens[[#This Row],[Vlr unit]]</f>
        <v>4070.0000000000005</v>
      </c>
      <c r="L7085" s="6">
        <f>IFERROR(IF(INDEX(tProdutos[Desconto homologado],MATCH(tItens[[#This Row],[Produto]],tProdutos[Produto],0))="",DescontoPadrao,INDEX(tProdutos[Desconto homologado],MATCH(tItens[[#This Row],[Produto]],tProdutos[Produto],0))),DescontoPadrao)</f>
        <v>0.445300462249615</v>
      </c>
      <c r="M7085" s="12">
        <f>tItens[[#This Row],[Valor]]*(1-tItens[[#This Row],[Desconto]])</f>
        <v>2257.6271186440667</v>
      </c>
      <c r="N7085" t="str">
        <f>IFERROR(INDEX(tProdutos[Foco],MATCH(tItens[[#This Row],[Produto]],tProdutos[Produto],0)),"Não")</f>
        <v>Não</v>
      </c>
      <c r="O7085" t="str">
        <f>IFERROR(INDEX(tEditais[SRP],MATCH(tItens[[#This Row],[Edital]],tEditais[Edital],0)),"Não")</f>
        <v>Não</v>
      </c>
      <c r="P7085" s="4">
        <f>IF(COUNTIFS(INDEX(tItens[Edital],1):tItens[[#This Row],[Edital]],tItens[[#This Row],[Edital]],INDEX(tItens[Produto],1):tItens[[#This Row],[Produto]],tItens[[#This Row],[Produto]])=1,1,0)</f>
        <v>0</v>
      </c>
    </row>
    <row r="7086" spans="1:16" x14ac:dyDescent="0.25">
      <c r="A7086" t="s">
        <v>2452</v>
      </c>
      <c r="B7086">
        <v>8040261</v>
      </c>
      <c r="C7086" t="s">
        <v>9749</v>
      </c>
      <c r="D7086" t="s">
        <v>164</v>
      </c>
      <c r="E7086" s="13">
        <v>100</v>
      </c>
      <c r="F7086" s="12">
        <v>19.46</v>
      </c>
      <c r="G7086" t="str">
        <f>IFERROR(INDEX(tEditais[Órgão],MATCH(tItens[[#This Row],[Edital]],tEditais[Edital],0)),"")</f>
        <v>MUNICIPIO DE ALTA FLORESTA D'OESTE</v>
      </c>
      <c r="H7086" t="str">
        <f>IFERROR(INDEX(tEditais[UF],MATCH(tItens[[#This Row],[Edital]],tEditais[Edital],0)),"")</f>
        <v>RO</v>
      </c>
      <c r="I7086" s="11">
        <f>IFERROR(INDEX(tEditais[Encerramento],MATCH(tItens[[#This Row],[Edital]],tEditais[Edital],0)),"")</f>
        <v>46309.416666666664</v>
      </c>
      <c r="J7086" t="str">
        <f>IFERROR(INDEX(tProdutos[Classe],MATCH(tItens[[#This Row],[Produto]],tProdutos[Produto],0)),"produto não cadastrado")</f>
        <v>DISPUTADO</v>
      </c>
      <c r="K7086" s="12">
        <f>tItens[[#This Row],[Qtd]]*tItens[[#This Row],[Vlr unit]]</f>
        <v>1946</v>
      </c>
      <c r="L7086" s="6">
        <f>IFERROR(IF(INDEX(tProdutos[Desconto homologado],MATCH(tItens[[#This Row],[Produto]],tProdutos[Produto],0))="",DescontoPadrao,INDEX(tProdutos[Desconto homologado],MATCH(tItens[[#This Row],[Produto]],tProdutos[Produto],0))),DescontoPadrao)</f>
        <v>0.445300462249615</v>
      </c>
      <c r="M7086" s="12">
        <f>tItens[[#This Row],[Valor]]*(1-tItens[[#This Row],[Desconto]])</f>
        <v>1079.4453004622492</v>
      </c>
      <c r="N7086" t="str">
        <f>IFERROR(INDEX(tProdutos[Foco],MATCH(tItens[[#This Row],[Produto]],tProdutos[Produto],0)),"Não")</f>
        <v>Não</v>
      </c>
      <c r="O7086" t="str">
        <f>IFERROR(INDEX(tEditais[SRP],MATCH(tItens[[#This Row],[Edital]],tEditais[Edital],0)),"Não")</f>
        <v>Não</v>
      </c>
      <c r="P7086" s="4">
        <f>IF(COUNTIFS(INDEX(tItens[Edital],1):tItens[[#This Row],[Edital]],tItens[[#This Row],[Edital]],INDEX(tItens[Produto],1):tItens[[#This Row],[Produto]],tItens[[#This Row],[Produto]])=1,1,0)</f>
        <v>0</v>
      </c>
    </row>
    <row r="7087" spans="1:16" x14ac:dyDescent="0.25">
      <c r="A7087" t="s">
        <v>2452</v>
      </c>
      <c r="B7087">
        <v>8040262</v>
      </c>
      <c r="C7087" t="s">
        <v>9750</v>
      </c>
      <c r="D7087" t="s">
        <v>164</v>
      </c>
      <c r="E7087" s="13">
        <v>50</v>
      </c>
      <c r="F7087" s="12">
        <v>18.440000000000001</v>
      </c>
      <c r="G7087" t="str">
        <f>IFERROR(INDEX(tEditais[Órgão],MATCH(tItens[[#This Row],[Edital]],tEditais[Edital],0)),"")</f>
        <v>MUNICIPIO DE ALTA FLORESTA D'OESTE</v>
      </c>
      <c r="H7087" t="str">
        <f>IFERROR(INDEX(tEditais[UF],MATCH(tItens[[#This Row],[Edital]],tEditais[Edital],0)),"")</f>
        <v>RO</v>
      </c>
      <c r="I7087" s="11">
        <f>IFERROR(INDEX(tEditais[Encerramento],MATCH(tItens[[#This Row],[Edital]],tEditais[Edital],0)),"")</f>
        <v>46309.416666666664</v>
      </c>
      <c r="J7087" t="str">
        <f>IFERROR(INDEX(tProdutos[Classe],MATCH(tItens[[#This Row],[Produto]],tProdutos[Produto],0)),"produto não cadastrado")</f>
        <v>DISPUTADO</v>
      </c>
      <c r="K7087" s="12">
        <f>tItens[[#This Row],[Qtd]]*tItens[[#This Row],[Vlr unit]]</f>
        <v>922.00000000000011</v>
      </c>
      <c r="L7087" s="6">
        <f>IFERROR(IF(INDEX(tProdutos[Desconto homologado],MATCH(tItens[[#This Row],[Produto]],tProdutos[Produto],0))="",DescontoPadrao,INDEX(tProdutos[Desconto homologado],MATCH(tItens[[#This Row],[Produto]],tProdutos[Produto],0))),DescontoPadrao)</f>
        <v>0.445300462249615</v>
      </c>
      <c r="M7087" s="12">
        <f>tItens[[#This Row],[Valor]]*(1-tItens[[#This Row],[Desconto]])</f>
        <v>511.432973805855</v>
      </c>
      <c r="N7087" t="str">
        <f>IFERROR(INDEX(tProdutos[Foco],MATCH(tItens[[#This Row],[Produto]],tProdutos[Produto],0)),"Não")</f>
        <v>Não</v>
      </c>
      <c r="O7087" t="str">
        <f>IFERROR(INDEX(tEditais[SRP],MATCH(tItens[[#This Row],[Edital]],tEditais[Edital],0)),"Não")</f>
        <v>Não</v>
      </c>
      <c r="P7087" s="4">
        <f>IF(COUNTIFS(INDEX(tItens[Edital],1):tItens[[#This Row],[Edital]],tItens[[#This Row],[Edital]],INDEX(tItens[Produto],1):tItens[[#This Row],[Produto]],tItens[[#This Row],[Produto]])=1,1,0)</f>
        <v>0</v>
      </c>
    </row>
    <row r="7088" spans="1:16" x14ac:dyDescent="0.25">
      <c r="A7088" t="s">
        <v>2452</v>
      </c>
      <c r="B7088">
        <v>8040263</v>
      </c>
      <c r="C7088" t="s">
        <v>9751</v>
      </c>
      <c r="D7088" t="s">
        <v>184</v>
      </c>
      <c r="E7088" s="13">
        <v>40</v>
      </c>
      <c r="F7088" s="12">
        <v>1.86</v>
      </c>
      <c r="G7088" t="str">
        <f>IFERROR(INDEX(tEditais[Órgão],MATCH(tItens[[#This Row],[Edital]],tEditais[Edital],0)),"")</f>
        <v>MUNICIPIO DE ALTA FLORESTA D'OESTE</v>
      </c>
      <c r="H7088" t="str">
        <f>IFERROR(INDEX(tEditais[UF],MATCH(tItens[[#This Row],[Edital]],tEditais[Edital],0)),"")</f>
        <v>RO</v>
      </c>
      <c r="I7088" s="11">
        <f>IFERROR(INDEX(tEditais[Encerramento],MATCH(tItens[[#This Row],[Edital]],tEditais[Edital],0)),"")</f>
        <v>46309.416666666664</v>
      </c>
      <c r="J7088" t="str">
        <f>IFERROR(INDEX(tProdutos[Classe],MATCH(tItens[[#This Row],[Produto]],tProdutos[Produto],0)),"produto não cadastrado")</f>
        <v>FORA</v>
      </c>
      <c r="K7088" s="12">
        <f>tItens[[#This Row],[Qtd]]*tItens[[#This Row],[Vlr unit]]</f>
        <v>74.400000000000006</v>
      </c>
      <c r="L7088" s="6">
        <f>IFERROR(IF(INDEX(tProdutos[Desconto homologado],MATCH(tItens[[#This Row],[Produto]],tProdutos[Produto],0))="",DescontoPadrao,INDEX(tProdutos[Desconto homologado],MATCH(tItens[[#This Row],[Produto]],tProdutos[Produto],0))),DescontoPadrao)</f>
        <v>0.363567906332742</v>
      </c>
      <c r="M7088" s="12">
        <f>tItens[[#This Row],[Valor]]*(1-tItens[[#This Row],[Desconto]])</f>
        <v>47.350547768844002</v>
      </c>
      <c r="N7088" t="str">
        <f>IFERROR(INDEX(tProdutos[Foco],MATCH(tItens[[#This Row],[Produto]],tProdutos[Produto],0)),"Não")</f>
        <v>Não</v>
      </c>
      <c r="O7088" t="str">
        <f>IFERROR(INDEX(tEditais[SRP],MATCH(tItens[[#This Row],[Edital]],tEditais[Edital],0)),"Não")</f>
        <v>Não</v>
      </c>
      <c r="P7088" s="4">
        <f>IF(COUNTIFS(INDEX(tItens[Edital],1):tItens[[#This Row],[Edital]],tItens[[#This Row],[Edital]],INDEX(tItens[Produto],1):tItens[[#This Row],[Produto]],tItens[[#This Row],[Produto]])=1,1,0)</f>
        <v>1</v>
      </c>
    </row>
    <row r="7089" spans="1:16" x14ac:dyDescent="0.25">
      <c r="A7089" t="s">
        <v>2452</v>
      </c>
      <c r="B7089">
        <v>8040264</v>
      </c>
      <c r="C7089" t="s">
        <v>9752</v>
      </c>
      <c r="D7089" t="s">
        <v>184</v>
      </c>
      <c r="E7089" s="13">
        <v>40</v>
      </c>
      <c r="F7089" s="12">
        <v>4.03</v>
      </c>
      <c r="G7089" t="str">
        <f>IFERROR(INDEX(tEditais[Órgão],MATCH(tItens[[#This Row],[Edital]],tEditais[Edital],0)),"")</f>
        <v>MUNICIPIO DE ALTA FLORESTA D'OESTE</v>
      </c>
      <c r="H7089" t="str">
        <f>IFERROR(INDEX(tEditais[UF],MATCH(tItens[[#This Row],[Edital]],tEditais[Edital],0)),"")</f>
        <v>RO</v>
      </c>
      <c r="I7089" s="11">
        <f>IFERROR(INDEX(tEditais[Encerramento],MATCH(tItens[[#This Row],[Edital]],tEditais[Edital],0)),"")</f>
        <v>46309.416666666664</v>
      </c>
      <c r="J7089" t="str">
        <f>IFERROR(INDEX(tProdutos[Classe],MATCH(tItens[[#This Row],[Produto]],tProdutos[Produto],0)),"produto não cadastrado")</f>
        <v>FORA</v>
      </c>
      <c r="K7089" s="12">
        <f>tItens[[#This Row],[Qtd]]*tItens[[#This Row],[Vlr unit]]</f>
        <v>161.20000000000002</v>
      </c>
      <c r="L7089" s="6">
        <f>IFERROR(IF(INDEX(tProdutos[Desconto homologado],MATCH(tItens[[#This Row],[Produto]],tProdutos[Produto],0))="",DescontoPadrao,INDEX(tProdutos[Desconto homologado],MATCH(tItens[[#This Row],[Produto]],tProdutos[Produto],0))),DescontoPadrao)</f>
        <v>0.363567906332742</v>
      </c>
      <c r="M7089" s="12">
        <f>tItens[[#This Row],[Valor]]*(1-tItens[[#This Row],[Desconto]])</f>
        <v>102.592853499162</v>
      </c>
      <c r="N7089" t="str">
        <f>IFERROR(INDEX(tProdutos[Foco],MATCH(tItens[[#This Row],[Produto]],tProdutos[Produto],0)),"Não")</f>
        <v>Não</v>
      </c>
      <c r="O7089" t="str">
        <f>IFERROR(INDEX(tEditais[SRP],MATCH(tItens[[#This Row],[Edital]],tEditais[Edital],0)),"Não")</f>
        <v>Não</v>
      </c>
      <c r="P7089" s="4">
        <f>IF(COUNTIFS(INDEX(tItens[Edital],1):tItens[[#This Row],[Edital]],tItens[[#This Row],[Edital]],INDEX(tItens[Produto],1):tItens[[#This Row],[Produto]],tItens[[#This Row],[Produto]])=1,1,0)</f>
        <v>0</v>
      </c>
    </row>
    <row r="7090" spans="1:16" x14ac:dyDescent="0.25">
      <c r="A7090" t="s">
        <v>2452</v>
      </c>
      <c r="B7090">
        <v>8040265</v>
      </c>
      <c r="C7090" t="s">
        <v>9753</v>
      </c>
      <c r="D7090" t="s">
        <v>184</v>
      </c>
      <c r="E7090" s="13">
        <v>40</v>
      </c>
      <c r="F7090" s="12">
        <v>4.0599999999999996</v>
      </c>
      <c r="G7090" t="str">
        <f>IFERROR(INDEX(tEditais[Órgão],MATCH(tItens[[#This Row],[Edital]],tEditais[Edital],0)),"")</f>
        <v>MUNICIPIO DE ALTA FLORESTA D'OESTE</v>
      </c>
      <c r="H7090" t="str">
        <f>IFERROR(INDEX(tEditais[UF],MATCH(tItens[[#This Row],[Edital]],tEditais[Edital],0)),"")</f>
        <v>RO</v>
      </c>
      <c r="I7090" s="11">
        <f>IFERROR(INDEX(tEditais[Encerramento],MATCH(tItens[[#This Row],[Edital]],tEditais[Edital],0)),"")</f>
        <v>46309.416666666664</v>
      </c>
      <c r="J7090" t="str">
        <f>IFERROR(INDEX(tProdutos[Classe],MATCH(tItens[[#This Row],[Produto]],tProdutos[Produto],0)),"produto não cadastrado")</f>
        <v>FORA</v>
      </c>
      <c r="K7090" s="12">
        <f>tItens[[#This Row],[Qtd]]*tItens[[#This Row],[Vlr unit]]</f>
        <v>162.39999999999998</v>
      </c>
      <c r="L7090" s="6">
        <f>IFERROR(IF(INDEX(tProdutos[Desconto homologado],MATCH(tItens[[#This Row],[Produto]],tProdutos[Produto],0))="",DescontoPadrao,INDEX(tProdutos[Desconto homologado],MATCH(tItens[[#This Row],[Produto]],tProdutos[Produto],0))),DescontoPadrao)</f>
        <v>0.363567906332742</v>
      </c>
      <c r="M7090" s="12">
        <f>tItens[[#This Row],[Valor]]*(1-tItens[[#This Row],[Desconto]])</f>
        <v>103.35657201156269</v>
      </c>
      <c r="N7090" t="str">
        <f>IFERROR(INDEX(tProdutos[Foco],MATCH(tItens[[#This Row],[Produto]],tProdutos[Produto],0)),"Não")</f>
        <v>Não</v>
      </c>
      <c r="O7090" t="str">
        <f>IFERROR(INDEX(tEditais[SRP],MATCH(tItens[[#This Row],[Edital]],tEditais[Edital],0)),"Não")</f>
        <v>Não</v>
      </c>
      <c r="P7090" s="4">
        <f>IF(COUNTIFS(INDEX(tItens[Edital],1):tItens[[#This Row],[Edital]],tItens[[#This Row],[Edital]],INDEX(tItens[Produto],1):tItens[[#This Row],[Produto]],tItens[[#This Row],[Produto]])=1,1,0)</f>
        <v>0</v>
      </c>
    </row>
    <row r="7091" spans="1:16" x14ac:dyDescent="0.25">
      <c r="A7091" t="s">
        <v>2452</v>
      </c>
      <c r="B7091">
        <v>8040266</v>
      </c>
      <c r="C7091" t="s">
        <v>9754</v>
      </c>
      <c r="D7091" t="s">
        <v>184</v>
      </c>
      <c r="E7091" s="13">
        <v>50</v>
      </c>
      <c r="F7091" s="12">
        <v>4.2</v>
      </c>
      <c r="G7091" t="str">
        <f>IFERROR(INDEX(tEditais[Órgão],MATCH(tItens[[#This Row],[Edital]],tEditais[Edital],0)),"")</f>
        <v>MUNICIPIO DE ALTA FLORESTA D'OESTE</v>
      </c>
      <c r="H7091" t="str">
        <f>IFERROR(INDEX(tEditais[UF],MATCH(tItens[[#This Row],[Edital]],tEditais[Edital],0)),"")</f>
        <v>RO</v>
      </c>
      <c r="I7091" s="11">
        <f>IFERROR(INDEX(tEditais[Encerramento],MATCH(tItens[[#This Row],[Edital]],tEditais[Edital],0)),"")</f>
        <v>46309.416666666664</v>
      </c>
      <c r="J7091" t="str">
        <f>IFERROR(INDEX(tProdutos[Classe],MATCH(tItens[[#This Row],[Produto]],tProdutos[Produto],0)),"produto não cadastrado")</f>
        <v>FORA</v>
      </c>
      <c r="K7091" s="12">
        <f>tItens[[#This Row],[Qtd]]*tItens[[#This Row],[Vlr unit]]</f>
        <v>210</v>
      </c>
      <c r="L7091" s="6">
        <f>IFERROR(IF(INDEX(tProdutos[Desconto homologado],MATCH(tItens[[#This Row],[Produto]],tProdutos[Produto],0))="",DescontoPadrao,INDEX(tProdutos[Desconto homologado],MATCH(tItens[[#This Row],[Produto]],tProdutos[Produto],0))),DescontoPadrao)</f>
        <v>0.363567906332742</v>
      </c>
      <c r="M7091" s="12">
        <f>tItens[[#This Row],[Valor]]*(1-tItens[[#This Row],[Desconto]])</f>
        <v>133.65073967012418</v>
      </c>
      <c r="N7091" t="str">
        <f>IFERROR(INDEX(tProdutos[Foco],MATCH(tItens[[#This Row],[Produto]],tProdutos[Produto],0)),"Não")</f>
        <v>Não</v>
      </c>
      <c r="O7091" t="str">
        <f>IFERROR(INDEX(tEditais[SRP],MATCH(tItens[[#This Row],[Edital]],tEditais[Edital],0)),"Não")</f>
        <v>Não</v>
      </c>
      <c r="P7091" s="4">
        <f>IF(COUNTIFS(INDEX(tItens[Edital],1):tItens[[#This Row],[Edital]],tItens[[#This Row],[Edital]],INDEX(tItens[Produto],1):tItens[[#This Row],[Produto]],tItens[[#This Row],[Produto]])=1,1,0)</f>
        <v>0</v>
      </c>
    </row>
    <row r="7092" spans="1:16" x14ac:dyDescent="0.25">
      <c r="A7092" t="s">
        <v>2452</v>
      </c>
      <c r="B7092">
        <v>8040267</v>
      </c>
      <c r="C7092" t="s">
        <v>9755</v>
      </c>
      <c r="D7092" t="s">
        <v>184</v>
      </c>
      <c r="E7092" s="13">
        <v>150</v>
      </c>
      <c r="F7092" s="12">
        <v>4.4000000000000004</v>
      </c>
      <c r="G7092" t="str">
        <f>IFERROR(INDEX(tEditais[Órgão],MATCH(tItens[[#This Row],[Edital]],tEditais[Edital],0)),"")</f>
        <v>MUNICIPIO DE ALTA FLORESTA D'OESTE</v>
      </c>
      <c r="H7092" t="str">
        <f>IFERROR(INDEX(tEditais[UF],MATCH(tItens[[#This Row],[Edital]],tEditais[Edital],0)),"")</f>
        <v>RO</v>
      </c>
      <c r="I7092" s="11">
        <f>IFERROR(INDEX(tEditais[Encerramento],MATCH(tItens[[#This Row],[Edital]],tEditais[Edital],0)),"")</f>
        <v>46309.416666666664</v>
      </c>
      <c r="J7092" t="str">
        <f>IFERROR(INDEX(tProdutos[Classe],MATCH(tItens[[#This Row],[Produto]],tProdutos[Produto],0)),"produto não cadastrado")</f>
        <v>FORA</v>
      </c>
      <c r="K7092" s="12">
        <f>tItens[[#This Row],[Qtd]]*tItens[[#This Row],[Vlr unit]]</f>
        <v>660</v>
      </c>
      <c r="L7092" s="6">
        <f>IFERROR(IF(INDEX(tProdutos[Desconto homologado],MATCH(tItens[[#This Row],[Produto]],tProdutos[Produto],0))="",DescontoPadrao,INDEX(tProdutos[Desconto homologado],MATCH(tItens[[#This Row],[Produto]],tProdutos[Produto],0))),DescontoPadrao)</f>
        <v>0.363567906332742</v>
      </c>
      <c r="M7092" s="12">
        <f>tItens[[#This Row],[Valor]]*(1-tItens[[#This Row],[Desconto]])</f>
        <v>420.04518182039033</v>
      </c>
      <c r="N7092" t="str">
        <f>IFERROR(INDEX(tProdutos[Foco],MATCH(tItens[[#This Row],[Produto]],tProdutos[Produto],0)),"Não")</f>
        <v>Não</v>
      </c>
      <c r="O7092" t="str">
        <f>IFERROR(INDEX(tEditais[SRP],MATCH(tItens[[#This Row],[Edital]],tEditais[Edital],0)),"Não")</f>
        <v>Não</v>
      </c>
      <c r="P7092" s="4">
        <f>IF(COUNTIFS(INDEX(tItens[Edital],1):tItens[[#This Row],[Edital]],tItens[[#This Row],[Edital]],INDEX(tItens[Produto],1):tItens[[#This Row],[Produto]],tItens[[#This Row],[Produto]])=1,1,0)</f>
        <v>0</v>
      </c>
    </row>
    <row r="7093" spans="1:16" x14ac:dyDescent="0.25">
      <c r="A7093" t="s">
        <v>2452</v>
      </c>
      <c r="B7093">
        <v>8040268</v>
      </c>
      <c r="C7093" t="s">
        <v>9756</v>
      </c>
      <c r="D7093" t="s">
        <v>184</v>
      </c>
      <c r="E7093" s="13">
        <v>200</v>
      </c>
      <c r="F7093" s="12">
        <v>4.25</v>
      </c>
      <c r="G7093" t="str">
        <f>IFERROR(INDEX(tEditais[Órgão],MATCH(tItens[[#This Row],[Edital]],tEditais[Edital],0)),"")</f>
        <v>MUNICIPIO DE ALTA FLORESTA D'OESTE</v>
      </c>
      <c r="H7093" t="str">
        <f>IFERROR(INDEX(tEditais[UF],MATCH(tItens[[#This Row],[Edital]],tEditais[Edital],0)),"")</f>
        <v>RO</v>
      </c>
      <c r="I7093" s="11">
        <f>IFERROR(INDEX(tEditais[Encerramento],MATCH(tItens[[#This Row],[Edital]],tEditais[Edital],0)),"")</f>
        <v>46309.416666666664</v>
      </c>
      <c r="J7093" t="str">
        <f>IFERROR(INDEX(tProdutos[Classe],MATCH(tItens[[#This Row],[Produto]],tProdutos[Produto],0)),"produto não cadastrado")</f>
        <v>FORA</v>
      </c>
      <c r="K7093" s="12">
        <f>tItens[[#This Row],[Qtd]]*tItens[[#This Row],[Vlr unit]]</f>
        <v>850</v>
      </c>
      <c r="L7093" s="6">
        <f>IFERROR(IF(INDEX(tProdutos[Desconto homologado],MATCH(tItens[[#This Row],[Produto]],tProdutos[Produto],0))="",DescontoPadrao,INDEX(tProdutos[Desconto homologado],MATCH(tItens[[#This Row],[Produto]],tProdutos[Produto],0))),DescontoPadrao)</f>
        <v>0.363567906332742</v>
      </c>
      <c r="M7093" s="12">
        <f>tItens[[#This Row],[Valor]]*(1-tItens[[#This Row],[Desconto]])</f>
        <v>540.96727961716931</v>
      </c>
      <c r="N7093" t="str">
        <f>IFERROR(INDEX(tProdutos[Foco],MATCH(tItens[[#This Row],[Produto]],tProdutos[Produto],0)),"Não")</f>
        <v>Não</v>
      </c>
      <c r="O7093" t="str">
        <f>IFERROR(INDEX(tEditais[SRP],MATCH(tItens[[#This Row],[Edital]],tEditais[Edital],0)),"Não")</f>
        <v>Não</v>
      </c>
      <c r="P7093" s="4">
        <f>IF(COUNTIFS(INDEX(tItens[Edital],1):tItens[[#This Row],[Edital]],tItens[[#This Row],[Edital]],INDEX(tItens[Produto],1):tItens[[#This Row],[Produto]],tItens[[#This Row],[Produto]])=1,1,0)</f>
        <v>0</v>
      </c>
    </row>
    <row r="7094" spans="1:16" x14ac:dyDescent="0.25">
      <c r="A7094" t="s">
        <v>2452</v>
      </c>
      <c r="B7094">
        <v>8040269</v>
      </c>
      <c r="C7094" t="s">
        <v>9757</v>
      </c>
      <c r="D7094" t="s">
        <v>184</v>
      </c>
      <c r="E7094" s="13">
        <v>380</v>
      </c>
      <c r="F7094" s="12">
        <v>4.67</v>
      </c>
      <c r="G7094" t="str">
        <f>IFERROR(INDEX(tEditais[Órgão],MATCH(tItens[[#This Row],[Edital]],tEditais[Edital],0)),"")</f>
        <v>MUNICIPIO DE ALTA FLORESTA D'OESTE</v>
      </c>
      <c r="H7094" t="str">
        <f>IFERROR(INDEX(tEditais[UF],MATCH(tItens[[#This Row],[Edital]],tEditais[Edital],0)),"")</f>
        <v>RO</v>
      </c>
      <c r="I7094" s="11">
        <f>IFERROR(INDEX(tEditais[Encerramento],MATCH(tItens[[#This Row],[Edital]],tEditais[Edital],0)),"")</f>
        <v>46309.416666666664</v>
      </c>
      <c r="J7094" t="str">
        <f>IFERROR(INDEX(tProdutos[Classe],MATCH(tItens[[#This Row],[Produto]],tProdutos[Produto],0)),"produto não cadastrado")</f>
        <v>FORA</v>
      </c>
      <c r="K7094" s="12">
        <f>tItens[[#This Row],[Qtd]]*tItens[[#This Row],[Vlr unit]]</f>
        <v>1774.6</v>
      </c>
      <c r="L7094" s="6">
        <f>IFERROR(IF(INDEX(tProdutos[Desconto homologado],MATCH(tItens[[#This Row],[Produto]],tProdutos[Produto],0))="",DescontoPadrao,INDEX(tProdutos[Desconto homologado],MATCH(tItens[[#This Row],[Produto]],tProdutos[Produto],0))),DescontoPadrao)</f>
        <v>0.363567906332742</v>
      </c>
      <c r="M7094" s="12">
        <f>tItens[[#This Row],[Valor]]*(1-tItens[[#This Row],[Desconto]])</f>
        <v>1129.412393421916</v>
      </c>
      <c r="N7094" t="str">
        <f>IFERROR(INDEX(tProdutos[Foco],MATCH(tItens[[#This Row],[Produto]],tProdutos[Produto],0)),"Não")</f>
        <v>Não</v>
      </c>
      <c r="O7094" t="str">
        <f>IFERROR(INDEX(tEditais[SRP],MATCH(tItens[[#This Row],[Edital]],tEditais[Edital],0)),"Não")</f>
        <v>Não</v>
      </c>
      <c r="P7094" s="4">
        <f>IF(COUNTIFS(INDEX(tItens[Edital],1):tItens[[#This Row],[Edital]],tItens[[#This Row],[Edital]],INDEX(tItens[Produto],1):tItens[[#This Row],[Produto]],tItens[[#This Row],[Produto]])=1,1,0)</f>
        <v>0</v>
      </c>
    </row>
    <row r="7095" spans="1:16" x14ac:dyDescent="0.25">
      <c r="A7095" t="s">
        <v>2452</v>
      </c>
      <c r="B7095">
        <v>8040270</v>
      </c>
      <c r="C7095" t="s">
        <v>9758</v>
      </c>
      <c r="D7095" t="s">
        <v>184</v>
      </c>
      <c r="E7095" s="13">
        <v>330</v>
      </c>
      <c r="F7095" s="12">
        <v>4.84</v>
      </c>
      <c r="G7095" t="str">
        <f>IFERROR(INDEX(tEditais[Órgão],MATCH(tItens[[#This Row],[Edital]],tEditais[Edital],0)),"")</f>
        <v>MUNICIPIO DE ALTA FLORESTA D'OESTE</v>
      </c>
      <c r="H7095" t="str">
        <f>IFERROR(INDEX(tEditais[UF],MATCH(tItens[[#This Row],[Edital]],tEditais[Edital],0)),"")</f>
        <v>RO</v>
      </c>
      <c r="I7095" s="11">
        <f>IFERROR(INDEX(tEditais[Encerramento],MATCH(tItens[[#This Row],[Edital]],tEditais[Edital],0)),"")</f>
        <v>46309.416666666664</v>
      </c>
      <c r="J7095" t="str">
        <f>IFERROR(INDEX(tProdutos[Classe],MATCH(tItens[[#This Row],[Produto]],tProdutos[Produto],0)),"produto não cadastrado")</f>
        <v>FORA</v>
      </c>
      <c r="K7095" s="12">
        <f>tItens[[#This Row],[Qtd]]*tItens[[#This Row],[Vlr unit]]</f>
        <v>1597.2</v>
      </c>
      <c r="L7095" s="6">
        <f>IFERROR(IF(INDEX(tProdutos[Desconto homologado],MATCH(tItens[[#This Row],[Produto]],tProdutos[Produto],0))="",DescontoPadrao,INDEX(tProdutos[Desconto homologado],MATCH(tItens[[#This Row],[Produto]],tProdutos[Produto],0))),DescontoPadrao)</f>
        <v>0.363567906332742</v>
      </c>
      <c r="M7095" s="12">
        <f>tItens[[#This Row],[Valor]]*(1-tItens[[#This Row],[Desconto]])</f>
        <v>1016.5093400053446</v>
      </c>
      <c r="N7095" t="str">
        <f>IFERROR(INDEX(tProdutos[Foco],MATCH(tItens[[#This Row],[Produto]],tProdutos[Produto],0)),"Não")</f>
        <v>Não</v>
      </c>
      <c r="O7095" t="str">
        <f>IFERROR(INDEX(tEditais[SRP],MATCH(tItens[[#This Row],[Edital]],tEditais[Edital],0)),"Não")</f>
        <v>Não</v>
      </c>
      <c r="P7095" s="4">
        <f>IF(COUNTIFS(INDEX(tItens[Edital],1):tItens[[#This Row],[Edital]],tItens[[#This Row],[Edital]],INDEX(tItens[Produto],1):tItens[[#This Row],[Produto]],tItens[[#This Row],[Produto]])=1,1,0)</f>
        <v>0</v>
      </c>
    </row>
    <row r="7096" spans="1:16" x14ac:dyDescent="0.25">
      <c r="A7096" t="s">
        <v>2452</v>
      </c>
      <c r="B7096">
        <v>8040271</v>
      </c>
      <c r="C7096" t="s">
        <v>9759</v>
      </c>
      <c r="D7096" t="s">
        <v>184</v>
      </c>
      <c r="E7096" s="13">
        <v>650</v>
      </c>
      <c r="F7096" s="12">
        <v>4.29</v>
      </c>
      <c r="G7096" t="str">
        <f>IFERROR(INDEX(tEditais[Órgão],MATCH(tItens[[#This Row],[Edital]],tEditais[Edital],0)),"")</f>
        <v>MUNICIPIO DE ALTA FLORESTA D'OESTE</v>
      </c>
      <c r="H7096" t="str">
        <f>IFERROR(INDEX(tEditais[UF],MATCH(tItens[[#This Row],[Edital]],tEditais[Edital],0)),"")</f>
        <v>RO</v>
      </c>
      <c r="I7096" s="11">
        <f>IFERROR(INDEX(tEditais[Encerramento],MATCH(tItens[[#This Row],[Edital]],tEditais[Edital],0)),"")</f>
        <v>46309.416666666664</v>
      </c>
      <c r="J7096" t="str">
        <f>IFERROR(INDEX(tProdutos[Classe],MATCH(tItens[[#This Row],[Produto]],tProdutos[Produto],0)),"produto não cadastrado")</f>
        <v>FORA</v>
      </c>
      <c r="K7096" s="12">
        <f>tItens[[#This Row],[Qtd]]*tItens[[#This Row],[Vlr unit]]</f>
        <v>2788.5</v>
      </c>
      <c r="L7096" s="6">
        <f>IFERROR(IF(INDEX(tProdutos[Desconto homologado],MATCH(tItens[[#This Row],[Produto]],tProdutos[Produto],0))="",DescontoPadrao,INDEX(tProdutos[Desconto homologado],MATCH(tItens[[#This Row],[Produto]],tProdutos[Produto],0))),DescontoPadrao)</f>
        <v>0.363567906332742</v>
      </c>
      <c r="M7096" s="12">
        <f>tItens[[#This Row],[Valor]]*(1-tItens[[#This Row],[Desconto]])</f>
        <v>1774.6908931911491</v>
      </c>
      <c r="N7096" t="str">
        <f>IFERROR(INDEX(tProdutos[Foco],MATCH(tItens[[#This Row],[Produto]],tProdutos[Produto],0)),"Não")</f>
        <v>Não</v>
      </c>
      <c r="O7096" t="str">
        <f>IFERROR(INDEX(tEditais[SRP],MATCH(tItens[[#This Row],[Edital]],tEditais[Edital],0)),"Não")</f>
        <v>Não</v>
      </c>
      <c r="P7096" s="4">
        <f>IF(COUNTIFS(INDEX(tItens[Edital],1):tItens[[#This Row],[Edital]],tItens[[#This Row],[Edital]],INDEX(tItens[Produto],1):tItens[[#This Row],[Produto]],tItens[[#This Row],[Produto]])=1,1,0)</f>
        <v>0</v>
      </c>
    </row>
    <row r="7097" spans="1:16" x14ac:dyDescent="0.25">
      <c r="A7097" t="s">
        <v>2452</v>
      </c>
      <c r="B7097">
        <v>8040272</v>
      </c>
      <c r="C7097" t="s">
        <v>9760</v>
      </c>
      <c r="D7097" t="s">
        <v>184</v>
      </c>
      <c r="E7097" s="13">
        <v>250</v>
      </c>
      <c r="F7097" s="12">
        <v>8.74</v>
      </c>
      <c r="G7097" t="str">
        <f>IFERROR(INDEX(tEditais[Órgão],MATCH(tItens[[#This Row],[Edital]],tEditais[Edital],0)),"")</f>
        <v>MUNICIPIO DE ALTA FLORESTA D'OESTE</v>
      </c>
      <c r="H7097" t="str">
        <f>IFERROR(INDEX(tEditais[UF],MATCH(tItens[[#This Row],[Edital]],tEditais[Edital],0)),"")</f>
        <v>RO</v>
      </c>
      <c r="I7097" s="11">
        <f>IFERROR(INDEX(tEditais[Encerramento],MATCH(tItens[[#This Row],[Edital]],tEditais[Edital],0)),"")</f>
        <v>46309.416666666664</v>
      </c>
      <c r="J7097" t="str">
        <f>IFERROR(INDEX(tProdutos[Classe],MATCH(tItens[[#This Row],[Produto]],tProdutos[Produto],0)),"produto não cadastrado")</f>
        <v>FORA</v>
      </c>
      <c r="K7097" s="12">
        <f>tItens[[#This Row],[Qtd]]*tItens[[#This Row],[Vlr unit]]</f>
        <v>2185</v>
      </c>
      <c r="L7097" s="6">
        <f>IFERROR(IF(INDEX(tProdutos[Desconto homologado],MATCH(tItens[[#This Row],[Produto]],tProdutos[Produto],0))="",DescontoPadrao,INDEX(tProdutos[Desconto homologado],MATCH(tItens[[#This Row],[Produto]],tProdutos[Produto],0))),DescontoPadrao)</f>
        <v>0.363567906332742</v>
      </c>
      <c r="M7097" s="12">
        <f>tItens[[#This Row],[Valor]]*(1-tItens[[#This Row],[Desconto]])</f>
        <v>1390.6041246629588</v>
      </c>
      <c r="N7097" t="str">
        <f>IFERROR(INDEX(tProdutos[Foco],MATCH(tItens[[#This Row],[Produto]],tProdutos[Produto],0)),"Não")</f>
        <v>Não</v>
      </c>
      <c r="O7097" t="str">
        <f>IFERROR(INDEX(tEditais[SRP],MATCH(tItens[[#This Row],[Edital]],tEditais[Edital],0)),"Não")</f>
        <v>Não</v>
      </c>
      <c r="P7097" s="4">
        <f>IF(COUNTIFS(INDEX(tItens[Edital],1):tItens[[#This Row],[Edital]],tItens[[#This Row],[Edital]],INDEX(tItens[Produto],1):tItens[[#This Row],[Produto]],tItens[[#This Row],[Produto]])=1,1,0)</f>
        <v>0</v>
      </c>
    </row>
    <row r="7098" spans="1:16" x14ac:dyDescent="0.25">
      <c r="A7098" t="s">
        <v>2452</v>
      </c>
      <c r="B7098">
        <v>8040273</v>
      </c>
      <c r="C7098" t="s">
        <v>9761</v>
      </c>
      <c r="D7098" t="s">
        <v>184</v>
      </c>
      <c r="E7098" s="13">
        <v>40</v>
      </c>
      <c r="F7098" s="12">
        <v>8.01</v>
      </c>
      <c r="G7098" t="str">
        <f>IFERROR(INDEX(tEditais[Órgão],MATCH(tItens[[#This Row],[Edital]],tEditais[Edital],0)),"")</f>
        <v>MUNICIPIO DE ALTA FLORESTA D'OESTE</v>
      </c>
      <c r="H7098" t="str">
        <f>IFERROR(INDEX(tEditais[UF],MATCH(tItens[[#This Row],[Edital]],tEditais[Edital],0)),"")</f>
        <v>RO</v>
      </c>
      <c r="I7098" s="11">
        <f>IFERROR(INDEX(tEditais[Encerramento],MATCH(tItens[[#This Row],[Edital]],tEditais[Edital],0)),"")</f>
        <v>46309.416666666664</v>
      </c>
      <c r="J7098" t="str">
        <f>IFERROR(INDEX(tProdutos[Classe],MATCH(tItens[[#This Row],[Produto]],tProdutos[Produto],0)),"produto não cadastrado")</f>
        <v>FORA</v>
      </c>
      <c r="K7098" s="12">
        <f>tItens[[#This Row],[Qtd]]*tItens[[#This Row],[Vlr unit]]</f>
        <v>320.39999999999998</v>
      </c>
      <c r="L7098" s="6">
        <f>IFERROR(IF(INDEX(tProdutos[Desconto homologado],MATCH(tItens[[#This Row],[Produto]],tProdutos[Produto],0))="",DescontoPadrao,INDEX(tProdutos[Desconto homologado],MATCH(tItens[[#This Row],[Produto]],tProdutos[Produto],0))),DescontoPadrao)</f>
        <v>0.363567906332742</v>
      </c>
      <c r="M7098" s="12">
        <f>tItens[[#This Row],[Valor]]*(1-tItens[[#This Row],[Desconto]])</f>
        <v>203.91284281098947</v>
      </c>
      <c r="N7098" t="str">
        <f>IFERROR(INDEX(tProdutos[Foco],MATCH(tItens[[#This Row],[Produto]],tProdutos[Produto],0)),"Não")</f>
        <v>Não</v>
      </c>
      <c r="O7098" t="str">
        <f>IFERROR(INDEX(tEditais[SRP],MATCH(tItens[[#This Row],[Edital]],tEditais[Edital],0)),"Não")</f>
        <v>Não</v>
      </c>
      <c r="P7098" s="4">
        <f>IF(COUNTIFS(INDEX(tItens[Edital],1):tItens[[#This Row],[Edital]],tItens[[#This Row],[Edital]],INDEX(tItens[Produto],1):tItens[[#This Row],[Produto]],tItens[[#This Row],[Produto]])=1,1,0)</f>
        <v>0</v>
      </c>
    </row>
    <row r="7099" spans="1:16" x14ac:dyDescent="0.25">
      <c r="A7099" t="s">
        <v>2452</v>
      </c>
      <c r="B7099">
        <v>8040274</v>
      </c>
      <c r="C7099" t="s">
        <v>9762</v>
      </c>
      <c r="D7099" t="s">
        <v>184</v>
      </c>
      <c r="E7099" s="13">
        <v>40</v>
      </c>
      <c r="F7099" s="12">
        <v>5.17</v>
      </c>
      <c r="G7099" t="str">
        <f>IFERROR(INDEX(tEditais[Órgão],MATCH(tItens[[#This Row],[Edital]],tEditais[Edital],0)),"")</f>
        <v>MUNICIPIO DE ALTA FLORESTA D'OESTE</v>
      </c>
      <c r="H7099" t="str">
        <f>IFERROR(INDEX(tEditais[UF],MATCH(tItens[[#This Row],[Edital]],tEditais[Edital],0)),"")</f>
        <v>RO</v>
      </c>
      <c r="I7099" s="11">
        <f>IFERROR(INDEX(tEditais[Encerramento],MATCH(tItens[[#This Row],[Edital]],tEditais[Edital],0)),"")</f>
        <v>46309.416666666664</v>
      </c>
      <c r="J7099" t="str">
        <f>IFERROR(INDEX(tProdutos[Classe],MATCH(tItens[[#This Row],[Produto]],tProdutos[Produto],0)),"produto não cadastrado")</f>
        <v>FORA</v>
      </c>
      <c r="K7099" s="12">
        <f>tItens[[#This Row],[Qtd]]*tItens[[#This Row],[Vlr unit]]</f>
        <v>206.8</v>
      </c>
      <c r="L7099" s="6">
        <f>IFERROR(IF(INDEX(tProdutos[Desconto homologado],MATCH(tItens[[#This Row],[Produto]],tProdutos[Produto],0))="",DescontoPadrao,INDEX(tProdutos[Desconto homologado],MATCH(tItens[[#This Row],[Produto]],tProdutos[Produto],0))),DescontoPadrao)</f>
        <v>0.363567906332742</v>
      </c>
      <c r="M7099" s="12">
        <f>tItens[[#This Row],[Valor]]*(1-tItens[[#This Row],[Desconto]])</f>
        <v>131.61415697038896</v>
      </c>
      <c r="N7099" t="str">
        <f>IFERROR(INDEX(tProdutos[Foco],MATCH(tItens[[#This Row],[Produto]],tProdutos[Produto],0)),"Não")</f>
        <v>Não</v>
      </c>
      <c r="O7099" t="str">
        <f>IFERROR(INDEX(tEditais[SRP],MATCH(tItens[[#This Row],[Edital]],tEditais[Edital],0)),"Não")</f>
        <v>Não</v>
      </c>
      <c r="P7099" s="4">
        <f>IF(COUNTIFS(INDEX(tItens[Edital],1):tItens[[#This Row],[Edital]],tItens[[#This Row],[Edital]],INDEX(tItens[Produto],1):tItens[[#This Row],[Produto]],tItens[[#This Row],[Produto]])=1,1,0)</f>
        <v>0</v>
      </c>
    </row>
    <row r="7100" spans="1:16" x14ac:dyDescent="0.25">
      <c r="A7100" t="s">
        <v>2452</v>
      </c>
      <c r="B7100">
        <v>8040275</v>
      </c>
      <c r="C7100" t="s">
        <v>9763</v>
      </c>
      <c r="D7100" t="s">
        <v>253</v>
      </c>
      <c r="E7100" s="13">
        <v>150</v>
      </c>
      <c r="F7100" s="12">
        <v>4.93</v>
      </c>
      <c r="G7100" t="str">
        <f>IFERROR(INDEX(tEditais[Órgão],MATCH(tItens[[#This Row],[Edital]],tEditais[Edital],0)),"")</f>
        <v>MUNICIPIO DE ALTA FLORESTA D'OESTE</v>
      </c>
      <c r="H7100" t="str">
        <f>IFERROR(INDEX(tEditais[UF],MATCH(tItens[[#This Row],[Edital]],tEditais[Edital],0)),"")</f>
        <v>RO</v>
      </c>
      <c r="I7100" s="11">
        <f>IFERROR(INDEX(tEditais[Encerramento],MATCH(tItens[[#This Row],[Edital]],tEditais[Edital],0)),"")</f>
        <v>46309.416666666664</v>
      </c>
      <c r="J7100" t="str">
        <f>IFERROR(INDEX(tProdutos[Classe],MATCH(tItens[[#This Row],[Produto]],tProdutos[Produto],0)),"produto não cadastrado")</f>
        <v>FORA</v>
      </c>
      <c r="K7100" s="12">
        <f>tItens[[#This Row],[Qtd]]*tItens[[#This Row],[Vlr unit]]</f>
        <v>739.5</v>
      </c>
      <c r="L7100" s="6">
        <f>IFERROR(IF(INDEX(tProdutos[Desconto homologado],MATCH(tItens[[#This Row],[Produto]],tProdutos[Produto],0))="",DescontoPadrao,INDEX(tProdutos[Desconto homologado],MATCH(tItens[[#This Row],[Produto]],tProdutos[Produto],0))),DescontoPadrao)</f>
        <v>0.31735159817351599</v>
      </c>
      <c r="M7100" s="12">
        <f>tItens[[#This Row],[Valor]]*(1-tItens[[#This Row],[Desconto]])</f>
        <v>504.8184931506849</v>
      </c>
      <c r="N7100" t="str">
        <f>IFERROR(INDEX(tProdutos[Foco],MATCH(tItens[[#This Row],[Produto]],tProdutos[Produto],0)),"Não")</f>
        <v>Não</v>
      </c>
      <c r="O7100" t="str">
        <f>IFERROR(INDEX(tEditais[SRP],MATCH(tItens[[#This Row],[Edital]],tEditais[Edital],0)),"Não")</f>
        <v>Não</v>
      </c>
      <c r="P7100" s="4">
        <f>IF(COUNTIFS(INDEX(tItens[Edital],1):tItens[[#This Row],[Edital]],tItens[[#This Row],[Edital]],INDEX(tItens[Produto],1):tItens[[#This Row],[Produto]],tItens[[#This Row],[Produto]])=1,1,0)</f>
        <v>1</v>
      </c>
    </row>
    <row r="7101" spans="1:16" x14ac:dyDescent="0.25">
      <c r="A7101" t="s">
        <v>2452</v>
      </c>
      <c r="B7101">
        <v>8040276</v>
      </c>
      <c r="C7101" t="s">
        <v>9764</v>
      </c>
      <c r="D7101" t="s">
        <v>253</v>
      </c>
      <c r="E7101" s="13">
        <v>130</v>
      </c>
      <c r="F7101" s="12">
        <v>9.61</v>
      </c>
      <c r="G7101" t="str">
        <f>IFERROR(INDEX(tEditais[Órgão],MATCH(tItens[[#This Row],[Edital]],tEditais[Edital],0)),"")</f>
        <v>MUNICIPIO DE ALTA FLORESTA D'OESTE</v>
      </c>
      <c r="H7101" t="str">
        <f>IFERROR(INDEX(tEditais[UF],MATCH(tItens[[#This Row],[Edital]],tEditais[Edital],0)),"")</f>
        <v>RO</v>
      </c>
      <c r="I7101" s="11">
        <f>IFERROR(INDEX(tEditais[Encerramento],MATCH(tItens[[#This Row],[Edital]],tEditais[Edital],0)),"")</f>
        <v>46309.416666666664</v>
      </c>
      <c r="J7101" t="str">
        <f>IFERROR(INDEX(tProdutos[Classe],MATCH(tItens[[#This Row],[Produto]],tProdutos[Produto],0)),"produto não cadastrado")</f>
        <v>FORA</v>
      </c>
      <c r="K7101" s="12">
        <f>tItens[[#This Row],[Qtd]]*tItens[[#This Row],[Vlr unit]]</f>
        <v>1249.3</v>
      </c>
      <c r="L7101" s="6">
        <f>IFERROR(IF(INDEX(tProdutos[Desconto homologado],MATCH(tItens[[#This Row],[Produto]],tProdutos[Produto],0))="",DescontoPadrao,INDEX(tProdutos[Desconto homologado],MATCH(tItens[[#This Row],[Produto]],tProdutos[Produto],0))),DescontoPadrao)</f>
        <v>0.31735159817351599</v>
      </c>
      <c r="M7101" s="12">
        <f>tItens[[#This Row],[Valor]]*(1-tItens[[#This Row],[Desconto]])</f>
        <v>852.83264840182642</v>
      </c>
      <c r="N7101" t="str">
        <f>IFERROR(INDEX(tProdutos[Foco],MATCH(tItens[[#This Row],[Produto]],tProdutos[Produto],0)),"Não")</f>
        <v>Não</v>
      </c>
      <c r="O7101" t="str">
        <f>IFERROR(INDEX(tEditais[SRP],MATCH(tItens[[#This Row],[Edital]],tEditais[Edital],0)),"Não")</f>
        <v>Não</v>
      </c>
      <c r="P7101" s="4">
        <f>IF(COUNTIFS(INDEX(tItens[Edital],1):tItens[[#This Row],[Edital]],tItens[[#This Row],[Edital]],INDEX(tItens[Produto],1):tItens[[#This Row],[Produto]],tItens[[#This Row],[Produto]])=1,1,0)</f>
        <v>0</v>
      </c>
    </row>
    <row r="7102" spans="1:16" x14ac:dyDescent="0.25">
      <c r="A7102" t="s">
        <v>2452</v>
      </c>
      <c r="B7102">
        <v>8040277</v>
      </c>
      <c r="C7102" t="s">
        <v>9765</v>
      </c>
      <c r="D7102" t="s">
        <v>253</v>
      </c>
      <c r="E7102" s="13">
        <v>40</v>
      </c>
      <c r="F7102" s="12">
        <v>9.6</v>
      </c>
      <c r="G7102" t="str">
        <f>IFERROR(INDEX(tEditais[Órgão],MATCH(tItens[[#This Row],[Edital]],tEditais[Edital],0)),"")</f>
        <v>MUNICIPIO DE ALTA FLORESTA D'OESTE</v>
      </c>
      <c r="H7102" t="str">
        <f>IFERROR(INDEX(tEditais[UF],MATCH(tItens[[#This Row],[Edital]],tEditais[Edital],0)),"")</f>
        <v>RO</v>
      </c>
      <c r="I7102" s="11">
        <f>IFERROR(INDEX(tEditais[Encerramento],MATCH(tItens[[#This Row],[Edital]],tEditais[Edital],0)),"")</f>
        <v>46309.416666666664</v>
      </c>
      <c r="J7102" t="str">
        <f>IFERROR(INDEX(tProdutos[Classe],MATCH(tItens[[#This Row],[Produto]],tProdutos[Produto],0)),"produto não cadastrado")</f>
        <v>FORA</v>
      </c>
      <c r="K7102" s="12">
        <f>tItens[[#This Row],[Qtd]]*tItens[[#This Row],[Vlr unit]]</f>
        <v>384</v>
      </c>
      <c r="L7102" s="6">
        <f>IFERROR(IF(INDEX(tProdutos[Desconto homologado],MATCH(tItens[[#This Row],[Produto]],tProdutos[Produto],0))="",DescontoPadrao,INDEX(tProdutos[Desconto homologado],MATCH(tItens[[#This Row],[Produto]],tProdutos[Produto],0))),DescontoPadrao)</f>
        <v>0.31735159817351599</v>
      </c>
      <c r="M7102" s="12">
        <f>tItens[[#This Row],[Valor]]*(1-tItens[[#This Row],[Desconto]])</f>
        <v>262.13698630136986</v>
      </c>
      <c r="N7102" t="str">
        <f>IFERROR(INDEX(tProdutos[Foco],MATCH(tItens[[#This Row],[Produto]],tProdutos[Produto],0)),"Não")</f>
        <v>Não</v>
      </c>
      <c r="O7102" t="str">
        <f>IFERROR(INDEX(tEditais[SRP],MATCH(tItens[[#This Row],[Edital]],tEditais[Edital],0)),"Não")</f>
        <v>Não</v>
      </c>
      <c r="P7102" s="4">
        <f>IF(COUNTIFS(INDEX(tItens[Edital],1):tItens[[#This Row],[Edital]],tItens[[#This Row],[Edital]],INDEX(tItens[Produto],1):tItens[[#This Row],[Produto]],tItens[[#This Row],[Produto]])=1,1,0)</f>
        <v>0</v>
      </c>
    </row>
    <row r="7103" spans="1:16" x14ac:dyDescent="0.25">
      <c r="A7103" t="s">
        <v>2452</v>
      </c>
      <c r="B7103">
        <v>8040278</v>
      </c>
      <c r="C7103" t="s">
        <v>9766</v>
      </c>
      <c r="D7103" t="s">
        <v>253</v>
      </c>
      <c r="E7103" s="13">
        <v>30</v>
      </c>
      <c r="F7103" s="12">
        <v>9.6</v>
      </c>
      <c r="G7103" t="str">
        <f>IFERROR(INDEX(tEditais[Órgão],MATCH(tItens[[#This Row],[Edital]],tEditais[Edital],0)),"")</f>
        <v>MUNICIPIO DE ALTA FLORESTA D'OESTE</v>
      </c>
      <c r="H7103" t="str">
        <f>IFERROR(INDEX(tEditais[UF],MATCH(tItens[[#This Row],[Edital]],tEditais[Edital],0)),"")</f>
        <v>RO</v>
      </c>
      <c r="I7103" s="11">
        <f>IFERROR(INDEX(tEditais[Encerramento],MATCH(tItens[[#This Row],[Edital]],tEditais[Edital],0)),"")</f>
        <v>46309.416666666664</v>
      </c>
      <c r="J7103" t="str">
        <f>IFERROR(INDEX(tProdutos[Classe],MATCH(tItens[[#This Row],[Produto]],tProdutos[Produto],0)),"produto não cadastrado")</f>
        <v>FORA</v>
      </c>
      <c r="K7103" s="12">
        <f>tItens[[#This Row],[Qtd]]*tItens[[#This Row],[Vlr unit]]</f>
        <v>288</v>
      </c>
      <c r="L7103" s="6">
        <f>IFERROR(IF(INDEX(tProdutos[Desconto homologado],MATCH(tItens[[#This Row],[Produto]],tProdutos[Produto],0))="",DescontoPadrao,INDEX(tProdutos[Desconto homologado],MATCH(tItens[[#This Row],[Produto]],tProdutos[Produto],0))),DescontoPadrao)</f>
        <v>0.31735159817351599</v>
      </c>
      <c r="M7103" s="12">
        <f>tItens[[#This Row],[Valor]]*(1-tItens[[#This Row],[Desconto]])</f>
        <v>196.60273972602738</v>
      </c>
      <c r="N7103" t="str">
        <f>IFERROR(INDEX(tProdutos[Foco],MATCH(tItens[[#This Row],[Produto]],tProdutos[Produto],0)),"Não")</f>
        <v>Não</v>
      </c>
      <c r="O7103" t="str">
        <f>IFERROR(INDEX(tEditais[SRP],MATCH(tItens[[#This Row],[Edital]],tEditais[Edital],0)),"Não")</f>
        <v>Não</v>
      </c>
      <c r="P7103" s="4">
        <f>IF(COUNTIFS(INDEX(tItens[Edital],1):tItens[[#This Row],[Edital]],tItens[[#This Row],[Edital]],INDEX(tItens[Produto],1):tItens[[#This Row],[Produto]],tItens[[#This Row],[Produto]])=1,1,0)</f>
        <v>0</v>
      </c>
    </row>
    <row r="7104" spans="1:16" x14ac:dyDescent="0.25">
      <c r="A7104" t="s">
        <v>2452</v>
      </c>
      <c r="B7104">
        <v>8040279</v>
      </c>
      <c r="C7104" t="s">
        <v>9767</v>
      </c>
      <c r="D7104" t="s">
        <v>110</v>
      </c>
      <c r="E7104" s="13">
        <v>200</v>
      </c>
      <c r="F7104" s="12">
        <v>1.59</v>
      </c>
      <c r="G7104" t="str">
        <f>IFERROR(INDEX(tEditais[Órgão],MATCH(tItens[[#This Row],[Edital]],tEditais[Edital],0)),"")</f>
        <v>MUNICIPIO DE ALTA FLORESTA D'OESTE</v>
      </c>
      <c r="H7104" t="str">
        <f>IFERROR(INDEX(tEditais[UF],MATCH(tItens[[#This Row],[Edital]],tEditais[Edital],0)),"")</f>
        <v>RO</v>
      </c>
      <c r="I7104" s="11">
        <f>IFERROR(INDEX(tEditais[Encerramento],MATCH(tItens[[#This Row],[Edital]],tEditais[Edital],0)),"")</f>
        <v>46309.416666666664</v>
      </c>
      <c r="J7104" t="str">
        <f>IFERROR(INDEX(tProdutos[Classe],MATCH(tItens[[#This Row],[Produto]],tProdutos[Produto],0)),"produto não cadastrado")</f>
        <v>NÚCLEO</v>
      </c>
      <c r="K7104" s="12">
        <f>tItens[[#This Row],[Qtd]]*tItens[[#This Row],[Vlr unit]]</f>
        <v>318</v>
      </c>
      <c r="L7104" s="6">
        <f>IFERROR(IF(INDEX(tProdutos[Desconto homologado],MATCH(tItens[[#This Row],[Produto]],tProdutos[Produto],0))="",DescontoPadrao,INDEX(tProdutos[Desconto homologado],MATCH(tItens[[#This Row],[Produto]],tProdutos[Produto],0))),DescontoPadrao)</f>
        <v>0.30410958904109597</v>
      </c>
      <c r="M7104" s="12">
        <f>tItens[[#This Row],[Valor]]*(1-tItens[[#This Row],[Desconto]])</f>
        <v>221.29315068493148</v>
      </c>
      <c r="N7104" t="str">
        <f>IFERROR(INDEX(tProdutos[Foco],MATCH(tItens[[#This Row],[Produto]],tProdutos[Produto],0)),"Não")</f>
        <v>Não</v>
      </c>
      <c r="O7104" t="str">
        <f>IFERROR(INDEX(tEditais[SRP],MATCH(tItens[[#This Row],[Edital]],tEditais[Edital],0)),"Não")</f>
        <v>Não</v>
      </c>
      <c r="P7104" s="4">
        <f>IF(COUNTIFS(INDEX(tItens[Edital],1):tItens[[#This Row],[Edital]],tItens[[#This Row],[Edital]],INDEX(tItens[Produto],1):tItens[[#This Row],[Produto]],tItens[[#This Row],[Produto]])=1,1,0)</f>
        <v>1</v>
      </c>
    </row>
    <row r="7105" spans="1:16" x14ac:dyDescent="0.25">
      <c r="A7105" t="s">
        <v>2452</v>
      </c>
      <c r="B7105">
        <v>8040280</v>
      </c>
      <c r="C7105" t="s">
        <v>9768</v>
      </c>
      <c r="D7105" t="s">
        <v>110</v>
      </c>
      <c r="E7105" s="13">
        <v>200</v>
      </c>
      <c r="F7105" s="12">
        <v>1.64</v>
      </c>
      <c r="G7105" t="str">
        <f>IFERROR(INDEX(tEditais[Órgão],MATCH(tItens[[#This Row],[Edital]],tEditais[Edital],0)),"")</f>
        <v>MUNICIPIO DE ALTA FLORESTA D'OESTE</v>
      </c>
      <c r="H7105" t="str">
        <f>IFERROR(INDEX(tEditais[UF],MATCH(tItens[[#This Row],[Edital]],tEditais[Edital],0)),"")</f>
        <v>RO</v>
      </c>
      <c r="I7105" s="11">
        <f>IFERROR(INDEX(tEditais[Encerramento],MATCH(tItens[[#This Row],[Edital]],tEditais[Edital],0)),"")</f>
        <v>46309.416666666664</v>
      </c>
      <c r="J7105" t="str">
        <f>IFERROR(INDEX(tProdutos[Classe],MATCH(tItens[[#This Row],[Produto]],tProdutos[Produto],0)),"produto não cadastrado")</f>
        <v>NÚCLEO</v>
      </c>
      <c r="K7105" s="12">
        <f>tItens[[#This Row],[Qtd]]*tItens[[#This Row],[Vlr unit]]</f>
        <v>328</v>
      </c>
      <c r="L7105" s="6">
        <f>IFERROR(IF(INDEX(tProdutos[Desconto homologado],MATCH(tItens[[#This Row],[Produto]],tProdutos[Produto],0))="",DescontoPadrao,INDEX(tProdutos[Desconto homologado],MATCH(tItens[[#This Row],[Produto]],tProdutos[Produto],0))),DescontoPadrao)</f>
        <v>0.30410958904109597</v>
      </c>
      <c r="M7105" s="12">
        <f>tItens[[#This Row],[Valor]]*(1-tItens[[#This Row],[Desconto]])</f>
        <v>228.25205479452052</v>
      </c>
      <c r="N7105" t="str">
        <f>IFERROR(INDEX(tProdutos[Foco],MATCH(tItens[[#This Row],[Produto]],tProdutos[Produto],0)),"Não")</f>
        <v>Não</v>
      </c>
      <c r="O7105" t="str">
        <f>IFERROR(INDEX(tEditais[SRP],MATCH(tItens[[#This Row],[Edital]],tEditais[Edital],0)),"Não")</f>
        <v>Não</v>
      </c>
      <c r="P7105" s="4">
        <f>IF(COUNTIFS(INDEX(tItens[Edital],1):tItens[[#This Row],[Edital]],tItens[[#This Row],[Edital]],INDEX(tItens[Produto],1):tItens[[#This Row],[Produto]],tItens[[#This Row],[Produto]])=1,1,0)</f>
        <v>0</v>
      </c>
    </row>
    <row r="7106" spans="1:16" x14ac:dyDescent="0.25">
      <c r="A7106" t="s">
        <v>2452</v>
      </c>
      <c r="B7106">
        <v>8040281</v>
      </c>
      <c r="C7106" t="s">
        <v>9769</v>
      </c>
      <c r="D7106" t="s">
        <v>110</v>
      </c>
      <c r="E7106" s="13">
        <v>200</v>
      </c>
      <c r="F7106" s="12">
        <v>1.72</v>
      </c>
      <c r="G7106" t="str">
        <f>IFERROR(INDEX(tEditais[Órgão],MATCH(tItens[[#This Row],[Edital]],tEditais[Edital],0)),"")</f>
        <v>MUNICIPIO DE ALTA FLORESTA D'OESTE</v>
      </c>
      <c r="H7106" t="str">
        <f>IFERROR(INDEX(tEditais[UF],MATCH(tItens[[#This Row],[Edital]],tEditais[Edital],0)),"")</f>
        <v>RO</v>
      </c>
      <c r="I7106" s="11">
        <f>IFERROR(INDEX(tEditais[Encerramento],MATCH(tItens[[#This Row],[Edital]],tEditais[Edital],0)),"")</f>
        <v>46309.416666666664</v>
      </c>
      <c r="J7106" t="str">
        <f>IFERROR(INDEX(tProdutos[Classe],MATCH(tItens[[#This Row],[Produto]],tProdutos[Produto],0)),"produto não cadastrado")</f>
        <v>NÚCLEO</v>
      </c>
      <c r="K7106" s="12">
        <f>tItens[[#This Row],[Qtd]]*tItens[[#This Row],[Vlr unit]]</f>
        <v>344</v>
      </c>
      <c r="L7106" s="6">
        <f>IFERROR(IF(INDEX(tProdutos[Desconto homologado],MATCH(tItens[[#This Row],[Produto]],tProdutos[Produto],0))="",DescontoPadrao,INDEX(tProdutos[Desconto homologado],MATCH(tItens[[#This Row],[Produto]],tProdutos[Produto],0))),DescontoPadrao)</f>
        <v>0.30410958904109597</v>
      </c>
      <c r="M7106" s="12">
        <f>tItens[[#This Row],[Valor]]*(1-tItens[[#This Row],[Desconto]])</f>
        <v>239.38630136986299</v>
      </c>
      <c r="N7106" t="str">
        <f>IFERROR(INDEX(tProdutos[Foco],MATCH(tItens[[#This Row],[Produto]],tProdutos[Produto],0)),"Não")</f>
        <v>Não</v>
      </c>
      <c r="O7106" t="str">
        <f>IFERROR(INDEX(tEditais[SRP],MATCH(tItens[[#This Row],[Edital]],tEditais[Edital],0)),"Não")</f>
        <v>Não</v>
      </c>
      <c r="P7106" s="4">
        <f>IF(COUNTIFS(INDEX(tItens[Edital],1):tItens[[#This Row],[Edital]],tItens[[#This Row],[Edital]],INDEX(tItens[Produto],1):tItens[[#This Row],[Produto]],tItens[[#This Row],[Produto]])=1,1,0)</f>
        <v>0</v>
      </c>
    </row>
    <row r="7107" spans="1:16" x14ac:dyDescent="0.25">
      <c r="A7107" t="s">
        <v>2452</v>
      </c>
      <c r="B7107">
        <v>8040282</v>
      </c>
      <c r="C7107" t="s">
        <v>9770</v>
      </c>
      <c r="D7107" t="s">
        <v>110</v>
      </c>
      <c r="E7107" s="13">
        <v>200</v>
      </c>
      <c r="F7107" s="12">
        <v>1.77</v>
      </c>
      <c r="G7107" t="str">
        <f>IFERROR(INDEX(tEditais[Órgão],MATCH(tItens[[#This Row],[Edital]],tEditais[Edital],0)),"")</f>
        <v>MUNICIPIO DE ALTA FLORESTA D'OESTE</v>
      </c>
      <c r="H7107" t="str">
        <f>IFERROR(INDEX(tEditais[UF],MATCH(tItens[[#This Row],[Edital]],tEditais[Edital],0)),"")</f>
        <v>RO</v>
      </c>
      <c r="I7107" s="11">
        <f>IFERROR(INDEX(tEditais[Encerramento],MATCH(tItens[[#This Row],[Edital]],tEditais[Edital],0)),"")</f>
        <v>46309.416666666664</v>
      </c>
      <c r="J7107" t="str">
        <f>IFERROR(INDEX(tProdutos[Classe],MATCH(tItens[[#This Row],[Produto]],tProdutos[Produto],0)),"produto não cadastrado")</f>
        <v>NÚCLEO</v>
      </c>
      <c r="K7107" s="12">
        <f>tItens[[#This Row],[Qtd]]*tItens[[#This Row],[Vlr unit]]</f>
        <v>354</v>
      </c>
      <c r="L7107" s="6">
        <f>IFERROR(IF(INDEX(tProdutos[Desconto homologado],MATCH(tItens[[#This Row],[Produto]],tProdutos[Produto],0))="",DescontoPadrao,INDEX(tProdutos[Desconto homologado],MATCH(tItens[[#This Row],[Produto]],tProdutos[Produto],0))),DescontoPadrao)</f>
        <v>0.30410958904109597</v>
      </c>
      <c r="M7107" s="12">
        <f>tItens[[#This Row],[Valor]]*(1-tItens[[#This Row],[Desconto]])</f>
        <v>246.34520547945203</v>
      </c>
      <c r="N7107" t="str">
        <f>IFERROR(INDEX(tProdutos[Foco],MATCH(tItens[[#This Row],[Produto]],tProdutos[Produto],0)),"Não")</f>
        <v>Não</v>
      </c>
      <c r="O7107" t="str">
        <f>IFERROR(INDEX(tEditais[SRP],MATCH(tItens[[#This Row],[Edital]],tEditais[Edital],0)),"Não")</f>
        <v>Não</v>
      </c>
      <c r="P7107" s="4">
        <f>IF(COUNTIFS(INDEX(tItens[Edital],1):tItens[[#This Row],[Edital]],tItens[[#This Row],[Edital]],INDEX(tItens[Produto],1):tItens[[#This Row],[Produto]],tItens[[#This Row],[Produto]])=1,1,0)</f>
        <v>0</v>
      </c>
    </row>
    <row r="7108" spans="1:16" x14ac:dyDescent="0.25">
      <c r="A7108" t="s">
        <v>2452</v>
      </c>
      <c r="B7108">
        <v>8040283</v>
      </c>
      <c r="C7108" t="s">
        <v>9771</v>
      </c>
      <c r="D7108" t="s">
        <v>110</v>
      </c>
      <c r="E7108" s="13">
        <v>370</v>
      </c>
      <c r="F7108" s="12">
        <v>1.94</v>
      </c>
      <c r="G7108" t="str">
        <f>IFERROR(INDEX(tEditais[Órgão],MATCH(tItens[[#This Row],[Edital]],tEditais[Edital],0)),"")</f>
        <v>MUNICIPIO DE ALTA FLORESTA D'OESTE</v>
      </c>
      <c r="H7108" t="str">
        <f>IFERROR(INDEX(tEditais[UF],MATCH(tItens[[#This Row],[Edital]],tEditais[Edital],0)),"")</f>
        <v>RO</v>
      </c>
      <c r="I7108" s="11">
        <f>IFERROR(INDEX(tEditais[Encerramento],MATCH(tItens[[#This Row],[Edital]],tEditais[Edital],0)),"")</f>
        <v>46309.416666666664</v>
      </c>
      <c r="J7108" t="str">
        <f>IFERROR(INDEX(tProdutos[Classe],MATCH(tItens[[#This Row],[Produto]],tProdutos[Produto],0)),"produto não cadastrado")</f>
        <v>NÚCLEO</v>
      </c>
      <c r="K7108" s="12">
        <f>tItens[[#This Row],[Qtd]]*tItens[[#This Row],[Vlr unit]]</f>
        <v>717.8</v>
      </c>
      <c r="L7108" s="6">
        <f>IFERROR(IF(INDEX(tProdutos[Desconto homologado],MATCH(tItens[[#This Row],[Produto]],tProdutos[Produto],0))="",DescontoPadrao,INDEX(tProdutos[Desconto homologado],MATCH(tItens[[#This Row],[Produto]],tProdutos[Produto],0))),DescontoPadrao)</f>
        <v>0.30410958904109597</v>
      </c>
      <c r="M7108" s="12">
        <f>tItens[[#This Row],[Valor]]*(1-tItens[[#This Row],[Desconto]])</f>
        <v>499.51013698630129</v>
      </c>
      <c r="N7108" t="str">
        <f>IFERROR(INDEX(tProdutos[Foco],MATCH(tItens[[#This Row],[Produto]],tProdutos[Produto],0)),"Não")</f>
        <v>Não</v>
      </c>
      <c r="O7108" t="str">
        <f>IFERROR(INDEX(tEditais[SRP],MATCH(tItens[[#This Row],[Edital]],tEditais[Edital],0)),"Não")</f>
        <v>Não</v>
      </c>
      <c r="P7108" s="4">
        <f>IF(COUNTIFS(INDEX(tItens[Edital],1):tItens[[#This Row],[Edital]],tItens[[#This Row],[Edital]],INDEX(tItens[Produto],1):tItens[[#This Row],[Produto]],tItens[[#This Row],[Produto]])=1,1,0)</f>
        <v>0</v>
      </c>
    </row>
    <row r="7109" spans="1:16" x14ac:dyDescent="0.25">
      <c r="A7109" t="s">
        <v>2452</v>
      </c>
      <c r="B7109">
        <v>8040284</v>
      </c>
      <c r="C7109" t="s">
        <v>9772</v>
      </c>
      <c r="D7109" t="s">
        <v>110</v>
      </c>
      <c r="E7109" s="13">
        <v>60</v>
      </c>
      <c r="F7109" s="12">
        <v>1.77</v>
      </c>
      <c r="G7109" t="str">
        <f>IFERROR(INDEX(tEditais[Órgão],MATCH(tItens[[#This Row],[Edital]],tEditais[Edital],0)),"")</f>
        <v>MUNICIPIO DE ALTA FLORESTA D'OESTE</v>
      </c>
      <c r="H7109" t="str">
        <f>IFERROR(INDEX(tEditais[UF],MATCH(tItens[[#This Row],[Edital]],tEditais[Edital],0)),"")</f>
        <v>RO</v>
      </c>
      <c r="I7109" s="11">
        <f>IFERROR(INDEX(tEditais[Encerramento],MATCH(tItens[[#This Row],[Edital]],tEditais[Edital],0)),"")</f>
        <v>46309.416666666664</v>
      </c>
      <c r="J7109" t="str">
        <f>IFERROR(INDEX(tProdutos[Classe],MATCH(tItens[[#This Row],[Produto]],tProdutos[Produto],0)),"produto não cadastrado")</f>
        <v>NÚCLEO</v>
      </c>
      <c r="K7109" s="12">
        <f>tItens[[#This Row],[Qtd]]*tItens[[#This Row],[Vlr unit]]</f>
        <v>106.2</v>
      </c>
      <c r="L7109" s="6">
        <f>IFERROR(IF(INDEX(tProdutos[Desconto homologado],MATCH(tItens[[#This Row],[Produto]],tProdutos[Produto],0))="",DescontoPadrao,INDEX(tProdutos[Desconto homologado],MATCH(tItens[[#This Row],[Produto]],tProdutos[Produto],0))),DescontoPadrao)</f>
        <v>0.30410958904109597</v>
      </c>
      <c r="M7109" s="12">
        <f>tItens[[#This Row],[Valor]]*(1-tItens[[#This Row],[Desconto]])</f>
        <v>73.903561643835616</v>
      </c>
      <c r="N7109" t="str">
        <f>IFERROR(INDEX(tProdutos[Foco],MATCH(tItens[[#This Row],[Produto]],tProdutos[Produto],0)),"Não")</f>
        <v>Não</v>
      </c>
      <c r="O7109" t="str">
        <f>IFERROR(INDEX(tEditais[SRP],MATCH(tItens[[#This Row],[Edital]],tEditais[Edital],0)),"Não")</f>
        <v>Não</v>
      </c>
      <c r="P7109" s="4">
        <f>IF(COUNTIFS(INDEX(tItens[Edital],1):tItens[[#This Row],[Edital]],tItens[[#This Row],[Edital]],INDEX(tItens[Produto],1):tItens[[#This Row],[Produto]],tItens[[#This Row],[Produto]])=1,1,0)</f>
        <v>0</v>
      </c>
    </row>
    <row r="7110" spans="1:16" x14ac:dyDescent="0.25">
      <c r="A7110" t="s">
        <v>2452</v>
      </c>
      <c r="B7110">
        <v>8040285</v>
      </c>
      <c r="C7110" t="s">
        <v>9773</v>
      </c>
      <c r="D7110" t="s">
        <v>110</v>
      </c>
      <c r="E7110" s="13">
        <v>120</v>
      </c>
      <c r="F7110" s="12">
        <v>1.62</v>
      </c>
      <c r="G7110" t="str">
        <f>IFERROR(INDEX(tEditais[Órgão],MATCH(tItens[[#This Row],[Edital]],tEditais[Edital],0)),"")</f>
        <v>MUNICIPIO DE ALTA FLORESTA D'OESTE</v>
      </c>
      <c r="H7110" t="str">
        <f>IFERROR(INDEX(tEditais[UF],MATCH(tItens[[#This Row],[Edital]],tEditais[Edital],0)),"")</f>
        <v>RO</v>
      </c>
      <c r="I7110" s="11">
        <f>IFERROR(INDEX(tEditais[Encerramento],MATCH(tItens[[#This Row],[Edital]],tEditais[Edital],0)),"")</f>
        <v>46309.416666666664</v>
      </c>
      <c r="J7110" t="str">
        <f>IFERROR(INDEX(tProdutos[Classe],MATCH(tItens[[#This Row],[Produto]],tProdutos[Produto],0)),"produto não cadastrado")</f>
        <v>NÚCLEO</v>
      </c>
      <c r="K7110" s="12">
        <f>tItens[[#This Row],[Qtd]]*tItens[[#This Row],[Vlr unit]]</f>
        <v>194.4</v>
      </c>
      <c r="L7110" s="6">
        <f>IFERROR(IF(INDEX(tProdutos[Desconto homologado],MATCH(tItens[[#This Row],[Produto]],tProdutos[Produto],0))="",DescontoPadrao,INDEX(tProdutos[Desconto homologado],MATCH(tItens[[#This Row],[Produto]],tProdutos[Produto],0))),DescontoPadrao)</f>
        <v>0.30410958904109597</v>
      </c>
      <c r="M7110" s="12">
        <f>tItens[[#This Row],[Valor]]*(1-tItens[[#This Row],[Desconto]])</f>
        <v>135.28109589041094</v>
      </c>
      <c r="N7110" t="str">
        <f>IFERROR(INDEX(tProdutos[Foco],MATCH(tItens[[#This Row],[Produto]],tProdutos[Produto],0)),"Não")</f>
        <v>Não</v>
      </c>
      <c r="O7110" t="str">
        <f>IFERROR(INDEX(tEditais[SRP],MATCH(tItens[[#This Row],[Edital]],tEditais[Edital],0)),"Não")</f>
        <v>Não</v>
      </c>
      <c r="P7110" s="4">
        <f>IF(COUNTIFS(INDEX(tItens[Edital],1):tItens[[#This Row],[Edital]],tItens[[#This Row],[Edital]],INDEX(tItens[Produto],1):tItens[[#This Row],[Produto]],tItens[[#This Row],[Produto]])=1,1,0)</f>
        <v>0</v>
      </c>
    </row>
    <row r="7111" spans="1:16" x14ac:dyDescent="0.25">
      <c r="A7111" t="s">
        <v>2452</v>
      </c>
      <c r="B7111">
        <v>8040286</v>
      </c>
      <c r="C7111" t="s">
        <v>9774</v>
      </c>
      <c r="D7111" t="s">
        <v>110</v>
      </c>
      <c r="E7111" s="13">
        <v>120</v>
      </c>
      <c r="F7111" s="12">
        <v>1.89</v>
      </c>
      <c r="G7111" t="str">
        <f>IFERROR(INDEX(tEditais[Órgão],MATCH(tItens[[#This Row],[Edital]],tEditais[Edital],0)),"")</f>
        <v>MUNICIPIO DE ALTA FLORESTA D'OESTE</v>
      </c>
      <c r="H7111" t="str">
        <f>IFERROR(INDEX(tEditais[UF],MATCH(tItens[[#This Row],[Edital]],tEditais[Edital],0)),"")</f>
        <v>RO</v>
      </c>
      <c r="I7111" s="11">
        <f>IFERROR(INDEX(tEditais[Encerramento],MATCH(tItens[[#This Row],[Edital]],tEditais[Edital],0)),"")</f>
        <v>46309.416666666664</v>
      </c>
      <c r="J7111" t="str">
        <f>IFERROR(INDEX(tProdutos[Classe],MATCH(tItens[[#This Row],[Produto]],tProdutos[Produto],0)),"produto não cadastrado")</f>
        <v>NÚCLEO</v>
      </c>
      <c r="K7111" s="12">
        <f>tItens[[#This Row],[Qtd]]*tItens[[#This Row],[Vlr unit]]</f>
        <v>226.79999999999998</v>
      </c>
      <c r="L7111" s="6">
        <f>IFERROR(IF(INDEX(tProdutos[Desconto homologado],MATCH(tItens[[#This Row],[Produto]],tProdutos[Produto],0))="",DescontoPadrao,INDEX(tProdutos[Desconto homologado],MATCH(tItens[[#This Row],[Produto]],tProdutos[Produto],0))),DescontoPadrao)</f>
        <v>0.30410958904109597</v>
      </c>
      <c r="M7111" s="12">
        <f>tItens[[#This Row],[Valor]]*(1-tItens[[#This Row],[Desconto]])</f>
        <v>157.82794520547941</v>
      </c>
      <c r="N7111" t="str">
        <f>IFERROR(INDEX(tProdutos[Foco],MATCH(tItens[[#This Row],[Produto]],tProdutos[Produto],0)),"Não")</f>
        <v>Não</v>
      </c>
      <c r="O7111" t="str">
        <f>IFERROR(INDEX(tEditais[SRP],MATCH(tItens[[#This Row],[Edital]],tEditais[Edital],0)),"Não")</f>
        <v>Não</v>
      </c>
      <c r="P7111" s="4">
        <f>IF(COUNTIFS(INDEX(tItens[Edital],1):tItens[[#This Row],[Edital]],tItens[[#This Row],[Edital]],INDEX(tItens[Produto],1):tItens[[#This Row],[Produto]],tItens[[#This Row],[Produto]])=1,1,0)</f>
        <v>0</v>
      </c>
    </row>
    <row r="7112" spans="1:16" x14ac:dyDescent="0.25">
      <c r="A7112" t="s">
        <v>2452</v>
      </c>
      <c r="B7112">
        <v>8040287</v>
      </c>
      <c r="C7112" t="s">
        <v>9775</v>
      </c>
      <c r="D7112" t="s">
        <v>110</v>
      </c>
      <c r="E7112" s="13">
        <v>100</v>
      </c>
      <c r="F7112" s="12">
        <v>1.91</v>
      </c>
      <c r="G7112" t="str">
        <f>IFERROR(INDEX(tEditais[Órgão],MATCH(tItens[[#This Row],[Edital]],tEditais[Edital],0)),"")</f>
        <v>MUNICIPIO DE ALTA FLORESTA D'OESTE</v>
      </c>
      <c r="H7112" t="str">
        <f>IFERROR(INDEX(tEditais[UF],MATCH(tItens[[#This Row],[Edital]],tEditais[Edital],0)),"")</f>
        <v>RO</v>
      </c>
      <c r="I7112" s="11">
        <f>IFERROR(INDEX(tEditais[Encerramento],MATCH(tItens[[#This Row],[Edital]],tEditais[Edital],0)),"")</f>
        <v>46309.416666666664</v>
      </c>
      <c r="J7112" t="str">
        <f>IFERROR(INDEX(tProdutos[Classe],MATCH(tItens[[#This Row],[Produto]],tProdutos[Produto],0)),"produto não cadastrado")</f>
        <v>NÚCLEO</v>
      </c>
      <c r="K7112" s="12">
        <f>tItens[[#This Row],[Qtd]]*tItens[[#This Row],[Vlr unit]]</f>
        <v>191</v>
      </c>
      <c r="L7112" s="6">
        <f>IFERROR(IF(INDEX(tProdutos[Desconto homologado],MATCH(tItens[[#This Row],[Produto]],tProdutos[Produto],0))="",DescontoPadrao,INDEX(tProdutos[Desconto homologado],MATCH(tItens[[#This Row],[Produto]],tProdutos[Produto],0))),DescontoPadrao)</f>
        <v>0.30410958904109597</v>
      </c>
      <c r="M7112" s="12">
        <f>tItens[[#This Row],[Valor]]*(1-tItens[[#This Row],[Desconto]])</f>
        <v>132.91506849315067</v>
      </c>
      <c r="N7112" t="str">
        <f>IFERROR(INDEX(tProdutos[Foco],MATCH(tItens[[#This Row],[Produto]],tProdutos[Produto],0)),"Não")</f>
        <v>Não</v>
      </c>
      <c r="O7112" t="str">
        <f>IFERROR(INDEX(tEditais[SRP],MATCH(tItens[[#This Row],[Edital]],tEditais[Edital],0)),"Não")</f>
        <v>Não</v>
      </c>
      <c r="P7112" s="4">
        <f>IF(COUNTIFS(INDEX(tItens[Edital],1):tItens[[#This Row],[Edital]],tItens[[#This Row],[Edital]],INDEX(tItens[Produto],1):tItens[[#This Row],[Produto]],tItens[[#This Row],[Produto]])=1,1,0)</f>
        <v>0</v>
      </c>
    </row>
    <row r="7113" spans="1:16" x14ac:dyDescent="0.25">
      <c r="A7113" t="s">
        <v>2452</v>
      </c>
      <c r="B7113">
        <v>8040288</v>
      </c>
      <c r="C7113" t="s">
        <v>9776</v>
      </c>
      <c r="D7113" t="s">
        <v>110</v>
      </c>
      <c r="E7113" s="13">
        <v>100</v>
      </c>
      <c r="F7113" s="12">
        <v>1.94</v>
      </c>
      <c r="G7113" t="str">
        <f>IFERROR(INDEX(tEditais[Órgão],MATCH(tItens[[#This Row],[Edital]],tEditais[Edital],0)),"")</f>
        <v>MUNICIPIO DE ALTA FLORESTA D'OESTE</v>
      </c>
      <c r="H7113" t="str">
        <f>IFERROR(INDEX(tEditais[UF],MATCH(tItens[[#This Row],[Edital]],tEditais[Edital],0)),"")</f>
        <v>RO</v>
      </c>
      <c r="I7113" s="11">
        <f>IFERROR(INDEX(tEditais[Encerramento],MATCH(tItens[[#This Row],[Edital]],tEditais[Edital],0)),"")</f>
        <v>46309.416666666664</v>
      </c>
      <c r="J7113" t="str">
        <f>IFERROR(INDEX(tProdutos[Classe],MATCH(tItens[[#This Row],[Produto]],tProdutos[Produto],0)),"produto não cadastrado")</f>
        <v>NÚCLEO</v>
      </c>
      <c r="K7113" s="12">
        <f>tItens[[#This Row],[Qtd]]*tItens[[#This Row],[Vlr unit]]</f>
        <v>194</v>
      </c>
      <c r="L7113" s="6">
        <f>IFERROR(IF(INDEX(tProdutos[Desconto homologado],MATCH(tItens[[#This Row],[Produto]],tProdutos[Produto],0))="",DescontoPadrao,INDEX(tProdutos[Desconto homologado],MATCH(tItens[[#This Row],[Produto]],tProdutos[Produto],0))),DescontoPadrao)</f>
        <v>0.30410958904109597</v>
      </c>
      <c r="M7113" s="12">
        <f>tItens[[#This Row],[Valor]]*(1-tItens[[#This Row],[Desconto]])</f>
        <v>135.00273972602739</v>
      </c>
      <c r="N7113" t="str">
        <f>IFERROR(INDEX(tProdutos[Foco],MATCH(tItens[[#This Row],[Produto]],tProdutos[Produto],0)),"Não")</f>
        <v>Não</v>
      </c>
      <c r="O7113" t="str">
        <f>IFERROR(INDEX(tEditais[SRP],MATCH(tItens[[#This Row],[Edital]],tEditais[Edital],0)),"Não")</f>
        <v>Não</v>
      </c>
      <c r="P7113" s="4">
        <f>IF(COUNTIFS(INDEX(tItens[Edital],1):tItens[[#This Row],[Edital]],tItens[[#This Row],[Edital]],INDEX(tItens[Produto],1):tItens[[#This Row],[Produto]],tItens[[#This Row],[Produto]])=1,1,0)</f>
        <v>0</v>
      </c>
    </row>
    <row r="7114" spans="1:16" x14ac:dyDescent="0.25">
      <c r="A7114" t="s">
        <v>2452</v>
      </c>
      <c r="B7114">
        <v>8040289</v>
      </c>
      <c r="C7114" t="s">
        <v>9777</v>
      </c>
      <c r="D7114" t="s">
        <v>110</v>
      </c>
      <c r="E7114" s="13">
        <v>100</v>
      </c>
      <c r="F7114" s="12">
        <v>2.0299999999999998</v>
      </c>
      <c r="G7114" t="str">
        <f>IFERROR(INDEX(tEditais[Órgão],MATCH(tItens[[#This Row],[Edital]],tEditais[Edital],0)),"")</f>
        <v>MUNICIPIO DE ALTA FLORESTA D'OESTE</v>
      </c>
      <c r="H7114" t="str">
        <f>IFERROR(INDEX(tEditais[UF],MATCH(tItens[[#This Row],[Edital]],tEditais[Edital],0)),"")</f>
        <v>RO</v>
      </c>
      <c r="I7114" s="11">
        <f>IFERROR(INDEX(tEditais[Encerramento],MATCH(tItens[[#This Row],[Edital]],tEditais[Edital],0)),"")</f>
        <v>46309.416666666664</v>
      </c>
      <c r="J7114" t="str">
        <f>IFERROR(INDEX(tProdutos[Classe],MATCH(tItens[[#This Row],[Produto]],tProdutos[Produto],0)),"produto não cadastrado")</f>
        <v>NÚCLEO</v>
      </c>
      <c r="K7114" s="12">
        <f>tItens[[#This Row],[Qtd]]*tItens[[#This Row],[Vlr unit]]</f>
        <v>202.99999999999997</v>
      </c>
      <c r="L7114" s="6">
        <f>IFERROR(IF(INDEX(tProdutos[Desconto homologado],MATCH(tItens[[#This Row],[Produto]],tProdutos[Produto],0))="",DescontoPadrao,INDEX(tProdutos[Desconto homologado],MATCH(tItens[[#This Row],[Produto]],tProdutos[Produto],0))),DescontoPadrao)</f>
        <v>0.30410958904109597</v>
      </c>
      <c r="M7114" s="12">
        <f>tItens[[#This Row],[Valor]]*(1-tItens[[#This Row],[Desconto]])</f>
        <v>141.2657534246575</v>
      </c>
      <c r="N7114" t="str">
        <f>IFERROR(INDEX(tProdutos[Foco],MATCH(tItens[[#This Row],[Produto]],tProdutos[Produto],0)),"Não")</f>
        <v>Não</v>
      </c>
      <c r="O7114" t="str">
        <f>IFERROR(INDEX(tEditais[SRP],MATCH(tItens[[#This Row],[Edital]],tEditais[Edital],0)),"Não")</f>
        <v>Não</v>
      </c>
      <c r="P7114" s="4">
        <f>IF(COUNTIFS(INDEX(tItens[Edital],1):tItens[[#This Row],[Edital]],tItens[[#This Row],[Edital]],INDEX(tItens[Produto],1):tItens[[#This Row],[Produto]],tItens[[#This Row],[Produto]])=1,1,0)</f>
        <v>0</v>
      </c>
    </row>
    <row r="7115" spans="1:16" x14ac:dyDescent="0.25">
      <c r="A7115" t="s">
        <v>2452</v>
      </c>
      <c r="B7115">
        <v>8040290</v>
      </c>
      <c r="C7115" t="s">
        <v>9778</v>
      </c>
      <c r="D7115" t="s">
        <v>110</v>
      </c>
      <c r="E7115" s="13">
        <v>140</v>
      </c>
      <c r="F7115" s="12">
        <v>2.4900000000000002</v>
      </c>
      <c r="G7115" t="str">
        <f>IFERROR(INDEX(tEditais[Órgão],MATCH(tItens[[#This Row],[Edital]],tEditais[Edital],0)),"")</f>
        <v>MUNICIPIO DE ALTA FLORESTA D'OESTE</v>
      </c>
      <c r="H7115" t="str">
        <f>IFERROR(INDEX(tEditais[UF],MATCH(tItens[[#This Row],[Edital]],tEditais[Edital],0)),"")</f>
        <v>RO</v>
      </c>
      <c r="I7115" s="11">
        <f>IFERROR(INDEX(tEditais[Encerramento],MATCH(tItens[[#This Row],[Edital]],tEditais[Edital],0)),"")</f>
        <v>46309.416666666664</v>
      </c>
      <c r="J7115" t="str">
        <f>IFERROR(INDEX(tProdutos[Classe],MATCH(tItens[[#This Row],[Produto]],tProdutos[Produto],0)),"produto não cadastrado")</f>
        <v>NÚCLEO</v>
      </c>
      <c r="K7115" s="12">
        <f>tItens[[#This Row],[Qtd]]*tItens[[#This Row],[Vlr unit]]</f>
        <v>348.6</v>
      </c>
      <c r="L7115" s="6">
        <f>IFERROR(IF(INDEX(tProdutos[Desconto homologado],MATCH(tItens[[#This Row],[Produto]],tProdutos[Produto],0))="",DescontoPadrao,INDEX(tProdutos[Desconto homologado],MATCH(tItens[[#This Row],[Produto]],tProdutos[Produto],0))),DescontoPadrao)</f>
        <v>0.30410958904109597</v>
      </c>
      <c r="M7115" s="12">
        <f>tItens[[#This Row],[Valor]]*(1-tItens[[#This Row],[Desconto]])</f>
        <v>242.58739726027395</v>
      </c>
      <c r="N7115" t="str">
        <f>IFERROR(INDEX(tProdutos[Foco],MATCH(tItens[[#This Row],[Produto]],tProdutos[Produto],0)),"Não")</f>
        <v>Não</v>
      </c>
      <c r="O7115" t="str">
        <f>IFERROR(INDEX(tEditais[SRP],MATCH(tItens[[#This Row],[Edital]],tEditais[Edital],0)),"Não")</f>
        <v>Não</v>
      </c>
      <c r="P7115" s="4">
        <f>IF(COUNTIFS(INDEX(tItens[Edital],1):tItens[[#This Row],[Edital]],tItens[[#This Row],[Edital]],INDEX(tItens[Produto],1):tItens[[#This Row],[Produto]],tItens[[#This Row],[Produto]])=1,1,0)</f>
        <v>0</v>
      </c>
    </row>
    <row r="7116" spans="1:16" x14ac:dyDescent="0.25">
      <c r="A7116" t="s">
        <v>2452</v>
      </c>
      <c r="B7116">
        <v>8040291</v>
      </c>
      <c r="C7116" t="s">
        <v>9779</v>
      </c>
      <c r="D7116" t="s">
        <v>110</v>
      </c>
      <c r="E7116" s="13">
        <v>140</v>
      </c>
      <c r="F7116" s="12">
        <v>3.01</v>
      </c>
      <c r="G7116" t="str">
        <f>IFERROR(INDEX(tEditais[Órgão],MATCH(tItens[[#This Row],[Edital]],tEditais[Edital],0)),"")</f>
        <v>MUNICIPIO DE ALTA FLORESTA D'OESTE</v>
      </c>
      <c r="H7116" t="str">
        <f>IFERROR(INDEX(tEditais[UF],MATCH(tItens[[#This Row],[Edital]],tEditais[Edital],0)),"")</f>
        <v>RO</v>
      </c>
      <c r="I7116" s="11">
        <f>IFERROR(INDEX(tEditais[Encerramento],MATCH(tItens[[#This Row],[Edital]],tEditais[Edital],0)),"")</f>
        <v>46309.416666666664</v>
      </c>
      <c r="J7116" t="str">
        <f>IFERROR(INDEX(tProdutos[Classe],MATCH(tItens[[#This Row],[Produto]],tProdutos[Produto],0)),"produto não cadastrado")</f>
        <v>NÚCLEO</v>
      </c>
      <c r="K7116" s="12">
        <f>tItens[[#This Row],[Qtd]]*tItens[[#This Row],[Vlr unit]]</f>
        <v>421.4</v>
      </c>
      <c r="L7116" s="6">
        <f>IFERROR(IF(INDEX(tProdutos[Desconto homologado],MATCH(tItens[[#This Row],[Produto]],tProdutos[Produto],0))="",DescontoPadrao,INDEX(tProdutos[Desconto homologado],MATCH(tItens[[#This Row],[Produto]],tProdutos[Produto],0))),DescontoPadrao)</f>
        <v>0.30410958904109597</v>
      </c>
      <c r="M7116" s="12">
        <f>tItens[[#This Row],[Valor]]*(1-tItens[[#This Row],[Desconto]])</f>
        <v>293.24821917808214</v>
      </c>
      <c r="N7116" t="str">
        <f>IFERROR(INDEX(tProdutos[Foco],MATCH(tItens[[#This Row],[Produto]],tProdutos[Produto],0)),"Não")</f>
        <v>Não</v>
      </c>
      <c r="O7116" t="str">
        <f>IFERROR(INDEX(tEditais[SRP],MATCH(tItens[[#This Row],[Edital]],tEditais[Edital],0)),"Não")</f>
        <v>Não</v>
      </c>
      <c r="P7116" s="4">
        <f>IF(COUNTIFS(INDEX(tItens[Edital],1):tItens[[#This Row],[Edital]],tItens[[#This Row],[Edital]],INDEX(tItens[Produto],1):tItens[[#This Row],[Produto]],tItens[[#This Row],[Produto]])=1,1,0)</f>
        <v>0</v>
      </c>
    </row>
    <row r="7117" spans="1:16" x14ac:dyDescent="0.25">
      <c r="A7117" t="s">
        <v>2452</v>
      </c>
      <c r="B7117">
        <v>8040292</v>
      </c>
      <c r="C7117" t="s">
        <v>9780</v>
      </c>
      <c r="D7117" t="s">
        <v>110</v>
      </c>
      <c r="E7117" s="13">
        <v>60</v>
      </c>
      <c r="F7117" s="12">
        <v>3.04</v>
      </c>
      <c r="G7117" t="str">
        <f>IFERROR(INDEX(tEditais[Órgão],MATCH(tItens[[#This Row],[Edital]],tEditais[Edital],0)),"")</f>
        <v>MUNICIPIO DE ALTA FLORESTA D'OESTE</v>
      </c>
      <c r="H7117" t="str">
        <f>IFERROR(INDEX(tEditais[UF],MATCH(tItens[[#This Row],[Edital]],tEditais[Edital],0)),"")</f>
        <v>RO</v>
      </c>
      <c r="I7117" s="11">
        <f>IFERROR(INDEX(tEditais[Encerramento],MATCH(tItens[[#This Row],[Edital]],tEditais[Edital],0)),"")</f>
        <v>46309.416666666664</v>
      </c>
      <c r="J7117" t="str">
        <f>IFERROR(INDEX(tProdutos[Classe],MATCH(tItens[[#This Row],[Produto]],tProdutos[Produto],0)),"produto não cadastrado")</f>
        <v>NÚCLEO</v>
      </c>
      <c r="K7117" s="12">
        <f>tItens[[#This Row],[Qtd]]*tItens[[#This Row],[Vlr unit]]</f>
        <v>182.4</v>
      </c>
      <c r="L7117" s="6">
        <f>IFERROR(IF(INDEX(tProdutos[Desconto homologado],MATCH(tItens[[#This Row],[Produto]],tProdutos[Produto],0))="",DescontoPadrao,INDEX(tProdutos[Desconto homologado],MATCH(tItens[[#This Row],[Produto]],tProdutos[Produto],0))),DescontoPadrao)</f>
        <v>0.30410958904109597</v>
      </c>
      <c r="M7117" s="12">
        <f>tItens[[#This Row],[Valor]]*(1-tItens[[#This Row],[Desconto]])</f>
        <v>126.9304109589041</v>
      </c>
      <c r="N7117" t="str">
        <f>IFERROR(INDEX(tProdutos[Foco],MATCH(tItens[[#This Row],[Produto]],tProdutos[Produto],0)),"Não")</f>
        <v>Não</v>
      </c>
      <c r="O7117" t="str">
        <f>IFERROR(INDEX(tEditais[SRP],MATCH(tItens[[#This Row],[Edital]],tEditais[Edital],0)),"Não")</f>
        <v>Não</v>
      </c>
      <c r="P7117" s="4">
        <f>IF(COUNTIFS(INDEX(tItens[Edital],1):tItens[[#This Row],[Edital]],tItens[[#This Row],[Edital]],INDEX(tItens[Produto],1):tItens[[#This Row],[Produto]],tItens[[#This Row],[Produto]])=1,1,0)</f>
        <v>0</v>
      </c>
    </row>
    <row r="7118" spans="1:16" x14ac:dyDescent="0.25">
      <c r="A7118" t="s">
        <v>2452</v>
      </c>
      <c r="B7118">
        <v>8040293</v>
      </c>
      <c r="C7118" t="s">
        <v>9781</v>
      </c>
      <c r="D7118" t="s">
        <v>110</v>
      </c>
      <c r="E7118" s="13">
        <v>60</v>
      </c>
      <c r="F7118" s="12">
        <v>2.74</v>
      </c>
      <c r="G7118" t="str">
        <f>IFERROR(INDEX(tEditais[Órgão],MATCH(tItens[[#This Row],[Edital]],tEditais[Edital],0)),"")</f>
        <v>MUNICIPIO DE ALTA FLORESTA D'OESTE</v>
      </c>
      <c r="H7118" t="str">
        <f>IFERROR(INDEX(tEditais[UF],MATCH(tItens[[#This Row],[Edital]],tEditais[Edital],0)),"")</f>
        <v>RO</v>
      </c>
      <c r="I7118" s="11">
        <f>IFERROR(INDEX(tEditais[Encerramento],MATCH(tItens[[#This Row],[Edital]],tEditais[Edital],0)),"")</f>
        <v>46309.416666666664</v>
      </c>
      <c r="J7118" t="str">
        <f>IFERROR(INDEX(tProdutos[Classe],MATCH(tItens[[#This Row],[Produto]],tProdutos[Produto],0)),"produto não cadastrado")</f>
        <v>NÚCLEO</v>
      </c>
      <c r="K7118" s="12">
        <f>tItens[[#This Row],[Qtd]]*tItens[[#This Row],[Vlr unit]]</f>
        <v>164.4</v>
      </c>
      <c r="L7118" s="6">
        <f>IFERROR(IF(INDEX(tProdutos[Desconto homologado],MATCH(tItens[[#This Row],[Produto]],tProdutos[Produto],0))="",DescontoPadrao,INDEX(tProdutos[Desconto homologado],MATCH(tItens[[#This Row],[Produto]],tProdutos[Produto],0))),DescontoPadrao)</f>
        <v>0.30410958904109597</v>
      </c>
      <c r="M7118" s="12">
        <f>tItens[[#This Row],[Valor]]*(1-tItens[[#This Row],[Desconto]])</f>
        <v>114.40438356164383</v>
      </c>
      <c r="N7118" t="str">
        <f>IFERROR(INDEX(tProdutos[Foco],MATCH(tItens[[#This Row],[Produto]],tProdutos[Produto],0)),"Não")</f>
        <v>Não</v>
      </c>
      <c r="O7118" t="str">
        <f>IFERROR(INDEX(tEditais[SRP],MATCH(tItens[[#This Row],[Edital]],tEditais[Edital],0)),"Não")</f>
        <v>Não</v>
      </c>
      <c r="P7118" s="4">
        <f>IF(COUNTIFS(INDEX(tItens[Edital],1):tItens[[#This Row],[Edital]],tItens[[#This Row],[Edital]],INDEX(tItens[Produto],1):tItens[[#This Row],[Produto]],tItens[[#This Row],[Produto]])=1,1,0)</f>
        <v>0</v>
      </c>
    </row>
    <row r="7119" spans="1:16" x14ac:dyDescent="0.25">
      <c r="A7119" t="s">
        <v>2452</v>
      </c>
      <c r="B7119">
        <v>8040294</v>
      </c>
      <c r="C7119" t="s">
        <v>9782</v>
      </c>
      <c r="D7119" t="s">
        <v>110</v>
      </c>
      <c r="E7119" s="13">
        <v>80</v>
      </c>
      <c r="F7119" s="12">
        <v>2.2599999999999998</v>
      </c>
      <c r="G7119" t="str">
        <f>IFERROR(INDEX(tEditais[Órgão],MATCH(tItens[[#This Row],[Edital]],tEditais[Edital],0)),"")</f>
        <v>MUNICIPIO DE ALTA FLORESTA D'OESTE</v>
      </c>
      <c r="H7119" t="str">
        <f>IFERROR(INDEX(tEditais[UF],MATCH(tItens[[#This Row],[Edital]],tEditais[Edital],0)),"")</f>
        <v>RO</v>
      </c>
      <c r="I7119" s="11">
        <f>IFERROR(INDEX(tEditais[Encerramento],MATCH(tItens[[#This Row],[Edital]],tEditais[Edital],0)),"")</f>
        <v>46309.416666666664</v>
      </c>
      <c r="J7119" t="str">
        <f>IFERROR(INDEX(tProdutos[Classe],MATCH(tItens[[#This Row],[Produto]],tProdutos[Produto],0)),"produto não cadastrado")</f>
        <v>NÚCLEO</v>
      </c>
      <c r="K7119" s="12">
        <f>tItens[[#This Row],[Qtd]]*tItens[[#This Row],[Vlr unit]]</f>
        <v>180.79999999999998</v>
      </c>
      <c r="L7119" s="6">
        <f>IFERROR(IF(INDEX(tProdutos[Desconto homologado],MATCH(tItens[[#This Row],[Produto]],tProdutos[Produto],0))="",DescontoPadrao,INDEX(tProdutos[Desconto homologado],MATCH(tItens[[#This Row],[Produto]],tProdutos[Produto],0))),DescontoPadrao)</f>
        <v>0.30410958904109597</v>
      </c>
      <c r="M7119" s="12">
        <f>tItens[[#This Row],[Valor]]*(1-tItens[[#This Row],[Desconto]])</f>
        <v>125.81698630136984</v>
      </c>
      <c r="N7119" t="str">
        <f>IFERROR(INDEX(tProdutos[Foco],MATCH(tItens[[#This Row],[Produto]],tProdutos[Produto],0)),"Não")</f>
        <v>Não</v>
      </c>
      <c r="O7119" t="str">
        <f>IFERROR(INDEX(tEditais[SRP],MATCH(tItens[[#This Row],[Edital]],tEditais[Edital],0)),"Não")</f>
        <v>Não</v>
      </c>
      <c r="P7119" s="4">
        <f>IF(COUNTIFS(INDEX(tItens[Edital],1):tItens[[#This Row],[Edital]],tItens[[#This Row],[Edital]],INDEX(tItens[Produto],1):tItens[[#This Row],[Produto]],tItens[[#This Row],[Produto]])=1,1,0)</f>
        <v>0</v>
      </c>
    </row>
    <row r="7120" spans="1:16" x14ac:dyDescent="0.25">
      <c r="A7120" t="s">
        <v>2452</v>
      </c>
      <c r="B7120">
        <v>8040295</v>
      </c>
      <c r="C7120" t="s">
        <v>9783</v>
      </c>
      <c r="D7120" t="s">
        <v>110</v>
      </c>
      <c r="E7120" s="13">
        <v>80</v>
      </c>
      <c r="F7120" s="12">
        <v>2.64</v>
      </c>
      <c r="G7120" t="str">
        <f>IFERROR(INDEX(tEditais[Órgão],MATCH(tItens[[#This Row],[Edital]],tEditais[Edital],0)),"")</f>
        <v>MUNICIPIO DE ALTA FLORESTA D'OESTE</v>
      </c>
      <c r="H7120" t="str">
        <f>IFERROR(INDEX(tEditais[UF],MATCH(tItens[[#This Row],[Edital]],tEditais[Edital],0)),"")</f>
        <v>RO</v>
      </c>
      <c r="I7120" s="11">
        <f>IFERROR(INDEX(tEditais[Encerramento],MATCH(tItens[[#This Row],[Edital]],tEditais[Edital],0)),"")</f>
        <v>46309.416666666664</v>
      </c>
      <c r="J7120" t="str">
        <f>IFERROR(INDEX(tProdutos[Classe],MATCH(tItens[[#This Row],[Produto]],tProdutos[Produto],0)),"produto não cadastrado")</f>
        <v>NÚCLEO</v>
      </c>
      <c r="K7120" s="12">
        <f>tItens[[#This Row],[Qtd]]*tItens[[#This Row],[Vlr unit]]</f>
        <v>211.20000000000002</v>
      </c>
      <c r="L7120" s="6">
        <f>IFERROR(IF(INDEX(tProdutos[Desconto homologado],MATCH(tItens[[#This Row],[Produto]],tProdutos[Produto],0))="",DescontoPadrao,INDEX(tProdutos[Desconto homologado],MATCH(tItens[[#This Row],[Produto]],tProdutos[Produto],0))),DescontoPadrao)</f>
        <v>0.30410958904109597</v>
      </c>
      <c r="M7120" s="12">
        <f>tItens[[#This Row],[Valor]]*(1-tItens[[#This Row],[Desconto]])</f>
        <v>146.97205479452055</v>
      </c>
      <c r="N7120" t="str">
        <f>IFERROR(INDEX(tProdutos[Foco],MATCH(tItens[[#This Row],[Produto]],tProdutos[Produto],0)),"Não")</f>
        <v>Não</v>
      </c>
      <c r="O7120" t="str">
        <f>IFERROR(INDEX(tEditais[SRP],MATCH(tItens[[#This Row],[Edital]],tEditais[Edital],0)),"Não")</f>
        <v>Não</v>
      </c>
      <c r="P7120" s="4">
        <f>IF(COUNTIFS(INDEX(tItens[Edital],1):tItens[[#This Row],[Edital]],tItens[[#This Row],[Edital]],INDEX(tItens[Produto],1):tItens[[#This Row],[Produto]],tItens[[#This Row],[Produto]])=1,1,0)</f>
        <v>0</v>
      </c>
    </row>
    <row r="7121" spans="1:16" x14ac:dyDescent="0.25">
      <c r="A7121" t="s">
        <v>2452</v>
      </c>
      <c r="B7121">
        <v>8040296</v>
      </c>
      <c r="C7121" t="s">
        <v>9784</v>
      </c>
      <c r="D7121" t="s">
        <v>110</v>
      </c>
      <c r="E7121" s="13">
        <v>80</v>
      </c>
      <c r="F7121" s="12">
        <v>2.5499999999999998</v>
      </c>
      <c r="G7121" t="str">
        <f>IFERROR(INDEX(tEditais[Órgão],MATCH(tItens[[#This Row],[Edital]],tEditais[Edital],0)),"")</f>
        <v>MUNICIPIO DE ALTA FLORESTA D'OESTE</v>
      </c>
      <c r="H7121" t="str">
        <f>IFERROR(INDEX(tEditais[UF],MATCH(tItens[[#This Row],[Edital]],tEditais[Edital],0)),"")</f>
        <v>RO</v>
      </c>
      <c r="I7121" s="11">
        <f>IFERROR(INDEX(tEditais[Encerramento],MATCH(tItens[[#This Row],[Edital]],tEditais[Edital],0)),"")</f>
        <v>46309.416666666664</v>
      </c>
      <c r="J7121" t="str">
        <f>IFERROR(INDEX(tProdutos[Classe],MATCH(tItens[[#This Row],[Produto]],tProdutos[Produto],0)),"produto não cadastrado")</f>
        <v>NÚCLEO</v>
      </c>
      <c r="K7121" s="12">
        <f>tItens[[#This Row],[Qtd]]*tItens[[#This Row],[Vlr unit]]</f>
        <v>204</v>
      </c>
      <c r="L7121" s="6">
        <f>IFERROR(IF(INDEX(tProdutos[Desconto homologado],MATCH(tItens[[#This Row],[Produto]],tProdutos[Produto],0))="",DescontoPadrao,INDEX(tProdutos[Desconto homologado],MATCH(tItens[[#This Row],[Produto]],tProdutos[Produto],0))),DescontoPadrao)</f>
        <v>0.30410958904109597</v>
      </c>
      <c r="M7121" s="12">
        <f>tItens[[#This Row],[Valor]]*(1-tItens[[#This Row],[Desconto]])</f>
        <v>141.96164383561643</v>
      </c>
      <c r="N7121" t="str">
        <f>IFERROR(INDEX(tProdutos[Foco],MATCH(tItens[[#This Row],[Produto]],tProdutos[Produto],0)),"Não")</f>
        <v>Não</v>
      </c>
      <c r="O7121" t="str">
        <f>IFERROR(INDEX(tEditais[SRP],MATCH(tItens[[#This Row],[Edital]],tEditais[Edital],0)),"Não")</f>
        <v>Não</v>
      </c>
      <c r="P7121" s="4">
        <f>IF(COUNTIFS(INDEX(tItens[Edital],1):tItens[[#This Row],[Edital]],tItens[[#This Row],[Edital]],INDEX(tItens[Produto],1):tItens[[#This Row],[Produto]],tItens[[#This Row],[Produto]])=1,1,0)</f>
        <v>0</v>
      </c>
    </row>
    <row r="7122" spans="1:16" x14ac:dyDescent="0.25">
      <c r="A7122" t="s">
        <v>2452</v>
      </c>
      <c r="B7122">
        <v>8040297</v>
      </c>
      <c r="C7122" t="s">
        <v>9785</v>
      </c>
      <c r="D7122" t="s">
        <v>110</v>
      </c>
      <c r="E7122" s="13">
        <v>120</v>
      </c>
      <c r="F7122" s="12">
        <v>2.58</v>
      </c>
      <c r="G7122" t="str">
        <f>IFERROR(INDEX(tEditais[Órgão],MATCH(tItens[[#This Row],[Edital]],tEditais[Edital],0)),"")</f>
        <v>MUNICIPIO DE ALTA FLORESTA D'OESTE</v>
      </c>
      <c r="H7122" t="str">
        <f>IFERROR(INDEX(tEditais[UF],MATCH(tItens[[#This Row],[Edital]],tEditais[Edital],0)),"")</f>
        <v>RO</v>
      </c>
      <c r="I7122" s="11">
        <f>IFERROR(INDEX(tEditais[Encerramento],MATCH(tItens[[#This Row],[Edital]],tEditais[Edital],0)),"")</f>
        <v>46309.416666666664</v>
      </c>
      <c r="J7122" t="str">
        <f>IFERROR(INDEX(tProdutos[Classe],MATCH(tItens[[#This Row],[Produto]],tProdutos[Produto],0)),"produto não cadastrado")</f>
        <v>NÚCLEO</v>
      </c>
      <c r="K7122" s="12">
        <f>tItens[[#This Row],[Qtd]]*tItens[[#This Row],[Vlr unit]]</f>
        <v>309.60000000000002</v>
      </c>
      <c r="L7122" s="6">
        <f>IFERROR(IF(INDEX(tProdutos[Desconto homologado],MATCH(tItens[[#This Row],[Produto]],tProdutos[Produto],0))="",DescontoPadrao,INDEX(tProdutos[Desconto homologado],MATCH(tItens[[#This Row],[Produto]],tProdutos[Produto],0))),DescontoPadrao)</f>
        <v>0.30410958904109597</v>
      </c>
      <c r="M7122" s="12">
        <f>tItens[[#This Row],[Valor]]*(1-tItens[[#This Row],[Desconto]])</f>
        <v>215.4476712328767</v>
      </c>
      <c r="N7122" t="str">
        <f>IFERROR(INDEX(tProdutos[Foco],MATCH(tItens[[#This Row],[Produto]],tProdutos[Produto],0)),"Não")</f>
        <v>Não</v>
      </c>
      <c r="O7122" t="str">
        <f>IFERROR(INDEX(tEditais[SRP],MATCH(tItens[[#This Row],[Edital]],tEditais[Edital],0)),"Não")</f>
        <v>Não</v>
      </c>
      <c r="P7122" s="4">
        <f>IF(COUNTIFS(INDEX(tItens[Edital],1):tItens[[#This Row],[Edital]],tItens[[#This Row],[Edital]],INDEX(tItens[Produto],1):tItens[[#This Row],[Produto]],tItens[[#This Row],[Produto]])=1,1,0)</f>
        <v>0</v>
      </c>
    </row>
    <row r="7123" spans="1:16" x14ac:dyDescent="0.25">
      <c r="A7123" t="s">
        <v>2452</v>
      </c>
      <c r="B7123">
        <v>8040298</v>
      </c>
      <c r="C7123" t="s">
        <v>9786</v>
      </c>
      <c r="D7123" t="s">
        <v>110</v>
      </c>
      <c r="E7123" s="13">
        <v>120</v>
      </c>
      <c r="F7123" s="12">
        <v>2.61</v>
      </c>
      <c r="G7123" t="str">
        <f>IFERROR(INDEX(tEditais[Órgão],MATCH(tItens[[#This Row],[Edital]],tEditais[Edital],0)),"")</f>
        <v>MUNICIPIO DE ALTA FLORESTA D'OESTE</v>
      </c>
      <c r="H7123" t="str">
        <f>IFERROR(INDEX(tEditais[UF],MATCH(tItens[[#This Row],[Edital]],tEditais[Edital],0)),"")</f>
        <v>RO</v>
      </c>
      <c r="I7123" s="11">
        <f>IFERROR(INDEX(tEditais[Encerramento],MATCH(tItens[[#This Row],[Edital]],tEditais[Edital],0)),"")</f>
        <v>46309.416666666664</v>
      </c>
      <c r="J7123" t="str">
        <f>IFERROR(INDEX(tProdutos[Classe],MATCH(tItens[[#This Row],[Produto]],tProdutos[Produto],0)),"produto não cadastrado")</f>
        <v>NÚCLEO</v>
      </c>
      <c r="K7123" s="12">
        <f>tItens[[#This Row],[Qtd]]*tItens[[#This Row],[Vlr unit]]</f>
        <v>313.2</v>
      </c>
      <c r="L7123" s="6">
        <f>IFERROR(IF(INDEX(tProdutos[Desconto homologado],MATCH(tItens[[#This Row],[Produto]],tProdutos[Produto],0))="",DescontoPadrao,INDEX(tProdutos[Desconto homologado],MATCH(tItens[[#This Row],[Produto]],tProdutos[Produto],0))),DescontoPadrao)</f>
        <v>0.30410958904109597</v>
      </c>
      <c r="M7123" s="12">
        <f>tItens[[#This Row],[Valor]]*(1-tItens[[#This Row],[Desconto]])</f>
        <v>217.95287671232873</v>
      </c>
      <c r="N7123" t="str">
        <f>IFERROR(INDEX(tProdutos[Foco],MATCH(tItens[[#This Row],[Produto]],tProdutos[Produto],0)),"Não")</f>
        <v>Não</v>
      </c>
      <c r="O7123" t="str">
        <f>IFERROR(INDEX(tEditais[SRP],MATCH(tItens[[#This Row],[Edital]],tEditais[Edital],0)),"Não")</f>
        <v>Não</v>
      </c>
      <c r="P7123" s="4">
        <f>IF(COUNTIFS(INDEX(tItens[Edital],1):tItens[[#This Row],[Edital]],tItens[[#This Row],[Edital]],INDEX(tItens[Produto],1):tItens[[#This Row],[Produto]],tItens[[#This Row],[Produto]])=1,1,0)</f>
        <v>0</v>
      </c>
    </row>
    <row r="7124" spans="1:16" x14ac:dyDescent="0.25">
      <c r="A7124" t="s">
        <v>2452</v>
      </c>
      <c r="B7124">
        <v>8040299</v>
      </c>
      <c r="C7124" t="s">
        <v>9787</v>
      </c>
      <c r="D7124" t="s">
        <v>120</v>
      </c>
      <c r="E7124" s="13">
        <v>200</v>
      </c>
      <c r="F7124" s="12">
        <v>0.82</v>
      </c>
      <c r="G7124" t="str">
        <f>IFERROR(INDEX(tEditais[Órgão],MATCH(tItens[[#This Row],[Edital]],tEditais[Edital],0)),"")</f>
        <v>MUNICIPIO DE ALTA FLORESTA D'OESTE</v>
      </c>
      <c r="H7124" t="str">
        <f>IFERROR(INDEX(tEditais[UF],MATCH(tItens[[#This Row],[Edital]],tEditais[Edital],0)),"")</f>
        <v>RO</v>
      </c>
      <c r="I7124" s="11">
        <f>IFERROR(INDEX(tEditais[Encerramento],MATCH(tItens[[#This Row],[Edital]],tEditais[Edital],0)),"")</f>
        <v>46309.416666666664</v>
      </c>
      <c r="J7124" t="str">
        <f>IFERROR(INDEX(tProdutos[Classe],MATCH(tItens[[#This Row],[Produto]],tProdutos[Produto],0)),"produto não cadastrado")</f>
        <v>DISPUTADO</v>
      </c>
      <c r="K7124" s="12">
        <f>tItens[[#This Row],[Qtd]]*tItens[[#This Row],[Vlr unit]]</f>
        <v>164</v>
      </c>
      <c r="L7124" s="6">
        <f>IFERROR(IF(INDEX(tProdutos[Desconto homologado],MATCH(tItens[[#This Row],[Produto]],tProdutos[Produto],0))="",DescontoPadrao,INDEX(tProdutos[Desconto homologado],MATCH(tItens[[#This Row],[Produto]],tProdutos[Produto],0))),DescontoPadrao)</f>
        <v>0.40909090909090901</v>
      </c>
      <c r="M7124" s="12">
        <f>tItens[[#This Row],[Valor]]*(1-tItens[[#This Row],[Desconto]])</f>
        <v>96.909090909090935</v>
      </c>
      <c r="N7124" t="str">
        <f>IFERROR(INDEX(tProdutos[Foco],MATCH(tItens[[#This Row],[Produto]],tProdutos[Produto],0)),"Não")</f>
        <v>Não</v>
      </c>
      <c r="O7124" t="str">
        <f>IFERROR(INDEX(tEditais[SRP],MATCH(tItens[[#This Row],[Edital]],tEditais[Edital],0)),"Não")</f>
        <v>Não</v>
      </c>
      <c r="P7124" s="4">
        <f>IF(COUNTIFS(INDEX(tItens[Edital],1):tItens[[#This Row],[Edital]],tItens[[#This Row],[Edital]],INDEX(tItens[Produto],1):tItens[[#This Row],[Produto]],tItens[[#This Row],[Produto]])=1,1,0)</f>
        <v>1</v>
      </c>
    </row>
    <row r="7125" spans="1:16" x14ac:dyDescent="0.25">
      <c r="A7125" t="s">
        <v>2452</v>
      </c>
      <c r="B7125">
        <v>8040300</v>
      </c>
      <c r="C7125" t="s">
        <v>9788</v>
      </c>
      <c r="D7125" t="s">
        <v>120</v>
      </c>
      <c r="E7125" s="13">
        <v>100</v>
      </c>
      <c r="F7125" s="12">
        <v>1</v>
      </c>
      <c r="G7125" t="str">
        <f>IFERROR(INDEX(tEditais[Órgão],MATCH(tItens[[#This Row],[Edital]],tEditais[Edital],0)),"")</f>
        <v>MUNICIPIO DE ALTA FLORESTA D'OESTE</v>
      </c>
      <c r="H7125" t="str">
        <f>IFERROR(INDEX(tEditais[UF],MATCH(tItens[[#This Row],[Edital]],tEditais[Edital],0)),"")</f>
        <v>RO</v>
      </c>
      <c r="I7125" s="11">
        <f>IFERROR(INDEX(tEditais[Encerramento],MATCH(tItens[[#This Row],[Edital]],tEditais[Edital],0)),"")</f>
        <v>46309.416666666664</v>
      </c>
      <c r="J7125" t="str">
        <f>IFERROR(INDEX(tProdutos[Classe],MATCH(tItens[[#This Row],[Produto]],tProdutos[Produto],0)),"produto não cadastrado")</f>
        <v>DISPUTADO</v>
      </c>
      <c r="K7125" s="12">
        <f>tItens[[#This Row],[Qtd]]*tItens[[#This Row],[Vlr unit]]</f>
        <v>100</v>
      </c>
      <c r="L7125" s="6">
        <f>IFERROR(IF(INDEX(tProdutos[Desconto homologado],MATCH(tItens[[#This Row],[Produto]],tProdutos[Produto],0))="",DescontoPadrao,INDEX(tProdutos[Desconto homologado],MATCH(tItens[[#This Row],[Produto]],tProdutos[Produto],0))),DescontoPadrao)</f>
        <v>0.40909090909090901</v>
      </c>
      <c r="M7125" s="12">
        <f>tItens[[#This Row],[Valor]]*(1-tItens[[#This Row],[Desconto]])</f>
        <v>59.090909090909108</v>
      </c>
      <c r="N7125" t="str">
        <f>IFERROR(INDEX(tProdutos[Foco],MATCH(tItens[[#This Row],[Produto]],tProdutos[Produto],0)),"Não")</f>
        <v>Não</v>
      </c>
      <c r="O7125" t="str">
        <f>IFERROR(INDEX(tEditais[SRP],MATCH(tItens[[#This Row],[Edital]],tEditais[Edital],0)),"Não")</f>
        <v>Não</v>
      </c>
      <c r="P7125" s="4">
        <f>IF(COUNTIFS(INDEX(tItens[Edital],1):tItens[[#This Row],[Edital]],tItens[[#This Row],[Edital]],INDEX(tItens[Produto],1):tItens[[#This Row],[Produto]],tItens[[#This Row],[Produto]])=1,1,0)</f>
        <v>0</v>
      </c>
    </row>
    <row r="7126" spans="1:16" x14ac:dyDescent="0.25">
      <c r="A7126" t="s">
        <v>2452</v>
      </c>
      <c r="B7126">
        <v>8040301</v>
      </c>
      <c r="C7126" t="s">
        <v>9789</v>
      </c>
      <c r="D7126" t="s">
        <v>120</v>
      </c>
      <c r="E7126" s="13">
        <v>750</v>
      </c>
      <c r="F7126" s="12">
        <v>1.01</v>
      </c>
      <c r="G7126" t="str">
        <f>IFERROR(INDEX(tEditais[Órgão],MATCH(tItens[[#This Row],[Edital]],tEditais[Edital],0)),"")</f>
        <v>MUNICIPIO DE ALTA FLORESTA D'OESTE</v>
      </c>
      <c r="H7126" t="str">
        <f>IFERROR(INDEX(tEditais[UF],MATCH(tItens[[#This Row],[Edital]],tEditais[Edital],0)),"")</f>
        <v>RO</v>
      </c>
      <c r="I7126" s="11">
        <f>IFERROR(INDEX(tEditais[Encerramento],MATCH(tItens[[#This Row],[Edital]],tEditais[Edital],0)),"")</f>
        <v>46309.416666666664</v>
      </c>
      <c r="J7126" t="str">
        <f>IFERROR(INDEX(tProdutos[Classe],MATCH(tItens[[#This Row],[Produto]],tProdutos[Produto],0)),"produto não cadastrado")</f>
        <v>DISPUTADO</v>
      </c>
      <c r="K7126" s="12">
        <f>tItens[[#This Row],[Qtd]]*tItens[[#This Row],[Vlr unit]]</f>
        <v>757.5</v>
      </c>
      <c r="L7126" s="6">
        <f>IFERROR(IF(INDEX(tProdutos[Desconto homologado],MATCH(tItens[[#This Row],[Produto]],tProdutos[Produto],0))="",DescontoPadrao,INDEX(tProdutos[Desconto homologado],MATCH(tItens[[#This Row],[Produto]],tProdutos[Produto],0))),DescontoPadrao)</f>
        <v>0.40909090909090901</v>
      </c>
      <c r="M7126" s="12">
        <f>tItens[[#This Row],[Valor]]*(1-tItens[[#This Row],[Desconto]])</f>
        <v>447.61363636363649</v>
      </c>
      <c r="N7126" t="str">
        <f>IFERROR(INDEX(tProdutos[Foco],MATCH(tItens[[#This Row],[Produto]],tProdutos[Produto],0)),"Não")</f>
        <v>Não</v>
      </c>
      <c r="O7126" t="str">
        <f>IFERROR(INDEX(tEditais[SRP],MATCH(tItens[[#This Row],[Edital]],tEditais[Edital],0)),"Não")</f>
        <v>Não</v>
      </c>
      <c r="P7126" s="4">
        <f>IF(COUNTIFS(INDEX(tItens[Edital],1):tItens[[#This Row],[Edital]],tItens[[#This Row],[Edital]],INDEX(tItens[Produto],1):tItens[[#This Row],[Produto]],tItens[[#This Row],[Produto]])=1,1,0)</f>
        <v>0</v>
      </c>
    </row>
    <row r="7127" spans="1:16" x14ac:dyDescent="0.25">
      <c r="A7127" t="s">
        <v>2452</v>
      </c>
      <c r="B7127">
        <v>8040302</v>
      </c>
      <c r="C7127" t="s">
        <v>9790</v>
      </c>
      <c r="D7127" t="s">
        <v>120</v>
      </c>
      <c r="E7127" s="13">
        <v>750</v>
      </c>
      <c r="F7127" s="12">
        <v>1.0900000000000001</v>
      </c>
      <c r="G7127" t="str">
        <f>IFERROR(INDEX(tEditais[Órgão],MATCH(tItens[[#This Row],[Edital]],tEditais[Edital],0)),"")</f>
        <v>MUNICIPIO DE ALTA FLORESTA D'OESTE</v>
      </c>
      <c r="H7127" t="str">
        <f>IFERROR(INDEX(tEditais[UF],MATCH(tItens[[#This Row],[Edital]],tEditais[Edital],0)),"")</f>
        <v>RO</v>
      </c>
      <c r="I7127" s="11">
        <f>IFERROR(INDEX(tEditais[Encerramento],MATCH(tItens[[#This Row],[Edital]],tEditais[Edital],0)),"")</f>
        <v>46309.416666666664</v>
      </c>
      <c r="J7127" t="str">
        <f>IFERROR(INDEX(tProdutos[Classe],MATCH(tItens[[#This Row],[Produto]],tProdutos[Produto],0)),"produto não cadastrado")</f>
        <v>DISPUTADO</v>
      </c>
      <c r="K7127" s="12">
        <f>tItens[[#This Row],[Qtd]]*tItens[[#This Row],[Vlr unit]]</f>
        <v>817.50000000000011</v>
      </c>
      <c r="L7127" s="6">
        <f>IFERROR(IF(INDEX(tProdutos[Desconto homologado],MATCH(tItens[[#This Row],[Produto]],tProdutos[Produto],0))="",DescontoPadrao,INDEX(tProdutos[Desconto homologado],MATCH(tItens[[#This Row],[Produto]],tProdutos[Produto],0))),DescontoPadrao)</f>
        <v>0.40909090909090901</v>
      </c>
      <c r="M7127" s="12">
        <f>tItens[[#This Row],[Valor]]*(1-tItens[[#This Row],[Desconto]])</f>
        <v>483.06818181818198</v>
      </c>
      <c r="N7127" t="str">
        <f>IFERROR(INDEX(tProdutos[Foco],MATCH(tItens[[#This Row],[Produto]],tProdutos[Produto],0)),"Não")</f>
        <v>Não</v>
      </c>
      <c r="O7127" t="str">
        <f>IFERROR(INDEX(tEditais[SRP],MATCH(tItens[[#This Row],[Edital]],tEditais[Edital],0)),"Não")</f>
        <v>Não</v>
      </c>
      <c r="P7127" s="4">
        <f>IF(COUNTIFS(INDEX(tItens[Edital],1):tItens[[#This Row],[Edital]],tItens[[#This Row],[Edital]],INDEX(tItens[Produto],1):tItens[[#This Row],[Produto]],tItens[[#This Row],[Produto]])=1,1,0)</f>
        <v>0</v>
      </c>
    </row>
    <row r="7128" spans="1:16" x14ac:dyDescent="0.25">
      <c r="A7128" t="s">
        <v>2452</v>
      </c>
      <c r="B7128">
        <v>8040303</v>
      </c>
      <c r="C7128" t="s">
        <v>9791</v>
      </c>
      <c r="D7128" t="s">
        <v>120</v>
      </c>
      <c r="E7128" s="13">
        <v>1200</v>
      </c>
      <c r="F7128" s="12">
        <v>1.2</v>
      </c>
      <c r="G7128" t="str">
        <f>IFERROR(INDEX(tEditais[Órgão],MATCH(tItens[[#This Row],[Edital]],tEditais[Edital],0)),"")</f>
        <v>MUNICIPIO DE ALTA FLORESTA D'OESTE</v>
      </c>
      <c r="H7128" t="str">
        <f>IFERROR(INDEX(tEditais[UF],MATCH(tItens[[#This Row],[Edital]],tEditais[Edital],0)),"")</f>
        <v>RO</v>
      </c>
      <c r="I7128" s="11">
        <f>IFERROR(INDEX(tEditais[Encerramento],MATCH(tItens[[#This Row],[Edital]],tEditais[Edital],0)),"")</f>
        <v>46309.416666666664</v>
      </c>
      <c r="J7128" t="str">
        <f>IFERROR(INDEX(tProdutos[Classe],MATCH(tItens[[#This Row],[Produto]],tProdutos[Produto],0)),"produto não cadastrado")</f>
        <v>DISPUTADO</v>
      </c>
      <c r="K7128" s="12">
        <f>tItens[[#This Row],[Qtd]]*tItens[[#This Row],[Vlr unit]]</f>
        <v>1440</v>
      </c>
      <c r="L7128" s="6">
        <f>IFERROR(IF(INDEX(tProdutos[Desconto homologado],MATCH(tItens[[#This Row],[Produto]],tProdutos[Produto],0))="",DescontoPadrao,INDEX(tProdutos[Desconto homologado],MATCH(tItens[[#This Row],[Produto]],tProdutos[Produto],0))),DescontoPadrao)</f>
        <v>0.40909090909090901</v>
      </c>
      <c r="M7128" s="12">
        <f>tItens[[#This Row],[Valor]]*(1-tItens[[#This Row],[Desconto]])</f>
        <v>850.90909090909111</v>
      </c>
      <c r="N7128" t="str">
        <f>IFERROR(INDEX(tProdutos[Foco],MATCH(tItens[[#This Row],[Produto]],tProdutos[Produto],0)),"Não")</f>
        <v>Não</v>
      </c>
      <c r="O7128" t="str">
        <f>IFERROR(INDEX(tEditais[SRP],MATCH(tItens[[#This Row],[Edital]],tEditais[Edital],0)),"Não")</f>
        <v>Não</v>
      </c>
      <c r="P7128" s="4">
        <f>IF(COUNTIFS(INDEX(tItens[Edital],1):tItens[[#This Row],[Edital]],tItens[[#This Row],[Edital]],INDEX(tItens[Produto],1):tItens[[#This Row],[Produto]],tItens[[#This Row],[Produto]])=1,1,0)</f>
        <v>0</v>
      </c>
    </row>
    <row r="7129" spans="1:16" x14ac:dyDescent="0.25">
      <c r="A7129" t="s">
        <v>2452</v>
      </c>
      <c r="B7129">
        <v>8040304</v>
      </c>
      <c r="C7129" t="s">
        <v>9792</v>
      </c>
      <c r="D7129" t="s">
        <v>120</v>
      </c>
      <c r="E7129" s="13">
        <v>480</v>
      </c>
      <c r="F7129" s="12">
        <v>1</v>
      </c>
      <c r="G7129" t="str">
        <f>IFERROR(INDEX(tEditais[Órgão],MATCH(tItens[[#This Row],[Edital]],tEditais[Edital],0)),"")</f>
        <v>MUNICIPIO DE ALTA FLORESTA D'OESTE</v>
      </c>
      <c r="H7129" t="str">
        <f>IFERROR(INDEX(tEditais[UF],MATCH(tItens[[#This Row],[Edital]],tEditais[Edital],0)),"")</f>
        <v>RO</v>
      </c>
      <c r="I7129" s="11">
        <f>IFERROR(INDEX(tEditais[Encerramento],MATCH(tItens[[#This Row],[Edital]],tEditais[Edital],0)),"")</f>
        <v>46309.416666666664</v>
      </c>
      <c r="J7129" t="str">
        <f>IFERROR(INDEX(tProdutos[Classe],MATCH(tItens[[#This Row],[Produto]],tProdutos[Produto],0)),"produto não cadastrado")</f>
        <v>DISPUTADO</v>
      </c>
      <c r="K7129" s="12">
        <f>tItens[[#This Row],[Qtd]]*tItens[[#This Row],[Vlr unit]]</f>
        <v>480</v>
      </c>
      <c r="L7129" s="6">
        <f>IFERROR(IF(INDEX(tProdutos[Desconto homologado],MATCH(tItens[[#This Row],[Produto]],tProdutos[Produto],0))="",DescontoPadrao,INDEX(tProdutos[Desconto homologado],MATCH(tItens[[#This Row],[Produto]],tProdutos[Produto],0))),DescontoPadrao)</f>
        <v>0.40909090909090901</v>
      </c>
      <c r="M7129" s="12">
        <f>tItens[[#This Row],[Valor]]*(1-tItens[[#This Row],[Desconto]])</f>
        <v>283.63636363636368</v>
      </c>
      <c r="N7129" t="str">
        <f>IFERROR(INDEX(tProdutos[Foco],MATCH(tItens[[#This Row],[Produto]],tProdutos[Produto],0)),"Não")</f>
        <v>Não</v>
      </c>
      <c r="O7129" t="str">
        <f>IFERROR(INDEX(tEditais[SRP],MATCH(tItens[[#This Row],[Edital]],tEditais[Edital],0)),"Não")</f>
        <v>Não</v>
      </c>
      <c r="P7129" s="4">
        <f>IF(COUNTIFS(INDEX(tItens[Edital],1):tItens[[#This Row],[Edital]],tItens[[#This Row],[Edital]],INDEX(tItens[Produto],1):tItens[[#This Row],[Produto]],tItens[[#This Row],[Produto]])=1,1,0)</f>
        <v>0</v>
      </c>
    </row>
    <row r="7130" spans="1:16" x14ac:dyDescent="0.25">
      <c r="A7130" t="s">
        <v>2452</v>
      </c>
      <c r="B7130">
        <v>8040305</v>
      </c>
      <c r="C7130" t="s">
        <v>9793</v>
      </c>
      <c r="D7130" t="s">
        <v>120</v>
      </c>
      <c r="E7130" s="13">
        <v>480</v>
      </c>
      <c r="F7130" s="12">
        <v>1.03</v>
      </c>
      <c r="G7130" t="str">
        <f>IFERROR(INDEX(tEditais[Órgão],MATCH(tItens[[#This Row],[Edital]],tEditais[Edital],0)),"")</f>
        <v>MUNICIPIO DE ALTA FLORESTA D'OESTE</v>
      </c>
      <c r="H7130" t="str">
        <f>IFERROR(INDEX(tEditais[UF],MATCH(tItens[[#This Row],[Edital]],tEditais[Edital],0)),"")</f>
        <v>RO</v>
      </c>
      <c r="I7130" s="11">
        <f>IFERROR(INDEX(tEditais[Encerramento],MATCH(tItens[[#This Row],[Edital]],tEditais[Edital],0)),"")</f>
        <v>46309.416666666664</v>
      </c>
      <c r="J7130" t="str">
        <f>IFERROR(INDEX(tProdutos[Classe],MATCH(tItens[[#This Row],[Produto]],tProdutos[Produto],0)),"produto não cadastrado")</f>
        <v>DISPUTADO</v>
      </c>
      <c r="K7130" s="12">
        <f>tItens[[#This Row],[Qtd]]*tItens[[#This Row],[Vlr unit]]</f>
        <v>494.40000000000003</v>
      </c>
      <c r="L7130" s="6">
        <f>IFERROR(IF(INDEX(tProdutos[Desconto homologado],MATCH(tItens[[#This Row],[Produto]],tProdutos[Produto],0))="",DescontoPadrao,INDEX(tProdutos[Desconto homologado],MATCH(tItens[[#This Row],[Produto]],tProdutos[Produto],0))),DescontoPadrao)</f>
        <v>0.40909090909090901</v>
      </c>
      <c r="M7130" s="12">
        <f>tItens[[#This Row],[Valor]]*(1-tItens[[#This Row],[Desconto]])</f>
        <v>292.14545454545464</v>
      </c>
      <c r="N7130" t="str">
        <f>IFERROR(INDEX(tProdutos[Foco],MATCH(tItens[[#This Row],[Produto]],tProdutos[Produto],0)),"Não")</f>
        <v>Não</v>
      </c>
      <c r="O7130" t="str">
        <f>IFERROR(INDEX(tEditais[SRP],MATCH(tItens[[#This Row],[Edital]],tEditais[Edital],0)),"Não")</f>
        <v>Não</v>
      </c>
      <c r="P7130" s="4">
        <f>IF(COUNTIFS(INDEX(tItens[Edital],1):tItens[[#This Row],[Edital]],tItens[[#This Row],[Edital]],INDEX(tItens[Produto],1):tItens[[#This Row],[Produto]],tItens[[#This Row],[Produto]])=1,1,0)</f>
        <v>0</v>
      </c>
    </row>
    <row r="7131" spans="1:16" x14ac:dyDescent="0.25">
      <c r="A7131" t="s">
        <v>2452</v>
      </c>
      <c r="B7131">
        <v>8040306</v>
      </c>
      <c r="C7131" t="s">
        <v>9794</v>
      </c>
      <c r="D7131" t="s">
        <v>120</v>
      </c>
      <c r="E7131" s="13">
        <v>480</v>
      </c>
      <c r="F7131" s="12">
        <v>2.56</v>
      </c>
      <c r="G7131" t="str">
        <f>IFERROR(INDEX(tEditais[Órgão],MATCH(tItens[[#This Row],[Edital]],tEditais[Edital],0)),"")</f>
        <v>MUNICIPIO DE ALTA FLORESTA D'OESTE</v>
      </c>
      <c r="H7131" t="str">
        <f>IFERROR(INDEX(tEditais[UF],MATCH(tItens[[#This Row],[Edital]],tEditais[Edital],0)),"")</f>
        <v>RO</v>
      </c>
      <c r="I7131" s="11">
        <f>IFERROR(INDEX(tEditais[Encerramento],MATCH(tItens[[#This Row],[Edital]],tEditais[Edital],0)),"")</f>
        <v>46309.416666666664</v>
      </c>
      <c r="J7131" t="str">
        <f>IFERROR(INDEX(tProdutos[Classe],MATCH(tItens[[#This Row],[Produto]],tProdutos[Produto],0)),"produto não cadastrado")</f>
        <v>DISPUTADO</v>
      </c>
      <c r="K7131" s="12">
        <f>tItens[[#This Row],[Qtd]]*tItens[[#This Row],[Vlr unit]]</f>
        <v>1228.8</v>
      </c>
      <c r="L7131" s="6">
        <f>IFERROR(IF(INDEX(tProdutos[Desconto homologado],MATCH(tItens[[#This Row],[Produto]],tProdutos[Produto],0))="",DescontoPadrao,INDEX(tProdutos[Desconto homologado],MATCH(tItens[[#This Row],[Produto]],tProdutos[Produto],0))),DescontoPadrao)</f>
        <v>0.40909090909090901</v>
      </c>
      <c r="M7131" s="12">
        <f>tItens[[#This Row],[Valor]]*(1-tItens[[#This Row],[Desconto]])</f>
        <v>726.10909090909104</v>
      </c>
      <c r="N7131" t="str">
        <f>IFERROR(INDEX(tProdutos[Foco],MATCH(tItens[[#This Row],[Produto]],tProdutos[Produto],0)),"Não")</f>
        <v>Não</v>
      </c>
      <c r="O7131" t="str">
        <f>IFERROR(INDEX(tEditais[SRP],MATCH(tItens[[#This Row],[Edital]],tEditais[Edital],0)),"Não")</f>
        <v>Não</v>
      </c>
      <c r="P7131" s="4">
        <f>IF(COUNTIFS(INDEX(tItens[Edital],1):tItens[[#This Row],[Edital]],tItens[[#This Row],[Edital]],INDEX(tItens[Produto],1):tItens[[#This Row],[Produto]],tItens[[#This Row],[Produto]])=1,1,0)</f>
        <v>0</v>
      </c>
    </row>
    <row r="7132" spans="1:16" x14ac:dyDescent="0.25">
      <c r="A7132" t="s">
        <v>2452</v>
      </c>
      <c r="B7132">
        <v>8040307</v>
      </c>
      <c r="C7132" t="s">
        <v>9795</v>
      </c>
      <c r="D7132" t="s">
        <v>120</v>
      </c>
      <c r="E7132" s="13">
        <v>480</v>
      </c>
      <c r="F7132" s="12">
        <v>1.72</v>
      </c>
      <c r="G7132" t="str">
        <f>IFERROR(INDEX(tEditais[Órgão],MATCH(tItens[[#This Row],[Edital]],tEditais[Edital],0)),"")</f>
        <v>MUNICIPIO DE ALTA FLORESTA D'OESTE</v>
      </c>
      <c r="H7132" t="str">
        <f>IFERROR(INDEX(tEditais[UF],MATCH(tItens[[#This Row],[Edital]],tEditais[Edital],0)),"")</f>
        <v>RO</v>
      </c>
      <c r="I7132" s="11">
        <f>IFERROR(INDEX(tEditais[Encerramento],MATCH(tItens[[#This Row],[Edital]],tEditais[Edital],0)),"")</f>
        <v>46309.416666666664</v>
      </c>
      <c r="J7132" t="str">
        <f>IFERROR(INDEX(tProdutos[Classe],MATCH(tItens[[#This Row],[Produto]],tProdutos[Produto],0)),"produto não cadastrado")</f>
        <v>DISPUTADO</v>
      </c>
      <c r="K7132" s="12">
        <f>tItens[[#This Row],[Qtd]]*tItens[[#This Row],[Vlr unit]]</f>
        <v>825.6</v>
      </c>
      <c r="L7132" s="6">
        <f>IFERROR(IF(INDEX(tProdutos[Desconto homologado],MATCH(tItens[[#This Row],[Produto]],tProdutos[Produto],0))="",DescontoPadrao,INDEX(tProdutos[Desconto homologado],MATCH(tItens[[#This Row],[Produto]],tProdutos[Produto],0))),DescontoPadrao)</f>
        <v>0.40909090909090901</v>
      </c>
      <c r="M7132" s="12">
        <f>tItens[[#This Row],[Valor]]*(1-tItens[[#This Row],[Desconto]])</f>
        <v>487.85454545454559</v>
      </c>
      <c r="N7132" t="str">
        <f>IFERROR(INDEX(tProdutos[Foco],MATCH(tItens[[#This Row],[Produto]],tProdutos[Produto],0)),"Não")</f>
        <v>Não</v>
      </c>
      <c r="O7132" t="str">
        <f>IFERROR(INDEX(tEditais[SRP],MATCH(tItens[[#This Row],[Edital]],tEditais[Edital],0)),"Não")</f>
        <v>Não</v>
      </c>
      <c r="P7132" s="4">
        <f>IF(COUNTIFS(INDEX(tItens[Edital],1):tItens[[#This Row],[Edital]],tItens[[#This Row],[Edital]],INDEX(tItens[Produto],1):tItens[[#This Row],[Produto]],tItens[[#This Row],[Produto]])=1,1,0)</f>
        <v>0</v>
      </c>
    </row>
    <row r="7133" spans="1:16" x14ac:dyDescent="0.25">
      <c r="A7133" t="s">
        <v>2452</v>
      </c>
      <c r="B7133">
        <v>8040310</v>
      </c>
      <c r="C7133" t="s">
        <v>9796</v>
      </c>
      <c r="D7133" t="s">
        <v>311</v>
      </c>
      <c r="E7133" s="13">
        <v>50</v>
      </c>
      <c r="F7133" s="12">
        <v>60.67</v>
      </c>
      <c r="G7133" t="str">
        <f>IFERROR(INDEX(tEditais[Órgão],MATCH(tItens[[#This Row],[Edital]],tEditais[Edital],0)),"")</f>
        <v>MUNICIPIO DE ALTA FLORESTA D'OESTE</v>
      </c>
      <c r="H7133" t="str">
        <f>IFERROR(INDEX(tEditais[UF],MATCH(tItens[[#This Row],[Edital]],tEditais[Edital],0)),"")</f>
        <v>RO</v>
      </c>
      <c r="I7133" s="11">
        <f>IFERROR(INDEX(tEditais[Encerramento],MATCH(tItens[[#This Row],[Edital]],tEditais[Edital],0)),"")</f>
        <v>46309.416666666664</v>
      </c>
      <c r="J7133" t="str">
        <f>IFERROR(INDEX(tProdutos[Classe],MATCH(tItens[[#This Row],[Produto]],tProdutos[Produto],0)),"produto não cadastrado")</f>
        <v>FORA</v>
      </c>
      <c r="K7133" s="12">
        <f>tItens[[#This Row],[Qtd]]*tItens[[#This Row],[Vlr unit]]</f>
        <v>3033.5</v>
      </c>
      <c r="L7133" s="6">
        <f>IFERROR(IF(INDEX(tProdutos[Desconto homologado],MATCH(tItens[[#This Row],[Produto]],tProdutos[Produto],0))="",DescontoPadrao,INDEX(tProdutos[Desconto homologado],MATCH(tItens[[#This Row],[Produto]],tProdutos[Produto],0))),DescontoPadrao)</f>
        <v>0.29046182846371399</v>
      </c>
      <c r="M7133" s="12">
        <f>tItens[[#This Row],[Valor]]*(1-tItens[[#This Row],[Desconto]])</f>
        <v>2152.3840433553237</v>
      </c>
      <c r="N7133" t="str">
        <f>IFERROR(INDEX(tProdutos[Foco],MATCH(tItens[[#This Row],[Produto]],tProdutos[Produto],0)),"Não")</f>
        <v>Não</v>
      </c>
      <c r="O7133" t="str">
        <f>IFERROR(INDEX(tEditais[SRP],MATCH(tItens[[#This Row],[Edital]],tEditais[Edital],0)),"Não")</f>
        <v>Não</v>
      </c>
      <c r="P7133" s="4">
        <f>IF(COUNTIFS(INDEX(tItens[Edital],1):tItens[[#This Row],[Edital]],tItens[[#This Row],[Edital]],INDEX(tItens[Produto],1):tItens[[#This Row],[Produto]],tItens[[#This Row],[Produto]])=1,1,0)</f>
        <v>1</v>
      </c>
    </row>
    <row r="7134" spans="1:16" x14ac:dyDescent="0.25">
      <c r="A7134" t="s">
        <v>2452</v>
      </c>
      <c r="B7134">
        <v>8040318</v>
      </c>
      <c r="C7134" t="s">
        <v>9797</v>
      </c>
      <c r="D7134" t="s">
        <v>114</v>
      </c>
      <c r="E7134" s="13">
        <v>1400</v>
      </c>
      <c r="F7134" s="12">
        <v>12.47</v>
      </c>
      <c r="G7134" t="str">
        <f>IFERROR(INDEX(tEditais[Órgão],MATCH(tItens[[#This Row],[Edital]],tEditais[Edital],0)),"")</f>
        <v>MUNICIPIO DE ALTA FLORESTA D'OESTE</v>
      </c>
      <c r="H7134" t="str">
        <f>IFERROR(INDEX(tEditais[UF],MATCH(tItens[[#This Row],[Edital]],tEditais[Edital],0)),"")</f>
        <v>RO</v>
      </c>
      <c r="I7134" s="11">
        <f>IFERROR(INDEX(tEditais[Encerramento],MATCH(tItens[[#This Row],[Edital]],tEditais[Edital],0)),"")</f>
        <v>46309.416666666664</v>
      </c>
      <c r="J7134" t="str">
        <f>IFERROR(INDEX(tProdutos[Classe],MATCH(tItens[[#This Row],[Produto]],tProdutos[Produto],0)),"produto não cadastrado")</f>
        <v>DISPUTADO</v>
      </c>
      <c r="K7134" s="12">
        <f>tItens[[#This Row],[Qtd]]*tItens[[#This Row],[Vlr unit]]</f>
        <v>17458</v>
      </c>
      <c r="L7134" s="6">
        <f>IFERROR(IF(INDEX(tProdutos[Desconto homologado],MATCH(tItens[[#This Row],[Produto]],tProdutos[Produto],0))="",DescontoPadrao,INDEX(tProdutos[Desconto homologado],MATCH(tItens[[#This Row],[Produto]],tProdutos[Produto],0))),DescontoPadrao)</f>
        <v>0.24332656063896899</v>
      </c>
      <c r="M7134" s="12">
        <f>tItens[[#This Row],[Valor]]*(1-tItens[[#This Row],[Desconto]])</f>
        <v>13210.00490436488</v>
      </c>
      <c r="N7134" t="str">
        <f>IFERROR(INDEX(tProdutos[Foco],MATCH(tItens[[#This Row],[Produto]],tProdutos[Produto],0)),"Não")</f>
        <v>Não</v>
      </c>
      <c r="O7134" t="str">
        <f>IFERROR(INDEX(tEditais[SRP],MATCH(tItens[[#This Row],[Edital]],tEditais[Edital],0)),"Não")</f>
        <v>Não</v>
      </c>
      <c r="P7134" s="4">
        <f>IF(COUNTIFS(INDEX(tItens[Edital],1):tItens[[#This Row],[Edital]],tItens[[#This Row],[Edital]],INDEX(tItens[Produto],1):tItens[[#This Row],[Produto]],tItens[[#This Row],[Produto]])=1,1,0)</f>
        <v>1</v>
      </c>
    </row>
    <row r="7135" spans="1:16" x14ac:dyDescent="0.25">
      <c r="A7135" t="s">
        <v>2452</v>
      </c>
      <c r="B7135">
        <v>8040336</v>
      </c>
      <c r="C7135" t="s">
        <v>9798</v>
      </c>
      <c r="D7135" t="s">
        <v>170</v>
      </c>
      <c r="E7135" s="13">
        <v>5</v>
      </c>
      <c r="F7135" s="12">
        <v>35.82</v>
      </c>
      <c r="G7135" t="str">
        <f>IFERROR(INDEX(tEditais[Órgão],MATCH(tItens[[#This Row],[Edital]],tEditais[Edital],0)),"")</f>
        <v>MUNICIPIO DE ALTA FLORESTA D'OESTE</v>
      </c>
      <c r="H7135" t="str">
        <f>IFERROR(INDEX(tEditais[UF],MATCH(tItens[[#This Row],[Edital]],tEditais[Edital],0)),"")</f>
        <v>RO</v>
      </c>
      <c r="I7135" s="11">
        <f>IFERROR(INDEX(tEditais[Encerramento],MATCH(tItens[[#This Row],[Edital]],tEditais[Edital],0)),"")</f>
        <v>46309.416666666664</v>
      </c>
      <c r="J7135" t="str">
        <f>IFERROR(INDEX(tProdutos[Classe],MATCH(tItens[[#This Row],[Produto]],tProdutos[Produto],0)),"produto não cadastrado")</f>
        <v>DISPUTADO</v>
      </c>
      <c r="K7135" s="12">
        <f>tItens[[#This Row],[Qtd]]*tItens[[#This Row],[Vlr unit]]</f>
        <v>179.1</v>
      </c>
      <c r="L7135" s="6">
        <f>IFERROR(IF(INDEX(tProdutos[Desconto homologado],MATCH(tItens[[#This Row],[Produto]],tProdutos[Produto],0))="",DescontoPadrao,INDEX(tProdutos[Desconto homologado],MATCH(tItens[[#This Row],[Produto]],tProdutos[Produto],0))),DescontoPadrao)</f>
        <v>0.36</v>
      </c>
      <c r="M7135" s="12">
        <f>tItens[[#This Row],[Valor]]*(1-tItens[[#This Row],[Desconto]])</f>
        <v>114.624</v>
      </c>
      <c r="N7135" t="str">
        <f>IFERROR(INDEX(tProdutos[Foco],MATCH(tItens[[#This Row],[Produto]],tProdutos[Produto],0)),"Não")</f>
        <v>Sim</v>
      </c>
      <c r="O7135" t="str">
        <f>IFERROR(INDEX(tEditais[SRP],MATCH(tItens[[#This Row],[Edital]],tEditais[Edital],0)),"Não")</f>
        <v>Não</v>
      </c>
      <c r="P7135" s="4">
        <f>IF(COUNTIFS(INDEX(tItens[Edital],1):tItens[[#This Row],[Edital]],tItens[[#This Row],[Edital]],INDEX(tItens[Produto],1):tItens[[#This Row],[Produto]],tItens[[#This Row],[Produto]])=1,1,0)</f>
        <v>1</v>
      </c>
    </row>
    <row r="7136" spans="1:16" x14ac:dyDescent="0.25">
      <c r="A7136" t="s">
        <v>2452</v>
      </c>
      <c r="B7136">
        <v>8040337</v>
      </c>
      <c r="C7136" t="s">
        <v>9799</v>
      </c>
      <c r="D7136" t="s">
        <v>170</v>
      </c>
      <c r="E7136" s="13">
        <v>5</v>
      </c>
      <c r="F7136" s="12">
        <v>42.31</v>
      </c>
      <c r="G7136" t="str">
        <f>IFERROR(INDEX(tEditais[Órgão],MATCH(tItens[[#This Row],[Edital]],tEditais[Edital],0)),"")</f>
        <v>MUNICIPIO DE ALTA FLORESTA D'OESTE</v>
      </c>
      <c r="H7136" t="str">
        <f>IFERROR(INDEX(tEditais[UF],MATCH(tItens[[#This Row],[Edital]],tEditais[Edital],0)),"")</f>
        <v>RO</v>
      </c>
      <c r="I7136" s="11">
        <f>IFERROR(INDEX(tEditais[Encerramento],MATCH(tItens[[#This Row],[Edital]],tEditais[Edital],0)),"")</f>
        <v>46309.416666666664</v>
      </c>
      <c r="J7136" t="str">
        <f>IFERROR(INDEX(tProdutos[Classe],MATCH(tItens[[#This Row],[Produto]],tProdutos[Produto],0)),"produto não cadastrado")</f>
        <v>DISPUTADO</v>
      </c>
      <c r="K7136" s="12">
        <f>tItens[[#This Row],[Qtd]]*tItens[[#This Row],[Vlr unit]]</f>
        <v>211.55</v>
      </c>
      <c r="L7136" s="6">
        <f>IFERROR(IF(INDEX(tProdutos[Desconto homologado],MATCH(tItens[[#This Row],[Produto]],tProdutos[Produto],0))="",DescontoPadrao,INDEX(tProdutos[Desconto homologado],MATCH(tItens[[#This Row],[Produto]],tProdutos[Produto],0))),DescontoPadrao)</f>
        <v>0.36</v>
      </c>
      <c r="M7136" s="12">
        <f>tItens[[#This Row],[Valor]]*(1-tItens[[#This Row],[Desconto]])</f>
        <v>135.392</v>
      </c>
      <c r="N7136" t="str">
        <f>IFERROR(INDEX(tProdutos[Foco],MATCH(tItens[[#This Row],[Produto]],tProdutos[Produto],0)),"Não")</f>
        <v>Sim</v>
      </c>
      <c r="O7136" t="str">
        <f>IFERROR(INDEX(tEditais[SRP],MATCH(tItens[[#This Row],[Edital]],tEditais[Edital],0)),"Não")</f>
        <v>Não</v>
      </c>
      <c r="P7136" s="4">
        <f>IF(COUNTIFS(INDEX(tItens[Edital],1):tItens[[#This Row],[Edital]],tItens[[#This Row],[Edital]],INDEX(tItens[Produto],1):tItens[[#This Row],[Produto]],tItens[[#This Row],[Produto]])=1,1,0)</f>
        <v>0</v>
      </c>
    </row>
    <row r="7137" spans="1:16" x14ac:dyDescent="0.25">
      <c r="A7137" t="s">
        <v>2452</v>
      </c>
      <c r="B7137">
        <v>8040338</v>
      </c>
      <c r="C7137" t="s">
        <v>9800</v>
      </c>
      <c r="D7137" t="s">
        <v>170</v>
      </c>
      <c r="E7137" s="13">
        <v>5</v>
      </c>
      <c r="F7137" s="12">
        <v>42.53</v>
      </c>
      <c r="G7137" t="str">
        <f>IFERROR(INDEX(tEditais[Órgão],MATCH(tItens[[#This Row],[Edital]],tEditais[Edital],0)),"")</f>
        <v>MUNICIPIO DE ALTA FLORESTA D'OESTE</v>
      </c>
      <c r="H7137" t="str">
        <f>IFERROR(INDEX(tEditais[UF],MATCH(tItens[[#This Row],[Edital]],tEditais[Edital],0)),"")</f>
        <v>RO</v>
      </c>
      <c r="I7137" s="11">
        <f>IFERROR(INDEX(tEditais[Encerramento],MATCH(tItens[[#This Row],[Edital]],tEditais[Edital],0)),"")</f>
        <v>46309.416666666664</v>
      </c>
      <c r="J7137" t="str">
        <f>IFERROR(INDEX(tProdutos[Classe],MATCH(tItens[[#This Row],[Produto]],tProdutos[Produto],0)),"produto não cadastrado")</f>
        <v>DISPUTADO</v>
      </c>
      <c r="K7137" s="12">
        <f>tItens[[#This Row],[Qtd]]*tItens[[#This Row],[Vlr unit]]</f>
        <v>212.65</v>
      </c>
      <c r="L7137" s="6">
        <f>IFERROR(IF(INDEX(tProdutos[Desconto homologado],MATCH(tItens[[#This Row],[Produto]],tProdutos[Produto],0))="",DescontoPadrao,INDEX(tProdutos[Desconto homologado],MATCH(tItens[[#This Row],[Produto]],tProdutos[Produto],0))),DescontoPadrao)</f>
        <v>0.36</v>
      </c>
      <c r="M7137" s="12">
        <f>tItens[[#This Row],[Valor]]*(1-tItens[[#This Row],[Desconto]])</f>
        <v>136.096</v>
      </c>
      <c r="N7137" t="str">
        <f>IFERROR(INDEX(tProdutos[Foco],MATCH(tItens[[#This Row],[Produto]],tProdutos[Produto],0)),"Não")</f>
        <v>Sim</v>
      </c>
      <c r="O7137" t="str">
        <f>IFERROR(INDEX(tEditais[SRP],MATCH(tItens[[#This Row],[Edital]],tEditais[Edital],0)),"Não")</f>
        <v>Não</v>
      </c>
      <c r="P7137" s="4">
        <f>IF(COUNTIFS(INDEX(tItens[Edital],1):tItens[[#This Row],[Edital]],tItens[[#This Row],[Edital]],INDEX(tItens[Produto],1):tItens[[#This Row],[Produto]],tItens[[#This Row],[Produto]])=1,1,0)</f>
        <v>0</v>
      </c>
    </row>
    <row r="7138" spans="1:16" x14ac:dyDescent="0.25">
      <c r="A7138" t="s">
        <v>2452</v>
      </c>
      <c r="B7138">
        <v>8040339</v>
      </c>
      <c r="C7138" t="s">
        <v>9801</v>
      </c>
      <c r="D7138" t="s">
        <v>170</v>
      </c>
      <c r="E7138" s="13">
        <v>5</v>
      </c>
      <c r="F7138" s="12">
        <v>45.13</v>
      </c>
      <c r="G7138" t="str">
        <f>IFERROR(INDEX(tEditais[Órgão],MATCH(tItens[[#This Row],[Edital]],tEditais[Edital],0)),"")</f>
        <v>MUNICIPIO DE ALTA FLORESTA D'OESTE</v>
      </c>
      <c r="H7138" t="str">
        <f>IFERROR(INDEX(tEditais[UF],MATCH(tItens[[#This Row],[Edital]],tEditais[Edital],0)),"")</f>
        <v>RO</v>
      </c>
      <c r="I7138" s="11">
        <f>IFERROR(INDEX(tEditais[Encerramento],MATCH(tItens[[#This Row],[Edital]],tEditais[Edital],0)),"")</f>
        <v>46309.416666666664</v>
      </c>
      <c r="J7138" t="str">
        <f>IFERROR(INDEX(tProdutos[Classe],MATCH(tItens[[#This Row],[Produto]],tProdutos[Produto],0)),"produto não cadastrado")</f>
        <v>DISPUTADO</v>
      </c>
      <c r="K7138" s="12">
        <f>tItens[[#This Row],[Qtd]]*tItens[[#This Row],[Vlr unit]]</f>
        <v>225.65</v>
      </c>
      <c r="L7138" s="6">
        <f>IFERROR(IF(INDEX(tProdutos[Desconto homologado],MATCH(tItens[[#This Row],[Produto]],tProdutos[Produto],0))="",DescontoPadrao,INDEX(tProdutos[Desconto homologado],MATCH(tItens[[#This Row],[Produto]],tProdutos[Produto],0))),DescontoPadrao)</f>
        <v>0.36</v>
      </c>
      <c r="M7138" s="12">
        <f>tItens[[#This Row],[Valor]]*(1-tItens[[#This Row],[Desconto]])</f>
        <v>144.416</v>
      </c>
      <c r="N7138" t="str">
        <f>IFERROR(INDEX(tProdutos[Foco],MATCH(tItens[[#This Row],[Produto]],tProdutos[Produto],0)),"Não")</f>
        <v>Sim</v>
      </c>
      <c r="O7138" t="str">
        <f>IFERROR(INDEX(tEditais[SRP],MATCH(tItens[[#This Row],[Edital]],tEditais[Edital],0)),"Não")</f>
        <v>Não</v>
      </c>
      <c r="P7138" s="4">
        <f>IF(COUNTIFS(INDEX(tItens[Edital],1):tItens[[#This Row],[Edital]],tItens[[#This Row],[Edital]],INDEX(tItens[Produto],1):tItens[[#This Row],[Produto]],tItens[[#This Row],[Produto]])=1,1,0)</f>
        <v>0</v>
      </c>
    </row>
    <row r="7139" spans="1:16" x14ac:dyDescent="0.25">
      <c r="A7139" t="s">
        <v>2452</v>
      </c>
      <c r="B7139">
        <v>8040340</v>
      </c>
      <c r="C7139" t="s">
        <v>9802</v>
      </c>
      <c r="D7139" t="s">
        <v>170</v>
      </c>
      <c r="E7139" s="13">
        <v>5</v>
      </c>
      <c r="F7139" s="12">
        <v>46.41</v>
      </c>
      <c r="G7139" t="str">
        <f>IFERROR(INDEX(tEditais[Órgão],MATCH(tItens[[#This Row],[Edital]],tEditais[Edital],0)),"")</f>
        <v>MUNICIPIO DE ALTA FLORESTA D'OESTE</v>
      </c>
      <c r="H7139" t="str">
        <f>IFERROR(INDEX(tEditais[UF],MATCH(tItens[[#This Row],[Edital]],tEditais[Edital],0)),"")</f>
        <v>RO</v>
      </c>
      <c r="I7139" s="11">
        <f>IFERROR(INDEX(tEditais[Encerramento],MATCH(tItens[[#This Row],[Edital]],tEditais[Edital],0)),"")</f>
        <v>46309.416666666664</v>
      </c>
      <c r="J7139" t="str">
        <f>IFERROR(INDEX(tProdutos[Classe],MATCH(tItens[[#This Row],[Produto]],tProdutos[Produto],0)),"produto não cadastrado")</f>
        <v>DISPUTADO</v>
      </c>
      <c r="K7139" s="12">
        <f>tItens[[#This Row],[Qtd]]*tItens[[#This Row],[Vlr unit]]</f>
        <v>232.04999999999998</v>
      </c>
      <c r="L7139" s="6">
        <f>IFERROR(IF(INDEX(tProdutos[Desconto homologado],MATCH(tItens[[#This Row],[Produto]],tProdutos[Produto],0))="",DescontoPadrao,INDEX(tProdutos[Desconto homologado],MATCH(tItens[[#This Row],[Produto]],tProdutos[Produto],0))),DescontoPadrao)</f>
        <v>0.36</v>
      </c>
      <c r="M7139" s="12">
        <f>tItens[[#This Row],[Valor]]*(1-tItens[[#This Row],[Desconto]])</f>
        <v>148.512</v>
      </c>
      <c r="N7139" t="str">
        <f>IFERROR(INDEX(tProdutos[Foco],MATCH(tItens[[#This Row],[Produto]],tProdutos[Produto],0)),"Não")</f>
        <v>Sim</v>
      </c>
      <c r="O7139" t="str">
        <f>IFERROR(INDEX(tEditais[SRP],MATCH(tItens[[#This Row],[Edital]],tEditais[Edital],0)),"Não")</f>
        <v>Não</v>
      </c>
      <c r="P7139" s="4">
        <f>IF(COUNTIFS(INDEX(tItens[Edital],1):tItens[[#This Row],[Edital]],tItens[[#This Row],[Edital]],INDEX(tItens[Produto],1):tItens[[#This Row],[Produto]],tItens[[#This Row],[Produto]])=1,1,0)</f>
        <v>0</v>
      </c>
    </row>
    <row r="7140" spans="1:16" x14ac:dyDescent="0.25">
      <c r="A7140" t="s">
        <v>2452</v>
      </c>
      <c r="B7140">
        <v>8040341</v>
      </c>
      <c r="C7140" t="s">
        <v>9803</v>
      </c>
      <c r="D7140" t="s">
        <v>170</v>
      </c>
      <c r="E7140" s="13">
        <v>5</v>
      </c>
      <c r="F7140" s="12">
        <v>48.77</v>
      </c>
      <c r="G7140" t="str">
        <f>IFERROR(INDEX(tEditais[Órgão],MATCH(tItens[[#This Row],[Edital]],tEditais[Edital],0)),"")</f>
        <v>MUNICIPIO DE ALTA FLORESTA D'OESTE</v>
      </c>
      <c r="H7140" t="str">
        <f>IFERROR(INDEX(tEditais[UF],MATCH(tItens[[#This Row],[Edital]],tEditais[Edital],0)),"")</f>
        <v>RO</v>
      </c>
      <c r="I7140" s="11">
        <f>IFERROR(INDEX(tEditais[Encerramento],MATCH(tItens[[#This Row],[Edital]],tEditais[Edital],0)),"")</f>
        <v>46309.416666666664</v>
      </c>
      <c r="J7140" t="str">
        <f>IFERROR(INDEX(tProdutos[Classe],MATCH(tItens[[#This Row],[Produto]],tProdutos[Produto],0)),"produto não cadastrado")</f>
        <v>DISPUTADO</v>
      </c>
      <c r="K7140" s="12">
        <f>tItens[[#This Row],[Qtd]]*tItens[[#This Row],[Vlr unit]]</f>
        <v>243.85000000000002</v>
      </c>
      <c r="L7140" s="6">
        <f>IFERROR(IF(INDEX(tProdutos[Desconto homologado],MATCH(tItens[[#This Row],[Produto]],tProdutos[Produto],0))="",DescontoPadrao,INDEX(tProdutos[Desconto homologado],MATCH(tItens[[#This Row],[Produto]],tProdutos[Produto],0))),DescontoPadrao)</f>
        <v>0.36</v>
      </c>
      <c r="M7140" s="12">
        <f>tItens[[#This Row],[Valor]]*(1-tItens[[#This Row],[Desconto]])</f>
        <v>156.06400000000002</v>
      </c>
      <c r="N7140" t="str">
        <f>IFERROR(INDEX(tProdutos[Foco],MATCH(tItens[[#This Row],[Produto]],tProdutos[Produto],0)),"Não")</f>
        <v>Sim</v>
      </c>
      <c r="O7140" t="str">
        <f>IFERROR(INDEX(tEditais[SRP],MATCH(tItens[[#This Row],[Edital]],tEditais[Edital],0)),"Não")</f>
        <v>Não</v>
      </c>
      <c r="P7140" s="4">
        <f>IF(COUNTIFS(INDEX(tItens[Edital],1):tItens[[#This Row],[Edital]],tItens[[#This Row],[Edital]],INDEX(tItens[Produto],1):tItens[[#This Row],[Produto]],tItens[[#This Row],[Produto]])=1,1,0)</f>
        <v>0</v>
      </c>
    </row>
    <row r="7141" spans="1:16" x14ac:dyDescent="0.25">
      <c r="A7141" t="s">
        <v>2452</v>
      </c>
      <c r="B7141">
        <v>8040342</v>
      </c>
      <c r="C7141" t="s">
        <v>9804</v>
      </c>
      <c r="D7141" t="s">
        <v>170</v>
      </c>
      <c r="E7141" s="13">
        <v>5</v>
      </c>
      <c r="F7141" s="12">
        <v>42.52</v>
      </c>
      <c r="G7141" t="str">
        <f>IFERROR(INDEX(tEditais[Órgão],MATCH(tItens[[#This Row],[Edital]],tEditais[Edital],0)),"")</f>
        <v>MUNICIPIO DE ALTA FLORESTA D'OESTE</v>
      </c>
      <c r="H7141" t="str">
        <f>IFERROR(INDEX(tEditais[UF],MATCH(tItens[[#This Row],[Edital]],tEditais[Edital],0)),"")</f>
        <v>RO</v>
      </c>
      <c r="I7141" s="11">
        <f>IFERROR(INDEX(tEditais[Encerramento],MATCH(tItens[[#This Row],[Edital]],tEditais[Edital],0)),"")</f>
        <v>46309.416666666664</v>
      </c>
      <c r="J7141" t="str">
        <f>IFERROR(INDEX(tProdutos[Classe],MATCH(tItens[[#This Row],[Produto]],tProdutos[Produto],0)),"produto não cadastrado")</f>
        <v>DISPUTADO</v>
      </c>
      <c r="K7141" s="12">
        <f>tItens[[#This Row],[Qtd]]*tItens[[#This Row],[Vlr unit]]</f>
        <v>212.60000000000002</v>
      </c>
      <c r="L7141" s="6">
        <f>IFERROR(IF(INDEX(tProdutos[Desconto homologado],MATCH(tItens[[#This Row],[Produto]],tProdutos[Produto],0))="",DescontoPadrao,INDEX(tProdutos[Desconto homologado],MATCH(tItens[[#This Row],[Produto]],tProdutos[Produto],0))),DescontoPadrao)</f>
        <v>0.36</v>
      </c>
      <c r="M7141" s="12">
        <f>tItens[[#This Row],[Valor]]*(1-tItens[[#This Row],[Desconto]])</f>
        <v>136.06400000000002</v>
      </c>
      <c r="N7141" t="str">
        <f>IFERROR(INDEX(tProdutos[Foco],MATCH(tItens[[#This Row],[Produto]],tProdutos[Produto],0)),"Não")</f>
        <v>Sim</v>
      </c>
      <c r="O7141" t="str">
        <f>IFERROR(INDEX(tEditais[SRP],MATCH(tItens[[#This Row],[Edital]],tEditais[Edital],0)),"Não")</f>
        <v>Não</v>
      </c>
      <c r="P7141" s="4">
        <f>IF(COUNTIFS(INDEX(tItens[Edital],1):tItens[[#This Row],[Edital]],tItens[[#This Row],[Edital]],INDEX(tItens[Produto],1):tItens[[#This Row],[Produto]],tItens[[#This Row],[Produto]])=1,1,0)</f>
        <v>0</v>
      </c>
    </row>
    <row r="7142" spans="1:16" x14ac:dyDescent="0.25">
      <c r="A7142" t="s">
        <v>2452</v>
      </c>
      <c r="B7142">
        <v>8040343</v>
      </c>
      <c r="C7142" t="s">
        <v>9805</v>
      </c>
      <c r="D7142" t="s">
        <v>170</v>
      </c>
      <c r="E7142" s="13">
        <v>3</v>
      </c>
      <c r="F7142" s="12">
        <v>41.14</v>
      </c>
      <c r="G7142" t="str">
        <f>IFERROR(INDEX(tEditais[Órgão],MATCH(tItens[[#This Row],[Edital]],tEditais[Edital],0)),"")</f>
        <v>MUNICIPIO DE ALTA FLORESTA D'OESTE</v>
      </c>
      <c r="H7142" t="str">
        <f>IFERROR(INDEX(tEditais[UF],MATCH(tItens[[#This Row],[Edital]],tEditais[Edital],0)),"")</f>
        <v>RO</v>
      </c>
      <c r="I7142" s="11">
        <f>IFERROR(INDEX(tEditais[Encerramento],MATCH(tItens[[#This Row],[Edital]],tEditais[Edital],0)),"")</f>
        <v>46309.416666666664</v>
      </c>
      <c r="J7142" t="str">
        <f>IFERROR(INDEX(tProdutos[Classe],MATCH(tItens[[#This Row],[Produto]],tProdutos[Produto],0)),"produto não cadastrado")</f>
        <v>DISPUTADO</v>
      </c>
      <c r="K7142" s="12">
        <f>tItens[[#This Row],[Qtd]]*tItens[[#This Row],[Vlr unit]]</f>
        <v>123.42</v>
      </c>
      <c r="L7142" s="6">
        <f>IFERROR(IF(INDEX(tProdutos[Desconto homologado],MATCH(tItens[[#This Row],[Produto]],tProdutos[Produto],0))="",DescontoPadrao,INDEX(tProdutos[Desconto homologado],MATCH(tItens[[#This Row],[Produto]],tProdutos[Produto],0))),DescontoPadrao)</f>
        <v>0.36</v>
      </c>
      <c r="M7142" s="12">
        <f>tItens[[#This Row],[Valor]]*(1-tItens[[#This Row],[Desconto]])</f>
        <v>78.988799999999998</v>
      </c>
      <c r="N7142" t="str">
        <f>IFERROR(INDEX(tProdutos[Foco],MATCH(tItens[[#This Row],[Produto]],tProdutos[Produto],0)),"Não")</f>
        <v>Sim</v>
      </c>
      <c r="O7142" t="str">
        <f>IFERROR(INDEX(tEditais[SRP],MATCH(tItens[[#This Row],[Edital]],tEditais[Edital],0)),"Não")</f>
        <v>Não</v>
      </c>
      <c r="P7142" s="4">
        <f>IF(COUNTIFS(INDEX(tItens[Edital],1):tItens[[#This Row],[Edital]],tItens[[#This Row],[Edital]],INDEX(tItens[Produto],1):tItens[[#This Row],[Produto]],tItens[[#This Row],[Produto]])=1,1,0)</f>
        <v>0</v>
      </c>
    </row>
    <row r="7143" spans="1:16" x14ac:dyDescent="0.25">
      <c r="A7143" t="s">
        <v>2452</v>
      </c>
      <c r="B7143">
        <v>8040350</v>
      </c>
      <c r="C7143" t="s">
        <v>9806</v>
      </c>
      <c r="D7143" t="s">
        <v>195</v>
      </c>
      <c r="E7143" s="13">
        <v>2000</v>
      </c>
      <c r="F7143" s="12">
        <v>7.19</v>
      </c>
      <c r="G7143" t="str">
        <f>IFERROR(INDEX(tEditais[Órgão],MATCH(tItens[[#This Row],[Edital]],tEditais[Edital],0)),"")</f>
        <v>MUNICIPIO DE ALTA FLORESTA D'OESTE</v>
      </c>
      <c r="H7143" t="str">
        <f>IFERROR(INDEX(tEditais[UF],MATCH(tItens[[#This Row],[Edital]],tEditais[Edital],0)),"")</f>
        <v>RO</v>
      </c>
      <c r="I7143" s="11">
        <f>IFERROR(INDEX(tEditais[Encerramento],MATCH(tItens[[#This Row],[Edital]],tEditais[Edital],0)),"")</f>
        <v>46309.416666666664</v>
      </c>
      <c r="J7143" t="str">
        <f>IFERROR(INDEX(tProdutos[Classe],MATCH(tItens[[#This Row],[Produto]],tProdutos[Produto],0)),"produto não cadastrado")</f>
        <v>FORA</v>
      </c>
      <c r="K7143" s="12">
        <f>tItens[[#This Row],[Qtd]]*tItens[[#This Row],[Vlr unit]]</f>
        <v>14380</v>
      </c>
      <c r="L7143" s="6">
        <f>IFERROR(IF(INDEX(tProdutos[Desconto homologado],MATCH(tItens[[#This Row],[Produto]],tProdutos[Produto],0))="",DescontoPadrao,INDEX(tProdutos[Desconto homologado],MATCH(tItens[[#This Row],[Produto]],tProdutos[Produto],0))),DescontoPadrao)</f>
        <v>0.27813657840171302</v>
      </c>
      <c r="M7143" s="12">
        <f>tItens[[#This Row],[Valor]]*(1-tItens[[#This Row],[Desconto]])</f>
        <v>10380.396002583368</v>
      </c>
      <c r="N7143" t="str">
        <f>IFERROR(INDEX(tProdutos[Foco],MATCH(tItens[[#This Row],[Produto]],tProdutos[Produto],0)),"Não")</f>
        <v>Não</v>
      </c>
      <c r="O7143" t="str">
        <f>IFERROR(INDEX(tEditais[SRP],MATCH(tItens[[#This Row],[Edital]],tEditais[Edital],0)),"Não")</f>
        <v>Não</v>
      </c>
      <c r="P7143" s="4">
        <f>IF(COUNTIFS(INDEX(tItens[Edital],1):tItens[[#This Row],[Edital]],tItens[[#This Row],[Edital]],INDEX(tItens[Produto],1):tItens[[#This Row],[Produto]],tItens[[#This Row],[Produto]])=1,1,0)</f>
        <v>1</v>
      </c>
    </row>
    <row r="7144" spans="1:16" x14ac:dyDescent="0.25">
      <c r="A7144" t="s">
        <v>2452</v>
      </c>
      <c r="B7144">
        <v>8040355</v>
      </c>
      <c r="C7144" t="s">
        <v>9807</v>
      </c>
      <c r="D7144" t="s">
        <v>682</v>
      </c>
      <c r="E7144" s="13">
        <v>6</v>
      </c>
      <c r="F7144" s="12">
        <v>354</v>
      </c>
      <c r="G7144" t="str">
        <f>IFERROR(INDEX(tEditais[Órgão],MATCH(tItens[[#This Row],[Edital]],tEditais[Edital],0)),"")</f>
        <v>MUNICIPIO DE ALTA FLORESTA D'OESTE</v>
      </c>
      <c r="H7144" t="str">
        <f>IFERROR(INDEX(tEditais[UF],MATCH(tItens[[#This Row],[Edital]],tEditais[Edital],0)),"")</f>
        <v>RO</v>
      </c>
      <c r="I7144" s="11">
        <f>IFERROR(INDEX(tEditais[Encerramento],MATCH(tItens[[#This Row],[Edital]],tEditais[Edital],0)),"")</f>
        <v>46309.416666666664</v>
      </c>
      <c r="J7144" t="str">
        <f>IFERROR(INDEX(tProdutos[Classe],MATCH(tItens[[#This Row],[Produto]],tProdutos[Produto],0)),"produto não cadastrado")</f>
        <v>FILA REBASE</v>
      </c>
      <c r="K7144" s="12">
        <f>tItens[[#This Row],[Qtd]]*tItens[[#This Row],[Vlr unit]]</f>
        <v>2124</v>
      </c>
      <c r="L7144" s="6">
        <f>IFERROR(IF(INDEX(tProdutos[Desconto homologado],MATCH(tItens[[#This Row],[Produto]],tProdutos[Produto],0))="",DescontoPadrao,INDEX(tProdutos[Desconto homologado],MATCH(tItens[[#This Row],[Produto]],tProdutos[Produto],0))),DescontoPadrao)</f>
        <v>0.3</v>
      </c>
      <c r="M7144" s="12">
        <f>tItens[[#This Row],[Valor]]*(1-tItens[[#This Row],[Desconto]])</f>
        <v>1486.8</v>
      </c>
      <c r="N7144" t="str">
        <f>IFERROR(INDEX(tProdutos[Foco],MATCH(tItens[[#This Row],[Produto]],tProdutos[Produto],0)),"Não")</f>
        <v>Não</v>
      </c>
      <c r="O7144" t="str">
        <f>IFERROR(INDEX(tEditais[SRP],MATCH(tItens[[#This Row],[Edital]],tEditais[Edital],0)),"Não")</f>
        <v>Não</v>
      </c>
      <c r="P7144" s="4">
        <f>IF(COUNTIFS(INDEX(tItens[Edital],1):tItens[[#This Row],[Edital]],tItens[[#This Row],[Edital]],INDEX(tItens[Produto],1):tItens[[#This Row],[Produto]],tItens[[#This Row],[Produto]])=1,1,0)</f>
        <v>1</v>
      </c>
    </row>
    <row r="7145" spans="1:16" x14ac:dyDescent="0.25">
      <c r="A7145" t="s">
        <v>2452</v>
      </c>
      <c r="B7145">
        <v>8040357</v>
      </c>
      <c r="C7145" t="s">
        <v>9808</v>
      </c>
      <c r="D7145" t="s">
        <v>311</v>
      </c>
      <c r="E7145" s="13">
        <v>100</v>
      </c>
      <c r="F7145" s="12">
        <v>8.32</v>
      </c>
      <c r="G7145" t="str">
        <f>IFERROR(INDEX(tEditais[Órgão],MATCH(tItens[[#This Row],[Edital]],tEditais[Edital],0)),"")</f>
        <v>MUNICIPIO DE ALTA FLORESTA D'OESTE</v>
      </c>
      <c r="H7145" t="str">
        <f>IFERROR(INDEX(tEditais[UF],MATCH(tItens[[#This Row],[Edital]],tEditais[Edital],0)),"")</f>
        <v>RO</v>
      </c>
      <c r="I7145" s="11">
        <f>IFERROR(INDEX(tEditais[Encerramento],MATCH(tItens[[#This Row],[Edital]],tEditais[Edital],0)),"")</f>
        <v>46309.416666666664</v>
      </c>
      <c r="J7145" t="str">
        <f>IFERROR(INDEX(tProdutos[Classe],MATCH(tItens[[#This Row],[Produto]],tProdutos[Produto],0)),"produto não cadastrado")</f>
        <v>FORA</v>
      </c>
      <c r="K7145" s="12">
        <f>tItens[[#This Row],[Qtd]]*tItens[[#This Row],[Vlr unit]]</f>
        <v>832</v>
      </c>
      <c r="L7145" s="6">
        <f>IFERROR(IF(INDEX(tProdutos[Desconto homologado],MATCH(tItens[[#This Row],[Produto]],tProdutos[Produto],0))="",DescontoPadrao,INDEX(tProdutos[Desconto homologado],MATCH(tItens[[#This Row],[Produto]],tProdutos[Produto],0))),DescontoPadrao)</f>
        <v>0.29046182846371399</v>
      </c>
      <c r="M7145" s="12">
        <f>tItens[[#This Row],[Valor]]*(1-tItens[[#This Row],[Desconto]])</f>
        <v>590.33575871819005</v>
      </c>
      <c r="N7145" t="str">
        <f>IFERROR(INDEX(tProdutos[Foco],MATCH(tItens[[#This Row],[Produto]],tProdutos[Produto],0)),"Não")</f>
        <v>Não</v>
      </c>
      <c r="O7145" t="str">
        <f>IFERROR(INDEX(tEditais[SRP],MATCH(tItens[[#This Row],[Edital]],tEditais[Edital],0)),"Não")</f>
        <v>Não</v>
      </c>
      <c r="P7145" s="4">
        <f>IF(COUNTIFS(INDEX(tItens[Edital],1):tItens[[#This Row],[Edital]],tItens[[#This Row],[Edital]],INDEX(tItens[Produto],1):tItens[[#This Row],[Produto]],tItens[[#This Row],[Produto]])=1,1,0)</f>
        <v>0</v>
      </c>
    </row>
    <row r="7146" spans="1:16" x14ac:dyDescent="0.25">
      <c r="A7146" t="s">
        <v>2452</v>
      </c>
      <c r="B7146">
        <v>8040358</v>
      </c>
      <c r="C7146" t="s">
        <v>9809</v>
      </c>
      <c r="D7146" t="s">
        <v>311</v>
      </c>
      <c r="E7146" s="13">
        <v>500</v>
      </c>
      <c r="F7146" s="12">
        <v>9.9600000000000009</v>
      </c>
      <c r="G7146" t="str">
        <f>IFERROR(INDEX(tEditais[Órgão],MATCH(tItens[[#This Row],[Edital]],tEditais[Edital],0)),"")</f>
        <v>MUNICIPIO DE ALTA FLORESTA D'OESTE</v>
      </c>
      <c r="H7146" t="str">
        <f>IFERROR(INDEX(tEditais[UF],MATCH(tItens[[#This Row],[Edital]],tEditais[Edital],0)),"")</f>
        <v>RO</v>
      </c>
      <c r="I7146" s="11">
        <f>IFERROR(INDEX(tEditais[Encerramento],MATCH(tItens[[#This Row],[Edital]],tEditais[Edital],0)),"")</f>
        <v>46309.416666666664</v>
      </c>
      <c r="J7146" t="str">
        <f>IFERROR(INDEX(tProdutos[Classe],MATCH(tItens[[#This Row],[Produto]],tProdutos[Produto],0)),"produto não cadastrado")</f>
        <v>FORA</v>
      </c>
      <c r="K7146" s="12">
        <f>tItens[[#This Row],[Qtd]]*tItens[[#This Row],[Vlr unit]]</f>
        <v>4980</v>
      </c>
      <c r="L7146" s="6">
        <f>IFERROR(IF(INDEX(tProdutos[Desconto homologado],MATCH(tItens[[#This Row],[Produto]],tProdutos[Produto],0))="",DescontoPadrao,INDEX(tProdutos[Desconto homologado],MATCH(tItens[[#This Row],[Produto]],tProdutos[Produto],0))),DescontoPadrao)</f>
        <v>0.29046182846371399</v>
      </c>
      <c r="M7146" s="12">
        <f>tItens[[#This Row],[Valor]]*(1-tItens[[#This Row],[Desconto]])</f>
        <v>3533.5000942507045</v>
      </c>
      <c r="N7146" t="str">
        <f>IFERROR(INDEX(tProdutos[Foco],MATCH(tItens[[#This Row],[Produto]],tProdutos[Produto],0)),"Não")</f>
        <v>Não</v>
      </c>
      <c r="O7146" t="str">
        <f>IFERROR(INDEX(tEditais[SRP],MATCH(tItens[[#This Row],[Edital]],tEditais[Edital],0)),"Não")</f>
        <v>Não</v>
      </c>
      <c r="P7146" s="4">
        <f>IF(COUNTIFS(INDEX(tItens[Edital],1):tItens[[#This Row],[Edital]],tItens[[#This Row],[Edital]],INDEX(tItens[Produto],1):tItens[[#This Row],[Produto]],tItens[[#This Row],[Produto]])=1,1,0)</f>
        <v>0</v>
      </c>
    </row>
    <row r="7147" spans="1:16" x14ac:dyDescent="0.25">
      <c r="A7147" t="s">
        <v>2452</v>
      </c>
      <c r="B7147">
        <v>8040359</v>
      </c>
      <c r="C7147" t="s">
        <v>9810</v>
      </c>
      <c r="D7147" t="s">
        <v>311</v>
      </c>
      <c r="E7147" s="13">
        <v>300</v>
      </c>
      <c r="F7147" s="12">
        <v>12.35</v>
      </c>
      <c r="G7147" t="str">
        <f>IFERROR(INDEX(tEditais[Órgão],MATCH(tItens[[#This Row],[Edital]],tEditais[Edital],0)),"")</f>
        <v>MUNICIPIO DE ALTA FLORESTA D'OESTE</v>
      </c>
      <c r="H7147" t="str">
        <f>IFERROR(INDEX(tEditais[UF],MATCH(tItens[[#This Row],[Edital]],tEditais[Edital],0)),"")</f>
        <v>RO</v>
      </c>
      <c r="I7147" s="11">
        <f>IFERROR(INDEX(tEditais[Encerramento],MATCH(tItens[[#This Row],[Edital]],tEditais[Edital],0)),"")</f>
        <v>46309.416666666664</v>
      </c>
      <c r="J7147" t="str">
        <f>IFERROR(INDEX(tProdutos[Classe],MATCH(tItens[[#This Row],[Produto]],tProdutos[Produto],0)),"produto não cadastrado")</f>
        <v>FORA</v>
      </c>
      <c r="K7147" s="12">
        <f>tItens[[#This Row],[Qtd]]*tItens[[#This Row],[Vlr unit]]</f>
        <v>3705</v>
      </c>
      <c r="L7147" s="6">
        <f>IFERROR(IF(INDEX(tProdutos[Desconto homologado],MATCH(tItens[[#This Row],[Produto]],tProdutos[Produto],0))="",DescontoPadrao,INDEX(tProdutos[Desconto homologado],MATCH(tItens[[#This Row],[Produto]],tProdutos[Produto],0))),DescontoPadrao)</f>
        <v>0.29046182846371399</v>
      </c>
      <c r="M7147" s="12">
        <f>tItens[[#This Row],[Valor]]*(1-tItens[[#This Row],[Desconto]])</f>
        <v>2628.8389255419397</v>
      </c>
      <c r="N7147" t="str">
        <f>IFERROR(INDEX(tProdutos[Foco],MATCH(tItens[[#This Row],[Produto]],tProdutos[Produto],0)),"Não")</f>
        <v>Não</v>
      </c>
      <c r="O7147" t="str">
        <f>IFERROR(INDEX(tEditais[SRP],MATCH(tItens[[#This Row],[Edital]],tEditais[Edital],0)),"Não")</f>
        <v>Não</v>
      </c>
      <c r="P7147" s="4">
        <f>IF(COUNTIFS(INDEX(tItens[Edital],1):tItens[[#This Row],[Edital]],tItens[[#This Row],[Edital]],INDEX(tItens[Produto],1):tItens[[#This Row],[Produto]],tItens[[#This Row],[Produto]])=1,1,0)</f>
        <v>0</v>
      </c>
    </row>
    <row r="7148" spans="1:16" x14ac:dyDescent="0.25">
      <c r="A7148" t="s">
        <v>2452</v>
      </c>
      <c r="B7148">
        <v>8040360</v>
      </c>
      <c r="C7148" t="s">
        <v>9811</v>
      </c>
      <c r="D7148" t="s">
        <v>311</v>
      </c>
      <c r="E7148" s="13">
        <v>900</v>
      </c>
      <c r="F7148" s="12">
        <v>14.52</v>
      </c>
      <c r="G7148" t="str">
        <f>IFERROR(INDEX(tEditais[Órgão],MATCH(tItens[[#This Row],[Edital]],tEditais[Edital],0)),"")</f>
        <v>MUNICIPIO DE ALTA FLORESTA D'OESTE</v>
      </c>
      <c r="H7148" t="str">
        <f>IFERROR(INDEX(tEditais[UF],MATCH(tItens[[#This Row],[Edital]],tEditais[Edital],0)),"")</f>
        <v>RO</v>
      </c>
      <c r="I7148" s="11">
        <f>IFERROR(INDEX(tEditais[Encerramento],MATCH(tItens[[#This Row],[Edital]],tEditais[Edital],0)),"")</f>
        <v>46309.416666666664</v>
      </c>
      <c r="J7148" t="str">
        <f>IFERROR(INDEX(tProdutos[Classe],MATCH(tItens[[#This Row],[Produto]],tProdutos[Produto],0)),"produto não cadastrado")</f>
        <v>FORA</v>
      </c>
      <c r="K7148" s="12">
        <f>tItens[[#This Row],[Qtd]]*tItens[[#This Row],[Vlr unit]]</f>
        <v>13068</v>
      </c>
      <c r="L7148" s="6">
        <f>IFERROR(IF(INDEX(tProdutos[Desconto homologado],MATCH(tItens[[#This Row],[Produto]],tProdutos[Produto],0))="",DescontoPadrao,INDEX(tProdutos[Desconto homologado],MATCH(tItens[[#This Row],[Produto]],tProdutos[Produto],0))),DescontoPadrao)</f>
        <v>0.29046182846371399</v>
      </c>
      <c r="M7148" s="12">
        <f>tItens[[#This Row],[Valor]]*(1-tItens[[#This Row],[Desconto]])</f>
        <v>9272.2448256361859</v>
      </c>
      <c r="N7148" t="str">
        <f>IFERROR(INDEX(tProdutos[Foco],MATCH(tItens[[#This Row],[Produto]],tProdutos[Produto],0)),"Não")</f>
        <v>Não</v>
      </c>
      <c r="O7148" t="str">
        <f>IFERROR(INDEX(tEditais[SRP],MATCH(tItens[[#This Row],[Edital]],tEditais[Edital],0)),"Não")</f>
        <v>Não</v>
      </c>
      <c r="P7148" s="4">
        <f>IF(COUNTIFS(INDEX(tItens[Edital],1):tItens[[#This Row],[Edital]],tItens[[#This Row],[Edital]],INDEX(tItens[Produto],1):tItens[[#This Row],[Produto]],tItens[[#This Row],[Produto]])=1,1,0)</f>
        <v>0</v>
      </c>
    </row>
    <row r="7149" spans="1:16" x14ac:dyDescent="0.25">
      <c r="A7149" t="s">
        <v>2452</v>
      </c>
      <c r="B7149">
        <v>8040363</v>
      </c>
      <c r="C7149" t="s">
        <v>9812</v>
      </c>
      <c r="D7149" t="s">
        <v>413</v>
      </c>
      <c r="E7149" s="13">
        <v>2000</v>
      </c>
      <c r="F7149" s="12">
        <v>2.02</v>
      </c>
      <c r="G7149" t="str">
        <f>IFERROR(INDEX(tEditais[Órgão],MATCH(tItens[[#This Row],[Edital]],tEditais[Edital],0)),"")</f>
        <v>MUNICIPIO DE ALTA FLORESTA D'OESTE</v>
      </c>
      <c r="H7149" t="str">
        <f>IFERROR(INDEX(tEditais[UF],MATCH(tItens[[#This Row],[Edital]],tEditais[Edital],0)),"")</f>
        <v>RO</v>
      </c>
      <c r="I7149" s="11">
        <f>IFERROR(INDEX(tEditais[Encerramento],MATCH(tItens[[#This Row],[Edital]],tEditais[Edital],0)),"")</f>
        <v>46309.416666666664</v>
      </c>
      <c r="J7149" t="str">
        <f>IFERROR(INDEX(tProdutos[Classe],MATCH(tItens[[#This Row],[Produto]],tProdutos[Produto],0)),"produto não cadastrado")</f>
        <v>FORA</v>
      </c>
      <c r="K7149" s="12">
        <f>tItens[[#This Row],[Qtd]]*tItens[[#This Row],[Vlr unit]]</f>
        <v>4040</v>
      </c>
      <c r="L7149" s="6">
        <f>IFERROR(IF(INDEX(tProdutos[Desconto homologado],MATCH(tItens[[#This Row],[Produto]],tProdutos[Produto],0))="",DescontoPadrao,INDEX(tProdutos[Desconto homologado],MATCH(tItens[[#This Row],[Produto]],tProdutos[Produto],0))),DescontoPadrao)</f>
        <v>0.477732793522267</v>
      </c>
      <c r="M7149" s="12">
        <f>tItens[[#This Row],[Valor]]*(1-tItens[[#This Row],[Desconto]])</f>
        <v>2109.9595141700411</v>
      </c>
      <c r="N7149" t="str">
        <f>IFERROR(INDEX(tProdutos[Foco],MATCH(tItens[[#This Row],[Produto]],tProdutos[Produto],0)),"Não")</f>
        <v>Não</v>
      </c>
      <c r="O7149" t="str">
        <f>IFERROR(INDEX(tEditais[SRP],MATCH(tItens[[#This Row],[Edital]],tEditais[Edital],0)),"Não")</f>
        <v>Não</v>
      </c>
      <c r="P7149" s="4">
        <f>IF(COUNTIFS(INDEX(tItens[Edital],1):tItens[[#This Row],[Edital]],tItens[[#This Row],[Edital]],INDEX(tItens[Produto],1):tItens[[#This Row],[Produto]],tItens[[#This Row],[Produto]])=1,1,0)</f>
        <v>0</v>
      </c>
    </row>
    <row r="7150" spans="1:16" x14ac:dyDescent="0.25">
      <c r="A7150" t="s">
        <v>2452</v>
      </c>
      <c r="B7150">
        <v>8040364</v>
      </c>
      <c r="C7150" t="s">
        <v>9813</v>
      </c>
      <c r="D7150" t="s">
        <v>413</v>
      </c>
      <c r="E7150" s="13">
        <v>2000</v>
      </c>
      <c r="F7150" s="12">
        <v>2.2999999999999998</v>
      </c>
      <c r="G7150" t="str">
        <f>IFERROR(INDEX(tEditais[Órgão],MATCH(tItens[[#This Row],[Edital]],tEditais[Edital],0)),"")</f>
        <v>MUNICIPIO DE ALTA FLORESTA D'OESTE</v>
      </c>
      <c r="H7150" t="str">
        <f>IFERROR(INDEX(tEditais[UF],MATCH(tItens[[#This Row],[Edital]],tEditais[Edital],0)),"")</f>
        <v>RO</v>
      </c>
      <c r="I7150" s="11">
        <f>IFERROR(INDEX(tEditais[Encerramento],MATCH(tItens[[#This Row],[Edital]],tEditais[Edital],0)),"")</f>
        <v>46309.416666666664</v>
      </c>
      <c r="J7150" t="str">
        <f>IFERROR(INDEX(tProdutos[Classe],MATCH(tItens[[#This Row],[Produto]],tProdutos[Produto],0)),"produto não cadastrado")</f>
        <v>FORA</v>
      </c>
      <c r="K7150" s="12">
        <f>tItens[[#This Row],[Qtd]]*tItens[[#This Row],[Vlr unit]]</f>
        <v>4600</v>
      </c>
      <c r="L7150" s="6">
        <f>IFERROR(IF(INDEX(tProdutos[Desconto homologado],MATCH(tItens[[#This Row],[Produto]],tProdutos[Produto],0))="",DescontoPadrao,INDEX(tProdutos[Desconto homologado],MATCH(tItens[[#This Row],[Produto]],tProdutos[Produto],0))),DescontoPadrao)</f>
        <v>0.477732793522267</v>
      </c>
      <c r="M7150" s="12">
        <f>tItens[[#This Row],[Valor]]*(1-tItens[[#This Row],[Desconto]])</f>
        <v>2402.4291497975714</v>
      </c>
      <c r="N7150" t="str">
        <f>IFERROR(INDEX(tProdutos[Foco],MATCH(tItens[[#This Row],[Produto]],tProdutos[Produto],0)),"Não")</f>
        <v>Não</v>
      </c>
      <c r="O7150" t="str">
        <f>IFERROR(INDEX(tEditais[SRP],MATCH(tItens[[#This Row],[Edital]],tEditais[Edital],0)),"Não")</f>
        <v>Não</v>
      </c>
      <c r="P7150" s="4">
        <f>IF(COUNTIFS(INDEX(tItens[Edital],1):tItens[[#This Row],[Edital]],tItens[[#This Row],[Edital]],INDEX(tItens[Produto],1):tItens[[#This Row],[Produto]],tItens[[#This Row],[Produto]])=1,1,0)</f>
        <v>0</v>
      </c>
    </row>
    <row r="7151" spans="1:16" x14ac:dyDescent="0.25">
      <c r="A7151" t="s">
        <v>2452</v>
      </c>
      <c r="B7151">
        <v>8040368</v>
      </c>
      <c r="C7151" t="s">
        <v>9631</v>
      </c>
      <c r="D7151" t="s">
        <v>333</v>
      </c>
      <c r="E7151" s="13">
        <v>14000</v>
      </c>
      <c r="F7151" s="12">
        <v>1.52</v>
      </c>
      <c r="G7151" t="str">
        <f>IFERROR(INDEX(tEditais[Órgão],MATCH(tItens[[#This Row],[Edital]],tEditais[Edital],0)),"")</f>
        <v>MUNICIPIO DE ALTA FLORESTA D'OESTE</v>
      </c>
      <c r="H7151" t="str">
        <f>IFERROR(INDEX(tEditais[UF],MATCH(tItens[[#This Row],[Edital]],tEditais[Edital],0)),"")</f>
        <v>RO</v>
      </c>
      <c r="I7151" s="11">
        <f>IFERROR(INDEX(tEditais[Encerramento],MATCH(tItens[[#This Row],[Edital]],tEditais[Edital],0)),"")</f>
        <v>46309.416666666664</v>
      </c>
      <c r="J7151" t="str">
        <f>IFERROR(INDEX(tProdutos[Classe],MATCH(tItens[[#This Row],[Produto]],tProdutos[Produto],0)),"produto não cadastrado")</f>
        <v>FORA</v>
      </c>
      <c r="K7151" s="12">
        <f>tItens[[#This Row],[Qtd]]*tItens[[#This Row],[Vlr unit]]</f>
        <v>21280</v>
      </c>
      <c r="L7151" s="6">
        <f>IFERROR(IF(INDEX(tProdutos[Desconto homologado],MATCH(tItens[[#This Row],[Produto]],tProdutos[Produto],0))="",DescontoPadrao,INDEX(tProdutos[Desconto homologado],MATCH(tItens[[#This Row],[Produto]],tProdutos[Produto],0))),DescontoPadrao)</f>
        <v>0.48951048951048998</v>
      </c>
      <c r="M7151" s="12">
        <f>tItens[[#This Row],[Valor]]*(1-tItens[[#This Row],[Desconto]])</f>
        <v>10863.216783216772</v>
      </c>
      <c r="N7151" t="str">
        <f>IFERROR(INDEX(tProdutos[Foco],MATCH(tItens[[#This Row],[Produto]],tProdutos[Produto],0)),"Não")</f>
        <v>Não</v>
      </c>
      <c r="O7151" t="str">
        <f>IFERROR(INDEX(tEditais[SRP],MATCH(tItens[[#This Row],[Edital]],tEditais[Edital],0)),"Não")</f>
        <v>Não</v>
      </c>
      <c r="P7151" s="4">
        <f>IF(COUNTIFS(INDEX(tItens[Edital],1):tItens[[#This Row],[Edital]],tItens[[#This Row],[Edital]],INDEX(tItens[Produto],1):tItens[[#This Row],[Produto]],tItens[[#This Row],[Produto]])=1,1,0)</f>
        <v>0</v>
      </c>
    </row>
    <row r="7152" spans="1:16" x14ac:dyDescent="0.25">
      <c r="A7152" t="s">
        <v>2452</v>
      </c>
      <c r="B7152">
        <v>8040369</v>
      </c>
      <c r="C7152" t="s">
        <v>9723</v>
      </c>
      <c r="D7152" t="s">
        <v>313</v>
      </c>
      <c r="E7152" s="13">
        <v>900</v>
      </c>
      <c r="F7152" s="12">
        <v>32.43</v>
      </c>
      <c r="G7152" t="str">
        <f>IFERROR(INDEX(tEditais[Órgão],MATCH(tItens[[#This Row],[Edital]],tEditais[Edital],0)),"")</f>
        <v>MUNICIPIO DE ALTA FLORESTA D'OESTE</v>
      </c>
      <c r="H7152" t="str">
        <f>IFERROR(INDEX(tEditais[UF],MATCH(tItens[[#This Row],[Edital]],tEditais[Edital],0)),"")</f>
        <v>RO</v>
      </c>
      <c r="I7152" s="11">
        <f>IFERROR(INDEX(tEditais[Encerramento],MATCH(tItens[[#This Row],[Edital]],tEditais[Edital],0)),"")</f>
        <v>46309.416666666664</v>
      </c>
      <c r="J7152" t="str">
        <f>IFERROR(INDEX(tProdutos[Classe],MATCH(tItens[[#This Row],[Produto]],tProdutos[Produto],0)),"produto não cadastrado")</f>
        <v>FORA</v>
      </c>
      <c r="K7152" s="12">
        <f>tItens[[#This Row],[Qtd]]*tItens[[#This Row],[Vlr unit]]</f>
        <v>29187</v>
      </c>
      <c r="L7152" s="6">
        <f>IFERROR(IF(INDEX(tProdutos[Desconto homologado],MATCH(tItens[[#This Row],[Produto]],tProdutos[Produto],0))="",DescontoPadrao,INDEX(tProdutos[Desconto homologado],MATCH(tItens[[#This Row],[Produto]],tProdutos[Produto],0))),DescontoPadrao)</f>
        <v>0.35766373163696302</v>
      </c>
      <c r="M7152" s="12">
        <f>tItens[[#This Row],[Valor]]*(1-tItens[[#This Row],[Desconto]])</f>
        <v>18747.868664711958</v>
      </c>
      <c r="N7152" t="str">
        <f>IFERROR(INDEX(tProdutos[Foco],MATCH(tItens[[#This Row],[Produto]],tProdutos[Produto],0)),"Não")</f>
        <v>Não</v>
      </c>
      <c r="O7152" t="str">
        <f>IFERROR(INDEX(tEditais[SRP],MATCH(tItens[[#This Row],[Edital]],tEditais[Edital],0)),"Não")</f>
        <v>Não</v>
      </c>
      <c r="P7152" s="4">
        <f>IF(COUNTIFS(INDEX(tItens[Edital],1):tItens[[#This Row],[Edital]],tItens[[#This Row],[Edital]],INDEX(tItens[Produto],1):tItens[[#This Row],[Produto]],tItens[[#This Row],[Produto]])=1,1,0)</f>
        <v>0</v>
      </c>
    </row>
    <row r="7153" spans="1:16" x14ac:dyDescent="0.25">
      <c r="A7153" t="s">
        <v>2455</v>
      </c>
      <c r="B7153">
        <v>8061159</v>
      </c>
      <c r="C7153" t="s">
        <v>9814</v>
      </c>
      <c r="D7153" t="s">
        <v>530</v>
      </c>
      <c r="E7153" s="13">
        <v>142</v>
      </c>
      <c r="F7153" s="12">
        <v>54.74</v>
      </c>
      <c r="G7153" t="str">
        <f>IFERROR(INDEX(tEditais[Órgão],MATCH(tItens[[#This Row],[Edital]],tEditais[Edital],0)),"")</f>
        <v>MUNICIPIO DE MIRANTE DA SERRA</v>
      </c>
      <c r="H7153" t="str">
        <f>IFERROR(INDEX(tEditais[UF],MATCH(tItens[[#This Row],[Edital]],tEditais[Edital],0)),"")</f>
        <v>RO</v>
      </c>
      <c r="I7153" s="11">
        <f>IFERROR(INDEX(tEditais[Encerramento],MATCH(tItens[[#This Row],[Edital]],tEditais[Edital],0)),"")</f>
        <v>46310.375694444447</v>
      </c>
      <c r="J7153" t="str">
        <f>IFERROR(INDEX(tProdutos[Classe],MATCH(tItens[[#This Row],[Produto]],tProdutos[Produto],0)),"produto não cadastrado")</f>
        <v>FILA REBASE</v>
      </c>
      <c r="K7153" s="12">
        <f>tItens[[#This Row],[Qtd]]*tItens[[#This Row],[Vlr unit]]</f>
        <v>7773.08</v>
      </c>
      <c r="L7153" s="6">
        <f>IFERROR(IF(INDEX(tProdutos[Desconto homologado],MATCH(tItens[[#This Row],[Produto]],tProdutos[Produto],0))="",DescontoPadrao,INDEX(tProdutos[Desconto homologado],MATCH(tItens[[#This Row],[Produto]],tProdutos[Produto],0))),DescontoPadrao)</f>
        <v>0.457328385899815</v>
      </c>
      <c r="M7153" s="12">
        <f>tItens[[#This Row],[Valor]]*(1-tItens[[#This Row],[Desconto]])</f>
        <v>4218.229870129866</v>
      </c>
      <c r="N7153" t="str">
        <f>IFERROR(INDEX(tProdutos[Foco],MATCH(tItens[[#This Row],[Produto]],tProdutos[Produto],0)),"Não")</f>
        <v>Não</v>
      </c>
      <c r="O7153" t="str">
        <f>IFERROR(INDEX(tEditais[SRP],MATCH(tItens[[#This Row],[Edital]],tEditais[Edital],0)),"Não")</f>
        <v>Sim</v>
      </c>
      <c r="P7153" s="4">
        <f>IF(COUNTIFS(INDEX(tItens[Edital],1):tItens[[#This Row],[Edital]],tItens[[#This Row],[Edital]],INDEX(tItens[Produto],1):tItens[[#This Row],[Produto]],tItens[[#This Row],[Produto]])=1,1,0)</f>
        <v>1</v>
      </c>
    </row>
    <row r="7154" spans="1:16" x14ac:dyDescent="0.25">
      <c r="A7154" t="s">
        <v>2455</v>
      </c>
      <c r="B7154">
        <v>8061160</v>
      </c>
      <c r="C7154" t="s">
        <v>9815</v>
      </c>
      <c r="D7154" t="s">
        <v>530</v>
      </c>
      <c r="E7154" s="13">
        <v>10</v>
      </c>
      <c r="F7154" s="12">
        <v>39.07</v>
      </c>
      <c r="G7154" t="str">
        <f>IFERROR(INDEX(tEditais[Órgão],MATCH(tItens[[#This Row],[Edital]],tEditais[Edital],0)),"")</f>
        <v>MUNICIPIO DE MIRANTE DA SERRA</v>
      </c>
      <c r="H7154" t="str">
        <f>IFERROR(INDEX(tEditais[UF],MATCH(tItens[[#This Row],[Edital]],tEditais[Edital],0)),"")</f>
        <v>RO</v>
      </c>
      <c r="I7154" s="11">
        <f>IFERROR(INDEX(tEditais[Encerramento],MATCH(tItens[[#This Row],[Edital]],tEditais[Edital],0)),"")</f>
        <v>46310.375694444447</v>
      </c>
      <c r="J7154" t="str">
        <f>IFERROR(INDEX(tProdutos[Classe],MATCH(tItens[[#This Row],[Produto]],tProdutos[Produto],0)),"produto não cadastrado")</f>
        <v>FILA REBASE</v>
      </c>
      <c r="K7154" s="12">
        <f>tItens[[#This Row],[Qtd]]*tItens[[#This Row],[Vlr unit]]</f>
        <v>390.7</v>
      </c>
      <c r="L7154" s="6">
        <f>IFERROR(IF(INDEX(tProdutos[Desconto homologado],MATCH(tItens[[#This Row],[Produto]],tProdutos[Produto],0))="",DescontoPadrao,INDEX(tProdutos[Desconto homologado],MATCH(tItens[[#This Row],[Produto]],tProdutos[Produto],0))),DescontoPadrao)</f>
        <v>0.457328385899815</v>
      </c>
      <c r="M7154" s="12">
        <f>tItens[[#This Row],[Valor]]*(1-tItens[[#This Row],[Desconto]])</f>
        <v>212.02179962894229</v>
      </c>
      <c r="N7154" t="str">
        <f>IFERROR(INDEX(tProdutos[Foco],MATCH(tItens[[#This Row],[Produto]],tProdutos[Produto],0)),"Não")</f>
        <v>Não</v>
      </c>
      <c r="O7154" t="str">
        <f>IFERROR(INDEX(tEditais[SRP],MATCH(tItens[[#This Row],[Edital]],tEditais[Edital],0)),"Não")</f>
        <v>Sim</v>
      </c>
      <c r="P7154" s="4">
        <f>IF(COUNTIFS(INDEX(tItens[Edital],1):tItens[[#This Row],[Edital]],tItens[[#This Row],[Edital]],INDEX(tItens[Produto],1):tItens[[#This Row],[Produto]],tItens[[#This Row],[Produto]])=1,1,0)</f>
        <v>0</v>
      </c>
    </row>
    <row r="7155" spans="1:16" x14ac:dyDescent="0.25">
      <c r="A7155" t="s">
        <v>2455</v>
      </c>
      <c r="B7155">
        <v>8061166</v>
      </c>
      <c r="C7155" t="s">
        <v>9816</v>
      </c>
      <c r="D7155" t="s">
        <v>385</v>
      </c>
      <c r="E7155" s="13">
        <v>10</v>
      </c>
      <c r="F7155" s="12">
        <v>20.43</v>
      </c>
      <c r="G7155" t="str">
        <f>IFERROR(INDEX(tEditais[Órgão],MATCH(tItens[[#This Row],[Edital]],tEditais[Edital],0)),"")</f>
        <v>MUNICIPIO DE MIRANTE DA SERRA</v>
      </c>
      <c r="H7155" t="str">
        <f>IFERROR(INDEX(tEditais[UF],MATCH(tItens[[#This Row],[Edital]],tEditais[Edital],0)),"")</f>
        <v>RO</v>
      </c>
      <c r="I7155" s="11">
        <f>IFERROR(INDEX(tEditais[Encerramento],MATCH(tItens[[#This Row],[Edital]],tEditais[Edital],0)),"")</f>
        <v>46310.375694444447</v>
      </c>
      <c r="J7155" t="str">
        <f>IFERROR(INDEX(tProdutos[Classe],MATCH(tItens[[#This Row],[Produto]],tProdutos[Produto],0)),"produto não cadastrado")</f>
        <v>FORA</v>
      </c>
      <c r="K7155" s="12">
        <f>tItens[[#This Row],[Qtd]]*tItens[[#This Row],[Vlr unit]]</f>
        <v>204.3</v>
      </c>
      <c r="L7155" s="6">
        <f>IFERROR(IF(INDEX(tProdutos[Desconto homologado],MATCH(tItens[[#This Row],[Produto]],tProdutos[Produto],0))="",DescontoPadrao,INDEX(tProdutos[Desconto homologado],MATCH(tItens[[#This Row],[Produto]],tProdutos[Produto],0))),DescontoPadrao)</f>
        <v>0.46969696969697</v>
      </c>
      <c r="M7155" s="12">
        <f>tItens[[#This Row],[Valor]]*(1-tItens[[#This Row],[Desconto]])</f>
        <v>108.34090909090905</v>
      </c>
      <c r="N7155" t="str">
        <f>IFERROR(INDEX(tProdutos[Foco],MATCH(tItens[[#This Row],[Produto]],tProdutos[Produto],0)),"Não")</f>
        <v>Não</v>
      </c>
      <c r="O7155" t="str">
        <f>IFERROR(INDEX(tEditais[SRP],MATCH(tItens[[#This Row],[Edital]],tEditais[Edital],0)),"Não")</f>
        <v>Sim</v>
      </c>
      <c r="P7155" s="4">
        <f>IF(COUNTIFS(INDEX(tItens[Edital],1):tItens[[#This Row],[Edital]],tItens[[#This Row],[Edital]],INDEX(tItens[Produto],1):tItens[[#This Row],[Produto]],tItens[[#This Row],[Produto]])=1,1,0)</f>
        <v>1</v>
      </c>
    </row>
    <row r="7156" spans="1:16" x14ac:dyDescent="0.25">
      <c r="A7156" t="s">
        <v>2455</v>
      </c>
      <c r="B7156">
        <v>8061167</v>
      </c>
      <c r="C7156" t="s">
        <v>9817</v>
      </c>
      <c r="D7156" t="s">
        <v>403</v>
      </c>
      <c r="E7156" s="13">
        <v>64</v>
      </c>
      <c r="F7156" s="12">
        <v>170.85</v>
      </c>
      <c r="G7156" t="str">
        <f>IFERROR(INDEX(tEditais[Órgão],MATCH(tItens[[#This Row],[Edital]],tEditais[Edital],0)),"")</f>
        <v>MUNICIPIO DE MIRANTE DA SERRA</v>
      </c>
      <c r="H7156" t="str">
        <f>IFERROR(INDEX(tEditais[UF],MATCH(tItens[[#This Row],[Edital]],tEditais[Edital],0)),"")</f>
        <v>RO</v>
      </c>
      <c r="I7156" s="11">
        <f>IFERROR(INDEX(tEditais[Encerramento],MATCH(tItens[[#This Row],[Edital]],tEditais[Edital],0)),"")</f>
        <v>46310.375694444447</v>
      </c>
      <c r="J7156" t="str">
        <f>IFERROR(INDEX(tProdutos[Classe],MATCH(tItens[[#This Row],[Produto]],tProdutos[Produto],0)),"produto não cadastrado")</f>
        <v>FORA</v>
      </c>
      <c r="K7156" s="12">
        <f>tItens[[#This Row],[Qtd]]*tItens[[#This Row],[Vlr unit]]</f>
        <v>10934.4</v>
      </c>
      <c r="L7156" s="6">
        <f>IFERROR(IF(INDEX(tProdutos[Desconto homologado],MATCH(tItens[[#This Row],[Produto]],tProdutos[Produto],0))="",DescontoPadrao,INDEX(tProdutos[Desconto homologado],MATCH(tItens[[#This Row],[Produto]],tProdutos[Produto],0))),DescontoPadrao)</f>
        <v>0.35326086956521702</v>
      </c>
      <c r="M7156" s="12">
        <f>tItens[[#This Row],[Valor]]*(1-tItens[[#This Row],[Desconto]])</f>
        <v>7071.7043478260903</v>
      </c>
      <c r="N7156" t="str">
        <f>IFERROR(INDEX(tProdutos[Foco],MATCH(tItens[[#This Row],[Produto]],tProdutos[Produto],0)),"Não")</f>
        <v>Não</v>
      </c>
      <c r="O7156" t="str">
        <f>IFERROR(INDEX(tEditais[SRP],MATCH(tItens[[#This Row],[Edital]],tEditais[Edital],0)),"Não")</f>
        <v>Sim</v>
      </c>
      <c r="P7156" s="4">
        <f>IF(COUNTIFS(INDEX(tItens[Edital],1):tItens[[#This Row],[Edital]],tItens[[#This Row],[Edital]],INDEX(tItens[Produto],1):tItens[[#This Row],[Produto]],tItens[[#This Row],[Produto]])=1,1,0)</f>
        <v>1</v>
      </c>
    </row>
    <row r="7157" spans="1:16" x14ac:dyDescent="0.25">
      <c r="A7157" t="s">
        <v>2455</v>
      </c>
      <c r="B7157">
        <v>8061173</v>
      </c>
      <c r="C7157" t="s">
        <v>9818</v>
      </c>
      <c r="D7157" t="s">
        <v>114</v>
      </c>
      <c r="E7157" s="13">
        <v>165</v>
      </c>
      <c r="F7157" s="12">
        <v>37.200000000000003</v>
      </c>
      <c r="G7157" t="str">
        <f>IFERROR(INDEX(tEditais[Órgão],MATCH(tItens[[#This Row],[Edital]],tEditais[Edital],0)),"")</f>
        <v>MUNICIPIO DE MIRANTE DA SERRA</v>
      </c>
      <c r="H7157" t="str">
        <f>IFERROR(INDEX(tEditais[UF],MATCH(tItens[[#This Row],[Edital]],tEditais[Edital],0)),"")</f>
        <v>RO</v>
      </c>
      <c r="I7157" s="11">
        <f>IFERROR(INDEX(tEditais[Encerramento],MATCH(tItens[[#This Row],[Edital]],tEditais[Edital],0)),"")</f>
        <v>46310.375694444447</v>
      </c>
      <c r="J7157" t="str">
        <f>IFERROR(INDEX(tProdutos[Classe],MATCH(tItens[[#This Row],[Produto]],tProdutos[Produto],0)),"produto não cadastrado")</f>
        <v>DISPUTADO</v>
      </c>
      <c r="K7157" s="12">
        <f>tItens[[#This Row],[Qtd]]*tItens[[#This Row],[Vlr unit]]</f>
        <v>6138.0000000000009</v>
      </c>
      <c r="L7157" s="6">
        <f>IFERROR(IF(INDEX(tProdutos[Desconto homologado],MATCH(tItens[[#This Row],[Produto]],tProdutos[Produto],0))="",DescontoPadrao,INDEX(tProdutos[Desconto homologado],MATCH(tItens[[#This Row],[Produto]],tProdutos[Produto],0))),DescontoPadrao)</f>
        <v>0.24332656063896899</v>
      </c>
      <c r="M7157" s="12">
        <f>tItens[[#This Row],[Valor]]*(1-tItens[[#This Row],[Desconto]])</f>
        <v>4644.4615707980092</v>
      </c>
      <c r="N7157" t="str">
        <f>IFERROR(INDEX(tProdutos[Foco],MATCH(tItens[[#This Row],[Produto]],tProdutos[Produto],0)),"Não")</f>
        <v>Não</v>
      </c>
      <c r="O7157" t="str">
        <f>IFERROR(INDEX(tEditais[SRP],MATCH(tItens[[#This Row],[Edital]],tEditais[Edital],0)),"Não")</f>
        <v>Sim</v>
      </c>
      <c r="P7157" s="4">
        <f>IF(COUNTIFS(INDEX(tItens[Edital],1):tItens[[#This Row],[Edital]],tItens[[#This Row],[Edital]],INDEX(tItens[Produto],1):tItens[[#This Row],[Produto]],tItens[[#This Row],[Produto]])=1,1,0)</f>
        <v>1</v>
      </c>
    </row>
    <row r="7158" spans="1:16" x14ac:dyDescent="0.25">
      <c r="A7158" t="s">
        <v>2455</v>
      </c>
      <c r="B7158">
        <v>8061174</v>
      </c>
      <c r="C7158" t="s">
        <v>9819</v>
      </c>
      <c r="D7158" t="s">
        <v>114</v>
      </c>
      <c r="E7158" s="13">
        <v>10</v>
      </c>
      <c r="F7158" s="12">
        <v>35.42</v>
      </c>
      <c r="G7158" t="str">
        <f>IFERROR(INDEX(tEditais[Órgão],MATCH(tItens[[#This Row],[Edital]],tEditais[Edital],0)),"")</f>
        <v>MUNICIPIO DE MIRANTE DA SERRA</v>
      </c>
      <c r="H7158" t="str">
        <f>IFERROR(INDEX(tEditais[UF],MATCH(tItens[[#This Row],[Edital]],tEditais[Edital],0)),"")</f>
        <v>RO</v>
      </c>
      <c r="I7158" s="11">
        <f>IFERROR(INDEX(tEditais[Encerramento],MATCH(tItens[[#This Row],[Edital]],tEditais[Edital],0)),"")</f>
        <v>46310.375694444447</v>
      </c>
      <c r="J7158" t="str">
        <f>IFERROR(INDEX(tProdutos[Classe],MATCH(tItens[[#This Row],[Produto]],tProdutos[Produto],0)),"produto não cadastrado")</f>
        <v>DISPUTADO</v>
      </c>
      <c r="K7158" s="12">
        <f>tItens[[#This Row],[Qtd]]*tItens[[#This Row],[Vlr unit]]</f>
        <v>354.20000000000005</v>
      </c>
      <c r="L7158" s="6">
        <f>IFERROR(IF(INDEX(tProdutos[Desconto homologado],MATCH(tItens[[#This Row],[Produto]],tProdutos[Produto],0))="",DescontoPadrao,INDEX(tProdutos[Desconto homologado],MATCH(tItens[[#This Row],[Produto]],tProdutos[Produto],0))),DescontoPadrao)</f>
        <v>0.24332656063896899</v>
      </c>
      <c r="M7158" s="12">
        <f>tItens[[#This Row],[Valor]]*(1-tItens[[#This Row],[Desconto]])</f>
        <v>268.01373222167723</v>
      </c>
      <c r="N7158" t="str">
        <f>IFERROR(INDEX(tProdutos[Foco],MATCH(tItens[[#This Row],[Produto]],tProdutos[Produto],0)),"Não")</f>
        <v>Não</v>
      </c>
      <c r="O7158" t="str">
        <f>IFERROR(INDEX(tEditais[SRP],MATCH(tItens[[#This Row],[Edital]],tEditais[Edital],0)),"Não")</f>
        <v>Sim</v>
      </c>
      <c r="P7158" s="4">
        <f>IF(COUNTIFS(INDEX(tItens[Edital],1):tItens[[#This Row],[Edital]],tItens[[#This Row],[Edital]],INDEX(tItens[Produto],1):tItens[[#This Row],[Produto]],tItens[[#This Row],[Produto]])=1,1,0)</f>
        <v>0</v>
      </c>
    </row>
    <row r="7159" spans="1:16" x14ac:dyDescent="0.25">
      <c r="A7159" t="s">
        <v>2460</v>
      </c>
      <c r="B7159">
        <v>2</v>
      </c>
      <c r="C7159" t="s">
        <v>9820</v>
      </c>
      <c r="D7159" t="s">
        <v>339</v>
      </c>
      <c r="E7159" s="13">
        <v>85</v>
      </c>
      <c r="F7159" s="12">
        <v>72.75</v>
      </c>
      <c r="G7159" t="str">
        <f>IFERROR(INDEX(tEditais[Órgão],MATCH(tItens[[#This Row],[Edital]],tEditais[Edital],0)),"")</f>
        <v>SUP. EST. DE LICITACAO</v>
      </c>
      <c r="H7159" t="str">
        <f>IFERROR(INDEX(tEditais[UF],MATCH(tItens[[#This Row],[Edital]],tEditais[Edital],0)),"")</f>
        <v>RO</v>
      </c>
      <c r="I7159" s="11">
        <f>IFERROR(INDEX(tEditais[Encerramento],MATCH(tItens[[#This Row],[Edital]],tEditais[Edital],0)),"")</f>
        <v>46310.416666666664</v>
      </c>
      <c r="J7159" t="str">
        <f>IFERROR(INDEX(tProdutos[Classe],MATCH(tItens[[#This Row],[Produto]],tProdutos[Produto],0)),"produto não cadastrado")</f>
        <v>FORA</v>
      </c>
      <c r="K7159" s="12">
        <f>tItens[[#This Row],[Qtd]]*tItens[[#This Row],[Vlr unit]]</f>
        <v>6183.75</v>
      </c>
      <c r="L7159" s="6">
        <f>IFERROR(IF(INDEX(tProdutos[Desconto homologado],MATCH(tItens[[#This Row],[Produto]],tProdutos[Produto],0))="",DescontoPadrao,INDEX(tProdutos[Desconto homologado],MATCH(tItens[[#This Row],[Produto]],tProdutos[Produto],0))),DescontoPadrao)</f>
        <v>0.35388629091804102</v>
      </c>
      <c r="M7159" s="12">
        <f>tItens[[#This Row],[Valor]]*(1-tItens[[#This Row],[Desconto]])</f>
        <v>3995.4056485355636</v>
      </c>
      <c r="N7159" t="str">
        <f>IFERROR(INDEX(tProdutos[Foco],MATCH(tItens[[#This Row],[Produto]],tProdutos[Produto],0)),"Não")</f>
        <v>Não</v>
      </c>
      <c r="O7159" t="str">
        <f>IFERROR(INDEX(tEditais[SRP],MATCH(tItens[[#This Row],[Edital]],tEditais[Edital],0)),"Não")</f>
        <v>Não</v>
      </c>
      <c r="P7159" s="4">
        <f>IF(COUNTIFS(INDEX(tItens[Edital],1):tItens[[#This Row],[Edital]],tItens[[#This Row],[Edital]],INDEX(tItens[Produto],1):tItens[[#This Row],[Produto]],tItens[[#This Row],[Produto]])=1,1,0)</f>
        <v>1</v>
      </c>
    </row>
    <row r="7160" spans="1:16" x14ac:dyDescent="0.25">
      <c r="A7160" t="s">
        <v>2460</v>
      </c>
      <c r="B7160">
        <v>4</v>
      </c>
      <c r="C7160" t="s">
        <v>9129</v>
      </c>
      <c r="D7160" t="s">
        <v>339</v>
      </c>
      <c r="E7160" s="13">
        <v>35</v>
      </c>
      <c r="F7160" s="12">
        <v>61.8</v>
      </c>
      <c r="G7160" t="str">
        <f>IFERROR(INDEX(tEditais[Órgão],MATCH(tItens[[#This Row],[Edital]],tEditais[Edital],0)),"")</f>
        <v>SUP. EST. DE LICITACAO</v>
      </c>
      <c r="H7160" t="str">
        <f>IFERROR(INDEX(tEditais[UF],MATCH(tItens[[#This Row],[Edital]],tEditais[Edital],0)),"")</f>
        <v>RO</v>
      </c>
      <c r="I7160" s="11">
        <f>IFERROR(INDEX(tEditais[Encerramento],MATCH(tItens[[#This Row],[Edital]],tEditais[Edital],0)),"")</f>
        <v>46310.416666666664</v>
      </c>
      <c r="J7160" t="str">
        <f>IFERROR(INDEX(tProdutos[Classe],MATCH(tItens[[#This Row],[Produto]],tProdutos[Produto],0)),"produto não cadastrado")</f>
        <v>FORA</v>
      </c>
      <c r="K7160" s="12">
        <f>tItens[[#This Row],[Qtd]]*tItens[[#This Row],[Vlr unit]]</f>
        <v>2163</v>
      </c>
      <c r="L7160" s="6">
        <f>IFERROR(IF(INDEX(tProdutos[Desconto homologado],MATCH(tItens[[#This Row],[Produto]],tProdutos[Produto],0))="",DescontoPadrao,INDEX(tProdutos[Desconto homologado],MATCH(tItens[[#This Row],[Produto]],tProdutos[Produto],0))),DescontoPadrao)</f>
        <v>0.35388629091804102</v>
      </c>
      <c r="M7160" s="12">
        <f>tItens[[#This Row],[Valor]]*(1-tItens[[#This Row],[Desconto]])</f>
        <v>1397.5439527442772</v>
      </c>
      <c r="N7160" t="str">
        <f>IFERROR(INDEX(tProdutos[Foco],MATCH(tItens[[#This Row],[Produto]],tProdutos[Produto],0)),"Não")</f>
        <v>Não</v>
      </c>
      <c r="O7160" t="str">
        <f>IFERROR(INDEX(tEditais[SRP],MATCH(tItens[[#This Row],[Edital]],tEditais[Edital],0)),"Não")</f>
        <v>Não</v>
      </c>
      <c r="P7160" s="4">
        <f>IF(COUNTIFS(INDEX(tItens[Edital],1):tItens[[#This Row],[Edital]],tItens[[#This Row],[Edital]],INDEX(tItens[Produto],1):tItens[[#This Row],[Produto]],tItens[[#This Row],[Produto]])=1,1,0)</f>
        <v>0</v>
      </c>
    </row>
    <row r="7161" spans="1:16" x14ac:dyDescent="0.25">
      <c r="A7161" t="s">
        <v>2460</v>
      </c>
      <c r="B7161">
        <v>5</v>
      </c>
      <c r="C7161" t="s">
        <v>9821</v>
      </c>
      <c r="D7161" t="s">
        <v>339</v>
      </c>
      <c r="E7161" s="13">
        <v>35</v>
      </c>
      <c r="F7161" s="12">
        <v>60.02</v>
      </c>
      <c r="G7161" t="str">
        <f>IFERROR(INDEX(tEditais[Órgão],MATCH(tItens[[#This Row],[Edital]],tEditais[Edital],0)),"")</f>
        <v>SUP. EST. DE LICITACAO</v>
      </c>
      <c r="H7161" t="str">
        <f>IFERROR(INDEX(tEditais[UF],MATCH(tItens[[#This Row],[Edital]],tEditais[Edital],0)),"")</f>
        <v>RO</v>
      </c>
      <c r="I7161" s="11">
        <f>IFERROR(INDEX(tEditais[Encerramento],MATCH(tItens[[#This Row],[Edital]],tEditais[Edital],0)),"")</f>
        <v>46310.416666666664</v>
      </c>
      <c r="J7161" t="str">
        <f>IFERROR(INDEX(tProdutos[Classe],MATCH(tItens[[#This Row],[Produto]],tProdutos[Produto],0)),"produto não cadastrado")</f>
        <v>FORA</v>
      </c>
      <c r="K7161" s="12">
        <f>tItens[[#This Row],[Qtd]]*tItens[[#This Row],[Vlr unit]]</f>
        <v>2100.7000000000003</v>
      </c>
      <c r="L7161" s="6">
        <f>IFERROR(IF(INDEX(tProdutos[Desconto homologado],MATCH(tItens[[#This Row],[Produto]],tProdutos[Produto],0))="",DescontoPadrao,INDEX(tProdutos[Desconto homologado],MATCH(tItens[[#This Row],[Produto]],tProdutos[Produto],0))),DescontoPadrao)</f>
        <v>0.35388629091804102</v>
      </c>
      <c r="M7161" s="12">
        <f>tItens[[#This Row],[Valor]]*(1-tItens[[#This Row],[Desconto]])</f>
        <v>1357.2910686684713</v>
      </c>
      <c r="N7161" t="str">
        <f>IFERROR(INDEX(tProdutos[Foco],MATCH(tItens[[#This Row],[Produto]],tProdutos[Produto],0)),"Não")</f>
        <v>Não</v>
      </c>
      <c r="O7161" t="str">
        <f>IFERROR(INDEX(tEditais[SRP],MATCH(tItens[[#This Row],[Edital]],tEditais[Edital],0)),"Não")</f>
        <v>Não</v>
      </c>
      <c r="P7161" s="4">
        <f>IF(COUNTIFS(INDEX(tItens[Edital],1):tItens[[#This Row],[Edital]],tItens[[#This Row],[Edital]],INDEX(tItens[Produto],1):tItens[[#This Row],[Produto]],tItens[[#This Row],[Produto]])=1,1,0)</f>
        <v>0</v>
      </c>
    </row>
    <row r="7162" spans="1:16" x14ac:dyDescent="0.25">
      <c r="A7162" t="s">
        <v>2465</v>
      </c>
      <c r="B7162">
        <v>9</v>
      </c>
      <c r="C7162" t="s">
        <v>9822</v>
      </c>
      <c r="D7162" t="s">
        <v>467</v>
      </c>
      <c r="E7162" s="13">
        <v>95</v>
      </c>
      <c r="F7162" s="12">
        <v>29.38</v>
      </c>
      <c r="G7162" t="str">
        <f>IFERROR(INDEX(tEditais[Órgão],MATCH(tItens[[#This Row],[Edital]],tEditais[Edital],0)),"")</f>
        <v>SUP. EST. DE LICITACAO</v>
      </c>
      <c r="H7162" t="str">
        <f>IFERROR(INDEX(tEditais[UF],MATCH(tItens[[#This Row],[Edital]],tEditais[Edital],0)),"")</f>
        <v>RO</v>
      </c>
      <c r="I7162" s="11">
        <f>IFERROR(INDEX(tEditais[Encerramento],MATCH(tItens[[#This Row],[Edital]],tEditais[Edital],0)),"")</f>
        <v>46310.416666666664</v>
      </c>
      <c r="J7162" t="str">
        <f>IFERROR(INDEX(tProdutos[Classe],MATCH(tItens[[#This Row],[Produto]],tProdutos[Produto],0)),"produto não cadastrado")</f>
        <v>FILA REBASE</v>
      </c>
      <c r="K7162" s="12">
        <f>tItens[[#This Row],[Qtd]]*tItens[[#This Row],[Vlr unit]]</f>
        <v>2791.1</v>
      </c>
      <c r="L7162" s="6">
        <f>IFERROR(IF(INDEX(tProdutos[Desconto homologado],MATCH(tItens[[#This Row],[Produto]],tProdutos[Produto],0))="",DescontoPadrao,INDEX(tProdutos[Desconto homologado],MATCH(tItens[[#This Row],[Produto]],tProdutos[Produto],0))),DescontoPadrao)</f>
        <v>0.25007144898542499</v>
      </c>
      <c r="M7162" s="12">
        <f>tItens[[#This Row],[Valor]]*(1-tItens[[#This Row],[Desconto]])</f>
        <v>2093.1255787367804</v>
      </c>
      <c r="N7162" t="str">
        <f>IFERROR(INDEX(tProdutos[Foco],MATCH(tItens[[#This Row],[Produto]],tProdutos[Produto],0)),"Não")</f>
        <v>Não</v>
      </c>
      <c r="O7162" t="str">
        <f>IFERROR(INDEX(tEditais[SRP],MATCH(tItens[[#This Row],[Edital]],tEditais[Edital],0)),"Não")</f>
        <v>Sim</v>
      </c>
      <c r="P7162" s="4">
        <f>IF(COUNTIFS(INDEX(tItens[Edital],1):tItens[[#This Row],[Edital]],tItens[[#This Row],[Edital]],INDEX(tItens[Produto],1):tItens[[#This Row],[Produto]],tItens[[#This Row],[Produto]])=1,1,0)</f>
        <v>1</v>
      </c>
    </row>
    <row r="7163" spans="1:16" x14ac:dyDescent="0.25">
      <c r="A7163" t="s">
        <v>2465</v>
      </c>
      <c r="B7163">
        <v>10</v>
      </c>
      <c r="C7163" t="s">
        <v>9823</v>
      </c>
      <c r="D7163" t="s">
        <v>413</v>
      </c>
      <c r="E7163" s="13">
        <v>40</v>
      </c>
      <c r="F7163" s="12">
        <v>25.63</v>
      </c>
      <c r="G7163" t="str">
        <f>IFERROR(INDEX(tEditais[Órgão],MATCH(tItens[[#This Row],[Edital]],tEditais[Edital],0)),"")</f>
        <v>SUP. EST. DE LICITACAO</v>
      </c>
      <c r="H7163" t="str">
        <f>IFERROR(INDEX(tEditais[UF],MATCH(tItens[[#This Row],[Edital]],tEditais[Edital],0)),"")</f>
        <v>RO</v>
      </c>
      <c r="I7163" s="11">
        <f>IFERROR(INDEX(tEditais[Encerramento],MATCH(tItens[[#This Row],[Edital]],tEditais[Edital],0)),"")</f>
        <v>46310.416666666664</v>
      </c>
      <c r="J7163" t="str">
        <f>IFERROR(INDEX(tProdutos[Classe],MATCH(tItens[[#This Row],[Produto]],tProdutos[Produto],0)),"produto não cadastrado")</f>
        <v>FORA</v>
      </c>
      <c r="K7163" s="12">
        <f>tItens[[#This Row],[Qtd]]*tItens[[#This Row],[Vlr unit]]</f>
        <v>1025.2</v>
      </c>
      <c r="L7163" s="6">
        <f>IFERROR(IF(INDEX(tProdutos[Desconto homologado],MATCH(tItens[[#This Row],[Produto]],tProdutos[Produto],0))="",DescontoPadrao,INDEX(tProdutos[Desconto homologado],MATCH(tItens[[#This Row],[Produto]],tProdutos[Produto],0))),DescontoPadrao)</f>
        <v>0.477732793522267</v>
      </c>
      <c r="M7163" s="12">
        <f>tItens[[#This Row],[Valor]]*(1-tItens[[#This Row],[Desconto]])</f>
        <v>535.42834008097179</v>
      </c>
      <c r="N7163" t="str">
        <f>IFERROR(INDEX(tProdutos[Foco],MATCH(tItens[[#This Row],[Produto]],tProdutos[Produto],0)),"Não")</f>
        <v>Não</v>
      </c>
      <c r="O7163" t="str">
        <f>IFERROR(INDEX(tEditais[SRP],MATCH(tItens[[#This Row],[Edital]],tEditais[Edital],0)),"Não")</f>
        <v>Sim</v>
      </c>
      <c r="P7163" s="4">
        <f>IF(COUNTIFS(INDEX(tItens[Edital],1):tItens[[#This Row],[Edital]],tItens[[#This Row],[Edital]],INDEX(tItens[Produto],1):tItens[[#This Row],[Produto]],tItens[[#This Row],[Produto]])=1,1,0)</f>
        <v>1</v>
      </c>
    </row>
    <row r="7164" spans="1:16" x14ac:dyDescent="0.25">
      <c r="A7164" t="s">
        <v>2468</v>
      </c>
      <c r="B7164">
        <v>1</v>
      </c>
      <c r="C7164" t="s">
        <v>4236</v>
      </c>
      <c r="D7164" t="s">
        <v>315</v>
      </c>
      <c r="E7164" s="13">
        <v>1</v>
      </c>
      <c r="F7164" s="12">
        <v>6.02</v>
      </c>
      <c r="G7164" t="str">
        <f>IFERROR(INDEX(tEditais[Órgão],MATCH(tItens[[#This Row],[Edital]],tEditais[Edital],0)),"")</f>
        <v>CIMCERO - CONSORCIO INTERMUNICIPAL DA REGIAO CENTRO LESTE DO ESTADO DE RONDONIA</v>
      </c>
      <c r="H7164" t="str">
        <f>IFERROR(INDEX(tEditais[UF],MATCH(tItens[[#This Row],[Edital]],tEditais[Edital],0)),"")</f>
        <v>RO</v>
      </c>
      <c r="I7164" s="11">
        <f>IFERROR(INDEX(tEditais[Encerramento],MATCH(tItens[[#This Row],[Edital]],tEditais[Edital],0)),"")</f>
        <v>46310.729166666664</v>
      </c>
      <c r="J7164" t="str">
        <f>IFERROR(INDEX(tProdutos[Classe],MATCH(tItens[[#This Row],[Produto]],tProdutos[Produto],0)),"produto não cadastrado")</f>
        <v>FORA</v>
      </c>
      <c r="K7164" s="12">
        <f>tItens[[#This Row],[Qtd]]*tItens[[#This Row],[Vlr unit]]</f>
        <v>6.02</v>
      </c>
      <c r="L7164" s="6">
        <f>IFERROR(IF(INDEX(tProdutos[Desconto homologado],MATCH(tItens[[#This Row],[Produto]],tProdutos[Produto],0))="",DescontoPadrao,INDEX(tProdutos[Desconto homologado],MATCH(tItens[[#This Row],[Produto]],tProdutos[Produto],0))),DescontoPadrao)</f>
        <v>0.38432036097010702</v>
      </c>
      <c r="M7164" s="12">
        <f>tItens[[#This Row],[Valor]]*(1-tItens[[#This Row],[Desconto]])</f>
        <v>3.7063914269599554</v>
      </c>
      <c r="N7164" t="str">
        <f>IFERROR(INDEX(tProdutos[Foco],MATCH(tItens[[#This Row],[Produto]],tProdutos[Produto],0)),"Não")</f>
        <v>Não</v>
      </c>
      <c r="O7164" t="str">
        <f>IFERROR(INDEX(tEditais[SRP],MATCH(tItens[[#This Row],[Edital]],tEditais[Edital],0)),"Não")</f>
        <v>Sim</v>
      </c>
      <c r="P7164" s="4">
        <f>IF(COUNTIFS(INDEX(tItens[Edital],1):tItens[[#This Row],[Edital]],tItens[[#This Row],[Edital]],INDEX(tItens[Produto],1):tItens[[#This Row],[Produto]],tItens[[#This Row],[Produto]])=1,1,0)</f>
        <v>1</v>
      </c>
    </row>
    <row r="7165" spans="1:16" x14ac:dyDescent="0.25">
      <c r="A7165" t="s">
        <v>2468</v>
      </c>
      <c r="B7165">
        <v>2</v>
      </c>
      <c r="C7165" t="s">
        <v>3478</v>
      </c>
      <c r="D7165" t="s">
        <v>315</v>
      </c>
      <c r="E7165" s="13">
        <v>1</v>
      </c>
      <c r="F7165" s="12">
        <v>10.84</v>
      </c>
      <c r="G7165" t="str">
        <f>IFERROR(INDEX(tEditais[Órgão],MATCH(tItens[[#This Row],[Edital]],tEditais[Edital],0)),"")</f>
        <v>CIMCERO - CONSORCIO INTERMUNICIPAL DA REGIAO CENTRO LESTE DO ESTADO DE RONDONIA</v>
      </c>
      <c r="H7165" t="str">
        <f>IFERROR(INDEX(tEditais[UF],MATCH(tItens[[#This Row],[Edital]],tEditais[Edital],0)),"")</f>
        <v>RO</v>
      </c>
      <c r="I7165" s="11">
        <f>IFERROR(INDEX(tEditais[Encerramento],MATCH(tItens[[#This Row],[Edital]],tEditais[Edital],0)),"")</f>
        <v>46310.729166666664</v>
      </c>
      <c r="J7165" t="str">
        <f>IFERROR(INDEX(tProdutos[Classe],MATCH(tItens[[#This Row],[Produto]],tProdutos[Produto],0)),"produto não cadastrado")</f>
        <v>FORA</v>
      </c>
      <c r="K7165" s="12">
        <f>tItens[[#This Row],[Qtd]]*tItens[[#This Row],[Vlr unit]]</f>
        <v>10.84</v>
      </c>
      <c r="L7165" s="6">
        <f>IFERROR(IF(INDEX(tProdutos[Desconto homologado],MATCH(tItens[[#This Row],[Produto]],tProdutos[Produto],0))="",DescontoPadrao,INDEX(tProdutos[Desconto homologado],MATCH(tItens[[#This Row],[Produto]],tProdutos[Produto],0))),DescontoPadrao)</f>
        <v>0.38432036097010702</v>
      </c>
      <c r="M7165" s="12">
        <f>tItens[[#This Row],[Valor]]*(1-tItens[[#This Row],[Desconto]])</f>
        <v>6.6739672870840394</v>
      </c>
      <c r="N7165" t="str">
        <f>IFERROR(INDEX(tProdutos[Foco],MATCH(tItens[[#This Row],[Produto]],tProdutos[Produto],0)),"Não")</f>
        <v>Não</v>
      </c>
      <c r="O7165" t="str">
        <f>IFERROR(INDEX(tEditais[SRP],MATCH(tItens[[#This Row],[Edital]],tEditais[Edital],0)),"Não")</f>
        <v>Sim</v>
      </c>
      <c r="P7165" s="4">
        <f>IF(COUNTIFS(INDEX(tItens[Edital],1):tItens[[#This Row],[Edital]],tItens[[#This Row],[Edital]],INDEX(tItens[Produto],1):tItens[[#This Row],[Produto]],tItens[[#This Row],[Produto]])=1,1,0)</f>
        <v>0</v>
      </c>
    </row>
    <row r="7166" spans="1:16" x14ac:dyDescent="0.25">
      <c r="A7166" t="s">
        <v>2468</v>
      </c>
      <c r="B7166">
        <v>3</v>
      </c>
      <c r="C7166" t="s">
        <v>8575</v>
      </c>
      <c r="D7166" t="s">
        <v>315</v>
      </c>
      <c r="E7166" s="13">
        <v>1</v>
      </c>
      <c r="F7166" s="12">
        <v>8.99</v>
      </c>
      <c r="G7166" t="str">
        <f>IFERROR(INDEX(tEditais[Órgão],MATCH(tItens[[#This Row],[Edital]],tEditais[Edital],0)),"")</f>
        <v>CIMCERO - CONSORCIO INTERMUNICIPAL DA REGIAO CENTRO LESTE DO ESTADO DE RONDONIA</v>
      </c>
      <c r="H7166" t="str">
        <f>IFERROR(INDEX(tEditais[UF],MATCH(tItens[[#This Row],[Edital]],tEditais[Edital],0)),"")</f>
        <v>RO</v>
      </c>
      <c r="I7166" s="11">
        <f>IFERROR(INDEX(tEditais[Encerramento],MATCH(tItens[[#This Row],[Edital]],tEditais[Edital],0)),"")</f>
        <v>46310.729166666664</v>
      </c>
      <c r="J7166" t="str">
        <f>IFERROR(INDEX(tProdutos[Classe],MATCH(tItens[[#This Row],[Produto]],tProdutos[Produto],0)),"produto não cadastrado")</f>
        <v>FORA</v>
      </c>
      <c r="K7166" s="12">
        <f>tItens[[#This Row],[Qtd]]*tItens[[#This Row],[Vlr unit]]</f>
        <v>8.99</v>
      </c>
      <c r="L7166" s="6">
        <f>IFERROR(IF(INDEX(tProdutos[Desconto homologado],MATCH(tItens[[#This Row],[Produto]],tProdutos[Produto],0))="",DescontoPadrao,INDEX(tProdutos[Desconto homologado],MATCH(tItens[[#This Row],[Produto]],tProdutos[Produto],0))),DescontoPadrao)</f>
        <v>0.38432036097010702</v>
      </c>
      <c r="M7166" s="12">
        <f>tItens[[#This Row],[Valor]]*(1-tItens[[#This Row],[Desconto]])</f>
        <v>5.5349599548787376</v>
      </c>
      <c r="N7166" t="str">
        <f>IFERROR(INDEX(tProdutos[Foco],MATCH(tItens[[#This Row],[Produto]],tProdutos[Produto],0)),"Não")</f>
        <v>Não</v>
      </c>
      <c r="O7166" t="str">
        <f>IFERROR(INDEX(tEditais[SRP],MATCH(tItens[[#This Row],[Edital]],tEditais[Edital],0)),"Não")</f>
        <v>Sim</v>
      </c>
      <c r="P7166" s="4">
        <f>IF(COUNTIFS(INDEX(tItens[Edital],1):tItens[[#This Row],[Edital]],tItens[[#This Row],[Edital]],INDEX(tItens[Produto],1):tItens[[#This Row],[Produto]],tItens[[#This Row],[Produto]])=1,1,0)</f>
        <v>0</v>
      </c>
    </row>
    <row r="7167" spans="1:16" x14ac:dyDescent="0.25">
      <c r="A7167" t="s">
        <v>2468</v>
      </c>
      <c r="B7167">
        <v>4</v>
      </c>
      <c r="C7167" t="s">
        <v>4241</v>
      </c>
      <c r="D7167" t="s">
        <v>315</v>
      </c>
      <c r="E7167" s="13">
        <v>1</v>
      </c>
      <c r="F7167" s="12">
        <v>8.83</v>
      </c>
      <c r="G7167" t="str">
        <f>IFERROR(INDEX(tEditais[Órgão],MATCH(tItens[[#This Row],[Edital]],tEditais[Edital],0)),"")</f>
        <v>CIMCERO - CONSORCIO INTERMUNICIPAL DA REGIAO CENTRO LESTE DO ESTADO DE RONDONIA</v>
      </c>
      <c r="H7167" t="str">
        <f>IFERROR(INDEX(tEditais[UF],MATCH(tItens[[#This Row],[Edital]],tEditais[Edital],0)),"")</f>
        <v>RO</v>
      </c>
      <c r="I7167" s="11">
        <f>IFERROR(INDEX(tEditais[Encerramento],MATCH(tItens[[#This Row],[Edital]],tEditais[Edital],0)),"")</f>
        <v>46310.729166666664</v>
      </c>
      <c r="J7167" t="str">
        <f>IFERROR(INDEX(tProdutos[Classe],MATCH(tItens[[#This Row],[Produto]],tProdutos[Produto],0)),"produto não cadastrado")</f>
        <v>FORA</v>
      </c>
      <c r="K7167" s="12">
        <f>tItens[[#This Row],[Qtd]]*tItens[[#This Row],[Vlr unit]]</f>
        <v>8.83</v>
      </c>
      <c r="L7167" s="6">
        <f>IFERROR(IF(INDEX(tProdutos[Desconto homologado],MATCH(tItens[[#This Row],[Produto]],tProdutos[Produto],0))="",DescontoPadrao,INDEX(tProdutos[Desconto homologado],MATCH(tItens[[#This Row],[Produto]],tProdutos[Produto],0))),DescontoPadrao)</f>
        <v>0.38432036097010702</v>
      </c>
      <c r="M7167" s="12">
        <f>tItens[[#This Row],[Valor]]*(1-tItens[[#This Row],[Desconto]])</f>
        <v>5.4364512126339548</v>
      </c>
      <c r="N7167" t="str">
        <f>IFERROR(INDEX(tProdutos[Foco],MATCH(tItens[[#This Row],[Produto]],tProdutos[Produto],0)),"Não")</f>
        <v>Não</v>
      </c>
      <c r="O7167" t="str">
        <f>IFERROR(INDEX(tEditais[SRP],MATCH(tItens[[#This Row],[Edital]],tEditais[Edital],0)),"Não")</f>
        <v>Sim</v>
      </c>
      <c r="P7167" s="4">
        <f>IF(COUNTIFS(INDEX(tItens[Edital],1):tItens[[#This Row],[Edital]],tItens[[#This Row],[Edital]],INDEX(tItens[Produto],1):tItens[[#This Row],[Produto]],tItens[[#This Row],[Produto]])=1,1,0)</f>
        <v>0</v>
      </c>
    </row>
    <row r="7168" spans="1:16" x14ac:dyDescent="0.25">
      <c r="A7168" t="s">
        <v>2468</v>
      </c>
      <c r="B7168">
        <v>5</v>
      </c>
      <c r="C7168" t="s">
        <v>3480</v>
      </c>
      <c r="D7168" t="s">
        <v>315</v>
      </c>
      <c r="E7168" s="13">
        <v>1</v>
      </c>
      <c r="F7168" s="12">
        <v>12.22</v>
      </c>
      <c r="G7168" t="str">
        <f>IFERROR(INDEX(tEditais[Órgão],MATCH(tItens[[#This Row],[Edital]],tEditais[Edital],0)),"")</f>
        <v>CIMCERO - CONSORCIO INTERMUNICIPAL DA REGIAO CENTRO LESTE DO ESTADO DE RONDONIA</v>
      </c>
      <c r="H7168" t="str">
        <f>IFERROR(INDEX(tEditais[UF],MATCH(tItens[[#This Row],[Edital]],tEditais[Edital],0)),"")</f>
        <v>RO</v>
      </c>
      <c r="I7168" s="11">
        <f>IFERROR(INDEX(tEditais[Encerramento],MATCH(tItens[[#This Row],[Edital]],tEditais[Edital],0)),"")</f>
        <v>46310.729166666664</v>
      </c>
      <c r="J7168" t="str">
        <f>IFERROR(INDEX(tProdutos[Classe],MATCH(tItens[[#This Row],[Produto]],tProdutos[Produto],0)),"produto não cadastrado")</f>
        <v>FORA</v>
      </c>
      <c r="K7168" s="12">
        <f>tItens[[#This Row],[Qtd]]*tItens[[#This Row],[Vlr unit]]</f>
        <v>12.22</v>
      </c>
      <c r="L7168" s="6">
        <f>IFERROR(IF(INDEX(tProdutos[Desconto homologado],MATCH(tItens[[#This Row],[Produto]],tProdutos[Produto],0))="",DescontoPadrao,INDEX(tProdutos[Desconto homologado],MATCH(tItens[[#This Row],[Produto]],tProdutos[Produto],0))),DescontoPadrao)</f>
        <v>0.38432036097010702</v>
      </c>
      <c r="M7168" s="12">
        <f>tItens[[#This Row],[Valor]]*(1-tItens[[#This Row],[Desconto]])</f>
        <v>7.5236051889452922</v>
      </c>
      <c r="N7168" t="str">
        <f>IFERROR(INDEX(tProdutos[Foco],MATCH(tItens[[#This Row],[Produto]],tProdutos[Produto],0)),"Não")</f>
        <v>Não</v>
      </c>
      <c r="O7168" t="str">
        <f>IFERROR(INDEX(tEditais[SRP],MATCH(tItens[[#This Row],[Edital]],tEditais[Edital],0)),"Não")</f>
        <v>Sim</v>
      </c>
      <c r="P7168" s="4">
        <f>IF(COUNTIFS(INDEX(tItens[Edital],1):tItens[[#This Row],[Edital]],tItens[[#This Row],[Edital]],INDEX(tItens[Produto],1):tItens[[#This Row],[Produto]],tItens[[#This Row],[Produto]])=1,1,0)</f>
        <v>0</v>
      </c>
    </row>
    <row r="7169" spans="1:16" x14ac:dyDescent="0.25">
      <c r="A7169" t="s">
        <v>2468</v>
      </c>
      <c r="B7169">
        <v>6</v>
      </c>
      <c r="C7169" t="s">
        <v>7267</v>
      </c>
      <c r="D7169" t="s">
        <v>297</v>
      </c>
      <c r="E7169" s="13">
        <v>1</v>
      </c>
      <c r="F7169" s="12">
        <v>9.5299999999999994</v>
      </c>
      <c r="G7169" t="str">
        <f>IFERROR(INDEX(tEditais[Órgão],MATCH(tItens[[#This Row],[Edital]],tEditais[Edital],0)),"")</f>
        <v>CIMCERO - CONSORCIO INTERMUNICIPAL DA REGIAO CENTRO LESTE DO ESTADO DE RONDONIA</v>
      </c>
      <c r="H7169" t="str">
        <f>IFERROR(INDEX(tEditais[UF],MATCH(tItens[[#This Row],[Edital]],tEditais[Edital],0)),"")</f>
        <v>RO</v>
      </c>
      <c r="I7169" s="11">
        <f>IFERROR(INDEX(tEditais[Encerramento],MATCH(tItens[[#This Row],[Edital]],tEditais[Edital],0)),"")</f>
        <v>46310.729166666664</v>
      </c>
      <c r="J7169" t="str">
        <f>IFERROR(INDEX(tProdutos[Classe],MATCH(tItens[[#This Row],[Produto]],tProdutos[Produto],0)),"produto não cadastrado")</f>
        <v>FORA</v>
      </c>
      <c r="K7169" s="12">
        <f>tItens[[#This Row],[Qtd]]*tItens[[#This Row],[Vlr unit]]</f>
        <v>9.5299999999999994</v>
      </c>
      <c r="L7169" s="6">
        <f>IFERROR(IF(INDEX(tProdutos[Desconto homologado],MATCH(tItens[[#This Row],[Produto]],tProdutos[Produto],0))="",DescontoPadrao,INDEX(tProdutos[Desconto homologado],MATCH(tItens[[#This Row],[Produto]],tProdutos[Produto],0))),DescontoPadrao)</f>
        <v>0.249544626593807</v>
      </c>
      <c r="M7169" s="12">
        <f>tItens[[#This Row],[Valor]]*(1-tItens[[#This Row],[Desconto]])</f>
        <v>7.1518397085610186</v>
      </c>
      <c r="N7169" t="str">
        <f>IFERROR(INDEX(tProdutos[Foco],MATCH(tItens[[#This Row],[Produto]],tProdutos[Produto],0)),"Não")</f>
        <v>Não</v>
      </c>
      <c r="O7169" t="str">
        <f>IFERROR(INDEX(tEditais[SRP],MATCH(tItens[[#This Row],[Edital]],tEditais[Edital],0)),"Não")</f>
        <v>Sim</v>
      </c>
      <c r="P7169" s="4">
        <f>IF(COUNTIFS(INDEX(tItens[Edital],1):tItens[[#This Row],[Edital]],tItens[[#This Row],[Edital]],INDEX(tItens[Produto],1):tItens[[#This Row],[Produto]],tItens[[#This Row],[Produto]])=1,1,0)</f>
        <v>1</v>
      </c>
    </row>
    <row r="7170" spans="1:16" x14ac:dyDescent="0.25">
      <c r="A7170" t="s">
        <v>2468</v>
      </c>
      <c r="B7170">
        <v>7</v>
      </c>
      <c r="C7170" t="s">
        <v>9824</v>
      </c>
      <c r="D7170" t="s">
        <v>82</v>
      </c>
      <c r="E7170" s="13">
        <v>1</v>
      </c>
      <c r="F7170" s="12">
        <v>30.5</v>
      </c>
      <c r="G7170" t="str">
        <f>IFERROR(INDEX(tEditais[Órgão],MATCH(tItens[[#This Row],[Edital]],tEditais[Edital],0)),"")</f>
        <v>CIMCERO - CONSORCIO INTERMUNICIPAL DA REGIAO CENTRO LESTE DO ESTADO DE RONDONIA</v>
      </c>
      <c r="H7170" t="str">
        <f>IFERROR(INDEX(tEditais[UF],MATCH(tItens[[#This Row],[Edital]],tEditais[Edital],0)),"")</f>
        <v>RO</v>
      </c>
      <c r="I7170" s="11">
        <f>IFERROR(INDEX(tEditais[Encerramento],MATCH(tItens[[#This Row],[Edital]],tEditais[Edital],0)),"")</f>
        <v>46310.729166666664</v>
      </c>
      <c r="J7170" t="str">
        <f>IFERROR(INDEX(tProdutos[Classe],MATCH(tItens[[#This Row],[Produto]],tProdutos[Produto],0)),"produto não cadastrado")</f>
        <v>NÚCLEO</v>
      </c>
      <c r="K7170" s="12">
        <f>tItens[[#This Row],[Qtd]]*tItens[[#This Row],[Vlr unit]]</f>
        <v>30.5</v>
      </c>
      <c r="L7170" s="6">
        <f>IFERROR(IF(INDEX(tProdutos[Desconto homologado],MATCH(tItens[[#This Row],[Produto]],tProdutos[Produto],0))="",DescontoPadrao,INDEX(tProdutos[Desconto homologado],MATCH(tItens[[#This Row],[Produto]],tProdutos[Produto],0))),DescontoPadrao)</f>
        <v>0.40487090276506099</v>
      </c>
      <c r="M7170" s="12">
        <f>tItens[[#This Row],[Valor]]*(1-tItens[[#This Row],[Desconto]])</f>
        <v>18.151437465665641</v>
      </c>
      <c r="N7170" t="str">
        <f>IFERROR(INDEX(tProdutos[Foco],MATCH(tItens[[#This Row],[Produto]],tProdutos[Produto],0)),"Não")</f>
        <v>Não</v>
      </c>
      <c r="O7170" t="str">
        <f>IFERROR(INDEX(tEditais[SRP],MATCH(tItens[[#This Row],[Edital]],tEditais[Edital],0)),"Não")</f>
        <v>Sim</v>
      </c>
      <c r="P7170" s="4">
        <f>IF(COUNTIFS(INDEX(tItens[Edital],1):tItens[[#This Row],[Edital]],tItens[[#This Row],[Edital]],INDEX(tItens[Produto],1):tItens[[#This Row],[Produto]],tItens[[#This Row],[Produto]])=1,1,0)</f>
        <v>1</v>
      </c>
    </row>
    <row r="7171" spans="1:16" x14ac:dyDescent="0.25">
      <c r="A7171" t="s">
        <v>2468</v>
      </c>
      <c r="B7171">
        <v>8</v>
      </c>
      <c r="C7171" t="s">
        <v>3482</v>
      </c>
      <c r="D7171" t="s">
        <v>315</v>
      </c>
      <c r="E7171" s="13">
        <v>1</v>
      </c>
      <c r="F7171" s="12">
        <v>16.47</v>
      </c>
      <c r="G7171" t="str">
        <f>IFERROR(INDEX(tEditais[Órgão],MATCH(tItens[[#This Row],[Edital]],tEditais[Edital],0)),"")</f>
        <v>CIMCERO - CONSORCIO INTERMUNICIPAL DA REGIAO CENTRO LESTE DO ESTADO DE RONDONIA</v>
      </c>
      <c r="H7171" t="str">
        <f>IFERROR(INDEX(tEditais[UF],MATCH(tItens[[#This Row],[Edital]],tEditais[Edital],0)),"")</f>
        <v>RO</v>
      </c>
      <c r="I7171" s="11">
        <f>IFERROR(INDEX(tEditais[Encerramento],MATCH(tItens[[#This Row],[Edital]],tEditais[Edital],0)),"")</f>
        <v>46310.729166666664</v>
      </c>
      <c r="J7171" t="str">
        <f>IFERROR(INDEX(tProdutos[Classe],MATCH(tItens[[#This Row],[Produto]],tProdutos[Produto],0)),"produto não cadastrado")</f>
        <v>FORA</v>
      </c>
      <c r="K7171" s="12">
        <f>tItens[[#This Row],[Qtd]]*tItens[[#This Row],[Vlr unit]]</f>
        <v>16.47</v>
      </c>
      <c r="L7171" s="6">
        <f>IFERROR(IF(INDEX(tProdutos[Desconto homologado],MATCH(tItens[[#This Row],[Produto]],tProdutos[Produto],0))="",DescontoPadrao,INDEX(tProdutos[Desconto homologado],MATCH(tItens[[#This Row],[Produto]],tProdutos[Produto],0))),DescontoPadrao)</f>
        <v>0.38432036097010702</v>
      </c>
      <c r="M7171" s="12">
        <f>tItens[[#This Row],[Valor]]*(1-tItens[[#This Row],[Desconto]])</f>
        <v>10.140243654822337</v>
      </c>
      <c r="N7171" t="str">
        <f>IFERROR(INDEX(tProdutos[Foco],MATCH(tItens[[#This Row],[Produto]],tProdutos[Produto],0)),"Não")</f>
        <v>Não</v>
      </c>
      <c r="O7171" t="str">
        <f>IFERROR(INDEX(tEditais[SRP],MATCH(tItens[[#This Row],[Edital]],tEditais[Edital],0)),"Não")</f>
        <v>Sim</v>
      </c>
      <c r="P7171" s="4">
        <f>IF(COUNTIFS(INDEX(tItens[Edital],1):tItens[[#This Row],[Edital]],tItens[[#This Row],[Edital]],INDEX(tItens[Produto],1):tItens[[#This Row],[Produto]],tItens[[#This Row],[Produto]])=1,1,0)</f>
        <v>0</v>
      </c>
    </row>
    <row r="7172" spans="1:16" x14ac:dyDescent="0.25">
      <c r="A7172" t="s">
        <v>2468</v>
      </c>
      <c r="B7172">
        <v>28</v>
      </c>
      <c r="C7172" t="s">
        <v>9825</v>
      </c>
      <c r="D7172" t="s">
        <v>75</v>
      </c>
      <c r="E7172" s="13">
        <v>1</v>
      </c>
      <c r="F7172" s="12">
        <v>1.49</v>
      </c>
      <c r="G7172" t="str">
        <f>IFERROR(INDEX(tEditais[Órgão],MATCH(tItens[[#This Row],[Edital]],tEditais[Edital],0)),"")</f>
        <v>CIMCERO - CONSORCIO INTERMUNICIPAL DA REGIAO CENTRO LESTE DO ESTADO DE RONDONIA</v>
      </c>
      <c r="H7172" t="str">
        <f>IFERROR(INDEX(tEditais[UF],MATCH(tItens[[#This Row],[Edital]],tEditais[Edital],0)),"")</f>
        <v>RO</v>
      </c>
      <c r="I7172" s="11">
        <f>IFERROR(INDEX(tEditais[Encerramento],MATCH(tItens[[#This Row],[Edital]],tEditais[Edital],0)),"")</f>
        <v>46310.729166666664</v>
      </c>
      <c r="J7172" t="str">
        <f>IFERROR(INDEX(tProdutos[Classe],MATCH(tItens[[#This Row],[Produto]],tProdutos[Produto],0)),"produto não cadastrado")</f>
        <v>NÚCLEO</v>
      </c>
      <c r="K7172" s="12">
        <f>tItens[[#This Row],[Qtd]]*tItens[[#This Row],[Vlr unit]]</f>
        <v>1.49</v>
      </c>
      <c r="L7172" s="6">
        <f>IFERROR(IF(INDEX(tProdutos[Desconto homologado],MATCH(tItens[[#This Row],[Produto]],tProdutos[Produto],0))="",DescontoPadrao,INDEX(tProdutos[Desconto homologado],MATCH(tItens[[#This Row],[Produto]],tProdutos[Produto],0))),DescontoPadrao)</f>
        <v>0.26</v>
      </c>
      <c r="M7172" s="12">
        <f>tItens[[#This Row],[Valor]]*(1-tItens[[#This Row],[Desconto]])</f>
        <v>1.1026</v>
      </c>
      <c r="N7172" t="str">
        <f>IFERROR(INDEX(tProdutos[Foco],MATCH(tItens[[#This Row],[Produto]],tProdutos[Produto],0)),"Não")</f>
        <v>Sim</v>
      </c>
      <c r="O7172" t="str">
        <f>IFERROR(INDEX(tEditais[SRP],MATCH(tItens[[#This Row],[Edital]],tEditais[Edital],0)),"Não")</f>
        <v>Sim</v>
      </c>
      <c r="P7172" s="4">
        <f>IF(COUNTIFS(INDEX(tItens[Edital],1):tItens[[#This Row],[Edital]],tItens[[#This Row],[Edital]],INDEX(tItens[Produto],1):tItens[[#This Row],[Produto]],tItens[[#This Row],[Produto]])=1,1,0)</f>
        <v>1</v>
      </c>
    </row>
    <row r="7173" spans="1:16" x14ac:dyDescent="0.25">
      <c r="A7173" t="s">
        <v>2468</v>
      </c>
      <c r="B7173">
        <v>29</v>
      </c>
      <c r="C7173" t="s">
        <v>9826</v>
      </c>
      <c r="D7173" t="s">
        <v>75</v>
      </c>
      <c r="E7173" s="13">
        <v>1</v>
      </c>
      <c r="F7173" s="12">
        <v>63.11</v>
      </c>
      <c r="G7173" t="str">
        <f>IFERROR(INDEX(tEditais[Órgão],MATCH(tItens[[#This Row],[Edital]],tEditais[Edital],0)),"")</f>
        <v>CIMCERO - CONSORCIO INTERMUNICIPAL DA REGIAO CENTRO LESTE DO ESTADO DE RONDONIA</v>
      </c>
      <c r="H7173" t="str">
        <f>IFERROR(INDEX(tEditais[UF],MATCH(tItens[[#This Row],[Edital]],tEditais[Edital],0)),"")</f>
        <v>RO</v>
      </c>
      <c r="I7173" s="11">
        <f>IFERROR(INDEX(tEditais[Encerramento],MATCH(tItens[[#This Row],[Edital]],tEditais[Edital],0)),"")</f>
        <v>46310.729166666664</v>
      </c>
      <c r="J7173" t="str">
        <f>IFERROR(INDEX(tProdutos[Classe],MATCH(tItens[[#This Row],[Produto]],tProdutos[Produto],0)),"produto não cadastrado")</f>
        <v>NÚCLEO</v>
      </c>
      <c r="K7173" s="12">
        <f>tItens[[#This Row],[Qtd]]*tItens[[#This Row],[Vlr unit]]</f>
        <v>63.11</v>
      </c>
      <c r="L7173" s="6">
        <f>IFERROR(IF(INDEX(tProdutos[Desconto homologado],MATCH(tItens[[#This Row],[Produto]],tProdutos[Produto],0))="",DescontoPadrao,INDEX(tProdutos[Desconto homologado],MATCH(tItens[[#This Row],[Produto]],tProdutos[Produto],0))),DescontoPadrao)</f>
        <v>0.26</v>
      </c>
      <c r="M7173" s="12">
        <f>tItens[[#This Row],[Valor]]*(1-tItens[[#This Row],[Desconto]])</f>
        <v>46.7014</v>
      </c>
      <c r="N7173" t="str">
        <f>IFERROR(INDEX(tProdutos[Foco],MATCH(tItens[[#This Row],[Produto]],tProdutos[Produto],0)),"Não")</f>
        <v>Sim</v>
      </c>
      <c r="O7173" t="str">
        <f>IFERROR(INDEX(tEditais[SRP],MATCH(tItens[[#This Row],[Edital]],tEditais[Edital],0)),"Não")</f>
        <v>Sim</v>
      </c>
      <c r="P7173" s="4">
        <f>IF(COUNTIFS(INDEX(tItens[Edital],1):tItens[[#This Row],[Edital]],tItens[[#This Row],[Edital]],INDEX(tItens[Produto],1):tItens[[#This Row],[Produto]],tItens[[#This Row],[Produto]])=1,1,0)</f>
        <v>0</v>
      </c>
    </row>
    <row r="7174" spans="1:16" x14ac:dyDescent="0.25">
      <c r="A7174" t="s">
        <v>2468</v>
      </c>
      <c r="B7174">
        <v>30</v>
      </c>
      <c r="C7174" t="s">
        <v>9827</v>
      </c>
      <c r="D7174" t="s">
        <v>75</v>
      </c>
      <c r="E7174" s="13">
        <v>1</v>
      </c>
      <c r="F7174" s="12">
        <v>1.39</v>
      </c>
      <c r="G7174" t="str">
        <f>IFERROR(INDEX(tEditais[Órgão],MATCH(tItens[[#This Row],[Edital]],tEditais[Edital],0)),"")</f>
        <v>CIMCERO - CONSORCIO INTERMUNICIPAL DA REGIAO CENTRO LESTE DO ESTADO DE RONDONIA</v>
      </c>
      <c r="H7174" t="str">
        <f>IFERROR(INDEX(tEditais[UF],MATCH(tItens[[#This Row],[Edital]],tEditais[Edital],0)),"")</f>
        <v>RO</v>
      </c>
      <c r="I7174" s="11">
        <f>IFERROR(INDEX(tEditais[Encerramento],MATCH(tItens[[#This Row],[Edital]],tEditais[Edital],0)),"")</f>
        <v>46310.729166666664</v>
      </c>
      <c r="J7174" t="str">
        <f>IFERROR(INDEX(tProdutos[Classe],MATCH(tItens[[#This Row],[Produto]],tProdutos[Produto],0)),"produto não cadastrado")</f>
        <v>NÚCLEO</v>
      </c>
      <c r="K7174" s="12">
        <f>tItens[[#This Row],[Qtd]]*tItens[[#This Row],[Vlr unit]]</f>
        <v>1.39</v>
      </c>
      <c r="L7174" s="6">
        <f>IFERROR(IF(INDEX(tProdutos[Desconto homologado],MATCH(tItens[[#This Row],[Produto]],tProdutos[Produto],0))="",DescontoPadrao,INDEX(tProdutos[Desconto homologado],MATCH(tItens[[#This Row],[Produto]],tProdutos[Produto],0))),DescontoPadrao)</f>
        <v>0.26</v>
      </c>
      <c r="M7174" s="12">
        <f>tItens[[#This Row],[Valor]]*(1-tItens[[#This Row],[Desconto]])</f>
        <v>1.0286</v>
      </c>
      <c r="N7174" t="str">
        <f>IFERROR(INDEX(tProdutos[Foco],MATCH(tItens[[#This Row],[Produto]],tProdutos[Produto],0)),"Não")</f>
        <v>Sim</v>
      </c>
      <c r="O7174" t="str">
        <f>IFERROR(INDEX(tEditais[SRP],MATCH(tItens[[#This Row],[Edital]],tEditais[Edital],0)),"Não")</f>
        <v>Sim</v>
      </c>
      <c r="P7174" s="4">
        <f>IF(COUNTIFS(INDEX(tItens[Edital],1):tItens[[#This Row],[Edital]],tItens[[#This Row],[Edital]],INDEX(tItens[Produto],1):tItens[[#This Row],[Produto]],tItens[[#This Row],[Produto]])=1,1,0)</f>
        <v>0</v>
      </c>
    </row>
    <row r="7175" spans="1:16" x14ac:dyDescent="0.25">
      <c r="A7175" t="s">
        <v>2468</v>
      </c>
      <c r="B7175">
        <v>31</v>
      </c>
      <c r="C7175" t="s">
        <v>9828</v>
      </c>
      <c r="D7175" t="s">
        <v>411</v>
      </c>
      <c r="E7175" s="13">
        <v>1</v>
      </c>
      <c r="F7175" s="12">
        <v>523.94000000000005</v>
      </c>
      <c r="G7175" t="str">
        <f>IFERROR(INDEX(tEditais[Órgão],MATCH(tItens[[#This Row],[Edital]],tEditais[Edital],0)),"")</f>
        <v>CIMCERO - CONSORCIO INTERMUNICIPAL DA REGIAO CENTRO LESTE DO ESTADO DE RONDONIA</v>
      </c>
      <c r="H7175" t="str">
        <f>IFERROR(INDEX(tEditais[UF],MATCH(tItens[[#This Row],[Edital]],tEditais[Edital],0)),"")</f>
        <v>RO</v>
      </c>
      <c r="I7175" s="11">
        <f>IFERROR(INDEX(tEditais[Encerramento],MATCH(tItens[[#This Row],[Edital]],tEditais[Edital],0)),"")</f>
        <v>46310.729166666664</v>
      </c>
      <c r="J7175" t="str">
        <f>IFERROR(INDEX(tProdutos[Classe],MATCH(tItens[[#This Row],[Produto]],tProdutos[Produto],0)),"produto não cadastrado")</f>
        <v>FORA</v>
      </c>
      <c r="K7175" s="12">
        <f>tItens[[#This Row],[Qtd]]*tItens[[#This Row],[Vlr unit]]</f>
        <v>523.94000000000005</v>
      </c>
      <c r="L7175" s="6">
        <f>IFERROR(IF(INDEX(tProdutos[Desconto homologado],MATCH(tItens[[#This Row],[Produto]],tProdutos[Produto],0))="",DescontoPadrao,INDEX(tProdutos[Desconto homologado],MATCH(tItens[[#This Row],[Produto]],tProdutos[Produto],0))),DescontoPadrao)</f>
        <v>0.50029835957199398</v>
      </c>
      <c r="M7175" s="12">
        <f>tItens[[#This Row],[Valor]]*(1-tItens[[#This Row],[Desconto]])</f>
        <v>261.8136774858495</v>
      </c>
      <c r="N7175" t="str">
        <f>IFERROR(INDEX(tProdutos[Foco],MATCH(tItens[[#This Row],[Produto]],tProdutos[Produto],0)),"Não")</f>
        <v>Não</v>
      </c>
      <c r="O7175" t="str">
        <f>IFERROR(INDEX(tEditais[SRP],MATCH(tItens[[#This Row],[Edital]],tEditais[Edital],0)),"Não")</f>
        <v>Sim</v>
      </c>
      <c r="P7175" s="4">
        <f>IF(COUNTIFS(INDEX(tItens[Edital],1):tItens[[#This Row],[Edital]],tItens[[#This Row],[Edital]],INDEX(tItens[Produto],1):tItens[[#This Row],[Produto]],tItens[[#This Row],[Produto]])=1,1,0)</f>
        <v>1</v>
      </c>
    </row>
    <row r="7176" spans="1:16" x14ac:dyDescent="0.25">
      <c r="A7176" t="s">
        <v>2468</v>
      </c>
      <c r="B7176">
        <v>32</v>
      </c>
      <c r="C7176" t="s">
        <v>9829</v>
      </c>
      <c r="D7176" t="s">
        <v>411</v>
      </c>
      <c r="E7176" s="13">
        <v>1</v>
      </c>
      <c r="F7176" s="12">
        <v>213.58</v>
      </c>
      <c r="G7176" t="str">
        <f>IFERROR(INDEX(tEditais[Órgão],MATCH(tItens[[#This Row],[Edital]],tEditais[Edital],0)),"")</f>
        <v>CIMCERO - CONSORCIO INTERMUNICIPAL DA REGIAO CENTRO LESTE DO ESTADO DE RONDONIA</v>
      </c>
      <c r="H7176" t="str">
        <f>IFERROR(INDEX(tEditais[UF],MATCH(tItens[[#This Row],[Edital]],tEditais[Edital],0)),"")</f>
        <v>RO</v>
      </c>
      <c r="I7176" s="11">
        <f>IFERROR(INDEX(tEditais[Encerramento],MATCH(tItens[[#This Row],[Edital]],tEditais[Edital],0)),"")</f>
        <v>46310.729166666664</v>
      </c>
      <c r="J7176" t="str">
        <f>IFERROR(INDEX(tProdutos[Classe],MATCH(tItens[[#This Row],[Produto]],tProdutos[Produto],0)),"produto não cadastrado")</f>
        <v>FORA</v>
      </c>
      <c r="K7176" s="12">
        <f>tItens[[#This Row],[Qtd]]*tItens[[#This Row],[Vlr unit]]</f>
        <v>213.58</v>
      </c>
      <c r="L7176" s="6">
        <f>IFERROR(IF(INDEX(tProdutos[Desconto homologado],MATCH(tItens[[#This Row],[Produto]],tProdutos[Produto],0))="",DescontoPadrao,INDEX(tProdutos[Desconto homologado],MATCH(tItens[[#This Row],[Produto]],tProdutos[Produto],0))),DescontoPadrao)</f>
        <v>0.50029835957199398</v>
      </c>
      <c r="M7176" s="12">
        <f>tItens[[#This Row],[Valor]]*(1-tItens[[#This Row],[Desconto]])</f>
        <v>106.72627636261353</v>
      </c>
      <c r="N7176" t="str">
        <f>IFERROR(INDEX(tProdutos[Foco],MATCH(tItens[[#This Row],[Produto]],tProdutos[Produto],0)),"Não")</f>
        <v>Não</v>
      </c>
      <c r="O7176" t="str">
        <f>IFERROR(INDEX(tEditais[SRP],MATCH(tItens[[#This Row],[Edital]],tEditais[Edital],0)),"Não")</f>
        <v>Sim</v>
      </c>
      <c r="P7176" s="4">
        <f>IF(COUNTIFS(INDEX(tItens[Edital],1):tItens[[#This Row],[Edital]],tItens[[#This Row],[Edital]],INDEX(tItens[Produto],1):tItens[[#This Row],[Produto]],tItens[[#This Row],[Produto]])=1,1,0)</f>
        <v>0</v>
      </c>
    </row>
    <row r="7177" spans="1:16" x14ac:dyDescent="0.25">
      <c r="A7177" t="s">
        <v>2468</v>
      </c>
      <c r="B7177">
        <v>33</v>
      </c>
      <c r="C7177" t="s">
        <v>9830</v>
      </c>
      <c r="D7177" t="s">
        <v>277</v>
      </c>
      <c r="E7177" s="13">
        <v>1</v>
      </c>
      <c r="F7177" s="12">
        <v>0.63</v>
      </c>
      <c r="G7177" t="str">
        <f>IFERROR(INDEX(tEditais[Órgão],MATCH(tItens[[#This Row],[Edital]],tEditais[Edital],0)),"")</f>
        <v>CIMCERO - CONSORCIO INTERMUNICIPAL DA REGIAO CENTRO LESTE DO ESTADO DE RONDONIA</v>
      </c>
      <c r="H7177" t="str">
        <f>IFERROR(INDEX(tEditais[UF],MATCH(tItens[[#This Row],[Edital]],tEditais[Edital],0)),"")</f>
        <v>RO</v>
      </c>
      <c r="I7177" s="11">
        <f>IFERROR(INDEX(tEditais[Encerramento],MATCH(tItens[[#This Row],[Edital]],tEditais[Edital],0)),"")</f>
        <v>46310.729166666664</v>
      </c>
      <c r="J7177" t="str">
        <f>IFERROR(INDEX(tProdutos[Classe],MATCH(tItens[[#This Row],[Produto]],tProdutos[Produto],0)),"produto não cadastrado")</f>
        <v>DISPUTADO</v>
      </c>
      <c r="K7177" s="12">
        <f>tItens[[#This Row],[Qtd]]*tItens[[#This Row],[Vlr unit]]</f>
        <v>0.63</v>
      </c>
      <c r="L7177" s="6">
        <f>IFERROR(IF(INDEX(tProdutos[Desconto homologado],MATCH(tItens[[#This Row],[Produto]],tProdutos[Produto],0))="",DescontoPadrao,INDEX(tProdutos[Desconto homologado],MATCH(tItens[[#This Row],[Produto]],tProdutos[Produto],0))),DescontoPadrao)</f>
        <v>0.50460666194188497</v>
      </c>
      <c r="M7177" s="12">
        <f>tItens[[#This Row],[Valor]]*(1-tItens[[#This Row],[Desconto]])</f>
        <v>0.31209780297661249</v>
      </c>
      <c r="N7177" t="str">
        <f>IFERROR(INDEX(tProdutos[Foco],MATCH(tItens[[#This Row],[Produto]],tProdutos[Produto],0)),"Não")</f>
        <v>Não</v>
      </c>
      <c r="O7177" t="str">
        <f>IFERROR(INDEX(tEditais[SRP],MATCH(tItens[[#This Row],[Edital]],tEditais[Edital],0)),"Não")</f>
        <v>Sim</v>
      </c>
      <c r="P7177" s="4">
        <f>IF(COUNTIFS(INDEX(tItens[Edital],1):tItens[[#This Row],[Edital]],tItens[[#This Row],[Edital]],INDEX(tItens[Produto],1):tItens[[#This Row],[Produto]],tItens[[#This Row],[Produto]])=1,1,0)</f>
        <v>1</v>
      </c>
    </row>
    <row r="7178" spans="1:16" x14ac:dyDescent="0.25">
      <c r="A7178" t="s">
        <v>2468</v>
      </c>
      <c r="B7178">
        <v>36</v>
      </c>
      <c r="C7178" t="s">
        <v>9831</v>
      </c>
      <c r="D7178" t="s">
        <v>267</v>
      </c>
      <c r="E7178" s="13">
        <v>1</v>
      </c>
      <c r="F7178" s="12">
        <v>7.77</v>
      </c>
      <c r="G7178" t="str">
        <f>IFERROR(INDEX(tEditais[Órgão],MATCH(tItens[[#This Row],[Edital]],tEditais[Edital],0)),"")</f>
        <v>CIMCERO - CONSORCIO INTERMUNICIPAL DA REGIAO CENTRO LESTE DO ESTADO DE RONDONIA</v>
      </c>
      <c r="H7178" t="str">
        <f>IFERROR(INDEX(tEditais[UF],MATCH(tItens[[#This Row],[Edital]],tEditais[Edital],0)),"")</f>
        <v>RO</v>
      </c>
      <c r="I7178" s="11">
        <f>IFERROR(INDEX(tEditais[Encerramento],MATCH(tItens[[#This Row],[Edital]],tEditais[Edital],0)),"")</f>
        <v>46310.729166666664</v>
      </c>
      <c r="J7178" t="str">
        <f>IFERROR(INDEX(tProdutos[Classe],MATCH(tItens[[#This Row],[Produto]],tProdutos[Produto],0)),"produto não cadastrado")</f>
        <v>FORA</v>
      </c>
      <c r="K7178" s="12">
        <f>tItens[[#This Row],[Qtd]]*tItens[[#This Row],[Vlr unit]]</f>
        <v>7.77</v>
      </c>
      <c r="L7178" s="6">
        <f>IFERROR(IF(INDEX(tProdutos[Desconto homologado],MATCH(tItens[[#This Row],[Produto]],tProdutos[Produto],0))="",DescontoPadrao,INDEX(tProdutos[Desconto homologado],MATCH(tItens[[#This Row],[Produto]],tProdutos[Produto],0))),DescontoPadrao)</f>
        <v>0.19963672657401599</v>
      </c>
      <c r="M7178" s="12">
        <f>tItens[[#This Row],[Valor]]*(1-tItens[[#This Row],[Desconto]])</f>
        <v>6.2188226345198956</v>
      </c>
      <c r="N7178" t="str">
        <f>IFERROR(INDEX(tProdutos[Foco],MATCH(tItens[[#This Row],[Produto]],tProdutos[Produto],0)),"Não")</f>
        <v>Não</v>
      </c>
      <c r="O7178" t="str">
        <f>IFERROR(INDEX(tEditais[SRP],MATCH(tItens[[#This Row],[Edital]],tEditais[Edital],0)),"Não")</f>
        <v>Sim</v>
      </c>
      <c r="P7178" s="4">
        <f>IF(COUNTIFS(INDEX(tItens[Edital],1):tItens[[#This Row],[Edital]],tItens[[#This Row],[Edital]],INDEX(tItens[Produto],1):tItens[[#This Row],[Produto]],tItens[[#This Row],[Produto]])=1,1,0)</f>
        <v>1</v>
      </c>
    </row>
    <row r="7179" spans="1:16" x14ac:dyDescent="0.25">
      <c r="A7179" t="s">
        <v>2468</v>
      </c>
      <c r="B7179">
        <v>37</v>
      </c>
      <c r="C7179" t="s">
        <v>9832</v>
      </c>
      <c r="D7179" t="s">
        <v>267</v>
      </c>
      <c r="E7179" s="13">
        <v>1</v>
      </c>
      <c r="F7179" s="12">
        <v>17.95</v>
      </c>
      <c r="G7179" t="str">
        <f>IFERROR(INDEX(tEditais[Órgão],MATCH(tItens[[#This Row],[Edital]],tEditais[Edital],0)),"")</f>
        <v>CIMCERO - CONSORCIO INTERMUNICIPAL DA REGIAO CENTRO LESTE DO ESTADO DE RONDONIA</v>
      </c>
      <c r="H7179" t="str">
        <f>IFERROR(INDEX(tEditais[UF],MATCH(tItens[[#This Row],[Edital]],tEditais[Edital],0)),"")</f>
        <v>RO</v>
      </c>
      <c r="I7179" s="11">
        <f>IFERROR(INDEX(tEditais[Encerramento],MATCH(tItens[[#This Row],[Edital]],tEditais[Edital],0)),"")</f>
        <v>46310.729166666664</v>
      </c>
      <c r="J7179" t="str">
        <f>IFERROR(INDEX(tProdutos[Classe],MATCH(tItens[[#This Row],[Produto]],tProdutos[Produto],0)),"produto não cadastrado")</f>
        <v>FORA</v>
      </c>
      <c r="K7179" s="12">
        <f>tItens[[#This Row],[Qtd]]*tItens[[#This Row],[Vlr unit]]</f>
        <v>17.95</v>
      </c>
      <c r="L7179" s="6">
        <f>IFERROR(IF(INDEX(tProdutos[Desconto homologado],MATCH(tItens[[#This Row],[Produto]],tProdutos[Produto],0))="",DescontoPadrao,INDEX(tProdutos[Desconto homologado],MATCH(tItens[[#This Row],[Produto]],tProdutos[Produto],0))),DescontoPadrao)</f>
        <v>0.19963672657401599</v>
      </c>
      <c r="M7179" s="12">
        <f>tItens[[#This Row],[Valor]]*(1-tItens[[#This Row],[Desconto]])</f>
        <v>14.366520757996412</v>
      </c>
      <c r="N7179" t="str">
        <f>IFERROR(INDEX(tProdutos[Foco],MATCH(tItens[[#This Row],[Produto]],tProdutos[Produto],0)),"Não")</f>
        <v>Não</v>
      </c>
      <c r="O7179" t="str">
        <f>IFERROR(INDEX(tEditais[SRP],MATCH(tItens[[#This Row],[Edital]],tEditais[Edital],0)),"Não")</f>
        <v>Sim</v>
      </c>
      <c r="P7179" s="4">
        <f>IF(COUNTIFS(INDEX(tItens[Edital],1):tItens[[#This Row],[Edital]],tItens[[#This Row],[Edital]],INDEX(tItens[Produto],1):tItens[[#This Row],[Produto]],tItens[[#This Row],[Produto]])=1,1,0)</f>
        <v>0</v>
      </c>
    </row>
    <row r="7180" spans="1:16" x14ac:dyDescent="0.25">
      <c r="A7180" t="s">
        <v>2468</v>
      </c>
      <c r="B7180">
        <v>44</v>
      </c>
      <c r="C7180" t="s">
        <v>9833</v>
      </c>
      <c r="D7180" t="s">
        <v>275</v>
      </c>
      <c r="E7180" s="13">
        <v>1</v>
      </c>
      <c r="F7180" s="12">
        <v>0.74</v>
      </c>
      <c r="G7180" t="str">
        <f>IFERROR(INDEX(tEditais[Órgão],MATCH(tItens[[#This Row],[Edital]],tEditais[Edital],0)),"")</f>
        <v>CIMCERO - CONSORCIO INTERMUNICIPAL DA REGIAO CENTRO LESTE DO ESTADO DE RONDONIA</v>
      </c>
      <c r="H7180" t="str">
        <f>IFERROR(INDEX(tEditais[UF],MATCH(tItens[[#This Row],[Edital]],tEditais[Edital],0)),"")</f>
        <v>RO</v>
      </c>
      <c r="I7180" s="11">
        <f>IFERROR(INDEX(tEditais[Encerramento],MATCH(tItens[[#This Row],[Edital]],tEditais[Edital],0)),"")</f>
        <v>46310.729166666664</v>
      </c>
      <c r="J7180" t="str">
        <f>IFERROR(INDEX(tProdutos[Classe],MATCH(tItens[[#This Row],[Produto]],tProdutos[Produto],0)),"produto não cadastrado")</f>
        <v>FORA</v>
      </c>
      <c r="K7180" s="12">
        <f>tItens[[#This Row],[Qtd]]*tItens[[#This Row],[Vlr unit]]</f>
        <v>0.74</v>
      </c>
      <c r="L7180" s="6">
        <f>IFERROR(IF(INDEX(tProdutos[Desconto homologado],MATCH(tItens[[#This Row],[Produto]],tProdutos[Produto],0))="",DescontoPadrao,INDEX(tProdutos[Desconto homologado],MATCH(tItens[[#This Row],[Produto]],tProdutos[Produto],0))),DescontoPadrao)</f>
        <v>0.405797101449275</v>
      </c>
      <c r="M7180" s="12">
        <f>tItens[[#This Row],[Valor]]*(1-tItens[[#This Row],[Desconto]])</f>
        <v>0.43971014492753652</v>
      </c>
      <c r="N7180" t="str">
        <f>IFERROR(INDEX(tProdutos[Foco],MATCH(tItens[[#This Row],[Produto]],tProdutos[Produto],0)),"Não")</f>
        <v>Não</v>
      </c>
      <c r="O7180" t="str">
        <f>IFERROR(INDEX(tEditais[SRP],MATCH(tItens[[#This Row],[Edital]],tEditais[Edital],0)),"Não")</f>
        <v>Sim</v>
      </c>
      <c r="P7180" s="4">
        <f>IF(COUNTIFS(INDEX(tItens[Edital],1):tItens[[#This Row],[Edital]],tItens[[#This Row],[Edital]],INDEX(tItens[Produto],1):tItens[[#This Row],[Produto]],tItens[[#This Row],[Produto]])=1,1,0)</f>
        <v>1</v>
      </c>
    </row>
    <row r="7181" spans="1:16" x14ac:dyDescent="0.25">
      <c r="A7181" t="s">
        <v>2468</v>
      </c>
      <c r="B7181">
        <v>46</v>
      </c>
      <c r="C7181" t="s">
        <v>9834</v>
      </c>
      <c r="D7181" t="s">
        <v>315</v>
      </c>
      <c r="E7181" s="13">
        <v>1</v>
      </c>
      <c r="F7181" s="12">
        <v>2.82</v>
      </c>
      <c r="G7181" t="str">
        <f>IFERROR(INDEX(tEditais[Órgão],MATCH(tItens[[#This Row],[Edital]],tEditais[Edital],0)),"")</f>
        <v>CIMCERO - CONSORCIO INTERMUNICIPAL DA REGIAO CENTRO LESTE DO ESTADO DE RONDONIA</v>
      </c>
      <c r="H7181" t="str">
        <f>IFERROR(INDEX(tEditais[UF],MATCH(tItens[[#This Row],[Edital]],tEditais[Edital],0)),"")</f>
        <v>RO</v>
      </c>
      <c r="I7181" s="11">
        <f>IFERROR(INDEX(tEditais[Encerramento],MATCH(tItens[[#This Row],[Edital]],tEditais[Edital],0)),"")</f>
        <v>46310.729166666664</v>
      </c>
      <c r="J7181" t="str">
        <f>IFERROR(INDEX(tProdutos[Classe],MATCH(tItens[[#This Row],[Produto]],tProdutos[Produto],0)),"produto não cadastrado")</f>
        <v>FORA</v>
      </c>
      <c r="K7181" s="12">
        <f>tItens[[#This Row],[Qtd]]*tItens[[#This Row],[Vlr unit]]</f>
        <v>2.82</v>
      </c>
      <c r="L7181" s="6">
        <f>IFERROR(IF(INDEX(tProdutos[Desconto homologado],MATCH(tItens[[#This Row],[Produto]],tProdutos[Produto],0))="",DescontoPadrao,INDEX(tProdutos[Desconto homologado],MATCH(tItens[[#This Row],[Produto]],tProdutos[Produto],0))),DescontoPadrao)</f>
        <v>0.38432036097010702</v>
      </c>
      <c r="M7181" s="12">
        <f>tItens[[#This Row],[Valor]]*(1-tItens[[#This Row],[Desconto]])</f>
        <v>1.7362165820642981</v>
      </c>
      <c r="N7181" t="str">
        <f>IFERROR(INDEX(tProdutos[Foco],MATCH(tItens[[#This Row],[Produto]],tProdutos[Produto],0)),"Não")</f>
        <v>Não</v>
      </c>
      <c r="O7181" t="str">
        <f>IFERROR(INDEX(tEditais[SRP],MATCH(tItens[[#This Row],[Edital]],tEditais[Edital],0)),"Não")</f>
        <v>Sim</v>
      </c>
      <c r="P7181" s="4">
        <f>IF(COUNTIFS(INDEX(tItens[Edital],1):tItens[[#This Row],[Edital]],tItens[[#This Row],[Edital]],INDEX(tItens[Produto],1):tItens[[#This Row],[Produto]],tItens[[#This Row],[Produto]])=1,1,0)</f>
        <v>0</v>
      </c>
    </row>
    <row r="7182" spans="1:16" x14ac:dyDescent="0.25">
      <c r="A7182" t="s">
        <v>2468</v>
      </c>
      <c r="B7182">
        <v>47</v>
      </c>
      <c r="C7182" t="s">
        <v>9835</v>
      </c>
      <c r="D7182" t="s">
        <v>315</v>
      </c>
      <c r="E7182" s="13">
        <v>1</v>
      </c>
      <c r="F7182" s="12">
        <v>0.08</v>
      </c>
      <c r="G7182" t="str">
        <f>IFERROR(INDEX(tEditais[Órgão],MATCH(tItens[[#This Row],[Edital]],tEditais[Edital],0)),"")</f>
        <v>CIMCERO - CONSORCIO INTERMUNICIPAL DA REGIAO CENTRO LESTE DO ESTADO DE RONDONIA</v>
      </c>
      <c r="H7182" t="str">
        <f>IFERROR(INDEX(tEditais[UF],MATCH(tItens[[#This Row],[Edital]],tEditais[Edital],0)),"")</f>
        <v>RO</v>
      </c>
      <c r="I7182" s="11">
        <f>IFERROR(INDEX(tEditais[Encerramento],MATCH(tItens[[#This Row],[Edital]],tEditais[Edital],0)),"")</f>
        <v>46310.729166666664</v>
      </c>
      <c r="J7182" t="str">
        <f>IFERROR(INDEX(tProdutos[Classe],MATCH(tItens[[#This Row],[Produto]],tProdutos[Produto],0)),"produto não cadastrado")</f>
        <v>FORA</v>
      </c>
      <c r="K7182" s="12">
        <f>tItens[[#This Row],[Qtd]]*tItens[[#This Row],[Vlr unit]]</f>
        <v>0.08</v>
      </c>
      <c r="L7182" s="6">
        <f>IFERROR(IF(INDEX(tProdutos[Desconto homologado],MATCH(tItens[[#This Row],[Produto]],tProdutos[Produto],0))="",DescontoPadrao,INDEX(tProdutos[Desconto homologado],MATCH(tItens[[#This Row],[Produto]],tProdutos[Produto],0))),DescontoPadrao)</f>
        <v>0.38432036097010702</v>
      </c>
      <c r="M7182" s="12">
        <f>tItens[[#This Row],[Valor]]*(1-tItens[[#This Row],[Desconto]])</f>
        <v>4.9254371122391442E-2</v>
      </c>
      <c r="N7182" t="str">
        <f>IFERROR(INDEX(tProdutos[Foco],MATCH(tItens[[#This Row],[Produto]],tProdutos[Produto],0)),"Não")</f>
        <v>Não</v>
      </c>
      <c r="O7182" t="str">
        <f>IFERROR(INDEX(tEditais[SRP],MATCH(tItens[[#This Row],[Edital]],tEditais[Edital],0)),"Não")</f>
        <v>Sim</v>
      </c>
      <c r="P7182" s="4">
        <f>IF(COUNTIFS(INDEX(tItens[Edital],1):tItens[[#This Row],[Edital]],tItens[[#This Row],[Edital]],INDEX(tItens[Produto],1):tItens[[#This Row],[Produto]],tItens[[#This Row],[Produto]])=1,1,0)</f>
        <v>0</v>
      </c>
    </row>
    <row r="7183" spans="1:16" x14ac:dyDescent="0.25">
      <c r="A7183" t="s">
        <v>2468</v>
      </c>
      <c r="B7183">
        <v>48</v>
      </c>
      <c r="C7183" t="s">
        <v>9836</v>
      </c>
      <c r="D7183" t="s">
        <v>289</v>
      </c>
      <c r="E7183" s="13">
        <v>1</v>
      </c>
      <c r="F7183" s="12">
        <v>0.92</v>
      </c>
      <c r="G7183" t="str">
        <f>IFERROR(INDEX(tEditais[Órgão],MATCH(tItens[[#This Row],[Edital]],tEditais[Edital],0)),"")</f>
        <v>CIMCERO - CONSORCIO INTERMUNICIPAL DA REGIAO CENTRO LESTE DO ESTADO DE RONDONIA</v>
      </c>
      <c r="H7183" t="str">
        <f>IFERROR(INDEX(tEditais[UF],MATCH(tItens[[#This Row],[Edital]],tEditais[Edital],0)),"")</f>
        <v>RO</v>
      </c>
      <c r="I7183" s="11">
        <f>IFERROR(INDEX(tEditais[Encerramento],MATCH(tItens[[#This Row],[Edital]],tEditais[Edital],0)),"")</f>
        <v>46310.729166666664</v>
      </c>
      <c r="J7183" t="str">
        <f>IFERROR(INDEX(tProdutos[Classe],MATCH(tItens[[#This Row],[Produto]],tProdutos[Produto],0)),"produto não cadastrado")</f>
        <v>DISPUTADO</v>
      </c>
      <c r="K7183" s="12">
        <f>tItens[[#This Row],[Qtd]]*tItens[[#This Row],[Vlr unit]]</f>
        <v>0.92</v>
      </c>
      <c r="L7183" s="6">
        <f>IFERROR(IF(INDEX(tProdutos[Desconto homologado],MATCH(tItens[[#This Row],[Produto]],tProdutos[Produto],0))="",DescontoPadrao,INDEX(tProdutos[Desconto homologado],MATCH(tItens[[#This Row],[Produto]],tProdutos[Produto],0))),DescontoPadrao)</f>
        <v>0.35849056603773599</v>
      </c>
      <c r="M7183" s="12">
        <f>tItens[[#This Row],[Valor]]*(1-tItens[[#This Row],[Desconto]])</f>
        <v>0.59018867924528295</v>
      </c>
      <c r="N7183" t="str">
        <f>IFERROR(INDEX(tProdutos[Foco],MATCH(tItens[[#This Row],[Produto]],tProdutos[Produto],0)),"Não")</f>
        <v>Não</v>
      </c>
      <c r="O7183" t="str">
        <f>IFERROR(INDEX(tEditais[SRP],MATCH(tItens[[#This Row],[Edital]],tEditais[Edital],0)),"Não")</f>
        <v>Sim</v>
      </c>
      <c r="P7183" s="4">
        <f>IF(COUNTIFS(INDEX(tItens[Edital],1):tItens[[#This Row],[Edital]],tItens[[#This Row],[Edital]],INDEX(tItens[Produto],1):tItens[[#This Row],[Produto]],tItens[[#This Row],[Produto]])=1,1,0)</f>
        <v>1</v>
      </c>
    </row>
    <row r="7184" spans="1:16" x14ac:dyDescent="0.25">
      <c r="A7184" t="s">
        <v>2468</v>
      </c>
      <c r="B7184">
        <v>50</v>
      </c>
      <c r="C7184" t="s">
        <v>9837</v>
      </c>
      <c r="D7184" t="s">
        <v>120</v>
      </c>
      <c r="E7184" s="13">
        <v>1</v>
      </c>
      <c r="F7184" s="12">
        <v>1.2</v>
      </c>
      <c r="G7184" t="str">
        <f>IFERROR(INDEX(tEditais[Órgão],MATCH(tItens[[#This Row],[Edital]],tEditais[Edital],0)),"")</f>
        <v>CIMCERO - CONSORCIO INTERMUNICIPAL DA REGIAO CENTRO LESTE DO ESTADO DE RONDONIA</v>
      </c>
      <c r="H7184" t="str">
        <f>IFERROR(INDEX(tEditais[UF],MATCH(tItens[[#This Row],[Edital]],tEditais[Edital],0)),"")</f>
        <v>RO</v>
      </c>
      <c r="I7184" s="11">
        <f>IFERROR(INDEX(tEditais[Encerramento],MATCH(tItens[[#This Row],[Edital]],tEditais[Edital],0)),"")</f>
        <v>46310.729166666664</v>
      </c>
      <c r="J7184" t="str">
        <f>IFERROR(INDEX(tProdutos[Classe],MATCH(tItens[[#This Row],[Produto]],tProdutos[Produto],0)),"produto não cadastrado")</f>
        <v>DISPUTADO</v>
      </c>
      <c r="K7184" s="12">
        <f>tItens[[#This Row],[Qtd]]*tItens[[#This Row],[Vlr unit]]</f>
        <v>1.2</v>
      </c>
      <c r="L7184" s="6">
        <f>IFERROR(IF(INDEX(tProdutos[Desconto homologado],MATCH(tItens[[#This Row],[Produto]],tProdutos[Produto],0))="",DescontoPadrao,INDEX(tProdutos[Desconto homologado],MATCH(tItens[[#This Row],[Produto]],tProdutos[Produto],0))),DescontoPadrao)</f>
        <v>0.40909090909090901</v>
      </c>
      <c r="M7184" s="12">
        <f>tItens[[#This Row],[Valor]]*(1-tItens[[#This Row],[Desconto]])</f>
        <v>0.70909090909090922</v>
      </c>
      <c r="N7184" t="str">
        <f>IFERROR(INDEX(tProdutos[Foco],MATCH(tItens[[#This Row],[Produto]],tProdutos[Produto],0)),"Não")</f>
        <v>Não</v>
      </c>
      <c r="O7184" t="str">
        <f>IFERROR(INDEX(tEditais[SRP],MATCH(tItens[[#This Row],[Edital]],tEditais[Edital],0)),"Não")</f>
        <v>Sim</v>
      </c>
      <c r="P7184" s="4">
        <f>IF(COUNTIFS(INDEX(tItens[Edital],1):tItens[[#This Row],[Edital]],tItens[[#This Row],[Edital]],INDEX(tItens[Produto],1):tItens[[#This Row],[Produto]],tItens[[#This Row],[Produto]])=1,1,0)</f>
        <v>1</v>
      </c>
    </row>
    <row r="7185" spans="1:16" x14ac:dyDescent="0.25">
      <c r="A7185" t="s">
        <v>2468</v>
      </c>
      <c r="B7185">
        <v>51</v>
      </c>
      <c r="C7185" t="s">
        <v>9838</v>
      </c>
      <c r="D7185" t="s">
        <v>120</v>
      </c>
      <c r="E7185" s="13">
        <v>1</v>
      </c>
      <c r="F7185" s="12">
        <v>0.78</v>
      </c>
      <c r="G7185" t="str">
        <f>IFERROR(INDEX(tEditais[Órgão],MATCH(tItens[[#This Row],[Edital]],tEditais[Edital],0)),"")</f>
        <v>CIMCERO - CONSORCIO INTERMUNICIPAL DA REGIAO CENTRO LESTE DO ESTADO DE RONDONIA</v>
      </c>
      <c r="H7185" t="str">
        <f>IFERROR(INDEX(tEditais[UF],MATCH(tItens[[#This Row],[Edital]],tEditais[Edital],0)),"")</f>
        <v>RO</v>
      </c>
      <c r="I7185" s="11">
        <f>IFERROR(INDEX(tEditais[Encerramento],MATCH(tItens[[#This Row],[Edital]],tEditais[Edital],0)),"")</f>
        <v>46310.729166666664</v>
      </c>
      <c r="J7185" t="str">
        <f>IFERROR(INDEX(tProdutos[Classe],MATCH(tItens[[#This Row],[Produto]],tProdutos[Produto],0)),"produto não cadastrado")</f>
        <v>DISPUTADO</v>
      </c>
      <c r="K7185" s="12">
        <f>tItens[[#This Row],[Qtd]]*tItens[[#This Row],[Vlr unit]]</f>
        <v>0.78</v>
      </c>
      <c r="L7185" s="6">
        <f>IFERROR(IF(INDEX(tProdutos[Desconto homologado],MATCH(tItens[[#This Row],[Produto]],tProdutos[Produto],0))="",DescontoPadrao,INDEX(tProdutos[Desconto homologado],MATCH(tItens[[#This Row],[Produto]],tProdutos[Produto],0))),DescontoPadrao)</f>
        <v>0.40909090909090901</v>
      </c>
      <c r="M7185" s="12">
        <f>tItens[[#This Row],[Valor]]*(1-tItens[[#This Row],[Desconto]])</f>
        <v>0.46090909090909105</v>
      </c>
      <c r="N7185" t="str">
        <f>IFERROR(INDEX(tProdutos[Foco],MATCH(tItens[[#This Row],[Produto]],tProdutos[Produto],0)),"Não")</f>
        <v>Não</v>
      </c>
      <c r="O7185" t="str">
        <f>IFERROR(INDEX(tEditais[SRP],MATCH(tItens[[#This Row],[Edital]],tEditais[Edital],0)),"Não")</f>
        <v>Sim</v>
      </c>
      <c r="P7185" s="4">
        <f>IF(COUNTIFS(INDEX(tItens[Edital],1):tItens[[#This Row],[Edital]],tItens[[#This Row],[Edital]],INDEX(tItens[Produto],1):tItens[[#This Row],[Produto]],tItens[[#This Row],[Produto]])=1,1,0)</f>
        <v>0</v>
      </c>
    </row>
    <row r="7186" spans="1:16" x14ac:dyDescent="0.25">
      <c r="A7186" t="s">
        <v>2468</v>
      </c>
      <c r="B7186">
        <v>52</v>
      </c>
      <c r="C7186" t="s">
        <v>9839</v>
      </c>
      <c r="D7186" t="s">
        <v>120</v>
      </c>
      <c r="E7186" s="13">
        <v>1</v>
      </c>
      <c r="F7186" s="12">
        <v>10.94</v>
      </c>
      <c r="G7186" t="str">
        <f>IFERROR(INDEX(tEditais[Órgão],MATCH(tItens[[#This Row],[Edital]],tEditais[Edital],0)),"")</f>
        <v>CIMCERO - CONSORCIO INTERMUNICIPAL DA REGIAO CENTRO LESTE DO ESTADO DE RONDONIA</v>
      </c>
      <c r="H7186" t="str">
        <f>IFERROR(INDEX(tEditais[UF],MATCH(tItens[[#This Row],[Edital]],tEditais[Edital],0)),"")</f>
        <v>RO</v>
      </c>
      <c r="I7186" s="11">
        <f>IFERROR(INDEX(tEditais[Encerramento],MATCH(tItens[[#This Row],[Edital]],tEditais[Edital],0)),"")</f>
        <v>46310.729166666664</v>
      </c>
      <c r="J7186" t="str">
        <f>IFERROR(INDEX(tProdutos[Classe],MATCH(tItens[[#This Row],[Produto]],tProdutos[Produto],0)),"produto não cadastrado")</f>
        <v>DISPUTADO</v>
      </c>
      <c r="K7186" s="12">
        <f>tItens[[#This Row],[Qtd]]*tItens[[#This Row],[Vlr unit]]</f>
        <v>10.94</v>
      </c>
      <c r="L7186" s="6">
        <f>IFERROR(IF(INDEX(tProdutos[Desconto homologado],MATCH(tItens[[#This Row],[Produto]],tProdutos[Produto],0))="",DescontoPadrao,INDEX(tProdutos[Desconto homologado],MATCH(tItens[[#This Row],[Produto]],tProdutos[Produto],0))),DescontoPadrao)</f>
        <v>0.40909090909090901</v>
      </c>
      <c r="M7186" s="12">
        <f>tItens[[#This Row],[Valor]]*(1-tItens[[#This Row],[Desconto]])</f>
        <v>6.4645454545454557</v>
      </c>
      <c r="N7186" t="str">
        <f>IFERROR(INDEX(tProdutos[Foco],MATCH(tItens[[#This Row],[Produto]],tProdutos[Produto],0)),"Não")</f>
        <v>Não</v>
      </c>
      <c r="O7186" t="str">
        <f>IFERROR(INDEX(tEditais[SRP],MATCH(tItens[[#This Row],[Edital]],tEditais[Edital],0)),"Não")</f>
        <v>Sim</v>
      </c>
      <c r="P7186" s="4">
        <f>IF(COUNTIFS(INDEX(tItens[Edital],1):tItens[[#This Row],[Edital]],tItens[[#This Row],[Edital]],INDEX(tItens[Produto],1):tItens[[#This Row],[Produto]],tItens[[#This Row],[Produto]])=1,1,0)</f>
        <v>0</v>
      </c>
    </row>
    <row r="7187" spans="1:16" x14ac:dyDescent="0.25">
      <c r="A7187" t="s">
        <v>2468</v>
      </c>
      <c r="B7187">
        <v>53</v>
      </c>
      <c r="C7187" t="s">
        <v>9840</v>
      </c>
      <c r="D7187" t="s">
        <v>120</v>
      </c>
      <c r="E7187" s="13">
        <v>1</v>
      </c>
      <c r="F7187" s="12">
        <v>11.89</v>
      </c>
      <c r="G7187" t="str">
        <f>IFERROR(INDEX(tEditais[Órgão],MATCH(tItens[[#This Row],[Edital]],tEditais[Edital],0)),"")</f>
        <v>CIMCERO - CONSORCIO INTERMUNICIPAL DA REGIAO CENTRO LESTE DO ESTADO DE RONDONIA</v>
      </c>
      <c r="H7187" t="str">
        <f>IFERROR(INDEX(tEditais[UF],MATCH(tItens[[#This Row],[Edital]],tEditais[Edital],0)),"")</f>
        <v>RO</v>
      </c>
      <c r="I7187" s="11">
        <f>IFERROR(INDEX(tEditais[Encerramento],MATCH(tItens[[#This Row],[Edital]],tEditais[Edital],0)),"")</f>
        <v>46310.729166666664</v>
      </c>
      <c r="J7187" t="str">
        <f>IFERROR(INDEX(tProdutos[Classe],MATCH(tItens[[#This Row],[Produto]],tProdutos[Produto],0)),"produto não cadastrado")</f>
        <v>DISPUTADO</v>
      </c>
      <c r="K7187" s="12">
        <f>tItens[[#This Row],[Qtd]]*tItens[[#This Row],[Vlr unit]]</f>
        <v>11.89</v>
      </c>
      <c r="L7187" s="6">
        <f>IFERROR(IF(INDEX(tProdutos[Desconto homologado],MATCH(tItens[[#This Row],[Produto]],tProdutos[Produto],0))="",DescontoPadrao,INDEX(tProdutos[Desconto homologado],MATCH(tItens[[#This Row],[Produto]],tProdutos[Produto],0))),DescontoPadrao)</f>
        <v>0.40909090909090901</v>
      </c>
      <c r="M7187" s="12">
        <f>tItens[[#This Row],[Valor]]*(1-tItens[[#This Row],[Desconto]])</f>
        <v>7.0259090909090931</v>
      </c>
      <c r="N7187" t="str">
        <f>IFERROR(INDEX(tProdutos[Foco],MATCH(tItens[[#This Row],[Produto]],tProdutos[Produto],0)),"Não")</f>
        <v>Não</v>
      </c>
      <c r="O7187" t="str">
        <f>IFERROR(INDEX(tEditais[SRP],MATCH(tItens[[#This Row],[Edital]],tEditais[Edital],0)),"Não")</f>
        <v>Sim</v>
      </c>
      <c r="P7187" s="4">
        <f>IF(COUNTIFS(INDEX(tItens[Edital],1):tItens[[#This Row],[Edital]],tItens[[#This Row],[Edital]],INDEX(tItens[Produto],1):tItens[[#This Row],[Produto]],tItens[[#This Row],[Produto]])=1,1,0)</f>
        <v>0</v>
      </c>
    </row>
    <row r="7188" spans="1:16" x14ac:dyDescent="0.25">
      <c r="A7188" t="s">
        <v>2468</v>
      </c>
      <c r="B7188">
        <v>54</v>
      </c>
      <c r="C7188" t="s">
        <v>9841</v>
      </c>
      <c r="D7188" t="s">
        <v>120</v>
      </c>
      <c r="E7188" s="13">
        <v>1</v>
      </c>
      <c r="F7188" s="12">
        <v>8.76</v>
      </c>
      <c r="G7188" t="str">
        <f>IFERROR(INDEX(tEditais[Órgão],MATCH(tItens[[#This Row],[Edital]],tEditais[Edital],0)),"")</f>
        <v>CIMCERO - CONSORCIO INTERMUNICIPAL DA REGIAO CENTRO LESTE DO ESTADO DE RONDONIA</v>
      </c>
      <c r="H7188" t="str">
        <f>IFERROR(INDEX(tEditais[UF],MATCH(tItens[[#This Row],[Edital]],tEditais[Edital],0)),"")</f>
        <v>RO</v>
      </c>
      <c r="I7188" s="11">
        <f>IFERROR(INDEX(tEditais[Encerramento],MATCH(tItens[[#This Row],[Edital]],tEditais[Edital],0)),"")</f>
        <v>46310.729166666664</v>
      </c>
      <c r="J7188" t="str">
        <f>IFERROR(INDEX(tProdutos[Classe],MATCH(tItens[[#This Row],[Produto]],tProdutos[Produto],0)),"produto não cadastrado")</f>
        <v>DISPUTADO</v>
      </c>
      <c r="K7188" s="12">
        <f>tItens[[#This Row],[Qtd]]*tItens[[#This Row],[Vlr unit]]</f>
        <v>8.76</v>
      </c>
      <c r="L7188" s="6">
        <f>IFERROR(IF(INDEX(tProdutos[Desconto homologado],MATCH(tItens[[#This Row],[Produto]],tProdutos[Produto],0))="",DescontoPadrao,INDEX(tProdutos[Desconto homologado],MATCH(tItens[[#This Row],[Produto]],tProdutos[Produto],0))),DescontoPadrao)</f>
        <v>0.40909090909090901</v>
      </c>
      <c r="M7188" s="12">
        <f>tItens[[#This Row],[Valor]]*(1-tItens[[#This Row],[Desconto]])</f>
        <v>5.1763636363636376</v>
      </c>
      <c r="N7188" t="str">
        <f>IFERROR(INDEX(tProdutos[Foco],MATCH(tItens[[#This Row],[Produto]],tProdutos[Produto],0)),"Não")</f>
        <v>Não</v>
      </c>
      <c r="O7188" t="str">
        <f>IFERROR(INDEX(tEditais[SRP],MATCH(tItens[[#This Row],[Edital]],tEditais[Edital],0)),"Não")</f>
        <v>Sim</v>
      </c>
      <c r="P7188" s="4">
        <f>IF(COUNTIFS(INDEX(tItens[Edital],1):tItens[[#This Row],[Edital]],tItens[[#This Row],[Edital]],INDEX(tItens[Produto],1):tItens[[#This Row],[Produto]],tItens[[#This Row],[Produto]])=1,1,0)</f>
        <v>0</v>
      </c>
    </row>
    <row r="7189" spans="1:16" x14ac:dyDescent="0.25">
      <c r="A7189" t="s">
        <v>2468</v>
      </c>
      <c r="B7189">
        <v>55</v>
      </c>
      <c r="C7189" t="s">
        <v>9842</v>
      </c>
      <c r="D7189" t="s">
        <v>120</v>
      </c>
      <c r="E7189" s="13">
        <v>1</v>
      </c>
      <c r="F7189" s="12">
        <v>1.89</v>
      </c>
      <c r="G7189" t="str">
        <f>IFERROR(INDEX(tEditais[Órgão],MATCH(tItens[[#This Row],[Edital]],tEditais[Edital],0)),"")</f>
        <v>CIMCERO - CONSORCIO INTERMUNICIPAL DA REGIAO CENTRO LESTE DO ESTADO DE RONDONIA</v>
      </c>
      <c r="H7189" t="str">
        <f>IFERROR(INDEX(tEditais[UF],MATCH(tItens[[#This Row],[Edital]],tEditais[Edital],0)),"")</f>
        <v>RO</v>
      </c>
      <c r="I7189" s="11">
        <f>IFERROR(INDEX(tEditais[Encerramento],MATCH(tItens[[#This Row],[Edital]],tEditais[Edital],0)),"")</f>
        <v>46310.729166666664</v>
      </c>
      <c r="J7189" t="str">
        <f>IFERROR(INDEX(tProdutos[Classe],MATCH(tItens[[#This Row],[Produto]],tProdutos[Produto],0)),"produto não cadastrado")</f>
        <v>DISPUTADO</v>
      </c>
      <c r="K7189" s="12">
        <f>tItens[[#This Row],[Qtd]]*tItens[[#This Row],[Vlr unit]]</f>
        <v>1.89</v>
      </c>
      <c r="L7189" s="6">
        <f>IFERROR(IF(INDEX(tProdutos[Desconto homologado],MATCH(tItens[[#This Row],[Produto]],tProdutos[Produto],0))="",DescontoPadrao,INDEX(tProdutos[Desconto homologado],MATCH(tItens[[#This Row],[Produto]],tProdutos[Produto],0))),DescontoPadrao)</f>
        <v>0.40909090909090901</v>
      </c>
      <c r="M7189" s="12">
        <f>tItens[[#This Row],[Valor]]*(1-tItens[[#This Row],[Desconto]])</f>
        <v>1.1168181818181819</v>
      </c>
      <c r="N7189" t="str">
        <f>IFERROR(INDEX(tProdutos[Foco],MATCH(tItens[[#This Row],[Produto]],tProdutos[Produto],0)),"Não")</f>
        <v>Não</v>
      </c>
      <c r="O7189" t="str">
        <f>IFERROR(INDEX(tEditais[SRP],MATCH(tItens[[#This Row],[Edital]],tEditais[Edital],0)),"Não")</f>
        <v>Sim</v>
      </c>
      <c r="P7189" s="4">
        <f>IF(COUNTIFS(INDEX(tItens[Edital],1):tItens[[#This Row],[Edital]],tItens[[#This Row],[Edital]],INDEX(tItens[Produto],1):tItens[[#This Row],[Produto]],tItens[[#This Row],[Produto]])=1,1,0)</f>
        <v>0</v>
      </c>
    </row>
    <row r="7190" spans="1:16" x14ac:dyDescent="0.25">
      <c r="A7190" t="s">
        <v>2468</v>
      </c>
      <c r="B7190">
        <v>56</v>
      </c>
      <c r="C7190" t="s">
        <v>9843</v>
      </c>
      <c r="D7190" t="s">
        <v>120</v>
      </c>
      <c r="E7190" s="13">
        <v>1</v>
      </c>
      <c r="F7190" s="12">
        <v>2.2799999999999998</v>
      </c>
      <c r="G7190" t="str">
        <f>IFERROR(INDEX(tEditais[Órgão],MATCH(tItens[[#This Row],[Edital]],tEditais[Edital],0)),"")</f>
        <v>CIMCERO - CONSORCIO INTERMUNICIPAL DA REGIAO CENTRO LESTE DO ESTADO DE RONDONIA</v>
      </c>
      <c r="H7190" t="str">
        <f>IFERROR(INDEX(tEditais[UF],MATCH(tItens[[#This Row],[Edital]],tEditais[Edital],0)),"")</f>
        <v>RO</v>
      </c>
      <c r="I7190" s="11">
        <f>IFERROR(INDEX(tEditais[Encerramento],MATCH(tItens[[#This Row],[Edital]],tEditais[Edital],0)),"")</f>
        <v>46310.729166666664</v>
      </c>
      <c r="J7190" t="str">
        <f>IFERROR(INDEX(tProdutos[Classe],MATCH(tItens[[#This Row],[Produto]],tProdutos[Produto],0)),"produto não cadastrado")</f>
        <v>DISPUTADO</v>
      </c>
      <c r="K7190" s="12">
        <f>tItens[[#This Row],[Qtd]]*tItens[[#This Row],[Vlr unit]]</f>
        <v>2.2799999999999998</v>
      </c>
      <c r="L7190" s="6">
        <f>IFERROR(IF(INDEX(tProdutos[Desconto homologado],MATCH(tItens[[#This Row],[Produto]],tProdutos[Produto],0))="",DescontoPadrao,INDEX(tProdutos[Desconto homologado],MATCH(tItens[[#This Row],[Produto]],tProdutos[Produto],0))),DescontoPadrao)</f>
        <v>0.40909090909090901</v>
      </c>
      <c r="M7190" s="12">
        <f>tItens[[#This Row],[Valor]]*(1-tItens[[#This Row],[Desconto]])</f>
        <v>1.3472727272727274</v>
      </c>
      <c r="N7190" t="str">
        <f>IFERROR(INDEX(tProdutos[Foco],MATCH(tItens[[#This Row],[Produto]],tProdutos[Produto],0)),"Não")</f>
        <v>Não</v>
      </c>
      <c r="O7190" t="str">
        <f>IFERROR(INDEX(tEditais[SRP],MATCH(tItens[[#This Row],[Edital]],tEditais[Edital],0)),"Não")</f>
        <v>Sim</v>
      </c>
      <c r="P7190" s="4">
        <f>IF(COUNTIFS(INDEX(tItens[Edital],1):tItens[[#This Row],[Edital]],tItens[[#This Row],[Edital]],INDEX(tItens[Produto],1):tItens[[#This Row],[Produto]],tItens[[#This Row],[Produto]])=1,1,0)</f>
        <v>0</v>
      </c>
    </row>
    <row r="7191" spans="1:16" x14ac:dyDescent="0.25">
      <c r="A7191" t="s">
        <v>2468</v>
      </c>
      <c r="B7191">
        <v>71</v>
      </c>
      <c r="C7191" t="s">
        <v>3483</v>
      </c>
      <c r="D7191" t="s">
        <v>315</v>
      </c>
      <c r="E7191" s="13">
        <v>1</v>
      </c>
      <c r="F7191" s="12">
        <v>15.36</v>
      </c>
      <c r="G7191" t="str">
        <f>IFERROR(INDEX(tEditais[Órgão],MATCH(tItens[[#This Row],[Edital]],tEditais[Edital],0)),"")</f>
        <v>CIMCERO - CONSORCIO INTERMUNICIPAL DA REGIAO CENTRO LESTE DO ESTADO DE RONDONIA</v>
      </c>
      <c r="H7191" t="str">
        <f>IFERROR(INDEX(tEditais[UF],MATCH(tItens[[#This Row],[Edital]],tEditais[Edital],0)),"")</f>
        <v>RO</v>
      </c>
      <c r="I7191" s="11">
        <f>IFERROR(INDEX(tEditais[Encerramento],MATCH(tItens[[#This Row],[Edital]],tEditais[Edital],0)),"")</f>
        <v>46310.729166666664</v>
      </c>
      <c r="J7191" t="str">
        <f>IFERROR(INDEX(tProdutos[Classe],MATCH(tItens[[#This Row],[Produto]],tProdutos[Produto],0)),"produto não cadastrado")</f>
        <v>FORA</v>
      </c>
      <c r="K7191" s="12">
        <f>tItens[[#This Row],[Qtd]]*tItens[[#This Row],[Vlr unit]]</f>
        <v>15.36</v>
      </c>
      <c r="L7191" s="6">
        <f>IFERROR(IF(INDEX(tProdutos[Desconto homologado],MATCH(tItens[[#This Row],[Produto]],tProdutos[Produto],0))="",DescontoPadrao,INDEX(tProdutos[Desconto homologado],MATCH(tItens[[#This Row],[Produto]],tProdutos[Produto],0))),DescontoPadrao)</f>
        <v>0.38432036097010702</v>
      </c>
      <c r="M7191" s="12">
        <f>tItens[[#This Row],[Valor]]*(1-tItens[[#This Row],[Desconto]])</f>
        <v>9.4568392554991565</v>
      </c>
      <c r="N7191" t="str">
        <f>IFERROR(INDEX(tProdutos[Foco],MATCH(tItens[[#This Row],[Produto]],tProdutos[Produto],0)),"Não")</f>
        <v>Não</v>
      </c>
      <c r="O7191" t="str">
        <f>IFERROR(INDEX(tEditais[SRP],MATCH(tItens[[#This Row],[Edital]],tEditais[Edital],0)),"Não")</f>
        <v>Sim</v>
      </c>
      <c r="P7191" s="4">
        <f>IF(COUNTIFS(INDEX(tItens[Edital],1):tItens[[#This Row],[Edital]],tItens[[#This Row],[Edital]],INDEX(tItens[Produto],1):tItens[[#This Row],[Produto]],tItens[[#This Row],[Produto]])=1,1,0)</f>
        <v>0</v>
      </c>
    </row>
    <row r="7192" spans="1:16" x14ac:dyDescent="0.25">
      <c r="A7192" t="s">
        <v>2468</v>
      </c>
      <c r="B7192">
        <v>73</v>
      </c>
      <c r="C7192" t="s">
        <v>9844</v>
      </c>
      <c r="D7192" t="s">
        <v>315</v>
      </c>
      <c r="E7192" s="13">
        <v>1</v>
      </c>
      <c r="F7192" s="12">
        <v>1.48</v>
      </c>
      <c r="G7192" t="str">
        <f>IFERROR(INDEX(tEditais[Órgão],MATCH(tItens[[#This Row],[Edital]],tEditais[Edital],0)),"")</f>
        <v>CIMCERO - CONSORCIO INTERMUNICIPAL DA REGIAO CENTRO LESTE DO ESTADO DE RONDONIA</v>
      </c>
      <c r="H7192" t="str">
        <f>IFERROR(INDEX(tEditais[UF],MATCH(tItens[[#This Row],[Edital]],tEditais[Edital],0)),"")</f>
        <v>RO</v>
      </c>
      <c r="I7192" s="11">
        <f>IFERROR(INDEX(tEditais[Encerramento],MATCH(tItens[[#This Row],[Edital]],tEditais[Edital],0)),"")</f>
        <v>46310.729166666664</v>
      </c>
      <c r="J7192" t="str">
        <f>IFERROR(INDEX(tProdutos[Classe],MATCH(tItens[[#This Row],[Produto]],tProdutos[Produto],0)),"produto não cadastrado")</f>
        <v>FORA</v>
      </c>
      <c r="K7192" s="12">
        <f>tItens[[#This Row],[Qtd]]*tItens[[#This Row],[Vlr unit]]</f>
        <v>1.48</v>
      </c>
      <c r="L7192" s="6">
        <f>IFERROR(IF(INDEX(tProdutos[Desconto homologado],MATCH(tItens[[#This Row],[Produto]],tProdutos[Produto],0))="",DescontoPadrao,INDEX(tProdutos[Desconto homologado],MATCH(tItens[[#This Row],[Produto]],tProdutos[Produto],0))),DescontoPadrao)</f>
        <v>0.38432036097010702</v>
      </c>
      <c r="M7192" s="12">
        <f>tItens[[#This Row],[Valor]]*(1-tItens[[#This Row],[Desconto]])</f>
        <v>0.91120586576424156</v>
      </c>
      <c r="N7192" t="str">
        <f>IFERROR(INDEX(tProdutos[Foco],MATCH(tItens[[#This Row],[Produto]],tProdutos[Produto],0)),"Não")</f>
        <v>Não</v>
      </c>
      <c r="O7192" t="str">
        <f>IFERROR(INDEX(tEditais[SRP],MATCH(tItens[[#This Row],[Edital]],tEditais[Edital],0)),"Não")</f>
        <v>Sim</v>
      </c>
      <c r="P7192" s="4">
        <f>IF(COUNTIFS(INDEX(tItens[Edital],1):tItens[[#This Row],[Edital]],tItens[[#This Row],[Edital]],INDEX(tItens[Produto],1):tItens[[#This Row],[Produto]],tItens[[#This Row],[Produto]])=1,1,0)</f>
        <v>0</v>
      </c>
    </row>
    <row r="7193" spans="1:16" x14ac:dyDescent="0.25">
      <c r="A7193" t="s">
        <v>2468</v>
      </c>
      <c r="B7193">
        <v>74</v>
      </c>
      <c r="C7193" t="s">
        <v>4227</v>
      </c>
      <c r="D7193" t="s">
        <v>315</v>
      </c>
      <c r="E7193" s="13">
        <v>1</v>
      </c>
      <c r="F7193" s="12">
        <v>0.95</v>
      </c>
      <c r="G7193" t="str">
        <f>IFERROR(INDEX(tEditais[Órgão],MATCH(tItens[[#This Row],[Edital]],tEditais[Edital],0)),"")</f>
        <v>CIMCERO - CONSORCIO INTERMUNICIPAL DA REGIAO CENTRO LESTE DO ESTADO DE RONDONIA</v>
      </c>
      <c r="H7193" t="str">
        <f>IFERROR(INDEX(tEditais[UF],MATCH(tItens[[#This Row],[Edital]],tEditais[Edital],0)),"")</f>
        <v>RO</v>
      </c>
      <c r="I7193" s="11">
        <f>IFERROR(INDEX(tEditais[Encerramento],MATCH(tItens[[#This Row],[Edital]],tEditais[Edital],0)),"")</f>
        <v>46310.729166666664</v>
      </c>
      <c r="J7193" t="str">
        <f>IFERROR(INDEX(tProdutos[Classe],MATCH(tItens[[#This Row],[Produto]],tProdutos[Produto],0)),"produto não cadastrado")</f>
        <v>FORA</v>
      </c>
      <c r="K7193" s="12">
        <f>tItens[[#This Row],[Qtd]]*tItens[[#This Row],[Vlr unit]]</f>
        <v>0.95</v>
      </c>
      <c r="L7193" s="6">
        <f>IFERROR(IF(INDEX(tProdutos[Desconto homologado],MATCH(tItens[[#This Row],[Produto]],tProdutos[Produto],0))="",DescontoPadrao,INDEX(tProdutos[Desconto homologado],MATCH(tItens[[#This Row],[Produto]],tProdutos[Produto],0))),DescontoPadrao)</f>
        <v>0.38432036097010702</v>
      </c>
      <c r="M7193" s="12">
        <f>tItens[[#This Row],[Valor]]*(1-tItens[[#This Row],[Desconto]])</f>
        <v>0.5848956570783983</v>
      </c>
      <c r="N7193" t="str">
        <f>IFERROR(INDEX(tProdutos[Foco],MATCH(tItens[[#This Row],[Produto]],tProdutos[Produto],0)),"Não")</f>
        <v>Não</v>
      </c>
      <c r="O7193" t="str">
        <f>IFERROR(INDEX(tEditais[SRP],MATCH(tItens[[#This Row],[Edital]],tEditais[Edital],0)),"Não")</f>
        <v>Sim</v>
      </c>
      <c r="P7193" s="4">
        <f>IF(COUNTIFS(INDEX(tItens[Edital],1):tItens[[#This Row],[Edital]],tItens[[#This Row],[Edital]],INDEX(tItens[Produto],1):tItens[[#This Row],[Produto]],tItens[[#This Row],[Produto]])=1,1,0)</f>
        <v>0</v>
      </c>
    </row>
    <row r="7194" spans="1:16" x14ac:dyDescent="0.25">
      <c r="A7194" t="s">
        <v>2468</v>
      </c>
      <c r="B7194">
        <v>75</v>
      </c>
      <c r="C7194" t="s">
        <v>9845</v>
      </c>
      <c r="D7194" t="s">
        <v>201</v>
      </c>
      <c r="E7194" s="13">
        <v>1</v>
      </c>
      <c r="F7194" s="12">
        <v>25.53</v>
      </c>
      <c r="G7194" t="str">
        <f>IFERROR(INDEX(tEditais[Órgão],MATCH(tItens[[#This Row],[Edital]],tEditais[Edital],0)),"")</f>
        <v>CIMCERO - CONSORCIO INTERMUNICIPAL DA REGIAO CENTRO LESTE DO ESTADO DE RONDONIA</v>
      </c>
      <c r="H7194" t="str">
        <f>IFERROR(INDEX(tEditais[UF],MATCH(tItens[[#This Row],[Edital]],tEditais[Edital],0)),"")</f>
        <v>RO</v>
      </c>
      <c r="I7194" s="11">
        <f>IFERROR(INDEX(tEditais[Encerramento],MATCH(tItens[[#This Row],[Edital]],tEditais[Edital],0)),"")</f>
        <v>46310.729166666664</v>
      </c>
      <c r="J7194" t="str">
        <f>IFERROR(INDEX(tProdutos[Classe],MATCH(tItens[[#This Row],[Produto]],tProdutos[Produto],0)),"produto não cadastrado")</f>
        <v>DISPUTADO</v>
      </c>
      <c r="K7194" s="12">
        <f>tItens[[#This Row],[Qtd]]*tItens[[#This Row],[Vlr unit]]</f>
        <v>25.53</v>
      </c>
      <c r="L7194" s="6">
        <f>IFERROR(IF(INDEX(tProdutos[Desconto homologado],MATCH(tItens[[#This Row],[Produto]],tProdutos[Produto],0))="",DescontoPadrao,INDEX(tProdutos[Desconto homologado],MATCH(tItens[[#This Row],[Produto]],tProdutos[Produto],0))),DescontoPadrao)</f>
        <v>0.27203065134099602</v>
      </c>
      <c r="M7194" s="12">
        <f>tItens[[#This Row],[Valor]]*(1-tItens[[#This Row],[Desconto]])</f>
        <v>18.585057471264374</v>
      </c>
      <c r="N7194" t="str">
        <f>IFERROR(INDEX(tProdutos[Foco],MATCH(tItens[[#This Row],[Produto]],tProdutos[Produto],0)),"Não")</f>
        <v>Não</v>
      </c>
      <c r="O7194" t="str">
        <f>IFERROR(INDEX(tEditais[SRP],MATCH(tItens[[#This Row],[Edital]],tEditais[Edital],0)),"Não")</f>
        <v>Sim</v>
      </c>
      <c r="P7194" s="4">
        <f>IF(COUNTIFS(INDEX(tItens[Edital],1):tItens[[#This Row],[Edital]],tItens[[#This Row],[Edital]],INDEX(tItens[Produto],1):tItens[[#This Row],[Produto]],tItens[[#This Row],[Produto]])=1,1,0)</f>
        <v>1</v>
      </c>
    </row>
    <row r="7195" spans="1:16" x14ac:dyDescent="0.25">
      <c r="A7195" t="s">
        <v>2468</v>
      </c>
      <c r="B7195">
        <v>106</v>
      </c>
      <c r="C7195" t="s">
        <v>9846</v>
      </c>
      <c r="D7195" t="s">
        <v>569</v>
      </c>
      <c r="E7195" s="13">
        <v>1</v>
      </c>
      <c r="F7195" s="12">
        <v>85.9</v>
      </c>
      <c r="G7195" t="str">
        <f>IFERROR(INDEX(tEditais[Órgão],MATCH(tItens[[#This Row],[Edital]],tEditais[Edital],0)),"")</f>
        <v>CIMCERO - CONSORCIO INTERMUNICIPAL DA REGIAO CENTRO LESTE DO ESTADO DE RONDONIA</v>
      </c>
      <c r="H7195" t="str">
        <f>IFERROR(INDEX(tEditais[UF],MATCH(tItens[[#This Row],[Edital]],tEditais[Edital],0)),"")</f>
        <v>RO</v>
      </c>
      <c r="I7195" s="11">
        <f>IFERROR(INDEX(tEditais[Encerramento],MATCH(tItens[[#This Row],[Edital]],tEditais[Edital],0)),"")</f>
        <v>46310.729166666664</v>
      </c>
      <c r="J7195" t="str">
        <f>IFERROR(INDEX(tProdutos[Classe],MATCH(tItens[[#This Row],[Produto]],tProdutos[Produto],0)),"produto não cadastrado")</f>
        <v>FILA REBASE</v>
      </c>
      <c r="K7195" s="12">
        <f>tItens[[#This Row],[Qtd]]*tItens[[#This Row],[Vlr unit]]</f>
        <v>85.9</v>
      </c>
      <c r="L7195" s="6">
        <f>IFERROR(IF(INDEX(tProdutos[Desconto homologado],MATCH(tItens[[#This Row],[Produto]],tProdutos[Produto],0))="",DescontoPadrao,INDEX(tProdutos[Desconto homologado],MATCH(tItens[[#This Row],[Produto]],tProdutos[Produto],0))),DescontoPadrao)</f>
        <v>0.3</v>
      </c>
      <c r="M7195" s="12">
        <f>tItens[[#This Row],[Valor]]*(1-tItens[[#This Row],[Desconto]])</f>
        <v>60.13</v>
      </c>
      <c r="N7195" t="str">
        <f>IFERROR(INDEX(tProdutos[Foco],MATCH(tItens[[#This Row],[Produto]],tProdutos[Produto],0)),"Não")</f>
        <v>Não</v>
      </c>
      <c r="O7195" t="str">
        <f>IFERROR(INDEX(tEditais[SRP],MATCH(tItens[[#This Row],[Edital]],tEditais[Edital],0)),"Não")</f>
        <v>Sim</v>
      </c>
      <c r="P7195" s="4">
        <f>IF(COUNTIFS(INDEX(tItens[Edital],1):tItens[[#This Row],[Edital]],tItens[[#This Row],[Edital]],INDEX(tItens[Produto],1):tItens[[#This Row],[Produto]],tItens[[#This Row],[Produto]])=1,1,0)</f>
        <v>1</v>
      </c>
    </row>
    <row r="7196" spans="1:16" x14ac:dyDescent="0.25">
      <c r="A7196" t="s">
        <v>2468</v>
      </c>
      <c r="B7196">
        <v>107</v>
      </c>
      <c r="C7196" t="s">
        <v>9847</v>
      </c>
      <c r="D7196" t="s">
        <v>569</v>
      </c>
      <c r="E7196" s="13">
        <v>1</v>
      </c>
      <c r="F7196" s="12">
        <v>71.72</v>
      </c>
      <c r="G7196" t="str">
        <f>IFERROR(INDEX(tEditais[Órgão],MATCH(tItens[[#This Row],[Edital]],tEditais[Edital],0)),"")</f>
        <v>CIMCERO - CONSORCIO INTERMUNICIPAL DA REGIAO CENTRO LESTE DO ESTADO DE RONDONIA</v>
      </c>
      <c r="H7196" t="str">
        <f>IFERROR(INDEX(tEditais[UF],MATCH(tItens[[#This Row],[Edital]],tEditais[Edital],0)),"")</f>
        <v>RO</v>
      </c>
      <c r="I7196" s="11">
        <f>IFERROR(INDEX(tEditais[Encerramento],MATCH(tItens[[#This Row],[Edital]],tEditais[Edital],0)),"")</f>
        <v>46310.729166666664</v>
      </c>
      <c r="J7196" t="str">
        <f>IFERROR(INDEX(tProdutos[Classe],MATCH(tItens[[#This Row],[Produto]],tProdutos[Produto],0)),"produto não cadastrado")</f>
        <v>FILA REBASE</v>
      </c>
      <c r="K7196" s="12">
        <f>tItens[[#This Row],[Qtd]]*tItens[[#This Row],[Vlr unit]]</f>
        <v>71.72</v>
      </c>
      <c r="L7196" s="6">
        <f>IFERROR(IF(INDEX(tProdutos[Desconto homologado],MATCH(tItens[[#This Row],[Produto]],tProdutos[Produto],0))="",DescontoPadrao,INDEX(tProdutos[Desconto homologado],MATCH(tItens[[#This Row],[Produto]],tProdutos[Produto],0))),DescontoPadrao)</f>
        <v>0.3</v>
      </c>
      <c r="M7196" s="12">
        <f>tItens[[#This Row],[Valor]]*(1-tItens[[#This Row],[Desconto]])</f>
        <v>50.203999999999994</v>
      </c>
      <c r="N7196" t="str">
        <f>IFERROR(INDEX(tProdutos[Foco],MATCH(tItens[[#This Row],[Produto]],tProdutos[Produto],0)),"Não")</f>
        <v>Não</v>
      </c>
      <c r="O7196" t="str">
        <f>IFERROR(INDEX(tEditais[SRP],MATCH(tItens[[#This Row],[Edital]],tEditais[Edital],0)),"Não")</f>
        <v>Sim</v>
      </c>
      <c r="P7196" s="4">
        <f>IF(COUNTIFS(INDEX(tItens[Edital],1):tItens[[#This Row],[Edital]],tItens[[#This Row],[Edital]],INDEX(tItens[Produto],1):tItens[[#This Row],[Produto]],tItens[[#This Row],[Produto]])=1,1,0)</f>
        <v>0</v>
      </c>
    </row>
    <row r="7197" spans="1:16" x14ac:dyDescent="0.25">
      <c r="A7197" t="s">
        <v>2468</v>
      </c>
      <c r="B7197">
        <v>120</v>
      </c>
      <c r="C7197" t="s">
        <v>9848</v>
      </c>
      <c r="D7197" t="s">
        <v>423</v>
      </c>
      <c r="E7197" s="13">
        <v>1</v>
      </c>
      <c r="F7197" s="12">
        <v>11.38</v>
      </c>
      <c r="G7197" t="str">
        <f>IFERROR(INDEX(tEditais[Órgão],MATCH(tItens[[#This Row],[Edital]],tEditais[Edital],0)),"")</f>
        <v>CIMCERO - CONSORCIO INTERMUNICIPAL DA REGIAO CENTRO LESTE DO ESTADO DE RONDONIA</v>
      </c>
      <c r="H7197" t="str">
        <f>IFERROR(INDEX(tEditais[UF],MATCH(tItens[[#This Row],[Edital]],tEditais[Edital],0)),"")</f>
        <v>RO</v>
      </c>
      <c r="I7197" s="11">
        <f>IFERROR(INDEX(tEditais[Encerramento],MATCH(tItens[[#This Row],[Edital]],tEditais[Edital],0)),"")</f>
        <v>46310.729166666664</v>
      </c>
      <c r="J7197" t="str">
        <f>IFERROR(INDEX(tProdutos[Classe],MATCH(tItens[[#This Row],[Produto]],tProdutos[Produto],0)),"produto não cadastrado")</f>
        <v>FORA</v>
      </c>
      <c r="K7197" s="12">
        <f>tItens[[#This Row],[Qtd]]*tItens[[#This Row],[Vlr unit]]</f>
        <v>11.38</v>
      </c>
      <c r="L7197" s="6">
        <f>IFERROR(IF(INDEX(tProdutos[Desconto homologado],MATCH(tItens[[#This Row],[Produto]],tProdutos[Produto],0))="",DescontoPadrao,INDEX(tProdutos[Desconto homologado],MATCH(tItens[[#This Row],[Produto]],tProdutos[Produto],0))),DescontoPadrao)</f>
        <v>0.38271604938271597</v>
      </c>
      <c r="M7197" s="12">
        <f>tItens[[#This Row],[Valor]]*(1-tItens[[#This Row],[Desconto]])</f>
        <v>7.0246913580246924</v>
      </c>
      <c r="N7197" t="str">
        <f>IFERROR(INDEX(tProdutos[Foco],MATCH(tItens[[#This Row],[Produto]],tProdutos[Produto],0)),"Não")</f>
        <v>Não</v>
      </c>
      <c r="O7197" t="str">
        <f>IFERROR(INDEX(tEditais[SRP],MATCH(tItens[[#This Row],[Edital]],tEditais[Edital],0)),"Não")</f>
        <v>Sim</v>
      </c>
      <c r="P7197" s="4">
        <f>IF(COUNTIFS(INDEX(tItens[Edital],1):tItens[[#This Row],[Edital]],tItens[[#This Row],[Edital]],INDEX(tItens[Produto],1):tItens[[#This Row],[Produto]],tItens[[#This Row],[Produto]])=1,1,0)</f>
        <v>1</v>
      </c>
    </row>
    <row r="7198" spans="1:16" x14ac:dyDescent="0.25">
      <c r="A7198" t="s">
        <v>2468</v>
      </c>
      <c r="B7198">
        <v>121</v>
      </c>
      <c r="C7198" t="s">
        <v>9849</v>
      </c>
      <c r="D7198" t="s">
        <v>421</v>
      </c>
      <c r="E7198" s="13">
        <v>1</v>
      </c>
      <c r="F7198" s="12">
        <v>25.49</v>
      </c>
      <c r="G7198" t="str">
        <f>IFERROR(INDEX(tEditais[Órgão],MATCH(tItens[[#This Row],[Edital]],tEditais[Edital],0)),"")</f>
        <v>CIMCERO - CONSORCIO INTERMUNICIPAL DA REGIAO CENTRO LESTE DO ESTADO DE RONDONIA</v>
      </c>
      <c r="H7198" t="str">
        <f>IFERROR(INDEX(tEditais[UF],MATCH(tItens[[#This Row],[Edital]],tEditais[Edital],0)),"")</f>
        <v>RO</v>
      </c>
      <c r="I7198" s="11">
        <f>IFERROR(INDEX(tEditais[Encerramento],MATCH(tItens[[#This Row],[Edital]],tEditais[Edital],0)),"")</f>
        <v>46310.729166666664</v>
      </c>
      <c r="J7198" t="str">
        <f>IFERROR(INDEX(tProdutos[Classe],MATCH(tItens[[#This Row],[Produto]],tProdutos[Produto],0)),"produto não cadastrado")</f>
        <v>FORA</v>
      </c>
      <c r="K7198" s="12">
        <f>tItens[[#This Row],[Qtd]]*tItens[[#This Row],[Vlr unit]]</f>
        <v>25.49</v>
      </c>
      <c r="L7198" s="6">
        <f>IFERROR(IF(INDEX(tProdutos[Desconto homologado],MATCH(tItens[[#This Row],[Produto]],tProdutos[Produto],0))="",DescontoPadrao,INDEX(tProdutos[Desconto homologado],MATCH(tItens[[#This Row],[Produto]],tProdutos[Produto],0))),DescontoPadrao)</f>
        <v>0.43</v>
      </c>
      <c r="M7198" s="12">
        <f>tItens[[#This Row],[Valor]]*(1-tItens[[#This Row],[Desconto]])</f>
        <v>14.529300000000001</v>
      </c>
      <c r="N7198" t="str">
        <f>IFERROR(INDEX(tProdutos[Foco],MATCH(tItens[[#This Row],[Produto]],tProdutos[Produto],0)),"Não")</f>
        <v>Sim</v>
      </c>
      <c r="O7198" t="str">
        <f>IFERROR(INDEX(tEditais[SRP],MATCH(tItens[[#This Row],[Edital]],tEditais[Edital],0)),"Não")</f>
        <v>Sim</v>
      </c>
      <c r="P7198" s="4">
        <f>IF(COUNTIFS(INDEX(tItens[Edital],1):tItens[[#This Row],[Edital]],tItens[[#This Row],[Edital]],INDEX(tItens[Produto],1):tItens[[#This Row],[Produto]],tItens[[#This Row],[Produto]])=1,1,0)</f>
        <v>1</v>
      </c>
    </row>
    <row r="7199" spans="1:16" x14ac:dyDescent="0.25">
      <c r="A7199" t="s">
        <v>2468</v>
      </c>
      <c r="B7199">
        <v>125</v>
      </c>
      <c r="C7199" t="s">
        <v>9850</v>
      </c>
      <c r="D7199" t="s">
        <v>160</v>
      </c>
      <c r="E7199" s="13">
        <v>1</v>
      </c>
      <c r="F7199" s="12">
        <v>8.4600000000000009</v>
      </c>
      <c r="G7199" t="str">
        <f>IFERROR(INDEX(tEditais[Órgão],MATCH(tItens[[#This Row],[Edital]],tEditais[Edital],0)),"")</f>
        <v>CIMCERO - CONSORCIO INTERMUNICIPAL DA REGIAO CENTRO LESTE DO ESTADO DE RONDONIA</v>
      </c>
      <c r="H7199" t="str">
        <f>IFERROR(INDEX(tEditais[UF],MATCH(tItens[[#This Row],[Edital]],tEditais[Edital],0)),"")</f>
        <v>RO</v>
      </c>
      <c r="I7199" s="11">
        <f>IFERROR(INDEX(tEditais[Encerramento],MATCH(tItens[[#This Row],[Edital]],tEditais[Edital],0)),"")</f>
        <v>46310.729166666664</v>
      </c>
      <c r="J7199" t="str">
        <f>IFERROR(INDEX(tProdutos[Classe],MATCH(tItens[[#This Row],[Produto]],tProdutos[Produto],0)),"produto não cadastrado")</f>
        <v>DISPUTADO</v>
      </c>
      <c r="K7199" s="12">
        <f>tItens[[#This Row],[Qtd]]*tItens[[#This Row],[Vlr unit]]</f>
        <v>8.4600000000000009</v>
      </c>
      <c r="L7199" s="6">
        <f>IFERROR(IF(INDEX(tProdutos[Desconto homologado],MATCH(tItens[[#This Row],[Produto]],tProdutos[Produto],0))="",DescontoPadrao,INDEX(tProdutos[Desconto homologado],MATCH(tItens[[#This Row],[Produto]],tProdutos[Produto],0))),DescontoPadrao)</f>
        <v>0.28000000000000003</v>
      </c>
      <c r="M7199" s="12">
        <f>tItens[[#This Row],[Valor]]*(1-tItens[[#This Row],[Desconto]])</f>
        <v>6.0912000000000006</v>
      </c>
      <c r="N7199" t="str">
        <f>IFERROR(INDEX(tProdutos[Foco],MATCH(tItens[[#This Row],[Produto]],tProdutos[Produto],0)),"Não")</f>
        <v>Sim</v>
      </c>
      <c r="O7199" t="str">
        <f>IFERROR(INDEX(tEditais[SRP],MATCH(tItens[[#This Row],[Edital]],tEditais[Edital],0)),"Não")</f>
        <v>Sim</v>
      </c>
      <c r="P7199" s="4">
        <f>IF(COUNTIFS(INDEX(tItens[Edital],1):tItens[[#This Row],[Edital]],tItens[[#This Row],[Edital]],INDEX(tItens[Produto],1):tItens[[#This Row],[Produto]],tItens[[#This Row],[Produto]])=1,1,0)</f>
        <v>1</v>
      </c>
    </row>
    <row r="7200" spans="1:16" x14ac:dyDescent="0.25">
      <c r="A7200" t="s">
        <v>2468</v>
      </c>
      <c r="B7200">
        <v>126</v>
      </c>
      <c r="C7200" t="s">
        <v>9851</v>
      </c>
      <c r="D7200" t="s">
        <v>409</v>
      </c>
      <c r="E7200" s="13">
        <v>1</v>
      </c>
      <c r="F7200" s="12">
        <v>8.5</v>
      </c>
      <c r="G7200" t="str">
        <f>IFERROR(INDEX(tEditais[Órgão],MATCH(tItens[[#This Row],[Edital]],tEditais[Edital],0)),"")</f>
        <v>CIMCERO - CONSORCIO INTERMUNICIPAL DA REGIAO CENTRO LESTE DO ESTADO DE RONDONIA</v>
      </c>
      <c r="H7200" t="str">
        <f>IFERROR(INDEX(tEditais[UF],MATCH(tItens[[#This Row],[Edital]],tEditais[Edital],0)),"")</f>
        <v>RO</v>
      </c>
      <c r="I7200" s="11">
        <f>IFERROR(INDEX(tEditais[Encerramento],MATCH(tItens[[#This Row],[Edital]],tEditais[Edital],0)),"")</f>
        <v>46310.729166666664</v>
      </c>
      <c r="J7200" t="str">
        <f>IFERROR(INDEX(tProdutos[Classe],MATCH(tItens[[#This Row],[Produto]],tProdutos[Produto],0)),"produto não cadastrado")</f>
        <v>FORA</v>
      </c>
      <c r="K7200" s="12">
        <f>tItens[[#This Row],[Qtd]]*tItens[[#This Row],[Vlr unit]]</f>
        <v>8.5</v>
      </c>
      <c r="L7200" s="6">
        <f>IFERROR(IF(INDEX(tProdutos[Desconto homologado],MATCH(tItens[[#This Row],[Produto]],tProdutos[Produto],0))="",DescontoPadrao,INDEX(tProdutos[Desconto homologado],MATCH(tItens[[#This Row],[Produto]],tProdutos[Produto],0))),DescontoPadrao)</f>
        <v>0.24924924924924899</v>
      </c>
      <c r="M7200" s="12">
        <f>tItens[[#This Row],[Valor]]*(1-tItens[[#This Row],[Desconto]])</f>
        <v>6.3813813813813836</v>
      </c>
      <c r="N7200" t="str">
        <f>IFERROR(INDEX(tProdutos[Foco],MATCH(tItens[[#This Row],[Produto]],tProdutos[Produto],0)),"Não")</f>
        <v>Não</v>
      </c>
      <c r="O7200" t="str">
        <f>IFERROR(INDEX(tEditais[SRP],MATCH(tItens[[#This Row],[Edital]],tEditais[Edital],0)),"Não")</f>
        <v>Sim</v>
      </c>
      <c r="P7200" s="4">
        <f>IF(COUNTIFS(INDEX(tItens[Edital],1):tItens[[#This Row],[Edital]],tItens[[#This Row],[Edital]],INDEX(tItens[Produto],1):tItens[[#This Row],[Produto]],tItens[[#This Row],[Produto]])=1,1,0)</f>
        <v>1</v>
      </c>
    </row>
    <row r="7201" spans="1:16" x14ac:dyDescent="0.25">
      <c r="A7201" t="s">
        <v>2468</v>
      </c>
      <c r="B7201">
        <v>127</v>
      </c>
      <c r="C7201" t="s">
        <v>9852</v>
      </c>
      <c r="D7201" t="s">
        <v>409</v>
      </c>
      <c r="E7201" s="13">
        <v>1</v>
      </c>
      <c r="F7201" s="12">
        <v>2.5499999999999998</v>
      </c>
      <c r="G7201" t="str">
        <f>IFERROR(INDEX(tEditais[Órgão],MATCH(tItens[[#This Row],[Edital]],tEditais[Edital],0)),"")</f>
        <v>CIMCERO - CONSORCIO INTERMUNICIPAL DA REGIAO CENTRO LESTE DO ESTADO DE RONDONIA</v>
      </c>
      <c r="H7201" t="str">
        <f>IFERROR(INDEX(tEditais[UF],MATCH(tItens[[#This Row],[Edital]],tEditais[Edital],0)),"")</f>
        <v>RO</v>
      </c>
      <c r="I7201" s="11">
        <f>IFERROR(INDEX(tEditais[Encerramento],MATCH(tItens[[#This Row],[Edital]],tEditais[Edital],0)),"")</f>
        <v>46310.729166666664</v>
      </c>
      <c r="J7201" t="str">
        <f>IFERROR(INDEX(tProdutos[Classe],MATCH(tItens[[#This Row],[Produto]],tProdutos[Produto],0)),"produto não cadastrado")</f>
        <v>FORA</v>
      </c>
      <c r="K7201" s="12">
        <f>tItens[[#This Row],[Qtd]]*tItens[[#This Row],[Vlr unit]]</f>
        <v>2.5499999999999998</v>
      </c>
      <c r="L7201" s="6">
        <f>IFERROR(IF(INDEX(tProdutos[Desconto homologado],MATCH(tItens[[#This Row],[Produto]],tProdutos[Produto],0))="",DescontoPadrao,INDEX(tProdutos[Desconto homologado],MATCH(tItens[[#This Row],[Produto]],tProdutos[Produto],0))),DescontoPadrao)</f>
        <v>0.24924924924924899</v>
      </c>
      <c r="M7201" s="12">
        <f>tItens[[#This Row],[Valor]]*(1-tItens[[#This Row],[Desconto]])</f>
        <v>1.9144144144144151</v>
      </c>
      <c r="N7201" t="str">
        <f>IFERROR(INDEX(tProdutos[Foco],MATCH(tItens[[#This Row],[Produto]],tProdutos[Produto],0)),"Não")</f>
        <v>Não</v>
      </c>
      <c r="O7201" t="str">
        <f>IFERROR(INDEX(tEditais[SRP],MATCH(tItens[[#This Row],[Edital]],tEditais[Edital],0)),"Não")</f>
        <v>Sim</v>
      </c>
      <c r="P7201" s="4">
        <f>IF(COUNTIFS(INDEX(tItens[Edital],1):tItens[[#This Row],[Edital]],tItens[[#This Row],[Edital]],INDEX(tItens[Produto],1):tItens[[#This Row],[Produto]],tItens[[#This Row],[Produto]])=1,1,0)</f>
        <v>0</v>
      </c>
    </row>
    <row r="7202" spans="1:16" x14ac:dyDescent="0.25">
      <c r="A7202" t="s">
        <v>2468</v>
      </c>
      <c r="B7202">
        <v>128</v>
      </c>
      <c r="C7202" t="s">
        <v>9853</v>
      </c>
      <c r="D7202" t="s">
        <v>160</v>
      </c>
      <c r="E7202" s="13">
        <v>1</v>
      </c>
      <c r="F7202" s="12">
        <v>27.44</v>
      </c>
      <c r="G7202" t="str">
        <f>IFERROR(INDEX(tEditais[Órgão],MATCH(tItens[[#This Row],[Edital]],tEditais[Edital],0)),"")</f>
        <v>CIMCERO - CONSORCIO INTERMUNICIPAL DA REGIAO CENTRO LESTE DO ESTADO DE RONDONIA</v>
      </c>
      <c r="H7202" t="str">
        <f>IFERROR(INDEX(tEditais[UF],MATCH(tItens[[#This Row],[Edital]],tEditais[Edital],0)),"")</f>
        <v>RO</v>
      </c>
      <c r="I7202" s="11">
        <f>IFERROR(INDEX(tEditais[Encerramento],MATCH(tItens[[#This Row],[Edital]],tEditais[Edital],0)),"")</f>
        <v>46310.729166666664</v>
      </c>
      <c r="J7202" t="str">
        <f>IFERROR(INDEX(tProdutos[Classe],MATCH(tItens[[#This Row],[Produto]],tProdutos[Produto],0)),"produto não cadastrado")</f>
        <v>DISPUTADO</v>
      </c>
      <c r="K7202" s="12">
        <f>tItens[[#This Row],[Qtd]]*tItens[[#This Row],[Vlr unit]]</f>
        <v>27.44</v>
      </c>
      <c r="L7202" s="6">
        <f>IFERROR(IF(INDEX(tProdutos[Desconto homologado],MATCH(tItens[[#This Row],[Produto]],tProdutos[Produto],0))="",DescontoPadrao,INDEX(tProdutos[Desconto homologado],MATCH(tItens[[#This Row],[Produto]],tProdutos[Produto],0))),DescontoPadrao)</f>
        <v>0.28000000000000003</v>
      </c>
      <c r="M7202" s="12">
        <f>tItens[[#This Row],[Valor]]*(1-tItens[[#This Row],[Desconto]])</f>
        <v>19.756800000000002</v>
      </c>
      <c r="N7202" t="str">
        <f>IFERROR(INDEX(tProdutos[Foco],MATCH(tItens[[#This Row],[Produto]],tProdutos[Produto],0)),"Não")</f>
        <v>Sim</v>
      </c>
      <c r="O7202" t="str">
        <f>IFERROR(INDEX(tEditais[SRP],MATCH(tItens[[#This Row],[Edital]],tEditais[Edital],0)),"Não")</f>
        <v>Sim</v>
      </c>
      <c r="P7202" s="4">
        <f>IF(COUNTIFS(INDEX(tItens[Edital],1):tItens[[#This Row],[Edital]],tItens[[#This Row],[Edital]],INDEX(tItens[Produto],1):tItens[[#This Row],[Produto]],tItens[[#This Row],[Produto]])=1,1,0)</f>
        <v>0</v>
      </c>
    </row>
    <row r="7203" spans="1:16" x14ac:dyDescent="0.25">
      <c r="A7203" t="s">
        <v>2468</v>
      </c>
      <c r="B7203">
        <v>129</v>
      </c>
      <c r="C7203" t="s">
        <v>9854</v>
      </c>
      <c r="D7203" t="s">
        <v>419</v>
      </c>
      <c r="E7203" s="13">
        <v>1</v>
      </c>
      <c r="F7203" s="12">
        <v>38.17</v>
      </c>
      <c r="G7203" t="str">
        <f>IFERROR(INDEX(tEditais[Órgão],MATCH(tItens[[#This Row],[Edital]],tEditais[Edital],0)),"")</f>
        <v>CIMCERO - CONSORCIO INTERMUNICIPAL DA REGIAO CENTRO LESTE DO ESTADO DE RONDONIA</v>
      </c>
      <c r="H7203" t="str">
        <f>IFERROR(INDEX(tEditais[UF],MATCH(tItens[[#This Row],[Edital]],tEditais[Edital],0)),"")</f>
        <v>RO</v>
      </c>
      <c r="I7203" s="11">
        <f>IFERROR(INDEX(tEditais[Encerramento],MATCH(tItens[[#This Row],[Edital]],tEditais[Edital],0)),"")</f>
        <v>46310.729166666664</v>
      </c>
      <c r="J7203" t="str">
        <f>IFERROR(INDEX(tProdutos[Classe],MATCH(tItens[[#This Row],[Produto]],tProdutos[Produto],0)),"produto não cadastrado")</f>
        <v>FORA</v>
      </c>
      <c r="K7203" s="12">
        <f>tItens[[#This Row],[Qtd]]*tItens[[#This Row],[Vlr unit]]</f>
        <v>38.17</v>
      </c>
      <c r="L7203" s="6">
        <f>IFERROR(IF(INDEX(tProdutos[Desconto homologado],MATCH(tItens[[#This Row],[Produto]],tProdutos[Produto],0))="",DescontoPadrao,INDEX(tProdutos[Desconto homologado],MATCH(tItens[[#This Row],[Produto]],tProdutos[Produto],0))),DescontoPadrao)</f>
        <v>0.26185567010309302</v>
      </c>
      <c r="M7203" s="12">
        <f>tItens[[#This Row],[Valor]]*(1-tItens[[#This Row],[Desconto]])</f>
        <v>28.174969072164942</v>
      </c>
      <c r="N7203" t="str">
        <f>IFERROR(INDEX(tProdutos[Foco],MATCH(tItens[[#This Row],[Produto]],tProdutos[Produto],0)),"Não")</f>
        <v>Não</v>
      </c>
      <c r="O7203" t="str">
        <f>IFERROR(INDEX(tEditais[SRP],MATCH(tItens[[#This Row],[Edital]],tEditais[Edital],0)),"Não")</f>
        <v>Sim</v>
      </c>
      <c r="P7203" s="4">
        <f>IF(COUNTIFS(INDEX(tItens[Edital],1):tItens[[#This Row],[Edital]],tItens[[#This Row],[Edital]],INDEX(tItens[Produto],1):tItens[[#This Row],[Produto]],tItens[[#This Row],[Produto]])=1,1,0)</f>
        <v>1</v>
      </c>
    </row>
    <row r="7204" spans="1:16" x14ac:dyDescent="0.25">
      <c r="A7204" t="s">
        <v>2468</v>
      </c>
      <c r="B7204">
        <v>130</v>
      </c>
      <c r="C7204" t="s">
        <v>9855</v>
      </c>
      <c r="D7204" t="s">
        <v>409</v>
      </c>
      <c r="E7204" s="13">
        <v>1</v>
      </c>
      <c r="F7204" s="12">
        <v>5.57</v>
      </c>
      <c r="G7204" t="str">
        <f>IFERROR(INDEX(tEditais[Órgão],MATCH(tItens[[#This Row],[Edital]],tEditais[Edital],0)),"")</f>
        <v>CIMCERO - CONSORCIO INTERMUNICIPAL DA REGIAO CENTRO LESTE DO ESTADO DE RONDONIA</v>
      </c>
      <c r="H7204" t="str">
        <f>IFERROR(INDEX(tEditais[UF],MATCH(tItens[[#This Row],[Edital]],tEditais[Edital],0)),"")</f>
        <v>RO</v>
      </c>
      <c r="I7204" s="11">
        <f>IFERROR(INDEX(tEditais[Encerramento],MATCH(tItens[[#This Row],[Edital]],tEditais[Edital],0)),"")</f>
        <v>46310.729166666664</v>
      </c>
      <c r="J7204" t="str">
        <f>IFERROR(INDEX(tProdutos[Classe],MATCH(tItens[[#This Row],[Produto]],tProdutos[Produto],0)),"produto não cadastrado")</f>
        <v>FORA</v>
      </c>
      <c r="K7204" s="12">
        <f>tItens[[#This Row],[Qtd]]*tItens[[#This Row],[Vlr unit]]</f>
        <v>5.57</v>
      </c>
      <c r="L7204" s="6">
        <f>IFERROR(IF(INDEX(tProdutos[Desconto homologado],MATCH(tItens[[#This Row],[Produto]],tProdutos[Produto],0))="",DescontoPadrao,INDEX(tProdutos[Desconto homologado],MATCH(tItens[[#This Row],[Produto]],tProdutos[Produto],0))),DescontoPadrao)</f>
        <v>0.24924924924924899</v>
      </c>
      <c r="M7204" s="12">
        <f>tItens[[#This Row],[Valor]]*(1-tItens[[#This Row],[Desconto]])</f>
        <v>4.1816816816816837</v>
      </c>
      <c r="N7204" t="str">
        <f>IFERROR(INDEX(tProdutos[Foco],MATCH(tItens[[#This Row],[Produto]],tProdutos[Produto],0)),"Não")</f>
        <v>Não</v>
      </c>
      <c r="O7204" t="str">
        <f>IFERROR(INDEX(tEditais[SRP],MATCH(tItens[[#This Row],[Edital]],tEditais[Edital],0)),"Não")</f>
        <v>Sim</v>
      </c>
      <c r="P7204" s="4">
        <f>IF(COUNTIFS(INDEX(tItens[Edital],1):tItens[[#This Row],[Edital]],tItens[[#This Row],[Edital]],INDEX(tItens[Produto],1):tItens[[#This Row],[Produto]],tItens[[#This Row],[Produto]])=1,1,0)</f>
        <v>0</v>
      </c>
    </row>
    <row r="7205" spans="1:16" x14ac:dyDescent="0.25">
      <c r="A7205" t="s">
        <v>2468</v>
      </c>
      <c r="B7205">
        <v>135</v>
      </c>
      <c r="C7205" t="s">
        <v>9856</v>
      </c>
      <c r="D7205" t="s">
        <v>98</v>
      </c>
      <c r="E7205" s="13">
        <v>1</v>
      </c>
      <c r="F7205" s="12">
        <v>2.67</v>
      </c>
      <c r="G7205" t="str">
        <f>IFERROR(INDEX(tEditais[Órgão],MATCH(tItens[[#This Row],[Edital]],tEditais[Edital],0)),"")</f>
        <v>CIMCERO - CONSORCIO INTERMUNICIPAL DA REGIAO CENTRO LESTE DO ESTADO DE RONDONIA</v>
      </c>
      <c r="H7205" t="str">
        <f>IFERROR(INDEX(tEditais[UF],MATCH(tItens[[#This Row],[Edital]],tEditais[Edital],0)),"")</f>
        <v>RO</v>
      </c>
      <c r="I7205" s="11">
        <f>IFERROR(INDEX(tEditais[Encerramento],MATCH(tItens[[#This Row],[Edital]],tEditais[Edital],0)),"")</f>
        <v>46310.729166666664</v>
      </c>
      <c r="J7205" t="str">
        <f>IFERROR(INDEX(tProdutos[Classe],MATCH(tItens[[#This Row],[Produto]],tProdutos[Produto],0)),"produto não cadastrado")</f>
        <v>NÚCLEO</v>
      </c>
      <c r="K7205" s="12">
        <f>tItens[[#This Row],[Qtd]]*tItens[[#This Row],[Vlr unit]]</f>
        <v>2.67</v>
      </c>
      <c r="L7205" s="6">
        <f>IFERROR(IF(INDEX(tProdutos[Desconto homologado],MATCH(tItens[[#This Row],[Produto]],tProdutos[Produto],0))="",DescontoPadrao,INDEX(tProdutos[Desconto homologado],MATCH(tItens[[#This Row],[Produto]],tProdutos[Produto],0))),DescontoPadrao)</f>
        <v>0.39</v>
      </c>
      <c r="M7205" s="12">
        <f>tItens[[#This Row],[Valor]]*(1-tItens[[#This Row],[Desconto]])</f>
        <v>1.6286999999999998</v>
      </c>
      <c r="N7205" t="str">
        <f>IFERROR(INDEX(tProdutos[Foco],MATCH(tItens[[#This Row],[Produto]],tProdutos[Produto],0)),"Não")</f>
        <v>Sim</v>
      </c>
      <c r="O7205" t="str">
        <f>IFERROR(INDEX(tEditais[SRP],MATCH(tItens[[#This Row],[Edital]],tEditais[Edital],0)),"Não")</f>
        <v>Sim</v>
      </c>
      <c r="P7205" s="4">
        <f>IF(COUNTIFS(INDEX(tItens[Edital],1):tItens[[#This Row],[Edital]],tItens[[#This Row],[Edital]],INDEX(tItens[Produto],1):tItens[[#This Row],[Produto]],tItens[[#This Row],[Produto]])=1,1,0)</f>
        <v>1</v>
      </c>
    </row>
    <row r="7206" spans="1:16" x14ac:dyDescent="0.25">
      <c r="A7206" t="s">
        <v>2468</v>
      </c>
      <c r="B7206">
        <v>136</v>
      </c>
      <c r="C7206" t="s">
        <v>9857</v>
      </c>
      <c r="D7206" t="s">
        <v>98</v>
      </c>
      <c r="E7206" s="13">
        <v>1</v>
      </c>
      <c r="F7206" s="12">
        <v>3.34</v>
      </c>
      <c r="G7206" t="str">
        <f>IFERROR(INDEX(tEditais[Órgão],MATCH(tItens[[#This Row],[Edital]],tEditais[Edital],0)),"")</f>
        <v>CIMCERO - CONSORCIO INTERMUNICIPAL DA REGIAO CENTRO LESTE DO ESTADO DE RONDONIA</v>
      </c>
      <c r="H7206" t="str">
        <f>IFERROR(INDEX(tEditais[UF],MATCH(tItens[[#This Row],[Edital]],tEditais[Edital],0)),"")</f>
        <v>RO</v>
      </c>
      <c r="I7206" s="11">
        <f>IFERROR(INDEX(tEditais[Encerramento],MATCH(tItens[[#This Row],[Edital]],tEditais[Edital],0)),"")</f>
        <v>46310.729166666664</v>
      </c>
      <c r="J7206" t="str">
        <f>IFERROR(INDEX(tProdutos[Classe],MATCH(tItens[[#This Row],[Produto]],tProdutos[Produto],0)),"produto não cadastrado")</f>
        <v>NÚCLEO</v>
      </c>
      <c r="K7206" s="12">
        <f>tItens[[#This Row],[Qtd]]*tItens[[#This Row],[Vlr unit]]</f>
        <v>3.34</v>
      </c>
      <c r="L7206" s="6">
        <f>IFERROR(IF(INDEX(tProdutos[Desconto homologado],MATCH(tItens[[#This Row],[Produto]],tProdutos[Produto],0))="",DescontoPadrao,INDEX(tProdutos[Desconto homologado],MATCH(tItens[[#This Row],[Produto]],tProdutos[Produto],0))),DescontoPadrao)</f>
        <v>0.39</v>
      </c>
      <c r="M7206" s="12">
        <f>tItens[[#This Row],[Valor]]*(1-tItens[[#This Row],[Desconto]])</f>
        <v>2.0373999999999999</v>
      </c>
      <c r="N7206" t="str">
        <f>IFERROR(INDEX(tProdutos[Foco],MATCH(tItens[[#This Row],[Produto]],tProdutos[Produto],0)),"Não")</f>
        <v>Sim</v>
      </c>
      <c r="O7206" t="str">
        <f>IFERROR(INDEX(tEditais[SRP],MATCH(tItens[[#This Row],[Edital]],tEditais[Edital],0)),"Não")</f>
        <v>Sim</v>
      </c>
      <c r="P7206" s="4">
        <f>IF(COUNTIFS(INDEX(tItens[Edital],1):tItens[[#This Row],[Edital]],tItens[[#This Row],[Edital]],INDEX(tItens[Produto],1):tItens[[#This Row],[Produto]],tItens[[#This Row],[Produto]])=1,1,0)</f>
        <v>0</v>
      </c>
    </row>
    <row r="7207" spans="1:16" x14ac:dyDescent="0.25">
      <c r="A7207" t="s">
        <v>2468</v>
      </c>
      <c r="B7207">
        <v>139</v>
      </c>
      <c r="C7207" t="s">
        <v>9858</v>
      </c>
      <c r="D7207" t="s">
        <v>98</v>
      </c>
      <c r="E7207" s="13">
        <v>1</v>
      </c>
      <c r="F7207" s="12">
        <v>2.79</v>
      </c>
      <c r="G7207" t="str">
        <f>IFERROR(INDEX(tEditais[Órgão],MATCH(tItens[[#This Row],[Edital]],tEditais[Edital],0)),"")</f>
        <v>CIMCERO - CONSORCIO INTERMUNICIPAL DA REGIAO CENTRO LESTE DO ESTADO DE RONDONIA</v>
      </c>
      <c r="H7207" t="str">
        <f>IFERROR(INDEX(tEditais[UF],MATCH(tItens[[#This Row],[Edital]],tEditais[Edital],0)),"")</f>
        <v>RO</v>
      </c>
      <c r="I7207" s="11">
        <f>IFERROR(INDEX(tEditais[Encerramento],MATCH(tItens[[#This Row],[Edital]],tEditais[Edital],0)),"")</f>
        <v>46310.729166666664</v>
      </c>
      <c r="J7207" t="str">
        <f>IFERROR(INDEX(tProdutos[Classe],MATCH(tItens[[#This Row],[Produto]],tProdutos[Produto],0)),"produto não cadastrado")</f>
        <v>NÚCLEO</v>
      </c>
      <c r="K7207" s="12">
        <f>tItens[[#This Row],[Qtd]]*tItens[[#This Row],[Vlr unit]]</f>
        <v>2.79</v>
      </c>
      <c r="L7207" s="6">
        <f>IFERROR(IF(INDEX(tProdutos[Desconto homologado],MATCH(tItens[[#This Row],[Produto]],tProdutos[Produto],0))="",DescontoPadrao,INDEX(tProdutos[Desconto homologado],MATCH(tItens[[#This Row],[Produto]],tProdutos[Produto],0))),DescontoPadrao)</f>
        <v>0.39</v>
      </c>
      <c r="M7207" s="12">
        <f>tItens[[#This Row],[Valor]]*(1-tItens[[#This Row],[Desconto]])</f>
        <v>1.7019</v>
      </c>
      <c r="N7207" t="str">
        <f>IFERROR(INDEX(tProdutos[Foco],MATCH(tItens[[#This Row],[Produto]],tProdutos[Produto],0)),"Não")</f>
        <v>Sim</v>
      </c>
      <c r="O7207" t="str">
        <f>IFERROR(INDEX(tEditais[SRP],MATCH(tItens[[#This Row],[Edital]],tEditais[Edital],0)),"Não")</f>
        <v>Sim</v>
      </c>
      <c r="P7207" s="4">
        <f>IF(COUNTIFS(INDEX(tItens[Edital],1):tItens[[#This Row],[Edital]],tItens[[#This Row],[Edital]],INDEX(tItens[Produto],1):tItens[[#This Row],[Produto]],tItens[[#This Row],[Produto]])=1,1,0)</f>
        <v>0</v>
      </c>
    </row>
    <row r="7208" spans="1:16" x14ac:dyDescent="0.25">
      <c r="A7208" t="s">
        <v>2468</v>
      </c>
      <c r="B7208">
        <v>142</v>
      </c>
      <c r="C7208" t="s">
        <v>9859</v>
      </c>
      <c r="D7208" t="s">
        <v>387</v>
      </c>
      <c r="E7208" s="13">
        <v>1</v>
      </c>
      <c r="F7208" s="12">
        <v>81.900000000000006</v>
      </c>
      <c r="G7208" t="str">
        <f>IFERROR(INDEX(tEditais[Órgão],MATCH(tItens[[#This Row],[Edital]],tEditais[Edital],0)),"")</f>
        <v>CIMCERO - CONSORCIO INTERMUNICIPAL DA REGIAO CENTRO LESTE DO ESTADO DE RONDONIA</v>
      </c>
      <c r="H7208" t="str">
        <f>IFERROR(INDEX(tEditais[UF],MATCH(tItens[[#This Row],[Edital]],tEditais[Edital],0)),"")</f>
        <v>RO</v>
      </c>
      <c r="I7208" s="11">
        <f>IFERROR(INDEX(tEditais[Encerramento],MATCH(tItens[[#This Row],[Edital]],tEditais[Edital],0)),"")</f>
        <v>46310.729166666664</v>
      </c>
      <c r="J7208" t="str">
        <f>IFERROR(INDEX(tProdutos[Classe],MATCH(tItens[[#This Row],[Produto]],tProdutos[Produto],0)),"produto não cadastrado")</f>
        <v>FORA</v>
      </c>
      <c r="K7208" s="12">
        <f>tItens[[#This Row],[Qtd]]*tItens[[#This Row],[Vlr unit]]</f>
        <v>81.900000000000006</v>
      </c>
      <c r="L7208" s="6">
        <f>IFERROR(IF(INDEX(tProdutos[Desconto homologado],MATCH(tItens[[#This Row],[Produto]],tProdutos[Produto],0))="",DescontoPadrao,INDEX(tProdutos[Desconto homologado],MATCH(tItens[[#This Row],[Produto]],tProdutos[Produto],0))),DescontoPadrao)</f>
        <v>0.30458221024258803</v>
      </c>
      <c r="M7208" s="12">
        <f>tItens[[#This Row],[Valor]]*(1-tItens[[#This Row],[Desconto]])</f>
        <v>56.954716981132044</v>
      </c>
      <c r="N7208" t="str">
        <f>IFERROR(INDEX(tProdutos[Foco],MATCH(tItens[[#This Row],[Produto]],tProdutos[Produto],0)),"Não")</f>
        <v>Não</v>
      </c>
      <c r="O7208" t="str">
        <f>IFERROR(INDEX(tEditais[SRP],MATCH(tItens[[#This Row],[Edital]],tEditais[Edital],0)),"Não")</f>
        <v>Sim</v>
      </c>
      <c r="P7208" s="4">
        <f>IF(COUNTIFS(INDEX(tItens[Edital],1):tItens[[#This Row],[Edital]],tItens[[#This Row],[Edital]],INDEX(tItens[Produto],1):tItens[[#This Row],[Produto]],tItens[[#This Row],[Produto]])=1,1,0)</f>
        <v>1</v>
      </c>
    </row>
    <row r="7209" spans="1:16" x14ac:dyDescent="0.25">
      <c r="A7209" t="s">
        <v>2468</v>
      </c>
      <c r="B7209">
        <v>149</v>
      </c>
      <c r="C7209" t="s">
        <v>9860</v>
      </c>
      <c r="D7209" t="s">
        <v>245</v>
      </c>
      <c r="E7209" s="13">
        <v>1</v>
      </c>
      <c r="F7209" s="12">
        <v>44.9</v>
      </c>
      <c r="G7209" t="str">
        <f>IFERROR(INDEX(tEditais[Órgão],MATCH(tItens[[#This Row],[Edital]],tEditais[Edital],0)),"")</f>
        <v>CIMCERO - CONSORCIO INTERMUNICIPAL DA REGIAO CENTRO LESTE DO ESTADO DE RONDONIA</v>
      </c>
      <c r="H7209" t="str">
        <f>IFERROR(INDEX(tEditais[UF],MATCH(tItens[[#This Row],[Edital]],tEditais[Edital],0)),"")</f>
        <v>RO</v>
      </c>
      <c r="I7209" s="11">
        <f>IFERROR(INDEX(tEditais[Encerramento],MATCH(tItens[[#This Row],[Edital]],tEditais[Edital],0)),"")</f>
        <v>46310.729166666664</v>
      </c>
      <c r="J7209" t="str">
        <f>IFERROR(INDEX(tProdutos[Classe],MATCH(tItens[[#This Row],[Produto]],tProdutos[Produto],0)),"produto não cadastrado")</f>
        <v>FORA</v>
      </c>
      <c r="K7209" s="12">
        <f>tItens[[#This Row],[Qtd]]*tItens[[#This Row],[Vlr unit]]</f>
        <v>44.9</v>
      </c>
      <c r="L7209" s="6">
        <f>IFERROR(IF(INDEX(tProdutos[Desconto homologado],MATCH(tItens[[#This Row],[Produto]],tProdutos[Produto],0))="",DescontoPadrao,INDEX(tProdutos[Desconto homologado],MATCH(tItens[[#This Row],[Produto]],tProdutos[Produto],0))),DescontoPadrao)</f>
        <v>0.34516963542284401</v>
      </c>
      <c r="M7209" s="12">
        <f>tItens[[#This Row],[Valor]]*(1-tItens[[#This Row],[Desconto]])</f>
        <v>29.401883369514305</v>
      </c>
      <c r="N7209" t="str">
        <f>IFERROR(INDEX(tProdutos[Foco],MATCH(tItens[[#This Row],[Produto]],tProdutos[Produto],0)),"Não")</f>
        <v>Não</v>
      </c>
      <c r="O7209" t="str">
        <f>IFERROR(INDEX(tEditais[SRP],MATCH(tItens[[#This Row],[Edital]],tEditais[Edital],0)),"Não")</f>
        <v>Sim</v>
      </c>
      <c r="P7209" s="4">
        <f>IF(COUNTIFS(INDEX(tItens[Edital],1):tItens[[#This Row],[Edital]],tItens[[#This Row],[Edital]],INDEX(tItens[Produto],1):tItens[[#This Row],[Produto]],tItens[[#This Row],[Produto]])=1,1,0)</f>
        <v>1</v>
      </c>
    </row>
    <row r="7210" spans="1:16" x14ac:dyDescent="0.25">
      <c r="A7210" t="s">
        <v>2468</v>
      </c>
      <c r="B7210">
        <v>153</v>
      </c>
      <c r="C7210" t="s">
        <v>9861</v>
      </c>
      <c r="D7210" t="s">
        <v>245</v>
      </c>
      <c r="E7210" s="13">
        <v>1</v>
      </c>
      <c r="F7210" s="12">
        <v>41.1</v>
      </c>
      <c r="G7210" t="str">
        <f>IFERROR(INDEX(tEditais[Órgão],MATCH(tItens[[#This Row],[Edital]],tEditais[Edital],0)),"")</f>
        <v>CIMCERO - CONSORCIO INTERMUNICIPAL DA REGIAO CENTRO LESTE DO ESTADO DE RONDONIA</v>
      </c>
      <c r="H7210" t="str">
        <f>IFERROR(INDEX(tEditais[UF],MATCH(tItens[[#This Row],[Edital]],tEditais[Edital],0)),"")</f>
        <v>RO</v>
      </c>
      <c r="I7210" s="11">
        <f>IFERROR(INDEX(tEditais[Encerramento],MATCH(tItens[[#This Row],[Edital]],tEditais[Edital],0)),"")</f>
        <v>46310.729166666664</v>
      </c>
      <c r="J7210" t="str">
        <f>IFERROR(INDEX(tProdutos[Classe],MATCH(tItens[[#This Row],[Produto]],tProdutos[Produto],0)),"produto não cadastrado")</f>
        <v>FORA</v>
      </c>
      <c r="K7210" s="12">
        <f>tItens[[#This Row],[Qtd]]*tItens[[#This Row],[Vlr unit]]</f>
        <v>41.1</v>
      </c>
      <c r="L7210" s="6">
        <f>IFERROR(IF(INDEX(tProdutos[Desconto homologado],MATCH(tItens[[#This Row],[Produto]],tProdutos[Produto],0))="",DescontoPadrao,INDEX(tProdutos[Desconto homologado],MATCH(tItens[[#This Row],[Produto]],tProdutos[Produto],0))),DescontoPadrao)</f>
        <v>0.34516963542284401</v>
      </c>
      <c r="M7210" s="12">
        <f>tItens[[#This Row],[Valor]]*(1-tItens[[#This Row],[Desconto]])</f>
        <v>26.913527984121114</v>
      </c>
      <c r="N7210" t="str">
        <f>IFERROR(INDEX(tProdutos[Foco],MATCH(tItens[[#This Row],[Produto]],tProdutos[Produto],0)),"Não")</f>
        <v>Não</v>
      </c>
      <c r="O7210" t="str">
        <f>IFERROR(INDEX(tEditais[SRP],MATCH(tItens[[#This Row],[Edital]],tEditais[Edital],0)),"Não")</f>
        <v>Sim</v>
      </c>
      <c r="P7210" s="4">
        <f>IF(COUNTIFS(INDEX(tItens[Edital],1):tItens[[#This Row],[Edital]],tItens[[#This Row],[Edital]],INDEX(tItens[Produto],1):tItens[[#This Row],[Produto]],tItens[[#This Row],[Produto]])=1,1,0)</f>
        <v>0</v>
      </c>
    </row>
    <row r="7211" spans="1:16" x14ac:dyDescent="0.25">
      <c r="A7211" t="s">
        <v>2468</v>
      </c>
      <c r="B7211">
        <v>154</v>
      </c>
      <c r="C7211" t="s">
        <v>9862</v>
      </c>
      <c r="D7211" t="s">
        <v>245</v>
      </c>
      <c r="E7211" s="13">
        <v>1</v>
      </c>
      <c r="F7211" s="12">
        <v>117.94</v>
      </c>
      <c r="G7211" t="str">
        <f>IFERROR(INDEX(tEditais[Órgão],MATCH(tItens[[#This Row],[Edital]],tEditais[Edital],0)),"")</f>
        <v>CIMCERO - CONSORCIO INTERMUNICIPAL DA REGIAO CENTRO LESTE DO ESTADO DE RONDONIA</v>
      </c>
      <c r="H7211" t="str">
        <f>IFERROR(INDEX(tEditais[UF],MATCH(tItens[[#This Row],[Edital]],tEditais[Edital],0)),"")</f>
        <v>RO</v>
      </c>
      <c r="I7211" s="11">
        <f>IFERROR(INDEX(tEditais[Encerramento],MATCH(tItens[[#This Row],[Edital]],tEditais[Edital],0)),"")</f>
        <v>46310.729166666664</v>
      </c>
      <c r="J7211" t="str">
        <f>IFERROR(INDEX(tProdutos[Classe],MATCH(tItens[[#This Row],[Produto]],tProdutos[Produto],0)),"produto não cadastrado")</f>
        <v>FORA</v>
      </c>
      <c r="K7211" s="12">
        <f>tItens[[#This Row],[Qtd]]*tItens[[#This Row],[Vlr unit]]</f>
        <v>117.94</v>
      </c>
      <c r="L7211" s="6">
        <f>IFERROR(IF(INDEX(tProdutos[Desconto homologado],MATCH(tItens[[#This Row],[Produto]],tProdutos[Produto],0))="",DescontoPadrao,INDEX(tProdutos[Desconto homologado],MATCH(tItens[[#This Row],[Produto]],tProdutos[Produto],0))),DescontoPadrao)</f>
        <v>0.34516963542284401</v>
      </c>
      <c r="M7211" s="12">
        <f>tItens[[#This Row],[Valor]]*(1-tItens[[#This Row],[Desconto]])</f>
        <v>77.230693198229787</v>
      </c>
      <c r="N7211" t="str">
        <f>IFERROR(INDEX(tProdutos[Foco],MATCH(tItens[[#This Row],[Produto]],tProdutos[Produto],0)),"Não")</f>
        <v>Não</v>
      </c>
      <c r="O7211" t="str">
        <f>IFERROR(INDEX(tEditais[SRP],MATCH(tItens[[#This Row],[Edital]],tEditais[Edital],0)),"Não")</f>
        <v>Sim</v>
      </c>
      <c r="P7211" s="4">
        <f>IF(COUNTIFS(INDEX(tItens[Edital],1):tItens[[#This Row],[Edital]],tItens[[#This Row],[Edital]],INDEX(tItens[Produto],1):tItens[[#This Row],[Produto]],tItens[[#This Row],[Produto]])=1,1,0)</f>
        <v>0</v>
      </c>
    </row>
    <row r="7212" spans="1:16" x14ac:dyDescent="0.25">
      <c r="A7212" t="s">
        <v>2468</v>
      </c>
      <c r="B7212">
        <v>155</v>
      </c>
      <c r="C7212" t="s">
        <v>9863</v>
      </c>
      <c r="D7212" t="s">
        <v>245</v>
      </c>
      <c r="E7212" s="13">
        <v>1</v>
      </c>
      <c r="F7212" s="12">
        <v>69.33</v>
      </c>
      <c r="G7212" t="str">
        <f>IFERROR(INDEX(tEditais[Órgão],MATCH(tItens[[#This Row],[Edital]],tEditais[Edital],0)),"")</f>
        <v>CIMCERO - CONSORCIO INTERMUNICIPAL DA REGIAO CENTRO LESTE DO ESTADO DE RONDONIA</v>
      </c>
      <c r="H7212" t="str">
        <f>IFERROR(INDEX(tEditais[UF],MATCH(tItens[[#This Row],[Edital]],tEditais[Edital],0)),"")</f>
        <v>RO</v>
      </c>
      <c r="I7212" s="11">
        <f>IFERROR(INDEX(tEditais[Encerramento],MATCH(tItens[[#This Row],[Edital]],tEditais[Edital],0)),"")</f>
        <v>46310.729166666664</v>
      </c>
      <c r="J7212" t="str">
        <f>IFERROR(INDEX(tProdutos[Classe],MATCH(tItens[[#This Row],[Produto]],tProdutos[Produto],0)),"produto não cadastrado")</f>
        <v>FORA</v>
      </c>
      <c r="K7212" s="12">
        <f>tItens[[#This Row],[Qtd]]*tItens[[#This Row],[Vlr unit]]</f>
        <v>69.33</v>
      </c>
      <c r="L7212" s="6">
        <f>IFERROR(IF(INDEX(tProdutos[Desconto homologado],MATCH(tItens[[#This Row],[Produto]],tProdutos[Produto],0))="",DescontoPadrao,INDEX(tProdutos[Desconto homologado],MATCH(tItens[[#This Row],[Produto]],tProdutos[Produto],0))),DescontoPadrao)</f>
        <v>0.34516963542284401</v>
      </c>
      <c r="M7212" s="12">
        <f>tItens[[#This Row],[Valor]]*(1-tItens[[#This Row],[Desconto]])</f>
        <v>45.399389176134228</v>
      </c>
      <c r="N7212" t="str">
        <f>IFERROR(INDEX(tProdutos[Foco],MATCH(tItens[[#This Row],[Produto]],tProdutos[Produto],0)),"Não")</f>
        <v>Não</v>
      </c>
      <c r="O7212" t="str">
        <f>IFERROR(INDEX(tEditais[SRP],MATCH(tItens[[#This Row],[Edital]],tEditais[Edital],0)),"Não")</f>
        <v>Sim</v>
      </c>
      <c r="P7212" s="4">
        <f>IF(COUNTIFS(INDEX(tItens[Edital],1):tItens[[#This Row],[Edital]],tItens[[#This Row],[Edital]],INDEX(tItens[Produto],1):tItens[[#This Row],[Produto]],tItens[[#This Row],[Produto]])=1,1,0)</f>
        <v>0</v>
      </c>
    </row>
    <row r="7213" spans="1:16" x14ac:dyDescent="0.25">
      <c r="A7213" t="s">
        <v>2468</v>
      </c>
      <c r="B7213">
        <v>157</v>
      </c>
      <c r="C7213" t="s">
        <v>9864</v>
      </c>
      <c r="D7213" t="s">
        <v>245</v>
      </c>
      <c r="E7213" s="13">
        <v>1</v>
      </c>
      <c r="F7213" s="12">
        <v>577.44000000000005</v>
      </c>
      <c r="G7213" t="str">
        <f>IFERROR(INDEX(tEditais[Órgão],MATCH(tItens[[#This Row],[Edital]],tEditais[Edital],0)),"")</f>
        <v>CIMCERO - CONSORCIO INTERMUNICIPAL DA REGIAO CENTRO LESTE DO ESTADO DE RONDONIA</v>
      </c>
      <c r="H7213" t="str">
        <f>IFERROR(INDEX(tEditais[UF],MATCH(tItens[[#This Row],[Edital]],tEditais[Edital],0)),"")</f>
        <v>RO</v>
      </c>
      <c r="I7213" s="11">
        <f>IFERROR(INDEX(tEditais[Encerramento],MATCH(tItens[[#This Row],[Edital]],tEditais[Edital],0)),"")</f>
        <v>46310.729166666664</v>
      </c>
      <c r="J7213" t="str">
        <f>IFERROR(INDEX(tProdutos[Classe],MATCH(tItens[[#This Row],[Produto]],tProdutos[Produto],0)),"produto não cadastrado")</f>
        <v>FORA</v>
      </c>
      <c r="K7213" s="12">
        <f>tItens[[#This Row],[Qtd]]*tItens[[#This Row],[Vlr unit]]</f>
        <v>577.44000000000005</v>
      </c>
      <c r="L7213" s="6">
        <f>IFERROR(IF(INDEX(tProdutos[Desconto homologado],MATCH(tItens[[#This Row],[Produto]],tProdutos[Produto],0))="",DescontoPadrao,INDEX(tProdutos[Desconto homologado],MATCH(tItens[[#This Row],[Produto]],tProdutos[Produto],0))),DescontoPadrao)</f>
        <v>0.34516963542284401</v>
      </c>
      <c r="M7213" s="12">
        <f>tItens[[#This Row],[Valor]]*(1-tItens[[#This Row],[Desconto]])</f>
        <v>378.12524572143303</v>
      </c>
      <c r="N7213" t="str">
        <f>IFERROR(INDEX(tProdutos[Foco],MATCH(tItens[[#This Row],[Produto]],tProdutos[Produto],0)),"Não")</f>
        <v>Não</v>
      </c>
      <c r="O7213" t="str">
        <f>IFERROR(INDEX(tEditais[SRP],MATCH(tItens[[#This Row],[Edital]],tEditais[Edital],0)),"Não")</f>
        <v>Sim</v>
      </c>
      <c r="P7213" s="4">
        <f>IF(COUNTIFS(INDEX(tItens[Edital],1):tItens[[#This Row],[Edital]],tItens[[#This Row],[Edital]],INDEX(tItens[Produto],1):tItens[[#This Row],[Produto]],tItens[[#This Row],[Produto]])=1,1,0)</f>
        <v>0</v>
      </c>
    </row>
    <row r="7214" spans="1:16" x14ac:dyDescent="0.25">
      <c r="A7214" t="s">
        <v>2468</v>
      </c>
      <c r="B7214">
        <v>158</v>
      </c>
      <c r="C7214" t="s">
        <v>9865</v>
      </c>
      <c r="D7214" t="s">
        <v>245</v>
      </c>
      <c r="E7214" s="13">
        <v>1</v>
      </c>
      <c r="F7214" s="12">
        <v>104.59</v>
      </c>
      <c r="G7214" t="str">
        <f>IFERROR(INDEX(tEditais[Órgão],MATCH(tItens[[#This Row],[Edital]],tEditais[Edital],0)),"")</f>
        <v>CIMCERO - CONSORCIO INTERMUNICIPAL DA REGIAO CENTRO LESTE DO ESTADO DE RONDONIA</v>
      </c>
      <c r="H7214" t="str">
        <f>IFERROR(INDEX(tEditais[UF],MATCH(tItens[[#This Row],[Edital]],tEditais[Edital],0)),"")</f>
        <v>RO</v>
      </c>
      <c r="I7214" s="11">
        <f>IFERROR(INDEX(tEditais[Encerramento],MATCH(tItens[[#This Row],[Edital]],tEditais[Edital],0)),"")</f>
        <v>46310.729166666664</v>
      </c>
      <c r="J7214" t="str">
        <f>IFERROR(INDEX(tProdutos[Classe],MATCH(tItens[[#This Row],[Produto]],tProdutos[Produto],0)),"produto não cadastrado")</f>
        <v>FORA</v>
      </c>
      <c r="K7214" s="12">
        <f>tItens[[#This Row],[Qtd]]*tItens[[#This Row],[Vlr unit]]</f>
        <v>104.59</v>
      </c>
      <c r="L7214" s="6">
        <f>IFERROR(IF(INDEX(tProdutos[Desconto homologado],MATCH(tItens[[#This Row],[Produto]],tProdutos[Produto],0))="",DescontoPadrao,INDEX(tProdutos[Desconto homologado],MATCH(tItens[[#This Row],[Produto]],tProdutos[Produto],0))),DescontoPadrao)</f>
        <v>0.34516963542284401</v>
      </c>
      <c r="M7214" s="12">
        <f>tItens[[#This Row],[Valor]]*(1-tItens[[#This Row],[Desconto]])</f>
        <v>68.488707831124756</v>
      </c>
      <c r="N7214" t="str">
        <f>IFERROR(INDEX(tProdutos[Foco],MATCH(tItens[[#This Row],[Produto]],tProdutos[Produto],0)),"Não")</f>
        <v>Não</v>
      </c>
      <c r="O7214" t="str">
        <f>IFERROR(INDEX(tEditais[SRP],MATCH(tItens[[#This Row],[Edital]],tEditais[Edital],0)),"Não")</f>
        <v>Sim</v>
      </c>
      <c r="P7214" s="4">
        <f>IF(COUNTIFS(INDEX(tItens[Edital],1):tItens[[#This Row],[Edital]],tItens[[#This Row],[Edital]],INDEX(tItens[Produto],1):tItens[[#This Row],[Produto]],tItens[[#This Row],[Produto]])=1,1,0)</f>
        <v>0</v>
      </c>
    </row>
    <row r="7215" spans="1:16" x14ac:dyDescent="0.25">
      <c r="A7215" t="s">
        <v>2468</v>
      </c>
      <c r="B7215">
        <v>159</v>
      </c>
      <c r="C7215" t="s">
        <v>9866</v>
      </c>
      <c r="D7215" t="s">
        <v>245</v>
      </c>
      <c r="E7215" s="13">
        <v>1</v>
      </c>
      <c r="F7215" s="12">
        <v>40.81</v>
      </c>
      <c r="G7215" t="str">
        <f>IFERROR(INDEX(tEditais[Órgão],MATCH(tItens[[#This Row],[Edital]],tEditais[Edital],0)),"")</f>
        <v>CIMCERO - CONSORCIO INTERMUNICIPAL DA REGIAO CENTRO LESTE DO ESTADO DE RONDONIA</v>
      </c>
      <c r="H7215" t="str">
        <f>IFERROR(INDEX(tEditais[UF],MATCH(tItens[[#This Row],[Edital]],tEditais[Edital],0)),"")</f>
        <v>RO</v>
      </c>
      <c r="I7215" s="11">
        <f>IFERROR(INDEX(tEditais[Encerramento],MATCH(tItens[[#This Row],[Edital]],tEditais[Edital],0)),"")</f>
        <v>46310.729166666664</v>
      </c>
      <c r="J7215" t="str">
        <f>IFERROR(INDEX(tProdutos[Classe],MATCH(tItens[[#This Row],[Produto]],tProdutos[Produto],0)),"produto não cadastrado")</f>
        <v>FORA</v>
      </c>
      <c r="K7215" s="12">
        <f>tItens[[#This Row],[Qtd]]*tItens[[#This Row],[Vlr unit]]</f>
        <v>40.81</v>
      </c>
      <c r="L7215" s="6">
        <f>IFERROR(IF(INDEX(tProdutos[Desconto homologado],MATCH(tItens[[#This Row],[Produto]],tProdutos[Produto],0))="",DescontoPadrao,INDEX(tProdutos[Desconto homologado],MATCH(tItens[[#This Row],[Produto]],tProdutos[Produto],0))),DescontoPadrao)</f>
        <v>0.34516963542284401</v>
      </c>
      <c r="M7215" s="12">
        <f>tItens[[#This Row],[Valor]]*(1-tItens[[#This Row],[Desconto]])</f>
        <v>26.723627178393741</v>
      </c>
      <c r="N7215" t="str">
        <f>IFERROR(INDEX(tProdutos[Foco],MATCH(tItens[[#This Row],[Produto]],tProdutos[Produto],0)),"Não")</f>
        <v>Não</v>
      </c>
      <c r="O7215" t="str">
        <f>IFERROR(INDEX(tEditais[SRP],MATCH(tItens[[#This Row],[Edital]],tEditais[Edital],0)),"Não")</f>
        <v>Sim</v>
      </c>
      <c r="P7215" s="4">
        <f>IF(COUNTIFS(INDEX(tItens[Edital],1):tItens[[#This Row],[Edital]],tItens[[#This Row],[Edital]],INDEX(tItens[Produto],1):tItens[[#This Row],[Produto]],tItens[[#This Row],[Produto]])=1,1,0)</f>
        <v>0</v>
      </c>
    </row>
    <row r="7216" spans="1:16" x14ac:dyDescent="0.25">
      <c r="A7216" t="s">
        <v>2468</v>
      </c>
      <c r="B7216">
        <v>161</v>
      </c>
      <c r="C7216" t="s">
        <v>9867</v>
      </c>
      <c r="D7216" t="s">
        <v>245</v>
      </c>
      <c r="E7216" s="13">
        <v>1</v>
      </c>
      <c r="F7216" s="12">
        <v>44.82</v>
      </c>
      <c r="G7216" t="str">
        <f>IFERROR(INDEX(tEditais[Órgão],MATCH(tItens[[#This Row],[Edital]],tEditais[Edital],0)),"")</f>
        <v>CIMCERO - CONSORCIO INTERMUNICIPAL DA REGIAO CENTRO LESTE DO ESTADO DE RONDONIA</v>
      </c>
      <c r="H7216" t="str">
        <f>IFERROR(INDEX(tEditais[UF],MATCH(tItens[[#This Row],[Edital]],tEditais[Edital],0)),"")</f>
        <v>RO</v>
      </c>
      <c r="I7216" s="11">
        <f>IFERROR(INDEX(tEditais[Encerramento],MATCH(tItens[[#This Row],[Edital]],tEditais[Edital],0)),"")</f>
        <v>46310.729166666664</v>
      </c>
      <c r="J7216" t="str">
        <f>IFERROR(INDEX(tProdutos[Classe],MATCH(tItens[[#This Row],[Produto]],tProdutos[Produto],0)),"produto não cadastrado")</f>
        <v>FORA</v>
      </c>
      <c r="K7216" s="12">
        <f>tItens[[#This Row],[Qtd]]*tItens[[#This Row],[Vlr unit]]</f>
        <v>44.82</v>
      </c>
      <c r="L7216" s="6">
        <f>IFERROR(IF(INDEX(tProdutos[Desconto homologado],MATCH(tItens[[#This Row],[Produto]],tProdutos[Produto],0))="",DescontoPadrao,INDEX(tProdutos[Desconto homologado],MATCH(tItens[[#This Row],[Produto]],tProdutos[Produto],0))),DescontoPadrao)</f>
        <v>0.34516963542284401</v>
      </c>
      <c r="M7216" s="12">
        <f>tItens[[#This Row],[Valor]]*(1-tItens[[#This Row],[Desconto]])</f>
        <v>29.349496940348136</v>
      </c>
      <c r="N7216" t="str">
        <f>IFERROR(INDEX(tProdutos[Foco],MATCH(tItens[[#This Row],[Produto]],tProdutos[Produto],0)),"Não")</f>
        <v>Não</v>
      </c>
      <c r="O7216" t="str">
        <f>IFERROR(INDEX(tEditais[SRP],MATCH(tItens[[#This Row],[Edital]],tEditais[Edital],0)),"Não")</f>
        <v>Sim</v>
      </c>
      <c r="P7216" s="4">
        <f>IF(COUNTIFS(INDEX(tItens[Edital],1):tItens[[#This Row],[Edital]],tItens[[#This Row],[Edital]],INDEX(tItens[Produto],1):tItens[[#This Row],[Produto]],tItens[[#This Row],[Produto]])=1,1,0)</f>
        <v>0</v>
      </c>
    </row>
    <row r="7217" spans="1:16" x14ac:dyDescent="0.25">
      <c r="A7217" t="s">
        <v>2468</v>
      </c>
      <c r="B7217">
        <v>163</v>
      </c>
      <c r="C7217" t="s">
        <v>9868</v>
      </c>
      <c r="D7217" t="s">
        <v>611</v>
      </c>
      <c r="E7217" s="13">
        <v>1</v>
      </c>
      <c r="F7217" s="12">
        <v>153.29</v>
      </c>
      <c r="G7217" t="str">
        <f>IFERROR(INDEX(tEditais[Órgão],MATCH(tItens[[#This Row],[Edital]],tEditais[Edital],0)),"")</f>
        <v>CIMCERO - CONSORCIO INTERMUNICIPAL DA REGIAO CENTRO LESTE DO ESTADO DE RONDONIA</v>
      </c>
      <c r="H7217" t="str">
        <f>IFERROR(INDEX(tEditais[UF],MATCH(tItens[[#This Row],[Edital]],tEditais[Edital],0)),"")</f>
        <v>RO</v>
      </c>
      <c r="I7217" s="11">
        <f>IFERROR(INDEX(tEditais[Encerramento],MATCH(tItens[[#This Row],[Edital]],tEditais[Edital],0)),"")</f>
        <v>46310.729166666664</v>
      </c>
      <c r="J7217" t="str">
        <f>IFERROR(INDEX(tProdutos[Classe],MATCH(tItens[[#This Row],[Produto]],tProdutos[Produto],0)),"produto não cadastrado")</f>
        <v>FILA REBASE</v>
      </c>
      <c r="K7217" s="12">
        <f>tItens[[#This Row],[Qtd]]*tItens[[#This Row],[Vlr unit]]</f>
        <v>153.29</v>
      </c>
      <c r="L7217" s="6">
        <f>IFERROR(IF(INDEX(tProdutos[Desconto homologado],MATCH(tItens[[#This Row],[Produto]],tProdutos[Produto],0))="",DescontoPadrao,INDEX(tProdutos[Desconto homologado],MATCH(tItens[[#This Row],[Produto]],tProdutos[Produto],0))),DescontoPadrao)</f>
        <v>0.3</v>
      </c>
      <c r="M7217" s="12">
        <f>tItens[[#This Row],[Valor]]*(1-tItens[[#This Row],[Desconto]])</f>
        <v>107.30299999999998</v>
      </c>
      <c r="N7217" t="str">
        <f>IFERROR(INDEX(tProdutos[Foco],MATCH(tItens[[#This Row],[Produto]],tProdutos[Produto],0)),"Não")</f>
        <v>Não</v>
      </c>
      <c r="O7217" t="str">
        <f>IFERROR(INDEX(tEditais[SRP],MATCH(tItens[[#This Row],[Edital]],tEditais[Edital],0)),"Não")</f>
        <v>Sim</v>
      </c>
      <c r="P7217" s="4">
        <f>IF(COUNTIFS(INDEX(tItens[Edital],1):tItens[[#This Row],[Edital]],tItens[[#This Row],[Edital]],INDEX(tItens[Produto],1):tItens[[#This Row],[Produto]],tItens[[#This Row],[Produto]])=1,1,0)</f>
        <v>1</v>
      </c>
    </row>
    <row r="7218" spans="1:16" x14ac:dyDescent="0.25">
      <c r="A7218" t="s">
        <v>2468</v>
      </c>
      <c r="B7218">
        <v>165</v>
      </c>
      <c r="C7218" t="s">
        <v>9869</v>
      </c>
      <c r="D7218" t="s">
        <v>641</v>
      </c>
      <c r="E7218" s="13">
        <v>1</v>
      </c>
      <c r="F7218" s="12">
        <v>45.33</v>
      </c>
      <c r="G7218" t="str">
        <f>IFERROR(INDEX(tEditais[Órgão],MATCH(tItens[[#This Row],[Edital]],tEditais[Edital],0)),"")</f>
        <v>CIMCERO - CONSORCIO INTERMUNICIPAL DA REGIAO CENTRO LESTE DO ESTADO DE RONDONIA</v>
      </c>
      <c r="H7218" t="str">
        <f>IFERROR(INDEX(tEditais[UF],MATCH(tItens[[#This Row],[Edital]],tEditais[Edital],0)),"")</f>
        <v>RO</v>
      </c>
      <c r="I7218" s="11">
        <f>IFERROR(INDEX(tEditais[Encerramento],MATCH(tItens[[#This Row],[Edital]],tEditais[Edital],0)),"")</f>
        <v>46310.729166666664</v>
      </c>
      <c r="J7218" t="str">
        <f>IFERROR(INDEX(tProdutos[Classe],MATCH(tItens[[#This Row],[Produto]],tProdutos[Produto],0)),"produto não cadastrado")</f>
        <v>FILA REBASE</v>
      </c>
      <c r="K7218" s="12">
        <f>tItens[[#This Row],[Qtd]]*tItens[[#This Row],[Vlr unit]]</f>
        <v>45.33</v>
      </c>
      <c r="L7218" s="6">
        <f>IFERROR(IF(INDEX(tProdutos[Desconto homologado],MATCH(tItens[[#This Row],[Produto]],tProdutos[Produto],0))="",DescontoPadrao,INDEX(tProdutos[Desconto homologado],MATCH(tItens[[#This Row],[Produto]],tProdutos[Produto],0))),DescontoPadrao)</f>
        <v>0.3</v>
      </c>
      <c r="M7218" s="12">
        <f>tItens[[#This Row],[Valor]]*(1-tItens[[#This Row],[Desconto]])</f>
        <v>31.730999999999998</v>
      </c>
      <c r="N7218" t="str">
        <f>IFERROR(INDEX(tProdutos[Foco],MATCH(tItens[[#This Row],[Produto]],tProdutos[Produto],0)),"Não")</f>
        <v>Não</v>
      </c>
      <c r="O7218" t="str">
        <f>IFERROR(INDEX(tEditais[SRP],MATCH(tItens[[#This Row],[Edital]],tEditais[Edital],0)),"Não")</f>
        <v>Sim</v>
      </c>
      <c r="P7218" s="4">
        <f>IF(COUNTIFS(INDEX(tItens[Edital],1):tItens[[#This Row],[Edital]],tItens[[#This Row],[Edital]],INDEX(tItens[Produto],1):tItens[[#This Row],[Produto]],tItens[[#This Row],[Produto]])=1,1,0)</f>
        <v>1</v>
      </c>
    </row>
    <row r="7219" spans="1:16" x14ac:dyDescent="0.25">
      <c r="A7219" t="s">
        <v>2468</v>
      </c>
      <c r="B7219">
        <v>177</v>
      </c>
      <c r="C7219" t="s">
        <v>9870</v>
      </c>
      <c r="D7219" t="s">
        <v>347</v>
      </c>
      <c r="E7219" s="13">
        <v>1</v>
      </c>
      <c r="F7219" s="12">
        <v>10.99</v>
      </c>
      <c r="G7219" t="str">
        <f>IFERROR(INDEX(tEditais[Órgão],MATCH(tItens[[#This Row],[Edital]],tEditais[Edital],0)),"")</f>
        <v>CIMCERO - CONSORCIO INTERMUNICIPAL DA REGIAO CENTRO LESTE DO ESTADO DE RONDONIA</v>
      </c>
      <c r="H7219" t="str">
        <f>IFERROR(INDEX(tEditais[UF],MATCH(tItens[[#This Row],[Edital]],tEditais[Edital],0)),"")</f>
        <v>RO</v>
      </c>
      <c r="I7219" s="11">
        <f>IFERROR(INDEX(tEditais[Encerramento],MATCH(tItens[[#This Row],[Edital]],tEditais[Edital],0)),"")</f>
        <v>46310.729166666664</v>
      </c>
      <c r="J7219" t="str">
        <f>IFERROR(INDEX(tProdutos[Classe],MATCH(tItens[[#This Row],[Produto]],tProdutos[Produto],0)),"produto não cadastrado")</f>
        <v>FORA</v>
      </c>
      <c r="K7219" s="12">
        <f>tItens[[#This Row],[Qtd]]*tItens[[#This Row],[Vlr unit]]</f>
        <v>10.99</v>
      </c>
      <c r="L7219" s="6">
        <f>IFERROR(IF(INDEX(tProdutos[Desconto homologado],MATCH(tItens[[#This Row],[Produto]],tProdutos[Produto],0))="",DescontoPadrao,INDEX(tProdutos[Desconto homologado],MATCH(tItens[[#This Row],[Produto]],tProdutos[Produto],0))),DescontoPadrao)</f>
        <v>0.26356465005931201</v>
      </c>
      <c r="M7219" s="12">
        <f>tItens[[#This Row],[Valor]]*(1-tItens[[#This Row],[Desconto]])</f>
        <v>8.0934244958481614</v>
      </c>
      <c r="N7219" t="str">
        <f>IFERROR(INDEX(tProdutos[Foco],MATCH(tItens[[#This Row],[Produto]],tProdutos[Produto],0)),"Não")</f>
        <v>Não</v>
      </c>
      <c r="O7219" t="str">
        <f>IFERROR(INDEX(tEditais[SRP],MATCH(tItens[[#This Row],[Edital]],tEditais[Edital],0)),"Não")</f>
        <v>Sim</v>
      </c>
      <c r="P7219" s="4">
        <f>IF(COUNTIFS(INDEX(tItens[Edital],1):tItens[[#This Row],[Edital]],tItens[[#This Row],[Edital]],INDEX(tItens[Produto],1):tItens[[#This Row],[Produto]],tItens[[#This Row],[Produto]])=1,1,0)</f>
        <v>1</v>
      </c>
    </row>
    <row r="7220" spans="1:16" x14ac:dyDescent="0.25">
      <c r="A7220" t="s">
        <v>2468</v>
      </c>
      <c r="B7220">
        <v>178</v>
      </c>
      <c r="C7220" t="s">
        <v>9871</v>
      </c>
      <c r="D7220" t="s">
        <v>347</v>
      </c>
      <c r="E7220" s="13">
        <v>1</v>
      </c>
      <c r="F7220" s="12">
        <v>9.77</v>
      </c>
      <c r="G7220" t="str">
        <f>IFERROR(INDEX(tEditais[Órgão],MATCH(tItens[[#This Row],[Edital]],tEditais[Edital],0)),"")</f>
        <v>CIMCERO - CONSORCIO INTERMUNICIPAL DA REGIAO CENTRO LESTE DO ESTADO DE RONDONIA</v>
      </c>
      <c r="H7220" t="str">
        <f>IFERROR(INDEX(tEditais[UF],MATCH(tItens[[#This Row],[Edital]],tEditais[Edital],0)),"")</f>
        <v>RO</v>
      </c>
      <c r="I7220" s="11">
        <f>IFERROR(INDEX(tEditais[Encerramento],MATCH(tItens[[#This Row],[Edital]],tEditais[Edital],0)),"")</f>
        <v>46310.729166666664</v>
      </c>
      <c r="J7220" t="str">
        <f>IFERROR(INDEX(tProdutos[Classe],MATCH(tItens[[#This Row],[Produto]],tProdutos[Produto],0)),"produto não cadastrado")</f>
        <v>FORA</v>
      </c>
      <c r="K7220" s="12">
        <f>tItens[[#This Row],[Qtd]]*tItens[[#This Row],[Vlr unit]]</f>
        <v>9.77</v>
      </c>
      <c r="L7220" s="6">
        <f>IFERROR(IF(INDEX(tProdutos[Desconto homologado],MATCH(tItens[[#This Row],[Produto]],tProdutos[Produto],0))="",DescontoPadrao,INDEX(tProdutos[Desconto homologado],MATCH(tItens[[#This Row],[Produto]],tProdutos[Produto],0))),DescontoPadrao)</f>
        <v>0.26356465005931201</v>
      </c>
      <c r="M7220" s="12">
        <f>tItens[[#This Row],[Valor]]*(1-tItens[[#This Row],[Desconto]])</f>
        <v>7.1949733689205209</v>
      </c>
      <c r="N7220" t="str">
        <f>IFERROR(INDEX(tProdutos[Foco],MATCH(tItens[[#This Row],[Produto]],tProdutos[Produto],0)),"Não")</f>
        <v>Não</v>
      </c>
      <c r="O7220" t="str">
        <f>IFERROR(INDEX(tEditais[SRP],MATCH(tItens[[#This Row],[Edital]],tEditais[Edital],0)),"Não")</f>
        <v>Sim</v>
      </c>
      <c r="P7220" s="4">
        <f>IF(COUNTIFS(INDEX(tItens[Edital],1):tItens[[#This Row],[Edital]],tItens[[#This Row],[Edital]],INDEX(tItens[Produto],1):tItens[[#This Row],[Produto]],tItens[[#This Row],[Produto]])=1,1,0)</f>
        <v>0</v>
      </c>
    </row>
    <row r="7221" spans="1:16" x14ac:dyDescent="0.25">
      <c r="A7221" t="s">
        <v>2468</v>
      </c>
      <c r="B7221">
        <v>179</v>
      </c>
      <c r="C7221" t="s">
        <v>9872</v>
      </c>
      <c r="D7221" t="s">
        <v>347</v>
      </c>
      <c r="E7221" s="13">
        <v>1</v>
      </c>
      <c r="F7221" s="12">
        <v>15.46</v>
      </c>
      <c r="G7221" t="str">
        <f>IFERROR(INDEX(tEditais[Órgão],MATCH(tItens[[#This Row],[Edital]],tEditais[Edital],0)),"")</f>
        <v>CIMCERO - CONSORCIO INTERMUNICIPAL DA REGIAO CENTRO LESTE DO ESTADO DE RONDONIA</v>
      </c>
      <c r="H7221" t="str">
        <f>IFERROR(INDEX(tEditais[UF],MATCH(tItens[[#This Row],[Edital]],tEditais[Edital],0)),"")</f>
        <v>RO</v>
      </c>
      <c r="I7221" s="11">
        <f>IFERROR(INDEX(tEditais[Encerramento],MATCH(tItens[[#This Row],[Edital]],tEditais[Edital],0)),"")</f>
        <v>46310.729166666664</v>
      </c>
      <c r="J7221" t="str">
        <f>IFERROR(INDEX(tProdutos[Classe],MATCH(tItens[[#This Row],[Produto]],tProdutos[Produto],0)),"produto não cadastrado")</f>
        <v>FORA</v>
      </c>
      <c r="K7221" s="12">
        <f>tItens[[#This Row],[Qtd]]*tItens[[#This Row],[Vlr unit]]</f>
        <v>15.46</v>
      </c>
      <c r="L7221" s="6">
        <f>IFERROR(IF(INDEX(tProdutos[Desconto homologado],MATCH(tItens[[#This Row],[Produto]],tProdutos[Produto],0))="",DescontoPadrao,INDEX(tProdutos[Desconto homologado],MATCH(tItens[[#This Row],[Produto]],tProdutos[Produto],0))),DescontoPadrao)</f>
        <v>0.26356465005931201</v>
      </c>
      <c r="M7221" s="12">
        <f>tItens[[#This Row],[Valor]]*(1-tItens[[#This Row],[Desconto]])</f>
        <v>11.385290510083037</v>
      </c>
      <c r="N7221" t="str">
        <f>IFERROR(INDEX(tProdutos[Foco],MATCH(tItens[[#This Row],[Produto]],tProdutos[Produto],0)),"Não")</f>
        <v>Não</v>
      </c>
      <c r="O7221" t="str">
        <f>IFERROR(INDEX(tEditais[SRP],MATCH(tItens[[#This Row],[Edital]],tEditais[Edital],0)),"Não")</f>
        <v>Sim</v>
      </c>
      <c r="P7221" s="4">
        <f>IF(COUNTIFS(INDEX(tItens[Edital],1):tItens[[#This Row],[Edital]],tItens[[#This Row],[Edital]],INDEX(tItens[Produto],1):tItens[[#This Row],[Produto]],tItens[[#This Row],[Produto]])=1,1,0)</f>
        <v>0</v>
      </c>
    </row>
    <row r="7222" spans="1:16" x14ac:dyDescent="0.25">
      <c r="A7222" t="s">
        <v>2468</v>
      </c>
      <c r="B7222">
        <v>180</v>
      </c>
      <c r="C7222" t="s">
        <v>9873</v>
      </c>
      <c r="D7222" t="s">
        <v>347</v>
      </c>
      <c r="E7222" s="13">
        <v>1</v>
      </c>
      <c r="F7222" s="12">
        <v>12.54</v>
      </c>
      <c r="G7222" t="str">
        <f>IFERROR(INDEX(tEditais[Órgão],MATCH(tItens[[#This Row],[Edital]],tEditais[Edital],0)),"")</f>
        <v>CIMCERO - CONSORCIO INTERMUNICIPAL DA REGIAO CENTRO LESTE DO ESTADO DE RONDONIA</v>
      </c>
      <c r="H7222" t="str">
        <f>IFERROR(INDEX(tEditais[UF],MATCH(tItens[[#This Row],[Edital]],tEditais[Edital],0)),"")</f>
        <v>RO</v>
      </c>
      <c r="I7222" s="11">
        <f>IFERROR(INDEX(tEditais[Encerramento],MATCH(tItens[[#This Row],[Edital]],tEditais[Edital],0)),"")</f>
        <v>46310.729166666664</v>
      </c>
      <c r="J7222" t="str">
        <f>IFERROR(INDEX(tProdutos[Classe],MATCH(tItens[[#This Row],[Produto]],tProdutos[Produto],0)),"produto não cadastrado")</f>
        <v>FORA</v>
      </c>
      <c r="K7222" s="12">
        <f>tItens[[#This Row],[Qtd]]*tItens[[#This Row],[Vlr unit]]</f>
        <v>12.54</v>
      </c>
      <c r="L7222" s="6">
        <f>IFERROR(IF(INDEX(tProdutos[Desconto homologado],MATCH(tItens[[#This Row],[Produto]],tProdutos[Produto],0))="",DescontoPadrao,INDEX(tProdutos[Desconto homologado],MATCH(tItens[[#This Row],[Produto]],tProdutos[Produto],0))),DescontoPadrao)</f>
        <v>0.26356465005931201</v>
      </c>
      <c r="M7222" s="12">
        <f>tItens[[#This Row],[Valor]]*(1-tItens[[#This Row],[Desconto]])</f>
        <v>9.2348992882562264</v>
      </c>
      <c r="N7222" t="str">
        <f>IFERROR(INDEX(tProdutos[Foco],MATCH(tItens[[#This Row],[Produto]],tProdutos[Produto],0)),"Não")</f>
        <v>Não</v>
      </c>
      <c r="O7222" t="str">
        <f>IFERROR(INDEX(tEditais[SRP],MATCH(tItens[[#This Row],[Edital]],tEditais[Edital],0)),"Não")</f>
        <v>Sim</v>
      </c>
      <c r="P7222" s="4">
        <f>IF(COUNTIFS(INDEX(tItens[Edital],1):tItens[[#This Row],[Edital]],tItens[[#This Row],[Edital]],INDEX(tItens[Produto],1):tItens[[#This Row],[Produto]],tItens[[#This Row],[Produto]])=1,1,0)</f>
        <v>0</v>
      </c>
    </row>
    <row r="7223" spans="1:16" x14ac:dyDescent="0.25">
      <c r="A7223" t="s">
        <v>2468</v>
      </c>
      <c r="B7223">
        <v>181</v>
      </c>
      <c r="C7223" t="s">
        <v>9874</v>
      </c>
      <c r="D7223" t="s">
        <v>347</v>
      </c>
      <c r="E7223" s="13">
        <v>1</v>
      </c>
      <c r="F7223" s="12">
        <v>12.13</v>
      </c>
      <c r="G7223" t="str">
        <f>IFERROR(INDEX(tEditais[Órgão],MATCH(tItens[[#This Row],[Edital]],tEditais[Edital],0)),"")</f>
        <v>CIMCERO - CONSORCIO INTERMUNICIPAL DA REGIAO CENTRO LESTE DO ESTADO DE RONDONIA</v>
      </c>
      <c r="H7223" t="str">
        <f>IFERROR(INDEX(tEditais[UF],MATCH(tItens[[#This Row],[Edital]],tEditais[Edital],0)),"")</f>
        <v>RO</v>
      </c>
      <c r="I7223" s="11">
        <f>IFERROR(INDEX(tEditais[Encerramento],MATCH(tItens[[#This Row],[Edital]],tEditais[Edital],0)),"")</f>
        <v>46310.729166666664</v>
      </c>
      <c r="J7223" t="str">
        <f>IFERROR(INDEX(tProdutos[Classe],MATCH(tItens[[#This Row],[Produto]],tProdutos[Produto],0)),"produto não cadastrado")</f>
        <v>FORA</v>
      </c>
      <c r="K7223" s="12">
        <f>tItens[[#This Row],[Qtd]]*tItens[[#This Row],[Vlr unit]]</f>
        <v>12.13</v>
      </c>
      <c r="L7223" s="6">
        <f>IFERROR(IF(INDEX(tProdutos[Desconto homologado],MATCH(tItens[[#This Row],[Produto]],tProdutos[Produto],0))="",DescontoPadrao,INDEX(tProdutos[Desconto homologado],MATCH(tItens[[#This Row],[Produto]],tProdutos[Produto],0))),DescontoPadrao)</f>
        <v>0.26356465005931201</v>
      </c>
      <c r="M7223" s="12">
        <f>tItens[[#This Row],[Valor]]*(1-tItens[[#This Row],[Desconto]])</f>
        <v>8.9329607947805449</v>
      </c>
      <c r="N7223" t="str">
        <f>IFERROR(INDEX(tProdutos[Foco],MATCH(tItens[[#This Row],[Produto]],tProdutos[Produto],0)),"Não")</f>
        <v>Não</v>
      </c>
      <c r="O7223" t="str">
        <f>IFERROR(INDEX(tEditais[SRP],MATCH(tItens[[#This Row],[Edital]],tEditais[Edital],0)),"Não")</f>
        <v>Sim</v>
      </c>
      <c r="P7223" s="4">
        <f>IF(COUNTIFS(INDEX(tItens[Edital],1):tItens[[#This Row],[Edital]],tItens[[#This Row],[Edital]],INDEX(tItens[Produto],1):tItens[[#This Row],[Produto]],tItens[[#This Row],[Produto]])=1,1,0)</f>
        <v>0</v>
      </c>
    </row>
    <row r="7224" spans="1:16" x14ac:dyDescent="0.25">
      <c r="A7224" t="s">
        <v>2468</v>
      </c>
      <c r="B7224">
        <v>182</v>
      </c>
      <c r="C7224" t="s">
        <v>9875</v>
      </c>
      <c r="D7224" t="s">
        <v>347</v>
      </c>
      <c r="E7224" s="13">
        <v>1</v>
      </c>
      <c r="F7224" s="12">
        <v>13.23</v>
      </c>
      <c r="G7224" t="str">
        <f>IFERROR(INDEX(tEditais[Órgão],MATCH(tItens[[#This Row],[Edital]],tEditais[Edital],0)),"")</f>
        <v>CIMCERO - CONSORCIO INTERMUNICIPAL DA REGIAO CENTRO LESTE DO ESTADO DE RONDONIA</v>
      </c>
      <c r="H7224" t="str">
        <f>IFERROR(INDEX(tEditais[UF],MATCH(tItens[[#This Row],[Edital]],tEditais[Edital],0)),"")</f>
        <v>RO</v>
      </c>
      <c r="I7224" s="11">
        <f>IFERROR(INDEX(tEditais[Encerramento],MATCH(tItens[[#This Row],[Edital]],tEditais[Edital],0)),"")</f>
        <v>46310.729166666664</v>
      </c>
      <c r="J7224" t="str">
        <f>IFERROR(INDEX(tProdutos[Classe],MATCH(tItens[[#This Row],[Produto]],tProdutos[Produto],0)),"produto não cadastrado")</f>
        <v>FORA</v>
      </c>
      <c r="K7224" s="12">
        <f>tItens[[#This Row],[Qtd]]*tItens[[#This Row],[Vlr unit]]</f>
        <v>13.23</v>
      </c>
      <c r="L7224" s="6">
        <f>IFERROR(IF(INDEX(tProdutos[Desconto homologado],MATCH(tItens[[#This Row],[Produto]],tProdutos[Produto],0))="",DescontoPadrao,INDEX(tProdutos[Desconto homologado],MATCH(tItens[[#This Row],[Produto]],tProdutos[Produto],0))),DescontoPadrao)</f>
        <v>0.26356465005931201</v>
      </c>
      <c r="M7224" s="12">
        <f>tItens[[#This Row],[Valor]]*(1-tItens[[#This Row],[Desconto]])</f>
        <v>9.7430396797153023</v>
      </c>
      <c r="N7224" t="str">
        <f>IFERROR(INDEX(tProdutos[Foco],MATCH(tItens[[#This Row],[Produto]],tProdutos[Produto],0)),"Não")</f>
        <v>Não</v>
      </c>
      <c r="O7224" t="str">
        <f>IFERROR(INDEX(tEditais[SRP],MATCH(tItens[[#This Row],[Edital]],tEditais[Edital],0)),"Não")</f>
        <v>Sim</v>
      </c>
      <c r="P7224" s="4">
        <f>IF(COUNTIFS(INDEX(tItens[Edital],1):tItens[[#This Row],[Edital]],tItens[[#This Row],[Edital]],INDEX(tItens[Produto],1):tItens[[#This Row],[Produto]],tItens[[#This Row],[Produto]])=1,1,0)</f>
        <v>0</v>
      </c>
    </row>
    <row r="7225" spans="1:16" x14ac:dyDescent="0.25">
      <c r="A7225" t="s">
        <v>2468</v>
      </c>
      <c r="B7225">
        <v>183</v>
      </c>
      <c r="C7225" t="s">
        <v>9876</v>
      </c>
      <c r="D7225" t="s">
        <v>347</v>
      </c>
      <c r="E7225" s="13">
        <v>1</v>
      </c>
      <c r="F7225" s="12">
        <v>3.97</v>
      </c>
      <c r="G7225" t="str">
        <f>IFERROR(INDEX(tEditais[Órgão],MATCH(tItens[[#This Row],[Edital]],tEditais[Edital],0)),"")</f>
        <v>CIMCERO - CONSORCIO INTERMUNICIPAL DA REGIAO CENTRO LESTE DO ESTADO DE RONDONIA</v>
      </c>
      <c r="H7225" t="str">
        <f>IFERROR(INDEX(tEditais[UF],MATCH(tItens[[#This Row],[Edital]],tEditais[Edital],0)),"")</f>
        <v>RO</v>
      </c>
      <c r="I7225" s="11">
        <f>IFERROR(INDEX(tEditais[Encerramento],MATCH(tItens[[#This Row],[Edital]],tEditais[Edital],0)),"")</f>
        <v>46310.729166666664</v>
      </c>
      <c r="J7225" t="str">
        <f>IFERROR(INDEX(tProdutos[Classe],MATCH(tItens[[#This Row],[Produto]],tProdutos[Produto],0)),"produto não cadastrado")</f>
        <v>FORA</v>
      </c>
      <c r="K7225" s="12">
        <f>tItens[[#This Row],[Qtd]]*tItens[[#This Row],[Vlr unit]]</f>
        <v>3.97</v>
      </c>
      <c r="L7225" s="6">
        <f>IFERROR(IF(INDEX(tProdutos[Desconto homologado],MATCH(tItens[[#This Row],[Produto]],tProdutos[Produto],0))="",DescontoPadrao,INDEX(tProdutos[Desconto homologado],MATCH(tItens[[#This Row],[Produto]],tProdutos[Produto],0))),DescontoPadrao)</f>
        <v>0.26356465005931201</v>
      </c>
      <c r="M7225" s="12">
        <f>tItens[[#This Row],[Valor]]*(1-tItens[[#This Row],[Desconto]])</f>
        <v>2.9236483392645312</v>
      </c>
      <c r="N7225" t="str">
        <f>IFERROR(INDEX(tProdutos[Foco],MATCH(tItens[[#This Row],[Produto]],tProdutos[Produto],0)),"Não")</f>
        <v>Não</v>
      </c>
      <c r="O7225" t="str">
        <f>IFERROR(INDEX(tEditais[SRP],MATCH(tItens[[#This Row],[Edital]],tEditais[Edital],0)),"Não")</f>
        <v>Sim</v>
      </c>
      <c r="P7225" s="4">
        <f>IF(COUNTIFS(INDEX(tItens[Edital],1):tItens[[#This Row],[Edital]],tItens[[#This Row],[Edital]],INDEX(tItens[Produto],1):tItens[[#This Row],[Produto]],tItens[[#This Row],[Produto]])=1,1,0)</f>
        <v>0</v>
      </c>
    </row>
    <row r="7226" spans="1:16" x14ac:dyDescent="0.25">
      <c r="A7226" t="s">
        <v>2468</v>
      </c>
      <c r="B7226">
        <v>184</v>
      </c>
      <c r="C7226" t="s">
        <v>9877</v>
      </c>
      <c r="D7226" t="s">
        <v>347</v>
      </c>
      <c r="E7226" s="13">
        <v>1</v>
      </c>
      <c r="F7226" s="12">
        <v>4.1100000000000003</v>
      </c>
      <c r="G7226" t="str">
        <f>IFERROR(INDEX(tEditais[Órgão],MATCH(tItens[[#This Row],[Edital]],tEditais[Edital],0)),"")</f>
        <v>CIMCERO - CONSORCIO INTERMUNICIPAL DA REGIAO CENTRO LESTE DO ESTADO DE RONDONIA</v>
      </c>
      <c r="H7226" t="str">
        <f>IFERROR(INDEX(tEditais[UF],MATCH(tItens[[#This Row],[Edital]],tEditais[Edital],0)),"")</f>
        <v>RO</v>
      </c>
      <c r="I7226" s="11">
        <f>IFERROR(INDEX(tEditais[Encerramento],MATCH(tItens[[#This Row],[Edital]],tEditais[Edital],0)),"")</f>
        <v>46310.729166666664</v>
      </c>
      <c r="J7226" t="str">
        <f>IFERROR(INDEX(tProdutos[Classe],MATCH(tItens[[#This Row],[Produto]],tProdutos[Produto],0)),"produto não cadastrado")</f>
        <v>FORA</v>
      </c>
      <c r="K7226" s="12">
        <f>tItens[[#This Row],[Qtd]]*tItens[[#This Row],[Vlr unit]]</f>
        <v>4.1100000000000003</v>
      </c>
      <c r="L7226" s="6">
        <f>IFERROR(IF(INDEX(tProdutos[Desconto homologado],MATCH(tItens[[#This Row],[Produto]],tProdutos[Produto],0))="",DescontoPadrao,INDEX(tProdutos[Desconto homologado],MATCH(tItens[[#This Row],[Produto]],tProdutos[Produto],0))),DescontoPadrao)</f>
        <v>0.26356465005931201</v>
      </c>
      <c r="M7226" s="12">
        <f>tItens[[#This Row],[Valor]]*(1-tItens[[#This Row],[Desconto]])</f>
        <v>3.0267492882562275</v>
      </c>
      <c r="N7226" t="str">
        <f>IFERROR(INDEX(tProdutos[Foco],MATCH(tItens[[#This Row],[Produto]],tProdutos[Produto],0)),"Não")</f>
        <v>Não</v>
      </c>
      <c r="O7226" t="str">
        <f>IFERROR(INDEX(tEditais[SRP],MATCH(tItens[[#This Row],[Edital]],tEditais[Edital],0)),"Não")</f>
        <v>Sim</v>
      </c>
      <c r="P7226" s="4">
        <f>IF(COUNTIFS(INDEX(tItens[Edital],1):tItens[[#This Row],[Edital]],tItens[[#This Row],[Edital]],INDEX(tItens[Produto],1):tItens[[#This Row],[Produto]],tItens[[#This Row],[Produto]])=1,1,0)</f>
        <v>0</v>
      </c>
    </row>
    <row r="7227" spans="1:16" x14ac:dyDescent="0.25">
      <c r="A7227" t="s">
        <v>2468</v>
      </c>
      <c r="B7227">
        <v>187</v>
      </c>
      <c r="C7227" t="s">
        <v>9878</v>
      </c>
      <c r="D7227" t="s">
        <v>299</v>
      </c>
      <c r="E7227" s="13">
        <v>1</v>
      </c>
      <c r="F7227" s="12">
        <v>90.12</v>
      </c>
      <c r="G7227" t="str">
        <f>IFERROR(INDEX(tEditais[Órgão],MATCH(tItens[[#This Row],[Edital]],tEditais[Edital],0)),"")</f>
        <v>CIMCERO - CONSORCIO INTERMUNICIPAL DA REGIAO CENTRO LESTE DO ESTADO DE RONDONIA</v>
      </c>
      <c r="H7227" t="str">
        <f>IFERROR(INDEX(tEditais[UF],MATCH(tItens[[#This Row],[Edital]],tEditais[Edital],0)),"")</f>
        <v>RO</v>
      </c>
      <c r="I7227" s="11">
        <f>IFERROR(INDEX(tEditais[Encerramento],MATCH(tItens[[#This Row],[Edital]],tEditais[Edital],0)),"")</f>
        <v>46310.729166666664</v>
      </c>
      <c r="J7227" t="str">
        <f>IFERROR(INDEX(tProdutos[Classe],MATCH(tItens[[#This Row],[Produto]],tProdutos[Produto],0)),"produto não cadastrado")</f>
        <v>FORA</v>
      </c>
      <c r="K7227" s="12">
        <f>tItens[[#This Row],[Qtd]]*tItens[[#This Row],[Vlr unit]]</f>
        <v>90.12</v>
      </c>
      <c r="L7227" s="6">
        <f>IFERROR(IF(INDEX(tProdutos[Desconto homologado],MATCH(tItens[[#This Row],[Produto]],tProdutos[Produto],0))="",DescontoPadrao,INDEX(tProdutos[Desconto homologado],MATCH(tItens[[#This Row],[Produto]],tProdutos[Produto],0))),DescontoPadrao)</f>
        <v>0.42211465163381601</v>
      </c>
      <c r="M7227" s="12">
        <f>tItens[[#This Row],[Valor]]*(1-tItens[[#This Row],[Desconto]])</f>
        <v>52.079027594760504</v>
      </c>
      <c r="N7227" t="str">
        <f>IFERROR(INDEX(tProdutos[Foco],MATCH(tItens[[#This Row],[Produto]],tProdutos[Produto],0)),"Não")</f>
        <v>Não</v>
      </c>
      <c r="O7227" t="str">
        <f>IFERROR(INDEX(tEditais[SRP],MATCH(tItens[[#This Row],[Edital]],tEditais[Edital],0)),"Não")</f>
        <v>Sim</v>
      </c>
      <c r="P7227" s="4">
        <f>IF(COUNTIFS(INDEX(tItens[Edital],1):tItens[[#This Row],[Edital]],tItens[[#This Row],[Edital]],INDEX(tItens[Produto],1):tItens[[#This Row],[Produto]],tItens[[#This Row],[Produto]])=1,1,0)</f>
        <v>1</v>
      </c>
    </row>
    <row r="7228" spans="1:16" x14ac:dyDescent="0.25">
      <c r="A7228" t="s">
        <v>2468</v>
      </c>
      <c r="B7228">
        <v>202</v>
      </c>
      <c r="C7228" t="s">
        <v>9879</v>
      </c>
      <c r="D7228" t="s">
        <v>233</v>
      </c>
      <c r="E7228" s="13">
        <v>1</v>
      </c>
      <c r="F7228" s="12">
        <v>8.01</v>
      </c>
      <c r="G7228" t="str">
        <f>IFERROR(INDEX(tEditais[Órgão],MATCH(tItens[[#This Row],[Edital]],tEditais[Edital],0)),"")</f>
        <v>CIMCERO - CONSORCIO INTERMUNICIPAL DA REGIAO CENTRO LESTE DO ESTADO DE RONDONIA</v>
      </c>
      <c r="H7228" t="str">
        <f>IFERROR(INDEX(tEditais[UF],MATCH(tItens[[#This Row],[Edital]],tEditais[Edital],0)),"")</f>
        <v>RO</v>
      </c>
      <c r="I7228" s="11">
        <f>IFERROR(INDEX(tEditais[Encerramento],MATCH(tItens[[#This Row],[Edital]],tEditais[Edital],0)),"")</f>
        <v>46310.729166666664</v>
      </c>
      <c r="J7228" t="str">
        <f>IFERROR(INDEX(tProdutos[Classe],MATCH(tItens[[#This Row],[Produto]],tProdutos[Produto],0)),"produto não cadastrado")</f>
        <v>FORA</v>
      </c>
      <c r="K7228" s="12">
        <f>tItens[[#This Row],[Qtd]]*tItens[[#This Row],[Vlr unit]]</f>
        <v>8.01</v>
      </c>
      <c r="L7228" s="6">
        <f>IFERROR(IF(INDEX(tProdutos[Desconto homologado],MATCH(tItens[[#This Row],[Produto]],tProdutos[Produto],0))="",DescontoPadrao,INDEX(tProdutos[Desconto homologado],MATCH(tItens[[#This Row],[Produto]],tProdutos[Produto],0))),DescontoPadrao)</f>
        <v>0.246270084162204</v>
      </c>
      <c r="M7228" s="12">
        <f>tItens[[#This Row],[Valor]]*(1-tItens[[#This Row],[Desconto]])</f>
        <v>6.0373766258607464</v>
      </c>
      <c r="N7228" t="str">
        <f>IFERROR(INDEX(tProdutos[Foco],MATCH(tItens[[#This Row],[Produto]],tProdutos[Produto],0)),"Não")</f>
        <v>Não</v>
      </c>
      <c r="O7228" t="str">
        <f>IFERROR(INDEX(tEditais[SRP],MATCH(tItens[[#This Row],[Edital]],tEditais[Edital],0)),"Não")</f>
        <v>Sim</v>
      </c>
      <c r="P7228" s="4">
        <f>IF(COUNTIFS(INDEX(tItens[Edital],1):tItens[[#This Row],[Edital]],tItens[[#This Row],[Edital]],INDEX(tItens[Produto],1):tItens[[#This Row],[Produto]],tItens[[#This Row],[Produto]])=1,1,0)</f>
        <v>1</v>
      </c>
    </row>
    <row r="7229" spans="1:16" x14ac:dyDescent="0.25">
      <c r="A7229" t="s">
        <v>2468</v>
      </c>
      <c r="B7229">
        <v>203</v>
      </c>
      <c r="C7229" t="s">
        <v>9880</v>
      </c>
      <c r="D7229" t="s">
        <v>482</v>
      </c>
      <c r="E7229" s="13">
        <v>1</v>
      </c>
      <c r="F7229" s="12">
        <v>68.17</v>
      </c>
      <c r="G7229" t="str">
        <f>IFERROR(INDEX(tEditais[Órgão],MATCH(tItens[[#This Row],[Edital]],tEditais[Edital],0)),"")</f>
        <v>CIMCERO - CONSORCIO INTERMUNICIPAL DA REGIAO CENTRO LESTE DO ESTADO DE RONDONIA</v>
      </c>
      <c r="H7229" t="str">
        <f>IFERROR(INDEX(tEditais[UF],MATCH(tItens[[#This Row],[Edital]],tEditais[Edital],0)),"")</f>
        <v>RO</v>
      </c>
      <c r="I7229" s="11">
        <f>IFERROR(INDEX(tEditais[Encerramento],MATCH(tItens[[#This Row],[Edital]],tEditais[Edital],0)),"")</f>
        <v>46310.729166666664</v>
      </c>
      <c r="J7229" t="str">
        <f>IFERROR(INDEX(tProdutos[Classe],MATCH(tItens[[#This Row],[Produto]],tProdutos[Produto],0)),"produto não cadastrado")</f>
        <v>FILA REBASE</v>
      </c>
      <c r="K7229" s="12">
        <f>tItens[[#This Row],[Qtd]]*tItens[[#This Row],[Vlr unit]]</f>
        <v>68.17</v>
      </c>
      <c r="L7229" s="6">
        <f>IFERROR(IF(INDEX(tProdutos[Desconto homologado],MATCH(tItens[[#This Row],[Produto]],tProdutos[Produto],0))="",DescontoPadrao,INDEX(tProdutos[Desconto homologado],MATCH(tItens[[#This Row],[Produto]],tProdutos[Produto],0))),DescontoPadrao)</f>
        <v>0.29214514354940102</v>
      </c>
      <c r="M7229" s="12">
        <f>tItens[[#This Row],[Valor]]*(1-tItens[[#This Row],[Desconto]])</f>
        <v>48.254465564237336</v>
      </c>
      <c r="N7229" t="str">
        <f>IFERROR(INDEX(tProdutos[Foco],MATCH(tItens[[#This Row],[Produto]],tProdutos[Produto],0)),"Não")</f>
        <v>Não</v>
      </c>
      <c r="O7229" t="str">
        <f>IFERROR(INDEX(tEditais[SRP],MATCH(tItens[[#This Row],[Edital]],tEditais[Edital],0)),"Não")</f>
        <v>Sim</v>
      </c>
      <c r="P7229" s="4">
        <f>IF(COUNTIFS(INDEX(tItens[Edital],1):tItens[[#This Row],[Edital]],tItens[[#This Row],[Edital]],INDEX(tItens[Produto],1):tItens[[#This Row],[Produto]],tItens[[#This Row],[Produto]])=1,1,0)</f>
        <v>1</v>
      </c>
    </row>
    <row r="7230" spans="1:16" x14ac:dyDescent="0.25">
      <c r="A7230" t="s">
        <v>2468</v>
      </c>
      <c r="B7230">
        <v>214</v>
      </c>
      <c r="C7230" t="s">
        <v>9881</v>
      </c>
      <c r="D7230" t="s">
        <v>180</v>
      </c>
      <c r="E7230" s="13">
        <v>1</v>
      </c>
      <c r="F7230" s="12">
        <v>66.48</v>
      </c>
      <c r="G7230" t="str">
        <f>IFERROR(INDEX(tEditais[Órgão],MATCH(tItens[[#This Row],[Edital]],tEditais[Edital],0)),"")</f>
        <v>CIMCERO - CONSORCIO INTERMUNICIPAL DA REGIAO CENTRO LESTE DO ESTADO DE RONDONIA</v>
      </c>
      <c r="H7230" t="str">
        <f>IFERROR(INDEX(tEditais[UF],MATCH(tItens[[#This Row],[Edital]],tEditais[Edital],0)),"")</f>
        <v>RO</v>
      </c>
      <c r="I7230" s="11">
        <f>IFERROR(INDEX(tEditais[Encerramento],MATCH(tItens[[#This Row],[Edital]],tEditais[Edital],0)),"")</f>
        <v>46310.729166666664</v>
      </c>
      <c r="J7230" t="str">
        <f>IFERROR(INDEX(tProdutos[Classe],MATCH(tItens[[#This Row],[Produto]],tProdutos[Produto],0)),"produto não cadastrado")</f>
        <v>DISPUTADO</v>
      </c>
      <c r="K7230" s="12">
        <f>tItens[[#This Row],[Qtd]]*tItens[[#This Row],[Vlr unit]]</f>
        <v>66.48</v>
      </c>
      <c r="L7230" s="6">
        <f>IFERROR(IF(INDEX(tProdutos[Desconto homologado],MATCH(tItens[[#This Row],[Produto]],tProdutos[Produto],0))="",DescontoPadrao,INDEX(tProdutos[Desconto homologado],MATCH(tItens[[#This Row],[Produto]],tProdutos[Produto],0))),DescontoPadrao)</f>
        <v>0.33333333333333298</v>
      </c>
      <c r="M7230" s="12">
        <f>tItens[[#This Row],[Valor]]*(1-tItens[[#This Row],[Desconto]])</f>
        <v>44.320000000000022</v>
      </c>
      <c r="N7230" t="str">
        <f>IFERROR(INDEX(tProdutos[Foco],MATCH(tItens[[#This Row],[Produto]],tProdutos[Produto],0)),"Não")</f>
        <v>Não</v>
      </c>
      <c r="O7230" t="str">
        <f>IFERROR(INDEX(tEditais[SRP],MATCH(tItens[[#This Row],[Edital]],tEditais[Edital],0)),"Não")</f>
        <v>Sim</v>
      </c>
      <c r="P7230" s="4">
        <f>IF(COUNTIFS(INDEX(tItens[Edital],1):tItens[[#This Row],[Edital]],tItens[[#This Row],[Edital]],INDEX(tItens[Produto],1):tItens[[#This Row],[Produto]],tItens[[#This Row],[Produto]])=1,1,0)</f>
        <v>1</v>
      </c>
    </row>
    <row r="7231" spans="1:16" x14ac:dyDescent="0.25">
      <c r="A7231" t="s">
        <v>2468</v>
      </c>
      <c r="B7231">
        <v>240</v>
      </c>
      <c r="C7231" t="s">
        <v>9882</v>
      </c>
      <c r="D7231" t="s">
        <v>375</v>
      </c>
      <c r="E7231" s="13">
        <v>1</v>
      </c>
      <c r="F7231" s="12">
        <v>25.95</v>
      </c>
      <c r="G7231" t="str">
        <f>IFERROR(INDEX(tEditais[Órgão],MATCH(tItens[[#This Row],[Edital]],tEditais[Edital],0)),"")</f>
        <v>CIMCERO - CONSORCIO INTERMUNICIPAL DA REGIAO CENTRO LESTE DO ESTADO DE RONDONIA</v>
      </c>
      <c r="H7231" t="str">
        <f>IFERROR(INDEX(tEditais[UF],MATCH(tItens[[#This Row],[Edital]],tEditais[Edital],0)),"")</f>
        <v>RO</v>
      </c>
      <c r="I7231" s="11">
        <f>IFERROR(INDEX(tEditais[Encerramento],MATCH(tItens[[#This Row],[Edital]],tEditais[Edital],0)),"")</f>
        <v>46310.729166666664</v>
      </c>
      <c r="J7231" t="str">
        <f>IFERROR(INDEX(tProdutos[Classe],MATCH(tItens[[#This Row],[Produto]],tProdutos[Produto],0)),"produto não cadastrado")</f>
        <v>FORA</v>
      </c>
      <c r="K7231" s="12">
        <f>tItens[[#This Row],[Qtd]]*tItens[[#This Row],[Vlr unit]]</f>
        <v>25.95</v>
      </c>
      <c r="L7231" s="6">
        <f>IFERROR(IF(INDEX(tProdutos[Desconto homologado],MATCH(tItens[[#This Row],[Produto]],tProdutos[Produto],0))="",DescontoPadrao,INDEX(tProdutos[Desconto homologado],MATCH(tItens[[#This Row],[Produto]],tProdutos[Produto],0))),DescontoPadrao)</f>
        <v>0.25005895299481201</v>
      </c>
      <c r="M7231" s="12">
        <f>tItens[[#This Row],[Valor]]*(1-tItens[[#This Row],[Desconto]])</f>
        <v>19.460970169784627</v>
      </c>
      <c r="N7231" t="str">
        <f>IFERROR(INDEX(tProdutos[Foco],MATCH(tItens[[#This Row],[Produto]],tProdutos[Produto],0)),"Não")</f>
        <v>Não</v>
      </c>
      <c r="O7231" t="str">
        <f>IFERROR(INDEX(tEditais[SRP],MATCH(tItens[[#This Row],[Edital]],tEditais[Edital],0)),"Não")</f>
        <v>Sim</v>
      </c>
      <c r="P7231" s="4">
        <f>IF(COUNTIFS(INDEX(tItens[Edital],1):tItens[[#This Row],[Edital]],tItens[[#This Row],[Edital]],INDEX(tItens[Produto],1):tItens[[#This Row],[Produto]],tItens[[#This Row],[Produto]])=1,1,0)</f>
        <v>1</v>
      </c>
    </row>
    <row r="7232" spans="1:16" x14ac:dyDescent="0.25">
      <c r="A7232" t="s">
        <v>2468</v>
      </c>
      <c r="B7232">
        <v>243</v>
      </c>
      <c r="C7232" t="s">
        <v>9883</v>
      </c>
      <c r="D7232" t="s">
        <v>461</v>
      </c>
      <c r="E7232" s="13">
        <v>1</v>
      </c>
      <c r="F7232" s="12">
        <v>13.45</v>
      </c>
      <c r="G7232" t="str">
        <f>IFERROR(INDEX(tEditais[Órgão],MATCH(tItens[[#This Row],[Edital]],tEditais[Edital],0)),"")</f>
        <v>CIMCERO - CONSORCIO INTERMUNICIPAL DA REGIAO CENTRO LESTE DO ESTADO DE RONDONIA</v>
      </c>
      <c r="H7232" t="str">
        <f>IFERROR(INDEX(tEditais[UF],MATCH(tItens[[#This Row],[Edital]],tEditais[Edital],0)),"")</f>
        <v>RO</v>
      </c>
      <c r="I7232" s="11">
        <f>IFERROR(INDEX(tEditais[Encerramento],MATCH(tItens[[#This Row],[Edital]],tEditais[Edital],0)),"")</f>
        <v>46310.729166666664</v>
      </c>
      <c r="J7232" t="str">
        <f>IFERROR(INDEX(tProdutos[Classe],MATCH(tItens[[#This Row],[Produto]],tProdutos[Produto],0)),"produto não cadastrado")</f>
        <v>FILA REBASE</v>
      </c>
      <c r="K7232" s="12">
        <f>tItens[[#This Row],[Qtd]]*tItens[[#This Row],[Vlr unit]]</f>
        <v>13.45</v>
      </c>
      <c r="L7232" s="6">
        <f>IFERROR(IF(INDEX(tProdutos[Desconto homologado],MATCH(tItens[[#This Row],[Produto]],tProdutos[Produto],0))="",DescontoPadrao,INDEX(tProdutos[Desconto homologado],MATCH(tItens[[#This Row],[Produto]],tProdutos[Produto],0))),DescontoPadrao)</f>
        <v>0.44096385542168698</v>
      </c>
      <c r="M7232" s="12">
        <f>tItens[[#This Row],[Valor]]*(1-tItens[[#This Row],[Desconto]])</f>
        <v>7.5190361445783092</v>
      </c>
      <c r="N7232" t="str">
        <f>IFERROR(INDEX(tProdutos[Foco],MATCH(tItens[[#This Row],[Produto]],tProdutos[Produto],0)),"Não")</f>
        <v>Não</v>
      </c>
      <c r="O7232" t="str">
        <f>IFERROR(INDEX(tEditais[SRP],MATCH(tItens[[#This Row],[Edital]],tEditais[Edital],0)),"Não")</f>
        <v>Sim</v>
      </c>
      <c r="P7232" s="4">
        <f>IF(COUNTIFS(INDEX(tItens[Edital],1):tItens[[#This Row],[Edital]],tItens[[#This Row],[Edital]],INDEX(tItens[Produto],1):tItens[[#This Row],[Produto]],tItens[[#This Row],[Produto]])=1,1,0)</f>
        <v>1</v>
      </c>
    </row>
    <row r="7233" spans="1:16" x14ac:dyDescent="0.25">
      <c r="A7233" t="s">
        <v>2468</v>
      </c>
      <c r="B7233">
        <v>244</v>
      </c>
      <c r="C7233" t="s">
        <v>9884</v>
      </c>
      <c r="D7233" t="s">
        <v>461</v>
      </c>
      <c r="E7233" s="13">
        <v>1</v>
      </c>
      <c r="F7233" s="12">
        <v>4.18</v>
      </c>
      <c r="G7233" t="str">
        <f>IFERROR(INDEX(tEditais[Órgão],MATCH(tItens[[#This Row],[Edital]],tEditais[Edital],0)),"")</f>
        <v>CIMCERO - CONSORCIO INTERMUNICIPAL DA REGIAO CENTRO LESTE DO ESTADO DE RONDONIA</v>
      </c>
      <c r="H7233" t="str">
        <f>IFERROR(INDEX(tEditais[UF],MATCH(tItens[[#This Row],[Edital]],tEditais[Edital],0)),"")</f>
        <v>RO</v>
      </c>
      <c r="I7233" s="11">
        <f>IFERROR(INDEX(tEditais[Encerramento],MATCH(tItens[[#This Row],[Edital]],tEditais[Edital],0)),"")</f>
        <v>46310.729166666664</v>
      </c>
      <c r="J7233" t="str">
        <f>IFERROR(INDEX(tProdutos[Classe],MATCH(tItens[[#This Row],[Produto]],tProdutos[Produto],0)),"produto não cadastrado")</f>
        <v>FILA REBASE</v>
      </c>
      <c r="K7233" s="12">
        <f>tItens[[#This Row],[Qtd]]*tItens[[#This Row],[Vlr unit]]</f>
        <v>4.18</v>
      </c>
      <c r="L7233" s="6">
        <f>IFERROR(IF(INDEX(tProdutos[Desconto homologado],MATCH(tItens[[#This Row],[Produto]],tProdutos[Produto],0))="",DescontoPadrao,INDEX(tProdutos[Desconto homologado],MATCH(tItens[[#This Row],[Produto]],tProdutos[Produto],0))),DescontoPadrao)</f>
        <v>0.44096385542168698</v>
      </c>
      <c r="M7233" s="12">
        <f>tItens[[#This Row],[Valor]]*(1-tItens[[#This Row],[Desconto]])</f>
        <v>2.3367710843373479</v>
      </c>
      <c r="N7233" t="str">
        <f>IFERROR(INDEX(tProdutos[Foco],MATCH(tItens[[#This Row],[Produto]],tProdutos[Produto],0)),"Não")</f>
        <v>Não</v>
      </c>
      <c r="O7233" t="str">
        <f>IFERROR(INDEX(tEditais[SRP],MATCH(tItens[[#This Row],[Edital]],tEditais[Edital],0)),"Não")</f>
        <v>Sim</v>
      </c>
      <c r="P7233" s="4">
        <f>IF(COUNTIFS(INDEX(tItens[Edital],1):tItens[[#This Row],[Edital]],tItens[[#This Row],[Edital]],INDEX(tItens[Produto],1):tItens[[#This Row],[Produto]],tItens[[#This Row],[Produto]])=1,1,0)</f>
        <v>0</v>
      </c>
    </row>
    <row r="7234" spans="1:16" x14ac:dyDescent="0.25">
      <c r="A7234" t="s">
        <v>2468</v>
      </c>
      <c r="B7234">
        <v>245</v>
      </c>
      <c r="C7234" t="s">
        <v>9885</v>
      </c>
      <c r="D7234" t="s">
        <v>375</v>
      </c>
      <c r="E7234" s="13">
        <v>1</v>
      </c>
      <c r="F7234" s="12">
        <v>4.96</v>
      </c>
      <c r="G7234" t="str">
        <f>IFERROR(INDEX(tEditais[Órgão],MATCH(tItens[[#This Row],[Edital]],tEditais[Edital],0)),"")</f>
        <v>CIMCERO - CONSORCIO INTERMUNICIPAL DA REGIAO CENTRO LESTE DO ESTADO DE RONDONIA</v>
      </c>
      <c r="H7234" t="str">
        <f>IFERROR(INDEX(tEditais[UF],MATCH(tItens[[#This Row],[Edital]],tEditais[Edital],0)),"")</f>
        <v>RO</v>
      </c>
      <c r="I7234" s="11">
        <f>IFERROR(INDEX(tEditais[Encerramento],MATCH(tItens[[#This Row],[Edital]],tEditais[Edital],0)),"")</f>
        <v>46310.729166666664</v>
      </c>
      <c r="J7234" t="str">
        <f>IFERROR(INDEX(tProdutos[Classe],MATCH(tItens[[#This Row],[Produto]],tProdutos[Produto],0)),"produto não cadastrado")</f>
        <v>FORA</v>
      </c>
      <c r="K7234" s="12">
        <f>tItens[[#This Row],[Qtd]]*tItens[[#This Row],[Vlr unit]]</f>
        <v>4.96</v>
      </c>
      <c r="L7234" s="6">
        <f>IFERROR(IF(INDEX(tProdutos[Desconto homologado],MATCH(tItens[[#This Row],[Produto]],tProdutos[Produto],0))="",DescontoPadrao,INDEX(tProdutos[Desconto homologado],MATCH(tItens[[#This Row],[Produto]],tProdutos[Produto],0))),DescontoPadrao)</f>
        <v>0.25005895299481201</v>
      </c>
      <c r="M7234" s="12">
        <f>tItens[[#This Row],[Valor]]*(1-tItens[[#This Row],[Desconto]])</f>
        <v>3.7197075931457322</v>
      </c>
      <c r="N7234" t="str">
        <f>IFERROR(INDEX(tProdutos[Foco],MATCH(tItens[[#This Row],[Produto]],tProdutos[Produto],0)),"Não")</f>
        <v>Não</v>
      </c>
      <c r="O7234" t="str">
        <f>IFERROR(INDEX(tEditais[SRP],MATCH(tItens[[#This Row],[Edital]],tEditais[Edital],0)),"Não")</f>
        <v>Sim</v>
      </c>
      <c r="P7234" s="4">
        <f>IF(COUNTIFS(INDEX(tItens[Edital],1):tItens[[#This Row],[Edital]],tItens[[#This Row],[Edital]],INDEX(tItens[Produto],1):tItens[[#This Row],[Produto]],tItens[[#This Row],[Produto]])=1,1,0)</f>
        <v>0</v>
      </c>
    </row>
    <row r="7235" spans="1:16" x14ac:dyDescent="0.25">
      <c r="A7235" t="s">
        <v>2468</v>
      </c>
      <c r="B7235">
        <v>246</v>
      </c>
      <c r="C7235" t="s">
        <v>9886</v>
      </c>
      <c r="D7235" t="s">
        <v>375</v>
      </c>
      <c r="E7235" s="13">
        <v>1</v>
      </c>
      <c r="F7235" s="12">
        <v>2.0499999999999998</v>
      </c>
      <c r="G7235" t="str">
        <f>IFERROR(INDEX(tEditais[Órgão],MATCH(tItens[[#This Row],[Edital]],tEditais[Edital],0)),"")</f>
        <v>CIMCERO - CONSORCIO INTERMUNICIPAL DA REGIAO CENTRO LESTE DO ESTADO DE RONDONIA</v>
      </c>
      <c r="H7235" t="str">
        <f>IFERROR(INDEX(tEditais[UF],MATCH(tItens[[#This Row],[Edital]],tEditais[Edital],0)),"")</f>
        <v>RO</v>
      </c>
      <c r="I7235" s="11">
        <f>IFERROR(INDEX(tEditais[Encerramento],MATCH(tItens[[#This Row],[Edital]],tEditais[Edital],0)),"")</f>
        <v>46310.729166666664</v>
      </c>
      <c r="J7235" t="str">
        <f>IFERROR(INDEX(tProdutos[Classe],MATCH(tItens[[#This Row],[Produto]],tProdutos[Produto],0)),"produto não cadastrado")</f>
        <v>FORA</v>
      </c>
      <c r="K7235" s="12">
        <f>tItens[[#This Row],[Qtd]]*tItens[[#This Row],[Vlr unit]]</f>
        <v>2.0499999999999998</v>
      </c>
      <c r="L7235" s="6">
        <f>IFERROR(IF(INDEX(tProdutos[Desconto homologado],MATCH(tItens[[#This Row],[Produto]],tProdutos[Produto],0))="",DescontoPadrao,INDEX(tProdutos[Desconto homologado],MATCH(tItens[[#This Row],[Produto]],tProdutos[Produto],0))),DescontoPadrao)</f>
        <v>0.25005895299481201</v>
      </c>
      <c r="M7235" s="12">
        <f>tItens[[#This Row],[Valor]]*(1-tItens[[#This Row],[Desconto]])</f>
        <v>1.5373791463606352</v>
      </c>
      <c r="N7235" t="str">
        <f>IFERROR(INDEX(tProdutos[Foco],MATCH(tItens[[#This Row],[Produto]],tProdutos[Produto],0)),"Não")</f>
        <v>Não</v>
      </c>
      <c r="O7235" t="str">
        <f>IFERROR(INDEX(tEditais[SRP],MATCH(tItens[[#This Row],[Edital]],tEditais[Edital],0)),"Não")</f>
        <v>Sim</v>
      </c>
      <c r="P7235" s="4">
        <f>IF(COUNTIFS(INDEX(tItens[Edital],1):tItens[[#This Row],[Edital]],tItens[[#This Row],[Edital]],INDEX(tItens[Produto],1):tItens[[#This Row],[Produto]],tItens[[#This Row],[Produto]])=1,1,0)</f>
        <v>0</v>
      </c>
    </row>
    <row r="7236" spans="1:16" x14ac:dyDescent="0.25">
      <c r="A7236" t="s">
        <v>2468</v>
      </c>
      <c r="B7236">
        <v>248</v>
      </c>
      <c r="C7236" t="s">
        <v>9887</v>
      </c>
      <c r="D7236" t="s">
        <v>375</v>
      </c>
      <c r="E7236" s="13">
        <v>1</v>
      </c>
      <c r="F7236" s="12">
        <v>5.04</v>
      </c>
      <c r="G7236" t="str">
        <f>IFERROR(INDEX(tEditais[Órgão],MATCH(tItens[[#This Row],[Edital]],tEditais[Edital],0)),"")</f>
        <v>CIMCERO - CONSORCIO INTERMUNICIPAL DA REGIAO CENTRO LESTE DO ESTADO DE RONDONIA</v>
      </c>
      <c r="H7236" t="str">
        <f>IFERROR(INDEX(tEditais[UF],MATCH(tItens[[#This Row],[Edital]],tEditais[Edital],0)),"")</f>
        <v>RO</v>
      </c>
      <c r="I7236" s="11">
        <f>IFERROR(INDEX(tEditais[Encerramento],MATCH(tItens[[#This Row],[Edital]],tEditais[Edital],0)),"")</f>
        <v>46310.729166666664</v>
      </c>
      <c r="J7236" t="str">
        <f>IFERROR(INDEX(tProdutos[Classe],MATCH(tItens[[#This Row],[Produto]],tProdutos[Produto],0)),"produto não cadastrado")</f>
        <v>FORA</v>
      </c>
      <c r="K7236" s="12">
        <f>tItens[[#This Row],[Qtd]]*tItens[[#This Row],[Vlr unit]]</f>
        <v>5.04</v>
      </c>
      <c r="L7236" s="6">
        <f>IFERROR(IF(INDEX(tProdutos[Desconto homologado],MATCH(tItens[[#This Row],[Produto]],tProdutos[Produto],0))="",DescontoPadrao,INDEX(tProdutos[Desconto homologado],MATCH(tItens[[#This Row],[Produto]],tProdutos[Produto],0))),DescontoPadrao)</f>
        <v>0.25005895299481201</v>
      </c>
      <c r="M7236" s="12">
        <f>tItens[[#This Row],[Valor]]*(1-tItens[[#This Row],[Desconto]])</f>
        <v>3.7797028769061471</v>
      </c>
      <c r="N7236" t="str">
        <f>IFERROR(INDEX(tProdutos[Foco],MATCH(tItens[[#This Row],[Produto]],tProdutos[Produto],0)),"Não")</f>
        <v>Não</v>
      </c>
      <c r="O7236" t="str">
        <f>IFERROR(INDEX(tEditais[SRP],MATCH(tItens[[#This Row],[Edital]],tEditais[Edital],0)),"Não")</f>
        <v>Sim</v>
      </c>
      <c r="P7236" s="4">
        <f>IF(COUNTIFS(INDEX(tItens[Edital],1):tItens[[#This Row],[Edital]],tItens[[#This Row],[Edital]],INDEX(tItens[Produto],1):tItens[[#This Row],[Produto]],tItens[[#This Row],[Produto]])=1,1,0)</f>
        <v>0</v>
      </c>
    </row>
    <row r="7237" spans="1:16" x14ac:dyDescent="0.25">
      <c r="A7237" t="s">
        <v>2468</v>
      </c>
      <c r="B7237">
        <v>250</v>
      </c>
      <c r="C7237" t="s">
        <v>9888</v>
      </c>
      <c r="D7237" t="s">
        <v>375</v>
      </c>
      <c r="E7237" s="13">
        <v>1</v>
      </c>
      <c r="F7237" s="12">
        <v>14.81</v>
      </c>
      <c r="G7237" t="str">
        <f>IFERROR(INDEX(tEditais[Órgão],MATCH(tItens[[#This Row],[Edital]],tEditais[Edital],0)),"")</f>
        <v>CIMCERO - CONSORCIO INTERMUNICIPAL DA REGIAO CENTRO LESTE DO ESTADO DE RONDONIA</v>
      </c>
      <c r="H7237" t="str">
        <f>IFERROR(INDEX(tEditais[UF],MATCH(tItens[[#This Row],[Edital]],tEditais[Edital],0)),"")</f>
        <v>RO</v>
      </c>
      <c r="I7237" s="11">
        <f>IFERROR(INDEX(tEditais[Encerramento],MATCH(tItens[[#This Row],[Edital]],tEditais[Edital],0)),"")</f>
        <v>46310.729166666664</v>
      </c>
      <c r="J7237" t="str">
        <f>IFERROR(INDEX(tProdutos[Classe],MATCH(tItens[[#This Row],[Produto]],tProdutos[Produto],0)),"produto não cadastrado")</f>
        <v>FORA</v>
      </c>
      <c r="K7237" s="12">
        <f>tItens[[#This Row],[Qtd]]*tItens[[#This Row],[Vlr unit]]</f>
        <v>14.81</v>
      </c>
      <c r="L7237" s="6">
        <f>IFERROR(IF(INDEX(tProdutos[Desconto homologado],MATCH(tItens[[#This Row],[Produto]],tProdutos[Produto],0))="",DescontoPadrao,INDEX(tProdutos[Desconto homologado],MATCH(tItens[[#This Row],[Produto]],tProdutos[Produto],0))),DescontoPadrao)</f>
        <v>0.25005895299481201</v>
      </c>
      <c r="M7237" s="12">
        <f>tItens[[#This Row],[Valor]]*(1-tItens[[#This Row],[Desconto]])</f>
        <v>11.106626906146834</v>
      </c>
      <c r="N7237" t="str">
        <f>IFERROR(INDEX(tProdutos[Foco],MATCH(tItens[[#This Row],[Produto]],tProdutos[Produto],0)),"Não")</f>
        <v>Não</v>
      </c>
      <c r="O7237" t="str">
        <f>IFERROR(INDEX(tEditais[SRP],MATCH(tItens[[#This Row],[Edital]],tEditais[Edital],0)),"Não")</f>
        <v>Sim</v>
      </c>
      <c r="P7237" s="4">
        <f>IF(COUNTIFS(INDEX(tItens[Edital],1):tItens[[#This Row],[Edital]],tItens[[#This Row],[Edital]],INDEX(tItens[Produto],1):tItens[[#This Row],[Produto]],tItens[[#This Row],[Produto]])=1,1,0)</f>
        <v>0</v>
      </c>
    </row>
    <row r="7238" spans="1:16" x14ac:dyDescent="0.25">
      <c r="A7238" t="s">
        <v>2468</v>
      </c>
      <c r="B7238">
        <v>251</v>
      </c>
      <c r="C7238" t="s">
        <v>9889</v>
      </c>
      <c r="D7238" t="s">
        <v>375</v>
      </c>
      <c r="E7238" s="13">
        <v>1</v>
      </c>
      <c r="F7238" s="12">
        <v>28.44</v>
      </c>
      <c r="G7238" t="str">
        <f>IFERROR(INDEX(tEditais[Órgão],MATCH(tItens[[#This Row],[Edital]],tEditais[Edital],0)),"")</f>
        <v>CIMCERO - CONSORCIO INTERMUNICIPAL DA REGIAO CENTRO LESTE DO ESTADO DE RONDONIA</v>
      </c>
      <c r="H7238" t="str">
        <f>IFERROR(INDEX(tEditais[UF],MATCH(tItens[[#This Row],[Edital]],tEditais[Edital],0)),"")</f>
        <v>RO</v>
      </c>
      <c r="I7238" s="11">
        <f>IFERROR(INDEX(tEditais[Encerramento],MATCH(tItens[[#This Row],[Edital]],tEditais[Edital],0)),"")</f>
        <v>46310.729166666664</v>
      </c>
      <c r="J7238" t="str">
        <f>IFERROR(INDEX(tProdutos[Classe],MATCH(tItens[[#This Row],[Produto]],tProdutos[Produto],0)),"produto não cadastrado")</f>
        <v>FORA</v>
      </c>
      <c r="K7238" s="12">
        <f>tItens[[#This Row],[Qtd]]*tItens[[#This Row],[Vlr unit]]</f>
        <v>28.44</v>
      </c>
      <c r="L7238" s="6">
        <f>IFERROR(IF(INDEX(tProdutos[Desconto homologado],MATCH(tItens[[#This Row],[Produto]],tProdutos[Produto],0))="",DescontoPadrao,INDEX(tProdutos[Desconto homologado],MATCH(tItens[[#This Row],[Produto]],tProdutos[Produto],0))),DescontoPadrao)</f>
        <v>0.25005895299481201</v>
      </c>
      <c r="M7238" s="12">
        <f>tItens[[#This Row],[Valor]]*(1-tItens[[#This Row],[Desconto]])</f>
        <v>21.328323376827544</v>
      </c>
      <c r="N7238" t="str">
        <f>IFERROR(INDEX(tProdutos[Foco],MATCH(tItens[[#This Row],[Produto]],tProdutos[Produto],0)),"Não")</f>
        <v>Não</v>
      </c>
      <c r="O7238" t="str">
        <f>IFERROR(INDEX(tEditais[SRP],MATCH(tItens[[#This Row],[Edital]],tEditais[Edital],0)),"Não")</f>
        <v>Sim</v>
      </c>
      <c r="P7238" s="4">
        <f>IF(COUNTIFS(INDEX(tItens[Edital],1):tItens[[#This Row],[Edital]],tItens[[#This Row],[Edital]],INDEX(tItens[Produto],1):tItens[[#This Row],[Produto]],tItens[[#This Row],[Produto]])=1,1,0)</f>
        <v>0</v>
      </c>
    </row>
    <row r="7239" spans="1:16" x14ac:dyDescent="0.25">
      <c r="A7239" t="s">
        <v>2468</v>
      </c>
      <c r="B7239">
        <v>252</v>
      </c>
      <c r="C7239" t="s">
        <v>9890</v>
      </c>
      <c r="D7239" t="s">
        <v>375</v>
      </c>
      <c r="E7239" s="13">
        <v>1</v>
      </c>
      <c r="F7239" s="12">
        <v>5.3</v>
      </c>
      <c r="G7239" t="str">
        <f>IFERROR(INDEX(tEditais[Órgão],MATCH(tItens[[#This Row],[Edital]],tEditais[Edital],0)),"")</f>
        <v>CIMCERO - CONSORCIO INTERMUNICIPAL DA REGIAO CENTRO LESTE DO ESTADO DE RONDONIA</v>
      </c>
      <c r="H7239" t="str">
        <f>IFERROR(INDEX(tEditais[UF],MATCH(tItens[[#This Row],[Edital]],tEditais[Edital],0)),"")</f>
        <v>RO</v>
      </c>
      <c r="I7239" s="11">
        <f>IFERROR(INDEX(tEditais[Encerramento],MATCH(tItens[[#This Row],[Edital]],tEditais[Edital],0)),"")</f>
        <v>46310.729166666664</v>
      </c>
      <c r="J7239" t="str">
        <f>IFERROR(INDEX(tProdutos[Classe],MATCH(tItens[[#This Row],[Produto]],tProdutos[Produto],0)),"produto não cadastrado")</f>
        <v>FORA</v>
      </c>
      <c r="K7239" s="12">
        <f>tItens[[#This Row],[Qtd]]*tItens[[#This Row],[Vlr unit]]</f>
        <v>5.3</v>
      </c>
      <c r="L7239" s="6">
        <f>IFERROR(IF(INDEX(tProdutos[Desconto homologado],MATCH(tItens[[#This Row],[Produto]],tProdutos[Produto],0))="",DescontoPadrao,INDEX(tProdutos[Desconto homologado],MATCH(tItens[[#This Row],[Produto]],tProdutos[Produto],0))),DescontoPadrao)</f>
        <v>0.25005895299481201</v>
      </c>
      <c r="M7239" s="12">
        <f>tItens[[#This Row],[Valor]]*(1-tItens[[#This Row],[Desconto]])</f>
        <v>3.9746875491274958</v>
      </c>
      <c r="N7239" t="str">
        <f>IFERROR(INDEX(tProdutos[Foco],MATCH(tItens[[#This Row],[Produto]],tProdutos[Produto],0)),"Não")</f>
        <v>Não</v>
      </c>
      <c r="O7239" t="str">
        <f>IFERROR(INDEX(tEditais[SRP],MATCH(tItens[[#This Row],[Edital]],tEditais[Edital],0)),"Não")</f>
        <v>Sim</v>
      </c>
      <c r="P7239" s="4">
        <f>IF(COUNTIFS(INDEX(tItens[Edital],1):tItens[[#This Row],[Edital]],tItens[[#This Row],[Edital]],INDEX(tItens[Produto],1):tItens[[#This Row],[Produto]],tItens[[#This Row],[Produto]])=1,1,0)</f>
        <v>0</v>
      </c>
    </row>
    <row r="7240" spans="1:16" x14ac:dyDescent="0.25">
      <c r="A7240" t="s">
        <v>2468</v>
      </c>
      <c r="B7240">
        <v>253</v>
      </c>
      <c r="C7240" t="s">
        <v>9891</v>
      </c>
      <c r="D7240" t="s">
        <v>375</v>
      </c>
      <c r="E7240" s="13">
        <v>1</v>
      </c>
      <c r="F7240" s="12">
        <v>19.38</v>
      </c>
      <c r="G7240" t="str">
        <f>IFERROR(INDEX(tEditais[Órgão],MATCH(tItens[[#This Row],[Edital]],tEditais[Edital],0)),"")</f>
        <v>CIMCERO - CONSORCIO INTERMUNICIPAL DA REGIAO CENTRO LESTE DO ESTADO DE RONDONIA</v>
      </c>
      <c r="H7240" t="str">
        <f>IFERROR(INDEX(tEditais[UF],MATCH(tItens[[#This Row],[Edital]],tEditais[Edital],0)),"")</f>
        <v>RO</v>
      </c>
      <c r="I7240" s="11">
        <f>IFERROR(INDEX(tEditais[Encerramento],MATCH(tItens[[#This Row],[Edital]],tEditais[Edital],0)),"")</f>
        <v>46310.729166666664</v>
      </c>
      <c r="J7240" t="str">
        <f>IFERROR(INDEX(tProdutos[Classe],MATCH(tItens[[#This Row],[Produto]],tProdutos[Produto],0)),"produto não cadastrado")</f>
        <v>FORA</v>
      </c>
      <c r="K7240" s="12">
        <f>tItens[[#This Row],[Qtd]]*tItens[[#This Row],[Vlr unit]]</f>
        <v>19.38</v>
      </c>
      <c r="L7240" s="6">
        <f>IFERROR(IF(INDEX(tProdutos[Desconto homologado],MATCH(tItens[[#This Row],[Produto]],tProdutos[Produto],0))="",DescontoPadrao,INDEX(tProdutos[Desconto homologado],MATCH(tItens[[#This Row],[Produto]],tProdutos[Produto],0))),DescontoPadrao)</f>
        <v>0.25005895299481201</v>
      </c>
      <c r="M7240" s="12">
        <f>tItens[[#This Row],[Valor]]*(1-tItens[[#This Row],[Desconto]])</f>
        <v>14.533857490960541</v>
      </c>
      <c r="N7240" t="str">
        <f>IFERROR(INDEX(tProdutos[Foco],MATCH(tItens[[#This Row],[Produto]],tProdutos[Produto],0)),"Não")</f>
        <v>Não</v>
      </c>
      <c r="O7240" t="str">
        <f>IFERROR(INDEX(tEditais[SRP],MATCH(tItens[[#This Row],[Edital]],tEditais[Edital],0)),"Não")</f>
        <v>Sim</v>
      </c>
      <c r="P7240" s="4">
        <f>IF(COUNTIFS(INDEX(tItens[Edital],1):tItens[[#This Row],[Edital]],tItens[[#This Row],[Edital]],INDEX(tItens[Produto],1):tItens[[#This Row],[Produto]],tItens[[#This Row],[Produto]])=1,1,0)</f>
        <v>0</v>
      </c>
    </row>
    <row r="7241" spans="1:16" x14ac:dyDescent="0.25">
      <c r="A7241" t="s">
        <v>2468</v>
      </c>
      <c r="B7241">
        <v>254</v>
      </c>
      <c r="C7241" t="s">
        <v>9892</v>
      </c>
      <c r="D7241" t="s">
        <v>375</v>
      </c>
      <c r="E7241" s="13">
        <v>1</v>
      </c>
      <c r="F7241" s="12">
        <v>13.79</v>
      </c>
      <c r="G7241" t="str">
        <f>IFERROR(INDEX(tEditais[Órgão],MATCH(tItens[[#This Row],[Edital]],tEditais[Edital],0)),"")</f>
        <v>CIMCERO - CONSORCIO INTERMUNICIPAL DA REGIAO CENTRO LESTE DO ESTADO DE RONDONIA</v>
      </c>
      <c r="H7241" t="str">
        <f>IFERROR(INDEX(tEditais[UF],MATCH(tItens[[#This Row],[Edital]],tEditais[Edital],0)),"")</f>
        <v>RO</v>
      </c>
      <c r="I7241" s="11">
        <f>IFERROR(INDEX(tEditais[Encerramento],MATCH(tItens[[#This Row],[Edital]],tEditais[Edital],0)),"")</f>
        <v>46310.729166666664</v>
      </c>
      <c r="J7241" t="str">
        <f>IFERROR(INDEX(tProdutos[Classe],MATCH(tItens[[#This Row],[Produto]],tProdutos[Produto],0)),"produto não cadastrado")</f>
        <v>FORA</v>
      </c>
      <c r="K7241" s="12">
        <f>tItens[[#This Row],[Qtd]]*tItens[[#This Row],[Vlr unit]]</f>
        <v>13.79</v>
      </c>
      <c r="L7241" s="6">
        <f>IFERROR(IF(INDEX(tProdutos[Desconto homologado],MATCH(tItens[[#This Row],[Produto]],tProdutos[Produto],0))="",DescontoPadrao,INDEX(tProdutos[Desconto homologado],MATCH(tItens[[#This Row],[Produto]],tProdutos[Produto],0))),DescontoPadrao)</f>
        <v>0.25005895299481201</v>
      </c>
      <c r="M7241" s="12">
        <f>tItens[[#This Row],[Valor]]*(1-tItens[[#This Row],[Desconto]])</f>
        <v>10.341687038201542</v>
      </c>
      <c r="N7241" t="str">
        <f>IFERROR(INDEX(tProdutos[Foco],MATCH(tItens[[#This Row],[Produto]],tProdutos[Produto],0)),"Não")</f>
        <v>Não</v>
      </c>
      <c r="O7241" t="str">
        <f>IFERROR(INDEX(tEditais[SRP],MATCH(tItens[[#This Row],[Edital]],tEditais[Edital],0)),"Não")</f>
        <v>Sim</v>
      </c>
      <c r="P7241" s="4">
        <f>IF(COUNTIFS(INDEX(tItens[Edital],1):tItens[[#This Row],[Edital]],tItens[[#This Row],[Edital]],INDEX(tItens[Produto],1):tItens[[#This Row],[Produto]],tItens[[#This Row],[Produto]])=1,1,0)</f>
        <v>0</v>
      </c>
    </row>
    <row r="7242" spans="1:16" x14ac:dyDescent="0.25">
      <c r="A7242" t="s">
        <v>2468</v>
      </c>
      <c r="B7242">
        <v>255</v>
      </c>
      <c r="C7242" t="s">
        <v>9893</v>
      </c>
      <c r="D7242" t="s">
        <v>375</v>
      </c>
      <c r="E7242" s="13">
        <v>1</v>
      </c>
      <c r="F7242" s="12">
        <v>4.4000000000000004</v>
      </c>
      <c r="G7242" t="str">
        <f>IFERROR(INDEX(tEditais[Órgão],MATCH(tItens[[#This Row],[Edital]],tEditais[Edital],0)),"")</f>
        <v>CIMCERO - CONSORCIO INTERMUNICIPAL DA REGIAO CENTRO LESTE DO ESTADO DE RONDONIA</v>
      </c>
      <c r="H7242" t="str">
        <f>IFERROR(INDEX(tEditais[UF],MATCH(tItens[[#This Row],[Edital]],tEditais[Edital],0)),"")</f>
        <v>RO</v>
      </c>
      <c r="I7242" s="11">
        <f>IFERROR(INDEX(tEditais[Encerramento],MATCH(tItens[[#This Row],[Edital]],tEditais[Edital],0)),"")</f>
        <v>46310.729166666664</v>
      </c>
      <c r="J7242" t="str">
        <f>IFERROR(INDEX(tProdutos[Classe],MATCH(tItens[[#This Row],[Produto]],tProdutos[Produto],0)),"produto não cadastrado")</f>
        <v>FORA</v>
      </c>
      <c r="K7242" s="12">
        <f>tItens[[#This Row],[Qtd]]*tItens[[#This Row],[Vlr unit]]</f>
        <v>4.4000000000000004</v>
      </c>
      <c r="L7242" s="6">
        <f>IFERROR(IF(INDEX(tProdutos[Desconto homologado],MATCH(tItens[[#This Row],[Produto]],tProdutos[Produto],0))="",DescontoPadrao,INDEX(tProdutos[Desconto homologado],MATCH(tItens[[#This Row],[Produto]],tProdutos[Produto],0))),DescontoPadrao)</f>
        <v>0.25005895299481201</v>
      </c>
      <c r="M7242" s="12">
        <f>tItens[[#This Row],[Valor]]*(1-tItens[[#This Row],[Desconto]])</f>
        <v>3.299740606822827</v>
      </c>
      <c r="N7242" t="str">
        <f>IFERROR(INDEX(tProdutos[Foco],MATCH(tItens[[#This Row],[Produto]],tProdutos[Produto],0)),"Não")</f>
        <v>Não</v>
      </c>
      <c r="O7242" t="str">
        <f>IFERROR(INDEX(tEditais[SRP],MATCH(tItens[[#This Row],[Edital]],tEditais[Edital],0)),"Não")</f>
        <v>Sim</v>
      </c>
      <c r="P7242" s="4">
        <f>IF(COUNTIFS(INDEX(tItens[Edital],1):tItens[[#This Row],[Edital]],tItens[[#This Row],[Edital]],INDEX(tItens[Produto],1):tItens[[#This Row],[Produto]],tItens[[#This Row],[Produto]])=1,1,0)</f>
        <v>0</v>
      </c>
    </row>
    <row r="7243" spans="1:16" x14ac:dyDescent="0.25">
      <c r="A7243" t="s">
        <v>2468</v>
      </c>
      <c r="B7243">
        <v>256</v>
      </c>
      <c r="C7243" t="s">
        <v>9894</v>
      </c>
      <c r="D7243" t="s">
        <v>375</v>
      </c>
      <c r="E7243" s="13">
        <v>1</v>
      </c>
      <c r="F7243" s="12">
        <v>12.49</v>
      </c>
      <c r="G7243" t="str">
        <f>IFERROR(INDEX(tEditais[Órgão],MATCH(tItens[[#This Row],[Edital]],tEditais[Edital],0)),"")</f>
        <v>CIMCERO - CONSORCIO INTERMUNICIPAL DA REGIAO CENTRO LESTE DO ESTADO DE RONDONIA</v>
      </c>
      <c r="H7243" t="str">
        <f>IFERROR(INDEX(tEditais[UF],MATCH(tItens[[#This Row],[Edital]],tEditais[Edital],0)),"")</f>
        <v>RO</v>
      </c>
      <c r="I7243" s="11">
        <f>IFERROR(INDEX(tEditais[Encerramento],MATCH(tItens[[#This Row],[Edital]],tEditais[Edital],0)),"")</f>
        <v>46310.729166666664</v>
      </c>
      <c r="J7243" t="str">
        <f>IFERROR(INDEX(tProdutos[Classe],MATCH(tItens[[#This Row],[Produto]],tProdutos[Produto],0)),"produto não cadastrado")</f>
        <v>FORA</v>
      </c>
      <c r="K7243" s="12">
        <f>tItens[[#This Row],[Qtd]]*tItens[[#This Row],[Vlr unit]]</f>
        <v>12.49</v>
      </c>
      <c r="L7243" s="6">
        <f>IFERROR(IF(INDEX(tProdutos[Desconto homologado],MATCH(tItens[[#This Row],[Produto]],tProdutos[Produto],0))="",DescontoPadrao,INDEX(tProdutos[Desconto homologado],MATCH(tItens[[#This Row],[Produto]],tProdutos[Produto],0))),DescontoPadrao)</f>
        <v>0.25005895299481201</v>
      </c>
      <c r="M7243" s="12">
        <f>tItens[[#This Row],[Valor]]*(1-tItens[[#This Row],[Desconto]])</f>
        <v>9.3667636770947968</v>
      </c>
      <c r="N7243" t="str">
        <f>IFERROR(INDEX(tProdutos[Foco],MATCH(tItens[[#This Row],[Produto]],tProdutos[Produto],0)),"Não")</f>
        <v>Não</v>
      </c>
      <c r="O7243" t="str">
        <f>IFERROR(INDEX(tEditais[SRP],MATCH(tItens[[#This Row],[Edital]],tEditais[Edital],0)),"Não")</f>
        <v>Sim</v>
      </c>
      <c r="P7243" s="4">
        <f>IF(COUNTIFS(INDEX(tItens[Edital],1):tItens[[#This Row],[Edital]],tItens[[#This Row],[Edital]],INDEX(tItens[Produto],1):tItens[[#This Row],[Produto]],tItens[[#This Row],[Produto]])=1,1,0)</f>
        <v>0</v>
      </c>
    </row>
    <row r="7244" spans="1:16" x14ac:dyDescent="0.25">
      <c r="A7244" t="s">
        <v>2468</v>
      </c>
      <c r="B7244">
        <v>257</v>
      </c>
      <c r="C7244" t="s">
        <v>9895</v>
      </c>
      <c r="D7244" t="s">
        <v>375</v>
      </c>
      <c r="E7244" s="13">
        <v>1</v>
      </c>
      <c r="F7244" s="12">
        <v>17.39</v>
      </c>
      <c r="G7244" t="str">
        <f>IFERROR(INDEX(tEditais[Órgão],MATCH(tItens[[#This Row],[Edital]],tEditais[Edital],0)),"")</f>
        <v>CIMCERO - CONSORCIO INTERMUNICIPAL DA REGIAO CENTRO LESTE DO ESTADO DE RONDONIA</v>
      </c>
      <c r="H7244" t="str">
        <f>IFERROR(INDEX(tEditais[UF],MATCH(tItens[[#This Row],[Edital]],tEditais[Edital],0)),"")</f>
        <v>RO</v>
      </c>
      <c r="I7244" s="11">
        <f>IFERROR(INDEX(tEditais[Encerramento],MATCH(tItens[[#This Row],[Edital]],tEditais[Edital],0)),"")</f>
        <v>46310.729166666664</v>
      </c>
      <c r="J7244" t="str">
        <f>IFERROR(INDEX(tProdutos[Classe],MATCH(tItens[[#This Row],[Produto]],tProdutos[Produto],0)),"produto não cadastrado")</f>
        <v>FORA</v>
      </c>
      <c r="K7244" s="12">
        <f>tItens[[#This Row],[Qtd]]*tItens[[#This Row],[Vlr unit]]</f>
        <v>17.39</v>
      </c>
      <c r="L7244" s="6">
        <f>IFERROR(IF(INDEX(tProdutos[Desconto homologado],MATCH(tItens[[#This Row],[Produto]],tProdutos[Produto],0))="",DescontoPadrao,INDEX(tProdutos[Desconto homologado],MATCH(tItens[[#This Row],[Produto]],tProdutos[Produto],0))),DescontoPadrao)</f>
        <v>0.25005895299481201</v>
      </c>
      <c r="M7244" s="12">
        <f>tItens[[#This Row],[Valor]]*(1-tItens[[#This Row],[Desconto]])</f>
        <v>13.041474807420219</v>
      </c>
      <c r="N7244" t="str">
        <f>IFERROR(INDEX(tProdutos[Foco],MATCH(tItens[[#This Row],[Produto]],tProdutos[Produto],0)),"Não")</f>
        <v>Não</v>
      </c>
      <c r="O7244" t="str">
        <f>IFERROR(INDEX(tEditais[SRP],MATCH(tItens[[#This Row],[Edital]],tEditais[Edital],0)),"Não")</f>
        <v>Sim</v>
      </c>
      <c r="P7244" s="4">
        <f>IF(COUNTIFS(INDEX(tItens[Edital],1):tItens[[#This Row],[Edital]],tItens[[#This Row],[Edital]],INDEX(tItens[Produto],1):tItens[[#This Row],[Produto]],tItens[[#This Row],[Produto]])=1,1,0)</f>
        <v>0</v>
      </c>
    </row>
    <row r="7245" spans="1:16" x14ac:dyDescent="0.25">
      <c r="A7245" t="s">
        <v>2468</v>
      </c>
      <c r="B7245">
        <v>258</v>
      </c>
      <c r="C7245" t="s">
        <v>9896</v>
      </c>
      <c r="D7245" t="s">
        <v>375</v>
      </c>
      <c r="E7245" s="13">
        <v>1</v>
      </c>
      <c r="F7245" s="12">
        <v>90</v>
      </c>
      <c r="G7245" t="str">
        <f>IFERROR(INDEX(tEditais[Órgão],MATCH(tItens[[#This Row],[Edital]],tEditais[Edital],0)),"")</f>
        <v>CIMCERO - CONSORCIO INTERMUNICIPAL DA REGIAO CENTRO LESTE DO ESTADO DE RONDONIA</v>
      </c>
      <c r="H7245" t="str">
        <f>IFERROR(INDEX(tEditais[UF],MATCH(tItens[[#This Row],[Edital]],tEditais[Edital],0)),"")</f>
        <v>RO</v>
      </c>
      <c r="I7245" s="11">
        <f>IFERROR(INDEX(tEditais[Encerramento],MATCH(tItens[[#This Row],[Edital]],tEditais[Edital],0)),"")</f>
        <v>46310.729166666664</v>
      </c>
      <c r="J7245" t="str">
        <f>IFERROR(INDEX(tProdutos[Classe],MATCH(tItens[[#This Row],[Produto]],tProdutos[Produto],0)),"produto não cadastrado")</f>
        <v>FORA</v>
      </c>
      <c r="K7245" s="12">
        <f>tItens[[#This Row],[Qtd]]*tItens[[#This Row],[Vlr unit]]</f>
        <v>90</v>
      </c>
      <c r="L7245" s="6">
        <f>IFERROR(IF(INDEX(tProdutos[Desconto homologado],MATCH(tItens[[#This Row],[Produto]],tProdutos[Produto],0))="",DescontoPadrao,INDEX(tProdutos[Desconto homologado],MATCH(tItens[[#This Row],[Produto]],tProdutos[Produto],0))),DescontoPadrao)</f>
        <v>0.25005895299481201</v>
      </c>
      <c r="M7245" s="12">
        <f>tItens[[#This Row],[Valor]]*(1-tItens[[#This Row],[Desconto]])</f>
        <v>67.494694230466919</v>
      </c>
      <c r="N7245" t="str">
        <f>IFERROR(INDEX(tProdutos[Foco],MATCH(tItens[[#This Row],[Produto]],tProdutos[Produto],0)),"Não")</f>
        <v>Não</v>
      </c>
      <c r="O7245" t="str">
        <f>IFERROR(INDEX(tEditais[SRP],MATCH(tItens[[#This Row],[Edital]],tEditais[Edital],0)),"Não")</f>
        <v>Sim</v>
      </c>
      <c r="P7245" s="4">
        <f>IF(COUNTIFS(INDEX(tItens[Edital],1):tItens[[#This Row],[Edital]],tItens[[#This Row],[Edital]],INDEX(tItens[Produto],1):tItens[[#This Row],[Produto]],tItens[[#This Row],[Produto]])=1,1,0)</f>
        <v>0</v>
      </c>
    </row>
    <row r="7246" spans="1:16" x14ac:dyDescent="0.25">
      <c r="A7246" t="s">
        <v>2468</v>
      </c>
      <c r="B7246">
        <v>259</v>
      </c>
      <c r="C7246" t="s">
        <v>9897</v>
      </c>
      <c r="D7246" t="s">
        <v>375</v>
      </c>
      <c r="E7246" s="13">
        <v>1</v>
      </c>
      <c r="F7246" s="12">
        <v>11.67</v>
      </c>
      <c r="G7246" t="str">
        <f>IFERROR(INDEX(tEditais[Órgão],MATCH(tItens[[#This Row],[Edital]],tEditais[Edital],0)),"")</f>
        <v>CIMCERO - CONSORCIO INTERMUNICIPAL DA REGIAO CENTRO LESTE DO ESTADO DE RONDONIA</v>
      </c>
      <c r="H7246" t="str">
        <f>IFERROR(INDEX(tEditais[UF],MATCH(tItens[[#This Row],[Edital]],tEditais[Edital],0)),"")</f>
        <v>RO</v>
      </c>
      <c r="I7246" s="11">
        <f>IFERROR(INDEX(tEditais[Encerramento],MATCH(tItens[[#This Row],[Edital]],tEditais[Edital],0)),"")</f>
        <v>46310.729166666664</v>
      </c>
      <c r="J7246" t="str">
        <f>IFERROR(INDEX(tProdutos[Classe],MATCH(tItens[[#This Row],[Produto]],tProdutos[Produto],0)),"produto não cadastrado")</f>
        <v>FORA</v>
      </c>
      <c r="K7246" s="12">
        <f>tItens[[#This Row],[Qtd]]*tItens[[#This Row],[Vlr unit]]</f>
        <v>11.67</v>
      </c>
      <c r="L7246" s="6">
        <f>IFERROR(IF(INDEX(tProdutos[Desconto homologado],MATCH(tItens[[#This Row],[Produto]],tProdutos[Produto],0))="",DescontoPadrao,INDEX(tProdutos[Desconto homologado],MATCH(tItens[[#This Row],[Produto]],tProdutos[Produto],0))),DescontoPadrao)</f>
        <v>0.25005895299481201</v>
      </c>
      <c r="M7246" s="12">
        <f>tItens[[#This Row],[Valor]]*(1-tItens[[#This Row],[Desconto]])</f>
        <v>8.7518120185505435</v>
      </c>
      <c r="N7246" t="str">
        <f>IFERROR(INDEX(tProdutos[Foco],MATCH(tItens[[#This Row],[Produto]],tProdutos[Produto],0)),"Não")</f>
        <v>Não</v>
      </c>
      <c r="O7246" t="str">
        <f>IFERROR(INDEX(tEditais[SRP],MATCH(tItens[[#This Row],[Edital]],tEditais[Edital],0)),"Não")</f>
        <v>Sim</v>
      </c>
      <c r="P7246" s="4">
        <f>IF(COUNTIFS(INDEX(tItens[Edital],1):tItens[[#This Row],[Edital]],tItens[[#This Row],[Edital]],INDEX(tItens[Produto],1):tItens[[#This Row],[Produto]],tItens[[#This Row],[Produto]])=1,1,0)</f>
        <v>0</v>
      </c>
    </row>
    <row r="7247" spans="1:16" x14ac:dyDescent="0.25">
      <c r="A7247" t="s">
        <v>2468</v>
      </c>
      <c r="B7247">
        <v>260</v>
      </c>
      <c r="C7247" t="s">
        <v>9898</v>
      </c>
      <c r="D7247" t="s">
        <v>375</v>
      </c>
      <c r="E7247" s="13">
        <v>1</v>
      </c>
      <c r="F7247" s="12">
        <v>42.18</v>
      </c>
      <c r="G7247" t="str">
        <f>IFERROR(INDEX(tEditais[Órgão],MATCH(tItens[[#This Row],[Edital]],tEditais[Edital],0)),"")</f>
        <v>CIMCERO - CONSORCIO INTERMUNICIPAL DA REGIAO CENTRO LESTE DO ESTADO DE RONDONIA</v>
      </c>
      <c r="H7247" t="str">
        <f>IFERROR(INDEX(tEditais[UF],MATCH(tItens[[#This Row],[Edital]],tEditais[Edital],0)),"")</f>
        <v>RO</v>
      </c>
      <c r="I7247" s="11">
        <f>IFERROR(INDEX(tEditais[Encerramento],MATCH(tItens[[#This Row],[Edital]],tEditais[Edital],0)),"")</f>
        <v>46310.729166666664</v>
      </c>
      <c r="J7247" t="str">
        <f>IFERROR(INDEX(tProdutos[Classe],MATCH(tItens[[#This Row],[Produto]],tProdutos[Produto],0)),"produto não cadastrado")</f>
        <v>FORA</v>
      </c>
      <c r="K7247" s="12">
        <f>tItens[[#This Row],[Qtd]]*tItens[[#This Row],[Vlr unit]]</f>
        <v>42.18</v>
      </c>
      <c r="L7247" s="6">
        <f>IFERROR(IF(INDEX(tProdutos[Desconto homologado],MATCH(tItens[[#This Row],[Produto]],tProdutos[Produto],0))="",DescontoPadrao,INDEX(tProdutos[Desconto homologado],MATCH(tItens[[#This Row],[Produto]],tProdutos[Produto],0))),DescontoPadrao)</f>
        <v>0.25005895299481201</v>
      </c>
      <c r="M7247" s="12">
        <f>tItens[[#This Row],[Valor]]*(1-tItens[[#This Row],[Desconto]])</f>
        <v>31.632513362678825</v>
      </c>
      <c r="N7247" t="str">
        <f>IFERROR(INDEX(tProdutos[Foco],MATCH(tItens[[#This Row],[Produto]],tProdutos[Produto],0)),"Não")</f>
        <v>Não</v>
      </c>
      <c r="O7247" t="str">
        <f>IFERROR(INDEX(tEditais[SRP],MATCH(tItens[[#This Row],[Edital]],tEditais[Edital],0)),"Não")</f>
        <v>Sim</v>
      </c>
      <c r="P7247" s="4">
        <f>IF(COUNTIFS(INDEX(tItens[Edital],1):tItens[[#This Row],[Edital]],tItens[[#This Row],[Edital]],INDEX(tItens[Produto],1):tItens[[#This Row],[Produto]],tItens[[#This Row],[Produto]])=1,1,0)</f>
        <v>0</v>
      </c>
    </row>
    <row r="7248" spans="1:16" x14ac:dyDescent="0.25">
      <c r="A7248" t="s">
        <v>2468</v>
      </c>
      <c r="B7248">
        <v>261</v>
      </c>
      <c r="C7248" t="s">
        <v>9899</v>
      </c>
      <c r="D7248" t="s">
        <v>375</v>
      </c>
      <c r="E7248" s="13">
        <v>1</v>
      </c>
      <c r="F7248" s="12">
        <v>30.23</v>
      </c>
      <c r="G7248" t="str">
        <f>IFERROR(INDEX(tEditais[Órgão],MATCH(tItens[[#This Row],[Edital]],tEditais[Edital],0)),"")</f>
        <v>CIMCERO - CONSORCIO INTERMUNICIPAL DA REGIAO CENTRO LESTE DO ESTADO DE RONDONIA</v>
      </c>
      <c r="H7248" t="str">
        <f>IFERROR(INDEX(tEditais[UF],MATCH(tItens[[#This Row],[Edital]],tEditais[Edital],0)),"")</f>
        <v>RO</v>
      </c>
      <c r="I7248" s="11">
        <f>IFERROR(INDEX(tEditais[Encerramento],MATCH(tItens[[#This Row],[Edital]],tEditais[Edital],0)),"")</f>
        <v>46310.729166666664</v>
      </c>
      <c r="J7248" t="str">
        <f>IFERROR(INDEX(tProdutos[Classe],MATCH(tItens[[#This Row],[Produto]],tProdutos[Produto],0)),"produto não cadastrado")</f>
        <v>FORA</v>
      </c>
      <c r="K7248" s="12">
        <f>tItens[[#This Row],[Qtd]]*tItens[[#This Row],[Vlr unit]]</f>
        <v>30.23</v>
      </c>
      <c r="L7248" s="6">
        <f>IFERROR(IF(INDEX(tProdutos[Desconto homologado],MATCH(tItens[[#This Row],[Produto]],tProdutos[Produto],0))="",DescontoPadrao,INDEX(tProdutos[Desconto homologado],MATCH(tItens[[#This Row],[Produto]],tProdutos[Produto],0))),DescontoPadrao)</f>
        <v>0.25005895299481201</v>
      </c>
      <c r="M7248" s="12">
        <f>tItens[[#This Row],[Valor]]*(1-tItens[[#This Row],[Desconto]])</f>
        <v>22.670717850966831</v>
      </c>
      <c r="N7248" t="str">
        <f>IFERROR(INDEX(tProdutos[Foco],MATCH(tItens[[#This Row],[Produto]],tProdutos[Produto],0)),"Não")</f>
        <v>Não</v>
      </c>
      <c r="O7248" t="str">
        <f>IFERROR(INDEX(tEditais[SRP],MATCH(tItens[[#This Row],[Edital]],tEditais[Edital],0)),"Não")</f>
        <v>Sim</v>
      </c>
      <c r="P7248" s="4">
        <f>IF(COUNTIFS(INDEX(tItens[Edital],1):tItens[[#This Row],[Edital]],tItens[[#This Row],[Edital]],INDEX(tItens[Produto],1):tItens[[#This Row],[Produto]],tItens[[#This Row],[Produto]])=1,1,0)</f>
        <v>0</v>
      </c>
    </row>
    <row r="7249" spans="1:16" x14ac:dyDescent="0.25">
      <c r="A7249" t="s">
        <v>2468</v>
      </c>
      <c r="B7249">
        <v>262</v>
      </c>
      <c r="C7249" t="s">
        <v>9900</v>
      </c>
      <c r="D7249" t="s">
        <v>375</v>
      </c>
      <c r="E7249" s="13">
        <v>1</v>
      </c>
      <c r="F7249" s="12">
        <v>7.3</v>
      </c>
      <c r="G7249" t="str">
        <f>IFERROR(INDEX(tEditais[Órgão],MATCH(tItens[[#This Row],[Edital]],tEditais[Edital],0)),"")</f>
        <v>CIMCERO - CONSORCIO INTERMUNICIPAL DA REGIAO CENTRO LESTE DO ESTADO DE RONDONIA</v>
      </c>
      <c r="H7249" t="str">
        <f>IFERROR(INDEX(tEditais[UF],MATCH(tItens[[#This Row],[Edital]],tEditais[Edital],0)),"")</f>
        <v>RO</v>
      </c>
      <c r="I7249" s="11">
        <f>IFERROR(INDEX(tEditais[Encerramento],MATCH(tItens[[#This Row],[Edital]],tEditais[Edital],0)),"")</f>
        <v>46310.729166666664</v>
      </c>
      <c r="J7249" t="str">
        <f>IFERROR(INDEX(tProdutos[Classe],MATCH(tItens[[#This Row],[Produto]],tProdutos[Produto],0)),"produto não cadastrado")</f>
        <v>FORA</v>
      </c>
      <c r="K7249" s="12">
        <f>tItens[[#This Row],[Qtd]]*tItens[[#This Row],[Vlr unit]]</f>
        <v>7.3</v>
      </c>
      <c r="L7249" s="6">
        <f>IFERROR(IF(INDEX(tProdutos[Desconto homologado],MATCH(tItens[[#This Row],[Produto]],tProdutos[Produto],0))="",DescontoPadrao,INDEX(tProdutos[Desconto homologado],MATCH(tItens[[#This Row],[Produto]],tProdutos[Produto],0))),DescontoPadrao)</f>
        <v>0.25005895299481201</v>
      </c>
      <c r="M7249" s="12">
        <f>tItens[[#This Row],[Valor]]*(1-tItens[[#This Row],[Desconto]])</f>
        <v>5.4745696431378716</v>
      </c>
      <c r="N7249" t="str">
        <f>IFERROR(INDEX(tProdutos[Foco],MATCH(tItens[[#This Row],[Produto]],tProdutos[Produto],0)),"Não")</f>
        <v>Não</v>
      </c>
      <c r="O7249" t="str">
        <f>IFERROR(INDEX(tEditais[SRP],MATCH(tItens[[#This Row],[Edital]],tEditais[Edital],0)),"Não")</f>
        <v>Sim</v>
      </c>
      <c r="P7249" s="4">
        <f>IF(COUNTIFS(INDEX(tItens[Edital],1):tItens[[#This Row],[Edital]],tItens[[#This Row],[Edital]],INDEX(tItens[Produto],1):tItens[[#This Row],[Produto]],tItens[[#This Row],[Produto]])=1,1,0)</f>
        <v>0</v>
      </c>
    </row>
    <row r="7250" spans="1:16" x14ac:dyDescent="0.25">
      <c r="A7250" t="s">
        <v>2468</v>
      </c>
      <c r="B7250">
        <v>263</v>
      </c>
      <c r="C7250" t="s">
        <v>9901</v>
      </c>
      <c r="D7250" t="s">
        <v>375</v>
      </c>
      <c r="E7250" s="13">
        <v>1</v>
      </c>
      <c r="F7250" s="12">
        <v>7.14</v>
      </c>
      <c r="G7250" t="str">
        <f>IFERROR(INDEX(tEditais[Órgão],MATCH(tItens[[#This Row],[Edital]],tEditais[Edital],0)),"")</f>
        <v>CIMCERO - CONSORCIO INTERMUNICIPAL DA REGIAO CENTRO LESTE DO ESTADO DE RONDONIA</v>
      </c>
      <c r="H7250" t="str">
        <f>IFERROR(INDEX(tEditais[UF],MATCH(tItens[[#This Row],[Edital]],tEditais[Edital],0)),"")</f>
        <v>RO</v>
      </c>
      <c r="I7250" s="11">
        <f>IFERROR(INDEX(tEditais[Encerramento],MATCH(tItens[[#This Row],[Edital]],tEditais[Edital],0)),"")</f>
        <v>46310.729166666664</v>
      </c>
      <c r="J7250" t="str">
        <f>IFERROR(INDEX(tProdutos[Classe],MATCH(tItens[[#This Row],[Produto]],tProdutos[Produto],0)),"produto não cadastrado")</f>
        <v>FORA</v>
      </c>
      <c r="K7250" s="12">
        <f>tItens[[#This Row],[Qtd]]*tItens[[#This Row],[Vlr unit]]</f>
        <v>7.14</v>
      </c>
      <c r="L7250" s="6">
        <f>IFERROR(IF(INDEX(tProdutos[Desconto homologado],MATCH(tItens[[#This Row],[Produto]],tProdutos[Produto],0))="",DescontoPadrao,INDEX(tProdutos[Desconto homologado],MATCH(tItens[[#This Row],[Produto]],tProdutos[Produto],0))),DescontoPadrao)</f>
        <v>0.25005895299481201</v>
      </c>
      <c r="M7250" s="12">
        <f>tItens[[#This Row],[Valor]]*(1-tItens[[#This Row],[Desconto]])</f>
        <v>5.3545790756170417</v>
      </c>
      <c r="N7250" t="str">
        <f>IFERROR(INDEX(tProdutos[Foco],MATCH(tItens[[#This Row],[Produto]],tProdutos[Produto],0)),"Não")</f>
        <v>Não</v>
      </c>
      <c r="O7250" t="str">
        <f>IFERROR(INDEX(tEditais[SRP],MATCH(tItens[[#This Row],[Edital]],tEditais[Edital],0)),"Não")</f>
        <v>Sim</v>
      </c>
      <c r="P7250" s="4">
        <f>IF(COUNTIFS(INDEX(tItens[Edital],1):tItens[[#This Row],[Edital]],tItens[[#This Row],[Edital]],INDEX(tItens[Produto],1):tItens[[#This Row],[Produto]],tItens[[#This Row],[Produto]])=1,1,0)</f>
        <v>0</v>
      </c>
    </row>
    <row r="7251" spans="1:16" x14ac:dyDescent="0.25">
      <c r="A7251" t="s">
        <v>2468</v>
      </c>
      <c r="B7251">
        <v>273</v>
      </c>
      <c r="C7251" t="s">
        <v>9902</v>
      </c>
      <c r="D7251" t="s">
        <v>512</v>
      </c>
      <c r="E7251" s="13">
        <v>1</v>
      </c>
      <c r="F7251" s="12">
        <v>10</v>
      </c>
      <c r="G7251" t="str">
        <f>IFERROR(INDEX(tEditais[Órgão],MATCH(tItens[[#This Row],[Edital]],tEditais[Edital],0)),"")</f>
        <v>CIMCERO - CONSORCIO INTERMUNICIPAL DA REGIAO CENTRO LESTE DO ESTADO DE RONDONIA</v>
      </c>
      <c r="H7251" t="str">
        <f>IFERROR(INDEX(tEditais[UF],MATCH(tItens[[#This Row],[Edital]],tEditais[Edital],0)),"")</f>
        <v>RO</v>
      </c>
      <c r="I7251" s="11">
        <f>IFERROR(INDEX(tEditais[Encerramento],MATCH(tItens[[#This Row],[Edital]],tEditais[Edital],0)),"")</f>
        <v>46310.729166666664</v>
      </c>
      <c r="J7251" t="str">
        <f>IFERROR(INDEX(tProdutos[Classe],MATCH(tItens[[#This Row],[Produto]],tProdutos[Produto],0)),"produto não cadastrado")</f>
        <v>FILA REBASE</v>
      </c>
      <c r="K7251" s="12">
        <f>tItens[[#This Row],[Qtd]]*tItens[[#This Row],[Vlr unit]]</f>
        <v>10</v>
      </c>
      <c r="L7251" s="6">
        <f>IFERROR(IF(INDEX(tProdutos[Desconto homologado],MATCH(tItens[[#This Row],[Produto]],tProdutos[Produto],0))="",DescontoPadrao,INDEX(tProdutos[Desconto homologado],MATCH(tItens[[#This Row],[Produto]],tProdutos[Produto],0))),DescontoPadrao)</f>
        <v>0.32579365079365102</v>
      </c>
      <c r="M7251" s="12">
        <f>tItens[[#This Row],[Valor]]*(1-tItens[[#This Row],[Desconto]])</f>
        <v>6.7420634920634903</v>
      </c>
      <c r="N7251" t="str">
        <f>IFERROR(INDEX(tProdutos[Foco],MATCH(tItens[[#This Row],[Produto]],tProdutos[Produto],0)),"Não")</f>
        <v>Não</v>
      </c>
      <c r="O7251" t="str">
        <f>IFERROR(INDEX(tEditais[SRP],MATCH(tItens[[#This Row],[Edital]],tEditais[Edital],0)),"Não")</f>
        <v>Sim</v>
      </c>
      <c r="P7251" s="4">
        <f>IF(COUNTIFS(INDEX(tItens[Edital],1):tItens[[#This Row],[Edital]],tItens[[#This Row],[Edital]],INDEX(tItens[Produto],1):tItens[[#This Row],[Produto]],tItens[[#This Row],[Produto]])=1,1,0)</f>
        <v>1</v>
      </c>
    </row>
    <row r="7252" spans="1:16" x14ac:dyDescent="0.25">
      <c r="A7252" t="s">
        <v>2468</v>
      </c>
      <c r="B7252">
        <v>274</v>
      </c>
      <c r="C7252" t="s">
        <v>9903</v>
      </c>
      <c r="D7252" t="s">
        <v>512</v>
      </c>
      <c r="E7252" s="13">
        <v>1</v>
      </c>
      <c r="F7252" s="12">
        <v>9.5399999999999991</v>
      </c>
      <c r="G7252" t="str">
        <f>IFERROR(INDEX(tEditais[Órgão],MATCH(tItens[[#This Row],[Edital]],tEditais[Edital],0)),"")</f>
        <v>CIMCERO - CONSORCIO INTERMUNICIPAL DA REGIAO CENTRO LESTE DO ESTADO DE RONDONIA</v>
      </c>
      <c r="H7252" t="str">
        <f>IFERROR(INDEX(tEditais[UF],MATCH(tItens[[#This Row],[Edital]],tEditais[Edital],0)),"")</f>
        <v>RO</v>
      </c>
      <c r="I7252" s="11">
        <f>IFERROR(INDEX(tEditais[Encerramento],MATCH(tItens[[#This Row],[Edital]],tEditais[Edital],0)),"")</f>
        <v>46310.729166666664</v>
      </c>
      <c r="J7252" t="str">
        <f>IFERROR(INDEX(tProdutos[Classe],MATCH(tItens[[#This Row],[Produto]],tProdutos[Produto],0)),"produto não cadastrado")</f>
        <v>FILA REBASE</v>
      </c>
      <c r="K7252" s="12">
        <f>tItens[[#This Row],[Qtd]]*tItens[[#This Row],[Vlr unit]]</f>
        <v>9.5399999999999991</v>
      </c>
      <c r="L7252" s="6">
        <f>IFERROR(IF(INDEX(tProdutos[Desconto homologado],MATCH(tItens[[#This Row],[Produto]],tProdutos[Produto],0))="",DescontoPadrao,INDEX(tProdutos[Desconto homologado],MATCH(tItens[[#This Row],[Produto]],tProdutos[Produto],0))),DescontoPadrao)</f>
        <v>0.32579365079365102</v>
      </c>
      <c r="M7252" s="12">
        <f>tItens[[#This Row],[Valor]]*(1-tItens[[#This Row],[Desconto]])</f>
        <v>6.4319285714285694</v>
      </c>
      <c r="N7252" t="str">
        <f>IFERROR(INDEX(tProdutos[Foco],MATCH(tItens[[#This Row],[Produto]],tProdutos[Produto],0)),"Não")</f>
        <v>Não</v>
      </c>
      <c r="O7252" t="str">
        <f>IFERROR(INDEX(tEditais[SRP],MATCH(tItens[[#This Row],[Edital]],tEditais[Edital],0)),"Não")</f>
        <v>Sim</v>
      </c>
      <c r="P7252" s="4">
        <f>IF(COUNTIFS(INDEX(tItens[Edital],1):tItens[[#This Row],[Edital]],tItens[[#This Row],[Edital]],INDEX(tItens[Produto],1):tItens[[#This Row],[Produto]],tItens[[#This Row],[Produto]])=1,1,0)</f>
        <v>0</v>
      </c>
    </row>
    <row r="7253" spans="1:16" x14ac:dyDescent="0.25">
      <c r="A7253" t="s">
        <v>2468</v>
      </c>
      <c r="B7253">
        <v>275</v>
      </c>
      <c r="C7253" t="s">
        <v>9904</v>
      </c>
      <c r="D7253" t="s">
        <v>512</v>
      </c>
      <c r="E7253" s="13">
        <v>1</v>
      </c>
      <c r="F7253" s="12">
        <v>9.84</v>
      </c>
      <c r="G7253" t="str">
        <f>IFERROR(INDEX(tEditais[Órgão],MATCH(tItens[[#This Row],[Edital]],tEditais[Edital],0)),"")</f>
        <v>CIMCERO - CONSORCIO INTERMUNICIPAL DA REGIAO CENTRO LESTE DO ESTADO DE RONDONIA</v>
      </c>
      <c r="H7253" t="str">
        <f>IFERROR(INDEX(tEditais[UF],MATCH(tItens[[#This Row],[Edital]],tEditais[Edital],0)),"")</f>
        <v>RO</v>
      </c>
      <c r="I7253" s="11">
        <f>IFERROR(INDEX(tEditais[Encerramento],MATCH(tItens[[#This Row],[Edital]],tEditais[Edital],0)),"")</f>
        <v>46310.729166666664</v>
      </c>
      <c r="J7253" t="str">
        <f>IFERROR(INDEX(tProdutos[Classe],MATCH(tItens[[#This Row],[Produto]],tProdutos[Produto],0)),"produto não cadastrado")</f>
        <v>FILA REBASE</v>
      </c>
      <c r="K7253" s="12">
        <f>tItens[[#This Row],[Qtd]]*tItens[[#This Row],[Vlr unit]]</f>
        <v>9.84</v>
      </c>
      <c r="L7253" s="6">
        <f>IFERROR(IF(INDEX(tProdutos[Desconto homologado],MATCH(tItens[[#This Row],[Produto]],tProdutos[Produto],0))="",DescontoPadrao,INDEX(tProdutos[Desconto homologado],MATCH(tItens[[#This Row],[Produto]],tProdutos[Produto],0))),DescontoPadrao)</f>
        <v>0.32579365079365102</v>
      </c>
      <c r="M7253" s="12">
        <f>tItens[[#This Row],[Valor]]*(1-tItens[[#This Row],[Desconto]])</f>
        <v>6.634190476190474</v>
      </c>
      <c r="N7253" t="str">
        <f>IFERROR(INDEX(tProdutos[Foco],MATCH(tItens[[#This Row],[Produto]],tProdutos[Produto],0)),"Não")</f>
        <v>Não</v>
      </c>
      <c r="O7253" t="str">
        <f>IFERROR(INDEX(tEditais[SRP],MATCH(tItens[[#This Row],[Edital]],tEditais[Edital],0)),"Não")</f>
        <v>Sim</v>
      </c>
      <c r="P7253" s="4">
        <f>IF(COUNTIFS(INDEX(tItens[Edital],1):tItens[[#This Row],[Edital]],tItens[[#This Row],[Edital]],INDEX(tItens[Produto],1):tItens[[#This Row],[Produto]],tItens[[#This Row],[Produto]])=1,1,0)</f>
        <v>0</v>
      </c>
    </row>
    <row r="7254" spans="1:16" x14ac:dyDescent="0.25">
      <c r="A7254" t="s">
        <v>2468</v>
      </c>
      <c r="B7254">
        <v>276</v>
      </c>
      <c r="C7254" t="s">
        <v>9905</v>
      </c>
      <c r="D7254" t="s">
        <v>467</v>
      </c>
      <c r="E7254" s="13">
        <v>1</v>
      </c>
      <c r="F7254" s="12">
        <v>11.69</v>
      </c>
      <c r="G7254" t="str">
        <f>IFERROR(INDEX(tEditais[Órgão],MATCH(tItens[[#This Row],[Edital]],tEditais[Edital],0)),"")</f>
        <v>CIMCERO - CONSORCIO INTERMUNICIPAL DA REGIAO CENTRO LESTE DO ESTADO DE RONDONIA</v>
      </c>
      <c r="H7254" t="str">
        <f>IFERROR(INDEX(tEditais[UF],MATCH(tItens[[#This Row],[Edital]],tEditais[Edital],0)),"")</f>
        <v>RO</v>
      </c>
      <c r="I7254" s="11">
        <f>IFERROR(INDEX(tEditais[Encerramento],MATCH(tItens[[#This Row],[Edital]],tEditais[Edital],0)),"")</f>
        <v>46310.729166666664</v>
      </c>
      <c r="J7254" t="str">
        <f>IFERROR(INDEX(tProdutos[Classe],MATCH(tItens[[#This Row],[Produto]],tProdutos[Produto],0)),"produto não cadastrado")</f>
        <v>FILA REBASE</v>
      </c>
      <c r="K7254" s="12">
        <f>tItens[[#This Row],[Qtd]]*tItens[[#This Row],[Vlr unit]]</f>
        <v>11.69</v>
      </c>
      <c r="L7254" s="6">
        <f>IFERROR(IF(INDEX(tProdutos[Desconto homologado],MATCH(tItens[[#This Row],[Produto]],tProdutos[Produto],0))="",DescontoPadrao,INDEX(tProdutos[Desconto homologado],MATCH(tItens[[#This Row],[Produto]],tProdutos[Produto],0))),DescontoPadrao)</f>
        <v>0.25007144898542499</v>
      </c>
      <c r="M7254" s="12">
        <f>tItens[[#This Row],[Valor]]*(1-tItens[[#This Row],[Desconto]])</f>
        <v>8.7666647613603814</v>
      </c>
      <c r="N7254" t="str">
        <f>IFERROR(INDEX(tProdutos[Foco],MATCH(tItens[[#This Row],[Produto]],tProdutos[Produto],0)),"Não")</f>
        <v>Não</v>
      </c>
      <c r="O7254" t="str">
        <f>IFERROR(INDEX(tEditais[SRP],MATCH(tItens[[#This Row],[Edital]],tEditais[Edital],0)),"Não")</f>
        <v>Sim</v>
      </c>
      <c r="P7254" s="4">
        <f>IF(COUNTIFS(INDEX(tItens[Edital],1):tItens[[#This Row],[Edital]],tItens[[#This Row],[Edital]],INDEX(tItens[Produto],1):tItens[[#This Row],[Produto]],tItens[[#This Row],[Produto]])=1,1,0)</f>
        <v>1</v>
      </c>
    </row>
    <row r="7255" spans="1:16" x14ac:dyDescent="0.25">
      <c r="A7255" t="s">
        <v>2468</v>
      </c>
      <c r="B7255">
        <v>281</v>
      </c>
      <c r="C7255" t="s">
        <v>3881</v>
      </c>
      <c r="D7255" t="s">
        <v>411</v>
      </c>
      <c r="E7255" s="13">
        <v>1</v>
      </c>
      <c r="F7255" s="12">
        <v>97.08</v>
      </c>
      <c r="G7255" t="str">
        <f>IFERROR(INDEX(tEditais[Órgão],MATCH(tItens[[#This Row],[Edital]],tEditais[Edital],0)),"")</f>
        <v>CIMCERO - CONSORCIO INTERMUNICIPAL DA REGIAO CENTRO LESTE DO ESTADO DE RONDONIA</v>
      </c>
      <c r="H7255" t="str">
        <f>IFERROR(INDEX(tEditais[UF],MATCH(tItens[[#This Row],[Edital]],tEditais[Edital],0)),"")</f>
        <v>RO</v>
      </c>
      <c r="I7255" s="11">
        <f>IFERROR(INDEX(tEditais[Encerramento],MATCH(tItens[[#This Row],[Edital]],tEditais[Edital],0)),"")</f>
        <v>46310.729166666664</v>
      </c>
      <c r="J7255" t="str">
        <f>IFERROR(INDEX(tProdutos[Classe],MATCH(tItens[[#This Row],[Produto]],tProdutos[Produto],0)),"produto não cadastrado")</f>
        <v>FORA</v>
      </c>
      <c r="K7255" s="12">
        <f>tItens[[#This Row],[Qtd]]*tItens[[#This Row],[Vlr unit]]</f>
        <v>97.08</v>
      </c>
      <c r="L7255" s="6">
        <f>IFERROR(IF(INDEX(tProdutos[Desconto homologado],MATCH(tItens[[#This Row],[Produto]],tProdutos[Produto],0))="",DescontoPadrao,INDEX(tProdutos[Desconto homologado],MATCH(tItens[[#This Row],[Produto]],tProdutos[Produto],0))),DescontoPadrao)</f>
        <v>0.50029835957199398</v>
      </c>
      <c r="M7255" s="12">
        <f>tItens[[#This Row],[Valor]]*(1-tItens[[#This Row],[Desconto]])</f>
        <v>48.511035252750823</v>
      </c>
      <c r="N7255" t="str">
        <f>IFERROR(INDEX(tProdutos[Foco],MATCH(tItens[[#This Row],[Produto]],tProdutos[Produto],0)),"Não")</f>
        <v>Não</v>
      </c>
      <c r="O7255" t="str">
        <f>IFERROR(INDEX(tEditais[SRP],MATCH(tItens[[#This Row],[Edital]],tEditais[Edital],0)),"Não")</f>
        <v>Sim</v>
      </c>
      <c r="P7255" s="4">
        <f>IF(COUNTIFS(INDEX(tItens[Edital],1):tItens[[#This Row],[Edital]],tItens[[#This Row],[Edital]],INDEX(tItens[Produto],1):tItens[[#This Row],[Produto]],tItens[[#This Row],[Produto]])=1,1,0)</f>
        <v>0</v>
      </c>
    </row>
    <row r="7256" spans="1:16" x14ac:dyDescent="0.25">
      <c r="A7256" t="s">
        <v>2468</v>
      </c>
      <c r="B7256">
        <v>282</v>
      </c>
      <c r="C7256" t="s">
        <v>9906</v>
      </c>
      <c r="D7256" t="s">
        <v>411</v>
      </c>
      <c r="E7256" s="13">
        <v>1</v>
      </c>
      <c r="F7256" s="12">
        <v>38.5</v>
      </c>
      <c r="G7256" t="str">
        <f>IFERROR(INDEX(tEditais[Órgão],MATCH(tItens[[#This Row],[Edital]],tEditais[Edital],0)),"")</f>
        <v>CIMCERO - CONSORCIO INTERMUNICIPAL DA REGIAO CENTRO LESTE DO ESTADO DE RONDONIA</v>
      </c>
      <c r="H7256" t="str">
        <f>IFERROR(INDEX(tEditais[UF],MATCH(tItens[[#This Row],[Edital]],tEditais[Edital],0)),"")</f>
        <v>RO</v>
      </c>
      <c r="I7256" s="11">
        <f>IFERROR(INDEX(tEditais[Encerramento],MATCH(tItens[[#This Row],[Edital]],tEditais[Edital],0)),"")</f>
        <v>46310.729166666664</v>
      </c>
      <c r="J7256" t="str">
        <f>IFERROR(INDEX(tProdutos[Classe],MATCH(tItens[[#This Row],[Produto]],tProdutos[Produto],0)),"produto não cadastrado")</f>
        <v>FORA</v>
      </c>
      <c r="K7256" s="12">
        <f>tItens[[#This Row],[Qtd]]*tItens[[#This Row],[Vlr unit]]</f>
        <v>38.5</v>
      </c>
      <c r="L7256" s="6">
        <f>IFERROR(IF(INDEX(tProdutos[Desconto homologado],MATCH(tItens[[#This Row],[Produto]],tProdutos[Produto],0))="",DescontoPadrao,INDEX(tProdutos[Desconto homologado],MATCH(tItens[[#This Row],[Produto]],tProdutos[Produto],0))),DescontoPadrao)</f>
        <v>0.50029835957199398</v>
      </c>
      <c r="M7256" s="12">
        <f>tItens[[#This Row],[Valor]]*(1-tItens[[#This Row],[Desconto]])</f>
        <v>19.238513156478231</v>
      </c>
      <c r="N7256" t="str">
        <f>IFERROR(INDEX(tProdutos[Foco],MATCH(tItens[[#This Row],[Produto]],tProdutos[Produto],0)),"Não")</f>
        <v>Não</v>
      </c>
      <c r="O7256" t="str">
        <f>IFERROR(INDEX(tEditais[SRP],MATCH(tItens[[#This Row],[Edital]],tEditais[Edital],0)),"Não")</f>
        <v>Sim</v>
      </c>
      <c r="P7256" s="4">
        <f>IF(COUNTIFS(INDEX(tItens[Edital],1):tItens[[#This Row],[Edital]],tItens[[#This Row],[Edital]],INDEX(tItens[Produto],1):tItens[[#This Row],[Produto]],tItens[[#This Row],[Produto]])=1,1,0)</f>
        <v>0</v>
      </c>
    </row>
    <row r="7257" spans="1:16" x14ac:dyDescent="0.25">
      <c r="A7257" t="s">
        <v>2468</v>
      </c>
      <c r="B7257">
        <v>283</v>
      </c>
      <c r="C7257" t="s">
        <v>9907</v>
      </c>
      <c r="D7257" t="s">
        <v>411</v>
      </c>
      <c r="E7257" s="13">
        <v>1</v>
      </c>
      <c r="F7257" s="12">
        <v>165.98</v>
      </c>
      <c r="G7257" t="str">
        <f>IFERROR(INDEX(tEditais[Órgão],MATCH(tItens[[#This Row],[Edital]],tEditais[Edital],0)),"")</f>
        <v>CIMCERO - CONSORCIO INTERMUNICIPAL DA REGIAO CENTRO LESTE DO ESTADO DE RONDONIA</v>
      </c>
      <c r="H7257" t="str">
        <f>IFERROR(INDEX(tEditais[UF],MATCH(tItens[[#This Row],[Edital]],tEditais[Edital],0)),"")</f>
        <v>RO</v>
      </c>
      <c r="I7257" s="11">
        <f>IFERROR(INDEX(tEditais[Encerramento],MATCH(tItens[[#This Row],[Edital]],tEditais[Edital],0)),"")</f>
        <v>46310.729166666664</v>
      </c>
      <c r="J7257" t="str">
        <f>IFERROR(INDEX(tProdutos[Classe],MATCH(tItens[[#This Row],[Produto]],tProdutos[Produto],0)),"produto não cadastrado")</f>
        <v>FORA</v>
      </c>
      <c r="K7257" s="12">
        <f>tItens[[#This Row],[Qtd]]*tItens[[#This Row],[Vlr unit]]</f>
        <v>165.98</v>
      </c>
      <c r="L7257" s="6">
        <f>IFERROR(IF(INDEX(tProdutos[Desconto homologado],MATCH(tItens[[#This Row],[Produto]],tProdutos[Produto],0))="",DescontoPadrao,INDEX(tProdutos[Desconto homologado],MATCH(tItens[[#This Row],[Produto]],tProdutos[Produto],0))),DescontoPadrao)</f>
        <v>0.50029835957199398</v>
      </c>
      <c r="M7257" s="12">
        <f>tItens[[#This Row],[Valor]]*(1-tItens[[#This Row],[Desconto]])</f>
        <v>82.940478278240434</v>
      </c>
      <c r="N7257" t="str">
        <f>IFERROR(INDEX(tProdutos[Foco],MATCH(tItens[[#This Row],[Produto]],tProdutos[Produto],0)),"Não")</f>
        <v>Não</v>
      </c>
      <c r="O7257" t="str">
        <f>IFERROR(INDEX(tEditais[SRP],MATCH(tItens[[#This Row],[Edital]],tEditais[Edital],0)),"Não")</f>
        <v>Sim</v>
      </c>
      <c r="P7257" s="4">
        <f>IF(COUNTIFS(INDEX(tItens[Edital],1):tItens[[#This Row],[Edital]],tItens[[#This Row],[Edital]],INDEX(tItens[Produto],1):tItens[[#This Row],[Produto]],tItens[[#This Row],[Produto]])=1,1,0)</f>
        <v>0</v>
      </c>
    </row>
    <row r="7258" spans="1:16" x14ac:dyDescent="0.25">
      <c r="A7258" t="s">
        <v>2468</v>
      </c>
      <c r="B7258">
        <v>294</v>
      </c>
      <c r="C7258" t="s">
        <v>9908</v>
      </c>
      <c r="D7258" t="s">
        <v>399</v>
      </c>
      <c r="E7258" s="13">
        <v>1</v>
      </c>
      <c r="F7258" s="12">
        <v>12.78</v>
      </c>
      <c r="G7258" t="str">
        <f>IFERROR(INDEX(tEditais[Órgão],MATCH(tItens[[#This Row],[Edital]],tEditais[Edital],0)),"")</f>
        <v>CIMCERO - CONSORCIO INTERMUNICIPAL DA REGIAO CENTRO LESTE DO ESTADO DE RONDONIA</v>
      </c>
      <c r="H7258" t="str">
        <f>IFERROR(INDEX(tEditais[UF],MATCH(tItens[[#This Row],[Edital]],tEditais[Edital],0)),"")</f>
        <v>RO</v>
      </c>
      <c r="I7258" s="11">
        <f>IFERROR(INDEX(tEditais[Encerramento],MATCH(tItens[[#This Row],[Edital]],tEditais[Edital],0)),"")</f>
        <v>46310.729166666664</v>
      </c>
      <c r="J7258" t="str">
        <f>IFERROR(INDEX(tProdutos[Classe],MATCH(tItens[[#This Row],[Produto]],tProdutos[Produto],0)),"produto não cadastrado")</f>
        <v>FORA</v>
      </c>
      <c r="K7258" s="12">
        <f>tItens[[#This Row],[Qtd]]*tItens[[#This Row],[Vlr unit]]</f>
        <v>12.78</v>
      </c>
      <c r="L7258" s="6">
        <f>IFERROR(IF(INDEX(tProdutos[Desconto homologado],MATCH(tItens[[#This Row],[Produto]],tProdutos[Produto],0))="",DescontoPadrao,INDEX(tProdutos[Desconto homologado],MATCH(tItens[[#This Row],[Produto]],tProdutos[Produto],0))),DescontoPadrao)</f>
        <v>0.30009041591320101</v>
      </c>
      <c r="M7258" s="12">
        <f>tItens[[#This Row],[Valor]]*(1-tItens[[#This Row],[Desconto]])</f>
        <v>8.9448444846292912</v>
      </c>
      <c r="N7258" t="str">
        <f>IFERROR(INDEX(tProdutos[Foco],MATCH(tItens[[#This Row],[Produto]],tProdutos[Produto],0)),"Não")</f>
        <v>Não</v>
      </c>
      <c r="O7258" t="str">
        <f>IFERROR(INDEX(tEditais[SRP],MATCH(tItens[[#This Row],[Edital]],tEditais[Edital],0)),"Não")</f>
        <v>Sim</v>
      </c>
      <c r="P7258" s="4">
        <f>IF(COUNTIFS(INDEX(tItens[Edital],1):tItens[[#This Row],[Edital]],tItens[[#This Row],[Edital]],INDEX(tItens[Produto],1):tItens[[#This Row],[Produto]],tItens[[#This Row],[Produto]])=1,1,0)</f>
        <v>1</v>
      </c>
    </row>
    <row r="7259" spans="1:16" x14ac:dyDescent="0.25">
      <c r="A7259" t="s">
        <v>2468</v>
      </c>
      <c r="B7259">
        <v>295</v>
      </c>
      <c r="C7259" t="s">
        <v>9909</v>
      </c>
      <c r="D7259" t="s">
        <v>399</v>
      </c>
      <c r="E7259" s="13">
        <v>1</v>
      </c>
      <c r="F7259" s="12">
        <v>12.49</v>
      </c>
      <c r="G7259" t="str">
        <f>IFERROR(INDEX(tEditais[Órgão],MATCH(tItens[[#This Row],[Edital]],tEditais[Edital],0)),"")</f>
        <v>CIMCERO - CONSORCIO INTERMUNICIPAL DA REGIAO CENTRO LESTE DO ESTADO DE RONDONIA</v>
      </c>
      <c r="H7259" t="str">
        <f>IFERROR(INDEX(tEditais[UF],MATCH(tItens[[#This Row],[Edital]],tEditais[Edital],0)),"")</f>
        <v>RO</v>
      </c>
      <c r="I7259" s="11">
        <f>IFERROR(INDEX(tEditais[Encerramento],MATCH(tItens[[#This Row],[Edital]],tEditais[Edital],0)),"")</f>
        <v>46310.729166666664</v>
      </c>
      <c r="J7259" t="str">
        <f>IFERROR(INDEX(tProdutos[Classe],MATCH(tItens[[#This Row],[Produto]],tProdutos[Produto],0)),"produto não cadastrado")</f>
        <v>FORA</v>
      </c>
      <c r="K7259" s="12">
        <f>tItens[[#This Row],[Qtd]]*tItens[[#This Row],[Vlr unit]]</f>
        <v>12.49</v>
      </c>
      <c r="L7259" s="6">
        <f>IFERROR(IF(INDEX(tProdutos[Desconto homologado],MATCH(tItens[[#This Row],[Produto]],tProdutos[Produto],0))="",DescontoPadrao,INDEX(tProdutos[Desconto homologado],MATCH(tItens[[#This Row],[Produto]],tProdutos[Produto],0))),DescontoPadrao)</f>
        <v>0.30009041591320101</v>
      </c>
      <c r="M7259" s="12">
        <f>tItens[[#This Row],[Valor]]*(1-tItens[[#This Row],[Desconto]])</f>
        <v>8.7418707052441196</v>
      </c>
      <c r="N7259" t="str">
        <f>IFERROR(INDEX(tProdutos[Foco],MATCH(tItens[[#This Row],[Produto]],tProdutos[Produto],0)),"Não")</f>
        <v>Não</v>
      </c>
      <c r="O7259" t="str">
        <f>IFERROR(INDEX(tEditais[SRP],MATCH(tItens[[#This Row],[Edital]],tEditais[Edital],0)),"Não")</f>
        <v>Sim</v>
      </c>
      <c r="P7259" s="4">
        <f>IF(COUNTIFS(INDEX(tItens[Edital],1):tItens[[#This Row],[Edital]],tItens[[#This Row],[Edital]],INDEX(tItens[Produto],1):tItens[[#This Row],[Produto]],tItens[[#This Row],[Produto]])=1,1,0)</f>
        <v>0</v>
      </c>
    </row>
    <row r="7260" spans="1:16" x14ac:dyDescent="0.25">
      <c r="A7260" t="s">
        <v>2468</v>
      </c>
      <c r="B7260">
        <v>297</v>
      </c>
      <c r="C7260" t="s">
        <v>9910</v>
      </c>
      <c r="D7260" t="s">
        <v>56</v>
      </c>
      <c r="E7260" s="13">
        <v>1</v>
      </c>
      <c r="F7260" s="12">
        <v>3.18</v>
      </c>
      <c r="G7260" t="str">
        <f>IFERROR(INDEX(tEditais[Órgão],MATCH(tItens[[#This Row],[Edital]],tEditais[Edital],0)),"")</f>
        <v>CIMCERO - CONSORCIO INTERMUNICIPAL DA REGIAO CENTRO LESTE DO ESTADO DE RONDONIA</v>
      </c>
      <c r="H7260" t="str">
        <f>IFERROR(INDEX(tEditais[UF],MATCH(tItens[[#This Row],[Edital]],tEditais[Edital],0)),"")</f>
        <v>RO</v>
      </c>
      <c r="I7260" s="11">
        <f>IFERROR(INDEX(tEditais[Encerramento],MATCH(tItens[[#This Row],[Edital]],tEditais[Edital],0)),"")</f>
        <v>46310.729166666664</v>
      </c>
      <c r="J7260" t="str">
        <f>IFERROR(INDEX(tProdutos[Classe],MATCH(tItens[[#This Row],[Produto]],tProdutos[Produto],0)),"produto não cadastrado")</f>
        <v>NÚCLEO</v>
      </c>
      <c r="K7260" s="12">
        <f>tItens[[#This Row],[Qtd]]*tItens[[#This Row],[Vlr unit]]</f>
        <v>3.18</v>
      </c>
      <c r="L7260" s="6">
        <f>IFERROR(IF(INDEX(tProdutos[Desconto homologado],MATCH(tItens[[#This Row],[Produto]],tProdutos[Produto],0))="",DescontoPadrao,INDEX(tProdutos[Desconto homologado],MATCH(tItens[[#This Row],[Produto]],tProdutos[Produto],0))),DescontoPadrao)</f>
        <v>0.34</v>
      </c>
      <c r="M7260" s="12">
        <f>tItens[[#This Row],[Valor]]*(1-tItens[[#This Row],[Desconto]])</f>
        <v>2.0987999999999998</v>
      </c>
      <c r="N7260" t="str">
        <f>IFERROR(INDEX(tProdutos[Foco],MATCH(tItens[[#This Row],[Produto]],tProdutos[Produto],0)),"Não")</f>
        <v>Sim</v>
      </c>
      <c r="O7260" t="str">
        <f>IFERROR(INDEX(tEditais[SRP],MATCH(tItens[[#This Row],[Edital]],tEditais[Edital],0)),"Não")</f>
        <v>Sim</v>
      </c>
      <c r="P7260" s="4">
        <f>IF(COUNTIFS(INDEX(tItens[Edital],1):tItens[[#This Row],[Edital]],tItens[[#This Row],[Edital]],INDEX(tItens[Produto],1):tItens[[#This Row],[Produto]],tItens[[#This Row],[Produto]])=1,1,0)</f>
        <v>1</v>
      </c>
    </row>
    <row r="7261" spans="1:16" x14ac:dyDescent="0.25">
      <c r="A7261" t="s">
        <v>2468</v>
      </c>
      <c r="B7261">
        <v>298</v>
      </c>
      <c r="C7261" t="s">
        <v>9911</v>
      </c>
      <c r="D7261" t="s">
        <v>56</v>
      </c>
      <c r="E7261" s="13">
        <v>1</v>
      </c>
      <c r="F7261" s="12">
        <v>2.73</v>
      </c>
      <c r="G7261" t="str">
        <f>IFERROR(INDEX(tEditais[Órgão],MATCH(tItens[[#This Row],[Edital]],tEditais[Edital],0)),"")</f>
        <v>CIMCERO - CONSORCIO INTERMUNICIPAL DA REGIAO CENTRO LESTE DO ESTADO DE RONDONIA</v>
      </c>
      <c r="H7261" t="str">
        <f>IFERROR(INDEX(tEditais[UF],MATCH(tItens[[#This Row],[Edital]],tEditais[Edital],0)),"")</f>
        <v>RO</v>
      </c>
      <c r="I7261" s="11">
        <f>IFERROR(INDEX(tEditais[Encerramento],MATCH(tItens[[#This Row],[Edital]],tEditais[Edital],0)),"")</f>
        <v>46310.729166666664</v>
      </c>
      <c r="J7261" t="str">
        <f>IFERROR(INDEX(tProdutos[Classe],MATCH(tItens[[#This Row],[Produto]],tProdutos[Produto],0)),"produto não cadastrado")</f>
        <v>NÚCLEO</v>
      </c>
      <c r="K7261" s="12">
        <f>tItens[[#This Row],[Qtd]]*tItens[[#This Row],[Vlr unit]]</f>
        <v>2.73</v>
      </c>
      <c r="L7261" s="6">
        <f>IFERROR(IF(INDEX(tProdutos[Desconto homologado],MATCH(tItens[[#This Row],[Produto]],tProdutos[Produto],0))="",DescontoPadrao,INDEX(tProdutos[Desconto homologado],MATCH(tItens[[#This Row],[Produto]],tProdutos[Produto],0))),DescontoPadrao)</f>
        <v>0.34</v>
      </c>
      <c r="M7261" s="12">
        <f>tItens[[#This Row],[Valor]]*(1-tItens[[#This Row],[Desconto]])</f>
        <v>1.8017999999999998</v>
      </c>
      <c r="N7261" t="str">
        <f>IFERROR(INDEX(tProdutos[Foco],MATCH(tItens[[#This Row],[Produto]],tProdutos[Produto],0)),"Não")</f>
        <v>Sim</v>
      </c>
      <c r="O7261" t="str">
        <f>IFERROR(INDEX(tEditais[SRP],MATCH(tItens[[#This Row],[Edital]],tEditais[Edital],0)),"Não")</f>
        <v>Sim</v>
      </c>
      <c r="P7261" s="4">
        <f>IF(COUNTIFS(INDEX(tItens[Edital],1):tItens[[#This Row],[Edital]],tItens[[#This Row],[Edital]],INDEX(tItens[Produto],1):tItens[[#This Row],[Produto]],tItens[[#This Row],[Produto]])=1,1,0)</f>
        <v>0</v>
      </c>
    </row>
    <row r="7262" spans="1:16" x14ac:dyDescent="0.25">
      <c r="A7262" t="s">
        <v>2468</v>
      </c>
      <c r="B7262">
        <v>300</v>
      </c>
      <c r="C7262" t="s">
        <v>7388</v>
      </c>
      <c r="D7262" t="s">
        <v>277</v>
      </c>
      <c r="E7262" s="13">
        <v>1</v>
      </c>
      <c r="F7262" s="12">
        <v>12.65</v>
      </c>
      <c r="G7262" t="str">
        <f>IFERROR(INDEX(tEditais[Órgão],MATCH(tItens[[#This Row],[Edital]],tEditais[Edital],0)),"")</f>
        <v>CIMCERO - CONSORCIO INTERMUNICIPAL DA REGIAO CENTRO LESTE DO ESTADO DE RONDONIA</v>
      </c>
      <c r="H7262" t="str">
        <f>IFERROR(INDEX(tEditais[UF],MATCH(tItens[[#This Row],[Edital]],tEditais[Edital],0)),"")</f>
        <v>RO</v>
      </c>
      <c r="I7262" s="11">
        <f>IFERROR(INDEX(tEditais[Encerramento],MATCH(tItens[[#This Row],[Edital]],tEditais[Edital],0)),"")</f>
        <v>46310.729166666664</v>
      </c>
      <c r="J7262" t="str">
        <f>IFERROR(INDEX(tProdutos[Classe],MATCH(tItens[[#This Row],[Produto]],tProdutos[Produto],0)),"produto não cadastrado")</f>
        <v>DISPUTADO</v>
      </c>
      <c r="K7262" s="12">
        <f>tItens[[#This Row],[Qtd]]*tItens[[#This Row],[Vlr unit]]</f>
        <v>12.65</v>
      </c>
      <c r="L7262" s="6">
        <f>IFERROR(IF(INDEX(tProdutos[Desconto homologado],MATCH(tItens[[#This Row],[Produto]],tProdutos[Produto],0))="",DescontoPadrao,INDEX(tProdutos[Desconto homologado],MATCH(tItens[[#This Row],[Produto]],tProdutos[Produto],0))),DescontoPadrao)</f>
        <v>0.50460666194188497</v>
      </c>
      <c r="M7262" s="12">
        <f>tItens[[#This Row],[Valor]]*(1-tItens[[#This Row],[Desconto]])</f>
        <v>6.2667257264351557</v>
      </c>
      <c r="N7262" t="str">
        <f>IFERROR(INDEX(tProdutos[Foco],MATCH(tItens[[#This Row],[Produto]],tProdutos[Produto],0)),"Não")</f>
        <v>Não</v>
      </c>
      <c r="O7262" t="str">
        <f>IFERROR(INDEX(tEditais[SRP],MATCH(tItens[[#This Row],[Edital]],tEditais[Edital],0)),"Não")</f>
        <v>Sim</v>
      </c>
      <c r="P7262" s="4">
        <f>IF(COUNTIFS(INDEX(tItens[Edital],1):tItens[[#This Row],[Edital]],tItens[[#This Row],[Edital]],INDEX(tItens[Produto],1):tItens[[#This Row],[Produto]],tItens[[#This Row],[Produto]])=1,1,0)</f>
        <v>0</v>
      </c>
    </row>
    <row r="7263" spans="1:16" x14ac:dyDescent="0.25">
      <c r="A7263" t="s">
        <v>2468</v>
      </c>
      <c r="B7263">
        <v>303</v>
      </c>
      <c r="C7263" t="s">
        <v>9912</v>
      </c>
      <c r="D7263" t="s">
        <v>267</v>
      </c>
      <c r="E7263" s="13">
        <v>1</v>
      </c>
      <c r="F7263" s="12">
        <v>8.3699999999999992</v>
      </c>
      <c r="G7263" t="str">
        <f>IFERROR(INDEX(tEditais[Órgão],MATCH(tItens[[#This Row],[Edital]],tEditais[Edital],0)),"")</f>
        <v>CIMCERO - CONSORCIO INTERMUNICIPAL DA REGIAO CENTRO LESTE DO ESTADO DE RONDONIA</v>
      </c>
      <c r="H7263" t="str">
        <f>IFERROR(INDEX(tEditais[UF],MATCH(tItens[[#This Row],[Edital]],tEditais[Edital],0)),"")</f>
        <v>RO</v>
      </c>
      <c r="I7263" s="11">
        <f>IFERROR(INDEX(tEditais[Encerramento],MATCH(tItens[[#This Row],[Edital]],tEditais[Edital],0)),"")</f>
        <v>46310.729166666664</v>
      </c>
      <c r="J7263" t="str">
        <f>IFERROR(INDEX(tProdutos[Classe],MATCH(tItens[[#This Row],[Produto]],tProdutos[Produto],0)),"produto não cadastrado")</f>
        <v>FORA</v>
      </c>
      <c r="K7263" s="12">
        <f>tItens[[#This Row],[Qtd]]*tItens[[#This Row],[Vlr unit]]</f>
        <v>8.3699999999999992</v>
      </c>
      <c r="L7263" s="6">
        <f>IFERROR(IF(INDEX(tProdutos[Desconto homologado],MATCH(tItens[[#This Row],[Produto]],tProdutos[Produto],0))="",DescontoPadrao,INDEX(tProdutos[Desconto homologado],MATCH(tItens[[#This Row],[Produto]],tProdutos[Produto],0))),DescontoPadrao)</f>
        <v>0.19963672657401599</v>
      </c>
      <c r="M7263" s="12">
        <f>tItens[[#This Row],[Valor]]*(1-tItens[[#This Row],[Desconto]])</f>
        <v>6.6990405985754853</v>
      </c>
      <c r="N7263" t="str">
        <f>IFERROR(INDEX(tProdutos[Foco],MATCH(tItens[[#This Row],[Produto]],tProdutos[Produto],0)),"Não")</f>
        <v>Não</v>
      </c>
      <c r="O7263" t="str">
        <f>IFERROR(INDEX(tEditais[SRP],MATCH(tItens[[#This Row],[Edital]],tEditais[Edital],0)),"Não")</f>
        <v>Sim</v>
      </c>
      <c r="P7263" s="4">
        <f>IF(COUNTIFS(INDEX(tItens[Edital],1):tItens[[#This Row],[Edital]],tItens[[#This Row],[Edital]],INDEX(tItens[Produto],1):tItens[[#This Row],[Produto]],tItens[[#This Row],[Produto]])=1,1,0)</f>
        <v>0</v>
      </c>
    </row>
    <row r="7264" spans="1:16" x14ac:dyDescent="0.25">
      <c r="A7264" t="s">
        <v>2468</v>
      </c>
      <c r="B7264">
        <v>305</v>
      </c>
      <c r="C7264" t="s">
        <v>4237</v>
      </c>
      <c r="D7264" t="s">
        <v>313</v>
      </c>
      <c r="E7264" s="13">
        <v>1</v>
      </c>
      <c r="F7264" s="12">
        <v>21.95</v>
      </c>
      <c r="G7264" t="str">
        <f>IFERROR(INDEX(tEditais[Órgão],MATCH(tItens[[#This Row],[Edital]],tEditais[Edital],0)),"")</f>
        <v>CIMCERO - CONSORCIO INTERMUNICIPAL DA REGIAO CENTRO LESTE DO ESTADO DE RONDONIA</v>
      </c>
      <c r="H7264" t="str">
        <f>IFERROR(INDEX(tEditais[UF],MATCH(tItens[[#This Row],[Edital]],tEditais[Edital],0)),"")</f>
        <v>RO</v>
      </c>
      <c r="I7264" s="11">
        <f>IFERROR(INDEX(tEditais[Encerramento],MATCH(tItens[[#This Row],[Edital]],tEditais[Edital],0)),"")</f>
        <v>46310.729166666664</v>
      </c>
      <c r="J7264" t="str">
        <f>IFERROR(INDEX(tProdutos[Classe],MATCH(tItens[[#This Row],[Produto]],tProdutos[Produto],0)),"produto não cadastrado")</f>
        <v>FORA</v>
      </c>
      <c r="K7264" s="12">
        <f>tItens[[#This Row],[Qtd]]*tItens[[#This Row],[Vlr unit]]</f>
        <v>21.95</v>
      </c>
      <c r="L7264" s="6">
        <f>IFERROR(IF(INDEX(tProdutos[Desconto homologado],MATCH(tItens[[#This Row],[Produto]],tProdutos[Produto],0))="",DescontoPadrao,INDEX(tProdutos[Desconto homologado],MATCH(tItens[[#This Row],[Produto]],tProdutos[Produto],0))),DescontoPadrao)</f>
        <v>0.35766373163696302</v>
      </c>
      <c r="M7264" s="12">
        <f>tItens[[#This Row],[Valor]]*(1-tItens[[#This Row],[Desconto]])</f>
        <v>14.09928109056866</v>
      </c>
      <c r="N7264" t="str">
        <f>IFERROR(INDEX(tProdutos[Foco],MATCH(tItens[[#This Row],[Produto]],tProdutos[Produto],0)),"Não")</f>
        <v>Não</v>
      </c>
      <c r="O7264" t="str">
        <f>IFERROR(INDEX(tEditais[SRP],MATCH(tItens[[#This Row],[Edital]],tEditais[Edital],0)),"Não")</f>
        <v>Sim</v>
      </c>
      <c r="P7264" s="4">
        <f>IF(COUNTIFS(INDEX(tItens[Edital],1):tItens[[#This Row],[Edital]],tItens[[#This Row],[Edital]],INDEX(tItens[Produto],1):tItens[[#This Row],[Produto]],tItens[[#This Row],[Produto]])=1,1,0)</f>
        <v>1</v>
      </c>
    </row>
    <row r="7265" spans="1:16" x14ac:dyDescent="0.25">
      <c r="A7265" t="s">
        <v>2468</v>
      </c>
      <c r="B7265">
        <v>306</v>
      </c>
      <c r="C7265" t="s">
        <v>9913</v>
      </c>
      <c r="D7265" t="s">
        <v>413</v>
      </c>
      <c r="E7265" s="13">
        <v>1</v>
      </c>
      <c r="F7265" s="12">
        <v>6.28</v>
      </c>
      <c r="G7265" t="str">
        <f>IFERROR(INDEX(tEditais[Órgão],MATCH(tItens[[#This Row],[Edital]],tEditais[Edital],0)),"")</f>
        <v>CIMCERO - CONSORCIO INTERMUNICIPAL DA REGIAO CENTRO LESTE DO ESTADO DE RONDONIA</v>
      </c>
      <c r="H7265" t="str">
        <f>IFERROR(INDEX(tEditais[UF],MATCH(tItens[[#This Row],[Edital]],tEditais[Edital],0)),"")</f>
        <v>RO</v>
      </c>
      <c r="I7265" s="11">
        <f>IFERROR(INDEX(tEditais[Encerramento],MATCH(tItens[[#This Row],[Edital]],tEditais[Edital],0)),"")</f>
        <v>46310.729166666664</v>
      </c>
      <c r="J7265" t="str">
        <f>IFERROR(INDEX(tProdutos[Classe],MATCH(tItens[[#This Row],[Produto]],tProdutos[Produto],0)),"produto não cadastrado")</f>
        <v>FORA</v>
      </c>
      <c r="K7265" s="12">
        <f>tItens[[#This Row],[Qtd]]*tItens[[#This Row],[Vlr unit]]</f>
        <v>6.28</v>
      </c>
      <c r="L7265" s="6">
        <f>IFERROR(IF(INDEX(tProdutos[Desconto homologado],MATCH(tItens[[#This Row],[Produto]],tProdutos[Produto],0))="",DescontoPadrao,INDEX(tProdutos[Desconto homologado],MATCH(tItens[[#This Row],[Produto]],tProdutos[Produto],0))),DescontoPadrao)</f>
        <v>0.477732793522267</v>
      </c>
      <c r="M7265" s="12">
        <f>tItens[[#This Row],[Valor]]*(1-tItens[[#This Row],[Desconto]])</f>
        <v>3.279838056680163</v>
      </c>
      <c r="N7265" t="str">
        <f>IFERROR(INDEX(tProdutos[Foco],MATCH(tItens[[#This Row],[Produto]],tProdutos[Produto],0)),"Não")</f>
        <v>Não</v>
      </c>
      <c r="O7265" t="str">
        <f>IFERROR(INDEX(tEditais[SRP],MATCH(tItens[[#This Row],[Edital]],tEditais[Edital],0)),"Não")</f>
        <v>Sim</v>
      </c>
      <c r="P7265" s="4">
        <f>IF(COUNTIFS(INDEX(tItens[Edital],1):tItens[[#This Row],[Edital]],tItens[[#This Row],[Edital]],INDEX(tItens[Produto],1):tItens[[#This Row],[Produto]],tItens[[#This Row],[Produto]])=1,1,0)</f>
        <v>1</v>
      </c>
    </row>
    <row r="7266" spans="1:16" x14ac:dyDescent="0.25">
      <c r="A7266" t="s">
        <v>2468</v>
      </c>
      <c r="B7266">
        <v>325</v>
      </c>
      <c r="C7266" t="s">
        <v>9914</v>
      </c>
      <c r="D7266" t="s">
        <v>479</v>
      </c>
      <c r="E7266" s="13">
        <v>1</v>
      </c>
      <c r="F7266" s="12">
        <v>14.93</v>
      </c>
      <c r="G7266" t="str">
        <f>IFERROR(INDEX(tEditais[Órgão],MATCH(tItens[[#This Row],[Edital]],tEditais[Edital],0)),"")</f>
        <v>CIMCERO - CONSORCIO INTERMUNICIPAL DA REGIAO CENTRO LESTE DO ESTADO DE RONDONIA</v>
      </c>
      <c r="H7266" t="str">
        <f>IFERROR(INDEX(tEditais[UF],MATCH(tItens[[#This Row],[Edital]],tEditais[Edital],0)),"")</f>
        <v>RO</v>
      </c>
      <c r="I7266" s="11">
        <f>IFERROR(INDEX(tEditais[Encerramento],MATCH(tItens[[#This Row],[Edital]],tEditais[Edital],0)),"")</f>
        <v>46310.729166666664</v>
      </c>
      <c r="J7266" t="str">
        <f>IFERROR(INDEX(tProdutos[Classe],MATCH(tItens[[#This Row],[Produto]],tProdutos[Produto],0)),"produto não cadastrado")</f>
        <v>FILA REBASE</v>
      </c>
      <c r="K7266" s="12">
        <f>tItens[[#This Row],[Qtd]]*tItens[[#This Row],[Vlr unit]]</f>
        <v>14.93</v>
      </c>
      <c r="L7266" s="6">
        <f>IFERROR(IF(INDEX(tProdutos[Desconto homologado],MATCH(tItens[[#This Row],[Produto]],tProdutos[Produto],0))="",DescontoPadrao,INDEX(tProdutos[Desconto homologado],MATCH(tItens[[#This Row],[Produto]],tProdutos[Produto],0))),DescontoPadrao)</f>
        <v>0.41266209000762799</v>
      </c>
      <c r="M7266" s="12">
        <f>tItens[[#This Row],[Valor]]*(1-tItens[[#This Row],[Desconto]])</f>
        <v>8.768954996186114</v>
      </c>
      <c r="N7266" t="str">
        <f>IFERROR(INDEX(tProdutos[Foco],MATCH(tItens[[#This Row],[Produto]],tProdutos[Produto],0)),"Não")</f>
        <v>Não</v>
      </c>
      <c r="O7266" t="str">
        <f>IFERROR(INDEX(tEditais[SRP],MATCH(tItens[[#This Row],[Edital]],tEditais[Edital],0)),"Não")</f>
        <v>Sim</v>
      </c>
      <c r="P7266" s="4">
        <f>IF(COUNTIFS(INDEX(tItens[Edital],1):tItens[[#This Row],[Edital]],tItens[[#This Row],[Edital]],INDEX(tItens[Produto],1):tItens[[#This Row],[Produto]],tItens[[#This Row],[Produto]])=1,1,0)</f>
        <v>1</v>
      </c>
    </row>
    <row r="7267" spans="1:16" x14ac:dyDescent="0.25">
      <c r="A7267" t="s">
        <v>2468</v>
      </c>
      <c r="B7267">
        <v>339</v>
      </c>
      <c r="C7267" t="s">
        <v>9915</v>
      </c>
      <c r="D7267" t="s">
        <v>299</v>
      </c>
      <c r="E7267" s="13">
        <v>1</v>
      </c>
      <c r="F7267" s="12">
        <v>124.61</v>
      </c>
      <c r="G7267" t="str">
        <f>IFERROR(INDEX(tEditais[Órgão],MATCH(tItens[[#This Row],[Edital]],tEditais[Edital],0)),"")</f>
        <v>CIMCERO - CONSORCIO INTERMUNICIPAL DA REGIAO CENTRO LESTE DO ESTADO DE RONDONIA</v>
      </c>
      <c r="H7267" t="str">
        <f>IFERROR(INDEX(tEditais[UF],MATCH(tItens[[#This Row],[Edital]],tEditais[Edital],0)),"")</f>
        <v>RO</v>
      </c>
      <c r="I7267" s="11">
        <f>IFERROR(INDEX(tEditais[Encerramento],MATCH(tItens[[#This Row],[Edital]],tEditais[Edital],0)),"")</f>
        <v>46310.729166666664</v>
      </c>
      <c r="J7267" t="str">
        <f>IFERROR(INDEX(tProdutos[Classe],MATCH(tItens[[#This Row],[Produto]],tProdutos[Produto],0)),"produto não cadastrado")</f>
        <v>FORA</v>
      </c>
      <c r="K7267" s="12">
        <f>tItens[[#This Row],[Qtd]]*tItens[[#This Row],[Vlr unit]]</f>
        <v>124.61</v>
      </c>
      <c r="L7267" s="6">
        <f>IFERROR(IF(INDEX(tProdutos[Desconto homologado],MATCH(tItens[[#This Row],[Produto]],tProdutos[Produto],0))="",DescontoPadrao,INDEX(tProdutos[Desconto homologado],MATCH(tItens[[#This Row],[Produto]],tProdutos[Produto],0))),DescontoPadrao)</f>
        <v>0.42211465163381601</v>
      </c>
      <c r="M7267" s="12">
        <f>tItens[[#This Row],[Valor]]*(1-tItens[[#This Row],[Desconto]])</f>
        <v>72.010293259910185</v>
      </c>
      <c r="N7267" t="str">
        <f>IFERROR(INDEX(tProdutos[Foco],MATCH(tItens[[#This Row],[Produto]],tProdutos[Produto],0)),"Não")</f>
        <v>Não</v>
      </c>
      <c r="O7267" t="str">
        <f>IFERROR(INDEX(tEditais[SRP],MATCH(tItens[[#This Row],[Edital]],tEditais[Edital],0)),"Não")</f>
        <v>Sim</v>
      </c>
      <c r="P7267" s="4">
        <f>IF(COUNTIFS(INDEX(tItens[Edital],1):tItens[[#This Row],[Edital]],tItens[[#This Row],[Edital]],INDEX(tItens[Produto],1):tItens[[#This Row],[Produto]],tItens[[#This Row],[Produto]])=1,1,0)</f>
        <v>0</v>
      </c>
    </row>
    <row r="7268" spans="1:16" x14ac:dyDescent="0.25">
      <c r="A7268" t="s">
        <v>2468</v>
      </c>
      <c r="B7268">
        <v>389</v>
      </c>
      <c r="C7268" t="s">
        <v>9916</v>
      </c>
      <c r="D7268" t="s">
        <v>67</v>
      </c>
      <c r="E7268" s="13">
        <v>1</v>
      </c>
      <c r="F7268" s="12">
        <v>7.32</v>
      </c>
      <c r="G7268" t="str">
        <f>IFERROR(INDEX(tEditais[Órgão],MATCH(tItens[[#This Row],[Edital]],tEditais[Edital],0)),"")</f>
        <v>CIMCERO - CONSORCIO INTERMUNICIPAL DA REGIAO CENTRO LESTE DO ESTADO DE RONDONIA</v>
      </c>
      <c r="H7268" t="str">
        <f>IFERROR(INDEX(tEditais[UF],MATCH(tItens[[#This Row],[Edital]],tEditais[Edital],0)),"")</f>
        <v>RO</v>
      </c>
      <c r="I7268" s="11">
        <f>IFERROR(INDEX(tEditais[Encerramento],MATCH(tItens[[#This Row],[Edital]],tEditais[Edital],0)),"")</f>
        <v>46310.729166666664</v>
      </c>
      <c r="J7268" t="str">
        <f>IFERROR(INDEX(tProdutos[Classe],MATCH(tItens[[#This Row],[Produto]],tProdutos[Produto],0)),"produto não cadastrado")</f>
        <v>NÚCLEO</v>
      </c>
      <c r="K7268" s="12">
        <f>tItens[[#This Row],[Qtd]]*tItens[[#This Row],[Vlr unit]]</f>
        <v>7.32</v>
      </c>
      <c r="L7268" s="6">
        <f>IFERROR(IF(INDEX(tProdutos[Desconto homologado],MATCH(tItens[[#This Row],[Produto]],tProdutos[Produto],0))="",DescontoPadrao,INDEX(tProdutos[Desconto homologado],MATCH(tItens[[#This Row],[Produto]],tProdutos[Produto],0))),DescontoPadrao)</f>
        <v>0.35766423357664201</v>
      </c>
      <c r="M7268" s="12">
        <f>tItens[[#This Row],[Valor]]*(1-tItens[[#This Row],[Desconto]])</f>
        <v>4.7018978102189806</v>
      </c>
      <c r="N7268" t="str">
        <f>IFERROR(INDEX(tProdutos[Foco],MATCH(tItens[[#This Row],[Produto]],tProdutos[Produto],0)),"Não")</f>
        <v>Não</v>
      </c>
      <c r="O7268" t="str">
        <f>IFERROR(INDEX(tEditais[SRP],MATCH(tItens[[#This Row],[Edital]],tEditais[Edital],0)),"Não")</f>
        <v>Sim</v>
      </c>
      <c r="P7268" s="4">
        <f>IF(COUNTIFS(INDEX(tItens[Edital],1):tItens[[#This Row],[Edital]],tItens[[#This Row],[Edital]],INDEX(tItens[Produto],1):tItens[[#This Row],[Produto]],tItens[[#This Row],[Produto]])=1,1,0)</f>
        <v>1</v>
      </c>
    </row>
    <row r="7269" spans="1:16" x14ac:dyDescent="0.25">
      <c r="A7269" t="s">
        <v>2468</v>
      </c>
      <c r="B7269">
        <v>402</v>
      </c>
      <c r="C7269" t="s">
        <v>9833</v>
      </c>
      <c r="D7269" t="s">
        <v>275</v>
      </c>
      <c r="E7269" s="13">
        <v>1</v>
      </c>
      <c r="F7269" s="12">
        <v>0.7</v>
      </c>
      <c r="G7269" t="str">
        <f>IFERROR(INDEX(tEditais[Órgão],MATCH(tItens[[#This Row],[Edital]],tEditais[Edital],0)),"")</f>
        <v>CIMCERO - CONSORCIO INTERMUNICIPAL DA REGIAO CENTRO LESTE DO ESTADO DE RONDONIA</v>
      </c>
      <c r="H7269" t="str">
        <f>IFERROR(INDEX(tEditais[UF],MATCH(tItens[[#This Row],[Edital]],tEditais[Edital],0)),"")</f>
        <v>RO</v>
      </c>
      <c r="I7269" s="11">
        <f>IFERROR(INDEX(tEditais[Encerramento],MATCH(tItens[[#This Row],[Edital]],tEditais[Edital],0)),"")</f>
        <v>46310.729166666664</v>
      </c>
      <c r="J7269" t="str">
        <f>IFERROR(INDEX(tProdutos[Classe],MATCH(tItens[[#This Row],[Produto]],tProdutos[Produto],0)),"produto não cadastrado")</f>
        <v>FORA</v>
      </c>
      <c r="K7269" s="12">
        <f>tItens[[#This Row],[Qtd]]*tItens[[#This Row],[Vlr unit]]</f>
        <v>0.7</v>
      </c>
      <c r="L7269" s="6">
        <f>IFERROR(IF(INDEX(tProdutos[Desconto homologado],MATCH(tItens[[#This Row],[Produto]],tProdutos[Produto],0))="",DescontoPadrao,INDEX(tProdutos[Desconto homologado],MATCH(tItens[[#This Row],[Produto]],tProdutos[Produto],0))),DescontoPadrao)</f>
        <v>0.405797101449275</v>
      </c>
      <c r="M7269" s="12">
        <f>tItens[[#This Row],[Valor]]*(1-tItens[[#This Row],[Desconto]])</f>
        <v>0.41594202898550753</v>
      </c>
      <c r="N7269" t="str">
        <f>IFERROR(INDEX(tProdutos[Foco],MATCH(tItens[[#This Row],[Produto]],tProdutos[Produto],0)),"Não")</f>
        <v>Não</v>
      </c>
      <c r="O7269" t="str">
        <f>IFERROR(INDEX(tEditais[SRP],MATCH(tItens[[#This Row],[Edital]],tEditais[Edital],0)),"Não")</f>
        <v>Sim</v>
      </c>
      <c r="P7269" s="4">
        <f>IF(COUNTIFS(INDEX(tItens[Edital],1):tItens[[#This Row],[Edital]],tItens[[#This Row],[Edital]],INDEX(tItens[Produto],1):tItens[[#This Row],[Produto]],tItens[[#This Row],[Produto]])=1,1,0)</f>
        <v>0</v>
      </c>
    </row>
    <row r="7270" spans="1:16" x14ac:dyDescent="0.25">
      <c r="A7270" t="s">
        <v>2468</v>
      </c>
      <c r="B7270">
        <v>403</v>
      </c>
      <c r="C7270" t="s">
        <v>9917</v>
      </c>
      <c r="D7270" t="s">
        <v>281</v>
      </c>
      <c r="E7270" s="13">
        <v>1</v>
      </c>
      <c r="F7270" s="12">
        <v>32.83</v>
      </c>
      <c r="G7270" t="str">
        <f>IFERROR(INDEX(tEditais[Órgão],MATCH(tItens[[#This Row],[Edital]],tEditais[Edital],0)),"")</f>
        <v>CIMCERO - CONSORCIO INTERMUNICIPAL DA REGIAO CENTRO LESTE DO ESTADO DE RONDONIA</v>
      </c>
      <c r="H7270" t="str">
        <f>IFERROR(INDEX(tEditais[UF],MATCH(tItens[[#This Row],[Edital]],tEditais[Edital],0)),"")</f>
        <v>RO</v>
      </c>
      <c r="I7270" s="11">
        <f>IFERROR(INDEX(tEditais[Encerramento],MATCH(tItens[[#This Row],[Edital]],tEditais[Edital],0)),"")</f>
        <v>46310.729166666664</v>
      </c>
      <c r="J7270" t="str">
        <f>IFERROR(INDEX(tProdutos[Classe],MATCH(tItens[[#This Row],[Produto]],tProdutos[Produto],0)),"produto não cadastrado")</f>
        <v>DISPUTADO</v>
      </c>
      <c r="K7270" s="12">
        <f>tItens[[#This Row],[Qtd]]*tItens[[#This Row],[Vlr unit]]</f>
        <v>32.83</v>
      </c>
      <c r="L7270" s="6">
        <f>IFERROR(IF(INDEX(tProdutos[Desconto homologado],MATCH(tItens[[#This Row],[Produto]],tProdutos[Produto],0))="",DescontoPadrao,INDEX(tProdutos[Desconto homologado],MATCH(tItens[[#This Row],[Produto]],tProdutos[Produto],0))),DescontoPadrao)</f>
        <v>0.42461538461538501</v>
      </c>
      <c r="M7270" s="12">
        <f>tItens[[#This Row],[Valor]]*(1-tItens[[#This Row],[Desconto]])</f>
        <v>18.889876923076908</v>
      </c>
      <c r="N7270" t="str">
        <f>IFERROR(INDEX(tProdutos[Foco],MATCH(tItens[[#This Row],[Produto]],tProdutos[Produto],0)),"Não")</f>
        <v>Não</v>
      </c>
      <c r="O7270" t="str">
        <f>IFERROR(INDEX(tEditais[SRP],MATCH(tItens[[#This Row],[Edital]],tEditais[Edital],0)),"Não")</f>
        <v>Sim</v>
      </c>
      <c r="P7270" s="4">
        <f>IF(COUNTIFS(INDEX(tItens[Edital],1):tItens[[#This Row],[Edital]],tItens[[#This Row],[Edital]],INDEX(tItens[Produto],1):tItens[[#This Row],[Produto]],tItens[[#This Row],[Produto]])=1,1,0)</f>
        <v>1</v>
      </c>
    </row>
    <row r="7271" spans="1:16" x14ac:dyDescent="0.25">
      <c r="A7271" t="s">
        <v>2468</v>
      </c>
      <c r="B7271">
        <v>405</v>
      </c>
      <c r="C7271" t="s">
        <v>9918</v>
      </c>
      <c r="D7271" t="s">
        <v>275</v>
      </c>
      <c r="E7271" s="13">
        <v>1</v>
      </c>
      <c r="F7271" s="12">
        <v>0.36</v>
      </c>
      <c r="G7271" t="str">
        <f>IFERROR(INDEX(tEditais[Órgão],MATCH(tItens[[#This Row],[Edital]],tEditais[Edital],0)),"")</f>
        <v>CIMCERO - CONSORCIO INTERMUNICIPAL DA REGIAO CENTRO LESTE DO ESTADO DE RONDONIA</v>
      </c>
      <c r="H7271" t="str">
        <f>IFERROR(INDEX(tEditais[UF],MATCH(tItens[[#This Row],[Edital]],tEditais[Edital],0)),"")</f>
        <v>RO</v>
      </c>
      <c r="I7271" s="11">
        <f>IFERROR(INDEX(tEditais[Encerramento],MATCH(tItens[[#This Row],[Edital]],tEditais[Edital],0)),"")</f>
        <v>46310.729166666664</v>
      </c>
      <c r="J7271" t="str">
        <f>IFERROR(INDEX(tProdutos[Classe],MATCH(tItens[[#This Row],[Produto]],tProdutos[Produto],0)),"produto não cadastrado")</f>
        <v>FORA</v>
      </c>
      <c r="K7271" s="12">
        <f>tItens[[#This Row],[Qtd]]*tItens[[#This Row],[Vlr unit]]</f>
        <v>0.36</v>
      </c>
      <c r="L7271" s="6">
        <f>IFERROR(IF(INDEX(tProdutos[Desconto homologado],MATCH(tItens[[#This Row],[Produto]],tProdutos[Produto],0))="",DescontoPadrao,INDEX(tProdutos[Desconto homologado],MATCH(tItens[[#This Row],[Produto]],tProdutos[Produto],0))),DescontoPadrao)</f>
        <v>0.405797101449275</v>
      </c>
      <c r="M7271" s="12">
        <f>tItens[[#This Row],[Valor]]*(1-tItens[[#This Row],[Desconto]])</f>
        <v>0.21391304347826101</v>
      </c>
      <c r="N7271" t="str">
        <f>IFERROR(INDEX(tProdutos[Foco],MATCH(tItens[[#This Row],[Produto]],tProdutos[Produto],0)),"Não")</f>
        <v>Não</v>
      </c>
      <c r="O7271" t="str">
        <f>IFERROR(INDEX(tEditais[SRP],MATCH(tItens[[#This Row],[Edital]],tEditais[Edital],0)),"Não")</f>
        <v>Sim</v>
      </c>
      <c r="P7271" s="4">
        <f>IF(COUNTIFS(INDEX(tItens[Edital],1):tItens[[#This Row],[Edital]],tItens[[#This Row],[Edital]],INDEX(tItens[Produto],1):tItens[[#This Row],[Produto]],tItens[[#This Row],[Produto]])=1,1,0)</f>
        <v>0</v>
      </c>
    </row>
    <row r="7272" spans="1:16" x14ac:dyDescent="0.25">
      <c r="A7272" t="s">
        <v>2468</v>
      </c>
      <c r="B7272">
        <v>406</v>
      </c>
      <c r="C7272" t="s">
        <v>9919</v>
      </c>
      <c r="D7272" t="s">
        <v>283</v>
      </c>
      <c r="E7272" s="13">
        <v>1</v>
      </c>
      <c r="F7272" s="12">
        <v>0.5</v>
      </c>
      <c r="G7272" t="str">
        <f>IFERROR(INDEX(tEditais[Órgão],MATCH(tItens[[#This Row],[Edital]],tEditais[Edital],0)),"")</f>
        <v>CIMCERO - CONSORCIO INTERMUNICIPAL DA REGIAO CENTRO LESTE DO ESTADO DE RONDONIA</v>
      </c>
      <c r="H7272" t="str">
        <f>IFERROR(INDEX(tEditais[UF],MATCH(tItens[[#This Row],[Edital]],tEditais[Edital],0)),"")</f>
        <v>RO</v>
      </c>
      <c r="I7272" s="11">
        <f>IFERROR(INDEX(tEditais[Encerramento],MATCH(tItens[[#This Row],[Edital]],tEditais[Edital],0)),"")</f>
        <v>46310.729166666664</v>
      </c>
      <c r="J7272" t="str">
        <f>IFERROR(INDEX(tProdutos[Classe],MATCH(tItens[[#This Row],[Produto]],tProdutos[Produto],0)),"produto não cadastrado")</f>
        <v>FORA</v>
      </c>
      <c r="K7272" s="12">
        <f>tItens[[#This Row],[Qtd]]*tItens[[#This Row],[Vlr unit]]</f>
        <v>0.5</v>
      </c>
      <c r="L7272" s="6">
        <f>IFERROR(IF(INDEX(tProdutos[Desconto homologado],MATCH(tItens[[#This Row],[Produto]],tProdutos[Produto],0))="",DescontoPadrao,INDEX(tProdutos[Desconto homologado],MATCH(tItens[[#This Row],[Produto]],tProdutos[Produto],0))),DescontoPadrao)</f>
        <v>0.40540540540540498</v>
      </c>
      <c r="M7272" s="12">
        <f>tItens[[#This Row],[Valor]]*(1-tItens[[#This Row],[Desconto]])</f>
        <v>0.29729729729729748</v>
      </c>
      <c r="N7272" t="str">
        <f>IFERROR(INDEX(tProdutos[Foco],MATCH(tItens[[#This Row],[Produto]],tProdutos[Produto],0)),"Não")</f>
        <v>Não</v>
      </c>
      <c r="O7272" t="str">
        <f>IFERROR(INDEX(tEditais[SRP],MATCH(tItens[[#This Row],[Edital]],tEditais[Edital],0)),"Não")</f>
        <v>Sim</v>
      </c>
      <c r="P7272" s="4">
        <f>IF(COUNTIFS(INDEX(tItens[Edital],1):tItens[[#This Row],[Edital]],tItens[[#This Row],[Edital]],INDEX(tItens[Produto],1):tItens[[#This Row],[Produto]],tItens[[#This Row],[Produto]])=1,1,0)</f>
        <v>1</v>
      </c>
    </row>
    <row r="7273" spans="1:16" x14ac:dyDescent="0.25">
      <c r="A7273" t="s">
        <v>2468</v>
      </c>
      <c r="B7273">
        <v>407</v>
      </c>
      <c r="C7273" t="s">
        <v>9920</v>
      </c>
      <c r="D7273" t="s">
        <v>297</v>
      </c>
      <c r="E7273" s="13">
        <v>1</v>
      </c>
      <c r="F7273" s="12">
        <v>0.14000000000000001</v>
      </c>
      <c r="G7273" t="str">
        <f>IFERROR(INDEX(tEditais[Órgão],MATCH(tItens[[#This Row],[Edital]],tEditais[Edital],0)),"")</f>
        <v>CIMCERO - CONSORCIO INTERMUNICIPAL DA REGIAO CENTRO LESTE DO ESTADO DE RONDONIA</v>
      </c>
      <c r="H7273" t="str">
        <f>IFERROR(INDEX(tEditais[UF],MATCH(tItens[[#This Row],[Edital]],tEditais[Edital],0)),"")</f>
        <v>RO</v>
      </c>
      <c r="I7273" s="11">
        <f>IFERROR(INDEX(tEditais[Encerramento],MATCH(tItens[[#This Row],[Edital]],tEditais[Edital],0)),"")</f>
        <v>46310.729166666664</v>
      </c>
      <c r="J7273" t="str">
        <f>IFERROR(INDEX(tProdutos[Classe],MATCH(tItens[[#This Row],[Produto]],tProdutos[Produto],0)),"produto não cadastrado")</f>
        <v>FORA</v>
      </c>
      <c r="K7273" s="12">
        <f>tItens[[#This Row],[Qtd]]*tItens[[#This Row],[Vlr unit]]</f>
        <v>0.14000000000000001</v>
      </c>
      <c r="L7273" s="6">
        <f>IFERROR(IF(INDEX(tProdutos[Desconto homologado],MATCH(tItens[[#This Row],[Produto]],tProdutos[Produto],0))="",DescontoPadrao,INDEX(tProdutos[Desconto homologado],MATCH(tItens[[#This Row],[Produto]],tProdutos[Produto],0))),DescontoPadrao)</f>
        <v>0.249544626593807</v>
      </c>
      <c r="M7273" s="12">
        <f>tItens[[#This Row],[Valor]]*(1-tItens[[#This Row],[Desconto]])</f>
        <v>0.10506375227686703</v>
      </c>
      <c r="N7273" t="str">
        <f>IFERROR(INDEX(tProdutos[Foco],MATCH(tItens[[#This Row],[Produto]],tProdutos[Produto],0)),"Não")</f>
        <v>Não</v>
      </c>
      <c r="O7273" t="str">
        <f>IFERROR(INDEX(tEditais[SRP],MATCH(tItens[[#This Row],[Edital]],tEditais[Edital],0)),"Não")</f>
        <v>Sim</v>
      </c>
      <c r="P7273" s="4">
        <f>IF(COUNTIFS(INDEX(tItens[Edital],1):tItens[[#This Row],[Edital]],tItens[[#This Row],[Edital]],INDEX(tItens[Produto],1):tItens[[#This Row],[Produto]],tItens[[#This Row],[Produto]])=1,1,0)</f>
        <v>0</v>
      </c>
    </row>
    <row r="7274" spans="1:16" x14ac:dyDescent="0.25">
      <c r="A7274" t="s">
        <v>2468</v>
      </c>
      <c r="B7274">
        <v>408</v>
      </c>
      <c r="C7274" t="s">
        <v>9921</v>
      </c>
      <c r="D7274" t="s">
        <v>297</v>
      </c>
      <c r="E7274" s="13">
        <v>1</v>
      </c>
      <c r="F7274" s="12">
        <v>1.48</v>
      </c>
      <c r="G7274" t="str">
        <f>IFERROR(INDEX(tEditais[Órgão],MATCH(tItens[[#This Row],[Edital]],tEditais[Edital],0)),"")</f>
        <v>CIMCERO - CONSORCIO INTERMUNICIPAL DA REGIAO CENTRO LESTE DO ESTADO DE RONDONIA</v>
      </c>
      <c r="H7274" t="str">
        <f>IFERROR(INDEX(tEditais[UF],MATCH(tItens[[#This Row],[Edital]],tEditais[Edital],0)),"")</f>
        <v>RO</v>
      </c>
      <c r="I7274" s="11">
        <f>IFERROR(INDEX(tEditais[Encerramento],MATCH(tItens[[#This Row],[Edital]],tEditais[Edital],0)),"")</f>
        <v>46310.729166666664</v>
      </c>
      <c r="J7274" t="str">
        <f>IFERROR(INDEX(tProdutos[Classe],MATCH(tItens[[#This Row],[Produto]],tProdutos[Produto],0)),"produto não cadastrado")</f>
        <v>FORA</v>
      </c>
      <c r="K7274" s="12">
        <f>tItens[[#This Row],[Qtd]]*tItens[[#This Row],[Vlr unit]]</f>
        <v>1.48</v>
      </c>
      <c r="L7274" s="6">
        <f>IFERROR(IF(INDEX(tProdutos[Desconto homologado],MATCH(tItens[[#This Row],[Produto]],tProdutos[Produto],0))="",DescontoPadrao,INDEX(tProdutos[Desconto homologado],MATCH(tItens[[#This Row],[Produto]],tProdutos[Produto],0))),DescontoPadrao)</f>
        <v>0.249544626593807</v>
      </c>
      <c r="M7274" s="12">
        <f>tItens[[#This Row],[Valor]]*(1-tItens[[#This Row],[Desconto]])</f>
        <v>1.1106739526411655</v>
      </c>
      <c r="N7274" t="str">
        <f>IFERROR(INDEX(tProdutos[Foco],MATCH(tItens[[#This Row],[Produto]],tProdutos[Produto],0)),"Não")</f>
        <v>Não</v>
      </c>
      <c r="O7274" t="str">
        <f>IFERROR(INDEX(tEditais[SRP],MATCH(tItens[[#This Row],[Edital]],tEditais[Edital],0)),"Não")</f>
        <v>Sim</v>
      </c>
      <c r="P7274" s="4">
        <f>IF(COUNTIFS(INDEX(tItens[Edital],1):tItens[[#This Row],[Edital]],tItens[[#This Row],[Edital]],INDEX(tItens[Produto],1):tItens[[#This Row],[Produto]],tItens[[#This Row],[Produto]])=1,1,0)</f>
        <v>0</v>
      </c>
    </row>
    <row r="7275" spans="1:16" x14ac:dyDescent="0.25">
      <c r="A7275" t="s">
        <v>2468</v>
      </c>
      <c r="B7275">
        <v>417</v>
      </c>
      <c r="C7275" t="s">
        <v>9922</v>
      </c>
      <c r="D7275" t="s">
        <v>69</v>
      </c>
      <c r="E7275" s="13">
        <v>1</v>
      </c>
      <c r="F7275" s="12">
        <v>2.15</v>
      </c>
      <c r="G7275" t="str">
        <f>IFERROR(INDEX(tEditais[Órgão],MATCH(tItens[[#This Row],[Edital]],tEditais[Edital],0)),"")</f>
        <v>CIMCERO - CONSORCIO INTERMUNICIPAL DA REGIAO CENTRO LESTE DO ESTADO DE RONDONIA</v>
      </c>
      <c r="H7275" t="str">
        <f>IFERROR(INDEX(tEditais[UF],MATCH(tItens[[#This Row],[Edital]],tEditais[Edital],0)),"")</f>
        <v>RO</v>
      </c>
      <c r="I7275" s="11">
        <f>IFERROR(INDEX(tEditais[Encerramento],MATCH(tItens[[#This Row],[Edital]],tEditais[Edital],0)),"")</f>
        <v>46310.729166666664</v>
      </c>
      <c r="J7275" t="str">
        <f>IFERROR(INDEX(tProdutos[Classe],MATCH(tItens[[#This Row],[Produto]],tProdutos[Produto],0)),"produto não cadastrado")</f>
        <v>NÚCLEO</v>
      </c>
      <c r="K7275" s="12">
        <f>tItens[[#This Row],[Qtd]]*tItens[[#This Row],[Vlr unit]]</f>
        <v>2.15</v>
      </c>
      <c r="L7275" s="6">
        <f>IFERROR(IF(INDEX(tProdutos[Desconto homologado],MATCH(tItens[[#This Row],[Produto]],tProdutos[Produto],0))="",DescontoPadrao,INDEX(tProdutos[Desconto homologado],MATCH(tItens[[#This Row],[Produto]],tProdutos[Produto],0))),DescontoPadrao)</f>
        <v>0.38829259638568803</v>
      </c>
      <c r="M7275" s="12">
        <f>tItens[[#This Row],[Valor]]*(1-tItens[[#This Row],[Desconto]])</f>
        <v>1.3151709177707707</v>
      </c>
      <c r="N7275" t="str">
        <f>IFERROR(INDEX(tProdutos[Foco],MATCH(tItens[[#This Row],[Produto]],tProdutos[Produto],0)),"Não")</f>
        <v>Não</v>
      </c>
      <c r="O7275" t="str">
        <f>IFERROR(INDEX(tEditais[SRP],MATCH(tItens[[#This Row],[Edital]],tEditais[Edital],0)),"Não")</f>
        <v>Sim</v>
      </c>
      <c r="P7275" s="4">
        <f>IF(COUNTIFS(INDEX(tItens[Edital],1):tItens[[#This Row],[Edital]],tItens[[#This Row],[Edital]],INDEX(tItens[Produto],1):tItens[[#This Row],[Produto]],tItens[[#This Row],[Produto]])=1,1,0)</f>
        <v>1</v>
      </c>
    </row>
    <row r="7276" spans="1:16" x14ac:dyDescent="0.25">
      <c r="A7276" t="s">
        <v>2468</v>
      </c>
      <c r="B7276">
        <v>418</v>
      </c>
      <c r="C7276" t="s">
        <v>9923</v>
      </c>
      <c r="D7276" t="s">
        <v>69</v>
      </c>
      <c r="E7276" s="13">
        <v>1</v>
      </c>
      <c r="F7276" s="12">
        <v>1.34</v>
      </c>
      <c r="G7276" t="str">
        <f>IFERROR(INDEX(tEditais[Órgão],MATCH(tItens[[#This Row],[Edital]],tEditais[Edital],0)),"")</f>
        <v>CIMCERO - CONSORCIO INTERMUNICIPAL DA REGIAO CENTRO LESTE DO ESTADO DE RONDONIA</v>
      </c>
      <c r="H7276" t="str">
        <f>IFERROR(INDEX(tEditais[UF],MATCH(tItens[[#This Row],[Edital]],tEditais[Edital],0)),"")</f>
        <v>RO</v>
      </c>
      <c r="I7276" s="11">
        <f>IFERROR(INDEX(tEditais[Encerramento],MATCH(tItens[[#This Row],[Edital]],tEditais[Edital],0)),"")</f>
        <v>46310.729166666664</v>
      </c>
      <c r="J7276" t="str">
        <f>IFERROR(INDEX(tProdutos[Classe],MATCH(tItens[[#This Row],[Produto]],tProdutos[Produto],0)),"produto não cadastrado")</f>
        <v>NÚCLEO</v>
      </c>
      <c r="K7276" s="12">
        <f>tItens[[#This Row],[Qtd]]*tItens[[#This Row],[Vlr unit]]</f>
        <v>1.34</v>
      </c>
      <c r="L7276" s="6">
        <f>IFERROR(IF(INDEX(tProdutos[Desconto homologado],MATCH(tItens[[#This Row],[Produto]],tProdutos[Produto],0))="",DescontoPadrao,INDEX(tProdutos[Desconto homologado],MATCH(tItens[[#This Row],[Produto]],tProdutos[Produto],0))),DescontoPadrao)</f>
        <v>0.38829259638568803</v>
      </c>
      <c r="M7276" s="12">
        <f>tItens[[#This Row],[Valor]]*(1-tItens[[#This Row],[Desconto]])</f>
        <v>0.8196879208431781</v>
      </c>
      <c r="N7276" t="str">
        <f>IFERROR(INDEX(tProdutos[Foco],MATCH(tItens[[#This Row],[Produto]],tProdutos[Produto],0)),"Não")</f>
        <v>Não</v>
      </c>
      <c r="O7276" t="str">
        <f>IFERROR(INDEX(tEditais[SRP],MATCH(tItens[[#This Row],[Edital]],tEditais[Edital],0)),"Não")</f>
        <v>Sim</v>
      </c>
      <c r="P7276" s="4">
        <f>IF(COUNTIFS(INDEX(tItens[Edital],1):tItens[[#This Row],[Edital]],tItens[[#This Row],[Edital]],INDEX(tItens[Produto],1):tItens[[#This Row],[Produto]],tItens[[#This Row],[Produto]])=1,1,0)</f>
        <v>0</v>
      </c>
    </row>
    <row r="7277" spans="1:16" x14ac:dyDescent="0.25">
      <c r="A7277" t="s">
        <v>2468</v>
      </c>
      <c r="B7277">
        <v>419</v>
      </c>
      <c r="C7277" t="s">
        <v>9924</v>
      </c>
      <c r="D7277" t="s">
        <v>69</v>
      </c>
      <c r="E7277" s="13">
        <v>1</v>
      </c>
      <c r="F7277" s="12">
        <v>0.85</v>
      </c>
      <c r="G7277" t="str">
        <f>IFERROR(INDEX(tEditais[Órgão],MATCH(tItens[[#This Row],[Edital]],tEditais[Edital],0)),"")</f>
        <v>CIMCERO - CONSORCIO INTERMUNICIPAL DA REGIAO CENTRO LESTE DO ESTADO DE RONDONIA</v>
      </c>
      <c r="H7277" t="str">
        <f>IFERROR(INDEX(tEditais[UF],MATCH(tItens[[#This Row],[Edital]],tEditais[Edital],0)),"")</f>
        <v>RO</v>
      </c>
      <c r="I7277" s="11">
        <f>IFERROR(INDEX(tEditais[Encerramento],MATCH(tItens[[#This Row],[Edital]],tEditais[Edital],0)),"")</f>
        <v>46310.729166666664</v>
      </c>
      <c r="J7277" t="str">
        <f>IFERROR(INDEX(tProdutos[Classe],MATCH(tItens[[#This Row],[Produto]],tProdutos[Produto],0)),"produto não cadastrado")</f>
        <v>NÚCLEO</v>
      </c>
      <c r="K7277" s="12">
        <f>tItens[[#This Row],[Qtd]]*tItens[[#This Row],[Vlr unit]]</f>
        <v>0.85</v>
      </c>
      <c r="L7277" s="6">
        <f>IFERROR(IF(INDEX(tProdutos[Desconto homologado],MATCH(tItens[[#This Row],[Produto]],tProdutos[Produto],0))="",DescontoPadrao,INDEX(tProdutos[Desconto homologado],MATCH(tItens[[#This Row],[Produto]],tProdutos[Produto],0))),DescontoPadrao)</f>
        <v>0.38829259638568803</v>
      </c>
      <c r="M7277" s="12">
        <f>tItens[[#This Row],[Valor]]*(1-tItens[[#This Row],[Desconto]])</f>
        <v>0.51995129307216514</v>
      </c>
      <c r="N7277" t="str">
        <f>IFERROR(INDEX(tProdutos[Foco],MATCH(tItens[[#This Row],[Produto]],tProdutos[Produto],0)),"Não")</f>
        <v>Não</v>
      </c>
      <c r="O7277" t="str">
        <f>IFERROR(INDEX(tEditais[SRP],MATCH(tItens[[#This Row],[Edital]],tEditais[Edital],0)),"Não")</f>
        <v>Sim</v>
      </c>
      <c r="P7277" s="4">
        <f>IF(COUNTIFS(INDEX(tItens[Edital],1):tItens[[#This Row],[Edital]],tItens[[#This Row],[Edital]],INDEX(tItens[Produto],1):tItens[[#This Row],[Produto]],tItens[[#This Row],[Produto]])=1,1,0)</f>
        <v>0</v>
      </c>
    </row>
    <row r="7278" spans="1:16" x14ac:dyDescent="0.25">
      <c r="A7278" t="s">
        <v>2468</v>
      </c>
      <c r="B7278">
        <v>420</v>
      </c>
      <c r="C7278" t="s">
        <v>9925</v>
      </c>
      <c r="D7278" t="s">
        <v>69</v>
      </c>
      <c r="E7278" s="13">
        <v>1</v>
      </c>
      <c r="F7278" s="12">
        <v>0.71</v>
      </c>
      <c r="G7278" t="str">
        <f>IFERROR(INDEX(tEditais[Órgão],MATCH(tItens[[#This Row],[Edital]],tEditais[Edital],0)),"")</f>
        <v>CIMCERO - CONSORCIO INTERMUNICIPAL DA REGIAO CENTRO LESTE DO ESTADO DE RONDONIA</v>
      </c>
      <c r="H7278" t="str">
        <f>IFERROR(INDEX(tEditais[UF],MATCH(tItens[[#This Row],[Edital]],tEditais[Edital],0)),"")</f>
        <v>RO</v>
      </c>
      <c r="I7278" s="11">
        <f>IFERROR(INDEX(tEditais[Encerramento],MATCH(tItens[[#This Row],[Edital]],tEditais[Edital],0)),"")</f>
        <v>46310.729166666664</v>
      </c>
      <c r="J7278" t="str">
        <f>IFERROR(INDEX(tProdutos[Classe],MATCH(tItens[[#This Row],[Produto]],tProdutos[Produto],0)),"produto não cadastrado")</f>
        <v>NÚCLEO</v>
      </c>
      <c r="K7278" s="12">
        <f>tItens[[#This Row],[Qtd]]*tItens[[#This Row],[Vlr unit]]</f>
        <v>0.71</v>
      </c>
      <c r="L7278" s="6">
        <f>IFERROR(IF(INDEX(tProdutos[Desconto homologado],MATCH(tItens[[#This Row],[Produto]],tProdutos[Produto],0))="",DescontoPadrao,INDEX(tProdutos[Desconto homologado],MATCH(tItens[[#This Row],[Produto]],tProdutos[Produto],0))),DescontoPadrao)</f>
        <v>0.38829259638568803</v>
      </c>
      <c r="M7278" s="12">
        <f>tItens[[#This Row],[Valor]]*(1-tItens[[#This Row],[Desconto]])</f>
        <v>0.43431225656616146</v>
      </c>
      <c r="N7278" t="str">
        <f>IFERROR(INDEX(tProdutos[Foco],MATCH(tItens[[#This Row],[Produto]],tProdutos[Produto],0)),"Não")</f>
        <v>Não</v>
      </c>
      <c r="O7278" t="str">
        <f>IFERROR(INDEX(tEditais[SRP],MATCH(tItens[[#This Row],[Edital]],tEditais[Edital],0)),"Não")</f>
        <v>Sim</v>
      </c>
      <c r="P7278" s="4">
        <f>IF(COUNTIFS(INDEX(tItens[Edital],1):tItens[[#This Row],[Edital]],tItens[[#This Row],[Edital]],INDEX(tItens[Produto],1):tItens[[#This Row],[Produto]],tItens[[#This Row],[Produto]])=1,1,0)</f>
        <v>0</v>
      </c>
    </row>
    <row r="7279" spans="1:16" x14ac:dyDescent="0.25">
      <c r="A7279" t="s">
        <v>2468</v>
      </c>
      <c r="B7279">
        <v>421</v>
      </c>
      <c r="C7279" t="s">
        <v>9926</v>
      </c>
      <c r="D7279" t="s">
        <v>69</v>
      </c>
      <c r="E7279" s="13">
        <v>1</v>
      </c>
      <c r="F7279" s="12">
        <v>0.75</v>
      </c>
      <c r="G7279" t="str">
        <f>IFERROR(INDEX(tEditais[Órgão],MATCH(tItens[[#This Row],[Edital]],tEditais[Edital],0)),"")</f>
        <v>CIMCERO - CONSORCIO INTERMUNICIPAL DA REGIAO CENTRO LESTE DO ESTADO DE RONDONIA</v>
      </c>
      <c r="H7279" t="str">
        <f>IFERROR(INDEX(tEditais[UF],MATCH(tItens[[#This Row],[Edital]],tEditais[Edital],0)),"")</f>
        <v>RO</v>
      </c>
      <c r="I7279" s="11">
        <f>IFERROR(INDEX(tEditais[Encerramento],MATCH(tItens[[#This Row],[Edital]],tEditais[Edital],0)),"")</f>
        <v>46310.729166666664</v>
      </c>
      <c r="J7279" t="str">
        <f>IFERROR(INDEX(tProdutos[Classe],MATCH(tItens[[#This Row],[Produto]],tProdutos[Produto],0)),"produto não cadastrado")</f>
        <v>NÚCLEO</v>
      </c>
      <c r="K7279" s="12">
        <f>tItens[[#This Row],[Qtd]]*tItens[[#This Row],[Vlr unit]]</f>
        <v>0.75</v>
      </c>
      <c r="L7279" s="6">
        <f>IFERROR(IF(INDEX(tProdutos[Desconto homologado],MATCH(tItens[[#This Row],[Produto]],tProdutos[Produto],0))="",DescontoPadrao,INDEX(tProdutos[Desconto homologado],MATCH(tItens[[#This Row],[Produto]],tProdutos[Produto],0))),DescontoPadrao)</f>
        <v>0.38829259638568803</v>
      </c>
      <c r="M7279" s="12">
        <f>tItens[[#This Row],[Valor]]*(1-tItens[[#This Row],[Desconto]])</f>
        <v>0.45878055271073398</v>
      </c>
      <c r="N7279" t="str">
        <f>IFERROR(INDEX(tProdutos[Foco],MATCH(tItens[[#This Row],[Produto]],tProdutos[Produto],0)),"Não")</f>
        <v>Não</v>
      </c>
      <c r="O7279" t="str">
        <f>IFERROR(INDEX(tEditais[SRP],MATCH(tItens[[#This Row],[Edital]],tEditais[Edital],0)),"Não")</f>
        <v>Sim</v>
      </c>
      <c r="P7279" s="4">
        <f>IF(COUNTIFS(INDEX(tItens[Edital],1):tItens[[#This Row],[Edital]],tItens[[#This Row],[Edital]],INDEX(tItens[Produto],1):tItens[[#This Row],[Produto]],tItens[[#This Row],[Produto]])=1,1,0)</f>
        <v>0</v>
      </c>
    </row>
    <row r="7280" spans="1:16" x14ac:dyDescent="0.25">
      <c r="A7280" t="s">
        <v>2468</v>
      </c>
      <c r="B7280">
        <v>422</v>
      </c>
      <c r="C7280" t="s">
        <v>9927</v>
      </c>
      <c r="D7280" t="s">
        <v>69</v>
      </c>
      <c r="E7280" s="13">
        <v>1</v>
      </c>
      <c r="F7280" s="12">
        <v>0.78</v>
      </c>
      <c r="G7280" t="str">
        <f>IFERROR(INDEX(tEditais[Órgão],MATCH(tItens[[#This Row],[Edital]],tEditais[Edital],0)),"")</f>
        <v>CIMCERO - CONSORCIO INTERMUNICIPAL DA REGIAO CENTRO LESTE DO ESTADO DE RONDONIA</v>
      </c>
      <c r="H7280" t="str">
        <f>IFERROR(INDEX(tEditais[UF],MATCH(tItens[[#This Row],[Edital]],tEditais[Edital],0)),"")</f>
        <v>RO</v>
      </c>
      <c r="I7280" s="11">
        <f>IFERROR(INDEX(tEditais[Encerramento],MATCH(tItens[[#This Row],[Edital]],tEditais[Edital],0)),"")</f>
        <v>46310.729166666664</v>
      </c>
      <c r="J7280" t="str">
        <f>IFERROR(INDEX(tProdutos[Classe],MATCH(tItens[[#This Row],[Produto]],tProdutos[Produto],0)),"produto não cadastrado")</f>
        <v>NÚCLEO</v>
      </c>
      <c r="K7280" s="12">
        <f>tItens[[#This Row],[Qtd]]*tItens[[#This Row],[Vlr unit]]</f>
        <v>0.78</v>
      </c>
      <c r="L7280" s="6">
        <f>IFERROR(IF(INDEX(tProdutos[Desconto homologado],MATCH(tItens[[#This Row],[Produto]],tProdutos[Produto],0))="",DescontoPadrao,INDEX(tProdutos[Desconto homologado],MATCH(tItens[[#This Row],[Produto]],tProdutos[Produto],0))),DescontoPadrao)</f>
        <v>0.38829259638568803</v>
      </c>
      <c r="M7280" s="12">
        <f>tItens[[#This Row],[Valor]]*(1-tItens[[#This Row],[Desconto]])</f>
        <v>0.47713177481916336</v>
      </c>
      <c r="N7280" t="str">
        <f>IFERROR(INDEX(tProdutos[Foco],MATCH(tItens[[#This Row],[Produto]],tProdutos[Produto],0)),"Não")</f>
        <v>Não</v>
      </c>
      <c r="O7280" t="str">
        <f>IFERROR(INDEX(tEditais[SRP],MATCH(tItens[[#This Row],[Edital]],tEditais[Edital],0)),"Não")</f>
        <v>Sim</v>
      </c>
      <c r="P7280" s="4">
        <f>IF(COUNTIFS(INDEX(tItens[Edital],1):tItens[[#This Row],[Edital]],tItens[[#This Row],[Edital]],INDEX(tItens[Produto],1):tItens[[#This Row],[Produto]],tItens[[#This Row],[Produto]])=1,1,0)</f>
        <v>0</v>
      </c>
    </row>
    <row r="7281" spans="1:16" x14ac:dyDescent="0.25">
      <c r="A7281" t="s">
        <v>2468</v>
      </c>
      <c r="B7281">
        <v>423</v>
      </c>
      <c r="C7281" t="s">
        <v>9928</v>
      </c>
      <c r="D7281" t="s">
        <v>69</v>
      </c>
      <c r="E7281" s="13">
        <v>1</v>
      </c>
      <c r="F7281" s="12">
        <v>0.99</v>
      </c>
      <c r="G7281" t="str">
        <f>IFERROR(INDEX(tEditais[Órgão],MATCH(tItens[[#This Row],[Edital]],tEditais[Edital],0)),"")</f>
        <v>CIMCERO - CONSORCIO INTERMUNICIPAL DA REGIAO CENTRO LESTE DO ESTADO DE RONDONIA</v>
      </c>
      <c r="H7281" t="str">
        <f>IFERROR(INDEX(tEditais[UF],MATCH(tItens[[#This Row],[Edital]],tEditais[Edital],0)),"")</f>
        <v>RO</v>
      </c>
      <c r="I7281" s="11">
        <f>IFERROR(INDEX(tEditais[Encerramento],MATCH(tItens[[#This Row],[Edital]],tEditais[Edital],0)),"")</f>
        <v>46310.729166666664</v>
      </c>
      <c r="J7281" t="str">
        <f>IFERROR(INDEX(tProdutos[Classe],MATCH(tItens[[#This Row],[Produto]],tProdutos[Produto],0)),"produto não cadastrado")</f>
        <v>NÚCLEO</v>
      </c>
      <c r="K7281" s="12">
        <f>tItens[[#This Row],[Qtd]]*tItens[[#This Row],[Vlr unit]]</f>
        <v>0.99</v>
      </c>
      <c r="L7281" s="6">
        <f>IFERROR(IF(INDEX(tProdutos[Desconto homologado],MATCH(tItens[[#This Row],[Produto]],tProdutos[Produto],0))="",DescontoPadrao,INDEX(tProdutos[Desconto homologado],MATCH(tItens[[#This Row],[Produto]],tProdutos[Produto],0))),DescontoPadrao)</f>
        <v>0.38829259638568803</v>
      </c>
      <c r="M7281" s="12">
        <f>tItens[[#This Row],[Valor]]*(1-tItens[[#This Row],[Desconto]])</f>
        <v>0.60559032957816883</v>
      </c>
      <c r="N7281" t="str">
        <f>IFERROR(INDEX(tProdutos[Foco],MATCH(tItens[[#This Row],[Produto]],tProdutos[Produto],0)),"Não")</f>
        <v>Não</v>
      </c>
      <c r="O7281" t="str">
        <f>IFERROR(INDEX(tEditais[SRP],MATCH(tItens[[#This Row],[Edital]],tEditais[Edital],0)),"Não")</f>
        <v>Sim</v>
      </c>
      <c r="P7281" s="4">
        <f>IF(COUNTIFS(INDEX(tItens[Edital],1):tItens[[#This Row],[Edital]],tItens[[#This Row],[Edital]],INDEX(tItens[Produto],1):tItens[[#This Row],[Produto]],tItens[[#This Row],[Produto]])=1,1,0)</f>
        <v>0</v>
      </c>
    </row>
    <row r="7282" spans="1:16" x14ac:dyDescent="0.25">
      <c r="A7282" t="s">
        <v>2468</v>
      </c>
      <c r="B7282">
        <v>424</v>
      </c>
      <c r="C7282" t="s">
        <v>9929</v>
      </c>
      <c r="D7282" t="s">
        <v>69</v>
      </c>
      <c r="E7282" s="13">
        <v>1</v>
      </c>
      <c r="F7282" s="12">
        <v>0.97</v>
      </c>
      <c r="G7282" t="str">
        <f>IFERROR(INDEX(tEditais[Órgão],MATCH(tItens[[#This Row],[Edital]],tEditais[Edital],0)),"")</f>
        <v>CIMCERO - CONSORCIO INTERMUNICIPAL DA REGIAO CENTRO LESTE DO ESTADO DE RONDONIA</v>
      </c>
      <c r="H7282" t="str">
        <f>IFERROR(INDEX(tEditais[UF],MATCH(tItens[[#This Row],[Edital]],tEditais[Edital],0)),"")</f>
        <v>RO</v>
      </c>
      <c r="I7282" s="11">
        <f>IFERROR(INDEX(tEditais[Encerramento],MATCH(tItens[[#This Row],[Edital]],tEditais[Edital],0)),"")</f>
        <v>46310.729166666664</v>
      </c>
      <c r="J7282" t="str">
        <f>IFERROR(INDEX(tProdutos[Classe],MATCH(tItens[[#This Row],[Produto]],tProdutos[Produto],0)),"produto não cadastrado")</f>
        <v>NÚCLEO</v>
      </c>
      <c r="K7282" s="12">
        <f>tItens[[#This Row],[Qtd]]*tItens[[#This Row],[Vlr unit]]</f>
        <v>0.97</v>
      </c>
      <c r="L7282" s="6">
        <f>IFERROR(IF(INDEX(tProdutos[Desconto homologado],MATCH(tItens[[#This Row],[Produto]],tProdutos[Produto],0))="",DescontoPadrao,INDEX(tProdutos[Desconto homologado],MATCH(tItens[[#This Row],[Produto]],tProdutos[Produto],0))),DescontoPadrao)</f>
        <v>0.38829259638568803</v>
      </c>
      <c r="M7282" s="12">
        <f>tItens[[#This Row],[Valor]]*(1-tItens[[#This Row],[Desconto]])</f>
        <v>0.59335618150588265</v>
      </c>
      <c r="N7282" t="str">
        <f>IFERROR(INDEX(tProdutos[Foco],MATCH(tItens[[#This Row],[Produto]],tProdutos[Produto],0)),"Não")</f>
        <v>Não</v>
      </c>
      <c r="O7282" t="str">
        <f>IFERROR(INDEX(tEditais[SRP],MATCH(tItens[[#This Row],[Edital]],tEditais[Edital],0)),"Não")</f>
        <v>Sim</v>
      </c>
      <c r="P7282" s="4">
        <f>IF(COUNTIFS(INDEX(tItens[Edital],1):tItens[[#This Row],[Edital]],tItens[[#This Row],[Edital]],INDEX(tItens[Produto],1):tItens[[#This Row],[Produto]],tItens[[#This Row],[Produto]])=1,1,0)</f>
        <v>0</v>
      </c>
    </row>
    <row r="7283" spans="1:16" x14ac:dyDescent="0.25">
      <c r="A7283" t="s">
        <v>2468</v>
      </c>
      <c r="B7283">
        <v>425</v>
      </c>
      <c r="C7283" t="s">
        <v>9930</v>
      </c>
      <c r="D7283" t="s">
        <v>69</v>
      </c>
      <c r="E7283" s="13">
        <v>1</v>
      </c>
      <c r="F7283" s="12">
        <v>1.1399999999999999</v>
      </c>
      <c r="G7283" t="str">
        <f>IFERROR(INDEX(tEditais[Órgão],MATCH(tItens[[#This Row],[Edital]],tEditais[Edital],0)),"")</f>
        <v>CIMCERO - CONSORCIO INTERMUNICIPAL DA REGIAO CENTRO LESTE DO ESTADO DE RONDONIA</v>
      </c>
      <c r="H7283" t="str">
        <f>IFERROR(INDEX(tEditais[UF],MATCH(tItens[[#This Row],[Edital]],tEditais[Edital],0)),"")</f>
        <v>RO</v>
      </c>
      <c r="I7283" s="11">
        <f>IFERROR(INDEX(tEditais[Encerramento],MATCH(tItens[[#This Row],[Edital]],tEditais[Edital],0)),"")</f>
        <v>46310.729166666664</v>
      </c>
      <c r="J7283" t="str">
        <f>IFERROR(INDEX(tProdutos[Classe],MATCH(tItens[[#This Row],[Produto]],tProdutos[Produto],0)),"produto não cadastrado")</f>
        <v>NÚCLEO</v>
      </c>
      <c r="K7283" s="12">
        <f>tItens[[#This Row],[Qtd]]*tItens[[#This Row],[Vlr unit]]</f>
        <v>1.1399999999999999</v>
      </c>
      <c r="L7283" s="6">
        <f>IFERROR(IF(INDEX(tProdutos[Desconto homologado],MATCH(tItens[[#This Row],[Produto]],tProdutos[Produto],0))="",DescontoPadrao,INDEX(tProdutos[Desconto homologado],MATCH(tItens[[#This Row],[Produto]],tProdutos[Produto],0))),DescontoPadrao)</f>
        <v>0.38829259638568803</v>
      </c>
      <c r="M7283" s="12">
        <f>tItens[[#This Row],[Valor]]*(1-tItens[[#This Row],[Desconto]])</f>
        <v>0.69734644012031555</v>
      </c>
      <c r="N7283" t="str">
        <f>IFERROR(INDEX(tProdutos[Foco],MATCH(tItens[[#This Row],[Produto]],tProdutos[Produto],0)),"Não")</f>
        <v>Não</v>
      </c>
      <c r="O7283" t="str">
        <f>IFERROR(INDEX(tEditais[SRP],MATCH(tItens[[#This Row],[Edital]],tEditais[Edital],0)),"Não")</f>
        <v>Sim</v>
      </c>
      <c r="P7283" s="4">
        <f>IF(COUNTIFS(INDEX(tItens[Edital],1):tItens[[#This Row],[Edital]],tItens[[#This Row],[Edital]],INDEX(tItens[Produto],1):tItens[[#This Row],[Produto]],tItens[[#This Row],[Produto]])=1,1,0)</f>
        <v>0</v>
      </c>
    </row>
    <row r="7284" spans="1:16" x14ac:dyDescent="0.25">
      <c r="A7284" t="s">
        <v>2468</v>
      </c>
      <c r="B7284">
        <v>426</v>
      </c>
      <c r="C7284" t="s">
        <v>9931</v>
      </c>
      <c r="D7284" t="s">
        <v>69</v>
      </c>
      <c r="E7284" s="13">
        <v>1</v>
      </c>
      <c r="F7284" s="12">
        <v>1.1100000000000001</v>
      </c>
      <c r="G7284" t="str">
        <f>IFERROR(INDEX(tEditais[Órgão],MATCH(tItens[[#This Row],[Edital]],tEditais[Edital],0)),"")</f>
        <v>CIMCERO - CONSORCIO INTERMUNICIPAL DA REGIAO CENTRO LESTE DO ESTADO DE RONDONIA</v>
      </c>
      <c r="H7284" t="str">
        <f>IFERROR(INDEX(tEditais[UF],MATCH(tItens[[#This Row],[Edital]],tEditais[Edital],0)),"")</f>
        <v>RO</v>
      </c>
      <c r="I7284" s="11">
        <f>IFERROR(INDEX(tEditais[Encerramento],MATCH(tItens[[#This Row],[Edital]],tEditais[Edital],0)),"")</f>
        <v>46310.729166666664</v>
      </c>
      <c r="J7284" t="str">
        <f>IFERROR(INDEX(tProdutos[Classe],MATCH(tItens[[#This Row],[Produto]],tProdutos[Produto],0)),"produto não cadastrado")</f>
        <v>NÚCLEO</v>
      </c>
      <c r="K7284" s="12">
        <f>tItens[[#This Row],[Qtd]]*tItens[[#This Row],[Vlr unit]]</f>
        <v>1.1100000000000001</v>
      </c>
      <c r="L7284" s="6">
        <f>IFERROR(IF(INDEX(tProdutos[Desconto homologado],MATCH(tItens[[#This Row],[Produto]],tProdutos[Produto],0))="",DescontoPadrao,INDEX(tProdutos[Desconto homologado],MATCH(tItens[[#This Row],[Produto]],tProdutos[Produto],0))),DescontoPadrao)</f>
        <v>0.38829259638568803</v>
      </c>
      <c r="M7284" s="12">
        <f>tItens[[#This Row],[Valor]]*(1-tItens[[#This Row],[Desconto]])</f>
        <v>0.67899521801188634</v>
      </c>
      <c r="N7284" t="str">
        <f>IFERROR(INDEX(tProdutos[Foco],MATCH(tItens[[#This Row],[Produto]],tProdutos[Produto],0)),"Não")</f>
        <v>Não</v>
      </c>
      <c r="O7284" t="str">
        <f>IFERROR(INDEX(tEditais[SRP],MATCH(tItens[[#This Row],[Edital]],tEditais[Edital],0)),"Não")</f>
        <v>Sim</v>
      </c>
      <c r="P7284" s="4">
        <f>IF(COUNTIFS(INDEX(tItens[Edital],1):tItens[[#This Row],[Edital]],tItens[[#This Row],[Edital]],INDEX(tItens[Produto],1):tItens[[#This Row],[Produto]],tItens[[#This Row],[Produto]])=1,1,0)</f>
        <v>0</v>
      </c>
    </row>
    <row r="7285" spans="1:16" x14ac:dyDescent="0.25">
      <c r="A7285" t="s">
        <v>2468</v>
      </c>
      <c r="B7285">
        <v>428</v>
      </c>
      <c r="C7285" t="s">
        <v>9932</v>
      </c>
      <c r="D7285" t="s">
        <v>106</v>
      </c>
      <c r="E7285" s="13">
        <v>1</v>
      </c>
      <c r="F7285" s="12">
        <v>21.47</v>
      </c>
      <c r="G7285" t="str">
        <f>IFERROR(INDEX(tEditais[Órgão],MATCH(tItens[[#This Row],[Edital]],tEditais[Edital],0)),"")</f>
        <v>CIMCERO - CONSORCIO INTERMUNICIPAL DA REGIAO CENTRO LESTE DO ESTADO DE RONDONIA</v>
      </c>
      <c r="H7285" t="str">
        <f>IFERROR(INDEX(tEditais[UF],MATCH(tItens[[#This Row],[Edital]],tEditais[Edital],0)),"")</f>
        <v>RO</v>
      </c>
      <c r="I7285" s="11">
        <f>IFERROR(INDEX(tEditais[Encerramento],MATCH(tItens[[#This Row],[Edital]],tEditais[Edital],0)),"")</f>
        <v>46310.729166666664</v>
      </c>
      <c r="J7285" t="str">
        <f>IFERROR(INDEX(tProdutos[Classe],MATCH(tItens[[#This Row],[Produto]],tProdutos[Produto],0)),"produto não cadastrado")</f>
        <v>DISPUTADO</v>
      </c>
      <c r="K7285" s="12">
        <f>tItens[[#This Row],[Qtd]]*tItens[[#This Row],[Vlr unit]]</f>
        <v>21.47</v>
      </c>
      <c r="L7285" s="6">
        <f>IFERROR(IF(INDEX(tProdutos[Desconto homologado],MATCH(tItens[[#This Row],[Produto]],tProdutos[Produto],0))="",DescontoPadrao,INDEX(tProdutos[Desconto homologado],MATCH(tItens[[#This Row],[Produto]],tProdutos[Produto],0))),DescontoPadrao)</f>
        <v>0.24377518966589001</v>
      </c>
      <c r="M7285" s="12">
        <f>tItens[[#This Row],[Valor]]*(1-tItens[[#This Row],[Desconto]])</f>
        <v>16.236146677873343</v>
      </c>
      <c r="N7285" t="str">
        <f>IFERROR(INDEX(tProdutos[Foco],MATCH(tItens[[#This Row],[Produto]],tProdutos[Produto],0)),"Não")</f>
        <v>Não</v>
      </c>
      <c r="O7285" t="str">
        <f>IFERROR(INDEX(tEditais[SRP],MATCH(tItens[[#This Row],[Edital]],tEditais[Edital],0)),"Não")</f>
        <v>Sim</v>
      </c>
      <c r="P7285" s="4">
        <f>IF(COUNTIFS(INDEX(tItens[Edital],1):tItens[[#This Row],[Edital]],tItens[[#This Row],[Edital]],INDEX(tItens[Produto],1):tItens[[#This Row],[Produto]],tItens[[#This Row],[Produto]])=1,1,0)</f>
        <v>1</v>
      </c>
    </row>
    <row r="7286" spans="1:16" x14ac:dyDescent="0.25">
      <c r="A7286" t="s">
        <v>2468</v>
      </c>
      <c r="B7286">
        <v>429</v>
      </c>
      <c r="C7286" t="s">
        <v>9933</v>
      </c>
      <c r="D7286" t="s">
        <v>106</v>
      </c>
      <c r="E7286" s="13">
        <v>1</v>
      </c>
      <c r="F7286" s="12">
        <v>36.69</v>
      </c>
      <c r="G7286" t="str">
        <f>IFERROR(INDEX(tEditais[Órgão],MATCH(tItens[[#This Row],[Edital]],tEditais[Edital],0)),"")</f>
        <v>CIMCERO - CONSORCIO INTERMUNICIPAL DA REGIAO CENTRO LESTE DO ESTADO DE RONDONIA</v>
      </c>
      <c r="H7286" t="str">
        <f>IFERROR(INDEX(tEditais[UF],MATCH(tItens[[#This Row],[Edital]],tEditais[Edital],0)),"")</f>
        <v>RO</v>
      </c>
      <c r="I7286" s="11">
        <f>IFERROR(INDEX(tEditais[Encerramento],MATCH(tItens[[#This Row],[Edital]],tEditais[Edital],0)),"")</f>
        <v>46310.729166666664</v>
      </c>
      <c r="J7286" t="str">
        <f>IFERROR(INDEX(tProdutos[Classe],MATCH(tItens[[#This Row],[Produto]],tProdutos[Produto],0)),"produto não cadastrado")</f>
        <v>DISPUTADO</v>
      </c>
      <c r="K7286" s="12">
        <f>tItens[[#This Row],[Qtd]]*tItens[[#This Row],[Vlr unit]]</f>
        <v>36.69</v>
      </c>
      <c r="L7286" s="6">
        <f>IFERROR(IF(INDEX(tProdutos[Desconto homologado],MATCH(tItens[[#This Row],[Produto]],tProdutos[Produto],0))="",DescontoPadrao,INDEX(tProdutos[Desconto homologado],MATCH(tItens[[#This Row],[Produto]],tProdutos[Produto],0))),DescontoPadrao)</f>
        <v>0.24377518966589001</v>
      </c>
      <c r="M7286" s="12">
        <f>tItens[[#This Row],[Valor]]*(1-tItens[[#This Row],[Desconto]])</f>
        <v>27.745888291158497</v>
      </c>
      <c r="N7286" t="str">
        <f>IFERROR(INDEX(tProdutos[Foco],MATCH(tItens[[#This Row],[Produto]],tProdutos[Produto],0)),"Não")</f>
        <v>Não</v>
      </c>
      <c r="O7286" t="str">
        <f>IFERROR(INDEX(tEditais[SRP],MATCH(tItens[[#This Row],[Edital]],tEditais[Edital],0)),"Não")</f>
        <v>Sim</v>
      </c>
      <c r="P7286" s="4">
        <f>IF(COUNTIFS(INDEX(tItens[Edital],1):tItens[[#This Row],[Edital]],tItens[[#This Row],[Edital]],INDEX(tItens[Produto],1):tItens[[#This Row],[Produto]],tItens[[#This Row],[Produto]])=1,1,0)</f>
        <v>0</v>
      </c>
    </row>
    <row r="7287" spans="1:16" x14ac:dyDescent="0.25">
      <c r="A7287" t="s">
        <v>2468</v>
      </c>
      <c r="B7287">
        <v>431</v>
      </c>
      <c r="C7287" t="s">
        <v>9934</v>
      </c>
      <c r="D7287" t="s">
        <v>184</v>
      </c>
      <c r="E7287" s="13">
        <v>1</v>
      </c>
      <c r="F7287" s="12">
        <v>6.62</v>
      </c>
      <c r="G7287" t="str">
        <f>IFERROR(INDEX(tEditais[Órgão],MATCH(tItens[[#This Row],[Edital]],tEditais[Edital],0)),"")</f>
        <v>CIMCERO - CONSORCIO INTERMUNICIPAL DA REGIAO CENTRO LESTE DO ESTADO DE RONDONIA</v>
      </c>
      <c r="H7287" t="str">
        <f>IFERROR(INDEX(tEditais[UF],MATCH(tItens[[#This Row],[Edital]],tEditais[Edital],0)),"")</f>
        <v>RO</v>
      </c>
      <c r="I7287" s="11">
        <f>IFERROR(INDEX(tEditais[Encerramento],MATCH(tItens[[#This Row],[Edital]],tEditais[Edital],0)),"")</f>
        <v>46310.729166666664</v>
      </c>
      <c r="J7287" t="str">
        <f>IFERROR(INDEX(tProdutos[Classe],MATCH(tItens[[#This Row],[Produto]],tProdutos[Produto],0)),"produto não cadastrado")</f>
        <v>FORA</v>
      </c>
      <c r="K7287" s="12">
        <f>tItens[[#This Row],[Qtd]]*tItens[[#This Row],[Vlr unit]]</f>
        <v>6.62</v>
      </c>
      <c r="L7287" s="6">
        <f>IFERROR(IF(INDEX(tProdutos[Desconto homologado],MATCH(tItens[[#This Row],[Produto]],tProdutos[Produto],0))="",DescontoPadrao,INDEX(tProdutos[Desconto homologado],MATCH(tItens[[#This Row],[Produto]],tProdutos[Produto],0))),DescontoPadrao)</f>
        <v>0.363567906332742</v>
      </c>
      <c r="M7287" s="12">
        <f>tItens[[#This Row],[Valor]]*(1-tItens[[#This Row],[Desconto]])</f>
        <v>4.2131804600772487</v>
      </c>
      <c r="N7287" t="str">
        <f>IFERROR(INDEX(tProdutos[Foco],MATCH(tItens[[#This Row],[Produto]],tProdutos[Produto],0)),"Não")</f>
        <v>Não</v>
      </c>
      <c r="O7287" t="str">
        <f>IFERROR(INDEX(tEditais[SRP],MATCH(tItens[[#This Row],[Edital]],tEditais[Edital],0)),"Não")</f>
        <v>Sim</v>
      </c>
      <c r="P7287" s="4">
        <f>IF(COUNTIFS(INDEX(tItens[Edital],1):tItens[[#This Row],[Edital]],tItens[[#This Row],[Edital]],INDEX(tItens[Produto],1):tItens[[#This Row],[Produto]],tItens[[#This Row],[Produto]])=1,1,0)</f>
        <v>1</v>
      </c>
    </row>
    <row r="7288" spans="1:16" x14ac:dyDescent="0.25">
      <c r="A7288" t="s">
        <v>2468</v>
      </c>
      <c r="B7288">
        <v>432</v>
      </c>
      <c r="C7288" t="s">
        <v>9935</v>
      </c>
      <c r="D7288" t="s">
        <v>184</v>
      </c>
      <c r="E7288" s="13">
        <v>1</v>
      </c>
      <c r="F7288" s="12">
        <v>2.87</v>
      </c>
      <c r="G7288" t="str">
        <f>IFERROR(INDEX(tEditais[Órgão],MATCH(tItens[[#This Row],[Edital]],tEditais[Edital],0)),"")</f>
        <v>CIMCERO - CONSORCIO INTERMUNICIPAL DA REGIAO CENTRO LESTE DO ESTADO DE RONDONIA</v>
      </c>
      <c r="H7288" t="str">
        <f>IFERROR(INDEX(tEditais[UF],MATCH(tItens[[#This Row],[Edital]],tEditais[Edital],0)),"")</f>
        <v>RO</v>
      </c>
      <c r="I7288" s="11">
        <f>IFERROR(INDEX(tEditais[Encerramento],MATCH(tItens[[#This Row],[Edital]],tEditais[Edital],0)),"")</f>
        <v>46310.729166666664</v>
      </c>
      <c r="J7288" t="str">
        <f>IFERROR(INDEX(tProdutos[Classe],MATCH(tItens[[#This Row],[Produto]],tProdutos[Produto],0)),"produto não cadastrado")</f>
        <v>FORA</v>
      </c>
      <c r="K7288" s="12">
        <f>tItens[[#This Row],[Qtd]]*tItens[[#This Row],[Vlr unit]]</f>
        <v>2.87</v>
      </c>
      <c r="L7288" s="6">
        <f>IFERROR(IF(INDEX(tProdutos[Desconto homologado],MATCH(tItens[[#This Row],[Produto]],tProdutos[Produto],0))="",DescontoPadrao,INDEX(tProdutos[Desconto homologado],MATCH(tItens[[#This Row],[Produto]],tProdutos[Produto],0))),DescontoPadrao)</f>
        <v>0.363567906332742</v>
      </c>
      <c r="M7288" s="12">
        <f>tItens[[#This Row],[Valor]]*(1-tItens[[#This Row],[Desconto]])</f>
        <v>1.8265601088250307</v>
      </c>
      <c r="N7288" t="str">
        <f>IFERROR(INDEX(tProdutos[Foco],MATCH(tItens[[#This Row],[Produto]],tProdutos[Produto],0)),"Não")</f>
        <v>Não</v>
      </c>
      <c r="O7288" t="str">
        <f>IFERROR(INDEX(tEditais[SRP],MATCH(tItens[[#This Row],[Edital]],tEditais[Edital],0)),"Não")</f>
        <v>Sim</v>
      </c>
      <c r="P7288" s="4">
        <f>IF(COUNTIFS(INDEX(tItens[Edital],1):tItens[[#This Row],[Edital]],tItens[[#This Row],[Edital]],INDEX(tItens[Produto],1):tItens[[#This Row],[Produto]],tItens[[#This Row],[Produto]])=1,1,0)</f>
        <v>0</v>
      </c>
    </row>
    <row r="7289" spans="1:16" x14ac:dyDescent="0.25">
      <c r="A7289" t="s">
        <v>2468</v>
      </c>
      <c r="B7289">
        <v>433</v>
      </c>
      <c r="C7289" t="s">
        <v>9936</v>
      </c>
      <c r="D7289" t="s">
        <v>253</v>
      </c>
      <c r="E7289" s="13">
        <v>1</v>
      </c>
      <c r="F7289" s="12">
        <v>3.15</v>
      </c>
      <c r="G7289" t="str">
        <f>IFERROR(INDEX(tEditais[Órgão],MATCH(tItens[[#This Row],[Edital]],tEditais[Edital],0)),"")</f>
        <v>CIMCERO - CONSORCIO INTERMUNICIPAL DA REGIAO CENTRO LESTE DO ESTADO DE RONDONIA</v>
      </c>
      <c r="H7289" t="str">
        <f>IFERROR(INDEX(tEditais[UF],MATCH(tItens[[#This Row],[Edital]],tEditais[Edital],0)),"")</f>
        <v>RO</v>
      </c>
      <c r="I7289" s="11">
        <f>IFERROR(INDEX(tEditais[Encerramento],MATCH(tItens[[#This Row],[Edital]],tEditais[Edital],0)),"")</f>
        <v>46310.729166666664</v>
      </c>
      <c r="J7289" t="str">
        <f>IFERROR(INDEX(tProdutos[Classe],MATCH(tItens[[#This Row],[Produto]],tProdutos[Produto],0)),"produto não cadastrado")</f>
        <v>FORA</v>
      </c>
      <c r="K7289" s="12">
        <f>tItens[[#This Row],[Qtd]]*tItens[[#This Row],[Vlr unit]]</f>
        <v>3.15</v>
      </c>
      <c r="L7289" s="6">
        <f>IFERROR(IF(INDEX(tProdutos[Desconto homologado],MATCH(tItens[[#This Row],[Produto]],tProdutos[Produto],0))="",DescontoPadrao,INDEX(tProdutos[Desconto homologado],MATCH(tItens[[#This Row],[Produto]],tProdutos[Produto],0))),DescontoPadrao)</f>
        <v>0.31735159817351599</v>
      </c>
      <c r="M7289" s="12">
        <f>tItens[[#This Row],[Valor]]*(1-tItens[[#This Row],[Desconto]])</f>
        <v>2.1503424657534245</v>
      </c>
      <c r="N7289" t="str">
        <f>IFERROR(INDEX(tProdutos[Foco],MATCH(tItens[[#This Row],[Produto]],tProdutos[Produto],0)),"Não")</f>
        <v>Não</v>
      </c>
      <c r="O7289" t="str">
        <f>IFERROR(INDEX(tEditais[SRP],MATCH(tItens[[#This Row],[Edital]],tEditais[Edital],0)),"Não")</f>
        <v>Sim</v>
      </c>
      <c r="P7289" s="4">
        <f>IF(COUNTIFS(INDEX(tItens[Edital],1):tItens[[#This Row],[Edital]],tItens[[#This Row],[Edital]],INDEX(tItens[Produto],1):tItens[[#This Row],[Produto]],tItens[[#This Row],[Produto]])=1,1,0)</f>
        <v>1</v>
      </c>
    </row>
    <row r="7290" spans="1:16" x14ac:dyDescent="0.25">
      <c r="A7290" t="s">
        <v>2468</v>
      </c>
      <c r="B7290">
        <v>434</v>
      </c>
      <c r="C7290" t="s">
        <v>9937</v>
      </c>
      <c r="D7290" t="s">
        <v>184</v>
      </c>
      <c r="E7290" s="13">
        <v>1</v>
      </c>
      <c r="F7290" s="12">
        <v>6.04</v>
      </c>
      <c r="G7290" t="str">
        <f>IFERROR(INDEX(tEditais[Órgão],MATCH(tItens[[#This Row],[Edital]],tEditais[Edital],0)),"")</f>
        <v>CIMCERO - CONSORCIO INTERMUNICIPAL DA REGIAO CENTRO LESTE DO ESTADO DE RONDONIA</v>
      </c>
      <c r="H7290" t="str">
        <f>IFERROR(INDEX(tEditais[UF],MATCH(tItens[[#This Row],[Edital]],tEditais[Edital],0)),"")</f>
        <v>RO</v>
      </c>
      <c r="I7290" s="11">
        <f>IFERROR(INDEX(tEditais[Encerramento],MATCH(tItens[[#This Row],[Edital]],tEditais[Edital],0)),"")</f>
        <v>46310.729166666664</v>
      </c>
      <c r="J7290" t="str">
        <f>IFERROR(INDEX(tProdutos[Classe],MATCH(tItens[[#This Row],[Produto]],tProdutos[Produto],0)),"produto não cadastrado")</f>
        <v>FORA</v>
      </c>
      <c r="K7290" s="12">
        <f>tItens[[#This Row],[Qtd]]*tItens[[#This Row],[Vlr unit]]</f>
        <v>6.04</v>
      </c>
      <c r="L7290" s="6">
        <f>IFERROR(IF(INDEX(tProdutos[Desconto homologado],MATCH(tItens[[#This Row],[Produto]],tProdutos[Produto],0))="",DescontoPadrao,INDEX(tProdutos[Desconto homologado],MATCH(tItens[[#This Row],[Produto]],tProdutos[Produto],0))),DescontoPadrao)</f>
        <v>0.363567906332742</v>
      </c>
      <c r="M7290" s="12">
        <f>tItens[[#This Row],[Valor]]*(1-tItens[[#This Row],[Desconto]])</f>
        <v>3.8440498457502388</v>
      </c>
      <c r="N7290" t="str">
        <f>IFERROR(INDEX(tProdutos[Foco],MATCH(tItens[[#This Row],[Produto]],tProdutos[Produto],0)),"Não")</f>
        <v>Não</v>
      </c>
      <c r="O7290" t="str">
        <f>IFERROR(INDEX(tEditais[SRP],MATCH(tItens[[#This Row],[Edital]],tEditais[Edital],0)),"Não")</f>
        <v>Sim</v>
      </c>
      <c r="P7290" s="4">
        <f>IF(COUNTIFS(INDEX(tItens[Edital],1):tItens[[#This Row],[Edital]],tItens[[#This Row],[Edital]],INDEX(tItens[Produto],1):tItens[[#This Row],[Produto]],tItens[[#This Row],[Produto]])=1,1,0)</f>
        <v>0</v>
      </c>
    </row>
    <row r="7291" spans="1:16" x14ac:dyDescent="0.25">
      <c r="A7291" t="s">
        <v>2468</v>
      </c>
      <c r="B7291">
        <v>435</v>
      </c>
      <c r="C7291" t="s">
        <v>9938</v>
      </c>
      <c r="D7291" t="s">
        <v>184</v>
      </c>
      <c r="E7291" s="13">
        <v>1</v>
      </c>
      <c r="F7291" s="12">
        <v>2.5099999999999998</v>
      </c>
      <c r="G7291" t="str">
        <f>IFERROR(INDEX(tEditais[Órgão],MATCH(tItens[[#This Row],[Edital]],tEditais[Edital],0)),"")</f>
        <v>CIMCERO - CONSORCIO INTERMUNICIPAL DA REGIAO CENTRO LESTE DO ESTADO DE RONDONIA</v>
      </c>
      <c r="H7291" t="str">
        <f>IFERROR(INDEX(tEditais[UF],MATCH(tItens[[#This Row],[Edital]],tEditais[Edital],0)),"")</f>
        <v>RO</v>
      </c>
      <c r="I7291" s="11">
        <f>IFERROR(INDEX(tEditais[Encerramento],MATCH(tItens[[#This Row],[Edital]],tEditais[Edital],0)),"")</f>
        <v>46310.729166666664</v>
      </c>
      <c r="J7291" t="str">
        <f>IFERROR(INDEX(tProdutos[Classe],MATCH(tItens[[#This Row],[Produto]],tProdutos[Produto],0)),"produto não cadastrado")</f>
        <v>FORA</v>
      </c>
      <c r="K7291" s="12">
        <f>tItens[[#This Row],[Qtd]]*tItens[[#This Row],[Vlr unit]]</f>
        <v>2.5099999999999998</v>
      </c>
      <c r="L7291" s="6">
        <f>IFERROR(IF(INDEX(tProdutos[Desconto homologado],MATCH(tItens[[#This Row],[Produto]],tProdutos[Produto],0))="",DescontoPadrao,INDEX(tProdutos[Desconto homologado],MATCH(tItens[[#This Row],[Produto]],tProdutos[Produto],0))),DescontoPadrao)</f>
        <v>0.363567906332742</v>
      </c>
      <c r="M7291" s="12">
        <f>tItens[[#This Row],[Valor]]*(1-tItens[[#This Row],[Desconto]])</f>
        <v>1.5974445551048175</v>
      </c>
      <c r="N7291" t="str">
        <f>IFERROR(INDEX(tProdutos[Foco],MATCH(tItens[[#This Row],[Produto]],tProdutos[Produto],0)),"Não")</f>
        <v>Não</v>
      </c>
      <c r="O7291" t="str">
        <f>IFERROR(INDEX(tEditais[SRP],MATCH(tItens[[#This Row],[Edital]],tEditais[Edital],0)),"Não")</f>
        <v>Sim</v>
      </c>
      <c r="P7291" s="4">
        <f>IF(COUNTIFS(INDEX(tItens[Edital],1):tItens[[#This Row],[Edital]],tItens[[#This Row],[Edital]],INDEX(tItens[Produto],1):tItens[[#This Row],[Produto]],tItens[[#This Row],[Produto]])=1,1,0)</f>
        <v>0</v>
      </c>
    </row>
    <row r="7292" spans="1:16" x14ac:dyDescent="0.25">
      <c r="A7292" t="s">
        <v>2468</v>
      </c>
      <c r="B7292">
        <v>436</v>
      </c>
      <c r="C7292" t="s">
        <v>9939</v>
      </c>
      <c r="D7292" t="s">
        <v>164</v>
      </c>
      <c r="E7292" s="13">
        <v>1</v>
      </c>
      <c r="F7292" s="12">
        <v>15.39</v>
      </c>
      <c r="G7292" t="str">
        <f>IFERROR(INDEX(tEditais[Órgão],MATCH(tItens[[#This Row],[Edital]],tEditais[Edital],0)),"")</f>
        <v>CIMCERO - CONSORCIO INTERMUNICIPAL DA REGIAO CENTRO LESTE DO ESTADO DE RONDONIA</v>
      </c>
      <c r="H7292" t="str">
        <f>IFERROR(INDEX(tEditais[UF],MATCH(tItens[[#This Row],[Edital]],tEditais[Edital],0)),"")</f>
        <v>RO</v>
      </c>
      <c r="I7292" s="11">
        <f>IFERROR(INDEX(tEditais[Encerramento],MATCH(tItens[[#This Row],[Edital]],tEditais[Edital],0)),"")</f>
        <v>46310.729166666664</v>
      </c>
      <c r="J7292" t="str">
        <f>IFERROR(INDEX(tProdutos[Classe],MATCH(tItens[[#This Row],[Produto]],tProdutos[Produto],0)),"produto não cadastrado")</f>
        <v>DISPUTADO</v>
      </c>
      <c r="K7292" s="12">
        <f>tItens[[#This Row],[Qtd]]*tItens[[#This Row],[Vlr unit]]</f>
        <v>15.39</v>
      </c>
      <c r="L7292" s="6">
        <f>IFERROR(IF(INDEX(tProdutos[Desconto homologado],MATCH(tItens[[#This Row],[Produto]],tProdutos[Produto],0))="",DescontoPadrao,INDEX(tProdutos[Desconto homologado],MATCH(tItens[[#This Row],[Produto]],tProdutos[Produto],0))),DescontoPadrao)</f>
        <v>0.445300462249615</v>
      </c>
      <c r="M7292" s="12">
        <f>tItens[[#This Row],[Valor]]*(1-tItens[[#This Row],[Desconto]])</f>
        <v>8.5368258859784252</v>
      </c>
      <c r="N7292" t="str">
        <f>IFERROR(INDEX(tProdutos[Foco],MATCH(tItens[[#This Row],[Produto]],tProdutos[Produto],0)),"Não")</f>
        <v>Não</v>
      </c>
      <c r="O7292" t="str">
        <f>IFERROR(INDEX(tEditais[SRP],MATCH(tItens[[#This Row],[Edital]],tEditais[Edital],0)),"Não")</f>
        <v>Sim</v>
      </c>
      <c r="P7292" s="4">
        <f>IF(COUNTIFS(INDEX(tItens[Edital],1):tItens[[#This Row],[Edital]],tItens[[#This Row],[Edital]],INDEX(tItens[Produto],1):tItens[[#This Row],[Produto]],tItens[[#This Row],[Produto]])=1,1,0)</f>
        <v>1</v>
      </c>
    </row>
    <row r="7293" spans="1:16" x14ac:dyDescent="0.25">
      <c r="A7293" t="s">
        <v>2468</v>
      </c>
      <c r="B7293">
        <v>437</v>
      </c>
      <c r="C7293" t="s">
        <v>9940</v>
      </c>
      <c r="D7293" t="s">
        <v>164</v>
      </c>
      <c r="E7293" s="13">
        <v>1</v>
      </c>
      <c r="F7293" s="12">
        <v>11.01</v>
      </c>
      <c r="G7293" t="str">
        <f>IFERROR(INDEX(tEditais[Órgão],MATCH(tItens[[#This Row],[Edital]],tEditais[Edital],0)),"")</f>
        <v>CIMCERO - CONSORCIO INTERMUNICIPAL DA REGIAO CENTRO LESTE DO ESTADO DE RONDONIA</v>
      </c>
      <c r="H7293" t="str">
        <f>IFERROR(INDEX(tEditais[UF],MATCH(tItens[[#This Row],[Edital]],tEditais[Edital],0)),"")</f>
        <v>RO</v>
      </c>
      <c r="I7293" s="11">
        <f>IFERROR(INDEX(tEditais[Encerramento],MATCH(tItens[[#This Row],[Edital]],tEditais[Edital],0)),"")</f>
        <v>46310.729166666664</v>
      </c>
      <c r="J7293" t="str">
        <f>IFERROR(INDEX(tProdutos[Classe],MATCH(tItens[[#This Row],[Produto]],tProdutos[Produto],0)),"produto não cadastrado")</f>
        <v>DISPUTADO</v>
      </c>
      <c r="K7293" s="12">
        <f>tItens[[#This Row],[Qtd]]*tItens[[#This Row],[Vlr unit]]</f>
        <v>11.01</v>
      </c>
      <c r="L7293" s="6">
        <f>IFERROR(IF(INDEX(tProdutos[Desconto homologado],MATCH(tItens[[#This Row],[Produto]],tProdutos[Produto],0))="",DescontoPadrao,INDEX(tProdutos[Desconto homologado],MATCH(tItens[[#This Row],[Produto]],tProdutos[Produto],0))),DescontoPadrao)</f>
        <v>0.445300462249615</v>
      </c>
      <c r="M7293" s="12">
        <f>tItens[[#This Row],[Valor]]*(1-tItens[[#This Row],[Desconto]])</f>
        <v>6.1072419106317382</v>
      </c>
      <c r="N7293" t="str">
        <f>IFERROR(INDEX(tProdutos[Foco],MATCH(tItens[[#This Row],[Produto]],tProdutos[Produto],0)),"Não")</f>
        <v>Não</v>
      </c>
      <c r="O7293" t="str">
        <f>IFERROR(INDEX(tEditais[SRP],MATCH(tItens[[#This Row],[Edital]],tEditais[Edital],0)),"Não")</f>
        <v>Sim</v>
      </c>
      <c r="P7293" s="4">
        <f>IF(COUNTIFS(INDEX(tItens[Edital],1):tItens[[#This Row],[Edital]],tItens[[#This Row],[Edital]],INDEX(tItens[Produto],1):tItens[[#This Row],[Produto]],tItens[[#This Row],[Produto]])=1,1,0)</f>
        <v>0</v>
      </c>
    </row>
    <row r="7294" spans="1:16" x14ac:dyDescent="0.25">
      <c r="A7294" t="s">
        <v>2468</v>
      </c>
      <c r="B7294">
        <v>438</v>
      </c>
      <c r="C7294" t="s">
        <v>9941</v>
      </c>
      <c r="D7294" t="s">
        <v>164</v>
      </c>
      <c r="E7294" s="13">
        <v>1</v>
      </c>
      <c r="F7294" s="12">
        <v>10.67</v>
      </c>
      <c r="G7294" t="str">
        <f>IFERROR(INDEX(tEditais[Órgão],MATCH(tItens[[#This Row],[Edital]],tEditais[Edital],0)),"")</f>
        <v>CIMCERO - CONSORCIO INTERMUNICIPAL DA REGIAO CENTRO LESTE DO ESTADO DE RONDONIA</v>
      </c>
      <c r="H7294" t="str">
        <f>IFERROR(INDEX(tEditais[UF],MATCH(tItens[[#This Row],[Edital]],tEditais[Edital],0)),"")</f>
        <v>RO</v>
      </c>
      <c r="I7294" s="11">
        <f>IFERROR(INDEX(tEditais[Encerramento],MATCH(tItens[[#This Row],[Edital]],tEditais[Edital],0)),"")</f>
        <v>46310.729166666664</v>
      </c>
      <c r="J7294" t="str">
        <f>IFERROR(INDEX(tProdutos[Classe],MATCH(tItens[[#This Row],[Produto]],tProdutos[Produto],0)),"produto não cadastrado")</f>
        <v>DISPUTADO</v>
      </c>
      <c r="K7294" s="12">
        <f>tItens[[#This Row],[Qtd]]*tItens[[#This Row],[Vlr unit]]</f>
        <v>10.67</v>
      </c>
      <c r="L7294" s="6">
        <f>IFERROR(IF(INDEX(tProdutos[Desconto homologado],MATCH(tItens[[#This Row],[Produto]],tProdutos[Produto],0))="",DescontoPadrao,INDEX(tProdutos[Desconto homologado],MATCH(tItens[[#This Row],[Produto]],tProdutos[Produto],0))),DescontoPadrao)</f>
        <v>0.445300462249615</v>
      </c>
      <c r="M7294" s="12">
        <f>tItens[[#This Row],[Valor]]*(1-tItens[[#This Row],[Desconto]])</f>
        <v>5.918644067796607</v>
      </c>
      <c r="N7294" t="str">
        <f>IFERROR(INDEX(tProdutos[Foco],MATCH(tItens[[#This Row],[Produto]],tProdutos[Produto],0)),"Não")</f>
        <v>Não</v>
      </c>
      <c r="O7294" t="str">
        <f>IFERROR(INDEX(tEditais[SRP],MATCH(tItens[[#This Row],[Edital]],tEditais[Edital],0)),"Não")</f>
        <v>Sim</v>
      </c>
      <c r="P7294" s="4">
        <f>IF(COUNTIFS(INDEX(tItens[Edital],1):tItens[[#This Row],[Edital]],tItens[[#This Row],[Edital]],INDEX(tItens[Produto],1):tItens[[#This Row],[Produto]],tItens[[#This Row],[Produto]])=1,1,0)</f>
        <v>0</v>
      </c>
    </row>
    <row r="7295" spans="1:16" x14ac:dyDescent="0.25">
      <c r="A7295" t="s">
        <v>2468</v>
      </c>
      <c r="B7295">
        <v>439</v>
      </c>
      <c r="C7295" t="s">
        <v>9942</v>
      </c>
      <c r="D7295" t="s">
        <v>164</v>
      </c>
      <c r="E7295" s="13">
        <v>1</v>
      </c>
      <c r="F7295" s="12">
        <v>8.41</v>
      </c>
      <c r="G7295" t="str">
        <f>IFERROR(INDEX(tEditais[Órgão],MATCH(tItens[[#This Row],[Edital]],tEditais[Edital],0)),"")</f>
        <v>CIMCERO - CONSORCIO INTERMUNICIPAL DA REGIAO CENTRO LESTE DO ESTADO DE RONDONIA</v>
      </c>
      <c r="H7295" t="str">
        <f>IFERROR(INDEX(tEditais[UF],MATCH(tItens[[#This Row],[Edital]],tEditais[Edital],0)),"")</f>
        <v>RO</v>
      </c>
      <c r="I7295" s="11">
        <f>IFERROR(INDEX(tEditais[Encerramento],MATCH(tItens[[#This Row],[Edital]],tEditais[Edital],0)),"")</f>
        <v>46310.729166666664</v>
      </c>
      <c r="J7295" t="str">
        <f>IFERROR(INDEX(tProdutos[Classe],MATCH(tItens[[#This Row],[Produto]],tProdutos[Produto],0)),"produto não cadastrado")</f>
        <v>DISPUTADO</v>
      </c>
      <c r="K7295" s="12">
        <f>tItens[[#This Row],[Qtd]]*tItens[[#This Row],[Vlr unit]]</f>
        <v>8.41</v>
      </c>
      <c r="L7295" s="6">
        <f>IFERROR(IF(INDEX(tProdutos[Desconto homologado],MATCH(tItens[[#This Row],[Produto]],tProdutos[Produto],0))="",DescontoPadrao,INDEX(tProdutos[Desconto homologado],MATCH(tItens[[#This Row],[Produto]],tProdutos[Produto],0))),DescontoPadrao)</f>
        <v>0.445300462249615</v>
      </c>
      <c r="M7295" s="12">
        <f>tItens[[#This Row],[Valor]]*(1-tItens[[#This Row],[Desconto]])</f>
        <v>4.6650231124807373</v>
      </c>
      <c r="N7295" t="str">
        <f>IFERROR(INDEX(tProdutos[Foco],MATCH(tItens[[#This Row],[Produto]],tProdutos[Produto],0)),"Não")</f>
        <v>Não</v>
      </c>
      <c r="O7295" t="str">
        <f>IFERROR(INDEX(tEditais[SRP],MATCH(tItens[[#This Row],[Edital]],tEditais[Edital],0)),"Não")</f>
        <v>Sim</v>
      </c>
      <c r="P7295" s="4">
        <f>IF(COUNTIFS(INDEX(tItens[Edital],1):tItens[[#This Row],[Edital]],tItens[[#This Row],[Edital]],INDEX(tItens[Produto],1):tItens[[#This Row],[Produto]],tItens[[#This Row],[Produto]])=1,1,0)</f>
        <v>0</v>
      </c>
    </row>
    <row r="7296" spans="1:16" x14ac:dyDescent="0.25">
      <c r="A7296" t="s">
        <v>2468</v>
      </c>
      <c r="B7296">
        <v>440</v>
      </c>
      <c r="C7296" t="s">
        <v>9943</v>
      </c>
      <c r="D7296" t="s">
        <v>110</v>
      </c>
      <c r="E7296" s="13">
        <v>1</v>
      </c>
      <c r="F7296" s="12">
        <v>1</v>
      </c>
      <c r="G7296" t="str">
        <f>IFERROR(INDEX(tEditais[Órgão],MATCH(tItens[[#This Row],[Edital]],tEditais[Edital],0)),"")</f>
        <v>CIMCERO - CONSORCIO INTERMUNICIPAL DA REGIAO CENTRO LESTE DO ESTADO DE RONDONIA</v>
      </c>
      <c r="H7296" t="str">
        <f>IFERROR(INDEX(tEditais[UF],MATCH(tItens[[#This Row],[Edital]],tEditais[Edital],0)),"")</f>
        <v>RO</v>
      </c>
      <c r="I7296" s="11">
        <f>IFERROR(INDEX(tEditais[Encerramento],MATCH(tItens[[#This Row],[Edital]],tEditais[Edital],0)),"")</f>
        <v>46310.729166666664</v>
      </c>
      <c r="J7296" t="str">
        <f>IFERROR(INDEX(tProdutos[Classe],MATCH(tItens[[#This Row],[Produto]],tProdutos[Produto],0)),"produto não cadastrado")</f>
        <v>NÚCLEO</v>
      </c>
      <c r="K7296" s="12">
        <f>tItens[[#This Row],[Qtd]]*tItens[[#This Row],[Vlr unit]]</f>
        <v>1</v>
      </c>
      <c r="L7296" s="6">
        <f>IFERROR(IF(INDEX(tProdutos[Desconto homologado],MATCH(tItens[[#This Row],[Produto]],tProdutos[Produto],0))="",DescontoPadrao,INDEX(tProdutos[Desconto homologado],MATCH(tItens[[#This Row],[Produto]],tProdutos[Produto],0))),DescontoPadrao)</f>
        <v>0.30410958904109597</v>
      </c>
      <c r="M7296" s="12">
        <f>tItens[[#This Row],[Valor]]*(1-tItens[[#This Row],[Desconto]])</f>
        <v>0.69589041095890403</v>
      </c>
      <c r="N7296" t="str">
        <f>IFERROR(INDEX(tProdutos[Foco],MATCH(tItens[[#This Row],[Produto]],tProdutos[Produto],0)),"Não")</f>
        <v>Não</v>
      </c>
      <c r="O7296" t="str">
        <f>IFERROR(INDEX(tEditais[SRP],MATCH(tItens[[#This Row],[Edital]],tEditais[Edital],0)),"Não")</f>
        <v>Sim</v>
      </c>
      <c r="P7296" s="4">
        <f>IF(COUNTIFS(INDEX(tItens[Edital],1):tItens[[#This Row],[Edital]],tItens[[#This Row],[Edital]],INDEX(tItens[Produto],1):tItens[[#This Row],[Produto]],tItens[[#This Row],[Produto]])=1,1,0)</f>
        <v>1</v>
      </c>
    </row>
    <row r="7297" spans="1:16" x14ac:dyDescent="0.25">
      <c r="A7297" t="s">
        <v>2468</v>
      </c>
      <c r="B7297">
        <v>441</v>
      </c>
      <c r="C7297" t="s">
        <v>9944</v>
      </c>
      <c r="D7297" t="s">
        <v>110</v>
      </c>
      <c r="E7297" s="13">
        <v>1</v>
      </c>
      <c r="F7297" s="12">
        <v>0.65</v>
      </c>
      <c r="G7297" t="str">
        <f>IFERROR(INDEX(tEditais[Órgão],MATCH(tItens[[#This Row],[Edital]],tEditais[Edital],0)),"")</f>
        <v>CIMCERO - CONSORCIO INTERMUNICIPAL DA REGIAO CENTRO LESTE DO ESTADO DE RONDONIA</v>
      </c>
      <c r="H7297" t="str">
        <f>IFERROR(INDEX(tEditais[UF],MATCH(tItens[[#This Row],[Edital]],tEditais[Edital],0)),"")</f>
        <v>RO</v>
      </c>
      <c r="I7297" s="11">
        <f>IFERROR(INDEX(tEditais[Encerramento],MATCH(tItens[[#This Row],[Edital]],tEditais[Edital],0)),"")</f>
        <v>46310.729166666664</v>
      </c>
      <c r="J7297" t="str">
        <f>IFERROR(INDEX(tProdutos[Classe],MATCH(tItens[[#This Row],[Produto]],tProdutos[Produto],0)),"produto não cadastrado")</f>
        <v>NÚCLEO</v>
      </c>
      <c r="K7297" s="12">
        <f>tItens[[#This Row],[Qtd]]*tItens[[#This Row],[Vlr unit]]</f>
        <v>0.65</v>
      </c>
      <c r="L7297" s="6">
        <f>IFERROR(IF(INDEX(tProdutos[Desconto homologado],MATCH(tItens[[#This Row],[Produto]],tProdutos[Produto],0))="",DescontoPadrao,INDEX(tProdutos[Desconto homologado],MATCH(tItens[[#This Row],[Produto]],tProdutos[Produto],0))),DescontoPadrao)</f>
        <v>0.30410958904109597</v>
      </c>
      <c r="M7297" s="12">
        <f>tItens[[#This Row],[Valor]]*(1-tItens[[#This Row],[Desconto]])</f>
        <v>0.45232876712328762</v>
      </c>
      <c r="N7297" t="str">
        <f>IFERROR(INDEX(tProdutos[Foco],MATCH(tItens[[#This Row],[Produto]],tProdutos[Produto],0)),"Não")</f>
        <v>Não</v>
      </c>
      <c r="O7297" t="str">
        <f>IFERROR(INDEX(tEditais[SRP],MATCH(tItens[[#This Row],[Edital]],tEditais[Edital],0)),"Não")</f>
        <v>Sim</v>
      </c>
      <c r="P7297" s="4">
        <f>IF(COUNTIFS(INDEX(tItens[Edital],1):tItens[[#This Row],[Edital]],tItens[[#This Row],[Edital]],INDEX(tItens[Produto],1):tItens[[#This Row],[Produto]],tItens[[#This Row],[Produto]])=1,1,0)</f>
        <v>0</v>
      </c>
    </row>
    <row r="7298" spans="1:16" x14ac:dyDescent="0.25">
      <c r="A7298" t="s">
        <v>2468</v>
      </c>
      <c r="B7298">
        <v>442</v>
      </c>
      <c r="C7298" t="s">
        <v>9945</v>
      </c>
      <c r="D7298" t="s">
        <v>110</v>
      </c>
      <c r="E7298" s="13">
        <v>1</v>
      </c>
      <c r="F7298" s="12">
        <v>0.97</v>
      </c>
      <c r="G7298" t="str">
        <f>IFERROR(INDEX(tEditais[Órgão],MATCH(tItens[[#This Row],[Edital]],tEditais[Edital],0)),"")</f>
        <v>CIMCERO - CONSORCIO INTERMUNICIPAL DA REGIAO CENTRO LESTE DO ESTADO DE RONDONIA</v>
      </c>
      <c r="H7298" t="str">
        <f>IFERROR(INDEX(tEditais[UF],MATCH(tItens[[#This Row],[Edital]],tEditais[Edital],0)),"")</f>
        <v>RO</v>
      </c>
      <c r="I7298" s="11">
        <f>IFERROR(INDEX(tEditais[Encerramento],MATCH(tItens[[#This Row],[Edital]],tEditais[Edital],0)),"")</f>
        <v>46310.729166666664</v>
      </c>
      <c r="J7298" t="str">
        <f>IFERROR(INDEX(tProdutos[Classe],MATCH(tItens[[#This Row],[Produto]],tProdutos[Produto],0)),"produto não cadastrado")</f>
        <v>NÚCLEO</v>
      </c>
      <c r="K7298" s="12">
        <f>tItens[[#This Row],[Qtd]]*tItens[[#This Row],[Vlr unit]]</f>
        <v>0.97</v>
      </c>
      <c r="L7298" s="6">
        <f>IFERROR(IF(INDEX(tProdutos[Desconto homologado],MATCH(tItens[[#This Row],[Produto]],tProdutos[Produto],0))="",DescontoPadrao,INDEX(tProdutos[Desconto homologado],MATCH(tItens[[#This Row],[Produto]],tProdutos[Produto],0))),DescontoPadrao)</f>
        <v>0.30410958904109597</v>
      </c>
      <c r="M7298" s="12">
        <f>tItens[[#This Row],[Valor]]*(1-tItens[[#This Row],[Desconto]])</f>
        <v>0.67501369863013694</v>
      </c>
      <c r="N7298" t="str">
        <f>IFERROR(INDEX(tProdutos[Foco],MATCH(tItens[[#This Row],[Produto]],tProdutos[Produto],0)),"Não")</f>
        <v>Não</v>
      </c>
      <c r="O7298" t="str">
        <f>IFERROR(INDEX(tEditais[SRP],MATCH(tItens[[#This Row],[Edital]],tEditais[Edital],0)),"Não")</f>
        <v>Sim</v>
      </c>
      <c r="P7298" s="4">
        <f>IF(COUNTIFS(INDEX(tItens[Edital],1):tItens[[#This Row],[Edital]],tItens[[#This Row],[Edital]],INDEX(tItens[Produto],1):tItens[[#This Row],[Produto]],tItens[[#This Row],[Produto]])=1,1,0)</f>
        <v>0</v>
      </c>
    </row>
    <row r="7299" spans="1:16" x14ac:dyDescent="0.25">
      <c r="A7299" t="s">
        <v>2468</v>
      </c>
      <c r="B7299">
        <v>443</v>
      </c>
      <c r="C7299" t="s">
        <v>9946</v>
      </c>
      <c r="D7299" t="s">
        <v>110</v>
      </c>
      <c r="E7299" s="13">
        <v>1</v>
      </c>
      <c r="F7299" s="12">
        <v>0.78</v>
      </c>
      <c r="G7299" t="str">
        <f>IFERROR(INDEX(tEditais[Órgão],MATCH(tItens[[#This Row],[Edital]],tEditais[Edital],0)),"")</f>
        <v>CIMCERO - CONSORCIO INTERMUNICIPAL DA REGIAO CENTRO LESTE DO ESTADO DE RONDONIA</v>
      </c>
      <c r="H7299" t="str">
        <f>IFERROR(INDEX(tEditais[UF],MATCH(tItens[[#This Row],[Edital]],tEditais[Edital],0)),"")</f>
        <v>RO</v>
      </c>
      <c r="I7299" s="11">
        <f>IFERROR(INDEX(tEditais[Encerramento],MATCH(tItens[[#This Row],[Edital]],tEditais[Edital],0)),"")</f>
        <v>46310.729166666664</v>
      </c>
      <c r="J7299" t="str">
        <f>IFERROR(INDEX(tProdutos[Classe],MATCH(tItens[[#This Row],[Produto]],tProdutos[Produto],0)),"produto não cadastrado")</f>
        <v>NÚCLEO</v>
      </c>
      <c r="K7299" s="12">
        <f>tItens[[#This Row],[Qtd]]*tItens[[#This Row],[Vlr unit]]</f>
        <v>0.78</v>
      </c>
      <c r="L7299" s="6">
        <f>IFERROR(IF(INDEX(tProdutos[Desconto homologado],MATCH(tItens[[#This Row],[Produto]],tProdutos[Produto],0))="",DescontoPadrao,INDEX(tProdutos[Desconto homologado],MATCH(tItens[[#This Row],[Produto]],tProdutos[Produto],0))),DescontoPadrao)</f>
        <v>0.30410958904109597</v>
      </c>
      <c r="M7299" s="12">
        <f>tItens[[#This Row],[Valor]]*(1-tItens[[#This Row],[Desconto]])</f>
        <v>0.54279452054794519</v>
      </c>
      <c r="N7299" t="str">
        <f>IFERROR(INDEX(tProdutos[Foco],MATCH(tItens[[#This Row],[Produto]],tProdutos[Produto],0)),"Não")</f>
        <v>Não</v>
      </c>
      <c r="O7299" t="str">
        <f>IFERROR(INDEX(tEditais[SRP],MATCH(tItens[[#This Row],[Edital]],tEditais[Edital],0)),"Não")</f>
        <v>Sim</v>
      </c>
      <c r="P7299" s="4">
        <f>IF(COUNTIFS(INDEX(tItens[Edital],1):tItens[[#This Row],[Edital]],tItens[[#This Row],[Edital]],INDEX(tItens[Produto],1):tItens[[#This Row],[Produto]],tItens[[#This Row],[Produto]])=1,1,0)</f>
        <v>0</v>
      </c>
    </row>
    <row r="7300" spans="1:16" x14ac:dyDescent="0.25">
      <c r="A7300" t="s">
        <v>2468</v>
      </c>
      <c r="B7300">
        <v>444</v>
      </c>
      <c r="C7300" t="s">
        <v>9947</v>
      </c>
      <c r="D7300" t="s">
        <v>110</v>
      </c>
      <c r="E7300" s="13">
        <v>1</v>
      </c>
      <c r="F7300" s="12">
        <v>0.79</v>
      </c>
      <c r="G7300" t="str">
        <f>IFERROR(INDEX(tEditais[Órgão],MATCH(tItens[[#This Row],[Edital]],tEditais[Edital],0)),"")</f>
        <v>CIMCERO - CONSORCIO INTERMUNICIPAL DA REGIAO CENTRO LESTE DO ESTADO DE RONDONIA</v>
      </c>
      <c r="H7300" t="str">
        <f>IFERROR(INDEX(tEditais[UF],MATCH(tItens[[#This Row],[Edital]],tEditais[Edital],0)),"")</f>
        <v>RO</v>
      </c>
      <c r="I7300" s="11">
        <f>IFERROR(INDEX(tEditais[Encerramento],MATCH(tItens[[#This Row],[Edital]],tEditais[Edital],0)),"")</f>
        <v>46310.729166666664</v>
      </c>
      <c r="J7300" t="str">
        <f>IFERROR(INDEX(tProdutos[Classe],MATCH(tItens[[#This Row],[Produto]],tProdutos[Produto],0)),"produto não cadastrado")</f>
        <v>NÚCLEO</v>
      </c>
      <c r="K7300" s="12">
        <f>tItens[[#This Row],[Qtd]]*tItens[[#This Row],[Vlr unit]]</f>
        <v>0.79</v>
      </c>
      <c r="L7300" s="6">
        <f>IFERROR(IF(INDEX(tProdutos[Desconto homologado],MATCH(tItens[[#This Row],[Produto]],tProdutos[Produto],0))="",DescontoPadrao,INDEX(tProdutos[Desconto homologado],MATCH(tItens[[#This Row],[Produto]],tProdutos[Produto],0))),DescontoPadrao)</f>
        <v>0.30410958904109597</v>
      </c>
      <c r="M7300" s="12">
        <f>tItens[[#This Row],[Valor]]*(1-tItens[[#This Row],[Desconto]])</f>
        <v>0.54975342465753418</v>
      </c>
      <c r="N7300" t="str">
        <f>IFERROR(INDEX(tProdutos[Foco],MATCH(tItens[[#This Row],[Produto]],tProdutos[Produto],0)),"Não")</f>
        <v>Não</v>
      </c>
      <c r="O7300" t="str">
        <f>IFERROR(INDEX(tEditais[SRP],MATCH(tItens[[#This Row],[Edital]],tEditais[Edital],0)),"Não")</f>
        <v>Sim</v>
      </c>
      <c r="P7300" s="4">
        <f>IF(COUNTIFS(INDEX(tItens[Edital],1):tItens[[#This Row],[Edital]],tItens[[#This Row],[Edital]],INDEX(tItens[Produto],1):tItens[[#This Row],[Produto]],tItens[[#This Row],[Produto]])=1,1,0)</f>
        <v>0</v>
      </c>
    </row>
    <row r="7301" spans="1:16" x14ac:dyDescent="0.25">
      <c r="A7301" t="s">
        <v>2468</v>
      </c>
      <c r="B7301">
        <v>445</v>
      </c>
      <c r="C7301" t="s">
        <v>9948</v>
      </c>
      <c r="D7301" t="s">
        <v>110</v>
      </c>
      <c r="E7301" s="13">
        <v>1</v>
      </c>
      <c r="F7301" s="12">
        <v>0.96</v>
      </c>
      <c r="G7301" t="str">
        <f>IFERROR(INDEX(tEditais[Órgão],MATCH(tItens[[#This Row],[Edital]],tEditais[Edital],0)),"")</f>
        <v>CIMCERO - CONSORCIO INTERMUNICIPAL DA REGIAO CENTRO LESTE DO ESTADO DE RONDONIA</v>
      </c>
      <c r="H7301" t="str">
        <f>IFERROR(INDEX(tEditais[UF],MATCH(tItens[[#This Row],[Edital]],tEditais[Edital],0)),"")</f>
        <v>RO</v>
      </c>
      <c r="I7301" s="11">
        <f>IFERROR(INDEX(tEditais[Encerramento],MATCH(tItens[[#This Row],[Edital]],tEditais[Edital],0)),"")</f>
        <v>46310.729166666664</v>
      </c>
      <c r="J7301" t="str">
        <f>IFERROR(INDEX(tProdutos[Classe],MATCH(tItens[[#This Row],[Produto]],tProdutos[Produto],0)),"produto não cadastrado")</f>
        <v>NÚCLEO</v>
      </c>
      <c r="K7301" s="12">
        <f>tItens[[#This Row],[Qtd]]*tItens[[#This Row],[Vlr unit]]</f>
        <v>0.96</v>
      </c>
      <c r="L7301" s="6">
        <f>IFERROR(IF(INDEX(tProdutos[Desconto homologado],MATCH(tItens[[#This Row],[Produto]],tProdutos[Produto],0))="",DescontoPadrao,INDEX(tProdutos[Desconto homologado],MATCH(tItens[[#This Row],[Produto]],tProdutos[Produto],0))),DescontoPadrao)</f>
        <v>0.30410958904109597</v>
      </c>
      <c r="M7301" s="12">
        <f>tItens[[#This Row],[Valor]]*(1-tItens[[#This Row],[Desconto]])</f>
        <v>0.66805479452054783</v>
      </c>
      <c r="N7301" t="str">
        <f>IFERROR(INDEX(tProdutos[Foco],MATCH(tItens[[#This Row],[Produto]],tProdutos[Produto],0)),"Não")</f>
        <v>Não</v>
      </c>
      <c r="O7301" t="str">
        <f>IFERROR(INDEX(tEditais[SRP],MATCH(tItens[[#This Row],[Edital]],tEditais[Edital],0)),"Não")</f>
        <v>Sim</v>
      </c>
      <c r="P7301" s="4">
        <f>IF(COUNTIFS(INDEX(tItens[Edital],1):tItens[[#This Row],[Edital]],tItens[[#This Row],[Edital]],INDEX(tItens[Produto],1):tItens[[#This Row],[Produto]],tItens[[#This Row],[Produto]])=1,1,0)</f>
        <v>0</v>
      </c>
    </row>
    <row r="7302" spans="1:16" x14ac:dyDescent="0.25">
      <c r="A7302" t="s">
        <v>2468</v>
      </c>
      <c r="B7302">
        <v>446</v>
      </c>
      <c r="C7302" t="s">
        <v>9949</v>
      </c>
      <c r="D7302" t="s">
        <v>110</v>
      </c>
      <c r="E7302" s="13">
        <v>1</v>
      </c>
      <c r="F7302" s="12">
        <v>1.42</v>
      </c>
      <c r="G7302" t="str">
        <f>IFERROR(INDEX(tEditais[Órgão],MATCH(tItens[[#This Row],[Edital]],tEditais[Edital],0)),"")</f>
        <v>CIMCERO - CONSORCIO INTERMUNICIPAL DA REGIAO CENTRO LESTE DO ESTADO DE RONDONIA</v>
      </c>
      <c r="H7302" t="str">
        <f>IFERROR(INDEX(tEditais[UF],MATCH(tItens[[#This Row],[Edital]],tEditais[Edital],0)),"")</f>
        <v>RO</v>
      </c>
      <c r="I7302" s="11">
        <f>IFERROR(INDEX(tEditais[Encerramento],MATCH(tItens[[#This Row],[Edital]],tEditais[Edital],0)),"")</f>
        <v>46310.729166666664</v>
      </c>
      <c r="J7302" t="str">
        <f>IFERROR(INDEX(tProdutos[Classe],MATCH(tItens[[#This Row],[Produto]],tProdutos[Produto],0)),"produto não cadastrado")</f>
        <v>NÚCLEO</v>
      </c>
      <c r="K7302" s="12">
        <f>tItens[[#This Row],[Qtd]]*tItens[[#This Row],[Vlr unit]]</f>
        <v>1.42</v>
      </c>
      <c r="L7302" s="6">
        <f>IFERROR(IF(INDEX(tProdutos[Desconto homologado],MATCH(tItens[[#This Row],[Produto]],tProdutos[Produto],0))="",DescontoPadrao,INDEX(tProdutos[Desconto homologado],MATCH(tItens[[#This Row],[Produto]],tProdutos[Produto],0))),DescontoPadrao)</f>
        <v>0.30410958904109597</v>
      </c>
      <c r="M7302" s="12">
        <f>tItens[[#This Row],[Valor]]*(1-tItens[[#This Row],[Desconto]])</f>
        <v>0.98816438356164371</v>
      </c>
      <c r="N7302" t="str">
        <f>IFERROR(INDEX(tProdutos[Foco],MATCH(tItens[[#This Row],[Produto]],tProdutos[Produto],0)),"Não")</f>
        <v>Não</v>
      </c>
      <c r="O7302" t="str">
        <f>IFERROR(INDEX(tEditais[SRP],MATCH(tItens[[#This Row],[Edital]],tEditais[Edital],0)),"Não")</f>
        <v>Sim</v>
      </c>
      <c r="P7302" s="4">
        <f>IF(COUNTIFS(INDEX(tItens[Edital],1):tItens[[#This Row],[Edital]],tItens[[#This Row],[Edital]],INDEX(tItens[Produto],1):tItens[[#This Row],[Produto]],tItens[[#This Row],[Produto]])=1,1,0)</f>
        <v>0</v>
      </c>
    </row>
    <row r="7303" spans="1:16" x14ac:dyDescent="0.25">
      <c r="A7303" t="s">
        <v>2468</v>
      </c>
      <c r="B7303">
        <v>447</v>
      </c>
      <c r="C7303" t="s">
        <v>9950</v>
      </c>
      <c r="D7303" t="s">
        <v>110</v>
      </c>
      <c r="E7303" s="13">
        <v>1</v>
      </c>
      <c r="F7303" s="12">
        <v>1.07</v>
      </c>
      <c r="G7303" t="str">
        <f>IFERROR(INDEX(tEditais[Órgão],MATCH(tItens[[#This Row],[Edital]],tEditais[Edital],0)),"")</f>
        <v>CIMCERO - CONSORCIO INTERMUNICIPAL DA REGIAO CENTRO LESTE DO ESTADO DE RONDONIA</v>
      </c>
      <c r="H7303" t="str">
        <f>IFERROR(INDEX(tEditais[UF],MATCH(tItens[[#This Row],[Edital]],tEditais[Edital],0)),"")</f>
        <v>RO</v>
      </c>
      <c r="I7303" s="11">
        <f>IFERROR(INDEX(tEditais[Encerramento],MATCH(tItens[[#This Row],[Edital]],tEditais[Edital],0)),"")</f>
        <v>46310.729166666664</v>
      </c>
      <c r="J7303" t="str">
        <f>IFERROR(INDEX(tProdutos[Classe],MATCH(tItens[[#This Row],[Produto]],tProdutos[Produto],0)),"produto não cadastrado")</f>
        <v>NÚCLEO</v>
      </c>
      <c r="K7303" s="12">
        <f>tItens[[#This Row],[Qtd]]*tItens[[#This Row],[Vlr unit]]</f>
        <v>1.07</v>
      </c>
      <c r="L7303" s="6">
        <f>IFERROR(IF(INDEX(tProdutos[Desconto homologado],MATCH(tItens[[#This Row],[Produto]],tProdutos[Produto],0))="",DescontoPadrao,INDEX(tProdutos[Desconto homologado],MATCH(tItens[[#This Row],[Produto]],tProdutos[Produto],0))),DescontoPadrao)</f>
        <v>0.30410958904109597</v>
      </c>
      <c r="M7303" s="12">
        <f>tItens[[#This Row],[Valor]]*(1-tItens[[#This Row],[Desconto]])</f>
        <v>0.74460273972602731</v>
      </c>
      <c r="N7303" t="str">
        <f>IFERROR(INDEX(tProdutos[Foco],MATCH(tItens[[#This Row],[Produto]],tProdutos[Produto],0)),"Não")</f>
        <v>Não</v>
      </c>
      <c r="O7303" t="str">
        <f>IFERROR(INDEX(tEditais[SRP],MATCH(tItens[[#This Row],[Edital]],tEditais[Edital],0)),"Não")</f>
        <v>Sim</v>
      </c>
      <c r="P7303" s="4">
        <f>IF(COUNTIFS(INDEX(tItens[Edital],1):tItens[[#This Row],[Edital]],tItens[[#This Row],[Edital]],INDEX(tItens[Produto],1):tItens[[#This Row],[Produto]],tItens[[#This Row],[Produto]])=1,1,0)</f>
        <v>0</v>
      </c>
    </row>
    <row r="7304" spans="1:16" x14ac:dyDescent="0.25">
      <c r="A7304" t="s">
        <v>2468</v>
      </c>
      <c r="B7304">
        <v>448</v>
      </c>
      <c r="C7304" t="s">
        <v>9951</v>
      </c>
      <c r="D7304" t="s">
        <v>110</v>
      </c>
      <c r="E7304" s="13">
        <v>1</v>
      </c>
      <c r="F7304" s="12">
        <v>1.1399999999999999</v>
      </c>
      <c r="G7304" t="str">
        <f>IFERROR(INDEX(tEditais[Órgão],MATCH(tItens[[#This Row],[Edital]],tEditais[Edital],0)),"")</f>
        <v>CIMCERO - CONSORCIO INTERMUNICIPAL DA REGIAO CENTRO LESTE DO ESTADO DE RONDONIA</v>
      </c>
      <c r="H7304" t="str">
        <f>IFERROR(INDEX(tEditais[UF],MATCH(tItens[[#This Row],[Edital]],tEditais[Edital],0)),"")</f>
        <v>RO</v>
      </c>
      <c r="I7304" s="11">
        <f>IFERROR(INDEX(tEditais[Encerramento],MATCH(tItens[[#This Row],[Edital]],tEditais[Edital],0)),"")</f>
        <v>46310.729166666664</v>
      </c>
      <c r="J7304" t="str">
        <f>IFERROR(INDEX(tProdutos[Classe],MATCH(tItens[[#This Row],[Produto]],tProdutos[Produto],0)),"produto não cadastrado")</f>
        <v>NÚCLEO</v>
      </c>
      <c r="K7304" s="12">
        <f>tItens[[#This Row],[Qtd]]*tItens[[#This Row],[Vlr unit]]</f>
        <v>1.1399999999999999</v>
      </c>
      <c r="L7304" s="6">
        <f>IFERROR(IF(INDEX(tProdutos[Desconto homologado],MATCH(tItens[[#This Row],[Produto]],tProdutos[Produto],0))="",DescontoPadrao,INDEX(tProdutos[Desconto homologado],MATCH(tItens[[#This Row],[Produto]],tProdutos[Produto],0))),DescontoPadrao)</f>
        <v>0.30410958904109597</v>
      </c>
      <c r="M7304" s="12">
        <f>tItens[[#This Row],[Valor]]*(1-tItens[[#This Row],[Desconto]])</f>
        <v>0.79331506849315048</v>
      </c>
      <c r="N7304" t="str">
        <f>IFERROR(INDEX(tProdutos[Foco],MATCH(tItens[[#This Row],[Produto]],tProdutos[Produto],0)),"Não")</f>
        <v>Não</v>
      </c>
      <c r="O7304" t="str">
        <f>IFERROR(INDEX(tEditais[SRP],MATCH(tItens[[#This Row],[Edital]],tEditais[Edital],0)),"Não")</f>
        <v>Sim</v>
      </c>
      <c r="P7304" s="4">
        <f>IF(COUNTIFS(INDEX(tItens[Edital],1):tItens[[#This Row],[Edital]],tItens[[#This Row],[Edital]],INDEX(tItens[Produto],1):tItens[[#This Row],[Produto]],tItens[[#This Row],[Produto]])=1,1,0)</f>
        <v>0</v>
      </c>
    </row>
    <row r="7305" spans="1:16" x14ac:dyDescent="0.25">
      <c r="A7305" t="s">
        <v>2468</v>
      </c>
      <c r="B7305">
        <v>449</v>
      </c>
      <c r="C7305" t="s">
        <v>9952</v>
      </c>
      <c r="D7305" t="s">
        <v>110</v>
      </c>
      <c r="E7305" s="13">
        <v>1</v>
      </c>
      <c r="F7305" s="12">
        <v>1.0900000000000001</v>
      </c>
      <c r="G7305" t="str">
        <f>IFERROR(INDEX(tEditais[Órgão],MATCH(tItens[[#This Row],[Edital]],tEditais[Edital],0)),"")</f>
        <v>CIMCERO - CONSORCIO INTERMUNICIPAL DA REGIAO CENTRO LESTE DO ESTADO DE RONDONIA</v>
      </c>
      <c r="H7305" t="str">
        <f>IFERROR(INDEX(tEditais[UF],MATCH(tItens[[#This Row],[Edital]],tEditais[Edital],0)),"")</f>
        <v>RO</v>
      </c>
      <c r="I7305" s="11">
        <f>IFERROR(INDEX(tEditais[Encerramento],MATCH(tItens[[#This Row],[Edital]],tEditais[Edital],0)),"")</f>
        <v>46310.729166666664</v>
      </c>
      <c r="J7305" t="str">
        <f>IFERROR(INDEX(tProdutos[Classe],MATCH(tItens[[#This Row],[Produto]],tProdutos[Produto],0)),"produto não cadastrado")</f>
        <v>NÚCLEO</v>
      </c>
      <c r="K7305" s="12">
        <f>tItens[[#This Row],[Qtd]]*tItens[[#This Row],[Vlr unit]]</f>
        <v>1.0900000000000001</v>
      </c>
      <c r="L7305" s="6">
        <f>IFERROR(IF(INDEX(tProdutos[Desconto homologado],MATCH(tItens[[#This Row],[Produto]],tProdutos[Produto],0))="",DescontoPadrao,INDEX(tProdutos[Desconto homologado],MATCH(tItens[[#This Row],[Produto]],tProdutos[Produto],0))),DescontoPadrao)</f>
        <v>0.30410958904109597</v>
      </c>
      <c r="M7305" s="12">
        <f>tItens[[#This Row],[Valor]]*(1-tItens[[#This Row],[Desconto]])</f>
        <v>0.7585205479452054</v>
      </c>
      <c r="N7305" t="str">
        <f>IFERROR(INDEX(tProdutos[Foco],MATCH(tItens[[#This Row],[Produto]],tProdutos[Produto],0)),"Não")</f>
        <v>Não</v>
      </c>
      <c r="O7305" t="str">
        <f>IFERROR(INDEX(tEditais[SRP],MATCH(tItens[[#This Row],[Edital]],tEditais[Edital],0)),"Não")</f>
        <v>Sim</v>
      </c>
      <c r="P7305" s="4">
        <f>IF(COUNTIFS(INDEX(tItens[Edital],1):tItens[[#This Row],[Edital]],tItens[[#This Row],[Edital]],INDEX(tItens[Produto],1):tItens[[#This Row],[Produto]],tItens[[#This Row],[Produto]])=1,1,0)</f>
        <v>0</v>
      </c>
    </row>
    <row r="7306" spans="1:16" x14ac:dyDescent="0.25">
      <c r="A7306" t="s">
        <v>2468</v>
      </c>
      <c r="B7306">
        <v>450</v>
      </c>
      <c r="C7306" t="s">
        <v>9953</v>
      </c>
      <c r="D7306" t="s">
        <v>110</v>
      </c>
      <c r="E7306" s="13">
        <v>1</v>
      </c>
      <c r="F7306" s="12">
        <v>27.46</v>
      </c>
      <c r="G7306" t="str">
        <f>IFERROR(INDEX(tEditais[Órgão],MATCH(tItens[[#This Row],[Edital]],tEditais[Edital],0)),"")</f>
        <v>CIMCERO - CONSORCIO INTERMUNICIPAL DA REGIAO CENTRO LESTE DO ESTADO DE RONDONIA</v>
      </c>
      <c r="H7306" t="str">
        <f>IFERROR(INDEX(tEditais[UF],MATCH(tItens[[#This Row],[Edital]],tEditais[Edital],0)),"")</f>
        <v>RO</v>
      </c>
      <c r="I7306" s="11">
        <f>IFERROR(INDEX(tEditais[Encerramento],MATCH(tItens[[#This Row],[Edital]],tEditais[Edital],0)),"")</f>
        <v>46310.729166666664</v>
      </c>
      <c r="J7306" t="str">
        <f>IFERROR(INDEX(tProdutos[Classe],MATCH(tItens[[#This Row],[Produto]],tProdutos[Produto],0)),"produto não cadastrado")</f>
        <v>NÚCLEO</v>
      </c>
      <c r="K7306" s="12">
        <f>tItens[[#This Row],[Qtd]]*tItens[[#This Row],[Vlr unit]]</f>
        <v>27.46</v>
      </c>
      <c r="L7306" s="6">
        <f>IFERROR(IF(INDEX(tProdutos[Desconto homologado],MATCH(tItens[[#This Row],[Produto]],tProdutos[Produto],0))="",DescontoPadrao,INDEX(tProdutos[Desconto homologado],MATCH(tItens[[#This Row],[Produto]],tProdutos[Produto],0))),DescontoPadrao)</f>
        <v>0.30410958904109597</v>
      </c>
      <c r="M7306" s="12">
        <f>tItens[[#This Row],[Valor]]*(1-tItens[[#This Row],[Desconto]])</f>
        <v>19.109150684931507</v>
      </c>
      <c r="N7306" t="str">
        <f>IFERROR(INDEX(tProdutos[Foco],MATCH(tItens[[#This Row],[Produto]],tProdutos[Produto],0)),"Não")</f>
        <v>Não</v>
      </c>
      <c r="O7306" t="str">
        <f>IFERROR(INDEX(tEditais[SRP],MATCH(tItens[[#This Row],[Edital]],tEditais[Edital],0)),"Não")</f>
        <v>Sim</v>
      </c>
      <c r="P7306" s="4">
        <f>IF(COUNTIFS(INDEX(tItens[Edital],1):tItens[[#This Row],[Edital]],tItens[[#This Row],[Edital]],INDEX(tItens[Produto],1):tItens[[#This Row],[Produto]],tItens[[#This Row],[Produto]])=1,1,0)</f>
        <v>0</v>
      </c>
    </row>
    <row r="7307" spans="1:16" x14ac:dyDescent="0.25">
      <c r="A7307" t="s">
        <v>2468</v>
      </c>
      <c r="B7307">
        <v>451</v>
      </c>
      <c r="C7307" t="s">
        <v>9954</v>
      </c>
      <c r="D7307" t="s">
        <v>110</v>
      </c>
      <c r="E7307" s="13">
        <v>1</v>
      </c>
      <c r="F7307" s="12">
        <v>1.76</v>
      </c>
      <c r="G7307" t="str">
        <f>IFERROR(INDEX(tEditais[Órgão],MATCH(tItens[[#This Row],[Edital]],tEditais[Edital],0)),"")</f>
        <v>CIMCERO - CONSORCIO INTERMUNICIPAL DA REGIAO CENTRO LESTE DO ESTADO DE RONDONIA</v>
      </c>
      <c r="H7307" t="str">
        <f>IFERROR(INDEX(tEditais[UF],MATCH(tItens[[#This Row],[Edital]],tEditais[Edital],0)),"")</f>
        <v>RO</v>
      </c>
      <c r="I7307" s="11">
        <f>IFERROR(INDEX(tEditais[Encerramento],MATCH(tItens[[#This Row],[Edital]],tEditais[Edital],0)),"")</f>
        <v>46310.729166666664</v>
      </c>
      <c r="J7307" t="str">
        <f>IFERROR(INDEX(tProdutos[Classe],MATCH(tItens[[#This Row],[Produto]],tProdutos[Produto],0)),"produto não cadastrado")</f>
        <v>NÚCLEO</v>
      </c>
      <c r="K7307" s="12">
        <f>tItens[[#This Row],[Qtd]]*tItens[[#This Row],[Vlr unit]]</f>
        <v>1.76</v>
      </c>
      <c r="L7307" s="6">
        <f>IFERROR(IF(INDEX(tProdutos[Desconto homologado],MATCH(tItens[[#This Row],[Produto]],tProdutos[Produto],0))="",DescontoPadrao,INDEX(tProdutos[Desconto homologado],MATCH(tItens[[#This Row],[Produto]],tProdutos[Produto],0))),DescontoPadrao)</f>
        <v>0.30410958904109597</v>
      </c>
      <c r="M7307" s="12">
        <f>tItens[[#This Row],[Valor]]*(1-tItens[[#This Row],[Desconto]])</f>
        <v>1.2247671232876711</v>
      </c>
      <c r="N7307" t="str">
        <f>IFERROR(INDEX(tProdutos[Foco],MATCH(tItens[[#This Row],[Produto]],tProdutos[Produto],0)),"Não")</f>
        <v>Não</v>
      </c>
      <c r="O7307" t="str">
        <f>IFERROR(INDEX(tEditais[SRP],MATCH(tItens[[#This Row],[Edital]],tEditais[Edital],0)),"Não")</f>
        <v>Sim</v>
      </c>
      <c r="P7307" s="4">
        <f>IF(COUNTIFS(INDEX(tItens[Edital],1):tItens[[#This Row],[Edital]],tItens[[#This Row],[Edital]],INDEX(tItens[Produto],1):tItens[[#This Row],[Produto]],tItens[[#This Row],[Produto]])=1,1,0)</f>
        <v>0</v>
      </c>
    </row>
    <row r="7308" spans="1:16" x14ac:dyDescent="0.25">
      <c r="A7308" t="s">
        <v>2468</v>
      </c>
      <c r="B7308">
        <v>452</v>
      </c>
      <c r="C7308" t="s">
        <v>9955</v>
      </c>
      <c r="D7308" t="s">
        <v>110</v>
      </c>
      <c r="E7308" s="13">
        <v>1</v>
      </c>
      <c r="F7308" s="12">
        <v>1.44</v>
      </c>
      <c r="G7308" t="str">
        <f>IFERROR(INDEX(tEditais[Órgão],MATCH(tItens[[#This Row],[Edital]],tEditais[Edital],0)),"")</f>
        <v>CIMCERO - CONSORCIO INTERMUNICIPAL DA REGIAO CENTRO LESTE DO ESTADO DE RONDONIA</v>
      </c>
      <c r="H7308" t="str">
        <f>IFERROR(INDEX(tEditais[UF],MATCH(tItens[[#This Row],[Edital]],tEditais[Edital],0)),"")</f>
        <v>RO</v>
      </c>
      <c r="I7308" s="11">
        <f>IFERROR(INDEX(tEditais[Encerramento],MATCH(tItens[[#This Row],[Edital]],tEditais[Edital],0)),"")</f>
        <v>46310.729166666664</v>
      </c>
      <c r="J7308" t="str">
        <f>IFERROR(INDEX(tProdutos[Classe],MATCH(tItens[[#This Row],[Produto]],tProdutos[Produto],0)),"produto não cadastrado")</f>
        <v>NÚCLEO</v>
      </c>
      <c r="K7308" s="12">
        <f>tItens[[#This Row],[Qtd]]*tItens[[#This Row],[Vlr unit]]</f>
        <v>1.44</v>
      </c>
      <c r="L7308" s="6">
        <f>IFERROR(IF(INDEX(tProdutos[Desconto homologado],MATCH(tItens[[#This Row],[Produto]],tProdutos[Produto],0))="",DescontoPadrao,INDEX(tProdutos[Desconto homologado],MATCH(tItens[[#This Row],[Produto]],tProdutos[Produto],0))),DescontoPadrao)</f>
        <v>0.30410958904109597</v>
      </c>
      <c r="M7308" s="12">
        <f>tItens[[#This Row],[Valor]]*(1-tItens[[#This Row],[Desconto]])</f>
        <v>1.0020821917808218</v>
      </c>
      <c r="N7308" t="str">
        <f>IFERROR(INDEX(tProdutos[Foco],MATCH(tItens[[#This Row],[Produto]],tProdutos[Produto],0)),"Não")</f>
        <v>Não</v>
      </c>
      <c r="O7308" t="str">
        <f>IFERROR(INDEX(tEditais[SRP],MATCH(tItens[[#This Row],[Edital]],tEditais[Edital],0)),"Não")</f>
        <v>Sim</v>
      </c>
      <c r="P7308" s="4">
        <f>IF(COUNTIFS(INDEX(tItens[Edital],1):tItens[[#This Row],[Edital]],tItens[[#This Row],[Edital]],INDEX(tItens[Produto],1):tItens[[#This Row],[Produto]],tItens[[#This Row],[Produto]])=1,1,0)</f>
        <v>0</v>
      </c>
    </row>
    <row r="7309" spans="1:16" x14ac:dyDescent="0.25">
      <c r="A7309" t="s">
        <v>2468</v>
      </c>
      <c r="B7309">
        <v>453</v>
      </c>
      <c r="C7309" t="s">
        <v>9956</v>
      </c>
      <c r="D7309" t="s">
        <v>110</v>
      </c>
      <c r="E7309" s="13">
        <v>1</v>
      </c>
      <c r="F7309" s="12">
        <v>8.34</v>
      </c>
      <c r="G7309" t="str">
        <f>IFERROR(INDEX(tEditais[Órgão],MATCH(tItens[[#This Row],[Edital]],tEditais[Edital],0)),"")</f>
        <v>CIMCERO - CONSORCIO INTERMUNICIPAL DA REGIAO CENTRO LESTE DO ESTADO DE RONDONIA</v>
      </c>
      <c r="H7309" t="str">
        <f>IFERROR(INDEX(tEditais[UF],MATCH(tItens[[#This Row],[Edital]],tEditais[Edital],0)),"")</f>
        <v>RO</v>
      </c>
      <c r="I7309" s="11">
        <f>IFERROR(INDEX(tEditais[Encerramento],MATCH(tItens[[#This Row],[Edital]],tEditais[Edital],0)),"")</f>
        <v>46310.729166666664</v>
      </c>
      <c r="J7309" t="str">
        <f>IFERROR(INDEX(tProdutos[Classe],MATCH(tItens[[#This Row],[Produto]],tProdutos[Produto],0)),"produto não cadastrado")</f>
        <v>NÚCLEO</v>
      </c>
      <c r="K7309" s="12">
        <f>tItens[[#This Row],[Qtd]]*tItens[[#This Row],[Vlr unit]]</f>
        <v>8.34</v>
      </c>
      <c r="L7309" s="6">
        <f>IFERROR(IF(INDEX(tProdutos[Desconto homologado],MATCH(tItens[[#This Row],[Produto]],tProdutos[Produto],0))="",DescontoPadrao,INDEX(tProdutos[Desconto homologado],MATCH(tItens[[#This Row],[Produto]],tProdutos[Produto],0))),DescontoPadrao)</f>
        <v>0.30410958904109597</v>
      </c>
      <c r="M7309" s="12">
        <f>tItens[[#This Row],[Valor]]*(1-tItens[[#This Row],[Desconto]])</f>
        <v>5.8037260273972597</v>
      </c>
      <c r="N7309" t="str">
        <f>IFERROR(INDEX(tProdutos[Foco],MATCH(tItens[[#This Row],[Produto]],tProdutos[Produto],0)),"Não")</f>
        <v>Não</v>
      </c>
      <c r="O7309" t="str">
        <f>IFERROR(INDEX(tEditais[SRP],MATCH(tItens[[#This Row],[Edital]],tEditais[Edital],0)),"Não")</f>
        <v>Sim</v>
      </c>
      <c r="P7309" s="4">
        <f>IF(COUNTIFS(INDEX(tItens[Edital],1):tItens[[#This Row],[Edital]],tItens[[#This Row],[Edital]],INDEX(tItens[Produto],1):tItens[[#This Row],[Produto]],tItens[[#This Row],[Produto]])=1,1,0)</f>
        <v>0</v>
      </c>
    </row>
    <row r="7310" spans="1:16" x14ac:dyDescent="0.25">
      <c r="A7310" t="s">
        <v>2468</v>
      </c>
      <c r="B7310">
        <v>454</v>
      </c>
      <c r="C7310" t="s">
        <v>9957</v>
      </c>
      <c r="D7310" t="s">
        <v>110</v>
      </c>
      <c r="E7310" s="13">
        <v>1</v>
      </c>
      <c r="F7310" s="12">
        <v>1.48</v>
      </c>
      <c r="G7310" t="str">
        <f>IFERROR(INDEX(tEditais[Órgão],MATCH(tItens[[#This Row],[Edital]],tEditais[Edital],0)),"")</f>
        <v>CIMCERO - CONSORCIO INTERMUNICIPAL DA REGIAO CENTRO LESTE DO ESTADO DE RONDONIA</v>
      </c>
      <c r="H7310" t="str">
        <f>IFERROR(INDEX(tEditais[UF],MATCH(tItens[[#This Row],[Edital]],tEditais[Edital],0)),"")</f>
        <v>RO</v>
      </c>
      <c r="I7310" s="11">
        <f>IFERROR(INDEX(tEditais[Encerramento],MATCH(tItens[[#This Row],[Edital]],tEditais[Edital],0)),"")</f>
        <v>46310.729166666664</v>
      </c>
      <c r="J7310" t="str">
        <f>IFERROR(INDEX(tProdutos[Classe],MATCH(tItens[[#This Row],[Produto]],tProdutos[Produto],0)),"produto não cadastrado")</f>
        <v>NÚCLEO</v>
      </c>
      <c r="K7310" s="12">
        <f>tItens[[#This Row],[Qtd]]*tItens[[#This Row],[Vlr unit]]</f>
        <v>1.48</v>
      </c>
      <c r="L7310" s="6">
        <f>IFERROR(IF(INDEX(tProdutos[Desconto homologado],MATCH(tItens[[#This Row],[Produto]],tProdutos[Produto],0))="",DescontoPadrao,INDEX(tProdutos[Desconto homologado],MATCH(tItens[[#This Row],[Produto]],tProdutos[Produto],0))),DescontoPadrao)</f>
        <v>0.30410958904109597</v>
      </c>
      <c r="M7310" s="12">
        <f>tItens[[#This Row],[Valor]]*(1-tItens[[#This Row],[Desconto]])</f>
        <v>1.029917808219178</v>
      </c>
      <c r="N7310" t="str">
        <f>IFERROR(INDEX(tProdutos[Foco],MATCH(tItens[[#This Row],[Produto]],tProdutos[Produto],0)),"Não")</f>
        <v>Não</v>
      </c>
      <c r="O7310" t="str">
        <f>IFERROR(INDEX(tEditais[SRP],MATCH(tItens[[#This Row],[Edital]],tEditais[Edital],0)),"Não")</f>
        <v>Sim</v>
      </c>
      <c r="P7310" s="4">
        <f>IF(COUNTIFS(INDEX(tItens[Edital],1):tItens[[#This Row],[Edital]],tItens[[#This Row],[Edital]],INDEX(tItens[Produto],1):tItens[[#This Row],[Produto]],tItens[[#This Row],[Produto]])=1,1,0)</f>
        <v>0</v>
      </c>
    </row>
    <row r="7311" spans="1:16" x14ac:dyDescent="0.25">
      <c r="A7311" t="s">
        <v>2468</v>
      </c>
      <c r="B7311">
        <v>455</v>
      </c>
      <c r="C7311" t="s">
        <v>9958</v>
      </c>
      <c r="D7311" t="s">
        <v>110</v>
      </c>
      <c r="E7311" s="13">
        <v>1</v>
      </c>
      <c r="F7311" s="12">
        <v>1.72</v>
      </c>
      <c r="G7311" t="str">
        <f>IFERROR(INDEX(tEditais[Órgão],MATCH(tItens[[#This Row],[Edital]],tEditais[Edital],0)),"")</f>
        <v>CIMCERO - CONSORCIO INTERMUNICIPAL DA REGIAO CENTRO LESTE DO ESTADO DE RONDONIA</v>
      </c>
      <c r="H7311" t="str">
        <f>IFERROR(INDEX(tEditais[UF],MATCH(tItens[[#This Row],[Edital]],tEditais[Edital],0)),"")</f>
        <v>RO</v>
      </c>
      <c r="I7311" s="11">
        <f>IFERROR(INDEX(tEditais[Encerramento],MATCH(tItens[[#This Row],[Edital]],tEditais[Edital],0)),"")</f>
        <v>46310.729166666664</v>
      </c>
      <c r="J7311" t="str">
        <f>IFERROR(INDEX(tProdutos[Classe],MATCH(tItens[[#This Row],[Produto]],tProdutos[Produto],0)),"produto não cadastrado")</f>
        <v>NÚCLEO</v>
      </c>
      <c r="K7311" s="12">
        <f>tItens[[#This Row],[Qtd]]*tItens[[#This Row],[Vlr unit]]</f>
        <v>1.72</v>
      </c>
      <c r="L7311" s="6">
        <f>IFERROR(IF(INDEX(tProdutos[Desconto homologado],MATCH(tItens[[#This Row],[Produto]],tProdutos[Produto],0))="",DescontoPadrao,INDEX(tProdutos[Desconto homologado],MATCH(tItens[[#This Row],[Produto]],tProdutos[Produto],0))),DescontoPadrao)</f>
        <v>0.30410958904109597</v>
      </c>
      <c r="M7311" s="12">
        <f>tItens[[#This Row],[Valor]]*(1-tItens[[#This Row],[Desconto]])</f>
        <v>1.1969315068493149</v>
      </c>
      <c r="N7311" t="str">
        <f>IFERROR(INDEX(tProdutos[Foco],MATCH(tItens[[#This Row],[Produto]],tProdutos[Produto],0)),"Não")</f>
        <v>Não</v>
      </c>
      <c r="O7311" t="str">
        <f>IFERROR(INDEX(tEditais[SRP],MATCH(tItens[[#This Row],[Edital]],tEditais[Edital],0)),"Não")</f>
        <v>Sim</v>
      </c>
      <c r="P7311" s="4">
        <f>IF(COUNTIFS(INDEX(tItens[Edital],1):tItens[[#This Row],[Edital]],tItens[[#This Row],[Edital]],INDEX(tItens[Produto],1):tItens[[#This Row],[Produto]],tItens[[#This Row],[Produto]])=1,1,0)</f>
        <v>0</v>
      </c>
    </row>
    <row r="7312" spans="1:16" x14ac:dyDescent="0.25">
      <c r="A7312" t="s">
        <v>2468</v>
      </c>
      <c r="B7312">
        <v>460</v>
      </c>
      <c r="C7312" t="s">
        <v>9959</v>
      </c>
      <c r="D7312" t="s">
        <v>120</v>
      </c>
      <c r="E7312" s="13">
        <v>1</v>
      </c>
      <c r="F7312" s="12">
        <v>0.69</v>
      </c>
      <c r="G7312" t="str">
        <f>IFERROR(INDEX(tEditais[Órgão],MATCH(tItens[[#This Row],[Edital]],tEditais[Edital],0)),"")</f>
        <v>CIMCERO - CONSORCIO INTERMUNICIPAL DA REGIAO CENTRO LESTE DO ESTADO DE RONDONIA</v>
      </c>
      <c r="H7312" t="str">
        <f>IFERROR(INDEX(tEditais[UF],MATCH(tItens[[#This Row],[Edital]],tEditais[Edital],0)),"")</f>
        <v>RO</v>
      </c>
      <c r="I7312" s="11">
        <f>IFERROR(INDEX(tEditais[Encerramento],MATCH(tItens[[#This Row],[Edital]],tEditais[Edital],0)),"")</f>
        <v>46310.729166666664</v>
      </c>
      <c r="J7312" t="str">
        <f>IFERROR(INDEX(tProdutos[Classe],MATCH(tItens[[#This Row],[Produto]],tProdutos[Produto],0)),"produto não cadastrado")</f>
        <v>DISPUTADO</v>
      </c>
      <c r="K7312" s="12">
        <f>tItens[[#This Row],[Qtd]]*tItens[[#This Row],[Vlr unit]]</f>
        <v>0.69</v>
      </c>
      <c r="L7312" s="6">
        <f>IFERROR(IF(INDEX(tProdutos[Desconto homologado],MATCH(tItens[[#This Row],[Produto]],tProdutos[Produto],0))="",DescontoPadrao,INDEX(tProdutos[Desconto homologado],MATCH(tItens[[#This Row],[Produto]],tProdutos[Produto],0))),DescontoPadrao)</f>
        <v>0.40909090909090901</v>
      </c>
      <c r="M7312" s="12">
        <f>tItens[[#This Row],[Valor]]*(1-tItens[[#This Row],[Desconto]])</f>
        <v>0.40772727272727277</v>
      </c>
      <c r="N7312" t="str">
        <f>IFERROR(INDEX(tProdutos[Foco],MATCH(tItens[[#This Row],[Produto]],tProdutos[Produto],0)),"Não")</f>
        <v>Não</v>
      </c>
      <c r="O7312" t="str">
        <f>IFERROR(INDEX(tEditais[SRP],MATCH(tItens[[#This Row],[Edital]],tEditais[Edital],0)),"Não")</f>
        <v>Sim</v>
      </c>
      <c r="P7312" s="4">
        <f>IF(COUNTIFS(INDEX(tItens[Edital],1):tItens[[#This Row],[Edital]],tItens[[#This Row],[Edital]],INDEX(tItens[Produto],1):tItens[[#This Row],[Produto]],tItens[[#This Row],[Produto]])=1,1,0)</f>
        <v>0</v>
      </c>
    </row>
    <row r="7313" spans="1:16" x14ac:dyDescent="0.25">
      <c r="A7313" t="s">
        <v>2468</v>
      </c>
      <c r="B7313">
        <v>461</v>
      </c>
      <c r="C7313" t="s">
        <v>9960</v>
      </c>
      <c r="D7313" t="s">
        <v>120</v>
      </c>
      <c r="E7313" s="13">
        <v>1</v>
      </c>
      <c r="F7313" s="12">
        <v>8.9600000000000009</v>
      </c>
      <c r="G7313" t="str">
        <f>IFERROR(INDEX(tEditais[Órgão],MATCH(tItens[[#This Row],[Edital]],tEditais[Edital],0)),"")</f>
        <v>CIMCERO - CONSORCIO INTERMUNICIPAL DA REGIAO CENTRO LESTE DO ESTADO DE RONDONIA</v>
      </c>
      <c r="H7313" t="str">
        <f>IFERROR(INDEX(tEditais[UF],MATCH(tItens[[#This Row],[Edital]],tEditais[Edital],0)),"")</f>
        <v>RO</v>
      </c>
      <c r="I7313" s="11">
        <f>IFERROR(INDEX(tEditais[Encerramento],MATCH(tItens[[#This Row],[Edital]],tEditais[Edital],0)),"")</f>
        <v>46310.729166666664</v>
      </c>
      <c r="J7313" t="str">
        <f>IFERROR(INDEX(tProdutos[Classe],MATCH(tItens[[#This Row],[Produto]],tProdutos[Produto],0)),"produto não cadastrado")</f>
        <v>DISPUTADO</v>
      </c>
      <c r="K7313" s="12">
        <f>tItens[[#This Row],[Qtd]]*tItens[[#This Row],[Vlr unit]]</f>
        <v>8.9600000000000009</v>
      </c>
      <c r="L7313" s="6">
        <f>IFERROR(IF(INDEX(tProdutos[Desconto homologado],MATCH(tItens[[#This Row],[Produto]],tProdutos[Produto],0))="",DescontoPadrao,INDEX(tProdutos[Desconto homologado],MATCH(tItens[[#This Row],[Produto]],tProdutos[Produto],0))),DescontoPadrao)</f>
        <v>0.40909090909090901</v>
      </c>
      <c r="M7313" s="12">
        <f>tItens[[#This Row],[Valor]]*(1-tItens[[#This Row],[Desconto]])</f>
        <v>5.2945454545454567</v>
      </c>
      <c r="N7313" t="str">
        <f>IFERROR(INDEX(tProdutos[Foco],MATCH(tItens[[#This Row],[Produto]],tProdutos[Produto],0)),"Não")</f>
        <v>Não</v>
      </c>
      <c r="O7313" t="str">
        <f>IFERROR(INDEX(tEditais[SRP],MATCH(tItens[[#This Row],[Edital]],tEditais[Edital],0)),"Não")</f>
        <v>Sim</v>
      </c>
      <c r="P7313" s="4">
        <f>IF(COUNTIFS(INDEX(tItens[Edital],1):tItens[[#This Row],[Edital]],tItens[[#This Row],[Edital]],INDEX(tItens[Produto],1):tItens[[#This Row],[Produto]],tItens[[#This Row],[Produto]])=1,1,0)</f>
        <v>0</v>
      </c>
    </row>
    <row r="7314" spans="1:16" x14ac:dyDescent="0.25">
      <c r="A7314" t="s">
        <v>2468</v>
      </c>
      <c r="B7314">
        <v>462</v>
      </c>
      <c r="C7314" t="s">
        <v>9961</v>
      </c>
      <c r="D7314" t="s">
        <v>120</v>
      </c>
      <c r="E7314" s="13">
        <v>1</v>
      </c>
      <c r="F7314" s="12">
        <v>11.08</v>
      </c>
      <c r="G7314" t="str">
        <f>IFERROR(INDEX(tEditais[Órgão],MATCH(tItens[[#This Row],[Edital]],tEditais[Edital],0)),"")</f>
        <v>CIMCERO - CONSORCIO INTERMUNICIPAL DA REGIAO CENTRO LESTE DO ESTADO DE RONDONIA</v>
      </c>
      <c r="H7314" t="str">
        <f>IFERROR(INDEX(tEditais[UF],MATCH(tItens[[#This Row],[Edital]],tEditais[Edital],0)),"")</f>
        <v>RO</v>
      </c>
      <c r="I7314" s="11">
        <f>IFERROR(INDEX(tEditais[Encerramento],MATCH(tItens[[#This Row],[Edital]],tEditais[Edital],0)),"")</f>
        <v>46310.729166666664</v>
      </c>
      <c r="J7314" t="str">
        <f>IFERROR(INDEX(tProdutos[Classe],MATCH(tItens[[#This Row],[Produto]],tProdutos[Produto],0)),"produto não cadastrado")</f>
        <v>DISPUTADO</v>
      </c>
      <c r="K7314" s="12">
        <f>tItens[[#This Row],[Qtd]]*tItens[[#This Row],[Vlr unit]]</f>
        <v>11.08</v>
      </c>
      <c r="L7314" s="6">
        <f>IFERROR(IF(INDEX(tProdutos[Desconto homologado],MATCH(tItens[[#This Row],[Produto]],tProdutos[Produto],0))="",DescontoPadrao,INDEX(tProdutos[Desconto homologado],MATCH(tItens[[#This Row],[Produto]],tProdutos[Produto],0))),DescontoPadrao)</f>
        <v>0.40909090909090901</v>
      </c>
      <c r="M7314" s="12">
        <f>tItens[[#This Row],[Valor]]*(1-tItens[[#This Row],[Desconto]])</f>
        <v>6.5472727272727287</v>
      </c>
      <c r="N7314" t="str">
        <f>IFERROR(INDEX(tProdutos[Foco],MATCH(tItens[[#This Row],[Produto]],tProdutos[Produto],0)),"Não")</f>
        <v>Não</v>
      </c>
      <c r="O7314" t="str">
        <f>IFERROR(INDEX(tEditais[SRP],MATCH(tItens[[#This Row],[Edital]],tEditais[Edital],0)),"Não")</f>
        <v>Sim</v>
      </c>
      <c r="P7314" s="4">
        <f>IF(COUNTIFS(INDEX(tItens[Edital],1):tItens[[#This Row],[Edital]],tItens[[#This Row],[Edital]],INDEX(tItens[Produto],1):tItens[[#This Row],[Produto]],tItens[[#This Row],[Produto]])=1,1,0)</f>
        <v>0</v>
      </c>
    </row>
    <row r="7315" spans="1:16" x14ac:dyDescent="0.25">
      <c r="A7315" t="s">
        <v>2468</v>
      </c>
      <c r="B7315">
        <v>463</v>
      </c>
      <c r="C7315" t="s">
        <v>9962</v>
      </c>
      <c r="D7315" t="s">
        <v>120</v>
      </c>
      <c r="E7315" s="13">
        <v>1</v>
      </c>
      <c r="F7315" s="12">
        <v>4.8600000000000003</v>
      </c>
      <c r="G7315" t="str">
        <f>IFERROR(INDEX(tEditais[Órgão],MATCH(tItens[[#This Row],[Edital]],tEditais[Edital],0)),"")</f>
        <v>CIMCERO - CONSORCIO INTERMUNICIPAL DA REGIAO CENTRO LESTE DO ESTADO DE RONDONIA</v>
      </c>
      <c r="H7315" t="str">
        <f>IFERROR(INDEX(tEditais[UF],MATCH(tItens[[#This Row],[Edital]],tEditais[Edital],0)),"")</f>
        <v>RO</v>
      </c>
      <c r="I7315" s="11">
        <f>IFERROR(INDEX(tEditais[Encerramento],MATCH(tItens[[#This Row],[Edital]],tEditais[Edital],0)),"")</f>
        <v>46310.729166666664</v>
      </c>
      <c r="J7315" t="str">
        <f>IFERROR(INDEX(tProdutos[Classe],MATCH(tItens[[#This Row],[Produto]],tProdutos[Produto],0)),"produto não cadastrado")</f>
        <v>DISPUTADO</v>
      </c>
      <c r="K7315" s="12">
        <f>tItens[[#This Row],[Qtd]]*tItens[[#This Row],[Vlr unit]]</f>
        <v>4.8600000000000003</v>
      </c>
      <c r="L7315" s="6">
        <f>IFERROR(IF(INDEX(tProdutos[Desconto homologado],MATCH(tItens[[#This Row],[Produto]],tProdutos[Produto],0))="",DescontoPadrao,INDEX(tProdutos[Desconto homologado],MATCH(tItens[[#This Row],[Produto]],tProdutos[Produto],0))),DescontoPadrao)</f>
        <v>0.40909090909090901</v>
      </c>
      <c r="M7315" s="12">
        <f>tItens[[#This Row],[Valor]]*(1-tItens[[#This Row],[Desconto]])</f>
        <v>2.8718181818181825</v>
      </c>
      <c r="N7315" t="str">
        <f>IFERROR(INDEX(tProdutos[Foco],MATCH(tItens[[#This Row],[Produto]],tProdutos[Produto],0)),"Não")</f>
        <v>Não</v>
      </c>
      <c r="O7315" t="str">
        <f>IFERROR(INDEX(tEditais[SRP],MATCH(tItens[[#This Row],[Edital]],tEditais[Edital],0)),"Não")</f>
        <v>Sim</v>
      </c>
      <c r="P7315" s="4">
        <f>IF(COUNTIFS(INDEX(tItens[Edital],1):tItens[[#This Row],[Edital]],tItens[[#This Row],[Edital]],INDEX(tItens[Produto],1):tItens[[#This Row],[Produto]],tItens[[#This Row],[Produto]])=1,1,0)</f>
        <v>0</v>
      </c>
    </row>
    <row r="7316" spans="1:16" x14ac:dyDescent="0.25">
      <c r="A7316" t="s">
        <v>2468</v>
      </c>
      <c r="B7316">
        <v>464</v>
      </c>
      <c r="C7316" t="s">
        <v>9963</v>
      </c>
      <c r="D7316" t="s">
        <v>120</v>
      </c>
      <c r="E7316" s="13">
        <v>1</v>
      </c>
      <c r="F7316" s="12">
        <v>10.7</v>
      </c>
      <c r="G7316" t="str">
        <f>IFERROR(INDEX(tEditais[Órgão],MATCH(tItens[[#This Row],[Edital]],tEditais[Edital],0)),"")</f>
        <v>CIMCERO - CONSORCIO INTERMUNICIPAL DA REGIAO CENTRO LESTE DO ESTADO DE RONDONIA</v>
      </c>
      <c r="H7316" t="str">
        <f>IFERROR(INDEX(tEditais[UF],MATCH(tItens[[#This Row],[Edital]],tEditais[Edital],0)),"")</f>
        <v>RO</v>
      </c>
      <c r="I7316" s="11">
        <f>IFERROR(INDEX(tEditais[Encerramento],MATCH(tItens[[#This Row],[Edital]],tEditais[Edital],0)),"")</f>
        <v>46310.729166666664</v>
      </c>
      <c r="J7316" t="str">
        <f>IFERROR(INDEX(tProdutos[Classe],MATCH(tItens[[#This Row],[Produto]],tProdutos[Produto],0)),"produto não cadastrado")</f>
        <v>DISPUTADO</v>
      </c>
      <c r="K7316" s="12">
        <f>tItens[[#This Row],[Qtd]]*tItens[[#This Row],[Vlr unit]]</f>
        <v>10.7</v>
      </c>
      <c r="L7316" s="6">
        <f>IFERROR(IF(INDEX(tProdutos[Desconto homologado],MATCH(tItens[[#This Row],[Produto]],tProdutos[Produto],0))="",DescontoPadrao,INDEX(tProdutos[Desconto homologado],MATCH(tItens[[#This Row],[Produto]],tProdutos[Produto],0))),DescontoPadrao)</f>
        <v>0.40909090909090901</v>
      </c>
      <c r="M7316" s="12">
        <f>tItens[[#This Row],[Valor]]*(1-tItens[[#This Row],[Desconto]])</f>
        <v>6.3227272727272741</v>
      </c>
      <c r="N7316" t="str">
        <f>IFERROR(INDEX(tProdutos[Foco],MATCH(tItens[[#This Row],[Produto]],tProdutos[Produto],0)),"Não")</f>
        <v>Não</v>
      </c>
      <c r="O7316" t="str">
        <f>IFERROR(INDEX(tEditais[SRP],MATCH(tItens[[#This Row],[Edital]],tEditais[Edital],0)),"Não")</f>
        <v>Sim</v>
      </c>
      <c r="P7316" s="4">
        <f>IF(COUNTIFS(INDEX(tItens[Edital],1):tItens[[#This Row],[Edital]],tItens[[#This Row],[Edital]],INDEX(tItens[Produto],1):tItens[[#This Row],[Produto]],tItens[[#This Row],[Produto]])=1,1,0)</f>
        <v>0</v>
      </c>
    </row>
    <row r="7317" spans="1:16" x14ac:dyDescent="0.25">
      <c r="A7317" t="s">
        <v>2468</v>
      </c>
      <c r="B7317">
        <v>465</v>
      </c>
      <c r="C7317" t="s">
        <v>9964</v>
      </c>
      <c r="D7317" t="s">
        <v>120</v>
      </c>
      <c r="E7317" s="13">
        <v>1</v>
      </c>
      <c r="F7317" s="12">
        <v>1.65</v>
      </c>
      <c r="G7317" t="str">
        <f>IFERROR(INDEX(tEditais[Órgão],MATCH(tItens[[#This Row],[Edital]],tEditais[Edital],0)),"")</f>
        <v>CIMCERO - CONSORCIO INTERMUNICIPAL DA REGIAO CENTRO LESTE DO ESTADO DE RONDONIA</v>
      </c>
      <c r="H7317" t="str">
        <f>IFERROR(INDEX(tEditais[UF],MATCH(tItens[[#This Row],[Edital]],tEditais[Edital],0)),"")</f>
        <v>RO</v>
      </c>
      <c r="I7317" s="11">
        <f>IFERROR(INDEX(tEditais[Encerramento],MATCH(tItens[[#This Row],[Edital]],tEditais[Edital],0)),"")</f>
        <v>46310.729166666664</v>
      </c>
      <c r="J7317" t="str">
        <f>IFERROR(INDEX(tProdutos[Classe],MATCH(tItens[[#This Row],[Produto]],tProdutos[Produto],0)),"produto não cadastrado")</f>
        <v>DISPUTADO</v>
      </c>
      <c r="K7317" s="12">
        <f>tItens[[#This Row],[Qtd]]*tItens[[#This Row],[Vlr unit]]</f>
        <v>1.65</v>
      </c>
      <c r="L7317" s="6">
        <f>IFERROR(IF(INDEX(tProdutos[Desconto homologado],MATCH(tItens[[#This Row],[Produto]],tProdutos[Produto],0))="",DescontoPadrao,INDEX(tProdutos[Desconto homologado],MATCH(tItens[[#This Row],[Produto]],tProdutos[Produto],0))),DescontoPadrao)</f>
        <v>0.40909090909090901</v>
      </c>
      <c r="M7317" s="12">
        <f>tItens[[#This Row],[Valor]]*(1-tItens[[#This Row],[Desconto]])</f>
        <v>0.9750000000000002</v>
      </c>
      <c r="N7317" t="str">
        <f>IFERROR(INDEX(tProdutos[Foco],MATCH(tItens[[#This Row],[Produto]],tProdutos[Produto],0)),"Não")</f>
        <v>Não</v>
      </c>
      <c r="O7317" t="str">
        <f>IFERROR(INDEX(tEditais[SRP],MATCH(tItens[[#This Row],[Edital]],tEditais[Edital],0)),"Não")</f>
        <v>Sim</v>
      </c>
      <c r="P7317" s="4">
        <f>IF(COUNTIFS(INDEX(tItens[Edital],1):tItens[[#This Row],[Edital]],tItens[[#This Row],[Edital]],INDEX(tItens[Produto],1):tItens[[#This Row],[Produto]],tItens[[#This Row],[Produto]])=1,1,0)</f>
        <v>0</v>
      </c>
    </row>
    <row r="7318" spans="1:16" x14ac:dyDescent="0.25">
      <c r="A7318" t="s">
        <v>2468</v>
      </c>
      <c r="B7318">
        <v>466</v>
      </c>
      <c r="C7318" t="s">
        <v>9965</v>
      </c>
      <c r="D7318" t="s">
        <v>120</v>
      </c>
      <c r="E7318" s="13">
        <v>1</v>
      </c>
      <c r="F7318" s="12">
        <v>2.56</v>
      </c>
      <c r="G7318" t="str">
        <f>IFERROR(INDEX(tEditais[Órgão],MATCH(tItens[[#This Row],[Edital]],tEditais[Edital],0)),"")</f>
        <v>CIMCERO - CONSORCIO INTERMUNICIPAL DA REGIAO CENTRO LESTE DO ESTADO DE RONDONIA</v>
      </c>
      <c r="H7318" t="str">
        <f>IFERROR(INDEX(tEditais[UF],MATCH(tItens[[#This Row],[Edital]],tEditais[Edital],0)),"")</f>
        <v>RO</v>
      </c>
      <c r="I7318" s="11">
        <f>IFERROR(INDEX(tEditais[Encerramento],MATCH(tItens[[#This Row],[Edital]],tEditais[Edital],0)),"")</f>
        <v>46310.729166666664</v>
      </c>
      <c r="J7318" t="str">
        <f>IFERROR(INDEX(tProdutos[Classe],MATCH(tItens[[#This Row],[Produto]],tProdutos[Produto],0)),"produto não cadastrado")</f>
        <v>DISPUTADO</v>
      </c>
      <c r="K7318" s="12">
        <f>tItens[[#This Row],[Qtd]]*tItens[[#This Row],[Vlr unit]]</f>
        <v>2.56</v>
      </c>
      <c r="L7318" s="6">
        <f>IFERROR(IF(INDEX(tProdutos[Desconto homologado],MATCH(tItens[[#This Row],[Produto]],tProdutos[Produto],0))="",DescontoPadrao,INDEX(tProdutos[Desconto homologado],MATCH(tItens[[#This Row],[Produto]],tProdutos[Produto],0))),DescontoPadrao)</f>
        <v>0.40909090909090901</v>
      </c>
      <c r="M7318" s="12">
        <f>tItens[[#This Row],[Valor]]*(1-tItens[[#This Row],[Desconto]])</f>
        <v>1.5127272727272731</v>
      </c>
      <c r="N7318" t="str">
        <f>IFERROR(INDEX(tProdutos[Foco],MATCH(tItens[[#This Row],[Produto]],tProdutos[Produto],0)),"Não")</f>
        <v>Não</v>
      </c>
      <c r="O7318" t="str">
        <f>IFERROR(INDEX(tEditais[SRP],MATCH(tItens[[#This Row],[Edital]],tEditais[Edital],0)),"Não")</f>
        <v>Sim</v>
      </c>
      <c r="P7318" s="4">
        <f>IF(COUNTIFS(INDEX(tItens[Edital],1):tItens[[#This Row],[Edital]],tItens[[#This Row],[Edital]],INDEX(tItens[Produto],1):tItens[[#This Row],[Produto]],tItens[[#This Row],[Produto]])=1,1,0)</f>
        <v>0</v>
      </c>
    </row>
    <row r="7319" spans="1:16" x14ac:dyDescent="0.25">
      <c r="A7319" t="s">
        <v>2468</v>
      </c>
      <c r="B7319">
        <v>467</v>
      </c>
      <c r="C7319" t="s">
        <v>9966</v>
      </c>
      <c r="D7319" t="s">
        <v>120</v>
      </c>
      <c r="E7319" s="13">
        <v>1</v>
      </c>
      <c r="F7319" s="12">
        <v>1.1100000000000001</v>
      </c>
      <c r="G7319" t="str">
        <f>IFERROR(INDEX(tEditais[Órgão],MATCH(tItens[[#This Row],[Edital]],tEditais[Edital],0)),"")</f>
        <v>CIMCERO - CONSORCIO INTERMUNICIPAL DA REGIAO CENTRO LESTE DO ESTADO DE RONDONIA</v>
      </c>
      <c r="H7319" t="str">
        <f>IFERROR(INDEX(tEditais[UF],MATCH(tItens[[#This Row],[Edital]],tEditais[Edital],0)),"")</f>
        <v>RO</v>
      </c>
      <c r="I7319" s="11">
        <f>IFERROR(INDEX(tEditais[Encerramento],MATCH(tItens[[#This Row],[Edital]],tEditais[Edital],0)),"")</f>
        <v>46310.729166666664</v>
      </c>
      <c r="J7319" t="str">
        <f>IFERROR(INDEX(tProdutos[Classe],MATCH(tItens[[#This Row],[Produto]],tProdutos[Produto],0)),"produto não cadastrado")</f>
        <v>DISPUTADO</v>
      </c>
      <c r="K7319" s="12">
        <f>tItens[[#This Row],[Qtd]]*tItens[[#This Row],[Vlr unit]]</f>
        <v>1.1100000000000001</v>
      </c>
      <c r="L7319" s="6">
        <f>IFERROR(IF(INDEX(tProdutos[Desconto homologado],MATCH(tItens[[#This Row],[Produto]],tProdutos[Produto],0))="",DescontoPadrao,INDEX(tProdutos[Desconto homologado],MATCH(tItens[[#This Row],[Produto]],tProdutos[Produto],0))),DescontoPadrao)</f>
        <v>0.40909090909090901</v>
      </c>
      <c r="M7319" s="12">
        <f>tItens[[#This Row],[Valor]]*(1-tItens[[#This Row],[Desconto]])</f>
        <v>0.65590909090909111</v>
      </c>
      <c r="N7319" t="str">
        <f>IFERROR(INDEX(tProdutos[Foco],MATCH(tItens[[#This Row],[Produto]],tProdutos[Produto],0)),"Não")</f>
        <v>Não</v>
      </c>
      <c r="O7319" t="str">
        <f>IFERROR(INDEX(tEditais[SRP],MATCH(tItens[[#This Row],[Edital]],tEditais[Edital],0)),"Não")</f>
        <v>Sim</v>
      </c>
      <c r="P7319" s="4">
        <f>IF(COUNTIFS(INDEX(tItens[Edital],1):tItens[[#This Row],[Edital]],tItens[[#This Row],[Edital]],INDEX(tItens[Produto],1):tItens[[#This Row],[Produto]],tItens[[#This Row],[Produto]])=1,1,0)</f>
        <v>0</v>
      </c>
    </row>
    <row r="7320" spans="1:16" x14ac:dyDescent="0.25">
      <c r="A7320" t="s">
        <v>2468</v>
      </c>
      <c r="B7320">
        <v>504</v>
      </c>
      <c r="C7320" t="s">
        <v>9967</v>
      </c>
      <c r="D7320" t="s">
        <v>195</v>
      </c>
      <c r="E7320" s="13">
        <v>1</v>
      </c>
      <c r="F7320" s="12">
        <v>0.84</v>
      </c>
      <c r="G7320" t="str">
        <f>IFERROR(INDEX(tEditais[Órgão],MATCH(tItens[[#This Row],[Edital]],tEditais[Edital],0)),"")</f>
        <v>CIMCERO - CONSORCIO INTERMUNICIPAL DA REGIAO CENTRO LESTE DO ESTADO DE RONDONIA</v>
      </c>
      <c r="H7320" t="str">
        <f>IFERROR(INDEX(tEditais[UF],MATCH(tItens[[#This Row],[Edital]],tEditais[Edital],0)),"")</f>
        <v>RO</v>
      </c>
      <c r="I7320" s="11">
        <f>IFERROR(INDEX(tEditais[Encerramento],MATCH(tItens[[#This Row],[Edital]],tEditais[Edital],0)),"")</f>
        <v>46310.729166666664</v>
      </c>
      <c r="J7320" t="str">
        <f>IFERROR(INDEX(tProdutos[Classe],MATCH(tItens[[#This Row],[Produto]],tProdutos[Produto],0)),"produto não cadastrado")</f>
        <v>FORA</v>
      </c>
      <c r="K7320" s="12">
        <f>tItens[[#This Row],[Qtd]]*tItens[[#This Row],[Vlr unit]]</f>
        <v>0.84</v>
      </c>
      <c r="L7320" s="6">
        <f>IFERROR(IF(INDEX(tProdutos[Desconto homologado],MATCH(tItens[[#This Row],[Produto]],tProdutos[Produto],0))="",DescontoPadrao,INDEX(tProdutos[Desconto homologado],MATCH(tItens[[#This Row],[Produto]],tProdutos[Produto],0))),DescontoPadrao)</f>
        <v>0.27813657840171302</v>
      </c>
      <c r="M7320" s="12">
        <f>tItens[[#This Row],[Valor]]*(1-tItens[[#This Row],[Desconto]])</f>
        <v>0.60636527414256103</v>
      </c>
      <c r="N7320" t="str">
        <f>IFERROR(INDEX(tProdutos[Foco],MATCH(tItens[[#This Row],[Produto]],tProdutos[Produto],0)),"Não")</f>
        <v>Não</v>
      </c>
      <c r="O7320" t="str">
        <f>IFERROR(INDEX(tEditais[SRP],MATCH(tItens[[#This Row],[Edital]],tEditais[Edital],0)),"Não")</f>
        <v>Sim</v>
      </c>
      <c r="P7320" s="4">
        <f>IF(COUNTIFS(INDEX(tItens[Edital],1):tItens[[#This Row],[Edital]],tItens[[#This Row],[Edital]],INDEX(tItens[Produto],1):tItens[[#This Row],[Produto]],tItens[[#This Row],[Produto]])=1,1,0)</f>
        <v>1</v>
      </c>
    </row>
    <row r="7321" spans="1:16" x14ac:dyDescent="0.25">
      <c r="A7321" t="s">
        <v>2468</v>
      </c>
      <c r="B7321">
        <v>506</v>
      </c>
      <c r="C7321" t="s">
        <v>9968</v>
      </c>
      <c r="D7321" t="s">
        <v>114</v>
      </c>
      <c r="E7321" s="13">
        <v>1</v>
      </c>
      <c r="F7321" s="12">
        <v>2.96</v>
      </c>
      <c r="G7321" t="str">
        <f>IFERROR(INDEX(tEditais[Órgão],MATCH(tItens[[#This Row],[Edital]],tEditais[Edital],0)),"")</f>
        <v>CIMCERO - CONSORCIO INTERMUNICIPAL DA REGIAO CENTRO LESTE DO ESTADO DE RONDONIA</v>
      </c>
      <c r="H7321" t="str">
        <f>IFERROR(INDEX(tEditais[UF],MATCH(tItens[[#This Row],[Edital]],tEditais[Edital],0)),"")</f>
        <v>RO</v>
      </c>
      <c r="I7321" s="11">
        <f>IFERROR(INDEX(tEditais[Encerramento],MATCH(tItens[[#This Row],[Edital]],tEditais[Edital],0)),"")</f>
        <v>46310.729166666664</v>
      </c>
      <c r="J7321" t="str">
        <f>IFERROR(INDEX(tProdutos[Classe],MATCH(tItens[[#This Row],[Produto]],tProdutos[Produto],0)),"produto não cadastrado")</f>
        <v>DISPUTADO</v>
      </c>
      <c r="K7321" s="12">
        <f>tItens[[#This Row],[Qtd]]*tItens[[#This Row],[Vlr unit]]</f>
        <v>2.96</v>
      </c>
      <c r="L7321" s="6">
        <f>IFERROR(IF(INDEX(tProdutos[Desconto homologado],MATCH(tItens[[#This Row],[Produto]],tProdutos[Produto],0))="",DescontoPadrao,INDEX(tProdutos[Desconto homologado],MATCH(tItens[[#This Row],[Produto]],tProdutos[Produto],0))),DescontoPadrao)</f>
        <v>0.24332656063896899</v>
      </c>
      <c r="M7321" s="12">
        <f>tItens[[#This Row],[Valor]]*(1-tItens[[#This Row],[Desconto]])</f>
        <v>2.239753380508652</v>
      </c>
      <c r="N7321" t="str">
        <f>IFERROR(INDEX(tProdutos[Foco],MATCH(tItens[[#This Row],[Produto]],tProdutos[Produto],0)),"Não")</f>
        <v>Não</v>
      </c>
      <c r="O7321" t="str">
        <f>IFERROR(INDEX(tEditais[SRP],MATCH(tItens[[#This Row],[Edital]],tEditais[Edital],0)),"Não")</f>
        <v>Sim</v>
      </c>
      <c r="P7321" s="4">
        <f>IF(COUNTIFS(INDEX(tItens[Edital],1):tItens[[#This Row],[Edital]],tItens[[#This Row],[Edital]],INDEX(tItens[Produto],1):tItens[[#This Row],[Produto]],tItens[[#This Row],[Produto]])=1,1,0)</f>
        <v>1</v>
      </c>
    </row>
    <row r="7322" spans="1:16" x14ac:dyDescent="0.25">
      <c r="A7322" t="s">
        <v>2468</v>
      </c>
      <c r="B7322">
        <v>511</v>
      </c>
      <c r="C7322" t="s">
        <v>9969</v>
      </c>
      <c r="D7322" t="s">
        <v>69</v>
      </c>
      <c r="E7322" s="13">
        <v>1</v>
      </c>
      <c r="F7322" s="12">
        <v>0.99</v>
      </c>
      <c r="G7322" t="str">
        <f>IFERROR(INDEX(tEditais[Órgão],MATCH(tItens[[#This Row],[Edital]],tEditais[Edital],0)),"")</f>
        <v>CIMCERO - CONSORCIO INTERMUNICIPAL DA REGIAO CENTRO LESTE DO ESTADO DE RONDONIA</v>
      </c>
      <c r="H7322" t="str">
        <f>IFERROR(INDEX(tEditais[UF],MATCH(tItens[[#This Row],[Edital]],tEditais[Edital],0)),"")</f>
        <v>RO</v>
      </c>
      <c r="I7322" s="11">
        <f>IFERROR(INDEX(tEditais[Encerramento],MATCH(tItens[[#This Row],[Edital]],tEditais[Edital],0)),"")</f>
        <v>46310.729166666664</v>
      </c>
      <c r="J7322" t="str">
        <f>IFERROR(INDEX(tProdutos[Classe],MATCH(tItens[[#This Row],[Produto]],tProdutos[Produto],0)),"produto não cadastrado")</f>
        <v>NÚCLEO</v>
      </c>
      <c r="K7322" s="12">
        <f>tItens[[#This Row],[Qtd]]*tItens[[#This Row],[Vlr unit]]</f>
        <v>0.99</v>
      </c>
      <c r="L7322" s="6">
        <f>IFERROR(IF(INDEX(tProdutos[Desconto homologado],MATCH(tItens[[#This Row],[Produto]],tProdutos[Produto],0))="",DescontoPadrao,INDEX(tProdutos[Desconto homologado],MATCH(tItens[[#This Row],[Produto]],tProdutos[Produto],0))),DescontoPadrao)</f>
        <v>0.38829259638568803</v>
      </c>
      <c r="M7322" s="12">
        <f>tItens[[#This Row],[Valor]]*(1-tItens[[#This Row],[Desconto]])</f>
        <v>0.60559032957816883</v>
      </c>
      <c r="N7322" t="str">
        <f>IFERROR(INDEX(tProdutos[Foco],MATCH(tItens[[#This Row],[Produto]],tProdutos[Produto],0)),"Não")</f>
        <v>Não</v>
      </c>
      <c r="O7322" t="str">
        <f>IFERROR(INDEX(tEditais[SRP],MATCH(tItens[[#This Row],[Edital]],tEditais[Edital],0)),"Não")</f>
        <v>Sim</v>
      </c>
      <c r="P7322" s="4">
        <f>IF(COUNTIFS(INDEX(tItens[Edital],1):tItens[[#This Row],[Edital]],tItens[[#This Row],[Edital]],INDEX(tItens[Produto],1):tItens[[#This Row],[Produto]],tItens[[#This Row],[Produto]])=1,1,0)</f>
        <v>0</v>
      </c>
    </row>
    <row r="7323" spans="1:16" x14ac:dyDescent="0.25">
      <c r="A7323" t="s">
        <v>2468</v>
      </c>
      <c r="B7323">
        <v>519</v>
      </c>
      <c r="C7323" t="s">
        <v>9970</v>
      </c>
      <c r="D7323" t="s">
        <v>229</v>
      </c>
      <c r="E7323" s="13">
        <v>1</v>
      </c>
      <c r="F7323" s="12">
        <v>21.65</v>
      </c>
      <c r="G7323" t="str">
        <f>IFERROR(INDEX(tEditais[Órgão],MATCH(tItens[[#This Row],[Edital]],tEditais[Edital],0)),"")</f>
        <v>CIMCERO - CONSORCIO INTERMUNICIPAL DA REGIAO CENTRO LESTE DO ESTADO DE RONDONIA</v>
      </c>
      <c r="H7323" t="str">
        <f>IFERROR(INDEX(tEditais[UF],MATCH(tItens[[#This Row],[Edital]],tEditais[Edital],0)),"")</f>
        <v>RO</v>
      </c>
      <c r="I7323" s="11">
        <f>IFERROR(INDEX(tEditais[Encerramento],MATCH(tItens[[#This Row],[Edital]],tEditais[Edital],0)),"")</f>
        <v>46310.729166666664</v>
      </c>
      <c r="J7323" t="str">
        <f>IFERROR(INDEX(tProdutos[Classe],MATCH(tItens[[#This Row],[Produto]],tProdutos[Produto],0)),"produto não cadastrado")</f>
        <v>FORA</v>
      </c>
      <c r="K7323" s="12">
        <f>tItens[[#This Row],[Qtd]]*tItens[[#This Row],[Vlr unit]]</f>
        <v>21.65</v>
      </c>
      <c r="L7323" s="6">
        <f>IFERROR(IF(INDEX(tProdutos[Desconto homologado],MATCH(tItens[[#This Row],[Produto]],tProdutos[Produto],0))="",DescontoPadrao,INDEX(tProdutos[Desconto homologado],MATCH(tItens[[#This Row],[Produto]],tProdutos[Produto],0))),DescontoPadrao)</f>
        <v>0.33093491191658198</v>
      </c>
      <c r="M7323" s="12">
        <f>tItens[[#This Row],[Valor]]*(1-tItens[[#This Row],[Desconto]])</f>
        <v>14.485259157005999</v>
      </c>
      <c r="N7323" t="str">
        <f>IFERROR(INDEX(tProdutos[Foco],MATCH(tItens[[#This Row],[Produto]],tProdutos[Produto],0)),"Não")</f>
        <v>Não</v>
      </c>
      <c r="O7323" t="str">
        <f>IFERROR(INDEX(tEditais[SRP],MATCH(tItens[[#This Row],[Edital]],tEditais[Edital],0)),"Não")</f>
        <v>Sim</v>
      </c>
      <c r="P7323" s="4">
        <f>IF(COUNTIFS(INDEX(tItens[Edital],1):tItens[[#This Row],[Edital]],tItens[[#This Row],[Edital]],INDEX(tItens[Produto],1):tItens[[#This Row],[Produto]],tItens[[#This Row],[Produto]])=1,1,0)</f>
        <v>1</v>
      </c>
    </row>
    <row r="7324" spans="1:16" x14ac:dyDescent="0.25">
      <c r="A7324" t="s">
        <v>2468</v>
      </c>
      <c r="B7324">
        <v>522</v>
      </c>
      <c r="C7324" t="s">
        <v>9971</v>
      </c>
      <c r="D7324" t="s">
        <v>106</v>
      </c>
      <c r="E7324" s="13">
        <v>1</v>
      </c>
      <c r="F7324" s="12">
        <v>17.73</v>
      </c>
      <c r="G7324" t="str">
        <f>IFERROR(INDEX(tEditais[Órgão],MATCH(tItens[[#This Row],[Edital]],tEditais[Edital],0)),"")</f>
        <v>CIMCERO - CONSORCIO INTERMUNICIPAL DA REGIAO CENTRO LESTE DO ESTADO DE RONDONIA</v>
      </c>
      <c r="H7324" t="str">
        <f>IFERROR(INDEX(tEditais[UF],MATCH(tItens[[#This Row],[Edital]],tEditais[Edital],0)),"")</f>
        <v>RO</v>
      </c>
      <c r="I7324" s="11">
        <f>IFERROR(INDEX(tEditais[Encerramento],MATCH(tItens[[#This Row],[Edital]],tEditais[Edital],0)),"")</f>
        <v>46310.729166666664</v>
      </c>
      <c r="J7324" t="str">
        <f>IFERROR(INDEX(tProdutos[Classe],MATCH(tItens[[#This Row],[Produto]],tProdutos[Produto],0)),"produto não cadastrado")</f>
        <v>DISPUTADO</v>
      </c>
      <c r="K7324" s="12">
        <f>tItens[[#This Row],[Qtd]]*tItens[[#This Row],[Vlr unit]]</f>
        <v>17.73</v>
      </c>
      <c r="L7324" s="6">
        <f>IFERROR(IF(INDEX(tProdutos[Desconto homologado],MATCH(tItens[[#This Row],[Produto]],tProdutos[Produto],0))="",DescontoPadrao,INDEX(tProdutos[Desconto homologado],MATCH(tItens[[#This Row],[Produto]],tProdutos[Produto],0))),DescontoPadrao)</f>
        <v>0.24377518966589001</v>
      </c>
      <c r="M7324" s="12">
        <f>tItens[[#This Row],[Valor]]*(1-tItens[[#This Row],[Desconto]])</f>
        <v>13.407865887223771</v>
      </c>
      <c r="N7324" t="str">
        <f>IFERROR(INDEX(tProdutos[Foco],MATCH(tItens[[#This Row],[Produto]],tProdutos[Produto],0)),"Não")</f>
        <v>Não</v>
      </c>
      <c r="O7324" t="str">
        <f>IFERROR(INDEX(tEditais[SRP],MATCH(tItens[[#This Row],[Edital]],tEditais[Edital],0)),"Não")</f>
        <v>Sim</v>
      </c>
      <c r="P7324" s="4">
        <f>IF(COUNTIFS(INDEX(tItens[Edital],1):tItens[[#This Row],[Edital]],tItens[[#This Row],[Edital]],INDEX(tItens[Produto],1):tItens[[#This Row],[Produto]],tItens[[#This Row],[Produto]])=1,1,0)</f>
        <v>0</v>
      </c>
    </row>
    <row r="7325" spans="1:16" x14ac:dyDescent="0.25">
      <c r="A7325" t="s">
        <v>2468</v>
      </c>
      <c r="B7325">
        <v>523</v>
      </c>
      <c r="C7325" t="s">
        <v>9972</v>
      </c>
      <c r="D7325" t="s">
        <v>106</v>
      </c>
      <c r="E7325" s="13">
        <v>1</v>
      </c>
      <c r="F7325" s="12">
        <v>16.29</v>
      </c>
      <c r="G7325" t="str">
        <f>IFERROR(INDEX(tEditais[Órgão],MATCH(tItens[[#This Row],[Edital]],tEditais[Edital],0)),"")</f>
        <v>CIMCERO - CONSORCIO INTERMUNICIPAL DA REGIAO CENTRO LESTE DO ESTADO DE RONDONIA</v>
      </c>
      <c r="H7325" t="str">
        <f>IFERROR(INDEX(tEditais[UF],MATCH(tItens[[#This Row],[Edital]],tEditais[Edital],0)),"")</f>
        <v>RO</v>
      </c>
      <c r="I7325" s="11">
        <f>IFERROR(INDEX(tEditais[Encerramento],MATCH(tItens[[#This Row],[Edital]],tEditais[Edital],0)),"")</f>
        <v>46310.729166666664</v>
      </c>
      <c r="J7325" t="str">
        <f>IFERROR(INDEX(tProdutos[Classe],MATCH(tItens[[#This Row],[Produto]],tProdutos[Produto],0)),"produto não cadastrado")</f>
        <v>DISPUTADO</v>
      </c>
      <c r="K7325" s="12">
        <f>tItens[[#This Row],[Qtd]]*tItens[[#This Row],[Vlr unit]]</f>
        <v>16.29</v>
      </c>
      <c r="L7325" s="6">
        <f>IFERROR(IF(INDEX(tProdutos[Desconto homologado],MATCH(tItens[[#This Row],[Produto]],tProdutos[Produto],0))="",DescontoPadrao,INDEX(tProdutos[Desconto homologado],MATCH(tItens[[#This Row],[Produto]],tProdutos[Produto],0))),DescontoPadrao)</f>
        <v>0.24377518966589001</v>
      </c>
      <c r="M7325" s="12">
        <f>tItens[[#This Row],[Valor]]*(1-tItens[[#This Row],[Desconto]])</f>
        <v>12.318902160342653</v>
      </c>
      <c r="N7325" t="str">
        <f>IFERROR(INDEX(tProdutos[Foco],MATCH(tItens[[#This Row],[Produto]],tProdutos[Produto],0)),"Não")</f>
        <v>Não</v>
      </c>
      <c r="O7325" t="str">
        <f>IFERROR(INDEX(tEditais[SRP],MATCH(tItens[[#This Row],[Edital]],tEditais[Edital],0)),"Não")</f>
        <v>Sim</v>
      </c>
      <c r="P7325" s="4">
        <f>IF(COUNTIFS(INDEX(tItens[Edital],1):tItens[[#This Row],[Edital]],tItens[[#This Row],[Edital]],INDEX(tItens[Produto],1):tItens[[#This Row],[Produto]],tItens[[#This Row],[Produto]])=1,1,0)</f>
        <v>0</v>
      </c>
    </row>
    <row r="7326" spans="1:16" x14ac:dyDescent="0.25">
      <c r="A7326" t="s">
        <v>2468</v>
      </c>
      <c r="B7326">
        <v>524</v>
      </c>
      <c r="C7326" t="s">
        <v>9973</v>
      </c>
      <c r="D7326" t="s">
        <v>106</v>
      </c>
      <c r="E7326" s="13">
        <v>1</v>
      </c>
      <c r="F7326" s="12">
        <v>16.420000000000002</v>
      </c>
      <c r="G7326" t="str">
        <f>IFERROR(INDEX(tEditais[Órgão],MATCH(tItens[[#This Row],[Edital]],tEditais[Edital],0)),"")</f>
        <v>CIMCERO - CONSORCIO INTERMUNICIPAL DA REGIAO CENTRO LESTE DO ESTADO DE RONDONIA</v>
      </c>
      <c r="H7326" t="str">
        <f>IFERROR(INDEX(tEditais[UF],MATCH(tItens[[#This Row],[Edital]],tEditais[Edital],0)),"")</f>
        <v>RO</v>
      </c>
      <c r="I7326" s="11">
        <f>IFERROR(INDEX(tEditais[Encerramento],MATCH(tItens[[#This Row],[Edital]],tEditais[Edital],0)),"")</f>
        <v>46310.729166666664</v>
      </c>
      <c r="J7326" t="str">
        <f>IFERROR(INDEX(tProdutos[Classe],MATCH(tItens[[#This Row],[Produto]],tProdutos[Produto],0)),"produto não cadastrado")</f>
        <v>DISPUTADO</v>
      </c>
      <c r="K7326" s="12">
        <f>tItens[[#This Row],[Qtd]]*tItens[[#This Row],[Vlr unit]]</f>
        <v>16.420000000000002</v>
      </c>
      <c r="L7326" s="6">
        <f>IFERROR(IF(INDEX(tProdutos[Desconto homologado],MATCH(tItens[[#This Row],[Produto]],tProdutos[Produto],0))="",DescontoPadrao,INDEX(tProdutos[Desconto homologado],MATCH(tItens[[#This Row],[Produto]],tProdutos[Produto],0))),DescontoPadrao)</f>
        <v>0.24377518966589001</v>
      </c>
      <c r="M7326" s="12">
        <f>tItens[[#This Row],[Valor]]*(1-tItens[[#This Row],[Desconto]])</f>
        <v>12.417211385686088</v>
      </c>
      <c r="N7326" t="str">
        <f>IFERROR(INDEX(tProdutos[Foco],MATCH(tItens[[#This Row],[Produto]],tProdutos[Produto],0)),"Não")</f>
        <v>Não</v>
      </c>
      <c r="O7326" t="str">
        <f>IFERROR(INDEX(tEditais[SRP],MATCH(tItens[[#This Row],[Edital]],tEditais[Edital],0)),"Não")</f>
        <v>Sim</v>
      </c>
      <c r="P7326" s="4">
        <f>IF(COUNTIFS(INDEX(tItens[Edital],1):tItens[[#This Row],[Edital]],tItens[[#This Row],[Edital]],INDEX(tItens[Produto],1):tItens[[#This Row],[Produto]],tItens[[#This Row],[Produto]])=1,1,0)</f>
        <v>0</v>
      </c>
    </row>
    <row r="7327" spans="1:16" x14ac:dyDescent="0.25">
      <c r="A7327" t="s">
        <v>2468</v>
      </c>
      <c r="B7327">
        <v>525</v>
      </c>
      <c r="C7327" t="s">
        <v>9974</v>
      </c>
      <c r="D7327" t="s">
        <v>106</v>
      </c>
      <c r="E7327" s="13">
        <v>1</v>
      </c>
      <c r="F7327" s="12">
        <v>12.2</v>
      </c>
      <c r="G7327" t="str">
        <f>IFERROR(INDEX(tEditais[Órgão],MATCH(tItens[[#This Row],[Edital]],tEditais[Edital],0)),"")</f>
        <v>CIMCERO - CONSORCIO INTERMUNICIPAL DA REGIAO CENTRO LESTE DO ESTADO DE RONDONIA</v>
      </c>
      <c r="H7327" t="str">
        <f>IFERROR(INDEX(tEditais[UF],MATCH(tItens[[#This Row],[Edital]],tEditais[Edital],0)),"")</f>
        <v>RO</v>
      </c>
      <c r="I7327" s="11">
        <f>IFERROR(INDEX(tEditais[Encerramento],MATCH(tItens[[#This Row],[Edital]],tEditais[Edital],0)),"")</f>
        <v>46310.729166666664</v>
      </c>
      <c r="J7327" t="str">
        <f>IFERROR(INDEX(tProdutos[Classe],MATCH(tItens[[#This Row],[Produto]],tProdutos[Produto],0)),"produto não cadastrado")</f>
        <v>DISPUTADO</v>
      </c>
      <c r="K7327" s="12">
        <f>tItens[[#This Row],[Qtd]]*tItens[[#This Row],[Vlr unit]]</f>
        <v>12.2</v>
      </c>
      <c r="L7327" s="6">
        <f>IFERROR(IF(INDEX(tProdutos[Desconto homologado],MATCH(tItens[[#This Row],[Produto]],tProdutos[Produto],0))="",DescontoPadrao,INDEX(tProdutos[Desconto homologado],MATCH(tItens[[#This Row],[Produto]],tProdutos[Produto],0))),DescontoPadrao)</f>
        <v>0.24377518966589001</v>
      </c>
      <c r="M7327" s="12">
        <f>tItens[[#This Row],[Valor]]*(1-tItens[[#This Row],[Desconto]])</f>
        <v>9.2259426860761415</v>
      </c>
      <c r="N7327" t="str">
        <f>IFERROR(INDEX(tProdutos[Foco],MATCH(tItens[[#This Row],[Produto]],tProdutos[Produto],0)),"Não")</f>
        <v>Não</v>
      </c>
      <c r="O7327" t="str">
        <f>IFERROR(INDEX(tEditais[SRP],MATCH(tItens[[#This Row],[Edital]],tEditais[Edital],0)),"Não")</f>
        <v>Sim</v>
      </c>
      <c r="P7327" s="4">
        <f>IF(COUNTIFS(INDEX(tItens[Edital],1):tItens[[#This Row],[Edital]],tItens[[#This Row],[Edital]],INDEX(tItens[Produto],1):tItens[[#This Row],[Produto]],tItens[[#This Row],[Produto]])=1,1,0)</f>
        <v>0</v>
      </c>
    </row>
    <row r="7328" spans="1:16" x14ac:dyDescent="0.25">
      <c r="A7328" t="s">
        <v>2468</v>
      </c>
      <c r="B7328">
        <v>526</v>
      </c>
      <c r="C7328" t="s">
        <v>9975</v>
      </c>
      <c r="D7328" t="s">
        <v>106</v>
      </c>
      <c r="E7328" s="13">
        <v>1</v>
      </c>
      <c r="F7328" s="12">
        <v>25.06</v>
      </c>
      <c r="G7328" t="str">
        <f>IFERROR(INDEX(tEditais[Órgão],MATCH(tItens[[#This Row],[Edital]],tEditais[Edital],0)),"")</f>
        <v>CIMCERO - CONSORCIO INTERMUNICIPAL DA REGIAO CENTRO LESTE DO ESTADO DE RONDONIA</v>
      </c>
      <c r="H7328" t="str">
        <f>IFERROR(INDEX(tEditais[UF],MATCH(tItens[[#This Row],[Edital]],tEditais[Edital],0)),"")</f>
        <v>RO</v>
      </c>
      <c r="I7328" s="11">
        <f>IFERROR(INDEX(tEditais[Encerramento],MATCH(tItens[[#This Row],[Edital]],tEditais[Edital],0)),"")</f>
        <v>46310.729166666664</v>
      </c>
      <c r="J7328" t="str">
        <f>IFERROR(INDEX(tProdutos[Classe],MATCH(tItens[[#This Row],[Produto]],tProdutos[Produto],0)),"produto não cadastrado")</f>
        <v>DISPUTADO</v>
      </c>
      <c r="K7328" s="12">
        <f>tItens[[#This Row],[Qtd]]*tItens[[#This Row],[Vlr unit]]</f>
        <v>25.06</v>
      </c>
      <c r="L7328" s="6">
        <f>IFERROR(IF(INDEX(tProdutos[Desconto homologado],MATCH(tItens[[#This Row],[Produto]],tProdutos[Produto],0))="",DescontoPadrao,INDEX(tProdutos[Desconto homologado],MATCH(tItens[[#This Row],[Produto]],tProdutos[Produto],0))),DescontoPadrao)</f>
        <v>0.24377518966589001</v>
      </c>
      <c r="M7328" s="12">
        <f>tItens[[#This Row],[Valor]]*(1-tItens[[#This Row],[Desconto]])</f>
        <v>18.950993746972795</v>
      </c>
      <c r="N7328" t="str">
        <f>IFERROR(INDEX(tProdutos[Foco],MATCH(tItens[[#This Row],[Produto]],tProdutos[Produto],0)),"Não")</f>
        <v>Não</v>
      </c>
      <c r="O7328" t="str">
        <f>IFERROR(INDEX(tEditais[SRP],MATCH(tItens[[#This Row],[Edital]],tEditais[Edital],0)),"Não")</f>
        <v>Sim</v>
      </c>
      <c r="P7328" s="4">
        <f>IF(COUNTIFS(INDEX(tItens[Edital],1):tItens[[#This Row],[Edital]],tItens[[#This Row],[Edital]],INDEX(tItens[Produto],1):tItens[[#This Row],[Produto]],tItens[[#This Row],[Produto]])=1,1,0)</f>
        <v>0</v>
      </c>
    </row>
    <row r="7329" spans="1:16" x14ac:dyDescent="0.25">
      <c r="A7329" t="s">
        <v>2468</v>
      </c>
      <c r="B7329">
        <v>527</v>
      </c>
      <c r="C7329" t="s">
        <v>9976</v>
      </c>
      <c r="D7329" t="s">
        <v>106</v>
      </c>
      <c r="E7329" s="13">
        <v>1</v>
      </c>
      <c r="F7329" s="12">
        <v>17.28</v>
      </c>
      <c r="G7329" t="str">
        <f>IFERROR(INDEX(tEditais[Órgão],MATCH(tItens[[#This Row],[Edital]],tEditais[Edital],0)),"")</f>
        <v>CIMCERO - CONSORCIO INTERMUNICIPAL DA REGIAO CENTRO LESTE DO ESTADO DE RONDONIA</v>
      </c>
      <c r="H7329" t="str">
        <f>IFERROR(INDEX(tEditais[UF],MATCH(tItens[[#This Row],[Edital]],tEditais[Edital],0)),"")</f>
        <v>RO</v>
      </c>
      <c r="I7329" s="11">
        <f>IFERROR(INDEX(tEditais[Encerramento],MATCH(tItens[[#This Row],[Edital]],tEditais[Edital],0)),"")</f>
        <v>46310.729166666664</v>
      </c>
      <c r="J7329" t="str">
        <f>IFERROR(INDEX(tProdutos[Classe],MATCH(tItens[[#This Row],[Produto]],tProdutos[Produto],0)),"produto não cadastrado")</f>
        <v>DISPUTADO</v>
      </c>
      <c r="K7329" s="12">
        <f>tItens[[#This Row],[Qtd]]*tItens[[#This Row],[Vlr unit]]</f>
        <v>17.28</v>
      </c>
      <c r="L7329" s="6">
        <f>IFERROR(IF(INDEX(tProdutos[Desconto homologado],MATCH(tItens[[#This Row],[Produto]],tProdutos[Produto],0))="",DescontoPadrao,INDEX(tProdutos[Desconto homologado],MATCH(tItens[[#This Row],[Produto]],tProdutos[Produto],0))),DescontoPadrao)</f>
        <v>0.24377518966589001</v>
      </c>
      <c r="M7329" s="12">
        <f>tItens[[#This Row],[Valor]]*(1-tItens[[#This Row],[Desconto]])</f>
        <v>13.067564722573422</v>
      </c>
      <c r="N7329" t="str">
        <f>IFERROR(INDEX(tProdutos[Foco],MATCH(tItens[[#This Row],[Produto]],tProdutos[Produto],0)),"Não")</f>
        <v>Não</v>
      </c>
      <c r="O7329" t="str">
        <f>IFERROR(INDEX(tEditais[SRP],MATCH(tItens[[#This Row],[Edital]],tEditais[Edital],0)),"Não")</f>
        <v>Sim</v>
      </c>
      <c r="P7329" s="4">
        <f>IF(COUNTIFS(INDEX(tItens[Edital],1):tItens[[#This Row],[Edital]],tItens[[#This Row],[Edital]],INDEX(tItens[Produto],1):tItens[[#This Row],[Produto]],tItens[[#This Row],[Produto]])=1,1,0)</f>
        <v>0</v>
      </c>
    </row>
    <row r="7330" spans="1:16" x14ac:dyDescent="0.25">
      <c r="A7330" t="s">
        <v>2468</v>
      </c>
      <c r="B7330">
        <v>529</v>
      </c>
      <c r="C7330" t="s">
        <v>9977</v>
      </c>
      <c r="D7330" t="s">
        <v>69</v>
      </c>
      <c r="E7330" s="13">
        <v>1</v>
      </c>
      <c r="F7330" s="12">
        <v>4.01</v>
      </c>
      <c r="G7330" t="str">
        <f>IFERROR(INDEX(tEditais[Órgão],MATCH(tItens[[#This Row],[Edital]],tEditais[Edital],0)),"")</f>
        <v>CIMCERO - CONSORCIO INTERMUNICIPAL DA REGIAO CENTRO LESTE DO ESTADO DE RONDONIA</v>
      </c>
      <c r="H7330" t="str">
        <f>IFERROR(INDEX(tEditais[UF],MATCH(tItens[[#This Row],[Edital]],tEditais[Edital],0)),"")</f>
        <v>RO</v>
      </c>
      <c r="I7330" s="11">
        <f>IFERROR(INDEX(tEditais[Encerramento],MATCH(tItens[[#This Row],[Edital]],tEditais[Edital],0)),"")</f>
        <v>46310.729166666664</v>
      </c>
      <c r="J7330" t="str">
        <f>IFERROR(INDEX(tProdutos[Classe],MATCH(tItens[[#This Row],[Produto]],tProdutos[Produto],0)),"produto não cadastrado")</f>
        <v>NÚCLEO</v>
      </c>
      <c r="K7330" s="12">
        <f>tItens[[#This Row],[Qtd]]*tItens[[#This Row],[Vlr unit]]</f>
        <v>4.01</v>
      </c>
      <c r="L7330" s="6">
        <f>IFERROR(IF(INDEX(tProdutos[Desconto homologado],MATCH(tItens[[#This Row],[Produto]],tProdutos[Produto],0))="",DescontoPadrao,INDEX(tProdutos[Desconto homologado],MATCH(tItens[[#This Row],[Produto]],tProdutos[Produto],0))),DescontoPadrao)</f>
        <v>0.38829259638568803</v>
      </c>
      <c r="M7330" s="12">
        <f>tItens[[#This Row],[Valor]]*(1-tItens[[#This Row],[Desconto]])</f>
        <v>2.452946688493391</v>
      </c>
      <c r="N7330" t="str">
        <f>IFERROR(INDEX(tProdutos[Foco],MATCH(tItens[[#This Row],[Produto]],tProdutos[Produto],0)),"Não")</f>
        <v>Não</v>
      </c>
      <c r="O7330" t="str">
        <f>IFERROR(INDEX(tEditais[SRP],MATCH(tItens[[#This Row],[Edital]],tEditais[Edital],0)),"Não")</f>
        <v>Sim</v>
      </c>
      <c r="P7330" s="4">
        <f>IF(COUNTIFS(INDEX(tItens[Edital],1):tItens[[#This Row],[Edital]],tItens[[#This Row],[Edital]],INDEX(tItens[Produto],1):tItens[[#This Row],[Produto]],tItens[[#This Row],[Produto]])=1,1,0)</f>
        <v>0</v>
      </c>
    </row>
    <row r="7331" spans="1:16" x14ac:dyDescent="0.25">
      <c r="A7331" t="s">
        <v>2468</v>
      </c>
      <c r="B7331">
        <v>530</v>
      </c>
      <c r="C7331" t="s">
        <v>9978</v>
      </c>
      <c r="D7331" t="s">
        <v>69</v>
      </c>
      <c r="E7331" s="13">
        <v>1</v>
      </c>
      <c r="F7331" s="12">
        <v>1.45</v>
      </c>
      <c r="G7331" t="str">
        <f>IFERROR(INDEX(tEditais[Órgão],MATCH(tItens[[#This Row],[Edital]],tEditais[Edital],0)),"")</f>
        <v>CIMCERO - CONSORCIO INTERMUNICIPAL DA REGIAO CENTRO LESTE DO ESTADO DE RONDONIA</v>
      </c>
      <c r="H7331" t="str">
        <f>IFERROR(INDEX(tEditais[UF],MATCH(tItens[[#This Row],[Edital]],tEditais[Edital],0)),"")</f>
        <v>RO</v>
      </c>
      <c r="I7331" s="11">
        <f>IFERROR(INDEX(tEditais[Encerramento],MATCH(tItens[[#This Row],[Edital]],tEditais[Edital],0)),"")</f>
        <v>46310.729166666664</v>
      </c>
      <c r="J7331" t="str">
        <f>IFERROR(INDEX(tProdutos[Classe],MATCH(tItens[[#This Row],[Produto]],tProdutos[Produto],0)),"produto não cadastrado")</f>
        <v>NÚCLEO</v>
      </c>
      <c r="K7331" s="12">
        <f>tItens[[#This Row],[Qtd]]*tItens[[#This Row],[Vlr unit]]</f>
        <v>1.45</v>
      </c>
      <c r="L7331" s="6">
        <f>IFERROR(IF(INDEX(tProdutos[Desconto homologado],MATCH(tItens[[#This Row],[Produto]],tProdutos[Produto],0))="",DescontoPadrao,INDEX(tProdutos[Desconto homologado],MATCH(tItens[[#This Row],[Produto]],tProdutos[Produto],0))),DescontoPadrao)</f>
        <v>0.38829259638568803</v>
      </c>
      <c r="M7331" s="12">
        <f>tItens[[#This Row],[Valor]]*(1-tItens[[#This Row],[Desconto]])</f>
        <v>0.88697573524075235</v>
      </c>
      <c r="N7331" t="str">
        <f>IFERROR(INDEX(tProdutos[Foco],MATCH(tItens[[#This Row],[Produto]],tProdutos[Produto],0)),"Não")</f>
        <v>Não</v>
      </c>
      <c r="O7331" t="str">
        <f>IFERROR(INDEX(tEditais[SRP],MATCH(tItens[[#This Row],[Edital]],tEditais[Edital],0)),"Não")</f>
        <v>Sim</v>
      </c>
      <c r="P7331" s="4">
        <f>IF(COUNTIFS(INDEX(tItens[Edital],1):tItens[[#This Row],[Edital]],tItens[[#This Row],[Edital]],INDEX(tItens[Produto],1):tItens[[#This Row],[Produto]],tItens[[#This Row],[Produto]])=1,1,0)</f>
        <v>0</v>
      </c>
    </row>
    <row r="7332" spans="1:16" x14ac:dyDescent="0.25">
      <c r="A7332" t="s">
        <v>2468</v>
      </c>
      <c r="B7332">
        <v>531</v>
      </c>
      <c r="C7332" t="s">
        <v>9979</v>
      </c>
      <c r="D7332" t="s">
        <v>69</v>
      </c>
      <c r="E7332" s="13">
        <v>1</v>
      </c>
      <c r="F7332" s="12">
        <v>6.46</v>
      </c>
      <c r="G7332" t="str">
        <f>IFERROR(INDEX(tEditais[Órgão],MATCH(tItens[[#This Row],[Edital]],tEditais[Edital],0)),"")</f>
        <v>CIMCERO - CONSORCIO INTERMUNICIPAL DA REGIAO CENTRO LESTE DO ESTADO DE RONDONIA</v>
      </c>
      <c r="H7332" t="str">
        <f>IFERROR(INDEX(tEditais[UF],MATCH(tItens[[#This Row],[Edital]],tEditais[Edital],0)),"")</f>
        <v>RO</v>
      </c>
      <c r="I7332" s="11">
        <f>IFERROR(INDEX(tEditais[Encerramento],MATCH(tItens[[#This Row],[Edital]],tEditais[Edital],0)),"")</f>
        <v>46310.729166666664</v>
      </c>
      <c r="J7332" t="str">
        <f>IFERROR(INDEX(tProdutos[Classe],MATCH(tItens[[#This Row],[Produto]],tProdutos[Produto],0)),"produto não cadastrado")</f>
        <v>NÚCLEO</v>
      </c>
      <c r="K7332" s="12">
        <f>tItens[[#This Row],[Qtd]]*tItens[[#This Row],[Vlr unit]]</f>
        <v>6.46</v>
      </c>
      <c r="L7332" s="6">
        <f>IFERROR(IF(INDEX(tProdutos[Desconto homologado],MATCH(tItens[[#This Row],[Produto]],tProdutos[Produto],0))="",DescontoPadrao,INDEX(tProdutos[Desconto homologado],MATCH(tItens[[#This Row],[Produto]],tProdutos[Produto],0))),DescontoPadrao)</f>
        <v>0.38829259638568803</v>
      </c>
      <c r="M7332" s="12">
        <f>tItens[[#This Row],[Valor]]*(1-tItens[[#This Row],[Desconto]])</f>
        <v>3.9516298273484551</v>
      </c>
      <c r="N7332" t="str">
        <f>IFERROR(INDEX(tProdutos[Foco],MATCH(tItens[[#This Row],[Produto]],tProdutos[Produto],0)),"Não")</f>
        <v>Não</v>
      </c>
      <c r="O7332" t="str">
        <f>IFERROR(INDEX(tEditais[SRP],MATCH(tItens[[#This Row],[Edital]],tEditais[Edital],0)),"Não")</f>
        <v>Sim</v>
      </c>
      <c r="P7332" s="4">
        <f>IF(COUNTIFS(INDEX(tItens[Edital],1):tItens[[#This Row],[Edital]],tItens[[#This Row],[Edital]],INDEX(tItens[Produto],1):tItens[[#This Row],[Produto]],tItens[[#This Row],[Produto]])=1,1,0)</f>
        <v>0</v>
      </c>
    </row>
    <row r="7333" spans="1:16" x14ac:dyDescent="0.25">
      <c r="A7333" t="s">
        <v>2468</v>
      </c>
      <c r="B7333">
        <v>533</v>
      </c>
      <c r="C7333" t="s">
        <v>9841</v>
      </c>
      <c r="D7333" t="s">
        <v>120</v>
      </c>
      <c r="E7333" s="13">
        <v>1</v>
      </c>
      <c r="F7333" s="12">
        <v>5.65</v>
      </c>
      <c r="G7333" t="str">
        <f>IFERROR(INDEX(tEditais[Órgão],MATCH(tItens[[#This Row],[Edital]],tEditais[Edital],0)),"")</f>
        <v>CIMCERO - CONSORCIO INTERMUNICIPAL DA REGIAO CENTRO LESTE DO ESTADO DE RONDONIA</v>
      </c>
      <c r="H7333" t="str">
        <f>IFERROR(INDEX(tEditais[UF],MATCH(tItens[[#This Row],[Edital]],tEditais[Edital],0)),"")</f>
        <v>RO</v>
      </c>
      <c r="I7333" s="11">
        <f>IFERROR(INDEX(tEditais[Encerramento],MATCH(tItens[[#This Row],[Edital]],tEditais[Edital],0)),"")</f>
        <v>46310.729166666664</v>
      </c>
      <c r="J7333" t="str">
        <f>IFERROR(INDEX(tProdutos[Classe],MATCH(tItens[[#This Row],[Produto]],tProdutos[Produto],0)),"produto não cadastrado")</f>
        <v>DISPUTADO</v>
      </c>
      <c r="K7333" s="12">
        <f>tItens[[#This Row],[Qtd]]*tItens[[#This Row],[Vlr unit]]</f>
        <v>5.65</v>
      </c>
      <c r="L7333" s="6">
        <f>IFERROR(IF(INDEX(tProdutos[Desconto homologado],MATCH(tItens[[#This Row],[Produto]],tProdutos[Produto],0))="",DescontoPadrao,INDEX(tProdutos[Desconto homologado],MATCH(tItens[[#This Row],[Produto]],tProdutos[Produto],0))),DescontoPadrao)</f>
        <v>0.40909090909090901</v>
      </c>
      <c r="M7333" s="12">
        <f>tItens[[#This Row],[Valor]]*(1-tItens[[#This Row],[Desconto]])</f>
        <v>3.3386363636363647</v>
      </c>
      <c r="N7333" t="str">
        <f>IFERROR(INDEX(tProdutos[Foco],MATCH(tItens[[#This Row],[Produto]],tProdutos[Produto],0)),"Não")</f>
        <v>Não</v>
      </c>
      <c r="O7333" t="str">
        <f>IFERROR(INDEX(tEditais[SRP],MATCH(tItens[[#This Row],[Edital]],tEditais[Edital],0)),"Não")</f>
        <v>Sim</v>
      </c>
      <c r="P7333" s="4">
        <f>IF(COUNTIFS(INDEX(tItens[Edital],1):tItens[[#This Row],[Edital]],tItens[[#This Row],[Edital]],INDEX(tItens[Produto],1):tItens[[#This Row],[Produto]],tItens[[#This Row],[Produto]])=1,1,0)</f>
        <v>0</v>
      </c>
    </row>
    <row r="7334" spans="1:16" x14ac:dyDescent="0.25">
      <c r="A7334" t="s">
        <v>2468</v>
      </c>
      <c r="B7334">
        <v>534</v>
      </c>
      <c r="C7334" t="s">
        <v>9928</v>
      </c>
      <c r="D7334" t="s">
        <v>69</v>
      </c>
      <c r="E7334" s="13">
        <v>1</v>
      </c>
      <c r="F7334" s="12">
        <v>0.92</v>
      </c>
      <c r="G7334" t="str">
        <f>IFERROR(INDEX(tEditais[Órgão],MATCH(tItens[[#This Row],[Edital]],tEditais[Edital],0)),"")</f>
        <v>CIMCERO - CONSORCIO INTERMUNICIPAL DA REGIAO CENTRO LESTE DO ESTADO DE RONDONIA</v>
      </c>
      <c r="H7334" t="str">
        <f>IFERROR(INDEX(tEditais[UF],MATCH(tItens[[#This Row],[Edital]],tEditais[Edital],0)),"")</f>
        <v>RO</v>
      </c>
      <c r="I7334" s="11">
        <f>IFERROR(INDEX(tEditais[Encerramento],MATCH(tItens[[#This Row],[Edital]],tEditais[Edital],0)),"")</f>
        <v>46310.729166666664</v>
      </c>
      <c r="J7334" t="str">
        <f>IFERROR(INDEX(tProdutos[Classe],MATCH(tItens[[#This Row],[Produto]],tProdutos[Produto],0)),"produto não cadastrado")</f>
        <v>NÚCLEO</v>
      </c>
      <c r="K7334" s="12">
        <f>tItens[[#This Row],[Qtd]]*tItens[[#This Row],[Vlr unit]]</f>
        <v>0.92</v>
      </c>
      <c r="L7334" s="6">
        <f>IFERROR(IF(INDEX(tProdutos[Desconto homologado],MATCH(tItens[[#This Row],[Produto]],tProdutos[Produto],0))="",DescontoPadrao,INDEX(tProdutos[Desconto homologado],MATCH(tItens[[#This Row],[Produto]],tProdutos[Produto],0))),DescontoPadrao)</f>
        <v>0.38829259638568803</v>
      </c>
      <c r="M7334" s="12">
        <f>tItens[[#This Row],[Valor]]*(1-tItens[[#This Row],[Desconto]])</f>
        <v>0.56277081132516704</v>
      </c>
      <c r="N7334" t="str">
        <f>IFERROR(INDEX(tProdutos[Foco],MATCH(tItens[[#This Row],[Produto]],tProdutos[Produto],0)),"Não")</f>
        <v>Não</v>
      </c>
      <c r="O7334" t="str">
        <f>IFERROR(INDEX(tEditais[SRP],MATCH(tItens[[#This Row],[Edital]],tEditais[Edital],0)),"Não")</f>
        <v>Sim</v>
      </c>
      <c r="P7334" s="4">
        <f>IF(COUNTIFS(INDEX(tItens[Edital],1):tItens[[#This Row],[Edital]],tItens[[#This Row],[Edital]],INDEX(tItens[Produto],1):tItens[[#This Row],[Produto]],tItens[[#This Row],[Produto]])=1,1,0)</f>
        <v>0</v>
      </c>
    </row>
    <row r="7335" spans="1:16" x14ac:dyDescent="0.25">
      <c r="A7335" t="s">
        <v>2468</v>
      </c>
      <c r="B7335">
        <v>536</v>
      </c>
      <c r="C7335" t="s">
        <v>9980</v>
      </c>
      <c r="D7335" t="s">
        <v>245</v>
      </c>
      <c r="E7335" s="13">
        <v>1</v>
      </c>
      <c r="F7335" s="12">
        <v>46.01</v>
      </c>
      <c r="G7335" t="str">
        <f>IFERROR(INDEX(tEditais[Órgão],MATCH(tItens[[#This Row],[Edital]],tEditais[Edital],0)),"")</f>
        <v>CIMCERO - CONSORCIO INTERMUNICIPAL DA REGIAO CENTRO LESTE DO ESTADO DE RONDONIA</v>
      </c>
      <c r="H7335" t="str">
        <f>IFERROR(INDEX(tEditais[UF],MATCH(tItens[[#This Row],[Edital]],tEditais[Edital],0)),"")</f>
        <v>RO</v>
      </c>
      <c r="I7335" s="11">
        <f>IFERROR(INDEX(tEditais[Encerramento],MATCH(tItens[[#This Row],[Edital]],tEditais[Edital],0)),"")</f>
        <v>46310.729166666664</v>
      </c>
      <c r="J7335" t="str">
        <f>IFERROR(INDEX(tProdutos[Classe],MATCH(tItens[[#This Row],[Produto]],tProdutos[Produto],0)),"produto não cadastrado")</f>
        <v>FORA</v>
      </c>
      <c r="K7335" s="12">
        <f>tItens[[#This Row],[Qtd]]*tItens[[#This Row],[Vlr unit]]</f>
        <v>46.01</v>
      </c>
      <c r="L7335" s="6">
        <f>IFERROR(IF(INDEX(tProdutos[Desconto homologado],MATCH(tItens[[#This Row],[Produto]],tProdutos[Produto],0))="",DescontoPadrao,INDEX(tProdutos[Desconto homologado],MATCH(tItens[[#This Row],[Produto]],tProdutos[Produto],0))),DescontoPadrao)</f>
        <v>0.34516963542284401</v>
      </c>
      <c r="M7335" s="12">
        <f>tItens[[#This Row],[Valor]]*(1-tItens[[#This Row],[Desconto]])</f>
        <v>30.128745074194949</v>
      </c>
      <c r="N7335" t="str">
        <f>IFERROR(INDEX(tProdutos[Foco],MATCH(tItens[[#This Row],[Produto]],tProdutos[Produto],0)),"Não")</f>
        <v>Não</v>
      </c>
      <c r="O7335" t="str">
        <f>IFERROR(INDEX(tEditais[SRP],MATCH(tItens[[#This Row],[Edital]],tEditais[Edital],0)),"Não")</f>
        <v>Sim</v>
      </c>
      <c r="P7335" s="4">
        <f>IF(COUNTIFS(INDEX(tItens[Edital],1):tItens[[#This Row],[Edital]],tItens[[#This Row],[Edital]],INDEX(tItens[Produto],1):tItens[[#This Row],[Produto]],tItens[[#This Row],[Produto]])=1,1,0)</f>
        <v>0</v>
      </c>
    </row>
    <row r="7336" spans="1:16" x14ac:dyDescent="0.25">
      <c r="A7336" t="s">
        <v>2468</v>
      </c>
      <c r="B7336">
        <v>538</v>
      </c>
      <c r="C7336" t="s">
        <v>9981</v>
      </c>
      <c r="D7336" t="s">
        <v>110</v>
      </c>
      <c r="E7336" s="13">
        <v>1</v>
      </c>
      <c r="F7336" s="12">
        <v>4.2300000000000004</v>
      </c>
      <c r="G7336" t="str">
        <f>IFERROR(INDEX(tEditais[Órgão],MATCH(tItens[[#This Row],[Edital]],tEditais[Edital],0)),"")</f>
        <v>CIMCERO - CONSORCIO INTERMUNICIPAL DA REGIAO CENTRO LESTE DO ESTADO DE RONDONIA</v>
      </c>
      <c r="H7336" t="str">
        <f>IFERROR(INDEX(tEditais[UF],MATCH(tItens[[#This Row],[Edital]],tEditais[Edital],0)),"")</f>
        <v>RO</v>
      </c>
      <c r="I7336" s="11">
        <f>IFERROR(INDEX(tEditais[Encerramento],MATCH(tItens[[#This Row],[Edital]],tEditais[Edital],0)),"")</f>
        <v>46310.729166666664</v>
      </c>
      <c r="J7336" t="str">
        <f>IFERROR(INDEX(tProdutos[Classe],MATCH(tItens[[#This Row],[Produto]],tProdutos[Produto],0)),"produto não cadastrado")</f>
        <v>NÚCLEO</v>
      </c>
      <c r="K7336" s="12">
        <f>tItens[[#This Row],[Qtd]]*tItens[[#This Row],[Vlr unit]]</f>
        <v>4.2300000000000004</v>
      </c>
      <c r="L7336" s="6">
        <f>IFERROR(IF(INDEX(tProdutos[Desconto homologado],MATCH(tItens[[#This Row],[Produto]],tProdutos[Produto],0))="",DescontoPadrao,INDEX(tProdutos[Desconto homologado],MATCH(tItens[[#This Row],[Produto]],tProdutos[Produto],0))),DescontoPadrao)</f>
        <v>0.30410958904109597</v>
      </c>
      <c r="M7336" s="12">
        <f>tItens[[#This Row],[Valor]]*(1-tItens[[#This Row],[Desconto]])</f>
        <v>2.9436164383561643</v>
      </c>
      <c r="N7336" t="str">
        <f>IFERROR(INDEX(tProdutos[Foco],MATCH(tItens[[#This Row],[Produto]],tProdutos[Produto],0)),"Não")</f>
        <v>Não</v>
      </c>
      <c r="O7336" t="str">
        <f>IFERROR(INDEX(tEditais[SRP],MATCH(tItens[[#This Row],[Edital]],tEditais[Edital],0)),"Não")</f>
        <v>Sim</v>
      </c>
      <c r="P7336" s="4">
        <f>IF(COUNTIFS(INDEX(tItens[Edital],1):tItens[[#This Row],[Edital]],tItens[[#This Row],[Edital]],INDEX(tItens[Produto],1):tItens[[#This Row],[Produto]],tItens[[#This Row],[Produto]])=1,1,0)</f>
        <v>0</v>
      </c>
    </row>
    <row r="7337" spans="1:16" x14ac:dyDescent="0.25">
      <c r="A7337" t="s">
        <v>2468</v>
      </c>
      <c r="B7337">
        <v>539</v>
      </c>
      <c r="C7337" t="s">
        <v>9982</v>
      </c>
      <c r="D7337" t="s">
        <v>164</v>
      </c>
      <c r="E7337" s="13">
        <v>1</v>
      </c>
      <c r="F7337" s="12">
        <v>9.4600000000000009</v>
      </c>
      <c r="G7337" t="str">
        <f>IFERROR(INDEX(tEditais[Órgão],MATCH(tItens[[#This Row],[Edital]],tEditais[Edital],0)),"")</f>
        <v>CIMCERO - CONSORCIO INTERMUNICIPAL DA REGIAO CENTRO LESTE DO ESTADO DE RONDONIA</v>
      </c>
      <c r="H7337" t="str">
        <f>IFERROR(INDEX(tEditais[UF],MATCH(tItens[[#This Row],[Edital]],tEditais[Edital],0)),"")</f>
        <v>RO</v>
      </c>
      <c r="I7337" s="11">
        <f>IFERROR(INDEX(tEditais[Encerramento],MATCH(tItens[[#This Row],[Edital]],tEditais[Edital],0)),"")</f>
        <v>46310.729166666664</v>
      </c>
      <c r="J7337" t="str">
        <f>IFERROR(INDEX(tProdutos[Classe],MATCH(tItens[[#This Row],[Produto]],tProdutos[Produto],0)),"produto não cadastrado")</f>
        <v>DISPUTADO</v>
      </c>
      <c r="K7337" s="12">
        <f>tItens[[#This Row],[Qtd]]*tItens[[#This Row],[Vlr unit]]</f>
        <v>9.4600000000000009</v>
      </c>
      <c r="L7337" s="6">
        <f>IFERROR(IF(INDEX(tProdutos[Desconto homologado],MATCH(tItens[[#This Row],[Produto]],tProdutos[Produto],0))="",DescontoPadrao,INDEX(tProdutos[Desconto homologado],MATCH(tItens[[#This Row],[Produto]],tProdutos[Produto],0))),DescontoPadrao)</f>
        <v>0.445300462249615</v>
      </c>
      <c r="M7337" s="12">
        <f>tItens[[#This Row],[Valor]]*(1-tItens[[#This Row],[Desconto]])</f>
        <v>5.2474576271186422</v>
      </c>
      <c r="N7337" t="str">
        <f>IFERROR(INDEX(tProdutos[Foco],MATCH(tItens[[#This Row],[Produto]],tProdutos[Produto],0)),"Não")</f>
        <v>Não</v>
      </c>
      <c r="O7337" t="str">
        <f>IFERROR(INDEX(tEditais[SRP],MATCH(tItens[[#This Row],[Edital]],tEditais[Edital],0)),"Não")</f>
        <v>Sim</v>
      </c>
      <c r="P7337" s="4">
        <f>IF(COUNTIFS(INDEX(tItens[Edital],1):tItens[[#This Row],[Edital]],tItens[[#This Row],[Edital]],INDEX(tItens[Produto],1):tItens[[#This Row],[Produto]],tItens[[#This Row],[Produto]])=1,1,0)</f>
        <v>0</v>
      </c>
    </row>
    <row r="7338" spans="1:16" x14ac:dyDescent="0.25">
      <c r="A7338" t="s">
        <v>2468</v>
      </c>
      <c r="B7338">
        <v>540</v>
      </c>
      <c r="C7338" t="s">
        <v>9983</v>
      </c>
      <c r="D7338" t="s">
        <v>110</v>
      </c>
      <c r="E7338" s="13">
        <v>1</v>
      </c>
      <c r="F7338" s="12">
        <v>1.2</v>
      </c>
      <c r="G7338" t="str">
        <f>IFERROR(INDEX(tEditais[Órgão],MATCH(tItens[[#This Row],[Edital]],tEditais[Edital],0)),"")</f>
        <v>CIMCERO - CONSORCIO INTERMUNICIPAL DA REGIAO CENTRO LESTE DO ESTADO DE RONDONIA</v>
      </c>
      <c r="H7338" t="str">
        <f>IFERROR(INDEX(tEditais[UF],MATCH(tItens[[#This Row],[Edital]],tEditais[Edital],0)),"")</f>
        <v>RO</v>
      </c>
      <c r="I7338" s="11">
        <f>IFERROR(INDEX(tEditais[Encerramento],MATCH(tItens[[#This Row],[Edital]],tEditais[Edital],0)),"")</f>
        <v>46310.729166666664</v>
      </c>
      <c r="J7338" t="str">
        <f>IFERROR(INDEX(tProdutos[Classe],MATCH(tItens[[#This Row],[Produto]],tProdutos[Produto],0)),"produto não cadastrado")</f>
        <v>NÚCLEO</v>
      </c>
      <c r="K7338" s="12">
        <f>tItens[[#This Row],[Qtd]]*tItens[[#This Row],[Vlr unit]]</f>
        <v>1.2</v>
      </c>
      <c r="L7338" s="6">
        <f>IFERROR(IF(INDEX(tProdutos[Desconto homologado],MATCH(tItens[[#This Row],[Produto]],tProdutos[Produto],0))="",DescontoPadrao,INDEX(tProdutos[Desconto homologado],MATCH(tItens[[#This Row],[Produto]],tProdutos[Produto],0))),DescontoPadrao)</f>
        <v>0.30410958904109597</v>
      </c>
      <c r="M7338" s="12">
        <f>tItens[[#This Row],[Valor]]*(1-tItens[[#This Row],[Desconto]])</f>
        <v>0.83506849315068477</v>
      </c>
      <c r="N7338" t="str">
        <f>IFERROR(INDEX(tProdutos[Foco],MATCH(tItens[[#This Row],[Produto]],tProdutos[Produto],0)),"Não")</f>
        <v>Não</v>
      </c>
      <c r="O7338" t="str">
        <f>IFERROR(INDEX(tEditais[SRP],MATCH(tItens[[#This Row],[Edital]],tEditais[Edital],0)),"Não")</f>
        <v>Sim</v>
      </c>
      <c r="P7338" s="4">
        <f>IF(COUNTIFS(INDEX(tItens[Edital],1):tItens[[#This Row],[Edital]],tItens[[#This Row],[Edital]],INDEX(tItens[Produto],1):tItens[[#This Row],[Produto]],tItens[[#This Row],[Produto]])=1,1,0)</f>
        <v>0</v>
      </c>
    </row>
    <row r="7339" spans="1:16" x14ac:dyDescent="0.25">
      <c r="A7339" t="s">
        <v>2468</v>
      </c>
      <c r="B7339">
        <v>541</v>
      </c>
      <c r="C7339" t="s">
        <v>9984</v>
      </c>
      <c r="D7339" t="s">
        <v>110</v>
      </c>
      <c r="E7339" s="13">
        <v>1</v>
      </c>
      <c r="F7339" s="12">
        <v>2.37</v>
      </c>
      <c r="G7339" t="str">
        <f>IFERROR(INDEX(tEditais[Órgão],MATCH(tItens[[#This Row],[Edital]],tEditais[Edital],0)),"")</f>
        <v>CIMCERO - CONSORCIO INTERMUNICIPAL DA REGIAO CENTRO LESTE DO ESTADO DE RONDONIA</v>
      </c>
      <c r="H7339" t="str">
        <f>IFERROR(INDEX(tEditais[UF],MATCH(tItens[[#This Row],[Edital]],tEditais[Edital],0)),"")</f>
        <v>RO</v>
      </c>
      <c r="I7339" s="11">
        <f>IFERROR(INDEX(tEditais[Encerramento],MATCH(tItens[[#This Row],[Edital]],tEditais[Edital],0)),"")</f>
        <v>46310.729166666664</v>
      </c>
      <c r="J7339" t="str">
        <f>IFERROR(INDEX(tProdutos[Classe],MATCH(tItens[[#This Row],[Produto]],tProdutos[Produto],0)),"produto não cadastrado")</f>
        <v>NÚCLEO</v>
      </c>
      <c r="K7339" s="12">
        <f>tItens[[#This Row],[Qtd]]*tItens[[#This Row],[Vlr unit]]</f>
        <v>2.37</v>
      </c>
      <c r="L7339" s="6">
        <f>IFERROR(IF(INDEX(tProdutos[Desconto homologado],MATCH(tItens[[#This Row],[Produto]],tProdutos[Produto],0))="",DescontoPadrao,INDEX(tProdutos[Desconto homologado],MATCH(tItens[[#This Row],[Produto]],tProdutos[Produto],0))),DescontoPadrao)</f>
        <v>0.30410958904109597</v>
      </c>
      <c r="M7339" s="12">
        <f>tItens[[#This Row],[Valor]]*(1-tItens[[#This Row],[Desconto]])</f>
        <v>1.6492602739726026</v>
      </c>
      <c r="N7339" t="str">
        <f>IFERROR(INDEX(tProdutos[Foco],MATCH(tItens[[#This Row],[Produto]],tProdutos[Produto],0)),"Não")</f>
        <v>Não</v>
      </c>
      <c r="O7339" t="str">
        <f>IFERROR(INDEX(tEditais[SRP],MATCH(tItens[[#This Row],[Edital]],tEditais[Edital],0)),"Não")</f>
        <v>Sim</v>
      </c>
      <c r="P7339" s="4">
        <f>IF(COUNTIFS(INDEX(tItens[Edital],1):tItens[[#This Row],[Edital]],tItens[[#This Row],[Edital]],INDEX(tItens[Produto],1):tItens[[#This Row],[Produto]],tItens[[#This Row],[Produto]])=1,1,0)</f>
        <v>0</v>
      </c>
    </row>
    <row r="7340" spans="1:16" x14ac:dyDescent="0.25">
      <c r="A7340" t="s">
        <v>2468</v>
      </c>
      <c r="B7340">
        <v>544</v>
      </c>
      <c r="C7340" t="s">
        <v>9985</v>
      </c>
      <c r="D7340" t="s">
        <v>120</v>
      </c>
      <c r="E7340" s="13">
        <v>1</v>
      </c>
      <c r="F7340" s="12">
        <v>12.28</v>
      </c>
      <c r="G7340" t="str">
        <f>IFERROR(INDEX(tEditais[Órgão],MATCH(tItens[[#This Row],[Edital]],tEditais[Edital],0)),"")</f>
        <v>CIMCERO - CONSORCIO INTERMUNICIPAL DA REGIAO CENTRO LESTE DO ESTADO DE RONDONIA</v>
      </c>
      <c r="H7340" t="str">
        <f>IFERROR(INDEX(tEditais[UF],MATCH(tItens[[#This Row],[Edital]],tEditais[Edital],0)),"")</f>
        <v>RO</v>
      </c>
      <c r="I7340" s="11">
        <f>IFERROR(INDEX(tEditais[Encerramento],MATCH(tItens[[#This Row],[Edital]],tEditais[Edital],0)),"")</f>
        <v>46310.729166666664</v>
      </c>
      <c r="J7340" t="str">
        <f>IFERROR(INDEX(tProdutos[Classe],MATCH(tItens[[#This Row],[Produto]],tProdutos[Produto],0)),"produto não cadastrado")</f>
        <v>DISPUTADO</v>
      </c>
      <c r="K7340" s="12">
        <f>tItens[[#This Row],[Qtd]]*tItens[[#This Row],[Vlr unit]]</f>
        <v>12.28</v>
      </c>
      <c r="L7340" s="6">
        <f>IFERROR(IF(INDEX(tProdutos[Desconto homologado],MATCH(tItens[[#This Row],[Produto]],tProdutos[Produto],0))="",DescontoPadrao,INDEX(tProdutos[Desconto homologado],MATCH(tItens[[#This Row],[Produto]],tProdutos[Produto],0))),DescontoPadrao)</f>
        <v>0.40909090909090901</v>
      </c>
      <c r="M7340" s="12">
        <f>tItens[[#This Row],[Valor]]*(1-tItens[[#This Row],[Desconto]])</f>
        <v>7.2563636363636377</v>
      </c>
      <c r="N7340" t="str">
        <f>IFERROR(INDEX(tProdutos[Foco],MATCH(tItens[[#This Row],[Produto]],tProdutos[Produto],0)),"Não")</f>
        <v>Não</v>
      </c>
      <c r="O7340" t="str">
        <f>IFERROR(INDEX(tEditais[SRP],MATCH(tItens[[#This Row],[Edital]],tEditais[Edital],0)),"Não")</f>
        <v>Sim</v>
      </c>
      <c r="P7340" s="4">
        <f>IF(COUNTIFS(INDEX(tItens[Edital],1):tItens[[#This Row],[Edital]],tItens[[#This Row],[Edital]],INDEX(tItens[Produto],1):tItens[[#This Row],[Produto]],tItens[[#This Row],[Produto]])=1,1,0)</f>
        <v>0</v>
      </c>
    </row>
    <row r="7341" spans="1:16" x14ac:dyDescent="0.25">
      <c r="A7341" t="s">
        <v>2468</v>
      </c>
      <c r="B7341">
        <v>545</v>
      </c>
      <c r="C7341" t="s">
        <v>9986</v>
      </c>
      <c r="D7341" t="s">
        <v>120</v>
      </c>
      <c r="E7341" s="13">
        <v>1</v>
      </c>
      <c r="F7341" s="12">
        <v>1.51</v>
      </c>
      <c r="G7341" t="str">
        <f>IFERROR(INDEX(tEditais[Órgão],MATCH(tItens[[#This Row],[Edital]],tEditais[Edital],0)),"")</f>
        <v>CIMCERO - CONSORCIO INTERMUNICIPAL DA REGIAO CENTRO LESTE DO ESTADO DE RONDONIA</v>
      </c>
      <c r="H7341" t="str">
        <f>IFERROR(INDEX(tEditais[UF],MATCH(tItens[[#This Row],[Edital]],tEditais[Edital],0)),"")</f>
        <v>RO</v>
      </c>
      <c r="I7341" s="11">
        <f>IFERROR(INDEX(tEditais[Encerramento],MATCH(tItens[[#This Row],[Edital]],tEditais[Edital],0)),"")</f>
        <v>46310.729166666664</v>
      </c>
      <c r="J7341" t="str">
        <f>IFERROR(INDEX(tProdutos[Classe],MATCH(tItens[[#This Row],[Produto]],tProdutos[Produto],0)),"produto não cadastrado")</f>
        <v>DISPUTADO</v>
      </c>
      <c r="K7341" s="12">
        <f>tItens[[#This Row],[Qtd]]*tItens[[#This Row],[Vlr unit]]</f>
        <v>1.51</v>
      </c>
      <c r="L7341" s="6">
        <f>IFERROR(IF(INDEX(tProdutos[Desconto homologado],MATCH(tItens[[#This Row],[Produto]],tProdutos[Produto],0))="",DescontoPadrao,INDEX(tProdutos[Desconto homologado],MATCH(tItens[[#This Row],[Produto]],tProdutos[Produto],0))),DescontoPadrao)</f>
        <v>0.40909090909090901</v>
      </c>
      <c r="M7341" s="12">
        <f>tItens[[#This Row],[Valor]]*(1-tItens[[#This Row],[Desconto]])</f>
        <v>0.89227272727272744</v>
      </c>
      <c r="N7341" t="str">
        <f>IFERROR(INDEX(tProdutos[Foco],MATCH(tItens[[#This Row],[Produto]],tProdutos[Produto],0)),"Não")</f>
        <v>Não</v>
      </c>
      <c r="O7341" t="str">
        <f>IFERROR(INDEX(tEditais[SRP],MATCH(tItens[[#This Row],[Edital]],tEditais[Edital],0)),"Não")</f>
        <v>Sim</v>
      </c>
      <c r="P7341" s="4">
        <f>IF(COUNTIFS(INDEX(tItens[Edital],1):tItens[[#This Row],[Edital]],tItens[[#This Row],[Edital]],INDEX(tItens[Produto],1):tItens[[#This Row],[Produto]],tItens[[#This Row],[Produto]])=1,1,0)</f>
        <v>0</v>
      </c>
    </row>
    <row r="7342" spans="1:16" x14ac:dyDescent="0.25">
      <c r="A7342" t="s">
        <v>2468</v>
      </c>
      <c r="B7342">
        <v>557</v>
      </c>
      <c r="C7342" t="s">
        <v>4171</v>
      </c>
      <c r="D7342" t="s">
        <v>114</v>
      </c>
      <c r="E7342" s="13">
        <v>1</v>
      </c>
      <c r="F7342" s="12">
        <v>8.61</v>
      </c>
      <c r="G7342" t="str">
        <f>IFERROR(INDEX(tEditais[Órgão],MATCH(tItens[[#This Row],[Edital]],tEditais[Edital],0)),"")</f>
        <v>CIMCERO - CONSORCIO INTERMUNICIPAL DA REGIAO CENTRO LESTE DO ESTADO DE RONDONIA</v>
      </c>
      <c r="H7342" t="str">
        <f>IFERROR(INDEX(tEditais[UF],MATCH(tItens[[#This Row],[Edital]],tEditais[Edital],0)),"")</f>
        <v>RO</v>
      </c>
      <c r="I7342" s="11">
        <f>IFERROR(INDEX(tEditais[Encerramento],MATCH(tItens[[#This Row],[Edital]],tEditais[Edital],0)),"")</f>
        <v>46310.729166666664</v>
      </c>
      <c r="J7342" t="str">
        <f>IFERROR(INDEX(tProdutos[Classe],MATCH(tItens[[#This Row],[Produto]],tProdutos[Produto],0)),"produto não cadastrado")</f>
        <v>DISPUTADO</v>
      </c>
      <c r="K7342" s="12">
        <f>tItens[[#This Row],[Qtd]]*tItens[[#This Row],[Vlr unit]]</f>
        <v>8.61</v>
      </c>
      <c r="L7342" s="6">
        <f>IFERROR(IF(INDEX(tProdutos[Desconto homologado],MATCH(tItens[[#This Row],[Produto]],tProdutos[Produto],0))="",DescontoPadrao,INDEX(tProdutos[Desconto homologado],MATCH(tItens[[#This Row],[Produto]],tProdutos[Produto],0))),DescontoPadrao)</f>
        <v>0.24332656063896899</v>
      </c>
      <c r="M7342" s="12">
        <f>tItens[[#This Row],[Valor]]*(1-tItens[[#This Row],[Desconto]])</f>
        <v>6.5149583128984769</v>
      </c>
      <c r="N7342" t="str">
        <f>IFERROR(INDEX(tProdutos[Foco],MATCH(tItens[[#This Row],[Produto]],tProdutos[Produto],0)),"Não")</f>
        <v>Não</v>
      </c>
      <c r="O7342" t="str">
        <f>IFERROR(INDEX(tEditais[SRP],MATCH(tItens[[#This Row],[Edital]],tEditais[Edital],0)),"Não")</f>
        <v>Sim</v>
      </c>
      <c r="P7342" s="4">
        <f>IF(COUNTIFS(INDEX(tItens[Edital],1):tItens[[#This Row],[Edital]],tItens[[#This Row],[Edital]],INDEX(tItens[Produto],1):tItens[[#This Row],[Produto]],tItens[[#This Row],[Produto]])=1,1,0)</f>
        <v>0</v>
      </c>
    </row>
    <row r="7343" spans="1:16" x14ac:dyDescent="0.25">
      <c r="A7343" t="s">
        <v>2468</v>
      </c>
      <c r="B7343">
        <v>562</v>
      </c>
      <c r="C7343" t="s">
        <v>9969</v>
      </c>
      <c r="D7343" t="s">
        <v>69</v>
      </c>
      <c r="E7343" s="13">
        <v>1</v>
      </c>
      <c r="F7343" s="12">
        <v>1</v>
      </c>
      <c r="G7343" t="str">
        <f>IFERROR(INDEX(tEditais[Órgão],MATCH(tItens[[#This Row],[Edital]],tEditais[Edital],0)),"")</f>
        <v>CIMCERO - CONSORCIO INTERMUNICIPAL DA REGIAO CENTRO LESTE DO ESTADO DE RONDONIA</v>
      </c>
      <c r="H7343" t="str">
        <f>IFERROR(INDEX(tEditais[UF],MATCH(tItens[[#This Row],[Edital]],tEditais[Edital],0)),"")</f>
        <v>RO</v>
      </c>
      <c r="I7343" s="11">
        <f>IFERROR(INDEX(tEditais[Encerramento],MATCH(tItens[[#This Row],[Edital]],tEditais[Edital],0)),"")</f>
        <v>46310.729166666664</v>
      </c>
      <c r="J7343" t="str">
        <f>IFERROR(INDEX(tProdutos[Classe],MATCH(tItens[[#This Row],[Produto]],tProdutos[Produto],0)),"produto não cadastrado")</f>
        <v>NÚCLEO</v>
      </c>
      <c r="K7343" s="12">
        <f>tItens[[#This Row],[Qtd]]*tItens[[#This Row],[Vlr unit]]</f>
        <v>1</v>
      </c>
      <c r="L7343" s="6">
        <f>IFERROR(IF(INDEX(tProdutos[Desconto homologado],MATCH(tItens[[#This Row],[Produto]],tProdutos[Produto],0))="",DescontoPadrao,INDEX(tProdutos[Desconto homologado],MATCH(tItens[[#This Row],[Produto]],tProdutos[Produto],0))),DescontoPadrao)</f>
        <v>0.38829259638568803</v>
      </c>
      <c r="M7343" s="12">
        <f>tItens[[#This Row],[Valor]]*(1-tItens[[#This Row],[Desconto]])</f>
        <v>0.61170740361431197</v>
      </c>
      <c r="N7343" t="str">
        <f>IFERROR(INDEX(tProdutos[Foco],MATCH(tItens[[#This Row],[Produto]],tProdutos[Produto],0)),"Não")</f>
        <v>Não</v>
      </c>
      <c r="O7343" t="str">
        <f>IFERROR(INDEX(tEditais[SRP],MATCH(tItens[[#This Row],[Edital]],tEditais[Edital],0)),"Não")</f>
        <v>Sim</v>
      </c>
      <c r="P7343" s="4">
        <f>IF(COUNTIFS(INDEX(tItens[Edital],1):tItens[[#This Row],[Edital]],tItens[[#This Row],[Edital]],INDEX(tItens[Produto],1):tItens[[#This Row],[Produto]],tItens[[#This Row],[Produto]])=1,1,0)</f>
        <v>0</v>
      </c>
    </row>
    <row r="7344" spans="1:16" x14ac:dyDescent="0.25">
      <c r="A7344" t="s">
        <v>2468</v>
      </c>
      <c r="B7344">
        <v>568</v>
      </c>
      <c r="C7344" t="s">
        <v>9987</v>
      </c>
      <c r="D7344" t="s">
        <v>120</v>
      </c>
      <c r="E7344" s="13">
        <v>1</v>
      </c>
      <c r="F7344" s="12">
        <v>2.44</v>
      </c>
      <c r="G7344" t="str">
        <f>IFERROR(INDEX(tEditais[Órgão],MATCH(tItens[[#This Row],[Edital]],tEditais[Edital],0)),"")</f>
        <v>CIMCERO - CONSORCIO INTERMUNICIPAL DA REGIAO CENTRO LESTE DO ESTADO DE RONDONIA</v>
      </c>
      <c r="H7344" t="str">
        <f>IFERROR(INDEX(tEditais[UF],MATCH(tItens[[#This Row],[Edital]],tEditais[Edital],0)),"")</f>
        <v>RO</v>
      </c>
      <c r="I7344" s="11">
        <f>IFERROR(INDEX(tEditais[Encerramento],MATCH(tItens[[#This Row],[Edital]],tEditais[Edital],0)),"")</f>
        <v>46310.729166666664</v>
      </c>
      <c r="J7344" t="str">
        <f>IFERROR(INDEX(tProdutos[Classe],MATCH(tItens[[#This Row],[Produto]],tProdutos[Produto],0)),"produto não cadastrado")</f>
        <v>DISPUTADO</v>
      </c>
      <c r="K7344" s="12">
        <f>tItens[[#This Row],[Qtd]]*tItens[[#This Row],[Vlr unit]]</f>
        <v>2.44</v>
      </c>
      <c r="L7344" s="6">
        <f>IFERROR(IF(INDEX(tProdutos[Desconto homologado],MATCH(tItens[[#This Row],[Produto]],tProdutos[Produto],0))="",DescontoPadrao,INDEX(tProdutos[Desconto homologado],MATCH(tItens[[#This Row],[Produto]],tProdutos[Produto],0))),DescontoPadrao)</f>
        <v>0.40909090909090901</v>
      </c>
      <c r="M7344" s="12">
        <f>tItens[[#This Row],[Valor]]*(1-tItens[[#This Row],[Desconto]])</f>
        <v>1.4418181818181821</v>
      </c>
      <c r="N7344" t="str">
        <f>IFERROR(INDEX(tProdutos[Foco],MATCH(tItens[[#This Row],[Produto]],tProdutos[Produto],0)),"Não")</f>
        <v>Não</v>
      </c>
      <c r="O7344" t="str">
        <f>IFERROR(INDEX(tEditais[SRP],MATCH(tItens[[#This Row],[Edital]],tEditais[Edital],0)),"Não")</f>
        <v>Sim</v>
      </c>
      <c r="P7344" s="4">
        <f>IF(COUNTIFS(INDEX(tItens[Edital],1):tItens[[#This Row],[Edital]],tItens[[#This Row],[Edital]],INDEX(tItens[Produto],1):tItens[[#This Row],[Produto]],tItens[[#This Row],[Produto]])=1,1,0)</f>
        <v>0</v>
      </c>
    </row>
    <row r="7345" spans="1:16" x14ac:dyDescent="0.25">
      <c r="A7345" t="s">
        <v>2468</v>
      </c>
      <c r="B7345">
        <v>569</v>
      </c>
      <c r="C7345" t="s">
        <v>9988</v>
      </c>
      <c r="D7345" t="s">
        <v>69</v>
      </c>
      <c r="E7345" s="13">
        <v>1</v>
      </c>
      <c r="F7345" s="12">
        <v>0.96</v>
      </c>
      <c r="G7345" t="str">
        <f>IFERROR(INDEX(tEditais[Órgão],MATCH(tItens[[#This Row],[Edital]],tEditais[Edital],0)),"")</f>
        <v>CIMCERO - CONSORCIO INTERMUNICIPAL DA REGIAO CENTRO LESTE DO ESTADO DE RONDONIA</v>
      </c>
      <c r="H7345" t="str">
        <f>IFERROR(INDEX(tEditais[UF],MATCH(tItens[[#This Row],[Edital]],tEditais[Edital],0)),"")</f>
        <v>RO</v>
      </c>
      <c r="I7345" s="11">
        <f>IFERROR(INDEX(tEditais[Encerramento],MATCH(tItens[[#This Row],[Edital]],tEditais[Edital],0)),"")</f>
        <v>46310.729166666664</v>
      </c>
      <c r="J7345" t="str">
        <f>IFERROR(INDEX(tProdutos[Classe],MATCH(tItens[[#This Row],[Produto]],tProdutos[Produto],0)),"produto não cadastrado")</f>
        <v>NÚCLEO</v>
      </c>
      <c r="K7345" s="12">
        <f>tItens[[#This Row],[Qtd]]*tItens[[#This Row],[Vlr unit]]</f>
        <v>0.96</v>
      </c>
      <c r="L7345" s="6">
        <f>IFERROR(IF(INDEX(tProdutos[Desconto homologado],MATCH(tItens[[#This Row],[Produto]],tProdutos[Produto],0))="",DescontoPadrao,INDEX(tProdutos[Desconto homologado],MATCH(tItens[[#This Row],[Produto]],tProdutos[Produto],0))),DescontoPadrao)</f>
        <v>0.38829259638568803</v>
      </c>
      <c r="M7345" s="12">
        <f>tItens[[#This Row],[Valor]]*(1-tItens[[#This Row],[Desconto]])</f>
        <v>0.58723910746973951</v>
      </c>
      <c r="N7345" t="str">
        <f>IFERROR(INDEX(tProdutos[Foco],MATCH(tItens[[#This Row],[Produto]],tProdutos[Produto],0)),"Não")</f>
        <v>Não</v>
      </c>
      <c r="O7345" t="str">
        <f>IFERROR(INDEX(tEditais[SRP],MATCH(tItens[[#This Row],[Edital]],tEditais[Edital],0)),"Não")</f>
        <v>Sim</v>
      </c>
      <c r="P7345" s="4">
        <f>IF(COUNTIFS(INDEX(tItens[Edital],1):tItens[[#This Row],[Edital]],tItens[[#This Row],[Edital]],INDEX(tItens[Produto],1):tItens[[#This Row],[Produto]],tItens[[#This Row],[Produto]])=1,1,0)</f>
        <v>0</v>
      </c>
    </row>
    <row r="7346" spans="1:16" x14ac:dyDescent="0.25">
      <c r="A7346" t="s">
        <v>2468</v>
      </c>
      <c r="B7346">
        <v>570</v>
      </c>
      <c r="C7346" t="s">
        <v>9961</v>
      </c>
      <c r="D7346" t="s">
        <v>120</v>
      </c>
      <c r="E7346" s="13">
        <v>1</v>
      </c>
      <c r="F7346" s="12">
        <v>3.74</v>
      </c>
      <c r="G7346" t="str">
        <f>IFERROR(INDEX(tEditais[Órgão],MATCH(tItens[[#This Row],[Edital]],tEditais[Edital],0)),"")</f>
        <v>CIMCERO - CONSORCIO INTERMUNICIPAL DA REGIAO CENTRO LESTE DO ESTADO DE RONDONIA</v>
      </c>
      <c r="H7346" t="str">
        <f>IFERROR(INDEX(tEditais[UF],MATCH(tItens[[#This Row],[Edital]],tEditais[Edital],0)),"")</f>
        <v>RO</v>
      </c>
      <c r="I7346" s="11">
        <f>IFERROR(INDEX(tEditais[Encerramento],MATCH(tItens[[#This Row],[Edital]],tEditais[Edital],0)),"")</f>
        <v>46310.729166666664</v>
      </c>
      <c r="J7346" t="str">
        <f>IFERROR(INDEX(tProdutos[Classe],MATCH(tItens[[#This Row],[Produto]],tProdutos[Produto],0)),"produto não cadastrado")</f>
        <v>DISPUTADO</v>
      </c>
      <c r="K7346" s="12">
        <f>tItens[[#This Row],[Qtd]]*tItens[[#This Row],[Vlr unit]]</f>
        <v>3.74</v>
      </c>
      <c r="L7346" s="6">
        <f>IFERROR(IF(INDEX(tProdutos[Desconto homologado],MATCH(tItens[[#This Row],[Produto]],tProdutos[Produto],0))="",DescontoPadrao,INDEX(tProdutos[Desconto homologado],MATCH(tItens[[#This Row],[Produto]],tProdutos[Produto],0))),DescontoPadrao)</f>
        <v>0.40909090909090901</v>
      </c>
      <c r="M7346" s="12">
        <f>tItens[[#This Row],[Valor]]*(1-tItens[[#This Row],[Desconto]])</f>
        <v>2.2100000000000009</v>
      </c>
      <c r="N7346" t="str">
        <f>IFERROR(INDEX(tProdutos[Foco],MATCH(tItens[[#This Row],[Produto]],tProdutos[Produto],0)),"Não")</f>
        <v>Não</v>
      </c>
      <c r="O7346" t="str">
        <f>IFERROR(INDEX(tEditais[SRP],MATCH(tItens[[#This Row],[Edital]],tEditais[Edital],0)),"Não")</f>
        <v>Sim</v>
      </c>
      <c r="P7346" s="4">
        <f>IF(COUNTIFS(INDEX(tItens[Edital],1):tItens[[#This Row],[Edital]],tItens[[#This Row],[Edital]],INDEX(tItens[Produto],1):tItens[[#This Row],[Produto]],tItens[[#This Row],[Produto]])=1,1,0)</f>
        <v>0</v>
      </c>
    </row>
    <row r="7347" spans="1:16" x14ac:dyDescent="0.25">
      <c r="A7347" t="s">
        <v>2468</v>
      </c>
      <c r="B7347">
        <v>571</v>
      </c>
      <c r="C7347" t="s">
        <v>9989</v>
      </c>
      <c r="D7347" t="s">
        <v>120</v>
      </c>
      <c r="E7347" s="13">
        <v>1</v>
      </c>
      <c r="F7347" s="12">
        <v>2.56</v>
      </c>
      <c r="G7347" t="str">
        <f>IFERROR(INDEX(tEditais[Órgão],MATCH(tItens[[#This Row],[Edital]],tEditais[Edital],0)),"")</f>
        <v>CIMCERO - CONSORCIO INTERMUNICIPAL DA REGIAO CENTRO LESTE DO ESTADO DE RONDONIA</v>
      </c>
      <c r="H7347" t="str">
        <f>IFERROR(INDEX(tEditais[UF],MATCH(tItens[[#This Row],[Edital]],tEditais[Edital],0)),"")</f>
        <v>RO</v>
      </c>
      <c r="I7347" s="11">
        <f>IFERROR(INDEX(tEditais[Encerramento],MATCH(tItens[[#This Row],[Edital]],tEditais[Edital],0)),"")</f>
        <v>46310.729166666664</v>
      </c>
      <c r="J7347" t="str">
        <f>IFERROR(INDEX(tProdutos[Classe],MATCH(tItens[[#This Row],[Produto]],tProdutos[Produto],0)),"produto não cadastrado")</f>
        <v>DISPUTADO</v>
      </c>
      <c r="K7347" s="12">
        <f>tItens[[#This Row],[Qtd]]*tItens[[#This Row],[Vlr unit]]</f>
        <v>2.56</v>
      </c>
      <c r="L7347" s="6">
        <f>IFERROR(IF(INDEX(tProdutos[Desconto homologado],MATCH(tItens[[#This Row],[Produto]],tProdutos[Produto],0))="",DescontoPadrao,INDEX(tProdutos[Desconto homologado],MATCH(tItens[[#This Row],[Produto]],tProdutos[Produto],0))),DescontoPadrao)</f>
        <v>0.40909090909090901</v>
      </c>
      <c r="M7347" s="12">
        <f>tItens[[#This Row],[Valor]]*(1-tItens[[#This Row],[Desconto]])</f>
        <v>1.5127272727272731</v>
      </c>
      <c r="N7347" t="str">
        <f>IFERROR(INDEX(tProdutos[Foco],MATCH(tItens[[#This Row],[Produto]],tProdutos[Produto],0)),"Não")</f>
        <v>Não</v>
      </c>
      <c r="O7347" t="str">
        <f>IFERROR(INDEX(tEditais[SRP],MATCH(tItens[[#This Row],[Edital]],tEditais[Edital],0)),"Não")</f>
        <v>Sim</v>
      </c>
      <c r="P7347" s="4">
        <f>IF(COUNTIFS(INDEX(tItens[Edital],1):tItens[[#This Row],[Edital]],tItens[[#This Row],[Edital]],INDEX(tItens[Produto],1):tItens[[#This Row],[Produto]],tItens[[#This Row],[Produto]])=1,1,0)</f>
        <v>0</v>
      </c>
    </row>
    <row r="7348" spans="1:16" x14ac:dyDescent="0.25">
      <c r="A7348" t="s">
        <v>2468</v>
      </c>
      <c r="B7348">
        <v>572</v>
      </c>
      <c r="C7348" t="s">
        <v>9990</v>
      </c>
      <c r="D7348" t="s">
        <v>120</v>
      </c>
      <c r="E7348" s="13">
        <v>1</v>
      </c>
      <c r="F7348" s="12">
        <v>5.57</v>
      </c>
      <c r="G7348" t="str">
        <f>IFERROR(INDEX(tEditais[Órgão],MATCH(tItens[[#This Row],[Edital]],tEditais[Edital],0)),"")</f>
        <v>CIMCERO - CONSORCIO INTERMUNICIPAL DA REGIAO CENTRO LESTE DO ESTADO DE RONDONIA</v>
      </c>
      <c r="H7348" t="str">
        <f>IFERROR(INDEX(tEditais[UF],MATCH(tItens[[#This Row],[Edital]],tEditais[Edital],0)),"")</f>
        <v>RO</v>
      </c>
      <c r="I7348" s="11">
        <f>IFERROR(INDEX(tEditais[Encerramento],MATCH(tItens[[#This Row],[Edital]],tEditais[Edital],0)),"")</f>
        <v>46310.729166666664</v>
      </c>
      <c r="J7348" t="str">
        <f>IFERROR(INDEX(tProdutos[Classe],MATCH(tItens[[#This Row],[Produto]],tProdutos[Produto],0)),"produto não cadastrado")</f>
        <v>DISPUTADO</v>
      </c>
      <c r="K7348" s="12">
        <f>tItens[[#This Row],[Qtd]]*tItens[[#This Row],[Vlr unit]]</f>
        <v>5.57</v>
      </c>
      <c r="L7348" s="6">
        <f>IFERROR(IF(INDEX(tProdutos[Desconto homologado],MATCH(tItens[[#This Row],[Produto]],tProdutos[Produto],0))="",DescontoPadrao,INDEX(tProdutos[Desconto homologado],MATCH(tItens[[#This Row],[Produto]],tProdutos[Produto],0))),DescontoPadrao)</f>
        <v>0.40909090909090901</v>
      </c>
      <c r="M7348" s="12">
        <f>tItens[[#This Row],[Valor]]*(1-tItens[[#This Row],[Desconto]])</f>
        <v>3.2913636363636374</v>
      </c>
      <c r="N7348" t="str">
        <f>IFERROR(INDEX(tProdutos[Foco],MATCH(tItens[[#This Row],[Produto]],tProdutos[Produto],0)),"Não")</f>
        <v>Não</v>
      </c>
      <c r="O7348" t="str">
        <f>IFERROR(INDEX(tEditais[SRP],MATCH(tItens[[#This Row],[Edital]],tEditais[Edital],0)),"Não")</f>
        <v>Sim</v>
      </c>
      <c r="P7348" s="4">
        <f>IF(COUNTIFS(INDEX(tItens[Edital],1):tItens[[#This Row],[Edital]],tItens[[#This Row],[Edital]],INDEX(tItens[Produto],1):tItens[[#This Row],[Produto]],tItens[[#This Row],[Produto]])=1,1,0)</f>
        <v>0</v>
      </c>
    </row>
    <row r="7349" spans="1:16" x14ac:dyDescent="0.25">
      <c r="A7349" t="s">
        <v>2468</v>
      </c>
      <c r="B7349">
        <v>580</v>
      </c>
      <c r="C7349" t="s">
        <v>9991</v>
      </c>
      <c r="D7349" t="s">
        <v>62</v>
      </c>
      <c r="E7349" s="13">
        <v>1</v>
      </c>
      <c r="F7349" s="12">
        <v>3.62</v>
      </c>
      <c r="G7349" t="str">
        <f>IFERROR(INDEX(tEditais[Órgão],MATCH(tItens[[#This Row],[Edital]],tEditais[Edital],0)),"")</f>
        <v>CIMCERO - CONSORCIO INTERMUNICIPAL DA REGIAO CENTRO LESTE DO ESTADO DE RONDONIA</v>
      </c>
      <c r="H7349" t="str">
        <f>IFERROR(INDEX(tEditais[UF],MATCH(tItens[[#This Row],[Edital]],tEditais[Edital],0)),"")</f>
        <v>RO</v>
      </c>
      <c r="I7349" s="11">
        <f>IFERROR(INDEX(tEditais[Encerramento],MATCH(tItens[[#This Row],[Edital]],tEditais[Edital],0)),"")</f>
        <v>46310.729166666664</v>
      </c>
      <c r="J7349" t="str">
        <f>IFERROR(INDEX(tProdutos[Classe],MATCH(tItens[[#This Row],[Produto]],tProdutos[Produto],0)),"produto não cadastrado")</f>
        <v>NÚCLEO</v>
      </c>
      <c r="K7349" s="12">
        <f>tItens[[#This Row],[Qtd]]*tItens[[#This Row],[Vlr unit]]</f>
        <v>3.62</v>
      </c>
      <c r="L7349" s="6">
        <f>IFERROR(IF(INDEX(tProdutos[Desconto homologado],MATCH(tItens[[#This Row],[Produto]],tProdutos[Produto],0))="",DescontoPadrao,INDEX(tProdutos[Desconto homologado],MATCH(tItens[[#This Row],[Produto]],tProdutos[Produto],0))),DescontoPadrao)</f>
        <v>0.3</v>
      </c>
      <c r="M7349" s="12">
        <f>tItens[[#This Row],[Valor]]*(1-tItens[[#This Row],[Desconto]])</f>
        <v>2.5339999999999998</v>
      </c>
      <c r="N7349" t="str">
        <f>IFERROR(INDEX(tProdutos[Foco],MATCH(tItens[[#This Row],[Produto]],tProdutos[Produto],0)),"Não")</f>
        <v>Sim</v>
      </c>
      <c r="O7349" t="str">
        <f>IFERROR(INDEX(tEditais[SRP],MATCH(tItens[[#This Row],[Edital]],tEditais[Edital],0)),"Não")</f>
        <v>Sim</v>
      </c>
      <c r="P7349" s="4">
        <f>IF(COUNTIFS(INDEX(tItens[Edital],1):tItens[[#This Row],[Edital]],tItens[[#This Row],[Edital]],INDEX(tItens[Produto],1):tItens[[#This Row],[Produto]],tItens[[#This Row],[Produto]])=1,1,0)</f>
        <v>1</v>
      </c>
    </row>
    <row r="7350" spans="1:16" x14ac:dyDescent="0.25">
      <c r="A7350" t="s">
        <v>2468</v>
      </c>
      <c r="B7350">
        <v>585</v>
      </c>
      <c r="C7350" t="s">
        <v>9992</v>
      </c>
      <c r="D7350" t="s">
        <v>73</v>
      </c>
      <c r="E7350" s="13">
        <v>1</v>
      </c>
      <c r="F7350" s="12">
        <v>2.78</v>
      </c>
      <c r="G7350" t="str">
        <f>IFERROR(INDEX(tEditais[Órgão],MATCH(tItens[[#This Row],[Edital]],tEditais[Edital],0)),"")</f>
        <v>CIMCERO - CONSORCIO INTERMUNICIPAL DA REGIAO CENTRO LESTE DO ESTADO DE RONDONIA</v>
      </c>
      <c r="H7350" t="str">
        <f>IFERROR(INDEX(tEditais[UF],MATCH(tItens[[#This Row],[Edital]],tEditais[Edital],0)),"")</f>
        <v>RO</v>
      </c>
      <c r="I7350" s="11">
        <f>IFERROR(INDEX(tEditais[Encerramento],MATCH(tItens[[#This Row],[Edital]],tEditais[Edital],0)),"")</f>
        <v>46310.729166666664</v>
      </c>
      <c r="J7350" t="str">
        <f>IFERROR(INDEX(tProdutos[Classe],MATCH(tItens[[#This Row],[Produto]],tProdutos[Produto],0)),"produto não cadastrado")</f>
        <v>NÚCLEO</v>
      </c>
      <c r="K7350" s="12">
        <f>tItens[[#This Row],[Qtd]]*tItens[[#This Row],[Vlr unit]]</f>
        <v>2.78</v>
      </c>
      <c r="L7350" s="6">
        <f>IFERROR(IF(INDEX(tProdutos[Desconto homologado],MATCH(tItens[[#This Row],[Produto]],tProdutos[Produto],0))="",DescontoPadrao,INDEX(tProdutos[Desconto homologado],MATCH(tItens[[#This Row],[Produto]],tProdutos[Produto],0))),DescontoPadrao)</f>
        <v>0.37</v>
      </c>
      <c r="M7350" s="12">
        <f>tItens[[#This Row],[Valor]]*(1-tItens[[#This Row],[Desconto]])</f>
        <v>1.7513999999999998</v>
      </c>
      <c r="N7350" t="str">
        <f>IFERROR(INDEX(tProdutos[Foco],MATCH(tItens[[#This Row],[Produto]],tProdutos[Produto],0)),"Não")</f>
        <v>Sim</v>
      </c>
      <c r="O7350" t="str">
        <f>IFERROR(INDEX(tEditais[SRP],MATCH(tItens[[#This Row],[Edital]],tEditais[Edital],0)),"Não")</f>
        <v>Sim</v>
      </c>
      <c r="P7350" s="4">
        <f>IF(COUNTIFS(INDEX(tItens[Edital],1):tItens[[#This Row],[Edital]],tItens[[#This Row],[Edital]],INDEX(tItens[Produto],1):tItens[[#This Row],[Produto]],tItens[[#This Row],[Produto]])=1,1,0)</f>
        <v>1</v>
      </c>
    </row>
    <row r="7351" spans="1:16" x14ac:dyDescent="0.25">
      <c r="A7351" t="s">
        <v>2468</v>
      </c>
      <c r="B7351">
        <v>600</v>
      </c>
      <c r="C7351" t="s">
        <v>9993</v>
      </c>
      <c r="D7351" t="s">
        <v>180</v>
      </c>
      <c r="E7351" s="13">
        <v>1</v>
      </c>
      <c r="F7351" s="12">
        <v>1.1000000000000001</v>
      </c>
      <c r="G7351" t="str">
        <f>IFERROR(INDEX(tEditais[Órgão],MATCH(tItens[[#This Row],[Edital]],tEditais[Edital],0)),"")</f>
        <v>CIMCERO - CONSORCIO INTERMUNICIPAL DA REGIAO CENTRO LESTE DO ESTADO DE RONDONIA</v>
      </c>
      <c r="H7351" t="str">
        <f>IFERROR(INDEX(tEditais[UF],MATCH(tItens[[#This Row],[Edital]],tEditais[Edital],0)),"")</f>
        <v>RO</v>
      </c>
      <c r="I7351" s="11">
        <f>IFERROR(INDEX(tEditais[Encerramento],MATCH(tItens[[#This Row],[Edital]],tEditais[Edital],0)),"")</f>
        <v>46310.729166666664</v>
      </c>
      <c r="J7351" t="str">
        <f>IFERROR(INDEX(tProdutos[Classe],MATCH(tItens[[#This Row],[Produto]],tProdutos[Produto],0)),"produto não cadastrado")</f>
        <v>DISPUTADO</v>
      </c>
      <c r="K7351" s="12">
        <f>tItens[[#This Row],[Qtd]]*tItens[[#This Row],[Vlr unit]]</f>
        <v>1.1000000000000001</v>
      </c>
      <c r="L7351" s="6">
        <f>IFERROR(IF(INDEX(tProdutos[Desconto homologado],MATCH(tItens[[#This Row],[Produto]],tProdutos[Produto],0))="",DescontoPadrao,INDEX(tProdutos[Desconto homologado],MATCH(tItens[[#This Row],[Produto]],tProdutos[Produto],0))),DescontoPadrao)</f>
        <v>0.33333333333333298</v>
      </c>
      <c r="M7351" s="12">
        <f>tItens[[#This Row],[Valor]]*(1-tItens[[#This Row],[Desconto]])</f>
        <v>0.73333333333333373</v>
      </c>
      <c r="N7351" t="str">
        <f>IFERROR(INDEX(tProdutos[Foco],MATCH(tItens[[#This Row],[Produto]],tProdutos[Produto],0)),"Não")</f>
        <v>Não</v>
      </c>
      <c r="O7351" t="str">
        <f>IFERROR(INDEX(tEditais[SRP],MATCH(tItens[[#This Row],[Edital]],tEditais[Edital],0)),"Não")</f>
        <v>Sim</v>
      </c>
      <c r="P7351" s="4">
        <f>IF(COUNTIFS(INDEX(tItens[Edital],1):tItens[[#This Row],[Edital]],tItens[[#This Row],[Edital]],INDEX(tItens[Produto],1):tItens[[#This Row],[Produto]],tItens[[#This Row],[Produto]])=1,1,0)</f>
        <v>0</v>
      </c>
    </row>
    <row r="7352" spans="1:16" x14ac:dyDescent="0.25">
      <c r="A7352" t="s">
        <v>2468</v>
      </c>
      <c r="B7352">
        <v>609</v>
      </c>
      <c r="C7352" t="s">
        <v>9994</v>
      </c>
      <c r="D7352" t="s">
        <v>75</v>
      </c>
      <c r="E7352" s="13">
        <v>1</v>
      </c>
      <c r="F7352" s="12">
        <v>1.1100000000000001</v>
      </c>
      <c r="G7352" t="str">
        <f>IFERROR(INDEX(tEditais[Órgão],MATCH(tItens[[#This Row],[Edital]],tEditais[Edital],0)),"")</f>
        <v>CIMCERO - CONSORCIO INTERMUNICIPAL DA REGIAO CENTRO LESTE DO ESTADO DE RONDONIA</v>
      </c>
      <c r="H7352" t="str">
        <f>IFERROR(INDEX(tEditais[UF],MATCH(tItens[[#This Row],[Edital]],tEditais[Edital],0)),"")</f>
        <v>RO</v>
      </c>
      <c r="I7352" s="11">
        <f>IFERROR(INDEX(tEditais[Encerramento],MATCH(tItens[[#This Row],[Edital]],tEditais[Edital],0)),"")</f>
        <v>46310.729166666664</v>
      </c>
      <c r="J7352" t="str">
        <f>IFERROR(INDEX(tProdutos[Classe],MATCH(tItens[[#This Row],[Produto]],tProdutos[Produto],0)),"produto não cadastrado")</f>
        <v>NÚCLEO</v>
      </c>
      <c r="K7352" s="12">
        <f>tItens[[#This Row],[Qtd]]*tItens[[#This Row],[Vlr unit]]</f>
        <v>1.1100000000000001</v>
      </c>
      <c r="L7352" s="6">
        <f>IFERROR(IF(INDEX(tProdutos[Desconto homologado],MATCH(tItens[[#This Row],[Produto]],tProdutos[Produto],0))="",DescontoPadrao,INDEX(tProdutos[Desconto homologado],MATCH(tItens[[#This Row],[Produto]],tProdutos[Produto],0))),DescontoPadrao)</f>
        <v>0.26</v>
      </c>
      <c r="M7352" s="12">
        <f>tItens[[#This Row],[Valor]]*(1-tItens[[#This Row],[Desconto]])</f>
        <v>0.82140000000000002</v>
      </c>
      <c r="N7352" t="str">
        <f>IFERROR(INDEX(tProdutos[Foco],MATCH(tItens[[#This Row],[Produto]],tProdutos[Produto],0)),"Não")</f>
        <v>Sim</v>
      </c>
      <c r="O7352" t="str">
        <f>IFERROR(INDEX(tEditais[SRP],MATCH(tItens[[#This Row],[Edital]],tEditais[Edital],0)),"Não")</f>
        <v>Sim</v>
      </c>
      <c r="P7352" s="4">
        <f>IF(COUNTIFS(INDEX(tItens[Edital],1):tItens[[#This Row],[Edital]],tItens[[#This Row],[Edital]],INDEX(tItens[Produto],1):tItens[[#This Row],[Produto]],tItens[[#This Row],[Produto]])=1,1,0)</f>
        <v>0</v>
      </c>
    </row>
    <row r="7353" spans="1:16" x14ac:dyDescent="0.25">
      <c r="A7353" t="s">
        <v>2468</v>
      </c>
      <c r="B7353">
        <v>612</v>
      </c>
      <c r="C7353" t="s">
        <v>4155</v>
      </c>
      <c r="D7353" t="s">
        <v>77</v>
      </c>
      <c r="E7353" s="13">
        <v>1</v>
      </c>
      <c r="F7353" s="12">
        <v>4.4000000000000004</v>
      </c>
      <c r="G7353" t="str">
        <f>IFERROR(INDEX(tEditais[Órgão],MATCH(tItens[[#This Row],[Edital]],tEditais[Edital],0)),"")</f>
        <v>CIMCERO - CONSORCIO INTERMUNICIPAL DA REGIAO CENTRO LESTE DO ESTADO DE RONDONIA</v>
      </c>
      <c r="H7353" t="str">
        <f>IFERROR(INDEX(tEditais[UF],MATCH(tItens[[#This Row],[Edital]],tEditais[Edital],0)),"")</f>
        <v>RO</v>
      </c>
      <c r="I7353" s="11">
        <f>IFERROR(INDEX(tEditais[Encerramento],MATCH(tItens[[#This Row],[Edital]],tEditais[Edital],0)),"")</f>
        <v>46310.729166666664</v>
      </c>
      <c r="J7353" t="str">
        <f>IFERROR(INDEX(tProdutos[Classe],MATCH(tItens[[#This Row],[Produto]],tProdutos[Produto],0)),"produto não cadastrado")</f>
        <v>DISPUTADO</v>
      </c>
      <c r="K7353" s="12">
        <f>tItens[[#This Row],[Qtd]]*tItens[[#This Row],[Vlr unit]]</f>
        <v>4.4000000000000004</v>
      </c>
      <c r="L7353" s="6">
        <f>IFERROR(IF(INDEX(tProdutos[Desconto homologado],MATCH(tItens[[#This Row],[Produto]],tProdutos[Produto],0))="",DescontoPadrao,INDEX(tProdutos[Desconto homologado],MATCH(tItens[[#This Row],[Produto]],tProdutos[Produto],0))),DescontoPadrao)</f>
        <v>0.33</v>
      </c>
      <c r="M7353" s="12">
        <f>tItens[[#This Row],[Valor]]*(1-tItens[[#This Row],[Desconto]])</f>
        <v>2.948</v>
      </c>
      <c r="N7353" t="str">
        <f>IFERROR(INDEX(tProdutos[Foco],MATCH(tItens[[#This Row],[Produto]],tProdutos[Produto],0)),"Não")</f>
        <v>Sim</v>
      </c>
      <c r="O7353" t="str">
        <f>IFERROR(INDEX(tEditais[SRP],MATCH(tItens[[#This Row],[Edital]],tEditais[Edital],0)),"Não")</f>
        <v>Sim</v>
      </c>
      <c r="P7353" s="4">
        <f>IF(COUNTIFS(INDEX(tItens[Edital],1):tItens[[#This Row],[Edital]],tItens[[#This Row],[Edital]],INDEX(tItens[Produto],1):tItens[[#This Row],[Produto]],tItens[[#This Row],[Produto]])=1,1,0)</f>
        <v>1</v>
      </c>
    </row>
    <row r="7354" spans="1:16" x14ac:dyDescent="0.25">
      <c r="A7354" t="s">
        <v>2468</v>
      </c>
      <c r="B7354">
        <v>613</v>
      </c>
      <c r="C7354" t="s">
        <v>9995</v>
      </c>
      <c r="D7354" t="s">
        <v>56</v>
      </c>
      <c r="E7354" s="13">
        <v>1</v>
      </c>
      <c r="F7354" s="12">
        <v>25.14</v>
      </c>
      <c r="G7354" t="str">
        <f>IFERROR(INDEX(tEditais[Órgão],MATCH(tItens[[#This Row],[Edital]],tEditais[Edital],0)),"")</f>
        <v>CIMCERO - CONSORCIO INTERMUNICIPAL DA REGIAO CENTRO LESTE DO ESTADO DE RONDONIA</v>
      </c>
      <c r="H7354" t="str">
        <f>IFERROR(INDEX(tEditais[UF],MATCH(tItens[[#This Row],[Edital]],tEditais[Edital],0)),"")</f>
        <v>RO</v>
      </c>
      <c r="I7354" s="11">
        <f>IFERROR(INDEX(tEditais[Encerramento],MATCH(tItens[[#This Row],[Edital]],tEditais[Edital],0)),"")</f>
        <v>46310.729166666664</v>
      </c>
      <c r="J7354" t="str">
        <f>IFERROR(INDEX(tProdutos[Classe],MATCH(tItens[[#This Row],[Produto]],tProdutos[Produto],0)),"produto não cadastrado")</f>
        <v>NÚCLEO</v>
      </c>
      <c r="K7354" s="12">
        <f>tItens[[#This Row],[Qtd]]*tItens[[#This Row],[Vlr unit]]</f>
        <v>25.14</v>
      </c>
      <c r="L7354" s="6">
        <f>IFERROR(IF(INDEX(tProdutos[Desconto homologado],MATCH(tItens[[#This Row],[Produto]],tProdutos[Produto],0))="",DescontoPadrao,INDEX(tProdutos[Desconto homologado],MATCH(tItens[[#This Row],[Produto]],tProdutos[Produto],0))),DescontoPadrao)</f>
        <v>0.34</v>
      </c>
      <c r="M7354" s="12">
        <f>tItens[[#This Row],[Valor]]*(1-tItens[[#This Row],[Desconto]])</f>
        <v>16.592399999999998</v>
      </c>
      <c r="N7354" t="str">
        <f>IFERROR(INDEX(tProdutos[Foco],MATCH(tItens[[#This Row],[Produto]],tProdutos[Produto],0)),"Não")</f>
        <v>Sim</v>
      </c>
      <c r="O7354" t="str">
        <f>IFERROR(INDEX(tEditais[SRP],MATCH(tItens[[#This Row],[Edital]],tEditais[Edital],0)),"Não")</f>
        <v>Sim</v>
      </c>
      <c r="P7354" s="4">
        <f>IF(COUNTIFS(INDEX(tItens[Edital],1):tItens[[#This Row],[Edital]],tItens[[#This Row],[Edital]],INDEX(tItens[Produto],1):tItens[[#This Row],[Produto]],tItens[[#This Row],[Produto]])=1,1,0)</f>
        <v>0</v>
      </c>
    </row>
    <row r="7355" spans="1:16" x14ac:dyDescent="0.25">
      <c r="A7355" t="s">
        <v>2468</v>
      </c>
      <c r="B7355">
        <v>614</v>
      </c>
      <c r="C7355" t="s">
        <v>9996</v>
      </c>
      <c r="D7355" t="s">
        <v>56</v>
      </c>
      <c r="E7355" s="13">
        <v>1</v>
      </c>
      <c r="F7355" s="12">
        <v>24.26</v>
      </c>
      <c r="G7355" t="str">
        <f>IFERROR(INDEX(tEditais[Órgão],MATCH(tItens[[#This Row],[Edital]],tEditais[Edital],0)),"")</f>
        <v>CIMCERO - CONSORCIO INTERMUNICIPAL DA REGIAO CENTRO LESTE DO ESTADO DE RONDONIA</v>
      </c>
      <c r="H7355" t="str">
        <f>IFERROR(INDEX(tEditais[UF],MATCH(tItens[[#This Row],[Edital]],tEditais[Edital],0)),"")</f>
        <v>RO</v>
      </c>
      <c r="I7355" s="11">
        <f>IFERROR(INDEX(tEditais[Encerramento],MATCH(tItens[[#This Row],[Edital]],tEditais[Edital],0)),"")</f>
        <v>46310.729166666664</v>
      </c>
      <c r="J7355" t="str">
        <f>IFERROR(INDEX(tProdutos[Classe],MATCH(tItens[[#This Row],[Produto]],tProdutos[Produto],0)),"produto não cadastrado")</f>
        <v>NÚCLEO</v>
      </c>
      <c r="K7355" s="12">
        <f>tItens[[#This Row],[Qtd]]*tItens[[#This Row],[Vlr unit]]</f>
        <v>24.26</v>
      </c>
      <c r="L7355" s="6">
        <f>IFERROR(IF(INDEX(tProdutos[Desconto homologado],MATCH(tItens[[#This Row],[Produto]],tProdutos[Produto],0))="",DescontoPadrao,INDEX(tProdutos[Desconto homologado],MATCH(tItens[[#This Row],[Produto]],tProdutos[Produto],0))),DescontoPadrao)</f>
        <v>0.34</v>
      </c>
      <c r="M7355" s="12">
        <f>tItens[[#This Row],[Valor]]*(1-tItens[[#This Row],[Desconto]])</f>
        <v>16.011599999999998</v>
      </c>
      <c r="N7355" t="str">
        <f>IFERROR(INDEX(tProdutos[Foco],MATCH(tItens[[#This Row],[Produto]],tProdutos[Produto],0)),"Não")</f>
        <v>Sim</v>
      </c>
      <c r="O7355" t="str">
        <f>IFERROR(INDEX(tEditais[SRP],MATCH(tItens[[#This Row],[Edital]],tEditais[Edital],0)),"Não")</f>
        <v>Sim</v>
      </c>
      <c r="P7355" s="4">
        <f>IF(COUNTIFS(INDEX(tItens[Edital],1):tItens[[#This Row],[Edital]],tItens[[#This Row],[Edital]],INDEX(tItens[Produto],1):tItens[[#This Row],[Produto]],tItens[[#This Row],[Produto]])=1,1,0)</f>
        <v>0</v>
      </c>
    </row>
    <row r="7356" spans="1:16" x14ac:dyDescent="0.25">
      <c r="A7356" t="s">
        <v>2468</v>
      </c>
      <c r="B7356">
        <v>615</v>
      </c>
      <c r="C7356" t="s">
        <v>9997</v>
      </c>
      <c r="D7356" t="s">
        <v>56</v>
      </c>
      <c r="E7356" s="13">
        <v>1</v>
      </c>
      <c r="F7356" s="12">
        <v>21.38</v>
      </c>
      <c r="G7356" t="str">
        <f>IFERROR(INDEX(tEditais[Órgão],MATCH(tItens[[#This Row],[Edital]],tEditais[Edital],0)),"")</f>
        <v>CIMCERO - CONSORCIO INTERMUNICIPAL DA REGIAO CENTRO LESTE DO ESTADO DE RONDONIA</v>
      </c>
      <c r="H7356" t="str">
        <f>IFERROR(INDEX(tEditais[UF],MATCH(tItens[[#This Row],[Edital]],tEditais[Edital],0)),"")</f>
        <v>RO</v>
      </c>
      <c r="I7356" s="11">
        <f>IFERROR(INDEX(tEditais[Encerramento],MATCH(tItens[[#This Row],[Edital]],tEditais[Edital],0)),"")</f>
        <v>46310.729166666664</v>
      </c>
      <c r="J7356" t="str">
        <f>IFERROR(INDEX(tProdutos[Classe],MATCH(tItens[[#This Row],[Produto]],tProdutos[Produto],0)),"produto não cadastrado")</f>
        <v>NÚCLEO</v>
      </c>
      <c r="K7356" s="12">
        <f>tItens[[#This Row],[Qtd]]*tItens[[#This Row],[Vlr unit]]</f>
        <v>21.38</v>
      </c>
      <c r="L7356" s="6">
        <f>IFERROR(IF(INDEX(tProdutos[Desconto homologado],MATCH(tItens[[#This Row],[Produto]],tProdutos[Produto],0))="",DescontoPadrao,INDEX(tProdutos[Desconto homologado],MATCH(tItens[[#This Row],[Produto]],tProdutos[Produto],0))),DescontoPadrao)</f>
        <v>0.34</v>
      </c>
      <c r="M7356" s="12">
        <f>tItens[[#This Row],[Valor]]*(1-tItens[[#This Row],[Desconto]])</f>
        <v>14.110799999999998</v>
      </c>
      <c r="N7356" t="str">
        <f>IFERROR(INDEX(tProdutos[Foco],MATCH(tItens[[#This Row],[Produto]],tProdutos[Produto],0)),"Não")</f>
        <v>Sim</v>
      </c>
      <c r="O7356" t="str">
        <f>IFERROR(INDEX(tEditais[SRP],MATCH(tItens[[#This Row],[Edital]],tEditais[Edital],0)),"Não")</f>
        <v>Sim</v>
      </c>
      <c r="P7356" s="4">
        <f>IF(COUNTIFS(INDEX(tItens[Edital],1):tItens[[#This Row],[Edital]],tItens[[#This Row],[Edital]],INDEX(tItens[Produto],1):tItens[[#This Row],[Produto]],tItens[[#This Row],[Produto]])=1,1,0)</f>
        <v>0</v>
      </c>
    </row>
    <row r="7357" spans="1:16" x14ac:dyDescent="0.25">
      <c r="A7357" t="s">
        <v>2468</v>
      </c>
      <c r="B7357">
        <v>616</v>
      </c>
      <c r="C7357" t="s">
        <v>9998</v>
      </c>
      <c r="D7357" t="s">
        <v>413</v>
      </c>
      <c r="E7357" s="13">
        <v>1</v>
      </c>
      <c r="F7357" s="12">
        <v>14.97</v>
      </c>
      <c r="G7357" t="str">
        <f>IFERROR(INDEX(tEditais[Órgão],MATCH(tItens[[#This Row],[Edital]],tEditais[Edital],0)),"")</f>
        <v>CIMCERO - CONSORCIO INTERMUNICIPAL DA REGIAO CENTRO LESTE DO ESTADO DE RONDONIA</v>
      </c>
      <c r="H7357" t="str">
        <f>IFERROR(INDEX(tEditais[UF],MATCH(tItens[[#This Row],[Edital]],tEditais[Edital],0)),"")</f>
        <v>RO</v>
      </c>
      <c r="I7357" s="11">
        <f>IFERROR(INDEX(tEditais[Encerramento],MATCH(tItens[[#This Row],[Edital]],tEditais[Edital],0)),"")</f>
        <v>46310.729166666664</v>
      </c>
      <c r="J7357" t="str">
        <f>IFERROR(INDEX(tProdutos[Classe],MATCH(tItens[[#This Row],[Produto]],tProdutos[Produto],0)),"produto não cadastrado")</f>
        <v>FORA</v>
      </c>
      <c r="K7357" s="12">
        <f>tItens[[#This Row],[Qtd]]*tItens[[#This Row],[Vlr unit]]</f>
        <v>14.97</v>
      </c>
      <c r="L7357" s="6">
        <f>IFERROR(IF(INDEX(tProdutos[Desconto homologado],MATCH(tItens[[#This Row],[Produto]],tProdutos[Produto],0))="",DescontoPadrao,INDEX(tProdutos[Desconto homologado],MATCH(tItens[[#This Row],[Produto]],tProdutos[Produto],0))),DescontoPadrao)</f>
        <v>0.477732793522267</v>
      </c>
      <c r="M7357" s="12">
        <f>tItens[[#This Row],[Valor]]*(1-tItens[[#This Row],[Desconto]])</f>
        <v>7.8183400809716623</v>
      </c>
      <c r="N7357" t="str">
        <f>IFERROR(INDEX(tProdutos[Foco],MATCH(tItens[[#This Row],[Produto]],tProdutos[Produto],0)),"Não")</f>
        <v>Não</v>
      </c>
      <c r="O7357" t="str">
        <f>IFERROR(INDEX(tEditais[SRP],MATCH(tItens[[#This Row],[Edital]],tEditais[Edital],0)),"Não")</f>
        <v>Sim</v>
      </c>
      <c r="P7357" s="4">
        <f>IF(COUNTIFS(INDEX(tItens[Edital],1):tItens[[#This Row],[Edital]],tItens[[#This Row],[Edital]],INDEX(tItens[Produto],1):tItens[[#This Row],[Produto]],tItens[[#This Row],[Produto]])=1,1,0)</f>
        <v>0</v>
      </c>
    </row>
    <row r="7358" spans="1:16" x14ac:dyDescent="0.25">
      <c r="A7358" t="s">
        <v>2468</v>
      </c>
      <c r="B7358">
        <v>617</v>
      </c>
      <c r="C7358" t="s">
        <v>6969</v>
      </c>
      <c r="D7358" t="s">
        <v>413</v>
      </c>
      <c r="E7358" s="13">
        <v>1</v>
      </c>
      <c r="F7358" s="12">
        <v>5.74</v>
      </c>
      <c r="G7358" t="str">
        <f>IFERROR(INDEX(tEditais[Órgão],MATCH(tItens[[#This Row],[Edital]],tEditais[Edital],0)),"")</f>
        <v>CIMCERO - CONSORCIO INTERMUNICIPAL DA REGIAO CENTRO LESTE DO ESTADO DE RONDONIA</v>
      </c>
      <c r="H7358" t="str">
        <f>IFERROR(INDEX(tEditais[UF],MATCH(tItens[[#This Row],[Edital]],tEditais[Edital],0)),"")</f>
        <v>RO</v>
      </c>
      <c r="I7358" s="11">
        <f>IFERROR(INDEX(tEditais[Encerramento],MATCH(tItens[[#This Row],[Edital]],tEditais[Edital],0)),"")</f>
        <v>46310.729166666664</v>
      </c>
      <c r="J7358" t="str">
        <f>IFERROR(INDEX(tProdutos[Classe],MATCH(tItens[[#This Row],[Produto]],tProdutos[Produto],0)),"produto não cadastrado")</f>
        <v>FORA</v>
      </c>
      <c r="K7358" s="12">
        <f>tItens[[#This Row],[Qtd]]*tItens[[#This Row],[Vlr unit]]</f>
        <v>5.74</v>
      </c>
      <c r="L7358" s="6">
        <f>IFERROR(IF(INDEX(tProdutos[Desconto homologado],MATCH(tItens[[#This Row],[Produto]],tProdutos[Produto],0))="",DescontoPadrao,INDEX(tProdutos[Desconto homologado],MATCH(tItens[[#This Row],[Produto]],tProdutos[Produto],0))),DescontoPadrao)</f>
        <v>0.477732793522267</v>
      </c>
      <c r="M7358" s="12">
        <f>tItens[[#This Row],[Valor]]*(1-tItens[[#This Row],[Desconto]])</f>
        <v>2.9978137651821872</v>
      </c>
      <c r="N7358" t="str">
        <f>IFERROR(INDEX(tProdutos[Foco],MATCH(tItens[[#This Row],[Produto]],tProdutos[Produto],0)),"Não")</f>
        <v>Não</v>
      </c>
      <c r="O7358" t="str">
        <f>IFERROR(INDEX(tEditais[SRP],MATCH(tItens[[#This Row],[Edital]],tEditais[Edital],0)),"Não")</f>
        <v>Sim</v>
      </c>
      <c r="P7358" s="4">
        <f>IF(COUNTIFS(INDEX(tItens[Edital],1):tItens[[#This Row],[Edital]],tItens[[#This Row],[Edital]],INDEX(tItens[Produto],1):tItens[[#This Row],[Produto]],tItens[[#This Row],[Produto]])=1,1,0)</f>
        <v>0</v>
      </c>
    </row>
    <row r="7359" spans="1:16" x14ac:dyDescent="0.25">
      <c r="A7359" t="s">
        <v>2468</v>
      </c>
      <c r="B7359">
        <v>618</v>
      </c>
      <c r="C7359" t="s">
        <v>9999</v>
      </c>
      <c r="D7359" t="s">
        <v>413</v>
      </c>
      <c r="E7359" s="13">
        <v>1</v>
      </c>
      <c r="F7359" s="12">
        <v>1.0900000000000001</v>
      </c>
      <c r="G7359" t="str">
        <f>IFERROR(INDEX(tEditais[Órgão],MATCH(tItens[[#This Row],[Edital]],tEditais[Edital],0)),"")</f>
        <v>CIMCERO - CONSORCIO INTERMUNICIPAL DA REGIAO CENTRO LESTE DO ESTADO DE RONDONIA</v>
      </c>
      <c r="H7359" t="str">
        <f>IFERROR(INDEX(tEditais[UF],MATCH(tItens[[#This Row],[Edital]],tEditais[Edital],0)),"")</f>
        <v>RO</v>
      </c>
      <c r="I7359" s="11">
        <f>IFERROR(INDEX(tEditais[Encerramento],MATCH(tItens[[#This Row],[Edital]],tEditais[Edital],0)),"")</f>
        <v>46310.729166666664</v>
      </c>
      <c r="J7359" t="str">
        <f>IFERROR(INDEX(tProdutos[Classe],MATCH(tItens[[#This Row],[Produto]],tProdutos[Produto],0)),"produto não cadastrado")</f>
        <v>FORA</v>
      </c>
      <c r="K7359" s="12">
        <f>tItens[[#This Row],[Qtd]]*tItens[[#This Row],[Vlr unit]]</f>
        <v>1.0900000000000001</v>
      </c>
      <c r="L7359" s="6">
        <f>IFERROR(IF(INDEX(tProdutos[Desconto homologado],MATCH(tItens[[#This Row],[Produto]],tProdutos[Produto],0))="",DescontoPadrao,INDEX(tProdutos[Desconto homologado],MATCH(tItens[[#This Row],[Produto]],tProdutos[Produto],0))),DescontoPadrao)</f>
        <v>0.477732793522267</v>
      </c>
      <c r="M7359" s="12">
        <f>tItens[[#This Row],[Valor]]*(1-tItens[[#This Row],[Desconto]])</f>
        <v>0.56927125506072895</v>
      </c>
      <c r="N7359" t="str">
        <f>IFERROR(INDEX(tProdutos[Foco],MATCH(tItens[[#This Row],[Produto]],tProdutos[Produto],0)),"Não")</f>
        <v>Não</v>
      </c>
      <c r="O7359" t="str">
        <f>IFERROR(INDEX(tEditais[SRP],MATCH(tItens[[#This Row],[Edital]],tEditais[Edital],0)),"Não")</f>
        <v>Sim</v>
      </c>
      <c r="P7359" s="4">
        <f>IF(COUNTIFS(INDEX(tItens[Edital],1):tItens[[#This Row],[Edital]],tItens[[#This Row],[Edital]],INDEX(tItens[Produto],1):tItens[[#This Row],[Produto]],tItens[[#This Row],[Produto]])=1,1,0)</f>
        <v>0</v>
      </c>
    </row>
    <row r="7360" spans="1:16" x14ac:dyDescent="0.25">
      <c r="A7360" t="s">
        <v>2468</v>
      </c>
      <c r="B7360">
        <v>619</v>
      </c>
      <c r="C7360" t="s">
        <v>10000</v>
      </c>
      <c r="D7360" t="s">
        <v>313</v>
      </c>
      <c r="E7360" s="13">
        <v>1</v>
      </c>
      <c r="F7360" s="12">
        <v>38.840000000000003</v>
      </c>
      <c r="G7360" t="str">
        <f>IFERROR(INDEX(tEditais[Órgão],MATCH(tItens[[#This Row],[Edital]],tEditais[Edital],0)),"")</f>
        <v>CIMCERO - CONSORCIO INTERMUNICIPAL DA REGIAO CENTRO LESTE DO ESTADO DE RONDONIA</v>
      </c>
      <c r="H7360" t="str">
        <f>IFERROR(INDEX(tEditais[UF],MATCH(tItens[[#This Row],[Edital]],tEditais[Edital],0)),"")</f>
        <v>RO</v>
      </c>
      <c r="I7360" s="11">
        <f>IFERROR(INDEX(tEditais[Encerramento],MATCH(tItens[[#This Row],[Edital]],tEditais[Edital],0)),"")</f>
        <v>46310.729166666664</v>
      </c>
      <c r="J7360" t="str">
        <f>IFERROR(INDEX(tProdutos[Classe],MATCH(tItens[[#This Row],[Produto]],tProdutos[Produto],0)),"produto não cadastrado")</f>
        <v>FORA</v>
      </c>
      <c r="K7360" s="12">
        <f>tItens[[#This Row],[Qtd]]*tItens[[#This Row],[Vlr unit]]</f>
        <v>38.840000000000003</v>
      </c>
      <c r="L7360" s="6">
        <f>IFERROR(IF(INDEX(tProdutos[Desconto homologado],MATCH(tItens[[#This Row],[Produto]],tProdutos[Produto],0))="",DescontoPadrao,INDEX(tProdutos[Desconto homologado],MATCH(tItens[[#This Row],[Produto]],tProdutos[Produto],0))),DescontoPadrao)</f>
        <v>0.35766373163696302</v>
      </c>
      <c r="M7360" s="12">
        <f>tItens[[#This Row],[Valor]]*(1-tItens[[#This Row],[Desconto]])</f>
        <v>24.948340663220357</v>
      </c>
      <c r="N7360" t="str">
        <f>IFERROR(INDEX(tProdutos[Foco],MATCH(tItens[[#This Row],[Produto]],tProdutos[Produto],0)),"Não")</f>
        <v>Não</v>
      </c>
      <c r="O7360" t="str">
        <f>IFERROR(INDEX(tEditais[SRP],MATCH(tItens[[#This Row],[Edital]],tEditais[Edital],0)),"Não")</f>
        <v>Sim</v>
      </c>
      <c r="P7360" s="4">
        <f>IF(COUNTIFS(INDEX(tItens[Edital],1):tItens[[#This Row],[Edital]],tItens[[#This Row],[Edital]],INDEX(tItens[Produto],1):tItens[[#This Row],[Produto]],tItens[[#This Row],[Produto]])=1,1,0)</f>
        <v>0</v>
      </c>
    </row>
    <row r="7361" spans="1:16" x14ac:dyDescent="0.25">
      <c r="A7361" t="s">
        <v>2468</v>
      </c>
      <c r="B7361">
        <v>620</v>
      </c>
      <c r="C7361" t="s">
        <v>9397</v>
      </c>
      <c r="D7361" t="s">
        <v>313</v>
      </c>
      <c r="E7361" s="13">
        <v>1</v>
      </c>
      <c r="F7361" s="12">
        <v>36.32</v>
      </c>
      <c r="G7361" t="str">
        <f>IFERROR(INDEX(tEditais[Órgão],MATCH(tItens[[#This Row],[Edital]],tEditais[Edital],0)),"")</f>
        <v>CIMCERO - CONSORCIO INTERMUNICIPAL DA REGIAO CENTRO LESTE DO ESTADO DE RONDONIA</v>
      </c>
      <c r="H7361" t="str">
        <f>IFERROR(INDEX(tEditais[UF],MATCH(tItens[[#This Row],[Edital]],tEditais[Edital],0)),"")</f>
        <v>RO</v>
      </c>
      <c r="I7361" s="11">
        <f>IFERROR(INDEX(tEditais[Encerramento],MATCH(tItens[[#This Row],[Edital]],tEditais[Edital],0)),"")</f>
        <v>46310.729166666664</v>
      </c>
      <c r="J7361" t="str">
        <f>IFERROR(INDEX(tProdutos[Classe],MATCH(tItens[[#This Row],[Produto]],tProdutos[Produto],0)),"produto não cadastrado")</f>
        <v>FORA</v>
      </c>
      <c r="K7361" s="12">
        <f>tItens[[#This Row],[Qtd]]*tItens[[#This Row],[Vlr unit]]</f>
        <v>36.32</v>
      </c>
      <c r="L7361" s="6">
        <f>IFERROR(IF(INDEX(tProdutos[Desconto homologado],MATCH(tItens[[#This Row],[Produto]],tProdutos[Produto],0))="",DescontoPadrao,INDEX(tProdutos[Desconto homologado],MATCH(tItens[[#This Row],[Produto]],tProdutos[Produto],0))),DescontoPadrao)</f>
        <v>0.35766373163696302</v>
      </c>
      <c r="M7361" s="12">
        <f>tItens[[#This Row],[Valor]]*(1-tItens[[#This Row],[Desconto]])</f>
        <v>23.329653266945503</v>
      </c>
      <c r="N7361" t="str">
        <f>IFERROR(INDEX(tProdutos[Foco],MATCH(tItens[[#This Row],[Produto]],tProdutos[Produto],0)),"Não")</f>
        <v>Não</v>
      </c>
      <c r="O7361" t="str">
        <f>IFERROR(INDEX(tEditais[SRP],MATCH(tItens[[#This Row],[Edital]],tEditais[Edital],0)),"Não")</f>
        <v>Sim</v>
      </c>
      <c r="P7361" s="4">
        <f>IF(COUNTIFS(INDEX(tItens[Edital],1):tItens[[#This Row],[Edital]],tItens[[#This Row],[Edital]],INDEX(tItens[Produto],1):tItens[[#This Row],[Produto]],tItens[[#This Row],[Produto]])=1,1,0)</f>
        <v>0</v>
      </c>
    </row>
    <row r="7362" spans="1:16" x14ac:dyDescent="0.25">
      <c r="A7362" t="s">
        <v>2468</v>
      </c>
      <c r="B7362">
        <v>621</v>
      </c>
      <c r="C7362" t="s">
        <v>10001</v>
      </c>
      <c r="D7362" t="s">
        <v>313</v>
      </c>
      <c r="E7362" s="13">
        <v>1</v>
      </c>
      <c r="F7362" s="12">
        <v>33.06</v>
      </c>
      <c r="G7362" t="str">
        <f>IFERROR(INDEX(tEditais[Órgão],MATCH(tItens[[#This Row],[Edital]],tEditais[Edital],0)),"")</f>
        <v>CIMCERO - CONSORCIO INTERMUNICIPAL DA REGIAO CENTRO LESTE DO ESTADO DE RONDONIA</v>
      </c>
      <c r="H7362" t="str">
        <f>IFERROR(INDEX(tEditais[UF],MATCH(tItens[[#This Row],[Edital]],tEditais[Edital],0)),"")</f>
        <v>RO</v>
      </c>
      <c r="I7362" s="11">
        <f>IFERROR(INDEX(tEditais[Encerramento],MATCH(tItens[[#This Row],[Edital]],tEditais[Edital],0)),"")</f>
        <v>46310.729166666664</v>
      </c>
      <c r="J7362" t="str">
        <f>IFERROR(INDEX(tProdutos[Classe],MATCH(tItens[[#This Row],[Produto]],tProdutos[Produto],0)),"produto não cadastrado")</f>
        <v>FORA</v>
      </c>
      <c r="K7362" s="12">
        <f>tItens[[#This Row],[Qtd]]*tItens[[#This Row],[Vlr unit]]</f>
        <v>33.06</v>
      </c>
      <c r="L7362" s="6">
        <f>IFERROR(IF(INDEX(tProdutos[Desconto homologado],MATCH(tItens[[#This Row],[Produto]],tProdutos[Produto],0))="",DescontoPadrao,INDEX(tProdutos[Desconto homologado],MATCH(tItens[[#This Row],[Produto]],tProdutos[Produto],0))),DescontoPadrao)</f>
        <v>0.35766373163696302</v>
      </c>
      <c r="M7362" s="12">
        <f>tItens[[#This Row],[Valor]]*(1-tItens[[#This Row],[Desconto]])</f>
        <v>21.235637032082003</v>
      </c>
      <c r="N7362" t="str">
        <f>IFERROR(INDEX(tProdutos[Foco],MATCH(tItens[[#This Row],[Produto]],tProdutos[Produto],0)),"Não")</f>
        <v>Não</v>
      </c>
      <c r="O7362" t="str">
        <f>IFERROR(INDEX(tEditais[SRP],MATCH(tItens[[#This Row],[Edital]],tEditais[Edital],0)),"Não")</f>
        <v>Sim</v>
      </c>
      <c r="P7362" s="4">
        <f>IF(COUNTIFS(INDEX(tItens[Edital],1):tItens[[#This Row],[Edital]],tItens[[#This Row],[Edital]],INDEX(tItens[Produto],1):tItens[[#This Row],[Produto]],tItens[[#This Row],[Produto]])=1,1,0)</f>
        <v>0</v>
      </c>
    </row>
    <row r="7363" spans="1:16" x14ac:dyDescent="0.25">
      <c r="A7363" t="s">
        <v>2468</v>
      </c>
      <c r="B7363">
        <v>622</v>
      </c>
      <c r="C7363" t="s">
        <v>7909</v>
      </c>
      <c r="D7363" t="s">
        <v>313</v>
      </c>
      <c r="E7363" s="13">
        <v>1</v>
      </c>
      <c r="F7363" s="12">
        <v>35.25</v>
      </c>
      <c r="G7363" t="str">
        <f>IFERROR(INDEX(tEditais[Órgão],MATCH(tItens[[#This Row],[Edital]],tEditais[Edital],0)),"")</f>
        <v>CIMCERO - CONSORCIO INTERMUNICIPAL DA REGIAO CENTRO LESTE DO ESTADO DE RONDONIA</v>
      </c>
      <c r="H7363" t="str">
        <f>IFERROR(INDEX(tEditais[UF],MATCH(tItens[[#This Row],[Edital]],tEditais[Edital],0)),"")</f>
        <v>RO</v>
      </c>
      <c r="I7363" s="11">
        <f>IFERROR(INDEX(tEditais[Encerramento],MATCH(tItens[[#This Row],[Edital]],tEditais[Edital],0)),"")</f>
        <v>46310.729166666664</v>
      </c>
      <c r="J7363" t="str">
        <f>IFERROR(INDEX(tProdutos[Classe],MATCH(tItens[[#This Row],[Produto]],tProdutos[Produto],0)),"produto não cadastrado")</f>
        <v>FORA</v>
      </c>
      <c r="K7363" s="12">
        <f>tItens[[#This Row],[Qtd]]*tItens[[#This Row],[Vlr unit]]</f>
        <v>35.25</v>
      </c>
      <c r="L7363" s="6">
        <f>IFERROR(IF(INDEX(tProdutos[Desconto homologado],MATCH(tItens[[#This Row],[Produto]],tProdutos[Produto],0))="",DescontoPadrao,INDEX(tProdutos[Desconto homologado],MATCH(tItens[[#This Row],[Produto]],tProdutos[Produto],0))),DescontoPadrao)</f>
        <v>0.35766373163696302</v>
      </c>
      <c r="M7363" s="12">
        <f>tItens[[#This Row],[Valor]]*(1-tItens[[#This Row],[Desconto]])</f>
        <v>22.64235345979705</v>
      </c>
      <c r="N7363" t="str">
        <f>IFERROR(INDEX(tProdutos[Foco],MATCH(tItens[[#This Row],[Produto]],tProdutos[Produto],0)),"Não")</f>
        <v>Não</v>
      </c>
      <c r="O7363" t="str">
        <f>IFERROR(INDEX(tEditais[SRP],MATCH(tItens[[#This Row],[Edital]],tEditais[Edital],0)),"Não")</f>
        <v>Sim</v>
      </c>
      <c r="P7363" s="4">
        <f>IF(COUNTIFS(INDEX(tItens[Edital],1):tItens[[#This Row],[Edital]],tItens[[#This Row],[Edital]],INDEX(tItens[Produto],1):tItens[[#This Row],[Produto]],tItens[[#This Row],[Produto]])=1,1,0)</f>
        <v>0</v>
      </c>
    </row>
    <row r="7364" spans="1:16" x14ac:dyDescent="0.25">
      <c r="A7364" t="s">
        <v>2468</v>
      </c>
      <c r="B7364">
        <v>627</v>
      </c>
      <c r="C7364" t="s">
        <v>10002</v>
      </c>
      <c r="D7364" t="s">
        <v>311</v>
      </c>
      <c r="E7364" s="13">
        <v>1</v>
      </c>
      <c r="F7364" s="12">
        <v>2.4500000000000002</v>
      </c>
      <c r="G7364" t="str">
        <f>IFERROR(INDEX(tEditais[Órgão],MATCH(tItens[[#This Row],[Edital]],tEditais[Edital],0)),"")</f>
        <v>CIMCERO - CONSORCIO INTERMUNICIPAL DA REGIAO CENTRO LESTE DO ESTADO DE RONDONIA</v>
      </c>
      <c r="H7364" t="str">
        <f>IFERROR(INDEX(tEditais[UF],MATCH(tItens[[#This Row],[Edital]],tEditais[Edital],0)),"")</f>
        <v>RO</v>
      </c>
      <c r="I7364" s="11">
        <f>IFERROR(INDEX(tEditais[Encerramento],MATCH(tItens[[#This Row],[Edital]],tEditais[Edital],0)),"")</f>
        <v>46310.729166666664</v>
      </c>
      <c r="J7364" t="str">
        <f>IFERROR(INDEX(tProdutos[Classe],MATCH(tItens[[#This Row],[Produto]],tProdutos[Produto],0)),"produto não cadastrado")</f>
        <v>FORA</v>
      </c>
      <c r="K7364" s="12">
        <f>tItens[[#This Row],[Qtd]]*tItens[[#This Row],[Vlr unit]]</f>
        <v>2.4500000000000002</v>
      </c>
      <c r="L7364" s="6">
        <f>IFERROR(IF(INDEX(tProdutos[Desconto homologado],MATCH(tItens[[#This Row],[Produto]],tProdutos[Produto],0))="",DescontoPadrao,INDEX(tProdutos[Desconto homologado],MATCH(tItens[[#This Row],[Produto]],tProdutos[Produto],0))),DescontoPadrao)</f>
        <v>0.29046182846371399</v>
      </c>
      <c r="M7364" s="12">
        <f>tItens[[#This Row],[Valor]]*(1-tItens[[#This Row],[Desconto]])</f>
        <v>1.738368520263901</v>
      </c>
      <c r="N7364" t="str">
        <f>IFERROR(INDEX(tProdutos[Foco],MATCH(tItens[[#This Row],[Produto]],tProdutos[Produto],0)),"Não")</f>
        <v>Não</v>
      </c>
      <c r="O7364" t="str">
        <f>IFERROR(INDEX(tEditais[SRP],MATCH(tItens[[#This Row],[Edital]],tEditais[Edital],0)),"Não")</f>
        <v>Sim</v>
      </c>
      <c r="P7364" s="4">
        <f>IF(COUNTIFS(INDEX(tItens[Edital],1):tItens[[#This Row],[Edital]],tItens[[#This Row],[Edital]],INDEX(tItens[Produto],1):tItens[[#This Row],[Produto]],tItens[[#This Row],[Produto]])=1,1,0)</f>
        <v>1</v>
      </c>
    </row>
    <row r="7365" spans="1:16" x14ac:dyDescent="0.25">
      <c r="A7365" t="s">
        <v>2468</v>
      </c>
      <c r="B7365">
        <v>634</v>
      </c>
      <c r="C7365" t="s">
        <v>10003</v>
      </c>
      <c r="D7365" t="s">
        <v>184</v>
      </c>
      <c r="E7365" s="13">
        <v>1</v>
      </c>
      <c r="F7365" s="12">
        <v>3.57</v>
      </c>
      <c r="G7365" t="str">
        <f>IFERROR(INDEX(tEditais[Órgão],MATCH(tItens[[#This Row],[Edital]],tEditais[Edital],0)),"")</f>
        <v>CIMCERO - CONSORCIO INTERMUNICIPAL DA REGIAO CENTRO LESTE DO ESTADO DE RONDONIA</v>
      </c>
      <c r="H7365" t="str">
        <f>IFERROR(INDEX(tEditais[UF],MATCH(tItens[[#This Row],[Edital]],tEditais[Edital],0)),"")</f>
        <v>RO</v>
      </c>
      <c r="I7365" s="11">
        <f>IFERROR(INDEX(tEditais[Encerramento],MATCH(tItens[[#This Row],[Edital]],tEditais[Edital],0)),"")</f>
        <v>46310.729166666664</v>
      </c>
      <c r="J7365" t="str">
        <f>IFERROR(INDEX(tProdutos[Classe],MATCH(tItens[[#This Row],[Produto]],tProdutos[Produto],0)),"produto não cadastrado")</f>
        <v>FORA</v>
      </c>
      <c r="K7365" s="12">
        <f>tItens[[#This Row],[Qtd]]*tItens[[#This Row],[Vlr unit]]</f>
        <v>3.57</v>
      </c>
      <c r="L7365" s="6">
        <f>IFERROR(IF(INDEX(tProdutos[Desconto homologado],MATCH(tItens[[#This Row],[Produto]],tProdutos[Produto],0))="",DescontoPadrao,INDEX(tProdutos[Desconto homologado],MATCH(tItens[[#This Row],[Produto]],tProdutos[Produto],0))),DescontoPadrao)</f>
        <v>0.363567906332742</v>
      </c>
      <c r="M7365" s="12">
        <f>tItens[[#This Row],[Valor]]*(1-tItens[[#This Row],[Desconto]])</f>
        <v>2.2720625743921112</v>
      </c>
      <c r="N7365" t="str">
        <f>IFERROR(INDEX(tProdutos[Foco],MATCH(tItens[[#This Row],[Produto]],tProdutos[Produto],0)),"Não")</f>
        <v>Não</v>
      </c>
      <c r="O7365" t="str">
        <f>IFERROR(INDEX(tEditais[SRP],MATCH(tItens[[#This Row],[Edital]],tEditais[Edital],0)),"Não")</f>
        <v>Sim</v>
      </c>
      <c r="P7365" s="4">
        <f>IF(COUNTIFS(INDEX(tItens[Edital],1):tItens[[#This Row],[Edital]],tItens[[#This Row],[Edital]],INDEX(tItens[Produto],1):tItens[[#This Row],[Produto]],tItens[[#This Row],[Produto]])=1,1,0)</f>
        <v>0</v>
      </c>
    </row>
    <row r="7366" spans="1:16" x14ac:dyDescent="0.25">
      <c r="A7366" t="s">
        <v>2468</v>
      </c>
      <c r="B7366">
        <v>635</v>
      </c>
      <c r="C7366" t="s">
        <v>10004</v>
      </c>
      <c r="D7366" t="s">
        <v>184</v>
      </c>
      <c r="E7366" s="13">
        <v>1</v>
      </c>
      <c r="F7366" s="12">
        <v>3.59</v>
      </c>
      <c r="G7366" t="str">
        <f>IFERROR(INDEX(tEditais[Órgão],MATCH(tItens[[#This Row],[Edital]],tEditais[Edital],0)),"")</f>
        <v>CIMCERO - CONSORCIO INTERMUNICIPAL DA REGIAO CENTRO LESTE DO ESTADO DE RONDONIA</v>
      </c>
      <c r="H7366" t="str">
        <f>IFERROR(INDEX(tEditais[UF],MATCH(tItens[[#This Row],[Edital]],tEditais[Edital],0)),"")</f>
        <v>RO</v>
      </c>
      <c r="I7366" s="11">
        <f>IFERROR(INDEX(tEditais[Encerramento],MATCH(tItens[[#This Row],[Edital]],tEditais[Edital],0)),"")</f>
        <v>46310.729166666664</v>
      </c>
      <c r="J7366" t="str">
        <f>IFERROR(INDEX(tProdutos[Classe],MATCH(tItens[[#This Row],[Produto]],tProdutos[Produto],0)),"produto não cadastrado")</f>
        <v>FORA</v>
      </c>
      <c r="K7366" s="12">
        <f>tItens[[#This Row],[Qtd]]*tItens[[#This Row],[Vlr unit]]</f>
        <v>3.59</v>
      </c>
      <c r="L7366" s="6">
        <f>IFERROR(IF(INDEX(tProdutos[Desconto homologado],MATCH(tItens[[#This Row],[Produto]],tProdutos[Produto],0))="",DescontoPadrao,INDEX(tProdutos[Desconto homologado],MATCH(tItens[[#This Row],[Produto]],tProdutos[Produto],0))),DescontoPadrao)</f>
        <v>0.363567906332742</v>
      </c>
      <c r="M7366" s="12">
        <f>tItens[[#This Row],[Valor]]*(1-tItens[[#This Row],[Desconto]])</f>
        <v>2.2847912162654564</v>
      </c>
      <c r="N7366" t="str">
        <f>IFERROR(INDEX(tProdutos[Foco],MATCH(tItens[[#This Row],[Produto]],tProdutos[Produto],0)),"Não")</f>
        <v>Não</v>
      </c>
      <c r="O7366" t="str">
        <f>IFERROR(INDEX(tEditais[SRP],MATCH(tItens[[#This Row],[Edital]],tEditais[Edital],0)),"Não")</f>
        <v>Sim</v>
      </c>
      <c r="P7366" s="4">
        <f>IF(COUNTIFS(INDEX(tItens[Edital],1):tItens[[#This Row],[Edital]],tItens[[#This Row],[Edital]],INDEX(tItens[Produto],1):tItens[[#This Row],[Produto]],tItens[[#This Row],[Produto]])=1,1,0)</f>
        <v>0</v>
      </c>
    </row>
    <row r="7367" spans="1:16" x14ac:dyDescent="0.25">
      <c r="A7367" t="s">
        <v>2468</v>
      </c>
      <c r="B7367">
        <v>636</v>
      </c>
      <c r="C7367" t="s">
        <v>10005</v>
      </c>
      <c r="D7367" t="s">
        <v>253</v>
      </c>
      <c r="E7367" s="13">
        <v>1</v>
      </c>
      <c r="F7367" s="12">
        <v>4.2</v>
      </c>
      <c r="G7367" t="str">
        <f>IFERROR(INDEX(tEditais[Órgão],MATCH(tItens[[#This Row],[Edital]],tEditais[Edital],0)),"")</f>
        <v>CIMCERO - CONSORCIO INTERMUNICIPAL DA REGIAO CENTRO LESTE DO ESTADO DE RONDONIA</v>
      </c>
      <c r="H7367" t="str">
        <f>IFERROR(INDEX(tEditais[UF],MATCH(tItens[[#This Row],[Edital]],tEditais[Edital],0)),"")</f>
        <v>RO</v>
      </c>
      <c r="I7367" s="11">
        <f>IFERROR(INDEX(tEditais[Encerramento],MATCH(tItens[[#This Row],[Edital]],tEditais[Edital],0)),"")</f>
        <v>46310.729166666664</v>
      </c>
      <c r="J7367" t="str">
        <f>IFERROR(INDEX(tProdutos[Classe],MATCH(tItens[[#This Row],[Produto]],tProdutos[Produto],0)),"produto não cadastrado")</f>
        <v>FORA</v>
      </c>
      <c r="K7367" s="12">
        <f>tItens[[#This Row],[Qtd]]*tItens[[#This Row],[Vlr unit]]</f>
        <v>4.2</v>
      </c>
      <c r="L7367" s="6">
        <f>IFERROR(IF(INDEX(tProdutos[Desconto homologado],MATCH(tItens[[#This Row],[Produto]],tProdutos[Produto],0))="",DescontoPadrao,INDEX(tProdutos[Desconto homologado],MATCH(tItens[[#This Row],[Produto]],tProdutos[Produto],0))),DescontoPadrao)</f>
        <v>0.31735159817351599</v>
      </c>
      <c r="M7367" s="12">
        <f>tItens[[#This Row],[Valor]]*(1-tItens[[#This Row],[Desconto]])</f>
        <v>2.8671232876712329</v>
      </c>
      <c r="N7367" t="str">
        <f>IFERROR(INDEX(tProdutos[Foco],MATCH(tItens[[#This Row],[Produto]],tProdutos[Produto],0)),"Não")</f>
        <v>Não</v>
      </c>
      <c r="O7367" t="str">
        <f>IFERROR(INDEX(tEditais[SRP],MATCH(tItens[[#This Row],[Edital]],tEditais[Edital],0)),"Não")</f>
        <v>Sim</v>
      </c>
      <c r="P7367" s="4">
        <f>IF(COUNTIFS(INDEX(tItens[Edital],1):tItens[[#This Row],[Edital]],tItens[[#This Row],[Edital]],INDEX(tItens[Produto],1):tItens[[#This Row],[Produto]],tItens[[#This Row],[Produto]])=1,1,0)</f>
        <v>0</v>
      </c>
    </row>
    <row r="7368" spans="1:16" x14ac:dyDescent="0.25">
      <c r="A7368" t="s">
        <v>2468</v>
      </c>
      <c r="B7368">
        <v>637</v>
      </c>
      <c r="C7368" t="s">
        <v>10006</v>
      </c>
      <c r="D7368" t="s">
        <v>120</v>
      </c>
      <c r="E7368" s="13">
        <v>1</v>
      </c>
      <c r="F7368" s="12">
        <v>1.52</v>
      </c>
      <c r="G7368" t="str">
        <f>IFERROR(INDEX(tEditais[Órgão],MATCH(tItens[[#This Row],[Edital]],tEditais[Edital],0)),"")</f>
        <v>CIMCERO - CONSORCIO INTERMUNICIPAL DA REGIAO CENTRO LESTE DO ESTADO DE RONDONIA</v>
      </c>
      <c r="H7368" t="str">
        <f>IFERROR(INDEX(tEditais[UF],MATCH(tItens[[#This Row],[Edital]],tEditais[Edital],0)),"")</f>
        <v>RO</v>
      </c>
      <c r="I7368" s="11">
        <f>IFERROR(INDEX(tEditais[Encerramento],MATCH(tItens[[#This Row],[Edital]],tEditais[Edital],0)),"")</f>
        <v>46310.729166666664</v>
      </c>
      <c r="J7368" t="str">
        <f>IFERROR(INDEX(tProdutos[Classe],MATCH(tItens[[#This Row],[Produto]],tProdutos[Produto],0)),"produto não cadastrado")</f>
        <v>DISPUTADO</v>
      </c>
      <c r="K7368" s="12">
        <f>tItens[[#This Row],[Qtd]]*tItens[[#This Row],[Vlr unit]]</f>
        <v>1.52</v>
      </c>
      <c r="L7368" s="6">
        <f>IFERROR(IF(INDEX(tProdutos[Desconto homologado],MATCH(tItens[[#This Row],[Produto]],tProdutos[Produto],0))="",DescontoPadrao,INDEX(tProdutos[Desconto homologado],MATCH(tItens[[#This Row],[Produto]],tProdutos[Produto],0))),DescontoPadrao)</f>
        <v>0.40909090909090901</v>
      </c>
      <c r="M7368" s="12">
        <f>tItens[[#This Row],[Valor]]*(1-tItens[[#This Row],[Desconto]])</f>
        <v>0.89818181818181841</v>
      </c>
      <c r="N7368" t="str">
        <f>IFERROR(INDEX(tProdutos[Foco],MATCH(tItens[[#This Row],[Produto]],tProdutos[Produto],0)),"Não")</f>
        <v>Não</v>
      </c>
      <c r="O7368" t="str">
        <f>IFERROR(INDEX(tEditais[SRP],MATCH(tItens[[#This Row],[Edital]],tEditais[Edital],0)),"Não")</f>
        <v>Sim</v>
      </c>
      <c r="P7368" s="4">
        <f>IF(COUNTIFS(INDEX(tItens[Edital],1):tItens[[#This Row],[Edital]],tItens[[#This Row],[Edital]],INDEX(tItens[Produto],1):tItens[[#This Row],[Produto]],tItens[[#This Row],[Produto]])=1,1,0)</f>
        <v>0</v>
      </c>
    </row>
    <row r="7369" spans="1:16" x14ac:dyDescent="0.25">
      <c r="A7369" t="s">
        <v>2468</v>
      </c>
      <c r="B7369">
        <v>645</v>
      </c>
      <c r="C7369" t="s">
        <v>10007</v>
      </c>
      <c r="D7369" t="s">
        <v>281</v>
      </c>
      <c r="E7369" s="13">
        <v>1</v>
      </c>
      <c r="F7369" s="12">
        <v>0.71</v>
      </c>
      <c r="G7369" t="str">
        <f>IFERROR(INDEX(tEditais[Órgão],MATCH(tItens[[#This Row],[Edital]],tEditais[Edital],0)),"")</f>
        <v>CIMCERO - CONSORCIO INTERMUNICIPAL DA REGIAO CENTRO LESTE DO ESTADO DE RONDONIA</v>
      </c>
      <c r="H7369" t="str">
        <f>IFERROR(INDEX(tEditais[UF],MATCH(tItens[[#This Row],[Edital]],tEditais[Edital],0)),"")</f>
        <v>RO</v>
      </c>
      <c r="I7369" s="11">
        <f>IFERROR(INDEX(tEditais[Encerramento],MATCH(tItens[[#This Row],[Edital]],tEditais[Edital],0)),"")</f>
        <v>46310.729166666664</v>
      </c>
      <c r="J7369" t="str">
        <f>IFERROR(INDEX(tProdutos[Classe],MATCH(tItens[[#This Row],[Produto]],tProdutos[Produto],0)),"produto não cadastrado")</f>
        <v>DISPUTADO</v>
      </c>
      <c r="K7369" s="12">
        <f>tItens[[#This Row],[Qtd]]*tItens[[#This Row],[Vlr unit]]</f>
        <v>0.71</v>
      </c>
      <c r="L7369" s="6">
        <f>IFERROR(IF(INDEX(tProdutos[Desconto homologado],MATCH(tItens[[#This Row],[Produto]],tProdutos[Produto],0))="",DescontoPadrao,INDEX(tProdutos[Desconto homologado],MATCH(tItens[[#This Row],[Produto]],tProdutos[Produto],0))),DescontoPadrao)</f>
        <v>0.42461538461538501</v>
      </c>
      <c r="M7369" s="12">
        <f>tItens[[#This Row],[Valor]]*(1-tItens[[#This Row],[Desconto]])</f>
        <v>0.4085230769230766</v>
      </c>
      <c r="N7369" t="str">
        <f>IFERROR(INDEX(tProdutos[Foco],MATCH(tItens[[#This Row],[Produto]],tProdutos[Produto],0)),"Não")</f>
        <v>Não</v>
      </c>
      <c r="O7369" t="str">
        <f>IFERROR(INDEX(tEditais[SRP],MATCH(tItens[[#This Row],[Edital]],tEditais[Edital],0)),"Não")</f>
        <v>Sim</v>
      </c>
      <c r="P7369" s="4">
        <f>IF(COUNTIFS(INDEX(tItens[Edital],1):tItens[[#This Row],[Edital]],tItens[[#This Row],[Edital]],INDEX(tItens[Produto],1):tItens[[#This Row],[Produto]],tItens[[#This Row],[Produto]])=1,1,0)</f>
        <v>0</v>
      </c>
    </row>
    <row r="7370" spans="1:16" x14ac:dyDescent="0.25">
      <c r="A7370" t="s">
        <v>2468</v>
      </c>
      <c r="B7370">
        <v>666</v>
      </c>
      <c r="C7370" t="s">
        <v>10008</v>
      </c>
      <c r="D7370" t="s">
        <v>277</v>
      </c>
      <c r="E7370" s="13">
        <v>1</v>
      </c>
      <c r="F7370" s="12">
        <v>7.14</v>
      </c>
      <c r="G7370" t="str">
        <f>IFERROR(INDEX(tEditais[Órgão],MATCH(tItens[[#This Row],[Edital]],tEditais[Edital],0)),"")</f>
        <v>CIMCERO - CONSORCIO INTERMUNICIPAL DA REGIAO CENTRO LESTE DO ESTADO DE RONDONIA</v>
      </c>
      <c r="H7370" t="str">
        <f>IFERROR(INDEX(tEditais[UF],MATCH(tItens[[#This Row],[Edital]],tEditais[Edital],0)),"")</f>
        <v>RO</v>
      </c>
      <c r="I7370" s="11">
        <f>IFERROR(INDEX(tEditais[Encerramento],MATCH(tItens[[#This Row],[Edital]],tEditais[Edital],0)),"")</f>
        <v>46310.729166666664</v>
      </c>
      <c r="J7370" t="str">
        <f>IFERROR(INDEX(tProdutos[Classe],MATCH(tItens[[#This Row],[Produto]],tProdutos[Produto],0)),"produto não cadastrado")</f>
        <v>DISPUTADO</v>
      </c>
      <c r="K7370" s="12">
        <f>tItens[[#This Row],[Qtd]]*tItens[[#This Row],[Vlr unit]]</f>
        <v>7.14</v>
      </c>
      <c r="L7370" s="6">
        <f>IFERROR(IF(INDEX(tProdutos[Desconto homologado],MATCH(tItens[[#This Row],[Produto]],tProdutos[Produto],0))="",DescontoPadrao,INDEX(tProdutos[Desconto homologado],MATCH(tItens[[#This Row],[Produto]],tProdutos[Produto],0))),DescontoPadrao)</f>
        <v>0.50460666194188497</v>
      </c>
      <c r="M7370" s="12">
        <f>tItens[[#This Row],[Valor]]*(1-tItens[[#This Row],[Desconto]])</f>
        <v>3.5371084337349412</v>
      </c>
      <c r="N7370" t="str">
        <f>IFERROR(INDEX(tProdutos[Foco],MATCH(tItens[[#This Row],[Produto]],tProdutos[Produto],0)),"Não")</f>
        <v>Não</v>
      </c>
      <c r="O7370" t="str">
        <f>IFERROR(INDEX(tEditais[SRP],MATCH(tItens[[#This Row],[Edital]],tEditais[Edital],0)),"Não")</f>
        <v>Sim</v>
      </c>
      <c r="P7370" s="4">
        <f>IF(COUNTIFS(INDEX(tItens[Edital],1):tItens[[#This Row],[Edital]],tItens[[#This Row],[Edital]],INDEX(tItens[Produto],1):tItens[[#This Row],[Produto]],tItens[[#This Row],[Produto]])=1,1,0)</f>
        <v>0</v>
      </c>
    </row>
    <row r="7371" spans="1:16" x14ac:dyDescent="0.25">
      <c r="A7371" t="s">
        <v>2468</v>
      </c>
      <c r="B7371">
        <v>669</v>
      </c>
      <c r="C7371" t="s">
        <v>10009</v>
      </c>
      <c r="D7371" t="s">
        <v>62</v>
      </c>
      <c r="E7371" s="13">
        <v>1</v>
      </c>
      <c r="F7371" s="12">
        <v>3.72</v>
      </c>
      <c r="G7371" t="str">
        <f>IFERROR(INDEX(tEditais[Órgão],MATCH(tItens[[#This Row],[Edital]],tEditais[Edital],0)),"")</f>
        <v>CIMCERO - CONSORCIO INTERMUNICIPAL DA REGIAO CENTRO LESTE DO ESTADO DE RONDONIA</v>
      </c>
      <c r="H7371" t="str">
        <f>IFERROR(INDEX(tEditais[UF],MATCH(tItens[[#This Row],[Edital]],tEditais[Edital],0)),"")</f>
        <v>RO</v>
      </c>
      <c r="I7371" s="11">
        <f>IFERROR(INDEX(tEditais[Encerramento],MATCH(tItens[[#This Row],[Edital]],tEditais[Edital],0)),"")</f>
        <v>46310.729166666664</v>
      </c>
      <c r="J7371" t="str">
        <f>IFERROR(INDEX(tProdutos[Classe],MATCH(tItens[[#This Row],[Produto]],tProdutos[Produto],0)),"produto não cadastrado")</f>
        <v>NÚCLEO</v>
      </c>
      <c r="K7371" s="12">
        <f>tItens[[#This Row],[Qtd]]*tItens[[#This Row],[Vlr unit]]</f>
        <v>3.72</v>
      </c>
      <c r="L7371" s="6">
        <f>IFERROR(IF(INDEX(tProdutos[Desconto homologado],MATCH(tItens[[#This Row],[Produto]],tProdutos[Produto],0))="",DescontoPadrao,INDEX(tProdutos[Desconto homologado],MATCH(tItens[[#This Row],[Produto]],tProdutos[Produto],0))),DescontoPadrao)</f>
        <v>0.3</v>
      </c>
      <c r="M7371" s="12">
        <f>tItens[[#This Row],[Valor]]*(1-tItens[[#This Row],[Desconto]])</f>
        <v>2.6040000000000001</v>
      </c>
      <c r="N7371" t="str">
        <f>IFERROR(INDEX(tProdutos[Foco],MATCH(tItens[[#This Row],[Produto]],tProdutos[Produto],0)),"Não")</f>
        <v>Sim</v>
      </c>
      <c r="O7371" t="str">
        <f>IFERROR(INDEX(tEditais[SRP],MATCH(tItens[[#This Row],[Edital]],tEditais[Edital],0)),"Não")</f>
        <v>Sim</v>
      </c>
      <c r="P7371" s="4">
        <f>IF(COUNTIFS(INDEX(tItens[Edital],1):tItens[[#This Row],[Edital]],tItens[[#This Row],[Edital]],INDEX(tItens[Produto],1):tItens[[#This Row],[Produto]],tItens[[#This Row],[Produto]])=1,1,0)</f>
        <v>0</v>
      </c>
    </row>
    <row r="7372" spans="1:16" x14ac:dyDescent="0.25">
      <c r="A7372" t="s">
        <v>2468</v>
      </c>
      <c r="B7372">
        <v>678</v>
      </c>
      <c r="C7372" t="s">
        <v>10010</v>
      </c>
      <c r="D7372" t="s">
        <v>311</v>
      </c>
      <c r="E7372" s="13">
        <v>1</v>
      </c>
      <c r="F7372" s="12">
        <v>7.15</v>
      </c>
      <c r="G7372" t="str">
        <f>IFERROR(INDEX(tEditais[Órgão],MATCH(tItens[[#This Row],[Edital]],tEditais[Edital],0)),"")</f>
        <v>CIMCERO - CONSORCIO INTERMUNICIPAL DA REGIAO CENTRO LESTE DO ESTADO DE RONDONIA</v>
      </c>
      <c r="H7372" t="str">
        <f>IFERROR(INDEX(tEditais[UF],MATCH(tItens[[#This Row],[Edital]],tEditais[Edital],0)),"")</f>
        <v>RO</v>
      </c>
      <c r="I7372" s="11">
        <f>IFERROR(INDEX(tEditais[Encerramento],MATCH(tItens[[#This Row],[Edital]],tEditais[Edital],0)),"")</f>
        <v>46310.729166666664</v>
      </c>
      <c r="J7372" t="str">
        <f>IFERROR(INDEX(tProdutos[Classe],MATCH(tItens[[#This Row],[Produto]],tProdutos[Produto],0)),"produto não cadastrado")</f>
        <v>FORA</v>
      </c>
      <c r="K7372" s="12">
        <f>tItens[[#This Row],[Qtd]]*tItens[[#This Row],[Vlr unit]]</f>
        <v>7.15</v>
      </c>
      <c r="L7372" s="6">
        <f>IFERROR(IF(INDEX(tProdutos[Desconto homologado],MATCH(tItens[[#This Row],[Produto]],tProdutos[Produto],0))="",DescontoPadrao,INDEX(tProdutos[Desconto homologado],MATCH(tItens[[#This Row],[Produto]],tProdutos[Produto],0))),DescontoPadrao)</f>
        <v>0.29046182846371399</v>
      </c>
      <c r="M7372" s="12">
        <f>tItens[[#This Row],[Valor]]*(1-tItens[[#This Row],[Desconto]])</f>
        <v>5.073197926484446</v>
      </c>
      <c r="N7372" t="str">
        <f>IFERROR(INDEX(tProdutos[Foco],MATCH(tItens[[#This Row],[Produto]],tProdutos[Produto],0)),"Não")</f>
        <v>Não</v>
      </c>
      <c r="O7372" t="str">
        <f>IFERROR(INDEX(tEditais[SRP],MATCH(tItens[[#This Row],[Edital]],tEditais[Edital],0)),"Não")</f>
        <v>Sim</v>
      </c>
      <c r="P7372" s="4">
        <f>IF(COUNTIFS(INDEX(tItens[Edital],1):tItens[[#This Row],[Edital]],tItens[[#This Row],[Edital]],INDEX(tItens[Produto],1):tItens[[#This Row],[Produto]],tItens[[#This Row],[Produto]])=1,1,0)</f>
        <v>0</v>
      </c>
    </row>
    <row r="7373" spans="1:16" x14ac:dyDescent="0.25">
      <c r="A7373" t="s">
        <v>2468</v>
      </c>
      <c r="B7373">
        <v>679</v>
      </c>
      <c r="C7373" t="s">
        <v>10011</v>
      </c>
      <c r="D7373" t="s">
        <v>311</v>
      </c>
      <c r="E7373" s="13">
        <v>1</v>
      </c>
      <c r="F7373" s="12">
        <v>3.4</v>
      </c>
      <c r="G7373" t="str">
        <f>IFERROR(INDEX(tEditais[Órgão],MATCH(tItens[[#This Row],[Edital]],tEditais[Edital],0)),"")</f>
        <v>CIMCERO - CONSORCIO INTERMUNICIPAL DA REGIAO CENTRO LESTE DO ESTADO DE RONDONIA</v>
      </c>
      <c r="H7373" t="str">
        <f>IFERROR(INDEX(tEditais[UF],MATCH(tItens[[#This Row],[Edital]],tEditais[Edital],0)),"")</f>
        <v>RO</v>
      </c>
      <c r="I7373" s="11">
        <f>IFERROR(INDEX(tEditais[Encerramento],MATCH(tItens[[#This Row],[Edital]],tEditais[Edital],0)),"")</f>
        <v>46310.729166666664</v>
      </c>
      <c r="J7373" t="str">
        <f>IFERROR(INDEX(tProdutos[Classe],MATCH(tItens[[#This Row],[Produto]],tProdutos[Produto],0)),"produto não cadastrado")</f>
        <v>FORA</v>
      </c>
      <c r="K7373" s="12">
        <f>tItens[[#This Row],[Qtd]]*tItens[[#This Row],[Vlr unit]]</f>
        <v>3.4</v>
      </c>
      <c r="L7373" s="6">
        <f>IFERROR(IF(INDEX(tProdutos[Desconto homologado],MATCH(tItens[[#This Row],[Produto]],tProdutos[Produto],0))="",DescontoPadrao,INDEX(tProdutos[Desconto homologado],MATCH(tItens[[#This Row],[Produto]],tProdutos[Produto],0))),DescontoPadrao)</f>
        <v>0.29046182846371399</v>
      </c>
      <c r="M7373" s="12">
        <f>tItens[[#This Row],[Valor]]*(1-tItens[[#This Row],[Desconto]])</f>
        <v>2.4124297832233728</v>
      </c>
      <c r="N7373" t="str">
        <f>IFERROR(INDEX(tProdutos[Foco],MATCH(tItens[[#This Row],[Produto]],tProdutos[Produto],0)),"Não")</f>
        <v>Não</v>
      </c>
      <c r="O7373" t="str">
        <f>IFERROR(INDEX(tEditais[SRP],MATCH(tItens[[#This Row],[Edital]],tEditais[Edital],0)),"Não")</f>
        <v>Sim</v>
      </c>
      <c r="P7373" s="4">
        <f>IF(COUNTIFS(INDEX(tItens[Edital],1):tItens[[#This Row],[Edital]],tItens[[#This Row],[Edital]],INDEX(tItens[Produto],1):tItens[[#This Row],[Produto]],tItens[[#This Row],[Produto]])=1,1,0)</f>
        <v>0</v>
      </c>
    </row>
    <row r="7374" spans="1:16" x14ac:dyDescent="0.25">
      <c r="A7374" t="s">
        <v>2468</v>
      </c>
      <c r="B7374">
        <v>689</v>
      </c>
      <c r="C7374" t="s">
        <v>7387</v>
      </c>
      <c r="D7374" t="s">
        <v>299</v>
      </c>
      <c r="E7374" s="13">
        <v>1</v>
      </c>
      <c r="F7374" s="12">
        <v>1.1499999999999999</v>
      </c>
      <c r="G7374" t="str">
        <f>IFERROR(INDEX(tEditais[Órgão],MATCH(tItens[[#This Row],[Edital]],tEditais[Edital],0)),"")</f>
        <v>CIMCERO - CONSORCIO INTERMUNICIPAL DA REGIAO CENTRO LESTE DO ESTADO DE RONDONIA</v>
      </c>
      <c r="H7374" t="str">
        <f>IFERROR(INDEX(tEditais[UF],MATCH(tItens[[#This Row],[Edital]],tEditais[Edital],0)),"")</f>
        <v>RO</v>
      </c>
      <c r="I7374" s="11">
        <f>IFERROR(INDEX(tEditais[Encerramento],MATCH(tItens[[#This Row],[Edital]],tEditais[Edital],0)),"")</f>
        <v>46310.729166666664</v>
      </c>
      <c r="J7374" t="str">
        <f>IFERROR(INDEX(tProdutos[Classe],MATCH(tItens[[#This Row],[Produto]],tProdutos[Produto],0)),"produto não cadastrado")</f>
        <v>FORA</v>
      </c>
      <c r="K7374" s="12">
        <f>tItens[[#This Row],[Qtd]]*tItens[[#This Row],[Vlr unit]]</f>
        <v>1.1499999999999999</v>
      </c>
      <c r="L7374" s="6">
        <f>IFERROR(IF(INDEX(tProdutos[Desconto homologado],MATCH(tItens[[#This Row],[Produto]],tProdutos[Produto],0))="",DescontoPadrao,INDEX(tProdutos[Desconto homologado],MATCH(tItens[[#This Row],[Produto]],tProdutos[Produto],0))),DescontoPadrao)</f>
        <v>0.42211465163381601</v>
      </c>
      <c r="M7374" s="12">
        <f>tItens[[#This Row],[Valor]]*(1-tItens[[#This Row],[Desconto]])</f>
        <v>0.66456815062111152</v>
      </c>
      <c r="N7374" t="str">
        <f>IFERROR(INDEX(tProdutos[Foco],MATCH(tItens[[#This Row],[Produto]],tProdutos[Produto],0)),"Não")</f>
        <v>Não</v>
      </c>
      <c r="O7374" t="str">
        <f>IFERROR(INDEX(tEditais[SRP],MATCH(tItens[[#This Row],[Edital]],tEditais[Edital],0)),"Não")</f>
        <v>Sim</v>
      </c>
      <c r="P7374" s="4">
        <f>IF(COUNTIFS(INDEX(tItens[Edital],1):tItens[[#This Row],[Edital]],tItens[[#This Row],[Edital]],INDEX(tItens[Produto],1):tItens[[#This Row],[Produto]],tItens[[#This Row],[Produto]])=1,1,0)</f>
        <v>0</v>
      </c>
    </row>
    <row r="7375" spans="1:16" x14ac:dyDescent="0.25">
      <c r="A7375" t="s">
        <v>2468</v>
      </c>
      <c r="B7375">
        <v>690</v>
      </c>
      <c r="C7375" t="s">
        <v>10012</v>
      </c>
      <c r="D7375" t="s">
        <v>209</v>
      </c>
      <c r="E7375" s="13">
        <v>1</v>
      </c>
      <c r="F7375" s="12">
        <v>1.53</v>
      </c>
      <c r="G7375" t="str">
        <f>IFERROR(INDEX(tEditais[Órgão],MATCH(tItens[[#This Row],[Edital]],tEditais[Edital],0)),"")</f>
        <v>CIMCERO - CONSORCIO INTERMUNICIPAL DA REGIAO CENTRO LESTE DO ESTADO DE RONDONIA</v>
      </c>
      <c r="H7375" t="str">
        <f>IFERROR(INDEX(tEditais[UF],MATCH(tItens[[#This Row],[Edital]],tEditais[Edital],0)),"")</f>
        <v>RO</v>
      </c>
      <c r="I7375" s="11">
        <f>IFERROR(INDEX(tEditais[Encerramento],MATCH(tItens[[#This Row],[Edital]],tEditais[Edital],0)),"")</f>
        <v>46310.729166666664</v>
      </c>
      <c r="J7375" t="str">
        <f>IFERROR(INDEX(tProdutos[Classe],MATCH(tItens[[#This Row],[Produto]],tProdutos[Produto],0)),"produto não cadastrado")</f>
        <v>FORA</v>
      </c>
      <c r="K7375" s="12">
        <f>tItens[[#This Row],[Qtd]]*tItens[[#This Row],[Vlr unit]]</f>
        <v>1.53</v>
      </c>
      <c r="L7375" s="6">
        <f>IFERROR(IF(INDEX(tProdutos[Desconto homologado],MATCH(tItens[[#This Row],[Produto]],tProdutos[Produto],0))="",DescontoPadrao,INDEX(tProdutos[Desconto homologado],MATCH(tItens[[#This Row],[Produto]],tProdutos[Produto],0))),DescontoPadrao)</f>
        <v>0.16442507504040599</v>
      </c>
      <c r="M7375" s="12">
        <f>tItens[[#This Row],[Valor]]*(1-tItens[[#This Row],[Desconto]])</f>
        <v>1.278429635188179</v>
      </c>
      <c r="N7375" t="str">
        <f>IFERROR(INDEX(tProdutos[Foco],MATCH(tItens[[#This Row],[Produto]],tProdutos[Produto],0)),"Não")</f>
        <v>Não</v>
      </c>
      <c r="O7375" t="str">
        <f>IFERROR(INDEX(tEditais[SRP],MATCH(tItens[[#This Row],[Edital]],tEditais[Edital],0)),"Não")</f>
        <v>Sim</v>
      </c>
      <c r="P7375" s="4">
        <f>IF(COUNTIFS(INDEX(tItens[Edital],1):tItens[[#This Row],[Edital]],tItens[[#This Row],[Edital]],INDEX(tItens[Produto],1):tItens[[#This Row],[Produto]],tItens[[#This Row],[Produto]])=1,1,0)</f>
        <v>1</v>
      </c>
    </row>
    <row r="7376" spans="1:16" x14ac:dyDescent="0.25">
      <c r="A7376" t="s">
        <v>2468</v>
      </c>
      <c r="B7376">
        <v>691</v>
      </c>
      <c r="C7376" t="s">
        <v>10013</v>
      </c>
      <c r="D7376" t="s">
        <v>187</v>
      </c>
      <c r="E7376" s="13">
        <v>1</v>
      </c>
      <c r="F7376" s="12">
        <v>1.85</v>
      </c>
      <c r="G7376" t="str">
        <f>IFERROR(INDEX(tEditais[Órgão],MATCH(tItens[[#This Row],[Edital]],tEditais[Edital],0)),"")</f>
        <v>CIMCERO - CONSORCIO INTERMUNICIPAL DA REGIAO CENTRO LESTE DO ESTADO DE RONDONIA</v>
      </c>
      <c r="H7376" t="str">
        <f>IFERROR(INDEX(tEditais[UF],MATCH(tItens[[#This Row],[Edital]],tEditais[Edital],0)),"")</f>
        <v>RO</v>
      </c>
      <c r="I7376" s="11">
        <f>IFERROR(INDEX(tEditais[Encerramento],MATCH(tItens[[#This Row],[Edital]],tEditais[Edital],0)),"")</f>
        <v>46310.729166666664</v>
      </c>
      <c r="J7376" t="str">
        <f>IFERROR(INDEX(tProdutos[Classe],MATCH(tItens[[#This Row],[Produto]],tProdutos[Produto],0)),"produto não cadastrado")</f>
        <v>DISPUTADO</v>
      </c>
      <c r="K7376" s="12">
        <f>tItens[[#This Row],[Qtd]]*tItens[[#This Row],[Vlr unit]]</f>
        <v>1.85</v>
      </c>
      <c r="L7376" s="6">
        <f>IFERROR(IF(INDEX(tProdutos[Desconto homologado],MATCH(tItens[[#This Row],[Produto]],tProdutos[Produto],0))="",DescontoPadrao,INDEX(tProdutos[Desconto homologado],MATCH(tItens[[#This Row],[Produto]],tProdutos[Produto],0))),DescontoPadrao)</f>
        <v>0.44298820445609399</v>
      </c>
      <c r="M7376" s="12">
        <f>tItens[[#This Row],[Valor]]*(1-tItens[[#This Row],[Desconto]])</f>
        <v>1.0304718217562261</v>
      </c>
      <c r="N7376" t="str">
        <f>IFERROR(INDEX(tProdutos[Foco],MATCH(tItens[[#This Row],[Produto]],tProdutos[Produto],0)),"Não")</f>
        <v>Não</v>
      </c>
      <c r="O7376" t="str">
        <f>IFERROR(INDEX(tEditais[SRP],MATCH(tItens[[#This Row],[Edital]],tEditais[Edital],0)),"Não")</f>
        <v>Sim</v>
      </c>
      <c r="P7376" s="4">
        <f>IF(COUNTIFS(INDEX(tItens[Edital],1):tItens[[#This Row],[Edital]],tItens[[#This Row],[Edital]],INDEX(tItens[Produto],1):tItens[[#This Row],[Produto]],tItens[[#This Row],[Produto]])=1,1,0)</f>
        <v>1</v>
      </c>
    </row>
    <row r="7377" spans="1:16" x14ac:dyDescent="0.25">
      <c r="A7377" t="s">
        <v>2468</v>
      </c>
      <c r="B7377">
        <v>709</v>
      </c>
      <c r="C7377" t="s">
        <v>10014</v>
      </c>
      <c r="D7377" t="s">
        <v>56</v>
      </c>
      <c r="E7377" s="13">
        <v>1</v>
      </c>
      <c r="F7377" s="12">
        <v>31.04</v>
      </c>
      <c r="G7377" t="str">
        <f>IFERROR(INDEX(tEditais[Órgão],MATCH(tItens[[#This Row],[Edital]],tEditais[Edital],0)),"")</f>
        <v>CIMCERO - CONSORCIO INTERMUNICIPAL DA REGIAO CENTRO LESTE DO ESTADO DE RONDONIA</v>
      </c>
      <c r="H7377" t="str">
        <f>IFERROR(INDEX(tEditais[UF],MATCH(tItens[[#This Row],[Edital]],tEditais[Edital],0)),"")</f>
        <v>RO</v>
      </c>
      <c r="I7377" s="11">
        <f>IFERROR(INDEX(tEditais[Encerramento],MATCH(tItens[[#This Row],[Edital]],tEditais[Edital],0)),"")</f>
        <v>46310.729166666664</v>
      </c>
      <c r="J7377" t="str">
        <f>IFERROR(INDEX(tProdutos[Classe],MATCH(tItens[[#This Row],[Produto]],tProdutos[Produto],0)),"produto não cadastrado")</f>
        <v>NÚCLEO</v>
      </c>
      <c r="K7377" s="12">
        <f>tItens[[#This Row],[Qtd]]*tItens[[#This Row],[Vlr unit]]</f>
        <v>31.04</v>
      </c>
      <c r="L7377" s="6">
        <f>IFERROR(IF(INDEX(tProdutos[Desconto homologado],MATCH(tItens[[#This Row],[Produto]],tProdutos[Produto],0))="",DescontoPadrao,INDEX(tProdutos[Desconto homologado],MATCH(tItens[[#This Row],[Produto]],tProdutos[Produto],0))),DescontoPadrao)</f>
        <v>0.34</v>
      </c>
      <c r="M7377" s="12">
        <f>tItens[[#This Row],[Valor]]*(1-tItens[[#This Row],[Desconto]])</f>
        <v>20.486399999999996</v>
      </c>
      <c r="N7377" t="str">
        <f>IFERROR(INDEX(tProdutos[Foco],MATCH(tItens[[#This Row],[Produto]],tProdutos[Produto],0)),"Não")</f>
        <v>Sim</v>
      </c>
      <c r="O7377" t="str">
        <f>IFERROR(INDEX(tEditais[SRP],MATCH(tItens[[#This Row],[Edital]],tEditais[Edital],0)),"Não")</f>
        <v>Sim</v>
      </c>
      <c r="P7377" s="4">
        <f>IF(COUNTIFS(INDEX(tItens[Edital],1):tItens[[#This Row],[Edital]],tItens[[#This Row],[Edital]],INDEX(tItens[Produto],1):tItens[[#This Row],[Produto]],tItens[[#This Row],[Produto]])=1,1,0)</f>
        <v>0</v>
      </c>
    </row>
    <row r="7378" spans="1:16" x14ac:dyDescent="0.25">
      <c r="A7378" t="s">
        <v>2468</v>
      </c>
      <c r="B7378">
        <v>710</v>
      </c>
      <c r="C7378" t="s">
        <v>10015</v>
      </c>
      <c r="D7378" t="s">
        <v>56</v>
      </c>
      <c r="E7378" s="13">
        <v>1</v>
      </c>
      <c r="F7378" s="12">
        <v>18.77</v>
      </c>
      <c r="G7378" t="str">
        <f>IFERROR(INDEX(tEditais[Órgão],MATCH(tItens[[#This Row],[Edital]],tEditais[Edital],0)),"")</f>
        <v>CIMCERO - CONSORCIO INTERMUNICIPAL DA REGIAO CENTRO LESTE DO ESTADO DE RONDONIA</v>
      </c>
      <c r="H7378" t="str">
        <f>IFERROR(INDEX(tEditais[UF],MATCH(tItens[[#This Row],[Edital]],tEditais[Edital],0)),"")</f>
        <v>RO</v>
      </c>
      <c r="I7378" s="11">
        <f>IFERROR(INDEX(tEditais[Encerramento],MATCH(tItens[[#This Row],[Edital]],tEditais[Edital],0)),"")</f>
        <v>46310.729166666664</v>
      </c>
      <c r="J7378" t="str">
        <f>IFERROR(INDEX(tProdutos[Classe],MATCH(tItens[[#This Row],[Produto]],tProdutos[Produto],0)),"produto não cadastrado")</f>
        <v>NÚCLEO</v>
      </c>
      <c r="K7378" s="12">
        <f>tItens[[#This Row],[Qtd]]*tItens[[#This Row],[Vlr unit]]</f>
        <v>18.77</v>
      </c>
      <c r="L7378" s="6">
        <f>IFERROR(IF(INDEX(tProdutos[Desconto homologado],MATCH(tItens[[#This Row],[Produto]],tProdutos[Produto],0))="",DescontoPadrao,INDEX(tProdutos[Desconto homologado],MATCH(tItens[[#This Row],[Produto]],tProdutos[Produto],0))),DescontoPadrao)</f>
        <v>0.34</v>
      </c>
      <c r="M7378" s="12">
        <f>tItens[[#This Row],[Valor]]*(1-tItens[[#This Row],[Desconto]])</f>
        <v>12.388199999999998</v>
      </c>
      <c r="N7378" t="str">
        <f>IFERROR(INDEX(tProdutos[Foco],MATCH(tItens[[#This Row],[Produto]],tProdutos[Produto],0)),"Não")</f>
        <v>Sim</v>
      </c>
      <c r="O7378" t="str">
        <f>IFERROR(INDEX(tEditais[SRP],MATCH(tItens[[#This Row],[Edital]],tEditais[Edital],0)),"Não")</f>
        <v>Sim</v>
      </c>
      <c r="P7378" s="4">
        <f>IF(COUNTIFS(INDEX(tItens[Edital],1):tItens[[#This Row],[Edital]],tItens[[#This Row],[Edital]],INDEX(tItens[Produto],1):tItens[[#This Row],[Produto]],tItens[[#This Row],[Produto]])=1,1,0)</f>
        <v>0</v>
      </c>
    </row>
    <row r="7379" spans="1:16" x14ac:dyDescent="0.25">
      <c r="A7379" t="s">
        <v>2468</v>
      </c>
      <c r="B7379">
        <v>711</v>
      </c>
      <c r="C7379" t="s">
        <v>10016</v>
      </c>
      <c r="D7379" t="s">
        <v>56</v>
      </c>
      <c r="E7379" s="13">
        <v>1</v>
      </c>
      <c r="F7379" s="12">
        <v>21.38</v>
      </c>
      <c r="G7379" t="str">
        <f>IFERROR(INDEX(tEditais[Órgão],MATCH(tItens[[#This Row],[Edital]],tEditais[Edital],0)),"")</f>
        <v>CIMCERO - CONSORCIO INTERMUNICIPAL DA REGIAO CENTRO LESTE DO ESTADO DE RONDONIA</v>
      </c>
      <c r="H7379" t="str">
        <f>IFERROR(INDEX(tEditais[UF],MATCH(tItens[[#This Row],[Edital]],tEditais[Edital],0)),"")</f>
        <v>RO</v>
      </c>
      <c r="I7379" s="11">
        <f>IFERROR(INDEX(tEditais[Encerramento],MATCH(tItens[[#This Row],[Edital]],tEditais[Edital],0)),"")</f>
        <v>46310.729166666664</v>
      </c>
      <c r="J7379" t="str">
        <f>IFERROR(INDEX(tProdutos[Classe],MATCH(tItens[[#This Row],[Produto]],tProdutos[Produto],0)),"produto não cadastrado")</f>
        <v>NÚCLEO</v>
      </c>
      <c r="K7379" s="12">
        <f>tItens[[#This Row],[Qtd]]*tItens[[#This Row],[Vlr unit]]</f>
        <v>21.38</v>
      </c>
      <c r="L7379" s="6">
        <f>IFERROR(IF(INDEX(tProdutos[Desconto homologado],MATCH(tItens[[#This Row],[Produto]],tProdutos[Produto],0))="",DescontoPadrao,INDEX(tProdutos[Desconto homologado],MATCH(tItens[[#This Row],[Produto]],tProdutos[Produto],0))),DescontoPadrao)</f>
        <v>0.34</v>
      </c>
      <c r="M7379" s="12">
        <f>tItens[[#This Row],[Valor]]*(1-tItens[[#This Row],[Desconto]])</f>
        <v>14.110799999999998</v>
      </c>
      <c r="N7379" t="str">
        <f>IFERROR(INDEX(tProdutos[Foco],MATCH(tItens[[#This Row],[Produto]],tProdutos[Produto],0)),"Não")</f>
        <v>Sim</v>
      </c>
      <c r="O7379" t="str">
        <f>IFERROR(INDEX(tEditais[SRP],MATCH(tItens[[#This Row],[Edital]],tEditais[Edital],0)),"Não")</f>
        <v>Sim</v>
      </c>
      <c r="P7379" s="4">
        <f>IF(COUNTIFS(INDEX(tItens[Edital],1):tItens[[#This Row],[Edital]],tItens[[#This Row],[Edital]],INDEX(tItens[Produto],1):tItens[[#This Row],[Produto]],tItens[[#This Row],[Produto]])=1,1,0)</f>
        <v>0</v>
      </c>
    </row>
    <row r="7380" spans="1:16" x14ac:dyDescent="0.25">
      <c r="A7380" t="s">
        <v>2468</v>
      </c>
      <c r="B7380">
        <v>712</v>
      </c>
      <c r="C7380" t="s">
        <v>10017</v>
      </c>
      <c r="D7380" t="s">
        <v>267</v>
      </c>
      <c r="E7380" s="13">
        <v>1</v>
      </c>
      <c r="F7380" s="12">
        <v>6.22</v>
      </c>
      <c r="G7380" t="str">
        <f>IFERROR(INDEX(tEditais[Órgão],MATCH(tItens[[#This Row],[Edital]],tEditais[Edital],0)),"")</f>
        <v>CIMCERO - CONSORCIO INTERMUNICIPAL DA REGIAO CENTRO LESTE DO ESTADO DE RONDONIA</v>
      </c>
      <c r="H7380" t="str">
        <f>IFERROR(INDEX(tEditais[UF],MATCH(tItens[[#This Row],[Edital]],tEditais[Edital],0)),"")</f>
        <v>RO</v>
      </c>
      <c r="I7380" s="11">
        <f>IFERROR(INDEX(tEditais[Encerramento],MATCH(tItens[[#This Row],[Edital]],tEditais[Edital],0)),"")</f>
        <v>46310.729166666664</v>
      </c>
      <c r="J7380" t="str">
        <f>IFERROR(INDEX(tProdutos[Classe],MATCH(tItens[[#This Row],[Produto]],tProdutos[Produto],0)),"produto não cadastrado")</f>
        <v>FORA</v>
      </c>
      <c r="K7380" s="12">
        <f>tItens[[#This Row],[Qtd]]*tItens[[#This Row],[Vlr unit]]</f>
        <v>6.22</v>
      </c>
      <c r="L7380" s="6">
        <f>IFERROR(IF(INDEX(tProdutos[Desconto homologado],MATCH(tItens[[#This Row],[Produto]],tProdutos[Produto],0))="",DescontoPadrao,INDEX(tProdutos[Desconto homologado],MATCH(tItens[[#This Row],[Produto]],tProdutos[Produto],0))),DescontoPadrao)</f>
        <v>0.19963672657401599</v>
      </c>
      <c r="M7380" s="12">
        <f>tItens[[#This Row],[Valor]]*(1-tItens[[#This Row],[Desconto]])</f>
        <v>4.9782595607096205</v>
      </c>
      <c r="N7380" t="str">
        <f>IFERROR(INDEX(tProdutos[Foco],MATCH(tItens[[#This Row],[Produto]],tProdutos[Produto],0)),"Não")</f>
        <v>Não</v>
      </c>
      <c r="O7380" t="str">
        <f>IFERROR(INDEX(tEditais[SRP],MATCH(tItens[[#This Row],[Edital]],tEditais[Edital],0)),"Não")</f>
        <v>Sim</v>
      </c>
      <c r="P7380" s="4">
        <f>IF(COUNTIFS(INDEX(tItens[Edital],1):tItens[[#This Row],[Edital]],tItens[[#This Row],[Edital]],INDEX(tItens[Produto],1):tItens[[#This Row],[Produto]],tItens[[#This Row],[Produto]])=1,1,0)</f>
        <v>0</v>
      </c>
    </row>
    <row r="7381" spans="1:16" x14ac:dyDescent="0.25">
      <c r="A7381" t="s">
        <v>2468</v>
      </c>
      <c r="B7381">
        <v>713</v>
      </c>
      <c r="C7381" t="s">
        <v>10018</v>
      </c>
      <c r="D7381" t="s">
        <v>267</v>
      </c>
      <c r="E7381" s="13">
        <v>1</v>
      </c>
      <c r="F7381" s="12">
        <v>17.989999999999998</v>
      </c>
      <c r="G7381" t="str">
        <f>IFERROR(INDEX(tEditais[Órgão],MATCH(tItens[[#This Row],[Edital]],tEditais[Edital],0)),"")</f>
        <v>CIMCERO - CONSORCIO INTERMUNICIPAL DA REGIAO CENTRO LESTE DO ESTADO DE RONDONIA</v>
      </c>
      <c r="H7381" t="str">
        <f>IFERROR(INDEX(tEditais[UF],MATCH(tItens[[#This Row],[Edital]],tEditais[Edital],0)),"")</f>
        <v>RO</v>
      </c>
      <c r="I7381" s="11">
        <f>IFERROR(INDEX(tEditais[Encerramento],MATCH(tItens[[#This Row],[Edital]],tEditais[Edital],0)),"")</f>
        <v>46310.729166666664</v>
      </c>
      <c r="J7381" t="str">
        <f>IFERROR(INDEX(tProdutos[Classe],MATCH(tItens[[#This Row],[Produto]],tProdutos[Produto],0)),"produto não cadastrado")</f>
        <v>FORA</v>
      </c>
      <c r="K7381" s="12">
        <f>tItens[[#This Row],[Qtd]]*tItens[[#This Row],[Vlr unit]]</f>
        <v>17.989999999999998</v>
      </c>
      <c r="L7381" s="6">
        <f>IFERROR(IF(INDEX(tProdutos[Desconto homologado],MATCH(tItens[[#This Row],[Produto]],tProdutos[Produto],0))="",DescontoPadrao,INDEX(tProdutos[Desconto homologado],MATCH(tItens[[#This Row],[Produto]],tProdutos[Produto],0))),DescontoPadrao)</f>
        <v>0.19963672657401599</v>
      </c>
      <c r="M7381" s="12">
        <f>tItens[[#This Row],[Valor]]*(1-tItens[[#This Row],[Desconto]])</f>
        <v>14.39853528893345</v>
      </c>
      <c r="N7381" t="str">
        <f>IFERROR(INDEX(tProdutos[Foco],MATCH(tItens[[#This Row],[Produto]],tProdutos[Produto],0)),"Não")</f>
        <v>Não</v>
      </c>
      <c r="O7381" t="str">
        <f>IFERROR(INDEX(tEditais[SRP],MATCH(tItens[[#This Row],[Edital]],tEditais[Edital],0)),"Não")</f>
        <v>Sim</v>
      </c>
      <c r="P7381" s="4">
        <f>IF(COUNTIFS(INDEX(tItens[Edital],1):tItens[[#This Row],[Edital]],tItens[[#This Row],[Edital]],INDEX(tItens[Produto],1):tItens[[#This Row],[Produto]],tItens[[#This Row],[Produto]])=1,1,0)</f>
        <v>0</v>
      </c>
    </row>
    <row r="7382" spans="1:16" x14ac:dyDescent="0.25">
      <c r="A7382" t="s">
        <v>2468</v>
      </c>
      <c r="B7382">
        <v>715</v>
      </c>
      <c r="C7382" t="s">
        <v>10019</v>
      </c>
      <c r="D7382" t="s">
        <v>413</v>
      </c>
      <c r="E7382" s="13">
        <v>1</v>
      </c>
      <c r="F7382" s="12">
        <v>8.86</v>
      </c>
      <c r="G7382" t="str">
        <f>IFERROR(INDEX(tEditais[Órgão],MATCH(tItens[[#This Row],[Edital]],tEditais[Edital],0)),"")</f>
        <v>CIMCERO - CONSORCIO INTERMUNICIPAL DA REGIAO CENTRO LESTE DO ESTADO DE RONDONIA</v>
      </c>
      <c r="H7382" t="str">
        <f>IFERROR(INDEX(tEditais[UF],MATCH(tItens[[#This Row],[Edital]],tEditais[Edital],0)),"")</f>
        <v>RO</v>
      </c>
      <c r="I7382" s="11">
        <f>IFERROR(INDEX(tEditais[Encerramento],MATCH(tItens[[#This Row],[Edital]],tEditais[Edital],0)),"")</f>
        <v>46310.729166666664</v>
      </c>
      <c r="J7382" t="str">
        <f>IFERROR(INDEX(tProdutos[Classe],MATCH(tItens[[#This Row],[Produto]],tProdutos[Produto],0)),"produto não cadastrado")</f>
        <v>FORA</v>
      </c>
      <c r="K7382" s="12">
        <f>tItens[[#This Row],[Qtd]]*tItens[[#This Row],[Vlr unit]]</f>
        <v>8.86</v>
      </c>
      <c r="L7382" s="6">
        <f>IFERROR(IF(INDEX(tProdutos[Desconto homologado],MATCH(tItens[[#This Row],[Produto]],tProdutos[Produto],0))="",DescontoPadrao,INDEX(tProdutos[Desconto homologado],MATCH(tItens[[#This Row],[Produto]],tProdutos[Produto],0))),DescontoPadrao)</f>
        <v>0.477732793522267</v>
      </c>
      <c r="M7382" s="12">
        <f>tItens[[#This Row],[Valor]]*(1-tItens[[#This Row],[Desconto]])</f>
        <v>4.6272874493927132</v>
      </c>
      <c r="N7382" t="str">
        <f>IFERROR(INDEX(tProdutos[Foco],MATCH(tItens[[#This Row],[Produto]],tProdutos[Produto],0)),"Não")</f>
        <v>Não</v>
      </c>
      <c r="O7382" t="str">
        <f>IFERROR(INDEX(tEditais[SRP],MATCH(tItens[[#This Row],[Edital]],tEditais[Edital],0)),"Não")</f>
        <v>Sim</v>
      </c>
      <c r="P7382" s="4">
        <f>IF(COUNTIFS(INDEX(tItens[Edital],1):tItens[[#This Row],[Edital]],tItens[[#This Row],[Edital]],INDEX(tItens[Produto],1):tItens[[#This Row],[Produto]],tItens[[#This Row],[Produto]])=1,1,0)</f>
        <v>0</v>
      </c>
    </row>
    <row r="7383" spans="1:16" x14ac:dyDescent="0.25">
      <c r="A7383" t="s">
        <v>2468</v>
      </c>
      <c r="B7383">
        <v>716</v>
      </c>
      <c r="C7383" t="s">
        <v>10020</v>
      </c>
      <c r="D7383" t="s">
        <v>413</v>
      </c>
      <c r="E7383" s="13">
        <v>1</v>
      </c>
      <c r="F7383" s="12">
        <v>1.67</v>
      </c>
      <c r="G7383" t="str">
        <f>IFERROR(INDEX(tEditais[Órgão],MATCH(tItens[[#This Row],[Edital]],tEditais[Edital],0)),"")</f>
        <v>CIMCERO - CONSORCIO INTERMUNICIPAL DA REGIAO CENTRO LESTE DO ESTADO DE RONDONIA</v>
      </c>
      <c r="H7383" t="str">
        <f>IFERROR(INDEX(tEditais[UF],MATCH(tItens[[#This Row],[Edital]],tEditais[Edital],0)),"")</f>
        <v>RO</v>
      </c>
      <c r="I7383" s="11">
        <f>IFERROR(INDEX(tEditais[Encerramento],MATCH(tItens[[#This Row],[Edital]],tEditais[Edital],0)),"")</f>
        <v>46310.729166666664</v>
      </c>
      <c r="J7383" t="str">
        <f>IFERROR(INDEX(tProdutos[Classe],MATCH(tItens[[#This Row],[Produto]],tProdutos[Produto],0)),"produto não cadastrado")</f>
        <v>FORA</v>
      </c>
      <c r="K7383" s="12">
        <f>tItens[[#This Row],[Qtd]]*tItens[[#This Row],[Vlr unit]]</f>
        <v>1.67</v>
      </c>
      <c r="L7383" s="6">
        <f>IFERROR(IF(INDEX(tProdutos[Desconto homologado],MATCH(tItens[[#This Row],[Produto]],tProdutos[Produto],0))="",DescontoPadrao,INDEX(tProdutos[Desconto homologado],MATCH(tItens[[#This Row],[Produto]],tProdutos[Produto],0))),DescontoPadrao)</f>
        <v>0.477732793522267</v>
      </c>
      <c r="M7383" s="12">
        <f>tItens[[#This Row],[Valor]]*(1-tItens[[#This Row],[Desconto]])</f>
        <v>0.87218623481781399</v>
      </c>
      <c r="N7383" t="str">
        <f>IFERROR(INDEX(tProdutos[Foco],MATCH(tItens[[#This Row],[Produto]],tProdutos[Produto],0)),"Não")</f>
        <v>Não</v>
      </c>
      <c r="O7383" t="str">
        <f>IFERROR(INDEX(tEditais[SRP],MATCH(tItens[[#This Row],[Edital]],tEditais[Edital],0)),"Não")</f>
        <v>Sim</v>
      </c>
      <c r="P7383" s="4">
        <f>IF(COUNTIFS(INDEX(tItens[Edital],1):tItens[[#This Row],[Edital]],tItens[[#This Row],[Edital]],INDEX(tItens[Produto],1):tItens[[#This Row],[Produto]],tItens[[#This Row],[Produto]])=1,1,0)</f>
        <v>0</v>
      </c>
    </row>
    <row r="7384" spans="1:16" x14ac:dyDescent="0.25">
      <c r="A7384" t="s">
        <v>2468</v>
      </c>
      <c r="B7384">
        <v>718</v>
      </c>
      <c r="C7384" t="s">
        <v>10021</v>
      </c>
      <c r="D7384" t="s">
        <v>313</v>
      </c>
      <c r="E7384" s="13">
        <v>1</v>
      </c>
      <c r="F7384" s="12">
        <v>21.31</v>
      </c>
      <c r="G7384" t="str">
        <f>IFERROR(INDEX(tEditais[Órgão],MATCH(tItens[[#This Row],[Edital]],tEditais[Edital],0)),"")</f>
        <v>CIMCERO - CONSORCIO INTERMUNICIPAL DA REGIAO CENTRO LESTE DO ESTADO DE RONDONIA</v>
      </c>
      <c r="H7384" t="str">
        <f>IFERROR(INDEX(tEditais[UF],MATCH(tItens[[#This Row],[Edital]],tEditais[Edital],0)),"")</f>
        <v>RO</v>
      </c>
      <c r="I7384" s="11">
        <f>IFERROR(INDEX(tEditais[Encerramento],MATCH(tItens[[#This Row],[Edital]],tEditais[Edital],0)),"")</f>
        <v>46310.729166666664</v>
      </c>
      <c r="J7384" t="str">
        <f>IFERROR(INDEX(tProdutos[Classe],MATCH(tItens[[#This Row],[Produto]],tProdutos[Produto],0)),"produto não cadastrado")</f>
        <v>FORA</v>
      </c>
      <c r="K7384" s="12">
        <f>tItens[[#This Row],[Qtd]]*tItens[[#This Row],[Vlr unit]]</f>
        <v>21.31</v>
      </c>
      <c r="L7384" s="6">
        <f>IFERROR(IF(INDEX(tProdutos[Desconto homologado],MATCH(tItens[[#This Row],[Produto]],tProdutos[Produto],0))="",DescontoPadrao,INDEX(tProdutos[Desconto homologado],MATCH(tItens[[#This Row],[Produto]],tProdutos[Produto],0))),DescontoPadrao)</f>
        <v>0.35766373163696302</v>
      </c>
      <c r="M7384" s="12">
        <f>tItens[[#This Row],[Valor]]*(1-tItens[[#This Row],[Desconto]])</f>
        <v>13.688185878816316</v>
      </c>
      <c r="N7384" t="str">
        <f>IFERROR(INDEX(tProdutos[Foco],MATCH(tItens[[#This Row],[Produto]],tProdutos[Produto],0)),"Não")</f>
        <v>Não</v>
      </c>
      <c r="O7384" t="str">
        <f>IFERROR(INDEX(tEditais[SRP],MATCH(tItens[[#This Row],[Edital]],tEditais[Edital],0)),"Não")</f>
        <v>Sim</v>
      </c>
      <c r="P7384" s="4">
        <f>IF(COUNTIFS(INDEX(tItens[Edital],1):tItens[[#This Row],[Edital]],tItens[[#This Row],[Edital]],INDEX(tItens[Produto],1):tItens[[#This Row],[Produto]],tItens[[#This Row],[Produto]])=1,1,0)</f>
        <v>0</v>
      </c>
    </row>
    <row r="7385" spans="1:16" x14ac:dyDescent="0.25">
      <c r="A7385" t="s">
        <v>2468</v>
      </c>
      <c r="B7385">
        <v>719</v>
      </c>
      <c r="C7385" t="s">
        <v>10001</v>
      </c>
      <c r="D7385" t="s">
        <v>313</v>
      </c>
      <c r="E7385" s="13">
        <v>1</v>
      </c>
      <c r="F7385" s="12">
        <v>17.28</v>
      </c>
      <c r="G7385" t="str">
        <f>IFERROR(INDEX(tEditais[Órgão],MATCH(tItens[[#This Row],[Edital]],tEditais[Edital],0)),"")</f>
        <v>CIMCERO - CONSORCIO INTERMUNICIPAL DA REGIAO CENTRO LESTE DO ESTADO DE RONDONIA</v>
      </c>
      <c r="H7385" t="str">
        <f>IFERROR(INDEX(tEditais[UF],MATCH(tItens[[#This Row],[Edital]],tEditais[Edital],0)),"")</f>
        <v>RO</v>
      </c>
      <c r="I7385" s="11">
        <f>IFERROR(INDEX(tEditais[Encerramento],MATCH(tItens[[#This Row],[Edital]],tEditais[Edital],0)),"")</f>
        <v>46310.729166666664</v>
      </c>
      <c r="J7385" t="str">
        <f>IFERROR(INDEX(tProdutos[Classe],MATCH(tItens[[#This Row],[Produto]],tProdutos[Produto],0)),"produto não cadastrado")</f>
        <v>FORA</v>
      </c>
      <c r="K7385" s="12">
        <f>tItens[[#This Row],[Qtd]]*tItens[[#This Row],[Vlr unit]]</f>
        <v>17.28</v>
      </c>
      <c r="L7385" s="6">
        <f>IFERROR(IF(INDEX(tProdutos[Desconto homologado],MATCH(tItens[[#This Row],[Produto]],tProdutos[Produto],0))="",DescontoPadrao,INDEX(tProdutos[Desconto homologado],MATCH(tItens[[#This Row],[Produto]],tProdutos[Produto],0))),DescontoPadrao)</f>
        <v>0.35766373163696302</v>
      </c>
      <c r="M7385" s="12">
        <f>tItens[[#This Row],[Valor]]*(1-tItens[[#This Row],[Desconto]])</f>
        <v>11.099570717313279</v>
      </c>
      <c r="N7385" t="str">
        <f>IFERROR(INDEX(tProdutos[Foco],MATCH(tItens[[#This Row],[Produto]],tProdutos[Produto],0)),"Não")</f>
        <v>Não</v>
      </c>
      <c r="O7385" t="str">
        <f>IFERROR(INDEX(tEditais[SRP],MATCH(tItens[[#This Row],[Edital]],tEditais[Edital],0)),"Não")</f>
        <v>Sim</v>
      </c>
      <c r="P7385" s="4">
        <f>IF(COUNTIFS(INDEX(tItens[Edital],1):tItens[[#This Row],[Edital]],tItens[[#This Row],[Edital]],INDEX(tItens[Produto],1):tItens[[#This Row],[Produto]],tItens[[#This Row],[Produto]])=1,1,0)</f>
        <v>0</v>
      </c>
    </row>
    <row r="7386" spans="1:16" x14ac:dyDescent="0.25">
      <c r="A7386" t="s">
        <v>2468</v>
      </c>
      <c r="B7386">
        <v>720</v>
      </c>
      <c r="C7386" t="s">
        <v>7238</v>
      </c>
      <c r="D7386" t="s">
        <v>313</v>
      </c>
      <c r="E7386" s="13">
        <v>1</v>
      </c>
      <c r="F7386" s="12">
        <v>19.7</v>
      </c>
      <c r="G7386" t="str">
        <f>IFERROR(INDEX(tEditais[Órgão],MATCH(tItens[[#This Row],[Edital]],tEditais[Edital],0)),"")</f>
        <v>CIMCERO - CONSORCIO INTERMUNICIPAL DA REGIAO CENTRO LESTE DO ESTADO DE RONDONIA</v>
      </c>
      <c r="H7386" t="str">
        <f>IFERROR(INDEX(tEditais[UF],MATCH(tItens[[#This Row],[Edital]],tEditais[Edital],0)),"")</f>
        <v>RO</v>
      </c>
      <c r="I7386" s="11">
        <f>IFERROR(INDEX(tEditais[Encerramento],MATCH(tItens[[#This Row],[Edital]],tEditais[Edital],0)),"")</f>
        <v>46310.729166666664</v>
      </c>
      <c r="J7386" t="str">
        <f>IFERROR(INDEX(tProdutos[Classe],MATCH(tItens[[#This Row],[Produto]],tProdutos[Produto],0)),"produto não cadastrado")</f>
        <v>FORA</v>
      </c>
      <c r="K7386" s="12">
        <f>tItens[[#This Row],[Qtd]]*tItens[[#This Row],[Vlr unit]]</f>
        <v>19.7</v>
      </c>
      <c r="L7386" s="6">
        <f>IFERROR(IF(INDEX(tProdutos[Desconto homologado],MATCH(tItens[[#This Row],[Produto]],tProdutos[Produto],0))="",DescontoPadrao,INDEX(tProdutos[Desconto homologado],MATCH(tItens[[#This Row],[Produto]],tProdutos[Produto],0))),DescontoPadrao)</f>
        <v>0.35766373163696302</v>
      </c>
      <c r="M7386" s="12">
        <f>tItens[[#This Row],[Valor]]*(1-tItens[[#This Row],[Desconto]])</f>
        <v>12.654024486751826</v>
      </c>
      <c r="N7386" t="str">
        <f>IFERROR(INDEX(tProdutos[Foco],MATCH(tItens[[#This Row],[Produto]],tProdutos[Produto],0)),"Não")</f>
        <v>Não</v>
      </c>
      <c r="O7386" t="str">
        <f>IFERROR(INDEX(tEditais[SRP],MATCH(tItens[[#This Row],[Edital]],tEditais[Edital],0)),"Não")</f>
        <v>Sim</v>
      </c>
      <c r="P7386" s="4">
        <f>IF(COUNTIFS(INDEX(tItens[Edital],1):tItens[[#This Row],[Edital]],tItens[[#This Row],[Edital]],INDEX(tItens[Produto],1):tItens[[#This Row],[Produto]],tItens[[#This Row],[Produto]])=1,1,0)</f>
        <v>0</v>
      </c>
    </row>
    <row r="7387" spans="1:16" x14ac:dyDescent="0.25">
      <c r="A7387" t="s">
        <v>2468</v>
      </c>
      <c r="B7387">
        <v>735</v>
      </c>
      <c r="C7387" t="s">
        <v>10022</v>
      </c>
      <c r="D7387" t="s">
        <v>253</v>
      </c>
      <c r="E7387" s="13">
        <v>1</v>
      </c>
      <c r="F7387" s="12">
        <v>10.44</v>
      </c>
      <c r="G7387" t="str">
        <f>IFERROR(INDEX(tEditais[Órgão],MATCH(tItens[[#This Row],[Edital]],tEditais[Edital],0)),"")</f>
        <v>CIMCERO - CONSORCIO INTERMUNICIPAL DA REGIAO CENTRO LESTE DO ESTADO DE RONDONIA</v>
      </c>
      <c r="H7387" t="str">
        <f>IFERROR(INDEX(tEditais[UF],MATCH(tItens[[#This Row],[Edital]],tEditais[Edital],0)),"")</f>
        <v>RO</v>
      </c>
      <c r="I7387" s="11">
        <f>IFERROR(INDEX(tEditais[Encerramento],MATCH(tItens[[#This Row],[Edital]],tEditais[Edital],0)),"")</f>
        <v>46310.729166666664</v>
      </c>
      <c r="J7387" t="str">
        <f>IFERROR(INDEX(tProdutos[Classe],MATCH(tItens[[#This Row],[Produto]],tProdutos[Produto],0)),"produto não cadastrado")</f>
        <v>FORA</v>
      </c>
      <c r="K7387" s="12">
        <f>tItens[[#This Row],[Qtd]]*tItens[[#This Row],[Vlr unit]]</f>
        <v>10.44</v>
      </c>
      <c r="L7387" s="6">
        <f>IFERROR(IF(INDEX(tProdutos[Desconto homologado],MATCH(tItens[[#This Row],[Produto]],tProdutos[Produto],0))="",DescontoPadrao,INDEX(tProdutos[Desconto homologado],MATCH(tItens[[#This Row],[Produto]],tProdutos[Produto],0))),DescontoPadrao)</f>
        <v>0.31735159817351599</v>
      </c>
      <c r="M7387" s="12">
        <f>tItens[[#This Row],[Valor]]*(1-tItens[[#This Row],[Desconto]])</f>
        <v>7.1268493150684931</v>
      </c>
      <c r="N7387" t="str">
        <f>IFERROR(INDEX(tProdutos[Foco],MATCH(tItens[[#This Row],[Produto]],tProdutos[Produto],0)),"Não")</f>
        <v>Não</v>
      </c>
      <c r="O7387" t="str">
        <f>IFERROR(INDEX(tEditais[SRP],MATCH(tItens[[#This Row],[Edital]],tEditais[Edital],0)),"Não")</f>
        <v>Sim</v>
      </c>
      <c r="P7387" s="4">
        <f>IF(COUNTIFS(INDEX(tItens[Edital],1):tItens[[#This Row],[Edital]],tItens[[#This Row],[Edital]],INDEX(tItens[Produto],1):tItens[[#This Row],[Produto]],tItens[[#This Row],[Produto]])=1,1,0)</f>
        <v>0</v>
      </c>
    </row>
    <row r="7388" spans="1:16" x14ac:dyDescent="0.25">
      <c r="A7388" t="s">
        <v>2468</v>
      </c>
      <c r="B7388">
        <v>741</v>
      </c>
      <c r="C7388" t="s">
        <v>10023</v>
      </c>
      <c r="D7388" t="s">
        <v>56</v>
      </c>
      <c r="E7388" s="13">
        <v>1</v>
      </c>
      <c r="F7388" s="12">
        <v>22.36</v>
      </c>
      <c r="G7388" t="str">
        <f>IFERROR(INDEX(tEditais[Órgão],MATCH(tItens[[#This Row],[Edital]],tEditais[Edital],0)),"")</f>
        <v>CIMCERO - CONSORCIO INTERMUNICIPAL DA REGIAO CENTRO LESTE DO ESTADO DE RONDONIA</v>
      </c>
      <c r="H7388" t="str">
        <f>IFERROR(INDEX(tEditais[UF],MATCH(tItens[[#This Row],[Edital]],tEditais[Edital],0)),"")</f>
        <v>RO</v>
      </c>
      <c r="I7388" s="11">
        <f>IFERROR(INDEX(tEditais[Encerramento],MATCH(tItens[[#This Row],[Edital]],tEditais[Edital],0)),"")</f>
        <v>46310.729166666664</v>
      </c>
      <c r="J7388" t="str">
        <f>IFERROR(INDEX(tProdutos[Classe],MATCH(tItens[[#This Row],[Produto]],tProdutos[Produto],0)),"produto não cadastrado")</f>
        <v>NÚCLEO</v>
      </c>
      <c r="K7388" s="12">
        <f>tItens[[#This Row],[Qtd]]*tItens[[#This Row],[Vlr unit]]</f>
        <v>22.36</v>
      </c>
      <c r="L7388" s="6">
        <f>IFERROR(IF(INDEX(tProdutos[Desconto homologado],MATCH(tItens[[#This Row],[Produto]],tProdutos[Produto],0))="",DescontoPadrao,INDEX(tProdutos[Desconto homologado],MATCH(tItens[[#This Row],[Produto]],tProdutos[Produto],0))),DescontoPadrao)</f>
        <v>0.34</v>
      </c>
      <c r="M7388" s="12">
        <f>tItens[[#This Row],[Valor]]*(1-tItens[[#This Row],[Desconto]])</f>
        <v>14.757599999999998</v>
      </c>
      <c r="N7388" t="str">
        <f>IFERROR(INDEX(tProdutos[Foco],MATCH(tItens[[#This Row],[Produto]],tProdutos[Produto],0)),"Não")</f>
        <v>Sim</v>
      </c>
      <c r="O7388" t="str">
        <f>IFERROR(INDEX(tEditais[SRP],MATCH(tItens[[#This Row],[Edital]],tEditais[Edital],0)),"Não")</f>
        <v>Sim</v>
      </c>
      <c r="P7388" s="4">
        <f>IF(COUNTIFS(INDEX(tItens[Edital],1):tItens[[#This Row],[Edital]],tItens[[#This Row],[Edital]],INDEX(tItens[Produto],1):tItens[[#This Row],[Produto]],tItens[[#This Row],[Produto]])=1,1,0)</f>
        <v>0</v>
      </c>
    </row>
    <row r="7389" spans="1:16" x14ac:dyDescent="0.25">
      <c r="A7389" t="s">
        <v>2468</v>
      </c>
      <c r="B7389">
        <v>751</v>
      </c>
      <c r="C7389" t="s">
        <v>10024</v>
      </c>
      <c r="D7389" t="s">
        <v>98</v>
      </c>
      <c r="E7389" s="13">
        <v>1</v>
      </c>
      <c r="F7389" s="12">
        <v>15.71</v>
      </c>
      <c r="G7389" t="str">
        <f>IFERROR(INDEX(tEditais[Órgão],MATCH(tItens[[#This Row],[Edital]],tEditais[Edital],0)),"")</f>
        <v>CIMCERO - CONSORCIO INTERMUNICIPAL DA REGIAO CENTRO LESTE DO ESTADO DE RONDONIA</v>
      </c>
      <c r="H7389" t="str">
        <f>IFERROR(INDEX(tEditais[UF],MATCH(tItens[[#This Row],[Edital]],tEditais[Edital],0)),"")</f>
        <v>RO</v>
      </c>
      <c r="I7389" s="11">
        <f>IFERROR(INDEX(tEditais[Encerramento],MATCH(tItens[[#This Row],[Edital]],tEditais[Edital],0)),"")</f>
        <v>46310.729166666664</v>
      </c>
      <c r="J7389" t="str">
        <f>IFERROR(INDEX(tProdutos[Classe],MATCH(tItens[[#This Row],[Produto]],tProdutos[Produto],0)),"produto não cadastrado")</f>
        <v>NÚCLEO</v>
      </c>
      <c r="K7389" s="12">
        <f>tItens[[#This Row],[Qtd]]*tItens[[#This Row],[Vlr unit]]</f>
        <v>15.71</v>
      </c>
      <c r="L7389" s="6">
        <f>IFERROR(IF(INDEX(tProdutos[Desconto homologado],MATCH(tItens[[#This Row],[Produto]],tProdutos[Produto],0))="",DescontoPadrao,INDEX(tProdutos[Desconto homologado],MATCH(tItens[[#This Row],[Produto]],tProdutos[Produto],0))),DescontoPadrao)</f>
        <v>0.39</v>
      </c>
      <c r="M7389" s="12">
        <f>tItens[[#This Row],[Valor]]*(1-tItens[[#This Row],[Desconto]])</f>
        <v>9.5831</v>
      </c>
      <c r="N7389" t="str">
        <f>IFERROR(INDEX(tProdutos[Foco],MATCH(tItens[[#This Row],[Produto]],tProdutos[Produto],0)),"Não")</f>
        <v>Sim</v>
      </c>
      <c r="O7389" t="str">
        <f>IFERROR(INDEX(tEditais[SRP],MATCH(tItens[[#This Row],[Edital]],tEditais[Edital],0)),"Não")</f>
        <v>Sim</v>
      </c>
      <c r="P7389" s="4">
        <f>IF(COUNTIFS(INDEX(tItens[Edital],1):tItens[[#This Row],[Edital]],tItens[[#This Row],[Edital]],INDEX(tItens[Produto],1):tItens[[#This Row],[Produto]],tItens[[#This Row],[Produto]])=1,1,0)</f>
        <v>0</v>
      </c>
    </row>
    <row r="7390" spans="1:16" x14ac:dyDescent="0.25">
      <c r="A7390" t="s">
        <v>2468</v>
      </c>
      <c r="B7390">
        <v>753</v>
      </c>
      <c r="C7390" t="s">
        <v>10025</v>
      </c>
      <c r="D7390" t="s">
        <v>98</v>
      </c>
      <c r="E7390" s="13">
        <v>1</v>
      </c>
      <c r="F7390" s="12">
        <v>3.39</v>
      </c>
      <c r="G7390" t="str">
        <f>IFERROR(INDEX(tEditais[Órgão],MATCH(tItens[[#This Row],[Edital]],tEditais[Edital],0)),"")</f>
        <v>CIMCERO - CONSORCIO INTERMUNICIPAL DA REGIAO CENTRO LESTE DO ESTADO DE RONDONIA</v>
      </c>
      <c r="H7390" t="str">
        <f>IFERROR(INDEX(tEditais[UF],MATCH(tItens[[#This Row],[Edital]],tEditais[Edital],0)),"")</f>
        <v>RO</v>
      </c>
      <c r="I7390" s="11">
        <f>IFERROR(INDEX(tEditais[Encerramento],MATCH(tItens[[#This Row],[Edital]],tEditais[Edital],0)),"")</f>
        <v>46310.729166666664</v>
      </c>
      <c r="J7390" t="str">
        <f>IFERROR(INDEX(tProdutos[Classe],MATCH(tItens[[#This Row],[Produto]],tProdutos[Produto],0)),"produto não cadastrado")</f>
        <v>NÚCLEO</v>
      </c>
      <c r="K7390" s="12">
        <f>tItens[[#This Row],[Qtd]]*tItens[[#This Row],[Vlr unit]]</f>
        <v>3.39</v>
      </c>
      <c r="L7390" s="6">
        <f>IFERROR(IF(INDEX(tProdutos[Desconto homologado],MATCH(tItens[[#This Row],[Produto]],tProdutos[Produto],0))="",DescontoPadrao,INDEX(tProdutos[Desconto homologado],MATCH(tItens[[#This Row],[Produto]],tProdutos[Produto],0))),DescontoPadrao)</f>
        <v>0.39</v>
      </c>
      <c r="M7390" s="12">
        <f>tItens[[#This Row],[Valor]]*(1-tItens[[#This Row],[Desconto]])</f>
        <v>2.0678999999999998</v>
      </c>
      <c r="N7390" t="str">
        <f>IFERROR(INDEX(tProdutos[Foco],MATCH(tItens[[#This Row],[Produto]],tProdutos[Produto],0)),"Não")</f>
        <v>Sim</v>
      </c>
      <c r="O7390" t="str">
        <f>IFERROR(INDEX(tEditais[SRP],MATCH(tItens[[#This Row],[Edital]],tEditais[Edital],0)),"Não")</f>
        <v>Sim</v>
      </c>
      <c r="P7390" s="4">
        <f>IF(COUNTIFS(INDEX(tItens[Edital],1):tItens[[#This Row],[Edital]],tItens[[#This Row],[Edital]],INDEX(tItens[Produto],1):tItens[[#This Row],[Produto]],tItens[[#This Row],[Produto]])=1,1,0)</f>
        <v>0</v>
      </c>
    </row>
    <row r="7391" spans="1:16" x14ac:dyDescent="0.25">
      <c r="A7391" t="s">
        <v>2468</v>
      </c>
      <c r="B7391">
        <v>754</v>
      </c>
      <c r="C7391" t="s">
        <v>10026</v>
      </c>
      <c r="D7391" t="s">
        <v>98</v>
      </c>
      <c r="E7391" s="13">
        <v>1</v>
      </c>
      <c r="F7391" s="12">
        <v>3.46</v>
      </c>
      <c r="G7391" t="str">
        <f>IFERROR(INDEX(tEditais[Órgão],MATCH(tItens[[#This Row],[Edital]],tEditais[Edital],0)),"")</f>
        <v>CIMCERO - CONSORCIO INTERMUNICIPAL DA REGIAO CENTRO LESTE DO ESTADO DE RONDONIA</v>
      </c>
      <c r="H7391" t="str">
        <f>IFERROR(INDEX(tEditais[UF],MATCH(tItens[[#This Row],[Edital]],tEditais[Edital],0)),"")</f>
        <v>RO</v>
      </c>
      <c r="I7391" s="11">
        <f>IFERROR(INDEX(tEditais[Encerramento],MATCH(tItens[[#This Row],[Edital]],tEditais[Edital],0)),"")</f>
        <v>46310.729166666664</v>
      </c>
      <c r="J7391" t="str">
        <f>IFERROR(INDEX(tProdutos[Classe],MATCH(tItens[[#This Row],[Produto]],tProdutos[Produto],0)),"produto não cadastrado")</f>
        <v>NÚCLEO</v>
      </c>
      <c r="K7391" s="12">
        <f>tItens[[#This Row],[Qtd]]*tItens[[#This Row],[Vlr unit]]</f>
        <v>3.46</v>
      </c>
      <c r="L7391" s="6">
        <f>IFERROR(IF(INDEX(tProdutos[Desconto homologado],MATCH(tItens[[#This Row],[Produto]],tProdutos[Produto],0))="",DescontoPadrao,INDEX(tProdutos[Desconto homologado],MATCH(tItens[[#This Row],[Produto]],tProdutos[Produto],0))),DescontoPadrao)</f>
        <v>0.39</v>
      </c>
      <c r="M7391" s="12">
        <f>tItens[[#This Row],[Valor]]*(1-tItens[[#This Row],[Desconto]])</f>
        <v>2.1105999999999998</v>
      </c>
      <c r="N7391" t="str">
        <f>IFERROR(INDEX(tProdutos[Foco],MATCH(tItens[[#This Row],[Produto]],tProdutos[Produto],0)),"Não")</f>
        <v>Sim</v>
      </c>
      <c r="O7391" t="str">
        <f>IFERROR(INDEX(tEditais[SRP],MATCH(tItens[[#This Row],[Edital]],tEditais[Edital],0)),"Não")</f>
        <v>Sim</v>
      </c>
      <c r="P7391" s="4">
        <f>IF(COUNTIFS(INDEX(tItens[Edital],1):tItens[[#This Row],[Edital]],tItens[[#This Row],[Edital]],INDEX(tItens[Produto],1):tItens[[#This Row],[Produto]],tItens[[#This Row],[Produto]])=1,1,0)</f>
        <v>0</v>
      </c>
    </row>
    <row r="7392" spans="1:16" x14ac:dyDescent="0.25">
      <c r="A7392" t="s">
        <v>2468</v>
      </c>
      <c r="B7392">
        <v>767</v>
      </c>
      <c r="C7392" t="s">
        <v>10027</v>
      </c>
      <c r="D7392" t="s">
        <v>136</v>
      </c>
      <c r="E7392" s="13">
        <v>1</v>
      </c>
      <c r="F7392" s="12">
        <v>6.25</v>
      </c>
      <c r="G7392" t="str">
        <f>IFERROR(INDEX(tEditais[Órgão],MATCH(tItens[[#This Row],[Edital]],tEditais[Edital],0)),"")</f>
        <v>CIMCERO - CONSORCIO INTERMUNICIPAL DA REGIAO CENTRO LESTE DO ESTADO DE RONDONIA</v>
      </c>
      <c r="H7392" t="str">
        <f>IFERROR(INDEX(tEditais[UF],MATCH(tItens[[#This Row],[Edital]],tEditais[Edital],0)),"")</f>
        <v>RO</v>
      </c>
      <c r="I7392" s="11">
        <f>IFERROR(INDEX(tEditais[Encerramento],MATCH(tItens[[#This Row],[Edital]],tEditais[Edital],0)),"")</f>
        <v>46310.729166666664</v>
      </c>
      <c r="J7392" t="str">
        <f>IFERROR(INDEX(tProdutos[Classe],MATCH(tItens[[#This Row],[Produto]],tProdutos[Produto],0)),"produto não cadastrado")</f>
        <v>DISPUTADO</v>
      </c>
      <c r="K7392" s="12">
        <f>tItens[[#This Row],[Qtd]]*tItens[[#This Row],[Vlr unit]]</f>
        <v>6.25</v>
      </c>
      <c r="L7392" s="6">
        <f>IFERROR(IF(INDEX(tProdutos[Desconto homologado],MATCH(tItens[[#This Row],[Produto]],tProdutos[Produto],0))="",DescontoPadrao,INDEX(tProdutos[Desconto homologado],MATCH(tItens[[#This Row],[Produto]],tProdutos[Produto],0))),DescontoPadrao)</f>
        <v>0.330646209370899</v>
      </c>
      <c r="M7392" s="12">
        <f>tItens[[#This Row],[Valor]]*(1-tItens[[#This Row],[Desconto]])</f>
        <v>4.1834611914318813</v>
      </c>
      <c r="N7392" t="str">
        <f>IFERROR(INDEX(tProdutos[Foco],MATCH(tItens[[#This Row],[Produto]],tProdutos[Produto],0)),"Não")</f>
        <v>Não</v>
      </c>
      <c r="O7392" t="str">
        <f>IFERROR(INDEX(tEditais[SRP],MATCH(tItens[[#This Row],[Edital]],tEditais[Edital],0)),"Não")</f>
        <v>Sim</v>
      </c>
      <c r="P7392" s="4">
        <f>IF(COUNTIFS(INDEX(tItens[Edital],1):tItens[[#This Row],[Edital]],tItens[[#This Row],[Edital]],INDEX(tItens[Produto],1):tItens[[#This Row],[Produto]],tItens[[#This Row],[Produto]])=1,1,0)</f>
        <v>1</v>
      </c>
    </row>
    <row r="7393" spans="1:16" x14ac:dyDescent="0.25">
      <c r="A7393" t="s">
        <v>2468</v>
      </c>
      <c r="B7393">
        <v>768</v>
      </c>
      <c r="C7393" t="s">
        <v>10028</v>
      </c>
      <c r="D7393" t="s">
        <v>136</v>
      </c>
      <c r="E7393" s="13">
        <v>1</v>
      </c>
      <c r="F7393" s="12">
        <v>9</v>
      </c>
      <c r="G7393" t="str">
        <f>IFERROR(INDEX(tEditais[Órgão],MATCH(tItens[[#This Row],[Edital]],tEditais[Edital],0)),"")</f>
        <v>CIMCERO - CONSORCIO INTERMUNICIPAL DA REGIAO CENTRO LESTE DO ESTADO DE RONDONIA</v>
      </c>
      <c r="H7393" t="str">
        <f>IFERROR(INDEX(tEditais[UF],MATCH(tItens[[#This Row],[Edital]],tEditais[Edital],0)),"")</f>
        <v>RO</v>
      </c>
      <c r="I7393" s="11">
        <f>IFERROR(INDEX(tEditais[Encerramento],MATCH(tItens[[#This Row],[Edital]],tEditais[Edital],0)),"")</f>
        <v>46310.729166666664</v>
      </c>
      <c r="J7393" t="str">
        <f>IFERROR(INDEX(tProdutos[Classe],MATCH(tItens[[#This Row],[Produto]],tProdutos[Produto],0)),"produto não cadastrado")</f>
        <v>DISPUTADO</v>
      </c>
      <c r="K7393" s="12">
        <f>tItens[[#This Row],[Qtd]]*tItens[[#This Row],[Vlr unit]]</f>
        <v>9</v>
      </c>
      <c r="L7393" s="6">
        <f>IFERROR(IF(INDEX(tProdutos[Desconto homologado],MATCH(tItens[[#This Row],[Produto]],tProdutos[Produto],0))="",DescontoPadrao,INDEX(tProdutos[Desconto homologado],MATCH(tItens[[#This Row],[Produto]],tProdutos[Produto],0))),DescontoPadrao)</f>
        <v>0.330646209370899</v>
      </c>
      <c r="M7393" s="12">
        <f>tItens[[#This Row],[Valor]]*(1-tItens[[#This Row],[Desconto]])</f>
        <v>6.0241841156619085</v>
      </c>
      <c r="N7393" t="str">
        <f>IFERROR(INDEX(tProdutos[Foco],MATCH(tItens[[#This Row],[Produto]],tProdutos[Produto],0)),"Não")</f>
        <v>Não</v>
      </c>
      <c r="O7393" t="str">
        <f>IFERROR(INDEX(tEditais[SRP],MATCH(tItens[[#This Row],[Edital]],tEditais[Edital],0)),"Não")</f>
        <v>Sim</v>
      </c>
      <c r="P7393" s="4">
        <f>IF(COUNTIFS(INDEX(tItens[Edital],1):tItens[[#This Row],[Edital]],tItens[[#This Row],[Edital]],INDEX(tItens[Produto],1):tItens[[#This Row],[Produto]],tItens[[#This Row],[Produto]])=1,1,0)</f>
        <v>0</v>
      </c>
    </row>
    <row r="7394" spans="1:16" x14ac:dyDescent="0.25">
      <c r="A7394" t="s">
        <v>2468</v>
      </c>
      <c r="B7394">
        <v>769</v>
      </c>
      <c r="C7394" t="s">
        <v>10029</v>
      </c>
      <c r="D7394" t="s">
        <v>144</v>
      </c>
      <c r="E7394" s="13">
        <v>1</v>
      </c>
      <c r="F7394" s="12">
        <v>17.399999999999999</v>
      </c>
      <c r="G7394" t="str">
        <f>IFERROR(INDEX(tEditais[Órgão],MATCH(tItens[[#This Row],[Edital]],tEditais[Edital],0)),"")</f>
        <v>CIMCERO - CONSORCIO INTERMUNICIPAL DA REGIAO CENTRO LESTE DO ESTADO DE RONDONIA</v>
      </c>
      <c r="H7394" t="str">
        <f>IFERROR(INDEX(tEditais[UF],MATCH(tItens[[#This Row],[Edital]],tEditais[Edital],0)),"")</f>
        <v>RO</v>
      </c>
      <c r="I7394" s="11">
        <f>IFERROR(INDEX(tEditais[Encerramento],MATCH(tItens[[#This Row],[Edital]],tEditais[Edital],0)),"")</f>
        <v>46310.729166666664</v>
      </c>
      <c r="J7394" t="str">
        <f>IFERROR(INDEX(tProdutos[Classe],MATCH(tItens[[#This Row],[Produto]],tProdutos[Produto],0)),"produto não cadastrado")</f>
        <v>DISPUTADO</v>
      </c>
      <c r="K7394" s="12">
        <f>tItens[[#This Row],[Qtd]]*tItens[[#This Row],[Vlr unit]]</f>
        <v>17.399999999999999</v>
      </c>
      <c r="L7394" s="6">
        <f>IFERROR(IF(INDEX(tProdutos[Desconto homologado],MATCH(tItens[[#This Row],[Produto]],tProdutos[Produto],0))="",DescontoPadrao,INDEX(tProdutos[Desconto homologado],MATCH(tItens[[#This Row],[Produto]],tProdutos[Produto],0))),DescontoPadrao)</f>
        <v>0.371428571428571</v>
      </c>
      <c r="M7394" s="12">
        <f>tItens[[#This Row],[Valor]]*(1-tItens[[#This Row],[Desconto]])</f>
        <v>10.937142857142863</v>
      </c>
      <c r="N7394" t="str">
        <f>IFERROR(INDEX(tProdutos[Foco],MATCH(tItens[[#This Row],[Produto]],tProdutos[Produto],0)),"Não")</f>
        <v>Não</v>
      </c>
      <c r="O7394" t="str">
        <f>IFERROR(INDEX(tEditais[SRP],MATCH(tItens[[#This Row],[Edital]],tEditais[Edital],0)),"Não")</f>
        <v>Sim</v>
      </c>
      <c r="P7394" s="4">
        <f>IF(COUNTIFS(INDEX(tItens[Edital],1):tItens[[#This Row],[Edital]],tItens[[#This Row],[Edital]],INDEX(tItens[Produto],1):tItens[[#This Row],[Produto]],tItens[[#This Row],[Produto]])=1,1,0)</f>
        <v>1</v>
      </c>
    </row>
    <row r="7395" spans="1:16" x14ac:dyDescent="0.25">
      <c r="A7395" t="s">
        <v>2468</v>
      </c>
      <c r="B7395">
        <v>776</v>
      </c>
      <c r="C7395" t="s">
        <v>10030</v>
      </c>
      <c r="D7395" t="s">
        <v>566</v>
      </c>
      <c r="E7395" s="13">
        <v>1</v>
      </c>
      <c r="F7395" s="12">
        <v>374.54</v>
      </c>
      <c r="G7395" t="str">
        <f>IFERROR(INDEX(tEditais[Órgão],MATCH(tItens[[#This Row],[Edital]],tEditais[Edital],0)),"")</f>
        <v>CIMCERO - CONSORCIO INTERMUNICIPAL DA REGIAO CENTRO LESTE DO ESTADO DE RONDONIA</v>
      </c>
      <c r="H7395" t="str">
        <f>IFERROR(INDEX(tEditais[UF],MATCH(tItens[[#This Row],[Edital]],tEditais[Edital],0)),"")</f>
        <v>RO</v>
      </c>
      <c r="I7395" s="11">
        <f>IFERROR(INDEX(tEditais[Encerramento],MATCH(tItens[[#This Row],[Edital]],tEditais[Edital],0)),"")</f>
        <v>46310.729166666664</v>
      </c>
      <c r="J7395" t="str">
        <f>IFERROR(INDEX(tProdutos[Classe],MATCH(tItens[[#This Row],[Produto]],tProdutos[Produto],0)),"produto não cadastrado")</f>
        <v>FILA REBASE</v>
      </c>
      <c r="K7395" s="12">
        <f>tItens[[#This Row],[Qtd]]*tItens[[#This Row],[Vlr unit]]</f>
        <v>374.54</v>
      </c>
      <c r="L7395" s="6">
        <f>IFERROR(IF(INDEX(tProdutos[Desconto homologado],MATCH(tItens[[#This Row],[Produto]],tProdutos[Produto],0))="",DescontoPadrao,INDEX(tProdutos[Desconto homologado],MATCH(tItens[[#This Row],[Produto]],tProdutos[Produto],0))),DescontoPadrao)</f>
        <v>0.1816062551698</v>
      </c>
      <c r="M7395" s="12">
        <f>tItens[[#This Row],[Valor]]*(1-tItens[[#This Row],[Desconto]])</f>
        <v>306.52119318870314</v>
      </c>
      <c r="N7395" t="str">
        <f>IFERROR(INDEX(tProdutos[Foco],MATCH(tItens[[#This Row],[Produto]],tProdutos[Produto],0)),"Não")</f>
        <v>Não</v>
      </c>
      <c r="O7395" t="str">
        <f>IFERROR(INDEX(tEditais[SRP],MATCH(tItens[[#This Row],[Edital]],tEditais[Edital],0)),"Não")</f>
        <v>Sim</v>
      </c>
      <c r="P7395" s="4">
        <f>IF(COUNTIFS(INDEX(tItens[Edital],1):tItens[[#This Row],[Edital]],tItens[[#This Row],[Edital]],INDEX(tItens[Produto],1):tItens[[#This Row],[Produto]],tItens[[#This Row],[Produto]])=1,1,0)</f>
        <v>1</v>
      </c>
    </row>
    <row r="7396" spans="1:16" x14ac:dyDescent="0.25">
      <c r="A7396" t="s">
        <v>2468</v>
      </c>
      <c r="B7396">
        <v>777</v>
      </c>
      <c r="C7396" t="s">
        <v>10031</v>
      </c>
      <c r="D7396" t="s">
        <v>566</v>
      </c>
      <c r="E7396" s="13">
        <v>1</v>
      </c>
      <c r="F7396" s="12">
        <v>430</v>
      </c>
      <c r="G7396" t="str">
        <f>IFERROR(INDEX(tEditais[Órgão],MATCH(tItens[[#This Row],[Edital]],tEditais[Edital],0)),"")</f>
        <v>CIMCERO - CONSORCIO INTERMUNICIPAL DA REGIAO CENTRO LESTE DO ESTADO DE RONDONIA</v>
      </c>
      <c r="H7396" t="str">
        <f>IFERROR(INDEX(tEditais[UF],MATCH(tItens[[#This Row],[Edital]],tEditais[Edital],0)),"")</f>
        <v>RO</v>
      </c>
      <c r="I7396" s="11">
        <f>IFERROR(INDEX(tEditais[Encerramento],MATCH(tItens[[#This Row],[Edital]],tEditais[Edital],0)),"")</f>
        <v>46310.729166666664</v>
      </c>
      <c r="J7396" t="str">
        <f>IFERROR(INDEX(tProdutos[Classe],MATCH(tItens[[#This Row],[Produto]],tProdutos[Produto],0)),"produto não cadastrado")</f>
        <v>FILA REBASE</v>
      </c>
      <c r="K7396" s="12">
        <f>tItens[[#This Row],[Qtd]]*tItens[[#This Row],[Vlr unit]]</f>
        <v>430</v>
      </c>
      <c r="L7396" s="6">
        <f>IFERROR(IF(INDEX(tProdutos[Desconto homologado],MATCH(tItens[[#This Row],[Produto]],tProdutos[Produto],0))="",DescontoPadrao,INDEX(tProdutos[Desconto homologado],MATCH(tItens[[#This Row],[Produto]],tProdutos[Produto],0))),DescontoPadrao)</f>
        <v>0.1816062551698</v>
      </c>
      <c r="M7396" s="12">
        <f>tItens[[#This Row],[Valor]]*(1-tItens[[#This Row],[Desconto]])</f>
        <v>351.90931027698599</v>
      </c>
      <c r="N7396" t="str">
        <f>IFERROR(INDEX(tProdutos[Foco],MATCH(tItens[[#This Row],[Produto]],tProdutos[Produto],0)),"Não")</f>
        <v>Não</v>
      </c>
      <c r="O7396" t="str">
        <f>IFERROR(INDEX(tEditais[SRP],MATCH(tItens[[#This Row],[Edital]],tEditais[Edital],0)),"Não")</f>
        <v>Sim</v>
      </c>
      <c r="P7396" s="4">
        <f>IF(COUNTIFS(INDEX(tItens[Edital],1):tItens[[#This Row],[Edital]],tItens[[#This Row],[Edital]],INDEX(tItens[Produto],1):tItens[[#This Row],[Produto]],tItens[[#This Row],[Produto]])=1,1,0)</f>
        <v>0</v>
      </c>
    </row>
    <row r="7397" spans="1:16" x14ac:dyDescent="0.25">
      <c r="A7397" t="s">
        <v>2468</v>
      </c>
      <c r="B7397">
        <v>786</v>
      </c>
      <c r="C7397" t="s">
        <v>10032</v>
      </c>
      <c r="D7397" t="s">
        <v>578</v>
      </c>
      <c r="E7397" s="13">
        <v>1</v>
      </c>
      <c r="F7397" s="12">
        <v>1870</v>
      </c>
      <c r="G7397" t="str">
        <f>IFERROR(INDEX(tEditais[Órgão],MATCH(tItens[[#This Row],[Edital]],tEditais[Edital],0)),"")</f>
        <v>CIMCERO - CONSORCIO INTERMUNICIPAL DA REGIAO CENTRO LESTE DO ESTADO DE RONDONIA</v>
      </c>
      <c r="H7397" t="str">
        <f>IFERROR(INDEX(tEditais[UF],MATCH(tItens[[#This Row],[Edital]],tEditais[Edital],0)),"")</f>
        <v>RO</v>
      </c>
      <c r="I7397" s="11">
        <f>IFERROR(INDEX(tEditais[Encerramento],MATCH(tItens[[#This Row],[Edital]],tEditais[Edital],0)),"")</f>
        <v>46310.729166666664</v>
      </c>
      <c r="J7397" t="str">
        <f>IFERROR(INDEX(tProdutos[Classe],MATCH(tItens[[#This Row],[Produto]],tProdutos[Produto],0)),"produto não cadastrado")</f>
        <v>FILA REBASE</v>
      </c>
      <c r="K7397" s="12">
        <f>tItens[[#This Row],[Qtd]]*tItens[[#This Row],[Vlr unit]]</f>
        <v>1870</v>
      </c>
      <c r="L7397" s="6">
        <f>IFERROR(IF(INDEX(tProdutos[Desconto homologado],MATCH(tItens[[#This Row],[Produto]],tProdutos[Produto],0))="",DescontoPadrao,INDEX(tProdutos[Desconto homologado],MATCH(tItens[[#This Row],[Produto]],tProdutos[Produto],0))),DescontoPadrao)</f>
        <v>0.36014625228519198</v>
      </c>
      <c r="M7397" s="12">
        <f>tItens[[#This Row],[Valor]]*(1-tItens[[#This Row],[Desconto]])</f>
        <v>1196.526508226691</v>
      </c>
      <c r="N7397" t="str">
        <f>IFERROR(INDEX(tProdutos[Foco],MATCH(tItens[[#This Row],[Produto]],tProdutos[Produto],0)),"Não")</f>
        <v>Não</v>
      </c>
      <c r="O7397" t="str">
        <f>IFERROR(INDEX(tEditais[SRP],MATCH(tItens[[#This Row],[Edital]],tEditais[Edital],0)),"Não")</f>
        <v>Sim</v>
      </c>
      <c r="P7397" s="4">
        <f>IF(COUNTIFS(INDEX(tItens[Edital],1):tItens[[#This Row],[Edital]],tItens[[#This Row],[Edital]],INDEX(tItens[Produto],1):tItens[[#This Row],[Produto]],tItens[[#This Row],[Produto]])=1,1,0)</f>
        <v>1</v>
      </c>
    </row>
    <row r="7398" spans="1:16" x14ac:dyDescent="0.25">
      <c r="A7398" t="s">
        <v>2468</v>
      </c>
      <c r="B7398">
        <v>787</v>
      </c>
      <c r="C7398" t="s">
        <v>4026</v>
      </c>
      <c r="D7398" t="s">
        <v>578</v>
      </c>
      <c r="E7398" s="13">
        <v>1</v>
      </c>
      <c r="F7398" s="12">
        <v>627.33000000000004</v>
      </c>
      <c r="G7398" t="str">
        <f>IFERROR(INDEX(tEditais[Órgão],MATCH(tItens[[#This Row],[Edital]],tEditais[Edital],0)),"")</f>
        <v>CIMCERO - CONSORCIO INTERMUNICIPAL DA REGIAO CENTRO LESTE DO ESTADO DE RONDONIA</v>
      </c>
      <c r="H7398" t="str">
        <f>IFERROR(INDEX(tEditais[UF],MATCH(tItens[[#This Row],[Edital]],tEditais[Edital],0)),"")</f>
        <v>RO</v>
      </c>
      <c r="I7398" s="11">
        <f>IFERROR(INDEX(tEditais[Encerramento],MATCH(tItens[[#This Row],[Edital]],tEditais[Edital],0)),"")</f>
        <v>46310.729166666664</v>
      </c>
      <c r="J7398" t="str">
        <f>IFERROR(INDEX(tProdutos[Classe],MATCH(tItens[[#This Row],[Produto]],tProdutos[Produto],0)),"produto não cadastrado")</f>
        <v>FILA REBASE</v>
      </c>
      <c r="K7398" s="12">
        <f>tItens[[#This Row],[Qtd]]*tItens[[#This Row],[Vlr unit]]</f>
        <v>627.33000000000004</v>
      </c>
      <c r="L7398" s="6">
        <f>IFERROR(IF(INDEX(tProdutos[Desconto homologado],MATCH(tItens[[#This Row],[Produto]],tProdutos[Produto],0))="",DescontoPadrao,INDEX(tProdutos[Desconto homologado],MATCH(tItens[[#This Row],[Produto]],tProdutos[Produto],0))),DescontoPadrao)</f>
        <v>0.36014625228519198</v>
      </c>
      <c r="M7398" s="12">
        <f>tItens[[#This Row],[Valor]]*(1-tItens[[#This Row],[Desconto]])</f>
        <v>401.39945155393059</v>
      </c>
      <c r="N7398" t="str">
        <f>IFERROR(INDEX(tProdutos[Foco],MATCH(tItens[[#This Row],[Produto]],tProdutos[Produto],0)),"Não")</f>
        <v>Não</v>
      </c>
      <c r="O7398" t="str">
        <f>IFERROR(INDEX(tEditais[SRP],MATCH(tItens[[#This Row],[Edital]],tEditais[Edital],0)),"Não")</f>
        <v>Sim</v>
      </c>
      <c r="P7398" s="4">
        <f>IF(COUNTIFS(INDEX(tItens[Edital],1):tItens[[#This Row],[Edital]],tItens[[#This Row],[Edital]],INDEX(tItens[Produto],1):tItens[[#This Row],[Produto]],tItens[[#This Row],[Produto]])=1,1,0)</f>
        <v>0</v>
      </c>
    </row>
    <row r="7399" spans="1:16" x14ac:dyDescent="0.25">
      <c r="A7399" t="s">
        <v>2468</v>
      </c>
      <c r="B7399">
        <v>796</v>
      </c>
      <c r="C7399" t="s">
        <v>9824</v>
      </c>
      <c r="D7399" t="s">
        <v>82</v>
      </c>
      <c r="E7399" s="13">
        <v>1</v>
      </c>
      <c r="F7399" s="12">
        <v>14.88</v>
      </c>
      <c r="G7399" t="str">
        <f>IFERROR(INDEX(tEditais[Órgão],MATCH(tItens[[#This Row],[Edital]],tEditais[Edital],0)),"")</f>
        <v>CIMCERO - CONSORCIO INTERMUNICIPAL DA REGIAO CENTRO LESTE DO ESTADO DE RONDONIA</v>
      </c>
      <c r="H7399" t="str">
        <f>IFERROR(INDEX(tEditais[UF],MATCH(tItens[[#This Row],[Edital]],tEditais[Edital],0)),"")</f>
        <v>RO</v>
      </c>
      <c r="I7399" s="11">
        <f>IFERROR(INDEX(tEditais[Encerramento],MATCH(tItens[[#This Row],[Edital]],tEditais[Edital],0)),"")</f>
        <v>46310.729166666664</v>
      </c>
      <c r="J7399" t="str">
        <f>IFERROR(INDEX(tProdutos[Classe],MATCH(tItens[[#This Row],[Produto]],tProdutos[Produto],0)),"produto não cadastrado")</f>
        <v>NÚCLEO</v>
      </c>
      <c r="K7399" s="12">
        <f>tItens[[#This Row],[Qtd]]*tItens[[#This Row],[Vlr unit]]</f>
        <v>14.88</v>
      </c>
      <c r="L7399" s="6">
        <f>IFERROR(IF(INDEX(tProdutos[Desconto homologado],MATCH(tItens[[#This Row],[Produto]],tProdutos[Produto],0))="",DescontoPadrao,INDEX(tProdutos[Desconto homologado],MATCH(tItens[[#This Row],[Produto]],tProdutos[Produto],0))),DescontoPadrao)</f>
        <v>0.40487090276506099</v>
      </c>
      <c r="M7399" s="12">
        <f>tItens[[#This Row],[Valor]]*(1-tItens[[#This Row],[Desconto]])</f>
        <v>8.8555209668558934</v>
      </c>
      <c r="N7399" t="str">
        <f>IFERROR(INDEX(tProdutos[Foco],MATCH(tItens[[#This Row],[Produto]],tProdutos[Produto],0)),"Não")</f>
        <v>Não</v>
      </c>
      <c r="O7399" t="str">
        <f>IFERROR(INDEX(tEditais[SRP],MATCH(tItens[[#This Row],[Edital]],tEditais[Edital],0)),"Não")</f>
        <v>Sim</v>
      </c>
      <c r="P7399" s="4">
        <f>IF(COUNTIFS(INDEX(tItens[Edital],1):tItens[[#This Row],[Edital]],tItens[[#This Row],[Edital]],INDEX(tItens[Produto],1):tItens[[#This Row],[Produto]],tItens[[#This Row],[Produto]])=1,1,0)</f>
        <v>0</v>
      </c>
    </row>
    <row r="7400" spans="1:16" x14ac:dyDescent="0.25">
      <c r="A7400" t="s">
        <v>2468</v>
      </c>
      <c r="B7400">
        <v>797</v>
      </c>
      <c r="C7400" t="s">
        <v>4244</v>
      </c>
      <c r="D7400" t="s">
        <v>315</v>
      </c>
      <c r="E7400" s="13">
        <v>1</v>
      </c>
      <c r="F7400" s="12">
        <v>5.72</v>
      </c>
      <c r="G7400" t="str">
        <f>IFERROR(INDEX(tEditais[Órgão],MATCH(tItens[[#This Row],[Edital]],tEditais[Edital],0)),"")</f>
        <v>CIMCERO - CONSORCIO INTERMUNICIPAL DA REGIAO CENTRO LESTE DO ESTADO DE RONDONIA</v>
      </c>
      <c r="H7400" t="str">
        <f>IFERROR(INDEX(tEditais[UF],MATCH(tItens[[#This Row],[Edital]],tEditais[Edital],0)),"")</f>
        <v>RO</v>
      </c>
      <c r="I7400" s="11">
        <f>IFERROR(INDEX(tEditais[Encerramento],MATCH(tItens[[#This Row],[Edital]],tEditais[Edital],0)),"")</f>
        <v>46310.729166666664</v>
      </c>
      <c r="J7400" t="str">
        <f>IFERROR(INDEX(tProdutos[Classe],MATCH(tItens[[#This Row],[Produto]],tProdutos[Produto],0)),"produto não cadastrado")</f>
        <v>FORA</v>
      </c>
      <c r="K7400" s="12">
        <f>tItens[[#This Row],[Qtd]]*tItens[[#This Row],[Vlr unit]]</f>
        <v>5.72</v>
      </c>
      <c r="L7400" s="6">
        <f>IFERROR(IF(INDEX(tProdutos[Desconto homologado],MATCH(tItens[[#This Row],[Produto]],tProdutos[Produto],0))="",DescontoPadrao,INDEX(tProdutos[Desconto homologado],MATCH(tItens[[#This Row],[Produto]],tProdutos[Produto],0))),DescontoPadrao)</f>
        <v>0.38432036097010702</v>
      </c>
      <c r="M7400" s="12">
        <f>tItens[[#This Row],[Valor]]*(1-tItens[[#This Row],[Desconto]])</f>
        <v>3.5216875352509875</v>
      </c>
      <c r="N7400" t="str">
        <f>IFERROR(INDEX(tProdutos[Foco],MATCH(tItens[[#This Row],[Produto]],tProdutos[Produto],0)),"Não")</f>
        <v>Não</v>
      </c>
      <c r="O7400" t="str">
        <f>IFERROR(INDEX(tEditais[SRP],MATCH(tItens[[#This Row],[Edital]],tEditais[Edital],0)),"Não")</f>
        <v>Sim</v>
      </c>
      <c r="P7400" s="4">
        <f>IF(COUNTIFS(INDEX(tItens[Edital],1):tItens[[#This Row],[Edital]],tItens[[#This Row],[Edital]],INDEX(tItens[Produto],1):tItens[[#This Row],[Produto]],tItens[[#This Row],[Produto]])=1,1,0)</f>
        <v>0</v>
      </c>
    </row>
    <row r="7401" spans="1:16" x14ac:dyDescent="0.25">
      <c r="A7401" t="s">
        <v>2468</v>
      </c>
      <c r="B7401">
        <v>810</v>
      </c>
      <c r="C7401" t="s">
        <v>4110</v>
      </c>
      <c r="D7401" t="s">
        <v>277</v>
      </c>
      <c r="E7401" s="13">
        <v>1</v>
      </c>
      <c r="F7401" s="12">
        <v>13.77</v>
      </c>
      <c r="G7401" t="str">
        <f>IFERROR(INDEX(tEditais[Órgão],MATCH(tItens[[#This Row],[Edital]],tEditais[Edital],0)),"")</f>
        <v>CIMCERO - CONSORCIO INTERMUNICIPAL DA REGIAO CENTRO LESTE DO ESTADO DE RONDONIA</v>
      </c>
      <c r="H7401" t="str">
        <f>IFERROR(INDEX(tEditais[UF],MATCH(tItens[[#This Row],[Edital]],tEditais[Edital],0)),"")</f>
        <v>RO</v>
      </c>
      <c r="I7401" s="11">
        <f>IFERROR(INDEX(tEditais[Encerramento],MATCH(tItens[[#This Row],[Edital]],tEditais[Edital],0)),"")</f>
        <v>46310.729166666664</v>
      </c>
      <c r="J7401" t="str">
        <f>IFERROR(INDEX(tProdutos[Classe],MATCH(tItens[[#This Row],[Produto]],tProdutos[Produto],0)),"produto não cadastrado")</f>
        <v>DISPUTADO</v>
      </c>
      <c r="K7401" s="12">
        <f>tItens[[#This Row],[Qtd]]*tItens[[#This Row],[Vlr unit]]</f>
        <v>13.77</v>
      </c>
      <c r="L7401" s="6">
        <f>IFERROR(IF(INDEX(tProdutos[Desconto homologado],MATCH(tItens[[#This Row],[Produto]],tProdutos[Produto],0))="",DescontoPadrao,INDEX(tProdutos[Desconto homologado],MATCH(tItens[[#This Row],[Produto]],tProdutos[Produto],0))),DescontoPadrao)</f>
        <v>0.50460666194188497</v>
      </c>
      <c r="M7401" s="12">
        <f>tItens[[#This Row],[Valor]]*(1-tItens[[#This Row],[Desconto]])</f>
        <v>6.8215662650602438</v>
      </c>
      <c r="N7401" t="str">
        <f>IFERROR(INDEX(tProdutos[Foco],MATCH(tItens[[#This Row],[Produto]],tProdutos[Produto],0)),"Não")</f>
        <v>Não</v>
      </c>
      <c r="O7401" t="str">
        <f>IFERROR(INDEX(tEditais[SRP],MATCH(tItens[[#This Row],[Edital]],tEditais[Edital],0)),"Não")</f>
        <v>Sim</v>
      </c>
      <c r="P7401" s="4">
        <f>IF(COUNTIFS(INDEX(tItens[Edital],1):tItens[[#This Row],[Edital]],tItens[[#This Row],[Edital]],INDEX(tItens[Produto],1):tItens[[#This Row],[Produto]],tItens[[#This Row],[Produto]])=1,1,0)</f>
        <v>0</v>
      </c>
    </row>
    <row r="7402" spans="1:16" x14ac:dyDescent="0.25">
      <c r="A7402" t="s">
        <v>2468</v>
      </c>
      <c r="B7402">
        <v>815</v>
      </c>
      <c r="C7402" t="s">
        <v>9409</v>
      </c>
      <c r="D7402" t="s">
        <v>62</v>
      </c>
      <c r="E7402" s="13">
        <v>1</v>
      </c>
      <c r="F7402" s="12">
        <v>3.72</v>
      </c>
      <c r="G7402" t="str">
        <f>IFERROR(INDEX(tEditais[Órgão],MATCH(tItens[[#This Row],[Edital]],tEditais[Edital],0)),"")</f>
        <v>CIMCERO - CONSORCIO INTERMUNICIPAL DA REGIAO CENTRO LESTE DO ESTADO DE RONDONIA</v>
      </c>
      <c r="H7402" t="str">
        <f>IFERROR(INDEX(tEditais[UF],MATCH(tItens[[#This Row],[Edital]],tEditais[Edital],0)),"")</f>
        <v>RO</v>
      </c>
      <c r="I7402" s="11">
        <f>IFERROR(INDEX(tEditais[Encerramento],MATCH(tItens[[#This Row],[Edital]],tEditais[Edital],0)),"")</f>
        <v>46310.729166666664</v>
      </c>
      <c r="J7402" t="str">
        <f>IFERROR(INDEX(tProdutos[Classe],MATCH(tItens[[#This Row],[Produto]],tProdutos[Produto],0)),"produto não cadastrado")</f>
        <v>NÚCLEO</v>
      </c>
      <c r="K7402" s="12">
        <f>tItens[[#This Row],[Qtd]]*tItens[[#This Row],[Vlr unit]]</f>
        <v>3.72</v>
      </c>
      <c r="L7402" s="6">
        <f>IFERROR(IF(INDEX(tProdutos[Desconto homologado],MATCH(tItens[[#This Row],[Produto]],tProdutos[Produto],0))="",DescontoPadrao,INDEX(tProdutos[Desconto homologado],MATCH(tItens[[#This Row],[Produto]],tProdutos[Produto],0))),DescontoPadrao)</f>
        <v>0.3</v>
      </c>
      <c r="M7402" s="12">
        <f>tItens[[#This Row],[Valor]]*(1-tItens[[#This Row],[Desconto]])</f>
        <v>2.6040000000000001</v>
      </c>
      <c r="N7402" t="str">
        <f>IFERROR(INDEX(tProdutos[Foco],MATCH(tItens[[#This Row],[Produto]],tProdutos[Produto],0)),"Não")</f>
        <v>Sim</v>
      </c>
      <c r="O7402" t="str">
        <f>IFERROR(INDEX(tEditais[SRP],MATCH(tItens[[#This Row],[Edital]],tEditais[Edital],0)),"Não")</f>
        <v>Sim</v>
      </c>
      <c r="P7402" s="4">
        <f>IF(COUNTIFS(INDEX(tItens[Edital],1):tItens[[#This Row],[Edital]],tItens[[#This Row],[Edital]],INDEX(tItens[Produto],1):tItens[[#This Row],[Produto]],tItens[[#This Row],[Produto]])=1,1,0)</f>
        <v>0</v>
      </c>
    </row>
    <row r="7403" spans="1:16" x14ac:dyDescent="0.25">
      <c r="A7403" t="s">
        <v>2468</v>
      </c>
      <c r="B7403">
        <v>820</v>
      </c>
      <c r="C7403" t="s">
        <v>10033</v>
      </c>
      <c r="D7403" t="s">
        <v>67</v>
      </c>
      <c r="E7403" s="13">
        <v>1</v>
      </c>
      <c r="F7403" s="12">
        <v>12.52</v>
      </c>
      <c r="G7403" t="str">
        <f>IFERROR(INDEX(tEditais[Órgão],MATCH(tItens[[#This Row],[Edital]],tEditais[Edital],0)),"")</f>
        <v>CIMCERO - CONSORCIO INTERMUNICIPAL DA REGIAO CENTRO LESTE DO ESTADO DE RONDONIA</v>
      </c>
      <c r="H7403" t="str">
        <f>IFERROR(INDEX(tEditais[UF],MATCH(tItens[[#This Row],[Edital]],tEditais[Edital],0)),"")</f>
        <v>RO</v>
      </c>
      <c r="I7403" s="11">
        <f>IFERROR(INDEX(tEditais[Encerramento],MATCH(tItens[[#This Row],[Edital]],tEditais[Edital],0)),"")</f>
        <v>46310.729166666664</v>
      </c>
      <c r="J7403" t="str">
        <f>IFERROR(INDEX(tProdutos[Classe],MATCH(tItens[[#This Row],[Produto]],tProdutos[Produto],0)),"produto não cadastrado")</f>
        <v>NÚCLEO</v>
      </c>
      <c r="K7403" s="12">
        <f>tItens[[#This Row],[Qtd]]*tItens[[#This Row],[Vlr unit]]</f>
        <v>12.52</v>
      </c>
      <c r="L7403" s="6">
        <f>IFERROR(IF(INDEX(tProdutos[Desconto homologado],MATCH(tItens[[#This Row],[Produto]],tProdutos[Produto],0))="",DescontoPadrao,INDEX(tProdutos[Desconto homologado],MATCH(tItens[[#This Row],[Produto]],tProdutos[Produto],0))),DescontoPadrao)</f>
        <v>0.35766423357664201</v>
      </c>
      <c r="M7403" s="12">
        <f>tItens[[#This Row],[Valor]]*(1-tItens[[#This Row],[Desconto]])</f>
        <v>8.042043795620442</v>
      </c>
      <c r="N7403" t="str">
        <f>IFERROR(INDEX(tProdutos[Foco],MATCH(tItens[[#This Row],[Produto]],tProdutos[Produto],0)),"Não")</f>
        <v>Não</v>
      </c>
      <c r="O7403" t="str">
        <f>IFERROR(INDEX(tEditais[SRP],MATCH(tItens[[#This Row],[Edital]],tEditais[Edital],0)),"Não")</f>
        <v>Sim</v>
      </c>
      <c r="P7403" s="4">
        <f>IF(COUNTIFS(INDEX(tItens[Edital],1):tItens[[#This Row],[Edital]],tItens[[#This Row],[Edital]],INDEX(tItens[Produto],1):tItens[[#This Row],[Produto]],tItens[[#This Row],[Produto]])=1,1,0)</f>
        <v>0</v>
      </c>
    </row>
    <row r="7404" spans="1:16" x14ac:dyDescent="0.25">
      <c r="A7404" t="s">
        <v>2468</v>
      </c>
      <c r="B7404">
        <v>821</v>
      </c>
      <c r="C7404" t="s">
        <v>10034</v>
      </c>
      <c r="D7404" t="s">
        <v>98</v>
      </c>
      <c r="E7404" s="13">
        <v>1</v>
      </c>
      <c r="F7404" s="12">
        <v>3.39</v>
      </c>
      <c r="G7404" t="str">
        <f>IFERROR(INDEX(tEditais[Órgão],MATCH(tItens[[#This Row],[Edital]],tEditais[Edital],0)),"")</f>
        <v>CIMCERO - CONSORCIO INTERMUNICIPAL DA REGIAO CENTRO LESTE DO ESTADO DE RONDONIA</v>
      </c>
      <c r="H7404" t="str">
        <f>IFERROR(INDEX(tEditais[UF],MATCH(tItens[[#This Row],[Edital]],tEditais[Edital],0)),"")</f>
        <v>RO</v>
      </c>
      <c r="I7404" s="11">
        <f>IFERROR(INDEX(tEditais[Encerramento],MATCH(tItens[[#This Row],[Edital]],tEditais[Edital],0)),"")</f>
        <v>46310.729166666664</v>
      </c>
      <c r="J7404" t="str">
        <f>IFERROR(INDEX(tProdutos[Classe],MATCH(tItens[[#This Row],[Produto]],tProdutos[Produto],0)),"produto não cadastrado")</f>
        <v>NÚCLEO</v>
      </c>
      <c r="K7404" s="12">
        <f>tItens[[#This Row],[Qtd]]*tItens[[#This Row],[Vlr unit]]</f>
        <v>3.39</v>
      </c>
      <c r="L7404" s="6">
        <f>IFERROR(IF(INDEX(tProdutos[Desconto homologado],MATCH(tItens[[#This Row],[Produto]],tProdutos[Produto],0))="",DescontoPadrao,INDEX(tProdutos[Desconto homologado],MATCH(tItens[[#This Row],[Produto]],tProdutos[Produto],0))),DescontoPadrao)</f>
        <v>0.39</v>
      </c>
      <c r="M7404" s="12">
        <f>tItens[[#This Row],[Valor]]*(1-tItens[[#This Row],[Desconto]])</f>
        <v>2.0678999999999998</v>
      </c>
      <c r="N7404" t="str">
        <f>IFERROR(INDEX(tProdutos[Foco],MATCH(tItens[[#This Row],[Produto]],tProdutos[Produto],0)),"Não")</f>
        <v>Sim</v>
      </c>
      <c r="O7404" t="str">
        <f>IFERROR(INDEX(tEditais[SRP],MATCH(tItens[[#This Row],[Edital]],tEditais[Edital],0)),"Não")</f>
        <v>Sim</v>
      </c>
      <c r="P7404" s="4">
        <f>IF(COUNTIFS(INDEX(tItens[Edital],1):tItens[[#This Row],[Edital]],tItens[[#This Row],[Edital]],INDEX(tItens[Produto],1):tItens[[#This Row],[Produto]],tItens[[#This Row],[Produto]])=1,1,0)</f>
        <v>0</v>
      </c>
    </row>
    <row r="7405" spans="1:16" x14ac:dyDescent="0.25">
      <c r="A7405" t="s">
        <v>2468</v>
      </c>
      <c r="B7405">
        <v>822</v>
      </c>
      <c r="C7405" t="s">
        <v>10035</v>
      </c>
      <c r="D7405" t="s">
        <v>98</v>
      </c>
      <c r="E7405" s="13">
        <v>1</v>
      </c>
      <c r="F7405" s="12">
        <v>3.46</v>
      </c>
      <c r="G7405" t="str">
        <f>IFERROR(INDEX(tEditais[Órgão],MATCH(tItens[[#This Row],[Edital]],tEditais[Edital],0)),"")</f>
        <v>CIMCERO - CONSORCIO INTERMUNICIPAL DA REGIAO CENTRO LESTE DO ESTADO DE RONDONIA</v>
      </c>
      <c r="H7405" t="str">
        <f>IFERROR(INDEX(tEditais[UF],MATCH(tItens[[#This Row],[Edital]],tEditais[Edital],0)),"")</f>
        <v>RO</v>
      </c>
      <c r="I7405" s="11">
        <f>IFERROR(INDEX(tEditais[Encerramento],MATCH(tItens[[#This Row],[Edital]],tEditais[Edital],0)),"")</f>
        <v>46310.729166666664</v>
      </c>
      <c r="J7405" t="str">
        <f>IFERROR(INDEX(tProdutos[Classe],MATCH(tItens[[#This Row],[Produto]],tProdutos[Produto],0)),"produto não cadastrado")</f>
        <v>NÚCLEO</v>
      </c>
      <c r="K7405" s="12">
        <f>tItens[[#This Row],[Qtd]]*tItens[[#This Row],[Vlr unit]]</f>
        <v>3.46</v>
      </c>
      <c r="L7405" s="6">
        <f>IFERROR(IF(INDEX(tProdutos[Desconto homologado],MATCH(tItens[[#This Row],[Produto]],tProdutos[Produto],0))="",DescontoPadrao,INDEX(tProdutos[Desconto homologado],MATCH(tItens[[#This Row],[Produto]],tProdutos[Produto],0))),DescontoPadrao)</f>
        <v>0.39</v>
      </c>
      <c r="M7405" s="12">
        <f>tItens[[#This Row],[Valor]]*(1-tItens[[#This Row],[Desconto]])</f>
        <v>2.1105999999999998</v>
      </c>
      <c r="N7405" t="str">
        <f>IFERROR(INDEX(tProdutos[Foco],MATCH(tItens[[#This Row],[Produto]],tProdutos[Produto],0)),"Não")</f>
        <v>Sim</v>
      </c>
      <c r="O7405" t="str">
        <f>IFERROR(INDEX(tEditais[SRP],MATCH(tItens[[#This Row],[Edital]],tEditais[Edital],0)),"Não")</f>
        <v>Sim</v>
      </c>
      <c r="P7405" s="4">
        <f>IF(COUNTIFS(INDEX(tItens[Edital],1):tItens[[#This Row],[Edital]],tItens[[#This Row],[Edital]],INDEX(tItens[Produto],1):tItens[[#This Row],[Produto]],tItens[[#This Row],[Produto]])=1,1,0)</f>
        <v>0</v>
      </c>
    </row>
    <row r="7406" spans="1:16" x14ac:dyDescent="0.25">
      <c r="A7406" t="s">
        <v>2468</v>
      </c>
      <c r="B7406">
        <v>823</v>
      </c>
      <c r="C7406" t="s">
        <v>4022</v>
      </c>
      <c r="D7406" t="s">
        <v>98</v>
      </c>
      <c r="E7406" s="13">
        <v>1</v>
      </c>
      <c r="F7406" s="12">
        <v>3.3</v>
      </c>
      <c r="G7406" t="str">
        <f>IFERROR(INDEX(tEditais[Órgão],MATCH(tItens[[#This Row],[Edital]],tEditais[Edital],0)),"")</f>
        <v>CIMCERO - CONSORCIO INTERMUNICIPAL DA REGIAO CENTRO LESTE DO ESTADO DE RONDONIA</v>
      </c>
      <c r="H7406" t="str">
        <f>IFERROR(INDEX(tEditais[UF],MATCH(tItens[[#This Row],[Edital]],tEditais[Edital],0)),"")</f>
        <v>RO</v>
      </c>
      <c r="I7406" s="11">
        <f>IFERROR(INDEX(tEditais[Encerramento],MATCH(tItens[[#This Row],[Edital]],tEditais[Edital],0)),"")</f>
        <v>46310.729166666664</v>
      </c>
      <c r="J7406" t="str">
        <f>IFERROR(INDEX(tProdutos[Classe],MATCH(tItens[[#This Row],[Produto]],tProdutos[Produto],0)),"produto não cadastrado")</f>
        <v>NÚCLEO</v>
      </c>
      <c r="K7406" s="12">
        <f>tItens[[#This Row],[Qtd]]*tItens[[#This Row],[Vlr unit]]</f>
        <v>3.3</v>
      </c>
      <c r="L7406" s="6">
        <f>IFERROR(IF(INDEX(tProdutos[Desconto homologado],MATCH(tItens[[#This Row],[Produto]],tProdutos[Produto],0))="",DescontoPadrao,INDEX(tProdutos[Desconto homologado],MATCH(tItens[[#This Row],[Produto]],tProdutos[Produto],0))),DescontoPadrao)</f>
        <v>0.39</v>
      </c>
      <c r="M7406" s="12">
        <f>tItens[[#This Row],[Valor]]*(1-tItens[[#This Row],[Desconto]])</f>
        <v>2.0129999999999999</v>
      </c>
      <c r="N7406" t="str">
        <f>IFERROR(INDEX(tProdutos[Foco],MATCH(tItens[[#This Row],[Produto]],tProdutos[Produto],0)),"Não")</f>
        <v>Sim</v>
      </c>
      <c r="O7406" t="str">
        <f>IFERROR(INDEX(tEditais[SRP],MATCH(tItens[[#This Row],[Edital]],tEditais[Edital],0)),"Não")</f>
        <v>Sim</v>
      </c>
      <c r="P7406" s="4">
        <f>IF(COUNTIFS(INDEX(tItens[Edital],1):tItens[[#This Row],[Edital]],tItens[[#This Row],[Edital]],INDEX(tItens[Produto],1):tItens[[#This Row],[Produto]],tItens[[#This Row],[Produto]])=1,1,0)</f>
        <v>0</v>
      </c>
    </row>
    <row r="7407" spans="1:16" x14ac:dyDescent="0.25">
      <c r="A7407" t="s">
        <v>2468</v>
      </c>
      <c r="B7407">
        <v>824</v>
      </c>
      <c r="C7407" t="s">
        <v>10036</v>
      </c>
      <c r="D7407" t="s">
        <v>98</v>
      </c>
      <c r="E7407" s="13">
        <v>1</v>
      </c>
      <c r="F7407" s="12">
        <v>3.58</v>
      </c>
      <c r="G7407" t="str">
        <f>IFERROR(INDEX(tEditais[Órgão],MATCH(tItens[[#This Row],[Edital]],tEditais[Edital],0)),"")</f>
        <v>CIMCERO - CONSORCIO INTERMUNICIPAL DA REGIAO CENTRO LESTE DO ESTADO DE RONDONIA</v>
      </c>
      <c r="H7407" t="str">
        <f>IFERROR(INDEX(tEditais[UF],MATCH(tItens[[#This Row],[Edital]],tEditais[Edital],0)),"")</f>
        <v>RO</v>
      </c>
      <c r="I7407" s="11">
        <f>IFERROR(INDEX(tEditais[Encerramento],MATCH(tItens[[#This Row],[Edital]],tEditais[Edital],0)),"")</f>
        <v>46310.729166666664</v>
      </c>
      <c r="J7407" t="str">
        <f>IFERROR(INDEX(tProdutos[Classe],MATCH(tItens[[#This Row],[Produto]],tProdutos[Produto],0)),"produto não cadastrado")</f>
        <v>NÚCLEO</v>
      </c>
      <c r="K7407" s="12">
        <f>tItens[[#This Row],[Qtd]]*tItens[[#This Row],[Vlr unit]]</f>
        <v>3.58</v>
      </c>
      <c r="L7407" s="6">
        <f>IFERROR(IF(INDEX(tProdutos[Desconto homologado],MATCH(tItens[[#This Row],[Produto]],tProdutos[Produto],0))="",DescontoPadrao,INDEX(tProdutos[Desconto homologado],MATCH(tItens[[#This Row],[Produto]],tProdutos[Produto],0))),DescontoPadrao)</f>
        <v>0.39</v>
      </c>
      <c r="M7407" s="12">
        <f>tItens[[#This Row],[Valor]]*(1-tItens[[#This Row],[Desconto]])</f>
        <v>2.1838000000000002</v>
      </c>
      <c r="N7407" t="str">
        <f>IFERROR(INDEX(tProdutos[Foco],MATCH(tItens[[#This Row],[Produto]],tProdutos[Produto],0)),"Não")</f>
        <v>Sim</v>
      </c>
      <c r="O7407" t="str">
        <f>IFERROR(INDEX(tEditais[SRP],MATCH(tItens[[#This Row],[Edital]],tEditais[Edital],0)),"Não")</f>
        <v>Sim</v>
      </c>
      <c r="P7407" s="4">
        <f>IF(COUNTIFS(INDEX(tItens[Edital],1):tItens[[#This Row],[Edital]],tItens[[#This Row],[Edital]],INDEX(tItens[Produto],1):tItens[[#This Row],[Produto]],tItens[[#This Row],[Produto]])=1,1,0)</f>
        <v>0</v>
      </c>
    </row>
    <row r="7408" spans="1:16" x14ac:dyDescent="0.25">
      <c r="A7408" t="s">
        <v>2468</v>
      </c>
      <c r="B7408">
        <v>832</v>
      </c>
      <c r="C7408" t="s">
        <v>4145</v>
      </c>
      <c r="D7408" t="s">
        <v>73</v>
      </c>
      <c r="E7408" s="13">
        <v>1</v>
      </c>
      <c r="F7408" s="12">
        <v>1</v>
      </c>
      <c r="G7408" t="str">
        <f>IFERROR(INDEX(tEditais[Órgão],MATCH(tItens[[#This Row],[Edital]],tEditais[Edital],0)),"")</f>
        <v>CIMCERO - CONSORCIO INTERMUNICIPAL DA REGIAO CENTRO LESTE DO ESTADO DE RONDONIA</v>
      </c>
      <c r="H7408" t="str">
        <f>IFERROR(INDEX(tEditais[UF],MATCH(tItens[[#This Row],[Edital]],tEditais[Edital],0)),"")</f>
        <v>RO</v>
      </c>
      <c r="I7408" s="11">
        <f>IFERROR(INDEX(tEditais[Encerramento],MATCH(tItens[[#This Row],[Edital]],tEditais[Edital],0)),"")</f>
        <v>46310.729166666664</v>
      </c>
      <c r="J7408" t="str">
        <f>IFERROR(INDEX(tProdutos[Classe],MATCH(tItens[[#This Row],[Produto]],tProdutos[Produto],0)),"produto não cadastrado")</f>
        <v>NÚCLEO</v>
      </c>
      <c r="K7408" s="12">
        <f>tItens[[#This Row],[Qtd]]*tItens[[#This Row],[Vlr unit]]</f>
        <v>1</v>
      </c>
      <c r="L7408" s="6">
        <f>IFERROR(IF(INDEX(tProdutos[Desconto homologado],MATCH(tItens[[#This Row],[Produto]],tProdutos[Produto],0))="",DescontoPadrao,INDEX(tProdutos[Desconto homologado],MATCH(tItens[[#This Row],[Produto]],tProdutos[Produto],0))),DescontoPadrao)</f>
        <v>0.37</v>
      </c>
      <c r="M7408" s="12">
        <f>tItens[[#This Row],[Valor]]*(1-tItens[[#This Row],[Desconto]])</f>
        <v>0.63</v>
      </c>
      <c r="N7408" t="str">
        <f>IFERROR(INDEX(tProdutos[Foco],MATCH(tItens[[#This Row],[Produto]],tProdutos[Produto],0)),"Não")</f>
        <v>Sim</v>
      </c>
      <c r="O7408" t="str">
        <f>IFERROR(INDEX(tEditais[SRP],MATCH(tItens[[#This Row],[Edital]],tEditais[Edital],0)),"Não")</f>
        <v>Sim</v>
      </c>
      <c r="P7408" s="4">
        <f>IF(COUNTIFS(INDEX(tItens[Edital],1):tItens[[#This Row],[Edital]],tItens[[#This Row],[Edital]],INDEX(tItens[Produto],1):tItens[[#This Row],[Produto]],tItens[[#This Row],[Produto]])=1,1,0)</f>
        <v>0</v>
      </c>
    </row>
    <row r="7409" spans="1:16" x14ac:dyDescent="0.25">
      <c r="A7409" t="s">
        <v>2468</v>
      </c>
      <c r="B7409">
        <v>833</v>
      </c>
      <c r="C7409" t="s">
        <v>10037</v>
      </c>
      <c r="D7409" t="s">
        <v>73</v>
      </c>
      <c r="E7409" s="13">
        <v>1</v>
      </c>
      <c r="F7409" s="12">
        <v>1.1599999999999999</v>
      </c>
      <c r="G7409" t="str">
        <f>IFERROR(INDEX(tEditais[Órgão],MATCH(tItens[[#This Row],[Edital]],tEditais[Edital],0)),"")</f>
        <v>CIMCERO - CONSORCIO INTERMUNICIPAL DA REGIAO CENTRO LESTE DO ESTADO DE RONDONIA</v>
      </c>
      <c r="H7409" t="str">
        <f>IFERROR(INDEX(tEditais[UF],MATCH(tItens[[#This Row],[Edital]],tEditais[Edital],0)),"")</f>
        <v>RO</v>
      </c>
      <c r="I7409" s="11">
        <f>IFERROR(INDEX(tEditais[Encerramento],MATCH(tItens[[#This Row],[Edital]],tEditais[Edital],0)),"")</f>
        <v>46310.729166666664</v>
      </c>
      <c r="J7409" t="str">
        <f>IFERROR(INDEX(tProdutos[Classe],MATCH(tItens[[#This Row],[Produto]],tProdutos[Produto],0)),"produto não cadastrado")</f>
        <v>NÚCLEO</v>
      </c>
      <c r="K7409" s="12">
        <f>tItens[[#This Row],[Qtd]]*tItens[[#This Row],[Vlr unit]]</f>
        <v>1.1599999999999999</v>
      </c>
      <c r="L7409" s="6">
        <f>IFERROR(IF(INDEX(tProdutos[Desconto homologado],MATCH(tItens[[#This Row],[Produto]],tProdutos[Produto],0))="",DescontoPadrao,INDEX(tProdutos[Desconto homologado],MATCH(tItens[[#This Row],[Produto]],tProdutos[Produto],0))),DescontoPadrao)</f>
        <v>0.37</v>
      </c>
      <c r="M7409" s="12">
        <f>tItens[[#This Row],[Valor]]*(1-tItens[[#This Row],[Desconto]])</f>
        <v>0.73080000000000001</v>
      </c>
      <c r="N7409" t="str">
        <f>IFERROR(INDEX(tProdutos[Foco],MATCH(tItens[[#This Row],[Produto]],tProdutos[Produto],0)),"Não")</f>
        <v>Sim</v>
      </c>
      <c r="O7409" t="str">
        <f>IFERROR(INDEX(tEditais[SRP],MATCH(tItens[[#This Row],[Edital]],tEditais[Edital],0)),"Não")</f>
        <v>Sim</v>
      </c>
      <c r="P7409" s="4">
        <f>IF(COUNTIFS(INDEX(tItens[Edital],1):tItens[[#This Row],[Edital]],tItens[[#This Row],[Edital]],INDEX(tItens[Produto],1):tItens[[#This Row],[Produto]],tItens[[#This Row],[Produto]])=1,1,0)</f>
        <v>0</v>
      </c>
    </row>
    <row r="7410" spans="1:16" x14ac:dyDescent="0.25">
      <c r="A7410" t="s">
        <v>2468</v>
      </c>
      <c r="B7410">
        <v>834</v>
      </c>
      <c r="C7410" t="s">
        <v>10038</v>
      </c>
      <c r="D7410" t="s">
        <v>73</v>
      </c>
      <c r="E7410" s="13">
        <v>1</v>
      </c>
      <c r="F7410" s="12">
        <v>0.88</v>
      </c>
      <c r="G7410" t="str">
        <f>IFERROR(INDEX(tEditais[Órgão],MATCH(tItens[[#This Row],[Edital]],tEditais[Edital],0)),"")</f>
        <v>CIMCERO - CONSORCIO INTERMUNICIPAL DA REGIAO CENTRO LESTE DO ESTADO DE RONDONIA</v>
      </c>
      <c r="H7410" t="str">
        <f>IFERROR(INDEX(tEditais[UF],MATCH(tItens[[#This Row],[Edital]],tEditais[Edital],0)),"")</f>
        <v>RO</v>
      </c>
      <c r="I7410" s="11">
        <f>IFERROR(INDEX(tEditais[Encerramento],MATCH(tItens[[#This Row],[Edital]],tEditais[Edital],0)),"")</f>
        <v>46310.729166666664</v>
      </c>
      <c r="J7410" t="str">
        <f>IFERROR(INDEX(tProdutos[Classe],MATCH(tItens[[#This Row],[Produto]],tProdutos[Produto],0)),"produto não cadastrado")</f>
        <v>NÚCLEO</v>
      </c>
      <c r="K7410" s="12">
        <f>tItens[[#This Row],[Qtd]]*tItens[[#This Row],[Vlr unit]]</f>
        <v>0.88</v>
      </c>
      <c r="L7410" s="6">
        <f>IFERROR(IF(INDEX(tProdutos[Desconto homologado],MATCH(tItens[[#This Row],[Produto]],tProdutos[Produto],0))="",DescontoPadrao,INDEX(tProdutos[Desconto homologado],MATCH(tItens[[#This Row],[Produto]],tProdutos[Produto],0))),DescontoPadrao)</f>
        <v>0.37</v>
      </c>
      <c r="M7410" s="12">
        <f>tItens[[#This Row],[Valor]]*(1-tItens[[#This Row],[Desconto]])</f>
        <v>0.5544</v>
      </c>
      <c r="N7410" t="str">
        <f>IFERROR(INDEX(tProdutos[Foco],MATCH(tItens[[#This Row],[Produto]],tProdutos[Produto],0)),"Não")</f>
        <v>Sim</v>
      </c>
      <c r="O7410" t="str">
        <f>IFERROR(INDEX(tEditais[SRP],MATCH(tItens[[#This Row],[Edital]],tEditais[Edital],0)),"Não")</f>
        <v>Sim</v>
      </c>
      <c r="P7410" s="4">
        <f>IF(COUNTIFS(INDEX(tItens[Edital],1):tItens[[#This Row],[Edital]],tItens[[#This Row],[Edital]],INDEX(tItens[Produto],1):tItens[[#This Row],[Produto]],tItens[[#This Row],[Produto]])=1,1,0)</f>
        <v>0</v>
      </c>
    </row>
    <row r="7411" spans="1:16" x14ac:dyDescent="0.25">
      <c r="A7411" t="s">
        <v>2468</v>
      </c>
      <c r="B7411">
        <v>835</v>
      </c>
      <c r="C7411" t="s">
        <v>10039</v>
      </c>
      <c r="D7411" t="s">
        <v>245</v>
      </c>
      <c r="E7411" s="13">
        <v>1</v>
      </c>
      <c r="F7411" s="12">
        <v>8.2200000000000006</v>
      </c>
      <c r="G7411" t="str">
        <f>IFERROR(INDEX(tEditais[Órgão],MATCH(tItens[[#This Row],[Edital]],tEditais[Edital],0)),"")</f>
        <v>CIMCERO - CONSORCIO INTERMUNICIPAL DA REGIAO CENTRO LESTE DO ESTADO DE RONDONIA</v>
      </c>
      <c r="H7411" t="str">
        <f>IFERROR(INDEX(tEditais[UF],MATCH(tItens[[#This Row],[Edital]],tEditais[Edital],0)),"")</f>
        <v>RO</v>
      </c>
      <c r="I7411" s="11">
        <f>IFERROR(INDEX(tEditais[Encerramento],MATCH(tItens[[#This Row],[Edital]],tEditais[Edital],0)),"")</f>
        <v>46310.729166666664</v>
      </c>
      <c r="J7411" t="str">
        <f>IFERROR(INDEX(tProdutos[Classe],MATCH(tItens[[#This Row],[Produto]],tProdutos[Produto],0)),"produto não cadastrado")</f>
        <v>FORA</v>
      </c>
      <c r="K7411" s="12">
        <f>tItens[[#This Row],[Qtd]]*tItens[[#This Row],[Vlr unit]]</f>
        <v>8.2200000000000006</v>
      </c>
      <c r="L7411" s="6">
        <f>IFERROR(IF(INDEX(tProdutos[Desconto homologado],MATCH(tItens[[#This Row],[Produto]],tProdutos[Produto],0))="",DescontoPadrao,INDEX(tProdutos[Desconto homologado],MATCH(tItens[[#This Row],[Produto]],tProdutos[Produto],0))),DescontoPadrao)</f>
        <v>0.34516963542284401</v>
      </c>
      <c r="M7411" s="12">
        <f>tItens[[#This Row],[Valor]]*(1-tItens[[#This Row],[Desconto]])</f>
        <v>5.3827055968242234</v>
      </c>
      <c r="N7411" t="str">
        <f>IFERROR(INDEX(tProdutos[Foco],MATCH(tItens[[#This Row],[Produto]],tProdutos[Produto],0)),"Não")</f>
        <v>Não</v>
      </c>
      <c r="O7411" t="str">
        <f>IFERROR(INDEX(tEditais[SRP],MATCH(tItens[[#This Row],[Edital]],tEditais[Edital],0)),"Não")</f>
        <v>Sim</v>
      </c>
      <c r="P7411" s="4">
        <f>IF(COUNTIFS(INDEX(tItens[Edital],1):tItens[[#This Row],[Edital]],tItens[[#This Row],[Edital]],INDEX(tItens[Produto],1):tItens[[#This Row],[Produto]],tItens[[#This Row],[Produto]])=1,1,0)</f>
        <v>0</v>
      </c>
    </row>
    <row r="7412" spans="1:16" x14ac:dyDescent="0.25">
      <c r="A7412" t="s">
        <v>2468</v>
      </c>
      <c r="B7412">
        <v>836</v>
      </c>
      <c r="C7412" t="s">
        <v>4202</v>
      </c>
      <c r="D7412" t="s">
        <v>245</v>
      </c>
      <c r="E7412" s="13">
        <v>1</v>
      </c>
      <c r="F7412" s="12">
        <v>104.31</v>
      </c>
      <c r="G7412" t="str">
        <f>IFERROR(INDEX(tEditais[Órgão],MATCH(tItens[[#This Row],[Edital]],tEditais[Edital],0)),"")</f>
        <v>CIMCERO - CONSORCIO INTERMUNICIPAL DA REGIAO CENTRO LESTE DO ESTADO DE RONDONIA</v>
      </c>
      <c r="H7412" t="str">
        <f>IFERROR(INDEX(tEditais[UF],MATCH(tItens[[#This Row],[Edital]],tEditais[Edital],0)),"")</f>
        <v>RO</v>
      </c>
      <c r="I7412" s="11">
        <f>IFERROR(INDEX(tEditais[Encerramento],MATCH(tItens[[#This Row],[Edital]],tEditais[Edital],0)),"")</f>
        <v>46310.729166666664</v>
      </c>
      <c r="J7412" t="str">
        <f>IFERROR(INDEX(tProdutos[Classe],MATCH(tItens[[#This Row],[Produto]],tProdutos[Produto],0)),"produto não cadastrado")</f>
        <v>FORA</v>
      </c>
      <c r="K7412" s="12">
        <f>tItens[[#This Row],[Qtd]]*tItens[[#This Row],[Vlr unit]]</f>
        <v>104.31</v>
      </c>
      <c r="L7412" s="6">
        <f>IFERROR(IF(INDEX(tProdutos[Desconto homologado],MATCH(tItens[[#This Row],[Produto]],tProdutos[Produto],0))="",DescontoPadrao,INDEX(tProdutos[Desconto homologado],MATCH(tItens[[#This Row],[Produto]],tProdutos[Produto],0))),DescontoPadrao)</f>
        <v>0.34516963542284401</v>
      </c>
      <c r="M7412" s="12">
        <f>tItens[[#This Row],[Valor]]*(1-tItens[[#This Row],[Desconto]])</f>
        <v>68.305355329043152</v>
      </c>
      <c r="N7412" t="str">
        <f>IFERROR(INDEX(tProdutos[Foco],MATCH(tItens[[#This Row],[Produto]],tProdutos[Produto],0)),"Não")</f>
        <v>Não</v>
      </c>
      <c r="O7412" t="str">
        <f>IFERROR(INDEX(tEditais[SRP],MATCH(tItens[[#This Row],[Edital]],tEditais[Edital],0)),"Não")</f>
        <v>Sim</v>
      </c>
      <c r="P7412" s="4">
        <f>IF(COUNTIFS(INDEX(tItens[Edital],1):tItens[[#This Row],[Edital]],tItens[[#This Row],[Edital]],INDEX(tItens[Produto],1):tItens[[#This Row],[Produto]],tItens[[#This Row],[Produto]])=1,1,0)</f>
        <v>0</v>
      </c>
    </row>
    <row r="7413" spans="1:16" x14ac:dyDescent="0.25">
      <c r="A7413" t="s">
        <v>2468</v>
      </c>
      <c r="B7413">
        <v>837</v>
      </c>
      <c r="C7413" t="s">
        <v>10040</v>
      </c>
      <c r="D7413" t="s">
        <v>245</v>
      </c>
      <c r="E7413" s="13">
        <v>1</v>
      </c>
      <c r="F7413" s="12">
        <v>80.92</v>
      </c>
      <c r="G7413" t="str">
        <f>IFERROR(INDEX(tEditais[Órgão],MATCH(tItens[[#This Row],[Edital]],tEditais[Edital],0)),"")</f>
        <v>CIMCERO - CONSORCIO INTERMUNICIPAL DA REGIAO CENTRO LESTE DO ESTADO DE RONDONIA</v>
      </c>
      <c r="H7413" t="str">
        <f>IFERROR(INDEX(tEditais[UF],MATCH(tItens[[#This Row],[Edital]],tEditais[Edital],0)),"")</f>
        <v>RO</v>
      </c>
      <c r="I7413" s="11">
        <f>IFERROR(INDEX(tEditais[Encerramento],MATCH(tItens[[#This Row],[Edital]],tEditais[Edital],0)),"")</f>
        <v>46310.729166666664</v>
      </c>
      <c r="J7413" t="str">
        <f>IFERROR(INDEX(tProdutos[Classe],MATCH(tItens[[#This Row],[Produto]],tProdutos[Produto],0)),"produto não cadastrado")</f>
        <v>FORA</v>
      </c>
      <c r="K7413" s="12">
        <f>tItens[[#This Row],[Qtd]]*tItens[[#This Row],[Vlr unit]]</f>
        <v>80.92</v>
      </c>
      <c r="L7413" s="6">
        <f>IFERROR(IF(INDEX(tProdutos[Desconto homologado],MATCH(tItens[[#This Row],[Produto]],tProdutos[Produto],0))="",DescontoPadrao,INDEX(tProdutos[Desconto homologado],MATCH(tItens[[#This Row],[Produto]],tProdutos[Produto],0))),DescontoPadrao)</f>
        <v>0.34516963542284401</v>
      </c>
      <c r="M7413" s="12">
        <f>tItens[[#This Row],[Valor]]*(1-tItens[[#This Row],[Desconto]])</f>
        <v>52.988873101583465</v>
      </c>
      <c r="N7413" t="str">
        <f>IFERROR(INDEX(tProdutos[Foco],MATCH(tItens[[#This Row],[Produto]],tProdutos[Produto],0)),"Não")</f>
        <v>Não</v>
      </c>
      <c r="O7413" t="str">
        <f>IFERROR(INDEX(tEditais[SRP],MATCH(tItens[[#This Row],[Edital]],tEditais[Edital],0)),"Não")</f>
        <v>Sim</v>
      </c>
      <c r="P7413" s="4">
        <f>IF(COUNTIFS(INDEX(tItens[Edital],1):tItens[[#This Row],[Edital]],tItens[[#This Row],[Edital]],INDEX(tItens[Produto],1):tItens[[#This Row],[Produto]],tItens[[#This Row],[Produto]])=1,1,0)</f>
        <v>0</v>
      </c>
    </row>
    <row r="7414" spans="1:16" x14ac:dyDescent="0.25">
      <c r="A7414" t="s">
        <v>2468</v>
      </c>
      <c r="B7414">
        <v>838</v>
      </c>
      <c r="C7414" t="s">
        <v>4203</v>
      </c>
      <c r="D7414" t="s">
        <v>245</v>
      </c>
      <c r="E7414" s="13">
        <v>1</v>
      </c>
      <c r="F7414" s="12">
        <v>76.099999999999994</v>
      </c>
      <c r="G7414" t="str">
        <f>IFERROR(INDEX(tEditais[Órgão],MATCH(tItens[[#This Row],[Edital]],tEditais[Edital],0)),"")</f>
        <v>CIMCERO - CONSORCIO INTERMUNICIPAL DA REGIAO CENTRO LESTE DO ESTADO DE RONDONIA</v>
      </c>
      <c r="H7414" t="str">
        <f>IFERROR(INDEX(tEditais[UF],MATCH(tItens[[#This Row],[Edital]],tEditais[Edital],0)),"")</f>
        <v>RO</v>
      </c>
      <c r="I7414" s="11">
        <f>IFERROR(INDEX(tEditais[Encerramento],MATCH(tItens[[#This Row],[Edital]],tEditais[Edital],0)),"")</f>
        <v>46310.729166666664</v>
      </c>
      <c r="J7414" t="str">
        <f>IFERROR(INDEX(tProdutos[Classe],MATCH(tItens[[#This Row],[Produto]],tProdutos[Produto],0)),"produto não cadastrado")</f>
        <v>FORA</v>
      </c>
      <c r="K7414" s="12">
        <f>tItens[[#This Row],[Qtd]]*tItens[[#This Row],[Vlr unit]]</f>
        <v>76.099999999999994</v>
      </c>
      <c r="L7414" s="6">
        <f>IFERROR(IF(INDEX(tProdutos[Desconto homologado],MATCH(tItens[[#This Row],[Produto]],tProdutos[Produto],0))="",DescontoPadrao,INDEX(tProdutos[Desconto homologado],MATCH(tItens[[#This Row],[Produto]],tProdutos[Produto],0))),DescontoPadrao)</f>
        <v>0.34516963542284401</v>
      </c>
      <c r="M7414" s="12">
        <f>tItens[[#This Row],[Valor]]*(1-tItens[[#This Row],[Desconto]])</f>
        <v>49.832590744321571</v>
      </c>
      <c r="N7414" t="str">
        <f>IFERROR(INDEX(tProdutos[Foco],MATCH(tItens[[#This Row],[Produto]],tProdutos[Produto],0)),"Não")</f>
        <v>Não</v>
      </c>
      <c r="O7414" t="str">
        <f>IFERROR(INDEX(tEditais[SRP],MATCH(tItens[[#This Row],[Edital]],tEditais[Edital],0)),"Não")</f>
        <v>Sim</v>
      </c>
      <c r="P7414" s="4">
        <f>IF(COUNTIFS(INDEX(tItens[Edital],1):tItens[[#This Row],[Edital]],tItens[[#This Row],[Edital]],INDEX(tItens[Produto],1):tItens[[#This Row],[Produto]],tItens[[#This Row],[Produto]])=1,1,0)</f>
        <v>0</v>
      </c>
    </row>
    <row r="7415" spans="1:16" x14ac:dyDescent="0.25">
      <c r="A7415" t="s">
        <v>2468</v>
      </c>
      <c r="B7415">
        <v>839</v>
      </c>
      <c r="C7415" t="s">
        <v>10041</v>
      </c>
      <c r="D7415" t="s">
        <v>245</v>
      </c>
      <c r="E7415" s="13">
        <v>1</v>
      </c>
      <c r="F7415" s="12">
        <v>125.3</v>
      </c>
      <c r="G7415" t="str">
        <f>IFERROR(INDEX(tEditais[Órgão],MATCH(tItens[[#This Row],[Edital]],tEditais[Edital],0)),"")</f>
        <v>CIMCERO - CONSORCIO INTERMUNICIPAL DA REGIAO CENTRO LESTE DO ESTADO DE RONDONIA</v>
      </c>
      <c r="H7415" t="str">
        <f>IFERROR(INDEX(tEditais[UF],MATCH(tItens[[#This Row],[Edital]],tEditais[Edital],0)),"")</f>
        <v>RO</v>
      </c>
      <c r="I7415" s="11">
        <f>IFERROR(INDEX(tEditais[Encerramento],MATCH(tItens[[#This Row],[Edital]],tEditais[Edital],0)),"")</f>
        <v>46310.729166666664</v>
      </c>
      <c r="J7415" t="str">
        <f>IFERROR(INDEX(tProdutos[Classe],MATCH(tItens[[#This Row],[Produto]],tProdutos[Produto],0)),"produto não cadastrado")</f>
        <v>FORA</v>
      </c>
      <c r="K7415" s="12">
        <f>tItens[[#This Row],[Qtd]]*tItens[[#This Row],[Vlr unit]]</f>
        <v>125.3</v>
      </c>
      <c r="L7415" s="6">
        <f>IFERROR(IF(INDEX(tProdutos[Desconto homologado],MATCH(tItens[[#This Row],[Produto]],tProdutos[Produto],0))="",DescontoPadrao,INDEX(tProdutos[Desconto homologado],MATCH(tItens[[#This Row],[Produto]],tProdutos[Produto],0))),DescontoPadrao)</f>
        <v>0.34516963542284401</v>
      </c>
      <c r="M7415" s="12">
        <f>tItens[[#This Row],[Valor]]*(1-tItens[[#This Row],[Desconto]])</f>
        <v>82.050244681517654</v>
      </c>
      <c r="N7415" t="str">
        <f>IFERROR(INDEX(tProdutos[Foco],MATCH(tItens[[#This Row],[Produto]],tProdutos[Produto],0)),"Não")</f>
        <v>Não</v>
      </c>
      <c r="O7415" t="str">
        <f>IFERROR(INDEX(tEditais[SRP],MATCH(tItens[[#This Row],[Edital]],tEditais[Edital],0)),"Não")</f>
        <v>Sim</v>
      </c>
      <c r="P7415" s="4">
        <f>IF(COUNTIFS(INDEX(tItens[Edital],1):tItens[[#This Row],[Edital]],tItens[[#This Row],[Edital]],INDEX(tItens[Produto],1):tItens[[#This Row],[Produto]],tItens[[#This Row],[Produto]])=1,1,0)</f>
        <v>0</v>
      </c>
    </row>
    <row r="7416" spans="1:16" x14ac:dyDescent="0.25">
      <c r="A7416" t="s">
        <v>2468</v>
      </c>
      <c r="B7416">
        <v>850</v>
      </c>
      <c r="C7416" t="s">
        <v>8581</v>
      </c>
      <c r="D7416" t="s">
        <v>311</v>
      </c>
      <c r="E7416" s="13">
        <v>1</v>
      </c>
      <c r="F7416" s="12">
        <v>8.64</v>
      </c>
      <c r="G7416" t="str">
        <f>IFERROR(INDEX(tEditais[Órgão],MATCH(tItens[[#This Row],[Edital]],tEditais[Edital],0)),"")</f>
        <v>CIMCERO - CONSORCIO INTERMUNICIPAL DA REGIAO CENTRO LESTE DO ESTADO DE RONDONIA</v>
      </c>
      <c r="H7416" t="str">
        <f>IFERROR(INDEX(tEditais[UF],MATCH(tItens[[#This Row],[Edital]],tEditais[Edital],0)),"")</f>
        <v>RO</v>
      </c>
      <c r="I7416" s="11">
        <f>IFERROR(INDEX(tEditais[Encerramento],MATCH(tItens[[#This Row],[Edital]],tEditais[Edital],0)),"")</f>
        <v>46310.729166666664</v>
      </c>
      <c r="J7416" t="str">
        <f>IFERROR(INDEX(tProdutos[Classe],MATCH(tItens[[#This Row],[Produto]],tProdutos[Produto],0)),"produto não cadastrado")</f>
        <v>FORA</v>
      </c>
      <c r="K7416" s="12">
        <f>tItens[[#This Row],[Qtd]]*tItens[[#This Row],[Vlr unit]]</f>
        <v>8.64</v>
      </c>
      <c r="L7416" s="6">
        <f>IFERROR(IF(INDEX(tProdutos[Desconto homologado],MATCH(tItens[[#This Row],[Produto]],tProdutos[Produto],0))="",DescontoPadrao,INDEX(tProdutos[Desconto homologado],MATCH(tItens[[#This Row],[Produto]],tProdutos[Produto],0))),DescontoPadrao)</f>
        <v>0.29046182846371399</v>
      </c>
      <c r="M7416" s="12">
        <f>tItens[[#This Row],[Valor]]*(1-tItens[[#This Row],[Desconto]])</f>
        <v>6.1304098020735118</v>
      </c>
      <c r="N7416" t="str">
        <f>IFERROR(INDEX(tProdutos[Foco],MATCH(tItens[[#This Row],[Produto]],tProdutos[Produto],0)),"Não")</f>
        <v>Não</v>
      </c>
      <c r="O7416" t="str">
        <f>IFERROR(INDEX(tEditais[SRP],MATCH(tItens[[#This Row],[Edital]],tEditais[Edital],0)),"Não")</f>
        <v>Sim</v>
      </c>
      <c r="P7416" s="4">
        <f>IF(COUNTIFS(INDEX(tItens[Edital],1):tItens[[#This Row],[Edital]],tItens[[#This Row],[Edital]],INDEX(tItens[Produto],1):tItens[[#This Row],[Produto]],tItens[[#This Row],[Produto]])=1,1,0)</f>
        <v>0</v>
      </c>
    </row>
    <row r="7417" spans="1:16" x14ac:dyDescent="0.25">
      <c r="A7417" t="s">
        <v>2468</v>
      </c>
      <c r="B7417">
        <v>853</v>
      </c>
      <c r="C7417" t="s">
        <v>9409</v>
      </c>
      <c r="D7417" t="s">
        <v>62</v>
      </c>
      <c r="E7417" s="13">
        <v>1</v>
      </c>
      <c r="F7417" s="12">
        <v>5.33</v>
      </c>
      <c r="G7417" t="str">
        <f>IFERROR(INDEX(tEditais[Órgão],MATCH(tItens[[#This Row],[Edital]],tEditais[Edital],0)),"")</f>
        <v>CIMCERO - CONSORCIO INTERMUNICIPAL DA REGIAO CENTRO LESTE DO ESTADO DE RONDONIA</v>
      </c>
      <c r="H7417" t="str">
        <f>IFERROR(INDEX(tEditais[UF],MATCH(tItens[[#This Row],[Edital]],tEditais[Edital],0)),"")</f>
        <v>RO</v>
      </c>
      <c r="I7417" s="11">
        <f>IFERROR(INDEX(tEditais[Encerramento],MATCH(tItens[[#This Row],[Edital]],tEditais[Edital],0)),"")</f>
        <v>46310.729166666664</v>
      </c>
      <c r="J7417" t="str">
        <f>IFERROR(INDEX(tProdutos[Classe],MATCH(tItens[[#This Row],[Produto]],tProdutos[Produto],0)),"produto não cadastrado")</f>
        <v>NÚCLEO</v>
      </c>
      <c r="K7417" s="12">
        <f>tItens[[#This Row],[Qtd]]*tItens[[#This Row],[Vlr unit]]</f>
        <v>5.33</v>
      </c>
      <c r="L7417" s="6">
        <f>IFERROR(IF(INDEX(tProdutos[Desconto homologado],MATCH(tItens[[#This Row],[Produto]],tProdutos[Produto],0))="",DescontoPadrao,INDEX(tProdutos[Desconto homologado],MATCH(tItens[[#This Row],[Produto]],tProdutos[Produto],0))),DescontoPadrao)</f>
        <v>0.3</v>
      </c>
      <c r="M7417" s="12">
        <f>tItens[[#This Row],[Valor]]*(1-tItens[[#This Row],[Desconto]])</f>
        <v>3.7309999999999999</v>
      </c>
      <c r="N7417" t="str">
        <f>IFERROR(INDEX(tProdutos[Foco],MATCH(tItens[[#This Row],[Produto]],tProdutos[Produto],0)),"Não")</f>
        <v>Sim</v>
      </c>
      <c r="O7417" t="str">
        <f>IFERROR(INDEX(tEditais[SRP],MATCH(tItens[[#This Row],[Edital]],tEditais[Edital],0)),"Não")</f>
        <v>Sim</v>
      </c>
      <c r="P7417" s="4">
        <f>IF(COUNTIFS(INDEX(tItens[Edital],1):tItens[[#This Row],[Edital]],tItens[[#This Row],[Edital]],INDEX(tItens[Produto],1):tItens[[#This Row],[Produto]],tItens[[#This Row],[Produto]])=1,1,0)</f>
        <v>0</v>
      </c>
    </row>
    <row r="7418" spans="1:16" x14ac:dyDescent="0.25">
      <c r="A7418" t="s">
        <v>2468</v>
      </c>
      <c r="B7418">
        <v>854</v>
      </c>
      <c r="C7418" t="s">
        <v>9410</v>
      </c>
      <c r="D7418" t="s">
        <v>62</v>
      </c>
      <c r="E7418" s="13">
        <v>1</v>
      </c>
      <c r="F7418" s="12">
        <v>2.37</v>
      </c>
      <c r="G7418" t="str">
        <f>IFERROR(INDEX(tEditais[Órgão],MATCH(tItens[[#This Row],[Edital]],tEditais[Edital],0)),"")</f>
        <v>CIMCERO - CONSORCIO INTERMUNICIPAL DA REGIAO CENTRO LESTE DO ESTADO DE RONDONIA</v>
      </c>
      <c r="H7418" t="str">
        <f>IFERROR(INDEX(tEditais[UF],MATCH(tItens[[#This Row],[Edital]],tEditais[Edital],0)),"")</f>
        <v>RO</v>
      </c>
      <c r="I7418" s="11">
        <f>IFERROR(INDEX(tEditais[Encerramento],MATCH(tItens[[#This Row],[Edital]],tEditais[Edital],0)),"")</f>
        <v>46310.729166666664</v>
      </c>
      <c r="J7418" t="str">
        <f>IFERROR(INDEX(tProdutos[Classe],MATCH(tItens[[#This Row],[Produto]],tProdutos[Produto],0)),"produto não cadastrado")</f>
        <v>NÚCLEO</v>
      </c>
      <c r="K7418" s="12">
        <f>tItens[[#This Row],[Qtd]]*tItens[[#This Row],[Vlr unit]]</f>
        <v>2.37</v>
      </c>
      <c r="L7418" s="6">
        <f>IFERROR(IF(INDEX(tProdutos[Desconto homologado],MATCH(tItens[[#This Row],[Produto]],tProdutos[Produto],0))="",DescontoPadrao,INDEX(tProdutos[Desconto homologado],MATCH(tItens[[#This Row],[Produto]],tProdutos[Produto],0))),DescontoPadrao)</f>
        <v>0.3</v>
      </c>
      <c r="M7418" s="12">
        <f>tItens[[#This Row],[Valor]]*(1-tItens[[#This Row],[Desconto]])</f>
        <v>1.659</v>
      </c>
      <c r="N7418" t="str">
        <f>IFERROR(INDEX(tProdutos[Foco],MATCH(tItens[[#This Row],[Produto]],tProdutos[Produto],0)),"Não")</f>
        <v>Sim</v>
      </c>
      <c r="O7418" t="str">
        <f>IFERROR(INDEX(tEditais[SRP],MATCH(tItens[[#This Row],[Edital]],tEditais[Edital],0)),"Não")</f>
        <v>Sim</v>
      </c>
      <c r="P7418" s="4">
        <f>IF(COUNTIFS(INDEX(tItens[Edital],1):tItens[[#This Row],[Edital]],tItens[[#This Row],[Edital]],INDEX(tItens[Produto],1):tItens[[#This Row],[Produto]],tItens[[#This Row],[Produto]])=1,1,0)</f>
        <v>0</v>
      </c>
    </row>
    <row r="7419" spans="1:16" x14ac:dyDescent="0.25">
      <c r="A7419" t="s">
        <v>2468</v>
      </c>
      <c r="B7419">
        <v>864</v>
      </c>
      <c r="C7419" t="s">
        <v>10042</v>
      </c>
      <c r="D7419" t="s">
        <v>144</v>
      </c>
      <c r="E7419" s="13">
        <v>1</v>
      </c>
      <c r="F7419" s="12">
        <v>17.21</v>
      </c>
      <c r="G7419" t="str">
        <f>IFERROR(INDEX(tEditais[Órgão],MATCH(tItens[[#This Row],[Edital]],tEditais[Edital],0)),"")</f>
        <v>CIMCERO - CONSORCIO INTERMUNICIPAL DA REGIAO CENTRO LESTE DO ESTADO DE RONDONIA</v>
      </c>
      <c r="H7419" t="str">
        <f>IFERROR(INDEX(tEditais[UF],MATCH(tItens[[#This Row],[Edital]],tEditais[Edital],0)),"")</f>
        <v>RO</v>
      </c>
      <c r="I7419" s="11">
        <f>IFERROR(INDEX(tEditais[Encerramento],MATCH(tItens[[#This Row],[Edital]],tEditais[Edital],0)),"")</f>
        <v>46310.729166666664</v>
      </c>
      <c r="J7419" t="str">
        <f>IFERROR(INDEX(tProdutos[Classe],MATCH(tItens[[#This Row],[Produto]],tProdutos[Produto],0)),"produto não cadastrado")</f>
        <v>DISPUTADO</v>
      </c>
      <c r="K7419" s="12">
        <f>tItens[[#This Row],[Qtd]]*tItens[[#This Row],[Vlr unit]]</f>
        <v>17.21</v>
      </c>
      <c r="L7419" s="6">
        <f>IFERROR(IF(INDEX(tProdutos[Desconto homologado],MATCH(tItens[[#This Row],[Produto]],tProdutos[Produto],0))="",DescontoPadrao,INDEX(tProdutos[Desconto homologado],MATCH(tItens[[#This Row],[Produto]],tProdutos[Produto],0))),DescontoPadrao)</f>
        <v>0.371428571428571</v>
      </c>
      <c r="M7419" s="12">
        <f>tItens[[#This Row],[Valor]]*(1-tItens[[#This Row],[Desconto]])</f>
        <v>10.817714285714294</v>
      </c>
      <c r="N7419" t="str">
        <f>IFERROR(INDEX(tProdutos[Foco],MATCH(tItens[[#This Row],[Produto]],tProdutos[Produto],0)),"Não")</f>
        <v>Não</v>
      </c>
      <c r="O7419" t="str">
        <f>IFERROR(INDEX(tEditais[SRP],MATCH(tItens[[#This Row],[Edital]],tEditais[Edital],0)),"Não")</f>
        <v>Sim</v>
      </c>
      <c r="P7419" s="4">
        <f>IF(COUNTIFS(INDEX(tItens[Edital],1):tItens[[#This Row],[Edital]],tItens[[#This Row],[Edital]],INDEX(tItens[Produto],1):tItens[[#This Row],[Produto]],tItens[[#This Row],[Produto]])=1,1,0)</f>
        <v>0</v>
      </c>
    </row>
    <row r="7420" spans="1:16" x14ac:dyDescent="0.25">
      <c r="A7420" t="s">
        <v>2468</v>
      </c>
      <c r="B7420">
        <v>867</v>
      </c>
      <c r="C7420" t="s">
        <v>10043</v>
      </c>
      <c r="D7420" t="s">
        <v>347</v>
      </c>
      <c r="E7420" s="13">
        <v>1</v>
      </c>
      <c r="F7420" s="12">
        <v>8.67</v>
      </c>
      <c r="G7420" t="str">
        <f>IFERROR(INDEX(tEditais[Órgão],MATCH(tItens[[#This Row],[Edital]],tEditais[Edital],0)),"")</f>
        <v>CIMCERO - CONSORCIO INTERMUNICIPAL DA REGIAO CENTRO LESTE DO ESTADO DE RONDONIA</v>
      </c>
      <c r="H7420" t="str">
        <f>IFERROR(INDEX(tEditais[UF],MATCH(tItens[[#This Row],[Edital]],tEditais[Edital],0)),"")</f>
        <v>RO</v>
      </c>
      <c r="I7420" s="11">
        <f>IFERROR(INDEX(tEditais[Encerramento],MATCH(tItens[[#This Row],[Edital]],tEditais[Edital],0)),"")</f>
        <v>46310.729166666664</v>
      </c>
      <c r="J7420" t="str">
        <f>IFERROR(INDEX(tProdutos[Classe],MATCH(tItens[[#This Row],[Produto]],tProdutos[Produto],0)),"produto não cadastrado")</f>
        <v>FORA</v>
      </c>
      <c r="K7420" s="12">
        <f>tItens[[#This Row],[Qtd]]*tItens[[#This Row],[Vlr unit]]</f>
        <v>8.67</v>
      </c>
      <c r="L7420" s="6">
        <f>IFERROR(IF(INDEX(tProdutos[Desconto homologado],MATCH(tItens[[#This Row],[Produto]],tProdutos[Produto],0))="",DescontoPadrao,INDEX(tProdutos[Desconto homologado],MATCH(tItens[[#This Row],[Produto]],tProdutos[Produto],0))),DescontoPadrao)</f>
        <v>0.26356465005931201</v>
      </c>
      <c r="M7420" s="12">
        <f>tItens[[#This Row],[Valor]]*(1-tItens[[#This Row],[Desconto]])</f>
        <v>6.3848944839857644</v>
      </c>
      <c r="N7420" t="str">
        <f>IFERROR(INDEX(tProdutos[Foco],MATCH(tItens[[#This Row],[Produto]],tProdutos[Produto],0)),"Não")</f>
        <v>Não</v>
      </c>
      <c r="O7420" t="str">
        <f>IFERROR(INDEX(tEditais[SRP],MATCH(tItens[[#This Row],[Edital]],tEditais[Edital],0)),"Não")</f>
        <v>Sim</v>
      </c>
      <c r="P7420" s="4">
        <f>IF(COUNTIFS(INDEX(tItens[Edital],1):tItens[[#This Row],[Edital]],tItens[[#This Row],[Edital]],INDEX(tItens[Produto],1):tItens[[#This Row],[Produto]],tItens[[#This Row],[Produto]])=1,1,0)</f>
        <v>0</v>
      </c>
    </row>
    <row r="7421" spans="1:16" x14ac:dyDescent="0.25">
      <c r="A7421" t="s">
        <v>2468</v>
      </c>
      <c r="B7421">
        <v>868</v>
      </c>
      <c r="C7421" t="s">
        <v>5887</v>
      </c>
      <c r="D7421" t="s">
        <v>347</v>
      </c>
      <c r="E7421" s="13">
        <v>1</v>
      </c>
      <c r="F7421" s="12">
        <v>5.47</v>
      </c>
      <c r="G7421" t="str">
        <f>IFERROR(INDEX(tEditais[Órgão],MATCH(tItens[[#This Row],[Edital]],tEditais[Edital],0)),"")</f>
        <v>CIMCERO - CONSORCIO INTERMUNICIPAL DA REGIAO CENTRO LESTE DO ESTADO DE RONDONIA</v>
      </c>
      <c r="H7421" t="str">
        <f>IFERROR(INDEX(tEditais[UF],MATCH(tItens[[#This Row],[Edital]],tEditais[Edital],0)),"")</f>
        <v>RO</v>
      </c>
      <c r="I7421" s="11">
        <f>IFERROR(INDEX(tEditais[Encerramento],MATCH(tItens[[#This Row],[Edital]],tEditais[Edital],0)),"")</f>
        <v>46310.729166666664</v>
      </c>
      <c r="J7421" t="str">
        <f>IFERROR(INDEX(tProdutos[Classe],MATCH(tItens[[#This Row],[Produto]],tProdutos[Produto],0)),"produto não cadastrado")</f>
        <v>FORA</v>
      </c>
      <c r="K7421" s="12">
        <f>tItens[[#This Row],[Qtd]]*tItens[[#This Row],[Vlr unit]]</f>
        <v>5.47</v>
      </c>
      <c r="L7421" s="6">
        <f>IFERROR(IF(INDEX(tProdutos[Desconto homologado],MATCH(tItens[[#This Row],[Produto]],tProdutos[Produto],0))="",DescontoPadrao,INDEX(tProdutos[Desconto homologado],MATCH(tItens[[#This Row],[Produto]],tProdutos[Produto],0))),DescontoPadrao)</f>
        <v>0.26356465005931201</v>
      </c>
      <c r="M7421" s="12">
        <f>tItens[[#This Row],[Valor]]*(1-tItens[[#This Row],[Desconto]])</f>
        <v>4.0283013641755625</v>
      </c>
      <c r="N7421" t="str">
        <f>IFERROR(INDEX(tProdutos[Foco],MATCH(tItens[[#This Row],[Produto]],tProdutos[Produto],0)),"Não")</f>
        <v>Não</v>
      </c>
      <c r="O7421" t="str">
        <f>IFERROR(INDEX(tEditais[SRP],MATCH(tItens[[#This Row],[Edital]],tEditais[Edital],0)),"Não")</f>
        <v>Sim</v>
      </c>
      <c r="P7421" s="4">
        <f>IF(COUNTIFS(INDEX(tItens[Edital],1):tItens[[#This Row],[Edital]],tItens[[#This Row],[Edital]],INDEX(tItens[Produto],1):tItens[[#This Row],[Produto]],tItens[[#This Row],[Produto]])=1,1,0)</f>
        <v>0</v>
      </c>
    </row>
    <row r="7422" spans="1:16" x14ac:dyDescent="0.25">
      <c r="A7422" t="s">
        <v>2468</v>
      </c>
      <c r="B7422">
        <v>871</v>
      </c>
      <c r="C7422" t="s">
        <v>4114</v>
      </c>
      <c r="D7422" t="s">
        <v>347</v>
      </c>
      <c r="E7422" s="13">
        <v>1</v>
      </c>
      <c r="F7422" s="12">
        <v>4.68</v>
      </c>
      <c r="G7422" t="str">
        <f>IFERROR(INDEX(tEditais[Órgão],MATCH(tItens[[#This Row],[Edital]],tEditais[Edital],0)),"")</f>
        <v>CIMCERO - CONSORCIO INTERMUNICIPAL DA REGIAO CENTRO LESTE DO ESTADO DE RONDONIA</v>
      </c>
      <c r="H7422" t="str">
        <f>IFERROR(INDEX(tEditais[UF],MATCH(tItens[[#This Row],[Edital]],tEditais[Edital],0)),"")</f>
        <v>RO</v>
      </c>
      <c r="I7422" s="11">
        <f>IFERROR(INDEX(tEditais[Encerramento],MATCH(tItens[[#This Row],[Edital]],tEditais[Edital],0)),"")</f>
        <v>46310.729166666664</v>
      </c>
      <c r="J7422" t="str">
        <f>IFERROR(INDEX(tProdutos[Classe],MATCH(tItens[[#This Row],[Produto]],tProdutos[Produto],0)),"produto não cadastrado")</f>
        <v>FORA</v>
      </c>
      <c r="K7422" s="12">
        <f>tItens[[#This Row],[Qtd]]*tItens[[#This Row],[Vlr unit]]</f>
        <v>4.68</v>
      </c>
      <c r="L7422" s="6">
        <f>IFERROR(IF(INDEX(tProdutos[Desconto homologado],MATCH(tItens[[#This Row],[Produto]],tProdutos[Produto],0))="",DescontoPadrao,INDEX(tProdutos[Desconto homologado],MATCH(tItens[[#This Row],[Produto]],tProdutos[Produto],0))),DescontoPadrao)</f>
        <v>0.26356465005931201</v>
      </c>
      <c r="M7422" s="12">
        <f>tItens[[#This Row],[Valor]]*(1-tItens[[#This Row],[Desconto]])</f>
        <v>3.4465174377224193</v>
      </c>
      <c r="N7422" t="str">
        <f>IFERROR(INDEX(tProdutos[Foco],MATCH(tItens[[#This Row],[Produto]],tProdutos[Produto],0)),"Não")</f>
        <v>Não</v>
      </c>
      <c r="O7422" t="str">
        <f>IFERROR(INDEX(tEditais[SRP],MATCH(tItens[[#This Row],[Edital]],tEditais[Edital],0)),"Não")</f>
        <v>Sim</v>
      </c>
      <c r="P7422" s="4">
        <f>IF(COUNTIFS(INDEX(tItens[Edital],1):tItens[[#This Row],[Edital]],tItens[[#This Row],[Edital]],INDEX(tItens[Produto],1):tItens[[#This Row],[Produto]],tItens[[#This Row],[Produto]])=1,1,0)</f>
        <v>0</v>
      </c>
    </row>
    <row r="7423" spans="1:16" x14ac:dyDescent="0.25">
      <c r="A7423" t="s">
        <v>2468</v>
      </c>
      <c r="B7423">
        <v>872</v>
      </c>
      <c r="C7423" t="s">
        <v>10044</v>
      </c>
      <c r="D7423" t="s">
        <v>347</v>
      </c>
      <c r="E7423" s="13">
        <v>1</v>
      </c>
      <c r="F7423" s="12">
        <v>15.14</v>
      </c>
      <c r="G7423" t="str">
        <f>IFERROR(INDEX(tEditais[Órgão],MATCH(tItens[[#This Row],[Edital]],tEditais[Edital],0)),"")</f>
        <v>CIMCERO - CONSORCIO INTERMUNICIPAL DA REGIAO CENTRO LESTE DO ESTADO DE RONDONIA</v>
      </c>
      <c r="H7423" t="str">
        <f>IFERROR(INDEX(tEditais[UF],MATCH(tItens[[#This Row],[Edital]],tEditais[Edital],0)),"")</f>
        <v>RO</v>
      </c>
      <c r="I7423" s="11">
        <f>IFERROR(INDEX(tEditais[Encerramento],MATCH(tItens[[#This Row],[Edital]],tEditais[Edital],0)),"")</f>
        <v>46310.729166666664</v>
      </c>
      <c r="J7423" t="str">
        <f>IFERROR(INDEX(tProdutos[Classe],MATCH(tItens[[#This Row],[Produto]],tProdutos[Produto],0)),"produto não cadastrado")</f>
        <v>FORA</v>
      </c>
      <c r="K7423" s="12">
        <f>tItens[[#This Row],[Qtd]]*tItens[[#This Row],[Vlr unit]]</f>
        <v>15.14</v>
      </c>
      <c r="L7423" s="6">
        <f>IFERROR(IF(INDEX(tProdutos[Desconto homologado],MATCH(tItens[[#This Row],[Produto]],tProdutos[Produto],0))="",DescontoPadrao,INDEX(tProdutos[Desconto homologado],MATCH(tItens[[#This Row],[Produto]],tProdutos[Produto],0))),DescontoPadrao)</f>
        <v>0.26356465005931201</v>
      </c>
      <c r="M7423" s="12">
        <f>tItens[[#This Row],[Valor]]*(1-tItens[[#This Row],[Desconto]])</f>
        <v>11.149631198102016</v>
      </c>
      <c r="N7423" t="str">
        <f>IFERROR(INDEX(tProdutos[Foco],MATCH(tItens[[#This Row],[Produto]],tProdutos[Produto],0)),"Não")</f>
        <v>Não</v>
      </c>
      <c r="O7423" t="str">
        <f>IFERROR(INDEX(tEditais[SRP],MATCH(tItens[[#This Row],[Edital]],tEditais[Edital],0)),"Não")</f>
        <v>Sim</v>
      </c>
      <c r="P7423" s="4">
        <f>IF(COUNTIFS(INDEX(tItens[Edital],1):tItens[[#This Row],[Edital]],tItens[[#This Row],[Edital]],INDEX(tItens[Produto],1):tItens[[#This Row],[Produto]],tItens[[#This Row],[Produto]])=1,1,0)</f>
        <v>0</v>
      </c>
    </row>
    <row r="7424" spans="1:16" x14ac:dyDescent="0.25">
      <c r="A7424" t="s">
        <v>2468</v>
      </c>
      <c r="B7424">
        <v>873</v>
      </c>
      <c r="C7424" t="s">
        <v>10045</v>
      </c>
      <c r="D7424" t="s">
        <v>347</v>
      </c>
      <c r="E7424" s="13">
        <v>1</v>
      </c>
      <c r="F7424" s="12">
        <v>14.09</v>
      </c>
      <c r="G7424" t="str">
        <f>IFERROR(INDEX(tEditais[Órgão],MATCH(tItens[[#This Row],[Edital]],tEditais[Edital],0)),"")</f>
        <v>CIMCERO - CONSORCIO INTERMUNICIPAL DA REGIAO CENTRO LESTE DO ESTADO DE RONDONIA</v>
      </c>
      <c r="H7424" t="str">
        <f>IFERROR(INDEX(tEditais[UF],MATCH(tItens[[#This Row],[Edital]],tEditais[Edital],0)),"")</f>
        <v>RO</v>
      </c>
      <c r="I7424" s="11">
        <f>IFERROR(INDEX(tEditais[Encerramento],MATCH(tItens[[#This Row],[Edital]],tEditais[Edital],0)),"")</f>
        <v>46310.729166666664</v>
      </c>
      <c r="J7424" t="str">
        <f>IFERROR(INDEX(tProdutos[Classe],MATCH(tItens[[#This Row],[Produto]],tProdutos[Produto],0)),"produto não cadastrado")</f>
        <v>FORA</v>
      </c>
      <c r="K7424" s="12">
        <f>tItens[[#This Row],[Qtd]]*tItens[[#This Row],[Vlr unit]]</f>
        <v>14.09</v>
      </c>
      <c r="L7424" s="6">
        <f>IFERROR(IF(INDEX(tProdutos[Desconto homologado],MATCH(tItens[[#This Row],[Produto]],tProdutos[Produto],0))="",DescontoPadrao,INDEX(tProdutos[Desconto homologado],MATCH(tItens[[#This Row],[Produto]],tProdutos[Produto],0))),DescontoPadrao)</f>
        <v>0.26356465005931201</v>
      </c>
      <c r="M7424" s="12">
        <f>tItens[[#This Row],[Valor]]*(1-tItens[[#This Row],[Desconto]])</f>
        <v>10.376374080664293</v>
      </c>
      <c r="N7424" t="str">
        <f>IFERROR(INDEX(tProdutos[Foco],MATCH(tItens[[#This Row],[Produto]],tProdutos[Produto],0)),"Não")</f>
        <v>Não</v>
      </c>
      <c r="O7424" t="str">
        <f>IFERROR(INDEX(tEditais[SRP],MATCH(tItens[[#This Row],[Edital]],tEditais[Edital],0)),"Não")</f>
        <v>Sim</v>
      </c>
      <c r="P7424" s="4">
        <f>IF(COUNTIFS(INDEX(tItens[Edital],1):tItens[[#This Row],[Edital]],tItens[[#This Row],[Edital]],INDEX(tItens[Produto],1):tItens[[#This Row],[Produto]],tItens[[#This Row],[Produto]])=1,1,0)</f>
        <v>0</v>
      </c>
    </row>
    <row r="7425" spans="1:16" x14ac:dyDescent="0.25">
      <c r="A7425" t="s">
        <v>2468</v>
      </c>
      <c r="B7425">
        <v>874</v>
      </c>
      <c r="C7425" t="s">
        <v>9023</v>
      </c>
      <c r="D7425" t="s">
        <v>347</v>
      </c>
      <c r="E7425" s="13">
        <v>1</v>
      </c>
      <c r="F7425" s="12">
        <v>15.04</v>
      </c>
      <c r="G7425" t="str">
        <f>IFERROR(INDEX(tEditais[Órgão],MATCH(tItens[[#This Row],[Edital]],tEditais[Edital],0)),"")</f>
        <v>CIMCERO - CONSORCIO INTERMUNICIPAL DA REGIAO CENTRO LESTE DO ESTADO DE RONDONIA</v>
      </c>
      <c r="H7425" t="str">
        <f>IFERROR(INDEX(tEditais[UF],MATCH(tItens[[#This Row],[Edital]],tEditais[Edital],0)),"")</f>
        <v>RO</v>
      </c>
      <c r="I7425" s="11">
        <f>IFERROR(INDEX(tEditais[Encerramento],MATCH(tItens[[#This Row],[Edital]],tEditais[Edital],0)),"")</f>
        <v>46310.729166666664</v>
      </c>
      <c r="J7425" t="str">
        <f>IFERROR(INDEX(tProdutos[Classe],MATCH(tItens[[#This Row],[Produto]],tProdutos[Produto],0)),"produto não cadastrado")</f>
        <v>FORA</v>
      </c>
      <c r="K7425" s="12">
        <f>tItens[[#This Row],[Qtd]]*tItens[[#This Row],[Vlr unit]]</f>
        <v>15.04</v>
      </c>
      <c r="L7425" s="6">
        <f>IFERROR(IF(INDEX(tProdutos[Desconto homologado],MATCH(tItens[[#This Row],[Produto]],tProdutos[Produto],0))="",DescontoPadrao,INDEX(tProdutos[Desconto homologado],MATCH(tItens[[#This Row],[Produto]],tProdutos[Produto],0))),DescontoPadrao)</f>
        <v>0.26356465005931201</v>
      </c>
      <c r="M7425" s="12">
        <f>tItens[[#This Row],[Valor]]*(1-tItens[[#This Row],[Desconto]])</f>
        <v>11.075987663107945</v>
      </c>
      <c r="N7425" t="str">
        <f>IFERROR(INDEX(tProdutos[Foco],MATCH(tItens[[#This Row],[Produto]],tProdutos[Produto],0)),"Não")</f>
        <v>Não</v>
      </c>
      <c r="O7425" t="str">
        <f>IFERROR(INDEX(tEditais[SRP],MATCH(tItens[[#This Row],[Edital]],tEditais[Edital],0)),"Não")</f>
        <v>Sim</v>
      </c>
      <c r="P7425" s="4">
        <f>IF(COUNTIFS(INDEX(tItens[Edital],1):tItens[[#This Row],[Edital]],tItens[[#This Row],[Edital]],INDEX(tItens[Produto],1):tItens[[#This Row],[Produto]],tItens[[#This Row],[Produto]])=1,1,0)</f>
        <v>0</v>
      </c>
    </row>
    <row r="7426" spans="1:16" x14ac:dyDescent="0.25">
      <c r="A7426" t="s">
        <v>2468</v>
      </c>
      <c r="B7426">
        <v>875</v>
      </c>
      <c r="C7426" t="s">
        <v>10046</v>
      </c>
      <c r="D7426" t="s">
        <v>347</v>
      </c>
      <c r="E7426" s="13">
        <v>1</v>
      </c>
      <c r="F7426" s="12">
        <v>16.34</v>
      </c>
      <c r="G7426" t="str">
        <f>IFERROR(INDEX(tEditais[Órgão],MATCH(tItens[[#This Row],[Edital]],tEditais[Edital],0)),"")</f>
        <v>CIMCERO - CONSORCIO INTERMUNICIPAL DA REGIAO CENTRO LESTE DO ESTADO DE RONDONIA</v>
      </c>
      <c r="H7426" t="str">
        <f>IFERROR(INDEX(tEditais[UF],MATCH(tItens[[#This Row],[Edital]],tEditais[Edital],0)),"")</f>
        <v>RO</v>
      </c>
      <c r="I7426" s="11">
        <f>IFERROR(INDEX(tEditais[Encerramento],MATCH(tItens[[#This Row],[Edital]],tEditais[Edital],0)),"")</f>
        <v>46310.729166666664</v>
      </c>
      <c r="J7426" t="str">
        <f>IFERROR(INDEX(tProdutos[Classe],MATCH(tItens[[#This Row],[Produto]],tProdutos[Produto],0)),"produto não cadastrado")</f>
        <v>FORA</v>
      </c>
      <c r="K7426" s="12">
        <f>tItens[[#This Row],[Qtd]]*tItens[[#This Row],[Vlr unit]]</f>
        <v>16.34</v>
      </c>
      <c r="L7426" s="6">
        <f>IFERROR(IF(INDEX(tProdutos[Desconto homologado],MATCH(tItens[[#This Row],[Produto]],tProdutos[Produto],0))="",DescontoPadrao,INDEX(tProdutos[Desconto homologado],MATCH(tItens[[#This Row],[Produto]],tProdutos[Produto],0))),DescontoPadrao)</f>
        <v>0.26356465005931201</v>
      </c>
      <c r="M7426" s="12">
        <f>tItens[[#This Row],[Valor]]*(1-tItens[[#This Row],[Desconto]])</f>
        <v>12.033353618030841</v>
      </c>
      <c r="N7426" t="str">
        <f>IFERROR(INDEX(tProdutos[Foco],MATCH(tItens[[#This Row],[Produto]],tProdutos[Produto],0)),"Não")</f>
        <v>Não</v>
      </c>
      <c r="O7426" t="str">
        <f>IFERROR(INDEX(tEditais[SRP],MATCH(tItens[[#This Row],[Edital]],tEditais[Edital],0)),"Não")</f>
        <v>Sim</v>
      </c>
      <c r="P7426" s="4">
        <f>IF(COUNTIFS(INDEX(tItens[Edital],1):tItens[[#This Row],[Edital]],tItens[[#This Row],[Edital]],INDEX(tItens[Produto],1):tItens[[#This Row],[Produto]],tItens[[#This Row],[Produto]])=1,1,0)</f>
        <v>0</v>
      </c>
    </row>
    <row r="7427" spans="1:16" x14ac:dyDescent="0.25">
      <c r="A7427" t="s">
        <v>2468</v>
      </c>
      <c r="B7427">
        <v>876</v>
      </c>
      <c r="C7427" t="s">
        <v>10047</v>
      </c>
      <c r="D7427" t="s">
        <v>347</v>
      </c>
      <c r="E7427" s="13">
        <v>1</v>
      </c>
      <c r="F7427" s="12">
        <v>6.48</v>
      </c>
      <c r="G7427" t="str">
        <f>IFERROR(INDEX(tEditais[Órgão],MATCH(tItens[[#This Row],[Edital]],tEditais[Edital],0)),"")</f>
        <v>CIMCERO - CONSORCIO INTERMUNICIPAL DA REGIAO CENTRO LESTE DO ESTADO DE RONDONIA</v>
      </c>
      <c r="H7427" t="str">
        <f>IFERROR(INDEX(tEditais[UF],MATCH(tItens[[#This Row],[Edital]],tEditais[Edital],0)),"")</f>
        <v>RO</v>
      </c>
      <c r="I7427" s="11">
        <f>IFERROR(INDEX(tEditais[Encerramento],MATCH(tItens[[#This Row],[Edital]],tEditais[Edital],0)),"")</f>
        <v>46310.729166666664</v>
      </c>
      <c r="J7427" t="str">
        <f>IFERROR(INDEX(tProdutos[Classe],MATCH(tItens[[#This Row],[Produto]],tProdutos[Produto],0)),"produto não cadastrado")</f>
        <v>FORA</v>
      </c>
      <c r="K7427" s="12">
        <f>tItens[[#This Row],[Qtd]]*tItens[[#This Row],[Vlr unit]]</f>
        <v>6.48</v>
      </c>
      <c r="L7427" s="6">
        <f>IFERROR(IF(INDEX(tProdutos[Desconto homologado],MATCH(tItens[[#This Row],[Produto]],tProdutos[Produto],0))="",DescontoPadrao,INDEX(tProdutos[Desconto homologado],MATCH(tItens[[#This Row],[Produto]],tProdutos[Produto],0))),DescontoPadrao)</f>
        <v>0.26356465005931201</v>
      </c>
      <c r="M7427" s="12">
        <f>tItens[[#This Row],[Valor]]*(1-tItens[[#This Row],[Desconto]])</f>
        <v>4.7721010676156581</v>
      </c>
      <c r="N7427" t="str">
        <f>IFERROR(INDEX(tProdutos[Foco],MATCH(tItens[[#This Row],[Produto]],tProdutos[Produto],0)),"Não")</f>
        <v>Não</v>
      </c>
      <c r="O7427" t="str">
        <f>IFERROR(INDEX(tEditais[SRP],MATCH(tItens[[#This Row],[Edital]],tEditais[Edital],0)),"Não")</f>
        <v>Sim</v>
      </c>
      <c r="P7427" s="4">
        <f>IF(COUNTIFS(INDEX(tItens[Edital],1):tItens[[#This Row],[Edital]],tItens[[#This Row],[Edital]],INDEX(tItens[Produto],1):tItens[[#This Row],[Produto]],tItens[[#This Row],[Produto]])=1,1,0)</f>
        <v>0</v>
      </c>
    </row>
    <row r="7428" spans="1:16" x14ac:dyDescent="0.25">
      <c r="A7428" t="s">
        <v>2468</v>
      </c>
      <c r="B7428">
        <v>877</v>
      </c>
      <c r="C7428" t="s">
        <v>10048</v>
      </c>
      <c r="D7428" t="s">
        <v>347</v>
      </c>
      <c r="E7428" s="13">
        <v>1</v>
      </c>
      <c r="F7428" s="12">
        <v>5.73</v>
      </c>
      <c r="G7428" t="str">
        <f>IFERROR(INDEX(tEditais[Órgão],MATCH(tItens[[#This Row],[Edital]],tEditais[Edital],0)),"")</f>
        <v>CIMCERO - CONSORCIO INTERMUNICIPAL DA REGIAO CENTRO LESTE DO ESTADO DE RONDONIA</v>
      </c>
      <c r="H7428" t="str">
        <f>IFERROR(INDEX(tEditais[UF],MATCH(tItens[[#This Row],[Edital]],tEditais[Edital],0)),"")</f>
        <v>RO</v>
      </c>
      <c r="I7428" s="11">
        <f>IFERROR(INDEX(tEditais[Encerramento],MATCH(tItens[[#This Row],[Edital]],tEditais[Edital],0)),"")</f>
        <v>46310.729166666664</v>
      </c>
      <c r="J7428" t="str">
        <f>IFERROR(INDEX(tProdutos[Classe],MATCH(tItens[[#This Row],[Produto]],tProdutos[Produto],0)),"produto não cadastrado")</f>
        <v>FORA</v>
      </c>
      <c r="K7428" s="12">
        <f>tItens[[#This Row],[Qtd]]*tItens[[#This Row],[Vlr unit]]</f>
        <v>5.73</v>
      </c>
      <c r="L7428" s="6">
        <f>IFERROR(IF(INDEX(tProdutos[Desconto homologado],MATCH(tItens[[#This Row],[Produto]],tProdutos[Produto],0))="",DescontoPadrao,INDEX(tProdutos[Desconto homologado],MATCH(tItens[[#This Row],[Produto]],tProdutos[Produto],0))),DescontoPadrao)</f>
        <v>0.26356465005931201</v>
      </c>
      <c r="M7428" s="12">
        <f>tItens[[#This Row],[Valor]]*(1-tItens[[#This Row],[Desconto]])</f>
        <v>4.219774555160142</v>
      </c>
      <c r="N7428" t="str">
        <f>IFERROR(INDEX(tProdutos[Foco],MATCH(tItens[[#This Row],[Produto]],tProdutos[Produto],0)),"Não")</f>
        <v>Não</v>
      </c>
      <c r="O7428" t="str">
        <f>IFERROR(INDEX(tEditais[SRP],MATCH(tItens[[#This Row],[Edital]],tEditais[Edital],0)),"Não")</f>
        <v>Sim</v>
      </c>
      <c r="P7428" s="4">
        <f>IF(COUNTIFS(INDEX(tItens[Edital],1):tItens[[#This Row],[Edital]],tItens[[#This Row],[Edital]],INDEX(tItens[Produto],1):tItens[[#This Row],[Produto]],tItens[[#This Row],[Produto]])=1,1,0)</f>
        <v>0</v>
      </c>
    </row>
    <row r="7429" spans="1:16" x14ac:dyDescent="0.25">
      <c r="A7429" t="s">
        <v>2468</v>
      </c>
      <c r="B7429">
        <v>878</v>
      </c>
      <c r="C7429" t="s">
        <v>10049</v>
      </c>
      <c r="D7429" t="s">
        <v>347</v>
      </c>
      <c r="E7429" s="13">
        <v>1</v>
      </c>
      <c r="F7429" s="12">
        <v>5.65</v>
      </c>
      <c r="G7429" t="str">
        <f>IFERROR(INDEX(tEditais[Órgão],MATCH(tItens[[#This Row],[Edital]],tEditais[Edital],0)),"")</f>
        <v>CIMCERO - CONSORCIO INTERMUNICIPAL DA REGIAO CENTRO LESTE DO ESTADO DE RONDONIA</v>
      </c>
      <c r="H7429" t="str">
        <f>IFERROR(INDEX(tEditais[UF],MATCH(tItens[[#This Row],[Edital]],tEditais[Edital],0)),"")</f>
        <v>RO</v>
      </c>
      <c r="I7429" s="11">
        <f>IFERROR(INDEX(tEditais[Encerramento],MATCH(tItens[[#This Row],[Edital]],tEditais[Edital],0)),"")</f>
        <v>46310.729166666664</v>
      </c>
      <c r="J7429" t="str">
        <f>IFERROR(INDEX(tProdutos[Classe],MATCH(tItens[[#This Row],[Produto]],tProdutos[Produto],0)),"produto não cadastrado")</f>
        <v>FORA</v>
      </c>
      <c r="K7429" s="12">
        <f>tItens[[#This Row],[Qtd]]*tItens[[#This Row],[Vlr unit]]</f>
        <v>5.65</v>
      </c>
      <c r="L7429" s="6">
        <f>IFERROR(IF(INDEX(tProdutos[Desconto homologado],MATCH(tItens[[#This Row],[Produto]],tProdutos[Produto],0))="",DescontoPadrao,INDEX(tProdutos[Desconto homologado],MATCH(tItens[[#This Row],[Produto]],tProdutos[Produto],0))),DescontoPadrao)</f>
        <v>0.26356465005931201</v>
      </c>
      <c r="M7429" s="12">
        <f>tItens[[#This Row],[Valor]]*(1-tItens[[#This Row],[Desconto]])</f>
        <v>4.1608597271648868</v>
      </c>
      <c r="N7429" t="str">
        <f>IFERROR(INDEX(tProdutos[Foco],MATCH(tItens[[#This Row],[Produto]],tProdutos[Produto],0)),"Não")</f>
        <v>Não</v>
      </c>
      <c r="O7429" t="str">
        <f>IFERROR(INDEX(tEditais[SRP],MATCH(tItens[[#This Row],[Edital]],tEditais[Edital],0)),"Não")</f>
        <v>Sim</v>
      </c>
      <c r="P7429" s="4">
        <f>IF(COUNTIFS(INDEX(tItens[Edital],1):tItens[[#This Row],[Edital]],tItens[[#This Row],[Edital]],INDEX(tItens[Produto],1):tItens[[#This Row],[Produto]],tItens[[#This Row],[Produto]])=1,1,0)</f>
        <v>0</v>
      </c>
    </row>
    <row r="7430" spans="1:16" x14ac:dyDescent="0.25">
      <c r="A7430" t="s">
        <v>2468</v>
      </c>
      <c r="B7430">
        <v>879</v>
      </c>
      <c r="C7430" t="s">
        <v>10050</v>
      </c>
      <c r="D7430" t="s">
        <v>347</v>
      </c>
      <c r="E7430" s="13">
        <v>1</v>
      </c>
      <c r="F7430" s="12">
        <v>8.1300000000000008</v>
      </c>
      <c r="G7430" t="str">
        <f>IFERROR(INDEX(tEditais[Órgão],MATCH(tItens[[#This Row],[Edital]],tEditais[Edital],0)),"")</f>
        <v>CIMCERO - CONSORCIO INTERMUNICIPAL DA REGIAO CENTRO LESTE DO ESTADO DE RONDONIA</v>
      </c>
      <c r="H7430" t="str">
        <f>IFERROR(INDEX(tEditais[UF],MATCH(tItens[[#This Row],[Edital]],tEditais[Edital],0)),"")</f>
        <v>RO</v>
      </c>
      <c r="I7430" s="11">
        <f>IFERROR(INDEX(tEditais[Encerramento],MATCH(tItens[[#This Row],[Edital]],tEditais[Edital],0)),"")</f>
        <v>46310.729166666664</v>
      </c>
      <c r="J7430" t="str">
        <f>IFERROR(INDEX(tProdutos[Classe],MATCH(tItens[[#This Row],[Produto]],tProdutos[Produto],0)),"produto não cadastrado")</f>
        <v>FORA</v>
      </c>
      <c r="K7430" s="12">
        <f>tItens[[#This Row],[Qtd]]*tItens[[#This Row],[Vlr unit]]</f>
        <v>8.1300000000000008</v>
      </c>
      <c r="L7430" s="6">
        <f>IFERROR(IF(INDEX(tProdutos[Desconto homologado],MATCH(tItens[[#This Row],[Produto]],tProdutos[Produto],0))="",DescontoPadrao,INDEX(tProdutos[Desconto homologado],MATCH(tItens[[#This Row],[Produto]],tProdutos[Produto],0))),DescontoPadrao)</f>
        <v>0.26356465005931201</v>
      </c>
      <c r="M7430" s="12">
        <f>tItens[[#This Row],[Valor]]*(1-tItens[[#This Row],[Desconto]])</f>
        <v>5.9872193950177932</v>
      </c>
      <c r="N7430" t="str">
        <f>IFERROR(INDEX(tProdutos[Foco],MATCH(tItens[[#This Row],[Produto]],tProdutos[Produto],0)),"Não")</f>
        <v>Não</v>
      </c>
      <c r="O7430" t="str">
        <f>IFERROR(INDEX(tEditais[SRP],MATCH(tItens[[#This Row],[Edital]],tEditais[Edital],0)),"Não")</f>
        <v>Sim</v>
      </c>
      <c r="P7430" s="4">
        <f>IF(COUNTIFS(INDEX(tItens[Edital],1):tItens[[#This Row],[Edital]],tItens[[#This Row],[Edital]],INDEX(tItens[Produto],1):tItens[[#This Row],[Produto]],tItens[[#This Row],[Produto]])=1,1,0)</f>
        <v>0</v>
      </c>
    </row>
    <row r="7431" spans="1:16" x14ac:dyDescent="0.25">
      <c r="A7431" t="s">
        <v>2468</v>
      </c>
      <c r="B7431">
        <v>880</v>
      </c>
      <c r="C7431" t="s">
        <v>10051</v>
      </c>
      <c r="D7431" t="s">
        <v>347</v>
      </c>
      <c r="E7431" s="13">
        <v>1</v>
      </c>
      <c r="F7431" s="12">
        <v>5.83</v>
      </c>
      <c r="G7431" t="str">
        <f>IFERROR(INDEX(tEditais[Órgão],MATCH(tItens[[#This Row],[Edital]],tEditais[Edital],0)),"")</f>
        <v>CIMCERO - CONSORCIO INTERMUNICIPAL DA REGIAO CENTRO LESTE DO ESTADO DE RONDONIA</v>
      </c>
      <c r="H7431" t="str">
        <f>IFERROR(INDEX(tEditais[UF],MATCH(tItens[[#This Row],[Edital]],tEditais[Edital],0)),"")</f>
        <v>RO</v>
      </c>
      <c r="I7431" s="11">
        <f>IFERROR(INDEX(tEditais[Encerramento],MATCH(tItens[[#This Row],[Edital]],tEditais[Edital],0)),"")</f>
        <v>46310.729166666664</v>
      </c>
      <c r="J7431" t="str">
        <f>IFERROR(INDEX(tProdutos[Classe],MATCH(tItens[[#This Row],[Produto]],tProdutos[Produto],0)),"produto não cadastrado")</f>
        <v>FORA</v>
      </c>
      <c r="K7431" s="12">
        <f>tItens[[#This Row],[Qtd]]*tItens[[#This Row],[Vlr unit]]</f>
        <v>5.83</v>
      </c>
      <c r="L7431" s="6">
        <f>IFERROR(IF(INDEX(tProdutos[Desconto homologado],MATCH(tItens[[#This Row],[Produto]],tProdutos[Produto],0))="",DescontoPadrao,INDEX(tProdutos[Desconto homologado],MATCH(tItens[[#This Row],[Produto]],tProdutos[Produto],0))),DescontoPadrao)</f>
        <v>0.26356465005931201</v>
      </c>
      <c r="M7431" s="12">
        <f>tItens[[#This Row],[Valor]]*(1-tItens[[#This Row],[Desconto]])</f>
        <v>4.2934180901542103</v>
      </c>
      <c r="N7431" t="str">
        <f>IFERROR(INDEX(tProdutos[Foco],MATCH(tItens[[#This Row],[Produto]],tProdutos[Produto],0)),"Não")</f>
        <v>Não</v>
      </c>
      <c r="O7431" t="str">
        <f>IFERROR(INDEX(tEditais[SRP],MATCH(tItens[[#This Row],[Edital]],tEditais[Edital],0)),"Não")</f>
        <v>Sim</v>
      </c>
      <c r="P7431" s="4">
        <f>IF(COUNTIFS(INDEX(tItens[Edital],1):tItens[[#This Row],[Edital]],tItens[[#This Row],[Edital]],INDEX(tItens[Produto],1):tItens[[#This Row],[Produto]],tItens[[#This Row],[Produto]])=1,1,0)</f>
        <v>0</v>
      </c>
    </row>
    <row r="7432" spans="1:16" x14ac:dyDescent="0.25">
      <c r="A7432" t="s">
        <v>2468</v>
      </c>
      <c r="B7432">
        <v>881</v>
      </c>
      <c r="C7432" t="s">
        <v>10052</v>
      </c>
      <c r="D7432" t="s">
        <v>347</v>
      </c>
      <c r="E7432" s="13">
        <v>1</v>
      </c>
      <c r="F7432" s="12">
        <v>6.75</v>
      </c>
      <c r="G7432" t="str">
        <f>IFERROR(INDEX(tEditais[Órgão],MATCH(tItens[[#This Row],[Edital]],tEditais[Edital],0)),"")</f>
        <v>CIMCERO - CONSORCIO INTERMUNICIPAL DA REGIAO CENTRO LESTE DO ESTADO DE RONDONIA</v>
      </c>
      <c r="H7432" t="str">
        <f>IFERROR(INDEX(tEditais[UF],MATCH(tItens[[#This Row],[Edital]],tEditais[Edital],0)),"")</f>
        <v>RO</v>
      </c>
      <c r="I7432" s="11">
        <f>IFERROR(INDEX(tEditais[Encerramento],MATCH(tItens[[#This Row],[Edital]],tEditais[Edital],0)),"")</f>
        <v>46310.729166666664</v>
      </c>
      <c r="J7432" t="str">
        <f>IFERROR(INDEX(tProdutos[Classe],MATCH(tItens[[#This Row],[Produto]],tProdutos[Produto],0)),"produto não cadastrado")</f>
        <v>FORA</v>
      </c>
      <c r="K7432" s="12">
        <f>tItens[[#This Row],[Qtd]]*tItens[[#This Row],[Vlr unit]]</f>
        <v>6.75</v>
      </c>
      <c r="L7432" s="6">
        <f>IFERROR(IF(INDEX(tProdutos[Desconto homologado],MATCH(tItens[[#This Row],[Produto]],tProdutos[Produto],0))="",DescontoPadrao,INDEX(tProdutos[Desconto homologado],MATCH(tItens[[#This Row],[Produto]],tProdutos[Produto],0))),DescontoPadrao)</f>
        <v>0.26356465005931201</v>
      </c>
      <c r="M7432" s="12">
        <f>tItens[[#This Row],[Valor]]*(1-tItens[[#This Row],[Desconto]])</f>
        <v>4.9709386120996433</v>
      </c>
      <c r="N7432" t="str">
        <f>IFERROR(INDEX(tProdutos[Foco],MATCH(tItens[[#This Row],[Produto]],tProdutos[Produto],0)),"Não")</f>
        <v>Não</v>
      </c>
      <c r="O7432" t="str">
        <f>IFERROR(INDEX(tEditais[SRP],MATCH(tItens[[#This Row],[Edital]],tEditais[Edital],0)),"Não")</f>
        <v>Sim</v>
      </c>
      <c r="P7432" s="4">
        <f>IF(COUNTIFS(INDEX(tItens[Edital],1):tItens[[#This Row],[Edital]],tItens[[#This Row],[Edital]],INDEX(tItens[Produto],1):tItens[[#This Row],[Produto]],tItens[[#This Row],[Produto]])=1,1,0)</f>
        <v>0</v>
      </c>
    </row>
    <row r="7433" spans="1:16" x14ac:dyDescent="0.25">
      <c r="A7433" t="s">
        <v>2468</v>
      </c>
      <c r="B7433">
        <v>882</v>
      </c>
      <c r="C7433" t="s">
        <v>10053</v>
      </c>
      <c r="D7433" t="s">
        <v>347</v>
      </c>
      <c r="E7433" s="13">
        <v>1</v>
      </c>
      <c r="F7433" s="12">
        <v>16.34</v>
      </c>
      <c r="G7433" t="str">
        <f>IFERROR(INDEX(tEditais[Órgão],MATCH(tItens[[#This Row],[Edital]],tEditais[Edital],0)),"")</f>
        <v>CIMCERO - CONSORCIO INTERMUNICIPAL DA REGIAO CENTRO LESTE DO ESTADO DE RONDONIA</v>
      </c>
      <c r="H7433" t="str">
        <f>IFERROR(INDEX(tEditais[UF],MATCH(tItens[[#This Row],[Edital]],tEditais[Edital],0)),"")</f>
        <v>RO</v>
      </c>
      <c r="I7433" s="11">
        <f>IFERROR(INDEX(tEditais[Encerramento],MATCH(tItens[[#This Row],[Edital]],tEditais[Edital],0)),"")</f>
        <v>46310.729166666664</v>
      </c>
      <c r="J7433" t="str">
        <f>IFERROR(INDEX(tProdutos[Classe],MATCH(tItens[[#This Row],[Produto]],tProdutos[Produto],0)),"produto não cadastrado")</f>
        <v>FORA</v>
      </c>
      <c r="K7433" s="12">
        <f>tItens[[#This Row],[Qtd]]*tItens[[#This Row],[Vlr unit]]</f>
        <v>16.34</v>
      </c>
      <c r="L7433" s="6">
        <f>IFERROR(IF(INDEX(tProdutos[Desconto homologado],MATCH(tItens[[#This Row],[Produto]],tProdutos[Produto],0))="",DescontoPadrao,INDEX(tProdutos[Desconto homologado],MATCH(tItens[[#This Row],[Produto]],tProdutos[Produto],0))),DescontoPadrao)</f>
        <v>0.26356465005931201</v>
      </c>
      <c r="M7433" s="12">
        <f>tItens[[#This Row],[Valor]]*(1-tItens[[#This Row],[Desconto]])</f>
        <v>12.033353618030841</v>
      </c>
      <c r="N7433" t="str">
        <f>IFERROR(INDEX(tProdutos[Foco],MATCH(tItens[[#This Row],[Produto]],tProdutos[Produto],0)),"Não")</f>
        <v>Não</v>
      </c>
      <c r="O7433" t="str">
        <f>IFERROR(INDEX(tEditais[SRP],MATCH(tItens[[#This Row],[Edital]],tEditais[Edital],0)),"Não")</f>
        <v>Sim</v>
      </c>
      <c r="P7433" s="4">
        <f>IF(COUNTIFS(INDEX(tItens[Edital],1):tItens[[#This Row],[Edital]],tItens[[#This Row],[Edital]],INDEX(tItens[Produto],1):tItens[[#This Row],[Produto]],tItens[[#This Row],[Produto]])=1,1,0)</f>
        <v>0</v>
      </c>
    </row>
    <row r="7434" spans="1:16" x14ac:dyDescent="0.25">
      <c r="A7434" t="s">
        <v>2468</v>
      </c>
      <c r="B7434">
        <v>883</v>
      </c>
      <c r="C7434" t="s">
        <v>10054</v>
      </c>
      <c r="D7434" t="s">
        <v>347</v>
      </c>
      <c r="E7434" s="13">
        <v>1</v>
      </c>
      <c r="F7434" s="12">
        <v>6.48</v>
      </c>
      <c r="G7434" t="str">
        <f>IFERROR(INDEX(tEditais[Órgão],MATCH(tItens[[#This Row],[Edital]],tEditais[Edital],0)),"")</f>
        <v>CIMCERO - CONSORCIO INTERMUNICIPAL DA REGIAO CENTRO LESTE DO ESTADO DE RONDONIA</v>
      </c>
      <c r="H7434" t="str">
        <f>IFERROR(INDEX(tEditais[UF],MATCH(tItens[[#This Row],[Edital]],tEditais[Edital],0)),"")</f>
        <v>RO</v>
      </c>
      <c r="I7434" s="11">
        <f>IFERROR(INDEX(tEditais[Encerramento],MATCH(tItens[[#This Row],[Edital]],tEditais[Edital],0)),"")</f>
        <v>46310.729166666664</v>
      </c>
      <c r="J7434" t="str">
        <f>IFERROR(INDEX(tProdutos[Classe],MATCH(tItens[[#This Row],[Produto]],tProdutos[Produto],0)),"produto não cadastrado")</f>
        <v>FORA</v>
      </c>
      <c r="K7434" s="12">
        <f>tItens[[#This Row],[Qtd]]*tItens[[#This Row],[Vlr unit]]</f>
        <v>6.48</v>
      </c>
      <c r="L7434" s="6">
        <f>IFERROR(IF(INDEX(tProdutos[Desconto homologado],MATCH(tItens[[#This Row],[Produto]],tProdutos[Produto],0))="",DescontoPadrao,INDEX(tProdutos[Desconto homologado],MATCH(tItens[[#This Row],[Produto]],tProdutos[Produto],0))),DescontoPadrao)</f>
        <v>0.26356465005931201</v>
      </c>
      <c r="M7434" s="12">
        <f>tItens[[#This Row],[Valor]]*(1-tItens[[#This Row],[Desconto]])</f>
        <v>4.7721010676156581</v>
      </c>
      <c r="N7434" t="str">
        <f>IFERROR(INDEX(tProdutos[Foco],MATCH(tItens[[#This Row],[Produto]],tProdutos[Produto],0)),"Não")</f>
        <v>Não</v>
      </c>
      <c r="O7434" t="str">
        <f>IFERROR(INDEX(tEditais[SRP],MATCH(tItens[[#This Row],[Edital]],tEditais[Edital],0)),"Não")</f>
        <v>Sim</v>
      </c>
      <c r="P7434" s="4">
        <f>IF(COUNTIFS(INDEX(tItens[Edital],1):tItens[[#This Row],[Edital]],tItens[[#This Row],[Edital]],INDEX(tItens[Produto],1):tItens[[#This Row],[Produto]],tItens[[#This Row],[Produto]])=1,1,0)</f>
        <v>0</v>
      </c>
    </row>
    <row r="7435" spans="1:16" x14ac:dyDescent="0.25">
      <c r="A7435" t="s">
        <v>2468</v>
      </c>
      <c r="B7435">
        <v>884</v>
      </c>
      <c r="C7435" t="s">
        <v>10055</v>
      </c>
      <c r="D7435" t="s">
        <v>347</v>
      </c>
      <c r="E7435" s="13">
        <v>1</v>
      </c>
      <c r="F7435" s="12">
        <v>5.73</v>
      </c>
      <c r="G7435" t="str">
        <f>IFERROR(INDEX(tEditais[Órgão],MATCH(tItens[[#This Row],[Edital]],tEditais[Edital],0)),"")</f>
        <v>CIMCERO - CONSORCIO INTERMUNICIPAL DA REGIAO CENTRO LESTE DO ESTADO DE RONDONIA</v>
      </c>
      <c r="H7435" t="str">
        <f>IFERROR(INDEX(tEditais[UF],MATCH(tItens[[#This Row],[Edital]],tEditais[Edital],0)),"")</f>
        <v>RO</v>
      </c>
      <c r="I7435" s="11">
        <f>IFERROR(INDEX(tEditais[Encerramento],MATCH(tItens[[#This Row],[Edital]],tEditais[Edital],0)),"")</f>
        <v>46310.729166666664</v>
      </c>
      <c r="J7435" t="str">
        <f>IFERROR(INDEX(tProdutos[Classe],MATCH(tItens[[#This Row],[Produto]],tProdutos[Produto],0)),"produto não cadastrado")</f>
        <v>FORA</v>
      </c>
      <c r="K7435" s="12">
        <f>tItens[[#This Row],[Qtd]]*tItens[[#This Row],[Vlr unit]]</f>
        <v>5.73</v>
      </c>
      <c r="L7435" s="6">
        <f>IFERROR(IF(INDEX(tProdutos[Desconto homologado],MATCH(tItens[[#This Row],[Produto]],tProdutos[Produto],0))="",DescontoPadrao,INDEX(tProdutos[Desconto homologado],MATCH(tItens[[#This Row],[Produto]],tProdutos[Produto],0))),DescontoPadrao)</f>
        <v>0.26356465005931201</v>
      </c>
      <c r="M7435" s="12">
        <f>tItens[[#This Row],[Valor]]*(1-tItens[[#This Row],[Desconto]])</f>
        <v>4.219774555160142</v>
      </c>
      <c r="N7435" t="str">
        <f>IFERROR(INDEX(tProdutos[Foco],MATCH(tItens[[#This Row],[Produto]],tProdutos[Produto],0)),"Não")</f>
        <v>Não</v>
      </c>
      <c r="O7435" t="str">
        <f>IFERROR(INDEX(tEditais[SRP],MATCH(tItens[[#This Row],[Edital]],tEditais[Edital],0)),"Não")</f>
        <v>Sim</v>
      </c>
      <c r="P7435" s="4">
        <f>IF(COUNTIFS(INDEX(tItens[Edital],1):tItens[[#This Row],[Edital]],tItens[[#This Row],[Edital]],INDEX(tItens[Produto],1):tItens[[#This Row],[Produto]],tItens[[#This Row],[Produto]])=1,1,0)</f>
        <v>0</v>
      </c>
    </row>
    <row r="7436" spans="1:16" x14ac:dyDescent="0.25">
      <c r="A7436" t="s">
        <v>2468</v>
      </c>
      <c r="B7436">
        <v>885</v>
      </c>
      <c r="C7436" t="s">
        <v>10056</v>
      </c>
      <c r="D7436" t="s">
        <v>347</v>
      </c>
      <c r="E7436" s="13">
        <v>1</v>
      </c>
      <c r="F7436" s="12">
        <v>5.65</v>
      </c>
      <c r="G7436" t="str">
        <f>IFERROR(INDEX(tEditais[Órgão],MATCH(tItens[[#This Row],[Edital]],tEditais[Edital],0)),"")</f>
        <v>CIMCERO - CONSORCIO INTERMUNICIPAL DA REGIAO CENTRO LESTE DO ESTADO DE RONDONIA</v>
      </c>
      <c r="H7436" t="str">
        <f>IFERROR(INDEX(tEditais[UF],MATCH(tItens[[#This Row],[Edital]],tEditais[Edital],0)),"")</f>
        <v>RO</v>
      </c>
      <c r="I7436" s="11">
        <f>IFERROR(INDEX(tEditais[Encerramento],MATCH(tItens[[#This Row],[Edital]],tEditais[Edital],0)),"")</f>
        <v>46310.729166666664</v>
      </c>
      <c r="J7436" t="str">
        <f>IFERROR(INDEX(tProdutos[Classe],MATCH(tItens[[#This Row],[Produto]],tProdutos[Produto],0)),"produto não cadastrado")</f>
        <v>FORA</v>
      </c>
      <c r="K7436" s="12">
        <f>tItens[[#This Row],[Qtd]]*tItens[[#This Row],[Vlr unit]]</f>
        <v>5.65</v>
      </c>
      <c r="L7436" s="6">
        <f>IFERROR(IF(INDEX(tProdutos[Desconto homologado],MATCH(tItens[[#This Row],[Produto]],tProdutos[Produto],0))="",DescontoPadrao,INDEX(tProdutos[Desconto homologado],MATCH(tItens[[#This Row],[Produto]],tProdutos[Produto],0))),DescontoPadrao)</f>
        <v>0.26356465005931201</v>
      </c>
      <c r="M7436" s="12">
        <f>tItens[[#This Row],[Valor]]*(1-tItens[[#This Row],[Desconto]])</f>
        <v>4.1608597271648868</v>
      </c>
      <c r="N7436" t="str">
        <f>IFERROR(INDEX(tProdutos[Foco],MATCH(tItens[[#This Row],[Produto]],tProdutos[Produto],0)),"Não")</f>
        <v>Não</v>
      </c>
      <c r="O7436" t="str">
        <f>IFERROR(INDEX(tEditais[SRP],MATCH(tItens[[#This Row],[Edital]],tEditais[Edital],0)),"Não")</f>
        <v>Sim</v>
      </c>
      <c r="P7436" s="4">
        <f>IF(COUNTIFS(INDEX(tItens[Edital],1):tItens[[#This Row],[Edital]],tItens[[#This Row],[Edital]],INDEX(tItens[Produto],1):tItens[[#This Row],[Produto]],tItens[[#This Row],[Produto]])=1,1,0)</f>
        <v>0</v>
      </c>
    </row>
    <row r="7437" spans="1:16" x14ac:dyDescent="0.25">
      <c r="A7437" t="s">
        <v>2468</v>
      </c>
      <c r="B7437">
        <v>886</v>
      </c>
      <c r="C7437" t="s">
        <v>10057</v>
      </c>
      <c r="D7437" t="s">
        <v>347</v>
      </c>
      <c r="E7437" s="13">
        <v>1</v>
      </c>
      <c r="F7437" s="12">
        <v>22.85</v>
      </c>
      <c r="G7437" t="str">
        <f>IFERROR(INDEX(tEditais[Órgão],MATCH(tItens[[#This Row],[Edital]],tEditais[Edital],0)),"")</f>
        <v>CIMCERO - CONSORCIO INTERMUNICIPAL DA REGIAO CENTRO LESTE DO ESTADO DE RONDONIA</v>
      </c>
      <c r="H7437" t="str">
        <f>IFERROR(INDEX(tEditais[UF],MATCH(tItens[[#This Row],[Edital]],tEditais[Edital],0)),"")</f>
        <v>RO</v>
      </c>
      <c r="I7437" s="11">
        <f>IFERROR(INDEX(tEditais[Encerramento],MATCH(tItens[[#This Row],[Edital]],tEditais[Edital],0)),"")</f>
        <v>46310.729166666664</v>
      </c>
      <c r="J7437" t="str">
        <f>IFERROR(INDEX(tProdutos[Classe],MATCH(tItens[[#This Row],[Produto]],tProdutos[Produto],0)),"produto não cadastrado")</f>
        <v>FORA</v>
      </c>
      <c r="K7437" s="12">
        <f>tItens[[#This Row],[Qtd]]*tItens[[#This Row],[Vlr unit]]</f>
        <v>22.85</v>
      </c>
      <c r="L7437" s="6">
        <f>IFERROR(IF(INDEX(tProdutos[Desconto homologado],MATCH(tItens[[#This Row],[Produto]],tProdutos[Produto],0))="",DescontoPadrao,INDEX(tProdutos[Desconto homologado],MATCH(tItens[[#This Row],[Produto]],tProdutos[Produto],0))),DescontoPadrao)</f>
        <v>0.26356465005931201</v>
      </c>
      <c r="M7437" s="12">
        <f>tItens[[#This Row],[Valor]]*(1-tItens[[#This Row],[Desconto]])</f>
        <v>16.82754774614472</v>
      </c>
      <c r="N7437" t="str">
        <f>IFERROR(INDEX(tProdutos[Foco],MATCH(tItens[[#This Row],[Produto]],tProdutos[Produto],0)),"Não")</f>
        <v>Não</v>
      </c>
      <c r="O7437" t="str">
        <f>IFERROR(INDEX(tEditais[SRP],MATCH(tItens[[#This Row],[Edital]],tEditais[Edital],0)),"Não")</f>
        <v>Sim</v>
      </c>
      <c r="P7437" s="4">
        <f>IF(COUNTIFS(INDEX(tItens[Edital],1):tItens[[#This Row],[Edital]],tItens[[#This Row],[Edital]],INDEX(tItens[Produto],1):tItens[[#This Row],[Produto]],tItens[[#This Row],[Produto]])=1,1,0)</f>
        <v>0</v>
      </c>
    </row>
    <row r="7438" spans="1:16" x14ac:dyDescent="0.25">
      <c r="A7438" t="s">
        <v>2468</v>
      </c>
      <c r="B7438">
        <v>887</v>
      </c>
      <c r="C7438" t="s">
        <v>10058</v>
      </c>
      <c r="D7438" t="s">
        <v>347</v>
      </c>
      <c r="E7438" s="13">
        <v>1</v>
      </c>
      <c r="F7438" s="12">
        <v>12.38</v>
      </c>
      <c r="G7438" t="str">
        <f>IFERROR(INDEX(tEditais[Órgão],MATCH(tItens[[#This Row],[Edital]],tEditais[Edital],0)),"")</f>
        <v>CIMCERO - CONSORCIO INTERMUNICIPAL DA REGIAO CENTRO LESTE DO ESTADO DE RONDONIA</v>
      </c>
      <c r="H7438" t="str">
        <f>IFERROR(INDEX(tEditais[UF],MATCH(tItens[[#This Row],[Edital]],tEditais[Edital],0)),"")</f>
        <v>RO</v>
      </c>
      <c r="I7438" s="11">
        <f>IFERROR(INDEX(tEditais[Encerramento],MATCH(tItens[[#This Row],[Edital]],tEditais[Edital],0)),"")</f>
        <v>46310.729166666664</v>
      </c>
      <c r="J7438" t="str">
        <f>IFERROR(INDEX(tProdutos[Classe],MATCH(tItens[[#This Row],[Produto]],tProdutos[Produto],0)),"produto não cadastrado")</f>
        <v>FORA</v>
      </c>
      <c r="K7438" s="12">
        <f>tItens[[#This Row],[Qtd]]*tItens[[#This Row],[Vlr unit]]</f>
        <v>12.38</v>
      </c>
      <c r="L7438" s="6">
        <f>IFERROR(IF(INDEX(tProdutos[Desconto homologado],MATCH(tItens[[#This Row],[Produto]],tProdutos[Produto],0))="",DescontoPadrao,INDEX(tProdutos[Desconto homologado],MATCH(tItens[[#This Row],[Produto]],tProdutos[Produto],0))),DescontoPadrao)</f>
        <v>0.26356465005931201</v>
      </c>
      <c r="M7438" s="12">
        <f>tItens[[#This Row],[Valor]]*(1-tItens[[#This Row],[Desconto]])</f>
        <v>9.1170696322657179</v>
      </c>
      <c r="N7438" t="str">
        <f>IFERROR(INDEX(tProdutos[Foco],MATCH(tItens[[#This Row],[Produto]],tProdutos[Produto],0)),"Não")</f>
        <v>Não</v>
      </c>
      <c r="O7438" t="str">
        <f>IFERROR(INDEX(tEditais[SRP],MATCH(tItens[[#This Row],[Edital]],tEditais[Edital],0)),"Não")</f>
        <v>Sim</v>
      </c>
      <c r="P7438" s="4">
        <f>IF(COUNTIFS(INDEX(tItens[Edital],1):tItens[[#This Row],[Edital]],tItens[[#This Row],[Edital]],INDEX(tItens[Produto],1):tItens[[#This Row],[Produto]],tItens[[#This Row],[Produto]])=1,1,0)</f>
        <v>0</v>
      </c>
    </row>
    <row r="7439" spans="1:16" x14ac:dyDescent="0.25">
      <c r="A7439" t="s">
        <v>2468</v>
      </c>
      <c r="B7439">
        <v>888</v>
      </c>
      <c r="C7439" t="s">
        <v>10059</v>
      </c>
      <c r="D7439" t="s">
        <v>347</v>
      </c>
      <c r="E7439" s="13">
        <v>1</v>
      </c>
      <c r="F7439" s="12">
        <v>7.43</v>
      </c>
      <c r="G7439" t="str">
        <f>IFERROR(INDEX(tEditais[Órgão],MATCH(tItens[[#This Row],[Edital]],tEditais[Edital],0)),"")</f>
        <v>CIMCERO - CONSORCIO INTERMUNICIPAL DA REGIAO CENTRO LESTE DO ESTADO DE RONDONIA</v>
      </c>
      <c r="H7439" t="str">
        <f>IFERROR(INDEX(tEditais[UF],MATCH(tItens[[#This Row],[Edital]],tEditais[Edital],0)),"")</f>
        <v>RO</v>
      </c>
      <c r="I7439" s="11">
        <f>IFERROR(INDEX(tEditais[Encerramento],MATCH(tItens[[#This Row],[Edital]],tEditais[Edital],0)),"")</f>
        <v>46310.729166666664</v>
      </c>
      <c r="J7439" t="str">
        <f>IFERROR(INDEX(tProdutos[Classe],MATCH(tItens[[#This Row],[Produto]],tProdutos[Produto],0)),"produto não cadastrado")</f>
        <v>FORA</v>
      </c>
      <c r="K7439" s="12">
        <f>tItens[[#This Row],[Qtd]]*tItens[[#This Row],[Vlr unit]]</f>
        <v>7.43</v>
      </c>
      <c r="L7439" s="6">
        <f>IFERROR(IF(INDEX(tProdutos[Desconto homologado],MATCH(tItens[[#This Row],[Produto]],tProdutos[Produto],0))="",DescontoPadrao,INDEX(tProdutos[Desconto homologado],MATCH(tItens[[#This Row],[Produto]],tProdutos[Produto],0))),DescontoPadrao)</f>
        <v>0.26356465005931201</v>
      </c>
      <c r="M7439" s="12">
        <f>tItens[[#This Row],[Valor]]*(1-tItens[[#This Row],[Desconto]])</f>
        <v>5.4717146500593108</v>
      </c>
      <c r="N7439" t="str">
        <f>IFERROR(INDEX(tProdutos[Foco],MATCH(tItens[[#This Row],[Produto]],tProdutos[Produto],0)),"Não")</f>
        <v>Não</v>
      </c>
      <c r="O7439" t="str">
        <f>IFERROR(INDEX(tEditais[SRP],MATCH(tItens[[#This Row],[Edital]],tEditais[Edital],0)),"Não")</f>
        <v>Sim</v>
      </c>
      <c r="P7439" s="4">
        <f>IF(COUNTIFS(INDEX(tItens[Edital],1):tItens[[#This Row],[Edital]],tItens[[#This Row],[Edital]],INDEX(tItens[Produto],1):tItens[[#This Row],[Produto]],tItens[[#This Row],[Produto]])=1,1,0)</f>
        <v>0</v>
      </c>
    </row>
    <row r="7440" spans="1:16" x14ac:dyDescent="0.25">
      <c r="A7440" t="s">
        <v>2468</v>
      </c>
      <c r="B7440">
        <v>890</v>
      </c>
      <c r="C7440" t="s">
        <v>10060</v>
      </c>
      <c r="D7440" t="s">
        <v>333</v>
      </c>
      <c r="E7440" s="13">
        <v>1</v>
      </c>
      <c r="F7440" s="12">
        <v>1.3</v>
      </c>
      <c r="G7440" t="str">
        <f>IFERROR(INDEX(tEditais[Órgão],MATCH(tItens[[#This Row],[Edital]],tEditais[Edital],0)),"")</f>
        <v>CIMCERO - CONSORCIO INTERMUNICIPAL DA REGIAO CENTRO LESTE DO ESTADO DE RONDONIA</v>
      </c>
      <c r="H7440" t="str">
        <f>IFERROR(INDEX(tEditais[UF],MATCH(tItens[[#This Row],[Edital]],tEditais[Edital],0)),"")</f>
        <v>RO</v>
      </c>
      <c r="I7440" s="11">
        <f>IFERROR(INDEX(tEditais[Encerramento],MATCH(tItens[[#This Row],[Edital]],tEditais[Edital],0)),"")</f>
        <v>46310.729166666664</v>
      </c>
      <c r="J7440" t="str">
        <f>IFERROR(INDEX(tProdutos[Classe],MATCH(tItens[[#This Row],[Produto]],tProdutos[Produto],0)),"produto não cadastrado")</f>
        <v>FORA</v>
      </c>
      <c r="K7440" s="12">
        <f>tItens[[#This Row],[Qtd]]*tItens[[#This Row],[Vlr unit]]</f>
        <v>1.3</v>
      </c>
      <c r="L7440" s="6">
        <f>IFERROR(IF(INDEX(tProdutos[Desconto homologado],MATCH(tItens[[#This Row],[Produto]],tProdutos[Produto],0))="",DescontoPadrao,INDEX(tProdutos[Desconto homologado],MATCH(tItens[[#This Row],[Produto]],tProdutos[Produto],0))),DescontoPadrao)</f>
        <v>0.48951048951048998</v>
      </c>
      <c r="M7440" s="12">
        <f>tItens[[#This Row],[Valor]]*(1-tItens[[#This Row],[Desconto]])</f>
        <v>0.66363636363636302</v>
      </c>
      <c r="N7440" t="str">
        <f>IFERROR(INDEX(tProdutos[Foco],MATCH(tItens[[#This Row],[Produto]],tProdutos[Produto],0)),"Não")</f>
        <v>Não</v>
      </c>
      <c r="O7440" t="str">
        <f>IFERROR(INDEX(tEditais[SRP],MATCH(tItens[[#This Row],[Edital]],tEditais[Edital],0)),"Não")</f>
        <v>Sim</v>
      </c>
      <c r="P7440" s="4">
        <f>IF(COUNTIFS(INDEX(tItens[Edital],1):tItens[[#This Row],[Edital]],tItens[[#This Row],[Edital]],INDEX(tItens[Produto],1):tItens[[#This Row],[Produto]],tItens[[#This Row],[Produto]])=1,1,0)</f>
        <v>1</v>
      </c>
    </row>
    <row r="7441" spans="1:16" x14ac:dyDescent="0.25">
      <c r="A7441" t="s">
        <v>2468</v>
      </c>
      <c r="B7441">
        <v>891</v>
      </c>
      <c r="C7441" t="s">
        <v>9415</v>
      </c>
      <c r="D7441" t="s">
        <v>102</v>
      </c>
      <c r="E7441" s="13">
        <v>1</v>
      </c>
      <c r="F7441" s="12">
        <v>1.03</v>
      </c>
      <c r="G7441" t="str">
        <f>IFERROR(INDEX(tEditais[Órgão],MATCH(tItens[[#This Row],[Edital]],tEditais[Edital],0)),"")</f>
        <v>CIMCERO - CONSORCIO INTERMUNICIPAL DA REGIAO CENTRO LESTE DO ESTADO DE RONDONIA</v>
      </c>
      <c r="H7441" t="str">
        <f>IFERROR(INDEX(tEditais[UF],MATCH(tItens[[#This Row],[Edital]],tEditais[Edital],0)),"")</f>
        <v>RO</v>
      </c>
      <c r="I7441" s="11">
        <f>IFERROR(INDEX(tEditais[Encerramento],MATCH(tItens[[#This Row],[Edital]],tEditais[Edital],0)),"")</f>
        <v>46310.729166666664</v>
      </c>
      <c r="J7441" t="str">
        <f>IFERROR(INDEX(tProdutos[Classe],MATCH(tItens[[#This Row],[Produto]],tProdutos[Produto],0)),"produto não cadastrado")</f>
        <v>DISPUTADO</v>
      </c>
      <c r="K7441" s="12">
        <f>tItens[[#This Row],[Qtd]]*tItens[[#This Row],[Vlr unit]]</f>
        <v>1.03</v>
      </c>
      <c r="L7441" s="6">
        <f>IFERROR(IF(INDEX(tProdutos[Desconto homologado],MATCH(tItens[[#This Row],[Produto]],tProdutos[Produto],0))="",DescontoPadrao,INDEX(tProdutos[Desconto homologado],MATCH(tItens[[#This Row],[Produto]],tProdutos[Produto],0))),DescontoPadrao)</f>
        <v>0.38053097345132803</v>
      </c>
      <c r="M7441" s="12">
        <f>tItens[[#This Row],[Valor]]*(1-tItens[[#This Row],[Desconto]])</f>
        <v>0.63805309734513216</v>
      </c>
      <c r="N7441" t="str">
        <f>IFERROR(INDEX(tProdutos[Foco],MATCH(tItens[[#This Row],[Produto]],tProdutos[Produto],0)),"Não")</f>
        <v>Não</v>
      </c>
      <c r="O7441" t="str">
        <f>IFERROR(INDEX(tEditais[SRP],MATCH(tItens[[#This Row],[Edital]],tEditais[Edital],0)),"Não")</f>
        <v>Sim</v>
      </c>
      <c r="P7441" s="4">
        <f>IF(COUNTIFS(INDEX(tItens[Edital],1):tItens[[#This Row],[Edital]],tItens[[#This Row],[Edital]],INDEX(tItens[Produto],1):tItens[[#This Row],[Produto]],tItens[[#This Row],[Produto]])=1,1,0)</f>
        <v>1</v>
      </c>
    </row>
    <row r="7442" spans="1:16" x14ac:dyDescent="0.25">
      <c r="A7442" t="s">
        <v>2468</v>
      </c>
      <c r="B7442">
        <v>892</v>
      </c>
      <c r="C7442" t="s">
        <v>10061</v>
      </c>
      <c r="D7442" t="s">
        <v>229</v>
      </c>
      <c r="E7442" s="13">
        <v>1</v>
      </c>
      <c r="F7442" s="12">
        <v>3.04</v>
      </c>
      <c r="G7442" t="str">
        <f>IFERROR(INDEX(tEditais[Órgão],MATCH(tItens[[#This Row],[Edital]],tEditais[Edital],0)),"")</f>
        <v>CIMCERO - CONSORCIO INTERMUNICIPAL DA REGIAO CENTRO LESTE DO ESTADO DE RONDONIA</v>
      </c>
      <c r="H7442" t="str">
        <f>IFERROR(INDEX(tEditais[UF],MATCH(tItens[[#This Row],[Edital]],tEditais[Edital],0)),"")</f>
        <v>RO</v>
      </c>
      <c r="I7442" s="11">
        <f>IFERROR(INDEX(tEditais[Encerramento],MATCH(tItens[[#This Row],[Edital]],tEditais[Edital],0)),"")</f>
        <v>46310.729166666664</v>
      </c>
      <c r="J7442" t="str">
        <f>IFERROR(INDEX(tProdutos[Classe],MATCH(tItens[[#This Row],[Produto]],tProdutos[Produto],0)),"produto não cadastrado")</f>
        <v>FORA</v>
      </c>
      <c r="K7442" s="12">
        <f>tItens[[#This Row],[Qtd]]*tItens[[#This Row],[Vlr unit]]</f>
        <v>3.04</v>
      </c>
      <c r="L7442" s="6">
        <f>IFERROR(IF(INDEX(tProdutos[Desconto homologado],MATCH(tItens[[#This Row],[Produto]],tProdutos[Produto],0))="",DescontoPadrao,INDEX(tProdutos[Desconto homologado],MATCH(tItens[[#This Row],[Produto]],tProdutos[Produto],0))),DescontoPadrao)</f>
        <v>0.33093491191658198</v>
      </c>
      <c r="M7442" s="12">
        <f>tItens[[#This Row],[Valor]]*(1-tItens[[#This Row],[Desconto]])</f>
        <v>2.0339578677735908</v>
      </c>
      <c r="N7442" t="str">
        <f>IFERROR(INDEX(tProdutos[Foco],MATCH(tItens[[#This Row],[Produto]],tProdutos[Produto],0)),"Não")</f>
        <v>Não</v>
      </c>
      <c r="O7442" t="str">
        <f>IFERROR(INDEX(tEditais[SRP],MATCH(tItens[[#This Row],[Edital]],tEditais[Edital],0)),"Não")</f>
        <v>Sim</v>
      </c>
      <c r="P7442" s="4">
        <f>IF(COUNTIFS(INDEX(tItens[Edital],1):tItens[[#This Row],[Edital]],tItens[[#This Row],[Edital]],INDEX(tItens[Produto],1):tItens[[#This Row],[Produto]],tItens[[#This Row],[Produto]])=1,1,0)</f>
        <v>0</v>
      </c>
    </row>
    <row r="7443" spans="1:16" x14ac:dyDescent="0.25">
      <c r="A7443" t="s">
        <v>2468</v>
      </c>
      <c r="B7443">
        <v>893</v>
      </c>
      <c r="C7443" t="s">
        <v>3327</v>
      </c>
      <c r="D7443" t="s">
        <v>229</v>
      </c>
      <c r="E7443" s="13">
        <v>1</v>
      </c>
      <c r="F7443" s="12">
        <v>7.96</v>
      </c>
      <c r="G7443" t="str">
        <f>IFERROR(INDEX(tEditais[Órgão],MATCH(tItens[[#This Row],[Edital]],tEditais[Edital],0)),"")</f>
        <v>CIMCERO - CONSORCIO INTERMUNICIPAL DA REGIAO CENTRO LESTE DO ESTADO DE RONDONIA</v>
      </c>
      <c r="H7443" t="str">
        <f>IFERROR(INDEX(tEditais[UF],MATCH(tItens[[#This Row],[Edital]],tEditais[Edital],0)),"")</f>
        <v>RO</v>
      </c>
      <c r="I7443" s="11">
        <f>IFERROR(INDEX(tEditais[Encerramento],MATCH(tItens[[#This Row],[Edital]],tEditais[Edital],0)),"")</f>
        <v>46310.729166666664</v>
      </c>
      <c r="J7443" t="str">
        <f>IFERROR(INDEX(tProdutos[Classe],MATCH(tItens[[#This Row],[Produto]],tProdutos[Produto],0)),"produto não cadastrado")</f>
        <v>FORA</v>
      </c>
      <c r="K7443" s="12">
        <f>tItens[[#This Row],[Qtd]]*tItens[[#This Row],[Vlr unit]]</f>
        <v>7.96</v>
      </c>
      <c r="L7443" s="6">
        <f>IFERROR(IF(INDEX(tProdutos[Desconto homologado],MATCH(tItens[[#This Row],[Produto]],tProdutos[Produto],0))="",DescontoPadrao,INDEX(tProdutos[Desconto homologado],MATCH(tItens[[#This Row],[Produto]],tProdutos[Produto],0))),DescontoPadrao)</f>
        <v>0.33093491191658198</v>
      </c>
      <c r="M7443" s="12">
        <f>tItens[[#This Row],[Valor]]*(1-tItens[[#This Row],[Desconto]])</f>
        <v>5.3257581011440074</v>
      </c>
      <c r="N7443" t="str">
        <f>IFERROR(INDEX(tProdutos[Foco],MATCH(tItens[[#This Row],[Produto]],tProdutos[Produto],0)),"Não")</f>
        <v>Não</v>
      </c>
      <c r="O7443" t="str">
        <f>IFERROR(INDEX(tEditais[SRP],MATCH(tItens[[#This Row],[Edital]],tEditais[Edital],0)),"Não")</f>
        <v>Sim</v>
      </c>
      <c r="P7443" s="4">
        <f>IF(COUNTIFS(INDEX(tItens[Edital],1):tItens[[#This Row],[Edital]],tItens[[#This Row],[Edital]],INDEX(tItens[Produto],1):tItens[[#This Row],[Produto]],tItens[[#This Row],[Produto]])=1,1,0)</f>
        <v>0</v>
      </c>
    </row>
    <row r="7444" spans="1:16" x14ac:dyDescent="0.25">
      <c r="A7444" t="s">
        <v>2468</v>
      </c>
      <c r="B7444">
        <v>900</v>
      </c>
      <c r="C7444" t="s">
        <v>10062</v>
      </c>
      <c r="D7444" t="s">
        <v>77</v>
      </c>
      <c r="E7444" s="13">
        <v>1</v>
      </c>
      <c r="F7444" s="12">
        <v>4.99</v>
      </c>
      <c r="G7444" t="str">
        <f>IFERROR(INDEX(tEditais[Órgão],MATCH(tItens[[#This Row],[Edital]],tEditais[Edital],0)),"")</f>
        <v>CIMCERO - CONSORCIO INTERMUNICIPAL DA REGIAO CENTRO LESTE DO ESTADO DE RONDONIA</v>
      </c>
      <c r="H7444" t="str">
        <f>IFERROR(INDEX(tEditais[UF],MATCH(tItens[[#This Row],[Edital]],tEditais[Edital],0)),"")</f>
        <v>RO</v>
      </c>
      <c r="I7444" s="11">
        <f>IFERROR(INDEX(tEditais[Encerramento],MATCH(tItens[[#This Row],[Edital]],tEditais[Edital],0)),"")</f>
        <v>46310.729166666664</v>
      </c>
      <c r="J7444" t="str">
        <f>IFERROR(INDEX(tProdutos[Classe],MATCH(tItens[[#This Row],[Produto]],tProdutos[Produto],0)),"produto não cadastrado")</f>
        <v>DISPUTADO</v>
      </c>
      <c r="K7444" s="12">
        <f>tItens[[#This Row],[Qtd]]*tItens[[#This Row],[Vlr unit]]</f>
        <v>4.99</v>
      </c>
      <c r="L7444" s="6">
        <f>IFERROR(IF(INDEX(tProdutos[Desconto homologado],MATCH(tItens[[#This Row],[Produto]],tProdutos[Produto],0))="",DescontoPadrao,INDEX(tProdutos[Desconto homologado],MATCH(tItens[[#This Row],[Produto]],tProdutos[Produto],0))),DescontoPadrao)</f>
        <v>0.33</v>
      </c>
      <c r="M7444" s="12">
        <f>tItens[[#This Row],[Valor]]*(1-tItens[[#This Row],[Desconto]])</f>
        <v>3.3432999999999997</v>
      </c>
      <c r="N7444" t="str">
        <f>IFERROR(INDEX(tProdutos[Foco],MATCH(tItens[[#This Row],[Produto]],tProdutos[Produto],0)),"Não")</f>
        <v>Sim</v>
      </c>
      <c r="O7444" t="str">
        <f>IFERROR(INDEX(tEditais[SRP],MATCH(tItens[[#This Row],[Edital]],tEditais[Edital],0)),"Não")</f>
        <v>Sim</v>
      </c>
      <c r="P7444" s="4">
        <f>IF(COUNTIFS(INDEX(tItens[Edital],1):tItens[[#This Row],[Edital]],tItens[[#This Row],[Edital]],INDEX(tItens[Produto],1):tItens[[#This Row],[Produto]],tItens[[#This Row],[Produto]])=1,1,0)</f>
        <v>0</v>
      </c>
    </row>
    <row r="7445" spans="1:16" x14ac:dyDescent="0.25">
      <c r="A7445" t="s">
        <v>2468</v>
      </c>
      <c r="B7445">
        <v>901</v>
      </c>
      <c r="C7445" t="s">
        <v>9419</v>
      </c>
      <c r="D7445" t="s">
        <v>136</v>
      </c>
      <c r="E7445" s="13">
        <v>1</v>
      </c>
      <c r="F7445" s="12">
        <v>10.72</v>
      </c>
      <c r="G7445" t="str">
        <f>IFERROR(INDEX(tEditais[Órgão],MATCH(tItens[[#This Row],[Edital]],tEditais[Edital],0)),"")</f>
        <v>CIMCERO - CONSORCIO INTERMUNICIPAL DA REGIAO CENTRO LESTE DO ESTADO DE RONDONIA</v>
      </c>
      <c r="H7445" t="str">
        <f>IFERROR(INDEX(tEditais[UF],MATCH(tItens[[#This Row],[Edital]],tEditais[Edital],0)),"")</f>
        <v>RO</v>
      </c>
      <c r="I7445" s="11">
        <f>IFERROR(INDEX(tEditais[Encerramento],MATCH(tItens[[#This Row],[Edital]],tEditais[Edital],0)),"")</f>
        <v>46310.729166666664</v>
      </c>
      <c r="J7445" t="str">
        <f>IFERROR(INDEX(tProdutos[Classe],MATCH(tItens[[#This Row],[Produto]],tProdutos[Produto],0)),"produto não cadastrado")</f>
        <v>DISPUTADO</v>
      </c>
      <c r="K7445" s="12">
        <f>tItens[[#This Row],[Qtd]]*tItens[[#This Row],[Vlr unit]]</f>
        <v>10.72</v>
      </c>
      <c r="L7445" s="6">
        <f>IFERROR(IF(INDEX(tProdutos[Desconto homologado],MATCH(tItens[[#This Row],[Produto]],tProdutos[Produto],0))="",DescontoPadrao,INDEX(tProdutos[Desconto homologado],MATCH(tItens[[#This Row],[Produto]],tProdutos[Produto],0))),DescontoPadrao)</f>
        <v>0.330646209370899</v>
      </c>
      <c r="M7445" s="12">
        <f>tItens[[#This Row],[Valor]]*(1-tItens[[#This Row],[Desconto]])</f>
        <v>7.1754726355439624</v>
      </c>
      <c r="N7445" t="str">
        <f>IFERROR(INDEX(tProdutos[Foco],MATCH(tItens[[#This Row],[Produto]],tProdutos[Produto],0)),"Não")</f>
        <v>Não</v>
      </c>
      <c r="O7445" t="str">
        <f>IFERROR(INDEX(tEditais[SRP],MATCH(tItens[[#This Row],[Edital]],tEditais[Edital],0)),"Não")</f>
        <v>Sim</v>
      </c>
      <c r="P7445" s="4">
        <f>IF(COUNTIFS(INDEX(tItens[Edital],1):tItens[[#This Row],[Edital]],tItens[[#This Row],[Edital]],INDEX(tItens[Produto],1):tItens[[#This Row],[Produto]],tItens[[#This Row],[Produto]])=1,1,0)</f>
        <v>0</v>
      </c>
    </row>
    <row r="7446" spans="1:16" x14ac:dyDescent="0.25">
      <c r="A7446" t="s">
        <v>2468</v>
      </c>
      <c r="B7446">
        <v>902</v>
      </c>
      <c r="C7446" t="s">
        <v>9031</v>
      </c>
      <c r="D7446" t="s">
        <v>136</v>
      </c>
      <c r="E7446" s="13">
        <v>1</v>
      </c>
      <c r="F7446" s="12">
        <v>10.35</v>
      </c>
      <c r="G7446" t="str">
        <f>IFERROR(INDEX(tEditais[Órgão],MATCH(tItens[[#This Row],[Edital]],tEditais[Edital],0)),"")</f>
        <v>CIMCERO - CONSORCIO INTERMUNICIPAL DA REGIAO CENTRO LESTE DO ESTADO DE RONDONIA</v>
      </c>
      <c r="H7446" t="str">
        <f>IFERROR(INDEX(tEditais[UF],MATCH(tItens[[#This Row],[Edital]],tEditais[Edital],0)),"")</f>
        <v>RO</v>
      </c>
      <c r="I7446" s="11">
        <f>IFERROR(INDEX(tEditais[Encerramento],MATCH(tItens[[#This Row],[Edital]],tEditais[Edital],0)),"")</f>
        <v>46310.729166666664</v>
      </c>
      <c r="J7446" t="str">
        <f>IFERROR(INDEX(tProdutos[Classe],MATCH(tItens[[#This Row],[Produto]],tProdutos[Produto],0)),"produto não cadastrado")</f>
        <v>DISPUTADO</v>
      </c>
      <c r="K7446" s="12">
        <f>tItens[[#This Row],[Qtd]]*tItens[[#This Row],[Vlr unit]]</f>
        <v>10.35</v>
      </c>
      <c r="L7446" s="6">
        <f>IFERROR(IF(INDEX(tProdutos[Desconto homologado],MATCH(tItens[[#This Row],[Produto]],tProdutos[Produto],0))="",DescontoPadrao,INDEX(tProdutos[Desconto homologado],MATCH(tItens[[#This Row],[Produto]],tProdutos[Produto],0))),DescontoPadrao)</f>
        <v>0.330646209370899</v>
      </c>
      <c r="M7446" s="12">
        <f>tItens[[#This Row],[Valor]]*(1-tItens[[#This Row],[Desconto]])</f>
        <v>6.9278117330111941</v>
      </c>
      <c r="N7446" t="str">
        <f>IFERROR(INDEX(tProdutos[Foco],MATCH(tItens[[#This Row],[Produto]],tProdutos[Produto],0)),"Não")</f>
        <v>Não</v>
      </c>
      <c r="O7446" t="str">
        <f>IFERROR(INDEX(tEditais[SRP],MATCH(tItens[[#This Row],[Edital]],tEditais[Edital],0)),"Não")</f>
        <v>Sim</v>
      </c>
      <c r="P7446" s="4">
        <f>IF(COUNTIFS(INDEX(tItens[Edital],1):tItens[[#This Row],[Edital]],tItens[[#This Row],[Edital]],INDEX(tItens[Produto],1):tItens[[#This Row],[Produto]],tItens[[#This Row],[Produto]])=1,1,0)</f>
        <v>0</v>
      </c>
    </row>
    <row r="7447" spans="1:16" x14ac:dyDescent="0.25">
      <c r="A7447" t="s">
        <v>2468</v>
      </c>
      <c r="B7447">
        <v>903</v>
      </c>
      <c r="C7447" t="s">
        <v>7911</v>
      </c>
      <c r="D7447" t="s">
        <v>461</v>
      </c>
      <c r="E7447" s="13">
        <v>1</v>
      </c>
      <c r="F7447" s="12">
        <v>17.739999999999998</v>
      </c>
      <c r="G7447" t="str">
        <f>IFERROR(INDEX(tEditais[Órgão],MATCH(tItens[[#This Row],[Edital]],tEditais[Edital],0)),"")</f>
        <v>CIMCERO - CONSORCIO INTERMUNICIPAL DA REGIAO CENTRO LESTE DO ESTADO DE RONDONIA</v>
      </c>
      <c r="H7447" t="str">
        <f>IFERROR(INDEX(tEditais[UF],MATCH(tItens[[#This Row],[Edital]],tEditais[Edital],0)),"")</f>
        <v>RO</v>
      </c>
      <c r="I7447" s="11">
        <f>IFERROR(INDEX(tEditais[Encerramento],MATCH(tItens[[#This Row],[Edital]],tEditais[Edital],0)),"")</f>
        <v>46310.729166666664</v>
      </c>
      <c r="J7447" t="str">
        <f>IFERROR(INDEX(tProdutos[Classe],MATCH(tItens[[#This Row],[Produto]],tProdutos[Produto],0)),"produto não cadastrado")</f>
        <v>FILA REBASE</v>
      </c>
      <c r="K7447" s="12">
        <f>tItens[[#This Row],[Qtd]]*tItens[[#This Row],[Vlr unit]]</f>
        <v>17.739999999999998</v>
      </c>
      <c r="L7447" s="6">
        <f>IFERROR(IF(INDEX(tProdutos[Desconto homologado],MATCH(tItens[[#This Row],[Produto]],tProdutos[Produto],0))="",DescontoPadrao,INDEX(tProdutos[Desconto homologado],MATCH(tItens[[#This Row],[Produto]],tProdutos[Produto],0))),DescontoPadrao)</f>
        <v>0.44096385542168698</v>
      </c>
      <c r="M7447" s="12">
        <f>tItens[[#This Row],[Valor]]*(1-tItens[[#This Row],[Desconto]])</f>
        <v>9.917301204819271</v>
      </c>
      <c r="N7447" t="str">
        <f>IFERROR(INDEX(tProdutos[Foco],MATCH(tItens[[#This Row],[Produto]],tProdutos[Produto],0)),"Não")</f>
        <v>Não</v>
      </c>
      <c r="O7447" t="str">
        <f>IFERROR(INDEX(tEditais[SRP],MATCH(tItens[[#This Row],[Edital]],tEditais[Edital],0)),"Não")</f>
        <v>Sim</v>
      </c>
      <c r="P7447" s="4">
        <f>IF(COUNTIFS(INDEX(tItens[Edital],1):tItens[[#This Row],[Edital]],tItens[[#This Row],[Edital]],INDEX(tItens[Produto],1):tItens[[#This Row],[Produto]],tItens[[#This Row],[Produto]])=1,1,0)</f>
        <v>0</v>
      </c>
    </row>
    <row r="7448" spans="1:16" x14ac:dyDescent="0.25">
      <c r="A7448" t="s">
        <v>2468</v>
      </c>
      <c r="B7448">
        <v>904</v>
      </c>
      <c r="C7448" t="s">
        <v>10063</v>
      </c>
      <c r="D7448" t="s">
        <v>375</v>
      </c>
      <c r="E7448" s="13">
        <v>1</v>
      </c>
      <c r="F7448" s="12">
        <v>45.17</v>
      </c>
      <c r="G7448" t="str">
        <f>IFERROR(INDEX(tEditais[Órgão],MATCH(tItens[[#This Row],[Edital]],tEditais[Edital],0)),"")</f>
        <v>CIMCERO - CONSORCIO INTERMUNICIPAL DA REGIAO CENTRO LESTE DO ESTADO DE RONDONIA</v>
      </c>
      <c r="H7448" t="str">
        <f>IFERROR(INDEX(tEditais[UF],MATCH(tItens[[#This Row],[Edital]],tEditais[Edital],0)),"")</f>
        <v>RO</v>
      </c>
      <c r="I7448" s="11">
        <f>IFERROR(INDEX(tEditais[Encerramento],MATCH(tItens[[#This Row],[Edital]],tEditais[Edital],0)),"")</f>
        <v>46310.729166666664</v>
      </c>
      <c r="J7448" t="str">
        <f>IFERROR(INDEX(tProdutos[Classe],MATCH(tItens[[#This Row],[Produto]],tProdutos[Produto],0)),"produto não cadastrado")</f>
        <v>FORA</v>
      </c>
      <c r="K7448" s="12">
        <f>tItens[[#This Row],[Qtd]]*tItens[[#This Row],[Vlr unit]]</f>
        <v>45.17</v>
      </c>
      <c r="L7448" s="6">
        <f>IFERROR(IF(INDEX(tProdutos[Desconto homologado],MATCH(tItens[[#This Row],[Produto]],tProdutos[Produto],0))="",DescontoPadrao,INDEX(tProdutos[Desconto homologado],MATCH(tItens[[#This Row],[Produto]],tProdutos[Produto],0))),DescontoPadrao)</f>
        <v>0.25005895299481201</v>
      </c>
      <c r="M7448" s="12">
        <f>tItens[[#This Row],[Valor]]*(1-tItens[[#This Row],[Desconto]])</f>
        <v>33.874837093224343</v>
      </c>
      <c r="N7448" t="str">
        <f>IFERROR(INDEX(tProdutos[Foco],MATCH(tItens[[#This Row],[Produto]],tProdutos[Produto],0)),"Não")</f>
        <v>Não</v>
      </c>
      <c r="O7448" t="str">
        <f>IFERROR(INDEX(tEditais[SRP],MATCH(tItens[[#This Row],[Edital]],tEditais[Edital],0)),"Não")</f>
        <v>Sim</v>
      </c>
      <c r="P7448" s="4">
        <f>IF(COUNTIFS(INDEX(tItens[Edital],1):tItens[[#This Row],[Edital]],tItens[[#This Row],[Edital]],INDEX(tItens[Produto],1):tItens[[#This Row],[Produto]],tItens[[#This Row],[Produto]])=1,1,0)</f>
        <v>0</v>
      </c>
    </row>
    <row r="7449" spans="1:16" x14ac:dyDescent="0.25">
      <c r="A7449" t="s">
        <v>2468</v>
      </c>
      <c r="B7449">
        <v>905</v>
      </c>
      <c r="C7449" t="s">
        <v>10064</v>
      </c>
      <c r="D7449" t="s">
        <v>375</v>
      </c>
      <c r="E7449" s="13">
        <v>1</v>
      </c>
      <c r="F7449" s="12">
        <v>49.12</v>
      </c>
      <c r="G7449" t="str">
        <f>IFERROR(INDEX(tEditais[Órgão],MATCH(tItens[[#This Row],[Edital]],tEditais[Edital],0)),"")</f>
        <v>CIMCERO - CONSORCIO INTERMUNICIPAL DA REGIAO CENTRO LESTE DO ESTADO DE RONDONIA</v>
      </c>
      <c r="H7449" t="str">
        <f>IFERROR(INDEX(tEditais[UF],MATCH(tItens[[#This Row],[Edital]],tEditais[Edital],0)),"")</f>
        <v>RO</v>
      </c>
      <c r="I7449" s="11">
        <f>IFERROR(INDEX(tEditais[Encerramento],MATCH(tItens[[#This Row],[Edital]],tEditais[Edital],0)),"")</f>
        <v>46310.729166666664</v>
      </c>
      <c r="J7449" t="str">
        <f>IFERROR(INDEX(tProdutos[Classe],MATCH(tItens[[#This Row],[Produto]],tProdutos[Produto],0)),"produto não cadastrado")</f>
        <v>FORA</v>
      </c>
      <c r="K7449" s="12">
        <f>tItens[[#This Row],[Qtd]]*tItens[[#This Row],[Vlr unit]]</f>
        <v>49.12</v>
      </c>
      <c r="L7449" s="6">
        <f>IFERROR(IF(INDEX(tProdutos[Desconto homologado],MATCH(tItens[[#This Row],[Produto]],tProdutos[Produto],0))="",DescontoPadrao,INDEX(tProdutos[Desconto homologado],MATCH(tItens[[#This Row],[Produto]],tProdutos[Produto],0))),DescontoPadrao)</f>
        <v>0.25005895299481201</v>
      </c>
      <c r="M7449" s="12">
        <f>tItens[[#This Row],[Valor]]*(1-tItens[[#This Row],[Desconto]])</f>
        <v>36.83710422889483</v>
      </c>
      <c r="N7449" t="str">
        <f>IFERROR(INDEX(tProdutos[Foco],MATCH(tItens[[#This Row],[Produto]],tProdutos[Produto],0)),"Não")</f>
        <v>Não</v>
      </c>
      <c r="O7449" t="str">
        <f>IFERROR(INDEX(tEditais[SRP],MATCH(tItens[[#This Row],[Edital]],tEditais[Edital],0)),"Não")</f>
        <v>Sim</v>
      </c>
      <c r="P7449" s="4">
        <f>IF(COUNTIFS(INDEX(tItens[Edital],1):tItens[[#This Row],[Edital]],tItens[[#This Row],[Edital]],INDEX(tItens[Produto],1):tItens[[#This Row],[Produto]],tItens[[#This Row],[Produto]])=1,1,0)</f>
        <v>0</v>
      </c>
    </row>
    <row r="7450" spans="1:16" x14ac:dyDescent="0.25">
      <c r="A7450" t="s">
        <v>2468</v>
      </c>
      <c r="B7450">
        <v>906</v>
      </c>
      <c r="C7450" t="s">
        <v>10065</v>
      </c>
      <c r="D7450" t="s">
        <v>461</v>
      </c>
      <c r="E7450" s="13">
        <v>1</v>
      </c>
      <c r="F7450" s="12">
        <v>22.95</v>
      </c>
      <c r="G7450" t="str">
        <f>IFERROR(INDEX(tEditais[Órgão],MATCH(tItens[[#This Row],[Edital]],tEditais[Edital],0)),"")</f>
        <v>CIMCERO - CONSORCIO INTERMUNICIPAL DA REGIAO CENTRO LESTE DO ESTADO DE RONDONIA</v>
      </c>
      <c r="H7450" t="str">
        <f>IFERROR(INDEX(tEditais[UF],MATCH(tItens[[#This Row],[Edital]],tEditais[Edital],0)),"")</f>
        <v>RO</v>
      </c>
      <c r="I7450" s="11">
        <f>IFERROR(INDEX(tEditais[Encerramento],MATCH(tItens[[#This Row],[Edital]],tEditais[Edital],0)),"")</f>
        <v>46310.729166666664</v>
      </c>
      <c r="J7450" t="str">
        <f>IFERROR(INDEX(tProdutos[Classe],MATCH(tItens[[#This Row],[Produto]],tProdutos[Produto],0)),"produto não cadastrado")</f>
        <v>FILA REBASE</v>
      </c>
      <c r="K7450" s="12">
        <f>tItens[[#This Row],[Qtd]]*tItens[[#This Row],[Vlr unit]]</f>
        <v>22.95</v>
      </c>
      <c r="L7450" s="6">
        <f>IFERROR(IF(INDEX(tProdutos[Desconto homologado],MATCH(tItens[[#This Row],[Produto]],tProdutos[Produto],0))="",DescontoPadrao,INDEX(tProdutos[Desconto homologado],MATCH(tItens[[#This Row],[Produto]],tProdutos[Produto],0))),DescontoPadrao)</f>
        <v>0.44096385542168698</v>
      </c>
      <c r="M7450" s="12">
        <f>tItens[[#This Row],[Valor]]*(1-tItens[[#This Row],[Desconto]])</f>
        <v>12.829879518072282</v>
      </c>
      <c r="N7450" t="str">
        <f>IFERROR(INDEX(tProdutos[Foco],MATCH(tItens[[#This Row],[Produto]],tProdutos[Produto],0)),"Não")</f>
        <v>Não</v>
      </c>
      <c r="O7450" t="str">
        <f>IFERROR(INDEX(tEditais[SRP],MATCH(tItens[[#This Row],[Edital]],tEditais[Edital],0)),"Não")</f>
        <v>Sim</v>
      </c>
      <c r="P7450" s="4">
        <f>IF(COUNTIFS(INDEX(tItens[Edital],1):tItens[[#This Row],[Edital]],tItens[[#This Row],[Edital]],INDEX(tItens[Produto],1):tItens[[#This Row],[Produto]],tItens[[#This Row],[Produto]])=1,1,0)</f>
        <v>0</v>
      </c>
    </row>
    <row r="7451" spans="1:16" x14ac:dyDescent="0.25">
      <c r="A7451" t="s">
        <v>2468</v>
      </c>
      <c r="B7451">
        <v>907</v>
      </c>
      <c r="C7451" t="s">
        <v>10066</v>
      </c>
      <c r="D7451" t="s">
        <v>461</v>
      </c>
      <c r="E7451" s="13">
        <v>1</v>
      </c>
      <c r="F7451" s="12">
        <v>26.61</v>
      </c>
      <c r="G7451" t="str">
        <f>IFERROR(INDEX(tEditais[Órgão],MATCH(tItens[[#This Row],[Edital]],tEditais[Edital],0)),"")</f>
        <v>CIMCERO - CONSORCIO INTERMUNICIPAL DA REGIAO CENTRO LESTE DO ESTADO DE RONDONIA</v>
      </c>
      <c r="H7451" t="str">
        <f>IFERROR(INDEX(tEditais[UF],MATCH(tItens[[#This Row],[Edital]],tEditais[Edital],0)),"")</f>
        <v>RO</v>
      </c>
      <c r="I7451" s="11">
        <f>IFERROR(INDEX(tEditais[Encerramento],MATCH(tItens[[#This Row],[Edital]],tEditais[Edital],0)),"")</f>
        <v>46310.729166666664</v>
      </c>
      <c r="J7451" t="str">
        <f>IFERROR(INDEX(tProdutos[Classe],MATCH(tItens[[#This Row],[Produto]],tProdutos[Produto],0)),"produto não cadastrado")</f>
        <v>FILA REBASE</v>
      </c>
      <c r="K7451" s="12">
        <f>tItens[[#This Row],[Qtd]]*tItens[[#This Row],[Vlr unit]]</f>
        <v>26.61</v>
      </c>
      <c r="L7451" s="6">
        <f>IFERROR(IF(INDEX(tProdutos[Desconto homologado],MATCH(tItens[[#This Row],[Produto]],tProdutos[Produto],0))="",DescontoPadrao,INDEX(tProdutos[Desconto homologado],MATCH(tItens[[#This Row],[Produto]],tProdutos[Produto],0))),DescontoPadrao)</f>
        <v>0.44096385542168698</v>
      </c>
      <c r="M7451" s="12">
        <f>tItens[[#This Row],[Valor]]*(1-tItens[[#This Row],[Desconto]])</f>
        <v>14.875951807228908</v>
      </c>
      <c r="N7451" t="str">
        <f>IFERROR(INDEX(tProdutos[Foco],MATCH(tItens[[#This Row],[Produto]],tProdutos[Produto],0)),"Não")</f>
        <v>Não</v>
      </c>
      <c r="O7451" t="str">
        <f>IFERROR(INDEX(tEditais[SRP],MATCH(tItens[[#This Row],[Edital]],tEditais[Edital],0)),"Não")</f>
        <v>Sim</v>
      </c>
      <c r="P7451" s="4">
        <f>IF(COUNTIFS(INDEX(tItens[Edital],1):tItens[[#This Row],[Edital]],tItens[[#This Row],[Edital]],INDEX(tItens[Produto],1):tItens[[#This Row],[Produto]],tItens[[#This Row],[Produto]])=1,1,0)</f>
        <v>0</v>
      </c>
    </row>
    <row r="7452" spans="1:16" x14ac:dyDescent="0.25">
      <c r="A7452" t="s">
        <v>2468</v>
      </c>
      <c r="B7452">
        <v>908</v>
      </c>
      <c r="C7452" t="s">
        <v>10067</v>
      </c>
      <c r="D7452" t="s">
        <v>461</v>
      </c>
      <c r="E7452" s="13">
        <v>1</v>
      </c>
      <c r="F7452" s="12">
        <v>8.17</v>
      </c>
      <c r="G7452" t="str">
        <f>IFERROR(INDEX(tEditais[Órgão],MATCH(tItens[[#This Row],[Edital]],tEditais[Edital],0)),"")</f>
        <v>CIMCERO - CONSORCIO INTERMUNICIPAL DA REGIAO CENTRO LESTE DO ESTADO DE RONDONIA</v>
      </c>
      <c r="H7452" t="str">
        <f>IFERROR(INDEX(tEditais[UF],MATCH(tItens[[#This Row],[Edital]],tEditais[Edital],0)),"")</f>
        <v>RO</v>
      </c>
      <c r="I7452" s="11">
        <f>IFERROR(INDEX(tEditais[Encerramento],MATCH(tItens[[#This Row],[Edital]],tEditais[Edital],0)),"")</f>
        <v>46310.729166666664</v>
      </c>
      <c r="J7452" t="str">
        <f>IFERROR(INDEX(tProdutos[Classe],MATCH(tItens[[#This Row],[Produto]],tProdutos[Produto],0)),"produto não cadastrado")</f>
        <v>FILA REBASE</v>
      </c>
      <c r="K7452" s="12">
        <f>tItens[[#This Row],[Qtd]]*tItens[[#This Row],[Vlr unit]]</f>
        <v>8.17</v>
      </c>
      <c r="L7452" s="6">
        <f>IFERROR(IF(INDEX(tProdutos[Desconto homologado],MATCH(tItens[[#This Row],[Produto]],tProdutos[Produto],0))="",DescontoPadrao,INDEX(tProdutos[Desconto homologado],MATCH(tItens[[#This Row],[Produto]],tProdutos[Produto],0))),DescontoPadrao)</f>
        <v>0.44096385542168698</v>
      </c>
      <c r="M7452" s="12">
        <f>tItens[[#This Row],[Valor]]*(1-tItens[[#This Row],[Desconto]])</f>
        <v>4.5673253012048169</v>
      </c>
      <c r="N7452" t="str">
        <f>IFERROR(INDEX(tProdutos[Foco],MATCH(tItens[[#This Row],[Produto]],tProdutos[Produto],0)),"Não")</f>
        <v>Não</v>
      </c>
      <c r="O7452" t="str">
        <f>IFERROR(INDEX(tEditais[SRP],MATCH(tItens[[#This Row],[Edital]],tEditais[Edital],0)),"Não")</f>
        <v>Sim</v>
      </c>
      <c r="P7452" s="4">
        <f>IF(COUNTIFS(INDEX(tItens[Edital],1):tItens[[#This Row],[Edital]],tItens[[#This Row],[Edital]],INDEX(tItens[Produto],1):tItens[[#This Row],[Produto]],tItens[[#This Row],[Produto]])=1,1,0)</f>
        <v>0</v>
      </c>
    </row>
    <row r="7453" spans="1:16" x14ac:dyDescent="0.25">
      <c r="A7453" t="s">
        <v>2468</v>
      </c>
      <c r="B7453">
        <v>909</v>
      </c>
      <c r="C7453" t="s">
        <v>10068</v>
      </c>
      <c r="D7453" t="s">
        <v>375</v>
      </c>
      <c r="E7453" s="13">
        <v>1</v>
      </c>
      <c r="F7453" s="12">
        <v>6.6</v>
      </c>
      <c r="G7453" t="str">
        <f>IFERROR(INDEX(tEditais[Órgão],MATCH(tItens[[#This Row],[Edital]],tEditais[Edital],0)),"")</f>
        <v>CIMCERO - CONSORCIO INTERMUNICIPAL DA REGIAO CENTRO LESTE DO ESTADO DE RONDONIA</v>
      </c>
      <c r="H7453" t="str">
        <f>IFERROR(INDEX(tEditais[UF],MATCH(tItens[[#This Row],[Edital]],tEditais[Edital],0)),"")</f>
        <v>RO</v>
      </c>
      <c r="I7453" s="11">
        <f>IFERROR(INDEX(tEditais[Encerramento],MATCH(tItens[[#This Row],[Edital]],tEditais[Edital],0)),"")</f>
        <v>46310.729166666664</v>
      </c>
      <c r="J7453" t="str">
        <f>IFERROR(INDEX(tProdutos[Classe],MATCH(tItens[[#This Row],[Produto]],tProdutos[Produto],0)),"produto não cadastrado")</f>
        <v>FORA</v>
      </c>
      <c r="K7453" s="12">
        <f>tItens[[#This Row],[Qtd]]*tItens[[#This Row],[Vlr unit]]</f>
        <v>6.6</v>
      </c>
      <c r="L7453" s="6">
        <f>IFERROR(IF(INDEX(tProdutos[Desconto homologado],MATCH(tItens[[#This Row],[Produto]],tProdutos[Produto],0))="",DescontoPadrao,INDEX(tProdutos[Desconto homologado],MATCH(tItens[[#This Row],[Produto]],tProdutos[Produto],0))),DescontoPadrao)</f>
        <v>0.25005895299481201</v>
      </c>
      <c r="M7453" s="12">
        <f>tItens[[#This Row],[Valor]]*(1-tItens[[#This Row],[Desconto]])</f>
        <v>4.9496109102342398</v>
      </c>
      <c r="N7453" t="str">
        <f>IFERROR(INDEX(tProdutos[Foco],MATCH(tItens[[#This Row],[Produto]],tProdutos[Produto],0)),"Não")</f>
        <v>Não</v>
      </c>
      <c r="O7453" t="str">
        <f>IFERROR(INDEX(tEditais[SRP],MATCH(tItens[[#This Row],[Edital]],tEditais[Edital],0)),"Não")</f>
        <v>Sim</v>
      </c>
      <c r="P7453" s="4">
        <f>IF(COUNTIFS(INDEX(tItens[Edital],1):tItens[[#This Row],[Edital]],tItens[[#This Row],[Edital]],INDEX(tItens[Produto],1):tItens[[#This Row],[Produto]],tItens[[#This Row],[Produto]])=1,1,0)</f>
        <v>0</v>
      </c>
    </row>
    <row r="7454" spans="1:16" x14ac:dyDescent="0.25">
      <c r="A7454" t="s">
        <v>2468</v>
      </c>
      <c r="B7454">
        <v>910</v>
      </c>
      <c r="C7454" t="s">
        <v>9168</v>
      </c>
      <c r="D7454" t="s">
        <v>375</v>
      </c>
      <c r="E7454" s="13">
        <v>1</v>
      </c>
      <c r="F7454" s="12">
        <v>6.67</v>
      </c>
      <c r="G7454" t="str">
        <f>IFERROR(INDEX(tEditais[Órgão],MATCH(tItens[[#This Row],[Edital]],tEditais[Edital],0)),"")</f>
        <v>CIMCERO - CONSORCIO INTERMUNICIPAL DA REGIAO CENTRO LESTE DO ESTADO DE RONDONIA</v>
      </c>
      <c r="H7454" t="str">
        <f>IFERROR(INDEX(tEditais[UF],MATCH(tItens[[#This Row],[Edital]],tEditais[Edital],0)),"")</f>
        <v>RO</v>
      </c>
      <c r="I7454" s="11">
        <f>IFERROR(INDEX(tEditais[Encerramento],MATCH(tItens[[#This Row],[Edital]],tEditais[Edital],0)),"")</f>
        <v>46310.729166666664</v>
      </c>
      <c r="J7454" t="str">
        <f>IFERROR(INDEX(tProdutos[Classe],MATCH(tItens[[#This Row],[Produto]],tProdutos[Produto],0)),"produto não cadastrado")</f>
        <v>FORA</v>
      </c>
      <c r="K7454" s="12">
        <f>tItens[[#This Row],[Qtd]]*tItens[[#This Row],[Vlr unit]]</f>
        <v>6.67</v>
      </c>
      <c r="L7454" s="6">
        <f>IFERROR(IF(INDEX(tProdutos[Desconto homologado],MATCH(tItens[[#This Row],[Produto]],tProdutos[Produto],0))="",DescontoPadrao,INDEX(tProdutos[Desconto homologado],MATCH(tItens[[#This Row],[Produto]],tProdutos[Produto],0))),DescontoPadrao)</f>
        <v>0.25005895299481201</v>
      </c>
      <c r="M7454" s="12">
        <f>tItens[[#This Row],[Valor]]*(1-tItens[[#This Row],[Desconto]])</f>
        <v>5.0021067835246038</v>
      </c>
      <c r="N7454" t="str">
        <f>IFERROR(INDEX(tProdutos[Foco],MATCH(tItens[[#This Row],[Produto]],tProdutos[Produto],0)),"Não")</f>
        <v>Não</v>
      </c>
      <c r="O7454" t="str">
        <f>IFERROR(INDEX(tEditais[SRP],MATCH(tItens[[#This Row],[Edital]],tEditais[Edital],0)),"Não")</f>
        <v>Sim</v>
      </c>
      <c r="P7454" s="4">
        <f>IF(COUNTIFS(INDEX(tItens[Edital],1):tItens[[#This Row],[Edital]],tItens[[#This Row],[Edital]],INDEX(tItens[Produto],1):tItens[[#This Row],[Produto]],tItens[[#This Row],[Produto]])=1,1,0)</f>
        <v>0</v>
      </c>
    </row>
    <row r="7455" spans="1:16" x14ac:dyDescent="0.25">
      <c r="A7455" t="s">
        <v>2468</v>
      </c>
      <c r="B7455">
        <v>911</v>
      </c>
      <c r="C7455" t="s">
        <v>10069</v>
      </c>
      <c r="D7455" t="s">
        <v>375</v>
      </c>
      <c r="E7455" s="13">
        <v>1</v>
      </c>
      <c r="F7455" s="12">
        <v>7.85</v>
      </c>
      <c r="G7455" t="str">
        <f>IFERROR(INDEX(tEditais[Órgão],MATCH(tItens[[#This Row],[Edital]],tEditais[Edital],0)),"")</f>
        <v>CIMCERO - CONSORCIO INTERMUNICIPAL DA REGIAO CENTRO LESTE DO ESTADO DE RONDONIA</v>
      </c>
      <c r="H7455" t="str">
        <f>IFERROR(INDEX(tEditais[UF],MATCH(tItens[[#This Row],[Edital]],tEditais[Edital],0)),"")</f>
        <v>RO</v>
      </c>
      <c r="I7455" s="11">
        <f>IFERROR(INDEX(tEditais[Encerramento],MATCH(tItens[[#This Row],[Edital]],tEditais[Edital],0)),"")</f>
        <v>46310.729166666664</v>
      </c>
      <c r="J7455" t="str">
        <f>IFERROR(INDEX(tProdutos[Classe],MATCH(tItens[[#This Row],[Produto]],tProdutos[Produto],0)),"produto não cadastrado")</f>
        <v>FORA</v>
      </c>
      <c r="K7455" s="12">
        <f>tItens[[#This Row],[Qtd]]*tItens[[#This Row],[Vlr unit]]</f>
        <v>7.85</v>
      </c>
      <c r="L7455" s="6">
        <f>IFERROR(IF(INDEX(tProdutos[Desconto homologado],MATCH(tItens[[#This Row],[Produto]],tProdutos[Produto],0))="",DescontoPadrao,INDEX(tProdutos[Desconto homologado],MATCH(tItens[[#This Row],[Produto]],tProdutos[Produto],0))),DescontoPadrao)</f>
        <v>0.25005895299481201</v>
      </c>
      <c r="M7455" s="12">
        <f>tItens[[#This Row],[Valor]]*(1-tItens[[#This Row],[Desconto]])</f>
        <v>5.8870372189907254</v>
      </c>
      <c r="N7455" t="str">
        <f>IFERROR(INDEX(tProdutos[Foco],MATCH(tItens[[#This Row],[Produto]],tProdutos[Produto],0)),"Não")</f>
        <v>Não</v>
      </c>
      <c r="O7455" t="str">
        <f>IFERROR(INDEX(tEditais[SRP],MATCH(tItens[[#This Row],[Edital]],tEditais[Edital],0)),"Não")</f>
        <v>Sim</v>
      </c>
      <c r="P7455" s="4">
        <f>IF(COUNTIFS(INDEX(tItens[Edital],1):tItens[[#This Row],[Edital]],tItens[[#This Row],[Edital]],INDEX(tItens[Produto],1):tItens[[#This Row],[Produto]],tItens[[#This Row],[Produto]])=1,1,0)</f>
        <v>0</v>
      </c>
    </row>
    <row r="7456" spans="1:16" x14ac:dyDescent="0.25">
      <c r="A7456" t="s">
        <v>2468</v>
      </c>
      <c r="B7456">
        <v>914</v>
      </c>
      <c r="C7456" t="s">
        <v>10070</v>
      </c>
      <c r="D7456" t="s">
        <v>375</v>
      </c>
      <c r="E7456" s="13">
        <v>1</v>
      </c>
      <c r="F7456" s="12">
        <v>70.84</v>
      </c>
      <c r="G7456" t="str">
        <f>IFERROR(INDEX(tEditais[Órgão],MATCH(tItens[[#This Row],[Edital]],tEditais[Edital],0)),"")</f>
        <v>CIMCERO - CONSORCIO INTERMUNICIPAL DA REGIAO CENTRO LESTE DO ESTADO DE RONDONIA</v>
      </c>
      <c r="H7456" t="str">
        <f>IFERROR(INDEX(tEditais[UF],MATCH(tItens[[#This Row],[Edital]],tEditais[Edital],0)),"")</f>
        <v>RO</v>
      </c>
      <c r="I7456" s="11">
        <f>IFERROR(INDEX(tEditais[Encerramento],MATCH(tItens[[#This Row],[Edital]],tEditais[Edital],0)),"")</f>
        <v>46310.729166666664</v>
      </c>
      <c r="J7456" t="str">
        <f>IFERROR(INDEX(tProdutos[Classe],MATCH(tItens[[#This Row],[Produto]],tProdutos[Produto],0)),"produto não cadastrado")</f>
        <v>FORA</v>
      </c>
      <c r="K7456" s="12">
        <f>tItens[[#This Row],[Qtd]]*tItens[[#This Row],[Vlr unit]]</f>
        <v>70.84</v>
      </c>
      <c r="L7456" s="6">
        <f>IFERROR(IF(INDEX(tProdutos[Desconto homologado],MATCH(tItens[[#This Row],[Produto]],tProdutos[Produto],0))="",DescontoPadrao,INDEX(tProdutos[Desconto homologado],MATCH(tItens[[#This Row],[Produto]],tProdutos[Produto],0))),DescontoPadrao)</f>
        <v>0.25005895299481201</v>
      </c>
      <c r="M7456" s="12">
        <f>tItens[[#This Row],[Valor]]*(1-tItens[[#This Row],[Desconto]])</f>
        <v>53.125823769847514</v>
      </c>
      <c r="N7456" t="str">
        <f>IFERROR(INDEX(tProdutos[Foco],MATCH(tItens[[#This Row],[Produto]],tProdutos[Produto],0)),"Não")</f>
        <v>Não</v>
      </c>
      <c r="O7456" t="str">
        <f>IFERROR(INDEX(tEditais[SRP],MATCH(tItens[[#This Row],[Edital]],tEditais[Edital],0)),"Não")</f>
        <v>Sim</v>
      </c>
      <c r="P7456" s="4">
        <f>IF(COUNTIFS(INDEX(tItens[Edital],1):tItens[[#This Row],[Edital]],tItens[[#This Row],[Edital]],INDEX(tItens[Produto],1):tItens[[#This Row],[Produto]],tItens[[#This Row],[Produto]])=1,1,0)</f>
        <v>0</v>
      </c>
    </row>
    <row r="7457" spans="1:16" x14ac:dyDescent="0.25">
      <c r="A7457" t="s">
        <v>2468</v>
      </c>
      <c r="B7457">
        <v>915</v>
      </c>
      <c r="C7457" t="s">
        <v>10071</v>
      </c>
      <c r="D7457" t="s">
        <v>375</v>
      </c>
      <c r="E7457" s="13">
        <v>1</v>
      </c>
      <c r="F7457" s="12">
        <v>79.67</v>
      </c>
      <c r="G7457" t="str">
        <f>IFERROR(INDEX(tEditais[Órgão],MATCH(tItens[[#This Row],[Edital]],tEditais[Edital],0)),"")</f>
        <v>CIMCERO - CONSORCIO INTERMUNICIPAL DA REGIAO CENTRO LESTE DO ESTADO DE RONDONIA</v>
      </c>
      <c r="H7457" t="str">
        <f>IFERROR(INDEX(tEditais[UF],MATCH(tItens[[#This Row],[Edital]],tEditais[Edital],0)),"")</f>
        <v>RO</v>
      </c>
      <c r="I7457" s="11">
        <f>IFERROR(INDEX(tEditais[Encerramento],MATCH(tItens[[#This Row],[Edital]],tEditais[Edital],0)),"")</f>
        <v>46310.729166666664</v>
      </c>
      <c r="J7457" t="str">
        <f>IFERROR(INDEX(tProdutos[Classe],MATCH(tItens[[#This Row],[Produto]],tProdutos[Produto],0)),"produto não cadastrado")</f>
        <v>FORA</v>
      </c>
      <c r="K7457" s="12">
        <f>tItens[[#This Row],[Qtd]]*tItens[[#This Row],[Vlr unit]]</f>
        <v>79.67</v>
      </c>
      <c r="L7457" s="6">
        <f>IFERROR(IF(INDEX(tProdutos[Desconto homologado],MATCH(tItens[[#This Row],[Produto]],tProdutos[Produto],0))="",DescontoPadrao,INDEX(tProdutos[Desconto homologado],MATCH(tItens[[#This Row],[Produto]],tProdutos[Produto],0))),DescontoPadrao)</f>
        <v>0.25005895299481201</v>
      </c>
      <c r="M7457" s="12">
        <f>tItens[[#This Row],[Valor]]*(1-tItens[[#This Row],[Desconto]])</f>
        <v>59.747803214903321</v>
      </c>
      <c r="N7457" t="str">
        <f>IFERROR(INDEX(tProdutos[Foco],MATCH(tItens[[#This Row],[Produto]],tProdutos[Produto],0)),"Não")</f>
        <v>Não</v>
      </c>
      <c r="O7457" t="str">
        <f>IFERROR(INDEX(tEditais[SRP],MATCH(tItens[[#This Row],[Edital]],tEditais[Edital],0)),"Não")</f>
        <v>Sim</v>
      </c>
      <c r="P7457" s="4">
        <f>IF(COUNTIFS(INDEX(tItens[Edital],1):tItens[[#This Row],[Edital]],tItens[[#This Row],[Edital]],INDEX(tItens[Produto],1):tItens[[#This Row],[Produto]],tItens[[#This Row],[Produto]])=1,1,0)</f>
        <v>0</v>
      </c>
    </row>
    <row r="7458" spans="1:16" x14ac:dyDescent="0.25">
      <c r="A7458" t="s">
        <v>2468</v>
      </c>
      <c r="B7458">
        <v>916</v>
      </c>
      <c r="C7458" t="s">
        <v>10072</v>
      </c>
      <c r="D7458" t="s">
        <v>461</v>
      </c>
      <c r="E7458" s="13">
        <v>1</v>
      </c>
      <c r="F7458" s="12">
        <v>3.26</v>
      </c>
      <c r="G7458" t="str">
        <f>IFERROR(INDEX(tEditais[Órgão],MATCH(tItens[[#This Row],[Edital]],tEditais[Edital],0)),"")</f>
        <v>CIMCERO - CONSORCIO INTERMUNICIPAL DA REGIAO CENTRO LESTE DO ESTADO DE RONDONIA</v>
      </c>
      <c r="H7458" t="str">
        <f>IFERROR(INDEX(tEditais[UF],MATCH(tItens[[#This Row],[Edital]],tEditais[Edital],0)),"")</f>
        <v>RO</v>
      </c>
      <c r="I7458" s="11">
        <f>IFERROR(INDEX(tEditais[Encerramento],MATCH(tItens[[#This Row],[Edital]],tEditais[Edital],0)),"")</f>
        <v>46310.729166666664</v>
      </c>
      <c r="J7458" t="str">
        <f>IFERROR(INDEX(tProdutos[Classe],MATCH(tItens[[#This Row],[Produto]],tProdutos[Produto],0)),"produto não cadastrado")</f>
        <v>FILA REBASE</v>
      </c>
      <c r="K7458" s="12">
        <f>tItens[[#This Row],[Qtd]]*tItens[[#This Row],[Vlr unit]]</f>
        <v>3.26</v>
      </c>
      <c r="L7458" s="6">
        <f>IFERROR(IF(INDEX(tProdutos[Desconto homologado],MATCH(tItens[[#This Row],[Produto]],tProdutos[Produto],0))="",DescontoPadrao,INDEX(tProdutos[Desconto homologado],MATCH(tItens[[#This Row],[Produto]],tProdutos[Produto],0))),DescontoPadrao)</f>
        <v>0.44096385542168698</v>
      </c>
      <c r="M7458" s="12">
        <f>tItens[[#This Row],[Valor]]*(1-tItens[[#This Row],[Desconto]])</f>
        <v>1.8224578313253001</v>
      </c>
      <c r="N7458" t="str">
        <f>IFERROR(INDEX(tProdutos[Foco],MATCH(tItens[[#This Row],[Produto]],tProdutos[Produto],0)),"Não")</f>
        <v>Não</v>
      </c>
      <c r="O7458" t="str">
        <f>IFERROR(INDEX(tEditais[SRP],MATCH(tItens[[#This Row],[Edital]],tEditais[Edital],0)),"Não")</f>
        <v>Sim</v>
      </c>
      <c r="P7458" s="4">
        <f>IF(COUNTIFS(INDEX(tItens[Edital],1):tItens[[#This Row],[Edital]],tItens[[#This Row],[Edital]],INDEX(tItens[Produto],1):tItens[[#This Row],[Produto]],tItens[[#This Row],[Produto]])=1,1,0)</f>
        <v>0</v>
      </c>
    </row>
    <row r="7459" spans="1:16" x14ac:dyDescent="0.25">
      <c r="A7459" t="s">
        <v>2468</v>
      </c>
      <c r="B7459">
        <v>917</v>
      </c>
      <c r="C7459" t="s">
        <v>10073</v>
      </c>
      <c r="D7459" t="s">
        <v>375</v>
      </c>
      <c r="E7459" s="13">
        <v>1</v>
      </c>
      <c r="F7459" s="12">
        <v>299</v>
      </c>
      <c r="G7459" t="str">
        <f>IFERROR(INDEX(tEditais[Órgão],MATCH(tItens[[#This Row],[Edital]],tEditais[Edital],0)),"")</f>
        <v>CIMCERO - CONSORCIO INTERMUNICIPAL DA REGIAO CENTRO LESTE DO ESTADO DE RONDONIA</v>
      </c>
      <c r="H7459" t="str">
        <f>IFERROR(INDEX(tEditais[UF],MATCH(tItens[[#This Row],[Edital]],tEditais[Edital],0)),"")</f>
        <v>RO</v>
      </c>
      <c r="I7459" s="11">
        <f>IFERROR(INDEX(tEditais[Encerramento],MATCH(tItens[[#This Row],[Edital]],tEditais[Edital],0)),"")</f>
        <v>46310.729166666664</v>
      </c>
      <c r="J7459" t="str">
        <f>IFERROR(INDEX(tProdutos[Classe],MATCH(tItens[[#This Row],[Produto]],tProdutos[Produto],0)),"produto não cadastrado")</f>
        <v>FORA</v>
      </c>
      <c r="K7459" s="12">
        <f>tItens[[#This Row],[Qtd]]*tItens[[#This Row],[Vlr unit]]</f>
        <v>299</v>
      </c>
      <c r="L7459" s="6">
        <f>IFERROR(IF(INDEX(tProdutos[Desconto homologado],MATCH(tItens[[#This Row],[Produto]],tProdutos[Produto],0))="",DescontoPadrao,INDEX(tProdutos[Desconto homologado],MATCH(tItens[[#This Row],[Produto]],tProdutos[Produto],0))),DescontoPadrao)</f>
        <v>0.25005895299481201</v>
      </c>
      <c r="M7459" s="12">
        <f>tItens[[#This Row],[Valor]]*(1-tItens[[#This Row],[Desconto]])</f>
        <v>224.2323730545512</v>
      </c>
      <c r="N7459" t="str">
        <f>IFERROR(INDEX(tProdutos[Foco],MATCH(tItens[[#This Row],[Produto]],tProdutos[Produto],0)),"Não")</f>
        <v>Não</v>
      </c>
      <c r="O7459" t="str">
        <f>IFERROR(INDEX(tEditais[SRP],MATCH(tItens[[#This Row],[Edital]],tEditais[Edital],0)),"Não")</f>
        <v>Sim</v>
      </c>
      <c r="P7459" s="4">
        <f>IF(COUNTIFS(INDEX(tItens[Edital],1):tItens[[#This Row],[Edital]],tItens[[#This Row],[Edital]],INDEX(tItens[Produto],1):tItens[[#This Row],[Produto]],tItens[[#This Row],[Produto]])=1,1,0)</f>
        <v>0</v>
      </c>
    </row>
    <row r="7460" spans="1:16" x14ac:dyDescent="0.25">
      <c r="A7460" t="s">
        <v>2468</v>
      </c>
      <c r="B7460">
        <v>927</v>
      </c>
      <c r="C7460" t="s">
        <v>4208</v>
      </c>
      <c r="D7460" t="s">
        <v>56</v>
      </c>
      <c r="E7460" s="13">
        <v>1</v>
      </c>
      <c r="F7460" s="12">
        <v>25.14</v>
      </c>
      <c r="G7460" t="str">
        <f>IFERROR(INDEX(tEditais[Órgão],MATCH(tItens[[#This Row],[Edital]],tEditais[Edital],0)),"")</f>
        <v>CIMCERO - CONSORCIO INTERMUNICIPAL DA REGIAO CENTRO LESTE DO ESTADO DE RONDONIA</v>
      </c>
      <c r="H7460" t="str">
        <f>IFERROR(INDEX(tEditais[UF],MATCH(tItens[[#This Row],[Edital]],tEditais[Edital],0)),"")</f>
        <v>RO</v>
      </c>
      <c r="I7460" s="11">
        <f>IFERROR(INDEX(tEditais[Encerramento],MATCH(tItens[[#This Row],[Edital]],tEditais[Edital],0)),"")</f>
        <v>46310.729166666664</v>
      </c>
      <c r="J7460" t="str">
        <f>IFERROR(INDEX(tProdutos[Classe],MATCH(tItens[[#This Row],[Produto]],tProdutos[Produto],0)),"produto não cadastrado")</f>
        <v>NÚCLEO</v>
      </c>
      <c r="K7460" s="12">
        <f>tItens[[#This Row],[Qtd]]*tItens[[#This Row],[Vlr unit]]</f>
        <v>25.14</v>
      </c>
      <c r="L7460" s="6">
        <f>IFERROR(IF(INDEX(tProdutos[Desconto homologado],MATCH(tItens[[#This Row],[Produto]],tProdutos[Produto],0))="",DescontoPadrao,INDEX(tProdutos[Desconto homologado],MATCH(tItens[[#This Row],[Produto]],tProdutos[Produto],0))),DescontoPadrao)</f>
        <v>0.34</v>
      </c>
      <c r="M7460" s="12">
        <f>tItens[[#This Row],[Valor]]*(1-tItens[[#This Row],[Desconto]])</f>
        <v>16.592399999999998</v>
      </c>
      <c r="N7460" t="str">
        <f>IFERROR(INDEX(tProdutos[Foco],MATCH(tItens[[#This Row],[Produto]],tProdutos[Produto],0)),"Não")</f>
        <v>Sim</v>
      </c>
      <c r="O7460" t="str">
        <f>IFERROR(INDEX(tEditais[SRP],MATCH(tItens[[#This Row],[Edital]],tEditais[Edital],0)),"Não")</f>
        <v>Sim</v>
      </c>
      <c r="P7460" s="4">
        <f>IF(COUNTIFS(INDEX(tItens[Edital],1):tItens[[#This Row],[Edital]],tItens[[#This Row],[Edital]],INDEX(tItens[Produto],1):tItens[[#This Row],[Produto]],tItens[[#This Row],[Produto]])=1,1,0)</f>
        <v>0</v>
      </c>
    </row>
    <row r="7461" spans="1:16" x14ac:dyDescent="0.25">
      <c r="A7461" t="s">
        <v>2468</v>
      </c>
      <c r="B7461">
        <v>928</v>
      </c>
      <c r="C7461" t="s">
        <v>3486</v>
      </c>
      <c r="D7461" t="s">
        <v>56</v>
      </c>
      <c r="E7461" s="13">
        <v>1</v>
      </c>
      <c r="F7461" s="12">
        <v>31.04</v>
      </c>
      <c r="G7461" t="str">
        <f>IFERROR(INDEX(tEditais[Órgão],MATCH(tItens[[#This Row],[Edital]],tEditais[Edital],0)),"")</f>
        <v>CIMCERO - CONSORCIO INTERMUNICIPAL DA REGIAO CENTRO LESTE DO ESTADO DE RONDONIA</v>
      </c>
      <c r="H7461" t="str">
        <f>IFERROR(INDEX(tEditais[UF],MATCH(tItens[[#This Row],[Edital]],tEditais[Edital],0)),"")</f>
        <v>RO</v>
      </c>
      <c r="I7461" s="11">
        <f>IFERROR(INDEX(tEditais[Encerramento],MATCH(tItens[[#This Row],[Edital]],tEditais[Edital],0)),"")</f>
        <v>46310.729166666664</v>
      </c>
      <c r="J7461" t="str">
        <f>IFERROR(INDEX(tProdutos[Classe],MATCH(tItens[[#This Row],[Produto]],tProdutos[Produto],0)),"produto não cadastrado")</f>
        <v>NÚCLEO</v>
      </c>
      <c r="K7461" s="12">
        <f>tItens[[#This Row],[Qtd]]*tItens[[#This Row],[Vlr unit]]</f>
        <v>31.04</v>
      </c>
      <c r="L7461" s="6">
        <f>IFERROR(IF(INDEX(tProdutos[Desconto homologado],MATCH(tItens[[#This Row],[Produto]],tProdutos[Produto],0))="",DescontoPadrao,INDEX(tProdutos[Desconto homologado],MATCH(tItens[[#This Row],[Produto]],tProdutos[Produto],0))),DescontoPadrao)</f>
        <v>0.34</v>
      </c>
      <c r="M7461" s="12">
        <f>tItens[[#This Row],[Valor]]*(1-tItens[[#This Row],[Desconto]])</f>
        <v>20.486399999999996</v>
      </c>
      <c r="N7461" t="str">
        <f>IFERROR(INDEX(tProdutos[Foco],MATCH(tItens[[#This Row],[Produto]],tProdutos[Produto],0)),"Não")</f>
        <v>Sim</v>
      </c>
      <c r="O7461" t="str">
        <f>IFERROR(INDEX(tEditais[SRP],MATCH(tItens[[#This Row],[Edital]],tEditais[Edital],0)),"Não")</f>
        <v>Sim</v>
      </c>
      <c r="P7461" s="4">
        <f>IF(COUNTIFS(INDEX(tItens[Edital],1):tItens[[#This Row],[Edital]],tItens[[#This Row],[Edital]],INDEX(tItens[Produto],1):tItens[[#This Row],[Produto]],tItens[[#This Row],[Produto]])=1,1,0)</f>
        <v>0</v>
      </c>
    </row>
    <row r="7462" spans="1:16" x14ac:dyDescent="0.25">
      <c r="A7462" t="s">
        <v>2468</v>
      </c>
      <c r="B7462">
        <v>929</v>
      </c>
      <c r="C7462" t="s">
        <v>7765</v>
      </c>
      <c r="D7462" t="s">
        <v>56</v>
      </c>
      <c r="E7462" s="13">
        <v>1</v>
      </c>
      <c r="F7462" s="12">
        <v>18.66</v>
      </c>
      <c r="G7462" t="str">
        <f>IFERROR(INDEX(tEditais[Órgão],MATCH(tItens[[#This Row],[Edital]],tEditais[Edital],0)),"")</f>
        <v>CIMCERO - CONSORCIO INTERMUNICIPAL DA REGIAO CENTRO LESTE DO ESTADO DE RONDONIA</v>
      </c>
      <c r="H7462" t="str">
        <f>IFERROR(INDEX(tEditais[UF],MATCH(tItens[[#This Row],[Edital]],tEditais[Edital],0)),"")</f>
        <v>RO</v>
      </c>
      <c r="I7462" s="11">
        <f>IFERROR(INDEX(tEditais[Encerramento],MATCH(tItens[[#This Row],[Edital]],tEditais[Edital],0)),"")</f>
        <v>46310.729166666664</v>
      </c>
      <c r="J7462" t="str">
        <f>IFERROR(INDEX(tProdutos[Classe],MATCH(tItens[[#This Row],[Produto]],tProdutos[Produto],0)),"produto não cadastrado")</f>
        <v>NÚCLEO</v>
      </c>
      <c r="K7462" s="12">
        <f>tItens[[#This Row],[Qtd]]*tItens[[#This Row],[Vlr unit]]</f>
        <v>18.66</v>
      </c>
      <c r="L7462" s="6">
        <f>IFERROR(IF(INDEX(tProdutos[Desconto homologado],MATCH(tItens[[#This Row],[Produto]],tProdutos[Produto],0))="",DescontoPadrao,INDEX(tProdutos[Desconto homologado],MATCH(tItens[[#This Row],[Produto]],tProdutos[Produto],0))),DescontoPadrao)</f>
        <v>0.34</v>
      </c>
      <c r="M7462" s="12">
        <f>tItens[[#This Row],[Valor]]*(1-tItens[[#This Row],[Desconto]])</f>
        <v>12.315599999999998</v>
      </c>
      <c r="N7462" t="str">
        <f>IFERROR(INDEX(tProdutos[Foco],MATCH(tItens[[#This Row],[Produto]],tProdutos[Produto],0)),"Não")</f>
        <v>Sim</v>
      </c>
      <c r="O7462" t="str">
        <f>IFERROR(INDEX(tEditais[SRP],MATCH(tItens[[#This Row],[Edital]],tEditais[Edital],0)),"Não")</f>
        <v>Sim</v>
      </c>
      <c r="P7462" s="4">
        <f>IF(COUNTIFS(INDEX(tItens[Edital],1):tItens[[#This Row],[Edital]],tItens[[#This Row],[Edital]],INDEX(tItens[Produto],1):tItens[[#This Row],[Produto]],tItens[[#This Row],[Produto]])=1,1,0)</f>
        <v>0</v>
      </c>
    </row>
    <row r="7463" spans="1:16" x14ac:dyDescent="0.25">
      <c r="A7463" t="s">
        <v>2468</v>
      </c>
      <c r="B7463">
        <v>930</v>
      </c>
      <c r="C7463" t="s">
        <v>3487</v>
      </c>
      <c r="D7463" t="s">
        <v>56</v>
      </c>
      <c r="E7463" s="13">
        <v>1</v>
      </c>
      <c r="F7463" s="12">
        <v>21.38</v>
      </c>
      <c r="G7463" t="str">
        <f>IFERROR(INDEX(tEditais[Órgão],MATCH(tItens[[#This Row],[Edital]],tEditais[Edital],0)),"")</f>
        <v>CIMCERO - CONSORCIO INTERMUNICIPAL DA REGIAO CENTRO LESTE DO ESTADO DE RONDONIA</v>
      </c>
      <c r="H7463" t="str">
        <f>IFERROR(INDEX(tEditais[UF],MATCH(tItens[[#This Row],[Edital]],tEditais[Edital],0)),"")</f>
        <v>RO</v>
      </c>
      <c r="I7463" s="11">
        <f>IFERROR(INDEX(tEditais[Encerramento],MATCH(tItens[[#This Row],[Edital]],tEditais[Edital],0)),"")</f>
        <v>46310.729166666664</v>
      </c>
      <c r="J7463" t="str">
        <f>IFERROR(INDEX(tProdutos[Classe],MATCH(tItens[[#This Row],[Produto]],tProdutos[Produto],0)),"produto não cadastrado")</f>
        <v>NÚCLEO</v>
      </c>
      <c r="K7463" s="12">
        <f>tItens[[#This Row],[Qtd]]*tItens[[#This Row],[Vlr unit]]</f>
        <v>21.38</v>
      </c>
      <c r="L7463" s="6">
        <f>IFERROR(IF(INDEX(tProdutos[Desconto homologado],MATCH(tItens[[#This Row],[Produto]],tProdutos[Produto],0))="",DescontoPadrao,INDEX(tProdutos[Desconto homologado],MATCH(tItens[[#This Row],[Produto]],tProdutos[Produto],0))),DescontoPadrao)</f>
        <v>0.34</v>
      </c>
      <c r="M7463" s="12">
        <f>tItens[[#This Row],[Valor]]*(1-tItens[[#This Row],[Desconto]])</f>
        <v>14.110799999999998</v>
      </c>
      <c r="N7463" t="str">
        <f>IFERROR(INDEX(tProdutos[Foco],MATCH(tItens[[#This Row],[Produto]],tProdutos[Produto],0)),"Não")</f>
        <v>Sim</v>
      </c>
      <c r="O7463" t="str">
        <f>IFERROR(INDEX(tEditais[SRP],MATCH(tItens[[#This Row],[Edital]],tEditais[Edital],0)),"Não")</f>
        <v>Sim</v>
      </c>
      <c r="P7463" s="4">
        <f>IF(COUNTIFS(INDEX(tItens[Edital],1):tItens[[#This Row],[Edital]],tItens[[#This Row],[Edital]],INDEX(tItens[Produto],1):tItens[[#This Row],[Produto]],tItens[[#This Row],[Produto]])=1,1,0)</f>
        <v>0</v>
      </c>
    </row>
    <row r="7464" spans="1:16" x14ac:dyDescent="0.25">
      <c r="A7464" t="s">
        <v>2468</v>
      </c>
      <c r="B7464">
        <v>932</v>
      </c>
      <c r="C7464" t="s">
        <v>10074</v>
      </c>
      <c r="D7464" t="s">
        <v>413</v>
      </c>
      <c r="E7464" s="13">
        <v>1</v>
      </c>
      <c r="F7464" s="12">
        <v>5.57</v>
      </c>
      <c r="G7464" t="str">
        <f>IFERROR(INDEX(tEditais[Órgão],MATCH(tItens[[#This Row],[Edital]],tEditais[Edital],0)),"")</f>
        <v>CIMCERO - CONSORCIO INTERMUNICIPAL DA REGIAO CENTRO LESTE DO ESTADO DE RONDONIA</v>
      </c>
      <c r="H7464" t="str">
        <f>IFERROR(INDEX(tEditais[UF],MATCH(tItens[[#This Row],[Edital]],tEditais[Edital],0)),"")</f>
        <v>RO</v>
      </c>
      <c r="I7464" s="11">
        <f>IFERROR(INDEX(tEditais[Encerramento],MATCH(tItens[[#This Row],[Edital]],tEditais[Edital],0)),"")</f>
        <v>46310.729166666664</v>
      </c>
      <c r="J7464" t="str">
        <f>IFERROR(INDEX(tProdutos[Classe],MATCH(tItens[[#This Row],[Produto]],tProdutos[Produto],0)),"produto não cadastrado")</f>
        <v>FORA</v>
      </c>
      <c r="K7464" s="12">
        <f>tItens[[#This Row],[Qtd]]*tItens[[#This Row],[Vlr unit]]</f>
        <v>5.57</v>
      </c>
      <c r="L7464" s="6">
        <f>IFERROR(IF(INDEX(tProdutos[Desconto homologado],MATCH(tItens[[#This Row],[Produto]],tProdutos[Produto],0))="",DescontoPadrao,INDEX(tProdutos[Desconto homologado],MATCH(tItens[[#This Row],[Produto]],tProdutos[Produto],0))),DescontoPadrao)</f>
        <v>0.477732793522267</v>
      </c>
      <c r="M7464" s="12">
        <f>tItens[[#This Row],[Valor]]*(1-tItens[[#This Row],[Desconto]])</f>
        <v>2.9090283400809729</v>
      </c>
      <c r="N7464" t="str">
        <f>IFERROR(INDEX(tProdutos[Foco],MATCH(tItens[[#This Row],[Produto]],tProdutos[Produto],0)),"Não")</f>
        <v>Não</v>
      </c>
      <c r="O7464" t="str">
        <f>IFERROR(INDEX(tEditais[SRP],MATCH(tItens[[#This Row],[Edital]],tEditais[Edital],0)),"Não")</f>
        <v>Sim</v>
      </c>
      <c r="P7464" s="4">
        <f>IF(COUNTIFS(INDEX(tItens[Edital],1):tItens[[#This Row],[Edital]],tItens[[#This Row],[Edital]],INDEX(tItens[Produto],1):tItens[[#This Row],[Produto]],tItens[[#This Row],[Produto]])=1,1,0)</f>
        <v>0</v>
      </c>
    </row>
    <row r="7465" spans="1:16" x14ac:dyDescent="0.25">
      <c r="A7465" t="s">
        <v>2468</v>
      </c>
      <c r="B7465">
        <v>933</v>
      </c>
      <c r="C7465" t="s">
        <v>8591</v>
      </c>
      <c r="D7465" t="s">
        <v>413</v>
      </c>
      <c r="E7465" s="13">
        <v>1</v>
      </c>
      <c r="F7465" s="12">
        <v>3.35</v>
      </c>
      <c r="G7465" t="str">
        <f>IFERROR(INDEX(tEditais[Órgão],MATCH(tItens[[#This Row],[Edital]],tEditais[Edital],0)),"")</f>
        <v>CIMCERO - CONSORCIO INTERMUNICIPAL DA REGIAO CENTRO LESTE DO ESTADO DE RONDONIA</v>
      </c>
      <c r="H7465" t="str">
        <f>IFERROR(INDEX(tEditais[UF],MATCH(tItens[[#This Row],[Edital]],tEditais[Edital],0)),"")</f>
        <v>RO</v>
      </c>
      <c r="I7465" s="11">
        <f>IFERROR(INDEX(tEditais[Encerramento],MATCH(tItens[[#This Row],[Edital]],tEditais[Edital],0)),"")</f>
        <v>46310.729166666664</v>
      </c>
      <c r="J7465" t="str">
        <f>IFERROR(INDEX(tProdutos[Classe],MATCH(tItens[[#This Row],[Produto]],tProdutos[Produto],0)),"produto não cadastrado")</f>
        <v>FORA</v>
      </c>
      <c r="K7465" s="12">
        <f>tItens[[#This Row],[Qtd]]*tItens[[#This Row],[Vlr unit]]</f>
        <v>3.35</v>
      </c>
      <c r="L7465" s="6">
        <f>IFERROR(IF(INDEX(tProdutos[Desconto homologado],MATCH(tItens[[#This Row],[Produto]],tProdutos[Produto],0))="",DescontoPadrao,INDEX(tProdutos[Desconto homologado],MATCH(tItens[[#This Row],[Produto]],tProdutos[Produto],0))),DescontoPadrao)</f>
        <v>0.477732793522267</v>
      </c>
      <c r="M7465" s="12">
        <f>tItens[[#This Row],[Valor]]*(1-tItens[[#This Row],[Desconto]])</f>
        <v>1.7495951417004054</v>
      </c>
      <c r="N7465" t="str">
        <f>IFERROR(INDEX(tProdutos[Foco],MATCH(tItens[[#This Row],[Produto]],tProdutos[Produto],0)),"Não")</f>
        <v>Não</v>
      </c>
      <c r="O7465" t="str">
        <f>IFERROR(INDEX(tEditais[SRP],MATCH(tItens[[#This Row],[Edital]],tEditais[Edital],0)),"Não")</f>
        <v>Sim</v>
      </c>
      <c r="P7465" s="4">
        <f>IF(COUNTIFS(INDEX(tItens[Edital],1):tItens[[#This Row],[Edital]],tItens[[#This Row],[Edital]],INDEX(tItens[Produto],1):tItens[[#This Row],[Produto]],tItens[[#This Row],[Produto]])=1,1,0)</f>
        <v>0</v>
      </c>
    </row>
    <row r="7466" spans="1:16" x14ac:dyDescent="0.25">
      <c r="A7466" t="s">
        <v>2468</v>
      </c>
      <c r="B7466">
        <v>934</v>
      </c>
      <c r="C7466" t="s">
        <v>7235</v>
      </c>
      <c r="D7466" t="s">
        <v>413</v>
      </c>
      <c r="E7466" s="13">
        <v>1</v>
      </c>
      <c r="F7466" s="12">
        <v>10.69</v>
      </c>
      <c r="G7466" t="str">
        <f>IFERROR(INDEX(tEditais[Órgão],MATCH(tItens[[#This Row],[Edital]],tEditais[Edital],0)),"")</f>
        <v>CIMCERO - CONSORCIO INTERMUNICIPAL DA REGIAO CENTRO LESTE DO ESTADO DE RONDONIA</v>
      </c>
      <c r="H7466" t="str">
        <f>IFERROR(INDEX(tEditais[UF],MATCH(tItens[[#This Row],[Edital]],tEditais[Edital],0)),"")</f>
        <v>RO</v>
      </c>
      <c r="I7466" s="11">
        <f>IFERROR(INDEX(tEditais[Encerramento],MATCH(tItens[[#This Row],[Edital]],tEditais[Edital],0)),"")</f>
        <v>46310.729166666664</v>
      </c>
      <c r="J7466" t="str">
        <f>IFERROR(INDEX(tProdutos[Classe],MATCH(tItens[[#This Row],[Produto]],tProdutos[Produto],0)),"produto não cadastrado")</f>
        <v>FORA</v>
      </c>
      <c r="K7466" s="12">
        <f>tItens[[#This Row],[Qtd]]*tItens[[#This Row],[Vlr unit]]</f>
        <v>10.69</v>
      </c>
      <c r="L7466" s="6">
        <f>IFERROR(IF(INDEX(tProdutos[Desconto homologado],MATCH(tItens[[#This Row],[Produto]],tProdutos[Produto],0))="",DescontoPadrao,INDEX(tProdutos[Desconto homologado],MATCH(tItens[[#This Row],[Produto]],tProdutos[Produto],0))),DescontoPadrao)</f>
        <v>0.477732793522267</v>
      </c>
      <c r="M7466" s="12">
        <f>tItens[[#This Row],[Valor]]*(1-tItens[[#This Row],[Desconto]])</f>
        <v>5.5830364372469647</v>
      </c>
      <c r="N7466" t="str">
        <f>IFERROR(INDEX(tProdutos[Foco],MATCH(tItens[[#This Row],[Produto]],tProdutos[Produto],0)),"Não")</f>
        <v>Não</v>
      </c>
      <c r="O7466" t="str">
        <f>IFERROR(INDEX(tEditais[SRP],MATCH(tItens[[#This Row],[Edital]],tEditais[Edital],0)),"Não")</f>
        <v>Sim</v>
      </c>
      <c r="P7466" s="4">
        <f>IF(COUNTIFS(INDEX(tItens[Edital],1):tItens[[#This Row],[Edital]],tItens[[#This Row],[Edital]],INDEX(tItens[Produto],1):tItens[[#This Row],[Produto]],tItens[[#This Row],[Produto]])=1,1,0)</f>
        <v>0</v>
      </c>
    </row>
    <row r="7467" spans="1:16" x14ac:dyDescent="0.25">
      <c r="A7467" t="s">
        <v>2468</v>
      </c>
      <c r="B7467">
        <v>935</v>
      </c>
      <c r="C7467" t="s">
        <v>10075</v>
      </c>
      <c r="D7467" t="s">
        <v>413</v>
      </c>
      <c r="E7467" s="13">
        <v>1</v>
      </c>
      <c r="F7467" s="12">
        <v>5.78</v>
      </c>
      <c r="G7467" t="str">
        <f>IFERROR(INDEX(tEditais[Órgão],MATCH(tItens[[#This Row],[Edital]],tEditais[Edital],0)),"")</f>
        <v>CIMCERO - CONSORCIO INTERMUNICIPAL DA REGIAO CENTRO LESTE DO ESTADO DE RONDONIA</v>
      </c>
      <c r="H7467" t="str">
        <f>IFERROR(INDEX(tEditais[UF],MATCH(tItens[[#This Row],[Edital]],tEditais[Edital],0)),"")</f>
        <v>RO</v>
      </c>
      <c r="I7467" s="11">
        <f>IFERROR(INDEX(tEditais[Encerramento],MATCH(tItens[[#This Row],[Edital]],tEditais[Edital],0)),"")</f>
        <v>46310.729166666664</v>
      </c>
      <c r="J7467" t="str">
        <f>IFERROR(INDEX(tProdutos[Classe],MATCH(tItens[[#This Row],[Produto]],tProdutos[Produto],0)),"produto não cadastrado")</f>
        <v>FORA</v>
      </c>
      <c r="K7467" s="12">
        <f>tItens[[#This Row],[Qtd]]*tItens[[#This Row],[Vlr unit]]</f>
        <v>5.78</v>
      </c>
      <c r="L7467" s="6">
        <f>IFERROR(IF(INDEX(tProdutos[Desconto homologado],MATCH(tItens[[#This Row],[Produto]],tProdutos[Produto],0))="",DescontoPadrao,INDEX(tProdutos[Desconto homologado],MATCH(tItens[[#This Row],[Produto]],tProdutos[Produto],0))),DescontoPadrao)</f>
        <v>0.477732793522267</v>
      </c>
      <c r="M7467" s="12">
        <f>tItens[[#This Row],[Valor]]*(1-tItens[[#This Row],[Desconto]])</f>
        <v>3.0187044534412966</v>
      </c>
      <c r="N7467" t="str">
        <f>IFERROR(INDEX(tProdutos[Foco],MATCH(tItens[[#This Row],[Produto]],tProdutos[Produto],0)),"Não")</f>
        <v>Não</v>
      </c>
      <c r="O7467" t="str">
        <f>IFERROR(INDEX(tEditais[SRP],MATCH(tItens[[#This Row],[Edital]],tEditais[Edital],0)),"Não")</f>
        <v>Sim</v>
      </c>
      <c r="P7467" s="4">
        <f>IF(COUNTIFS(INDEX(tItens[Edital],1):tItens[[#This Row],[Edital]],tItens[[#This Row],[Edital]],INDEX(tItens[Produto],1):tItens[[#This Row],[Produto]],tItens[[#This Row],[Produto]])=1,1,0)</f>
        <v>0</v>
      </c>
    </row>
    <row r="7468" spans="1:16" x14ac:dyDescent="0.25">
      <c r="A7468" t="s">
        <v>2468</v>
      </c>
      <c r="B7468">
        <v>936</v>
      </c>
      <c r="C7468" t="s">
        <v>4161</v>
      </c>
      <c r="D7468" t="s">
        <v>413</v>
      </c>
      <c r="E7468" s="13">
        <v>1</v>
      </c>
      <c r="F7468" s="12">
        <v>1.55</v>
      </c>
      <c r="G7468" t="str">
        <f>IFERROR(INDEX(tEditais[Órgão],MATCH(tItens[[#This Row],[Edital]],tEditais[Edital],0)),"")</f>
        <v>CIMCERO - CONSORCIO INTERMUNICIPAL DA REGIAO CENTRO LESTE DO ESTADO DE RONDONIA</v>
      </c>
      <c r="H7468" t="str">
        <f>IFERROR(INDEX(tEditais[UF],MATCH(tItens[[#This Row],[Edital]],tEditais[Edital],0)),"")</f>
        <v>RO</v>
      </c>
      <c r="I7468" s="11">
        <f>IFERROR(INDEX(tEditais[Encerramento],MATCH(tItens[[#This Row],[Edital]],tEditais[Edital],0)),"")</f>
        <v>46310.729166666664</v>
      </c>
      <c r="J7468" t="str">
        <f>IFERROR(INDEX(tProdutos[Classe],MATCH(tItens[[#This Row],[Produto]],tProdutos[Produto],0)),"produto não cadastrado")</f>
        <v>FORA</v>
      </c>
      <c r="K7468" s="12">
        <f>tItens[[#This Row],[Qtd]]*tItens[[#This Row],[Vlr unit]]</f>
        <v>1.55</v>
      </c>
      <c r="L7468" s="6">
        <f>IFERROR(IF(INDEX(tProdutos[Desconto homologado],MATCH(tItens[[#This Row],[Produto]],tProdutos[Produto],0))="",DescontoPadrao,INDEX(tProdutos[Desconto homologado],MATCH(tItens[[#This Row],[Produto]],tProdutos[Produto],0))),DescontoPadrao)</f>
        <v>0.477732793522267</v>
      </c>
      <c r="M7468" s="12">
        <f>tItens[[#This Row],[Valor]]*(1-tItens[[#This Row],[Desconto]])</f>
        <v>0.80951417004048609</v>
      </c>
      <c r="N7468" t="str">
        <f>IFERROR(INDEX(tProdutos[Foco],MATCH(tItens[[#This Row],[Produto]],tProdutos[Produto],0)),"Não")</f>
        <v>Não</v>
      </c>
      <c r="O7468" t="str">
        <f>IFERROR(INDEX(tEditais[SRP],MATCH(tItens[[#This Row],[Edital]],tEditais[Edital],0)),"Não")</f>
        <v>Sim</v>
      </c>
      <c r="P7468" s="4">
        <f>IF(COUNTIFS(INDEX(tItens[Edital],1):tItens[[#This Row],[Edital]],tItens[[#This Row],[Edital]],INDEX(tItens[Produto],1):tItens[[#This Row],[Produto]],tItens[[#This Row],[Produto]])=1,1,0)</f>
        <v>0</v>
      </c>
    </row>
    <row r="7469" spans="1:16" x14ac:dyDescent="0.25">
      <c r="A7469" t="s">
        <v>2468</v>
      </c>
      <c r="B7469">
        <v>942</v>
      </c>
      <c r="C7469" t="s">
        <v>9908</v>
      </c>
      <c r="D7469" t="s">
        <v>399</v>
      </c>
      <c r="E7469" s="13">
        <v>1</v>
      </c>
      <c r="F7469" s="12">
        <v>16.89</v>
      </c>
      <c r="G7469" t="str">
        <f>IFERROR(INDEX(tEditais[Órgão],MATCH(tItens[[#This Row],[Edital]],tEditais[Edital],0)),"")</f>
        <v>CIMCERO - CONSORCIO INTERMUNICIPAL DA REGIAO CENTRO LESTE DO ESTADO DE RONDONIA</v>
      </c>
      <c r="H7469" t="str">
        <f>IFERROR(INDEX(tEditais[UF],MATCH(tItens[[#This Row],[Edital]],tEditais[Edital],0)),"")</f>
        <v>RO</v>
      </c>
      <c r="I7469" s="11">
        <f>IFERROR(INDEX(tEditais[Encerramento],MATCH(tItens[[#This Row],[Edital]],tEditais[Edital],0)),"")</f>
        <v>46310.729166666664</v>
      </c>
      <c r="J7469" t="str">
        <f>IFERROR(INDEX(tProdutos[Classe],MATCH(tItens[[#This Row],[Produto]],tProdutos[Produto],0)),"produto não cadastrado")</f>
        <v>FORA</v>
      </c>
      <c r="K7469" s="12">
        <f>tItens[[#This Row],[Qtd]]*tItens[[#This Row],[Vlr unit]]</f>
        <v>16.89</v>
      </c>
      <c r="L7469" s="6">
        <f>IFERROR(IF(INDEX(tProdutos[Desconto homologado],MATCH(tItens[[#This Row],[Produto]],tProdutos[Produto],0))="",DescontoPadrao,INDEX(tProdutos[Desconto homologado],MATCH(tItens[[#This Row],[Produto]],tProdutos[Produto],0))),DescontoPadrao)</f>
        <v>0.30009041591320101</v>
      </c>
      <c r="M7469" s="12">
        <f>tItens[[#This Row],[Valor]]*(1-tItens[[#This Row],[Desconto]])</f>
        <v>11.821472875226036</v>
      </c>
      <c r="N7469" t="str">
        <f>IFERROR(INDEX(tProdutos[Foco],MATCH(tItens[[#This Row],[Produto]],tProdutos[Produto],0)),"Não")</f>
        <v>Não</v>
      </c>
      <c r="O7469" t="str">
        <f>IFERROR(INDEX(tEditais[SRP],MATCH(tItens[[#This Row],[Edital]],tEditais[Edital],0)),"Não")</f>
        <v>Sim</v>
      </c>
      <c r="P7469" s="4">
        <f>IF(COUNTIFS(INDEX(tItens[Edital],1):tItens[[#This Row],[Edital]],tItens[[#This Row],[Edital]],INDEX(tItens[Produto],1):tItens[[#This Row],[Produto]],tItens[[#This Row],[Produto]])=1,1,0)</f>
        <v>0</v>
      </c>
    </row>
    <row r="7470" spans="1:16" x14ac:dyDescent="0.25">
      <c r="A7470" t="s">
        <v>2468</v>
      </c>
      <c r="B7470">
        <v>961</v>
      </c>
      <c r="C7470" t="s">
        <v>10076</v>
      </c>
      <c r="D7470" t="s">
        <v>407</v>
      </c>
      <c r="E7470" s="13">
        <v>1</v>
      </c>
      <c r="F7470" s="12">
        <v>2.89</v>
      </c>
      <c r="G7470" t="str">
        <f>IFERROR(INDEX(tEditais[Órgão],MATCH(tItens[[#This Row],[Edital]],tEditais[Edital],0)),"")</f>
        <v>CIMCERO - CONSORCIO INTERMUNICIPAL DA REGIAO CENTRO LESTE DO ESTADO DE RONDONIA</v>
      </c>
      <c r="H7470" t="str">
        <f>IFERROR(INDEX(tEditais[UF],MATCH(tItens[[#This Row],[Edital]],tEditais[Edital],0)),"")</f>
        <v>RO</v>
      </c>
      <c r="I7470" s="11">
        <f>IFERROR(INDEX(tEditais[Encerramento],MATCH(tItens[[#This Row],[Edital]],tEditais[Edital],0)),"")</f>
        <v>46310.729166666664</v>
      </c>
      <c r="J7470" t="str">
        <f>IFERROR(INDEX(tProdutos[Classe],MATCH(tItens[[#This Row],[Produto]],tProdutos[Produto],0)),"produto não cadastrado")</f>
        <v>FORA</v>
      </c>
      <c r="K7470" s="12">
        <f>tItens[[#This Row],[Qtd]]*tItens[[#This Row],[Vlr unit]]</f>
        <v>2.89</v>
      </c>
      <c r="L7470" s="6">
        <f>IFERROR(IF(INDEX(tProdutos[Desconto homologado],MATCH(tItens[[#This Row],[Produto]],tProdutos[Produto],0))="",DescontoPadrao,INDEX(tProdutos[Desconto homologado],MATCH(tItens[[#This Row],[Produto]],tProdutos[Produto],0))),DescontoPadrao)</f>
        <v>0.31311274509803899</v>
      </c>
      <c r="M7470" s="12">
        <f>tItens[[#This Row],[Valor]]*(1-tItens[[#This Row],[Desconto]])</f>
        <v>1.9851041666666673</v>
      </c>
      <c r="N7470" t="str">
        <f>IFERROR(INDEX(tProdutos[Foco],MATCH(tItens[[#This Row],[Produto]],tProdutos[Produto],0)),"Não")</f>
        <v>Não</v>
      </c>
      <c r="O7470" t="str">
        <f>IFERROR(INDEX(tEditais[SRP],MATCH(tItens[[#This Row],[Edital]],tEditais[Edital],0)),"Não")</f>
        <v>Sim</v>
      </c>
      <c r="P7470" s="4">
        <f>IF(COUNTIFS(INDEX(tItens[Edital],1):tItens[[#This Row],[Edital]],tItens[[#This Row],[Edital]],INDEX(tItens[Produto],1):tItens[[#This Row],[Produto]],tItens[[#This Row],[Produto]])=1,1,0)</f>
        <v>1</v>
      </c>
    </row>
    <row r="7471" spans="1:16" x14ac:dyDescent="0.25">
      <c r="A7471" t="s">
        <v>2468</v>
      </c>
      <c r="B7471">
        <v>963</v>
      </c>
      <c r="C7471" t="s">
        <v>7395</v>
      </c>
      <c r="D7471" t="s">
        <v>69</v>
      </c>
      <c r="E7471" s="13">
        <v>1</v>
      </c>
      <c r="F7471" s="12">
        <v>0.99</v>
      </c>
      <c r="G7471" t="str">
        <f>IFERROR(INDEX(tEditais[Órgão],MATCH(tItens[[#This Row],[Edital]],tEditais[Edital],0)),"")</f>
        <v>CIMCERO - CONSORCIO INTERMUNICIPAL DA REGIAO CENTRO LESTE DO ESTADO DE RONDONIA</v>
      </c>
      <c r="H7471" t="str">
        <f>IFERROR(INDEX(tEditais[UF],MATCH(tItens[[#This Row],[Edital]],tEditais[Edital],0)),"")</f>
        <v>RO</v>
      </c>
      <c r="I7471" s="11">
        <f>IFERROR(INDEX(tEditais[Encerramento],MATCH(tItens[[#This Row],[Edital]],tEditais[Edital],0)),"")</f>
        <v>46310.729166666664</v>
      </c>
      <c r="J7471" t="str">
        <f>IFERROR(INDEX(tProdutos[Classe],MATCH(tItens[[#This Row],[Produto]],tProdutos[Produto],0)),"produto não cadastrado")</f>
        <v>NÚCLEO</v>
      </c>
      <c r="K7471" s="12">
        <f>tItens[[#This Row],[Qtd]]*tItens[[#This Row],[Vlr unit]]</f>
        <v>0.99</v>
      </c>
      <c r="L7471" s="6">
        <f>IFERROR(IF(INDEX(tProdutos[Desconto homologado],MATCH(tItens[[#This Row],[Produto]],tProdutos[Produto],0))="",DescontoPadrao,INDEX(tProdutos[Desconto homologado],MATCH(tItens[[#This Row],[Produto]],tProdutos[Produto],0))),DescontoPadrao)</f>
        <v>0.38829259638568803</v>
      </c>
      <c r="M7471" s="12">
        <f>tItens[[#This Row],[Valor]]*(1-tItens[[#This Row],[Desconto]])</f>
        <v>0.60559032957816883</v>
      </c>
      <c r="N7471" t="str">
        <f>IFERROR(INDEX(tProdutos[Foco],MATCH(tItens[[#This Row],[Produto]],tProdutos[Produto],0)),"Não")</f>
        <v>Não</v>
      </c>
      <c r="O7471" t="str">
        <f>IFERROR(INDEX(tEditais[SRP],MATCH(tItens[[#This Row],[Edital]],tEditais[Edital],0)),"Não")</f>
        <v>Sim</v>
      </c>
      <c r="P7471" s="4">
        <f>IF(COUNTIFS(INDEX(tItens[Edital],1):tItens[[#This Row],[Edital]],tItens[[#This Row],[Edital]],INDEX(tItens[Produto],1):tItens[[#This Row],[Produto]],tItens[[#This Row],[Produto]])=1,1,0)</f>
        <v>0</v>
      </c>
    </row>
    <row r="7472" spans="1:16" x14ac:dyDescent="0.25">
      <c r="A7472" t="s">
        <v>2468</v>
      </c>
      <c r="B7472">
        <v>964</v>
      </c>
      <c r="C7472" t="s">
        <v>4162</v>
      </c>
      <c r="D7472" t="s">
        <v>69</v>
      </c>
      <c r="E7472" s="13">
        <v>1</v>
      </c>
      <c r="F7472" s="12">
        <v>0.96</v>
      </c>
      <c r="G7472" t="str">
        <f>IFERROR(INDEX(tEditais[Órgão],MATCH(tItens[[#This Row],[Edital]],tEditais[Edital],0)),"")</f>
        <v>CIMCERO - CONSORCIO INTERMUNICIPAL DA REGIAO CENTRO LESTE DO ESTADO DE RONDONIA</v>
      </c>
      <c r="H7472" t="str">
        <f>IFERROR(INDEX(tEditais[UF],MATCH(tItens[[#This Row],[Edital]],tEditais[Edital],0)),"")</f>
        <v>RO</v>
      </c>
      <c r="I7472" s="11">
        <f>IFERROR(INDEX(tEditais[Encerramento],MATCH(tItens[[#This Row],[Edital]],tEditais[Edital],0)),"")</f>
        <v>46310.729166666664</v>
      </c>
      <c r="J7472" t="str">
        <f>IFERROR(INDEX(tProdutos[Classe],MATCH(tItens[[#This Row],[Produto]],tProdutos[Produto],0)),"produto não cadastrado")</f>
        <v>NÚCLEO</v>
      </c>
      <c r="K7472" s="12">
        <f>tItens[[#This Row],[Qtd]]*tItens[[#This Row],[Vlr unit]]</f>
        <v>0.96</v>
      </c>
      <c r="L7472" s="6">
        <f>IFERROR(IF(INDEX(tProdutos[Desconto homologado],MATCH(tItens[[#This Row],[Produto]],tProdutos[Produto],0))="",DescontoPadrao,INDEX(tProdutos[Desconto homologado],MATCH(tItens[[#This Row],[Produto]],tProdutos[Produto],0))),DescontoPadrao)</f>
        <v>0.38829259638568803</v>
      </c>
      <c r="M7472" s="12">
        <f>tItens[[#This Row],[Valor]]*(1-tItens[[#This Row],[Desconto]])</f>
        <v>0.58723910746973951</v>
      </c>
      <c r="N7472" t="str">
        <f>IFERROR(INDEX(tProdutos[Foco],MATCH(tItens[[#This Row],[Produto]],tProdutos[Produto],0)),"Não")</f>
        <v>Não</v>
      </c>
      <c r="O7472" t="str">
        <f>IFERROR(INDEX(tEditais[SRP],MATCH(tItens[[#This Row],[Edital]],tEditais[Edital],0)),"Não")</f>
        <v>Sim</v>
      </c>
      <c r="P7472" s="4">
        <f>IF(COUNTIFS(INDEX(tItens[Edital],1):tItens[[#This Row],[Edital]],tItens[[#This Row],[Edital]],INDEX(tItens[Produto],1):tItens[[#This Row],[Produto]],tItens[[#This Row],[Produto]])=1,1,0)</f>
        <v>0</v>
      </c>
    </row>
    <row r="7473" spans="1:16" x14ac:dyDescent="0.25">
      <c r="A7473" t="s">
        <v>2468</v>
      </c>
      <c r="B7473">
        <v>965</v>
      </c>
      <c r="C7473" t="s">
        <v>10003</v>
      </c>
      <c r="D7473" t="s">
        <v>184</v>
      </c>
      <c r="E7473" s="13">
        <v>1</v>
      </c>
      <c r="F7473" s="12">
        <v>3.58</v>
      </c>
      <c r="G7473" t="str">
        <f>IFERROR(INDEX(tEditais[Órgão],MATCH(tItens[[#This Row],[Edital]],tEditais[Edital],0)),"")</f>
        <v>CIMCERO - CONSORCIO INTERMUNICIPAL DA REGIAO CENTRO LESTE DO ESTADO DE RONDONIA</v>
      </c>
      <c r="H7473" t="str">
        <f>IFERROR(INDEX(tEditais[UF],MATCH(tItens[[#This Row],[Edital]],tEditais[Edital],0)),"")</f>
        <v>RO</v>
      </c>
      <c r="I7473" s="11">
        <f>IFERROR(INDEX(tEditais[Encerramento],MATCH(tItens[[#This Row],[Edital]],tEditais[Edital],0)),"")</f>
        <v>46310.729166666664</v>
      </c>
      <c r="J7473" t="str">
        <f>IFERROR(INDEX(tProdutos[Classe],MATCH(tItens[[#This Row],[Produto]],tProdutos[Produto],0)),"produto não cadastrado")</f>
        <v>FORA</v>
      </c>
      <c r="K7473" s="12">
        <f>tItens[[#This Row],[Qtd]]*tItens[[#This Row],[Vlr unit]]</f>
        <v>3.58</v>
      </c>
      <c r="L7473" s="6">
        <f>IFERROR(IF(INDEX(tProdutos[Desconto homologado],MATCH(tItens[[#This Row],[Produto]],tProdutos[Produto],0))="",DescontoPadrao,INDEX(tProdutos[Desconto homologado],MATCH(tItens[[#This Row],[Produto]],tProdutos[Produto],0))),DescontoPadrao)</f>
        <v>0.363567906332742</v>
      </c>
      <c r="M7473" s="12">
        <f>tItens[[#This Row],[Valor]]*(1-tItens[[#This Row],[Desconto]])</f>
        <v>2.2784268953287841</v>
      </c>
      <c r="N7473" t="str">
        <f>IFERROR(INDEX(tProdutos[Foco],MATCH(tItens[[#This Row],[Produto]],tProdutos[Produto],0)),"Não")</f>
        <v>Não</v>
      </c>
      <c r="O7473" t="str">
        <f>IFERROR(INDEX(tEditais[SRP],MATCH(tItens[[#This Row],[Edital]],tEditais[Edital],0)),"Não")</f>
        <v>Sim</v>
      </c>
      <c r="P7473" s="4">
        <f>IF(COUNTIFS(INDEX(tItens[Edital],1):tItens[[#This Row],[Edital]],tItens[[#This Row],[Edital]],INDEX(tItens[Produto],1):tItens[[#This Row],[Produto]],tItens[[#This Row],[Produto]])=1,1,0)</f>
        <v>0</v>
      </c>
    </row>
    <row r="7474" spans="1:16" x14ac:dyDescent="0.25">
      <c r="A7474" t="s">
        <v>2468</v>
      </c>
      <c r="B7474">
        <v>966</v>
      </c>
      <c r="C7474" t="s">
        <v>10077</v>
      </c>
      <c r="D7474" t="s">
        <v>184</v>
      </c>
      <c r="E7474" s="13">
        <v>1</v>
      </c>
      <c r="F7474" s="12">
        <v>3.59</v>
      </c>
      <c r="G7474" t="str">
        <f>IFERROR(INDEX(tEditais[Órgão],MATCH(tItens[[#This Row],[Edital]],tEditais[Edital],0)),"")</f>
        <v>CIMCERO - CONSORCIO INTERMUNICIPAL DA REGIAO CENTRO LESTE DO ESTADO DE RONDONIA</v>
      </c>
      <c r="H7474" t="str">
        <f>IFERROR(INDEX(tEditais[UF],MATCH(tItens[[#This Row],[Edital]],tEditais[Edital],0)),"")</f>
        <v>RO</v>
      </c>
      <c r="I7474" s="11">
        <f>IFERROR(INDEX(tEditais[Encerramento],MATCH(tItens[[#This Row],[Edital]],tEditais[Edital],0)),"")</f>
        <v>46310.729166666664</v>
      </c>
      <c r="J7474" t="str">
        <f>IFERROR(INDEX(tProdutos[Classe],MATCH(tItens[[#This Row],[Produto]],tProdutos[Produto],0)),"produto não cadastrado")</f>
        <v>FORA</v>
      </c>
      <c r="K7474" s="12">
        <f>tItens[[#This Row],[Qtd]]*tItens[[#This Row],[Vlr unit]]</f>
        <v>3.59</v>
      </c>
      <c r="L7474" s="6">
        <f>IFERROR(IF(INDEX(tProdutos[Desconto homologado],MATCH(tItens[[#This Row],[Produto]],tProdutos[Produto],0))="",DescontoPadrao,INDEX(tProdutos[Desconto homologado],MATCH(tItens[[#This Row],[Produto]],tProdutos[Produto],0))),DescontoPadrao)</f>
        <v>0.363567906332742</v>
      </c>
      <c r="M7474" s="12">
        <f>tItens[[#This Row],[Valor]]*(1-tItens[[#This Row],[Desconto]])</f>
        <v>2.2847912162654564</v>
      </c>
      <c r="N7474" t="str">
        <f>IFERROR(INDEX(tProdutos[Foco],MATCH(tItens[[#This Row],[Produto]],tProdutos[Produto],0)),"Não")</f>
        <v>Não</v>
      </c>
      <c r="O7474" t="str">
        <f>IFERROR(INDEX(tEditais[SRP],MATCH(tItens[[#This Row],[Edital]],tEditais[Edital],0)),"Não")</f>
        <v>Sim</v>
      </c>
      <c r="P7474" s="4">
        <f>IF(COUNTIFS(INDEX(tItens[Edital],1):tItens[[#This Row],[Edital]],tItens[[#This Row],[Edital]],INDEX(tItens[Produto],1):tItens[[#This Row],[Produto]],tItens[[#This Row],[Produto]])=1,1,0)</f>
        <v>0</v>
      </c>
    </row>
    <row r="7475" spans="1:16" x14ac:dyDescent="0.25">
      <c r="A7475" t="s">
        <v>2468</v>
      </c>
      <c r="B7475">
        <v>967</v>
      </c>
      <c r="C7475" t="s">
        <v>4168</v>
      </c>
      <c r="D7475" t="s">
        <v>184</v>
      </c>
      <c r="E7475" s="13">
        <v>1</v>
      </c>
      <c r="F7475" s="12">
        <v>5.84</v>
      </c>
      <c r="G7475" t="str">
        <f>IFERROR(INDEX(tEditais[Órgão],MATCH(tItens[[#This Row],[Edital]],tEditais[Edital],0)),"")</f>
        <v>CIMCERO - CONSORCIO INTERMUNICIPAL DA REGIAO CENTRO LESTE DO ESTADO DE RONDONIA</v>
      </c>
      <c r="H7475" t="str">
        <f>IFERROR(INDEX(tEditais[UF],MATCH(tItens[[#This Row],[Edital]],tEditais[Edital],0)),"")</f>
        <v>RO</v>
      </c>
      <c r="I7475" s="11">
        <f>IFERROR(INDEX(tEditais[Encerramento],MATCH(tItens[[#This Row],[Edital]],tEditais[Edital],0)),"")</f>
        <v>46310.729166666664</v>
      </c>
      <c r="J7475" t="str">
        <f>IFERROR(INDEX(tProdutos[Classe],MATCH(tItens[[#This Row],[Produto]],tProdutos[Produto],0)),"produto não cadastrado")</f>
        <v>FORA</v>
      </c>
      <c r="K7475" s="12">
        <f>tItens[[#This Row],[Qtd]]*tItens[[#This Row],[Vlr unit]]</f>
        <v>5.84</v>
      </c>
      <c r="L7475" s="6">
        <f>IFERROR(IF(INDEX(tProdutos[Desconto homologado],MATCH(tItens[[#This Row],[Produto]],tProdutos[Produto],0))="",DescontoPadrao,INDEX(tProdutos[Desconto homologado],MATCH(tItens[[#This Row],[Produto]],tProdutos[Produto],0))),DescontoPadrao)</f>
        <v>0.363567906332742</v>
      </c>
      <c r="M7475" s="12">
        <f>tItens[[#This Row],[Valor]]*(1-tItens[[#This Row],[Desconto]])</f>
        <v>3.7167634270167871</v>
      </c>
      <c r="N7475" t="str">
        <f>IFERROR(INDEX(tProdutos[Foco],MATCH(tItens[[#This Row],[Produto]],tProdutos[Produto],0)),"Não")</f>
        <v>Não</v>
      </c>
      <c r="O7475" t="str">
        <f>IFERROR(INDEX(tEditais[SRP],MATCH(tItens[[#This Row],[Edital]],tEditais[Edital],0)),"Não")</f>
        <v>Sim</v>
      </c>
      <c r="P7475" s="4">
        <f>IF(COUNTIFS(INDEX(tItens[Edital],1):tItens[[#This Row],[Edital]],tItens[[#This Row],[Edital]],INDEX(tItens[Produto],1):tItens[[#This Row],[Produto]],tItens[[#This Row],[Produto]])=1,1,0)</f>
        <v>0</v>
      </c>
    </row>
    <row r="7476" spans="1:16" x14ac:dyDescent="0.25">
      <c r="A7476" t="s">
        <v>2468</v>
      </c>
      <c r="B7476">
        <v>968</v>
      </c>
      <c r="C7476" t="s">
        <v>10078</v>
      </c>
      <c r="D7476" t="s">
        <v>184</v>
      </c>
      <c r="E7476" s="13">
        <v>1</v>
      </c>
      <c r="F7476" s="12">
        <v>5.18</v>
      </c>
      <c r="G7476" t="str">
        <f>IFERROR(INDEX(tEditais[Órgão],MATCH(tItens[[#This Row],[Edital]],tEditais[Edital],0)),"")</f>
        <v>CIMCERO - CONSORCIO INTERMUNICIPAL DA REGIAO CENTRO LESTE DO ESTADO DE RONDONIA</v>
      </c>
      <c r="H7476" t="str">
        <f>IFERROR(INDEX(tEditais[UF],MATCH(tItens[[#This Row],[Edital]],tEditais[Edital],0)),"")</f>
        <v>RO</v>
      </c>
      <c r="I7476" s="11">
        <f>IFERROR(INDEX(tEditais[Encerramento],MATCH(tItens[[#This Row],[Edital]],tEditais[Edital],0)),"")</f>
        <v>46310.729166666664</v>
      </c>
      <c r="J7476" t="str">
        <f>IFERROR(INDEX(tProdutos[Classe],MATCH(tItens[[#This Row],[Produto]],tProdutos[Produto],0)),"produto não cadastrado")</f>
        <v>FORA</v>
      </c>
      <c r="K7476" s="12">
        <f>tItens[[#This Row],[Qtd]]*tItens[[#This Row],[Vlr unit]]</f>
        <v>5.18</v>
      </c>
      <c r="L7476" s="6">
        <f>IFERROR(IF(INDEX(tProdutos[Desconto homologado],MATCH(tItens[[#This Row],[Produto]],tProdutos[Produto],0))="",DescontoPadrao,INDEX(tProdutos[Desconto homologado],MATCH(tItens[[#This Row],[Produto]],tProdutos[Produto],0))),DescontoPadrao)</f>
        <v>0.363567906332742</v>
      </c>
      <c r="M7476" s="12">
        <f>tItens[[#This Row],[Valor]]*(1-tItens[[#This Row],[Desconto]])</f>
        <v>3.2967182451963968</v>
      </c>
      <c r="N7476" t="str">
        <f>IFERROR(INDEX(tProdutos[Foco],MATCH(tItens[[#This Row],[Produto]],tProdutos[Produto],0)),"Não")</f>
        <v>Não</v>
      </c>
      <c r="O7476" t="str">
        <f>IFERROR(INDEX(tEditais[SRP],MATCH(tItens[[#This Row],[Edital]],tEditais[Edital],0)),"Não")</f>
        <v>Sim</v>
      </c>
      <c r="P7476" s="4">
        <f>IF(COUNTIFS(INDEX(tItens[Edital],1):tItens[[#This Row],[Edital]],tItens[[#This Row],[Edital]],INDEX(tItens[Produto],1):tItens[[#This Row],[Produto]],tItens[[#This Row],[Produto]])=1,1,0)</f>
        <v>0</v>
      </c>
    </row>
    <row r="7477" spans="1:16" x14ac:dyDescent="0.25">
      <c r="A7477" t="s">
        <v>2468</v>
      </c>
      <c r="B7477">
        <v>969</v>
      </c>
      <c r="C7477" t="s">
        <v>10079</v>
      </c>
      <c r="D7477" t="s">
        <v>253</v>
      </c>
      <c r="E7477" s="13">
        <v>1</v>
      </c>
      <c r="F7477" s="12">
        <v>5.49</v>
      </c>
      <c r="G7477" t="str">
        <f>IFERROR(INDEX(tEditais[Órgão],MATCH(tItens[[#This Row],[Edital]],tEditais[Edital],0)),"")</f>
        <v>CIMCERO - CONSORCIO INTERMUNICIPAL DA REGIAO CENTRO LESTE DO ESTADO DE RONDONIA</v>
      </c>
      <c r="H7477" t="str">
        <f>IFERROR(INDEX(tEditais[UF],MATCH(tItens[[#This Row],[Edital]],tEditais[Edital],0)),"")</f>
        <v>RO</v>
      </c>
      <c r="I7477" s="11">
        <f>IFERROR(INDEX(tEditais[Encerramento],MATCH(tItens[[#This Row],[Edital]],tEditais[Edital],0)),"")</f>
        <v>46310.729166666664</v>
      </c>
      <c r="J7477" t="str">
        <f>IFERROR(INDEX(tProdutos[Classe],MATCH(tItens[[#This Row],[Produto]],tProdutos[Produto],0)),"produto não cadastrado")</f>
        <v>FORA</v>
      </c>
      <c r="K7477" s="12">
        <f>tItens[[#This Row],[Qtd]]*tItens[[#This Row],[Vlr unit]]</f>
        <v>5.49</v>
      </c>
      <c r="L7477" s="6">
        <f>IFERROR(IF(INDEX(tProdutos[Desconto homologado],MATCH(tItens[[#This Row],[Produto]],tProdutos[Produto],0))="",DescontoPadrao,INDEX(tProdutos[Desconto homologado],MATCH(tItens[[#This Row],[Produto]],tProdutos[Produto],0))),DescontoPadrao)</f>
        <v>0.31735159817351599</v>
      </c>
      <c r="M7477" s="12">
        <f>tItens[[#This Row],[Valor]]*(1-tItens[[#This Row],[Desconto]])</f>
        <v>3.7477397260273975</v>
      </c>
      <c r="N7477" t="str">
        <f>IFERROR(INDEX(tProdutos[Foco],MATCH(tItens[[#This Row],[Produto]],tProdutos[Produto],0)),"Não")</f>
        <v>Não</v>
      </c>
      <c r="O7477" t="str">
        <f>IFERROR(INDEX(tEditais[SRP],MATCH(tItens[[#This Row],[Edital]],tEditais[Edital],0)),"Não")</f>
        <v>Sim</v>
      </c>
      <c r="P7477" s="4">
        <f>IF(COUNTIFS(INDEX(tItens[Edital],1):tItens[[#This Row],[Edital]],tItens[[#This Row],[Edital]],INDEX(tItens[Produto],1):tItens[[#This Row],[Produto]],tItens[[#This Row],[Produto]])=1,1,0)</f>
        <v>0</v>
      </c>
    </row>
    <row r="7478" spans="1:16" x14ac:dyDescent="0.25">
      <c r="A7478" t="s">
        <v>2468</v>
      </c>
      <c r="B7478">
        <v>971</v>
      </c>
      <c r="C7478" t="s">
        <v>10080</v>
      </c>
      <c r="D7478" t="s">
        <v>253</v>
      </c>
      <c r="E7478" s="13">
        <v>1</v>
      </c>
      <c r="F7478" s="12">
        <v>5.36</v>
      </c>
      <c r="G7478" t="str">
        <f>IFERROR(INDEX(tEditais[Órgão],MATCH(tItens[[#This Row],[Edital]],tEditais[Edital],0)),"")</f>
        <v>CIMCERO - CONSORCIO INTERMUNICIPAL DA REGIAO CENTRO LESTE DO ESTADO DE RONDONIA</v>
      </c>
      <c r="H7478" t="str">
        <f>IFERROR(INDEX(tEditais[UF],MATCH(tItens[[#This Row],[Edital]],tEditais[Edital],0)),"")</f>
        <v>RO</v>
      </c>
      <c r="I7478" s="11">
        <f>IFERROR(INDEX(tEditais[Encerramento],MATCH(tItens[[#This Row],[Edital]],tEditais[Edital],0)),"")</f>
        <v>46310.729166666664</v>
      </c>
      <c r="J7478" t="str">
        <f>IFERROR(INDEX(tProdutos[Classe],MATCH(tItens[[#This Row],[Produto]],tProdutos[Produto],0)),"produto não cadastrado")</f>
        <v>FORA</v>
      </c>
      <c r="K7478" s="12">
        <f>tItens[[#This Row],[Qtd]]*tItens[[#This Row],[Vlr unit]]</f>
        <v>5.36</v>
      </c>
      <c r="L7478" s="6">
        <f>IFERROR(IF(INDEX(tProdutos[Desconto homologado],MATCH(tItens[[#This Row],[Produto]],tProdutos[Produto],0))="",DescontoPadrao,INDEX(tProdutos[Desconto homologado],MATCH(tItens[[#This Row],[Produto]],tProdutos[Produto],0))),DescontoPadrao)</f>
        <v>0.31735159817351599</v>
      </c>
      <c r="M7478" s="12">
        <f>tItens[[#This Row],[Valor]]*(1-tItens[[#This Row],[Desconto]])</f>
        <v>3.6589954337899546</v>
      </c>
      <c r="N7478" t="str">
        <f>IFERROR(INDEX(tProdutos[Foco],MATCH(tItens[[#This Row],[Produto]],tProdutos[Produto],0)),"Não")</f>
        <v>Não</v>
      </c>
      <c r="O7478" t="str">
        <f>IFERROR(INDEX(tEditais[SRP],MATCH(tItens[[#This Row],[Edital]],tEditais[Edital],0)),"Não")</f>
        <v>Sim</v>
      </c>
      <c r="P7478" s="4">
        <f>IF(COUNTIFS(INDEX(tItens[Edital],1):tItens[[#This Row],[Edital]],tItens[[#This Row],[Edital]],INDEX(tItens[Produto],1):tItens[[#This Row],[Produto]],tItens[[#This Row],[Produto]])=1,1,0)</f>
        <v>0</v>
      </c>
    </row>
    <row r="7479" spans="1:16" x14ac:dyDescent="0.25">
      <c r="A7479" t="s">
        <v>2468</v>
      </c>
      <c r="B7479">
        <v>972</v>
      </c>
      <c r="C7479" t="s">
        <v>10081</v>
      </c>
      <c r="D7479" t="s">
        <v>253</v>
      </c>
      <c r="E7479" s="13">
        <v>1</v>
      </c>
      <c r="F7479" s="12">
        <v>4.3099999999999996</v>
      </c>
      <c r="G7479" t="str">
        <f>IFERROR(INDEX(tEditais[Órgão],MATCH(tItens[[#This Row],[Edital]],tEditais[Edital],0)),"")</f>
        <v>CIMCERO - CONSORCIO INTERMUNICIPAL DA REGIAO CENTRO LESTE DO ESTADO DE RONDONIA</v>
      </c>
      <c r="H7479" t="str">
        <f>IFERROR(INDEX(tEditais[UF],MATCH(tItens[[#This Row],[Edital]],tEditais[Edital],0)),"")</f>
        <v>RO</v>
      </c>
      <c r="I7479" s="11">
        <f>IFERROR(INDEX(tEditais[Encerramento],MATCH(tItens[[#This Row],[Edital]],tEditais[Edital],0)),"")</f>
        <v>46310.729166666664</v>
      </c>
      <c r="J7479" t="str">
        <f>IFERROR(INDEX(tProdutos[Classe],MATCH(tItens[[#This Row],[Produto]],tProdutos[Produto],0)),"produto não cadastrado")</f>
        <v>FORA</v>
      </c>
      <c r="K7479" s="12">
        <f>tItens[[#This Row],[Qtd]]*tItens[[#This Row],[Vlr unit]]</f>
        <v>4.3099999999999996</v>
      </c>
      <c r="L7479" s="6">
        <f>IFERROR(IF(INDEX(tProdutos[Desconto homologado],MATCH(tItens[[#This Row],[Produto]],tProdutos[Produto],0))="",DescontoPadrao,INDEX(tProdutos[Desconto homologado],MATCH(tItens[[#This Row],[Produto]],tProdutos[Produto],0))),DescontoPadrao)</f>
        <v>0.31735159817351599</v>
      </c>
      <c r="M7479" s="12">
        <f>tItens[[#This Row],[Valor]]*(1-tItens[[#This Row],[Desconto]])</f>
        <v>2.9422146118721457</v>
      </c>
      <c r="N7479" t="str">
        <f>IFERROR(INDEX(tProdutos[Foco],MATCH(tItens[[#This Row],[Produto]],tProdutos[Produto],0)),"Não")</f>
        <v>Não</v>
      </c>
      <c r="O7479" t="str">
        <f>IFERROR(INDEX(tEditais[SRP],MATCH(tItens[[#This Row],[Edital]],tEditais[Edital],0)),"Não")</f>
        <v>Sim</v>
      </c>
      <c r="P7479" s="4">
        <f>IF(COUNTIFS(INDEX(tItens[Edital],1):tItens[[#This Row],[Edital]],tItens[[#This Row],[Edital]],INDEX(tItens[Produto],1):tItens[[#This Row],[Produto]],tItens[[#This Row],[Produto]])=1,1,0)</f>
        <v>0</v>
      </c>
    </row>
    <row r="7480" spans="1:16" x14ac:dyDescent="0.25">
      <c r="A7480" t="s">
        <v>2468</v>
      </c>
      <c r="B7480">
        <v>973</v>
      </c>
      <c r="C7480" t="s">
        <v>7766</v>
      </c>
      <c r="D7480" t="s">
        <v>120</v>
      </c>
      <c r="E7480" s="13">
        <v>1</v>
      </c>
      <c r="F7480" s="12">
        <v>2.44</v>
      </c>
      <c r="G7480" t="str">
        <f>IFERROR(INDEX(tEditais[Órgão],MATCH(tItens[[#This Row],[Edital]],tEditais[Edital],0)),"")</f>
        <v>CIMCERO - CONSORCIO INTERMUNICIPAL DA REGIAO CENTRO LESTE DO ESTADO DE RONDONIA</v>
      </c>
      <c r="H7480" t="str">
        <f>IFERROR(INDEX(tEditais[UF],MATCH(tItens[[#This Row],[Edital]],tEditais[Edital],0)),"")</f>
        <v>RO</v>
      </c>
      <c r="I7480" s="11">
        <f>IFERROR(INDEX(tEditais[Encerramento],MATCH(tItens[[#This Row],[Edital]],tEditais[Edital],0)),"")</f>
        <v>46310.729166666664</v>
      </c>
      <c r="J7480" t="str">
        <f>IFERROR(INDEX(tProdutos[Classe],MATCH(tItens[[#This Row],[Produto]],tProdutos[Produto],0)),"produto não cadastrado")</f>
        <v>DISPUTADO</v>
      </c>
      <c r="K7480" s="12">
        <f>tItens[[#This Row],[Qtd]]*tItens[[#This Row],[Vlr unit]]</f>
        <v>2.44</v>
      </c>
      <c r="L7480" s="6">
        <f>IFERROR(IF(INDEX(tProdutos[Desconto homologado],MATCH(tItens[[#This Row],[Produto]],tProdutos[Produto],0))="",DescontoPadrao,INDEX(tProdutos[Desconto homologado],MATCH(tItens[[#This Row],[Produto]],tProdutos[Produto],0))),DescontoPadrao)</f>
        <v>0.40909090909090901</v>
      </c>
      <c r="M7480" s="12">
        <f>tItens[[#This Row],[Valor]]*(1-tItens[[#This Row],[Desconto]])</f>
        <v>1.4418181818181821</v>
      </c>
      <c r="N7480" t="str">
        <f>IFERROR(INDEX(tProdutos[Foco],MATCH(tItens[[#This Row],[Produto]],tProdutos[Produto],0)),"Não")</f>
        <v>Não</v>
      </c>
      <c r="O7480" t="str">
        <f>IFERROR(INDEX(tEditais[SRP],MATCH(tItens[[#This Row],[Edital]],tEditais[Edital],0)),"Não")</f>
        <v>Sim</v>
      </c>
      <c r="P7480" s="4">
        <f>IF(COUNTIFS(INDEX(tItens[Edital],1):tItens[[#This Row],[Edital]],tItens[[#This Row],[Edital]],INDEX(tItens[Produto],1):tItens[[#This Row],[Produto]],tItens[[#This Row],[Produto]])=1,1,0)</f>
        <v>0</v>
      </c>
    </row>
    <row r="7481" spans="1:16" x14ac:dyDescent="0.25">
      <c r="A7481" t="s">
        <v>2468</v>
      </c>
      <c r="B7481">
        <v>974</v>
      </c>
      <c r="C7481" t="s">
        <v>10082</v>
      </c>
      <c r="D7481" t="s">
        <v>120</v>
      </c>
      <c r="E7481" s="13">
        <v>1</v>
      </c>
      <c r="F7481" s="12">
        <v>1.8</v>
      </c>
      <c r="G7481" t="str">
        <f>IFERROR(INDEX(tEditais[Órgão],MATCH(tItens[[#This Row],[Edital]],tEditais[Edital],0)),"")</f>
        <v>CIMCERO - CONSORCIO INTERMUNICIPAL DA REGIAO CENTRO LESTE DO ESTADO DE RONDONIA</v>
      </c>
      <c r="H7481" t="str">
        <f>IFERROR(INDEX(tEditais[UF],MATCH(tItens[[#This Row],[Edital]],tEditais[Edital],0)),"")</f>
        <v>RO</v>
      </c>
      <c r="I7481" s="11">
        <f>IFERROR(INDEX(tEditais[Encerramento],MATCH(tItens[[#This Row],[Edital]],tEditais[Edital],0)),"")</f>
        <v>46310.729166666664</v>
      </c>
      <c r="J7481" t="str">
        <f>IFERROR(INDEX(tProdutos[Classe],MATCH(tItens[[#This Row],[Produto]],tProdutos[Produto],0)),"produto não cadastrado")</f>
        <v>DISPUTADO</v>
      </c>
      <c r="K7481" s="12">
        <f>tItens[[#This Row],[Qtd]]*tItens[[#This Row],[Vlr unit]]</f>
        <v>1.8</v>
      </c>
      <c r="L7481" s="6">
        <f>IFERROR(IF(INDEX(tProdutos[Desconto homologado],MATCH(tItens[[#This Row],[Produto]],tProdutos[Produto],0))="",DescontoPadrao,INDEX(tProdutos[Desconto homologado],MATCH(tItens[[#This Row],[Produto]],tProdutos[Produto],0))),DescontoPadrao)</f>
        <v>0.40909090909090901</v>
      </c>
      <c r="M7481" s="12">
        <f>tItens[[#This Row],[Valor]]*(1-tItens[[#This Row],[Desconto]])</f>
        <v>1.0636363636363639</v>
      </c>
      <c r="N7481" t="str">
        <f>IFERROR(INDEX(tProdutos[Foco],MATCH(tItens[[#This Row],[Produto]],tProdutos[Produto],0)),"Não")</f>
        <v>Não</v>
      </c>
      <c r="O7481" t="str">
        <f>IFERROR(INDEX(tEditais[SRP],MATCH(tItens[[#This Row],[Edital]],tEditais[Edital],0)),"Não")</f>
        <v>Sim</v>
      </c>
      <c r="P7481" s="4">
        <f>IF(COUNTIFS(INDEX(tItens[Edital],1):tItens[[#This Row],[Edital]],tItens[[#This Row],[Edital]],INDEX(tItens[Produto],1):tItens[[#This Row],[Produto]],tItens[[#This Row],[Produto]])=1,1,0)</f>
        <v>0</v>
      </c>
    </row>
    <row r="7482" spans="1:16" x14ac:dyDescent="0.25">
      <c r="A7482" t="s">
        <v>2468</v>
      </c>
      <c r="B7482">
        <v>975</v>
      </c>
      <c r="C7482" t="s">
        <v>8602</v>
      </c>
      <c r="D7482" t="s">
        <v>120</v>
      </c>
      <c r="E7482" s="13">
        <v>1</v>
      </c>
      <c r="F7482" s="12">
        <v>0.78</v>
      </c>
      <c r="G7482" t="str">
        <f>IFERROR(INDEX(tEditais[Órgão],MATCH(tItens[[#This Row],[Edital]],tEditais[Edital],0)),"")</f>
        <v>CIMCERO - CONSORCIO INTERMUNICIPAL DA REGIAO CENTRO LESTE DO ESTADO DE RONDONIA</v>
      </c>
      <c r="H7482" t="str">
        <f>IFERROR(INDEX(tEditais[UF],MATCH(tItens[[#This Row],[Edital]],tEditais[Edital],0)),"")</f>
        <v>RO</v>
      </c>
      <c r="I7482" s="11">
        <f>IFERROR(INDEX(tEditais[Encerramento],MATCH(tItens[[#This Row],[Edital]],tEditais[Edital],0)),"")</f>
        <v>46310.729166666664</v>
      </c>
      <c r="J7482" t="str">
        <f>IFERROR(INDEX(tProdutos[Classe],MATCH(tItens[[#This Row],[Produto]],tProdutos[Produto],0)),"produto não cadastrado")</f>
        <v>DISPUTADO</v>
      </c>
      <c r="K7482" s="12">
        <f>tItens[[#This Row],[Qtd]]*tItens[[#This Row],[Vlr unit]]</f>
        <v>0.78</v>
      </c>
      <c r="L7482" s="6">
        <f>IFERROR(IF(INDEX(tProdutos[Desconto homologado],MATCH(tItens[[#This Row],[Produto]],tProdutos[Produto],0))="",DescontoPadrao,INDEX(tProdutos[Desconto homologado],MATCH(tItens[[#This Row],[Produto]],tProdutos[Produto],0))),DescontoPadrao)</f>
        <v>0.40909090909090901</v>
      </c>
      <c r="M7482" s="12">
        <f>tItens[[#This Row],[Valor]]*(1-tItens[[#This Row],[Desconto]])</f>
        <v>0.46090909090909105</v>
      </c>
      <c r="N7482" t="str">
        <f>IFERROR(INDEX(tProdutos[Foco],MATCH(tItens[[#This Row],[Produto]],tProdutos[Produto],0)),"Não")</f>
        <v>Não</v>
      </c>
      <c r="O7482" t="str">
        <f>IFERROR(INDEX(tEditais[SRP],MATCH(tItens[[#This Row],[Edital]],tEditais[Edital],0)),"Não")</f>
        <v>Sim</v>
      </c>
      <c r="P7482" s="4">
        <f>IF(COUNTIFS(INDEX(tItens[Edital],1):tItens[[#This Row],[Edital]],tItens[[#This Row],[Edital]],INDEX(tItens[Produto],1):tItens[[#This Row],[Produto]],tItens[[#This Row],[Produto]])=1,1,0)</f>
        <v>0</v>
      </c>
    </row>
    <row r="7483" spans="1:16" x14ac:dyDescent="0.25">
      <c r="A7483" t="s">
        <v>2468</v>
      </c>
      <c r="B7483">
        <v>976</v>
      </c>
      <c r="C7483" t="s">
        <v>10083</v>
      </c>
      <c r="D7483" t="s">
        <v>120</v>
      </c>
      <c r="E7483" s="13">
        <v>1</v>
      </c>
      <c r="F7483" s="12">
        <v>0.71</v>
      </c>
      <c r="G7483" t="str">
        <f>IFERROR(INDEX(tEditais[Órgão],MATCH(tItens[[#This Row],[Edital]],tEditais[Edital],0)),"")</f>
        <v>CIMCERO - CONSORCIO INTERMUNICIPAL DA REGIAO CENTRO LESTE DO ESTADO DE RONDONIA</v>
      </c>
      <c r="H7483" t="str">
        <f>IFERROR(INDEX(tEditais[UF],MATCH(tItens[[#This Row],[Edital]],tEditais[Edital],0)),"")</f>
        <v>RO</v>
      </c>
      <c r="I7483" s="11">
        <f>IFERROR(INDEX(tEditais[Encerramento],MATCH(tItens[[#This Row],[Edital]],tEditais[Edital],0)),"")</f>
        <v>46310.729166666664</v>
      </c>
      <c r="J7483" t="str">
        <f>IFERROR(INDEX(tProdutos[Classe],MATCH(tItens[[#This Row],[Produto]],tProdutos[Produto],0)),"produto não cadastrado")</f>
        <v>DISPUTADO</v>
      </c>
      <c r="K7483" s="12">
        <f>tItens[[#This Row],[Qtd]]*tItens[[#This Row],[Vlr unit]]</f>
        <v>0.71</v>
      </c>
      <c r="L7483" s="6">
        <f>IFERROR(IF(INDEX(tProdutos[Desconto homologado],MATCH(tItens[[#This Row],[Produto]],tProdutos[Produto],0))="",DescontoPadrao,INDEX(tProdutos[Desconto homologado],MATCH(tItens[[#This Row],[Produto]],tProdutos[Produto],0))),DescontoPadrao)</f>
        <v>0.40909090909090901</v>
      </c>
      <c r="M7483" s="12">
        <f>tItens[[#This Row],[Valor]]*(1-tItens[[#This Row],[Desconto]])</f>
        <v>0.41954545454545461</v>
      </c>
      <c r="N7483" t="str">
        <f>IFERROR(INDEX(tProdutos[Foco],MATCH(tItens[[#This Row],[Produto]],tProdutos[Produto],0)),"Não")</f>
        <v>Não</v>
      </c>
      <c r="O7483" t="str">
        <f>IFERROR(INDEX(tEditais[SRP],MATCH(tItens[[#This Row],[Edital]],tEditais[Edital],0)),"Não")</f>
        <v>Sim</v>
      </c>
      <c r="P7483" s="4">
        <f>IF(COUNTIFS(INDEX(tItens[Edital],1):tItens[[#This Row],[Edital]],tItens[[#This Row],[Edital]],INDEX(tItens[Produto],1):tItens[[#This Row],[Produto]],tItens[[#This Row],[Produto]])=1,1,0)</f>
        <v>0</v>
      </c>
    </row>
    <row r="7484" spans="1:16" x14ac:dyDescent="0.25">
      <c r="A7484" t="s">
        <v>2468</v>
      </c>
      <c r="B7484">
        <v>977</v>
      </c>
      <c r="C7484" t="s">
        <v>10084</v>
      </c>
      <c r="D7484" t="s">
        <v>120</v>
      </c>
      <c r="E7484" s="13">
        <v>1</v>
      </c>
      <c r="F7484" s="12">
        <v>0.8</v>
      </c>
      <c r="G7484" t="str">
        <f>IFERROR(INDEX(tEditais[Órgão],MATCH(tItens[[#This Row],[Edital]],tEditais[Edital],0)),"")</f>
        <v>CIMCERO - CONSORCIO INTERMUNICIPAL DA REGIAO CENTRO LESTE DO ESTADO DE RONDONIA</v>
      </c>
      <c r="H7484" t="str">
        <f>IFERROR(INDEX(tEditais[UF],MATCH(tItens[[#This Row],[Edital]],tEditais[Edital],0)),"")</f>
        <v>RO</v>
      </c>
      <c r="I7484" s="11">
        <f>IFERROR(INDEX(tEditais[Encerramento],MATCH(tItens[[#This Row],[Edital]],tEditais[Edital],0)),"")</f>
        <v>46310.729166666664</v>
      </c>
      <c r="J7484" t="str">
        <f>IFERROR(INDEX(tProdutos[Classe],MATCH(tItens[[#This Row],[Produto]],tProdutos[Produto],0)),"produto não cadastrado")</f>
        <v>DISPUTADO</v>
      </c>
      <c r="K7484" s="12">
        <f>tItens[[#This Row],[Qtd]]*tItens[[#This Row],[Vlr unit]]</f>
        <v>0.8</v>
      </c>
      <c r="L7484" s="6">
        <f>IFERROR(IF(INDEX(tProdutos[Desconto homologado],MATCH(tItens[[#This Row],[Produto]],tProdutos[Produto],0))="",DescontoPadrao,INDEX(tProdutos[Desconto homologado],MATCH(tItens[[#This Row],[Produto]],tProdutos[Produto],0))),DescontoPadrao)</f>
        <v>0.40909090909090901</v>
      </c>
      <c r="M7484" s="12">
        <f>tItens[[#This Row],[Valor]]*(1-tItens[[#This Row],[Desconto]])</f>
        <v>0.47272727272727288</v>
      </c>
      <c r="N7484" t="str">
        <f>IFERROR(INDEX(tProdutos[Foco],MATCH(tItens[[#This Row],[Produto]],tProdutos[Produto],0)),"Não")</f>
        <v>Não</v>
      </c>
      <c r="O7484" t="str">
        <f>IFERROR(INDEX(tEditais[SRP],MATCH(tItens[[#This Row],[Edital]],tEditais[Edital],0)),"Não")</f>
        <v>Sim</v>
      </c>
      <c r="P7484" s="4">
        <f>IF(COUNTIFS(INDEX(tItens[Edital],1):tItens[[#This Row],[Edital]],tItens[[#This Row],[Edital]],INDEX(tItens[Produto],1):tItens[[#This Row],[Produto]],tItens[[#This Row],[Produto]])=1,1,0)</f>
        <v>0</v>
      </c>
    </row>
    <row r="7485" spans="1:16" x14ac:dyDescent="0.25">
      <c r="A7485" t="s">
        <v>2468</v>
      </c>
      <c r="B7485">
        <v>978</v>
      </c>
      <c r="C7485" t="s">
        <v>10085</v>
      </c>
      <c r="D7485" t="s">
        <v>120</v>
      </c>
      <c r="E7485" s="13">
        <v>1</v>
      </c>
      <c r="F7485" s="12">
        <v>0.93</v>
      </c>
      <c r="G7485" t="str">
        <f>IFERROR(INDEX(tEditais[Órgão],MATCH(tItens[[#This Row],[Edital]],tEditais[Edital],0)),"")</f>
        <v>CIMCERO - CONSORCIO INTERMUNICIPAL DA REGIAO CENTRO LESTE DO ESTADO DE RONDONIA</v>
      </c>
      <c r="H7485" t="str">
        <f>IFERROR(INDEX(tEditais[UF],MATCH(tItens[[#This Row],[Edital]],tEditais[Edital],0)),"")</f>
        <v>RO</v>
      </c>
      <c r="I7485" s="11">
        <f>IFERROR(INDEX(tEditais[Encerramento],MATCH(tItens[[#This Row],[Edital]],tEditais[Edital],0)),"")</f>
        <v>46310.729166666664</v>
      </c>
      <c r="J7485" t="str">
        <f>IFERROR(INDEX(tProdutos[Classe],MATCH(tItens[[#This Row],[Produto]],tProdutos[Produto],0)),"produto não cadastrado")</f>
        <v>DISPUTADO</v>
      </c>
      <c r="K7485" s="12">
        <f>tItens[[#This Row],[Qtd]]*tItens[[#This Row],[Vlr unit]]</f>
        <v>0.93</v>
      </c>
      <c r="L7485" s="6">
        <f>IFERROR(IF(INDEX(tProdutos[Desconto homologado],MATCH(tItens[[#This Row],[Produto]],tProdutos[Produto],0))="",DescontoPadrao,INDEX(tProdutos[Desconto homologado],MATCH(tItens[[#This Row],[Produto]],tProdutos[Produto],0))),DescontoPadrao)</f>
        <v>0.40909090909090901</v>
      </c>
      <c r="M7485" s="12">
        <f>tItens[[#This Row],[Valor]]*(1-tItens[[#This Row],[Desconto]])</f>
        <v>0.54954545454545467</v>
      </c>
      <c r="N7485" t="str">
        <f>IFERROR(INDEX(tProdutos[Foco],MATCH(tItens[[#This Row],[Produto]],tProdutos[Produto],0)),"Não")</f>
        <v>Não</v>
      </c>
      <c r="O7485" t="str">
        <f>IFERROR(INDEX(tEditais[SRP],MATCH(tItens[[#This Row],[Edital]],tEditais[Edital],0)),"Não")</f>
        <v>Sim</v>
      </c>
      <c r="P7485" s="4">
        <f>IF(COUNTIFS(INDEX(tItens[Edital],1):tItens[[#This Row],[Edital]],tItens[[#This Row],[Edital]],INDEX(tItens[Produto],1):tItens[[#This Row],[Produto]],tItens[[#This Row],[Produto]])=1,1,0)</f>
        <v>0</v>
      </c>
    </row>
    <row r="7486" spans="1:16" x14ac:dyDescent="0.25">
      <c r="A7486" t="s">
        <v>2468</v>
      </c>
      <c r="B7486">
        <v>979</v>
      </c>
      <c r="C7486" t="s">
        <v>10086</v>
      </c>
      <c r="D7486" t="s">
        <v>120</v>
      </c>
      <c r="E7486" s="13">
        <v>1</v>
      </c>
      <c r="F7486" s="12">
        <v>1.81</v>
      </c>
      <c r="G7486" t="str">
        <f>IFERROR(INDEX(tEditais[Órgão],MATCH(tItens[[#This Row],[Edital]],tEditais[Edital],0)),"")</f>
        <v>CIMCERO - CONSORCIO INTERMUNICIPAL DA REGIAO CENTRO LESTE DO ESTADO DE RONDONIA</v>
      </c>
      <c r="H7486" t="str">
        <f>IFERROR(INDEX(tEditais[UF],MATCH(tItens[[#This Row],[Edital]],tEditais[Edital],0)),"")</f>
        <v>RO</v>
      </c>
      <c r="I7486" s="11">
        <f>IFERROR(INDEX(tEditais[Encerramento],MATCH(tItens[[#This Row],[Edital]],tEditais[Edital],0)),"")</f>
        <v>46310.729166666664</v>
      </c>
      <c r="J7486" t="str">
        <f>IFERROR(INDEX(tProdutos[Classe],MATCH(tItens[[#This Row],[Produto]],tProdutos[Produto],0)),"produto não cadastrado")</f>
        <v>DISPUTADO</v>
      </c>
      <c r="K7486" s="12">
        <f>tItens[[#This Row],[Qtd]]*tItens[[#This Row],[Vlr unit]]</f>
        <v>1.81</v>
      </c>
      <c r="L7486" s="6">
        <f>IFERROR(IF(INDEX(tProdutos[Desconto homologado],MATCH(tItens[[#This Row],[Produto]],tProdutos[Produto],0))="",DescontoPadrao,INDEX(tProdutos[Desconto homologado],MATCH(tItens[[#This Row],[Produto]],tProdutos[Produto],0))),DescontoPadrao)</f>
        <v>0.40909090909090901</v>
      </c>
      <c r="M7486" s="12">
        <f>tItens[[#This Row],[Valor]]*(1-tItens[[#This Row],[Desconto]])</f>
        <v>1.0695454545454548</v>
      </c>
      <c r="N7486" t="str">
        <f>IFERROR(INDEX(tProdutos[Foco],MATCH(tItens[[#This Row],[Produto]],tProdutos[Produto],0)),"Não")</f>
        <v>Não</v>
      </c>
      <c r="O7486" t="str">
        <f>IFERROR(INDEX(tEditais[SRP],MATCH(tItens[[#This Row],[Edital]],tEditais[Edital],0)),"Não")</f>
        <v>Sim</v>
      </c>
      <c r="P7486" s="4">
        <f>IF(COUNTIFS(INDEX(tItens[Edital],1):tItens[[#This Row],[Edital]],tItens[[#This Row],[Edital]],INDEX(tItens[Produto],1):tItens[[#This Row],[Produto]],tItens[[#This Row],[Produto]])=1,1,0)</f>
        <v>0</v>
      </c>
    </row>
    <row r="7487" spans="1:16" x14ac:dyDescent="0.25">
      <c r="A7487" t="s">
        <v>2468</v>
      </c>
      <c r="B7487">
        <v>980</v>
      </c>
      <c r="C7487" t="s">
        <v>8558</v>
      </c>
      <c r="D7487" t="s">
        <v>120</v>
      </c>
      <c r="E7487" s="13">
        <v>1</v>
      </c>
      <c r="F7487" s="12">
        <v>0.91</v>
      </c>
      <c r="G7487" t="str">
        <f>IFERROR(INDEX(tEditais[Órgão],MATCH(tItens[[#This Row],[Edital]],tEditais[Edital],0)),"")</f>
        <v>CIMCERO - CONSORCIO INTERMUNICIPAL DA REGIAO CENTRO LESTE DO ESTADO DE RONDONIA</v>
      </c>
      <c r="H7487" t="str">
        <f>IFERROR(INDEX(tEditais[UF],MATCH(tItens[[#This Row],[Edital]],tEditais[Edital],0)),"")</f>
        <v>RO</v>
      </c>
      <c r="I7487" s="11">
        <f>IFERROR(INDEX(tEditais[Encerramento],MATCH(tItens[[#This Row],[Edital]],tEditais[Edital],0)),"")</f>
        <v>46310.729166666664</v>
      </c>
      <c r="J7487" t="str">
        <f>IFERROR(INDEX(tProdutos[Classe],MATCH(tItens[[#This Row],[Produto]],tProdutos[Produto],0)),"produto não cadastrado")</f>
        <v>DISPUTADO</v>
      </c>
      <c r="K7487" s="12">
        <f>tItens[[#This Row],[Qtd]]*tItens[[#This Row],[Vlr unit]]</f>
        <v>0.91</v>
      </c>
      <c r="L7487" s="6">
        <f>IFERROR(IF(INDEX(tProdutos[Desconto homologado],MATCH(tItens[[#This Row],[Produto]],tProdutos[Produto],0))="",DescontoPadrao,INDEX(tProdutos[Desconto homologado],MATCH(tItens[[#This Row],[Produto]],tProdutos[Produto],0))),DescontoPadrao)</f>
        <v>0.40909090909090901</v>
      </c>
      <c r="M7487" s="12">
        <f>tItens[[#This Row],[Valor]]*(1-tItens[[#This Row],[Desconto]])</f>
        <v>0.53772727272727283</v>
      </c>
      <c r="N7487" t="str">
        <f>IFERROR(INDEX(tProdutos[Foco],MATCH(tItens[[#This Row],[Produto]],tProdutos[Produto],0)),"Não")</f>
        <v>Não</v>
      </c>
      <c r="O7487" t="str">
        <f>IFERROR(INDEX(tEditais[SRP],MATCH(tItens[[#This Row],[Edital]],tEditais[Edital],0)),"Não")</f>
        <v>Sim</v>
      </c>
      <c r="P7487" s="4">
        <f>IF(COUNTIFS(INDEX(tItens[Edital],1):tItens[[#This Row],[Edital]],tItens[[#This Row],[Edital]],INDEX(tItens[Produto],1):tItens[[#This Row],[Produto]],tItens[[#This Row],[Produto]])=1,1,0)</f>
        <v>0</v>
      </c>
    </row>
    <row r="7488" spans="1:16" x14ac:dyDescent="0.25">
      <c r="A7488" t="s">
        <v>2468</v>
      </c>
      <c r="B7488">
        <v>1006</v>
      </c>
      <c r="C7488" t="s">
        <v>3503</v>
      </c>
      <c r="D7488" t="s">
        <v>156</v>
      </c>
      <c r="E7488" s="13">
        <v>1</v>
      </c>
      <c r="F7488" s="12">
        <v>21.23</v>
      </c>
      <c r="G7488" t="str">
        <f>IFERROR(INDEX(tEditais[Órgão],MATCH(tItens[[#This Row],[Edital]],tEditais[Edital],0)),"")</f>
        <v>CIMCERO - CONSORCIO INTERMUNICIPAL DA REGIAO CENTRO LESTE DO ESTADO DE RONDONIA</v>
      </c>
      <c r="H7488" t="str">
        <f>IFERROR(INDEX(tEditais[UF],MATCH(tItens[[#This Row],[Edital]],tEditais[Edital],0)),"")</f>
        <v>RO</v>
      </c>
      <c r="I7488" s="11">
        <f>IFERROR(INDEX(tEditais[Encerramento],MATCH(tItens[[#This Row],[Edital]],tEditais[Edital],0)),"")</f>
        <v>46310.729166666664</v>
      </c>
      <c r="J7488" t="str">
        <f>IFERROR(INDEX(tProdutos[Classe],MATCH(tItens[[#This Row],[Produto]],tProdutos[Produto],0)),"produto não cadastrado")</f>
        <v>DISPUTADO</v>
      </c>
      <c r="K7488" s="12">
        <f>tItens[[#This Row],[Qtd]]*tItens[[#This Row],[Vlr unit]]</f>
        <v>21.23</v>
      </c>
      <c r="L7488" s="6">
        <f>IFERROR(IF(INDEX(tProdutos[Desconto homologado],MATCH(tItens[[#This Row],[Produto]],tProdutos[Produto],0))="",DescontoPadrao,INDEX(tProdutos[Desconto homologado],MATCH(tItens[[#This Row],[Produto]],tProdutos[Produto],0))),DescontoPadrao)</f>
        <v>0.27131852489802799</v>
      </c>
      <c r="M7488" s="12">
        <f>tItens[[#This Row],[Valor]]*(1-tItens[[#This Row],[Desconto]])</f>
        <v>15.469907716414866</v>
      </c>
      <c r="N7488" t="str">
        <f>IFERROR(INDEX(tProdutos[Foco],MATCH(tItens[[#This Row],[Produto]],tProdutos[Produto],0)),"Não")</f>
        <v>Não</v>
      </c>
      <c r="O7488" t="str">
        <f>IFERROR(INDEX(tEditais[SRP],MATCH(tItens[[#This Row],[Edital]],tEditais[Edital],0)),"Não")</f>
        <v>Sim</v>
      </c>
      <c r="P7488" s="4">
        <f>IF(COUNTIFS(INDEX(tItens[Edital],1):tItens[[#This Row],[Edital]],tItens[[#This Row],[Edital]],INDEX(tItens[Produto],1):tItens[[#This Row],[Produto]],tItens[[#This Row],[Produto]])=1,1,0)</f>
        <v>1</v>
      </c>
    </row>
    <row r="7489" spans="1:16" x14ac:dyDescent="0.25">
      <c r="A7489" t="s">
        <v>2473</v>
      </c>
      <c r="B7489">
        <v>8018349</v>
      </c>
      <c r="C7489" t="s">
        <v>10087</v>
      </c>
      <c r="D7489" t="s">
        <v>569</v>
      </c>
      <c r="E7489" s="13">
        <v>30</v>
      </c>
      <c r="F7489" s="12">
        <v>0</v>
      </c>
      <c r="G7489" t="str">
        <f>IFERROR(INDEX(tEditais[Órgão],MATCH(tItens[[#This Row],[Edital]],tEditais[Edital],0)),"")</f>
        <v>MUNICIPIO DE SAO FRANCISCO DO GUAPORE</v>
      </c>
      <c r="H7489" t="str">
        <f>IFERROR(INDEX(tEditais[UF],MATCH(tItens[[#This Row],[Edital]],tEditais[Edital],0)),"")</f>
        <v>RO</v>
      </c>
      <c r="I7489" s="11">
        <f>IFERROR(INDEX(tEditais[Encerramento],MATCH(tItens[[#This Row],[Edital]],tEditais[Edital],0)),"")</f>
        <v>46311.340277777781</v>
      </c>
      <c r="J7489" t="str">
        <f>IFERROR(INDEX(tProdutos[Classe],MATCH(tItens[[#This Row],[Produto]],tProdutos[Produto],0)),"produto não cadastrado")</f>
        <v>FILA REBASE</v>
      </c>
      <c r="K7489" s="12">
        <f>tItens[[#This Row],[Qtd]]*tItens[[#This Row],[Vlr unit]]</f>
        <v>0</v>
      </c>
      <c r="L7489" s="6">
        <f>IFERROR(IF(INDEX(tProdutos[Desconto homologado],MATCH(tItens[[#This Row],[Produto]],tProdutos[Produto],0))="",DescontoPadrao,INDEX(tProdutos[Desconto homologado],MATCH(tItens[[#This Row],[Produto]],tProdutos[Produto],0))),DescontoPadrao)</f>
        <v>0.3</v>
      </c>
      <c r="M7489" s="12">
        <f>tItens[[#This Row],[Valor]]*(1-tItens[[#This Row],[Desconto]])</f>
        <v>0</v>
      </c>
      <c r="N7489" t="str">
        <f>IFERROR(INDEX(tProdutos[Foco],MATCH(tItens[[#This Row],[Produto]],tProdutos[Produto],0)),"Não")</f>
        <v>Não</v>
      </c>
      <c r="O7489" t="str">
        <f>IFERROR(INDEX(tEditais[SRP],MATCH(tItens[[#This Row],[Edital]],tEditais[Edital],0)),"Não")</f>
        <v>Não</v>
      </c>
      <c r="P7489" s="4">
        <f>IF(COUNTIFS(INDEX(tItens[Edital],1):tItens[[#This Row],[Edital]],tItens[[#This Row],[Edital]],INDEX(tItens[Produto],1):tItens[[#This Row],[Produto]],tItens[[#This Row],[Produto]])=1,1,0)</f>
        <v>1</v>
      </c>
    </row>
    <row r="7490" spans="1:16" x14ac:dyDescent="0.25">
      <c r="A7490" t="s">
        <v>2473</v>
      </c>
      <c r="B7490">
        <v>8018363</v>
      </c>
      <c r="C7490" t="s">
        <v>10088</v>
      </c>
      <c r="D7490" t="s">
        <v>569</v>
      </c>
      <c r="E7490" s="13">
        <v>30</v>
      </c>
      <c r="F7490" s="12">
        <v>0</v>
      </c>
      <c r="G7490" t="str">
        <f>IFERROR(INDEX(tEditais[Órgão],MATCH(tItens[[#This Row],[Edital]],tEditais[Edital],0)),"")</f>
        <v>MUNICIPIO DE SAO FRANCISCO DO GUAPORE</v>
      </c>
      <c r="H7490" t="str">
        <f>IFERROR(INDEX(tEditais[UF],MATCH(tItens[[#This Row],[Edital]],tEditais[Edital],0)),"")</f>
        <v>RO</v>
      </c>
      <c r="I7490" s="11">
        <f>IFERROR(INDEX(tEditais[Encerramento],MATCH(tItens[[#This Row],[Edital]],tEditais[Edital],0)),"")</f>
        <v>46311.340277777781</v>
      </c>
      <c r="J7490" t="str">
        <f>IFERROR(INDEX(tProdutos[Classe],MATCH(tItens[[#This Row],[Produto]],tProdutos[Produto],0)),"produto não cadastrado")</f>
        <v>FILA REBASE</v>
      </c>
      <c r="K7490" s="12">
        <f>tItens[[#This Row],[Qtd]]*tItens[[#This Row],[Vlr unit]]</f>
        <v>0</v>
      </c>
      <c r="L7490" s="6">
        <f>IFERROR(IF(INDEX(tProdutos[Desconto homologado],MATCH(tItens[[#This Row],[Produto]],tProdutos[Produto],0))="",DescontoPadrao,INDEX(tProdutos[Desconto homologado],MATCH(tItens[[#This Row],[Produto]],tProdutos[Produto],0))),DescontoPadrao)</f>
        <v>0.3</v>
      </c>
      <c r="M7490" s="12">
        <f>tItens[[#This Row],[Valor]]*(1-tItens[[#This Row],[Desconto]])</f>
        <v>0</v>
      </c>
      <c r="N7490" t="str">
        <f>IFERROR(INDEX(tProdutos[Foco],MATCH(tItens[[#This Row],[Produto]],tProdutos[Produto],0)),"Não")</f>
        <v>Não</v>
      </c>
      <c r="O7490" t="str">
        <f>IFERROR(INDEX(tEditais[SRP],MATCH(tItens[[#This Row],[Edital]],tEditais[Edital],0)),"Não")</f>
        <v>Não</v>
      </c>
      <c r="P7490" s="4">
        <f>IF(COUNTIFS(INDEX(tItens[Edital],1):tItens[[#This Row],[Edital]],tItens[[#This Row],[Edital]],INDEX(tItens[Produto],1):tItens[[#This Row],[Produto]],tItens[[#This Row],[Produto]])=1,1,0)</f>
        <v>0</v>
      </c>
    </row>
    <row r="7491" spans="1:16" x14ac:dyDescent="0.25">
      <c r="A7491" t="s">
        <v>2473</v>
      </c>
      <c r="B7491">
        <v>8018373</v>
      </c>
      <c r="C7491" t="s">
        <v>10089</v>
      </c>
      <c r="D7491" t="s">
        <v>569</v>
      </c>
      <c r="E7491" s="13">
        <v>60</v>
      </c>
      <c r="F7491" s="12">
        <v>0</v>
      </c>
      <c r="G7491" t="str">
        <f>IFERROR(INDEX(tEditais[Órgão],MATCH(tItens[[#This Row],[Edital]],tEditais[Edital],0)),"")</f>
        <v>MUNICIPIO DE SAO FRANCISCO DO GUAPORE</v>
      </c>
      <c r="H7491" t="str">
        <f>IFERROR(INDEX(tEditais[UF],MATCH(tItens[[#This Row],[Edital]],tEditais[Edital],0)),"")</f>
        <v>RO</v>
      </c>
      <c r="I7491" s="11">
        <f>IFERROR(INDEX(tEditais[Encerramento],MATCH(tItens[[#This Row],[Edital]],tEditais[Edital],0)),"")</f>
        <v>46311.340277777781</v>
      </c>
      <c r="J7491" t="str">
        <f>IFERROR(INDEX(tProdutos[Classe],MATCH(tItens[[#This Row],[Produto]],tProdutos[Produto],0)),"produto não cadastrado")</f>
        <v>FILA REBASE</v>
      </c>
      <c r="K7491" s="12">
        <f>tItens[[#This Row],[Qtd]]*tItens[[#This Row],[Vlr unit]]</f>
        <v>0</v>
      </c>
      <c r="L7491" s="6">
        <f>IFERROR(IF(INDEX(tProdutos[Desconto homologado],MATCH(tItens[[#This Row],[Produto]],tProdutos[Produto],0))="",DescontoPadrao,INDEX(tProdutos[Desconto homologado],MATCH(tItens[[#This Row],[Produto]],tProdutos[Produto],0))),DescontoPadrao)</f>
        <v>0.3</v>
      </c>
      <c r="M7491" s="12">
        <f>tItens[[#This Row],[Valor]]*(1-tItens[[#This Row],[Desconto]])</f>
        <v>0</v>
      </c>
      <c r="N7491" t="str">
        <f>IFERROR(INDEX(tProdutos[Foco],MATCH(tItens[[#This Row],[Produto]],tProdutos[Produto],0)),"Não")</f>
        <v>Não</v>
      </c>
      <c r="O7491" t="str">
        <f>IFERROR(INDEX(tEditais[SRP],MATCH(tItens[[#This Row],[Edital]],tEditais[Edital],0)),"Não")</f>
        <v>Não</v>
      </c>
      <c r="P7491" s="4">
        <f>IF(COUNTIFS(INDEX(tItens[Edital],1):tItens[[#This Row],[Edital]],tItens[[#This Row],[Edital]],INDEX(tItens[Produto],1):tItens[[#This Row],[Produto]],tItens[[#This Row],[Produto]])=1,1,0)</f>
        <v>0</v>
      </c>
    </row>
    <row r="7492" spans="1:16" x14ac:dyDescent="0.25">
      <c r="A7492" t="s">
        <v>2478</v>
      </c>
      <c r="B7492">
        <v>1</v>
      </c>
      <c r="C7492" t="s">
        <v>10090</v>
      </c>
      <c r="D7492" t="s">
        <v>411</v>
      </c>
      <c r="E7492" s="13">
        <v>150</v>
      </c>
      <c r="F7492" s="12">
        <v>3.25</v>
      </c>
      <c r="G7492" t="str">
        <f>IFERROR(INDEX(tEditais[Órgão],MATCH(tItens[[#This Row],[Edital]],tEditais[Edital],0)),"")</f>
        <v>MUNICIPIO DE SERINGUEIRAS</v>
      </c>
      <c r="H7492" t="str">
        <f>IFERROR(INDEX(tEditais[UF],MATCH(tItens[[#This Row],[Edital]],tEditais[Edital],0)),"")</f>
        <v>RO</v>
      </c>
      <c r="I7492" s="11">
        <f>IFERROR(INDEX(tEditais[Encerramento],MATCH(tItens[[#This Row],[Edital]],tEditais[Edital],0)),"")</f>
        <v>46311.375</v>
      </c>
      <c r="J7492" t="str">
        <f>IFERROR(INDEX(tProdutos[Classe],MATCH(tItens[[#This Row],[Produto]],tProdutos[Produto],0)),"produto não cadastrado")</f>
        <v>FORA</v>
      </c>
      <c r="K7492" s="12">
        <f>tItens[[#This Row],[Qtd]]*tItens[[#This Row],[Vlr unit]]</f>
        <v>487.5</v>
      </c>
      <c r="L7492" s="6">
        <f>IFERROR(IF(INDEX(tProdutos[Desconto homologado],MATCH(tItens[[#This Row],[Produto]],tProdutos[Produto],0))="",DescontoPadrao,INDEX(tProdutos[Desconto homologado],MATCH(tItens[[#This Row],[Produto]],tProdutos[Produto],0))),DescontoPadrao)</f>
        <v>0.50029835957199398</v>
      </c>
      <c r="M7492" s="12">
        <f>tItens[[#This Row],[Valor]]*(1-tItens[[#This Row],[Desconto]])</f>
        <v>243.60454970865294</v>
      </c>
      <c r="N7492" t="str">
        <f>IFERROR(INDEX(tProdutos[Foco],MATCH(tItens[[#This Row],[Produto]],tProdutos[Produto],0)),"Não")</f>
        <v>Não</v>
      </c>
      <c r="O7492" t="str">
        <f>IFERROR(INDEX(tEditais[SRP],MATCH(tItens[[#This Row],[Edital]],tEditais[Edital],0)),"Não")</f>
        <v>Não</v>
      </c>
      <c r="P7492" s="4">
        <f>IF(COUNTIFS(INDEX(tItens[Edital],1):tItens[[#This Row],[Edital]],tItens[[#This Row],[Edital]],INDEX(tItens[Produto],1):tItens[[#This Row],[Produto]],tItens[[#This Row],[Produto]])=1,1,0)</f>
        <v>1</v>
      </c>
    </row>
    <row r="7493" spans="1:16" x14ac:dyDescent="0.25">
      <c r="A7493" t="s">
        <v>2478</v>
      </c>
      <c r="B7493">
        <v>5</v>
      </c>
      <c r="C7493" t="s">
        <v>10091</v>
      </c>
      <c r="D7493" t="s">
        <v>333</v>
      </c>
      <c r="E7493" s="13">
        <v>7000</v>
      </c>
      <c r="F7493" s="12">
        <v>1.36</v>
      </c>
      <c r="G7493" t="str">
        <f>IFERROR(INDEX(tEditais[Órgão],MATCH(tItens[[#This Row],[Edital]],tEditais[Edital],0)),"")</f>
        <v>MUNICIPIO DE SERINGUEIRAS</v>
      </c>
      <c r="H7493" t="str">
        <f>IFERROR(INDEX(tEditais[UF],MATCH(tItens[[#This Row],[Edital]],tEditais[Edital],0)),"")</f>
        <v>RO</v>
      </c>
      <c r="I7493" s="11">
        <f>IFERROR(INDEX(tEditais[Encerramento],MATCH(tItens[[#This Row],[Edital]],tEditais[Edital],0)),"")</f>
        <v>46311.375</v>
      </c>
      <c r="J7493" t="str">
        <f>IFERROR(INDEX(tProdutos[Classe],MATCH(tItens[[#This Row],[Produto]],tProdutos[Produto],0)),"produto não cadastrado")</f>
        <v>FORA</v>
      </c>
      <c r="K7493" s="12">
        <f>tItens[[#This Row],[Qtd]]*tItens[[#This Row],[Vlr unit]]</f>
        <v>9520</v>
      </c>
      <c r="L7493" s="6">
        <f>IFERROR(IF(INDEX(tProdutos[Desconto homologado],MATCH(tItens[[#This Row],[Produto]],tProdutos[Produto],0))="",DescontoPadrao,INDEX(tProdutos[Desconto homologado],MATCH(tItens[[#This Row],[Produto]],tProdutos[Produto],0))),DescontoPadrao)</f>
        <v>0.48951048951048998</v>
      </c>
      <c r="M7493" s="12">
        <f>tItens[[#This Row],[Valor]]*(1-tItens[[#This Row],[Desconto]])</f>
        <v>4859.860139860135</v>
      </c>
      <c r="N7493" t="str">
        <f>IFERROR(INDEX(tProdutos[Foco],MATCH(tItens[[#This Row],[Produto]],tProdutos[Produto],0)),"Não")</f>
        <v>Não</v>
      </c>
      <c r="O7493" t="str">
        <f>IFERROR(INDEX(tEditais[SRP],MATCH(tItens[[#This Row],[Edital]],tEditais[Edital],0)),"Não")</f>
        <v>Não</v>
      </c>
      <c r="P7493" s="4">
        <f>IF(COUNTIFS(INDEX(tItens[Edital],1):tItens[[#This Row],[Edital]],tItens[[#This Row],[Edital]],INDEX(tItens[Produto],1):tItens[[#This Row],[Produto]],tItens[[#This Row],[Produto]])=1,1,0)</f>
        <v>1</v>
      </c>
    </row>
    <row r="7494" spans="1:16" x14ac:dyDescent="0.25">
      <c r="A7494" t="s">
        <v>2478</v>
      </c>
      <c r="B7494">
        <v>6</v>
      </c>
      <c r="C7494" t="s">
        <v>10092</v>
      </c>
      <c r="D7494" t="s">
        <v>351</v>
      </c>
      <c r="E7494" s="13">
        <v>300</v>
      </c>
      <c r="F7494" s="12">
        <v>1.36</v>
      </c>
      <c r="G7494" t="str">
        <f>IFERROR(INDEX(tEditais[Órgão],MATCH(tItens[[#This Row],[Edital]],tEditais[Edital],0)),"")</f>
        <v>MUNICIPIO DE SERINGUEIRAS</v>
      </c>
      <c r="H7494" t="str">
        <f>IFERROR(INDEX(tEditais[UF],MATCH(tItens[[#This Row],[Edital]],tEditais[Edital],0)),"")</f>
        <v>RO</v>
      </c>
      <c r="I7494" s="11">
        <f>IFERROR(INDEX(tEditais[Encerramento],MATCH(tItens[[#This Row],[Edital]],tEditais[Edital],0)),"")</f>
        <v>46311.375</v>
      </c>
      <c r="J7494" t="str">
        <f>IFERROR(INDEX(tProdutos[Classe],MATCH(tItens[[#This Row],[Produto]],tProdutos[Produto],0)),"produto não cadastrado")</f>
        <v>FORA</v>
      </c>
      <c r="K7494" s="12">
        <f>tItens[[#This Row],[Qtd]]*tItens[[#This Row],[Vlr unit]]</f>
        <v>408.00000000000006</v>
      </c>
      <c r="L7494" s="6">
        <f>IFERROR(IF(INDEX(tProdutos[Desconto homologado],MATCH(tItens[[#This Row],[Produto]],tProdutos[Produto],0))="",DescontoPadrao,INDEX(tProdutos[Desconto homologado],MATCH(tItens[[#This Row],[Produto]],tProdutos[Produto],0))),DescontoPadrao)</f>
        <v>0.33518005540166201</v>
      </c>
      <c r="M7494" s="12">
        <f>tItens[[#This Row],[Valor]]*(1-tItens[[#This Row],[Desconto]])</f>
        <v>271.24653739612194</v>
      </c>
      <c r="N7494" t="str">
        <f>IFERROR(INDEX(tProdutos[Foco],MATCH(tItens[[#This Row],[Produto]],tProdutos[Produto],0)),"Não")</f>
        <v>Não</v>
      </c>
      <c r="O7494" t="str">
        <f>IFERROR(INDEX(tEditais[SRP],MATCH(tItens[[#This Row],[Edital]],tEditais[Edital],0)),"Não")</f>
        <v>Não</v>
      </c>
      <c r="P7494" s="4">
        <f>IF(COUNTIFS(INDEX(tItens[Edital],1):tItens[[#This Row],[Edital]],tItens[[#This Row],[Edital]],INDEX(tItens[Produto],1):tItens[[#This Row],[Produto]],tItens[[#This Row],[Produto]])=1,1,0)</f>
        <v>1</v>
      </c>
    </row>
    <row r="7495" spans="1:16" x14ac:dyDescent="0.25">
      <c r="A7495" t="s">
        <v>2478</v>
      </c>
      <c r="B7495">
        <v>7</v>
      </c>
      <c r="C7495" t="s">
        <v>10093</v>
      </c>
      <c r="D7495" t="s">
        <v>343</v>
      </c>
      <c r="E7495" s="13">
        <v>400</v>
      </c>
      <c r="F7495" s="12">
        <v>1.77</v>
      </c>
      <c r="G7495" t="str">
        <f>IFERROR(INDEX(tEditais[Órgão],MATCH(tItens[[#This Row],[Edital]],tEditais[Edital],0)),"")</f>
        <v>MUNICIPIO DE SERINGUEIRAS</v>
      </c>
      <c r="H7495" t="str">
        <f>IFERROR(INDEX(tEditais[UF],MATCH(tItens[[#This Row],[Edital]],tEditais[Edital],0)),"")</f>
        <v>RO</v>
      </c>
      <c r="I7495" s="11">
        <f>IFERROR(INDEX(tEditais[Encerramento],MATCH(tItens[[#This Row],[Edital]],tEditais[Edital],0)),"")</f>
        <v>46311.375</v>
      </c>
      <c r="J7495" t="str">
        <f>IFERROR(INDEX(tProdutos[Classe],MATCH(tItens[[#This Row],[Produto]],tProdutos[Produto],0)),"produto não cadastrado")</f>
        <v>FORA</v>
      </c>
      <c r="K7495" s="12">
        <f>tItens[[#This Row],[Qtd]]*tItens[[#This Row],[Vlr unit]]</f>
        <v>708</v>
      </c>
      <c r="L7495" s="6">
        <f>IFERROR(IF(INDEX(tProdutos[Desconto homologado],MATCH(tItens[[#This Row],[Produto]],tProdutos[Produto],0))="",DescontoPadrao,INDEX(tProdutos[Desconto homologado],MATCH(tItens[[#This Row],[Produto]],tProdutos[Produto],0))),DescontoPadrao)</f>
        <v>0.35412234042553198</v>
      </c>
      <c r="M7495" s="12">
        <f>tItens[[#This Row],[Valor]]*(1-tItens[[#This Row],[Desconto]])</f>
        <v>457.28138297872334</v>
      </c>
      <c r="N7495" t="str">
        <f>IFERROR(INDEX(tProdutos[Foco],MATCH(tItens[[#This Row],[Produto]],tProdutos[Produto],0)),"Não")</f>
        <v>Não</v>
      </c>
      <c r="O7495" t="str">
        <f>IFERROR(INDEX(tEditais[SRP],MATCH(tItens[[#This Row],[Edital]],tEditais[Edital],0)),"Não")</f>
        <v>Não</v>
      </c>
      <c r="P7495" s="4">
        <f>IF(COUNTIFS(INDEX(tItens[Edital],1):tItens[[#This Row],[Edital]],tItens[[#This Row],[Edital]],INDEX(tItens[Produto],1):tItens[[#This Row],[Produto]],tItens[[#This Row],[Produto]])=1,1,0)</f>
        <v>1</v>
      </c>
    </row>
    <row r="7496" spans="1:16" x14ac:dyDescent="0.25">
      <c r="A7496" t="s">
        <v>2478</v>
      </c>
      <c r="B7496">
        <v>8</v>
      </c>
      <c r="C7496" t="s">
        <v>10094</v>
      </c>
      <c r="D7496" t="s">
        <v>343</v>
      </c>
      <c r="E7496" s="13">
        <v>600</v>
      </c>
      <c r="F7496" s="12">
        <v>2.2599999999999998</v>
      </c>
      <c r="G7496" t="str">
        <f>IFERROR(INDEX(tEditais[Órgão],MATCH(tItens[[#This Row],[Edital]],tEditais[Edital],0)),"")</f>
        <v>MUNICIPIO DE SERINGUEIRAS</v>
      </c>
      <c r="H7496" t="str">
        <f>IFERROR(INDEX(tEditais[UF],MATCH(tItens[[#This Row],[Edital]],tEditais[Edital],0)),"")</f>
        <v>RO</v>
      </c>
      <c r="I7496" s="11">
        <f>IFERROR(INDEX(tEditais[Encerramento],MATCH(tItens[[#This Row],[Edital]],tEditais[Edital],0)),"")</f>
        <v>46311.375</v>
      </c>
      <c r="J7496" t="str">
        <f>IFERROR(INDEX(tProdutos[Classe],MATCH(tItens[[#This Row],[Produto]],tProdutos[Produto],0)),"produto não cadastrado")</f>
        <v>FORA</v>
      </c>
      <c r="K7496" s="12">
        <f>tItens[[#This Row],[Qtd]]*tItens[[#This Row],[Vlr unit]]</f>
        <v>1355.9999999999998</v>
      </c>
      <c r="L7496" s="6">
        <f>IFERROR(IF(INDEX(tProdutos[Desconto homologado],MATCH(tItens[[#This Row],[Produto]],tProdutos[Produto],0))="",DescontoPadrao,INDEX(tProdutos[Desconto homologado],MATCH(tItens[[#This Row],[Produto]],tProdutos[Produto],0))),DescontoPadrao)</f>
        <v>0.35412234042553198</v>
      </c>
      <c r="M7496" s="12">
        <f>tItens[[#This Row],[Valor]]*(1-tItens[[#This Row],[Desconto]])</f>
        <v>875.81010638297846</v>
      </c>
      <c r="N7496" t="str">
        <f>IFERROR(INDEX(tProdutos[Foco],MATCH(tItens[[#This Row],[Produto]],tProdutos[Produto],0)),"Não")</f>
        <v>Não</v>
      </c>
      <c r="O7496" t="str">
        <f>IFERROR(INDEX(tEditais[SRP],MATCH(tItens[[#This Row],[Edital]],tEditais[Edital],0)),"Não")</f>
        <v>Não</v>
      </c>
      <c r="P7496" s="4">
        <f>IF(COUNTIFS(INDEX(tItens[Edital],1):tItens[[#This Row],[Edital]],tItens[[#This Row],[Edital]],INDEX(tItens[Produto],1):tItens[[#This Row],[Produto]],tItens[[#This Row],[Produto]])=1,1,0)</f>
        <v>0</v>
      </c>
    </row>
    <row r="7497" spans="1:16" x14ac:dyDescent="0.25">
      <c r="A7497" t="s">
        <v>2478</v>
      </c>
      <c r="B7497">
        <v>9</v>
      </c>
      <c r="C7497" t="s">
        <v>10095</v>
      </c>
      <c r="D7497" t="s">
        <v>343</v>
      </c>
      <c r="E7497" s="13">
        <v>500</v>
      </c>
      <c r="F7497" s="12">
        <v>2.04</v>
      </c>
      <c r="G7497" t="str">
        <f>IFERROR(INDEX(tEditais[Órgão],MATCH(tItens[[#This Row],[Edital]],tEditais[Edital],0)),"")</f>
        <v>MUNICIPIO DE SERINGUEIRAS</v>
      </c>
      <c r="H7497" t="str">
        <f>IFERROR(INDEX(tEditais[UF],MATCH(tItens[[#This Row],[Edital]],tEditais[Edital],0)),"")</f>
        <v>RO</v>
      </c>
      <c r="I7497" s="11">
        <f>IFERROR(INDEX(tEditais[Encerramento],MATCH(tItens[[#This Row],[Edital]],tEditais[Edital],0)),"")</f>
        <v>46311.375</v>
      </c>
      <c r="J7497" t="str">
        <f>IFERROR(INDEX(tProdutos[Classe],MATCH(tItens[[#This Row],[Produto]],tProdutos[Produto],0)),"produto não cadastrado")</f>
        <v>FORA</v>
      </c>
      <c r="K7497" s="12">
        <f>tItens[[#This Row],[Qtd]]*tItens[[#This Row],[Vlr unit]]</f>
        <v>1020</v>
      </c>
      <c r="L7497" s="6">
        <f>IFERROR(IF(INDEX(tProdutos[Desconto homologado],MATCH(tItens[[#This Row],[Produto]],tProdutos[Produto],0))="",DescontoPadrao,INDEX(tProdutos[Desconto homologado],MATCH(tItens[[#This Row],[Produto]],tProdutos[Produto],0))),DescontoPadrao)</f>
        <v>0.35412234042553198</v>
      </c>
      <c r="M7497" s="12">
        <f>tItens[[#This Row],[Valor]]*(1-tItens[[#This Row],[Desconto]])</f>
        <v>658.79521276595733</v>
      </c>
      <c r="N7497" t="str">
        <f>IFERROR(INDEX(tProdutos[Foco],MATCH(tItens[[#This Row],[Produto]],tProdutos[Produto],0)),"Não")</f>
        <v>Não</v>
      </c>
      <c r="O7497" t="str">
        <f>IFERROR(INDEX(tEditais[SRP],MATCH(tItens[[#This Row],[Edital]],tEditais[Edital],0)),"Não")</f>
        <v>Não</v>
      </c>
      <c r="P7497" s="4">
        <f>IF(COUNTIFS(INDEX(tItens[Edital],1):tItens[[#This Row],[Edital]],tItens[[#This Row],[Edital]],INDEX(tItens[Produto],1):tItens[[#This Row],[Produto]],tItens[[#This Row],[Produto]])=1,1,0)</f>
        <v>0</v>
      </c>
    </row>
    <row r="7498" spans="1:16" x14ac:dyDescent="0.25">
      <c r="A7498" t="s">
        <v>2478</v>
      </c>
      <c r="B7498">
        <v>11</v>
      </c>
      <c r="C7498" t="s">
        <v>10096</v>
      </c>
      <c r="D7498" t="s">
        <v>120</v>
      </c>
      <c r="E7498" s="13">
        <v>700</v>
      </c>
      <c r="F7498" s="12">
        <v>0.83</v>
      </c>
      <c r="G7498" t="str">
        <f>IFERROR(INDEX(tEditais[Órgão],MATCH(tItens[[#This Row],[Edital]],tEditais[Edital],0)),"")</f>
        <v>MUNICIPIO DE SERINGUEIRAS</v>
      </c>
      <c r="H7498" t="str">
        <f>IFERROR(INDEX(tEditais[UF],MATCH(tItens[[#This Row],[Edital]],tEditais[Edital],0)),"")</f>
        <v>RO</v>
      </c>
      <c r="I7498" s="11">
        <f>IFERROR(INDEX(tEditais[Encerramento],MATCH(tItens[[#This Row],[Edital]],tEditais[Edital],0)),"")</f>
        <v>46311.375</v>
      </c>
      <c r="J7498" t="str">
        <f>IFERROR(INDEX(tProdutos[Classe],MATCH(tItens[[#This Row],[Produto]],tProdutos[Produto],0)),"produto não cadastrado")</f>
        <v>DISPUTADO</v>
      </c>
      <c r="K7498" s="12">
        <f>tItens[[#This Row],[Qtd]]*tItens[[#This Row],[Vlr unit]]</f>
        <v>581</v>
      </c>
      <c r="L7498" s="6">
        <f>IFERROR(IF(INDEX(tProdutos[Desconto homologado],MATCH(tItens[[#This Row],[Produto]],tProdutos[Produto],0))="",DescontoPadrao,INDEX(tProdutos[Desconto homologado],MATCH(tItens[[#This Row],[Produto]],tProdutos[Produto],0))),DescontoPadrao)</f>
        <v>0.40909090909090901</v>
      </c>
      <c r="M7498" s="12">
        <f>tItens[[#This Row],[Valor]]*(1-tItens[[#This Row],[Desconto]])</f>
        <v>343.31818181818193</v>
      </c>
      <c r="N7498" t="str">
        <f>IFERROR(INDEX(tProdutos[Foco],MATCH(tItens[[#This Row],[Produto]],tProdutos[Produto],0)),"Não")</f>
        <v>Não</v>
      </c>
      <c r="O7498" t="str">
        <f>IFERROR(INDEX(tEditais[SRP],MATCH(tItens[[#This Row],[Edital]],tEditais[Edital],0)),"Não")</f>
        <v>Não</v>
      </c>
      <c r="P7498" s="4">
        <f>IF(COUNTIFS(INDEX(tItens[Edital],1):tItens[[#This Row],[Edital]],tItens[[#This Row],[Edital]],INDEX(tItens[Produto],1):tItens[[#This Row],[Produto]],tItens[[#This Row],[Produto]])=1,1,0)</f>
        <v>1</v>
      </c>
    </row>
    <row r="7499" spans="1:16" x14ac:dyDescent="0.25">
      <c r="A7499" t="s">
        <v>2480</v>
      </c>
      <c r="B7499">
        <v>12</v>
      </c>
      <c r="C7499" t="s">
        <v>10097</v>
      </c>
      <c r="D7499" t="s">
        <v>114</v>
      </c>
      <c r="E7499" s="13">
        <v>646</v>
      </c>
      <c r="F7499" s="12">
        <v>28.67</v>
      </c>
      <c r="G7499" t="str">
        <f>IFERROR(INDEX(tEditais[Órgão],MATCH(tItens[[#This Row],[Edital]],tEditais[Edital],0)),"")</f>
        <v>SUP. EST. DE LICITACAO</v>
      </c>
      <c r="H7499" t="str">
        <f>IFERROR(INDEX(tEditais[UF],MATCH(tItens[[#This Row],[Edital]],tEditais[Edital],0)),"")</f>
        <v>RO</v>
      </c>
      <c r="I7499" s="11">
        <f>IFERROR(INDEX(tEditais[Encerramento],MATCH(tItens[[#This Row],[Edital]],tEditais[Edital],0)),"")</f>
        <v>46314.416666666664</v>
      </c>
      <c r="J7499" t="str">
        <f>IFERROR(INDEX(tProdutos[Classe],MATCH(tItens[[#This Row],[Produto]],tProdutos[Produto],0)),"produto não cadastrado")</f>
        <v>DISPUTADO</v>
      </c>
      <c r="K7499" s="12">
        <f>tItens[[#This Row],[Qtd]]*tItens[[#This Row],[Vlr unit]]</f>
        <v>18520.82</v>
      </c>
      <c r="L7499" s="6">
        <f>IFERROR(IF(INDEX(tProdutos[Desconto homologado],MATCH(tItens[[#This Row],[Produto]],tProdutos[Produto],0))="",DescontoPadrao,INDEX(tProdutos[Desconto homologado],MATCH(tItens[[#This Row],[Produto]],tProdutos[Produto],0))),DescontoPadrao)</f>
        <v>0.24332656063896899</v>
      </c>
      <c r="M7499" s="12">
        <f>tItens[[#This Row],[Valor]]*(1-tItens[[#This Row],[Desconto]])</f>
        <v>14014.212569186571</v>
      </c>
      <c r="N7499" t="str">
        <f>IFERROR(INDEX(tProdutos[Foco],MATCH(tItens[[#This Row],[Produto]],tProdutos[Produto],0)),"Não")</f>
        <v>Não</v>
      </c>
      <c r="O7499" t="str">
        <f>IFERROR(INDEX(tEditais[SRP],MATCH(tItens[[#This Row],[Edital]],tEditais[Edital],0)),"Não")</f>
        <v>Sim</v>
      </c>
      <c r="P7499" s="4">
        <f>IF(COUNTIFS(INDEX(tItens[Edital],1):tItens[[#This Row],[Edital]],tItens[[#This Row],[Edital]],INDEX(tItens[Produto],1):tItens[[#This Row],[Produto]],tItens[[#This Row],[Produto]])=1,1,0)</f>
        <v>1</v>
      </c>
    </row>
    <row r="7500" spans="1:16" x14ac:dyDescent="0.25">
      <c r="A7500" t="s">
        <v>2483</v>
      </c>
      <c r="B7500">
        <v>1</v>
      </c>
      <c r="C7500" t="s">
        <v>10098</v>
      </c>
      <c r="D7500" t="s">
        <v>521</v>
      </c>
      <c r="E7500" s="13">
        <v>100</v>
      </c>
      <c r="F7500" s="12">
        <v>3031.61</v>
      </c>
      <c r="G7500" t="str">
        <f>IFERROR(INDEX(tEditais[Órgão],MATCH(tItens[[#This Row],[Edital]],tEditais[Edital],0)),"")</f>
        <v>SECRETARIA DE ESTADO DA SAUDE</v>
      </c>
      <c r="H7500" t="str">
        <f>IFERROR(INDEX(tEditais[UF],MATCH(tItens[[#This Row],[Edital]],tEditais[Edital],0)),"")</f>
        <v>RR</v>
      </c>
      <c r="I7500" s="11">
        <f>IFERROR(INDEX(tEditais[Encerramento],MATCH(tItens[[#This Row],[Edital]],tEditais[Edital],0)),"")</f>
        <v>46310.395833333336</v>
      </c>
      <c r="J7500" t="str">
        <f>IFERROR(INDEX(tProdutos[Classe],MATCH(tItens[[#This Row],[Produto]],tProdutos[Produto],0)),"produto não cadastrado")</f>
        <v>FILA REBASE</v>
      </c>
      <c r="K7500" s="12">
        <f>tItens[[#This Row],[Qtd]]*tItens[[#This Row],[Vlr unit]]</f>
        <v>303161</v>
      </c>
      <c r="L7500" s="6">
        <f>IFERROR(IF(INDEX(tProdutos[Desconto homologado],MATCH(tItens[[#This Row],[Produto]],tProdutos[Produto],0))="",DescontoPadrao,INDEX(tProdutos[Desconto homologado],MATCH(tItens[[#This Row],[Produto]],tProdutos[Produto],0))),DescontoPadrao)</f>
        <v>0.20254361398888801</v>
      </c>
      <c r="M7500" s="12">
        <f>tItens[[#This Row],[Valor]]*(1-tItens[[#This Row],[Desconto]])</f>
        <v>241757.67543951474</v>
      </c>
      <c r="N7500" t="str">
        <f>IFERROR(INDEX(tProdutos[Foco],MATCH(tItens[[#This Row],[Produto]],tProdutos[Produto],0)),"Não")</f>
        <v>Não</v>
      </c>
      <c r="O7500" t="str">
        <f>IFERROR(INDEX(tEditais[SRP],MATCH(tItens[[#This Row],[Edital]],tEditais[Edital],0)),"Não")</f>
        <v>Não</v>
      </c>
      <c r="P7500" s="4">
        <f>IF(COUNTIFS(INDEX(tItens[Edital],1):tItens[[#This Row],[Edital]],tItens[[#This Row],[Edital]],INDEX(tItens[Produto],1):tItens[[#This Row],[Produto]],tItens[[#This Row],[Produto]])=1,1,0)</f>
        <v>1</v>
      </c>
    </row>
    <row r="7501" spans="1:16" x14ac:dyDescent="0.25">
      <c r="A7501" t="s">
        <v>2483</v>
      </c>
      <c r="B7501">
        <v>4</v>
      </c>
      <c r="C7501" t="s">
        <v>10098</v>
      </c>
      <c r="D7501" t="s">
        <v>521</v>
      </c>
      <c r="E7501" s="13">
        <v>100</v>
      </c>
      <c r="F7501" s="12">
        <v>3032.69</v>
      </c>
      <c r="G7501" t="str">
        <f>IFERROR(INDEX(tEditais[Órgão],MATCH(tItens[[#This Row],[Edital]],tEditais[Edital],0)),"")</f>
        <v>SECRETARIA DE ESTADO DA SAUDE</v>
      </c>
      <c r="H7501" t="str">
        <f>IFERROR(INDEX(tEditais[UF],MATCH(tItens[[#This Row],[Edital]],tEditais[Edital],0)),"")</f>
        <v>RR</v>
      </c>
      <c r="I7501" s="11">
        <f>IFERROR(INDEX(tEditais[Encerramento],MATCH(tItens[[#This Row],[Edital]],tEditais[Edital],0)),"")</f>
        <v>46310.395833333336</v>
      </c>
      <c r="J7501" t="str">
        <f>IFERROR(INDEX(tProdutos[Classe],MATCH(tItens[[#This Row],[Produto]],tProdutos[Produto],0)),"produto não cadastrado")</f>
        <v>FILA REBASE</v>
      </c>
      <c r="K7501" s="12">
        <f>tItens[[#This Row],[Qtd]]*tItens[[#This Row],[Vlr unit]]</f>
        <v>303269</v>
      </c>
      <c r="L7501" s="6">
        <f>IFERROR(IF(INDEX(tProdutos[Desconto homologado],MATCH(tItens[[#This Row],[Produto]],tProdutos[Produto],0))="",DescontoPadrao,INDEX(tProdutos[Desconto homologado],MATCH(tItens[[#This Row],[Produto]],tProdutos[Produto],0))),DescontoPadrao)</f>
        <v>0.20254361398888801</v>
      </c>
      <c r="M7501" s="12">
        <f>tItens[[#This Row],[Valor]]*(1-tItens[[#This Row],[Desconto]])</f>
        <v>241843.80072920394</v>
      </c>
      <c r="N7501" t="str">
        <f>IFERROR(INDEX(tProdutos[Foco],MATCH(tItens[[#This Row],[Produto]],tProdutos[Produto],0)),"Não")</f>
        <v>Não</v>
      </c>
      <c r="O7501" t="str">
        <f>IFERROR(INDEX(tEditais[SRP],MATCH(tItens[[#This Row],[Edital]],tEditais[Edital],0)),"Não")</f>
        <v>Não</v>
      </c>
      <c r="P7501" s="4">
        <f>IF(COUNTIFS(INDEX(tItens[Edital],1):tItens[[#This Row],[Edital]],tItens[[#This Row],[Edital]],INDEX(tItens[Produto],1):tItens[[#This Row],[Produto]],tItens[[#This Row],[Produto]])=1,1,0)</f>
        <v>0</v>
      </c>
    </row>
    <row r="7502" spans="1:16" x14ac:dyDescent="0.25">
      <c r="A7502" t="s">
        <v>2483</v>
      </c>
      <c r="B7502">
        <v>8</v>
      </c>
      <c r="C7502" t="s">
        <v>10099</v>
      </c>
      <c r="D7502" t="s">
        <v>118</v>
      </c>
      <c r="E7502" s="13">
        <v>100</v>
      </c>
      <c r="F7502" s="12">
        <v>2199.7399999999998</v>
      </c>
      <c r="G7502" t="str">
        <f>IFERROR(INDEX(tEditais[Órgão],MATCH(tItens[[#This Row],[Edital]],tEditais[Edital],0)),"")</f>
        <v>SECRETARIA DE ESTADO DA SAUDE</v>
      </c>
      <c r="H7502" t="str">
        <f>IFERROR(INDEX(tEditais[UF],MATCH(tItens[[#This Row],[Edital]],tEditais[Edital],0)),"")</f>
        <v>RR</v>
      </c>
      <c r="I7502" s="11">
        <f>IFERROR(INDEX(tEditais[Encerramento],MATCH(tItens[[#This Row],[Edital]],tEditais[Edital],0)),"")</f>
        <v>46310.395833333336</v>
      </c>
      <c r="J7502" t="str">
        <f>IFERROR(INDEX(tProdutos[Classe],MATCH(tItens[[#This Row],[Produto]],tProdutos[Produto],0)),"produto não cadastrado")</f>
        <v>DISPUTADO</v>
      </c>
      <c r="K7502" s="12">
        <f>tItens[[#This Row],[Qtd]]*tItens[[#This Row],[Vlr unit]]</f>
        <v>219973.99999999997</v>
      </c>
      <c r="L7502" s="6">
        <f>IFERROR(IF(INDEX(tProdutos[Desconto homologado],MATCH(tItens[[#This Row],[Produto]],tProdutos[Produto],0))="",DescontoPadrao,INDEX(tProdutos[Desconto homologado],MATCH(tItens[[#This Row],[Produto]],tProdutos[Produto],0))),DescontoPadrao)</f>
        <v>0.45970952208503602</v>
      </c>
      <c r="M7502" s="12">
        <f>tItens[[#This Row],[Valor]]*(1-tItens[[#This Row],[Desconto]])</f>
        <v>118849.85758886627</v>
      </c>
      <c r="N7502" t="str">
        <f>IFERROR(INDEX(tProdutos[Foco],MATCH(tItens[[#This Row],[Produto]],tProdutos[Produto],0)),"Não")</f>
        <v>Não</v>
      </c>
      <c r="O7502" t="str">
        <f>IFERROR(INDEX(tEditais[SRP],MATCH(tItens[[#This Row],[Edital]],tEditais[Edital],0)),"Não")</f>
        <v>Não</v>
      </c>
      <c r="P7502" s="4">
        <f>IF(COUNTIFS(INDEX(tItens[Edital],1):tItens[[#This Row],[Edital]],tItens[[#This Row],[Edital]],INDEX(tItens[Produto],1):tItens[[#This Row],[Produto]],tItens[[#This Row],[Produto]])=1,1,0)</f>
        <v>1</v>
      </c>
    </row>
    <row r="7503" spans="1:16" x14ac:dyDescent="0.25">
      <c r="A7503" t="s">
        <v>2483</v>
      </c>
      <c r="B7503">
        <v>16</v>
      </c>
      <c r="C7503" t="s">
        <v>10100</v>
      </c>
      <c r="D7503" t="s">
        <v>160</v>
      </c>
      <c r="E7503" s="13">
        <v>100</v>
      </c>
      <c r="F7503" s="12">
        <v>151.52000000000001</v>
      </c>
      <c r="G7503" t="str">
        <f>IFERROR(INDEX(tEditais[Órgão],MATCH(tItens[[#This Row],[Edital]],tEditais[Edital],0)),"")</f>
        <v>SECRETARIA DE ESTADO DA SAUDE</v>
      </c>
      <c r="H7503" t="str">
        <f>IFERROR(INDEX(tEditais[UF],MATCH(tItens[[#This Row],[Edital]],tEditais[Edital],0)),"")</f>
        <v>RR</v>
      </c>
      <c r="I7503" s="11">
        <f>IFERROR(INDEX(tEditais[Encerramento],MATCH(tItens[[#This Row],[Edital]],tEditais[Edital],0)),"")</f>
        <v>46310.395833333336</v>
      </c>
      <c r="J7503" t="str">
        <f>IFERROR(INDEX(tProdutos[Classe],MATCH(tItens[[#This Row],[Produto]],tProdutos[Produto],0)),"produto não cadastrado")</f>
        <v>DISPUTADO</v>
      </c>
      <c r="K7503" s="12">
        <f>tItens[[#This Row],[Qtd]]*tItens[[#This Row],[Vlr unit]]</f>
        <v>15152.000000000002</v>
      </c>
      <c r="L7503" s="6">
        <f>IFERROR(IF(INDEX(tProdutos[Desconto homologado],MATCH(tItens[[#This Row],[Produto]],tProdutos[Produto],0))="",DescontoPadrao,INDEX(tProdutos[Desconto homologado],MATCH(tItens[[#This Row],[Produto]],tProdutos[Produto],0))),DescontoPadrao)</f>
        <v>0.28000000000000003</v>
      </c>
      <c r="M7503" s="12">
        <f>tItens[[#This Row],[Valor]]*(1-tItens[[#This Row],[Desconto]])</f>
        <v>10909.44</v>
      </c>
      <c r="N7503" t="str">
        <f>IFERROR(INDEX(tProdutos[Foco],MATCH(tItens[[#This Row],[Produto]],tProdutos[Produto],0)),"Não")</f>
        <v>Sim</v>
      </c>
      <c r="O7503" t="str">
        <f>IFERROR(INDEX(tEditais[SRP],MATCH(tItens[[#This Row],[Edital]],tEditais[Edital],0)),"Não")</f>
        <v>Não</v>
      </c>
      <c r="P7503" s="4">
        <f>IF(COUNTIFS(INDEX(tItens[Edital],1):tItens[[#This Row],[Edital]],tItens[[#This Row],[Edital]],INDEX(tItens[Produto],1):tItens[[#This Row],[Produto]],tItens[[#This Row],[Produto]])=1,1,0)</f>
        <v>1</v>
      </c>
    </row>
    <row r="7504" spans="1:16" x14ac:dyDescent="0.25">
      <c r="A7504" t="s">
        <v>2488</v>
      </c>
      <c r="B7504">
        <v>18</v>
      </c>
      <c r="C7504" t="s">
        <v>10101</v>
      </c>
      <c r="D7504" t="s">
        <v>578</v>
      </c>
      <c r="E7504" s="13">
        <v>1</v>
      </c>
      <c r="F7504" s="12">
        <v>4538</v>
      </c>
      <c r="G7504" t="str">
        <f>IFERROR(INDEX(tEditais[Órgão],MATCH(tItens[[#This Row],[Edital]],tEditais[Edital],0)),"")</f>
        <v>MUNICIPIO DE PACARAIMA</v>
      </c>
      <c r="H7504" t="str">
        <f>IFERROR(INDEX(tEditais[UF],MATCH(tItens[[#This Row],[Edital]],tEditais[Edital],0)),"")</f>
        <v>RR</v>
      </c>
      <c r="I7504" s="11">
        <f>IFERROR(INDEX(tEditais[Encerramento],MATCH(tItens[[#This Row],[Edital]],tEditais[Edital],0)),"")</f>
        <v>46314.416666666664</v>
      </c>
      <c r="J7504" t="str">
        <f>IFERROR(INDEX(tProdutos[Classe],MATCH(tItens[[#This Row],[Produto]],tProdutos[Produto],0)),"produto não cadastrado")</f>
        <v>FILA REBASE</v>
      </c>
      <c r="K7504" s="12">
        <f>tItens[[#This Row],[Qtd]]*tItens[[#This Row],[Vlr unit]]</f>
        <v>4538</v>
      </c>
      <c r="L7504" s="6">
        <f>IFERROR(IF(INDEX(tProdutos[Desconto homologado],MATCH(tItens[[#This Row],[Produto]],tProdutos[Produto],0))="",DescontoPadrao,INDEX(tProdutos[Desconto homologado],MATCH(tItens[[#This Row],[Produto]],tProdutos[Produto],0))),DescontoPadrao)</f>
        <v>0.36014625228519198</v>
      </c>
      <c r="M7504" s="12">
        <f>tItens[[#This Row],[Valor]]*(1-tItens[[#This Row],[Desconto]])</f>
        <v>2903.6563071297992</v>
      </c>
      <c r="N7504" t="str">
        <f>IFERROR(INDEX(tProdutos[Foco],MATCH(tItens[[#This Row],[Produto]],tProdutos[Produto],0)),"Não")</f>
        <v>Não</v>
      </c>
      <c r="O7504" t="str">
        <f>IFERROR(INDEX(tEditais[SRP],MATCH(tItens[[#This Row],[Edital]],tEditais[Edital],0)),"Não")</f>
        <v>Não</v>
      </c>
      <c r="P7504" s="4">
        <f>IF(COUNTIFS(INDEX(tItens[Edital],1):tItens[[#This Row],[Edital]],tItens[[#This Row],[Edital]],INDEX(tItens[Produto],1):tItens[[#This Row],[Produto]],tItens[[#This Row],[Produto]])=1,1,0)</f>
        <v>1</v>
      </c>
    </row>
    <row r="7505" spans="1:16" x14ac:dyDescent="0.25">
      <c r="A7505" t="s">
        <v>2493</v>
      </c>
      <c r="B7505">
        <v>28</v>
      </c>
      <c r="C7505" t="s">
        <v>10102</v>
      </c>
      <c r="D7505" t="s">
        <v>500</v>
      </c>
      <c r="E7505" s="13">
        <v>300</v>
      </c>
      <c r="F7505" s="12">
        <v>1.76</v>
      </c>
      <c r="G7505" t="str">
        <f>IFERROR(INDEX(tEditais[Órgão],MATCH(tItens[[#This Row],[Edital]],tEditais[Edital],0)),"")</f>
        <v>MUNICIPIO DE MORRINHOS DO SUL</v>
      </c>
      <c r="H7505" t="str">
        <f>IFERROR(INDEX(tEditais[UF],MATCH(tItens[[#This Row],[Edital]],tEditais[Edital],0)),"")</f>
        <v>RS</v>
      </c>
      <c r="I7505" s="11">
        <f>IFERROR(INDEX(tEditais[Encerramento],MATCH(tItens[[#This Row],[Edital]],tEditais[Edital],0)),"")</f>
        <v>46304.354166666664</v>
      </c>
      <c r="J7505" t="str">
        <f>IFERROR(INDEX(tProdutos[Classe],MATCH(tItens[[#This Row],[Produto]],tProdutos[Produto],0)),"produto não cadastrado")</f>
        <v>FILA REBASE</v>
      </c>
      <c r="K7505" s="12">
        <f>tItens[[#This Row],[Qtd]]*tItens[[#This Row],[Vlr unit]]</f>
        <v>528</v>
      </c>
      <c r="L7505" s="6">
        <f>IFERROR(IF(INDEX(tProdutos[Desconto homologado],MATCH(tItens[[#This Row],[Produto]],tProdutos[Produto],0))="",DescontoPadrao,INDEX(tProdutos[Desconto homologado],MATCH(tItens[[#This Row],[Produto]],tProdutos[Produto],0))),DescontoPadrao)</f>
        <v>0.267022226451467</v>
      </c>
      <c r="M7505" s="12">
        <f>tItens[[#This Row],[Valor]]*(1-tItens[[#This Row],[Desconto]])</f>
        <v>387.01226443362543</v>
      </c>
      <c r="N7505" t="str">
        <f>IFERROR(INDEX(tProdutos[Foco],MATCH(tItens[[#This Row],[Produto]],tProdutos[Produto],0)),"Não")</f>
        <v>Não</v>
      </c>
      <c r="O7505" t="str">
        <f>IFERROR(INDEX(tEditais[SRP],MATCH(tItens[[#This Row],[Edital]],tEditais[Edital],0)),"Não")</f>
        <v>Não</v>
      </c>
      <c r="P7505" s="4">
        <f>IF(COUNTIFS(INDEX(tItens[Edital],1):tItens[[#This Row],[Edital]],tItens[[#This Row],[Edital]],INDEX(tItens[Produto],1):tItens[[#This Row],[Produto]],tItens[[#This Row],[Produto]])=1,1,0)</f>
        <v>1</v>
      </c>
    </row>
    <row r="7506" spans="1:16" x14ac:dyDescent="0.25">
      <c r="A7506" t="s">
        <v>2498</v>
      </c>
      <c r="B7506">
        <v>5</v>
      </c>
      <c r="C7506" t="s">
        <v>10103</v>
      </c>
      <c r="D7506" t="s">
        <v>467</v>
      </c>
      <c r="E7506" s="13">
        <v>30</v>
      </c>
      <c r="F7506" s="12">
        <v>10.16</v>
      </c>
      <c r="G7506" t="str">
        <f>IFERROR(INDEX(tEditais[Órgão],MATCH(tItens[[#This Row],[Edital]],tEditais[Edital],0)),"")</f>
        <v>BRIGADA MILITAR DO ESTADO DO RIO GRANDE DO SUL</v>
      </c>
      <c r="H7506" t="str">
        <f>IFERROR(INDEX(tEditais[UF],MATCH(tItens[[#This Row],[Edital]],tEditais[Edital],0)),"")</f>
        <v>RS</v>
      </c>
      <c r="I7506" s="11">
        <f>IFERROR(INDEX(tEditais[Encerramento],MATCH(tItens[[#This Row],[Edital]],tEditais[Edital],0)),"")</f>
        <v>46304.364583333336</v>
      </c>
      <c r="J7506" t="str">
        <f>IFERROR(INDEX(tProdutos[Classe],MATCH(tItens[[#This Row],[Produto]],tProdutos[Produto],0)),"produto não cadastrado")</f>
        <v>FILA REBASE</v>
      </c>
      <c r="K7506" s="12">
        <f>tItens[[#This Row],[Qtd]]*tItens[[#This Row],[Vlr unit]]</f>
        <v>304.8</v>
      </c>
      <c r="L7506" s="6">
        <f>IFERROR(IF(INDEX(tProdutos[Desconto homologado],MATCH(tItens[[#This Row],[Produto]],tProdutos[Produto],0))="",DescontoPadrao,INDEX(tProdutos[Desconto homologado],MATCH(tItens[[#This Row],[Produto]],tProdutos[Produto],0))),DescontoPadrao)</f>
        <v>0.25007144898542499</v>
      </c>
      <c r="M7506" s="12">
        <f>tItens[[#This Row],[Valor]]*(1-tItens[[#This Row],[Desconto]])</f>
        <v>228.57822234924248</v>
      </c>
      <c r="N7506" t="str">
        <f>IFERROR(INDEX(tProdutos[Foco],MATCH(tItens[[#This Row],[Produto]],tProdutos[Produto],0)),"Não")</f>
        <v>Não</v>
      </c>
      <c r="O7506" t="str">
        <f>IFERROR(INDEX(tEditais[SRP],MATCH(tItens[[#This Row],[Edital]],tEditais[Edital],0)),"Não")</f>
        <v>Não</v>
      </c>
      <c r="P7506" s="4">
        <f>IF(COUNTIFS(INDEX(tItens[Edital],1):tItens[[#This Row],[Edital]],tItens[[#This Row],[Edital]],INDEX(tItens[Produto],1):tItens[[#This Row],[Produto]],tItens[[#This Row],[Produto]])=1,1,0)</f>
        <v>1</v>
      </c>
    </row>
    <row r="7507" spans="1:16" x14ac:dyDescent="0.25">
      <c r="A7507" t="s">
        <v>2503</v>
      </c>
      <c r="B7507">
        <v>1001</v>
      </c>
      <c r="C7507" t="s">
        <v>10104</v>
      </c>
      <c r="D7507" t="s">
        <v>315</v>
      </c>
      <c r="E7507" s="13">
        <v>80</v>
      </c>
      <c r="F7507" s="12">
        <v>13.08</v>
      </c>
      <c r="G7507" t="str">
        <f>IFERROR(INDEX(tEditais[Órgão],MATCH(tItens[[#This Row],[Edital]],tEditais[Edital],0)),"")</f>
        <v>MUNICIPIO DE UNIAO DA SERRA</v>
      </c>
      <c r="H7507" t="str">
        <f>IFERROR(INDEX(tEditais[UF],MATCH(tItens[[#This Row],[Edital]],tEditais[Edital],0)),"")</f>
        <v>RS</v>
      </c>
      <c r="I7507" s="11">
        <f>IFERROR(INDEX(tEditais[Encerramento],MATCH(tItens[[#This Row],[Edital]],tEditais[Edital],0)),"")</f>
        <v>46304.375</v>
      </c>
      <c r="J7507" t="str">
        <f>IFERROR(INDEX(tProdutos[Classe],MATCH(tItens[[#This Row],[Produto]],tProdutos[Produto],0)),"produto não cadastrado")</f>
        <v>FORA</v>
      </c>
      <c r="K7507" s="12">
        <f>tItens[[#This Row],[Qtd]]*tItens[[#This Row],[Vlr unit]]</f>
        <v>1046.4000000000001</v>
      </c>
      <c r="L7507" s="6">
        <f>IFERROR(IF(INDEX(tProdutos[Desconto homologado],MATCH(tItens[[#This Row],[Produto]],tProdutos[Produto],0))="",DescontoPadrao,INDEX(tProdutos[Desconto homologado],MATCH(tItens[[#This Row],[Produto]],tProdutos[Produto],0))),DescontoPadrao)</f>
        <v>0.38432036097010702</v>
      </c>
      <c r="M7507" s="12">
        <f>tItens[[#This Row],[Valor]]*(1-tItens[[#This Row],[Desconto]])</f>
        <v>644.24717428088002</v>
      </c>
      <c r="N7507" t="str">
        <f>IFERROR(INDEX(tProdutos[Foco],MATCH(tItens[[#This Row],[Produto]],tProdutos[Produto],0)),"Não")</f>
        <v>Não</v>
      </c>
      <c r="O7507" t="str">
        <f>IFERROR(INDEX(tEditais[SRP],MATCH(tItens[[#This Row],[Edital]],tEditais[Edital],0)),"Não")</f>
        <v>Não</v>
      </c>
      <c r="P7507" s="4">
        <f>IF(COUNTIFS(INDEX(tItens[Edital],1):tItens[[#This Row],[Edital]],tItens[[#This Row],[Edital]],INDEX(tItens[Produto],1):tItens[[#This Row],[Produto]],tItens[[#This Row],[Produto]])=1,1,0)</f>
        <v>1</v>
      </c>
    </row>
    <row r="7508" spans="1:16" x14ac:dyDescent="0.25">
      <c r="A7508" t="s">
        <v>2503</v>
      </c>
      <c r="B7508">
        <v>1002</v>
      </c>
      <c r="C7508" t="s">
        <v>10105</v>
      </c>
      <c r="D7508" t="s">
        <v>315</v>
      </c>
      <c r="E7508" s="13">
        <v>10</v>
      </c>
      <c r="F7508" s="12">
        <v>13.08</v>
      </c>
      <c r="G7508" t="str">
        <f>IFERROR(INDEX(tEditais[Órgão],MATCH(tItens[[#This Row],[Edital]],tEditais[Edital],0)),"")</f>
        <v>MUNICIPIO DE UNIAO DA SERRA</v>
      </c>
      <c r="H7508" t="str">
        <f>IFERROR(INDEX(tEditais[UF],MATCH(tItens[[#This Row],[Edital]],tEditais[Edital],0)),"")</f>
        <v>RS</v>
      </c>
      <c r="I7508" s="11">
        <f>IFERROR(INDEX(tEditais[Encerramento],MATCH(tItens[[#This Row],[Edital]],tEditais[Edital],0)),"")</f>
        <v>46304.375</v>
      </c>
      <c r="J7508" t="str">
        <f>IFERROR(INDEX(tProdutos[Classe],MATCH(tItens[[#This Row],[Produto]],tProdutos[Produto],0)),"produto não cadastrado")</f>
        <v>FORA</v>
      </c>
      <c r="K7508" s="12">
        <f>tItens[[#This Row],[Qtd]]*tItens[[#This Row],[Vlr unit]]</f>
        <v>130.80000000000001</v>
      </c>
      <c r="L7508" s="6">
        <f>IFERROR(IF(INDEX(tProdutos[Desconto homologado],MATCH(tItens[[#This Row],[Produto]],tProdutos[Produto],0))="",DescontoPadrao,INDEX(tProdutos[Desconto homologado],MATCH(tItens[[#This Row],[Produto]],tProdutos[Produto],0))),DescontoPadrao)</f>
        <v>0.38432036097010702</v>
      </c>
      <c r="M7508" s="12">
        <f>tItens[[#This Row],[Valor]]*(1-tItens[[#This Row],[Desconto]])</f>
        <v>80.530896785110002</v>
      </c>
      <c r="N7508" t="str">
        <f>IFERROR(INDEX(tProdutos[Foco],MATCH(tItens[[#This Row],[Produto]],tProdutos[Produto],0)),"Não")</f>
        <v>Não</v>
      </c>
      <c r="O7508" t="str">
        <f>IFERROR(INDEX(tEditais[SRP],MATCH(tItens[[#This Row],[Edital]],tEditais[Edital],0)),"Não")</f>
        <v>Não</v>
      </c>
      <c r="P7508" s="4">
        <f>IF(COUNTIFS(INDEX(tItens[Edital],1):tItens[[#This Row],[Edital]],tItens[[#This Row],[Edital]],INDEX(tItens[Produto],1):tItens[[#This Row],[Produto]],tItens[[#This Row],[Produto]])=1,1,0)</f>
        <v>0</v>
      </c>
    </row>
    <row r="7509" spans="1:16" x14ac:dyDescent="0.25">
      <c r="A7509" t="s">
        <v>2503</v>
      </c>
      <c r="B7509">
        <v>1003</v>
      </c>
      <c r="C7509" t="s">
        <v>10106</v>
      </c>
      <c r="D7509" t="s">
        <v>315</v>
      </c>
      <c r="E7509" s="13">
        <v>80</v>
      </c>
      <c r="F7509" s="12">
        <v>13.08</v>
      </c>
      <c r="G7509" t="str">
        <f>IFERROR(INDEX(tEditais[Órgão],MATCH(tItens[[#This Row],[Edital]],tEditais[Edital],0)),"")</f>
        <v>MUNICIPIO DE UNIAO DA SERRA</v>
      </c>
      <c r="H7509" t="str">
        <f>IFERROR(INDEX(tEditais[UF],MATCH(tItens[[#This Row],[Edital]],tEditais[Edital],0)),"")</f>
        <v>RS</v>
      </c>
      <c r="I7509" s="11">
        <f>IFERROR(INDEX(tEditais[Encerramento],MATCH(tItens[[#This Row],[Edital]],tEditais[Edital],0)),"")</f>
        <v>46304.375</v>
      </c>
      <c r="J7509" t="str">
        <f>IFERROR(INDEX(tProdutos[Classe],MATCH(tItens[[#This Row],[Produto]],tProdutos[Produto],0)),"produto não cadastrado")</f>
        <v>FORA</v>
      </c>
      <c r="K7509" s="12">
        <f>tItens[[#This Row],[Qtd]]*tItens[[#This Row],[Vlr unit]]</f>
        <v>1046.4000000000001</v>
      </c>
      <c r="L7509" s="6">
        <f>IFERROR(IF(INDEX(tProdutos[Desconto homologado],MATCH(tItens[[#This Row],[Produto]],tProdutos[Produto],0))="",DescontoPadrao,INDEX(tProdutos[Desconto homologado],MATCH(tItens[[#This Row],[Produto]],tProdutos[Produto],0))),DescontoPadrao)</f>
        <v>0.38432036097010702</v>
      </c>
      <c r="M7509" s="12">
        <f>tItens[[#This Row],[Valor]]*(1-tItens[[#This Row],[Desconto]])</f>
        <v>644.24717428088002</v>
      </c>
      <c r="N7509" t="str">
        <f>IFERROR(INDEX(tProdutos[Foco],MATCH(tItens[[#This Row],[Produto]],tProdutos[Produto],0)),"Não")</f>
        <v>Não</v>
      </c>
      <c r="O7509" t="str">
        <f>IFERROR(INDEX(tEditais[SRP],MATCH(tItens[[#This Row],[Edital]],tEditais[Edital],0)),"Não")</f>
        <v>Não</v>
      </c>
      <c r="P7509" s="4">
        <f>IF(COUNTIFS(INDEX(tItens[Edital],1):tItens[[#This Row],[Edital]],tItens[[#This Row],[Edital]],INDEX(tItens[Produto],1):tItens[[#This Row],[Produto]],tItens[[#This Row],[Produto]])=1,1,0)</f>
        <v>0</v>
      </c>
    </row>
    <row r="7510" spans="1:16" x14ac:dyDescent="0.25">
      <c r="A7510" t="s">
        <v>2503</v>
      </c>
      <c r="B7510">
        <v>1004</v>
      </c>
      <c r="C7510" t="s">
        <v>10107</v>
      </c>
      <c r="D7510" t="s">
        <v>315</v>
      </c>
      <c r="E7510" s="13">
        <v>60</v>
      </c>
      <c r="F7510" s="12">
        <v>13.08</v>
      </c>
      <c r="G7510" t="str">
        <f>IFERROR(INDEX(tEditais[Órgão],MATCH(tItens[[#This Row],[Edital]],tEditais[Edital],0)),"")</f>
        <v>MUNICIPIO DE UNIAO DA SERRA</v>
      </c>
      <c r="H7510" t="str">
        <f>IFERROR(INDEX(tEditais[UF],MATCH(tItens[[#This Row],[Edital]],tEditais[Edital],0)),"")</f>
        <v>RS</v>
      </c>
      <c r="I7510" s="11">
        <f>IFERROR(INDEX(tEditais[Encerramento],MATCH(tItens[[#This Row],[Edital]],tEditais[Edital],0)),"")</f>
        <v>46304.375</v>
      </c>
      <c r="J7510" t="str">
        <f>IFERROR(INDEX(tProdutos[Classe],MATCH(tItens[[#This Row],[Produto]],tProdutos[Produto],0)),"produto não cadastrado")</f>
        <v>FORA</v>
      </c>
      <c r="K7510" s="12">
        <f>tItens[[#This Row],[Qtd]]*tItens[[#This Row],[Vlr unit]]</f>
        <v>784.8</v>
      </c>
      <c r="L7510" s="6">
        <f>IFERROR(IF(INDEX(tProdutos[Desconto homologado],MATCH(tItens[[#This Row],[Produto]],tProdutos[Produto],0))="",DescontoPadrao,INDEX(tProdutos[Desconto homologado],MATCH(tItens[[#This Row],[Produto]],tProdutos[Produto],0))),DescontoPadrao)</f>
        <v>0.38432036097010702</v>
      </c>
      <c r="M7510" s="12">
        <f>tItens[[#This Row],[Valor]]*(1-tItens[[#This Row],[Desconto]])</f>
        <v>483.18538071065996</v>
      </c>
      <c r="N7510" t="str">
        <f>IFERROR(INDEX(tProdutos[Foco],MATCH(tItens[[#This Row],[Produto]],tProdutos[Produto],0)),"Não")</f>
        <v>Não</v>
      </c>
      <c r="O7510" t="str">
        <f>IFERROR(INDEX(tEditais[SRP],MATCH(tItens[[#This Row],[Edital]],tEditais[Edital],0)),"Não")</f>
        <v>Não</v>
      </c>
      <c r="P7510" s="4">
        <f>IF(COUNTIFS(INDEX(tItens[Edital],1):tItens[[#This Row],[Edital]],tItens[[#This Row],[Edital]],INDEX(tItens[Produto],1):tItens[[#This Row],[Produto]],tItens[[#This Row],[Produto]])=1,1,0)</f>
        <v>0</v>
      </c>
    </row>
    <row r="7511" spans="1:16" x14ac:dyDescent="0.25">
      <c r="A7511" t="s">
        <v>2503</v>
      </c>
      <c r="B7511">
        <v>1005</v>
      </c>
      <c r="C7511" t="s">
        <v>10108</v>
      </c>
      <c r="D7511" t="s">
        <v>315</v>
      </c>
      <c r="E7511" s="13">
        <v>60</v>
      </c>
      <c r="F7511" s="12">
        <v>13.94</v>
      </c>
      <c r="G7511" t="str">
        <f>IFERROR(INDEX(tEditais[Órgão],MATCH(tItens[[#This Row],[Edital]],tEditais[Edital],0)),"")</f>
        <v>MUNICIPIO DE UNIAO DA SERRA</v>
      </c>
      <c r="H7511" t="str">
        <f>IFERROR(INDEX(tEditais[UF],MATCH(tItens[[#This Row],[Edital]],tEditais[Edital],0)),"")</f>
        <v>RS</v>
      </c>
      <c r="I7511" s="11">
        <f>IFERROR(INDEX(tEditais[Encerramento],MATCH(tItens[[#This Row],[Edital]],tEditais[Edital],0)),"")</f>
        <v>46304.375</v>
      </c>
      <c r="J7511" t="str">
        <f>IFERROR(INDEX(tProdutos[Classe],MATCH(tItens[[#This Row],[Produto]],tProdutos[Produto],0)),"produto não cadastrado")</f>
        <v>FORA</v>
      </c>
      <c r="K7511" s="12">
        <f>tItens[[#This Row],[Qtd]]*tItens[[#This Row],[Vlr unit]]</f>
        <v>836.4</v>
      </c>
      <c r="L7511" s="6">
        <f>IFERROR(IF(INDEX(tProdutos[Desconto homologado],MATCH(tItens[[#This Row],[Produto]],tProdutos[Produto],0))="",DescontoPadrao,INDEX(tProdutos[Desconto homologado],MATCH(tItens[[#This Row],[Produto]],tProdutos[Produto],0))),DescontoPadrao)</f>
        <v>0.38432036097010702</v>
      </c>
      <c r="M7511" s="12">
        <f>tItens[[#This Row],[Valor]]*(1-tItens[[#This Row],[Desconto]])</f>
        <v>514.95445008460251</v>
      </c>
      <c r="N7511" t="str">
        <f>IFERROR(INDEX(tProdutos[Foco],MATCH(tItens[[#This Row],[Produto]],tProdutos[Produto],0)),"Não")</f>
        <v>Não</v>
      </c>
      <c r="O7511" t="str">
        <f>IFERROR(INDEX(tEditais[SRP],MATCH(tItens[[#This Row],[Edital]],tEditais[Edital],0)),"Não")</f>
        <v>Não</v>
      </c>
      <c r="P7511" s="4">
        <f>IF(COUNTIFS(INDEX(tItens[Edital],1):tItens[[#This Row],[Edital]],tItens[[#This Row],[Edital]],INDEX(tItens[Produto],1):tItens[[#This Row],[Produto]],tItens[[#This Row],[Produto]])=1,1,0)</f>
        <v>0</v>
      </c>
    </row>
    <row r="7512" spans="1:16" x14ac:dyDescent="0.25">
      <c r="A7512" t="s">
        <v>2503</v>
      </c>
      <c r="B7512">
        <v>2006</v>
      </c>
      <c r="C7512" t="s">
        <v>10109</v>
      </c>
      <c r="D7512" t="s">
        <v>461</v>
      </c>
      <c r="E7512" s="13">
        <v>5</v>
      </c>
      <c r="F7512" s="12">
        <v>30.9</v>
      </c>
      <c r="G7512" t="str">
        <f>IFERROR(INDEX(tEditais[Órgão],MATCH(tItens[[#This Row],[Edital]],tEditais[Edital],0)),"")</f>
        <v>MUNICIPIO DE UNIAO DA SERRA</v>
      </c>
      <c r="H7512" t="str">
        <f>IFERROR(INDEX(tEditais[UF],MATCH(tItens[[#This Row],[Edital]],tEditais[Edital],0)),"")</f>
        <v>RS</v>
      </c>
      <c r="I7512" s="11">
        <f>IFERROR(INDEX(tEditais[Encerramento],MATCH(tItens[[#This Row],[Edital]],tEditais[Edital],0)),"")</f>
        <v>46304.375</v>
      </c>
      <c r="J7512" t="str">
        <f>IFERROR(INDEX(tProdutos[Classe],MATCH(tItens[[#This Row],[Produto]],tProdutos[Produto],0)),"produto não cadastrado")</f>
        <v>FILA REBASE</v>
      </c>
      <c r="K7512" s="12">
        <f>tItens[[#This Row],[Qtd]]*tItens[[#This Row],[Vlr unit]]</f>
        <v>154.5</v>
      </c>
      <c r="L7512" s="6">
        <f>IFERROR(IF(INDEX(tProdutos[Desconto homologado],MATCH(tItens[[#This Row],[Produto]],tProdutos[Produto],0))="",DescontoPadrao,INDEX(tProdutos[Desconto homologado],MATCH(tItens[[#This Row],[Produto]],tProdutos[Produto],0))),DescontoPadrao)</f>
        <v>0.44096385542168698</v>
      </c>
      <c r="M7512" s="12">
        <f>tItens[[#This Row],[Valor]]*(1-tItens[[#This Row],[Desconto]])</f>
        <v>86.371084337349359</v>
      </c>
      <c r="N7512" t="str">
        <f>IFERROR(INDEX(tProdutos[Foco],MATCH(tItens[[#This Row],[Produto]],tProdutos[Produto],0)),"Não")</f>
        <v>Não</v>
      </c>
      <c r="O7512" t="str">
        <f>IFERROR(INDEX(tEditais[SRP],MATCH(tItens[[#This Row],[Edital]],tEditais[Edital],0)),"Não")</f>
        <v>Não</v>
      </c>
      <c r="P7512" s="4">
        <f>IF(COUNTIFS(INDEX(tItens[Edital],1):tItens[[#This Row],[Edital]],tItens[[#This Row],[Edital]],INDEX(tItens[Produto],1):tItens[[#This Row],[Produto]],tItens[[#This Row],[Produto]])=1,1,0)</f>
        <v>1</v>
      </c>
    </row>
    <row r="7513" spans="1:16" x14ac:dyDescent="0.25">
      <c r="A7513" t="s">
        <v>2503</v>
      </c>
      <c r="B7513">
        <v>2007</v>
      </c>
      <c r="C7513" t="s">
        <v>10110</v>
      </c>
      <c r="D7513" t="s">
        <v>461</v>
      </c>
      <c r="E7513" s="13">
        <v>5</v>
      </c>
      <c r="F7513" s="12">
        <v>29.89</v>
      </c>
      <c r="G7513" t="str">
        <f>IFERROR(INDEX(tEditais[Órgão],MATCH(tItens[[#This Row],[Edital]],tEditais[Edital],0)),"")</f>
        <v>MUNICIPIO DE UNIAO DA SERRA</v>
      </c>
      <c r="H7513" t="str">
        <f>IFERROR(INDEX(tEditais[UF],MATCH(tItens[[#This Row],[Edital]],tEditais[Edital],0)),"")</f>
        <v>RS</v>
      </c>
      <c r="I7513" s="11">
        <f>IFERROR(INDEX(tEditais[Encerramento],MATCH(tItens[[#This Row],[Edital]],tEditais[Edital],0)),"")</f>
        <v>46304.375</v>
      </c>
      <c r="J7513" t="str">
        <f>IFERROR(INDEX(tProdutos[Classe],MATCH(tItens[[#This Row],[Produto]],tProdutos[Produto],0)),"produto não cadastrado")</f>
        <v>FILA REBASE</v>
      </c>
      <c r="K7513" s="12">
        <f>tItens[[#This Row],[Qtd]]*tItens[[#This Row],[Vlr unit]]</f>
        <v>149.44999999999999</v>
      </c>
      <c r="L7513" s="6">
        <f>IFERROR(IF(INDEX(tProdutos[Desconto homologado],MATCH(tItens[[#This Row],[Produto]],tProdutos[Produto],0))="",DescontoPadrao,INDEX(tProdutos[Desconto homologado],MATCH(tItens[[#This Row],[Produto]],tProdutos[Produto],0))),DescontoPadrao)</f>
        <v>0.44096385542168698</v>
      </c>
      <c r="M7513" s="12">
        <f>tItens[[#This Row],[Valor]]*(1-tItens[[#This Row],[Desconto]])</f>
        <v>83.54795180722887</v>
      </c>
      <c r="N7513" t="str">
        <f>IFERROR(INDEX(tProdutos[Foco],MATCH(tItens[[#This Row],[Produto]],tProdutos[Produto],0)),"Não")</f>
        <v>Não</v>
      </c>
      <c r="O7513" t="str">
        <f>IFERROR(INDEX(tEditais[SRP],MATCH(tItens[[#This Row],[Edital]],tEditais[Edital],0)),"Não")</f>
        <v>Não</v>
      </c>
      <c r="P7513" s="4">
        <f>IF(COUNTIFS(INDEX(tItens[Edital],1):tItens[[#This Row],[Edital]],tItens[[#This Row],[Edital]],INDEX(tItens[Produto],1):tItens[[#This Row],[Produto]],tItens[[#This Row],[Produto]])=1,1,0)</f>
        <v>0</v>
      </c>
    </row>
    <row r="7514" spans="1:16" x14ac:dyDescent="0.25">
      <c r="A7514" t="s">
        <v>2503</v>
      </c>
      <c r="B7514">
        <v>3008</v>
      </c>
      <c r="C7514" t="s">
        <v>10111</v>
      </c>
      <c r="D7514" t="s">
        <v>275</v>
      </c>
      <c r="E7514" s="13">
        <v>6000</v>
      </c>
      <c r="F7514" s="12">
        <v>0.37</v>
      </c>
      <c r="G7514" t="str">
        <f>IFERROR(INDEX(tEditais[Órgão],MATCH(tItens[[#This Row],[Edital]],tEditais[Edital],0)),"")</f>
        <v>MUNICIPIO DE UNIAO DA SERRA</v>
      </c>
      <c r="H7514" t="str">
        <f>IFERROR(INDEX(tEditais[UF],MATCH(tItens[[#This Row],[Edital]],tEditais[Edital],0)),"")</f>
        <v>RS</v>
      </c>
      <c r="I7514" s="11">
        <f>IFERROR(INDEX(tEditais[Encerramento],MATCH(tItens[[#This Row],[Edital]],tEditais[Edital],0)),"")</f>
        <v>46304.375</v>
      </c>
      <c r="J7514" t="str">
        <f>IFERROR(INDEX(tProdutos[Classe],MATCH(tItens[[#This Row],[Produto]],tProdutos[Produto],0)),"produto não cadastrado")</f>
        <v>FORA</v>
      </c>
      <c r="K7514" s="12">
        <f>tItens[[#This Row],[Qtd]]*tItens[[#This Row],[Vlr unit]]</f>
        <v>2220</v>
      </c>
      <c r="L7514" s="6">
        <f>IFERROR(IF(INDEX(tProdutos[Desconto homologado],MATCH(tItens[[#This Row],[Produto]],tProdutos[Produto],0))="",DescontoPadrao,INDEX(tProdutos[Desconto homologado],MATCH(tItens[[#This Row],[Produto]],tProdutos[Produto],0))),DescontoPadrao)</f>
        <v>0.405797101449275</v>
      </c>
      <c r="M7514" s="12">
        <f>tItens[[#This Row],[Valor]]*(1-tItens[[#This Row],[Desconto]])</f>
        <v>1319.1304347826097</v>
      </c>
      <c r="N7514" t="str">
        <f>IFERROR(INDEX(tProdutos[Foco],MATCH(tItens[[#This Row],[Produto]],tProdutos[Produto],0)),"Não")</f>
        <v>Não</v>
      </c>
      <c r="O7514" t="str">
        <f>IFERROR(INDEX(tEditais[SRP],MATCH(tItens[[#This Row],[Edital]],tEditais[Edital],0)),"Não")</f>
        <v>Não</v>
      </c>
      <c r="P7514" s="4">
        <f>IF(COUNTIFS(INDEX(tItens[Edital],1):tItens[[#This Row],[Edital]],tItens[[#This Row],[Edital]],INDEX(tItens[Produto],1):tItens[[#This Row],[Produto]],tItens[[#This Row],[Produto]])=1,1,0)</f>
        <v>1</v>
      </c>
    </row>
    <row r="7515" spans="1:16" x14ac:dyDescent="0.25">
      <c r="A7515" t="s">
        <v>2503</v>
      </c>
      <c r="B7515">
        <v>3009</v>
      </c>
      <c r="C7515" t="s">
        <v>10112</v>
      </c>
      <c r="D7515" t="s">
        <v>283</v>
      </c>
      <c r="E7515" s="13">
        <v>800</v>
      </c>
      <c r="F7515" s="12">
        <v>0.4</v>
      </c>
      <c r="G7515" t="str">
        <f>IFERROR(INDEX(tEditais[Órgão],MATCH(tItens[[#This Row],[Edital]],tEditais[Edital],0)),"")</f>
        <v>MUNICIPIO DE UNIAO DA SERRA</v>
      </c>
      <c r="H7515" t="str">
        <f>IFERROR(INDEX(tEditais[UF],MATCH(tItens[[#This Row],[Edital]],tEditais[Edital],0)),"")</f>
        <v>RS</v>
      </c>
      <c r="I7515" s="11">
        <f>IFERROR(INDEX(tEditais[Encerramento],MATCH(tItens[[#This Row],[Edital]],tEditais[Edital],0)),"")</f>
        <v>46304.375</v>
      </c>
      <c r="J7515" t="str">
        <f>IFERROR(INDEX(tProdutos[Classe],MATCH(tItens[[#This Row],[Produto]],tProdutos[Produto],0)),"produto não cadastrado")</f>
        <v>FORA</v>
      </c>
      <c r="K7515" s="12">
        <f>tItens[[#This Row],[Qtd]]*tItens[[#This Row],[Vlr unit]]</f>
        <v>320</v>
      </c>
      <c r="L7515" s="6">
        <f>IFERROR(IF(INDEX(tProdutos[Desconto homologado],MATCH(tItens[[#This Row],[Produto]],tProdutos[Produto],0))="",DescontoPadrao,INDEX(tProdutos[Desconto homologado],MATCH(tItens[[#This Row],[Produto]],tProdutos[Produto],0))),DescontoPadrao)</f>
        <v>0.40540540540540498</v>
      </c>
      <c r="M7515" s="12">
        <f>tItens[[#This Row],[Valor]]*(1-tItens[[#This Row],[Desconto]])</f>
        <v>190.27027027027037</v>
      </c>
      <c r="N7515" t="str">
        <f>IFERROR(INDEX(tProdutos[Foco],MATCH(tItens[[#This Row],[Produto]],tProdutos[Produto],0)),"Não")</f>
        <v>Não</v>
      </c>
      <c r="O7515" t="str">
        <f>IFERROR(INDEX(tEditais[SRP],MATCH(tItens[[#This Row],[Edital]],tEditais[Edital],0)),"Não")</f>
        <v>Não</v>
      </c>
      <c r="P7515" s="4">
        <f>IF(COUNTIFS(INDEX(tItens[Edital],1):tItens[[#This Row],[Edital]],tItens[[#This Row],[Edital]],INDEX(tItens[Produto],1):tItens[[#This Row],[Produto]],tItens[[#This Row],[Produto]])=1,1,0)</f>
        <v>1</v>
      </c>
    </row>
    <row r="7516" spans="1:16" x14ac:dyDescent="0.25">
      <c r="A7516" t="s">
        <v>2503</v>
      </c>
      <c r="B7516">
        <v>3010</v>
      </c>
      <c r="C7516" t="s">
        <v>10113</v>
      </c>
      <c r="D7516" t="s">
        <v>283</v>
      </c>
      <c r="E7516" s="13">
        <v>500</v>
      </c>
      <c r="F7516" s="12">
        <v>0.26</v>
      </c>
      <c r="G7516" t="str">
        <f>IFERROR(INDEX(tEditais[Órgão],MATCH(tItens[[#This Row],[Edital]],tEditais[Edital],0)),"")</f>
        <v>MUNICIPIO DE UNIAO DA SERRA</v>
      </c>
      <c r="H7516" t="str">
        <f>IFERROR(INDEX(tEditais[UF],MATCH(tItens[[#This Row],[Edital]],tEditais[Edital],0)),"")</f>
        <v>RS</v>
      </c>
      <c r="I7516" s="11">
        <f>IFERROR(INDEX(tEditais[Encerramento],MATCH(tItens[[#This Row],[Edital]],tEditais[Edital],0)),"")</f>
        <v>46304.375</v>
      </c>
      <c r="J7516" t="str">
        <f>IFERROR(INDEX(tProdutos[Classe],MATCH(tItens[[#This Row],[Produto]],tProdutos[Produto],0)),"produto não cadastrado")</f>
        <v>FORA</v>
      </c>
      <c r="K7516" s="12">
        <f>tItens[[#This Row],[Qtd]]*tItens[[#This Row],[Vlr unit]]</f>
        <v>130</v>
      </c>
      <c r="L7516" s="6">
        <f>IFERROR(IF(INDEX(tProdutos[Desconto homologado],MATCH(tItens[[#This Row],[Produto]],tProdutos[Produto],0))="",DescontoPadrao,INDEX(tProdutos[Desconto homologado],MATCH(tItens[[#This Row],[Produto]],tProdutos[Produto],0))),DescontoPadrao)</f>
        <v>0.40540540540540498</v>
      </c>
      <c r="M7516" s="12">
        <f>tItens[[#This Row],[Valor]]*(1-tItens[[#This Row],[Desconto]])</f>
        <v>77.297297297297348</v>
      </c>
      <c r="N7516" t="str">
        <f>IFERROR(INDEX(tProdutos[Foco],MATCH(tItens[[#This Row],[Produto]],tProdutos[Produto],0)),"Não")</f>
        <v>Não</v>
      </c>
      <c r="O7516" t="str">
        <f>IFERROR(INDEX(tEditais[SRP],MATCH(tItens[[#This Row],[Edital]],tEditais[Edital],0)),"Não")</f>
        <v>Não</v>
      </c>
      <c r="P7516" s="4">
        <f>IF(COUNTIFS(INDEX(tItens[Edital],1):tItens[[#This Row],[Edital]],tItens[[#This Row],[Edital]],INDEX(tItens[Produto],1):tItens[[#This Row],[Produto]],tItens[[#This Row],[Produto]])=1,1,0)</f>
        <v>0</v>
      </c>
    </row>
    <row r="7517" spans="1:16" x14ac:dyDescent="0.25">
      <c r="A7517" t="s">
        <v>2503</v>
      </c>
      <c r="B7517">
        <v>3011</v>
      </c>
      <c r="C7517" t="s">
        <v>10114</v>
      </c>
      <c r="D7517" t="s">
        <v>265</v>
      </c>
      <c r="E7517" s="13">
        <v>800</v>
      </c>
      <c r="F7517" s="12">
        <v>0.44</v>
      </c>
      <c r="G7517" t="str">
        <f>IFERROR(INDEX(tEditais[Órgão],MATCH(tItens[[#This Row],[Edital]],tEditais[Edital],0)),"")</f>
        <v>MUNICIPIO DE UNIAO DA SERRA</v>
      </c>
      <c r="H7517" t="str">
        <f>IFERROR(INDEX(tEditais[UF],MATCH(tItens[[#This Row],[Edital]],tEditais[Edital],0)),"")</f>
        <v>RS</v>
      </c>
      <c r="I7517" s="11">
        <f>IFERROR(INDEX(tEditais[Encerramento],MATCH(tItens[[#This Row],[Edital]],tEditais[Edital],0)),"")</f>
        <v>46304.375</v>
      </c>
      <c r="J7517" t="str">
        <f>IFERROR(INDEX(tProdutos[Classe],MATCH(tItens[[#This Row],[Produto]],tProdutos[Produto],0)),"produto não cadastrado")</f>
        <v>DISPUTADO</v>
      </c>
      <c r="K7517" s="12">
        <f>tItens[[#This Row],[Qtd]]*tItens[[#This Row],[Vlr unit]]</f>
        <v>352</v>
      </c>
      <c r="L7517" s="6">
        <f>IFERROR(IF(INDEX(tProdutos[Desconto homologado],MATCH(tItens[[#This Row],[Produto]],tProdutos[Produto],0))="",DescontoPadrao,INDEX(tProdutos[Desconto homologado],MATCH(tItens[[#This Row],[Produto]],tProdutos[Produto],0))),DescontoPadrao)</f>
        <v>0.377587663709337</v>
      </c>
      <c r="M7517" s="12">
        <f>tItens[[#This Row],[Valor]]*(1-tItens[[#This Row],[Desconto]])</f>
        <v>219.08914237431338</v>
      </c>
      <c r="N7517" t="str">
        <f>IFERROR(INDEX(tProdutos[Foco],MATCH(tItens[[#This Row],[Produto]],tProdutos[Produto],0)),"Não")</f>
        <v>Não</v>
      </c>
      <c r="O7517" t="str">
        <f>IFERROR(INDEX(tEditais[SRP],MATCH(tItens[[#This Row],[Edital]],tEditais[Edital],0)),"Não")</f>
        <v>Não</v>
      </c>
      <c r="P7517" s="4">
        <f>IF(COUNTIFS(INDEX(tItens[Edital],1):tItens[[#This Row],[Edital]],tItens[[#This Row],[Edital]],INDEX(tItens[Produto],1):tItens[[#This Row],[Produto]],tItens[[#This Row],[Produto]])=1,1,0)</f>
        <v>1</v>
      </c>
    </row>
    <row r="7518" spans="1:16" x14ac:dyDescent="0.25">
      <c r="A7518" t="s">
        <v>2503</v>
      </c>
      <c r="B7518">
        <v>3012</v>
      </c>
      <c r="C7518" t="s">
        <v>10115</v>
      </c>
      <c r="D7518" t="s">
        <v>265</v>
      </c>
      <c r="E7518" s="13">
        <v>500</v>
      </c>
      <c r="F7518" s="12">
        <v>0.31</v>
      </c>
      <c r="G7518" t="str">
        <f>IFERROR(INDEX(tEditais[Órgão],MATCH(tItens[[#This Row],[Edital]],tEditais[Edital],0)),"")</f>
        <v>MUNICIPIO DE UNIAO DA SERRA</v>
      </c>
      <c r="H7518" t="str">
        <f>IFERROR(INDEX(tEditais[UF],MATCH(tItens[[#This Row],[Edital]],tEditais[Edital],0)),"")</f>
        <v>RS</v>
      </c>
      <c r="I7518" s="11">
        <f>IFERROR(INDEX(tEditais[Encerramento],MATCH(tItens[[#This Row],[Edital]],tEditais[Edital],0)),"")</f>
        <v>46304.375</v>
      </c>
      <c r="J7518" t="str">
        <f>IFERROR(INDEX(tProdutos[Classe],MATCH(tItens[[#This Row],[Produto]],tProdutos[Produto],0)),"produto não cadastrado")</f>
        <v>DISPUTADO</v>
      </c>
      <c r="K7518" s="12">
        <f>tItens[[#This Row],[Qtd]]*tItens[[#This Row],[Vlr unit]]</f>
        <v>155</v>
      </c>
      <c r="L7518" s="6">
        <f>IFERROR(IF(INDEX(tProdutos[Desconto homologado],MATCH(tItens[[#This Row],[Produto]],tProdutos[Produto],0))="",DescontoPadrao,INDEX(tProdutos[Desconto homologado],MATCH(tItens[[#This Row],[Produto]],tProdutos[Produto],0))),DescontoPadrao)</f>
        <v>0.377587663709337</v>
      </c>
      <c r="M7518" s="12">
        <f>tItens[[#This Row],[Valor]]*(1-tItens[[#This Row],[Desconto]])</f>
        <v>96.473912125052777</v>
      </c>
      <c r="N7518" t="str">
        <f>IFERROR(INDEX(tProdutos[Foco],MATCH(tItens[[#This Row],[Produto]],tProdutos[Produto],0)),"Não")</f>
        <v>Não</v>
      </c>
      <c r="O7518" t="str">
        <f>IFERROR(INDEX(tEditais[SRP],MATCH(tItens[[#This Row],[Edital]],tEditais[Edital],0)),"Não")</f>
        <v>Não</v>
      </c>
      <c r="P7518" s="4">
        <f>IF(COUNTIFS(INDEX(tItens[Edital],1):tItens[[#This Row],[Edital]],tItens[[#This Row],[Edital]],INDEX(tItens[Produto],1):tItens[[#This Row],[Produto]],tItens[[#This Row],[Produto]])=1,1,0)</f>
        <v>0</v>
      </c>
    </row>
    <row r="7519" spans="1:16" x14ac:dyDescent="0.25">
      <c r="A7519" t="s">
        <v>2503</v>
      </c>
      <c r="B7519">
        <v>3013</v>
      </c>
      <c r="C7519" t="s">
        <v>10116</v>
      </c>
      <c r="D7519" t="s">
        <v>281</v>
      </c>
      <c r="E7519" s="13">
        <v>300</v>
      </c>
      <c r="F7519" s="12">
        <v>0.51</v>
      </c>
      <c r="G7519" t="str">
        <f>IFERROR(INDEX(tEditais[Órgão],MATCH(tItens[[#This Row],[Edital]],tEditais[Edital],0)),"")</f>
        <v>MUNICIPIO DE UNIAO DA SERRA</v>
      </c>
      <c r="H7519" t="str">
        <f>IFERROR(INDEX(tEditais[UF],MATCH(tItens[[#This Row],[Edital]],tEditais[Edital],0)),"")</f>
        <v>RS</v>
      </c>
      <c r="I7519" s="11">
        <f>IFERROR(INDEX(tEditais[Encerramento],MATCH(tItens[[#This Row],[Edital]],tEditais[Edital],0)),"")</f>
        <v>46304.375</v>
      </c>
      <c r="J7519" t="str">
        <f>IFERROR(INDEX(tProdutos[Classe],MATCH(tItens[[#This Row],[Produto]],tProdutos[Produto],0)),"produto não cadastrado")</f>
        <v>DISPUTADO</v>
      </c>
      <c r="K7519" s="12">
        <f>tItens[[#This Row],[Qtd]]*tItens[[#This Row],[Vlr unit]]</f>
        <v>153</v>
      </c>
      <c r="L7519" s="6">
        <f>IFERROR(IF(INDEX(tProdutos[Desconto homologado],MATCH(tItens[[#This Row],[Produto]],tProdutos[Produto],0))="",DescontoPadrao,INDEX(tProdutos[Desconto homologado],MATCH(tItens[[#This Row],[Produto]],tProdutos[Produto],0))),DescontoPadrao)</f>
        <v>0.42461538461538501</v>
      </c>
      <c r="M7519" s="12">
        <f>tItens[[#This Row],[Valor]]*(1-tItens[[#This Row],[Desconto]])</f>
        <v>88.033846153846085</v>
      </c>
      <c r="N7519" t="str">
        <f>IFERROR(INDEX(tProdutos[Foco],MATCH(tItens[[#This Row],[Produto]],tProdutos[Produto],0)),"Não")</f>
        <v>Não</v>
      </c>
      <c r="O7519" t="str">
        <f>IFERROR(INDEX(tEditais[SRP],MATCH(tItens[[#This Row],[Edital]],tEditais[Edital],0)),"Não")</f>
        <v>Não</v>
      </c>
      <c r="P7519" s="4">
        <f>IF(COUNTIFS(INDEX(tItens[Edital],1):tItens[[#This Row],[Edital]],tItens[[#This Row],[Edital]],INDEX(tItens[Produto],1):tItens[[#This Row],[Produto]],tItens[[#This Row],[Produto]])=1,1,0)</f>
        <v>1</v>
      </c>
    </row>
    <row r="7520" spans="1:16" x14ac:dyDescent="0.25">
      <c r="A7520" t="s">
        <v>2503</v>
      </c>
      <c r="B7520">
        <v>3014</v>
      </c>
      <c r="C7520" t="s">
        <v>10117</v>
      </c>
      <c r="D7520" t="s">
        <v>289</v>
      </c>
      <c r="E7520" s="13">
        <v>30</v>
      </c>
      <c r="F7520" s="12">
        <v>78.25</v>
      </c>
      <c r="G7520" t="str">
        <f>IFERROR(INDEX(tEditais[Órgão],MATCH(tItens[[#This Row],[Edital]],tEditais[Edital],0)),"")</f>
        <v>MUNICIPIO DE UNIAO DA SERRA</v>
      </c>
      <c r="H7520" t="str">
        <f>IFERROR(INDEX(tEditais[UF],MATCH(tItens[[#This Row],[Edital]],tEditais[Edital],0)),"")</f>
        <v>RS</v>
      </c>
      <c r="I7520" s="11">
        <f>IFERROR(INDEX(tEditais[Encerramento],MATCH(tItens[[#This Row],[Edital]],tEditais[Edital],0)),"")</f>
        <v>46304.375</v>
      </c>
      <c r="J7520" t="str">
        <f>IFERROR(INDEX(tProdutos[Classe],MATCH(tItens[[#This Row],[Produto]],tProdutos[Produto],0)),"produto não cadastrado")</f>
        <v>DISPUTADO</v>
      </c>
      <c r="K7520" s="12">
        <f>tItens[[#This Row],[Qtd]]*tItens[[#This Row],[Vlr unit]]</f>
        <v>2347.5</v>
      </c>
      <c r="L7520" s="6">
        <f>IFERROR(IF(INDEX(tProdutos[Desconto homologado],MATCH(tItens[[#This Row],[Produto]],tProdutos[Produto],0))="",DescontoPadrao,INDEX(tProdutos[Desconto homologado],MATCH(tItens[[#This Row],[Produto]],tProdutos[Produto],0))),DescontoPadrao)</f>
        <v>0.35849056603773599</v>
      </c>
      <c r="M7520" s="12">
        <f>tItens[[#This Row],[Valor]]*(1-tItens[[#This Row],[Desconto]])</f>
        <v>1505.9433962264147</v>
      </c>
      <c r="N7520" t="str">
        <f>IFERROR(INDEX(tProdutos[Foco],MATCH(tItens[[#This Row],[Produto]],tProdutos[Produto],0)),"Não")</f>
        <v>Não</v>
      </c>
      <c r="O7520" t="str">
        <f>IFERROR(INDEX(tEditais[SRP],MATCH(tItens[[#This Row],[Edital]],tEditais[Edital],0)),"Não")</f>
        <v>Não</v>
      </c>
      <c r="P7520" s="4">
        <f>IF(COUNTIFS(INDEX(tItens[Edital],1):tItens[[#This Row],[Edital]],tItens[[#This Row],[Edital]],INDEX(tItens[Produto],1):tItens[[#This Row],[Produto]],tItens[[#This Row],[Produto]])=1,1,0)</f>
        <v>1</v>
      </c>
    </row>
    <row r="7521" spans="1:16" x14ac:dyDescent="0.25">
      <c r="A7521" t="s">
        <v>2503</v>
      </c>
      <c r="B7521">
        <v>5028</v>
      </c>
      <c r="C7521" t="s">
        <v>10118</v>
      </c>
      <c r="D7521" t="s">
        <v>217</v>
      </c>
      <c r="E7521" s="13">
        <v>10</v>
      </c>
      <c r="F7521" s="12">
        <v>3.25</v>
      </c>
      <c r="G7521" t="str">
        <f>IFERROR(INDEX(tEditais[Órgão],MATCH(tItens[[#This Row],[Edital]],tEditais[Edital],0)),"")</f>
        <v>MUNICIPIO DE UNIAO DA SERRA</v>
      </c>
      <c r="H7521" t="str">
        <f>IFERROR(INDEX(tEditais[UF],MATCH(tItens[[#This Row],[Edital]],tEditais[Edital],0)),"")</f>
        <v>RS</v>
      </c>
      <c r="I7521" s="11">
        <f>IFERROR(INDEX(tEditais[Encerramento],MATCH(tItens[[#This Row],[Edital]],tEditais[Edital],0)),"")</f>
        <v>46304.375</v>
      </c>
      <c r="J7521" t="str">
        <f>IFERROR(INDEX(tProdutos[Classe],MATCH(tItens[[#This Row],[Produto]],tProdutos[Produto],0)),"produto não cadastrado")</f>
        <v>FORA</v>
      </c>
      <c r="K7521" s="12">
        <f>tItens[[#This Row],[Qtd]]*tItens[[#This Row],[Vlr unit]]</f>
        <v>32.5</v>
      </c>
      <c r="L7521" s="6">
        <f>IFERROR(IF(INDEX(tProdutos[Desconto homologado],MATCH(tItens[[#This Row],[Produto]],tProdutos[Produto],0))="",DescontoPadrao,INDEX(tProdutos[Desconto homologado],MATCH(tItens[[#This Row],[Produto]],tProdutos[Produto],0))),DescontoPadrao)</f>
        <v>0.25339382757704798</v>
      </c>
      <c r="M7521" s="12">
        <f>tItens[[#This Row],[Valor]]*(1-tItens[[#This Row],[Desconto]])</f>
        <v>24.26470060374594</v>
      </c>
      <c r="N7521" t="str">
        <f>IFERROR(INDEX(tProdutos[Foco],MATCH(tItens[[#This Row],[Produto]],tProdutos[Produto],0)),"Não")</f>
        <v>Não</v>
      </c>
      <c r="O7521" t="str">
        <f>IFERROR(INDEX(tEditais[SRP],MATCH(tItens[[#This Row],[Edital]],tEditais[Edital],0)),"Não")</f>
        <v>Não</v>
      </c>
      <c r="P7521" s="4">
        <f>IF(COUNTIFS(INDEX(tItens[Edital],1):tItens[[#This Row],[Edital]],tItens[[#This Row],[Edital]],INDEX(tItens[Produto],1):tItens[[#This Row],[Produto]],tItens[[#This Row],[Produto]])=1,1,0)</f>
        <v>1</v>
      </c>
    </row>
    <row r="7522" spans="1:16" x14ac:dyDescent="0.25">
      <c r="A7522" t="s">
        <v>2503</v>
      </c>
      <c r="B7522">
        <v>7047</v>
      </c>
      <c r="C7522" t="s">
        <v>10119</v>
      </c>
      <c r="D7522" t="s">
        <v>313</v>
      </c>
      <c r="E7522" s="13">
        <v>1000</v>
      </c>
      <c r="F7522" s="12">
        <v>22.67</v>
      </c>
      <c r="G7522" t="str">
        <f>IFERROR(INDEX(tEditais[Órgão],MATCH(tItens[[#This Row],[Edital]],tEditais[Edital],0)),"")</f>
        <v>MUNICIPIO DE UNIAO DA SERRA</v>
      </c>
      <c r="H7522" t="str">
        <f>IFERROR(INDEX(tEditais[UF],MATCH(tItens[[#This Row],[Edital]],tEditais[Edital],0)),"")</f>
        <v>RS</v>
      </c>
      <c r="I7522" s="11">
        <f>IFERROR(INDEX(tEditais[Encerramento],MATCH(tItens[[#This Row],[Edital]],tEditais[Edital],0)),"")</f>
        <v>46304.375</v>
      </c>
      <c r="J7522" t="str">
        <f>IFERROR(INDEX(tProdutos[Classe],MATCH(tItens[[#This Row],[Produto]],tProdutos[Produto],0)),"produto não cadastrado")</f>
        <v>FORA</v>
      </c>
      <c r="K7522" s="12">
        <f>tItens[[#This Row],[Qtd]]*tItens[[#This Row],[Vlr unit]]</f>
        <v>22670</v>
      </c>
      <c r="L7522" s="6">
        <f>IFERROR(IF(INDEX(tProdutos[Desconto homologado],MATCH(tItens[[#This Row],[Produto]],tProdutos[Produto],0))="",DescontoPadrao,INDEX(tProdutos[Desconto homologado],MATCH(tItens[[#This Row],[Produto]],tProdutos[Produto],0))),DescontoPadrao)</f>
        <v>0.35766373163696302</v>
      </c>
      <c r="M7522" s="12">
        <f>tItens[[#This Row],[Valor]]*(1-tItens[[#This Row],[Desconto]])</f>
        <v>14561.763203790048</v>
      </c>
      <c r="N7522" t="str">
        <f>IFERROR(INDEX(tProdutos[Foco],MATCH(tItens[[#This Row],[Produto]],tProdutos[Produto],0)),"Não")</f>
        <v>Não</v>
      </c>
      <c r="O7522" t="str">
        <f>IFERROR(INDEX(tEditais[SRP],MATCH(tItens[[#This Row],[Edital]],tEditais[Edital],0)),"Não")</f>
        <v>Não</v>
      </c>
      <c r="P7522" s="4">
        <f>IF(COUNTIFS(INDEX(tItens[Edital],1):tItens[[#This Row],[Edital]],tItens[[#This Row],[Edital]],INDEX(tItens[Produto],1):tItens[[#This Row],[Produto]],tItens[[#This Row],[Produto]])=1,1,0)</f>
        <v>1</v>
      </c>
    </row>
    <row r="7523" spans="1:16" x14ac:dyDescent="0.25">
      <c r="A7523" t="s">
        <v>2503</v>
      </c>
      <c r="B7523">
        <v>7048</v>
      </c>
      <c r="C7523" t="s">
        <v>10120</v>
      </c>
      <c r="D7523" t="s">
        <v>413</v>
      </c>
      <c r="E7523" s="13">
        <v>50</v>
      </c>
      <c r="F7523" s="12">
        <v>24.96</v>
      </c>
      <c r="G7523" t="str">
        <f>IFERROR(INDEX(tEditais[Órgão],MATCH(tItens[[#This Row],[Edital]],tEditais[Edital],0)),"")</f>
        <v>MUNICIPIO DE UNIAO DA SERRA</v>
      </c>
      <c r="H7523" t="str">
        <f>IFERROR(INDEX(tEditais[UF],MATCH(tItens[[#This Row],[Edital]],tEditais[Edital],0)),"")</f>
        <v>RS</v>
      </c>
      <c r="I7523" s="11">
        <f>IFERROR(INDEX(tEditais[Encerramento],MATCH(tItens[[#This Row],[Edital]],tEditais[Edital],0)),"")</f>
        <v>46304.375</v>
      </c>
      <c r="J7523" t="str">
        <f>IFERROR(INDEX(tProdutos[Classe],MATCH(tItens[[#This Row],[Produto]],tProdutos[Produto],0)),"produto não cadastrado")</f>
        <v>FORA</v>
      </c>
      <c r="K7523" s="12">
        <f>tItens[[#This Row],[Qtd]]*tItens[[#This Row],[Vlr unit]]</f>
        <v>1248</v>
      </c>
      <c r="L7523" s="6">
        <f>IFERROR(IF(INDEX(tProdutos[Desconto homologado],MATCH(tItens[[#This Row],[Produto]],tProdutos[Produto],0))="",DescontoPadrao,INDEX(tProdutos[Desconto homologado],MATCH(tItens[[#This Row],[Produto]],tProdutos[Produto],0))),DescontoPadrao)</f>
        <v>0.477732793522267</v>
      </c>
      <c r="M7523" s="12">
        <f>tItens[[#This Row],[Valor]]*(1-tItens[[#This Row],[Desconto]])</f>
        <v>651.78947368421075</v>
      </c>
      <c r="N7523" t="str">
        <f>IFERROR(INDEX(tProdutos[Foco],MATCH(tItens[[#This Row],[Produto]],tProdutos[Produto],0)),"Não")</f>
        <v>Não</v>
      </c>
      <c r="O7523" t="str">
        <f>IFERROR(INDEX(tEditais[SRP],MATCH(tItens[[#This Row],[Edital]],tEditais[Edital],0)),"Não")</f>
        <v>Não</v>
      </c>
      <c r="P7523" s="4">
        <f>IF(COUNTIFS(INDEX(tItens[Edital],1):tItens[[#This Row],[Edital]],tItens[[#This Row],[Edital]],INDEX(tItens[Produto],1):tItens[[#This Row],[Produto]],tItens[[#This Row],[Produto]])=1,1,0)</f>
        <v>1</v>
      </c>
    </row>
    <row r="7524" spans="1:16" x14ac:dyDescent="0.25">
      <c r="A7524" t="s">
        <v>2503</v>
      </c>
      <c r="B7524">
        <v>7049</v>
      </c>
      <c r="C7524" t="s">
        <v>10121</v>
      </c>
      <c r="D7524" t="s">
        <v>343</v>
      </c>
      <c r="E7524" s="13">
        <v>100</v>
      </c>
      <c r="F7524" s="12">
        <v>1.26</v>
      </c>
      <c r="G7524" t="str">
        <f>IFERROR(INDEX(tEditais[Órgão],MATCH(tItens[[#This Row],[Edital]],tEditais[Edital],0)),"")</f>
        <v>MUNICIPIO DE UNIAO DA SERRA</v>
      </c>
      <c r="H7524" t="str">
        <f>IFERROR(INDEX(tEditais[UF],MATCH(tItens[[#This Row],[Edital]],tEditais[Edital],0)),"")</f>
        <v>RS</v>
      </c>
      <c r="I7524" s="11">
        <f>IFERROR(INDEX(tEditais[Encerramento],MATCH(tItens[[#This Row],[Edital]],tEditais[Edital],0)),"")</f>
        <v>46304.375</v>
      </c>
      <c r="J7524" t="str">
        <f>IFERROR(INDEX(tProdutos[Classe],MATCH(tItens[[#This Row],[Produto]],tProdutos[Produto],0)),"produto não cadastrado")</f>
        <v>FORA</v>
      </c>
      <c r="K7524" s="12">
        <f>tItens[[#This Row],[Qtd]]*tItens[[#This Row],[Vlr unit]]</f>
        <v>126</v>
      </c>
      <c r="L7524" s="6">
        <f>IFERROR(IF(INDEX(tProdutos[Desconto homologado],MATCH(tItens[[#This Row],[Produto]],tProdutos[Produto],0))="",DescontoPadrao,INDEX(tProdutos[Desconto homologado],MATCH(tItens[[#This Row],[Produto]],tProdutos[Produto],0))),DescontoPadrao)</f>
        <v>0.35412234042553198</v>
      </c>
      <c r="M7524" s="12">
        <f>tItens[[#This Row],[Valor]]*(1-tItens[[#This Row],[Desconto]])</f>
        <v>81.380585106382966</v>
      </c>
      <c r="N7524" t="str">
        <f>IFERROR(INDEX(tProdutos[Foco],MATCH(tItens[[#This Row],[Produto]],tProdutos[Produto],0)),"Não")</f>
        <v>Não</v>
      </c>
      <c r="O7524" t="str">
        <f>IFERROR(INDEX(tEditais[SRP],MATCH(tItens[[#This Row],[Edital]],tEditais[Edital],0)),"Não")</f>
        <v>Não</v>
      </c>
      <c r="P7524" s="4">
        <f>IF(COUNTIFS(INDEX(tItens[Edital],1):tItens[[#This Row],[Edital]],tItens[[#This Row],[Edital]],INDEX(tItens[Produto],1):tItens[[#This Row],[Produto]],tItens[[#This Row],[Produto]])=1,1,0)</f>
        <v>1</v>
      </c>
    </row>
    <row r="7525" spans="1:16" x14ac:dyDescent="0.25">
      <c r="A7525" t="s">
        <v>2503</v>
      </c>
      <c r="B7525">
        <v>7050</v>
      </c>
      <c r="C7525" t="s">
        <v>10122</v>
      </c>
      <c r="D7525" t="s">
        <v>343</v>
      </c>
      <c r="E7525" s="13">
        <v>50</v>
      </c>
      <c r="F7525" s="12">
        <v>1.26</v>
      </c>
      <c r="G7525" t="str">
        <f>IFERROR(INDEX(tEditais[Órgão],MATCH(tItens[[#This Row],[Edital]],tEditais[Edital],0)),"")</f>
        <v>MUNICIPIO DE UNIAO DA SERRA</v>
      </c>
      <c r="H7525" t="str">
        <f>IFERROR(INDEX(tEditais[UF],MATCH(tItens[[#This Row],[Edital]],tEditais[Edital],0)),"")</f>
        <v>RS</v>
      </c>
      <c r="I7525" s="11">
        <f>IFERROR(INDEX(tEditais[Encerramento],MATCH(tItens[[#This Row],[Edital]],tEditais[Edital],0)),"")</f>
        <v>46304.375</v>
      </c>
      <c r="J7525" t="str">
        <f>IFERROR(INDEX(tProdutos[Classe],MATCH(tItens[[#This Row],[Produto]],tProdutos[Produto],0)),"produto não cadastrado")</f>
        <v>FORA</v>
      </c>
      <c r="K7525" s="12">
        <f>tItens[[#This Row],[Qtd]]*tItens[[#This Row],[Vlr unit]]</f>
        <v>63</v>
      </c>
      <c r="L7525" s="6">
        <f>IFERROR(IF(INDEX(tProdutos[Desconto homologado],MATCH(tItens[[#This Row],[Produto]],tProdutos[Produto],0))="",DescontoPadrao,INDEX(tProdutos[Desconto homologado],MATCH(tItens[[#This Row],[Produto]],tProdutos[Produto],0))),DescontoPadrao)</f>
        <v>0.35412234042553198</v>
      </c>
      <c r="M7525" s="12">
        <f>tItens[[#This Row],[Valor]]*(1-tItens[[#This Row],[Desconto]])</f>
        <v>40.690292553191483</v>
      </c>
      <c r="N7525" t="str">
        <f>IFERROR(INDEX(tProdutos[Foco],MATCH(tItens[[#This Row],[Produto]],tProdutos[Produto],0)),"Não")</f>
        <v>Não</v>
      </c>
      <c r="O7525" t="str">
        <f>IFERROR(INDEX(tEditais[SRP],MATCH(tItens[[#This Row],[Edital]],tEditais[Edital],0)),"Não")</f>
        <v>Não</v>
      </c>
      <c r="P7525" s="4">
        <f>IF(COUNTIFS(INDEX(tItens[Edital],1):tItens[[#This Row],[Edital]],tItens[[#This Row],[Edital]],INDEX(tItens[Produto],1):tItens[[#This Row],[Produto]],tItens[[#This Row],[Produto]])=1,1,0)</f>
        <v>0</v>
      </c>
    </row>
    <row r="7526" spans="1:16" x14ac:dyDescent="0.25">
      <c r="A7526" t="s">
        <v>2503</v>
      </c>
      <c r="B7526">
        <v>7051</v>
      </c>
      <c r="C7526" t="s">
        <v>10123</v>
      </c>
      <c r="D7526" t="s">
        <v>343</v>
      </c>
      <c r="E7526" s="13">
        <v>200</v>
      </c>
      <c r="F7526" s="12">
        <v>1.32</v>
      </c>
      <c r="G7526" t="str">
        <f>IFERROR(INDEX(tEditais[Órgão],MATCH(tItens[[#This Row],[Edital]],tEditais[Edital],0)),"")</f>
        <v>MUNICIPIO DE UNIAO DA SERRA</v>
      </c>
      <c r="H7526" t="str">
        <f>IFERROR(INDEX(tEditais[UF],MATCH(tItens[[#This Row],[Edital]],tEditais[Edital],0)),"")</f>
        <v>RS</v>
      </c>
      <c r="I7526" s="11">
        <f>IFERROR(INDEX(tEditais[Encerramento],MATCH(tItens[[#This Row],[Edital]],tEditais[Edital],0)),"")</f>
        <v>46304.375</v>
      </c>
      <c r="J7526" t="str">
        <f>IFERROR(INDEX(tProdutos[Classe],MATCH(tItens[[#This Row],[Produto]],tProdutos[Produto],0)),"produto não cadastrado")</f>
        <v>FORA</v>
      </c>
      <c r="K7526" s="12">
        <f>tItens[[#This Row],[Qtd]]*tItens[[#This Row],[Vlr unit]]</f>
        <v>264</v>
      </c>
      <c r="L7526" s="6">
        <f>IFERROR(IF(INDEX(tProdutos[Desconto homologado],MATCH(tItens[[#This Row],[Produto]],tProdutos[Produto],0))="",DescontoPadrao,INDEX(tProdutos[Desconto homologado],MATCH(tItens[[#This Row],[Produto]],tProdutos[Produto],0))),DescontoPadrao)</f>
        <v>0.35412234042553198</v>
      </c>
      <c r="M7526" s="12">
        <f>tItens[[#This Row],[Valor]]*(1-tItens[[#This Row],[Desconto]])</f>
        <v>170.51170212765953</v>
      </c>
      <c r="N7526" t="str">
        <f>IFERROR(INDEX(tProdutos[Foco],MATCH(tItens[[#This Row],[Produto]],tProdutos[Produto],0)),"Não")</f>
        <v>Não</v>
      </c>
      <c r="O7526" t="str">
        <f>IFERROR(INDEX(tEditais[SRP],MATCH(tItens[[#This Row],[Edital]],tEditais[Edital],0)),"Não")</f>
        <v>Não</v>
      </c>
      <c r="P7526" s="4">
        <f>IF(COUNTIFS(INDEX(tItens[Edital],1):tItens[[#This Row],[Edital]],tItens[[#This Row],[Edital]],INDEX(tItens[Produto],1):tItens[[#This Row],[Produto]],tItens[[#This Row],[Produto]])=1,1,0)</f>
        <v>0</v>
      </c>
    </row>
    <row r="7527" spans="1:16" x14ac:dyDescent="0.25">
      <c r="A7527" t="s">
        <v>2503</v>
      </c>
      <c r="B7527">
        <v>7053</v>
      </c>
      <c r="C7527" t="s">
        <v>10124</v>
      </c>
      <c r="D7527" t="s">
        <v>385</v>
      </c>
      <c r="E7527" s="13">
        <v>50</v>
      </c>
      <c r="F7527" s="12">
        <v>4.2</v>
      </c>
      <c r="G7527" t="str">
        <f>IFERROR(INDEX(tEditais[Órgão],MATCH(tItens[[#This Row],[Edital]],tEditais[Edital],0)),"")</f>
        <v>MUNICIPIO DE UNIAO DA SERRA</v>
      </c>
      <c r="H7527" t="str">
        <f>IFERROR(INDEX(tEditais[UF],MATCH(tItens[[#This Row],[Edital]],tEditais[Edital],0)),"")</f>
        <v>RS</v>
      </c>
      <c r="I7527" s="11">
        <f>IFERROR(INDEX(tEditais[Encerramento],MATCH(tItens[[#This Row],[Edital]],tEditais[Edital],0)),"")</f>
        <v>46304.375</v>
      </c>
      <c r="J7527" t="str">
        <f>IFERROR(INDEX(tProdutos[Classe],MATCH(tItens[[#This Row],[Produto]],tProdutos[Produto],0)),"produto não cadastrado")</f>
        <v>FORA</v>
      </c>
      <c r="K7527" s="12">
        <f>tItens[[#This Row],[Qtd]]*tItens[[#This Row],[Vlr unit]]</f>
        <v>210</v>
      </c>
      <c r="L7527" s="6">
        <f>IFERROR(IF(INDEX(tProdutos[Desconto homologado],MATCH(tItens[[#This Row],[Produto]],tProdutos[Produto],0))="",DescontoPadrao,INDEX(tProdutos[Desconto homologado],MATCH(tItens[[#This Row],[Produto]],tProdutos[Produto],0))),DescontoPadrao)</f>
        <v>0.46969696969697</v>
      </c>
      <c r="M7527" s="12">
        <f>tItens[[#This Row],[Valor]]*(1-tItens[[#This Row],[Desconto]])</f>
        <v>111.36363636363632</v>
      </c>
      <c r="N7527" t="str">
        <f>IFERROR(INDEX(tProdutos[Foco],MATCH(tItens[[#This Row],[Produto]],tProdutos[Produto],0)),"Não")</f>
        <v>Não</v>
      </c>
      <c r="O7527" t="str">
        <f>IFERROR(INDEX(tEditais[SRP],MATCH(tItens[[#This Row],[Edital]],tEditais[Edital],0)),"Não")</f>
        <v>Não</v>
      </c>
      <c r="P7527" s="4">
        <f>IF(COUNTIFS(INDEX(tItens[Edital],1):tItens[[#This Row],[Edital]],tItens[[#This Row],[Edital]],INDEX(tItens[Produto],1):tItens[[#This Row],[Produto]],tItens[[#This Row],[Produto]])=1,1,0)</f>
        <v>1</v>
      </c>
    </row>
    <row r="7528" spans="1:16" x14ac:dyDescent="0.25">
      <c r="A7528" t="s">
        <v>2503</v>
      </c>
      <c r="B7528">
        <v>8054</v>
      </c>
      <c r="C7528" t="s">
        <v>10125</v>
      </c>
      <c r="D7528" t="s">
        <v>351</v>
      </c>
      <c r="E7528" s="13">
        <v>600</v>
      </c>
      <c r="F7528" s="12">
        <v>5.14</v>
      </c>
      <c r="G7528" t="str">
        <f>IFERROR(INDEX(tEditais[Órgão],MATCH(tItens[[#This Row],[Edital]],tEditais[Edital],0)),"")</f>
        <v>MUNICIPIO DE UNIAO DA SERRA</v>
      </c>
      <c r="H7528" t="str">
        <f>IFERROR(INDEX(tEditais[UF],MATCH(tItens[[#This Row],[Edital]],tEditais[Edital],0)),"")</f>
        <v>RS</v>
      </c>
      <c r="I7528" s="11">
        <f>IFERROR(INDEX(tEditais[Encerramento],MATCH(tItens[[#This Row],[Edital]],tEditais[Edital],0)),"")</f>
        <v>46304.375</v>
      </c>
      <c r="J7528" t="str">
        <f>IFERROR(INDEX(tProdutos[Classe],MATCH(tItens[[#This Row],[Produto]],tProdutos[Produto],0)),"produto não cadastrado")</f>
        <v>FORA</v>
      </c>
      <c r="K7528" s="12">
        <f>tItens[[#This Row],[Qtd]]*tItens[[#This Row],[Vlr unit]]</f>
        <v>3084</v>
      </c>
      <c r="L7528" s="6">
        <f>IFERROR(IF(INDEX(tProdutos[Desconto homologado],MATCH(tItens[[#This Row],[Produto]],tProdutos[Produto],0))="",DescontoPadrao,INDEX(tProdutos[Desconto homologado],MATCH(tItens[[#This Row],[Produto]],tProdutos[Produto],0))),DescontoPadrao)</f>
        <v>0.33518005540166201</v>
      </c>
      <c r="M7528" s="12">
        <f>tItens[[#This Row],[Valor]]*(1-tItens[[#This Row],[Desconto]])</f>
        <v>2050.3047091412745</v>
      </c>
      <c r="N7528" t="str">
        <f>IFERROR(INDEX(tProdutos[Foco],MATCH(tItens[[#This Row],[Produto]],tProdutos[Produto],0)),"Não")</f>
        <v>Não</v>
      </c>
      <c r="O7528" t="str">
        <f>IFERROR(INDEX(tEditais[SRP],MATCH(tItens[[#This Row],[Edital]],tEditais[Edital],0)),"Não")</f>
        <v>Não</v>
      </c>
      <c r="P7528" s="4">
        <f>IF(COUNTIFS(INDEX(tItens[Edital],1):tItens[[#This Row],[Edital]],tItens[[#This Row],[Edital]],INDEX(tItens[Produto],1):tItens[[#This Row],[Produto]],tItens[[#This Row],[Produto]])=1,1,0)</f>
        <v>1</v>
      </c>
    </row>
    <row r="7529" spans="1:16" x14ac:dyDescent="0.25">
      <c r="A7529" t="s">
        <v>2503</v>
      </c>
      <c r="B7529">
        <v>8055</v>
      </c>
      <c r="C7529" t="s">
        <v>10126</v>
      </c>
      <c r="D7529" t="s">
        <v>351</v>
      </c>
      <c r="E7529" s="13">
        <v>1000</v>
      </c>
      <c r="F7529" s="12">
        <v>5.83</v>
      </c>
      <c r="G7529" t="str">
        <f>IFERROR(INDEX(tEditais[Órgão],MATCH(tItens[[#This Row],[Edital]],tEditais[Edital],0)),"")</f>
        <v>MUNICIPIO DE UNIAO DA SERRA</v>
      </c>
      <c r="H7529" t="str">
        <f>IFERROR(INDEX(tEditais[UF],MATCH(tItens[[#This Row],[Edital]],tEditais[Edital],0)),"")</f>
        <v>RS</v>
      </c>
      <c r="I7529" s="11">
        <f>IFERROR(INDEX(tEditais[Encerramento],MATCH(tItens[[#This Row],[Edital]],tEditais[Edital],0)),"")</f>
        <v>46304.375</v>
      </c>
      <c r="J7529" t="str">
        <f>IFERROR(INDEX(tProdutos[Classe],MATCH(tItens[[#This Row],[Produto]],tProdutos[Produto],0)),"produto não cadastrado")</f>
        <v>FORA</v>
      </c>
      <c r="K7529" s="12">
        <f>tItens[[#This Row],[Qtd]]*tItens[[#This Row],[Vlr unit]]</f>
        <v>5830</v>
      </c>
      <c r="L7529" s="6">
        <f>IFERROR(IF(INDEX(tProdutos[Desconto homologado],MATCH(tItens[[#This Row],[Produto]],tProdutos[Produto],0))="",DescontoPadrao,INDEX(tProdutos[Desconto homologado],MATCH(tItens[[#This Row],[Produto]],tProdutos[Produto],0))),DescontoPadrao)</f>
        <v>0.33518005540166201</v>
      </c>
      <c r="M7529" s="12">
        <f>tItens[[#This Row],[Valor]]*(1-tItens[[#This Row],[Desconto]])</f>
        <v>3875.9002770083107</v>
      </c>
      <c r="N7529" t="str">
        <f>IFERROR(INDEX(tProdutos[Foco],MATCH(tItens[[#This Row],[Produto]],tProdutos[Produto],0)),"Não")</f>
        <v>Não</v>
      </c>
      <c r="O7529" t="str">
        <f>IFERROR(INDEX(tEditais[SRP],MATCH(tItens[[#This Row],[Edital]],tEditais[Edital],0)),"Não")</f>
        <v>Não</v>
      </c>
      <c r="P7529" s="4">
        <f>IF(COUNTIFS(INDEX(tItens[Edital],1):tItens[[#This Row],[Edital]],tItens[[#This Row],[Edital]],INDEX(tItens[Produto],1):tItens[[#This Row],[Produto]],tItens[[#This Row],[Produto]])=1,1,0)</f>
        <v>0</v>
      </c>
    </row>
    <row r="7530" spans="1:16" x14ac:dyDescent="0.25">
      <c r="A7530" t="s">
        <v>2503</v>
      </c>
      <c r="B7530">
        <v>8057</v>
      </c>
      <c r="C7530" t="s">
        <v>10127</v>
      </c>
      <c r="D7530" t="s">
        <v>351</v>
      </c>
      <c r="E7530" s="13">
        <v>1000</v>
      </c>
      <c r="F7530" s="12">
        <v>8.4600000000000009</v>
      </c>
      <c r="G7530" t="str">
        <f>IFERROR(INDEX(tEditais[Órgão],MATCH(tItens[[#This Row],[Edital]],tEditais[Edital],0)),"")</f>
        <v>MUNICIPIO DE UNIAO DA SERRA</v>
      </c>
      <c r="H7530" t="str">
        <f>IFERROR(INDEX(tEditais[UF],MATCH(tItens[[#This Row],[Edital]],tEditais[Edital],0)),"")</f>
        <v>RS</v>
      </c>
      <c r="I7530" s="11">
        <f>IFERROR(INDEX(tEditais[Encerramento],MATCH(tItens[[#This Row],[Edital]],tEditais[Edital],0)),"")</f>
        <v>46304.375</v>
      </c>
      <c r="J7530" t="str">
        <f>IFERROR(INDEX(tProdutos[Classe],MATCH(tItens[[#This Row],[Produto]],tProdutos[Produto],0)),"produto não cadastrado")</f>
        <v>FORA</v>
      </c>
      <c r="K7530" s="12">
        <f>tItens[[#This Row],[Qtd]]*tItens[[#This Row],[Vlr unit]]</f>
        <v>8460</v>
      </c>
      <c r="L7530" s="6">
        <f>IFERROR(IF(INDEX(tProdutos[Desconto homologado],MATCH(tItens[[#This Row],[Produto]],tProdutos[Produto],0))="",DescontoPadrao,INDEX(tProdutos[Desconto homologado],MATCH(tItens[[#This Row],[Produto]],tProdutos[Produto],0))),DescontoPadrao)</f>
        <v>0.33518005540166201</v>
      </c>
      <c r="M7530" s="12">
        <f>tItens[[#This Row],[Valor]]*(1-tItens[[#This Row],[Desconto]])</f>
        <v>5624.3767313019398</v>
      </c>
      <c r="N7530" t="str">
        <f>IFERROR(INDEX(tProdutos[Foco],MATCH(tItens[[#This Row],[Produto]],tProdutos[Produto],0)),"Não")</f>
        <v>Não</v>
      </c>
      <c r="O7530" t="str">
        <f>IFERROR(INDEX(tEditais[SRP],MATCH(tItens[[#This Row],[Edital]],tEditais[Edital],0)),"Não")</f>
        <v>Não</v>
      </c>
      <c r="P7530" s="4">
        <f>IF(COUNTIFS(INDEX(tItens[Edital],1):tItens[[#This Row],[Edital]],tItens[[#This Row],[Edital]],INDEX(tItens[Produto],1):tItens[[#This Row],[Produto]],tItens[[#This Row],[Produto]])=1,1,0)</f>
        <v>0</v>
      </c>
    </row>
    <row r="7531" spans="1:16" x14ac:dyDescent="0.25">
      <c r="A7531" t="s">
        <v>2503</v>
      </c>
      <c r="B7531">
        <v>8058</v>
      </c>
      <c r="C7531" t="s">
        <v>10128</v>
      </c>
      <c r="D7531" t="s">
        <v>351</v>
      </c>
      <c r="E7531" s="13">
        <v>1000</v>
      </c>
      <c r="F7531" s="12">
        <v>10.46</v>
      </c>
      <c r="G7531" t="str">
        <f>IFERROR(INDEX(tEditais[Órgão],MATCH(tItens[[#This Row],[Edital]],tEditais[Edital],0)),"")</f>
        <v>MUNICIPIO DE UNIAO DA SERRA</v>
      </c>
      <c r="H7531" t="str">
        <f>IFERROR(INDEX(tEditais[UF],MATCH(tItens[[#This Row],[Edital]],tEditais[Edital],0)),"")</f>
        <v>RS</v>
      </c>
      <c r="I7531" s="11">
        <f>IFERROR(INDEX(tEditais[Encerramento],MATCH(tItens[[#This Row],[Edital]],tEditais[Edital],0)),"")</f>
        <v>46304.375</v>
      </c>
      <c r="J7531" t="str">
        <f>IFERROR(INDEX(tProdutos[Classe],MATCH(tItens[[#This Row],[Produto]],tProdutos[Produto],0)),"produto não cadastrado")</f>
        <v>FORA</v>
      </c>
      <c r="K7531" s="12">
        <f>tItens[[#This Row],[Qtd]]*tItens[[#This Row],[Vlr unit]]</f>
        <v>10460</v>
      </c>
      <c r="L7531" s="6">
        <f>IFERROR(IF(INDEX(tProdutos[Desconto homologado],MATCH(tItens[[#This Row],[Produto]],tProdutos[Produto],0))="",DescontoPadrao,INDEX(tProdutos[Desconto homologado],MATCH(tItens[[#This Row],[Produto]],tProdutos[Produto],0))),DescontoPadrao)</f>
        <v>0.33518005540166201</v>
      </c>
      <c r="M7531" s="12">
        <f>tItens[[#This Row],[Valor]]*(1-tItens[[#This Row],[Desconto]])</f>
        <v>6954.0166204986162</v>
      </c>
      <c r="N7531" t="str">
        <f>IFERROR(INDEX(tProdutos[Foco],MATCH(tItens[[#This Row],[Produto]],tProdutos[Produto],0)),"Não")</f>
        <v>Não</v>
      </c>
      <c r="O7531" t="str">
        <f>IFERROR(INDEX(tEditais[SRP],MATCH(tItens[[#This Row],[Edital]],tEditais[Edital],0)),"Não")</f>
        <v>Não</v>
      </c>
      <c r="P7531" s="4">
        <f>IF(COUNTIFS(INDEX(tItens[Edital],1):tItens[[#This Row],[Edital]],tItens[[#This Row],[Edital]],INDEX(tItens[Produto],1):tItens[[#This Row],[Produto]],tItens[[#This Row],[Produto]])=1,1,0)</f>
        <v>0</v>
      </c>
    </row>
    <row r="7532" spans="1:16" x14ac:dyDescent="0.25">
      <c r="A7532" t="s">
        <v>2503</v>
      </c>
      <c r="B7532">
        <v>8059</v>
      </c>
      <c r="C7532" t="s">
        <v>10129</v>
      </c>
      <c r="D7532" t="s">
        <v>351</v>
      </c>
      <c r="E7532" s="13">
        <v>1000</v>
      </c>
      <c r="F7532" s="12">
        <v>12.78</v>
      </c>
      <c r="G7532" t="str">
        <f>IFERROR(INDEX(tEditais[Órgão],MATCH(tItens[[#This Row],[Edital]],tEditais[Edital],0)),"")</f>
        <v>MUNICIPIO DE UNIAO DA SERRA</v>
      </c>
      <c r="H7532" t="str">
        <f>IFERROR(INDEX(tEditais[UF],MATCH(tItens[[#This Row],[Edital]],tEditais[Edital],0)),"")</f>
        <v>RS</v>
      </c>
      <c r="I7532" s="11">
        <f>IFERROR(INDEX(tEditais[Encerramento],MATCH(tItens[[#This Row],[Edital]],tEditais[Edital],0)),"")</f>
        <v>46304.375</v>
      </c>
      <c r="J7532" t="str">
        <f>IFERROR(INDEX(tProdutos[Classe],MATCH(tItens[[#This Row],[Produto]],tProdutos[Produto],0)),"produto não cadastrado")</f>
        <v>FORA</v>
      </c>
      <c r="K7532" s="12">
        <f>tItens[[#This Row],[Qtd]]*tItens[[#This Row],[Vlr unit]]</f>
        <v>12780</v>
      </c>
      <c r="L7532" s="6">
        <f>IFERROR(IF(INDEX(tProdutos[Desconto homologado],MATCH(tItens[[#This Row],[Produto]],tProdutos[Produto],0))="",DescontoPadrao,INDEX(tProdutos[Desconto homologado],MATCH(tItens[[#This Row],[Produto]],tProdutos[Produto],0))),DescontoPadrao)</f>
        <v>0.33518005540166201</v>
      </c>
      <c r="M7532" s="12">
        <f>tItens[[#This Row],[Valor]]*(1-tItens[[#This Row],[Desconto]])</f>
        <v>8496.3988919667609</v>
      </c>
      <c r="N7532" t="str">
        <f>IFERROR(INDEX(tProdutos[Foco],MATCH(tItens[[#This Row],[Produto]],tProdutos[Produto],0)),"Não")</f>
        <v>Não</v>
      </c>
      <c r="O7532" t="str">
        <f>IFERROR(INDEX(tEditais[SRP],MATCH(tItens[[#This Row],[Edital]],tEditais[Edital],0)),"Não")</f>
        <v>Não</v>
      </c>
      <c r="P7532" s="4">
        <f>IF(COUNTIFS(INDEX(tItens[Edital],1):tItens[[#This Row],[Edital]],tItens[[#This Row],[Edital]],INDEX(tItens[Produto],1):tItens[[#This Row],[Produto]],tItens[[#This Row],[Produto]])=1,1,0)</f>
        <v>0</v>
      </c>
    </row>
    <row r="7533" spans="1:16" x14ac:dyDescent="0.25">
      <c r="A7533" t="s">
        <v>2503</v>
      </c>
      <c r="B7533">
        <v>8060</v>
      </c>
      <c r="C7533" t="s">
        <v>10130</v>
      </c>
      <c r="D7533" t="s">
        <v>351</v>
      </c>
      <c r="E7533" s="13">
        <v>200</v>
      </c>
      <c r="F7533" s="12">
        <v>14.56</v>
      </c>
      <c r="G7533" t="str">
        <f>IFERROR(INDEX(tEditais[Órgão],MATCH(tItens[[#This Row],[Edital]],tEditais[Edital],0)),"")</f>
        <v>MUNICIPIO DE UNIAO DA SERRA</v>
      </c>
      <c r="H7533" t="str">
        <f>IFERROR(INDEX(tEditais[UF],MATCH(tItens[[#This Row],[Edital]],tEditais[Edital],0)),"")</f>
        <v>RS</v>
      </c>
      <c r="I7533" s="11">
        <f>IFERROR(INDEX(tEditais[Encerramento],MATCH(tItens[[#This Row],[Edital]],tEditais[Edital],0)),"")</f>
        <v>46304.375</v>
      </c>
      <c r="J7533" t="str">
        <f>IFERROR(INDEX(tProdutos[Classe],MATCH(tItens[[#This Row],[Produto]],tProdutos[Produto],0)),"produto não cadastrado")</f>
        <v>FORA</v>
      </c>
      <c r="K7533" s="12">
        <f>tItens[[#This Row],[Qtd]]*tItens[[#This Row],[Vlr unit]]</f>
        <v>2912</v>
      </c>
      <c r="L7533" s="6">
        <f>IFERROR(IF(INDEX(tProdutos[Desconto homologado],MATCH(tItens[[#This Row],[Produto]],tProdutos[Produto],0))="",DescontoPadrao,INDEX(tProdutos[Desconto homologado],MATCH(tItens[[#This Row],[Produto]],tProdutos[Produto],0))),DescontoPadrao)</f>
        <v>0.33518005540166201</v>
      </c>
      <c r="M7533" s="12">
        <f>tItens[[#This Row],[Valor]]*(1-tItens[[#This Row],[Desconto]])</f>
        <v>1935.9556786703604</v>
      </c>
      <c r="N7533" t="str">
        <f>IFERROR(INDEX(tProdutos[Foco],MATCH(tItens[[#This Row],[Produto]],tProdutos[Produto],0)),"Não")</f>
        <v>Não</v>
      </c>
      <c r="O7533" t="str">
        <f>IFERROR(INDEX(tEditais[SRP],MATCH(tItens[[#This Row],[Edital]],tEditais[Edital],0)),"Não")</f>
        <v>Não</v>
      </c>
      <c r="P7533" s="4">
        <f>IF(COUNTIFS(INDEX(tItens[Edital],1):tItens[[#This Row],[Edital]],tItens[[#This Row],[Edital]],INDEX(tItens[Produto],1):tItens[[#This Row],[Produto]],tItens[[#This Row],[Produto]])=1,1,0)</f>
        <v>0</v>
      </c>
    </row>
    <row r="7534" spans="1:16" x14ac:dyDescent="0.25">
      <c r="A7534" t="s">
        <v>2503</v>
      </c>
      <c r="B7534">
        <v>11068</v>
      </c>
      <c r="C7534" t="s">
        <v>10131</v>
      </c>
      <c r="D7534" t="s">
        <v>90</v>
      </c>
      <c r="E7534" s="13">
        <v>600</v>
      </c>
      <c r="F7534" s="12">
        <v>6.95</v>
      </c>
      <c r="G7534" t="str">
        <f>IFERROR(INDEX(tEditais[Órgão],MATCH(tItens[[#This Row],[Edital]],tEditais[Edital],0)),"")</f>
        <v>MUNICIPIO DE UNIAO DA SERRA</v>
      </c>
      <c r="H7534" t="str">
        <f>IFERROR(INDEX(tEditais[UF],MATCH(tItens[[#This Row],[Edital]],tEditais[Edital],0)),"")</f>
        <v>RS</v>
      </c>
      <c r="I7534" s="11">
        <f>IFERROR(INDEX(tEditais[Encerramento],MATCH(tItens[[#This Row],[Edital]],tEditais[Edital],0)),"")</f>
        <v>46304.375</v>
      </c>
      <c r="J7534" t="str">
        <f>IFERROR(INDEX(tProdutos[Classe],MATCH(tItens[[#This Row],[Produto]],tProdutos[Produto],0)),"produto não cadastrado")</f>
        <v>DISPUTADO</v>
      </c>
      <c r="K7534" s="12">
        <f>tItens[[#This Row],[Qtd]]*tItens[[#This Row],[Vlr unit]]</f>
        <v>4170</v>
      </c>
      <c r="L7534" s="6">
        <f>IFERROR(IF(INDEX(tProdutos[Desconto homologado],MATCH(tItens[[#This Row],[Produto]],tProdutos[Produto],0))="",DescontoPadrao,INDEX(tProdutos[Desconto homologado],MATCH(tItens[[#This Row],[Produto]],tProdutos[Produto],0))),DescontoPadrao)</f>
        <v>0.25393823957010597</v>
      </c>
      <c r="M7534" s="12">
        <f>tItens[[#This Row],[Valor]]*(1-tItens[[#This Row],[Desconto]])</f>
        <v>3111.0775409926582</v>
      </c>
      <c r="N7534" t="str">
        <f>IFERROR(INDEX(tProdutos[Foco],MATCH(tItens[[#This Row],[Produto]],tProdutos[Produto],0)),"Não")</f>
        <v>Não</v>
      </c>
      <c r="O7534" t="str">
        <f>IFERROR(INDEX(tEditais[SRP],MATCH(tItens[[#This Row],[Edital]],tEditais[Edital],0)),"Não")</f>
        <v>Não</v>
      </c>
      <c r="P7534" s="4">
        <f>IF(COUNTIFS(INDEX(tItens[Edital],1):tItens[[#This Row],[Edital]],tItens[[#This Row],[Edital]],INDEX(tItens[Produto],1):tItens[[#This Row],[Produto]],tItens[[#This Row],[Produto]])=1,1,0)</f>
        <v>1</v>
      </c>
    </row>
    <row r="7535" spans="1:16" x14ac:dyDescent="0.25">
      <c r="A7535" t="s">
        <v>2503</v>
      </c>
      <c r="B7535">
        <v>11072</v>
      </c>
      <c r="C7535" t="s">
        <v>10132</v>
      </c>
      <c r="D7535" t="s">
        <v>77</v>
      </c>
      <c r="E7535" s="13">
        <v>300</v>
      </c>
      <c r="F7535" s="12">
        <v>12.93</v>
      </c>
      <c r="G7535" t="str">
        <f>IFERROR(INDEX(tEditais[Órgão],MATCH(tItens[[#This Row],[Edital]],tEditais[Edital],0)),"")</f>
        <v>MUNICIPIO DE UNIAO DA SERRA</v>
      </c>
      <c r="H7535" t="str">
        <f>IFERROR(INDEX(tEditais[UF],MATCH(tItens[[#This Row],[Edital]],tEditais[Edital],0)),"")</f>
        <v>RS</v>
      </c>
      <c r="I7535" s="11">
        <f>IFERROR(INDEX(tEditais[Encerramento],MATCH(tItens[[#This Row],[Edital]],tEditais[Edital],0)),"")</f>
        <v>46304.375</v>
      </c>
      <c r="J7535" t="str">
        <f>IFERROR(INDEX(tProdutos[Classe],MATCH(tItens[[#This Row],[Produto]],tProdutos[Produto],0)),"produto não cadastrado")</f>
        <v>DISPUTADO</v>
      </c>
      <c r="K7535" s="12">
        <f>tItens[[#This Row],[Qtd]]*tItens[[#This Row],[Vlr unit]]</f>
        <v>3879</v>
      </c>
      <c r="L7535" s="6">
        <f>IFERROR(IF(INDEX(tProdutos[Desconto homologado],MATCH(tItens[[#This Row],[Produto]],tProdutos[Produto],0))="",DescontoPadrao,INDEX(tProdutos[Desconto homologado],MATCH(tItens[[#This Row],[Produto]],tProdutos[Produto],0))),DescontoPadrao)</f>
        <v>0.33</v>
      </c>
      <c r="M7535" s="12">
        <f>tItens[[#This Row],[Valor]]*(1-tItens[[#This Row],[Desconto]])</f>
        <v>2598.9299999999998</v>
      </c>
      <c r="N7535" t="str">
        <f>IFERROR(INDEX(tProdutos[Foco],MATCH(tItens[[#This Row],[Produto]],tProdutos[Produto],0)),"Não")</f>
        <v>Sim</v>
      </c>
      <c r="O7535" t="str">
        <f>IFERROR(INDEX(tEditais[SRP],MATCH(tItens[[#This Row],[Edital]],tEditais[Edital],0)),"Não")</f>
        <v>Não</v>
      </c>
      <c r="P7535" s="4">
        <f>IF(COUNTIFS(INDEX(tItens[Edital],1):tItens[[#This Row],[Edital]],tItens[[#This Row],[Edital]],INDEX(tItens[Produto],1):tItens[[#This Row],[Produto]],tItens[[#This Row],[Produto]])=1,1,0)</f>
        <v>1</v>
      </c>
    </row>
    <row r="7536" spans="1:16" x14ac:dyDescent="0.25">
      <c r="A7536" t="s">
        <v>2503</v>
      </c>
      <c r="B7536">
        <v>11073</v>
      </c>
      <c r="C7536" t="s">
        <v>10133</v>
      </c>
      <c r="D7536" t="s">
        <v>77</v>
      </c>
      <c r="E7536" s="13">
        <v>300</v>
      </c>
      <c r="F7536" s="12">
        <v>17.96</v>
      </c>
      <c r="G7536" t="str">
        <f>IFERROR(INDEX(tEditais[Órgão],MATCH(tItens[[#This Row],[Edital]],tEditais[Edital],0)),"")</f>
        <v>MUNICIPIO DE UNIAO DA SERRA</v>
      </c>
      <c r="H7536" t="str">
        <f>IFERROR(INDEX(tEditais[UF],MATCH(tItens[[#This Row],[Edital]],tEditais[Edital],0)),"")</f>
        <v>RS</v>
      </c>
      <c r="I7536" s="11">
        <f>IFERROR(INDEX(tEditais[Encerramento],MATCH(tItens[[#This Row],[Edital]],tEditais[Edital],0)),"")</f>
        <v>46304.375</v>
      </c>
      <c r="J7536" t="str">
        <f>IFERROR(INDEX(tProdutos[Classe],MATCH(tItens[[#This Row],[Produto]],tProdutos[Produto],0)),"produto não cadastrado")</f>
        <v>DISPUTADO</v>
      </c>
      <c r="K7536" s="12">
        <f>tItens[[#This Row],[Qtd]]*tItens[[#This Row],[Vlr unit]]</f>
        <v>5388</v>
      </c>
      <c r="L7536" s="6">
        <f>IFERROR(IF(INDEX(tProdutos[Desconto homologado],MATCH(tItens[[#This Row],[Produto]],tProdutos[Produto],0))="",DescontoPadrao,INDEX(tProdutos[Desconto homologado],MATCH(tItens[[#This Row],[Produto]],tProdutos[Produto],0))),DescontoPadrao)</f>
        <v>0.33</v>
      </c>
      <c r="M7536" s="12">
        <f>tItens[[#This Row],[Valor]]*(1-tItens[[#This Row],[Desconto]])</f>
        <v>3609.9599999999996</v>
      </c>
      <c r="N7536" t="str">
        <f>IFERROR(INDEX(tProdutos[Foco],MATCH(tItens[[#This Row],[Produto]],tProdutos[Produto],0)),"Não")</f>
        <v>Sim</v>
      </c>
      <c r="O7536" t="str">
        <f>IFERROR(INDEX(tEditais[SRP],MATCH(tItens[[#This Row],[Edital]],tEditais[Edital],0)),"Não")</f>
        <v>Não</v>
      </c>
      <c r="P7536" s="4">
        <f>IF(COUNTIFS(INDEX(tItens[Edital],1):tItens[[#This Row],[Edital]],tItens[[#This Row],[Edital]],INDEX(tItens[Produto],1):tItens[[#This Row],[Produto]],tItens[[#This Row],[Produto]])=1,1,0)</f>
        <v>0</v>
      </c>
    </row>
    <row r="7537" spans="1:16" x14ac:dyDescent="0.25">
      <c r="A7537" t="s">
        <v>2503</v>
      </c>
      <c r="B7537">
        <v>11074</v>
      </c>
      <c r="C7537" t="s">
        <v>10134</v>
      </c>
      <c r="D7537" t="s">
        <v>77</v>
      </c>
      <c r="E7537" s="13">
        <v>300</v>
      </c>
      <c r="F7537" s="12">
        <v>5.37</v>
      </c>
      <c r="G7537" t="str">
        <f>IFERROR(INDEX(tEditais[Órgão],MATCH(tItens[[#This Row],[Edital]],tEditais[Edital],0)),"")</f>
        <v>MUNICIPIO DE UNIAO DA SERRA</v>
      </c>
      <c r="H7537" t="str">
        <f>IFERROR(INDEX(tEditais[UF],MATCH(tItens[[#This Row],[Edital]],tEditais[Edital],0)),"")</f>
        <v>RS</v>
      </c>
      <c r="I7537" s="11">
        <f>IFERROR(INDEX(tEditais[Encerramento],MATCH(tItens[[#This Row],[Edital]],tEditais[Edital],0)),"")</f>
        <v>46304.375</v>
      </c>
      <c r="J7537" t="str">
        <f>IFERROR(INDEX(tProdutos[Classe],MATCH(tItens[[#This Row],[Produto]],tProdutos[Produto],0)),"produto não cadastrado")</f>
        <v>DISPUTADO</v>
      </c>
      <c r="K7537" s="12">
        <f>tItens[[#This Row],[Qtd]]*tItens[[#This Row],[Vlr unit]]</f>
        <v>1611</v>
      </c>
      <c r="L7537" s="6">
        <f>IFERROR(IF(INDEX(tProdutos[Desconto homologado],MATCH(tItens[[#This Row],[Produto]],tProdutos[Produto],0))="",DescontoPadrao,INDEX(tProdutos[Desconto homologado],MATCH(tItens[[#This Row],[Produto]],tProdutos[Produto],0))),DescontoPadrao)</f>
        <v>0.33</v>
      </c>
      <c r="M7537" s="12">
        <f>tItens[[#This Row],[Valor]]*(1-tItens[[#This Row],[Desconto]])</f>
        <v>1079.3699999999999</v>
      </c>
      <c r="N7537" t="str">
        <f>IFERROR(INDEX(tProdutos[Foco],MATCH(tItens[[#This Row],[Produto]],tProdutos[Produto],0)),"Não")</f>
        <v>Sim</v>
      </c>
      <c r="O7537" t="str">
        <f>IFERROR(INDEX(tEditais[SRP],MATCH(tItens[[#This Row],[Edital]],tEditais[Edital],0)),"Não")</f>
        <v>Não</v>
      </c>
      <c r="P7537" s="4">
        <f>IF(COUNTIFS(INDEX(tItens[Edital],1):tItens[[#This Row],[Edital]],tItens[[#This Row],[Edital]],INDEX(tItens[Produto],1):tItens[[#This Row],[Produto]],tItens[[#This Row],[Produto]])=1,1,0)</f>
        <v>0</v>
      </c>
    </row>
    <row r="7538" spans="1:16" x14ac:dyDescent="0.25">
      <c r="A7538" t="s">
        <v>2503</v>
      </c>
      <c r="B7538">
        <v>12076</v>
      </c>
      <c r="C7538" t="s">
        <v>10135</v>
      </c>
      <c r="D7538" t="s">
        <v>142</v>
      </c>
      <c r="E7538" s="13">
        <v>20</v>
      </c>
      <c r="F7538" s="12">
        <v>7.85</v>
      </c>
      <c r="G7538" t="str">
        <f>IFERROR(INDEX(tEditais[Órgão],MATCH(tItens[[#This Row],[Edital]],tEditais[Edital],0)),"")</f>
        <v>MUNICIPIO DE UNIAO DA SERRA</v>
      </c>
      <c r="H7538" t="str">
        <f>IFERROR(INDEX(tEditais[UF],MATCH(tItens[[#This Row],[Edital]],tEditais[Edital],0)),"")</f>
        <v>RS</v>
      </c>
      <c r="I7538" s="11">
        <f>IFERROR(INDEX(tEditais[Encerramento],MATCH(tItens[[#This Row],[Edital]],tEditais[Edital],0)),"")</f>
        <v>46304.375</v>
      </c>
      <c r="J7538" t="str">
        <f>IFERROR(INDEX(tProdutos[Classe],MATCH(tItens[[#This Row],[Produto]],tProdutos[Produto],0)),"produto não cadastrado")</f>
        <v>DISPUTADO</v>
      </c>
      <c r="K7538" s="12">
        <f>tItens[[#This Row],[Qtd]]*tItens[[#This Row],[Vlr unit]]</f>
        <v>157</v>
      </c>
      <c r="L7538" s="6">
        <f>IFERROR(IF(INDEX(tProdutos[Desconto homologado],MATCH(tItens[[#This Row],[Produto]],tProdutos[Produto],0))="",DescontoPadrao,INDEX(tProdutos[Desconto homologado],MATCH(tItens[[#This Row],[Produto]],tProdutos[Produto],0))),DescontoPadrao)</f>
        <v>0.37093619495691699</v>
      </c>
      <c r="M7538" s="12">
        <f>tItens[[#This Row],[Valor]]*(1-tItens[[#This Row],[Desconto]])</f>
        <v>98.763017391764038</v>
      </c>
      <c r="N7538" t="str">
        <f>IFERROR(INDEX(tProdutos[Foco],MATCH(tItens[[#This Row],[Produto]],tProdutos[Produto],0)),"Não")</f>
        <v>Não</v>
      </c>
      <c r="O7538" t="str">
        <f>IFERROR(INDEX(tEditais[SRP],MATCH(tItens[[#This Row],[Edital]],tEditais[Edital],0)),"Não")</f>
        <v>Não</v>
      </c>
      <c r="P7538" s="4">
        <f>IF(COUNTIFS(INDEX(tItens[Edital],1):tItens[[#This Row],[Edital]],tItens[[#This Row],[Edital]],INDEX(tItens[Produto],1):tItens[[#This Row],[Produto]],tItens[[#This Row],[Produto]])=1,1,0)</f>
        <v>1</v>
      </c>
    </row>
    <row r="7539" spans="1:16" x14ac:dyDescent="0.25">
      <c r="A7539" t="s">
        <v>2503</v>
      </c>
      <c r="B7539">
        <v>14080</v>
      </c>
      <c r="C7539" t="s">
        <v>10136</v>
      </c>
      <c r="D7539" t="s">
        <v>255</v>
      </c>
      <c r="E7539" s="13">
        <v>250</v>
      </c>
      <c r="F7539" s="12">
        <v>13</v>
      </c>
      <c r="G7539" t="str">
        <f>IFERROR(INDEX(tEditais[Órgão],MATCH(tItens[[#This Row],[Edital]],tEditais[Edital],0)),"")</f>
        <v>MUNICIPIO DE UNIAO DA SERRA</v>
      </c>
      <c r="H7539" t="str">
        <f>IFERROR(INDEX(tEditais[UF],MATCH(tItens[[#This Row],[Edital]],tEditais[Edital],0)),"")</f>
        <v>RS</v>
      </c>
      <c r="I7539" s="11">
        <f>IFERROR(INDEX(tEditais[Encerramento],MATCH(tItens[[#This Row],[Edital]],tEditais[Edital],0)),"")</f>
        <v>46304.375</v>
      </c>
      <c r="J7539" t="str">
        <f>IFERROR(INDEX(tProdutos[Classe],MATCH(tItens[[#This Row],[Produto]],tProdutos[Produto],0)),"produto não cadastrado")</f>
        <v>DISPUTADO</v>
      </c>
      <c r="K7539" s="12">
        <f>tItens[[#This Row],[Qtd]]*tItens[[#This Row],[Vlr unit]]</f>
        <v>3250</v>
      </c>
      <c r="L7539" s="6">
        <f>IFERROR(IF(INDEX(tProdutos[Desconto homologado],MATCH(tItens[[#This Row],[Produto]],tProdutos[Produto],0))="",DescontoPadrao,INDEX(tProdutos[Desconto homologado],MATCH(tItens[[#This Row],[Produto]],tProdutos[Produto],0))),DescontoPadrao)</f>
        <v>0.30555555555555602</v>
      </c>
      <c r="M7539" s="12">
        <f>tItens[[#This Row],[Valor]]*(1-tItens[[#This Row],[Desconto]])</f>
        <v>2256.944444444443</v>
      </c>
      <c r="N7539" t="str">
        <f>IFERROR(INDEX(tProdutos[Foco],MATCH(tItens[[#This Row],[Produto]],tProdutos[Produto],0)),"Não")</f>
        <v>Não</v>
      </c>
      <c r="O7539" t="str">
        <f>IFERROR(INDEX(tEditais[SRP],MATCH(tItens[[#This Row],[Edital]],tEditais[Edital],0)),"Não")</f>
        <v>Não</v>
      </c>
      <c r="P7539" s="4">
        <f>IF(COUNTIFS(INDEX(tItens[Edital],1):tItens[[#This Row],[Edital]],tItens[[#This Row],[Edital]],INDEX(tItens[Produto],1):tItens[[#This Row],[Produto]],tItens[[#This Row],[Produto]])=1,1,0)</f>
        <v>1</v>
      </c>
    </row>
    <row r="7540" spans="1:16" x14ac:dyDescent="0.25">
      <c r="A7540" t="s">
        <v>2503</v>
      </c>
      <c r="B7540">
        <v>14081</v>
      </c>
      <c r="C7540" t="s">
        <v>10137</v>
      </c>
      <c r="D7540" t="s">
        <v>255</v>
      </c>
      <c r="E7540" s="13">
        <v>250</v>
      </c>
      <c r="F7540" s="12">
        <v>45</v>
      </c>
      <c r="G7540" t="str">
        <f>IFERROR(INDEX(tEditais[Órgão],MATCH(tItens[[#This Row],[Edital]],tEditais[Edital],0)),"")</f>
        <v>MUNICIPIO DE UNIAO DA SERRA</v>
      </c>
      <c r="H7540" t="str">
        <f>IFERROR(INDEX(tEditais[UF],MATCH(tItens[[#This Row],[Edital]],tEditais[Edital],0)),"")</f>
        <v>RS</v>
      </c>
      <c r="I7540" s="11">
        <f>IFERROR(INDEX(tEditais[Encerramento],MATCH(tItens[[#This Row],[Edital]],tEditais[Edital],0)),"")</f>
        <v>46304.375</v>
      </c>
      <c r="J7540" t="str">
        <f>IFERROR(INDEX(tProdutos[Classe],MATCH(tItens[[#This Row],[Produto]],tProdutos[Produto],0)),"produto não cadastrado")</f>
        <v>DISPUTADO</v>
      </c>
      <c r="K7540" s="12">
        <f>tItens[[#This Row],[Qtd]]*tItens[[#This Row],[Vlr unit]]</f>
        <v>11250</v>
      </c>
      <c r="L7540" s="6">
        <f>IFERROR(IF(INDEX(tProdutos[Desconto homologado],MATCH(tItens[[#This Row],[Produto]],tProdutos[Produto],0))="",DescontoPadrao,INDEX(tProdutos[Desconto homologado],MATCH(tItens[[#This Row],[Produto]],tProdutos[Produto],0))),DescontoPadrao)</f>
        <v>0.30555555555555602</v>
      </c>
      <c r="M7540" s="12">
        <f>tItens[[#This Row],[Valor]]*(1-tItens[[#This Row],[Desconto]])</f>
        <v>7812.4999999999945</v>
      </c>
      <c r="N7540" t="str">
        <f>IFERROR(INDEX(tProdutos[Foco],MATCH(tItens[[#This Row],[Produto]],tProdutos[Produto],0)),"Não")</f>
        <v>Não</v>
      </c>
      <c r="O7540" t="str">
        <f>IFERROR(INDEX(tEditais[SRP],MATCH(tItens[[#This Row],[Edital]],tEditais[Edital],0)),"Não")</f>
        <v>Não</v>
      </c>
      <c r="P7540" s="4">
        <f>IF(COUNTIFS(INDEX(tItens[Edital],1):tItens[[#This Row],[Edital]],tItens[[#This Row],[Edital]],INDEX(tItens[Produto],1):tItens[[#This Row],[Produto]],tItens[[#This Row],[Produto]])=1,1,0)</f>
        <v>0</v>
      </c>
    </row>
    <row r="7541" spans="1:16" x14ac:dyDescent="0.25">
      <c r="A7541" t="s">
        <v>2503</v>
      </c>
      <c r="B7541">
        <v>20099</v>
      </c>
      <c r="C7541" t="s">
        <v>10138</v>
      </c>
      <c r="D7541" t="s">
        <v>73</v>
      </c>
      <c r="E7541" s="13">
        <v>20</v>
      </c>
      <c r="F7541" s="12">
        <v>1.4</v>
      </c>
      <c r="G7541" t="str">
        <f>IFERROR(INDEX(tEditais[Órgão],MATCH(tItens[[#This Row],[Edital]],tEditais[Edital],0)),"")</f>
        <v>MUNICIPIO DE UNIAO DA SERRA</v>
      </c>
      <c r="H7541" t="str">
        <f>IFERROR(INDEX(tEditais[UF],MATCH(tItens[[#This Row],[Edital]],tEditais[Edital],0)),"")</f>
        <v>RS</v>
      </c>
      <c r="I7541" s="11">
        <f>IFERROR(INDEX(tEditais[Encerramento],MATCH(tItens[[#This Row],[Edital]],tEditais[Edital],0)),"")</f>
        <v>46304.375</v>
      </c>
      <c r="J7541" t="str">
        <f>IFERROR(INDEX(tProdutos[Classe],MATCH(tItens[[#This Row],[Produto]],tProdutos[Produto],0)),"produto não cadastrado")</f>
        <v>NÚCLEO</v>
      </c>
      <c r="K7541" s="12">
        <f>tItens[[#This Row],[Qtd]]*tItens[[#This Row],[Vlr unit]]</f>
        <v>28</v>
      </c>
      <c r="L7541" s="6">
        <f>IFERROR(IF(INDEX(tProdutos[Desconto homologado],MATCH(tItens[[#This Row],[Produto]],tProdutos[Produto],0))="",DescontoPadrao,INDEX(tProdutos[Desconto homologado],MATCH(tItens[[#This Row],[Produto]],tProdutos[Produto],0))),DescontoPadrao)</f>
        <v>0.37</v>
      </c>
      <c r="M7541" s="12">
        <f>tItens[[#This Row],[Valor]]*(1-tItens[[#This Row],[Desconto]])</f>
        <v>17.64</v>
      </c>
      <c r="N7541" t="str">
        <f>IFERROR(INDEX(tProdutos[Foco],MATCH(tItens[[#This Row],[Produto]],tProdutos[Produto],0)),"Não")</f>
        <v>Sim</v>
      </c>
      <c r="O7541" t="str">
        <f>IFERROR(INDEX(tEditais[SRP],MATCH(tItens[[#This Row],[Edital]],tEditais[Edital],0)),"Não")</f>
        <v>Não</v>
      </c>
      <c r="P7541" s="4">
        <f>IF(COUNTIFS(INDEX(tItens[Edital],1):tItens[[#This Row],[Edital]],tItens[[#This Row],[Edital]],INDEX(tItens[Produto],1):tItens[[#This Row],[Produto]],tItens[[#This Row],[Produto]])=1,1,0)</f>
        <v>1</v>
      </c>
    </row>
    <row r="7542" spans="1:16" x14ac:dyDescent="0.25">
      <c r="A7542" t="s">
        <v>2503</v>
      </c>
      <c r="B7542">
        <v>20100</v>
      </c>
      <c r="C7542" t="s">
        <v>10139</v>
      </c>
      <c r="D7542" t="s">
        <v>73</v>
      </c>
      <c r="E7542" s="13">
        <v>800</v>
      </c>
      <c r="F7542" s="12">
        <v>1</v>
      </c>
      <c r="G7542" t="str">
        <f>IFERROR(INDEX(tEditais[Órgão],MATCH(tItens[[#This Row],[Edital]],tEditais[Edital],0)),"")</f>
        <v>MUNICIPIO DE UNIAO DA SERRA</v>
      </c>
      <c r="H7542" t="str">
        <f>IFERROR(INDEX(tEditais[UF],MATCH(tItens[[#This Row],[Edital]],tEditais[Edital],0)),"")</f>
        <v>RS</v>
      </c>
      <c r="I7542" s="11">
        <f>IFERROR(INDEX(tEditais[Encerramento],MATCH(tItens[[#This Row],[Edital]],tEditais[Edital],0)),"")</f>
        <v>46304.375</v>
      </c>
      <c r="J7542" t="str">
        <f>IFERROR(INDEX(tProdutos[Classe],MATCH(tItens[[#This Row],[Produto]],tProdutos[Produto],0)),"produto não cadastrado")</f>
        <v>NÚCLEO</v>
      </c>
      <c r="K7542" s="12">
        <f>tItens[[#This Row],[Qtd]]*tItens[[#This Row],[Vlr unit]]</f>
        <v>800</v>
      </c>
      <c r="L7542" s="6">
        <f>IFERROR(IF(INDEX(tProdutos[Desconto homologado],MATCH(tItens[[#This Row],[Produto]],tProdutos[Produto],0))="",DescontoPadrao,INDEX(tProdutos[Desconto homologado],MATCH(tItens[[#This Row],[Produto]],tProdutos[Produto],0))),DescontoPadrao)</f>
        <v>0.37</v>
      </c>
      <c r="M7542" s="12">
        <f>tItens[[#This Row],[Valor]]*(1-tItens[[#This Row],[Desconto]])</f>
        <v>504</v>
      </c>
      <c r="N7542" t="str">
        <f>IFERROR(INDEX(tProdutos[Foco],MATCH(tItens[[#This Row],[Produto]],tProdutos[Produto],0)),"Não")</f>
        <v>Sim</v>
      </c>
      <c r="O7542" t="str">
        <f>IFERROR(INDEX(tEditais[SRP],MATCH(tItens[[#This Row],[Edital]],tEditais[Edital],0)),"Não")</f>
        <v>Não</v>
      </c>
      <c r="P7542" s="4">
        <f>IF(COUNTIFS(INDEX(tItens[Edital],1):tItens[[#This Row],[Edital]],tItens[[#This Row],[Edital]],INDEX(tItens[Produto],1):tItens[[#This Row],[Produto]],tItens[[#This Row],[Produto]])=1,1,0)</f>
        <v>0</v>
      </c>
    </row>
    <row r="7543" spans="1:16" x14ac:dyDescent="0.25">
      <c r="A7543" t="s">
        <v>2503</v>
      </c>
      <c r="B7543">
        <v>20101</v>
      </c>
      <c r="C7543" t="s">
        <v>10140</v>
      </c>
      <c r="D7543" t="s">
        <v>233</v>
      </c>
      <c r="E7543" s="13">
        <v>100</v>
      </c>
      <c r="F7543" s="12">
        <v>15.19</v>
      </c>
      <c r="G7543" t="str">
        <f>IFERROR(INDEX(tEditais[Órgão],MATCH(tItens[[#This Row],[Edital]],tEditais[Edital],0)),"")</f>
        <v>MUNICIPIO DE UNIAO DA SERRA</v>
      </c>
      <c r="H7543" t="str">
        <f>IFERROR(INDEX(tEditais[UF],MATCH(tItens[[#This Row],[Edital]],tEditais[Edital],0)),"")</f>
        <v>RS</v>
      </c>
      <c r="I7543" s="11">
        <f>IFERROR(INDEX(tEditais[Encerramento],MATCH(tItens[[#This Row],[Edital]],tEditais[Edital],0)),"")</f>
        <v>46304.375</v>
      </c>
      <c r="J7543" t="str">
        <f>IFERROR(INDEX(tProdutos[Classe],MATCH(tItens[[#This Row],[Produto]],tProdutos[Produto],0)),"produto não cadastrado")</f>
        <v>FORA</v>
      </c>
      <c r="K7543" s="12">
        <f>tItens[[#This Row],[Qtd]]*tItens[[#This Row],[Vlr unit]]</f>
        <v>1519</v>
      </c>
      <c r="L7543" s="6">
        <f>IFERROR(IF(INDEX(tProdutos[Desconto homologado],MATCH(tItens[[#This Row],[Produto]],tProdutos[Produto],0))="",DescontoPadrao,INDEX(tProdutos[Desconto homologado],MATCH(tItens[[#This Row],[Produto]],tProdutos[Produto],0))),DescontoPadrao)</f>
        <v>0.246270084162204</v>
      </c>
      <c r="M7543" s="12">
        <f>tItens[[#This Row],[Valor]]*(1-tItens[[#This Row],[Desconto]])</f>
        <v>1144.9157421576122</v>
      </c>
      <c r="N7543" t="str">
        <f>IFERROR(INDEX(tProdutos[Foco],MATCH(tItens[[#This Row],[Produto]],tProdutos[Produto],0)),"Não")</f>
        <v>Não</v>
      </c>
      <c r="O7543" t="str">
        <f>IFERROR(INDEX(tEditais[SRP],MATCH(tItens[[#This Row],[Edital]],tEditais[Edital],0)),"Não")</f>
        <v>Não</v>
      </c>
      <c r="P7543" s="4">
        <f>IF(COUNTIFS(INDEX(tItens[Edital],1):tItens[[#This Row],[Edital]],tItens[[#This Row],[Edital]],INDEX(tItens[Produto],1):tItens[[#This Row],[Produto]],tItens[[#This Row],[Produto]])=1,1,0)</f>
        <v>1</v>
      </c>
    </row>
    <row r="7544" spans="1:16" x14ac:dyDescent="0.25">
      <c r="A7544" t="s">
        <v>2503</v>
      </c>
      <c r="B7544">
        <v>22106</v>
      </c>
      <c r="C7544" t="s">
        <v>10141</v>
      </c>
      <c r="D7544" t="s">
        <v>333</v>
      </c>
      <c r="E7544" s="13">
        <v>2000</v>
      </c>
      <c r="F7544" s="12">
        <v>1.47</v>
      </c>
      <c r="G7544" t="str">
        <f>IFERROR(INDEX(tEditais[Órgão],MATCH(tItens[[#This Row],[Edital]],tEditais[Edital],0)),"")</f>
        <v>MUNICIPIO DE UNIAO DA SERRA</v>
      </c>
      <c r="H7544" t="str">
        <f>IFERROR(INDEX(tEditais[UF],MATCH(tItens[[#This Row],[Edital]],tEditais[Edital],0)),"")</f>
        <v>RS</v>
      </c>
      <c r="I7544" s="11">
        <f>IFERROR(INDEX(tEditais[Encerramento],MATCH(tItens[[#This Row],[Edital]],tEditais[Edital],0)),"")</f>
        <v>46304.375</v>
      </c>
      <c r="J7544" t="str">
        <f>IFERROR(INDEX(tProdutos[Classe],MATCH(tItens[[#This Row],[Produto]],tProdutos[Produto],0)),"produto não cadastrado")</f>
        <v>FORA</v>
      </c>
      <c r="K7544" s="12">
        <f>tItens[[#This Row],[Qtd]]*tItens[[#This Row],[Vlr unit]]</f>
        <v>2940</v>
      </c>
      <c r="L7544" s="6">
        <f>IFERROR(IF(INDEX(tProdutos[Desconto homologado],MATCH(tItens[[#This Row],[Produto]],tProdutos[Produto],0))="",DescontoPadrao,INDEX(tProdutos[Desconto homologado],MATCH(tItens[[#This Row],[Produto]],tProdutos[Produto],0))),DescontoPadrao)</f>
        <v>0.48951048951048998</v>
      </c>
      <c r="M7544" s="12">
        <f>tItens[[#This Row],[Valor]]*(1-tItens[[#This Row],[Desconto]])</f>
        <v>1500.8391608391594</v>
      </c>
      <c r="N7544" t="str">
        <f>IFERROR(INDEX(tProdutos[Foco],MATCH(tItens[[#This Row],[Produto]],tProdutos[Produto],0)),"Não")</f>
        <v>Não</v>
      </c>
      <c r="O7544" t="str">
        <f>IFERROR(INDEX(tEditais[SRP],MATCH(tItens[[#This Row],[Edital]],tEditais[Edital],0)),"Não")</f>
        <v>Não</v>
      </c>
      <c r="P7544" s="4">
        <f>IF(COUNTIFS(INDEX(tItens[Edital],1):tItens[[#This Row],[Edital]],tItens[[#This Row],[Edital]],INDEX(tItens[Produto],1):tItens[[#This Row],[Produto]],tItens[[#This Row],[Produto]])=1,1,0)</f>
        <v>1</v>
      </c>
    </row>
    <row r="7545" spans="1:16" x14ac:dyDescent="0.25">
      <c r="A7545" t="s">
        <v>2503</v>
      </c>
      <c r="B7545">
        <v>22107</v>
      </c>
      <c r="C7545" t="s">
        <v>10142</v>
      </c>
      <c r="D7545" t="s">
        <v>333</v>
      </c>
      <c r="E7545" s="13">
        <v>250</v>
      </c>
      <c r="F7545" s="12">
        <v>1.49</v>
      </c>
      <c r="G7545" t="str">
        <f>IFERROR(INDEX(tEditais[Órgão],MATCH(tItens[[#This Row],[Edital]],tEditais[Edital],0)),"")</f>
        <v>MUNICIPIO DE UNIAO DA SERRA</v>
      </c>
      <c r="H7545" t="str">
        <f>IFERROR(INDEX(tEditais[UF],MATCH(tItens[[#This Row],[Edital]],tEditais[Edital],0)),"")</f>
        <v>RS</v>
      </c>
      <c r="I7545" s="11">
        <f>IFERROR(INDEX(tEditais[Encerramento],MATCH(tItens[[#This Row],[Edital]],tEditais[Edital],0)),"")</f>
        <v>46304.375</v>
      </c>
      <c r="J7545" t="str">
        <f>IFERROR(INDEX(tProdutos[Classe],MATCH(tItens[[#This Row],[Produto]],tProdutos[Produto],0)),"produto não cadastrado")</f>
        <v>FORA</v>
      </c>
      <c r="K7545" s="12">
        <f>tItens[[#This Row],[Qtd]]*tItens[[#This Row],[Vlr unit]]</f>
        <v>372.5</v>
      </c>
      <c r="L7545" s="6">
        <f>IFERROR(IF(INDEX(tProdutos[Desconto homologado],MATCH(tItens[[#This Row],[Produto]],tProdutos[Produto],0))="",DescontoPadrao,INDEX(tProdutos[Desconto homologado],MATCH(tItens[[#This Row],[Produto]],tProdutos[Produto],0))),DescontoPadrao)</f>
        <v>0.48951048951048998</v>
      </c>
      <c r="M7545" s="12">
        <f>tItens[[#This Row],[Valor]]*(1-tItens[[#This Row],[Desconto]])</f>
        <v>190.15734265734247</v>
      </c>
      <c r="N7545" t="str">
        <f>IFERROR(INDEX(tProdutos[Foco],MATCH(tItens[[#This Row],[Produto]],tProdutos[Produto],0)),"Não")</f>
        <v>Não</v>
      </c>
      <c r="O7545" t="str">
        <f>IFERROR(INDEX(tEditais[SRP],MATCH(tItens[[#This Row],[Edital]],tEditais[Edital],0)),"Não")</f>
        <v>Não</v>
      </c>
      <c r="P7545" s="4">
        <f>IF(COUNTIFS(INDEX(tItens[Edital],1):tItens[[#This Row],[Edital]],tItens[[#This Row],[Edital]],INDEX(tItens[Produto],1):tItens[[#This Row],[Produto]],tItens[[#This Row],[Produto]])=1,1,0)</f>
        <v>0</v>
      </c>
    </row>
    <row r="7546" spans="1:16" x14ac:dyDescent="0.25">
      <c r="A7546" t="s">
        <v>2503</v>
      </c>
      <c r="B7546">
        <v>22108</v>
      </c>
      <c r="C7546" t="s">
        <v>10143</v>
      </c>
      <c r="D7546" t="s">
        <v>187</v>
      </c>
      <c r="E7546" s="13">
        <v>800</v>
      </c>
      <c r="F7546" s="12">
        <v>1.26</v>
      </c>
      <c r="G7546" t="str">
        <f>IFERROR(INDEX(tEditais[Órgão],MATCH(tItens[[#This Row],[Edital]],tEditais[Edital],0)),"")</f>
        <v>MUNICIPIO DE UNIAO DA SERRA</v>
      </c>
      <c r="H7546" t="str">
        <f>IFERROR(INDEX(tEditais[UF],MATCH(tItens[[#This Row],[Edital]],tEditais[Edital],0)),"")</f>
        <v>RS</v>
      </c>
      <c r="I7546" s="11">
        <f>IFERROR(INDEX(tEditais[Encerramento],MATCH(tItens[[#This Row],[Edital]],tEditais[Edital],0)),"")</f>
        <v>46304.375</v>
      </c>
      <c r="J7546" t="str">
        <f>IFERROR(INDEX(tProdutos[Classe],MATCH(tItens[[#This Row],[Produto]],tProdutos[Produto],0)),"produto não cadastrado")</f>
        <v>DISPUTADO</v>
      </c>
      <c r="K7546" s="12">
        <f>tItens[[#This Row],[Qtd]]*tItens[[#This Row],[Vlr unit]]</f>
        <v>1008</v>
      </c>
      <c r="L7546" s="6">
        <f>IFERROR(IF(INDEX(tProdutos[Desconto homologado],MATCH(tItens[[#This Row],[Produto]],tProdutos[Produto],0))="",DescontoPadrao,INDEX(tProdutos[Desconto homologado],MATCH(tItens[[#This Row],[Produto]],tProdutos[Produto],0))),DescontoPadrao)</f>
        <v>0.44298820445609399</v>
      </c>
      <c r="M7546" s="12">
        <f>tItens[[#This Row],[Valor]]*(1-tItens[[#This Row],[Desconto]])</f>
        <v>561.46788990825723</v>
      </c>
      <c r="N7546" t="str">
        <f>IFERROR(INDEX(tProdutos[Foco],MATCH(tItens[[#This Row],[Produto]],tProdutos[Produto],0)),"Não")</f>
        <v>Não</v>
      </c>
      <c r="O7546" t="str">
        <f>IFERROR(INDEX(tEditais[SRP],MATCH(tItens[[#This Row],[Edital]],tEditais[Edital],0)),"Não")</f>
        <v>Não</v>
      </c>
      <c r="P7546" s="4">
        <f>IF(COUNTIFS(INDEX(tItens[Edital],1):tItens[[#This Row],[Edital]],tItens[[#This Row],[Edital]],INDEX(tItens[Produto],1):tItens[[#This Row],[Produto]],tItens[[#This Row],[Produto]])=1,1,0)</f>
        <v>1</v>
      </c>
    </row>
    <row r="7547" spans="1:16" x14ac:dyDescent="0.25">
      <c r="A7547" t="s">
        <v>2503</v>
      </c>
      <c r="B7547">
        <v>23112</v>
      </c>
      <c r="C7547" t="s">
        <v>10144</v>
      </c>
      <c r="D7547" t="s">
        <v>467</v>
      </c>
      <c r="E7547" s="13">
        <v>30</v>
      </c>
      <c r="F7547" s="12">
        <v>8.25</v>
      </c>
      <c r="G7547" t="str">
        <f>IFERROR(INDEX(tEditais[Órgão],MATCH(tItens[[#This Row],[Edital]],tEditais[Edital],0)),"")</f>
        <v>MUNICIPIO DE UNIAO DA SERRA</v>
      </c>
      <c r="H7547" t="str">
        <f>IFERROR(INDEX(tEditais[UF],MATCH(tItens[[#This Row],[Edital]],tEditais[Edital],0)),"")</f>
        <v>RS</v>
      </c>
      <c r="I7547" s="11">
        <f>IFERROR(INDEX(tEditais[Encerramento],MATCH(tItens[[#This Row],[Edital]],tEditais[Edital],0)),"")</f>
        <v>46304.375</v>
      </c>
      <c r="J7547" t="str">
        <f>IFERROR(INDEX(tProdutos[Classe],MATCH(tItens[[#This Row],[Produto]],tProdutos[Produto],0)),"produto não cadastrado")</f>
        <v>FILA REBASE</v>
      </c>
      <c r="K7547" s="12">
        <f>tItens[[#This Row],[Qtd]]*tItens[[#This Row],[Vlr unit]]</f>
        <v>247.5</v>
      </c>
      <c r="L7547" s="6">
        <f>IFERROR(IF(INDEX(tProdutos[Desconto homologado],MATCH(tItens[[#This Row],[Produto]],tProdutos[Produto],0))="",DescontoPadrao,INDEX(tProdutos[Desconto homologado],MATCH(tItens[[#This Row],[Produto]],tProdutos[Produto],0))),DescontoPadrao)</f>
        <v>0.25007144898542499</v>
      </c>
      <c r="M7547" s="12">
        <f>tItens[[#This Row],[Valor]]*(1-tItens[[#This Row],[Desconto]])</f>
        <v>185.60731637610732</v>
      </c>
      <c r="N7547" t="str">
        <f>IFERROR(INDEX(tProdutos[Foco],MATCH(tItens[[#This Row],[Produto]],tProdutos[Produto],0)),"Não")</f>
        <v>Não</v>
      </c>
      <c r="O7547" t="str">
        <f>IFERROR(INDEX(tEditais[SRP],MATCH(tItens[[#This Row],[Edital]],tEditais[Edital],0)),"Não")</f>
        <v>Não</v>
      </c>
      <c r="P7547" s="4">
        <f>IF(COUNTIFS(INDEX(tItens[Edital],1):tItens[[#This Row],[Edital]],tItens[[#This Row],[Edital]],INDEX(tItens[Produto],1):tItens[[#This Row],[Produto]],tItens[[#This Row],[Produto]])=1,1,0)</f>
        <v>1</v>
      </c>
    </row>
    <row r="7548" spans="1:16" x14ac:dyDescent="0.25">
      <c r="A7548" t="s">
        <v>2503</v>
      </c>
      <c r="B7548">
        <v>24115</v>
      </c>
      <c r="C7548" t="s">
        <v>10145</v>
      </c>
      <c r="D7548" t="s">
        <v>56</v>
      </c>
      <c r="E7548" s="13">
        <v>30</v>
      </c>
      <c r="F7548" s="12">
        <v>23</v>
      </c>
      <c r="G7548" t="str">
        <f>IFERROR(INDEX(tEditais[Órgão],MATCH(tItens[[#This Row],[Edital]],tEditais[Edital],0)),"")</f>
        <v>MUNICIPIO DE UNIAO DA SERRA</v>
      </c>
      <c r="H7548" t="str">
        <f>IFERROR(INDEX(tEditais[UF],MATCH(tItens[[#This Row],[Edital]],tEditais[Edital],0)),"")</f>
        <v>RS</v>
      </c>
      <c r="I7548" s="11">
        <f>IFERROR(INDEX(tEditais[Encerramento],MATCH(tItens[[#This Row],[Edital]],tEditais[Edital],0)),"")</f>
        <v>46304.375</v>
      </c>
      <c r="J7548" t="str">
        <f>IFERROR(INDEX(tProdutos[Classe],MATCH(tItens[[#This Row],[Produto]],tProdutos[Produto],0)),"produto não cadastrado")</f>
        <v>NÚCLEO</v>
      </c>
      <c r="K7548" s="12">
        <f>tItens[[#This Row],[Qtd]]*tItens[[#This Row],[Vlr unit]]</f>
        <v>690</v>
      </c>
      <c r="L7548" s="6">
        <f>IFERROR(IF(INDEX(tProdutos[Desconto homologado],MATCH(tItens[[#This Row],[Produto]],tProdutos[Produto],0))="",DescontoPadrao,INDEX(tProdutos[Desconto homologado],MATCH(tItens[[#This Row],[Produto]],tProdutos[Produto],0))),DescontoPadrao)</f>
        <v>0.34</v>
      </c>
      <c r="M7548" s="12">
        <f>tItens[[#This Row],[Valor]]*(1-tItens[[#This Row],[Desconto]])</f>
        <v>455.39999999999992</v>
      </c>
      <c r="N7548" t="str">
        <f>IFERROR(INDEX(tProdutos[Foco],MATCH(tItens[[#This Row],[Produto]],tProdutos[Produto],0)),"Não")</f>
        <v>Sim</v>
      </c>
      <c r="O7548" t="str">
        <f>IFERROR(INDEX(tEditais[SRP],MATCH(tItens[[#This Row],[Edital]],tEditais[Edital],0)),"Não")</f>
        <v>Não</v>
      </c>
      <c r="P7548" s="4">
        <f>IF(COUNTIFS(INDEX(tItens[Edital],1):tItens[[#This Row],[Edital]],tItens[[#This Row],[Edital]],INDEX(tItens[Produto],1):tItens[[#This Row],[Produto]],tItens[[#This Row],[Produto]])=1,1,0)</f>
        <v>1</v>
      </c>
    </row>
    <row r="7549" spans="1:16" x14ac:dyDescent="0.25">
      <c r="A7549" t="s">
        <v>2503</v>
      </c>
      <c r="B7549">
        <v>24116</v>
      </c>
      <c r="C7549" t="s">
        <v>10146</v>
      </c>
      <c r="D7549" t="s">
        <v>56</v>
      </c>
      <c r="E7549" s="13">
        <v>30</v>
      </c>
      <c r="F7549" s="12">
        <v>27.29</v>
      </c>
      <c r="G7549" t="str">
        <f>IFERROR(INDEX(tEditais[Órgão],MATCH(tItens[[#This Row],[Edital]],tEditais[Edital],0)),"")</f>
        <v>MUNICIPIO DE UNIAO DA SERRA</v>
      </c>
      <c r="H7549" t="str">
        <f>IFERROR(INDEX(tEditais[UF],MATCH(tItens[[#This Row],[Edital]],tEditais[Edital],0)),"")</f>
        <v>RS</v>
      </c>
      <c r="I7549" s="11">
        <f>IFERROR(INDEX(tEditais[Encerramento],MATCH(tItens[[#This Row],[Edital]],tEditais[Edital],0)),"")</f>
        <v>46304.375</v>
      </c>
      <c r="J7549" t="str">
        <f>IFERROR(INDEX(tProdutos[Classe],MATCH(tItens[[#This Row],[Produto]],tProdutos[Produto],0)),"produto não cadastrado")</f>
        <v>NÚCLEO</v>
      </c>
      <c r="K7549" s="12">
        <f>tItens[[#This Row],[Qtd]]*tItens[[#This Row],[Vlr unit]]</f>
        <v>818.69999999999993</v>
      </c>
      <c r="L7549" s="6">
        <f>IFERROR(IF(INDEX(tProdutos[Desconto homologado],MATCH(tItens[[#This Row],[Produto]],tProdutos[Produto],0))="",DescontoPadrao,INDEX(tProdutos[Desconto homologado],MATCH(tItens[[#This Row],[Produto]],tProdutos[Produto],0))),DescontoPadrao)</f>
        <v>0.34</v>
      </c>
      <c r="M7549" s="12">
        <f>tItens[[#This Row],[Valor]]*(1-tItens[[#This Row],[Desconto]])</f>
        <v>540.34199999999987</v>
      </c>
      <c r="N7549" t="str">
        <f>IFERROR(INDEX(tProdutos[Foco],MATCH(tItens[[#This Row],[Produto]],tProdutos[Produto],0)),"Não")</f>
        <v>Sim</v>
      </c>
      <c r="O7549" t="str">
        <f>IFERROR(INDEX(tEditais[SRP],MATCH(tItens[[#This Row],[Edital]],tEditais[Edital],0)),"Não")</f>
        <v>Não</v>
      </c>
      <c r="P7549" s="4">
        <f>IF(COUNTIFS(INDEX(tItens[Edital],1):tItens[[#This Row],[Edital]],tItens[[#This Row],[Edital]],INDEX(tItens[Produto],1):tItens[[#This Row],[Produto]],tItens[[#This Row],[Produto]])=1,1,0)</f>
        <v>0</v>
      </c>
    </row>
    <row r="7550" spans="1:16" x14ac:dyDescent="0.25">
      <c r="A7550" t="s">
        <v>2503</v>
      </c>
      <c r="B7550">
        <v>25118</v>
      </c>
      <c r="C7550" t="s">
        <v>10147</v>
      </c>
      <c r="D7550" t="s">
        <v>267</v>
      </c>
      <c r="E7550" s="13">
        <v>400</v>
      </c>
      <c r="F7550" s="12">
        <v>19.79</v>
      </c>
      <c r="G7550" t="str">
        <f>IFERROR(INDEX(tEditais[Órgão],MATCH(tItens[[#This Row],[Edital]],tEditais[Edital],0)),"")</f>
        <v>MUNICIPIO DE UNIAO DA SERRA</v>
      </c>
      <c r="H7550" t="str">
        <f>IFERROR(INDEX(tEditais[UF],MATCH(tItens[[#This Row],[Edital]],tEditais[Edital],0)),"")</f>
        <v>RS</v>
      </c>
      <c r="I7550" s="11">
        <f>IFERROR(INDEX(tEditais[Encerramento],MATCH(tItens[[#This Row],[Edital]],tEditais[Edital],0)),"")</f>
        <v>46304.375</v>
      </c>
      <c r="J7550" t="str">
        <f>IFERROR(INDEX(tProdutos[Classe],MATCH(tItens[[#This Row],[Produto]],tProdutos[Produto],0)),"produto não cadastrado")</f>
        <v>FORA</v>
      </c>
      <c r="K7550" s="12">
        <f>tItens[[#This Row],[Qtd]]*tItens[[#This Row],[Vlr unit]]</f>
        <v>7916</v>
      </c>
      <c r="L7550" s="6">
        <f>IFERROR(IF(INDEX(tProdutos[Desconto homologado],MATCH(tItens[[#This Row],[Produto]],tProdutos[Produto],0))="",DescontoPadrao,INDEX(tProdutos[Desconto homologado],MATCH(tItens[[#This Row],[Produto]],tProdutos[Produto],0))),DescontoPadrao)</f>
        <v>0.19963672657401599</v>
      </c>
      <c r="M7550" s="12">
        <f>tItens[[#This Row],[Valor]]*(1-tItens[[#This Row],[Desconto]])</f>
        <v>6335.6756724400893</v>
      </c>
      <c r="N7550" t="str">
        <f>IFERROR(INDEX(tProdutos[Foco],MATCH(tItens[[#This Row],[Produto]],tProdutos[Produto],0)),"Não")</f>
        <v>Não</v>
      </c>
      <c r="O7550" t="str">
        <f>IFERROR(INDEX(tEditais[SRP],MATCH(tItens[[#This Row],[Edital]],tEditais[Edital],0)),"Não")</f>
        <v>Não</v>
      </c>
      <c r="P7550" s="4">
        <f>IF(COUNTIFS(INDEX(tItens[Edital],1):tItens[[#This Row],[Edital]],tItens[[#This Row],[Edital]],INDEX(tItens[Produto],1):tItens[[#This Row],[Produto]],tItens[[#This Row],[Produto]])=1,1,0)</f>
        <v>1</v>
      </c>
    </row>
    <row r="7551" spans="1:16" x14ac:dyDescent="0.25">
      <c r="A7551" t="s">
        <v>2503</v>
      </c>
      <c r="B7551">
        <v>27128</v>
      </c>
      <c r="C7551" t="s">
        <v>10148</v>
      </c>
      <c r="D7551" t="s">
        <v>120</v>
      </c>
      <c r="E7551" s="13">
        <v>2000</v>
      </c>
      <c r="F7551" s="12">
        <v>1.35</v>
      </c>
      <c r="G7551" t="str">
        <f>IFERROR(INDEX(tEditais[Órgão],MATCH(tItens[[#This Row],[Edital]],tEditais[Edital],0)),"")</f>
        <v>MUNICIPIO DE UNIAO DA SERRA</v>
      </c>
      <c r="H7551" t="str">
        <f>IFERROR(INDEX(tEditais[UF],MATCH(tItens[[#This Row],[Edital]],tEditais[Edital],0)),"")</f>
        <v>RS</v>
      </c>
      <c r="I7551" s="11">
        <f>IFERROR(INDEX(tEditais[Encerramento],MATCH(tItens[[#This Row],[Edital]],tEditais[Edital],0)),"")</f>
        <v>46304.375</v>
      </c>
      <c r="J7551" t="str">
        <f>IFERROR(INDEX(tProdutos[Classe],MATCH(tItens[[#This Row],[Produto]],tProdutos[Produto],0)),"produto não cadastrado")</f>
        <v>DISPUTADO</v>
      </c>
      <c r="K7551" s="12">
        <f>tItens[[#This Row],[Qtd]]*tItens[[#This Row],[Vlr unit]]</f>
        <v>2700</v>
      </c>
      <c r="L7551" s="6">
        <f>IFERROR(IF(INDEX(tProdutos[Desconto homologado],MATCH(tItens[[#This Row],[Produto]],tProdutos[Produto],0))="",DescontoPadrao,INDEX(tProdutos[Desconto homologado],MATCH(tItens[[#This Row],[Produto]],tProdutos[Produto],0))),DescontoPadrao)</f>
        <v>0.40909090909090901</v>
      </c>
      <c r="M7551" s="12">
        <f>tItens[[#This Row],[Valor]]*(1-tItens[[#This Row],[Desconto]])</f>
        <v>1595.4545454545457</v>
      </c>
      <c r="N7551" t="str">
        <f>IFERROR(INDEX(tProdutos[Foco],MATCH(tItens[[#This Row],[Produto]],tProdutos[Produto],0)),"Não")</f>
        <v>Não</v>
      </c>
      <c r="O7551" t="str">
        <f>IFERROR(INDEX(tEditais[SRP],MATCH(tItens[[#This Row],[Edital]],tEditais[Edital],0)),"Não")</f>
        <v>Não</v>
      </c>
      <c r="P7551" s="4">
        <f>IF(COUNTIFS(INDEX(tItens[Edital],1):tItens[[#This Row],[Edital]],tItens[[#This Row],[Edital]],INDEX(tItens[Produto],1):tItens[[#This Row],[Produto]],tItens[[#This Row],[Produto]])=1,1,0)</f>
        <v>1</v>
      </c>
    </row>
    <row r="7552" spans="1:16" x14ac:dyDescent="0.25">
      <c r="A7552" t="s">
        <v>2503</v>
      </c>
      <c r="B7552">
        <v>29134</v>
      </c>
      <c r="C7552" t="s">
        <v>10149</v>
      </c>
      <c r="D7552" t="s">
        <v>277</v>
      </c>
      <c r="E7552" s="13">
        <v>8</v>
      </c>
      <c r="F7552" s="12">
        <v>23.9</v>
      </c>
      <c r="G7552" t="str">
        <f>IFERROR(INDEX(tEditais[Órgão],MATCH(tItens[[#This Row],[Edital]],tEditais[Edital],0)),"")</f>
        <v>MUNICIPIO DE UNIAO DA SERRA</v>
      </c>
      <c r="H7552" t="str">
        <f>IFERROR(INDEX(tEditais[UF],MATCH(tItens[[#This Row],[Edital]],tEditais[Edital],0)),"")</f>
        <v>RS</v>
      </c>
      <c r="I7552" s="11">
        <f>IFERROR(INDEX(tEditais[Encerramento],MATCH(tItens[[#This Row],[Edital]],tEditais[Edital],0)),"")</f>
        <v>46304.375</v>
      </c>
      <c r="J7552" t="str">
        <f>IFERROR(INDEX(tProdutos[Classe],MATCH(tItens[[#This Row],[Produto]],tProdutos[Produto],0)),"produto não cadastrado")</f>
        <v>DISPUTADO</v>
      </c>
      <c r="K7552" s="12">
        <f>tItens[[#This Row],[Qtd]]*tItens[[#This Row],[Vlr unit]]</f>
        <v>191.2</v>
      </c>
      <c r="L7552" s="6">
        <f>IFERROR(IF(INDEX(tProdutos[Desconto homologado],MATCH(tItens[[#This Row],[Produto]],tProdutos[Produto],0))="",DescontoPadrao,INDEX(tProdutos[Desconto homologado],MATCH(tItens[[#This Row],[Produto]],tProdutos[Produto],0))),DescontoPadrao)</f>
        <v>0.50460666194188497</v>
      </c>
      <c r="M7552" s="12">
        <f>tItens[[#This Row],[Valor]]*(1-tItens[[#This Row],[Desconto]])</f>
        <v>94.719206236711585</v>
      </c>
      <c r="N7552" t="str">
        <f>IFERROR(INDEX(tProdutos[Foco],MATCH(tItens[[#This Row],[Produto]],tProdutos[Produto],0)),"Não")</f>
        <v>Não</v>
      </c>
      <c r="O7552" t="str">
        <f>IFERROR(INDEX(tEditais[SRP],MATCH(tItens[[#This Row],[Edital]],tEditais[Edital],0)),"Não")</f>
        <v>Não</v>
      </c>
      <c r="P7552" s="4">
        <f>IF(COUNTIFS(INDEX(tItens[Edital],1):tItens[[#This Row],[Edital]],tItens[[#This Row],[Edital]],INDEX(tItens[Produto],1):tItens[[#This Row],[Produto]],tItens[[#This Row],[Produto]])=1,1,0)</f>
        <v>1</v>
      </c>
    </row>
    <row r="7553" spans="1:16" x14ac:dyDescent="0.25">
      <c r="A7553" t="s">
        <v>2503</v>
      </c>
      <c r="B7553">
        <v>29135</v>
      </c>
      <c r="C7553" t="s">
        <v>10150</v>
      </c>
      <c r="D7553" t="s">
        <v>569</v>
      </c>
      <c r="E7553" s="13">
        <v>10</v>
      </c>
      <c r="F7553" s="12">
        <v>319.55</v>
      </c>
      <c r="G7553" t="str">
        <f>IFERROR(INDEX(tEditais[Órgão],MATCH(tItens[[#This Row],[Edital]],tEditais[Edital],0)),"")</f>
        <v>MUNICIPIO DE UNIAO DA SERRA</v>
      </c>
      <c r="H7553" t="str">
        <f>IFERROR(INDEX(tEditais[UF],MATCH(tItens[[#This Row],[Edital]],tEditais[Edital],0)),"")</f>
        <v>RS</v>
      </c>
      <c r="I7553" s="11">
        <f>IFERROR(INDEX(tEditais[Encerramento],MATCH(tItens[[#This Row],[Edital]],tEditais[Edital],0)),"")</f>
        <v>46304.375</v>
      </c>
      <c r="J7553" t="str">
        <f>IFERROR(INDEX(tProdutos[Classe],MATCH(tItens[[#This Row],[Produto]],tProdutos[Produto],0)),"produto não cadastrado")</f>
        <v>FILA REBASE</v>
      </c>
      <c r="K7553" s="12">
        <f>tItens[[#This Row],[Qtd]]*tItens[[#This Row],[Vlr unit]]</f>
        <v>3195.5</v>
      </c>
      <c r="L7553" s="6">
        <f>IFERROR(IF(INDEX(tProdutos[Desconto homologado],MATCH(tItens[[#This Row],[Produto]],tProdutos[Produto],0))="",DescontoPadrao,INDEX(tProdutos[Desconto homologado],MATCH(tItens[[#This Row],[Produto]],tProdutos[Produto],0))),DescontoPadrao)</f>
        <v>0.3</v>
      </c>
      <c r="M7553" s="12">
        <f>tItens[[#This Row],[Valor]]*(1-tItens[[#This Row],[Desconto]])</f>
        <v>2236.85</v>
      </c>
      <c r="N7553" t="str">
        <f>IFERROR(INDEX(tProdutos[Foco],MATCH(tItens[[#This Row],[Produto]],tProdutos[Produto],0)),"Não")</f>
        <v>Não</v>
      </c>
      <c r="O7553" t="str">
        <f>IFERROR(INDEX(tEditais[SRP],MATCH(tItens[[#This Row],[Edital]],tEditais[Edital],0)),"Não")</f>
        <v>Não</v>
      </c>
      <c r="P7553" s="4">
        <f>IF(COUNTIFS(INDEX(tItens[Edital],1):tItens[[#This Row],[Edital]],tItens[[#This Row],[Edital]],INDEX(tItens[Produto],1):tItens[[#This Row],[Produto]],tItens[[#This Row],[Produto]])=1,1,0)</f>
        <v>1</v>
      </c>
    </row>
    <row r="7554" spans="1:16" x14ac:dyDescent="0.25">
      <c r="A7554" t="s">
        <v>2503</v>
      </c>
      <c r="B7554">
        <v>29136</v>
      </c>
      <c r="C7554" t="s">
        <v>10151</v>
      </c>
      <c r="D7554" t="s">
        <v>569</v>
      </c>
      <c r="E7554" s="13">
        <v>10</v>
      </c>
      <c r="F7554" s="12">
        <v>126.6</v>
      </c>
      <c r="G7554" t="str">
        <f>IFERROR(INDEX(tEditais[Órgão],MATCH(tItens[[#This Row],[Edital]],tEditais[Edital],0)),"")</f>
        <v>MUNICIPIO DE UNIAO DA SERRA</v>
      </c>
      <c r="H7554" t="str">
        <f>IFERROR(INDEX(tEditais[UF],MATCH(tItens[[#This Row],[Edital]],tEditais[Edital],0)),"")</f>
        <v>RS</v>
      </c>
      <c r="I7554" s="11">
        <f>IFERROR(INDEX(tEditais[Encerramento],MATCH(tItens[[#This Row],[Edital]],tEditais[Edital],0)),"")</f>
        <v>46304.375</v>
      </c>
      <c r="J7554" t="str">
        <f>IFERROR(INDEX(tProdutos[Classe],MATCH(tItens[[#This Row],[Produto]],tProdutos[Produto],0)),"produto não cadastrado")</f>
        <v>FILA REBASE</v>
      </c>
      <c r="K7554" s="12">
        <f>tItens[[#This Row],[Qtd]]*tItens[[#This Row],[Vlr unit]]</f>
        <v>1266</v>
      </c>
      <c r="L7554" s="6">
        <f>IFERROR(IF(INDEX(tProdutos[Desconto homologado],MATCH(tItens[[#This Row],[Produto]],tProdutos[Produto],0))="",DescontoPadrao,INDEX(tProdutos[Desconto homologado],MATCH(tItens[[#This Row],[Produto]],tProdutos[Produto],0))),DescontoPadrao)</f>
        <v>0.3</v>
      </c>
      <c r="M7554" s="12">
        <f>tItens[[#This Row],[Valor]]*(1-tItens[[#This Row],[Desconto]])</f>
        <v>886.19999999999993</v>
      </c>
      <c r="N7554" t="str">
        <f>IFERROR(INDEX(tProdutos[Foco],MATCH(tItens[[#This Row],[Produto]],tProdutos[Produto],0)),"Não")</f>
        <v>Não</v>
      </c>
      <c r="O7554" t="str">
        <f>IFERROR(INDEX(tEditais[SRP],MATCH(tItens[[#This Row],[Edital]],tEditais[Edital],0)),"Não")</f>
        <v>Não</v>
      </c>
      <c r="P7554" s="4">
        <f>IF(COUNTIFS(INDEX(tItens[Edital],1):tItens[[#This Row],[Edital]],tItens[[#This Row],[Edital]],INDEX(tItens[Produto],1):tItens[[#This Row],[Produto]],tItens[[#This Row],[Produto]])=1,1,0)</f>
        <v>0</v>
      </c>
    </row>
    <row r="7555" spans="1:16" x14ac:dyDescent="0.25">
      <c r="A7555" t="s">
        <v>2503</v>
      </c>
      <c r="B7555">
        <v>29138</v>
      </c>
      <c r="C7555" t="s">
        <v>10152</v>
      </c>
      <c r="D7555" t="s">
        <v>641</v>
      </c>
      <c r="E7555" s="13">
        <v>10</v>
      </c>
      <c r="F7555" s="12">
        <v>49</v>
      </c>
      <c r="G7555" t="str">
        <f>IFERROR(INDEX(tEditais[Órgão],MATCH(tItens[[#This Row],[Edital]],tEditais[Edital],0)),"")</f>
        <v>MUNICIPIO DE UNIAO DA SERRA</v>
      </c>
      <c r="H7555" t="str">
        <f>IFERROR(INDEX(tEditais[UF],MATCH(tItens[[#This Row],[Edital]],tEditais[Edital],0)),"")</f>
        <v>RS</v>
      </c>
      <c r="I7555" s="11">
        <f>IFERROR(INDEX(tEditais[Encerramento],MATCH(tItens[[#This Row],[Edital]],tEditais[Edital],0)),"")</f>
        <v>46304.375</v>
      </c>
      <c r="J7555" t="str">
        <f>IFERROR(INDEX(tProdutos[Classe],MATCH(tItens[[#This Row],[Produto]],tProdutos[Produto],0)),"produto não cadastrado")</f>
        <v>FILA REBASE</v>
      </c>
      <c r="K7555" s="12">
        <f>tItens[[#This Row],[Qtd]]*tItens[[#This Row],[Vlr unit]]</f>
        <v>490</v>
      </c>
      <c r="L7555" s="6">
        <f>IFERROR(IF(INDEX(tProdutos[Desconto homologado],MATCH(tItens[[#This Row],[Produto]],tProdutos[Produto],0))="",DescontoPadrao,INDEX(tProdutos[Desconto homologado],MATCH(tItens[[#This Row],[Produto]],tProdutos[Produto],0))),DescontoPadrao)</f>
        <v>0.3</v>
      </c>
      <c r="M7555" s="12">
        <f>tItens[[#This Row],[Valor]]*(1-tItens[[#This Row],[Desconto]])</f>
        <v>343</v>
      </c>
      <c r="N7555" t="str">
        <f>IFERROR(INDEX(tProdutos[Foco],MATCH(tItens[[#This Row],[Produto]],tProdutos[Produto],0)),"Não")</f>
        <v>Não</v>
      </c>
      <c r="O7555" t="str">
        <f>IFERROR(INDEX(tEditais[SRP],MATCH(tItens[[#This Row],[Edital]],tEditais[Edital],0)),"Não")</f>
        <v>Não</v>
      </c>
      <c r="P7555" s="4">
        <f>IF(COUNTIFS(INDEX(tItens[Edital],1):tItens[[#This Row],[Edital]],tItens[[#This Row],[Edital]],INDEX(tItens[Produto],1):tItens[[#This Row],[Produto]],tItens[[#This Row],[Produto]])=1,1,0)</f>
        <v>1</v>
      </c>
    </row>
    <row r="7556" spans="1:16" x14ac:dyDescent="0.25">
      <c r="A7556" t="s">
        <v>2503</v>
      </c>
      <c r="B7556">
        <v>30144</v>
      </c>
      <c r="C7556" t="s">
        <v>10153</v>
      </c>
      <c r="D7556" t="s">
        <v>311</v>
      </c>
      <c r="E7556" s="13">
        <v>100</v>
      </c>
      <c r="F7556" s="12">
        <v>8.43</v>
      </c>
      <c r="G7556" t="str">
        <f>IFERROR(INDEX(tEditais[Órgão],MATCH(tItens[[#This Row],[Edital]],tEditais[Edital],0)),"")</f>
        <v>MUNICIPIO DE UNIAO DA SERRA</v>
      </c>
      <c r="H7556" t="str">
        <f>IFERROR(INDEX(tEditais[UF],MATCH(tItens[[#This Row],[Edital]],tEditais[Edital],0)),"")</f>
        <v>RS</v>
      </c>
      <c r="I7556" s="11">
        <f>IFERROR(INDEX(tEditais[Encerramento],MATCH(tItens[[#This Row],[Edital]],tEditais[Edital],0)),"")</f>
        <v>46304.375</v>
      </c>
      <c r="J7556" t="str">
        <f>IFERROR(INDEX(tProdutos[Classe],MATCH(tItens[[#This Row],[Produto]],tProdutos[Produto],0)),"produto não cadastrado")</f>
        <v>FORA</v>
      </c>
      <c r="K7556" s="12">
        <f>tItens[[#This Row],[Qtd]]*tItens[[#This Row],[Vlr unit]]</f>
        <v>843</v>
      </c>
      <c r="L7556" s="6">
        <f>IFERROR(IF(INDEX(tProdutos[Desconto homologado],MATCH(tItens[[#This Row],[Produto]],tProdutos[Produto],0))="",DescontoPadrao,INDEX(tProdutos[Desconto homologado],MATCH(tItens[[#This Row],[Produto]],tProdutos[Produto],0))),DescontoPadrao)</f>
        <v>0.29046182846371399</v>
      </c>
      <c r="M7556" s="12">
        <f>tItens[[#This Row],[Valor]]*(1-tItens[[#This Row],[Desconto]])</f>
        <v>598.14067860508919</v>
      </c>
      <c r="N7556" t="str">
        <f>IFERROR(INDEX(tProdutos[Foco],MATCH(tItens[[#This Row],[Produto]],tProdutos[Produto],0)),"Não")</f>
        <v>Não</v>
      </c>
      <c r="O7556" t="str">
        <f>IFERROR(INDEX(tEditais[SRP],MATCH(tItens[[#This Row],[Edital]],tEditais[Edital],0)),"Não")</f>
        <v>Não</v>
      </c>
      <c r="P7556" s="4">
        <f>IF(COUNTIFS(INDEX(tItens[Edital],1):tItens[[#This Row],[Edital]],tItens[[#This Row],[Edital]],INDEX(tItens[Produto],1):tItens[[#This Row],[Produto]],tItens[[#This Row],[Produto]])=1,1,0)</f>
        <v>1</v>
      </c>
    </row>
    <row r="7557" spans="1:16" x14ac:dyDescent="0.25">
      <c r="A7557" t="s">
        <v>2503</v>
      </c>
      <c r="B7557">
        <v>30145</v>
      </c>
      <c r="C7557" t="s">
        <v>10154</v>
      </c>
      <c r="D7557" t="s">
        <v>311</v>
      </c>
      <c r="E7557" s="13">
        <v>300</v>
      </c>
      <c r="F7557" s="12">
        <v>12.8</v>
      </c>
      <c r="G7557" t="str">
        <f>IFERROR(INDEX(tEditais[Órgão],MATCH(tItens[[#This Row],[Edital]],tEditais[Edital],0)),"")</f>
        <v>MUNICIPIO DE UNIAO DA SERRA</v>
      </c>
      <c r="H7557" t="str">
        <f>IFERROR(INDEX(tEditais[UF],MATCH(tItens[[#This Row],[Edital]],tEditais[Edital],0)),"")</f>
        <v>RS</v>
      </c>
      <c r="I7557" s="11">
        <f>IFERROR(INDEX(tEditais[Encerramento],MATCH(tItens[[#This Row],[Edital]],tEditais[Edital],0)),"")</f>
        <v>46304.375</v>
      </c>
      <c r="J7557" t="str">
        <f>IFERROR(INDEX(tProdutos[Classe],MATCH(tItens[[#This Row],[Produto]],tProdutos[Produto],0)),"produto não cadastrado")</f>
        <v>FORA</v>
      </c>
      <c r="K7557" s="12">
        <f>tItens[[#This Row],[Qtd]]*tItens[[#This Row],[Vlr unit]]</f>
        <v>3840</v>
      </c>
      <c r="L7557" s="6">
        <f>IFERROR(IF(INDEX(tProdutos[Desconto homologado],MATCH(tItens[[#This Row],[Produto]],tProdutos[Produto],0))="",DescontoPadrao,INDEX(tProdutos[Desconto homologado],MATCH(tItens[[#This Row],[Produto]],tProdutos[Produto],0))),DescontoPadrao)</f>
        <v>0.29046182846371399</v>
      </c>
      <c r="M7557" s="12">
        <f>tItens[[#This Row],[Valor]]*(1-tItens[[#This Row],[Desconto]])</f>
        <v>2724.6265786993386</v>
      </c>
      <c r="N7557" t="str">
        <f>IFERROR(INDEX(tProdutos[Foco],MATCH(tItens[[#This Row],[Produto]],tProdutos[Produto],0)),"Não")</f>
        <v>Não</v>
      </c>
      <c r="O7557" t="str">
        <f>IFERROR(INDEX(tEditais[SRP],MATCH(tItens[[#This Row],[Edital]],tEditais[Edital],0)),"Não")</f>
        <v>Não</v>
      </c>
      <c r="P7557" s="4">
        <f>IF(COUNTIFS(INDEX(tItens[Edital],1):tItens[[#This Row],[Edital]],tItens[[#This Row],[Edital]],INDEX(tItens[Produto],1):tItens[[#This Row],[Produto]],tItens[[#This Row],[Produto]])=1,1,0)</f>
        <v>0</v>
      </c>
    </row>
    <row r="7558" spans="1:16" x14ac:dyDescent="0.25">
      <c r="A7558" t="s">
        <v>2503</v>
      </c>
      <c r="B7558">
        <v>30146</v>
      </c>
      <c r="C7558" t="s">
        <v>10155</v>
      </c>
      <c r="D7558" t="s">
        <v>311</v>
      </c>
      <c r="E7558" s="13">
        <v>50</v>
      </c>
      <c r="F7558" s="12">
        <v>12.51</v>
      </c>
      <c r="G7558" t="str">
        <f>IFERROR(INDEX(tEditais[Órgão],MATCH(tItens[[#This Row],[Edital]],tEditais[Edital],0)),"")</f>
        <v>MUNICIPIO DE UNIAO DA SERRA</v>
      </c>
      <c r="H7558" t="str">
        <f>IFERROR(INDEX(tEditais[UF],MATCH(tItens[[#This Row],[Edital]],tEditais[Edital],0)),"")</f>
        <v>RS</v>
      </c>
      <c r="I7558" s="11">
        <f>IFERROR(INDEX(tEditais[Encerramento],MATCH(tItens[[#This Row],[Edital]],tEditais[Edital],0)),"")</f>
        <v>46304.375</v>
      </c>
      <c r="J7558" t="str">
        <f>IFERROR(INDEX(tProdutos[Classe],MATCH(tItens[[#This Row],[Produto]],tProdutos[Produto],0)),"produto não cadastrado")</f>
        <v>FORA</v>
      </c>
      <c r="K7558" s="12">
        <f>tItens[[#This Row],[Qtd]]*tItens[[#This Row],[Vlr unit]]</f>
        <v>625.5</v>
      </c>
      <c r="L7558" s="6">
        <f>IFERROR(IF(INDEX(tProdutos[Desconto homologado],MATCH(tItens[[#This Row],[Produto]],tProdutos[Produto],0))="",DescontoPadrao,INDEX(tProdutos[Desconto homologado],MATCH(tItens[[#This Row],[Produto]],tProdutos[Produto],0))),DescontoPadrao)</f>
        <v>0.29046182846371399</v>
      </c>
      <c r="M7558" s="12">
        <f>tItens[[#This Row],[Valor]]*(1-tItens[[#This Row],[Desconto]])</f>
        <v>443.81612629594696</v>
      </c>
      <c r="N7558" t="str">
        <f>IFERROR(INDEX(tProdutos[Foco],MATCH(tItens[[#This Row],[Produto]],tProdutos[Produto],0)),"Não")</f>
        <v>Não</v>
      </c>
      <c r="O7558" t="str">
        <f>IFERROR(INDEX(tEditais[SRP],MATCH(tItens[[#This Row],[Edital]],tEditais[Edital],0)),"Não")</f>
        <v>Não</v>
      </c>
      <c r="P7558" s="4">
        <f>IF(COUNTIFS(INDEX(tItens[Edital],1):tItens[[#This Row],[Edital]],tItens[[#This Row],[Edital]],INDEX(tItens[Produto],1):tItens[[#This Row],[Produto]],tItens[[#This Row],[Produto]])=1,1,0)</f>
        <v>0</v>
      </c>
    </row>
    <row r="7559" spans="1:16" x14ac:dyDescent="0.25">
      <c r="A7559" t="s">
        <v>2507</v>
      </c>
      <c r="B7559">
        <v>1</v>
      </c>
      <c r="C7559" t="s">
        <v>4201</v>
      </c>
      <c r="D7559" t="s">
        <v>245</v>
      </c>
      <c r="E7559" s="13">
        <v>150</v>
      </c>
      <c r="F7559" s="12">
        <v>0</v>
      </c>
      <c r="G7559" t="str">
        <f>IFERROR(INDEX(tEditais[Órgão],MATCH(tItens[[#This Row],[Edital]],tEditais[Edital],0)),"")</f>
        <v>EMPRESA BRASILEIRA DE SERVICOS HOSPITALARES - EBSERH</v>
      </c>
      <c r="H7559" t="str">
        <f>IFERROR(INDEX(tEditais[UF],MATCH(tItens[[#This Row],[Edital]],tEditais[Edital],0)),"")</f>
        <v>RS</v>
      </c>
      <c r="I7559" s="11">
        <f>IFERROR(INDEX(tEditais[Encerramento],MATCH(tItens[[#This Row],[Edital]],tEditais[Edital],0)),"")</f>
        <v>46304.375</v>
      </c>
      <c r="J7559" t="str">
        <f>IFERROR(INDEX(tProdutos[Classe],MATCH(tItens[[#This Row],[Produto]],tProdutos[Produto],0)),"produto não cadastrado")</f>
        <v>FORA</v>
      </c>
      <c r="K7559" s="12">
        <f>tItens[[#This Row],[Qtd]]*tItens[[#This Row],[Vlr unit]]</f>
        <v>0</v>
      </c>
      <c r="L7559" s="6">
        <f>IFERROR(IF(INDEX(tProdutos[Desconto homologado],MATCH(tItens[[#This Row],[Produto]],tProdutos[Produto],0))="",DescontoPadrao,INDEX(tProdutos[Desconto homologado],MATCH(tItens[[#This Row],[Produto]],tProdutos[Produto],0))),DescontoPadrao)</f>
        <v>0.34516963542284401</v>
      </c>
      <c r="M7559" s="12">
        <f>tItens[[#This Row],[Valor]]*(1-tItens[[#This Row],[Desconto]])</f>
        <v>0</v>
      </c>
      <c r="N7559" t="str">
        <f>IFERROR(INDEX(tProdutos[Foco],MATCH(tItens[[#This Row],[Produto]],tProdutos[Produto],0)),"Não")</f>
        <v>Não</v>
      </c>
      <c r="O7559" t="str">
        <f>IFERROR(INDEX(tEditais[SRP],MATCH(tItens[[#This Row],[Edital]],tEditais[Edital],0)),"Não")</f>
        <v>Não</v>
      </c>
      <c r="P7559" s="4">
        <f>IF(COUNTIFS(INDEX(tItens[Edital],1):tItens[[#This Row],[Edital]],tItens[[#This Row],[Edital]],INDEX(tItens[Produto],1):tItens[[#This Row],[Produto]],tItens[[#This Row],[Produto]])=1,1,0)</f>
        <v>1</v>
      </c>
    </row>
    <row r="7560" spans="1:16" x14ac:dyDescent="0.25">
      <c r="A7560" t="s">
        <v>2507</v>
      </c>
      <c r="B7560">
        <v>2</v>
      </c>
      <c r="C7560" t="s">
        <v>4202</v>
      </c>
      <c r="D7560" t="s">
        <v>245</v>
      </c>
      <c r="E7560" s="13">
        <v>50</v>
      </c>
      <c r="F7560" s="12">
        <v>0</v>
      </c>
      <c r="G7560" t="str">
        <f>IFERROR(INDEX(tEditais[Órgão],MATCH(tItens[[#This Row],[Edital]],tEditais[Edital],0)),"")</f>
        <v>EMPRESA BRASILEIRA DE SERVICOS HOSPITALARES - EBSERH</v>
      </c>
      <c r="H7560" t="str">
        <f>IFERROR(INDEX(tEditais[UF],MATCH(tItens[[#This Row],[Edital]],tEditais[Edital],0)),"")</f>
        <v>RS</v>
      </c>
      <c r="I7560" s="11">
        <f>IFERROR(INDEX(tEditais[Encerramento],MATCH(tItens[[#This Row],[Edital]],tEditais[Edital],0)),"")</f>
        <v>46304.375</v>
      </c>
      <c r="J7560" t="str">
        <f>IFERROR(INDEX(tProdutos[Classe],MATCH(tItens[[#This Row],[Produto]],tProdutos[Produto],0)),"produto não cadastrado")</f>
        <v>FORA</v>
      </c>
      <c r="K7560" s="12">
        <f>tItens[[#This Row],[Qtd]]*tItens[[#This Row],[Vlr unit]]</f>
        <v>0</v>
      </c>
      <c r="L7560" s="6">
        <f>IFERROR(IF(INDEX(tProdutos[Desconto homologado],MATCH(tItens[[#This Row],[Produto]],tProdutos[Produto],0))="",DescontoPadrao,INDEX(tProdutos[Desconto homologado],MATCH(tItens[[#This Row],[Produto]],tProdutos[Produto],0))),DescontoPadrao)</f>
        <v>0.34516963542284401</v>
      </c>
      <c r="M7560" s="12">
        <f>tItens[[#This Row],[Valor]]*(1-tItens[[#This Row],[Desconto]])</f>
        <v>0</v>
      </c>
      <c r="N7560" t="str">
        <f>IFERROR(INDEX(tProdutos[Foco],MATCH(tItens[[#This Row],[Produto]],tProdutos[Produto],0)),"Não")</f>
        <v>Não</v>
      </c>
      <c r="O7560" t="str">
        <f>IFERROR(INDEX(tEditais[SRP],MATCH(tItens[[#This Row],[Edital]],tEditais[Edital],0)),"Não")</f>
        <v>Não</v>
      </c>
      <c r="P7560" s="4">
        <f>IF(COUNTIFS(INDEX(tItens[Edital],1):tItens[[#This Row],[Edital]],tItens[[#This Row],[Edital]],INDEX(tItens[Produto],1):tItens[[#This Row],[Produto]],tItens[[#This Row],[Produto]])=1,1,0)</f>
        <v>0</v>
      </c>
    </row>
    <row r="7561" spans="1:16" x14ac:dyDescent="0.25">
      <c r="A7561" t="s">
        <v>2507</v>
      </c>
      <c r="B7561">
        <v>3</v>
      </c>
      <c r="C7561" t="s">
        <v>4200</v>
      </c>
      <c r="D7561" t="s">
        <v>245</v>
      </c>
      <c r="E7561" s="13">
        <v>450</v>
      </c>
      <c r="F7561" s="12">
        <v>0</v>
      </c>
      <c r="G7561" t="str">
        <f>IFERROR(INDEX(tEditais[Órgão],MATCH(tItens[[#This Row],[Edital]],tEditais[Edital],0)),"")</f>
        <v>EMPRESA BRASILEIRA DE SERVICOS HOSPITALARES - EBSERH</v>
      </c>
      <c r="H7561" t="str">
        <f>IFERROR(INDEX(tEditais[UF],MATCH(tItens[[#This Row],[Edital]],tEditais[Edital],0)),"")</f>
        <v>RS</v>
      </c>
      <c r="I7561" s="11">
        <f>IFERROR(INDEX(tEditais[Encerramento],MATCH(tItens[[#This Row],[Edital]],tEditais[Edital],0)),"")</f>
        <v>46304.375</v>
      </c>
      <c r="J7561" t="str">
        <f>IFERROR(INDEX(tProdutos[Classe],MATCH(tItens[[#This Row],[Produto]],tProdutos[Produto],0)),"produto não cadastrado")</f>
        <v>FORA</v>
      </c>
      <c r="K7561" s="12">
        <f>tItens[[#This Row],[Qtd]]*tItens[[#This Row],[Vlr unit]]</f>
        <v>0</v>
      </c>
      <c r="L7561" s="6">
        <f>IFERROR(IF(INDEX(tProdutos[Desconto homologado],MATCH(tItens[[#This Row],[Produto]],tProdutos[Produto],0))="",DescontoPadrao,INDEX(tProdutos[Desconto homologado],MATCH(tItens[[#This Row],[Produto]],tProdutos[Produto],0))),DescontoPadrao)</f>
        <v>0.34516963542284401</v>
      </c>
      <c r="M7561" s="12">
        <f>tItens[[#This Row],[Valor]]*(1-tItens[[#This Row],[Desconto]])</f>
        <v>0</v>
      </c>
      <c r="N7561" t="str">
        <f>IFERROR(INDEX(tProdutos[Foco],MATCH(tItens[[#This Row],[Produto]],tProdutos[Produto],0)),"Não")</f>
        <v>Não</v>
      </c>
      <c r="O7561" t="str">
        <f>IFERROR(INDEX(tEditais[SRP],MATCH(tItens[[#This Row],[Edital]],tEditais[Edital],0)),"Não")</f>
        <v>Não</v>
      </c>
      <c r="P7561" s="4">
        <f>IF(COUNTIFS(INDEX(tItens[Edital],1):tItens[[#This Row],[Edital]],tItens[[#This Row],[Edital]],INDEX(tItens[Produto],1):tItens[[#This Row],[Produto]],tItens[[#This Row],[Produto]])=1,1,0)</f>
        <v>0</v>
      </c>
    </row>
    <row r="7562" spans="1:16" x14ac:dyDescent="0.25">
      <c r="A7562" t="s">
        <v>2507</v>
      </c>
      <c r="B7562">
        <v>17</v>
      </c>
      <c r="C7562" t="s">
        <v>10156</v>
      </c>
      <c r="D7562" t="s">
        <v>245</v>
      </c>
      <c r="E7562" s="13">
        <v>20</v>
      </c>
      <c r="F7562" s="12">
        <v>0</v>
      </c>
      <c r="G7562" t="str">
        <f>IFERROR(INDEX(tEditais[Órgão],MATCH(tItens[[#This Row],[Edital]],tEditais[Edital],0)),"")</f>
        <v>EMPRESA BRASILEIRA DE SERVICOS HOSPITALARES - EBSERH</v>
      </c>
      <c r="H7562" t="str">
        <f>IFERROR(INDEX(tEditais[UF],MATCH(tItens[[#This Row],[Edital]],tEditais[Edital],0)),"")</f>
        <v>RS</v>
      </c>
      <c r="I7562" s="11">
        <f>IFERROR(INDEX(tEditais[Encerramento],MATCH(tItens[[#This Row],[Edital]],tEditais[Edital],0)),"")</f>
        <v>46304.375</v>
      </c>
      <c r="J7562" t="str">
        <f>IFERROR(INDEX(tProdutos[Classe],MATCH(tItens[[#This Row],[Produto]],tProdutos[Produto],0)),"produto não cadastrado")</f>
        <v>FORA</v>
      </c>
      <c r="K7562" s="12">
        <f>tItens[[#This Row],[Qtd]]*tItens[[#This Row],[Vlr unit]]</f>
        <v>0</v>
      </c>
      <c r="L7562" s="6">
        <f>IFERROR(IF(INDEX(tProdutos[Desconto homologado],MATCH(tItens[[#This Row],[Produto]],tProdutos[Produto],0))="",DescontoPadrao,INDEX(tProdutos[Desconto homologado],MATCH(tItens[[#This Row],[Produto]],tProdutos[Produto],0))),DescontoPadrao)</f>
        <v>0.34516963542284401</v>
      </c>
      <c r="M7562" s="12">
        <f>tItens[[#This Row],[Valor]]*(1-tItens[[#This Row],[Desconto]])</f>
        <v>0</v>
      </c>
      <c r="N7562" t="str">
        <f>IFERROR(INDEX(tProdutos[Foco],MATCH(tItens[[#This Row],[Produto]],tProdutos[Produto],0)),"Não")</f>
        <v>Não</v>
      </c>
      <c r="O7562" t="str">
        <f>IFERROR(INDEX(tEditais[SRP],MATCH(tItens[[#This Row],[Edital]],tEditais[Edital],0)),"Não")</f>
        <v>Não</v>
      </c>
      <c r="P7562" s="4">
        <f>IF(COUNTIFS(INDEX(tItens[Edital],1):tItens[[#This Row],[Edital]],tItens[[#This Row],[Edital]],INDEX(tItens[Produto],1):tItens[[#This Row],[Produto]],tItens[[#This Row],[Produto]])=1,1,0)</f>
        <v>0</v>
      </c>
    </row>
    <row r="7563" spans="1:16" x14ac:dyDescent="0.25">
      <c r="A7563" t="s">
        <v>2507</v>
      </c>
      <c r="B7563">
        <v>20</v>
      </c>
      <c r="C7563" t="s">
        <v>4245</v>
      </c>
      <c r="D7563" t="s">
        <v>245</v>
      </c>
      <c r="E7563" s="13">
        <v>40</v>
      </c>
      <c r="F7563" s="12">
        <v>0</v>
      </c>
      <c r="G7563" t="str">
        <f>IFERROR(INDEX(tEditais[Órgão],MATCH(tItens[[#This Row],[Edital]],tEditais[Edital],0)),"")</f>
        <v>EMPRESA BRASILEIRA DE SERVICOS HOSPITALARES - EBSERH</v>
      </c>
      <c r="H7563" t="str">
        <f>IFERROR(INDEX(tEditais[UF],MATCH(tItens[[#This Row],[Edital]],tEditais[Edital],0)),"")</f>
        <v>RS</v>
      </c>
      <c r="I7563" s="11">
        <f>IFERROR(INDEX(tEditais[Encerramento],MATCH(tItens[[#This Row],[Edital]],tEditais[Edital],0)),"")</f>
        <v>46304.375</v>
      </c>
      <c r="J7563" t="str">
        <f>IFERROR(INDEX(tProdutos[Classe],MATCH(tItens[[#This Row],[Produto]],tProdutos[Produto],0)),"produto não cadastrado")</f>
        <v>FORA</v>
      </c>
      <c r="K7563" s="12">
        <f>tItens[[#This Row],[Qtd]]*tItens[[#This Row],[Vlr unit]]</f>
        <v>0</v>
      </c>
      <c r="L7563" s="6">
        <f>IFERROR(IF(INDEX(tProdutos[Desconto homologado],MATCH(tItens[[#This Row],[Produto]],tProdutos[Produto],0))="",DescontoPadrao,INDEX(tProdutos[Desconto homologado],MATCH(tItens[[#This Row],[Produto]],tProdutos[Produto],0))),DescontoPadrao)</f>
        <v>0.34516963542284401</v>
      </c>
      <c r="M7563" s="12">
        <f>tItens[[#This Row],[Valor]]*(1-tItens[[#This Row],[Desconto]])</f>
        <v>0</v>
      </c>
      <c r="N7563" t="str">
        <f>IFERROR(INDEX(tProdutos[Foco],MATCH(tItens[[#This Row],[Produto]],tProdutos[Produto],0)),"Não")</f>
        <v>Não</v>
      </c>
      <c r="O7563" t="str">
        <f>IFERROR(INDEX(tEditais[SRP],MATCH(tItens[[#This Row],[Edital]],tEditais[Edital],0)),"Não")</f>
        <v>Não</v>
      </c>
      <c r="P7563" s="4">
        <f>IF(COUNTIFS(INDEX(tItens[Edital],1):tItens[[#This Row],[Edital]],tItens[[#This Row],[Edital]],INDEX(tItens[Produto],1):tItens[[#This Row],[Produto]],tItens[[#This Row],[Produto]])=1,1,0)</f>
        <v>0</v>
      </c>
    </row>
    <row r="7564" spans="1:16" x14ac:dyDescent="0.25">
      <c r="A7564" t="s">
        <v>2507</v>
      </c>
      <c r="B7564">
        <v>21</v>
      </c>
      <c r="C7564" t="s">
        <v>10157</v>
      </c>
      <c r="D7564" t="s">
        <v>245</v>
      </c>
      <c r="E7564" s="13">
        <v>40</v>
      </c>
      <c r="F7564" s="12">
        <v>0</v>
      </c>
      <c r="G7564" t="str">
        <f>IFERROR(INDEX(tEditais[Órgão],MATCH(tItens[[#This Row],[Edital]],tEditais[Edital],0)),"")</f>
        <v>EMPRESA BRASILEIRA DE SERVICOS HOSPITALARES - EBSERH</v>
      </c>
      <c r="H7564" t="str">
        <f>IFERROR(INDEX(tEditais[UF],MATCH(tItens[[#This Row],[Edital]],tEditais[Edital],0)),"")</f>
        <v>RS</v>
      </c>
      <c r="I7564" s="11">
        <f>IFERROR(INDEX(tEditais[Encerramento],MATCH(tItens[[#This Row],[Edital]],tEditais[Edital],0)),"")</f>
        <v>46304.375</v>
      </c>
      <c r="J7564" t="str">
        <f>IFERROR(INDEX(tProdutos[Classe],MATCH(tItens[[#This Row],[Produto]],tProdutos[Produto],0)),"produto não cadastrado")</f>
        <v>FORA</v>
      </c>
      <c r="K7564" s="12">
        <f>tItens[[#This Row],[Qtd]]*tItens[[#This Row],[Vlr unit]]</f>
        <v>0</v>
      </c>
      <c r="L7564" s="6">
        <f>IFERROR(IF(INDEX(tProdutos[Desconto homologado],MATCH(tItens[[#This Row],[Produto]],tProdutos[Produto],0))="",DescontoPadrao,INDEX(tProdutos[Desconto homologado],MATCH(tItens[[#This Row],[Produto]],tProdutos[Produto],0))),DescontoPadrao)</f>
        <v>0.34516963542284401</v>
      </c>
      <c r="M7564" s="12">
        <f>tItens[[#This Row],[Valor]]*(1-tItens[[#This Row],[Desconto]])</f>
        <v>0</v>
      </c>
      <c r="N7564" t="str">
        <f>IFERROR(INDEX(tProdutos[Foco],MATCH(tItens[[#This Row],[Produto]],tProdutos[Produto],0)),"Não")</f>
        <v>Não</v>
      </c>
      <c r="O7564" t="str">
        <f>IFERROR(INDEX(tEditais[SRP],MATCH(tItens[[#This Row],[Edital]],tEditais[Edital],0)),"Não")</f>
        <v>Não</v>
      </c>
      <c r="P7564" s="4">
        <f>IF(COUNTIFS(INDEX(tItens[Edital],1):tItens[[#This Row],[Edital]],tItens[[#This Row],[Edital]],INDEX(tItens[Produto],1):tItens[[#This Row],[Produto]],tItens[[#This Row],[Produto]])=1,1,0)</f>
        <v>0</v>
      </c>
    </row>
    <row r="7565" spans="1:16" x14ac:dyDescent="0.25">
      <c r="A7565" t="s">
        <v>2507</v>
      </c>
      <c r="B7565">
        <v>22</v>
      </c>
      <c r="C7565" t="s">
        <v>10158</v>
      </c>
      <c r="D7565" t="s">
        <v>245</v>
      </c>
      <c r="E7565" s="13">
        <v>50</v>
      </c>
      <c r="F7565" s="12">
        <v>0</v>
      </c>
      <c r="G7565" t="str">
        <f>IFERROR(INDEX(tEditais[Órgão],MATCH(tItens[[#This Row],[Edital]],tEditais[Edital],0)),"")</f>
        <v>EMPRESA BRASILEIRA DE SERVICOS HOSPITALARES - EBSERH</v>
      </c>
      <c r="H7565" t="str">
        <f>IFERROR(INDEX(tEditais[UF],MATCH(tItens[[#This Row],[Edital]],tEditais[Edital],0)),"")</f>
        <v>RS</v>
      </c>
      <c r="I7565" s="11">
        <f>IFERROR(INDEX(tEditais[Encerramento],MATCH(tItens[[#This Row],[Edital]],tEditais[Edital],0)),"")</f>
        <v>46304.375</v>
      </c>
      <c r="J7565" t="str">
        <f>IFERROR(INDEX(tProdutos[Classe],MATCH(tItens[[#This Row],[Produto]],tProdutos[Produto],0)),"produto não cadastrado")</f>
        <v>FORA</v>
      </c>
      <c r="K7565" s="12">
        <f>tItens[[#This Row],[Qtd]]*tItens[[#This Row],[Vlr unit]]</f>
        <v>0</v>
      </c>
      <c r="L7565" s="6">
        <f>IFERROR(IF(INDEX(tProdutos[Desconto homologado],MATCH(tItens[[#This Row],[Produto]],tProdutos[Produto],0))="",DescontoPadrao,INDEX(tProdutos[Desconto homologado],MATCH(tItens[[#This Row],[Produto]],tProdutos[Produto],0))),DescontoPadrao)</f>
        <v>0.34516963542284401</v>
      </c>
      <c r="M7565" s="12">
        <f>tItens[[#This Row],[Valor]]*(1-tItens[[#This Row],[Desconto]])</f>
        <v>0</v>
      </c>
      <c r="N7565" t="str">
        <f>IFERROR(INDEX(tProdutos[Foco],MATCH(tItens[[#This Row],[Produto]],tProdutos[Produto],0)),"Não")</f>
        <v>Não</v>
      </c>
      <c r="O7565" t="str">
        <f>IFERROR(INDEX(tEditais[SRP],MATCH(tItens[[#This Row],[Edital]],tEditais[Edital],0)),"Não")</f>
        <v>Não</v>
      </c>
      <c r="P7565" s="4">
        <f>IF(COUNTIFS(INDEX(tItens[Edital],1):tItens[[#This Row],[Edital]],tItens[[#This Row],[Edital]],INDEX(tItens[Produto],1):tItens[[#This Row],[Produto]],tItens[[#This Row],[Produto]])=1,1,0)</f>
        <v>0</v>
      </c>
    </row>
    <row r="7566" spans="1:16" x14ac:dyDescent="0.25">
      <c r="A7566" t="s">
        <v>2507</v>
      </c>
      <c r="B7566">
        <v>28</v>
      </c>
      <c r="C7566" t="s">
        <v>10159</v>
      </c>
      <c r="D7566" t="s">
        <v>73</v>
      </c>
      <c r="E7566" s="13">
        <v>5000</v>
      </c>
      <c r="F7566" s="12">
        <v>0</v>
      </c>
      <c r="G7566" t="str">
        <f>IFERROR(INDEX(tEditais[Órgão],MATCH(tItens[[#This Row],[Edital]],tEditais[Edital],0)),"")</f>
        <v>EMPRESA BRASILEIRA DE SERVICOS HOSPITALARES - EBSERH</v>
      </c>
      <c r="H7566" t="str">
        <f>IFERROR(INDEX(tEditais[UF],MATCH(tItens[[#This Row],[Edital]],tEditais[Edital],0)),"")</f>
        <v>RS</v>
      </c>
      <c r="I7566" s="11">
        <f>IFERROR(INDEX(tEditais[Encerramento],MATCH(tItens[[#This Row],[Edital]],tEditais[Edital],0)),"")</f>
        <v>46304.375</v>
      </c>
      <c r="J7566" t="str">
        <f>IFERROR(INDEX(tProdutos[Classe],MATCH(tItens[[#This Row],[Produto]],tProdutos[Produto],0)),"produto não cadastrado")</f>
        <v>NÚCLEO</v>
      </c>
      <c r="K7566" s="12">
        <f>tItens[[#This Row],[Qtd]]*tItens[[#This Row],[Vlr unit]]</f>
        <v>0</v>
      </c>
      <c r="L7566" s="6">
        <f>IFERROR(IF(INDEX(tProdutos[Desconto homologado],MATCH(tItens[[#This Row],[Produto]],tProdutos[Produto],0))="",DescontoPadrao,INDEX(tProdutos[Desconto homologado],MATCH(tItens[[#This Row],[Produto]],tProdutos[Produto],0))),DescontoPadrao)</f>
        <v>0.37</v>
      </c>
      <c r="M7566" s="12">
        <f>tItens[[#This Row],[Valor]]*(1-tItens[[#This Row],[Desconto]])</f>
        <v>0</v>
      </c>
      <c r="N7566" t="str">
        <f>IFERROR(INDEX(tProdutos[Foco],MATCH(tItens[[#This Row],[Produto]],tProdutos[Produto],0)),"Não")</f>
        <v>Sim</v>
      </c>
      <c r="O7566" t="str">
        <f>IFERROR(INDEX(tEditais[SRP],MATCH(tItens[[#This Row],[Edital]],tEditais[Edital],0)),"Não")</f>
        <v>Não</v>
      </c>
      <c r="P7566" s="4">
        <f>IF(COUNTIFS(INDEX(tItens[Edital],1):tItens[[#This Row],[Edital]],tItens[[#This Row],[Edital]],INDEX(tItens[Produto],1):tItens[[#This Row],[Produto]],tItens[[#This Row],[Produto]])=1,1,0)</f>
        <v>1</v>
      </c>
    </row>
    <row r="7567" spans="1:16" x14ac:dyDescent="0.25">
      <c r="A7567" t="s">
        <v>2507</v>
      </c>
      <c r="B7567">
        <v>29</v>
      </c>
      <c r="C7567" t="s">
        <v>10160</v>
      </c>
      <c r="D7567" t="s">
        <v>73</v>
      </c>
      <c r="E7567" s="13">
        <v>500</v>
      </c>
      <c r="F7567" s="12">
        <v>0</v>
      </c>
      <c r="G7567" t="str">
        <f>IFERROR(INDEX(tEditais[Órgão],MATCH(tItens[[#This Row],[Edital]],tEditais[Edital],0)),"")</f>
        <v>EMPRESA BRASILEIRA DE SERVICOS HOSPITALARES - EBSERH</v>
      </c>
      <c r="H7567" t="str">
        <f>IFERROR(INDEX(tEditais[UF],MATCH(tItens[[#This Row],[Edital]],tEditais[Edital],0)),"")</f>
        <v>RS</v>
      </c>
      <c r="I7567" s="11">
        <f>IFERROR(INDEX(tEditais[Encerramento],MATCH(tItens[[#This Row],[Edital]],tEditais[Edital],0)),"")</f>
        <v>46304.375</v>
      </c>
      <c r="J7567" t="str">
        <f>IFERROR(INDEX(tProdutos[Classe],MATCH(tItens[[#This Row],[Produto]],tProdutos[Produto],0)),"produto não cadastrado")</f>
        <v>NÚCLEO</v>
      </c>
      <c r="K7567" s="12">
        <f>tItens[[#This Row],[Qtd]]*tItens[[#This Row],[Vlr unit]]</f>
        <v>0</v>
      </c>
      <c r="L7567" s="6">
        <f>IFERROR(IF(INDEX(tProdutos[Desconto homologado],MATCH(tItens[[#This Row],[Produto]],tProdutos[Produto],0))="",DescontoPadrao,INDEX(tProdutos[Desconto homologado],MATCH(tItens[[#This Row],[Produto]],tProdutos[Produto],0))),DescontoPadrao)</f>
        <v>0.37</v>
      </c>
      <c r="M7567" s="12">
        <f>tItens[[#This Row],[Valor]]*(1-tItens[[#This Row],[Desconto]])</f>
        <v>0</v>
      </c>
      <c r="N7567" t="str">
        <f>IFERROR(INDEX(tProdutos[Foco],MATCH(tItens[[#This Row],[Produto]],tProdutos[Produto],0)),"Não")</f>
        <v>Sim</v>
      </c>
      <c r="O7567" t="str">
        <f>IFERROR(INDEX(tEditais[SRP],MATCH(tItens[[#This Row],[Edital]],tEditais[Edital],0)),"Não")</f>
        <v>Não</v>
      </c>
      <c r="P7567" s="4">
        <f>IF(COUNTIFS(INDEX(tItens[Edital],1):tItens[[#This Row],[Edital]],tItens[[#This Row],[Edital]],INDEX(tItens[Produto],1):tItens[[#This Row],[Produto]],tItens[[#This Row],[Produto]])=1,1,0)</f>
        <v>0</v>
      </c>
    </row>
    <row r="7568" spans="1:16" x14ac:dyDescent="0.25">
      <c r="A7568" t="s">
        <v>2507</v>
      </c>
      <c r="B7568">
        <v>30</v>
      </c>
      <c r="C7568" t="s">
        <v>10161</v>
      </c>
      <c r="D7568" t="s">
        <v>73</v>
      </c>
      <c r="E7568" s="13">
        <v>600</v>
      </c>
      <c r="F7568" s="12">
        <v>0</v>
      </c>
      <c r="G7568" t="str">
        <f>IFERROR(INDEX(tEditais[Órgão],MATCH(tItens[[#This Row],[Edital]],tEditais[Edital],0)),"")</f>
        <v>EMPRESA BRASILEIRA DE SERVICOS HOSPITALARES - EBSERH</v>
      </c>
      <c r="H7568" t="str">
        <f>IFERROR(INDEX(tEditais[UF],MATCH(tItens[[#This Row],[Edital]],tEditais[Edital],0)),"")</f>
        <v>RS</v>
      </c>
      <c r="I7568" s="11">
        <f>IFERROR(INDEX(tEditais[Encerramento],MATCH(tItens[[#This Row],[Edital]],tEditais[Edital],0)),"")</f>
        <v>46304.375</v>
      </c>
      <c r="J7568" t="str">
        <f>IFERROR(INDEX(tProdutos[Classe],MATCH(tItens[[#This Row],[Produto]],tProdutos[Produto],0)),"produto não cadastrado")</f>
        <v>NÚCLEO</v>
      </c>
      <c r="K7568" s="12">
        <f>tItens[[#This Row],[Qtd]]*tItens[[#This Row],[Vlr unit]]</f>
        <v>0</v>
      </c>
      <c r="L7568" s="6">
        <f>IFERROR(IF(INDEX(tProdutos[Desconto homologado],MATCH(tItens[[#This Row],[Produto]],tProdutos[Produto],0))="",DescontoPadrao,INDEX(tProdutos[Desconto homologado],MATCH(tItens[[#This Row],[Produto]],tProdutos[Produto],0))),DescontoPadrao)</f>
        <v>0.37</v>
      </c>
      <c r="M7568" s="12">
        <f>tItens[[#This Row],[Valor]]*(1-tItens[[#This Row],[Desconto]])</f>
        <v>0</v>
      </c>
      <c r="N7568" t="str">
        <f>IFERROR(INDEX(tProdutos[Foco],MATCH(tItens[[#This Row],[Produto]],tProdutos[Produto],0)),"Não")</f>
        <v>Sim</v>
      </c>
      <c r="O7568" t="str">
        <f>IFERROR(INDEX(tEditais[SRP],MATCH(tItens[[#This Row],[Edital]],tEditais[Edital],0)),"Não")</f>
        <v>Não</v>
      </c>
      <c r="P7568" s="4">
        <f>IF(COUNTIFS(INDEX(tItens[Edital],1):tItens[[#This Row],[Edital]],tItens[[#This Row],[Edital]],INDEX(tItens[Produto],1):tItens[[#This Row],[Produto]],tItens[[#This Row],[Produto]])=1,1,0)</f>
        <v>0</v>
      </c>
    </row>
    <row r="7569" spans="1:16" x14ac:dyDescent="0.25">
      <c r="A7569" t="s">
        <v>2507</v>
      </c>
      <c r="B7569">
        <v>31</v>
      </c>
      <c r="C7569" t="s">
        <v>10162</v>
      </c>
      <c r="D7569" t="s">
        <v>69</v>
      </c>
      <c r="E7569" s="13">
        <v>5300</v>
      </c>
      <c r="F7569" s="12">
        <v>0</v>
      </c>
      <c r="G7569" t="str">
        <f>IFERROR(INDEX(tEditais[Órgão],MATCH(tItens[[#This Row],[Edital]],tEditais[Edital],0)),"")</f>
        <v>EMPRESA BRASILEIRA DE SERVICOS HOSPITALARES - EBSERH</v>
      </c>
      <c r="H7569" t="str">
        <f>IFERROR(INDEX(tEditais[UF],MATCH(tItens[[#This Row],[Edital]],tEditais[Edital],0)),"")</f>
        <v>RS</v>
      </c>
      <c r="I7569" s="11">
        <f>IFERROR(INDEX(tEditais[Encerramento],MATCH(tItens[[#This Row],[Edital]],tEditais[Edital],0)),"")</f>
        <v>46304.375</v>
      </c>
      <c r="J7569" t="str">
        <f>IFERROR(INDEX(tProdutos[Classe],MATCH(tItens[[#This Row],[Produto]],tProdutos[Produto],0)),"produto não cadastrado")</f>
        <v>NÚCLEO</v>
      </c>
      <c r="K7569" s="12">
        <f>tItens[[#This Row],[Qtd]]*tItens[[#This Row],[Vlr unit]]</f>
        <v>0</v>
      </c>
      <c r="L7569" s="6">
        <f>IFERROR(IF(INDEX(tProdutos[Desconto homologado],MATCH(tItens[[#This Row],[Produto]],tProdutos[Produto],0))="",DescontoPadrao,INDEX(tProdutos[Desconto homologado],MATCH(tItens[[#This Row],[Produto]],tProdutos[Produto],0))),DescontoPadrao)</f>
        <v>0.38829259638568803</v>
      </c>
      <c r="M7569" s="12">
        <f>tItens[[#This Row],[Valor]]*(1-tItens[[#This Row],[Desconto]])</f>
        <v>0</v>
      </c>
      <c r="N7569" t="str">
        <f>IFERROR(INDEX(tProdutos[Foco],MATCH(tItens[[#This Row],[Produto]],tProdutos[Produto],0)),"Não")</f>
        <v>Não</v>
      </c>
      <c r="O7569" t="str">
        <f>IFERROR(INDEX(tEditais[SRP],MATCH(tItens[[#This Row],[Edital]],tEditais[Edital],0)),"Não")</f>
        <v>Não</v>
      </c>
      <c r="P7569" s="4">
        <f>IF(COUNTIFS(INDEX(tItens[Edital],1):tItens[[#This Row],[Edital]],tItens[[#This Row],[Edital]],INDEX(tItens[Produto],1):tItens[[#This Row],[Produto]],tItens[[#This Row],[Produto]])=1,1,0)</f>
        <v>1</v>
      </c>
    </row>
    <row r="7570" spans="1:16" x14ac:dyDescent="0.25">
      <c r="A7570" t="s">
        <v>2507</v>
      </c>
      <c r="B7570">
        <v>32</v>
      </c>
      <c r="C7570" t="s">
        <v>10163</v>
      </c>
      <c r="D7570" t="s">
        <v>69</v>
      </c>
      <c r="E7570" s="13">
        <v>11000</v>
      </c>
      <c r="F7570" s="12">
        <v>0</v>
      </c>
      <c r="G7570" t="str">
        <f>IFERROR(INDEX(tEditais[Órgão],MATCH(tItens[[#This Row],[Edital]],tEditais[Edital],0)),"")</f>
        <v>EMPRESA BRASILEIRA DE SERVICOS HOSPITALARES - EBSERH</v>
      </c>
      <c r="H7570" t="str">
        <f>IFERROR(INDEX(tEditais[UF],MATCH(tItens[[#This Row],[Edital]],tEditais[Edital],0)),"")</f>
        <v>RS</v>
      </c>
      <c r="I7570" s="11">
        <f>IFERROR(INDEX(tEditais[Encerramento],MATCH(tItens[[#This Row],[Edital]],tEditais[Edital],0)),"")</f>
        <v>46304.375</v>
      </c>
      <c r="J7570" t="str">
        <f>IFERROR(INDEX(tProdutos[Classe],MATCH(tItens[[#This Row],[Produto]],tProdutos[Produto],0)),"produto não cadastrado")</f>
        <v>NÚCLEO</v>
      </c>
      <c r="K7570" s="12">
        <f>tItens[[#This Row],[Qtd]]*tItens[[#This Row],[Vlr unit]]</f>
        <v>0</v>
      </c>
      <c r="L7570" s="6">
        <f>IFERROR(IF(INDEX(tProdutos[Desconto homologado],MATCH(tItens[[#This Row],[Produto]],tProdutos[Produto],0))="",DescontoPadrao,INDEX(tProdutos[Desconto homologado],MATCH(tItens[[#This Row],[Produto]],tProdutos[Produto],0))),DescontoPadrao)</f>
        <v>0.38829259638568803</v>
      </c>
      <c r="M7570" s="12">
        <f>tItens[[#This Row],[Valor]]*(1-tItens[[#This Row],[Desconto]])</f>
        <v>0</v>
      </c>
      <c r="N7570" t="str">
        <f>IFERROR(INDEX(tProdutos[Foco],MATCH(tItens[[#This Row],[Produto]],tProdutos[Produto],0)),"Não")</f>
        <v>Não</v>
      </c>
      <c r="O7570" t="str">
        <f>IFERROR(INDEX(tEditais[SRP],MATCH(tItens[[#This Row],[Edital]],tEditais[Edital],0)),"Não")</f>
        <v>Não</v>
      </c>
      <c r="P7570" s="4">
        <f>IF(COUNTIFS(INDEX(tItens[Edital],1):tItens[[#This Row],[Edital]],tItens[[#This Row],[Edital]],INDEX(tItens[Produto],1):tItens[[#This Row],[Produto]],tItens[[#This Row],[Produto]])=1,1,0)</f>
        <v>0</v>
      </c>
    </row>
    <row r="7571" spans="1:16" x14ac:dyDescent="0.25">
      <c r="A7571" t="s">
        <v>2507</v>
      </c>
      <c r="B7571">
        <v>33</v>
      </c>
      <c r="C7571" t="s">
        <v>10164</v>
      </c>
      <c r="D7571" t="s">
        <v>69</v>
      </c>
      <c r="E7571" s="13">
        <v>8000</v>
      </c>
      <c r="F7571" s="12">
        <v>0</v>
      </c>
      <c r="G7571" t="str">
        <f>IFERROR(INDEX(tEditais[Órgão],MATCH(tItens[[#This Row],[Edital]],tEditais[Edital],0)),"")</f>
        <v>EMPRESA BRASILEIRA DE SERVICOS HOSPITALARES - EBSERH</v>
      </c>
      <c r="H7571" t="str">
        <f>IFERROR(INDEX(tEditais[UF],MATCH(tItens[[#This Row],[Edital]],tEditais[Edital],0)),"")</f>
        <v>RS</v>
      </c>
      <c r="I7571" s="11">
        <f>IFERROR(INDEX(tEditais[Encerramento],MATCH(tItens[[#This Row],[Edital]],tEditais[Edital],0)),"")</f>
        <v>46304.375</v>
      </c>
      <c r="J7571" t="str">
        <f>IFERROR(INDEX(tProdutos[Classe],MATCH(tItens[[#This Row],[Produto]],tProdutos[Produto],0)),"produto não cadastrado")</f>
        <v>NÚCLEO</v>
      </c>
      <c r="K7571" s="12">
        <f>tItens[[#This Row],[Qtd]]*tItens[[#This Row],[Vlr unit]]</f>
        <v>0</v>
      </c>
      <c r="L7571" s="6">
        <f>IFERROR(IF(INDEX(tProdutos[Desconto homologado],MATCH(tItens[[#This Row],[Produto]],tProdutos[Produto],0))="",DescontoPadrao,INDEX(tProdutos[Desconto homologado],MATCH(tItens[[#This Row],[Produto]],tProdutos[Produto],0))),DescontoPadrao)</f>
        <v>0.38829259638568803</v>
      </c>
      <c r="M7571" s="12">
        <f>tItens[[#This Row],[Valor]]*(1-tItens[[#This Row],[Desconto]])</f>
        <v>0</v>
      </c>
      <c r="N7571" t="str">
        <f>IFERROR(INDEX(tProdutos[Foco],MATCH(tItens[[#This Row],[Produto]],tProdutos[Produto],0)),"Não")</f>
        <v>Não</v>
      </c>
      <c r="O7571" t="str">
        <f>IFERROR(INDEX(tEditais[SRP],MATCH(tItens[[#This Row],[Edital]],tEditais[Edital],0)),"Não")</f>
        <v>Não</v>
      </c>
      <c r="P7571" s="4">
        <f>IF(COUNTIFS(INDEX(tItens[Edital],1):tItens[[#This Row],[Edital]],tItens[[#This Row],[Edital]],INDEX(tItens[Produto],1):tItens[[#This Row],[Produto]],tItens[[#This Row],[Produto]])=1,1,0)</f>
        <v>0</v>
      </c>
    </row>
    <row r="7572" spans="1:16" x14ac:dyDescent="0.25">
      <c r="A7572" t="s">
        <v>2507</v>
      </c>
      <c r="B7572">
        <v>34</v>
      </c>
      <c r="C7572" t="s">
        <v>10165</v>
      </c>
      <c r="D7572" t="s">
        <v>69</v>
      </c>
      <c r="E7572" s="13">
        <v>4500</v>
      </c>
      <c r="F7572" s="12">
        <v>0</v>
      </c>
      <c r="G7572" t="str">
        <f>IFERROR(INDEX(tEditais[Órgão],MATCH(tItens[[#This Row],[Edital]],tEditais[Edital],0)),"")</f>
        <v>EMPRESA BRASILEIRA DE SERVICOS HOSPITALARES - EBSERH</v>
      </c>
      <c r="H7572" t="str">
        <f>IFERROR(INDEX(tEditais[UF],MATCH(tItens[[#This Row],[Edital]],tEditais[Edital],0)),"")</f>
        <v>RS</v>
      </c>
      <c r="I7572" s="11">
        <f>IFERROR(INDEX(tEditais[Encerramento],MATCH(tItens[[#This Row],[Edital]],tEditais[Edital],0)),"")</f>
        <v>46304.375</v>
      </c>
      <c r="J7572" t="str">
        <f>IFERROR(INDEX(tProdutos[Classe],MATCH(tItens[[#This Row],[Produto]],tProdutos[Produto],0)),"produto não cadastrado")</f>
        <v>NÚCLEO</v>
      </c>
      <c r="K7572" s="12">
        <f>tItens[[#This Row],[Qtd]]*tItens[[#This Row],[Vlr unit]]</f>
        <v>0</v>
      </c>
      <c r="L7572" s="6">
        <f>IFERROR(IF(INDEX(tProdutos[Desconto homologado],MATCH(tItens[[#This Row],[Produto]],tProdutos[Produto],0))="",DescontoPadrao,INDEX(tProdutos[Desconto homologado],MATCH(tItens[[#This Row],[Produto]],tProdutos[Produto],0))),DescontoPadrao)</f>
        <v>0.38829259638568803</v>
      </c>
      <c r="M7572" s="12">
        <f>tItens[[#This Row],[Valor]]*(1-tItens[[#This Row],[Desconto]])</f>
        <v>0</v>
      </c>
      <c r="N7572" t="str">
        <f>IFERROR(INDEX(tProdutos[Foco],MATCH(tItens[[#This Row],[Produto]],tProdutos[Produto],0)),"Não")</f>
        <v>Não</v>
      </c>
      <c r="O7572" t="str">
        <f>IFERROR(INDEX(tEditais[SRP],MATCH(tItens[[#This Row],[Edital]],tEditais[Edital],0)),"Não")</f>
        <v>Não</v>
      </c>
      <c r="P7572" s="4">
        <f>IF(COUNTIFS(INDEX(tItens[Edital],1):tItens[[#This Row],[Edital]],tItens[[#This Row],[Edital]],INDEX(tItens[Produto],1):tItens[[#This Row],[Produto]],tItens[[#This Row],[Produto]])=1,1,0)</f>
        <v>0</v>
      </c>
    </row>
    <row r="7573" spans="1:16" x14ac:dyDescent="0.25">
      <c r="A7573" t="s">
        <v>2507</v>
      </c>
      <c r="B7573">
        <v>35</v>
      </c>
      <c r="C7573" t="s">
        <v>10166</v>
      </c>
      <c r="D7573" t="s">
        <v>69</v>
      </c>
      <c r="E7573" s="13">
        <v>8000</v>
      </c>
      <c r="F7573" s="12">
        <v>0</v>
      </c>
      <c r="G7573" t="str">
        <f>IFERROR(INDEX(tEditais[Órgão],MATCH(tItens[[#This Row],[Edital]],tEditais[Edital],0)),"")</f>
        <v>EMPRESA BRASILEIRA DE SERVICOS HOSPITALARES - EBSERH</v>
      </c>
      <c r="H7573" t="str">
        <f>IFERROR(INDEX(tEditais[UF],MATCH(tItens[[#This Row],[Edital]],tEditais[Edital],0)),"")</f>
        <v>RS</v>
      </c>
      <c r="I7573" s="11">
        <f>IFERROR(INDEX(tEditais[Encerramento],MATCH(tItens[[#This Row],[Edital]],tEditais[Edital],0)),"")</f>
        <v>46304.375</v>
      </c>
      <c r="J7573" t="str">
        <f>IFERROR(INDEX(tProdutos[Classe],MATCH(tItens[[#This Row],[Produto]],tProdutos[Produto],0)),"produto não cadastrado")</f>
        <v>NÚCLEO</v>
      </c>
      <c r="K7573" s="12">
        <f>tItens[[#This Row],[Qtd]]*tItens[[#This Row],[Vlr unit]]</f>
        <v>0</v>
      </c>
      <c r="L7573" s="6">
        <f>IFERROR(IF(INDEX(tProdutos[Desconto homologado],MATCH(tItens[[#This Row],[Produto]],tProdutos[Produto],0))="",DescontoPadrao,INDEX(tProdutos[Desconto homologado],MATCH(tItens[[#This Row],[Produto]],tProdutos[Produto],0))),DescontoPadrao)</f>
        <v>0.38829259638568803</v>
      </c>
      <c r="M7573" s="12">
        <f>tItens[[#This Row],[Valor]]*(1-tItens[[#This Row],[Desconto]])</f>
        <v>0</v>
      </c>
      <c r="N7573" t="str">
        <f>IFERROR(INDEX(tProdutos[Foco],MATCH(tItens[[#This Row],[Produto]],tProdutos[Produto],0)),"Não")</f>
        <v>Não</v>
      </c>
      <c r="O7573" t="str">
        <f>IFERROR(INDEX(tEditais[SRP],MATCH(tItens[[#This Row],[Edital]],tEditais[Edital],0)),"Não")</f>
        <v>Não</v>
      </c>
      <c r="P7573" s="4">
        <f>IF(COUNTIFS(INDEX(tItens[Edital],1):tItens[[#This Row],[Edital]],tItens[[#This Row],[Edital]],INDEX(tItens[Produto],1):tItens[[#This Row],[Produto]],tItens[[#This Row],[Produto]])=1,1,0)</f>
        <v>0</v>
      </c>
    </row>
    <row r="7574" spans="1:16" x14ac:dyDescent="0.25">
      <c r="A7574" t="s">
        <v>2507</v>
      </c>
      <c r="B7574">
        <v>36</v>
      </c>
      <c r="C7574" t="s">
        <v>10167</v>
      </c>
      <c r="D7574" t="s">
        <v>69</v>
      </c>
      <c r="E7574" s="13">
        <v>6000</v>
      </c>
      <c r="F7574" s="12">
        <v>0</v>
      </c>
      <c r="G7574" t="str">
        <f>IFERROR(INDEX(tEditais[Órgão],MATCH(tItens[[#This Row],[Edital]],tEditais[Edital],0)),"")</f>
        <v>EMPRESA BRASILEIRA DE SERVICOS HOSPITALARES - EBSERH</v>
      </c>
      <c r="H7574" t="str">
        <f>IFERROR(INDEX(tEditais[UF],MATCH(tItens[[#This Row],[Edital]],tEditais[Edital],0)),"")</f>
        <v>RS</v>
      </c>
      <c r="I7574" s="11">
        <f>IFERROR(INDEX(tEditais[Encerramento],MATCH(tItens[[#This Row],[Edital]],tEditais[Edital],0)),"")</f>
        <v>46304.375</v>
      </c>
      <c r="J7574" t="str">
        <f>IFERROR(INDEX(tProdutos[Classe],MATCH(tItens[[#This Row],[Produto]],tProdutos[Produto],0)),"produto não cadastrado")</f>
        <v>NÚCLEO</v>
      </c>
      <c r="K7574" s="12">
        <f>tItens[[#This Row],[Qtd]]*tItens[[#This Row],[Vlr unit]]</f>
        <v>0</v>
      </c>
      <c r="L7574" s="6">
        <f>IFERROR(IF(INDEX(tProdutos[Desconto homologado],MATCH(tItens[[#This Row],[Produto]],tProdutos[Produto],0))="",DescontoPadrao,INDEX(tProdutos[Desconto homologado],MATCH(tItens[[#This Row],[Produto]],tProdutos[Produto],0))),DescontoPadrao)</f>
        <v>0.38829259638568803</v>
      </c>
      <c r="M7574" s="12">
        <f>tItens[[#This Row],[Valor]]*(1-tItens[[#This Row],[Desconto]])</f>
        <v>0</v>
      </c>
      <c r="N7574" t="str">
        <f>IFERROR(INDEX(tProdutos[Foco],MATCH(tItens[[#This Row],[Produto]],tProdutos[Produto],0)),"Não")</f>
        <v>Não</v>
      </c>
      <c r="O7574" t="str">
        <f>IFERROR(INDEX(tEditais[SRP],MATCH(tItens[[#This Row],[Edital]],tEditais[Edital],0)),"Não")</f>
        <v>Não</v>
      </c>
      <c r="P7574" s="4">
        <f>IF(COUNTIFS(INDEX(tItens[Edital],1):tItens[[#This Row],[Edital]],tItens[[#This Row],[Edital]],INDEX(tItens[Produto],1):tItens[[#This Row],[Produto]],tItens[[#This Row],[Produto]])=1,1,0)</f>
        <v>0</v>
      </c>
    </row>
    <row r="7575" spans="1:16" x14ac:dyDescent="0.25">
      <c r="A7575" t="s">
        <v>2507</v>
      </c>
      <c r="B7575">
        <v>37</v>
      </c>
      <c r="C7575" t="s">
        <v>10168</v>
      </c>
      <c r="D7575" t="s">
        <v>69</v>
      </c>
      <c r="E7575" s="13">
        <v>2300</v>
      </c>
      <c r="F7575" s="12">
        <v>0</v>
      </c>
      <c r="G7575" t="str">
        <f>IFERROR(INDEX(tEditais[Órgão],MATCH(tItens[[#This Row],[Edital]],tEditais[Edital],0)),"")</f>
        <v>EMPRESA BRASILEIRA DE SERVICOS HOSPITALARES - EBSERH</v>
      </c>
      <c r="H7575" t="str">
        <f>IFERROR(INDEX(tEditais[UF],MATCH(tItens[[#This Row],[Edital]],tEditais[Edital],0)),"")</f>
        <v>RS</v>
      </c>
      <c r="I7575" s="11">
        <f>IFERROR(INDEX(tEditais[Encerramento],MATCH(tItens[[#This Row],[Edital]],tEditais[Edital],0)),"")</f>
        <v>46304.375</v>
      </c>
      <c r="J7575" t="str">
        <f>IFERROR(INDEX(tProdutos[Classe],MATCH(tItens[[#This Row],[Produto]],tProdutos[Produto],0)),"produto não cadastrado")</f>
        <v>NÚCLEO</v>
      </c>
      <c r="K7575" s="12">
        <f>tItens[[#This Row],[Qtd]]*tItens[[#This Row],[Vlr unit]]</f>
        <v>0</v>
      </c>
      <c r="L7575" s="6">
        <f>IFERROR(IF(INDEX(tProdutos[Desconto homologado],MATCH(tItens[[#This Row],[Produto]],tProdutos[Produto],0))="",DescontoPadrao,INDEX(tProdutos[Desconto homologado],MATCH(tItens[[#This Row],[Produto]],tProdutos[Produto],0))),DescontoPadrao)</f>
        <v>0.38829259638568803</v>
      </c>
      <c r="M7575" s="12">
        <f>tItens[[#This Row],[Valor]]*(1-tItens[[#This Row],[Desconto]])</f>
        <v>0</v>
      </c>
      <c r="N7575" t="str">
        <f>IFERROR(INDEX(tProdutos[Foco],MATCH(tItens[[#This Row],[Produto]],tProdutos[Produto],0)),"Não")</f>
        <v>Não</v>
      </c>
      <c r="O7575" t="str">
        <f>IFERROR(INDEX(tEditais[SRP],MATCH(tItens[[#This Row],[Edital]],tEditais[Edital],0)),"Não")</f>
        <v>Não</v>
      </c>
      <c r="P7575" s="4">
        <f>IF(COUNTIFS(INDEX(tItens[Edital],1):tItens[[#This Row],[Edital]],tItens[[#This Row],[Edital]],INDEX(tItens[Produto],1):tItens[[#This Row],[Produto]],tItens[[#This Row],[Produto]])=1,1,0)</f>
        <v>0</v>
      </c>
    </row>
    <row r="7576" spans="1:16" x14ac:dyDescent="0.25">
      <c r="A7576" t="s">
        <v>2507</v>
      </c>
      <c r="B7576">
        <v>38</v>
      </c>
      <c r="C7576" t="s">
        <v>10169</v>
      </c>
      <c r="D7576" t="s">
        <v>69</v>
      </c>
      <c r="E7576" s="13">
        <v>500</v>
      </c>
      <c r="F7576" s="12">
        <v>0</v>
      </c>
      <c r="G7576" t="str">
        <f>IFERROR(INDEX(tEditais[Órgão],MATCH(tItens[[#This Row],[Edital]],tEditais[Edital],0)),"")</f>
        <v>EMPRESA BRASILEIRA DE SERVICOS HOSPITALARES - EBSERH</v>
      </c>
      <c r="H7576" t="str">
        <f>IFERROR(INDEX(tEditais[UF],MATCH(tItens[[#This Row],[Edital]],tEditais[Edital],0)),"")</f>
        <v>RS</v>
      </c>
      <c r="I7576" s="11">
        <f>IFERROR(INDEX(tEditais[Encerramento],MATCH(tItens[[#This Row],[Edital]],tEditais[Edital],0)),"")</f>
        <v>46304.375</v>
      </c>
      <c r="J7576" t="str">
        <f>IFERROR(INDEX(tProdutos[Classe],MATCH(tItens[[#This Row],[Produto]],tProdutos[Produto],0)),"produto não cadastrado")</f>
        <v>NÚCLEO</v>
      </c>
      <c r="K7576" s="12">
        <f>tItens[[#This Row],[Qtd]]*tItens[[#This Row],[Vlr unit]]</f>
        <v>0</v>
      </c>
      <c r="L7576" s="6">
        <f>IFERROR(IF(INDEX(tProdutos[Desconto homologado],MATCH(tItens[[#This Row],[Produto]],tProdutos[Produto],0))="",DescontoPadrao,INDEX(tProdutos[Desconto homologado],MATCH(tItens[[#This Row],[Produto]],tProdutos[Produto],0))),DescontoPadrao)</f>
        <v>0.38829259638568803</v>
      </c>
      <c r="M7576" s="12">
        <f>tItens[[#This Row],[Valor]]*(1-tItens[[#This Row],[Desconto]])</f>
        <v>0</v>
      </c>
      <c r="N7576" t="str">
        <f>IFERROR(INDEX(tProdutos[Foco],MATCH(tItens[[#This Row],[Produto]],tProdutos[Produto],0)),"Não")</f>
        <v>Não</v>
      </c>
      <c r="O7576" t="str">
        <f>IFERROR(INDEX(tEditais[SRP],MATCH(tItens[[#This Row],[Edital]],tEditais[Edital],0)),"Não")</f>
        <v>Não</v>
      </c>
      <c r="P7576" s="4">
        <f>IF(COUNTIFS(INDEX(tItens[Edital],1):tItens[[#This Row],[Edital]],tItens[[#This Row],[Edital]],INDEX(tItens[Produto],1):tItens[[#This Row],[Produto]],tItens[[#This Row],[Produto]])=1,1,0)</f>
        <v>0</v>
      </c>
    </row>
    <row r="7577" spans="1:16" x14ac:dyDescent="0.25">
      <c r="A7577" t="s">
        <v>2507</v>
      </c>
      <c r="B7577">
        <v>39</v>
      </c>
      <c r="C7577" t="s">
        <v>10170</v>
      </c>
      <c r="D7577" t="s">
        <v>69</v>
      </c>
      <c r="E7577" s="13">
        <v>600</v>
      </c>
      <c r="F7577" s="12">
        <v>0</v>
      </c>
      <c r="G7577" t="str">
        <f>IFERROR(INDEX(tEditais[Órgão],MATCH(tItens[[#This Row],[Edital]],tEditais[Edital],0)),"")</f>
        <v>EMPRESA BRASILEIRA DE SERVICOS HOSPITALARES - EBSERH</v>
      </c>
      <c r="H7577" t="str">
        <f>IFERROR(INDEX(tEditais[UF],MATCH(tItens[[#This Row],[Edital]],tEditais[Edital],0)),"")</f>
        <v>RS</v>
      </c>
      <c r="I7577" s="11">
        <f>IFERROR(INDEX(tEditais[Encerramento],MATCH(tItens[[#This Row],[Edital]],tEditais[Edital],0)),"")</f>
        <v>46304.375</v>
      </c>
      <c r="J7577" t="str">
        <f>IFERROR(INDEX(tProdutos[Classe],MATCH(tItens[[#This Row],[Produto]],tProdutos[Produto],0)),"produto não cadastrado")</f>
        <v>NÚCLEO</v>
      </c>
      <c r="K7577" s="12">
        <f>tItens[[#This Row],[Qtd]]*tItens[[#This Row],[Vlr unit]]</f>
        <v>0</v>
      </c>
      <c r="L7577" s="6">
        <f>IFERROR(IF(INDEX(tProdutos[Desconto homologado],MATCH(tItens[[#This Row],[Produto]],tProdutos[Produto],0))="",DescontoPadrao,INDEX(tProdutos[Desconto homologado],MATCH(tItens[[#This Row],[Produto]],tProdutos[Produto],0))),DescontoPadrao)</f>
        <v>0.38829259638568803</v>
      </c>
      <c r="M7577" s="12">
        <f>tItens[[#This Row],[Valor]]*(1-tItens[[#This Row],[Desconto]])</f>
        <v>0</v>
      </c>
      <c r="N7577" t="str">
        <f>IFERROR(INDEX(tProdutos[Foco],MATCH(tItens[[#This Row],[Produto]],tProdutos[Produto],0)),"Não")</f>
        <v>Não</v>
      </c>
      <c r="O7577" t="str">
        <f>IFERROR(INDEX(tEditais[SRP],MATCH(tItens[[#This Row],[Edital]],tEditais[Edital],0)),"Não")</f>
        <v>Não</v>
      </c>
      <c r="P7577" s="4">
        <f>IF(COUNTIFS(INDEX(tItens[Edital],1):tItens[[#This Row],[Edital]],tItens[[#This Row],[Edital]],INDEX(tItens[Produto],1):tItens[[#This Row],[Produto]],tItens[[#This Row],[Produto]])=1,1,0)</f>
        <v>0</v>
      </c>
    </row>
    <row r="7578" spans="1:16" x14ac:dyDescent="0.25">
      <c r="A7578" t="s">
        <v>2507</v>
      </c>
      <c r="B7578">
        <v>40</v>
      </c>
      <c r="C7578" t="s">
        <v>10171</v>
      </c>
      <c r="D7578" t="s">
        <v>227</v>
      </c>
      <c r="E7578" s="13">
        <v>150</v>
      </c>
      <c r="F7578" s="12">
        <v>0</v>
      </c>
      <c r="G7578" t="str">
        <f>IFERROR(INDEX(tEditais[Órgão],MATCH(tItens[[#This Row],[Edital]],tEditais[Edital],0)),"")</f>
        <v>EMPRESA BRASILEIRA DE SERVICOS HOSPITALARES - EBSERH</v>
      </c>
      <c r="H7578" t="str">
        <f>IFERROR(INDEX(tEditais[UF],MATCH(tItens[[#This Row],[Edital]],tEditais[Edital],0)),"")</f>
        <v>RS</v>
      </c>
      <c r="I7578" s="11">
        <f>IFERROR(INDEX(tEditais[Encerramento],MATCH(tItens[[#This Row],[Edital]],tEditais[Edital],0)),"")</f>
        <v>46304.375</v>
      </c>
      <c r="J7578" t="str">
        <f>IFERROR(INDEX(tProdutos[Classe],MATCH(tItens[[#This Row],[Produto]],tProdutos[Produto],0)),"produto não cadastrado")</f>
        <v>FORA</v>
      </c>
      <c r="K7578" s="12">
        <f>tItens[[#This Row],[Qtd]]*tItens[[#This Row],[Vlr unit]]</f>
        <v>0</v>
      </c>
      <c r="L7578" s="6">
        <f>IFERROR(IF(INDEX(tProdutos[Desconto homologado],MATCH(tItens[[#This Row],[Produto]],tProdutos[Produto],0))="",DescontoPadrao,INDEX(tProdutos[Desconto homologado],MATCH(tItens[[#This Row],[Produto]],tProdutos[Produto],0))),DescontoPadrao)</f>
        <v>0.38</v>
      </c>
      <c r="M7578" s="12">
        <f>tItens[[#This Row],[Valor]]*(1-tItens[[#This Row],[Desconto]])</f>
        <v>0</v>
      </c>
      <c r="N7578" t="str">
        <f>IFERROR(INDEX(tProdutos[Foco],MATCH(tItens[[#This Row],[Produto]],tProdutos[Produto],0)),"Não")</f>
        <v>Não</v>
      </c>
      <c r="O7578" t="str">
        <f>IFERROR(INDEX(tEditais[SRP],MATCH(tItens[[#This Row],[Edital]],tEditais[Edital],0)),"Não")</f>
        <v>Não</v>
      </c>
      <c r="P7578" s="4">
        <f>IF(COUNTIFS(INDEX(tItens[Edital],1):tItens[[#This Row],[Edital]],tItens[[#This Row],[Edital]],INDEX(tItens[Produto],1):tItens[[#This Row],[Produto]],tItens[[#This Row],[Produto]])=1,1,0)</f>
        <v>1</v>
      </c>
    </row>
    <row r="7579" spans="1:16" x14ac:dyDescent="0.25">
      <c r="A7579" t="s">
        <v>2507</v>
      </c>
      <c r="B7579">
        <v>41</v>
      </c>
      <c r="C7579" t="s">
        <v>10172</v>
      </c>
      <c r="D7579" t="s">
        <v>227</v>
      </c>
      <c r="E7579" s="13">
        <v>250</v>
      </c>
      <c r="F7579" s="12">
        <v>0</v>
      </c>
      <c r="G7579" t="str">
        <f>IFERROR(INDEX(tEditais[Órgão],MATCH(tItens[[#This Row],[Edital]],tEditais[Edital],0)),"")</f>
        <v>EMPRESA BRASILEIRA DE SERVICOS HOSPITALARES - EBSERH</v>
      </c>
      <c r="H7579" t="str">
        <f>IFERROR(INDEX(tEditais[UF],MATCH(tItens[[#This Row],[Edital]],tEditais[Edital],0)),"")</f>
        <v>RS</v>
      </c>
      <c r="I7579" s="11">
        <f>IFERROR(INDEX(tEditais[Encerramento],MATCH(tItens[[#This Row],[Edital]],tEditais[Edital],0)),"")</f>
        <v>46304.375</v>
      </c>
      <c r="J7579" t="str">
        <f>IFERROR(INDEX(tProdutos[Classe],MATCH(tItens[[#This Row],[Produto]],tProdutos[Produto],0)),"produto não cadastrado")</f>
        <v>FORA</v>
      </c>
      <c r="K7579" s="12">
        <f>tItens[[#This Row],[Qtd]]*tItens[[#This Row],[Vlr unit]]</f>
        <v>0</v>
      </c>
      <c r="L7579" s="6">
        <f>IFERROR(IF(INDEX(tProdutos[Desconto homologado],MATCH(tItens[[#This Row],[Produto]],tProdutos[Produto],0))="",DescontoPadrao,INDEX(tProdutos[Desconto homologado],MATCH(tItens[[#This Row],[Produto]],tProdutos[Produto],0))),DescontoPadrao)</f>
        <v>0.38</v>
      </c>
      <c r="M7579" s="12">
        <f>tItens[[#This Row],[Valor]]*(1-tItens[[#This Row],[Desconto]])</f>
        <v>0</v>
      </c>
      <c r="N7579" t="str">
        <f>IFERROR(INDEX(tProdutos[Foco],MATCH(tItens[[#This Row],[Produto]],tProdutos[Produto],0)),"Não")</f>
        <v>Não</v>
      </c>
      <c r="O7579" t="str">
        <f>IFERROR(INDEX(tEditais[SRP],MATCH(tItens[[#This Row],[Edital]],tEditais[Edital],0)),"Não")</f>
        <v>Não</v>
      </c>
      <c r="P7579" s="4">
        <f>IF(COUNTIFS(INDEX(tItens[Edital],1):tItens[[#This Row],[Edital]],tItens[[#This Row],[Edital]],INDEX(tItens[Produto],1):tItens[[#This Row],[Produto]],tItens[[#This Row],[Produto]])=1,1,0)</f>
        <v>0</v>
      </c>
    </row>
    <row r="7580" spans="1:16" x14ac:dyDescent="0.25">
      <c r="A7580" t="s">
        <v>2507</v>
      </c>
      <c r="B7580">
        <v>42</v>
      </c>
      <c r="C7580" t="s">
        <v>10173</v>
      </c>
      <c r="D7580" t="s">
        <v>245</v>
      </c>
      <c r="E7580" s="13">
        <v>60</v>
      </c>
      <c r="F7580" s="12">
        <v>0</v>
      </c>
      <c r="G7580" t="str">
        <f>IFERROR(INDEX(tEditais[Órgão],MATCH(tItens[[#This Row],[Edital]],tEditais[Edital],0)),"")</f>
        <v>EMPRESA BRASILEIRA DE SERVICOS HOSPITALARES - EBSERH</v>
      </c>
      <c r="H7580" t="str">
        <f>IFERROR(INDEX(tEditais[UF],MATCH(tItens[[#This Row],[Edital]],tEditais[Edital],0)),"")</f>
        <v>RS</v>
      </c>
      <c r="I7580" s="11">
        <f>IFERROR(INDEX(tEditais[Encerramento],MATCH(tItens[[#This Row],[Edital]],tEditais[Edital],0)),"")</f>
        <v>46304.375</v>
      </c>
      <c r="J7580" t="str">
        <f>IFERROR(INDEX(tProdutos[Classe],MATCH(tItens[[#This Row],[Produto]],tProdutos[Produto],0)),"produto não cadastrado")</f>
        <v>FORA</v>
      </c>
      <c r="K7580" s="12">
        <f>tItens[[#This Row],[Qtd]]*tItens[[#This Row],[Vlr unit]]</f>
        <v>0</v>
      </c>
      <c r="L7580" s="6">
        <f>IFERROR(IF(INDEX(tProdutos[Desconto homologado],MATCH(tItens[[#This Row],[Produto]],tProdutos[Produto],0))="",DescontoPadrao,INDEX(tProdutos[Desconto homologado],MATCH(tItens[[#This Row],[Produto]],tProdutos[Produto],0))),DescontoPadrao)</f>
        <v>0.34516963542284401</v>
      </c>
      <c r="M7580" s="12">
        <f>tItens[[#This Row],[Valor]]*(1-tItens[[#This Row],[Desconto]])</f>
        <v>0</v>
      </c>
      <c r="N7580" t="str">
        <f>IFERROR(INDEX(tProdutos[Foco],MATCH(tItens[[#This Row],[Produto]],tProdutos[Produto],0)),"Não")</f>
        <v>Não</v>
      </c>
      <c r="O7580" t="str">
        <f>IFERROR(INDEX(tEditais[SRP],MATCH(tItens[[#This Row],[Edital]],tEditais[Edital],0)),"Não")</f>
        <v>Não</v>
      </c>
      <c r="P7580" s="4">
        <f>IF(COUNTIFS(INDEX(tItens[Edital],1):tItens[[#This Row],[Edital]],tItens[[#This Row],[Edital]],INDEX(tItens[Produto],1):tItens[[#This Row],[Produto]],tItens[[#This Row],[Produto]])=1,1,0)</f>
        <v>0</v>
      </c>
    </row>
    <row r="7581" spans="1:16" x14ac:dyDescent="0.25">
      <c r="A7581" t="s">
        <v>2507</v>
      </c>
      <c r="B7581">
        <v>43</v>
      </c>
      <c r="C7581" t="s">
        <v>10174</v>
      </c>
      <c r="D7581" t="s">
        <v>245</v>
      </c>
      <c r="E7581" s="13">
        <v>60</v>
      </c>
      <c r="F7581" s="12">
        <v>0</v>
      </c>
      <c r="G7581" t="str">
        <f>IFERROR(INDEX(tEditais[Órgão],MATCH(tItens[[#This Row],[Edital]],tEditais[Edital],0)),"")</f>
        <v>EMPRESA BRASILEIRA DE SERVICOS HOSPITALARES - EBSERH</v>
      </c>
      <c r="H7581" t="str">
        <f>IFERROR(INDEX(tEditais[UF],MATCH(tItens[[#This Row],[Edital]],tEditais[Edital],0)),"")</f>
        <v>RS</v>
      </c>
      <c r="I7581" s="11">
        <f>IFERROR(INDEX(tEditais[Encerramento],MATCH(tItens[[#This Row],[Edital]],tEditais[Edital],0)),"")</f>
        <v>46304.375</v>
      </c>
      <c r="J7581" t="str">
        <f>IFERROR(INDEX(tProdutos[Classe],MATCH(tItens[[#This Row],[Produto]],tProdutos[Produto],0)),"produto não cadastrado")</f>
        <v>FORA</v>
      </c>
      <c r="K7581" s="12">
        <f>tItens[[#This Row],[Qtd]]*tItens[[#This Row],[Vlr unit]]</f>
        <v>0</v>
      </c>
      <c r="L7581" s="6">
        <f>IFERROR(IF(INDEX(tProdutos[Desconto homologado],MATCH(tItens[[#This Row],[Produto]],tProdutos[Produto],0))="",DescontoPadrao,INDEX(tProdutos[Desconto homologado],MATCH(tItens[[#This Row],[Produto]],tProdutos[Produto],0))),DescontoPadrao)</f>
        <v>0.34516963542284401</v>
      </c>
      <c r="M7581" s="12">
        <f>tItens[[#This Row],[Valor]]*(1-tItens[[#This Row],[Desconto]])</f>
        <v>0</v>
      </c>
      <c r="N7581" t="str">
        <f>IFERROR(INDEX(tProdutos[Foco],MATCH(tItens[[#This Row],[Produto]],tProdutos[Produto],0)),"Não")</f>
        <v>Não</v>
      </c>
      <c r="O7581" t="str">
        <f>IFERROR(INDEX(tEditais[SRP],MATCH(tItens[[#This Row],[Edital]],tEditais[Edital],0)),"Não")</f>
        <v>Não</v>
      </c>
      <c r="P7581" s="4">
        <f>IF(COUNTIFS(INDEX(tItens[Edital],1):tItens[[#This Row],[Edital]],tItens[[#This Row],[Edital]],INDEX(tItens[Produto],1):tItens[[#This Row],[Produto]],tItens[[#This Row],[Produto]])=1,1,0)</f>
        <v>0</v>
      </c>
    </row>
    <row r="7582" spans="1:16" x14ac:dyDescent="0.25">
      <c r="A7582" t="s">
        <v>2507</v>
      </c>
      <c r="B7582">
        <v>44</v>
      </c>
      <c r="C7582" t="s">
        <v>10175</v>
      </c>
      <c r="D7582" t="s">
        <v>180</v>
      </c>
      <c r="E7582" s="13">
        <v>200</v>
      </c>
      <c r="F7582" s="12">
        <v>0</v>
      </c>
      <c r="G7582" t="str">
        <f>IFERROR(INDEX(tEditais[Órgão],MATCH(tItens[[#This Row],[Edital]],tEditais[Edital],0)),"")</f>
        <v>EMPRESA BRASILEIRA DE SERVICOS HOSPITALARES - EBSERH</v>
      </c>
      <c r="H7582" t="str">
        <f>IFERROR(INDEX(tEditais[UF],MATCH(tItens[[#This Row],[Edital]],tEditais[Edital],0)),"")</f>
        <v>RS</v>
      </c>
      <c r="I7582" s="11">
        <f>IFERROR(INDEX(tEditais[Encerramento],MATCH(tItens[[#This Row],[Edital]],tEditais[Edital],0)),"")</f>
        <v>46304.375</v>
      </c>
      <c r="J7582" t="str">
        <f>IFERROR(INDEX(tProdutos[Classe],MATCH(tItens[[#This Row],[Produto]],tProdutos[Produto],0)),"produto não cadastrado")</f>
        <v>DISPUTADO</v>
      </c>
      <c r="K7582" s="12">
        <f>tItens[[#This Row],[Qtd]]*tItens[[#This Row],[Vlr unit]]</f>
        <v>0</v>
      </c>
      <c r="L7582" s="6">
        <f>IFERROR(IF(INDEX(tProdutos[Desconto homologado],MATCH(tItens[[#This Row],[Produto]],tProdutos[Produto],0))="",DescontoPadrao,INDEX(tProdutos[Desconto homologado],MATCH(tItens[[#This Row],[Produto]],tProdutos[Produto],0))),DescontoPadrao)</f>
        <v>0.33333333333333298</v>
      </c>
      <c r="M7582" s="12">
        <f>tItens[[#This Row],[Valor]]*(1-tItens[[#This Row],[Desconto]])</f>
        <v>0</v>
      </c>
      <c r="N7582" t="str">
        <f>IFERROR(INDEX(tProdutos[Foco],MATCH(tItens[[#This Row],[Produto]],tProdutos[Produto],0)),"Não")</f>
        <v>Não</v>
      </c>
      <c r="O7582" t="str">
        <f>IFERROR(INDEX(tEditais[SRP],MATCH(tItens[[#This Row],[Edital]],tEditais[Edital],0)),"Não")</f>
        <v>Não</v>
      </c>
      <c r="P7582" s="4">
        <f>IF(COUNTIFS(INDEX(tItens[Edital],1):tItens[[#This Row],[Edital]],tItens[[#This Row],[Edital]],INDEX(tItens[Produto],1):tItens[[#This Row],[Produto]],tItens[[#This Row],[Produto]])=1,1,0)</f>
        <v>1</v>
      </c>
    </row>
    <row r="7583" spans="1:16" x14ac:dyDescent="0.25">
      <c r="A7583" t="s">
        <v>2507</v>
      </c>
      <c r="B7583">
        <v>45</v>
      </c>
      <c r="C7583" t="s">
        <v>9398</v>
      </c>
      <c r="D7583" t="s">
        <v>180</v>
      </c>
      <c r="E7583" s="13">
        <v>100</v>
      </c>
      <c r="F7583" s="12">
        <v>0</v>
      </c>
      <c r="G7583" t="str">
        <f>IFERROR(INDEX(tEditais[Órgão],MATCH(tItens[[#This Row],[Edital]],tEditais[Edital],0)),"")</f>
        <v>EMPRESA BRASILEIRA DE SERVICOS HOSPITALARES - EBSERH</v>
      </c>
      <c r="H7583" t="str">
        <f>IFERROR(INDEX(tEditais[UF],MATCH(tItens[[#This Row],[Edital]],tEditais[Edital],0)),"")</f>
        <v>RS</v>
      </c>
      <c r="I7583" s="11">
        <f>IFERROR(INDEX(tEditais[Encerramento],MATCH(tItens[[#This Row],[Edital]],tEditais[Edital],0)),"")</f>
        <v>46304.375</v>
      </c>
      <c r="J7583" t="str">
        <f>IFERROR(INDEX(tProdutos[Classe],MATCH(tItens[[#This Row],[Produto]],tProdutos[Produto],0)),"produto não cadastrado")</f>
        <v>DISPUTADO</v>
      </c>
      <c r="K7583" s="12">
        <f>tItens[[#This Row],[Qtd]]*tItens[[#This Row],[Vlr unit]]</f>
        <v>0</v>
      </c>
      <c r="L7583" s="6">
        <f>IFERROR(IF(INDEX(tProdutos[Desconto homologado],MATCH(tItens[[#This Row],[Produto]],tProdutos[Produto],0))="",DescontoPadrao,INDEX(tProdutos[Desconto homologado],MATCH(tItens[[#This Row],[Produto]],tProdutos[Produto],0))),DescontoPadrao)</f>
        <v>0.33333333333333298</v>
      </c>
      <c r="M7583" s="12">
        <f>tItens[[#This Row],[Valor]]*(1-tItens[[#This Row],[Desconto]])</f>
        <v>0</v>
      </c>
      <c r="N7583" t="str">
        <f>IFERROR(INDEX(tProdutos[Foco],MATCH(tItens[[#This Row],[Produto]],tProdutos[Produto],0)),"Não")</f>
        <v>Não</v>
      </c>
      <c r="O7583" t="str">
        <f>IFERROR(INDEX(tEditais[SRP],MATCH(tItens[[#This Row],[Edital]],tEditais[Edital],0)),"Não")</f>
        <v>Não</v>
      </c>
      <c r="P7583" s="4">
        <f>IF(COUNTIFS(INDEX(tItens[Edital],1):tItens[[#This Row],[Edital]],tItens[[#This Row],[Edital]],INDEX(tItens[Produto],1):tItens[[#This Row],[Produto]],tItens[[#This Row],[Produto]])=1,1,0)</f>
        <v>0</v>
      </c>
    </row>
    <row r="7584" spans="1:16" x14ac:dyDescent="0.25">
      <c r="A7584" t="s">
        <v>2507</v>
      </c>
      <c r="B7584">
        <v>46</v>
      </c>
      <c r="C7584" t="s">
        <v>4199</v>
      </c>
      <c r="D7584" t="s">
        <v>245</v>
      </c>
      <c r="E7584" s="13">
        <v>10</v>
      </c>
      <c r="F7584" s="12">
        <v>0</v>
      </c>
      <c r="G7584" t="str">
        <f>IFERROR(INDEX(tEditais[Órgão],MATCH(tItens[[#This Row],[Edital]],tEditais[Edital],0)),"")</f>
        <v>EMPRESA BRASILEIRA DE SERVICOS HOSPITALARES - EBSERH</v>
      </c>
      <c r="H7584" t="str">
        <f>IFERROR(INDEX(tEditais[UF],MATCH(tItens[[#This Row],[Edital]],tEditais[Edital],0)),"")</f>
        <v>RS</v>
      </c>
      <c r="I7584" s="11">
        <f>IFERROR(INDEX(tEditais[Encerramento],MATCH(tItens[[#This Row],[Edital]],tEditais[Edital],0)),"")</f>
        <v>46304.375</v>
      </c>
      <c r="J7584" t="str">
        <f>IFERROR(INDEX(tProdutos[Classe],MATCH(tItens[[#This Row],[Produto]],tProdutos[Produto],0)),"produto não cadastrado")</f>
        <v>FORA</v>
      </c>
      <c r="K7584" s="12">
        <f>tItens[[#This Row],[Qtd]]*tItens[[#This Row],[Vlr unit]]</f>
        <v>0</v>
      </c>
      <c r="L7584" s="6">
        <f>IFERROR(IF(INDEX(tProdutos[Desconto homologado],MATCH(tItens[[#This Row],[Produto]],tProdutos[Produto],0))="",DescontoPadrao,INDEX(tProdutos[Desconto homologado],MATCH(tItens[[#This Row],[Produto]],tProdutos[Produto],0))),DescontoPadrao)</f>
        <v>0.34516963542284401</v>
      </c>
      <c r="M7584" s="12">
        <f>tItens[[#This Row],[Valor]]*(1-tItens[[#This Row],[Desconto]])</f>
        <v>0</v>
      </c>
      <c r="N7584" t="str">
        <f>IFERROR(INDEX(tProdutos[Foco],MATCH(tItens[[#This Row],[Produto]],tProdutos[Produto],0)),"Não")</f>
        <v>Não</v>
      </c>
      <c r="O7584" t="str">
        <f>IFERROR(INDEX(tEditais[SRP],MATCH(tItens[[#This Row],[Edital]],tEditais[Edital],0)),"Não")</f>
        <v>Não</v>
      </c>
      <c r="P7584" s="4">
        <f>IF(COUNTIFS(INDEX(tItens[Edital],1):tItens[[#This Row],[Edital]],tItens[[#This Row],[Edital]],INDEX(tItens[Produto],1):tItens[[#This Row],[Produto]],tItens[[#This Row],[Produto]])=1,1,0)</f>
        <v>0</v>
      </c>
    </row>
    <row r="7585" spans="1:16" x14ac:dyDescent="0.25">
      <c r="A7585" t="s">
        <v>2507</v>
      </c>
      <c r="B7585">
        <v>47</v>
      </c>
      <c r="C7585" t="s">
        <v>4190</v>
      </c>
      <c r="D7585" t="s">
        <v>245</v>
      </c>
      <c r="E7585" s="13">
        <v>150</v>
      </c>
      <c r="F7585" s="12">
        <v>0</v>
      </c>
      <c r="G7585" t="str">
        <f>IFERROR(INDEX(tEditais[Órgão],MATCH(tItens[[#This Row],[Edital]],tEditais[Edital],0)),"")</f>
        <v>EMPRESA BRASILEIRA DE SERVICOS HOSPITALARES - EBSERH</v>
      </c>
      <c r="H7585" t="str">
        <f>IFERROR(INDEX(tEditais[UF],MATCH(tItens[[#This Row],[Edital]],tEditais[Edital],0)),"")</f>
        <v>RS</v>
      </c>
      <c r="I7585" s="11">
        <f>IFERROR(INDEX(tEditais[Encerramento],MATCH(tItens[[#This Row],[Edital]],tEditais[Edital],0)),"")</f>
        <v>46304.375</v>
      </c>
      <c r="J7585" t="str">
        <f>IFERROR(INDEX(tProdutos[Classe],MATCH(tItens[[#This Row],[Produto]],tProdutos[Produto],0)),"produto não cadastrado")</f>
        <v>FORA</v>
      </c>
      <c r="K7585" s="12">
        <f>tItens[[#This Row],[Qtd]]*tItens[[#This Row],[Vlr unit]]</f>
        <v>0</v>
      </c>
      <c r="L7585" s="6">
        <f>IFERROR(IF(INDEX(tProdutos[Desconto homologado],MATCH(tItens[[#This Row],[Produto]],tProdutos[Produto],0))="",DescontoPadrao,INDEX(tProdutos[Desconto homologado],MATCH(tItens[[#This Row],[Produto]],tProdutos[Produto],0))),DescontoPadrao)</f>
        <v>0.34516963542284401</v>
      </c>
      <c r="M7585" s="12">
        <f>tItens[[#This Row],[Valor]]*(1-tItens[[#This Row],[Desconto]])</f>
        <v>0</v>
      </c>
      <c r="N7585" t="str">
        <f>IFERROR(INDEX(tProdutos[Foco],MATCH(tItens[[#This Row],[Produto]],tProdutos[Produto],0)),"Não")</f>
        <v>Não</v>
      </c>
      <c r="O7585" t="str">
        <f>IFERROR(INDEX(tEditais[SRP],MATCH(tItens[[#This Row],[Edital]],tEditais[Edital],0)),"Não")</f>
        <v>Não</v>
      </c>
      <c r="P7585" s="4">
        <f>IF(COUNTIFS(INDEX(tItens[Edital],1):tItens[[#This Row],[Edital]],tItens[[#This Row],[Edital]],INDEX(tItens[Produto],1):tItens[[#This Row],[Produto]],tItens[[#This Row],[Produto]])=1,1,0)</f>
        <v>0</v>
      </c>
    </row>
    <row r="7586" spans="1:16" x14ac:dyDescent="0.25">
      <c r="A7586" t="s">
        <v>2507</v>
      </c>
      <c r="B7586">
        <v>48</v>
      </c>
      <c r="C7586" t="s">
        <v>10176</v>
      </c>
      <c r="D7586" t="s">
        <v>245</v>
      </c>
      <c r="E7586" s="13">
        <v>50</v>
      </c>
      <c r="F7586" s="12">
        <v>0</v>
      </c>
      <c r="G7586" t="str">
        <f>IFERROR(INDEX(tEditais[Órgão],MATCH(tItens[[#This Row],[Edital]],tEditais[Edital],0)),"")</f>
        <v>EMPRESA BRASILEIRA DE SERVICOS HOSPITALARES - EBSERH</v>
      </c>
      <c r="H7586" t="str">
        <f>IFERROR(INDEX(tEditais[UF],MATCH(tItens[[#This Row],[Edital]],tEditais[Edital],0)),"")</f>
        <v>RS</v>
      </c>
      <c r="I7586" s="11">
        <f>IFERROR(INDEX(tEditais[Encerramento],MATCH(tItens[[#This Row],[Edital]],tEditais[Edital],0)),"")</f>
        <v>46304.375</v>
      </c>
      <c r="J7586" t="str">
        <f>IFERROR(INDEX(tProdutos[Classe],MATCH(tItens[[#This Row],[Produto]],tProdutos[Produto],0)),"produto não cadastrado")</f>
        <v>FORA</v>
      </c>
      <c r="K7586" s="12">
        <f>tItens[[#This Row],[Qtd]]*tItens[[#This Row],[Vlr unit]]</f>
        <v>0</v>
      </c>
      <c r="L7586" s="6">
        <f>IFERROR(IF(INDEX(tProdutos[Desconto homologado],MATCH(tItens[[#This Row],[Produto]],tProdutos[Produto],0))="",DescontoPadrao,INDEX(tProdutos[Desconto homologado],MATCH(tItens[[#This Row],[Produto]],tProdutos[Produto],0))),DescontoPadrao)</f>
        <v>0.34516963542284401</v>
      </c>
      <c r="M7586" s="12">
        <f>tItens[[#This Row],[Valor]]*(1-tItens[[#This Row],[Desconto]])</f>
        <v>0</v>
      </c>
      <c r="N7586" t="str">
        <f>IFERROR(INDEX(tProdutos[Foco],MATCH(tItens[[#This Row],[Produto]],tProdutos[Produto],0)),"Não")</f>
        <v>Não</v>
      </c>
      <c r="O7586" t="str">
        <f>IFERROR(INDEX(tEditais[SRP],MATCH(tItens[[#This Row],[Edital]],tEditais[Edital],0)),"Não")</f>
        <v>Não</v>
      </c>
      <c r="P7586" s="4">
        <f>IF(COUNTIFS(INDEX(tItens[Edital],1):tItens[[#This Row],[Edital]],tItens[[#This Row],[Edital]],INDEX(tItens[Produto],1):tItens[[#This Row],[Produto]],tItens[[#This Row],[Produto]])=1,1,0)</f>
        <v>0</v>
      </c>
    </row>
    <row r="7587" spans="1:16" x14ac:dyDescent="0.25">
      <c r="A7587" t="s">
        <v>2507</v>
      </c>
      <c r="B7587">
        <v>49</v>
      </c>
      <c r="C7587" t="s">
        <v>10177</v>
      </c>
      <c r="D7587" t="s">
        <v>245</v>
      </c>
      <c r="E7587" s="13">
        <v>30</v>
      </c>
      <c r="F7587" s="12">
        <v>0</v>
      </c>
      <c r="G7587" t="str">
        <f>IFERROR(INDEX(tEditais[Órgão],MATCH(tItens[[#This Row],[Edital]],tEditais[Edital],0)),"")</f>
        <v>EMPRESA BRASILEIRA DE SERVICOS HOSPITALARES - EBSERH</v>
      </c>
      <c r="H7587" t="str">
        <f>IFERROR(INDEX(tEditais[UF],MATCH(tItens[[#This Row],[Edital]],tEditais[Edital],0)),"")</f>
        <v>RS</v>
      </c>
      <c r="I7587" s="11">
        <f>IFERROR(INDEX(tEditais[Encerramento],MATCH(tItens[[#This Row],[Edital]],tEditais[Edital],0)),"")</f>
        <v>46304.375</v>
      </c>
      <c r="J7587" t="str">
        <f>IFERROR(INDEX(tProdutos[Classe],MATCH(tItens[[#This Row],[Produto]],tProdutos[Produto],0)),"produto não cadastrado")</f>
        <v>FORA</v>
      </c>
      <c r="K7587" s="12">
        <f>tItens[[#This Row],[Qtd]]*tItens[[#This Row],[Vlr unit]]</f>
        <v>0</v>
      </c>
      <c r="L7587" s="6">
        <f>IFERROR(IF(INDEX(tProdutos[Desconto homologado],MATCH(tItens[[#This Row],[Produto]],tProdutos[Produto],0))="",DescontoPadrao,INDEX(tProdutos[Desconto homologado],MATCH(tItens[[#This Row],[Produto]],tProdutos[Produto],0))),DescontoPadrao)</f>
        <v>0.34516963542284401</v>
      </c>
      <c r="M7587" s="12">
        <f>tItens[[#This Row],[Valor]]*(1-tItens[[#This Row],[Desconto]])</f>
        <v>0</v>
      </c>
      <c r="N7587" t="str">
        <f>IFERROR(INDEX(tProdutos[Foco],MATCH(tItens[[#This Row],[Produto]],tProdutos[Produto],0)),"Não")</f>
        <v>Não</v>
      </c>
      <c r="O7587" t="str">
        <f>IFERROR(INDEX(tEditais[SRP],MATCH(tItens[[#This Row],[Edital]],tEditais[Edital],0)),"Não")</f>
        <v>Não</v>
      </c>
      <c r="P7587" s="4">
        <f>IF(COUNTIFS(INDEX(tItens[Edital],1):tItens[[#This Row],[Edital]],tItens[[#This Row],[Edital]],INDEX(tItens[Produto],1):tItens[[#This Row],[Produto]],tItens[[#This Row],[Produto]])=1,1,0)</f>
        <v>0</v>
      </c>
    </row>
    <row r="7588" spans="1:16" x14ac:dyDescent="0.25">
      <c r="A7588" t="s">
        <v>2507</v>
      </c>
      <c r="B7588">
        <v>50</v>
      </c>
      <c r="C7588" t="s">
        <v>4191</v>
      </c>
      <c r="D7588" t="s">
        <v>245</v>
      </c>
      <c r="E7588" s="13">
        <v>450</v>
      </c>
      <c r="F7588" s="12">
        <v>0</v>
      </c>
      <c r="G7588" t="str">
        <f>IFERROR(INDEX(tEditais[Órgão],MATCH(tItens[[#This Row],[Edital]],tEditais[Edital],0)),"")</f>
        <v>EMPRESA BRASILEIRA DE SERVICOS HOSPITALARES - EBSERH</v>
      </c>
      <c r="H7588" t="str">
        <f>IFERROR(INDEX(tEditais[UF],MATCH(tItens[[#This Row],[Edital]],tEditais[Edital],0)),"")</f>
        <v>RS</v>
      </c>
      <c r="I7588" s="11">
        <f>IFERROR(INDEX(tEditais[Encerramento],MATCH(tItens[[#This Row],[Edital]],tEditais[Edital],0)),"")</f>
        <v>46304.375</v>
      </c>
      <c r="J7588" t="str">
        <f>IFERROR(INDEX(tProdutos[Classe],MATCH(tItens[[#This Row],[Produto]],tProdutos[Produto],0)),"produto não cadastrado")</f>
        <v>FORA</v>
      </c>
      <c r="K7588" s="12">
        <f>tItens[[#This Row],[Qtd]]*tItens[[#This Row],[Vlr unit]]</f>
        <v>0</v>
      </c>
      <c r="L7588" s="6">
        <f>IFERROR(IF(INDEX(tProdutos[Desconto homologado],MATCH(tItens[[#This Row],[Produto]],tProdutos[Produto],0))="",DescontoPadrao,INDEX(tProdutos[Desconto homologado],MATCH(tItens[[#This Row],[Produto]],tProdutos[Produto],0))),DescontoPadrao)</f>
        <v>0.34516963542284401</v>
      </c>
      <c r="M7588" s="12">
        <f>tItens[[#This Row],[Valor]]*(1-tItens[[#This Row],[Desconto]])</f>
        <v>0</v>
      </c>
      <c r="N7588" t="str">
        <f>IFERROR(INDEX(tProdutos[Foco],MATCH(tItens[[#This Row],[Produto]],tProdutos[Produto],0)),"Não")</f>
        <v>Não</v>
      </c>
      <c r="O7588" t="str">
        <f>IFERROR(INDEX(tEditais[SRP],MATCH(tItens[[#This Row],[Edital]],tEditais[Edital],0)),"Não")</f>
        <v>Não</v>
      </c>
      <c r="P7588" s="4">
        <f>IF(COUNTIFS(INDEX(tItens[Edital],1):tItens[[#This Row],[Edital]],tItens[[#This Row],[Edital]],INDEX(tItens[Produto],1):tItens[[#This Row],[Produto]],tItens[[#This Row],[Produto]])=1,1,0)</f>
        <v>0</v>
      </c>
    </row>
    <row r="7589" spans="1:16" x14ac:dyDescent="0.25">
      <c r="A7589" t="s">
        <v>2507</v>
      </c>
      <c r="B7589">
        <v>51</v>
      </c>
      <c r="C7589" t="s">
        <v>4192</v>
      </c>
      <c r="D7589" t="s">
        <v>245</v>
      </c>
      <c r="E7589" s="13">
        <v>20</v>
      </c>
      <c r="F7589" s="12">
        <v>0</v>
      </c>
      <c r="G7589" t="str">
        <f>IFERROR(INDEX(tEditais[Órgão],MATCH(tItens[[#This Row],[Edital]],tEditais[Edital],0)),"")</f>
        <v>EMPRESA BRASILEIRA DE SERVICOS HOSPITALARES - EBSERH</v>
      </c>
      <c r="H7589" t="str">
        <f>IFERROR(INDEX(tEditais[UF],MATCH(tItens[[#This Row],[Edital]],tEditais[Edital],0)),"")</f>
        <v>RS</v>
      </c>
      <c r="I7589" s="11">
        <f>IFERROR(INDEX(tEditais[Encerramento],MATCH(tItens[[#This Row],[Edital]],tEditais[Edital],0)),"")</f>
        <v>46304.375</v>
      </c>
      <c r="J7589" t="str">
        <f>IFERROR(INDEX(tProdutos[Classe],MATCH(tItens[[#This Row],[Produto]],tProdutos[Produto],0)),"produto não cadastrado")</f>
        <v>FORA</v>
      </c>
      <c r="K7589" s="12">
        <f>tItens[[#This Row],[Qtd]]*tItens[[#This Row],[Vlr unit]]</f>
        <v>0</v>
      </c>
      <c r="L7589" s="6">
        <f>IFERROR(IF(INDEX(tProdutos[Desconto homologado],MATCH(tItens[[#This Row],[Produto]],tProdutos[Produto],0))="",DescontoPadrao,INDEX(tProdutos[Desconto homologado],MATCH(tItens[[#This Row],[Produto]],tProdutos[Produto],0))),DescontoPadrao)</f>
        <v>0.34516963542284401</v>
      </c>
      <c r="M7589" s="12">
        <f>tItens[[#This Row],[Valor]]*(1-tItens[[#This Row],[Desconto]])</f>
        <v>0</v>
      </c>
      <c r="N7589" t="str">
        <f>IFERROR(INDEX(tProdutos[Foco],MATCH(tItens[[#This Row],[Produto]],tProdutos[Produto],0)),"Não")</f>
        <v>Não</v>
      </c>
      <c r="O7589" t="str">
        <f>IFERROR(INDEX(tEditais[SRP],MATCH(tItens[[#This Row],[Edital]],tEditais[Edital],0)),"Não")</f>
        <v>Não</v>
      </c>
      <c r="P7589" s="4">
        <f>IF(COUNTIFS(INDEX(tItens[Edital],1):tItens[[#This Row],[Edital]],tItens[[#This Row],[Edital]],INDEX(tItens[Produto],1):tItens[[#This Row],[Produto]],tItens[[#This Row],[Produto]])=1,1,0)</f>
        <v>0</v>
      </c>
    </row>
    <row r="7590" spans="1:16" x14ac:dyDescent="0.25">
      <c r="A7590" t="s">
        <v>2507</v>
      </c>
      <c r="B7590">
        <v>52</v>
      </c>
      <c r="C7590" t="s">
        <v>10178</v>
      </c>
      <c r="D7590" t="s">
        <v>245</v>
      </c>
      <c r="E7590" s="13">
        <v>20</v>
      </c>
      <c r="F7590" s="12">
        <v>0</v>
      </c>
      <c r="G7590" t="str">
        <f>IFERROR(INDEX(tEditais[Órgão],MATCH(tItens[[#This Row],[Edital]],tEditais[Edital],0)),"")</f>
        <v>EMPRESA BRASILEIRA DE SERVICOS HOSPITALARES - EBSERH</v>
      </c>
      <c r="H7590" t="str">
        <f>IFERROR(INDEX(tEditais[UF],MATCH(tItens[[#This Row],[Edital]],tEditais[Edital],0)),"")</f>
        <v>RS</v>
      </c>
      <c r="I7590" s="11">
        <f>IFERROR(INDEX(tEditais[Encerramento],MATCH(tItens[[#This Row],[Edital]],tEditais[Edital],0)),"")</f>
        <v>46304.375</v>
      </c>
      <c r="J7590" t="str">
        <f>IFERROR(INDEX(tProdutos[Classe],MATCH(tItens[[#This Row],[Produto]],tProdutos[Produto],0)),"produto não cadastrado")</f>
        <v>FORA</v>
      </c>
      <c r="K7590" s="12">
        <f>tItens[[#This Row],[Qtd]]*tItens[[#This Row],[Vlr unit]]</f>
        <v>0</v>
      </c>
      <c r="L7590" s="6">
        <f>IFERROR(IF(INDEX(tProdutos[Desconto homologado],MATCH(tItens[[#This Row],[Produto]],tProdutos[Produto],0))="",DescontoPadrao,INDEX(tProdutos[Desconto homologado],MATCH(tItens[[#This Row],[Produto]],tProdutos[Produto],0))),DescontoPadrao)</f>
        <v>0.34516963542284401</v>
      </c>
      <c r="M7590" s="12">
        <f>tItens[[#This Row],[Valor]]*(1-tItens[[#This Row],[Desconto]])</f>
        <v>0</v>
      </c>
      <c r="N7590" t="str">
        <f>IFERROR(INDEX(tProdutos[Foco],MATCH(tItens[[#This Row],[Produto]],tProdutos[Produto],0)),"Não")</f>
        <v>Não</v>
      </c>
      <c r="O7590" t="str">
        <f>IFERROR(INDEX(tEditais[SRP],MATCH(tItens[[#This Row],[Edital]],tEditais[Edital],0)),"Não")</f>
        <v>Não</v>
      </c>
      <c r="P7590" s="4">
        <f>IF(COUNTIFS(INDEX(tItens[Edital],1):tItens[[#This Row],[Edital]],tItens[[#This Row],[Edital]],INDEX(tItens[Produto],1):tItens[[#This Row],[Produto]],tItens[[#This Row],[Produto]])=1,1,0)</f>
        <v>0</v>
      </c>
    </row>
    <row r="7591" spans="1:16" x14ac:dyDescent="0.25">
      <c r="A7591" t="s">
        <v>2507</v>
      </c>
      <c r="B7591">
        <v>63</v>
      </c>
      <c r="C7591" t="s">
        <v>4199</v>
      </c>
      <c r="D7591" t="s">
        <v>245</v>
      </c>
      <c r="E7591" s="13">
        <v>60</v>
      </c>
      <c r="F7591" s="12">
        <v>0</v>
      </c>
      <c r="G7591" t="str">
        <f>IFERROR(INDEX(tEditais[Órgão],MATCH(tItens[[#This Row],[Edital]],tEditais[Edital],0)),"")</f>
        <v>EMPRESA BRASILEIRA DE SERVICOS HOSPITALARES - EBSERH</v>
      </c>
      <c r="H7591" t="str">
        <f>IFERROR(INDEX(tEditais[UF],MATCH(tItens[[#This Row],[Edital]],tEditais[Edital],0)),"")</f>
        <v>RS</v>
      </c>
      <c r="I7591" s="11">
        <f>IFERROR(INDEX(tEditais[Encerramento],MATCH(tItens[[#This Row],[Edital]],tEditais[Edital],0)),"")</f>
        <v>46304.375</v>
      </c>
      <c r="J7591" t="str">
        <f>IFERROR(INDEX(tProdutos[Classe],MATCH(tItens[[#This Row],[Produto]],tProdutos[Produto],0)),"produto não cadastrado")</f>
        <v>FORA</v>
      </c>
      <c r="K7591" s="12">
        <f>tItens[[#This Row],[Qtd]]*tItens[[#This Row],[Vlr unit]]</f>
        <v>0</v>
      </c>
      <c r="L7591" s="6">
        <f>IFERROR(IF(INDEX(tProdutos[Desconto homologado],MATCH(tItens[[#This Row],[Produto]],tProdutos[Produto],0))="",DescontoPadrao,INDEX(tProdutos[Desconto homologado],MATCH(tItens[[#This Row],[Produto]],tProdutos[Produto],0))),DescontoPadrao)</f>
        <v>0.34516963542284401</v>
      </c>
      <c r="M7591" s="12">
        <f>tItens[[#This Row],[Valor]]*(1-tItens[[#This Row],[Desconto]])</f>
        <v>0</v>
      </c>
      <c r="N7591" t="str">
        <f>IFERROR(INDEX(tProdutos[Foco],MATCH(tItens[[#This Row],[Produto]],tProdutos[Produto],0)),"Não")</f>
        <v>Não</v>
      </c>
      <c r="O7591" t="str">
        <f>IFERROR(INDEX(tEditais[SRP],MATCH(tItens[[#This Row],[Edital]],tEditais[Edital],0)),"Não")</f>
        <v>Não</v>
      </c>
      <c r="P7591" s="4">
        <f>IF(COUNTIFS(INDEX(tItens[Edital],1):tItens[[#This Row],[Edital]],tItens[[#This Row],[Edital]],INDEX(tItens[Produto],1):tItens[[#This Row],[Produto]],tItens[[#This Row],[Produto]])=1,1,0)</f>
        <v>0</v>
      </c>
    </row>
    <row r="7592" spans="1:16" x14ac:dyDescent="0.25">
      <c r="A7592" t="s">
        <v>2507</v>
      </c>
      <c r="B7592">
        <v>64</v>
      </c>
      <c r="C7592" t="s">
        <v>4193</v>
      </c>
      <c r="D7592" t="s">
        <v>245</v>
      </c>
      <c r="E7592" s="13">
        <v>60</v>
      </c>
      <c r="F7592" s="12">
        <v>0</v>
      </c>
      <c r="G7592" t="str">
        <f>IFERROR(INDEX(tEditais[Órgão],MATCH(tItens[[#This Row],[Edital]],tEditais[Edital],0)),"")</f>
        <v>EMPRESA BRASILEIRA DE SERVICOS HOSPITALARES - EBSERH</v>
      </c>
      <c r="H7592" t="str">
        <f>IFERROR(INDEX(tEditais[UF],MATCH(tItens[[#This Row],[Edital]],tEditais[Edital],0)),"")</f>
        <v>RS</v>
      </c>
      <c r="I7592" s="11">
        <f>IFERROR(INDEX(tEditais[Encerramento],MATCH(tItens[[#This Row],[Edital]],tEditais[Edital],0)),"")</f>
        <v>46304.375</v>
      </c>
      <c r="J7592" t="str">
        <f>IFERROR(INDEX(tProdutos[Classe],MATCH(tItens[[#This Row],[Produto]],tProdutos[Produto],0)),"produto não cadastrado")</f>
        <v>FORA</v>
      </c>
      <c r="K7592" s="12">
        <f>tItens[[#This Row],[Qtd]]*tItens[[#This Row],[Vlr unit]]</f>
        <v>0</v>
      </c>
      <c r="L7592" s="6">
        <f>IFERROR(IF(INDEX(tProdutos[Desconto homologado],MATCH(tItens[[#This Row],[Produto]],tProdutos[Produto],0))="",DescontoPadrao,INDEX(tProdutos[Desconto homologado],MATCH(tItens[[#This Row],[Produto]],tProdutos[Produto],0))),DescontoPadrao)</f>
        <v>0.34516963542284401</v>
      </c>
      <c r="M7592" s="12">
        <f>tItens[[#This Row],[Valor]]*(1-tItens[[#This Row],[Desconto]])</f>
        <v>0</v>
      </c>
      <c r="N7592" t="str">
        <f>IFERROR(INDEX(tProdutos[Foco],MATCH(tItens[[#This Row],[Produto]],tProdutos[Produto],0)),"Não")</f>
        <v>Não</v>
      </c>
      <c r="O7592" t="str">
        <f>IFERROR(INDEX(tEditais[SRP],MATCH(tItens[[#This Row],[Edital]],tEditais[Edital],0)),"Não")</f>
        <v>Não</v>
      </c>
      <c r="P7592" s="4">
        <f>IF(COUNTIFS(INDEX(tItens[Edital],1):tItens[[#This Row],[Edital]],tItens[[#This Row],[Edital]],INDEX(tItens[Produto],1):tItens[[#This Row],[Produto]],tItens[[#This Row],[Produto]])=1,1,0)</f>
        <v>0</v>
      </c>
    </row>
    <row r="7593" spans="1:16" x14ac:dyDescent="0.25">
      <c r="A7593" t="s">
        <v>2507</v>
      </c>
      <c r="B7593">
        <v>65</v>
      </c>
      <c r="C7593" t="s">
        <v>4194</v>
      </c>
      <c r="D7593" t="s">
        <v>245</v>
      </c>
      <c r="E7593" s="13">
        <v>60</v>
      </c>
      <c r="F7593" s="12">
        <v>0</v>
      </c>
      <c r="G7593" t="str">
        <f>IFERROR(INDEX(tEditais[Órgão],MATCH(tItens[[#This Row],[Edital]],tEditais[Edital],0)),"")</f>
        <v>EMPRESA BRASILEIRA DE SERVICOS HOSPITALARES - EBSERH</v>
      </c>
      <c r="H7593" t="str">
        <f>IFERROR(INDEX(tEditais[UF],MATCH(tItens[[#This Row],[Edital]],tEditais[Edital],0)),"")</f>
        <v>RS</v>
      </c>
      <c r="I7593" s="11">
        <f>IFERROR(INDEX(tEditais[Encerramento],MATCH(tItens[[#This Row],[Edital]],tEditais[Edital],0)),"")</f>
        <v>46304.375</v>
      </c>
      <c r="J7593" t="str">
        <f>IFERROR(INDEX(tProdutos[Classe],MATCH(tItens[[#This Row],[Produto]],tProdutos[Produto],0)),"produto não cadastrado")</f>
        <v>FORA</v>
      </c>
      <c r="K7593" s="12">
        <f>tItens[[#This Row],[Qtd]]*tItens[[#This Row],[Vlr unit]]</f>
        <v>0</v>
      </c>
      <c r="L7593" s="6">
        <f>IFERROR(IF(INDEX(tProdutos[Desconto homologado],MATCH(tItens[[#This Row],[Produto]],tProdutos[Produto],0))="",DescontoPadrao,INDEX(tProdutos[Desconto homologado],MATCH(tItens[[#This Row],[Produto]],tProdutos[Produto],0))),DescontoPadrao)</f>
        <v>0.34516963542284401</v>
      </c>
      <c r="M7593" s="12">
        <f>tItens[[#This Row],[Valor]]*(1-tItens[[#This Row],[Desconto]])</f>
        <v>0</v>
      </c>
      <c r="N7593" t="str">
        <f>IFERROR(INDEX(tProdutos[Foco],MATCH(tItens[[#This Row],[Produto]],tProdutos[Produto],0)),"Não")</f>
        <v>Não</v>
      </c>
      <c r="O7593" t="str">
        <f>IFERROR(INDEX(tEditais[SRP],MATCH(tItens[[#This Row],[Edital]],tEditais[Edital],0)),"Não")</f>
        <v>Não</v>
      </c>
      <c r="P7593" s="4">
        <f>IF(COUNTIFS(INDEX(tItens[Edital],1):tItens[[#This Row],[Edital]],tItens[[#This Row],[Edital]],INDEX(tItens[Produto],1):tItens[[#This Row],[Produto]],tItens[[#This Row],[Produto]])=1,1,0)</f>
        <v>0</v>
      </c>
    </row>
    <row r="7594" spans="1:16" x14ac:dyDescent="0.25">
      <c r="A7594" t="s">
        <v>2507</v>
      </c>
      <c r="B7594">
        <v>66</v>
      </c>
      <c r="C7594" t="s">
        <v>4195</v>
      </c>
      <c r="D7594" t="s">
        <v>245</v>
      </c>
      <c r="E7594" s="13">
        <v>60</v>
      </c>
      <c r="F7594" s="12">
        <v>0</v>
      </c>
      <c r="G7594" t="str">
        <f>IFERROR(INDEX(tEditais[Órgão],MATCH(tItens[[#This Row],[Edital]],tEditais[Edital],0)),"")</f>
        <v>EMPRESA BRASILEIRA DE SERVICOS HOSPITALARES - EBSERH</v>
      </c>
      <c r="H7594" t="str">
        <f>IFERROR(INDEX(tEditais[UF],MATCH(tItens[[#This Row],[Edital]],tEditais[Edital],0)),"")</f>
        <v>RS</v>
      </c>
      <c r="I7594" s="11">
        <f>IFERROR(INDEX(tEditais[Encerramento],MATCH(tItens[[#This Row],[Edital]],tEditais[Edital],0)),"")</f>
        <v>46304.375</v>
      </c>
      <c r="J7594" t="str">
        <f>IFERROR(INDEX(tProdutos[Classe],MATCH(tItens[[#This Row],[Produto]],tProdutos[Produto],0)),"produto não cadastrado")</f>
        <v>FORA</v>
      </c>
      <c r="K7594" s="12">
        <f>tItens[[#This Row],[Qtd]]*tItens[[#This Row],[Vlr unit]]</f>
        <v>0</v>
      </c>
      <c r="L7594" s="6">
        <f>IFERROR(IF(INDEX(tProdutos[Desconto homologado],MATCH(tItens[[#This Row],[Produto]],tProdutos[Produto],0))="",DescontoPadrao,INDEX(tProdutos[Desconto homologado],MATCH(tItens[[#This Row],[Produto]],tProdutos[Produto],0))),DescontoPadrao)</f>
        <v>0.34516963542284401</v>
      </c>
      <c r="M7594" s="12">
        <f>tItens[[#This Row],[Valor]]*(1-tItens[[#This Row],[Desconto]])</f>
        <v>0</v>
      </c>
      <c r="N7594" t="str">
        <f>IFERROR(INDEX(tProdutos[Foco],MATCH(tItens[[#This Row],[Produto]],tProdutos[Produto],0)),"Não")</f>
        <v>Não</v>
      </c>
      <c r="O7594" t="str">
        <f>IFERROR(INDEX(tEditais[SRP],MATCH(tItens[[#This Row],[Edital]],tEditais[Edital],0)),"Não")</f>
        <v>Não</v>
      </c>
      <c r="P7594" s="4">
        <f>IF(COUNTIFS(INDEX(tItens[Edital],1):tItens[[#This Row],[Edital]],tItens[[#This Row],[Edital]],INDEX(tItens[Produto],1):tItens[[#This Row],[Produto]],tItens[[#This Row],[Produto]])=1,1,0)</f>
        <v>0</v>
      </c>
    </row>
    <row r="7595" spans="1:16" x14ac:dyDescent="0.25">
      <c r="A7595" t="s">
        <v>2507</v>
      </c>
      <c r="B7595">
        <v>67</v>
      </c>
      <c r="C7595" t="s">
        <v>10179</v>
      </c>
      <c r="D7595" t="s">
        <v>245</v>
      </c>
      <c r="E7595" s="13">
        <v>60</v>
      </c>
      <c r="F7595" s="12">
        <v>0</v>
      </c>
      <c r="G7595" t="str">
        <f>IFERROR(INDEX(tEditais[Órgão],MATCH(tItens[[#This Row],[Edital]],tEditais[Edital],0)),"")</f>
        <v>EMPRESA BRASILEIRA DE SERVICOS HOSPITALARES - EBSERH</v>
      </c>
      <c r="H7595" t="str">
        <f>IFERROR(INDEX(tEditais[UF],MATCH(tItens[[#This Row],[Edital]],tEditais[Edital],0)),"")</f>
        <v>RS</v>
      </c>
      <c r="I7595" s="11">
        <f>IFERROR(INDEX(tEditais[Encerramento],MATCH(tItens[[#This Row],[Edital]],tEditais[Edital],0)),"")</f>
        <v>46304.375</v>
      </c>
      <c r="J7595" t="str">
        <f>IFERROR(INDEX(tProdutos[Classe],MATCH(tItens[[#This Row],[Produto]],tProdutos[Produto],0)),"produto não cadastrado")</f>
        <v>FORA</v>
      </c>
      <c r="K7595" s="12">
        <f>tItens[[#This Row],[Qtd]]*tItens[[#This Row],[Vlr unit]]</f>
        <v>0</v>
      </c>
      <c r="L7595" s="6">
        <f>IFERROR(IF(INDEX(tProdutos[Desconto homologado],MATCH(tItens[[#This Row],[Produto]],tProdutos[Produto],0))="",DescontoPadrao,INDEX(tProdutos[Desconto homologado],MATCH(tItens[[#This Row],[Produto]],tProdutos[Produto],0))),DescontoPadrao)</f>
        <v>0.34516963542284401</v>
      </c>
      <c r="M7595" s="12">
        <f>tItens[[#This Row],[Valor]]*(1-tItens[[#This Row],[Desconto]])</f>
        <v>0</v>
      </c>
      <c r="N7595" t="str">
        <f>IFERROR(INDEX(tProdutos[Foco],MATCH(tItens[[#This Row],[Produto]],tProdutos[Produto],0)),"Não")</f>
        <v>Não</v>
      </c>
      <c r="O7595" t="str">
        <f>IFERROR(INDEX(tEditais[SRP],MATCH(tItens[[#This Row],[Edital]],tEditais[Edital],0)),"Não")</f>
        <v>Não</v>
      </c>
      <c r="P7595" s="4">
        <f>IF(COUNTIFS(INDEX(tItens[Edital],1):tItens[[#This Row],[Edital]],tItens[[#This Row],[Edital]],INDEX(tItens[Produto],1):tItens[[#This Row],[Produto]],tItens[[#This Row],[Produto]])=1,1,0)</f>
        <v>0</v>
      </c>
    </row>
    <row r="7596" spans="1:16" x14ac:dyDescent="0.25">
      <c r="A7596" t="s">
        <v>2507</v>
      </c>
      <c r="B7596">
        <v>68</v>
      </c>
      <c r="C7596" t="s">
        <v>10177</v>
      </c>
      <c r="D7596" t="s">
        <v>245</v>
      </c>
      <c r="E7596" s="13">
        <v>60</v>
      </c>
      <c r="F7596" s="12">
        <v>0</v>
      </c>
      <c r="G7596" t="str">
        <f>IFERROR(INDEX(tEditais[Órgão],MATCH(tItens[[#This Row],[Edital]],tEditais[Edital],0)),"")</f>
        <v>EMPRESA BRASILEIRA DE SERVICOS HOSPITALARES - EBSERH</v>
      </c>
      <c r="H7596" t="str">
        <f>IFERROR(INDEX(tEditais[UF],MATCH(tItens[[#This Row],[Edital]],tEditais[Edital],0)),"")</f>
        <v>RS</v>
      </c>
      <c r="I7596" s="11">
        <f>IFERROR(INDEX(tEditais[Encerramento],MATCH(tItens[[#This Row],[Edital]],tEditais[Edital],0)),"")</f>
        <v>46304.375</v>
      </c>
      <c r="J7596" t="str">
        <f>IFERROR(INDEX(tProdutos[Classe],MATCH(tItens[[#This Row],[Produto]],tProdutos[Produto],0)),"produto não cadastrado")</f>
        <v>FORA</v>
      </c>
      <c r="K7596" s="12">
        <f>tItens[[#This Row],[Qtd]]*tItens[[#This Row],[Vlr unit]]</f>
        <v>0</v>
      </c>
      <c r="L7596" s="6">
        <f>IFERROR(IF(INDEX(tProdutos[Desconto homologado],MATCH(tItens[[#This Row],[Produto]],tProdutos[Produto],0))="",DescontoPadrao,INDEX(tProdutos[Desconto homologado],MATCH(tItens[[#This Row],[Produto]],tProdutos[Produto],0))),DescontoPadrao)</f>
        <v>0.34516963542284401</v>
      </c>
      <c r="M7596" s="12">
        <f>tItens[[#This Row],[Valor]]*(1-tItens[[#This Row],[Desconto]])</f>
        <v>0</v>
      </c>
      <c r="N7596" t="str">
        <f>IFERROR(INDEX(tProdutos[Foco],MATCH(tItens[[#This Row],[Produto]],tProdutos[Produto],0)),"Não")</f>
        <v>Não</v>
      </c>
      <c r="O7596" t="str">
        <f>IFERROR(INDEX(tEditais[SRP],MATCH(tItens[[#This Row],[Edital]],tEditais[Edital],0)),"Não")</f>
        <v>Não</v>
      </c>
      <c r="P7596" s="4">
        <f>IF(COUNTIFS(INDEX(tItens[Edital],1):tItens[[#This Row],[Edital]],tItens[[#This Row],[Edital]],INDEX(tItens[Produto],1):tItens[[#This Row],[Produto]],tItens[[#This Row],[Produto]])=1,1,0)</f>
        <v>0</v>
      </c>
    </row>
    <row r="7597" spans="1:16" x14ac:dyDescent="0.25">
      <c r="A7597" t="s">
        <v>2507</v>
      </c>
      <c r="B7597">
        <v>69</v>
      </c>
      <c r="C7597" t="s">
        <v>10180</v>
      </c>
      <c r="D7597" t="s">
        <v>245</v>
      </c>
      <c r="E7597" s="13">
        <v>60</v>
      </c>
      <c r="F7597" s="12">
        <v>0</v>
      </c>
      <c r="G7597" t="str">
        <f>IFERROR(INDEX(tEditais[Órgão],MATCH(tItens[[#This Row],[Edital]],tEditais[Edital],0)),"")</f>
        <v>EMPRESA BRASILEIRA DE SERVICOS HOSPITALARES - EBSERH</v>
      </c>
      <c r="H7597" t="str">
        <f>IFERROR(INDEX(tEditais[UF],MATCH(tItens[[#This Row],[Edital]],tEditais[Edital],0)),"")</f>
        <v>RS</v>
      </c>
      <c r="I7597" s="11">
        <f>IFERROR(INDEX(tEditais[Encerramento],MATCH(tItens[[#This Row],[Edital]],tEditais[Edital],0)),"")</f>
        <v>46304.375</v>
      </c>
      <c r="J7597" t="str">
        <f>IFERROR(INDEX(tProdutos[Classe],MATCH(tItens[[#This Row],[Produto]],tProdutos[Produto],0)),"produto não cadastrado")</f>
        <v>FORA</v>
      </c>
      <c r="K7597" s="12">
        <f>tItens[[#This Row],[Qtd]]*tItens[[#This Row],[Vlr unit]]</f>
        <v>0</v>
      </c>
      <c r="L7597" s="6">
        <f>IFERROR(IF(INDEX(tProdutos[Desconto homologado],MATCH(tItens[[#This Row],[Produto]],tProdutos[Produto],0))="",DescontoPadrao,INDEX(tProdutos[Desconto homologado],MATCH(tItens[[#This Row],[Produto]],tProdutos[Produto],0))),DescontoPadrao)</f>
        <v>0.34516963542284401</v>
      </c>
      <c r="M7597" s="12">
        <f>tItens[[#This Row],[Valor]]*(1-tItens[[#This Row],[Desconto]])</f>
        <v>0</v>
      </c>
      <c r="N7597" t="str">
        <f>IFERROR(INDEX(tProdutos[Foco],MATCH(tItens[[#This Row],[Produto]],tProdutos[Produto],0)),"Não")</f>
        <v>Não</v>
      </c>
      <c r="O7597" t="str">
        <f>IFERROR(INDEX(tEditais[SRP],MATCH(tItens[[#This Row],[Edital]],tEditais[Edital],0)),"Não")</f>
        <v>Não</v>
      </c>
      <c r="P7597" s="4">
        <f>IF(COUNTIFS(INDEX(tItens[Edital],1):tItens[[#This Row],[Edital]],tItens[[#This Row],[Edital]],INDEX(tItens[Produto],1):tItens[[#This Row],[Produto]],tItens[[#This Row],[Produto]])=1,1,0)</f>
        <v>0</v>
      </c>
    </row>
    <row r="7598" spans="1:16" x14ac:dyDescent="0.25">
      <c r="A7598" t="s">
        <v>2511</v>
      </c>
      <c r="B7598">
        <v>21</v>
      </c>
      <c r="C7598" t="s">
        <v>10181</v>
      </c>
      <c r="D7598" t="s">
        <v>494</v>
      </c>
      <c r="E7598" s="13">
        <v>6</v>
      </c>
      <c r="F7598" s="12">
        <v>893</v>
      </c>
      <c r="G7598" t="str">
        <f>IFERROR(INDEX(tEditais[Órgão],MATCH(tItens[[#This Row],[Edital]],tEditais[Edital],0)),"")</f>
        <v>MUNICIPIO DE SANTO ANTONIO DA PATRULHA</v>
      </c>
      <c r="H7598" t="str">
        <f>IFERROR(INDEX(tEditais[UF],MATCH(tItens[[#This Row],[Edital]],tEditais[Edital],0)),"")</f>
        <v>RS</v>
      </c>
      <c r="I7598" s="11">
        <f>IFERROR(INDEX(tEditais[Encerramento],MATCH(tItens[[#This Row],[Edital]],tEditais[Edital],0)),"")</f>
        <v>46304.583333333336</v>
      </c>
      <c r="J7598" t="str">
        <f>IFERROR(INDEX(tProdutos[Classe],MATCH(tItens[[#This Row],[Produto]],tProdutos[Produto],0)),"produto não cadastrado")</f>
        <v>FILA REBASE</v>
      </c>
      <c r="K7598" s="12">
        <f>tItens[[#This Row],[Qtd]]*tItens[[#This Row],[Vlr unit]]</f>
        <v>5358</v>
      </c>
      <c r="L7598" s="6">
        <f>IFERROR(IF(INDEX(tProdutos[Desconto homologado],MATCH(tItens[[#This Row],[Produto]],tProdutos[Produto],0))="",DescontoPadrao,INDEX(tProdutos[Desconto homologado],MATCH(tItens[[#This Row],[Produto]],tProdutos[Produto],0))),DescontoPadrao)</f>
        <v>0.253736324829619</v>
      </c>
      <c r="M7598" s="12">
        <f>tItens[[#This Row],[Valor]]*(1-tItens[[#This Row],[Desconto]])</f>
        <v>3998.4807715629017</v>
      </c>
      <c r="N7598" t="str">
        <f>IFERROR(INDEX(tProdutos[Foco],MATCH(tItens[[#This Row],[Produto]],tProdutos[Produto],0)),"Não")</f>
        <v>Não</v>
      </c>
      <c r="O7598" t="str">
        <f>IFERROR(INDEX(tEditais[SRP],MATCH(tItens[[#This Row],[Edital]],tEditais[Edital],0)),"Não")</f>
        <v>Sim</v>
      </c>
      <c r="P7598" s="4">
        <f>IF(COUNTIFS(INDEX(tItens[Edital],1):tItens[[#This Row],[Edital]],tItens[[#This Row],[Edital]],INDEX(tItens[Produto],1):tItens[[#This Row],[Produto]],tItens[[#This Row],[Produto]])=1,1,0)</f>
        <v>1</v>
      </c>
    </row>
    <row r="7599" spans="1:16" x14ac:dyDescent="0.25">
      <c r="A7599" t="s">
        <v>2516</v>
      </c>
      <c r="B7599">
        <v>56</v>
      </c>
      <c r="C7599" t="s">
        <v>10182</v>
      </c>
      <c r="D7599" t="s">
        <v>423</v>
      </c>
      <c r="E7599" s="13">
        <v>10</v>
      </c>
      <c r="F7599" s="12">
        <v>8.6199999999999992</v>
      </c>
      <c r="G7599" t="str">
        <f>IFERROR(INDEX(tEditais[Órgão],MATCH(tItens[[#This Row],[Edital]],tEditais[Edital],0)),"")</f>
        <v>MUNICIPIO DE GRAMADO XAVIER</v>
      </c>
      <c r="H7599" t="str">
        <f>IFERROR(INDEX(tEditais[UF],MATCH(tItens[[#This Row],[Edital]],tEditais[Edital],0)),"")</f>
        <v>RS</v>
      </c>
      <c r="I7599" s="11">
        <f>IFERROR(INDEX(tEditais[Encerramento],MATCH(tItens[[#This Row],[Edital]],tEditais[Edital],0)),"")</f>
        <v>46308.332638888889</v>
      </c>
      <c r="J7599" t="str">
        <f>IFERROR(INDEX(tProdutos[Classe],MATCH(tItens[[#This Row],[Produto]],tProdutos[Produto],0)),"produto não cadastrado")</f>
        <v>FORA</v>
      </c>
      <c r="K7599" s="12">
        <f>tItens[[#This Row],[Qtd]]*tItens[[#This Row],[Vlr unit]]</f>
        <v>86.199999999999989</v>
      </c>
      <c r="L7599" s="6">
        <f>IFERROR(IF(INDEX(tProdutos[Desconto homologado],MATCH(tItens[[#This Row],[Produto]],tProdutos[Produto],0))="",DescontoPadrao,INDEX(tProdutos[Desconto homologado],MATCH(tItens[[#This Row],[Produto]],tProdutos[Produto],0))),DescontoPadrao)</f>
        <v>0.38271604938271597</v>
      </c>
      <c r="M7599" s="12">
        <f>tItens[[#This Row],[Valor]]*(1-tItens[[#This Row],[Desconto]])</f>
        <v>53.209876543209873</v>
      </c>
      <c r="N7599" t="str">
        <f>IFERROR(INDEX(tProdutos[Foco],MATCH(tItens[[#This Row],[Produto]],tProdutos[Produto],0)),"Não")</f>
        <v>Não</v>
      </c>
      <c r="O7599" t="str">
        <f>IFERROR(INDEX(tEditais[SRP],MATCH(tItens[[#This Row],[Edital]],tEditais[Edital],0)),"Não")</f>
        <v>Não</v>
      </c>
      <c r="P7599" s="4">
        <f>IF(COUNTIFS(INDEX(tItens[Edital],1):tItens[[#This Row],[Edital]],tItens[[#This Row],[Edital]],INDEX(tItens[Produto],1):tItens[[#This Row],[Produto]],tItens[[#This Row],[Produto]])=1,1,0)</f>
        <v>1</v>
      </c>
    </row>
    <row r="7600" spans="1:16" x14ac:dyDescent="0.25">
      <c r="A7600" t="s">
        <v>2516</v>
      </c>
      <c r="B7600">
        <v>57</v>
      </c>
      <c r="C7600" t="s">
        <v>10183</v>
      </c>
      <c r="D7600" t="s">
        <v>641</v>
      </c>
      <c r="E7600" s="13">
        <v>5</v>
      </c>
      <c r="F7600" s="12">
        <v>42.46</v>
      </c>
      <c r="G7600" t="str">
        <f>IFERROR(INDEX(tEditais[Órgão],MATCH(tItens[[#This Row],[Edital]],tEditais[Edital],0)),"")</f>
        <v>MUNICIPIO DE GRAMADO XAVIER</v>
      </c>
      <c r="H7600" t="str">
        <f>IFERROR(INDEX(tEditais[UF],MATCH(tItens[[#This Row],[Edital]],tEditais[Edital],0)),"")</f>
        <v>RS</v>
      </c>
      <c r="I7600" s="11">
        <f>IFERROR(INDEX(tEditais[Encerramento],MATCH(tItens[[#This Row],[Edital]],tEditais[Edital],0)),"")</f>
        <v>46308.332638888889</v>
      </c>
      <c r="J7600" t="str">
        <f>IFERROR(INDEX(tProdutos[Classe],MATCH(tItens[[#This Row],[Produto]],tProdutos[Produto],0)),"produto não cadastrado")</f>
        <v>FILA REBASE</v>
      </c>
      <c r="K7600" s="12">
        <f>tItens[[#This Row],[Qtd]]*tItens[[#This Row],[Vlr unit]]</f>
        <v>212.3</v>
      </c>
      <c r="L7600" s="6">
        <f>IFERROR(IF(INDEX(tProdutos[Desconto homologado],MATCH(tItens[[#This Row],[Produto]],tProdutos[Produto],0))="",DescontoPadrao,INDEX(tProdutos[Desconto homologado],MATCH(tItens[[#This Row],[Produto]],tProdutos[Produto],0))),DescontoPadrao)</f>
        <v>0.3</v>
      </c>
      <c r="M7600" s="12">
        <f>tItens[[#This Row],[Valor]]*(1-tItens[[#This Row],[Desconto]])</f>
        <v>148.60999999999999</v>
      </c>
      <c r="N7600" t="str">
        <f>IFERROR(INDEX(tProdutos[Foco],MATCH(tItens[[#This Row],[Produto]],tProdutos[Produto],0)),"Não")</f>
        <v>Não</v>
      </c>
      <c r="O7600" t="str">
        <f>IFERROR(INDEX(tEditais[SRP],MATCH(tItens[[#This Row],[Edital]],tEditais[Edital],0)),"Não")</f>
        <v>Não</v>
      </c>
      <c r="P7600" s="4">
        <f>IF(COUNTIFS(INDEX(tItens[Edital],1):tItens[[#This Row],[Edital]],tItens[[#This Row],[Edital]],INDEX(tItens[Produto],1):tItens[[#This Row],[Produto]],tItens[[#This Row],[Produto]])=1,1,0)</f>
        <v>1</v>
      </c>
    </row>
    <row r="7601" spans="1:16" x14ac:dyDescent="0.25">
      <c r="A7601" t="s">
        <v>2521</v>
      </c>
      <c r="B7601">
        <v>17</v>
      </c>
      <c r="C7601" t="s">
        <v>10184</v>
      </c>
      <c r="D7601" t="s">
        <v>403</v>
      </c>
      <c r="E7601" s="13">
        <v>200</v>
      </c>
      <c r="F7601" s="12">
        <v>0</v>
      </c>
      <c r="G7601" t="str">
        <f>IFERROR(INDEX(tEditais[Órgão],MATCH(tItens[[#This Row],[Edital]],tEditais[Edital],0)),"")</f>
        <v>MUNICIPIO DE RONDINHA</v>
      </c>
      <c r="H7601" t="str">
        <f>IFERROR(INDEX(tEditais[UF],MATCH(tItens[[#This Row],[Edital]],tEditais[Edital],0)),"")</f>
        <v>RS</v>
      </c>
      <c r="I7601" s="11">
        <f>IFERROR(INDEX(tEditais[Encerramento],MATCH(tItens[[#This Row],[Edital]],tEditais[Edital],0)),"")</f>
        <v>46308.333333333336</v>
      </c>
      <c r="J7601" t="str">
        <f>IFERROR(INDEX(tProdutos[Classe],MATCH(tItens[[#This Row],[Produto]],tProdutos[Produto],0)),"produto não cadastrado")</f>
        <v>FORA</v>
      </c>
      <c r="K7601" s="12">
        <f>tItens[[#This Row],[Qtd]]*tItens[[#This Row],[Vlr unit]]</f>
        <v>0</v>
      </c>
      <c r="L7601" s="6">
        <f>IFERROR(IF(INDEX(tProdutos[Desconto homologado],MATCH(tItens[[#This Row],[Produto]],tProdutos[Produto],0))="",DescontoPadrao,INDEX(tProdutos[Desconto homologado],MATCH(tItens[[#This Row],[Produto]],tProdutos[Produto],0))),DescontoPadrao)</f>
        <v>0.35326086956521702</v>
      </c>
      <c r="M7601" s="12">
        <f>tItens[[#This Row],[Valor]]*(1-tItens[[#This Row],[Desconto]])</f>
        <v>0</v>
      </c>
      <c r="N7601" t="str">
        <f>IFERROR(INDEX(tProdutos[Foco],MATCH(tItens[[#This Row],[Produto]],tProdutos[Produto],0)),"Não")</f>
        <v>Não</v>
      </c>
      <c r="O7601" t="str">
        <f>IFERROR(INDEX(tEditais[SRP],MATCH(tItens[[#This Row],[Edital]],tEditais[Edital],0)),"Não")</f>
        <v>Sim</v>
      </c>
      <c r="P7601" s="4">
        <f>IF(COUNTIFS(INDEX(tItens[Edital],1):tItens[[#This Row],[Edital]],tItens[[#This Row],[Edital]],INDEX(tItens[Produto],1):tItens[[#This Row],[Produto]],tItens[[#This Row],[Produto]])=1,1,0)</f>
        <v>1</v>
      </c>
    </row>
    <row r="7602" spans="1:16" x14ac:dyDescent="0.25">
      <c r="A7602" t="s">
        <v>2521</v>
      </c>
      <c r="B7602">
        <v>18</v>
      </c>
      <c r="C7602" t="s">
        <v>10185</v>
      </c>
      <c r="D7602" t="s">
        <v>385</v>
      </c>
      <c r="E7602" s="13">
        <v>200</v>
      </c>
      <c r="F7602" s="12">
        <v>0</v>
      </c>
      <c r="G7602" t="str">
        <f>IFERROR(INDEX(tEditais[Órgão],MATCH(tItens[[#This Row],[Edital]],tEditais[Edital],0)),"")</f>
        <v>MUNICIPIO DE RONDINHA</v>
      </c>
      <c r="H7602" t="str">
        <f>IFERROR(INDEX(tEditais[UF],MATCH(tItens[[#This Row],[Edital]],tEditais[Edital],0)),"")</f>
        <v>RS</v>
      </c>
      <c r="I7602" s="11">
        <f>IFERROR(INDEX(tEditais[Encerramento],MATCH(tItens[[#This Row],[Edital]],tEditais[Edital],0)),"")</f>
        <v>46308.333333333336</v>
      </c>
      <c r="J7602" t="str">
        <f>IFERROR(INDEX(tProdutos[Classe],MATCH(tItens[[#This Row],[Produto]],tProdutos[Produto],0)),"produto não cadastrado")</f>
        <v>FORA</v>
      </c>
      <c r="K7602" s="12">
        <f>tItens[[#This Row],[Qtd]]*tItens[[#This Row],[Vlr unit]]</f>
        <v>0</v>
      </c>
      <c r="L7602" s="6">
        <f>IFERROR(IF(INDEX(tProdutos[Desconto homologado],MATCH(tItens[[#This Row],[Produto]],tProdutos[Produto],0))="",DescontoPadrao,INDEX(tProdutos[Desconto homologado],MATCH(tItens[[#This Row],[Produto]],tProdutos[Produto],0))),DescontoPadrao)</f>
        <v>0.46969696969697</v>
      </c>
      <c r="M7602" s="12">
        <f>tItens[[#This Row],[Valor]]*(1-tItens[[#This Row],[Desconto]])</f>
        <v>0</v>
      </c>
      <c r="N7602" t="str">
        <f>IFERROR(INDEX(tProdutos[Foco],MATCH(tItens[[#This Row],[Produto]],tProdutos[Produto],0)),"Não")</f>
        <v>Não</v>
      </c>
      <c r="O7602" t="str">
        <f>IFERROR(INDEX(tEditais[SRP],MATCH(tItens[[#This Row],[Edital]],tEditais[Edital],0)),"Não")</f>
        <v>Sim</v>
      </c>
      <c r="P7602" s="4">
        <f>IF(COUNTIFS(INDEX(tItens[Edital],1):tItens[[#This Row],[Edital]],tItens[[#This Row],[Edital]],INDEX(tItens[Produto],1):tItens[[#This Row],[Produto]],tItens[[#This Row],[Produto]])=1,1,0)</f>
        <v>1</v>
      </c>
    </row>
    <row r="7603" spans="1:16" x14ac:dyDescent="0.25">
      <c r="A7603" t="s">
        <v>2521</v>
      </c>
      <c r="B7603">
        <v>19</v>
      </c>
      <c r="C7603" t="s">
        <v>10186</v>
      </c>
      <c r="D7603" t="s">
        <v>114</v>
      </c>
      <c r="E7603" s="13">
        <v>50</v>
      </c>
      <c r="F7603" s="12">
        <v>0</v>
      </c>
      <c r="G7603" t="str">
        <f>IFERROR(INDEX(tEditais[Órgão],MATCH(tItens[[#This Row],[Edital]],tEditais[Edital],0)),"")</f>
        <v>MUNICIPIO DE RONDINHA</v>
      </c>
      <c r="H7603" t="str">
        <f>IFERROR(INDEX(tEditais[UF],MATCH(tItens[[#This Row],[Edital]],tEditais[Edital],0)),"")</f>
        <v>RS</v>
      </c>
      <c r="I7603" s="11">
        <f>IFERROR(INDEX(tEditais[Encerramento],MATCH(tItens[[#This Row],[Edital]],tEditais[Edital],0)),"")</f>
        <v>46308.333333333336</v>
      </c>
      <c r="J7603" t="str">
        <f>IFERROR(INDEX(tProdutos[Classe],MATCH(tItens[[#This Row],[Produto]],tProdutos[Produto],0)),"produto não cadastrado")</f>
        <v>DISPUTADO</v>
      </c>
      <c r="K7603" s="12">
        <f>tItens[[#This Row],[Qtd]]*tItens[[#This Row],[Vlr unit]]</f>
        <v>0</v>
      </c>
      <c r="L7603" s="6">
        <f>IFERROR(IF(INDEX(tProdutos[Desconto homologado],MATCH(tItens[[#This Row],[Produto]],tProdutos[Produto],0))="",DescontoPadrao,INDEX(tProdutos[Desconto homologado],MATCH(tItens[[#This Row],[Produto]],tProdutos[Produto],0))),DescontoPadrao)</f>
        <v>0.24332656063896899</v>
      </c>
      <c r="M7603" s="12">
        <f>tItens[[#This Row],[Valor]]*(1-tItens[[#This Row],[Desconto]])</f>
        <v>0</v>
      </c>
      <c r="N7603" t="str">
        <f>IFERROR(INDEX(tProdutos[Foco],MATCH(tItens[[#This Row],[Produto]],tProdutos[Produto],0)),"Não")</f>
        <v>Não</v>
      </c>
      <c r="O7603" t="str">
        <f>IFERROR(INDEX(tEditais[SRP],MATCH(tItens[[#This Row],[Edital]],tEditais[Edital],0)),"Não")</f>
        <v>Sim</v>
      </c>
      <c r="P7603" s="4">
        <f>IF(COUNTIFS(INDEX(tItens[Edital],1):tItens[[#This Row],[Edital]],tItens[[#This Row],[Edital]],INDEX(tItens[Produto],1):tItens[[#This Row],[Produto]],tItens[[#This Row],[Produto]])=1,1,0)</f>
        <v>1</v>
      </c>
    </row>
    <row r="7604" spans="1:16" x14ac:dyDescent="0.25">
      <c r="A7604" t="s">
        <v>2521</v>
      </c>
      <c r="B7604">
        <v>20</v>
      </c>
      <c r="C7604" t="s">
        <v>10187</v>
      </c>
      <c r="D7604" t="s">
        <v>114</v>
      </c>
      <c r="E7604" s="13">
        <v>100</v>
      </c>
      <c r="F7604" s="12">
        <v>0</v>
      </c>
      <c r="G7604" t="str">
        <f>IFERROR(INDEX(tEditais[Órgão],MATCH(tItens[[#This Row],[Edital]],tEditais[Edital],0)),"")</f>
        <v>MUNICIPIO DE RONDINHA</v>
      </c>
      <c r="H7604" t="str">
        <f>IFERROR(INDEX(tEditais[UF],MATCH(tItens[[#This Row],[Edital]],tEditais[Edital],0)),"")</f>
        <v>RS</v>
      </c>
      <c r="I7604" s="11">
        <f>IFERROR(INDEX(tEditais[Encerramento],MATCH(tItens[[#This Row],[Edital]],tEditais[Edital],0)),"")</f>
        <v>46308.333333333336</v>
      </c>
      <c r="J7604" t="str">
        <f>IFERROR(INDEX(tProdutos[Classe],MATCH(tItens[[#This Row],[Produto]],tProdutos[Produto],0)),"produto não cadastrado")</f>
        <v>DISPUTADO</v>
      </c>
      <c r="K7604" s="12">
        <f>tItens[[#This Row],[Qtd]]*tItens[[#This Row],[Vlr unit]]</f>
        <v>0</v>
      </c>
      <c r="L7604" s="6">
        <f>IFERROR(IF(INDEX(tProdutos[Desconto homologado],MATCH(tItens[[#This Row],[Produto]],tProdutos[Produto],0))="",DescontoPadrao,INDEX(tProdutos[Desconto homologado],MATCH(tItens[[#This Row],[Produto]],tProdutos[Produto],0))),DescontoPadrao)</f>
        <v>0.24332656063896899</v>
      </c>
      <c r="M7604" s="12">
        <f>tItens[[#This Row],[Valor]]*(1-tItens[[#This Row],[Desconto]])</f>
        <v>0</v>
      </c>
      <c r="N7604" t="str">
        <f>IFERROR(INDEX(tProdutos[Foco],MATCH(tItens[[#This Row],[Produto]],tProdutos[Produto],0)),"Não")</f>
        <v>Não</v>
      </c>
      <c r="O7604" t="str">
        <f>IFERROR(INDEX(tEditais[SRP],MATCH(tItens[[#This Row],[Edital]],tEditais[Edital],0)),"Não")</f>
        <v>Sim</v>
      </c>
      <c r="P7604" s="4">
        <f>IF(COUNTIFS(INDEX(tItens[Edital],1):tItens[[#This Row],[Edital]],tItens[[#This Row],[Edital]],INDEX(tItens[Produto],1):tItens[[#This Row],[Produto]],tItens[[#This Row],[Produto]])=1,1,0)</f>
        <v>0</v>
      </c>
    </row>
    <row r="7605" spans="1:16" x14ac:dyDescent="0.25">
      <c r="A7605" t="s">
        <v>2521</v>
      </c>
      <c r="B7605">
        <v>35</v>
      </c>
      <c r="C7605" t="s">
        <v>10188</v>
      </c>
      <c r="D7605" t="s">
        <v>343</v>
      </c>
      <c r="E7605" s="13">
        <v>500</v>
      </c>
      <c r="F7605" s="12">
        <v>0</v>
      </c>
      <c r="G7605" t="str">
        <f>IFERROR(INDEX(tEditais[Órgão],MATCH(tItens[[#This Row],[Edital]],tEditais[Edital],0)),"")</f>
        <v>MUNICIPIO DE RONDINHA</v>
      </c>
      <c r="H7605" t="str">
        <f>IFERROR(INDEX(tEditais[UF],MATCH(tItens[[#This Row],[Edital]],tEditais[Edital],0)),"")</f>
        <v>RS</v>
      </c>
      <c r="I7605" s="11">
        <f>IFERROR(INDEX(tEditais[Encerramento],MATCH(tItens[[#This Row],[Edital]],tEditais[Edital],0)),"")</f>
        <v>46308.333333333336</v>
      </c>
      <c r="J7605" t="str">
        <f>IFERROR(INDEX(tProdutos[Classe],MATCH(tItens[[#This Row],[Produto]],tProdutos[Produto],0)),"produto não cadastrado")</f>
        <v>FORA</v>
      </c>
      <c r="K7605" s="12">
        <f>tItens[[#This Row],[Qtd]]*tItens[[#This Row],[Vlr unit]]</f>
        <v>0</v>
      </c>
      <c r="L7605" s="6">
        <f>IFERROR(IF(INDEX(tProdutos[Desconto homologado],MATCH(tItens[[#This Row],[Produto]],tProdutos[Produto],0))="",DescontoPadrao,INDEX(tProdutos[Desconto homologado],MATCH(tItens[[#This Row],[Produto]],tProdutos[Produto],0))),DescontoPadrao)</f>
        <v>0.35412234042553198</v>
      </c>
      <c r="M7605" s="12">
        <f>tItens[[#This Row],[Valor]]*(1-tItens[[#This Row],[Desconto]])</f>
        <v>0</v>
      </c>
      <c r="N7605" t="str">
        <f>IFERROR(INDEX(tProdutos[Foco],MATCH(tItens[[#This Row],[Produto]],tProdutos[Produto],0)),"Não")</f>
        <v>Não</v>
      </c>
      <c r="O7605" t="str">
        <f>IFERROR(INDEX(tEditais[SRP],MATCH(tItens[[#This Row],[Edital]],tEditais[Edital],0)),"Não")</f>
        <v>Sim</v>
      </c>
      <c r="P7605" s="4">
        <f>IF(COUNTIFS(INDEX(tItens[Edital],1):tItens[[#This Row],[Edital]],tItens[[#This Row],[Edital]],INDEX(tItens[Produto],1):tItens[[#This Row],[Produto]],tItens[[#This Row],[Produto]])=1,1,0)</f>
        <v>1</v>
      </c>
    </row>
    <row r="7606" spans="1:16" x14ac:dyDescent="0.25">
      <c r="A7606" t="s">
        <v>2521</v>
      </c>
      <c r="B7606">
        <v>36</v>
      </c>
      <c r="C7606" t="s">
        <v>10189</v>
      </c>
      <c r="D7606" t="s">
        <v>343</v>
      </c>
      <c r="E7606" s="13">
        <v>1000</v>
      </c>
      <c r="F7606" s="12">
        <v>0</v>
      </c>
      <c r="G7606" t="str">
        <f>IFERROR(INDEX(tEditais[Órgão],MATCH(tItens[[#This Row],[Edital]],tEditais[Edital],0)),"")</f>
        <v>MUNICIPIO DE RONDINHA</v>
      </c>
      <c r="H7606" t="str">
        <f>IFERROR(INDEX(tEditais[UF],MATCH(tItens[[#This Row],[Edital]],tEditais[Edital],0)),"")</f>
        <v>RS</v>
      </c>
      <c r="I7606" s="11">
        <f>IFERROR(INDEX(tEditais[Encerramento],MATCH(tItens[[#This Row],[Edital]],tEditais[Edital],0)),"")</f>
        <v>46308.333333333336</v>
      </c>
      <c r="J7606" t="str">
        <f>IFERROR(INDEX(tProdutos[Classe],MATCH(tItens[[#This Row],[Produto]],tProdutos[Produto],0)),"produto não cadastrado")</f>
        <v>FORA</v>
      </c>
      <c r="K7606" s="12">
        <f>tItens[[#This Row],[Qtd]]*tItens[[#This Row],[Vlr unit]]</f>
        <v>0</v>
      </c>
      <c r="L7606" s="6">
        <f>IFERROR(IF(INDEX(tProdutos[Desconto homologado],MATCH(tItens[[#This Row],[Produto]],tProdutos[Produto],0))="",DescontoPadrao,INDEX(tProdutos[Desconto homologado],MATCH(tItens[[#This Row],[Produto]],tProdutos[Produto],0))),DescontoPadrao)</f>
        <v>0.35412234042553198</v>
      </c>
      <c r="M7606" s="12">
        <f>tItens[[#This Row],[Valor]]*(1-tItens[[#This Row],[Desconto]])</f>
        <v>0</v>
      </c>
      <c r="N7606" t="str">
        <f>IFERROR(INDEX(tProdutos[Foco],MATCH(tItens[[#This Row],[Produto]],tProdutos[Produto],0)),"Não")</f>
        <v>Não</v>
      </c>
      <c r="O7606" t="str">
        <f>IFERROR(INDEX(tEditais[SRP],MATCH(tItens[[#This Row],[Edital]],tEditais[Edital],0)),"Não")</f>
        <v>Sim</v>
      </c>
      <c r="P7606" s="4">
        <f>IF(COUNTIFS(INDEX(tItens[Edital],1):tItens[[#This Row],[Edital]],tItens[[#This Row],[Edital]],INDEX(tItens[Produto],1):tItens[[#This Row],[Produto]],tItens[[#This Row],[Produto]])=1,1,0)</f>
        <v>0</v>
      </c>
    </row>
    <row r="7607" spans="1:16" x14ac:dyDescent="0.25">
      <c r="A7607" t="s">
        <v>2521</v>
      </c>
      <c r="B7607">
        <v>37</v>
      </c>
      <c r="C7607" t="s">
        <v>10190</v>
      </c>
      <c r="D7607" t="s">
        <v>343</v>
      </c>
      <c r="E7607" s="13">
        <v>1000</v>
      </c>
      <c r="F7607" s="12">
        <v>0</v>
      </c>
      <c r="G7607" t="str">
        <f>IFERROR(INDEX(tEditais[Órgão],MATCH(tItens[[#This Row],[Edital]],tEditais[Edital],0)),"")</f>
        <v>MUNICIPIO DE RONDINHA</v>
      </c>
      <c r="H7607" t="str">
        <f>IFERROR(INDEX(tEditais[UF],MATCH(tItens[[#This Row],[Edital]],tEditais[Edital],0)),"")</f>
        <v>RS</v>
      </c>
      <c r="I7607" s="11">
        <f>IFERROR(INDEX(tEditais[Encerramento],MATCH(tItens[[#This Row],[Edital]],tEditais[Edital],0)),"")</f>
        <v>46308.333333333336</v>
      </c>
      <c r="J7607" t="str">
        <f>IFERROR(INDEX(tProdutos[Classe],MATCH(tItens[[#This Row],[Produto]],tProdutos[Produto],0)),"produto não cadastrado")</f>
        <v>FORA</v>
      </c>
      <c r="K7607" s="12">
        <f>tItens[[#This Row],[Qtd]]*tItens[[#This Row],[Vlr unit]]</f>
        <v>0</v>
      </c>
      <c r="L7607" s="6">
        <f>IFERROR(IF(INDEX(tProdutos[Desconto homologado],MATCH(tItens[[#This Row],[Produto]],tProdutos[Produto],0))="",DescontoPadrao,INDEX(tProdutos[Desconto homologado],MATCH(tItens[[#This Row],[Produto]],tProdutos[Produto],0))),DescontoPadrao)</f>
        <v>0.35412234042553198</v>
      </c>
      <c r="M7607" s="12">
        <f>tItens[[#This Row],[Valor]]*(1-tItens[[#This Row],[Desconto]])</f>
        <v>0</v>
      </c>
      <c r="N7607" t="str">
        <f>IFERROR(INDEX(tProdutos[Foco],MATCH(tItens[[#This Row],[Produto]],tProdutos[Produto],0)),"Não")</f>
        <v>Não</v>
      </c>
      <c r="O7607" t="str">
        <f>IFERROR(INDEX(tEditais[SRP],MATCH(tItens[[#This Row],[Edital]],tEditais[Edital],0)),"Não")</f>
        <v>Sim</v>
      </c>
      <c r="P7607" s="4">
        <f>IF(COUNTIFS(INDEX(tItens[Edital],1):tItens[[#This Row],[Edital]],tItens[[#This Row],[Edital]],INDEX(tItens[Produto],1):tItens[[#This Row],[Produto]],tItens[[#This Row],[Produto]])=1,1,0)</f>
        <v>0</v>
      </c>
    </row>
    <row r="7608" spans="1:16" x14ac:dyDescent="0.25">
      <c r="A7608" t="s">
        <v>2525</v>
      </c>
      <c r="B7608">
        <v>9</v>
      </c>
      <c r="C7608" t="s">
        <v>3354</v>
      </c>
      <c r="D7608" t="s">
        <v>455</v>
      </c>
      <c r="E7608" s="13">
        <v>12</v>
      </c>
      <c r="F7608" s="12">
        <v>103.8</v>
      </c>
      <c r="G7608" t="str">
        <f>IFERROR(INDEX(tEditais[Órgão],MATCH(tItens[[#This Row],[Edital]],tEditais[Edital],0)),"")</f>
        <v>COMANDO DO EXERCITO</v>
      </c>
      <c r="H7608" t="str">
        <f>IFERROR(INDEX(tEditais[UF],MATCH(tItens[[#This Row],[Edital]],tEditais[Edital],0)),"")</f>
        <v>RS</v>
      </c>
      <c r="I7608" s="11">
        <f>IFERROR(INDEX(tEditais[Encerramento],MATCH(tItens[[#This Row],[Edital]],tEditais[Edital],0)),"")</f>
        <v>46308.333333333336</v>
      </c>
      <c r="J7608" t="str">
        <f>IFERROR(INDEX(tProdutos[Classe],MATCH(tItens[[#This Row],[Produto]],tProdutos[Produto],0)),"produto não cadastrado")</f>
        <v>FILA REBASE</v>
      </c>
      <c r="K7608" s="12">
        <f>tItens[[#This Row],[Qtd]]*tItens[[#This Row],[Vlr unit]]</f>
        <v>1245.5999999999999</v>
      </c>
      <c r="L7608" s="6">
        <f>IFERROR(IF(INDEX(tProdutos[Desconto homologado],MATCH(tItens[[#This Row],[Produto]],tProdutos[Produto],0))="",DescontoPadrao,INDEX(tProdutos[Desconto homologado],MATCH(tItens[[#This Row],[Produto]],tProdutos[Produto],0))),DescontoPadrao)</f>
        <v>0.29595946765523801</v>
      </c>
      <c r="M7608" s="12">
        <f>tItens[[#This Row],[Valor]]*(1-tItens[[#This Row],[Desconto]])</f>
        <v>876.95288708863552</v>
      </c>
      <c r="N7608" t="str">
        <f>IFERROR(INDEX(tProdutos[Foco],MATCH(tItens[[#This Row],[Produto]],tProdutos[Produto],0)),"Não")</f>
        <v>Não</v>
      </c>
      <c r="O7608" t="str">
        <f>IFERROR(INDEX(tEditais[SRP],MATCH(tItens[[#This Row],[Edital]],tEditais[Edital],0)),"Não")</f>
        <v>Não</v>
      </c>
      <c r="P7608" s="4">
        <f>IF(COUNTIFS(INDEX(tItens[Edital],1):tItens[[#This Row],[Edital]],tItens[[#This Row],[Edital]],INDEX(tItens[Produto],1):tItens[[#This Row],[Produto]],tItens[[#This Row],[Produto]])=1,1,0)</f>
        <v>1</v>
      </c>
    </row>
    <row r="7609" spans="1:16" x14ac:dyDescent="0.25">
      <c r="A7609" t="s">
        <v>2528</v>
      </c>
      <c r="B7609">
        <v>11</v>
      </c>
      <c r="C7609" t="s">
        <v>10191</v>
      </c>
      <c r="D7609" t="s">
        <v>267</v>
      </c>
      <c r="E7609" s="13">
        <v>300</v>
      </c>
      <c r="F7609" s="12">
        <v>35.200000000000003</v>
      </c>
      <c r="G7609" t="str">
        <f>IFERROR(INDEX(tEditais[Órgão],MATCH(tItens[[#This Row],[Edital]],tEditais[Edital],0)),"")</f>
        <v>MUNICIPIO DE BENTO GONCALVES</v>
      </c>
      <c r="H7609" t="str">
        <f>IFERROR(INDEX(tEditais[UF],MATCH(tItens[[#This Row],[Edital]],tEditais[Edital],0)),"")</f>
        <v>RS</v>
      </c>
      <c r="I7609" s="11">
        <f>IFERROR(INDEX(tEditais[Encerramento],MATCH(tItens[[#This Row],[Edital]],tEditais[Edital],0)),"")</f>
        <v>46308.353472222225</v>
      </c>
      <c r="J7609" t="str">
        <f>IFERROR(INDEX(tProdutos[Classe],MATCH(tItens[[#This Row],[Produto]],tProdutos[Produto],0)),"produto não cadastrado")</f>
        <v>FORA</v>
      </c>
      <c r="K7609" s="12">
        <f>tItens[[#This Row],[Qtd]]*tItens[[#This Row],[Vlr unit]]</f>
        <v>10560</v>
      </c>
      <c r="L7609" s="6">
        <f>IFERROR(IF(INDEX(tProdutos[Desconto homologado],MATCH(tItens[[#This Row],[Produto]],tProdutos[Produto],0))="",DescontoPadrao,INDEX(tProdutos[Desconto homologado],MATCH(tItens[[#This Row],[Produto]],tProdutos[Produto],0))),DescontoPadrao)</f>
        <v>0.19963672657401599</v>
      </c>
      <c r="M7609" s="12">
        <f>tItens[[#This Row],[Valor]]*(1-tItens[[#This Row],[Desconto]])</f>
        <v>8451.8361673783911</v>
      </c>
      <c r="N7609" t="str">
        <f>IFERROR(INDEX(tProdutos[Foco],MATCH(tItens[[#This Row],[Produto]],tProdutos[Produto],0)),"Não")</f>
        <v>Não</v>
      </c>
      <c r="O7609" t="str">
        <f>IFERROR(INDEX(tEditais[SRP],MATCH(tItens[[#This Row],[Edital]],tEditais[Edital],0)),"Não")</f>
        <v>Não</v>
      </c>
      <c r="P7609" s="4">
        <f>IF(COUNTIFS(INDEX(tItens[Edital],1):tItens[[#This Row],[Edital]],tItens[[#This Row],[Edital]],INDEX(tItens[Produto],1):tItens[[#This Row],[Produto]],tItens[[#This Row],[Produto]])=1,1,0)</f>
        <v>1</v>
      </c>
    </row>
    <row r="7610" spans="1:16" x14ac:dyDescent="0.25">
      <c r="A7610" t="s">
        <v>2528</v>
      </c>
      <c r="B7610">
        <v>12</v>
      </c>
      <c r="C7610" t="s">
        <v>10192</v>
      </c>
      <c r="D7610" t="s">
        <v>267</v>
      </c>
      <c r="E7610" s="13">
        <v>300</v>
      </c>
      <c r="F7610" s="12">
        <v>41.7</v>
      </c>
      <c r="G7610" t="str">
        <f>IFERROR(INDEX(tEditais[Órgão],MATCH(tItens[[#This Row],[Edital]],tEditais[Edital],0)),"")</f>
        <v>MUNICIPIO DE BENTO GONCALVES</v>
      </c>
      <c r="H7610" t="str">
        <f>IFERROR(INDEX(tEditais[UF],MATCH(tItens[[#This Row],[Edital]],tEditais[Edital],0)),"")</f>
        <v>RS</v>
      </c>
      <c r="I7610" s="11">
        <f>IFERROR(INDEX(tEditais[Encerramento],MATCH(tItens[[#This Row],[Edital]],tEditais[Edital],0)),"")</f>
        <v>46308.353472222225</v>
      </c>
      <c r="J7610" t="str">
        <f>IFERROR(INDEX(tProdutos[Classe],MATCH(tItens[[#This Row],[Produto]],tProdutos[Produto],0)),"produto não cadastrado")</f>
        <v>FORA</v>
      </c>
      <c r="K7610" s="12">
        <f>tItens[[#This Row],[Qtd]]*tItens[[#This Row],[Vlr unit]]</f>
        <v>12510</v>
      </c>
      <c r="L7610" s="6">
        <f>IFERROR(IF(INDEX(tProdutos[Desconto homologado],MATCH(tItens[[#This Row],[Produto]],tProdutos[Produto],0))="",DescontoPadrao,INDEX(tProdutos[Desconto homologado],MATCH(tItens[[#This Row],[Produto]],tProdutos[Produto],0))),DescontoPadrao)</f>
        <v>0.19963672657401599</v>
      </c>
      <c r="M7610" s="12">
        <f>tItens[[#This Row],[Valor]]*(1-tItens[[#This Row],[Desconto]])</f>
        <v>10012.54455055906</v>
      </c>
      <c r="N7610" t="str">
        <f>IFERROR(INDEX(tProdutos[Foco],MATCH(tItens[[#This Row],[Produto]],tProdutos[Produto],0)),"Não")</f>
        <v>Não</v>
      </c>
      <c r="O7610" t="str">
        <f>IFERROR(INDEX(tEditais[SRP],MATCH(tItens[[#This Row],[Edital]],tEditais[Edital],0)),"Não")</f>
        <v>Não</v>
      </c>
      <c r="P7610" s="4">
        <f>IF(COUNTIFS(INDEX(tItens[Edital],1):tItens[[#This Row],[Edital]],tItens[[#This Row],[Edital]],INDEX(tItens[Produto],1):tItens[[#This Row],[Produto]],tItens[[#This Row],[Produto]])=1,1,0)</f>
        <v>0</v>
      </c>
    </row>
    <row r="7611" spans="1:16" x14ac:dyDescent="0.25">
      <c r="A7611" t="s">
        <v>2532</v>
      </c>
      <c r="B7611">
        <v>1</v>
      </c>
      <c r="C7611" t="s">
        <v>10193</v>
      </c>
      <c r="D7611" t="s">
        <v>521</v>
      </c>
      <c r="E7611" s="13">
        <v>10</v>
      </c>
      <c r="F7611" s="12">
        <v>0</v>
      </c>
      <c r="G7611" t="str">
        <f>IFERROR(INDEX(tEditais[Órgão],MATCH(tItens[[#This Row],[Edital]],tEditais[Edital],0)),"")</f>
        <v>EMPRESA BRASILEIRA DE SERVICOS HOSPITALARES - EBSERH</v>
      </c>
      <c r="H7611" t="str">
        <f>IFERROR(INDEX(tEditais[UF],MATCH(tItens[[#This Row],[Edital]],tEditais[Edital],0)),"")</f>
        <v>RS</v>
      </c>
      <c r="I7611" s="11">
        <f>IFERROR(INDEX(tEditais[Encerramento],MATCH(tItens[[#This Row],[Edital]],tEditais[Edital],0)),"")</f>
        <v>46308.374305555553</v>
      </c>
      <c r="J7611" t="str">
        <f>IFERROR(INDEX(tProdutos[Classe],MATCH(tItens[[#This Row],[Produto]],tProdutos[Produto],0)),"produto não cadastrado")</f>
        <v>FILA REBASE</v>
      </c>
      <c r="K7611" s="12">
        <f>tItens[[#This Row],[Qtd]]*tItens[[#This Row],[Vlr unit]]</f>
        <v>0</v>
      </c>
      <c r="L7611" s="6">
        <f>IFERROR(IF(INDEX(tProdutos[Desconto homologado],MATCH(tItens[[#This Row],[Produto]],tProdutos[Produto],0))="",DescontoPadrao,INDEX(tProdutos[Desconto homologado],MATCH(tItens[[#This Row],[Produto]],tProdutos[Produto],0))),DescontoPadrao)</f>
        <v>0.20254361398888801</v>
      </c>
      <c r="M7611" s="12">
        <f>tItens[[#This Row],[Valor]]*(1-tItens[[#This Row],[Desconto]])</f>
        <v>0</v>
      </c>
      <c r="N7611" t="str">
        <f>IFERROR(INDEX(tProdutos[Foco],MATCH(tItens[[#This Row],[Produto]],tProdutos[Produto],0)),"Não")</f>
        <v>Não</v>
      </c>
      <c r="O7611" t="str">
        <f>IFERROR(INDEX(tEditais[SRP],MATCH(tItens[[#This Row],[Edital]],tEditais[Edital],0)),"Não")</f>
        <v>Não</v>
      </c>
      <c r="P7611" s="4">
        <f>IF(COUNTIFS(INDEX(tItens[Edital],1):tItens[[#This Row],[Edital]],tItens[[#This Row],[Edital]],INDEX(tItens[Produto],1):tItens[[#This Row],[Produto]],tItens[[#This Row],[Produto]])=1,1,0)</f>
        <v>1</v>
      </c>
    </row>
    <row r="7612" spans="1:16" x14ac:dyDescent="0.25">
      <c r="A7612" t="s">
        <v>2532</v>
      </c>
      <c r="B7612">
        <v>15</v>
      </c>
      <c r="C7612" t="s">
        <v>10194</v>
      </c>
      <c r="D7612" t="s">
        <v>521</v>
      </c>
      <c r="E7612" s="13">
        <v>10</v>
      </c>
      <c r="F7612" s="12">
        <v>0</v>
      </c>
      <c r="G7612" t="str">
        <f>IFERROR(INDEX(tEditais[Órgão],MATCH(tItens[[#This Row],[Edital]],tEditais[Edital],0)),"")</f>
        <v>EMPRESA BRASILEIRA DE SERVICOS HOSPITALARES - EBSERH</v>
      </c>
      <c r="H7612" t="str">
        <f>IFERROR(INDEX(tEditais[UF],MATCH(tItens[[#This Row],[Edital]],tEditais[Edital],0)),"")</f>
        <v>RS</v>
      </c>
      <c r="I7612" s="11">
        <f>IFERROR(INDEX(tEditais[Encerramento],MATCH(tItens[[#This Row],[Edital]],tEditais[Edital],0)),"")</f>
        <v>46308.374305555553</v>
      </c>
      <c r="J7612" t="str">
        <f>IFERROR(INDEX(tProdutos[Classe],MATCH(tItens[[#This Row],[Produto]],tProdutos[Produto],0)),"produto não cadastrado")</f>
        <v>FILA REBASE</v>
      </c>
      <c r="K7612" s="12">
        <f>tItens[[#This Row],[Qtd]]*tItens[[#This Row],[Vlr unit]]</f>
        <v>0</v>
      </c>
      <c r="L7612" s="6">
        <f>IFERROR(IF(INDEX(tProdutos[Desconto homologado],MATCH(tItens[[#This Row],[Produto]],tProdutos[Produto],0))="",DescontoPadrao,INDEX(tProdutos[Desconto homologado],MATCH(tItens[[#This Row],[Produto]],tProdutos[Produto],0))),DescontoPadrao)</f>
        <v>0.20254361398888801</v>
      </c>
      <c r="M7612" s="12">
        <f>tItens[[#This Row],[Valor]]*(1-tItens[[#This Row],[Desconto]])</f>
        <v>0</v>
      </c>
      <c r="N7612" t="str">
        <f>IFERROR(INDEX(tProdutos[Foco],MATCH(tItens[[#This Row],[Produto]],tProdutos[Produto],0)),"Não")</f>
        <v>Não</v>
      </c>
      <c r="O7612" t="str">
        <f>IFERROR(INDEX(tEditais[SRP],MATCH(tItens[[#This Row],[Edital]],tEditais[Edital],0)),"Não")</f>
        <v>Não</v>
      </c>
      <c r="P7612" s="4">
        <f>IF(COUNTIFS(INDEX(tItens[Edital],1):tItens[[#This Row],[Edital]],tItens[[#This Row],[Edital]],INDEX(tItens[Produto],1):tItens[[#This Row],[Produto]],tItens[[#This Row],[Produto]])=1,1,0)</f>
        <v>0</v>
      </c>
    </row>
    <row r="7613" spans="1:16" x14ac:dyDescent="0.25">
      <c r="A7613" t="s">
        <v>2532</v>
      </c>
      <c r="B7613">
        <v>16</v>
      </c>
      <c r="C7613" t="s">
        <v>10195</v>
      </c>
      <c r="D7613" t="s">
        <v>521</v>
      </c>
      <c r="E7613" s="13">
        <v>10</v>
      </c>
      <c r="F7613" s="12">
        <v>0</v>
      </c>
      <c r="G7613" t="str">
        <f>IFERROR(INDEX(tEditais[Órgão],MATCH(tItens[[#This Row],[Edital]],tEditais[Edital],0)),"")</f>
        <v>EMPRESA BRASILEIRA DE SERVICOS HOSPITALARES - EBSERH</v>
      </c>
      <c r="H7613" t="str">
        <f>IFERROR(INDEX(tEditais[UF],MATCH(tItens[[#This Row],[Edital]],tEditais[Edital],0)),"")</f>
        <v>RS</v>
      </c>
      <c r="I7613" s="11">
        <f>IFERROR(INDEX(tEditais[Encerramento],MATCH(tItens[[#This Row],[Edital]],tEditais[Edital],0)),"")</f>
        <v>46308.374305555553</v>
      </c>
      <c r="J7613" t="str">
        <f>IFERROR(INDEX(tProdutos[Classe],MATCH(tItens[[#This Row],[Produto]],tProdutos[Produto],0)),"produto não cadastrado")</f>
        <v>FILA REBASE</v>
      </c>
      <c r="K7613" s="12">
        <f>tItens[[#This Row],[Qtd]]*tItens[[#This Row],[Vlr unit]]</f>
        <v>0</v>
      </c>
      <c r="L7613" s="6">
        <f>IFERROR(IF(INDEX(tProdutos[Desconto homologado],MATCH(tItens[[#This Row],[Produto]],tProdutos[Produto],0))="",DescontoPadrao,INDEX(tProdutos[Desconto homologado],MATCH(tItens[[#This Row],[Produto]],tProdutos[Produto],0))),DescontoPadrao)</f>
        <v>0.20254361398888801</v>
      </c>
      <c r="M7613" s="12">
        <f>tItens[[#This Row],[Valor]]*(1-tItens[[#This Row],[Desconto]])</f>
        <v>0</v>
      </c>
      <c r="N7613" t="str">
        <f>IFERROR(INDEX(tProdutos[Foco],MATCH(tItens[[#This Row],[Produto]],tProdutos[Produto],0)),"Não")</f>
        <v>Não</v>
      </c>
      <c r="O7613" t="str">
        <f>IFERROR(INDEX(tEditais[SRP],MATCH(tItens[[#This Row],[Edital]],tEditais[Edital],0)),"Não")</f>
        <v>Não</v>
      </c>
      <c r="P7613" s="4">
        <f>IF(COUNTIFS(INDEX(tItens[Edital],1):tItens[[#This Row],[Edital]],tItens[[#This Row],[Edital]],INDEX(tItens[Produto],1):tItens[[#This Row],[Produto]],tItens[[#This Row],[Produto]])=1,1,0)</f>
        <v>0</v>
      </c>
    </row>
    <row r="7614" spans="1:16" x14ac:dyDescent="0.25">
      <c r="A7614" t="s">
        <v>2532</v>
      </c>
      <c r="B7614">
        <v>17</v>
      </c>
      <c r="C7614" t="s">
        <v>10196</v>
      </c>
      <c r="D7614" t="s">
        <v>521</v>
      </c>
      <c r="E7614" s="13">
        <v>10</v>
      </c>
      <c r="F7614" s="12">
        <v>0</v>
      </c>
      <c r="G7614" t="str">
        <f>IFERROR(INDEX(tEditais[Órgão],MATCH(tItens[[#This Row],[Edital]],tEditais[Edital],0)),"")</f>
        <v>EMPRESA BRASILEIRA DE SERVICOS HOSPITALARES - EBSERH</v>
      </c>
      <c r="H7614" t="str">
        <f>IFERROR(INDEX(tEditais[UF],MATCH(tItens[[#This Row],[Edital]],tEditais[Edital],0)),"")</f>
        <v>RS</v>
      </c>
      <c r="I7614" s="11">
        <f>IFERROR(INDEX(tEditais[Encerramento],MATCH(tItens[[#This Row],[Edital]],tEditais[Edital],0)),"")</f>
        <v>46308.374305555553</v>
      </c>
      <c r="J7614" t="str">
        <f>IFERROR(INDEX(tProdutos[Classe],MATCH(tItens[[#This Row],[Produto]],tProdutos[Produto],0)),"produto não cadastrado")</f>
        <v>FILA REBASE</v>
      </c>
      <c r="K7614" s="12">
        <f>tItens[[#This Row],[Qtd]]*tItens[[#This Row],[Vlr unit]]</f>
        <v>0</v>
      </c>
      <c r="L7614" s="6">
        <f>IFERROR(IF(INDEX(tProdutos[Desconto homologado],MATCH(tItens[[#This Row],[Produto]],tProdutos[Produto],0))="",DescontoPadrao,INDEX(tProdutos[Desconto homologado],MATCH(tItens[[#This Row],[Produto]],tProdutos[Produto],0))),DescontoPadrao)</f>
        <v>0.20254361398888801</v>
      </c>
      <c r="M7614" s="12">
        <f>tItens[[#This Row],[Valor]]*(1-tItens[[#This Row],[Desconto]])</f>
        <v>0</v>
      </c>
      <c r="N7614" t="str">
        <f>IFERROR(INDEX(tProdutos[Foco],MATCH(tItens[[#This Row],[Produto]],tProdutos[Produto],0)),"Não")</f>
        <v>Não</v>
      </c>
      <c r="O7614" t="str">
        <f>IFERROR(INDEX(tEditais[SRP],MATCH(tItens[[#This Row],[Edital]],tEditais[Edital],0)),"Não")</f>
        <v>Não</v>
      </c>
      <c r="P7614" s="4">
        <f>IF(COUNTIFS(INDEX(tItens[Edital],1):tItens[[#This Row],[Edital]],tItens[[#This Row],[Edital]],INDEX(tItens[Produto],1):tItens[[#This Row],[Produto]],tItens[[#This Row],[Produto]])=1,1,0)</f>
        <v>0</v>
      </c>
    </row>
    <row r="7615" spans="1:16" x14ac:dyDescent="0.25">
      <c r="A7615" t="s">
        <v>2532</v>
      </c>
      <c r="B7615">
        <v>19</v>
      </c>
      <c r="C7615" t="s">
        <v>10197</v>
      </c>
      <c r="D7615" t="s">
        <v>521</v>
      </c>
      <c r="E7615" s="13">
        <v>10</v>
      </c>
      <c r="F7615" s="12">
        <v>0</v>
      </c>
      <c r="G7615" t="str">
        <f>IFERROR(INDEX(tEditais[Órgão],MATCH(tItens[[#This Row],[Edital]],tEditais[Edital],0)),"")</f>
        <v>EMPRESA BRASILEIRA DE SERVICOS HOSPITALARES - EBSERH</v>
      </c>
      <c r="H7615" t="str">
        <f>IFERROR(INDEX(tEditais[UF],MATCH(tItens[[#This Row],[Edital]],tEditais[Edital],0)),"")</f>
        <v>RS</v>
      </c>
      <c r="I7615" s="11">
        <f>IFERROR(INDEX(tEditais[Encerramento],MATCH(tItens[[#This Row],[Edital]],tEditais[Edital],0)),"")</f>
        <v>46308.374305555553</v>
      </c>
      <c r="J7615" t="str">
        <f>IFERROR(INDEX(tProdutos[Classe],MATCH(tItens[[#This Row],[Produto]],tProdutos[Produto],0)),"produto não cadastrado")</f>
        <v>FILA REBASE</v>
      </c>
      <c r="K7615" s="12">
        <f>tItens[[#This Row],[Qtd]]*tItens[[#This Row],[Vlr unit]]</f>
        <v>0</v>
      </c>
      <c r="L7615" s="6">
        <f>IFERROR(IF(INDEX(tProdutos[Desconto homologado],MATCH(tItens[[#This Row],[Produto]],tProdutos[Produto],0))="",DescontoPadrao,INDEX(tProdutos[Desconto homologado],MATCH(tItens[[#This Row],[Produto]],tProdutos[Produto],0))),DescontoPadrao)</f>
        <v>0.20254361398888801</v>
      </c>
      <c r="M7615" s="12">
        <f>tItens[[#This Row],[Valor]]*(1-tItens[[#This Row],[Desconto]])</f>
        <v>0</v>
      </c>
      <c r="N7615" t="str">
        <f>IFERROR(INDEX(tProdutos[Foco],MATCH(tItens[[#This Row],[Produto]],tProdutos[Produto],0)),"Não")</f>
        <v>Não</v>
      </c>
      <c r="O7615" t="str">
        <f>IFERROR(INDEX(tEditais[SRP],MATCH(tItens[[#This Row],[Edital]],tEditais[Edital],0)),"Não")</f>
        <v>Não</v>
      </c>
      <c r="P7615" s="4">
        <f>IF(COUNTIFS(INDEX(tItens[Edital],1):tItens[[#This Row],[Edital]],tItens[[#This Row],[Edital]],INDEX(tItens[Produto],1):tItens[[#This Row],[Produto]],tItens[[#This Row],[Produto]])=1,1,0)</f>
        <v>0</v>
      </c>
    </row>
    <row r="7616" spans="1:16" x14ac:dyDescent="0.25">
      <c r="A7616" t="s">
        <v>2532</v>
      </c>
      <c r="B7616">
        <v>20</v>
      </c>
      <c r="C7616" t="s">
        <v>10198</v>
      </c>
      <c r="D7616" t="s">
        <v>521</v>
      </c>
      <c r="E7616" s="13">
        <v>10</v>
      </c>
      <c r="F7616" s="12">
        <v>0</v>
      </c>
      <c r="G7616" t="str">
        <f>IFERROR(INDEX(tEditais[Órgão],MATCH(tItens[[#This Row],[Edital]],tEditais[Edital],0)),"")</f>
        <v>EMPRESA BRASILEIRA DE SERVICOS HOSPITALARES - EBSERH</v>
      </c>
      <c r="H7616" t="str">
        <f>IFERROR(INDEX(tEditais[UF],MATCH(tItens[[#This Row],[Edital]],tEditais[Edital],0)),"")</f>
        <v>RS</v>
      </c>
      <c r="I7616" s="11">
        <f>IFERROR(INDEX(tEditais[Encerramento],MATCH(tItens[[#This Row],[Edital]],tEditais[Edital],0)),"")</f>
        <v>46308.374305555553</v>
      </c>
      <c r="J7616" t="str">
        <f>IFERROR(INDEX(tProdutos[Classe],MATCH(tItens[[#This Row],[Produto]],tProdutos[Produto],0)),"produto não cadastrado")</f>
        <v>FILA REBASE</v>
      </c>
      <c r="K7616" s="12">
        <f>tItens[[#This Row],[Qtd]]*tItens[[#This Row],[Vlr unit]]</f>
        <v>0</v>
      </c>
      <c r="L7616" s="6">
        <f>IFERROR(IF(INDEX(tProdutos[Desconto homologado],MATCH(tItens[[#This Row],[Produto]],tProdutos[Produto],0))="",DescontoPadrao,INDEX(tProdutos[Desconto homologado],MATCH(tItens[[#This Row],[Produto]],tProdutos[Produto],0))),DescontoPadrao)</f>
        <v>0.20254361398888801</v>
      </c>
      <c r="M7616" s="12">
        <f>tItens[[#This Row],[Valor]]*(1-tItens[[#This Row],[Desconto]])</f>
        <v>0</v>
      </c>
      <c r="N7616" t="str">
        <f>IFERROR(INDEX(tProdutos[Foco],MATCH(tItens[[#This Row],[Produto]],tProdutos[Produto],0)),"Não")</f>
        <v>Não</v>
      </c>
      <c r="O7616" t="str">
        <f>IFERROR(INDEX(tEditais[SRP],MATCH(tItens[[#This Row],[Edital]],tEditais[Edital],0)),"Não")</f>
        <v>Não</v>
      </c>
      <c r="P7616" s="4">
        <f>IF(COUNTIFS(INDEX(tItens[Edital],1):tItens[[#This Row],[Edital]],tItens[[#This Row],[Edital]],INDEX(tItens[Produto],1):tItens[[#This Row],[Produto]],tItens[[#This Row],[Produto]])=1,1,0)</f>
        <v>0</v>
      </c>
    </row>
    <row r="7617" spans="1:16" x14ac:dyDescent="0.25">
      <c r="A7617" t="s">
        <v>2532</v>
      </c>
      <c r="B7617">
        <v>22</v>
      </c>
      <c r="C7617" t="s">
        <v>10199</v>
      </c>
      <c r="D7617" t="s">
        <v>521</v>
      </c>
      <c r="E7617" s="13">
        <v>10</v>
      </c>
      <c r="F7617" s="12">
        <v>0</v>
      </c>
      <c r="G7617" t="str">
        <f>IFERROR(INDEX(tEditais[Órgão],MATCH(tItens[[#This Row],[Edital]],tEditais[Edital],0)),"")</f>
        <v>EMPRESA BRASILEIRA DE SERVICOS HOSPITALARES - EBSERH</v>
      </c>
      <c r="H7617" t="str">
        <f>IFERROR(INDEX(tEditais[UF],MATCH(tItens[[#This Row],[Edital]],tEditais[Edital],0)),"")</f>
        <v>RS</v>
      </c>
      <c r="I7617" s="11">
        <f>IFERROR(INDEX(tEditais[Encerramento],MATCH(tItens[[#This Row],[Edital]],tEditais[Edital],0)),"")</f>
        <v>46308.374305555553</v>
      </c>
      <c r="J7617" t="str">
        <f>IFERROR(INDEX(tProdutos[Classe],MATCH(tItens[[#This Row],[Produto]],tProdutos[Produto],0)),"produto não cadastrado")</f>
        <v>FILA REBASE</v>
      </c>
      <c r="K7617" s="12">
        <f>tItens[[#This Row],[Qtd]]*tItens[[#This Row],[Vlr unit]]</f>
        <v>0</v>
      </c>
      <c r="L7617" s="6">
        <f>IFERROR(IF(INDEX(tProdutos[Desconto homologado],MATCH(tItens[[#This Row],[Produto]],tProdutos[Produto],0))="",DescontoPadrao,INDEX(tProdutos[Desconto homologado],MATCH(tItens[[#This Row],[Produto]],tProdutos[Produto],0))),DescontoPadrao)</f>
        <v>0.20254361398888801</v>
      </c>
      <c r="M7617" s="12">
        <f>tItens[[#This Row],[Valor]]*(1-tItens[[#This Row],[Desconto]])</f>
        <v>0</v>
      </c>
      <c r="N7617" t="str">
        <f>IFERROR(INDEX(tProdutos[Foco],MATCH(tItens[[#This Row],[Produto]],tProdutos[Produto],0)),"Não")</f>
        <v>Não</v>
      </c>
      <c r="O7617" t="str">
        <f>IFERROR(INDEX(tEditais[SRP],MATCH(tItens[[#This Row],[Edital]],tEditais[Edital],0)),"Não")</f>
        <v>Não</v>
      </c>
      <c r="P7617" s="4">
        <f>IF(COUNTIFS(INDEX(tItens[Edital],1):tItens[[#This Row],[Edital]],tItens[[#This Row],[Edital]],INDEX(tItens[Produto],1):tItens[[#This Row],[Produto]],tItens[[#This Row],[Produto]])=1,1,0)</f>
        <v>0</v>
      </c>
    </row>
    <row r="7618" spans="1:16" x14ac:dyDescent="0.25">
      <c r="A7618" t="s">
        <v>2532</v>
      </c>
      <c r="B7618">
        <v>28</v>
      </c>
      <c r="C7618" t="s">
        <v>10200</v>
      </c>
      <c r="D7618" t="s">
        <v>521</v>
      </c>
      <c r="E7618" s="13">
        <v>10</v>
      </c>
      <c r="F7618" s="12">
        <v>0</v>
      </c>
      <c r="G7618" t="str">
        <f>IFERROR(INDEX(tEditais[Órgão],MATCH(tItens[[#This Row],[Edital]],tEditais[Edital],0)),"")</f>
        <v>EMPRESA BRASILEIRA DE SERVICOS HOSPITALARES - EBSERH</v>
      </c>
      <c r="H7618" t="str">
        <f>IFERROR(INDEX(tEditais[UF],MATCH(tItens[[#This Row],[Edital]],tEditais[Edital],0)),"")</f>
        <v>RS</v>
      </c>
      <c r="I7618" s="11">
        <f>IFERROR(INDEX(tEditais[Encerramento],MATCH(tItens[[#This Row],[Edital]],tEditais[Edital],0)),"")</f>
        <v>46308.374305555553</v>
      </c>
      <c r="J7618" t="str">
        <f>IFERROR(INDEX(tProdutos[Classe],MATCH(tItens[[#This Row],[Produto]],tProdutos[Produto],0)),"produto não cadastrado")</f>
        <v>FILA REBASE</v>
      </c>
      <c r="K7618" s="12">
        <f>tItens[[#This Row],[Qtd]]*tItens[[#This Row],[Vlr unit]]</f>
        <v>0</v>
      </c>
      <c r="L7618" s="6">
        <f>IFERROR(IF(INDEX(tProdutos[Desconto homologado],MATCH(tItens[[#This Row],[Produto]],tProdutos[Produto],0))="",DescontoPadrao,INDEX(tProdutos[Desconto homologado],MATCH(tItens[[#This Row],[Produto]],tProdutos[Produto],0))),DescontoPadrao)</f>
        <v>0.20254361398888801</v>
      </c>
      <c r="M7618" s="12">
        <f>tItens[[#This Row],[Valor]]*(1-tItens[[#This Row],[Desconto]])</f>
        <v>0</v>
      </c>
      <c r="N7618" t="str">
        <f>IFERROR(INDEX(tProdutos[Foco],MATCH(tItens[[#This Row],[Produto]],tProdutos[Produto],0)),"Não")</f>
        <v>Não</v>
      </c>
      <c r="O7618" t="str">
        <f>IFERROR(INDEX(tEditais[SRP],MATCH(tItens[[#This Row],[Edital]],tEditais[Edital],0)),"Não")</f>
        <v>Não</v>
      </c>
      <c r="P7618" s="4">
        <f>IF(COUNTIFS(INDEX(tItens[Edital],1):tItens[[#This Row],[Edital]],tItens[[#This Row],[Edital]],INDEX(tItens[Produto],1):tItens[[#This Row],[Produto]],tItens[[#This Row],[Produto]])=1,1,0)</f>
        <v>0</v>
      </c>
    </row>
    <row r="7619" spans="1:16" x14ac:dyDescent="0.25">
      <c r="A7619" t="s">
        <v>2536</v>
      </c>
      <c r="B7619">
        <v>40</v>
      </c>
      <c r="C7619" t="s">
        <v>9415</v>
      </c>
      <c r="D7619" t="s">
        <v>102</v>
      </c>
      <c r="E7619" s="13">
        <v>205</v>
      </c>
      <c r="F7619" s="12">
        <v>4.87</v>
      </c>
      <c r="G7619" t="str">
        <f>IFERROR(INDEX(tEditais[Órgão],MATCH(tItens[[#This Row],[Edital]],tEditais[Edital],0)),"")</f>
        <v>COMANDO DO EXERCITO</v>
      </c>
      <c r="H7619" t="str">
        <f>IFERROR(INDEX(tEditais[UF],MATCH(tItens[[#This Row],[Edital]],tEditais[Edital],0)),"")</f>
        <v>RS</v>
      </c>
      <c r="I7619" s="11">
        <f>IFERROR(INDEX(tEditais[Encerramento],MATCH(tItens[[#This Row],[Edital]],tEditais[Edital],0)),"")</f>
        <v>46308.375</v>
      </c>
      <c r="J7619" t="str">
        <f>IFERROR(INDEX(tProdutos[Classe],MATCH(tItens[[#This Row],[Produto]],tProdutos[Produto],0)),"produto não cadastrado")</f>
        <v>DISPUTADO</v>
      </c>
      <c r="K7619" s="12">
        <f>tItens[[#This Row],[Qtd]]*tItens[[#This Row],[Vlr unit]]</f>
        <v>998.35</v>
      </c>
      <c r="L7619" s="6">
        <f>IFERROR(IF(INDEX(tProdutos[Desconto homologado],MATCH(tItens[[#This Row],[Produto]],tProdutos[Produto],0))="",DescontoPadrao,INDEX(tProdutos[Desconto homologado],MATCH(tItens[[#This Row],[Produto]],tProdutos[Produto],0))),DescontoPadrao)</f>
        <v>0.38053097345132803</v>
      </c>
      <c r="M7619" s="12">
        <f>tItens[[#This Row],[Valor]]*(1-tItens[[#This Row],[Desconto]])</f>
        <v>618.44690265486668</v>
      </c>
      <c r="N7619" t="str">
        <f>IFERROR(INDEX(tProdutos[Foco],MATCH(tItens[[#This Row],[Produto]],tProdutos[Produto],0)),"Não")</f>
        <v>Não</v>
      </c>
      <c r="O7619" t="str">
        <f>IFERROR(INDEX(tEditais[SRP],MATCH(tItens[[#This Row],[Edital]],tEditais[Edital],0)),"Não")</f>
        <v>Não</v>
      </c>
      <c r="P7619" s="4">
        <f>IF(COUNTIFS(INDEX(tItens[Edital],1):tItens[[#This Row],[Edital]],tItens[[#This Row],[Edital]],INDEX(tItens[Produto],1):tItens[[#This Row],[Produto]],tItens[[#This Row],[Produto]])=1,1,0)</f>
        <v>1</v>
      </c>
    </row>
    <row r="7620" spans="1:16" x14ac:dyDescent="0.25">
      <c r="A7620" t="s">
        <v>2536</v>
      </c>
      <c r="B7620">
        <v>52</v>
      </c>
      <c r="C7620" t="s">
        <v>3333</v>
      </c>
      <c r="D7620" t="s">
        <v>437</v>
      </c>
      <c r="E7620" s="13">
        <v>3</v>
      </c>
      <c r="F7620" s="12">
        <v>81.8</v>
      </c>
      <c r="G7620" t="str">
        <f>IFERROR(INDEX(tEditais[Órgão],MATCH(tItens[[#This Row],[Edital]],tEditais[Edital],0)),"")</f>
        <v>COMANDO DO EXERCITO</v>
      </c>
      <c r="H7620" t="str">
        <f>IFERROR(INDEX(tEditais[UF],MATCH(tItens[[#This Row],[Edital]],tEditais[Edital],0)),"")</f>
        <v>RS</v>
      </c>
      <c r="I7620" s="11">
        <f>IFERROR(INDEX(tEditais[Encerramento],MATCH(tItens[[#This Row],[Edital]],tEditais[Edital],0)),"")</f>
        <v>46308.375</v>
      </c>
      <c r="J7620" t="str">
        <f>IFERROR(INDEX(tProdutos[Classe],MATCH(tItens[[#This Row],[Produto]],tProdutos[Produto],0)),"produto não cadastrado")</f>
        <v>FILA REBASE</v>
      </c>
      <c r="K7620" s="12">
        <f>tItens[[#This Row],[Qtd]]*tItens[[#This Row],[Vlr unit]]</f>
        <v>245.39999999999998</v>
      </c>
      <c r="L7620" s="6">
        <f>IFERROR(IF(INDEX(tProdutos[Desconto homologado],MATCH(tItens[[#This Row],[Produto]],tProdutos[Produto],0))="",DescontoPadrao,INDEX(tProdutos[Desconto homologado],MATCH(tItens[[#This Row],[Produto]],tProdutos[Produto],0))),DescontoPadrao)</f>
        <v>0.23334221878164699</v>
      </c>
      <c r="M7620" s="12">
        <f>tItens[[#This Row],[Valor]]*(1-tItens[[#This Row],[Desconto]])</f>
        <v>188.13781951098383</v>
      </c>
      <c r="N7620" t="str">
        <f>IFERROR(INDEX(tProdutos[Foco],MATCH(tItens[[#This Row],[Produto]],tProdutos[Produto],0)),"Não")</f>
        <v>Não</v>
      </c>
      <c r="O7620" t="str">
        <f>IFERROR(INDEX(tEditais[SRP],MATCH(tItens[[#This Row],[Edital]],tEditais[Edital],0)),"Não")</f>
        <v>Não</v>
      </c>
      <c r="P7620" s="4">
        <f>IF(COUNTIFS(INDEX(tItens[Edital],1):tItens[[#This Row],[Edital]],tItens[[#This Row],[Edital]],INDEX(tItens[Produto],1):tItens[[#This Row],[Produto]],tItens[[#This Row],[Produto]])=1,1,0)</f>
        <v>1</v>
      </c>
    </row>
    <row r="7621" spans="1:16" x14ac:dyDescent="0.25">
      <c r="A7621" t="s">
        <v>2536</v>
      </c>
      <c r="B7621">
        <v>53</v>
      </c>
      <c r="C7621" t="s">
        <v>4243</v>
      </c>
      <c r="D7621" t="s">
        <v>413</v>
      </c>
      <c r="E7621" s="13">
        <v>25</v>
      </c>
      <c r="F7621" s="12">
        <v>26.76</v>
      </c>
      <c r="G7621" t="str">
        <f>IFERROR(INDEX(tEditais[Órgão],MATCH(tItens[[#This Row],[Edital]],tEditais[Edital],0)),"")</f>
        <v>COMANDO DO EXERCITO</v>
      </c>
      <c r="H7621" t="str">
        <f>IFERROR(INDEX(tEditais[UF],MATCH(tItens[[#This Row],[Edital]],tEditais[Edital],0)),"")</f>
        <v>RS</v>
      </c>
      <c r="I7621" s="11">
        <f>IFERROR(INDEX(tEditais[Encerramento],MATCH(tItens[[#This Row],[Edital]],tEditais[Edital],0)),"")</f>
        <v>46308.375</v>
      </c>
      <c r="J7621" t="str">
        <f>IFERROR(INDEX(tProdutos[Classe],MATCH(tItens[[#This Row],[Produto]],tProdutos[Produto],0)),"produto não cadastrado")</f>
        <v>FORA</v>
      </c>
      <c r="K7621" s="12">
        <f>tItens[[#This Row],[Qtd]]*tItens[[#This Row],[Vlr unit]]</f>
        <v>669</v>
      </c>
      <c r="L7621" s="6">
        <f>IFERROR(IF(INDEX(tProdutos[Desconto homologado],MATCH(tItens[[#This Row],[Produto]],tProdutos[Produto],0))="",DescontoPadrao,INDEX(tProdutos[Desconto homologado],MATCH(tItens[[#This Row],[Produto]],tProdutos[Produto],0))),DescontoPadrao)</f>
        <v>0.477732793522267</v>
      </c>
      <c r="M7621" s="12">
        <f>tItens[[#This Row],[Valor]]*(1-tItens[[#This Row],[Desconto]])</f>
        <v>349.39676113360332</v>
      </c>
      <c r="N7621" t="str">
        <f>IFERROR(INDEX(tProdutos[Foco],MATCH(tItens[[#This Row],[Produto]],tProdutos[Produto],0)),"Não")</f>
        <v>Não</v>
      </c>
      <c r="O7621" t="str">
        <f>IFERROR(INDEX(tEditais[SRP],MATCH(tItens[[#This Row],[Edital]],tEditais[Edital],0)),"Não")</f>
        <v>Não</v>
      </c>
      <c r="P7621" s="4">
        <f>IF(COUNTIFS(INDEX(tItens[Edital],1):tItens[[#This Row],[Edital]],tItens[[#This Row],[Edital]],INDEX(tItens[Produto],1):tItens[[#This Row],[Produto]],tItens[[#This Row],[Produto]])=1,1,0)</f>
        <v>1</v>
      </c>
    </row>
    <row r="7622" spans="1:16" x14ac:dyDescent="0.25">
      <c r="A7622" t="s">
        <v>2536</v>
      </c>
      <c r="B7622">
        <v>54</v>
      </c>
      <c r="C7622" t="s">
        <v>3478</v>
      </c>
      <c r="D7622" t="s">
        <v>315</v>
      </c>
      <c r="E7622" s="13">
        <v>11</v>
      </c>
      <c r="F7622" s="12">
        <v>20</v>
      </c>
      <c r="G7622" t="str">
        <f>IFERROR(INDEX(tEditais[Órgão],MATCH(tItens[[#This Row],[Edital]],tEditais[Edital],0)),"")</f>
        <v>COMANDO DO EXERCITO</v>
      </c>
      <c r="H7622" t="str">
        <f>IFERROR(INDEX(tEditais[UF],MATCH(tItens[[#This Row],[Edital]],tEditais[Edital],0)),"")</f>
        <v>RS</v>
      </c>
      <c r="I7622" s="11">
        <f>IFERROR(INDEX(tEditais[Encerramento],MATCH(tItens[[#This Row],[Edital]],tEditais[Edital],0)),"")</f>
        <v>46308.375</v>
      </c>
      <c r="J7622" t="str">
        <f>IFERROR(INDEX(tProdutos[Classe],MATCH(tItens[[#This Row],[Produto]],tProdutos[Produto],0)),"produto não cadastrado")</f>
        <v>FORA</v>
      </c>
      <c r="K7622" s="12">
        <f>tItens[[#This Row],[Qtd]]*tItens[[#This Row],[Vlr unit]]</f>
        <v>220</v>
      </c>
      <c r="L7622" s="6">
        <f>IFERROR(IF(INDEX(tProdutos[Desconto homologado],MATCH(tItens[[#This Row],[Produto]],tProdutos[Produto],0))="",DescontoPadrao,INDEX(tProdutos[Desconto homologado],MATCH(tItens[[#This Row],[Produto]],tProdutos[Produto],0))),DescontoPadrao)</f>
        <v>0.38432036097010702</v>
      </c>
      <c r="M7622" s="12">
        <f>tItens[[#This Row],[Valor]]*(1-tItens[[#This Row],[Desconto]])</f>
        <v>135.44952058657645</v>
      </c>
      <c r="N7622" t="str">
        <f>IFERROR(INDEX(tProdutos[Foco],MATCH(tItens[[#This Row],[Produto]],tProdutos[Produto],0)),"Não")</f>
        <v>Não</v>
      </c>
      <c r="O7622" t="str">
        <f>IFERROR(INDEX(tEditais[SRP],MATCH(tItens[[#This Row],[Edital]],tEditais[Edital],0)),"Não")</f>
        <v>Não</v>
      </c>
      <c r="P7622" s="4">
        <f>IF(COUNTIFS(INDEX(tItens[Edital],1):tItens[[#This Row],[Edital]],tItens[[#This Row],[Edital]],INDEX(tItens[Produto],1):tItens[[#This Row],[Produto]],tItens[[#This Row],[Produto]])=1,1,0)</f>
        <v>1</v>
      </c>
    </row>
    <row r="7623" spans="1:16" x14ac:dyDescent="0.25">
      <c r="A7623" t="s">
        <v>2536</v>
      </c>
      <c r="B7623">
        <v>55</v>
      </c>
      <c r="C7623" t="s">
        <v>9415</v>
      </c>
      <c r="D7623" t="s">
        <v>102</v>
      </c>
      <c r="E7623" s="13">
        <v>105</v>
      </c>
      <c r="F7623" s="12">
        <v>3.64</v>
      </c>
      <c r="G7623" t="str">
        <f>IFERROR(INDEX(tEditais[Órgão],MATCH(tItens[[#This Row],[Edital]],tEditais[Edital],0)),"")</f>
        <v>COMANDO DO EXERCITO</v>
      </c>
      <c r="H7623" t="str">
        <f>IFERROR(INDEX(tEditais[UF],MATCH(tItens[[#This Row],[Edital]],tEditais[Edital],0)),"")</f>
        <v>RS</v>
      </c>
      <c r="I7623" s="11">
        <f>IFERROR(INDEX(tEditais[Encerramento],MATCH(tItens[[#This Row],[Edital]],tEditais[Edital],0)),"")</f>
        <v>46308.375</v>
      </c>
      <c r="J7623" t="str">
        <f>IFERROR(INDEX(tProdutos[Classe],MATCH(tItens[[#This Row],[Produto]],tProdutos[Produto],0)),"produto não cadastrado")</f>
        <v>DISPUTADO</v>
      </c>
      <c r="K7623" s="12">
        <f>tItens[[#This Row],[Qtd]]*tItens[[#This Row],[Vlr unit]]</f>
        <v>382.2</v>
      </c>
      <c r="L7623" s="6">
        <f>IFERROR(IF(INDEX(tProdutos[Desconto homologado],MATCH(tItens[[#This Row],[Produto]],tProdutos[Produto],0))="",DescontoPadrao,INDEX(tProdutos[Desconto homologado],MATCH(tItens[[#This Row],[Produto]],tProdutos[Produto],0))),DescontoPadrao)</f>
        <v>0.38053097345132803</v>
      </c>
      <c r="M7623" s="12">
        <f>tItens[[#This Row],[Valor]]*(1-tItens[[#This Row],[Desconto]])</f>
        <v>236.76106194690243</v>
      </c>
      <c r="N7623" t="str">
        <f>IFERROR(INDEX(tProdutos[Foco],MATCH(tItens[[#This Row],[Produto]],tProdutos[Produto],0)),"Não")</f>
        <v>Não</v>
      </c>
      <c r="O7623" t="str">
        <f>IFERROR(INDEX(tEditais[SRP],MATCH(tItens[[#This Row],[Edital]],tEditais[Edital],0)),"Não")</f>
        <v>Não</v>
      </c>
      <c r="P7623" s="4">
        <f>IF(COUNTIFS(INDEX(tItens[Edital],1):tItens[[#This Row],[Edital]],tItens[[#This Row],[Edital]],INDEX(tItens[Produto],1):tItens[[#This Row],[Produto]],tItens[[#This Row],[Produto]])=1,1,0)</f>
        <v>0</v>
      </c>
    </row>
    <row r="7624" spans="1:16" x14ac:dyDescent="0.25">
      <c r="A7624" t="s">
        <v>2536</v>
      </c>
      <c r="B7624">
        <v>56</v>
      </c>
      <c r="C7624" t="s">
        <v>9151</v>
      </c>
      <c r="D7624" t="s">
        <v>413</v>
      </c>
      <c r="E7624" s="13">
        <v>57</v>
      </c>
      <c r="F7624" s="12">
        <v>1.5</v>
      </c>
      <c r="G7624" t="str">
        <f>IFERROR(INDEX(tEditais[Órgão],MATCH(tItens[[#This Row],[Edital]],tEditais[Edital],0)),"")</f>
        <v>COMANDO DO EXERCITO</v>
      </c>
      <c r="H7624" t="str">
        <f>IFERROR(INDEX(tEditais[UF],MATCH(tItens[[#This Row],[Edital]],tEditais[Edital],0)),"")</f>
        <v>RS</v>
      </c>
      <c r="I7624" s="11">
        <f>IFERROR(INDEX(tEditais[Encerramento],MATCH(tItens[[#This Row],[Edital]],tEditais[Edital],0)),"")</f>
        <v>46308.375</v>
      </c>
      <c r="J7624" t="str">
        <f>IFERROR(INDEX(tProdutos[Classe],MATCH(tItens[[#This Row],[Produto]],tProdutos[Produto],0)),"produto não cadastrado")</f>
        <v>FORA</v>
      </c>
      <c r="K7624" s="12">
        <f>tItens[[#This Row],[Qtd]]*tItens[[#This Row],[Vlr unit]]</f>
        <v>85.5</v>
      </c>
      <c r="L7624" s="6">
        <f>IFERROR(IF(INDEX(tProdutos[Desconto homologado],MATCH(tItens[[#This Row],[Produto]],tProdutos[Produto],0))="",DescontoPadrao,INDEX(tProdutos[Desconto homologado],MATCH(tItens[[#This Row],[Produto]],tProdutos[Produto],0))),DescontoPadrao)</f>
        <v>0.477732793522267</v>
      </c>
      <c r="M7624" s="12">
        <f>tItens[[#This Row],[Valor]]*(1-tItens[[#This Row],[Desconto]])</f>
        <v>44.653846153846168</v>
      </c>
      <c r="N7624" t="str">
        <f>IFERROR(INDEX(tProdutos[Foco],MATCH(tItens[[#This Row],[Produto]],tProdutos[Produto],0)),"Não")</f>
        <v>Não</v>
      </c>
      <c r="O7624" t="str">
        <f>IFERROR(INDEX(tEditais[SRP],MATCH(tItens[[#This Row],[Edital]],tEditais[Edital],0)),"Não")</f>
        <v>Não</v>
      </c>
      <c r="P7624" s="4">
        <f>IF(COUNTIFS(INDEX(tItens[Edital],1):tItens[[#This Row],[Edital]],tItens[[#This Row],[Edital]],INDEX(tItens[Produto],1):tItens[[#This Row],[Produto]],tItens[[#This Row],[Produto]])=1,1,0)</f>
        <v>0</v>
      </c>
    </row>
    <row r="7625" spans="1:16" x14ac:dyDescent="0.25">
      <c r="A7625" t="s">
        <v>2536</v>
      </c>
      <c r="B7625">
        <v>57</v>
      </c>
      <c r="C7625" t="s">
        <v>10201</v>
      </c>
      <c r="D7625" t="s">
        <v>413</v>
      </c>
      <c r="E7625" s="13">
        <v>36</v>
      </c>
      <c r="F7625" s="12">
        <v>1.49</v>
      </c>
      <c r="G7625" t="str">
        <f>IFERROR(INDEX(tEditais[Órgão],MATCH(tItens[[#This Row],[Edital]],tEditais[Edital],0)),"")</f>
        <v>COMANDO DO EXERCITO</v>
      </c>
      <c r="H7625" t="str">
        <f>IFERROR(INDEX(tEditais[UF],MATCH(tItens[[#This Row],[Edital]],tEditais[Edital],0)),"")</f>
        <v>RS</v>
      </c>
      <c r="I7625" s="11">
        <f>IFERROR(INDEX(tEditais[Encerramento],MATCH(tItens[[#This Row],[Edital]],tEditais[Edital],0)),"")</f>
        <v>46308.375</v>
      </c>
      <c r="J7625" t="str">
        <f>IFERROR(INDEX(tProdutos[Classe],MATCH(tItens[[#This Row],[Produto]],tProdutos[Produto],0)),"produto não cadastrado")</f>
        <v>FORA</v>
      </c>
      <c r="K7625" s="12">
        <f>tItens[[#This Row],[Qtd]]*tItens[[#This Row],[Vlr unit]]</f>
        <v>53.64</v>
      </c>
      <c r="L7625" s="6">
        <f>IFERROR(IF(INDEX(tProdutos[Desconto homologado],MATCH(tItens[[#This Row],[Produto]],tProdutos[Produto],0))="",DescontoPadrao,INDEX(tProdutos[Desconto homologado],MATCH(tItens[[#This Row],[Produto]],tProdutos[Produto],0))),DescontoPadrao)</f>
        <v>0.477732793522267</v>
      </c>
      <c r="M7625" s="12">
        <f>tItens[[#This Row],[Valor]]*(1-tItens[[#This Row],[Desconto]])</f>
        <v>28.014412955465595</v>
      </c>
      <c r="N7625" t="str">
        <f>IFERROR(INDEX(tProdutos[Foco],MATCH(tItens[[#This Row],[Produto]],tProdutos[Produto],0)),"Não")</f>
        <v>Não</v>
      </c>
      <c r="O7625" t="str">
        <f>IFERROR(INDEX(tEditais[SRP],MATCH(tItens[[#This Row],[Edital]],tEditais[Edital],0)),"Não")</f>
        <v>Não</v>
      </c>
      <c r="P7625" s="4">
        <f>IF(COUNTIFS(INDEX(tItens[Edital],1):tItens[[#This Row],[Edital]],tItens[[#This Row],[Edital]],INDEX(tItens[Produto],1):tItens[[#This Row],[Produto]],tItens[[#This Row],[Produto]])=1,1,0)</f>
        <v>0</v>
      </c>
    </row>
    <row r="7626" spans="1:16" x14ac:dyDescent="0.25">
      <c r="A7626" t="s">
        <v>2536</v>
      </c>
      <c r="B7626">
        <v>59</v>
      </c>
      <c r="C7626" t="s">
        <v>4135</v>
      </c>
      <c r="D7626" t="s">
        <v>297</v>
      </c>
      <c r="E7626" s="13">
        <v>11</v>
      </c>
      <c r="F7626" s="12">
        <v>18</v>
      </c>
      <c r="G7626" t="str">
        <f>IFERROR(INDEX(tEditais[Órgão],MATCH(tItens[[#This Row],[Edital]],tEditais[Edital],0)),"")</f>
        <v>COMANDO DO EXERCITO</v>
      </c>
      <c r="H7626" t="str">
        <f>IFERROR(INDEX(tEditais[UF],MATCH(tItens[[#This Row],[Edital]],tEditais[Edital],0)),"")</f>
        <v>RS</v>
      </c>
      <c r="I7626" s="11">
        <f>IFERROR(INDEX(tEditais[Encerramento],MATCH(tItens[[#This Row],[Edital]],tEditais[Edital],0)),"")</f>
        <v>46308.375</v>
      </c>
      <c r="J7626" t="str">
        <f>IFERROR(INDEX(tProdutos[Classe],MATCH(tItens[[#This Row],[Produto]],tProdutos[Produto],0)),"produto não cadastrado")</f>
        <v>FORA</v>
      </c>
      <c r="K7626" s="12">
        <f>tItens[[#This Row],[Qtd]]*tItens[[#This Row],[Vlr unit]]</f>
        <v>198</v>
      </c>
      <c r="L7626" s="6">
        <f>IFERROR(IF(INDEX(tProdutos[Desconto homologado],MATCH(tItens[[#This Row],[Produto]],tProdutos[Produto],0))="",DescontoPadrao,INDEX(tProdutos[Desconto homologado],MATCH(tItens[[#This Row],[Produto]],tProdutos[Produto],0))),DescontoPadrao)</f>
        <v>0.249544626593807</v>
      </c>
      <c r="M7626" s="12">
        <f>tItens[[#This Row],[Valor]]*(1-tItens[[#This Row],[Desconto]])</f>
        <v>148.59016393442622</v>
      </c>
      <c r="N7626" t="str">
        <f>IFERROR(INDEX(tProdutos[Foco],MATCH(tItens[[#This Row],[Produto]],tProdutos[Produto],0)),"Não")</f>
        <v>Não</v>
      </c>
      <c r="O7626" t="str">
        <f>IFERROR(INDEX(tEditais[SRP],MATCH(tItens[[#This Row],[Edital]],tEditais[Edital],0)),"Não")</f>
        <v>Não</v>
      </c>
      <c r="P7626" s="4">
        <f>IF(COUNTIFS(INDEX(tItens[Edital],1):tItens[[#This Row],[Edital]],tItens[[#This Row],[Edital]],INDEX(tItens[Produto],1):tItens[[#This Row],[Produto]],tItens[[#This Row],[Produto]])=1,1,0)</f>
        <v>1</v>
      </c>
    </row>
    <row r="7627" spans="1:16" x14ac:dyDescent="0.25">
      <c r="A7627" t="s">
        <v>2536</v>
      </c>
      <c r="B7627">
        <v>61</v>
      </c>
      <c r="C7627" t="s">
        <v>10202</v>
      </c>
      <c r="D7627" t="s">
        <v>413</v>
      </c>
      <c r="E7627" s="13">
        <v>32</v>
      </c>
      <c r="F7627" s="12">
        <v>21</v>
      </c>
      <c r="G7627" t="str">
        <f>IFERROR(INDEX(tEditais[Órgão],MATCH(tItens[[#This Row],[Edital]],tEditais[Edital],0)),"")</f>
        <v>COMANDO DO EXERCITO</v>
      </c>
      <c r="H7627" t="str">
        <f>IFERROR(INDEX(tEditais[UF],MATCH(tItens[[#This Row],[Edital]],tEditais[Edital],0)),"")</f>
        <v>RS</v>
      </c>
      <c r="I7627" s="11">
        <f>IFERROR(INDEX(tEditais[Encerramento],MATCH(tItens[[#This Row],[Edital]],tEditais[Edital],0)),"")</f>
        <v>46308.375</v>
      </c>
      <c r="J7627" t="str">
        <f>IFERROR(INDEX(tProdutos[Classe],MATCH(tItens[[#This Row],[Produto]],tProdutos[Produto],0)),"produto não cadastrado")</f>
        <v>FORA</v>
      </c>
      <c r="K7627" s="12">
        <f>tItens[[#This Row],[Qtd]]*tItens[[#This Row],[Vlr unit]]</f>
        <v>672</v>
      </c>
      <c r="L7627" s="6">
        <f>IFERROR(IF(INDEX(tProdutos[Desconto homologado],MATCH(tItens[[#This Row],[Produto]],tProdutos[Produto],0))="",DescontoPadrao,INDEX(tProdutos[Desconto homologado],MATCH(tItens[[#This Row],[Produto]],tProdutos[Produto],0))),DescontoPadrao)</f>
        <v>0.477732793522267</v>
      </c>
      <c r="M7627" s="12">
        <f>tItens[[#This Row],[Valor]]*(1-tItens[[#This Row],[Desconto]])</f>
        <v>350.96356275303651</v>
      </c>
      <c r="N7627" t="str">
        <f>IFERROR(INDEX(tProdutos[Foco],MATCH(tItens[[#This Row],[Produto]],tProdutos[Produto],0)),"Não")</f>
        <v>Não</v>
      </c>
      <c r="O7627" t="str">
        <f>IFERROR(INDEX(tEditais[SRP],MATCH(tItens[[#This Row],[Edital]],tEditais[Edital],0)),"Não")</f>
        <v>Não</v>
      </c>
      <c r="P7627" s="4">
        <f>IF(COUNTIFS(INDEX(tItens[Edital],1):tItens[[#This Row],[Edital]],tItens[[#This Row],[Edital]],INDEX(tItens[Produto],1):tItens[[#This Row],[Produto]],tItens[[#This Row],[Produto]])=1,1,0)</f>
        <v>0</v>
      </c>
    </row>
    <row r="7628" spans="1:16" x14ac:dyDescent="0.25">
      <c r="A7628" t="s">
        <v>2536</v>
      </c>
      <c r="B7628">
        <v>62</v>
      </c>
      <c r="C7628" t="s">
        <v>3481</v>
      </c>
      <c r="D7628" t="s">
        <v>297</v>
      </c>
      <c r="E7628" s="13">
        <v>11</v>
      </c>
      <c r="F7628" s="12">
        <v>15.24</v>
      </c>
      <c r="G7628" t="str">
        <f>IFERROR(INDEX(tEditais[Órgão],MATCH(tItens[[#This Row],[Edital]],tEditais[Edital],0)),"")</f>
        <v>COMANDO DO EXERCITO</v>
      </c>
      <c r="H7628" t="str">
        <f>IFERROR(INDEX(tEditais[UF],MATCH(tItens[[#This Row],[Edital]],tEditais[Edital],0)),"")</f>
        <v>RS</v>
      </c>
      <c r="I7628" s="11">
        <f>IFERROR(INDEX(tEditais[Encerramento],MATCH(tItens[[#This Row],[Edital]],tEditais[Edital],0)),"")</f>
        <v>46308.375</v>
      </c>
      <c r="J7628" t="str">
        <f>IFERROR(INDEX(tProdutos[Classe],MATCH(tItens[[#This Row],[Produto]],tProdutos[Produto],0)),"produto não cadastrado")</f>
        <v>FORA</v>
      </c>
      <c r="K7628" s="12">
        <f>tItens[[#This Row],[Qtd]]*tItens[[#This Row],[Vlr unit]]</f>
        <v>167.64000000000001</v>
      </c>
      <c r="L7628" s="6">
        <f>IFERROR(IF(INDEX(tProdutos[Desconto homologado],MATCH(tItens[[#This Row],[Produto]],tProdutos[Produto],0))="",DescontoPadrao,INDEX(tProdutos[Desconto homologado],MATCH(tItens[[#This Row],[Produto]],tProdutos[Produto],0))),DescontoPadrao)</f>
        <v>0.249544626593807</v>
      </c>
      <c r="M7628" s="12">
        <f>tItens[[#This Row],[Valor]]*(1-tItens[[#This Row],[Desconto]])</f>
        <v>125.80633879781419</v>
      </c>
      <c r="N7628" t="str">
        <f>IFERROR(INDEX(tProdutos[Foco],MATCH(tItens[[#This Row],[Produto]],tProdutos[Produto],0)),"Não")</f>
        <v>Não</v>
      </c>
      <c r="O7628" t="str">
        <f>IFERROR(INDEX(tEditais[SRP],MATCH(tItens[[#This Row],[Edital]],tEditais[Edital],0)),"Não")</f>
        <v>Não</v>
      </c>
      <c r="P7628" s="4">
        <f>IF(COUNTIFS(INDEX(tItens[Edital],1):tItens[[#This Row],[Edital]],tItens[[#This Row],[Edital]],INDEX(tItens[Produto],1):tItens[[#This Row],[Produto]],tItens[[#This Row],[Produto]])=1,1,0)</f>
        <v>0</v>
      </c>
    </row>
    <row r="7629" spans="1:16" x14ac:dyDescent="0.25">
      <c r="A7629" t="s">
        <v>2536</v>
      </c>
      <c r="B7629">
        <v>66</v>
      </c>
      <c r="C7629" t="s">
        <v>10203</v>
      </c>
      <c r="D7629" t="s">
        <v>461</v>
      </c>
      <c r="E7629" s="13">
        <v>10</v>
      </c>
      <c r="F7629" s="12">
        <v>29.45</v>
      </c>
      <c r="G7629" t="str">
        <f>IFERROR(INDEX(tEditais[Órgão],MATCH(tItens[[#This Row],[Edital]],tEditais[Edital],0)),"")</f>
        <v>COMANDO DO EXERCITO</v>
      </c>
      <c r="H7629" t="str">
        <f>IFERROR(INDEX(tEditais[UF],MATCH(tItens[[#This Row],[Edital]],tEditais[Edital],0)),"")</f>
        <v>RS</v>
      </c>
      <c r="I7629" s="11">
        <f>IFERROR(INDEX(tEditais[Encerramento],MATCH(tItens[[#This Row],[Edital]],tEditais[Edital],0)),"")</f>
        <v>46308.375</v>
      </c>
      <c r="J7629" t="str">
        <f>IFERROR(INDEX(tProdutos[Classe],MATCH(tItens[[#This Row],[Produto]],tProdutos[Produto],0)),"produto não cadastrado")</f>
        <v>FILA REBASE</v>
      </c>
      <c r="K7629" s="12">
        <f>tItens[[#This Row],[Qtd]]*tItens[[#This Row],[Vlr unit]]</f>
        <v>294.5</v>
      </c>
      <c r="L7629" s="6">
        <f>IFERROR(IF(INDEX(tProdutos[Desconto homologado],MATCH(tItens[[#This Row],[Produto]],tProdutos[Produto],0))="",DescontoPadrao,INDEX(tProdutos[Desconto homologado],MATCH(tItens[[#This Row],[Produto]],tProdutos[Produto],0))),DescontoPadrao)</f>
        <v>0.44096385542168698</v>
      </c>
      <c r="M7629" s="12">
        <f>tItens[[#This Row],[Valor]]*(1-tItens[[#This Row],[Desconto]])</f>
        <v>164.63614457831318</v>
      </c>
      <c r="N7629" t="str">
        <f>IFERROR(INDEX(tProdutos[Foco],MATCH(tItens[[#This Row],[Produto]],tProdutos[Produto],0)),"Não")</f>
        <v>Não</v>
      </c>
      <c r="O7629" t="str">
        <f>IFERROR(INDEX(tEditais[SRP],MATCH(tItens[[#This Row],[Edital]],tEditais[Edital],0)),"Não")</f>
        <v>Não</v>
      </c>
      <c r="P7629" s="4">
        <f>IF(COUNTIFS(INDEX(tItens[Edital],1):tItens[[#This Row],[Edital]],tItens[[#This Row],[Edital]],INDEX(tItens[Produto],1):tItens[[#This Row],[Produto]],tItens[[#This Row],[Produto]])=1,1,0)</f>
        <v>1</v>
      </c>
    </row>
    <row r="7630" spans="1:16" x14ac:dyDescent="0.25">
      <c r="A7630" t="s">
        <v>2536</v>
      </c>
      <c r="B7630">
        <v>67</v>
      </c>
      <c r="C7630" t="s">
        <v>10204</v>
      </c>
      <c r="D7630" t="s">
        <v>461</v>
      </c>
      <c r="E7630" s="13">
        <v>3</v>
      </c>
      <c r="F7630" s="12">
        <v>30.5</v>
      </c>
      <c r="G7630" t="str">
        <f>IFERROR(INDEX(tEditais[Órgão],MATCH(tItens[[#This Row],[Edital]],tEditais[Edital],0)),"")</f>
        <v>COMANDO DO EXERCITO</v>
      </c>
      <c r="H7630" t="str">
        <f>IFERROR(INDEX(tEditais[UF],MATCH(tItens[[#This Row],[Edital]],tEditais[Edital],0)),"")</f>
        <v>RS</v>
      </c>
      <c r="I7630" s="11">
        <f>IFERROR(INDEX(tEditais[Encerramento],MATCH(tItens[[#This Row],[Edital]],tEditais[Edital],0)),"")</f>
        <v>46308.375</v>
      </c>
      <c r="J7630" t="str">
        <f>IFERROR(INDEX(tProdutos[Classe],MATCH(tItens[[#This Row],[Produto]],tProdutos[Produto],0)),"produto não cadastrado")</f>
        <v>FILA REBASE</v>
      </c>
      <c r="K7630" s="12">
        <f>tItens[[#This Row],[Qtd]]*tItens[[#This Row],[Vlr unit]]</f>
        <v>91.5</v>
      </c>
      <c r="L7630" s="6">
        <f>IFERROR(IF(INDEX(tProdutos[Desconto homologado],MATCH(tItens[[#This Row],[Produto]],tProdutos[Produto],0))="",DescontoPadrao,INDEX(tProdutos[Desconto homologado],MATCH(tItens[[#This Row],[Produto]],tProdutos[Produto],0))),DescontoPadrao)</f>
        <v>0.44096385542168698</v>
      </c>
      <c r="M7630" s="12">
        <f>tItens[[#This Row],[Valor]]*(1-tItens[[#This Row],[Desconto]])</f>
        <v>51.151807228915636</v>
      </c>
      <c r="N7630" t="str">
        <f>IFERROR(INDEX(tProdutos[Foco],MATCH(tItens[[#This Row],[Produto]],tProdutos[Produto],0)),"Não")</f>
        <v>Não</v>
      </c>
      <c r="O7630" t="str">
        <f>IFERROR(INDEX(tEditais[SRP],MATCH(tItens[[#This Row],[Edital]],tEditais[Edital],0)),"Não")</f>
        <v>Não</v>
      </c>
      <c r="P7630" s="4">
        <f>IF(COUNTIFS(INDEX(tItens[Edital],1):tItens[[#This Row],[Edital]],tItens[[#This Row],[Edital]],INDEX(tItens[Produto],1):tItens[[#This Row],[Produto]],tItens[[#This Row],[Produto]])=1,1,0)</f>
        <v>0</v>
      </c>
    </row>
    <row r="7631" spans="1:16" x14ac:dyDescent="0.25">
      <c r="A7631" t="s">
        <v>2536</v>
      </c>
      <c r="B7631">
        <v>68</v>
      </c>
      <c r="C7631" t="s">
        <v>10205</v>
      </c>
      <c r="D7631" t="s">
        <v>375</v>
      </c>
      <c r="E7631" s="13">
        <v>20</v>
      </c>
      <c r="F7631" s="12">
        <v>416.02</v>
      </c>
      <c r="G7631" t="str">
        <f>IFERROR(INDEX(tEditais[Órgão],MATCH(tItens[[#This Row],[Edital]],tEditais[Edital],0)),"")</f>
        <v>COMANDO DO EXERCITO</v>
      </c>
      <c r="H7631" t="str">
        <f>IFERROR(INDEX(tEditais[UF],MATCH(tItens[[#This Row],[Edital]],tEditais[Edital],0)),"")</f>
        <v>RS</v>
      </c>
      <c r="I7631" s="11">
        <f>IFERROR(INDEX(tEditais[Encerramento],MATCH(tItens[[#This Row],[Edital]],tEditais[Edital],0)),"")</f>
        <v>46308.375</v>
      </c>
      <c r="J7631" t="str">
        <f>IFERROR(INDEX(tProdutos[Classe],MATCH(tItens[[#This Row],[Produto]],tProdutos[Produto],0)),"produto não cadastrado")</f>
        <v>FORA</v>
      </c>
      <c r="K7631" s="12">
        <f>tItens[[#This Row],[Qtd]]*tItens[[#This Row],[Vlr unit]]</f>
        <v>8320.4</v>
      </c>
      <c r="L7631" s="6">
        <f>IFERROR(IF(INDEX(tProdutos[Desconto homologado],MATCH(tItens[[#This Row],[Produto]],tProdutos[Produto],0))="",DescontoPadrao,INDEX(tProdutos[Desconto homologado],MATCH(tItens[[#This Row],[Produto]],tProdutos[Produto],0))),DescontoPadrao)</f>
        <v>0.25005895299481201</v>
      </c>
      <c r="M7631" s="12">
        <f>tItens[[#This Row],[Valor]]*(1-tItens[[#This Row],[Desconto]])</f>
        <v>6239.8094875019651</v>
      </c>
      <c r="N7631" t="str">
        <f>IFERROR(INDEX(tProdutos[Foco],MATCH(tItens[[#This Row],[Produto]],tProdutos[Produto],0)),"Não")</f>
        <v>Não</v>
      </c>
      <c r="O7631" t="str">
        <f>IFERROR(INDEX(tEditais[SRP],MATCH(tItens[[#This Row],[Edital]],tEditais[Edital],0)),"Não")</f>
        <v>Não</v>
      </c>
      <c r="P7631" s="4">
        <f>IF(COUNTIFS(INDEX(tItens[Edital],1):tItens[[#This Row],[Edital]],tItens[[#This Row],[Edital]],INDEX(tItens[Produto],1):tItens[[#This Row],[Produto]],tItens[[#This Row],[Produto]])=1,1,0)</f>
        <v>1</v>
      </c>
    </row>
    <row r="7632" spans="1:16" x14ac:dyDescent="0.25">
      <c r="A7632" t="s">
        <v>2536</v>
      </c>
      <c r="B7632">
        <v>69</v>
      </c>
      <c r="C7632" t="s">
        <v>10206</v>
      </c>
      <c r="D7632" t="s">
        <v>375</v>
      </c>
      <c r="E7632" s="13">
        <v>20</v>
      </c>
      <c r="F7632" s="12">
        <v>484.78</v>
      </c>
      <c r="G7632" t="str">
        <f>IFERROR(INDEX(tEditais[Órgão],MATCH(tItens[[#This Row],[Edital]],tEditais[Edital],0)),"")</f>
        <v>COMANDO DO EXERCITO</v>
      </c>
      <c r="H7632" t="str">
        <f>IFERROR(INDEX(tEditais[UF],MATCH(tItens[[#This Row],[Edital]],tEditais[Edital],0)),"")</f>
        <v>RS</v>
      </c>
      <c r="I7632" s="11">
        <f>IFERROR(INDEX(tEditais[Encerramento],MATCH(tItens[[#This Row],[Edital]],tEditais[Edital],0)),"")</f>
        <v>46308.375</v>
      </c>
      <c r="J7632" t="str">
        <f>IFERROR(INDEX(tProdutos[Classe],MATCH(tItens[[#This Row],[Produto]],tProdutos[Produto],0)),"produto não cadastrado")</f>
        <v>FORA</v>
      </c>
      <c r="K7632" s="12">
        <f>tItens[[#This Row],[Qtd]]*tItens[[#This Row],[Vlr unit]]</f>
        <v>9695.5999999999985</v>
      </c>
      <c r="L7632" s="6">
        <f>IFERROR(IF(INDEX(tProdutos[Desconto homologado],MATCH(tItens[[#This Row],[Produto]],tProdutos[Produto],0))="",DescontoPadrao,INDEX(tProdutos[Desconto homologado],MATCH(tItens[[#This Row],[Produto]],tProdutos[Produto],0))),DescontoPadrao)</f>
        <v>0.25005895299481201</v>
      </c>
      <c r="M7632" s="12">
        <f>tItens[[#This Row],[Valor]]*(1-tItens[[#This Row],[Desconto]])</f>
        <v>7271.128415343499</v>
      </c>
      <c r="N7632" t="str">
        <f>IFERROR(INDEX(tProdutos[Foco],MATCH(tItens[[#This Row],[Produto]],tProdutos[Produto],0)),"Não")</f>
        <v>Não</v>
      </c>
      <c r="O7632" t="str">
        <f>IFERROR(INDEX(tEditais[SRP],MATCH(tItens[[#This Row],[Edital]],tEditais[Edital],0)),"Não")</f>
        <v>Não</v>
      </c>
      <c r="P7632" s="4">
        <f>IF(COUNTIFS(INDEX(tItens[Edital],1):tItens[[#This Row],[Edital]],tItens[[#This Row],[Edital]],INDEX(tItens[Produto],1):tItens[[#This Row],[Produto]],tItens[[#This Row],[Produto]])=1,1,0)</f>
        <v>0</v>
      </c>
    </row>
    <row r="7633" spans="1:16" x14ac:dyDescent="0.25">
      <c r="A7633" t="s">
        <v>2536</v>
      </c>
      <c r="B7633">
        <v>70</v>
      </c>
      <c r="C7633" t="s">
        <v>10207</v>
      </c>
      <c r="D7633" t="s">
        <v>375</v>
      </c>
      <c r="E7633" s="13">
        <v>20</v>
      </c>
      <c r="F7633" s="12">
        <v>352.07</v>
      </c>
      <c r="G7633" t="str">
        <f>IFERROR(INDEX(tEditais[Órgão],MATCH(tItens[[#This Row],[Edital]],tEditais[Edital],0)),"")</f>
        <v>COMANDO DO EXERCITO</v>
      </c>
      <c r="H7633" t="str">
        <f>IFERROR(INDEX(tEditais[UF],MATCH(tItens[[#This Row],[Edital]],tEditais[Edital],0)),"")</f>
        <v>RS</v>
      </c>
      <c r="I7633" s="11">
        <f>IFERROR(INDEX(tEditais[Encerramento],MATCH(tItens[[#This Row],[Edital]],tEditais[Edital],0)),"")</f>
        <v>46308.375</v>
      </c>
      <c r="J7633" t="str">
        <f>IFERROR(INDEX(tProdutos[Classe],MATCH(tItens[[#This Row],[Produto]],tProdutos[Produto],0)),"produto não cadastrado")</f>
        <v>FORA</v>
      </c>
      <c r="K7633" s="12">
        <f>tItens[[#This Row],[Qtd]]*tItens[[#This Row],[Vlr unit]]</f>
        <v>7041.4</v>
      </c>
      <c r="L7633" s="6">
        <f>IFERROR(IF(INDEX(tProdutos[Desconto homologado],MATCH(tItens[[#This Row],[Produto]],tProdutos[Produto],0))="",DescontoPadrao,INDEX(tProdutos[Desconto homologado],MATCH(tItens[[#This Row],[Produto]],tProdutos[Produto],0))),DescontoPadrao)</f>
        <v>0.25005895299481201</v>
      </c>
      <c r="M7633" s="12">
        <f>tItens[[#This Row],[Valor]]*(1-tItens[[#This Row],[Desconto]])</f>
        <v>5280.6348883823302</v>
      </c>
      <c r="N7633" t="str">
        <f>IFERROR(INDEX(tProdutos[Foco],MATCH(tItens[[#This Row],[Produto]],tProdutos[Produto],0)),"Não")</f>
        <v>Não</v>
      </c>
      <c r="O7633" t="str">
        <f>IFERROR(INDEX(tEditais[SRP],MATCH(tItens[[#This Row],[Edital]],tEditais[Edital],0)),"Não")</f>
        <v>Não</v>
      </c>
      <c r="P7633" s="4">
        <f>IF(COUNTIFS(INDEX(tItens[Edital],1):tItens[[#This Row],[Edital]],tItens[[#This Row],[Edital]],INDEX(tItens[Produto],1):tItens[[#This Row],[Produto]],tItens[[#This Row],[Produto]])=1,1,0)</f>
        <v>0</v>
      </c>
    </row>
    <row r="7634" spans="1:16" x14ac:dyDescent="0.25">
      <c r="A7634" t="s">
        <v>2536</v>
      </c>
      <c r="B7634">
        <v>71</v>
      </c>
      <c r="C7634" t="s">
        <v>4189</v>
      </c>
      <c r="D7634" t="s">
        <v>315</v>
      </c>
      <c r="E7634" s="13">
        <v>10</v>
      </c>
      <c r="F7634" s="12">
        <v>24.8</v>
      </c>
      <c r="G7634" t="str">
        <f>IFERROR(INDEX(tEditais[Órgão],MATCH(tItens[[#This Row],[Edital]],tEditais[Edital],0)),"")</f>
        <v>COMANDO DO EXERCITO</v>
      </c>
      <c r="H7634" t="str">
        <f>IFERROR(INDEX(tEditais[UF],MATCH(tItens[[#This Row],[Edital]],tEditais[Edital],0)),"")</f>
        <v>RS</v>
      </c>
      <c r="I7634" s="11">
        <f>IFERROR(INDEX(tEditais[Encerramento],MATCH(tItens[[#This Row],[Edital]],tEditais[Edital],0)),"")</f>
        <v>46308.375</v>
      </c>
      <c r="J7634" t="str">
        <f>IFERROR(INDEX(tProdutos[Classe],MATCH(tItens[[#This Row],[Produto]],tProdutos[Produto],0)),"produto não cadastrado")</f>
        <v>FORA</v>
      </c>
      <c r="K7634" s="12">
        <f>tItens[[#This Row],[Qtd]]*tItens[[#This Row],[Vlr unit]]</f>
        <v>248</v>
      </c>
      <c r="L7634" s="6">
        <f>IFERROR(IF(INDEX(tProdutos[Desconto homologado],MATCH(tItens[[#This Row],[Produto]],tProdutos[Produto],0))="",DescontoPadrao,INDEX(tProdutos[Desconto homologado],MATCH(tItens[[#This Row],[Produto]],tProdutos[Produto],0))),DescontoPadrao)</f>
        <v>0.38432036097010702</v>
      </c>
      <c r="M7634" s="12">
        <f>tItens[[#This Row],[Valor]]*(1-tItens[[#This Row],[Desconto]])</f>
        <v>152.68855047941346</v>
      </c>
      <c r="N7634" t="str">
        <f>IFERROR(INDEX(tProdutos[Foco],MATCH(tItens[[#This Row],[Produto]],tProdutos[Produto],0)),"Não")</f>
        <v>Não</v>
      </c>
      <c r="O7634" t="str">
        <f>IFERROR(INDEX(tEditais[SRP],MATCH(tItens[[#This Row],[Edital]],tEditais[Edital],0)),"Não")</f>
        <v>Não</v>
      </c>
      <c r="P7634" s="4">
        <f>IF(COUNTIFS(INDEX(tItens[Edital],1):tItens[[#This Row],[Edital]],tItens[[#This Row],[Edital]],INDEX(tItens[Produto],1):tItens[[#This Row],[Produto]],tItens[[#This Row],[Produto]])=1,1,0)</f>
        <v>0</v>
      </c>
    </row>
    <row r="7635" spans="1:16" x14ac:dyDescent="0.25">
      <c r="A7635" t="s">
        <v>2536</v>
      </c>
      <c r="B7635">
        <v>75</v>
      </c>
      <c r="C7635" t="s">
        <v>3480</v>
      </c>
      <c r="D7635" t="s">
        <v>315</v>
      </c>
      <c r="E7635" s="13">
        <v>11</v>
      </c>
      <c r="F7635" s="12">
        <v>19.2</v>
      </c>
      <c r="G7635" t="str">
        <f>IFERROR(INDEX(tEditais[Órgão],MATCH(tItens[[#This Row],[Edital]],tEditais[Edital],0)),"")</f>
        <v>COMANDO DO EXERCITO</v>
      </c>
      <c r="H7635" t="str">
        <f>IFERROR(INDEX(tEditais[UF],MATCH(tItens[[#This Row],[Edital]],tEditais[Edital],0)),"")</f>
        <v>RS</v>
      </c>
      <c r="I7635" s="11">
        <f>IFERROR(INDEX(tEditais[Encerramento],MATCH(tItens[[#This Row],[Edital]],tEditais[Edital],0)),"")</f>
        <v>46308.375</v>
      </c>
      <c r="J7635" t="str">
        <f>IFERROR(INDEX(tProdutos[Classe],MATCH(tItens[[#This Row],[Produto]],tProdutos[Produto],0)),"produto não cadastrado")</f>
        <v>FORA</v>
      </c>
      <c r="K7635" s="12">
        <f>tItens[[#This Row],[Qtd]]*tItens[[#This Row],[Vlr unit]]</f>
        <v>211.2</v>
      </c>
      <c r="L7635" s="6">
        <f>IFERROR(IF(INDEX(tProdutos[Desconto homologado],MATCH(tItens[[#This Row],[Produto]],tProdutos[Produto],0))="",DescontoPadrao,INDEX(tProdutos[Desconto homologado],MATCH(tItens[[#This Row],[Produto]],tProdutos[Produto],0))),DescontoPadrao)</f>
        <v>0.38432036097010702</v>
      </c>
      <c r="M7635" s="12">
        <f>tItens[[#This Row],[Valor]]*(1-tItens[[#This Row],[Desconto]])</f>
        <v>130.03153976311339</v>
      </c>
      <c r="N7635" t="str">
        <f>IFERROR(INDEX(tProdutos[Foco],MATCH(tItens[[#This Row],[Produto]],tProdutos[Produto],0)),"Não")</f>
        <v>Não</v>
      </c>
      <c r="O7635" t="str">
        <f>IFERROR(INDEX(tEditais[SRP],MATCH(tItens[[#This Row],[Edital]],tEditais[Edital],0)),"Não")</f>
        <v>Não</v>
      </c>
      <c r="P7635" s="4">
        <f>IF(COUNTIFS(INDEX(tItens[Edital],1):tItens[[#This Row],[Edital]],tItens[[#This Row],[Edital]],INDEX(tItens[Produto],1):tItens[[#This Row],[Produto]],tItens[[#This Row],[Produto]])=1,1,0)</f>
        <v>0</v>
      </c>
    </row>
    <row r="7636" spans="1:16" x14ac:dyDescent="0.25">
      <c r="A7636" t="s">
        <v>2536</v>
      </c>
      <c r="B7636">
        <v>76</v>
      </c>
      <c r="C7636" t="s">
        <v>3482</v>
      </c>
      <c r="D7636" t="s">
        <v>315</v>
      </c>
      <c r="E7636" s="13">
        <v>14</v>
      </c>
      <c r="F7636" s="12">
        <v>21</v>
      </c>
      <c r="G7636" t="str">
        <f>IFERROR(INDEX(tEditais[Órgão],MATCH(tItens[[#This Row],[Edital]],tEditais[Edital],0)),"")</f>
        <v>COMANDO DO EXERCITO</v>
      </c>
      <c r="H7636" t="str">
        <f>IFERROR(INDEX(tEditais[UF],MATCH(tItens[[#This Row],[Edital]],tEditais[Edital],0)),"")</f>
        <v>RS</v>
      </c>
      <c r="I7636" s="11">
        <f>IFERROR(INDEX(tEditais[Encerramento],MATCH(tItens[[#This Row],[Edital]],tEditais[Edital],0)),"")</f>
        <v>46308.375</v>
      </c>
      <c r="J7636" t="str">
        <f>IFERROR(INDEX(tProdutos[Classe],MATCH(tItens[[#This Row],[Produto]],tProdutos[Produto],0)),"produto não cadastrado")</f>
        <v>FORA</v>
      </c>
      <c r="K7636" s="12">
        <f>tItens[[#This Row],[Qtd]]*tItens[[#This Row],[Vlr unit]]</f>
        <v>294</v>
      </c>
      <c r="L7636" s="6">
        <f>IFERROR(IF(INDEX(tProdutos[Desconto homologado],MATCH(tItens[[#This Row],[Produto]],tProdutos[Produto],0))="",DescontoPadrao,INDEX(tProdutos[Desconto homologado],MATCH(tItens[[#This Row],[Produto]],tProdutos[Produto],0))),DescontoPadrao)</f>
        <v>0.38432036097010702</v>
      </c>
      <c r="M7636" s="12">
        <f>tItens[[#This Row],[Valor]]*(1-tItens[[#This Row],[Desconto]])</f>
        <v>181.00981387478853</v>
      </c>
      <c r="N7636" t="str">
        <f>IFERROR(INDEX(tProdutos[Foco],MATCH(tItens[[#This Row],[Produto]],tProdutos[Produto],0)),"Não")</f>
        <v>Não</v>
      </c>
      <c r="O7636" t="str">
        <f>IFERROR(INDEX(tEditais[SRP],MATCH(tItens[[#This Row],[Edital]],tEditais[Edital],0)),"Não")</f>
        <v>Não</v>
      </c>
      <c r="P7636" s="4">
        <f>IF(COUNTIFS(INDEX(tItens[Edital],1):tItens[[#This Row],[Edital]],tItens[[#This Row],[Edital]],INDEX(tItens[Produto],1):tItens[[#This Row],[Produto]],tItens[[#This Row],[Produto]])=1,1,0)</f>
        <v>0</v>
      </c>
    </row>
    <row r="7637" spans="1:16" x14ac:dyDescent="0.25">
      <c r="A7637" t="s">
        <v>2536</v>
      </c>
      <c r="B7637">
        <v>79</v>
      </c>
      <c r="C7637" t="s">
        <v>10208</v>
      </c>
      <c r="D7637" t="s">
        <v>56</v>
      </c>
      <c r="E7637" s="13">
        <v>22</v>
      </c>
      <c r="F7637" s="12">
        <v>26.67</v>
      </c>
      <c r="G7637" t="str">
        <f>IFERROR(INDEX(tEditais[Órgão],MATCH(tItens[[#This Row],[Edital]],tEditais[Edital],0)),"")</f>
        <v>COMANDO DO EXERCITO</v>
      </c>
      <c r="H7637" t="str">
        <f>IFERROR(INDEX(tEditais[UF],MATCH(tItens[[#This Row],[Edital]],tEditais[Edital],0)),"")</f>
        <v>RS</v>
      </c>
      <c r="I7637" s="11">
        <f>IFERROR(INDEX(tEditais[Encerramento],MATCH(tItens[[#This Row],[Edital]],tEditais[Edital],0)),"")</f>
        <v>46308.375</v>
      </c>
      <c r="J7637" t="str">
        <f>IFERROR(INDEX(tProdutos[Classe],MATCH(tItens[[#This Row],[Produto]],tProdutos[Produto],0)),"produto não cadastrado")</f>
        <v>NÚCLEO</v>
      </c>
      <c r="K7637" s="12">
        <f>tItens[[#This Row],[Qtd]]*tItens[[#This Row],[Vlr unit]]</f>
        <v>586.74</v>
      </c>
      <c r="L7637" s="6">
        <f>IFERROR(IF(INDEX(tProdutos[Desconto homologado],MATCH(tItens[[#This Row],[Produto]],tProdutos[Produto],0))="",DescontoPadrao,INDEX(tProdutos[Desconto homologado],MATCH(tItens[[#This Row],[Produto]],tProdutos[Produto],0))),DescontoPadrao)</f>
        <v>0.34</v>
      </c>
      <c r="M7637" s="12">
        <f>tItens[[#This Row],[Valor]]*(1-tItens[[#This Row],[Desconto]])</f>
        <v>387.24839999999995</v>
      </c>
      <c r="N7637" t="str">
        <f>IFERROR(INDEX(tProdutos[Foco],MATCH(tItens[[#This Row],[Produto]],tProdutos[Produto],0)),"Não")</f>
        <v>Sim</v>
      </c>
      <c r="O7637" t="str">
        <f>IFERROR(INDEX(tEditais[SRP],MATCH(tItens[[#This Row],[Edital]],tEditais[Edital],0)),"Não")</f>
        <v>Não</v>
      </c>
      <c r="P7637" s="4">
        <f>IF(COUNTIFS(INDEX(tItens[Edital],1):tItens[[#This Row],[Edital]],tItens[[#This Row],[Edital]],INDEX(tItens[Produto],1):tItens[[#This Row],[Produto]],tItens[[#This Row],[Produto]])=1,1,0)</f>
        <v>1</v>
      </c>
    </row>
    <row r="7638" spans="1:16" x14ac:dyDescent="0.25">
      <c r="A7638" t="s">
        <v>2539</v>
      </c>
      <c r="B7638">
        <v>184</v>
      </c>
      <c r="C7638" t="s">
        <v>10209</v>
      </c>
      <c r="D7638" t="s">
        <v>339</v>
      </c>
      <c r="E7638" s="13">
        <v>15000</v>
      </c>
      <c r="F7638" s="12">
        <v>0.52</v>
      </c>
      <c r="G7638" t="str">
        <f>IFERROR(INDEX(tEditais[Órgão],MATCH(tItens[[#This Row],[Edital]],tEditais[Edital],0)),"")</f>
        <v>MUNICIPIO DE NOVA SANTA RITA</v>
      </c>
      <c r="H7638" t="str">
        <f>IFERROR(INDEX(tEditais[UF],MATCH(tItens[[#This Row],[Edital]],tEditais[Edital],0)),"")</f>
        <v>RS</v>
      </c>
      <c r="I7638" s="11">
        <f>IFERROR(INDEX(tEditais[Encerramento],MATCH(tItens[[#This Row],[Edital]],tEditais[Edital],0)),"")</f>
        <v>46308.375</v>
      </c>
      <c r="J7638" t="str">
        <f>IFERROR(INDEX(tProdutos[Classe],MATCH(tItens[[#This Row],[Produto]],tProdutos[Produto],0)),"produto não cadastrado")</f>
        <v>FORA</v>
      </c>
      <c r="K7638" s="12">
        <f>tItens[[#This Row],[Qtd]]*tItens[[#This Row],[Vlr unit]]</f>
        <v>7800</v>
      </c>
      <c r="L7638" s="6">
        <f>IFERROR(IF(INDEX(tProdutos[Desconto homologado],MATCH(tItens[[#This Row],[Produto]],tProdutos[Produto],0))="",DescontoPadrao,INDEX(tProdutos[Desconto homologado],MATCH(tItens[[#This Row],[Produto]],tProdutos[Produto],0))),DescontoPadrao)</f>
        <v>0.35388629091804102</v>
      </c>
      <c r="M7638" s="12">
        <f>tItens[[#This Row],[Valor]]*(1-tItens[[#This Row],[Desconto]])</f>
        <v>5039.6869308392797</v>
      </c>
      <c r="N7638" t="str">
        <f>IFERROR(INDEX(tProdutos[Foco],MATCH(tItens[[#This Row],[Produto]],tProdutos[Produto],0)),"Não")</f>
        <v>Não</v>
      </c>
      <c r="O7638" t="str">
        <f>IFERROR(INDEX(tEditais[SRP],MATCH(tItens[[#This Row],[Edital]],tEditais[Edital],0)),"Não")</f>
        <v>Sim</v>
      </c>
      <c r="P7638" s="4">
        <f>IF(COUNTIFS(INDEX(tItens[Edital],1):tItens[[#This Row],[Edital]],tItens[[#This Row],[Edital]],INDEX(tItens[Produto],1):tItens[[#This Row],[Produto]],tItens[[#This Row],[Produto]])=1,1,0)</f>
        <v>1</v>
      </c>
    </row>
    <row r="7639" spans="1:16" x14ac:dyDescent="0.25">
      <c r="A7639" t="s">
        <v>2539</v>
      </c>
      <c r="B7639">
        <v>185</v>
      </c>
      <c r="C7639" t="s">
        <v>10210</v>
      </c>
      <c r="D7639" t="s">
        <v>339</v>
      </c>
      <c r="E7639" s="13">
        <v>15000</v>
      </c>
      <c r="F7639" s="12">
        <v>0.53</v>
      </c>
      <c r="G7639" t="str">
        <f>IFERROR(INDEX(tEditais[Órgão],MATCH(tItens[[#This Row],[Edital]],tEditais[Edital],0)),"")</f>
        <v>MUNICIPIO DE NOVA SANTA RITA</v>
      </c>
      <c r="H7639" t="str">
        <f>IFERROR(INDEX(tEditais[UF],MATCH(tItens[[#This Row],[Edital]],tEditais[Edital],0)),"")</f>
        <v>RS</v>
      </c>
      <c r="I7639" s="11">
        <f>IFERROR(INDEX(tEditais[Encerramento],MATCH(tItens[[#This Row],[Edital]],tEditais[Edital],0)),"")</f>
        <v>46308.375</v>
      </c>
      <c r="J7639" t="str">
        <f>IFERROR(INDEX(tProdutos[Classe],MATCH(tItens[[#This Row],[Produto]],tProdutos[Produto],0)),"produto não cadastrado")</f>
        <v>FORA</v>
      </c>
      <c r="K7639" s="12">
        <f>tItens[[#This Row],[Qtd]]*tItens[[#This Row],[Vlr unit]]</f>
        <v>7950</v>
      </c>
      <c r="L7639" s="6">
        <f>IFERROR(IF(INDEX(tProdutos[Desconto homologado],MATCH(tItens[[#This Row],[Produto]],tProdutos[Produto],0))="",DescontoPadrao,INDEX(tProdutos[Desconto homologado],MATCH(tItens[[#This Row],[Produto]],tProdutos[Produto],0))),DescontoPadrao)</f>
        <v>0.35388629091804102</v>
      </c>
      <c r="M7639" s="12">
        <f>tItens[[#This Row],[Valor]]*(1-tItens[[#This Row],[Desconto]])</f>
        <v>5136.6039872015735</v>
      </c>
      <c r="N7639" t="str">
        <f>IFERROR(INDEX(tProdutos[Foco],MATCH(tItens[[#This Row],[Produto]],tProdutos[Produto],0)),"Não")</f>
        <v>Não</v>
      </c>
      <c r="O7639" t="str">
        <f>IFERROR(INDEX(tEditais[SRP],MATCH(tItens[[#This Row],[Edital]],tEditais[Edital],0)),"Não")</f>
        <v>Sim</v>
      </c>
      <c r="P7639" s="4">
        <f>IF(COUNTIFS(INDEX(tItens[Edital],1):tItens[[#This Row],[Edital]],tItens[[#This Row],[Edital]],INDEX(tItens[Produto],1):tItens[[#This Row],[Produto]],tItens[[#This Row],[Produto]])=1,1,0)</f>
        <v>0</v>
      </c>
    </row>
    <row r="7640" spans="1:16" x14ac:dyDescent="0.25">
      <c r="A7640" t="s">
        <v>2539</v>
      </c>
      <c r="B7640">
        <v>186</v>
      </c>
      <c r="C7640" t="s">
        <v>10211</v>
      </c>
      <c r="D7640" t="s">
        <v>339</v>
      </c>
      <c r="E7640" s="13">
        <v>15000</v>
      </c>
      <c r="F7640" s="12">
        <v>0.57999999999999996</v>
      </c>
      <c r="G7640" t="str">
        <f>IFERROR(INDEX(tEditais[Órgão],MATCH(tItens[[#This Row],[Edital]],tEditais[Edital],0)),"")</f>
        <v>MUNICIPIO DE NOVA SANTA RITA</v>
      </c>
      <c r="H7640" t="str">
        <f>IFERROR(INDEX(tEditais[UF],MATCH(tItens[[#This Row],[Edital]],tEditais[Edital],0)),"")</f>
        <v>RS</v>
      </c>
      <c r="I7640" s="11">
        <f>IFERROR(INDEX(tEditais[Encerramento],MATCH(tItens[[#This Row],[Edital]],tEditais[Edital],0)),"")</f>
        <v>46308.375</v>
      </c>
      <c r="J7640" t="str">
        <f>IFERROR(INDEX(tProdutos[Classe],MATCH(tItens[[#This Row],[Produto]],tProdutos[Produto],0)),"produto não cadastrado")</f>
        <v>FORA</v>
      </c>
      <c r="K7640" s="12">
        <f>tItens[[#This Row],[Qtd]]*tItens[[#This Row],[Vlr unit]]</f>
        <v>8700</v>
      </c>
      <c r="L7640" s="6">
        <f>IFERROR(IF(INDEX(tProdutos[Desconto homologado],MATCH(tItens[[#This Row],[Produto]],tProdutos[Produto],0))="",DescontoPadrao,INDEX(tProdutos[Desconto homologado],MATCH(tItens[[#This Row],[Produto]],tProdutos[Produto],0))),DescontoPadrao)</f>
        <v>0.35388629091804102</v>
      </c>
      <c r="M7640" s="12">
        <f>tItens[[#This Row],[Valor]]*(1-tItens[[#This Row],[Desconto]])</f>
        <v>5621.1892690130435</v>
      </c>
      <c r="N7640" t="str">
        <f>IFERROR(INDEX(tProdutos[Foco],MATCH(tItens[[#This Row],[Produto]],tProdutos[Produto],0)),"Não")</f>
        <v>Não</v>
      </c>
      <c r="O7640" t="str">
        <f>IFERROR(INDEX(tEditais[SRP],MATCH(tItens[[#This Row],[Edital]],tEditais[Edital],0)),"Não")</f>
        <v>Sim</v>
      </c>
      <c r="P7640" s="4">
        <f>IF(COUNTIFS(INDEX(tItens[Edital],1):tItens[[#This Row],[Edital]],tItens[[#This Row],[Edital]],INDEX(tItens[Produto],1):tItens[[#This Row],[Produto]],tItens[[#This Row],[Produto]])=1,1,0)</f>
        <v>0</v>
      </c>
    </row>
    <row r="7641" spans="1:16" x14ac:dyDescent="0.25">
      <c r="A7641" t="s">
        <v>2539</v>
      </c>
      <c r="B7641">
        <v>187</v>
      </c>
      <c r="C7641" t="s">
        <v>10212</v>
      </c>
      <c r="D7641" t="s">
        <v>339</v>
      </c>
      <c r="E7641" s="13">
        <v>15000</v>
      </c>
      <c r="F7641" s="12">
        <v>0.61</v>
      </c>
      <c r="G7641" t="str">
        <f>IFERROR(INDEX(tEditais[Órgão],MATCH(tItens[[#This Row],[Edital]],tEditais[Edital],0)),"")</f>
        <v>MUNICIPIO DE NOVA SANTA RITA</v>
      </c>
      <c r="H7641" t="str">
        <f>IFERROR(INDEX(tEditais[UF],MATCH(tItens[[#This Row],[Edital]],tEditais[Edital],0)),"")</f>
        <v>RS</v>
      </c>
      <c r="I7641" s="11">
        <f>IFERROR(INDEX(tEditais[Encerramento],MATCH(tItens[[#This Row],[Edital]],tEditais[Edital],0)),"")</f>
        <v>46308.375</v>
      </c>
      <c r="J7641" t="str">
        <f>IFERROR(INDEX(tProdutos[Classe],MATCH(tItens[[#This Row],[Produto]],tProdutos[Produto],0)),"produto não cadastrado")</f>
        <v>FORA</v>
      </c>
      <c r="K7641" s="12">
        <f>tItens[[#This Row],[Qtd]]*tItens[[#This Row],[Vlr unit]]</f>
        <v>9150</v>
      </c>
      <c r="L7641" s="6">
        <f>IFERROR(IF(INDEX(tProdutos[Desconto homologado],MATCH(tItens[[#This Row],[Produto]],tProdutos[Produto],0))="",DescontoPadrao,INDEX(tProdutos[Desconto homologado],MATCH(tItens[[#This Row],[Produto]],tProdutos[Produto],0))),DescontoPadrao)</f>
        <v>0.35388629091804102</v>
      </c>
      <c r="M7641" s="12">
        <f>tItens[[#This Row],[Valor]]*(1-tItens[[#This Row],[Desconto]])</f>
        <v>5911.9404380999249</v>
      </c>
      <c r="N7641" t="str">
        <f>IFERROR(INDEX(tProdutos[Foco],MATCH(tItens[[#This Row],[Produto]],tProdutos[Produto],0)),"Não")</f>
        <v>Não</v>
      </c>
      <c r="O7641" t="str">
        <f>IFERROR(INDEX(tEditais[SRP],MATCH(tItens[[#This Row],[Edital]],tEditais[Edital],0)),"Não")</f>
        <v>Sim</v>
      </c>
      <c r="P7641" s="4">
        <f>IF(COUNTIFS(INDEX(tItens[Edital],1):tItens[[#This Row],[Edital]],tItens[[#This Row],[Edital]],INDEX(tItens[Produto],1):tItens[[#This Row],[Produto]],tItens[[#This Row],[Produto]])=1,1,0)</f>
        <v>0</v>
      </c>
    </row>
    <row r="7642" spans="1:16" x14ac:dyDescent="0.25">
      <c r="A7642" t="s">
        <v>2539</v>
      </c>
      <c r="B7642">
        <v>188</v>
      </c>
      <c r="C7642" t="s">
        <v>10213</v>
      </c>
      <c r="D7642" t="s">
        <v>339</v>
      </c>
      <c r="E7642" s="13">
        <v>15000</v>
      </c>
      <c r="F7642" s="12">
        <v>0.69</v>
      </c>
      <c r="G7642" t="str">
        <f>IFERROR(INDEX(tEditais[Órgão],MATCH(tItens[[#This Row],[Edital]],tEditais[Edital],0)),"")</f>
        <v>MUNICIPIO DE NOVA SANTA RITA</v>
      </c>
      <c r="H7642" t="str">
        <f>IFERROR(INDEX(tEditais[UF],MATCH(tItens[[#This Row],[Edital]],tEditais[Edital],0)),"")</f>
        <v>RS</v>
      </c>
      <c r="I7642" s="11">
        <f>IFERROR(INDEX(tEditais[Encerramento],MATCH(tItens[[#This Row],[Edital]],tEditais[Edital],0)),"")</f>
        <v>46308.375</v>
      </c>
      <c r="J7642" t="str">
        <f>IFERROR(INDEX(tProdutos[Classe],MATCH(tItens[[#This Row],[Produto]],tProdutos[Produto],0)),"produto não cadastrado")</f>
        <v>FORA</v>
      </c>
      <c r="K7642" s="12">
        <f>tItens[[#This Row],[Qtd]]*tItens[[#This Row],[Vlr unit]]</f>
        <v>10350</v>
      </c>
      <c r="L7642" s="6">
        <f>IFERROR(IF(INDEX(tProdutos[Desconto homologado],MATCH(tItens[[#This Row],[Produto]],tProdutos[Produto],0))="",DescontoPadrao,INDEX(tProdutos[Desconto homologado],MATCH(tItens[[#This Row],[Produto]],tProdutos[Produto],0))),DescontoPadrao)</f>
        <v>0.35388629091804102</v>
      </c>
      <c r="M7642" s="12">
        <f>tItens[[#This Row],[Valor]]*(1-tItens[[#This Row],[Desconto]])</f>
        <v>6687.2768889982754</v>
      </c>
      <c r="N7642" t="str">
        <f>IFERROR(INDEX(tProdutos[Foco],MATCH(tItens[[#This Row],[Produto]],tProdutos[Produto],0)),"Não")</f>
        <v>Não</v>
      </c>
      <c r="O7642" t="str">
        <f>IFERROR(INDEX(tEditais[SRP],MATCH(tItens[[#This Row],[Edital]],tEditais[Edital],0)),"Não")</f>
        <v>Sim</v>
      </c>
      <c r="P7642" s="4">
        <f>IF(COUNTIFS(INDEX(tItens[Edital],1):tItens[[#This Row],[Edital]],tItens[[#This Row],[Edital]],INDEX(tItens[Produto],1):tItens[[#This Row],[Produto]],tItens[[#This Row],[Produto]])=1,1,0)</f>
        <v>0</v>
      </c>
    </row>
    <row r="7643" spans="1:16" x14ac:dyDescent="0.25">
      <c r="A7643" t="s">
        <v>2543</v>
      </c>
      <c r="B7643">
        <v>3</v>
      </c>
      <c r="C7643" t="s">
        <v>10214</v>
      </c>
      <c r="D7643" t="s">
        <v>551</v>
      </c>
      <c r="E7643" s="13">
        <v>2500</v>
      </c>
      <c r="F7643" s="12">
        <v>71.86</v>
      </c>
      <c r="G7643" t="str">
        <f>IFERROR(INDEX(tEditais[Órgão],MATCH(tItens[[#This Row],[Edital]],tEditais[Edital],0)),"")</f>
        <v>SUBSECRETARIA DA ADMINISTRACAO CENTRAL DE LICITACOES</v>
      </c>
      <c r="H7643" t="str">
        <f>IFERROR(INDEX(tEditais[UF],MATCH(tItens[[#This Row],[Edital]],tEditais[Edital],0)),"")</f>
        <v>RS</v>
      </c>
      <c r="I7643" s="11">
        <f>IFERROR(INDEX(tEditais[Encerramento],MATCH(tItens[[#This Row],[Edital]],tEditais[Edital],0)),"")</f>
        <v>46308.375</v>
      </c>
      <c r="J7643" t="str">
        <f>IFERROR(INDEX(tProdutos[Classe],MATCH(tItens[[#This Row],[Produto]],tProdutos[Produto],0)),"produto não cadastrado")</f>
        <v>FILA REBASE</v>
      </c>
      <c r="K7643" s="12">
        <f>tItens[[#This Row],[Qtd]]*tItens[[#This Row],[Vlr unit]]</f>
        <v>179650</v>
      </c>
      <c r="L7643" s="6">
        <f>IFERROR(IF(INDEX(tProdutos[Desconto homologado],MATCH(tItens[[#This Row],[Produto]],tProdutos[Produto],0))="",DescontoPadrao,INDEX(tProdutos[Desconto homologado],MATCH(tItens[[#This Row],[Produto]],tProdutos[Produto],0))),DescontoPadrao)</f>
        <v>0.71401513972830499</v>
      </c>
      <c r="M7643" s="12">
        <f>tItens[[#This Row],[Valor]]*(1-tItens[[#This Row],[Desconto]])</f>
        <v>51377.18014781001</v>
      </c>
      <c r="N7643" t="str">
        <f>IFERROR(INDEX(tProdutos[Foco],MATCH(tItens[[#This Row],[Produto]],tProdutos[Produto],0)),"Não")</f>
        <v>Não</v>
      </c>
      <c r="O7643" t="str">
        <f>IFERROR(INDEX(tEditais[SRP],MATCH(tItens[[#This Row],[Edital]],tEditais[Edital],0)),"Não")</f>
        <v>Não</v>
      </c>
      <c r="P7643" s="4">
        <f>IF(COUNTIFS(INDEX(tItens[Edital],1):tItens[[#This Row],[Edital]],tItens[[#This Row],[Edital]],INDEX(tItens[Produto],1):tItens[[#This Row],[Produto]],tItens[[#This Row],[Produto]])=1,1,0)</f>
        <v>1</v>
      </c>
    </row>
    <row r="7644" spans="1:16" x14ac:dyDescent="0.25">
      <c r="A7644" t="s">
        <v>2547</v>
      </c>
      <c r="B7644">
        <v>35</v>
      </c>
      <c r="C7644" t="s">
        <v>3881</v>
      </c>
      <c r="D7644" t="s">
        <v>411</v>
      </c>
      <c r="E7644" s="13">
        <v>1250</v>
      </c>
      <c r="F7644" s="12">
        <v>0</v>
      </c>
      <c r="G7644" t="str">
        <f>IFERROR(INDEX(tEditais[Órgão],MATCH(tItens[[#This Row],[Edital]],tEditais[Edital],0)),"")</f>
        <v>EMPRESA BRASILEIRA DE SERVICOS HOSPITALARES - EBSERH</v>
      </c>
      <c r="H7644" t="str">
        <f>IFERROR(INDEX(tEditais[UF],MATCH(tItens[[#This Row],[Edital]],tEditais[Edital],0)),"")</f>
        <v>RS</v>
      </c>
      <c r="I7644" s="11">
        <f>IFERROR(INDEX(tEditais[Encerramento],MATCH(tItens[[#This Row],[Edital]],tEditais[Edital],0)),"")</f>
        <v>46308.416666666664</v>
      </c>
      <c r="J7644" t="str">
        <f>IFERROR(INDEX(tProdutos[Classe],MATCH(tItens[[#This Row],[Produto]],tProdutos[Produto],0)),"produto não cadastrado")</f>
        <v>FORA</v>
      </c>
      <c r="K7644" s="12">
        <f>tItens[[#This Row],[Qtd]]*tItens[[#This Row],[Vlr unit]]</f>
        <v>0</v>
      </c>
      <c r="L7644" s="6">
        <f>IFERROR(IF(INDEX(tProdutos[Desconto homologado],MATCH(tItens[[#This Row],[Produto]],tProdutos[Produto],0))="",DescontoPadrao,INDEX(tProdutos[Desconto homologado],MATCH(tItens[[#This Row],[Produto]],tProdutos[Produto],0))),DescontoPadrao)</f>
        <v>0.50029835957199398</v>
      </c>
      <c r="M7644" s="12">
        <f>tItens[[#This Row],[Valor]]*(1-tItens[[#This Row],[Desconto]])</f>
        <v>0</v>
      </c>
      <c r="N7644" t="str">
        <f>IFERROR(INDEX(tProdutos[Foco],MATCH(tItens[[#This Row],[Produto]],tProdutos[Produto],0)),"Não")</f>
        <v>Não</v>
      </c>
      <c r="O7644" t="str">
        <f>IFERROR(INDEX(tEditais[SRP],MATCH(tItens[[#This Row],[Edital]],tEditais[Edital],0)),"Não")</f>
        <v>Sim</v>
      </c>
      <c r="P7644" s="4">
        <f>IF(COUNTIFS(INDEX(tItens[Edital],1):tItens[[#This Row],[Edital]],tItens[[#This Row],[Edital]],INDEX(tItens[Produto],1):tItens[[#This Row],[Produto]],tItens[[#This Row],[Produto]])=1,1,0)</f>
        <v>1</v>
      </c>
    </row>
    <row r="7645" spans="1:16" x14ac:dyDescent="0.25">
      <c r="A7645" t="s">
        <v>2547</v>
      </c>
      <c r="B7645">
        <v>44</v>
      </c>
      <c r="C7645" t="s">
        <v>10215</v>
      </c>
      <c r="D7645" t="s">
        <v>485</v>
      </c>
      <c r="E7645" s="13">
        <v>3300</v>
      </c>
      <c r="F7645" s="12">
        <v>0</v>
      </c>
      <c r="G7645" t="str">
        <f>IFERROR(INDEX(tEditais[Órgão],MATCH(tItens[[#This Row],[Edital]],tEditais[Edital],0)),"")</f>
        <v>EMPRESA BRASILEIRA DE SERVICOS HOSPITALARES - EBSERH</v>
      </c>
      <c r="H7645" t="str">
        <f>IFERROR(INDEX(tEditais[UF],MATCH(tItens[[#This Row],[Edital]],tEditais[Edital],0)),"")</f>
        <v>RS</v>
      </c>
      <c r="I7645" s="11">
        <f>IFERROR(INDEX(tEditais[Encerramento],MATCH(tItens[[#This Row],[Edital]],tEditais[Edital],0)),"")</f>
        <v>46308.416666666664</v>
      </c>
      <c r="J7645" t="str">
        <f>IFERROR(INDEX(tProdutos[Classe],MATCH(tItens[[#This Row],[Produto]],tProdutos[Produto],0)),"produto não cadastrado")</f>
        <v>FILA REBASE</v>
      </c>
      <c r="K7645" s="12">
        <f>tItens[[#This Row],[Qtd]]*tItens[[#This Row],[Vlr unit]]</f>
        <v>0</v>
      </c>
      <c r="L7645" s="6">
        <f>IFERROR(IF(INDEX(tProdutos[Desconto homologado],MATCH(tItens[[#This Row],[Produto]],tProdutos[Produto],0))="",DescontoPadrao,INDEX(tProdutos[Desconto homologado],MATCH(tItens[[#This Row],[Produto]],tProdutos[Produto],0))),DescontoPadrao)</f>
        <v>0.371991013159302</v>
      </c>
      <c r="M7645" s="12">
        <f>tItens[[#This Row],[Valor]]*(1-tItens[[#This Row],[Desconto]])</f>
        <v>0</v>
      </c>
      <c r="N7645" t="str">
        <f>IFERROR(INDEX(tProdutos[Foco],MATCH(tItens[[#This Row],[Produto]],tProdutos[Produto],0)),"Não")</f>
        <v>Não</v>
      </c>
      <c r="O7645" t="str">
        <f>IFERROR(INDEX(tEditais[SRP],MATCH(tItens[[#This Row],[Edital]],tEditais[Edital],0)),"Não")</f>
        <v>Sim</v>
      </c>
      <c r="P7645" s="4">
        <f>IF(COUNTIFS(INDEX(tItens[Edital],1):tItens[[#This Row],[Edital]],tItens[[#This Row],[Edital]],INDEX(tItens[Produto],1):tItens[[#This Row],[Produto]],tItens[[#This Row],[Produto]])=1,1,0)</f>
        <v>1</v>
      </c>
    </row>
    <row r="7646" spans="1:16" x14ac:dyDescent="0.25">
      <c r="A7646" t="s">
        <v>2547</v>
      </c>
      <c r="B7646">
        <v>45</v>
      </c>
      <c r="C7646" t="s">
        <v>10216</v>
      </c>
      <c r="D7646" t="s">
        <v>485</v>
      </c>
      <c r="E7646" s="13">
        <v>310</v>
      </c>
      <c r="F7646" s="12">
        <v>0</v>
      </c>
      <c r="G7646" t="str">
        <f>IFERROR(INDEX(tEditais[Órgão],MATCH(tItens[[#This Row],[Edital]],tEditais[Edital],0)),"")</f>
        <v>EMPRESA BRASILEIRA DE SERVICOS HOSPITALARES - EBSERH</v>
      </c>
      <c r="H7646" t="str">
        <f>IFERROR(INDEX(tEditais[UF],MATCH(tItens[[#This Row],[Edital]],tEditais[Edital],0)),"")</f>
        <v>RS</v>
      </c>
      <c r="I7646" s="11">
        <f>IFERROR(INDEX(tEditais[Encerramento],MATCH(tItens[[#This Row],[Edital]],tEditais[Edital],0)),"")</f>
        <v>46308.416666666664</v>
      </c>
      <c r="J7646" t="str">
        <f>IFERROR(INDEX(tProdutos[Classe],MATCH(tItens[[#This Row],[Produto]],tProdutos[Produto],0)),"produto não cadastrado")</f>
        <v>FILA REBASE</v>
      </c>
      <c r="K7646" s="12">
        <f>tItens[[#This Row],[Qtd]]*tItens[[#This Row],[Vlr unit]]</f>
        <v>0</v>
      </c>
      <c r="L7646" s="6">
        <f>IFERROR(IF(INDEX(tProdutos[Desconto homologado],MATCH(tItens[[#This Row],[Produto]],tProdutos[Produto],0))="",DescontoPadrao,INDEX(tProdutos[Desconto homologado],MATCH(tItens[[#This Row],[Produto]],tProdutos[Produto],0))),DescontoPadrao)</f>
        <v>0.371991013159302</v>
      </c>
      <c r="M7646" s="12">
        <f>tItens[[#This Row],[Valor]]*(1-tItens[[#This Row],[Desconto]])</f>
        <v>0</v>
      </c>
      <c r="N7646" t="str">
        <f>IFERROR(INDEX(tProdutos[Foco],MATCH(tItens[[#This Row],[Produto]],tProdutos[Produto],0)),"Não")</f>
        <v>Não</v>
      </c>
      <c r="O7646" t="str">
        <f>IFERROR(INDEX(tEditais[SRP],MATCH(tItens[[#This Row],[Edital]],tEditais[Edital],0)),"Não")</f>
        <v>Sim</v>
      </c>
      <c r="P7646" s="4">
        <f>IF(COUNTIFS(INDEX(tItens[Edital],1):tItens[[#This Row],[Edital]],tItens[[#This Row],[Edital]],INDEX(tItens[Produto],1):tItens[[#This Row],[Produto]],tItens[[#This Row],[Produto]])=1,1,0)</f>
        <v>0</v>
      </c>
    </row>
    <row r="7647" spans="1:16" x14ac:dyDescent="0.25">
      <c r="A7647" t="s">
        <v>2547</v>
      </c>
      <c r="B7647">
        <v>46</v>
      </c>
      <c r="C7647" t="s">
        <v>10217</v>
      </c>
      <c r="D7647" t="s">
        <v>485</v>
      </c>
      <c r="E7647" s="13">
        <v>120</v>
      </c>
      <c r="F7647" s="12">
        <v>0</v>
      </c>
      <c r="G7647" t="str">
        <f>IFERROR(INDEX(tEditais[Órgão],MATCH(tItens[[#This Row],[Edital]],tEditais[Edital],0)),"")</f>
        <v>EMPRESA BRASILEIRA DE SERVICOS HOSPITALARES - EBSERH</v>
      </c>
      <c r="H7647" t="str">
        <f>IFERROR(INDEX(tEditais[UF],MATCH(tItens[[#This Row],[Edital]],tEditais[Edital],0)),"")</f>
        <v>RS</v>
      </c>
      <c r="I7647" s="11">
        <f>IFERROR(INDEX(tEditais[Encerramento],MATCH(tItens[[#This Row],[Edital]],tEditais[Edital],0)),"")</f>
        <v>46308.416666666664</v>
      </c>
      <c r="J7647" t="str">
        <f>IFERROR(INDEX(tProdutos[Classe],MATCH(tItens[[#This Row],[Produto]],tProdutos[Produto],0)),"produto não cadastrado")</f>
        <v>FILA REBASE</v>
      </c>
      <c r="K7647" s="12">
        <f>tItens[[#This Row],[Qtd]]*tItens[[#This Row],[Vlr unit]]</f>
        <v>0</v>
      </c>
      <c r="L7647" s="6">
        <f>IFERROR(IF(INDEX(tProdutos[Desconto homologado],MATCH(tItens[[#This Row],[Produto]],tProdutos[Produto],0))="",DescontoPadrao,INDEX(tProdutos[Desconto homologado],MATCH(tItens[[#This Row],[Produto]],tProdutos[Produto],0))),DescontoPadrao)</f>
        <v>0.371991013159302</v>
      </c>
      <c r="M7647" s="12">
        <f>tItens[[#This Row],[Valor]]*(1-tItens[[#This Row],[Desconto]])</f>
        <v>0</v>
      </c>
      <c r="N7647" t="str">
        <f>IFERROR(INDEX(tProdutos[Foco],MATCH(tItens[[#This Row],[Produto]],tProdutos[Produto],0)),"Não")</f>
        <v>Não</v>
      </c>
      <c r="O7647" t="str">
        <f>IFERROR(INDEX(tEditais[SRP],MATCH(tItens[[#This Row],[Edital]],tEditais[Edital],0)),"Não")</f>
        <v>Sim</v>
      </c>
      <c r="P7647" s="4">
        <f>IF(COUNTIFS(INDEX(tItens[Edital],1):tItens[[#This Row],[Edital]],tItens[[#This Row],[Edital]],INDEX(tItens[Produto],1):tItens[[#This Row],[Produto]],tItens[[#This Row],[Produto]])=1,1,0)</f>
        <v>0</v>
      </c>
    </row>
    <row r="7648" spans="1:16" x14ac:dyDescent="0.25">
      <c r="A7648" t="s">
        <v>2547</v>
      </c>
      <c r="B7648">
        <v>52</v>
      </c>
      <c r="C7648" t="s">
        <v>10218</v>
      </c>
      <c r="D7648" t="s">
        <v>160</v>
      </c>
      <c r="E7648" s="13">
        <v>4000</v>
      </c>
      <c r="F7648" s="12">
        <v>0</v>
      </c>
      <c r="G7648" t="str">
        <f>IFERROR(INDEX(tEditais[Órgão],MATCH(tItens[[#This Row],[Edital]],tEditais[Edital],0)),"")</f>
        <v>EMPRESA BRASILEIRA DE SERVICOS HOSPITALARES - EBSERH</v>
      </c>
      <c r="H7648" t="str">
        <f>IFERROR(INDEX(tEditais[UF],MATCH(tItens[[#This Row],[Edital]],tEditais[Edital],0)),"")</f>
        <v>RS</v>
      </c>
      <c r="I7648" s="11">
        <f>IFERROR(INDEX(tEditais[Encerramento],MATCH(tItens[[#This Row],[Edital]],tEditais[Edital],0)),"")</f>
        <v>46308.416666666664</v>
      </c>
      <c r="J7648" t="str">
        <f>IFERROR(INDEX(tProdutos[Classe],MATCH(tItens[[#This Row],[Produto]],tProdutos[Produto],0)),"produto não cadastrado")</f>
        <v>DISPUTADO</v>
      </c>
      <c r="K7648" s="12">
        <f>tItens[[#This Row],[Qtd]]*tItens[[#This Row],[Vlr unit]]</f>
        <v>0</v>
      </c>
      <c r="L7648" s="6">
        <f>IFERROR(IF(INDEX(tProdutos[Desconto homologado],MATCH(tItens[[#This Row],[Produto]],tProdutos[Produto],0))="",DescontoPadrao,INDEX(tProdutos[Desconto homologado],MATCH(tItens[[#This Row],[Produto]],tProdutos[Produto],0))),DescontoPadrao)</f>
        <v>0.28000000000000003</v>
      </c>
      <c r="M7648" s="12">
        <f>tItens[[#This Row],[Valor]]*(1-tItens[[#This Row],[Desconto]])</f>
        <v>0</v>
      </c>
      <c r="N7648" t="str">
        <f>IFERROR(INDEX(tProdutos[Foco],MATCH(tItens[[#This Row],[Produto]],tProdutos[Produto],0)),"Não")</f>
        <v>Sim</v>
      </c>
      <c r="O7648" t="str">
        <f>IFERROR(INDEX(tEditais[SRP],MATCH(tItens[[#This Row],[Edital]],tEditais[Edital],0)),"Não")</f>
        <v>Sim</v>
      </c>
      <c r="P7648" s="4">
        <f>IF(COUNTIFS(INDEX(tItens[Edital],1):tItens[[#This Row],[Edital]],tItens[[#This Row],[Edital]],INDEX(tItens[Produto],1):tItens[[#This Row],[Produto]],tItens[[#This Row],[Produto]])=1,1,0)</f>
        <v>1</v>
      </c>
    </row>
    <row r="7649" spans="1:16" x14ac:dyDescent="0.25">
      <c r="A7649" t="s">
        <v>2551</v>
      </c>
      <c r="B7649">
        <v>9</v>
      </c>
      <c r="C7649" t="s">
        <v>10219</v>
      </c>
      <c r="D7649" t="s">
        <v>315</v>
      </c>
      <c r="E7649" s="13">
        <v>150</v>
      </c>
      <c r="F7649" s="12">
        <v>16.690000000000001</v>
      </c>
      <c r="G7649" t="str">
        <f>IFERROR(INDEX(tEditais[Órgão],MATCH(tItens[[#This Row],[Edital]],tEditais[Edital],0)),"")</f>
        <v>MUNICIPIO DE SANTANA DO LIVRAMENTO</v>
      </c>
      <c r="H7649" t="str">
        <f>IFERROR(INDEX(tEditais[UF],MATCH(tItens[[#This Row],[Edital]],tEditais[Edital],0)),"")</f>
        <v>RS</v>
      </c>
      <c r="I7649" s="11">
        <f>IFERROR(INDEX(tEditais[Encerramento],MATCH(tItens[[#This Row],[Edital]],tEditais[Edital],0)),"")</f>
        <v>46309.333333333336</v>
      </c>
      <c r="J7649" t="str">
        <f>IFERROR(INDEX(tProdutos[Classe],MATCH(tItens[[#This Row],[Produto]],tProdutos[Produto],0)),"produto não cadastrado")</f>
        <v>FORA</v>
      </c>
      <c r="K7649" s="12">
        <f>tItens[[#This Row],[Qtd]]*tItens[[#This Row],[Vlr unit]]</f>
        <v>2503.5</v>
      </c>
      <c r="L7649" s="6">
        <f>IFERROR(IF(INDEX(tProdutos[Desconto homologado],MATCH(tItens[[#This Row],[Produto]],tProdutos[Produto],0))="",DescontoPadrao,INDEX(tProdutos[Desconto homologado],MATCH(tItens[[#This Row],[Produto]],tProdutos[Produto],0))),DescontoPadrao)</f>
        <v>0.38432036097010702</v>
      </c>
      <c r="M7649" s="12">
        <f>tItens[[#This Row],[Valor]]*(1-tItens[[#This Row],[Desconto]])</f>
        <v>1541.353976311337</v>
      </c>
      <c r="N7649" t="str">
        <f>IFERROR(INDEX(tProdutos[Foco],MATCH(tItens[[#This Row],[Produto]],tProdutos[Produto],0)),"Não")</f>
        <v>Não</v>
      </c>
      <c r="O7649" t="str">
        <f>IFERROR(INDEX(tEditais[SRP],MATCH(tItens[[#This Row],[Edital]],tEditais[Edital],0)),"Não")</f>
        <v>Sim</v>
      </c>
      <c r="P7649" s="4">
        <f>IF(COUNTIFS(INDEX(tItens[Edital],1):tItens[[#This Row],[Edital]],tItens[[#This Row],[Edital]],INDEX(tItens[Produto],1):tItens[[#This Row],[Produto]],tItens[[#This Row],[Produto]])=1,1,0)</f>
        <v>1</v>
      </c>
    </row>
    <row r="7650" spans="1:16" x14ac:dyDescent="0.25">
      <c r="A7650" t="s">
        <v>2551</v>
      </c>
      <c r="B7650">
        <v>10</v>
      </c>
      <c r="C7650" t="s">
        <v>10220</v>
      </c>
      <c r="D7650" t="s">
        <v>315</v>
      </c>
      <c r="E7650" s="13">
        <v>100</v>
      </c>
      <c r="F7650" s="12">
        <v>26.11</v>
      </c>
      <c r="G7650" t="str">
        <f>IFERROR(INDEX(tEditais[Órgão],MATCH(tItens[[#This Row],[Edital]],tEditais[Edital],0)),"")</f>
        <v>MUNICIPIO DE SANTANA DO LIVRAMENTO</v>
      </c>
      <c r="H7650" t="str">
        <f>IFERROR(INDEX(tEditais[UF],MATCH(tItens[[#This Row],[Edital]],tEditais[Edital],0)),"")</f>
        <v>RS</v>
      </c>
      <c r="I7650" s="11">
        <f>IFERROR(INDEX(tEditais[Encerramento],MATCH(tItens[[#This Row],[Edital]],tEditais[Edital],0)),"")</f>
        <v>46309.333333333336</v>
      </c>
      <c r="J7650" t="str">
        <f>IFERROR(INDEX(tProdutos[Classe],MATCH(tItens[[#This Row],[Produto]],tProdutos[Produto],0)),"produto não cadastrado")</f>
        <v>FORA</v>
      </c>
      <c r="K7650" s="12">
        <f>tItens[[#This Row],[Qtd]]*tItens[[#This Row],[Vlr unit]]</f>
        <v>2611</v>
      </c>
      <c r="L7650" s="6">
        <f>IFERROR(IF(INDEX(tProdutos[Desconto homologado],MATCH(tItens[[#This Row],[Produto]],tProdutos[Produto],0))="",DescontoPadrao,INDEX(tProdutos[Desconto homologado],MATCH(tItens[[#This Row],[Produto]],tProdutos[Produto],0))),DescontoPadrao)</f>
        <v>0.38432036097010702</v>
      </c>
      <c r="M7650" s="12">
        <f>tItens[[#This Row],[Valor]]*(1-tItens[[#This Row],[Desconto]])</f>
        <v>1607.5395375070505</v>
      </c>
      <c r="N7650" t="str">
        <f>IFERROR(INDEX(tProdutos[Foco],MATCH(tItens[[#This Row],[Produto]],tProdutos[Produto],0)),"Não")</f>
        <v>Não</v>
      </c>
      <c r="O7650" t="str">
        <f>IFERROR(INDEX(tEditais[SRP],MATCH(tItens[[#This Row],[Edital]],tEditais[Edital],0)),"Não")</f>
        <v>Sim</v>
      </c>
      <c r="P7650" s="4">
        <f>IF(COUNTIFS(INDEX(tItens[Edital],1):tItens[[#This Row],[Edital]],tItens[[#This Row],[Edital]],INDEX(tItens[Produto],1):tItens[[#This Row],[Produto]],tItens[[#This Row],[Produto]])=1,1,0)</f>
        <v>0</v>
      </c>
    </row>
    <row r="7651" spans="1:16" x14ac:dyDescent="0.25">
      <c r="A7651" t="s">
        <v>2551</v>
      </c>
      <c r="B7651">
        <v>11</v>
      </c>
      <c r="C7651" t="s">
        <v>10221</v>
      </c>
      <c r="D7651" t="s">
        <v>315</v>
      </c>
      <c r="E7651" s="13">
        <v>150</v>
      </c>
      <c r="F7651" s="12">
        <v>50.07</v>
      </c>
      <c r="G7651" t="str">
        <f>IFERROR(INDEX(tEditais[Órgão],MATCH(tItens[[#This Row],[Edital]],tEditais[Edital],0)),"")</f>
        <v>MUNICIPIO DE SANTANA DO LIVRAMENTO</v>
      </c>
      <c r="H7651" t="str">
        <f>IFERROR(INDEX(tEditais[UF],MATCH(tItens[[#This Row],[Edital]],tEditais[Edital],0)),"")</f>
        <v>RS</v>
      </c>
      <c r="I7651" s="11">
        <f>IFERROR(INDEX(tEditais[Encerramento],MATCH(tItens[[#This Row],[Edital]],tEditais[Edital],0)),"")</f>
        <v>46309.333333333336</v>
      </c>
      <c r="J7651" t="str">
        <f>IFERROR(INDEX(tProdutos[Classe],MATCH(tItens[[#This Row],[Produto]],tProdutos[Produto],0)),"produto não cadastrado")</f>
        <v>FORA</v>
      </c>
      <c r="K7651" s="12">
        <f>tItens[[#This Row],[Qtd]]*tItens[[#This Row],[Vlr unit]]</f>
        <v>7510.5</v>
      </c>
      <c r="L7651" s="6">
        <f>IFERROR(IF(INDEX(tProdutos[Desconto homologado],MATCH(tItens[[#This Row],[Produto]],tProdutos[Produto],0))="",DescontoPadrao,INDEX(tProdutos[Desconto homologado],MATCH(tItens[[#This Row],[Produto]],tProdutos[Produto],0))),DescontoPadrao)</f>
        <v>0.38432036097010702</v>
      </c>
      <c r="M7651" s="12">
        <f>tItens[[#This Row],[Valor]]*(1-tItens[[#This Row],[Desconto]])</f>
        <v>4624.0619289340111</v>
      </c>
      <c r="N7651" t="str">
        <f>IFERROR(INDEX(tProdutos[Foco],MATCH(tItens[[#This Row],[Produto]],tProdutos[Produto],0)),"Não")</f>
        <v>Não</v>
      </c>
      <c r="O7651" t="str">
        <f>IFERROR(INDEX(tEditais[SRP],MATCH(tItens[[#This Row],[Edital]],tEditais[Edital],0)),"Não")</f>
        <v>Sim</v>
      </c>
      <c r="P7651" s="4">
        <f>IF(COUNTIFS(INDEX(tItens[Edital],1):tItens[[#This Row],[Edital]],tItens[[#This Row],[Edital]],INDEX(tItens[Produto],1):tItens[[#This Row],[Produto]],tItens[[#This Row],[Produto]])=1,1,0)</f>
        <v>0</v>
      </c>
    </row>
    <row r="7652" spans="1:16" x14ac:dyDescent="0.25">
      <c r="A7652" t="s">
        <v>2551</v>
      </c>
      <c r="B7652">
        <v>20</v>
      </c>
      <c r="C7652" t="s">
        <v>10222</v>
      </c>
      <c r="D7652" t="s">
        <v>309</v>
      </c>
      <c r="E7652" s="13">
        <v>1000</v>
      </c>
      <c r="F7652" s="12">
        <v>23.29</v>
      </c>
      <c r="G7652" t="str">
        <f>IFERROR(INDEX(tEditais[Órgão],MATCH(tItens[[#This Row],[Edital]],tEditais[Edital],0)),"")</f>
        <v>MUNICIPIO DE SANTANA DO LIVRAMENTO</v>
      </c>
      <c r="H7652" t="str">
        <f>IFERROR(INDEX(tEditais[UF],MATCH(tItens[[#This Row],[Edital]],tEditais[Edital],0)),"")</f>
        <v>RS</v>
      </c>
      <c r="I7652" s="11">
        <f>IFERROR(INDEX(tEditais[Encerramento],MATCH(tItens[[#This Row],[Edital]],tEditais[Edital],0)),"")</f>
        <v>46309.333333333336</v>
      </c>
      <c r="J7652" t="str">
        <f>IFERROR(INDEX(tProdutos[Classe],MATCH(tItens[[#This Row],[Produto]],tProdutos[Produto],0)),"produto não cadastrado")</f>
        <v>DISPUTADO</v>
      </c>
      <c r="K7652" s="12">
        <f>tItens[[#This Row],[Qtd]]*tItens[[#This Row],[Vlr unit]]</f>
        <v>23290</v>
      </c>
      <c r="L7652" s="6">
        <f>IFERROR(IF(INDEX(tProdutos[Desconto homologado],MATCH(tItens[[#This Row],[Produto]],tProdutos[Produto],0))="",DescontoPadrao,INDEX(tProdutos[Desconto homologado],MATCH(tItens[[#This Row],[Produto]],tProdutos[Produto],0))),DescontoPadrao)</f>
        <v>0.329229323455968</v>
      </c>
      <c r="M7652" s="12">
        <f>tItens[[#This Row],[Valor]]*(1-tItens[[#This Row],[Desconto]])</f>
        <v>15622.249056710505</v>
      </c>
      <c r="N7652" t="str">
        <f>IFERROR(INDEX(tProdutos[Foco],MATCH(tItens[[#This Row],[Produto]],tProdutos[Produto],0)),"Não")</f>
        <v>Não</v>
      </c>
      <c r="O7652" t="str">
        <f>IFERROR(INDEX(tEditais[SRP],MATCH(tItens[[#This Row],[Edital]],tEditais[Edital],0)),"Não")</f>
        <v>Sim</v>
      </c>
      <c r="P7652" s="4">
        <f>IF(COUNTIFS(INDEX(tItens[Edital],1):tItens[[#This Row],[Edital]],tItens[[#This Row],[Edital]],INDEX(tItens[Produto],1):tItens[[#This Row],[Produto]],tItens[[#This Row],[Produto]])=1,1,0)</f>
        <v>1</v>
      </c>
    </row>
    <row r="7653" spans="1:16" x14ac:dyDescent="0.25">
      <c r="A7653" t="s">
        <v>2551</v>
      </c>
      <c r="B7653">
        <v>21</v>
      </c>
      <c r="C7653" t="s">
        <v>10223</v>
      </c>
      <c r="D7653" t="s">
        <v>309</v>
      </c>
      <c r="E7653" s="13">
        <v>1000</v>
      </c>
      <c r="F7653" s="12">
        <v>35.78</v>
      </c>
      <c r="G7653" t="str">
        <f>IFERROR(INDEX(tEditais[Órgão],MATCH(tItens[[#This Row],[Edital]],tEditais[Edital],0)),"")</f>
        <v>MUNICIPIO DE SANTANA DO LIVRAMENTO</v>
      </c>
      <c r="H7653" t="str">
        <f>IFERROR(INDEX(tEditais[UF],MATCH(tItens[[#This Row],[Edital]],tEditais[Edital],0)),"")</f>
        <v>RS</v>
      </c>
      <c r="I7653" s="11">
        <f>IFERROR(INDEX(tEditais[Encerramento],MATCH(tItens[[#This Row],[Edital]],tEditais[Edital],0)),"")</f>
        <v>46309.333333333336</v>
      </c>
      <c r="J7653" t="str">
        <f>IFERROR(INDEX(tProdutos[Classe],MATCH(tItens[[#This Row],[Produto]],tProdutos[Produto],0)),"produto não cadastrado")</f>
        <v>DISPUTADO</v>
      </c>
      <c r="K7653" s="12">
        <f>tItens[[#This Row],[Qtd]]*tItens[[#This Row],[Vlr unit]]</f>
        <v>35780</v>
      </c>
      <c r="L7653" s="6">
        <f>IFERROR(IF(INDEX(tProdutos[Desconto homologado],MATCH(tItens[[#This Row],[Produto]],tProdutos[Produto],0))="",DescontoPadrao,INDEX(tProdutos[Desconto homologado],MATCH(tItens[[#This Row],[Produto]],tProdutos[Produto],0))),DescontoPadrao)</f>
        <v>0.329229323455968</v>
      </c>
      <c r="M7653" s="12">
        <f>tItens[[#This Row],[Valor]]*(1-tItens[[#This Row],[Desconto]])</f>
        <v>24000.174806745465</v>
      </c>
      <c r="N7653" t="str">
        <f>IFERROR(INDEX(tProdutos[Foco],MATCH(tItens[[#This Row],[Produto]],tProdutos[Produto],0)),"Não")</f>
        <v>Não</v>
      </c>
      <c r="O7653" t="str">
        <f>IFERROR(INDEX(tEditais[SRP],MATCH(tItens[[#This Row],[Edital]],tEditais[Edital],0)),"Não")</f>
        <v>Sim</v>
      </c>
      <c r="P7653" s="4">
        <f>IF(COUNTIFS(INDEX(tItens[Edital],1):tItens[[#This Row],[Edital]],tItens[[#This Row],[Edital]],INDEX(tItens[Produto],1):tItens[[#This Row],[Produto]],tItens[[#This Row],[Produto]])=1,1,0)</f>
        <v>0</v>
      </c>
    </row>
    <row r="7654" spans="1:16" x14ac:dyDescent="0.25">
      <c r="A7654" t="s">
        <v>2551</v>
      </c>
      <c r="B7654">
        <v>24</v>
      </c>
      <c r="C7654" t="s">
        <v>10224</v>
      </c>
      <c r="D7654" t="s">
        <v>62</v>
      </c>
      <c r="E7654" s="13">
        <v>550</v>
      </c>
      <c r="F7654" s="12">
        <v>5.14</v>
      </c>
      <c r="G7654" t="str">
        <f>IFERROR(INDEX(tEditais[Órgão],MATCH(tItens[[#This Row],[Edital]],tEditais[Edital],0)),"")</f>
        <v>MUNICIPIO DE SANTANA DO LIVRAMENTO</v>
      </c>
      <c r="H7654" t="str">
        <f>IFERROR(INDEX(tEditais[UF],MATCH(tItens[[#This Row],[Edital]],tEditais[Edital],0)),"")</f>
        <v>RS</v>
      </c>
      <c r="I7654" s="11">
        <f>IFERROR(INDEX(tEditais[Encerramento],MATCH(tItens[[#This Row],[Edital]],tEditais[Edital],0)),"")</f>
        <v>46309.333333333336</v>
      </c>
      <c r="J7654" t="str">
        <f>IFERROR(INDEX(tProdutos[Classe],MATCH(tItens[[#This Row],[Produto]],tProdutos[Produto],0)),"produto não cadastrado")</f>
        <v>NÚCLEO</v>
      </c>
      <c r="K7654" s="12">
        <f>tItens[[#This Row],[Qtd]]*tItens[[#This Row],[Vlr unit]]</f>
        <v>2827</v>
      </c>
      <c r="L7654" s="6">
        <f>IFERROR(IF(INDEX(tProdutos[Desconto homologado],MATCH(tItens[[#This Row],[Produto]],tProdutos[Produto],0))="",DescontoPadrao,INDEX(tProdutos[Desconto homologado],MATCH(tItens[[#This Row],[Produto]],tProdutos[Produto],0))),DescontoPadrao)</f>
        <v>0.3</v>
      </c>
      <c r="M7654" s="12">
        <f>tItens[[#This Row],[Valor]]*(1-tItens[[#This Row],[Desconto]])</f>
        <v>1978.8999999999999</v>
      </c>
      <c r="N7654" t="str">
        <f>IFERROR(INDEX(tProdutos[Foco],MATCH(tItens[[#This Row],[Produto]],tProdutos[Produto],0)),"Não")</f>
        <v>Sim</v>
      </c>
      <c r="O7654" t="str">
        <f>IFERROR(INDEX(tEditais[SRP],MATCH(tItens[[#This Row],[Edital]],tEditais[Edital],0)),"Não")</f>
        <v>Sim</v>
      </c>
      <c r="P7654" s="4">
        <f>IF(COUNTIFS(INDEX(tItens[Edital],1):tItens[[#This Row],[Edital]],tItens[[#This Row],[Edital]],INDEX(tItens[Produto],1):tItens[[#This Row],[Produto]],tItens[[#This Row],[Produto]])=1,1,0)</f>
        <v>1</v>
      </c>
    </row>
    <row r="7655" spans="1:16" x14ac:dyDescent="0.25">
      <c r="A7655" t="s">
        <v>2551</v>
      </c>
      <c r="B7655">
        <v>27</v>
      </c>
      <c r="C7655" t="s">
        <v>10225</v>
      </c>
      <c r="D7655" t="s">
        <v>409</v>
      </c>
      <c r="E7655" s="13">
        <v>350</v>
      </c>
      <c r="F7655" s="12">
        <v>7.34</v>
      </c>
      <c r="G7655" t="str">
        <f>IFERROR(INDEX(tEditais[Órgão],MATCH(tItens[[#This Row],[Edital]],tEditais[Edital],0)),"")</f>
        <v>MUNICIPIO DE SANTANA DO LIVRAMENTO</v>
      </c>
      <c r="H7655" t="str">
        <f>IFERROR(INDEX(tEditais[UF],MATCH(tItens[[#This Row],[Edital]],tEditais[Edital],0)),"")</f>
        <v>RS</v>
      </c>
      <c r="I7655" s="11">
        <f>IFERROR(INDEX(tEditais[Encerramento],MATCH(tItens[[#This Row],[Edital]],tEditais[Edital],0)),"")</f>
        <v>46309.333333333336</v>
      </c>
      <c r="J7655" t="str">
        <f>IFERROR(INDEX(tProdutos[Classe],MATCH(tItens[[#This Row],[Produto]],tProdutos[Produto],0)),"produto não cadastrado")</f>
        <v>FORA</v>
      </c>
      <c r="K7655" s="12">
        <f>tItens[[#This Row],[Qtd]]*tItens[[#This Row],[Vlr unit]]</f>
        <v>2569</v>
      </c>
      <c r="L7655" s="6">
        <f>IFERROR(IF(INDEX(tProdutos[Desconto homologado],MATCH(tItens[[#This Row],[Produto]],tProdutos[Produto],0))="",DescontoPadrao,INDEX(tProdutos[Desconto homologado],MATCH(tItens[[#This Row],[Produto]],tProdutos[Produto],0))),DescontoPadrao)</f>
        <v>0.24924924924924899</v>
      </c>
      <c r="M7655" s="12">
        <f>tItens[[#This Row],[Valor]]*(1-tItens[[#This Row],[Desconto]])</f>
        <v>1928.6786786786795</v>
      </c>
      <c r="N7655" t="str">
        <f>IFERROR(INDEX(tProdutos[Foco],MATCH(tItens[[#This Row],[Produto]],tProdutos[Produto],0)),"Não")</f>
        <v>Não</v>
      </c>
      <c r="O7655" t="str">
        <f>IFERROR(INDEX(tEditais[SRP],MATCH(tItens[[#This Row],[Edital]],tEditais[Edital],0)),"Não")</f>
        <v>Sim</v>
      </c>
      <c r="P7655" s="4">
        <f>IF(COUNTIFS(INDEX(tItens[Edital],1):tItens[[#This Row],[Edital]],tItens[[#This Row],[Edital]],INDEX(tItens[Produto],1):tItens[[#This Row],[Produto]],tItens[[#This Row],[Produto]])=1,1,0)</f>
        <v>1</v>
      </c>
    </row>
    <row r="7656" spans="1:16" x14ac:dyDescent="0.25">
      <c r="A7656" t="s">
        <v>2551</v>
      </c>
      <c r="B7656">
        <v>28</v>
      </c>
      <c r="C7656" t="s">
        <v>10226</v>
      </c>
      <c r="D7656" t="s">
        <v>73</v>
      </c>
      <c r="E7656" s="13">
        <v>100</v>
      </c>
      <c r="F7656" s="12">
        <v>18.7</v>
      </c>
      <c r="G7656" t="str">
        <f>IFERROR(INDEX(tEditais[Órgão],MATCH(tItens[[#This Row],[Edital]],tEditais[Edital],0)),"")</f>
        <v>MUNICIPIO DE SANTANA DO LIVRAMENTO</v>
      </c>
      <c r="H7656" t="str">
        <f>IFERROR(INDEX(tEditais[UF],MATCH(tItens[[#This Row],[Edital]],tEditais[Edital],0)),"")</f>
        <v>RS</v>
      </c>
      <c r="I7656" s="11">
        <f>IFERROR(INDEX(tEditais[Encerramento],MATCH(tItens[[#This Row],[Edital]],tEditais[Edital],0)),"")</f>
        <v>46309.333333333336</v>
      </c>
      <c r="J7656" t="str">
        <f>IFERROR(INDEX(tProdutos[Classe],MATCH(tItens[[#This Row],[Produto]],tProdutos[Produto],0)),"produto não cadastrado")</f>
        <v>NÚCLEO</v>
      </c>
      <c r="K7656" s="12">
        <f>tItens[[#This Row],[Qtd]]*tItens[[#This Row],[Vlr unit]]</f>
        <v>1870</v>
      </c>
      <c r="L7656" s="6">
        <f>IFERROR(IF(INDEX(tProdutos[Desconto homologado],MATCH(tItens[[#This Row],[Produto]],tProdutos[Produto],0))="",DescontoPadrao,INDEX(tProdutos[Desconto homologado],MATCH(tItens[[#This Row],[Produto]],tProdutos[Produto],0))),DescontoPadrao)</f>
        <v>0.37</v>
      </c>
      <c r="M7656" s="12">
        <f>tItens[[#This Row],[Valor]]*(1-tItens[[#This Row],[Desconto]])</f>
        <v>1178.0999999999999</v>
      </c>
      <c r="N7656" t="str">
        <f>IFERROR(INDEX(tProdutos[Foco],MATCH(tItens[[#This Row],[Produto]],tProdutos[Produto],0)),"Não")</f>
        <v>Sim</v>
      </c>
      <c r="O7656" t="str">
        <f>IFERROR(INDEX(tEditais[SRP],MATCH(tItens[[#This Row],[Edital]],tEditais[Edital],0)),"Não")</f>
        <v>Sim</v>
      </c>
      <c r="P7656" s="4">
        <f>IF(COUNTIFS(INDEX(tItens[Edital],1):tItens[[#This Row],[Edital]],tItens[[#This Row],[Edital]],INDEX(tItens[Produto],1):tItens[[#This Row],[Produto]],tItens[[#This Row],[Produto]])=1,1,0)</f>
        <v>1</v>
      </c>
    </row>
    <row r="7657" spans="1:16" x14ac:dyDescent="0.25">
      <c r="A7657" t="s">
        <v>2551</v>
      </c>
      <c r="B7657">
        <v>36</v>
      </c>
      <c r="C7657" t="s">
        <v>10227</v>
      </c>
      <c r="D7657" t="s">
        <v>154</v>
      </c>
      <c r="E7657" s="13">
        <v>300</v>
      </c>
      <c r="F7657" s="12">
        <v>68.61</v>
      </c>
      <c r="G7657" t="str">
        <f>IFERROR(INDEX(tEditais[Órgão],MATCH(tItens[[#This Row],[Edital]],tEditais[Edital],0)),"")</f>
        <v>MUNICIPIO DE SANTANA DO LIVRAMENTO</v>
      </c>
      <c r="H7657" t="str">
        <f>IFERROR(INDEX(tEditais[UF],MATCH(tItens[[#This Row],[Edital]],tEditais[Edital],0)),"")</f>
        <v>RS</v>
      </c>
      <c r="I7657" s="11">
        <f>IFERROR(INDEX(tEditais[Encerramento],MATCH(tItens[[#This Row],[Edital]],tEditais[Edital],0)),"")</f>
        <v>46309.333333333336</v>
      </c>
      <c r="J7657" t="str">
        <f>IFERROR(INDEX(tProdutos[Classe],MATCH(tItens[[#This Row],[Produto]],tProdutos[Produto],0)),"produto não cadastrado")</f>
        <v>DISPUTADO</v>
      </c>
      <c r="K7657" s="12">
        <f>tItens[[#This Row],[Qtd]]*tItens[[#This Row],[Vlr unit]]</f>
        <v>20583</v>
      </c>
      <c r="L7657" s="6">
        <f>IFERROR(IF(INDEX(tProdutos[Desconto homologado],MATCH(tItens[[#This Row],[Produto]],tProdutos[Produto],0))="",DescontoPadrao,INDEX(tProdutos[Desconto homologado],MATCH(tItens[[#This Row],[Produto]],tProdutos[Produto],0))),DescontoPadrao)</f>
        <v>0.48690097134476601</v>
      </c>
      <c r="M7657" s="12">
        <f>tItens[[#This Row],[Valor]]*(1-tItens[[#This Row],[Desconto]])</f>
        <v>10561.11730681068</v>
      </c>
      <c r="N7657" t="str">
        <f>IFERROR(INDEX(tProdutos[Foco],MATCH(tItens[[#This Row],[Produto]],tProdutos[Produto],0)),"Não")</f>
        <v>Não</v>
      </c>
      <c r="O7657" t="str">
        <f>IFERROR(INDEX(tEditais[SRP],MATCH(tItens[[#This Row],[Edital]],tEditais[Edital],0)),"Não")</f>
        <v>Sim</v>
      </c>
      <c r="P7657" s="4">
        <f>IF(COUNTIFS(INDEX(tItens[Edital],1):tItens[[#This Row],[Edital]],tItens[[#This Row],[Edital]],INDEX(tItens[Produto],1):tItens[[#This Row],[Produto]],tItens[[#This Row],[Produto]])=1,1,0)</f>
        <v>1</v>
      </c>
    </row>
    <row r="7658" spans="1:16" x14ac:dyDescent="0.25">
      <c r="A7658" t="s">
        <v>2551</v>
      </c>
      <c r="B7658">
        <v>39</v>
      </c>
      <c r="C7658" t="s">
        <v>10228</v>
      </c>
      <c r="D7658" t="s">
        <v>60</v>
      </c>
      <c r="E7658" s="13">
        <v>75</v>
      </c>
      <c r="F7658" s="12">
        <v>64.239999999999995</v>
      </c>
      <c r="G7658" t="str">
        <f>IFERROR(INDEX(tEditais[Órgão],MATCH(tItens[[#This Row],[Edital]],tEditais[Edital],0)),"")</f>
        <v>MUNICIPIO DE SANTANA DO LIVRAMENTO</v>
      </c>
      <c r="H7658" t="str">
        <f>IFERROR(INDEX(tEditais[UF],MATCH(tItens[[#This Row],[Edital]],tEditais[Edital],0)),"")</f>
        <v>RS</v>
      </c>
      <c r="I7658" s="11">
        <f>IFERROR(INDEX(tEditais[Encerramento],MATCH(tItens[[#This Row],[Edital]],tEditais[Edital],0)),"")</f>
        <v>46309.333333333336</v>
      </c>
      <c r="J7658" t="str">
        <f>IFERROR(INDEX(tProdutos[Classe],MATCH(tItens[[#This Row],[Produto]],tProdutos[Produto],0)),"produto não cadastrado")</f>
        <v>NÚCLEO</v>
      </c>
      <c r="K7658" s="12">
        <f>tItens[[#This Row],[Qtd]]*tItens[[#This Row],[Vlr unit]]</f>
        <v>4818</v>
      </c>
      <c r="L7658" s="6">
        <f>IFERROR(IF(INDEX(tProdutos[Desconto homologado],MATCH(tItens[[#This Row],[Produto]],tProdutos[Produto],0))="",DescontoPadrao,INDEX(tProdutos[Desconto homologado],MATCH(tItens[[#This Row],[Produto]],tProdutos[Produto],0))),DescontoPadrao)</f>
        <v>0.23</v>
      </c>
      <c r="M7658" s="12">
        <f>tItens[[#This Row],[Valor]]*(1-tItens[[#This Row],[Desconto]])</f>
        <v>3709.86</v>
      </c>
      <c r="N7658" t="str">
        <f>IFERROR(INDEX(tProdutos[Foco],MATCH(tItens[[#This Row],[Produto]],tProdutos[Produto],0)),"Não")</f>
        <v>Sim</v>
      </c>
      <c r="O7658" t="str">
        <f>IFERROR(INDEX(tEditais[SRP],MATCH(tItens[[#This Row],[Edital]],tEditais[Edital],0)),"Não")</f>
        <v>Sim</v>
      </c>
      <c r="P7658" s="4">
        <f>IF(COUNTIFS(INDEX(tItens[Edital],1):tItens[[#This Row],[Edital]],tItens[[#This Row],[Edital]],INDEX(tItens[Produto],1):tItens[[#This Row],[Produto]],tItens[[#This Row],[Produto]])=1,1,0)</f>
        <v>1</v>
      </c>
    </row>
    <row r="7659" spans="1:16" x14ac:dyDescent="0.25">
      <c r="A7659" t="s">
        <v>2551</v>
      </c>
      <c r="B7659">
        <v>41</v>
      </c>
      <c r="C7659" t="s">
        <v>10229</v>
      </c>
      <c r="D7659" t="s">
        <v>90</v>
      </c>
      <c r="E7659" s="13">
        <v>1750</v>
      </c>
      <c r="F7659" s="12">
        <v>10.83</v>
      </c>
      <c r="G7659" t="str">
        <f>IFERROR(INDEX(tEditais[Órgão],MATCH(tItens[[#This Row],[Edital]],tEditais[Edital],0)),"")</f>
        <v>MUNICIPIO DE SANTANA DO LIVRAMENTO</v>
      </c>
      <c r="H7659" t="str">
        <f>IFERROR(INDEX(tEditais[UF],MATCH(tItens[[#This Row],[Edital]],tEditais[Edital],0)),"")</f>
        <v>RS</v>
      </c>
      <c r="I7659" s="11">
        <f>IFERROR(INDEX(tEditais[Encerramento],MATCH(tItens[[#This Row],[Edital]],tEditais[Edital],0)),"")</f>
        <v>46309.333333333336</v>
      </c>
      <c r="J7659" t="str">
        <f>IFERROR(INDEX(tProdutos[Classe],MATCH(tItens[[#This Row],[Produto]],tProdutos[Produto],0)),"produto não cadastrado")</f>
        <v>DISPUTADO</v>
      </c>
      <c r="K7659" s="12">
        <f>tItens[[#This Row],[Qtd]]*tItens[[#This Row],[Vlr unit]]</f>
        <v>18952.5</v>
      </c>
      <c r="L7659" s="6">
        <f>IFERROR(IF(INDEX(tProdutos[Desconto homologado],MATCH(tItens[[#This Row],[Produto]],tProdutos[Produto],0))="",DescontoPadrao,INDEX(tProdutos[Desconto homologado],MATCH(tItens[[#This Row],[Produto]],tProdutos[Produto],0))),DescontoPadrao)</f>
        <v>0.25393823957010597</v>
      </c>
      <c r="M7659" s="12">
        <f>tItens[[#This Row],[Valor]]*(1-tItens[[#This Row],[Desconto]])</f>
        <v>14139.735514547567</v>
      </c>
      <c r="N7659" t="str">
        <f>IFERROR(INDEX(tProdutos[Foco],MATCH(tItens[[#This Row],[Produto]],tProdutos[Produto],0)),"Não")</f>
        <v>Não</v>
      </c>
      <c r="O7659" t="str">
        <f>IFERROR(INDEX(tEditais[SRP],MATCH(tItens[[#This Row],[Edital]],tEditais[Edital],0)),"Não")</f>
        <v>Sim</v>
      </c>
      <c r="P7659" s="4">
        <f>IF(COUNTIFS(INDEX(tItens[Edital],1):tItens[[#This Row],[Edital]],tItens[[#This Row],[Edital]],INDEX(tItens[Produto],1):tItens[[#This Row],[Produto]],tItens[[#This Row],[Produto]])=1,1,0)</f>
        <v>1</v>
      </c>
    </row>
    <row r="7660" spans="1:16" x14ac:dyDescent="0.25">
      <c r="A7660" t="s">
        <v>2551</v>
      </c>
      <c r="B7660">
        <v>42</v>
      </c>
      <c r="C7660" t="s">
        <v>10230</v>
      </c>
      <c r="D7660" t="s">
        <v>233</v>
      </c>
      <c r="E7660" s="13">
        <v>75</v>
      </c>
      <c r="F7660" s="12">
        <v>13.58</v>
      </c>
      <c r="G7660" t="str">
        <f>IFERROR(INDEX(tEditais[Órgão],MATCH(tItens[[#This Row],[Edital]],tEditais[Edital],0)),"")</f>
        <v>MUNICIPIO DE SANTANA DO LIVRAMENTO</v>
      </c>
      <c r="H7660" t="str">
        <f>IFERROR(INDEX(tEditais[UF],MATCH(tItens[[#This Row],[Edital]],tEditais[Edital],0)),"")</f>
        <v>RS</v>
      </c>
      <c r="I7660" s="11">
        <f>IFERROR(INDEX(tEditais[Encerramento],MATCH(tItens[[#This Row],[Edital]],tEditais[Edital],0)),"")</f>
        <v>46309.333333333336</v>
      </c>
      <c r="J7660" t="str">
        <f>IFERROR(INDEX(tProdutos[Classe],MATCH(tItens[[#This Row],[Produto]],tProdutos[Produto],0)),"produto não cadastrado")</f>
        <v>FORA</v>
      </c>
      <c r="K7660" s="12">
        <f>tItens[[#This Row],[Qtd]]*tItens[[#This Row],[Vlr unit]]</f>
        <v>1018.5</v>
      </c>
      <c r="L7660" s="6">
        <f>IFERROR(IF(INDEX(tProdutos[Desconto homologado],MATCH(tItens[[#This Row],[Produto]],tProdutos[Produto],0))="",DescontoPadrao,INDEX(tProdutos[Desconto homologado],MATCH(tItens[[#This Row],[Produto]],tProdutos[Produto],0))),DescontoPadrao)</f>
        <v>0.246270084162204</v>
      </c>
      <c r="M7660" s="12">
        <f>tItens[[#This Row],[Valor]]*(1-tItens[[#This Row],[Desconto]])</f>
        <v>767.6739192807953</v>
      </c>
      <c r="N7660" t="str">
        <f>IFERROR(INDEX(tProdutos[Foco],MATCH(tItens[[#This Row],[Produto]],tProdutos[Produto],0)),"Não")</f>
        <v>Não</v>
      </c>
      <c r="O7660" t="str">
        <f>IFERROR(INDEX(tEditais[SRP],MATCH(tItens[[#This Row],[Edital]],tEditais[Edital],0)),"Não")</f>
        <v>Sim</v>
      </c>
      <c r="P7660" s="4">
        <f>IF(COUNTIFS(INDEX(tItens[Edital],1):tItens[[#This Row],[Edital]],tItens[[#This Row],[Edital]],INDEX(tItens[Produto],1):tItens[[#This Row],[Produto]],tItens[[#This Row],[Produto]])=1,1,0)</f>
        <v>1</v>
      </c>
    </row>
    <row r="7661" spans="1:16" x14ac:dyDescent="0.25">
      <c r="A7661" t="s">
        <v>2551</v>
      </c>
      <c r="B7661">
        <v>43</v>
      </c>
      <c r="C7661" t="s">
        <v>10231</v>
      </c>
      <c r="D7661" t="s">
        <v>75</v>
      </c>
      <c r="E7661" s="13">
        <v>75</v>
      </c>
      <c r="F7661" s="12">
        <v>197.23</v>
      </c>
      <c r="G7661" t="str">
        <f>IFERROR(INDEX(tEditais[Órgão],MATCH(tItens[[#This Row],[Edital]],tEditais[Edital],0)),"")</f>
        <v>MUNICIPIO DE SANTANA DO LIVRAMENTO</v>
      </c>
      <c r="H7661" t="str">
        <f>IFERROR(INDEX(tEditais[UF],MATCH(tItens[[#This Row],[Edital]],tEditais[Edital],0)),"")</f>
        <v>RS</v>
      </c>
      <c r="I7661" s="11">
        <f>IFERROR(INDEX(tEditais[Encerramento],MATCH(tItens[[#This Row],[Edital]],tEditais[Edital],0)),"")</f>
        <v>46309.333333333336</v>
      </c>
      <c r="J7661" t="str">
        <f>IFERROR(INDEX(tProdutos[Classe],MATCH(tItens[[#This Row],[Produto]],tProdutos[Produto],0)),"produto não cadastrado")</f>
        <v>NÚCLEO</v>
      </c>
      <c r="K7661" s="12">
        <f>tItens[[#This Row],[Qtd]]*tItens[[#This Row],[Vlr unit]]</f>
        <v>14792.25</v>
      </c>
      <c r="L7661" s="6">
        <f>IFERROR(IF(INDEX(tProdutos[Desconto homologado],MATCH(tItens[[#This Row],[Produto]],tProdutos[Produto],0))="",DescontoPadrao,INDEX(tProdutos[Desconto homologado],MATCH(tItens[[#This Row],[Produto]],tProdutos[Produto],0))),DescontoPadrao)</f>
        <v>0.26</v>
      </c>
      <c r="M7661" s="12">
        <f>tItens[[#This Row],[Valor]]*(1-tItens[[#This Row],[Desconto]])</f>
        <v>10946.264999999999</v>
      </c>
      <c r="N7661" t="str">
        <f>IFERROR(INDEX(tProdutos[Foco],MATCH(tItens[[#This Row],[Produto]],tProdutos[Produto],0)),"Não")</f>
        <v>Sim</v>
      </c>
      <c r="O7661" t="str">
        <f>IFERROR(INDEX(tEditais[SRP],MATCH(tItens[[#This Row],[Edital]],tEditais[Edital],0)),"Não")</f>
        <v>Sim</v>
      </c>
      <c r="P7661" s="4">
        <f>IF(COUNTIFS(INDEX(tItens[Edital],1):tItens[[#This Row],[Edital]],tItens[[#This Row],[Edital]],INDEX(tItens[Produto],1):tItens[[#This Row],[Produto]],tItens[[#This Row],[Produto]])=1,1,0)</f>
        <v>1</v>
      </c>
    </row>
    <row r="7662" spans="1:16" x14ac:dyDescent="0.25">
      <c r="A7662" t="s">
        <v>2551</v>
      </c>
      <c r="B7662">
        <v>44</v>
      </c>
      <c r="C7662" t="s">
        <v>10232</v>
      </c>
      <c r="D7662" t="s">
        <v>75</v>
      </c>
      <c r="E7662" s="13">
        <v>75</v>
      </c>
      <c r="F7662" s="12">
        <v>179.98</v>
      </c>
      <c r="G7662" t="str">
        <f>IFERROR(INDEX(tEditais[Órgão],MATCH(tItens[[#This Row],[Edital]],tEditais[Edital],0)),"")</f>
        <v>MUNICIPIO DE SANTANA DO LIVRAMENTO</v>
      </c>
      <c r="H7662" t="str">
        <f>IFERROR(INDEX(tEditais[UF],MATCH(tItens[[#This Row],[Edital]],tEditais[Edital],0)),"")</f>
        <v>RS</v>
      </c>
      <c r="I7662" s="11">
        <f>IFERROR(INDEX(tEditais[Encerramento],MATCH(tItens[[#This Row],[Edital]],tEditais[Edital],0)),"")</f>
        <v>46309.333333333336</v>
      </c>
      <c r="J7662" t="str">
        <f>IFERROR(INDEX(tProdutos[Classe],MATCH(tItens[[#This Row],[Produto]],tProdutos[Produto],0)),"produto não cadastrado")</f>
        <v>NÚCLEO</v>
      </c>
      <c r="K7662" s="12">
        <f>tItens[[#This Row],[Qtd]]*tItens[[#This Row],[Vlr unit]]</f>
        <v>13498.5</v>
      </c>
      <c r="L7662" s="6">
        <f>IFERROR(IF(INDEX(tProdutos[Desconto homologado],MATCH(tItens[[#This Row],[Produto]],tProdutos[Produto],0))="",DescontoPadrao,INDEX(tProdutos[Desconto homologado],MATCH(tItens[[#This Row],[Produto]],tProdutos[Produto],0))),DescontoPadrao)</f>
        <v>0.26</v>
      </c>
      <c r="M7662" s="12">
        <f>tItens[[#This Row],[Valor]]*(1-tItens[[#This Row],[Desconto]])</f>
        <v>9988.89</v>
      </c>
      <c r="N7662" t="str">
        <f>IFERROR(INDEX(tProdutos[Foco],MATCH(tItens[[#This Row],[Produto]],tProdutos[Produto],0)),"Não")</f>
        <v>Sim</v>
      </c>
      <c r="O7662" t="str">
        <f>IFERROR(INDEX(tEditais[SRP],MATCH(tItens[[#This Row],[Edital]],tEditais[Edital],0)),"Não")</f>
        <v>Sim</v>
      </c>
      <c r="P7662" s="4">
        <f>IF(COUNTIFS(INDEX(tItens[Edital],1):tItens[[#This Row],[Edital]],tItens[[#This Row],[Edital]],INDEX(tItens[Produto],1):tItens[[#This Row],[Produto]],tItens[[#This Row],[Produto]])=1,1,0)</f>
        <v>0</v>
      </c>
    </row>
    <row r="7663" spans="1:16" x14ac:dyDescent="0.25">
      <c r="A7663" t="s">
        <v>2551</v>
      </c>
      <c r="B7663">
        <v>45</v>
      </c>
      <c r="C7663" t="s">
        <v>10233</v>
      </c>
      <c r="D7663" t="s">
        <v>75</v>
      </c>
      <c r="E7663" s="13">
        <v>75</v>
      </c>
      <c r="F7663" s="12">
        <v>186.76</v>
      </c>
      <c r="G7663" t="str">
        <f>IFERROR(INDEX(tEditais[Órgão],MATCH(tItens[[#This Row],[Edital]],tEditais[Edital],0)),"")</f>
        <v>MUNICIPIO DE SANTANA DO LIVRAMENTO</v>
      </c>
      <c r="H7663" t="str">
        <f>IFERROR(INDEX(tEditais[UF],MATCH(tItens[[#This Row],[Edital]],tEditais[Edital],0)),"")</f>
        <v>RS</v>
      </c>
      <c r="I7663" s="11">
        <f>IFERROR(INDEX(tEditais[Encerramento],MATCH(tItens[[#This Row],[Edital]],tEditais[Edital],0)),"")</f>
        <v>46309.333333333336</v>
      </c>
      <c r="J7663" t="str">
        <f>IFERROR(INDEX(tProdutos[Classe],MATCH(tItens[[#This Row],[Produto]],tProdutos[Produto],0)),"produto não cadastrado")</f>
        <v>NÚCLEO</v>
      </c>
      <c r="K7663" s="12">
        <f>tItens[[#This Row],[Qtd]]*tItens[[#This Row],[Vlr unit]]</f>
        <v>14007</v>
      </c>
      <c r="L7663" s="6">
        <f>IFERROR(IF(INDEX(tProdutos[Desconto homologado],MATCH(tItens[[#This Row],[Produto]],tProdutos[Produto],0))="",DescontoPadrao,INDEX(tProdutos[Desconto homologado],MATCH(tItens[[#This Row],[Produto]],tProdutos[Produto],0))),DescontoPadrao)</f>
        <v>0.26</v>
      </c>
      <c r="M7663" s="12">
        <f>tItens[[#This Row],[Valor]]*(1-tItens[[#This Row],[Desconto]])</f>
        <v>10365.18</v>
      </c>
      <c r="N7663" t="str">
        <f>IFERROR(INDEX(tProdutos[Foco],MATCH(tItens[[#This Row],[Produto]],tProdutos[Produto],0)),"Não")</f>
        <v>Sim</v>
      </c>
      <c r="O7663" t="str">
        <f>IFERROR(INDEX(tEditais[SRP],MATCH(tItens[[#This Row],[Edital]],tEditais[Edital],0)),"Não")</f>
        <v>Sim</v>
      </c>
      <c r="P7663" s="4">
        <f>IF(COUNTIFS(INDEX(tItens[Edital],1):tItens[[#This Row],[Edital]],tItens[[#This Row],[Edital]],INDEX(tItens[Produto],1):tItens[[#This Row],[Produto]],tItens[[#This Row],[Produto]])=1,1,0)</f>
        <v>0</v>
      </c>
    </row>
    <row r="7664" spans="1:16" x14ac:dyDescent="0.25">
      <c r="A7664" t="s">
        <v>2551</v>
      </c>
      <c r="B7664">
        <v>47</v>
      </c>
      <c r="C7664" t="s">
        <v>10234</v>
      </c>
      <c r="D7664" t="s">
        <v>301</v>
      </c>
      <c r="E7664" s="13">
        <v>500</v>
      </c>
      <c r="F7664" s="12">
        <v>12.37</v>
      </c>
      <c r="G7664" t="str">
        <f>IFERROR(INDEX(tEditais[Órgão],MATCH(tItens[[#This Row],[Edital]],tEditais[Edital],0)),"")</f>
        <v>MUNICIPIO DE SANTANA DO LIVRAMENTO</v>
      </c>
      <c r="H7664" t="str">
        <f>IFERROR(INDEX(tEditais[UF],MATCH(tItens[[#This Row],[Edital]],tEditais[Edital],0)),"")</f>
        <v>RS</v>
      </c>
      <c r="I7664" s="11">
        <f>IFERROR(INDEX(tEditais[Encerramento],MATCH(tItens[[#This Row],[Edital]],tEditais[Edital],0)),"")</f>
        <v>46309.333333333336</v>
      </c>
      <c r="J7664" t="str">
        <f>IFERROR(INDEX(tProdutos[Classe],MATCH(tItens[[#This Row],[Produto]],tProdutos[Produto],0)),"produto não cadastrado")</f>
        <v>FORA</v>
      </c>
      <c r="K7664" s="12">
        <f>tItens[[#This Row],[Qtd]]*tItens[[#This Row],[Vlr unit]]</f>
        <v>6185</v>
      </c>
      <c r="L7664" s="6">
        <f>IFERROR(IF(INDEX(tProdutos[Desconto homologado],MATCH(tItens[[#This Row],[Produto]],tProdutos[Produto],0))="",DescontoPadrao,INDEX(tProdutos[Desconto homologado],MATCH(tItens[[#This Row],[Produto]],tProdutos[Produto],0))),DescontoPadrao)</f>
        <v>0.37334194659776099</v>
      </c>
      <c r="M7664" s="12">
        <f>tItens[[#This Row],[Valor]]*(1-tItens[[#This Row],[Desconto]])</f>
        <v>3875.8800602928482</v>
      </c>
      <c r="N7664" t="str">
        <f>IFERROR(INDEX(tProdutos[Foco],MATCH(tItens[[#This Row],[Produto]],tProdutos[Produto],0)),"Não")</f>
        <v>Não</v>
      </c>
      <c r="O7664" t="str">
        <f>IFERROR(INDEX(tEditais[SRP],MATCH(tItens[[#This Row],[Edital]],tEditais[Edital],0)),"Não")</f>
        <v>Sim</v>
      </c>
      <c r="P7664" s="4">
        <f>IF(COUNTIFS(INDEX(tItens[Edital],1):tItens[[#This Row],[Edital]],tItens[[#This Row],[Edital]],INDEX(tItens[Produto],1):tItens[[#This Row],[Produto]],tItens[[#This Row],[Produto]])=1,1,0)</f>
        <v>1</v>
      </c>
    </row>
    <row r="7665" spans="1:16" x14ac:dyDescent="0.25">
      <c r="A7665" t="s">
        <v>2551</v>
      </c>
      <c r="B7665">
        <v>50</v>
      </c>
      <c r="C7665" t="s">
        <v>10235</v>
      </c>
      <c r="D7665" t="s">
        <v>142</v>
      </c>
      <c r="E7665" s="13">
        <v>100</v>
      </c>
      <c r="F7665" s="12">
        <v>12.88</v>
      </c>
      <c r="G7665" t="str">
        <f>IFERROR(INDEX(tEditais[Órgão],MATCH(tItens[[#This Row],[Edital]],tEditais[Edital],0)),"")</f>
        <v>MUNICIPIO DE SANTANA DO LIVRAMENTO</v>
      </c>
      <c r="H7665" t="str">
        <f>IFERROR(INDEX(tEditais[UF],MATCH(tItens[[#This Row],[Edital]],tEditais[Edital],0)),"")</f>
        <v>RS</v>
      </c>
      <c r="I7665" s="11">
        <f>IFERROR(INDEX(tEditais[Encerramento],MATCH(tItens[[#This Row],[Edital]],tEditais[Edital],0)),"")</f>
        <v>46309.333333333336</v>
      </c>
      <c r="J7665" t="str">
        <f>IFERROR(INDEX(tProdutos[Classe],MATCH(tItens[[#This Row],[Produto]],tProdutos[Produto],0)),"produto não cadastrado")</f>
        <v>DISPUTADO</v>
      </c>
      <c r="K7665" s="12">
        <f>tItens[[#This Row],[Qtd]]*tItens[[#This Row],[Vlr unit]]</f>
        <v>1288</v>
      </c>
      <c r="L7665" s="6">
        <f>IFERROR(IF(INDEX(tProdutos[Desconto homologado],MATCH(tItens[[#This Row],[Produto]],tProdutos[Produto],0))="",DescontoPadrao,INDEX(tProdutos[Desconto homologado],MATCH(tItens[[#This Row],[Produto]],tProdutos[Produto],0))),DescontoPadrao)</f>
        <v>0.37093619495691699</v>
      </c>
      <c r="M7665" s="12">
        <f>tItens[[#This Row],[Valor]]*(1-tItens[[#This Row],[Desconto]])</f>
        <v>810.23418089549091</v>
      </c>
      <c r="N7665" t="str">
        <f>IFERROR(INDEX(tProdutos[Foco],MATCH(tItens[[#This Row],[Produto]],tProdutos[Produto],0)),"Não")</f>
        <v>Não</v>
      </c>
      <c r="O7665" t="str">
        <f>IFERROR(INDEX(tEditais[SRP],MATCH(tItens[[#This Row],[Edital]],tEditais[Edital],0)),"Não")</f>
        <v>Sim</v>
      </c>
      <c r="P7665" s="4">
        <f>IF(COUNTIFS(INDEX(tItens[Edital],1):tItens[[#This Row],[Edital]],tItens[[#This Row],[Edital]],INDEX(tItens[Produto],1):tItens[[#This Row],[Produto]],tItens[[#This Row],[Produto]])=1,1,0)</f>
        <v>1</v>
      </c>
    </row>
    <row r="7666" spans="1:16" x14ac:dyDescent="0.25">
      <c r="A7666" t="s">
        <v>2551</v>
      </c>
      <c r="B7666">
        <v>56</v>
      </c>
      <c r="C7666" t="s">
        <v>10236</v>
      </c>
      <c r="D7666" t="s">
        <v>467</v>
      </c>
      <c r="E7666" s="13">
        <v>100</v>
      </c>
      <c r="F7666" s="12">
        <v>16</v>
      </c>
      <c r="G7666" t="str">
        <f>IFERROR(INDEX(tEditais[Órgão],MATCH(tItens[[#This Row],[Edital]],tEditais[Edital],0)),"")</f>
        <v>MUNICIPIO DE SANTANA DO LIVRAMENTO</v>
      </c>
      <c r="H7666" t="str">
        <f>IFERROR(INDEX(tEditais[UF],MATCH(tItens[[#This Row],[Edital]],tEditais[Edital],0)),"")</f>
        <v>RS</v>
      </c>
      <c r="I7666" s="11">
        <f>IFERROR(INDEX(tEditais[Encerramento],MATCH(tItens[[#This Row],[Edital]],tEditais[Edital],0)),"")</f>
        <v>46309.333333333336</v>
      </c>
      <c r="J7666" t="str">
        <f>IFERROR(INDEX(tProdutos[Classe],MATCH(tItens[[#This Row],[Produto]],tProdutos[Produto],0)),"produto não cadastrado")</f>
        <v>FILA REBASE</v>
      </c>
      <c r="K7666" s="12">
        <f>tItens[[#This Row],[Qtd]]*tItens[[#This Row],[Vlr unit]]</f>
        <v>1600</v>
      </c>
      <c r="L7666" s="6">
        <f>IFERROR(IF(INDEX(tProdutos[Desconto homologado],MATCH(tItens[[#This Row],[Produto]],tProdutos[Produto],0))="",DescontoPadrao,INDEX(tProdutos[Desconto homologado],MATCH(tItens[[#This Row],[Produto]],tProdutos[Produto],0))),DescontoPadrao)</f>
        <v>0.25007144898542499</v>
      </c>
      <c r="M7666" s="12">
        <f>tItens[[#This Row],[Valor]]*(1-tItens[[#This Row],[Desconto]])</f>
        <v>1199.8856816233201</v>
      </c>
      <c r="N7666" t="str">
        <f>IFERROR(INDEX(tProdutos[Foco],MATCH(tItens[[#This Row],[Produto]],tProdutos[Produto],0)),"Não")</f>
        <v>Não</v>
      </c>
      <c r="O7666" t="str">
        <f>IFERROR(INDEX(tEditais[SRP],MATCH(tItens[[#This Row],[Edital]],tEditais[Edital],0)),"Não")</f>
        <v>Sim</v>
      </c>
      <c r="P7666" s="4">
        <f>IF(COUNTIFS(INDEX(tItens[Edital],1):tItens[[#This Row],[Edital]],tItens[[#This Row],[Edital]],INDEX(tItens[Produto],1):tItens[[#This Row],[Produto]],tItens[[#This Row],[Produto]])=1,1,0)</f>
        <v>1</v>
      </c>
    </row>
    <row r="7667" spans="1:16" x14ac:dyDescent="0.25">
      <c r="A7667" t="s">
        <v>2551</v>
      </c>
      <c r="B7667">
        <v>58</v>
      </c>
      <c r="C7667" t="s">
        <v>10237</v>
      </c>
      <c r="D7667" t="s">
        <v>56</v>
      </c>
      <c r="E7667" s="13">
        <v>150</v>
      </c>
      <c r="F7667" s="12">
        <v>47.34</v>
      </c>
      <c r="G7667" t="str">
        <f>IFERROR(INDEX(tEditais[Órgão],MATCH(tItens[[#This Row],[Edital]],tEditais[Edital],0)),"")</f>
        <v>MUNICIPIO DE SANTANA DO LIVRAMENTO</v>
      </c>
      <c r="H7667" t="str">
        <f>IFERROR(INDEX(tEditais[UF],MATCH(tItens[[#This Row],[Edital]],tEditais[Edital],0)),"")</f>
        <v>RS</v>
      </c>
      <c r="I7667" s="11">
        <f>IFERROR(INDEX(tEditais[Encerramento],MATCH(tItens[[#This Row],[Edital]],tEditais[Edital],0)),"")</f>
        <v>46309.333333333336</v>
      </c>
      <c r="J7667" t="str">
        <f>IFERROR(INDEX(tProdutos[Classe],MATCH(tItens[[#This Row],[Produto]],tProdutos[Produto],0)),"produto não cadastrado")</f>
        <v>NÚCLEO</v>
      </c>
      <c r="K7667" s="12">
        <f>tItens[[#This Row],[Qtd]]*tItens[[#This Row],[Vlr unit]]</f>
        <v>7101.0000000000009</v>
      </c>
      <c r="L7667" s="6">
        <f>IFERROR(IF(INDEX(tProdutos[Desconto homologado],MATCH(tItens[[#This Row],[Produto]],tProdutos[Produto],0))="",DescontoPadrao,INDEX(tProdutos[Desconto homologado],MATCH(tItens[[#This Row],[Produto]],tProdutos[Produto],0))),DescontoPadrao)</f>
        <v>0.34</v>
      </c>
      <c r="M7667" s="12">
        <f>tItens[[#This Row],[Valor]]*(1-tItens[[#This Row],[Desconto]])</f>
        <v>4686.66</v>
      </c>
      <c r="N7667" t="str">
        <f>IFERROR(INDEX(tProdutos[Foco],MATCH(tItens[[#This Row],[Produto]],tProdutos[Produto],0)),"Não")</f>
        <v>Sim</v>
      </c>
      <c r="O7667" t="str">
        <f>IFERROR(INDEX(tEditais[SRP],MATCH(tItens[[#This Row],[Edital]],tEditais[Edital],0)),"Não")</f>
        <v>Sim</v>
      </c>
      <c r="P7667" s="4">
        <f>IF(COUNTIFS(INDEX(tItens[Edital],1):tItens[[#This Row],[Edital]],tItens[[#This Row],[Edital]],INDEX(tItens[Produto],1):tItens[[#This Row],[Produto]],tItens[[#This Row],[Produto]])=1,1,0)</f>
        <v>1</v>
      </c>
    </row>
    <row r="7668" spans="1:16" x14ac:dyDescent="0.25">
      <c r="A7668" t="s">
        <v>2551</v>
      </c>
      <c r="B7668">
        <v>59</v>
      </c>
      <c r="C7668" t="s">
        <v>10238</v>
      </c>
      <c r="D7668" t="s">
        <v>277</v>
      </c>
      <c r="E7668" s="13">
        <v>50</v>
      </c>
      <c r="F7668" s="12">
        <v>16.3</v>
      </c>
      <c r="G7668" t="str">
        <f>IFERROR(INDEX(tEditais[Órgão],MATCH(tItens[[#This Row],[Edital]],tEditais[Edital],0)),"")</f>
        <v>MUNICIPIO DE SANTANA DO LIVRAMENTO</v>
      </c>
      <c r="H7668" t="str">
        <f>IFERROR(INDEX(tEditais[UF],MATCH(tItens[[#This Row],[Edital]],tEditais[Edital],0)),"")</f>
        <v>RS</v>
      </c>
      <c r="I7668" s="11">
        <f>IFERROR(INDEX(tEditais[Encerramento],MATCH(tItens[[#This Row],[Edital]],tEditais[Edital],0)),"")</f>
        <v>46309.333333333336</v>
      </c>
      <c r="J7668" t="str">
        <f>IFERROR(INDEX(tProdutos[Classe],MATCH(tItens[[#This Row],[Produto]],tProdutos[Produto],0)),"produto não cadastrado")</f>
        <v>DISPUTADO</v>
      </c>
      <c r="K7668" s="12">
        <f>tItens[[#This Row],[Qtd]]*tItens[[#This Row],[Vlr unit]]</f>
        <v>815</v>
      </c>
      <c r="L7668" s="6">
        <f>IFERROR(IF(INDEX(tProdutos[Desconto homologado],MATCH(tItens[[#This Row],[Produto]],tProdutos[Produto],0))="",DescontoPadrao,INDEX(tProdutos[Desconto homologado],MATCH(tItens[[#This Row],[Produto]],tProdutos[Produto],0))),DescontoPadrao)</f>
        <v>0.50460666194188497</v>
      </c>
      <c r="M7668" s="12">
        <f>tItens[[#This Row],[Valor]]*(1-tItens[[#This Row],[Desconto]])</f>
        <v>403.74557051736377</v>
      </c>
      <c r="N7668" t="str">
        <f>IFERROR(INDEX(tProdutos[Foco],MATCH(tItens[[#This Row],[Produto]],tProdutos[Produto],0)),"Não")</f>
        <v>Não</v>
      </c>
      <c r="O7668" t="str">
        <f>IFERROR(INDEX(tEditais[SRP],MATCH(tItens[[#This Row],[Edital]],tEditais[Edital],0)),"Não")</f>
        <v>Sim</v>
      </c>
      <c r="P7668" s="4">
        <f>IF(COUNTIFS(INDEX(tItens[Edital],1):tItens[[#This Row],[Edital]],tItens[[#This Row],[Edital]],INDEX(tItens[Produto],1):tItens[[#This Row],[Produto]],tItens[[#This Row],[Produto]])=1,1,0)</f>
        <v>1</v>
      </c>
    </row>
    <row r="7669" spans="1:16" x14ac:dyDescent="0.25">
      <c r="A7669" t="s">
        <v>2551</v>
      </c>
      <c r="B7669">
        <v>64</v>
      </c>
      <c r="C7669" t="s">
        <v>10239</v>
      </c>
      <c r="D7669" t="s">
        <v>343</v>
      </c>
      <c r="E7669" s="13">
        <v>1000</v>
      </c>
      <c r="F7669" s="12">
        <v>5.8</v>
      </c>
      <c r="G7669" t="str">
        <f>IFERROR(INDEX(tEditais[Órgão],MATCH(tItens[[#This Row],[Edital]],tEditais[Edital],0)),"")</f>
        <v>MUNICIPIO DE SANTANA DO LIVRAMENTO</v>
      </c>
      <c r="H7669" t="str">
        <f>IFERROR(INDEX(tEditais[UF],MATCH(tItens[[#This Row],[Edital]],tEditais[Edital],0)),"")</f>
        <v>RS</v>
      </c>
      <c r="I7669" s="11">
        <f>IFERROR(INDEX(tEditais[Encerramento],MATCH(tItens[[#This Row],[Edital]],tEditais[Edital],0)),"")</f>
        <v>46309.333333333336</v>
      </c>
      <c r="J7669" t="str">
        <f>IFERROR(INDEX(tProdutos[Classe],MATCH(tItens[[#This Row],[Produto]],tProdutos[Produto],0)),"produto não cadastrado")</f>
        <v>FORA</v>
      </c>
      <c r="K7669" s="12">
        <f>tItens[[#This Row],[Qtd]]*tItens[[#This Row],[Vlr unit]]</f>
        <v>5800</v>
      </c>
      <c r="L7669" s="6">
        <f>IFERROR(IF(INDEX(tProdutos[Desconto homologado],MATCH(tItens[[#This Row],[Produto]],tProdutos[Produto],0))="",DescontoPadrao,INDEX(tProdutos[Desconto homologado],MATCH(tItens[[#This Row],[Produto]],tProdutos[Produto],0))),DescontoPadrao)</f>
        <v>0.35412234042553198</v>
      </c>
      <c r="M7669" s="12">
        <f>tItens[[#This Row],[Valor]]*(1-tItens[[#This Row],[Desconto]])</f>
        <v>3746.0904255319142</v>
      </c>
      <c r="N7669" t="str">
        <f>IFERROR(INDEX(tProdutos[Foco],MATCH(tItens[[#This Row],[Produto]],tProdutos[Produto],0)),"Não")</f>
        <v>Não</v>
      </c>
      <c r="O7669" t="str">
        <f>IFERROR(INDEX(tEditais[SRP],MATCH(tItens[[#This Row],[Edital]],tEditais[Edital],0)),"Não")</f>
        <v>Sim</v>
      </c>
      <c r="P7669" s="4">
        <f>IF(COUNTIFS(INDEX(tItens[Edital],1):tItens[[#This Row],[Edital]],tItens[[#This Row],[Edital]],INDEX(tItens[Produto],1):tItens[[#This Row],[Produto]],tItens[[#This Row],[Produto]])=1,1,0)</f>
        <v>1</v>
      </c>
    </row>
    <row r="7670" spans="1:16" x14ac:dyDescent="0.25">
      <c r="A7670" t="s">
        <v>2551</v>
      </c>
      <c r="B7670">
        <v>65</v>
      </c>
      <c r="C7670" t="s">
        <v>10240</v>
      </c>
      <c r="D7670" t="s">
        <v>343</v>
      </c>
      <c r="E7670" s="13">
        <v>1000</v>
      </c>
      <c r="F7670" s="12">
        <v>3.52</v>
      </c>
      <c r="G7670" t="str">
        <f>IFERROR(INDEX(tEditais[Órgão],MATCH(tItens[[#This Row],[Edital]],tEditais[Edital],0)),"")</f>
        <v>MUNICIPIO DE SANTANA DO LIVRAMENTO</v>
      </c>
      <c r="H7670" t="str">
        <f>IFERROR(INDEX(tEditais[UF],MATCH(tItens[[#This Row],[Edital]],tEditais[Edital],0)),"")</f>
        <v>RS</v>
      </c>
      <c r="I7670" s="11">
        <f>IFERROR(INDEX(tEditais[Encerramento],MATCH(tItens[[#This Row],[Edital]],tEditais[Edital],0)),"")</f>
        <v>46309.333333333336</v>
      </c>
      <c r="J7670" t="str">
        <f>IFERROR(INDEX(tProdutos[Classe],MATCH(tItens[[#This Row],[Produto]],tProdutos[Produto],0)),"produto não cadastrado")</f>
        <v>FORA</v>
      </c>
      <c r="K7670" s="12">
        <f>tItens[[#This Row],[Qtd]]*tItens[[#This Row],[Vlr unit]]</f>
        <v>3520</v>
      </c>
      <c r="L7670" s="6">
        <f>IFERROR(IF(INDEX(tProdutos[Desconto homologado],MATCH(tItens[[#This Row],[Produto]],tProdutos[Produto],0))="",DescontoPadrao,INDEX(tProdutos[Desconto homologado],MATCH(tItens[[#This Row],[Produto]],tProdutos[Produto],0))),DescontoPadrao)</f>
        <v>0.35412234042553198</v>
      </c>
      <c r="M7670" s="12">
        <f>tItens[[#This Row],[Valor]]*(1-tItens[[#This Row],[Desconto]])</f>
        <v>2273.4893617021271</v>
      </c>
      <c r="N7670" t="str">
        <f>IFERROR(INDEX(tProdutos[Foco],MATCH(tItens[[#This Row],[Produto]],tProdutos[Produto],0)),"Não")</f>
        <v>Não</v>
      </c>
      <c r="O7670" t="str">
        <f>IFERROR(INDEX(tEditais[SRP],MATCH(tItens[[#This Row],[Edital]],tEditais[Edital],0)),"Não")</f>
        <v>Sim</v>
      </c>
      <c r="P7670" s="4">
        <f>IF(COUNTIFS(INDEX(tItens[Edital],1):tItens[[#This Row],[Edital]],tItens[[#This Row],[Edital]],INDEX(tItens[Produto],1):tItens[[#This Row],[Produto]],tItens[[#This Row],[Produto]])=1,1,0)</f>
        <v>0</v>
      </c>
    </row>
    <row r="7671" spans="1:16" x14ac:dyDescent="0.25">
      <c r="A7671" t="s">
        <v>2551</v>
      </c>
      <c r="B7671">
        <v>66</v>
      </c>
      <c r="C7671" t="s">
        <v>10241</v>
      </c>
      <c r="D7671" t="s">
        <v>343</v>
      </c>
      <c r="E7671" s="13">
        <v>1000</v>
      </c>
      <c r="F7671" s="12">
        <v>5.65</v>
      </c>
      <c r="G7671" t="str">
        <f>IFERROR(INDEX(tEditais[Órgão],MATCH(tItens[[#This Row],[Edital]],tEditais[Edital],0)),"")</f>
        <v>MUNICIPIO DE SANTANA DO LIVRAMENTO</v>
      </c>
      <c r="H7671" t="str">
        <f>IFERROR(INDEX(tEditais[UF],MATCH(tItens[[#This Row],[Edital]],tEditais[Edital],0)),"")</f>
        <v>RS</v>
      </c>
      <c r="I7671" s="11">
        <f>IFERROR(INDEX(tEditais[Encerramento],MATCH(tItens[[#This Row],[Edital]],tEditais[Edital],0)),"")</f>
        <v>46309.333333333336</v>
      </c>
      <c r="J7671" t="str">
        <f>IFERROR(INDEX(tProdutos[Classe],MATCH(tItens[[#This Row],[Produto]],tProdutos[Produto],0)),"produto não cadastrado")</f>
        <v>FORA</v>
      </c>
      <c r="K7671" s="12">
        <f>tItens[[#This Row],[Qtd]]*tItens[[#This Row],[Vlr unit]]</f>
        <v>5650</v>
      </c>
      <c r="L7671" s="6">
        <f>IFERROR(IF(INDEX(tProdutos[Desconto homologado],MATCH(tItens[[#This Row],[Produto]],tProdutos[Produto],0))="",DescontoPadrao,INDEX(tProdutos[Desconto homologado],MATCH(tItens[[#This Row],[Produto]],tProdutos[Produto],0))),DescontoPadrao)</f>
        <v>0.35412234042553198</v>
      </c>
      <c r="M7671" s="12">
        <f>tItens[[#This Row],[Valor]]*(1-tItens[[#This Row],[Desconto]])</f>
        <v>3649.208776595744</v>
      </c>
      <c r="N7671" t="str">
        <f>IFERROR(INDEX(tProdutos[Foco],MATCH(tItens[[#This Row],[Produto]],tProdutos[Produto],0)),"Não")</f>
        <v>Não</v>
      </c>
      <c r="O7671" t="str">
        <f>IFERROR(INDEX(tEditais[SRP],MATCH(tItens[[#This Row],[Edital]],tEditais[Edital],0)),"Não")</f>
        <v>Sim</v>
      </c>
      <c r="P7671" s="4">
        <f>IF(COUNTIFS(INDEX(tItens[Edital],1):tItens[[#This Row],[Edital]],tItens[[#This Row],[Edital]],INDEX(tItens[Produto],1):tItens[[#This Row],[Produto]],tItens[[#This Row],[Produto]])=1,1,0)</f>
        <v>0</v>
      </c>
    </row>
    <row r="7672" spans="1:16" x14ac:dyDescent="0.25">
      <c r="A7672" t="s">
        <v>2551</v>
      </c>
      <c r="B7672">
        <v>67</v>
      </c>
      <c r="C7672" t="s">
        <v>10242</v>
      </c>
      <c r="D7672" t="s">
        <v>343</v>
      </c>
      <c r="E7672" s="13">
        <v>1000</v>
      </c>
      <c r="F7672" s="12">
        <v>5.45</v>
      </c>
      <c r="G7672" t="str">
        <f>IFERROR(INDEX(tEditais[Órgão],MATCH(tItens[[#This Row],[Edital]],tEditais[Edital],0)),"")</f>
        <v>MUNICIPIO DE SANTANA DO LIVRAMENTO</v>
      </c>
      <c r="H7672" t="str">
        <f>IFERROR(INDEX(tEditais[UF],MATCH(tItens[[#This Row],[Edital]],tEditais[Edital],0)),"")</f>
        <v>RS</v>
      </c>
      <c r="I7672" s="11">
        <f>IFERROR(INDEX(tEditais[Encerramento],MATCH(tItens[[#This Row],[Edital]],tEditais[Edital],0)),"")</f>
        <v>46309.333333333336</v>
      </c>
      <c r="J7672" t="str">
        <f>IFERROR(INDEX(tProdutos[Classe],MATCH(tItens[[#This Row],[Produto]],tProdutos[Produto],0)),"produto não cadastrado")</f>
        <v>FORA</v>
      </c>
      <c r="K7672" s="12">
        <f>tItens[[#This Row],[Qtd]]*tItens[[#This Row],[Vlr unit]]</f>
        <v>5450</v>
      </c>
      <c r="L7672" s="6">
        <f>IFERROR(IF(INDEX(tProdutos[Desconto homologado],MATCH(tItens[[#This Row],[Produto]],tProdutos[Produto],0))="",DescontoPadrao,INDEX(tProdutos[Desconto homologado],MATCH(tItens[[#This Row],[Produto]],tProdutos[Produto],0))),DescontoPadrao)</f>
        <v>0.35412234042553198</v>
      </c>
      <c r="M7672" s="12">
        <f>tItens[[#This Row],[Valor]]*(1-tItens[[#This Row],[Desconto]])</f>
        <v>3520.0332446808502</v>
      </c>
      <c r="N7672" t="str">
        <f>IFERROR(INDEX(tProdutos[Foco],MATCH(tItens[[#This Row],[Produto]],tProdutos[Produto],0)),"Não")</f>
        <v>Não</v>
      </c>
      <c r="O7672" t="str">
        <f>IFERROR(INDEX(tEditais[SRP],MATCH(tItens[[#This Row],[Edital]],tEditais[Edital],0)),"Não")</f>
        <v>Sim</v>
      </c>
      <c r="P7672" s="4">
        <f>IF(COUNTIFS(INDEX(tItens[Edital],1):tItens[[#This Row],[Edital]],tItens[[#This Row],[Edital]],INDEX(tItens[Produto],1):tItens[[#This Row],[Produto]],tItens[[#This Row],[Produto]])=1,1,0)</f>
        <v>0</v>
      </c>
    </row>
    <row r="7673" spans="1:16" x14ac:dyDescent="0.25">
      <c r="A7673" t="s">
        <v>2551</v>
      </c>
      <c r="B7673">
        <v>73</v>
      </c>
      <c r="C7673" t="s">
        <v>10243</v>
      </c>
      <c r="D7673" t="s">
        <v>494</v>
      </c>
      <c r="E7673" s="13">
        <v>500</v>
      </c>
      <c r="F7673" s="12">
        <v>48.46</v>
      </c>
      <c r="G7673" t="str">
        <f>IFERROR(INDEX(tEditais[Órgão],MATCH(tItens[[#This Row],[Edital]],tEditais[Edital],0)),"")</f>
        <v>MUNICIPIO DE SANTANA DO LIVRAMENTO</v>
      </c>
      <c r="H7673" t="str">
        <f>IFERROR(INDEX(tEditais[UF],MATCH(tItens[[#This Row],[Edital]],tEditais[Edital],0)),"")</f>
        <v>RS</v>
      </c>
      <c r="I7673" s="11">
        <f>IFERROR(INDEX(tEditais[Encerramento],MATCH(tItens[[#This Row],[Edital]],tEditais[Edital],0)),"")</f>
        <v>46309.333333333336</v>
      </c>
      <c r="J7673" t="str">
        <f>IFERROR(INDEX(tProdutos[Classe],MATCH(tItens[[#This Row],[Produto]],tProdutos[Produto],0)),"produto não cadastrado")</f>
        <v>FILA REBASE</v>
      </c>
      <c r="K7673" s="12">
        <f>tItens[[#This Row],[Qtd]]*tItens[[#This Row],[Vlr unit]]</f>
        <v>24230</v>
      </c>
      <c r="L7673" s="6">
        <f>IFERROR(IF(INDEX(tProdutos[Desconto homologado],MATCH(tItens[[#This Row],[Produto]],tProdutos[Produto],0))="",DescontoPadrao,INDEX(tProdutos[Desconto homologado],MATCH(tItens[[#This Row],[Produto]],tProdutos[Produto],0))),DescontoPadrao)</f>
        <v>0.253736324829619</v>
      </c>
      <c r="M7673" s="12">
        <f>tItens[[#This Row],[Valor]]*(1-tItens[[#This Row],[Desconto]])</f>
        <v>18081.968849378332</v>
      </c>
      <c r="N7673" t="str">
        <f>IFERROR(INDEX(tProdutos[Foco],MATCH(tItens[[#This Row],[Produto]],tProdutos[Produto],0)),"Não")</f>
        <v>Não</v>
      </c>
      <c r="O7673" t="str">
        <f>IFERROR(INDEX(tEditais[SRP],MATCH(tItens[[#This Row],[Edital]],tEditais[Edital],0)),"Não")</f>
        <v>Sim</v>
      </c>
      <c r="P7673" s="4">
        <f>IF(COUNTIFS(INDEX(tItens[Edital],1):tItens[[#This Row],[Edital]],tItens[[#This Row],[Edital]],INDEX(tItens[Produto],1):tItens[[#This Row],[Produto]],tItens[[#This Row],[Produto]])=1,1,0)</f>
        <v>1</v>
      </c>
    </row>
    <row r="7674" spans="1:16" x14ac:dyDescent="0.25">
      <c r="A7674" t="s">
        <v>2551</v>
      </c>
      <c r="B7674">
        <v>74</v>
      </c>
      <c r="C7674" t="s">
        <v>10244</v>
      </c>
      <c r="D7674" t="s">
        <v>494</v>
      </c>
      <c r="E7674" s="13">
        <v>500</v>
      </c>
      <c r="F7674" s="12">
        <v>114.07</v>
      </c>
      <c r="G7674" t="str">
        <f>IFERROR(INDEX(tEditais[Órgão],MATCH(tItens[[#This Row],[Edital]],tEditais[Edital],0)),"")</f>
        <v>MUNICIPIO DE SANTANA DO LIVRAMENTO</v>
      </c>
      <c r="H7674" t="str">
        <f>IFERROR(INDEX(tEditais[UF],MATCH(tItens[[#This Row],[Edital]],tEditais[Edital],0)),"")</f>
        <v>RS</v>
      </c>
      <c r="I7674" s="11">
        <f>IFERROR(INDEX(tEditais[Encerramento],MATCH(tItens[[#This Row],[Edital]],tEditais[Edital],0)),"")</f>
        <v>46309.333333333336</v>
      </c>
      <c r="J7674" t="str">
        <f>IFERROR(INDEX(tProdutos[Classe],MATCH(tItens[[#This Row],[Produto]],tProdutos[Produto],0)),"produto não cadastrado")</f>
        <v>FILA REBASE</v>
      </c>
      <c r="K7674" s="12">
        <f>tItens[[#This Row],[Qtd]]*tItens[[#This Row],[Vlr unit]]</f>
        <v>57035</v>
      </c>
      <c r="L7674" s="6">
        <f>IFERROR(IF(INDEX(tProdutos[Desconto homologado],MATCH(tItens[[#This Row],[Produto]],tProdutos[Produto],0))="",DescontoPadrao,INDEX(tProdutos[Desconto homologado],MATCH(tItens[[#This Row],[Produto]],tProdutos[Produto],0))),DescontoPadrao)</f>
        <v>0.253736324829619</v>
      </c>
      <c r="M7674" s="12">
        <f>tItens[[#This Row],[Valor]]*(1-tItens[[#This Row],[Desconto]])</f>
        <v>42563.148713342685</v>
      </c>
      <c r="N7674" t="str">
        <f>IFERROR(INDEX(tProdutos[Foco],MATCH(tItens[[#This Row],[Produto]],tProdutos[Produto],0)),"Não")</f>
        <v>Não</v>
      </c>
      <c r="O7674" t="str">
        <f>IFERROR(INDEX(tEditais[SRP],MATCH(tItens[[#This Row],[Edital]],tEditais[Edital],0)),"Não")</f>
        <v>Sim</v>
      </c>
      <c r="P7674" s="4">
        <f>IF(COUNTIFS(INDEX(tItens[Edital],1):tItens[[#This Row],[Edital]],tItens[[#This Row],[Edital]],INDEX(tItens[Produto],1):tItens[[#This Row],[Produto]],tItens[[#This Row],[Produto]])=1,1,0)</f>
        <v>0</v>
      </c>
    </row>
    <row r="7675" spans="1:16" x14ac:dyDescent="0.25">
      <c r="A7675" t="s">
        <v>2551</v>
      </c>
      <c r="B7675">
        <v>76</v>
      </c>
      <c r="C7675" t="s">
        <v>10245</v>
      </c>
      <c r="D7675" t="s">
        <v>267</v>
      </c>
      <c r="E7675" s="13">
        <v>3000</v>
      </c>
      <c r="F7675" s="12">
        <v>8.1</v>
      </c>
      <c r="G7675" t="str">
        <f>IFERROR(INDEX(tEditais[Órgão],MATCH(tItens[[#This Row],[Edital]],tEditais[Edital],0)),"")</f>
        <v>MUNICIPIO DE SANTANA DO LIVRAMENTO</v>
      </c>
      <c r="H7675" t="str">
        <f>IFERROR(INDEX(tEditais[UF],MATCH(tItens[[#This Row],[Edital]],tEditais[Edital],0)),"")</f>
        <v>RS</v>
      </c>
      <c r="I7675" s="11">
        <f>IFERROR(INDEX(tEditais[Encerramento],MATCH(tItens[[#This Row],[Edital]],tEditais[Edital],0)),"")</f>
        <v>46309.333333333336</v>
      </c>
      <c r="J7675" t="str">
        <f>IFERROR(INDEX(tProdutos[Classe],MATCH(tItens[[#This Row],[Produto]],tProdutos[Produto],0)),"produto não cadastrado")</f>
        <v>FORA</v>
      </c>
      <c r="K7675" s="12">
        <f>tItens[[#This Row],[Qtd]]*tItens[[#This Row],[Vlr unit]]</f>
        <v>24300</v>
      </c>
      <c r="L7675" s="6">
        <f>IFERROR(IF(INDEX(tProdutos[Desconto homologado],MATCH(tItens[[#This Row],[Produto]],tProdutos[Produto],0))="",DescontoPadrao,INDEX(tProdutos[Desconto homologado],MATCH(tItens[[#This Row],[Produto]],tProdutos[Produto],0))),DescontoPadrao)</f>
        <v>0.19963672657401599</v>
      </c>
      <c r="M7675" s="12">
        <f>tItens[[#This Row],[Valor]]*(1-tItens[[#This Row],[Desconto]])</f>
        <v>19448.827544251413</v>
      </c>
      <c r="N7675" t="str">
        <f>IFERROR(INDEX(tProdutos[Foco],MATCH(tItens[[#This Row],[Produto]],tProdutos[Produto],0)),"Não")</f>
        <v>Não</v>
      </c>
      <c r="O7675" t="str">
        <f>IFERROR(INDEX(tEditais[SRP],MATCH(tItens[[#This Row],[Edital]],tEditais[Edital],0)),"Não")</f>
        <v>Sim</v>
      </c>
      <c r="P7675" s="4">
        <f>IF(COUNTIFS(INDEX(tItens[Edital],1):tItens[[#This Row],[Edital]],tItens[[#This Row],[Edital]],INDEX(tItens[Produto],1):tItens[[#This Row],[Produto]],tItens[[#This Row],[Produto]])=1,1,0)</f>
        <v>1</v>
      </c>
    </row>
    <row r="7676" spans="1:16" x14ac:dyDescent="0.25">
      <c r="A7676" t="s">
        <v>2551</v>
      </c>
      <c r="B7676">
        <v>77</v>
      </c>
      <c r="C7676" t="s">
        <v>10246</v>
      </c>
      <c r="D7676" t="s">
        <v>275</v>
      </c>
      <c r="E7676" s="13">
        <v>350</v>
      </c>
      <c r="F7676" s="12">
        <v>23.8</v>
      </c>
      <c r="G7676" t="str">
        <f>IFERROR(INDEX(tEditais[Órgão],MATCH(tItens[[#This Row],[Edital]],tEditais[Edital],0)),"")</f>
        <v>MUNICIPIO DE SANTANA DO LIVRAMENTO</v>
      </c>
      <c r="H7676" t="str">
        <f>IFERROR(INDEX(tEditais[UF],MATCH(tItens[[#This Row],[Edital]],tEditais[Edital],0)),"")</f>
        <v>RS</v>
      </c>
      <c r="I7676" s="11">
        <f>IFERROR(INDEX(tEditais[Encerramento],MATCH(tItens[[#This Row],[Edital]],tEditais[Edital],0)),"")</f>
        <v>46309.333333333336</v>
      </c>
      <c r="J7676" t="str">
        <f>IFERROR(INDEX(tProdutos[Classe],MATCH(tItens[[#This Row],[Produto]],tProdutos[Produto],0)),"produto não cadastrado")</f>
        <v>FORA</v>
      </c>
      <c r="K7676" s="12">
        <f>tItens[[#This Row],[Qtd]]*tItens[[#This Row],[Vlr unit]]</f>
        <v>8330</v>
      </c>
      <c r="L7676" s="6">
        <f>IFERROR(IF(INDEX(tProdutos[Desconto homologado],MATCH(tItens[[#This Row],[Produto]],tProdutos[Produto],0))="",DescontoPadrao,INDEX(tProdutos[Desconto homologado],MATCH(tItens[[#This Row],[Produto]],tProdutos[Produto],0))),DescontoPadrao)</f>
        <v>0.405797101449275</v>
      </c>
      <c r="M7676" s="12">
        <f>tItens[[#This Row],[Valor]]*(1-tItens[[#This Row],[Desconto]])</f>
        <v>4949.7101449275397</v>
      </c>
      <c r="N7676" t="str">
        <f>IFERROR(INDEX(tProdutos[Foco],MATCH(tItens[[#This Row],[Produto]],tProdutos[Produto],0)),"Não")</f>
        <v>Não</v>
      </c>
      <c r="O7676" t="str">
        <f>IFERROR(INDEX(tEditais[SRP],MATCH(tItens[[#This Row],[Edital]],tEditais[Edital],0)),"Não")</f>
        <v>Sim</v>
      </c>
      <c r="P7676" s="4">
        <f>IF(COUNTIFS(INDEX(tItens[Edital],1):tItens[[#This Row],[Edital]],tItens[[#This Row],[Edital]],INDEX(tItens[Produto],1):tItens[[#This Row],[Produto]],tItens[[#This Row],[Produto]])=1,1,0)</f>
        <v>1</v>
      </c>
    </row>
    <row r="7677" spans="1:16" x14ac:dyDescent="0.25">
      <c r="A7677" t="s">
        <v>2551</v>
      </c>
      <c r="B7677">
        <v>78</v>
      </c>
      <c r="C7677" t="s">
        <v>10247</v>
      </c>
      <c r="D7677" t="s">
        <v>283</v>
      </c>
      <c r="E7677" s="13">
        <v>1000</v>
      </c>
      <c r="F7677" s="12">
        <v>25.78</v>
      </c>
      <c r="G7677" t="str">
        <f>IFERROR(INDEX(tEditais[Órgão],MATCH(tItens[[#This Row],[Edital]],tEditais[Edital],0)),"")</f>
        <v>MUNICIPIO DE SANTANA DO LIVRAMENTO</v>
      </c>
      <c r="H7677" t="str">
        <f>IFERROR(INDEX(tEditais[UF],MATCH(tItens[[#This Row],[Edital]],tEditais[Edital],0)),"")</f>
        <v>RS</v>
      </c>
      <c r="I7677" s="11">
        <f>IFERROR(INDEX(tEditais[Encerramento],MATCH(tItens[[#This Row],[Edital]],tEditais[Edital],0)),"")</f>
        <v>46309.333333333336</v>
      </c>
      <c r="J7677" t="str">
        <f>IFERROR(INDEX(tProdutos[Classe],MATCH(tItens[[#This Row],[Produto]],tProdutos[Produto],0)),"produto não cadastrado")</f>
        <v>FORA</v>
      </c>
      <c r="K7677" s="12">
        <f>tItens[[#This Row],[Qtd]]*tItens[[#This Row],[Vlr unit]]</f>
        <v>25780</v>
      </c>
      <c r="L7677" s="6">
        <f>IFERROR(IF(INDEX(tProdutos[Desconto homologado],MATCH(tItens[[#This Row],[Produto]],tProdutos[Produto],0))="",DescontoPadrao,INDEX(tProdutos[Desconto homologado],MATCH(tItens[[#This Row],[Produto]],tProdutos[Produto],0))),DescontoPadrao)</f>
        <v>0.40540540540540498</v>
      </c>
      <c r="M7677" s="12">
        <f>tItens[[#This Row],[Valor]]*(1-tItens[[#This Row],[Desconto]])</f>
        <v>15328.648648648657</v>
      </c>
      <c r="N7677" t="str">
        <f>IFERROR(INDEX(tProdutos[Foco],MATCH(tItens[[#This Row],[Produto]],tProdutos[Produto],0)),"Não")</f>
        <v>Não</v>
      </c>
      <c r="O7677" t="str">
        <f>IFERROR(INDEX(tEditais[SRP],MATCH(tItens[[#This Row],[Edital]],tEditais[Edital],0)),"Não")</f>
        <v>Sim</v>
      </c>
      <c r="P7677" s="4">
        <f>IF(COUNTIFS(INDEX(tItens[Edital],1):tItens[[#This Row],[Edital]],tItens[[#This Row],[Edital]],INDEX(tItens[Produto],1):tItens[[#This Row],[Produto]],tItens[[#This Row],[Produto]])=1,1,0)</f>
        <v>1</v>
      </c>
    </row>
    <row r="7678" spans="1:16" x14ac:dyDescent="0.25">
      <c r="A7678" t="s">
        <v>2551</v>
      </c>
      <c r="B7678">
        <v>79</v>
      </c>
      <c r="C7678" t="s">
        <v>10247</v>
      </c>
      <c r="D7678" t="s">
        <v>283</v>
      </c>
      <c r="E7678" s="13">
        <v>1000</v>
      </c>
      <c r="F7678" s="12">
        <v>27.35</v>
      </c>
      <c r="G7678" t="str">
        <f>IFERROR(INDEX(tEditais[Órgão],MATCH(tItens[[#This Row],[Edital]],tEditais[Edital],0)),"")</f>
        <v>MUNICIPIO DE SANTANA DO LIVRAMENTO</v>
      </c>
      <c r="H7678" t="str">
        <f>IFERROR(INDEX(tEditais[UF],MATCH(tItens[[#This Row],[Edital]],tEditais[Edital],0)),"")</f>
        <v>RS</v>
      </c>
      <c r="I7678" s="11">
        <f>IFERROR(INDEX(tEditais[Encerramento],MATCH(tItens[[#This Row],[Edital]],tEditais[Edital],0)),"")</f>
        <v>46309.333333333336</v>
      </c>
      <c r="J7678" t="str">
        <f>IFERROR(INDEX(tProdutos[Classe],MATCH(tItens[[#This Row],[Produto]],tProdutos[Produto],0)),"produto não cadastrado")</f>
        <v>FORA</v>
      </c>
      <c r="K7678" s="12">
        <f>tItens[[#This Row],[Qtd]]*tItens[[#This Row],[Vlr unit]]</f>
        <v>27350</v>
      </c>
      <c r="L7678" s="6">
        <f>IFERROR(IF(INDEX(tProdutos[Desconto homologado],MATCH(tItens[[#This Row],[Produto]],tProdutos[Produto],0))="",DescontoPadrao,INDEX(tProdutos[Desconto homologado],MATCH(tItens[[#This Row],[Produto]],tProdutos[Produto],0))),DescontoPadrao)</f>
        <v>0.40540540540540498</v>
      </c>
      <c r="M7678" s="12">
        <f>tItens[[#This Row],[Valor]]*(1-tItens[[#This Row],[Desconto]])</f>
        <v>16262.162162162173</v>
      </c>
      <c r="N7678" t="str">
        <f>IFERROR(INDEX(tProdutos[Foco],MATCH(tItens[[#This Row],[Produto]],tProdutos[Produto],0)),"Não")</f>
        <v>Não</v>
      </c>
      <c r="O7678" t="str">
        <f>IFERROR(INDEX(tEditais[SRP],MATCH(tItens[[#This Row],[Edital]],tEditais[Edital],0)),"Não")</f>
        <v>Sim</v>
      </c>
      <c r="P7678" s="4">
        <f>IF(COUNTIFS(INDEX(tItens[Edital],1):tItens[[#This Row],[Edital]],tItens[[#This Row],[Edital]],INDEX(tItens[Produto],1):tItens[[#This Row],[Produto]],tItens[[#This Row],[Produto]])=1,1,0)</f>
        <v>0</v>
      </c>
    </row>
    <row r="7679" spans="1:16" x14ac:dyDescent="0.25">
      <c r="A7679" t="s">
        <v>2551</v>
      </c>
      <c r="B7679">
        <v>80</v>
      </c>
      <c r="C7679" t="s">
        <v>10248</v>
      </c>
      <c r="D7679" t="s">
        <v>265</v>
      </c>
      <c r="E7679" s="13">
        <v>1000</v>
      </c>
      <c r="F7679" s="12">
        <v>25.41</v>
      </c>
      <c r="G7679" t="str">
        <f>IFERROR(INDEX(tEditais[Órgão],MATCH(tItens[[#This Row],[Edital]],tEditais[Edital],0)),"")</f>
        <v>MUNICIPIO DE SANTANA DO LIVRAMENTO</v>
      </c>
      <c r="H7679" t="str">
        <f>IFERROR(INDEX(tEditais[UF],MATCH(tItens[[#This Row],[Edital]],tEditais[Edital],0)),"")</f>
        <v>RS</v>
      </c>
      <c r="I7679" s="11">
        <f>IFERROR(INDEX(tEditais[Encerramento],MATCH(tItens[[#This Row],[Edital]],tEditais[Edital],0)),"")</f>
        <v>46309.333333333336</v>
      </c>
      <c r="J7679" t="str">
        <f>IFERROR(INDEX(tProdutos[Classe],MATCH(tItens[[#This Row],[Produto]],tProdutos[Produto],0)),"produto não cadastrado")</f>
        <v>DISPUTADO</v>
      </c>
      <c r="K7679" s="12">
        <f>tItens[[#This Row],[Qtd]]*tItens[[#This Row],[Vlr unit]]</f>
        <v>25410</v>
      </c>
      <c r="L7679" s="6">
        <f>IFERROR(IF(INDEX(tProdutos[Desconto homologado],MATCH(tItens[[#This Row],[Produto]],tProdutos[Produto],0))="",DescontoPadrao,INDEX(tProdutos[Desconto homologado],MATCH(tItens[[#This Row],[Produto]],tProdutos[Produto],0))),DescontoPadrao)</f>
        <v>0.377587663709337</v>
      </c>
      <c r="M7679" s="12">
        <f>tItens[[#This Row],[Valor]]*(1-tItens[[#This Row],[Desconto]])</f>
        <v>15815.497465145749</v>
      </c>
      <c r="N7679" t="str">
        <f>IFERROR(INDEX(tProdutos[Foco],MATCH(tItens[[#This Row],[Produto]],tProdutos[Produto],0)),"Não")</f>
        <v>Não</v>
      </c>
      <c r="O7679" t="str">
        <f>IFERROR(INDEX(tEditais[SRP],MATCH(tItens[[#This Row],[Edital]],tEditais[Edital],0)),"Não")</f>
        <v>Sim</v>
      </c>
      <c r="P7679" s="4">
        <f>IF(COUNTIFS(INDEX(tItens[Edital],1):tItens[[#This Row],[Edital]],tItens[[#This Row],[Edital]],INDEX(tItens[Produto],1):tItens[[#This Row],[Produto]],tItens[[#This Row],[Produto]])=1,1,0)</f>
        <v>1</v>
      </c>
    </row>
    <row r="7680" spans="1:16" x14ac:dyDescent="0.25">
      <c r="A7680" t="s">
        <v>2551</v>
      </c>
      <c r="B7680">
        <v>81</v>
      </c>
      <c r="C7680" t="s">
        <v>10248</v>
      </c>
      <c r="D7680" t="s">
        <v>265</v>
      </c>
      <c r="E7680" s="13">
        <v>1000</v>
      </c>
      <c r="F7680" s="12">
        <v>30.05</v>
      </c>
      <c r="G7680" t="str">
        <f>IFERROR(INDEX(tEditais[Órgão],MATCH(tItens[[#This Row],[Edital]],tEditais[Edital],0)),"")</f>
        <v>MUNICIPIO DE SANTANA DO LIVRAMENTO</v>
      </c>
      <c r="H7680" t="str">
        <f>IFERROR(INDEX(tEditais[UF],MATCH(tItens[[#This Row],[Edital]],tEditais[Edital],0)),"")</f>
        <v>RS</v>
      </c>
      <c r="I7680" s="11">
        <f>IFERROR(INDEX(tEditais[Encerramento],MATCH(tItens[[#This Row],[Edital]],tEditais[Edital],0)),"")</f>
        <v>46309.333333333336</v>
      </c>
      <c r="J7680" t="str">
        <f>IFERROR(INDEX(tProdutos[Classe],MATCH(tItens[[#This Row],[Produto]],tProdutos[Produto],0)),"produto não cadastrado")</f>
        <v>DISPUTADO</v>
      </c>
      <c r="K7680" s="12">
        <f>tItens[[#This Row],[Qtd]]*tItens[[#This Row],[Vlr unit]]</f>
        <v>30050</v>
      </c>
      <c r="L7680" s="6">
        <f>IFERROR(IF(INDEX(tProdutos[Desconto homologado],MATCH(tItens[[#This Row],[Produto]],tProdutos[Produto],0))="",DescontoPadrao,INDEX(tProdutos[Desconto homologado],MATCH(tItens[[#This Row],[Produto]],tProdutos[Produto],0))),DescontoPadrao)</f>
        <v>0.377587663709337</v>
      </c>
      <c r="M7680" s="12">
        <f>tItens[[#This Row],[Valor]]*(1-tItens[[#This Row],[Desconto]])</f>
        <v>18703.490705534427</v>
      </c>
      <c r="N7680" t="str">
        <f>IFERROR(INDEX(tProdutos[Foco],MATCH(tItens[[#This Row],[Produto]],tProdutos[Produto],0)),"Não")</f>
        <v>Não</v>
      </c>
      <c r="O7680" t="str">
        <f>IFERROR(INDEX(tEditais[SRP],MATCH(tItens[[#This Row],[Edital]],tEditais[Edital],0)),"Não")</f>
        <v>Sim</v>
      </c>
      <c r="P7680" s="4">
        <f>IF(COUNTIFS(INDEX(tItens[Edital],1):tItens[[#This Row],[Edital]],tItens[[#This Row],[Edital]],INDEX(tItens[Produto],1):tItens[[#This Row],[Produto]],tItens[[#This Row],[Produto]])=1,1,0)</f>
        <v>0</v>
      </c>
    </row>
    <row r="7681" spans="1:16" x14ac:dyDescent="0.25">
      <c r="A7681" t="s">
        <v>2551</v>
      </c>
      <c r="B7681">
        <v>82</v>
      </c>
      <c r="C7681" t="s">
        <v>10249</v>
      </c>
      <c r="D7681" t="s">
        <v>281</v>
      </c>
      <c r="E7681" s="13">
        <v>1000</v>
      </c>
      <c r="F7681" s="12">
        <v>31.09</v>
      </c>
      <c r="G7681" t="str">
        <f>IFERROR(INDEX(tEditais[Órgão],MATCH(tItens[[#This Row],[Edital]],tEditais[Edital],0)),"")</f>
        <v>MUNICIPIO DE SANTANA DO LIVRAMENTO</v>
      </c>
      <c r="H7681" t="str">
        <f>IFERROR(INDEX(tEditais[UF],MATCH(tItens[[#This Row],[Edital]],tEditais[Edital],0)),"")</f>
        <v>RS</v>
      </c>
      <c r="I7681" s="11">
        <f>IFERROR(INDEX(tEditais[Encerramento],MATCH(tItens[[#This Row],[Edital]],tEditais[Edital],0)),"")</f>
        <v>46309.333333333336</v>
      </c>
      <c r="J7681" t="str">
        <f>IFERROR(INDEX(tProdutos[Classe],MATCH(tItens[[#This Row],[Produto]],tProdutos[Produto],0)),"produto não cadastrado")</f>
        <v>DISPUTADO</v>
      </c>
      <c r="K7681" s="12">
        <f>tItens[[#This Row],[Qtd]]*tItens[[#This Row],[Vlr unit]]</f>
        <v>31090</v>
      </c>
      <c r="L7681" s="6">
        <f>IFERROR(IF(INDEX(tProdutos[Desconto homologado],MATCH(tItens[[#This Row],[Produto]],tProdutos[Produto],0))="",DescontoPadrao,INDEX(tProdutos[Desconto homologado],MATCH(tItens[[#This Row],[Produto]],tProdutos[Produto],0))),DescontoPadrao)</f>
        <v>0.42461538461538501</v>
      </c>
      <c r="M7681" s="12">
        <f>tItens[[#This Row],[Valor]]*(1-tItens[[#This Row],[Desconto]])</f>
        <v>17888.707692307678</v>
      </c>
      <c r="N7681" t="str">
        <f>IFERROR(INDEX(tProdutos[Foco],MATCH(tItens[[#This Row],[Produto]],tProdutos[Produto],0)),"Não")</f>
        <v>Não</v>
      </c>
      <c r="O7681" t="str">
        <f>IFERROR(INDEX(tEditais[SRP],MATCH(tItens[[#This Row],[Edital]],tEditais[Edital],0)),"Não")</f>
        <v>Sim</v>
      </c>
      <c r="P7681" s="4">
        <f>IF(COUNTIFS(INDEX(tItens[Edital],1):tItens[[#This Row],[Edital]],tItens[[#This Row],[Edital]],INDEX(tItens[Produto],1):tItens[[#This Row],[Produto]],tItens[[#This Row],[Produto]])=1,1,0)</f>
        <v>1</v>
      </c>
    </row>
    <row r="7682" spans="1:16" x14ac:dyDescent="0.25">
      <c r="A7682" t="s">
        <v>2551</v>
      </c>
      <c r="B7682">
        <v>83</v>
      </c>
      <c r="C7682" t="s">
        <v>10250</v>
      </c>
      <c r="D7682" t="s">
        <v>289</v>
      </c>
      <c r="E7682" s="13">
        <v>1000</v>
      </c>
      <c r="F7682" s="12">
        <v>34.69</v>
      </c>
      <c r="G7682" t="str">
        <f>IFERROR(INDEX(tEditais[Órgão],MATCH(tItens[[#This Row],[Edital]],tEditais[Edital],0)),"")</f>
        <v>MUNICIPIO DE SANTANA DO LIVRAMENTO</v>
      </c>
      <c r="H7682" t="str">
        <f>IFERROR(INDEX(tEditais[UF],MATCH(tItens[[#This Row],[Edital]],tEditais[Edital],0)),"")</f>
        <v>RS</v>
      </c>
      <c r="I7682" s="11">
        <f>IFERROR(INDEX(tEditais[Encerramento],MATCH(tItens[[#This Row],[Edital]],tEditais[Edital],0)),"")</f>
        <v>46309.333333333336</v>
      </c>
      <c r="J7682" t="str">
        <f>IFERROR(INDEX(tProdutos[Classe],MATCH(tItens[[#This Row],[Produto]],tProdutos[Produto],0)),"produto não cadastrado")</f>
        <v>DISPUTADO</v>
      </c>
      <c r="K7682" s="12">
        <f>tItens[[#This Row],[Qtd]]*tItens[[#This Row],[Vlr unit]]</f>
        <v>34690</v>
      </c>
      <c r="L7682" s="6">
        <f>IFERROR(IF(INDEX(tProdutos[Desconto homologado],MATCH(tItens[[#This Row],[Produto]],tProdutos[Produto],0))="",DescontoPadrao,INDEX(tProdutos[Desconto homologado],MATCH(tItens[[#This Row],[Produto]],tProdutos[Produto],0))),DescontoPadrao)</f>
        <v>0.35849056603773599</v>
      </c>
      <c r="M7682" s="12">
        <f>tItens[[#This Row],[Valor]]*(1-tItens[[#This Row],[Desconto]])</f>
        <v>22253.962264150938</v>
      </c>
      <c r="N7682" t="str">
        <f>IFERROR(INDEX(tProdutos[Foco],MATCH(tItens[[#This Row],[Produto]],tProdutos[Produto],0)),"Não")</f>
        <v>Não</v>
      </c>
      <c r="O7682" t="str">
        <f>IFERROR(INDEX(tEditais[SRP],MATCH(tItens[[#This Row],[Edital]],tEditais[Edital],0)),"Não")</f>
        <v>Sim</v>
      </c>
      <c r="P7682" s="4">
        <f>IF(COUNTIFS(INDEX(tItens[Edital],1):tItens[[#This Row],[Edital]],tItens[[#This Row],[Edital]],INDEX(tItens[Produto],1):tItens[[#This Row],[Produto]],tItens[[#This Row],[Produto]])=1,1,0)</f>
        <v>1</v>
      </c>
    </row>
    <row r="7683" spans="1:16" x14ac:dyDescent="0.25">
      <c r="A7683" t="s">
        <v>2551</v>
      </c>
      <c r="B7683">
        <v>90</v>
      </c>
      <c r="C7683" t="s">
        <v>10251</v>
      </c>
      <c r="D7683" t="s">
        <v>110</v>
      </c>
      <c r="E7683" s="13">
        <v>2500</v>
      </c>
      <c r="F7683" s="12">
        <v>2.08</v>
      </c>
      <c r="G7683" t="str">
        <f>IFERROR(INDEX(tEditais[Órgão],MATCH(tItens[[#This Row],[Edital]],tEditais[Edital],0)),"")</f>
        <v>MUNICIPIO DE SANTANA DO LIVRAMENTO</v>
      </c>
      <c r="H7683" t="str">
        <f>IFERROR(INDEX(tEditais[UF],MATCH(tItens[[#This Row],[Edital]],tEditais[Edital],0)),"")</f>
        <v>RS</v>
      </c>
      <c r="I7683" s="11">
        <f>IFERROR(INDEX(tEditais[Encerramento],MATCH(tItens[[#This Row],[Edital]],tEditais[Edital],0)),"")</f>
        <v>46309.333333333336</v>
      </c>
      <c r="J7683" t="str">
        <f>IFERROR(INDEX(tProdutos[Classe],MATCH(tItens[[#This Row],[Produto]],tProdutos[Produto],0)),"produto não cadastrado")</f>
        <v>NÚCLEO</v>
      </c>
      <c r="K7683" s="12">
        <f>tItens[[#This Row],[Qtd]]*tItens[[#This Row],[Vlr unit]]</f>
        <v>5200</v>
      </c>
      <c r="L7683" s="6">
        <f>IFERROR(IF(INDEX(tProdutos[Desconto homologado],MATCH(tItens[[#This Row],[Produto]],tProdutos[Produto],0))="",DescontoPadrao,INDEX(tProdutos[Desconto homologado],MATCH(tItens[[#This Row],[Produto]],tProdutos[Produto],0))),DescontoPadrao)</f>
        <v>0.30410958904109597</v>
      </c>
      <c r="M7683" s="12">
        <f>tItens[[#This Row],[Valor]]*(1-tItens[[#This Row],[Desconto]])</f>
        <v>3618.6301369863008</v>
      </c>
      <c r="N7683" t="str">
        <f>IFERROR(INDEX(tProdutos[Foco],MATCH(tItens[[#This Row],[Produto]],tProdutos[Produto],0)),"Não")</f>
        <v>Não</v>
      </c>
      <c r="O7683" t="str">
        <f>IFERROR(INDEX(tEditais[SRP],MATCH(tItens[[#This Row],[Edital]],tEditais[Edital],0)),"Não")</f>
        <v>Sim</v>
      </c>
      <c r="P7683" s="4">
        <f>IF(COUNTIFS(INDEX(tItens[Edital],1):tItens[[#This Row],[Edital]],tItens[[#This Row],[Edital]],INDEX(tItens[Produto],1):tItens[[#This Row],[Produto]],tItens[[#This Row],[Produto]])=1,1,0)</f>
        <v>1</v>
      </c>
    </row>
    <row r="7684" spans="1:16" x14ac:dyDescent="0.25">
      <c r="A7684" t="s">
        <v>2551</v>
      </c>
      <c r="B7684">
        <v>91</v>
      </c>
      <c r="C7684" t="s">
        <v>10252</v>
      </c>
      <c r="D7684" t="s">
        <v>110</v>
      </c>
      <c r="E7684" s="13">
        <v>1000</v>
      </c>
      <c r="F7684" s="12">
        <v>2.39</v>
      </c>
      <c r="G7684" t="str">
        <f>IFERROR(INDEX(tEditais[Órgão],MATCH(tItens[[#This Row],[Edital]],tEditais[Edital],0)),"")</f>
        <v>MUNICIPIO DE SANTANA DO LIVRAMENTO</v>
      </c>
      <c r="H7684" t="str">
        <f>IFERROR(INDEX(tEditais[UF],MATCH(tItens[[#This Row],[Edital]],tEditais[Edital],0)),"")</f>
        <v>RS</v>
      </c>
      <c r="I7684" s="11">
        <f>IFERROR(INDEX(tEditais[Encerramento],MATCH(tItens[[#This Row],[Edital]],tEditais[Edital],0)),"")</f>
        <v>46309.333333333336</v>
      </c>
      <c r="J7684" t="str">
        <f>IFERROR(INDEX(tProdutos[Classe],MATCH(tItens[[#This Row],[Produto]],tProdutos[Produto],0)),"produto não cadastrado")</f>
        <v>NÚCLEO</v>
      </c>
      <c r="K7684" s="12">
        <f>tItens[[#This Row],[Qtd]]*tItens[[#This Row],[Vlr unit]]</f>
        <v>2390</v>
      </c>
      <c r="L7684" s="6">
        <f>IFERROR(IF(INDEX(tProdutos[Desconto homologado],MATCH(tItens[[#This Row],[Produto]],tProdutos[Produto],0))="",DescontoPadrao,INDEX(tProdutos[Desconto homologado],MATCH(tItens[[#This Row],[Produto]],tProdutos[Produto],0))),DescontoPadrao)</f>
        <v>0.30410958904109597</v>
      </c>
      <c r="M7684" s="12">
        <f>tItens[[#This Row],[Valor]]*(1-tItens[[#This Row],[Desconto]])</f>
        <v>1663.1780821917807</v>
      </c>
      <c r="N7684" t="str">
        <f>IFERROR(INDEX(tProdutos[Foco],MATCH(tItens[[#This Row],[Produto]],tProdutos[Produto],0)),"Não")</f>
        <v>Não</v>
      </c>
      <c r="O7684" t="str">
        <f>IFERROR(INDEX(tEditais[SRP],MATCH(tItens[[#This Row],[Edital]],tEditais[Edital],0)),"Não")</f>
        <v>Sim</v>
      </c>
      <c r="P7684" s="4">
        <f>IF(COUNTIFS(INDEX(tItens[Edital],1):tItens[[#This Row],[Edital]],tItens[[#This Row],[Edital]],INDEX(tItens[Produto],1):tItens[[#This Row],[Produto]],tItens[[#This Row],[Produto]])=1,1,0)</f>
        <v>0</v>
      </c>
    </row>
    <row r="7685" spans="1:16" x14ac:dyDescent="0.25">
      <c r="A7685" t="s">
        <v>2551</v>
      </c>
      <c r="B7685">
        <v>92</v>
      </c>
      <c r="C7685" t="s">
        <v>10253</v>
      </c>
      <c r="D7685" t="s">
        <v>164</v>
      </c>
      <c r="E7685" s="13">
        <v>1000</v>
      </c>
      <c r="F7685" s="12">
        <v>9.34</v>
      </c>
      <c r="G7685" t="str">
        <f>IFERROR(INDEX(tEditais[Órgão],MATCH(tItens[[#This Row],[Edital]],tEditais[Edital],0)),"")</f>
        <v>MUNICIPIO DE SANTANA DO LIVRAMENTO</v>
      </c>
      <c r="H7685" t="str">
        <f>IFERROR(INDEX(tEditais[UF],MATCH(tItens[[#This Row],[Edital]],tEditais[Edital],0)),"")</f>
        <v>RS</v>
      </c>
      <c r="I7685" s="11">
        <f>IFERROR(INDEX(tEditais[Encerramento],MATCH(tItens[[#This Row],[Edital]],tEditais[Edital],0)),"")</f>
        <v>46309.333333333336</v>
      </c>
      <c r="J7685" t="str">
        <f>IFERROR(INDEX(tProdutos[Classe],MATCH(tItens[[#This Row],[Produto]],tProdutos[Produto],0)),"produto não cadastrado")</f>
        <v>DISPUTADO</v>
      </c>
      <c r="K7685" s="12">
        <f>tItens[[#This Row],[Qtd]]*tItens[[#This Row],[Vlr unit]]</f>
        <v>9340</v>
      </c>
      <c r="L7685" s="6">
        <f>IFERROR(IF(INDEX(tProdutos[Desconto homologado],MATCH(tItens[[#This Row],[Produto]],tProdutos[Produto],0))="",DescontoPadrao,INDEX(tProdutos[Desconto homologado],MATCH(tItens[[#This Row],[Produto]],tProdutos[Produto],0))),DescontoPadrao)</f>
        <v>0.445300462249615</v>
      </c>
      <c r="M7685" s="12">
        <f>tItens[[#This Row],[Valor]]*(1-tItens[[#This Row],[Desconto]])</f>
        <v>5180.8936825885958</v>
      </c>
      <c r="N7685" t="str">
        <f>IFERROR(INDEX(tProdutos[Foco],MATCH(tItens[[#This Row],[Produto]],tProdutos[Produto],0)),"Não")</f>
        <v>Não</v>
      </c>
      <c r="O7685" t="str">
        <f>IFERROR(INDEX(tEditais[SRP],MATCH(tItens[[#This Row],[Edital]],tEditais[Edital],0)),"Não")</f>
        <v>Sim</v>
      </c>
      <c r="P7685" s="4">
        <f>IF(COUNTIFS(INDEX(tItens[Edital],1):tItens[[#This Row],[Edital]],tItens[[#This Row],[Edital]],INDEX(tItens[Produto],1):tItens[[#This Row],[Produto]],tItens[[#This Row],[Produto]])=1,1,0)</f>
        <v>1</v>
      </c>
    </row>
    <row r="7686" spans="1:16" x14ac:dyDescent="0.25">
      <c r="A7686" t="s">
        <v>2551</v>
      </c>
      <c r="B7686">
        <v>93</v>
      </c>
      <c r="C7686" t="s">
        <v>10254</v>
      </c>
      <c r="D7686" t="s">
        <v>164</v>
      </c>
      <c r="E7686" s="13">
        <v>500</v>
      </c>
      <c r="F7686" s="12">
        <v>13.91</v>
      </c>
      <c r="G7686" t="str">
        <f>IFERROR(INDEX(tEditais[Órgão],MATCH(tItens[[#This Row],[Edital]],tEditais[Edital],0)),"")</f>
        <v>MUNICIPIO DE SANTANA DO LIVRAMENTO</v>
      </c>
      <c r="H7686" t="str">
        <f>IFERROR(INDEX(tEditais[UF],MATCH(tItens[[#This Row],[Edital]],tEditais[Edital],0)),"")</f>
        <v>RS</v>
      </c>
      <c r="I7686" s="11">
        <f>IFERROR(INDEX(tEditais[Encerramento],MATCH(tItens[[#This Row],[Edital]],tEditais[Edital],0)),"")</f>
        <v>46309.333333333336</v>
      </c>
      <c r="J7686" t="str">
        <f>IFERROR(INDEX(tProdutos[Classe],MATCH(tItens[[#This Row],[Produto]],tProdutos[Produto],0)),"produto não cadastrado")</f>
        <v>DISPUTADO</v>
      </c>
      <c r="K7686" s="12">
        <f>tItens[[#This Row],[Qtd]]*tItens[[#This Row],[Vlr unit]]</f>
        <v>6955</v>
      </c>
      <c r="L7686" s="6">
        <f>IFERROR(IF(INDEX(tProdutos[Desconto homologado],MATCH(tItens[[#This Row],[Produto]],tProdutos[Produto],0))="",DescontoPadrao,INDEX(tProdutos[Desconto homologado],MATCH(tItens[[#This Row],[Produto]],tProdutos[Produto],0))),DescontoPadrao)</f>
        <v>0.445300462249615</v>
      </c>
      <c r="M7686" s="12">
        <f>tItens[[#This Row],[Valor]]*(1-tItens[[#This Row],[Desconto]])</f>
        <v>3857.9352850539271</v>
      </c>
      <c r="N7686" t="str">
        <f>IFERROR(INDEX(tProdutos[Foco],MATCH(tItens[[#This Row],[Produto]],tProdutos[Produto],0)),"Não")</f>
        <v>Não</v>
      </c>
      <c r="O7686" t="str">
        <f>IFERROR(INDEX(tEditais[SRP],MATCH(tItens[[#This Row],[Edital]],tEditais[Edital],0)),"Não")</f>
        <v>Sim</v>
      </c>
      <c r="P7686" s="4">
        <f>IF(COUNTIFS(INDEX(tItens[Edital],1):tItens[[#This Row],[Edital]],tItens[[#This Row],[Edital]],INDEX(tItens[Produto],1):tItens[[#This Row],[Produto]],tItens[[#This Row],[Produto]])=1,1,0)</f>
        <v>0</v>
      </c>
    </row>
    <row r="7687" spans="1:16" x14ac:dyDescent="0.25">
      <c r="A7687" t="s">
        <v>2551</v>
      </c>
      <c r="B7687">
        <v>94</v>
      </c>
      <c r="C7687" t="s">
        <v>10255</v>
      </c>
      <c r="D7687" t="s">
        <v>120</v>
      </c>
      <c r="E7687" s="13">
        <v>15000</v>
      </c>
      <c r="F7687" s="12">
        <v>2.06</v>
      </c>
      <c r="G7687" t="str">
        <f>IFERROR(INDEX(tEditais[Órgão],MATCH(tItens[[#This Row],[Edital]],tEditais[Edital],0)),"")</f>
        <v>MUNICIPIO DE SANTANA DO LIVRAMENTO</v>
      </c>
      <c r="H7687" t="str">
        <f>IFERROR(INDEX(tEditais[UF],MATCH(tItens[[#This Row],[Edital]],tEditais[Edital],0)),"")</f>
        <v>RS</v>
      </c>
      <c r="I7687" s="11">
        <f>IFERROR(INDEX(tEditais[Encerramento],MATCH(tItens[[#This Row],[Edital]],tEditais[Edital],0)),"")</f>
        <v>46309.333333333336</v>
      </c>
      <c r="J7687" t="str">
        <f>IFERROR(INDEX(tProdutos[Classe],MATCH(tItens[[#This Row],[Produto]],tProdutos[Produto],0)),"produto não cadastrado")</f>
        <v>DISPUTADO</v>
      </c>
      <c r="K7687" s="12">
        <f>tItens[[#This Row],[Qtd]]*tItens[[#This Row],[Vlr unit]]</f>
        <v>30900</v>
      </c>
      <c r="L7687" s="6">
        <f>IFERROR(IF(INDEX(tProdutos[Desconto homologado],MATCH(tItens[[#This Row],[Produto]],tProdutos[Produto],0))="",DescontoPadrao,INDEX(tProdutos[Desconto homologado],MATCH(tItens[[#This Row],[Produto]],tProdutos[Produto],0))),DescontoPadrao)</f>
        <v>0.40909090909090901</v>
      </c>
      <c r="M7687" s="12">
        <f>tItens[[#This Row],[Valor]]*(1-tItens[[#This Row],[Desconto]])</f>
        <v>18259.090909090912</v>
      </c>
      <c r="N7687" t="str">
        <f>IFERROR(INDEX(tProdutos[Foco],MATCH(tItens[[#This Row],[Produto]],tProdutos[Produto],0)),"Não")</f>
        <v>Não</v>
      </c>
      <c r="O7687" t="str">
        <f>IFERROR(INDEX(tEditais[SRP],MATCH(tItens[[#This Row],[Edital]],tEditais[Edital],0)),"Não")</f>
        <v>Sim</v>
      </c>
      <c r="P7687" s="4">
        <f>IF(COUNTIFS(INDEX(tItens[Edital],1):tItens[[#This Row],[Edital]],tItens[[#This Row],[Edital]],INDEX(tItens[Produto],1):tItens[[#This Row],[Produto]],tItens[[#This Row],[Produto]])=1,1,0)</f>
        <v>1</v>
      </c>
    </row>
    <row r="7688" spans="1:16" x14ac:dyDescent="0.25">
      <c r="A7688" t="s">
        <v>2551</v>
      </c>
      <c r="B7688">
        <v>95</v>
      </c>
      <c r="C7688" t="s">
        <v>10256</v>
      </c>
      <c r="D7688" t="s">
        <v>120</v>
      </c>
      <c r="E7688" s="13">
        <v>10000</v>
      </c>
      <c r="F7688" s="12">
        <v>1.61</v>
      </c>
      <c r="G7688" t="str">
        <f>IFERROR(INDEX(tEditais[Órgão],MATCH(tItens[[#This Row],[Edital]],tEditais[Edital],0)),"")</f>
        <v>MUNICIPIO DE SANTANA DO LIVRAMENTO</v>
      </c>
      <c r="H7688" t="str">
        <f>IFERROR(INDEX(tEditais[UF],MATCH(tItens[[#This Row],[Edital]],tEditais[Edital],0)),"")</f>
        <v>RS</v>
      </c>
      <c r="I7688" s="11">
        <f>IFERROR(INDEX(tEditais[Encerramento],MATCH(tItens[[#This Row],[Edital]],tEditais[Edital],0)),"")</f>
        <v>46309.333333333336</v>
      </c>
      <c r="J7688" t="str">
        <f>IFERROR(INDEX(tProdutos[Classe],MATCH(tItens[[#This Row],[Produto]],tProdutos[Produto],0)),"produto não cadastrado")</f>
        <v>DISPUTADO</v>
      </c>
      <c r="K7688" s="12">
        <f>tItens[[#This Row],[Qtd]]*tItens[[#This Row],[Vlr unit]]</f>
        <v>16100.000000000002</v>
      </c>
      <c r="L7688" s="6">
        <f>IFERROR(IF(INDEX(tProdutos[Desconto homologado],MATCH(tItens[[#This Row],[Produto]],tProdutos[Produto],0))="",DescontoPadrao,INDEX(tProdutos[Desconto homologado],MATCH(tItens[[#This Row],[Produto]],tProdutos[Produto],0))),DescontoPadrao)</f>
        <v>0.40909090909090901</v>
      </c>
      <c r="M7688" s="12">
        <f>tItens[[#This Row],[Valor]]*(1-tItens[[#This Row],[Desconto]])</f>
        <v>9513.6363636363676</v>
      </c>
      <c r="N7688" t="str">
        <f>IFERROR(INDEX(tProdutos[Foco],MATCH(tItens[[#This Row],[Produto]],tProdutos[Produto],0)),"Não")</f>
        <v>Não</v>
      </c>
      <c r="O7688" t="str">
        <f>IFERROR(INDEX(tEditais[SRP],MATCH(tItens[[#This Row],[Edital]],tEditais[Edital],0)),"Não")</f>
        <v>Sim</v>
      </c>
      <c r="P7688" s="4">
        <f>IF(COUNTIFS(INDEX(tItens[Edital],1):tItens[[#This Row],[Edital]],tItens[[#This Row],[Edital]],INDEX(tItens[Produto],1):tItens[[#This Row],[Produto]],tItens[[#This Row],[Produto]])=1,1,0)</f>
        <v>0</v>
      </c>
    </row>
    <row r="7689" spans="1:16" x14ac:dyDescent="0.25">
      <c r="A7689" t="s">
        <v>2551</v>
      </c>
      <c r="B7689">
        <v>96</v>
      </c>
      <c r="C7689" t="s">
        <v>10257</v>
      </c>
      <c r="D7689" t="s">
        <v>120</v>
      </c>
      <c r="E7689" s="13">
        <v>10000</v>
      </c>
      <c r="F7689" s="12">
        <v>1.21</v>
      </c>
      <c r="G7689" t="str">
        <f>IFERROR(INDEX(tEditais[Órgão],MATCH(tItens[[#This Row],[Edital]],tEditais[Edital],0)),"")</f>
        <v>MUNICIPIO DE SANTANA DO LIVRAMENTO</v>
      </c>
      <c r="H7689" t="str">
        <f>IFERROR(INDEX(tEditais[UF],MATCH(tItens[[#This Row],[Edital]],tEditais[Edital],0)),"")</f>
        <v>RS</v>
      </c>
      <c r="I7689" s="11">
        <f>IFERROR(INDEX(tEditais[Encerramento],MATCH(tItens[[#This Row],[Edital]],tEditais[Edital],0)),"")</f>
        <v>46309.333333333336</v>
      </c>
      <c r="J7689" t="str">
        <f>IFERROR(INDEX(tProdutos[Classe],MATCH(tItens[[#This Row],[Produto]],tProdutos[Produto],0)),"produto não cadastrado")</f>
        <v>DISPUTADO</v>
      </c>
      <c r="K7689" s="12">
        <f>tItens[[#This Row],[Qtd]]*tItens[[#This Row],[Vlr unit]]</f>
        <v>12100</v>
      </c>
      <c r="L7689" s="6">
        <f>IFERROR(IF(INDEX(tProdutos[Desconto homologado],MATCH(tItens[[#This Row],[Produto]],tProdutos[Produto],0))="",DescontoPadrao,INDEX(tProdutos[Desconto homologado],MATCH(tItens[[#This Row],[Produto]],tProdutos[Produto],0))),DescontoPadrao)</f>
        <v>0.40909090909090901</v>
      </c>
      <c r="M7689" s="12">
        <f>tItens[[#This Row],[Valor]]*(1-tItens[[#This Row],[Desconto]])</f>
        <v>7150.0000000000018</v>
      </c>
      <c r="N7689" t="str">
        <f>IFERROR(INDEX(tProdutos[Foco],MATCH(tItens[[#This Row],[Produto]],tProdutos[Produto],0)),"Não")</f>
        <v>Não</v>
      </c>
      <c r="O7689" t="str">
        <f>IFERROR(INDEX(tEditais[SRP],MATCH(tItens[[#This Row],[Edital]],tEditais[Edital],0)),"Não")</f>
        <v>Sim</v>
      </c>
      <c r="P7689" s="4">
        <f>IF(COUNTIFS(INDEX(tItens[Edital],1):tItens[[#This Row],[Edital]],tItens[[#This Row],[Edital]],INDEX(tItens[Produto],1):tItens[[#This Row],[Produto]],tItens[[#This Row],[Produto]])=1,1,0)</f>
        <v>0</v>
      </c>
    </row>
    <row r="7690" spans="1:16" x14ac:dyDescent="0.25">
      <c r="A7690" t="s">
        <v>2556</v>
      </c>
      <c r="B7690">
        <v>1</v>
      </c>
      <c r="C7690" t="s">
        <v>10258</v>
      </c>
      <c r="D7690" t="s">
        <v>389</v>
      </c>
      <c r="E7690" s="13">
        <v>100</v>
      </c>
      <c r="F7690" s="12">
        <v>5.2</v>
      </c>
      <c r="G7690" t="str">
        <f>IFERROR(INDEX(tEditais[Órgão],MATCH(tItens[[#This Row],[Edital]],tEditais[Edital],0)),"")</f>
        <v>ESTADO DO RIO GRANDE DO SUL</v>
      </c>
      <c r="H7690" t="str">
        <f>IFERROR(INDEX(tEditais[UF],MATCH(tItens[[#This Row],[Edital]],tEditais[Edital],0)),"")</f>
        <v>RS</v>
      </c>
      <c r="I7690" s="11">
        <f>IFERROR(INDEX(tEditais[Encerramento],MATCH(tItens[[#This Row],[Edital]],tEditais[Edital],0)),"")</f>
        <v>46309.395833333336</v>
      </c>
      <c r="J7690" t="str">
        <f>IFERROR(INDEX(tProdutos[Classe],MATCH(tItens[[#This Row],[Produto]],tProdutos[Produto],0)),"produto não cadastrado")</f>
        <v>FORA</v>
      </c>
      <c r="K7690" s="12">
        <f>tItens[[#This Row],[Qtd]]*tItens[[#This Row],[Vlr unit]]</f>
        <v>520</v>
      </c>
      <c r="L7690" s="6">
        <f>IFERROR(IF(INDEX(tProdutos[Desconto homologado],MATCH(tItens[[#This Row],[Produto]],tProdutos[Produto],0))="",DescontoPadrao,INDEX(tProdutos[Desconto homologado],MATCH(tItens[[#This Row],[Produto]],tProdutos[Produto],0))),DescontoPadrao)</f>
        <v>0.39163140573577798</v>
      </c>
      <c r="M7690" s="12">
        <f>tItens[[#This Row],[Valor]]*(1-tItens[[#This Row],[Desconto]])</f>
        <v>316.35166901739547</v>
      </c>
      <c r="N7690" t="str">
        <f>IFERROR(INDEX(tProdutos[Foco],MATCH(tItens[[#This Row],[Produto]],tProdutos[Produto],0)),"Não")</f>
        <v>Não</v>
      </c>
      <c r="O7690" t="str">
        <f>IFERROR(INDEX(tEditais[SRP],MATCH(tItens[[#This Row],[Edital]],tEditais[Edital],0)),"Não")</f>
        <v>Não</v>
      </c>
      <c r="P7690" s="4">
        <f>IF(COUNTIFS(INDEX(tItens[Edital],1):tItens[[#This Row],[Edital]],tItens[[#This Row],[Edital]],INDEX(tItens[Produto],1):tItens[[#This Row],[Produto]],tItens[[#This Row],[Produto]])=1,1,0)</f>
        <v>1</v>
      </c>
    </row>
    <row r="7691" spans="1:16" x14ac:dyDescent="0.25">
      <c r="A7691" t="s">
        <v>2560</v>
      </c>
      <c r="B7691">
        <v>190</v>
      </c>
      <c r="C7691" t="s">
        <v>4888</v>
      </c>
      <c r="D7691" t="s">
        <v>120</v>
      </c>
      <c r="E7691" s="13">
        <v>5000</v>
      </c>
      <c r="F7691" s="12">
        <v>0.8</v>
      </c>
      <c r="G7691" t="str">
        <f>IFERROR(INDEX(tEditais[Órgão],MATCH(tItens[[#This Row],[Edital]],tEditais[Edital],0)),"")</f>
        <v>FUNDO MUNICIPAL DA SAUDE DE MATO LEITAO</v>
      </c>
      <c r="H7691" t="str">
        <f>IFERROR(INDEX(tEditais[UF],MATCH(tItens[[#This Row],[Edital]],tEditais[Edital],0)),"")</f>
        <v>RS</v>
      </c>
      <c r="I7691" s="11">
        <f>IFERROR(INDEX(tEditais[Encerramento],MATCH(tItens[[#This Row],[Edital]],tEditais[Edital],0)),"")</f>
        <v>46309.561805555553</v>
      </c>
      <c r="J7691" t="str">
        <f>IFERROR(INDEX(tProdutos[Classe],MATCH(tItens[[#This Row],[Produto]],tProdutos[Produto],0)),"produto não cadastrado")</f>
        <v>DISPUTADO</v>
      </c>
      <c r="K7691" s="12">
        <f>tItens[[#This Row],[Qtd]]*tItens[[#This Row],[Vlr unit]]</f>
        <v>4000</v>
      </c>
      <c r="L7691" s="6">
        <f>IFERROR(IF(INDEX(tProdutos[Desconto homologado],MATCH(tItens[[#This Row],[Produto]],tProdutos[Produto],0))="",DescontoPadrao,INDEX(tProdutos[Desconto homologado],MATCH(tItens[[#This Row],[Produto]],tProdutos[Produto],0))),DescontoPadrao)</f>
        <v>0.40909090909090901</v>
      </c>
      <c r="M7691" s="12">
        <f>tItens[[#This Row],[Valor]]*(1-tItens[[#This Row],[Desconto]])</f>
        <v>2363.6363636363644</v>
      </c>
      <c r="N7691" t="str">
        <f>IFERROR(INDEX(tProdutos[Foco],MATCH(tItens[[#This Row],[Produto]],tProdutos[Produto],0)),"Não")</f>
        <v>Não</v>
      </c>
      <c r="O7691" t="str">
        <f>IFERROR(INDEX(tEditais[SRP],MATCH(tItens[[#This Row],[Edital]],tEditais[Edital],0)),"Não")</f>
        <v>Não</v>
      </c>
      <c r="P7691" s="4">
        <f>IF(COUNTIFS(INDEX(tItens[Edital],1):tItens[[#This Row],[Edital]],tItens[[#This Row],[Edital]],INDEX(tItens[Produto],1):tItens[[#This Row],[Produto]],tItens[[#This Row],[Produto]])=1,1,0)</f>
        <v>1</v>
      </c>
    </row>
    <row r="7692" spans="1:16" x14ac:dyDescent="0.25">
      <c r="A7692" t="s">
        <v>2560</v>
      </c>
      <c r="B7692">
        <v>211</v>
      </c>
      <c r="C7692" t="s">
        <v>10259</v>
      </c>
      <c r="D7692" t="s">
        <v>309</v>
      </c>
      <c r="E7692" s="13">
        <v>100</v>
      </c>
      <c r="F7692" s="12">
        <v>13.5</v>
      </c>
      <c r="G7692" t="str">
        <f>IFERROR(INDEX(tEditais[Órgão],MATCH(tItens[[#This Row],[Edital]],tEditais[Edital],0)),"")</f>
        <v>FUNDO MUNICIPAL DA SAUDE DE MATO LEITAO</v>
      </c>
      <c r="H7692" t="str">
        <f>IFERROR(INDEX(tEditais[UF],MATCH(tItens[[#This Row],[Edital]],tEditais[Edital],0)),"")</f>
        <v>RS</v>
      </c>
      <c r="I7692" s="11">
        <f>IFERROR(INDEX(tEditais[Encerramento],MATCH(tItens[[#This Row],[Edital]],tEditais[Edital],0)),"")</f>
        <v>46309.561805555553</v>
      </c>
      <c r="J7692" t="str">
        <f>IFERROR(INDEX(tProdutos[Classe],MATCH(tItens[[#This Row],[Produto]],tProdutos[Produto],0)),"produto não cadastrado")</f>
        <v>DISPUTADO</v>
      </c>
      <c r="K7692" s="12">
        <f>tItens[[#This Row],[Qtd]]*tItens[[#This Row],[Vlr unit]]</f>
        <v>1350</v>
      </c>
      <c r="L7692" s="6">
        <f>IFERROR(IF(INDEX(tProdutos[Desconto homologado],MATCH(tItens[[#This Row],[Produto]],tProdutos[Produto],0))="",DescontoPadrao,INDEX(tProdutos[Desconto homologado],MATCH(tItens[[#This Row],[Produto]],tProdutos[Produto],0))),DescontoPadrao)</f>
        <v>0.329229323455968</v>
      </c>
      <c r="M7692" s="12">
        <f>tItens[[#This Row],[Valor]]*(1-tItens[[#This Row],[Desconto]])</f>
        <v>905.5404133344432</v>
      </c>
      <c r="N7692" t="str">
        <f>IFERROR(INDEX(tProdutos[Foco],MATCH(tItens[[#This Row],[Produto]],tProdutos[Produto],0)),"Não")</f>
        <v>Não</v>
      </c>
      <c r="O7692" t="str">
        <f>IFERROR(INDEX(tEditais[SRP],MATCH(tItens[[#This Row],[Edital]],tEditais[Edital],0)),"Não")</f>
        <v>Não</v>
      </c>
      <c r="P7692" s="4">
        <f>IF(COUNTIFS(INDEX(tItens[Edital],1):tItens[[#This Row],[Edital]],tItens[[#This Row],[Edital]],INDEX(tItens[Produto],1):tItens[[#This Row],[Produto]],tItens[[#This Row],[Produto]])=1,1,0)</f>
        <v>1</v>
      </c>
    </row>
    <row r="7693" spans="1:16" x14ac:dyDescent="0.25">
      <c r="A7693" t="s">
        <v>2560</v>
      </c>
      <c r="B7693">
        <v>212</v>
      </c>
      <c r="C7693" t="s">
        <v>10260</v>
      </c>
      <c r="D7693" t="s">
        <v>309</v>
      </c>
      <c r="E7693" s="13">
        <v>100</v>
      </c>
      <c r="F7693" s="12">
        <v>13.5</v>
      </c>
      <c r="G7693" t="str">
        <f>IFERROR(INDEX(tEditais[Órgão],MATCH(tItens[[#This Row],[Edital]],tEditais[Edital],0)),"")</f>
        <v>FUNDO MUNICIPAL DA SAUDE DE MATO LEITAO</v>
      </c>
      <c r="H7693" t="str">
        <f>IFERROR(INDEX(tEditais[UF],MATCH(tItens[[#This Row],[Edital]],tEditais[Edital],0)),"")</f>
        <v>RS</v>
      </c>
      <c r="I7693" s="11">
        <f>IFERROR(INDEX(tEditais[Encerramento],MATCH(tItens[[#This Row],[Edital]],tEditais[Edital],0)),"")</f>
        <v>46309.561805555553</v>
      </c>
      <c r="J7693" t="str">
        <f>IFERROR(INDEX(tProdutos[Classe],MATCH(tItens[[#This Row],[Produto]],tProdutos[Produto],0)),"produto não cadastrado")</f>
        <v>DISPUTADO</v>
      </c>
      <c r="K7693" s="12">
        <f>tItens[[#This Row],[Qtd]]*tItens[[#This Row],[Vlr unit]]</f>
        <v>1350</v>
      </c>
      <c r="L7693" s="6">
        <f>IFERROR(IF(INDEX(tProdutos[Desconto homologado],MATCH(tItens[[#This Row],[Produto]],tProdutos[Produto],0))="",DescontoPadrao,INDEX(tProdutos[Desconto homologado],MATCH(tItens[[#This Row],[Produto]],tProdutos[Produto],0))),DescontoPadrao)</f>
        <v>0.329229323455968</v>
      </c>
      <c r="M7693" s="12">
        <f>tItens[[#This Row],[Valor]]*(1-tItens[[#This Row],[Desconto]])</f>
        <v>905.5404133344432</v>
      </c>
      <c r="N7693" t="str">
        <f>IFERROR(INDEX(tProdutos[Foco],MATCH(tItens[[#This Row],[Produto]],tProdutos[Produto],0)),"Não")</f>
        <v>Não</v>
      </c>
      <c r="O7693" t="str">
        <f>IFERROR(INDEX(tEditais[SRP],MATCH(tItens[[#This Row],[Edital]],tEditais[Edital],0)),"Não")</f>
        <v>Não</v>
      </c>
      <c r="P7693" s="4">
        <f>IF(COUNTIFS(INDEX(tItens[Edital],1):tItens[[#This Row],[Edital]],tItens[[#This Row],[Edital]],INDEX(tItens[Produto],1):tItens[[#This Row],[Produto]],tItens[[#This Row],[Produto]])=1,1,0)</f>
        <v>0</v>
      </c>
    </row>
    <row r="7694" spans="1:16" x14ac:dyDescent="0.25">
      <c r="A7694" t="s">
        <v>2560</v>
      </c>
      <c r="B7694">
        <v>213</v>
      </c>
      <c r="C7694" t="s">
        <v>10261</v>
      </c>
      <c r="D7694" t="s">
        <v>309</v>
      </c>
      <c r="E7694" s="13">
        <v>100</v>
      </c>
      <c r="F7694" s="12">
        <v>22</v>
      </c>
      <c r="G7694" t="str">
        <f>IFERROR(INDEX(tEditais[Órgão],MATCH(tItens[[#This Row],[Edital]],tEditais[Edital],0)),"")</f>
        <v>FUNDO MUNICIPAL DA SAUDE DE MATO LEITAO</v>
      </c>
      <c r="H7694" t="str">
        <f>IFERROR(INDEX(tEditais[UF],MATCH(tItens[[#This Row],[Edital]],tEditais[Edital],0)),"")</f>
        <v>RS</v>
      </c>
      <c r="I7694" s="11">
        <f>IFERROR(INDEX(tEditais[Encerramento],MATCH(tItens[[#This Row],[Edital]],tEditais[Edital],0)),"")</f>
        <v>46309.561805555553</v>
      </c>
      <c r="J7694" t="str">
        <f>IFERROR(INDEX(tProdutos[Classe],MATCH(tItens[[#This Row],[Produto]],tProdutos[Produto],0)),"produto não cadastrado")</f>
        <v>DISPUTADO</v>
      </c>
      <c r="K7694" s="12">
        <f>tItens[[#This Row],[Qtd]]*tItens[[#This Row],[Vlr unit]]</f>
        <v>2200</v>
      </c>
      <c r="L7694" s="6">
        <f>IFERROR(IF(INDEX(tProdutos[Desconto homologado],MATCH(tItens[[#This Row],[Produto]],tProdutos[Produto],0))="",DescontoPadrao,INDEX(tProdutos[Desconto homologado],MATCH(tItens[[#This Row],[Produto]],tProdutos[Produto],0))),DescontoPadrao)</f>
        <v>0.329229323455968</v>
      </c>
      <c r="M7694" s="12">
        <f>tItens[[#This Row],[Valor]]*(1-tItens[[#This Row],[Desconto]])</f>
        <v>1475.6954883968704</v>
      </c>
      <c r="N7694" t="str">
        <f>IFERROR(INDEX(tProdutos[Foco],MATCH(tItens[[#This Row],[Produto]],tProdutos[Produto],0)),"Não")</f>
        <v>Não</v>
      </c>
      <c r="O7694" t="str">
        <f>IFERROR(INDEX(tEditais[SRP],MATCH(tItens[[#This Row],[Edital]],tEditais[Edital],0)),"Não")</f>
        <v>Não</v>
      </c>
      <c r="P7694" s="4">
        <f>IF(COUNTIFS(INDEX(tItens[Edital],1):tItens[[#This Row],[Edital]],tItens[[#This Row],[Edital]],INDEX(tItens[Produto],1):tItens[[#This Row],[Produto]],tItens[[#This Row],[Produto]])=1,1,0)</f>
        <v>0</v>
      </c>
    </row>
    <row r="7695" spans="1:16" x14ac:dyDescent="0.25">
      <c r="A7695" t="s">
        <v>2560</v>
      </c>
      <c r="B7695">
        <v>214</v>
      </c>
      <c r="C7695" t="s">
        <v>10262</v>
      </c>
      <c r="D7695" t="s">
        <v>237</v>
      </c>
      <c r="E7695" s="13">
        <v>50</v>
      </c>
      <c r="F7695" s="12">
        <v>90</v>
      </c>
      <c r="G7695" t="str">
        <f>IFERROR(INDEX(tEditais[Órgão],MATCH(tItens[[#This Row],[Edital]],tEditais[Edital],0)),"")</f>
        <v>FUNDO MUNICIPAL DA SAUDE DE MATO LEITAO</v>
      </c>
      <c r="H7695" t="str">
        <f>IFERROR(INDEX(tEditais[UF],MATCH(tItens[[#This Row],[Edital]],tEditais[Edital],0)),"")</f>
        <v>RS</v>
      </c>
      <c r="I7695" s="11">
        <f>IFERROR(INDEX(tEditais[Encerramento],MATCH(tItens[[#This Row],[Edital]],tEditais[Edital],0)),"")</f>
        <v>46309.561805555553</v>
      </c>
      <c r="J7695" t="str">
        <f>IFERROR(INDEX(tProdutos[Classe],MATCH(tItens[[#This Row],[Produto]],tProdutos[Produto],0)),"produto não cadastrado")</f>
        <v>FORA</v>
      </c>
      <c r="K7695" s="12">
        <f>tItens[[#This Row],[Qtd]]*tItens[[#This Row],[Vlr unit]]</f>
        <v>4500</v>
      </c>
      <c r="L7695" s="6">
        <f>IFERROR(IF(INDEX(tProdutos[Desconto homologado],MATCH(tItens[[#This Row],[Produto]],tProdutos[Produto],0))="",DescontoPadrao,INDEX(tProdutos[Desconto homologado],MATCH(tItens[[#This Row],[Produto]],tProdutos[Produto],0))),DescontoPadrao)</f>
        <v>0.281629856521038</v>
      </c>
      <c r="M7695" s="12">
        <f>tItens[[#This Row],[Valor]]*(1-tItens[[#This Row],[Desconto]])</f>
        <v>3232.6656456553292</v>
      </c>
      <c r="N7695" t="str">
        <f>IFERROR(INDEX(tProdutos[Foco],MATCH(tItens[[#This Row],[Produto]],tProdutos[Produto],0)),"Não")</f>
        <v>Não</v>
      </c>
      <c r="O7695" t="str">
        <f>IFERROR(INDEX(tEditais[SRP],MATCH(tItens[[#This Row],[Edital]],tEditais[Edital],0)),"Não")</f>
        <v>Não</v>
      </c>
      <c r="P7695" s="4">
        <f>IF(COUNTIFS(INDEX(tItens[Edital],1):tItens[[#This Row],[Edital]],tItens[[#This Row],[Edital]],INDEX(tItens[Produto],1):tItens[[#This Row],[Produto]],tItens[[#This Row],[Produto]])=1,1,0)</f>
        <v>1</v>
      </c>
    </row>
    <row r="7696" spans="1:16" x14ac:dyDescent="0.25">
      <c r="A7696" t="s">
        <v>2560</v>
      </c>
      <c r="B7696">
        <v>215</v>
      </c>
      <c r="C7696" t="s">
        <v>10263</v>
      </c>
      <c r="D7696" t="s">
        <v>73</v>
      </c>
      <c r="E7696" s="13">
        <v>100</v>
      </c>
      <c r="F7696" s="12">
        <v>1.3</v>
      </c>
      <c r="G7696" t="str">
        <f>IFERROR(INDEX(tEditais[Órgão],MATCH(tItens[[#This Row],[Edital]],tEditais[Edital],0)),"")</f>
        <v>FUNDO MUNICIPAL DA SAUDE DE MATO LEITAO</v>
      </c>
      <c r="H7696" t="str">
        <f>IFERROR(INDEX(tEditais[UF],MATCH(tItens[[#This Row],[Edital]],tEditais[Edital],0)),"")</f>
        <v>RS</v>
      </c>
      <c r="I7696" s="11">
        <f>IFERROR(INDEX(tEditais[Encerramento],MATCH(tItens[[#This Row],[Edital]],tEditais[Edital],0)),"")</f>
        <v>46309.561805555553</v>
      </c>
      <c r="J7696" t="str">
        <f>IFERROR(INDEX(tProdutos[Classe],MATCH(tItens[[#This Row],[Produto]],tProdutos[Produto],0)),"produto não cadastrado")</f>
        <v>NÚCLEO</v>
      </c>
      <c r="K7696" s="12">
        <f>tItens[[#This Row],[Qtd]]*tItens[[#This Row],[Vlr unit]]</f>
        <v>130</v>
      </c>
      <c r="L7696" s="6">
        <f>IFERROR(IF(INDEX(tProdutos[Desconto homologado],MATCH(tItens[[#This Row],[Produto]],tProdutos[Produto],0))="",DescontoPadrao,INDEX(tProdutos[Desconto homologado],MATCH(tItens[[#This Row],[Produto]],tProdutos[Produto],0))),DescontoPadrao)</f>
        <v>0.37</v>
      </c>
      <c r="M7696" s="12">
        <f>tItens[[#This Row],[Valor]]*(1-tItens[[#This Row],[Desconto]])</f>
        <v>81.900000000000006</v>
      </c>
      <c r="N7696" t="str">
        <f>IFERROR(INDEX(tProdutos[Foco],MATCH(tItens[[#This Row],[Produto]],tProdutos[Produto],0)),"Não")</f>
        <v>Sim</v>
      </c>
      <c r="O7696" t="str">
        <f>IFERROR(INDEX(tEditais[SRP],MATCH(tItens[[#This Row],[Edital]],tEditais[Edital],0)),"Não")</f>
        <v>Não</v>
      </c>
      <c r="P7696" s="4">
        <f>IF(COUNTIFS(INDEX(tItens[Edital],1):tItens[[#This Row],[Edital]],tItens[[#This Row],[Edital]],INDEX(tItens[Produto],1):tItens[[#This Row],[Produto]],tItens[[#This Row],[Produto]])=1,1,0)</f>
        <v>1</v>
      </c>
    </row>
    <row r="7697" spans="1:16" x14ac:dyDescent="0.25">
      <c r="A7697" t="s">
        <v>2560</v>
      </c>
      <c r="B7697">
        <v>216</v>
      </c>
      <c r="C7697" t="s">
        <v>10264</v>
      </c>
      <c r="D7697" t="s">
        <v>73</v>
      </c>
      <c r="E7697" s="13">
        <v>30</v>
      </c>
      <c r="F7697" s="12">
        <v>1</v>
      </c>
      <c r="G7697" t="str">
        <f>IFERROR(INDEX(tEditais[Órgão],MATCH(tItens[[#This Row],[Edital]],tEditais[Edital],0)),"")</f>
        <v>FUNDO MUNICIPAL DA SAUDE DE MATO LEITAO</v>
      </c>
      <c r="H7697" t="str">
        <f>IFERROR(INDEX(tEditais[UF],MATCH(tItens[[#This Row],[Edital]],tEditais[Edital],0)),"")</f>
        <v>RS</v>
      </c>
      <c r="I7697" s="11">
        <f>IFERROR(INDEX(tEditais[Encerramento],MATCH(tItens[[#This Row],[Edital]],tEditais[Edital],0)),"")</f>
        <v>46309.561805555553</v>
      </c>
      <c r="J7697" t="str">
        <f>IFERROR(INDEX(tProdutos[Classe],MATCH(tItens[[#This Row],[Produto]],tProdutos[Produto],0)),"produto não cadastrado")</f>
        <v>NÚCLEO</v>
      </c>
      <c r="K7697" s="12">
        <f>tItens[[#This Row],[Qtd]]*tItens[[#This Row],[Vlr unit]]</f>
        <v>30</v>
      </c>
      <c r="L7697" s="6">
        <f>IFERROR(IF(INDEX(tProdutos[Desconto homologado],MATCH(tItens[[#This Row],[Produto]],tProdutos[Produto],0))="",DescontoPadrao,INDEX(tProdutos[Desconto homologado],MATCH(tItens[[#This Row],[Produto]],tProdutos[Produto],0))),DescontoPadrao)</f>
        <v>0.37</v>
      </c>
      <c r="M7697" s="12">
        <f>tItens[[#This Row],[Valor]]*(1-tItens[[#This Row],[Desconto]])</f>
        <v>18.899999999999999</v>
      </c>
      <c r="N7697" t="str">
        <f>IFERROR(INDEX(tProdutos[Foco],MATCH(tItens[[#This Row],[Produto]],tProdutos[Produto],0)),"Não")</f>
        <v>Sim</v>
      </c>
      <c r="O7697" t="str">
        <f>IFERROR(INDEX(tEditais[SRP],MATCH(tItens[[#This Row],[Edital]],tEditais[Edital],0)),"Não")</f>
        <v>Não</v>
      </c>
      <c r="P7697" s="4">
        <f>IF(COUNTIFS(INDEX(tItens[Edital],1):tItens[[#This Row],[Edital]],tItens[[#This Row],[Edital]],INDEX(tItens[Produto],1):tItens[[#This Row],[Produto]],tItens[[#This Row],[Produto]])=1,1,0)</f>
        <v>0</v>
      </c>
    </row>
    <row r="7698" spans="1:16" x14ac:dyDescent="0.25">
      <c r="A7698" t="s">
        <v>2560</v>
      </c>
      <c r="B7698">
        <v>217</v>
      </c>
      <c r="C7698" t="s">
        <v>10265</v>
      </c>
      <c r="D7698" t="s">
        <v>311</v>
      </c>
      <c r="E7698" s="13">
        <v>100</v>
      </c>
      <c r="F7698" s="12">
        <v>7</v>
      </c>
      <c r="G7698" t="str">
        <f>IFERROR(INDEX(tEditais[Órgão],MATCH(tItens[[#This Row],[Edital]],tEditais[Edital],0)),"")</f>
        <v>FUNDO MUNICIPAL DA SAUDE DE MATO LEITAO</v>
      </c>
      <c r="H7698" t="str">
        <f>IFERROR(INDEX(tEditais[UF],MATCH(tItens[[#This Row],[Edital]],tEditais[Edital],0)),"")</f>
        <v>RS</v>
      </c>
      <c r="I7698" s="11">
        <f>IFERROR(INDEX(tEditais[Encerramento],MATCH(tItens[[#This Row],[Edital]],tEditais[Edital],0)),"")</f>
        <v>46309.561805555553</v>
      </c>
      <c r="J7698" t="str">
        <f>IFERROR(INDEX(tProdutos[Classe],MATCH(tItens[[#This Row],[Produto]],tProdutos[Produto],0)),"produto não cadastrado")</f>
        <v>FORA</v>
      </c>
      <c r="K7698" s="12">
        <f>tItens[[#This Row],[Qtd]]*tItens[[#This Row],[Vlr unit]]</f>
        <v>700</v>
      </c>
      <c r="L7698" s="6">
        <f>IFERROR(IF(INDEX(tProdutos[Desconto homologado],MATCH(tItens[[#This Row],[Produto]],tProdutos[Produto],0))="",DescontoPadrao,INDEX(tProdutos[Desconto homologado],MATCH(tItens[[#This Row],[Produto]],tProdutos[Produto],0))),DescontoPadrao)</f>
        <v>0.29046182846371399</v>
      </c>
      <c r="M7698" s="12">
        <f>tItens[[#This Row],[Valor]]*(1-tItens[[#This Row],[Desconto]])</f>
        <v>496.67672007540023</v>
      </c>
      <c r="N7698" t="str">
        <f>IFERROR(INDEX(tProdutos[Foco],MATCH(tItens[[#This Row],[Produto]],tProdutos[Produto],0)),"Não")</f>
        <v>Não</v>
      </c>
      <c r="O7698" t="str">
        <f>IFERROR(INDEX(tEditais[SRP],MATCH(tItens[[#This Row],[Edital]],tEditais[Edital],0)),"Não")</f>
        <v>Não</v>
      </c>
      <c r="P7698" s="4">
        <f>IF(COUNTIFS(INDEX(tItens[Edital],1):tItens[[#This Row],[Edital]],tItens[[#This Row],[Edital]],INDEX(tItens[Produto],1):tItens[[#This Row],[Produto]],tItens[[#This Row],[Produto]])=1,1,0)</f>
        <v>1</v>
      </c>
    </row>
    <row r="7699" spans="1:16" x14ac:dyDescent="0.25">
      <c r="A7699" t="s">
        <v>2560</v>
      </c>
      <c r="B7699">
        <v>218</v>
      </c>
      <c r="C7699" t="s">
        <v>10266</v>
      </c>
      <c r="D7699" t="s">
        <v>160</v>
      </c>
      <c r="E7699" s="13">
        <v>50</v>
      </c>
      <c r="F7699" s="12">
        <v>70</v>
      </c>
      <c r="G7699" t="str">
        <f>IFERROR(INDEX(tEditais[Órgão],MATCH(tItens[[#This Row],[Edital]],tEditais[Edital],0)),"")</f>
        <v>FUNDO MUNICIPAL DA SAUDE DE MATO LEITAO</v>
      </c>
      <c r="H7699" t="str">
        <f>IFERROR(INDEX(tEditais[UF],MATCH(tItens[[#This Row],[Edital]],tEditais[Edital],0)),"")</f>
        <v>RS</v>
      </c>
      <c r="I7699" s="11">
        <f>IFERROR(INDEX(tEditais[Encerramento],MATCH(tItens[[#This Row],[Edital]],tEditais[Edital],0)),"")</f>
        <v>46309.561805555553</v>
      </c>
      <c r="J7699" t="str">
        <f>IFERROR(INDEX(tProdutos[Classe],MATCH(tItens[[#This Row],[Produto]],tProdutos[Produto],0)),"produto não cadastrado")</f>
        <v>DISPUTADO</v>
      </c>
      <c r="K7699" s="12">
        <f>tItens[[#This Row],[Qtd]]*tItens[[#This Row],[Vlr unit]]</f>
        <v>3500</v>
      </c>
      <c r="L7699" s="6">
        <f>IFERROR(IF(INDEX(tProdutos[Desconto homologado],MATCH(tItens[[#This Row],[Produto]],tProdutos[Produto],0))="",DescontoPadrao,INDEX(tProdutos[Desconto homologado],MATCH(tItens[[#This Row],[Produto]],tProdutos[Produto],0))),DescontoPadrao)</f>
        <v>0.28000000000000003</v>
      </c>
      <c r="M7699" s="12">
        <f>tItens[[#This Row],[Valor]]*(1-tItens[[#This Row],[Desconto]])</f>
        <v>2520</v>
      </c>
      <c r="N7699" t="str">
        <f>IFERROR(INDEX(tProdutos[Foco],MATCH(tItens[[#This Row],[Produto]],tProdutos[Produto],0)),"Não")</f>
        <v>Sim</v>
      </c>
      <c r="O7699" t="str">
        <f>IFERROR(INDEX(tEditais[SRP],MATCH(tItens[[#This Row],[Edital]],tEditais[Edital],0)),"Não")</f>
        <v>Não</v>
      </c>
      <c r="P7699" s="4">
        <f>IF(COUNTIFS(INDEX(tItens[Edital],1):tItens[[#This Row],[Edital]],tItens[[#This Row],[Edital]],INDEX(tItens[Produto],1):tItens[[#This Row],[Produto]],tItens[[#This Row],[Produto]])=1,1,0)</f>
        <v>1</v>
      </c>
    </row>
    <row r="7700" spans="1:16" x14ac:dyDescent="0.25">
      <c r="A7700" t="s">
        <v>2560</v>
      </c>
      <c r="B7700">
        <v>228</v>
      </c>
      <c r="C7700" t="s">
        <v>10267</v>
      </c>
      <c r="D7700" t="s">
        <v>60</v>
      </c>
      <c r="E7700" s="13">
        <v>10</v>
      </c>
      <c r="F7700" s="12">
        <v>32</v>
      </c>
      <c r="G7700" t="str">
        <f>IFERROR(INDEX(tEditais[Órgão],MATCH(tItens[[#This Row],[Edital]],tEditais[Edital],0)),"")</f>
        <v>FUNDO MUNICIPAL DA SAUDE DE MATO LEITAO</v>
      </c>
      <c r="H7700" t="str">
        <f>IFERROR(INDEX(tEditais[UF],MATCH(tItens[[#This Row],[Edital]],tEditais[Edital],0)),"")</f>
        <v>RS</v>
      </c>
      <c r="I7700" s="11">
        <f>IFERROR(INDEX(tEditais[Encerramento],MATCH(tItens[[#This Row],[Edital]],tEditais[Edital],0)),"")</f>
        <v>46309.561805555553</v>
      </c>
      <c r="J7700" t="str">
        <f>IFERROR(INDEX(tProdutos[Classe],MATCH(tItens[[#This Row],[Produto]],tProdutos[Produto],0)),"produto não cadastrado")</f>
        <v>NÚCLEO</v>
      </c>
      <c r="K7700" s="12">
        <f>tItens[[#This Row],[Qtd]]*tItens[[#This Row],[Vlr unit]]</f>
        <v>320</v>
      </c>
      <c r="L7700" s="6">
        <f>IFERROR(IF(INDEX(tProdutos[Desconto homologado],MATCH(tItens[[#This Row],[Produto]],tProdutos[Produto],0))="",DescontoPadrao,INDEX(tProdutos[Desconto homologado],MATCH(tItens[[#This Row],[Produto]],tProdutos[Produto],0))),DescontoPadrao)</f>
        <v>0.23</v>
      </c>
      <c r="M7700" s="12">
        <f>tItens[[#This Row],[Valor]]*(1-tItens[[#This Row],[Desconto]])</f>
        <v>246.4</v>
      </c>
      <c r="N7700" t="str">
        <f>IFERROR(INDEX(tProdutos[Foco],MATCH(tItens[[#This Row],[Produto]],tProdutos[Produto],0)),"Não")</f>
        <v>Sim</v>
      </c>
      <c r="O7700" t="str">
        <f>IFERROR(INDEX(tEditais[SRP],MATCH(tItens[[#This Row],[Edital]],tEditais[Edital],0)),"Não")</f>
        <v>Não</v>
      </c>
      <c r="P7700" s="4">
        <f>IF(COUNTIFS(INDEX(tItens[Edital],1):tItens[[#This Row],[Edital]],tItens[[#This Row],[Edital]],INDEX(tItens[Produto],1):tItens[[#This Row],[Produto]],tItens[[#This Row],[Produto]])=1,1,0)</f>
        <v>1</v>
      </c>
    </row>
    <row r="7701" spans="1:16" x14ac:dyDescent="0.25">
      <c r="A7701" t="s">
        <v>2560</v>
      </c>
      <c r="B7701">
        <v>229</v>
      </c>
      <c r="C7701" t="s">
        <v>10268</v>
      </c>
      <c r="D7701" t="s">
        <v>90</v>
      </c>
      <c r="E7701" s="13">
        <v>150</v>
      </c>
      <c r="F7701" s="12">
        <v>9.5</v>
      </c>
      <c r="G7701" t="str">
        <f>IFERROR(INDEX(tEditais[Órgão],MATCH(tItens[[#This Row],[Edital]],tEditais[Edital],0)),"")</f>
        <v>FUNDO MUNICIPAL DA SAUDE DE MATO LEITAO</v>
      </c>
      <c r="H7701" t="str">
        <f>IFERROR(INDEX(tEditais[UF],MATCH(tItens[[#This Row],[Edital]],tEditais[Edital],0)),"")</f>
        <v>RS</v>
      </c>
      <c r="I7701" s="11">
        <f>IFERROR(INDEX(tEditais[Encerramento],MATCH(tItens[[#This Row],[Edital]],tEditais[Edital],0)),"")</f>
        <v>46309.561805555553</v>
      </c>
      <c r="J7701" t="str">
        <f>IFERROR(INDEX(tProdutos[Classe],MATCH(tItens[[#This Row],[Produto]],tProdutos[Produto],0)),"produto não cadastrado")</f>
        <v>DISPUTADO</v>
      </c>
      <c r="K7701" s="12">
        <f>tItens[[#This Row],[Qtd]]*tItens[[#This Row],[Vlr unit]]</f>
        <v>1425</v>
      </c>
      <c r="L7701" s="6">
        <f>IFERROR(IF(INDEX(tProdutos[Desconto homologado],MATCH(tItens[[#This Row],[Produto]],tProdutos[Produto],0))="",DescontoPadrao,INDEX(tProdutos[Desconto homologado],MATCH(tItens[[#This Row],[Produto]],tProdutos[Produto],0))),DescontoPadrao)</f>
        <v>0.25393823957010597</v>
      </c>
      <c r="M7701" s="12">
        <f>tItens[[#This Row],[Valor]]*(1-tItens[[#This Row],[Desconto]])</f>
        <v>1063.1380086125989</v>
      </c>
      <c r="N7701" t="str">
        <f>IFERROR(INDEX(tProdutos[Foco],MATCH(tItens[[#This Row],[Produto]],tProdutos[Produto],0)),"Não")</f>
        <v>Não</v>
      </c>
      <c r="O7701" t="str">
        <f>IFERROR(INDEX(tEditais[SRP],MATCH(tItens[[#This Row],[Edital]],tEditais[Edital],0)),"Não")</f>
        <v>Não</v>
      </c>
      <c r="P7701" s="4">
        <f>IF(COUNTIFS(INDEX(tItens[Edital],1):tItens[[#This Row],[Edital]],tItens[[#This Row],[Edital]],INDEX(tItens[Produto],1):tItens[[#This Row],[Produto]],tItens[[#This Row],[Produto]])=1,1,0)</f>
        <v>1</v>
      </c>
    </row>
    <row r="7702" spans="1:16" x14ac:dyDescent="0.25">
      <c r="A7702" t="s">
        <v>2560</v>
      </c>
      <c r="B7702">
        <v>230</v>
      </c>
      <c r="C7702" t="s">
        <v>10269</v>
      </c>
      <c r="D7702" t="s">
        <v>75</v>
      </c>
      <c r="E7702" s="13">
        <v>1000</v>
      </c>
      <c r="F7702" s="12">
        <v>1.29</v>
      </c>
      <c r="G7702" t="str">
        <f>IFERROR(INDEX(tEditais[Órgão],MATCH(tItens[[#This Row],[Edital]],tEditais[Edital],0)),"")</f>
        <v>FUNDO MUNICIPAL DA SAUDE DE MATO LEITAO</v>
      </c>
      <c r="H7702" t="str">
        <f>IFERROR(INDEX(tEditais[UF],MATCH(tItens[[#This Row],[Edital]],tEditais[Edital],0)),"")</f>
        <v>RS</v>
      </c>
      <c r="I7702" s="11">
        <f>IFERROR(INDEX(tEditais[Encerramento],MATCH(tItens[[#This Row],[Edital]],tEditais[Edital],0)),"")</f>
        <v>46309.561805555553</v>
      </c>
      <c r="J7702" t="str">
        <f>IFERROR(INDEX(tProdutos[Classe],MATCH(tItens[[#This Row],[Produto]],tProdutos[Produto],0)),"produto não cadastrado")</f>
        <v>NÚCLEO</v>
      </c>
      <c r="K7702" s="12">
        <f>tItens[[#This Row],[Qtd]]*tItens[[#This Row],[Vlr unit]]</f>
        <v>1290</v>
      </c>
      <c r="L7702" s="6">
        <f>IFERROR(IF(INDEX(tProdutos[Desconto homologado],MATCH(tItens[[#This Row],[Produto]],tProdutos[Produto],0))="",DescontoPadrao,INDEX(tProdutos[Desconto homologado],MATCH(tItens[[#This Row],[Produto]],tProdutos[Produto],0))),DescontoPadrao)</f>
        <v>0.26</v>
      </c>
      <c r="M7702" s="12">
        <f>tItens[[#This Row],[Valor]]*(1-tItens[[#This Row],[Desconto]])</f>
        <v>954.6</v>
      </c>
      <c r="N7702" t="str">
        <f>IFERROR(INDEX(tProdutos[Foco],MATCH(tItens[[#This Row],[Produto]],tProdutos[Produto],0)),"Não")</f>
        <v>Sim</v>
      </c>
      <c r="O7702" t="str">
        <f>IFERROR(INDEX(tEditais[SRP],MATCH(tItens[[#This Row],[Edital]],tEditais[Edital],0)),"Não")</f>
        <v>Não</v>
      </c>
      <c r="P7702" s="4">
        <f>IF(COUNTIFS(INDEX(tItens[Edital],1):tItens[[#This Row],[Edital]],tItens[[#This Row],[Edital]],INDEX(tItens[Produto],1):tItens[[#This Row],[Produto]],tItens[[#This Row],[Produto]])=1,1,0)</f>
        <v>1</v>
      </c>
    </row>
    <row r="7703" spans="1:16" x14ac:dyDescent="0.25">
      <c r="A7703" t="s">
        <v>2560</v>
      </c>
      <c r="B7703">
        <v>231</v>
      </c>
      <c r="C7703" t="s">
        <v>10270</v>
      </c>
      <c r="D7703" t="s">
        <v>259</v>
      </c>
      <c r="E7703" s="13">
        <v>500</v>
      </c>
      <c r="F7703" s="12">
        <v>3.99</v>
      </c>
      <c r="G7703" t="str">
        <f>IFERROR(INDEX(tEditais[Órgão],MATCH(tItens[[#This Row],[Edital]],tEditais[Edital],0)),"")</f>
        <v>FUNDO MUNICIPAL DA SAUDE DE MATO LEITAO</v>
      </c>
      <c r="H7703" t="str">
        <f>IFERROR(INDEX(tEditais[UF],MATCH(tItens[[#This Row],[Edital]],tEditais[Edital],0)),"")</f>
        <v>RS</v>
      </c>
      <c r="I7703" s="11">
        <f>IFERROR(INDEX(tEditais[Encerramento],MATCH(tItens[[#This Row],[Edital]],tEditais[Edital],0)),"")</f>
        <v>46309.561805555553</v>
      </c>
      <c r="J7703" t="str">
        <f>IFERROR(INDEX(tProdutos[Classe],MATCH(tItens[[#This Row],[Produto]],tProdutos[Produto],0)),"produto não cadastrado")</f>
        <v>FORA</v>
      </c>
      <c r="K7703" s="12">
        <f>tItens[[#This Row],[Qtd]]*tItens[[#This Row],[Vlr unit]]</f>
        <v>1995</v>
      </c>
      <c r="L7703" s="6">
        <f>IFERROR(IF(INDEX(tProdutos[Desconto homologado],MATCH(tItens[[#This Row],[Produto]],tProdutos[Produto],0))="",DescontoPadrao,INDEX(tProdutos[Desconto homologado],MATCH(tItens[[#This Row],[Produto]],tProdutos[Produto],0))),DescontoPadrao)</f>
        <v>0.374798283789543</v>
      </c>
      <c r="M7703" s="12">
        <f>tItens[[#This Row],[Valor]]*(1-tItens[[#This Row],[Desconto]])</f>
        <v>1247.2774238398617</v>
      </c>
      <c r="N7703" t="str">
        <f>IFERROR(INDEX(tProdutos[Foco],MATCH(tItens[[#This Row],[Produto]],tProdutos[Produto],0)),"Não")</f>
        <v>Não</v>
      </c>
      <c r="O7703" t="str">
        <f>IFERROR(INDEX(tEditais[SRP],MATCH(tItens[[#This Row],[Edital]],tEditais[Edital],0)),"Não")</f>
        <v>Não</v>
      </c>
      <c r="P7703" s="4">
        <f>IF(COUNTIFS(INDEX(tItens[Edital],1):tItens[[#This Row],[Edital]],tItens[[#This Row],[Edital]],INDEX(tItens[Produto],1):tItens[[#This Row],[Produto]],tItens[[#This Row],[Produto]])=1,1,0)</f>
        <v>1</v>
      </c>
    </row>
    <row r="7704" spans="1:16" x14ac:dyDescent="0.25">
      <c r="A7704" t="s">
        <v>2560</v>
      </c>
      <c r="B7704">
        <v>234</v>
      </c>
      <c r="C7704" t="s">
        <v>10271</v>
      </c>
      <c r="D7704" t="s">
        <v>142</v>
      </c>
      <c r="E7704" s="13">
        <v>40</v>
      </c>
      <c r="F7704" s="12">
        <v>3.99</v>
      </c>
      <c r="G7704" t="str">
        <f>IFERROR(INDEX(tEditais[Órgão],MATCH(tItens[[#This Row],[Edital]],tEditais[Edital],0)),"")</f>
        <v>FUNDO MUNICIPAL DA SAUDE DE MATO LEITAO</v>
      </c>
      <c r="H7704" t="str">
        <f>IFERROR(INDEX(tEditais[UF],MATCH(tItens[[#This Row],[Edital]],tEditais[Edital],0)),"")</f>
        <v>RS</v>
      </c>
      <c r="I7704" s="11">
        <f>IFERROR(INDEX(tEditais[Encerramento],MATCH(tItens[[#This Row],[Edital]],tEditais[Edital],0)),"")</f>
        <v>46309.561805555553</v>
      </c>
      <c r="J7704" t="str">
        <f>IFERROR(INDEX(tProdutos[Classe],MATCH(tItens[[#This Row],[Produto]],tProdutos[Produto],0)),"produto não cadastrado")</f>
        <v>DISPUTADO</v>
      </c>
      <c r="K7704" s="12">
        <f>tItens[[#This Row],[Qtd]]*tItens[[#This Row],[Vlr unit]]</f>
        <v>159.60000000000002</v>
      </c>
      <c r="L7704" s="6">
        <f>IFERROR(IF(INDEX(tProdutos[Desconto homologado],MATCH(tItens[[#This Row],[Produto]],tProdutos[Produto],0))="",DescontoPadrao,INDEX(tProdutos[Desconto homologado],MATCH(tItens[[#This Row],[Produto]],tProdutos[Produto],0))),DescontoPadrao)</f>
        <v>0.37093619495691699</v>
      </c>
      <c r="M7704" s="12">
        <f>tItens[[#This Row],[Valor]]*(1-tItens[[#This Row],[Desconto]])</f>
        <v>100.39858328487607</v>
      </c>
      <c r="N7704" t="str">
        <f>IFERROR(INDEX(tProdutos[Foco],MATCH(tItens[[#This Row],[Produto]],tProdutos[Produto],0)),"Não")</f>
        <v>Não</v>
      </c>
      <c r="O7704" t="str">
        <f>IFERROR(INDEX(tEditais[SRP],MATCH(tItens[[#This Row],[Edital]],tEditais[Edital],0)),"Não")</f>
        <v>Não</v>
      </c>
      <c r="P7704" s="4">
        <f>IF(COUNTIFS(INDEX(tItens[Edital],1):tItens[[#This Row],[Edital]],tItens[[#This Row],[Edital]],INDEX(tItens[Produto],1):tItens[[#This Row],[Produto]],tItens[[#This Row],[Produto]])=1,1,0)</f>
        <v>1</v>
      </c>
    </row>
    <row r="7705" spans="1:16" x14ac:dyDescent="0.25">
      <c r="A7705" t="s">
        <v>2560</v>
      </c>
      <c r="B7705">
        <v>238</v>
      </c>
      <c r="C7705" t="s">
        <v>10272</v>
      </c>
      <c r="D7705" t="s">
        <v>467</v>
      </c>
      <c r="E7705" s="13">
        <v>10</v>
      </c>
      <c r="F7705" s="12">
        <v>33</v>
      </c>
      <c r="G7705" t="str">
        <f>IFERROR(INDEX(tEditais[Órgão],MATCH(tItens[[#This Row],[Edital]],tEditais[Edital],0)),"")</f>
        <v>FUNDO MUNICIPAL DA SAUDE DE MATO LEITAO</v>
      </c>
      <c r="H7705" t="str">
        <f>IFERROR(INDEX(tEditais[UF],MATCH(tItens[[#This Row],[Edital]],tEditais[Edital],0)),"")</f>
        <v>RS</v>
      </c>
      <c r="I7705" s="11">
        <f>IFERROR(INDEX(tEditais[Encerramento],MATCH(tItens[[#This Row],[Edital]],tEditais[Edital],0)),"")</f>
        <v>46309.561805555553</v>
      </c>
      <c r="J7705" t="str">
        <f>IFERROR(INDEX(tProdutos[Classe],MATCH(tItens[[#This Row],[Produto]],tProdutos[Produto],0)),"produto não cadastrado")</f>
        <v>FILA REBASE</v>
      </c>
      <c r="K7705" s="12">
        <f>tItens[[#This Row],[Qtd]]*tItens[[#This Row],[Vlr unit]]</f>
        <v>330</v>
      </c>
      <c r="L7705" s="6">
        <f>IFERROR(IF(INDEX(tProdutos[Desconto homologado],MATCH(tItens[[#This Row],[Produto]],tProdutos[Produto],0))="",DescontoPadrao,INDEX(tProdutos[Desconto homologado],MATCH(tItens[[#This Row],[Produto]],tProdutos[Produto],0))),DescontoPadrao)</f>
        <v>0.25007144898542499</v>
      </c>
      <c r="M7705" s="12">
        <f>tItens[[#This Row],[Valor]]*(1-tItens[[#This Row],[Desconto]])</f>
        <v>247.47642183480974</v>
      </c>
      <c r="N7705" t="str">
        <f>IFERROR(INDEX(tProdutos[Foco],MATCH(tItens[[#This Row],[Produto]],tProdutos[Produto],0)),"Não")</f>
        <v>Não</v>
      </c>
      <c r="O7705" t="str">
        <f>IFERROR(INDEX(tEditais[SRP],MATCH(tItens[[#This Row],[Edital]],tEditais[Edital],0)),"Não")</f>
        <v>Não</v>
      </c>
      <c r="P7705" s="4">
        <f>IF(COUNTIFS(INDEX(tItens[Edital],1):tItens[[#This Row],[Edital]],tItens[[#This Row],[Edital]],INDEX(tItens[Produto],1):tItens[[#This Row],[Produto]],tItens[[#This Row],[Produto]])=1,1,0)</f>
        <v>1</v>
      </c>
    </row>
    <row r="7706" spans="1:16" x14ac:dyDescent="0.25">
      <c r="A7706" t="s">
        <v>2560</v>
      </c>
      <c r="B7706">
        <v>239</v>
      </c>
      <c r="C7706" t="s">
        <v>10273</v>
      </c>
      <c r="D7706" t="s">
        <v>411</v>
      </c>
      <c r="E7706" s="13">
        <v>30</v>
      </c>
      <c r="F7706" s="12">
        <v>40</v>
      </c>
      <c r="G7706" t="str">
        <f>IFERROR(INDEX(tEditais[Órgão],MATCH(tItens[[#This Row],[Edital]],tEditais[Edital],0)),"")</f>
        <v>FUNDO MUNICIPAL DA SAUDE DE MATO LEITAO</v>
      </c>
      <c r="H7706" t="str">
        <f>IFERROR(INDEX(tEditais[UF],MATCH(tItens[[#This Row],[Edital]],tEditais[Edital],0)),"")</f>
        <v>RS</v>
      </c>
      <c r="I7706" s="11">
        <f>IFERROR(INDEX(tEditais[Encerramento],MATCH(tItens[[#This Row],[Edital]],tEditais[Edital],0)),"")</f>
        <v>46309.561805555553</v>
      </c>
      <c r="J7706" t="str">
        <f>IFERROR(INDEX(tProdutos[Classe],MATCH(tItens[[#This Row],[Produto]],tProdutos[Produto],0)),"produto não cadastrado")</f>
        <v>FORA</v>
      </c>
      <c r="K7706" s="12">
        <f>tItens[[#This Row],[Qtd]]*tItens[[#This Row],[Vlr unit]]</f>
        <v>1200</v>
      </c>
      <c r="L7706" s="6">
        <f>IFERROR(IF(INDEX(tProdutos[Desconto homologado],MATCH(tItens[[#This Row],[Produto]],tProdutos[Produto],0))="",DescontoPadrao,INDEX(tProdutos[Desconto homologado],MATCH(tItens[[#This Row],[Produto]],tProdutos[Produto],0))),DescontoPadrao)</f>
        <v>0.50029835957199398</v>
      </c>
      <c r="M7706" s="12">
        <f>tItens[[#This Row],[Valor]]*(1-tItens[[#This Row],[Desconto]])</f>
        <v>599.64196851360725</v>
      </c>
      <c r="N7706" t="str">
        <f>IFERROR(INDEX(tProdutos[Foco],MATCH(tItens[[#This Row],[Produto]],tProdutos[Produto],0)),"Não")</f>
        <v>Não</v>
      </c>
      <c r="O7706" t="str">
        <f>IFERROR(INDEX(tEditais[SRP],MATCH(tItens[[#This Row],[Edital]],tEditais[Edital],0)),"Não")</f>
        <v>Não</v>
      </c>
      <c r="P7706" s="4">
        <f>IF(COUNTIFS(INDEX(tItens[Edital],1):tItens[[#This Row],[Edital]],tItens[[#This Row],[Edital]],INDEX(tItens[Produto],1):tItens[[#This Row],[Produto]],tItens[[#This Row],[Produto]])=1,1,0)</f>
        <v>1</v>
      </c>
    </row>
    <row r="7707" spans="1:16" x14ac:dyDescent="0.25">
      <c r="A7707" t="s">
        <v>2560</v>
      </c>
      <c r="B7707">
        <v>240</v>
      </c>
      <c r="C7707" t="s">
        <v>10274</v>
      </c>
      <c r="D7707" t="s">
        <v>130</v>
      </c>
      <c r="E7707" s="13">
        <v>10</v>
      </c>
      <c r="F7707" s="12">
        <v>45</v>
      </c>
      <c r="G7707" t="str">
        <f>IFERROR(INDEX(tEditais[Órgão],MATCH(tItens[[#This Row],[Edital]],tEditais[Edital],0)),"")</f>
        <v>FUNDO MUNICIPAL DA SAUDE DE MATO LEITAO</v>
      </c>
      <c r="H7707" t="str">
        <f>IFERROR(INDEX(tEditais[UF],MATCH(tItens[[#This Row],[Edital]],tEditais[Edital],0)),"")</f>
        <v>RS</v>
      </c>
      <c r="I7707" s="11">
        <f>IFERROR(INDEX(tEditais[Encerramento],MATCH(tItens[[#This Row],[Edital]],tEditais[Edital],0)),"")</f>
        <v>46309.561805555553</v>
      </c>
      <c r="J7707" t="str">
        <f>IFERROR(INDEX(tProdutos[Classe],MATCH(tItens[[#This Row],[Produto]],tProdutos[Produto],0)),"produto não cadastrado")</f>
        <v>DISPUTADO</v>
      </c>
      <c r="K7707" s="12">
        <f>tItens[[#This Row],[Qtd]]*tItens[[#This Row],[Vlr unit]]</f>
        <v>450</v>
      </c>
      <c r="L7707" s="6">
        <f>IFERROR(IF(INDEX(tProdutos[Desconto homologado],MATCH(tItens[[#This Row],[Produto]],tProdutos[Produto],0))="",DescontoPadrao,INDEX(tProdutos[Desconto homologado],MATCH(tItens[[#This Row],[Produto]],tProdutos[Produto],0))),DescontoPadrao)</f>
        <v>0.32</v>
      </c>
      <c r="M7707" s="12">
        <f>tItens[[#This Row],[Valor]]*(1-tItens[[#This Row],[Desconto]])</f>
        <v>306</v>
      </c>
      <c r="N7707" t="str">
        <f>IFERROR(INDEX(tProdutos[Foco],MATCH(tItens[[#This Row],[Produto]],tProdutos[Produto],0)),"Não")</f>
        <v>Sim</v>
      </c>
      <c r="O7707" t="str">
        <f>IFERROR(INDEX(tEditais[SRP],MATCH(tItens[[#This Row],[Edital]],tEditais[Edital],0)),"Não")</f>
        <v>Não</v>
      </c>
      <c r="P7707" s="4">
        <f>IF(COUNTIFS(INDEX(tItens[Edital],1):tItens[[#This Row],[Edital]],tItens[[#This Row],[Edital]],INDEX(tItens[Produto],1):tItens[[#This Row],[Produto]],tItens[[#This Row],[Produto]])=1,1,0)</f>
        <v>1</v>
      </c>
    </row>
    <row r="7708" spans="1:16" x14ac:dyDescent="0.25">
      <c r="A7708" t="s">
        <v>2560</v>
      </c>
      <c r="B7708">
        <v>241</v>
      </c>
      <c r="C7708" t="s">
        <v>10275</v>
      </c>
      <c r="D7708" t="s">
        <v>56</v>
      </c>
      <c r="E7708" s="13">
        <v>10</v>
      </c>
      <c r="F7708" s="12">
        <v>26.9</v>
      </c>
      <c r="G7708" t="str">
        <f>IFERROR(INDEX(tEditais[Órgão],MATCH(tItens[[#This Row],[Edital]],tEditais[Edital],0)),"")</f>
        <v>FUNDO MUNICIPAL DA SAUDE DE MATO LEITAO</v>
      </c>
      <c r="H7708" t="str">
        <f>IFERROR(INDEX(tEditais[UF],MATCH(tItens[[#This Row],[Edital]],tEditais[Edital],0)),"")</f>
        <v>RS</v>
      </c>
      <c r="I7708" s="11">
        <f>IFERROR(INDEX(tEditais[Encerramento],MATCH(tItens[[#This Row],[Edital]],tEditais[Edital],0)),"")</f>
        <v>46309.561805555553</v>
      </c>
      <c r="J7708" t="str">
        <f>IFERROR(INDEX(tProdutos[Classe],MATCH(tItens[[#This Row],[Produto]],tProdutos[Produto],0)),"produto não cadastrado")</f>
        <v>NÚCLEO</v>
      </c>
      <c r="K7708" s="12">
        <f>tItens[[#This Row],[Qtd]]*tItens[[#This Row],[Vlr unit]]</f>
        <v>269</v>
      </c>
      <c r="L7708" s="6">
        <f>IFERROR(IF(INDEX(tProdutos[Desconto homologado],MATCH(tItens[[#This Row],[Produto]],tProdutos[Produto],0))="",DescontoPadrao,INDEX(tProdutos[Desconto homologado],MATCH(tItens[[#This Row],[Produto]],tProdutos[Produto],0))),DescontoPadrao)</f>
        <v>0.34</v>
      </c>
      <c r="M7708" s="12">
        <f>tItens[[#This Row],[Valor]]*(1-tItens[[#This Row],[Desconto]])</f>
        <v>177.54</v>
      </c>
      <c r="N7708" t="str">
        <f>IFERROR(INDEX(tProdutos[Foco],MATCH(tItens[[#This Row],[Produto]],tProdutos[Produto],0)),"Não")</f>
        <v>Sim</v>
      </c>
      <c r="O7708" t="str">
        <f>IFERROR(INDEX(tEditais[SRP],MATCH(tItens[[#This Row],[Edital]],tEditais[Edital],0)),"Não")</f>
        <v>Não</v>
      </c>
      <c r="P7708" s="4">
        <f>IF(COUNTIFS(INDEX(tItens[Edital],1):tItens[[#This Row],[Edital]],tItens[[#This Row],[Edital]],INDEX(tItens[Produto],1):tItens[[#This Row],[Produto]],tItens[[#This Row],[Produto]])=1,1,0)</f>
        <v>1</v>
      </c>
    </row>
    <row r="7709" spans="1:16" x14ac:dyDescent="0.25">
      <c r="A7709" t="s">
        <v>2560</v>
      </c>
      <c r="B7709">
        <v>249</v>
      </c>
      <c r="C7709" t="s">
        <v>10276</v>
      </c>
      <c r="D7709" t="s">
        <v>385</v>
      </c>
      <c r="E7709" s="13">
        <v>40</v>
      </c>
      <c r="F7709" s="12">
        <v>19.899999999999999</v>
      </c>
      <c r="G7709" t="str">
        <f>IFERROR(INDEX(tEditais[Órgão],MATCH(tItens[[#This Row],[Edital]],tEditais[Edital],0)),"")</f>
        <v>FUNDO MUNICIPAL DA SAUDE DE MATO LEITAO</v>
      </c>
      <c r="H7709" t="str">
        <f>IFERROR(INDEX(tEditais[UF],MATCH(tItens[[#This Row],[Edital]],tEditais[Edital],0)),"")</f>
        <v>RS</v>
      </c>
      <c r="I7709" s="11">
        <f>IFERROR(INDEX(tEditais[Encerramento],MATCH(tItens[[#This Row],[Edital]],tEditais[Edital],0)),"")</f>
        <v>46309.561805555553</v>
      </c>
      <c r="J7709" t="str">
        <f>IFERROR(INDEX(tProdutos[Classe],MATCH(tItens[[#This Row],[Produto]],tProdutos[Produto],0)),"produto não cadastrado")</f>
        <v>FORA</v>
      </c>
      <c r="K7709" s="12">
        <f>tItens[[#This Row],[Qtd]]*tItens[[#This Row],[Vlr unit]]</f>
        <v>796</v>
      </c>
      <c r="L7709" s="6">
        <f>IFERROR(IF(INDEX(tProdutos[Desconto homologado],MATCH(tItens[[#This Row],[Produto]],tProdutos[Produto],0))="",DescontoPadrao,INDEX(tProdutos[Desconto homologado],MATCH(tItens[[#This Row],[Produto]],tProdutos[Produto],0))),DescontoPadrao)</f>
        <v>0.46969696969697</v>
      </c>
      <c r="M7709" s="12">
        <f>tItens[[#This Row],[Valor]]*(1-tItens[[#This Row],[Desconto]])</f>
        <v>422.1212121212119</v>
      </c>
      <c r="N7709" t="str">
        <f>IFERROR(INDEX(tProdutos[Foco],MATCH(tItens[[#This Row],[Produto]],tProdutos[Produto],0)),"Não")</f>
        <v>Não</v>
      </c>
      <c r="O7709" t="str">
        <f>IFERROR(INDEX(tEditais[SRP],MATCH(tItens[[#This Row],[Edital]],tEditais[Edital],0)),"Não")</f>
        <v>Não</v>
      </c>
      <c r="P7709" s="4">
        <f>IF(COUNTIFS(INDEX(tItens[Edital],1):tItens[[#This Row],[Edital]],tItens[[#This Row],[Edital]],INDEX(tItens[Produto],1):tItens[[#This Row],[Produto]],tItens[[#This Row],[Produto]])=1,1,0)</f>
        <v>1</v>
      </c>
    </row>
    <row r="7710" spans="1:16" x14ac:dyDescent="0.25">
      <c r="A7710" t="s">
        <v>2560</v>
      </c>
      <c r="B7710">
        <v>254</v>
      </c>
      <c r="C7710" t="s">
        <v>10277</v>
      </c>
      <c r="D7710" t="s">
        <v>281</v>
      </c>
      <c r="E7710" s="13">
        <v>10</v>
      </c>
      <c r="F7710" s="12">
        <v>33</v>
      </c>
      <c r="G7710" t="str">
        <f>IFERROR(INDEX(tEditais[Órgão],MATCH(tItens[[#This Row],[Edital]],tEditais[Edital],0)),"")</f>
        <v>FUNDO MUNICIPAL DA SAUDE DE MATO LEITAO</v>
      </c>
      <c r="H7710" t="str">
        <f>IFERROR(INDEX(tEditais[UF],MATCH(tItens[[#This Row],[Edital]],tEditais[Edital],0)),"")</f>
        <v>RS</v>
      </c>
      <c r="I7710" s="11">
        <f>IFERROR(INDEX(tEditais[Encerramento],MATCH(tItens[[#This Row],[Edital]],tEditais[Edital],0)),"")</f>
        <v>46309.561805555553</v>
      </c>
      <c r="J7710" t="str">
        <f>IFERROR(INDEX(tProdutos[Classe],MATCH(tItens[[#This Row],[Produto]],tProdutos[Produto],0)),"produto não cadastrado")</f>
        <v>DISPUTADO</v>
      </c>
      <c r="K7710" s="12">
        <f>tItens[[#This Row],[Qtd]]*tItens[[#This Row],[Vlr unit]]</f>
        <v>330</v>
      </c>
      <c r="L7710" s="6">
        <f>IFERROR(IF(INDEX(tProdutos[Desconto homologado],MATCH(tItens[[#This Row],[Produto]],tProdutos[Produto],0))="",DescontoPadrao,INDEX(tProdutos[Desconto homologado],MATCH(tItens[[#This Row],[Produto]],tProdutos[Produto],0))),DescontoPadrao)</f>
        <v>0.42461538461538501</v>
      </c>
      <c r="M7710" s="12">
        <f>tItens[[#This Row],[Valor]]*(1-tItens[[#This Row],[Desconto]])</f>
        <v>189.87692307692294</v>
      </c>
      <c r="N7710" t="str">
        <f>IFERROR(INDEX(tProdutos[Foco],MATCH(tItens[[#This Row],[Produto]],tProdutos[Produto],0)),"Não")</f>
        <v>Não</v>
      </c>
      <c r="O7710" t="str">
        <f>IFERROR(INDEX(tEditais[SRP],MATCH(tItens[[#This Row],[Edital]],tEditais[Edital],0)),"Não")</f>
        <v>Não</v>
      </c>
      <c r="P7710" s="4">
        <f>IF(COUNTIFS(INDEX(tItens[Edital],1):tItens[[#This Row],[Edital]],tItens[[#This Row],[Edital]],INDEX(tItens[Produto],1):tItens[[#This Row],[Produto]],tItens[[#This Row],[Produto]])=1,1,0)</f>
        <v>1</v>
      </c>
    </row>
    <row r="7711" spans="1:16" x14ac:dyDescent="0.25">
      <c r="A7711" t="s">
        <v>2560</v>
      </c>
      <c r="B7711">
        <v>255</v>
      </c>
      <c r="C7711" t="s">
        <v>10278</v>
      </c>
      <c r="D7711" t="s">
        <v>289</v>
      </c>
      <c r="E7711" s="13">
        <v>30</v>
      </c>
      <c r="F7711" s="12">
        <v>45</v>
      </c>
      <c r="G7711" t="str">
        <f>IFERROR(INDEX(tEditais[Órgão],MATCH(tItens[[#This Row],[Edital]],tEditais[Edital],0)),"")</f>
        <v>FUNDO MUNICIPAL DA SAUDE DE MATO LEITAO</v>
      </c>
      <c r="H7711" t="str">
        <f>IFERROR(INDEX(tEditais[UF],MATCH(tItens[[#This Row],[Edital]],tEditais[Edital],0)),"")</f>
        <v>RS</v>
      </c>
      <c r="I7711" s="11">
        <f>IFERROR(INDEX(tEditais[Encerramento],MATCH(tItens[[#This Row],[Edital]],tEditais[Edital],0)),"")</f>
        <v>46309.561805555553</v>
      </c>
      <c r="J7711" t="str">
        <f>IFERROR(INDEX(tProdutos[Classe],MATCH(tItens[[#This Row],[Produto]],tProdutos[Produto],0)),"produto não cadastrado")</f>
        <v>DISPUTADO</v>
      </c>
      <c r="K7711" s="12">
        <f>tItens[[#This Row],[Qtd]]*tItens[[#This Row],[Vlr unit]]</f>
        <v>1350</v>
      </c>
      <c r="L7711" s="6">
        <f>IFERROR(IF(INDEX(tProdutos[Desconto homologado],MATCH(tItens[[#This Row],[Produto]],tProdutos[Produto],0))="",DescontoPadrao,INDEX(tProdutos[Desconto homologado],MATCH(tItens[[#This Row],[Produto]],tProdutos[Produto],0))),DescontoPadrao)</f>
        <v>0.35849056603773599</v>
      </c>
      <c r="M7711" s="12">
        <f>tItens[[#This Row],[Valor]]*(1-tItens[[#This Row],[Desconto]])</f>
        <v>866.03773584905639</v>
      </c>
      <c r="N7711" t="str">
        <f>IFERROR(INDEX(tProdutos[Foco],MATCH(tItens[[#This Row],[Produto]],tProdutos[Produto],0)),"Não")</f>
        <v>Não</v>
      </c>
      <c r="O7711" t="str">
        <f>IFERROR(INDEX(tEditais[SRP],MATCH(tItens[[#This Row],[Edital]],tEditais[Edital],0)),"Não")</f>
        <v>Não</v>
      </c>
      <c r="P7711" s="4">
        <f>IF(COUNTIFS(INDEX(tItens[Edital],1):tItens[[#This Row],[Edital]],tItens[[#This Row],[Edital]],INDEX(tItens[Produto],1):tItens[[#This Row],[Produto]],tItens[[#This Row],[Produto]])=1,1,0)</f>
        <v>1</v>
      </c>
    </row>
    <row r="7712" spans="1:16" x14ac:dyDescent="0.25">
      <c r="A7712" t="s">
        <v>2560</v>
      </c>
      <c r="B7712">
        <v>256</v>
      </c>
      <c r="C7712" t="s">
        <v>10279</v>
      </c>
      <c r="D7712" t="s">
        <v>283</v>
      </c>
      <c r="E7712" s="13">
        <v>15</v>
      </c>
      <c r="F7712" s="12">
        <v>19</v>
      </c>
      <c r="G7712" t="str">
        <f>IFERROR(INDEX(tEditais[Órgão],MATCH(tItens[[#This Row],[Edital]],tEditais[Edital],0)),"")</f>
        <v>FUNDO MUNICIPAL DA SAUDE DE MATO LEITAO</v>
      </c>
      <c r="H7712" t="str">
        <f>IFERROR(INDEX(tEditais[UF],MATCH(tItens[[#This Row],[Edital]],tEditais[Edital],0)),"")</f>
        <v>RS</v>
      </c>
      <c r="I7712" s="11">
        <f>IFERROR(INDEX(tEditais[Encerramento],MATCH(tItens[[#This Row],[Edital]],tEditais[Edital],0)),"")</f>
        <v>46309.561805555553</v>
      </c>
      <c r="J7712" t="str">
        <f>IFERROR(INDEX(tProdutos[Classe],MATCH(tItens[[#This Row],[Produto]],tProdutos[Produto],0)),"produto não cadastrado")</f>
        <v>FORA</v>
      </c>
      <c r="K7712" s="12">
        <f>tItens[[#This Row],[Qtd]]*tItens[[#This Row],[Vlr unit]]</f>
        <v>285</v>
      </c>
      <c r="L7712" s="6">
        <f>IFERROR(IF(INDEX(tProdutos[Desconto homologado],MATCH(tItens[[#This Row],[Produto]],tProdutos[Produto],0))="",DescontoPadrao,INDEX(tProdutos[Desconto homologado],MATCH(tItens[[#This Row],[Produto]],tProdutos[Produto],0))),DescontoPadrao)</f>
        <v>0.40540540540540498</v>
      </c>
      <c r="M7712" s="12">
        <f>tItens[[#This Row],[Valor]]*(1-tItens[[#This Row],[Desconto]])</f>
        <v>169.45945945945957</v>
      </c>
      <c r="N7712" t="str">
        <f>IFERROR(INDEX(tProdutos[Foco],MATCH(tItens[[#This Row],[Produto]],tProdutos[Produto],0)),"Não")</f>
        <v>Não</v>
      </c>
      <c r="O7712" t="str">
        <f>IFERROR(INDEX(tEditais[SRP],MATCH(tItens[[#This Row],[Edital]],tEditais[Edital],0)),"Não")</f>
        <v>Não</v>
      </c>
      <c r="P7712" s="4">
        <f>IF(COUNTIFS(INDEX(tItens[Edital],1):tItens[[#This Row],[Edital]],tItens[[#This Row],[Edital]],INDEX(tItens[Produto],1):tItens[[#This Row],[Produto]],tItens[[#This Row],[Produto]])=1,1,0)</f>
        <v>1</v>
      </c>
    </row>
    <row r="7713" spans="1:16" x14ac:dyDescent="0.25">
      <c r="A7713" t="s">
        <v>2560</v>
      </c>
      <c r="B7713">
        <v>257</v>
      </c>
      <c r="C7713" t="s">
        <v>10280</v>
      </c>
      <c r="D7713" t="s">
        <v>265</v>
      </c>
      <c r="E7713" s="13">
        <v>15</v>
      </c>
      <c r="F7713" s="12">
        <v>19</v>
      </c>
      <c r="G7713" t="str">
        <f>IFERROR(INDEX(tEditais[Órgão],MATCH(tItens[[#This Row],[Edital]],tEditais[Edital],0)),"")</f>
        <v>FUNDO MUNICIPAL DA SAUDE DE MATO LEITAO</v>
      </c>
      <c r="H7713" t="str">
        <f>IFERROR(INDEX(tEditais[UF],MATCH(tItens[[#This Row],[Edital]],tEditais[Edital],0)),"")</f>
        <v>RS</v>
      </c>
      <c r="I7713" s="11">
        <f>IFERROR(INDEX(tEditais[Encerramento],MATCH(tItens[[#This Row],[Edital]],tEditais[Edital],0)),"")</f>
        <v>46309.561805555553</v>
      </c>
      <c r="J7713" t="str">
        <f>IFERROR(INDEX(tProdutos[Classe],MATCH(tItens[[#This Row],[Produto]],tProdutos[Produto],0)),"produto não cadastrado")</f>
        <v>DISPUTADO</v>
      </c>
      <c r="K7713" s="12">
        <f>tItens[[#This Row],[Qtd]]*tItens[[#This Row],[Vlr unit]]</f>
        <v>285</v>
      </c>
      <c r="L7713" s="6">
        <f>IFERROR(IF(INDEX(tProdutos[Desconto homologado],MATCH(tItens[[#This Row],[Produto]],tProdutos[Produto],0))="",DescontoPadrao,INDEX(tProdutos[Desconto homologado],MATCH(tItens[[#This Row],[Produto]],tProdutos[Produto],0))),DescontoPadrao)</f>
        <v>0.377587663709337</v>
      </c>
      <c r="M7713" s="12">
        <f>tItens[[#This Row],[Valor]]*(1-tItens[[#This Row],[Desconto]])</f>
        <v>177.38751584283898</v>
      </c>
      <c r="N7713" t="str">
        <f>IFERROR(INDEX(tProdutos[Foco],MATCH(tItens[[#This Row],[Produto]],tProdutos[Produto],0)),"Não")</f>
        <v>Não</v>
      </c>
      <c r="O7713" t="str">
        <f>IFERROR(INDEX(tEditais[SRP],MATCH(tItens[[#This Row],[Edital]],tEditais[Edital],0)),"Não")</f>
        <v>Não</v>
      </c>
      <c r="P7713" s="4">
        <f>IF(COUNTIFS(INDEX(tItens[Edital],1):tItens[[#This Row],[Edital]],tItens[[#This Row],[Edital]],INDEX(tItens[Produto],1):tItens[[#This Row],[Produto]],tItens[[#This Row],[Produto]])=1,1,0)</f>
        <v>1</v>
      </c>
    </row>
    <row r="7714" spans="1:16" x14ac:dyDescent="0.25">
      <c r="A7714" t="s">
        <v>2560</v>
      </c>
      <c r="B7714">
        <v>259</v>
      </c>
      <c r="C7714" t="s">
        <v>10281</v>
      </c>
      <c r="D7714" t="s">
        <v>120</v>
      </c>
      <c r="E7714" s="13">
        <v>50</v>
      </c>
      <c r="F7714" s="12">
        <v>0.8</v>
      </c>
      <c r="G7714" t="str">
        <f>IFERROR(INDEX(tEditais[Órgão],MATCH(tItens[[#This Row],[Edital]],tEditais[Edital],0)),"")</f>
        <v>FUNDO MUNICIPAL DA SAUDE DE MATO LEITAO</v>
      </c>
      <c r="H7714" t="str">
        <f>IFERROR(INDEX(tEditais[UF],MATCH(tItens[[#This Row],[Edital]],tEditais[Edital],0)),"")</f>
        <v>RS</v>
      </c>
      <c r="I7714" s="11">
        <f>IFERROR(INDEX(tEditais[Encerramento],MATCH(tItens[[#This Row],[Edital]],tEditais[Edital],0)),"")</f>
        <v>46309.561805555553</v>
      </c>
      <c r="J7714" t="str">
        <f>IFERROR(INDEX(tProdutos[Classe],MATCH(tItens[[#This Row],[Produto]],tProdutos[Produto],0)),"produto não cadastrado")</f>
        <v>DISPUTADO</v>
      </c>
      <c r="K7714" s="12">
        <f>tItens[[#This Row],[Qtd]]*tItens[[#This Row],[Vlr unit]]</f>
        <v>40</v>
      </c>
      <c r="L7714" s="6">
        <f>IFERROR(IF(INDEX(tProdutos[Desconto homologado],MATCH(tItens[[#This Row],[Produto]],tProdutos[Produto],0))="",DescontoPadrao,INDEX(tProdutos[Desconto homologado],MATCH(tItens[[#This Row],[Produto]],tProdutos[Produto],0))),DescontoPadrao)</f>
        <v>0.40909090909090901</v>
      </c>
      <c r="M7714" s="12">
        <f>tItens[[#This Row],[Valor]]*(1-tItens[[#This Row],[Desconto]])</f>
        <v>23.63636363636364</v>
      </c>
      <c r="N7714" t="str">
        <f>IFERROR(INDEX(tProdutos[Foco],MATCH(tItens[[#This Row],[Produto]],tProdutos[Produto],0)),"Não")</f>
        <v>Não</v>
      </c>
      <c r="O7714" t="str">
        <f>IFERROR(INDEX(tEditais[SRP],MATCH(tItens[[#This Row],[Edital]],tEditais[Edital],0)),"Não")</f>
        <v>Não</v>
      </c>
      <c r="P7714" s="4">
        <f>IF(COUNTIFS(INDEX(tItens[Edital],1):tItens[[#This Row],[Edital]],tItens[[#This Row],[Edital]],INDEX(tItens[Produto],1):tItens[[#This Row],[Produto]],tItens[[#This Row],[Produto]])=1,1,0)</f>
        <v>0</v>
      </c>
    </row>
    <row r="7715" spans="1:16" x14ac:dyDescent="0.25">
      <c r="A7715" t="s">
        <v>2564</v>
      </c>
      <c r="B7715">
        <v>30001</v>
      </c>
      <c r="C7715" t="s">
        <v>10282</v>
      </c>
      <c r="D7715" t="s">
        <v>347</v>
      </c>
      <c r="E7715" s="13">
        <v>12</v>
      </c>
      <c r="F7715" s="12">
        <v>2.4300000000000002</v>
      </c>
      <c r="G7715" t="str">
        <f>IFERROR(INDEX(tEditais[Órgão],MATCH(tItens[[#This Row],[Edital]],tEditais[Edital],0)),"")</f>
        <v>FUNDACAO DE APOIO DA UNIVERSIDADE FEDERAL DO RGS</v>
      </c>
      <c r="H7715" t="str">
        <f>IFERROR(INDEX(tEditais[UF],MATCH(tItens[[#This Row],[Edital]],tEditais[Edital],0)),"")</f>
        <v>RS</v>
      </c>
      <c r="I7715" s="11">
        <f>IFERROR(INDEX(tEditais[Encerramento],MATCH(tItens[[#This Row],[Edital]],tEditais[Edital],0)),"")</f>
        <v>46309.604166666664</v>
      </c>
      <c r="J7715" t="str">
        <f>IFERROR(INDEX(tProdutos[Classe],MATCH(tItens[[#This Row],[Produto]],tProdutos[Produto],0)),"produto não cadastrado")</f>
        <v>FORA</v>
      </c>
      <c r="K7715" s="12">
        <f>tItens[[#This Row],[Qtd]]*tItens[[#This Row],[Vlr unit]]</f>
        <v>29.160000000000004</v>
      </c>
      <c r="L7715" s="6">
        <f>IFERROR(IF(INDEX(tProdutos[Desconto homologado],MATCH(tItens[[#This Row],[Produto]],tProdutos[Produto],0))="",DescontoPadrao,INDEX(tProdutos[Desconto homologado],MATCH(tItens[[#This Row],[Produto]],tProdutos[Produto],0))),DescontoPadrao)</f>
        <v>0.26356465005931201</v>
      </c>
      <c r="M7715" s="12">
        <f>tItens[[#This Row],[Valor]]*(1-tItens[[#This Row],[Desconto]])</f>
        <v>21.474454804270461</v>
      </c>
      <c r="N7715" t="str">
        <f>IFERROR(INDEX(tProdutos[Foco],MATCH(tItens[[#This Row],[Produto]],tProdutos[Produto],0)),"Não")</f>
        <v>Não</v>
      </c>
      <c r="O7715" t="str">
        <f>IFERROR(INDEX(tEditais[SRP],MATCH(tItens[[#This Row],[Edital]],tEditais[Edital],0)),"Não")</f>
        <v>Não</v>
      </c>
      <c r="P7715" s="4">
        <f>IF(COUNTIFS(INDEX(tItens[Edital],1):tItens[[#This Row],[Edital]],tItens[[#This Row],[Edital]],INDEX(tItens[Produto],1):tItens[[#This Row],[Produto]],tItens[[#This Row],[Produto]])=1,1,0)</f>
        <v>1</v>
      </c>
    </row>
    <row r="7716" spans="1:16" x14ac:dyDescent="0.25">
      <c r="A7716" t="s">
        <v>2564</v>
      </c>
      <c r="B7716">
        <v>100001</v>
      </c>
      <c r="C7716" t="s">
        <v>10283</v>
      </c>
      <c r="D7716" t="s">
        <v>77</v>
      </c>
      <c r="E7716" s="13">
        <v>50</v>
      </c>
      <c r="F7716" s="12">
        <v>2.76</v>
      </c>
      <c r="G7716" t="str">
        <f>IFERROR(INDEX(tEditais[Órgão],MATCH(tItens[[#This Row],[Edital]],tEditais[Edital],0)),"")</f>
        <v>FUNDACAO DE APOIO DA UNIVERSIDADE FEDERAL DO RGS</v>
      </c>
      <c r="H7716" t="str">
        <f>IFERROR(INDEX(tEditais[UF],MATCH(tItens[[#This Row],[Edital]],tEditais[Edital],0)),"")</f>
        <v>RS</v>
      </c>
      <c r="I7716" s="11">
        <f>IFERROR(INDEX(tEditais[Encerramento],MATCH(tItens[[#This Row],[Edital]],tEditais[Edital],0)),"")</f>
        <v>46309.604166666664</v>
      </c>
      <c r="J7716" t="str">
        <f>IFERROR(INDEX(tProdutos[Classe],MATCH(tItens[[#This Row],[Produto]],tProdutos[Produto],0)),"produto não cadastrado")</f>
        <v>DISPUTADO</v>
      </c>
      <c r="K7716" s="12">
        <f>tItens[[#This Row],[Qtd]]*tItens[[#This Row],[Vlr unit]]</f>
        <v>138</v>
      </c>
      <c r="L7716" s="6">
        <f>IFERROR(IF(INDEX(tProdutos[Desconto homologado],MATCH(tItens[[#This Row],[Produto]],tProdutos[Produto],0))="",DescontoPadrao,INDEX(tProdutos[Desconto homologado],MATCH(tItens[[#This Row],[Produto]],tProdutos[Produto],0))),DescontoPadrao)</f>
        <v>0.33</v>
      </c>
      <c r="M7716" s="12">
        <f>tItens[[#This Row],[Valor]]*(1-tItens[[#This Row],[Desconto]])</f>
        <v>92.46</v>
      </c>
      <c r="N7716" t="str">
        <f>IFERROR(INDEX(tProdutos[Foco],MATCH(tItens[[#This Row],[Produto]],tProdutos[Produto],0)),"Não")</f>
        <v>Sim</v>
      </c>
      <c r="O7716" t="str">
        <f>IFERROR(INDEX(tEditais[SRP],MATCH(tItens[[#This Row],[Edital]],tEditais[Edital],0)),"Não")</f>
        <v>Não</v>
      </c>
      <c r="P7716" s="4">
        <f>IF(COUNTIFS(INDEX(tItens[Edital],1):tItens[[#This Row],[Edital]],tItens[[#This Row],[Edital]],INDEX(tItens[Produto],1):tItens[[#This Row],[Produto]],tItens[[#This Row],[Produto]])=1,1,0)</f>
        <v>1</v>
      </c>
    </row>
    <row r="7717" spans="1:16" x14ac:dyDescent="0.25">
      <c r="A7717" t="s">
        <v>2564</v>
      </c>
      <c r="B7717">
        <v>130001</v>
      </c>
      <c r="C7717" t="s">
        <v>10284</v>
      </c>
      <c r="D7717" t="s">
        <v>110</v>
      </c>
      <c r="E7717" s="13">
        <v>250</v>
      </c>
      <c r="F7717" s="12">
        <v>1.81</v>
      </c>
      <c r="G7717" t="str">
        <f>IFERROR(INDEX(tEditais[Órgão],MATCH(tItens[[#This Row],[Edital]],tEditais[Edital],0)),"")</f>
        <v>FUNDACAO DE APOIO DA UNIVERSIDADE FEDERAL DO RGS</v>
      </c>
      <c r="H7717" t="str">
        <f>IFERROR(INDEX(tEditais[UF],MATCH(tItens[[#This Row],[Edital]],tEditais[Edital],0)),"")</f>
        <v>RS</v>
      </c>
      <c r="I7717" s="11">
        <f>IFERROR(INDEX(tEditais[Encerramento],MATCH(tItens[[#This Row],[Edital]],tEditais[Edital],0)),"")</f>
        <v>46309.604166666664</v>
      </c>
      <c r="J7717" t="str">
        <f>IFERROR(INDEX(tProdutos[Classe],MATCH(tItens[[#This Row],[Produto]],tProdutos[Produto],0)),"produto não cadastrado")</f>
        <v>NÚCLEO</v>
      </c>
      <c r="K7717" s="12">
        <f>tItens[[#This Row],[Qtd]]*tItens[[#This Row],[Vlr unit]]</f>
        <v>452.5</v>
      </c>
      <c r="L7717" s="6">
        <f>IFERROR(IF(INDEX(tProdutos[Desconto homologado],MATCH(tItens[[#This Row],[Produto]],tProdutos[Produto],0))="",DescontoPadrao,INDEX(tProdutos[Desconto homologado],MATCH(tItens[[#This Row],[Produto]],tProdutos[Produto],0))),DescontoPadrao)</f>
        <v>0.30410958904109597</v>
      </c>
      <c r="M7717" s="12">
        <f>tItens[[#This Row],[Valor]]*(1-tItens[[#This Row],[Desconto]])</f>
        <v>314.89041095890406</v>
      </c>
      <c r="N7717" t="str">
        <f>IFERROR(INDEX(tProdutos[Foco],MATCH(tItens[[#This Row],[Produto]],tProdutos[Produto],0)),"Não")</f>
        <v>Não</v>
      </c>
      <c r="O7717" t="str">
        <f>IFERROR(INDEX(tEditais[SRP],MATCH(tItens[[#This Row],[Edital]],tEditais[Edital],0)),"Não")</f>
        <v>Não</v>
      </c>
      <c r="P7717" s="4">
        <f>IF(COUNTIFS(INDEX(tItens[Edital],1):tItens[[#This Row],[Edital]],tItens[[#This Row],[Edital]],INDEX(tItens[Produto],1):tItens[[#This Row],[Produto]],tItens[[#This Row],[Produto]])=1,1,0)</f>
        <v>1</v>
      </c>
    </row>
    <row r="7718" spans="1:16" x14ac:dyDescent="0.25">
      <c r="A7718" t="s">
        <v>2564</v>
      </c>
      <c r="B7718">
        <v>140001</v>
      </c>
      <c r="C7718" t="s">
        <v>10285</v>
      </c>
      <c r="D7718" t="s">
        <v>184</v>
      </c>
      <c r="E7718" s="13">
        <v>20</v>
      </c>
      <c r="F7718" s="12">
        <v>0.7</v>
      </c>
      <c r="G7718" t="str">
        <f>IFERROR(INDEX(tEditais[Órgão],MATCH(tItens[[#This Row],[Edital]],tEditais[Edital],0)),"")</f>
        <v>FUNDACAO DE APOIO DA UNIVERSIDADE FEDERAL DO RGS</v>
      </c>
      <c r="H7718" t="str">
        <f>IFERROR(INDEX(tEditais[UF],MATCH(tItens[[#This Row],[Edital]],tEditais[Edital],0)),"")</f>
        <v>RS</v>
      </c>
      <c r="I7718" s="11">
        <f>IFERROR(INDEX(tEditais[Encerramento],MATCH(tItens[[#This Row],[Edital]],tEditais[Edital],0)),"")</f>
        <v>46309.604166666664</v>
      </c>
      <c r="J7718" t="str">
        <f>IFERROR(INDEX(tProdutos[Classe],MATCH(tItens[[#This Row],[Produto]],tProdutos[Produto],0)),"produto não cadastrado")</f>
        <v>FORA</v>
      </c>
      <c r="K7718" s="12">
        <f>tItens[[#This Row],[Qtd]]*tItens[[#This Row],[Vlr unit]]</f>
        <v>14</v>
      </c>
      <c r="L7718" s="6">
        <f>IFERROR(IF(INDEX(tProdutos[Desconto homologado],MATCH(tItens[[#This Row],[Produto]],tProdutos[Produto],0))="",DescontoPadrao,INDEX(tProdutos[Desconto homologado],MATCH(tItens[[#This Row],[Produto]],tProdutos[Produto],0))),DescontoPadrao)</f>
        <v>0.363567906332742</v>
      </c>
      <c r="M7718" s="12">
        <f>tItens[[#This Row],[Valor]]*(1-tItens[[#This Row],[Desconto]])</f>
        <v>8.9100493113416128</v>
      </c>
      <c r="N7718" t="str">
        <f>IFERROR(INDEX(tProdutos[Foco],MATCH(tItens[[#This Row],[Produto]],tProdutos[Produto],0)),"Não")</f>
        <v>Não</v>
      </c>
      <c r="O7718" t="str">
        <f>IFERROR(INDEX(tEditais[SRP],MATCH(tItens[[#This Row],[Edital]],tEditais[Edital],0)),"Não")</f>
        <v>Não</v>
      </c>
      <c r="P7718" s="4">
        <f>IF(COUNTIFS(INDEX(tItens[Edital],1):tItens[[#This Row],[Edital]],tItens[[#This Row],[Edital]],INDEX(tItens[Produto],1):tItens[[#This Row],[Produto]],tItens[[#This Row],[Produto]])=1,1,0)</f>
        <v>1</v>
      </c>
    </row>
    <row r="7719" spans="1:16" x14ac:dyDescent="0.25">
      <c r="A7719" t="s">
        <v>2568</v>
      </c>
      <c r="B7719">
        <v>21</v>
      </c>
      <c r="C7719" t="s">
        <v>10286</v>
      </c>
      <c r="D7719" t="s">
        <v>461</v>
      </c>
      <c r="E7719" s="13">
        <v>300</v>
      </c>
      <c r="F7719" s="12">
        <v>26.43</v>
      </c>
      <c r="G7719" t="str">
        <f>IFERROR(INDEX(tEditais[Órgão],MATCH(tItens[[#This Row],[Edital]],tEditais[Edital],0)),"")</f>
        <v>MUNICIPIO DE CRUZ ALTA</v>
      </c>
      <c r="H7719" t="str">
        <f>IFERROR(INDEX(tEditais[UF],MATCH(tItens[[#This Row],[Edital]],tEditais[Edital],0)),"")</f>
        <v>RS</v>
      </c>
      <c r="I7719" s="11">
        <f>IFERROR(INDEX(tEditais[Encerramento],MATCH(tItens[[#This Row],[Edital]],tEditais[Edital],0)),"")</f>
        <v>46310.333333333336</v>
      </c>
      <c r="J7719" t="str">
        <f>IFERROR(INDEX(tProdutos[Classe],MATCH(tItens[[#This Row],[Produto]],tProdutos[Produto],0)),"produto não cadastrado")</f>
        <v>FILA REBASE</v>
      </c>
      <c r="K7719" s="12">
        <f>tItens[[#This Row],[Qtd]]*tItens[[#This Row],[Vlr unit]]</f>
        <v>7929</v>
      </c>
      <c r="L7719" s="6">
        <f>IFERROR(IF(INDEX(tProdutos[Desconto homologado],MATCH(tItens[[#This Row],[Produto]],tProdutos[Produto],0))="",DescontoPadrao,INDEX(tProdutos[Desconto homologado],MATCH(tItens[[#This Row],[Produto]],tProdutos[Produto],0))),DescontoPadrao)</f>
        <v>0.44096385542168698</v>
      </c>
      <c r="M7719" s="12">
        <f>tItens[[#This Row],[Valor]]*(1-tItens[[#This Row],[Desconto]])</f>
        <v>4432.5975903614435</v>
      </c>
      <c r="N7719" t="str">
        <f>IFERROR(INDEX(tProdutos[Foco],MATCH(tItens[[#This Row],[Produto]],tProdutos[Produto],0)),"Não")</f>
        <v>Não</v>
      </c>
      <c r="O7719" t="str">
        <f>IFERROR(INDEX(tEditais[SRP],MATCH(tItens[[#This Row],[Edital]],tEditais[Edital],0)),"Não")</f>
        <v>Sim</v>
      </c>
      <c r="P7719" s="4">
        <f>IF(COUNTIFS(INDEX(tItens[Edital],1):tItens[[#This Row],[Edital]],tItens[[#This Row],[Edital]],INDEX(tItens[Produto],1):tItens[[#This Row],[Produto]],tItens[[#This Row],[Produto]])=1,1,0)</f>
        <v>1</v>
      </c>
    </row>
    <row r="7720" spans="1:16" x14ac:dyDescent="0.25">
      <c r="A7720" t="s">
        <v>2568</v>
      </c>
      <c r="B7720">
        <v>26</v>
      </c>
      <c r="C7720" t="s">
        <v>10287</v>
      </c>
      <c r="D7720" t="s">
        <v>56</v>
      </c>
      <c r="E7720" s="13">
        <v>20</v>
      </c>
      <c r="F7720" s="12">
        <v>35.25</v>
      </c>
      <c r="G7720" t="str">
        <f>IFERROR(INDEX(tEditais[Órgão],MATCH(tItens[[#This Row],[Edital]],tEditais[Edital],0)),"")</f>
        <v>MUNICIPIO DE CRUZ ALTA</v>
      </c>
      <c r="H7720" t="str">
        <f>IFERROR(INDEX(tEditais[UF],MATCH(tItens[[#This Row],[Edital]],tEditais[Edital],0)),"")</f>
        <v>RS</v>
      </c>
      <c r="I7720" s="11">
        <f>IFERROR(INDEX(tEditais[Encerramento],MATCH(tItens[[#This Row],[Edital]],tEditais[Edital],0)),"")</f>
        <v>46310.333333333336</v>
      </c>
      <c r="J7720" t="str">
        <f>IFERROR(INDEX(tProdutos[Classe],MATCH(tItens[[#This Row],[Produto]],tProdutos[Produto],0)),"produto não cadastrado")</f>
        <v>NÚCLEO</v>
      </c>
      <c r="K7720" s="12">
        <f>tItens[[#This Row],[Qtd]]*tItens[[#This Row],[Vlr unit]]</f>
        <v>705</v>
      </c>
      <c r="L7720" s="6">
        <f>IFERROR(IF(INDEX(tProdutos[Desconto homologado],MATCH(tItens[[#This Row],[Produto]],tProdutos[Produto],0))="",DescontoPadrao,INDEX(tProdutos[Desconto homologado],MATCH(tItens[[#This Row],[Produto]],tProdutos[Produto],0))),DescontoPadrao)</f>
        <v>0.34</v>
      </c>
      <c r="M7720" s="12">
        <f>tItens[[#This Row],[Valor]]*(1-tItens[[#This Row],[Desconto]])</f>
        <v>465.29999999999995</v>
      </c>
      <c r="N7720" t="str">
        <f>IFERROR(INDEX(tProdutos[Foco],MATCH(tItens[[#This Row],[Produto]],tProdutos[Produto],0)),"Não")</f>
        <v>Sim</v>
      </c>
      <c r="O7720" t="str">
        <f>IFERROR(INDEX(tEditais[SRP],MATCH(tItens[[#This Row],[Edital]],tEditais[Edital],0)),"Não")</f>
        <v>Sim</v>
      </c>
      <c r="P7720" s="4">
        <f>IF(COUNTIFS(INDEX(tItens[Edital],1):tItens[[#This Row],[Edital]],tItens[[#This Row],[Edital]],INDEX(tItens[Produto],1):tItens[[#This Row],[Produto]],tItens[[#This Row],[Produto]])=1,1,0)</f>
        <v>1</v>
      </c>
    </row>
    <row r="7721" spans="1:16" x14ac:dyDescent="0.25">
      <c r="A7721" t="s">
        <v>2568</v>
      </c>
      <c r="B7721">
        <v>27</v>
      </c>
      <c r="C7721" t="s">
        <v>10288</v>
      </c>
      <c r="D7721" t="s">
        <v>56</v>
      </c>
      <c r="E7721" s="13">
        <v>20</v>
      </c>
      <c r="F7721" s="12">
        <v>22.8</v>
      </c>
      <c r="G7721" t="str">
        <f>IFERROR(INDEX(tEditais[Órgão],MATCH(tItens[[#This Row],[Edital]],tEditais[Edital],0)),"")</f>
        <v>MUNICIPIO DE CRUZ ALTA</v>
      </c>
      <c r="H7721" t="str">
        <f>IFERROR(INDEX(tEditais[UF],MATCH(tItens[[#This Row],[Edital]],tEditais[Edital],0)),"")</f>
        <v>RS</v>
      </c>
      <c r="I7721" s="11">
        <f>IFERROR(INDEX(tEditais[Encerramento],MATCH(tItens[[#This Row],[Edital]],tEditais[Edital],0)),"")</f>
        <v>46310.333333333336</v>
      </c>
      <c r="J7721" t="str">
        <f>IFERROR(INDEX(tProdutos[Classe],MATCH(tItens[[#This Row],[Produto]],tProdutos[Produto],0)),"produto não cadastrado")</f>
        <v>NÚCLEO</v>
      </c>
      <c r="K7721" s="12">
        <f>tItens[[#This Row],[Qtd]]*tItens[[#This Row],[Vlr unit]]</f>
        <v>456</v>
      </c>
      <c r="L7721" s="6">
        <f>IFERROR(IF(INDEX(tProdutos[Desconto homologado],MATCH(tItens[[#This Row],[Produto]],tProdutos[Produto],0))="",DescontoPadrao,INDEX(tProdutos[Desconto homologado],MATCH(tItens[[#This Row],[Produto]],tProdutos[Produto],0))),DescontoPadrao)</f>
        <v>0.34</v>
      </c>
      <c r="M7721" s="12">
        <f>tItens[[#This Row],[Valor]]*(1-tItens[[#This Row],[Desconto]])</f>
        <v>300.95999999999998</v>
      </c>
      <c r="N7721" t="str">
        <f>IFERROR(INDEX(tProdutos[Foco],MATCH(tItens[[#This Row],[Produto]],tProdutos[Produto],0)),"Não")</f>
        <v>Sim</v>
      </c>
      <c r="O7721" t="str">
        <f>IFERROR(INDEX(tEditais[SRP],MATCH(tItens[[#This Row],[Edital]],tEditais[Edital],0)),"Não")</f>
        <v>Sim</v>
      </c>
      <c r="P7721" s="4">
        <f>IF(COUNTIFS(INDEX(tItens[Edital],1):tItens[[#This Row],[Edital]],tItens[[#This Row],[Edital]],INDEX(tItens[Produto],1):tItens[[#This Row],[Produto]],tItens[[#This Row],[Produto]])=1,1,0)</f>
        <v>0</v>
      </c>
    </row>
    <row r="7722" spans="1:16" x14ac:dyDescent="0.25">
      <c r="A7722" t="s">
        <v>2568</v>
      </c>
      <c r="B7722">
        <v>71</v>
      </c>
      <c r="C7722" t="s">
        <v>10289</v>
      </c>
      <c r="D7722" t="s">
        <v>56</v>
      </c>
      <c r="E7722" s="13">
        <v>20</v>
      </c>
      <c r="F7722" s="12">
        <v>26.66</v>
      </c>
      <c r="G7722" t="str">
        <f>IFERROR(INDEX(tEditais[Órgão],MATCH(tItens[[#This Row],[Edital]],tEditais[Edital],0)),"")</f>
        <v>MUNICIPIO DE CRUZ ALTA</v>
      </c>
      <c r="H7722" t="str">
        <f>IFERROR(INDEX(tEditais[UF],MATCH(tItens[[#This Row],[Edital]],tEditais[Edital],0)),"")</f>
        <v>RS</v>
      </c>
      <c r="I7722" s="11">
        <f>IFERROR(INDEX(tEditais[Encerramento],MATCH(tItens[[#This Row],[Edital]],tEditais[Edital],0)),"")</f>
        <v>46310.333333333336</v>
      </c>
      <c r="J7722" t="str">
        <f>IFERROR(INDEX(tProdutos[Classe],MATCH(tItens[[#This Row],[Produto]],tProdutos[Produto],0)),"produto não cadastrado")</f>
        <v>NÚCLEO</v>
      </c>
      <c r="K7722" s="12">
        <f>tItens[[#This Row],[Qtd]]*tItens[[#This Row],[Vlr unit]]</f>
        <v>533.20000000000005</v>
      </c>
      <c r="L7722" s="6">
        <f>IFERROR(IF(INDEX(tProdutos[Desconto homologado],MATCH(tItens[[#This Row],[Produto]],tProdutos[Produto],0))="",DescontoPadrao,INDEX(tProdutos[Desconto homologado],MATCH(tItens[[#This Row],[Produto]],tProdutos[Produto],0))),DescontoPadrao)</f>
        <v>0.34</v>
      </c>
      <c r="M7722" s="12">
        <f>tItens[[#This Row],[Valor]]*(1-tItens[[#This Row],[Desconto]])</f>
        <v>351.91199999999998</v>
      </c>
      <c r="N7722" t="str">
        <f>IFERROR(INDEX(tProdutos[Foco],MATCH(tItens[[#This Row],[Produto]],tProdutos[Produto],0)),"Não")</f>
        <v>Sim</v>
      </c>
      <c r="O7722" t="str">
        <f>IFERROR(INDEX(tEditais[SRP],MATCH(tItens[[#This Row],[Edital]],tEditais[Edital],0)),"Não")</f>
        <v>Sim</v>
      </c>
      <c r="P7722" s="4">
        <f>IF(COUNTIFS(INDEX(tItens[Edital],1):tItens[[#This Row],[Edital]],tItens[[#This Row],[Edital]],INDEX(tItens[Produto],1):tItens[[#This Row],[Produto]],tItens[[#This Row],[Produto]])=1,1,0)</f>
        <v>0</v>
      </c>
    </row>
    <row r="7723" spans="1:16" x14ac:dyDescent="0.25">
      <c r="A7723" t="s">
        <v>2572</v>
      </c>
      <c r="B7723">
        <v>7</v>
      </c>
      <c r="C7723" t="s">
        <v>10290</v>
      </c>
      <c r="D7723" t="s">
        <v>315</v>
      </c>
      <c r="E7723" s="13">
        <v>203</v>
      </c>
      <c r="F7723" s="12">
        <v>8.36</v>
      </c>
      <c r="G7723" t="str">
        <f>IFERROR(INDEX(tEditais[Órgão],MATCH(tItens[[#This Row],[Edital]],tEditais[Edital],0)),"")</f>
        <v>MUNICIPIO DE NOVO CABRAIS</v>
      </c>
      <c r="H7723" t="str">
        <f>IFERROR(INDEX(tEditais[UF],MATCH(tItens[[#This Row],[Edital]],tEditais[Edital],0)),"")</f>
        <v>RS</v>
      </c>
      <c r="I7723" s="11">
        <f>IFERROR(INDEX(tEditais[Encerramento],MATCH(tItens[[#This Row],[Edital]],tEditais[Edital],0)),"")</f>
        <v>46310.354166666664</v>
      </c>
      <c r="J7723" t="str">
        <f>IFERROR(INDEX(tProdutos[Classe],MATCH(tItens[[#This Row],[Produto]],tProdutos[Produto],0)),"produto não cadastrado")</f>
        <v>FORA</v>
      </c>
      <c r="K7723" s="12">
        <f>tItens[[#This Row],[Qtd]]*tItens[[#This Row],[Vlr unit]]</f>
        <v>1697.08</v>
      </c>
      <c r="L7723" s="6">
        <f>IFERROR(IF(INDEX(tProdutos[Desconto homologado],MATCH(tItens[[#This Row],[Produto]],tProdutos[Produto],0))="",DescontoPadrao,INDEX(tProdutos[Desconto homologado],MATCH(tItens[[#This Row],[Produto]],tProdutos[Produto],0))),DescontoPadrao)</f>
        <v>0.38432036097010702</v>
      </c>
      <c r="M7723" s="12">
        <f>tItens[[#This Row],[Valor]]*(1-tItens[[#This Row],[Desconto]])</f>
        <v>1044.8576018048507</v>
      </c>
      <c r="N7723" t="str">
        <f>IFERROR(INDEX(tProdutos[Foco],MATCH(tItens[[#This Row],[Produto]],tProdutos[Produto],0)),"Não")</f>
        <v>Não</v>
      </c>
      <c r="O7723" t="str">
        <f>IFERROR(INDEX(tEditais[SRP],MATCH(tItens[[#This Row],[Edital]],tEditais[Edital],0)),"Não")</f>
        <v>Não</v>
      </c>
      <c r="P7723" s="4">
        <f>IF(COUNTIFS(INDEX(tItens[Edital],1):tItens[[#This Row],[Edital]],tItens[[#This Row],[Edital]],INDEX(tItens[Produto],1):tItens[[#This Row],[Produto]],tItens[[#This Row],[Produto]])=1,1,0)</f>
        <v>1</v>
      </c>
    </row>
    <row r="7724" spans="1:16" x14ac:dyDescent="0.25">
      <c r="A7724" t="s">
        <v>2572</v>
      </c>
      <c r="B7724">
        <v>15</v>
      </c>
      <c r="C7724" t="s">
        <v>10291</v>
      </c>
      <c r="D7724" t="s">
        <v>309</v>
      </c>
      <c r="E7724" s="13">
        <v>700</v>
      </c>
      <c r="F7724" s="12">
        <v>1.89</v>
      </c>
      <c r="G7724" t="str">
        <f>IFERROR(INDEX(tEditais[Órgão],MATCH(tItens[[#This Row],[Edital]],tEditais[Edital],0)),"")</f>
        <v>MUNICIPIO DE NOVO CABRAIS</v>
      </c>
      <c r="H7724" t="str">
        <f>IFERROR(INDEX(tEditais[UF],MATCH(tItens[[#This Row],[Edital]],tEditais[Edital],0)),"")</f>
        <v>RS</v>
      </c>
      <c r="I7724" s="11">
        <f>IFERROR(INDEX(tEditais[Encerramento],MATCH(tItens[[#This Row],[Edital]],tEditais[Edital],0)),"")</f>
        <v>46310.354166666664</v>
      </c>
      <c r="J7724" t="str">
        <f>IFERROR(INDEX(tProdutos[Classe],MATCH(tItens[[#This Row],[Produto]],tProdutos[Produto],0)),"produto não cadastrado")</f>
        <v>DISPUTADO</v>
      </c>
      <c r="K7724" s="12">
        <f>tItens[[#This Row],[Qtd]]*tItens[[#This Row],[Vlr unit]]</f>
        <v>1323</v>
      </c>
      <c r="L7724" s="6">
        <f>IFERROR(IF(INDEX(tProdutos[Desconto homologado],MATCH(tItens[[#This Row],[Produto]],tProdutos[Produto],0))="",DescontoPadrao,INDEX(tProdutos[Desconto homologado],MATCH(tItens[[#This Row],[Produto]],tProdutos[Produto],0))),DescontoPadrao)</f>
        <v>0.329229323455968</v>
      </c>
      <c r="M7724" s="12">
        <f>tItens[[#This Row],[Valor]]*(1-tItens[[#This Row],[Desconto]])</f>
        <v>887.42960506775432</v>
      </c>
      <c r="N7724" t="str">
        <f>IFERROR(INDEX(tProdutos[Foco],MATCH(tItens[[#This Row],[Produto]],tProdutos[Produto],0)),"Não")</f>
        <v>Não</v>
      </c>
      <c r="O7724" t="str">
        <f>IFERROR(INDEX(tEditais[SRP],MATCH(tItens[[#This Row],[Edital]],tEditais[Edital],0)),"Não")</f>
        <v>Não</v>
      </c>
      <c r="P7724" s="4">
        <f>IF(COUNTIFS(INDEX(tItens[Edital],1):tItens[[#This Row],[Edital]],tItens[[#This Row],[Edital]],INDEX(tItens[Produto],1):tItens[[#This Row],[Produto]],tItens[[#This Row],[Produto]])=1,1,0)</f>
        <v>1</v>
      </c>
    </row>
    <row r="7725" spans="1:16" x14ac:dyDescent="0.25">
      <c r="A7725" t="s">
        <v>2572</v>
      </c>
      <c r="B7725">
        <v>16</v>
      </c>
      <c r="C7725" t="s">
        <v>10292</v>
      </c>
      <c r="D7725" t="s">
        <v>309</v>
      </c>
      <c r="E7725" s="13">
        <v>500</v>
      </c>
      <c r="F7725" s="12">
        <v>1.63</v>
      </c>
      <c r="G7725" t="str">
        <f>IFERROR(INDEX(tEditais[Órgão],MATCH(tItens[[#This Row],[Edital]],tEditais[Edital],0)),"")</f>
        <v>MUNICIPIO DE NOVO CABRAIS</v>
      </c>
      <c r="H7725" t="str">
        <f>IFERROR(INDEX(tEditais[UF],MATCH(tItens[[#This Row],[Edital]],tEditais[Edital],0)),"")</f>
        <v>RS</v>
      </c>
      <c r="I7725" s="11">
        <f>IFERROR(INDEX(tEditais[Encerramento],MATCH(tItens[[#This Row],[Edital]],tEditais[Edital],0)),"")</f>
        <v>46310.354166666664</v>
      </c>
      <c r="J7725" t="str">
        <f>IFERROR(INDEX(tProdutos[Classe],MATCH(tItens[[#This Row],[Produto]],tProdutos[Produto],0)),"produto não cadastrado")</f>
        <v>DISPUTADO</v>
      </c>
      <c r="K7725" s="12">
        <f>tItens[[#This Row],[Qtd]]*tItens[[#This Row],[Vlr unit]]</f>
        <v>815</v>
      </c>
      <c r="L7725" s="6">
        <f>IFERROR(IF(INDEX(tProdutos[Desconto homologado],MATCH(tItens[[#This Row],[Produto]],tProdutos[Produto],0))="",DescontoPadrao,INDEX(tProdutos[Desconto homologado],MATCH(tItens[[#This Row],[Produto]],tProdutos[Produto],0))),DescontoPadrao)</f>
        <v>0.329229323455968</v>
      </c>
      <c r="M7725" s="12">
        <f>tItens[[#This Row],[Valor]]*(1-tItens[[#This Row],[Desconto]])</f>
        <v>546.67810138338609</v>
      </c>
      <c r="N7725" t="str">
        <f>IFERROR(INDEX(tProdutos[Foco],MATCH(tItens[[#This Row],[Produto]],tProdutos[Produto],0)),"Não")</f>
        <v>Não</v>
      </c>
      <c r="O7725" t="str">
        <f>IFERROR(INDEX(tEditais[SRP],MATCH(tItens[[#This Row],[Edital]],tEditais[Edital],0)),"Não")</f>
        <v>Não</v>
      </c>
      <c r="P7725" s="4">
        <f>IF(COUNTIFS(INDEX(tItens[Edital],1):tItens[[#This Row],[Edital]],tItens[[#This Row],[Edital]],INDEX(tItens[Produto],1):tItens[[#This Row],[Produto]],tItens[[#This Row],[Produto]])=1,1,0)</f>
        <v>0</v>
      </c>
    </row>
    <row r="7726" spans="1:16" x14ac:dyDescent="0.25">
      <c r="A7726" t="s">
        <v>2572</v>
      </c>
      <c r="B7726">
        <v>17</v>
      </c>
      <c r="C7726" t="s">
        <v>10293</v>
      </c>
      <c r="D7726" t="s">
        <v>309</v>
      </c>
      <c r="E7726" s="13">
        <v>500</v>
      </c>
      <c r="F7726" s="12">
        <v>1.66</v>
      </c>
      <c r="G7726" t="str">
        <f>IFERROR(INDEX(tEditais[Órgão],MATCH(tItens[[#This Row],[Edital]],tEditais[Edital],0)),"")</f>
        <v>MUNICIPIO DE NOVO CABRAIS</v>
      </c>
      <c r="H7726" t="str">
        <f>IFERROR(INDEX(tEditais[UF],MATCH(tItens[[#This Row],[Edital]],tEditais[Edital],0)),"")</f>
        <v>RS</v>
      </c>
      <c r="I7726" s="11">
        <f>IFERROR(INDEX(tEditais[Encerramento],MATCH(tItens[[#This Row],[Edital]],tEditais[Edital],0)),"")</f>
        <v>46310.354166666664</v>
      </c>
      <c r="J7726" t="str">
        <f>IFERROR(INDEX(tProdutos[Classe],MATCH(tItens[[#This Row],[Produto]],tProdutos[Produto],0)),"produto não cadastrado")</f>
        <v>DISPUTADO</v>
      </c>
      <c r="K7726" s="12">
        <f>tItens[[#This Row],[Qtd]]*tItens[[#This Row],[Vlr unit]]</f>
        <v>830</v>
      </c>
      <c r="L7726" s="6">
        <f>IFERROR(IF(INDEX(tProdutos[Desconto homologado],MATCH(tItens[[#This Row],[Produto]],tProdutos[Produto],0))="",DescontoPadrao,INDEX(tProdutos[Desconto homologado],MATCH(tItens[[#This Row],[Produto]],tProdutos[Produto],0))),DescontoPadrao)</f>
        <v>0.329229323455968</v>
      </c>
      <c r="M7726" s="12">
        <f>tItens[[#This Row],[Valor]]*(1-tItens[[#This Row],[Desconto]])</f>
        <v>556.73966153154652</v>
      </c>
      <c r="N7726" t="str">
        <f>IFERROR(INDEX(tProdutos[Foco],MATCH(tItens[[#This Row],[Produto]],tProdutos[Produto],0)),"Não")</f>
        <v>Não</v>
      </c>
      <c r="O7726" t="str">
        <f>IFERROR(INDEX(tEditais[SRP],MATCH(tItens[[#This Row],[Edital]],tEditais[Edital],0)),"Não")</f>
        <v>Não</v>
      </c>
      <c r="P7726" s="4">
        <f>IF(COUNTIFS(INDEX(tItens[Edital],1):tItens[[#This Row],[Edital]],tItens[[#This Row],[Edital]],INDEX(tItens[Produto],1):tItens[[#This Row],[Produto]],tItens[[#This Row],[Produto]])=1,1,0)</f>
        <v>0</v>
      </c>
    </row>
    <row r="7727" spans="1:16" x14ac:dyDescent="0.25">
      <c r="A7727" t="s">
        <v>2572</v>
      </c>
      <c r="B7727">
        <v>18</v>
      </c>
      <c r="C7727" t="s">
        <v>10294</v>
      </c>
      <c r="D7727" t="s">
        <v>309</v>
      </c>
      <c r="E7727" s="13">
        <v>400</v>
      </c>
      <c r="F7727" s="12">
        <v>2.48</v>
      </c>
      <c r="G7727" t="str">
        <f>IFERROR(INDEX(tEditais[Órgão],MATCH(tItens[[#This Row],[Edital]],tEditais[Edital],0)),"")</f>
        <v>MUNICIPIO DE NOVO CABRAIS</v>
      </c>
      <c r="H7727" t="str">
        <f>IFERROR(INDEX(tEditais[UF],MATCH(tItens[[#This Row],[Edital]],tEditais[Edital],0)),"")</f>
        <v>RS</v>
      </c>
      <c r="I7727" s="11">
        <f>IFERROR(INDEX(tEditais[Encerramento],MATCH(tItens[[#This Row],[Edital]],tEditais[Edital],0)),"")</f>
        <v>46310.354166666664</v>
      </c>
      <c r="J7727" t="str">
        <f>IFERROR(INDEX(tProdutos[Classe],MATCH(tItens[[#This Row],[Produto]],tProdutos[Produto],0)),"produto não cadastrado")</f>
        <v>DISPUTADO</v>
      </c>
      <c r="K7727" s="12">
        <f>tItens[[#This Row],[Qtd]]*tItens[[#This Row],[Vlr unit]]</f>
        <v>992</v>
      </c>
      <c r="L7727" s="6">
        <f>IFERROR(IF(INDEX(tProdutos[Desconto homologado],MATCH(tItens[[#This Row],[Produto]],tProdutos[Produto],0))="",DescontoPadrao,INDEX(tProdutos[Desconto homologado],MATCH(tItens[[#This Row],[Produto]],tProdutos[Produto],0))),DescontoPadrao)</f>
        <v>0.329229323455968</v>
      </c>
      <c r="M7727" s="12">
        <f>tItens[[#This Row],[Valor]]*(1-tItens[[#This Row],[Desconto]])</f>
        <v>665.40451113167978</v>
      </c>
      <c r="N7727" t="str">
        <f>IFERROR(INDEX(tProdutos[Foco],MATCH(tItens[[#This Row],[Produto]],tProdutos[Produto],0)),"Não")</f>
        <v>Não</v>
      </c>
      <c r="O7727" t="str">
        <f>IFERROR(INDEX(tEditais[SRP],MATCH(tItens[[#This Row],[Edital]],tEditais[Edital],0)),"Não")</f>
        <v>Não</v>
      </c>
      <c r="P7727" s="4">
        <f>IF(COUNTIFS(INDEX(tItens[Edital],1):tItens[[#This Row],[Edital]],tItens[[#This Row],[Edital]],INDEX(tItens[Produto],1):tItens[[#This Row],[Produto]],tItens[[#This Row],[Produto]])=1,1,0)</f>
        <v>0</v>
      </c>
    </row>
    <row r="7728" spans="1:16" x14ac:dyDescent="0.25">
      <c r="A7728" t="s">
        <v>2572</v>
      </c>
      <c r="B7728">
        <v>19</v>
      </c>
      <c r="C7728" t="s">
        <v>10295</v>
      </c>
      <c r="D7728" t="s">
        <v>309</v>
      </c>
      <c r="E7728" s="13">
        <v>800</v>
      </c>
      <c r="F7728" s="12">
        <v>0.91</v>
      </c>
      <c r="G7728" t="str">
        <f>IFERROR(INDEX(tEditais[Órgão],MATCH(tItens[[#This Row],[Edital]],tEditais[Edital],0)),"")</f>
        <v>MUNICIPIO DE NOVO CABRAIS</v>
      </c>
      <c r="H7728" t="str">
        <f>IFERROR(INDEX(tEditais[UF],MATCH(tItens[[#This Row],[Edital]],tEditais[Edital],0)),"")</f>
        <v>RS</v>
      </c>
      <c r="I7728" s="11">
        <f>IFERROR(INDEX(tEditais[Encerramento],MATCH(tItens[[#This Row],[Edital]],tEditais[Edital],0)),"")</f>
        <v>46310.354166666664</v>
      </c>
      <c r="J7728" t="str">
        <f>IFERROR(INDEX(tProdutos[Classe],MATCH(tItens[[#This Row],[Produto]],tProdutos[Produto],0)),"produto não cadastrado")</f>
        <v>DISPUTADO</v>
      </c>
      <c r="K7728" s="12">
        <f>tItens[[#This Row],[Qtd]]*tItens[[#This Row],[Vlr unit]]</f>
        <v>728</v>
      </c>
      <c r="L7728" s="6">
        <f>IFERROR(IF(INDEX(tProdutos[Desconto homologado],MATCH(tItens[[#This Row],[Produto]],tProdutos[Produto],0))="",DescontoPadrao,INDEX(tProdutos[Desconto homologado],MATCH(tItens[[#This Row],[Produto]],tProdutos[Produto],0))),DescontoPadrao)</f>
        <v>0.329229323455968</v>
      </c>
      <c r="M7728" s="12">
        <f>tItens[[#This Row],[Valor]]*(1-tItens[[#This Row],[Desconto]])</f>
        <v>488.32105252405529</v>
      </c>
      <c r="N7728" t="str">
        <f>IFERROR(INDEX(tProdutos[Foco],MATCH(tItens[[#This Row],[Produto]],tProdutos[Produto],0)),"Não")</f>
        <v>Não</v>
      </c>
      <c r="O7728" t="str">
        <f>IFERROR(INDEX(tEditais[SRP],MATCH(tItens[[#This Row],[Edital]],tEditais[Edital],0)),"Não")</f>
        <v>Não</v>
      </c>
      <c r="P7728" s="4">
        <f>IF(COUNTIFS(INDEX(tItens[Edital],1):tItens[[#This Row],[Edital]],tItens[[#This Row],[Edital]],INDEX(tItens[Produto],1):tItens[[#This Row],[Produto]],tItens[[#This Row],[Produto]])=1,1,0)</f>
        <v>0</v>
      </c>
    </row>
    <row r="7729" spans="1:16" x14ac:dyDescent="0.25">
      <c r="A7729" t="s">
        <v>2572</v>
      </c>
      <c r="B7729">
        <v>20</v>
      </c>
      <c r="C7729" t="s">
        <v>10296</v>
      </c>
      <c r="D7729" t="s">
        <v>309</v>
      </c>
      <c r="E7729" s="13">
        <v>800</v>
      </c>
      <c r="F7729" s="12">
        <v>1.1200000000000001</v>
      </c>
      <c r="G7729" t="str">
        <f>IFERROR(INDEX(tEditais[Órgão],MATCH(tItens[[#This Row],[Edital]],tEditais[Edital],0)),"")</f>
        <v>MUNICIPIO DE NOVO CABRAIS</v>
      </c>
      <c r="H7729" t="str">
        <f>IFERROR(INDEX(tEditais[UF],MATCH(tItens[[#This Row],[Edital]],tEditais[Edital],0)),"")</f>
        <v>RS</v>
      </c>
      <c r="I7729" s="11">
        <f>IFERROR(INDEX(tEditais[Encerramento],MATCH(tItens[[#This Row],[Edital]],tEditais[Edital],0)),"")</f>
        <v>46310.354166666664</v>
      </c>
      <c r="J7729" t="str">
        <f>IFERROR(INDEX(tProdutos[Classe],MATCH(tItens[[#This Row],[Produto]],tProdutos[Produto],0)),"produto não cadastrado")</f>
        <v>DISPUTADO</v>
      </c>
      <c r="K7729" s="12">
        <f>tItens[[#This Row],[Qtd]]*tItens[[#This Row],[Vlr unit]]</f>
        <v>896.00000000000011</v>
      </c>
      <c r="L7729" s="6">
        <f>IFERROR(IF(INDEX(tProdutos[Desconto homologado],MATCH(tItens[[#This Row],[Produto]],tProdutos[Produto],0))="",DescontoPadrao,INDEX(tProdutos[Desconto homologado],MATCH(tItens[[#This Row],[Produto]],tProdutos[Produto],0))),DescontoPadrao)</f>
        <v>0.329229323455968</v>
      </c>
      <c r="M7729" s="12">
        <f>tItens[[#This Row],[Valor]]*(1-tItens[[#This Row],[Desconto]])</f>
        <v>601.01052618345273</v>
      </c>
      <c r="N7729" t="str">
        <f>IFERROR(INDEX(tProdutos[Foco],MATCH(tItens[[#This Row],[Produto]],tProdutos[Produto],0)),"Não")</f>
        <v>Não</v>
      </c>
      <c r="O7729" t="str">
        <f>IFERROR(INDEX(tEditais[SRP],MATCH(tItens[[#This Row],[Edital]],tEditais[Edital],0)),"Não")</f>
        <v>Não</v>
      </c>
      <c r="P7729" s="4">
        <f>IF(COUNTIFS(INDEX(tItens[Edital],1):tItens[[#This Row],[Edital]],tItens[[#This Row],[Edital]],INDEX(tItens[Produto],1):tItens[[#This Row],[Produto]],tItens[[#This Row],[Produto]])=1,1,0)</f>
        <v>0</v>
      </c>
    </row>
    <row r="7730" spans="1:16" x14ac:dyDescent="0.25">
      <c r="A7730" t="s">
        <v>2572</v>
      </c>
      <c r="B7730">
        <v>25</v>
      </c>
      <c r="C7730" t="s">
        <v>10297</v>
      </c>
      <c r="D7730" t="s">
        <v>237</v>
      </c>
      <c r="E7730" s="13">
        <v>50</v>
      </c>
      <c r="F7730" s="12">
        <v>42.94</v>
      </c>
      <c r="G7730" t="str">
        <f>IFERROR(INDEX(tEditais[Órgão],MATCH(tItens[[#This Row],[Edital]],tEditais[Edital],0)),"")</f>
        <v>MUNICIPIO DE NOVO CABRAIS</v>
      </c>
      <c r="H7730" t="str">
        <f>IFERROR(INDEX(tEditais[UF],MATCH(tItens[[#This Row],[Edital]],tEditais[Edital],0)),"")</f>
        <v>RS</v>
      </c>
      <c r="I7730" s="11">
        <f>IFERROR(INDEX(tEditais[Encerramento],MATCH(tItens[[#This Row],[Edital]],tEditais[Edital],0)),"")</f>
        <v>46310.354166666664</v>
      </c>
      <c r="J7730" t="str">
        <f>IFERROR(INDEX(tProdutos[Classe],MATCH(tItens[[#This Row],[Produto]],tProdutos[Produto],0)),"produto não cadastrado")</f>
        <v>FORA</v>
      </c>
      <c r="K7730" s="12">
        <f>tItens[[#This Row],[Qtd]]*tItens[[#This Row],[Vlr unit]]</f>
        <v>2147</v>
      </c>
      <c r="L7730" s="6">
        <f>IFERROR(IF(INDEX(tProdutos[Desconto homologado],MATCH(tItens[[#This Row],[Produto]],tProdutos[Produto],0))="",DescontoPadrao,INDEX(tProdutos[Desconto homologado],MATCH(tItens[[#This Row],[Produto]],tProdutos[Produto],0))),DescontoPadrao)</f>
        <v>0.281629856521038</v>
      </c>
      <c r="M7730" s="12">
        <f>tItens[[#This Row],[Valor]]*(1-tItens[[#This Row],[Desconto]])</f>
        <v>1542.3406980493314</v>
      </c>
      <c r="N7730" t="str">
        <f>IFERROR(INDEX(tProdutos[Foco],MATCH(tItens[[#This Row],[Produto]],tProdutos[Produto],0)),"Não")</f>
        <v>Não</v>
      </c>
      <c r="O7730" t="str">
        <f>IFERROR(INDEX(tEditais[SRP],MATCH(tItens[[#This Row],[Edital]],tEditais[Edital],0)),"Não")</f>
        <v>Não</v>
      </c>
      <c r="P7730" s="4">
        <f>IF(COUNTIFS(INDEX(tItens[Edital],1):tItens[[#This Row],[Edital]],tItens[[#This Row],[Edital]],INDEX(tItens[Produto],1):tItens[[#This Row],[Produto]],tItens[[#This Row],[Produto]])=1,1,0)</f>
        <v>1</v>
      </c>
    </row>
    <row r="7731" spans="1:16" x14ac:dyDescent="0.25">
      <c r="A7731" t="s">
        <v>2572</v>
      </c>
      <c r="B7731">
        <v>26</v>
      </c>
      <c r="C7731" t="s">
        <v>10298</v>
      </c>
      <c r="D7731" t="s">
        <v>237</v>
      </c>
      <c r="E7731" s="13">
        <v>11</v>
      </c>
      <c r="F7731" s="12">
        <v>133.96</v>
      </c>
      <c r="G7731" t="str">
        <f>IFERROR(INDEX(tEditais[Órgão],MATCH(tItens[[#This Row],[Edital]],tEditais[Edital],0)),"")</f>
        <v>MUNICIPIO DE NOVO CABRAIS</v>
      </c>
      <c r="H7731" t="str">
        <f>IFERROR(INDEX(tEditais[UF],MATCH(tItens[[#This Row],[Edital]],tEditais[Edital],0)),"")</f>
        <v>RS</v>
      </c>
      <c r="I7731" s="11">
        <f>IFERROR(INDEX(tEditais[Encerramento],MATCH(tItens[[#This Row],[Edital]],tEditais[Edital],0)),"")</f>
        <v>46310.354166666664</v>
      </c>
      <c r="J7731" t="str">
        <f>IFERROR(INDEX(tProdutos[Classe],MATCH(tItens[[#This Row],[Produto]],tProdutos[Produto],0)),"produto não cadastrado")</f>
        <v>FORA</v>
      </c>
      <c r="K7731" s="12">
        <f>tItens[[#This Row],[Qtd]]*tItens[[#This Row],[Vlr unit]]</f>
        <v>1473.5600000000002</v>
      </c>
      <c r="L7731" s="6">
        <f>IFERROR(IF(INDEX(tProdutos[Desconto homologado],MATCH(tItens[[#This Row],[Produto]],tProdutos[Produto],0))="",DescontoPadrao,INDEX(tProdutos[Desconto homologado],MATCH(tItens[[#This Row],[Produto]],tProdutos[Produto],0))),DescontoPadrao)</f>
        <v>0.281629856521038</v>
      </c>
      <c r="M7731" s="12">
        <f>tItens[[#This Row],[Valor]]*(1-tItens[[#This Row],[Desconto]])</f>
        <v>1058.5615086248595</v>
      </c>
      <c r="N7731" t="str">
        <f>IFERROR(INDEX(tProdutos[Foco],MATCH(tItens[[#This Row],[Produto]],tProdutos[Produto],0)),"Não")</f>
        <v>Não</v>
      </c>
      <c r="O7731" t="str">
        <f>IFERROR(INDEX(tEditais[SRP],MATCH(tItens[[#This Row],[Edital]],tEditais[Edital],0)),"Não")</f>
        <v>Não</v>
      </c>
      <c r="P7731" s="4">
        <f>IF(COUNTIFS(INDEX(tItens[Edital],1):tItens[[#This Row],[Edital]],tItens[[#This Row],[Edital]],INDEX(tItens[Produto],1):tItens[[#This Row],[Produto]],tItens[[#This Row],[Produto]])=1,1,0)</f>
        <v>0</v>
      </c>
    </row>
    <row r="7732" spans="1:16" x14ac:dyDescent="0.25">
      <c r="A7732" t="s">
        <v>2572</v>
      </c>
      <c r="B7732">
        <v>27</v>
      </c>
      <c r="C7732" t="s">
        <v>10299</v>
      </c>
      <c r="D7732" t="s">
        <v>237</v>
      </c>
      <c r="E7732" s="13">
        <v>50</v>
      </c>
      <c r="F7732" s="12">
        <v>37.950000000000003</v>
      </c>
      <c r="G7732" t="str">
        <f>IFERROR(INDEX(tEditais[Órgão],MATCH(tItens[[#This Row],[Edital]],tEditais[Edital],0)),"")</f>
        <v>MUNICIPIO DE NOVO CABRAIS</v>
      </c>
      <c r="H7732" t="str">
        <f>IFERROR(INDEX(tEditais[UF],MATCH(tItens[[#This Row],[Edital]],tEditais[Edital],0)),"")</f>
        <v>RS</v>
      </c>
      <c r="I7732" s="11">
        <f>IFERROR(INDEX(tEditais[Encerramento],MATCH(tItens[[#This Row],[Edital]],tEditais[Edital],0)),"")</f>
        <v>46310.354166666664</v>
      </c>
      <c r="J7732" t="str">
        <f>IFERROR(INDEX(tProdutos[Classe],MATCH(tItens[[#This Row],[Produto]],tProdutos[Produto],0)),"produto não cadastrado")</f>
        <v>FORA</v>
      </c>
      <c r="K7732" s="12">
        <f>tItens[[#This Row],[Qtd]]*tItens[[#This Row],[Vlr unit]]</f>
        <v>1897.5000000000002</v>
      </c>
      <c r="L7732" s="6">
        <f>IFERROR(IF(INDEX(tProdutos[Desconto homologado],MATCH(tItens[[#This Row],[Produto]],tProdutos[Produto],0))="",DescontoPadrao,INDEX(tProdutos[Desconto homologado],MATCH(tItens[[#This Row],[Produto]],tProdutos[Produto],0))),DescontoPadrao)</f>
        <v>0.281629856521038</v>
      </c>
      <c r="M7732" s="12">
        <f>tItens[[#This Row],[Valor]]*(1-tItens[[#This Row],[Desconto]])</f>
        <v>1363.1073472513306</v>
      </c>
      <c r="N7732" t="str">
        <f>IFERROR(INDEX(tProdutos[Foco],MATCH(tItens[[#This Row],[Produto]],tProdutos[Produto],0)),"Não")</f>
        <v>Não</v>
      </c>
      <c r="O7732" t="str">
        <f>IFERROR(INDEX(tEditais[SRP],MATCH(tItens[[#This Row],[Edital]],tEditais[Edital],0)),"Não")</f>
        <v>Não</v>
      </c>
      <c r="P7732" s="4">
        <f>IF(COUNTIFS(INDEX(tItens[Edital],1):tItens[[#This Row],[Edital]],tItens[[#This Row],[Edital]],INDEX(tItens[Produto],1):tItens[[#This Row],[Produto]],tItens[[#This Row],[Produto]])=1,1,0)</f>
        <v>0</v>
      </c>
    </row>
    <row r="7733" spans="1:16" x14ac:dyDescent="0.25">
      <c r="A7733" t="s">
        <v>2572</v>
      </c>
      <c r="B7733">
        <v>28</v>
      </c>
      <c r="C7733" t="s">
        <v>10300</v>
      </c>
      <c r="D7733" t="s">
        <v>237</v>
      </c>
      <c r="E7733" s="13">
        <v>50</v>
      </c>
      <c r="F7733" s="12">
        <v>57.2</v>
      </c>
      <c r="G7733" t="str">
        <f>IFERROR(INDEX(tEditais[Órgão],MATCH(tItens[[#This Row],[Edital]],tEditais[Edital],0)),"")</f>
        <v>MUNICIPIO DE NOVO CABRAIS</v>
      </c>
      <c r="H7733" t="str">
        <f>IFERROR(INDEX(tEditais[UF],MATCH(tItens[[#This Row],[Edital]],tEditais[Edital],0)),"")</f>
        <v>RS</v>
      </c>
      <c r="I7733" s="11">
        <f>IFERROR(INDEX(tEditais[Encerramento],MATCH(tItens[[#This Row],[Edital]],tEditais[Edital],0)),"")</f>
        <v>46310.354166666664</v>
      </c>
      <c r="J7733" t="str">
        <f>IFERROR(INDEX(tProdutos[Classe],MATCH(tItens[[#This Row],[Produto]],tProdutos[Produto],0)),"produto não cadastrado")</f>
        <v>FORA</v>
      </c>
      <c r="K7733" s="12">
        <f>tItens[[#This Row],[Qtd]]*tItens[[#This Row],[Vlr unit]]</f>
        <v>2860</v>
      </c>
      <c r="L7733" s="6">
        <f>IFERROR(IF(INDEX(tProdutos[Desconto homologado],MATCH(tItens[[#This Row],[Produto]],tProdutos[Produto],0))="",DescontoPadrao,INDEX(tProdutos[Desconto homologado],MATCH(tItens[[#This Row],[Produto]],tProdutos[Produto],0))),DescontoPadrao)</f>
        <v>0.281629856521038</v>
      </c>
      <c r="M7733" s="12">
        <f>tItens[[#This Row],[Valor]]*(1-tItens[[#This Row],[Desconto]])</f>
        <v>2054.5386103498313</v>
      </c>
      <c r="N7733" t="str">
        <f>IFERROR(INDEX(tProdutos[Foco],MATCH(tItens[[#This Row],[Produto]],tProdutos[Produto],0)),"Não")</f>
        <v>Não</v>
      </c>
      <c r="O7733" t="str">
        <f>IFERROR(INDEX(tEditais[SRP],MATCH(tItens[[#This Row],[Edital]],tEditais[Edital],0)),"Não")</f>
        <v>Não</v>
      </c>
      <c r="P7733" s="4">
        <f>IF(COUNTIFS(INDEX(tItens[Edital],1):tItens[[#This Row],[Edital]],tItens[[#This Row],[Edital]],INDEX(tItens[Produto],1):tItens[[#This Row],[Produto]],tItens[[#This Row],[Produto]])=1,1,0)</f>
        <v>0</v>
      </c>
    </row>
    <row r="7734" spans="1:16" x14ac:dyDescent="0.25">
      <c r="A7734" t="s">
        <v>2572</v>
      </c>
      <c r="B7734">
        <v>30</v>
      </c>
      <c r="C7734" t="s">
        <v>10301</v>
      </c>
      <c r="D7734" t="s">
        <v>423</v>
      </c>
      <c r="E7734" s="13">
        <v>8</v>
      </c>
      <c r="F7734" s="12">
        <v>11.35</v>
      </c>
      <c r="G7734" t="str">
        <f>IFERROR(INDEX(tEditais[Órgão],MATCH(tItens[[#This Row],[Edital]],tEditais[Edital],0)),"")</f>
        <v>MUNICIPIO DE NOVO CABRAIS</v>
      </c>
      <c r="H7734" t="str">
        <f>IFERROR(INDEX(tEditais[UF],MATCH(tItens[[#This Row],[Edital]],tEditais[Edital],0)),"")</f>
        <v>RS</v>
      </c>
      <c r="I7734" s="11">
        <f>IFERROR(INDEX(tEditais[Encerramento],MATCH(tItens[[#This Row],[Edital]],tEditais[Edital],0)),"")</f>
        <v>46310.354166666664</v>
      </c>
      <c r="J7734" t="str">
        <f>IFERROR(INDEX(tProdutos[Classe],MATCH(tItens[[#This Row],[Produto]],tProdutos[Produto],0)),"produto não cadastrado")</f>
        <v>FORA</v>
      </c>
      <c r="K7734" s="12">
        <f>tItens[[#This Row],[Qtd]]*tItens[[#This Row],[Vlr unit]]</f>
        <v>90.8</v>
      </c>
      <c r="L7734" s="6">
        <f>IFERROR(IF(INDEX(tProdutos[Desconto homologado],MATCH(tItens[[#This Row],[Produto]],tProdutos[Produto],0))="",DescontoPadrao,INDEX(tProdutos[Desconto homologado],MATCH(tItens[[#This Row],[Produto]],tProdutos[Produto],0))),DescontoPadrao)</f>
        <v>0.38271604938271597</v>
      </c>
      <c r="M7734" s="12">
        <f>tItens[[#This Row],[Valor]]*(1-tItens[[#This Row],[Desconto]])</f>
        <v>56.049382716049386</v>
      </c>
      <c r="N7734" t="str">
        <f>IFERROR(INDEX(tProdutos[Foco],MATCH(tItens[[#This Row],[Produto]],tProdutos[Produto],0)),"Não")</f>
        <v>Não</v>
      </c>
      <c r="O7734" t="str">
        <f>IFERROR(INDEX(tEditais[SRP],MATCH(tItens[[#This Row],[Edital]],tEditais[Edital],0)),"Não")</f>
        <v>Não</v>
      </c>
      <c r="P7734" s="4">
        <f>IF(COUNTIFS(INDEX(tItens[Edital],1):tItens[[#This Row],[Edital]],tItens[[#This Row],[Edital]],INDEX(tItens[Produto],1):tItens[[#This Row],[Produto]],tItens[[#This Row],[Produto]])=1,1,0)</f>
        <v>1</v>
      </c>
    </row>
    <row r="7735" spans="1:16" x14ac:dyDescent="0.25">
      <c r="A7735" t="s">
        <v>2572</v>
      </c>
      <c r="B7735">
        <v>31</v>
      </c>
      <c r="C7735" t="s">
        <v>10302</v>
      </c>
      <c r="D7735" t="s">
        <v>96</v>
      </c>
      <c r="E7735" s="13">
        <v>2</v>
      </c>
      <c r="F7735" s="12">
        <v>8.2200000000000006</v>
      </c>
      <c r="G7735" t="str">
        <f>IFERROR(INDEX(tEditais[Órgão],MATCH(tItens[[#This Row],[Edital]],tEditais[Edital],0)),"")</f>
        <v>MUNICIPIO DE NOVO CABRAIS</v>
      </c>
      <c r="H7735" t="str">
        <f>IFERROR(INDEX(tEditais[UF],MATCH(tItens[[#This Row],[Edital]],tEditais[Edital],0)),"")</f>
        <v>RS</v>
      </c>
      <c r="I7735" s="11">
        <f>IFERROR(INDEX(tEditais[Encerramento],MATCH(tItens[[#This Row],[Edital]],tEditais[Edital],0)),"")</f>
        <v>46310.354166666664</v>
      </c>
      <c r="J7735" t="str">
        <f>IFERROR(INDEX(tProdutos[Classe],MATCH(tItens[[#This Row],[Produto]],tProdutos[Produto],0)),"produto não cadastrado")</f>
        <v>NÚCLEO</v>
      </c>
      <c r="K7735" s="12">
        <f>tItens[[#This Row],[Qtd]]*tItens[[#This Row],[Vlr unit]]</f>
        <v>16.440000000000001</v>
      </c>
      <c r="L7735" s="6">
        <f>IFERROR(IF(INDEX(tProdutos[Desconto homologado],MATCH(tItens[[#This Row],[Produto]],tProdutos[Produto],0))="",DescontoPadrao,INDEX(tProdutos[Desconto homologado],MATCH(tItens[[#This Row],[Produto]],tProdutos[Produto],0))),DescontoPadrao)</f>
        <v>0.23886411318649201</v>
      </c>
      <c r="M7735" s="12">
        <f>tItens[[#This Row],[Valor]]*(1-tItens[[#This Row],[Desconto]])</f>
        <v>12.513073979214072</v>
      </c>
      <c r="N7735" t="str">
        <f>IFERROR(INDEX(tProdutos[Foco],MATCH(tItens[[#This Row],[Produto]],tProdutos[Produto],0)),"Não")</f>
        <v>Não</v>
      </c>
      <c r="O7735" t="str">
        <f>IFERROR(INDEX(tEditais[SRP],MATCH(tItens[[#This Row],[Edital]],tEditais[Edital],0)),"Não")</f>
        <v>Não</v>
      </c>
      <c r="P7735" s="4">
        <f>IF(COUNTIFS(INDEX(tItens[Edital],1):tItens[[#This Row],[Edital]],tItens[[#This Row],[Edital]],INDEX(tItens[Produto],1):tItens[[#This Row],[Produto]],tItens[[#This Row],[Produto]])=1,1,0)</f>
        <v>1</v>
      </c>
    </row>
    <row r="7736" spans="1:16" x14ac:dyDescent="0.25">
      <c r="A7736" t="s">
        <v>2572</v>
      </c>
      <c r="B7736">
        <v>32</v>
      </c>
      <c r="C7736" t="s">
        <v>10303</v>
      </c>
      <c r="D7736" t="s">
        <v>409</v>
      </c>
      <c r="E7736" s="13">
        <v>1000</v>
      </c>
      <c r="F7736" s="12">
        <v>4.0999999999999996</v>
      </c>
      <c r="G7736" t="str">
        <f>IFERROR(INDEX(tEditais[Órgão],MATCH(tItens[[#This Row],[Edital]],tEditais[Edital],0)),"")</f>
        <v>MUNICIPIO DE NOVO CABRAIS</v>
      </c>
      <c r="H7736" t="str">
        <f>IFERROR(INDEX(tEditais[UF],MATCH(tItens[[#This Row],[Edital]],tEditais[Edital],0)),"")</f>
        <v>RS</v>
      </c>
      <c r="I7736" s="11">
        <f>IFERROR(INDEX(tEditais[Encerramento],MATCH(tItens[[#This Row],[Edital]],tEditais[Edital],0)),"")</f>
        <v>46310.354166666664</v>
      </c>
      <c r="J7736" t="str">
        <f>IFERROR(INDEX(tProdutos[Classe],MATCH(tItens[[#This Row],[Produto]],tProdutos[Produto],0)),"produto não cadastrado")</f>
        <v>FORA</v>
      </c>
      <c r="K7736" s="12">
        <f>tItens[[#This Row],[Qtd]]*tItens[[#This Row],[Vlr unit]]</f>
        <v>4100</v>
      </c>
      <c r="L7736" s="6">
        <f>IFERROR(IF(INDEX(tProdutos[Desconto homologado],MATCH(tItens[[#This Row],[Produto]],tProdutos[Produto],0))="",DescontoPadrao,INDEX(tProdutos[Desconto homologado],MATCH(tItens[[#This Row],[Produto]],tProdutos[Produto],0))),DescontoPadrao)</f>
        <v>0.24924924924924899</v>
      </c>
      <c r="M7736" s="12">
        <f>tItens[[#This Row],[Valor]]*(1-tItens[[#This Row],[Desconto]])</f>
        <v>3078.0780780780792</v>
      </c>
      <c r="N7736" t="str">
        <f>IFERROR(INDEX(tProdutos[Foco],MATCH(tItens[[#This Row],[Produto]],tProdutos[Produto],0)),"Não")</f>
        <v>Não</v>
      </c>
      <c r="O7736" t="str">
        <f>IFERROR(INDEX(tEditais[SRP],MATCH(tItens[[#This Row],[Edital]],tEditais[Edital],0)),"Não")</f>
        <v>Não</v>
      </c>
      <c r="P7736" s="4">
        <f>IF(COUNTIFS(INDEX(tItens[Edital],1):tItens[[#This Row],[Edital]],tItens[[#This Row],[Edital]],INDEX(tItens[Produto],1):tItens[[#This Row],[Produto]],tItens[[#This Row],[Produto]])=1,1,0)</f>
        <v>1</v>
      </c>
    </row>
    <row r="7737" spans="1:16" x14ac:dyDescent="0.25">
      <c r="A7737" t="s">
        <v>2572</v>
      </c>
      <c r="B7737">
        <v>33</v>
      </c>
      <c r="C7737" t="s">
        <v>10304</v>
      </c>
      <c r="D7737" t="s">
        <v>409</v>
      </c>
      <c r="E7737" s="13">
        <v>1000</v>
      </c>
      <c r="F7737" s="12">
        <v>3.72</v>
      </c>
      <c r="G7737" t="str">
        <f>IFERROR(INDEX(tEditais[Órgão],MATCH(tItens[[#This Row],[Edital]],tEditais[Edital],0)),"")</f>
        <v>MUNICIPIO DE NOVO CABRAIS</v>
      </c>
      <c r="H7737" t="str">
        <f>IFERROR(INDEX(tEditais[UF],MATCH(tItens[[#This Row],[Edital]],tEditais[Edital],0)),"")</f>
        <v>RS</v>
      </c>
      <c r="I7737" s="11">
        <f>IFERROR(INDEX(tEditais[Encerramento],MATCH(tItens[[#This Row],[Edital]],tEditais[Edital],0)),"")</f>
        <v>46310.354166666664</v>
      </c>
      <c r="J7737" t="str">
        <f>IFERROR(INDEX(tProdutos[Classe],MATCH(tItens[[#This Row],[Produto]],tProdutos[Produto],0)),"produto não cadastrado")</f>
        <v>FORA</v>
      </c>
      <c r="K7737" s="12">
        <f>tItens[[#This Row],[Qtd]]*tItens[[#This Row],[Vlr unit]]</f>
        <v>3720</v>
      </c>
      <c r="L7737" s="6">
        <f>IFERROR(IF(INDEX(tProdutos[Desconto homologado],MATCH(tItens[[#This Row],[Produto]],tProdutos[Produto],0))="",DescontoPadrao,INDEX(tProdutos[Desconto homologado],MATCH(tItens[[#This Row],[Produto]],tProdutos[Produto],0))),DescontoPadrao)</f>
        <v>0.24924924924924899</v>
      </c>
      <c r="M7737" s="12">
        <f>tItens[[#This Row],[Valor]]*(1-tItens[[#This Row],[Desconto]])</f>
        <v>2792.792792792794</v>
      </c>
      <c r="N7737" t="str">
        <f>IFERROR(INDEX(tProdutos[Foco],MATCH(tItens[[#This Row],[Produto]],tProdutos[Produto],0)),"Não")</f>
        <v>Não</v>
      </c>
      <c r="O7737" t="str">
        <f>IFERROR(INDEX(tEditais[SRP],MATCH(tItens[[#This Row],[Edital]],tEditais[Edital],0)),"Não")</f>
        <v>Não</v>
      </c>
      <c r="P7737" s="4">
        <f>IF(COUNTIFS(INDEX(tItens[Edital],1):tItens[[#This Row],[Edital]],tItens[[#This Row],[Edital]],INDEX(tItens[Produto],1):tItens[[#This Row],[Produto]],tItens[[#This Row],[Produto]])=1,1,0)</f>
        <v>0</v>
      </c>
    </row>
    <row r="7738" spans="1:16" x14ac:dyDescent="0.25">
      <c r="A7738" t="s">
        <v>2572</v>
      </c>
      <c r="B7738">
        <v>34</v>
      </c>
      <c r="C7738" t="s">
        <v>10305</v>
      </c>
      <c r="D7738" t="s">
        <v>160</v>
      </c>
      <c r="E7738" s="13">
        <v>50</v>
      </c>
      <c r="F7738" s="12">
        <v>87.03</v>
      </c>
      <c r="G7738" t="str">
        <f>IFERROR(INDEX(tEditais[Órgão],MATCH(tItens[[#This Row],[Edital]],tEditais[Edital],0)),"")</f>
        <v>MUNICIPIO DE NOVO CABRAIS</v>
      </c>
      <c r="H7738" t="str">
        <f>IFERROR(INDEX(tEditais[UF],MATCH(tItens[[#This Row],[Edital]],tEditais[Edital],0)),"")</f>
        <v>RS</v>
      </c>
      <c r="I7738" s="11">
        <f>IFERROR(INDEX(tEditais[Encerramento],MATCH(tItens[[#This Row],[Edital]],tEditais[Edital],0)),"")</f>
        <v>46310.354166666664</v>
      </c>
      <c r="J7738" t="str">
        <f>IFERROR(INDEX(tProdutos[Classe],MATCH(tItens[[#This Row],[Produto]],tProdutos[Produto],0)),"produto não cadastrado")</f>
        <v>DISPUTADO</v>
      </c>
      <c r="K7738" s="12">
        <f>tItens[[#This Row],[Qtd]]*tItens[[#This Row],[Vlr unit]]</f>
        <v>4351.5</v>
      </c>
      <c r="L7738" s="6">
        <f>IFERROR(IF(INDEX(tProdutos[Desconto homologado],MATCH(tItens[[#This Row],[Produto]],tProdutos[Produto],0))="",DescontoPadrao,INDEX(tProdutos[Desconto homologado],MATCH(tItens[[#This Row],[Produto]],tProdutos[Produto],0))),DescontoPadrao)</f>
        <v>0.28000000000000003</v>
      </c>
      <c r="M7738" s="12">
        <f>tItens[[#This Row],[Valor]]*(1-tItens[[#This Row],[Desconto]])</f>
        <v>3133.08</v>
      </c>
      <c r="N7738" t="str">
        <f>IFERROR(INDEX(tProdutos[Foco],MATCH(tItens[[#This Row],[Produto]],tProdutos[Produto],0)),"Não")</f>
        <v>Sim</v>
      </c>
      <c r="O7738" t="str">
        <f>IFERROR(INDEX(tEditais[SRP],MATCH(tItens[[#This Row],[Edital]],tEditais[Edital],0)),"Não")</f>
        <v>Não</v>
      </c>
      <c r="P7738" s="4">
        <f>IF(COUNTIFS(INDEX(tItens[Edital],1):tItens[[#This Row],[Edital]],tItens[[#This Row],[Edital]],INDEX(tItens[Produto],1):tItens[[#This Row],[Produto]],tItens[[#This Row],[Produto]])=1,1,0)</f>
        <v>1</v>
      </c>
    </row>
    <row r="7739" spans="1:16" x14ac:dyDescent="0.25">
      <c r="A7739" t="s">
        <v>2572</v>
      </c>
      <c r="B7739">
        <v>47</v>
      </c>
      <c r="C7739" t="s">
        <v>10306</v>
      </c>
      <c r="D7739" t="s">
        <v>279</v>
      </c>
      <c r="E7739" s="13">
        <v>100</v>
      </c>
      <c r="F7739" s="12">
        <v>4.55</v>
      </c>
      <c r="G7739" t="str">
        <f>IFERROR(INDEX(tEditais[Órgão],MATCH(tItens[[#This Row],[Edital]],tEditais[Edital],0)),"")</f>
        <v>MUNICIPIO DE NOVO CABRAIS</v>
      </c>
      <c r="H7739" t="str">
        <f>IFERROR(INDEX(tEditais[UF],MATCH(tItens[[#This Row],[Edital]],tEditais[Edital],0)),"")</f>
        <v>RS</v>
      </c>
      <c r="I7739" s="11">
        <f>IFERROR(INDEX(tEditais[Encerramento],MATCH(tItens[[#This Row],[Edital]],tEditais[Edital],0)),"")</f>
        <v>46310.354166666664</v>
      </c>
      <c r="J7739" t="str">
        <f>IFERROR(INDEX(tProdutos[Classe],MATCH(tItens[[#This Row],[Produto]],tProdutos[Produto],0)),"produto não cadastrado")</f>
        <v>FORA</v>
      </c>
      <c r="K7739" s="12">
        <f>tItens[[#This Row],[Qtd]]*tItens[[#This Row],[Vlr unit]]</f>
        <v>455</v>
      </c>
      <c r="L7739" s="6">
        <f>IFERROR(IF(INDEX(tProdutos[Desconto homologado],MATCH(tItens[[#This Row],[Produto]],tProdutos[Produto],0))="",DescontoPadrao,INDEX(tProdutos[Desconto homologado],MATCH(tItens[[#This Row],[Produto]],tProdutos[Produto],0))),DescontoPadrao)</f>
        <v>0.28909090909090901</v>
      </c>
      <c r="M7739" s="12">
        <f>tItens[[#This Row],[Valor]]*(1-tItens[[#This Row],[Desconto]])</f>
        <v>323.4636363636364</v>
      </c>
      <c r="N7739" t="str">
        <f>IFERROR(INDEX(tProdutos[Foco],MATCH(tItens[[#This Row],[Produto]],tProdutos[Produto],0)),"Não")</f>
        <v>Não</v>
      </c>
      <c r="O7739" t="str">
        <f>IFERROR(INDEX(tEditais[SRP],MATCH(tItens[[#This Row],[Edital]],tEditais[Edital],0)),"Não")</f>
        <v>Não</v>
      </c>
      <c r="P7739" s="4">
        <f>IF(COUNTIFS(INDEX(tItens[Edital],1):tItens[[#This Row],[Edital]],tItens[[#This Row],[Edital]],INDEX(tItens[Produto],1):tItens[[#This Row],[Produto]],tItens[[#This Row],[Produto]])=1,1,0)</f>
        <v>1</v>
      </c>
    </row>
    <row r="7740" spans="1:16" x14ac:dyDescent="0.25">
      <c r="A7740" t="s">
        <v>2572</v>
      </c>
      <c r="B7740">
        <v>48</v>
      </c>
      <c r="C7740" t="s">
        <v>10307</v>
      </c>
      <c r="D7740" t="s">
        <v>269</v>
      </c>
      <c r="E7740" s="13">
        <v>50</v>
      </c>
      <c r="F7740" s="12">
        <v>44.75</v>
      </c>
      <c r="G7740" t="str">
        <f>IFERROR(INDEX(tEditais[Órgão],MATCH(tItens[[#This Row],[Edital]],tEditais[Edital],0)),"")</f>
        <v>MUNICIPIO DE NOVO CABRAIS</v>
      </c>
      <c r="H7740" t="str">
        <f>IFERROR(INDEX(tEditais[UF],MATCH(tItens[[#This Row],[Edital]],tEditais[Edital],0)),"")</f>
        <v>RS</v>
      </c>
      <c r="I7740" s="11">
        <f>IFERROR(INDEX(tEditais[Encerramento],MATCH(tItens[[#This Row],[Edital]],tEditais[Edital],0)),"")</f>
        <v>46310.354166666664</v>
      </c>
      <c r="J7740" t="str">
        <f>IFERROR(INDEX(tProdutos[Classe],MATCH(tItens[[#This Row],[Produto]],tProdutos[Produto],0)),"produto não cadastrado")</f>
        <v>FORA</v>
      </c>
      <c r="K7740" s="12">
        <f>tItens[[#This Row],[Qtd]]*tItens[[#This Row],[Vlr unit]]</f>
        <v>2237.5</v>
      </c>
      <c r="L7740" s="6">
        <f>IFERROR(IF(INDEX(tProdutos[Desconto homologado],MATCH(tItens[[#This Row],[Produto]],tProdutos[Produto],0))="",DescontoPadrao,INDEX(tProdutos[Desconto homologado],MATCH(tItens[[#This Row],[Produto]],tProdutos[Produto],0))),DescontoPadrao)</f>
        <v>0.28935117103332197</v>
      </c>
      <c r="M7740" s="12">
        <f>tItens[[#This Row],[Valor]]*(1-tItens[[#This Row],[Desconto]])</f>
        <v>1590.076754812942</v>
      </c>
      <c r="N7740" t="str">
        <f>IFERROR(INDEX(tProdutos[Foco],MATCH(tItens[[#This Row],[Produto]],tProdutos[Produto],0)),"Não")</f>
        <v>Não</v>
      </c>
      <c r="O7740" t="str">
        <f>IFERROR(INDEX(tEditais[SRP],MATCH(tItens[[#This Row],[Edital]],tEditais[Edital],0)),"Não")</f>
        <v>Não</v>
      </c>
      <c r="P7740" s="4">
        <f>IF(COUNTIFS(INDEX(tItens[Edital],1):tItens[[#This Row],[Edital]],tItens[[#This Row],[Edital]],INDEX(tItens[Produto],1):tItens[[#This Row],[Produto]],tItens[[#This Row],[Produto]])=1,1,0)</f>
        <v>1</v>
      </c>
    </row>
    <row r="7741" spans="1:16" x14ac:dyDescent="0.25">
      <c r="A7741" t="s">
        <v>2572</v>
      </c>
      <c r="B7741">
        <v>50</v>
      </c>
      <c r="C7741" t="s">
        <v>10308</v>
      </c>
      <c r="D7741" t="s">
        <v>193</v>
      </c>
      <c r="E7741" s="13">
        <v>14</v>
      </c>
      <c r="F7741" s="12">
        <v>16.989999999999998</v>
      </c>
      <c r="G7741" t="str">
        <f>IFERROR(INDEX(tEditais[Órgão],MATCH(tItens[[#This Row],[Edital]],tEditais[Edital],0)),"")</f>
        <v>MUNICIPIO DE NOVO CABRAIS</v>
      </c>
      <c r="H7741" t="str">
        <f>IFERROR(INDEX(tEditais[UF],MATCH(tItens[[#This Row],[Edital]],tEditais[Edital],0)),"")</f>
        <v>RS</v>
      </c>
      <c r="I7741" s="11">
        <f>IFERROR(INDEX(tEditais[Encerramento],MATCH(tItens[[#This Row],[Edital]],tEditais[Edital],0)),"")</f>
        <v>46310.354166666664</v>
      </c>
      <c r="J7741" t="str">
        <f>IFERROR(INDEX(tProdutos[Classe],MATCH(tItens[[#This Row],[Produto]],tProdutos[Produto],0)),"produto não cadastrado")</f>
        <v>DISPUTADO</v>
      </c>
      <c r="K7741" s="12">
        <f>tItens[[#This Row],[Qtd]]*tItens[[#This Row],[Vlr unit]]</f>
        <v>237.85999999999999</v>
      </c>
      <c r="L7741" s="6">
        <f>IFERROR(IF(INDEX(tProdutos[Desconto homologado],MATCH(tItens[[#This Row],[Produto]],tProdutos[Produto],0))="",DescontoPadrao,INDEX(tProdutos[Desconto homologado],MATCH(tItens[[#This Row],[Produto]],tProdutos[Produto],0))),DescontoPadrao)</f>
        <v>0.293849658314351</v>
      </c>
      <c r="M7741" s="12">
        <f>tItens[[#This Row],[Valor]]*(1-tItens[[#This Row],[Desconto]])</f>
        <v>167.96492027334844</v>
      </c>
      <c r="N7741" t="str">
        <f>IFERROR(INDEX(tProdutos[Foco],MATCH(tItens[[#This Row],[Produto]],tProdutos[Produto],0)),"Não")</f>
        <v>Não</v>
      </c>
      <c r="O7741" t="str">
        <f>IFERROR(INDEX(tEditais[SRP],MATCH(tItens[[#This Row],[Edital]],tEditais[Edital],0)),"Não")</f>
        <v>Não</v>
      </c>
      <c r="P7741" s="4">
        <f>IF(COUNTIFS(INDEX(tItens[Edital],1):tItens[[#This Row],[Edital]],tItens[[#This Row],[Edital]],INDEX(tItens[Produto],1):tItens[[#This Row],[Produto]],tItens[[#This Row],[Produto]])=1,1,0)</f>
        <v>1</v>
      </c>
    </row>
    <row r="7742" spans="1:16" x14ac:dyDescent="0.25">
      <c r="A7742" t="s">
        <v>2572</v>
      </c>
      <c r="B7742">
        <v>51</v>
      </c>
      <c r="C7742" t="s">
        <v>10309</v>
      </c>
      <c r="D7742" t="s">
        <v>193</v>
      </c>
      <c r="E7742" s="13">
        <v>14</v>
      </c>
      <c r="F7742" s="12">
        <v>16.670000000000002</v>
      </c>
      <c r="G7742" t="str">
        <f>IFERROR(INDEX(tEditais[Órgão],MATCH(tItens[[#This Row],[Edital]],tEditais[Edital],0)),"")</f>
        <v>MUNICIPIO DE NOVO CABRAIS</v>
      </c>
      <c r="H7742" t="str">
        <f>IFERROR(INDEX(tEditais[UF],MATCH(tItens[[#This Row],[Edital]],tEditais[Edital],0)),"")</f>
        <v>RS</v>
      </c>
      <c r="I7742" s="11">
        <f>IFERROR(INDEX(tEditais[Encerramento],MATCH(tItens[[#This Row],[Edital]],tEditais[Edital],0)),"")</f>
        <v>46310.354166666664</v>
      </c>
      <c r="J7742" t="str">
        <f>IFERROR(INDEX(tProdutos[Classe],MATCH(tItens[[#This Row],[Produto]],tProdutos[Produto],0)),"produto não cadastrado")</f>
        <v>DISPUTADO</v>
      </c>
      <c r="K7742" s="12">
        <f>tItens[[#This Row],[Qtd]]*tItens[[#This Row],[Vlr unit]]</f>
        <v>233.38000000000002</v>
      </c>
      <c r="L7742" s="6">
        <f>IFERROR(IF(INDEX(tProdutos[Desconto homologado],MATCH(tItens[[#This Row],[Produto]],tProdutos[Produto],0))="",DescontoPadrao,INDEX(tProdutos[Desconto homologado],MATCH(tItens[[#This Row],[Produto]],tProdutos[Produto],0))),DescontoPadrao)</f>
        <v>0.293849658314351</v>
      </c>
      <c r="M7742" s="12">
        <f>tItens[[#This Row],[Valor]]*(1-tItens[[#This Row],[Desconto]])</f>
        <v>164.80136674259677</v>
      </c>
      <c r="N7742" t="str">
        <f>IFERROR(INDEX(tProdutos[Foco],MATCH(tItens[[#This Row],[Produto]],tProdutos[Produto],0)),"Não")</f>
        <v>Não</v>
      </c>
      <c r="O7742" t="str">
        <f>IFERROR(INDEX(tEditais[SRP],MATCH(tItens[[#This Row],[Edital]],tEditais[Edital],0)),"Não")</f>
        <v>Não</v>
      </c>
      <c r="P7742" s="4">
        <f>IF(COUNTIFS(INDEX(tItens[Edital],1):tItens[[#This Row],[Edital]],tItens[[#This Row],[Edital]],INDEX(tItens[Produto],1):tItens[[#This Row],[Produto]],tItens[[#This Row],[Produto]])=1,1,0)</f>
        <v>0</v>
      </c>
    </row>
    <row r="7743" spans="1:16" x14ac:dyDescent="0.25">
      <c r="A7743" t="s">
        <v>2572</v>
      </c>
      <c r="B7743">
        <v>54</v>
      </c>
      <c r="C7743" t="s">
        <v>10310</v>
      </c>
      <c r="D7743" t="s">
        <v>641</v>
      </c>
      <c r="E7743" s="13">
        <v>6</v>
      </c>
      <c r="F7743" s="12">
        <v>46.51</v>
      </c>
      <c r="G7743" t="str">
        <f>IFERROR(INDEX(tEditais[Órgão],MATCH(tItens[[#This Row],[Edital]],tEditais[Edital],0)),"")</f>
        <v>MUNICIPIO DE NOVO CABRAIS</v>
      </c>
      <c r="H7743" t="str">
        <f>IFERROR(INDEX(tEditais[UF],MATCH(tItens[[#This Row],[Edital]],tEditais[Edital],0)),"")</f>
        <v>RS</v>
      </c>
      <c r="I7743" s="11">
        <f>IFERROR(INDEX(tEditais[Encerramento],MATCH(tItens[[#This Row],[Edital]],tEditais[Edital],0)),"")</f>
        <v>46310.354166666664</v>
      </c>
      <c r="J7743" t="str">
        <f>IFERROR(INDEX(tProdutos[Classe],MATCH(tItens[[#This Row],[Produto]],tProdutos[Produto],0)),"produto não cadastrado")</f>
        <v>FILA REBASE</v>
      </c>
      <c r="K7743" s="12">
        <f>tItens[[#This Row],[Qtd]]*tItens[[#This Row],[Vlr unit]]</f>
        <v>279.06</v>
      </c>
      <c r="L7743" s="6">
        <f>IFERROR(IF(INDEX(tProdutos[Desconto homologado],MATCH(tItens[[#This Row],[Produto]],tProdutos[Produto],0))="",DescontoPadrao,INDEX(tProdutos[Desconto homologado],MATCH(tItens[[#This Row],[Produto]],tProdutos[Produto],0))),DescontoPadrao)</f>
        <v>0.3</v>
      </c>
      <c r="M7743" s="12">
        <f>tItens[[#This Row],[Valor]]*(1-tItens[[#This Row],[Desconto]])</f>
        <v>195.34199999999998</v>
      </c>
      <c r="N7743" t="str">
        <f>IFERROR(INDEX(tProdutos[Foco],MATCH(tItens[[#This Row],[Produto]],tProdutos[Produto],0)),"Não")</f>
        <v>Não</v>
      </c>
      <c r="O7743" t="str">
        <f>IFERROR(INDEX(tEditais[SRP],MATCH(tItens[[#This Row],[Edital]],tEditais[Edital],0)),"Não")</f>
        <v>Não</v>
      </c>
      <c r="P7743" s="4">
        <f>IF(COUNTIFS(INDEX(tItens[Edital],1):tItens[[#This Row],[Edital]],tItens[[#This Row],[Edital]],INDEX(tItens[Produto],1):tItens[[#This Row],[Produto]],tItens[[#This Row],[Produto]])=1,1,0)</f>
        <v>1</v>
      </c>
    </row>
    <row r="7744" spans="1:16" x14ac:dyDescent="0.25">
      <c r="A7744" t="s">
        <v>2572</v>
      </c>
      <c r="B7744">
        <v>62</v>
      </c>
      <c r="C7744" t="s">
        <v>10311</v>
      </c>
      <c r="D7744" t="s">
        <v>333</v>
      </c>
      <c r="E7744" s="13">
        <v>3500</v>
      </c>
      <c r="F7744" s="12">
        <v>0.84</v>
      </c>
      <c r="G7744" t="str">
        <f>IFERROR(INDEX(tEditais[Órgão],MATCH(tItens[[#This Row],[Edital]],tEditais[Edital],0)),"")</f>
        <v>MUNICIPIO DE NOVO CABRAIS</v>
      </c>
      <c r="H7744" t="str">
        <f>IFERROR(INDEX(tEditais[UF],MATCH(tItens[[#This Row],[Edital]],tEditais[Edital],0)),"")</f>
        <v>RS</v>
      </c>
      <c r="I7744" s="11">
        <f>IFERROR(INDEX(tEditais[Encerramento],MATCH(tItens[[#This Row],[Edital]],tEditais[Edital],0)),"")</f>
        <v>46310.354166666664</v>
      </c>
      <c r="J7744" t="str">
        <f>IFERROR(INDEX(tProdutos[Classe],MATCH(tItens[[#This Row],[Produto]],tProdutos[Produto],0)),"produto não cadastrado")</f>
        <v>FORA</v>
      </c>
      <c r="K7744" s="12">
        <f>tItens[[#This Row],[Qtd]]*tItens[[#This Row],[Vlr unit]]</f>
        <v>2940</v>
      </c>
      <c r="L7744" s="6">
        <f>IFERROR(IF(INDEX(tProdutos[Desconto homologado],MATCH(tItens[[#This Row],[Produto]],tProdutos[Produto],0))="",DescontoPadrao,INDEX(tProdutos[Desconto homologado],MATCH(tItens[[#This Row],[Produto]],tProdutos[Produto],0))),DescontoPadrao)</f>
        <v>0.48951048951048998</v>
      </c>
      <c r="M7744" s="12">
        <f>tItens[[#This Row],[Valor]]*(1-tItens[[#This Row],[Desconto]])</f>
        <v>1500.8391608391594</v>
      </c>
      <c r="N7744" t="str">
        <f>IFERROR(INDEX(tProdutos[Foco],MATCH(tItens[[#This Row],[Produto]],tProdutos[Produto],0)),"Não")</f>
        <v>Não</v>
      </c>
      <c r="O7744" t="str">
        <f>IFERROR(INDEX(tEditais[SRP],MATCH(tItens[[#This Row],[Edital]],tEditais[Edital],0)),"Não")</f>
        <v>Não</v>
      </c>
      <c r="P7744" s="4">
        <f>IF(COUNTIFS(INDEX(tItens[Edital],1):tItens[[#This Row],[Edital]],tItens[[#This Row],[Edital]],INDEX(tItens[Produto],1):tItens[[#This Row],[Produto]],tItens[[#This Row],[Produto]])=1,1,0)</f>
        <v>1</v>
      </c>
    </row>
    <row r="7745" spans="1:16" x14ac:dyDescent="0.25">
      <c r="A7745" t="s">
        <v>2572</v>
      </c>
      <c r="B7745">
        <v>63</v>
      </c>
      <c r="C7745" t="s">
        <v>10312</v>
      </c>
      <c r="D7745" t="s">
        <v>187</v>
      </c>
      <c r="E7745" s="13">
        <v>35</v>
      </c>
      <c r="F7745" s="12">
        <v>1.23</v>
      </c>
      <c r="G7745" t="str">
        <f>IFERROR(INDEX(tEditais[Órgão],MATCH(tItens[[#This Row],[Edital]],tEditais[Edital],0)),"")</f>
        <v>MUNICIPIO DE NOVO CABRAIS</v>
      </c>
      <c r="H7745" t="str">
        <f>IFERROR(INDEX(tEditais[UF],MATCH(tItens[[#This Row],[Edital]],tEditais[Edital],0)),"")</f>
        <v>RS</v>
      </c>
      <c r="I7745" s="11">
        <f>IFERROR(INDEX(tEditais[Encerramento],MATCH(tItens[[#This Row],[Edital]],tEditais[Edital],0)),"")</f>
        <v>46310.354166666664</v>
      </c>
      <c r="J7745" t="str">
        <f>IFERROR(INDEX(tProdutos[Classe],MATCH(tItens[[#This Row],[Produto]],tProdutos[Produto],0)),"produto não cadastrado")</f>
        <v>DISPUTADO</v>
      </c>
      <c r="K7745" s="12">
        <f>tItens[[#This Row],[Qtd]]*tItens[[#This Row],[Vlr unit]]</f>
        <v>43.05</v>
      </c>
      <c r="L7745" s="6">
        <f>IFERROR(IF(INDEX(tProdutos[Desconto homologado],MATCH(tItens[[#This Row],[Produto]],tProdutos[Produto],0))="",DescontoPadrao,INDEX(tProdutos[Desconto homologado],MATCH(tItens[[#This Row],[Produto]],tProdutos[Produto],0))),DescontoPadrao)</f>
        <v>0.44298820445609399</v>
      </c>
      <c r="M7745" s="12">
        <f>tItens[[#This Row],[Valor]]*(1-tItens[[#This Row],[Desconto]])</f>
        <v>23.979357798165154</v>
      </c>
      <c r="N7745" t="str">
        <f>IFERROR(INDEX(tProdutos[Foco],MATCH(tItens[[#This Row],[Produto]],tProdutos[Produto],0)),"Não")</f>
        <v>Não</v>
      </c>
      <c r="O7745" t="str">
        <f>IFERROR(INDEX(tEditais[SRP],MATCH(tItens[[#This Row],[Edital]],tEditais[Edital],0)),"Não")</f>
        <v>Não</v>
      </c>
      <c r="P7745" s="4">
        <f>IF(COUNTIFS(INDEX(tItens[Edital],1):tItens[[#This Row],[Edital]],tItens[[#This Row],[Edital]],INDEX(tItens[Produto],1):tItens[[#This Row],[Produto]],tItens[[#This Row],[Produto]])=1,1,0)</f>
        <v>1</v>
      </c>
    </row>
    <row r="7746" spans="1:16" x14ac:dyDescent="0.25">
      <c r="A7746" t="s">
        <v>2572</v>
      </c>
      <c r="B7746">
        <v>69</v>
      </c>
      <c r="C7746" t="s">
        <v>10313</v>
      </c>
      <c r="D7746" t="s">
        <v>90</v>
      </c>
      <c r="E7746" s="13">
        <v>20</v>
      </c>
      <c r="F7746" s="12">
        <v>9.5299999999999994</v>
      </c>
      <c r="G7746" t="str">
        <f>IFERROR(INDEX(tEditais[Órgão],MATCH(tItens[[#This Row],[Edital]],tEditais[Edital],0)),"")</f>
        <v>MUNICIPIO DE NOVO CABRAIS</v>
      </c>
      <c r="H7746" t="str">
        <f>IFERROR(INDEX(tEditais[UF],MATCH(tItens[[#This Row],[Edital]],tEditais[Edital],0)),"")</f>
        <v>RS</v>
      </c>
      <c r="I7746" s="11">
        <f>IFERROR(INDEX(tEditais[Encerramento],MATCH(tItens[[#This Row],[Edital]],tEditais[Edital],0)),"")</f>
        <v>46310.354166666664</v>
      </c>
      <c r="J7746" t="str">
        <f>IFERROR(INDEX(tProdutos[Classe],MATCH(tItens[[#This Row],[Produto]],tProdutos[Produto],0)),"produto não cadastrado")</f>
        <v>DISPUTADO</v>
      </c>
      <c r="K7746" s="12">
        <f>tItens[[#This Row],[Qtd]]*tItens[[#This Row],[Vlr unit]]</f>
        <v>190.6</v>
      </c>
      <c r="L7746" s="6">
        <f>IFERROR(IF(INDEX(tProdutos[Desconto homologado],MATCH(tItens[[#This Row],[Produto]],tProdutos[Produto],0))="",DescontoPadrao,INDEX(tProdutos[Desconto homologado],MATCH(tItens[[#This Row],[Produto]],tProdutos[Produto],0))),DescontoPadrao)</f>
        <v>0.25393823957010597</v>
      </c>
      <c r="M7746" s="12">
        <f>tItens[[#This Row],[Valor]]*(1-tItens[[#This Row],[Desconto]])</f>
        <v>142.19937153793779</v>
      </c>
      <c r="N7746" t="str">
        <f>IFERROR(INDEX(tProdutos[Foco],MATCH(tItens[[#This Row],[Produto]],tProdutos[Produto],0)),"Não")</f>
        <v>Não</v>
      </c>
      <c r="O7746" t="str">
        <f>IFERROR(INDEX(tEditais[SRP],MATCH(tItens[[#This Row],[Edital]],tEditais[Edital],0)),"Não")</f>
        <v>Não</v>
      </c>
      <c r="P7746" s="4">
        <f>IF(COUNTIFS(INDEX(tItens[Edital],1):tItens[[#This Row],[Edital]],tItens[[#This Row],[Edital]],INDEX(tItens[Produto],1):tItens[[#This Row],[Produto]],tItens[[#This Row],[Produto]])=1,1,0)</f>
        <v>1</v>
      </c>
    </row>
    <row r="7747" spans="1:16" x14ac:dyDescent="0.25">
      <c r="A7747" t="s">
        <v>2572</v>
      </c>
      <c r="B7747">
        <v>70</v>
      </c>
      <c r="C7747" t="s">
        <v>10314</v>
      </c>
      <c r="D7747" t="s">
        <v>233</v>
      </c>
      <c r="E7747" s="13">
        <v>10</v>
      </c>
      <c r="F7747" s="12">
        <v>12.35</v>
      </c>
      <c r="G7747" t="str">
        <f>IFERROR(INDEX(tEditais[Órgão],MATCH(tItens[[#This Row],[Edital]],tEditais[Edital],0)),"")</f>
        <v>MUNICIPIO DE NOVO CABRAIS</v>
      </c>
      <c r="H7747" t="str">
        <f>IFERROR(INDEX(tEditais[UF],MATCH(tItens[[#This Row],[Edital]],tEditais[Edital],0)),"")</f>
        <v>RS</v>
      </c>
      <c r="I7747" s="11">
        <f>IFERROR(INDEX(tEditais[Encerramento],MATCH(tItens[[#This Row],[Edital]],tEditais[Edital],0)),"")</f>
        <v>46310.354166666664</v>
      </c>
      <c r="J7747" t="str">
        <f>IFERROR(INDEX(tProdutos[Classe],MATCH(tItens[[#This Row],[Produto]],tProdutos[Produto],0)),"produto não cadastrado")</f>
        <v>FORA</v>
      </c>
      <c r="K7747" s="12">
        <f>tItens[[#This Row],[Qtd]]*tItens[[#This Row],[Vlr unit]]</f>
        <v>123.5</v>
      </c>
      <c r="L7747" s="6">
        <f>IFERROR(IF(INDEX(tProdutos[Desconto homologado],MATCH(tItens[[#This Row],[Produto]],tProdutos[Produto],0))="",DescontoPadrao,INDEX(tProdutos[Desconto homologado],MATCH(tItens[[#This Row],[Produto]],tProdutos[Produto],0))),DescontoPadrao)</f>
        <v>0.246270084162204</v>
      </c>
      <c r="M7747" s="12">
        <f>tItens[[#This Row],[Valor]]*(1-tItens[[#This Row],[Desconto]])</f>
        <v>93.085644605967815</v>
      </c>
      <c r="N7747" t="str">
        <f>IFERROR(INDEX(tProdutos[Foco],MATCH(tItens[[#This Row],[Produto]],tProdutos[Produto],0)),"Não")</f>
        <v>Não</v>
      </c>
      <c r="O7747" t="str">
        <f>IFERROR(INDEX(tEditais[SRP],MATCH(tItens[[#This Row],[Edital]],tEditais[Edital],0)),"Não")</f>
        <v>Não</v>
      </c>
      <c r="P7747" s="4">
        <f>IF(COUNTIFS(INDEX(tItens[Edital],1):tItens[[#This Row],[Edital]],tItens[[#This Row],[Edital]],INDEX(tItens[Produto],1):tItens[[#This Row],[Produto]],tItens[[#This Row],[Produto]])=1,1,0)</f>
        <v>1</v>
      </c>
    </row>
    <row r="7748" spans="1:16" x14ac:dyDescent="0.25">
      <c r="A7748" t="s">
        <v>2572</v>
      </c>
      <c r="B7748">
        <v>71</v>
      </c>
      <c r="C7748" t="s">
        <v>10315</v>
      </c>
      <c r="D7748" t="s">
        <v>75</v>
      </c>
      <c r="E7748" s="13">
        <v>1000</v>
      </c>
      <c r="F7748" s="12">
        <v>1.81</v>
      </c>
      <c r="G7748" t="str">
        <f>IFERROR(INDEX(tEditais[Órgão],MATCH(tItens[[#This Row],[Edital]],tEditais[Edital],0)),"")</f>
        <v>MUNICIPIO DE NOVO CABRAIS</v>
      </c>
      <c r="H7748" t="str">
        <f>IFERROR(INDEX(tEditais[UF],MATCH(tItens[[#This Row],[Edital]],tEditais[Edital],0)),"")</f>
        <v>RS</v>
      </c>
      <c r="I7748" s="11">
        <f>IFERROR(INDEX(tEditais[Encerramento],MATCH(tItens[[#This Row],[Edital]],tEditais[Edital],0)),"")</f>
        <v>46310.354166666664</v>
      </c>
      <c r="J7748" t="str">
        <f>IFERROR(INDEX(tProdutos[Classe],MATCH(tItens[[#This Row],[Produto]],tProdutos[Produto],0)),"produto não cadastrado")</f>
        <v>NÚCLEO</v>
      </c>
      <c r="K7748" s="12">
        <f>tItens[[#This Row],[Qtd]]*tItens[[#This Row],[Vlr unit]]</f>
        <v>1810</v>
      </c>
      <c r="L7748" s="6">
        <f>IFERROR(IF(INDEX(tProdutos[Desconto homologado],MATCH(tItens[[#This Row],[Produto]],tProdutos[Produto],0))="",DescontoPadrao,INDEX(tProdutos[Desconto homologado],MATCH(tItens[[#This Row],[Produto]],tProdutos[Produto],0))),DescontoPadrao)</f>
        <v>0.26</v>
      </c>
      <c r="M7748" s="12">
        <f>tItens[[#This Row],[Valor]]*(1-tItens[[#This Row],[Desconto]])</f>
        <v>1339.4</v>
      </c>
      <c r="N7748" t="str">
        <f>IFERROR(INDEX(tProdutos[Foco],MATCH(tItens[[#This Row],[Produto]],tProdutos[Produto],0)),"Não")</f>
        <v>Sim</v>
      </c>
      <c r="O7748" t="str">
        <f>IFERROR(INDEX(tEditais[SRP],MATCH(tItens[[#This Row],[Edital]],tEditais[Edital],0)),"Não")</f>
        <v>Não</v>
      </c>
      <c r="P7748" s="4">
        <f>IF(COUNTIFS(INDEX(tItens[Edital],1):tItens[[#This Row],[Edital]],tItens[[#This Row],[Edital]],INDEX(tItens[Produto],1):tItens[[#This Row],[Produto]],tItens[[#This Row],[Produto]])=1,1,0)</f>
        <v>1</v>
      </c>
    </row>
    <row r="7749" spans="1:16" x14ac:dyDescent="0.25">
      <c r="A7749" t="s">
        <v>2572</v>
      </c>
      <c r="B7749">
        <v>74</v>
      </c>
      <c r="C7749" t="s">
        <v>10316</v>
      </c>
      <c r="D7749" t="s">
        <v>461</v>
      </c>
      <c r="E7749" s="13">
        <v>35</v>
      </c>
      <c r="F7749" s="12">
        <v>37.92</v>
      </c>
      <c r="G7749" t="str">
        <f>IFERROR(INDEX(tEditais[Órgão],MATCH(tItens[[#This Row],[Edital]],tEditais[Edital],0)),"")</f>
        <v>MUNICIPIO DE NOVO CABRAIS</v>
      </c>
      <c r="H7749" t="str">
        <f>IFERROR(INDEX(tEditais[UF],MATCH(tItens[[#This Row],[Edital]],tEditais[Edital],0)),"")</f>
        <v>RS</v>
      </c>
      <c r="I7749" s="11">
        <f>IFERROR(INDEX(tEditais[Encerramento],MATCH(tItens[[#This Row],[Edital]],tEditais[Edital],0)),"")</f>
        <v>46310.354166666664</v>
      </c>
      <c r="J7749" t="str">
        <f>IFERROR(INDEX(tProdutos[Classe],MATCH(tItens[[#This Row],[Produto]],tProdutos[Produto],0)),"produto não cadastrado")</f>
        <v>FILA REBASE</v>
      </c>
      <c r="K7749" s="12">
        <f>tItens[[#This Row],[Qtd]]*tItens[[#This Row],[Vlr unit]]</f>
        <v>1327.2</v>
      </c>
      <c r="L7749" s="6">
        <f>IFERROR(IF(INDEX(tProdutos[Desconto homologado],MATCH(tItens[[#This Row],[Produto]],tProdutos[Produto],0))="",DescontoPadrao,INDEX(tProdutos[Desconto homologado],MATCH(tItens[[#This Row],[Produto]],tProdutos[Produto],0))),DescontoPadrao)</f>
        <v>0.44096385542168698</v>
      </c>
      <c r="M7749" s="12">
        <f>tItens[[#This Row],[Valor]]*(1-tItens[[#This Row],[Desconto]])</f>
        <v>741.95277108433697</v>
      </c>
      <c r="N7749" t="str">
        <f>IFERROR(INDEX(tProdutos[Foco],MATCH(tItens[[#This Row],[Produto]],tProdutos[Produto],0)),"Não")</f>
        <v>Não</v>
      </c>
      <c r="O7749" t="str">
        <f>IFERROR(INDEX(tEditais[SRP],MATCH(tItens[[#This Row],[Edital]],tEditais[Edital],0)),"Não")</f>
        <v>Não</v>
      </c>
      <c r="P7749" s="4">
        <f>IF(COUNTIFS(INDEX(tItens[Edital],1):tItens[[#This Row],[Edital]],tItens[[#This Row],[Edital]],INDEX(tItens[Produto],1):tItens[[#This Row],[Produto]],tItens[[#This Row],[Produto]])=1,1,0)</f>
        <v>1</v>
      </c>
    </row>
    <row r="7750" spans="1:16" x14ac:dyDescent="0.25">
      <c r="A7750" t="s">
        <v>2572</v>
      </c>
      <c r="B7750">
        <v>76</v>
      </c>
      <c r="C7750" t="s">
        <v>10317</v>
      </c>
      <c r="D7750" t="s">
        <v>142</v>
      </c>
      <c r="E7750" s="13">
        <v>20</v>
      </c>
      <c r="F7750" s="12">
        <v>4.7</v>
      </c>
      <c r="G7750" t="str">
        <f>IFERROR(INDEX(tEditais[Órgão],MATCH(tItens[[#This Row],[Edital]],tEditais[Edital],0)),"")</f>
        <v>MUNICIPIO DE NOVO CABRAIS</v>
      </c>
      <c r="H7750" t="str">
        <f>IFERROR(INDEX(tEditais[UF],MATCH(tItens[[#This Row],[Edital]],tEditais[Edital],0)),"")</f>
        <v>RS</v>
      </c>
      <c r="I7750" s="11">
        <f>IFERROR(INDEX(tEditais[Encerramento],MATCH(tItens[[#This Row],[Edital]],tEditais[Edital],0)),"")</f>
        <v>46310.354166666664</v>
      </c>
      <c r="J7750" t="str">
        <f>IFERROR(INDEX(tProdutos[Classe],MATCH(tItens[[#This Row],[Produto]],tProdutos[Produto],0)),"produto não cadastrado")</f>
        <v>DISPUTADO</v>
      </c>
      <c r="K7750" s="12">
        <f>tItens[[#This Row],[Qtd]]*tItens[[#This Row],[Vlr unit]]</f>
        <v>94</v>
      </c>
      <c r="L7750" s="6">
        <f>IFERROR(IF(INDEX(tProdutos[Desconto homologado],MATCH(tItens[[#This Row],[Produto]],tProdutos[Produto],0))="",DescontoPadrao,INDEX(tProdutos[Desconto homologado],MATCH(tItens[[#This Row],[Produto]],tProdutos[Produto],0))),DescontoPadrao)</f>
        <v>0.37093619495691699</v>
      </c>
      <c r="M7750" s="12">
        <f>tItens[[#This Row],[Valor]]*(1-tItens[[#This Row],[Desconto]])</f>
        <v>59.131997674049806</v>
      </c>
      <c r="N7750" t="str">
        <f>IFERROR(INDEX(tProdutos[Foco],MATCH(tItens[[#This Row],[Produto]],tProdutos[Produto],0)),"Não")</f>
        <v>Não</v>
      </c>
      <c r="O7750" t="str">
        <f>IFERROR(INDEX(tEditais[SRP],MATCH(tItens[[#This Row],[Edital]],tEditais[Edital],0)),"Não")</f>
        <v>Não</v>
      </c>
      <c r="P7750" s="4">
        <f>IF(COUNTIFS(INDEX(tItens[Edital],1):tItens[[#This Row],[Edital]],tItens[[#This Row],[Edital]],INDEX(tItens[Produto],1):tItens[[#This Row],[Produto]],tItens[[#This Row],[Produto]])=1,1,0)</f>
        <v>1</v>
      </c>
    </row>
    <row r="7751" spans="1:16" x14ac:dyDescent="0.25">
      <c r="A7751" t="s">
        <v>2572</v>
      </c>
      <c r="B7751">
        <v>77</v>
      </c>
      <c r="C7751" t="s">
        <v>10318</v>
      </c>
      <c r="D7751" t="s">
        <v>77</v>
      </c>
      <c r="E7751" s="13">
        <v>1500</v>
      </c>
      <c r="F7751" s="12">
        <v>2.5299999999999998</v>
      </c>
      <c r="G7751" t="str">
        <f>IFERROR(INDEX(tEditais[Órgão],MATCH(tItens[[#This Row],[Edital]],tEditais[Edital],0)),"")</f>
        <v>MUNICIPIO DE NOVO CABRAIS</v>
      </c>
      <c r="H7751" t="str">
        <f>IFERROR(INDEX(tEditais[UF],MATCH(tItens[[#This Row],[Edital]],tEditais[Edital],0)),"")</f>
        <v>RS</v>
      </c>
      <c r="I7751" s="11">
        <f>IFERROR(INDEX(tEditais[Encerramento],MATCH(tItens[[#This Row],[Edital]],tEditais[Edital],0)),"")</f>
        <v>46310.354166666664</v>
      </c>
      <c r="J7751" t="str">
        <f>IFERROR(INDEX(tProdutos[Classe],MATCH(tItens[[#This Row],[Produto]],tProdutos[Produto],0)),"produto não cadastrado")</f>
        <v>DISPUTADO</v>
      </c>
      <c r="K7751" s="12">
        <f>tItens[[#This Row],[Qtd]]*tItens[[#This Row],[Vlr unit]]</f>
        <v>3794.9999999999995</v>
      </c>
      <c r="L7751" s="6">
        <f>IFERROR(IF(INDEX(tProdutos[Desconto homologado],MATCH(tItens[[#This Row],[Produto]],tProdutos[Produto],0))="",DescontoPadrao,INDEX(tProdutos[Desconto homologado],MATCH(tItens[[#This Row],[Produto]],tProdutos[Produto],0))),DescontoPadrao)</f>
        <v>0.33</v>
      </c>
      <c r="M7751" s="12">
        <f>tItens[[#This Row],[Valor]]*(1-tItens[[#This Row],[Desconto]])</f>
        <v>2542.6499999999996</v>
      </c>
      <c r="N7751" t="str">
        <f>IFERROR(INDEX(tProdutos[Foco],MATCH(tItens[[#This Row],[Produto]],tProdutos[Produto],0)),"Não")</f>
        <v>Sim</v>
      </c>
      <c r="O7751" t="str">
        <f>IFERROR(INDEX(tEditais[SRP],MATCH(tItens[[#This Row],[Edital]],tEditais[Edital],0)),"Não")</f>
        <v>Não</v>
      </c>
      <c r="P7751" s="4">
        <f>IF(COUNTIFS(INDEX(tItens[Edital],1):tItens[[#This Row],[Edital]],tItens[[#This Row],[Edital]],INDEX(tItens[Produto],1):tItens[[#This Row],[Produto]],tItens[[#This Row],[Produto]])=1,1,0)</f>
        <v>1</v>
      </c>
    </row>
    <row r="7752" spans="1:16" x14ac:dyDescent="0.25">
      <c r="A7752" t="s">
        <v>2572</v>
      </c>
      <c r="B7752">
        <v>78</v>
      </c>
      <c r="C7752" t="s">
        <v>10319</v>
      </c>
      <c r="D7752" t="s">
        <v>77</v>
      </c>
      <c r="E7752" s="13">
        <v>1200</v>
      </c>
      <c r="F7752" s="12">
        <v>3.74</v>
      </c>
      <c r="G7752" t="str">
        <f>IFERROR(INDEX(tEditais[Órgão],MATCH(tItens[[#This Row],[Edital]],tEditais[Edital],0)),"")</f>
        <v>MUNICIPIO DE NOVO CABRAIS</v>
      </c>
      <c r="H7752" t="str">
        <f>IFERROR(INDEX(tEditais[UF],MATCH(tItens[[#This Row],[Edital]],tEditais[Edital],0)),"")</f>
        <v>RS</v>
      </c>
      <c r="I7752" s="11">
        <f>IFERROR(INDEX(tEditais[Encerramento],MATCH(tItens[[#This Row],[Edital]],tEditais[Edital],0)),"")</f>
        <v>46310.354166666664</v>
      </c>
      <c r="J7752" t="str">
        <f>IFERROR(INDEX(tProdutos[Classe],MATCH(tItens[[#This Row],[Produto]],tProdutos[Produto],0)),"produto não cadastrado")</f>
        <v>DISPUTADO</v>
      </c>
      <c r="K7752" s="12">
        <f>tItens[[#This Row],[Qtd]]*tItens[[#This Row],[Vlr unit]]</f>
        <v>4488</v>
      </c>
      <c r="L7752" s="6">
        <f>IFERROR(IF(INDEX(tProdutos[Desconto homologado],MATCH(tItens[[#This Row],[Produto]],tProdutos[Produto],0))="",DescontoPadrao,INDEX(tProdutos[Desconto homologado],MATCH(tItens[[#This Row],[Produto]],tProdutos[Produto],0))),DescontoPadrao)</f>
        <v>0.33</v>
      </c>
      <c r="M7752" s="12">
        <f>tItens[[#This Row],[Valor]]*(1-tItens[[#This Row],[Desconto]])</f>
        <v>3006.9599999999996</v>
      </c>
      <c r="N7752" t="str">
        <f>IFERROR(INDEX(tProdutos[Foco],MATCH(tItens[[#This Row],[Produto]],tProdutos[Produto],0)),"Não")</f>
        <v>Sim</v>
      </c>
      <c r="O7752" t="str">
        <f>IFERROR(INDEX(tEditais[SRP],MATCH(tItens[[#This Row],[Edital]],tEditais[Edital],0)),"Não")</f>
        <v>Não</v>
      </c>
      <c r="P7752" s="4">
        <f>IF(COUNTIFS(INDEX(tItens[Edital],1):tItens[[#This Row],[Edital]],tItens[[#This Row],[Edital]],INDEX(tItens[Produto],1):tItens[[#This Row],[Produto]],tItens[[#This Row],[Produto]])=1,1,0)</f>
        <v>0</v>
      </c>
    </row>
    <row r="7753" spans="1:16" x14ac:dyDescent="0.25">
      <c r="A7753" t="s">
        <v>2572</v>
      </c>
      <c r="B7753">
        <v>90</v>
      </c>
      <c r="C7753" t="s">
        <v>10320</v>
      </c>
      <c r="D7753" t="s">
        <v>411</v>
      </c>
      <c r="E7753" s="13">
        <v>8</v>
      </c>
      <c r="F7753" s="12">
        <v>34.58</v>
      </c>
      <c r="G7753" t="str">
        <f>IFERROR(INDEX(tEditais[Órgão],MATCH(tItens[[#This Row],[Edital]],tEditais[Edital],0)),"")</f>
        <v>MUNICIPIO DE NOVO CABRAIS</v>
      </c>
      <c r="H7753" t="str">
        <f>IFERROR(INDEX(tEditais[UF],MATCH(tItens[[#This Row],[Edital]],tEditais[Edital],0)),"")</f>
        <v>RS</v>
      </c>
      <c r="I7753" s="11">
        <f>IFERROR(INDEX(tEditais[Encerramento],MATCH(tItens[[#This Row],[Edital]],tEditais[Edital],0)),"")</f>
        <v>46310.354166666664</v>
      </c>
      <c r="J7753" t="str">
        <f>IFERROR(INDEX(tProdutos[Classe],MATCH(tItens[[#This Row],[Produto]],tProdutos[Produto],0)),"produto não cadastrado")</f>
        <v>FORA</v>
      </c>
      <c r="K7753" s="12">
        <f>tItens[[#This Row],[Qtd]]*tItens[[#This Row],[Vlr unit]]</f>
        <v>276.64</v>
      </c>
      <c r="L7753" s="6">
        <f>IFERROR(IF(INDEX(tProdutos[Desconto homologado],MATCH(tItens[[#This Row],[Produto]],tProdutos[Produto],0))="",DescontoPadrao,INDEX(tProdutos[Desconto homologado],MATCH(tItens[[#This Row],[Produto]],tProdutos[Produto],0))),DescontoPadrao)</f>
        <v>0.50029835957199398</v>
      </c>
      <c r="M7753" s="12">
        <f>tItens[[#This Row],[Valor]]*(1-tItens[[#This Row],[Desconto]])</f>
        <v>138.23746180800359</v>
      </c>
      <c r="N7753" t="str">
        <f>IFERROR(INDEX(tProdutos[Foco],MATCH(tItens[[#This Row],[Produto]],tProdutos[Produto],0)),"Não")</f>
        <v>Não</v>
      </c>
      <c r="O7753" t="str">
        <f>IFERROR(INDEX(tEditais[SRP],MATCH(tItens[[#This Row],[Edital]],tEditais[Edital],0)),"Não")</f>
        <v>Não</v>
      </c>
      <c r="P7753" s="4">
        <f>IF(COUNTIFS(INDEX(tItens[Edital],1):tItens[[#This Row],[Edital]],tItens[[#This Row],[Edital]],INDEX(tItens[Produto],1):tItens[[#This Row],[Produto]],tItens[[#This Row],[Produto]])=1,1,0)</f>
        <v>1</v>
      </c>
    </row>
    <row r="7754" spans="1:16" x14ac:dyDescent="0.25">
      <c r="A7754" t="s">
        <v>2572</v>
      </c>
      <c r="B7754">
        <v>92</v>
      </c>
      <c r="C7754" t="s">
        <v>10321</v>
      </c>
      <c r="D7754" t="s">
        <v>56</v>
      </c>
      <c r="E7754" s="13">
        <v>10</v>
      </c>
      <c r="F7754" s="12">
        <v>29.86</v>
      </c>
      <c r="G7754" t="str">
        <f>IFERROR(INDEX(tEditais[Órgão],MATCH(tItens[[#This Row],[Edital]],tEditais[Edital],0)),"")</f>
        <v>MUNICIPIO DE NOVO CABRAIS</v>
      </c>
      <c r="H7754" t="str">
        <f>IFERROR(INDEX(tEditais[UF],MATCH(tItens[[#This Row],[Edital]],tEditais[Edital],0)),"")</f>
        <v>RS</v>
      </c>
      <c r="I7754" s="11">
        <f>IFERROR(INDEX(tEditais[Encerramento],MATCH(tItens[[#This Row],[Edital]],tEditais[Edital],0)),"")</f>
        <v>46310.354166666664</v>
      </c>
      <c r="J7754" t="str">
        <f>IFERROR(INDEX(tProdutos[Classe],MATCH(tItens[[#This Row],[Produto]],tProdutos[Produto],0)),"produto não cadastrado")</f>
        <v>NÚCLEO</v>
      </c>
      <c r="K7754" s="12">
        <f>tItens[[#This Row],[Qtd]]*tItens[[#This Row],[Vlr unit]]</f>
        <v>298.60000000000002</v>
      </c>
      <c r="L7754" s="6">
        <f>IFERROR(IF(INDEX(tProdutos[Desconto homologado],MATCH(tItens[[#This Row],[Produto]],tProdutos[Produto],0))="",DescontoPadrao,INDEX(tProdutos[Desconto homologado],MATCH(tItens[[#This Row],[Produto]],tProdutos[Produto],0))),DescontoPadrao)</f>
        <v>0.34</v>
      </c>
      <c r="M7754" s="12">
        <f>tItens[[#This Row],[Valor]]*(1-tItens[[#This Row],[Desconto]])</f>
        <v>197.07599999999999</v>
      </c>
      <c r="N7754" t="str">
        <f>IFERROR(INDEX(tProdutos[Foco],MATCH(tItens[[#This Row],[Produto]],tProdutos[Produto],0)),"Não")</f>
        <v>Sim</v>
      </c>
      <c r="O7754" t="str">
        <f>IFERROR(INDEX(tEditais[SRP],MATCH(tItens[[#This Row],[Edital]],tEditais[Edital],0)),"Não")</f>
        <v>Não</v>
      </c>
      <c r="P7754" s="4">
        <f>IF(COUNTIFS(INDEX(tItens[Edital],1):tItens[[#This Row],[Edital]],tItens[[#This Row],[Edital]],INDEX(tItens[Produto],1):tItens[[#This Row],[Produto]],tItens[[#This Row],[Produto]])=1,1,0)</f>
        <v>1</v>
      </c>
    </row>
    <row r="7755" spans="1:16" x14ac:dyDescent="0.25">
      <c r="A7755" t="s">
        <v>2572</v>
      </c>
      <c r="B7755">
        <v>94</v>
      </c>
      <c r="C7755" t="s">
        <v>10322</v>
      </c>
      <c r="D7755" t="s">
        <v>277</v>
      </c>
      <c r="E7755" s="13">
        <v>40</v>
      </c>
      <c r="F7755" s="12">
        <v>15.98</v>
      </c>
      <c r="G7755" t="str">
        <f>IFERROR(INDEX(tEditais[Órgão],MATCH(tItens[[#This Row],[Edital]],tEditais[Edital],0)),"")</f>
        <v>MUNICIPIO DE NOVO CABRAIS</v>
      </c>
      <c r="H7755" t="str">
        <f>IFERROR(INDEX(tEditais[UF],MATCH(tItens[[#This Row],[Edital]],tEditais[Edital],0)),"")</f>
        <v>RS</v>
      </c>
      <c r="I7755" s="11">
        <f>IFERROR(INDEX(tEditais[Encerramento],MATCH(tItens[[#This Row],[Edital]],tEditais[Edital],0)),"")</f>
        <v>46310.354166666664</v>
      </c>
      <c r="J7755" t="str">
        <f>IFERROR(INDEX(tProdutos[Classe],MATCH(tItens[[#This Row],[Produto]],tProdutos[Produto],0)),"produto não cadastrado")</f>
        <v>DISPUTADO</v>
      </c>
      <c r="K7755" s="12">
        <f>tItens[[#This Row],[Qtd]]*tItens[[#This Row],[Vlr unit]]</f>
        <v>639.20000000000005</v>
      </c>
      <c r="L7755" s="6">
        <f>IFERROR(IF(INDEX(tProdutos[Desconto homologado],MATCH(tItens[[#This Row],[Produto]],tProdutos[Produto],0))="",DescontoPadrao,INDEX(tProdutos[Desconto homologado],MATCH(tItens[[#This Row],[Produto]],tProdutos[Produto],0))),DescontoPadrao)</f>
        <v>0.50460666194188497</v>
      </c>
      <c r="M7755" s="12">
        <f>tItens[[#This Row],[Valor]]*(1-tItens[[#This Row],[Desconto]])</f>
        <v>316.65542168674716</v>
      </c>
      <c r="N7755" t="str">
        <f>IFERROR(INDEX(tProdutos[Foco],MATCH(tItens[[#This Row],[Produto]],tProdutos[Produto],0)),"Não")</f>
        <v>Não</v>
      </c>
      <c r="O7755" t="str">
        <f>IFERROR(INDEX(tEditais[SRP],MATCH(tItens[[#This Row],[Edital]],tEditais[Edital],0)),"Não")</f>
        <v>Não</v>
      </c>
      <c r="P7755" s="4">
        <f>IF(COUNTIFS(INDEX(tItens[Edital],1):tItens[[#This Row],[Edital]],tItens[[#This Row],[Edital]],INDEX(tItens[Produto],1):tItens[[#This Row],[Produto]],tItens[[#This Row],[Produto]])=1,1,0)</f>
        <v>1</v>
      </c>
    </row>
    <row r="7756" spans="1:16" x14ac:dyDescent="0.25">
      <c r="A7756" t="s">
        <v>2572</v>
      </c>
      <c r="B7756">
        <v>97</v>
      </c>
      <c r="C7756" t="s">
        <v>10323</v>
      </c>
      <c r="D7756" t="s">
        <v>267</v>
      </c>
      <c r="E7756" s="13">
        <v>300</v>
      </c>
      <c r="F7756" s="12">
        <v>7.72</v>
      </c>
      <c r="G7756" t="str">
        <f>IFERROR(INDEX(tEditais[Órgão],MATCH(tItens[[#This Row],[Edital]],tEditais[Edital],0)),"")</f>
        <v>MUNICIPIO DE NOVO CABRAIS</v>
      </c>
      <c r="H7756" t="str">
        <f>IFERROR(INDEX(tEditais[UF],MATCH(tItens[[#This Row],[Edital]],tEditais[Edital],0)),"")</f>
        <v>RS</v>
      </c>
      <c r="I7756" s="11">
        <f>IFERROR(INDEX(tEditais[Encerramento],MATCH(tItens[[#This Row],[Edital]],tEditais[Edital],0)),"")</f>
        <v>46310.354166666664</v>
      </c>
      <c r="J7756" t="str">
        <f>IFERROR(INDEX(tProdutos[Classe],MATCH(tItens[[#This Row],[Produto]],tProdutos[Produto],0)),"produto não cadastrado")</f>
        <v>FORA</v>
      </c>
      <c r="K7756" s="12">
        <f>tItens[[#This Row],[Qtd]]*tItens[[#This Row],[Vlr unit]]</f>
        <v>2316</v>
      </c>
      <c r="L7756" s="6">
        <f>IFERROR(IF(INDEX(tProdutos[Desconto homologado],MATCH(tItens[[#This Row],[Produto]],tProdutos[Produto],0))="",DescontoPadrao,INDEX(tProdutos[Desconto homologado],MATCH(tItens[[#This Row],[Produto]],tProdutos[Produto],0))),DescontoPadrao)</f>
        <v>0.19963672657401599</v>
      </c>
      <c r="M7756" s="12">
        <f>tItens[[#This Row],[Valor]]*(1-tItens[[#This Row],[Desconto]])</f>
        <v>1853.6413412545789</v>
      </c>
      <c r="N7756" t="str">
        <f>IFERROR(INDEX(tProdutos[Foco],MATCH(tItens[[#This Row],[Produto]],tProdutos[Produto],0)),"Não")</f>
        <v>Não</v>
      </c>
      <c r="O7756" t="str">
        <f>IFERROR(INDEX(tEditais[SRP],MATCH(tItens[[#This Row],[Edital]],tEditais[Edital],0)),"Não")</f>
        <v>Não</v>
      </c>
      <c r="P7756" s="4">
        <f>IF(COUNTIFS(INDEX(tItens[Edital],1):tItens[[#This Row],[Edital]],tItens[[#This Row],[Edital]],INDEX(tItens[Produto],1):tItens[[#This Row],[Produto]],tItens[[#This Row],[Produto]])=1,1,0)</f>
        <v>1</v>
      </c>
    </row>
    <row r="7757" spans="1:16" x14ac:dyDescent="0.25">
      <c r="A7757" t="s">
        <v>2572</v>
      </c>
      <c r="B7757">
        <v>98</v>
      </c>
      <c r="C7757" t="s">
        <v>10324</v>
      </c>
      <c r="D7757" t="s">
        <v>267</v>
      </c>
      <c r="E7757" s="13">
        <v>20</v>
      </c>
      <c r="F7757" s="12">
        <v>17.510000000000002</v>
      </c>
      <c r="G7757" t="str">
        <f>IFERROR(INDEX(tEditais[Órgão],MATCH(tItens[[#This Row],[Edital]],tEditais[Edital],0)),"")</f>
        <v>MUNICIPIO DE NOVO CABRAIS</v>
      </c>
      <c r="H7757" t="str">
        <f>IFERROR(INDEX(tEditais[UF],MATCH(tItens[[#This Row],[Edital]],tEditais[Edital],0)),"")</f>
        <v>RS</v>
      </c>
      <c r="I7757" s="11">
        <f>IFERROR(INDEX(tEditais[Encerramento],MATCH(tItens[[#This Row],[Edital]],tEditais[Edital],0)),"")</f>
        <v>46310.354166666664</v>
      </c>
      <c r="J7757" t="str">
        <f>IFERROR(INDEX(tProdutos[Classe],MATCH(tItens[[#This Row],[Produto]],tProdutos[Produto],0)),"produto não cadastrado")</f>
        <v>FORA</v>
      </c>
      <c r="K7757" s="12">
        <f>tItens[[#This Row],[Qtd]]*tItens[[#This Row],[Vlr unit]]</f>
        <v>350.20000000000005</v>
      </c>
      <c r="L7757" s="6">
        <f>IFERROR(IF(INDEX(tProdutos[Desconto homologado],MATCH(tItens[[#This Row],[Produto]],tProdutos[Produto],0))="",DescontoPadrao,INDEX(tProdutos[Desconto homologado],MATCH(tItens[[#This Row],[Produto]],tProdutos[Produto],0))),DescontoPadrao)</f>
        <v>0.19963672657401599</v>
      </c>
      <c r="M7757" s="12">
        <f>tItens[[#This Row],[Valor]]*(1-tItens[[#This Row],[Desconto]])</f>
        <v>280.28721835377962</v>
      </c>
      <c r="N7757" t="str">
        <f>IFERROR(INDEX(tProdutos[Foco],MATCH(tItens[[#This Row],[Produto]],tProdutos[Produto],0)),"Não")</f>
        <v>Não</v>
      </c>
      <c r="O7757" t="str">
        <f>IFERROR(INDEX(tEditais[SRP],MATCH(tItens[[#This Row],[Edital]],tEditais[Edital],0)),"Não")</f>
        <v>Não</v>
      </c>
      <c r="P7757" s="4">
        <f>IF(COUNTIFS(INDEX(tItens[Edital],1):tItens[[#This Row],[Edital]],tItens[[#This Row],[Edital]],INDEX(tItens[Produto],1):tItens[[#This Row],[Produto]],tItens[[#This Row],[Produto]])=1,1,0)</f>
        <v>0</v>
      </c>
    </row>
    <row r="7758" spans="1:16" x14ac:dyDescent="0.25">
      <c r="A7758" t="s">
        <v>2572</v>
      </c>
      <c r="B7758">
        <v>100</v>
      </c>
      <c r="C7758" t="s">
        <v>10325</v>
      </c>
      <c r="D7758" t="s">
        <v>343</v>
      </c>
      <c r="E7758" s="13">
        <v>550</v>
      </c>
      <c r="F7758" s="12">
        <v>1.34</v>
      </c>
      <c r="G7758" t="str">
        <f>IFERROR(INDEX(tEditais[Órgão],MATCH(tItens[[#This Row],[Edital]],tEditais[Edital],0)),"")</f>
        <v>MUNICIPIO DE NOVO CABRAIS</v>
      </c>
      <c r="H7758" t="str">
        <f>IFERROR(INDEX(tEditais[UF],MATCH(tItens[[#This Row],[Edital]],tEditais[Edital],0)),"")</f>
        <v>RS</v>
      </c>
      <c r="I7758" s="11">
        <f>IFERROR(INDEX(tEditais[Encerramento],MATCH(tItens[[#This Row],[Edital]],tEditais[Edital],0)),"")</f>
        <v>46310.354166666664</v>
      </c>
      <c r="J7758" t="str">
        <f>IFERROR(INDEX(tProdutos[Classe],MATCH(tItens[[#This Row],[Produto]],tProdutos[Produto],0)),"produto não cadastrado")</f>
        <v>FORA</v>
      </c>
      <c r="K7758" s="12">
        <f>tItens[[#This Row],[Qtd]]*tItens[[#This Row],[Vlr unit]]</f>
        <v>737</v>
      </c>
      <c r="L7758" s="6">
        <f>IFERROR(IF(INDEX(tProdutos[Desconto homologado],MATCH(tItens[[#This Row],[Produto]],tProdutos[Produto],0))="",DescontoPadrao,INDEX(tProdutos[Desconto homologado],MATCH(tItens[[#This Row],[Produto]],tProdutos[Produto],0))),DescontoPadrao)</f>
        <v>0.35412234042553198</v>
      </c>
      <c r="M7758" s="12">
        <f>tItens[[#This Row],[Valor]]*(1-tItens[[#This Row],[Desconto]])</f>
        <v>476.01183510638288</v>
      </c>
      <c r="N7758" t="str">
        <f>IFERROR(INDEX(tProdutos[Foco],MATCH(tItens[[#This Row],[Produto]],tProdutos[Produto],0)),"Não")</f>
        <v>Não</v>
      </c>
      <c r="O7758" t="str">
        <f>IFERROR(INDEX(tEditais[SRP],MATCH(tItens[[#This Row],[Edital]],tEditais[Edital],0)),"Não")</f>
        <v>Não</v>
      </c>
      <c r="P7758" s="4">
        <f>IF(COUNTIFS(INDEX(tItens[Edital],1):tItens[[#This Row],[Edital]],tItens[[#This Row],[Edital]],INDEX(tItens[Produto],1):tItens[[#This Row],[Produto]],tItens[[#This Row],[Produto]])=1,1,0)</f>
        <v>1</v>
      </c>
    </row>
    <row r="7759" spans="1:16" x14ac:dyDescent="0.25">
      <c r="A7759" t="s">
        <v>2572</v>
      </c>
      <c r="B7759">
        <v>101</v>
      </c>
      <c r="C7759" t="s">
        <v>10326</v>
      </c>
      <c r="D7759" t="s">
        <v>313</v>
      </c>
      <c r="E7759" s="13">
        <v>700</v>
      </c>
      <c r="F7759" s="12">
        <v>20.77</v>
      </c>
      <c r="G7759" t="str">
        <f>IFERROR(INDEX(tEditais[Órgão],MATCH(tItens[[#This Row],[Edital]],tEditais[Edital],0)),"")</f>
        <v>MUNICIPIO DE NOVO CABRAIS</v>
      </c>
      <c r="H7759" t="str">
        <f>IFERROR(INDEX(tEditais[UF],MATCH(tItens[[#This Row],[Edital]],tEditais[Edital],0)),"")</f>
        <v>RS</v>
      </c>
      <c r="I7759" s="11">
        <f>IFERROR(INDEX(tEditais[Encerramento],MATCH(tItens[[#This Row],[Edital]],tEditais[Edital],0)),"")</f>
        <v>46310.354166666664</v>
      </c>
      <c r="J7759" t="str">
        <f>IFERROR(INDEX(tProdutos[Classe],MATCH(tItens[[#This Row],[Produto]],tProdutos[Produto],0)),"produto não cadastrado")</f>
        <v>FORA</v>
      </c>
      <c r="K7759" s="12">
        <f>tItens[[#This Row],[Qtd]]*tItens[[#This Row],[Vlr unit]]</f>
        <v>14539</v>
      </c>
      <c r="L7759" s="6">
        <f>IFERROR(IF(INDEX(tProdutos[Desconto homologado],MATCH(tItens[[#This Row],[Produto]],tProdutos[Produto],0))="",DescontoPadrao,INDEX(tProdutos[Desconto homologado],MATCH(tItens[[#This Row],[Produto]],tProdutos[Produto],0))),DescontoPadrao)</f>
        <v>0.35766373163696302</v>
      </c>
      <c r="M7759" s="12">
        <f>tItens[[#This Row],[Valor]]*(1-tItens[[#This Row],[Desconto]])</f>
        <v>9338.9270057301947</v>
      </c>
      <c r="N7759" t="str">
        <f>IFERROR(INDEX(tProdutos[Foco],MATCH(tItens[[#This Row],[Produto]],tProdutos[Produto],0)),"Não")</f>
        <v>Não</v>
      </c>
      <c r="O7759" t="str">
        <f>IFERROR(INDEX(tEditais[SRP],MATCH(tItens[[#This Row],[Edital]],tEditais[Edital],0)),"Não")</f>
        <v>Não</v>
      </c>
      <c r="P7759" s="4">
        <f>IF(COUNTIFS(INDEX(tItens[Edital],1):tItens[[#This Row],[Edital]],tItens[[#This Row],[Edital]],INDEX(tItens[Produto],1):tItens[[#This Row],[Produto]],tItens[[#This Row],[Produto]])=1,1,0)</f>
        <v>1</v>
      </c>
    </row>
    <row r="7760" spans="1:16" x14ac:dyDescent="0.25">
      <c r="A7760" t="s">
        <v>2572</v>
      </c>
      <c r="B7760">
        <v>104</v>
      </c>
      <c r="C7760" t="s">
        <v>10327</v>
      </c>
      <c r="D7760" t="s">
        <v>257</v>
      </c>
      <c r="E7760" s="13">
        <v>10</v>
      </c>
      <c r="F7760" s="12">
        <v>6.58</v>
      </c>
      <c r="G7760" t="str">
        <f>IFERROR(INDEX(tEditais[Órgão],MATCH(tItens[[#This Row],[Edital]],tEditais[Edital],0)),"")</f>
        <v>MUNICIPIO DE NOVO CABRAIS</v>
      </c>
      <c r="H7760" t="str">
        <f>IFERROR(INDEX(tEditais[UF],MATCH(tItens[[#This Row],[Edital]],tEditais[Edital],0)),"")</f>
        <v>RS</v>
      </c>
      <c r="I7760" s="11">
        <f>IFERROR(INDEX(tEditais[Encerramento],MATCH(tItens[[#This Row],[Edital]],tEditais[Edital],0)),"")</f>
        <v>46310.354166666664</v>
      </c>
      <c r="J7760" t="str">
        <f>IFERROR(INDEX(tProdutos[Classe],MATCH(tItens[[#This Row],[Produto]],tProdutos[Produto],0)),"produto não cadastrado")</f>
        <v>FORA</v>
      </c>
      <c r="K7760" s="12">
        <f>tItens[[#This Row],[Qtd]]*tItens[[#This Row],[Vlr unit]]</f>
        <v>65.8</v>
      </c>
      <c r="L7760" s="6">
        <f>IFERROR(IF(INDEX(tProdutos[Desconto homologado],MATCH(tItens[[#This Row],[Produto]],tProdutos[Produto],0))="",DescontoPadrao,INDEX(tProdutos[Desconto homologado],MATCH(tItens[[#This Row],[Produto]],tProdutos[Produto],0))),DescontoPadrao)</f>
        <v>0.500812004991805</v>
      </c>
      <c r="M7760" s="12">
        <f>tItens[[#This Row],[Valor]]*(1-tItens[[#This Row],[Desconto]])</f>
        <v>32.846570071539226</v>
      </c>
      <c r="N7760" t="str">
        <f>IFERROR(INDEX(tProdutos[Foco],MATCH(tItens[[#This Row],[Produto]],tProdutos[Produto],0)),"Não")</f>
        <v>Não</v>
      </c>
      <c r="O7760" t="str">
        <f>IFERROR(INDEX(tEditais[SRP],MATCH(tItens[[#This Row],[Edital]],tEditais[Edital],0)),"Não")</f>
        <v>Não</v>
      </c>
      <c r="P7760" s="4">
        <f>IF(COUNTIFS(INDEX(tItens[Edital],1):tItens[[#This Row],[Edital]],tItens[[#This Row],[Edital]],INDEX(tItens[Produto],1):tItens[[#This Row],[Produto]],tItens[[#This Row],[Produto]])=1,1,0)</f>
        <v>1</v>
      </c>
    </row>
    <row r="7761" spans="1:16" x14ac:dyDescent="0.25">
      <c r="A7761" t="s">
        <v>2572</v>
      </c>
      <c r="B7761">
        <v>106</v>
      </c>
      <c r="C7761" t="s">
        <v>10328</v>
      </c>
      <c r="D7761" t="s">
        <v>170</v>
      </c>
      <c r="E7761" s="13">
        <v>28</v>
      </c>
      <c r="F7761" s="12">
        <v>16.559999999999999</v>
      </c>
      <c r="G7761" t="str">
        <f>IFERROR(INDEX(tEditais[Órgão],MATCH(tItens[[#This Row],[Edital]],tEditais[Edital],0)),"")</f>
        <v>MUNICIPIO DE NOVO CABRAIS</v>
      </c>
      <c r="H7761" t="str">
        <f>IFERROR(INDEX(tEditais[UF],MATCH(tItens[[#This Row],[Edital]],tEditais[Edital],0)),"")</f>
        <v>RS</v>
      </c>
      <c r="I7761" s="11">
        <f>IFERROR(INDEX(tEditais[Encerramento],MATCH(tItens[[#This Row],[Edital]],tEditais[Edital],0)),"")</f>
        <v>46310.354166666664</v>
      </c>
      <c r="J7761" t="str">
        <f>IFERROR(INDEX(tProdutos[Classe],MATCH(tItens[[#This Row],[Produto]],tProdutos[Produto],0)),"produto não cadastrado")</f>
        <v>DISPUTADO</v>
      </c>
      <c r="K7761" s="12">
        <f>tItens[[#This Row],[Qtd]]*tItens[[#This Row],[Vlr unit]]</f>
        <v>463.67999999999995</v>
      </c>
      <c r="L7761" s="6">
        <f>IFERROR(IF(INDEX(tProdutos[Desconto homologado],MATCH(tItens[[#This Row],[Produto]],tProdutos[Produto],0))="",DescontoPadrao,INDEX(tProdutos[Desconto homologado],MATCH(tItens[[#This Row],[Produto]],tProdutos[Produto],0))),DescontoPadrao)</f>
        <v>0.36</v>
      </c>
      <c r="M7761" s="12">
        <f>tItens[[#This Row],[Valor]]*(1-tItens[[#This Row],[Desconto]])</f>
        <v>296.7552</v>
      </c>
      <c r="N7761" t="str">
        <f>IFERROR(INDEX(tProdutos[Foco],MATCH(tItens[[#This Row],[Produto]],tProdutos[Produto],0)),"Não")</f>
        <v>Sim</v>
      </c>
      <c r="O7761" t="str">
        <f>IFERROR(INDEX(tEditais[SRP],MATCH(tItens[[#This Row],[Edital]],tEditais[Edital],0)),"Não")</f>
        <v>Não</v>
      </c>
      <c r="P7761" s="4">
        <f>IF(COUNTIFS(INDEX(tItens[Edital],1):tItens[[#This Row],[Edital]],tItens[[#This Row],[Edital]],INDEX(tItens[Produto],1):tItens[[#This Row],[Produto]],tItens[[#This Row],[Produto]])=1,1,0)</f>
        <v>1</v>
      </c>
    </row>
    <row r="7762" spans="1:16" x14ac:dyDescent="0.25">
      <c r="A7762" t="s">
        <v>2572</v>
      </c>
      <c r="B7762">
        <v>107</v>
      </c>
      <c r="C7762" t="s">
        <v>10329</v>
      </c>
      <c r="D7762" t="s">
        <v>403</v>
      </c>
      <c r="E7762" s="13">
        <v>200</v>
      </c>
      <c r="F7762" s="12">
        <v>1.23</v>
      </c>
      <c r="G7762" t="str">
        <f>IFERROR(INDEX(tEditais[Órgão],MATCH(tItens[[#This Row],[Edital]],tEditais[Edital],0)),"")</f>
        <v>MUNICIPIO DE NOVO CABRAIS</v>
      </c>
      <c r="H7762" t="str">
        <f>IFERROR(INDEX(tEditais[UF],MATCH(tItens[[#This Row],[Edital]],tEditais[Edital],0)),"")</f>
        <v>RS</v>
      </c>
      <c r="I7762" s="11">
        <f>IFERROR(INDEX(tEditais[Encerramento],MATCH(tItens[[#This Row],[Edital]],tEditais[Edital],0)),"")</f>
        <v>46310.354166666664</v>
      </c>
      <c r="J7762" t="str">
        <f>IFERROR(INDEX(tProdutos[Classe],MATCH(tItens[[#This Row],[Produto]],tProdutos[Produto],0)),"produto não cadastrado")</f>
        <v>FORA</v>
      </c>
      <c r="K7762" s="12">
        <f>tItens[[#This Row],[Qtd]]*tItens[[#This Row],[Vlr unit]]</f>
        <v>246</v>
      </c>
      <c r="L7762" s="6">
        <f>IFERROR(IF(INDEX(tProdutos[Desconto homologado],MATCH(tItens[[#This Row],[Produto]],tProdutos[Produto],0))="",DescontoPadrao,INDEX(tProdutos[Desconto homologado],MATCH(tItens[[#This Row],[Produto]],tProdutos[Produto],0))),DescontoPadrao)</f>
        <v>0.35326086956521702</v>
      </c>
      <c r="M7762" s="12">
        <f>tItens[[#This Row],[Valor]]*(1-tItens[[#This Row],[Desconto]])</f>
        <v>159.09782608695659</v>
      </c>
      <c r="N7762" t="str">
        <f>IFERROR(INDEX(tProdutos[Foco],MATCH(tItens[[#This Row],[Produto]],tProdutos[Produto],0)),"Não")</f>
        <v>Não</v>
      </c>
      <c r="O7762" t="str">
        <f>IFERROR(INDEX(tEditais[SRP],MATCH(tItens[[#This Row],[Edital]],tEditais[Edital],0)),"Não")</f>
        <v>Não</v>
      </c>
      <c r="P7762" s="4">
        <f>IF(COUNTIFS(INDEX(tItens[Edital],1):tItens[[#This Row],[Edital]],tItens[[#This Row],[Edital]],INDEX(tItens[Produto],1):tItens[[#This Row],[Produto]],tItens[[#This Row],[Produto]])=1,1,0)</f>
        <v>1</v>
      </c>
    </row>
    <row r="7763" spans="1:16" x14ac:dyDescent="0.25">
      <c r="A7763" t="s">
        <v>2572</v>
      </c>
      <c r="B7763">
        <v>114</v>
      </c>
      <c r="C7763" t="s">
        <v>10330</v>
      </c>
      <c r="D7763" t="s">
        <v>494</v>
      </c>
      <c r="E7763" s="13">
        <v>11</v>
      </c>
      <c r="F7763" s="12">
        <v>90.11</v>
      </c>
      <c r="G7763" t="str">
        <f>IFERROR(INDEX(tEditais[Órgão],MATCH(tItens[[#This Row],[Edital]],tEditais[Edital],0)),"")</f>
        <v>MUNICIPIO DE NOVO CABRAIS</v>
      </c>
      <c r="H7763" t="str">
        <f>IFERROR(INDEX(tEditais[UF],MATCH(tItens[[#This Row],[Edital]],tEditais[Edital],0)),"")</f>
        <v>RS</v>
      </c>
      <c r="I7763" s="11">
        <f>IFERROR(INDEX(tEditais[Encerramento],MATCH(tItens[[#This Row],[Edital]],tEditais[Edital],0)),"")</f>
        <v>46310.354166666664</v>
      </c>
      <c r="J7763" t="str">
        <f>IFERROR(INDEX(tProdutos[Classe],MATCH(tItens[[#This Row],[Produto]],tProdutos[Produto],0)),"produto não cadastrado")</f>
        <v>FILA REBASE</v>
      </c>
      <c r="K7763" s="12">
        <f>tItens[[#This Row],[Qtd]]*tItens[[#This Row],[Vlr unit]]</f>
        <v>991.21</v>
      </c>
      <c r="L7763" s="6">
        <f>IFERROR(IF(INDEX(tProdutos[Desconto homologado],MATCH(tItens[[#This Row],[Produto]],tProdutos[Produto],0))="",DescontoPadrao,INDEX(tProdutos[Desconto homologado],MATCH(tItens[[#This Row],[Produto]],tProdutos[Produto],0))),DescontoPadrao)</f>
        <v>0.253736324829619</v>
      </c>
      <c r="M7763" s="12">
        <f>tItens[[#This Row],[Valor]]*(1-tItens[[#This Row],[Desconto]])</f>
        <v>739.70401746563346</v>
      </c>
      <c r="N7763" t="str">
        <f>IFERROR(INDEX(tProdutos[Foco],MATCH(tItens[[#This Row],[Produto]],tProdutos[Produto],0)),"Não")</f>
        <v>Não</v>
      </c>
      <c r="O7763" t="str">
        <f>IFERROR(INDEX(tEditais[SRP],MATCH(tItens[[#This Row],[Edital]],tEditais[Edital],0)),"Não")</f>
        <v>Não</v>
      </c>
      <c r="P7763" s="4">
        <f>IF(COUNTIFS(INDEX(tItens[Edital],1):tItens[[#This Row],[Edital]],tItens[[#This Row],[Edital]],INDEX(tItens[Produto],1):tItens[[#This Row],[Produto]],tItens[[#This Row],[Produto]])=1,1,0)</f>
        <v>1</v>
      </c>
    </row>
    <row r="7764" spans="1:16" x14ac:dyDescent="0.25">
      <c r="A7764" t="s">
        <v>2572</v>
      </c>
      <c r="B7764">
        <v>126</v>
      </c>
      <c r="C7764" t="s">
        <v>10331</v>
      </c>
      <c r="D7764" t="s">
        <v>281</v>
      </c>
      <c r="E7764" s="13">
        <v>3000</v>
      </c>
      <c r="F7764" s="12">
        <v>0.26</v>
      </c>
      <c r="G7764" t="str">
        <f>IFERROR(INDEX(tEditais[Órgão],MATCH(tItens[[#This Row],[Edital]],tEditais[Edital],0)),"")</f>
        <v>MUNICIPIO DE NOVO CABRAIS</v>
      </c>
      <c r="H7764" t="str">
        <f>IFERROR(INDEX(tEditais[UF],MATCH(tItens[[#This Row],[Edital]],tEditais[Edital],0)),"")</f>
        <v>RS</v>
      </c>
      <c r="I7764" s="11">
        <f>IFERROR(INDEX(tEditais[Encerramento],MATCH(tItens[[#This Row],[Edital]],tEditais[Edital],0)),"")</f>
        <v>46310.354166666664</v>
      </c>
      <c r="J7764" t="str">
        <f>IFERROR(INDEX(tProdutos[Classe],MATCH(tItens[[#This Row],[Produto]],tProdutos[Produto],0)),"produto não cadastrado")</f>
        <v>DISPUTADO</v>
      </c>
      <c r="K7764" s="12">
        <f>tItens[[#This Row],[Qtd]]*tItens[[#This Row],[Vlr unit]]</f>
        <v>780</v>
      </c>
      <c r="L7764" s="6">
        <f>IFERROR(IF(INDEX(tProdutos[Desconto homologado],MATCH(tItens[[#This Row],[Produto]],tProdutos[Produto],0))="",DescontoPadrao,INDEX(tProdutos[Desconto homologado],MATCH(tItens[[#This Row],[Produto]],tProdutos[Produto],0))),DescontoPadrao)</f>
        <v>0.42461538461538501</v>
      </c>
      <c r="M7764" s="12">
        <f>tItens[[#This Row],[Valor]]*(1-tItens[[#This Row],[Desconto]])</f>
        <v>448.79999999999967</v>
      </c>
      <c r="N7764" t="str">
        <f>IFERROR(INDEX(tProdutos[Foco],MATCH(tItens[[#This Row],[Produto]],tProdutos[Produto],0)),"Não")</f>
        <v>Não</v>
      </c>
      <c r="O7764" t="str">
        <f>IFERROR(INDEX(tEditais[SRP],MATCH(tItens[[#This Row],[Edital]],tEditais[Edital],0)),"Não")</f>
        <v>Não</v>
      </c>
      <c r="P7764" s="4">
        <f>IF(COUNTIFS(INDEX(tItens[Edital],1):tItens[[#This Row],[Edital]],tItens[[#This Row],[Edital]],INDEX(tItens[Produto],1):tItens[[#This Row],[Produto]],tItens[[#This Row],[Produto]])=1,1,0)</f>
        <v>1</v>
      </c>
    </row>
    <row r="7765" spans="1:16" x14ac:dyDescent="0.25">
      <c r="A7765" t="s">
        <v>2572</v>
      </c>
      <c r="B7765">
        <v>127</v>
      </c>
      <c r="C7765" t="s">
        <v>10332</v>
      </c>
      <c r="D7765" t="s">
        <v>289</v>
      </c>
      <c r="E7765" s="13">
        <v>2200</v>
      </c>
      <c r="F7765" s="12">
        <v>0.42</v>
      </c>
      <c r="G7765" t="str">
        <f>IFERROR(INDEX(tEditais[Órgão],MATCH(tItens[[#This Row],[Edital]],tEditais[Edital],0)),"")</f>
        <v>MUNICIPIO DE NOVO CABRAIS</v>
      </c>
      <c r="H7765" t="str">
        <f>IFERROR(INDEX(tEditais[UF],MATCH(tItens[[#This Row],[Edital]],tEditais[Edital],0)),"")</f>
        <v>RS</v>
      </c>
      <c r="I7765" s="11">
        <f>IFERROR(INDEX(tEditais[Encerramento],MATCH(tItens[[#This Row],[Edital]],tEditais[Edital],0)),"")</f>
        <v>46310.354166666664</v>
      </c>
      <c r="J7765" t="str">
        <f>IFERROR(INDEX(tProdutos[Classe],MATCH(tItens[[#This Row],[Produto]],tProdutos[Produto],0)),"produto não cadastrado")</f>
        <v>DISPUTADO</v>
      </c>
      <c r="K7765" s="12">
        <f>tItens[[#This Row],[Qtd]]*tItens[[#This Row],[Vlr unit]]</f>
        <v>924</v>
      </c>
      <c r="L7765" s="6">
        <f>IFERROR(IF(INDEX(tProdutos[Desconto homologado],MATCH(tItens[[#This Row],[Produto]],tProdutos[Produto],0))="",DescontoPadrao,INDEX(tProdutos[Desconto homologado],MATCH(tItens[[#This Row],[Produto]],tProdutos[Produto],0))),DescontoPadrao)</f>
        <v>0.35849056603773599</v>
      </c>
      <c r="M7765" s="12">
        <f>tItens[[#This Row],[Valor]]*(1-tItens[[#This Row],[Desconto]])</f>
        <v>592.75471698113199</v>
      </c>
      <c r="N7765" t="str">
        <f>IFERROR(INDEX(tProdutos[Foco],MATCH(tItens[[#This Row],[Produto]],tProdutos[Produto],0)),"Não")</f>
        <v>Não</v>
      </c>
      <c r="O7765" t="str">
        <f>IFERROR(INDEX(tEditais[SRP],MATCH(tItens[[#This Row],[Edital]],tEditais[Edital],0)),"Não")</f>
        <v>Não</v>
      </c>
      <c r="P7765" s="4">
        <f>IF(COUNTIFS(INDEX(tItens[Edital],1):tItens[[#This Row],[Edital]],tItens[[#This Row],[Edital]],INDEX(tItens[Produto],1):tItens[[#This Row],[Produto]],tItens[[#This Row],[Produto]])=1,1,0)</f>
        <v>1</v>
      </c>
    </row>
    <row r="7766" spans="1:16" x14ac:dyDescent="0.25">
      <c r="A7766" t="s">
        <v>2572</v>
      </c>
      <c r="B7766">
        <v>128</v>
      </c>
      <c r="C7766" t="s">
        <v>10333</v>
      </c>
      <c r="D7766" t="s">
        <v>283</v>
      </c>
      <c r="E7766" s="13">
        <v>4000</v>
      </c>
      <c r="F7766" s="12">
        <v>0.14000000000000001</v>
      </c>
      <c r="G7766" t="str">
        <f>IFERROR(INDEX(tEditais[Órgão],MATCH(tItens[[#This Row],[Edital]],tEditais[Edital],0)),"")</f>
        <v>MUNICIPIO DE NOVO CABRAIS</v>
      </c>
      <c r="H7766" t="str">
        <f>IFERROR(INDEX(tEditais[UF],MATCH(tItens[[#This Row],[Edital]],tEditais[Edital],0)),"")</f>
        <v>RS</v>
      </c>
      <c r="I7766" s="11">
        <f>IFERROR(INDEX(tEditais[Encerramento],MATCH(tItens[[#This Row],[Edital]],tEditais[Edital],0)),"")</f>
        <v>46310.354166666664</v>
      </c>
      <c r="J7766" t="str">
        <f>IFERROR(INDEX(tProdutos[Classe],MATCH(tItens[[#This Row],[Produto]],tProdutos[Produto],0)),"produto não cadastrado")</f>
        <v>FORA</v>
      </c>
      <c r="K7766" s="12">
        <f>tItens[[#This Row],[Qtd]]*tItens[[#This Row],[Vlr unit]]</f>
        <v>560</v>
      </c>
      <c r="L7766" s="6">
        <f>IFERROR(IF(INDEX(tProdutos[Desconto homologado],MATCH(tItens[[#This Row],[Produto]],tProdutos[Produto],0))="",DescontoPadrao,INDEX(tProdutos[Desconto homologado],MATCH(tItens[[#This Row],[Produto]],tProdutos[Produto],0))),DescontoPadrao)</f>
        <v>0.40540540540540498</v>
      </c>
      <c r="M7766" s="12">
        <f>tItens[[#This Row],[Valor]]*(1-tItens[[#This Row],[Desconto]])</f>
        <v>332.9729729729732</v>
      </c>
      <c r="N7766" t="str">
        <f>IFERROR(INDEX(tProdutos[Foco],MATCH(tItens[[#This Row],[Produto]],tProdutos[Produto],0)),"Não")</f>
        <v>Não</v>
      </c>
      <c r="O7766" t="str">
        <f>IFERROR(INDEX(tEditais[SRP],MATCH(tItens[[#This Row],[Edital]],tEditais[Edital],0)),"Não")</f>
        <v>Não</v>
      </c>
      <c r="P7766" s="4">
        <f>IF(COUNTIFS(INDEX(tItens[Edital],1):tItens[[#This Row],[Edital]],tItens[[#This Row],[Edital]],INDEX(tItens[Produto],1):tItens[[#This Row],[Produto]],tItens[[#This Row],[Produto]])=1,1,0)</f>
        <v>1</v>
      </c>
    </row>
    <row r="7767" spans="1:16" x14ac:dyDescent="0.25">
      <c r="A7767" t="s">
        <v>2572</v>
      </c>
      <c r="B7767">
        <v>129</v>
      </c>
      <c r="C7767" t="s">
        <v>10334</v>
      </c>
      <c r="D7767" t="s">
        <v>265</v>
      </c>
      <c r="E7767" s="13">
        <v>6500</v>
      </c>
      <c r="F7767" s="12">
        <v>0.16</v>
      </c>
      <c r="G7767" t="str">
        <f>IFERROR(INDEX(tEditais[Órgão],MATCH(tItens[[#This Row],[Edital]],tEditais[Edital],0)),"")</f>
        <v>MUNICIPIO DE NOVO CABRAIS</v>
      </c>
      <c r="H7767" t="str">
        <f>IFERROR(INDEX(tEditais[UF],MATCH(tItens[[#This Row],[Edital]],tEditais[Edital],0)),"")</f>
        <v>RS</v>
      </c>
      <c r="I7767" s="11">
        <f>IFERROR(INDEX(tEditais[Encerramento],MATCH(tItens[[#This Row],[Edital]],tEditais[Edital],0)),"")</f>
        <v>46310.354166666664</v>
      </c>
      <c r="J7767" t="str">
        <f>IFERROR(INDEX(tProdutos[Classe],MATCH(tItens[[#This Row],[Produto]],tProdutos[Produto],0)),"produto não cadastrado")</f>
        <v>DISPUTADO</v>
      </c>
      <c r="K7767" s="12">
        <f>tItens[[#This Row],[Qtd]]*tItens[[#This Row],[Vlr unit]]</f>
        <v>1040</v>
      </c>
      <c r="L7767" s="6">
        <f>IFERROR(IF(INDEX(tProdutos[Desconto homologado],MATCH(tItens[[#This Row],[Produto]],tProdutos[Produto],0))="",DescontoPadrao,INDEX(tProdutos[Desconto homologado],MATCH(tItens[[#This Row],[Produto]],tProdutos[Produto],0))),DescontoPadrao)</f>
        <v>0.377587663709337</v>
      </c>
      <c r="M7767" s="12">
        <f>tItens[[#This Row],[Valor]]*(1-tItens[[#This Row],[Desconto]])</f>
        <v>647.30882974228962</v>
      </c>
      <c r="N7767" t="str">
        <f>IFERROR(INDEX(tProdutos[Foco],MATCH(tItens[[#This Row],[Produto]],tProdutos[Produto],0)),"Não")</f>
        <v>Não</v>
      </c>
      <c r="O7767" t="str">
        <f>IFERROR(INDEX(tEditais[SRP],MATCH(tItens[[#This Row],[Edital]],tEditais[Edital],0)),"Não")</f>
        <v>Não</v>
      </c>
      <c r="P7767" s="4">
        <f>IF(COUNTIFS(INDEX(tItens[Edital],1):tItens[[#This Row],[Edital]],tItens[[#This Row],[Edital]],INDEX(tItens[Produto],1):tItens[[#This Row],[Produto]],tItens[[#This Row],[Produto]])=1,1,0)</f>
        <v>1</v>
      </c>
    </row>
    <row r="7768" spans="1:16" x14ac:dyDescent="0.25">
      <c r="A7768" t="s">
        <v>2572</v>
      </c>
      <c r="B7768">
        <v>137</v>
      </c>
      <c r="C7768" t="s">
        <v>10335</v>
      </c>
      <c r="D7768" t="s">
        <v>184</v>
      </c>
      <c r="E7768" s="13">
        <v>140</v>
      </c>
      <c r="F7768" s="12">
        <v>2.8</v>
      </c>
      <c r="G7768" t="str">
        <f>IFERROR(INDEX(tEditais[Órgão],MATCH(tItens[[#This Row],[Edital]],tEditais[Edital],0)),"")</f>
        <v>MUNICIPIO DE NOVO CABRAIS</v>
      </c>
      <c r="H7768" t="str">
        <f>IFERROR(INDEX(tEditais[UF],MATCH(tItens[[#This Row],[Edital]],tEditais[Edital],0)),"")</f>
        <v>RS</v>
      </c>
      <c r="I7768" s="11">
        <f>IFERROR(INDEX(tEditais[Encerramento],MATCH(tItens[[#This Row],[Edital]],tEditais[Edital],0)),"")</f>
        <v>46310.354166666664</v>
      </c>
      <c r="J7768" t="str">
        <f>IFERROR(INDEX(tProdutos[Classe],MATCH(tItens[[#This Row],[Produto]],tProdutos[Produto],0)),"produto não cadastrado")</f>
        <v>FORA</v>
      </c>
      <c r="K7768" s="12">
        <f>tItens[[#This Row],[Qtd]]*tItens[[#This Row],[Vlr unit]]</f>
        <v>392</v>
      </c>
      <c r="L7768" s="6">
        <f>IFERROR(IF(INDEX(tProdutos[Desconto homologado],MATCH(tItens[[#This Row],[Produto]],tProdutos[Produto],0))="",DescontoPadrao,INDEX(tProdutos[Desconto homologado],MATCH(tItens[[#This Row],[Produto]],tProdutos[Produto],0))),DescontoPadrao)</f>
        <v>0.363567906332742</v>
      </c>
      <c r="M7768" s="12">
        <f>tItens[[#This Row],[Valor]]*(1-tItens[[#This Row],[Desconto]])</f>
        <v>249.48138071756517</v>
      </c>
      <c r="N7768" t="str">
        <f>IFERROR(INDEX(tProdutos[Foco],MATCH(tItens[[#This Row],[Produto]],tProdutos[Produto],0)),"Não")</f>
        <v>Não</v>
      </c>
      <c r="O7768" t="str">
        <f>IFERROR(INDEX(tEditais[SRP],MATCH(tItens[[#This Row],[Edital]],tEditais[Edital],0)),"Não")</f>
        <v>Não</v>
      </c>
      <c r="P7768" s="4">
        <f>IF(COUNTIFS(INDEX(tItens[Edital],1):tItens[[#This Row],[Edital]],tItens[[#This Row],[Edital]],INDEX(tItens[Produto],1):tItens[[#This Row],[Produto]],tItens[[#This Row],[Produto]])=1,1,0)</f>
        <v>1</v>
      </c>
    </row>
    <row r="7769" spans="1:16" x14ac:dyDescent="0.25">
      <c r="A7769" t="s">
        <v>2572</v>
      </c>
      <c r="B7769">
        <v>140</v>
      </c>
      <c r="C7769" t="s">
        <v>5168</v>
      </c>
      <c r="D7769" t="s">
        <v>120</v>
      </c>
      <c r="E7769" s="13">
        <v>2000</v>
      </c>
      <c r="F7769" s="12">
        <v>0.63</v>
      </c>
      <c r="G7769" t="str">
        <f>IFERROR(INDEX(tEditais[Órgão],MATCH(tItens[[#This Row],[Edital]],tEditais[Edital],0)),"")</f>
        <v>MUNICIPIO DE NOVO CABRAIS</v>
      </c>
      <c r="H7769" t="str">
        <f>IFERROR(INDEX(tEditais[UF],MATCH(tItens[[#This Row],[Edital]],tEditais[Edital],0)),"")</f>
        <v>RS</v>
      </c>
      <c r="I7769" s="11">
        <f>IFERROR(INDEX(tEditais[Encerramento],MATCH(tItens[[#This Row],[Edital]],tEditais[Edital],0)),"")</f>
        <v>46310.354166666664</v>
      </c>
      <c r="J7769" t="str">
        <f>IFERROR(INDEX(tProdutos[Classe],MATCH(tItens[[#This Row],[Produto]],tProdutos[Produto],0)),"produto não cadastrado")</f>
        <v>DISPUTADO</v>
      </c>
      <c r="K7769" s="12">
        <f>tItens[[#This Row],[Qtd]]*tItens[[#This Row],[Vlr unit]]</f>
        <v>1260</v>
      </c>
      <c r="L7769" s="6">
        <f>IFERROR(IF(INDEX(tProdutos[Desconto homologado],MATCH(tItens[[#This Row],[Produto]],tProdutos[Produto],0))="",DescontoPadrao,INDEX(tProdutos[Desconto homologado],MATCH(tItens[[#This Row],[Produto]],tProdutos[Produto],0))),DescontoPadrao)</f>
        <v>0.40909090909090901</v>
      </c>
      <c r="M7769" s="12">
        <f>tItens[[#This Row],[Valor]]*(1-tItens[[#This Row],[Desconto]])</f>
        <v>744.54545454545473</v>
      </c>
      <c r="N7769" t="str">
        <f>IFERROR(INDEX(tProdutos[Foco],MATCH(tItens[[#This Row],[Produto]],tProdutos[Produto],0)),"Não")</f>
        <v>Não</v>
      </c>
      <c r="O7769" t="str">
        <f>IFERROR(INDEX(tEditais[SRP],MATCH(tItens[[#This Row],[Edital]],tEditais[Edital],0)),"Não")</f>
        <v>Não</v>
      </c>
      <c r="P7769" s="4">
        <f>IF(COUNTIFS(INDEX(tItens[Edital],1):tItens[[#This Row],[Edital]],tItens[[#This Row],[Edital]],INDEX(tItens[Produto],1):tItens[[#This Row],[Produto]],tItens[[#This Row],[Produto]])=1,1,0)</f>
        <v>1</v>
      </c>
    </row>
    <row r="7770" spans="1:16" x14ac:dyDescent="0.25">
      <c r="A7770" t="s">
        <v>2572</v>
      </c>
      <c r="B7770">
        <v>141</v>
      </c>
      <c r="C7770" t="s">
        <v>10336</v>
      </c>
      <c r="D7770" t="s">
        <v>120</v>
      </c>
      <c r="E7770" s="13">
        <v>100</v>
      </c>
      <c r="F7770" s="12">
        <v>0.99</v>
      </c>
      <c r="G7770" t="str">
        <f>IFERROR(INDEX(tEditais[Órgão],MATCH(tItens[[#This Row],[Edital]],tEditais[Edital],0)),"")</f>
        <v>MUNICIPIO DE NOVO CABRAIS</v>
      </c>
      <c r="H7770" t="str">
        <f>IFERROR(INDEX(tEditais[UF],MATCH(tItens[[#This Row],[Edital]],tEditais[Edital],0)),"")</f>
        <v>RS</v>
      </c>
      <c r="I7770" s="11">
        <f>IFERROR(INDEX(tEditais[Encerramento],MATCH(tItens[[#This Row],[Edital]],tEditais[Edital],0)),"")</f>
        <v>46310.354166666664</v>
      </c>
      <c r="J7770" t="str">
        <f>IFERROR(INDEX(tProdutos[Classe],MATCH(tItens[[#This Row],[Produto]],tProdutos[Produto],0)),"produto não cadastrado")</f>
        <v>DISPUTADO</v>
      </c>
      <c r="K7770" s="12">
        <f>tItens[[#This Row],[Qtd]]*tItens[[#This Row],[Vlr unit]]</f>
        <v>99</v>
      </c>
      <c r="L7770" s="6">
        <f>IFERROR(IF(INDEX(tProdutos[Desconto homologado],MATCH(tItens[[#This Row],[Produto]],tProdutos[Produto],0))="",DescontoPadrao,INDEX(tProdutos[Desconto homologado],MATCH(tItens[[#This Row],[Produto]],tProdutos[Produto],0))),DescontoPadrao)</f>
        <v>0.40909090909090901</v>
      </c>
      <c r="M7770" s="12">
        <f>tItens[[#This Row],[Valor]]*(1-tItens[[#This Row],[Desconto]])</f>
        <v>58.500000000000014</v>
      </c>
      <c r="N7770" t="str">
        <f>IFERROR(INDEX(tProdutos[Foco],MATCH(tItens[[#This Row],[Produto]],tProdutos[Produto],0)),"Não")</f>
        <v>Não</v>
      </c>
      <c r="O7770" t="str">
        <f>IFERROR(INDEX(tEditais[SRP],MATCH(tItens[[#This Row],[Edital]],tEditais[Edital],0)),"Não")</f>
        <v>Não</v>
      </c>
      <c r="P7770" s="4">
        <f>IF(COUNTIFS(INDEX(tItens[Edital],1):tItens[[#This Row],[Edital]],tItens[[#This Row],[Edital]],INDEX(tItens[Produto],1):tItens[[#This Row],[Produto]],tItens[[#This Row],[Produto]])=1,1,0)</f>
        <v>0</v>
      </c>
    </row>
    <row r="7771" spans="1:16" x14ac:dyDescent="0.25">
      <c r="A7771" t="s">
        <v>2572</v>
      </c>
      <c r="B7771">
        <v>142</v>
      </c>
      <c r="C7771" t="s">
        <v>4730</v>
      </c>
      <c r="D7771" t="s">
        <v>120</v>
      </c>
      <c r="E7771" s="13">
        <v>2000</v>
      </c>
      <c r="F7771" s="12">
        <v>0.68</v>
      </c>
      <c r="G7771" t="str">
        <f>IFERROR(INDEX(tEditais[Órgão],MATCH(tItens[[#This Row],[Edital]],tEditais[Edital],0)),"")</f>
        <v>MUNICIPIO DE NOVO CABRAIS</v>
      </c>
      <c r="H7771" t="str">
        <f>IFERROR(INDEX(tEditais[UF],MATCH(tItens[[#This Row],[Edital]],tEditais[Edital],0)),"")</f>
        <v>RS</v>
      </c>
      <c r="I7771" s="11">
        <f>IFERROR(INDEX(tEditais[Encerramento],MATCH(tItens[[#This Row],[Edital]],tEditais[Edital],0)),"")</f>
        <v>46310.354166666664</v>
      </c>
      <c r="J7771" t="str">
        <f>IFERROR(INDEX(tProdutos[Classe],MATCH(tItens[[#This Row],[Produto]],tProdutos[Produto],0)),"produto não cadastrado")</f>
        <v>DISPUTADO</v>
      </c>
      <c r="K7771" s="12">
        <f>tItens[[#This Row],[Qtd]]*tItens[[#This Row],[Vlr unit]]</f>
        <v>1360</v>
      </c>
      <c r="L7771" s="6">
        <f>IFERROR(IF(INDEX(tProdutos[Desconto homologado],MATCH(tItens[[#This Row],[Produto]],tProdutos[Produto],0))="",DescontoPadrao,INDEX(tProdutos[Desconto homologado],MATCH(tItens[[#This Row],[Produto]],tProdutos[Produto],0))),DescontoPadrao)</f>
        <v>0.40909090909090901</v>
      </c>
      <c r="M7771" s="12">
        <f>tItens[[#This Row],[Valor]]*(1-tItens[[#This Row],[Desconto]])</f>
        <v>803.63636363636385</v>
      </c>
      <c r="N7771" t="str">
        <f>IFERROR(INDEX(tProdutos[Foco],MATCH(tItens[[#This Row],[Produto]],tProdutos[Produto],0)),"Não")</f>
        <v>Não</v>
      </c>
      <c r="O7771" t="str">
        <f>IFERROR(INDEX(tEditais[SRP],MATCH(tItens[[#This Row],[Edital]],tEditais[Edital],0)),"Não")</f>
        <v>Não</v>
      </c>
      <c r="P7771" s="4">
        <f>IF(COUNTIFS(INDEX(tItens[Edital],1):tItens[[#This Row],[Edital]],tItens[[#This Row],[Edital]],INDEX(tItens[Produto],1):tItens[[#This Row],[Produto]],tItens[[#This Row],[Produto]])=1,1,0)</f>
        <v>0</v>
      </c>
    </row>
    <row r="7772" spans="1:16" x14ac:dyDescent="0.25">
      <c r="A7772" t="s">
        <v>2572</v>
      </c>
      <c r="B7772">
        <v>152</v>
      </c>
      <c r="C7772" t="s">
        <v>10337</v>
      </c>
      <c r="D7772" t="s">
        <v>162</v>
      </c>
      <c r="E7772" s="13">
        <v>4</v>
      </c>
      <c r="F7772" s="12">
        <v>35.92</v>
      </c>
      <c r="G7772" t="str">
        <f>IFERROR(INDEX(tEditais[Órgão],MATCH(tItens[[#This Row],[Edital]],tEditais[Edital],0)),"")</f>
        <v>MUNICIPIO DE NOVO CABRAIS</v>
      </c>
      <c r="H7772" t="str">
        <f>IFERROR(INDEX(tEditais[UF],MATCH(tItens[[#This Row],[Edital]],tEditais[Edital],0)),"")</f>
        <v>RS</v>
      </c>
      <c r="I7772" s="11">
        <f>IFERROR(INDEX(tEditais[Encerramento],MATCH(tItens[[#This Row],[Edital]],tEditais[Edital],0)),"")</f>
        <v>46310.354166666664</v>
      </c>
      <c r="J7772" t="str">
        <f>IFERROR(INDEX(tProdutos[Classe],MATCH(tItens[[#This Row],[Produto]],tProdutos[Produto],0)),"produto não cadastrado")</f>
        <v>DISPUTADO</v>
      </c>
      <c r="K7772" s="12">
        <f>tItens[[#This Row],[Qtd]]*tItens[[#This Row],[Vlr unit]]</f>
        <v>143.68</v>
      </c>
      <c r="L7772" s="6">
        <f>IFERROR(IF(INDEX(tProdutos[Desconto homologado],MATCH(tItens[[#This Row],[Produto]],tProdutos[Produto],0))="",DescontoPadrao,INDEX(tProdutos[Desconto homologado],MATCH(tItens[[#This Row],[Produto]],tProdutos[Produto],0))),DescontoPadrao)</f>
        <v>0.41269841269841301</v>
      </c>
      <c r="M7772" s="12">
        <f>tItens[[#This Row],[Valor]]*(1-tItens[[#This Row],[Desconto]])</f>
        <v>84.383492063492028</v>
      </c>
      <c r="N7772" t="str">
        <f>IFERROR(INDEX(tProdutos[Foco],MATCH(tItens[[#This Row],[Produto]],tProdutos[Produto],0)),"Não")</f>
        <v>Não</v>
      </c>
      <c r="O7772" t="str">
        <f>IFERROR(INDEX(tEditais[SRP],MATCH(tItens[[#This Row],[Edital]],tEditais[Edital],0)),"Não")</f>
        <v>Não</v>
      </c>
      <c r="P7772" s="4">
        <f>IF(COUNTIFS(INDEX(tItens[Edital],1):tItens[[#This Row],[Edital]],tItens[[#This Row],[Edital]],INDEX(tItens[Produto],1):tItens[[#This Row],[Produto]],tItens[[#This Row],[Produto]])=1,1,0)</f>
        <v>1</v>
      </c>
    </row>
    <row r="7773" spans="1:16" x14ac:dyDescent="0.25">
      <c r="A7773" t="s">
        <v>2572</v>
      </c>
      <c r="B7773">
        <v>154</v>
      </c>
      <c r="C7773" t="s">
        <v>10338</v>
      </c>
      <c r="D7773" t="s">
        <v>259</v>
      </c>
      <c r="E7773" s="13">
        <v>3</v>
      </c>
      <c r="F7773" s="12">
        <v>115.59</v>
      </c>
      <c r="G7773" t="str">
        <f>IFERROR(INDEX(tEditais[Órgão],MATCH(tItens[[#This Row],[Edital]],tEditais[Edital],0)),"")</f>
        <v>MUNICIPIO DE NOVO CABRAIS</v>
      </c>
      <c r="H7773" t="str">
        <f>IFERROR(INDEX(tEditais[UF],MATCH(tItens[[#This Row],[Edital]],tEditais[Edital],0)),"")</f>
        <v>RS</v>
      </c>
      <c r="I7773" s="11">
        <f>IFERROR(INDEX(tEditais[Encerramento],MATCH(tItens[[#This Row],[Edital]],tEditais[Edital],0)),"")</f>
        <v>46310.354166666664</v>
      </c>
      <c r="J7773" t="str">
        <f>IFERROR(INDEX(tProdutos[Classe],MATCH(tItens[[#This Row],[Produto]],tProdutos[Produto],0)),"produto não cadastrado")</f>
        <v>FORA</v>
      </c>
      <c r="K7773" s="12">
        <f>tItens[[#This Row],[Qtd]]*tItens[[#This Row],[Vlr unit]]</f>
        <v>346.77</v>
      </c>
      <c r="L7773" s="6">
        <f>IFERROR(IF(INDEX(tProdutos[Desconto homologado],MATCH(tItens[[#This Row],[Produto]],tProdutos[Produto],0))="",DescontoPadrao,INDEX(tProdutos[Desconto homologado],MATCH(tItens[[#This Row],[Produto]],tProdutos[Produto],0))),DescontoPadrao)</f>
        <v>0.374798283789543</v>
      </c>
      <c r="M7773" s="12">
        <f>tItens[[#This Row],[Valor]]*(1-tItens[[#This Row],[Desconto]])</f>
        <v>216.80119913030018</v>
      </c>
      <c r="N7773" t="str">
        <f>IFERROR(INDEX(tProdutos[Foco],MATCH(tItens[[#This Row],[Produto]],tProdutos[Produto],0)),"Não")</f>
        <v>Não</v>
      </c>
      <c r="O7773" t="str">
        <f>IFERROR(INDEX(tEditais[SRP],MATCH(tItens[[#This Row],[Edital]],tEditais[Edital],0)),"Não")</f>
        <v>Não</v>
      </c>
      <c r="P7773" s="4">
        <f>IF(COUNTIFS(INDEX(tItens[Edital],1):tItens[[#This Row],[Edital]],tItens[[#This Row],[Edital]],INDEX(tItens[Produto],1):tItens[[#This Row],[Produto]],tItens[[#This Row],[Produto]])=1,1,0)</f>
        <v>1</v>
      </c>
    </row>
    <row r="7774" spans="1:16" x14ac:dyDescent="0.25">
      <c r="A7774" t="s">
        <v>2572</v>
      </c>
      <c r="B7774">
        <v>155</v>
      </c>
      <c r="C7774" t="s">
        <v>10339</v>
      </c>
      <c r="D7774" t="s">
        <v>512</v>
      </c>
      <c r="E7774" s="13">
        <v>2</v>
      </c>
      <c r="F7774" s="12">
        <v>18.809999999999999</v>
      </c>
      <c r="G7774" t="str">
        <f>IFERROR(INDEX(tEditais[Órgão],MATCH(tItens[[#This Row],[Edital]],tEditais[Edital],0)),"")</f>
        <v>MUNICIPIO DE NOVO CABRAIS</v>
      </c>
      <c r="H7774" t="str">
        <f>IFERROR(INDEX(tEditais[UF],MATCH(tItens[[#This Row],[Edital]],tEditais[Edital],0)),"")</f>
        <v>RS</v>
      </c>
      <c r="I7774" s="11">
        <f>IFERROR(INDEX(tEditais[Encerramento],MATCH(tItens[[#This Row],[Edital]],tEditais[Edital],0)),"")</f>
        <v>46310.354166666664</v>
      </c>
      <c r="J7774" t="str">
        <f>IFERROR(INDEX(tProdutos[Classe],MATCH(tItens[[#This Row],[Produto]],tProdutos[Produto],0)),"produto não cadastrado")</f>
        <v>FILA REBASE</v>
      </c>
      <c r="K7774" s="12">
        <f>tItens[[#This Row],[Qtd]]*tItens[[#This Row],[Vlr unit]]</f>
        <v>37.619999999999997</v>
      </c>
      <c r="L7774" s="6">
        <f>IFERROR(IF(INDEX(tProdutos[Desconto homologado],MATCH(tItens[[#This Row],[Produto]],tProdutos[Produto],0))="",DescontoPadrao,INDEX(tProdutos[Desconto homologado],MATCH(tItens[[#This Row],[Produto]],tProdutos[Produto],0))),DescontoPadrao)</f>
        <v>0.32579365079365102</v>
      </c>
      <c r="M7774" s="12">
        <f>tItens[[#This Row],[Valor]]*(1-tItens[[#This Row],[Desconto]])</f>
        <v>25.36364285714285</v>
      </c>
      <c r="N7774" t="str">
        <f>IFERROR(INDEX(tProdutos[Foco],MATCH(tItens[[#This Row],[Produto]],tProdutos[Produto],0)),"Não")</f>
        <v>Não</v>
      </c>
      <c r="O7774" t="str">
        <f>IFERROR(INDEX(tEditais[SRP],MATCH(tItens[[#This Row],[Edital]],tEditais[Edital],0)),"Não")</f>
        <v>Não</v>
      </c>
      <c r="P7774" s="4">
        <f>IF(COUNTIFS(INDEX(tItens[Edital],1):tItens[[#This Row],[Edital]],tItens[[#This Row],[Edital]],INDEX(tItens[Produto],1):tItens[[#This Row],[Produto]],tItens[[#This Row],[Produto]])=1,1,0)</f>
        <v>1</v>
      </c>
    </row>
    <row r="7775" spans="1:16" x14ac:dyDescent="0.25">
      <c r="A7775" t="s">
        <v>2572</v>
      </c>
      <c r="B7775">
        <v>158</v>
      </c>
      <c r="C7775" t="s">
        <v>10340</v>
      </c>
      <c r="D7775" t="s">
        <v>261</v>
      </c>
      <c r="E7775" s="13">
        <v>500</v>
      </c>
      <c r="F7775" s="12">
        <v>1.92</v>
      </c>
      <c r="G7775" t="str">
        <f>IFERROR(INDEX(tEditais[Órgão],MATCH(tItens[[#This Row],[Edital]],tEditais[Edital],0)),"")</f>
        <v>MUNICIPIO DE NOVO CABRAIS</v>
      </c>
      <c r="H7775" t="str">
        <f>IFERROR(INDEX(tEditais[UF],MATCH(tItens[[#This Row],[Edital]],tEditais[Edital],0)),"")</f>
        <v>RS</v>
      </c>
      <c r="I7775" s="11">
        <f>IFERROR(INDEX(tEditais[Encerramento],MATCH(tItens[[#This Row],[Edital]],tEditais[Edital],0)),"")</f>
        <v>46310.354166666664</v>
      </c>
      <c r="J7775" t="str">
        <f>IFERROR(INDEX(tProdutos[Classe],MATCH(tItens[[#This Row],[Produto]],tProdutos[Produto],0)),"produto não cadastrado")</f>
        <v>FORA</v>
      </c>
      <c r="K7775" s="12">
        <f>tItens[[#This Row],[Qtd]]*tItens[[#This Row],[Vlr unit]]</f>
        <v>960</v>
      </c>
      <c r="L7775" s="6">
        <f>IFERROR(IF(INDEX(tProdutos[Desconto homologado],MATCH(tItens[[#This Row],[Produto]],tProdutos[Produto],0))="",DescontoPadrao,INDEX(tProdutos[Desconto homologado],MATCH(tItens[[#This Row],[Produto]],tProdutos[Produto],0))),DescontoPadrao)</f>
        <v>0.113924050632911</v>
      </c>
      <c r="M7775" s="12">
        <f>tItens[[#This Row],[Valor]]*(1-tItens[[#This Row],[Desconto]])</f>
        <v>850.63291139240539</v>
      </c>
      <c r="N7775" t="str">
        <f>IFERROR(INDEX(tProdutos[Foco],MATCH(tItens[[#This Row],[Produto]],tProdutos[Produto],0)),"Não")</f>
        <v>Não</v>
      </c>
      <c r="O7775" t="str">
        <f>IFERROR(INDEX(tEditais[SRP],MATCH(tItens[[#This Row],[Edital]],tEditais[Edital],0)),"Não")</f>
        <v>Não</v>
      </c>
      <c r="P7775" s="4">
        <f>IF(COUNTIFS(INDEX(tItens[Edital],1):tItens[[#This Row],[Edital]],tItens[[#This Row],[Edital]],INDEX(tItens[Produto],1):tItens[[#This Row],[Produto]],tItens[[#This Row],[Produto]])=1,1,0)</f>
        <v>1</v>
      </c>
    </row>
    <row r="7776" spans="1:16" x14ac:dyDescent="0.25">
      <c r="A7776" t="s">
        <v>2572</v>
      </c>
      <c r="B7776">
        <v>160</v>
      </c>
      <c r="C7776" t="s">
        <v>10341</v>
      </c>
      <c r="D7776" t="s">
        <v>393</v>
      </c>
      <c r="E7776" s="13">
        <v>20</v>
      </c>
      <c r="F7776" s="12">
        <v>25.85</v>
      </c>
      <c r="G7776" t="str">
        <f>IFERROR(INDEX(tEditais[Órgão],MATCH(tItens[[#This Row],[Edital]],tEditais[Edital],0)),"")</f>
        <v>MUNICIPIO DE NOVO CABRAIS</v>
      </c>
      <c r="H7776" t="str">
        <f>IFERROR(INDEX(tEditais[UF],MATCH(tItens[[#This Row],[Edital]],tEditais[Edital],0)),"")</f>
        <v>RS</v>
      </c>
      <c r="I7776" s="11">
        <f>IFERROR(INDEX(tEditais[Encerramento],MATCH(tItens[[#This Row],[Edital]],tEditais[Edital],0)),"")</f>
        <v>46310.354166666664</v>
      </c>
      <c r="J7776" t="str">
        <f>IFERROR(INDEX(tProdutos[Classe],MATCH(tItens[[#This Row],[Produto]],tProdutos[Produto],0)),"produto não cadastrado")</f>
        <v>FORA</v>
      </c>
      <c r="K7776" s="12">
        <f>tItens[[#This Row],[Qtd]]*tItens[[#This Row],[Vlr unit]]</f>
        <v>517</v>
      </c>
      <c r="L7776" s="6">
        <f>IFERROR(IF(INDEX(tProdutos[Desconto homologado],MATCH(tItens[[#This Row],[Produto]],tProdutos[Produto],0))="",DescontoPadrao,INDEX(tProdutos[Desconto homologado],MATCH(tItens[[#This Row],[Produto]],tProdutos[Produto],0))),DescontoPadrao)</f>
        <v>0.286445012787724</v>
      </c>
      <c r="M7776" s="12">
        <f>tItens[[#This Row],[Valor]]*(1-tItens[[#This Row],[Desconto]])</f>
        <v>368.90792838874665</v>
      </c>
      <c r="N7776" t="str">
        <f>IFERROR(INDEX(tProdutos[Foco],MATCH(tItens[[#This Row],[Produto]],tProdutos[Produto],0)),"Não")</f>
        <v>Não</v>
      </c>
      <c r="O7776" t="str">
        <f>IFERROR(INDEX(tEditais[SRP],MATCH(tItens[[#This Row],[Edital]],tEditais[Edital],0)),"Não")</f>
        <v>Não</v>
      </c>
      <c r="P7776" s="4">
        <f>IF(COUNTIFS(INDEX(tItens[Edital],1):tItens[[#This Row],[Edital]],tItens[[#This Row],[Edital]],INDEX(tItens[Produto],1):tItens[[#This Row],[Produto]],tItens[[#This Row],[Produto]])=1,1,0)</f>
        <v>1</v>
      </c>
    </row>
    <row r="7777" spans="1:16" x14ac:dyDescent="0.25">
      <c r="A7777" t="s">
        <v>2572</v>
      </c>
      <c r="B7777">
        <v>161</v>
      </c>
      <c r="C7777" t="s">
        <v>10342</v>
      </c>
      <c r="D7777" t="s">
        <v>267</v>
      </c>
      <c r="E7777" s="13">
        <v>20</v>
      </c>
      <c r="F7777" s="12">
        <v>51.26</v>
      </c>
      <c r="G7777" t="str">
        <f>IFERROR(INDEX(tEditais[Órgão],MATCH(tItens[[#This Row],[Edital]],tEditais[Edital],0)),"")</f>
        <v>MUNICIPIO DE NOVO CABRAIS</v>
      </c>
      <c r="H7777" t="str">
        <f>IFERROR(INDEX(tEditais[UF],MATCH(tItens[[#This Row],[Edital]],tEditais[Edital],0)),"")</f>
        <v>RS</v>
      </c>
      <c r="I7777" s="11">
        <f>IFERROR(INDEX(tEditais[Encerramento],MATCH(tItens[[#This Row],[Edital]],tEditais[Edital],0)),"")</f>
        <v>46310.354166666664</v>
      </c>
      <c r="J7777" t="str">
        <f>IFERROR(INDEX(tProdutos[Classe],MATCH(tItens[[#This Row],[Produto]],tProdutos[Produto],0)),"produto não cadastrado")</f>
        <v>FORA</v>
      </c>
      <c r="K7777" s="12">
        <f>tItens[[#This Row],[Qtd]]*tItens[[#This Row],[Vlr unit]]</f>
        <v>1025.2</v>
      </c>
      <c r="L7777" s="6">
        <f>IFERROR(IF(INDEX(tProdutos[Desconto homologado],MATCH(tItens[[#This Row],[Produto]],tProdutos[Produto],0))="",DescontoPadrao,INDEX(tProdutos[Desconto homologado],MATCH(tItens[[#This Row],[Produto]],tProdutos[Produto],0))),DescontoPadrao)</f>
        <v>0.19963672657401599</v>
      </c>
      <c r="M7777" s="12">
        <f>tItens[[#This Row],[Valor]]*(1-tItens[[#This Row],[Desconto]])</f>
        <v>820.53242791631885</v>
      </c>
      <c r="N7777" t="str">
        <f>IFERROR(INDEX(tProdutos[Foco],MATCH(tItens[[#This Row],[Produto]],tProdutos[Produto],0)),"Não")</f>
        <v>Não</v>
      </c>
      <c r="O7777" t="str">
        <f>IFERROR(INDEX(tEditais[SRP],MATCH(tItens[[#This Row],[Edital]],tEditais[Edital],0)),"Não")</f>
        <v>Não</v>
      </c>
      <c r="P7777" s="4">
        <f>IF(COUNTIFS(INDEX(tItens[Edital],1):tItens[[#This Row],[Edital]],tItens[[#This Row],[Edital]],INDEX(tItens[Produto],1):tItens[[#This Row],[Produto]],tItens[[#This Row],[Produto]])=1,1,0)</f>
        <v>0</v>
      </c>
    </row>
    <row r="7778" spans="1:16" x14ac:dyDescent="0.25">
      <c r="A7778" t="s">
        <v>2572</v>
      </c>
      <c r="B7778">
        <v>162</v>
      </c>
      <c r="C7778" t="s">
        <v>10343</v>
      </c>
      <c r="D7778" t="s">
        <v>311</v>
      </c>
      <c r="E7778" s="13">
        <v>8</v>
      </c>
      <c r="F7778" s="12">
        <v>29.76</v>
      </c>
      <c r="G7778" t="str">
        <f>IFERROR(INDEX(tEditais[Órgão],MATCH(tItens[[#This Row],[Edital]],tEditais[Edital],0)),"")</f>
        <v>MUNICIPIO DE NOVO CABRAIS</v>
      </c>
      <c r="H7778" t="str">
        <f>IFERROR(INDEX(tEditais[UF],MATCH(tItens[[#This Row],[Edital]],tEditais[Edital],0)),"")</f>
        <v>RS</v>
      </c>
      <c r="I7778" s="11">
        <f>IFERROR(INDEX(tEditais[Encerramento],MATCH(tItens[[#This Row],[Edital]],tEditais[Edital],0)),"")</f>
        <v>46310.354166666664</v>
      </c>
      <c r="J7778" t="str">
        <f>IFERROR(INDEX(tProdutos[Classe],MATCH(tItens[[#This Row],[Produto]],tProdutos[Produto],0)),"produto não cadastrado")</f>
        <v>FORA</v>
      </c>
      <c r="K7778" s="12">
        <f>tItens[[#This Row],[Qtd]]*tItens[[#This Row],[Vlr unit]]</f>
        <v>238.08</v>
      </c>
      <c r="L7778" s="6">
        <f>IFERROR(IF(INDEX(tProdutos[Desconto homologado],MATCH(tItens[[#This Row],[Produto]],tProdutos[Produto],0))="",DescontoPadrao,INDEX(tProdutos[Desconto homologado],MATCH(tItens[[#This Row],[Produto]],tProdutos[Produto],0))),DescontoPadrao)</f>
        <v>0.29046182846371399</v>
      </c>
      <c r="M7778" s="12">
        <f>tItens[[#This Row],[Valor]]*(1-tItens[[#This Row],[Desconto]])</f>
        <v>168.926847879359</v>
      </c>
      <c r="N7778" t="str">
        <f>IFERROR(INDEX(tProdutos[Foco],MATCH(tItens[[#This Row],[Produto]],tProdutos[Produto],0)),"Não")</f>
        <v>Não</v>
      </c>
      <c r="O7778" t="str">
        <f>IFERROR(INDEX(tEditais[SRP],MATCH(tItens[[#This Row],[Edital]],tEditais[Edital],0)),"Não")</f>
        <v>Não</v>
      </c>
      <c r="P7778" s="4">
        <f>IF(COUNTIFS(INDEX(tItens[Edital],1):tItens[[#This Row],[Edital]],tItens[[#This Row],[Edital]],INDEX(tItens[Produto],1):tItens[[#This Row],[Produto]],tItens[[#This Row],[Produto]])=1,1,0)</f>
        <v>1</v>
      </c>
    </row>
    <row r="7779" spans="1:16" x14ac:dyDescent="0.25">
      <c r="A7779" t="s">
        <v>2572</v>
      </c>
      <c r="B7779">
        <v>166</v>
      </c>
      <c r="C7779" t="s">
        <v>10344</v>
      </c>
      <c r="D7779" t="s">
        <v>275</v>
      </c>
      <c r="E7779" s="13">
        <v>2000</v>
      </c>
      <c r="F7779" s="12">
        <v>0.4</v>
      </c>
      <c r="G7779" t="str">
        <f>IFERROR(INDEX(tEditais[Órgão],MATCH(tItens[[#This Row],[Edital]],tEditais[Edital],0)),"")</f>
        <v>MUNICIPIO DE NOVO CABRAIS</v>
      </c>
      <c r="H7779" t="str">
        <f>IFERROR(INDEX(tEditais[UF],MATCH(tItens[[#This Row],[Edital]],tEditais[Edital],0)),"")</f>
        <v>RS</v>
      </c>
      <c r="I7779" s="11">
        <f>IFERROR(INDEX(tEditais[Encerramento],MATCH(tItens[[#This Row],[Edital]],tEditais[Edital],0)),"")</f>
        <v>46310.354166666664</v>
      </c>
      <c r="J7779" t="str">
        <f>IFERROR(INDEX(tProdutos[Classe],MATCH(tItens[[#This Row],[Produto]],tProdutos[Produto],0)),"produto não cadastrado")</f>
        <v>FORA</v>
      </c>
      <c r="K7779" s="12">
        <f>tItens[[#This Row],[Qtd]]*tItens[[#This Row],[Vlr unit]]</f>
        <v>800</v>
      </c>
      <c r="L7779" s="6">
        <f>IFERROR(IF(INDEX(tProdutos[Desconto homologado],MATCH(tItens[[#This Row],[Produto]],tProdutos[Produto],0))="",DescontoPadrao,INDEX(tProdutos[Desconto homologado],MATCH(tItens[[#This Row],[Produto]],tProdutos[Produto],0))),DescontoPadrao)</f>
        <v>0.405797101449275</v>
      </c>
      <c r="M7779" s="12">
        <f>tItens[[#This Row],[Valor]]*(1-tItens[[#This Row],[Desconto]])</f>
        <v>475.36231884058003</v>
      </c>
      <c r="N7779" t="str">
        <f>IFERROR(INDEX(tProdutos[Foco],MATCH(tItens[[#This Row],[Produto]],tProdutos[Produto],0)),"Não")</f>
        <v>Não</v>
      </c>
      <c r="O7779" t="str">
        <f>IFERROR(INDEX(tEditais[SRP],MATCH(tItens[[#This Row],[Edital]],tEditais[Edital],0)),"Não")</f>
        <v>Não</v>
      </c>
      <c r="P7779" s="4">
        <f>IF(COUNTIFS(INDEX(tItens[Edital],1):tItens[[#This Row],[Edital]],tItens[[#This Row],[Edital]],INDEX(tItens[Produto],1):tItens[[#This Row],[Produto]],tItens[[#This Row],[Produto]])=1,1,0)</f>
        <v>1</v>
      </c>
    </row>
    <row r="7780" spans="1:16" x14ac:dyDescent="0.25">
      <c r="A7780" t="s">
        <v>2576</v>
      </c>
      <c r="B7780">
        <v>14</v>
      </c>
      <c r="C7780" t="s">
        <v>7390</v>
      </c>
      <c r="D7780" t="s">
        <v>464</v>
      </c>
      <c r="E7780" s="13">
        <v>80</v>
      </c>
      <c r="F7780" s="12">
        <v>0</v>
      </c>
      <c r="G7780" t="str">
        <f>IFERROR(INDEX(tEditais[Órgão],MATCH(tItens[[#This Row],[Edital]],tEditais[Edital],0)),"")</f>
        <v>EMPRESA BRASILEIRA DE SERVICOS HOSPITALARES - EBSERH</v>
      </c>
      <c r="H7780" t="str">
        <f>IFERROR(INDEX(tEditais[UF],MATCH(tItens[[#This Row],[Edital]],tEditais[Edital],0)),"")</f>
        <v>RS</v>
      </c>
      <c r="I7780" s="11">
        <f>IFERROR(INDEX(tEditais[Encerramento],MATCH(tItens[[#This Row],[Edital]],tEditais[Edital],0)),"")</f>
        <v>46310.374305555553</v>
      </c>
      <c r="J7780" t="str">
        <f>IFERROR(INDEX(tProdutos[Classe],MATCH(tItens[[#This Row],[Produto]],tProdutos[Produto],0)),"produto não cadastrado")</f>
        <v>FILA REBASE</v>
      </c>
      <c r="K7780" s="12">
        <f>tItens[[#This Row],[Qtd]]*tItens[[#This Row],[Vlr unit]]</f>
        <v>0</v>
      </c>
      <c r="L7780" s="6">
        <f>IFERROR(IF(INDEX(tProdutos[Desconto homologado],MATCH(tItens[[#This Row],[Produto]],tProdutos[Produto],0))="",DescontoPadrao,INDEX(tProdutos[Desconto homologado],MATCH(tItens[[#This Row],[Produto]],tProdutos[Produto],0))),DescontoPadrao)</f>
        <v>0.3</v>
      </c>
      <c r="M7780" s="12">
        <f>tItens[[#This Row],[Valor]]*(1-tItens[[#This Row],[Desconto]])</f>
        <v>0</v>
      </c>
      <c r="N7780" t="str">
        <f>IFERROR(INDEX(tProdutos[Foco],MATCH(tItens[[#This Row],[Produto]],tProdutos[Produto],0)),"Não")</f>
        <v>Não</v>
      </c>
      <c r="O7780" t="str">
        <f>IFERROR(INDEX(tEditais[SRP],MATCH(tItens[[#This Row],[Edital]],tEditais[Edital],0)),"Não")</f>
        <v>Não</v>
      </c>
      <c r="P7780" s="4">
        <f>IF(COUNTIFS(INDEX(tItens[Edital],1):tItens[[#This Row],[Edital]],tItens[[#This Row],[Edital]],INDEX(tItens[Produto],1):tItens[[#This Row],[Produto]],tItens[[#This Row],[Produto]])=1,1,0)</f>
        <v>1</v>
      </c>
    </row>
    <row r="7781" spans="1:16" x14ac:dyDescent="0.25">
      <c r="A7781" t="s">
        <v>2579</v>
      </c>
      <c r="B7781">
        <v>2</v>
      </c>
      <c r="C7781" t="s">
        <v>10345</v>
      </c>
      <c r="D7781" t="s">
        <v>114</v>
      </c>
      <c r="E7781" s="13">
        <v>100</v>
      </c>
      <c r="F7781" s="12">
        <v>6.9</v>
      </c>
      <c r="G7781" t="str">
        <f>IFERROR(INDEX(tEditais[Órgão],MATCH(tItens[[#This Row],[Edital]],tEditais[Edital],0)),"")</f>
        <v>MUNICIPIO DE ROSARIO DO SUL</v>
      </c>
      <c r="H7781" t="str">
        <f>IFERROR(INDEX(tEditais[UF],MATCH(tItens[[#This Row],[Edital]],tEditais[Edital],0)),"")</f>
        <v>RS</v>
      </c>
      <c r="I7781" s="11">
        <f>IFERROR(INDEX(tEditais[Encerramento],MATCH(tItens[[#This Row],[Edital]],tEditais[Edital],0)),"")</f>
        <v>46310.374305555553</v>
      </c>
      <c r="J7781" t="str">
        <f>IFERROR(INDEX(tProdutos[Classe],MATCH(tItens[[#This Row],[Produto]],tProdutos[Produto],0)),"produto não cadastrado")</f>
        <v>DISPUTADO</v>
      </c>
      <c r="K7781" s="12">
        <f>tItens[[#This Row],[Qtd]]*tItens[[#This Row],[Vlr unit]]</f>
        <v>690</v>
      </c>
      <c r="L7781" s="6">
        <f>IFERROR(IF(INDEX(tProdutos[Desconto homologado],MATCH(tItens[[#This Row],[Produto]],tProdutos[Produto],0))="",DescontoPadrao,INDEX(tProdutos[Desconto homologado],MATCH(tItens[[#This Row],[Produto]],tProdutos[Produto],0))),DescontoPadrao)</f>
        <v>0.24332656063896899</v>
      </c>
      <c r="M7781" s="12">
        <f>tItens[[#This Row],[Valor]]*(1-tItens[[#This Row],[Desconto]])</f>
        <v>522.10467315911137</v>
      </c>
      <c r="N7781" t="str">
        <f>IFERROR(INDEX(tProdutos[Foco],MATCH(tItens[[#This Row],[Produto]],tProdutos[Produto],0)),"Não")</f>
        <v>Não</v>
      </c>
      <c r="O7781" t="str">
        <f>IFERROR(INDEX(tEditais[SRP],MATCH(tItens[[#This Row],[Edital]],tEditais[Edital],0)),"Não")</f>
        <v>Sim</v>
      </c>
      <c r="P7781" s="4">
        <f>IF(COUNTIFS(INDEX(tItens[Edital],1):tItens[[#This Row],[Edital]],tItens[[#This Row],[Edital]],INDEX(tItens[Produto],1):tItens[[#This Row],[Produto]],tItens[[#This Row],[Produto]])=1,1,0)</f>
        <v>1</v>
      </c>
    </row>
    <row r="7782" spans="1:16" x14ac:dyDescent="0.25">
      <c r="A7782" t="s">
        <v>2579</v>
      </c>
      <c r="B7782">
        <v>4</v>
      </c>
      <c r="C7782" t="s">
        <v>10346</v>
      </c>
      <c r="D7782" t="s">
        <v>281</v>
      </c>
      <c r="E7782" s="13">
        <v>3000</v>
      </c>
      <c r="F7782" s="12">
        <v>0.35</v>
      </c>
      <c r="G7782" t="str">
        <f>IFERROR(INDEX(tEditais[Órgão],MATCH(tItens[[#This Row],[Edital]],tEditais[Edital],0)),"")</f>
        <v>MUNICIPIO DE ROSARIO DO SUL</v>
      </c>
      <c r="H7782" t="str">
        <f>IFERROR(INDEX(tEditais[UF],MATCH(tItens[[#This Row],[Edital]],tEditais[Edital],0)),"")</f>
        <v>RS</v>
      </c>
      <c r="I7782" s="11">
        <f>IFERROR(INDEX(tEditais[Encerramento],MATCH(tItens[[#This Row],[Edital]],tEditais[Edital],0)),"")</f>
        <v>46310.374305555553</v>
      </c>
      <c r="J7782" t="str">
        <f>IFERROR(INDEX(tProdutos[Classe],MATCH(tItens[[#This Row],[Produto]],tProdutos[Produto],0)),"produto não cadastrado")</f>
        <v>DISPUTADO</v>
      </c>
      <c r="K7782" s="12">
        <f>tItens[[#This Row],[Qtd]]*tItens[[#This Row],[Vlr unit]]</f>
        <v>1050</v>
      </c>
      <c r="L7782" s="6">
        <f>IFERROR(IF(INDEX(tProdutos[Desconto homologado],MATCH(tItens[[#This Row],[Produto]],tProdutos[Produto],0))="",DescontoPadrao,INDEX(tProdutos[Desconto homologado],MATCH(tItens[[#This Row],[Produto]],tProdutos[Produto],0))),DescontoPadrao)</f>
        <v>0.42461538461538501</v>
      </c>
      <c r="M7782" s="12">
        <f>tItens[[#This Row],[Valor]]*(1-tItens[[#This Row],[Desconto]])</f>
        <v>604.15384615384573</v>
      </c>
      <c r="N7782" t="str">
        <f>IFERROR(INDEX(tProdutos[Foco],MATCH(tItens[[#This Row],[Produto]],tProdutos[Produto],0)),"Não")</f>
        <v>Não</v>
      </c>
      <c r="O7782" t="str">
        <f>IFERROR(INDEX(tEditais[SRP],MATCH(tItens[[#This Row],[Edital]],tEditais[Edital],0)),"Não")</f>
        <v>Sim</v>
      </c>
      <c r="P7782" s="4">
        <f>IF(COUNTIFS(INDEX(tItens[Edital],1):tItens[[#This Row],[Edital]],tItens[[#This Row],[Edital]],INDEX(tItens[Produto],1):tItens[[#This Row],[Produto]],tItens[[#This Row],[Produto]])=1,1,0)</f>
        <v>1</v>
      </c>
    </row>
    <row r="7783" spans="1:16" x14ac:dyDescent="0.25">
      <c r="A7783" t="s">
        <v>2579</v>
      </c>
      <c r="B7783">
        <v>5</v>
      </c>
      <c r="C7783" t="s">
        <v>10347</v>
      </c>
      <c r="D7783" t="s">
        <v>283</v>
      </c>
      <c r="E7783" s="13">
        <v>5000</v>
      </c>
      <c r="F7783" s="12">
        <v>0.19</v>
      </c>
      <c r="G7783" t="str">
        <f>IFERROR(INDEX(tEditais[Órgão],MATCH(tItens[[#This Row],[Edital]],tEditais[Edital],0)),"")</f>
        <v>MUNICIPIO DE ROSARIO DO SUL</v>
      </c>
      <c r="H7783" t="str">
        <f>IFERROR(INDEX(tEditais[UF],MATCH(tItens[[#This Row],[Edital]],tEditais[Edital],0)),"")</f>
        <v>RS</v>
      </c>
      <c r="I7783" s="11">
        <f>IFERROR(INDEX(tEditais[Encerramento],MATCH(tItens[[#This Row],[Edital]],tEditais[Edital],0)),"")</f>
        <v>46310.374305555553</v>
      </c>
      <c r="J7783" t="str">
        <f>IFERROR(INDEX(tProdutos[Classe],MATCH(tItens[[#This Row],[Produto]],tProdutos[Produto],0)),"produto não cadastrado")</f>
        <v>FORA</v>
      </c>
      <c r="K7783" s="12">
        <f>tItens[[#This Row],[Qtd]]*tItens[[#This Row],[Vlr unit]]</f>
        <v>950</v>
      </c>
      <c r="L7783" s="6">
        <f>IFERROR(IF(INDEX(tProdutos[Desconto homologado],MATCH(tItens[[#This Row],[Produto]],tProdutos[Produto],0))="",DescontoPadrao,INDEX(tProdutos[Desconto homologado],MATCH(tItens[[#This Row],[Produto]],tProdutos[Produto],0))),DescontoPadrao)</f>
        <v>0.40540540540540498</v>
      </c>
      <c r="M7783" s="12">
        <f>tItens[[#This Row],[Valor]]*(1-tItens[[#This Row],[Desconto]])</f>
        <v>564.86486486486524</v>
      </c>
      <c r="N7783" t="str">
        <f>IFERROR(INDEX(tProdutos[Foco],MATCH(tItens[[#This Row],[Produto]],tProdutos[Produto],0)),"Não")</f>
        <v>Não</v>
      </c>
      <c r="O7783" t="str">
        <f>IFERROR(INDEX(tEditais[SRP],MATCH(tItens[[#This Row],[Edital]],tEditais[Edital],0)),"Não")</f>
        <v>Sim</v>
      </c>
      <c r="P7783" s="4">
        <f>IF(COUNTIFS(INDEX(tItens[Edital],1):tItens[[#This Row],[Edital]],tItens[[#This Row],[Edital]],INDEX(tItens[Produto],1):tItens[[#This Row],[Produto]],tItens[[#This Row],[Produto]])=1,1,0)</f>
        <v>1</v>
      </c>
    </row>
    <row r="7784" spans="1:16" x14ac:dyDescent="0.25">
      <c r="A7784" t="s">
        <v>2579</v>
      </c>
      <c r="B7784">
        <v>6</v>
      </c>
      <c r="C7784" t="s">
        <v>10348</v>
      </c>
      <c r="D7784" t="s">
        <v>265</v>
      </c>
      <c r="E7784" s="13">
        <v>3000</v>
      </c>
      <c r="F7784" s="12">
        <v>0.25</v>
      </c>
      <c r="G7784" t="str">
        <f>IFERROR(INDEX(tEditais[Órgão],MATCH(tItens[[#This Row],[Edital]],tEditais[Edital],0)),"")</f>
        <v>MUNICIPIO DE ROSARIO DO SUL</v>
      </c>
      <c r="H7784" t="str">
        <f>IFERROR(INDEX(tEditais[UF],MATCH(tItens[[#This Row],[Edital]],tEditais[Edital],0)),"")</f>
        <v>RS</v>
      </c>
      <c r="I7784" s="11">
        <f>IFERROR(INDEX(tEditais[Encerramento],MATCH(tItens[[#This Row],[Edital]],tEditais[Edital],0)),"")</f>
        <v>46310.374305555553</v>
      </c>
      <c r="J7784" t="str">
        <f>IFERROR(INDEX(tProdutos[Classe],MATCH(tItens[[#This Row],[Produto]],tProdutos[Produto],0)),"produto não cadastrado")</f>
        <v>DISPUTADO</v>
      </c>
      <c r="K7784" s="12">
        <f>tItens[[#This Row],[Qtd]]*tItens[[#This Row],[Vlr unit]]</f>
        <v>750</v>
      </c>
      <c r="L7784" s="6">
        <f>IFERROR(IF(INDEX(tProdutos[Desconto homologado],MATCH(tItens[[#This Row],[Produto]],tProdutos[Produto],0))="",DescontoPadrao,INDEX(tProdutos[Desconto homologado],MATCH(tItens[[#This Row],[Produto]],tProdutos[Produto],0))),DescontoPadrao)</f>
        <v>0.377587663709337</v>
      </c>
      <c r="M7784" s="12">
        <f>tItens[[#This Row],[Valor]]*(1-tItens[[#This Row],[Desconto]])</f>
        <v>466.80925221799731</v>
      </c>
      <c r="N7784" t="str">
        <f>IFERROR(INDEX(tProdutos[Foco],MATCH(tItens[[#This Row],[Produto]],tProdutos[Produto],0)),"Não")</f>
        <v>Não</v>
      </c>
      <c r="O7784" t="str">
        <f>IFERROR(INDEX(tEditais[SRP],MATCH(tItens[[#This Row],[Edital]],tEditais[Edital],0)),"Não")</f>
        <v>Sim</v>
      </c>
      <c r="P7784" s="4">
        <f>IF(COUNTIFS(INDEX(tItens[Edital],1):tItens[[#This Row],[Edital]],tItens[[#This Row],[Edital]],INDEX(tItens[Produto],1):tItens[[#This Row],[Produto]],tItens[[#This Row],[Produto]])=1,1,0)</f>
        <v>1</v>
      </c>
    </row>
    <row r="7785" spans="1:16" x14ac:dyDescent="0.25">
      <c r="A7785" t="s">
        <v>2579</v>
      </c>
      <c r="B7785">
        <v>7</v>
      </c>
      <c r="C7785" t="s">
        <v>10349</v>
      </c>
      <c r="D7785" t="s">
        <v>289</v>
      </c>
      <c r="E7785" s="13">
        <v>4000</v>
      </c>
      <c r="F7785" s="12">
        <v>0.48</v>
      </c>
      <c r="G7785" t="str">
        <f>IFERROR(INDEX(tEditais[Órgão],MATCH(tItens[[#This Row],[Edital]],tEditais[Edital],0)),"")</f>
        <v>MUNICIPIO DE ROSARIO DO SUL</v>
      </c>
      <c r="H7785" t="str">
        <f>IFERROR(INDEX(tEditais[UF],MATCH(tItens[[#This Row],[Edital]],tEditais[Edital],0)),"")</f>
        <v>RS</v>
      </c>
      <c r="I7785" s="11">
        <f>IFERROR(INDEX(tEditais[Encerramento],MATCH(tItens[[#This Row],[Edital]],tEditais[Edital],0)),"")</f>
        <v>46310.374305555553</v>
      </c>
      <c r="J7785" t="str">
        <f>IFERROR(INDEX(tProdutos[Classe],MATCH(tItens[[#This Row],[Produto]],tProdutos[Produto],0)),"produto não cadastrado")</f>
        <v>DISPUTADO</v>
      </c>
      <c r="K7785" s="12">
        <f>tItens[[#This Row],[Qtd]]*tItens[[#This Row],[Vlr unit]]</f>
        <v>1920</v>
      </c>
      <c r="L7785" s="6">
        <f>IFERROR(IF(INDEX(tProdutos[Desconto homologado],MATCH(tItens[[#This Row],[Produto]],tProdutos[Produto],0))="",DescontoPadrao,INDEX(tProdutos[Desconto homologado],MATCH(tItens[[#This Row],[Produto]],tProdutos[Produto],0))),DescontoPadrao)</f>
        <v>0.35849056603773599</v>
      </c>
      <c r="M7785" s="12">
        <f>tItens[[#This Row],[Valor]]*(1-tItens[[#This Row],[Desconto]])</f>
        <v>1231.6981132075468</v>
      </c>
      <c r="N7785" t="str">
        <f>IFERROR(INDEX(tProdutos[Foco],MATCH(tItens[[#This Row],[Produto]],tProdutos[Produto],0)),"Não")</f>
        <v>Não</v>
      </c>
      <c r="O7785" t="str">
        <f>IFERROR(INDEX(tEditais[SRP],MATCH(tItens[[#This Row],[Edital]],tEditais[Edital],0)),"Não")</f>
        <v>Sim</v>
      </c>
      <c r="P7785" s="4">
        <f>IF(COUNTIFS(INDEX(tItens[Edital],1):tItens[[#This Row],[Edital]],tItens[[#This Row],[Edital]],INDEX(tItens[Produto],1):tItens[[#This Row],[Produto]],tItens[[#This Row],[Produto]])=1,1,0)</f>
        <v>1</v>
      </c>
    </row>
    <row r="7786" spans="1:16" x14ac:dyDescent="0.25">
      <c r="A7786" t="s">
        <v>2579</v>
      </c>
      <c r="B7786">
        <v>13</v>
      </c>
      <c r="C7786" t="s">
        <v>10350</v>
      </c>
      <c r="D7786" t="s">
        <v>512</v>
      </c>
      <c r="E7786" s="13">
        <v>30</v>
      </c>
      <c r="F7786" s="12">
        <v>7.32</v>
      </c>
      <c r="G7786" t="str">
        <f>IFERROR(INDEX(tEditais[Órgão],MATCH(tItens[[#This Row],[Edital]],tEditais[Edital],0)),"")</f>
        <v>MUNICIPIO DE ROSARIO DO SUL</v>
      </c>
      <c r="H7786" t="str">
        <f>IFERROR(INDEX(tEditais[UF],MATCH(tItens[[#This Row],[Edital]],tEditais[Edital],0)),"")</f>
        <v>RS</v>
      </c>
      <c r="I7786" s="11">
        <f>IFERROR(INDEX(tEditais[Encerramento],MATCH(tItens[[#This Row],[Edital]],tEditais[Edital],0)),"")</f>
        <v>46310.374305555553</v>
      </c>
      <c r="J7786" t="str">
        <f>IFERROR(INDEX(tProdutos[Classe],MATCH(tItens[[#This Row],[Produto]],tProdutos[Produto],0)),"produto não cadastrado")</f>
        <v>FILA REBASE</v>
      </c>
      <c r="K7786" s="12">
        <f>tItens[[#This Row],[Qtd]]*tItens[[#This Row],[Vlr unit]]</f>
        <v>219.60000000000002</v>
      </c>
      <c r="L7786" s="6">
        <f>IFERROR(IF(INDEX(tProdutos[Desconto homologado],MATCH(tItens[[#This Row],[Produto]],tProdutos[Produto],0))="",DescontoPadrao,INDEX(tProdutos[Desconto homologado],MATCH(tItens[[#This Row],[Produto]],tProdutos[Produto],0))),DescontoPadrao)</f>
        <v>0.32579365079365102</v>
      </c>
      <c r="M7786" s="12">
        <f>tItens[[#This Row],[Valor]]*(1-tItens[[#This Row],[Desconto]])</f>
        <v>148.05571428571426</v>
      </c>
      <c r="N7786" t="str">
        <f>IFERROR(INDEX(tProdutos[Foco],MATCH(tItens[[#This Row],[Produto]],tProdutos[Produto],0)),"Não")</f>
        <v>Não</v>
      </c>
      <c r="O7786" t="str">
        <f>IFERROR(INDEX(tEditais[SRP],MATCH(tItens[[#This Row],[Edital]],tEditais[Edital],0)),"Não")</f>
        <v>Sim</v>
      </c>
      <c r="P7786" s="4">
        <f>IF(COUNTIFS(INDEX(tItens[Edital],1):tItens[[#This Row],[Edital]],tItens[[#This Row],[Edital]],INDEX(tItens[Produto],1):tItens[[#This Row],[Produto]],tItens[[#This Row],[Produto]])=1,1,0)</f>
        <v>1</v>
      </c>
    </row>
    <row r="7787" spans="1:16" x14ac:dyDescent="0.25">
      <c r="A7787" t="s">
        <v>2579</v>
      </c>
      <c r="B7787">
        <v>24</v>
      </c>
      <c r="C7787" t="s">
        <v>10351</v>
      </c>
      <c r="D7787" t="s">
        <v>569</v>
      </c>
      <c r="E7787" s="13">
        <v>50</v>
      </c>
      <c r="F7787" s="12">
        <v>65</v>
      </c>
      <c r="G7787" t="str">
        <f>IFERROR(INDEX(tEditais[Órgão],MATCH(tItens[[#This Row],[Edital]],tEditais[Edital],0)),"")</f>
        <v>MUNICIPIO DE ROSARIO DO SUL</v>
      </c>
      <c r="H7787" t="str">
        <f>IFERROR(INDEX(tEditais[UF],MATCH(tItens[[#This Row],[Edital]],tEditais[Edital],0)),"")</f>
        <v>RS</v>
      </c>
      <c r="I7787" s="11">
        <f>IFERROR(INDEX(tEditais[Encerramento],MATCH(tItens[[#This Row],[Edital]],tEditais[Edital],0)),"")</f>
        <v>46310.374305555553</v>
      </c>
      <c r="J7787" t="str">
        <f>IFERROR(INDEX(tProdutos[Classe],MATCH(tItens[[#This Row],[Produto]],tProdutos[Produto],0)),"produto não cadastrado")</f>
        <v>FILA REBASE</v>
      </c>
      <c r="K7787" s="12">
        <f>tItens[[#This Row],[Qtd]]*tItens[[#This Row],[Vlr unit]]</f>
        <v>3250</v>
      </c>
      <c r="L7787" s="6">
        <f>IFERROR(IF(INDEX(tProdutos[Desconto homologado],MATCH(tItens[[#This Row],[Produto]],tProdutos[Produto],0))="",DescontoPadrao,INDEX(tProdutos[Desconto homologado],MATCH(tItens[[#This Row],[Produto]],tProdutos[Produto],0))),DescontoPadrao)</f>
        <v>0.3</v>
      </c>
      <c r="M7787" s="12">
        <f>tItens[[#This Row],[Valor]]*(1-tItens[[#This Row],[Desconto]])</f>
        <v>2275</v>
      </c>
      <c r="N7787" t="str">
        <f>IFERROR(INDEX(tProdutos[Foco],MATCH(tItens[[#This Row],[Produto]],tProdutos[Produto],0)),"Não")</f>
        <v>Não</v>
      </c>
      <c r="O7787" t="str">
        <f>IFERROR(INDEX(tEditais[SRP],MATCH(tItens[[#This Row],[Edital]],tEditais[Edital],0)),"Não")</f>
        <v>Sim</v>
      </c>
      <c r="P7787" s="4">
        <f>IF(COUNTIFS(INDEX(tItens[Edital],1):tItens[[#This Row],[Edital]],tItens[[#This Row],[Edital]],INDEX(tItens[Produto],1):tItens[[#This Row],[Produto]],tItens[[#This Row],[Produto]])=1,1,0)</f>
        <v>1</v>
      </c>
    </row>
    <row r="7788" spans="1:16" x14ac:dyDescent="0.25">
      <c r="A7788" t="s">
        <v>2579</v>
      </c>
      <c r="B7788">
        <v>25</v>
      </c>
      <c r="C7788" t="s">
        <v>10352</v>
      </c>
      <c r="D7788" t="s">
        <v>641</v>
      </c>
      <c r="E7788" s="13">
        <v>50</v>
      </c>
      <c r="F7788" s="12">
        <v>44.16</v>
      </c>
      <c r="G7788" t="str">
        <f>IFERROR(INDEX(tEditais[Órgão],MATCH(tItens[[#This Row],[Edital]],tEditais[Edital],0)),"")</f>
        <v>MUNICIPIO DE ROSARIO DO SUL</v>
      </c>
      <c r="H7788" t="str">
        <f>IFERROR(INDEX(tEditais[UF],MATCH(tItens[[#This Row],[Edital]],tEditais[Edital],0)),"")</f>
        <v>RS</v>
      </c>
      <c r="I7788" s="11">
        <f>IFERROR(INDEX(tEditais[Encerramento],MATCH(tItens[[#This Row],[Edital]],tEditais[Edital],0)),"")</f>
        <v>46310.374305555553</v>
      </c>
      <c r="J7788" t="str">
        <f>IFERROR(INDEX(tProdutos[Classe],MATCH(tItens[[#This Row],[Produto]],tProdutos[Produto],0)),"produto não cadastrado")</f>
        <v>FILA REBASE</v>
      </c>
      <c r="K7788" s="12">
        <f>tItens[[#This Row],[Qtd]]*tItens[[#This Row],[Vlr unit]]</f>
        <v>2208</v>
      </c>
      <c r="L7788" s="6">
        <f>IFERROR(IF(INDEX(tProdutos[Desconto homologado],MATCH(tItens[[#This Row],[Produto]],tProdutos[Produto],0))="",DescontoPadrao,INDEX(tProdutos[Desconto homologado],MATCH(tItens[[#This Row],[Produto]],tProdutos[Produto],0))),DescontoPadrao)</f>
        <v>0.3</v>
      </c>
      <c r="M7788" s="12">
        <f>tItens[[#This Row],[Valor]]*(1-tItens[[#This Row],[Desconto]])</f>
        <v>1545.6</v>
      </c>
      <c r="N7788" t="str">
        <f>IFERROR(INDEX(tProdutos[Foco],MATCH(tItens[[#This Row],[Produto]],tProdutos[Produto],0)),"Não")</f>
        <v>Não</v>
      </c>
      <c r="O7788" t="str">
        <f>IFERROR(INDEX(tEditais[SRP],MATCH(tItens[[#This Row],[Edital]],tEditais[Edital],0)),"Não")</f>
        <v>Sim</v>
      </c>
      <c r="P7788" s="4">
        <f>IF(COUNTIFS(INDEX(tItens[Edital],1):tItens[[#This Row],[Edital]],tItens[[#This Row],[Edital]],INDEX(tItens[Produto],1):tItens[[#This Row],[Produto]],tItens[[#This Row],[Produto]])=1,1,0)</f>
        <v>1</v>
      </c>
    </row>
    <row r="7789" spans="1:16" x14ac:dyDescent="0.25">
      <c r="A7789" t="s">
        <v>2579</v>
      </c>
      <c r="B7789">
        <v>28</v>
      </c>
      <c r="C7789" t="s">
        <v>10353</v>
      </c>
      <c r="D7789" t="s">
        <v>283</v>
      </c>
      <c r="E7789" s="13">
        <v>5000</v>
      </c>
      <c r="F7789" s="12">
        <v>0.12</v>
      </c>
      <c r="G7789" t="str">
        <f>IFERROR(INDEX(tEditais[Órgão],MATCH(tItens[[#This Row],[Edital]],tEditais[Edital],0)),"")</f>
        <v>MUNICIPIO DE ROSARIO DO SUL</v>
      </c>
      <c r="H7789" t="str">
        <f>IFERROR(INDEX(tEditais[UF],MATCH(tItens[[#This Row],[Edital]],tEditais[Edital],0)),"")</f>
        <v>RS</v>
      </c>
      <c r="I7789" s="11">
        <f>IFERROR(INDEX(tEditais[Encerramento],MATCH(tItens[[#This Row],[Edital]],tEditais[Edital],0)),"")</f>
        <v>46310.374305555553</v>
      </c>
      <c r="J7789" t="str">
        <f>IFERROR(INDEX(tProdutos[Classe],MATCH(tItens[[#This Row],[Produto]],tProdutos[Produto],0)),"produto não cadastrado")</f>
        <v>FORA</v>
      </c>
      <c r="K7789" s="12">
        <f>tItens[[#This Row],[Qtd]]*tItens[[#This Row],[Vlr unit]]</f>
        <v>600</v>
      </c>
      <c r="L7789" s="6">
        <f>IFERROR(IF(INDEX(tProdutos[Desconto homologado],MATCH(tItens[[#This Row],[Produto]],tProdutos[Produto],0))="",DescontoPadrao,INDEX(tProdutos[Desconto homologado],MATCH(tItens[[#This Row],[Produto]],tProdutos[Produto],0))),DescontoPadrao)</f>
        <v>0.40540540540540498</v>
      </c>
      <c r="M7789" s="12">
        <f>tItens[[#This Row],[Valor]]*(1-tItens[[#This Row],[Desconto]])</f>
        <v>356.756756756757</v>
      </c>
      <c r="N7789" t="str">
        <f>IFERROR(INDEX(tProdutos[Foco],MATCH(tItens[[#This Row],[Produto]],tProdutos[Produto],0)),"Não")</f>
        <v>Não</v>
      </c>
      <c r="O7789" t="str">
        <f>IFERROR(INDEX(tEditais[SRP],MATCH(tItens[[#This Row],[Edital]],tEditais[Edital],0)),"Não")</f>
        <v>Sim</v>
      </c>
      <c r="P7789" s="4">
        <f>IF(COUNTIFS(INDEX(tItens[Edital],1):tItens[[#This Row],[Edital]],tItens[[#This Row],[Edital]],INDEX(tItens[Produto],1):tItens[[#This Row],[Produto]],tItens[[#This Row],[Produto]])=1,1,0)</f>
        <v>0</v>
      </c>
    </row>
    <row r="7790" spans="1:16" x14ac:dyDescent="0.25">
      <c r="A7790" t="s">
        <v>2579</v>
      </c>
      <c r="B7790">
        <v>35</v>
      </c>
      <c r="C7790" t="s">
        <v>10354</v>
      </c>
      <c r="D7790" t="s">
        <v>277</v>
      </c>
      <c r="E7790" s="13">
        <v>350</v>
      </c>
      <c r="F7790" s="12">
        <v>12.85</v>
      </c>
      <c r="G7790" t="str">
        <f>IFERROR(INDEX(tEditais[Órgão],MATCH(tItens[[#This Row],[Edital]],tEditais[Edital],0)),"")</f>
        <v>MUNICIPIO DE ROSARIO DO SUL</v>
      </c>
      <c r="H7790" t="str">
        <f>IFERROR(INDEX(tEditais[UF],MATCH(tItens[[#This Row],[Edital]],tEditais[Edital],0)),"")</f>
        <v>RS</v>
      </c>
      <c r="I7790" s="11">
        <f>IFERROR(INDEX(tEditais[Encerramento],MATCH(tItens[[#This Row],[Edital]],tEditais[Edital],0)),"")</f>
        <v>46310.374305555553</v>
      </c>
      <c r="J7790" t="str">
        <f>IFERROR(INDEX(tProdutos[Classe],MATCH(tItens[[#This Row],[Produto]],tProdutos[Produto],0)),"produto não cadastrado")</f>
        <v>DISPUTADO</v>
      </c>
      <c r="K7790" s="12">
        <f>tItens[[#This Row],[Qtd]]*tItens[[#This Row],[Vlr unit]]</f>
        <v>4497.5</v>
      </c>
      <c r="L7790" s="6">
        <f>IFERROR(IF(INDEX(tProdutos[Desconto homologado],MATCH(tItens[[#This Row],[Produto]],tProdutos[Produto],0))="",DescontoPadrao,INDEX(tProdutos[Desconto homologado],MATCH(tItens[[#This Row],[Produto]],tProdutos[Produto],0))),DescontoPadrao)</f>
        <v>0.50460666194188497</v>
      </c>
      <c r="M7790" s="12">
        <f>tItens[[#This Row],[Valor]]*(1-tItens[[#This Row],[Desconto]])</f>
        <v>2228.0315379163721</v>
      </c>
      <c r="N7790" t="str">
        <f>IFERROR(INDEX(tProdutos[Foco],MATCH(tItens[[#This Row],[Produto]],tProdutos[Produto],0)),"Não")</f>
        <v>Não</v>
      </c>
      <c r="O7790" t="str">
        <f>IFERROR(INDEX(tEditais[SRP],MATCH(tItens[[#This Row],[Edital]],tEditais[Edital],0)),"Não")</f>
        <v>Sim</v>
      </c>
      <c r="P7790" s="4">
        <f>IF(COUNTIFS(INDEX(tItens[Edital],1):tItens[[#This Row],[Edital]],tItens[[#This Row],[Edital]],INDEX(tItens[Produto],1):tItens[[#This Row],[Produto]],tItens[[#This Row],[Produto]])=1,1,0)</f>
        <v>1</v>
      </c>
    </row>
    <row r="7791" spans="1:16" x14ac:dyDescent="0.25">
      <c r="A7791" t="s">
        <v>2579</v>
      </c>
      <c r="B7791">
        <v>44</v>
      </c>
      <c r="C7791" t="s">
        <v>10355</v>
      </c>
      <c r="D7791" t="s">
        <v>411</v>
      </c>
      <c r="E7791" s="13">
        <v>30</v>
      </c>
      <c r="F7791" s="12">
        <v>30.1</v>
      </c>
      <c r="G7791" t="str">
        <f>IFERROR(INDEX(tEditais[Órgão],MATCH(tItens[[#This Row],[Edital]],tEditais[Edital],0)),"")</f>
        <v>MUNICIPIO DE ROSARIO DO SUL</v>
      </c>
      <c r="H7791" t="str">
        <f>IFERROR(INDEX(tEditais[UF],MATCH(tItens[[#This Row],[Edital]],tEditais[Edital],0)),"")</f>
        <v>RS</v>
      </c>
      <c r="I7791" s="11">
        <f>IFERROR(INDEX(tEditais[Encerramento],MATCH(tItens[[#This Row],[Edital]],tEditais[Edital],0)),"")</f>
        <v>46310.374305555553</v>
      </c>
      <c r="J7791" t="str">
        <f>IFERROR(INDEX(tProdutos[Classe],MATCH(tItens[[#This Row],[Produto]],tProdutos[Produto],0)),"produto não cadastrado")</f>
        <v>FORA</v>
      </c>
      <c r="K7791" s="12">
        <f>tItens[[#This Row],[Qtd]]*tItens[[#This Row],[Vlr unit]]</f>
        <v>903</v>
      </c>
      <c r="L7791" s="6">
        <f>IFERROR(IF(INDEX(tProdutos[Desconto homologado],MATCH(tItens[[#This Row],[Produto]],tProdutos[Produto],0))="",DescontoPadrao,INDEX(tProdutos[Desconto homologado],MATCH(tItens[[#This Row],[Produto]],tProdutos[Produto],0))),DescontoPadrao)</f>
        <v>0.50029835957199398</v>
      </c>
      <c r="M7791" s="12">
        <f>tItens[[#This Row],[Valor]]*(1-tItens[[#This Row],[Desconto]])</f>
        <v>451.23058130648946</v>
      </c>
      <c r="N7791" t="str">
        <f>IFERROR(INDEX(tProdutos[Foco],MATCH(tItens[[#This Row],[Produto]],tProdutos[Produto],0)),"Não")</f>
        <v>Não</v>
      </c>
      <c r="O7791" t="str">
        <f>IFERROR(INDEX(tEditais[SRP],MATCH(tItens[[#This Row],[Edital]],tEditais[Edital],0)),"Não")</f>
        <v>Sim</v>
      </c>
      <c r="P7791" s="4">
        <f>IF(COUNTIFS(INDEX(tItens[Edital],1):tItens[[#This Row],[Edital]],tItens[[#This Row],[Edital]],INDEX(tItens[Produto],1):tItens[[#This Row],[Produto]],tItens[[#This Row],[Produto]])=1,1,0)</f>
        <v>1</v>
      </c>
    </row>
    <row r="7792" spans="1:16" x14ac:dyDescent="0.25">
      <c r="A7792" t="s">
        <v>2579</v>
      </c>
      <c r="B7792">
        <v>49</v>
      </c>
      <c r="C7792" t="s">
        <v>10356</v>
      </c>
      <c r="D7792" t="s">
        <v>142</v>
      </c>
      <c r="E7792" s="13">
        <v>1500</v>
      </c>
      <c r="F7792" s="12">
        <v>3.2</v>
      </c>
      <c r="G7792" t="str">
        <f>IFERROR(INDEX(tEditais[Órgão],MATCH(tItens[[#This Row],[Edital]],tEditais[Edital],0)),"")</f>
        <v>MUNICIPIO DE ROSARIO DO SUL</v>
      </c>
      <c r="H7792" t="str">
        <f>IFERROR(INDEX(tEditais[UF],MATCH(tItens[[#This Row],[Edital]],tEditais[Edital],0)),"")</f>
        <v>RS</v>
      </c>
      <c r="I7792" s="11">
        <f>IFERROR(INDEX(tEditais[Encerramento],MATCH(tItens[[#This Row],[Edital]],tEditais[Edital],0)),"")</f>
        <v>46310.374305555553</v>
      </c>
      <c r="J7792" t="str">
        <f>IFERROR(INDEX(tProdutos[Classe],MATCH(tItens[[#This Row],[Produto]],tProdutos[Produto],0)),"produto não cadastrado")</f>
        <v>DISPUTADO</v>
      </c>
      <c r="K7792" s="12">
        <f>tItens[[#This Row],[Qtd]]*tItens[[#This Row],[Vlr unit]]</f>
        <v>4800</v>
      </c>
      <c r="L7792" s="6">
        <f>IFERROR(IF(INDEX(tProdutos[Desconto homologado],MATCH(tItens[[#This Row],[Produto]],tProdutos[Produto],0))="",DescontoPadrao,INDEX(tProdutos[Desconto homologado],MATCH(tItens[[#This Row],[Produto]],tProdutos[Produto],0))),DescontoPadrao)</f>
        <v>0.37093619495691699</v>
      </c>
      <c r="M7792" s="12">
        <f>tItens[[#This Row],[Valor]]*(1-tItens[[#This Row],[Desconto]])</f>
        <v>3019.5062642067983</v>
      </c>
      <c r="N7792" t="str">
        <f>IFERROR(INDEX(tProdutos[Foco],MATCH(tItens[[#This Row],[Produto]],tProdutos[Produto],0)),"Não")</f>
        <v>Não</v>
      </c>
      <c r="O7792" t="str">
        <f>IFERROR(INDEX(tEditais[SRP],MATCH(tItens[[#This Row],[Edital]],tEditais[Edital],0)),"Não")</f>
        <v>Sim</v>
      </c>
      <c r="P7792" s="4">
        <f>IF(COUNTIFS(INDEX(tItens[Edital],1):tItens[[#This Row],[Edital]],tItens[[#This Row],[Edital]],INDEX(tItens[Produto],1):tItens[[#This Row],[Produto]],tItens[[#This Row],[Produto]])=1,1,0)</f>
        <v>1</v>
      </c>
    </row>
    <row r="7793" spans="1:16" x14ac:dyDescent="0.25">
      <c r="A7793" t="s">
        <v>2579</v>
      </c>
      <c r="B7793">
        <v>50</v>
      </c>
      <c r="C7793" t="s">
        <v>10357</v>
      </c>
      <c r="D7793" t="s">
        <v>341</v>
      </c>
      <c r="E7793" s="13">
        <v>5000</v>
      </c>
      <c r="F7793" s="12">
        <v>1.29</v>
      </c>
      <c r="G7793" t="str">
        <f>IFERROR(INDEX(tEditais[Órgão],MATCH(tItens[[#This Row],[Edital]],tEditais[Edital],0)),"")</f>
        <v>MUNICIPIO DE ROSARIO DO SUL</v>
      </c>
      <c r="H7793" t="str">
        <f>IFERROR(INDEX(tEditais[UF],MATCH(tItens[[#This Row],[Edital]],tEditais[Edital],0)),"")</f>
        <v>RS</v>
      </c>
      <c r="I7793" s="11">
        <f>IFERROR(INDEX(tEditais[Encerramento],MATCH(tItens[[#This Row],[Edital]],tEditais[Edital],0)),"")</f>
        <v>46310.374305555553</v>
      </c>
      <c r="J7793" t="str">
        <f>IFERROR(INDEX(tProdutos[Classe],MATCH(tItens[[#This Row],[Produto]],tProdutos[Produto],0)),"produto não cadastrado")</f>
        <v>FORA</v>
      </c>
      <c r="K7793" s="12">
        <f>tItens[[#This Row],[Qtd]]*tItens[[#This Row],[Vlr unit]]</f>
        <v>6450</v>
      </c>
      <c r="L7793" s="6">
        <f>IFERROR(IF(INDEX(tProdutos[Desconto homologado],MATCH(tItens[[#This Row],[Produto]],tProdutos[Produto],0))="",DescontoPadrao,INDEX(tProdutos[Desconto homologado],MATCH(tItens[[#This Row],[Produto]],tProdutos[Produto],0))),DescontoPadrao)</f>
        <v>0.46918578497525898</v>
      </c>
      <c r="M7793" s="12">
        <f>tItens[[#This Row],[Valor]]*(1-tItens[[#This Row],[Desconto]])</f>
        <v>3423.7516869095798</v>
      </c>
      <c r="N7793" t="str">
        <f>IFERROR(INDEX(tProdutos[Foco],MATCH(tItens[[#This Row],[Produto]],tProdutos[Produto],0)),"Não")</f>
        <v>Não</v>
      </c>
      <c r="O7793" t="str">
        <f>IFERROR(INDEX(tEditais[SRP],MATCH(tItens[[#This Row],[Edital]],tEditais[Edital],0)),"Não")</f>
        <v>Sim</v>
      </c>
      <c r="P7793" s="4">
        <f>IF(COUNTIFS(INDEX(tItens[Edital],1):tItens[[#This Row],[Edital]],tItens[[#This Row],[Edital]],INDEX(tItens[Produto],1):tItens[[#This Row],[Produto]],tItens[[#This Row],[Produto]])=1,1,0)</f>
        <v>1</v>
      </c>
    </row>
    <row r="7794" spans="1:16" x14ac:dyDescent="0.25">
      <c r="A7794" t="s">
        <v>2579</v>
      </c>
      <c r="B7794">
        <v>60</v>
      </c>
      <c r="C7794" t="s">
        <v>10358</v>
      </c>
      <c r="D7794" t="s">
        <v>351</v>
      </c>
      <c r="E7794" s="13">
        <v>300</v>
      </c>
      <c r="F7794" s="12">
        <v>10.26</v>
      </c>
      <c r="G7794" t="str">
        <f>IFERROR(INDEX(tEditais[Órgão],MATCH(tItens[[#This Row],[Edital]],tEditais[Edital],0)),"")</f>
        <v>MUNICIPIO DE ROSARIO DO SUL</v>
      </c>
      <c r="H7794" t="str">
        <f>IFERROR(INDEX(tEditais[UF],MATCH(tItens[[#This Row],[Edital]],tEditais[Edital],0)),"")</f>
        <v>RS</v>
      </c>
      <c r="I7794" s="11">
        <f>IFERROR(INDEX(tEditais[Encerramento],MATCH(tItens[[#This Row],[Edital]],tEditais[Edital],0)),"")</f>
        <v>46310.374305555553</v>
      </c>
      <c r="J7794" t="str">
        <f>IFERROR(INDEX(tProdutos[Classe],MATCH(tItens[[#This Row],[Produto]],tProdutos[Produto],0)),"produto não cadastrado")</f>
        <v>FORA</v>
      </c>
      <c r="K7794" s="12">
        <f>tItens[[#This Row],[Qtd]]*tItens[[#This Row],[Vlr unit]]</f>
        <v>3078</v>
      </c>
      <c r="L7794" s="6">
        <f>IFERROR(IF(INDEX(tProdutos[Desconto homologado],MATCH(tItens[[#This Row],[Produto]],tProdutos[Produto],0))="",DescontoPadrao,INDEX(tProdutos[Desconto homologado],MATCH(tItens[[#This Row],[Produto]],tProdutos[Produto],0))),DescontoPadrao)</f>
        <v>0.33518005540166201</v>
      </c>
      <c r="M7794" s="12">
        <f>tItens[[#This Row],[Valor]]*(1-tItens[[#This Row],[Desconto]])</f>
        <v>2046.3157894736844</v>
      </c>
      <c r="N7794" t="str">
        <f>IFERROR(INDEX(tProdutos[Foco],MATCH(tItens[[#This Row],[Produto]],tProdutos[Produto],0)),"Não")</f>
        <v>Não</v>
      </c>
      <c r="O7794" t="str">
        <f>IFERROR(INDEX(tEditais[SRP],MATCH(tItens[[#This Row],[Edital]],tEditais[Edital],0)),"Não")</f>
        <v>Sim</v>
      </c>
      <c r="P7794" s="4">
        <f>IF(COUNTIFS(INDEX(tItens[Edital],1):tItens[[#This Row],[Edital]],tItens[[#This Row],[Edital]],INDEX(tItens[Produto],1):tItens[[#This Row],[Produto]],tItens[[#This Row],[Produto]])=1,1,0)</f>
        <v>1</v>
      </c>
    </row>
    <row r="7795" spans="1:16" x14ac:dyDescent="0.25">
      <c r="A7795" t="s">
        <v>2579</v>
      </c>
      <c r="B7795">
        <v>61</v>
      </c>
      <c r="C7795" t="s">
        <v>10359</v>
      </c>
      <c r="D7795" t="s">
        <v>351</v>
      </c>
      <c r="E7795" s="13">
        <v>300</v>
      </c>
      <c r="F7795" s="12">
        <v>13.48</v>
      </c>
      <c r="G7795" t="str">
        <f>IFERROR(INDEX(tEditais[Órgão],MATCH(tItens[[#This Row],[Edital]],tEditais[Edital],0)),"")</f>
        <v>MUNICIPIO DE ROSARIO DO SUL</v>
      </c>
      <c r="H7795" t="str">
        <f>IFERROR(INDEX(tEditais[UF],MATCH(tItens[[#This Row],[Edital]],tEditais[Edital],0)),"")</f>
        <v>RS</v>
      </c>
      <c r="I7795" s="11">
        <f>IFERROR(INDEX(tEditais[Encerramento],MATCH(tItens[[#This Row],[Edital]],tEditais[Edital],0)),"")</f>
        <v>46310.374305555553</v>
      </c>
      <c r="J7795" t="str">
        <f>IFERROR(INDEX(tProdutos[Classe],MATCH(tItens[[#This Row],[Produto]],tProdutos[Produto],0)),"produto não cadastrado")</f>
        <v>FORA</v>
      </c>
      <c r="K7795" s="12">
        <f>tItens[[#This Row],[Qtd]]*tItens[[#This Row],[Vlr unit]]</f>
        <v>4044</v>
      </c>
      <c r="L7795" s="6">
        <f>IFERROR(IF(INDEX(tProdutos[Desconto homologado],MATCH(tItens[[#This Row],[Produto]],tProdutos[Produto],0))="",DescontoPadrao,INDEX(tProdutos[Desconto homologado],MATCH(tItens[[#This Row],[Produto]],tProdutos[Produto],0))),DescontoPadrao)</f>
        <v>0.33518005540166201</v>
      </c>
      <c r="M7795" s="12">
        <f>tItens[[#This Row],[Valor]]*(1-tItens[[#This Row],[Desconto]])</f>
        <v>2688.531855955679</v>
      </c>
      <c r="N7795" t="str">
        <f>IFERROR(INDEX(tProdutos[Foco],MATCH(tItens[[#This Row],[Produto]],tProdutos[Produto],0)),"Não")</f>
        <v>Não</v>
      </c>
      <c r="O7795" t="str">
        <f>IFERROR(INDEX(tEditais[SRP],MATCH(tItens[[#This Row],[Edital]],tEditais[Edital],0)),"Não")</f>
        <v>Sim</v>
      </c>
      <c r="P7795" s="4">
        <f>IF(COUNTIFS(INDEX(tItens[Edital],1):tItens[[#This Row],[Edital]],tItens[[#This Row],[Edital]],INDEX(tItens[Produto],1):tItens[[#This Row],[Produto]],tItens[[#This Row],[Produto]])=1,1,0)</f>
        <v>0</v>
      </c>
    </row>
    <row r="7796" spans="1:16" x14ac:dyDescent="0.25">
      <c r="A7796" t="s">
        <v>2579</v>
      </c>
      <c r="B7796">
        <v>63</v>
      </c>
      <c r="C7796" t="s">
        <v>10360</v>
      </c>
      <c r="D7796" t="s">
        <v>90</v>
      </c>
      <c r="E7796" s="13">
        <v>500</v>
      </c>
      <c r="F7796" s="12">
        <v>4.97</v>
      </c>
      <c r="G7796" t="str">
        <f>IFERROR(INDEX(tEditais[Órgão],MATCH(tItens[[#This Row],[Edital]],tEditais[Edital],0)),"")</f>
        <v>MUNICIPIO DE ROSARIO DO SUL</v>
      </c>
      <c r="H7796" t="str">
        <f>IFERROR(INDEX(tEditais[UF],MATCH(tItens[[#This Row],[Edital]],tEditais[Edital],0)),"")</f>
        <v>RS</v>
      </c>
      <c r="I7796" s="11">
        <f>IFERROR(INDEX(tEditais[Encerramento],MATCH(tItens[[#This Row],[Edital]],tEditais[Edital],0)),"")</f>
        <v>46310.374305555553</v>
      </c>
      <c r="J7796" t="str">
        <f>IFERROR(INDEX(tProdutos[Classe],MATCH(tItens[[#This Row],[Produto]],tProdutos[Produto],0)),"produto não cadastrado")</f>
        <v>DISPUTADO</v>
      </c>
      <c r="K7796" s="12">
        <f>tItens[[#This Row],[Qtd]]*tItens[[#This Row],[Vlr unit]]</f>
        <v>2485</v>
      </c>
      <c r="L7796" s="6">
        <f>IFERROR(IF(INDEX(tProdutos[Desconto homologado],MATCH(tItens[[#This Row],[Produto]],tProdutos[Produto],0))="",DescontoPadrao,INDEX(tProdutos[Desconto homologado],MATCH(tItens[[#This Row],[Produto]],tProdutos[Produto],0))),DescontoPadrao)</f>
        <v>0.25393823957010597</v>
      </c>
      <c r="M7796" s="12">
        <f>tItens[[#This Row],[Valor]]*(1-tItens[[#This Row],[Desconto]])</f>
        <v>1853.9634746682866</v>
      </c>
      <c r="N7796" t="str">
        <f>IFERROR(INDEX(tProdutos[Foco],MATCH(tItens[[#This Row],[Produto]],tProdutos[Produto],0)),"Não")</f>
        <v>Não</v>
      </c>
      <c r="O7796" t="str">
        <f>IFERROR(INDEX(tEditais[SRP],MATCH(tItens[[#This Row],[Edital]],tEditais[Edital],0)),"Não")</f>
        <v>Sim</v>
      </c>
      <c r="P7796" s="4">
        <f>IF(COUNTIFS(INDEX(tItens[Edital],1):tItens[[#This Row],[Edital]],tItens[[#This Row],[Edital]],INDEX(tItens[Produto],1):tItens[[#This Row],[Produto]],tItens[[#This Row],[Produto]])=1,1,0)</f>
        <v>1</v>
      </c>
    </row>
    <row r="7797" spans="1:16" x14ac:dyDescent="0.25">
      <c r="A7797" t="s">
        <v>2579</v>
      </c>
      <c r="B7797">
        <v>67</v>
      </c>
      <c r="C7797" t="s">
        <v>10361</v>
      </c>
      <c r="D7797" t="s">
        <v>75</v>
      </c>
      <c r="E7797" s="13">
        <v>4000</v>
      </c>
      <c r="F7797" s="12">
        <v>1.29</v>
      </c>
      <c r="G7797" t="str">
        <f>IFERROR(INDEX(tEditais[Órgão],MATCH(tItens[[#This Row],[Edital]],tEditais[Edital],0)),"")</f>
        <v>MUNICIPIO DE ROSARIO DO SUL</v>
      </c>
      <c r="H7797" t="str">
        <f>IFERROR(INDEX(tEditais[UF],MATCH(tItens[[#This Row],[Edital]],tEditais[Edital],0)),"")</f>
        <v>RS</v>
      </c>
      <c r="I7797" s="11">
        <f>IFERROR(INDEX(tEditais[Encerramento],MATCH(tItens[[#This Row],[Edital]],tEditais[Edital],0)),"")</f>
        <v>46310.374305555553</v>
      </c>
      <c r="J7797" t="str">
        <f>IFERROR(INDEX(tProdutos[Classe],MATCH(tItens[[#This Row],[Produto]],tProdutos[Produto],0)),"produto não cadastrado")</f>
        <v>NÚCLEO</v>
      </c>
      <c r="K7797" s="12">
        <f>tItens[[#This Row],[Qtd]]*tItens[[#This Row],[Vlr unit]]</f>
        <v>5160</v>
      </c>
      <c r="L7797" s="6">
        <f>IFERROR(IF(INDEX(tProdutos[Desconto homologado],MATCH(tItens[[#This Row],[Produto]],tProdutos[Produto],0))="",DescontoPadrao,INDEX(tProdutos[Desconto homologado],MATCH(tItens[[#This Row],[Produto]],tProdutos[Produto],0))),DescontoPadrao)</f>
        <v>0.26</v>
      </c>
      <c r="M7797" s="12">
        <f>tItens[[#This Row],[Valor]]*(1-tItens[[#This Row],[Desconto]])</f>
        <v>3818.4</v>
      </c>
      <c r="N7797" t="str">
        <f>IFERROR(INDEX(tProdutos[Foco],MATCH(tItens[[#This Row],[Produto]],tProdutos[Produto],0)),"Não")</f>
        <v>Sim</v>
      </c>
      <c r="O7797" t="str">
        <f>IFERROR(INDEX(tEditais[SRP],MATCH(tItens[[#This Row],[Edital]],tEditais[Edital],0)),"Não")</f>
        <v>Sim</v>
      </c>
      <c r="P7797" s="4">
        <f>IF(COUNTIFS(INDEX(tItens[Edital],1):tItens[[#This Row],[Edital]],tItens[[#This Row],[Edital]],INDEX(tItens[Produto],1):tItens[[#This Row],[Produto]],tItens[[#This Row],[Produto]])=1,1,0)</f>
        <v>1</v>
      </c>
    </row>
    <row r="7798" spans="1:16" x14ac:dyDescent="0.25">
      <c r="A7798" t="s">
        <v>2579</v>
      </c>
      <c r="B7798">
        <v>68</v>
      </c>
      <c r="C7798" t="s">
        <v>10362</v>
      </c>
      <c r="D7798" t="s">
        <v>75</v>
      </c>
      <c r="E7798" s="13">
        <v>4000</v>
      </c>
      <c r="F7798" s="12">
        <v>1.78</v>
      </c>
      <c r="G7798" t="str">
        <f>IFERROR(INDEX(tEditais[Órgão],MATCH(tItens[[#This Row],[Edital]],tEditais[Edital],0)),"")</f>
        <v>MUNICIPIO DE ROSARIO DO SUL</v>
      </c>
      <c r="H7798" t="str">
        <f>IFERROR(INDEX(tEditais[UF],MATCH(tItens[[#This Row],[Edital]],tEditais[Edital],0)),"")</f>
        <v>RS</v>
      </c>
      <c r="I7798" s="11">
        <f>IFERROR(INDEX(tEditais[Encerramento],MATCH(tItens[[#This Row],[Edital]],tEditais[Edital],0)),"")</f>
        <v>46310.374305555553</v>
      </c>
      <c r="J7798" t="str">
        <f>IFERROR(INDEX(tProdutos[Classe],MATCH(tItens[[#This Row],[Produto]],tProdutos[Produto],0)),"produto não cadastrado")</f>
        <v>NÚCLEO</v>
      </c>
      <c r="K7798" s="12">
        <f>tItens[[#This Row],[Qtd]]*tItens[[#This Row],[Vlr unit]]</f>
        <v>7120</v>
      </c>
      <c r="L7798" s="6">
        <f>IFERROR(IF(INDEX(tProdutos[Desconto homologado],MATCH(tItens[[#This Row],[Produto]],tProdutos[Produto],0))="",DescontoPadrao,INDEX(tProdutos[Desconto homologado],MATCH(tItens[[#This Row],[Produto]],tProdutos[Produto],0))),DescontoPadrao)</f>
        <v>0.26</v>
      </c>
      <c r="M7798" s="12">
        <f>tItens[[#This Row],[Valor]]*(1-tItens[[#This Row],[Desconto]])</f>
        <v>5268.8</v>
      </c>
      <c r="N7798" t="str">
        <f>IFERROR(INDEX(tProdutos[Foco],MATCH(tItens[[#This Row],[Produto]],tProdutos[Produto],0)),"Não")</f>
        <v>Sim</v>
      </c>
      <c r="O7798" t="str">
        <f>IFERROR(INDEX(tEditais[SRP],MATCH(tItens[[#This Row],[Edital]],tEditais[Edital],0)),"Não")</f>
        <v>Sim</v>
      </c>
      <c r="P7798" s="4">
        <f>IF(COUNTIFS(INDEX(tItens[Edital],1):tItens[[#This Row],[Edital]],tItens[[#This Row],[Edital]],INDEX(tItens[Produto],1):tItens[[#This Row],[Produto]],tItens[[#This Row],[Produto]])=1,1,0)</f>
        <v>0</v>
      </c>
    </row>
    <row r="7799" spans="1:16" x14ac:dyDescent="0.25">
      <c r="A7799" t="s">
        <v>2579</v>
      </c>
      <c r="B7799">
        <v>69</v>
      </c>
      <c r="C7799" t="s">
        <v>10363</v>
      </c>
      <c r="D7799" t="s">
        <v>75</v>
      </c>
      <c r="E7799" s="13">
        <v>1000</v>
      </c>
      <c r="F7799" s="12">
        <v>1.55</v>
      </c>
      <c r="G7799" t="str">
        <f>IFERROR(INDEX(tEditais[Órgão],MATCH(tItens[[#This Row],[Edital]],tEditais[Edital],0)),"")</f>
        <v>MUNICIPIO DE ROSARIO DO SUL</v>
      </c>
      <c r="H7799" t="str">
        <f>IFERROR(INDEX(tEditais[UF],MATCH(tItens[[#This Row],[Edital]],tEditais[Edital],0)),"")</f>
        <v>RS</v>
      </c>
      <c r="I7799" s="11">
        <f>IFERROR(INDEX(tEditais[Encerramento],MATCH(tItens[[#This Row],[Edital]],tEditais[Edital],0)),"")</f>
        <v>46310.374305555553</v>
      </c>
      <c r="J7799" t="str">
        <f>IFERROR(INDEX(tProdutos[Classe],MATCH(tItens[[#This Row],[Produto]],tProdutos[Produto],0)),"produto não cadastrado")</f>
        <v>NÚCLEO</v>
      </c>
      <c r="K7799" s="12">
        <f>tItens[[#This Row],[Qtd]]*tItens[[#This Row],[Vlr unit]]</f>
        <v>1550</v>
      </c>
      <c r="L7799" s="6">
        <f>IFERROR(IF(INDEX(tProdutos[Desconto homologado],MATCH(tItens[[#This Row],[Produto]],tProdutos[Produto],0))="",DescontoPadrao,INDEX(tProdutos[Desconto homologado],MATCH(tItens[[#This Row],[Produto]],tProdutos[Produto],0))),DescontoPadrao)</f>
        <v>0.26</v>
      </c>
      <c r="M7799" s="12">
        <f>tItens[[#This Row],[Valor]]*(1-tItens[[#This Row],[Desconto]])</f>
        <v>1147</v>
      </c>
      <c r="N7799" t="str">
        <f>IFERROR(INDEX(tProdutos[Foco],MATCH(tItens[[#This Row],[Produto]],tProdutos[Produto],0)),"Não")</f>
        <v>Sim</v>
      </c>
      <c r="O7799" t="str">
        <f>IFERROR(INDEX(tEditais[SRP],MATCH(tItens[[#This Row],[Edital]],tEditais[Edital],0)),"Não")</f>
        <v>Sim</v>
      </c>
      <c r="P7799" s="4">
        <f>IF(COUNTIFS(INDEX(tItens[Edital],1):tItens[[#This Row],[Edital]],tItens[[#This Row],[Edital]],INDEX(tItens[Produto],1):tItens[[#This Row],[Produto]],tItens[[#This Row],[Produto]])=1,1,0)</f>
        <v>0</v>
      </c>
    </row>
    <row r="7800" spans="1:16" x14ac:dyDescent="0.25">
      <c r="A7800" t="s">
        <v>2579</v>
      </c>
      <c r="B7800">
        <v>70</v>
      </c>
      <c r="C7800" t="s">
        <v>10364</v>
      </c>
      <c r="D7800" t="s">
        <v>60</v>
      </c>
      <c r="E7800" s="13">
        <v>250</v>
      </c>
      <c r="F7800" s="12">
        <v>1</v>
      </c>
      <c r="G7800" t="str">
        <f>IFERROR(INDEX(tEditais[Órgão],MATCH(tItens[[#This Row],[Edital]],tEditais[Edital],0)),"")</f>
        <v>MUNICIPIO DE ROSARIO DO SUL</v>
      </c>
      <c r="H7800" t="str">
        <f>IFERROR(INDEX(tEditais[UF],MATCH(tItens[[#This Row],[Edital]],tEditais[Edital],0)),"")</f>
        <v>RS</v>
      </c>
      <c r="I7800" s="11">
        <f>IFERROR(INDEX(tEditais[Encerramento],MATCH(tItens[[#This Row],[Edital]],tEditais[Edital],0)),"")</f>
        <v>46310.374305555553</v>
      </c>
      <c r="J7800" t="str">
        <f>IFERROR(INDEX(tProdutos[Classe],MATCH(tItens[[#This Row],[Produto]],tProdutos[Produto],0)),"produto não cadastrado")</f>
        <v>NÚCLEO</v>
      </c>
      <c r="K7800" s="12">
        <f>tItens[[#This Row],[Qtd]]*tItens[[#This Row],[Vlr unit]]</f>
        <v>250</v>
      </c>
      <c r="L7800" s="6">
        <f>IFERROR(IF(INDEX(tProdutos[Desconto homologado],MATCH(tItens[[#This Row],[Produto]],tProdutos[Produto],0))="",DescontoPadrao,INDEX(tProdutos[Desconto homologado],MATCH(tItens[[#This Row],[Produto]],tProdutos[Produto],0))),DescontoPadrao)</f>
        <v>0.23</v>
      </c>
      <c r="M7800" s="12">
        <f>tItens[[#This Row],[Valor]]*(1-tItens[[#This Row],[Desconto]])</f>
        <v>192.5</v>
      </c>
      <c r="N7800" t="str">
        <f>IFERROR(INDEX(tProdutos[Foco],MATCH(tItens[[#This Row],[Produto]],tProdutos[Produto],0)),"Não")</f>
        <v>Sim</v>
      </c>
      <c r="O7800" t="str">
        <f>IFERROR(INDEX(tEditais[SRP],MATCH(tItens[[#This Row],[Edital]],tEditais[Edital],0)),"Não")</f>
        <v>Sim</v>
      </c>
      <c r="P7800" s="4">
        <f>IF(COUNTIFS(INDEX(tItens[Edital],1):tItens[[#This Row],[Edital]],tItens[[#This Row],[Edital]],INDEX(tItens[Produto],1):tItens[[#This Row],[Produto]],tItens[[#This Row],[Produto]])=1,1,0)</f>
        <v>1</v>
      </c>
    </row>
    <row r="7801" spans="1:16" x14ac:dyDescent="0.25">
      <c r="A7801" t="s">
        <v>2579</v>
      </c>
      <c r="B7801">
        <v>71</v>
      </c>
      <c r="C7801" t="s">
        <v>10365</v>
      </c>
      <c r="D7801" t="s">
        <v>233</v>
      </c>
      <c r="E7801" s="13">
        <v>150</v>
      </c>
      <c r="F7801" s="12">
        <v>9.98</v>
      </c>
      <c r="G7801" t="str">
        <f>IFERROR(INDEX(tEditais[Órgão],MATCH(tItens[[#This Row],[Edital]],tEditais[Edital],0)),"")</f>
        <v>MUNICIPIO DE ROSARIO DO SUL</v>
      </c>
      <c r="H7801" t="str">
        <f>IFERROR(INDEX(tEditais[UF],MATCH(tItens[[#This Row],[Edital]],tEditais[Edital],0)),"")</f>
        <v>RS</v>
      </c>
      <c r="I7801" s="11">
        <f>IFERROR(INDEX(tEditais[Encerramento],MATCH(tItens[[#This Row],[Edital]],tEditais[Edital],0)),"")</f>
        <v>46310.374305555553</v>
      </c>
      <c r="J7801" t="str">
        <f>IFERROR(INDEX(tProdutos[Classe],MATCH(tItens[[#This Row],[Produto]],tProdutos[Produto],0)),"produto não cadastrado")</f>
        <v>FORA</v>
      </c>
      <c r="K7801" s="12">
        <f>tItens[[#This Row],[Qtd]]*tItens[[#This Row],[Vlr unit]]</f>
        <v>1497</v>
      </c>
      <c r="L7801" s="6">
        <f>IFERROR(IF(INDEX(tProdutos[Desconto homologado],MATCH(tItens[[#This Row],[Produto]],tProdutos[Produto],0))="",DescontoPadrao,INDEX(tProdutos[Desconto homologado],MATCH(tItens[[#This Row],[Produto]],tProdutos[Produto],0))),DescontoPadrao)</f>
        <v>0.246270084162204</v>
      </c>
      <c r="M7801" s="12">
        <f>tItens[[#This Row],[Valor]]*(1-tItens[[#This Row],[Desconto]])</f>
        <v>1128.3336840091806</v>
      </c>
      <c r="N7801" t="str">
        <f>IFERROR(INDEX(tProdutos[Foco],MATCH(tItens[[#This Row],[Produto]],tProdutos[Produto],0)),"Não")</f>
        <v>Não</v>
      </c>
      <c r="O7801" t="str">
        <f>IFERROR(INDEX(tEditais[SRP],MATCH(tItens[[#This Row],[Edital]],tEditais[Edital],0)),"Não")</f>
        <v>Sim</v>
      </c>
      <c r="P7801" s="4">
        <f>IF(COUNTIFS(INDEX(tItens[Edital],1):tItens[[#This Row],[Edital]],tItens[[#This Row],[Edital]],INDEX(tItens[Produto],1):tItens[[#This Row],[Produto]],tItens[[#This Row],[Produto]])=1,1,0)</f>
        <v>1</v>
      </c>
    </row>
    <row r="7802" spans="1:16" x14ac:dyDescent="0.25">
      <c r="A7802" t="s">
        <v>2579</v>
      </c>
      <c r="B7802">
        <v>73</v>
      </c>
      <c r="C7802" t="s">
        <v>10366</v>
      </c>
      <c r="D7802" t="s">
        <v>467</v>
      </c>
      <c r="E7802" s="13">
        <v>500</v>
      </c>
      <c r="F7802" s="12">
        <v>6.26</v>
      </c>
      <c r="G7802" t="str">
        <f>IFERROR(INDEX(tEditais[Órgão],MATCH(tItens[[#This Row],[Edital]],tEditais[Edital],0)),"")</f>
        <v>MUNICIPIO DE ROSARIO DO SUL</v>
      </c>
      <c r="H7802" t="str">
        <f>IFERROR(INDEX(tEditais[UF],MATCH(tItens[[#This Row],[Edital]],tEditais[Edital],0)),"")</f>
        <v>RS</v>
      </c>
      <c r="I7802" s="11">
        <f>IFERROR(INDEX(tEditais[Encerramento],MATCH(tItens[[#This Row],[Edital]],tEditais[Edital],0)),"")</f>
        <v>46310.374305555553</v>
      </c>
      <c r="J7802" t="str">
        <f>IFERROR(INDEX(tProdutos[Classe],MATCH(tItens[[#This Row],[Produto]],tProdutos[Produto],0)),"produto não cadastrado")</f>
        <v>FILA REBASE</v>
      </c>
      <c r="K7802" s="12">
        <f>tItens[[#This Row],[Qtd]]*tItens[[#This Row],[Vlr unit]]</f>
        <v>3130</v>
      </c>
      <c r="L7802" s="6">
        <f>IFERROR(IF(INDEX(tProdutos[Desconto homologado],MATCH(tItens[[#This Row],[Produto]],tProdutos[Produto],0))="",DescontoPadrao,INDEX(tProdutos[Desconto homologado],MATCH(tItens[[#This Row],[Produto]],tProdutos[Produto],0))),DescontoPadrao)</f>
        <v>0.25007144898542499</v>
      </c>
      <c r="M7802" s="12">
        <f>tItens[[#This Row],[Valor]]*(1-tItens[[#This Row],[Desconto]])</f>
        <v>2347.2763646756198</v>
      </c>
      <c r="N7802" t="str">
        <f>IFERROR(INDEX(tProdutos[Foco],MATCH(tItens[[#This Row],[Produto]],tProdutos[Produto],0)),"Não")</f>
        <v>Não</v>
      </c>
      <c r="O7802" t="str">
        <f>IFERROR(INDEX(tEditais[SRP],MATCH(tItens[[#This Row],[Edital]],tEditais[Edital],0)),"Não")</f>
        <v>Sim</v>
      </c>
      <c r="P7802" s="4">
        <f>IF(COUNTIFS(INDEX(tItens[Edital],1):tItens[[#This Row],[Edital]],tItens[[#This Row],[Edital]],INDEX(tItens[Produto],1):tItens[[#This Row],[Produto]],tItens[[#This Row],[Produto]])=1,1,0)</f>
        <v>1</v>
      </c>
    </row>
    <row r="7803" spans="1:16" x14ac:dyDescent="0.25">
      <c r="A7803" t="s">
        <v>2579</v>
      </c>
      <c r="B7803">
        <v>74</v>
      </c>
      <c r="C7803" t="s">
        <v>10367</v>
      </c>
      <c r="D7803" t="s">
        <v>279</v>
      </c>
      <c r="E7803" s="13">
        <v>2000</v>
      </c>
      <c r="F7803" s="12">
        <v>0.36</v>
      </c>
      <c r="G7803" t="str">
        <f>IFERROR(INDEX(tEditais[Órgão],MATCH(tItens[[#This Row],[Edital]],tEditais[Edital],0)),"")</f>
        <v>MUNICIPIO DE ROSARIO DO SUL</v>
      </c>
      <c r="H7803" t="str">
        <f>IFERROR(INDEX(tEditais[UF],MATCH(tItens[[#This Row],[Edital]],tEditais[Edital],0)),"")</f>
        <v>RS</v>
      </c>
      <c r="I7803" s="11">
        <f>IFERROR(INDEX(tEditais[Encerramento],MATCH(tItens[[#This Row],[Edital]],tEditais[Edital],0)),"")</f>
        <v>46310.374305555553</v>
      </c>
      <c r="J7803" t="str">
        <f>IFERROR(INDEX(tProdutos[Classe],MATCH(tItens[[#This Row],[Produto]],tProdutos[Produto],0)),"produto não cadastrado")</f>
        <v>FORA</v>
      </c>
      <c r="K7803" s="12">
        <f>tItens[[#This Row],[Qtd]]*tItens[[#This Row],[Vlr unit]]</f>
        <v>720</v>
      </c>
      <c r="L7803" s="6">
        <f>IFERROR(IF(INDEX(tProdutos[Desconto homologado],MATCH(tItens[[#This Row],[Produto]],tProdutos[Produto],0))="",DescontoPadrao,INDEX(tProdutos[Desconto homologado],MATCH(tItens[[#This Row],[Produto]],tProdutos[Produto],0))),DescontoPadrao)</f>
        <v>0.28909090909090901</v>
      </c>
      <c r="M7803" s="12">
        <f>tItens[[#This Row],[Valor]]*(1-tItens[[#This Row],[Desconto]])</f>
        <v>511.85454545454547</v>
      </c>
      <c r="N7803" t="str">
        <f>IFERROR(INDEX(tProdutos[Foco],MATCH(tItens[[#This Row],[Produto]],tProdutos[Produto],0)),"Não")</f>
        <v>Não</v>
      </c>
      <c r="O7803" t="str">
        <f>IFERROR(INDEX(tEditais[SRP],MATCH(tItens[[#This Row],[Edital]],tEditais[Edital],0)),"Não")</f>
        <v>Sim</v>
      </c>
      <c r="P7803" s="4">
        <f>IF(COUNTIFS(INDEX(tItens[Edital],1):tItens[[#This Row],[Edital]],tItens[[#This Row],[Edital]],INDEX(tItens[Produto],1):tItens[[#This Row],[Produto]],tItens[[#This Row],[Produto]])=1,1,0)</f>
        <v>1</v>
      </c>
    </row>
    <row r="7804" spans="1:16" x14ac:dyDescent="0.25">
      <c r="A7804" t="s">
        <v>2579</v>
      </c>
      <c r="B7804">
        <v>75</v>
      </c>
      <c r="C7804" t="s">
        <v>10368</v>
      </c>
      <c r="D7804" t="s">
        <v>197</v>
      </c>
      <c r="E7804" s="13">
        <v>500</v>
      </c>
      <c r="F7804" s="12">
        <v>0.47</v>
      </c>
      <c r="G7804" t="str">
        <f>IFERROR(INDEX(tEditais[Órgão],MATCH(tItens[[#This Row],[Edital]],tEditais[Edital],0)),"")</f>
        <v>MUNICIPIO DE ROSARIO DO SUL</v>
      </c>
      <c r="H7804" t="str">
        <f>IFERROR(INDEX(tEditais[UF],MATCH(tItens[[#This Row],[Edital]],tEditais[Edital],0)),"")</f>
        <v>RS</v>
      </c>
      <c r="I7804" s="11">
        <f>IFERROR(INDEX(tEditais[Encerramento],MATCH(tItens[[#This Row],[Edital]],tEditais[Edital],0)),"")</f>
        <v>46310.374305555553</v>
      </c>
      <c r="J7804" t="str">
        <f>IFERROR(INDEX(tProdutos[Classe],MATCH(tItens[[#This Row],[Produto]],tProdutos[Produto],0)),"produto não cadastrado")</f>
        <v>FORA</v>
      </c>
      <c r="K7804" s="12">
        <f>tItens[[#This Row],[Qtd]]*tItens[[#This Row],[Vlr unit]]</f>
        <v>235</v>
      </c>
      <c r="L7804" s="6">
        <f>IFERROR(IF(INDEX(tProdutos[Desconto homologado],MATCH(tItens[[#This Row],[Produto]],tProdutos[Produto],0))="",DescontoPadrao,INDEX(tProdutos[Desconto homologado],MATCH(tItens[[#This Row],[Produto]],tProdutos[Produto],0))),DescontoPadrao)</f>
        <v>0.26394818195200997</v>
      </c>
      <c r="M7804" s="12">
        <f>tItens[[#This Row],[Valor]]*(1-tItens[[#This Row],[Desconto]])</f>
        <v>172.97217724127765</v>
      </c>
      <c r="N7804" t="str">
        <f>IFERROR(INDEX(tProdutos[Foco],MATCH(tItens[[#This Row],[Produto]],tProdutos[Produto],0)),"Não")</f>
        <v>Não</v>
      </c>
      <c r="O7804" t="str">
        <f>IFERROR(INDEX(tEditais[SRP],MATCH(tItens[[#This Row],[Edital]],tEditais[Edital],0)),"Não")</f>
        <v>Sim</v>
      </c>
      <c r="P7804" s="4">
        <f>IF(COUNTIFS(INDEX(tItens[Edital],1):tItens[[#This Row],[Edital]],tItens[[#This Row],[Edital]],INDEX(tItens[Produto],1):tItens[[#This Row],[Produto]],tItens[[#This Row],[Produto]])=1,1,0)</f>
        <v>1</v>
      </c>
    </row>
    <row r="7805" spans="1:16" x14ac:dyDescent="0.25">
      <c r="A7805" t="s">
        <v>2579</v>
      </c>
      <c r="B7805">
        <v>77</v>
      </c>
      <c r="C7805" t="s">
        <v>10369</v>
      </c>
      <c r="D7805" t="s">
        <v>409</v>
      </c>
      <c r="E7805" s="13">
        <v>1000</v>
      </c>
      <c r="F7805" s="12">
        <v>6.29</v>
      </c>
      <c r="G7805" t="str">
        <f>IFERROR(INDEX(tEditais[Órgão],MATCH(tItens[[#This Row],[Edital]],tEditais[Edital],0)),"")</f>
        <v>MUNICIPIO DE ROSARIO DO SUL</v>
      </c>
      <c r="H7805" t="str">
        <f>IFERROR(INDEX(tEditais[UF],MATCH(tItens[[#This Row],[Edital]],tEditais[Edital],0)),"")</f>
        <v>RS</v>
      </c>
      <c r="I7805" s="11">
        <f>IFERROR(INDEX(tEditais[Encerramento],MATCH(tItens[[#This Row],[Edital]],tEditais[Edital],0)),"")</f>
        <v>46310.374305555553</v>
      </c>
      <c r="J7805" t="str">
        <f>IFERROR(INDEX(tProdutos[Classe],MATCH(tItens[[#This Row],[Produto]],tProdutos[Produto],0)),"produto não cadastrado")</f>
        <v>FORA</v>
      </c>
      <c r="K7805" s="12">
        <f>tItens[[#This Row],[Qtd]]*tItens[[#This Row],[Vlr unit]]</f>
        <v>6290</v>
      </c>
      <c r="L7805" s="6">
        <f>IFERROR(IF(INDEX(tProdutos[Desconto homologado],MATCH(tItens[[#This Row],[Produto]],tProdutos[Produto],0))="",DescontoPadrao,INDEX(tProdutos[Desconto homologado],MATCH(tItens[[#This Row],[Produto]],tProdutos[Produto],0))),DescontoPadrao)</f>
        <v>0.24924924924924899</v>
      </c>
      <c r="M7805" s="12">
        <f>tItens[[#This Row],[Valor]]*(1-tItens[[#This Row],[Desconto]])</f>
        <v>4722.2222222222244</v>
      </c>
      <c r="N7805" t="str">
        <f>IFERROR(INDEX(tProdutos[Foco],MATCH(tItens[[#This Row],[Produto]],tProdutos[Produto],0)),"Não")</f>
        <v>Não</v>
      </c>
      <c r="O7805" t="str">
        <f>IFERROR(INDEX(tEditais[SRP],MATCH(tItens[[#This Row],[Edital]],tEditais[Edital],0)),"Não")</f>
        <v>Sim</v>
      </c>
      <c r="P7805" s="4">
        <f>IF(COUNTIFS(INDEX(tItens[Edital],1):tItens[[#This Row],[Edital]],tItens[[#This Row],[Edital]],INDEX(tItens[Produto],1):tItens[[#This Row],[Produto]],tItens[[#This Row],[Produto]])=1,1,0)</f>
        <v>1</v>
      </c>
    </row>
    <row r="7806" spans="1:16" x14ac:dyDescent="0.25">
      <c r="A7806" t="s">
        <v>2579</v>
      </c>
      <c r="B7806">
        <v>78</v>
      </c>
      <c r="C7806" t="s">
        <v>10370</v>
      </c>
      <c r="D7806" t="s">
        <v>409</v>
      </c>
      <c r="E7806" s="13">
        <v>1000</v>
      </c>
      <c r="F7806" s="12">
        <v>8.43</v>
      </c>
      <c r="G7806" t="str">
        <f>IFERROR(INDEX(tEditais[Órgão],MATCH(tItens[[#This Row],[Edital]],tEditais[Edital],0)),"")</f>
        <v>MUNICIPIO DE ROSARIO DO SUL</v>
      </c>
      <c r="H7806" t="str">
        <f>IFERROR(INDEX(tEditais[UF],MATCH(tItens[[#This Row],[Edital]],tEditais[Edital],0)),"")</f>
        <v>RS</v>
      </c>
      <c r="I7806" s="11">
        <f>IFERROR(INDEX(tEditais[Encerramento],MATCH(tItens[[#This Row],[Edital]],tEditais[Edital],0)),"")</f>
        <v>46310.374305555553</v>
      </c>
      <c r="J7806" t="str">
        <f>IFERROR(INDEX(tProdutos[Classe],MATCH(tItens[[#This Row],[Produto]],tProdutos[Produto],0)),"produto não cadastrado")</f>
        <v>FORA</v>
      </c>
      <c r="K7806" s="12">
        <f>tItens[[#This Row],[Qtd]]*tItens[[#This Row],[Vlr unit]]</f>
        <v>8430</v>
      </c>
      <c r="L7806" s="6">
        <f>IFERROR(IF(INDEX(tProdutos[Desconto homologado],MATCH(tItens[[#This Row],[Produto]],tProdutos[Produto],0))="",DescontoPadrao,INDEX(tProdutos[Desconto homologado],MATCH(tItens[[#This Row],[Produto]],tProdutos[Produto],0))),DescontoPadrao)</f>
        <v>0.24924924924924899</v>
      </c>
      <c r="M7806" s="12">
        <f>tItens[[#This Row],[Valor]]*(1-tItens[[#This Row],[Desconto]])</f>
        <v>6328.8288288288313</v>
      </c>
      <c r="N7806" t="str">
        <f>IFERROR(INDEX(tProdutos[Foco],MATCH(tItens[[#This Row],[Produto]],tProdutos[Produto],0)),"Não")</f>
        <v>Não</v>
      </c>
      <c r="O7806" t="str">
        <f>IFERROR(INDEX(tEditais[SRP],MATCH(tItens[[#This Row],[Edital]],tEditais[Edital],0)),"Não")</f>
        <v>Sim</v>
      </c>
      <c r="P7806" s="4">
        <f>IF(COUNTIFS(INDEX(tItens[Edital],1):tItens[[#This Row],[Edital]],tItens[[#This Row],[Edital]],INDEX(tItens[Produto],1):tItens[[#This Row],[Produto]],tItens[[#This Row],[Produto]])=1,1,0)</f>
        <v>0</v>
      </c>
    </row>
    <row r="7807" spans="1:16" x14ac:dyDescent="0.25">
      <c r="A7807" t="s">
        <v>2579</v>
      </c>
      <c r="B7807">
        <v>79</v>
      </c>
      <c r="C7807" t="s">
        <v>10371</v>
      </c>
      <c r="D7807" t="s">
        <v>56</v>
      </c>
      <c r="E7807" s="13">
        <v>50</v>
      </c>
      <c r="F7807" s="12">
        <v>19</v>
      </c>
      <c r="G7807" t="str">
        <f>IFERROR(INDEX(tEditais[Órgão],MATCH(tItens[[#This Row],[Edital]],tEditais[Edital],0)),"")</f>
        <v>MUNICIPIO DE ROSARIO DO SUL</v>
      </c>
      <c r="H7807" t="str">
        <f>IFERROR(INDEX(tEditais[UF],MATCH(tItens[[#This Row],[Edital]],tEditais[Edital],0)),"")</f>
        <v>RS</v>
      </c>
      <c r="I7807" s="11">
        <f>IFERROR(INDEX(tEditais[Encerramento],MATCH(tItens[[#This Row],[Edital]],tEditais[Edital],0)),"")</f>
        <v>46310.374305555553</v>
      </c>
      <c r="J7807" t="str">
        <f>IFERROR(INDEX(tProdutos[Classe],MATCH(tItens[[#This Row],[Produto]],tProdutos[Produto],0)),"produto não cadastrado")</f>
        <v>NÚCLEO</v>
      </c>
      <c r="K7807" s="12">
        <f>tItens[[#This Row],[Qtd]]*tItens[[#This Row],[Vlr unit]]</f>
        <v>950</v>
      </c>
      <c r="L7807" s="6">
        <f>IFERROR(IF(INDEX(tProdutos[Desconto homologado],MATCH(tItens[[#This Row],[Produto]],tProdutos[Produto],0))="",DescontoPadrao,INDEX(tProdutos[Desconto homologado],MATCH(tItens[[#This Row],[Produto]],tProdutos[Produto],0))),DescontoPadrao)</f>
        <v>0.34</v>
      </c>
      <c r="M7807" s="12">
        <f>tItens[[#This Row],[Valor]]*(1-tItens[[#This Row],[Desconto]])</f>
        <v>626.99999999999989</v>
      </c>
      <c r="N7807" t="str">
        <f>IFERROR(INDEX(tProdutos[Foco],MATCH(tItens[[#This Row],[Produto]],tProdutos[Produto],0)),"Não")</f>
        <v>Sim</v>
      </c>
      <c r="O7807" t="str">
        <f>IFERROR(INDEX(tEditais[SRP],MATCH(tItens[[#This Row],[Edital]],tEditais[Edital],0)),"Não")</f>
        <v>Sim</v>
      </c>
      <c r="P7807" s="4">
        <f>IF(COUNTIFS(INDEX(tItens[Edital],1):tItens[[#This Row],[Edital]],tItens[[#This Row],[Edital]],INDEX(tItens[Produto],1):tItens[[#This Row],[Produto]],tItens[[#This Row],[Produto]])=1,1,0)</f>
        <v>1</v>
      </c>
    </row>
    <row r="7808" spans="1:16" x14ac:dyDescent="0.25">
      <c r="A7808" t="s">
        <v>2583</v>
      </c>
      <c r="B7808">
        <v>6</v>
      </c>
      <c r="C7808" t="s">
        <v>10372</v>
      </c>
      <c r="D7808" t="s">
        <v>67</v>
      </c>
      <c r="E7808" s="13">
        <v>3000</v>
      </c>
      <c r="F7808" s="12">
        <v>0</v>
      </c>
      <c r="G7808" t="str">
        <f>IFERROR(INDEX(tEditais[Órgão],MATCH(tItens[[#This Row],[Edital]],tEditais[Edital],0)),"")</f>
        <v>EMPRESA BRASILEIRA DE SERVICOS HOSPITALARES - EBSERH</v>
      </c>
      <c r="H7808" t="str">
        <f>IFERROR(INDEX(tEditais[UF],MATCH(tItens[[#This Row],[Edital]],tEditais[Edital],0)),"")</f>
        <v>RS</v>
      </c>
      <c r="I7808" s="11">
        <f>IFERROR(INDEX(tEditais[Encerramento],MATCH(tItens[[#This Row],[Edital]],tEditais[Edital],0)),"")</f>
        <v>46310.375</v>
      </c>
      <c r="J7808" t="str">
        <f>IFERROR(INDEX(tProdutos[Classe],MATCH(tItens[[#This Row],[Produto]],tProdutos[Produto],0)),"produto não cadastrado")</f>
        <v>NÚCLEO</v>
      </c>
      <c r="K7808" s="12">
        <f>tItens[[#This Row],[Qtd]]*tItens[[#This Row],[Vlr unit]]</f>
        <v>0</v>
      </c>
      <c r="L7808" s="6">
        <f>IFERROR(IF(INDEX(tProdutos[Desconto homologado],MATCH(tItens[[#This Row],[Produto]],tProdutos[Produto],0))="",DescontoPadrao,INDEX(tProdutos[Desconto homologado],MATCH(tItens[[#This Row],[Produto]],tProdutos[Produto],0))),DescontoPadrao)</f>
        <v>0.35766423357664201</v>
      </c>
      <c r="M7808" s="12">
        <f>tItens[[#This Row],[Valor]]*(1-tItens[[#This Row],[Desconto]])</f>
        <v>0</v>
      </c>
      <c r="N7808" t="str">
        <f>IFERROR(INDEX(tProdutos[Foco],MATCH(tItens[[#This Row],[Produto]],tProdutos[Produto],0)),"Não")</f>
        <v>Não</v>
      </c>
      <c r="O7808" t="str">
        <f>IFERROR(INDEX(tEditais[SRP],MATCH(tItens[[#This Row],[Edital]],tEditais[Edital],0)),"Não")</f>
        <v>Não</v>
      </c>
      <c r="P7808" s="4">
        <f>IF(COUNTIFS(INDEX(tItens[Edital],1):tItens[[#This Row],[Edital]],tItens[[#This Row],[Edital]],INDEX(tItens[Produto],1):tItens[[#This Row],[Produto]],tItens[[#This Row],[Produto]])=1,1,0)</f>
        <v>1</v>
      </c>
    </row>
    <row r="7809" spans="1:16" x14ac:dyDescent="0.25">
      <c r="A7809" t="s">
        <v>2583</v>
      </c>
      <c r="B7809">
        <v>7</v>
      </c>
      <c r="C7809" t="s">
        <v>10373</v>
      </c>
      <c r="D7809" t="s">
        <v>67</v>
      </c>
      <c r="E7809" s="13">
        <v>300</v>
      </c>
      <c r="F7809" s="12">
        <v>0</v>
      </c>
      <c r="G7809" t="str">
        <f>IFERROR(INDEX(tEditais[Órgão],MATCH(tItens[[#This Row],[Edital]],tEditais[Edital],0)),"")</f>
        <v>EMPRESA BRASILEIRA DE SERVICOS HOSPITALARES - EBSERH</v>
      </c>
      <c r="H7809" t="str">
        <f>IFERROR(INDEX(tEditais[UF],MATCH(tItens[[#This Row],[Edital]],tEditais[Edital],0)),"")</f>
        <v>RS</v>
      </c>
      <c r="I7809" s="11">
        <f>IFERROR(INDEX(tEditais[Encerramento],MATCH(tItens[[#This Row],[Edital]],tEditais[Edital],0)),"")</f>
        <v>46310.375</v>
      </c>
      <c r="J7809" t="str">
        <f>IFERROR(INDEX(tProdutos[Classe],MATCH(tItens[[#This Row],[Produto]],tProdutos[Produto],0)),"produto não cadastrado")</f>
        <v>NÚCLEO</v>
      </c>
      <c r="K7809" s="12">
        <f>tItens[[#This Row],[Qtd]]*tItens[[#This Row],[Vlr unit]]</f>
        <v>0</v>
      </c>
      <c r="L7809" s="6">
        <f>IFERROR(IF(INDEX(tProdutos[Desconto homologado],MATCH(tItens[[#This Row],[Produto]],tProdutos[Produto],0))="",DescontoPadrao,INDEX(tProdutos[Desconto homologado],MATCH(tItens[[#This Row],[Produto]],tProdutos[Produto],0))),DescontoPadrao)</f>
        <v>0.35766423357664201</v>
      </c>
      <c r="M7809" s="12">
        <f>tItens[[#This Row],[Valor]]*(1-tItens[[#This Row],[Desconto]])</f>
        <v>0</v>
      </c>
      <c r="N7809" t="str">
        <f>IFERROR(INDEX(tProdutos[Foco],MATCH(tItens[[#This Row],[Produto]],tProdutos[Produto],0)),"Não")</f>
        <v>Não</v>
      </c>
      <c r="O7809" t="str">
        <f>IFERROR(INDEX(tEditais[SRP],MATCH(tItens[[#This Row],[Edital]],tEditais[Edital],0)),"Não")</f>
        <v>Não</v>
      </c>
      <c r="P7809" s="4">
        <f>IF(COUNTIFS(INDEX(tItens[Edital],1):tItens[[#This Row],[Edital]],tItens[[#This Row],[Edital]],INDEX(tItens[Produto],1):tItens[[#This Row],[Produto]],tItens[[#This Row],[Produto]])=1,1,0)</f>
        <v>0</v>
      </c>
    </row>
    <row r="7810" spans="1:16" x14ac:dyDescent="0.25">
      <c r="A7810" t="s">
        <v>2583</v>
      </c>
      <c r="B7810">
        <v>8</v>
      </c>
      <c r="C7810" t="s">
        <v>10374</v>
      </c>
      <c r="D7810" t="s">
        <v>67</v>
      </c>
      <c r="E7810" s="13">
        <v>400</v>
      </c>
      <c r="F7810" s="12">
        <v>0</v>
      </c>
      <c r="G7810" t="str">
        <f>IFERROR(INDEX(tEditais[Órgão],MATCH(tItens[[#This Row],[Edital]],tEditais[Edital],0)),"")</f>
        <v>EMPRESA BRASILEIRA DE SERVICOS HOSPITALARES - EBSERH</v>
      </c>
      <c r="H7810" t="str">
        <f>IFERROR(INDEX(tEditais[UF],MATCH(tItens[[#This Row],[Edital]],tEditais[Edital],0)),"")</f>
        <v>RS</v>
      </c>
      <c r="I7810" s="11">
        <f>IFERROR(INDEX(tEditais[Encerramento],MATCH(tItens[[#This Row],[Edital]],tEditais[Edital],0)),"")</f>
        <v>46310.375</v>
      </c>
      <c r="J7810" t="str">
        <f>IFERROR(INDEX(tProdutos[Classe],MATCH(tItens[[#This Row],[Produto]],tProdutos[Produto],0)),"produto não cadastrado")</f>
        <v>NÚCLEO</v>
      </c>
      <c r="K7810" s="12">
        <f>tItens[[#This Row],[Qtd]]*tItens[[#This Row],[Vlr unit]]</f>
        <v>0</v>
      </c>
      <c r="L7810" s="6">
        <f>IFERROR(IF(INDEX(tProdutos[Desconto homologado],MATCH(tItens[[#This Row],[Produto]],tProdutos[Produto],0))="",DescontoPadrao,INDEX(tProdutos[Desconto homologado],MATCH(tItens[[#This Row],[Produto]],tProdutos[Produto],0))),DescontoPadrao)</f>
        <v>0.35766423357664201</v>
      </c>
      <c r="M7810" s="12">
        <f>tItens[[#This Row],[Valor]]*(1-tItens[[#This Row],[Desconto]])</f>
        <v>0</v>
      </c>
      <c r="N7810" t="str">
        <f>IFERROR(INDEX(tProdutos[Foco],MATCH(tItens[[#This Row],[Produto]],tProdutos[Produto],0)),"Não")</f>
        <v>Não</v>
      </c>
      <c r="O7810" t="str">
        <f>IFERROR(INDEX(tEditais[SRP],MATCH(tItens[[#This Row],[Edital]],tEditais[Edital],0)),"Não")</f>
        <v>Não</v>
      </c>
      <c r="P7810" s="4">
        <f>IF(COUNTIFS(INDEX(tItens[Edital],1):tItens[[#This Row],[Edital]],tItens[[#This Row],[Edital]],INDEX(tItens[Produto],1):tItens[[#This Row],[Produto]],tItens[[#This Row],[Produto]])=1,1,0)</f>
        <v>0</v>
      </c>
    </row>
    <row r="7811" spans="1:16" x14ac:dyDescent="0.25">
      <c r="A7811" t="s">
        <v>2583</v>
      </c>
      <c r="B7811">
        <v>9</v>
      </c>
      <c r="C7811" t="s">
        <v>9083</v>
      </c>
      <c r="D7811" t="s">
        <v>106</v>
      </c>
      <c r="E7811" s="13">
        <v>690</v>
      </c>
      <c r="F7811" s="12">
        <v>0</v>
      </c>
      <c r="G7811" t="str">
        <f>IFERROR(INDEX(tEditais[Órgão],MATCH(tItens[[#This Row],[Edital]],tEditais[Edital],0)),"")</f>
        <v>EMPRESA BRASILEIRA DE SERVICOS HOSPITALARES - EBSERH</v>
      </c>
      <c r="H7811" t="str">
        <f>IFERROR(INDEX(tEditais[UF],MATCH(tItens[[#This Row],[Edital]],tEditais[Edital],0)),"")</f>
        <v>RS</v>
      </c>
      <c r="I7811" s="11">
        <f>IFERROR(INDEX(tEditais[Encerramento],MATCH(tItens[[#This Row],[Edital]],tEditais[Edital],0)),"")</f>
        <v>46310.375</v>
      </c>
      <c r="J7811" t="str">
        <f>IFERROR(INDEX(tProdutos[Classe],MATCH(tItens[[#This Row],[Produto]],tProdutos[Produto],0)),"produto não cadastrado")</f>
        <v>DISPUTADO</v>
      </c>
      <c r="K7811" s="12">
        <f>tItens[[#This Row],[Qtd]]*tItens[[#This Row],[Vlr unit]]</f>
        <v>0</v>
      </c>
      <c r="L7811" s="6">
        <f>IFERROR(IF(INDEX(tProdutos[Desconto homologado],MATCH(tItens[[#This Row],[Produto]],tProdutos[Produto],0))="",DescontoPadrao,INDEX(tProdutos[Desconto homologado],MATCH(tItens[[#This Row],[Produto]],tProdutos[Produto],0))),DescontoPadrao)</f>
        <v>0.24377518966589001</v>
      </c>
      <c r="M7811" s="12">
        <f>tItens[[#This Row],[Valor]]*(1-tItens[[#This Row],[Desconto]])</f>
        <v>0</v>
      </c>
      <c r="N7811" t="str">
        <f>IFERROR(INDEX(tProdutos[Foco],MATCH(tItens[[#This Row],[Produto]],tProdutos[Produto],0)),"Não")</f>
        <v>Não</v>
      </c>
      <c r="O7811" t="str">
        <f>IFERROR(INDEX(tEditais[SRP],MATCH(tItens[[#This Row],[Edital]],tEditais[Edital],0)),"Não")</f>
        <v>Não</v>
      </c>
      <c r="P7811" s="4">
        <f>IF(COUNTIFS(INDEX(tItens[Edital],1):tItens[[#This Row],[Edital]],tItens[[#This Row],[Edital]],INDEX(tItens[Produto],1):tItens[[#This Row],[Produto]],tItens[[#This Row],[Produto]])=1,1,0)</f>
        <v>1</v>
      </c>
    </row>
    <row r="7812" spans="1:16" x14ac:dyDescent="0.25">
      <c r="A7812" t="s">
        <v>2583</v>
      </c>
      <c r="B7812">
        <v>10</v>
      </c>
      <c r="C7812" t="s">
        <v>9081</v>
      </c>
      <c r="D7812" t="s">
        <v>106</v>
      </c>
      <c r="E7812" s="13">
        <v>322</v>
      </c>
      <c r="F7812" s="12">
        <v>0</v>
      </c>
      <c r="G7812" t="str">
        <f>IFERROR(INDEX(tEditais[Órgão],MATCH(tItens[[#This Row],[Edital]],tEditais[Edital],0)),"")</f>
        <v>EMPRESA BRASILEIRA DE SERVICOS HOSPITALARES - EBSERH</v>
      </c>
      <c r="H7812" t="str">
        <f>IFERROR(INDEX(tEditais[UF],MATCH(tItens[[#This Row],[Edital]],tEditais[Edital],0)),"")</f>
        <v>RS</v>
      </c>
      <c r="I7812" s="11">
        <f>IFERROR(INDEX(tEditais[Encerramento],MATCH(tItens[[#This Row],[Edital]],tEditais[Edital],0)),"")</f>
        <v>46310.375</v>
      </c>
      <c r="J7812" t="str">
        <f>IFERROR(INDEX(tProdutos[Classe],MATCH(tItens[[#This Row],[Produto]],tProdutos[Produto],0)),"produto não cadastrado")</f>
        <v>DISPUTADO</v>
      </c>
      <c r="K7812" s="12">
        <f>tItens[[#This Row],[Qtd]]*tItens[[#This Row],[Vlr unit]]</f>
        <v>0</v>
      </c>
      <c r="L7812" s="6">
        <f>IFERROR(IF(INDEX(tProdutos[Desconto homologado],MATCH(tItens[[#This Row],[Produto]],tProdutos[Produto],0))="",DescontoPadrao,INDEX(tProdutos[Desconto homologado],MATCH(tItens[[#This Row],[Produto]],tProdutos[Produto],0))),DescontoPadrao)</f>
        <v>0.24377518966589001</v>
      </c>
      <c r="M7812" s="12">
        <f>tItens[[#This Row],[Valor]]*(1-tItens[[#This Row],[Desconto]])</f>
        <v>0</v>
      </c>
      <c r="N7812" t="str">
        <f>IFERROR(INDEX(tProdutos[Foco],MATCH(tItens[[#This Row],[Produto]],tProdutos[Produto],0)),"Não")</f>
        <v>Não</v>
      </c>
      <c r="O7812" t="str">
        <f>IFERROR(INDEX(tEditais[SRP],MATCH(tItens[[#This Row],[Edital]],tEditais[Edital],0)),"Não")</f>
        <v>Não</v>
      </c>
      <c r="P7812" s="4">
        <f>IF(COUNTIFS(INDEX(tItens[Edital],1):tItens[[#This Row],[Edital]],tItens[[#This Row],[Edital]],INDEX(tItens[Produto],1):tItens[[#This Row],[Produto]],tItens[[#This Row],[Produto]])=1,1,0)</f>
        <v>0</v>
      </c>
    </row>
    <row r="7813" spans="1:16" x14ac:dyDescent="0.25">
      <c r="A7813" t="s">
        <v>2583</v>
      </c>
      <c r="B7813">
        <v>11</v>
      </c>
      <c r="C7813" t="s">
        <v>9085</v>
      </c>
      <c r="D7813" t="s">
        <v>106</v>
      </c>
      <c r="E7813" s="13">
        <v>130</v>
      </c>
      <c r="F7813" s="12">
        <v>0</v>
      </c>
      <c r="G7813" t="str">
        <f>IFERROR(INDEX(tEditais[Órgão],MATCH(tItens[[#This Row],[Edital]],tEditais[Edital],0)),"")</f>
        <v>EMPRESA BRASILEIRA DE SERVICOS HOSPITALARES - EBSERH</v>
      </c>
      <c r="H7813" t="str">
        <f>IFERROR(INDEX(tEditais[UF],MATCH(tItens[[#This Row],[Edital]],tEditais[Edital],0)),"")</f>
        <v>RS</v>
      </c>
      <c r="I7813" s="11">
        <f>IFERROR(INDEX(tEditais[Encerramento],MATCH(tItens[[#This Row],[Edital]],tEditais[Edital],0)),"")</f>
        <v>46310.375</v>
      </c>
      <c r="J7813" t="str">
        <f>IFERROR(INDEX(tProdutos[Classe],MATCH(tItens[[#This Row],[Produto]],tProdutos[Produto],0)),"produto não cadastrado")</f>
        <v>DISPUTADO</v>
      </c>
      <c r="K7813" s="12">
        <f>tItens[[#This Row],[Qtd]]*tItens[[#This Row],[Vlr unit]]</f>
        <v>0</v>
      </c>
      <c r="L7813" s="6">
        <f>IFERROR(IF(INDEX(tProdutos[Desconto homologado],MATCH(tItens[[#This Row],[Produto]],tProdutos[Produto],0))="",DescontoPadrao,INDEX(tProdutos[Desconto homologado],MATCH(tItens[[#This Row],[Produto]],tProdutos[Produto],0))),DescontoPadrao)</f>
        <v>0.24377518966589001</v>
      </c>
      <c r="M7813" s="12">
        <f>tItens[[#This Row],[Valor]]*(1-tItens[[#This Row],[Desconto]])</f>
        <v>0</v>
      </c>
      <c r="N7813" t="str">
        <f>IFERROR(INDEX(tProdutos[Foco],MATCH(tItens[[#This Row],[Produto]],tProdutos[Produto],0)),"Não")</f>
        <v>Não</v>
      </c>
      <c r="O7813" t="str">
        <f>IFERROR(INDEX(tEditais[SRP],MATCH(tItens[[#This Row],[Edital]],tEditais[Edital],0)),"Não")</f>
        <v>Não</v>
      </c>
      <c r="P7813" s="4">
        <f>IF(COUNTIFS(INDEX(tItens[Edital],1):tItens[[#This Row],[Edital]],tItens[[#This Row],[Edital]],INDEX(tItens[Produto],1):tItens[[#This Row],[Produto]],tItens[[#This Row],[Produto]])=1,1,0)</f>
        <v>0</v>
      </c>
    </row>
    <row r="7814" spans="1:16" x14ac:dyDescent="0.25">
      <c r="A7814" t="s">
        <v>2583</v>
      </c>
      <c r="B7814">
        <v>12</v>
      </c>
      <c r="C7814" t="s">
        <v>9087</v>
      </c>
      <c r="D7814" t="s">
        <v>106</v>
      </c>
      <c r="E7814" s="13">
        <v>690</v>
      </c>
      <c r="F7814" s="12">
        <v>0</v>
      </c>
      <c r="G7814" t="str">
        <f>IFERROR(INDEX(tEditais[Órgão],MATCH(tItens[[#This Row],[Edital]],tEditais[Edital],0)),"")</f>
        <v>EMPRESA BRASILEIRA DE SERVICOS HOSPITALARES - EBSERH</v>
      </c>
      <c r="H7814" t="str">
        <f>IFERROR(INDEX(tEditais[UF],MATCH(tItens[[#This Row],[Edital]],tEditais[Edital],0)),"")</f>
        <v>RS</v>
      </c>
      <c r="I7814" s="11">
        <f>IFERROR(INDEX(tEditais[Encerramento],MATCH(tItens[[#This Row],[Edital]],tEditais[Edital],0)),"")</f>
        <v>46310.375</v>
      </c>
      <c r="J7814" t="str">
        <f>IFERROR(INDEX(tProdutos[Classe],MATCH(tItens[[#This Row],[Produto]],tProdutos[Produto],0)),"produto não cadastrado")</f>
        <v>DISPUTADO</v>
      </c>
      <c r="K7814" s="12">
        <f>tItens[[#This Row],[Qtd]]*tItens[[#This Row],[Vlr unit]]</f>
        <v>0</v>
      </c>
      <c r="L7814" s="6">
        <f>IFERROR(IF(INDEX(tProdutos[Desconto homologado],MATCH(tItens[[#This Row],[Produto]],tProdutos[Produto],0))="",DescontoPadrao,INDEX(tProdutos[Desconto homologado],MATCH(tItens[[#This Row],[Produto]],tProdutos[Produto],0))),DescontoPadrao)</f>
        <v>0.24377518966589001</v>
      </c>
      <c r="M7814" s="12">
        <f>tItens[[#This Row],[Valor]]*(1-tItens[[#This Row],[Desconto]])</f>
        <v>0</v>
      </c>
      <c r="N7814" t="str">
        <f>IFERROR(INDEX(tProdutos[Foco],MATCH(tItens[[#This Row],[Produto]],tProdutos[Produto],0)),"Não")</f>
        <v>Não</v>
      </c>
      <c r="O7814" t="str">
        <f>IFERROR(INDEX(tEditais[SRP],MATCH(tItens[[#This Row],[Edital]],tEditais[Edital],0)),"Não")</f>
        <v>Não</v>
      </c>
      <c r="P7814" s="4">
        <f>IF(COUNTIFS(INDEX(tItens[Edital],1):tItens[[#This Row],[Edital]],tItens[[#This Row],[Edital]],INDEX(tItens[Produto],1):tItens[[#This Row],[Produto]],tItens[[#This Row],[Produto]])=1,1,0)</f>
        <v>0</v>
      </c>
    </row>
    <row r="7815" spans="1:16" x14ac:dyDescent="0.25">
      <c r="A7815" t="s">
        <v>2583</v>
      </c>
      <c r="B7815">
        <v>13</v>
      </c>
      <c r="C7815" t="s">
        <v>9090</v>
      </c>
      <c r="D7815" t="s">
        <v>106</v>
      </c>
      <c r="E7815" s="13">
        <v>480</v>
      </c>
      <c r="F7815" s="12">
        <v>0</v>
      </c>
      <c r="G7815" t="str">
        <f>IFERROR(INDEX(tEditais[Órgão],MATCH(tItens[[#This Row],[Edital]],tEditais[Edital],0)),"")</f>
        <v>EMPRESA BRASILEIRA DE SERVICOS HOSPITALARES - EBSERH</v>
      </c>
      <c r="H7815" t="str">
        <f>IFERROR(INDEX(tEditais[UF],MATCH(tItens[[#This Row],[Edital]],tEditais[Edital],0)),"")</f>
        <v>RS</v>
      </c>
      <c r="I7815" s="11">
        <f>IFERROR(INDEX(tEditais[Encerramento],MATCH(tItens[[#This Row],[Edital]],tEditais[Edital],0)),"")</f>
        <v>46310.375</v>
      </c>
      <c r="J7815" t="str">
        <f>IFERROR(INDEX(tProdutos[Classe],MATCH(tItens[[#This Row],[Produto]],tProdutos[Produto],0)),"produto não cadastrado")</f>
        <v>DISPUTADO</v>
      </c>
      <c r="K7815" s="12">
        <f>tItens[[#This Row],[Qtd]]*tItens[[#This Row],[Vlr unit]]</f>
        <v>0</v>
      </c>
      <c r="L7815" s="6">
        <f>IFERROR(IF(INDEX(tProdutos[Desconto homologado],MATCH(tItens[[#This Row],[Produto]],tProdutos[Produto],0))="",DescontoPadrao,INDEX(tProdutos[Desconto homologado],MATCH(tItens[[#This Row],[Produto]],tProdutos[Produto],0))),DescontoPadrao)</f>
        <v>0.24377518966589001</v>
      </c>
      <c r="M7815" s="12">
        <f>tItens[[#This Row],[Valor]]*(1-tItens[[#This Row],[Desconto]])</f>
        <v>0</v>
      </c>
      <c r="N7815" t="str">
        <f>IFERROR(INDEX(tProdutos[Foco],MATCH(tItens[[#This Row],[Produto]],tProdutos[Produto],0)),"Não")</f>
        <v>Não</v>
      </c>
      <c r="O7815" t="str">
        <f>IFERROR(INDEX(tEditais[SRP],MATCH(tItens[[#This Row],[Edital]],tEditais[Edital],0)),"Não")</f>
        <v>Não</v>
      </c>
      <c r="P7815" s="4">
        <f>IF(COUNTIFS(INDEX(tItens[Edital],1):tItens[[#This Row],[Edital]],tItens[[#This Row],[Edital]],INDEX(tItens[Produto],1):tItens[[#This Row],[Produto]],tItens[[#This Row],[Produto]])=1,1,0)</f>
        <v>0</v>
      </c>
    </row>
    <row r="7816" spans="1:16" x14ac:dyDescent="0.25">
      <c r="A7816" t="s">
        <v>2583</v>
      </c>
      <c r="B7816">
        <v>14</v>
      </c>
      <c r="C7816" t="s">
        <v>9091</v>
      </c>
      <c r="D7816" t="s">
        <v>106</v>
      </c>
      <c r="E7816" s="13">
        <v>350</v>
      </c>
      <c r="F7816" s="12">
        <v>0</v>
      </c>
      <c r="G7816" t="str">
        <f>IFERROR(INDEX(tEditais[Órgão],MATCH(tItens[[#This Row],[Edital]],tEditais[Edital],0)),"")</f>
        <v>EMPRESA BRASILEIRA DE SERVICOS HOSPITALARES - EBSERH</v>
      </c>
      <c r="H7816" t="str">
        <f>IFERROR(INDEX(tEditais[UF],MATCH(tItens[[#This Row],[Edital]],tEditais[Edital],0)),"")</f>
        <v>RS</v>
      </c>
      <c r="I7816" s="11">
        <f>IFERROR(INDEX(tEditais[Encerramento],MATCH(tItens[[#This Row],[Edital]],tEditais[Edital],0)),"")</f>
        <v>46310.375</v>
      </c>
      <c r="J7816" t="str">
        <f>IFERROR(INDEX(tProdutos[Classe],MATCH(tItens[[#This Row],[Produto]],tProdutos[Produto],0)),"produto não cadastrado")</f>
        <v>DISPUTADO</v>
      </c>
      <c r="K7816" s="12">
        <f>tItens[[#This Row],[Qtd]]*tItens[[#This Row],[Vlr unit]]</f>
        <v>0</v>
      </c>
      <c r="L7816" s="6">
        <f>IFERROR(IF(INDEX(tProdutos[Desconto homologado],MATCH(tItens[[#This Row],[Produto]],tProdutos[Produto],0))="",DescontoPadrao,INDEX(tProdutos[Desconto homologado],MATCH(tItens[[#This Row],[Produto]],tProdutos[Produto],0))),DescontoPadrao)</f>
        <v>0.24377518966589001</v>
      </c>
      <c r="M7816" s="12">
        <f>tItens[[#This Row],[Valor]]*(1-tItens[[#This Row],[Desconto]])</f>
        <v>0</v>
      </c>
      <c r="N7816" t="str">
        <f>IFERROR(INDEX(tProdutos[Foco],MATCH(tItens[[#This Row],[Produto]],tProdutos[Produto],0)),"Não")</f>
        <v>Não</v>
      </c>
      <c r="O7816" t="str">
        <f>IFERROR(INDEX(tEditais[SRP],MATCH(tItens[[#This Row],[Edital]],tEditais[Edital],0)),"Não")</f>
        <v>Não</v>
      </c>
      <c r="P7816" s="4">
        <f>IF(COUNTIFS(INDEX(tItens[Edital],1):tItens[[#This Row],[Edital]],tItens[[#This Row],[Edital]],INDEX(tItens[Produto],1):tItens[[#This Row],[Produto]],tItens[[#This Row],[Produto]])=1,1,0)</f>
        <v>0</v>
      </c>
    </row>
    <row r="7817" spans="1:16" x14ac:dyDescent="0.25">
      <c r="A7817" t="s">
        <v>2586</v>
      </c>
      <c r="B7817">
        <v>76</v>
      </c>
      <c r="C7817" t="s">
        <v>10375</v>
      </c>
      <c r="D7817" t="s">
        <v>277</v>
      </c>
      <c r="E7817" s="13">
        <v>30000</v>
      </c>
      <c r="F7817" s="12">
        <v>0.09</v>
      </c>
      <c r="G7817" t="str">
        <f>IFERROR(INDEX(tEditais[Órgão],MATCH(tItens[[#This Row],[Edital]],tEditais[Edital],0)),"")</f>
        <v>MUNICIPIO DE MANOEL VIANA</v>
      </c>
      <c r="H7817" t="str">
        <f>IFERROR(INDEX(tEditais[UF],MATCH(tItens[[#This Row],[Edital]],tEditais[Edital],0)),"")</f>
        <v>RS</v>
      </c>
      <c r="I7817" s="11">
        <f>IFERROR(INDEX(tEditais[Encerramento],MATCH(tItens[[#This Row],[Edital]],tEditais[Edital],0)),"")</f>
        <v>46310.375</v>
      </c>
      <c r="J7817" t="str">
        <f>IFERROR(INDEX(tProdutos[Classe],MATCH(tItens[[#This Row],[Produto]],tProdutos[Produto],0)),"produto não cadastrado")</f>
        <v>DISPUTADO</v>
      </c>
      <c r="K7817" s="12">
        <f>tItens[[#This Row],[Qtd]]*tItens[[#This Row],[Vlr unit]]</f>
        <v>2700</v>
      </c>
      <c r="L7817" s="6">
        <f>IFERROR(IF(INDEX(tProdutos[Desconto homologado],MATCH(tItens[[#This Row],[Produto]],tProdutos[Produto],0))="",DescontoPadrao,INDEX(tProdutos[Desconto homologado],MATCH(tItens[[#This Row],[Produto]],tProdutos[Produto],0))),DescontoPadrao)</f>
        <v>0.50460666194188497</v>
      </c>
      <c r="M7817" s="12">
        <f>tItens[[#This Row],[Valor]]*(1-tItens[[#This Row],[Desconto]])</f>
        <v>1337.5620127569107</v>
      </c>
      <c r="N7817" t="str">
        <f>IFERROR(INDEX(tProdutos[Foco],MATCH(tItens[[#This Row],[Produto]],tProdutos[Produto],0)),"Não")</f>
        <v>Não</v>
      </c>
      <c r="O7817" t="str">
        <f>IFERROR(INDEX(tEditais[SRP],MATCH(tItens[[#This Row],[Edital]],tEditais[Edital],0)),"Não")</f>
        <v>Sim</v>
      </c>
      <c r="P7817" s="4">
        <f>IF(COUNTIFS(INDEX(tItens[Edital],1):tItens[[#This Row],[Edital]],tItens[[#This Row],[Edital]],INDEX(tItens[Produto],1):tItens[[#This Row],[Produto]],tItens[[#This Row],[Produto]])=1,1,0)</f>
        <v>1</v>
      </c>
    </row>
    <row r="7818" spans="1:16" x14ac:dyDescent="0.25">
      <c r="A7818" t="s">
        <v>2586</v>
      </c>
      <c r="B7818">
        <v>102</v>
      </c>
      <c r="C7818" t="s">
        <v>10376</v>
      </c>
      <c r="D7818" t="s">
        <v>317</v>
      </c>
      <c r="E7818" s="13">
        <v>10000</v>
      </c>
      <c r="F7818" s="12">
        <v>1.1000000000000001</v>
      </c>
      <c r="G7818" t="str">
        <f>IFERROR(INDEX(tEditais[Órgão],MATCH(tItens[[#This Row],[Edital]],tEditais[Edital],0)),"")</f>
        <v>MUNICIPIO DE MANOEL VIANA</v>
      </c>
      <c r="H7818" t="str">
        <f>IFERROR(INDEX(tEditais[UF],MATCH(tItens[[#This Row],[Edital]],tEditais[Edital],0)),"")</f>
        <v>RS</v>
      </c>
      <c r="I7818" s="11">
        <f>IFERROR(INDEX(tEditais[Encerramento],MATCH(tItens[[#This Row],[Edital]],tEditais[Edital],0)),"")</f>
        <v>46310.375</v>
      </c>
      <c r="J7818" t="str">
        <f>IFERROR(INDEX(tProdutos[Classe],MATCH(tItens[[#This Row],[Produto]],tProdutos[Produto],0)),"produto não cadastrado")</f>
        <v>FORA</v>
      </c>
      <c r="K7818" s="12">
        <f>tItens[[#This Row],[Qtd]]*tItens[[#This Row],[Vlr unit]]</f>
        <v>11000</v>
      </c>
      <c r="L7818" s="6">
        <f>IFERROR(IF(INDEX(tProdutos[Desconto homologado],MATCH(tItens[[#This Row],[Produto]],tProdutos[Produto],0))="",DescontoPadrao,INDEX(tProdutos[Desconto homologado],MATCH(tItens[[#This Row],[Produto]],tProdutos[Produto],0))),DescontoPadrao)</f>
        <v>0.5</v>
      </c>
      <c r="M7818" s="12">
        <f>tItens[[#This Row],[Valor]]*(1-tItens[[#This Row],[Desconto]])</f>
        <v>5500</v>
      </c>
      <c r="N7818" t="str">
        <f>IFERROR(INDEX(tProdutos[Foco],MATCH(tItens[[#This Row],[Produto]],tProdutos[Produto],0)),"Não")</f>
        <v>Não</v>
      </c>
      <c r="O7818" t="str">
        <f>IFERROR(INDEX(tEditais[SRP],MATCH(tItens[[#This Row],[Edital]],tEditais[Edital],0)),"Não")</f>
        <v>Sim</v>
      </c>
      <c r="P7818" s="4">
        <f>IF(COUNTIFS(INDEX(tItens[Edital],1):tItens[[#This Row],[Edital]],tItens[[#This Row],[Edital]],INDEX(tItens[Produto],1):tItens[[#This Row],[Produto]],tItens[[#This Row],[Produto]])=1,1,0)</f>
        <v>1</v>
      </c>
    </row>
    <row r="7819" spans="1:16" x14ac:dyDescent="0.25">
      <c r="A7819" t="s">
        <v>2586</v>
      </c>
      <c r="B7819">
        <v>103</v>
      </c>
      <c r="C7819" t="s">
        <v>10377</v>
      </c>
      <c r="D7819" t="s">
        <v>275</v>
      </c>
      <c r="E7819" s="13">
        <v>10000</v>
      </c>
      <c r="F7819" s="12">
        <v>0.36</v>
      </c>
      <c r="G7819" t="str">
        <f>IFERROR(INDEX(tEditais[Órgão],MATCH(tItens[[#This Row],[Edital]],tEditais[Edital],0)),"")</f>
        <v>MUNICIPIO DE MANOEL VIANA</v>
      </c>
      <c r="H7819" t="str">
        <f>IFERROR(INDEX(tEditais[UF],MATCH(tItens[[#This Row],[Edital]],tEditais[Edital],0)),"")</f>
        <v>RS</v>
      </c>
      <c r="I7819" s="11">
        <f>IFERROR(INDEX(tEditais[Encerramento],MATCH(tItens[[#This Row],[Edital]],tEditais[Edital],0)),"")</f>
        <v>46310.375</v>
      </c>
      <c r="J7819" t="str">
        <f>IFERROR(INDEX(tProdutos[Classe],MATCH(tItens[[#This Row],[Produto]],tProdutos[Produto],0)),"produto não cadastrado")</f>
        <v>FORA</v>
      </c>
      <c r="K7819" s="12">
        <f>tItens[[#This Row],[Qtd]]*tItens[[#This Row],[Vlr unit]]</f>
        <v>3600</v>
      </c>
      <c r="L7819" s="6">
        <f>IFERROR(IF(INDEX(tProdutos[Desconto homologado],MATCH(tItens[[#This Row],[Produto]],tProdutos[Produto],0))="",DescontoPadrao,INDEX(tProdutos[Desconto homologado],MATCH(tItens[[#This Row],[Produto]],tProdutos[Produto],0))),DescontoPadrao)</f>
        <v>0.405797101449275</v>
      </c>
      <c r="M7819" s="12">
        <f>tItens[[#This Row],[Valor]]*(1-tItens[[#This Row],[Desconto]])</f>
        <v>2139.1304347826103</v>
      </c>
      <c r="N7819" t="str">
        <f>IFERROR(INDEX(tProdutos[Foco],MATCH(tItens[[#This Row],[Produto]],tProdutos[Produto],0)),"Não")</f>
        <v>Não</v>
      </c>
      <c r="O7819" t="str">
        <f>IFERROR(INDEX(tEditais[SRP],MATCH(tItens[[#This Row],[Edital]],tEditais[Edital],0)),"Não")</f>
        <v>Sim</v>
      </c>
      <c r="P7819" s="4">
        <f>IF(COUNTIFS(INDEX(tItens[Edital],1):tItens[[#This Row],[Edital]],tItens[[#This Row],[Edital]],INDEX(tItens[Produto],1):tItens[[#This Row],[Produto]],tItens[[#This Row],[Produto]])=1,1,0)</f>
        <v>1</v>
      </c>
    </row>
    <row r="7820" spans="1:16" x14ac:dyDescent="0.25">
      <c r="A7820" t="s">
        <v>2591</v>
      </c>
      <c r="B7820">
        <v>5</v>
      </c>
      <c r="C7820" t="s">
        <v>9423</v>
      </c>
      <c r="D7820" t="s">
        <v>239</v>
      </c>
      <c r="E7820" s="13">
        <v>300</v>
      </c>
      <c r="F7820" s="12">
        <v>0</v>
      </c>
      <c r="G7820" t="str">
        <f>IFERROR(INDEX(tEditais[Órgão],MATCH(tItens[[#This Row],[Edital]],tEditais[Edital],0)),"")</f>
        <v>EMPRESA BRASILEIRA DE SERVICOS HOSPITALARES - EBSERH</v>
      </c>
      <c r="H7820" t="str">
        <f>IFERROR(INDEX(tEditais[UF],MATCH(tItens[[#This Row],[Edital]],tEditais[Edital],0)),"")</f>
        <v>RS</v>
      </c>
      <c r="I7820" s="11">
        <f>IFERROR(INDEX(tEditais[Encerramento],MATCH(tItens[[#This Row],[Edital]],tEditais[Edital],0)),"")</f>
        <v>46310.375</v>
      </c>
      <c r="J7820" t="str">
        <f>IFERROR(INDEX(tProdutos[Classe],MATCH(tItens[[#This Row],[Produto]],tProdutos[Produto],0)),"produto não cadastrado")</f>
        <v>FORA</v>
      </c>
      <c r="K7820" s="12">
        <f>tItens[[#This Row],[Qtd]]*tItens[[#This Row],[Vlr unit]]</f>
        <v>0</v>
      </c>
      <c r="L7820" s="6">
        <f>IFERROR(IF(INDEX(tProdutos[Desconto homologado],MATCH(tItens[[#This Row],[Produto]],tProdutos[Produto],0))="",DescontoPadrao,INDEX(tProdutos[Desconto homologado],MATCH(tItens[[#This Row],[Produto]],tProdutos[Produto],0))),DescontoPadrao)</f>
        <v>0.34905660377358499</v>
      </c>
      <c r="M7820" s="12">
        <f>tItens[[#This Row],[Valor]]*(1-tItens[[#This Row],[Desconto]])</f>
        <v>0</v>
      </c>
      <c r="N7820" t="str">
        <f>IFERROR(INDEX(tProdutos[Foco],MATCH(tItens[[#This Row],[Produto]],tProdutos[Produto],0)),"Não")</f>
        <v>Não</v>
      </c>
      <c r="O7820" t="str">
        <f>IFERROR(INDEX(tEditais[SRP],MATCH(tItens[[#This Row],[Edital]],tEditais[Edital],0)),"Não")</f>
        <v>Não</v>
      </c>
      <c r="P7820" s="4">
        <f>IF(COUNTIFS(INDEX(tItens[Edital],1):tItens[[#This Row],[Edital]],tItens[[#This Row],[Edital]],INDEX(tItens[Produto],1):tItens[[#This Row],[Produto]],tItens[[#This Row],[Produto]])=1,1,0)</f>
        <v>1</v>
      </c>
    </row>
    <row r="7821" spans="1:16" x14ac:dyDescent="0.25">
      <c r="A7821" t="s">
        <v>2591</v>
      </c>
      <c r="B7821">
        <v>9</v>
      </c>
      <c r="C7821" t="s">
        <v>9409</v>
      </c>
      <c r="D7821" t="s">
        <v>62</v>
      </c>
      <c r="E7821" s="13">
        <v>3000</v>
      </c>
      <c r="F7821" s="12">
        <v>0</v>
      </c>
      <c r="G7821" t="str">
        <f>IFERROR(INDEX(tEditais[Órgão],MATCH(tItens[[#This Row],[Edital]],tEditais[Edital],0)),"")</f>
        <v>EMPRESA BRASILEIRA DE SERVICOS HOSPITALARES - EBSERH</v>
      </c>
      <c r="H7821" t="str">
        <f>IFERROR(INDEX(tEditais[UF],MATCH(tItens[[#This Row],[Edital]],tEditais[Edital],0)),"")</f>
        <v>RS</v>
      </c>
      <c r="I7821" s="11">
        <f>IFERROR(INDEX(tEditais[Encerramento],MATCH(tItens[[#This Row],[Edital]],tEditais[Edital],0)),"")</f>
        <v>46310.375</v>
      </c>
      <c r="J7821" t="str">
        <f>IFERROR(INDEX(tProdutos[Classe],MATCH(tItens[[#This Row],[Produto]],tProdutos[Produto],0)),"produto não cadastrado")</f>
        <v>NÚCLEO</v>
      </c>
      <c r="K7821" s="12">
        <f>tItens[[#This Row],[Qtd]]*tItens[[#This Row],[Vlr unit]]</f>
        <v>0</v>
      </c>
      <c r="L7821" s="6">
        <f>IFERROR(IF(INDEX(tProdutos[Desconto homologado],MATCH(tItens[[#This Row],[Produto]],tProdutos[Produto],0))="",DescontoPadrao,INDEX(tProdutos[Desconto homologado],MATCH(tItens[[#This Row],[Produto]],tProdutos[Produto],0))),DescontoPadrao)</f>
        <v>0.3</v>
      </c>
      <c r="M7821" s="12">
        <f>tItens[[#This Row],[Valor]]*(1-tItens[[#This Row],[Desconto]])</f>
        <v>0</v>
      </c>
      <c r="N7821" t="str">
        <f>IFERROR(INDEX(tProdutos[Foco],MATCH(tItens[[#This Row],[Produto]],tProdutos[Produto],0)),"Não")</f>
        <v>Sim</v>
      </c>
      <c r="O7821" t="str">
        <f>IFERROR(INDEX(tEditais[SRP],MATCH(tItens[[#This Row],[Edital]],tEditais[Edital],0)),"Não")</f>
        <v>Não</v>
      </c>
      <c r="P7821" s="4">
        <f>IF(COUNTIFS(INDEX(tItens[Edital],1):tItens[[#This Row],[Edital]],tItens[[#This Row],[Edital]],INDEX(tItens[Produto],1):tItens[[#This Row],[Produto]],tItens[[#This Row],[Produto]])=1,1,0)</f>
        <v>1</v>
      </c>
    </row>
    <row r="7822" spans="1:16" x14ac:dyDescent="0.25">
      <c r="A7822" t="s">
        <v>2591</v>
      </c>
      <c r="B7822">
        <v>10</v>
      </c>
      <c r="C7822" t="s">
        <v>10378</v>
      </c>
      <c r="D7822" t="s">
        <v>62</v>
      </c>
      <c r="E7822" s="13">
        <v>150</v>
      </c>
      <c r="F7822" s="12">
        <v>0</v>
      </c>
      <c r="G7822" t="str">
        <f>IFERROR(INDEX(tEditais[Órgão],MATCH(tItens[[#This Row],[Edital]],tEditais[Edital],0)),"")</f>
        <v>EMPRESA BRASILEIRA DE SERVICOS HOSPITALARES - EBSERH</v>
      </c>
      <c r="H7822" t="str">
        <f>IFERROR(INDEX(tEditais[UF],MATCH(tItens[[#This Row],[Edital]],tEditais[Edital],0)),"")</f>
        <v>RS</v>
      </c>
      <c r="I7822" s="11">
        <f>IFERROR(INDEX(tEditais[Encerramento],MATCH(tItens[[#This Row],[Edital]],tEditais[Edital],0)),"")</f>
        <v>46310.375</v>
      </c>
      <c r="J7822" t="str">
        <f>IFERROR(INDEX(tProdutos[Classe],MATCH(tItens[[#This Row],[Produto]],tProdutos[Produto],0)),"produto não cadastrado")</f>
        <v>NÚCLEO</v>
      </c>
      <c r="K7822" s="12">
        <f>tItens[[#This Row],[Qtd]]*tItens[[#This Row],[Vlr unit]]</f>
        <v>0</v>
      </c>
      <c r="L7822" s="6">
        <f>IFERROR(IF(INDEX(tProdutos[Desconto homologado],MATCH(tItens[[#This Row],[Produto]],tProdutos[Produto],0))="",DescontoPadrao,INDEX(tProdutos[Desconto homologado],MATCH(tItens[[#This Row],[Produto]],tProdutos[Produto],0))),DescontoPadrao)</f>
        <v>0.3</v>
      </c>
      <c r="M7822" s="12">
        <f>tItens[[#This Row],[Valor]]*(1-tItens[[#This Row],[Desconto]])</f>
        <v>0</v>
      </c>
      <c r="N7822" t="str">
        <f>IFERROR(INDEX(tProdutos[Foco],MATCH(tItens[[#This Row],[Produto]],tProdutos[Produto],0)),"Não")</f>
        <v>Sim</v>
      </c>
      <c r="O7822" t="str">
        <f>IFERROR(INDEX(tEditais[SRP],MATCH(tItens[[#This Row],[Edital]],tEditais[Edital],0)),"Não")</f>
        <v>Não</v>
      </c>
      <c r="P7822" s="4">
        <f>IF(COUNTIFS(INDEX(tItens[Edital],1):tItens[[#This Row],[Edital]],tItens[[#This Row],[Edital]],INDEX(tItens[Produto],1):tItens[[#This Row],[Produto]],tItens[[#This Row],[Produto]])=1,1,0)</f>
        <v>0</v>
      </c>
    </row>
    <row r="7823" spans="1:16" x14ac:dyDescent="0.25">
      <c r="A7823" t="s">
        <v>2591</v>
      </c>
      <c r="B7823">
        <v>18</v>
      </c>
      <c r="C7823" t="s">
        <v>9422</v>
      </c>
      <c r="D7823" t="s">
        <v>172</v>
      </c>
      <c r="E7823" s="13">
        <v>2000</v>
      </c>
      <c r="F7823" s="12">
        <v>0</v>
      </c>
      <c r="G7823" t="str">
        <f>IFERROR(INDEX(tEditais[Órgão],MATCH(tItens[[#This Row],[Edital]],tEditais[Edital],0)),"")</f>
        <v>EMPRESA BRASILEIRA DE SERVICOS HOSPITALARES - EBSERH</v>
      </c>
      <c r="H7823" t="str">
        <f>IFERROR(INDEX(tEditais[UF],MATCH(tItens[[#This Row],[Edital]],tEditais[Edital],0)),"")</f>
        <v>RS</v>
      </c>
      <c r="I7823" s="11">
        <f>IFERROR(INDEX(tEditais[Encerramento],MATCH(tItens[[#This Row],[Edital]],tEditais[Edital],0)),"")</f>
        <v>46310.375</v>
      </c>
      <c r="J7823" t="str">
        <f>IFERROR(INDEX(tProdutos[Classe],MATCH(tItens[[#This Row],[Produto]],tProdutos[Produto],0)),"produto não cadastrado")</f>
        <v>DISPUTADO</v>
      </c>
      <c r="K7823" s="12">
        <f>tItens[[#This Row],[Qtd]]*tItens[[#This Row],[Vlr unit]]</f>
        <v>0</v>
      </c>
      <c r="L7823" s="6">
        <f>IFERROR(IF(INDEX(tProdutos[Desconto homologado],MATCH(tItens[[#This Row],[Produto]],tProdutos[Produto],0))="",DescontoPadrao,INDEX(tProdutos[Desconto homologado],MATCH(tItens[[#This Row],[Produto]],tProdutos[Produto],0))),DescontoPadrao)</f>
        <v>0.33578431372549</v>
      </c>
      <c r="M7823" s="12">
        <f>tItens[[#This Row],[Valor]]*(1-tItens[[#This Row],[Desconto]])</f>
        <v>0</v>
      </c>
      <c r="N7823" t="str">
        <f>IFERROR(INDEX(tProdutos[Foco],MATCH(tItens[[#This Row],[Produto]],tProdutos[Produto],0)),"Não")</f>
        <v>Não</v>
      </c>
      <c r="O7823" t="str">
        <f>IFERROR(INDEX(tEditais[SRP],MATCH(tItens[[#This Row],[Edital]],tEditais[Edital],0)),"Não")</f>
        <v>Não</v>
      </c>
      <c r="P7823" s="4">
        <f>IF(COUNTIFS(INDEX(tItens[Edital],1):tItens[[#This Row],[Edital]],tItens[[#This Row],[Edital]],INDEX(tItens[Produto],1):tItens[[#This Row],[Produto]],tItens[[#This Row],[Produto]])=1,1,0)</f>
        <v>1</v>
      </c>
    </row>
    <row r="7824" spans="1:16" x14ac:dyDescent="0.25">
      <c r="A7824" t="s">
        <v>2591</v>
      </c>
      <c r="B7824">
        <v>19</v>
      </c>
      <c r="C7824" t="s">
        <v>10379</v>
      </c>
      <c r="D7824" t="s">
        <v>80</v>
      </c>
      <c r="E7824" s="13">
        <v>80</v>
      </c>
      <c r="F7824" s="12">
        <v>0</v>
      </c>
      <c r="G7824" t="str">
        <f>IFERROR(INDEX(tEditais[Órgão],MATCH(tItens[[#This Row],[Edital]],tEditais[Edital],0)),"")</f>
        <v>EMPRESA BRASILEIRA DE SERVICOS HOSPITALARES - EBSERH</v>
      </c>
      <c r="H7824" t="str">
        <f>IFERROR(INDEX(tEditais[UF],MATCH(tItens[[#This Row],[Edital]],tEditais[Edital],0)),"")</f>
        <v>RS</v>
      </c>
      <c r="I7824" s="11">
        <f>IFERROR(INDEX(tEditais[Encerramento],MATCH(tItens[[#This Row],[Edital]],tEditais[Edital],0)),"")</f>
        <v>46310.375</v>
      </c>
      <c r="J7824" t="str">
        <f>IFERROR(INDEX(tProdutos[Classe],MATCH(tItens[[#This Row],[Produto]],tProdutos[Produto],0)),"produto não cadastrado")</f>
        <v>NÚCLEO</v>
      </c>
      <c r="K7824" s="12">
        <f>tItens[[#This Row],[Qtd]]*tItens[[#This Row],[Vlr unit]]</f>
        <v>0</v>
      </c>
      <c r="L7824" s="6">
        <f>IFERROR(IF(INDEX(tProdutos[Desconto homologado],MATCH(tItens[[#This Row],[Produto]],tProdutos[Produto],0))="",DescontoPadrao,INDEX(tProdutos[Desconto homologado],MATCH(tItens[[#This Row],[Produto]],tProdutos[Produto],0))),DescontoPadrao)</f>
        <v>0.33</v>
      </c>
      <c r="M7824" s="12">
        <f>tItens[[#This Row],[Valor]]*(1-tItens[[#This Row],[Desconto]])</f>
        <v>0</v>
      </c>
      <c r="N7824" t="str">
        <f>IFERROR(INDEX(tProdutos[Foco],MATCH(tItens[[#This Row],[Produto]],tProdutos[Produto],0)),"Não")</f>
        <v>Sim</v>
      </c>
      <c r="O7824" t="str">
        <f>IFERROR(INDEX(tEditais[SRP],MATCH(tItens[[#This Row],[Edital]],tEditais[Edital],0)),"Não")</f>
        <v>Não</v>
      </c>
      <c r="P7824" s="4">
        <f>IF(COUNTIFS(INDEX(tItens[Edital],1):tItens[[#This Row],[Edital]],tItens[[#This Row],[Edital]],INDEX(tItens[Produto],1):tItens[[#This Row],[Produto]],tItens[[#This Row],[Produto]])=1,1,0)</f>
        <v>1</v>
      </c>
    </row>
    <row r="7825" spans="1:16" x14ac:dyDescent="0.25">
      <c r="A7825" t="s">
        <v>2591</v>
      </c>
      <c r="B7825">
        <v>20</v>
      </c>
      <c r="C7825" t="s">
        <v>10379</v>
      </c>
      <c r="D7825" t="s">
        <v>80</v>
      </c>
      <c r="E7825" s="13">
        <v>1600</v>
      </c>
      <c r="F7825" s="12">
        <v>0</v>
      </c>
      <c r="G7825" t="str">
        <f>IFERROR(INDEX(tEditais[Órgão],MATCH(tItens[[#This Row],[Edital]],tEditais[Edital],0)),"")</f>
        <v>EMPRESA BRASILEIRA DE SERVICOS HOSPITALARES - EBSERH</v>
      </c>
      <c r="H7825" t="str">
        <f>IFERROR(INDEX(tEditais[UF],MATCH(tItens[[#This Row],[Edital]],tEditais[Edital],0)),"")</f>
        <v>RS</v>
      </c>
      <c r="I7825" s="11">
        <f>IFERROR(INDEX(tEditais[Encerramento],MATCH(tItens[[#This Row],[Edital]],tEditais[Edital],0)),"")</f>
        <v>46310.375</v>
      </c>
      <c r="J7825" t="str">
        <f>IFERROR(INDEX(tProdutos[Classe],MATCH(tItens[[#This Row],[Produto]],tProdutos[Produto],0)),"produto não cadastrado")</f>
        <v>NÚCLEO</v>
      </c>
      <c r="K7825" s="12">
        <f>tItens[[#This Row],[Qtd]]*tItens[[#This Row],[Vlr unit]]</f>
        <v>0</v>
      </c>
      <c r="L7825" s="6">
        <f>IFERROR(IF(INDEX(tProdutos[Desconto homologado],MATCH(tItens[[#This Row],[Produto]],tProdutos[Produto],0))="",DescontoPadrao,INDEX(tProdutos[Desconto homologado],MATCH(tItens[[#This Row],[Produto]],tProdutos[Produto],0))),DescontoPadrao)</f>
        <v>0.33</v>
      </c>
      <c r="M7825" s="12">
        <f>tItens[[#This Row],[Valor]]*(1-tItens[[#This Row],[Desconto]])</f>
        <v>0</v>
      </c>
      <c r="N7825" t="str">
        <f>IFERROR(INDEX(tProdutos[Foco],MATCH(tItens[[#This Row],[Produto]],tProdutos[Produto],0)),"Não")</f>
        <v>Sim</v>
      </c>
      <c r="O7825" t="str">
        <f>IFERROR(INDEX(tEditais[SRP],MATCH(tItens[[#This Row],[Edital]],tEditais[Edital],0)),"Não")</f>
        <v>Não</v>
      </c>
      <c r="P7825" s="4">
        <f>IF(COUNTIFS(INDEX(tItens[Edital],1):tItens[[#This Row],[Edital]],tItens[[#This Row],[Edital]],INDEX(tItens[Produto],1):tItens[[#This Row],[Produto]],tItens[[#This Row],[Produto]])=1,1,0)</f>
        <v>0</v>
      </c>
    </row>
    <row r="7826" spans="1:16" x14ac:dyDescent="0.25">
      <c r="A7826" t="s">
        <v>2591</v>
      </c>
      <c r="B7826">
        <v>22</v>
      </c>
      <c r="C7826" t="s">
        <v>10380</v>
      </c>
      <c r="D7826" t="s">
        <v>233</v>
      </c>
      <c r="E7826" s="13">
        <v>40</v>
      </c>
      <c r="F7826" s="12">
        <v>0</v>
      </c>
      <c r="G7826" t="str">
        <f>IFERROR(INDEX(tEditais[Órgão],MATCH(tItens[[#This Row],[Edital]],tEditais[Edital],0)),"")</f>
        <v>EMPRESA BRASILEIRA DE SERVICOS HOSPITALARES - EBSERH</v>
      </c>
      <c r="H7826" t="str">
        <f>IFERROR(INDEX(tEditais[UF],MATCH(tItens[[#This Row],[Edital]],tEditais[Edital],0)),"")</f>
        <v>RS</v>
      </c>
      <c r="I7826" s="11">
        <f>IFERROR(INDEX(tEditais[Encerramento],MATCH(tItens[[#This Row],[Edital]],tEditais[Edital],0)),"")</f>
        <v>46310.375</v>
      </c>
      <c r="J7826" t="str">
        <f>IFERROR(INDEX(tProdutos[Classe],MATCH(tItens[[#This Row],[Produto]],tProdutos[Produto],0)),"produto não cadastrado")</f>
        <v>FORA</v>
      </c>
      <c r="K7826" s="12">
        <f>tItens[[#This Row],[Qtd]]*tItens[[#This Row],[Vlr unit]]</f>
        <v>0</v>
      </c>
      <c r="L7826" s="6">
        <f>IFERROR(IF(INDEX(tProdutos[Desconto homologado],MATCH(tItens[[#This Row],[Produto]],tProdutos[Produto],0))="",DescontoPadrao,INDEX(tProdutos[Desconto homologado],MATCH(tItens[[#This Row],[Produto]],tProdutos[Produto],0))),DescontoPadrao)</f>
        <v>0.246270084162204</v>
      </c>
      <c r="M7826" s="12">
        <f>tItens[[#This Row],[Valor]]*(1-tItens[[#This Row],[Desconto]])</f>
        <v>0</v>
      </c>
      <c r="N7826" t="str">
        <f>IFERROR(INDEX(tProdutos[Foco],MATCH(tItens[[#This Row],[Produto]],tProdutos[Produto],0)),"Não")</f>
        <v>Não</v>
      </c>
      <c r="O7826" t="str">
        <f>IFERROR(INDEX(tEditais[SRP],MATCH(tItens[[#This Row],[Edital]],tEditais[Edital],0)),"Não")</f>
        <v>Não</v>
      </c>
      <c r="P7826" s="4">
        <f>IF(COUNTIFS(INDEX(tItens[Edital],1):tItens[[#This Row],[Edital]],tItens[[#This Row],[Edital]],INDEX(tItens[Produto],1):tItens[[#This Row],[Produto]],tItens[[#This Row],[Produto]])=1,1,0)</f>
        <v>1</v>
      </c>
    </row>
    <row r="7827" spans="1:16" x14ac:dyDescent="0.25">
      <c r="A7827" t="s">
        <v>2591</v>
      </c>
      <c r="B7827">
        <v>23</v>
      </c>
      <c r="C7827" t="s">
        <v>10381</v>
      </c>
      <c r="D7827" t="s">
        <v>75</v>
      </c>
      <c r="E7827" s="13">
        <v>750</v>
      </c>
      <c r="F7827" s="12">
        <v>0</v>
      </c>
      <c r="G7827" t="str">
        <f>IFERROR(INDEX(tEditais[Órgão],MATCH(tItens[[#This Row],[Edital]],tEditais[Edital],0)),"")</f>
        <v>EMPRESA BRASILEIRA DE SERVICOS HOSPITALARES - EBSERH</v>
      </c>
      <c r="H7827" t="str">
        <f>IFERROR(INDEX(tEditais[UF],MATCH(tItens[[#This Row],[Edital]],tEditais[Edital],0)),"")</f>
        <v>RS</v>
      </c>
      <c r="I7827" s="11">
        <f>IFERROR(INDEX(tEditais[Encerramento],MATCH(tItens[[#This Row],[Edital]],tEditais[Edital],0)),"")</f>
        <v>46310.375</v>
      </c>
      <c r="J7827" t="str">
        <f>IFERROR(INDEX(tProdutos[Classe],MATCH(tItens[[#This Row],[Produto]],tProdutos[Produto],0)),"produto não cadastrado")</f>
        <v>NÚCLEO</v>
      </c>
      <c r="K7827" s="12">
        <f>tItens[[#This Row],[Qtd]]*tItens[[#This Row],[Vlr unit]]</f>
        <v>0</v>
      </c>
      <c r="L7827" s="6">
        <f>IFERROR(IF(INDEX(tProdutos[Desconto homologado],MATCH(tItens[[#This Row],[Produto]],tProdutos[Produto],0))="",DescontoPadrao,INDEX(tProdutos[Desconto homologado],MATCH(tItens[[#This Row],[Produto]],tProdutos[Produto],0))),DescontoPadrao)</f>
        <v>0.26</v>
      </c>
      <c r="M7827" s="12">
        <f>tItens[[#This Row],[Valor]]*(1-tItens[[#This Row],[Desconto]])</f>
        <v>0</v>
      </c>
      <c r="N7827" t="str">
        <f>IFERROR(INDEX(tProdutos[Foco],MATCH(tItens[[#This Row],[Produto]],tProdutos[Produto],0)),"Não")</f>
        <v>Sim</v>
      </c>
      <c r="O7827" t="str">
        <f>IFERROR(INDEX(tEditais[SRP],MATCH(tItens[[#This Row],[Edital]],tEditais[Edital],0)),"Não")</f>
        <v>Não</v>
      </c>
      <c r="P7827" s="4">
        <f>IF(COUNTIFS(INDEX(tItens[Edital],1):tItens[[#This Row],[Edital]],tItens[[#This Row],[Edital]],INDEX(tItens[Produto],1):tItens[[#This Row],[Produto]],tItens[[#This Row],[Produto]])=1,1,0)</f>
        <v>1</v>
      </c>
    </row>
    <row r="7828" spans="1:16" x14ac:dyDescent="0.25">
      <c r="A7828" t="s">
        <v>2591</v>
      </c>
      <c r="B7828">
        <v>24</v>
      </c>
      <c r="C7828" t="s">
        <v>9416</v>
      </c>
      <c r="D7828" t="s">
        <v>75</v>
      </c>
      <c r="E7828" s="13">
        <v>4000</v>
      </c>
      <c r="F7828" s="12">
        <v>0</v>
      </c>
      <c r="G7828" t="str">
        <f>IFERROR(INDEX(tEditais[Órgão],MATCH(tItens[[#This Row],[Edital]],tEditais[Edital],0)),"")</f>
        <v>EMPRESA BRASILEIRA DE SERVICOS HOSPITALARES - EBSERH</v>
      </c>
      <c r="H7828" t="str">
        <f>IFERROR(INDEX(tEditais[UF],MATCH(tItens[[#This Row],[Edital]],tEditais[Edital],0)),"")</f>
        <v>RS</v>
      </c>
      <c r="I7828" s="11">
        <f>IFERROR(INDEX(tEditais[Encerramento],MATCH(tItens[[#This Row],[Edital]],tEditais[Edital],0)),"")</f>
        <v>46310.375</v>
      </c>
      <c r="J7828" t="str">
        <f>IFERROR(INDEX(tProdutos[Classe],MATCH(tItens[[#This Row],[Produto]],tProdutos[Produto],0)),"produto não cadastrado")</f>
        <v>NÚCLEO</v>
      </c>
      <c r="K7828" s="12">
        <f>tItens[[#This Row],[Qtd]]*tItens[[#This Row],[Vlr unit]]</f>
        <v>0</v>
      </c>
      <c r="L7828" s="6">
        <f>IFERROR(IF(INDEX(tProdutos[Desconto homologado],MATCH(tItens[[#This Row],[Produto]],tProdutos[Produto],0))="",DescontoPadrao,INDEX(tProdutos[Desconto homologado],MATCH(tItens[[#This Row],[Produto]],tProdutos[Produto],0))),DescontoPadrao)</f>
        <v>0.26</v>
      </c>
      <c r="M7828" s="12">
        <f>tItens[[#This Row],[Valor]]*(1-tItens[[#This Row],[Desconto]])</f>
        <v>0</v>
      </c>
      <c r="N7828" t="str">
        <f>IFERROR(INDEX(tProdutos[Foco],MATCH(tItens[[#This Row],[Produto]],tProdutos[Produto],0)),"Não")</f>
        <v>Sim</v>
      </c>
      <c r="O7828" t="str">
        <f>IFERROR(INDEX(tEditais[SRP],MATCH(tItens[[#This Row],[Edital]],tEditais[Edital],0)),"Não")</f>
        <v>Não</v>
      </c>
      <c r="P7828" s="4">
        <f>IF(COUNTIFS(INDEX(tItens[Edital],1):tItens[[#This Row],[Edital]],tItens[[#This Row],[Edital]],INDEX(tItens[Produto],1):tItens[[#This Row],[Produto]],tItens[[#This Row],[Produto]])=1,1,0)</f>
        <v>0</v>
      </c>
    </row>
    <row r="7829" spans="1:16" x14ac:dyDescent="0.25">
      <c r="A7829" t="s">
        <v>2591</v>
      </c>
      <c r="B7829">
        <v>25</v>
      </c>
      <c r="C7829" t="s">
        <v>4150</v>
      </c>
      <c r="D7829" t="s">
        <v>75</v>
      </c>
      <c r="E7829" s="13">
        <v>800</v>
      </c>
      <c r="F7829" s="12">
        <v>0</v>
      </c>
      <c r="G7829" t="str">
        <f>IFERROR(INDEX(tEditais[Órgão],MATCH(tItens[[#This Row],[Edital]],tEditais[Edital],0)),"")</f>
        <v>EMPRESA BRASILEIRA DE SERVICOS HOSPITALARES - EBSERH</v>
      </c>
      <c r="H7829" t="str">
        <f>IFERROR(INDEX(tEditais[UF],MATCH(tItens[[#This Row],[Edital]],tEditais[Edital],0)),"")</f>
        <v>RS</v>
      </c>
      <c r="I7829" s="11">
        <f>IFERROR(INDEX(tEditais[Encerramento],MATCH(tItens[[#This Row],[Edital]],tEditais[Edital],0)),"")</f>
        <v>46310.375</v>
      </c>
      <c r="J7829" t="str">
        <f>IFERROR(INDEX(tProdutos[Classe],MATCH(tItens[[#This Row],[Produto]],tProdutos[Produto],0)),"produto não cadastrado")</f>
        <v>NÚCLEO</v>
      </c>
      <c r="K7829" s="12">
        <f>tItens[[#This Row],[Qtd]]*tItens[[#This Row],[Vlr unit]]</f>
        <v>0</v>
      </c>
      <c r="L7829" s="6">
        <f>IFERROR(IF(INDEX(tProdutos[Desconto homologado],MATCH(tItens[[#This Row],[Produto]],tProdutos[Produto],0))="",DescontoPadrao,INDEX(tProdutos[Desconto homologado],MATCH(tItens[[#This Row],[Produto]],tProdutos[Produto],0))),DescontoPadrao)</f>
        <v>0.26</v>
      </c>
      <c r="M7829" s="12">
        <f>tItens[[#This Row],[Valor]]*(1-tItens[[#This Row],[Desconto]])</f>
        <v>0</v>
      </c>
      <c r="N7829" t="str">
        <f>IFERROR(INDEX(tProdutos[Foco],MATCH(tItens[[#This Row],[Produto]],tProdutos[Produto],0)),"Não")</f>
        <v>Sim</v>
      </c>
      <c r="O7829" t="str">
        <f>IFERROR(INDEX(tEditais[SRP],MATCH(tItens[[#This Row],[Edital]],tEditais[Edital],0)),"Não")</f>
        <v>Não</v>
      </c>
      <c r="P7829" s="4">
        <f>IF(COUNTIFS(INDEX(tItens[Edital],1):tItens[[#This Row],[Edital]],tItens[[#This Row],[Edital]],INDEX(tItens[Produto],1):tItens[[#This Row],[Produto]],tItens[[#This Row],[Produto]])=1,1,0)</f>
        <v>0</v>
      </c>
    </row>
    <row r="7830" spans="1:16" x14ac:dyDescent="0.25">
      <c r="A7830" t="s">
        <v>2591</v>
      </c>
      <c r="B7830">
        <v>27</v>
      </c>
      <c r="C7830" t="s">
        <v>10382</v>
      </c>
      <c r="D7830" t="s">
        <v>271</v>
      </c>
      <c r="E7830" s="13">
        <v>50</v>
      </c>
      <c r="F7830" s="12">
        <v>0</v>
      </c>
      <c r="G7830" t="str">
        <f>IFERROR(INDEX(tEditais[Órgão],MATCH(tItens[[#This Row],[Edital]],tEditais[Edital],0)),"")</f>
        <v>EMPRESA BRASILEIRA DE SERVICOS HOSPITALARES - EBSERH</v>
      </c>
      <c r="H7830" t="str">
        <f>IFERROR(INDEX(tEditais[UF],MATCH(tItens[[#This Row],[Edital]],tEditais[Edital],0)),"")</f>
        <v>RS</v>
      </c>
      <c r="I7830" s="11">
        <f>IFERROR(INDEX(tEditais[Encerramento],MATCH(tItens[[#This Row],[Edital]],tEditais[Edital],0)),"")</f>
        <v>46310.375</v>
      </c>
      <c r="J7830" t="str">
        <f>IFERROR(INDEX(tProdutos[Classe],MATCH(tItens[[#This Row],[Produto]],tProdutos[Produto],0)),"produto não cadastrado")</f>
        <v>FORA</v>
      </c>
      <c r="K7830" s="12">
        <f>tItens[[#This Row],[Qtd]]*tItens[[#This Row],[Vlr unit]]</f>
        <v>0</v>
      </c>
      <c r="L7830" s="6">
        <f>IFERROR(IF(INDEX(tProdutos[Desconto homologado],MATCH(tItens[[#This Row],[Produto]],tProdutos[Produto],0))="",DescontoPadrao,INDEX(tProdutos[Desconto homologado],MATCH(tItens[[#This Row],[Produto]],tProdutos[Produto],0))),DescontoPadrao)</f>
        <v>0.35422602089268801</v>
      </c>
      <c r="M7830" s="12">
        <f>tItens[[#This Row],[Valor]]*(1-tItens[[#This Row],[Desconto]])</f>
        <v>0</v>
      </c>
      <c r="N7830" t="str">
        <f>IFERROR(INDEX(tProdutos[Foco],MATCH(tItens[[#This Row],[Produto]],tProdutos[Produto],0)),"Não")</f>
        <v>Não</v>
      </c>
      <c r="O7830" t="str">
        <f>IFERROR(INDEX(tEditais[SRP],MATCH(tItens[[#This Row],[Edital]],tEditais[Edital],0)),"Não")</f>
        <v>Não</v>
      </c>
      <c r="P7830" s="4">
        <f>IF(COUNTIFS(INDEX(tItens[Edital],1):tItens[[#This Row],[Edital]],tItens[[#This Row],[Edital]],INDEX(tItens[Produto],1):tItens[[#This Row],[Produto]],tItens[[#This Row],[Produto]])=1,1,0)</f>
        <v>1</v>
      </c>
    </row>
    <row r="7831" spans="1:16" x14ac:dyDescent="0.25">
      <c r="A7831" t="s">
        <v>2591</v>
      </c>
      <c r="B7831">
        <v>32</v>
      </c>
      <c r="C7831" t="s">
        <v>7236</v>
      </c>
      <c r="D7831" t="s">
        <v>267</v>
      </c>
      <c r="E7831" s="13">
        <v>750</v>
      </c>
      <c r="F7831" s="12">
        <v>0</v>
      </c>
      <c r="G7831" t="str">
        <f>IFERROR(INDEX(tEditais[Órgão],MATCH(tItens[[#This Row],[Edital]],tEditais[Edital],0)),"")</f>
        <v>EMPRESA BRASILEIRA DE SERVICOS HOSPITALARES - EBSERH</v>
      </c>
      <c r="H7831" t="str">
        <f>IFERROR(INDEX(tEditais[UF],MATCH(tItens[[#This Row],[Edital]],tEditais[Edital],0)),"")</f>
        <v>RS</v>
      </c>
      <c r="I7831" s="11">
        <f>IFERROR(INDEX(tEditais[Encerramento],MATCH(tItens[[#This Row],[Edital]],tEditais[Edital],0)),"")</f>
        <v>46310.375</v>
      </c>
      <c r="J7831" t="str">
        <f>IFERROR(INDEX(tProdutos[Classe],MATCH(tItens[[#This Row],[Produto]],tProdutos[Produto],0)),"produto não cadastrado")</f>
        <v>FORA</v>
      </c>
      <c r="K7831" s="12">
        <f>tItens[[#This Row],[Qtd]]*tItens[[#This Row],[Vlr unit]]</f>
        <v>0</v>
      </c>
      <c r="L7831" s="6">
        <f>IFERROR(IF(INDEX(tProdutos[Desconto homologado],MATCH(tItens[[#This Row],[Produto]],tProdutos[Produto],0))="",DescontoPadrao,INDEX(tProdutos[Desconto homologado],MATCH(tItens[[#This Row],[Produto]],tProdutos[Produto],0))),DescontoPadrao)</f>
        <v>0.19963672657401599</v>
      </c>
      <c r="M7831" s="12">
        <f>tItens[[#This Row],[Valor]]*(1-tItens[[#This Row],[Desconto]])</f>
        <v>0</v>
      </c>
      <c r="N7831" t="str">
        <f>IFERROR(INDEX(tProdutos[Foco],MATCH(tItens[[#This Row],[Produto]],tProdutos[Produto],0)),"Não")</f>
        <v>Não</v>
      </c>
      <c r="O7831" t="str">
        <f>IFERROR(INDEX(tEditais[SRP],MATCH(tItens[[#This Row],[Edital]],tEditais[Edital],0)),"Não")</f>
        <v>Não</v>
      </c>
      <c r="P7831" s="4">
        <f>IF(COUNTIFS(INDEX(tItens[Edital],1):tItens[[#This Row],[Edital]],tItens[[#This Row],[Edital]],INDEX(tItens[Produto],1):tItens[[#This Row],[Produto]],tItens[[#This Row],[Produto]])=1,1,0)</f>
        <v>1</v>
      </c>
    </row>
    <row r="7832" spans="1:16" x14ac:dyDescent="0.25">
      <c r="A7832" t="s">
        <v>2591</v>
      </c>
      <c r="B7832">
        <v>35</v>
      </c>
      <c r="C7832" t="s">
        <v>10383</v>
      </c>
      <c r="D7832" t="s">
        <v>371</v>
      </c>
      <c r="E7832" s="13">
        <v>68000</v>
      </c>
      <c r="F7832" s="12">
        <v>0</v>
      </c>
      <c r="G7832" t="str">
        <f>IFERROR(INDEX(tEditais[Órgão],MATCH(tItens[[#This Row],[Edital]],tEditais[Edital],0)),"")</f>
        <v>EMPRESA BRASILEIRA DE SERVICOS HOSPITALARES - EBSERH</v>
      </c>
      <c r="H7832" t="str">
        <f>IFERROR(INDEX(tEditais[UF],MATCH(tItens[[#This Row],[Edital]],tEditais[Edital],0)),"")</f>
        <v>RS</v>
      </c>
      <c r="I7832" s="11">
        <f>IFERROR(INDEX(tEditais[Encerramento],MATCH(tItens[[#This Row],[Edital]],tEditais[Edital],0)),"")</f>
        <v>46310.375</v>
      </c>
      <c r="J7832" t="str">
        <f>IFERROR(INDEX(tProdutos[Classe],MATCH(tItens[[#This Row],[Produto]],tProdutos[Produto],0)),"produto não cadastrado")</f>
        <v>FORA</v>
      </c>
      <c r="K7832" s="12">
        <f>tItens[[#This Row],[Qtd]]*tItens[[#This Row],[Vlr unit]]</f>
        <v>0</v>
      </c>
      <c r="L7832" s="6">
        <f>IFERROR(IF(INDEX(tProdutos[Desconto homologado],MATCH(tItens[[#This Row],[Produto]],tProdutos[Produto],0))="",DescontoPadrao,INDEX(tProdutos[Desconto homologado],MATCH(tItens[[#This Row],[Produto]],tProdutos[Produto],0))),DescontoPadrao)</f>
        <v>0.217826086956522</v>
      </c>
      <c r="M7832" s="12">
        <f>tItens[[#This Row],[Valor]]*(1-tItens[[#This Row],[Desconto]])</f>
        <v>0</v>
      </c>
      <c r="N7832" t="str">
        <f>IFERROR(INDEX(tProdutos[Foco],MATCH(tItens[[#This Row],[Produto]],tProdutos[Produto],0)),"Não")</f>
        <v>Não</v>
      </c>
      <c r="O7832" t="str">
        <f>IFERROR(INDEX(tEditais[SRP],MATCH(tItens[[#This Row],[Edital]],tEditais[Edital],0)),"Não")</f>
        <v>Não</v>
      </c>
      <c r="P7832" s="4">
        <f>IF(COUNTIFS(INDEX(tItens[Edital],1):tItens[[#This Row],[Edital]],tItens[[#This Row],[Edital]],INDEX(tItens[Produto],1):tItens[[#This Row],[Produto]],tItens[[#This Row],[Produto]])=1,1,0)</f>
        <v>1</v>
      </c>
    </row>
    <row r="7833" spans="1:16" x14ac:dyDescent="0.25">
      <c r="A7833" t="s">
        <v>2591</v>
      </c>
      <c r="B7833">
        <v>39</v>
      </c>
      <c r="C7833" t="s">
        <v>10384</v>
      </c>
      <c r="D7833" t="s">
        <v>195</v>
      </c>
      <c r="E7833" s="13">
        <v>10000</v>
      </c>
      <c r="F7833" s="12">
        <v>0</v>
      </c>
      <c r="G7833" t="str">
        <f>IFERROR(INDEX(tEditais[Órgão],MATCH(tItens[[#This Row],[Edital]],tEditais[Edital],0)),"")</f>
        <v>EMPRESA BRASILEIRA DE SERVICOS HOSPITALARES - EBSERH</v>
      </c>
      <c r="H7833" t="str">
        <f>IFERROR(INDEX(tEditais[UF],MATCH(tItens[[#This Row],[Edital]],tEditais[Edital],0)),"")</f>
        <v>RS</v>
      </c>
      <c r="I7833" s="11">
        <f>IFERROR(INDEX(tEditais[Encerramento],MATCH(tItens[[#This Row],[Edital]],tEditais[Edital],0)),"")</f>
        <v>46310.375</v>
      </c>
      <c r="J7833" t="str">
        <f>IFERROR(INDEX(tProdutos[Classe],MATCH(tItens[[#This Row],[Produto]],tProdutos[Produto],0)),"produto não cadastrado")</f>
        <v>FORA</v>
      </c>
      <c r="K7833" s="12">
        <f>tItens[[#This Row],[Qtd]]*tItens[[#This Row],[Vlr unit]]</f>
        <v>0</v>
      </c>
      <c r="L7833" s="6">
        <f>IFERROR(IF(INDEX(tProdutos[Desconto homologado],MATCH(tItens[[#This Row],[Produto]],tProdutos[Produto],0))="",DescontoPadrao,INDEX(tProdutos[Desconto homologado],MATCH(tItens[[#This Row],[Produto]],tProdutos[Produto],0))),DescontoPadrao)</f>
        <v>0.27813657840171302</v>
      </c>
      <c r="M7833" s="12">
        <f>tItens[[#This Row],[Valor]]*(1-tItens[[#This Row],[Desconto]])</f>
        <v>0</v>
      </c>
      <c r="N7833" t="str">
        <f>IFERROR(INDEX(tProdutos[Foco],MATCH(tItens[[#This Row],[Produto]],tProdutos[Produto],0)),"Não")</f>
        <v>Não</v>
      </c>
      <c r="O7833" t="str">
        <f>IFERROR(INDEX(tEditais[SRP],MATCH(tItens[[#This Row],[Edital]],tEditais[Edital],0)),"Não")</f>
        <v>Não</v>
      </c>
      <c r="P7833" s="4">
        <f>IF(COUNTIFS(INDEX(tItens[Edital],1):tItens[[#This Row],[Edital]],tItens[[#This Row],[Edital]],INDEX(tItens[Produto],1):tItens[[#This Row],[Produto]],tItens[[#This Row],[Produto]])=1,1,0)</f>
        <v>1</v>
      </c>
    </row>
    <row r="7834" spans="1:16" x14ac:dyDescent="0.25">
      <c r="A7834" t="s">
        <v>2594</v>
      </c>
      <c r="B7834">
        <v>10</v>
      </c>
      <c r="C7834" t="s">
        <v>10385</v>
      </c>
      <c r="D7834" t="s">
        <v>289</v>
      </c>
      <c r="E7834" s="13">
        <v>1</v>
      </c>
      <c r="F7834" s="12">
        <v>48</v>
      </c>
      <c r="G7834" t="str">
        <f>IFERROR(INDEX(tEditais[Órgão],MATCH(tItens[[#This Row],[Edital]],tEditais[Edital],0)),"")</f>
        <v>SUBSECRETARIA DA ADMINISTRACAO CENTRAL DE LICITACOES</v>
      </c>
      <c r="H7834" t="str">
        <f>IFERROR(INDEX(tEditais[UF],MATCH(tItens[[#This Row],[Edital]],tEditais[Edital],0)),"")</f>
        <v>RS</v>
      </c>
      <c r="I7834" s="11">
        <f>IFERROR(INDEX(tEditais[Encerramento],MATCH(tItens[[#This Row],[Edital]],tEditais[Edital],0)),"")</f>
        <v>46310.375</v>
      </c>
      <c r="J7834" t="str">
        <f>IFERROR(INDEX(tProdutos[Classe],MATCH(tItens[[#This Row],[Produto]],tProdutos[Produto],0)),"produto não cadastrado")</f>
        <v>DISPUTADO</v>
      </c>
      <c r="K7834" s="12">
        <f>tItens[[#This Row],[Qtd]]*tItens[[#This Row],[Vlr unit]]</f>
        <v>48</v>
      </c>
      <c r="L7834" s="6">
        <f>IFERROR(IF(INDEX(tProdutos[Desconto homologado],MATCH(tItens[[#This Row],[Produto]],tProdutos[Produto],0))="",DescontoPadrao,INDEX(tProdutos[Desconto homologado],MATCH(tItens[[#This Row],[Produto]],tProdutos[Produto],0))),DescontoPadrao)</f>
        <v>0.35849056603773599</v>
      </c>
      <c r="M7834" s="12">
        <f>tItens[[#This Row],[Valor]]*(1-tItens[[#This Row],[Desconto]])</f>
        <v>30.792452830188672</v>
      </c>
      <c r="N7834" t="str">
        <f>IFERROR(INDEX(tProdutos[Foco],MATCH(tItens[[#This Row],[Produto]],tProdutos[Produto],0)),"Não")</f>
        <v>Não</v>
      </c>
      <c r="O7834" t="str">
        <f>IFERROR(INDEX(tEditais[SRP],MATCH(tItens[[#This Row],[Edital]],tEditais[Edital],0)),"Não")</f>
        <v>Não</v>
      </c>
      <c r="P7834" s="4">
        <f>IF(COUNTIFS(INDEX(tItens[Edital],1):tItens[[#This Row],[Edital]],tItens[[#This Row],[Edital]],INDEX(tItens[Produto],1):tItens[[#This Row],[Produto]],tItens[[#This Row],[Produto]])=1,1,0)</f>
        <v>1</v>
      </c>
    </row>
    <row r="7835" spans="1:16" x14ac:dyDescent="0.25">
      <c r="A7835" t="s">
        <v>2594</v>
      </c>
      <c r="B7835">
        <v>13</v>
      </c>
      <c r="C7835" t="s">
        <v>10386</v>
      </c>
      <c r="D7835" t="s">
        <v>108</v>
      </c>
      <c r="E7835" s="13">
        <v>1</v>
      </c>
      <c r="F7835" s="12">
        <v>987.36</v>
      </c>
      <c r="G7835" t="str">
        <f>IFERROR(INDEX(tEditais[Órgão],MATCH(tItens[[#This Row],[Edital]],tEditais[Edital],0)),"")</f>
        <v>SUBSECRETARIA DA ADMINISTRACAO CENTRAL DE LICITACOES</v>
      </c>
      <c r="H7835" t="str">
        <f>IFERROR(INDEX(tEditais[UF],MATCH(tItens[[#This Row],[Edital]],tEditais[Edital],0)),"")</f>
        <v>RS</v>
      </c>
      <c r="I7835" s="11">
        <f>IFERROR(INDEX(tEditais[Encerramento],MATCH(tItens[[#This Row],[Edital]],tEditais[Edital],0)),"")</f>
        <v>46310.375</v>
      </c>
      <c r="J7835" t="str">
        <f>IFERROR(INDEX(tProdutos[Classe],MATCH(tItens[[#This Row],[Produto]],tProdutos[Produto],0)),"produto não cadastrado")</f>
        <v>NÚCLEO</v>
      </c>
      <c r="K7835" s="12">
        <f>tItens[[#This Row],[Qtd]]*tItens[[#This Row],[Vlr unit]]</f>
        <v>987.36</v>
      </c>
      <c r="L7835" s="6">
        <f>IFERROR(IF(INDEX(tProdutos[Desconto homologado],MATCH(tItens[[#This Row],[Produto]],tProdutos[Produto],0))="",DescontoPadrao,INDEX(tProdutos[Desconto homologado],MATCH(tItens[[#This Row],[Produto]],tProdutos[Produto],0))),DescontoPadrao)</f>
        <v>0.105498072631365</v>
      </c>
      <c r="M7835" s="12">
        <f>tItens[[#This Row],[Valor]]*(1-tItens[[#This Row],[Desconto]])</f>
        <v>883.19542300669548</v>
      </c>
      <c r="N7835" t="str">
        <f>IFERROR(INDEX(tProdutos[Foco],MATCH(tItens[[#This Row],[Produto]],tProdutos[Produto],0)),"Não")</f>
        <v>Não</v>
      </c>
      <c r="O7835" t="str">
        <f>IFERROR(INDEX(tEditais[SRP],MATCH(tItens[[#This Row],[Edital]],tEditais[Edital],0)),"Não")</f>
        <v>Não</v>
      </c>
      <c r="P7835" s="4">
        <f>IF(COUNTIFS(INDEX(tItens[Edital],1):tItens[[#This Row],[Edital]],tItens[[#This Row],[Edital]],INDEX(tItens[Produto],1):tItens[[#This Row],[Produto]],tItens[[#This Row],[Produto]])=1,1,0)</f>
        <v>1</v>
      </c>
    </row>
    <row r="7836" spans="1:16" x14ac:dyDescent="0.25">
      <c r="A7836" t="s">
        <v>2597</v>
      </c>
      <c r="B7836">
        <v>22</v>
      </c>
      <c r="C7836" t="s">
        <v>10387</v>
      </c>
      <c r="D7836" t="s">
        <v>277</v>
      </c>
      <c r="E7836" s="13">
        <v>400</v>
      </c>
      <c r="F7836" s="12">
        <v>0.14000000000000001</v>
      </c>
      <c r="G7836" t="str">
        <f>IFERROR(INDEX(tEditais[Órgão],MATCH(tItens[[#This Row],[Edital]],tEditais[Edital],0)),"")</f>
        <v>MUNICIPIO DE NOVA SANTA RITA</v>
      </c>
      <c r="H7836" t="str">
        <f>IFERROR(INDEX(tEditais[UF],MATCH(tItens[[#This Row],[Edital]],tEditais[Edital],0)),"")</f>
        <v>RS</v>
      </c>
      <c r="I7836" s="11">
        <f>IFERROR(INDEX(tEditais[Encerramento],MATCH(tItens[[#This Row],[Edital]],tEditais[Edital],0)),"")</f>
        <v>46310.375694444447</v>
      </c>
      <c r="J7836" t="str">
        <f>IFERROR(INDEX(tProdutos[Classe],MATCH(tItens[[#This Row],[Produto]],tProdutos[Produto],0)),"produto não cadastrado")</f>
        <v>DISPUTADO</v>
      </c>
      <c r="K7836" s="12">
        <f>tItens[[#This Row],[Qtd]]*tItens[[#This Row],[Vlr unit]]</f>
        <v>56.000000000000007</v>
      </c>
      <c r="L7836" s="6">
        <f>IFERROR(IF(INDEX(tProdutos[Desconto homologado],MATCH(tItens[[#This Row],[Produto]],tProdutos[Produto],0))="",DescontoPadrao,INDEX(tProdutos[Desconto homologado],MATCH(tItens[[#This Row],[Produto]],tProdutos[Produto],0))),DescontoPadrao)</f>
        <v>0.50460666194188497</v>
      </c>
      <c r="M7836" s="12">
        <f>tItens[[#This Row],[Valor]]*(1-tItens[[#This Row],[Desconto]])</f>
        <v>27.742026931254443</v>
      </c>
      <c r="N7836" t="str">
        <f>IFERROR(INDEX(tProdutos[Foco],MATCH(tItens[[#This Row],[Produto]],tProdutos[Produto],0)),"Não")</f>
        <v>Não</v>
      </c>
      <c r="O7836" t="str">
        <f>IFERROR(INDEX(tEditais[SRP],MATCH(tItens[[#This Row],[Edital]],tEditais[Edital],0)),"Não")</f>
        <v>Não</v>
      </c>
      <c r="P7836" s="4">
        <f>IF(COUNTIFS(INDEX(tItens[Edital],1):tItens[[#This Row],[Edital]],tItens[[#This Row],[Edital]],INDEX(tItens[Produto],1):tItens[[#This Row],[Produto]],tItens[[#This Row],[Produto]])=1,1,0)</f>
        <v>1</v>
      </c>
    </row>
    <row r="7837" spans="1:16" x14ac:dyDescent="0.25">
      <c r="A7837" t="s">
        <v>2600</v>
      </c>
      <c r="B7837">
        <v>3</v>
      </c>
      <c r="C7837" t="s">
        <v>10388</v>
      </c>
      <c r="D7837" t="s">
        <v>277</v>
      </c>
      <c r="E7837" s="13">
        <v>300000</v>
      </c>
      <c r="F7837" s="12">
        <v>0.12</v>
      </c>
      <c r="G7837" t="str">
        <f>IFERROR(INDEX(tEditais[Órgão],MATCH(tItens[[#This Row],[Edital]],tEditais[Edital],0)),"")</f>
        <v>MUNICIPIO DE VERA CRUZ</v>
      </c>
      <c r="H7837" t="str">
        <f>IFERROR(INDEX(tEditais[UF],MATCH(tItens[[#This Row],[Edital]],tEditais[Edital],0)),"")</f>
        <v>RS</v>
      </c>
      <c r="I7837" s="11">
        <f>IFERROR(INDEX(tEditais[Encerramento],MATCH(tItens[[#This Row],[Edital]],tEditais[Edital],0)),"")</f>
        <v>46310.559027777781</v>
      </c>
      <c r="J7837" t="str">
        <f>IFERROR(INDEX(tProdutos[Classe],MATCH(tItens[[#This Row],[Produto]],tProdutos[Produto],0)),"produto não cadastrado")</f>
        <v>DISPUTADO</v>
      </c>
      <c r="K7837" s="12">
        <f>tItens[[#This Row],[Qtd]]*tItens[[#This Row],[Vlr unit]]</f>
        <v>36000</v>
      </c>
      <c r="L7837" s="6">
        <f>IFERROR(IF(INDEX(tProdutos[Desconto homologado],MATCH(tItens[[#This Row],[Produto]],tProdutos[Produto],0))="",DescontoPadrao,INDEX(tProdutos[Desconto homologado],MATCH(tItens[[#This Row],[Produto]],tProdutos[Produto],0))),DescontoPadrao)</f>
        <v>0.50460666194188497</v>
      </c>
      <c r="M7837" s="12">
        <f>tItens[[#This Row],[Valor]]*(1-tItens[[#This Row],[Desconto]])</f>
        <v>17834.160170092142</v>
      </c>
      <c r="N7837" t="str">
        <f>IFERROR(INDEX(tProdutos[Foco],MATCH(tItens[[#This Row],[Produto]],tProdutos[Produto],0)),"Não")</f>
        <v>Não</v>
      </c>
      <c r="O7837" t="str">
        <f>IFERROR(INDEX(tEditais[SRP],MATCH(tItens[[#This Row],[Edital]],tEditais[Edital],0)),"Não")</f>
        <v>Não</v>
      </c>
      <c r="P7837" s="4">
        <f>IF(COUNTIFS(INDEX(tItens[Edital],1):tItens[[#This Row],[Edital]],tItens[[#This Row],[Edital]],INDEX(tItens[Produto],1):tItens[[#This Row],[Produto]],tItens[[#This Row],[Produto]])=1,1,0)</f>
        <v>1</v>
      </c>
    </row>
    <row r="7838" spans="1:16" x14ac:dyDescent="0.25">
      <c r="A7838" t="s">
        <v>2604</v>
      </c>
      <c r="B7838">
        <v>17</v>
      </c>
      <c r="C7838" t="s">
        <v>10389</v>
      </c>
      <c r="D7838" t="s">
        <v>423</v>
      </c>
      <c r="E7838" s="13">
        <v>10</v>
      </c>
      <c r="F7838" s="12">
        <v>10.24</v>
      </c>
      <c r="G7838" t="str">
        <f>IFERROR(INDEX(tEditais[Órgão],MATCH(tItens[[#This Row],[Edital]],tEditais[Edital],0)),"")</f>
        <v>MUNICIPIO DE CERRO BRANCO</v>
      </c>
      <c r="H7838" t="str">
        <f>IFERROR(INDEX(tEditais[UF],MATCH(tItens[[#This Row],[Edital]],tEditais[Edital],0)),"")</f>
        <v>RS</v>
      </c>
      <c r="I7838" s="11">
        <f>IFERROR(INDEX(tEditais[Encerramento],MATCH(tItens[[#This Row],[Edital]],tEditais[Edital],0)),"")</f>
        <v>46311.326388888891</v>
      </c>
      <c r="J7838" t="str">
        <f>IFERROR(INDEX(tProdutos[Classe],MATCH(tItens[[#This Row],[Produto]],tProdutos[Produto],0)),"produto não cadastrado")</f>
        <v>FORA</v>
      </c>
      <c r="K7838" s="12">
        <f>tItens[[#This Row],[Qtd]]*tItens[[#This Row],[Vlr unit]]</f>
        <v>102.4</v>
      </c>
      <c r="L7838" s="6">
        <f>IFERROR(IF(INDEX(tProdutos[Desconto homologado],MATCH(tItens[[#This Row],[Produto]],tProdutos[Produto],0))="",DescontoPadrao,INDEX(tProdutos[Desconto homologado],MATCH(tItens[[#This Row],[Produto]],tProdutos[Produto],0))),DescontoPadrao)</f>
        <v>0.38271604938271597</v>
      </c>
      <c r="M7838" s="12">
        <f>tItens[[#This Row],[Valor]]*(1-tItens[[#This Row],[Desconto]])</f>
        <v>63.209876543209887</v>
      </c>
      <c r="N7838" t="str">
        <f>IFERROR(INDEX(tProdutos[Foco],MATCH(tItens[[#This Row],[Produto]],tProdutos[Produto],0)),"Não")</f>
        <v>Não</v>
      </c>
      <c r="O7838" t="str">
        <f>IFERROR(INDEX(tEditais[SRP],MATCH(tItens[[#This Row],[Edital]],tEditais[Edital],0)),"Não")</f>
        <v>Não</v>
      </c>
      <c r="P7838" s="4">
        <f>IF(COUNTIFS(INDEX(tItens[Edital],1):tItens[[#This Row],[Edital]],tItens[[#This Row],[Edital]],INDEX(tItens[Produto],1):tItens[[#This Row],[Produto]],tItens[[#This Row],[Produto]])=1,1,0)</f>
        <v>1</v>
      </c>
    </row>
    <row r="7839" spans="1:16" x14ac:dyDescent="0.25">
      <c r="A7839" t="s">
        <v>2604</v>
      </c>
      <c r="B7839">
        <v>18</v>
      </c>
      <c r="C7839" t="s">
        <v>10390</v>
      </c>
      <c r="D7839" t="s">
        <v>56</v>
      </c>
      <c r="E7839" s="13">
        <v>1</v>
      </c>
      <c r="F7839" s="12">
        <v>28.01</v>
      </c>
      <c r="G7839" t="str">
        <f>IFERROR(INDEX(tEditais[Órgão],MATCH(tItens[[#This Row],[Edital]],tEditais[Edital],0)),"")</f>
        <v>MUNICIPIO DE CERRO BRANCO</v>
      </c>
      <c r="H7839" t="str">
        <f>IFERROR(INDEX(tEditais[UF],MATCH(tItens[[#This Row],[Edital]],tEditais[Edital],0)),"")</f>
        <v>RS</v>
      </c>
      <c r="I7839" s="11">
        <f>IFERROR(INDEX(tEditais[Encerramento],MATCH(tItens[[#This Row],[Edital]],tEditais[Edital],0)),"")</f>
        <v>46311.326388888891</v>
      </c>
      <c r="J7839" t="str">
        <f>IFERROR(INDEX(tProdutos[Classe],MATCH(tItens[[#This Row],[Produto]],tProdutos[Produto],0)),"produto não cadastrado")</f>
        <v>NÚCLEO</v>
      </c>
      <c r="K7839" s="12">
        <f>tItens[[#This Row],[Qtd]]*tItens[[#This Row],[Vlr unit]]</f>
        <v>28.01</v>
      </c>
      <c r="L7839" s="6">
        <f>IFERROR(IF(INDEX(tProdutos[Desconto homologado],MATCH(tItens[[#This Row],[Produto]],tProdutos[Produto],0))="",DescontoPadrao,INDEX(tProdutos[Desconto homologado],MATCH(tItens[[#This Row],[Produto]],tProdutos[Produto],0))),DescontoPadrao)</f>
        <v>0.34</v>
      </c>
      <c r="M7839" s="12">
        <f>tItens[[#This Row],[Valor]]*(1-tItens[[#This Row],[Desconto]])</f>
        <v>18.486599999999999</v>
      </c>
      <c r="N7839" t="str">
        <f>IFERROR(INDEX(tProdutos[Foco],MATCH(tItens[[#This Row],[Produto]],tProdutos[Produto],0)),"Não")</f>
        <v>Sim</v>
      </c>
      <c r="O7839" t="str">
        <f>IFERROR(INDEX(tEditais[SRP],MATCH(tItens[[#This Row],[Edital]],tEditais[Edital],0)),"Não")</f>
        <v>Não</v>
      </c>
      <c r="P7839" s="4">
        <f>IF(COUNTIFS(INDEX(tItens[Edital],1):tItens[[#This Row],[Edital]],tItens[[#This Row],[Edital]],INDEX(tItens[Produto],1):tItens[[#This Row],[Produto]],tItens[[#This Row],[Produto]])=1,1,0)</f>
        <v>1</v>
      </c>
    </row>
    <row r="7840" spans="1:16" x14ac:dyDescent="0.25">
      <c r="A7840" t="s">
        <v>2604</v>
      </c>
      <c r="B7840">
        <v>19</v>
      </c>
      <c r="C7840" t="s">
        <v>10391</v>
      </c>
      <c r="D7840" t="s">
        <v>399</v>
      </c>
      <c r="E7840" s="13">
        <v>4</v>
      </c>
      <c r="F7840" s="12">
        <v>20.7</v>
      </c>
      <c r="G7840" t="str">
        <f>IFERROR(INDEX(tEditais[Órgão],MATCH(tItens[[#This Row],[Edital]],tEditais[Edital],0)),"")</f>
        <v>MUNICIPIO DE CERRO BRANCO</v>
      </c>
      <c r="H7840" t="str">
        <f>IFERROR(INDEX(tEditais[UF],MATCH(tItens[[#This Row],[Edital]],tEditais[Edital],0)),"")</f>
        <v>RS</v>
      </c>
      <c r="I7840" s="11">
        <f>IFERROR(INDEX(tEditais[Encerramento],MATCH(tItens[[#This Row],[Edital]],tEditais[Edital],0)),"")</f>
        <v>46311.326388888891</v>
      </c>
      <c r="J7840" t="str">
        <f>IFERROR(INDEX(tProdutos[Classe],MATCH(tItens[[#This Row],[Produto]],tProdutos[Produto],0)),"produto não cadastrado")</f>
        <v>FORA</v>
      </c>
      <c r="K7840" s="12">
        <f>tItens[[#This Row],[Qtd]]*tItens[[#This Row],[Vlr unit]]</f>
        <v>82.8</v>
      </c>
      <c r="L7840" s="6">
        <f>IFERROR(IF(INDEX(tProdutos[Desconto homologado],MATCH(tItens[[#This Row],[Produto]],tProdutos[Produto],0))="",DescontoPadrao,INDEX(tProdutos[Desconto homologado],MATCH(tItens[[#This Row],[Produto]],tProdutos[Produto],0))),DescontoPadrao)</f>
        <v>0.30009041591320101</v>
      </c>
      <c r="M7840" s="12">
        <f>tItens[[#This Row],[Valor]]*(1-tItens[[#This Row],[Desconto]])</f>
        <v>57.952513562386962</v>
      </c>
      <c r="N7840" t="str">
        <f>IFERROR(INDEX(tProdutos[Foco],MATCH(tItens[[#This Row],[Produto]],tProdutos[Produto],0)),"Não")</f>
        <v>Não</v>
      </c>
      <c r="O7840" t="str">
        <f>IFERROR(INDEX(tEditais[SRP],MATCH(tItens[[#This Row],[Edital]],tEditais[Edital],0)),"Não")</f>
        <v>Não</v>
      </c>
      <c r="P7840" s="4">
        <f>IF(COUNTIFS(INDEX(tItens[Edital],1):tItens[[#This Row],[Edital]],tItens[[#This Row],[Edital]],INDEX(tItens[Produto],1):tItens[[#This Row],[Produto]],tItens[[#This Row],[Produto]])=1,1,0)</f>
        <v>1</v>
      </c>
    </row>
    <row r="7841" spans="1:16" x14ac:dyDescent="0.25">
      <c r="A7841" t="s">
        <v>2604</v>
      </c>
      <c r="B7841">
        <v>25</v>
      </c>
      <c r="C7841" t="s">
        <v>10392</v>
      </c>
      <c r="D7841" t="s">
        <v>170</v>
      </c>
      <c r="E7841" s="13">
        <v>2</v>
      </c>
      <c r="F7841" s="12">
        <v>208.2</v>
      </c>
      <c r="G7841" t="str">
        <f>IFERROR(INDEX(tEditais[Órgão],MATCH(tItens[[#This Row],[Edital]],tEditais[Edital],0)),"")</f>
        <v>MUNICIPIO DE CERRO BRANCO</v>
      </c>
      <c r="H7841" t="str">
        <f>IFERROR(INDEX(tEditais[UF],MATCH(tItens[[#This Row],[Edital]],tEditais[Edital],0)),"")</f>
        <v>RS</v>
      </c>
      <c r="I7841" s="11">
        <f>IFERROR(INDEX(tEditais[Encerramento],MATCH(tItens[[#This Row],[Edital]],tEditais[Edital],0)),"")</f>
        <v>46311.326388888891</v>
      </c>
      <c r="J7841" t="str">
        <f>IFERROR(INDEX(tProdutos[Classe],MATCH(tItens[[#This Row],[Produto]],tProdutos[Produto],0)),"produto não cadastrado")</f>
        <v>DISPUTADO</v>
      </c>
      <c r="K7841" s="12">
        <f>tItens[[#This Row],[Qtd]]*tItens[[#This Row],[Vlr unit]]</f>
        <v>416.4</v>
      </c>
      <c r="L7841" s="6">
        <f>IFERROR(IF(INDEX(tProdutos[Desconto homologado],MATCH(tItens[[#This Row],[Produto]],tProdutos[Produto],0))="",DescontoPadrao,INDEX(tProdutos[Desconto homologado],MATCH(tItens[[#This Row],[Produto]],tProdutos[Produto],0))),DescontoPadrao)</f>
        <v>0.36</v>
      </c>
      <c r="M7841" s="12">
        <f>tItens[[#This Row],[Valor]]*(1-tItens[[#This Row],[Desconto]])</f>
        <v>266.49599999999998</v>
      </c>
      <c r="N7841" t="str">
        <f>IFERROR(INDEX(tProdutos[Foco],MATCH(tItens[[#This Row],[Produto]],tProdutos[Produto],0)),"Não")</f>
        <v>Sim</v>
      </c>
      <c r="O7841" t="str">
        <f>IFERROR(INDEX(tEditais[SRP],MATCH(tItens[[#This Row],[Edital]],tEditais[Edital],0)),"Não")</f>
        <v>Não</v>
      </c>
      <c r="P7841" s="4">
        <f>IF(COUNTIFS(INDEX(tItens[Edital],1):tItens[[#This Row],[Edital]],tItens[[#This Row],[Edital]],INDEX(tItens[Produto],1):tItens[[#This Row],[Produto]],tItens[[#This Row],[Produto]])=1,1,0)</f>
        <v>1</v>
      </c>
    </row>
    <row r="7842" spans="1:16" x14ac:dyDescent="0.25">
      <c r="A7842" t="s">
        <v>2604</v>
      </c>
      <c r="B7842">
        <v>26</v>
      </c>
      <c r="C7842" t="s">
        <v>10393</v>
      </c>
      <c r="D7842" t="s">
        <v>170</v>
      </c>
      <c r="E7842" s="13">
        <v>2</v>
      </c>
      <c r="F7842" s="12">
        <v>161.63</v>
      </c>
      <c r="G7842" t="str">
        <f>IFERROR(INDEX(tEditais[Órgão],MATCH(tItens[[#This Row],[Edital]],tEditais[Edital],0)),"")</f>
        <v>MUNICIPIO DE CERRO BRANCO</v>
      </c>
      <c r="H7842" t="str">
        <f>IFERROR(INDEX(tEditais[UF],MATCH(tItens[[#This Row],[Edital]],tEditais[Edital],0)),"")</f>
        <v>RS</v>
      </c>
      <c r="I7842" s="11">
        <f>IFERROR(INDEX(tEditais[Encerramento],MATCH(tItens[[#This Row],[Edital]],tEditais[Edital],0)),"")</f>
        <v>46311.326388888891</v>
      </c>
      <c r="J7842" t="str">
        <f>IFERROR(INDEX(tProdutos[Classe],MATCH(tItens[[#This Row],[Produto]],tProdutos[Produto],0)),"produto não cadastrado")</f>
        <v>DISPUTADO</v>
      </c>
      <c r="K7842" s="12">
        <f>tItens[[#This Row],[Qtd]]*tItens[[#This Row],[Vlr unit]]</f>
        <v>323.26</v>
      </c>
      <c r="L7842" s="6">
        <f>IFERROR(IF(INDEX(tProdutos[Desconto homologado],MATCH(tItens[[#This Row],[Produto]],tProdutos[Produto],0))="",DescontoPadrao,INDEX(tProdutos[Desconto homologado],MATCH(tItens[[#This Row],[Produto]],tProdutos[Produto],0))),DescontoPadrao)</f>
        <v>0.36</v>
      </c>
      <c r="M7842" s="12">
        <f>tItens[[#This Row],[Valor]]*(1-tItens[[#This Row],[Desconto]])</f>
        <v>206.88640000000001</v>
      </c>
      <c r="N7842" t="str">
        <f>IFERROR(INDEX(tProdutos[Foco],MATCH(tItens[[#This Row],[Produto]],tProdutos[Produto],0)),"Não")</f>
        <v>Sim</v>
      </c>
      <c r="O7842" t="str">
        <f>IFERROR(INDEX(tEditais[SRP],MATCH(tItens[[#This Row],[Edital]],tEditais[Edital],0)),"Não")</f>
        <v>Não</v>
      </c>
      <c r="P7842" s="4">
        <f>IF(COUNTIFS(INDEX(tItens[Edital],1):tItens[[#This Row],[Edital]],tItens[[#This Row],[Edital]],INDEX(tItens[Produto],1):tItens[[#This Row],[Produto]],tItens[[#This Row],[Produto]])=1,1,0)</f>
        <v>0</v>
      </c>
    </row>
    <row r="7843" spans="1:16" x14ac:dyDescent="0.25">
      <c r="A7843" t="s">
        <v>2604</v>
      </c>
      <c r="B7843">
        <v>27</v>
      </c>
      <c r="C7843" t="s">
        <v>10394</v>
      </c>
      <c r="D7843" t="s">
        <v>170</v>
      </c>
      <c r="E7843" s="13">
        <v>2</v>
      </c>
      <c r="F7843" s="12">
        <v>182.63</v>
      </c>
      <c r="G7843" t="str">
        <f>IFERROR(INDEX(tEditais[Órgão],MATCH(tItens[[#This Row],[Edital]],tEditais[Edital],0)),"")</f>
        <v>MUNICIPIO DE CERRO BRANCO</v>
      </c>
      <c r="H7843" t="str">
        <f>IFERROR(INDEX(tEditais[UF],MATCH(tItens[[#This Row],[Edital]],tEditais[Edital],0)),"")</f>
        <v>RS</v>
      </c>
      <c r="I7843" s="11">
        <f>IFERROR(INDEX(tEditais[Encerramento],MATCH(tItens[[#This Row],[Edital]],tEditais[Edital],0)),"")</f>
        <v>46311.326388888891</v>
      </c>
      <c r="J7843" t="str">
        <f>IFERROR(INDEX(tProdutos[Classe],MATCH(tItens[[#This Row],[Produto]],tProdutos[Produto],0)),"produto não cadastrado")</f>
        <v>DISPUTADO</v>
      </c>
      <c r="K7843" s="12">
        <f>tItens[[#This Row],[Qtd]]*tItens[[#This Row],[Vlr unit]]</f>
        <v>365.26</v>
      </c>
      <c r="L7843" s="6">
        <f>IFERROR(IF(INDEX(tProdutos[Desconto homologado],MATCH(tItens[[#This Row],[Produto]],tProdutos[Produto],0))="",DescontoPadrao,INDEX(tProdutos[Desconto homologado],MATCH(tItens[[#This Row],[Produto]],tProdutos[Produto],0))),DescontoPadrao)</f>
        <v>0.36</v>
      </c>
      <c r="M7843" s="12">
        <f>tItens[[#This Row],[Valor]]*(1-tItens[[#This Row],[Desconto]])</f>
        <v>233.7664</v>
      </c>
      <c r="N7843" t="str">
        <f>IFERROR(INDEX(tProdutos[Foco],MATCH(tItens[[#This Row],[Produto]],tProdutos[Produto],0)),"Não")</f>
        <v>Sim</v>
      </c>
      <c r="O7843" t="str">
        <f>IFERROR(INDEX(tEditais[SRP],MATCH(tItens[[#This Row],[Edital]],tEditais[Edital],0)),"Não")</f>
        <v>Não</v>
      </c>
      <c r="P7843" s="4">
        <f>IF(COUNTIFS(INDEX(tItens[Edital],1):tItens[[#This Row],[Edital]],tItens[[#This Row],[Edital]],INDEX(tItens[Produto],1):tItens[[#This Row],[Produto]],tItens[[#This Row],[Produto]])=1,1,0)</f>
        <v>0</v>
      </c>
    </row>
    <row r="7844" spans="1:16" x14ac:dyDescent="0.25">
      <c r="A7844" t="s">
        <v>2604</v>
      </c>
      <c r="B7844">
        <v>28</v>
      </c>
      <c r="C7844" t="s">
        <v>10395</v>
      </c>
      <c r="D7844" t="s">
        <v>170</v>
      </c>
      <c r="E7844" s="13">
        <v>2</v>
      </c>
      <c r="F7844" s="12">
        <v>175.97</v>
      </c>
      <c r="G7844" t="str">
        <f>IFERROR(INDEX(tEditais[Órgão],MATCH(tItens[[#This Row],[Edital]],tEditais[Edital],0)),"")</f>
        <v>MUNICIPIO DE CERRO BRANCO</v>
      </c>
      <c r="H7844" t="str">
        <f>IFERROR(INDEX(tEditais[UF],MATCH(tItens[[#This Row],[Edital]],tEditais[Edital],0)),"")</f>
        <v>RS</v>
      </c>
      <c r="I7844" s="11">
        <f>IFERROR(INDEX(tEditais[Encerramento],MATCH(tItens[[#This Row],[Edital]],tEditais[Edital],0)),"")</f>
        <v>46311.326388888891</v>
      </c>
      <c r="J7844" t="str">
        <f>IFERROR(INDEX(tProdutos[Classe],MATCH(tItens[[#This Row],[Produto]],tProdutos[Produto],0)),"produto não cadastrado")</f>
        <v>DISPUTADO</v>
      </c>
      <c r="K7844" s="12">
        <f>tItens[[#This Row],[Qtd]]*tItens[[#This Row],[Vlr unit]]</f>
        <v>351.94</v>
      </c>
      <c r="L7844" s="6">
        <f>IFERROR(IF(INDEX(tProdutos[Desconto homologado],MATCH(tItens[[#This Row],[Produto]],tProdutos[Produto],0))="",DescontoPadrao,INDEX(tProdutos[Desconto homologado],MATCH(tItens[[#This Row],[Produto]],tProdutos[Produto],0))),DescontoPadrao)</f>
        <v>0.36</v>
      </c>
      <c r="M7844" s="12">
        <f>tItens[[#This Row],[Valor]]*(1-tItens[[#This Row],[Desconto]])</f>
        <v>225.24160000000001</v>
      </c>
      <c r="N7844" t="str">
        <f>IFERROR(INDEX(tProdutos[Foco],MATCH(tItens[[#This Row],[Produto]],tProdutos[Produto],0)),"Não")</f>
        <v>Sim</v>
      </c>
      <c r="O7844" t="str">
        <f>IFERROR(INDEX(tEditais[SRP],MATCH(tItens[[#This Row],[Edital]],tEditais[Edital],0)),"Não")</f>
        <v>Não</v>
      </c>
      <c r="P7844" s="4">
        <f>IF(COUNTIFS(INDEX(tItens[Edital],1):tItens[[#This Row],[Edital]],tItens[[#This Row],[Edital]],INDEX(tItens[Produto],1):tItens[[#This Row],[Produto]],tItens[[#This Row],[Produto]])=1,1,0)</f>
        <v>0</v>
      </c>
    </row>
    <row r="7845" spans="1:16" x14ac:dyDescent="0.25">
      <c r="A7845" t="s">
        <v>2604</v>
      </c>
      <c r="B7845">
        <v>29</v>
      </c>
      <c r="C7845" t="s">
        <v>10396</v>
      </c>
      <c r="D7845" t="s">
        <v>170</v>
      </c>
      <c r="E7845" s="13">
        <v>2</v>
      </c>
      <c r="F7845" s="12">
        <v>213.52</v>
      </c>
      <c r="G7845" t="str">
        <f>IFERROR(INDEX(tEditais[Órgão],MATCH(tItens[[#This Row],[Edital]],tEditais[Edital],0)),"")</f>
        <v>MUNICIPIO DE CERRO BRANCO</v>
      </c>
      <c r="H7845" t="str">
        <f>IFERROR(INDEX(tEditais[UF],MATCH(tItens[[#This Row],[Edital]],tEditais[Edital],0)),"")</f>
        <v>RS</v>
      </c>
      <c r="I7845" s="11">
        <f>IFERROR(INDEX(tEditais[Encerramento],MATCH(tItens[[#This Row],[Edital]],tEditais[Edital],0)),"")</f>
        <v>46311.326388888891</v>
      </c>
      <c r="J7845" t="str">
        <f>IFERROR(INDEX(tProdutos[Classe],MATCH(tItens[[#This Row],[Produto]],tProdutos[Produto],0)),"produto não cadastrado")</f>
        <v>DISPUTADO</v>
      </c>
      <c r="K7845" s="12">
        <f>tItens[[#This Row],[Qtd]]*tItens[[#This Row],[Vlr unit]]</f>
        <v>427.04</v>
      </c>
      <c r="L7845" s="6">
        <f>IFERROR(IF(INDEX(tProdutos[Desconto homologado],MATCH(tItens[[#This Row],[Produto]],tProdutos[Produto],0))="",DescontoPadrao,INDEX(tProdutos[Desconto homologado],MATCH(tItens[[#This Row],[Produto]],tProdutos[Produto],0))),DescontoPadrao)</f>
        <v>0.36</v>
      </c>
      <c r="M7845" s="12">
        <f>tItens[[#This Row],[Valor]]*(1-tItens[[#This Row],[Desconto]])</f>
        <v>273.30560000000003</v>
      </c>
      <c r="N7845" t="str">
        <f>IFERROR(INDEX(tProdutos[Foco],MATCH(tItens[[#This Row],[Produto]],tProdutos[Produto],0)),"Não")</f>
        <v>Sim</v>
      </c>
      <c r="O7845" t="str">
        <f>IFERROR(INDEX(tEditais[SRP],MATCH(tItens[[#This Row],[Edital]],tEditais[Edital],0)),"Não")</f>
        <v>Não</v>
      </c>
      <c r="P7845" s="4">
        <f>IF(COUNTIFS(INDEX(tItens[Edital],1):tItens[[#This Row],[Edital]],tItens[[#This Row],[Edital]],INDEX(tItens[Produto],1):tItens[[#This Row],[Produto]],tItens[[#This Row],[Produto]])=1,1,0)</f>
        <v>0</v>
      </c>
    </row>
    <row r="7846" spans="1:16" x14ac:dyDescent="0.25">
      <c r="A7846" t="s">
        <v>2604</v>
      </c>
      <c r="B7846">
        <v>32</v>
      </c>
      <c r="C7846" t="s">
        <v>10397</v>
      </c>
      <c r="D7846" t="s">
        <v>694</v>
      </c>
      <c r="E7846" s="13">
        <v>4</v>
      </c>
      <c r="F7846" s="12">
        <v>126.26</v>
      </c>
      <c r="G7846" t="str">
        <f>IFERROR(INDEX(tEditais[Órgão],MATCH(tItens[[#This Row],[Edital]],tEditais[Edital],0)),"")</f>
        <v>MUNICIPIO DE CERRO BRANCO</v>
      </c>
      <c r="H7846" t="str">
        <f>IFERROR(INDEX(tEditais[UF],MATCH(tItens[[#This Row],[Edital]],tEditais[Edital],0)),"")</f>
        <v>RS</v>
      </c>
      <c r="I7846" s="11">
        <f>IFERROR(INDEX(tEditais[Encerramento],MATCH(tItens[[#This Row],[Edital]],tEditais[Edital],0)),"")</f>
        <v>46311.326388888891</v>
      </c>
      <c r="J7846" t="str">
        <f>IFERROR(INDEX(tProdutos[Classe],MATCH(tItens[[#This Row],[Produto]],tProdutos[Produto],0)),"produto não cadastrado")</f>
        <v>FILA REBASE</v>
      </c>
      <c r="K7846" s="12">
        <f>tItens[[#This Row],[Qtd]]*tItens[[#This Row],[Vlr unit]]</f>
        <v>505.04</v>
      </c>
      <c r="L7846" s="6">
        <f>IFERROR(IF(INDEX(tProdutos[Desconto homologado],MATCH(tItens[[#This Row],[Produto]],tProdutos[Produto],0))="",DescontoPadrao,INDEX(tProdutos[Desconto homologado],MATCH(tItens[[#This Row],[Produto]],tProdutos[Produto],0))),DescontoPadrao)</f>
        <v>0.61577111781048699</v>
      </c>
      <c r="M7846" s="12">
        <f>tItens[[#This Row],[Valor]]*(1-tItens[[#This Row],[Desconto]])</f>
        <v>194.05095466099166</v>
      </c>
      <c r="N7846" t="str">
        <f>IFERROR(INDEX(tProdutos[Foco],MATCH(tItens[[#This Row],[Produto]],tProdutos[Produto],0)),"Não")</f>
        <v>Não</v>
      </c>
      <c r="O7846" t="str">
        <f>IFERROR(INDEX(tEditais[SRP],MATCH(tItens[[#This Row],[Edital]],tEditais[Edital],0)),"Não")</f>
        <v>Não</v>
      </c>
      <c r="P7846" s="4">
        <f>IF(COUNTIFS(INDEX(tItens[Edital],1):tItens[[#This Row],[Edital]],tItens[[#This Row],[Edital]],INDEX(tItens[Produto],1):tItens[[#This Row],[Produto]],tItens[[#This Row],[Produto]])=1,1,0)</f>
        <v>1</v>
      </c>
    </row>
    <row r="7847" spans="1:16" x14ac:dyDescent="0.25">
      <c r="A7847" t="s">
        <v>2609</v>
      </c>
      <c r="B7847">
        <v>9</v>
      </c>
      <c r="C7847" t="s">
        <v>10398</v>
      </c>
      <c r="D7847" t="s">
        <v>530</v>
      </c>
      <c r="E7847" s="13">
        <v>1</v>
      </c>
      <c r="F7847" s="12">
        <v>0.56999999999999995</v>
      </c>
      <c r="G7847" t="str">
        <f>IFERROR(INDEX(tEditais[Órgão],MATCH(tItens[[#This Row],[Edital]],tEditais[Edital],0)),"")</f>
        <v>MUNICIPIO DE ALEGRIA</v>
      </c>
      <c r="H7847" t="str">
        <f>IFERROR(INDEX(tEditais[UF],MATCH(tItens[[#This Row],[Edital]],tEditais[Edital],0)),"")</f>
        <v>RS</v>
      </c>
      <c r="I7847" s="11">
        <f>IFERROR(INDEX(tEditais[Encerramento],MATCH(tItens[[#This Row],[Edital]],tEditais[Edital],0)),"")</f>
        <v>46311.332638888889</v>
      </c>
      <c r="J7847" t="str">
        <f>IFERROR(INDEX(tProdutos[Classe],MATCH(tItens[[#This Row],[Produto]],tProdutos[Produto],0)),"produto não cadastrado")</f>
        <v>FILA REBASE</v>
      </c>
      <c r="K7847" s="12">
        <f>tItens[[#This Row],[Qtd]]*tItens[[#This Row],[Vlr unit]]</f>
        <v>0.56999999999999995</v>
      </c>
      <c r="L7847" s="6">
        <f>IFERROR(IF(INDEX(tProdutos[Desconto homologado],MATCH(tItens[[#This Row],[Produto]],tProdutos[Produto],0))="",DescontoPadrao,INDEX(tProdutos[Desconto homologado],MATCH(tItens[[#This Row],[Produto]],tProdutos[Produto],0))),DescontoPadrao)</f>
        <v>0.457328385899815</v>
      </c>
      <c r="M7847" s="12">
        <f>tItens[[#This Row],[Valor]]*(1-tItens[[#This Row],[Desconto]])</f>
        <v>0.30932282003710543</v>
      </c>
      <c r="N7847" t="str">
        <f>IFERROR(INDEX(tProdutos[Foco],MATCH(tItens[[#This Row],[Produto]],tProdutos[Produto],0)),"Não")</f>
        <v>Não</v>
      </c>
      <c r="O7847" t="str">
        <f>IFERROR(INDEX(tEditais[SRP],MATCH(tItens[[#This Row],[Edital]],tEditais[Edital],0)),"Não")</f>
        <v>Não</v>
      </c>
      <c r="P7847" s="4">
        <f>IF(COUNTIFS(INDEX(tItens[Edital],1):tItens[[#This Row],[Edital]],tItens[[#This Row],[Edital]],INDEX(tItens[Produto],1):tItens[[#This Row],[Produto]],tItens[[#This Row],[Produto]])=1,1,0)</f>
        <v>1</v>
      </c>
    </row>
    <row r="7848" spans="1:16" x14ac:dyDescent="0.25">
      <c r="A7848" t="s">
        <v>2609</v>
      </c>
      <c r="B7848">
        <v>10</v>
      </c>
      <c r="C7848" t="s">
        <v>10399</v>
      </c>
      <c r="D7848" t="s">
        <v>56</v>
      </c>
      <c r="E7848" s="13">
        <v>60</v>
      </c>
      <c r="F7848" s="12">
        <v>0.57999999999999996</v>
      </c>
      <c r="G7848" t="str">
        <f>IFERROR(INDEX(tEditais[Órgão],MATCH(tItens[[#This Row],[Edital]],tEditais[Edital],0)),"")</f>
        <v>MUNICIPIO DE ALEGRIA</v>
      </c>
      <c r="H7848" t="str">
        <f>IFERROR(INDEX(tEditais[UF],MATCH(tItens[[#This Row],[Edital]],tEditais[Edital],0)),"")</f>
        <v>RS</v>
      </c>
      <c r="I7848" s="11">
        <f>IFERROR(INDEX(tEditais[Encerramento],MATCH(tItens[[#This Row],[Edital]],tEditais[Edital],0)),"")</f>
        <v>46311.332638888889</v>
      </c>
      <c r="J7848" t="str">
        <f>IFERROR(INDEX(tProdutos[Classe],MATCH(tItens[[#This Row],[Produto]],tProdutos[Produto],0)),"produto não cadastrado")</f>
        <v>NÚCLEO</v>
      </c>
      <c r="K7848" s="12">
        <f>tItens[[#This Row],[Qtd]]*tItens[[#This Row],[Vlr unit]]</f>
        <v>34.799999999999997</v>
      </c>
      <c r="L7848" s="6">
        <f>IFERROR(IF(INDEX(tProdutos[Desconto homologado],MATCH(tItens[[#This Row],[Produto]],tProdutos[Produto],0))="",DescontoPadrao,INDEX(tProdutos[Desconto homologado],MATCH(tItens[[#This Row],[Produto]],tProdutos[Produto],0))),DescontoPadrao)</f>
        <v>0.34</v>
      </c>
      <c r="M7848" s="12">
        <f>tItens[[#This Row],[Valor]]*(1-tItens[[#This Row],[Desconto]])</f>
        <v>22.967999999999996</v>
      </c>
      <c r="N7848" t="str">
        <f>IFERROR(INDEX(tProdutos[Foco],MATCH(tItens[[#This Row],[Produto]],tProdutos[Produto],0)),"Não")</f>
        <v>Sim</v>
      </c>
      <c r="O7848" t="str">
        <f>IFERROR(INDEX(tEditais[SRP],MATCH(tItens[[#This Row],[Edital]],tEditais[Edital],0)),"Não")</f>
        <v>Não</v>
      </c>
      <c r="P7848" s="4">
        <f>IF(COUNTIFS(INDEX(tItens[Edital],1):tItens[[#This Row],[Edital]],tItens[[#This Row],[Edital]],INDEX(tItens[Produto],1):tItens[[#This Row],[Produto]],tItens[[#This Row],[Produto]])=1,1,0)</f>
        <v>1</v>
      </c>
    </row>
    <row r="7849" spans="1:16" x14ac:dyDescent="0.25">
      <c r="A7849" t="s">
        <v>2609</v>
      </c>
      <c r="B7849">
        <v>11</v>
      </c>
      <c r="C7849" t="s">
        <v>10400</v>
      </c>
      <c r="D7849" t="s">
        <v>289</v>
      </c>
      <c r="E7849" s="13">
        <v>500</v>
      </c>
      <c r="F7849" s="12">
        <v>1.54</v>
      </c>
      <c r="G7849" t="str">
        <f>IFERROR(INDEX(tEditais[Órgão],MATCH(tItens[[#This Row],[Edital]],tEditais[Edital],0)),"")</f>
        <v>MUNICIPIO DE ALEGRIA</v>
      </c>
      <c r="H7849" t="str">
        <f>IFERROR(INDEX(tEditais[UF],MATCH(tItens[[#This Row],[Edital]],tEditais[Edital],0)),"")</f>
        <v>RS</v>
      </c>
      <c r="I7849" s="11">
        <f>IFERROR(INDEX(tEditais[Encerramento],MATCH(tItens[[#This Row],[Edital]],tEditais[Edital],0)),"")</f>
        <v>46311.332638888889</v>
      </c>
      <c r="J7849" t="str">
        <f>IFERROR(INDEX(tProdutos[Classe],MATCH(tItens[[#This Row],[Produto]],tProdutos[Produto],0)),"produto não cadastrado")</f>
        <v>DISPUTADO</v>
      </c>
      <c r="K7849" s="12">
        <f>tItens[[#This Row],[Qtd]]*tItens[[#This Row],[Vlr unit]]</f>
        <v>770</v>
      </c>
      <c r="L7849" s="6">
        <f>IFERROR(IF(INDEX(tProdutos[Desconto homologado],MATCH(tItens[[#This Row],[Produto]],tProdutos[Produto],0))="",DescontoPadrao,INDEX(tProdutos[Desconto homologado],MATCH(tItens[[#This Row],[Produto]],tProdutos[Produto],0))),DescontoPadrao)</f>
        <v>0.35849056603773599</v>
      </c>
      <c r="M7849" s="12">
        <f>tItens[[#This Row],[Valor]]*(1-tItens[[#This Row],[Desconto]])</f>
        <v>493.96226415094327</v>
      </c>
      <c r="N7849" t="str">
        <f>IFERROR(INDEX(tProdutos[Foco],MATCH(tItens[[#This Row],[Produto]],tProdutos[Produto],0)),"Não")</f>
        <v>Não</v>
      </c>
      <c r="O7849" t="str">
        <f>IFERROR(INDEX(tEditais[SRP],MATCH(tItens[[#This Row],[Edital]],tEditais[Edital],0)),"Não")</f>
        <v>Não</v>
      </c>
      <c r="P7849" s="4">
        <f>IF(COUNTIFS(INDEX(tItens[Edital],1):tItens[[#This Row],[Edital]],tItens[[#This Row],[Edital]],INDEX(tItens[Produto],1):tItens[[#This Row],[Produto]],tItens[[#This Row],[Produto]])=1,1,0)</f>
        <v>1</v>
      </c>
    </row>
    <row r="7850" spans="1:16" x14ac:dyDescent="0.25">
      <c r="A7850" t="s">
        <v>2613</v>
      </c>
      <c r="B7850">
        <v>6</v>
      </c>
      <c r="C7850" t="s">
        <v>6970</v>
      </c>
      <c r="D7850" t="s">
        <v>313</v>
      </c>
      <c r="E7850" s="13">
        <v>3</v>
      </c>
      <c r="F7850" s="12">
        <v>29.96</v>
      </c>
      <c r="G7850" t="str">
        <f>IFERROR(INDEX(tEditais[Órgão],MATCH(tItens[[#This Row],[Edital]],tEditais[Edital],0)),"")</f>
        <v>COMANDO DO EXERCITO</v>
      </c>
      <c r="H7850" t="str">
        <f>IFERROR(INDEX(tEditais[UF],MATCH(tItens[[#This Row],[Edital]],tEditais[Edital],0)),"")</f>
        <v>RS</v>
      </c>
      <c r="I7850" s="11">
        <f>IFERROR(INDEX(tEditais[Encerramento],MATCH(tItens[[#This Row],[Edital]],tEditais[Edital],0)),"")</f>
        <v>46311.333333333336</v>
      </c>
      <c r="J7850" t="str">
        <f>IFERROR(INDEX(tProdutos[Classe],MATCH(tItens[[#This Row],[Produto]],tProdutos[Produto],0)),"produto não cadastrado")</f>
        <v>FORA</v>
      </c>
      <c r="K7850" s="12">
        <f>tItens[[#This Row],[Qtd]]*tItens[[#This Row],[Vlr unit]]</f>
        <v>89.88</v>
      </c>
      <c r="L7850" s="6">
        <f>IFERROR(IF(INDEX(tProdutos[Desconto homologado],MATCH(tItens[[#This Row],[Produto]],tProdutos[Produto],0))="",DescontoPadrao,INDEX(tProdutos[Desconto homologado],MATCH(tItens[[#This Row],[Produto]],tProdutos[Produto],0))),DescontoPadrao)</f>
        <v>0.35766373163696302</v>
      </c>
      <c r="M7850" s="12">
        <f>tItens[[#This Row],[Valor]]*(1-tItens[[#This Row],[Desconto]])</f>
        <v>57.733183800469753</v>
      </c>
      <c r="N7850" t="str">
        <f>IFERROR(INDEX(tProdutos[Foco],MATCH(tItens[[#This Row],[Produto]],tProdutos[Produto],0)),"Não")</f>
        <v>Não</v>
      </c>
      <c r="O7850" t="str">
        <f>IFERROR(INDEX(tEditais[SRP],MATCH(tItens[[#This Row],[Edital]],tEditais[Edital],0)),"Não")</f>
        <v>Não</v>
      </c>
      <c r="P7850" s="4">
        <f>IF(COUNTIFS(INDEX(tItens[Edital],1):tItens[[#This Row],[Edital]],tItens[[#This Row],[Edital]],INDEX(tItens[Produto],1):tItens[[#This Row],[Produto]],tItens[[#This Row],[Produto]])=1,1,0)</f>
        <v>1</v>
      </c>
    </row>
    <row r="7851" spans="1:16" x14ac:dyDescent="0.25">
      <c r="A7851" t="s">
        <v>2613</v>
      </c>
      <c r="B7851">
        <v>7</v>
      </c>
      <c r="C7851" t="s">
        <v>6389</v>
      </c>
      <c r="D7851" t="s">
        <v>313</v>
      </c>
      <c r="E7851" s="13">
        <v>6</v>
      </c>
      <c r="F7851" s="12">
        <v>31.04</v>
      </c>
      <c r="G7851" t="str">
        <f>IFERROR(INDEX(tEditais[Órgão],MATCH(tItens[[#This Row],[Edital]],tEditais[Edital],0)),"")</f>
        <v>COMANDO DO EXERCITO</v>
      </c>
      <c r="H7851" t="str">
        <f>IFERROR(INDEX(tEditais[UF],MATCH(tItens[[#This Row],[Edital]],tEditais[Edital],0)),"")</f>
        <v>RS</v>
      </c>
      <c r="I7851" s="11">
        <f>IFERROR(INDEX(tEditais[Encerramento],MATCH(tItens[[#This Row],[Edital]],tEditais[Edital],0)),"")</f>
        <v>46311.333333333336</v>
      </c>
      <c r="J7851" t="str">
        <f>IFERROR(INDEX(tProdutos[Classe],MATCH(tItens[[#This Row],[Produto]],tProdutos[Produto],0)),"produto não cadastrado")</f>
        <v>FORA</v>
      </c>
      <c r="K7851" s="12">
        <f>tItens[[#This Row],[Qtd]]*tItens[[#This Row],[Vlr unit]]</f>
        <v>186.24</v>
      </c>
      <c r="L7851" s="6">
        <f>IFERROR(IF(INDEX(tProdutos[Desconto homologado],MATCH(tItens[[#This Row],[Produto]],tProdutos[Produto],0))="",DescontoPadrao,INDEX(tProdutos[Desconto homologado],MATCH(tItens[[#This Row],[Produto]],tProdutos[Produto],0))),DescontoPadrao)</f>
        <v>0.35766373163696302</v>
      </c>
      <c r="M7851" s="12">
        <f>tItens[[#This Row],[Valor]]*(1-tItens[[#This Row],[Desconto]])</f>
        <v>119.628706619932</v>
      </c>
      <c r="N7851" t="str">
        <f>IFERROR(INDEX(tProdutos[Foco],MATCH(tItens[[#This Row],[Produto]],tProdutos[Produto],0)),"Não")</f>
        <v>Não</v>
      </c>
      <c r="O7851" t="str">
        <f>IFERROR(INDEX(tEditais[SRP],MATCH(tItens[[#This Row],[Edital]],tEditais[Edital],0)),"Não")</f>
        <v>Não</v>
      </c>
      <c r="P7851" s="4">
        <f>IF(COUNTIFS(INDEX(tItens[Edital],1):tItens[[#This Row],[Edital]],tItens[[#This Row],[Edital]],INDEX(tItens[Produto],1):tItens[[#This Row],[Produto]],tItens[[#This Row],[Produto]])=1,1,0)</f>
        <v>0</v>
      </c>
    </row>
    <row r="7852" spans="1:16" x14ac:dyDescent="0.25">
      <c r="A7852" t="s">
        <v>2613</v>
      </c>
      <c r="B7852">
        <v>8</v>
      </c>
      <c r="C7852" t="s">
        <v>10001</v>
      </c>
      <c r="D7852" t="s">
        <v>313</v>
      </c>
      <c r="E7852" s="13">
        <v>6</v>
      </c>
      <c r="F7852" s="12">
        <v>29.26</v>
      </c>
      <c r="G7852" t="str">
        <f>IFERROR(INDEX(tEditais[Órgão],MATCH(tItens[[#This Row],[Edital]],tEditais[Edital],0)),"")</f>
        <v>COMANDO DO EXERCITO</v>
      </c>
      <c r="H7852" t="str">
        <f>IFERROR(INDEX(tEditais[UF],MATCH(tItens[[#This Row],[Edital]],tEditais[Edital],0)),"")</f>
        <v>RS</v>
      </c>
      <c r="I7852" s="11">
        <f>IFERROR(INDEX(tEditais[Encerramento],MATCH(tItens[[#This Row],[Edital]],tEditais[Edital],0)),"")</f>
        <v>46311.333333333336</v>
      </c>
      <c r="J7852" t="str">
        <f>IFERROR(INDEX(tProdutos[Classe],MATCH(tItens[[#This Row],[Produto]],tProdutos[Produto],0)),"produto não cadastrado")</f>
        <v>FORA</v>
      </c>
      <c r="K7852" s="12">
        <f>tItens[[#This Row],[Qtd]]*tItens[[#This Row],[Vlr unit]]</f>
        <v>175.56</v>
      </c>
      <c r="L7852" s="6">
        <f>IFERROR(IF(INDEX(tProdutos[Desconto homologado],MATCH(tItens[[#This Row],[Produto]],tProdutos[Produto],0))="",DescontoPadrao,INDEX(tProdutos[Desconto homologado],MATCH(tItens[[#This Row],[Produto]],tProdutos[Produto],0))),DescontoPadrao)</f>
        <v>0.35766373163696302</v>
      </c>
      <c r="M7852" s="12">
        <f>tItens[[#This Row],[Valor]]*(1-tItens[[#This Row],[Desconto]])</f>
        <v>112.76855527381477</v>
      </c>
      <c r="N7852" t="str">
        <f>IFERROR(INDEX(tProdutos[Foco],MATCH(tItens[[#This Row],[Produto]],tProdutos[Produto],0)),"Não")</f>
        <v>Não</v>
      </c>
      <c r="O7852" t="str">
        <f>IFERROR(INDEX(tEditais[SRP],MATCH(tItens[[#This Row],[Edital]],tEditais[Edital],0)),"Não")</f>
        <v>Não</v>
      </c>
      <c r="P7852" s="4">
        <f>IF(COUNTIFS(INDEX(tItens[Edital],1):tItens[[#This Row],[Edital]],tItens[[#This Row],[Edital]],INDEX(tItens[Produto],1):tItens[[#This Row],[Produto]],tItens[[#This Row],[Produto]])=1,1,0)</f>
        <v>0</v>
      </c>
    </row>
    <row r="7853" spans="1:16" x14ac:dyDescent="0.25">
      <c r="A7853" t="s">
        <v>2613</v>
      </c>
      <c r="B7853">
        <v>10</v>
      </c>
      <c r="C7853" t="s">
        <v>10401</v>
      </c>
      <c r="D7853" t="s">
        <v>409</v>
      </c>
      <c r="E7853" s="13">
        <v>20</v>
      </c>
      <c r="F7853" s="12">
        <v>10.72</v>
      </c>
      <c r="G7853" t="str">
        <f>IFERROR(INDEX(tEditais[Órgão],MATCH(tItens[[#This Row],[Edital]],tEditais[Edital],0)),"")</f>
        <v>COMANDO DO EXERCITO</v>
      </c>
      <c r="H7853" t="str">
        <f>IFERROR(INDEX(tEditais[UF],MATCH(tItens[[#This Row],[Edital]],tEditais[Edital],0)),"")</f>
        <v>RS</v>
      </c>
      <c r="I7853" s="11">
        <f>IFERROR(INDEX(tEditais[Encerramento],MATCH(tItens[[#This Row],[Edital]],tEditais[Edital],0)),"")</f>
        <v>46311.333333333336</v>
      </c>
      <c r="J7853" t="str">
        <f>IFERROR(INDEX(tProdutos[Classe],MATCH(tItens[[#This Row],[Produto]],tProdutos[Produto],0)),"produto não cadastrado")</f>
        <v>FORA</v>
      </c>
      <c r="K7853" s="12">
        <f>tItens[[#This Row],[Qtd]]*tItens[[#This Row],[Vlr unit]]</f>
        <v>214.4</v>
      </c>
      <c r="L7853" s="6">
        <f>IFERROR(IF(INDEX(tProdutos[Desconto homologado],MATCH(tItens[[#This Row],[Produto]],tProdutos[Produto],0))="",DescontoPadrao,INDEX(tProdutos[Desconto homologado],MATCH(tItens[[#This Row],[Produto]],tProdutos[Produto],0))),DescontoPadrao)</f>
        <v>0.24924924924924899</v>
      </c>
      <c r="M7853" s="12">
        <f>tItens[[#This Row],[Valor]]*(1-tItens[[#This Row],[Desconto]])</f>
        <v>160.96096096096102</v>
      </c>
      <c r="N7853" t="str">
        <f>IFERROR(INDEX(tProdutos[Foco],MATCH(tItens[[#This Row],[Produto]],tProdutos[Produto],0)),"Não")</f>
        <v>Não</v>
      </c>
      <c r="O7853" t="str">
        <f>IFERROR(INDEX(tEditais[SRP],MATCH(tItens[[#This Row],[Edital]],tEditais[Edital],0)),"Não")</f>
        <v>Não</v>
      </c>
      <c r="P7853" s="4">
        <f>IF(COUNTIFS(INDEX(tItens[Edital],1):tItens[[#This Row],[Edital]],tItens[[#This Row],[Edital]],INDEX(tItens[Produto],1):tItens[[#This Row],[Produto]],tItens[[#This Row],[Produto]])=1,1,0)</f>
        <v>1</v>
      </c>
    </row>
    <row r="7854" spans="1:16" x14ac:dyDescent="0.25">
      <c r="A7854" t="s">
        <v>2613</v>
      </c>
      <c r="B7854">
        <v>16</v>
      </c>
      <c r="C7854" t="s">
        <v>10402</v>
      </c>
      <c r="D7854" t="s">
        <v>461</v>
      </c>
      <c r="E7854" s="13">
        <v>48</v>
      </c>
      <c r="F7854" s="12">
        <v>3.81</v>
      </c>
      <c r="G7854" t="str">
        <f>IFERROR(INDEX(tEditais[Órgão],MATCH(tItens[[#This Row],[Edital]],tEditais[Edital],0)),"")</f>
        <v>COMANDO DO EXERCITO</v>
      </c>
      <c r="H7854" t="str">
        <f>IFERROR(INDEX(tEditais[UF],MATCH(tItens[[#This Row],[Edital]],tEditais[Edital],0)),"")</f>
        <v>RS</v>
      </c>
      <c r="I7854" s="11">
        <f>IFERROR(INDEX(tEditais[Encerramento],MATCH(tItens[[#This Row],[Edital]],tEditais[Edital],0)),"")</f>
        <v>46311.333333333336</v>
      </c>
      <c r="J7854" t="str">
        <f>IFERROR(INDEX(tProdutos[Classe],MATCH(tItens[[#This Row],[Produto]],tProdutos[Produto],0)),"produto não cadastrado")</f>
        <v>FILA REBASE</v>
      </c>
      <c r="K7854" s="12">
        <f>tItens[[#This Row],[Qtd]]*tItens[[#This Row],[Vlr unit]]</f>
        <v>182.88</v>
      </c>
      <c r="L7854" s="6">
        <f>IFERROR(IF(INDEX(tProdutos[Desconto homologado],MATCH(tItens[[#This Row],[Produto]],tProdutos[Produto],0))="",DescontoPadrao,INDEX(tProdutos[Desconto homologado],MATCH(tItens[[#This Row],[Produto]],tProdutos[Produto],0))),DescontoPadrao)</f>
        <v>0.44096385542168698</v>
      </c>
      <c r="M7854" s="12">
        <f>tItens[[#This Row],[Valor]]*(1-tItens[[#This Row],[Desconto]])</f>
        <v>102.23653012048187</v>
      </c>
      <c r="N7854" t="str">
        <f>IFERROR(INDEX(tProdutos[Foco],MATCH(tItens[[#This Row],[Produto]],tProdutos[Produto],0)),"Não")</f>
        <v>Não</v>
      </c>
      <c r="O7854" t="str">
        <f>IFERROR(INDEX(tEditais[SRP],MATCH(tItens[[#This Row],[Edital]],tEditais[Edital],0)),"Não")</f>
        <v>Não</v>
      </c>
      <c r="P7854" s="4">
        <f>IF(COUNTIFS(INDEX(tItens[Edital],1):tItens[[#This Row],[Edital]],tItens[[#This Row],[Edital]],INDEX(tItens[Produto],1):tItens[[#This Row],[Produto]],tItens[[#This Row],[Produto]])=1,1,0)</f>
        <v>1</v>
      </c>
    </row>
    <row r="7855" spans="1:16" x14ac:dyDescent="0.25">
      <c r="A7855" t="s">
        <v>2616</v>
      </c>
      <c r="B7855">
        <v>3</v>
      </c>
      <c r="C7855" t="s">
        <v>9066</v>
      </c>
      <c r="D7855" t="s">
        <v>180</v>
      </c>
      <c r="E7855" s="13">
        <v>6000</v>
      </c>
      <c r="F7855" s="12">
        <v>0</v>
      </c>
      <c r="G7855" t="str">
        <f>IFERROR(INDEX(tEditais[Órgão],MATCH(tItens[[#This Row],[Edital]],tEditais[Edital],0)),"")</f>
        <v>EMPRESA BRASILEIRA DE SERVICOS HOSPITALARES - EBSERH</v>
      </c>
      <c r="H7855" t="str">
        <f>IFERROR(INDEX(tEditais[UF],MATCH(tItens[[#This Row],[Edital]],tEditais[Edital],0)),"")</f>
        <v>RS</v>
      </c>
      <c r="I7855" s="11">
        <f>IFERROR(INDEX(tEditais[Encerramento],MATCH(tItens[[#This Row],[Edital]],tEditais[Edital],0)),"")</f>
        <v>46311.375</v>
      </c>
      <c r="J7855" t="str">
        <f>IFERROR(INDEX(tProdutos[Classe],MATCH(tItens[[#This Row],[Produto]],tProdutos[Produto],0)),"produto não cadastrado")</f>
        <v>DISPUTADO</v>
      </c>
      <c r="K7855" s="12">
        <f>tItens[[#This Row],[Qtd]]*tItens[[#This Row],[Vlr unit]]</f>
        <v>0</v>
      </c>
      <c r="L7855" s="6">
        <f>IFERROR(IF(INDEX(tProdutos[Desconto homologado],MATCH(tItens[[#This Row],[Produto]],tProdutos[Produto],0))="",DescontoPadrao,INDEX(tProdutos[Desconto homologado],MATCH(tItens[[#This Row],[Produto]],tProdutos[Produto],0))),DescontoPadrao)</f>
        <v>0.33333333333333298</v>
      </c>
      <c r="M7855" s="12">
        <f>tItens[[#This Row],[Valor]]*(1-tItens[[#This Row],[Desconto]])</f>
        <v>0</v>
      </c>
      <c r="N7855" t="str">
        <f>IFERROR(INDEX(tProdutos[Foco],MATCH(tItens[[#This Row],[Produto]],tProdutos[Produto],0)),"Não")</f>
        <v>Não</v>
      </c>
      <c r="O7855" t="str">
        <f>IFERROR(INDEX(tEditais[SRP],MATCH(tItens[[#This Row],[Edital]],tEditais[Edital],0)),"Não")</f>
        <v>Não</v>
      </c>
      <c r="P7855" s="4">
        <f>IF(COUNTIFS(INDEX(tItens[Edital],1):tItens[[#This Row],[Edital]],tItens[[#This Row],[Edital]],INDEX(tItens[Produto],1):tItens[[#This Row],[Produto]],tItens[[#This Row],[Produto]])=1,1,0)</f>
        <v>1</v>
      </c>
    </row>
    <row r="7856" spans="1:16" x14ac:dyDescent="0.25">
      <c r="A7856" t="s">
        <v>2616</v>
      </c>
      <c r="B7856">
        <v>4</v>
      </c>
      <c r="C7856" t="s">
        <v>4206</v>
      </c>
      <c r="D7856" t="s">
        <v>333</v>
      </c>
      <c r="E7856" s="13">
        <v>27000</v>
      </c>
      <c r="F7856" s="12">
        <v>0</v>
      </c>
      <c r="G7856" t="str">
        <f>IFERROR(INDEX(tEditais[Órgão],MATCH(tItens[[#This Row],[Edital]],tEditais[Edital],0)),"")</f>
        <v>EMPRESA BRASILEIRA DE SERVICOS HOSPITALARES - EBSERH</v>
      </c>
      <c r="H7856" t="str">
        <f>IFERROR(INDEX(tEditais[UF],MATCH(tItens[[#This Row],[Edital]],tEditais[Edital],0)),"")</f>
        <v>RS</v>
      </c>
      <c r="I7856" s="11">
        <f>IFERROR(INDEX(tEditais[Encerramento],MATCH(tItens[[#This Row],[Edital]],tEditais[Edital],0)),"")</f>
        <v>46311.375</v>
      </c>
      <c r="J7856" t="str">
        <f>IFERROR(INDEX(tProdutos[Classe],MATCH(tItens[[#This Row],[Produto]],tProdutos[Produto],0)),"produto não cadastrado")</f>
        <v>FORA</v>
      </c>
      <c r="K7856" s="12">
        <f>tItens[[#This Row],[Qtd]]*tItens[[#This Row],[Vlr unit]]</f>
        <v>0</v>
      </c>
      <c r="L7856" s="6">
        <f>IFERROR(IF(INDEX(tProdutos[Desconto homologado],MATCH(tItens[[#This Row],[Produto]],tProdutos[Produto],0))="",DescontoPadrao,INDEX(tProdutos[Desconto homologado],MATCH(tItens[[#This Row],[Produto]],tProdutos[Produto],0))),DescontoPadrao)</f>
        <v>0.48951048951048998</v>
      </c>
      <c r="M7856" s="12">
        <f>tItens[[#This Row],[Valor]]*(1-tItens[[#This Row],[Desconto]])</f>
        <v>0</v>
      </c>
      <c r="N7856" t="str">
        <f>IFERROR(INDEX(tProdutos[Foco],MATCH(tItens[[#This Row],[Produto]],tProdutos[Produto],0)),"Não")</f>
        <v>Não</v>
      </c>
      <c r="O7856" t="str">
        <f>IFERROR(INDEX(tEditais[SRP],MATCH(tItens[[#This Row],[Edital]],tEditais[Edital],0)),"Não")</f>
        <v>Não</v>
      </c>
      <c r="P7856" s="4">
        <f>IF(COUNTIFS(INDEX(tItens[Edital],1):tItens[[#This Row],[Edital]],tItens[[#This Row],[Edital]],INDEX(tItens[Produto],1):tItens[[#This Row],[Produto]],tItens[[#This Row],[Produto]])=1,1,0)</f>
        <v>1</v>
      </c>
    </row>
    <row r="7857" spans="1:16" x14ac:dyDescent="0.25">
      <c r="A7857" t="s">
        <v>2616</v>
      </c>
      <c r="B7857">
        <v>5</v>
      </c>
      <c r="C7857" t="s">
        <v>4205</v>
      </c>
      <c r="D7857" t="s">
        <v>333</v>
      </c>
      <c r="E7857" s="13">
        <v>203100</v>
      </c>
      <c r="F7857" s="12">
        <v>0</v>
      </c>
      <c r="G7857" t="str">
        <f>IFERROR(INDEX(tEditais[Órgão],MATCH(tItens[[#This Row],[Edital]],tEditais[Edital],0)),"")</f>
        <v>EMPRESA BRASILEIRA DE SERVICOS HOSPITALARES - EBSERH</v>
      </c>
      <c r="H7857" t="str">
        <f>IFERROR(INDEX(tEditais[UF],MATCH(tItens[[#This Row],[Edital]],tEditais[Edital],0)),"")</f>
        <v>RS</v>
      </c>
      <c r="I7857" s="11">
        <f>IFERROR(INDEX(tEditais[Encerramento],MATCH(tItens[[#This Row],[Edital]],tEditais[Edital],0)),"")</f>
        <v>46311.375</v>
      </c>
      <c r="J7857" t="str">
        <f>IFERROR(INDEX(tProdutos[Classe],MATCH(tItens[[#This Row],[Produto]],tProdutos[Produto],0)),"produto não cadastrado")</f>
        <v>FORA</v>
      </c>
      <c r="K7857" s="12">
        <f>tItens[[#This Row],[Qtd]]*tItens[[#This Row],[Vlr unit]]</f>
        <v>0</v>
      </c>
      <c r="L7857" s="6">
        <f>IFERROR(IF(INDEX(tProdutos[Desconto homologado],MATCH(tItens[[#This Row],[Produto]],tProdutos[Produto],0))="",DescontoPadrao,INDEX(tProdutos[Desconto homologado],MATCH(tItens[[#This Row],[Produto]],tProdutos[Produto],0))),DescontoPadrao)</f>
        <v>0.48951048951048998</v>
      </c>
      <c r="M7857" s="12">
        <f>tItens[[#This Row],[Valor]]*(1-tItens[[#This Row],[Desconto]])</f>
        <v>0</v>
      </c>
      <c r="N7857" t="str">
        <f>IFERROR(INDEX(tProdutos[Foco],MATCH(tItens[[#This Row],[Produto]],tProdutos[Produto],0)),"Não")</f>
        <v>Não</v>
      </c>
      <c r="O7857" t="str">
        <f>IFERROR(INDEX(tEditais[SRP],MATCH(tItens[[#This Row],[Edital]],tEditais[Edital],0)),"Não")</f>
        <v>Não</v>
      </c>
      <c r="P7857" s="4">
        <f>IF(COUNTIFS(INDEX(tItens[Edital],1):tItens[[#This Row],[Edital]],tItens[[#This Row],[Edital]],INDEX(tItens[Produto],1):tItens[[#This Row],[Produto]],tItens[[#This Row],[Produto]])=1,1,0)</f>
        <v>0</v>
      </c>
    </row>
    <row r="7858" spans="1:16" x14ac:dyDescent="0.25">
      <c r="A7858" t="s">
        <v>2616</v>
      </c>
      <c r="B7858">
        <v>6</v>
      </c>
      <c r="C7858" t="s">
        <v>10403</v>
      </c>
      <c r="D7858" t="s">
        <v>187</v>
      </c>
      <c r="E7858" s="13">
        <v>3000</v>
      </c>
      <c r="F7858" s="12">
        <v>0</v>
      </c>
      <c r="G7858" t="str">
        <f>IFERROR(INDEX(tEditais[Órgão],MATCH(tItens[[#This Row],[Edital]],tEditais[Edital],0)),"")</f>
        <v>EMPRESA BRASILEIRA DE SERVICOS HOSPITALARES - EBSERH</v>
      </c>
      <c r="H7858" t="str">
        <f>IFERROR(INDEX(tEditais[UF],MATCH(tItens[[#This Row],[Edital]],tEditais[Edital],0)),"")</f>
        <v>RS</v>
      </c>
      <c r="I7858" s="11">
        <f>IFERROR(INDEX(tEditais[Encerramento],MATCH(tItens[[#This Row],[Edital]],tEditais[Edital],0)),"")</f>
        <v>46311.375</v>
      </c>
      <c r="J7858" t="str">
        <f>IFERROR(INDEX(tProdutos[Classe],MATCH(tItens[[#This Row],[Produto]],tProdutos[Produto],0)),"produto não cadastrado")</f>
        <v>DISPUTADO</v>
      </c>
      <c r="K7858" s="12">
        <f>tItens[[#This Row],[Qtd]]*tItens[[#This Row],[Vlr unit]]</f>
        <v>0</v>
      </c>
      <c r="L7858" s="6">
        <f>IFERROR(IF(INDEX(tProdutos[Desconto homologado],MATCH(tItens[[#This Row],[Produto]],tProdutos[Produto],0))="",DescontoPadrao,INDEX(tProdutos[Desconto homologado],MATCH(tItens[[#This Row],[Produto]],tProdutos[Produto],0))),DescontoPadrao)</f>
        <v>0.44298820445609399</v>
      </c>
      <c r="M7858" s="12">
        <f>tItens[[#This Row],[Valor]]*(1-tItens[[#This Row],[Desconto]])</f>
        <v>0</v>
      </c>
      <c r="N7858" t="str">
        <f>IFERROR(INDEX(tProdutos[Foco],MATCH(tItens[[#This Row],[Produto]],tProdutos[Produto],0)),"Não")</f>
        <v>Não</v>
      </c>
      <c r="O7858" t="str">
        <f>IFERROR(INDEX(tEditais[SRP],MATCH(tItens[[#This Row],[Edital]],tEditais[Edital],0)),"Não")</f>
        <v>Não</v>
      </c>
      <c r="P7858" s="4">
        <f>IF(COUNTIFS(INDEX(tItens[Edital],1):tItens[[#This Row],[Edital]],tItens[[#This Row],[Edital]],INDEX(tItens[Produto],1):tItens[[#This Row],[Produto]],tItens[[#This Row],[Produto]])=1,1,0)</f>
        <v>1</v>
      </c>
    </row>
    <row r="7859" spans="1:16" x14ac:dyDescent="0.25">
      <c r="A7859" t="s">
        <v>2616</v>
      </c>
      <c r="B7859">
        <v>9</v>
      </c>
      <c r="C7859" t="s">
        <v>4238</v>
      </c>
      <c r="D7859" t="s">
        <v>164</v>
      </c>
      <c r="E7859" s="13">
        <v>200</v>
      </c>
      <c r="F7859" s="12">
        <v>0</v>
      </c>
      <c r="G7859" t="str">
        <f>IFERROR(INDEX(tEditais[Órgão],MATCH(tItens[[#This Row],[Edital]],tEditais[Edital],0)),"")</f>
        <v>EMPRESA BRASILEIRA DE SERVICOS HOSPITALARES - EBSERH</v>
      </c>
      <c r="H7859" t="str">
        <f>IFERROR(INDEX(tEditais[UF],MATCH(tItens[[#This Row],[Edital]],tEditais[Edital],0)),"")</f>
        <v>RS</v>
      </c>
      <c r="I7859" s="11">
        <f>IFERROR(INDEX(tEditais[Encerramento],MATCH(tItens[[#This Row],[Edital]],tEditais[Edital],0)),"")</f>
        <v>46311.375</v>
      </c>
      <c r="J7859" t="str">
        <f>IFERROR(INDEX(tProdutos[Classe],MATCH(tItens[[#This Row],[Produto]],tProdutos[Produto],0)),"produto não cadastrado")</f>
        <v>DISPUTADO</v>
      </c>
      <c r="K7859" s="12">
        <f>tItens[[#This Row],[Qtd]]*tItens[[#This Row],[Vlr unit]]</f>
        <v>0</v>
      </c>
      <c r="L7859" s="6">
        <f>IFERROR(IF(INDEX(tProdutos[Desconto homologado],MATCH(tItens[[#This Row],[Produto]],tProdutos[Produto],0))="",DescontoPadrao,INDEX(tProdutos[Desconto homologado],MATCH(tItens[[#This Row],[Produto]],tProdutos[Produto],0))),DescontoPadrao)</f>
        <v>0.445300462249615</v>
      </c>
      <c r="M7859" s="12">
        <f>tItens[[#This Row],[Valor]]*(1-tItens[[#This Row],[Desconto]])</f>
        <v>0</v>
      </c>
      <c r="N7859" t="str">
        <f>IFERROR(INDEX(tProdutos[Foco],MATCH(tItens[[#This Row],[Produto]],tProdutos[Produto],0)),"Não")</f>
        <v>Não</v>
      </c>
      <c r="O7859" t="str">
        <f>IFERROR(INDEX(tEditais[SRP],MATCH(tItens[[#This Row],[Edital]],tEditais[Edital],0)),"Não")</f>
        <v>Não</v>
      </c>
      <c r="P7859" s="4">
        <f>IF(COUNTIFS(INDEX(tItens[Edital],1):tItens[[#This Row],[Edital]],tItens[[#This Row],[Edital]],INDEX(tItens[Produto],1):tItens[[#This Row],[Produto]],tItens[[#This Row],[Produto]])=1,1,0)</f>
        <v>1</v>
      </c>
    </row>
    <row r="7860" spans="1:16" x14ac:dyDescent="0.25">
      <c r="A7860" t="s">
        <v>2616</v>
      </c>
      <c r="B7860">
        <v>10</v>
      </c>
      <c r="C7860" t="s">
        <v>9434</v>
      </c>
      <c r="D7860" t="s">
        <v>164</v>
      </c>
      <c r="E7860" s="13">
        <v>2150</v>
      </c>
      <c r="F7860" s="12">
        <v>0</v>
      </c>
      <c r="G7860" t="str">
        <f>IFERROR(INDEX(tEditais[Órgão],MATCH(tItens[[#This Row],[Edital]],tEditais[Edital],0)),"")</f>
        <v>EMPRESA BRASILEIRA DE SERVICOS HOSPITALARES - EBSERH</v>
      </c>
      <c r="H7860" t="str">
        <f>IFERROR(INDEX(tEditais[UF],MATCH(tItens[[#This Row],[Edital]],tEditais[Edital],0)),"")</f>
        <v>RS</v>
      </c>
      <c r="I7860" s="11">
        <f>IFERROR(INDEX(tEditais[Encerramento],MATCH(tItens[[#This Row],[Edital]],tEditais[Edital],0)),"")</f>
        <v>46311.375</v>
      </c>
      <c r="J7860" t="str">
        <f>IFERROR(INDEX(tProdutos[Classe],MATCH(tItens[[#This Row],[Produto]],tProdutos[Produto],0)),"produto não cadastrado")</f>
        <v>DISPUTADO</v>
      </c>
      <c r="K7860" s="12">
        <f>tItens[[#This Row],[Qtd]]*tItens[[#This Row],[Vlr unit]]</f>
        <v>0</v>
      </c>
      <c r="L7860" s="6">
        <f>IFERROR(IF(INDEX(tProdutos[Desconto homologado],MATCH(tItens[[#This Row],[Produto]],tProdutos[Produto],0))="",DescontoPadrao,INDEX(tProdutos[Desconto homologado],MATCH(tItens[[#This Row],[Produto]],tProdutos[Produto],0))),DescontoPadrao)</f>
        <v>0.445300462249615</v>
      </c>
      <c r="M7860" s="12">
        <f>tItens[[#This Row],[Valor]]*(1-tItens[[#This Row],[Desconto]])</f>
        <v>0</v>
      </c>
      <c r="N7860" t="str">
        <f>IFERROR(INDEX(tProdutos[Foco],MATCH(tItens[[#This Row],[Produto]],tProdutos[Produto],0)),"Não")</f>
        <v>Não</v>
      </c>
      <c r="O7860" t="str">
        <f>IFERROR(INDEX(tEditais[SRP],MATCH(tItens[[#This Row],[Edital]],tEditais[Edital],0)),"Não")</f>
        <v>Não</v>
      </c>
      <c r="P7860" s="4">
        <f>IF(COUNTIFS(INDEX(tItens[Edital],1):tItens[[#This Row],[Edital]],tItens[[#This Row],[Edital]],INDEX(tItens[Produto],1):tItens[[#This Row],[Produto]],tItens[[#This Row],[Produto]])=1,1,0)</f>
        <v>0</v>
      </c>
    </row>
    <row r="7861" spans="1:16" x14ac:dyDescent="0.25">
      <c r="A7861" t="s">
        <v>2616</v>
      </c>
      <c r="B7861">
        <v>11</v>
      </c>
      <c r="C7861" t="s">
        <v>10404</v>
      </c>
      <c r="D7861" t="s">
        <v>164</v>
      </c>
      <c r="E7861" s="13">
        <v>50</v>
      </c>
      <c r="F7861" s="12">
        <v>0</v>
      </c>
      <c r="G7861" t="str">
        <f>IFERROR(INDEX(tEditais[Órgão],MATCH(tItens[[#This Row],[Edital]],tEditais[Edital],0)),"")</f>
        <v>EMPRESA BRASILEIRA DE SERVICOS HOSPITALARES - EBSERH</v>
      </c>
      <c r="H7861" t="str">
        <f>IFERROR(INDEX(tEditais[UF],MATCH(tItens[[#This Row],[Edital]],tEditais[Edital],0)),"")</f>
        <v>RS</v>
      </c>
      <c r="I7861" s="11">
        <f>IFERROR(INDEX(tEditais[Encerramento],MATCH(tItens[[#This Row],[Edital]],tEditais[Edital],0)),"")</f>
        <v>46311.375</v>
      </c>
      <c r="J7861" t="str">
        <f>IFERROR(INDEX(tProdutos[Classe],MATCH(tItens[[#This Row],[Produto]],tProdutos[Produto],0)),"produto não cadastrado")</f>
        <v>DISPUTADO</v>
      </c>
      <c r="K7861" s="12">
        <f>tItens[[#This Row],[Qtd]]*tItens[[#This Row],[Vlr unit]]</f>
        <v>0</v>
      </c>
      <c r="L7861" s="6">
        <f>IFERROR(IF(INDEX(tProdutos[Desconto homologado],MATCH(tItens[[#This Row],[Produto]],tProdutos[Produto],0))="",DescontoPadrao,INDEX(tProdutos[Desconto homologado],MATCH(tItens[[#This Row],[Produto]],tProdutos[Produto],0))),DescontoPadrao)</f>
        <v>0.445300462249615</v>
      </c>
      <c r="M7861" s="12">
        <f>tItens[[#This Row],[Valor]]*(1-tItens[[#This Row],[Desconto]])</f>
        <v>0</v>
      </c>
      <c r="N7861" t="str">
        <f>IFERROR(INDEX(tProdutos[Foco],MATCH(tItens[[#This Row],[Produto]],tProdutos[Produto],0)),"Não")</f>
        <v>Não</v>
      </c>
      <c r="O7861" t="str">
        <f>IFERROR(INDEX(tEditais[SRP],MATCH(tItens[[#This Row],[Edital]],tEditais[Edital],0)),"Não")</f>
        <v>Não</v>
      </c>
      <c r="P7861" s="4">
        <f>IF(COUNTIFS(INDEX(tItens[Edital],1):tItens[[#This Row],[Edital]],tItens[[#This Row],[Edital]],INDEX(tItens[Produto],1):tItens[[#This Row],[Produto]],tItens[[#This Row],[Produto]])=1,1,0)</f>
        <v>0</v>
      </c>
    </row>
    <row r="7862" spans="1:16" x14ac:dyDescent="0.25">
      <c r="A7862" t="s">
        <v>2616</v>
      </c>
      <c r="B7862">
        <v>12</v>
      </c>
      <c r="C7862" t="s">
        <v>9429</v>
      </c>
      <c r="D7862" t="s">
        <v>184</v>
      </c>
      <c r="E7862" s="13">
        <v>175</v>
      </c>
      <c r="F7862" s="12">
        <v>0</v>
      </c>
      <c r="G7862" t="str">
        <f>IFERROR(INDEX(tEditais[Órgão],MATCH(tItens[[#This Row],[Edital]],tEditais[Edital],0)),"")</f>
        <v>EMPRESA BRASILEIRA DE SERVICOS HOSPITALARES - EBSERH</v>
      </c>
      <c r="H7862" t="str">
        <f>IFERROR(INDEX(tEditais[UF],MATCH(tItens[[#This Row],[Edital]],tEditais[Edital],0)),"")</f>
        <v>RS</v>
      </c>
      <c r="I7862" s="11">
        <f>IFERROR(INDEX(tEditais[Encerramento],MATCH(tItens[[#This Row],[Edital]],tEditais[Edital],0)),"")</f>
        <v>46311.375</v>
      </c>
      <c r="J7862" t="str">
        <f>IFERROR(INDEX(tProdutos[Classe],MATCH(tItens[[#This Row],[Produto]],tProdutos[Produto],0)),"produto não cadastrado")</f>
        <v>FORA</v>
      </c>
      <c r="K7862" s="12">
        <f>tItens[[#This Row],[Qtd]]*tItens[[#This Row],[Vlr unit]]</f>
        <v>0</v>
      </c>
      <c r="L7862" s="6">
        <f>IFERROR(IF(INDEX(tProdutos[Desconto homologado],MATCH(tItens[[#This Row],[Produto]],tProdutos[Produto],0))="",DescontoPadrao,INDEX(tProdutos[Desconto homologado],MATCH(tItens[[#This Row],[Produto]],tProdutos[Produto],0))),DescontoPadrao)</f>
        <v>0.363567906332742</v>
      </c>
      <c r="M7862" s="12">
        <f>tItens[[#This Row],[Valor]]*(1-tItens[[#This Row],[Desconto]])</f>
        <v>0</v>
      </c>
      <c r="N7862" t="str">
        <f>IFERROR(INDEX(tProdutos[Foco],MATCH(tItens[[#This Row],[Produto]],tProdutos[Produto],0)),"Não")</f>
        <v>Não</v>
      </c>
      <c r="O7862" t="str">
        <f>IFERROR(INDEX(tEditais[SRP],MATCH(tItens[[#This Row],[Edital]],tEditais[Edital],0)),"Não")</f>
        <v>Não</v>
      </c>
      <c r="P7862" s="4">
        <f>IF(COUNTIFS(INDEX(tItens[Edital],1):tItens[[#This Row],[Edital]],tItens[[#This Row],[Edital]],INDEX(tItens[Produto],1):tItens[[#This Row],[Produto]],tItens[[#This Row],[Produto]])=1,1,0)</f>
        <v>1</v>
      </c>
    </row>
    <row r="7863" spans="1:16" x14ac:dyDescent="0.25">
      <c r="A7863" t="s">
        <v>2616</v>
      </c>
      <c r="B7863">
        <v>13</v>
      </c>
      <c r="C7863" t="s">
        <v>10405</v>
      </c>
      <c r="D7863" t="s">
        <v>184</v>
      </c>
      <c r="E7863" s="13">
        <v>310</v>
      </c>
      <c r="F7863" s="12">
        <v>0</v>
      </c>
      <c r="G7863" t="str">
        <f>IFERROR(INDEX(tEditais[Órgão],MATCH(tItens[[#This Row],[Edital]],tEditais[Edital],0)),"")</f>
        <v>EMPRESA BRASILEIRA DE SERVICOS HOSPITALARES - EBSERH</v>
      </c>
      <c r="H7863" t="str">
        <f>IFERROR(INDEX(tEditais[UF],MATCH(tItens[[#This Row],[Edital]],tEditais[Edital],0)),"")</f>
        <v>RS</v>
      </c>
      <c r="I7863" s="11">
        <f>IFERROR(INDEX(tEditais[Encerramento],MATCH(tItens[[#This Row],[Edital]],tEditais[Edital],0)),"")</f>
        <v>46311.375</v>
      </c>
      <c r="J7863" t="str">
        <f>IFERROR(INDEX(tProdutos[Classe],MATCH(tItens[[#This Row],[Produto]],tProdutos[Produto],0)),"produto não cadastrado")</f>
        <v>FORA</v>
      </c>
      <c r="K7863" s="12">
        <f>tItens[[#This Row],[Qtd]]*tItens[[#This Row],[Vlr unit]]</f>
        <v>0</v>
      </c>
      <c r="L7863" s="6">
        <f>IFERROR(IF(INDEX(tProdutos[Desconto homologado],MATCH(tItens[[#This Row],[Produto]],tProdutos[Produto],0))="",DescontoPadrao,INDEX(tProdutos[Desconto homologado],MATCH(tItens[[#This Row],[Produto]],tProdutos[Produto],0))),DescontoPadrao)</f>
        <v>0.363567906332742</v>
      </c>
      <c r="M7863" s="12">
        <f>tItens[[#This Row],[Valor]]*(1-tItens[[#This Row],[Desconto]])</f>
        <v>0</v>
      </c>
      <c r="N7863" t="str">
        <f>IFERROR(INDEX(tProdutos[Foco],MATCH(tItens[[#This Row],[Produto]],tProdutos[Produto],0)),"Não")</f>
        <v>Não</v>
      </c>
      <c r="O7863" t="str">
        <f>IFERROR(INDEX(tEditais[SRP],MATCH(tItens[[#This Row],[Edital]],tEditais[Edital],0)),"Não")</f>
        <v>Não</v>
      </c>
      <c r="P7863" s="4">
        <f>IF(COUNTIFS(INDEX(tItens[Edital],1):tItens[[#This Row],[Edital]],tItens[[#This Row],[Edital]],INDEX(tItens[Produto],1):tItens[[#This Row],[Produto]],tItens[[#This Row],[Produto]])=1,1,0)</f>
        <v>0</v>
      </c>
    </row>
    <row r="7864" spans="1:16" x14ac:dyDescent="0.25">
      <c r="A7864" t="s">
        <v>2616</v>
      </c>
      <c r="B7864">
        <v>14</v>
      </c>
      <c r="C7864" t="s">
        <v>9428</v>
      </c>
      <c r="D7864" t="s">
        <v>184</v>
      </c>
      <c r="E7864" s="13">
        <v>320</v>
      </c>
      <c r="F7864" s="12">
        <v>0</v>
      </c>
      <c r="G7864" t="str">
        <f>IFERROR(INDEX(tEditais[Órgão],MATCH(tItens[[#This Row],[Edital]],tEditais[Edital],0)),"")</f>
        <v>EMPRESA BRASILEIRA DE SERVICOS HOSPITALARES - EBSERH</v>
      </c>
      <c r="H7864" t="str">
        <f>IFERROR(INDEX(tEditais[UF],MATCH(tItens[[#This Row],[Edital]],tEditais[Edital],0)),"")</f>
        <v>RS</v>
      </c>
      <c r="I7864" s="11">
        <f>IFERROR(INDEX(tEditais[Encerramento],MATCH(tItens[[#This Row],[Edital]],tEditais[Edital],0)),"")</f>
        <v>46311.375</v>
      </c>
      <c r="J7864" t="str">
        <f>IFERROR(INDEX(tProdutos[Classe],MATCH(tItens[[#This Row],[Produto]],tProdutos[Produto],0)),"produto não cadastrado")</f>
        <v>FORA</v>
      </c>
      <c r="K7864" s="12">
        <f>tItens[[#This Row],[Qtd]]*tItens[[#This Row],[Vlr unit]]</f>
        <v>0</v>
      </c>
      <c r="L7864" s="6">
        <f>IFERROR(IF(INDEX(tProdutos[Desconto homologado],MATCH(tItens[[#This Row],[Produto]],tProdutos[Produto],0))="",DescontoPadrao,INDEX(tProdutos[Desconto homologado],MATCH(tItens[[#This Row],[Produto]],tProdutos[Produto],0))),DescontoPadrao)</f>
        <v>0.363567906332742</v>
      </c>
      <c r="M7864" s="12">
        <f>tItens[[#This Row],[Valor]]*(1-tItens[[#This Row],[Desconto]])</f>
        <v>0</v>
      </c>
      <c r="N7864" t="str">
        <f>IFERROR(INDEX(tProdutos[Foco],MATCH(tItens[[#This Row],[Produto]],tProdutos[Produto],0)),"Não")</f>
        <v>Não</v>
      </c>
      <c r="O7864" t="str">
        <f>IFERROR(INDEX(tEditais[SRP],MATCH(tItens[[#This Row],[Edital]],tEditais[Edital],0)),"Não")</f>
        <v>Não</v>
      </c>
      <c r="P7864" s="4">
        <f>IF(COUNTIFS(INDEX(tItens[Edital],1):tItens[[#This Row],[Edital]],tItens[[#This Row],[Edital]],INDEX(tItens[Produto],1):tItens[[#This Row],[Produto]],tItens[[#This Row],[Produto]])=1,1,0)</f>
        <v>0</v>
      </c>
    </row>
    <row r="7865" spans="1:16" x14ac:dyDescent="0.25">
      <c r="A7865" t="s">
        <v>2616</v>
      </c>
      <c r="B7865">
        <v>15</v>
      </c>
      <c r="C7865" t="s">
        <v>10406</v>
      </c>
      <c r="D7865" t="s">
        <v>184</v>
      </c>
      <c r="E7865" s="13">
        <v>130</v>
      </c>
      <c r="F7865" s="12">
        <v>0</v>
      </c>
      <c r="G7865" t="str">
        <f>IFERROR(INDEX(tEditais[Órgão],MATCH(tItens[[#This Row],[Edital]],tEditais[Edital],0)),"")</f>
        <v>EMPRESA BRASILEIRA DE SERVICOS HOSPITALARES - EBSERH</v>
      </c>
      <c r="H7865" t="str">
        <f>IFERROR(INDEX(tEditais[UF],MATCH(tItens[[#This Row],[Edital]],tEditais[Edital],0)),"")</f>
        <v>RS</v>
      </c>
      <c r="I7865" s="11">
        <f>IFERROR(INDEX(tEditais[Encerramento],MATCH(tItens[[#This Row],[Edital]],tEditais[Edital],0)),"")</f>
        <v>46311.375</v>
      </c>
      <c r="J7865" t="str">
        <f>IFERROR(INDEX(tProdutos[Classe],MATCH(tItens[[#This Row],[Produto]],tProdutos[Produto],0)),"produto não cadastrado")</f>
        <v>FORA</v>
      </c>
      <c r="K7865" s="12">
        <f>tItens[[#This Row],[Qtd]]*tItens[[#This Row],[Vlr unit]]</f>
        <v>0</v>
      </c>
      <c r="L7865" s="6">
        <f>IFERROR(IF(INDEX(tProdutos[Desconto homologado],MATCH(tItens[[#This Row],[Produto]],tProdutos[Produto],0))="",DescontoPadrao,INDEX(tProdutos[Desconto homologado],MATCH(tItens[[#This Row],[Produto]],tProdutos[Produto],0))),DescontoPadrao)</f>
        <v>0.363567906332742</v>
      </c>
      <c r="M7865" s="12">
        <f>tItens[[#This Row],[Valor]]*(1-tItens[[#This Row],[Desconto]])</f>
        <v>0</v>
      </c>
      <c r="N7865" t="str">
        <f>IFERROR(INDEX(tProdutos[Foco],MATCH(tItens[[#This Row],[Produto]],tProdutos[Produto],0)),"Não")</f>
        <v>Não</v>
      </c>
      <c r="O7865" t="str">
        <f>IFERROR(INDEX(tEditais[SRP],MATCH(tItens[[#This Row],[Edital]],tEditais[Edital],0)),"Não")</f>
        <v>Não</v>
      </c>
      <c r="P7865" s="4">
        <f>IF(COUNTIFS(INDEX(tItens[Edital],1):tItens[[#This Row],[Edital]],tItens[[#This Row],[Edital]],INDEX(tItens[Produto],1):tItens[[#This Row],[Produto]],tItens[[#This Row],[Produto]])=1,1,0)</f>
        <v>0</v>
      </c>
    </row>
    <row r="7866" spans="1:16" x14ac:dyDescent="0.25">
      <c r="A7866" t="s">
        <v>2616</v>
      </c>
      <c r="B7866">
        <v>16</v>
      </c>
      <c r="C7866" t="s">
        <v>4166</v>
      </c>
      <c r="D7866" t="s">
        <v>184</v>
      </c>
      <c r="E7866" s="13">
        <v>140</v>
      </c>
      <c r="F7866" s="12">
        <v>0</v>
      </c>
      <c r="G7866" t="str">
        <f>IFERROR(INDEX(tEditais[Órgão],MATCH(tItens[[#This Row],[Edital]],tEditais[Edital],0)),"")</f>
        <v>EMPRESA BRASILEIRA DE SERVICOS HOSPITALARES - EBSERH</v>
      </c>
      <c r="H7866" t="str">
        <f>IFERROR(INDEX(tEditais[UF],MATCH(tItens[[#This Row],[Edital]],tEditais[Edital],0)),"")</f>
        <v>RS</v>
      </c>
      <c r="I7866" s="11">
        <f>IFERROR(INDEX(tEditais[Encerramento],MATCH(tItens[[#This Row],[Edital]],tEditais[Edital],0)),"")</f>
        <v>46311.375</v>
      </c>
      <c r="J7866" t="str">
        <f>IFERROR(INDEX(tProdutos[Classe],MATCH(tItens[[#This Row],[Produto]],tProdutos[Produto],0)),"produto não cadastrado")</f>
        <v>FORA</v>
      </c>
      <c r="K7866" s="12">
        <f>tItens[[#This Row],[Qtd]]*tItens[[#This Row],[Vlr unit]]</f>
        <v>0</v>
      </c>
      <c r="L7866" s="6">
        <f>IFERROR(IF(INDEX(tProdutos[Desconto homologado],MATCH(tItens[[#This Row],[Produto]],tProdutos[Produto],0))="",DescontoPadrao,INDEX(tProdutos[Desconto homologado],MATCH(tItens[[#This Row],[Produto]],tProdutos[Produto],0))),DescontoPadrao)</f>
        <v>0.363567906332742</v>
      </c>
      <c r="M7866" s="12">
        <f>tItens[[#This Row],[Valor]]*(1-tItens[[#This Row],[Desconto]])</f>
        <v>0</v>
      </c>
      <c r="N7866" t="str">
        <f>IFERROR(INDEX(tProdutos[Foco],MATCH(tItens[[#This Row],[Produto]],tProdutos[Produto],0)),"Não")</f>
        <v>Não</v>
      </c>
      <c r="O7866" t="str">
        <f>IFERROR(INDEX(tEditais[SRP],MATCH(tItens[[#This Row],[Edital]],tEditais[Edital],0)),"Não")</f>
        <v>Não</v>
      </c>
      <c r="P7866" s="4">
        <f>IF(COUNTIFS(INDEX(tItens[Edital],1):tItens[[#This Row],[Edital]],tItens[[#This Row],[Edital]],INDEX(tItens[Produto],1):tItens[[#This Row],[Produto]],tItens[[#This Row],[Produto]])=1,1,0)</f>
        <v>0</v>
      </c>
    </row>
    <row r="7867" spans="1:16" x14ac:dyDescent="0.25">
      <c r="A7867" t="s">
        <v>2616</v>
      </c>
      <c r="B7867">
        <v>18</v>
      </c>
      <c r="C7867" t="s">
        <v>4165</v>
      </c>
      <c r="D7867" t="s">
        <v>184</v>
      </c>
      <c r="E7867" s="13">
        <v>80</v>
      </c>
      <c r="F7867" s="12">
        <v>0</v>
      </c>
      <c r="G7867" t="str">
        <f>IFERROR(INDEX(tEditais[Órgão],MATCH(tItens[[#This Row],[Edital]],tEditais[Edital],0)),"")</f>
        <v>EMPRESA BRASILEIRA DE SERVICOS HOSPITALARES - EBSERH</v>
      </c>
      <c r="H7867" t="str">
        <f>IFERROR(INDEX(tEditais[UF],MATCH(tItens[[#This Row],[Edital]],tEditais[Edital],0)),"")</f>
        <v>RS</v>
      </c>
      <c r="I7867" s="11">
        <f>IFERROR(INDEX(tEditais[Encerramento],MATCH(tItens[[#This Row],[Edital]],tEditais[Edital],0)),"")</f>
        <v>46311.375</v>
      </c>
      <c r="J7867" t="str">
        <f>IFERROR(INDEX(tProdutos[Classe],MATCH(tItens[[#This Row],[Produto]],tProdutos[Produto],0)),"produto não cadastrado")</f>
        <v>FORA</v>
      </c>
      <c r="K7867" s="12">
        <f>tItens[[#This Row],[Qtd]]*tItens[[#This Row],[Vlr unit]]</f>
        <v>0</v>
      </c>
      <c r="L7867" s="6">
        <f>IFERROR(IF(INDEX(tProdutos[Desconto homologado],MATCH(tItens[[#This Row],[Produto]],tProdutos[Produto],0))="",DescontoPadrao,INDEX(tProdutos[Desconto homologado],MATCH(tItens[[#This Row],[Produto]],tProdutos[Produto],0))),DescontoPadrao)</f>
        <v>0.363567906332742</v>
      </c>
      <c r="M7867" s="12">
        <f>tItens[[#This Row],[Valor]]*(1-tItens[[#This Row],[Desconto]])</f>
        <v>0</v>
      </c>
      <c r="N7867" t="str">
        <f>IFERROR(INDEX(tProdutos[Foco],MATCH(tItens[[#This Row],[Produto]],tProdutos[Produto],0)),"Não")</f>
        <v>Não</v>
      </c>
      <c r="O7867" t="str">
        <f>IFERROR(INDEX(tEditais[SRP],MATCH(tItens[[#This Row],[Edital]],tEditais[Edital],0)),"Não")</f>
        <v>Não</v>
      </c>
      <c r="P7867" s="4">
        <f>IF(COUNTIFS(INDEX(tItens[Edital],1):tItens[[#This Row],[Edital]],tItens[[#This Row],[Edital]],INDEX(tItens[Produto],1):tItens[[#This Row],[Produto]],tItens[[#This Row],[Produto]])=1,1,0)</f>
        <v>0</v>
      </c>
    </row>
    <row r="7868" spans="1:16" x14ac:dyDescent="0.25">
      <c r="A7868" t="s">
        <v>2616</v>
      </c>
      <c r="B7868">
        <v>19</v>
      </c>
      <c r="C7868" t="s">
        <v>9431</v>
      </c>
      <c r="D7868" t="s">
        <v>184</v>
      </c>
      <c r="E7868" s="13">
        <v>3850</v>
      </c>
      <c r="F7868" s="12">
        <v>0</v>
      </c>
      <c r="G7868" t="str">
        <f>IFERROR(INDEX(tEditais[Órgão],MATCH(tItens[[#This Row],[Edital]],tEditais[Edital],0)),"")</f>
        <v>EMPRESA BRASILEIRA DE SERVICOS HOSPITALARES - EBSERH</v>
      </c>
      <c r="H7868" t="str">
        <f>IFERROR(INDEX(tEditais[UF],MATCH(tItens[[#This Row],[Edital]],tEditais[Edital],0)),"")</f>
        <v>RS</v>
      </c>
      <c r="I7868" s="11">
        <f>IFERROR(INDEX(tEditais[Encerramento],MATCH(tItens[[#This Row],[Edital]],tEditais[Edital],0)),"")</f>
        <v>46311.375</v>
      </c>
      <c r="J7868" t="str">
        <f>IFERROR(INDEX(tProdutos[Classe],MATCH(tItens[[#This Row],[Produto]],tProdutos[Produto],0)),"produto não cadastrado")</f>
        <v>FORA</v>
      </c>
      <c r="K7868" s="12">
        <f>tItens[[#This Row],[Qtd]]*tItens[[#This Row],[Vlr unit]]</f>
        <v>0</v>
      </c>
      <c r="L7868" s="6">
        <f>IFERROR(IF(INDEX(tProdutos[Desconto homologado],MATCH(tItens[[#This Row],[Produto]],tProdutos[Produto],0))="",DescontoPadrao,INDEX(tProdutos[Desconto homologado],MATCH(tItens[[#This Row],[Produto]],tProdutos[Produto],0))),DescontoPadrao)</f>
        <v>0.363567906332742</v>
      </c>
      <c r="M7868" s="12">
        <f>tItens[[#This Row],[Valor]]*(1-tItens[[#This Row],[Desconto]])</f>
        <v>0</v>
      </c>
      <c r="N7868" t="str">
        <f>IFERROR(INDEX(tProdutos[Foco],MATCH(tItens[[#This Row],[Produto]],tProdutos[Produto],0)),"Não")</f>
        <v>Não</v>
      </c>
      <c r="O7868" t="str">
        <f>IFERROR(INDEX(tEditais[SRP],MATCH(tItens[[#This Row],[Edital]],tEditais[Edital],0)),"Não")</f>
        <v>Não</v>
      </c>
      <c r="P7868" s="4">
        <f>IF(COUNTIFS(INDEX(tItens[Edital],1):tItens[[#This Row],[Edital]],tItens[[#This Row],[Edital]],INDEX(tItens[Produto],1):tItens[[#This Row],[Produto]],tItens[[#This Row],[Produto]])=1,1,0)</f>
        <v>0</v>
      </c>
    </row>
    <row r="7869" spans="1:16" x14ac:dyDescent="0.25">
      <c r="A7869" t="s">
        <v>2616</v>
      </c>
      <c r="B7869">
        <v>20</v>
      </c>
      <c r="C7869" t="s">
        <v>9432</v>
      </c>
      <c r="D7869" t="s">
        <v>184</v>
      </c>
      <c r="E7869" s="13">
        <v>3400</v>
      </c>
      <c r="F7869" s="12">
        <v>0</v>
      </c>
      <c r="G7869" t="str">
        <f>IFERROR(INDEX(tEditais[Órgão],MATCH(tItens[[#This Row],[Edital]],tEditais[Edital],0)),"")</f>
        <v>EMPRESA BRASILEIRA DE SERVICOS HOSPITALARES - EBSERH</v>
      </c>
      <c r="H7869" t="str">
        <f>IFERROR(INDEX(tEditais[UF],MATCH(tItens[[#This Row],[Edital]],tEditais[Edital],0)),"")</f>
        <v>RS</v>
      </c>
      <c r="I7869" s="11">
        <f>IFERROR(INDEX(tEditais[Encerramento],MATCH(tItens[[#This Row],[Edital]],tEditais[Edital],0)),"")</f>
        <v>46311.375</v>
      </c>
      <c r="J7869" t="str">
        <f>IFERROR(INDEX(tProdutos[Classe],MATCH(tItens[[#This Row],[Produto]],tProdutos[Produto],0)),"produto não cadastrado")</f>
        <v>FORA</v>
      </c>
      <c r="K7869" s="12">
        <f>tItens[[#This Row],[Qtd]]*tItens[[#This Row],[Vlr unit]]</f>
        <v>0</v>
      </c>
      <c r="L7869" s="6">
        <f>IFERROR(IF(INDEX(tProdutos[Desconto homologado],MATCH(tItens[[#This Row],[Produto]],tProdutos[Produto],0))="",DescontoPadrao,INDEX(tProdutos[Desconto homologado],MATCH(tItens[[#This Row],[Produto]],tProdutos[Produto],0))),DescontoPadrao)</f>
        <v>0.363567906332742</v>
      </c>
      <c r="M7869" s="12">
        <f>tItens[[#This Row],[Valor]]*(1-tItens[[#This Row],[Desconto]])</f>
        <v>0</v>
      </c>
      <c r="N7869" t="str">
        <f>IFERROR(INDEX(tProdutos[Foco],MATCH(tItens[[#This Row],[Produto]],tProdutos[Produto],0)),"Não")</f>
        <v>Não</v>
      </c>
      <c r="O7869" t="str">
        <f>IFERROR(INDEX(tEditais[SRP],MATCH(tItens[[#This Row],[Edital]],tEditais[Edital],0)),"Não")</f>
        <v>Não</v>
      </c>
      <c r="P7869" s="4">
        <f>IF(COUNTIFS(INDEX(tItens[Edital],1):tItens[[#This Row],[Edital]],tItens[[#This Row],[Edital]],INDEX(tItens[Produto],1):tItens[[#This Row],[Produto]],tItens[[#This Row],[Produto]])=1,1,0)</f>
        <v>0</v>
      </c>
    </row>
    <row r="7870" spans="1:16" x14ac:dyDescent="0.25">
      <c r="A7870" t="s">
        <v>2616</v>
      </c>
      <c r="B7870">
        <v>21</v>
      </c>
      <c r="C7870" t="s">
        <v>9208</v>
      </c>
      <c r="D7870" t="s">
        <v>184</v>
      </c>
      <c r="E7870" s="13">
        <v>80</v>
      </c>
      <c r="F7870" s="12">
        <v>0</v>
      </c>
      <c r="G7870" t="str">
        <f>IFERROR(INDEX(tEditais[Órgão],MATCH(tItens[[#This Row],[Edital]],tEditais[Edital],0)),"")</f>
        <v>EMPRESA BRASILEIRA DE SERVICOS HOSPITALARES - EBSERH</v>
      </c>
      <c r="H7870" t="str">
        <f>IFERROR(INDEX(tEditais[UF],MATCH(tItens[[#This Row],[Edital]],tEditais[Edital],0)),"")</f>
        <v>RS</v>
      </c>
      <c r="I7870" s="11">
        <f>IFERROR(INDEX(tEditais[Encerramento],MATCH(tItens[[#This Row],[Edital]],tEditais[Edital],0)),"")</f>
        <v>46311.375</v>
      </c>
      <c r="J7870" t="str">
        <f>IFERROR(INDEX(tProdutos[Classe],MATCH(tItens[[#This Row],[Produto]],tProdutos[Produto],0)),"produto não cadastrado")</f>
        <v>FORA</v>
      </c>
      <c r="K7870" s="12">
        <f>tItens[[#This Row],[Qtd]]*tItens[[#This Row],[Vlr unit]]</f>
        <v>0</v>
      </c>
      <c r="L7870" s="6">
        <f>IFERROR(IF(INDEX(tProdutos[Desconto homologado],MATCH(tItens[[#This Row],[Produto]],tProdutos[Produto],0))="",DescontoPadrao,INDEX(tProdutos[Desconto homologado],MATCH(tItens[[#This Row],[Produto]],tProdutos[Produto],0))),DescontoPadrao)</f>
        <v>0.363567906332742</v>
      </c>
      <c r="M7870" s="12">
        <f>tItens[[#This Row],[Valor]]*(1-tItens[[#This Row],[Desconto]])</f>
        <v>0</v>
      </c>
      <c r="N7870" t="str">
        <f>IFERROR(INDEX(tProdutos[Foco],MATCH(tItens[[#This Row],[Produto]],tProdutos[Produto],0)),"Não")</f>
        <v>Não</v>
      </c>
      <c r="O7870" t="str">
        <f>IFERROR(INDEX(tEditais[SRP],MATCH(tItens[[#This Row],[Edital]],tEditais[Edital],0)),"Não")</f>
        <v>Não</v>
      </c>
      <c r="P7870" s="4">
        <f>IF(COUNTIFS(INDEX(tItens[Edital],1):tItens[[#This Row],[Edital]],tItens[[#This Row],[Edital]],INDEX(tItens[Produto],1):tItens[[#This Row],[Produto]],tItens[[#This Row],[Produto]])=1,1,0)</f>
        <v>0</v>
      </c>
    </row>
    <row r="7871" spans="1:16" x14ac:dyDescent="0.25">
      <c r="A7871" t="s">
        <v>2616</v>
      </c>
      <c r="B7871">
        <v>22</v>
      </c>
      <c r="C7871" t="s">
        <v>10003</v>
      </c>
      <c r="D7871" t="s">
        <v>184</v>
      </c>
      <c r="E7871" s="13">
        <v>950</v>
      </c>
      <c r="F7871" s="12">
        <v>0</v>
      </c>
      <c r="G7871" t="str">
        <f>IFERROR(INDEX(tEditais[Órgão],MATCH(tItens[[#This Row],[Edital]],tEditais[Edital],0)),"")</f>
        <v>EMPRESA BRASILEIRA DE SERVICOS HOSPITALARES - EBSERH</v>
      </c>
      <c r="H7871" t="str">
        <f>IFERROR(INDEX(tEditais[UF],MATCH(tItens[[#This Row],[Edital]],tEditais[Edital],0)),"")</f>
        <v>RS</v>
      </c>
      <c r="I7871" s="11">
        <f>IFERROR(INDEX(tEditais[Encerramento],MATCH(tItens[[#This Row],[Edital]],tEditais[Edital],0)),"")</f>
        <v>46311.375</v>
      </c>
      <c r="J7871" t="str">
        <f>IFERROR(INDEX(tProdutos[Classe],MATCH(tItens[[#This Row],[Produto]],tProdutos[Produto],0)),"produto não cadastrado")</f>
        <v>FORA</v>
      </c>
      <c r="K7871" s="12">
        <f>tItens[[#This Row],[Qtd]]*tItens[[#This Row],[Vlr unit]]</f>
        <v>0</v>
      </c>
      <c r="L7871" s="6">
        <f>IFERROR(IF(INDEX(tProdutos[Desconto homologado],MATCH(tItens[[#This Row],[Produto]],tProdutos[Produto],0))="",DescontoPadrao,INDEX(tProdutos[Desconto homologado],MATCH(tItens[[#This Row],[Produto]],tProdutos[Produto],0))),DescontoPadrao)</f>
        <v>0.363567906332742</v>
      </c>
      <c r="M7871" s="12">
        <f>tItens[[#This Row],[Valor]]*(1-tItens[[#This Row],[Desconto]])</f>
        <v>0</v>
      </c>
      <c r="N7871" t="str">
        <f>IFERROR(INDEX(tProdutos[Foco],MATCH(tItens[[#This Row],[Produto]],tProdutos[Produto],0)),"Não")</f>
        <v>Não</v>
      </c>
      <c r="O7871" t="str">
        <f>IFERROR(INDEX(tEditais[SRP],MATCH(tItens[[#This Row],[Edital]],tEditais[Edital],0)),"Não")</f>
        <v>Não</v>
      </c>
      <c r="P7871" s="4">
        <f>IF(COUNTIFS(INDEX(tItens[Edital],1):tItens[[#This Row],[Edital]],tItens[[#This Row],[Edital]],INDEX(tItens[Produto],1):tItens[[#This Row],[Produto]],tItens[[#This Row],[Produto]])=1,1,0)</f>
        <v>0</v>
      </c>
    </row>
    <row r="7872" spans="1:16" x14ac:dyDescent="0.25">
      <c r="A7872" t="s">
        <v>2616</v>
      </c>
      <c r="B7872">
        <v>23</v>
      </c>
      <c r="C7872" t="s">
        <v>10077</v>
      </c>
      <c r="D7872" t="s">
        <v>184</v>
      </c>
      <c r="E7872" s="13">
        <v>750</v>
      </c>
      <c r="F7872" s="12">
        <v>0</v>
      </c>
      <c r="G7872" t="str">
        <f>IFERROR(INDEX(tEditais[Órgão],MATCH(tItens[[#This Row],[Edital]],tEditais[Edital],0)),"")</f>
        <v>EMPRESA BRASILEIRA DE SERVICOS HOSPITALARES - EBSERH</v>
      </c>
      <c r="H7872" t="str">
        <f>IFERROR(INDEX(tEditais[UF],MATCH(tItens[[#This Row],[Edital]],tEditais[Edital],0)),"")</f>
        <v>RS</v>
      </c>
      <c r="I7872" s="11">
        <f>IFERROR(INDEX(tEditais[Encerramento],MATCH(tItens[[#This Row],[Edital]],tEditais[Edital],0)),"")</f>
        <v>46311.375</v>
      </c>
      <c r="J7872" t="str">
        <f>IFERROR(INDEX(tProdutos[Classe],MATCH(tItens[[#This Row],[Produto]],tProdutos[Produto],0)),"produto não cadastrado")</f>
        <v>FORA</v>
      </c>
      <c r="K7872" s="12">
        <f>tItens[[#This Row],[Qtd]]*tItens[[#This Row],[Vlr unit]]</f>
        <v>0</v>
      </c>
      <c r="L7872" s="6">
        <f>IFERROR(IF(INDEX(tProdutos[Desconto homologado],MATCH(tItens[[#This Row],[Produto]],tProdutos[Produto],0))="",DescontoPadrao,INDEX(tProdutos[Desconto homologado],MATCH(tItens[[#This Row],[Produto]],tProdutos[Produto],0))),DescontoPadrao)</f>
        <v>0.363567906332742</v>
      </c>
      <c r="M7872" s="12">
        <f>tItens[[#This Row],[Valor]]*(1-tItens[[#This Row],[Desconto]])</f>
        <v>0</v>
      </c>
      <c r="N7872" t="str">
        <f>IFERROR(INDEX(tProdutos[Foco],MATCH(tItens[[#This Row],[Produto]],tProdutos[Produto],0)),"Não")</f>
        <v>Não</v>
      </c>
      <c r="O7872" t="str">
        <f>IFERROR(INDEX(tEditais[SRP],MATCH(tItens[[#This Row],[Edital]],tEditais[Edital],0)),"Não")</f>
        <v>Não</v>
      </c>
      <c r="P7872" s="4">
        <f>IF(COUNTIFS(INDEX(tItens[Edital],1):tItens[[#This Row],[Edital]],tItens[[#This Row],[Edital]],INDEX(tItens[Produto],1):tItens[[#This Row],[Produto]],tItens[[#This Row],[Produto]])=1,1,0)</f>
        <v>0</v>
      </c>
    </row>
    <row r="7873" spans="1:16" x14ac:dyDescent="0.25">
      <c r="A7873" t="s">
        <v>2616</v>
      </c>
      <c r="B7873">
        <v>24</v>
      </c>
      <c r="C7873" t="s">
        <v>10407</v>
      </c>
      <c r="D7873" t="s">
        <v>184</v>
      </c>
      <c r="E7873" s="13">
        <v>270</v>
      </c>
      <c r="F7873" s="12">
        <v>0</v>
      </c>
      <c r="G7873" t="str">
        <f>IFERROR(INDEX(tEditais[Órgão],MATCH(tItens[[#This Row],[Edital]],tEditais[Edital],0)),"")</f>
        <v>EMPRESA BRASILEIRA DE SERVICOS HOSPITALARES - EBSERH</v>
      </c>
      <c r="H7873" t="str">
        <f>IFERROR(INDEX(tEditais[UF],MATCH(tItens[[#This Row],[Edital]],tEditais[Edital],0)),"")</f>
        <v>RS</v>
      </c>
      <c r="I7873" s="11">
        <f>IFERROR(INDEX(tEditais[Encerramento],MATCH(tItens[[#This Row],[Edital]],tEditais[Edital],0)),"")</f>
        <v>46311.375</v>
      </c>
      <c r="J7873" t="str">
        <f>IFERROR(INDEX(tProdutos[Classe],MATCH(tItens[[#This Row],[Produto]],tProdutos[Produto],0)),"produto não cadastrado")</f>
        <v>FORA</v>
      </c>
      <c r="K7873" s="12">
        <f>tItens[[#This Row],[Qtd]]*tItens[[#This Row],[Vlr unit]]</f>
        <v>0</v>
      </c>
      <c r="L7873" s="6">
        <f>IFERROR(IF(INDEX(tProdutos[Desconto homologado],MATCH(tItens[[#This Row],[Produto]],tProdutos[Produto],0))="",DescontoPadrao,INDEX(tProdutos[Desconto homologado],MATCH(tItens[[#This Row],[Produto]],tProdutos[Produto],0))),DescontoPadrao)</f>
        <v>0.363567906332742</v>
      </c>
      <c r="M7873" s="12">
        <f>tItens[[#This Row],[Valor]]*(1-tItens[[#This Row],[Desconto]])</f>
        <v>0</v>
      </c>
      <c r="N7873" t="str">
        <f>IFERROR(INDEX(tProdutos[Foco],MATCH(tItens[[#This Row],[Produto]],tProdutos[Produto],0)),"Não")</f>
        <v>Não</v>
      </c>
      <c r="O7873" t="str">
        <f>IFERROR(INDEX(tEditais[SRP],MATCH(tItens[[#This Row],[Edital]],tEditais[Edital],0)),"Não")</f>
        <v>Não</v>
      </c>
      <c r="P7873" s="4">
        <f>IF(COUNTIFS(INDEX(tItens[Edital],1):tItens[[#This Row],[Edital]],tItens[[#This Row],[Edital]],INDEX(tItens[Produto],1):tItens[[#This Row],[Produto]],tItens[[#This Row],[Produto]])=1,1,0)</f>
        <v>0</v>
      </c>
    </row>
    <row r="7874" spans="1:16" x14ac:dyDescent="0.25">
      <c r="A7874" t="s">
        <v>2616</v>
      </c>
      <c r="B7874">
        <v>25</v>
      </c>
      <c r="C7874" t="s">
        <v>10078</v>
      </c>
      <c r="D7874" t="s">
        <v>184</v>
      </c>
      <c r="E7874" s="13">
        <v>120</v>
      </c>
      <c r="F7874" s="12">
        <v>0</v>
      </c>
      <c r="G7874" t="str">
        <f>IFERROR(INDEX(tEditais[Órgão],MATCH(tItens[[#This Row],[Edital]],tEditais[Edital],0)),"")</f>
        <v>EMPRESA BRASILEIRA DE SERVICOS HOSPITALARES - EBSERH</v>
      </c>
      <c r="H7874" t="str">
        <f>IFERROR(INDEX(tEditais[UF],MATCH(tItens[[#This Row],[Edital]],tEditais[Edital],0)),"")</f>
        <v>RS</v>
      </c>
      <c r="I7874" s="11">
        <f>IFERROR(INDEX(tEditais[Encerramento],MATCH(tItens[[#This Row],[Edital]],tEditais[Edital],0)),"")</f>
        <v>46311.375</v>
      </c>
      <c r="J7874" t="str">
        <f>IFERROR(INDEX(tProdutos[Classe],MATCH(tItens[[#This Row],[Produto]],tProdutos[Produto],0)),"produto não cadastrado")</f>
        <v>FORA</v>
      </c>
      <c r="K7874" s="12">
        <f>tItens[[#This Row],[Qtd]]*tItens[[#This Row],[Vlr unit]]</f>
        <v>0</v>
      </c>
      <c r="L7874" s="6">
        <f>IFERROR(IF(INDEX(tProdutos[Desconto homologado],MATCH(tItens[[#This Row],[Produto]],tProdutos[Produto],0))="",DescontoPadrao,INDEX(tProdutos[Desconto homologado],MATCH(tItens[[#This Row],[Produto]],tProdutos[Produto],0))),DescontoPadrao)</f>
        <v>0.363567906332742</v>
      </c>
      <c r="M7874" s="12">
        <f>tItens[[#This Row],[Valor]]*(1-tItens[[#This Row],[Desconto]])</f>
        <v>0</v>
      </c>
      <c r="N7874" t="str">
        <f>IFERROR(INDEX(tProdutos[Foco],MATCH(tItens[[#This Row],[Produto]],tProdutos[Produto],0)),"Não")</f>
        <v>Não</v>
      </c>
      <c r="O7874" t="str">
        <f>IFERROR(INDEX(tEditais[SRP],MATCH(tItens[[#This Row],[Edital]],tEditais[Edital],0)),"Não")</f>
        <v>Não</v>
      </c>
      <c r="P7874" s="4">
        <f>IF(COUNTIFS(INDEX(tItens[Edital],1):tItens[[#This Row],[Edital]],tItens[[#This Row],[Edital]],INDEX(tItens[Produto],1):tItens[[#This Row],[Produto]],tItens[[#This Row],[Produto]])=1,1,0)</f>
        <v>0</v>
      </c>
    </row>
    <row r="7875" spans="1:16" x14ac:dyDescent="0.25">
      <c r="A7875" t="s">
        <v>2616</v>
      </c>
      <c r="B7875">
        <v>26</v>
      </c>
      <c r="C7875" t="s">
        <v>4168</v>
      </c>
      <c r="D7875" t="s">
        <v>184</v>
      </c>
      <c r="E7875" s="13">
        <v>70</v>
      </c>
      <c r="F7875" s="12">
        <v>0</v>
      </c>
      <c r="G7875" t="str">
        <f>IFERROR(INDEX(tEditais[Órgão],MATCH(tItens[[#This Row],[Edital]],tEditais[Edital],0)),"")</f>
        <v>EMPRESA BRASILEIRA DE SERVICOS HOSPITALARES - EBSERH</v>
      </c>
      <c r="H7875" t="str">
        <f>IFERROR(INDEX(tEditais[UF],MATCH(tItens[[#This Row],[Edital]],tEditais[Edital],0)),"")</f>
        <v>RS</v>
      </c>
      <c r="I7875" s="11">
        <f>IFERROR(INDEX(tEditais[Encerramento],MATCH(tItens[[#This Row],[Edital]],tEditais[Edital],0)),"")</f>
        <v>46311.375</v>
      </c>
      <c r="J7875" t="str">
        <f>IFERROR(INDEX(tProdutos[Classe],MATCH(tItens[[#This Row],[Produto]],tProdutos[Produto],0)),"produto não cadastrado")</f>
        <v>FORA</v>
      </c>
      <c r="K7875" s="12">
        <f>tItens[[#This Row],[Qtd]]*tItens[[#This Row],[Vlr unit]]</f>
        <v>0</v>
      </c>
      <c r="L7875" s="6">
        <f>IFERROR(IF(INDEX(tProdutos[Desconto homologado],MATCH(tItens[[#This Row],[Produto]],tProdutos[Produto],0))="",DescontoPadrao,INDEX(tProdutos[Desconto homologado],MATCH(tItens[[#This Row],[Produto]],tProdutos[Produto],0))),DescontoPadrao)</f>
        <v>0.363567906332742</v>
      </c>
      <c r="M7875" s="12">
        <f>tItens[[#This Row],[Valor]]*(1-tItens[[#This Row],[Desconto]])</f>
        <v>0</v>
      </c>
      <c r="N7875" t="str">
        <f>IFERROR(INDEX(tProdutos[Foco],MATCH(tItens[[#This Row],[Produto]],tProdutos[Produto],0)),"Não")</f>
        <v>Não</v>
      </c>
      <c r="O7875" t="str">
        <f>IFERROR(INDEX(tEditais[SRP],MATCH(tItens[[#This Row],[Edital]],tEditais[Edital],0)),"Não")</f>
        <v>Não</v>
      </c>
      <c r="P7875" s="4">
        <f>IF(COUNTIFS(INDEX(tItens[Edital],1):tItens[[#This Row],[Edital]],tItens[[#This Row],[Edital]],INDEX(tItens[Produto],1):tItens[[#This Row],[Produto]],tItens[[#This Row],[Produto]])=1,1,0)</f>
        <v>0</v>
      </c>
    </row>
    <row r="7876" spans="1:16" x14ac:dyDescent="0.25">
      <c r="A7876" t="s">
        <v>2616</v>
      </c>
      <c r="B7876">
        <v>27</v>
      </c>
      <c r="C7876" t="s">
        <v>10079</v>
      </c>
      <c r="D7876" t="s">
        <v>253</v>
      </c>
      <c r="E7876" s="13">
        <v>300</v>
      </c>
      <c r="F7876" s="12">
        <v>0</v>
      </c>
      <c r="G7876" t="str">
        <f>IFERROR(INDEX(tEditais[Órgão],MATCH(tItens[[#This Row],[Edital]],tEditais[Edital],0)),"")</f>
        <v>EMPRESA BRASILEIRA DE SERVICOS HOSPITALARES - EBSERH</v>
      </c>
      <c r="H7876" t="str">
        <f>IFERROR(INDEX(tEditais[UF],MATCH(tItens[[#This Row],[Edital]],tEditais[Edital],0)),"")</f>
        <v>RS</v>
      </c>
      <c r="I7876" s="11">
        <f>IFERROR(INDEX(tEditais[Encerramento],MATCH(tItens[[#This Row],[Edital]],tEditais[Edital],0)),"")</f>
        <v>46311.375</v>
      </c>
      <c r="J7876" t="str">
        <f>IFERROR(INDEX(tProdutos[Classe],MATCH(tItens[[#This Row],[Produto]],tProdutos[Produto],0)),"produto não cadastrado")</f>
        <v>FORA</v>
      </c>
      <c r="K7876" s="12">
        <f>tItens[[#This Row],[Qtd]]*tItens[[#This Row],[Vlr unit]]</f>
        <v>0</v>
      </c>
      <c r="L7876" s="6">
        <f>IFERROR(IF(INDEX(tProdutos[Desconto homologado],MATCH(tItens[[#This Row],[Produto]],tProdutos[Produto],0))="",DescontoPadrao,INDEX(tProdutos[Desconto homologado],MATCH(tItens[[#This Row],[Produto]],tProdutos[Produto],0))),DescontoPadrao)</f>
        <v>0.31735159817351599</v>
      </c>
      <c r="M7876" s="12">
        <f>tItens[[#This Row],[Valor]]*(1-tItens[[#This Row],[Desconto]])</f>
        <v>0</v>
      </c>
      <c r="N7876" t="str">
        <f>IFERROR(INDEX(tProdutos[Foco],MATCH(tItens[[#This Row],[Produto]],tProdutos[Produto],0)),"Não")</f>
        <v>Não</v>
      </c>
      <c r="O7876" t="str">
        <f>IFERROR(INDEX(tEditais[SRP],MATCH(tItens[[#This Row],[Edital]],tEditais[Edital],0)),"Não")</f>
        <v>Não</v>
      </c>
      <c r="P7876" s="4">
        <f>IF(COUNTIFS(INDEX(tItens[Edital],1):tItens[[#This Row],[Edital]],tItens[[#This Row],[Edital]],INDEX(tItens[Produto],1):tItens[[#This Row],[Produto]],tItens[[#This Row],[Produto]])=1,1,0)</f>
        <v>1</v>
      </c>
    </row>
    <row r="7877" spans="1:16" x14ac:dyDescent="0.25">
      <c r="A7877" t="s">
        <v>2616</v>
      </c>
      <c r="B7877">
        <v>28</v>
      </c>
      <c r="C7877" t="s">
        <v>10408</v>
      </c>
      <c r="D7877" t="s">
        <v>253</v>
      </c>
      <c r="E7877" s="13">
        <v>490</v>
      </c>
      <c r="F7877" s="12">
        <v>0</v>
      </c>
      <c r="G7877" t="str">
        <f>IFERROR(INDEX(tEditais[Órgão],MATCH(tItens[[#This Row],[Edital]],tEditais[Edital],0)),"")</f>
        <v>EMPRESA BRASILEIRA DE SERVICOS HOSPITALARES - EBSERH</v>
      </c>
      <c r="H7877" t="str">
        <f>IFERROR(INDEX(tEditais[UF],MATCH(tItens[[#This Row],[Edital]],tEditais[Edital],0)),"")</f>
        <v>RS</v>
      </c>
      <c r="I7877" s="11">
        <f>IFERROR(INDEX(tEditais[Encerramento],MATCH(tItens[[#This Row],[Edital]],tEditais[Edital],0)),"")</f>
        <v>46311.375</v>
      </c>
      <c r="J7877" t="str">
        <f>IFERROR(INDEX(tProdutos[Classe],MATCH(tItens[[#This Row],[Produto]],tProdutos[Produto],0)),"produto não cadastrado")</f>
        <v>FORA</v>
      </c>
      <c r="K7877" s="12">
        <f>tItens[[#This Row],[Qtd]]*tItens[[#This Row],[Vlr unit]]</f>
        <v>0</v>
      </c>
      <c r="L7877" s="6">
        <f>IFERROR(IF(INDEX(tProdutos[Desconto homologado],MATCH(tItens[[#This Row],[Produto]],tProdutos[Produto],0))="",DescontoPadrao,INDEX(tProdutos[Desconto homologado],MATCH(tItens[[#This Row],[Produto]],tProdutos[Produto],0))),DescontoPadrao)</f>
        <v>0.31735159817351599</v>
      </c>
      <c r="M7877" s="12">
        <f>tItens[[#This Row],[Valor]]*(1-tItens[[#This Row],[Desconto]])</f>
        <v>0</v>
      </c>
      <c r="N7877" t="str">
        <f>IFERROR(INDEX(tProdutos[Foco],MATCH(tItens[[#This Row],[Produto]],tProdutos[Produto],0)),"Não")</f>
        <v>Não</v>
      </c>
      <c r="O7877" t="str">
        <f>IFERROR(INDEX(tEditais[SRP],MATCH(tItens[[#This Row],[Edital]],tEditais[Edital],0)),"Não")</f>
        <v>Não</v>
      </c>
      <c r="P7877" s="4">
        <f>IF(COUNTIFS(INDEX(tItens[Edital],1):tItens[[#This Row],[Edital]],tItens[[#This Row],[Edital]],INDEX(tItens[Produto],1):tItens[[#This Row],[Produto]],tItens[[#This Row],[Produto]])=1,1,0)</f>
        <v>0</v>
      </c>
    </row>
    <row r="7878" spans="1:16" x14ac:dyDescent="0.25">
      <c r="A7878" t="s">
        <v>2616</v>
      </c>
      <c r="B7878">
        <v>29</v>
      </c>
      <c r="C7878" t="s">
        <v>10080</v>
      </c>
      <c r="D7878" t="s">
        <v>253</v>
      </c>
      <c r="E7878" s="13">
        <v>280</v>
      </c>
      <c r="F7878" s="12">
        <v>0</v>
      </c>
      <c r="G7878" t="str">
        <f>IFERROR(INDEX(tEditais[Órgão],MATCH(tItens[[#This Row],[Edital]],tEditais[Edital],0)),"")</f>
        <v>EMPRESA BRASILEIRA DE SERVICOS HOSPITALARES - EBSERH</v>
      </c>
      <c r="H7878" t="str">
        <f>IFERROR(INDEX(tEditais[UF],MATCH(tItens[[#This Row],[Edital]],tEditais[Edital],0)),"")</f>
        <v>RS</v>
      </c>
      <c r="I7878" s="11">
        <f>IFERROR(INDEX(tEditais[Encerramento],MATCH(tItens[[#This Row],[Edital]],tEditais[Edital],0)),"")</f>
        <v>46311.375</v>
      </c>
      <c r="J7878" t="str">
        <f>IFERROR(INDEX(tProdutos[Classe],MATCH(tItens[[#This Row],[Produto]],tProdutos[Produto],0)),"produto não cadastrado")</f>
        <v>FORA</v>
      </c>
      <c r="K7878" s="12">
        <f>tItens[[#This Row],[Qtd]]*tItens[[#This Row],[Vlr unit]]</f>
        <v>0</v>
      </c>
      <c r="L7878" s="6">
        <f>IFERROR(IF(INDEX(tProdutos[Desconto homologado],MATCH(tItens[[#This Row],[Produto]],tProdutos[Produto],0))="",DescontoPadrao,INDEX(tProdutos[Desconto homologado],MATCH(tItens[[#This Row],[Produto]],tProdutos[Produto],0))),DescontoPadrao)</f>
        <v>0.31735159817351599</v>
      </c>
      <c r="M7878" s="12">
        <f>tItens[[#This Row],[Valor]]*(1-tItens[[#This Row],[Desconto]])</f>
        <v>0</v>
      </c>
      <c r="N7878" t="str">
        <f>IFERROR(INDEX(tProdutos[Foco],MATCH(tItens[[#This Row],[Produto]],tProdutos[Produto],0)),"Não")</f>
        <v>Não</v>
      </c>
      <c r="O7878" t="str">
        <f>IFERROR(INDEX(tEditais[SRP],MATCH(tItens[[#This Row],[Edital]],tEditais[Edital],0)),"Não")</f>
        <v>Não</v>
      </c>
      <c r="P7878" s="4">
        <f>IF(COUNTIFS(INDEX(tItens[Edital],1):tItens[[#This Row],[Edital]],tItens[[#This Row],[Edital]],INDEX(tItens[Produto],1):tItens[[#This Row],[Produto]],tItens[[#This Row],[Produto]])=1,1,0)</f>
        <v>0</v>
      </c>
    </row>
    <row r="7879" spans="1:16" x14ac:dyDescent="0.25">
      <c r="A7879" t="s">
        <v>2616</v>
      </c>
      <c r="B7879">
        <v>30</v>
      </c>
      <c r="C7879" t="s">
        <v>10409</v>
      </c>
      <c r="D7879" t="s">
        <v>253</v>
      </c>
      <c r="E7879" s="13">
        <v>20</v>
      </c>
      <c r="F7879" s="12">
        <v>0</v>
      </c>
      <c r="G7879" t="str">
        <f>IFERROR(INDEX(tEditais[Órgão],MATCH(tItens[[#This Row],[Edital]],tEditais[Edital],0)),"")</f>
        <v>EMPRESA BRASILEIRA DE SERVICOS HOSPITALARES - EBSERH</v>
      </c>
      <c r="H7879" t="str">
        <f>IFERROR(INDEX(tEditais[UF],MATCH(tItens[[#This Row],[Edital]],tEditais[Edital],0)),"")</f>
        <v>RS</v>
      </c>
      <c r="I7879" s="11">
        <f>IFERROR(INDEX(tEditais[Encerramento],MATCH(tItens[[#This Row],[Edital]],tEditais[Edital],0)),"")</f>
        <v>46311.375</v>
      </c>
      <c r="J7879" t="str">
        <f>IFERROR(INDEX(tProdutos[Classe],MATCH(tItens[[#This Row],[Produto]],tProdutos[Produto],0)),"produto não cadastrado")</f>
        <v>FORA</v>
      </c>
      <c r="K7879" s="12">
        <f>tItens[[#This Row],[Qtd]]*tItens[[#This Row],[Vlr unit]]</f>
        <v>0</v>
      </c>
      <c r="L7879" s="6">
        <f>IFERROR(IF(INDEX(tProdutos[Desconto homologado],MATCH(tItens[[#This Row],[Produto]],tProdutos[Produto],0))="",DescontoPadrao,INDEX(tProdutos[Desconto homologado],MATCH(tItens[[#This Row],[Produto]],tProdutos[Produto],0))),DescontoPadrao)</f>
        <v>0.31735159817351599</v>
      </c>
      <c r="M7879" s="12">
        <f>tItens[[#This Row],[Valor]]*(1-tItens[[#This Row],[Desconto]])</f>
        <v>0</v>
      </c>
      <c r="N7879" t="str">
        <f>IFERROR(INDEX(tProdutos[Foco],MATCH(tItens[[#This Row],[Produto]],tProdutos[Produto],0)),"Não")</f>
        <v>Não</v>
      </c>
      <c r="O7879" t="str">
        <f>IFERROR(INDEX(tEditais[SRP],MATCH(tItens[[#This Row],[Edital]],tEditais[Edital],0)),"Não")</f>
        <v>Não</v>
      </c>
      <c r="P7879" s="4">
        <f>IF(COUNTIFS(INDEX(tItens[Edital],1):tItens[[#This Row],[Edital]],tItens[[#This Row],[Edital]],INDEX(tItens[Produto],1):tItens[[#This Row],[Produto]],tItens[[#This Row],[Produto]])=1,1,0)</f>
        <v>0</v>
      </c>
    </row>
    <row r="7880" spans="1:16" x14ac:dyDescent="0.25">
      <c r="A7880" t="s">
        <v>2616</v>
      </c>
      <c r="B7880">
        <v>31</v>
      </c>
      <c r="C7880" t="s">
        <v>10081</v>
      </c>
      <c r="D7880" t="s">
        <v>253</v>
      </c>
      <c r="E7880" s="13">
        <v>300</v>
      </c>
      <c r="F7880" s="12">
        <v>0</v>
      </c>
      <c r="G7880" t="str">
        <f>IFERROR(INDEX(tEditais[Órgão],MATCH(tItens[[#This Row],[Edital]],tEditais[Edital],0)),"")</f>
        <v>EMPRESA BRASILEIRA DE SERVICOS HOSPITALARES - EBSERH</v>
      </c>
      <c r="H7880" t="str">
        <f>IFERROR(INDEX(tEditais[UF],MATCH(tItens[[#This Row],[Edital]],tEditais[Edital],0)),"")</f>
        <v>RS</v>
      </c>
      <c r="I7880" s="11">
        <f>IFERROR(INDEX(tEditais[Encerramento],MATCH(tItens[[#This Row],[Edital]],tEditais[Edital],0)),"")</f>
        <v>46311.375</v>
      </c>
      <c r="J7880" t="str">
        <f>IFERROR(INDEX(tProdutos[Classe],MATCH(tItens[[#This Row],[Produto]],tProdutos[Produto],0)),"produto não cadastrado")</f>
        <v>FORA</v>
      </c>
      <c r="K7880" s="12">
        <f>tItens[[#This Row],[Qtd]]*tItens[[#This Row],[Vlr unit]]</f>
        <v>0</v>
      </c>
      <c r="L7880" s="6">
        <f>IFERROR(IF(INDEX(tProdutos[Desconto homologado],MATCH(tItens[[#This Row],[Produto]],tProdutos[Produto],0))="",DescontoPadrao,INDEX(tProdutos[Desconto homologado],MATCH(tItens[[#This Row],[Produto]],tProdutos[Produto],0))),DescontoPadrao)</f>
        <v>0.31735159817351599</v>
      </c>
      <c r="M7880" s="12">
        <f>tItens[[#This Row],[Valor]]*(1-tItens[[#This Row],[Desconto]])</f>
        <v>0</v>
      </c>
      <c r="N7880" t="str">
        <f>IFERROR(INDEX(tProdutos[Foco],MATCH(tItens[[#This Row],[Produto]],tProdutos[Produto],0)),"Não")</f>
        <v>Não</v>
      </c>
      <c r="O7880" t="str">
        <f>IFERROR(INDEX(tEditais[SRP],MATCH(tItens[[#This Row],[Edital]],tEditais[Edital],0)),"Não")</f>
        <v>Não</v>
      </c>
      <c r="P7880" s="4">
        <f>IF(COUNTIFS(INDEX(tItens[Edital],1):tItens[[#This Row],[Edital]],tItens[[#This Row],[Edital]],INDEX(tItens[Produto],1):tItens[[#This Row],[Produto]],tItens[[#This Row],[Produto]])=1,1,0)</f>
        <v>0</v>
      </c>
    </row>
    <row r="7881" spans="1:16" x14ac:dyDescent="0.25">
      <c r="A7881" t="s">
        <v>2616</v>
      </c>
      <c r="B7881">
        <v>32</v>
      </c>
      <c r="C7881" t="s">
        <v>10410</v>
      </c>
      <c r="D7881" t="s">
        <v>110</v>
      </c>
      <c r="E7881" s="13">
        <v>20</v>
      </c>
      <c r="F7881" s="12">
        <v>0</v>
      </c>
      <c r="G7881" t="str">
        <f>IFERROR(INDEX(tEditais[Órgão],MATCH(tItens[[#This Row],[Edital]],tEditais[Edital],0)),"")</f>
        <v>EMPRESA BRASILEIRA DE SERVICOS HOSPITALARES - EBSERH</v>
      </c>
      <c r="H7881" t="str">
        <f>IFERROR(INDEX(tEditais[UF],MATCH(tItens[[#This Row],[Edital]],tEditais[Edital],0)),"")</f>
        <v>RS</v>
      </c>
      <c r="I7881" s="11">
        <f>IFERROR(INDEX(tEditais[Encerramento],MATCH(tItens[[#This Row],[Edital]],tEditais[Edital],0)),"")</f>
        <v>46311.375</v>
      </c>
      <c r="J7881" t="str">
        <f>IFERROR(INDEX(tProdutos[Classe],MATCH(tItens[[#This Row],[Produto]],tProdutos[Produto],0)),"produto não cadastrado")</f>
        <v>NÚCLEO</v>
      </c>
      <c r="K7881" s="12">
        <f>tItens[[#This Row],[Qtd]]*tItens[[#This Row],[Vlr unit]]</f>
        <v>0</v>
      </c>
      <c r="L7881" s="6">
        <f>IFERROR(IF(INDEX(tProdutos[Desconto homologado],MATCH(tItens[[#This Row],[Produto]],tProdutos[Produto],0))="",DescontoPadrao,INDEX(tProdutos[Desconto homologado],MATCH(tItens[[#This Row],[Produto]],tProdutos[Produto],0))),DescontoPadrao)</f>
        <v>0.30410958904109597</v>
      </c>
      <c r="M7881" s="12">
        <f>tItens[[#This Row],[Valor]]*(1-tItens[[#This Row],[Desconto]])</f>
        <v>0</v>
      </c>
      <c r="N7881" t="str">
        <f>IFERROR(INDEX(tProdutos[Foco],MATCH(tItens[[#This Row],[Produto]],tProdutos[Produto],0)),"Não")</f>
        <v>Não</v>
      </c>
      <c r="O7881" t="str">
        <f>IFERROR(INDEX(tEditais[SRP],MATCH(tItens[[#This Row],[Edital]],tEditais[Edital],0)),"Não")</f>
        <v>Não</v>
      </c>
      <c r="P7881" s="4">
        <f>IF(COUNTIFS(INDEX(tItens[Edital],1):tItens[[#This Row],[Edital]],tItens[[#This Row],[Edital]],INDEX(tItens[Produto],1):tItens[[#This Row],[Produto]],tItens[[#This Row],[Produto]])=1,1,0)</f>
        <v>1</v>
      </c>
    </row>
    <row r="7882" spans="1:16" x14ac:dyDescent="0.25">
      <c r="A7882" t="s">
        <v>2616</v>
      </c>
      <c r="B7882">
        <v>33</v>
      </c>
      <c r="C7882" t="s">
        <v>10411</v>
      </c>
      <c r="D7882" t="s">
        <v>110</v>
      </c>
      <c r="E7882" s="13">
        <v>90</v>
      </c>
      <c r="F7882" s="12">
        <v>0</v>
      </c>
      <c r="G7882" t="str">
        <f>IFERROR(INDEX(tEditais[Órgão],MATCH(tItens[[#This Row],[Edital]],tEditais[Edital],0)),"")</f>
        <v>EMPRESA BRASILEIRA DE SERVICOS HOSPITALARES - EBSERH</v>
      </c>
      <c r="H7882" t="str">
        <f>IFERROR(INDEX(tEditais[UF],MATCH(tItens[[#This Row],[Edital]],tEditais[Edital],0)),"")</f>
        <v>RS</v>
      </c>
      <c r="I7882" s="11">
        <f>IFERROR(INDEX(tEditais[Encerramento],MATCH(tItens[[#This Row],[Edital]],tEditais[Edital],0)),"")</f>
        <v>46311.375</v>
      </c>
      <c r="J7882" t="str">
        <f>IFERROR(INDEX(tProdutos[Classe],MATCH(tItens[[#This Row],[Produto]],tProdutos[Produto],0)),"produto não cadastrado")</f>
        <v>NÚCLEO</v>
      </c>
      <c r="K7882" s="12">
        <f>tItens[[#This Row],[Qtd]]*tItens[[#This Row],[Vlr unit]]</f>
        <v>0</v>
      </c>
      <c r="L7882" s="6">
        <f>IFERROR(IF(INDEX(tProdutos[Desconto homologado],MATCH(tItens[[#This Row],[Produto]],tProdutos[Produto],0))="",DescontoPadrao,INDEX(tProdutos[Desconto homologado],MATCH(tItens[[#This Row],[Produto]],tProdutos[Produto],0))),DescontoPadrao)</f>
        <v>0.30410958904109597</v>
      </c>
      <c r="M7882" s="12">
        <f>tItens[[#This Row],[Valor]]*(1-tItens[[#This Row],[Desconto]])</f>
        <v>0</v>
      </c>
      <c r="N7882" t="str">
        <f>IFERROR(INDEX(tProdutos[Foco],MATCH(tItens[[#This Row],[Produto]],tProdutos[Produto],0)),"Não")</f>
        <v>Não</v>
      </c>
      <c r="O7882" t="str">
        <f>IFERROR(INDEX(tEditais[SRP],MATCH(tItens[[#This Row],[Edital]],tEditais[Edital],0)),"Não")</f>
        <v>Não</v>
      </c>
      <c r="P7882" s="4">
        <f>IF(COUNTIFS(INDEX(tItens[Edital],1):tItens[[#This Row],[Edital]],tItens[[#This Row],[Edital]],INDEX(tItens[Produto],1):tItens[[#This Row],[Produto]],tItens[[#This Row],[Produto]])=1,1,0)</f>
        <v>0</v>
      </c>
    </row>
    <row r="7883" spans="1:16" x14ac:dyDescent="0.25">
      <c r="A7883" t="s">
        <v>2616</v>
      </c>
      <c r="B7883">
        <v>34</v>
      </c>
      <c r="C7883" t="s">
        <v>8555</v>
      </c>
      <c r="D7883" t="s">
        <v>110</v>
      </c>
      <c r="E7883" s="13">
        <v>300</v>
      </c>
      <c r="F7883" s="12">
        <v>0</v>
      </c>
      <c r="G7883" t="str">
        <f>IFERROR(INDEX(tEditais[Órgão],MATCH(tItens[[#This Row],[Edital]],tEditais[Edital],0)),"")</f>
        <v>EMPRESA BRASILEIRA DE SERVICOS HOSPITALARES - EBSERH</v>
      </c>
      <c r="H7883" t="str">
        <f>IFERROR(INDEX(tEditais[UF],MATCH(tItens[[#This Row],[Edital]],tEditais[Edital],0)),"")</f>
        <v>RS</v>
      </c>
      <c r="I7883" s="11">
        <f>IFERROR(INDEX(tEditais[Encerramento],MATCH(tItens[[#This Row],[Edital]],tEditais[Edital],0)),"")</f>
        <v>46311.375</v>
      </c>
      <c r="J7883" t="str">
        <f>IFERROR(INDEX(tProdutos[Classe],MATCH(tItens[[#This Row],[Produto]],tProdutos[Produto],0)),"produto não cadastrado")</f>
        <v>NÚCLEO</v>
      </c>
      <c r="K7883" s="12">
        <f>tItens[[#This Row],[Qtd]]*tItens[[#This Row],[Vlr unit]]</f>
        <v>0</v>
      </c>
      <c r="L7883" s="6">
        <f>IFERROR(IF(INDEX(tProdutos[Desconto homologado],MATCH(tItens[[#This Row],[Produto]],tProdutos[Produto],0))="",DescontoPadrao,INDEX(tProdutos[Desconto homologado],MATCH(tItens[[#This Row],[Produto]],tProdutos[Produto],0))),DescontoPadrao)</f>
        <v>0.30410958904109597</v>
      </c>
      <c r="M7883" s="12">
        <f>tItens[[#This Row],[Valor]]*(1-tItens[[#This Row],[Desconto]])</f>
        <v>0</v>
      </c>
      <c r="N7883" t="str">
        <f>IFERROR(INDEX(tProdutos[Foco],MATCH(tItens[[#This Row],[Produto]],tProdutos[Produto],0)),"Não")</f>
        <v>Não</v>
      </c>
      <c r="O7883" t="str">
        <f>IFERROR(INDEX(tEditais[SRP],MATCH(tItens[[#This Row],[Edital]],tEditais[Edital],0)),"Não")</f>
        <v>Não</v>
      </c>
      <c r="P7883" s="4">
        <f>IF(COUNTIFS(INDEX(tItens[Edital],1):tItens[[#This Row],[Edital]],tItens[[#This Row],[Edital]],INDEX(tItens[Produto],1):tItens[[#This Row],[Produto]],tItens[[#This Row],[Produto]])=1,1,0)</f>
        <v>0</v>
      </c>
    </row>
    <row r="7884" spans="1:16" x14ac:dyDescent="0.25">
      <c r="A7884" t="s">
        <v>2616</v>
      </c>
      <c r="B7884">
        <v>35</v>
      </c>
      <c r="C7884" t="s">
        <v>10412</v>
      </c>
      <c r="D7884" t="s">
        <v>110</v>
      </c>
      <c r="E7884" s="13">
        <v>450</v>
      </c>
      <c r="F7884" s="12">
        <v>0</v>
      </c>
      <c r="G7884" t="str">
        <f>IFERROR(INDEX(tEditais[Órgão],MATCH(tItens[[#This Row],[Edital]],tEditais[Edital],0)),"")</f>
        <v>EMPRESA BRASILEIRA DE SERVICOS HOSPITALARES - EBSERH</v>
      </c>
      <c r="H7884" t="str">
        <f>IFERROR(INDEX(tEditais[UF],MATCH(tItens[[#This Row],[Edital]],tEditais[Edital],0)),"")</f>
        <v>RS</v>
      </c>
      <c r="I7884" s="11">
        <f>IFERROR(INDEX(tEditais[Encerramento],MATCH(tItens[[#This Row],[Edital]],tEditais[Edital],0)),"")</f>
        <v>46311.375</v>
      </c>
      <c r="J7884" t="str">
        <f>IFERROR(INDEX(tProdutos[Classe],MATCH(tItens[[#This Row],[Produto]],tProdutos[Produto],0)),"produto não cadastrado")</f>
        <v>NÚCLEO</v>
      </c>
      <c r="K7884" s="12">
        <f>tItens[[#This Row],[Qtd]]*tItens[[#This Row],[Vlr unit]]</f>
        <v>0</v>
      </c>
      <c r="L7884" s="6">
        <f>IFERROR(IF(INDEX(tProdutos[Desconto homologado],MATCH(tItens[[#This Row],[Produto]],tProdutos[Produto],0))="",DescontoPadrao,INDEX(tProdutos[Desconto homologado],MATCH(tItens[[#This Row],[Produto]],tProdutos[Produto],0))),DescontoPadrao)</f>
        <v>0.30410958904109597</v>
      </c>
      <c r="M7884" s="12">
        <f>tItens[[#This Row],[Valor]]*(1-tItens[[#This Row],[Desconto]])</f>
        <v>0</v>
      </c>
      <c r="N7884" t="str">
        <f>IFERROR(INDEX(tProdutos[Foco],MATCH(tItens[[#This Row],[Produto]],tProdutos[Produto],0)),"Não")</f>
        <v>Não</v>
      </c>
      <c r="O7884" t="str">
        <f>IFERROR(INDEX(tEditais[SRP],MATCH(tItens[[#This Row],[Edital]],tEditais[Edital],0)),"Não")</f>
        <v>Não</v>
      </c>
      <c r="P7884" s="4">
        <f>IF(COUNTIFS(INDEX(tItens[Edital],1):tItens[[#This Row],[Edital]],tItens[[#This Row],[Edital]],INDEX(tItens[Produto],1):tItens[[#This Row],[Produto]],tItens[[#This Row],[Produto]])=1,1,0)</f>
        <v>0</v>
      </c>
    </row>
    <row r="7885" spans="1:16" x14ac:dyDescent="0.25">
      <c r="A7885" t="s">
        <v>2616</v>
      </c>
      <c r="B7885">
        <v>36</v>
      </c>
      <c r="C7885" t="s">
        <v>10413</v>
      </c>
      <c r="D7885" t="s">
        <v>110</v>
      </c>
      <c r="E7885" s="13">
        <v>350</v>
      </c>
      <c r="F7885" s="12">
        <v>0</v>
      </c>
      <c r="G7885" t="str">
        <f>IFERROR(INDEX(tEditais[Órgão],MATCH(tItens[[#This Row],[Edital]],tEditais[Edital],0)),"")</f>
        <v>EMPRESA BRASILEIRA DE SERVICOS HOSPITALARES - EBSERH</v>
      </c>
      <c r="H7885" t="str">
        <f>IFERROR(INDEX(tEditais[UF],MATCH(tItens[[#This Row],[Edital]],tEditais[Edital],0)),"")</f>
        <v>RS</v>
      </c>
      <c r="I7885" s="11">
        <f>IFERROR(INDEX(tEditais[Encerramento],MATCH(tItens[[#This Row],[Edital]],tEditais[Edital],0)),"")</f>
        <v>46311.375</v>
      </c>
      <c r="J7885" t="str">
        <f>IFERROR(INDEX(tProdutos[Classe],MATCH(tItens[[#This Row],[Produto]],tProdutos[Produto],0)),"produto não cadastrado")</f>
        <v>NÚCLEO</v>
      </c>
      <c r="K7885" s="12">
        <f>tItens[[#This Row],[Qtd]]*tItens[[#This Row],[Vlr unit]]</f>
        <v>0</v>
      </c>
      <c r="L7885" s="6">
        <f>IFERROR(IF(INDEX(tProdutos[Desconto homologado],MATCH(tItens[[#This Row],[Produto]],tProdutos[Produto],0))="",DescontoPadrao,INDEX(tProdutos[Desconto homologado],MATCH(tItens[[#This Row],[Produto]],tProdutos[Produto],0))),DescontoPadrao)</f>
        <v>0.30410958904109597</v>
      </c>
      <c r="M7885" s="12">
        <f>tItens[[#This Row],[Valor]]*(1-tItens[[#This Row],[Desconto]])</f>
        <v>0</v>
      </c>
      <c r="N7885" t="str">
        <f>IFERROR(INDEX(tProdutos[Foco],MATCH(tItens[[#This Row],[Produto]],tProdutos[Produto],0)),"Não")</f>
        <v>Não</v>
      </c>
      <c r="O7885" t="str">
        <f>IFERROR(INDEX(tEditais[SRP],MATCH(tItens[[#This Row],[Edital]],tEditais[Edital],0)),"Não")</f>
        <v>Não</v>
      </c>
      <c r="P7885" s="4">
        <f>IF(COUNTIFS(INDEX(tItens[Edital],1):tItens[[#This Row],[Edital]],tItens[[#This Row],[Edital]],INDEX(tItens[Produto],1):tItens[[#This Row],[Produto]],tItens[[#This Row],[Produto]])=1,1,0)</f>
        <v>0</v>
      </c>
    </row>
    <row r="7886" spans="1:16" x14ac:dyDescent="0.25">
      <c r="A7886" t="s">
        <v>2616</v>
      </c>
      <c r="B7886">
        <v>37</v>
      </c>
      <c r="C7886" t="s">
        <v>7389</v>
      </c>
      <c r="D7886" t="s">
        <v>110</v>
      </c>
      <c r="E7886" s="13">
        <v>350</v>
      </c>
      <c r="F7886" s="12">
        <v>0</v>
      </c>
      <c r="G7886" t="str">
        <f>IFERROR(INDEX(tEditais[Órgão],MATCH(tItens[[#This Row],[Edital]],tEditais[Edital],0)),"")</f>
        <v>EMPRESA BRASILEIRA DE SERVICOS HOSPITALARES - EBSERH</v>
      </c>
      <c r="H7886" t="str">
        <f>IFERROR(INDEX(tEditais[UF],MATCH(tItens[[#This Row],[Edital]],tEditais[Edital],0)),"")</f>
        <v>RS</v>
      </c>
      <c r="I7886" s="11">
        <f>IFERROR(INDEX(tEditais[Encerramento],MATCH(tItens[[#This Row],[Edital]],tEditais[Edital],0)),"")</f>
        <v>46311.375</v>
      </c>
      <c r="J7886" t="str">
        <f>IFERROR(INDEX(tProdutos[Classe],MATCH(tItens[[#This Row],[Produto]],tProdutos[Produto],0)),"produto não cadastrado")</f>
        <v>NÚCLEO</v>
      </c>
      <c r="K7886" s="12">
        <f>tItens[[#This Row],[Qtd]]*tItens[[#This Row],[Vlr unit]]</f>
        <v>0</v>
      </c>
      <c r="L7886" s="6">
        <f>IFERROR(IF(INDEX(tProdutos[Desconto homologado],MATCH(tItens[[#This Row],[Produto]],tProdutos[Produto],0))="",DescontoPadrao,INDEX(tProdutos[Desconto homologado],MATCH(tItens[[#This Row],[Produto]],tProdutos[Produto],0))),DescontoPadrao)</f>
        <v>0.30410958904109597</v>
      </c>
      <c r="M7886" s="12">
        <f>tItens[[#This Row],[Valor]]*(1-tItens[[#This Row],[Desconto]])</f>
        <v>0</v>
      </c>
      <c r="N7886" t="str">
        <f>IFERROR(INDEX(tProdutos[Foco],MATCH(tItens[[#This Row],[Produto]],tProdutos[Produto],0)),"Não")</f>
        <v>Não</v>
      </c>
      <c r="O7886" t="str">
        <f>IFERROR(INDEX(tEditais[SRP],MATCH(tItens[[#This Row],[Edital]],tEditais[Edital],0)),"Não")</f>
        <v>Não</v>
      </c>
      <c r="P7886" s="4">
        <f>IF(COUNTIFS(INDEX(tItens[Edital],1):tItens[[#This Row],[Edital]],tItens[[#This Row],[Edital]],INDEX(tItens[Produto],1):tItens[[#This Row],[Produto]],tItens[[#This Row],[Produto]])=1,1,0)</f>
        <v>0</v>
      </c>
    </row>
    <row r="7887" spans="1:16" x14ac:dyDescent="0.25">
      <c r="A7887" t="s">
        <v>2616</v>
      </c>
      <c r="B7887">
        <v>38</v>
      </c>
      <c r="C7887" t="s">
        <v>10414</v>
      </c>
      <c r="D7887" t="s">
        <v>110</v>
      </c>
      <c r="E7887" s="13">
        <v>800</v>
      </c>
      <c r="F7887" s="12">
        <v>0</v>
      </c>
      <c r="G7887" t="str">
        <f>IFERROR(INDEX(tEditais[Órgão],MATCH(tItens[[#This Row],[Edital]],tEditais[Edital],0)),"")</f>
        <v>EMPRESA BRASILEIRA DE SERVICOS HOSPITALARES - EBSERH</v>
      </c>
      <c r="H7887" t="str">
        <f>IFERROR(INDEX(tEditais[UF],MATCH(tItens[[#This Row],[Edital]],tEditais[Edital],0)),"")</f>
        <v>RS</v>
      </c>
      <c r="I7887" s="11">
        <f>IFERROR(INDEX(tEditais[Encerramento],MATCH(tItens[[#This Row],[Edital]],tEditais[Edital],0)),"")</f>
        <v>46311.375</v>
      </c>
      <c r="J7887" t="str">
        <f>IFERROR(INDEX(tProdutos[Classe],MATCH(tItens[[#This Row],[Produto]],tProdutos[Produto],0)),"produto não cadastrado")</f>
        <v>NÚCLEO</v>
      </c>
      <c r="K7887" s="12">
        <f>tItens[[#This Row],[Qtd]]*tItens[[#This Row],[Vlr unit]]</f>
        <v>0</v>
      </c>
      <c r="L7887" s="6">
        <f>IFERROR(IF(INDEX(tProdutos[Desconto homologado],MATCH(tItens[[#This Row],[Produto]],tProdutos[Produto],0))="",DescontoPadrao,INDEX(tProdutos[Desconto homologado],MATCH(tItens[[#This Row],[Produto]],tProdutos[Produto],0))),DescontoPadrao)</f>
        <v>0.30410958904109597</v>
      </c>
      <c r="M7887" s="12">
        <f>tItens[[#This Row],[Valor]]*(1-tItens[[#This Row],[Desconto]])</f>
        <v>0</v>
      </c>
      <c r="N7887" t="str">
        <f>IFERROR(INDEX(tProdutos[Foco],MATCH(tItens[[#This Row],[Produto]],tProdutos[Produto],0)),"Não")</f>
        <v>Não</v>
      </c>
      <c r="O7887" t="str">
        <f>IFERROR(INDEX(tEditais[SRP],MATCH(tItens[[#This Row],[Edital]],tEditais[Edital],0)),"Não")</f>
        <v>Não</v>
      </c>
      <c r="P7887" s="4">
        <f>IF(COUNTIFS(INDEX(tItens[Edital],1):tItens[[#This Row],[Edital]],tItens[[#This Row],[Edital]],INDEX(tItens[Produto],1):tItens[[#This Row],[Produto]],tItens[[#This Row],[Produto]])=1,1,0)</f>
        <v>0</v>
      </c>
    </row>
    <row r="7888" spans="1:16" x14ac:dyDescent="0.25">
      <c r="A7888" t="s">
        <v>2616</v>
      </c>
      <c r="B7888">
        <v>39</v>
      </c>
      <c r="C7888" t="s">
        <v>10415</v>
      </c>
      <c r="D7888" t="s">
        <v>110</v>
      </c>
      <c r="E7888" s="13">
        <v>700</v>
      </c>
      <c r="F7888" s="12">
        <v>0</v>
      </c>
      <c r="G7888" t="str">
        <f>IFERROR(INDEX(tEditais[Órgão],MATCH(tItens[[#This Row],[Edital]],tEditais[Edital],0)),"")</f>
        <v>EMPRESA BRASILEIRA DE SERVICOS HOSPITALARES - EBSERH</v>
      </c>
      <c r="H7888" t="str">
        <f>IFERROR(INDEX(tEditais[UF],MATCH(tItens[[#This Row],[Edital]],tEditais[Edital],0)),"")</f>
        <v>RS</v>
      </c>
      <c r="I7888" s="11">
        <f>IFERROR(INDEX(tEditais[Encerramento],MATCH(tItens[[#This Row],[Edital]],tEditais[Edital],0)),"")</f>
        <v>46311.375</v>
      </c>
      <c r="J7888" t="str">
        <f>IFERROR(INDEX(tProdutos[Classe],MATCH(tItens[[#This Row],[Produto]],tProdutos[Produto],0)),"produto não cadastrado")</f>
        <v>NÚCLEO</v>
      </c>
      <c r="K7888" s="12">
        <f>tItens[[#This Row],[Qtd]]*tItens[[#This Row],[Vlr unit]]</f>
        <v>0</v>
      </c>
      <c r="L7888" s="6">
        <f>IFERROR(IF(INDEX(tProdutos[Desconto homologado],MATCH(tItens[[#This Row],[Produto]],tProdutos[Produto],0))="",DescontoPadrao,INDEX(tProdutos[Desconto homologado],MATCH(tItens[[#This Row],[Produto]],tProdutos[Produto],0))),DescontoPadrao)</f>
        <v>0.30410958904109597</v>
      </c>
      <c r="M7888" s="12">
        <f>tItens[[#This Row],[Valor]]*(1-tItens[[#This Row],[Desconto]])</f>
        <v>0</v>
      </c>
      <c r="N7888" t="str">
        <f>IFERROR(INDEX(tProdutos[Foco],MATCH(tItens[[#This Row],[Produto]],tProdutos[Produto],0)),"Não")</f>
        <v>Não</v>
      </c>
      <c r="O7888" t="str">
        <f>IFERROR(INDEX(tEditais[SRP],MATCH(tItens[[#This Row],[Edital]],tEditais[Edital],0)),"Não")</f>
        <v>Não</v>
      </c>
      <c r="P7888" s="4">
        <f>IF(COUNTIFS(INDEX(tItens[Edital],1):tItens[[#This Row],[Edital]],tItens[[#This Row],[Edital]],INDEX(tItens[Produto],1):tItens[[#This Row],[Produto]],tItens[[#This Row],[Produto]])=1,1,0)</f>
        <v>0</v>
      </c>
    </row>
    <row r="7889" spans="1:16" x14ac:dyDescent="0.25">
      <c r="A7889" t="s">
        <v>2616</v>
      </c>
      <c r="B7889">
        <v>40</v>
      </c>
      <c r="C7889" t="s">
        <v>8556</v>
      </c>
      <c r="D7889" t="s">
        <v>110</v>
      </c>
      <c r="E7889" s="13">
        <v>750</v>
      </c>
      <c r="F7889" s="12">
        <v>0</v>
      </c>
      <c r="G7889" t="str">
        <f>IFERROR(INDEX(tEditais[Órgão],MATCH(tItens[[#This Row],[Edital]],tEditais[Edital],0)),"")</f>
        <v>EMPRESA BRASILEIRA DE SERVICOS HOSPITALARES - EBSERH</v>
      </c>
      <c r="H7889" t="str">
        <f>IFERROR(INDEX(tEditais[UF],MATCH(tItens[[#This Row],[Edital]],tEditais[Edital],0)),"")</f>
        <v>RS</v>
      </c>
      <c r="I7889" s="11">
        <f>IFERROR(INDEX(tEditais[Encerramento],MATCH(tItens[[#This Row],[Edital]],tEditais[Edital],0)),"")</f>
        <v>46311.375</v>
      </c>
      <c r="J7889" t="str">
        <f>IFERROR(INDEX(tProdutos[Classe],MATCH(tItens[[#This Row],[Produto]],tProdutos[Produto],0)),"produto não cadastrado")</f>
        <v>NÚCLEO</v>
      </c>
      <c r="K7889" s="12">
        <f>tItens[[#This Row],[Qtd]]*tItens[[#This Row],[Vlr unit]]</f>
        <v>0</v>
      </c>
      <c r="L7889" s="6">
        <f>IFERROR(IF(INDEX(tProdutos[Desconto homologado],MATCH(tItens[[#This Row],[Produto]],tProdutos[Produto],0))="",DescontoPadrao,INDEX(tProdutos[Desconto homologado],MATCH(tItens[[#This Row],[Produto]],tProdutos[Produto],0))),DescontoPadrao)</f>
        <v>0.30410958904109597</v>
      </c>
      <c r="M7889" s="12">
        <f>tItens[[#This Row],[Valor]]*(1-tItens[[#This Row],[Desconto]])</f>
        <v>0</v>
      </c>
      <c r="N7889" t="str">
        <f>IFERROR(INDEX(tProdutos[Foco],MATCH(tItens[[#This Row],[Produto]],tProdutos[Produto],0)),"Não")</f>
        <v>Não</v>
      </c>
      <c r="O7889" t="str">
        <f>IFERROR(INDEX(tEditais[SRP],MATCH(tItens[[#This Row],[Edital]],tEditais[Edital],0)),"Não")</f>
        <v>Não</v>
      </c>
      <c r="P7889" s="4">
        <f>IF(COUNTIFS(INDEX(tItens[Edital],1):tItens[[#This Row],[Edital]],tItens[[#This Row],[Edital]],INDEX(tItens[Produto],1):tItens[[#This Row],[Produto]],tItens[[#This Row],[Produto]])=1,1,0)</f>
        <v>0</v>
      </c>
    </row>
    <row r="7890" spans="1:16" x14ac:dyDescent="0.25">
      <c r="A7890" t="s">
        <v>2616</v>
      </c>
      <c r="B7890">
        <v>41</v>
      </c>
      <c r="C7890" t="s">
        <v>8557</v>
      </c>
      <c r="D7890" t="s">
        <v>110</v>
      </c>
      <c r="E7890" s="13">
        <v>400</v>
      </c>
      <c r="F7890" s="12">
        <v>0</v>
      </c>
      <c r="G7890" t="str">
        <f>IFERROR(INDEX(tEditais[Órgão],MATCH(tItens[[#This Row],[Edital]],tEditais[Edital],0)),"")</f>
        <v>EMPRESA BRASILEIRA DE SERVICOS HOSPITALARES - EBSERH</v>
      </c>
      <c r="H7890" t="str">
        <f>IFERROR(INDEX(tEditais[UF],MATCH(tItens[[#This Row],[Edital]],tEditais[Edital],0)),"")</f>
        <v>RS</v>
      </c>
      <c r="I7890" s="11">
        <f>IFERROR(INDEX(tEditais[Encerramento],MATCH(tItens[[#This Row],[Edital]],tEditais[Edital],0)),"")</f>
        <v>46311.375</v>
      </c>
      <c r="J7890" t="str">
        <f>IFERROR(INDEX(tProdutos[Classe],MATCH(tItens[[#This Row],[Produto]],tProdutos[Produto],0)),"produto não cadastrado")</f>
        <v>NÚCLEO</v>
      </c>
      <c r="K7890" s="12">
        <f>tItens[[#This Row],[Qtd]]*tItens[[#This Row],[Vlr unit]]</f>
        <v>0</v>
      </c>
      <c r="L7890" s="6">
        <f>IFERROR(IF(INDEX(tProdutos[Desconto homologado],MATCH(tItens[[#This Row],[Produto]],tProdutos[Produto],0))="",DescontoPadrao,INDEX(tProdutos[Desconto homologado],MATCH(tItens[[#This Row],[Produto]],tProdutos[Produto],0))),DescontoPadrao)</f>
        <v>0.30410958904109597</v>
      </c>
      <c r="M7890" s="12">
        <f>tItens[[#This Row],[Valor]]*(1-tItens[[#This Row],[Desconto]])</f>
        <v>0</v>
      </c>
      <c r="N7890" t="str">
        <f>IFERROR(INDEX(tProdutos[Foco],MATCH(tItens[[#This Row],[Produto]],tProdutos[Produto],0)),"Não")</f>
        <v>Não</v>
      </c>
      <c r="O7890" t="str">
        <f>IFERROR(INDEX(tEditais[SRP],MATCH(tItens[[#This Row],[Edital]],tEditais[Edital],0)),"Não")</f>
        <v>Não</v>
      </c>
      <c r="P7890" s="4">
        <f>IF(COUNTIFS(INDEX(tItens[Edital],1):tItens[[#This Row],[Edital]],tItens[[#This Row],[Edital]],INDEX(tItens[Produto],1):tItens[[#This Row],[Produto]],tItens[[#This Row],[Produto]])=1,1,0)</f>
        <v>0</v>
      </c>
    </row>
    <row r="7891" spans="1:16" x14ac:dyDescent="0.25">
      <c r="A7891" t="s">
        <v>2616</v>
      </c>
      <c r="B7891">
        <v>42</v>
      </c>
      <c r="C7891" t="s">
        <v>7877</v>
      </c>
      <c r="D7891" t="s">
        <v>164</v>
      </c>
      <c r="E7891" s="13">
        <v>400</v>
      </c>
      <c r="F7891" s="12">
        <v>0</v>
      </c>
      <c r="G7891" t="str">
        <f>IFERROR(INDEX(tEditais[Órgão],MATCH(tItens[[#This Row],[Edital]],tEditais[Edital],0)),"")</f>
        <v>EMPRESA BRASILEIRA DE SERVICOS HOSPITALARES - EBSERH</v>
      </c>
      <c r="H7891" t="str">
        <f>IFERROR(INDEX(tEditais[UF],MATCH(tItens[[#This Row],[Edital]],tEditais[Edital],0)),"")</f>
        <v>RS</v>
      </c>
      <c r="I7891" s="11">
        <f>IFERROR(INDEX(tEditais[Encerramento],MATCH(tItens[[#This Row],[Edital]],tEditais[Edital],0)),"")</f>
        <v>46311.375</v>
      </c>
      <c r="J7891" t="str">
        <f>IFERROR(INDEX(tProdutos[Classe],MATCH(tItens[[#This Row],[Produto]],tProdutos[Produto],0)),"produto não cadastrado")</f>
        <v>DISPUTADO</v>
      </c>
      <c r="K7891" s="12">
        <f>tItens[[#This Row],[Qtd]]*tItens[[#This Row],[Vlr unit]]</f>
        <v>0</v>
      </c>
      <c r="L7891" s="6">
        <f>IFERROR(IF(INDEX(tProdutos[Desconto homologado],MATCH(tItens[[#This Row],[Produto]],tProdutos[Produto],0))="",DescontoPadrao,INDEX(tProdutos[Desconto homologado],MATCH(tItens[[#This Row],[Produto]],tProdutos[Produto],0))),DescontoPadrao)</f>
        <v>0.445300462249615</v>
      </c>
      <c r="M7891" s="12">
        <f>tItens[[#This Row],[Valor]]*(1-tItens[[#This Row],[Desconto]])</f>
        <v>0</v>
      </c>
      <c r="N7891" t="str">
        <f>IFERROR(INDEX(tProdutos[Foco],MATCH(tItens[[#This Row],[Produto]],tProdutos[Produto],0)),"Não")</f>
        <v>Não</v>
      </c>
      <c r="O7891" t="str">
        <f>IFERROR(INDEX(tEditais[SRP],MATCH(tItens[[#This Row],[Edital]],tEditais[Edital],0)),"Não")</f>
        <v>Não</v>
      </c>
      <c r="P7891" s="4">
        <f>IF(COUNTIFS(INDEX(tItens[Edital],1):tItens[[#This Row],[Edital]],tItens[[#This Row],[Edital]],INDEX(tItens[Produto],1):tItens[[#This Row],[Produto]],tItens[[#This Row],[Produto]])=1,1,0)</f>
        <v>0</v>
      </c>
    </row>
    <row r="7892" spans="1:16" x14ac:dyDescent="0.25">
      <c r="A7892" t="s">
        <v>2616</v>
      </c>
      <c r="B7892">
        <v>43</v>
      </c>
      <c r="C7892" t="s">
        <v>10416</v>
      </c>
      <c r="D7892" t="s">
        <v>164</v>
      </c>
      <c r="E7892" s="13">
        <v>250</v>
      </c>
      <c r="F7892" s="12">
        <v>0</v>
      </c>
      <c r="G7892" t="str">
        <f>IFERROR(INDEX(tEditais[Órgão],MATCH(tItens[[#This Row],[Edital]],tEditais[Edital],0)),"")</f>
        <v>EMPRESA BRASILEIRA DE SERVICOS HOSPITALARES - EBSERH</v>
      </c>
      <c r="H7892" t="str">
        <f>IFERROR(INDEX(tEditais[UF],MATCH(tItens[[#This Row],[Edital]],tEditais[Edital],0)),"")</f>
        <v>RS</v>
      </c>
      <c r="I7892" s="11">
        <f>IFERROR(INDEX(tEditais[Encerramento],MATCH(tItens[[#This Row],[Edital]],tEditais[Edital],0)),"")</f>
        <v>46311.375</v>
      </c>
      <c r="J7892" t="str">
        <f>IFERROR(INDEX(tProdutos[Classe],MATCH(tItens[[#This Row],[Produto]],tProdutos[Produto],0)),"produto não cadastrado")</f>
        <v>DISPUTADO</v>
      </c>
      <c r="K7892" s="12">
        <f>tItens[[#This Row],[Qtd]]*tItens[[#This Row],[Vlr unit]]</f>
        <v>0</v>
      </c>
      <c r="L7892" s="6">
        <f>IFERROR(IF(INDEX(tProdutos[Desconto homologado],MATCH(tItens[[#This Row],[Produto]],tProdutos[Produto],0))="",DescontoPadrao,INDEX(tProdutos[Desconto homologado],MATCH(tItens[[#This Row],[Produto]],tProdutos[Produto],0))),DescontoPadrao)</f>
        <v>0.445300462249615</v>
      </c>
      <c r="M7892" s="12">
        <f>tItens[[#This Row],[Valor]]*(1-tItens[[#This Row],[Desconto]])</f>
        <v>0</v>
      </c>
      <c r="N7892" t="str">
        <f>IFERROR(INDEX(tProdutos[Foco],MATCH(tItens[[#This Row],[Produto]],tProdutos[Produto],0)),"Não")</f>
        <v>Não</v>
      </c>
      <c r="O7892" t="str">
        <f>IFERROR(INDEX(tEditais[SRP],MATCH(tItens[[#This Row],[Edital]],tEditais[Edital],0)),"Não")</f>
        <v>Não</v>
      </c>
      <c r="P7892" s="4">
        <f>IF(COUNTIFS(INDEX(tItens[Edital],1):tItens[[#This Row],[Edital]],tItens[[#This Row],[Edital]],INDEX(tItens[Produto],1):tItens[[#This Row],[Produto]],tItens[[#This Row],[Produto]])=1,1,0)</f>
        <v>0</v>
      </c>
    </row>
    <row r="7893" spans="1:16" x14ac:dyDescent="0.25">
      <c r="A7893" t="s">
        <v>2616</v>
      </c>
      <c r="B7893">
        <v>44</v>
      </c>
      <c r="C7893" t="s">
        <v>5882</v>
      </c>
      <c r="D7893" t="s">
        <v>347</v>
      </c>
      <c r="E7893" s="13">
        <v>15</v>
      </c>
      <c r="F7893" s="12">
        <v>0</v>
      </c>
      <c r="G7893" t="str">
        <f>IFERROR(INDEX(tEditais[Órgão],MATCH(tItens[[#This Row],[Edital]],tEditais[Edital],0)),"")</f>
        <v>EMPRESA BRASILEIRA DE SERVICOS HOSPITALARES - EBSERH</v>
      </c>
      <c r="H7893" t="str">
        <f>IFERROR(INDEX(tEditais[UF],MATCH(tItens[[#This Row],[Edital]],tEditais[Edital],0)),"")</f>
        <v>RS</v>
      </c>
      <c r="I7893" s="11">
        <f>IFERROR(INDEX(tEditais[Encerramento],MATCH(tItens[[#This Row],[Edital]],tEditais[Edital],0)),"")</f>
        <v>46311.375</v>
      </c>
      <c r="J7893" t="str">
        <f>IFERROR(INDEX(tProdutos[Classe],MATCH(tItens[[#This Row],[Produto]],tProdutos[Produto],0)),"produto não cadastrado")</f>
        <v>FORA</v>
      </c>
      <c r="K7893" s="12">
        <f>tItens[[#This Row],[Qtd]]*tItens[[#This Row],[Vlr unit]]</f>
        <v>0</v>
      </c>
      <c r="L7893" s="6">
        <f>IFERROR(IF(INDEX(tProdutos[Desconto homologado],MATCH(tItens[[#This Row],[Produto]],tProdutos[Produto],0))="",DescontoPadrao,INDEX(tProdutos[Desconto homologado],MATCH(tItens[[#This Row],[Produto]],tProdutos[Produto],0))),DescontoPadrao)</f>
        <v>0.26356465005931201</v>
      </c>
      <c r="M7893" s="12">
        <f>tItens[[#This Row],[Valor]]*(1-tItens[[#This Row],[Desconto]])</f>
        <v>0</v>
      </c>
      <c r="N7893" t="str">
        <f>IFERROR(INDEX(tProdutos[Foco],MATCH(tItens[[#This Row],[Produto]],tProdutos[Produto],0)),"Não")</f>
        <v>Não</v>
      </c>
      <c r="O7893" t="str">
        <f>IFERROR(INDEX(tEditais[SRP],MATCH(tItens[[#This Row],[Edital]],tEditais[Edital],0)),"Não")</f>
        <v>Não</v>
      </c>
      <c r="P7893" s="4">
        <f>IF(COUNTIFS(INDEX(tItens[Edital],1):tItens[[#This Row],[Edital]],tItens[[#This Row],[Edital]],INDEX(tItens[Produto],1):tItens[[#This Row],[Produto]],tItens[[#This Row],[Produto]])=1,1,0)</f>
        <v>1</v>
      </c>
    </row>
    <row r="7894" spans="1:16" x14ac:dyDescent="0.25">
      <c r="A7894" t="s">
        <v>2616</v>
      </c>
      <c r="B7894">
        <v>45</v>
      </c>
      <c r="C7894" t="s">
        <v>5884</v>
      </c>
      <c r="D7894" t="s">
        <v>347</v>
      </c>
      <c r="E7894" s="13">
        <v>15</v>
      </c>
      <c r="F7894" s="12">
        <v>0</v>
      </c>
      <c r="G7894" t="str">
        <f>IFERROR(INDEX(tEditais[Órgão],MATCH(tItens[[#This Row],[Edital]],tEditais[Edital],0)),"")</f>
        <v>EMPRESA BRASILEIRA DE SERVICOS HOSPITALARES - EBSERH</v>
      </c>
      <c r="H7894" t="str">
        <f>IFERROR(INDEX(tEditais[UF],MATCH(tItens[[#This Row],[Edital]],tEditais[Edital],0)),"")</f>
        <v>RS</v>
      </c>
      <c r="I7894" s="11">
        <f>IFERROR(INDEX(tEditais[Encerramento],MATCH(tItens[[#This Row],[Edital]],tEditais[Edital],0)),"")</f>
        <v>46311.375</v>
      </c>
      <c r="J7894" t="str">
        <f>IFERROR(INDEX(tProdutos[Classe],MATCH(tItens[[#This Row],[Produto]],tProdutos[Produto],0)),"produto não cadastrado")</f>
        <v>FORA</v>
      </c>
      <c r="K7894" s="12">
        <f>tItens[[#This Row],[Qtd]]*tItens[[#This Row],[Vlr unit]]</f>
        <v>0</v>
      </c>
      <c r="L7894" s="6">
        <f>IFERROR(IF(INDEX(tProdutos[Desconto homologado],MATCH(tItens[[#This Row],[Produto]],tProdutos[Produto],0))="",DescontoPadrao,INDEX(tProdutos[Desconto homologado],MATCH(tItens[[#This Row],[Produto]],tProdutos[Produto],0))),DescontoPadrao)</f>
        <v>0.26356465005931201</v>
      </c>
      <c r="M7894" s="12">
        <f>tItens[[#This Row],[Valor]]*(1-tItens[[#This Row],[Desconto]])</f>
        <v>0</v>
      </c>
      <c r="N7894" t="str">
        <f>IFERROR(INDEX(tProdutos[Foco],MATCH(tItens[[#This Row],[Produto]],tProdutos[Produto],0)),"Não")</f>
        <v>Não</v>
      </c>
      <c r="O7894" t="str">
        <f>IFERROR(INDEX(tEditais[SRP],MATCH(tItens[[#This Row],[Edital]],tEditais[Edital],0)),"Não")</f>
        <v>Não</v>
      </c>
      <c r="P7894" s="4">
        <f>IF(COUNTIFS(INDEX(tItens[Edital],1):tItens[[#This Row],[Edital]],tItens[[#This Row],[Edital]],INDEX(tItens[Produto],1):tItens[[#This Row],[Produto]],tItens[[#This Row],[Produto]])=1,1,0)</f>
        <v>0</v>
      </c>
    </row>
    <row r="7895" spans="1:16" x14ac:dyDescent="0.25">
      <c r="A7895" t="s">
        <v>2616</v>
      </c>
      <c r="B7895">
        <v>46</v>
      </c>
      <c r="C7895" t="s">
        <v>10417</v>
      </c>
      <c r="D7895" t="s">
        <v>347</v>
      </c>
      <c r="E7895" s="13">
        <v>15</v>
      </c>
      <c r="F7895" s="12">
        <v>0</v>
      </c>
      <c r="G7895" t="str">
        <f>IFERROR(INDEX(tEditais[Órgão],MATCH(tItens[[#This Row],[Edital]],tEditais[Edital],0)),"")</f>
        <v>EMPRESA BRASILEIRA DE SERVICOS HOSPITALARES - EBSERH</v>
      </c>
      <c r="H7895" t="str">
        <f>IFERROR(INDEX(tEditais[UF],MATCH(tItens[[#This Row],[Edital]],tEditais[Edital],0)),"")</f>
        <v>RS</v>
      </c>
      <c r="I7895" s="11">
        <f>IFERROR(INDEX(tEditais[Encerramento],MATCH(tItens[[#This Row],[Edital]],tEditais[Edital],0)),"")</f>
        <v>46311.375</v>
      </c>
      <c r="J7895" t="str">
        <f>IFERROR(INDEX(tProdutos[Classe],MATCH(tItens[[#This Row],[Produto]],tProdutos[Produto],0)),"produto não cadastrado")</f>
        <v>FORA</v>
      </c>
      <c r="K7895" s="12">
        <f>tItens[[#This Row],[Qtd]]*tItens[[#This Row],[Vlr unit]]</f>
        <v>0</v>
      </c>
      <c r="L7895" s="6">
        <f>IFERROR(IF(INDEX(tProdutos[Desconto homologado],MATCH(tItens[[#This Row],[Produto]],tProdutos[Produto],0))="",DescontoPadrao,INDEX(tProdutos[Desconto homologado],MATCH(tItens[[#This Row],[Produto]],tProdutos[Produto],0))),DescontoPadrao)</f>
        <v>0.26356465005931201</v>
      </c>
      <c r="M7895" s="12">
        <f>tItens[[#This Row],[Valor]]*(1-tItens[[#This Row],[Desconto]])</f>
        <v>0</v>
      </c>
      <c r="N7895" t="str">
        <f>IFERROR(INDEX(tProdutos[Foco],MATCH(tItens[[#This Row],[Produto]],tProdutos[Produto],0)),"Não")</f>
        <v>Não</v>
      </c>
      <c r="O7895" t="str">
        <f>IFERROR(INDEX(tEditais[SRP],MATCH(tItens[[#This Row],[Edital]],tEditais[Edital],0)),"Não")</f>
        <v>Não</v>
      </c>
      <c r="P7895" s="4">
        <f>IF(COUNTIFS(INDEX(tItens[Edital],1):tItens[[#This Row],[Edital]],tItens[[#This Row],[Edital]],INDEX(tItens[Produto],1):tItens[[#This Row],[Produto]],tItens[[#This Row],[Produto]])=1,1,0)</f>
        <v>0</v>
      </c>
    </row>
    <row r="7896" spans="1:16" x14ac:dyDescent="0.25">
      <c r="A7896" t="s">
        <v>2616</v>
      </c>
      <c r="B7896">
        <v>47</v>
      </c>
      <c r="C7896" t="s">
        <v>5881</v>
      </c>
      <c r="D7896" t="s">
        <v>347</v>
      </c>
      <c r="E7896" s="13">
        <v>15</v>
      </c>
      <c r="F7896" s="12">
        <v>0</v>
      </c>
      <c r="G7896" t="str">
        <f>IFERROR(INDEX(tEditais[Órgão],MATCH(tItens[[#This Row],[Edital]],tEditais[Edital],0)),"")</f>
        <v>EMPRESA BRASILEIRA DE SERVICOS HOSPITALARES - EBSERH</v>
      </c>
      <c r="H7896" t="str">
        <f>IFERROR(INDEX(tEditais[UF],MATCH(tItens[[#This Row],[Edital]],tEditais[Edital],0)),"")</f>
        <v>RS</v>
      </c>
      <c r="I7896" s="11">
        <f>IFERROR(INDEX(tEditais[Encerramento],MATCH(tItens[[#This Row],[Edital]],tEditais[Edital],0)),"")</f>
        <v>46311.375</v>
      </c>
      <c r="J7896" t="str">
        <f>IFERROR(INDEX(tProdutos[Classe],MATCH(tItens[[#This Row],[Produto]],tProdutos[Produto],0)),"produto não cadastrado")</f>
        <v>FORA</v>
      </c>
      <c r="K7896" s="12">
        <f>tItens[[#This Row],[Qtd]]*tItens[[#This Row],[Vlr unit]]</f>
        <v>0</v>
      </c>
      <c r="L7896" s="6">
        <f>IFERROR(IF(INDEX(tProdutos[Desconto homologado],MATCH(tItens[[#This Row],[Produto]],tProdutos[Produto],0))="",DescontoPadrao,INDEX(tProdutos[Desconto homologado],MATCH(tItens[[#This Row],[Produto]],tProdutos[Produto],0))),DescontoPadrao)</f>
        <v>0.26356465005931201</v>
      </c>
      <c r="M7896" s="12">
        <f>tItens[[#This Row],[Valor]]*(1-tItens[[#This Row],[Desconto]])</f>
        <v>0</v>
      </c>
      <c r="N7896" t="str">
        <f>IFERROR(INDEX(tProdutos[Foco],MATCH(tItens[[#This Row],[Produto]],tProdutos[Produto],0)),"Não")</f>
        <v>Não</v>
      </c>
      <c r="O7896" t="str">
        <f>IFERROR(INDEX(tEditais[SRP],MATCH(tItens[[#This Row],[Edital]],tEditais[Edital],0)),"Não")</f>
        <v>Não</v>
      </c>
      <c r="P7896" s="4">
        <f>IF(COUNTIFS(INDEX(tItens[Edital],1):tItens[[#This Row],[Edital]],tItens[[#This Row],[Edital]],INDEX(tItens[Produto],1):tItens[[#This Row],[Produto]],tItens[[#This Row],[Produto]])=1,1,0)</f>
        <v>0</v>
      </c>
    </row>
    <row r="7897" spans="1:16" x14ac:dyDescent="0.25">
      <c r="A7897" t="s">
        <v>2616</v>
      </c>
      <c r="B7897">
        <v>48</v>
      </c>
      <c r="C7897" t="s">
        <v>5883</v>
      </c>
      <c r="D7897" t="s">
        <v>347</v>
      </c>
      <c r="E7897" s="13">
        <v>15</v>
      </c>
      <c r="F7897" s="12">
        <v>0</v>
      </c>
      <c r="G7897" t="str">
        <f>IFERROR(INDEX(tEditais[Órgão],MATCH(tItens[[#This Row],[Edital]],tEditais[Edital],0)),"")</f>
        <v>EMPRESA BRASILEIRA DE SERVICOS HOSPITALARES - EBSERH</v>
      </c>
      <c r="H7897" t="str">
        <f>IFERROR(INDEX(tEditais[UF],MATCH(tItens[[#This Row],[Edital]],tEditais[Edital],0)),"")</f>
        <v>RS</v>
      </c>
      <c r="I7897" s="11">
        <f>IFERROR(INDEX(tEditais[Encerramento],MATCH(tItens[[#This Row],[Edital]],tEditais[Edital],0)),"")</f>
        <v>46311.375</v>
      </c>
      <c r="J7897" t="str">
        <f>IFERROR(INDEX(tProdutos[Classe],MATCH(tItens[[#This Row],[Produto]],tProdutos[Produto],0)),"produto não cadastrado")</f>
        <v>FORA</v>
      </c>
      <c r="K7897" s="12">
        <f>tItens[[#This Row],[Qtd]]*tItens[[#This Row],[Vlr unit]]</f>
        <v>0</v>
      </c>
      <c r="L7897" s="6">
        <f>IFERROR(IF(INDEX(tProdutos[Desconto homologado],MATCH(tItens[[#This Row],[Produto]],tProdutos[Produto],0))="",DescontoPadrao,INDEX(tProdutos[Desconto homologado],MATCH(tItens[[#This Row],[Produto]],tProdutos[Produto],0))),DescontoPadrao)</f>
        <v>0.26356465005931201</v>
      </c>
      <c r="M7897" s="12">
        <f>tItens[[#This Row],[Valor]]*(1-tItens[[#This Row],[Desconto]])</f>
        <v>0</v>
      </c>
      <c r="N7897" t="str">
        <f>IFERROR(INDEX(tProdutos[Foco],MATCH(tItens[[#This Row],[Produto]],tProdutos[Produto],0)),"Não")</f>
        <v>Não</v>
      </c>
      <c r="O7897" t="str">
        <f>IFERROR(INDEX(tEditais[SRP],MATCH(tItens[[#This Row],[Edital]],tEditais[Edital],0)),"Não")</f>
        <v>Não</v>
      </c>
      <c r="P7897" s="4">
        <f>IF(COUNTIFS(INDEX(tItens[Edital],1):tItens[[#This Row],[Edital]],tItens[[#This Row],[Edital]],INDEX(tItens[Produto],1):tItens[[#This Row],[Produto]],tItens[[#This Row],[Produto]])=1,1,0)</f>
        <v>0</v>
      </c>
    </row>
    <row r="7898" spans="1:16" x14ac:dyDescent="0.25">
      <c r="A7898" t="s">
        <v>2616</v>
      </c>
      <c r="B7898">
        <v>49</v>
      </c>
      <c r="C7898" t="s">
        <v>3488</v>
      </c>
      <c r="D7898" t="s">
        <v>120</v>
      </c>
      <c r="E7898" s="13">
        <v>1400</v>
      </c>
      <c r="F7898" s="12">
        <v>0</v>
      </c>
      <c r="G7898" t="str">
        <f>IFERROR(INDEX(tEditais[Órgão],MATCH(tItens[[#This Row],[Edital]],tEditais[Edital],0)),"")</f>
        <v>EMPRESA BRASILEIRA DE SERVICOS HOSPITALARES - EBSERH</v>
      </c>
      <c r="H7898" t="str">
        <f>IFERROR(INDEX(tEditais[UF],MATCH(tItens[[#This Row],[Edital]],tEditais[Edital],0)),"")</f>
        <v>RS</v>
      </c>
      <c r="I7898" s="11">
        <f>IFERROR(INDEX(tEditais[Encerramento],MATCH(tItens[[#This Row],[Edital]],tEditais[Edital],0)),"")</f>
        <v>46311.375</v>
      </c>
      <c r="J7898" t="str">
        <f>IFERROR(INDEX(tProdutos[Classe],MATCH(tItens[[#This Row],[Produto]],tProdutos[Produto],0)),"produto não cadastrado")</f>
        <v>DISPUTADO</v>
      </c>
      <c r="K7898" s="12">
        <f>tItens[[#This Row],[Qtd]]*tItens[[#This Row],[Vlr unit]]</f>
        <v>0</v>
      </c>
      <c r="L7898" s="6">
        <f>IFERROR(IF(INDEX(tProdutos[Desconto homologado],MATCH(tItens[[#This Row],[Produto]],tProdutos[Produto],0))="",DescontoPadrao,INDEX(tProdutos[Desconto homologado],MATCH(tItens[[#This Row],[Produto]],tProdutos[Produto],0))),DescontoPadrao)</f>
        <v>0.40909090909090901</v>
      </c>
      <c r="M7898" s="12">
        <f>tItens[[#This Row],[Valor]]*(1-tItens[[#This Row],[Desconto]])</f>
        <v>0</v>
      </c>
      <c r="N7898" t="str">
        <f>IFERROR(INDEX(tProdutos[Foco],MATCH(tItens[[#This Row],[Produto]],tProdutos[Produto],0)),"Não")</f>
        <v>Não</v>
      </c>
      <c r="O7898" t="str">
        <f>IFERROR(INDEX(tEditais[SRP],MATCH(tItens[[#This Row],[Edital]],tEditais[Edital],0)),"Não")</f>
        <v>Não</v>
      </c>
      <c r="P7898" s="4">
        <f>IF(COUNTIFS(INDEX(tItens[Edital],1):tItens[[#This Row],[Edital]],tItens[[#This Row],[Edital]],INDEX(tItens[Produto],1):tItens[[#This Row],[Produto]],tItens[[#This Row],[Produto]])=1,1,0)</f>
        <v>1</v>
      </c>
    </row>
    <row r="7899" spans="1:16" x14ac:dyDescent="0.25">
      <c r="A7899" t="s">
        <v>2616</v>
      </c>
      <c r="B7899">
        <v>50</v>
      </c>
      <c r="C7899" t="s">
        <v>8599</v>
      </c>
      <c r="D7899" t="s">
        <v>120</v>
      </c>
      <c r="E7899" s="13">
        <v>3300</v>
      </c>
      <c r="F7899" s="12">
        <v>0</v>
      </c>
      <c r="G7899" t="str">
        <f>IFERROR(INDEX(tEditais[Órgão],MATCH(tItens[[#This Row],[Edital]],tEditais[Edital],0)),"")</f>
        <v>EMPRESA BRASILEIRA DE SERVICOS HOSPITALARES - EBSERH</v>
      </c>
      <c r="H7899" t="str">
        <f>IFERROR(INDEX(tEditais[UF],MATCH(tItens[[#This Row],[Edital]],tEditais[Edital],0)),"")</f>
        <v>RS</v>
      </c>
      <c r="I7899" s="11">
        <f>IFERROR(INDEX(tEditais[Encerramento],MATCH(tItens[[#This Row],[Edital]],tEditais[Edital],0)),"")</f>
        <v>46311.375</v>
      </c>
      <c r="J7899" t="str">
        <f>IFERROR(INDEX(tProdutos[Classe],MATCH(tItens[[#This Row],[Produto]],tProdutos[Produto],0)),"produto não cadastrado")</f>
        <v>DISPUTADO</v>
      </c>
      <c r="K7899" s="12">
        <f>tItens[[#This Row],[Qtd]]*tItens[[#This Row],[Vlr unit]]</f>
        <v>0</v>
      </c>
      <c r="L7899" s="6">
        <f>IFERROR(IF(INDEX(tProdutos[Desconto homologado],MATCH(tItens[[#This Row],[Produto]],tProdutos[Produto],0))="",DescontoPadrao,INDEX(tProdutos[Desconto homologado],MATCH(tItens[[#This Row],[Produto]],tProdutos[Produto],0))),DescontoPadrao)</f>
        <v>0.40909090909090901</v>
      </c>
      <c r="M7899" s="12">
        <f>tItens[[#This Row],[Valor]]*(1-tItens[[#This Row],[Desconto]])</f>
        <v>0</v>
      </c>
      <c r="N7899" t="str">
        <f>IFERROR(INDEX(tProdutos[Foco],MATCH(tItens[[#This Row],[Produto]],tProdutos[Produto],0)),"Não")</f>
        <v>Não</v>
      </c>
      <c r="O7899" t="str">
        <f>IFERROR(INDEX(tEditais[SRP],MATCH(tItens[[#This Row],[Edital]],tEditais[Edital],0)),"Não")</f>
        <v>Não</v>
      </c>
      <c r="P7899" s="4">
        <f>IF(COUNTIFS(INDEX(tItens[Edital],1):tItens[[#This Row],[Edital]],tItens[[#This Row],[Edital]],INDEX(tItens[Produto],1):tItens[[#This Row],[Produto]],tItens[[#This Row],[Produto]])=1,1,0)</f>
        <v>0</v>
      </c>
    </row>
    <row r="7900" spans="1:16" x14ac:dyDescent="0.25">
      <c r="A7900" t="s">
        <v>2616</v>
      </c>
      <c r="B7900">
        <v>51</v>
      </c>
      <c r="C7900" t="s">
        <v>10418</v>
      </c>
      <c r="D7900" t="s">
        <v>120</v>
      </c>
      <c r="E7900" s="13">
        <v>3000</v>
      </c>
      <c r="F7900" s="12">
        <v>0</v>
      </c>
      <c r="G7900" t="str">
        <f>IFERROR(INDEX(tEditais[Órgão],MATCH(tItens[[#This Row],[Edital]],tEditais[Edital],0)),"")</f>
        <v>EMPRESA BRASILEIRA DE SERVICOS HOSPITALARES - EBSERH</v>
      </c>
      <c r="H7900" t="str">
        <f>IFERROR(INDEX(tEditais[UF],MATCH(tItens[[#This Row],[Edital]],tEditais[Edital],0)),"")</f>
        <v>RS</v>
      </c>
      <c r="I7900" s="11">
        <f>IFERROR(INDEX(tEditais[Encerramento],MATCH(tItens[[#This Row],[Edital]],tEditais[Edital],0)),"")</f>
        <v>46311.375</v>
      </c>
      <c r="J7900" t="str">
        <f>IFERROR(INDEX(tProdutos[Classe],MATCH(tItens[[#This Row],[Produto]],tProdutos[Produto],0)),"produto não cadastrado")</f>
        <v>DISPUTADO</v>
      </c>
      <c r="K7900" s="12">
        <f>tItens[[#This Row],[Qtd]]*tItens[[#This Row],[Vlr unit]]</f>
        <v>0</v>
      </c>
      <c r="L7900" s="6">
        <f>IFERROR(IF(INDEX(tProdutos[Desconto homologado],MATCH(tItens[[#This Row],[Produto]],tProdutos[Produto],0))="",DescontoPadrao,INDEX(tProdutos[Desconto homologado],MATCH(tItens[[#This Row],[Produto]],tProdutos[Produto],0))),DescontoPadrao)</f>
        <v>0.40909090909090901</v>
      </c>
      <c r="M7900" s="12">
        <f>tItens[[#This Row],[Valor]]*(1-tItens[[#This Row],[Desconto]])</f>
        <v>0</v>
      </c>
      <c r="N7900" t="str">
        <f>IFERROR(INDEX(tProdutos[Foco],MATCH(tItens[[#This Row],[Produto]],tProdutos[Produto],0)),"Não")</f>
        <v>Não</v>
      </c>
      <c r="O7900" t="str">
        <f>IFERROR(INDEX(tEditais[SRP],MATCH(tItens[[#This Row],[Edital]],tEditais[Edital],0)),"Não")</f>
        <v>Não</v>
      </c>
      <c r="P7900" s="4">
        <f>IF(COUNTIFS(INDEX(tItens[Edital],1):tItens[[#This Row],[Edital]],tItens[[#This Row],[Edital]],INDEX(tItens[Produto],1):tItens[[#This Row],[Produto]],tItens[[#This Row],[Produto]])=1,1,0)</f>
        <v>0</v>
      </c>
    </row>
    <row r="7901" spans="1:16" x14ac:dyDescent="0.25">
      <c r="A7901" t="s">
        <v>2616</v>
      </c>
      <c r="B7901">
        <v>52</v>
      </c>
      <c r="C7901" t="s">
        <v>10085</v>
      </c>
      <c r="D7901" t="s">
        <v>120</v>
      </c>
      <c r="E7901" s="13">
        <v>1750</v>
      </c>
      <c r="F7901" s="12">
        <v>0</v>
      </c>
      <c r="G7901" t="str">
        <f>IFERROR(INDEX(tEditais[Órgão],MATCH(tItens[[#This Row],[Edital]],tEditais[Edital],0)),"")</f>
        <v>EMPRESA BRASILEIRA DE SERVICOS HOSPITALARES - EBSERH</v>
      </c>
      <c r="H7901" t="str">
        <f>IFERROR(INDEX(tEditais[UF],MATCH(tItens[[#This Row],[Edital]],tEditais[Edital],0)),"")</f>
        <v>RS</v>
      </c>
      <c r="I7901" s="11">
        <f>IFERROR(INDEX(tEditais[Encerramento],MATCH(tItens[[#This Row],[Edital]],tEditais[Edital],0)),"")</f>
        <v>46311.375</v>
      </c>
      <c r="J7901" t="str">
        <f>IFERROR(INDEX(tProdutos[Classe],MATCH(tItens[[#This Row],[Produto]],tProdutos[Produto],0)),"produto não cadastrado")</f>
        <v>DISPUTADO</v>
      </c>
      <c r="K7901" s="12">
        <f>tItens[[#This Row],[Qtd]]*tItens[[#This Row],[Vlr unit]]</f>
        <v>0</v>
      </c>
      <c r="L7901" s="6">
        <f>IFERROR(IF(INDEX(tProdutos[Desconto homologado],MATCH(tItens[[#This Row],[Produto]],tProdutos[Produto],0))="",DescontoPadrao,INDEX(tProdutos[Desconto homologado],MATCH(tItens[[#This Row],[Produto]],tProdutos[Produto],0))),DescontoPadrao)</f>
        <v>0.40909090909090901</v>
      </c>
      <c r="M7901" s="12">
        <f>tItens[[#This Row],[Valor]]*(1-tItens[[#This Row],[Desconto]])</f>
        <v>0</v>
      </c>
      <c r="N7901" t="str">
        <f>IFERROR(INDEX(tProdutos[Foco],MATCH(tItens[[#This Row],[Produto]],tProdutos[Produto],0)),"Não")</f>
        <v>Não</v>
      </c>
      <c r="O7901" t="str">
        <f>IFERROR(INDEX(tEditais[SRP],MATCH(tItens[[#This Row],[Edital]],tEditais[Edital],0)),"Não")</f>
        <v>Não</v>
      </c>
      <c r="P7901" s="4">
        <f>IF(COUNTIFS(INDEX(tItens[Edital],1):tItens[[#This Row],[Edital]],tItens[[#This Row],[Edital]],INDEX(tItens[Produto],1):tItens[[#This Row],[Produto]],tItens[[#This Row],[Produto]])=1,1,0)</f>
        <v>0</v>
      </c>
    </row>
    <row r="7902" spans="1:16" x14ac:dyDescent="0.25">
      <c r="A7902" t="s">
        <v>2616</v>
      </c>
      <c r="B7902">
        <v>53</v>
      </c>
      <c r="C7902" t="s">
        <v>10086</v>
      </c>
      <c r="D7902" t="s">
        <v>120</v>
      </c>
      <c r="E7902" s="13">
        <v>3700</v>
      </c>
      <c r="F7902" s="12">
        <v>0</v>
      </c>
      <c r="G7902" t="str">
        <f>IFERROR(INDEX(tEditais[Órgão],MATCH(tItens[[#This Row],[Edital]],tEditais[Edital],0)),"")</f>
        <v>EMPRESA BRASILEIRA DE SERVICOS HOSPITALARES - EBSERH</v>
      </c>
      <c r="H7902" t="str">
        <f>IFERROR(INDEX(tEditais[UF],MATCH(tItens[[#This Row],[Edital]],tEditais[Edital],0)),"")</f>
        <v>RS</v>
      </c>
      <c r="I7902" s="11">
        <f>IFERROR(INDEX(tEditais[Encerramento],MATCH(tItens[[#This Row],[Edital]],tEditais[Edital],0)),"")</f>
        <v>46311.375</v>
      </c>
      <c r="J7902" t="str">
        <f>IFERROR(INDEX(tProdutos[Classe],MATCH(tItens[[#This Row],[Produto]],tProdutos[Produto],0)),"produto não cadastrado")</f>
        <v>DISPUTADO</v>
      </c>
      <c r="K7902" s="12">
        <f>tItens[[#This Row],[Qtd]]*tItens[[#This Row],[Vlr unit]]</f>
        <v>0</v>
      </c>
      <c r="L7902" s="6">
        <f>IFERROR(IF(INDEX(tProdutos[Desconto homologado],MATCH(tItens[[#This Row],[Produto]],tProdutos[Produto],0))="",DescontoPadrao,INDEX(tProdutos[Desconto homologado],MATCH(tItens[[#This Row],[Produto]],tProdutos[Produto],0))),DescontoPadrao)</f>
        <v>0.40909090909090901</v>
      </c>
      <c r="M7902" s="12">
        <f>tItens[[#This Row],[Valor]]*(1-tItens[[#This Row],[Desconto]])</f>
        <v>0</v>
      </c>
      <c r="N7902" t="str">
        <f>IFERROR(INDEX(tProdutos[Foco],MATCH(tItens[[#This Row],[Produto]],tProdutos[Produto],0)),"Não")</f>
        <v>Não</v>
      </c>
      <c r="O7902" t="str">
        <f>IFERROR(INDEX(tEditais[SRP],MATCH(tItens[[#This Row],[Edital]],tEditais[Edital],0)),"Não")</f>
        <v>Não</v>
      </c>
      <c r="P7902" s="4">
        <f>IF(COUNTIFS(INDEX(tItens[Edital],1):tItens[[#This Row],[Edital]],tItens[[#This Row],[Edital]],INDEX(tItens[Produto],1):tItens[[#This Row],[Produto]],tItens[[#This Row],[Produto]])=1,1,0)</f>
        <v>0</v>
      </c>
    </row>
    <row r="7903" spans="1:16" x14ac:dyDescent="0.25">
      <c r="A7903" t="s">
        <v>2616</v>
      </c>
      <c r="B7903">
        <v>54</v>
      </c>
      <c r="C7903" t="s">
        <v>8558</v>
      </c>
      <c r="D7903" t="s">
        <v>120</v>
      </c>
      <c r="E7903" s="13">
        <v>1750</v>
      </c>
      <c r="F7903" s="12">
        <v>0</v>
      </c>
      <c r="G7903" t="str">
        <f>IFERROR(INDEX(tEditais[Órgão],MATCH(tItens[[#This Row],[Edital]],tEditais[Edital],0)),"")</f>
        <v>EMPRESA BRASILEIRA DE SERVICOS HOSPITALARES - EBSERH</v>
      </c>
      <c r="H7903" t="str">
        <f>IFERROR(INDEX(tEditais[UF],MATCH(tItens[[#This Row],[Edital]],tEditais[Edital],0)),"")</f>
        <v>RS</v>
      </c>
      <c r="I7903" s="11">
        <f>IFERROR(INDEX(tEditais[Encerramento],MATCH(tItens[[#This Row],[Edital]],tEditais[Edital],0)),"")</f>
        <v>46311.375</v>
      </c>
      <c r="J7903" t="str">
        <f>IFERROR(INDEX(tProdutos[Classe],MATCH(tItens[[#This Row],[Produto]],tProdutos[Produto],0)),"produto não cadastrado")</f>
        <v>DISPUTADO</v>
      </c>
      <c r="K7903" s="12">
        <f>tItens[[#This Row],[Qtd]]*tItens[[#This Row],[Vlr unit]]</f>
        <v>0</v>
      </c>
      <c r="L7903" s="6">
        <f>IFERROR(IF(INDEX(tProdutos[Desconto homologado],MATCH(tItens[[#This Row],[Produto]],tProdutos[Produto],0))="",DescontoPadrao,INDEX(tProdutos[Desconto homologado],MATCH(tItens[[#This Row],[Produto]],tProdutos[Produto],0))),DescontoPadrao)</f>
        <v>0.40909090909090901</v>
      </c>
      <c r="M7903" s="12">
        <f>tItens[[#This Row],[Valor]]*(1-tItens[[#This Row],[Desconto]])</f>
        <v>0</v>
      </c>
      <c r="N7903" t="str">
        <f>IFERROR(INDEX(tProdutos[Foco],MATCH(tItens[[#This Row],[Produto]],tProdutos[Produto],0)),"Não")</f>
        <v>Não</v>
      </c>
      <c r="O7903" t="str">
        <f>IFERROR(INDEX(tEditais[SRP],MATCH(tItens[[#This Row],[Edital]],tEditais[Edital],0)),"Não")</f>
        <v>Não</v>
      </c>
      <c r="P7903" s="4">
        <f>IF(COUNTIFS(INDEX(tItens[Edital],1):tItens[[#This Row],[Edital]],tItens[[#This Row],[Edital]],INDEX(tItens[Produto],1):tItens[[#This Row],[Produto]],tItens[[#This Row],[Produto]])=1,1,0)</f>
        <v>0</v>
      </c>
    </row>
    <row r="7904" spans="1:16" x14ac:dyDescent="0.25">
      <c r="A7904" t="s">
        <v>2616</v>
      </c>
      <c r="B7904">
        <v>55</v>
      </c>
      <c r="C7904" t="s">
        <v>10419</v>
      </c>
      <c r="D7904" t="s">
        <v>120</v>
      </c>
      <c r="E7904" s="13">
        <v>1380</v>
      </c>
      <c r="F7904" s="12">
        <v>0</v>
      </c>
      <c r="G7904" t="str">
        <f>IFERROR(INDEX(tEditais[Órgão],MATCH(tItens[[#This Row],[Edital]],tEditais[Edital],0)),"")</f>
        <v>EMPRESA BRASILEIRA DE SERVICOS HOSPITALARES - EBSERH</v>
      </c>
      <c r="H7904" t="str">
        <f>IFERROR(INDEX(tEditais[UF],MATCH(tItens[[#This Row],[Edital]],tEditais[Edital],0)),"")</f>
        <v>RS</v>
      </c>
      <c r="I7904" s="11">
        <f>IFERROR(INDEX(tEditais[Encerramento],MATCH(tItens[[#This Row],[Edital]],tEditais[Edital],0)),"")</f>
        <v>46311.375</v>
      </c>
      <c r="J7904" t="str">
        <f>IFERROR(INDEX(tProdutos[Classe],MATCH(tItens[[#This Row],[Produto]],tProdutos[Produto],0)),"produto não cadastrado")</f>
        <v>DISPUTADO</v>
      </c>
      <c r="K7904" s="12">
        <f>tItens[[#This Row],[Qtd]]*tItens[[#This Row],[Vlr unit]]</f>
        <v>0</v>
      </c>
      <c r="L7904" s="6">
        <f>IFERROR(IF(INDEX(tProdutos[Desconto homologado],MATCH(tItens[[#This Row],[Produto]],tProdutos[Produto],0))="",DescontoPadrao,INDEX(tProdutos[Desconto homologado],MATCH(tItens[[#This Row],[Produto]],tProdutos[Produto],0))),DescontoPadrao)</f>
        <v>0.40909090909090901</v>
      </c>
      <c r="M7904" s="12">
        <f>tItens[[#This Row],[Valor]]*(1-tItens[[#This Row],[Desconto]])</f>
        <v>0</v>
      </c>
      <c r="N7904" t="str">
        <f>IFERROR(INDEX(tProdutos[Foco],MATCH(tItens[[#This Row],[Produto]],tProdutos[Produto],0)),"Não")</f>
        <v>Não</v>
      </c>
      <c r="O7904" t="str">
        <f>IFERROR(INDEX(tEditais[SRP],MATCH(tItens[[#This Row],[Edital]],tEditais[Edital],0)),"Não")</f>
        <v>Não</v>
      </c>
      <c r="P7904" s="4">
        <f>IF(COUNTIFS(INDEX(tItens[Edital],1):tItens[[#This Row],[Edital]],tItens[[#This Row],[Edital]],INDEX(tItens[Produto],1):tItens[[#This Row],[Produto]],tItens[[#This Row],[Produto]])=1,1,0)</f>
        <v>0</v>
      </c>
    </row>
    <row r="7905" spans="1:16" x14ac:dyDescent="0.25">
      <c r="A7905" t="s">
        <v>2616</v>
      </c>
      <c r="B7905">
        <v>56</v>
      </c>
      <c r="C7905" t="s">
        <v>10420</v>
      </c>
      <c r="D7905" t="s">
        <v>120</v>
      </c>
      <c r="E7905" s="13">
        <v>880</v>
      </c>
      <c r="F7905" s="12">
        <v>0</v>
      </c>
      <c r="G7905" t="str">
        <f>IFERROR(INDEX(tEditais[Órgão],MATCH(tItens[[#This Row],[Edital]],tEditais[Edital],0)),"")</f>
        <v>EMPRESA BRASILEIRA DE SERVICOS HOSPITALARES - EBSERH</v>
      </c>
      <c r="H7905" t="str">
        <f>IFERROR(INDEX(tEditais[UF],MATCH(tItens[[#This Row],[Edital]],tEditais[Edital],0)),"")</f>
        <v>RS</v>
      </c>
      <c r="I7905" s="11">
        <f>IFERROR(INDEX(tEditais[Encerramento],MATCH(tItens[[#This Row],[Edital]],tEditais[Edital],0)),"")</f>
        <v>46311.375</v>
      </c>
      <c r="J7905" t="str">
        <f>IFERROR(INDEX(tProdutos[Classe],MATCH(tItens[[#This Row],[Produto]],tProdutos[Produto],0)),"produto não cadastrado")</f>
        <v>DISPUTADO</v>
      </c>
      <c r="K7905" s="12">
        <f>tItens[[#This Row],[Qtd]]*tItens[[#This Row],[Vlr unit]]</f>
        <v>0</v>
      </c>
      <c r="L7905" s="6">
        <f>IFERROR(IF(INDEX(tProdutos[Desconto homologado],MATCH(tItens[[#This Row],[Produto]],tProdutos[Produto],0))="",DescontoPadrao,INDEX(tProdutos[Desconto homologado],MATCH(tItens[[#This Row],[Produto]],tProdutos[Produto],0))),DescontoPadrao)</f>
        <v>0.40909090909090901</v>
      </c>
      <c r="M7905" s="12">
        <f>tItens[[#This Row],[Valor]]*(1-tItens[[#This Row],[Desconto]])</f>
        <v>0</v>
      </c>
      <c r="N7905" t="str">
        <f>IFERROR(INDEX(tProdutos[Foco],MATCH(tItens[[#This Row],[Produto]],tProdutos[Produto],0)),"Não")</f>
        <v>Não</v>
      </c>
      <c r="O7905" t="str">
        <f>IFERROR(INDEX(tEditais[SRP],MATCH(tItens[[#This Row],[Edital]],tEditais[Edital],0)),"Não")</f>
        <v>Não</v>
      </c>
      <c r="P7905" s="4">
        <f>IF(COUNTIFS(INDEX(tItens[Edital],1):tItens[[#This Row],[Edital]],tItens[[#This Row],[Edital]],INDEX(tItens[Produto],1):tItens[[#This Row],[Produto]],tItens[[#This Row],[Produto]])=1,1,0)</f>
        <v>0</v>
      </c>
    </row>
    <row r="7906" spans="1:16" x14ac:dyDescent="0.25">
      <c r="A7906" t="s">
        <v>2619</v>
      </c>
      <c r="B7906">
        <v>1</v>
      </c>
      <c r="C7906" t="s">
        <v>10258</v>
      </c>
      <c r="D7906" t="s">
        <v>389</v>
      </c>
      <c r="E7906" s="13">
        <v>5570</v>
      </c>
      <c r="F7906" s="12">
        <v>5.2</v>
      </c>
      <c r="G7906" t="str">
        <f>IFERROR(INDEX(tEditais[Órgão],MATCH(tItens[[#This Row],[Edital]],tEditais[Edital],0)),"")</f>
        <v>SUBSECRETARIA DA ADMINISTRACAO CENTRAL DE LICITACOES</v>
      </c>
      <c r="H7906" t="str">
        <f>IFERROR(INDEX(tEditais[UF],MATCH(tItens[[#This Row],[Edital]],tEditais[Edital],0)),"")</f>
        <v>RS</v>
      </c>
      <c r="I7906" s="11">
        <f>IFERROR(INDEX(tEditais[Encerramento],MATCH(tItens[[#This Row],[Edital]],tEditais[Edital],0)),"")</f>
        <v>46311.375</v>
      </c>
      <c r="J7906" t="str">
        <f>IFERROR(INDEX(tProdutos[Classe],MATCH(tItens[[#This Row],[Produto]],tProdutos[Produto],0)),"produto não cadastrado")</f>
        <v>FORA</v>
      </c>
      <c r="K7906" s="12">
        <f>tItens[[#This Row],[Qtd]]*tItens[[#This Row],[Vlr unit]]</f>
        <v>28964</v>
      </c>
      <c r="L7906" s="6">
        <f>IFERROR(IF(INDEX(tProdutos[Desconto homologado],MATCH(tItens[[#This Row],[Produto]],tProdutos[Produto],0))="",DescontoPadrao,INDEX(tProdutos[Desconto homologado],MATCH(tItens[[#This Row],[Produto]],tProdutos[Produto],0))),DescontoPadrao)</f>
        <v>0.39163140573577798</v>
      </c>
      <c r="M7906" s="12">
        <f>tItens[[#This Row],[Valor]]*(1-tItens[[#This Row],[Desconto]])</f>
        <v>17620.787964268929</v>
      </c>
      <c r="N7906" t="str">
        <f>IFERROR(INDEX(tProdutos[Foco],MATCH(tItens[[#This Row],[Produto]],tProdutos[Produto],0)),"Não")</f>
        <v>Não</v>
      </c>
      <c r="O7906" t="str">
        <f>IFERROR(INDEX(tEditais[SRP],MATCH(tItens[[#This Row],[Edital]],tEditais[Edital],0)),"Não")</f>
        <v>Não</v>
      </c>
      <c r="P7906" s="4">
        <f>IF(COUNTIFS(INDEX(tItens[Edital],1):tItens[[#This Row],[Edital]],tItens[[#This Row],[Edital]],INDEX(tItens[Produto],1):tItens[[#This Row],[Produto]],tItens[[#This Row],[Produto]])=1,1,0)</f>
        <v>1</v>
      </c>
    </row>
    <row r="7907" spans="1:16" x14ac:dyDescent="0.25">
      <c r="A7907" t="s">
        <v>2619</v>
      </c>
      <c r="B7907">
        <v>2</v>
      </c>
      <c r="C7907" t="s">
        <v>10421</v>
      </c>
      <c r="D7907" t="s">
        <v>387</v>
      </c>
      <c r="E7907" s="13">
        <v>13140</v>
      </c>
      <c r="F7907" s="12">
        <v>17.48</v>
      </c>
      <c r="G7907" t="str">
        <f>IFERROR(INDEX(tEditais[Órgão],MATCH(tItens[[#This Row],[Edital]],tEditais[Edital],0)),"")</f>
        <v>SUBSECRETARIA DA ADMINISTRACAO CENTRAL DE LICITACOES</v>
      </c>
      <c r="H7907" t="str">
        <f>IFERROR(INDEX(tEditais[UF],MATCH(tItens[[#This Row],[Edital]],tEditais[Edital],0)),"")</f>
        <v>RS</v>
      </c>
      <c r="I7907" s="11">
        <f>IFERROR(INDEX(tEditais[Encerramento],MATCH(tItens[[#This Row],[Edital]],tEditais[Edital],0)),"")</f>
        <v>46311.375</v>
      </c>
      <c r="J7907" t="str">
        <f>IFERROR(INDEX(tProdutos[Classe],MATCH(tItens[[#This Row],[Produto]],tProdutos[Produto],0)),"produto não cadastrado")</f>
        <v>FORA</v>
      </c>
      <c r="K7907" s="12">
        <f>tItens[[#This Row],[Qtd]]*tItens[[#This Row],[Vlr unit]]</f>
        <v>229687.2</v>
      </c>
      <c r="L7907" s="6">
        <f>IFERROR(IF(INDEX(tProdutos[Desconto homologado],MATCH(tItens[[#This Row],[Produto]],tProdutos[Produto],0))="",DescontoPadrao,INDEX(tProdutos[Desconto homologado],MATCH(tItens[[#This Row],[Produto]],tProdutos[Produto],0))),DescontoPadrao)</f>
        <v>0.30458221024258803</v>
      </c>
      <c r="M7907" s="12">
        <f>tItens[[#This Row],[Valor]]*(1-tItens[[#This Row],[Desconto]])</f>
        <v>159728.56495956864</v>
      </c>
      <c r="N7907" t="str">
        <f>IFERROR(INDEX(tProdutos[Foco],MATCH(tItens[[#This Row],[Produto]],tProdutos[Produto],0)),"Não")</f>
        <v>Não</v>
      </c>
      <c r="O7907" t="str">
        <f>IFERROR(INDEX(tEditais[SRP],MATCH(tItens[[#This Row],[Edital]],tEditais[Edital],0)),"Não")</f>
        <v>Não</v>
      </c>
      <c r="P7907" s="4">
        <f>IF(COUNTIFS(INDEX(tItens[Edital],1):tItens[[#This Row],[Edital]],tItens[[#This Row],[Edital]],INDEX(tItens[Produto],1):tItens[[#This Row],[Produto]],tItens[[#This Row],[Produto]])=1,1,0)</f>
        <v>1</v>
      </c>
    </row>
    <row r="7908" spans="1:16" x14ac:dyDescent="0.25">
      <c r="A7908" t="s">
        <v>2621</v>
      </c>
      <c r="B7908">
        <v>2</v>
      </c>
      <c r="C7908" t="s">
        <v>10422</v>
      </c>
      <c r="D7908" t="s">
        <v>467</v>
      </c>
      <c r="E7908" s="13">
        <v>1140</v>
      </c>
      <c r="F7908" s="12">
        <v>2.14</v>
      </c>
      <c r="G7908" t="str">
        <f>IFERROR(INDEX(tEditais[Órgão],MATCH(tItens[[#This Row],[Edital]],tEditais[Edital],0)),"")</f>
        <v>MUNICIPIO DE PORTO ALEGRE</v>
      </c>
      <c r="H7908" t="str">
        <f>IFERROR(INDEX(tEditais[UF],MATCH(tItens[[#This Row],[Edital]],tEditais[Edital],0)),"")</f>
        <v>RS</v>
      </c>
      <c r="I7908" s="11">
        <f>IFERROR(INDEX(tEditais[Encerramento],MATCH(tItens[[#This Row],[Edital]],tEditais[Edital],0)),"")</f>
        <v>46311.415972222225</v>
      </c>
      <c r="J7908" t="str">
        <f>IFERROR(INDEX(tProdutos[Classe],MATCH(tItens[[#This Row],[Produto]],tProdutos[Produto],0)),"produto não cadastrado")</f>
        <v>FILA REBASE</v>
      </c>
      <c r="K7908" s="12">
        <f>tItens[[#This Row],[Qtd]]*tItens[[#This Row],[Vlr unit]]</f>
        <v>2439.6000000000004</v>
      </c>
      <c r="L7908" s="6">
        <f>IFERROR(IF(INDEX(tProdutos[Desconto homologado],MATCH(tItens[[#This Row],[Produto]],tProdutos[Produto],0))="",DescontoPadrao,INDEX(tProdutos[Desconto homologado],MATCH(tItens[[#This Row],[Produto]],tProdutos[Produto],0))),DescontoPadrao)</f>
        <v>0.25007144898542499</v>
      </c>
      <c r="M7908" s="12">
        <f>tItens[[#This Row],[Valor]]*(1-tItens[[#This Row],[Desconto]])</f>
        <v>1829.5256930551575</v>
      </c>
      <c r="N7908" t="str">
        <f>IFERROR(INDEX(tProdutos[Foco],MATCH(tItens[[#This Row],[Produto]],tProdutos[Produto],0)),"Não")</f>
        <v>Não</v>
      </c>
      <c r="O7908" t="str">
        <f>IFERROR(INDEX(tEditais[SRP],MATCH(tItens[[#This Row],[Edital]],tEditais[Edital],0)),"Não")</f>
        <v>Sim</v>
      </c>
      <c r="P7908" s="4">
        <f>IF(COUNTIFS(INDEX(tItens[Edital],1):tItens[[#This Row],[Edital]],tItens[[#This Row],[Edital]],INDEX(tItens[Produto],1):tItens[[#This Row],[Produto]],tItens[[#This Row],[Produto]])=1,1,0)</f>
        <v>1</v>
      </c>
    </row>
    <row r="7909" spans="1:16" x14ac:dyDescent="0.25">
      <c r="A7909" t="s">
        <v>2625</v>
      </c>
      <c r="B7909">
        <v>1</v>
      </c>
      <c r="C7909" t="s">
        <v>9064</v>
      </c>
      <c r="D7909" t="s">
        <v>245</v>
      </c>
      <c r="E7909" s="13">
        <v>300</v>
      </c>
      <c r="F7909" s="12">
        <v>1800</v>
      </c>
      <c r="G7909" t="str">
        <f>IFERROR(INDEX(tEditais[Órgão],MATCH(tItens[[#This Row],[Edital]],tEditais[Edital],0)),"")</f>
        <v>COMANDO DO EXERCITO</v>
      </c>
      <c r="H7909" t="str">
        <f>IFERROR(INDEX(tEditais[UF],MATCH(tItens[[#This Row],[Edital]],tEditais[Edital],0)),"")</f>
        <v>RS</v>
      </c>
      <c r="I7909" s="11">
        <f>IFERROR(INDEX(tEditais[Encerramento],MATCH(tItens[[#This Row],[Edital]],tEditais[Edital],0)),"")</f>
        <v>46311.625</v>
      </c>
      <c r="J7909" t="str">
        <f>IFERROR(INDEX(tProdutos[Classe],MATCH(tItens[[#This Row],[Produto]],tProdutos[Produto],0)),"produto não cadastrado")</f>
        <v>FORA</v>
      </c>
      <c r="K7909" s="12">
        <f>tItens[[#This Row],[Qtd]]*tItens[[#This Row],[Vlr unit]]</f>
        <v>540000</v>
      </c>
      <c r="L7909" s="6">
        <f>IFERROR(IF(INDEX(tProdutos[Desconto homologado],MATCH(tItens[[#This Row],[Produto]],tProdutos[Produto],0))="",DescontoPadrao,INDEX(tProdutos[Desconto homologado],MATCH(tItens[[#This Row],[Produto]],tProdutos[Produto],0))),DescontoPadrao)</f>
        <v>0.34516963542284401</v>
      </c>
      <c r="M7909" s="12">
        <f>tItens[[#This Row],[Valor]]*(1-tItens[[#This Row],[Desconto]])</f>
        <v>353608.39687166427</v>
      </c>
      <c r="N7909" t="str">
        <f>IFERROR(INDEX(tProdutos[Foco],MATCH(tItens[[#This Row],[Produto]],tProdutos[Produto],0)),"Não")</f>
        <v>Não</v>
      </c>
      <c r="O7909" t="str">
        <f>IFERROR(INDEX(tEditais[SRP],MATCH(tItens[[#This Row],[Edital]],tEditais[Edital],0)),"Não")</f>
        <v>Não</v>
      </c>
      <c r="P7909" s="4">
        <f>IF(COUNTIFS(INDEX(tItens[Edital],1):tItens[[#This Row],[Edital]],tItens[[#This Row],[Edital]],INDEX(tItens[Produto],1):tItens[[#This Row],[Produto]],tItens[[#This Row],[Produto]])=1,1,0)</f>
        <v>1</v>
      </c>
    </row>
    <row r="7910" spans="1:16" x14ac:dyDescent="0.25">
      <c r="A7910" t="s">
        <v>2625</v>
      </c>
      <c r="B7910">
        <v>4</v>
      </c>
      <c r="C7910" t="s">
        <v>10040</v>
      </c>
      <c r="D7910" t="s">
        <v>245</v>
      </c>
      <c r="E7910" s="13">
        <v>375</v>
      </c>
      <c r="F7910" s="12">
        <v>500</v>
      </c>
      <c r="G7910" t="str">
        <f>IFERROR(INDEX(tEditais[Órgão],MATCH(tItens[[#This Row],[Edital]],tEditais[Edital],0)),"")</f>
        <v>COMANDO DO EXERCITO</v>
      </c>
      <c r="H7910" t="str">
        <f>IFERROR(INDEX(tEditais[UF],MATCH(tItens[[#This Row],[Edital]],tEditais[Edital],0)),"")</f>
        <v>RS</v>
      </c>
      <c r="I7910" s="11">
        <f>IFERROR(INDEX(tEditais[Encerramento],MATCH(tItens[[#This Row],[Edital]],tEditais[Edital],0)),"")</f>
        <v>46311.625</v>
      </c>
      <c r="J7910" t="str">
        <f>IFERROR(INDEX(tProdutos[Classe],MATCH(tItens[[#This Row],[Produto]],tProdutos[Produto],0)),"produto não cadastrado")</f>
        <v>FORA</v>
      </c>
      <c r="K7910" s="12">
        <f>tItens[[#This Row],[Qtd]]*tItens[[#This Row],[Vlr unit]]</f>
        <v>187500</v>
      </c>
      <c r="L7910" s="6">
        <f>IFERROR(IF(INDEX(tProdutos[Desconto homologado],MATCH(tItens[[#This Row],[Produto]],tProdutos[Produto],0))="",DescontoPadrao,INDEX(tProdutos[Desconto homologado],MATCH(tItens[[#This Row],[Produto]],tProdutos[Produto],0))),DescontoPadrao)</f>
        <v>0.34516963542284401</v>
      </c>
      <c r="M7910" s="12">
        <f>tItens[[#This Row],[Valor]]*(1-tItens[[#This Row],[Desconto]])</f>
        <v>122780.69335821675</v>
      </c>
      <c r="N7910" t="str">
        <f>IFERROR(INDEX(tProdutos[Foco],MATCH(tItens[[#This Row],[Produto]],tProdutos[Produto],0)),"Não")</f>
        <v>Não</v>
      </c>
      <c r="O7910" t="str">
        <f>IFERROR(INDEX(tEditais[SRP],MATCH(tItens[[#This Row],[Edital]],tEditais[Edital],0)),"Não")</f>
        <v>Não</v>
      </c>
      <c r="P7910" s="4">
        <f>IF(COUNTIFS(INDEX(tItens[Edital],1):tItens[[#This Row],[Edital]],tItens[[#This Row],[Edital]],INDEX(tItens[Produto],1):tItens[[#This Row],[Produto]],tItens[[#This Row],[Produto]])=1,1,0)</f>
        <v>0</v>
      </c>
    </row>
    <row r="7911" spans="1:16" x14ac:dyDescent="0.25">
      <c r="A7911" t="s">
        <v>2625</v>
      </c>
      <c r="B7911">
        <v>5</v>
      </c>
      <c r="C7911" t="s">
        <v>10040</v>
      </c>
      <c r="D7911" t="s">
        <v>245</v>
      </c>
      <c r="E7911" s="13">
        <v>125</v>
      </c>
      <c r="F7911" s="12">
        <v>500</v>
      </c>
      <c r="G7911" t="str">
        <f>IFERROR(INDEX(tEditais[Órgão],MATCH(tItens[[#This Row],[Edital]],tEditais[Edital],0)),"")</f>
        <v>COMANDO DO EXERCITO</v>
      </c>
      <c r="H7911" t="str">
        <f>IFERROR(INDEX(tEditais[UF],MATCH(tItens[[#This Row],[Edital]],tEditais[Edital],0)),"")</f>
        <v>RS</v>
      </c>
      <c r="I7911" s="11">
        <f>IFERROR(INDEX(tEditais[Encerramento],MATCH(tItens[[#This Row],[Edital]],tEditais[Edital],0)),"")</f>
        <v>46311.625</v>
      </c>
      <c r="J7911" t="str">
        <f>IFERROR(INDEX(tProdutos[Classe],MATCH(tItens[[#This Row],[Produto]],tProdutos[Produto],0)),"produto não cadastrado")</f>
        <v>FORA</v>
      </c>
      <c r="K7911" s="12">
        <f>tItens[[#This Row],[Qtd]]*tItens[[#This Row],[Vlr unit]]</f>
        <v>62500</v>
      </c>
      <c r="L7911" s="6">
        <f>IFERROR(IF(INDEX(tProdutos[Desconto homologado],MATCH(tItens[[#This Row],[Produto]],tProdutos[Produto],0))="",DescontoPadrao,INDEX(tProdutos[Desconto homologado],MATCH(tItens[[#This Row],[Produto]],tProdutos[Produto],0))),DescontoPadrao)</f>
        <v>0.34516963542284401</v>
      </c>
      <c r="M7911" s="12">
        <f>tItens[[#This Row],[Valor]]*(1-tItens[[#This Row],[Desconto]])</f>
        <v>40926.897786072252</v>
      </c>
      <c r="N7911" t="str">
        <f>IFERROR(INDEX(tProdutos[Foco],MATCH(tItens[[#This Row],[Produto]],tProdutos[Produto],0)),"Não")</f>
        <v>Não</v>
      </c>
      <c r="O7911" t="str">
        <f>IFERROR(INDEX(tEditais[SRP],MATCH(tItens[[#This Row],[Edital]],tEditais[Edital],0)),"Não")</f>
        <v>Não</v>
      </c>
      <c r="P7911" s="4">
        <f>IF(COUNTIFS(INDEX(tItens[Edital],1):tItens[[#This Row],[Edital]],tItens[[#This Row],[Edital]],INDEX(tItens[Produto],1):tItens[[#This Row],[Produto]],tItens[[#This Row],[Produto]])=1,1,0)</f>
        <v>0</v>
      </c>
    </row>
    <row r="7912" spans="1:16" x14ac:dyDescent="0.25">
      <c r="A7912" t="s">
        <v>2625</v>
      </c>
      <c r="B7912">
        <v>6</v>
      </c>
      <c r="C7912" t="s">
        <v>4198</v>
      </c>
      <c r="D7912" t="s">
        <v>227</v>
      </c>
      <c r="E7912" s="13">
        <v>500</v>
      </c>
      <c r="F7912" s="12">
        <v>138.33000000000001</v>
      </c>
      <c r="G7912" t="str">
        <f>IFERROR(INDEX(tEditais[Órgão],MATCH(tItens[[#This Row],[Edital]],tEditais[Edital],0)),"")</f>
        <v>COMANDO DO EXERCITO</v>
      </c>
      <c r="H7912" t="str">
        <f>IFERROR(INDEX(tEditais[UF],MATCH(tItens[[#This Row],[Edital]],tEditais[Edital],0)),"")</f>
        <v>RS</v>
      </c>
      <c r="I7912" s="11">
        <f>IFERROR(INDEX(tEditais[Encerramento],MATCH(tItens[[#This Row],[Edital]],tEditais[Edital],0)),"")</f>
        <v>46311.625</v>
      </c>
      <c r="J7912" t="str">
        <f>IFERROR(INDEX(tProdutos[Classe],MATCH(tItens[[#This Row],[Produto]],tProdutos[Produto],0)),"produto não cadastrado")</f>
        <v>FORA</v>
      </c>
      <c r="K7912" s="12">
        <f>tItens[[#This Row],[Qtd]]*tItens[[#This Row],[Vlr unit]]</f>
        <v>69165</v>
      </c>
      <c r="L7912" s="6">
        <f>IFERROR(IF(INDEX(tProdutos[Desconto homologado],MATCH(tItens[[#This Row],[Produto]],tProdutos[Produto],0))="",DescontoPadrao,INDEX(tProdutos[Desconto homologado],MATCH(tItens[[#This Row],[Produto]],tProdutos[Produto],0))),DescontoPadrao)</f>
        <v>0.38</v>
      </c>
      <c r="M7912" s="12">
        <f>tItens[[#This Row],[Valor]]*(1-tItens[[#This Row],[Desconto]])</f>
        <v>42882.3</v>
      </c>
      <c r="N7912" t="str">
        <f>IFERROR(INDEX(tProdutos[Foco],MATCH(tItens[[#This Row],[Produto]],tProdutos[Produto],0)),"Não")</f>
        <v>Não</v>
      </c>
      <c r="O7912" t="str">
        <f>IFERROR(INDEX(tEditais[SRP],MATCH(tItens[[#This Row],[Edital]],tEditais[Edital],0)),"Não")</f>
        <v>Não</v>
      </c>
      <c r="P7912" s="4">
        <f>IF(COUNTIFS(INDEX(tItens[Edital],1):tItens[[#This Row],[Edital]],tItens[[#This Row],[Edital]],INDEX(tItens[Produto],1):tItens[[#This Row],[Produto]],tItens[[#This Row],[Produto]])=1,1,0)</f>
        <v>1</v>
      </c>
    </row>
    <row r="7913" spans="1:16" x14ac:dyDescent="0.25">
      <c r="A7913" t="s">
        <v>2625</v>
      </c>
      <c r="B7913">
        <v>7</v>
      </c>
      <c r="C7913" t="s">
        <v>10040</v>
      </c>
      <c r="D7913" t="s">
        <v>245</v>
      </c>
      <c r="E7913" s="13">
        <v>375</v>
      </c>
      <c r="F7913" s="12">
        <v>407.75</v>
      </c>
      <c r="G7913" t="str">
        <f>IFERROR(INDEX(tEditais[Órgão],MATCH(tItens[[#This Row],[Edital]],tEditais[Edital],0)),"")</f>
        <v>COMANDO DO EXERCITO</v>
      </c>
      <c r="H7913" t="str">
        <f>IFERROR(INDEX(tEditais[UF],MATCH(tItens[[#This Row],[Edital]],tEditais[Edital],0)),"")</f>
        <v>RS</v>
      </c>
      <c r="I7913" s="11">
        <f>IFERROR(INDEX(tEditais[Encerramento],MATCH(tItens[[#This Row],[Edital]],tEditais[Edital],0)),"")</f>
        <v>46311.625</v>
      </c>
      <c r="J7913" t="str">
        <f>IFERROR(INDEX(tProdutos[Classe],MATCH(tItens[[#This Row],[Produto]],tProdutos[Produto],0)),"produto não cadastrado")</f>
        <v>FORA</v>
      </c>
      <c r="K7913" s="12">
        <f>tItens[[#This Row],[Qtd]]*tItens[[#This Row],[Vlr unit]]</f>
        <v>152906.25</v>
      </c>
      <c r="L7913" s="6">
        <f>IFERROR(IF(INDEX(tProdutos[Desconto homologado],MATCH(tItens[[#This Row],[Produto]],tProdutos[Produto],0))="",DescontoPadrao,INDEX(tProdutos[Desconto homologado],MATCH(tItens[[#This Row],[Produto]],tProdutos[Produto],0))),DescontoPadrao)</f>
        <v>0.34516963542284401</v>
      </c>
      <c r="M7913" s="12">
        <f>tItens[[#This Row],[Valor]]*(1-tItens[[#This Row],[Desconto]])</f>
        <v>100127.65543362577</v>
      </c>
      <c r="N7913" t="str">
        <f>IFERROR(INDEX(tProdutos[Foco],MATCH(tItens[[#This Row],[Produto]],tProdutos[Produto],0)),"Não")</f>
        <v>Não</v>
      </c>
      <c r="O7913" t="str">
        <f>IFERROR(INDEX(tEditais[SRP],MATCH(tItens[[#This Row],[Edital]],tEditais[Edital],0)),"Não")</f>
        <v>Não</v>
      </c>
      <c r="P7913" s="4">
        <f>IF(COUNTIFS(INDEX(tItens[Edital],1):tItens[[#This Row],[Edital]],tItens[[#This Row],[Edital]],INDEX(tItens[Produto],1):tItens[[#This Row],[Produto]],tItens[[#This Row],[Produto]])=1,1,0)</f>
        <v>0</v>
      </c>
    </row>
    <row r="7914" spans="1:16" x14ac:dyDescent="0.25">
      <c r="A7914" t="s">
        <v>2625</v>
      </c>
      <c r="B7914">
        <v>8</v>
      </c>
      <c r="C7914" t="s">
        <v>10040</v>
      </c>
      <c r="D7914" t="s">
        <v>245</v>
      </c>
      <c r="E7914" s="13">
        <v>125</v>
      </c>
      <c r="F7914" s="12">
        <v>407.75</v>
      </c>
      <c r="G7914" t="str">
        <f>IFERROR(INDEX(tEditais[Órgão],MATCH(tItens[[#This Row],[Edital]],tEditais[Edital],0)),"")</f>
        <v>COMANDO DO EXERCITO</v>
      </c>
      <c r="H7914" t="str">
        <f>IFERROR(INDEX(tEditais[UF],MATCH(tItens[[#This Row],[Edital]],tEditais[Edital],0)),"")</f>
        <v>RS</v>
      </c>
      <c r="I7914" s="11">
        <f>IFERROR(INDEX(tEditais[Encerramento],MATCH(tItens[[#This Row],[Edital]],tEditais[Edital],0)),"")</f>
        <v>46311.625</v>
      </c>
      <c r="J7914" t="str">
        <f>IFERROR(INDEX(tProdutos[Classe],MATCH(tItens[[#This Row],[Produto]],tProdutos[Produto],0)),"produto não cadastrado")</f>
        <v>FORA</v>
      </c>
      <c r="K7914" s="12">
        <f>tItens[[#This Row],[Qtd]]*tItens[[#This Row],[Vlr unit]]</f>
        <v>50968.75</v>
      </c>
      <c r="L7914" s="6">
        <f>IFERROR(IF(INDEX(tProdutos[Desconto homologado],MATCH(tItens[[#This Row],[Produto]],tProdutos[Produto],0))="",DescontoPadrao,INDEX(tProdutos[Desconto homologado],MATCH(tItens[[#This Row],[Produto]],tProdutos[Produto],0))),DescontoPadrao)</f>
        <v>0.34516963542284401</v>
      </c>
      <c r="M7914" s="12">
        <f>tItens[[#This Row],[Valor]]*(1-tItens[[#This Row],[Desconto]])</f>
        <v>33375.88514454192</v>
      </c>
      <c r="N7914" t="str">
        <f>IFERROR(INDEX(tProdutos[Foco],MATCH(tItens[[#This Row],[Produto]],tProdutos[Produto],0)),"Não")</f>
        <v>Não</v>
      </c>
      <c r="O7914" t="str">
        <f>IFERROR(INDEX(tEditais[SRP],MATCH(tItens[[#This Row],[Edital]],tEditais[Edital],0)),"Não")</f>
        <v>Não</v>
      </c>
      <c r="P7914" s="4">
        <f>IF(COUNTIFS(INDEX(tItens[Edital],1):tItens[[#This Row],[Edital]],tItens[[#This Row],[Edital]],INDEX(tItens[Produto],1):tItens[[#This Row],[Produto]],tItens[[#This Row],[Produto]])=1,1,0)</f>
        <v>0</v>
      </c>
    </row>
    <row r="7915" spans="1:16" x14ac:dyDescent="0.25">
      <c r="A7915" t="s">
        <v>2625</v>
      </c>
      <c r="B7915">
        <v>9</v>
      </c>
      <c r="C7915" t="s">
        <v>4197</v>
      </c>
      <c r="D7915" t="s">
        <v>227</v>
      </c>
      <c r="E7915" s="13">
        <v>300</v>
      </c>
      <c r="F7915" s="12">
        <v>190.61</v>
      </c>
      <c r="G7915" t="str">
        <f>IFERROR(INDEX(tEditais[Órgão],MATCH(tItens[[#This Row],[Edital]],tEditais[Edital],0)),"")</f>
        <v>COMANDO DO EXERCITO</v>
      </c>
      <c r="H7915" t="str">
        <f>IFERROR(INDEX(tEditais[UF],MATCH(tItens[[#This Row],[Edital]],tEditais[Edital],0)),"")</f>
        <v>RS</v>
      </c>
      <c r="I7915" s="11">
        <f>IFERROR(INDEX(tEditais[Encerramento],MATCH(tItens[[#This Row],[Edital]],tEditais[Edital],0)),"")</f>
        <v>46311.625</v>
      </c>
      <c r="J7915" t="str">
        <f>IFERROR(INDEX(tProdutos[Classe],MATCH(tItens[[#This Row],[Produto]],tProdutos[Produto],0)),"produto não cadastrado")</f>
        <v>FORA</v>
      </c>
      <c r="K7915" s="12">
        <f>tItens[[#This Row],[Qtd]]*tItens[[#This Row],[Vlr unit]]</f>
        <v>57183.000000000007</v>
      </c>
      <c r="L7915" s="6">
        <f>IFERROR(IF(INDEX(tProdutos[Desconto homologado],MATCH(tItens[[#This Row],[Produto]],tProdutos[Produto],0))="",DescontoPadrao,INDEX(tProdutos[Desconto homologado],MATCH(tItens[[#This Row],[Produto]],tProdutos[Produto],0))),DescontoPadrao)</f>
        <v>0.38</v>
      </c>
      <c r="M7915" s="12">
        <f>tItens[[#This Row],[Valor]]*(1-tItens[[#This Row],[Desconto]])</f>
        <v>35453.460000000006</v>
      </c>
      <c r="N7915" t="str">
        <f>IFERROR(INDEX(tProdutos[Foco],MATCH(tItens[[#This Row],[Produto]],tProdutos[Produto],0)),"Não")</f>
        <v>Não</v>
      </c>
      <c r="O7915" t="str">
        <f>IFERROR(INDEX(tEditais[SRP],MATCH(tItens[[#This Row],[Edital]],tEditais[Edital],0)),"Não")</f>
        <v>Não</v>
      </c>
      <c r="P7915" s="4">
        <f>IF(COUNTIFS(INDEX(tItens[Edital],1):tItens[[#This Row],[Edital]],tItens[[#This Row],[Edital]],INDEX(tItens[Produto],1):tItens[[#This Row],[Produto]],tItens[[#This Row],[Produto]])=1,1,0)</f>
        <v>0</v>
      </c>
    </row>
    <row r="7916" spans="1:16" x14ac:dyDescent="0.25">
      <c r="A7916" t="s">
        <v>2625</v>
      </c>
      <c r="B7916">
        <v>10</v>
      </c>
      <c r="C7916" t="s">
        <v>4198</v>
      </c>
      <c r="D7916" t="s">
        <v>227</v>
      </c>
      <c r="E7916" s="13">
        <v>400</v>
      </c>
      <c r="F7916" s="12">
        <v>200</v>
      </c>
      <c r="G7916" t="str">
        <f>IFERROR(INDEX(tEditais[Órgão],MATCH(tItens[[#This Row],[Edital]],tEditais[Edital],0)),"")</f>
        <v>COMANDO DO EXERCITO</v>
      </c>
      <c r="H7916" t="str">
        <f>IFERROR(INDEX(tEditais[UF],MATCH(tItens[[#This Row],[Edital]],tEditais[Edital],0)),"")</f>
        <v>RS</v>
      </c>
      <c r="I7916" s="11">
        <f>IFERROR(INDEX(tEditais[Encerramento],MATCH(tItens[[#This Row],[Edital]],tEditais[Edital],0)),"")</f>
        <v>46311.625</v>
      </c>
      <c r="J7916" t="str">
        <f>IFERROR(INDEX(tProdutos[Classe],MATCH(tItens[[#This Row],[Produto]],tProdutos[Produto],0)),"produto não cadastrado")</f>
        <v>FORA</v>
      </c>
      <c r="K7916" s="12">
        <f>tItens[[#This Row],[Qtd]]*tItens[[#This Row],[Vlr unit]]</f>
        <v>80000</v>
      </c>
      <c r="L7916" s="6">
        <f>IFERROR(IF(INDEX(tProdutos[Desconto homologado],MATCH(tItens[[#This Row],[Produto]],tProdutos[Produto],0))="",DescontoPadrao,INDEX(tProdutos[Desconto homologado],MATCH(tItens[[#This Row],[Produto]],tProdutos[Produto],0))),DescontoPadrao)</f>
        <v>0.38</v>
      </c>
      <c r="M7916" s="12">
        <f>tItens[[#This Row],[Valor]]*(1-tItens[[#This Row],[Desconto]])</f>
        <v>49600</v>
      </c>
      <c r="N7916" t="str">
        <f>IFERROR(INDEX(tProdutos[Foco],MATCH(tItens[[#This Row],[Produto]],tProdutos[Produto],0)),"Não")</f>
        <v>Não</v>
      </c>
      <c r="O7916" t="str">
        <f>IFERROR(INDEX(tEditais[SRP],MATCH(tItens[[#This Row],[Edital]],tEditais[Edital],0)),"Não")</f>
        <v>Não</v>
      </c>
      <c r="P7916" s="4">
        <f>IF(COUNTIFS(INDEX(tItens[Edital],1):tItens[[#This Row],[Edital]],tItens[[#This Row],[Edital]],INDEX(tItens[Produto],1):tItens[[#This Row],[Produto]],tItens[[#This Row],[Produto]])=1,1,0)</f>
        <v>0</v>
      </c>
    </row>
    <row r="7917" spans="1:16" x14ac:dyDescent="0.25">
      <c r="A7917" t="s">
        <v>2625</v>
      </c>
      <c r="B7917">
        <v>11</v>
      </c>
      <c r="C7917" t="s">
        <v>4198</v>
      </c>
      <c r="D7917" t="s">
        <v>227</v>
      </c>
      <c r="E7917" s="13">
        <v>300</v>
      </c>
      <c r="F7917" s="12">
        <v>200</v>
      </c>
      <c r="G7917" t="str">
        <f>IFERROR(INDEX(tEditais[Órgão],MATCH(tItens[[#This Row],[Edital]],tEditais[Edital],0)),"")</f>
        <v>COMANDO DO EXERCITO</v>
      </c>
      <c r="H7917" t="str">
        <f>IFERROR(INDEX(tEditais[UF],MATCH(tItens[[#This Row],[Edital]],tEditais[Edital],0)),"")</f>
        <v>RS</v>
      </c>
      <c r="I7917" s="11">
        <f>IFERROR(INDEX(tEditais[Encerramento],MATCH(tItens[[#This Row],[Edital]],tEditais[Edital],0)),"")</f>
        <v>46311.625</v>
      </c>
      <c r="J7917" t="str">
        <f>IFERROR(INDEX(tProdutos[Classe],MATCH(tItens[[#This Row],[Produto]],tProdutos[Produto],0)),"produto não cadastrado")</f>
        <v>FORA</v>
      </c>
      <c r="K7917" s="12">
        <f>tItens[[#This Row],[Qtd]]*tItens[[#This Row],[Vlr unit]]</f>
        <v>60000</v>
      </c>
      <c r="L7917" s="6">
        <f>IFERROR(IF(INDEX(tProdutos[Desconto homologado],MATCH(tItens[[#This Row],[Produto]],tProdutos[Produto],0))="",DescontoPadrao,INDEX(tProdutos[Desconto homologado],MATCH(tItens[[#This Row],[Produto]],tProdutos[Produto],0))),DescontoPadrao)</f>
        <v>0.38</v>
      </c>
      <c r="M7917" s="12">
        <f>tItens[[#This Row],[Valor]]*(1-tItens[[#This Row],[Desconto]])</f>
        <v>37200</v>
      </c>
      <c r="N7917" t="str">
        <f>IFERROR(INDEX(tProdutos[Foco],MATCH(tItens[[#This Row],[Produto]],tProdutos[Produto],0)),"Não")</f>
        <v>Não</v>
      </c>
      <c r="O7917" t="str">
        <f>IFERROR(INDEX(tEditais[SRP],MATCH(tItens[[#This Row],[Edital]],tEditais[Edital],0)),"Não")</f>
        <v>Não</v>
      </c>
      <c r="P7917" s="4">
        <f>IF(COUNTIFS(INDEX(tItens[Edital],1):tItens[[#This Row],[Edital]],tItens[[#This Row],[Edital]],INDEX(tItens[Produto],1):tItens[[#This Row],[Produto]],tItens[[#This Row],[Produto]])=1,1,0)</f>
        <v>0</v>
      </c>
    </row>
    <row r="7918" spans="1:16" x14ac:dyDescent="0.25">
      <c r="A7918" t="s">
        <v>2625</v>
      </c>
      <c r="B7918">
        <v>14</v>
      </c>
      <c r="C7918" t="s">
        <v>10423</v>
      </c>
      <c r="D7918" t="s">
        <v>120</v>
      </c>
      <c r="E7918" s="13">
        <v>1000</v>
      </c>
      <c r="F7918" s="12">
        <v>69.55</v>
      </c>
      <c r="G7918" t="str">
        <f>IFERROR(INDEX(tEditais[Órgão],MATCH(tItens[[#This Row],[Edital]],tEditais[Edital],0)),"")</f>
        <v>COMANDO DO EXERCITO</v>
      </c>
      <c r="H7918" t="str">
        <f>IFERROR(INDEX(tEditais[UF],MATCH(tItens[[#This Row],[Edital]],tEditais[Edital],0)),"")</f>
        <v>RS</v>
      </c>
      <c r="I7918" s="11">
        <f>IFERROR(INDEX(tEditais[Encerramento],MATCH(tItens[[#This Row],[Edital]],tEditais[Edital],0)),"")</f>
        <v>46311.625</v>
      </c>
      <c r="J7918" t="str">
        <f>IFERROR(INDEX(tProdutos[Classe],MATCH(tItens[[#This Row],[Produto]],tProdutos[Produto],0)),"produto não cadastrado")</f>
        <v>DISPUTADO</v>
      </c>
      <c r="K7918" s="12">
        <f>tItens[[#This Row],[Qtd]]*tItens[[#This Row],[Vlr unit]]</f>
        <v>69550</v>
      </c>
      <c r="L7918" s="6">
        <f>IFERROR(IF(INDEX(tProdutos[Desconto homologado],MATCH(tItens[[#This Row],[Produto]],tProdutos[Produto],0))="",DescontoPadrao,INDEX(tProdutos[Desconto homologado],MATCH(tItens[[#This Row],[Produto]],tProdutos[Produto],0))),DescontoPadrao)</f>
        <v>0.40909090909090901</v>
      </c>
      <c r="M7918" s="12">
        <f>tItens[[#This Row],[Valor]]*(1-tItens[[#This Row],[Desconto]])</f>
        <v>41097.727272727279</v>
      </c>
      <c r="N7918" t="str">
        <f>IFERROR(INDEX(tProdutos[Foco],MATCH(tItens[[#This Row],[Produto]],tProdutos[Produto],0)),"Não")</f>
        <v>Não</v>
      </c>
      <c r="O7918" t="str">
        <f>IFERROR(INDEX(tEditais[SRP],MATCH(tItens[[#This Row],[Edital]],tEditais[Edital],0)),"Não")</f>
        <v>Não</v>
      </c>
      <c r="P7918" s="4">
        <f>IF(COUNTIFS(INDEX(tItens[Edital],1):tItens[[#This Row],[Edital]],tItens[[#This Row],[Edital]],INDEX(tItens[Produto],1):tItens[[#This Row],[Produto]],tItens[[#This Row],[Produto]])=1,1,0)</f>
        <v>1</v>
      </c>
    </row>
    <row r="7919" spans="1:16" x14ac:dyDescent="0.25">
      <c r="A7919" t="s">
        <v>2625</v>
      </c>
      <c r="B7919">
        <v>18</v>
      </c>
      <c r="C7919" t="s">
        <v>10424</v>
      </c>
      <c r="D7919" t="s">
        <v>67</v>
      </c>
      <c r="E7919" s="13">
        <v>1000</v>
      </c>
      <c r="F7919" s="12">
        <v>12</v>
      </c>
      <c r="G7919" t="str">
        <f>IFERROR(INDEX(tEditais[Órgão],MATCH(tItens[[#This Row],[Edital]],tEditais[Edital],0)),"")</f>
        <v>COMANDO DO EXERCITO</v>
      </c>
      <c r="H7919" t="str">
        <f>IFERROR(INDEX(tEditais[UF],MATCH(tItens[[#This Row],[Edital]],tEditais[Edital],0)),"")</f>
        <v>RS</v>
      </c>
      <c r="I7919" s="11">
        <f>IFERROR(INDEX(tEditais[Encerramento],MATCH(tItens[[#This Row],[Edital]],tEditais[Edital],0)),"")</f>
        <v>46311.625</v>
      </c>
      <c r="J7919" t="str">
        <f>IFERROR(INDEX(tProdutos[Classe],MATCH(tItens[[#This Row],[Produto]],tProdutos[Produto],0)),"produto não cadastrado")</f>
        <v>NÚCLEO</v>
      </c>
      <c r="K7919" s="12">
        <f>tItens[[#This Row],[Qtd]]*tItens[[#This Row],[Vlr unit]]</f>
        <v>12000</v>
      </c>
      <c r="L7919" s="6">
        <f>IFERROR(IF(INDEX(tProdutos[Desconto homologado],MATCH(tItens[[#This Row],[Produto]],tProdutos[Produto],0))="",DescontoPadrao,INDEX(tProdutos[Desconto homologado],MATCH(tItens[[#This Row],[Produto]],tProdutos[Produto],0))),DescontoPadrao)</f>
        <v>0.35766423357664201</v>
      </c>
      <c r="M7919" s="12">
        <f>tItens[[#This Row],[Valor]]*(1-tItens[[#This Row],[Desconto]])</f>
        <v>7708.0291970802955</v>
      </c>
      <c r="N7919" t="str">
        <f>IFERROR(INDEX(tProdutos[Foco],MATCH(tItens[[#This Row],[Produto]],tProdutos[Produto],0)),"Não")</f>
        <v>Não</v>
      </c>
      <c r="O7919" t="str">
        <f>IFERROR(INDEX(tEditais[SRP],MATCH(tItens[[#This Row],[Edital]],tEditais[Edital],0)),"Não")</f>
        <v>Não</v>
      </c>
      <c r="P7919" s="4">
        <f>IF(COUNTIFS(INDEX(tItens[Edital],1):tItens[[#This Row],[Edital]],tItens[[#This Row],[Edital]],INDEX(tItens[Produto],1):tItens[[#This Row],[Produto]],tItens[[#This Row],[Produto]])=1,1,0)</f>
        <v>1</v>
      </c>
    </row>
    <row r="7920" spans="1:16" x14ac:dyDescent="0.25">
      <c r="A7920" t="s">
        <v>2625</v>
      </c>
      <c r="B7920">
        <v>24</v>
      </c>
      <c r="C7920" t="s">
        <v>10425</v>
      </c>
      <c r="D7920" t="s">
        <v>512</v>
      </c>
      <c r="E7920" s="13">
        <v>500</v>
      </c>
      <c r="F7920" s="12">
        <v>8.32</v>
      </c>
      <c r="G7920" t="str">
        <f>IFERROR(INDEX(tEditais[Órgão],MATCH(tItens[[#This Row],[Edital]],tEditais[Edital],0)),"")</f>
        <v>COMANDO DO EXERCITO</v>
      </c>
      <c r="H7920" t="str">
        <f>IFERROR(INDEX(tEditais[UF],MATCH(tItens[[#This Row],[Edital]],tEditais[Edital],0)),"")</f>
        <v>RS</v>
      </c>
      <c r="I7920" s="11">
        <f>IFERROR(INDEX(tEditais[Encerramento],MATCH(tItens[[#This Row],[Edital]],tEditais[Edital],0)),"")</f>
        <v>46311.625</v>
      </c>
      <c r="J7920" t="str">
        <f>IFERROR(INDEX(tProdutos[Classe],MATCH(tItens[[#This Row],[Produto]],tProdutos[Produto],0)),"produto não cadastrado")</f>
        <v>FILA REBASE</v>
      </c>
      <c r="K7920" s="12">
        <f>tItens[[#This Row],[Qtd]]*tItens[[#This Row],[Vlr unit]]</f>
        <v>4160</v>
      </c>
      <c r="L7920" s="6">
        <f>IFERROR(IF(INDEX(tProdutos[Desconto homologado],MATCH(tItens[[#This Row],[Produto]],tProdutos[Produto],0))="",DescontoPadrao,INDEX(tProdutos[Desconto homologado],MATCH(tItens[[#This Row],[Produto]],tProdutos[Produto],0))),DescontoPadrao)</f>
        <v>0.32579365079365102</v>
      </c>
      <c r="M7920" s="12">
        <f>tItens[[#This Row],[Valor]]*(1-tItens[[#This Row],[Desconto]])</f>
        <v>2804.6984126984121</v>
      </c>
      <c r="N7920" t="str">
        <f>IFERROR(INDEX(tProdutos[Foco],MATCH(tItens[[#This Row],[Produto]],tProdutos[Produto],0)),"Não")</f>
        <v>Não</v>
      </c>
      <c r="O7920" t="str">
        <f>IFERROR(INDEX(tEditais[SRP],MATCH(tItens[[#This Row],[Edital]],tEditais[Edital],0)),"Não")</f>
        <v>Não</v>
      </c>
      <c r="P7920" s="4">
        <f>IF(COUNTIFS(INDEX(tItens[Edital],1):tItens[[#This Row],[Edital]],tItens[[#This Row],[Edital]],INDEX(tItens[Produto],1):tItens[[#This Row],[Produto]],tItens[[#This Row],[Produto]])=1,1,0)</f>
        <v>1</v>
      </c>
    </row>
    <row r="7921" spans="1:16" x14ac:dyDescent="0.25">
      <c r="A7921" t="s">
        <v>2625</v>
      </c>
      <c r="B7921">
        <v>25</v>
      </c>
      <c r="C7921" t="s">
        <v>10426</v>
      </c>
      <c r="D7921" t="s">
        <v>673</v>
      </c>
      <c r="E7921" s="13">
        <v>1000</v>
      </c>
      <c r="F7921" s="12">
        <v>25.26</v>
      </c>
      <c r="G7921" t="str">
        <f>IFERROR(INDEX(tEditais[Órgão],MATCH(tItens[[#This Row],[Edital]],tEditais[Edital],0)),"")</f>
        <v>COMANDO DO EXERCITO</v>
      </c>
      <c r="H7921" t="str">
        <f>IFERROR(INDEX(tEditais[UF],MATCH(tItens[[#This Row],[Edital]],tEditais[Edital],0)),"")</f>
        <v>RS</v>
      </c>
      <c r="I7921" s="11">
        <f>IFERROR(INDEX(tEditais[Encerramento],MATCH(tItens[[#This Row],[Edital]],tEditais[Edital],0)),"")</f>
        <v>46311.625</v>
      </c>
      <c r="J7921" t="str">
        <f>IFERROR(INDEX(tProdutos[Classe],MATCH(tItens[[#This Row],[Produto]],tProdutos[Produto],0)),"produto não cadastrado")</f>
        <v>FILA REBASE</v>
      </c>
      <c r="K7921" s="12">
        <f>tItens[[#This Row],[Qtd]]*tItens[[#This Row],[Vlr unit]]</f>
        <v>25260</v>
      </c>
      <c r="L7921" s="6">
        <f>IFERROR(IF(INDEX(tProdutos[Desconto homologado],MATCH(tItens[[#This Row],[Produto]],tProdutos[Produto],0))="",DescontoPadrao,INDEX(tProdutos[Desconto homologado],MATCH(tItens[[#This Row],[Produto]],tProdutos[Produto],0))),DescontoPadrao)</f>
        <v>0.3</v>
      </c>
      <c r="M7921" s="12">
        <f>tItens[[#This Row],[Valor]]*(1-tItens[[#This Row],[Desconto]])</f>
        <v>17682</v>
      </c>
      <c r="N7921" t="str">
        <f>IFERROR(INDEX(tProdutos[Foco],MATCH(tItens[[#This Row],[Produto]],tProdutos[Produto],0)),"Não")</f>
        <v>Não</v>
      </c>
      <c r="O7921" t="str">
        <f>IFERROR(INDEX(tEditais[SRP],MATCH(tItens[[#This Row],[Edital]],tEditais[Edital],0)),"Não")</f>
        <v>Não</v>
      </c>
      <c r="P7921" s="4">
        <f>IF(COUNTIFS(INDEX(tItens[Edital],1):tItens[[#This Row],[Edital]],tItens[[#This Row],[Edital]],INDEX(tItens[Produto],1):tItens[[#This Row],[Produto]],tItens[[#This Row],[Produto]])=1,1,0)</f>
        <v>1</v>
      </c>
    </row>
    <row r="7922" spans="1:16" x14ac:dyDescent="0.25">
      <c r="A7922" t="s">
        <v>2625</v>
      </c>
      <c r="B7922">
        <v>26</v>
      </c>
      <c r="C7922" t="s">
        <v>9821</v>
      </c>
      <c r="D7922" t="s">
        <v>339</v>
      </c>
      <c r="E7922" s="13">
        <v>3750</v>
      </c>
      <c r="F7922" s="12">
        <v>22.7</v>
      </c>
      <c r="G7922" t="str">
        <f>IFERROR(INDEX(tEditais[Órgão],MATCH(tItens[[#This Row],[Edital]],tEditais[Edital],0)),"")</f>
        <v>COMANDO DO EXERCITO</v>
      </c>
      <c r="H7922" t="str">
        <f>IFERROR(INDEX(tEditais[UF],MATCH(tItens[[#This Row],[Edital]],tEditais[Edital],0)),"")</f>
        <v>RS</v>
      </c>
      <c r="I7922" s="11">
        <f>IFERROR(INDEX(tEditais[Encerramento],MATCH(tItens[[#This Row],[Edital]],tEditais[Edital],0)),"")</f>
        <v>46311.625</v>
      </c>
      <c r="J7922" t="str">
        <f>IFERROR(INDEX(tProdutos[Classe],MATCH(tItens[[#This Row],[Produto]],tProdutos[Produto],0)),"produto não cadastrado")</f>
        <v>FORA</v>
      </c>
      <c r="K7922" s="12">
        <f>tItens[[#This Row],[Qtd]]*tItens[[#This Row],[Vlr unit]]</f>
        <v>85125</v>
      </c>
      <c r="L7922" s="6">
        <f>IFERROR(IF(INDEX(tProdutos[Desconto homologado],MATCH(tItens[[#This Row],[Produto]],tProdutos[Produto],0))="",DescontoPadrao,INDEX(tProdutos[Desconto homologado],MATCH(tItens[[#This Row],[Produto]],tProdutos[Produto],0))),DescontoPadrao)</f>
        <v>0.35388629091804102</v>
      </c>
      <c r="M7922" s="12">
        <f>tItens[[#This Row],[Valor]]*(1-tItens[[#This Row],[Desconto]])</f>
        <v>55000.429485601759</v>
      </c>
      <c r="N7922" t="str">
        <f>IFERROR(INDEX(tProdutos[Foco],MATCH(tItens[[#This Row],[Produto]],tProdutos[Produto],0)),"Não")</f>
        <v>Não</v>
      </c>
      <c r="O7922" t="str">
        <f>IFERROR(INDEX(tEditais[SRP],MATCH(tItens[[#This Row],[Edital]],tEditais[Edital],0)),"Não")</f>
        <v>Não</v>
      </c>
      <c r="P7922" s="4">
        <f>IF(COUNTIFS(INDEX(tItens[Edital],1):tItens[[#This Row],[Edital]],tItens[[#This Row],[Edital]],INDEX(tItens[Produto],1):tItens[[#This Row],[Produto]],tItens[[#This Row],[Produto]])=1,1,0)</f>
        <v>1</v>
      </c>
    </row>
    <row r="7923" spans="1:16" x14ac:dyDescent="0.25">
      <c r="A7923" t="s">
        <v>2625</v>
      </c>
      <c r="B7923">
        <v>27</v>
      </c>
      <c r="C7923" t="s">
        <v>9821</v>
      </c>
      <c r="D7923" t="s">
        <v>339</v>
      </c>
      <c r="E7923" s="13">
        <v>1250</v>
      </c>
      <c r="F7923" s="12">
        <v>22.7</v>
      </c>
      <c r="G7923" t="str">
        <f>IFERROR(INDEX(tEditais[Órgão],MATCH(tItens[[#This Row],[Edital]],tEditais[Edital],0)),"")</f>
        <v>COMANDO DO EXERCITO</v>
      </c>
      <c r="H7923" t="str">
        <f>IFERROR(INDEX(tEditais[UF],MATCH(tItens[[#This Row],[Edital]],tEditais[Edital],0)),"")</f>
        <v>RS</v>
      </c>
      <c r="I7923" s="11">
        <f>IFERROR(INDEX(tEditais[Encerramento],MATCH(tItens[[#This Row],[Edital]],tEditais[Edital],0)),"")</f>
        <v>46311.625</v>
      </c>
      <c r="J7923" t="str">
        <f>IFERROR(INDEX(tProdutos[Classe],MATCH(tItens[[#This Row],[Produto]],tProdutos[Produto],0)),"produto não cadastrado")</f>
        <v>FORA</v>
      </c>
      <c r="K7923" s="12">
        <f>tItens[[#This Row],[Qtd]]*tItens[[#This Row],[Vlr unit]]</f>
        <v>28375</v>
      </c>
      <c r="L7923" s="6">
        <f>IFERROR(IF(INDEX(tProdutos[Desconto homologado],MATCH(tItens[[#This Row],[Produto]],tProdutos[Produto],0))="",DescontoPadrao,INDEX(tProdutos[Desconto homologado],MATCH(tItens[[#This Row],[Produto]],tProdutos[Produto],0))),DescontoPadrao)</f>
        <v>0.35388629091804102</v>
      </c>
      <c r="M7923" s="12">
        <f>tItens[[#This Row],[Valor]]*(1-tItens[[#This Row],[Desconto]])</f>
        <v>18333.476495200586</v>
      </c>
      <c r="N7923" t="str">
        <f>IFERROR(INDEX(tProdutos[Foco],MATCH(tItens[[#This Row],[Produto]],tProdutos[Produto],0)),"Não")</f>
        <v>Não</v>
      </c>
      <c r="O7923" t="str">
        <f>IFERROR(INDEX(tEditais[SRP],MATCH(tItens[[#This Row],[Edital]],tEditais[Edital],0)),"Não")</f>
        <v>Não</v>
      </c>
      <c r="P7923" s="4">
        <f>IF(COUNTIFS(INDEX(tItens[Edital],1):tItens[[#This Row],[Edital]],tItens[[#This Row],[Edital]],INDEX(tItens[Produto],1):tItens[[#This Row],[Produto]],tItens[[#This Row],[Produto]])=1,1,0)</f>
        <v>0</v>
      </c>
    </row>
    <row r="7924" spans="1:16" x14ac:dyDescent="0.25">
      <c r="A7924" t="s">
        <v>2625</v>
      </c>
      <c r="B7924">
        <v>28</v>
      </c>
      <c r="C7924" t="s">
        <v>9821</v>
      </c>
      <c r="D7924" t="s">
        <v>339</v>
      </c>
      <c r="E7924" s="13">
        <v>3750</v>
      </c>
      <c r="F7924" s="12">
        <v>19.36</v>
      </c>
      <c r="G7924" t="str">
        <f>IFERROR(INDEX(tEditais[Órgão],MATCH(tItens[[#This Row],[Edital]],tEditais[Edital],0)),"")</f>
        <v>COMANDO DO EXERCITO</v>
      </c>
      <c r="H7924" t="str">
        <f>IFERROR(INDEX(tEditais[UF],MATCH(tItens[[#This Row],[Edital]],tEditais[Edital],0)),"")</f>
        <v>RS</v>
      </c>
      <c r="I7924" s="11">
        <f>IFERROR(INDEX(tEditais[Encerramento],MATCH(tItens[[#This Row],[Edital]],tEditais[Edital],0)),"")</f>
        <v>46311.625</v>
      </c>
      <c r="J7924" t="str">
        <f>IFERROR(INDEX(tProdutos[Classe],MATCH(tItens[[#This Row],[Produto]],tProdutos[Produto],0)),"produto não cadastrado")</f>
        <v>FORA</v>
      </c>
      <c r="K7924" s="12">
        <f>tItens[[#This Row],[Qtd]]*tItens[[#This Row],[Vlr unit]]</f>
        <v>72600</v>
      </c>
      <c r="L7924" s="6">
        <f>IFERROR(IF(INDEX(tProdutos[Desconto homologado],MATCH(tItens[[#This Row],[Produto]],tProdutos[Produto],0))="",DescontoPadrao,INDEX(tProdutos[Desconto homologado],MATCH(tItens[[#This Row],[Produto]],tProdutos[Produto],0))),DescontoPadrao)</f>
        <v>0.35388629091804102</v>
      </c>
      <c r="M7924" s="12">
        <f>tItens[[#This Row],[Valor]]*(1-tItens[[#This Row],[Desconto]])</f>
        <v>46907.855279350224</v>
      </c>
      <c r="N7924" t="str">
        <f>IFERROR(INDEX(tProdutos[Foco],MATCH(tItens[[#This Row],[Produto]],tProdutos[Produto],0)),"Não")</f>
        <v>Não</v>
      </c>
      <c r="O7924" t="str">
        <f>IFERROR(INDEX(tEditais[SRP],MATCH(tItens[[#This Row],[Edital]],tEditais[Edital],0)),"Não")</f>
        <v>Não</v>
      </c>
      <c r="P7924" s="4">
        <f>IF(COUNTIFS(INDEX(tItens[Edital],1):tItens[[#This Row],[Edital]],tItens[[#This Row],[Edital]],INDEX(tItens[Produto],1):tItens[[#This Row],[Produto]],tItens[[#This Row],[Produto]])=1,1,0)</f>
        <v>0</v>
      </c>
    </row>
    <row r="7925" spans="1:16" x14ac:dyDescent="0.25">
      <c r="A7925" t="s">
        <v>2625</v>
      </c>
      <c r="B7925">
        <v>29</v>
      </c>
      <c r="C7925" t="s">
        <v>9821</v>
      </c>
      <c r="D7925" t="s">
        <v>339</v>
      </c>
      <c r="E7925" s="13">
        <v>1250</v>
      </c>
      <c r="F7925" s="12">
        <v>19.36</v>
      </c>
      <c r="G7925" t="str">
        <f>IFERROR(INDEX(tEditais[Órgão],MATCH(tItens[[#This Row],[Edital]],tEditais[Edital],0)),"")</f>
        <v>COMANDO DO EXERCITO</v>
      </c>
      <c r="H7925" t="str">
        <f>IFERROR(INDEX(tEditais[UF],MATCH(tItens[[#This Row],[Edital]],tEditais[Edital],0)),"")</f>
        <v>RS</v>
      </c>
      <c r="I7925" s="11">
        <f>IFERROR(INDEX(tEditais[Encerramento],MATCH(tItens[[#This Row],[Edital]],tEditais[Edital],0)),"")</f>
        <v>46311.625</v>
      </c>
      <c r="J7925" t="str">
        <f>IFERROR(INDEX(tProdutos[Classe],MATCH(tItens[[#This Row],[Produto]],tProdutos[Produto],0)),"produto não cadastrado")</f>
        <v>FORA</v>
      </c>
      <c r="K7925" s="12">
        <f>tItens[[#This Row],[Qtd]]*tItens[[#This Row],[Vlr unit]]</f>
        <v>24200</v>
      </c>
      <c r="L7925" s="6">
        <f>IFERROR(IF(INDEX(tProdutos[Desconto homologado],MATCH(tItens[[#This Row],[Produto]],tProdutos[Produto],0))="",DescontoPadrao,INDEX(tProdutos[Desconto homologado],MATCH(tItens[[#This Row],[Produto]],tProdutos[Produto],0))),DescontoPadrao)</f>
        <v>0.35388629091804102</v>
      </c>
      <c r="M7925" s="12">
        <f>tItens[[#This Row],[Valor]]*(1-tItens[[#This Row],[Desconto]])</f>
        <v>15635.951759783407</v>
      </c>
      <c r="N7925" t="str">
        <f>IFERROR(INDEX(tProdutos[Foco],MATCH(tItens[[#This Row],[Produto]],tProdutos[Produto],0)),"Não")</f>
        <v>Não</v>
      </c>
      <c r="O7925" t="str">
        <f>IFERROR(INDEX(tEditais[SRP],MATCH(tItens[[#This Row],[Edital]],tEditais[Edital],0)),"Não")</f>
        <v>Não</v>
      </c>
      <c r="P7925" s="4">
        <f>IF(COUNTIFS(INDEX(tItens[Edital],1):tItens[[#This Row],[Edital]],tItens[[#This Row],[Edital]],INDEX(tItens[Produto],1):tItens[[#This Row],[Produto]],tItens[[#This Row],[Produto]])=1,1,0)</f>
        <v>0</v>
      </c>
    </row>
    <row r="7926" spans="1:16" x14ac:dyDescent="0.25">
      <c r="A7926" t="s">
        <v>2625</v>
      </c>
      <c r="B7926">
        <v>30</v>
      </c>
      <c r="C7926" t="s">
        <v>9821</v>
      </c>
      <c r="D7926" t="s">
        <v>339</v>
      </c>
      <c r="E7926" s="13">
        <v>3750</v>
      </c>
      <c r="F7926" s="12">
        <v>16.78</v>
      </c>
      <c r="G7926" t="str">
        <f>IFERROR(INDEX(tEditais[Órgão],MATCH(tItens[[#This Row],[Edital]],tEditais[Edital],0)),"")</f>
        <v>COMANDO DO EXERCITO</v>
      </c>
      <c r="H7926" t="str">
        <f>IFERROR(INDEX(tEditais[UF],MATCH(tItens[[#This Row],[Edital]],tEditais[Edital],0)),"")</f>
        <v>RS</v>
      </c>
      <c r="I7926" s="11">
        <f>IFERROR(INDEX(tEditais[Encerramento],MATCH(tItens[[#This Row],[Edital]],tEditais[Edital],0)),"")</f>
        <v>46311.625</v>
      </c>
      <c r="J7926" t="str">
        <f>IFERROR(INDEX(tProdutos[Classe],MATCH(tItens[[#This Row],[Produto]],tProdutos[Produto],0)),"produto não cadastrado")</f>
        <v>FORA</v>
      </c>
      <c r="K7926" s="12">
        <f>tItens[[#This Row],[Qtd]]*tItens[[#This Row],[Vlr unit]]</f>
        <v>62925.000000000007</v>
      </c>
      <c r="L7926" s="6">
        <f>IFERROR(IF(INDEX(tProdutos[Desconto homologado],MATCH(tItens[[#This Row],[Produto]],tProdutos[Produto],0))="",DescontoPadrao,INDEX(tProdutos[Desconto homologado],MATCH(tItens[[#This Row],[Produto]],tProdutos[Produto],0))),DescontoPadrao)</f>
        <v>0.35388629091804102</v>
      </c>
      <c r="M7926" s="12">
        <f>tItens[[#This Row],[Valor]]*(1-tItens[[#This Row],[Desconto]])</f>
        <v>40656.705143982275</v>
      </c>
      <c r="N7926" t="str">
        <f>IFERROR(INDEX(tProdutos[Foco],MATCH(tItens[[#This Row],[Produto]],tProdutos[Produto],0)),"Não")</f>
        <v>Não</v>
      </c>
      <c r="O7926" t="str">
        <f>IFERROR(INDEX(tEditais[SRP],MATCH(tItens[[#This Row],[Edital]],tEditais[Edital],0)),"Não")</f>
        <v>Não</v>
      </c>
      <c r="P7926" s="4">
        <f>IF(COUNTIFS(INDEX(tItens[Edital],1):tItens[[#This Row],[Edital]],tItens[[#This Row],[Edital]],INDEX(tItens[Produto],1):tItens[[#This Row],[Produto]],tItens[[#This Row],[Produto]])=1,1,0)</f>
        <v>0</v>
      </c>
    </row>
    <row r="7927" spans="1:16" x14ac:dyDescent="0.25">
      <c r="A7927" t="s">
        <v>2625</v>
      </c>
      <c r="B7927">
        <v>31</v>
      </c>
      <c r="C7927" t="s">
        <v>9821</v>
      </c>
      <c r="D7927" t="s">
        <v>339</v>
      </c>
      <c r="E7927" s="13">
        <v>1250</v>
      </c>
      <c r="F7927" s="12">
        <v>16.78</v>
      </c>
      <c r="G7927" t="str">
        <f>IFERROR(INDEX(tEditais[Órgão],MATCH(tItens[[#This Row],[Edital]],tEditais[Edital],0)),"")</f>
        <v>COMANDO DO EXERCITO</v>
      </c>
      <c r="H7927" t="str">
        <f>IFERROR(INDEX(tEditais[UF],MATCH(tItens[[#This Row],[Edital]],tEditais[Edital],0)),"")</f>
        <v>RS</v>
      </c>
      <c r="I7927" s="11">
        <f>IFERROR(INDEX(tEditais[Encerramento],MATCH(tItens[[#This Row],[Edital]],tEditais[Edital],0)),"")</f>
        <v>46311.625</v>
      </c>
      <c r="J7927" t="str">
        <f>IFERROR(INDEX(tProdutos[Classe],MATCH(tItens[[#This Row],[Produto]],tProdutos[Produto],0)),"produto não cadastrado")</f>
        <v>FORA</v>
      </c>
      <c r="K7927" s="12">
        <f>tItens[[#This Row],[Qtd]]*tItens[[#This Row],[Vlr unit]]</f>
        <v>20975</v>
      </c>
      <c r="L7927" s="6">
        <f>IFERROR(IF(INDEX(tProdutos[Desconto homologado],MATCH(tItens[[#This Row],[Produto]],tProdutos[Produto],0))="",DescontoPadrao,INDEX(tProdutos[Desconto homologado],MATCH(tItens[[#This Row],[Produto]],tProdutos[Produto],0))),DescontoPadrao)</f>
        <v>0.35388629091804102</v>
      </c>
      <c r="M7927" s="12">
        <f>tItens[[#This Row],[Valor]]*(1-tItens[[#This Row],[Desconto]])</f>
        <v>13552.235047994089</v>
      </c>
      <c r="N7927" t="str">
        <f>IFERROR(INDEX(tProdutos[Foco],MATCH(tItens[[#This Row],[Produto]],tProdutos[Produto],0)),"Não")</f>
        <v>Não</v>
      </c>
      <c r="O7927" t="str">
        <f>IFERROR(INDEX(tEditais[SRP],MATCH(tItens[[#This Row],[Edital]],tEditais[Edital],0)),"Não")</f>
        <v>Não</v>
      </c>
      <c r="P7927" s="4">
        <f>IF(COUNTIFS(INDEX(tItens[Edital],1):tItens[[#This Row],[Edital]],tItens[[#This Row],[Edital]],INDEX(tItens[Produto],1):tItens[[#This Row],[Produto]],tItens[[#This Row],[Produto]])=1,1,0)</f>
        <v>0</v>
      </c>
    </row>
    <row r="7928" spans="1:16" x14ac:dyDescent="0.25">
      <c r="A7928" t="s">
        <v>2625</v>
      </c>
      <c r="B7928">
        <v>33</v>
      </c>
      <c r="C7928" t="s">
        <v>8113</v>
      </c>
      <c r="D7928" t="s">
        <v>180</v>
      </c>
      <c r="E7928" s="13">
        <v>300</v>
      </c>
      <c r="F7928" s="12">
        <v>2.74</v>
      </c>
      <c r="G7928" t="str">
        <f>IFERROR(INDEX(tEditais[Órgão],MATCH(tItens[[#This Row],[Edital]],tEditais[Edital],0)),"")</f>
        <v>COMANDO DO EXERCITO</v>
      </c>
      <c r="H7928" t="str">
        <f>IFERROR(INDEX(tEditais[UF],MATCH(tItens[[#This Row],[Edital]],tEditais[Edital],0)),"")</f>
        <v>RS</v>
      </c>
      <c r="I7928" s="11">
        <f>IFERROR(INDEX(tEditais[Encerramento],MATCH(tItens[[#This Row],[Edital]],tEditais[Edital],0)),"")</f>
        <v>46311.625</v>
      </c>
      <c r="J7928" t="str">
        <f>IFERROR(INDEX(tProdutos[Classe],MATCH(tItens[[#This Row],[Produto]],tProdutos[Produto],0)),"produto não cadastrado")</f>
        <v>DISPUTADO</v>
      </c>
      <c r="K7928" s="12">
        <f>tItens[[#This Row],[Qtd]]*tItens[[#This Row],[Vlr unit]]</f>
        <v>822.00000000000011</v>
      </c>
      <c r="L7928" s="6">
        <f>IFERROR(IF(INDEX(tProdutos[Desconto homologado],MATCH(tItens[[#This Row],[Produto]],tProdutos[Produto],0))="",DescontoPadrao,INDEX(tProdutos[Desconto homologado],MATCH(tItens[[#This Row],[Produto]],tProdutos[Produto],0))),DescontoPadrao)</f>
        <v>0.33333333333333298</v>
      </c>
      <c r="M7928" s="12">
        <f>tItens[[#This Row],[Valor]]*(1-tItens[[#This Row],[Desconto]])</f>
        <v>548.00000000000034</v>
      </c>
      <c r="N7928" t="str">
        <f>IFERROR(INDEX(tProdutos[Foco],MATCH(tItens[[#This Row],[Produto]],tProdutos[Produto],0)),"Não")</f>
        <v>Não</v>
      </c>
      <c r="O7928" t="str">
        <f>IFERROR(INDEX(tEditais[SRP],MATCH(tItens[[#This Row],[Edital]],tEditais[Edital],0)),"Não")</f>
        <v>Não</v>
      </c>
      <c r="P7928" s="4">
        <f>IF(COUNTIFS(INDEX(tItens[Edital],1):tItens[[#This Row],[Edital]],tItens[[#This Row],[Edital]],INDEX(tItens[Produto],1):tItens[[#This Row],[Produto]],tItens[[#This Row],[Produto]])=1,1,0)</f>
        <v>1</v>
      </c>
    </row>
    <row r="7929" spans="1:16" x14ac:dyDescent="0.25">
      <c r="A7929" t="s">
        <v>2625</v>
      </c>
      <c r="B7929">
        <v>37</v>
      </c>
      <c r="C7929" t="s">
        <v>3240</v>
      </c>
      <c r="D7929" t="s">
        <v>114</v>
      </c>
      <c r="E7929" s="13">
        <v>1000</v>
      </c>
      <c r="F7929" s="12">
        <v>8.64</v>
      </c>
      <c r="G7929" t="str">
        <f>IFERROR(INDEX(tEditais[Órgão],MATCH(tItens[[#This Row],[Edital]],tEditais[Edital],0)),"")</f>
        <v>COMANDO DO EXERCITO</v>
      </c>
      <c r="H7929" t="str">
        <f>IFERROR(INDEX(tEditais[UF],MATCH(tItens[[#This Row],[Edital]],tEditais[Edital],0)),"")</f>
        <v>RS</v>
      </c>
      <c r="I7929" s="11">
        <f>IFERROR(INDEX(tEditais[Encerramento],MATCH(tItens[[#This Row],[Edital]],tEditais[Edital],0)),"")</f>
        <v>46311.625</v>
      </c>
      <c r="J7929" t="str">
        <f>IFERROR(INDEX(tProdutos[Classe],MATCH(tItens[[#This Row],[Produto]],tProdutos[Produto],0)),"produto não cadastrado")</f>
        <v>DISPUTADO</v>
      </c>
      <c r="K7929" s="12">
        <f>tItens[[#This Row],[Qtd]]*tItens[[#This Row],[Vlr unit]]</f>
        <v>8640</v>
      </c>
      <c r="L7929" s="6">
        <f>IFERROR(IF(INDEX(tProdutos[Desconto homologado],MATCH(tItens[[#This Row],[Produto]],tProdutos[Produto],0))="",DescontoPadrao,INDEX(tProdutos[Desconto homologado],MATCH(tItens[[#This Row],[Produto]],tProdutos[Produto],0))),DescontoPadrao)</f>
        <v>0.24332656063896899</v>
      </c>
      <c r="M7929" s="12">
        <f>tItens[[#This Row],[Valor]]*(1-tItens[[#This Row],[Desconto]])</f>
        <v>6537.6585160793084</v>
      </c>
      <c r="N7929" t="str">
        <f>IFERROR(INDEX(tProdutos[Foco],MATCH(tItens[[#This Row],[Produto]],tProdutos[Produto],0)),"Não")</f>
        <v>Não</v>
      </c>
      <c r="O7929" t="str">
        <f>IFERROR(INDEX(tEditais[SRP],MATCH(tItens[[#This Row],[Edital]],tEditais[Edital],0)),"Não")</f>
        <v>Não</v>
      </c>
      <c r="P7929" s="4">
        <f>IF(COUNTIFS(INDEX(tItens[Edital],1):tItens[[#This Row],[Edital]],tItens[[#This Row],[Edital]],INDEX(tItens[Produto],1):tItens[[#This Row],[Produto]],tItens[[#This Row],[Produto]])=1,1,0)</f>
        <v>1</v>
      </c>
    </row>
    <row r="7930" spans="1:16" x14ac:dyDescent="0.25">
      <c r="A7930" t="s">
        <v>2625</v>
      </c>
      <c r="B7930">
        <v>51</v>
      </c>
      <c r="C7930" t="s">
        <v>10427</v>
      </c>
      <c r="D7930" t="s">
        <v>267</v>
      </c>
      <c r="E7930" s="13">
        <v>6000</v>
      </c>
      <c r="F7930" s="12">
        <v>9.6</v>
      </c>
      <c r="G7930" t="str">
        <f>IFERROR(INDEX(tEditais[Órgão],MATCH(tItens[[#This Row],[Edital]],tEditais[Edital],0)),"")</f>
        <v>COMANDO DO EXERCITO</v>
      </c>
      <c r="H7930" t="str">
        <f>IFERROR(INDEX(tEditais[UF],MATCH(tItens[[#This Row],[Edital]],tEditais[Edital],0)),"")</f>
        <v>RS</v>
      </c>
      <c r="I7930" s="11">
        <f>IFERROR(INDEX(tEditais[Encerramento],MATCH(tItens[[#This Row],[Edital]],tEditais[Edital],0)),"")</f>
        <v>46311.625</v>
      </c>
      <c r="J7930" t="str">
        <f>IFERROR(INDEX(tProdutos[Classe],MATCH(tItens[[#This Row],[Produto]],tProdutos[Produto],0)),"produto não cadastrado")</f>
        <v>FORA</v>
      </c>
      <c r="K7930" s="12">
        <f>tItens[[#This Row],[Qtd]]*tItens[[#This Row],[Vlr unit]]</f>
        <v>57600</v>
      </c>
      <c r="L7930" s="6">
        <f>IFERROR(IF(INDEX(tProdutos[Desconto homologado],MATCH(tItens[[#This Row],[Produto]],tProdutos[Produto],0))="",DescontoPadrao,INDEX(tProdutos[Desconto homologado],MATCH(tItens[[#This Row],[Produto]],tProdutos[Produto],0))),DescontoPadrao)</f>
        <v>0.19963672657401599</v>
      </c>
      <c r="M7930" s="12">
        <f>tItens[[#This Row],[Valor]]*(1-tItens[[#This Row],[Desconto]])</f>
        <v>46100.924549336676</v>
      </c>
      <c r="N7930" t="str">
        <f>IFERROR(INDEX(tProdutos[Foco],MATCH(tItens[[#This Row],[Produto]],tProdutos[Produto],0)),"Não")</f>
        <v>Não</v>
      </c>
      <c r="O7930" t="str">
        <f>IFERROR(INDEX(tEditais[SRP],MATCH(tItens[[#This Row],[Edital]],tEditais[Edital],0)),"Não")</f>
        <v>Não</v>
      </c>
      <c r="P7930" s="4">
        <f>IF(COUNTIFS(INDEX(tItens[Edital],1):tItens[[#This Row],[Edital]],tItens[[#This Row],[Edital]],INDEX(tItens[Produto],1):tItens[[#This Row],[Produto]],tItens[[#This Row],[Produto]])=1,1,0)</f>
        <v>1</v>
      </c>
    </row>
    <row r="7931" spans="1:16" x14ac:dyDescent="0.25">
      <c r="A7931" t="s">
        <v>2625</v>
      </c>
      <c r="B7931">
        <v>57</v>
      </c>
      <c r="C7931" t="s">
        <v>9409</v>
      </c>
      <c r="D7931" t="s">
        <v>62</v>
      </c>
      <c r="E7931" s="13">
        <v>750</v>
      </c>
      <c r="F7931" s="12">
        <v>100</v>
      </c>
      <c r="G7931" t="str">
        <f>IFERROR(INDEX(tEditais[Órgão],MATCH(tItens[[#This Row],[Edital]],tEditais[Edital],0)),"")</f>
        <v>COMANDO DO EXERCITO</v>
      </c>
      <c r="H7931" t="str">
        <f>IFERROR(INDEX(tEditais[UF],MATCH(tItens[[#This Row],[Edital]],tEditais[Edital],0)),"")</f>
        <v>RS</v>
      </c>
      <c r="I7931" s="11">
        <f>IFERROR(INDEX(tEditais[Encerramento],MATCH(tItens[[#This Row],[Edital]],tEditais[Edital],0)),"")</f>
        <v>46311.625</v>
      </c>
      <c r="J7931" t="str">
        <f>IFERROR(INDEX(tProdutos[Classe],MATCH(tItens[[#This Row],[Produto]],tProdutos[Produto],0)),"produto não cadastrado")</f>
        <v>NÚCLEO</v>
      </c>
      <c r="K7931" s="12">
        <f>tItens[[#This Row],[Qtd]]*tItens[[#This Row],[Vlr unit]]</f>
        <v>75000</v>
      </c>
      <c r="L7931" s="6">
        <f>IFERROR(IF(INDEX(tProdutos[Desconto homologado],MATCH(tItens[[#This Row],[Produto]],tProdutos[Produto],0))="",DescontoPadrao,INDEX(tProdutos[Desconto homologado],MATCH(tItens[[#This Row],[Produto]],tProdutos[Produto],0))),DescontoPadrao)</f>
        <v>0.3</v>
      </c>
      <c r="M7931" s="12">
        <f>tItens[[#This Row],[Valor]]*(1-tItens[[#This Row],[Desconto]])</f>
        <v>52500</v>
      </c>
      <c r="N7931" t="str">
        <f>IFERROR(INDEX(tProdutos[Foco],MATCH(tItens[[#This Row],[Produto]],tProdutos[Produto],0)),"Não")</f>
        <v>Sim</v>
      </c>
      <c r="O7931" t="str">
        <f>IFERROR(INDEX(tEditais[SRP],MATCH(tItens[[#This Row],[Edital]],tEditais[Edital],0)),"Não")</f>
        <v>Não</v>
      </c>
      <c r="P7931" s="4">
        <f>IF(COUNTIFS(INDEX(tItens[Edital],1):tItens[[#This Row],[Edital]],tItens[[#This Row],[Edital]],INDEX(tItens[Produto],1):tItens[[#This Row],[Produto]],tItens[[#This Row],[Produto]])=1,1,0)</f>
        <v>1</v>
      </c>
    </row>
    <row r="7932" spans="1:16" x14ac:dyDescent="0.25">
      <c r="A7932" t="s">
        <v>2625</v>
      </c>
      <c r="B7932">
        <v>58</v>
      </c>
      <c r="C7932" t="s">
        <v>9409</v>
      </c>
      <c r="D7932" t="s">
        <v>62</v>
      </c>
      <c r="E7932" s="13">
        <v>250</v>
      </c>
      <c r="F7932" s="12">
        <v>100</v>
      </c>
      <c r="G7932" t="str">
        <f>IFERROR(INDEX(tEditais[Órgão],MATCH(tItens[[#This Row],[Edital]],tEditais[Edital],0)),"")</f>
        <v>COMANDO DO EXERCITO</v>
      </c>
      <c r="H7932" t="str">
        <f>IFERROR(INDEX(tEditais[UF],MATCH(tItens[[#This Row],[Edital]],tEditais[Edital],0)),"")</f>
        <v>RS</v>
      </c>
      <c r="I7932" s="11">
        <f>IFERROR(INDEX(tEditais[Encerramento],MATCH(tItens[[#This Row],[Edital]],tEditais[Edital],0)),"")</f>
        <v>46311.625</v>
      </c>
      <c r="J7932" t="str">
        <f>IFERROR(INDEX(tProdutos[Classe],MATCH(tItens[[#This Row],[Produto]],tProdutos[Produto],0)),"produto não cadastrado")</f>
        <v>NÚCLEO</v>
      </c>
      <c r="K7932" s="12">
        <f>tItens[[#This Row],[Qtd]]*tItens[[#This Row],[Vlr unit]]</f>
        <v>25000</v>
      </c>
      <c r="L7932" s="6">
        <f>IFERROR(IF(INDEX(tProdutos[Desconto homologado],MATCH(tItens[[#This Row],[Produto]],tProdutos[Produto],0))="",DescontoPadrao,INDEX(tProdutos[Desconto homologado],MATCH(tItens[[#This Row],[Produto]],tProdutos[Produto],0))),DescontoPadrao)</f>
        <v>0.3</v>
      </c>
      <c r="M7932" s="12">
        <f>tItens[[#This Row],[Valor]]*(1-tItens[[#This Row],[Desconto]])</f>
        <v>17500</v>
      </c>
      <c r="N7932" t="str">
        <f>IFERROR(INDEX(tProdutos[Foco],MATCH(tItens[[#This Row],[Produto]],tProdutos[Produto],0)),"Não")</f>
        <v>Sim</v>
      </c>
      <c r="O7932" t="str">
        <f>IFERROR(INDEX(tEditais[SRP],MATCH(tItens[[#This Row],[Edital]],tEditais[Edital],0)),"Não")</f>
        <v>Não</v>
      </c>
      <c r="P7932" s="4">
        <f>IF(COUNTIFS(INDEX(tItens[Edital],1):tItens[[#This Row],[Edital]],tItens[[#This Row],[Edital]],INDEX(tItens[Produto],1):tItens[[#This Row],[Produto]],tItens[[#This Row],[Produto]])=1,1,0)</f>
        <v>0</v>
      </c>
    </row>
    <row r="7933" spans="1:16" x14ac:dyDescent="0.25">
      <c r="A7933" t="s">
        <v>2625</v>
      </c>
      <c r="B7933">
        <v>59</v>
      </c>
      <c r="C7933" t="s">
        <v>10428</v>
      </c>
      <c r="D7933" t="s">
        <v>347</v>
      </c>
      <c r="E7933" s="13">
        <v>1000</v>
      </c>
      <c r="F7933" s="12">
        <v>60</v>
      </c>
      <c r="G7933" t="str">
        <f>IFERROR(INDEX(tEditais[Órgão],MATCH(tItens[[#This Row],[Edital]],tEditais[Edital],0)),"")</f>
        <v>COMANDO DO EXERCITO</v>
      </c>
      <c r="H7933" t="str">
        <f>IFERROR(INDEX(tEditais[UF],MATCH(tItens[[#This Row],[Edital]],tEditais[Edital],0)),"")</f>
        <v>RS</v>
      </c>
      <c r="I7933" s="11">
        <f>IFERROR(INDEX(tEditais[Encerramento],MATCH(tItens[[#This Row],[Edital]],tEditais[Edital],0)),"")</f>
        <v>46311.625</v>
      </c>
      <c r="J7933" t="str">
        <f>IFERROR(INDEX(tProdutos[Classe],MATCH(tItens[[#This Row],[Produto]],tProdutos[Produto],0)),"produto não cadastrado")</f>
        <v>FORA</v>
      </c>
      <c r="K7933" s="12">
        <f>tItens[[#This Row],[Qtd]]*tItens[[#This Row],[Vlr unit]]</f>
        <v>60000</v>
      </c>
      <c r="L7933" s="6">
        <f>IFERROR(IF(INDEX(tProdutos[Desconto homologado],MATCH(tItens[[#This Row],[Produto]],tProdutos[Produto],0))="",DescontoPadrao,INDEX(tProdutos[Desconto homologado],MATCH(tItens[[#This Row],[Produto]],tProdutos[Produto],0))),DescontoPadrao)</f>
        <v>0.26356465005931201</v>
      </c>
      <c r="M7933" s="12">
        <f>tItens[[#This Row],[Valor]]*(1-tItens[[#This Row],[Desconto]])</f>
        <v>44186.120996441277</v>
      </c>
      <c r="N7933" t="str">
        <f>IFERROR(INDEX(tProdutos[Foco],MATCH(tItens[[#This Row],[Produto]],tProdutos[Produto],0)),"Não")</f>
        <v>Não</v>
      </c>
      <c r="O7933" t="str">
        <f>IFERROR(INDEX(tEditais[SRP],MATCH(tItens[[#This Row],[Edital]],tEditais[Edital],0)),"Não")</f>
        <v>Não</v>
      </c>
      <c r="P7933" s="4">
        <f>IF(COUNTIFS(INDEX(tItens[Edital],1):tItens[[#This Row],[Edital]],tItens[[#This Row],[Edital]],INDEX(tItens[Produto],1):tItens[[#This Row],[Produto]],tItens[[#This Row],[Produto]])=1,1,0)</f>
        <v>1</v>
      </c>
    </row>
    <row r="7934" spans="1:16" x14ac:dyDescent="0.25">
      <c r="A7934" t="s">
        <v>2628</v>
      </c>
      <c r="B7934">
        <v>33</v>
      </c>
      <c r="C7934" t="s">
        <v>10429</v>
      </c>
      <c r="D7934" t="s">
        <v>297</v>
      </c>
      <c r="E7934" s="13">
        <v>40</v>
      </c>
      <c r="F7934" s="12">
        <v>7.02</v>
      </c>
      <c r="G7934" t="str">
        <f>IFERROR(INDEX(tEditais[Órgão],MATCH(tItens[[#This Row],[Edital]],tEditais[Edital],0)),"")</f>
        <v>MUNICIPIO DE CRUZ ALTA</v>
      </c>
      <c r="H7934" t="str">
        <f>IFERROR(INDEX(tEditais[UF],MATCH(tItens[[#This Row],[Edital]],tEditais[Edital],0)),"")</f>
        <v>RS</v>
      </c>
      <c r="I7934" s="11">
        <f>IFERROR(INDEX(tEditais[Encerramento],MATCH(tItens[[#This Row],[Edital]],tEditais[Edital],0)),"")</f>
        <v>46314.333333333336</v>
      </c>
      <c r="J7934" t="str">
        <f>IFERROR(INDEX(tProdutos[Classe],MATCH(tItens[[#This Row],[Produto]],tProdutos[Produto],0)),"produto não cadastrado")</f>
        <v>FORA</v>
      </c>
      <c r="K7934" s="12">
        <f>tItens[[#This Row],[Qtd]]*tItens[[#This Row],[Vlr unit]]</f>
        <v>280.79999999999995</v>
      </c>
      <c r="L7934" s="6">
        <f>IFERROR(IF(INDEX(tProdutos[Desconto homologado],MATCH(tItens[[#This Row],[Produto]],tProdutos[Produto],0))="",DescontoPadrao,INDEX(tProdutos[Desconto homologado],MATCH(tItens[[#This Row],[Produto]],tProdutos[Produto],0))),DescontoPadrao)</f>
        <v>0.249544626593807</v>
      </c>
      <c r="M7934" s="12">
        <f>tItens[[#This Row],[Valor]]*(1-tItens[[#This Row],[Desconto]])</f>
        <v>210.72786885245895</v>
      </c>
      <c r="N7934" t="str">
        <f>IFERROR(INDEX(tProdutos[Foco],MATCH(tItens[[#This Row],[Produto]],tProdutos[Produto],0)),"Não")</f>
        <v>Não</v>
      </c>
      <c r="O7934" t="str">
        <f>IFERROR(INDEX(tEditais[SRP],MATCH(tItens[[#This Row],[Edital]],tEditais[Edital],0)),"Não")</f>
        <v>Sim</v>
      </c>
      <c r="P7934" s="4">
        <f>IF(COUNTIFS(INDEX(tItens[Edital],1):tItens[[#This Row],[Edital]],tItens[[#This Row],[Edital]],INDEX(tItens[Produto],1):tItens[[#This Row],[Produto]],tItens[[#This Row],[Produto]])=1,1,0)</f>
        <v>1</v>
      </c>
    </row>
    <row r="7935" spans="1:16" x14ac:dyDescent="0.25">
      <c r="A7935" t="s">
        <v>2628</v>
      </c>
      <c r="B7935">
        <v>34</v>
      </c>
      <c r="C7935" t="s">
        <v>10430</v>
      </c>
      <c r="D7935" t="s">
        <v>315</v>
      </c>
      <c r="E7935" s="13">
        <v>40</v>
      </c>
      <c r="F7935" s="12">
        <v>7.82</v>
      </c>
      <c r="G7935" t="str">
        <f>IFERROR(INDEX(tEditais[Órgão],MATCH(tItens[[#This Row],[Edital]],tEditais[Edital],0)),"")</f>
        <v>MUNICIPIO DE CRUZ ALTA</v>
      </c>
      <c r="H7935" t="str">
        <f>IFERROR(INDEX(tEditais[UF],MATCH(tItens[[#This Row],[Edital]],tEditais[Edital],0)),"")</f>
        <v>RS</v>
      </c>
      <c r="I7935" s="11">
        <f>IFERROR(INDEX(tEditais[Encerramento],MATCH(tItens[[#This Row],[Edital]],tEditais[Edital],0)),"")</f>
        <v>46314.333333333336</v>
      </c>
      <c r="J7935" t="str">
        <f>IFERROR(INDEX(tProdutos[Classe],MATCH(tItens[[#This Row],[Produto]],tProdutos[Produto],0)),"produto não cadastrado")</f>
        <v>FORA</v>
      </c>
      <c r="K7935" s="12">
        <f>tItens[[#This Row],[Qtd]]*tItens[[#This Row],[Vlr unit]]</f>
        <v>312.8</v>
      </c>
      <c r="L7935" s="6">
        <f>IFERROR(IF(INDEX(tProdutos[Desconto homologado],MATCH(tItens[[#This Row],[Produto]],tProdutos[Produto],0))="",DescontoPadrao,INDEX(tProdutos[Desconto homologado],MATCH(tItens[[#This Row],[Produto]],tProdutos[Produto],0))),DescontoPadrao)</f>
        <v>0.38432036097010702</v>
      </c>
      <c r="M7935" s="12">
        <f>tItens[[#This Row],[Valor]]*(1-tItens[[#This Row],[Desconto]])</f>
        <v>192.58459108855052</v>
      </c>
      <c r="N7935" t="str">
        <f>IFERROR(INDEX(tProdutos[Foco],MATCH(tItens[[#This Row],[Produto]],tProdutos[Produto],0)),"Não")</f>
        <v>Não</v>
      </c>
      <c r="O7935" t="str">
        <f>IFERROR(INDEX(tEditais[SRP],MATCH(tItens[[#This Row],[Edital]],tEditais[Edital],0)),"Não")</f>
        <v>Sim</v>
      </c>
      <c r="P7935" s="4">
        <f>IF(COUNTIFS(INDEX(tItens[Edital],1):tItens[[#This Row],[Edital]],tItens[[#This Row],[Edital]],INDEX(tItens[Produto],1):tItens[[#This Row],[Produto]],tItens[[#This Row],[Produto]])=1,1,0)</f>
        <v>1</v>
      </c>
    </row>
    <row r="7936" spans="1:16" x14ac:dyDescent="0.25">
      <c r="A7936" t="s">
        <v>2628</v>
      </c>
      <c r="B7936">
        <v>37</v>
      </c>
      <c r="C7936" t="s">
        <v>10431</v>
      </c>
      <c r="D7936" t="s">
        <v>315</v>
      </c>
      <c r="E7936" s="13">
        <v>5</v>
      </c>
      <c r="F7936" s="12">
        <v>11.56</v>
      </c>
      <c r="G7936" t="str">
        <f>IFERROR(INDEX(tEditais[Órgão],MATCH(tItens[[#This Row],[Edital]],tEditais[Edital],0)),"")</f>
        <v>MUNICIPIO DE CRUZ ALTA</v>
      </c>
      <c r="H7936" t="str">
        <f>IFERROR(INDEX(tEditais[UF],MATCH(tItens[[#This Row],[Edital]],tEditais[Edital],0)),"")</f>
        <v>RS</v>
      </c>
      <c r="I7936" s="11">
        <f>IFERROR(INDEX(tEditais[Encerramento],MATCH(tItens[[#This Row],[Edital]],tEditais[Edital],0)),"")</f>
        <v>46314.333333333336</v>
      </c>
      <c r="J7936" t="str">
        <f>IFERROR(INDEX(tProdutos[Classe],MATCH(tItens[[#This Row],[Produto]],tProdutos[Produto],0)),"produto não cadastrado")</f>
        <v>FORA</v>
      </c>
      <c r="K7936" s="12">
        <f>tItens[[#This Row],[Qtd]]*tItens[[#This Row],[Vlr unit]]</f>
        <v>57.800000000000004</v>
      </c>
      <c r="L7936" s="6">
        <f>IFERROR(IF(INDEX(tProdutos[Desconto homologado],MATCH(tItens[[#This Row],[Produto]],tProdutos[Produto],0))="",DescontoPadrao,INDEX(tProdutos[Desconto homologado],MATCH(tItens[[#This Row],[Produto]],tProdutos[Produto],0))),DescontoPadrao)</f>
        <v>0.38432036097010702</v>
      </c>
      <c r="M7936" s="12">
        <f>tItens[[#This Row],[Valor]]*(1-tItens[[#This Row],[Desconto]])</f>
        <v>35.586283135927815</v>
      </c>
      <c r="N7936" t="str">
        <f>IFERROR(INDEX(tProdutos[Foco],MATCH(tItens[[#This Row],[Produto]],tProdutos[Produto],0)),"Não")</f>
        <v>Não</v>
      </c>
      <c r="O7936" t="str">
        <f>IFERROR(INDEX(tEditais[SRP],MATCH(tItens[[#This Row],[Edital]],tEditais[Edital],0)),"Não")</f>
        <v>Sim</v>
      </c>
      <c r="P7936" s="4">
        <f>IF(COUNTIFS(INDEX(tItens[Edital],1):tItens[[#This Row],[Edital]],tItens[[#This Row],[Edital]],INDEX(tItens[Produto],1):tItens[[#This Row],[Produto]],tItens[[#This Row],[Produto]])=1,1,0)</f>
        <v>0</v>
      </c>
    </row>
    <row r="7937" spans="1:16" x14ac:dyDescent="0.25">
      <c r="A7937" t="s">
        <v>2628</v>
      </c>
      <c r="B7937">
        <v>38</v>
      </c>
      <c r="C7937" t="s">
        <v>10432</v>
      </c>
      <c r="D7937" t="s">
        <v>494</v>
      </c>
      <c r="E7937" s="13">
        <v>10</v>
      </c>
      <c r="F7937" s="12">
        <v>39.83</v>
      </c>
      <c r="G7937" t="str">
        <f>IFERROR(INDEX(tEditais[Órgão],MATCH(tItens[[#This Row],[Edital]],tEditais[Edital],0)),"")</f>
        <v>MUNICIPIO DE CRUZ ALTA</v>
      </c>
      <c r="H7937" t="str">
        <f>IFERROR(INDEX(tEditais[UF],MATCH(tItens[[#This Row],[Edital]],tEditais[Edital],0)),"")</f>
        <v>RS</v>
      </c>
      <c r="I7937" s="11">
        <f>IFERROR(INDEX(tEditais[Encerramento],MATCH(tItens[[#This Row],[Edital]],tEditais[Edital],0)),"")</f>
        <v>46314.333333333336</v>
      </c>
      <c r="J7937" t="str">
        <f>IFERROR(INDEX(tProdutos[Classe],MATCH(tItens[[#This Row],[Produto]],tProdutos[Produto],0)),"produto não cadastrado")</f>
        <v>FILA REBASE</v>
      </c>
      <c r="K7937" s="12">
        <f>tItens[[#This Row],[Qtd]]*tItens[[#This Row],[Vlr unit]]</f>
        <v>398.29999999999995</v>
      </c>
      <c r="L7937" s="6">
        <f>IFERROR(IF(INDEX(tProdutos[Desconto homologado],MATCH(tItens[[#This Row],[Produto]],tProdutos[Produto],0))="",DescontoPadrao,INDEX(tProdutos[Desconto homologado],MATCH(tItens[[#This Row],[Produto]],tProdutos[Produto],0))),DescontoPadrao)</f>
        <v>0.253736324829619</v>
      </c>
      <c r="M7937" s="12">
        <f>tItens[[#This Row],[Valor]]*(1-tItens[[#This Row],[Desconto]])</f>
        <v>297.23682182036276</v>
      </c>
      <c r="N7937" t="str">
        <f>IFERROR(INDEX(tProdutos[Foco],MATCH(tItens[[#This Row],[Produto]],tProdutos[Produto],0)),"Não")</f>
        <v>Não</v>
      </c>
      <c r="O7937" t="str">
        <f>IFERROR(INDEX(tEditais[SRP],MATCH(tItens[[#This Row],[Edital]],tEditais[Edital],0)),"Não")</f>
        <v>Sim</v>
      </c>
      <c r="P7937" s="4">
        <f>IF(COUNTIFS(INDEX(tItens[Edital],1):tItens[[#This Row],[Edital]],tItens[[#This Row],[Edital]],INDEX(tItens[Produto],1):tItens[[#This Row],[Produto]],tItens[[#This Row],[Produto]])=1,1,0)</f>
        <v>1</v>
      </c>
    </row>
    <row r="7938" spans="1:16" x14ac:dyDescent="0.25">
      <c r="A7938" t="s">
        <v>2628</v>
      </c>
      <c r="B7938">
        <v>39</v>
      </c>
      <c r="C7938" t="s">
        <v>10433</v>
      </c>
      <c r="D7938" t="s">
        <v>160</v>
      </c>
      <c r="E7938" s="13">
        <v>3500</v>
      </c>
      <c r="F7938" s="12">
        <v>3.64</v>
      </c>
      <c r="G7938" t="str">
        <f>IFERROR(INDEX(tEditais[Órgão],MATCH(tItens[[#This Row],[Edital]],tEditais[Edital],0)),"")</f>
        <v>MUNICIPIO DE CRUZ ALTA</v>
      </c>
      <c r="H7938" t="str">
        <f>IFERROR(INDEX(tEditais[UF],MATCH(tItens[[#This Row],[Edital]],tEditais[Edital],0)),"")</f>
        <v>RS</v>
      </c>
      <c r="I7938" s="11">
        <f>IFERROR(INDEX(tEditais[Encerramento],MATCH(tItens[[#This Row],[Edital]],tEditais[Edital],0)),"")</f>
        <v>46314.333333333336</v>
      </c>
      <c r="J7938" t="str">
        <f>IFERROR(INDEX(tProdutos[Classe],MATCH(tItens[[#This Row],[Produto]],tProdutos[Produto],0)),"produto não cadastrado")</f>
        <v>DISPUTADO</v>
      </c>
      <c r="K7938" s="12">
        <f>tItens[[#This Row],[Qtd]]*tItens[[#This Row],[Vlr unit]]</f>
        <v>12740</v>
      </c>
      <c r="L7938" s="6">
        <f>IFERROR(IF(INDEX(tProdutos[Desconto homologado],MATCH(tItens[[#This Row],[Produto]],tProdutos[Produto],0))="",DescontoPadrao,INDEX(tProdutos[Desconto homologado],MATCH(tItens[[#This Row],[Produto]],tProdutos[Produto],0))),DescontoPadrao)</f>
        <v>0.28000000000000003</v>
      </c>
      <c r="M7938" s="12">
        <f>tItens[[#This Row],[Valor]]*(1-tItens[[#This Row],[Desconto]])</f>
        <v>9172.7999999999993</v>
      </c>
      <c r="N7938" t="str">
        <f>IFERROR(INDEX(tProdutos[Foco],MATCH(tItens[[#This Row],[Produto]],tProdutos[Produto],0)),"Não")</f>
        <v>Sim</v>
      </c>
      <c r="O7938" t="str">
        <f>IFERROR(INDEX(tEditais[SRP],MATCH(tItens[[#This Row],[Edital]],tEditais[Edital],0)),"Não")</f>
        <v>Sim</v>
      </c>
      <c r="P7938" s="4">
        <f>IF(COUNTIFS(INDEX(tItens[Edital],1):tItens[[#This Row],[Edital]],tItens[[#This Row],[Edital]],INDEX(tItens[Produto],1):tItens[[#This Row],[Produto]],tItens[[#This Row],[Produto]])=1,1,0)</f>
        <v>1</v>
      </c>
    </row>
    <row r="7939" spans="1:16" x14ac:dyDescent="0.25">
      <c r="A7939" t="s">
        <v>2628</v>
      </c>
      <c r="B7939">
        <v>44</v>
      </c>
      <c r="C7939" t="s">
        <v>10434</v>
      </c>
      <c r="D7939" t="s">
        <v>461</v>
      </c>
      <c r="E7939" s="13">
        <v>2700</v>
      </c>
      <c r="F7939" s="12">
        <v>27.47</v>
      </c>
      <c r="G7939" t="str">
        <f>IFERROR(INDEX(tEditais[Órgão],MATCH(tItens[[#This Row],[Edital]],tEditais[Edital],0)),"")</f>
        <v>MUNICIPIO DE CRUZ ALTA</v>
      </c>
      <c r="H7939" t="str">
        <f>IFERROR(INDEX(tEditais[UF],MATCH(tItens[[#This Row],[Edital]],tEditais[Edital],0)),"")</f>
        <v>RS</v>
      </c>
      <c r="I7939" s="11">
        <f>IFERROR(INDEX(tEditais[Encerramento],MATCH(tItens[[#This Row],[Edital]],tEditais[Edital],0)),"")</f>
        <v>46314.333333333336</v>
      </c>
      <c r="J7939" t="str">
        <f>IFERROR(INDEX(tProdutos[Classe],MATCH(tItens[[#This Row],[Produto]],tProdutos[Produto],0)),"produto não cadastrado")</f>
        <v>FILA REBASE</v>
      </c>
      <c r="K7939" s="12">
        <f>tItens[[#This Row],[Qtd]]*tItens[[#This Row],[Vlr unit]]</f>
        <v>74169</v>
      </c>
      <c r="L7939" s="6">
        <f>IFERROR(IF(INDEX(tProdutos[Desconto homologado],MATCH(tItens[[#This Row],[Produto]],tProdutos[Produto],0))="",DescontoPadrao,INDEX(tProdutos[Desconto homologado],MATCH(tItens[[#This Row],[Produto]],tProdutos[Produto],0))),DescontoPadrao)</f>
        <v>0.44096385542168698</v>
      </c>
      <c r="M7939" s="12">
        <f>tItens[[#This Row],[Valor]]*(1-tItens[[#This Row],[Desconto]])</f>
        <v>41463.151807228896</v>
      </c>
      <c r="N7939" t="str">
        <f>IFERROR(INDEX(tProdutos[Foco],MATCH(tItens[[#This Row],[Produto]],tProdutos[Produto],0)),"Não")</f>
        <v>Não</v>
      </c>
      <c r="O7939" t="str">
        <f>IFERROR(INDEX(tEditais[SRP],MATCH(tItens[[#This Row],[Edital]],tEditais[Edital],0)),"Não")</f>
        <v>Sim</v>
      </c>
      <c r="P7939" s="4">
        <f>IF(COUNTIFS(INDEX(tItens[Edital],1):tItens[[#This Row],[Edital]],tItens[[#This Row],[Edital]],INDEX(tItens[Produto],1):tItens[[#This Row],[Produto]],tItens[[#This Row],[Produto]])=1,1,0)</f>
        <v>1</v>
      </c>
    </row>
    <row r="7940" spans="1:16" x14ac:dyDescent="0.25">
      <c r="A7940" t="s">
        <v>2628</v>
      </c>
      <c r="B7940">
        <v>45</v>
      </c>
      <c r="C7940" t="s">
        <v>10435</v>
      </c>
      <c r="D7940" t="s">
        <v>461</v>
      </c>
      <c r="E7940" s="13">
        <v>2700</v>
      </c>
      <c r="F7940" s="12">
        <v>25.45</v>
      </c>
      <c r="G7940" t="str">
        <f>IFERROR(INDEX(tEditais[Órgão],MATCH(tItens[[#This Row],[Edital]],tEditais[Edital],0)),"")</f>
        <v>MUNICIPIO DE CRUZ ALTA</v>
      </c>
      <c r="H7940" t="str">
        <f>IFERROR(INDEX(tEditais[UF],MATCH(tItens[[#This Row],[Edital]],tEditais[Edital],0)),"")</f>
        <v>RS</v>
      </c>
      <c r="I7940" s="11">
        <f>IFERROR(INDEX(tEditais[Encerramento],MATCH(tItens[[#This Row],[Edital]],tEditais[Edital],0)),"")</f>
        <v>46314.333333333336</v>
      </c>
      <c r="J7940" t="str">
        <f>IFERROR(INDEX(tProdutos[Classe],MATCH(tItens[[#This Row],[Produto]],tProdutos[Produto],0)),"produto não cadastrado")</f>
        <v>FILA REBASE</v>
      </c>
      <c r="K7940" s="12">
        <f>tItens[[#This Row],[Qtd]]*tItens[[#This Row],[Vlr unit]]</f>
        <v>68715</v>
      </c>
      <c r="L7940" s="6">
        <f>IFERROR(IF(INDEX(tProdutos[Desconto homologado],MATCH(tItens[[#This Row],[Produto]],tProdutos[Produto],0))="",DescontoPadrao,INDEX(tProdutos[Desconto homologado],MATCH(tItens[[#This Row],[Produto]],tProdutos[Produto],0))),DescontoPadrao)</f>
        <v>0.44096385542168698</v>
      </c>
      <c r="M7940" s="12">
        <f>tItens[[#This Row],[Valor]]*(1-tItens[[#This Row],[Desconto]])</f>
        <v>38414.168674698776</v>
      </c>
      <c r="N7940" t="str">
        <f>IFERROR(INDEX(tProdutos[Foco],MATCH(tItens[[#This Row],[Produto]],tProdutos[Produto],0)),"Não")</f>
        <v>Não</v>
      </c>
      <c r="O7940" t="str">
        <f>IFERROR(INDEX(tEditais[SRP],MATCH(tItens[[#This Row],[Edital]],tEditais[Edital],0)),"Não")</f>
        <v>Sim</v>
      </c>
      <c r="P7940" s="4">
        <f>IF(COUNTIFS(INDEX(tItens[Edital],1):tItens[[#This Row],[Edital]],tItens[[#This Row],[Edital]],INDEX(tItens[Produto],1):tItens[[#This Row],[Produto]],tItens[[#This Row],[Produto]])=1,1,0)</f>
        <v>0</v>
      </c>
    </row>
    <row r="7941" spans="1:16" x14ac:dyDescent="0.25">
      <c r="A7941" t="s">
        <v>2628</v>
      </c>
      <c r="B7941">
        <v>46</v>
      </c>
      <c r="C7941" t="s">
        <v>10436</v>
      </c>
      <c r="D7941" t="s">
        <v>411</v>
      </c>
      <c r="E7941" s="13">
        <v>10</v>
      </c>
      <c r="F7941" s="12">
        <v>37.15</v>
      </c>
      <c r="G7941" t="str">
        <f>IFERROR(INDEX(tEditais[Órgão],MATCH(tItens[[#This Row],[Edital]],tEditais[Edital],0)),"")</f>
        <v>MUNICIPIO DE CRUZ ALTA</v>
      </c>
      <c r="H7941" t="str">
        <f>IFERROR(INDEX(tEditais[UF],MATCH(tItens[[#This Row],[Edital]],tEditais[Edital],0)),"")</f>
        <v>RS</v>
      </c>
      <c r="I7941" s="11">
        <f>IFERROR(INDEX(tEditais[Encerramento],MATCH(tItens[[#This Row],[Edital]],tEditais[Edital],0)),"")</f>
        <v>46314.333333333336</v>
      </c>
      <c r="J7941" t="str">
        <f>IFERROR(INDEX(tProdutos[Classe],MATCH(tItens[[#This Row],[Produto]],tProdutos[Produto],0)),"produto não cadastrado")</f>
        <v>FORA</v>
      </c>
      <c r="K7941" s="12">
        <f>tItens[[#This Row],[Qtd]]*tItens[[#This Row],[Vlr unit]]</f>
        <v>371.5</v>
      </c>
      <c r="L7941" s="6">
        <f>IFERROR(IF(INDEX(tProdutos[Desconto homologado],MATCH(tItens[[#This Row],[Produto]],tProdutos[Produto],0))="",DescontoPadrao,INDEX(tProdutos[Desconto homologado],MATCH(tItens[[#This Row],[Produto]],tProdutos[Produto],0))),DescontoPadrao)</f>
        <v>0.50029835957199398</v>
      </c>
      <c r="M7941" s="12">
        <f>tItens[[#This Row],[Valor]]*(1-tItens[[#This Row],[Desconto]])</f>
        <v>185.63915941900424</v>
      </c>
      <c r="N7941" t="str">
        <f>IFERROR(INDEX(tProdutos[Foco],MATCH(tItens[[#This Row],[Produto]],tProdutos[Produto],0)),"Não")</f>
        <v>Não</v>
      </c>
      <c r="O7941" t="str">
        <f>IFERROR(INDEX(tEditais[SRP],MATCH(tItens[[#This Row],[Edital]],tEditais[Edital],0)),"Não")</f>
        <v>Sim</v>
      </c>
      <c r="P7941" s="4">
        <f>IF(COUNTIFS(INDEX(tItens[Edital],1):tItens[[#This Row],[Edital]],tItens[[#This Row],[Edital]],INDEX(tItens[Produto],1):tItens[[#This Row],[Produto]],tItens[[#This Row],[Produto]])=1,1,0)</f>
        <v>1</v>
      </c>
    </row>
    <row r="7942" spans="1:16" x14ac:dyDescent="0.25">
      <c r="A7942" t="s">
        <v>2628</v>
      </c>
      <c r="B7942">
        <v>47</v>
      </c>
      <c r="C7942" t="s">
        <v>10437</v>
      </c>
      <c r="D7942" t="s">
        <v>56</v>
      </c>
      <c r="E7942" s="13">
        <v>50</v>
      </c>
      <c r="F7942" s="12">
        <v>28.43</v>
      </c>
      <c r="G7942" t="str">
        <f>IFERROR(INDEX(tEditais[Órgão],MATCH(tItens[[#This Row],[Edital]],tEditais[Edital],0)),"")</f>
        <v>MUNICIPIO DE CRUZ ALTA</v>
      </c>
      <c r="H7942" t="str">
        <f>IFERROR(INDEX(tEditais[UF],MATCH(tItens[[#This Row],[Edital]],tEditais[Edital],0)),"")</f>
        <v>RS</v>
      </c>
      <c r="I7942" s="11">
        <f>IFERROR(INDEX(tEditais[Encerramento],MATCH(tItens[[#This Row],[Edital]],tEditais[Edital],0)),"")</f>
        <v>46314.333333333336</v>
      </c>
      <c r="J7942" t="str">
        <f>IFERROR(INDEX(tProdutos[Classe],MATCH(tItens[[#This Row],[Produto]],tProdutos[Produto],0)),"produto não cadastrado")</f>
        <v>NÚCLEO</v>
      </c>
      <c r="K7942" s="12">
        <f>tItens[[#This Row],[Qtd]]*tItens[[#This Row],[Vlr unit]]</f>
        <v>1421.5</v>
      </c>
      <c r="L7942" s="6">
        <f>IFERROR(IF(INDEX(tProdutos[Desconto homologado],MATCH(tItens[[#This Row],[Produto]],tProdutos[Produto],0))="",DescontoPadrao,INDEX(tProdutos[Desconto homologado],MATCH(tItens[[#This Row],[Produto]],tProdutos[Produto],0))),DescontoPadrao)</f>
        <v>0.34</v>
      </c>
      <c r="M7942" s="12">
        <f>tItens[[#This Row],[Valor]]*(1-tItens[[#This Row],[Desconto]])</f>
        <v>938.18999999999994</v>
      </c>
      <c r="N7942" t="str">
        <f>IFERROR(INDEX(tProdutos[Foco],MATCH(tItens[[#This Row],[Produto]],tProdutos[Produto],0)),"Não")</f>
        <v>Sim</v>
      </c>
      <c r="O7942" t="str">
        <f>IFERROR(INDEX(tEditais[SRP],MATCH(tItens[[#This Row],[Edital]],tEditais[Edital],0)),"Não")</f>
        <v>Sim</v>
      </c>
      <c r="P7942" s="4">
        <f>IF(COUNTIFS(INDEX(tItens[Edital],1):tItens[[#This Row],[Edital]],tItens[[#This Row],[Edital]],INDEX(tItens[Produto],1):tItens[[#This Row],[Produto]],tItens[[#This Row],[Produto]])=1,1,0)</f>
        <v>1</v>
      </c>
    </row>
    <row r="7943" spans="1:16" x14ac:dyDescent="0.25">
      <c r="A7943" t="s">
        <v>2628</v>
      </c>
      <c r="B7943">
        <v>54</v>
      </c>
      <c r="C7943" t="s">
        <v>10438</v>
      </c>
      <c r="D7943" t="s">
        <v>283</v>
      </c>
      <c r="E7943" s="13">
        <v>50</v>
      </c>
      <c r="F7943" s="12">
        <v>32.799999999999997</v>
      </c>
      <c r="G7943" t="str">
        <f>IFERROR(INDEX(tEditais[Órgão],MATCH(tItens[[#This Row],[Edital]],tEditais[Edital],0)),"")</f>
        <v>MUNICIPIO DE CRUZ ALTA</v>
      </c>
      <c r="H7943" t="str">
        <f>IFERROR(INDEX(tEditais[UF],MATCH(tItens[[#This Row],[Edital]],tEditais[Edital],0)),"")</f>
        <v>RS</v>
      </c>
      <c r="I7943" s="11">
        <f>IFERROR(INDEX(tEditais[Encerramento],MATCH(tItens[[#This Row],[Edital]],tEditais[Edital],0)),"")</f>
        <v>46314.333333333336</v>
      </c>
      <c r="J7943" t="str">
        <f>IFERROR(INDEX(tProdutos[Classe],MATCH(tItens[[#This Row],[Produto]],tProdutos[Produto],0)),"produto não cadastrado")</f>
        <v>FORA</v>
      </c>
      <c r="K7943" s="12">
        <f>tItens[[#This Row],[Qtd]]*tItens[[#This Row],[Vlr unit]]</f>
        <v>1639.9999999999998</v>
      </c>
      <c r="L7943" s="6">
        <f>IFERROR(IF(INDEX(tProdutos[Desconto homologado],MATCH(tItens[[#This Row],[Produto]],tProdutos[Produto],0))="",DescontoPadrao,INDEX(tProdutos[Desconto homologado],MATCH(tItens[[#This Row],[Produto]],tProdutos[Produto],0))),DescontoPadrao)</f>
        <v>0.40540540540540498</v>
      </c>
      <c r="M7943" s="12">
        <f>tItens[[#This Row],[Valor]]*(1-tItens[[#This Row],[Desconto]])</f>
        <v>975.13513513513556</v>
      </c>
      <c r="N7943" t="str">
        <f>IFERROR(INDEX(tProdutos[Foco],MATCH(tItens[[#This Row],[Produto]],tProdutos[Produto],0)),"Não")</f>
        <v>Não</v>
      </c>
      <c r="O7943" t="str">
        <f>IFERROR(INDEX(tEditais[SRP],MATCH(tItens[[#This Row],[Edital]],tEditais[Edital],0)),"Não")</f>
        <v>Sim</v>
      </c>
      <c r="P7943" s="4">
        <f>IF(COUNTIFS(INDEX(tItens[Edital],1):tItens[[#This Row],[Edital]],tItens[[#This Row],[Edital]],INDEX(tItens[Produto],1):tItens[[#This Row],[Produto]],tItens[[#This Row],[Produto]])=1,1,0)</f>
        <v>1</v>
      </c>
    </row>
    <row r="7944" spans="1:16" x14ac:dyDescent="0.25">
      <c r="A7944" t="s">
        <v>2628</v>
      </c>
      <c r="B7944">
        <v>55</v>
      </c>
      <c r="C7944" t="s">
        <v>10439</v>
      </c>
      <c r="D7944" t="s">
        <v>281</v>
      </c>
      <c r="E7944" s="13">
        <v>500</v>
      </c>
      <c r="F7944" s="12">
        <v>0.37</v>
      </c>
      <c r="G7944" t="str">
        <f>IFERROR(INDEX(tEditais[Órgão],MATCH(tItens[[#This Row],[Edital]],tEditais[Edital],0)),"")</f>
        <v>MUNICIPIO DE CRUZ ALTA</v>
      </c>
      <c r="H7944" t="str">
        <f>IFERROR(INDEX(tEditais[UF],MATCH(tItens[[#This Row],[Edital]],tEditais[Edital],0)),"")</f>
        <v>RS</v>
      </c>
      <c r="I7944" s="11">
        <f>IFERROR(INDEX(tEditais[Encerramento],MATCH(tItens[[#This Row],[Edital]],tEditais[Edital],0)),"")</f>
        <v>46314.333333333336</v>
      </c>
      <c r="J7944" t="str">
        <f>IFERROR(INDEX(tProdutos[Classe],MATCH(tItens[[#This Row],[Produto]],tProdutos[Produto],0)),"produto não cadastrado")</f>
        <v>DISPUTADO</v>
      </c>
      <c r="K7944" s="12">
        <f>tItens[[#This Row],[Qtd]]*tItens[[#This Row],[Vlr unit]]</f>
        <v>185</v>
      </c>
      <c r="L7944" s="6">
        <f>IFERROR(IF(INDEX(tProdutos[Desconto homologado],MATCH(tItens[[#This Row],[Produto]],tProdutos[Produto],0))="",DescontoPadrao,INDEX(tProdutos[Desconto homologado],MATCH(tItens[[#This Row],[Produto]],tProdutos[Produto],0))),DescontoPadrao)</f>
        <v>0.42461538461538501</v>
      </c>
      <c r="M7944" s="12">
        <f>tItens[[#This Row],[Valor]]*(1-tItens[[#This Row],[Desconto]])</f>
        <v>106.44615384615376</v>
      </c>
      <c r="N7944" t="str">
        <f>IFERROR(INDEX(tProdutos[Foco],MATCH(tItens[[#This Row],[Produto]],tProdutos[Produto],0)),"Não")</f>
        <v>Não</v>
      </c>
      <c r="O7944" t="str">
        <f>IFERROR(INDEX(tEditais[SRP],MATCH(tItens[[#This Row],[Edital]],tEditais[Edital],0)),"Não")</f>
        <v>Sim</v>
      </c>
      <c r="P7944" s="4">
        <f>IF(COUNTIFS(INDEX(tItens[Edital],1):tItens[[#This Row],[Edital]],tItens[[#This Row],[Edital]],INDEX(tItens[Produto],1):tItens[[#This Row],[Produto]],tItens[[#This Row],[Produto]])=1,1,0)</f>
        <v>1</v>
      </c>
    </row>
    <row r="7945" spans="1:16" x14ac:dyDescent="0.25">
      <c r="A7945" t="s">
        <v>2628</v>
      </c>
      <c r="B7945">
        <v>59</v>
      </c>
      <c r="C7945" t="s">
        <v>10440</v>
      </c>
      <c r="D7945" t="s">
        <v>142</v>
      </c>
      <c r="E7945" s="13">
        <v>10</v>
      </c>
      <c r="F7945" s="12">
        <v>4</v>
      </c>
      <c r="G7945" t="str">
        <f>IFERROR(INDEX(tEditais[Órgão],MATCH(tItens[[#This Row],[Edital]],tEditais[Edital],0)),"")</f>
        <v>MUNICIPIO DE CRUZ ALTA</v>
      </c>
      <c r="H7945" t="str">
        <f>IFERROR(INDEX(tEditais[UF],MATCH(tItens[[#This Row],[Edital]],tEditais[Edital],0)),"")</f>
        <v>RS</v>
      </c>
      <c r="I7945" s="11">
        <f>IFERROR(INDEX(tEditais[Encerramento],MATCH(tItens[[#This Row],[Edital]],tEditais[Edital],0)),"")</f>
        <v>46314.333333333336</v>
      </c>
      <c r="J7945" t="str">
        <f>IFERROR(INDEX(tProdutos[Classe],MATCH(tItens[[#This Row],[Produto]],tProdutos[Produto],0)),"produto não cadastrado")</f>
        <v>DISPUTADO</v>
      </c>
      <c r="K7945" s="12">
        <f>tItens[[#This Row],[Qtd]]*tItens[[#This Row],[Vlr unit]]</f>
        <v>40</v>
      </c>
      <c r="L7945" s="6">
        <f>IFERROR(IF(INDEX(tProdutos[Desconto homologado],MATCH(tItens[[#This Row],[Produto]],tProdutos[Produto],0))="",DescontoPadrao,INDEX(tProdutos[Desconto homologado],MATCH(tItens[[#This Row],[Produto]],tProdutos[Produto],0))),DescontoPadrao)</f>
        <v>0.37093619495691699</v>
      </c>
      <c r="M7945" s="12">
        <f>tItens[[#This Row],[Valor]]*(1-tItens[[#This Row],[Desconto]])</f>
        <v>25.162552201723322</v>
      </c>
      <c r="N7945" t="str">
        <f>IFERROR(INDEX(tProdutos[Foco],MATCH(tItens[[#This Row],[Produto]],tProdutos[Produto],0)),"Não")</f>
        <v>Não</v>
      </c>
      <c r="O7945" t="str">
        <f>IFERROR(INDEX(tEditais[SRP],MATCH(tItens[[#This Row],[Edital]],tEditais[Edital],0)),"Não")</f>
        <v>Sim</v>
      </c>
      <c r="P7945" s="4">
        <f>IF(COUNTIFS(INDEX(tItens[Edital],1):tItens[[#This Row],[Edital]],tItens[[#This Row],[Edital]],INDEX(tItens[Produto],1):tItens[[#This Row],[Produto]],tItens[[#This Row],[Produto]])=1,1,0)</f>
        <v>1</v>
      </c>
    </row>
    <row r="7946" spans="1:16" x14ac:dyDescent="0.25">
      <c r="A7946" t="s">
        <v>2628</v>
      </c>
      <c r="B7946">
        <v>60</v>
      </c>
      <c r="C7946" t="s">
        <v>10441</v>
      </c>
      <c r="D7946" t="s">
        <v>313</v>
      </c>
      <c r="E7946" s="13">
        <v>50</v>
      </c>
      <c r="F7946" s="12">
        <v>20.05</v>
      </c>
      <c r="G7946" t="str">
        <f>IFERROR(INDEX(tEditais[Órgão],MATCH(tItens[[#This Row],[Edital]],tEditais[Edital],0)),"")</f>
        <v>MUNICIPIO DE CRUZ ALTA</v>
      </c>
      <c r="H7946" t="str">
        <f>IFERROR(INDEX(tEditais[UF],MATCH(tItens[[#This Row],[Edital]],tEditais[Edital],0)),"")</f>
        <v>RS</v>
      </c>
      <c r="I7946" s="11">
        <f>IFERROR(INDEX(tEditais[Encerramento],MATCH(tItens[[#This Row],[Edital]],tEditais[Edital],0)),"")</f>
        <v>46314.333333333336</v>
      </c>
      <c r="J7946" t="str">
        <f>IFERROR(INDEX(tProdutos[Classe],MATCH(tItens[[#This Row],[Produto]],tProdutos[Produto],0)),"produto não cadastrado")</f>
        <v>FORA</v>
      </c>
      <c r="K7946" s="12">
        <f>tItens[[#This Row],[Qtd]]*tItens[[#This Row],[Vlr unit]]</f>
        <v>1002.5</v>
      </c>
      <c r="L7946" s="6">
        <f>IFERROR(IF(INDEX(tProdutos[Desconto homologado],MATCH(tItens[[#This Row],[Produto]],tProdutos[Produto],0))="",DescontoPadrao,INDEX(tProdutos[Desconto homologado],MATCH(tItens[[#This Row],[Produto]],tProdutos[Produto],0))),DescontoPadrao)</f>
        <v>0.35766373163696302</v>
      </c>
      <c r="M7946" s="12">
        <f>tItens[[#This Row],[Valor]]*(1-tItens[[#This Row],[Desconto]])</f>
        <v>643.94210903394446</v>
      </c>
      <c r="N7946" t="str">
        <f>IFERROR(INDEX(tProdutos[Foco],MATCH(tItens[[#This Row],[Produto]],tProdutos[Produto],0)),"Não")</f>
        <v>Não</v>
      </c>
      <c r="O7946" t="str">
        <f>IFERROR(INDEX(tEditais[SRP],MATCH(tItens[[#This Row],[Edital]],tEditais[Edital],0)),"Não")</f>
        <v>Sim</v>
      </c>
      <c r="P7946" s="4">
        <f>IF(COUNTIFS(INDEX(tItens[Edital],1):tItens[[#This Row],[Edital]],tItens[[#This Row],[Edital]],INDEX(tItens[Produto],1):tItens[[#This Row],[Produto]],tItens[[#This Row],[Produto]])=1,1,0)</f>
        <v>1</v>
      </c>
    </row>
    <row r="7947" spans="1:16" x14ac:dyDescent="0.25">
      <c r="A7947" t="s">
        <v>2628</v>
      </c>
      <c r="B7947">
        <v>61</v>
      </c>
      <c r="C7947" t="s">
        <v>10442</v>
      </c>
      <c r="D7947" t="s">
        <v>313</v>
      </c>
      <c r="E7947" s="13">
        <v>100</v>
      </c>
      <c r="F7947" s="12">
        <v>20.83</v>
      </c>
      <c r="G7947" t="str">
        <f>IFERROR(INDEX(tEditais[Órgão],MATCH(tItens[[#This Row],[Edital]],tEditais[Edital],0)),"")</f>
        <v>MUNICIPIO DE CRUZ ALTA</v>
      </c>
      <c r="H7947" t="str">
        <f>IFERROR(INDEX(tEditais[UF],MATCH(tItens[[#This Row],[Edital]],tEditais[Edital],0)),"")</f>
        <v>RS</v>
      </c>
      <c r="I7947" s="11">
        <f>IFERROR(INDEX(tEditais[Encerramento],MATCH(tItens[[#This Row],[Edital]],tEditais[Edital],0)),"")</f>
        <v>46314.333333333336</v>
      </c>
      <c r="J7947" t="str">
        <f>IFERROR(INDEX(tProdutos[Classe],MATCH(tItens[[#This Row],[Produto]],tProdutos[Produto],0)),"produto não cadastrado")</f>
        <v>FORA</v>
      </c>
      <c r="K7947" s="12">
        <f>tItens[[#This Row],[Qtd]]*tItens[[#This Row],[Vlr unit]]</f>
        <v>2083</v>
      </c>
      <c r="L7947" s="6">
        <f>IFERROR(IF(INDEX(tProdutos[Desconto homologado],MATCH(tItens[[#This Row],[Produto]],tProdutos[Produto],0))="",DescontoPadrao,INDEX(tProdutos[Desconto homologado],MATCH(tItens[[#This Row],[Produto]],tProdutos[Produto],0))),DescontoPadrao)</f>
        <v>0.35766373163696302</v>
      </c>
      <c r="M7947" s="12">
        <f>tItens[[#This Row],[Valor]]*(1-tItens[[#This Row],[Desconto]])</f>
        <v>1337.986447000206</v>
      </c>
      <c r="N7947" t="str">
        <f>IFERROR(INDEX(tProdutos[Foco],MATCH(tItens[[#This Row],[Produto]],tProdutos[Produto],0)),"Não")</f>
        <v>Não</v>
      </c>
      <c r="O7947" t="str">
        <f>IFERROR(INDEX(tEditais[SRP],MATCH(tItens[[#This Row],[Edital]],tEditais[Edital],0)),"Não")</f>
        <v>Sim</v>
      </c>
      <c r="P7947" s="4">
        <f>IF(COUNTIFS(INDEX(tItens[Edital],1):tItens[[#This Row],[Edital]],tItens[[#This Row],[Edital]],INDEX(tItens[Produto],1):tItens[[#This Row],[Produto]],tItens[[#This Row],[Produto]])=1,1,0)</f>
        <v>0</v>
      </c>
    </row>
    <row r="7948" spans="1:16" x14ac:dyDescent="0.25">
      <c r="A7948" t="s">
        <v>2628</v>
      </c>
      <c r="B7948">
        <v>62</v>
      </c>
      <c r="C7948" t="s">
        <v>10443</v>
      </c>
      <c r="D7948" t="s">
        <v>313</v>
      </c>
      <c r="E7948" s="13">
        <v>50</v>
      </c>
      <c r="F7948" s="12">
        <v>22.97</v>
      </c>
      <c r="G7948" t="str">
        <f>IFERROR(INDEX(tEditais[Órgão],MATCH(tItens[[#This Row],[Edital]],tEditais[Edital],0)),"")</f>
        <v>MUNICIPIO DE CRUZ ALTA</v>
      </c>
      <c r="H7948" t="str">
        <f>IFERROR(INDEX(tEditais[UF],MATCH(tItens[[#This Row],[Edital]],tEditais[Edital],0)),"")</f>
        <v>RS</v>
      </c>
      <c r="I7948" s="11">
        <f>IFERROR(INDEX(tEditais[Encerramento],MATCH(tItens[[#This Row],[Edital]],tEditais[Edital],0)),"")</f>
        <v>46314.333333333336</v>
      </c>
      <c r="J7948" t="str">
        <f>IFERROR(INDEX(tProdutos[Classe],MATCH(tItens[[#This Row],[Produto]],tProdutos[Produto],0)),"produto não cadastrado")</f>
        <v>FORA</v>
      </c>
      <c r="K7948" s="12">
        <f>tItens[[#This Row],[Qtd]]*tItens[[#This Row],[Vlr unit]]</f>
        <v>1148.5</v>
      </c>
      <c r="L7948" s="6">
        <f>IFERROR(IF(INDEX(tProdutos[Desconto homologado],MATCH(tItens[[#This Row],[Produto]],tProdutos[Produto],0))="",DescontoPadrao,INDEX(tProdutos[Desconto homologado],MATCH(tItens[[#This Row],[Produto]],tProdutos[Produto],0))),DescontoPadrao)</f>
        <v>0.35766373163696302</v>
      </c>
      <c r="M7948" s="12">
        <f>tItens[[#This Row],[Valor]]*(1-tItens[[#This Row],[Desconto]])</f>
        <v>737.72320421494794</v>
      </c>
      <c r="N7948" t="str">
        <f>IFERROR(INDEX(tProdutos[Foco],MATCH(tItens[[#This Row],[Produto]],tProdutos[Produto],0)),"Não")</f>
        <v>Não</v>
      </c>
      <c r="O7948" t="str">
        <f>IFERROR(INDEX(tEditais[SRP],MATCH(tItens[[#This Row],[Edital]],tEditais[Edital],0)),"Não")</f>
        <v>Sim</v>
      </c>
      <c r="P7948" s="4">
        <f>IF(COUNTIFS(INDEX(tItens[Edital],1):tItens[[#This Row],[Edital]],tItens[[#This Row],[Edital]],INDEX(tItens[Produto],1):tItens[[#This Row],[Produto]],tItens[[#This Row],[Produto]])=1,1,0)</f>
        <v>0</v>
      </c>
    </row>
    <row r="7949" spans="1:16" x14ac:dyDescent="0.25">
      <c r="A7949" t="s">
        <v>2628</v>
      </c>
      <c r="B7949">
        <v>67</v>
      </c>
      <c r="C7949" t="s">
        <v>10444</v>
      </c>
      <c r="D7949" t="s">
        <v>327</v>
      </c>
      <c r="E7949" s="13">
        <v>150</v>
      </c>
      <c r="F7949" s="12">
        <v>11.07</v>
      </c>
      <c r="G7949" t="str">
        <f>IFERROR(INDEX(tEditais[Órgão],MATCH(tItens[[#This Row],[Edital]],tEditais[Edital],0)),"")</f>
        <v>MUNICIPIO DE CRUZ ALTA</v>
      </c>
      <c r="H7949" t="str">
        <f>IFERROR(INDEX(tEditais[UF],MATCH(tItens[[#This Row],[Edital]],tEditais[Edital],0)),"")</f>
        <v>RS</v>
      </c>
      <c r="I7949" s="11">
        <f>IFERROR(INDEX(tEditais[Encerramento],MATCH(tItens[[#This Row],[Edital]],tEditais[Edital],0)),"")</f>
        <v>46314.333333333336</v>
      </c>
      <c r="J7949" t="str">
        <f>IFERROR(INDEX(tProdutos[Classe],MATCH(tItens[[#This Row],[Produto]],tProdutos[Produto],0)),"produto não cadastrado")</f>
        <v>FORA</v>
      </c>
      <c r="K7949" s="12">
        <f>tItens[[#This Row],[Qtd]]*tItens[[#This Row],[Vlr unit]]</f>
        <v>1660.5</v>
      </c>
      <c r="L7949" s="6">
        <f>IFERROR(IF(INDEX(tProdutos[Desconto homologado],MATCH(tItens[[#This Row],[Produto]],tProdutos[Produto],0))="",DescontoPadrao,INDEX(tProdutos[Desconto homologado],MATCH(tItens[[#This Row],[Produto]],tProdutos[Produto],0))),DescontoPadrao)</f>
        <v>0.49969483918783197</v>
      </c>
      <c r="M7949" s="12">
        <f>tItens[[#This Row],[Valor]]*(1-tItens[[#This Row],[Desconto]])</f>
        <v>830.756719528605</v>
      </c>
      <c r="N7949" t="str">
        <f>IFERROR(INDEX(tProdutos[Foco],MATCH(tItens[[#This Row],[Produto]],tProdutos[Produto],0)),"Não")</f>
        <v>Não</v>
      </c>
      <c r="O7949" t="str">
        <f>IFERROR(INDEX(tEditais[SRP],MATCH(tItens[[#This Row],[Edital]],tEditais[Edital],0)),"Não")</f>
        <v>Sim</v>
      </c>
      <c r="P7949" s="4">
        <f>IF(COUNTIFS(INDEX(tItens[Edital],1):tItens[[#This Row],[Edital]],tItens[[#This Row],[Edital]],INDEX(tItens[Produto],1):tItens[[#This Row],[Produto]],tItens[[#This Row],[Produto]])=1,1,0)</f>
        <v>1</v>
      </c>
    </row>
    <row r="7950" spans="1:16" x14ac:dyDescent="0.25">
      <c r="A7950" t="s">
        <v>2628</v>
      </c>
      <c r="B7950">
        <v>68</v>
      </c>
      <c r="C7950" t="s">
        <v>10445</v>
      </c>
      <c r="D7950" t="s">
        <v>265</v>
      </c>
      <c r="E7950" s="13">
        <v>3000</v>
      </c>
      <c r="F7950" s="12">
        <v>41.33</v>
      </c>
      <c r="G7950" t="str">
        <f>IFERROR(INDEX(tEditais[Órgão],MATCH(tItens[[#This Row],[Edital]],tEditais[Edital],0)),"")</f>
        <v>MUNICIPIO DE CRUZ ALTA</v>
      </c>
      <c r="H7950" t="str">
        <f>IFERROR(INDEX(tEditais[UF],MATCH(tItens[[#This Row],[Edital]],tEditais[Edital],0)),"")</f>
        <v>RS</v>
      </c>
      <c r="I7950" s="11">
        <f>IFERROR(INDEX(tEditais[Encerramento],MATCH(tItens[[#This Row],[Edital]],tEditais[Edital],0)),"")</f>
        <v>46314.333333333336</v>
      </c>
      <c r="J7950" t="str">
        <f>IFERROR(INDEX(tProdutos[Classe],MATCH(tItens[[#This Row],[Produto]],tProdutos[Produto],0)),"produto não cadastrado")</f>
        <v>DISPUTADO</v>
      </c>
      <c r="K7950" s="12">
        <f>tItens[[#This Row],[Qtd]]*tItens[[#This Row],[Vlr unit]]</f>
        <v>123990</v>
      </c>
      <c r="L7950" s="6">
        <f>IFERROR(IF(INDEX(tProdutos[Desconto homologado],MATCH(tItens[[#This Row],[Produto]],tProdutos[Produto],0))="",DescontoPadrao,INDEX(tProdutos[Desconto homologado],MATCH(tItens[[#This Row],[Produto]],tProdutos[Produto],0))),DescontoPadrao)</f>
        <v>0.377587663709337</v>
      </c>
      <c r="M7950" s="12">
        <f>tItens[[#This Row],[Valor]]*(1-tItens[[#This Row],[Desconto]])</f>
        <v>77172.905576679317</v>
      </c>
      <c r="N7950" t="str">
        <f>IFERROR(INDEX(tProdutos[Foco],MATCH(tItens[[#This Row],[Produto]],tProdutos[Produto],0)),"Não")</f>
        <v>Não</v>
      </c>
      <c r="O7950" t="str">
        <f>IFERROR(INDEX(tEditais[SRP],MATCH(tItens[[#This Row],[Edital]],tEditais[Edital],0)),"Não")</f>
        <v>Sim</v>
      </c>
      <c r="P7950" s="4">
        <f>IF(COUNTIFS(INDEX(tItens[Edital],1):tItens[[#This Row],[Edital]],tItens[[#This Row],[Edital]],INDEX(tItens[Produto],1):tItens[[#This Row],[Produto]],tItens[[#This Row],[Produto]])=1,1,0)</f>
        <v>1</v>
      </c>
    </row>
    <row r="7951" spans="1:16" x14ac:dyDescent="0.25">
      <c r="A7951" t="s">
        <v>2628</v>
      </c>
      <c r="B7951">
        <v>78</v>
      </c>
      <c r="C7951" t="s">
        <v>10446</v>
      </c>
      <c r="D7951" t="s">
        <v>120</v>
      </c>
      <c r="E7951" s="13">
        <v>70</v>
      </c>
      <c r="F7951" s="12">
        <v>17.760000000000002</v>
      </c>
      <c r="G7951" t="str">
        <f>IFERROR(INDEX(tEditais[Órgão],MATCH(tItens[[#This Row],[Edital]],tEditais[Edital],0)),"")</f>
        <v>MUNICIPIO DE CRUZ ALTA</v>
      </c>
      <c r="H7951" t="str">
        <f>IFERROR(INDEX(tEditais[UF],MATCH(tItens[[#This Row],[Edital]],tEditais[Edital],0)),"")</f>
        <v>RS</v>
      </c>
      <c r="I7951" s="11">
        <f>IFERROR(INDEX(tEditais[Encerramento],MATCH(tItens[[#This Row],[Edital]],tEditais[Edital],0)),"")</f>
        <v>46314.333333333336</v>
      </c>
      <c r="J7951" t="str">
        <f>IFERROR(INDEX(tProdutos[Classe],MATCH(tItens[[#This Row],[Produto]],tProdutos[Produto],0)),"produto não cadastrado")</f>
        <v>DISPUTADO</v>
      </c>
      <c r="K7951" s="12">
        <f>tItens[[#This Row],[Qtd]]*tItens[[#This Row],[Vlr unit]]</f>
        <v>1243.2</v>
      </c>
      <c r="L7951" s="6">
        <f>IFERROR(IF(INDEX(tProdutos[Desconto homologado],MATCH(tItens[[#This Row],[Produto]],tProdutos[Produto],0))="",DescontoPadrao,INDEX(tProdutos[Desconto homologado],MATCH(tItens[[#This Row],[Produto]],tProdutos[Produto],0))),DescontoPadrao)</f>
        <v>0.40909090909090901</v>
      </c>
      <c r="M7951" s="12">
        <f>tItens[[#This Row],[Valor]]*(1-tItens[[#This Row],[Desconto]])</f>
        <v>734.61818181818205</v>
      </c>
      <c r="N7951" t="str">
        <f>IFERROR(INDEX(tProdutos[Foco],MATCH(tItens[[#This Row],[Produto]],tProdutos[Produto],0)),"Não")</f>
        <v>Não</v>
      </c>
      <c r="O7951" t="str">
        <f>IFERROR(INDEX(tEditais[SRP],MATCH(tItens[[#This Row],[Edital]],tEditais[Edital],0)),"Não")</f>
        <v>Sim</v>
      </c>
      <c r="P7951" s="4">
        <f>IF(COUNTIFS(INDEX(tItens[Edital],1):tItens[[#This Row],[Edital]],tItens[[#This Row],[Edital]],INDEX(tItens[Produto],1):tItens[[#This Row],[Produto]],tItens[[#This Row],[Produto]])=1,1,0)</f>
        <v>1</v>
      </c>
    </row>
    <row r="7952" spans="1:16" x14ac:dyDescent="0.25">
      <c r="A7952" t="s">
        <v>2628</v>
      </c>
      <c r="B7952">
        <v>79</v>
      </c>
      <c r="C7952" t="s">
        <v>10447</v>
      </c>
      <c r="D7952" t="s">
        <v>417</v>
      </c>
      <c r="E7952" s="13">
        <v>12</v>
      </c>
      <c r="F7952" s="12">
        <v>1273</v>
      </c>
      <c r="G7952" t="str">
        <f>IFERROR(INDEX(tEditais[Órgão],MATCH(tItens[[#This Row],[Edital]],tEditais[Edital],0)),"")</f>
        <v>MUNICIPIO DE CRUZ ALTA</v>
      </c>
      <c r="H7952" t="str">
        <f>IFERROR(INDEX(tEditais[UF],MATCH(tItens[[#This Row],[Edital]],tEditais[Edital],0)),"")</f>
        <v>RS</v>
      </c>
      <c r="I7952" s="11">
        <f>IFERROR(INDEX(tEditais[Encerramento],MATCH(tItens[[#This Row],[Edital]],tEditais[Edital],0)),"")</f>
        <v>46314.333333333336</v>
      </c>
      <c r="J7952" t="str">
        <f>IFERROR(INDEX(tProdutos[Classe],MATCH(tItens[[#This Row],[Produto]],tProdutos[Produto],0)),"produto não cadastrado")</f>
        <v>FORA</v>
      </c>
      <c r="K7952" s="12">
        <f>tItens[[#This Row],[Qtd]]*tItens[[#This Row],[Vlr unit]]</f>
        <v>15276</v>
      </c>
      <c r="L7952" s="6">
        <f>IFERROR(IF(INDEX(tProdutos[Desconto homologado],MATCH(tItens[[#This Row],[Produto]],tProdutos[Produto],0))="",DescontoPadrao,INDEX(tProdutos[Desconto homologado],MATCH(tItens[[#This Row],[Produto]],tProdutos[Produto],0))),DescontoPadrao)</f>
        <v>0.27842432580405202</v>
      </c>
      <c r="M7952" s="12">
        <f>tItens[[#This Row],[Valor]]*(1-tItens[[#This Row],[Desconto]])</f>
        <v>11022.789999017303</v>
      </c>
      <c r="N7952" t="str">
        <f>IFERROR(INDEX(tProdutos[Foco],MATCH(tItens[[#This Row],[Produto]],tProdutos[Produto],0)),"Não")</f>
        <v>Não</v>
      </c>
      <c r="O7952" t="str">
        <f>IFERROR(INDEX(tEditais[SRP],MATCH(tItens[[#This Row],[Edital]],tEditais[Edital],0)),"Não")</f>
        <v>Sim</v>
      </c>
      <c r="P7952" s="4">
        <f>IF(COUNTIFS(INDEX(tItens[Edital],1):tItens[[#This Row],[Edital]],tItens[[#This Row],[Edital]],INDEX(tItens[Produto],1):tItens[[#This Row],[Produto]],tItens[[#This Row],[Produto]])=1,1,0)</f>
        <v>1</v>
      </c>
    </row>
    <row r="7953" spans="1:16" x14ac:dyDescent="0.25">
      <c r="A7953" t="s">
        <v>2628</v>
      </c>
      <c r="B7953">
        <v>82</v>
      </c>
      <c r="C7953" t="s">
        <v>10448</v>
      </c>
      <c r="D7953" t="s">
        <v>461</v>
      </c>
      <c r="E7953" s="13">
        <v>900</v>
      </c>
      <c r="F7953" s="12">
        <v>27.47</v>
      </c>
      <c r="G7953" t="str">
        <f>IFERROR(INDEX(tEditais[Órgão],MATCH(tItens[[#This Row],[Edital]],tEditais[Edital],0)),"")</f>
        <v>MUNICIPIO DE CRUZ ALTA</v>
      </c>
      <c r="H7953" t="str">
        <f>IFERROR(INDEX(tEditais[UF],MATCH(tItens[[#This Row],[Edital]],tEditais[Edital],0)),"")</f>
        <v>RS</v>
      </c>
      <c r="I7953" s="11">
        <f>IFERROR(INDEX(tEditais[Encerramento],MATCH(tItens[[#This Row],[Edital]],tEditais[Edital],0)),"")</f>
        <v>46314.333333333336</v>
      </c>
      <c r="J7953" t="str">
        <f>IFERROR(INDEX(tProdutos[Classe],MATCH(tItens[[#This Row],[Produto]],tProdutos[Produto],0)),"produto não cadastrado")</f>
        <v>FILA REBASE</v>
      </c>
      <c r="K7953" s="12">
        <f>tItens[[#This Row],[Qtd]]*tItens[[#This Row],[Vlr unit]]</f>
        <v>24723</v>
      </c>
      <c r="L7953" s="6">
        <f>IFERROR(IF(INDEX(tProdutos[Desconto homologado],MATCH(tItens[[#This Row],[Produto]],tProdutos[Produto],0))="",DescontoPadrao,INDEX(tProdutos[Desconto homologado],MATCH(tItens[[#This Row],[Produto]],tProdutos[Produto],0))),DescontoPadrao)</f>
        <v>0.44096385542168698</v>
      </c>
      <c r="M7953" s="12">
        <f>tItens[[#This Row],[Valor]]*(1-tItens[[#This Row],[Desconto]])</f>
        <v>13821.050602409632</v>
      </c>
      <c r="N7953" t="str">
        <f>IFERROR(INDEX(tProdutos[Foco],MATCH(tItens[[#This Row],[Produto]],tProdutos[Produto],0)),"Não")</f>
        <v>Não</v>
      </c>
      <c r="O7953" t="str">
        <f>IFERROR(INDEX(tEditais[SRP],MATCH(tItens[[#This Row],[Edital]],tEditais[Edital],0)),"Não")</f>
        <v>Sim</v>
      </c>
      <c r="P7953" s="4">
        <f>IF(COUNTIFS(INDEX(tItens[Edital],1):tItens[[#This Row],[Edital]],tItens[[#This Row],[Edital]],INDEX(tItens[Produto],1):tItens[[#This Row],[Produto]],tItens[[#This Row],[Produto]])=1,1,0)</f>
        <v>0</v>
      </c>
    </row>
    <row r="7954" spans="1:16" x14ac:dyDescent="0.25">
      <c r="A7954" t="s">
        <v>2628</v>
      </c>
      <c r="B7954">
        <v>83</v>
      </c>
      <c r="C7954" t="s">
        <v>10449</v>
      </c>
      <c r="D7954" t="s">
        <v>461</v>
      </c>
      <c r="E7954" s="13">
        <v>900</v>
      </c>
      <c r="F7954" s="12">
        <v>25.45</v>
      </c>
      <c r="G7954" t="str">
        <f>IFERROR(INDEX(tEditais[Órgão],MATCH(tItens[[#This Row],[Edital]],tEditais[Edital],0)),"")</f>
        <v>MUNICIPIO DE CRUZ ALTA</v>
      </c>
      <c r="H7954" t="str">
        <f>IFERROR(INDEX(tEditais[UF],MATCH(tItens[[#This Row],[Edital]],tEditais[Edital],0)),"")</f>
        <v>RS</v>
      </c>
      <c r="I7954" s="11">
        <f>IFERROR(INDEX(tEditais[Encerramento],MATCH(tItens[[#This Row],[Edital]],tEditais[Edital],0)),"")</f>
        <v>46314.333333333336</v>
      </c>
      <c r="J7954" t="str">
        <f>IFERROR(INDEX(tProdutos[Classe],MATCH(tItens[[#This Row],[Produto]],tProdutos[Produto],0)),"produto não cadastrado")</f>
        <v>FILA REBASE</v>
      </c>
      <c r="K7954" s="12">
        <f>tItens[[#This Row],[Qtd]]*tItens[[#This Row],[Vlr unit]]</f>
        <v>22905</v>
      </c>
      <c r="L7954" s="6">
        <f>IFERROR(IF(INDEX(tProdutos[Desconto homologado],MATCH(tItens[[#This Row],[Produto]],tProdutos[Produto],0))="",DescontoPadrao,INDEX(tProdutos[Desconto homologado],MATCH(tItens[[#This Row],[Produto]],tProdutos[Produto],0))),DescontoPadrao)</f>
        <v>0.44096385542168698</v>
      </c>
      <c r="M7954" s="12">
        <f>tItens[[#This Row],[Valor]]*(1-tItens[[#This Row],[Desconto]])</f>
        <v>12804.722891566258</v>
      </c>
      <c r="N7954" t="str">
        <f>IFERROR(INDEX(tProdutos[Foco],MATCH(tItens[[#This Row],[Produto]],tProdutos[Produto],0)),"Não")</f>
        <v>Não</v>
      </c>
      <c r="O7954" t="str">
        <f>IFERROR(INDEX(tEditais[SRP],MATCH(tItens[[#This Row],[Edital]],tEditais[Edital],0)),"Não")</f>
        <v>Sim</v>
      </c>
      <c r="P7954" s="4">
        <f>IF(COUNTIFS(INDEX(tItens[Edital],1):tItens[[#This Row],[Edital]],tItens[[#This Row],[Edital]],INDEX(tItens[Produto],1):tItens[[#This Row],[Produto]],tItens[[#This Row],[Produto]])=1,1,0)</f>
        <v>0</v>
      </c>
    </row>
    <row r="7955" spans="1:16" x14ac:dyDescent="0.25">
      <c r="A7955" t="s">
        <v>2628</v>
      </c>
      <c r="B7955">
        <v>84</v>
      </c>
      <c r="C7955" t="s">
        <v>10450</v>
      </c>
      <c r="D7955" t="s">
        <v>265</v>
      </c>
      <c r="E7955" s="13">
        <v>1000</v>
      </c>
      <c r="F7955" s="12">
        <v>41.33</v>
      </c>
      <c r="G7955" t="str">
        <f>IFERROR(INDEX(tEditais[Órgão],MATCH(tItens[[#This Row],[Edital]],tEditais[Edital],0)),"")</f>
        <v>MUNICIPIO DE CRUZ ALTA</v>
      </c>
      <c r="H7955" t="str">
        <f>IFERROR(INDEX(tEditais[UF],MATCH(tItens[[#This Row],[Edital]],tEditais[Edital],0)),"")</f>
        <v>RS</v>
      </c>
      <c r="I7955" s="11">
        <f>IFERROR(INDEX(tEditais[Encerramento],MATCH(tItens[[#This Row],[Edital]],tEditais[Edital],0)),"")</f>
        <v>46314.333333333336</v>
      </c>
      <c r="J7955" t="str">
        <f>IFERROR(INDEX(tProdutos[Classe],MATCH(tItens[[#This Row],[Produto]],tProdutos[Produto],0)),"produto não cadastrado")</f>
        <v>DISPUTADO</v>
      </c>
      <c r="K7955" s="12">
        <f>tItens[[#This Row],[Qtd]]*tItens[[#This Row],[Vlr unit]]</f>
        <v>41330</v>
      </c>
      <c r="L7955" s="6">
        <f>IFERROR(IF(INDEX(tProdutos[Desconto homologado],MATCH(tItens[[#This Row],[Produto]],tProdutos[Produto],0))="",DescontoPadrao,INDEX(tProdutos[Desconto homologado],MATCH(tItens[[#This Row],[Produto]],tProdutos[Produto],0))),DescontoPadrao)</f>
        <v>0.377587663709337</v>
      </c>
      <c r="M7955" s="12">
        <f>tItens[[#This Row],[Valor]]*(1-tItens[[#This Row],[Desconto]])</f>
        <v>25724.301858893105</v>
      </c>
      <c r="N7955" t="str">
        <f>IFERROR(INDEX(tProdutos[Foco],MATCH(tItens[[#This Row],[Produto]],tProdutos[Produto],0)),"Não")</f>
        <v>Não</v>
      </c>
      <c r="O7955" t="str">
        <f>IFERROR(INDEX(tEditais[SRP],MATCH(tItens[[#This Row],[Edital]],tEditais[Edital],0)),"Não")</f>
        <v>Sim</v>
      </c>
      <c r="P7955" s="4">
        <f>IF(COUNTIFS(INDEX(tItens[Edital],1):tItens[[#This Row],[Edital]],tItens[[#This Row],[Edital]],INDEX(tItens[Produto],1):tItens[[#This Row],[Produto]],tItens[[#This Row],[Produto]])=1,1,0)</f>
        <v>0</v>
      </c>
    </row>
    <row r="7956" spans="1:16" x14ac:dyDescent="0.25">
      <c r="A7956" t="s">
        <v>2630</v>
      </c>
      <c r="B7956">
        <v>3</v>
      </c>
      <c r="C7956" t="s">
        <v>10451</v>
      </c>
      <c r="D7956" t="s">
        <v>283</v>
      </c>
      <c r="E7956" s="13">
        <v>50</v>
      </c>
      <c r="F7956" s="12">
        <v>0.56000000000000005</v>
      </c>
      <c r="G7956" t="str">
        <f>IFERROR(INDEX(tEditais[Órgão],MATCH(tItens[[#This Row],[Edital]],tEditais[Edital],0)),"")</f>
        <v>MUNICIPIO DE SAO PEDRO DO BUTIA</v>
      </c>
      <c r="H7956" t="str">
        <f>IFERROR(INDEX(tEditais[UF],MATCH(tItens[[#This Row],[Edital]],tEditais[Edital],0)),"")</f>
        <v>RS</v>
      </c>
      <c r="I7956" s="11">
        <f>IFERROR(INDEX(tEditais[Encerramento],MATCH(tItens[[#This Row],[Edital]],tEditais[Edital],0)),"")</f>
        <v>46314.375</v>
      </c>
      <c r="J7956" t="str">
        <f>IFERROR(INDEX(tProdutos[Classe],MATCH(tItens[[#This Row],[Produto]],tProdutos[Produto],0)),"produto não cadastrado")</f>
        <v>FORA</v>
      </c>
      <c r="K7956" s="12">
        <f>tItens[[#This Row],[Qtd]]*tItens[[#This Row],[Vlr unit]]</f>
        <v>28.000000000000004</v>
      </c>
      <c r="L7956" s="6">
        <f>IFERROR(IF(INDEX(tProdutos[Desconto homologado],MATCH(tItens[[#This Row],[Produto]],tProdutos[Produto],0))="",DescontoPadrao,INDEX(tProdutos[Desconto homologado],MATCH(tItens[[#This Row],[Produto]],tProdutos[Produto],0))),DescontoPadrao)</f>
        <v>0.40540540540540498</v>
      </c>
      <c r="M7956" s="12">
        <f>tItens[[#This Row],[Valor]]*(1-tItens[[#This Row],[Desconto]])</f>
        <v>16.64864864864866</v>
      </c>
      <c r="N7956" t="str">
        <f>IFERROR(INDEX(tProdutos[Foco],MATCH(tItens[[#This Row],[Produto]],tProdutos[Produto],0)),"Não")</f>
        <v>Não</v>
      </c>
      <c r="O7956" t="str">
        <f>IFERROR(INDEX(tEditais[SRP],MATCH(tItens[[#This Row],[Edital]],tEditais[Edital],0)),"Não")</f>
        <v>Não</v>
      </c>
      <c r="P7956" s="4">
        <f>IF(COUNTIFS(INDEX(tItens[Edital],1):tItens[[#This Row],[Edital]],tItens[[#This Row],[Edital]],INDEX(tItens[Produto],1):tItens[[#This Row],[Produto]],tItens[[#This Row],[Produto]])=1,1,0)</f>
        <v>1</v>
      </c>
    </row>
    <row r="7957" spans="1:16" x14ac:dyDescent="0.25">
      <c r="A7957" t="s">
        <v>2630</v>
      </c>
      <c r="B7957">
        <v>4</v>
      </c>
      <c r="C7957" t="s">
        <v>10452</v>
      </c>
      <c r="D7957" t="s">
        <v>281</v>
      </c>
      <c r="E7957" s="13">
        <v>50</v>
      </c>
      <c r="F7957" s="12">
        <v>0.8</v>
      </c>
      <c r="G7957" t="str">
        <f>IFERROR(INDEX(tEditais[Órgão],MATCH(tItens[[#This Row],[Edital]],tEditais[Edital],0)),"")</f>
        <v>MUNICIPIO DE SAO PEDRO DO BUTIA</v>
      </c>
      <c r="H7957" t="str">
        <f>IFERROR(INDEX(tEditais[UF],MATCH(tItens[[#This Row],[Edital]],tEditais[Edital],0)),"")</f>
        <v>RS</v>
      </c>
      <c r="I7957" s="11">
        <f>IFERROR(INDEX(tEditais[Encerramento],MATCH(tItens[[#This Row],[Edital]],tEditais[Edital],0)),"")</f>
        <v>46314.375</v>
      </c>
      <c r="J7957" t="str">
        <f>IFERROR(INDEX(tProdutos[Classe],MATCH(tItens[[#This Row],[Produto]],tProdutos[Produto],0)),"produto não cadastrado")</f>
        <v>DISPUTADO</v>
      </c>
      <c r="K7957" s="12">
        <f>tItens[[#This Row],[Qtd]]*tItens[[#This Row],[Vlr unit]]</f>
        <v>40</v>
      </c>
      <c r="L7957" s="6">
        <f>IFERROR(IF(INDEX(tProdutos[Desconto homologado],MATCH(tItens[[#This Row],[Produto]],tProdutos[Produto],0))="",DescontoPadrao,INDEX(tProdutos[Desconto homologado],MATCH(tItens[[#This Row],[Produto]],tProdutos[Produto],0))),DescontoPadrao)</f>
        <v>0.42461538461538501</v>
      </c>
      <c r="M7957" s="12">
        <f>tItens[[#This Row],[Valor]]*(1-tItens[[#This Row],[Desconto]])</f>
        <v>23.015384615384598</v>
      </c>
      <c r="N7957" t="str">
        <f>IFERROR(INDEX(tProdutos[Foco],MATCH(tItens[[#This Row],[Produto]],tProdutos[Produto],0)),"Não")</f>
        <v>Não</v>
      </c>
      <c r="O7957" t="str">
        <f>IFERROR(INDEX(tEditais[SRP],MATCH(tItens[[#This Row],[Edital]],tEditais[Edital],0)),"Não")</f>
        <v>Não</v>
      </c>
      <c r="P7957" s="4">
        <f>IF(COUNTIFS(INDEX(tItens[Edital],1):tItens[[#This Row],[Edital]],tItens[[#This Row],[Edital]],INDEX(tItens[Produto],1):tItens[[#This Row],[Produto]],tItens[[#This Row],[Produto]])=1,1,0)</f>
        <v>1</v>
      </c>
    </row>
    <row r="7958" spans="1:16" x14ac:dyDescent="0.25">
      <c r="A7958" t="s">
        <v>2630</v>
      </c>
      <c r="B7958">
        <v>5</v>
      </c>
      <c r="C7958" t="s">
        <v>10453</v>
      </c>
      <c r="D7958" t="s">
        <v>289</v>
      </c>
      <c r="E7958" s="13">
        <v>50</v>
      </c>
      <c r="F7958" s="12">
        <v>1.0900000000000001</v>
      </c>
      <c r="G7958" t="str">
        <f>IFERROR(INDEX(tEditais[Órgão],MATCH(tItens[[#This Row],[Edital]],tEditais[Edital],0)),"")</f>
        <v>MUNICIPIO DE SAO PEDRO DO BUTIA</v>
      </c>
      <c r="H7958" t="str">
        <f>IFERROR(INDEX(tEditais[UF],MATCH(tItens[[#This Row],[Edital]],tEditais[Edital],0)),"")</f>
        <v>RS</v>
      </c>
      <c r="I7958" s="11">
        <f>IFERROR(INDEX(tEditais[Encerramento],MATCH(tItens[[#This Row],[Edital]],tEditais[Edital],0)),"")</f>
        <v>46314.375</v>
      </c>
      <c r="J7958" t="str">
        <f>IFERROR(INDEX(tProdutos[Classe],MATCH(tItens[[#This Row],[Produto]],tProdutos[Produto],0)),"produto não cadastrado")</f>
        <v>DISPUTADO</v>
      </c>
      <c r="K7958" s="12">
        <f>tItens[[#This Row],[Qtd]]*tItens[[#This Row],[Vlr unit]]</f>
        <v>54.500000000000007</v>
      </c>
      <c r="L7958" s="6">
        <f>IFERROR(IF(INDEX(tProdutos[Desconto homologado],MATCH(tItens[[#This Row],[Produto]],tProdutos[Produto],0))="",DescontoPadrao,INDEX(tProdutos[Desconto homologado],MATCH(tItens[[#This Row],[Produto]],tProdutos[Produto],0))),DescontoPadrao)</f>
        <v>0.35849056603773599</v>
      </c>
      <c r="M7958" s="12">
        <f>tItens[[#This Row],[Valor]]*(1-tItens[[#This Row],[Desconto]])</f>
        <v>34.96226415094339</v>
      </c>
      <c r="N7958" t="str">
        <f>IFERROR(INDEX(tProdutos[Foco],MATCH(tItens[[#This Row],[Produto]],tProdutos[Produto],0)),"Não")</f>
        <v>Não</v>
      </c>
      <c r="O7958" t="str">
        <f>IFERROR(INDEX(tEditais[SRP],MATCH(tItens[[#This Row],[Edital]],tEditais[Edital],0)),"Não")</f>
        <v>Não</v>
      </c>
      <c r="P7958" s="4">
        <f>IF(COUNTIFS(INDEX(tItens[Edital],1):tItens[[#This Row],[Edital]],tItens[[#This Row],[Edital]],INDEX(tItens[Produto],1):tItens[[#This Row],[Produto]],tItens[[#This Row],[Produto]])=1,1,0)</f>
        <v>1</v>
      </c>
    </row>
    <row r="7959" spans="1:16" x14ac:dyDescent="0.25">
      <c r="A7959" t="s">
        <v>2630</v>
      </c>
      <c r="B7959">
        <v>8</v>
      </c>
      <c r="C7959" t="s">
        <v>10454</v>
      </c>
      <c r="D7959" t="s">
        <v>421</v>
      </c>
      <c r="E7959" s="13">
        <v>40</v>
      </c>
      <c r="F7959" s="12">
        <v>0.6</v>
      </c>
      <c r="G7959" t="str">
        <f>IFERROR(INDEX(tEditais[Órgão],MATCH(tItens[[#This Row],[Edital]],tEditais[Edital],0)),"")</f>
        <v>MUNICIPIO DE SAO PEDRO DO BUTIA</v>
      </c>
      <c r="H7959" t="str">
        <f>IFERROR(INDEX(tEditais[UF],MATCH(tItens[[#This Row],[Edital]],tEditais[Edital],0)),"")</f>
        <v>RS</v>
      </c>
      <c r="I7959" s="11">
        <f>IFERROR(INDEX(tEditais[Encerramento],MATCH(tItens[[#This Row],[Edital]],tEditais[Edital],0)),"")</f>
        <v>46314.375</v>
      </c>
      <c r="J7959" t="str">
        <f>IFERROR(INDEX(tProdutos[Classe],MATCH(tItens[[#This Row],[Produto]],tProdutos[Produto],0)),"produto não cadastrado")</f>
        <v>FORA</v>
      </c>
      <c r="K7959" s="12">
        <f>tItens[[#This Row],[Qtd]]*tItens[[#This Row],[Vlr unit]]</f>
        <v>24</v>
      </c>
      <c r="L7959" s="6">
        <f>IFERROR(IF(INDEX(tProdutos[Desconto homologado],MATCH(tItens[[#This Row],[Produto]],tProdutos[Produto],0))="",DescontoPadrao,INDEX(tProdutos[Desconto homologado],MATCH(tItens[[#This Row],[Produto]],tProdutos[Produto],0))),DescontoPadrao)</f>
        <v>0.43</v>
      </c>
      <c r="M7959" s="12">
        <f>tItens[[#This Row],[Valor]]*(1-tItens[[#This Row],[Desconto]])</f>
        <v>13.680000000000001</v>
      </c>
      <c r="N7959" t="str">
        <f>IFERROR(INDEX(tProdutos[Foco],MATCH(tItens[[#This Row],[Produto]],tProdutos[Produto],0)),"Não")</f>
        <v>Sim</v>
      </c>
      <c r="O7959" t="str">
        <f>IFERROR(INDEX(tEditais[SRP],MATCH(tItens[[#This Row],[Edital]],tEditais[Edital],0)),"Não")</f>
        <v>Não</v>
      </c>
      <c r="P7959" s="4">
        <f>IF(COUNTIFS(INDEX(tItens[Edital],1):tItens[[#This Row],[Edital]],tItens[[#This Row],[Edital]],INDEX(tItens[Produto],1):tItens[[#This Row],[Produto]],tItens[[#This Row],[Produto]])=1,1,0)</f>
        <v>1</v>
      </c>
    </row>
    <row r="7960" spans="1:16" x14ac:dyDescent="0.25">
      <c r="A7960" t="s">
        <v>2635</v>
      </c>
      <c r="B7960">
        <v>7</v>
      </c>
      <c r="C7960" t="s">
        <v>10455</v>
      </c>
      <c r="D7960" t="s">
        <v>277</v>
      </c>
      <c r="E7960" s="13">
        <v>3260000</v>
      </c>
      <c r="F7960" s="12">
        <v>0.13</v>
      </c>
      <c r="G7960" t="str">
        <f>IFERROR(INDEX(tEditais[Órgão],MATCH(tItens[[#This Row],[Edital]],tEditais[Edital],0)),"")</f>
        <v>AGENCIA PUBLICA INTERMUNICIPAL DE SERVICOS DO VALE EUROPEU - APIS</v>
      </c>
      <c r="H7960" t="str">
        <f>IFERROR(INDEX(tEditais[UF],MATCH(tItens[[#This Row],[Edital]],tEditais[Edital],0)),"")</f>
        <v>SC</v>
      </c>
      <c r="I7960" s="11">
        <f>IFERROR(INDEX(tEditais[Encerramento],MATCH(tItens[[#This Row],[Edital]],tEditais[Edital],0)),"")</f>
        <v>46304.333333333336</v>
      </c>
      <c r="J7960" t="str">
        <f>IFERROR(INDEX(tProdutos[Classe],MATCH(tItens[[#This Row],[Produto]],tProdutos[Produto],0)),"produto não cadastrado")</f>
        <v>DISPUTADO</v>
      </c>
      <c r="K7960" s="12">
        <f>tItens[[#This Row],[Qtd]]*tItens[[#This Row],[Vlr unit]]</f>
        <v>423800</v>
      </c>
      <c r="L7960" s="6">
        <f>IFERROR(IF(INDEX(tProdutos[Desconto homologado],MATCH(tItens[[#This Row],[Produto]],tProdutos[Produto],0))="",DescontoPadrao,INDEX(tProdutos[Desconto homologado],MATCH(tItens[[#This Row],[Produto]],tProdutos[Produto],0))),DescontoPadrao)</f>
        <v>0.50460666194188497</v>
      </c>
      <c r="M7960" s="12">
        <f>tItens[[#This Row],[Valor]]*(1-tItens[[#This Row],[Desconto]])</f>
        <v>209947.69666902916</v>
      </c>
      <c r="N7960" t="str">
        <f>IFERROR(INDEX(tProdutos[Foco],MATCH(tItens[[#This Row],[Produto]],tProdutos[Produto],0)),"Não")</f>
        <v>Não</v>
      </c>
      <c r="O7960" t="str">
        <f>IFERROR(INDEX(tEditais[SRP],MATCH(tItens[[#This Row],[Edital]],tEditais[Edital],0)),"Não")</f>
        <v>Sim</v>
      </c>
      <c r="P7960" s="4">
        <f>IF(COUNTIFS(INDEX(tItens[Edital],1):tItens[[#This Row],[Edital]],tItens[[#This Row],[Edital]],INDEX(tItens[Produto],1):tItens[[#This Row],[Produto]],tItens[[#This Row],[Produto]])=1,1,0)</f>
        <v>1</v>
      </c>
    </row>
    <row r="7961" spans="1:16" x14ac:dyDescent="0.25">
      <c r="A7961" t="s">
        <v>2635</v>
      </c>
      <c r="B7961">
        <v>8</v>
      </c>
      <c r="C7961" t="s">
        <v>10456</v>
      </c>
      <c r="D7961" t="s">
        <v>277</v>
      </c>
      <c r="E7961" s="13">
        <v>1979100</v>
      </c>
      <c r="F7961" s="12">
        <v>0.09</v>
      </c>
      <c r="G7961" t="str">
        <f>IFERROR(INDEX(tEditais[Órgão],MATCH(tItens[[#This Row],[Edital]],tEditais[Edital],0)),"")</f>
        <v>AGENCIA PUBLICA INTERMUNICIPAL DE SERVICOS DO VALE EUROPEU - APIS</v>
      </c>
      <c r="H7961" t="str">
        <f>IFERROR(INDEX(tEditais[UF],MATCH(tItens[[#This Row],[Edital]],tEditais[Edital],0)),"")</f>
        <v>SC</v>
      </c>
      <c r="I7961" s="11">
        <f>IFERROR(INDEX(tEditais[Encerramento],MATCH(tItens[[#This Row],[Edital]],tEditais[Edital],0)),"")</f>
        <v>46304.333333333336</v>
      </c>
      <c r="J7961" t="str">
        <f>IFERROR(INDEX(tProdutos[Classe],MATCH(tItens[[#This Row],[Produto]],tProdutos[Produto],0)),"produto não cadastrado")</f>
        <v>DISPUTADO</v>
      </c>
      <c r="K7961" s="12">
        <f>tItens[[#This Row],[Qtd]]*tItens[[#This Row],[Vlr unit]]</f>
        <v>178119</v>
      </c>
      <c r="L7961" s="6">
        <f>IFERROR(IF(INDEX(tProdutos[Desconto homologado],MATCH(tItens[[#This Row],[Produto]],tProdutos[Produto],0))="",DescontoPadrao,INDEX(tProdutos[Desconto homologado],MATCH(tItens[[#This Row],[Produto]],tProdutos[Produto],0))),DescontoPadrao)</f>
        <v>0.50460666194188497</v>
      </c>
      <c r="M7961" s="12">
        <f>tItens[[#This Row],[Valor]]*(1-tItens[[#This Row],[Desconto]])</f>
        <v>88238.96598157339</v>
      </c>
      <c r="N7961" t="str">
        <f>IFERROR(INDEX(tProdutos[Foco],MATCH(tItens[[#This Row],[Produto]],tProdutos[Produto],0)),"Não")</f>
        <v>Não</v>
      </c>
      <c r="O7961" t="str">
        <f>IFERROR(INDEX(tEditais[SRP],MATCH(tItens[[#This Row],[Edital]],tEditais[Edital],0)),"Não")</f>
        <v>Sim</v>
      </c>
      <c r="P7961" s="4">
        <f>IF(COUNTIFS(INDEX(tItens[Edital],1):tItens[[#This Row],[Edital]],tItens[[#This Row],[Edital]],INDEX(tItens[Produto],1):tItens[[#This Row],[Produto]],tItens[[#This Row],[Produto]])=1,1,0)</f>
        <v>0</v>
      </c>
    </row>
    <row r="7962" spans="1:16" x14ac:dyDescent="0.25">
      <c r="A7962" t="s">
        <v>2635</v>
      </c>
      <c r="B7962">
        <v>9</v>
      </c>
      <c r="C7962" t="s">
        <v>10457</v>
      </c>
      <c r="D7962" t="s">
        <v>277</v>
      </c>
      <c r="E7962" s="13">
        <v>115600</v>
      </c>
      <c r="F7962" s="12">
        <v>5.2</v>
      </c>
      <c r="G7962" t="str">
        <f>IFERROR(INDEX(tEditais[Órgão],MATCH(tItens[[#This Row],[Edital]],tEditais[Edital],0)),"")</f>
        <v>AGENCIA PUBLICA INTERMUNICIPAL DE SERVICOS DO VALE EUROPEU - APIS</v>
      </c>
      <c r="H7962" t="str">
        <f>IFERROR(INDEX(tEditais[UF],MATCH(tItens[[#This Row],[Edital]],tEditais[Edital],0)),"")</f>
        <v>SC</v>
      </c>
      <c r="I7962" s="11">
        <f>IFERROR(INDEX(tEditais[Encerramento],MATCH(tItens[[#This Row],[Edital]],tEditais[Edital],0)),"")</f>
        <v>46304.333333333336</v>
      </c>
      <c r="J7962" t="str">
        <f>IFERROR(INDEX(tProdutos[Classe],MATCH(tItens[[#This Row],[Produto]],tProdutos[Produto],0)),"produto não cadastrado")</f>
        <v>DISPUTADO</v>
      </c>
      <c r="K7962" s="12">
        <f>tItens[[#This Row],[Qtd]]*tItens[[#This Row],[Vlr unit]]</f>
        <v>601120</v>
      </c>
      <c r="L7962" s="6">
        <f>IFERROR(IF(INDEX(tProdutos[Desconto homologado],MATCH(tItens[[#This Row],[Produto]],tProdutos[Produto],0))="",DescontoPadrao,INDEX(tProdutos[Desconto homologado],MATCH(tItens[[#This Row],[Produto]],tProdutos[Produto],0))),DescontoPadrao)</f>
        <v>0.50460666194188497</v>
      </c>
      <c r="M7962" s="12">
        <f>tItens[[#This Row],[Valor]]*(1-tItens[[#This Row],[Desconto]])</f>
        <v>297790.84337349411</v>
      </c>
      <c r="N7962" t="str">
        <f>IFERROR(INDEX(tProdutos[Foco],MATCH(tItens[[#This Row],[Produto]],tProdutos[Produto],0)),"Não")</f>
        <v>Não</v>
      </c>
      <c r="O7962" t="str">
        <f>IFERROR(INDEX(tEditais[SRP],MATCH(tItens[[#This Row],[Edital]],tEditais[Edital],0)),"Não")</f>
        <v>Sim</v>
      </c>
      <c r="P7962" s="4">
        <f>IF(COUNTIFS(INDEX(tItens[Edital],1):tItens[[#This Row],[Edital]],tItens[[#This Row],[Edital]],INDEX(tItens[Produto],1):tItens[[#This Row],[Produto]],tItens[[#This Row],[Produto]])=1,1,0)</f>
        <v>0</v>
      </c>
    </row>
    <row r="7963" spans="1:16" x14ac:dyDescent="0.25">
      <c r="A7963" t="s">
        <v>2635</v>
      </c>
      <c r="B7963">
        <v>11</v>
      </c>
      <c r="C7963" t="s">
        <v>10458</v>
      </c>
      <c r="D7963" t="s">
        <v>317</v>
      </c>
      <c r="E7963" s="13">
        <v>429300</v>
      </c>
      <c r="F7963" s="12">
        <v>0.45</v>
      </c>
      <c r="G7963" t="str">
        <f>IFERROR(INDEX(tEditais[Órgão],MATCH(tItens[[#This Row],[Edital]],tEditais[Edital],0)),"")</f>
        <v>AGENCIA PUBLICA INTERMUNICIPAL DE SERVICOS DO VALE EUROPEU - APIS</v>
      </c>
      <c r="H7963" t="str">
        <f>IFERROR(INDEX(tEditais[UF],MATCH(tItens[[#This Row],[Edital]],tEditais[Edital],0)),"")</f>
        <v>SC</v>
      </c>
      <c r="I7963" s="11">
        <f>IFERROR(INDEX(tEditais[Encerramento],MATCH(tItens[[#This Row],[Edital]],tEditais[Edital],0)),"")</f>
        <v>46304.333333333336</v>
      </c>
      <c r="J7963" t="str">
        <f>IFERROR(INDEX(tProdutos[Classe],MATCH(tItens[[#This Row],[Produto]],tProdutos[Produto],0)),"produto não cadastrado")</f>
        <v>FORA</v>
      </c>
      <c r="K7963" s="12">
        <f>tItens[[#This Row],[Qtd]]*tItens[[#This Row],[Vlr unit]]</f>
        <v>193185</v>
      </c>
      <c r="L7963" s="6">
        <f>IFERROR(IF(INDEX(tProdutos[Desconto homologado],MATCH(tItens[[#This Row],[Produto]],tProdutos[Produto],0))="",DescontoPadrao,INDEX(tProdutos[Desconto homologado],MATCH(tItens[[#This Row],[Produto]],tProdutos[Produto],0))),DescontoPadrao)</f>
        <v>0.5</v>
      </c>
      <c r="M7963" s="12">
        <f>tItens[[#This Row],[Valor]]*(1-tItens[[#This Row],[Desconto]])</f>
        <v>96592.5</v>
      </c>
      <c r="N7963" t="str">
        <f>IFERROR(INDEX(tProdutos[Foco],MATCH(tItens[[#This Row],[Produto]],tProdutos[Produto],0)),"Não")</f>
        <v>Não</v>
      </c>
      <c r="O7963" t="str">
        <f>IFERROR(INDEX(tEditais[SRP],MATCH(tItens[[#This Row],[Edital]],tEditais[Edital],0)),"Não")</f>
        <v>Sim</v>
      </c>
      <c r="P7963" s="4">
        <f>IF(COUNTIFS(INDEX(tItens[Edital],1):tItens[[#This Row],[Edital]],tItens[[#This Row],[Edital]],INDEX(tItens[Produto],1):tItens[[#This Row],[Produto]],tItens[[#This Row],[Produto]])=1,1,0)</f>
        <v>1</v>
      </c>
    </row>
    <row r="7964" spans="1:16" x14ac:dyDescent="0.25">
      <c r="A7964" t="s">
        <v>2635</v>
      </c>
      <c r="B7964">
        <v>12</v>
      </c>
      <c r="C7964" t="s">
        <v>10459</v>
      </c>
      <c r="D7964" t="s">
        <v>317</v>
      </c>
      <c r="E7964" s="13">
        <v>1067100</v>
      </c>
      <c r="F7964" s="12">
        <v>0.31</v>
      </c>
      <c r="G7964" t="str">
        <f>IFERROR(INDEX(tEditais[Órgão],MATCH(tItens[[#This Row],[Edital]],tEditais[Edital],0)),"")</f>
        <v>AGENCIA PUBLICA INTERMUNICIPAL DE SERVICOS DO VALE EUROPEU - APIS</v>
      </c>
      <c r="H7964" t="str">
        <f>IFERROR(INDEX(tEditais[UF],MATCH(tItens[[#This Row],[Edital]],tEditais[Edital],0)),"")</f>
        <v>SC</v>
      </c>
      <c r="I7964" s="11">
        <f>IFERROR(INDEX(tEditais[Encerramento],MATCH(tItens[[#This Row],[Edital]],tEditais[Edital],0)),"")</f>
        <v>46304.333333333336</v>
      </c>
      <c r="J7964" t="str">
        <f>IFERROR(INDEX(tProdutos[Classe],MATCH(tItens[[#This Row],[Produto]],tProdutos[Produto],0)),"produto não cadastrado")</f>
        <v>FORA</v>
      </c>
      <c r="K7964" s="12">
        <f>tItens[[#This Row],[Qtd]]*tItens[[#This Row],[Vlr unit]]</f>
        <v>330801</v>
      </c>
      <c r="L7964" s="6">
        <f>IFERROR(IF(INDEX(tProdutos[Desconto homologado],MATCH(tItens[[#This Row],[Produto]],tProdutos[Produto],0))="",DescontoPadrao,INDEX(tProdutos[Desconto homologado],MATCH(tItens[[#This Row],[Produto]],tProdutos[Produto],0))),DescontoPadrao)</f>
        <v>0.5</v>
      </c>
      <c r="M7964" s="12">
        <f>tItens[[#This Row],[Valor]]*(1-tItens[[#This Row],[Desconto]])</f>
        <v>165400.5</v>
      </c>
      <c r="N7964" t="str">
        <f>IFERROR(INDEX(tProdutos[Foco],MATCH(tItens[[#This Row],[Produto]],tProdutos[Produto],0)),"Não")</f>
        <v>Não</v>
      </c>
      <c r="O7964" t="str">
        <f>IFERROR(INDEX(tEditais[SRP],MATCH(tItens[[#This Row],[Edital]],tEditais[Edital],0)),"Não")</f>
        <v>Sim</v>
      </c>
      <c r="P7964" s="4">
        <f>IF(COUNTIFS(INDEX(tItens[Edital],1):tItens[[#This Row],[Edital]],tItens[[#This Row],[Edital]],INDEX(tItens[Produto],1):tItens[[#This Row],[Produto]],tItens[[#This Row],[Produto]])=1,1,0)</f>
        <v>0</v>
      </c>
    </row>
    <row r="7965" spans="1:16" x14ac:dyDescent="0.25">
      <c r="A7965" t="s">
        <v>2635</v>
      </c>
      <c r="B7965">
        <v>13</v>
      </c>
      <c r="C7965" t="s">
        <v>10460</v>
      </c>
      <c r="D7965" t="s">
        <v>317</v>
      </c>
      <c r="E7965" s="13">
        <v>931900</v>
      </c>
      <c r="F7965" s="12">
        <v>0.28999999999999998</v>
      </c>
      <c r="G7965" t="str">
        <f>IFERROR(INDEX(tEditais[Órgão],MATCH(tItens[[#This Row],[Edital]],tEditais[Edital],0)),"")</f>
        <v>AGENCIA PUBLICA INTERMUNICIPAL DE SERVICOS DO VALE EUROPEU - APIS</v>
      </c>
      <c r="H7965" t="str">
        <f>IFERROR(INDEX(tEditais[UF],MATCH(tItens[[#This Row],[Edital]],tEditais[Edital],0)),"")</f>
        <v>SC</v>
      </c>
      <c r="I7965" s="11">
        <f>IFERROR(INDEX(tEditais[Encerramento],MATCH(tItens[[#This Row],[Edital]],tEditais[Edital],0)),"")</f>
        <v>46304.333333333336</v>
      </c>
      <c r="J7965" t="str">
        <f>IFERROR(INDEX(tProdutos[Classe],MATCH(tItens[[#This Row],[Produto]],tProdutos[Produto],0)),"produto não cadastrado")</f>
        <v>FORA</v>
      </c>
      <c r="K7965" s="12">
        <f>tItens[[#This Row],[Qtd]]*tItens[[#This Row],[Vlr unit]]</f>
        <v>270251</v>
      </c>
      <c r="L7965" s="6">
        <f>IFERROR(IF(INDEX(tProdutos[Desconto homologado],MATCH(tItens[[#This Row],[Produto]],tProdutos[Produto],0))="",DescontoPadrao,INDEX(tProdutos[Desconto homologado],MATCH(tItens[[#This Row],[Produto]],tProdutos[Produto],0))),DescontoPadrao)</f>
        <v>0.5</v>
      </c>
      <c r="M7965" s="12">
        <f>tItens[[#This Row],[Valor]]*(1-tItens[[#This Row],[Desconto]])</f>
        <v>135125.5</v>
      </c>
      <c r="N7965" t="str">
        <f>IFERROR(INDEX(tProdutos[Foco],MATCH(tItens[[#This Row],[Produto]],tProdutos[Produto],0)),"Não")</f>
        <v>Não</v>
      </c>
      <c r="O7965" t="str">
        <f>IFERROR(INDEX(tEditais[SRP],MATCH(tItens[[#This Row],[Edital]],tEditais[Edital],0)),"Não")</f>
        <v>Sim</v>
      </c>
      <c r="P7965" s="4">
        <f>IF(COUNTIFS(INDEX(tItens[Edital],1):tItens[[#This Row],[Edital]],tItens[[#This Row],[Edital]],INDEX(tItens[Produto],1):tItens[[#This Row],[Produto]],tItens[[#This Row],[Produto]])=1,1,0)</f>
        <v>0</v>
      </c>
    </row>
    <row r="7966" spans="1:16" x14ac:dyDescent="0.25">
      <c r="A7966" t="s">
        <v>2635</v>
      </c>
      <c r="B7966">
        <v>14</v>
      </c>
      <c r="C7966" t="s">
        <v>10461</v>
      </c>
      <c r="D7966" t="s">
        <v>317</v>
      </c>
      <c r="E7966" s="13">
        <v>1133200</v>
      </c>
      <c r="F7966" s="12">
        <v>0.28000000000000003</v>
      </c>
      <c r="G7966" t="str">
        <f>IFERROR(INDEX(tEditais[Órgão],MATCH(tItens[[#This Row],[Edital]],tEditais[Edital],0)),"")</f>
        <v>AGENCIA PUBLICA INTERMUNICIPAL DE SERVICOS DO VALE EUROPEU - APIS</v>
      </c>
      <c r="H7966" t="str">
        <f>IFERROR(INDEX(tEditais[UF],MATCH(tItens[[#This Row],[Edital]],tEditais[Edital],0)),"")</f>
        <v>SC</v>
      </c>
      <c r="I7966" s="11">
        <f>IFERROR(INDEX(tEditais[Encerramento],MATCH(tItens[[#This Row],[Edital]],tEditais[Edital],0)),"")</f>
        <v>46304.333333333336</v>
      </c>
      <c r="J7966" t="str">
        <f>IFERROR(INDEX(tProdutos[Classe],MATCH(tItens[[#This Row],[Produto]],tProdutos[Produto],0)),"produto não cadastrado")</f>
        <v>FORA</v>
      </c>
      <c r="K7966" s="12">
        <f>tItens[[#This Row],[Qtd]]*tItens[[#This Row],[Vlr unit]]</f>
        <v>317296.00000000006</v>
      </c>
      <c r="L7966" s="6">
        <f>IFERROR(IF(INDEX(tProdutos[Desconto homologado],MATCH(tItens[[#This Row],[Produto]],tProdutos[Produto],0))="",DescontoPadrao,INDEX(tProdutos[Desconto homologado],MATCH(tItens[[#This Row],[Produto]],tProdutos[Produto],0))),DescontoPadrao)</f>
        <v>0.5</v>
      </c>
      <c r="M7966" s="12">
        <f>tItens[[#This Row],[Valor]]*(1-tItens[[#This Row],[Desconto]])</f>
        <v>158648.00000000003</v>
      </c>
      <c r="N7966" t="str">
        <f>IFERROR(INDEX(tProdutos[Foco],MATCH(tItens[[#This Row],[Produto]],tProdutos[Produto],0)),"Não")</f>
        <v>Não</v>
      </c>
      <c r="O7966" t="str">
        <f>IFERROR(INDEX(tEditais[SRP],MATCH(tItens[[#This Row],[Edital]],tEditais[Edital],0)),"Não")</f>
        <v>Sim</v>
      </c>
      <c r="P7966" s="4">
        <f>IF(COUNTIFS(INDEX(tItens[Edital],1):tItens[[#This Row],[Edital]],tItens[[#This Row],[Edital]],INDEX(tItens[Produto],1):tItens[[#This Row],[Produto]],tItens[[#This Row],[Produto]])=1,1,0)</f>
        <v>0</v>
      </c>
    </row>
    <row r="7967" spans="1:16" x14ac:dyDescent="0.25">
      <c r="A7967" t="s">
        <v>2635</v>
      </c>
      <c r="B7967">
        <v>15</v>
      </c>
      <c r="C7967" t="s">
        <v>10462</v>
      </c>
      <c r="D7967" t="s">
        <v>317</v>
      </c>
      <c r="E7967" s="13">
        <v>985200</v>
      </c>
      <c r="F7967" s="12">
        <v>0.3</v>
      </c>
      <c r="G7967" t="str">
        <f>IFERROR(INDEX(tEditais[Órgão],MATCH(tItens[[#This Row],[Edital]],tEditais[Edital],0)),"")</f>
        <v>AGENCIA PUBLICA INTERMUNICIPAL DE SERVICOS DO VALE EUROPEU - APIS</v>
      </c>
      <c r="H7967" t="str">
        <f>IFERROR(INDEX(tEditais[UF],MATCH(tItens[[#This Row],[Edital]],tEditais[Edital],0)),"")</f>
        <v>SC</v>
      </c>
      <c r="I7967" s="11">
        <f>IFERROR(INDEX(tEditais[Encerramento],MATCH(tItens[[#This Row],[Edital]],tEditais[Edital],0)),"")</f>
        <v>46304.333333333336</v>
      </c>
      <c r="J7967" t="str">
        <f>IFERROR(INDEX(tProdutos[Classe],MATCH(tItens[[#This Row],[Produto]],tProdutos[Produto],0)),"produto não cadastrado")</f>
        <v>FORA</v>
      </c>
      <c r="K7967" s="12">
        <f>tItens[[#This Row],[Qtd]]*tItens[[#This Row],[Vlr unit]]</f>
        <v>295560</v>
      </c>
      <c r="L7967" s="6">
        <f>IFERROR(IF(INDEX(tProdutos[Desconto homologado],MATCH(tItens[[#This Row],[Produto]],tProdutos[Produto],0))="",DescontoPadrao,INDEX(tProdutos[Desconto homologado],MATCH(tItens[[#This Row],[Produto]],tProdutos[Produto],0))),DescontoPadrao)</f>
        <v>0.5</v>
      </c>
      <c r="M7967" s="12">
        <f>tItens[[#This Row],[Valor]]*(1-tItens[[#This Row],[Desconto]])</f>
        <v>147780</v>
      </c>
      <c r="N7967" t="str">
        <f>IFERROR(INDEX(tProdutos[Foco],MATCH(tItens[[#This Row],[Produto]],tProdutos[Produto],0)),"Não")</f>
        <v>Não</v>
      </c>
      <c r="O7967" t="str">
        <f>IFERROR(INDEX(tEditais[SRP],MATCH(tItens[[#This Row],[Edital]],tEditais[Edital],0)),"Não")</f>
        <v>Sim</v>
      </c>
      <c r="P7967" s="4">
        <f>IF(COUNTIFS(INDEX(tItens[Edital],1):tItens[[#This Row],[Edital]],tItens[[#This Row],[Edital]],INDEX(tItens[Produto],1):tItens[[#This Row],[Produto]],tItens[[#This Row],[Produto]])=1,1,0)</f>
        <v>0</v>
      </c>
    </row>
    <row r="7968" spans="1:16" x14ac:dyDescent="0.25">
      <c r="A7968" t="s">
        <v>2640</v>
      </c>
      <c r="B7968">
        <v>2295279</v>
      </c>
      <c r="C7968" t="s">
        <v>10463</v>
      </c>
      <c r="D7968" t="s">
        <v>455</v>
      </c>
      <c r="E7968" s="13">
        <v>3</v>
      </c>
      <c r="F7968" s="12">
        <v>98.43</v>
      </c>
      <c r="G7968" t="str">
        <f>IFERROR(INDEX(tEditais[Órgão],MATCH(tItens[[#This Row],[Edital]],tEditais[Edital],0)),"")</f>
        <v>FUNDACAO UNIVERSIDADE REGIONAL DE BLUMENAU - FURB</v>
      </c>
      <c r="H7968" t="str">
        <f>IFERROR(INDEX(tEditais[UF],MATCH(tItens[[#This Row],[Edital]],tEditais[Edital],0)),"")</f>
        <v>SC</v>
      </c>
      <c r="I7968" s="11">
        <f>IFERROR(INDEX(tEditais[Encerramento],MATCH(tItens[[#This Row],[Edital]],tEditais[Edital],0)),"")</f>
        <v>46308.375</v>
      </c>
      <c r="J7968" t="str">
        <f>IFERROR(INDEX(tProdutos[Classe],MATCH(tItens[[#This Row],[Produto]],tProdutos[Produto],0)),"produto não cadastrado")</f>
        <v>FILA REBASE</v>
      </c>
      <c r="K7968" s="12">
        <f>tItens[[#This Row],[Qtd]]*tItens[[#This Row],[Vlr unit]]</f>
        <v>295.29000000000002</v>
      </c>
      <c r="L7968" s="6">
        <f>IFERROR(IF(INDEX(tProdutos[Desconto homologado],MATCH(tItens[[#This Row],[Produto]],tProdutos[Produto],0))="",DescontoPadrao,INDEX(tProdutos[Desconto homologado],MATCH(tItens[[#This Row],[Produto]],tProdutos[Produto],0))),DescontoPadrao)</f>
        <v>0.29595946765523801</v>
      </c>
      <c r="M7968" s="12">
        <f>tItens[[#This Row],[Valor]]*(1-tItens[[#This Row],[Desconto]])</f>
        <v>207.89612879608481</v>
      </c>
      <c r="N7968" t="str">
        <f>IFERROR(INDEX(tProdutos[Foco],MATCH(tItens[[#This Row],[Produto]],tProdutos[Produto],0)),"Não")</f>
        <v>Não</v>
      </c>
      <c r="O7968" t="str">
        <f>IFERROR(INDEX(tEditais[SRP],MATCH(tItens[[#This Row],[Edital]],tEditais[Edital],0)),"Não")</f>
        <v>Sim</v>
      </c>
      <c r="P7968" s="4">
        <f>IF(COUNTIFS(INDEX(tItens[Edital],1):tItens[[#This Row],[Edital]],tItens[[#This Row],[Edital]],INDEX(tItens[Produto],1):tItens[[#This Row],[Produto]],tItens[[#This Row],[Produto]])=1,1,0)</f>
        <v>1</v>
      </c>
    </row>
    <row r="7969" spans="1:16" x14ac:dyDescent="0.25">
      <c r="A7969" t="s">
        <v>2640</v>
      </c>
      <c r="B7969">
        <v>2295280</v>
      </c>
      <c r="C7969" t="s">
        <v>10464</v>
      </c>
      <c r="D7969" t="s">
        <v>156</v>
      </c>
      <c r="E7969" s="13">
        <v>30</v>
      </c>
      <c r="F7969" s="12">
        <v>143.36000000000001</v>
      </c>
      <c r="G7969" t="str">
        <f>IFERROR(INDEX(tEditais[Órgão],MATCH(tItens[[#This Row],[Edital]],tEditais[Edital],0)),"")</f>
        <v>FUNDACAO UNIVERSIDADE REGIONAL DE BLUMENAU - FURB</v>
      </c>
      <c r="H7969" t="str">
        <f>IFERROR(INDEX(tEditais[UF],MATCH(tItens[[#This Row],[Edital]],tEditais[Edital],0)),"")</f>
        <v>SC</v>
      </c>
      <c r="I7969" s="11">
        <f>IFERROR(INDEX(tEditais[Encerramento],MATCH(tItens[[#This Row],[Edital]],tEditais[Edital],0)),"")</f>
        <v>46308.375</v>
      </c>
      <c r="J7969" t="str">
        <f>IFERROR(INDEX(tProdutos[Classe],MATCH(tItens[[#This Row],[Produto]],tProdutos[Produto],0)),"produto não cadastrado")</f>
        <v>DISPUTADO</v>
      </c>
      <c r="K7969" s="12">
        <f>tItens[[#This Row],[Qtd]]*tItens[[#This Row],[Vlr unit]]</f>
        <v>4300.8</v>
      </c>
      <c r="L7969" s="6">
        <f>IFERROR(IF(INDEX(tProdutos[Desconto homologado],MATCH(tItens[[#This Row],[Produto]],tProdutos[Produto],0))="",DescontoPadrao,INDEX(tProdutos[Desconto homologado],MATCH(tItens[[#This Row],[Produto]],tProdutos[Produto],0))),DescontoPadrao)</f>
        <v>0.27131852489802799</v>
      </c>
      <c r="M7969" s="12">
        <f>tItens[[#This Row],[Valor]]*(1-tItens[[#This Row],[Desconto]])</f>
        <v>3133.9132881185615</v>
      </c>
      <c r="N7969" t="str">
        <f>IFERROR(INDEX(tProdutos[Foco],MATCH(tItens[[#This Row],[Produto]],tProdutos[Produto],0)),"Não")</f>
        <v>Não</v>
      </c>
      <c r="O7969" t="str">
        <f>IFERROR(INDEX(tEditais[SRP],MATCH(tItens[[#This Row],[Edital]],tEditais[Edital],0)),"Não")</f>
        <v>Sim</v>
      </c>
      <c r="P7969" s="4">
        <f>IF(COUNTIFS(INDEX(tItens[Edital],1):tItens[[#This Row],[Edital]],tItens[[#This Row],[Edital]],INDEX(tItens[Produto],1):tItens[[#This Row],[Produto]],tItens[[#This Row],[Produto]])=1,1,0)</f>
        <v>1</v>
      </c>
    </row>
    <row r="7970" spans="1:16" x14ac:dyDescent="0.25">
      <c r="A7970" t="s">
        <v>2640</v>
      </c>
      <c r="B7970">
        <v>2295281</v>
      </c>
      <c r="C7970" t="s">
        <v>10465</v>
      </c>
      <c r="D7970" t="s">
        <v>71</v>
      </c>
      <c r="E7970" s="13">
        <v>40</v>
      </c>
      <c r="F7970" s="12">
        <v>38.39</v>
      </c>
      <c r="G7970" t="str">
        <f>IFERROR(INDEX(tEditais[Órgão],MATCH(tItens[[#This Row],[Edital]],tEditais[Edital],0)),"")</f>
        <v>FUNDACAO UNIVERSIDADE REGIONAL DE BLUMENAU - FURB</v>
      </c>
      <c r="H7970" t="str">
        <f>IFERROR(INDEX(tEditais[UF],MATCH(tItens[[#This Row],[Edital]],tEditais[Edital],0)),"")</f>
        <v>SC</v>
      </c>
      <c r="I7970" s="11">
        <f>IFERROR(INDEX(tEditais[Encerramento],MATCH(tItens[[#This Row],[Edital]],tEditais[Edital],0)),"")</f>
        <v>46308.375</v>
      </c>
      <c r="J7970" t="str">
        <f>IFERROR(INDEX(tProdutos[Classe],MATCH(tItens[[#This Row],[Produto]],tProdutos[Produto],0)),"produto não cadastrado")</f>
        <v>NÚCLEO</v>
      </c>
      <c r="K7970" s="12">
        <f>tItens[[#This Row],[Qtd]]*tItens[[#This Row],[Vlr unit]]</f>
        <v>1535.6</v>
      </c>
      <c r="L7970" s="6">
        <f>IFERROR(IF(INDEX(tProdutos[Desconto homologado],MATCH(tItens[[#This Row],[Produto]],tProdutos[Produto],0))="",DescontoPadrao,INDEX(tProdutos[Desconto homologado],MATCH(tItens[[#This Row],[Produto]],tProdutos[Produto],0))),DescontoPadrao)</f>
        <v>0.44981412639405199</v>
      </c>
      <c r="M7970" s="12">
        <f>tItens[[#This Row],[Valor]]*(1-tItens[[#This Row],[Desconto]])</f>
        <v>844.86542750929357</v>
      </c>
      <c r="N7970" t="str">
        <f>IFERROR(INDEX(tProdutos[Foco],MATCH(tItens[[#This Row],[Produto]],tProdutos[Produto],0)),"Não")</f>
        <v>Não</v>
      </c>
      <c r="O7970" t="str">
        <f>IFERROR(INDEX(tEditais[SRP],MATCH(tItens[[#This Row],[Edital]],tEditais[Edital],0)),"Não")</f>
        <v>Sim</v>
      </c>
      <c r="P7970" s="4">
        <f>IF(COUNTIFS(INDEX(tItens[Edital],1):tItens[[#This Row],[Edital]],tItens[[#This Row],[Edital]],INDEX(tItens[Produto],1):tItens[[#This Row],[Produto]],tItens[[#This Row],[Produto]])=1,1,0)</f>
        <v>1</v>
      </c>
    </row>
    <row r="7971" spans="1:16" x14ac:dyDescent="0.25">
      <c r="A7971" t="s">
        <v>2640</v>
      </c>
      <c r="B7971">
        <v>2295282</v>
      </c>
      <c r="C7971" t="s">
        <v>10466</v>
      </c>
      <c r="D7971" t="s">
        <v>88</v>
      </c>
      <c r="E7971" s="13">
        <v>30</v>
      </c>
      <c r="F7971" s="12">
        <v>38.39</v>
      </c>
      <c r="G7971" t="str">
        <f>IFERROR(INDEX(tEditais[Órgão],MATCH(tItens[[#This Row],[Edital]],tEditais[Edital],0)),"")</f>
        <v>FUNDACAO UNIVERSIDADE REGIONAL DE BLUMENAU - FURB</v>
      </c>
      <c r="H7971" t="str">
        <f>IFERROR(INDEX(tEditais[UF],MATCH(tItens[[#This Row],[Edital]],tEditais[Edital],0)),"")</f>
        <v>SC</v>
      </c>
      <c r="I7971" s="11">
        <f>IFERROR(INDEX(tEditais[Encerramento],MATCH(tItens[[#This Row],[Edital]],tEditais[Edital],0)),"")</f>
        <v>46308.375</v>
      </c>
      <c r="J7971" t="str">
        <f>IFERROR(INDEX(tProdutos[Classe],MATCH(tItens[[#This Row],[Produto]],tProdutos[Produto],0)),"produto não cadastrado")</f>
        <v>NÚCLEO</v>
      </c>
      <c r="K7971" s="12">
        <f>tItens[[#This Row],[Qtd]]*tItens[[#This Row],[Vlr unit]]</f>
        <v>1151.7</v>
      </c>
      <c r="L7971" s="6">
        <f>IFERROR(IF(INDEX(tProdutos[Desconto homologado],MATCH(tItens[[#This Row],[Produto]],tProdutos[Produto],0))="",DescontoPadrao,INDEX(tProdutos[Desconto homologado],MATCH(tItens[[#This Row],[Produto]],tProdutos[Produto],0))),DescontoPadrao)</f>
        <v>0.30251202565473001</v>
      </c>
      <c r="M7971" s="12">
        <f>tItens[[#This Row],[Valor]]*(1-tItens[[#This Row],[Desconto]])</f>
        <v>803.29690005344753</v>
      </c>
      <c r="N7971" t="str">
        <f>IFERROR(INDEX(tProdutos[Foco],MATCH(tItens[[#This Row],[Produto]],tProdutos[Produto],0)),"Não")</f>
        <v>Não</v>
      </c>
      <c r="O7971" t="str">
        <f>IFERROR(INDEX(tEditais[SRP],MATCH(tItens[[#This Row],[Edital]],tEditais[Edital],0)),"Não")</f>
        <v>Sim</v>
      </c>
      <c r="P7971" s="4">
        <f>IF(COUNTIFS(INDEX(tItens[Edital],1):tItens[[#This Row],[Edital]],tItens[[#This Row],[Edital]],INDEX(tItens[Produto],1):tItens[[#This Row],[Produto]],tItens[[#This Row],[Produto]])=1,1,0)</f>
        <v>1</v>
      </c>
    </row>
    <row r="7972" spans="1:16" x14ac:dyDescent="0.25">
      <c r="A7972" t="s">
        <v>2644</v>
      </c>
      <c r="B7972">
        <v>15</v>
      </c>
      <c r="C7972" t="s">
        <v>10467</v>
      </c>
      <c r="D7972" t="s">
        <v>295</v>
      </c>
      <c r="E7972" s="13">
        <v>4210</v>
      </c>
      <c r="F7972" s="12">
        <v>11.67</v>
      </c>
      <c r="G7972" t="str">
        <f>IFERROR(INDEX(tEditais[Órgão],MATCH(tItens[[#This Row],[Edital]],tEditais[Edital],0)),"")</f>
        <v>CONSORCIO INTEGRADO DE GESTAO PUBLICA DO ENTRE RIOS - CIGAMERIOS</v>
      </c>
      <c r="H7972" t="str">
        <f>IFERROR(INDEX(tEditais[UF],MATCH(tItens[[#This Row],[Edital]],tEditais[Edital],0)),"")</f>
        <v>SC</v>
      </c>
      <c r="I7972" s="11">
        <f>IFERROR(INDEX(tEditais[Encerramento],MATCH(tItens[[#This Row],[Edital]],tEditais[Edital],0)),"")</f>
        <v>46309.332638888889</v>
      </c>
      <c r="J7972" t="str">
        <f>IFERROR(INDEX(tProdutos[Classe],MATCH(tItens[[#This Row],[Produto]],tProdutos[Produto],0)),"produto não cadastrado")</f>
        <v>FORA</v>
      </c>
      <c r="K7972" s="12">
        <f>tItens[[#This Row],[Qtd]]*tItens[[#This Row],[Vlr unit]]</f>
        <v>49130.7</v>
      </c>
      <c r="L7972" s="6">
        <f>IFERROR(IF(INDEX(tProdutos[Desconto homologado],MATCH(tItens[[#This Row],[Produto]],tProdutos[Produto],0))="",DescontoPadrao,INDEX(tProdutos[Desconto homologado],MATCH(tItens[[#This Row],[Produto]],tProdutos[Produto],0))),DescontoPadrao)</f>
        <v>0.219311377245509</v>
      </c>
      <c r="M7972" s="12">
        <f>tItens[[#This Row],[Valor]]*(1-tItens[[#This Row],[Desconto]])</f>
        <v>38355.77851796407</v>
      </c>
      <c r="N7972" t="str">
        <f>IFERROR(INDEX(tProdutos[Foco],MATCH(tItens[[#This Row],[Produto]],tProdutos[Produto],0)),"Não")</f>
        <v>Não</v>
      </c>
      <c r="O7972" t="str">
        <f>IFERROR(INDEX(tEditais[SRP],MATCH(tItens[[#This Row],[Edital]],tEditais[Edital],0)),"Não")</f>
        <v>Sim</v>
      </c>
      <c r="P7972" s="4">
        <f>IF(COUNTIFS(INDEX(tItens[Edital],1):tItens[[#This Row],[Edital]],tItens[[#This Row],[Edital]],INDEX(tItens[Produto],1):tItens[[#This Row],[Produto]],tItens[[#This Row],[Produto]])=1,1,0)</f>
        <v>1</v>
      </c>
    </row>
    <row r="7973" spans="1:16" x14ac:dyDescent="0.25">
      <c r="A7973" t="s">
        <v>2644</v>
      </c>
      <c r="B7973">
        <v>17</v>
      </c>
      <c r="C7973" t="s">
        <v>10468</v>
      </c>
      <c r="D7973" t="s">
        <v>295</v>
      </c>
      <c r="E7973" s="13">
        <v>4450</v>
      </c>
      <c r="F7973" s="12">
        <v>14.3</v>
      </c>
      <c r="G7973" t="str">
        <f>IFERROR(INDEX(tEditais[Órgão],MATCH(tItens[[#This Row],[Edital]],tEditais[Edital],0)),"")</f>
        <v>CONSORCIO INTEGRADO DE GESTAO PUBLICA DO ENTRE RIOS - CIGAMERIOS</v>
      </c>
      <c r="H7973" t="str">
        <f>IFERROR(INDEX(tEditais[UF],MATCH(tItens[[#This Row],[Edital]],tEditais[Edital],0)),"")</f>
        <v>SC</v>
      </c>
      <c r="I7973" s="11">
        <f>IFERROR(INDEX(tEditais[Encerramento],MATCH(tItens[[#This Row],[Edital]],tEditais[Edital],0)),"")</f>
        <v>46309.332638888889</v>
      </c>
      <c r="J7973" t="str">
        <f>IFERROR(INDEX(tProdutos[Classe],MATCH(tItens[[#This Row],[Produto]],tProdutos[Produto],0)),"produto não cadastrado")</f>
        <v>FORA</v>
      </c>
      <c r="K7973" s="12">
        <f>tItens[[#This Row],[Qtd]]*tItens[[#This Row],[Vlr unit]]</f>
        <v>63635</v>
      </c>
      <c r="L7973" s="6">
        <f>IFERROR(IF(INDEX(tProdutos[Desconto homologado],MATCH(tItens[[#This Row],[Produto]],tProdutos[Produto],0))="",DescontoPadrao,INDEX(tProdutos[Desconto homologado],MATCH(tItens[[#This Row],[Produto]],tProdutos[Produto],0))),DescontoPadrao)</f>
        <v>0.219311377245509</v>
      </c>
      <c r="M7973" s="12">
        <f>tItens[[#This Row],[Valor]]*(1-tItens[[#This Row],[Desconto]])</f>
        <v>49679.120508982036</v>
      </c>
      <c r="N7973" t="str">
        <f>IFERROR(INDEX(tProdutos[Foco],MATCH(tItens[[#This Row],[Produto]],tProdutos[Produto],0)),"Não")</f>
        <v>Não</v>
      </c>
      <c r="O7973" t="str">
        <f>IFERROR(INDEX(tEditais[SRP],MATCH(tItens[[#This Row],[Edital]],tEditais[Edital],0)),"Não")</f>
        <v>Sim</v>
      </c>
      <c r="P7973" s="4">
        <f>IF(COUNTIFS(INDEX(tItens[Edital],1):tItens[[#This Row],[Edital]],tItens[[#This Row],[Edital]],INDEX(tItens[Produto],1):tItens[[#This Row],[Produto]],tItens[[#This Row],[Produto]])=1,1,0)</f>
        <v>0</v>
      </c>
    </row>
    <row r="7974" spans="1:16" x14ac:dyDescent="0.25">
      <c r="A7974" t="s">
        <v>2644</v>
      </c>
      <c r="B7974">
        <v>18</v>
      </c>
      <c r="C7974" t="s">
        <v>10469</v>
      </c>
      <c r="D7974" t="s">
        <v>295</v>
      </c>
      <c r="E7974" s="13">
        <v>3300</v>
      </c>
      <c r="F7974" s="12">
        <v>14.47</v>
      </c>
      <c r="G7974" t="str">
        <f>IFERROR(INDEX(tEditais[Órgão],MATCH(tItens[[#This Row],[Edital]],tEditais[Edital],0)),"")</f>
        <v>CONSORCIO INTEGRADO DE GESTAO PUBLICA DO ENTRE RIOS - CIGAMERIOS</v>
      </c>
      <c r="H7974" t="str">
        <f>IFERROR(INDEX(tEditais[UF],MATCH(tItens[[#This Row],[Edital]],tEditais[Edital],0)),"")</f>
        <v>SC</v>
      </c>
      <c r="I7974" s="11">
        <f>IFERROR(INDEX(tEditais[Encerramento],MATCH(tItens[[#This Row],[Edital]],tEditais[Edital],0)),"")</f>
        <v>46309.332638888889</v>
      </c>
      <c r="J7974" t="str">
        <f>IFERROR(INDEX(tProdutos[Classe],MATCH(tItens[[#This Row],[Produto]],tProdutos[Produto],0)),"produto não cadastrado")</f>
        <v>FORA</v>
      </c>
      <c r="K7974" s="12">
        <f>tItens[[#This Row],[Qtd]]*tItens[[#This Row],[Vlr unit]]</f>
        <v>47751</v>
      </c>
      <c r="L7974" s="6">
        <f>IFERROR(IF(INDEX(tProdutos[Desconto homologado],MATCH(tItens[[#This Row],[Produto]],tProdutos[Produto],0))="",DescontoPadrao,INDEX(tProdutos[Desconto homologado],MATCH(tItens[[#This Row],[Produto]],tProdutos[Produto],0))),DescontoPadrao)</f>
        <v>0.219311377245509</v>
      </c>
      <c r="M7974" s="12">
        <f>tItens[[#This Row],[Valor]]*(1-tItens[[#This Row],[Desconto]])</f>
        <v>37278.662425149698</v>
      </c>
      <c r="N7974" t="str">
        <f>IFERROR(INDEX(tProdutos[Foco],MATCH(tItens[[#This Row],[Produto]],tProdutos[Produto],0)),"Não")</f>
        <v>Não</v>
      </c>
      <c r="O7974" t="str">
        <f>IFERROR(INDEX(tEditais[SRP],MATCH(tItens[[#This Row],[Edital]],tEditais[Edital],0)),"Não")</f>
        <v>Sim</v>
      </c>
      <c r="P7974" s="4">
        <f>IF(COUNTIFS(INDEX(tItens[Edital],1):tItens[[#This Row],[Edital]],tItens[[#This Row],[Edital]],INDEX(tItens[Produto],1):tItens[[#This Row],[Produto]],tItens[[#This Row],[Produto]])=1,1,0)</f>
        <v>0</v>
      </c>
    </row>
    <row r="7975" spans="1:16" x14ac:dyDescent="0.25">
      <c r="A7975" t="s">
        <v>2644</v>
      </c>
      <c r="B7975">
        <v>19</v>
      </c>
      <c r="C7975" t="s">
        <v>10470</v>
      </c>
      <c r="D7975" t="s">
        <v>295</v>
      </c>
      <c r="E7975" s="13">
        <v>1290</v>
      </c>
      <c r="F7975" s="12">
        <v>19.48</v>
      </c>
      <c r="G7975" t="str">
        <f>IFERROR(INDEX(tEditais[Órgão],MATCH(tItens[[#This Row],[Edital]],tEditais[Edital],0)),"")</f>
        <v>CONSORCIO INTEGRADO DE GESTAO PUBLICA DO ENTRE RIOS - CIGAMERIOS</v>
      </c>
      <c r="H7975" t="str">
        <f>IFERROR(INDEX(tEditais[UF],MATCH(tItens[[#This Row],[Edital]],tEditais[Edital],0)),"")</f>
        <v>SC</v>
      </c>
      <c r="I7975" s="11">
        <f>IFERROR(INDEX(tEditais[Encerramento],MATCH(tItens[[#This Row],[Edital]],tEditais[Edital],0)),"")</f>
        <v>46309.332638888889</v>
      </c>
      <c r="J7975" t="str">
        <f>IFERROR(INDEX(tProdutos[Classe],MATCH(tItens[[#This Row],[Produto]],tProdutos[Produto],0)),"produto não cadastrado")</f>
        <v>FORA</v>
      </c>
      <c r="K7975" s="12">
        <f>tItens[[#This Row],[Qtd]]*tItens[[#This Row],[Vlr unit]]</f>
        <v>25129.200000000001</v>
      </c>
      <c r="L7975" s="6">
        <f>IFERROR(IF(INDEX(tProdutos[Desconto homologado],MATCH(tItens[[#This Row],[Produto]],tProdutos[Produto],0))="",DescontoPadrao,INDEX(tProdutos[Desconto homologado],MATCH(tItens[[#This Row],[Produto]],tProdutos[Produto],0))),DescontoPadrao)</f>
        <v>0.219311377245509</v>
      </c>
      <c r="M7975" s="12">
        <f>tItens[[#This Row],[Valor]]*(1-tItens[[#This Row],[Desconto]])</f>
        <v>19618.080538922157</v>
      </c>
      <c r="N7975" t="str">
        <f>IFERROR(INDEX(tProdutos[Foco],MATCH(tItens[[#This Row],[Produto]],tProdutos[Produto],0)),"Não")</f>
        <v>Não</v>
      </c>
      <c r="O7975" t="str">
        <f>IFERROR(INDEX(tEditais[SRP],MATCH(tItens[[#This Row],[Edital]],tEditais[Edital],0)),"Não")</f>
        <v>Sim</v>
      </c>
      <c r="P7975" s="4">
        <f>IF(COUNTIFS(INDEX(tItens[Edital],1):tItens[[#This Row],[Edital]],tItens[[#This Row],[Edital]],INDEX(tItens[Produto],1):tItens[[#This Row],[Produto]],tItens[[#This Row],[Produto]])=1,1,0)</f>
        <v>0</v>
      </c>
    </row>
    <row r="7976" spans="1:16" x14ac:dyDescent="0.25">
      <c r="A7976" t="s">
        <v>2644</v>
      </c>
      <c r="B7976">
        <v>20</v>
      </c>
      <c r="C7976" t="s">
        <v>10471</v>
      </c>
      <c r="D7976" t="s">
        <v>315</v>
      </c>
      <c r="E7976" s="13">
        <v>5530</v>
      </c>
      <c r="F7976" s="12">
        <v>15.38</v>
      </c>
      <c r="G7976" t="str">
        <f>IFERROR(INDEX(tEditais[Órgão],MATCH(tItens[[#This Row],[Edital]],tEditais[Edital],0)),"")</f>
        <v>CONSORCIO INTEGRADO DE GESTAO PUBLICA DO ENTRE RIOS - CIGAMERIOS</v>
      </c>
      <c r="H7976" t="str">
        <f>IFERROR(INDEX(tEditais[UF],MATCH(tItens[[#This Row],[Edital]],tEditais[Edital],0)),"")</f>
        <v>SC</v>
      </c>
      <c r="I7976" s="11">
        <f>IFERROR(INDEX(tEditais[Encerramento],MATCH(tItens[[#This Row],[Edital]],tEditais[Edital],0)),"")</f>
        <v>46309.332638888889</v>
      </c>
      <c r="J7976" t="str">
        <f>IFERROR(INDEX(tProdutos[Classe],MATCH(tItens[[#This Row],[Produto]],tProdutos[Produto],0)),"produto não cadastrado")</f>
        <v>FORA</v>
      </c>
      <c r="K7976" s="12">
        <f>tItens[[#This Row],[Qtd]]*tItens[[#This Row],[Vlr unit]]</f>
        <v>85051.400000000009</v>
      </c>
      <c r="L7976" s="6">
        <f>IFERROR(IF(INDEX(tProdutos[Desconto homologado],MATCH(tItens[[#This Row],[Produto]],tProdutos[Produto],0))="",DescontoPadrao,INDEX(tProdutos[Desconto homologado],MATCH(tItens[[#This Row],[Produto]],tProdutos[Produto],0))),DescontoPadrao)</f>
        <v>0.38432036097010702</v>
      </c>
      <c r="M7976" s="12">
        <f>tItens[[#This Row],[Valor]]*(1-tItens[[#This Row],[Desconto]])</f>
        <v>52364.415250987047</v>
      </c>
      <c r="N7976" t="str">
        <f>IFERROR(INDEX(tProdutos[Foco],MATCH(tItens[[#This Row],[Produto]],tProdutos[Produto],0)),"Não")</f>
        <v>Não</v>
      </c>
      <c r="O7976" t="str">
        <f>IFERROR(INDEX(tEditais[SRP],MATCH(tItens[[#This Row],[Edital]],tEditais[Edital],0)),"Não")</f>
        <v>Sim</v>
      </c>
      <c r="P7976" s="4">
        <f>IF(COUNTIFS(INDEX(tItens[Edital],1):tItens[[#This Row],[Edital]],tItens[[#This Row],[Edital]],INDEX(tItens[Produto],1):tItens[[#This Row],[Produto]],tItens[[#This Row],[Produto]])=1,1,0)</f>
        <v>1</v>
      </c>
    </row>
    <row r="7977" spans="1:16" x14ac:dyDescent="0.25">
      <c r="A7977" t="s">
        <v>2644</v>
      </c>
      <c r="B7977">
        <v>21</v>
      </c>
      <c r="C7977" t="s">
        <v>10472</v>
      </c>
      <c r="D7977" t="s">
        <v>315</v>
      </c>
      <c r="E7977" s="13">
        <v>5350</v>
      </c>
      <c r="F7977" s="12">
        <v>14.62</v>
      </c>
      <c r="G7977" t="str">
        <f>IFERROR(INDEX(tEditais[Órgão],MATCH(tItens[[#This Row],[Edital]],tEditais[Edital],0)),"")</f>
        <v>CONSORCIO INTEGRADO DE GESTAO PUBLICA DO ENTRE RIOS - CIGAMERIOS</v>
      </c>
      <c r="H7977" t="str">
        <f>IFERROR(INDEX(tEditais[UF],MATCH(tItens[[#This Row],[Edital]],tEditais[Edital],0)),"")</f>
        <v>SC</v>
      </c>
      <c r="I7977" s="11">
        <f>IFERROR(INDEX(tEditais[Encerramento],MATCH(tItens[[#This Row],[Edital]],tEditais[Edital],0)),"")</f>
        <v>46309.332638888889</v>
      </c>
      <c r="J7977" t="str">
        <f>IFERROR(INDEX(tProdutos[Classe],MATCH(tItens[[#This Row],[Produto]],tProdutos[Produto],0)),"produto não cadastrado")</f>
        <v>FORA</v>
      </c>
      <c r="K7977" s="12">
        <f>tItens[[#This Row],[Qtd]]*tItens[[#This Row],[Vlr unit]]</f>
        <v>78217</v>
      </c>
      <c r="L7977" s="6">
        <f>IFERROR(IF(INDEX(tProdutos[Desconto homologado],MATCH(tItens[[#This Row],[Produto]],tProdutos[Produto],0))="",DescontoPadrao,INDEX(tProdutos[Desconto homologado],MATCH(tItens[[#This Row],[Produto]],tProdutos[Produto],0))),DescontoPadrao)</f>
        <v>0.38432036097010702</v>
      </c>
      <c r="M7977" s="12">
        <f>tItens[[#This Row],[Valor]]*(1-tItens[[#This Row],[Desconto]])</f>
        <v>48156.614326001138</v>
      </c>
      <c r="N7977" t="str">
        <f>IFERROR(INDEX(tProdutos[Foco],MATCH(tItens[[#This Row],[Produto]],tProdutos[Produto],0)),"Não")</f>
        <v>Não</v>
      </c>
      <c r="O7977" t="str">
        <f>IFERROR(INDEX(tEditais[SRP],MATCH(tItens[[#This Row],[Edital]],tEditais[Edital],0)),"Não")</f>
        <v>Sim</v>
      </c>
      <c r="P7977" s="4">
        <f>IF(COUNTIFS(INDEX(tItens[Edital],1):tItens[[#This Row],[Edital]],tItens[[#This Row],[Edital]],INDEX(tItens[Produto],1):tItens[[#This Row],[Produto]],tItens[[#This Row],[Produto]])=1,1,0)</f>
        <v>0</v>
      </c>
    </row>
    <row r="7978" spans="1:16" x14ac:dyDescent="0.25">
      <c r="A7978" t="s">
        <v>2644</v>
      </c>
      <c r="B7978">
        <v>22</v>
      </c>
      <c r="C7978" t="s">
        <v>10473</v>
      </c>
      <c r="D7978" t="s">
        <v>315</v>
      </c>
      <c r="E7978" s="13">
        <v>5130</v>
      </c>
      <c r="F7978" s="12">
        <v>9.91</v>
      </c>
      <c r="G7978" t="str">
        <f>IFERROR(INDEX(tEditais[Órgão],MATCH(tItens[[#This Row],[Edital]],tEditais[Edital],0)),"")</f>
        <v>CONSORCIO INTEGRADO DE GESTAO PUBLICA DO ENTRE RIOS - CIGAMERIOS</v>
      </c>
      <c r="H7978" t="str">
        <f>IFERROR(INDEX(tEditais[UF],MATCH(tItens[[#This Row],[Edital]],tEditais[Edital],0)),"")</f>
        <v>SC</v>
      </c>
      <c r="I7978" s="11">
        <f>IFERROR(INDEX(tEditais[Encerramento],MATCH(tItens[[#This Row],[Edital]],tEditais[Edital],0)),"")</f>
        <v>46309.332638888889</v>
      </c>
      <c r="J7978" t="str">
        <f>IFERROR(INDEX(tProdutos[Classe],MATCH(tItens[[#This Row],[Produto]],tProdutos[Produto],0)),"produto não cadastrado")</f>
        <v>FORA</v>
      </c>
      <c r="K7978" s="12">
        <f>tItens[[#This Row],[Qtd]]*tItens[[#This Row],[Vlr unit]]</f>
        <v>50838.3</v>
      </c>
      <c r="L7978" s="6">
        <f>IFERROR(IF(INDEX(tProdutos[Desconto homologado],MATCH(tItens[[#This Row],[Produto]],tProdutos[Produto],0))="",DescontoPadrao,INDEX(tProdutos[Desconto homologado],MATCH(tItens[[#This Row],[Produto]],tProdutos[Produto],0))),DescontoPadrao)</f>
        <v>0.38432036097010702</v>
      </c>
      <c r="M7978" s="12">
        <f>tItens[[#This Row],[Valor]]*(1-tItens[[#This Row],[Desconto]])</f>
        <v>31300.10619289341</v>
      </c>
      <c r="N7978" t="str">
        <f>IFERROR(INDEX(tProdutos[Foco],MATCH(tItens[[#This Row],[Produto]],tProdutos[Produto],0)),"Não")</f>
        <v>Não</v>
      </c>
      <c r="O7978" t="str">
        <f>IFERROR(INDEX(tEditais[SRP],MATCH(tItens[[#This Row],[Edital]],tEditais[Edital],0)),"Não")</f>
        <v>Sim</v>
      </c>
      <c r="P7978" s="4">
        <f>IF(COUNTIFS(INDEX(tItens[Edital],1):tItens[[#This Row],[Edital]],tItens[[#This Row],[Edital]],INDEX(tItens[Produto],1):tItens[[#This Row],[Produto]],tItens[[#This Row],[Produto]])=1,1,0)</f>
        <v>0</v>
      </c>
    </row>
    <row r="7979" spans="1:16" x14ac:dyDescent="0.25">
      <c r="A7979" t="s">
        <v>2644</v>
      </c>
      <c r="B7979">
        <v>23</v>
      </c>
      <c r="C7979" t="s">
        <v>10474</v>
      </c>
      <c r="D7979" t="s">
        <v>315</v>
      </c>
      <c r="E7979" s="13">
        <v>4400</v>
      </c>
      <c r="F7979" s="12">
        <v>11.35</v>
      </c>
      <c r="G7979" t="str">
        <f>IFERROR(INDEX(tEditais[Órgão],MATCH(tItens[[#This Row],[Edital]],tEditais[Edital],0)),"")</f>
        <v>CONSORCIO INTEGRADO DE GESTAO PUBLICA DO ENTRE RIOS - CIGAMERIOS</v>
      </c>
      <c r="H7979" t="str">
        <f>IFERROR(INDEX(tEditais[UF],MATCH(tItens[[#This Row],[Edital]],tEditais[Edital],0)),"")</f>
        <v>SC</v>
      </c>
      <c r="I7979" s="11">
        <f>IFERROR(INDEX(tEditais[Encerramento],MATCH(tItens[[#This Row],[Edital]],tEditais[Edital],0)),"")</f>
        <v>46309.332638888889</v>
      </c>
      <c r="J7979" t="str">
        <f>IFERROR(INDEX(tProdutos[Classe],MATCH(tItens[[#This Row],[Produto]],tProdutos[Produto],0)),"produto não cadastrado")</f>
        <v>FORA</v>
      </c>
      <c r="K7979" s="12">
        <f>tItens[[#This Row],[Qtd]]*tItens[[#This Row],[Vlr unit]]</f>
        <v>49940</v>
      </c>
      <c r="L7979" s="6">
        <f>IFERROR(IF(INDEX(tProdutos[Desconto homologado],MATCH(tItens[[#This Row],[Produto]],tProdutos[Produto],0))="",DescontoPadrao,INDEX(tProdutos[Desconto homologado],MATCH(tItens[[#This Row],[Produto]],tProdutos[Produto],0))),DescontoPadrao)</f>
        <v>0.38432036097010702</v>
      </c>
      <c r="M7979" s="12">
        <f>tItens[[#This Row],[Valor]]*(1-tItens[[#This Row],[Desconto]])</f>
        <v>30747.041173152855</v>
      </c>
      <c r="N7979" t="str">
        <f>IFERROR(INDEX(tProdutos[Foco],MATCH(tItens[[#This Row],[Produto]],tProdutos[Produto],0)),"Não")</f>
        <v>Não</v>
      </c>
      <c r="O7979" t="str">
        <f>IFERROR(INDEX(tEditais[SRP],MATCH(tItens[[#This Row],[Edital]],tEditais[Edital],0)),"Não")</f>
        <v>Sim</v>
      </c>
      <c r="P7979" s="4">
        <f>IF(COUNTIFS(INDEX(tItens[Edital],1):tItens[[#This Row],[Edital]],tItens[[#This Row],[Edital]],INDEX(tItens[Produto],1):tItens[[#This Row],[Produto]],tItens[[#This Row],[Produto]])=1,1,0)</f>
        <v>0</v>
      </c>
    </row>
    <row r="7980" spans="1:16" x14ac:dyDescent="0.25">
      <c r="A7980" t="s">
        <v>2644</v>
      </c>
      <c r="B7980">
        <v>24</v>
      </c>
      <c r="C7980" t="s">
        <v>10475</v>
      </c>
      <c r="D7980" t="s">
        <v>315</v>
      </c>
      <c r="E7980" s="13">
        <v>12620</v>
      </c>
      <c r="F7980" s="12">
        <v>15.29</v>
      </c>
      <c r="G7980" t="str">
        <f>IFERROR(INDEX(tEditais[Órgão],MATCH(tItens[[#This Row],[Edital]],tEditais[Edital],0)),"")</f>
        <v>CONSORCIO INTEGRADO DE GESTAO PUBLICA DO ENTRE RIOS - CIGAMERIOS</v>
      </c>
      <c r="H7980" t="str">
        <f>IFERROR(INDEX(tEditais[UF],MATCH(tItens[[#This Row],[Edital]],tEditais[Edital],0)),"")</f>
        <v>SC</v>
      </c>
      <c r="I7980" s="11">
        <f>IFERROR(INDEX(tEditais[Encerramento],MATCH(tItens[[#This Row],[Edital]],tEditais[Edital],0)),"")</f>
        <v>46309.332638888889</v>
      </c>
      <c r="J7980" t="str">
        <f>IFERROR(INDEX(tProdutos[Classe],MATCH(tItens[[#This Row],[Produto]],tProdutos[Produto],0)),"produto não cadastrado")</f>
        <v>FORA</v>
      </c>
      <c r="K7980" s="12">
        <f>tItens[[#This Row],[Qtd]]*tItens[[#This Row],[Vlr unit]]</f>
        <v>192959.8</v>
      </c>
      <c r="L7980" s="6">
        <f>IFERROR(IF(INDEX(tProdutos[Desconto homologado],MATCH(tItens[[#This Row],[Produto]],tProdutos[Produto],0))="",DescontoPadrao,INDEX(tProdutos[Desconto homologado],MATCH(tItens[[#This Row],[Produto]],tProdutos[Produto],0))),DescontoPadrao)</f>
        <v>0.38432036097010702</v>
      </c>
      <c r="M7980" s="12">
        <f>tItens[[#This Row],[Valor]]*(1-tItens[[#This Row],[Desconto]])</f>
        <v>118801.42001128034</v>
      </c>
      <c r="N7980" t="str">
        <f>IFERROR(INDEX(tProdutos[Foco],MATCH(tItens[[#This Row],[Produto]],tProdutos[Produto],0)),"Não")</f>
        <v>Não</v>
      </c>
      <c r="O7980" t="str">
        <f>IFERROR(INDEX(tEditais[SRP],MATCH(tItens[[#This Row],[Edital]],tEditais[Edital],0)),"Não")</f>
        <v>Sim</v>
      </c>
      <c r="P7980" s="4">
        <f>IF(COUNTIFS(INDEX(tItens[Edital],1):tItens[[#This Row],[Edital]],tItens[[#This Row],[Edital]],INDEX(tItens[Produto],1):tItens[[#This Row],[Produto]],tItens[[#This Row],[Produto]])=1,1,0)</f>
        <v>0</v>
      </c>
    </row>
    <row r="7981" spans="1:16" x14ac:dyDescent="0.25">
      <c r="A7981" t="s">
        <v>2644</v>
      </c>
      <c r="B7981">
        <v>25</v>
      </c>
      <c r="C7981" t="s">
        <v>10476</v>
      </c>
      <c r="D7981" t="s">
        <v>315</v>
      </c>
      <c r="E7981" s="13">
        <v>2190</v>
      </c>
      <c r="F7981" s="12">
        <v>10.39</v>
      </c>
      <c r="G7981" t="str">
        <f>IFERROR(INDEX(tEditais[Órgão],MATCH(tItens[[#This Row],[Edital]],tEditais[Edital],0)),"")</f>
        <v>CONSORCIO INTEGRADO DE GESTAO PUBLICA DO ENTRE RIOS - CIGAMERIOS</v>
      </c>
      <c r="H7981" t="str">
        <f>IFERROR(INDEX(tEditais[UF],MATCH(tItens[[#This Row],[Edital]],tEditais[Edital],0)),"")</f>
        <v>SC</v>
      </c>
      <c r="I7981" s="11">
        <f>IFERROR(INDEX(tEditais[Encerramento],MATCH(tItens[[#This Row],[Edital]],tEditais[Edital],0)),"")</f>
        <v>46309.332638888889</v>
      </c>
      <c r="J7981" t="str">
        <f>IFERROR(INDEX(tProdutos[Classe],MATCH(tItens[[#This Row],[Produto]],tProdutos[Produto],0)),"produto não cadastrado")</f>
        <v>FORA</v>
      </c>
      <c r="K7981" s="12">
        <f>tItens[[#This Row],[Qtd]]*tItens[[#This Row],[Vlr unit]]</f>
        <v>22754.100000000002</v>
      </c>
      <c r="L7981" s="6">
        <f>IFERROR(IF(INDEX(tProdutos[Desconto homologado],MATCH(tItens[[#This Row],[Produto]],tProdutos[Produto],0))="",DescontoPadrao,INDEX(tProdutos[Desconto homologado],MATCH(tItens[[#This Row],[Produto]],tProdutos[Produto],0))),DescontoPadrao)</f>
        <v>0.38432036097010702</v>
      </c>
      <c r="M7981" s="12">
        <f>tItens[[#This Row],[Valor]]*(1-tItens[[#This Row],[Desconto]])</f>
        <v>14009.236074450089</v>
      </c>
      <c r="N7981" t="str">
        <f>IFERROR(INDEX(tProdutos[Foco],MATCH(tItens[[#This Row],[Produto]],tProdutos[Produto],0)),"Não")</f>
        <v>Não</v>
      </c>
      <c r="O7981" t="str">
        <f>IFERROR(INDEX(tEditais[SRP],MATCH(tItens[[#This Row],[Edital]],tEditais[Edital],0)),"Não")</f>
        <v>Sim</v>
      </c>
      <c r="P7981" s="4">
        <f>IF(COUNTIFS(INDEX(tItens[Edital],1):tItens[[#This Row],[Edital]],tItens[[#This Row],[Edital]],INDEX(tItens[Produto],1):tItens[[#This Row],[Produto]],tItens[[#This Row],[Produto]])=1,1,0)</f>
        <v>0</v>
      </c>
    </row>
    <row r="7982" spans="1:16" x14ac:dyDescent="0.25">
      <c r="A7982" t="s">
        <v>2644</v>
      </c>
      <c r="B7982">
        <v>26</v>
      </c>
      <c r="C7982" t="s">
        <v>10477</v>
      </c>
      <c r="D7982" t="s">
        <v>315</v>
      </c>
      <c r="E7982" s="13">
        <v>1320</v>
      </c>
      <c r="F7982" s="12">
        <v>12.58</v>
      </c>
      <c r="G7982" t="str">
        <f>IFERROR(INDEX(tEditais[Órgão],MATCH(tItens[[#This Row],[Edital]],tEditais[Edital],0)),"")</f>
        <v>CONSORCIO INTEGRADO DE GESTAO PUBLICA DO ENTRE RIOS - CIGAMERIOS</v>
      </c>
      <c r="H7982" t="str">
        <f>IFERROR(INDEX(tEditais[UF],MATCH(tItens[[#This Row],[Edital]],tEditais[Edital],0)),"")</f>
        <v>SC</v>
      </c>
      <c r="I7982" s="11">
        <f>IFERROR(INDEX(tEditais[Encerramento],MATCH(tItens[[#This Row],[Edital]],tEditais[Edital],0)),"")</f>
        <v>46309.332638888889</v>
      </c>
      <c r="J7982" t="str">
        <f>IFERROR(INDEX(tProdutos[Classe],MATCH(tItens[[#This Row],[Produto]],tProdutos[Produto],0)),"produto não cadastrado")</f>
        <v>FORA</v>
      </c>
      <c r="K7982" s="12">
        <f>tItens[[#This Row],[Qtd]]*tItens[[#This Row],[Vlr unit]]</f>
        <v>16605.599999999999</v>
      </c>
      <c r="L7982" s="6">
        <f>IFERROR(IF(INDEX(tProdutos[Desconto homologado],MATCH(tItens[[#This Row],[Produto]],tProdutos[Produto],0))="",DescontoPadrao,INDEX(tProdutos[Desconto homologado],MATCH(tItens[[#This Row],[Produto]],tProdutos[Produto],0))),DescontoPadrao)</f>
        <v>0.38432036097010702</v>
      </c>
      <c r="M7982" s="12">
        <f>tItens[[#This Row],[Valor]]*(1-tItens[[#This Row],[Desconto]])</f>
        <v>10223.72981387479</v>
      </c>
      <c r="N7982" t="str">
        <f>IFERROR(INDEX(tProdutos[Foco],MATCH(tItens[[#This Row],[Produto]],tProdutos[Produto],0)),"Não")</f>
        <v>Não</v>
      </c>
      <c r="O7982" t="str">
        <f>IFERROR(INDEX(tEditais[SRP],MATCH(tItens[[#This Row],[Edital]],tEditais[Edital],0)),"Não")</f>
        <v>Sim</v>
      </c>
      <c r="P7982" s="4">
        <f>IF(COUNTIFS(INDEX(tItens[Edital],1):tItens[[#This Row],[Edital]],tItens[[#This Row],[Edital]],INDEX(tItens[Produto],1):tItens[[#This Row],[Produto]],tItens[[#This Row],[Produto]])=1,1,0)</f>
        <v>0</v>
      </c>
    </row>
    <row r="7983" spans="1:16" x14ac:dyDescent="0.25">
      <c r="A7983" t="s">
        <v>2644</v>
      </c>
      <c r="B7983">
        <v>27</v>
      </c>
      <c r="C7983" t="s">
        <v>10478</v>
      </c>
      <c r="D7983" t="s">
        <v>315</v>
      </c>
      <c r="E7983" s="13">
        <v>1380</v>
      </c>
      <c r="F7983" s="12">
        <v>15.27</v>
      </c>
      <c r="G7983" t="str">
        <f>IFERROR(INDEX(tEditais[Órgão],MATCH(tItens[[#This Row],[Edital]],tEditais[Edital],0)),"")</f>
        <v>CONSORCIO INTEGRADO DE GESTAO PUBLICA DO ENTRE RIOS - CIGAMERIOS</v>
      </c>
      <c r="H7983" t="str">
        <f>IFERROR(INDEX(tEditais[UF],MATCH(tItens[[#This Row],[Edital]],tEditais[Edital],0)),"")</f>
        <v>SC</v>
      </c>
      <c r="I7983" s="11">
        <f>IFERROR(INDEX(tEditais[Encerramento],MATCH(tItens[[#This Row],[Edital]],tEditais[Edital],0)),"")</f>
        <v>46309.332638888889</v>
      </c>
      <c r="J7983" t="str">
        <f>IFERROR(INDEX(tProdutos[Classe],MATCH(tItens[[#This Row],[Produto]],tProdutos[Produto],0)),"produto não cadastrado")</f>
        <v>FORA</v>
      </c>
      <c r="K7983" s="12">
        <f>tItens[[#This Row],[Qtd]]*tItens[[#This Row],[Vlr unit]]</f>
        <v>21072.6</v>
      </c>
      <c r="L7983" s="6">
        <f>IFERROR(IF(INDEX(tProdutos[Desconto homologado],MATCH(tItens[[#This Row],[Produto]],tProdutos[Produto],0))="",DescontoPadrao,INDEX(tProdutos[Desconto homologado],MATCH(tItens[[#This Row],[Produto]],tProdutos[Produto],0))),DescontoPadrao)</f>
        <v>0.38432036097010702</v>
      </c>
      <c r="M7983" s="12">
        <f>tItens[[#This Row],[Valor]]*(1-tItens[[#This Row],[Desconto]])</f>
        <v>12973.970761421322</v>
      </c>
      <c r="N7983" t="str">
        <f>IFERROR(INDEX(tProdutos[Foco],MATCH(tItens[[#This Row],[Produto]],tProdutos[Produto],0)),"Não")</f>
        <v>Não</v>
      </c>
      <c r="O7983" t="str">
        <f>IFERROR(INDEX(tEditais[SRP],MATCH(tItens[[#This Row],[Edital]],tEditais[Edital],0)),"Não")</f>
        <v>Sim</v>
      </c>
      <c r="P7983" s="4">
        <f>IF(COUNTIFS(INDEX(tItens[Edital],1):tItens[[#This Row],[Edital]],tItens[[#This Row],[Edital]],INDEX(tItens[Produto],1):tItens[[#This Row],[Produto]],tItens[[#This Row],[Produto]])=1,1,0)</f>
        <v>0</v>
      </c>
    </row>
    <row r="7984" spans="1:16" x14ac:dyDescent="0.25">
      <c r="A7984" t="s">
        <v>2644</v>
      </c>
      <c r="B7984">
        <v>28</v>
      </c>
      <c r="C7984" t="s">
        <v>10479</v>
      </c>
      <c r="D7984" t="s">
        <v>315</v>
      </c>
      <c r="E7984" s="13">
        <v>4650</v>
      </c>
      <c r="F7984" s="12">
        <v>7.5</v>
      </c>
      <c r="G7984" t="str">
        <f>IFERROR(INDEX(tEditais[Órgão],MATCH(tItens[[#This Row],[Edital]],tEditais[Edital],0)),"")</f>
        <v>CONSORCIO INTEGRADO DE GESTAO PUBLICA DO ENTRE RIOS - CIGAMERIOS</v>
      </c>
      <c r="H7984" t="str">
        <f>IFERROR(INDEX(tEditais[UF],MATCH(tItens[[#This Row],[Edital]],tEditais[Edital],0)),"")</f>
        <v>SC</v>
      </c>
      <c r="I7984" s="11">
        <f>IFERROR(INDEX(tEditais[Encerramento],MATCH(tItens[[#This Row],[Edital]],tEditais[Edital],0)),"")</f>
        <v>46309.332638888889</v>
      </c>
      <c r="J7984" t="str">
        <f>IFERROR(INDEX(tProdutos[Classe],MATCH(tItens[[#This Row],[Produto]],tProdutos[Produto],0)),"produto não cadastrado")</f>
        <v>FORA</v>
      </c>
      <c r="K7984" s="12">
        <f>tItens[[#This Row],[Qtd]]*tItens[[#This Row],[Vlr unit]]</f>
        <v>34875</v>
      </c>
      <c r="L7984" s="6">
        <f>IFERROR(IF(INDEX(tProdutos[Desconto homologado],MATCH(tItens[[#This Row],[Produto]],tProdutos[Produto],0))="",DescontoPadrao,INDEX(tProdutos[Desconto homologado],MATCH(tItens[[#This Row],[Produto]],tProdutos[Produto],0))),DescontoPadrao)</f>
        <v>0.38432036097010702</v>
      </c>
      <c r="M7984" s="12">
        <f>tItens[[#This Row],[Valor]]*(1-tItens[[#This Row],[Desconto]])</f>
        <v>21471.827411167516</v>
      </c>
      <c r="N7984" t="str">
        <f>IFERROR(INDEX(tProdutos[Foco],MATCH(tItens[[#This Row],[Produto]],tProdutos[Produto],0)),"Não")</f>
        <v>Não</v>
      </c>
      <c r="O7984" t="str">
        <f>IFERROR(INDEX(tEditais[SRP],MATCH(tItens[[#This Row],[Edital]],tEditais[Edital],0)),"Não")</f>
        <v>Sim</v>
      </c>
      <c r="P7984" s="4">
        <f>IF(COUNTIFS(INDEX(tItens[Edital],1):tItens[[#This Row],[Edital]],tItens[[#This Row],[Edital]],INDEX(tItens[Produto],1):tItens[[#This Row],[Produto]],tItens[[#This Row],[Produto]])=1,1,0)</f>
        <v>0</v>
      </c>
    </row>
    <row r="7985" spans="1:16" x14ac:dyDescent="0.25">
      <c r="A7985" t="s">
        <v>2644</v>
      </c>
      <c r="B7985">
        <v>43</v>
      </c>
      <c r="C7985" t="s">
        <v>10480</v>
      </c>
      <c r="D7985" t="s">
        <v>694</v>
      </c>
      <c r="E7985" s="13">
        <v>71</v>
      </c>
      <c r="F7985" s="12">
        <v>138.04</v>
      </c>
      <c r="G7985" t="str">
        <f>IFERROR(INDEX(tEditais[Órgão],MATCH(tItens[[#This Row],[Edital]],tEditais[Edital],0)),"")</f>
        <v>CONSORCIO INTEGRADO DE GESTAO PUBLICA DO ENTRE RIOS - CIGAMERIOS</v>
      </c>
      <c r="H7985" t="str">
        <f>IFERROR(INDEX(tEditais[UF],MATCH(tItens[[#This Row],[Edital]],tEditais[Edital],0)),"")</f>
        <v>SC</v>
      </c>
      <c r="I7985" s="11">
        <f>IFERROR(INDEX(tEditais[Encerramento],MATCH(tItens[[#This Row],[Edital]],tEditais[Edital],0)),"")</f>
        <v>46309.332638888889</v>
      </c>
      <c r="J7985" t="str">
        <f>IFERROR(INDEX(tProdutos[Classe],MATCH(tItens[[#This Row],[Produto]],tProdutos[Produto],0)),"produto não cadastrado")</f>
        <v>FILA REBASE</v>
      </c>
      <c r="K7985" s="12">
        <f>tItens[[#This Row],[Qtd]]*tItens[[#This Row],[Vlr unit]]</f>
        <v>9800.84</v>
      </c>
      <c r="L7985" s="6">
        <f>IFERROR(IF(INDEX(tProdutos[Desconto homologado],MATCH(tItens[[#This Row],[Produto]],tProdutos[Produto],0))="",DescontoPadrao,INDEX(tProdutos[Desconto homologado],MATCH(tItens[[#This Row],[Produto]],tProdutos[Produto],0))),DescontoPadrao)</f>
        <v>0.61577111781048699</v>
      </c>
      <c r="M7985" s="12">
        <f>tItens[[#This Row],[Valor]]*(1-tItens[[#This Row],[Desconto]])</f>
        <v>3765.7657977182666</v>
      </c>
      <c r="N7985" t="str">
        <f>IFERROR(INDEX(tProdutos[Foco],MATCH(tItens[[#This Row],[Produto]],tProdutos[Produto],0)),"Não")</f>
        <v>Não</v>
      </c>
      <c r="O7985" t="str">
        <f>IFERROR(INDEX(tEditais[SRP],MATCH(tItens[[#This Row],[Edital]],tEditais[Edital],0)),"Não")</f>
        <v>Sim</v>
      </c>
      <c r="P7985" s="4">
        <f>IF(COUNTIFS(INDEX(tItens[Edital],1):tItens[[#This Row],[Edital]],tItens[[#This Row],[Edital]],INDEX(tItens[Produto],1):tItens[[#This Row],[Produto]],tItens[[#This Row],[Produto]])=1,1,0)</f>
        <v>1</v>
      </c>
    </row>
    <row r="7986" spans="1:16" x14ac:dyDescent="0.25">
      <c r="A7986" t="s">
        <v>2644</v>
      </c>
      <c r="B7986">
        <v>77</v>
      </c>
      <c r="C7986" t="s">
        <v>10481</v>
      </c>
      <c r="D7986" t="s">
        <v>309</v>
      </c>
      <c r="E7986" s="13">
        <v>1152</v>
      </c>
      <c r="F7986" s="12">
        <v>38.44</v>
      </c>
      <c r="G7986" t="str">
        <f>IFERROR(INDEX(tEditais[Órgão],MATCH(tItens[[#This Row],[Edital]],tEditais[Edital],0)),"")</f>
        <v>CONSORCIO INTEGRADO DE GESTAO PUBLICA DO ENTRE RIOS - CIGAMERIOS</v>
      </c>
      <c r="H7986" t="str">
        <f>IFERROR(INDEX(tEditais[UF],MATCH(tItens[[#This Row],[Edital]],tEditais[Edital],0)),"")</f>
        <v>SC</v>
      </c>
      <c r="I7986" s="11">
        <f>IFERROR(INDEX(tEditais[Encerramento],MATCH(tItens[[#This Row],[Edital]],tEditais[Edital],0)),"")</f>
        <v>46309.332638888889</v>
      </c>
      <c r="J7986" t="str">
        <f>IFERROR(INDEX(tProdutos[Classe],MATCH(tItens[[#This Row],[Produto]],tProdutos[Produto],0)),"produto não cadastrado")</f>
        <v>DISPUTADO</v>
      </c>
      <c r="K7986" s="12">
        <f>tItens[[#This Row],[Qtd]]*tItens[[#This Row],[Vlr unit]]</f>
        <v>44282.879999999997</v>
      </c>
      <c r="L7986" s="6">
        <f>IFERROR(IF(INDEX(tProdutos[Desconto homologado],MATCH(tItens[[#This Row],[Produto]],tProdutos[Produto],0))="",DescontoPadrao,INDEX(tProdutos[Desconto homologado],MATCH(tItens[[#This Row],[Produto]],tProdutos[Produto],0))),DescontoPadrao)</f>
        <v>0.329229323455968</v>
      </c>
      <c r="M7986" s="12">
        <f>tItens[[#This Row],[Valor]]*(1-tItens[[#This Row],[Desconto]])</f>
        <v>29703.657376918181</v>
      </c>
      <c r="N7986" t="str">
        <f>IFERROR(INDEX(tProdutos[Foco],MATCH(tItens[[#This Row],[Produto]],tProdutos[Produto],0)),"Não")</f>
        <v>Não</v>
      </c>
      <c r="O7986" t="str">
        <f>IFERROR(INDEX(tEditais[SRP],MATCH(tItens[[#This Row],[Edital]],tEditais[Edital],0)),"Não")</f>
        <v>Sim</v>
      </c>
      <c r="P7986" s="4">
        <f>IF(COUNTIFS(INDEX(tItens[Edital],1):tItens[[#This Row],[Edital]],tItens[[#This Row],[Edital]],INDEX(tItens[Produto],1):tItens[[#This Row],[Produto]],tItens[[#This Row],[Produto]])=1,1,0)</f>
        <v>1</v>
      </c>
    </row>
    <row r="7987" spans="1:16" x14ac:dyDescent="0.25">
      <c r="A7987" t="s">
        <v>2644</v>
      </c>
      <c r="B7987">
        <v>78</v>
      </c>
      <c r="C7987" t="s">
        <v>10482</v>
      </c>
      <c r="D7987" t="s">
        <v>309</v>
      </c>
      <c r="E7987" s="13">
        <v>2590</v>
      </c>
      <c r="F7987" s="12">
        <v>38.21</v>
      </c>
      <c r="G7987" t="str">
        <f>IFERROR(INDEX(tEditais[Órgão],MATCH(tItens[[#This Row],[Edital]],tEditais[Edital],0)),"")</f>
        <v>CONSORCIO INTEGRADO DE GESTAO PUBLICA DO ENTRE RIOS - CIGAMERIOS</v>
      </c>
      <c r="H7987" t="str">
        <f>IFERROR(INDEX(tEditais[UF],MATCH(tItens[[#This Row],[Edital]],tEditais[Edital],0)),"")</f>
        <v>SC</v>
      </c>
      <c r="I7987" s="11">
        <f>IFERROR(INDEX(tEditais[Encerramento],MATCH(tItens[[#This Row],[Edital]],tEditais[Edital],0)),"")</f>
        <v>46309.332638888889</v>
      </c>
      <c r="J7987" t="str">
        <f>IFERROR(INDEX(tProdutos[Classe],MATCH(tItens[[#This Row],[Produto]],tProdutos[Produto],0)),"produto não cadastrado")</f>
        <v>DISPUTADO</v>
      </c>
      <c r="K7987" s="12">
        <f>tItens[[#This Row],[Qtd]]*tItens[[#This Row],[Vlr unit]]</f>
        <v>98963.900000000009</v>
      </c>
      <c r="L7987" s="6">
        <f>IFERROR(IF(INDEX(tProdutos[Desconto homologado],MATCH(tItens[[#This Row],[Produto]],tProdutos[Produto],0))="",DescontoPadrao,INDEX(tProdutos[Desconto homologado],MATCH(tItens[[#This Row],[Produto]],tProdutos[Produto],0))),DescontoPadrao)</f>
        <v>0.329229323455968</v>
      </c>
      <c r="M7987" s="12">
        <f>tItens[[#This Row],[Valor]]*(1-tItens[[#This Row],[Desconto]])</f>
        <v>66382.082156435936</v>
      </c>
      <c r="N7987" t="str">
        <f>IFERROR(INDEX(tProdutos[Foco],MATCH(tItens[[#This Row],[Produto]],tProdutos[Produto],0)),"Não")</f>
        <v>Não</v>
      </c>
      <c r="O7987" t="str">
        <f>IFERROR(INDEX(tEditais[SRP],MATCH(tItens[[#This Row],[Edital]],tEditais[Edital],0)),"Não")</f>
        <v>Sim</v>
      </c>
      <c r="P7987" s="4">
        <f>IF(COUNTIFS(INDEX(tItens[Edital],1):tItens[[#This Row],[Edital]],tItens[[#This Row],[Edital]],INDEX(tItens[Produto],1):tItens[[#This Row],[Produto]],tItens[[#This Row],[Produto]])=1,1,0)</f>
        <v>0</v>
      </c>
    </row>
    <row r="7988" spans="1:16" x14ac:dyDescent="0.25">
      <c r="A7988" t="s">
        <v>2644</v>
      </c>
      <c r="B7988">
        <v>79</v>
      </c>
      <c r="C7988" t="s">
        <v>10483</v>
      </c>
      <c r="D7988" t="s">
        <v>309</v>
      </c>
      <c r="E7988" s="13">
        <v>2940</v>
      </c>
      <c r="F7988" s="12">
        <v>53.33</v>
      </c>
      <c r="G7988" t="str">
        <f>IFERROR(INDEX(tEditais[Órgão],MATCH(tItens[[#This Row],[Edital]],tEditais[Edital],0)),"")</f>
        <v>CONSORCIO INTEGRADO DE GESTAO PUBLICA DO ENTRE RIOS - CIGAMERIOS</v>
      </c>
      <c r="H7988" t="str">
        <f>IFERROR(INDEX(tEditais[UF],MATCH(tItens[[#This Row],[Edital]],tEditais[Edital],0)),"")</f>
        <v>SC</v>
      </c>
      <c r="I7988" s="11">
        <f>IFERROR(INDEX(tEditais[Encerramento],MATCH(tItens[[#This Row],[Edital]],tEditais[Edital],0)),"")</f>
        <v>46309.332638888889</v>
      </c>
      <c r="J7988" t="str">
        <f>IFERROR(INDEX(tProdutos[Classe],MATCH(tItens[[#This Row],[Produto]],tProdutos[Produto],0)),"produto não cadastrado")</f>
        <v>DISPUTADO</v>
      </c>
      <c r="K7988" s="12">
        <f>tItens[[#This Row],[Qtd]]*tItens[[#This Row],[Vlr unit]]</f>
        <v>156790.19999999998</v>
      </c>
      <c r="L7988" s="6">
        <f>IFERROR(IF(INDEX(tProdutos[Desconto homologado],MATCH(tItens[[#This Row],[Produto]],tProdutos[Produto],0))="",DescontoPadrao,INDEX(tProdutos[Desconto homologado],MATCH(tItens[[#This Row],[Produto]],tProdutos[Produto],0))),DescontoPadrao)</f>
        <v>0.329229323455968</v>
      </c>
      <c r="M7988" s="12">
        <f>tItens[[#This Row],[Valor]]*(1-tItens[[#This Row],[Desconto]])</f>
        <v>105170.26852947408</v>
      </c>
      <c r="N7988" t="str">
        <f>IFERROR(INDEX(tProdutos[Foco],MATCH(tItens[[#This Row],[Produto]],tProdutos[Produto],0)),"Não")</f>
        <v>Não</v>
      </c>
      <c r="O7988" t="str">
        <f>IFERROR(INDEX(tEditais[SRP],MATCH(tItens[[#This Row],[Edital]],tEditais[Edital],0)),"Não")</f>
        <v>Sim</v>
      </c>
      <c r="P7988" s="4">
        <f>IF(COUNTIFS(INDEX(tItens[Edital],1):tItens[[#This Row],[Edital]],tItens[[#This Row],[Edital]],INDEX(tItens[Produto],1):tItens[[#This Row],[Produto]],tItens[[#This Row],[Produto]])=1,1,0)</f>
        <v>0</v>
      </c>
    </row>
    <row r="7989" spans="1:16" x14ac:dyDescent="0.25">
      <c r="A7989" t="s">
        <v>2644</v>
      </c>
      <c r="B7989">
        <v>81</v>
      </c>
      <c r="C7989" t="s">
        <v>10484</v>
      </c>
      <c r="D7989" t="s">
        <v>132</v>
      </c>
      <c r="E7989" s="13">
        <v>5500</v>
      </c>
      <c r="F7989" s="12">
        <v>10.9</v>
      </c>
      <c r="G7989" t="str">
        <f>IFERROR(INDEX(tEditais[Órgão],MATCH(tItens[[#This Row],[Edital]],tEditais[Edital],0)),"")</f>
        <v>CONSORCIO INTEGRADO DE GESTAO PUBLICA DO ENTRE RIOS - CIGAMERIOS</v>
      </c>
      <c r="H7989" t="str">
        <f>IFERROR(INDEX(tEditais[UF],MATCH(tItens[[#This Row],[Edital]],tEditais[Edital],0)),"")</f>
        <v>SC</v>
      </c>
      <c r="I7989" s="11">
        <f>IFERROR(INDEX(tEditais[Encerramento],MATCH(tItens[[#This Row],[Edital]],tEditais[Edital],0)),"")</f>
        <v>46309.332638888889</v>
      </c>
      <c r="J7989" t="str">
        <f>IFERROR(INDEX(tProdutos[Classe],MATCH(tItens[[#This Row],[Produto]],tProdutos[Produto],0)),"produto não cadastrado")</f>
        <v>NÚCLEO</v>
      </c>
      <c r="K7989" s="12">
        <f>tItens[[#This Row],[Qtd]]*tItens[[#This Row],[Vlr unit]]</f>
        <v>59950</v>
      </c>
      <c r="L7989" s="6">
        <f>IFERROR(IF(INDEX(tProdutos[Desconto homologado],MATCH(tItens[[#This Row],[Produto]],tProdutos[Produto],0))="",DescontoPadrao,INDEX(tProdutos[Desconto homologado],MATCH(tItens[[#This Row],[Produto]],tProdutos[Produto],0))),DescontoPadrao)</f>
        <v>0.27</v>
      </c>
      <c r="M7989" s="12">
        <f>tItens[[#This Row],[Valor]]*(1-tItens[[#This Row],[Desconto]])</f>
        <v>43763.5</v>
      </c>
      <c r="N7989" t="str">
        <f>IFERROR(INDEX(tProdutos[Foco],MATCH(tItens[[#This Row],[Produto]],tProdutos[Produto],0)),"Não")</f>
        <v>Sim</v>
      </c>
      <c r="O7989" t="str">
        <f>IFERROR(INDEX(tEditais[SRP],MATCH(tItens[[#This Row],[Edital]],tEditais[Edital],0)),"Não")</f>
        <v>Sim</v>
      </c>
      <c r="P7989" s="4">
        <f>IF(COUNTIFS(INDEX(tItens[Edital],1):tItens[[#This Row],[Edital]],tItens[[#This Row],[Edital]],INDEX(tItens[Produto],1):tItens[[#This Row],[Produto]],tItens[[#This Row],[Produto]])=1,1,0)</f>
        <v>1</v>
      </c>
    </row>
    <row r="7990" spans="1:16" x14ac:dyDescent="0.25">
      <c r="A7990" t="s">
        <v>2644</v>
      </c>
      <c r="B7990">
        <v>92</v>
      </c>
      <c r="C7990" t="s">
        <v>10485</v>
      </c>
      <c r="D7990" t="s">
        <v>62</v>
      </c>
      <c r="E7990" s="13">
        <v>1900</v>
      </c>
      <c r="F7990" s="12">
        <v>6.07</v>
      </c>
      <c r="G7990" t="str">
        <f>IFERROR(INDEX(tEditais[Órgão],MATCH(tItens[[#This Row],[Edital]],tEditais[Edital],0)),"")</f>
        <v>CONSORCIO INTEGRADO DE GESTAO PUBLICA DO ENTRE RIOS - CIGAMERIOS</v>
      </c>
      <c r="H7990" t="str">
        <f>IFERROR(INDEX(tEditais[UF],MATCH(tItens[[#This Row],[Edital]],tEditais[Edital],0)),"")</f>
        <v>SC</v>
      </c>
      <c r="I7990" s="11">
        <f>IFERROR(INDEX(tEditais[Encerramento],MATCH(tItens[[#This Row],[Edital]],tEditais[Edital],0)),"")</f>
        <v>46309.332638888889</v>
      </c>
      <c r="J7990" t="str">
        <f>IFERROR(INDEX(tProdutos[Classe],MATCH(tItens[[#This Row],[Produto]],tProdutos[Produto],0)),"produto não cadastrado")</f>
        <v>NÚCLEO</v>
      </c>
      <c r="K7990" s="12">
        <f>tItens[[#This Row],[Qtd]]*tItens[[#This Row],[Vlr unit]]</f>
        <v>11533</v>
      </c>
      <c r="L7990" s="6">
        <f>IFERROR(IF(INDEX(tProdutos[Desconto homologado],MATCH(tItens[[#This Row],[Produto]],tProdutos[Produto],0))="",DescontoPadrao,INDEX(tProdutos[Desconto homologado],MATCH(tItens[[#This Row],[Produto]],tProdutos[Produto],0))),DescontoPadrao)</f>
        <v>0.3</v>
      </c>
      <c r="M7990" s="12">
        <f>tItens[[#This Row],[Valor]]*(1-tItens[[#This Row],[Desconto]])</f>
        <v>8073.0999999999995</v>
      </c>
      <c r="N7990" t="str">
        <f>IFERROR(INDEX(tProdutos[Foco],MATCH(tItens[[#This Row],[Produto]],tProdutos[Produto],0)),"Não")</f>
        <v>Sim</v>
      </c>
      <c r="O7990" t="str">
        <f>IFERROR(INDEX(tEditais[SRP],MATCH(tItens[[#This Row],[Edital]],tEditais[Edital],0)),"Não")</f>
        <v>Sim</v>
      </c>
      <c r="P7990" s="4">
        <f>IF(COUNTIFS(INDEX(tItens[Edital],1):tItens[[#This Row],[Edital]],tItens[[#This Row],[Edital]],INDEX(tItens[Produto],1):tItens[[#This Row],[Produto]],tItens[[#This Row],[Produto]])=1,1,0)</f>
        <v>1</v>
      </c>
    </row>
    <row r="7991" spans="1:16" x14ac:dyDescent="0.25">
      <c r="A7991" t="s">
        <v>2644</v>
      </c>
      <c r="B7991">
        <v>93</v>
      </c>
      <c r="C7991" t="s">
        <v>10486</v>
      </c>
      <c r="D7991" t="s">
        <v>92</v>
      </c>
      <c r="E7991" s="13">
        <v>3180</v>
      </c>
      <c r="F7991" s="12">
        <v>7.73</v>
      </c>
      <c r="G7991" t="str">
        <f>IFERROR(INDEX(tEditais[Órgão],MATCH(tItens[[#This Row],[Edital]],tEditais[Edital],0)),"")</f>
        <v>CONSORCIO INTEGRADO DE GESTAO PUBLICA DO ENTRE RIOS - CIGAMERIOS</v>
      </c>
      <c r="H7991" t="str">
        <f>IFERROR(INDEX(tEditais[UF],MATCH(tItens[[#This Row],[Edital]],tEditais[Edital],0)),"")</f>
        <v>SC</v>
      </c>
      <c r="I7991" s="11">
        <f>IFERROR(INDEX(tEditais[Encerramento],MATCH(tItens[[#This Row],[Edital]],tEditais[Edital],0)),"")</f>
        <v>46309.332638888889</v>
      </c>
      <c r="J7991" t="str">
        <f>IFERROR(INDEX(tProdutos[Classe],MATCH(tItens[[#This Row],[Produto]],tProdutos[Produto],0)),"produto não cadastrado")</f>
        <v>NÚCLEO</v>
      </c>
      <c r="K7991" s="12">
        <f>tItens[[#This Row],[Qtd]]*tItens[[#This Row],[Vlr unit]]</f>
        <v>24581.4</v>
      </c>
      <c r="L7991" s="6">
        <f>IFERROR(IF(INDEX(tProdutos[Desconto homologado],MATCH(tItens[[#This Row],[Produto]],tProdutos[Produto],0))="",DescontoPadrao,INDEX(tProdutos[Desconto homologado],MATCH(tItens[[#This Row],[Produto]],tProdutos[Produto],0))),DescontoPadrao)</f>
        <v>0.37</v>
      </c>
      <c r="M7991" s="12">
        <f>tItens[[#This Row],[Valor]]*(1-tItens[[#This Row],[Desconto]])</f>
        <v>15486.282000000001</v>
      </c>
      <c r="N7991" t="str">
        <f>IFERROR(INDEX(tProdutos[Foco],MATCH(tItens[[#This Row],[Produto]],tProdutos[Produto],0)),"Não")</f>
        <v>Sim</v>
      </c>
      <c r="O7991" t="str">
        <f>IFERROR(INDEX(tEditais[SRP],MATCH(tItens[[#This Row],[Edital]],tEditais[Edital],0)),"Não")</f>
        <v>Sim</v>
      </c>
      <c r="P7991" s="4">
        <f>IF(COUNTIFS(INDEX(tItens[Edital],1):tItens[[#This Row],[Edital]],tItens[[#This Row],[Edital]],INDEX(tItens[Produto],1):tItens[[#This Row],[Produto]],tItens[[#This Row],[Produto]])=1,1,0)</f>
        <v>1</v>
      </c>
    </row>
    <row r="7992" spans="1:16" x14ac:dyDescent="0.25">
      <c r="A7992" t="s">
        <v>2644</v>
      </c>
      <c r="B7992">
        <v>94</v>
      </c>
      <c r="C7992" t="s">
        <v>10487</v>
      </c>
      <c r="D7992" t="s">
        <v>62</v>
      </c>
      <c r="E7992" s="13">
        <v>15150</v>
      </c>
      <c r="F7992" s="12">
        <v>4.38</v>
      </c>
      <c r="G7992" t="str">
        <f>IFERROR(INDEX(tEditais[Órgão],MATCH(tItens[[#This Row],[Edital]],tEditais[Edital],0)),"")</f>
        <v>CONSORCIO INTEGRADO DE GESTAO PUBLICA DO ENTRE RIOS - CIGAMERIOS</v>
      </c>
      <c r="H7992" t="str">
        <f>IFERROR(INDEX(tEditais[UF],MATCH(tItens[[#This Row],[Edital]],tEditais[Edital],0)),"")</f>
        <v>SC</v>
      </c>
      <c r="I7992" s="11">
        <f>IFERROR(INDEX(tEditais[Encerramento],MATCH(tItens[[#This Row],[Edital]],tEditais[Edital],0)),"")</f>
        <v>46309.332638888889</v>
      </c>
      <c r="J7992" t="str">
        <f>IFERROR(INDEX(tProdutos[Classe],MATCH(tItens[[#This Row],[Produto]],tProdutos[Produto],0)),"produto não cadastrado")</f>
        <v>NÚCLEO</v>
      </c>
      <c r="K7992" s="12">
        <f>tItens[[#This Row],[Qtd]]*tItens[[#This Row],[Vlr unit]]</f>
        <v>66357</v>
      </c>
      <c r="L7992" s="6">
        <f>IFERROR(IF(INDEX(tProdutos[Desconto homologado],MATCH(tItens[[#This Row],[Produto]],tProdutos[Produto],0))="",DescontoPadrao,INDEX(tProdutos[Desconto homologado],MATCH(tItens[[#This Row],[Produto]],tProdutos[Produto],0))),DescontoPadrao)</f>
        <v>0.3</v>
      </c>
      <c r="M7992" s="12">
        <f>tItens[[#This Row],[Valor]]*(1-tItens[[#This Row],[Desconto]])</f>
        <v>46449.899999999994</v>
      </c>
      <c r="N7992" t="str">
        <f>IFERROR(INDEX(tProdutos[Foco],MATCH(tItens[[#This Row],[Produto]],tProdutos[Produto],0)),"Não")</f>
        <v>Sim</v>
      </c>
      <c r="O7992" t="str">
        <f>IFERROR(INDEX(tEditais[SRP],MATCH(tItens[[#This Row],[Edital]],tEditais[Edital],0)),"Não")</f>
        <v>Sim</v>
      </c>
      <c r="P7992" s="4">
        <f>IF(COUNTIFS(INDEX(tItens[Edital],1):tItens[[#This Row],[Edital]],tItens[[#This Row],[Edital]],INDEX(tItens[Produto],1):tItens[[#This Row],[Produto]],tItens[[#This Row],[Produto]])=1,1,0)</f>
        <v>0</v>
      </c>
    </row>
    <row r="7993" spans="1:16" x14ac:dyDescent="0.25">
      <c r="A7993" t="s">
        <v>2644</v>
      </c>
      <c r="B7993">
        <v>95</v>
      </c>
      <c r="C7993" t="s">
        <v>10488</v>
      </c>
      <c r="D7993" t="s">
        <v>124</v>
      </c>
      <c r="E7993" s="13">
        <v>1140</v>
      </c>
      <c r="F7993" s="12">
        <v>170.65</v>
      </c>
      <c r="G7993" t="str">
        <f>IFERROR(INDEX(tEditais[Órgão],MATCH(tItens[[#This Row],[Edital]],tEditais[Edital],0)),"")</f>
        <v>CONSORCIO INTEGRADO DE GESTAO PUBLICA DO ENTRE RIOS - CIGAMERIOS</v>
      </c>
      <c r="H7993" t="str">
        <f>IFERROR(INDEX(tEditais[UF],MATCH(tItens[[#This Row],[Edital]],tEditais[Edital],0)),"")</f>
        <v>SC</v>
      </c>
      <c r="I7993" s="11">
        <f>IFERROR(INDEX(tEditais[Encerramento],MATCH(tItens[[#This Row],[Edital]],tEditais[Edital],0)),"")</f>
        <v>46309.332638888889</v>
      </c>
      <c r="J7993" t="str">
        <f>IFERROR(INDEX(tProdutos[Classe],MATCH(tItens[[#This Row],[Produto]],tProdutos[Produto],0)),"produto não cadastrado")</f>
        <v>DISPUTADO</v>
      </c>
      <c r="K7993" s="12">
        <f>tItens[[#This Row],[Qtd]]*tItens[[#This Row],[Vlr unit]]</f>
        <v>194541</v>
      </c>
      <c r="L7993" s="6">
        <f>IFERROR(IF(INDEX(tProdutos[Desconto homologado],MATCH(tItens[[#This Row],[Produto]],tProdutos[Produto],0))="",DescontoPadrao,INDEX(tProdutos[Desconto homologado],MATCH(tItens[[#This Row],[Produto]],tProdutos[Produto],0))),DescontoPadrao)</f>
        <v>0.34</v>
      </c>
      <c r="M7993" s="12">
        <f>tItens[[#This Row],[Valor]]*(1-tItens[[#This Row],[Desconto]])</f>
        <v>128397.05999999998</v>
      </c>
      <c r="N7993" t="str">
        <f>IFERROR(INDEX(tProdutos[Foco],MATCH(tItens[[#This Row],[Produto]],tProdutos[Produto],0)),"Não")</f>
        <v>Sim</v>
      </c>
      <c r="O7993" t="str">
        <f>IFERROR(INDEX(tEditais[SRP],MATCH(tItens[[#This Row],[Edital]],tEditais[Edital],0)),"Não")</f>
        <v>Sim</v>
      </c>
      <c r="P7993" s="4">
        <f>IF(COUNTIFS(INDEX(tItens[Edital],1):tItens[[#This Row],[Edital]],tItens[[#This Row],[Edital]],INDEX(tItens[Produto],1):tItens[[#This Row],[Produto]],tItens[[#This Row],[Produto]])=1,1,0)</f>
        <v>1</v>
      </c>
    </row>
    <row r="7994" spans="1:16" x14ac:dyDescent="0.25">
      <c r="A7994" t="s">
        <v>2644</v>
      </c>
      <c r="B7994">
        <v>98</v>
      </c>
      <c r="C7994" t="s">
        <v>10489</v>
      </c>
      <c r="D7994" t="s">
        <v>124</v>
      </c>
      <c r="E7994" s="13">
        <v>1140</v>
      </c>
      <c r="F7994" s="12">
        <v>16.12</v>
      </c>
      <c r="G7994" t="str">
        <f>IFERROR(INDEX(tEditais[Órgão],MATCH(tItens[[#This Row],[Edital]],tEditais[Edital],0)),"")</f>
        <v>CONSORCIO INTEGRADO DE GESTAO PUBLICA DO ENTRE RIOS - CIGAMERIOS</v>
      </c>
      <c r="H7994" t="str">
        <f>IFERROR(INDEX(tEditais[UF],MATCH(tItens[[#This Row],[Edital]],tEditais[Edital],0)),"")</f>
        <v>SC</v>
      </c>
      <c r="I7994" s="11">
        <f>IFERROR(INDEX(tEditais[Encerramento],MATCH(tItens[[#This Row],[Edital]],tEditais[Edital],0)),"")</f>
        <v>46309.332638888889</v>
      </c>
      <c r="J7994" t="str">
        <f>IFERROR(INDEX(tProdutos[Classe],MATCH(tItens[[#This Row],[Produto]],tProdutos[Produto],0)),"produto não cadastrado")</f>
        <v>DISPUTADO</v>
      </c>
      <c r="K7994" s="12">
        <f>tItens[[#This Row],[Qtd]]*tItens[[#This Row],[Vlr unit]]</f>
        <v>18376.800000000003</v>
      </c>
      <c r="L7994" s="6">
        <f>IFERROR(IF(INDEX(tProdutos[Desconto homologado],MATCH(tItens[[#This Row],[Produto]],tProdutos[Produto],0))="",DescontoPadrao,INDEX(tProdutos[Desconto homologado],MATCH(tItens[[#This Row],[Produto]],tProdutos[Produto],0))),DescontoPadrao)</f>
        <v>0.34</v>
      </c>
      <c r="M7994" s="12">
        <f>tItens[[#This Row],[Valor]]*(1-tItens[[#This Row],[Desconto]])</f>
        <v>12128.688</v>
      </c>
      <c r="N7994" t="str">
        <f>IFERROR(INDEX(tProdutos[Foco],MATCH(tItens[[#This Row],[Produto]],tProdutos[Produto],0)),"Não")</f>
        <v>Sim</v>
      </c>
      <c r="O7994" t="str">
        <f>IFERROR(INDEX(tEditais[SRP],MATCH(tItens[[#This Row],[Edital]],tEditais[Edital],0)),"Não")</f>
        <v>Sim</v>
      </c>
      <c r="P7994" s="4">
        <f>IF(COUNTIFS(INDEX(tItens[Edital],1):tItens[[#This Row],[Edital]],tItens[[#This Row],[Edital]],INDEX(tItens[Produto],1):tItens[[#This Row],[Produto]],tItens[[#This Row],[Produto]])=1,1,0)</f>
        <v>0</v>
      </c>
    </row>
    <row r="7995" spans="1:16" x14ac:dyDescent="0.25">
      <c r="A7995" t="s">
        <v>2644</v>
      </c>
      <c r="B7995">
        <v>103</v>
      </c>
      <c r="C7995" t="s">
        <v>10490</v>
      </c>
      <c r="D7995" t="s">
        <v>423</v>
      </c>
      <c r="E7995" s="13">
        <v>197</v>
      </c>
      <c r="F7995" s="12">
        <v>10.119999999999999</v>
      </c>
      <c r="G7995" t="str">
        <f>IFERROR(INDEX(tEditais[Órgão],MATCH(tItens[[#This Row],[Edital]],tEditais[Edital],0)),"")</f>
        <v>CONSORCIO INTEGRADO DE GESTAO PUBLICA DO ENTRE RIOS - CIGAMERIOS</v>
      </c>
      <c r="H7995" t="str">
        <f>IFERROR(INDEX(tEditais[UF],MATCH(tItens[[#This Row],[Edital]],tEditais[Edital],0)),"")</f>
        <v>SC</v>
      </c>
      <c r="I7995" s="11">
        <f>IFERROR(INDEX(tEditais[Encerramento],MATCH(tItens[[#This Row],[Edital]],tEditais[Edital],0)),"")</f>
        <v>46309.332638888889</v>
      </c>
      <c r="J7995" t="str">
        <f>IFERROR(INDEX(tProdutos[Classe],MATCH(tItens[[#This Row],[Produto]],tProdutos[Produto],0)),"produto não cadastrado")</f>
        <v>FORA</v>
      </c>
      <c r="K7995" s="12">
        <f>tItens[[#This Row],[Qtd]]*tItens[[#This Row],[Vlr unit]]</f>
        <v>1993.6399999999999</v>
      </c>
      <c r="L7995" s="6">
        <f>IFERROR(IF(INDEX(tProdutos[Desconto homologado],MATCH(tItens[[#This Row],[Produto]],tProdutos[Produto],0))="",DescontoPadrao,INDEX(tProdutos[Desconto homologado],MATCH(tItens[[#This Row],[Produto]],tProdutos[Produto],0))),DescontoPadrao)</f>
        <v>0.38271604938271597</v>
      </c>
      <c r="M7995" s="12">
        <f>tItens[[#This Row],[Valor]]*(1-tItens[[#This Row],[Desconto]])</f>
        <v>1230.641975308642</v>
      </c>
      <c r="N7995" t="str">
        <f>IFERROR(INDEX(tProdutos[Foco],MATCH(tItens[[#This Row],[Produto]],tProdutos[Produto],0)),"Não")</f>
        <v>Não</v>
      </c>
      <c r="O7995" t="str">
        <f>IFERROR(INDEX(tEditais[SRP],MATCH(tItens[[#This Row],[Edital]],tEditais[Edital],0)),"Não")</f>
        <v>Sim</v>
      </c>
      <c r="P7995" s="4">
        <f>IF(COUNTIFS(INDEX(tItens[Edital],1):tItens[[#This Row],[Edital]],tItens[[#This Row],[Edital]],INDEX(tItens[Produto],1):tItens[[#This Row],[Produto]],tItens[[#This Row],[Produto]])=1,1,0)</f>
        <v>1</v>
      </c>
    </row>
    <row r="7996" spans="1:16" x14ac:dyDescent="0.25">
      <c r="A7996" t="s">
        <v>2644</v>
      </c>
      <c r="B7996">
        <v>104</v>
      </c>
      <c r="C7996" t="s">
        <v>10491</v>
      </c>
      <c r="D7996" t="s">
        <v>421</v>
      </c>
      <c r="E7996" s="13">
        <v>182</v>
      </c>
      <c r="F7996" s="12">
        <v>17.829999999999998</v>
      </c>
      <c r="G7996" t="str">
        <f>IFERROR(INDEX(tEditais[Órgão],MATCH(tItens[[#This Row],[Edital]],tEditais[Edital],0)),"")</f>
        <v>CONSORCIO INTEGRADO DE GESTAO PUBLICA DO ENTRE RIOS - CIGAMERIOS</v>
      </c>
      <c r="H7996" t="str">
        <f>IFERROR(INDEX(tEditais[UF],MATCH(tItens[[#This Row],[Edital]],tEditais[Edital],0)),"")</f>
        <v>SC</v>
      </c>
      <c r="I7996" s="11">
        <f>IFERROR(INDEX(tEditais[Encerramento],MATCH(tItens[[#This Row],[Edital]],tEditais[Edital],0)),"")</f>
        <v>46309.332638888889</v>
      </c>
      <c r="J7996" t="str">
        <f>IFERROR(INDEX(tProdutos[Classe],MATCH(tItens[[#This Row],[Produto]],tProdutos[Produto],0)),"produto não cadastrado")</f>
        <v>FORA</v>
      </c>
      <c r="K7996" s="12">
        <f>tItens[[#This Row],[Qtd]]*tItens[[#This Row],[Vlr unit]]</f>
        <v>3245.0599999999995</v>
      </c>
      <c r="L7996" s="6">
        <f>IFERROR(IF(INDEX(tProdutos[Desconto homologado],MATCH(tItens[[#This Row],[Produto]],tProdutos[Produto],0))="",DescontoPadrao,INDEX(tProdutos[Desconto homologado],MATCH(tItens[[#This Row],[Produto]],tProdutos[Produto],0))),DescontoPadrao)</f>
        <v>0.43</v>
      </c>
      <c r="M7996" s="12">
        <f>tItens[[#This Row],[Valor]]*(1-tItens[[#This Row],[Desconto]])</f>
        <v>1849.6841999999999</v>
      </c>
      <c r="N7996" t="str">
        <f>IFERROR(INDEX(tProdutos[Foco],MATCH(tItens[[#This Row],[Produto]],tProdutos[Produto],0)),"Não")</f>
        <v>Sim</v>
      </c>
      <c r="O7996" t="str">
        <f>IFERROR(INDEX(tEditais[SRP],MATCH(tItens[[#This Row],[Edital]],tEditais[Edital],0)),"Não")</f>
        <v>Sim</v>
      </c>
      <c r="P7996" s="4">
        <f>IF(COUNTIFS(INDEX(tItens[Edital],1):tItens[[#This Row],[Edital]],tItens[[#This Row],[Edital]],INDEX(tItens[Produto],1):tItens[[#This Row],[Produto]],tItens[[#This Row],[Produto]])=1,1,0)</f>
        <v>1</v>
      </c>
    </row>
    <row r="7997" spans="1:16" x14ac:dyDescent="0.25">
      <c r="A7997" t="s">
        <v>2644</v>
      </c>
      <c r="B7997">
        <v>108</v>
      </c>
      <c r="C7997" t="s">
        <v>10492</v>
      </c>
      <c r="D7997" t="s">
        <v>311</v>
      </c>
      <c r="E7997" s="13">
        <v>2010</v>
      </c>
      <c r="F7997" s="12">
        <v>72.75</v>
      </c>
      <c r="G7997" t="str">
        <f>IFERROR(INDEX(tEditais[Órgão],MATCH(tItens[[#This Row],[Edital]],tEditais[Edital],0)),"")</f>
        <v>CONSORCIO INTEGRADO DE GESTAO PUBLICA DO ENTRE RIOS - CIGAMERIOS</v>
      </c>
      <c r="H7997" t="str">
        <f>IFERROR(INDEX(tEditais[UF],MATCH(tItens[[#This Row],[Edital]],tEditais[Edital],0)),"")</f>
        <v>SC</v>
      </c>
      <c r="I7997" s="11">
        <f>IFERROR(INDEX(tEditais[Encerramento],MATCH(tItens[[#This Row],[Edital]],tEditais[Edital],0)),"")</f>
        <v>46309.332638888889</v>
      </c>
      <c r="J7997" t="str">
        <f>IFERROR(INDEX(tProdutos[Classe],MATCH(tItens[[#This Row],[Produto]],tProdutos[Produto],0)),"produto não cadastrado")</f>
        <v>FORA</v>
      </c>
      <c r="K7997" s="12">
        <f>tItens[[#This Row],[Qtd]]*tItens[[#This Row],[Vlr unit]]</f>
        <v>146227.5</v>
      </c>
      <c r="L7997" s="6">
        <f>IFERROR(IF(INDEX(tProdutos[Desconto homologado],MATCH(tItens[[#This Row],[Produto]],tProdutos[Produto],0))="",DescontoPadrao,INDEX(tProdutos[Desconto homologado],MATCH(tItens[[#This Row],[Produto]],tProdutos[Produto],0))),DescontoPadrao)</f>
        <v>0.29046182846371399</v>
      </c>
      <c r="M7997" s="12">
        <f>tItens[[#This Row],[Valor]]*(1-tItens[[#This Row],[Desconto]])</f>
        <v>103753.99297832228</v>
      </c>
      <c r="N7997" t="str">
        <f>IFERROR(INDEX(tProdutos[Foco],MATCH(tItens[[#This Row],[Produto]],tProdutos[Produto],0)),"Não")</f>
        <v>Não</v>
      </c>
      <c r="O7997" t="str">
        <f>IFERROR(INDEX(tEditais[SRP],MATCH(tItens[[#This Row],[Edital]],tEditais[Edital],0)),"Não")</f>
        <v>Sim</v>
      </c>
      <c r="P7997" s="4">
        <f>IF(COUNTIFS(INDEX(tItens[Edital],1):tItens[[#This Row],[Edital]],tItens[[#This Row],[Edital]],INDEX(tItens[Produto],1):tItens[[#This Row],[Produto]],tItens[[#This Row],[Produto]])=1,1,0)</f>
        <v>1</v>
      </c>
    </row>
    <row r="7998" spans="1:16" x14ac:dyDescent="0.25">
      <c r="A7998" t="s">
        <v>2644</v>
      </c>
      <c r="B7998">
        <v>109</v>
      </c>
      <c r="C7998" t="s">
        <v>10493</v>
      </c>
      <c r="D7998" t="s">
        <v>311</v>
      </c>
      <c r="E7998" s="13">
        <v>2600</v>
      </c>
      <c r="F7998" s="12">
        <v>7.35</v>
      </c>
      <c r="G7998" t="str">
        <f>IFERROR(INDEX(tEditais[Órgão],MATCH(tItens[[#This Row],[Edital]],tEditais[Edital],0)),"")</f>
        <v>CONSORCIO INTEGRADO DE GESTAO PUBLICA DO ENTRE RIOS - CIGAMERIOS</v>
      </c>
      <c r="H7998" t="str">
        <f>IFERROR(INDEX(tEditais[UF],MATCH(tItens[[#This Row],[Edital]],tEditais[Edital],0)),"")</f>
        <v>SC</v>
      </c>
      <c r="I7998" s="11">
        <f>IFERROR(INDEX(tEditais[Encerramento],MATCH(tItens[[#This Row],[Edital]],tEditais[Edital],0)),"")</f>
        <v>46309.332638888889</v>
      </c>
      <c r="J7998" t="str">
        <f>IFERROR(INDEX(tProdutos[Classe],MATCH(tItens[[#This Row],[Produto]],tProdutos[Produto],0)),"produto não cadastrado")</f>
        <v>FORA</v>
      </c>
      <c r="K7998" s="12">
        <f>tItens[[#This Row],[Qtd]]*tItens[[#This Row],[Vlr unit]]</f>
        <v>19110</v>
      </c>
      <c r="L7998" s="6">
        <f>IFERROR(IF(INDEX(tProdutos[Desconto homologado],MATCH(tItens[[#This Row],[Produto]],tProdutos[Produto],0))="",DescontoPadrao,INDEX(tProdutos[Desconto homologado],MATCH(tItens[[#This Row],[Produto]],tProdutos[Produto],0))),DescontoPadrao)</f>
        <v>0.29046182846371399</v>
      </c>
      <c r="M7998" s="12">
        <f>tItens[[#This Row],[Valor]]*(1-tItens[[#This Row],[Desconto]])</f>
        <v>13559.274458058428</v>
      </c>
      <c r="N7998" t="str">
        <f>IFERROR(INDEX(tProdutos[Foco],MATCH(tItens[[#This Row],[Produto]],tProdutos[Produto],0)),"Não")</f>
        <v>Não</v>
      </c>
      <c r="O7998" t="str">
        <f>IFERROR(INDEX(tEditais[SRP],MATCH(tItens[[#This Row],[Edital]],tEditais[Edital],0)),"Não")</f>
        <v>Sim</v>
      </c>
      <c r="P7998" s="4">
        <f>IF(COUNTIFS(INDEX(tItens[Edital],1):tItens[[#This Row],[Edital]],tItens[[#This Row],[Edital]],INDEX(tItens[Produto],1):tItens[[#This Row],[Produto]],tItens[[#This Row],[Produto]])=1,1,0)</f>
        <v>0</v>
      </c>
    </row>
    <row r="7999" spans="1:16" x14ac:dyDescent="0.25">
      <c r="A7999" t="s">
        <v>2644</v>
      </c>
      <c r="B7999">
        <v>110</v>
      </c>
      <c r="C7999" t="s">
        <v>10494</v>
      </c>
      <c r="D7999" t="s">
        <v>311</v>
      </c>
      <c r="E7999" s="13">
        <v>7064</v>
      </c>
      <c r="F7999" s="12">
        <v>47.55</v>
      </c>
      <c r="G7999" t="str">
        <f>IFERROR(INDEX(tEditais[Órgão],MATCH(tItens[[#This Row],[Edital]],tEditais[Edital],0)),"")</f>
        <v>CONSORCIO INTEGRADO DE GESTAO PUBLICA DO ENTRE RIOS - CIGAMERIOS</v>
      </c>
      <c r="H7999" t="str">
        <f>IFERROR(INDEX(tEditais[UF],MATCH(tItens[[#This Row],[Edital]],tEditais[Edital],0)),"")</f>
        <v>SC</v>
      </c>
      <c r="I7999" s="11">
        <f>IFERROR(INDEX(tEditais[Encerramento],MATCH(tItens[[#This Row],[Edital]],tEditais[Edital],0)),"")</f>
        <v>46309.332638888889</v>
      </c>
      <c r="J7999" t="str">
        <f>IFERROR(INDEX(tProdutos[Classe],MATCH(tItens[[#This Row],[Produto]],tProdutos[Produto],0)),"produto não cadastrado")</f>
        <v>FORA</v>
      </c>
      <c r="K7999" s="12">
        <f>tItens[[#This Row],[Qtd]]*tItens[[#This Row],[Vlr unit]]</f>
        <v>335893.19999999995</v>
      </c>
      <c r="L7999" s="6">
        <f>IFERROR(IF(INDEX(tProdutos[Desconto homologado],MATCH(tItens[[#This Row],[Produto]],tProdutos[Produto],0))="",DescontoPadrao,INDEX(tProdutos[Desconto homologado],MATCH(tItens[[#This Row],[Produto]],tProdutos[Produto],0))),DescontoPadrao)</f>
        <v>0.29046182846371399</v>
      </c>
      <c r="M7999" s="12">
        <f>tItens[[#This Row],[Valor]]*(1-tItens[[#This Row],[Desconto]])</f>
        <v>238329.04695947201</v>
      </c>
      <c r="N7999" t="str">
        <f>IFERROR(INDEX(tProdutos[Foco],MATCH(tItens[[#This Row],[Produto]],tProdutos[Produto],0)),"Não")</f>
        <v>Não</v>
      </c>
      <c r="O7999" t="str">
        <f>IFERROR(INDEX(tEditais[SRP],MATCH(tItens[[#This Row],[Edital]],tEditais[Edital],0)),"Não")</f>
        <v>Sim</v>
      </c>
      <c r="P7999" s="4">
        <f>IF(COUNTIFS(INDEX(tItens[Edital],1):tItens[[#This Row],[Edital]],tItens[[#This Row],[Edital]],INDEX(tItens[Produto],1):tItens[[#This Row],[Produto]],tItens[[#This Row],[Produto]])=1,1,0)</f>
        <v>0</v>
      </c>
    </row>
    <row r="8000" spans="1:16" x14ac:dyDescent="0.25">
      <c r="A8000" t="s">
        <v>2644</v>
      </c>
      <c r="B8000">
        <v>126</v>
      </c>
      <c r="C8000" t="s">
        <v>10495</v>
      </c>
      <c r="D8000" t="s">
        <v>409</v>
      </c>
      <c r="E8000" s="13">
        <v>14750</v>
      </c>
      <c r="F8000" s="12">
        <v>3.18</v>
      </c>
      <c r="G8000" t="str">
        <f>IFERROR(INDEX(tEditais[Órgão],MATCH(tItens[[#This Row],[Edital]],tEditais[Edital],0)),"")</f>
        <v>CONSORCIO INTEGRADO DE GESTAO PUBLICA DO ENTRE RIOS - CIGAMERIOS</v>
      </c>
      <c r="H8000" t="str">
        <f>IFERROR(INDEX(tEditais[UF],MATCH(tItens[[#This Row],[Edital]],tEditais[Edital],0)),"")</f>
        <v>SC</v>
      </c>
      <c r="I8000" s="11">
        <f>IFERROR(INDEX(tEditais[Encerramento],MATCH(tItens[[#This Row],[Edital]],tEditais[Edital],0)),"")</f>
        <v>46309.332638888889</v>
      </c>
      <c r="J8000" t="str">
        <f>IFERROR(INDEX(tProdutos[Classe],MATCH(tItens[[#This Row],[Produto]],tProdutos[Produto],0)),"produto não cadastrado")</f>
        <v>FORA</v>
      </c>
      <c r="K8000" s="12">
        <f>tItens[[#This Row],[Qtd]]*tItens[[#This Row],[Vlr unit]]</f>
        <v>46905</v>
      </c>
      <c r="L8000" s="6">
        <f>IFERROR(IF(INDEX(tProdutos[Desconto homologado],MATCH(tItens[[#This Row],[Produto]],tProdutos[Produto],0))="",DescontoPadrao,INDEX(tProdutos[Desconto homologado],MATCH(tItens[[#This Row],[Produto]],tProdutos[Produto],0))),DescontoPadrao)</f>
        <v>0.24924924924924899</v>
      </c>
      <c r="M8000" s="12">
        <f>tItens[[#This Row],[Valor]]*(1-tItens[[#This Row],[Desconto]])</f>
        <v>35213.963963963979</v>
      </c>
      <c r="N8000" t="str">
        <f>IFERROR(INDEX(tProdutos[Foco],MATCH(tItens[[#This Row],[Produto]],tProdutos[Produto],0)),"Não")</f>
        <v>Não</v>
      </c>
      <c r="O8000" t="str">
        <f>IFERROR(INDEX(tEditais[SRP],MATCH(tItens[[#This Row],[Edital]],tEditais[Edital],0)),"Não")</f>
        <v>Sim</v>
      </c>
      <c r="P8000" s="4">
        <f>IF(COUNTIFS(INDEX(tItens[Edital],1):tItens[[#This Row],[Edital]],tItens[[#This Row],[Edital]],INDEX(tItens[Produto],1):tItens[[#This Row],[Produto]],tItens[[#This Row],[Produto]])=1,1,0)</f>
        <v>1</v>
      </c>
    </row>
    <row r="8001" spans="1:16" x14ac:dyDescent="0.25">
      <c r="A8001" t="s">
        <v>2644</v>
      </c>
      <c r="B8001">
        <v>127</v>
      </c>
      <c r="C8001" t="s">
        <v>10496</v>
      </c>
      <c r="D8001" t="s">
        <v>409</v>
      </c>
      <c r="E8001" s="13">
        <v>9800</v>
      </c>
      <c r="F8001" s="12">
        <v>4.67</v>
      </c>
      <c r="G8001" t="str">
        <f>IFERROR(INDEX(tEditais[Órgão],MATCH(tItens[[#This Row],[Edital]],tEditais[Edital],0)),"")</f>
        <v>CONSORCIO INTEGRADO DE GESTAO PUBLICA DO ENTRE RIOS - CIGAMERIOS</v>
      </c>
      <c r="H8001" t="str">
        <f>IFERROR(INDEX(tEditais[UF],MATCH(tItens[[#This Row],[Edital]],tEditais[Edital],0)),"")</f>
        <v>SC</v>
      </c>
      <c r="I8001" s="11">
        <f>IFERROR(INDEX(tEditais[Encerramento],MATCH(tItens[[#This Row],[Edital]],tEditais[Edital],0)),"")</f>
        <v>46309.332638888889</v>
      </c>
      <c r="J8001" t="str">
        <f>IFERROR(INDEX(tProdutos[Classe],MATCH(tItens[[#This Row],[Produto]],tProdutos[Produto],0)),"produto não cadastrado")</f>
        <v>FORA</v>
      </c>
      <c r="K8001" s="12">
        <f>tItens[[#This Row],[Qtd]]*tItens[[#This Row],[Vlr unit]]</f>
        <v>45766</v>
      </c>
      <c r="L8001" s="6">
        <f>IFERROR(IF(INDEX(tProdutos[Desconto homologado],MATCH(tItens[[#This Row],[Produto]],tProdutos[Produto],0))="",DescontoPadrao,INDEX(tProdutos[Desconto homologado],MATCH(tItens[[#This Row],[Produto]],tProdutos[Produto],0))),DescontoPadrao)</f>
        <v>0.24924924924924899</v>
      </c>
      <c r="M8001" s="12">
        <f>tItens[[#This Row],[Valor]]*(1-tItens[[#This Row],[Desconto]])</f>
        <v>34358.858858858875</v>
      </c>
      <c r="N8001" t="str">
        <f>IFERROR(INDEX(tProdutos[Foco],MATCH(tItens[[#This Row],[Produto]],tProdutos[Produto],0)),"Não")</f>
        <v>Não</v>
      </c>
      <c r="O8001" t="str">
        <f>IFERROR(INDEX(tEditais[SRP],MATCH(tItens[[#This Row],[Edital]],tEditais[Edital],0)),"Não")</f>
        <v>Sim</v>
      </c>
      <c r="P8001" s="4">
        <f>IF(COUNTIFS(INDEX(tItens[Edital],1):tItens[[#This Row],[Edital]],tItens[[#This Row],[Edital]],INDEX(tItens[Produto],1):tItens[[#This Row],[Produto]],tItens[[#This Row],[Produto]])=1,1,0)</f>
        <v>0</v>
      </c>
    </row>
    <row r="8002" spans="1:16" x14ac:dyDescent="0.25">
      <c r="A8002" t="s">
        <v>2644</v>
      </c>
      <c r="B8002">
        <v>128</v>
      </c>
      <c r="C8002" t="s">
        <v>10497</v>
      </c>
      <c r="D8002" t="s">
        <v>409</v>
      </c>
      <c r="E8002" s="13">
        <v>6480</v>
      </c>
      <c r="F8002" s="12">
        <v>8.0299999999999994</v>
      </c>
      <c r="G8002" t="str">
        <f>IFERROR(INDEX(tEditais[Órgão],MATCH(tItens[[#This Row],[Edital]],tEditais[Edital],0)),"")</f>
        <v>CONSORCIO INTEGRADO DE GESTAO PUBLICA DO ENTRE RIOS - CIGAMERIOS</v>
      </c>
      <c r="H8002" t="str">
        <f>IFERROR(INDEX(tEditais[UF],MATCH(tItens[[#This Row],[Edital]],tEditais[Edital],0)),"")</f>
        <v>SC</v>
      </c>
      <c r="I8002" s="11">
        <f>IFERROR(INDEX(tEditais[Encerramento],MATCH(tItens[[#This Row],[Edital]],tEditais[Edital],0)),"")</f>
        <v>46309.332638888889</v>
      </c>
      <c r="J8002" t="str">
        <f>IFERROR(INDEX(tProdutos[Classe],MATCH(tItens[[#This Row],[Produto]],tProdutos[Produto],0)),"produto não cadastrado")</f>
        <v>FORA</v>
      </c>
      <c r="K8002" s="12">
        <f>tItens[[#This Row],[Qtd]]*tItens[[#This Row],[Vlr unit]]</f>
        <v>52034.399999999994</v>
      </c>
      <c r="L8002" s="6">
        <f>IFERROR(IF(INDEX(tProdutos[Desconto homologado],MATCH(tItens[[#This Row],[Produto]],tProdutos[Produto],0))="",DescontoPadrao,INDEX(tProdutos[Desconto homologado],MATCH(tItens[[#This Row],[Produto]],tProdutos[Produto],0))),DescontoPadrao)</f>
        <v>0.24924924924924899</v>
      </c>
      <c r="M8002" s="12">
        <f>tItens[[#This Row],[Valor]]*(1-tItens[[#This Row],[Desconto]])</f>
        <v>39064.864864864874</v>
      </c>
      <c r="N8002" t="str">
        <f>IFERROR(INDEX(tProdutos[Foco],MATCH(tItens[[#This Row],[Produto]],tProdutos[Produto],0)),"Não")</f>
        <v>Não</v>
      </c>
      <c r="O8002" t="str">
        <f>IFERROR(INDEX(tEditais[SRP],MATCH(tItens[[#This Row],[Edital]],tEditais[Edital],0)),"Não")</f>
        <v>Sim</v>
      </c>
      <c r="P8002" s="4">
        <f>IF(COUNTIFS(INDEX(tItens[Edital],1):tItens[[#This Row],[Edital]],tItens[[#This Row],[Edital]],INDEX(tItens[Produto],1):tItens[[#This Row],[Produto]],tItens[[#This Row],[Produto]])=1,1,0)</f>
        <v>0</v>
      </c>
    </row>
    <row r="8003" spans="1:16" x14ac:dyDescent="0.25">
      <c r="A8003" t="s">
        <v>2644</v>
      </c>
      <c r="B8003">
        <v>129</v>
      </c>
      <c r="C8003" t="s">
        <v>10498</v>
      </c>
      <c r="D8003" t="s">
        <v>409</v>
      </c>
      <c r="E8003" s="13">
        <v>14190</v>
      </c>
      <c r="F8003" s="12">
        <v>6.75</v>
      </c>
      <c r="G8003" t="str">
        <f>IFERROR(INDEX(tEditais[Órgão],MATCH(tItens[[#This Row],[Edital]],tEditais[Edital],0)),"")</f>
        <v>CONSORCIO INTEGRADO DE GESTAO PUBLICA DO ENTRE RIOS - CIGAMERIOS</v>
      </c>
      <c r="H8003" t="str">
        <f>IFERROR(INDEX(tEditais[UF],MATCH(tItens[[#This Row],[Edital]],tEditais[Edital],0)),"")</f>
        <v>SC</v>
      </c>
      <c r="I8003" s="11">
        <f>IFERROR(INDEX(tEditais[Encerramento],MATCH(tItens[[#This Row],[Edital]],tEditais[Edital],0)),"")</f>
        <v>46309.332638888889</v>
      </c>
      <c r="J8003" t="str">
        <f>IFERROR(INDEX(tProdutos[Classe],MATCH(tItens[[#This Row],[Produto]],tProdutos[Produto],0)),"produto não cadastrado")</f>
        <v>FORA</v>
      </c>
      <c r="K8003" s="12">
        <f>tItens[[#This Row],[Qtd]]*tItens[[#This Row],[Vlr unit]]</f>
        <v>95782.5</v>
      </c>
      <c r="L8003" s="6">
        <f>IFERROR(IF(INDEX(tProdutos[Desconto homologado],MATCH(tItens[[#This Row],[Produto]],tProdutos[Produto],0))="",DescontoPadrao,INDEX(tProdutos[Desconto homologado],MATCH(tItens[[#This Row],[Produto]],tProdutos[Produto],0))),DescontoPadrao)</f>
        <v>0.24924924924924899</v>
      </c>
      <c r="M8003" s="12">
        <f>tItens[[#This Row],[Valor]]*(1-tItens[[#This Row],[Desconto]])</f>
        <v>71908.783783783816</v>
      </c>
      <c r="N8003" t="str">
        <f>IFERROR(INDEX(tProdutos[Foco],MATCH(tItens[[#This Row],[Produto]],tProdutos[Produto],0)),"Não")</f>
        <v>Não</v>
      </c>
      <c r="O8003" t="str">
        <f>IFERROR(INDEX(tEditais[SRP],MATCH(tItens[[#This Row],[Edital]],tEditais[Edital],0)),"Não")</f>
        <v>Sim</v>
      </c>
      <c r="P8003" s="4">
        <f>IF(COUNTIFS(INDEX(tItens[Edital],1):tItens[[#This Row],[Edital]],tItens[[#This Row],[Edital]],INDEX(tItens[Produto],1):tItens[[#This Row],[Produto]],tItens[[#This Row],[Produto]])=1,1,0)</f>
        <v>0</v>
      </c>
    </row>
    <row r="8004" spans="1:16" x14ac:dyDescent="0.25">
      <c r="A8004" t="s">
        <v>2644</v>
      </c>
      <c r="B8004">
        <v>130</v>
      </c>
      <c r="C8004" t="s">
        <v>10499</v>
      </c>
      <c r="D8004" t="s">
        <v>409</v>
      </c>
      <c r="E8004" s="13">
        <v>10040</v>
      </c>
      <c r="F8004" s="12">
        <v>4.54</v>
      </c>
      <c r="G8004" t="str">
        <f>IFERROR(INDEX(tEditais[Órgão],MATCH(tItens[[#This Row],[Edital]],tEditais[Edital],0)),"")</f>
        <v>CONSORCIO INTEGRADO DE GESTAO PUBLICA DO ENTRE RIOS - CIGAMERIOS</v>
      </c>
      <c r="H8004" t="str">
        <f>IFERROR(INDEX(tEditais[UF],MATCH(tItens[[#This Row],[Edital]],tEditais[Edital],0)),"")</f>
        <v>SC</v>
      </c>
      <c r="I8004" s="11">
        <f>IFERROR(INDEX(tEditais[Encerramento],MATCH(tItens[[#This Row],[Edital]],tEditais[Edital],0)),"")</f>
        <v>46309.332638888889</v>
      </c>
      <c r="J8004" t="str">
        <f>IFERROR(INDEX(tProdutos[Classe],MATCH(tItens[[#This Row],[Produto]],tProdutos[Produto],0)),"produto não cadastrado")</f>
        <v>FORA</v>
      </c>
      <c r="K8004" s="12">
        <f>tItens[[#This Row],[Qtd]]*tItens[[#This Row],[Vlr unit]]</f>
        <v>45581.599999999999</v>
      </c>
      <c r="L8004" s="6">
        <f>IFERROR(IF(INDEX(tProdutos[Desconto homologado],MATCH(tItens[[#This Row],[Produto]],tProdutos[Produto],0))="",DescontoPadrao,INDEX(tProdutos[Desconto homologado],MATCH(tItens[[#This Row],[Produto]],tProdutos[Produto],0))),DescontoPadrao)</f>
        <v>0.24924924924924899</v>
      </c>
      <c r="M8004" s="12">
        <f>tItens[[#This Row],[Valor]]*(1-tItens[[#This Row],[Desconto]])</f>
        <v>34220.420420420429</v>
      </c>
      <c r="N8004" t="str">
        <f>IFERROR(INDEX(tProdutos[Foco],MATCH(tItens[[#This Row],[Produto]],tProdutos[Produto],0)),"Não")</f>
        <v>Não</v>
      </c>
      <c r="O8004" t="str">
        <f>IFERROR(INDEX(tEditais[SRP],MATCH(tItens[[#This Row],[Edital]],tEditais[Edital],0)),"Não")</f>
        <v>Sim</v>
      </c>
      <c r="P8004" s="4">
        <f>IF(COUNTIFS(INDEX(tItens[Edital],1):tItens[[#This Row],[Edital]],tItens[[#This Row],[Edital]],INDEX(tItens[Produto],1):tItens[[#This Row],[Produto]],tItens[[#This Row],[Produto]])=1,1,0)</f>
        <v>0</v>
      </c>
    </row>
    <row r="8005" spans="1:16" x14ac:dyDescent="0.25">
      <c r="A8005" t="s">
        <v>2644</v>
      </c>
      <c r="B8005">
        <v>131</v>
      </c>
      <c r="C8005" t="s">
        <v>10500</v>
      </c>
      <c r="D8005" t="s">
        <v>409</v>
      </c>
      <c r="E8005" s="13">
        <v>8520</v>
      </c>
      <c r="F8005" s="12">
        <v>4.03</v>
      </c>
      <c r="G8005" t="str">
        <f>IFERROR(INDEX(tEditais[Órgão],MATCH(tItens[[#This Row],[Edital]],tEditais[Edital],0)),"")</f>
        <v>CONSORCIO INTEGRADO DE GESTAO PUBLICA DO ENTRE RIOS - CIGAMERIOS</v>
      </c>
      <c r="H8005" t="str">
        <f>IFERROR(INDEX(tEditais[UF],MATCH(tItens[[#This Row],[Edital]],tEditais[Edital],0)),"")</f>
        <v>SC</v>
      </c>
      <c r="I8005" s="11">
        <f>IFERROR(INDEX(tEditais[Encerramento],MATCH(tItens[[#This Row],[Edital]],tEditais[Edital],0)),"")</f>
        <v>46309.332638888889</v>
      </c>
      <c r="J8005" t="str">
        <f>IFERROR(INDEX(tProdutos[Classe],MATCH(tItens[[#This Row],[Produto]],tProdutos[Produto],0)),"produto não cadastrado")</f>
        <v>FORA</v>
      </c>
      <c r="K8005" s="12">
        <f>tItens[[#This Row],[Qtd]]*tItens[[#This Row],[Vlr unit]]</f>
        <v>34335.599999999999</v>
      </c>
      <c r="L8005" s="6">
        <f>IFERROR(IF(INDEX(tProdutos[Desconto homologado],MATCH(tItens[[#This Row],[Produto]],tProdutos[Produto],0))="",DescontoPadrao,INDEX(tProdutos[Desconto homologado],MATCH(tItens[[#This Row],[Produto]],tProdutos[Produto],0))),DescontoPadrao)</f>
        <v>0.24924924924924899</v>
      </c>
      <c r="M8005" s="12">
        <f>tItens[[#This Row],[Valor]]*(1-tItens[[#This Row],[Desconto]])</f>
        <v>25777.477477477485</v>
      </c>
      <c r="N8005" t="str">
        <f>IFERROR(INDEX(tProdutos[Foco],MATCH(tItens[[#This Row],[Produto]],tProdutos[Produto],0)),"Não")</f>
        <v>Não</v>
      </c>
      <c r="O8005" t="str">
        <f>IFERROR(INDEX(tEditais[SRP],MATCH(tItens[[#This Row],[Edital]],tEditais[Edital],0)),"Não")</f>
        <v>Sim</v>
      </c>
      <c r="P8005" s="4">
        <f>IF(COUNTIFS(INDEX(tItens[Edital],1):tItens[[#This Row],[Edital]],tItens[[#This Row],[Edital]],INDEX(tItens[Produto],1):tItens[[#This Row],[Produto]],tItens[[#This Row],[Produto]])=1,1,0)</f>
        <v>0</v>
      </c>
    </row>
    <row r="8006" spans="1:16" x14ac:dyDescent="0.25">
      <c r="A8006" t="s">
        <v>2644</v>
      </c>
      <c r="B8006">
        <v>132</v>
      </c>
      <c r="C8006" t="s">
        <v>10501</v>
      </c>
      <c r="D8006" t="s">
        <v>277</v>
      </c>
      <c r="E8006" s="13">
        <v>1300</v>
      </c>
      <c r="F8006" s="12">
        <v>7.17</v>
      </c>
      <c r="G8006" t="str">
        <f>IFERROR(INDEX(tEditais[Órgão],MATCH(tItens[[#This Row],[Edital]],tEditais[Edital],0)),"")</f>
        <v>CONSORCIO INTEGRADO DE GESTAO PUBLICA DO ENTRE RIOS - CIGAMERIOS</v>
      </c>
      <c r="H8006" t="str">
        <f>IFERROR(INDEX(tEditais[UF],MATCH(tItens[[#This Row],[Edital]],tEditais[Edital],0)),"")</f>
        <v>SC</v>
      </c>
      <c r="I8006" s="11">
        <f>IFERROR(INDEX(tEditais[Encerramento],MATCH(tItens[[#This Row],[Edital]],tEditais[Edital],0)),"")</f>
        <v>46309.332638888889</v>
      </c>
      <c r="J8006" t="str">
        <f>IFERROR(INDEX(tProdutos[Classe],MATCH(tItens[[#This Row],[Produto]],tProdutos[Produto],0)),"produto não cadastrado")</f>
        <v>DISPUTADO</v>
      </c>
      <c r="K8006" s="12">
        <f>tItens[[#This Row],[Qtd]]*tItens[[#This Row],[Vlr unit]]</f>
        <v>9321</v>
      </c>
      <c r="L8006" s="6">
        <f>IFERROR(IF(INDEX(tProdutos[Desconto homologado],MATCH(tItens[[#This Row],[Produto]],tProdutos[Produto],0))="",DescontoPadrao,INDEX(tProdutos[Desconto homologado],MATCH(tItens[[#This Row],[Produto]],tProdutos[Produto],0))),DescontoPadrao)</f>
        <v>0.50460666194188497</v>
      </c>
      <c r="M8006" s="12">
        <f>tItens[[#This Row],[Valor]]*(1-tItens[[#This Row],[Desconto]])</f>
        <v>4617.5613040396902</v>
      </c>
      <c r="N8006" t="str">
        <f>IFERROR(INDEX(tProdutos[Foco],MATCH(tItens[[#This Row],[Produto]],tProdutos[Produto],0)),"Não")</f>
        <v>Não</v>
      </c>
      <c r="O8006" t="str">
        <f>IFERROR(INDEX(tEditais[SRP],MATCH(tItens[[#This Row],[Edital]],tEditais[Edital],0)),"Não")</f>
        <v>Sim</v>
      </c>
      <c r="P8006" s="4">
        <f>IF(COUNTIFS(INDEX(tItens[Edital],1):tItens[[#This Row],[Edital]],tItens[[#This Row],[Edital]],INDEX(tItens[Produto],1):tItens[[#This Row],[Produto]],tItens[[#This Row],[Produto]])=1,1,0)</f>
        <v>1</v>
      </c>
    </row>
    <row r="8007" spans="1:16" x14ac:dyDescent="0.25">
      <c r="A8007" t="s">
        <v>2644</v>
      </c>
      <c r="B8007">
        <v>138</v>
      </c>
      <c r="C8007" t="s">
        <v>10502</v>
      </c>
      <c r="D8007" t="s">
        <v>329</v>
      </c>
      <c r="E8007" s="13">
        <v>2800</v>
      </c>
      <c r="F8007" s="12">
        <v>1.66</v>
      </c>
      <c r="G8007" t="str">
        <f>IFERROR(INDEX(tEditais[Órgão],MATCH(tItens[[#This Row],[Edital]],tEditais[Edital],0)),"")</f>
        <v>CONSORCIO INTEGRADO DE GESTAO PUBLICA DO ENTRE RIOS - CIGAMERIOS</v>
      </c>
      <c r="H8007" t="str">
        <f>IFERROR(INDEX(tEditais[UF],MATCH(tItens[[#This Row],[Edital]],tEditais[Edital],0)),"")</f>
        <v>SC</v>
      </c>
      <c r="I8007" s="11">
        <f>IFERROR(INDEX(tEditais[Encerramento],MATCH(tItens[[#This Row],[Edital]],tEditais[Edital],0)),"")</f>
        <v>46309.332638888889</v>
      </c>
      <c r="J8007" t="str">
        <f>IFERROR(INDEX(tProdutos[Classe],MATCH(tItens[[#This Row],[Produto]],tProdutos[Produto],0)),"produto não cadastrado")</f>
        <v>FORA</v>
      </c>
      <c r="K8007" s="12">
        <f>tItens[[#This Row],[Qtd]]*tItens[[#This Row],[Vlr unit]]</f>
        <v>4648</v>
      </c>
      <c r="L8007" s="6">
        <f>IFERROR(IF(INDEX(tProdutos[Desconto homologado],MATCH(tItens[[#This Row],[Produto]],tProdutos[Produto],0))="",DescontoPadrao,INDEX(tProdutos[Desconto homologado],MATCH(tItens[[#This Row],[Produto]],tProdutos[Produto],0))),DescontoPadrao)</f>
        <v>0.46441781031074703</v>
      </c>
      <c r="M8007" s="12">
        <f>tItens[[#This Row],[Valor]]*(1-tItens[[#This Row],[Desconto]])</f>
        <v>2489.386017675648</v>
      </c>
      <c r="N8007" t="str">
        <f>IFERROR(INDEX(tProdutos[Foco],MATCH(tItens[[#This Row],[Produto]],tProdutos[Produto],0)),"Não")</f>
        <v>Não</v>
      </c>
      <c r="O8007" t="str">
        <f>IFERROR(INDEX(tEditais[SRP],MATCH(tItens[[#This Row],[Edital]],tEditais[Edital],0)),"Não")</f>
        <v>Sim</v>
      </c>
      <c r="P8007" s="4">
        <f>IF(COUNTIFS(INDEX(tItens[Edital],1):tItens[[#This Row],[Edital]],tItens[[#This Row],[Edital]],INDEX(tItens[Produto],1):tItens[[#This Row],[Produto]],tItens[[#This Row],[Produto]])=1,1,0)</f>
        <v>1</v>
      </c>
    </row>
    <row r="8008" spans="1:16" x14ac:dyDescent="0.25">
      <c r="A8008" t="s">
        <v>2644</v>
      </c>
      <c r="B8008">
        <v>139</v>
      </c>
      <c r="C8008" t="s">
        <v>10503</v>
      </c>
      <c r="D8008" t="s">
        <v>329</v>
      </c>
      <c r="E8008" s="13">
        <v>2880</v>
      </c>
      <c r="F8008" s="12">
        <v>1.52</v>
      </c>
      <c r="G8008" t="str">
        <f>IFERROR(INDEX(tEditais[Órgão],MATCH(tItens[[#This Row],[Edital]],tEditais[Edital],0)),"")</f>
        <v>CONSORCIO INTEGRADO DE GESTAO PUBLICA DO ENTRE RIOS - CIGAMERIOS</v>
      </c>
      <c r="H8008" t="str">
        <f>IFERROR(INDEX(tEditais[UF],MATCH(tItens[[#This Row],[Edital]],tEditais[Edital],0)),"")</f>
        <v>SC</v>
      </c>
      <c r="I8008" s="11">
        <f>IFERROR(INDEX(tEditais[Encerramento],MATCH(tItens[[#This Row],[Edital]],tEditais[Edital],0)),"")</f>
        <v>46309.332638888889</v>
      </c>
      <c r="J8008" t="str">
        <f>IFERROR(INDEX(tProdutos[Classe],MATCH(tItens[[#This Row],[Produto]],tProdutos[Produto],0)),"produto não cadastrado")</f>
        <v>FORA</v>
      </c>
      <c r="K8008" s="12">
        <f>tItens[[#This Row],[Qtd]]*tItens[[#This Row],[Vlr unit]]</f>
        <v>4377.6000000000004</v>
      </c>
      <c r="L8008" s="6">
        <f>IFERROR(IF(INDEX(tProdutos[Desconto homologado],MATCH(tItens[[#This Row],[Produto]],tProdutos[Produto],0))="",DescontoPadrao,INDEX(tProdutos[Desconto homologado],MATCH(tItens[[#This Row],[Produto]],tProdutos[Produto],0))),DescontoPadrao)</f>
        <v>0.46441781031074703</v>
      </c>
      <c r="M8008" s="12">
        <f>tItens[[#This Row],[Valor]]*(1-tItens[[#This Row],[Desconto]])</f>
        <v>2344.5645935836742</v>
      </c>
      <c r="N8008" t="str">
        <f>IFERROR(INDEX(tProdutos[Foco],MATCH(tItens[[#This Row],[Produto]],tProdutos[Produto],0)),"Não")</f>
        <v>Não</v>
      </c>
      <c r="O8008" t="str">
        <f>IFERROR(INDEX(tEditais[SRP],MATCH(tItens[[#This Row],[Edital]],tEditais[Edital],0)),"Não")</f>
        <v>Sim</v>
      </c>
      <c r="P8008" s="4">
        <f>IF(COUNTIFS(INDEX(tItens[Edital],1):tItens[[#This Row],[Edital]],tItens[[#This Row],[Edital]],INDEX(tItens[Produto],1):tItens[[#This Row],[Produto]],tItens[[#This Row],[Produto]])=1,1,0)</f>
        <v>0</v>
      </c>
    </row>
    <row r="8009" spans="1:16" x14ac:dyDescent="0.25">
      <c r="A8009" t="s">
        <v>2644</v>
      </c>
      <c r="B8009">
        <v>140</v>
      </c>
      <c r="C8009" t="s">
        <v>10504</v>
      </c>
      <c r="D8009" t="s">
        <v>335</v>
      </c>
      <c r="E8009" s="13">
        <v>3090</v>
      </c>
      <c r="F8009" s="12">
        <v>4.4000000000000004</v>
      </c>
      <c r="G8009" t="str">
        <f>IFERROR(INDEX(tEditais[Órgão],MATCH(tItens[[#This Row],[Edital]],tEditais[Edital],0)),"")</f>
        <v>CONSORCIO INTEGRADO DE GESTAO PUBLICA DO ENTRE RIOS - CIGAMERIOS</v>
      </c>
      <c r="H8009" t="str">
        <f>IFERROR(INDEX(tEditais[UF],MATCH(tItens[[#This Row],[Edital]],tEditais[Edital],0)),"")</f>
        <v>SC</v>
      </c>
      <c r="I8009" s="11">
        <f>IFERROR(INDEX(tEditais[Encerramento],MATCH(tItens[[#This Row],[Edital]],tEditais[Edital],0)),"")</f>
        <v>46309.332638888889</v>
      </c>
      <c r="J8009" t="str">
        <f>IFERROR(INDEX(tProdutos[Classe],MATCH(tItens[[#This Row],[Produto]],tProdutos[Produto],0)),"produto não cadastrado")</f>
        <v>FORA</v>
      </c>
      <c r="K8009" s="12">
        <f>tItens[[#This Row],[Qtd]]*tItens[[#This Row],[Vlr unit]]</f>
        <v>13596.000000000002</v>
      </c>
      <c r="L8009" s="6">
        <f>IFERROR(IF(INDEX(tProdutos[Desconto homologado],MATCH(tItens[[#This Row],[Produto]],tProdutos[Produto],0))="",DescontoPadrao,INDEX(tProdutos[Desconto homologado],MATCH(tItens[[#This Row],[Produto]],tProdutos[Produto],0))),DescontoPadrao)</f>
        <v>0.419047619047619</v>
      </c>
      <c r="M8009" s="12">
        <f>tItens[[#This Row],[Valor]]*(1-tItens[[#This Row],[Desconto]])</f>
        <v>7898.6285714285732</v>
      </c>
      <c r="N8009" t="str">
        <f>IFERROR(INDEX(tProdutos[Foco],MATCH(tItens[[#This Row],[Produto]],tProdutos[Produto],0)),"Não")</f>
        <v>Não</v>
      </c>
      <c r="O8009" t="str">
        <f>IFERROR(INDEX(tEditais[SRP],MATCH(tItens[[#This Row],[Edital]],tEditais[Edital],0)),"Não")</f>
        <v>Sim</v>
      </c>
      <c r="P8009" s="4">
        <f>IF(COUNTIFS(INDEX(tItens[Edital],1):tItens[[#This Row],[Edital]],tItens[[#This Row],[Edital]],INDEX(tItens[Produto],1):tItens[[#This Row],[Produto]],tItens[[#This Row],[Produto]])=1,1,0)</f>
        <v>1</v>
      </c>
    </row>
    <row r="8010" spans="1:16" x14ac:dyDescent="0.25">
      <c r="A8010" t="s">
        <v>2644</v>
      </c>
      <c r="B8010">
        <v>141</v>
      </c>
      <c r="C8010" t="s">
        <v>10505</v>
      </c>
      <c r="D8010" t="s">
        <v>335</v>
      </c>
      <c r="E8010" s="13">
        <v>2880</v>
      </c>
      <c r="F8010" s="12">
        <v>1.3</v>
      </c>
      <c r="G8010" t="str">
        <f>IFERROR(INDEX(tEditais[Órgão],MATCH(tItens[[#This Row],[Edital]],tEditais[Edital],0)),"")</f>
        <v>CONSORCIO INTEGRADO DE GESTAO PUBLICA DO ENTRE RIOS - CIGAMERIOS</v>
      </c>
      <c r="H8010" t="str">
        <f>IFERROR(INDEX(tEditais[UF],MATCH(tItens[[#This Row],[Edital]],tEditais[Edital],0)),"")</f>
        <v>SC</v>
      </c>
      <c r="I8010" s="11">
        <f>IFERROR(INDEX(tEditais[Encerramento],MATCH(tItens[[#This Row],[Edital]],tEditais[Edital],0)),"")</f>
        <v>46309.332638888889</v>
      </c>
      <c r="J8010" t="str">
        <f>IFERROR(INDEX(tProdutos[Classe],MATCH(tItens[[#This Row],[Produto]],tProdutos[Produto],0)),"produto não cadastrado")</f>
        <v>FORA</v>
      </c>
      <c r="K8010" s="12">
        <f>tItens[[#This Row],[Qtd]]*tItens[[#This Row],[Vlr unit]]</f>
        <v>3744</v>
      </c>
      <c r="L8010" s="6">
        <f>IFERROR(IF(INDEX(tProdutos[Desconto homologado],MATCH(tItens[[#This Row],[Produto]],tProdutos[Produto],0))="",DescontoPadrao,INDEX(tProdutos[Desconto homologado],MATCH(tItens[[#This Row],[Produto]],tProdutos[Produto],0))),DescontoPadrao)</f>
        <v>0.419047619047619</v>
      </c>
      <c r="M8010" s="12">
        <f>tItens[[#This Row],[Valor]]*(1-tItens[[#This Row],[Desconto]])</f>
        <v>2175.0857142857144</v>
      </c>
      <c r="N8010" t="str">
        <f>IFERROR(INDEX(tProdutos[Foco],MATCH(tItens[[#This Row],[Produto]],tProdutos[Produto],0)),"Não")</f>
        <v>Não</v>
      </c>
      <c r="O8010" t="str">
        <f>IFERROR(INDEX(tEditais[SRP],MATCH(tItens[[#This Row],[Edital]],tEditais[Edital],0)),"Não")</f>
        <v>Sim</v>
      </c>
      <c r="P8010" s="4">
        <f>IF(COUNTIFS(INDEX(tItens[Edital],1):tItens[[#This Row],[Edital]],tItens[[#This Row],[Edital]],INDEX(tItens[Produto],1):tItens[[#This Row],[Produto]],tItens[[#This Row],[Produto]])=1,1,0)</f>
        <v>0</v>
      </c>
    </row>
    <row r="8011" spans="1:16" x14ac:dyDescent="0.25">
      <c r="A8011" t="s">
        <v>2644</v>
      </c>
      <c r="B8011">
        <v>142</v>
      </c>
      <c r="C8011" t="s">
        <v>10506</v>
      </c>
      <c r="D8011" t="s">
        <v>365</v>
      </c>
      <c r="E8011" s="13">
        <v>4700</v>
      </c>
      <c r="F8011" s="12">
        <v>1.32</v>
      </c>
      <c r="G8011" t="str">
        <f>IFERROR(INDEX(tEditais[Órgão],MATCH(tItens[[#This Row],[Edital]],tEditais[Edital],0)),"")</f>
        <v>CONSORCIO INTEGRADO DE GESTAO PUBLICA DO ENTRE RIOS - CIGAMERIOS</v>
      </c>
      <c r="H8011" t="str">
        <f>IFERROR(INDEX(tEditais[UF],MATCH(tItens[[#This Row],[Edital]],tEditais[Edital],0)),"")</f>
        <v>SC</v>
      </c>
      <c r="I8011" s="11">
        <f>IFERROR(INDEX(tEditais[Encerramento],MATCH(tItens[[#This Row],[Edital]],tEditais[Edital],0)),"")</f>
        <v>46309.332638888889</v>
      </c>
      <c r="J8011" t="str">
        <f>IFERROR(INDEX(tProdutos[Classe],MATCH(tItens[[#This Row],[Produto]],tProdutos[Produto],0)),"produto não cadastrado")</f>
        <v>FORA</v>
      </c>
      <c r="K8011" s="12">
        <f>tItens[[#This Row],[Qtd]]*tItens[[#This Row],[Vlr unit]]</f>
        <v>6204</v>
      </c>
      <c r="L8011" s="6">
        <f>IFERROR(IF(INDEX(tProdutos[Desconto homologado],MATCH(tItens[[#This Row],[Produto]],tProdutos[Produto],0))="",DescontoPadrao,INDEX(tProdutos[Desconto homologado],MATCH(tItens[[#This Row],[Produto]],tProdutos[Produto],0))),DescontoPadrao)</f>
        <v>0.41120529659182697</v>
      </c>
      <c r="M8011" s="12">
        <f>tItens[[#This Row],[Valor]]*(1-tItens[[#This Row],[Desconto]])</f>
        <v>3652.8823399443058</v>
      </c>
      <c r="N8011" t="str">
        <f>IFERROR(INDEX(tProdutos[Foco],MATCH(tItens[[#This Row],[Produto]],tProdutos[Produto],0)),"Não")</f>
        <v>Não</v>
      </c>
      <c r="O8011" t="str">
        <f>IFERROR(INDEX(tEditais[SRP],MATCH(tItens[[#This Row],[Edital]],tEditais[Edital],0)),"Não")</f>
        <v>Sim</v>
      </c>
      <c r="P8011" s="4">
        <f>IF(COUNTIFS(INDEX(tItens[Edital],1):tItens[[#This Row],[Edital]],tItens[[#This Row],[Edital]],INDEX(tItens[Produto],1):tItens[[#This Row],[Produto]],tItens[[#This Row],[Produto]])=1,1,0)</f>
        <v>1</v>
      </c>
    </row>
    <row r="8012" spans="1:16" x14ac:dyDescent="0.25">
      <c r="A8012" t="s">
        <v>2644</v>
      </c>
      <c r="B8012">
        <v>143</v>
      </c>
      <c r="C8012" t="s">
        <v>10507</v>
      </c>
      <c r="D8012" t="s">
        <v>365</v>
      </c>
      <c r="E8012" s="13">
        <v>5620</v>
      </c>
      <c r="F8012" s="12">
        <v>1.1599999999999999</v>
      </c>
      <c r="G8012" t="str">
        <f>IFERROR(INDEX(tEditais[Órgão],MATCH(tItens[[#This Row],[Edital]],tEditais[Edital],0)),"")</f>
        <v>CONSORCIO INTEGRADO DE GESTAO PUBLICA DO ENTRE RIOS - CIGAMERIOS</v>
      </c>
      <c r="H8012" t="str">
        <f>IFERROR(INDEX(tEditais[UF],MATCH(tItens[[#This Row],[Edital]],tEditais[Edital],0)),"")</f>
        <v>SC</v>
      </c>
      <c r="I8012" s="11">
        <f>IFERROR(INDEX(tEditais[Encerramento],MATCH(tItens[[#This Row],[Edital]],tEditais[Edital],0)),"")</f>
        <v>46309.332638888889</v>
      </c>
      <c r="J8012" t="str">
        <f>IFERROR(INDEX(tProdutos[Classe],MATCH(tItens[[#This Row],[Produto]],tProdutos[Produto],0)),"produto não cadastrado")</f>
        <v>FORA</v>
      </c>
      <c r="K8012" s="12">
        <f>tItens[[#This Row],[Qtd]]*tItens[[#This Row],[Vlr unit]]</f>
        <v>6519.2</v>
      </c>
      <c r="L8012" s="6">
        <f>IFERROR(IF(INDEX(tProdutos[Desconto homologado],MATCH(tItens[[#This Row],[Produto]],tProdutos[Produto],0))="",DescontoPadrao,INDEX(tProdutos[Desconto homologado],MATCH(tItens[[#This Row],[Produto]],tProdutos[Produto],0))),DescontoPadrao)</f>
        <v>0.41120529659182697</v>
      </c>
      <c r="M8012" s="12">
        <f>tItens[[#This Row],[Valor]]*(1-tItens[[#This Row],[Desconto]])</f>
        <v>3838.4704304585616</v>
      </c>
      <c r="N8012" t="str">
        <f>IFERROR(INDEX(tProdutos[Foco],MATCH(tItens[[#This Row],[Produto]],tProdutos[Produto],0)),"Não")</f>
        <v>Não</v>
      </c>
      <c r="O8012" t="str">
        <f>IFERROR(INDEX(tEditais[SRP],MATCH(tItens[[#This Row],[Edital]],tEditais[Edital],0)),"Não")</f>
        <v>Sim</v>
      </c>
      <c r="P8012" s="4">
        <f>IF(COUNTIFS(INDEX(tItens[Edital],1):tItens[[#This Row],[Edital]],tItens[[#This Row],[Edital]],INDEX(tItens[Produto],1):tItens[[#This Row],[Produto]],tItens[[#This Row],[Produto]])=1,1,0)</f>
        <v>0</v>
      </c>
    </row>
    <row r="8013" spans="1:16" x14ac:dyDescent="0.25">
      <c r="A8013" t="s">
        <v>2644</v>
      </c>
      <c r="B8013">
        <v>144</v>
      </c>
      <c r="C8013" t="s">
        <v>10508</v>
      </c>
      <c r="D8013" t="s">
        <v>379</v>
      </c>
      <c r="E8013" s="13">
        <v>22250</v>
      </c>
      <c r="F8013" s="12">
        <v>3.6</v>
      </c>
      <c r="G8013" t="str">
        <f>IFERROR(INDEX(tEditais[Órgão],MATCH(tItens[[#This Row],[Edital]],tEditais[Edital],0)),"")</f>
        <v>CONSORCIO INTEGRADO DE GESTAO PUBLICA DO ENTRE RIOS - CIGAMERIOS</v>
      </c>
      <c r="H8013" t="str">
        <f>IFERROR(INDEX(tEditais[UF],MATCH(tItens[[#This Row],[Edital]],tEditais[Edital],0)),"")</f>
        <v>SC</v>
      </c>
      <c r="I8013" s="11">
        <f>IFERROR(INDEX(tEditais[Encerramento],MATCH(tItens[[#This Row],[Edital]],tEditais[Edital],0)),"")</f>
        <v>46309.332638888889</v>
      </c>
      <c r="J8013" t="str">
        <f>IFERROR(INDEX(tProdutos[Classe],MATCH(tItens[[#This Row],[Produto]],tProdutos[Produto],0)),"produto não cadastrado")</f>
        <v>FORA</v>
      </c>
      <c r="K8013" s="12">
        <f>tItens[[#This Row],[Qtd]]*tItens[[#This Row],[Vlr unit]]</f>
        <v>80100</v>
      </c>
      <c r="L8013" s="6">
        <f>IFERROR(IF(INDEX(tProdutos[Desconto homologado],MATCH(tItens[[#This Row],[Produto]],tProdutos[Produto],0))="",DescontoPadrao,INDEX(tProdutos[Desconto homologado],MATCH(tItens[[#This Row],[Produto]],tProdutos[Produto],0))),DescontoPadrao)</f>
        <v>0.49504950495049499</v>
      </c>
      <c r="M8013" s="12">
        <f>tItens[[#This Row],[Valor]]*(1-tItens[[#This Row],[Desconto]])</f>
        <v>40446.534653465344</v>
      </c>
      <c r="N8013" t="str">
        <f>IFERROR(INDEX(tProdutos[Foco],MATCH(tItens[[#This Row],[Produto]],tProdutos[Produto],0)),"Não")</f>
        <v>Não</v>
      </c>
      <c r="O8013" t="str">
        <f>IFERROR(INDEX(tEditais[SRP],MATCH(tItens[[#This Row],[Edital]],tEditais[Edital],0)),"Não")</f>
        <v>Sim</v>
      </c>
      <c r="P8013" s="4">
        <f>IF(COUNTIFS(INDEX(tItens[Edital],1):tItens[[#This Row],[Edital]],tItens[[#This Row],[Edital]],INDEX(tItens[Produto],1):tItens[[#This Row],[Produto]],tItens[[#This Row],[Produto]])=1,1,0)</f>
        <v>1</v>
      </c>
    </row>
    <row r="8014" spans="1:16" x14ac:dyDescent="0.25">
      <c r="A8014" t="s">
        <v>2644</v>
      </c>
      <c r="B8014">
        <v>145</v>
      </c>
      <c r="C8014" t="s">
        <v>10509</v>
      </c>
      <c r="D8014" t="s">
        <v>379</v>
      </c>
      <c r="E8014" s="13">
        <v>21050</v>
      </c>
      <c r="F8014" s="12">
        <v>0.97</v>
      </c>
      <c r="G8014" t="str">
        <f>IFERROR(INDEX(tEditais[Órgão],MATCH(tItens[[#This Row],[Edital]],tEditais[Edital],0)),"")</f>
        <v>CONSORCIO INTEGRADO DE GESTAO PUBLICA DO ENTRE RIOS - CIGAMERIOS</v>
      </c>
      <c r="H8014" t="str">
        <f>IFERROR(INDEX(tEditais[UF],MATCH(tItens[[#This Row],[Edital]],tEditais[Edital],0)),"")</f>
        <v>SC</v>
      </c>
      <c r="I8014" s="11">
        <f>IFERROR(INDEX(tEditais[Encerramento],MATCH(tItens[[#This Row],[Edital]],tEditais[Edital],0)),"")</f>
        <v>46309.332638888889</v>
      </c>
      <c r="J8014" t="str">
        <f>IFERROR(INDEX(tProdutos[Classe],MATCH(tItens[[#This Row],[Produto]],tProdutos[Produto],0)),"produto não cadastrado")</f>
        <v>FORA</v>
      </c>
      <c r="K8014" s="12">
        <f>tItens[[#This Row],[Qtd]]*tItens[[#This Row],[Vlr unit]]</f>
        <v>20418.5</v>
      </c>
      <c r="L8014" s="6">
        <f>IFERROR(IF(INDEX(tProdutos[Desconto homologado],MATCH(tItens[[#This Row],[Produto]],tProdutos[Produto],0))="",DescontoPadrao,INDEX(tProdutos[Desconto homologado],MATCH(tItens[[#This Row],[Produto]],tProdutos[Produto],0))),DescontoPadrao)</f>
        <v>0.49504950495049499</v>
      </c>
      <c r="M8014" s="12">
        <f>tItens[[#This Row],[Valor]]*(1-tItens[[#This Row],[Desconto]])</f>
        <v>10310.331683168317</v>
      </c>
      <c r="N8014" t="str">
        <f>IFERROR(INDEX(tProdutos[Foco],MATCH(tItens[[#This Row],[Produto]],tProdutos[Produto],0)),"Não")</f>
        <v>Não</v>
      </c>
      <c r="O8014" t="str">
        <f>IFERROR(INDEX(tEditais[SRP],MATCH(tItens[[#This Row],[Edital]],tEditais[Edital],0)),"Não")</f>
        <v>Sim</v>
      </c>
      <c r="P8014" s="4">
        <f>IF(COUNTIFS(INDEX(tItens[Edital],1):tItens[[#This Row],[Edital]],tItens[[#This Row],[Edital]],INDEX(tItens[Produto],1):tItens[[#This Row],[Produto]],tItens[[#This Row],[Produto]])=1,1,0)</f>
        <v>0</v>
      </c>
    </row>
    <row r="8015" spans="1:16" x14ac:dyDescent="0.25">
      <c r="A8015" t="s">
        <v>2644</v>
      </c>
      <c r="B8015">
        <v>146</v>
      </c>
      <c r="C8015" t="s">
        <v>10510</v>
      </c>
      <c r="D8015" t="s">
        <v>247</v>
      </c>
      <c r="E8015" s="13">
        <v>35500</v>
      </c>
      <c r="F8015" s="12">
        <v>4.6100000000000003</v>
      </c>
      <c r="G8015" t="str">
        <f>IFERROR(INDEX(tEditais[Órgão],MATCH(tItens[[#This Row],[Edital]],tEditais[Edital],0)),"")</f>
        <v>CONSORCIO INTEGRADO DE GESTAO PUBLICA DO ENTRE RIOS - CIGAMERIOS</v>
      </c>
      <c r="H8015" t="str">
        <f>IFERROR(INDEX(tEditais[UF],MATCH(tItens[[#This Row],[Edital]],tEditais[Edital],0)),"")</f>
        <v>SC</v>
      </c>
      <c r="I8015" s="11">
        <f>IFERROR(INDEX(tEditais[Encerramento],MATCH(tItens[[#This Row],[Edital]],tEditais[Edital],0)),"")</f>
        <v>46309.332638888889</v>
      </c>
      <c r="J8015" t="str">
        <f>IFERROR(INDEX(tProdutos[Classe],MATCH(tItens[[#This Row],[Produto]],tProdutos[Produto],0)),"produto não cadastrado")</f>
        <v>FORA</v>
      </c>
      <c r="K8015" s="12">
        <f>tItens[[#This Row],[Qtd]]*tItens[[#This Row],[Vlr unit]]</f>
        <v>163655</v>
      </c>
      <c r="L8015" s="6">
        <f>IFERROR(IF(INDEX(tProdutos[Desconto homologado],MATCH(tItens[[#This Row],[Produto]],tProdutos[Produto],0))="",DescontoPadrao,INDEX(tProdutos[Desconto homologado],MATCH(tItens[[#This Row],[Produto]],tProdutos[Produto],0))),DescontoPadrao)</f>
        <v>0.27353256199762999</v>
      </c>
      <c r="M8015" s="12">
        <f>tItens[[#This Row],[Valor]]*(1-tItens[[#This Row],[Desconto]])</f>
        <v>118890.02856627786</v>
      </c>
      <c r="N8015" t="str">
        <f>IFERROR(INDEX(tProdutos[Foco],MATCH(tItens[[#This Row],[Produto]],tProdutos[Produto],0)),"Não")</f>
        <v>Não</v>
      </c>
      <c r="O8015" t="str">
        <f>IFERROR(INDEX(tEditais[SRP],MATCH(tItens[[#This Row],[Edital]],tEditais[Edital],0)),"Não")</f>
        <v>Sim</v>
      </c>
      <c r="P8015" s="4">
        <f>IF(COUNTIFS(INDEX(tItens[Edital],1):tItens[[#This Row],[Edital]],tItens[[#This Row],[Edital]],INDEX(tItens[Produto],1):tItens[[#This Row],[Produto]],tItens[[#This Row],[Produto]])=1,1,0)</f>
        <v>1</v>
      </c>
    </row>
    <row r="8016" spans="1:16" x14ac:dyDescent="0.25">
      <c r="A8016" t="s">
        <v>2644</v>
      </c>
      <c r="B8016">
        <v>147</v>
      </c>
      <c r="C8016" t="s">
        <v>10511</v>
      </c>
      <c r="D8016" t="s">
        <v>247</v>
      </c>
      <c r="E8016" s="13">
        <v>51000</v>
      </c>
      <c r="F8016" s="12">
        <v>1.17</v>
      </c>
      <c r="G8016" t="str">
        <f>IFERROR(INDEX(tEditais[Órgão],MATCH(tItens[[#This Row],[Edital]],tEditais[Edital],0)),"")</f>
        <v>CONSORCIO INTEGRADO DE GESTAO PUBLICA DO ENTRE RIOS - CIGAMERIOS</v>
      </c>
      <c r="H8016" t="str">
        <f>IFERROR(INDEX(tEditais[UF],MATCH(tItens[[#This Row],[Edital]],tEditais[Edital],0)),"")</f>
        <v>SC</v>
      </c>
      <c r="I8016" s="11">
        <f>IFERROR(INDEX(tEditais[Encerramento],MATCH(tItens[[#This Row],[Edital]],tEditais[Edital],0)),"")</f>
        <v>46309.332638888889</v>
      </c>
      <c r="J8016" t="str">
        <f>IFERROR(INDEX(tProdutos[Classe],MATCH(tItens[[#This Row],[Produto]],tProdutos[Produto],0)),"produto não cadastrado")</f>
        <v>FORA</v>
      </c>
      <c r="K8016" s="12">
        <f>tItens[[#This Row],[Qtd]]*tItens[[#This Row],[Vlr unit]]</f>
        <v>59670</v>
      </c>
      <c r="L8016" s="6">
        <f>IFERROR(IF(INDEX(tProdutos[Desconto homologado],MATCH(tItens[[#This Row],[Produto]],tProdutos[Produto],0))="",DescontoPadrao,INDEX(tProdutos[Desconto homologado],MATCH(tItens[[#This Row],[Produto]],tProdutos[Produto],0))),DescontoPadrao)</f>
        <v>0.27353256199762999</v>
      </c>
      <c r="M8016" s="12">
        <f>tItens[[#This Row],[Valor]]*(1-tItens[[#This Row],[Desconto]])</f>
        <v>43348.312025601415</v>
      </c>
      <c r="N8016" t="str">
        <f>IFERROR(INDEX(tProdutos[Foco],MATCH(tItens[[#This Row],[Produto]],tProdutos[Produto],0)),"Não")</f>
        <v>Não</v>
      </c>
      <c r="O8016" t="str">
        <f>IFERROR(INDEX(tEditais[SRP],MATCH(tItens[[#This Row],[Edital]],tEditais[Edital],0)),"Não")</f>
        <v>Sim</v>
      </c>
      <c r="P8016" s="4">
        <f>IF(COUNTIFS(INDEX(tItens[Edital],1):tItens[[#This Row],[Edital]],tItens[[#This Row],[Edital]],INDEX(tItens[Produto],1):tItens[[#This Row],[Produto]],tItens[[#This Row],[Produto]])=1,1,0)</f>
        <v>0</v>
      </c>
    </row>
    <row r="8017" spans="1:16" x14ac:dyDescent="0.25">
      <c r="A8017" t="s">
        <v>2644</v>
      </c>
      <c r="B8017">
        <v>148</v>
      </c>
      <c r="C8017" t="s">
        <v>10512</v>
      </c>
      <c r="D8017" t="s">
        <v>287</v>
      </c>
      <c r="E8017" s="13">
        <v>42200</v>
      </c>
      <c r="F8017" s="12">
        <v>4.4800000000000004</v>
      </c>
      <c r="G8017" t="str">
        <f>IFERROR(INDEX(tEditais[Órgão],MATCH(tItens[[#This Row],[Edital]],tEditais[Edital],0)),"")</f>
        <v>CONSORCIO INTEGRADO DE GESTAO PUBLICA DO ENTRE RIOS - CIGAMERIOS</v>
      </c>
      <c r="H8017" t="str">
        <f>IFERROR(INDEX(tEditais[UF],MATCH(tItens[[#This Row],[Edital]],tEditais[Edital],0)),"")</f>
        <v>SC</v>
      </c>
      <c r="I8017" s="11">
        <f>IFERROR(INDEX(tEditais[Encerramento],MATCH(tItens[[#This Row],[Edital]],tEditais[Edital],0)),"")</f>
        <v>46309.332638888889</v>
      </c>
      <c r="J8017" t="str">
        <f>IFERROR(INDEX(tProdutos[Classe],MATCH(tItens[[#This Row],[Produto]],tProdutos[Produto],0)),"produto não cadastrado")</f>
        <v>FORA</v>
      </c>
      <c r="K8017" s="12">
        <f>tItens[[#This Row],[Qtd]]*tItens[[#This Row],[Vlr unit]]</f>
        <v>189056.00000000003</v>
      </c>
      <c r="L8017" s="6">
        <f>IFERROR(IF(INDEX(tProdutos[Desconto homologado],MATCH(tItens[[#This Row],[Produto]],tProdutos[Produto],0))="",DescontoPadrao,INDEX(tProdutos[Desconto homologado],MATCH(tItens[[#This Row],[Produto]],tProdutos[Produto],0))),DescontoPadrao)</f>
        <v>0.46344491178876002</v>
      </c>
      <c r="M8017" s="12">
        <f>tItens[[#This Row],[Valor]]*(1-tItens[[#This Row],[Desconto]])</f>
        <v>101438.9587568642</v>
      </c>
      <c r="N8017" t="str">
        <f>IFERROR(INDEX(tProdutos[Foco],MATCH(tItens[[#This Row],[Produto]],tProdutos[Produto],0)),"Não")</f>
        <v>Não</v>
      </c>
      <c r="O8017" t="str">
        <f>IFERROR(INDEX(tEditais[SRP],MATCH(tItens[[#This Row],[Edital]],tEditais[Edital],0)),"Não")</f>
        <v>Sim</v>
      </c>
      <c r="P8017" s="4">
        <f>IF(COUNTIFS(INDEX(tItens[Edital],1):tItens[[#This Row],[Edital]],tItens[[#This Row],[Edital]],INDEX(tItens[Produto],1):tItens[[#This Row],[Produto]],tItens[[#This Row],[Produto]])=1,1,0)</f>
        <v>1</v>
      </c>
    </row>
    <row r="8018" spans="1:16" x14ac:dyDescent="0.25">
      <c r="A8018" t="s">
        <v>2644</v>
      </c>
      <c r="B8018">
        <v>149</v>
      </c>
      <c r="C8018" t="s">
        <v>10513</v>
      </c>
      <c r="D8018" t="s">
        <v>287</v>
      </c>
      <c r="E8018" s="13">
        <v>43000</v>
      </c>
      <c r="F8018" s="12">
        <v>0.9</v>
      </c>
      <c r="G8018" t="str">
        <f>IFERROR(INDEX(tEditais[Órgão],MATCH(tItens[[#This Row],[Edital]],tEditais[Edital],0)),"")</f>
        <v>CONSORCIO INTEGRADO DE GESTAO PUBLICA DO ENTRE RIOS - CIGAMERIOS</v>
      </c>
      <c r="H8018" t="str">
        <f>IFERROR(INDEX(tEditais[UF],MATCH(tItens[[#This Row],[Edital]],tEditais[Edital],0)),"")</f>
        <v>SC</v>
      </c>
      <c r="I8018" s="11">
        <f>IFERROR(INDEX(tEditais[Encerramento],MATCH(tItens[[#This Row],[Edital]],tEditais[Edital],0)),"")</f>
        <v>46309.332638888889</v>
      </c>
      <c r="J8018" t="str">
        <f>IFERROR(INDEX(tProdutos[Classe],MATCH(tItens[[#This Row],[Produto]],tProdutos[Produto],0)),"produto não cadastrado")</f>
        <v>FORA</v>
      </c>
      <c r="K8018" s="12">
        <f>tItens[[#This Row],[Qtd]]*tItens[[#This Row],[Vlr unit]]</f>
        <v>38700</v>
      </c>
      <c r="L8018" s="6">
        <f>IFERROR(IF(INDEX(tProdutos[Desconto homologado],MATCH(tItens[[#This Row],[Produto]],tProdutos[Produto],0))="",DescontoPadrao,INDEX(tProdutos[Desconto homologado],MATCH(tItens[[#This Row],[Produto]],tProdutos[Produto],0))),DescontoPadrao)</f>
        <v>0.46344491178876002</v>
      </c>
      <c r="M8018" s="12">
        <f>tItens[[#This Row],[Valor]]*(1-tItens[[#This Row],[Desconto]])</f>
        <v>20764.681913774988</v>
      </c>
      <c r="N8018" t="str">
        <f>IFERROR(INDEX(tProdutos[Foco],MATCH(tItens[[#This Row],[Produto]],tProdutos[Produto],0)),"Não")</f>
        <v>Não</v>
      </c>
      <c r="O8018" t="str">
        <f>IFERROR(INDEX(tEditais[SRP],MATCH(tItens[[#This Row],[Edital]],tEditais[Edital],0)),"Não")</f>
        <v>Sim</v>
      </c>
      <c r="P8018" s="4">
        <f>IF(COUNTIFS(INDEX(tItens[Edital],1):tItens[[#This Row],[Edital]],tItens[[#This Row],[Edital]],INDEX(tItens[Produto],1):tItens[[#This Row],[Produto]],tItens[[#This Row],[Produto]])=1,1,0)</f>
        <v>0</v>
      </c>
    </row>
    <row r="8019" spans="1:16" x14ac:dyDescent="0.25">
      <c r="A8019" t="s">
        <v>2644</v>
      </c>
      <c r="B8019">
        <v>150</v>
      </c>
      <c r="C8019" t="s">
        <v>10514</v>
      </c>
      <c r="D8019" t="s">
        <v>73</v>
      </c>
      <c r="E8019" s="13">
        <v>14300</v>
      </c>
      <c r="F8019" s="12">
        <v>1.19</v>
      </c>
      <c r="G8019" t="str">
        <f>IFERROR(INDEX(tEditais[Órgão],MATCH(tItens[[#This Row],[Edital]],tEditais[Edital],0)),"")</f>
        <v>CONSORCIO INTEGRADO DE GESTAO PUBLICA DO ENTRE RIOS - CIGAMERIOS</v>
      </c>
      <c r="H8019" t="str">
        <f>IFERROR(INDEX(tEditais[UF],MATCH(tItens[[#This Row],[Edital]],tEditais[Edital],0)),"")</f>
        <v>SC</v>
      </c>
      <c r="I8019" s="11">
        <f>IFERROR(INDEX(tEditais[Encerramento],MATCH(tItens[[#This Row],[Edital]],tEditais[Edital],0)),"")</f>
        <v>46309.332638888889</v>
      </c>
      <c r="J8019" t="str">
        <f>IFERROR(INDEX(tProdutos[Classe],MATCH(tItens[[#This Row],[Produto]],tProdutos[Produto],0)),"produto não cadastrado")</f>
        <v>NÚCLEO</v>
      </c>
      <c r="K8019" s="12">
        <f>tItens[[#This Row],[Qtd]]*tItens[[#This Row],[Vlr unit]]</f>
        <v>17017</v>
      </c>
      <c r="L8019" s="6">
        <f>IFERROR(IF(INDEX(tProdutos[Desconto homologado],MATCH(tItens[[#This Row],[Produto]],tProdutos[Produto],0))="",DescontoPadrao,INDEX(tProdutos[Desconto homologado],MATCH(tItens[[#This Row],[Produto]],tProdutos[Produto],0))),DescontoPadrao)</f>
        <v>0.37</v>
      </c>
      <c r="M8019" s="12">
        <f>tItens[[#This Row],[Valor]]*(1-tItens[[#This Row],[Desconto]])</f>
        <v>10720.710000000001</v>
      </c>
      <c r="N8019" t="str">
        <f>IFERROR(INDEX(tProdutos[Foco],MATCH(tItens[[#This Row],[Produto]],tProdutos[Produto],0)),"Não")</f>
        <v>Sim</v>
      </c>
      <c r="O8019" t="str">
        <f>IFERROR(INDEX(tEditais[SRP],MATCH(tItens[[#This Row],[Edital]],tEditais[Edital],0)),"Não")</f>
        <v>Sim</v>
      </c>
      <c r="P8019" s="4">
        <f>IF(COUNTIFS(INDEX(tItens[Edital],1):tItens[[#This Row],[Edital]],tItens[[#This Row],[Edital]],INDEX(tItens[Produto],1):tItens[[#This Row],[Produto]],tItens[[#This Row],[Produto]])=1,1,0)</f>
        <v>1</v>
      </c>
    </row>
    <row r="8020" spans="1:16" x14ac:dyDescent="0.25">
      <c r="A8020" t="s">
        <v>2644</v>
      </c>
      <c r="B8020">
        <v>151</v>
      </c>
      <c r="C8020" t="s">
        <v>10515</v>
      </c>
      <c r="D8020" t="s">
        <v>73</v>
      </c>
      <c r="E8020" s="13">
        <v>8920</v>
      </c>
      <c r="F8020" s="12">
        <v>1.55</v>
      </c>
      <c r="G8020" t="str">
        <f>IFERROR(INDEX(tEditais[Órgão],MATCH(tItens[[#This Row],[Edital]],tEditais[Edital],0)),"")</f>
        <v>CONSORCIO INTEGRADO DE GESTAO PUBLICA DO ENTRE RIOS - CIGAMERIOS</v>
      </c>
      <c r="H8020" t="str">
        <f>IFERROR(INDEX(tEditais[UF],MATCH(tItens[[#This Row],[Edital]],tEditais[Edital],0)),"")</f>
        <v>SC</v>
      </c>
      <c r="I8020" s="11">
        <f>IFERROR(INDEX(tEditais[Encerramento],MATCH(tItens[[#This Row],[Edital]],tEditais[Edital],0)),"")</f>
        <v>46309.332638888889</v>
      </c>
      <c r="J8020" t="str">
        <f>IFERROR(INDEX(tProdutos[Classe],MATCH(tItens[[#This Row],[Produto]],tProdutos[Produto],0)),"produto não cadastrado")</f>
        <v>NÚCLEO</v>
      </c>
      <c r="K8020" s="12">
        <f>tItens[[#This Row],[Qtd]]*tItens[[#This Row],[Vlr unit]]</f>
        <v>13826</v>
      </c>
      <c r="L8020" s="6">
        <f>IFERROR(IF(INDEX(tProdutos[Desconto homologado],MATCH(tItens[[#This Row],[Produto]],tProdutos[Produto],0))="",DescontoPadrao,INDEX(tProdutos[Desconto homologado],MATCH(tItens[[#This Row],[Produto]],tProdutos[Produto],0))),DescontoPadrao)</f>
        <v>0.37</v>
      </c>
      <c r="M8020" s="12">
        <f>tItens[[#This Row],[Valor]]*(1-tItens[[#This Row],[Desconto]])</f>
        <v>8710.3799999999992</v>
      </c>
      <c r="N8020" t="str">
        <f>IFERROR(INDEX(tProdutos[Foco],MATCH(tItens[[#This Row],[Produto]],tProdutos[Produto],0)),"Não")</f>
        <v>Sim</v>
      </c>
      <c r="O8020" t="str">
        <f>IFERROR(INDEX(tEditais[SRP],MATCH(tItens[[#This Row],[Edital]],tEditais[Edital],0)),"Não")</f>
        <v>Sim</v>
      </c>
      <c r="P8020" s="4">
        <f>IF(COUNTIFS(INDEX(tItens[Edital],1):tItens[[#This Row],[Edital]],tItens[[#This Row],[Edital]],INDEX(tItens[Produto],1):tItens[[#This Row],[Produto]],tItens[[#This Row],[Produto]])=1,1,0)</f>
        <v>0</v>
      </c>
    </row>
    <row r="8021" spans="1:16" x14ac:dyDescent="0.25">
      <c r="A8021" t="s">
        <v>2644</v>
      </c>
      <c r="B8021">
        <v>184</v>
      </c>
      <c r="C8021" t="s">
        <v>10516</v>
      </c>
      <c r="D8021" t="s">
        <v>80</v>
      </c>
      <c r="E8021" s="13">
        <v>882</v>
      </c>
      <c r="F8021" s="12">
        <v>1.07</v>
      </c>
      <c r="G8021" t="str">
        <f>IFERROR(INDEX(tEditais[Órgão],MATCH(tItens[[#This Row],[Edital]],tEditais[Edital],0)),"")</f>
        <v>CONSORCIO INTEGRADO DE GESTAO PUBLICA DO ENTRE RIOS - CIGAMERIOS</v>
      </c>
      <c r="H8021" t="str">
        <f>IFERROR(INDEX(tEditais[UF],MATCH(tItens[[#This Row],[Edital]],tEditais[Edital],0)),"")</f>
        <v>SC</v>
      </c>
      <c r="I8021" s="11">
        <f>IFERROR(INDEX(tEditais[Encerramento],MATCH(tItens[[#This Row],[Edital]],tEditais[Edital],0)),"")</f>
        <v>46309.332638888889</v>
      </c>
      <c r="J8021" t="str">
        <f>IFERROR(INDEX(tProdutos[Classe],MATCH(tItens[[#This Row],[Produto]],tProdutos[Produto],0)),"produto não cadastrado")</f>
        <v>NÚCLEO</v>
      </c>
      <c r="K8021" s="12">
        <f>tItens[[#This Row],[Qtd]]*tItens[[#This Row],[Vlr unit]]</f>
        <v>943.74</v>
      </c>
      <c r="L8021" s="6">
        <f>IFERROR(IF(INDEX(tProdutos[Desconto homologado],MATCH(tItens[[#This Row],[Produto]],tProdutos[Produto],0))="",DescontoPadrao,INDEX(tProdutos[Desconto homologado],MATCH(tItens[[#This Row],[Produto]],tProdutos[Produto],0))),DescontoPadrao)</f>
        <v>0.33</v>
      </c>
      <c r="M8021" s="12">
        <f>tItens[[#This Row],[Valor]]*(1-tItens[[#This Row],[Desconto]])</f>
        <v>632.30579999999998</v>
      </c>
      <c r="N8021" t="str">
        <f>IFERROR(INDEX(tProdutos[Foco],MATCH(tItens[[#This Row],[Produto]],tProdutos[Produto],0)),"Não")</f>
        <v>Sim</v>
      </c>
      <c r="O8021" t="str">
        <f>IFERROR(INDEX(tEditais[SRP],MATCH(tItens[[#This Row],[Edital]],tEditais[Edital],0)),"Não")</f>
        <v>Sim</v>
      </c>
      <c r="P8021" s="4">
        <f>IF(COUNTIFS(INDEX(tItens[Edital],1):tItens[[#This Row],[Edital]],tItens[[#This Row],[Edital]],INDEX(tItens[Produto],1):tItens[[#This Row],[Produto]],tItens[[#This Row],[Produto]])=1,1,0)</f>
        <v>1</v>
      </c>
    </row>
    <row r="8022" spans="1:16" x14ac:dyDescent="0.25">
      <c r="A8022" t="s">
        <v>2644</v>
      </c>
      <c r="B8022">
        <v>185</v>
      </c>
      <c r="C8022" t="s">
        <v>10517</v>
      </c>
      <c r="D8022" t="s">
        <v>279</v>
      </c>
      <c r="E8022" s="13">
        <v>1020</v>
      </c>
      <c r="F8022" s="12">
        <v>7.22</v>
      </c>
      <c r="G8022" t="str">
        <f>IFERROR(INDEX(tEditais[Órgão],MATCH(tItens[[#This Row],[Edital]],tEditais[Edital],0)),"")</f>
        <v>CONSORCIO INTEGRADO DE GESTAO PUBLICA DO ENTRE RIOS - CIGAMERIOS</v>
      </c>
      <c r="H8022" t="str">
        <f>IFERROR(INDEX(tEditais[UF],MATCH(tItens[[#This Row],[Edital]],tEditais[Edital],0)),"")</f>
        <v>SC</v>
      </c>
      <c r="I8022" s="11">
        <f>IFERROR(INDEX(tEditais[Encerramento],MATCH(tItens[[#This Row],[Edital]],tEditais[Edital],0)),"")</f>
        <v>46309.332638888889</v>
      </c>
      <c r="J8022" t="str">
        <f>IFERROR(INDEX(tProdutos[Classe],MATCH(tItens[[#This Row],[Produto]],tProdutos[Produto],0)),"produto não cadastrado")</f>
        <v>FORA</v>
      </c>
      <c r="K8022" s="12">
        <f>tItens[[#This Row],[Qtd]]*tItens[[#This Row],[Vlr unit]]</f>
        <v>7364.4</v>
      </c>
      <c r="L8022" s="6">
        <f>IFERROR(IF(INDEX(tProdutos[Desconto homologado],MATCH(tItens[[#This Row],[Produto]],tProdutos[Produto],0))="",DescontoPadrao,INDEX(tProdutos[Desconto homologado],MATCH(tItens[[#This Row],[Produto]],tProdutos[Produto],0))),DescontoPadrao)</f>
        <v>0.28909090909090901</v>
      </c>
      <c r="M8022" s="12">
        <f>tItens[[#This Row],[Valor]]*(1-tItens[[#This Row],[Desconto]])</f>
        <v>5235.4189090909094</v>
      </c>
      <c r="N8022" t="str">
        <f>IFERROR(INDEX(tProdutos[Foco],MATCH(tItens[[#This Row],[Produto]],tProdutos[Produto],0)),"Não")</f>
        <v>Não</v>
      </c>
      <c r="O8022" t="str">
        <f>IFERROR(INDEX(tEditais[SRP],MATCH(tItens[[#This Row],[Edital]],tEditais[Edital],0)),"Não")</f>
        <v>Sim</v>
      </c>
      <c r="P8022" s="4">
        <f>IF(COUNTIFS(INDEX(tItens[Edital],1):tItens[[#This Row],[Edital]],tItens[[#This Row],[Edital]],INDEX(tItens[Produto],1):tItens[[#This Row],[Produto]],tItens[[#This Row],[Produto]])=1,1,0)</f>
        <v>1</v>
      </c>
    </row>
    <row r="8023" spans="1:16" x14ac:dyDescent="0.25">
      <c r="A8023" t="s">
        <v>2644</v>
      </c>
      <c r="B8023">
        <v>186</v>
      </c>
      <c r="C8023" t="s">
        <v>10518</v>
      </c>
      <c r="D8023" t="s">
        <v>311</v>
      </c>
      <c r="E8023" s="13">
        <v>455</v>
      </c>
      <c r="F8023" s="12">
        <v>4.3899999999999997</v>
      </c>
      <c r="G8023" t="str">
        <f>IFERROR(INDEX(tEditais[Órgão],MATCH(tItens[[#This Row],[Edital]],tEditais[Edital],0)),"")</f>
        <v>CONSORCIO INTEGRADO DE GESTAO PUBLICA DO ENTRE RIOS - CIGAMERIOS</v>
      </c>
      <c r="H8023" t="str">
        <f>IFERROR(INDEX(tEditais[UF],MATCH(tItens[[#This Row],[Edital]],tEditais[Edital],0)),"")</f>
        <v>SC</v>
      </c>
      <c r="I8023" s="11">
        <f>IFERROR(INDEX(tEditais[Encerramento],MATCH(tItens[[#This Row],[Edital]],tEditais[Edital],0)),"")</f>
        <v>46309.332638888889</v>
      </c>
      <c r="J8023" t="str">
        <f>IFERROR(INDEX(tProdutos[Classe],MATCH(tItens[[#This Row],[Produto]],tProdutos[Produto],0)),"produto não cadastrado")</f>
        <v>FORA</v>
      </c>
      <c r="K8023" s="12">
        <f>tItens[[#This Row],[Qtd]]*tItens[[#This Row],[Vlr unit]]</f>
        <v>1997.4499999999998</v>
      </c>
      <c r="L8023" s="6">
        <f>IFERROR(IF(INDEX(tProdutos[Desconto homologado],MATCH(tItens[[#This Row],[Produto]],tProdutos[Produto],0))="",DescontoPadrao,INDEX(tProdutos[Desconto homologado],MATCH(tItens[[#This Row],[Produto]],tProdutos[Produto],0))),DescontoPadrao)</f>
        <v>0.29046182846371399</v>
      </c>
      <c r="M8023" s="12">
        <f>tItens[[#This Row],[Valor]]*(1-tItens[[#This Row],[Desconto]])</f>
        <v>1417.2670207351546</v>
      </c>
      <c r="N8023" t="str">
        <f>IFERROR(INDEX(tProdutos[Foco],MATCH(tItens[[#This Row],[Produto]],tProdutos[Produto],0)),"Não")</f>
        <v>Não</v>
      </c>
      <c r="O8023" t="str">
        <f>IFERROR(INDEX(tEditais[SRP],MATCH(tItens[[#This Row],[Edital]],tEditais[Edital],0)),"Não")</f>
        <v>Sim</v>
      </c>
      <c r="P8023" s="4">
        <f>IF(COUNTIFS(INDEX(tItens[Edital],1):tItens[[#This Row],[Edital]],tItens[[#This Row],[Edital]],INDEX(tItens[Produto],1):tItens[[#This Row],[Produto]],tItens[[#This Row],[Produto]])=1,1,0)</f>
        <v>0</v>
      </c>
    </row>
    <row r="8024" spans="1:16" x14ac:dyDescent="0.25">
      <c r="A8024" t="s">
        <v>2644</v>
      </c>
      <c r="B8024">
        <v>187</v>
      </c>
      <c r="C8024" t="s">
        <v>10519</v>
      </c>
      <c r="D8024" t="s">
        <v>311</v>
      </c>
      <c r="E8024" s="13">
        <v>1740</v>
      </c>
      <c r="F8024" s="12">
        <v>8.56</v>
      </c>
      <c r="G8024" t="str">
        <f>IFERROR(INDEX(tEditais[Órgão],MATCH(tItens[[#This Row],[Edital]],tEditais[Edital],0)),"")</f>
        <v>CONSORCIO INTEGRADO DE GESTAO PUBLICA DO ENTRE RIOS - CIGAMERIOS</v>
      </c>
      <c r="H8024" t="str">
        <f>IFERROR(INDEX(tEditais[UF],MATCH(tItens[[#This Row],[Edital]],tEditais[Edital],0)),"")</f>
        <v>SC</v>
      </c>
      <c r="I8024" s="11">
        <f>IFERROR(INDEX(tEditais[Encerramento],MATCH(tItens[[#This Row],[Edital]],tEditais[Edital],0)),"")</f>
        <v>46309.332638888889</v>
      </c>
      <c r="J8024" t="str">
        <f>IFERROR(INDEX(tProdutos[Classe],MATCH(tItens[[#This Row],[Produto]],tProdutos[Produto],0)),"produto não cadastrado")</f>
        <v>FORA</v>
      </c>
      <c r="K8024" s="12">
        <f>tItens[[#This Row],[Qtd]]*tItens[[#This Row],[Vlr unit]]</f>
        <v>14894.400000000001</v>
      </c>
      <c r="L8024" s="6">
        <f>IFERROR(IF(INDEX(tProdutos[Desconto homologado],MATCH(tItens[[#This Row],[Produto]],tProdutos[Produto],0))="",DescontoPadrao,INDEX(tProdutos[Desconto homologado],MATCH(tItens[[#This Row],[Produto]],tProdutos[Produto],0))),DescontoPadrao)</f>
        <v>0.29046182846371399</v>
      </c>
      <c r="M8024" s="12">
        <f>tItens[[#This Row],[Valor]]*(1-tItens[[#This Row],[Desconto]])</f>
        <v>10568.145342130059</v>
      </c>
      <c r="N8024" t="str">
        <f>IFERROR(INDEX(tProdutos[Foco],MATCH(tItens[[#This Row],[Produto]],tProdutos[Produto],0)),"Não")</f>
        <v>Não</v>
      </c>
      <c r="O8024" t="str">
        <f>IFERROR(INDEX(tEditais[SRP],MATCH(tItens[[#This Row],[Edital]],tEditais[Edital],0)),"Não")</f>
        <v>Sim</v>
      </c>
      <c r="P8024" s="4">
        <f>IF(COUNTIFS(INDEX(tItens[Edital],1):tItens[[#This Row],[Edital]],tItens[[#This Row],[Edital]],INDEX(tItens[Produto],1):tItens[[#This Row],[Produto]],tItens[[#This Row],[Produto]])=1,1,0)</f>
        <v>0</v>
      </c>
    </row>
    <row r="8025" spans="1:16" x14ac:dyDescent="0.25">
      <c r="A8025" t="s">
        <v>2644</v>
      </c>
      <c r="B8025">
        <v>188</v>
      </c>
      <c r="C8025" t="s">
        <v>10520</v>
      </c>
      <c r="D8025" t="s">
        <v>349</v>
      </c>
      <c r="E8025" s="13">
        <v>10710</v>
      </c>
      <c r="F8025" s="12">
        <v>5.48</v>
      </c>
      <c r="G8025" t="str">
        <f>IFERROR(INDEX(tEditais[Órgão],MATCH(tItens[[#This Row],[Edital]],tEditais[Edital],0)),"")</f>
        <v>CONSORCIO INTEGRADO DE GESTAO PUBLICA DO ENTRE RIOS - CIGAMERIOS</v>
      </c>
      <c r="H8025" t="str">
        <f>IFERROR(INDEX(tEditais[UF],MATCH(tItens[[#This Row],[Edital]],tEditais[Edital],0)),"")</f>
        <v>SC</v>
      </c>
      <c r="I8025" s="11">
        <f>IFERROR(INDEX(tEditais[Encerramento],MATCH(tItens[[#This Row],[Edital]],tEditais[Edital],0)),"")</f>
        <v>46309.332638888889</v>
      </c>
      <c r="J8025" t="str">
        <f>IFERROR(INDEX(tProdutos[Classe],MATCH(tItens[[#This Row],[Produto]],tProdutos[Produto],0)),"produto não cadastrado")</f>
        <v>FORA</v>
      </c>
      <c r="K8025" s="12">
        <f>tItens[[#This Row],[Qtd]]*tItens[[#This Row],[Vlr unit]]</f>
        <v>58690.8</v>
      </c>
      <c r="L8025" s="6">
        <f>IFERROR(IF(INDEX(tProdutos[Desconto homologado],MATCH(tItens[[#This Row],[Produto]],tProdutos[Produto],0))="",DescontoPadrao,INDEX(tProdutos[Desconto homologado],MATCH(tItens[[#This Row],[Produto]],tProdutos[Produto],0))),DescontoPadrao)</f>
        <v>0.38826228254635797</v>
      </c>
      <c r="M8025" s="12">
        <f>tItens[[#This Row],[Valor]]*(1-tItens[[#This Row],[Desconto]])</f>
        <v>35903.376027528218</v>
      </c>
      <c r="N8025" t="str">
        <f>IFERROR(INDEX(tProdutos[Foco],MATCH(tItens[[#This Row],[Produto]],tProdutos[Produto],0)),"Não")</f>
        <v>Não</v>
      </c>
      <c r="O8025" t="str">
        <f>IFERROR(INDEX(tEditais[SRP],MATCH(tItens[[#This Row],[Edital]],tEditais[Edital],0)),"Não")</f>
        <v>Sim</v>
      </c>
      <c r="P8025" s="4">
        <f>IF(COUNTIFS(INDEX(tItens[Edital],1):tItens[[#This Row],[Edital]],tItens[[#This Row],[Edital]],INDEX(tItens[Produto],1):tItens[[#This Row],[Produto]],tItens[[#This Row],[Produto]])=1,1,0)</f>
        <v>1</v>
      </c>
    </row>
    <row r="8026" spans="1:16" x14ac:dyDescent="0.25">
      <c r="A8026" t="s">
        <v>2644</v>
      </c>
      <c r="B8026">
        <v>189</v>
      </c>
      <c r="C8026" t="s">
        <v>10521</v>
      </c>
      <c r="D8026" t="s">
        <v>279</v>
      </c>
      <c r="E8026" s="13">
        <v>485</v>
      </c>
      <c r="F8026" s="12">
        <v>5.37</v>
      </c>
      <c r="G8026" t="str">
        <f>IFERROR(INDEX(tEditais[Órgão],MATCH(tItens[[#This Row],[Edital]],tEditais[Edital],0)),"")</f>
        <v>CONSORCIO INTEGRADO DE GESTAO PUBLICA DO ENTRE RIOS - CIGAMERIOS</v>
      </c>
      <c r="H8026" t="str">
        <f>IFERROR(INDEX(tEditais[UF],MATCH(tItens[[#This Row],[Edital]],tEditais[Edital],0)),"")</f>
        <v>SC</v>
      </c>
      <c r="I8026" s="11">
        <f>IFERROR(INDEX(tEditais[Encerramento],MATCH(tItens[[#This Row],[Edital]],tEditais[Edital],0)),"")</f>
        <v>46309.332638888889</v>
      </c>
      <c r="J8026" t="str">
        <f>IFERROR(INDEX(tProdutos[Classe],MATCH(tItens[[#This Row],[Produto]],tProdutos[Produto],0)),"produto não cadastrado")</f>
        <v>FORA</v>
      </c>
      <c r="K8026" s="12">
        <f>tItens[[#This Row],[Qtd]]*tItens[[#This Row],[Vlr unit]]</f>
        <v>2604.4500000000003</v>
      </c>
      <c r="L8026" s="6">
        <f>IFERROR(IF(INDEX(tProdutos[Desconto homologado],MATCH(tItens[[#This Row],[Produto]],tProdutos[Produto],0))="",DescontoPadrao,INDEX(tProdutos[Desconto homologado],MATCH(tItens[[#This Row],[Produto]],tProdutos[Produto],0))),DescontoPadrao)</f>
        <v>0.28909090909090901</v>
      </c>
      <c r="M8026" s="12">
        <f>tItens[[#This Row],[Valor]]*(1-tItens[[#This Row],[Desconto]])</f>
        <v>1851.527181818182</v>
      </c>
      <c r="N8026" t="str">
        <f>IFERROR(INDEX(tProdutos[Foco],MATCH(tItens[[#This Row],[Produto]],tProdutos[Produto],0)),"Não")</f>
        <v>Não</v>
      </c>
      <c r="O8026" t="str">
        <f>IFERROR(INDEX(tEditais[SRP],MATCH(tItens[[#This Row],[Edital]],tEditais[Edital],0)),"Não")</f>
        <v>Sim</v>
      </c>
      <c r="P8026" s="4">
        <f>IF(COUNTIFS(INDEX(tItens[Edital],1):tItens[[#This Row],[Edital]],tItens[[#This Row],[Edital]],INDEX(tItens[Produto],1):tItens[[#This Row],[Produto]],tItens[[#This Row],[Produto]])=1,1,0)</f>
        <v>0</v>
      </c>
    </row>
    <row r="8027" spans="1:16" x14ac:dyDescent="0.25">
      <c r="A8027" t="s">
        <v>2644</v>
      </c>
      <c r="B8027">
        <v>190</v>
      </c>
      <c r="C8027" t="s">
        <v>10522</v>
      </c>
      <c r="D8027" t="s">
        <v>611</v>
      </c>
      <c r="E8027" s="13">
        <v>124</v>
      </c>
      <c r="F8027" s="12">
        <v>184.68</v>
      </c>
      <c r="G8027" t="str">
        <f>IFERROR(INDEX(tEditais[Órgão],MATCH(tItens[[#This Row],[Edital]],tEditais[Edital],0)),"")</f>
        <v>CONSORCIO INTEGRADO DE GESTAO PUBLICA DO ENTRE RIOS - CIGAMERIOS</v>
      </c>
      <c r="H8027" t="str">
        <f>IFERROR(INDEX(tEditais[UF],MATCH(tItens[[#This Row],[Edital]],tEditais[Edital],0)),"")</f>
        <v>SC</v>
      </c>
      <c r="I8027" s="11">
        <f>IFERROR(INDEX(tEditais[Encerramento],MATCH(tItens[[#This Row],[Edital]],tEditais[Edital],0)),"")</f>
        <v>46309.332638888889</v>
      </c>
      <c r="J8027" t="str">
        <f>IFERROR(INDEX(tProdutos[Classe],MATCH(tItens[[#This Row],[Produto]],tProdutos[Produto],0)),"produto não cadastrado")</f>
        <v>FILA REBASE</v>
      </c>
      <c r="K8027" s="12">
        <f>tItens[[#This Row],[Qtd]]*tItens[[#This Row],[Vlr unit]]</f>
        <v>22900.32</v>
      </c>
      <c r="L8027" s="6">
        <f>IFERROR(IF(INDEX(tProdutos[Desconto homologado],MATCH(tItens[[#This Row],[Produto]],tProdutos[Produto],0))="",DescontoPadrao,INDEX(tProdutos[Desconto homologado],MATCH(tItens[[#This Row],[Produto]],tProdutos[Produto],0))),DescontoPadrao)</f>
        <v>0.3</v>
      </c>
      <c r="M8027" s="12">
        <f>tItens[[#This Row],[Valor]]*(1-tItens[[#This Row],[Desconto]])</f>
        <v>16030.223999999998</v>
      </c>
      <c r="N8027" t="str">
        <f>IFERROR(INDEX(tProdutos[Foco],MATCH(tItens[[#This Row],[Produto]],tProdutos[Produto],0)),"Não")</f>
        <v>Não</v>
      </c>
      <c r="O8027" t="str">
        <f>IFERROR(INDEX(tEditais[SRP],MATCH(tItens[[#This Row],[Edital]],tEditais[Edital],0)),"Não")</f>
        <v>Sim</v>
      </c>
      <c r="P8027" s="4">
        <f>IF(COUNTIFS(INDEX(tItens[Edital],1):tItens[[#This Row],[Edital]],tItens[[#This Row],[Edital]],INDEX(tItens[Produto],1):tItens[[#This Row],[Produto]],tItens[[#This Row],[Produto]])=1,1,0)</f>
        <v>1</v>
      </c>
    </row>
    <row r="8028" spans="1:16" x14ac:dyDescent="0.25">
      <c r="A8028" t="s">
        <v>2644</v>
      </c>
      <c r="B8028">
        <v>191</v>
      </c>
      <c r="C8028" t="s">
        <v>10523</v>
      </c>
      <c r="D8028" t="s">
        <v>611</v>
      </c>
      <c r="E8028" s="13">
        <v>96</v>
      </c>
      <c r="F8028" s="12">
        <v>195.55</v>
      </c>
      <c r="G8028" t="str">
        <f>IFERROR(INDEX(tEditais[Órgão],MATCH(tItens[[#This Row],[Edital]],tEditais[Edital],0)),"")</f>
        <v>CONSORCIO INTEGRADO DE GESTAO PUBLICA DO ENTRE RIOS - CIGAMERIOS</v>
      </c>
      <c r="H8028" t="str">
        <f>IFERROR(INDEX(tEditais[UF],MATCH(tItens[[#This Row],[Edital]],tEditais[Edital],0)),"")</f>
        <v>SC</v>
      </c>
      <c r="I8028" s="11">
        <f>IFERROR(INDEX(tEditais[Encerramento],MATCH(tItens[[#This Row],[Edital]],tEditais[Edital],0)),"")</f>
        <v>46309.332638888889</v>
      </c>
      <c r="J8028" t="str">
        <f>IFERROR(INDEX(tProdutos[Classe],MATCH(tItens[[#This Row],[Produto]],tProdutos[Produto],0)),"produto não cadastrado")</f>
        <v>FILA REBASE</v>
      </c>
      <c r="K8028" s="12">
        <f>tItens[[#This Row],[Qtd]]*tItens[[#This Row],[Vlr unit]]</f>
        <v>18772.800000000003</v>
      </c>
      <c r="L8028" s="6">
        <f>IFERROR(IF(INDEX(tProdutos[Desconto homologado],MATCH(tItens[[#This Row],[Produto]],tProdutos[Produto],0))="",DescontoPadrao,INDEX(tProdutos[Desconto homologado],MATCH(tItens[[#This Row],[Produto]],tProdutos[Produto],0))),DescontoPadrao)</f>
        <v>0.3</v>
      </c>
      <c r="M8028" s="12">
        <f>tItens[[#This Row],[Valor]]*(1-tItens[[#This Row],[Desconto]])</f>
        <v>13140.960000000001</v>
      </c>
      <c r="N8028" t="str">
        <f>IFERROR(INDEX(tProdutos[Foco],MATCH(tItens[[#This Row],[Produto]],tProdutos[Produto],0)),"Não")</f>
        <v>Não</v>
      </c>
      <c r="O8028" t="str">
        <f>IFERROR(INDEX(tEditais[SRP],MATCH(tItens[[#This Row],[Edital]],tEditais[Edital],0)),"Não")</f>
        <v>Sim</v>
      </c>
      <c r="P8028" s="4">
        <f>IF(COUNTIFS(INDEX(tItens[Edital],1):tItens[[#This Row],[Edital]],tItens[[#This Row],[Edital]],INDEX(tItens[Produto],1):tItens[[#This Row],[Produto]],tItens[[#This Row],[Produto]])=1,1,0)</f>
        <v>0</v>
      </c>
    </row>
    <row r="8029" spans="1:16" x14ac:dyDescent="0.25">
      <c r="A8029" t="s">
        <v>2644</v>
      </c>
      <c r="B8029">
        <v>192</v>
      </c>
      <c r="C8029" t="s">
        <v>10524</v>
      </c>
      <c r="D8029" t="s">
        <v>269</v>
      </c>
      <c r="E8029" s="13">
        <v>27590</v>
      </c>
      <c r="F8029" s="12">
        <v>1.45</v>
      </c>
      <c r="G8029" t="str">
        <f>IFERROR(INDEX(tEditais[Órgão],MATCH(tItens[[#This Row],[Edital]],tEditais[Edital],0)),"")</f>
        <v>CONSORCIO INTEGRADO DE GESTAO PUBLICA DO ENTRE RIOS - CIGAMERIOS</v>
      </c>
      <c r="H8029" t="str">
        <f>IFERROR(INDEX(tEditais[UF],MATCH(tItens[[#This Row],[Edital]],tEditais[Edital],0)),"")</f>
        <v>SC</v>
      </c>
      <c r="I8029" s="11">
        <f>IFERROR(INDEX(tEditais[Encerramento],MATCH(tItens[[#This Row],[Edital]],tEditais[Edital],0)),"")</f>
        <v>46309.332638888889</v>
      </c>
      <c r="J8029" t="str">
        <f>IFERROR(INDEX(tProdutos[Classe],MATCH(tItens[[#This Row],[Produto]],tProdutos[Produto],0)),"produto não cadastrado")</f>
        <v>FORA</v>
      </c>
      <c r="K8029" s="12">
        <f>tItens[[#This Row],[Qtd]]*tItens[[#This Row],[Vlr unit]]</f>
        <v>40005.5</v>
      </c>
      <c r="L8029" s="6">
        <f>IFERROR(IF(INDEX(tProdutos[Desconto homologado],MATCH(tItens[[#This Row],[Produto]],tProdutos[Produto],0))="",DescontoPadrao,INDEX(tProdutos[Desconto homologado],MATCH(tItens[[#This Row],[Produto]],tProdutos[Produto],0))),DescontoPadrao)</f>
        <v>0.28935117103332197</v>
      </c>
      <c r="M8029" s="12">
        <f>tItens[[#This Row],[Valor]]*(1-tItens[[#This Row],[Desconto]])</f>
        <v>28429.861727226438</v>
      </c>
      <c r="N8029" t="str">
        <f>IFERROR(INDEX(tProdutos[Foco],MATCH(tItens[[#This Row],[Produto]],tProdutos[Produto],0)),"Não")</f>
        <v>Não</v>
      </c>
      <c r="O8029" t="str">
        <f>IFERROR(INDEX(tEditais[SRP],MATCH(tItens[[#This Row],[Edital]],tEditais[Edital],0)),"Não")</f>
        <v>Sim</v>
      </c>
      <c r="P8029" s="4">
        <f>IF(COUNTIFS(INDEX(tItens[Edital],1):tItens[[#This Row],[Edital]],tItens[[#This Row],[Edital]],INDEX(tItens[Produto],1):tItens[[#This Row],[Produto]],tItens[[#This Row],[Produto]])=1,1,0)</f>
        <v>1</v>
      </c>
    </row>
    <row r="8030" spans="1:16" x14ac:dyDescent="0.25">
      <c r="A8030" t="s">
        <v>2644</v>
      </c>
      <c r="B8030">
        <v>197</v>
      </c>
      <c r="C8030" t="s">
        <v>10525</v>
      </c>
      <c r="D8030" t="s">
        <v>383</v>
      </c>
      <c r="E8030" s="13">
        <v>121570</v>
      </c>
      <c r="F8030" s="12">
        <v>1.75</v>
      </c>
      <c r="G8030" t="str">
        <f>IFERROR(INDEX(tEditais[Órgão],MATCH(tItens[[#This Row],[Edital]],tEditais[Edital],0)),"")</f>
        <v>CONSORCIO INTEGRADO DE GESTAO PUBLICA DO ENTRE RIOS - CIGAMERIOS</v>
      </c>
      <c r="H8030" t="str">
        <f>IFERROR(INDEX(tEditais[UF],MATCH(tItens[[#This Row],[Edital]],tEditais[Edital],0)),"")</f>
        <v>SC</v>
      </c>
      <c r="I8030" s="11">
        <f>IFERROR(INDEX(tEditais[Encerramento],MATCH(tItens[[#This Row],[Edital]],tEditais[Edital],0)),"")</f>
        <v>46309.332638888889</v>
      </c>
      <c r="J8030" t="str">
        <f>IFERROR(INDEX(tProdutos[Classe],MATCH(tItens[[#This Row],[Produto]],tProdutos[Produto],0)),"produto não cadastrado")</f>
        <v>FORA</v>
      </c>
      <c r="K8030" s="12">
        <f>tItens[[#This Row],[Qtd]]*tItens[[#This Row],[Vlr unit]]</f>
        <v>212747.5</v>
      </c>
      <c r="L8030" s="6">
        <f>IFERROR(IF(INDEX(tProdutos[Desconto homologado],MATCH(tItens[[#This Row],[Produto]],tProdutos[Produto],0))="",DescontoPadrao,INDEX(tProdutos[Desconto homologado],MATCH(tItens[[#This Row],[Produto]],tProdutos[Produto],0))),DescontoPadrao)</f>
        <v>0.48749999999999999</v>
      </c>
      <c r="M8030" s="12">
        <f>tItens[[#This Row],[Valor]]*(1-tItens[[#This Row],[Desconto]])</f>
        <v>109033.09374999999</v>
      </c>
      <c r="N8030" t="str">
        <f>IFERROR(INDEX(tProdutos[Foco],MATCH(tItens[[#This Row],[Produto]],tProdutos[Produto],0)),"Não")</f>
        <v>Não</v>
      </c>
      <c r="O8030" t="str">
        <f>IFERROR(INDEX(tEditais[SRP],MATCH(tItens[[#This Row],[Edital]],tEditais[Edital],0)),"Não")</f>
        <v>Sim</v>
      </c>
      <c r="P8030" s="4">
        <f>IF(COUNTIFS(INDEX(tItens[Edital],1):tItens[[#This Row],[Edital]],tItens[[#This Row],[Edital]],INDEX(tItens[Produto],1):tItens[[#This Row],[Produto]],tItens[[#This Row],[Produto]])=1,1,0)</f>
        <v>1</v>
      </c>
    </row>
    <row r="8031" spans="1:16" x14ac:dyDescent="0.25">
      <c r="A8031" t="s">
        <v>2644</v>
      </c>
      <c r="B8031">
        <v>198</v>
      </c>
      <c r="C8031" t="s">
        <v>10526</v>
      </c>
      <c r="D8031" t="s">
        <v>383</v>
      </c>
      <c r="E8031" s="13">
        <v>112950</v>
      </c>
      <c r="F8031" s="12">
        <v>1.08</v>
      </c>
      <c r="G8031" t="str">
        <f>IFERROR(INDEX(tEditais[Órgão],MATCH(tItens[[#This Row],[Edital]],tEditais[Edital],0)),"")</f>
        <v>CONSORCIO INTEGRADO DE GESTAO PUBLICA DO ENTRE RIOS - CIGAMERIOS</v>
      </c>
      <c r="H8031" t="str">
        <f>IFERROR(INDEX(tEditais[UF],MATCH(tItens[[#This Row],[Edital]],tEditais[Edital],0)),"")</f>
        <v>SC</v>
      </c>
      <c r="I8031" s="11">
        <f>IFERROR(INDEX(tEditais[Encerramento],MATCH(tItens[[#This Row],[Edital]],tEditais[Edital],0)),"")</f>
        <v>46309.332638888889</v>
      </c>
      <c r="J8031" t="str">
        <f>IFERROR(INDEX(tProdutos[Classe],MATCH(tItens[[#This Row],[Produto]],tProdutos[Produto],0)),"produto não cadastrado")</f>
        <v>FORA</v>
      </c>
      <c r="K8031" s="12">
        <f>tItens[[#This Row],[Qtd]]*tItens[[#This Row],[Vlr unit]]</f>
        <v>121986.00000000001</v>
      </c>
      <c r="L8031" s="6">
        <f>IFERROR(IF(INDEX(tProdutos[Desconto homologado],MATCH(tItens[[#This Row],[Produto]],tProdutos[Produto],0))="",DescontoPadrao,INDEX(tProdutos[Desconto homologado],MATCH(tItens[[#This Row],[Produto]],tProdutos[Produto],0))),DescontoPadrao)</f>
        <v>0.48749999999999999</v>
      </c>
      <c r="M8031" s="12">
        <f>tItens[[#This Row],[Valor]]*(1-tItens[[#This Row],[Desconto]])</f>
        <v>62517.825000000004</v>
      </c>
      <c r="N8031" t="str">
        <f>IFERROR(INDEX(tProdutos[Foco],MATCH(tItens[[#This Row],[Produto]],tProdutos[Produto],0)),"Não")</f>
        <v>Não</v>
      </c>
      <c r="O8031" t="str">
        <f>IFERROR(INDEX(tEditais[SRP],MATCH(tItens[[#This Row],[Edital]],tEditais[Edital],0)),"Não")</f>
        <v>Sim</v>
      </c>
      <c r="P8031" s="4">
        <f>IF(COUNTIFS(INDEX(tItens[Edital],1):tItens[[#This Row],[Edital]],tItens[[#This Row],[Edital]],INDEX(tItens[Produto],1):tItens[[#This Row],[Produto]],tItens[[#This Row],[Produto]])=1,1,0)</f>
        <v>0</v>
      </c>
    </row>
    <row r="8032" spans="1:16" x14ac:dyDescent="0.25">
      <c r="A8032" t="s">
        <v>2644</v>
      </c>
      <c r="B8032">
        <v>199</v>
      </c>
      <c r="C8032" t="s">
        <v>10527</v>
      </c>
      <c r="D8032" t="s">
        <v>341</v>
      </c>
      <c r="E8032" s="13">
        <v>24800</v>
      </c>
      <c r="F8032" s="12">
        <v>78.5</v>
      </c>
      <c r="G8032" t="str">
        <f>IFERROR(INDEX(tEditais[Órgão],MATCH(tItens[[#This Row],[Edital]],tEditais[Edital],0)),"")</f>
        <v>CONSORCIO INTEGRADO DE GESTAO PUBLICA DO ENTRE RIOS - CIGAMERIOS</v>
      </c>
      <c r="H8032" t="str">
        <f>IFERROR(INDEX(tEditais[UF],MATCH(tItens[[#This Row],[Edital]],tEditais[Edital],0)),"")</f>
        <v>SC</v>
      </c>
      <c r="I8032" s="11">
        <f>IFERROR(INDEX(tEditais[Encerramento],MATCH(tItens[[#This Row],[Edital]],tEditais[Edital],0)),"")</f>
        <v>46309.332638888889</v>
      </c>
      <c r="J8032" t="str">
        <f>IFERROR(INDEX(tProdutos[Classe],MATCH(tItens[[#This Row],[Produto]],tProdutos[Produto],0)),"produto não cadastrado")</f>
        <v>FORA</v>
      </c>
      <c r="K8032" s="12">
        <f>tItens[[#This Row],[Qtd]]*tItens[[#This Row],[Vlr unit]]</f>
        <v>1946800</v>
      </c>
      <c r="L8032" s="6">
        <f>IFERROR(IF(INDEX(tProdutos[Desconto homologado],MATCH(tItens[[#This Row],[Produto]],tProdutos[Produto],0))="",DescontoPadrao,INDEX(tProdutos[Desconto homologado],MATCH(tItens[[#This Row],[Produto]],tProdutos[Produto],0))),DescontoPadrao)</f>
        <v>0.46918578497525898</v>
      </c>
      <c r="M8032" s="12">
        <f>tItens[[#This Row],[Valor]]*(1-tItens[[#This Row],[Desconto]])</f>
        <v>1033389.1138101658</v>
      </c>
      <c r="N8032" t="str">
        <f>IFERROR(INDEX(tProdutos[Foco],MATCH(tItens[[#This Row],[Produto]],tProdutos[Produto],0)),"Não")</f>
        <v>Não</v>
      </c>
      <c r="O8032" t="str">
        <f>IFERROR(INDEX(tEditais[SRP],MATCH(tItens[[#This Row],[Edital]],tEditais[Edital],0)),"Não")</f>
        <v>Sim</v>
      </c>
      <c r="P8032" s="4">
        <f>IF(COUNTIFS(INDEX(tItens[Edital],1):tItens[[#This Row],[Edital]],tItens[[#This Row],[Edital]],INDEX(tItens[Produto],1):tItens[[#This Row],[Produto]],tItens[[#This Row],[Produto]])=1,1,0)</f>
        <v>1</v>
      </c>
    </row>
    <row r="8033" spans="1:16" x14ac:dyDescent="0.25">
      <c r="A8033" t="s">
        <v>2644</v>
      </c>
      <c r="B8033">
        <v>200</v>
      </c>
      <c r="C8033" t="s">
        <v>10528</v>
      </c>
      <c r="D8033" t="s">
        <v>341</v>
      </c>
      <c r="E8033" s="13">
        <v>27670</v>
      </c>
      <c r="F8033" s="12">
        <v>46.62</v>
      </c>
      <c r="G8033" t="str">
        <f>IFERROR(INDEX(tEditais[Órgão],MATCH(tItens[[#This Row],[Edital]],tEditais[Edital],0)),"")</f>
        <v>CONSORCIO INTEGRADO DE GESTAO PUBLICA DO ENTRE RIOS - CIGAMERIOS</v>
      </c>
      <c r="H8033" t="str">
        <f>IFERROR(INDEX(tEditais[UF],MATCH(tItens[[#This Row],[Edital]],tEditais[Edital],0)),"")</f>
        <v>SC</v>
      </c>
      <c r="I8033" s="11">
        <f>IFERROR(INDEX(tEditais[Encerramento],MATCH(tItens[[#This Row],[Edital]],tEditais[Edital],0)),"")</f>
        <v>46309.332638888889</v>
      </c>
      <c r="J8033" t="str">
        <f>IFERROR(INDEX(tProdutos[Classe],MATCH(tItens[[#This Row],[Produto]],tProdutos[Produto],0)),"produto não cadastrado")</f>
        <v>FORA</v>
      </c>
      <c r="K8033" s="12">
        <f>tItens[[#This Row],[Qtd]]*tItens[[#This Row],[Vlr unit]]</f>
        <v>1289975.3999999999</v>
      </c>
      <c r="L8033" s="6">
        <f>IFERROR(IF(INDEX(tProdutos[Desconto homologado],MATCH(tItens[[#This Row],[Produto]],tProdutos[Produto],0))="",DescontoPadrao,INDEX(tProdutos[Desconto homologado],MATCH(tItens[[#This Row],[Produto]],tProdutos[Produto],0))),DescontoPadrao)</f>
        <v>0.46918578497525898</v>
      </c>
      <c r="M8033" s="12">
        <f>tItens[[#This Row],[Valor]]*(1-tItens[[#This Row],[Desconto]])</f>
        <v>684737.27935222629</v>
      </c>
      <c r="N8033" t="str">
        <f>IFERROR(INDEX(tProdutos[Foco],MATCH(tItens[[#This Row],[Produto]],tProdutos[Produto],0)),"Não")</f>
        <v>Não</v>
      </c>
      <c r="O8033" t="str">
        <f>IFERROR(INDEX(tEditais[SRP],MATCH(tItens[[#This Row],[Edital]],tEditais[Edital],0)),"Não")</f>
        <v>Sim</v>
      </c>
      <c r="P8033" s="4">
        <f>IF(COUNTIFS(INDEX(tItens[Edital],1):tItens[[#This Row],[Edital]],tItens[[#This Row],[Edital]],INDEX(tItens[Produto],1):tItens[[#This Row],[Produto]],tItens[[#This Row],[Produto]])=1,1,0)</f>
        <v>0</v>
      </c>
    </row>
    <row r="8034" spans="1:16" x14ac:dyDescent="0.25">
      <c r="A8034" t="s">
        <v>2644</v>
      </c>
      <c r="B8034">
        <v>213</v>
      </c>
      <c r="C8034" t="s">
        <v>10529</v>
      </c>
      <c r="D8034" t="s">
        <v>641</v>
      </c>
      <c r="E8034" s="13">
        <v>440</v>
      </c>
      <c r="F8034" s="12">
        <v>58.49</v>
      </c>
      <c r="G8034" t="str">
        <f>IFERROR(INDEX(tEditais[Órgão],MATCH(tItens[[#This Row],[Edital]],tEditais[Edital],0)),"")</f>
        <v>CONSORCIO INTEGRADO DE GESTAO PUBLICA DO ENTRE RIOS - CIGAMERIOS</v>
      </c>
      <c r="H8034" t="str">
        <f>IFERROR(INDEX(tEditais[UF],MATCH(tItens[[#This Row],[Edital]],tEditais[Edital],0)),"")</f>
        <v>SC</v>
      </c>
      <c r="I8034" s="11">
        <f>IFERROR(INDEX(tEditais[Encerramento],MATCH(tItens[[#This Row],[Edital]],tEditais[Edital],0)),"")</f>
        <v>46309.332638888889</v>
      </c>
      <c r="J8034" t="str">
        <f>IFERROR(INDEX(tProdutos[Classe],MATCH(tItens[[#This Row],[Produto]],tProdutos[Produto],0)),"produto não cadastrado")</f>
        <v>FILA REBASE</v>
      </c>
      <c r="K8034" s="12">
        <f>tItens[[#This Row],[Qtd]]*tItens[[#This Row],[Vlr unit]]</f>
        <v>25735.600000000002</v>
      </c>
      <c r="L8034" s="6">
        <f>IFERROR(IF(INDEX(tProdutos[Desconto homologado],MATCH(tItens[[#This Row],[Produto]],tProdutos[Produto],0))="",DescontoPadrao,INDEX(tProdutos[Desconto homologado],MATCH(tItens[[#This Row],[Produto]],tProdutos[Produto],0))),DescontoPadrao)</f>
        <v>0.3</v>
      </c>
      <c r="M8034" s="12">
        <f>tItens[[#This Row],[Valor]]*(1-tItens[[#This Row],[Desconto]])</f>
        <v>18014.920000000002</v>
      </c>
      <c r="N8034" t="str">
        <f>IFERROR(INDEX(tProdutos[Foco],MATCH(tItens[[#This Row],[Produto]],tProdutos[Produto],0)),"Não")</f>
        <v>Não</v>
      </c>
      <c r="O8034" t="str">
        <f>IFERROR(INDEX(tEditais[SRP],MATCH(tItens[[#This Row],[Edital]],tEditais[Edital],0)),"Não")</f>
        <v>Sim</v>
      </c>
      <c r="P8034" s="4">
        <f>IF(COUNTIFS(INDEX(tItens[Edital],1):tItens[[#This Row],[Edital]],tItens[[#This Row],[Edital]],INDEX(tItens[Produto],1):tItens[[#This Row],[Produto]],tItens[[#This Row],[Produto]])=1,1,0)</f>
        <v>1</v>
      </c>
    </row>
    <row r="8035" spans="1:16" x14ac:dyDescent="0.25">
      <c r="A8035" t="s">
        <v>2644</v>
      </c>
      <c r="B8035">
        <v>229</v>
      </c>
      <c r="C8035" t="s">
        <v>10530</v>
      </c>
      <c r="D8035" t="s">
        <v>154</v>
      </c>
      <c r="E8035" s="13">
        <v>2980</v>
      </c>
      <c r="F8035" s="12">
        <v>61.04</v>
      </c>
      <c r="G8035" t="str">
        <f>IFERROR(INDEX(tEditais[Órgão],MATCH(tItens[[#This Row],[Edital]],tEditais[Edital],0)),"")</f>
        <v>CONSORCIO INTEGRADO DE GESTAO PUBLICA DO ENTRE RIOS - CIGAMERIOS</v>
      </c>
      <c r="H8035" t="str">
        <f>IFERROR(INDEX(tEditais[UF],MATCH(tItens[[#This Row],[Edital]],tEditais[Edital],0)),"")</f>
        <v>SC</v>
      </c>
      <c r="I8035" s="11">
        <f>IFERROR(INDEX(tEditais[Encerramento],MATCH(tItens[[#This Row],[Edital]],tEditais[Edital],0)),"")</f>
        <v>46309.332638888889</v>
      </c>
      <c r="J8035" t="str">
        <f>IFERROR(INDEX(tProdutos[Classe],MATCH(tItens[[#This Row],[Produto]],tProdutos[Produto],0)),"produto não cadastrado")</f>
        <v>DISPUTADO</v>
      </c>
      <c r="K8035" s="12">
        <f>tItens[[#This Row],[Qtd]]*tItens[[#This Row],[Vlr unit]]</f>
        <v>181899.2</v>
      </c>
      <c r="L8035" s="6">
        <f>IFERROR(IF(INDEX(tProdutos[Desconto homologado],MATCH(tItens[[#This Row],[Produto]],tProdutos[Produto],0))="",DescontoPadrao,INDEX(tProdutos[Desconto homologado],MATCH(tItens[[#This Row],[Produto]],tProdutos[Produto],0))),DescontoPadrao)</f>
        <v>0.48690097134476601</v>
      </c>
      <c r="M8035" s="12">
        <f>tItens[[#This Row],[Valor]]*(1-tItens[[#This Row],[Desconto]])</f>
        <v>93332.30283316414</v>
      </c>
      <c r="N8035" t="str">
        <f>IFERROR(INDEX(tProdutos[Foco],MATCH(tItens[[#This Row],[Produto]],tProdutos[Produto],0)),"Não")</f>
        <v>Não</v>
      </c>
      <c r="O8035" t="str">
        <f>IFERROR(INDEX(tEditais[SRP],MATCH(tItens[[#This Row],[Edital]],tEditais[Edital],0)),"Não")</f>
        <v>Sim</v>
      </c>
      <c r="P8035" s="4">
        <f>IF(COUNTIFS(INDEX(tItens[Edital],1):tItens[[#This Row],[Edital]],tItens[[#This Row],[Edital]],INDEX(tItens[Produto],1):tItens[[#This Row],[Produto]],tItens[[#This Row],[Produto]])=1,1,0)</f>
        <v>1</v>
      </c>
    </row>
    <row r="8036" spans="1:16" x14ac:dyDescent="0.25">
      <c r="A8036" t="s">
        <v>2644</v>
      </c>
      <c r="B8036">
        <v>233</v>
      </c>
      <c r="C8036" t="s">
        <v>10531</v>
      </c>
      <c r="D8036" t="s">
        <v>154</v>
      </c>
      <c r="E8036" s="13">
        <v>1870</v>
      </c>
      <c r="F8036" s="12">
        <v>142.09</v>
      </c>
      <c r="G8036" t="str">
        <f>IFERROR(INDEX(tEditais[Órgão],MATCH(tItens[[#This Row],[Edital]],tEditais[Edital],0)),"")</f>
        <v>CONSORCIO INTEGRADO DE GESTAO PUBLICA DO ENTRE RIOS - CIGAMERIOS</v>
      </c>
      <c r="H8036" t="str">
        <f>IFERROR(INDEX(tEditais[UF],MATCH(tItens[[#This Row],[Edital]],tEditais[Edital],0)),"")</f>
        <v>SC</v>
      </c>
      <c r="I8036" s="11">
        <f>IFERROR(INDEX(tEditais[Encerramento],MATCH(tItens[[#This Row],[Edital]],tEditais[Edital],0)),"")</f>
        <v>46309.332638888889</v>
      </c>
      <c r="J8036" t="str">
        <f>IFERROR(INDEX(tProdutos[Classe],MATCH(tItens[[#This Row],[Produto]],tProdutos[Produto],0)),"produto não cadastrado")</f>
        <v>DISPUTADO</v>
      </c>
      <c r="K8036" s="12">
        <f>tItens[[#This Row],[Qtd]]*tItens[[#This Row],[Vlr unit]]</f>
        <v>265708.3</v>
      </c>
      <c r="L8036" s="6">
        <f>IFERROR(IF(INDEX(tProdutos[Desconto homologado],MATCH(tItens[[#This Row],[Produto]],tProdutos[Produto],0))="",DescontoPadrao,INDEX(tProdutos[Desconto homologado],MATCH(tItens[[#This Row],[Produto]],tProdutos[Produto],0))),DescontoPadrao)</f>
        <v>0.48690097134476601</v>
      </c>
      <c r="M8036" s="12">
        <f>tItens[[#This Row],[Valor]]*(1-tItens[[#This Row],[Desconto]])</f>
        <v>136334.67063563349</v>
      </c>
      <c r="N8036" t="str">
        <f>IFERROR(INDEX(tProdutos[Foco],MATCH(tItens[[#This Row],[Produto]],tProdutos[Produto],0)),"Não")</f>
        <v>Não</v>
      </c>
      <c r="O8036" t="str">
        <f>IFERROR(INDEX(tEditais[SRP],MATCH(tItens[[#This Row],[Edital]],tEditais[Edital],0)),"Não")</f>
        <v>Sim</v>
      </c>
      <c r="P8036" s="4">
        <f>IF(COUNTIFS(INDEX(tItens[Edital],1):tItens[[#This Row],[Edital]],tItens[[#This Row],[Edital]],INDEX(tItens[Produto],1):tItens[[#This Row],[Produto]],tItens[[#This Row],[Produto]])=1,1,0)</f>
        <v>0</v>
      </c>
    </row>
    <row r="8037" spans="1:16" x14ac:dyDescent="0.25">
      <c r="A8037" t="s">
        <v>2644</v>
      </c>
      <c r="B8037">
        <v>236</v>
      </c>
      <c r="C8037" t="s">
        <v>10532</v>
      </c>
      <c r="D8037" t="s">
        <v>144</v>
      </c>
      <c r="E8037" s="13">
        <v>2130</v>
      </c>
      <c r="F8037" s="12">
        <v>10.51</v>
      </c>
      <c r="G8037" t="str">
        <f>IFERROR(INDEX(tEditais[Órgão],MATCH(tItens[[#This Row],[Edital]],tEditais[Edital],0)),"")</f>
        <v>CONSORCIO INTEGRADO DE GESTAO PUBLICA DO ENTRE RIOS - CIGAMERIOS</v>
      </c>
      <c r="H8037" t="str">
        <f>IFERROR(INDEX(tEditais[UF],MATCH(tItens[[#This Row],[Edital]],tEditais[Edital],0)),"")</f>
        <v>SC</v>
      </c>
      <c r="I8037" s="11">
        <f>IFERROR(INDEX(tEditais[Encerramento],MATCH(tItens[[#This Row],[Edital]],tEditais[Edital],0)),"")</f>
        <v>46309.332638888889</v>
      </c>
      <c r="J8037" t="str">
        <f>IFERROR(INDEX(tProdutos[Classe],MATCH(tItens[[#This Row],[Produto]],tProdutos[Produto],0)),"produto não cadastrado")</f>
        <v>DISPUTADO</v>
      </c>
      <c r="K8037" s="12">
        <f>tItens[[#This Row],[Qtd]]*tItens[[#This Row],[Vlr unit]]</f>
        <v>22386.3</v>
      </c>
      <c r="L8037" s="6">
        <f>IFERROR(IF(INDEX(tProdutos[Desconto homologado],MATCH(tItens[[#This Row],[Produto]],tProdutos[Produto],0))="",DescontoPadrao,INDEX(tProdutos[Desconto homologado],MATCH(tItens[[#This Row],[Produto]],tProdutos[Produto],0))),DescontoPadrao)</f>
        <v>0.371428571428571</v>
      </c>
      <c r="M8037" s="12">
        <f>tItens[[#This Row],[Valor]]*(1-tItens[[#This Row],[Desconto]])</f>
        <v>14071.388571428581</v>
      </c>
      <c r="N8037" t="str">
        <f>IFERROR(INDEX(tProdutos[Foco],MATCH(tItens[[#This Row],[Produto]],tProdutos[Produto],0)),"Não")</f>
        <v>Não</v>
      </c>
      <c r="O8037" t="str">
        <f>IFERROR(INDEX(tEditais[SRP],MATCH(tItens[[#This Row],[Edital]],tEditais[Edital],0)),"Não")</f>
        <v>Sim</v>
      </c>
      <c r="P8037" s="4">
        <f>IF(COUNTIFS(INDEX(tItens[Edital],1):tItens[[#This Row],[Edital]],tItens[[#This Row],[Edital]],INDEX(tItens[Produto],1):tItens[[#This Row],[Produto]],tItens[[#This Row],[Produto]])=1,1,0)</f>
        <v>1</v>
      </c>
    </row>
    <row r="8038" spans="1:16" x14ac:dyDescent="0.25">
      <c r="A8038" t="s">
        <v>2644</v>
      </c>
      <c r="B8038">
        <v>237</v>
      </c>
      <c r="C8038" t="s">
        <v>10533</v>
      </c>
      <c r="D8038" t="s">
        <v>144</v>
      </c>
      <c r="E8038" s="13">
        <v>1595</v>
      </c>
      <c r="F8038" s="12">
        <v>38.5</v>
      </c>
      <c r="G8038" t="str">
        <f>IFERROR(INDEX(tEditais[Órgão],MATCH(tItens[[#This Row],[Edital]],tEditais[Edital],0)),"")</f>
        <v>CONSORCIO INTEGRADO DE GESTAO PUBLICA DO ENTRE RIOS - CIGAMERIOS</v>
      </c>
      <c r="H8038" t="str">
        <f>IFERROR(INDEX(tEditais[UF],MATCH(tItens[[#This Row],[Edital]],tEditais[Edital],0)),"")</f>
        <v>SC</v>
      </c>
      <c r="I8038" s="11">
        <f>IFERROR(INDEX(tEditais[Encerramento],MATCH(tItens[[#This Row],[Edital]],tEditais[Edital],0)),"")</f>
        <v>46309.332638888889</v>
      </c>
      <c r="J8038" t="str">
        <f>IFERROR(INDEX(tProdutos[Classe],MATCH(tItens[[#This Row],[Produto]],tProdutos[Produto],0)),"produto não cadastrado")</f>
        <v>DISPUTADO</v>
      </c>
      <c r="K8038" s="12">
        <f>tItens[[#This Row],[Qtd]]*tItens[[#This Row],[Vlr unit]]</f>
        <v>61407.5</v>
      </c>
      <c r="L8038" s="6">
        <f>IFERROR(IF(INDEX(tProdutos[Desconto homologado],MATCH(tItens[[#This Row],[Produto]],tProdutos[Produto],0))="",DescontoPadrao,INDEX(tProdutos[Desconto homologado],MATCH(tItens[[#This Row],[Produto]],tProdutos[Produto],0))),DescontoPadrao)</f>
        <v>0.371428571428571</v>
      </c>
      <c r="M8038" s="12">
        <f>tItens[[#This Row],[Valor]]*(1-tItens[[#This Row],[Desconto]])</f>
        <v>38599.000000000029</v>
      </c>
      <c r="N8038" t="str">
        <f>IFERROR(INDEX(tProdutos[Foco],MATCH(tItens[[#This Row],[Produto]],tProdutos[Produto],0)),"Não")</f>
        <v>Não</v>
      </c>
      <c r="O8038" t="str">
        <f>IFERROR(INDEX(tEditais[SRP],MATCH(tItens[[#This Row],[Edital]],tEditais[Edital],0)),"Não")</f>
        <v>Sim</v>
      </c>
      <c r="P8038" s="4">
        <f>IF(COUNTIFS(INDEX(tItens[Edital],1):tItens[[#This Row],[Edital]],tItens[[#This Row],[Edital]],INDEX(tItens[Produto],1):tItens[[#This Row],[Produto]],tItens[[#This Row],[Produto]])=1,1,0)</f>
        <v>0</v>
      </c>
    </row>
    <row r="8039" spans="1:16" x14ac:dyDescent="0.25">
      <c r="A8039" t="s">
        <v>2644</v>
      </c>
      <c r="B8039">
        <v>238</v>
      </c>
      <c r="C8039" t="s">
        <v>10534</v>
      </c>
      <c r="D8039" t="s">
        <v>154</v>
      </c>
      <c r="E8039" s="13">
        <v>1505</v>
      </c>
      <c r="F8039" s="12">
        <v>133.54</v>
      </c>
      <c r="G8039" t="str">
        <f>IFERROR(INDEX(tEditais[Órgão],MATCH(tItens[[#This Row],[Edital]],tEditais[Edital],0)),"")</f>
        <v>CONSORCIO INTEGRADO DE GESTAO PUBLICA DO ENTRE RIOS - CIGAMERIOS</v>
      </c>
      <c r="H8039" t="str">
        <f>IFERROR(INDEX(tEditais[UF],MATCH(tItens[[#This Row],[Edital]],tEditais[Edital],0)),"")</f>
        <v>SC</v>
      </c>
      <c r="I8039" s="11">
        <f>IFERROR(INDEX(tEditais[Encerramento],MATCH(tItens[[#This Row],[Edital]],tEditais[Edital],0)),"")</f>
        <v>46309.332638888889</v>
      </c>
      <c r="J8039" t="str">
        <f>IFERROR(INDEX(tProdutos[Classe],MATCH(tItens[[#This Row],[Produto]],tProdutos[Produto],0)),"produto não cadastrado")</f>
        <v>DISPUTADO</v>
      </c>
      <c r="K8039" s="12">
        <f>tItens[[#This Row],[Qtd]]*tItens[[#This Row],[Vlr unit]]</f>
        <v>200977.69999999998</v>
      </c>
      <c r="L8039" s="6">
        <f>IFERROR(IF(INDEX(tProdutos[Desconto homologado],MATCH(tItens[[#This Row],[Produto]],tProdutos[Produto],0))="",DescontoPadrao,INDEX(tProdutos[Desconto homologado],MATCH(tItens[[#This Row],[Produto]],tProdutos[Produto],0))),DescontoPadrao)</f>
        <v>0.48690097134476601</v>
      </c>
      <c r="M8039" s="12">
        <f>tItens[[#This Row],[Valor]]*(1-tItens[[#This Row],[Desconto]])</f>
        <v>103121.46265136301</v>
      </c>
      <c r="N8039" t="str">
        <f>IFERROR(INDEX(tProdutos[Foco],MATCH(tItens[[#This Row],[Produto]],tProdutos[Produto],0)),"Não")</f>
        <v>Não</v>
      </c>
      <c r="O8039" t="str">
        <f>IFERROR(INDEX(tEditais[SRP],MATCH(tItens[[#This Row],[Edital]],tEditais[Edital],0)),"Não")</f>
        <v>Sim</v>
      </c>
      <c r="P8039" s="4">
        <f>IF(COUNTIFS(INDEX(tItens[Edital],1):tItens[[#This Row],[Edital]],tItens[[#This Row],[Edital]],INDEX(tItens[Produto],1):tItens[[#This Row],[Produto]],tItens[[#This Row],[Produto]])=1,1,0)</f>
        <v>0</v>
      </c>
    </row>
    <row r="8040" spans="1:16" x14ac:dyDescent="0.25">
      <c r="A8040" t="s">
        <v>2644</v>
      </c>
      <c r="B8040">
        <v>239</v>
      </c>
      <c r="C8040" t="s">
        <v>10535</v>
      </c>
      <c r="D8040" t="s">
        <v>154</v>
      </c>
      <c r="E8040" s="13">
        <v>1495</v>
      </c>
      <c r="F8040" s="12">
        <v>56.7</v>
      </c>
      <c r="G8040" t="str">
        <f>IFERROR(INDEX(tEditais[Órgão],MATCH(tItens[[#This Row],[Edital]],tEditais[Edital],0)),"")</f>
        <v>CONSORCIO INTEGRADO DE GESTAO PUBLICA DO ENTRE RIOS - CIGAMERIOS</v>
      </c>
      <c r="H8040" t="str">
        <f>IFERROR(INDEX(tEditais[UF],MATCH(tItens[[#This Row],[Edital]],tEditais[Edital],0)),"")</f>
        <v>SC</v>
      </c>
      <c r="I8040" s="11">
        <f>IFERROR(INDEX(tEditais[Encerramento],MATCH(tItens[[#This Row],[Edital]],tEditais[Edital],0)),"")</f>
        <v>46309.332638888889</v>
      </c>
      <c r="J8040" t="str">
        <f>IFERROR(INDEX(tProdutos[Classe],MATCH(tItens[[#This Row],[Produto]],tProdutos[Produto],0)),"produto não cadastrado")</f>
        <v>DISPUTADO</v>
      </c>
      <c r="K8040" s="12">
        <f>tItens[[#This Row],[Qtd]]*tItens[[#This Row],[Vlr unit]]</f>
        <v>84766.5</v>
      </c>
      <c r="L8040" s="6">
        <f>IFERROR(IF(INDEX(tProdutos[Desconto homologado],MATCH(tItens[[#This Row],[Produto]],tProdutos[Produto],0))="",DescontoPadrao,INDEX(tProdutos[Desconto homologado],MATCH(tItens[[#This Row],[Produto]],tProdutos[Produto],0))),DescontoPadrao)</f>
        <v>0.48690097134476601</v>
      </c>
      <c r="M8040" s="12">
        <f>tItens[[#This Row],[Valor]]*(1-tItens[[#This Row],[Desconto]])</f>
        <v>43493.608812503888</v>
      </c>
      <c r="N8040" t="str">
        <f>IFERROR(INDEX(tProdutos[Foco],MATCH(tItens[[#This Row],[Produto]],tProdutos[Produto],0)),"Não")</f>
        <v>Não</v>
      </c>
      <c r="O8040" t="str">
        <f>IFERROR(INDEX(tEditais[SRP],MATCH(tItens[[#This Row],[Edital]],tEditais[Edital],0)),"Não")</f>
        <v>Sim</v>
      </c>
      <c r="P8040" s="4">
        <f>IF(COUNTIFS(INDEX(tItens[Edital],1):tItens[[#This Row],[Edital]],tItens[[#This Row],[Edital]],INDEX(tItens[Produto],1):tItens[[#This Row],[Produto]],tItens[[#This Row],[Produto]])=1,1,0)</f>
        <v>0</v>
      </c>
    </row>
    <row r="8041" spans="1:16" x14ac:dyDescent="0.25">
      <c r="A8041" t="s">
        <v>2644</v>
      </c>
      <c r="B8041">
        <v>246</v>
      </c>
      <c r="C8041" t="s">
        <v>10536</v>
      </c>
      <c r="D8041" t="s">
        <v>144</v>
      </c>
      <c r="E8041" s="13">
        <v>1300</v>
      </c>
      <c r="F8041" s="12">
        <v>194.48</v>
      </c>
      <c r="G8041" t="str">
        <f>IFERROR(INDEX(tEditais[Órgão],MATCH(tItens[[#This Row],[Edital]],tEditais[Edital],0)),"")</f>
        <v>CONSORCIO INTEGRADO DE GESTAO PUBLICA DO ENTRE RIOS - CIGAMERIOS</v>
      </c>
      <c r="H8041" t="str">
        <f>IFERROR(INDEX(tEditais[UF],MATCH(tItens[[#This Row],[Edital]],tEditais[Edital],0)),"")</f>
        <v>SC</v>
      </c>
      <c r="I8041" s="11">
        <f>IFERROR(INDEX(tEditais[Encerramento],MATCH(tItens[[#This Row],[Edital]],tEditais[Edital],0)),"")</f>
        <v>46309.332638888889</v>
      </c>
      <c r="J8041" t="str">
        <f>IFERROR(INDEX(tProdutos[Classe],MATCH(tItens[[#This Row],[Produto]],tProdutos[Produto],0)),"produto não cadastrado")</f>
        <v>DISPUTADO</v>
      </c>
      <c r="K8041" s="12">
        <f>tItens[[#This Row],[Qtd]]*tItens[[#This Row],[Vlr unit]]</f>
        <v>252824</v>
      </c>
      <c r="L8041" s="6">
        <f>IFERROR(IF(INDEX(tProdutos[Desconto homologado],MATCH(tItens[[#This Row],[Produto]],tProdutos[Produto],0))="",DescontoPadrao,INDEX(tProdutos[Desconto homologado],MATCH(tItens[[#This Row],[Produto]],tProdutos[Produto],0))),DescontoPadrao)</f>
        <v>0.371428571428571</v>
      </c>
      <c r="M8041" s="12">
        <f>tItens[[#This Row],[Valor]]*(1-tItens[[#This Row],[Desconto]])</f>
        <v>158917.94285714297</v>
      </c>
      <c r="N8041" t="str">
        <f>IFERROR(INDEX(tProdutos[Foco],MATCH(tItens[[#This Row],[Produto]],tProdutos[Produto],0)),"Não")</f>
        <v>Não</v>
      </c>
      <c r="O8041" t="str">
        <f>IFERROR(INDEX(tEditais[SRP],MATCH(tItens[[#This Row],[Edital]],tEditais[Edital],0)),"Não")</f>
        <v>Sim</v>
      </c>
      <c r="P8041" s="4">
        <f>IF(COUNTIFS(INDEX(tItens[Edital],1):tItens[[#This Row],[Edital]],tItens[[#This Row],[Edital]],INDEX(tItens[Produto],1):tItens[[#This Row],[Produto]],tItens[[#This Row],[Produto]])=1,1,0)</f>
        <v>0</v>
      </c>
    </row>
    <row r="8042" spans="1:16" x14ac:dyDescent="0.25">
      <c r="A8042" t="s">
        <v>2644</v>
      </c>
      <c r="B8042">
        <v>247</v>
      </c>
      <c r="C8042" t="s">
        <v>10536</v>
      </c>
      <c r="D8042" t="s">
        <v>144</v>
      </c>
      <c r="E8042" s="13">
        <v>1140</v>
      </c>
      <c r="F8042" s="12">
        <v>107.49</v>
      </c>
      <c r="G8042" t="str">
        <f>IFERROR(INDEX(tEditais[Órgão],MATCH(tItens[[#This Row],[Edital]],tEditais[Edital],0)),"")</f>
        <v>CONSORCIO INTEGRADO DE GESTAO PUBLICA DO ENTRE RIOS - CIGAMERIOS</v>
      </c>
      <c r="H8042" t="str">
        <f>IFERROR(INDEX(tEditais[UF],MATCH(tItens[[#This Row],[Edital]],tEditais[Edital],0)),"")</f>
        <v>SC</v>
      </c>
      <c r="I8042" s="11">
        <f>IFERROR(INDEX(tEditais[Encerramento],MATCH(tItens[[#This Row],[Edital]],tEditais[Edital],0)),"")</f>
        <v>46309.332638888889</v>
      </c>
      <c r="J8042" t="str">
        <f>IFERROR(INDEX(tProdutos[Classe],MATCH(tItens[[#This Row],[Produto]],tProdutos[Produto],0)),"produto não cadastrado")</f>
        <v>DISPUTADO</v>
      </c>
      <c r="K8042" s="12">
        <f>tItens[[#This Row],[Qtd]]*tItens[[#This Row],[Vlr unit]]</f>
        <v>122538.59999999999</v>
      </c>
      <c r="L8042" s="6">
        <f>IFERROR(IF(INDEX(tProdutos[Desconto homologado],MATCH(tItens[[#This Row],[Produto]],tProdutos[Produto],0))="",DescontoPadrao,INDEX(tProdutos[Desconto homologado],MATCH(tItens[[#This Row],[Produto]],tProdutos[Produto],0))),DescontoPadrao)</f>
        <v>0.371428571428571</v>
      </c>
      <c r="M8042" s="12">
        <f>tItens[[#This Row],[Valor]]*(1-tItens[[#This Row],[Desconto]])</f>
        <v>77024.262857142909</v>
      </c>
      <c r="N8042" t="str">
        <f>IFERROR(INDEX(tProdutos[Foco],MATCH(tItens[[#This Row],[Produto]],tProdutos[Produto],0)),"Não")</f>
        <v>Não</v>
      </c>
      <c r="O8042" t="str">
        <f>IFERROR(INDEX(tEditais[SRP],MATCH(tItens[[#This Row],[Edital]],tEditais[Edital],0)),"Não")</f>
        <v>Sim</v>
      </c>
      <c r="P8042" s="4">
        <f>IF(COUNTIFS(INDEX(tItens[Edital],1):tItens[[#This Row],[Edital]],tItens[[#This Row],[Edital]],INDEX(tItens[Produto],1):tItens[[#This Row],[Produto]],tItens[[#This Row],[Produto]])=1,1,0)</f>
        <v>0</v>
      </c>
    </row>
    <row r="8043" spans="1:16" x14ac:dyDescent="0.25">
      <c r="A8043" t="s">
        <v>2644</v>
      </c>
      <c r="B8043">
        <v>264</v>
      </c>
      <c r="C8043" t="s">
        <v>10537</v>
      </c>
      <c r="D8043" t="s">
        <v>299</v>
      </c>
      <c r="E8043" s="13">
        <v>125810</v>
      </c>
      <c r="F8043" s="12">
        <v>0.46</v>
      </c>
      <c r="G8043" t="str">
        <f>IFERROR(INDEX(tEditais[Órgão],MATCH(tItens[[#This Row],[Edital]],tEditais[Edital],0)),"")</f>
        <v>CONSORCIO INTEGRADO DE GESTAO PUBLICA DO ENTRE RIOS - CIGAMERIOS</v>
      </c>
      <c r="H8043" t="str">
        <f>IFERROR(INDEX(tEditais[UF],MATCH(tItens[[#This Row],[Edital]],tEditais[Edital],0)),"")</f>
        <v>SC</v>
      </c>
      <c r="I8043" s="11">
        <f>IFERROR(INDEX(tEditais[Encerramento],MATCH(tItens[[#This Row],[Edital]],tEditais[Edital],0)),"")</f>
        <v>46309.332638888889</v>
      </c>
      <c r="J8043" t="str">
        <f>IFERROR(INDEX(tProdutos[Classe],MATCH(tItens[[#This Row],[Produto]],tProdutos[Produto],0)),"produto não cadastrado")</f>
        <v>FORA</v>
      </c>
      <c r="K8043" s="12">
        <f>tItens[[#This Row],[Qtd]]*tItens[[#This Row],[Vlr unit]]</f>
        <v>57872.600000000006</v>
      </c>
      <c r="L8043" s="6">
        <f>IFERROR(IF(INDEX(tProdutos[Desconto homologado],MATCH(tItens[[#This Row],[Produto]],tProdutos[Produto],0))="",DescontoPadrao,INDEX(tProdutos[Desconto homologado],MATCH(tItens[[#This Row],[Produto]],tProdutos[Produto],0))),DescontoPadrao)</f>
        <v>0.42211465163381601</v>
      </c>
      <c r="M8043" s="12">
        <f>tItens[[#This Row],[Valor]]*(1-tItens[[#This Row],[Desconto]])</f>
        <v>33443.727611856826</v>
      </c>
      <c r="N8043" t="str">
        <f>IFERROR(INDEX(tProdutos[Foco],MATCH(tItens[[#This Row],[Produto]],tProdutos[Produto],0)),"Não")</f>
        <v>Não</v>
      </c>
      <c r="O8043" t="str">
        <f>IFERROR(INDEX(tEditais[SRP],MATCH(tItens[[#This Row],[Edital]],tEditais[Edital],0)),"Não")</f>
        <v>Sim</v>
      </c>
      <c r="P8043" s="4">
        <f>IF(COUNTIFS(INDEX(tItens[Edital],1):tItens[[#This Row],[Edital]],tItens[[#This Row],[Edital]],INDEX(tItens[Produto],1):tItens[[#This Row],[Produto]],tItens[[#This Row],[Produto]])=1,1,0)</f>
        <v>1</v>
      </c>
    </row>
    <row r="8044" spans="1:16" x14ac:dyDescent="0.25">
      <c r="A8044" t="s">
        <v>2644</v>
      </c>
      <c r="B8044">
        <v>271</v>
      </c>
      <c r="C8044" t="s">
        <v>10538</v>
      </c>
      <c r="D8044" t="s">
        <v>333</v>
      </c>
      <c r="E8044" s="13">
        <v>49410</v>
      </c>
      <c r="F8044" s="12">
        <v>0.91</v>
      </c>
      <c r="G8044" t="str">
        <f>IFERROR(INDEX(tEditais[Órgão],MATCH(tItens[[#This Row],[Edital]],tEditais[Edital],0)),"")</f>
        <v>CONSORCIO INTEGRADO DE GESTAO PUBLICA DO ENTRE RIOS - CIGAMERIOS</v>
      </c>
      <c r="H8044" t="str">
        <f>IFERROR(INDEX(tEditais[UF],MATCH(tItens[[#This Row],[Edital]],tEditais[Edital],0)),"")</f>
        <v>SC</v>
      </c>
      <c r="I8044" s="11">
        <f>IFERROR(INDEX(tEditais[Encerramento],MATCH(tItens[[#This Row],[Edital]],tEditais[Edital],0)),"")</f>
        <v>46309.332638888889</v>
      </c>
      <c r="J8044" t="str">
        <f>IFERROR(INDEX(tProdutos[Classe],MATCH(tItens[[#This Row],[Produto]],tProdutos[Produto],0)),"produto não cadastrado")</f>
        <v>FORA</v>
      </c>
      <c r="K8044" s="12">
        <f>tItens[[#This Row],[Qtd]]*tItens[[#This Row],[Vlr unit]]</f>
        <v>44963.1</v>
      </c>
      <c r="L8044" s="6">
        <f>IFERROR(IF(INDEX(tProdutos[Desconto homologado],MATCH(tItens[[#This Row],[Produto]],tProdutos[Produto],0))="",DescontoPadrao,INDEX(tProdutos[Desconto homologado],MATCH(tItens[[#This Row],[Produto]],tProdutos[Produto],0))),DescontoPadrao)</f>
        <v>0.48951048951048998</v>
      </c>
      <c r="M8044" s="12">
        <f>tItens[[#This Row],[Valor]]*(1-tItens[[#This Row],[Desconto]])</f>
        <v>22953.190909090885</v>
      </c>
      <c r="N8044" t="str">
        <f>IFERROR(INDEX(tProdutos[Foco],MATCH(tItens[[#This Row],[Produto]],tProdutos[Produto],0)),"Não")</f>
        <v>Não</v>
      </c>
      <c r="O8044" t="str">
        <f>IFERROR(INDEX(tEditais[SRP],MATCH(tItens[[#This Row],[Edital]],tEditais[Edital],0)),"Não")</f>
        <v>Sim</v>
      </c>
      <c r="P8044" s="4">
        <f>IF(COUNTIFS(INDEX(tItens[Edital],1):tItens[[#This Row],[Edital]],tItens[[#This Row],[Edital]],INDEX(tItens[Produto],1):tItens[[#This Row],[Produto]],tItens[[#This Row],[Produto]])=1,1,0)</f>
        <v>1</v>
      </c>
    </row>
    <row r="8045" spans="1:16" x14ac:dyDescent="0.25">
      <c r="A8045" t="s">
        <v>2644</v>
      </c>
      <c r="B8045">
        <v>272</v>
      </c>
      <c r="C8045" t="s">
        <v>10539</v>
      </c>
      <c r="D8045" t="s">
        <v>333</v>
      </c>
      <c r="E8045" s="13">
        <v>44610</v>
      </c>
      <c r="F8045" s="12">
        <v>4.6399999999999997</v>
      </c>
      <c r="G8045" t="str">
        <f>IFERROR(INDEX(tEditais[Órgão],MATCH(tItens[[#This Row],[Edital]],tEditais[Edital],0)),"")</f>
        <v>CONSORCIO INTEGRADO DE GESTAO PUBLICA DO ENTRE RIOS - CIGAMERIOS</v>
      </c>
      <c r="H8045" t="str">
        <f>IFERROR(INDEX(tEditais[UF],MATCH(tItens[[#This Row],[Edital]],tEditais[Edital],0)),"")</f>
        <v>SC</v>
      </c>
      <c r="I8045" s="11">
        <f>IFERROR(INDEX(tEditais[Encerramento],MATCH(tItens[[#This Row],[Edital]],tEditais[Edital],0)),"")</f>
        <v>46309.332638888889</v>
      </c>
      <c r="J8045" t="str">
        <f>IFERROR(INDEX(tProdutos[Classe],MATCH(tItens[[#This Row],[Produto]],tProdutos[Produto],0)),"produto não cadastrado")</f>
        <v>FORA</v>
      </c>
      <c r="K8045" s="12">
        <f>tItens[[#This Row],[Qtd]]*tItens[[#This Row],[Vlr unit]]</f>
        <v>206990.4</v>
      </c>
      <c r="L8045" s="6">
        <f>IFERROR(IF(INDEX(tProdutos[Desconto homologado],MATCH(tItens[[#This Row],[Produto]],tProdutos[Produto],0))="",DescontoPadrao,INDEX(tProdutos[Desconto homologado],MATCH(tItens[[#This Row],[Produto]],tProdutos[Produto],0))),DescontoPadrao)</f>
        <v>0.48951048951048998</v>
      </c>
      <c r="M8045" s="12">
        <f>tItens[[#This Row],[Valor]]*(1-tItens[[#This Row],[Desconto]])</f>
        <v>105666.42797202786</v>
      </c>
      <c r="N8045" t="str">
        <f>IFERROR(INDEX(tProdutos[Foco],MATCH(tItens[[#This Row],[Produto]],tProdutos[Produto],0)),"Não")</f>
        <v>Não</v>
      </c>
      <c r="O8045" t="str">
        <f>IFERROR(INDEX(tEditais[SRP],MATCH(tItens[[#This Row],[Edital]],tEditais[Edital],0)),"Não")</f>
        <v>Sim</v>
      </c>
      <c r="P8045" s="4">
        <f>IF(COUNTIFS(INDEX(tItens[Edital],1):tItens[[#This Row],[Edital]],tItens[[#This Row],[Edital]],INDEX(tItens[Produto],1):tItens[[#This Row],[Produto]],tItens[[#This Row],[Produto]])=1,1,0)</f>
        <v>0</v>
      </c>
    </row>
    <row r="8046" spans="1:16" x14ac:dyDescent="0.25">
      <c r="A8046" t="s">
        <v>2644</v>
      </c>
      <c r="B8046">
        <v>273</v>
      </c>
      <c r="C8046" t="s">
        <v>10540</v>
      </c>
      <c r="D8046" t="s">
        <v>187</v>
      </c>
      <c r="E8046" s="13">
        <v>7710</v>
      </c>
      <c r="F8046" s="12">
        <v>3</v>
      </c>
      <c r="G8046" t="str">
        <f>IFERROR(INDEX(tEditais[Órgão],MATCH(tItens[[#This Row],[Edital]],tEditais[Edital],0)),"")</f>
        <v>CONSORCIO INTEGRADO DE GESTAO PUBLICA DO ENTRE RIOS - CIGAMERIOS</v>
      </c>
      <c r="H8046" t="str">
        <f>IFERROR(INDEX(tEditais[UF],MATCH(tItens[[#This Row],[Edital]],tEditais[Edital],0)),"")</f>
        <v>SC</v>
      </c>
      <c r="I8046" s="11">
        <f>IFERROR(INDEX(tEditais[Encerramento],MATCH(tItens[[#This Row],[Edital]],tEditais[Edital],0)),"")</f>
        <v>46309.332638888889</v>
      </c>
      <c r="J8046" t="str">
        <f>IFERROR(INDEX(tProdutos[Classe],MATCH(tItens[[#This Row],[Produto]],tProdutos[Produto],0)),"produto não cadastrado")</f>
        <v>DISPUTADO</v>
      </c>
      <c r="K8046" s="12">
        <f>tItens[[#This Row],[Qtd]]*tItens[[#This Row],[Vlr unit]]</f>
        <v>23130</v>
      </c>
      <c r="L8046" s="6">
        <f>IFERROR(IF(INDEX(tProdutos[Desconto homologado],MATCH(tItens[[#This Row],[Produto]],tProdutos[Produto],0))="",DescontoPadrao,INDEX(tProdutos[Desconto homologado],MATCH(tItens[[#This Row],[Produto]],tProdutos[Produto],0))),DescontoPadrao)</f>
        <v>0.44298820445609399</v>
      </c>
      <c r="M8046" s="12">
        <f>tItens[[#This Row],[Valor]]*(1-tItens[[#This Row],[Desconto]])</f>
        <v>12883.682830930546</v>
      </c>
      <c r="N8046" t="str">
        <f>IFERROR(INDEX(tProdutos[Foco],MATCH(tItens[[#This Row],[Produto]],tProdutos[Produto],0)),"Não")</f>
        <v>Não</v>
      </c>
      <c r="O8046" t="str">
        <f>IFERROR(INDEX(tEditais[SRP],MATCH(tItens[[#This Row],[Edital]],tEditais[Edital],0)),"Não")</f>
        <v>Sim</v>
      </c>
      <c r="P8046" s="4">
        <f>IF(COUNTIFS(INDEX(tItens[Edital],1):tItens[[#This Row],[Edital]],tItens[[#This Row],[Edital]],INDEX(tItens[Produto],1):tItens[[#This Row],[Produto]],tItens[[#This Row],[Produto]])=1,1,0)</f>
        <v>1</v>
      </c>
    </row>
    <row r="8047" spans="1:16" x14ac:dyDescent="0.25">
      <c r="A8047" t="s">
        <v>2644</v>
      </c>
      <c r="B8047">
        <v>275</v>
      </c>
      <c r="C8047" t="s">
        <v>10541</v>
      </c>
      <c r="D8047" t="s">
        <v>331</v>
      </c>
      <c r="E8047" s="13">
        <v>16960</v>
      </c>
      <c r="F8047" s="12">
        <v>1.24</v>
      </c>
      <c r="G8047" t="str">
        <f>IFERROR(INDEX(tEditais[Órgão],MATCH(tItens[[#This Row],[Edital]],tEditais[Edital],0)),"")</f>
        <v>CONSORCIO INTEGRADO DE GESTAO PUBLICA DO ENTRE RIOS - CIGAMERIOS</v>
      </c>
      <c r="H8047" t="str">
        <f>IFERROR(INDEX(tEditais[UF],MATCH(tItens[[#This Row],[Edital]],tEditais[Edital],0)),"")</f>
        <v>SC</v>
      </c>
      <c r="I8047" s="11">
        <f>IFERROR(INDEX(tEditais[Encerramento],MATCH(tItens[[#This Row],[Edital]],tEditais[Edital],0)),"")</f>
        <v>46309.332638888889</v>
      </c>
      <c r="J8047" t="str">
        <f>IFERROR(INDEX(tProdutos[Classe],MATCH(tItens[[#This Row],[Produto]],tProdutos[Produto],0)),"produto não cadastrado")</f>
        <v>FORA</v>
      </c>
      <c r="K8047" s="12">
        <f>tItens[[#This Row],[Qtd]]*tItens[[#This Row],[Vlr unit]]</f>
        <v>21030.400000000001</v>
      </c>
      <c r="L8047" s="6">
        <f>IFERROR(IF(INDEX(tProdutos[Desconto homologado],MATCH(tItens[[#This Row],[Produto]],tProdutos[Produto],0))="",DescontoPadrao,INDEX(tProdutos[Desconto homologado],MATCH(tItens[[#This Row],[Produto]],tProdutos[Produto],0))),DescontoPadrao)</f>
        <v>0.45927812223206399</v>
      </c>
      <c r="M8047" s="12">
        <f>tItens[[#This Row],[Valor]]*(1-tItens[[#This Row],[Desconto]])</f>
        <v>11371.597378210803</v>
      </c>
      <c r="N8047" t="str">
        <f>IFERROR(INDEX(tProdutos[Foco],MATCH(tItens[[#This Row],[Produto]],tProdutos[Produto],0)),"Não")</f>
        <v>Não</v>
      </c>
      <c r="O8047" t="str">
        <f>IFERROR(INDEX(tEditais[SRP],MATCH(tItens[[#This Row],[Edital]],tEditais[Edital],0)),"Não")</f>
        <v>Sim</v>
      </c>
      <c r="P8047" s="4">
        <f>IF(COUNTIFS(INDEX(tItens[Edital],1):tItens[[#This Row],[Edital]],tItens[[#This Row],[Edital]],INDEX(tItens[Produto],1):tItens[[#This Row],[Produto]],tItens[[#This Row],[Produto]])=1,1,0)</f>
        <v>1</v>
      </c>
    </row>
    <row r="8048" spans="1:16" x14ac:dyDescent="0.25">
      <c r="A8048" t="s">
        <v>2644</v>
      </c>
      <c r="B8048">
        <v>276</v>
      </c>
      <c r="C8048" t="s">
        <v>10541</v>
      </c>
      <c r="D8048" t="s">
        <v>331</v>
      </c>
      <c r="E8048" s="13">
        <v>7230</v>
      </c>
      <c r="F8048" s="12">
        <v>10.25</v>
      </c>
      <c r="G8048" t="str">
        <f>IFERROR(INDEX(tEditais[Órgão],MATCH(tItens[[#This Row],[Edital]],tEditais[Edital],0)),"")</f>
        <v>CONSORCIO INTEGRADO DE GESTAO PUBLICA DO ENTRE RIOS - CIGAMERIOS</v>
      </c>
      <c r="H8048" t="str">
        <f>IFERROR(INDEX(tEditais[UF],MATCH(tItens[[#This Row],[Edital]],tEditais[Edital],0)),"")</f>
        <v>SC</v>
      </c>
      <c r="I8048" s="11">
        <f>IFERROR(INDEX(tEditais[Encerramento],MATCH(tItens[[#This Row],[Edital]],tEditais[Edital],0)),"")</f>
        <v>46309.332638888889</v>
      </c>
      <c r="J8048" t="str">
        <f>IFERROR(INDEX(tProdutos[Classe],MATCH(tItens[[#This Row],[Produto]],tProdutos[Produto],0)),"produto não cadastrado")</f>
        <v>FORA</v>
      </c>
      <c r="K8048" s="12">
        <f>tItens[[#This Row],[Qtd]]*tItens[[#This Row],[Vlr unit]]</f>
        <v>74107.5</v>
      </c>
      <c r="L8048" s="6">
        <f>IFERROR(IF(INDEX(tProdutos[Desconto homologado],MATCH(tItens[[#This Row],[Produto]],tProdutos[Produto],0))="",DescontoPadrao,INDEX(tProdutos[Desconto homologado],MATCH(tItens[[#This Row],[Produto]],tProdutos[Produto],0))),DescontoPadrao)</f>
        <v>0.45927812223206399</v>
      </c>
      <c r="M8048" s="12">
        <f>tItens[[#This Row],[Valor]]*(1-tItens[[#This Row],[Desconto]])</f>
        <v>40071.546556687317</v>
      </c>
      <c r="N8048" t="str">
        <f>IFERROR(INDEX(tProdutos[Foco],MATCH(tItens[[#This Row],[Produto]],tProdutos[Produto],0)),"Não")</f>
        <v>Não</v>
      </c>
      <c r="O8048" t="str">
        <f>IFERROR(INDEX(tEditais[SRP],MATCH(tItens[[#This Row],[Edital]],tEditais[Edital],0)),"Não")</f>
        <v>Sim</v>
      </c>
      <c r="P8048" s="4">
        <f>IF(COUNTIFS(INDEX(tItens[Edital],1):tItens[[#This Row],[Edital]],tItens[[#This Row],[Edital]],INDEX(tItens[Produto],1):tItens[[#This Row],[Produto]],tItens[[#This Row],[Produto]])=1,1,0)</f>
        <v>0</v>
      </c>
    </row>
    <row r="8049" spans="1:16" x14ac:dyDescent="0.25">
      <c r="A8049" t="s">
        <v>2644</v>
      </c>
      <c r="B8049">
        <v>277</v>
      </c>
      <c r="C8049" t="s">
        <v>10542</v>
      </c>
      <c r="D8049" t="s">
        <v>60</v>
      </c>
      <c r="E8049" s="13">
        <v>1730</v>
      </c>
      <c r="F8049" s="12">
        <v>38.369999999999997</v>
      </c>
      <c r="G8049" t="str">
        <f>IFERROR(INDEX(tEditais[Órgão],MATCH(tItens[[#This Row],[Edital]],tEditais[Edital],0)),"")</f>
        <v>CONSORCIO INTEGRADO DE GESTAO PUBLICA DO ENTRE RIOS - CIGAMERIOS</v>
      </c>
      <c r="H8049" t="str">
        <f>IFERROR(INDEX(tEditais[UF],MATCH(tItens[[#This Row],[Edital]],tEditais[Edital],0)),"")</f>
        <v>SC</v>
      </c>
      <c r="I8049" s="11">
        <f>IFERROR(INDEX(tEditais[Encerramento],MATCH(tItens[[#This Row],[Edital]],tEditais[Edital],0)),"")</f>
        <v>46309.332638888889</v>
      </c>
      <c r="J8049" t="str">
        <f>IFERROR(INDEX(tProdutos[Classe],MATCH(tItens[[#This Row],[Produto]],tProdutos[Produto],0)),"produto não cadastrado")</f>
        <v>NÚCLEO</v>
      </c>
      <c r="K8049" s="12">
        <f>tItens[[#This Row],[Qtd]]*tItens[[#This Row],[Vlr unit]]</f>
        <v>66380.099999999991</v>
      </c>
      <c r="L8049" s="6">
        <f>IFERROR(IF(INDEX(tProdutos[Desconto homologado],MATCH(tItens[[#This Row],[Produto]],tProdutos[Produto],0))="",DescontoPadrao,INDEX(tProdutos[Desconto homologado],MATCH(tItens[[#This Row],[Produto]],tProdutos[Produto],0))),DescontoPadrao)</f>
        <v>0.23</v>
      </c>
      <c r="M8049" s="12">
        <f>tItens[[#This Row],[Valor]]*(1-tItens[[#This Row],[Desconto]])</f>
        <v>51112.676999999996</v>
      </c>
      <c r="N8049" t="str">
        <f>IFERROR(INDEX(tProdutos[Foco],MATCH(tItens[[#This Row],[Produto]],tProdutos[Produto],0)),"Não")</f>
        <v>Sim</v>
      </c>
      <c r="O8049" t="str">
        <f>IFERROR(INDEX(tEditais[SRP],MATCH(tItens[[#This Row],[Edital]],tEditais[Edital],0)),"Não")</f>
        <v>Sim</v>
      </c>
      <c r="P8049" s="4">
        <f>IF(COUNTIFS(INDEX(tItens[Edital],1):tItens[[#This Row],[Edital]],tItens[[#This Row],[Edital]],INDEX(tItens[Produto],1):tItens[[#This Row],[Produto]],tItens[[#This Row],[Produto]])=1,1,0)</f>
        <v>1</v>
      </c>
    </row>
    <row r="8050" spans="1:16" x14ac:dyDescent="0.25">
      <c r="A8050" t="s">
        <v>2644</v>
      </c>
      <c r="B8050">
        <v>280</v>
      </c>
      <c r="C8050" t="s">
        <v>10543</v>
      </c>
      <c r="D8050" t="s">
        <v>90</v>
      </c>
      <c r="E8050" s="13">
        <v>7180</v>
      </c>
      <c r="F8050" s="12">
        <v>6.47</v>
      </c>
      <c r="G8050" t="str">
        <f>IFERROR(INDEX(tEditais[Órgão],MATCH(tItens[[#This Row],[Edital]],tEditais[Edital],0)),"")</f>
        <v>CONSORCIO INTEGRADO DE GESTAO PUBLICA DO ENTRE RIOS - CIGAMERIOS</v>
      </c>
      <c r="H8050" t="str">
        <f>IFERROR(INDEX(tEditais[UF],MATCH(tItens[[#This Row],[Edital]],tEditais[Edital],0)),"")</f>
        <v>SC</v>
      </c>
      <c r="I8050" s="11">
        <f>IFERROR(INDEX(tEditais[Encerramento],MATCH(tItens[[#This Row],[Edital]],tEditais[Edital],0)),"")</f>
        <v>46309.332638888889</v>
      </c>
      <c r="J8050" t="str">
        <f>IFERROR(INDEX(tProdutos[Classe],MATCH(tItens[[#This Row],[Produto]],tProdutos[Produto],0)),"produto não cadastrado")</f>
        <v>DISPUTADO</v>
      </c>
      <c r="K8050" s="12">
        <f>tItens[[#This Row],[Qtd]]*tItens[[#This Row],[Vlr unit]]</f>
        <v>46454.6</v>
      </c>
      <c r="L8050" s="6">
        <f>IFERROR(IF(INDEX(tProdutos[Desconto homologado],MATCH(tItens[[#This Row],[Produto]],tProdutos[Produto],0))="",DescontoPadrao,INDEX(tProdutos[Desconto homologado],MATCH(tItens[[#This Row],[Produto]],tProdutos[Produto],0))),DescontoPadrao)</f>
        <v>0.25393823957010597</v>
      </c>
      <c r="M8050" s="12">
        <f>tItens[[#This Row],[Valor]]*(1-tItens[[#This Row],[Desconto]])</f>
        <v>34658.000656066557</v>
      </c>
      <c r="N8050" t="str">
        <f>IFERROR(INDEX(tProdutos[Foco],MATCH(tItens[[#This Row],[Produto]],tProdutos[Produto],0)),"Não")</f>
        <v>Não</v>
      </c>
      <c r="O8050" t="str">
        <f>IFERROR(INDEX(tEditais[SRP],MATCH(tItens[[#This Row],[Edital]],tEditais[Edital],0)),"Não")</f>
        <v>Sim</v>
      </c>
      <c r="P8050" s="4">
        <f>IF(COUNTIFS(INDEX(tItens[Edital],1):tItens[[#This Row],[Edital]],tItens[[#This Row],[Edital]],INDEX(tItens[Produto],1):tItens[[#This Row],[Produto]],tItens[[#This Row],[Produto]])=1,1,0)</f>
        <v>1</v>
      </c>
    </row>
    <row r="8051" spans="1:16" x14ac:dyDescent="0.25">
      <c r="A8051" t="s">
        <v>2644</v>
      </c>
      <c r="B8051">
        <v>281</v>
      </c>
      <c r="C8051" t="s">
        <v>10544</v>
      </c>
      <c r="D8051" t="s">
        <v>90</v>
      </c>
      <c r="E8051" s="13">
        <v>10072</v>
      </c>
      <c r="F8051" s="12">
        <v>10.37</v>
      </c>
      <c r="G8051" t="str">
        <f>IFERROR(INDEX(tEditais[Órgão],MATCH(tItens[[#This Row],[Edital]],tEditais[Edital],0)),"")</f>
        <v>CONSORCIO INTEGRADO DE GESTAO PUBLICA DO ENTRE RIOS - CIGAMERIOS</v>
      </c>
      <c r="H8051" t="str">
        <f>IFERROR(INDEX(tEditais[UF],MATCH(tItens[[#This Row],[Edital]],tEditais[Edital],0)),"")</f>
        <v>SC</v>
      </c>
      <c r="I8051" s="11">
        <f>IFERROR(INDEX(tEditais[Encerramento],MATCH(tItens[[#This Row],[Edital]],tEditais[Edital],0)),"")</f>
        <v>46309.332638888889</v>
      </c>
      <c r="J8051" t="str">
        <f>IFERROR(INDEX(tProdutos[Classe],MATCH(tItens[[#This Row],[Produto]],tProdutos[Produto],0)),"produto não cadastrado")</f>
        <v>DISPUTADO</v>
      </c>
      <c r="K8051" s="12">
        <f>tItens[[#This Row],[Qtd]]*tItens[[#This Row],[Vlr unit]]</f>
        <v>104446.63999999998</v>
      </c>
      <c r="L8051" s="6">
        <f>IFERROR(IF(INDEX(tProdutos[Desconto homologado],MATCH(tItens[[#This Row],[Produto]],tProdutos[Produto],0))="",DescontoPadrao,INDEX(tProdutos[Desconto homologado],MATCH(tItens[[#This Row],[Produto]],tProdutos[Produto],0))),DescontoPadrao)</f>
        <v>0.25393823957010597</v>
      </c>
      <c r="M8051" s="12">
        <f>tItens[[#This Row],[Valor]]*(1-tItens[[#This Row],[Desconto]])</f>
        <v>77923.644109387373</v>
      </c>
      <c r="N8051" t="str">
        <f>IFERROR(INDEX(tProdutos[Foco],MATCH(tItens[[#This Row],[Produto]],tProdutos[Produto],0)),"Não")</f>
        <v>Não</v>
      </c>
      <c r="O8051" t="str">
        <f>IFERROR(INDEX(tEditais[SRP],MATCH(tItens[[#This Row],[Edital]],tEditais[Edital],0)),"Não")</f>
        <v>Sim</v>
      </c>
      <c r="P8051" s="4">
        <f>IF(COUNTIFS(INDEX(tItens[Edital],1):tItens[[#This Row],[Edital]],tItens[[#This Row],[Edital]],INDEX(tItens[Produto],1):tItens[[#This Row],[Produto]],tItens[[#This Row],[Produto]])=1,1,0)</f>
        <v>0</v>
      </c>
    </row>
    <row r="8052" spans="1:16" x14ac:dyDescent="0.25">
      <c r="A8052" t="s">
        <v>2644</v>
      </c>
      <c r="B8052">
        <v>282</v>
      </c>
      <c r="C8052" t="s">
        <v>10545</v>
      </c>
      <c r="D8052" t="s">
        <v>90</v>
      </c>
      <c r="E8052" s="13">
        <v>10442</v>
      </c>
      <c r="F8052" s="12">
        <v>10.19</v>
      </c>
      <c r="G8052" t="str">
        <f>IFERROR(INDEX(tEditais[Órgão],MATCH(tItens[[#This Row],[Edital]],tEditais[Edital],0)),"")</f>
        <v>CONSORCIO INTEGRADO DE GESTAO PUBLICA DO ENTRE RIOS - CIGAMERIOS</v>
      </c>
      <c r="H8052" t="str">
        <f>IFERROR(INDEX(tEditais[UF],MATCH(tItens[[#This Row],[Edital]],tEditais[Edital],0)),"")</f>
        <v>SC</v>
      </c>
      <c r="I8052" s="11">
        <f>IFERROR(INDEX(tEditais[Encerramento],MATCH(tItens[[#This Row],[Edital]],tEditais[Edital],0)),"")</f>
        <v>46309.332638888889</v>
      </c>
      <c r="J8052" t="str">
        <f>IFERROR(INDEX(tProdutos[Classe],MATCH(tItens[[#This Row],[Produto]],tProdutos[Produto],0)),"produto não cadastrado")</f>
        <v>DISPUTADO</v>
      </c>
      <c r="K8052" s="12">
        <f>tItens[[#This Row],[Qtd]]*tItens[[#This Row],[Vlr unit]]</f>
        <v>106403.98</v>
      </c>
      <c r="L8052" s="6">
        <f>IFERROR(IF(INDEX(tProdutos[Desconto homologado],MATCH(tItens[[#This Row],[Produto]],tProdutos[Produto],0))="",DescontoPadrao,INDEX(tProdutos[Desconto homologado],MATCH(tItens[[#This Row],[Produto]],tProdutos[Produto],0))),DescontoPadrao)</f>
        <v>0.25393823957010597</v>
      </c>
      <c r="M8052" s="12">
        <f>tItens[[#This Row],[Valor]]*(1-tItens[[#This Row],[Desconto]])</f>
        <v>79383.940635547231</v>
      </c>
      <c r="N8052" t="str">
        <f>IFERROR(INDEX(tProdutos[Foco],MATCH(tItens[[#This Row],[Produto]],tProdutos[Produto],0)),"Não")</f>
        <v>Não</v>
      </c>
      <c r="O8052" t="str">
        <f>IFERROR(INDEX(tEditais[SRP],MATCH(tItens[[#This Row],[Edital]],tEditais[Edital],0)),"Não")</f>
        <v>Sim</v>
      </c>
      <c r="P8052" s="4">
        <f>IF(COUNTIFS(INDEX(tItens[Edital],1):tItens[[#This Row],[Edital]],tItens[[#This Row],[Edital]],INDEX(tItens[Produto],1):tItens[[#This Row],[Produto]],tItens[[#This Row],[Produto]])=1,1,0)</f>
        <v>0</v>
      </c>
    </row>
    <row r="8053" spans="1:16" x14ac:dyDescent="0.25">
      <c r="A8053" t="s">
        <v>2644</v>
      </c>
      <c r="B8053">
        <v>283</v>
      </c>
      <c r="C8053" t="s">
        <v>10546</v>
      </c>
      <c r="D8053" t="s">
        <v>233</v>
      </c>
      <c r="E8053" s="13">
        <v>2010</v>
      </c>
      <c r="F8053" s="12">
        <v>13.9</v>
      </c>
      <c r="G8053" t="str">
        <f>IFERROR(INDEX(tEditais[Órgão],MATCH(tItens[[#This Row],[Edital]],tEditais[Edital],0)),"")</f>
        <v>CONSORCIO INTEGRADO DE GESTAO PUBLICA DO ENTRE RIOS - CIGAMERIOS</v>
      </c>
      <c r="H8053" t="str">
        <f>IFERROR(INDEX(tEditais[UF],MATCH(tItens[[#This Row],[Edital]],tEditais[Edital],0)),"")</f>
        <v>SC</v>
      </c>
      <c r="I8053" s="11">
        <f>IFERROR(INDEX(tEditais[Encerramento],MATCH(tItens[[#This Row],[Edital]],tEditais[Edital],0)),"")</f>
        <v>46309.332638888889</v>
      </c>
      <c r="J8053" t="str">
        <f>IFERROR(INDEX(tProdutos[Classe],MATCH(tItens[[#This Row],[Produto]],tProdutos[Produto],0)),"produto não cadastrado")</f>
        <v>FORA</v>
      </c>
      <c r="K8053" s="12">
        <f>tItens[[#This Row],[Qtd]]*tItens[[#This Row],[Vlr unit]]</f>
        <v>27939</v>
      </c>
      <c r="L8053" s="6">
        <f>IFERROR(IF(INDEX(tProdutos[Desconto homologado],MATCH(tItens[[#This Row],[Produto]],tProdutos[Produto],0))="",DescontoPadrao,INDEX(tProdutos[Desconto homologado],MATCH(tItens[[#This Row],[Produto]],tProdutos[Produto],0))),DescontoPadrao)</f>
        <v>0.246270084162204</v>
      </c>
      <c r="M8053" s="12">
        <f>tItens[[#This Row],[Valor]]*(1-tItens[[#This Row],[Desconto]])</f>
        <v>21058.460118592182</v>
      </c>
      <c r="N8053" t="str">
        <f>IFERROR(INDEX(tProdutos[Foco],MATCH(tItens[[#This Row],[Produto]],tProdutos[Produto],0)),"Não")</f>
        <v>Não</v>
      </c>
      <c r="O8053" t="str">
        <f>IFERROR(INDEX(tEditais[SRP],MATCH(tItens[[#This Row],[Edital]],tEditais[Edital],0)),"Não")</f>
        <v>Sim</v>
      </c>
      <c r="P8053" s="4">
        <f>IF(COUNTIFS(INDEX(tItens[Edital],1):tItens[[#This Row],[Edital]],tItens[[#This Row],[Edital]],INDEX(tItens[Produto],1):tItens[[#This Row],[Produto]],tItens[[#This Row],[Produto]])=1,1,0)</f>
        <v>1</v>
      </c>
    </row>
    <row r="8054" spans="1:16" x14ac:dyDescent="0.25">
      <c r="A8054" t="s">
        <v>2644</v>
      </c>
      <c r="B8054">
        <v>284</v>
      </c>
      <c r="C8054" t="s">
        <v>10547</v>
      </c>
      <c r="D8054" t="s">
        <v>75</v>
      </c>
      <c r="E8054" s="13">
        <v>4460</v>
      </c>
      <c r="F8054" s="12">
        <v>3.17</v>
      </c>
      <c r="G8054" t="str">
        <f>IFERROR(INDEX(tEditais[Órgão],MATCH(tItens[[#This Row],[Edital]],tEditais[Edital],0)),"")</f>
        <v>CONSORCIO INTEGRADO DE GESTAO PUBLICA DO ENTRE RIOS - CIGAMERIOS</v>
      </c>
      <c r="H8054" t="str">
        <f>IFERROR(INDEX(tEditais[UF],MATCH(tItens[[#This Row],[Edital]],tEditais[Edital],0)),"")</f>
        <v>SC</v>
      </c>
      <c r="I8054" s="11">
        <f>IFERROR(INDEX(tEditais[Encerramento],MATCH(tItens[[#This Row],[Edital]],tEditais[Edital],0)),"")</f>
        <v>46309.332638888889</v>
      </c>
      <c r="J8054" t="str">
        <f>IFERROR(INDEX(tProdutos[Classe],MATCH(tItens[[#This Row],[Produto]],tProdutos[Produto],0)),"produto não cadastrado")</f>
        <v>NÚCLEO</v>
      </c>
      <c r="K8054" s="12">
        <f>tItens[[#This Row],[Qtd]]*tItens[[#This Row],[Vlr unit]]</f>
        <v>14138.199999999999</v>
      </c>
      <c r="L8054" s="6">
        <f>IFERROR(IF(INDEX(tProdutos[Desconto homologado],MATCH(tItens[[#This Row],[Produto]],tProdutos[Produto],0))="",DescontoPadrao,INDEX(tProdutos[Desconto homologado],MATCH(tItens[[#This Row],[Produto]],tProdutos[Produto],0))),DescontoPadrao)</f>
        <v>0.26</v>
      </c>
      <c r="M8054" s="12">
        <f>tItens[[#This Row],[Valor]]*(1-tItens[[#This Row],[Desconto]])</f>
        <v>10462.267999999998</v>
      </c>
      <c r="N8054" t="str">
        <f>IFERROR(INDEX(tProdutos[Foco],MATCH(tItens[[#This Row],[Produto]],tProdutos[Produto],0)),"Não")</f>
        <v>Sim</v>
      </c>
      <c r="O8054" t="str">
        <f>IFERROR(INDEX(tEditais[SRP],MATCH(tItens[[#This Row],[Edital]],tEditais[Edital],0)),"Não")</f>
        <v>Sim</v>
      </c>
      <c r="P8054" s="4">
        <f>IF(COUNTIFS(INDEX(tItens[Edital],1):tItens[[#This Row],[Edital]],tItens[[#This Row],[Edital]],INDEX(tItens[Produto],1):tItens[[#This Row],[Produto]],tItens[[#This Row],[Produto]])=1,1,0)</f>
        <v>1</v>
      </c>
    </row>
    <row r="8055" spans="1:16" x14ac:dyDescent="0.25">
      <c r="A8055" t="s">
        <v>2644</v>
      </c>
      <c r="B8055">
        <v>285</v>
      </c>
      <c r="C8055" t="s">
        <v>10548</v>
      </c>
      <c r="D8055" t="s">
        <v>75</v>
      </c>
      <c r="E8055" s="13">
        <v>4060</v>
      </c>
      <c r="F8055" s="12">
        <v>4.46</v>
      </c>
      <c r="G8055" t="str">
        <f>IFERROR(INDEX(tEditais[Órgão],MATCH(tItens[[#This Row],[Edital]],tEditais[Edital],0)),"")</f>
        <v>CONSORCIO INTEGRADO DE GESTAO PUBLICA DO ENTRE RIOS - CIGAMERIOS</v>
      </c>
      <c r="H8055" t="str">
        <f>IFERROR(INDEX(tEditais[UF],MATCH(tItens[[#This Row],[Edital]],tEditais[Edital],0)),"")</f>
        <v>SC</v>
      </c>
      <c r="I8055" s="11">
        <f>IFERROR(INDEX(tEditais[Encerramento],MATCH(tItens[[#This Row],[Edital]],tEditais[Edital],0)),"")</f>
        <v>46309.332638888889</v>
      </c>
      <c r="J8055" t="str">
        <f>IFERROR(INDEX(tProdutos[Classe],MATCH(tItens[[#This Row],[Produto]],tProdutos[Produto],0)),"produto não cadastrado")</f>
        <v>NÚCLEO</v>
      </c>
      <c r="K8055" s="12">
        <f>tItens[[#This Row],[Qtd]]*tItens[[#This Row],[Vlr unit]]</f>
        <v>18107.599999999999</v>
      </c>
      <c r="L8055" s="6">
        <f>IFERROR(IF(INDEX(tProdutos[Desconto homologado],MATCH(tItens[[#This Row],[Produto]],tProdutos[Produto],0))="",DescontoPadrao,INDEX(tProdutos[Desconto homologado],MATCH(tItens[[#This Row],[Produto]],tProdutos[Produto],0))),DescontoPadrao)</f>
        <v>0.26</v>
      </c>
      <c r="M8055" s="12">
        <f>tItens[[#This Row],[Valor]]*(1-tItens[[#This Row],[Desconto]])</f>
        <v>13399.623999999998</v>
      </c>
      <c r="N8055" t="str">
        <f>IFERROR(INDEX(tProdutos[Foco],MATCH(tItens[[#This Row],[Produto]],tProdutos[Produto],0)),"Não")</f>
        <v>Sim</v>
      </c>
      <c r="O8055" t="str">
        <f>IFERROR(INDEX(tEditais[SRP],MATCH(tItens[[#This Row],[Edital]],tEditais[Edital],0)),"Não")</f>
        <v>Sim</v>
      </c>
      <c r="P8055" s="4">
        <f>IF(COUNTIFS(INDEX(tItens[Edital],1):tItens[[#This Row],[Edital]],tItens[[#This Row],[Edital]],INDEX(tItens[Produto],1):tItens[[#This Row],[Produto]],tItens[[#This Row],[Produto]])=1,1,0)</f>
        <v>0</v>
      </c>
    </row>
    <row r="8056" spans="1:16" x14ac:dyDescent="0.25">
      <c r="A8056" t="s">
        <v>2644</v>
      </c>
      <c r="B8056">
        <v>286</v>
      </c>
      <c r="C8056" t="s">
        <v>10549</v>
      </c>
      <c r="D8056" t="s">
        <v>75</v>
      </c>
      <c r="E8056" s="13">
        <v>20110</v>
      </c>
      <c r="F8056" s="12">
        <v>1.88</v>
      </c>
      <c r="G8056" t="str">
        <f>IFERROR(INDEX(tEditais[Órgão],MATCH(tItens[[#This Row],[Edital]],tEditais[Edital],0)),"")</f>
        <v>CONSORCIO INTEGRADO DE GESTAO PUBLICA DO ENTRE RIOS - CIGAMERIOS</v>
      </c>
      <c r="H8056" t="str">
        <f>IFERROR(INDEX(tEditais[UF],MATCH(tItens[[#This Row],[Edital]],tEditais[Edital],0)),"")</f>
        <v>SC</v>
      </c>
      <c r="I8056" s="11">
        <f>IFERROR(INDEX(tEditais[Encerramento],MATCH(tItens[[#This Row],[Edital]],tEditais[Edital],0)),"")</f>
        <v>46309.332638888889</v>
      </c>
      <c r="J8056" t="str">
        <f>IFERROR(INDEX(tProdutos[Classe],MATCH(tItens[[#This Row],[Produto]],tProdutos[Produto],0)),"produto não cadastrado")</f>
        <v>NÚCLEO</v>
      </c>
      <c r="K8056" s="12">
        <f>tItens[[#This Row],[Qtd]]*tItens[[#This Row],[Vlr unit]]</f>
        <v>37806.799999999996</v>
      </c>
      <c r="L8056" s="6">
        <f>IFERROR(IF(INDEX(tProdutos[Desconto homologado],MATCH(tItens[[#This Row],[Produto]],tProdutos[Produto],0))="",DescontoPadrao,INDEX(tProdutos[Desconto homologado],MATCH(tItens[[#This Row],[Produto]],tProdutos[Produto],0))),DescontoPadrao)</f>
        <v>0.26</v>
      </c>
      <c r="M8056" s="12">
        <f>tItens[[#This Row],[Valor]]*(1-tItens[[#This Row],[Desconto]])</f>
        <v>27977.031999999996</v>
      </c>
      <c r="N8056" t="str">
        <f>IFERROR(INDEX(tProdutos[Foco],MATCH(tItens[[#This Row],[Produto]],tProdutos[Produto],0)),"Não")</f>
        <v>Sim</v>
      </c>
      <c r="O8056" t="str">
        <f>IFERROR(INDEX(tEditais[SRP],MATCH(tItens[[#This Row],[Edital]],tEditais[Edital],0)),"Não")</f>
        <v>Sim</v>
      </c>
      <c r="P8056" s="4">
        <f>IF(COUNTIFS(INDEX(tItens[Edital],1):tItens[[#This Row],[Edital]],tItens[[#This Row],[Edital]],INDEX(tItens[Produto],1):tItens[[#This Row],[Produto]],tItens[[#This Row],[Produto]])=1,1,0)</f>
        <v>0</v>
      </c>
    </row>
    <row r="8057" spans="1:16" x14ac:dyDescent="0.25">
      <c r="A8057" t="s">
        <v>2644</v>
      </c>
      <c r="B8057">
        <v>287</v>
      </c>
      <c r="C8057" t="s">
        <v>10550</v>
      </c>
      <c r="D8057" t="s">
        <v>75</v>
      </c>
      <c r="E8057" s="13">
        <v>12710</v>
      </c>
      <c r="F8057" s="12">
        <v>3.09</v>
      </c>
      <c r="G8057" t="str">
        <f>IFERROR(INDEX(tEditais[Órgão],MATCH(tItens[[#This Row],[Edital]],tEditais[Edital],0)),"")</f>
        <v>CONSORCIO INTEGRADO DE GESTAO PUBLICA DO ENTRE RIOS - CIGAMERIOS</v>
      </c>
      <c r="H8057" t="str">
        <f>IFERROR(INDEX(tEditais[UF],MATCH(tItens[[#This Row],[Edital]],tEditais[Edital],0)),"")</f>
        <v>SC</v>
      </c>
      <c r="I8057" s="11">
        <f>IFERROR(INDEX(tEditais[Encerramento],MATCH(tItens[[#This Row],[Edital]],tEditais[Edital],0)),"")</f>
        <v>46309.332638888889</v>
      </c>
      <c r="J8057" t="str">
        <f>IFERROR(INDEX(tProdutos[Classe],MATCH(tItens[[#This Row],[Produto]],tProdutos[Produto],0)),"produto não cadastrado")</f>
        <v>NÚCLEO</v>
      </c>
      <c r="K8057" s="12">
        <f>tItens[[#This Row],[Qtd]]*tItens[[#This Row],[Vlr unit]]</f>
        <v>39273.9</v>
      </c>
      <c r="L8057" s="6">
        <f>IFERROR(IF(INDEX(tProdutos[Desconto homologado],MATCH(tItens[[#This Row],[Produto]],tProdutos[Produto],0))="",DescontoPadrao,INDEX(tProdutos[Desconto homologado],MATCH(tItens[[#This Row],[Produto]],tProdutos[Produto],0))),DescontoPadrao)</f>
        <v>0.26</v>
      </c>
      <c r="M8057" s="12">
        <f>tItens[[#This Row],[Valor]]*(1-tItens[[#This Row],[Desconto]])</f>
        <v>29062.686000000002</v>
      </c>
      <c r="N8057" t="str">
        <f>IFERROR(INDEX(tProdutos[Foco],MATCH(tItens[[#This Row],[Produto]],tProdutos[Produto],0)),"Não")</f>
        <v>Sim</v>
      </c>
      <c r="O8057" t="str">
        <f>IFERROR(INDEX(tEditais[SRP],MATCH(tItens[[#This Row],[Edital]],tEditais[Edital],0)),"Não")</f>
        <v>Sim</v>
      </c>
      <c r="P8057" s="4">
        <f>IF(COUNTIFS(INDEX(tItens[Edital],1):tItens[[#This Row],[Edital]],tItens[[#This Row],[Edital]],INDEX(tItens[Produto],1):tItens[[#This Row],[Produto]],tItens[[#This Row],[Produto]])=1,1,0)</f>
        <v>0</v>
      </c>
    </row>
    <row r="8058" spans="1:16" x14ac:dyDescent="0.25">
      <c r="A8058" t="s">
        <v>2644</v>
      </c>
      <c r="B8058">
        <v>288</v>
      </c>
      <c r="C8058" t="s">
        <v>10551</v>
      </c>
      <c r="D8058" t="s">
        <v>75</v>
      </c>
      <c r="E8058" s="13">
        <v>20060</v>
      </c>
      <c r="F8058" s="12">
        <v>1.87</v>
      </c>
      <c r="G8058" t="str">
        <f>IFERROR(INDEX(tEditais[Órgão],MATCH(tItens[[#This Row],[Edital]],tEditais[Edital],0)),"")</f>
        <v>CONSORCIO INTEGRADO DE GESTAO PUBLICA DO ENTRE RIOS - CIGAMERIOS</v>
      </c>
      <c r="H8058" t="str">
        <f>IFERROR(INDEX(tEditais[UF],MATCH(tItens[[#This Row],[Edital]],tEditais[Edital],0)),"")</f>
        <v>SC</v>
      </c>
      <c r="I8058" s="11">
        <f>IFERROR(INDEX(tEditais[Encerramento],MATCH(tItens[[#This Row],[Edital]],tEditais[Edital],0)),"")</f>
        <v>46309.332638888889</v>
      </c>
      <c r="J8058" t="str">
        <f>IFERROR(INDEX(tProdutos[Classe],MATCH(tItens[[#This Row],[Produto]],tProdutos[Produto],0)),"produto não cadastrado")</f>
        <v>NÚCLEO</v>
      </c>
      <c r="K8058" s="12">
        <f>tItens[[#This Row],[Qtd]]*tItens[[#This Row],[Vlr unit]]</f>
        <v>37512.200000000004</v>
      </c>
      <c r="L8058" s="6">
        <f>IFERROR(IF(INDEX(tProdutos[Desconto homologado],MATCH(tItens[[#This Row],[Produto]],tProdutos[Produto],0))="",DescontoPadrao,INDEX(tProdutos[Desconto homologado],MATCH(tItens[[#This Row],[Produto]],tProdutos[Produto],0))),DescontoPadrao)</f>
        <v>0.26</v>
      </c>
      <c r="M8058" s="12">
        <f>tItens[[#This Row],[Valor]]*(1-tItens[[#This Row],[Desconto]])</f>
        <v>27759.028000000002</v>
      </c>
      <c r="N8058" t="str">
        <f>IFERROR(INDEX(tProdutos[Foco],MATCH(tItens[[#This Row],[Produto]],tProdutos[Produto],0)),"Não")</f>
        <v>Sim</v>
      </c>
      <c r="O8058" t="str">
        <f>IFERROR(INDEX(tEditais[SRP],MATCH(tItens[[#This Row],[Edital]],tEditais[Edital],0)),"Não")</f>
        <v>Sim</v>
      </c>
      <c r="P8058" s="4">
        <f>IF(COUNTIFS(INDEX(tItens[Edital],1):tItens[[#This Row],[Edital]],tItens[[#This Row],[Edital]],INDEX(tItens[Produto],1):tItens[[#This Row],[Produto]],tItens[[#This Row],[Produto]])=1,1,0)</f>
        <v>0</v>
      </c>
    </row>
    <row r="8059" spans="1:16" x14ac:dyDescent="0.25">
      <c r="A8059" t="s">
        <v>2644</v>
      </c>
      <c r="B8059">
        <v>289</v>
      </c>
      <c r="C8059" t="s">
        <v>10552</v>
      </c>
      <c r="D8059" t="s">
        <v>75</v>
      </c>
      <c r="E8059" s="13">
        <v>14160</v>
      </c>
      <c r="F8059" s="12">
        <v>2.73</v>
      </c>
      <c r="G8059" t="str">
        <f>IFERROR(INDEX(tEditais[Órgão],MATCH(tItens[[#This Row],[Edital]],tEditais[Edital],0)),"")</f>
        <v>CONSORCIO INTEGRADO DE GESTAO PUBLICA DO ENTRE RIOS - CIGAMERIOS</v>
      </c>
      <c r="H8059" t="str">
        <f>IFERROR(INDEX(tEditais[UF],MATCH(tItens[[#This Row],[Edital]],tEditais[Edital],0)),"")</f>
        <v>SC</v>
      </c>
      <c r="I8059" s="11">
        <f>IFERROR(INDEX(tEditais[Encerramento],MATCH(tItens[[#This Row],[Edital]],tEditais[Edital],0)),"")</f>
        <v>46309.332638888889</v>
      </c>
      <c r="J8059" t="str">
        <f>IFERROR(INDEX(tProdutos[Classe],MATCH(tItens[[#This Row],[Produto]],tProdutos[Produto],0)),"produto não cadastrado")</f>
        <v>NÚCLEO</v>
      </c>
      <c r="K8059" s="12">
        <f>tItens[[#This Row],[Qtd]]*tItens[[#This Row],[Vlr unit]]</f>
        <v>38656.800000000003</v>
      </c>
      <c r="L8059" s="6">
        <f>IFERROR(IF(INDEX(tProdutos[Desconto homologado],MATCH(tItens[[#This Row],[Produto]],tProdutos[Produto],0))="",DescontoPadrao,INDEX(tProdutos[Desconto homologado],MATCH(tItens[[#This Row],[Produto]],tProdutos[Produto],0))),DescontoPadrao)</f>
        <v>0.26</v>
      </c>
      <c r="M8059" s="12">
        <f>tItens[[#This Row],[Valor]]*(1-tItens[[#This Row],[Desconto]])</f>
        <v>28606.032000000003</v>
      </c>
      <c r="N8059" t="str">
        <f>IFERROR(INDEX(tProdutos[Foco],MATCH(tItens[[#This Row],[Produto]],tProdutos[Produto],0)),"Não")</f>
        <v>Sim</v>
      </c>
      <c r="O8059" t="str">
        <f>IFERROR(INDEX(tEditais[SRP],MATCH(tItens[[#This Row],[Edital]],tEditais[Edital],0)),"Não")</f>
        <v>Sim</v>
      </c>
      <c r="P8059" s="4">
        <f>IF(COUNTIFS(INDEX(tItens[Edital],1):tItens[[#This Row],[Edital]],tItens[[#This Row],[Edital]],INDEX(tItens[Produto],1):tItens[[#This Row],[Produto]],tItens[[#This Row],[Produto]])=1,1,0)</f>
        <v>0</v>
      </c>
    </row>
    <row r="8060" spans="1:16" x14ac:dyDescent="0.25">
      <c r="A8060" t="s">
        <v>2644</v>
      </c>
      <c r="B8060">
        <v>290</v>
      </c>
      <c r="C8060" t="s">
        <v>10553</v>
      </c>
      <c r="D8060" t="s">
        <v>75</v>
      </c>
      <c r="E8060" s="13">
        <v>2560</v>
      </c>
      <c r="F8060" s="12">
        <v>1.94</v>
      </c>
      <c r="G8060" t="str">
        <f>IFERROR(INDEX(tEditais[Órgão],MATCH(tItens[[#This Row],[Edital]],tEditais[Edital],0)),"")</f>
        <v>CONSORCIO INTEGRADO DE GESTAO PUBLICA DO ENTRE RIOS - CIGAMERIOS</v>
      </c>
      <c r="H8060" t="str">
        <f>IFERROR(INDEX(tEditais[UF],MATCH(tItens[[#This Row],[Edital]],tEditais[Edital],0)),"")</f>
        <v>SC</v>
      </c>
      <c r="I8060" s="11">
        <f>IFERROR(INDEX(tEditais[Encerramento],MATCH(tItens[[#This Row],[Edital]],tEditais[Edital],0)),"")</f>
        <v>46309.332638888889</v>
      </c>
      <c r="J8060" t="str">
        <f>IFERROR(INDEX(tProdutos[Classe],MATCH(tItens[[#This Row],[Produto]],tProdutos[Produto],0)),"produto não cadastrado")</f>
        <v>NÚCLEO</v>
      </c>
      <c r="K8060" s="12">
        <f>tItens[[#This Row],[Qtd]]*tItens[[#This Row],[Vlr unit]]</f>
        <v>4966.3999999999996</v>
      </c>
      <c r="L8060" s="6">
        <f>IFERROR(IF(INDEX(tProdutos[Desconto homologado],MATCH(tItens[[#This Row],[Produto]],tProdutos[Produto],0))="",DescontoPadrao,INDEX(tProdutos[Desconto homologado],MATCH(tItens[[#This Row],[Produto]],tProdutos[Produto],0))),DescontoPadrao)</f>
        <v>0.26</v>
      </c>
      <c r="M8060" s="12">
        <f>tItens[[#This Row],[Valor]]*(1-tItens[[#This Row],[Desconto]])</f>
        <v>3675.1359999999995</v>
      </c>
      <c r="N8060" t="str">
        <f>IFERROR(INDEX(tProdutos[Foco],MATCH(tItens[[#This Row],[Produto]],tProdutos[Produto],0)),"Não")</f>
        <v>Sim</v>
      </c>
      <c r="O8060" t="str">
        <f>IFERROR(INDEX(tEditais[SRP],MATCH(tItens[[#This Row],[Edital]],tEditais[Edital],0)),"Não")</f>
        <v>Sim</v>
      </c>
      <c r="P8060" s="4">
        <f>IF(COUNTIFS(INDEX(tItens[Edital],1):tItens[[#This Row],[Edital]],tItens[[#This Row],[Edital]],INDEX(tItens[Produto],1):tItens[[#This Row],[Produto]],tItens[[#This Row],[Produto]])=1,1,0)</f>
        <v>0</v>
      </c>
    </row>
    <row r="8061" spans="1:16" x14ac:dyDescent="0.25">
      <c r="A8061" t="s">
        <v>2644</v>
      </c>
      <c r="B8061">
        <v>291</v>
      </c>
      <c r="C8061" t="s">
        <v>10554</v>
      </c>
      <c r="D8061" t="s">
        <v>75</v>
      </c>
      <c r="E8061" s="13">
        <v>3360</v>
      </c>
      <c r="F8061" s="12">
        <v>1.63</v>
      </c>
      <c r="G8061" t="str">
        <f>IFERROR(INDEX(tEditais[Órgão],MATCH(tItens[[#This Row],[Edital]],tEditais[Edital],0)),"")</f>
        <v>CONSORCIO INTEGRADO DE GESTAO PUBLICA DO ENTRE RIOS - CIGAMERIOS</v>
      </c>
      <c r="H8061" t="str">
        <f>IFERROR(INDEX(tEditais[UF],MATCH(tItens[[#This Row],[Edital]],tEditais[Edital],0)),"")</f>
        <v>SC</v>
      </c>
      <c r="I8061" s="11">
        <f>IFERROR(INDEX(tEditais[Encerramento],MATCH(tItens[[#This Row],[Edital]],tEditais[Edital],0)),"")</f>
        <v>46309.332638888889</v>
      </c>
      <c r="J8061" t="str">
        <f>IFERROR(INDEX(tProdutos[Classe],MATCH(tItens[[#This Row],[Produto]],tProdutos[Produto],0)),"produto não cadastrado")</f>
        <v>NÚCLEO</v>
      </c>
      <c r="K8061" s="12">
        <f>tItens[[#This Row],[Qtd]]*tItens[[#This Row],[Vlr unit]]</f>
        <v>5476.7999999999993</v>
      </c>
      <c r="L8061" s="6">
        <f>IFERROR(IF(INDEX(tProdutos[Desconto homologado],MATCH(tItens[[#This Row],[Produto]],tProdutos[Produto],0))="",DescontoPadrao,INDEX(tProdutos[Desconto homologado],MATCH(tItens[[#This Row],[Produto]],tProdutos[Produto],0))),DescontoPadrao)</f>
        <v>0.26</v>
      </c>
      <c r="M8061" s="12">
        <f>tItens[[#This Row],[Valor]]*(1-tItens[[#This Row],[Desconto]])</f>
        <v>4052.8319999999994</v>
      </c>
      <c r="N8061" t="str">
        <f>IFERROR(INDEX(tProdutos[Foco],MATCH(tItens[[#This Row],[Produto]],tProdutos[Produto],0)),"Não")</f>
        <v>Sim</v>
      </c>
      <c r="O8061" t="str">
        <f>IFERROR(INDEX(tEditais[SRP],MATCH(tItens[[#This Row],[Edital]],tEditais[Edital],0)),"Não")</f>
        <v>Sim</v>
      </c>
      <c r="P8061" s="4">
        <f>IF(COUNTIFS(INDEX(tItens[Edital],1):tItens[[#This Row],[Edital]],tItens[[#This Row],[Edital]],INDEX(tItens[Produto],1):tItens[[#This Row],[Produto]],tItens[[#This Row],[Produto]])=1,1,0)</f>
        <v>0</v>
      </c>
    </row>
    <row r="8062" spans="1:16" x14ac:dyDescent="0.25">
      <c r="A8062" t="s">
        <v>2644</v>
      </c>
      <c r="B8062">
        <v>292</v>
      </c>
      <c r="C8062" t="s">
        <v>10555</v>
      </c>
      <c r="D8062" t="s">
        <v>482</v>
      </c>
      <c r="E8062" s="13">
        <v>525</v>
      </c>
      <c r="F8062" s="12">
        <v>192.31</v>
      </c>
      <c r="G8062" t="str">
        <f>IFERROR(INDEX(tEditais[Órgão],MATCH(tItens[[#This Row],[Edital]],tEditais[Edital],0)),"")</f>
        <v>CONSORCIO INTEGRADO DE GESTAO PUBLICA DO ENTRE RIOS - CIGAMERIOS</v>
      </c>
      <c r="H8062" t="str">
        <f>IFERROR(INDEX(tEditais[UF],MATCH(tItens[[#This Row],[Edital]],tEditais[Edital],0)),"")</f>
        <v>SC</v>
      </c>
      <c r="I8062" s="11">
        <f>IFERROR(INDEX(tEditais[Encerramento],MATCH(tItens[[#This Row],[Edital]],tEditais[Edital],0)),"")</f>
        <v>46309.332638888889</v>
      </c>
      <c r="J8062" t="str">
        <f>IFERROR(INDEX(tProdutos[Classe],MATCH(tItens[[#This Row],[Produto]],tProdutos[Produto],0)),"produto não cadastrado")</f>
        <v>FILA REBASE</v>
      </c>
      <c r="K8062" s="12">
        <f>tItens[[#This Row],[Qtd]]*tItens[[#This Row],[Vlr unit]]</f>
        <v>100962.75</v>
      </c>
      <c r="L8062" s="6">
        <f>IFERROR(IF(INDEX(tProdutos[Desconto homologado],MATCH(tItens[[#This Row],[Produto]],tProdutos[Produto],0))="",DescontoPadrao,INDEX(tProdutos[Desconto homologado],MATCH(tItens[[#This Row],[Produto]],tProdutos[Produto],0))),DescontoPadrao)</f>
        <v>0.29214514354940102</v>
      </c>
      <c r="M8062" s="12">
        <f>tItens[[#This Row],[Valor]]*(1-tItens[[#This Row],[Desconto]])</f>
        <v>71466.972908107709</v>
      </c>
      <c r="N8062" t="str">
        <f>IFERROR(INDEX(tProdutos[Foco],MATCH(tItens[[#This Row],[Produto]],tProdutos[Produto],0)),"Não")</f>
        <v>Não</v>
      </c>
      <c r="O8062" t="str">
        <f>IFERROR(INDEX(tEditais[SRP],MATCH(tItens[[#This Row],[Edital]],tEditais[Edital],0)),"Não")</f>
        <v>Sim</v>
      </c>
      <c r="P8062" s="4">
        <f>IF(COUNTIFS(INDEX(tItens[Edital],1):tItens[[#This Row],[Edital]],tItens[[#This Row],[Edital]],INDEX(tItens[Produto],1):tItens[[#This Row],[Produto]],tItens[[#This Row],[Produto]])=1,1,0)</f>
        <v>1</v>
      </c>
    </row>
    <row r="8063" spans="1:16" x14ac:dyDescent="0.25">
      <c r="A8063" t="s">
        <v>2644</v>
      </c>
      <c r="B8063">
        <v>299</v>
      </c>
      <c r="C8063" t="s">
        <v>10556</v>
      </c>
      <c r="D8063" t="s">
        <v>259</v>
      </c>
      <c r="E8063" s="13">
        <v>1772</v>
      </c>
      <c r="F8063" s="12">
        <v>4.5</v>
      </c>
      <c r="G8063" t="str">
        <f>IFERROR(INDEX(tEditais[Órgão],MATCH(tItens[[#This Row],[Edital]],tEditais[Edital],0)),"")</f>
        <v>CONSORCIO INTEGRADO DE GESTAO PUBLICA DO ENTRE RIOS - CIGAMERIOS</v>
      </c>
      <c r="H8063" t="str">
        <f>IFERROR(INDEX(tEditais[UF],MATCH(tItens[[#This Row],[Edital]],tEditais[Edital],0)),"")</f>
        <v>SC</v>
      </c>
      <c r="I8063" s="11">
        <f>IFERROR(INDEX(tEditais[Encerramento],MATCH(tItens[[#This Row],[Edital]],tEditais[Edital],0)),"")</f>
        <v>46309.332638888889</v>
      </c>
      <c r="J8063" t="str">
        <f>IFERROR(INDEX(tProdutos[Classe],MATCH(tItens[[#This Row],[Produto]],tProdutos[Produto],0)),"produto não cadastrado")</f>
        <v>FORA</v>
      </c>
      <c r="K8063" s="12">
        <f>tItens[[#This Row],[Qtd]]*tItens[[#This Row],[Vlr unit]]</f>
        <v>7974</v>
      </c>
      <c r="L8063" s="6">
        <f>IFERROR(IF(INDEX(tProdutos[Desconto homologado],MATCH(tItens[[#This Row],[Produto]],tProdutos[Produto],0))="",DescontoPadrao,INDEX(tProdutos[Desconto homologado],MATCH(tItens[[#This Row],[Produto]],tProdutos[Produto],0))),DescontoPadrao)</f>
        <v>0.374798283789543</v>
      </c>
      <c r="M8063" s="12">
        <f>tItens[[#This Row],[Valor]]*(1-tItens[[#This Row],[Desconto]])</f>
        <v>4985.3584850621846</v>
      </c>
      <c r="N8063" t="str">
        <f>IFERROR(INDEX(tProdutos[Foco],MATCH(tItens[[#This Row],[Produto]],tProdutos[Produto],0)),"Não")</f>
        <v>Não</v>
      </c>
      <c r="O8063" t="str">
        <f>IFERROR(INDEX(tEditais[SRP],MATCH(tItens[[#This Row],[Edital]],tEditais[Edital],0)),"Não")</f>
        <v>Sim</v>
      </c>
      <c r="P8063" s="4">
        <f>IF(COUNTIFS(INDEX(tItens[Edital],1):tItens[[#This Row],[Edital]],tItens[[#This Row],[Edital]],INDEX(tItens[Produto],1):tItens[[#This Row],[Produto]],tItens[[#This Row],[Produto]])=1,1,0)</f>
        <v>1</v>
      </c>
    </row>
    <row r="8064" spans="1:16" x14ac:dyDescent="0.25">
      <c r="A8064" t="s">
        <v>2644</v>
      </c>
      <c r="B8064">
        <v>300</v>
      </c>
      <c r="C8064" t="s">
        <v>10557</v>
      </c>
      <c r="D8064" t="s">
        <v>259</v>
      </c>
      <c r="E8064" s="13">
        <v>755</v>
      </c>
      <c r="F8064" s="12">
        <v>35.71</v>
      </c>
      <c r="G8064" t="str">
        <f>IFERROR(INDEX(tEditais[Órgão],MATCH(tItens[[#This Row],[Edital]],tEditais[Edital],0)),"")</f>
        <v>CONSORCIO INTEGRADO DE GESTAO PUBLICA DO ENTRE RIOS - CIGAMERIOS</v>
      </c>
      <c r="H8064" t="str">
        <f>IFERROR(INDEX(tEditais[UF],MATCH(tItens[[#This Row],[Edital]],tEditais[Edital],0)),"")</f>
        <v>SC</v>
      </c>
      <c r="I8064" s="11">
        <f>IFERROR(INDEX(tEditais[Encerramento],MATCH(tItens[[#This Row],[Edital]],tEditais[Edital],0)),"")</f>
        <v>46309.332638888889</v>
      </c>
      <c r="J8064" t="str">
        <f>IFERROR(INDEX(tProdutos[Classe],MATCH(tItens[[#This Row],[Produto]],tProdutos[Produto],0)),"produto não cadastrado")</f>
        <v>FORA</v>
      </c>
      <c r="K8064" s="12">
        <f>tItens[[#This Row],[Qtd]]*tItens[[#This Row],[Vlr unit]]</f>
        <v>26961.05</v>
      </c>
      <c r="L8064" s="6">
        <f>IFERROR(IF(INDEX(tProdutos[Desconto homologado],MATCH(tItens[[#This Row],[Produto]],tProdutos[Produto],0))="",DescontoPadrao,INDEX(tProdutos[Desconto homologado],MATCH(tItens[[#This Row],[Produto]],tProdutos[Produto],0))),DescontoPadrao)</f>
        <v>0.374798283789543</v>
      </c>
      <c r="M8064" s="12">
        <f>tItens[[#This Row],[Valor]]*(1-tItens[[#This Row],[Desconto]])</f>
        <v>16856.094730835943</v>
      </c>
      <c r="N8064" t="str">
        <f>IFERROR(INDEX(tProdutos[Foco],MATCH(tItens[[#This Row],[Produto]],tProdutos[Produto],0)),"Não")</f>
        <v>Não</v>
      </c>
      <c r="O8064" t="str">
        <f>IFERROR(INDEX(tEditais[SRP],MATCH(tItens[[#This Row],[Edital]],tEditais[Edital],0)),"Não")</f>
        <v>Sim</v>
      </c>
      <c r="P8064" s="4">
        <f>IF(COUNTIFS(INDEX(tItens[Edital],1):tItens[[#This Row],[Edital]],tItens[[#This Row],[Edital]],INDEX(tItens[Produto],1):tItens[[#This Row],[Produto]],tItens[[#This Row],[Produto]])=1,1,0)</f>
        <v>0</v>
      </c>
    </row>
    <row r="8065" spans="1:16" x14ac:dyDescent="0.25">
      <c r="A8065" t="s">
        <v>2644</v>
      </c>
      <c r="B8065">
        <v>303</v>
      </c>
      <c r="C8065" t="s">
        <v>10558</v>
      </c>
      <c r="D8065" t="s">
        <v>189</v>
      </c>
      <c r="E8065" s="13">
        <v>407</v>
      </c>
      <c r="F8065" s="12">
        <v>92.23</v>
      </c>
      <c r="G8065" t="str">
        <f>IFERROR(INDEX(tEditais[Órgão],MATCH(tItens[[#This Row],[Edital]],tEditais[Edital],0)),"")</f>
        <v>CONSORCIO INTEGRADO DE GESTAO PUBLICA DO ENTRE RIOS - CIGAMERIOS</v>
      </c>
      <c r="H8065" t="str">
        <f>IFERROR(INDEX(tEditais[UF],MATCH(tItens[[#This Row],[Edital]],tEditais[Edital],0)),"")</f>
        <v>SC</v>
      </c>
      <c r="I8065" s="11">
        <f>IFERROR(INDEX(tEditais[Encerramento],MATCH(tItens[[#This Row],[Edital]],tEditais[Edital],0)),"")</f>
        <v>46309.332638888889</v>
      </c>
      <c r="J8065" t="str">
        <f>IFERROR(INDEX(tProdutos[Classe],MATCH(tItens[[#This Row],[Produto]],tProdutos[Produto],0)),"produto não cadastrado")</f>
        <v>DISPUTADO</v>
      </c>
      <c r="K8065" s="12">
        <f>tItens[[#This Row],[Qtd]]*tItens[[#This Row],[Vlr unit]]</f>
        <v>37537.61</v>
      </c>
      <c r="L8065" s="6">
        <f>IFERROR(IF(INDEX(tProdutos[Desconto homologado],MATCH(tItens[[#This Row],[Produto]],tProdutos[Produto],0))="",DescontoPadrao,INDEX(tProdutos[Desconto homologado],MATCH(tItens[[#This Row],[Produto]],tProdutos[Produto],0))),DescontoPadrao)</f>
        <v>0.33088052268966101</v>
      </c>
      <c r="M8065" s="12">
        <f>tItens[[#This Row],[Valor]]*(1-tItens[[#This Row],[Desconto]])</f>
        <v>25117.145982679358</v>
      </c>
      <c r="N8065" t="str">
        <f>IFERROR(INDEX(tProdutos[Foco],MATCH(tItens[[#This Row],[Produto]],tProdutos[Produto],0)),"Não")</f>
        <v>Não</v>
      </c>
      <c r="O8065" t="str">
        <f>IFERROR(INDEX(tEditais[SRP],MATCH(tItens[[#This Row],[Edital]],tEditais[Edital],0)),"Não")</f>
        <v>Sim</v>
      </c>
      <c r="P8065" s="4">
        <f>IF(COUNTIFS(INDEX(tItens[Edital],1):tItens[[#This Row],[Edital]],tItens[[#This Row],[Edital]],INDEX(tItens[Produto],1):tItens[[#This Row],[Produto]],tItens[[#This Row],[Produto]])=1,1,0)</f>
        <v>1</v>
      </c>
    </row>
    <row r="8066" spans="1:16" x14ac:dyDescent="0.25">
      <c r="A8066" t="s">
        <v>2644</v>
      </c>
      <c r="B8066">
        <v>304</v>
      </c>
      <c r="C8066" t="s">
        <v>10559</v>
      </c>
      <c r="D8066" t="s">
        <v>189</v>
      </c>
      <c r="E8066" s="13">
        <v>513</v>
      </c>
      <c r="F8066" s="12">
        <v>116.21</v>
      </c>
      <c r="G8066" t="str">
        <f>IFERROR(INDEX(tEditais[Órgão],MATCH(tItens[[#This Row],[Edital]],tEditais[Edital],0)),"")</f>
        <v>CONSORCIO INTEGRADO DE GESTAO PUBLICA DO ENTRE RIOS - CIGAMERIOS</v>
      </c>
      <c r="H8066" t="str">
        <f>IFERROR(INDEX(tEditais[UF],MATCH(tItens[[#This Row],[Edital]],tEditais[Edital],0)),"")</f>
        <v>SC</v>
      </c>
      <c r="I8066" s="11">
        <f>IFERROR(INDEX(tEditais[Encerramento],MATCH(tItens[[#This Row],[Edital]],tEditais[Edital],0)),"")</f>
        <v>46309.332638888889</v>
      </c>
      <c r="J8066" t="str">
        <f>IFERROR(INDEX(tProdutos[Classe],MATCH(tItens[[#This Row],[Produto]],tProdutos[Produto],0)),"produto não cadastrado")</f>
        <v>DISPUTADO</v>
      </c>
      <c r="K8066" s="12">
        <f>tItens[[#This Row],[Qtd]]*tItens[[#This Row],[Vlr unit]]</f>
        <v>59615.729999999996</v>
      </c>
      <c r="L8066" s="6">
        <f>IFERROR(IF(INDEX(tProdutos[Desconto homologado],MATCH(tItens[[#This Row],[Produto]],tProdutos[Produto],0))="",DescontoPadrao,INDEX(tProdutos[Desconto homologado],MATCH(tItens[[#This Row],[Produto]],tProdutos[Produto],0))),DescontoPadrao)</f>
        <v>0.33088052268966101</v>
      </c>
      <c r="M8066" s="12">
        <f>tItens[[#This Row],[Valor]]*(1-tItens[[#This Row],[Desconto]])</f>
        <v>39890.046097074293</v>
      </c>
      <c r="N8066" t="str">
        <f>IFERROR(INDEX(tProdutos[Foco],MATCH(tItens[[#This Row],[Produto]],tProdutos[Produto],0)),"Não")</f>
        <v>Não</v>
      </c>
      <c r="O8066" t="str">
        <f>IFERROR(INDEX(tEditais[SRP],MATCH(tItens[[#This Row],[Edital]],tEditais[Edital],0)),"Não")</f>
        <v>Sim</v>
      </c>
      <c r="P8066" s="4">
        <f>IF(COUNTIFS(INDEX(tItens[Edital],1):tItens[[#This Row],[Edital]],tItens[[#This Row],[Edital]],INDEX(tItens[Produto],1):tItens[[#This Row],[Produto]],tItens[[#This Row],[Produto]])=1,1,0)</f>
        <v>0</v>
      </c>
    </row>
    <row r="8067" spans="1:16" x14ac:dyDescent="0.25">
      <c r="A8067" t="s">
        <v>2644</v>
      </c>
      <c r="B8067">
        <v>305</v>
      </c>
      <c r="C8067" t="s">
        <v>10560</v>
      </c>
      <c r="D8067" t="s">
        <v>189</v>
      </c>
      <c r="E8067" s="13">
        <v>511</v>
      </c>
      <c r="F8067" s="12">
        <v>121.01</v>
      </c>
      <c r="G8067" t="str">
        <f>IFERROR(INDEX(tEditais[Órgão],MATCH(tItens[[#This Row],[Edital]],tEditais[Edital],0)),"")</f>
        <v>CONSORCIO INTEGRADO DE GESTAO PUBLICA DO ENTRE RIOS - CIGAMERIOS</v>
      </c>
      <c r="H8067" t="str">
        <f>IFERROR(INDEX(tEditais[UF],MATCH(tItens[[#This Row],[Edital]],tEditais[Edital],0)),"")</f>
        <v>SC</v>
      </c>
      <c r="I8067" s="11">
        <f>IFERROR(INDEX(tEditais[Encerramento],MATCH(tItens[[#This Row],[Edital]],tEditais[Edital],0)),"")</f>
        <v>46309.332638888889</v>
      </c>
      <c r="J8067" t="str">
        <f>IFERROR(INDEX(tProdutos[Classe],MATCH(tItens[[#This Row],[Produto]],tProdutos[Produto],0)),"produto não cadastrado")</f>
        <v>DISPUTADO</v>
      </c>
      <c r="K8067" s="12">
        <f>tItens[[#This Row],[Qtd]]*tItens[[#This Row],[Vlr unit]]</f>
        <v>61836.11</v>
      </c>
      <c r="L8067" s="6">
        <f>IFERROR(IF(INDEX(tProdutos[Desconto homologado],MATCH(tItens[[#This Row],[Produto]],tProdutos[Produto],0))="",DescontoPadrao,INDEX(tProdutos[Desconto homologado],MATCH(tItens[[#This Row],[Produto]],tProdutos[Produto],0))),DescontoPadrao)</f>
        <v>0.33088052268966101</v>
      </c>
      <c r="M8067" s="12">
        <f>tItens[[#This Row],[Valor]]*(1-tItens[[#This Row],[Desconto]])</f>
        <v>41375.745602104631</v>
      </c>
      <c r="N8067" t="str">
        <f>IFERROR(INDEX(tProdutos[Foco],MATCH(tItens[[#This Row],[Produto]],tProdutos[Produto],0)),"Não")</f>
        <v>Não</v>
      </c>
      <c r="O8067" t="str">
        <f>IFERROR(INDEX(tEditais[SRP],MATCH(tItens[[#This Row],[Edital]],tEditais[Edital],0)),"Não")</f>
        <v>Sim</v>
      </c>
      <c r="P8067" s="4">
        <f>IF(COUNTIFS(INDEX(tItens[Edital],1):tItens[[#This Row],[Edital]],tItens[[#This Row],[Edital]],INDEX(tItens[Produto],1):tItens[[#This Row],[Produto]],tItens[[#This Row],[Produto]])=1,1,0)</f>
        <v>0</v>
      </c>
    </row>
    <row r="8068" spans="1:16" x14ac:dyDescent="0.25">
      <c r="A8068" t="s">
        <v>2644</v>
      </c>
      <c r="B8068">
        <v>306</v>
      </c>
      <c r="C8068" t="s">
        <v>10561</v>
      </c>
      <c r="D8068" t="s">
        <v>189</v>
      </c>
      <c r="E8068" s="13">
        <v>411</v>
      </c>
      <c r="F8068" s="12">
        <v>116.15</v>
      </c>
      <c r="G8068" t="str">
        <f>IFERROR(INDEX(tEditais[Órgão],MATCH(tItens[[#This Row],[Edital]],tEditais[Edital],0)),"")</f>
        <v>CONSORCIO INTEGRADO DE GESTAO PUBLICA DO ENTRE RIOS - CIGAMERIOS</v>
      </c>
      <c r="H8068" t="str">
        <f>IFERROR(INDEX(tEditais[UF],MATCH(tItens[[#This Row],[Edital]],tEditais[Edital],0)),"")</f>
        <v>SC</v>
      </c>
      <c r="I8068" s="11">
        <f>IFERROR(INDEX(tEditais[Encerramento],MATCH(tItens[[#This Row],[Edital]],tEditais[Edital],0)),"")</f>
        <v>46309.332638888889</v>
      </c>
      <c r="J8068" t="str">
        <f>IFERROR(INDEX(tProdutos[Classe],MATCH(tItens[[#This Row],[Produto]],tProdutos[Produto],0)),"produto não cadastrado")</f>
        <v>DISPUTADO</v>
      </c>
      <c r="K8068" s="12">
        <f>tItens[[#This Row],[Qtd]]*tItens[[#This Row],[Vlr unit]]</f>
        <v>47737.65</v>
      </c>
      <c r="L8068" s="6">
        <f>IFERROR(IF(INDEX(tProdutos[Desconto homologado],MATCH(tItens[[#This Row],[Produto]],tProdutos[Produto],0))="",DescontoPadrao,INDEX(tProdutos[Desconto homologado],MATCH(tItens[[#This Row],[Produto]],tProdutos[Produto],0))),DescontoPadrao)</f>
        <v>0.33088052268966101</v>
      </c>
      <c r="M8068" s="12">
        <f>tItens[[#This Row],[Valor]]*(1-tItens[[#This Row],[Desconto]])</f>
        <v>31942.191416023907</v>
      </c>
      <c r="N8068" t="str">
        <f>IFERROR(INDEX(tProdutos[Foco],MATCH(tItens[[#This Row],[Produto]],tProdutos[Produto],0)),"Não")</f>
        <v>Não</v>
      </c>
      <c r="O8068" t="str">
        <f>IFERROR(INDEX(tEditais[SRP],MATCH(tItens[[#This Row],[Edital]],tEditais[Edital],0)),"Não")</f>
        <v>Sim</v>
      </c>
      <c r="P8068" s="4">
        <f>IF(COUNTIFS(INDEX(tItens[Edital],1):tItens[[#This Row],[Edital]],tItens[[#This Row],[Edital]],INDEX(tItens[Produto],1):tItens[[#This Row],[Produto]],tItens[[#This Row],[Produto]])=1,1,0)</f>
        <v>0</v>
      </c>
    </row>
    <row r="8069" spans="1:16" x14ac:dyDescent="0.25">
      <c r="A8069" t="s">
        <v>2644</v>
      </c>
      <c r="B8069">
        <v>307</v>
      </c>
      <c r="C8069" t="s">
        <v>10562</v>
      </c>
      <c r="D8069" t="s">
        <v>461</v>
      </c>
      <c r="E8069" s="13">
        <v>544</v>
      </c>
      <c r="F8069" s="12">
        <v>26.94</v>
      </c>
      <c r="G8069" t="str">
        <f>IFERROR(INDEX(tEditais[Órgão],MATCH(tItens[[#This Row],[Edital]],tEditais[Edital],0)),"")</f>
        <v>CONSORCIO INTEGRADO DE GESTAO PUBLICA DO ENTRE RIOS - CIGAMERIOS</v>
      </c>
      <c r="H8069" t="str">
        <f>IFERROR(INDEX(tEditais[UF],MATCH(tItens[[#This Row],[Edital]],tEditais[Edital],0)),"")</f>
        <v>SC</v>
      </c>
      <c r="I8069" s="11">
        <f>IFERROR(INDEX(tEditais[Encerramento],MATCH(tItens[[#This Row],[Edital]],tEditais[Edital],0)),"")</f>
        <v>46309.332638888889</v>
      </c>
      <c r="J8069" t="str">
        <f>IFERROR(INDEX(tProdutos[Classe],MATCH(tItens[[#This Row],[Produto]],tProdutos[Produto],0)),"produto não cadastrado")</f>
        <v>FILA REBASE</v>
      </c>
      <c r="K8069" s="12">
        <f>tItens[[#This Row],[Qtd]]*tItens[[#This Row],[Vlr unit]]</f>
        <v>14655.36</v>
      </c>
      <c r="L8069" s="6">
        <f>IFERROR(IF(INDEX(tProdutos[Desconto homologado],MATCH(tItens[[#This Row],[Produto]],tProdutos[Produto],0))="",DescontoPadrao,INDEX(tProdutos[Desconto homologado],MATCH(tItens[[#This Row],[Produto]],tProdutos[Produto],0))),DescontoPadrao)</f>
        <v>0.44096385542168698</v>
      </c>
      <c r="M8069" s="12">
        <f>tItens[[#This Row],[Valor]]*(1-tItens[[#This Row],[Desconto]])</f>
        <v>8192.8759518072256</v>
      </c>
      <c r="N8069" t="str">
        <f>IFERROR(INDEX(tProdutos[Foco],MATCH(tItens[[#This Row],[Produto]],tProdutos[Produto],0)),"Não")</f>
        <v>Não</v>
      </c>
      <c r="O8069" t="str">
        <f>IFERROR(INDEX(tEditais[SRP],MATCH(tItens[[#This Row],[Edital]],tEditais[Edital],0)),"Não")</f>
        <v>Sim</v>
      </c>
      <c r="P8069" s="4">
        <f>IF(COUNTIFS(INDEX(tItens[Edital],1):tItens[[#This Row],[Edital]],tItens[[#This Row],[Edital]],INDEX(tItens[Produto],1):tItens[[#This Row],[Produto]],tItens[[#This Row],[Produto]])=1,1,0)</f>
        <v>1</v>
      </c>
    </row>
    <row r="8070" spans="1:16" x14ac:dyDescent="0.25">
      <c r="A8070" t="s">
        <v>2644</v>
      </c>
      <c r="B8070">
        <v>308</v>
      </c>
      <c r="C8070" t="s">
        <v>10563</v>
      </c>
      <c r="D8070" t="s">
        <v>461</v>
      </c>
      <c r="E8070" s="13">
        <v>536</v>
      </c>
      <c r="F8070" s="12">
        <v>28.94</v>
      </c>
      <c r="G8070" t="str">
        <f>IFERROR(INDEX(tEditais[Órgão],MATCH(tItens[[#This Row],[Edital]],tEditais[Edital],0)),"")</f>
        <v>CONSORCIO INTEGRADO DE GESTAO PUBLICA DO ENTRE RIOS - CIGAMERIOS</v>
      </c>
      <c r="H8070" t="str">
        <f>IFERROR(INDEX(tEditais[UF],MATCH(tItens[[#This Row],[Edital]],tEditais[Edital],0)),"")</f>
        <v>SC</v>
      </c>
      <c r="I8070" s="11">
        <f>IFERROR(INDEX(tEditais[Encerramento],MATCH(tItens[[#This Row],[Edital]],tEditais[Edital],0)),"")</f>
        <v>46309.332638888889</v>
      </c>
      <c r="J8070" t="str">
        <f>IFERROR(INDEX(tProdutos[Classe],MATCH(tItens[[#This Row],[Produto]],tProdutos[Produto],0)),"produto não cadastrado")</f>
        <v>FILA REBASE</v>
      </c>
      <c r="K8070" s="12">
        <f>tItens[[#This Row],[Qtd]]*tItens[[#This Row],[Vlr unit]]</f>
        <v>15511.84</v>
      </c>
      <c r="L8070" s="6">
        <f>IFERROR(IF(INDEX(tProdutos[Desconto homologado],MATCH(tItens[[#This Row],[Produto]],tProdutos[Produto],0))="",DescontoPadrao,INDEX(tProdutos[Desconto homologado],MATCH(tItens[[#This Row],[Produto]],tProdutos[Produto],0))),DescontoPadrao)</f>
        <v>0.44096385542168698</v>
      </c>
      <c r="M8070" s="12">
        <f>tItens[[#This Row],[Valor]]*(1-tItens[[#This Row],[Desconto]])</f>
        <v>8671.6792289156583</v>
      </c>
      <c r="N8070" t="str">
        <f>IFERROR(INDEX(tProdutos[Foco],MATCH(tItens[[#This Row],[Produto]],tProdutos[Produto],0)),"Não")</f>
        <v>Não</v>
      </c>
      <c r="O8070" t="str">
        <f>IFERROR(INDEX(tEditais[SRP],MATCH(tItens[[#This Row],[Edital]],tEditais[Edital],0)),"Não")</f>
        <v>Sim</v>
      </c>
      <c r="P8070" s="4">
        <f>IF(COUNTIFS(INDEX(tItens[Edital],1):tItens[[#This Row],[Edital]],tItens[[#This Row],[Edital]],INDEX(tItens[Produto],1):tItens[[#This Row],[Produto]],tItens[[#This Row],[Produto]])=1,1,0)</f>
        <v>0</v>
      </c>
    </row>
    <row r="8071" spans="1:16" x14ac:dyDescent="0.25">
      <c r="A8071" t="s">
        <v>2644</v>
      </c>
      <c r="B8071">
        <v>309</v>
      </c>
      <c r="C8071" t="s">
        <v>10564</v>
      </c>
      <c r="D8071" t="s">
        <v>461</v>
      </c>
      <c r="E8071" s="13">
        <v>558</v>
      </c>
      <c r="F8071" s="12">
        <v>25.22</v>
      </c>
      <c r="G8071" t="str">
        <f>IFERROR(INDEX(tEditais[Órgão],MATCH(tItens[[#This Row],[Edital]],tEditais[Edital],0)),"")</f>
        <v>CONSORCIO INTEGRADO DE GESTAO PUBLICA DO ENTRE RIOS - CIGAMERIOS</v>
      </c>
      <c r="H8071" t="str">
        <f>IFERROR(INDEX(tEditais[UF],MATCH(tItens[[#This Row],[Edital]],tEditais[Edital],0)),"")</f>
        <v>SC</v>
      </c>
      <c r="I8071" s="11">
        <f>IFERROR(INDEX(tEditais[Encerramento],MATCH(tItens[[#This Row],[Edital]],tEditais[Edital],0)),"")</f>
        <v>46309.332638888889</v>
      </c>
      <c r="J8071" t="str">
        <f>IFERROR(INDEX(tProdutos[Classe],MATCH(tItens[[#This Row],[Produto]],tProdutos[Produto],0)),"produto não cadastrado")</f>
        <v>FILA REBASE</v>
      </c>
      <c r="K8071" s="12">
        <f>tItens[[#This Row],[Qtd]]*tItens[[#This Row],[Vlr unit]]</f>
        <v>14072.76</v>
      </c>
      <c r="L8071" s="6">
        <f>IFERROR(IF(INDEX(tProdutos[Desconto homologado],MATCH(tItens[[#This Row],[Produto]],tProdutos[Produto],0))="",DescontoPadrao,INDEX(tProdutos[Desconto homologado],MATCH(tItens[[#This Row],[Produto]],tProdutos[Produto],0))),DescontoPadrao)</f>
        <v>0.44096385542168698</v>
      </c>
      <c r="M8071" s="12">
        <f>tItens[[#This Row],[Valor]]*(1-tItens[[#This Row],[Desconto]])</f>
        <v>7867.1814939758997</v>
      </c>
      <c r="N8071" t="str">
        <f>IFERROR(INDEX(tProdutos[Foco],MATCH(tItens[[#This Row],[Produto]],tProdutos[Produto],0)),"Não")</f>
        <v>Não</v>
      </c>
      <c r="O8071" t="str">
        <f>IFERROR(INDEX(tEditais[SRP],MATCH(tItens[[#This Row],[Edital]],tEditais[Edital],0)),"Não")</f>
        <v>Sim</v>
      </c>
      <c r="P8071" s="4">
        <f>IF(COUNTIFS(INDEX(tItens[Edital],1):tItens[[#This Row],[Edital]],tItens[[#This Row],[Edital]],INDEX(tItens[Produto],1):tItens[[#This Row],[Produto]],tItens[[#This Row],[Produto]])=1,1,0)</f>
        <v>0</v>
      </c>
    </row>
    <row r="8072" spans="1:16" x14ac:dyDescent="0.25">
      <c r="A8072" t="s">
        <v>2644</v>
      </c>
      <c r="B8072">
        <v>310</v>
      </c>
      <c r="C8072" t="s">
        <v>10565</v>
      </c>
      <c r="D8072" t="s">
        <v>461</v>
      </c>
      <c r="E8072" s="13">
        <v>562</v>
      </c>
      <c r="F8072" s="12">
        <v>33.159999999999997</v>
      </c>
      <c r="G8072" t="str">
        <f>IFERROR(INDEX(tEditais[Órgão],MATCH(tItens[[#This Row],[Edital]],tEditais[Edital],0)),"")</f>
        <v>CONSORCIO INTEGRADO DE GESTAO PUBLICA DO ENTRE RIOS - CIGAMERIOS</v>
      </c>
      <c r="H8072" t="str">
        <f>IFERROR(INDEX(tEditais[UF],MATCH(tItens[[#This Row],[Edital]],tEditais[Edital],0)),"")</f>
        <v>SC</v>
      </c>
      <c r="I8072" s="11">
        <f>IFERROR(INDEX(tEditais[Encerramento],MATCH(tItens[[#This Row],[Edital]],tEditais[Edital],0)),"")</f>
        <v>46309.332638888889</v>
      </c>
      <c r="J8072" t="str">
        <f>IFERROR(INDEX(tProdutos[Classe],MATCH(tItens[[#This Row],[Produto]],tProdutos[Produto],0)),"produto não cadastrado")</f>
        <v>FILA REBASE</v>
      </c>
      <c r="K8072" s="12">
        <f>tItens[[#This Row],[Qtd]]*tItens[[#This Row],[Vlr unit]]</f>
        <v>18635.919999999998</v>
      </c>
      <c r="L8072" s="6">
        <f>IFERROR(IF(INDEX(tProdutos[Desconto homologado],MATCH(tItens[[#This Row],[Produto]],tProdutos[Produto],0))="",DescontoPadrao,INDEX(tProdutos[Desconto homologado],MATCH(tItens[[#This Row],[Produto]],tProdutos[Produto],0))),DescontoPadrao)</f>
        <v>0.44096385542168698</v>
      </c>
      <c r="M8072" s="12">
        <f>tItens[[#This Row],[Valor]]*(1-tItens[[#This Row],[Desconto]])</f>
        <v>10418.152867469873</v>
      </c>
      <c r="N8072" t="str">
        <f>IFERROR(INDEX(tProdutos[Foco],MATCH(tItens[[#This Row],[Produto]],tProdutos[Produto],0)),"Não")</f>
        <v>Não</v>
      </c>
      <c r="O8072" t="str">
        <f>IFERROR(INDEX(tEditais[SRP],MATCH(tItens[[#This Row],[Edital]],tEditais[Edital],0)),"Não")</f>
        <v>Sim</v>
      </c>
      <c r="P8072" s="4">
        <f>IF(COUNTIFS(INDEX(tItens[Edital],1):tItens[[#This Row],[Edital]],tItens[[#This Row],[Edital]],INDEX(tItens[Produto],1):tItens[[#This Row],[Produto]],tItens[[#This Row],[Produto]])=1,1,0)</f>
        <v>0</v>
      </c>
    </row>
    <row r="8073" spans="1:16" x14ac:dyDescent="0.25">
      <c r="A8073" t="s">
        <v>2644</v>
      </c>
      <c r="B8073">
        <v>311</v>
      </c>
      <c r="C8073" t="s">
        <v>10566</v>
      </c>
      <c r="D8073" t="s">
        <v>461</v>
      </c>
      <c r="E8073" s="13">
        <v>446</v>
      </c>
      <c r="F8073" s="12">
        <v>26.35</v>
      </c>
      <c r="G8073" t="str">
        <f>IFERROR(INDEX(tEditais[Órgão],MATCH(tItens[[#This Row],[Edital]],tEditais[Edital],0)),"")</f>
        <v>CONSORCIO INTEGRADO DE GESTAO PUBLICA DO ENTRE RIOS - CIGAMERIOS</v>
      </c>
      <c r="H8073" t="str">
        <f>IFERROR(INDEX(tEditais[UF],MATCH(tItens[[#This Row],[Edital]],tEditais[Edital],0)),"")</f>
        <v>SC</v>
      </c>
      <c r="I8073" s="11">
        <f>IFERROR(INDEX(tEditais[Encerramento],MATCH(tItens[[#This Row],[Edital]],tEditais[Edital],0)),"")</f>
        <v>46309.332638888889</v>
      </c>
      <c r="J8073" t="str">
        <f>IFERROR(INDEX(tProdutos[Classe],MATCH(tItens[[#This Row],[Produto]],tProdutos[Produto],0)),"produto não cadastrado")</f>
        <v>FILA REBASE</v>
      </c>
      <c r="K8073" s="12">
        <f>tItens[[#This Row],[Qtd]]*tItens[[#This Row],[Vlr unit]]</f>
        <v>11752.1</v>
      </c>
      <c r="L8073" s="6">
        <f>IFERROR(IF(INDEX(tProdutos[Desconto homologado],MATCH(tItens[[#This Row],[Produto]],tProdutos[Produto],0))="",DescontoPadrao,INDEX(tProdutos[Desconto homologado],MATCH(tItens[[#This Row],[Produto]],tProdutos[Produto],0))),DescontoPadrao)</f>
        <v>0.44096385542168698</v>
      </c>
      <c r="M8073" s="12">
        <f>tItens[[#This Row],[Valor]]*(1-tItens[[#This Row],[Desconto]])</f>
        <v>6569.8486746987919</v>
      </c>
      <c r="N8073" t="str">
        <f>IFERROR(INDEX(tProdutos[Foco],MATCH(tItens[[#This Row],[Produto]],tProdutos[Produto],0)),"Não")</f>
        <v>Não</v>
      </c>
      <c r="O8073" t="str">
        <f>IFERROR(INDEX(tEditais[SRP],MATCH(tItens[[#This Row],[Edital]],tEditais[Edital],0)),"Não")</f>
        <v>Sim</v>
      </c>
      <c r="P8073" s="4">
        <f>IF(COUNTIFS(INDEX(tItens[Edital],1):tItens[[#This Row],[Edital]],tItens[[#This Row],[Edital]],INDEX(tItens[Produto],1):tItens[[#This Row],[Produto]],tItens[[#This Row],[Produto]])=1,1,0)</f>
        <v>0</v>
      </c>
    </row>
    <row r="8074" spans="1:16" x14ac:dyDescent="0.25">
      <c r="A8074" t="s">
        <v>2644</v>
      </c>
      <c r="B8074">
        <v>312</v>
      </c>
      <c r="C8074" t="s">
        <v>10567</v>
      </c>
      <c r="D8074" t="s">
        <v>461</v>
      </c>
      <c r="E8074" s="13">
        <v>466</v>
      </c>
      <c r="F8074" s="12">
        <v>27.37</v>
      </c>
      <c r="G8074" t="str">
        <f>IFERROR(INDEX(tEditais[Órgão],MATCH(tItens[[#This Row],[Edital]],tEditais[Edital],0)),"")</f>
        <v>CONSORCIO INTEGRADO DE GESTAO PUBLICA DO ENTRE RIOS - CIGAMERIOS</v>
      </c>
      <c r="H8074" t="str">
        <f>IFERROR(INDEX(tEditais[UF],MATCH(tItens[[#This Row],[Edital]],tEditais[Edital],0)),"")</f>
        <v>SC</v>
      </c>
      <c r="I8074" s="11">
        <f>IFERROR(INDEX(tEditais[Encerramento],MATCH(tItens[[#This Row],[Edital]],tEditais[Edital],0)),"")</f>
        <v>46309.332638888889</v>
      </c>
      <c r="J8074" t="str">
        <f>IFERROR(INDEX(tProdutos[Classe],MATCH(tItens[[#This Row],[Produto]],tProdutos[Produto],0)),"produto não cadastrado")</f>
        <v>FILA REBASE</v>
      </c>
      <c r="K8074" s="12">
        <f>tItens[[#This Row],[Qtd]]*tItens[[#This Row],[Vlr unit]]</f>
        <v>12754.42</v>
      </c>
      <c r="L8074" s="6">
        <f>IFERROR(IF(INDEX(tProdutos[Desconto homologado],MATCH(tItens[[#This Row],[Produto]],tProdutos[Produto],0))="",DescontoPadrao,INDEX(tProdutos[Desconto homologado],MATCH(tItens[[#This Row],[Produto]],tProdutos[Produto],0))),DescontoPadrao)</f>
        <v>0.44096385542168698</v>
      </c>
      <c r="M8074" s="12">
        <f>tItens[[#This Row],[Valor]]*(1-tItens[[#This Row],[Desconto]])</f>
        <v>7130.1817831325261</v>
      </c>
      <c r="N8074" t="str">
        <f>IFERROR(INDEX(tProdutos[Foco],MATCH(tItens[[#This Row],[Produto]],tProdutos[Produto],0)),"Não")</f>
        <v>Não</v>
      </c>
      <c r="O8074" t="str">
        <f>IFERROR(INDEX(tEditais[SRP],MATCH(tItens[[#This Row],[Edital]],tEditais[Edital],0)),"Não")</f>
        <v>Sim</v>
      </c>
      <c r="P8074" s="4">
        <f>IF(COUNTIFS(INDEX(tItens[Edital],1):tItens[[#This Row],[Edital]],tItens[[#This Row],[Edital]],INDEX(tItens[Produto],1):tItens[[#This Row],[Produto]],tItens[[#This Row],[Produto]])=1,1,0)</f>
        <v>0</v>
      </c>
    </row>
    <row r="8075" spans="1:16" x14ac:dyDescent="0.25">
      <c r="A8075" t="s">
        <v>2644</v>
      </c>
      <c r="B8075">
        <v>313</v>
      </c>
      <c r="C8075" t="s">
        <v>10568</v>
      </c>
      <c r="D8075" t="s">
        <v>461</v>
      </c>
      <c r="E8075" s="13">
        <v>451</v>
      </c>
      <c r="F8075" s="12">
        <v>31.76</v>
      </c>
      <c r="G8075" t="str">
        <f>IFERROR(INDEX(tEditais[Órgão],MATCH(tItens[[#This Row],[Edital]],tEditais[Edital],0)),"")</f>
        <v>CONSORCIO INTEGRADO DE GESTAO PUBLICA DO ENTRE RIOS - CIGAMERIOS</v>
      </c>
      <c r="H8075" t="str">
        <f>IFERROR(INDEX(tEditais[UF],MATCH(tItens[[#This Row],[Edital]],tEditais[Edital],0)),"")</f>
        <v>SC</v>
      </c>
      <c r="I8075" s="11">
        <f>IFERROR(INDEX(tEditais[Encerramento],MATCH(tItens[[#This Row],[Edital]],tEditais[Edital],0)),"")</f>
        <v>46309.332638888889</v>
      </c>
      <c r="J8075" t="str">
        <f>IFERROR(INDEX(tProdutos[Classe],MATCH(tItens[[#This Row],[Produto]],tProdutos[Produto],0)),"produto não cadastrado")</f>
        <v>FILA REBASE</v>
      </c>
      <c r="K8075" s="12">
        <f>tItens[[#This Row],[Qtd]]*tItens[[#This Row],[Vlr unit]]</f>
        <v>14323.76</v>
      </c>
      <c r="L8075" s="6">
        <f>IFERROR(IF(INDEX(tProdutos[Desconto homologado],MATCH(tItens[[#This Row],[Produto]],tProdutos[Produto],0))="",DescontoPadrao,INDEX(tProdutos[Desconto homologado],MATCH(tItens[[#This Row],[Produto]],tProdutos[Produto],0))),DescontoPadrao)</f>
        <v>0.44096385542168698</v>
      </c>
      <c r="M8075" s="12">
        <f>tItens[[#This Row],[Valor]]*(1-tItens[[#This Row],[Desconto]])</f>
        <v>8007.4995662650563</v>
      </c>
      <c r="N8075" t="str">
        <f>IFERROR(INDEX(tProdutos[Foco],MATCH(tItens[[#This Row],[Produto]],tProdutos[Produto],0)),"Não")</f>
        <v>Não</v>
      </c>
      <c r="O8075" t="str">
        <f>IFERROR(INDEX(tEditais[SRP],MATCH(tItens[[#This Row],[Edital]],tEditais[Edital],0)),"Não")</f>
        <v>Sim</v>
      </c>
      <c r="P8075" s="4">
        <f>IF(COUNTIFS(INDEX(tItens[Edital],1):tItens[[#This Row],[Edital]],tItens[[#This Row],[Edital]],INDEX(tItens[Produto],1):tItens[[#This Row],[Produto]],tItens[[#This Row],[Produto]])=1,1,0)</f>
        <v>0</v>
      </c>
    </row>
    <row r="8076" spans="1:16" x14ac:dyDescent="0.25">
      <c r="A8076" t="s">
        <v>2644</v>
      </c>
      <c r="B8076">
        <v>314</v>
      </c>
      <c r="C8076" t="s">
        <v>10569</v>
      </c>
      <c r="D8076" t="s">
        <v>461</v>
      </c>
      <c r="E8076" s="13">
        <v>435</v>
      </c>
      <c r="F8076" s="12">
        <v>24.95</v>
      </c>
      <c r="G8076" t="str">
        <f>IFERROR(INDEX(tEditais[Órgão],MATCH(tItens[[#This Row],[Edital]],tEditais[Edital],0)),"")</f>
        <v>CONSORCIO INTEGRADO DE GESTAO PUBLICA DO ENTRE RIOS - CIGAMERIOS</v>
      </c>
      <c r="H8076" t="str">
        <f>IFERROR(INDEX(tEditais[UF],MATCH(tItens[[#This Row],[Edital]],tEditais[Edital],0)),"")</f>
        <v>SC</v>
      </c>
      <c r="I8076" s="11">
        <f>IFERROR(INDEX(tEditais[Encerramento],MATCH(tItens[[#This Row],[Edital]],tEditais[Edital],0)),"")</f>
        <v>46309.332638888889</v>
      </c>
      <c r="J8076" t="str">
        <f>IFERROR(INDEX(tProdutos[Classe],MATCH(tItens[[#This Row],[Produto]],tProdutos[Produto],0)),"produto não cadastrado")</f>
        <v>FILA REBASE</v>
      </c>
      <c r="K8076" s="12">
        <f>tItens[[#This Row],[Qtd]]*tItens[[#This Row],[Vlr unit]]</f>
        <v>10853.25</v>
      </c>
      <c r="L8076" s="6">
        <f>IFERROR(IF(INDEX(tProdutos[Desconto homologado],MATCH(tItens[[#This Row],[Produto]],tProdutos[Produto],0))="",DescontoPadrao,INDEX(tProdutos[Desconto homologado],MATCH(tItens[[#This Row],[Produto]],tProdutos[Produto],0))),DescontoPadrao)</f>
        <v>0.44096385542168698</v>
      </c>
      <c r="M8076" s="12">
        <f>tItens[[#This Row],[Valor]]*(1-tItens[[#This Row],[Desconto]])</f>
        <v>6067.3590361445749</v>
      </c>
      <c r="N8076" t="str">
        <f>IFERROR(INDEX(tProdutos[Foco],MATCH(tItens[[#This Row],[Produto]],tProdutos[Produto],0)),"Não")</f>
        <v>Não</v>
      </c>
      <c r="O8076" t="str">
        <f>IFERROR(INDEX(tEditais[SRP],MATCH(tItens[[#This Row],[Edital]],tEditais[Edital],0)),"Não")</f>
        <v>Sim</v>
      </c>
      <c r="P8076" s="4">
        <f>IF(COUNTIFS(INDEX(tItens[Edital],1):tItens[[#This Row],[Edital]],tItens[[#This Row],[Edital]],INDEX(tItens[Produto],1):tItens[[#This Row],[Produto]],tItens[[#This Row],[Produto]])=1,1,0)</f>
        <v>0</v>
      </c>
    </row>
    <row r="8077" spans="1:16" x14ac:dyDescent="0.25">
      <c r="A8077" t="s">
        <v>2644</v>
      </c>
      <c r="B8077">
        <v>317</v>
      </c>
      <c r="C8077" t="s">
        <v>10570</v>
      </c>
      <c r="D8077" t="s">
        <v>142</v>
      </c>
      <c r="E8077" s="13">
        <v>1199</v>
      </c>
      <c r="F8077" s="12">
        <v>5.15</v>
      </c>
      <c r="G8077" t="str">
        <f>IFERROR(INDEX(tEditais[Órgão],MATCH(tItens[[#This Row],[Edital]],tEditais[Edital],0)),"")</f>
        <v>CONSORCIO INTEGRADO DE GESTAO PUBLICA DO ENTRE RIOS - CIGAMERIOS</v>
      </c>
      <c r="H8077" t="str">
        <f>IFERROR(INDEX(tEditais[UF],MATCH(tItens[[#This Row],[Edital]],tEditais[Edital],0)),"")</f>
        <v>SC</v>
      </c>
      <c r="I8077" s="11">
        <f>IFERROR(INDEX(tEditais[Encerramento],MATCH(tItens[[#This Row],[Edital]],tEditais[Edital],0)),"")</f>
        <v>46309.332638888889</v>
      </c>
      <c r="J8077" t="str">
        <f>IFERROR(INDEX(tProdutos[Classe],MATCH(tItens[[#This Row],[Produto]],tProdutos[Produto],0)),"produto não cadastrado")</f>
        <v>DISPUTADO</v>
      </c>
      <c r="K8077" s="12">
        <f>tItens[[#This Row],[Qtd]]*tItens[[#This Row],[Vlr unit]]</f>
        <v>6174.85</v>
      </c>
      <c r="L8077" s="6">
        <f>IFERROR(IF(INDEX(tProdutos[Desconto homologado],MATCH(tItens[[#This Row],[Produto]],tProdutos[Produto],0))="",DescontoPadrao,INDEX(tProdutos[Desconto homologado],MATCH(tItens[[#This Row],[Produto]],tProdutos[Produto],0))),DescontoPadrao)</f>
        <v>0.37093619495691699</v>
      </c>
      <c r="M8077" s="12">
        <f>tItens[[#This Row],[Valor]]*(1-tItens[[#This Row],[Desconto]])</f>
        <v>3884.3746365702814</v>
      </c>
      <c r="N8077" t="str">
        <f>IFERROR(INDEX(tProdutos[Foco],MATCH(tItens[[#This Row],[Produto]],tProdutos[Produto],0)),"Não")</f>
        <v>Não</v>
      </c>
      <c r="O8077" t="str">
        <f>IFERROR(INDEX(tEditais[SRP],MATCH(tItens[[#This Row],[Edital]],tEditais[Edital],0)),"Não")</f>
        <v>Sim</v>
      </c>
      <c r="P8077" s="4">
        <f>IF(COUNTIFS(INDEX(tItens[Edital],1):tItens[[#This Row],[Edital]],tItens[[#This Row],[Edital]],INDEX(tItens[Produto],1):tItens[[#This Row],[Produto]],tItens[[#This Row],[Produto]])=1,1,0)</f>
        <v>1</v>
      </c>
    </row>
    <row r="8078" spans="1:16" x14ac:dyDescent="0.25">
      <c r="A8078" t="s">
        <v>2644</v>
      </c>
      <c r="B8078">
        <v>321</v>
      </c>
      <c r="C8078" t="s">
        <v>10571</v>
      </c>
      <c r="D8078" t="s">
        <v>77</v>
      </c>
      <c r="E8078" s="13">
        <v>4840</v>
      </c>
      <c r="F8078" s="12">
        <v>5.94</v>
      </c>
      <c r="G8078" t="str">
        <f>IFERROR(INDEX(tEditais[Órgão],MATCH(tItens[[#This Row],[Edital]],tEditais[Edital],0)),"")</f>
        <v>CONSORCIO INTEGRADO DE GESTAO PUBLICA DO ENTRE RIOS - CIGAMERIOS</v>
      </c>
      <c r="H8078" t="str">
        <f>IFERROR(INDEX(tEditais[UF],MATCH(tItens[[#This Row],[Edital]],tEditais[Edital],0)),"")</f>
        <v>SC</v>
      </c>
      <c r="I8078" s="11">
        <f>IFERROR(INDEX(tEditais[Encerramento],MATCH(tItens[[#This Row],[Edital]],tEditais[Edital],0)),"")</f>
        <v>46309.332638888889</v>
      </c>
      <c r="J8078" t="str">
        <f>IFERROR(INDEX(tProdutos[Classe],MATCH(tItens[[#This Row],[Produto]],tProdutos[Produto],0)),"produto não cadastrado")</f>
        <v>DISPUTADO</v>
      </c>
      <c r="K8078" s="12">
        <f>tItens[[#This Row],[Qtd]]*tItens[[#This Row],[Vlr unit]]</f>
        <v>28749.600000000002</v>
      </c>
      <c r="L8078" s="6">
        <f>IFERROR(IF(INDEX(tProdutos[Desconto homologado],MATCH(tItens[[#This Row],[Produto]],tProdutos[Produto],0))="",DescontoPadrao,INDEX(tProdutos[Desconto homologado],MATCH(tItens[[#This Row],[Produto]],tProdutos[Produto],0))),DescontoPadrao)</f>
        <v>0.33</v>
      </c>
      <c r="M8078" s="12">
        <f>tItens[[#This Row],[Valor]]*(1-tItens[[#This Row],[Desconto]])</f>
        <v>19262.232</v>
      </c>
      <c r="N8078" t="str">
        <f>IFERROR(INDEX(tProdutos[Foco],MATCH(tItens[[#This Row],[Produto]],tProdutos[Produto],0)),"Não")</f>
        <v>Sim</v>
      </c>
      <c r="O8078" t="str">
        <f>IFERROR(INDEX(tEditais[SRP],MATCH(tItens[[#This Row],[Edital]],tEditais[Edital],0)),"Não")</f>
        <v>Sim</v>
      </c>
      <c r="P8078" s="4">
        <f>IF(COUNTIFS(INDEX(tItens[Edital],1):tItens[[#This Row],[Edital]],tItens[[#This Row],[Edital]],INDEX(tItens[Produto],1):tItens[[#This Row],[Produto]],tItens[[#This Row],[Produto]])=1,1,0)</f>
        <v>1</v>
      </c>
    </row>
    <row r="8079" spans="1:16" x14ac:dyDescent="0.25">
      <c r="A8079" t="s">
        <v>2644</v>
      </c>
      <c r="B8079">
        <v>322</v>
      </c>
      <c r="C8079" t="s">
        <v>10572</v>
      </c>
      <c r="D8079" t="s">
        <v>77</v>
      </c>
      <c r="E8079" s="13">
        <v>8240</v>
      </c>
      <c r="F8079" s="12">
        <v>31.75</v>
      </c>
      <c r="G8079" t="str">
        <f>IFERROR(INDEX(tEditais[Órgão],MATCH(tItens[[#This Row],[Edital]],tEditais[Edital],0)),"")</f>
        <v>CONSORCIO INTEGRADO DE GESTAO PUBLICA DO ENTRE RIOS - CIGAMERIOS</v>
      </c>
      <c r="H8079" t="str">
        <f>IFERROR(INDEX(tEditais[UF],MATCH(tItens[[#This Row],[Edital]],tEditais[Edital],0)),"")</f>
        <v>SC</v>
      </c>
      <c r="I8079" s="11">
        <f>IFERROR(INDEX(tEditais[Encerramento],MATCH(tItens[[#This Row],[Edital]],tEditais[Edital],0)),"")</f>
        <v>46309.332638888889</v>
      </c>
      <c r="J8079" t="str">
        <f>IFERROR(INDEX(tProdutos[Classe],MATCH(tItens[[#This Row],[Produto]],tProdutos[Produto],0)),"produto não cadastrado")</f>
        <v>DISPUTADO</v>
      </c>
      <c r="K8079" s="12">
        <f>tItens[[#This Row],[Qtd]]*tItens[[#This Row],[Vlr unit]]</f>
        <v>261620</v>
      </c>
      <c r="L8079" s="6">
        <f>IFERROR(IF(INDEX(tProdutos[Desconto homologado],MATCH(tItens[[#This Row],[Produto]],tProdutos[Produto],0))="",DescontoPadrao,INDEX(tProdutos[Desconto homologado],MATCH(tItens[[#This Row],[Produto]],tProdutos[Produto],0))),DescontoPadrao)</f>
        <v>0.33</v>
      </c>
      <c r="M8079" s="12">
        <f>tItens[[#This Row],[Valor]]*(1-tItens[[#This Row],[Desconto]])</f>
        <v>175285.4</v>
      </c>
      <c r="N8079" t="str">
        <f>IFERROR(INDEX(tProdutos[Foco],MATCH(tItens[[#This Row],[Produto]],tProdutos[Produto],0)),"Não")</f>
        <v>Sim</v>
      </c>
      <c r="O8079" t="str">
        <f>IFERROR(INDEX(tEditais[SRP],MATCH(tItens[[#This Row],[Edital]],tEditais[Edital],0)),"Não")</f>
        <v>Sim</v>
      </c>
      <c r="P8079" s="4">
        <f>IF(COUNTIFS(INDEX(tItens[Edital],1):tItens[[#This Row],[Edital]],tItens[[#This Row],[Edital]],INDEX(tItens[Produto],1):tItens[[#This Row],[Produto]],tItens[[#This Row],[Produto]])=1,1,0)</f>
        <v>0</v>
      </c>
    </row>
    <row r="8080" spans="1:16" x14ac:dyDescent="0.25">
      <c r="A8080" t="s">
        <v>2644</v>
      </c>
      <c r="B8080">
        <v>323</v>
      </c>
      <c r="C8080" t="s">
        <v>10573</v>
      </c>
      <c r="D8080" t="s">
        <v>77</v>
      </c>
      <c r="E8080" s="13">
        <v>8440</v>
      </c>
      <c r="F8080" s="12">
        <v>23.36</v>
      </c>
      <c r="G8080" t="str">
        <f>IFERROR(INDEX(tEditais[Órgão],MATCH(tItens[[#This Row],[Edital]],tEditais[Edital],0)),"")</f>
        <v>CONSORCIO INTEGRADO DE GESTAO PUBLICA DO ENTRE RIOS - CIGAMERIOS</v>
      </c>
      <c r="H8080" t="str">
        <f>IFERROR(INDEX(tEditais[UF],MATCH(tItens[[#This Row],[Edital]],tEditais[Edital],0)),"")</f>
        <v>SC</v>
      </c>
      <c r="I8080" s="11">
        <f>IFERROR(INDEX(tEditais[Encerramento],MATCH(tItens[[#This Row],[Edital]],tEditais[Edital],0)),"")</f>
        <v>46309.332638888889</v>
      </c>
      <c r="J8080" t="str">
        <f>IFERROR(INDEX(tProdutos[Classe],MATCH(tItens[[#This Row],[Produto]],tProdutos[Produto],0)),"produto não cadastrado")</f>
        <v>DISPUTADO</v>
      </c>
      <c r="K8080" s="12">
        <f>tItens[[#This Row],[Qtd]]*tItens[[#This Row],[Vlr unit]]</f>
        <v>197158.39999999999</v>
      </c>
      <c r="L8080" s="6">
        <f>IFERROR(IF(INDEX(tProdutos[Desconto homologado],MATCH(tItens[[#This Row],[Produto]],tProdutos[Produto],0))="",DescontoPadrao,INDEX(tProdutos[Desconto homologado],MATCH(tItens[[#This Row],[Produto]],tProdutos[Produto],0))),DescontoPadrao)</f>
        <v>0.33</v>
      </c>
      <c r="M8080" s="12">
        <f>tItens[[#This Row],[Valor]]*(1-tItens[[#This Row],[Desconto]])</f>
        <v>132096.12799999997</v>
      </c>
      <c r="N8080" t="str">
        <f>IFERROR(INDEX(tProdutos[Foco],MATCH(tItens[[#This Row],[Produto]],tProdutos[Produto],0)),"Não")</f>
        <v>Sim</v>
      </c>
      <c r="O8080" t="str">
        <f>IFERROR(INDEX(tEditais[SRP],MATCH(tItens[[#This Row],[Edital]],tEditais[Edital],0)),"Não")</f>
        <v>Sim</v>
      </c>
      <c r="P8080" s="4">
        <f>IF(COUNTIFS(INDEX(tItens[Edital],1):tItens[[#This Row],[Edital]],tItens[[#This Row],[Edital]],INDEX(tItens[Produto],1):tItens[[#This Row],[Produto]],tItens[[#This Row],[Produto]])=1,1,0)</f>
        <v>0</v>
      </c>
    </row>
    <row r="8081" spans="1:16" x14ac:dyDescent="0.25">
      <c r="A8081" t="s">
        <v>2644</v>
      </c>
      <c r="B8081">
        <v>324</v>
      </c>
      <c r="C8081" t="s">
        <v>10574</v>
      </c>
      <c r="D8081" t="s">
        <v>77</v>
      </c>
      <c r="E8081" s="13">
        <v>8990</v>
      </c>
      <c r="F8081" s="12">
        <v>5.83</v>
      </c>
      <c r="G8081" t="str">
        <f>IFERROR(INDEX(tEditais[Órgão],MATCH(tItens[[#This Row],[Edital]],tEditais[Edital],0)),"")</f>
        <v>CONSORCIO INTEGRADO DE GESTAO PUBLICA DO ENTRE RIOS - CIGAMERIOS</v>
      </c>
      <c r="H8081" t="str">
        <f>IFERROR(INDEX(tEditais[UF],MATCH(tItens[[#This Row],[Edital]],tEditais[Edital],0)),"")</f>
        <v>SC</v>
      </c>
      <c r="I8081" s="11">
        <f>IFERROR(INDEX(tEditais[Encerramento],MATCH(tItens[[#This Row],[Edital]],tEditais[Edital],0)),"")</f>
        <v>46309.332638888889</v>
      </c>
      <c r="J8081" t="str">
        <f>IFERROR(INDEX(tProdutos[Classe],MATCH(tItens[[#This Row],[Produto]],tProdutos[Produto],0)),"produto não cadastrado")</f>
        <v>DISPUTADO</v>
      </c>
      <c r="K8081" s="12">
        <f>tItens[[#This Row],[Qtd]]*tItens[[#This Row],[Vlr unit]]</f>
        <v>52411.7</v>
      </c>
      <c r="L8081" s="6">
        <f>IFERROR(IF(INDEX(tProdutos[Desconto homologado],MATCH(tItens[[#This Row],[Produto]],tProdutos[Produto],0))="",DescontoPadrao,INDEX(tProdutos[Desconto homologado],MATCH(tItens[[#This Row],[Produto]],tProdutos[Produto],0))),DescontoPadrao)</f>
        <v>0.33</v>
      </c>
      <c r="M8081" s="12">
        <f>tItens[[#This Row],[Valor]]*(1-tItens[[#This Row],[Desconto]])</f>
        <v>35115.838999999993</v>
      </c>
      <c r="N8081" t="str">
        <f>IFERROR(INDEX(tProdutos[Foco],MATCH(tItens[[#This Row],[Produto]],tProdutos[Produto],0)),"Não")</f>
        <v>Sim</v>
      </c>
      <c r="O8081" t="str">
        <f>IFERROR(INDEX(tEditais[SRP],MATCH(tItens[[#This Row],[Edital]],tEditais[Edital],0)),"Não")</f>
        <v>Sim</v>
      </c>
      <c r="P8081" s="4">
        <f>IF(COUNTIFS(INDEX(tItens[Edital],1):tItens[[#This Row],[Edital]],tItens[[#This Row],[Edital]],INDEX(tItens[Produto],1):tItens[[#This Row],[Produto]],tItens[[#This Row],[Produto]])=1,1,0)</f>
        <v>0</v>
      </c>
    </row>
    <row r="8082" spans="1:16" x14ac:dyDescent="0.25">
      <c r="A8082" t="s">
        <v>2644</v>
      </c>
      <c r="B8082">
        <v>325</v>
      </c>
      <c r="C8082" t="s">
        <v>10575</v>
      </c>
      <c r="D8082" t="s">
        <v>77</v>
      </c>
      <c r="E8082" s="13">
        <v>10410</v>
      </c>
      <c r="F8082" s="12">
        <v>7.47</v>
      </c>
      <c r="G8082" t="str">
        <f>IFERROR(INDEX(tEditais[Órgão],MATCH(tItens[[#This Row],[Edital]],tEditais[Edital],0)),"")</f>
        <v>CONSORCIO INTEGRADO DE GESTAO PUBLICA DO ENTRE RIOS - CIGAMERIOS</v>
      </c>
      <c r="H8082" t="str">
        <f>IFERROR(INDEX(tEditais[UF],MATCH(tItens[[#This Row],[Edital]],tEditais[Edital],0)),"")</f>
        <v>SC</v>
      </c>
      <c r="I8082" s="11">
        <f>IFERROR(INDEX(tEditais[Encerramento],MATCH(tItens[[#This Row],[Edital]],tEditais[Edital],0)),"")</f>
        <v>46309.332638888889</v>
      </c>
      <c r="J8082" t="str">
        <f>IFERROR(INDEX(tProdutos[Classe],MATCH(tItens[[#This Row],[Produto]],tProdutos[Produto],0)),"produto não cadastrado")</f>
        <v>DISPUTADO</v>
      </c>
      <c r="K8082" s="12">
        <f>tItens[[#This Row],[Qtd]]*tItens[[#This Row],[Vlr unit]]</f>
        <v>77762.7</v>
      </c>
      <c r="L8082" s="6">
        <f>IFERROR(IF(INDEX(tProdutos[Desconto homologado],MATCH(tItens[[#This Row],[Produto]],tProdutos[Produto],0))="",DescontoPadrao,INDEX(tProdutos[Desconto homologado],MATCH(tItens[[#This Row],[Produto]],tProdutos[Produto],0))),DescontoPadrao)</f>
        <v>0.33</v>
      </c>
      <c r="M8082" s="12">
        <f>tItens[[#This Row],[Valor]]*(1-tItens[[#This Row],[Desconto]])</f>
        <v>52101.008999999991</v>
      </c>
      <c r="N8082" t="str">
        <f>IFERROR(INDEX(tProdutos[Foco],MATCH(tItens[[#This Row],[Produto]],tProdutos[Produto],0)),"Não")</f>
        <v>Sim</v>
      </c>
      <c r="O8082" t="str">
        <f>IFERROR(INDEX(tEditais[SRP],MATCH(tItens[[#This Row],[Edital]],tEditais[Edital],0)),"Não")</f>
        <v>Sim</v>
      </c>
      <c r="P8082" s="4">
        <f>IF(COUNTIFS(INDEX(tItens[Edital],1):tItens[[#This Row],[Edital]],tItens[[#This Row],[Edital]],INDEX(tItens[Produto],1):tItens[[#This Row],[Produto]],tItens[[#This Row],[Produto]])=1,1,0)</f>
        <v>0</v>
      </c>
    </row>
    <row r="8083" spans="1:16" x14ac:dyDescent="0.25">
      <c r="A8083" t="s">
        <v>2644</v>
      </c>
      <c r="B8083">
        <v>326</v>
      </c>
      <c r="C8083" t="s">
        <v>10576</v>
      </c>
      <c r="D8083" t="s">
        <v>77</v>
      </c>
      <c r="E8083" s="13">
        <v>11610</v>
      </c>
      <c r="F8083" s="12">
        <v>6.23</v>
      </c>
      <c r="G8083" t="str">
        <f>IFERROR(INDEX(tEditais[Órgão],MATCH(tItens[[#This Row],[Edital]],tEditais[Edital],0)),"")</f>
        <v>CONSORCIO INTEGRADO DE GESTAO PUBLICA DO ENTRE RIOS - CIGAMERIOS</v>
      </c>
      <c r="H8083" t="str">
        <f>IFERROR(INDEX(tEditais[UF],MATCH(tItens[[#This Row],[Edital]],tEditais[Edital],0)),"")</f>
        <v>SC</v>
      </c>
      <c r="I8083" s="11">
        <f>IFERROR(INDEX(tEditais[Encerramento],MATCH(tItens[[#This Row],[Edital]],tEditais[Edital],0)),"")</f>
        <v>46309.332638888889</v>
      </c>
      <c r="J8083" t="str">
        <f>IFERROR(INDEX(tProdutos[Classe],MATCH(tItens[[#This Row],[Produto]],tProdutos[Produto],0)),"produto não cadastrado")</f>
        <v>DISPUTADO</v>
      </c>
      <c r="K8083" s="12">
        <f>tItens[[#This Row],[Qtd]]*tItens[[#This Row],[Vlr unit]]</f>
        <v>72330.3</v>
      </c>
      <c r="L8083" s="6">
        <f>IFERROR(IF(INDEX(tProdutos[Desconto homologado],MATCH(tItens[[#This Row],[Produto]],tProdutos[Produto],0))="",DescontoPadrao,INDEX(tProdutos[Desconto homologado],MATCH(tItens[[#This Row],[Produto]],tProdutos[Produto],0))),DescontoPadrao)</f>
        <v>0.33</v>
      </c>
      <c r="M8083" s="12">
        <f>tItens[[#This Row],[Valor]]*(1-tItens[[#This Row],[Desconto]])</f>
        <v>48461.300999999999</v>
      </c>
      <c r="N8083" t="str">
        <f>IFERROR(INDEX(tProdutos[Foco],MATCH(tItens[[#This Row],[Produto]],tProdutos[Produto],0)),"Não")</f>
        <v>Sim</v>
      </c>
      <c r="O8083" t="str">
        <f>IFERROR(INDEX(tEditais[SRP],MATCH(tItens[[#This Row],[Edital]],tEditais[Edital],0)),"Não")</f>
        <v>Sim</v>
      </c>
      <c r="P8083" s="4">
        <f>IF(COUNTIFS(INDEX(tItens[Edital],1):tItens[[#This Row],[Edital]],tItens[[#This Row],[Edital]],INDEX(tItens[Produto],1):tItens[[#This Row],[Produto]],tItens[[#This Row],[Produto]])=1,1,0)</f>
        <v>0</v>
      </c>
    </row>
    <row r="8084" spans="1:16" x14ac:dyDescent="0.25">
      <c r="A8084" t="s">
        <v>2644</v>
      </c>
      <c r="B8084">
        <v>331</v>
      </c>
      <c r="C8084" t="s">
        <v>10577</v>
      </c>
      <c r="D8084" t="s">
        <v>67</v>
      </c>
      <c r="E8084" s="13">
        <v>1300</v>
      </c>
      <c r="F8084" s="12">
        <v>10.52</v>
      </c>
      <c r="G8084" t="str">
        <f>IFERROR(INDEX(tEditais[Órgão],MATCH(tItens[[#This Row],[Edital]],tEditais[Edital],0)),"")</f>
        <v>CONSORCIO INTEGRADO DE GESTAO PUBLICA DO ENTRE RIOS - CIGAMERIOS</v>
      </c>
      <c r="H8084" t="str">
        <f>IFERROR(INDEX(tEditais[UF],MATCH(tItens[[#This Row],[Edital]],tEditais[Edital],0)),"")</f>
        <v>SC</v>
      </c>
      <c r="I8084" s="11">
        <f>IFERROR(INDEX(tEditais[Encerramento],MATCH(tItens[[#This Row],[Edital]],tEditais[Edital],0)),"")</f>
        <v>46309.332638888889</v>
      </c>
      <c r="J8084" t="str">
        <f>IFERROR(INDEX(tProdutos[Classe],MATCH(tItens[[#This Row],[Produto]],tProdutos[Produto],0)),"produto não cadastrado")</f>
        <v>NÚCLEO</v>
      </c>
      <c r="K8084" s="12">
        <f>tItens[[#This Row],[Qtd]]*tItens[[#This Row],[Vlr unit]]</f>
        <v>13676</v>
      </c>
      <c r="L8084" s="6">
        <f>IFERROR(IF(INDEX(tProdutos[Desconto homologado],MATCH(tItens[[#This Row],[Produto]],tProdutos[Produto],0))="",DescontoPadrao,INDEX(tProdutos[Desconto homologado],MATCH(tItens[[#This Row],[Produto]],tProdutos[Produto],0))),DescontoPadrao)</f>
        <v>0.35766423357664201</v>
      </c>
      <c r="M8084" s="12">
        <f>tItens[[#This Row],[Valor]]*(1-tItens[[#This Row],[Desconto]])</f>
        <v>8784.5839416058443</v>
      </c>
      <c r="N8084" t="str">
        <f>IFERROR(INDEX(tProdutos[Foco],MATCH(tItens[[#This Row],[Produto]],tProdutos[Produto],0)),"Não")</f>
        <v>Não</v>
      </c>
      <c r="O8084" t="str">
        <f>IFERROR(INDEX(tEditais[SRP],MATCH(tItens[[#This Row],[Edital]],tEditais[Edital],0)),"Não")</f>
        <v>Sim</v>
      </c>
      <c r="P8084" s="4">
        <f>IF(COUNTIFS(INDEX(tItens[Edital],1):tItens[[#This Row],[Edital]],tItens[[#This Row],[Edital]],INDEX(tItens[Produto],1):tItens[[#This Row],[Produto]],tItens[[#This Row],[Produto]])=1,1,0)</f>
        <v>1</v>
      </c>
    </row>
    <row r="8085" spans="1:16" x14ac:dyDescent="0.25">
      <c r="A8085" t="s">
        <v>2644</v>
      </c>
      <c r="B8085">
        <v>340</v>
      </c>
      <c r="C8085" t="s">
        <v>10578</v>
      </c>
      <c r="D8085" t="s">
        <v>339</v>
      </c>
      <c r="E8085" s="13">
        <v>56540</v>
      </c>
      <c r="F8085" s="12">
        <v>0.85</v>
      </c>
      <c r="G8085" t="str">
        <f>IFERROR(INDEX(tEditais[Órgão],MATCH(tItens[[#This Row],[Edital]],tEditais[Edital],0)),"")</f>
        <v>CONSORCIO INTEGRADO DE GESTAO PUBLICA DO ENTRE RIOS - CIGAMERIOS</v>
      </c>
      <c r="H8085" t="str">
        <f>IFERROR(INDEX(tEditais[UF],MATCH(tItens[[#This Row],[Edital]],tEditais[Edital],0)),"")</f>
        <v>SC</v>
      </c>
      <c r="I8085" s="11">
        <f>IFERROR(INDEX(tEditais[Encerramento],MATCH(tItens[[#This Row],[Edital]],tEditais[Edital],0)),"")</f>
        <v>46309.332638888889</v>
      </c>
      <c r="J8085" t="str">
        <f>IFERROR(INDEX(tProdutos[Classe],MATCH(tItens[[#This Row],[Produto]],tProdutos[Produto],0)),"produto não cadastrado")</f>
        <v>FORA</v>
      </c>
      <c r="K8085" s="12">
        <f>tItens[[#This Row],[Qtd]]*tItens[[#This Row],[Vlr unit]]</f>
        <v>48059</v>
      </c>
      <c r="L8085" s="6">
        <f>IFERROR(IF(INDEX(tProdutos[Desconto homologado],MATCH(tItens[[#This Row],[Produto]],tProdutos[Produto],0))="",DescontoPadrao,INDEX(tProdutos[Desconto homologado],MATCH(tItens[[#This Row],[Produto]],tProdutos[Produto],0))),DescontoPadrao)</f>
        <v>0.35388629091804102</v>
      </c>
      <c r="M8085" s="12">
        <f>tItens[[#This Row],[Valor]]*(1-tItens[[#This Row],[Desconto]])</f>
        <v>31051.578744769868</v>
      </c>
      <c r="N8085" t="str">
        <f>IFERROR(INDEX(tProdutos[Foco],MATCH(tItens[[#This Row],[Produto]],tProdutos[Produto],0)),"Não")</f>
        <v>Não</v>
      </c>
      <c r="O8085" t="str">
        <f>IFERROR(INDEX(tEditais[SRP],MATCH(tItens[[#This Row],[Edital]],tEditais[Edital],0)),"Não")</f>
        <v>Sim</v>
      </c>
      <c r="P8085" s="4">
        <f>IF(COUNTIFS(INDEX(tItens[Edital],1):tItens[[#This Row],[Edital]],tItens[[#This Row],[Edital]],INDEX(tItens[Produto],1):tItens[[#This Row],[Produto]],tItens[[#This Row],[Produto]])=1,1,0)</f>
        <v>1</v>
      </c>
    </row>
    <row r="8086" spans="1:16" x14ac:dyDescent="0.25">
      <c r="A8086" t="s">
        <v>2644</v>
      </c>
      <c r="B8086">
        <v>341</v>
      </c>
      <c r="C8086" t="s">
        <v>10579</v>
      </c>
      <c r="D8086" t="s">
        <v>339</v>
      </c>
      <c r="E8086" s="13">
        <v>51540</v>
      </c>
      <c r="F8086" s="12">
        <v>0.75</v>
      </c>
      <c r="G8086" t="str">
        <f>IFERROR(INDEX(tEditais[Órgão],MATCH(tItens[[#This Row],[Edital]],tEditais[Edital],0)),"")</f>
        <v>CONSORCIO INTEGRADO DE GESTAO PUBLICA DO ENTRE RIOS - CIGAMERIOS</v>
      </c>
      <c r="H8086" t="str">
        <f>IFERROR(INDEX(tEditais[UF],MATCH(tItens[[#This Row],[Edital]],tEditais[Edital],0)),"")</f>
        <v>SC</v>
      </c>
      <c r="I8086" s="11">
        <f>IFERROR(INDEX(tEditais[Encerramento],MATCH(tItens[[#This Row],[Edital]],tEditais[Edital],0)),"")</f>
        <v>46309.332638888889</v>
      </c>
      <c r="J8086" t="str">
        <f>IFERROR(INDEX(tProdutos[Classe],MATCH(tItens[[#This Row],[Produto]],tProdutos[Produto],0)),"produto não cadastrado")</f>
        <v>FORA</v>
      </c>
      <c r="K8086" s="12">
        <f>tItens[[#This Row],[Qtd]]*tItens[[#This Row],[Vlr unit]]</f>
        <v>38655</v>
      </c>
      <c r="L8086" s="6">
        <f>IFERROR(IF(INDEX(tProdutos[Desconto homologado],MATCH(tItens[[#This Row],[Produto]],tProdutos[Produto],0))="",DescontoPadrao,INDEX(tProdutos[Desconto homologado],MATCH(tItens[[#This Row],[Produto]],tProdutos[Produto],0))),DescontoPadrao)</f>
        <v>0.35388629091804102</v>
      </c>
      <c r="M8086" s="12">
        <f>tItens[[#This Row],[Valor]]*(1-tItens[[#This Row],[Desconto]])</f>
        <v>24975.525424563126</v>
      </c>
      <c r="N8086" t="str">
        <f>IFERROR(INDEX(tProdutos[Foco],MATCH(tItens[[#This Row],[Produto]],tProdutos[Produto],0)),"Não")</f>
        <v>Não</v>
      </c>
      <c r="O8086" t="str">
        <f>IFERROR(INDEX(tEditais[SRP],MATCH(tItens[[#This Row],[Edital]],tEditais[Edital],0)),"Não")</f>
        <v>Sim</v>
      </c>
      <c r="P8086" s="4">
        <f>IF(COUNTIFS(INDEX(tItens[Edital],1):tItens[[#This Row],[Edital]],tItens[[#This Row],[Edital]],INDEX(tItens[Produto],1):tItens[[#This Row],[Produto]],tItens[[#This Row],[Produto]])=1,1,0)</f>
        <v>0</v>
      </c>
    </row>
    <row r="8087" spans="1:16" x14ac:dyDescent="0.25">
      <c r="A8087" t="s">
        <v>2644</v>
      </c>
      <c r="B8087">
        <v>342</v>
      </c>
      <c r="C8087" t="s">
        <v>10580</v>
      </c>
      <c r="D8087" t="s">
        <v>339</v>
      </c>
      <c r="E8087" s="13">
        <v>51740</v>
      </c>
      <c r="F8087" s="12">
        <v>0.8</v>
      </c>
      <c r="G8087" t="str">
        <f>IFERROR(INDEX(tEditais[Órgão],MATCH(tItens[[#This Row],[Edital]],tEditais[Edital],0)),"")</f>
        <v>CONSORCIO INTEGRADO DE GESTAO PUBLICA DO ENTRE RIOS - CIGAMERIOS</v>
      </c>
      <c r="H8087" t="str">
        <f>IFERROR(INDEX(tEditais[UF],MATCH(tItens[[#This Row],[Edital]],tEditais[Edital],0)),"")</f>
        <v>SC</v>
      </c>
      <c r="I8087" s="11">
        <f>IFERROR(INDEX(tEditais[Encerramento],MATCH(tItens[[#This Row],[Edital]],tEditais[Edital],0)),"")</f>
        <v>46309.332638888889</v>
      </c>
      <c r="J8087" t="str">
        <f>IFERROR(INDEX(tProdutos[Classe],MATCH(tItens[[#This Row],[Produto]],tProdutos[Produto],0)),"produto não cadastrado")</f>
        <v>FORA</v>
      </c>
      <c r="K8087" s="12">
        <f>tItens[[#This Row],[Qtd]]*tItens[[#This Row],[Vlr unit]]</f>
        <v>41392</v>
      </c>
      <c r="L8087" s="6">
        <f>IFERROR(IF(INDEX(tProdutos[Desconto homologado],MATCH(tItens[[#This Row],[Produto]],tProdutos[Produto],0))="",DescontoPadrao,INDEX(tProdutos[Desconto homologado],MATCH(tItens[[#This Row],[Produto]],tProdutos[Produto],0))),DescontoPadrao)</f>
        <v>0.35388629091804102</v>
      </c>
      <c r="M8087" s="12">
        <f>tItens[[#This Row],[Valor]]*(1-tItens[[#This Row],[Desconto]])</f>
        <v>26743.938646320446</v>
      </c>
      <c r="N8087" t="str">
        <f>IFERROR(INDEX(tProdutos[Foco],MATCH(tItens[[#This Row],[Produto]],tProdutos[Produto],0)),"Não")</f>
        <v>Não</v>
      </c>
      <c r="O8087" t="str">
        <f>IFERROR(INDEX(tEditais[SRP],MATCH(tItens[[#This Row],[Edital]],tEditais[Edital],0)),"Não")</f>
        <v>Sim</v>
      </c>
      <c r="P8087" s="4">
        <f>IF(COUNTIFS(INDEX(tItens[Edital],1):tItens[[#This Row],[Edital]],tItens[[#This Row],[Edital]],INDEX(tItens[Produto],1):tItens[[#This Row],[Produto]],tItens[[#This Row],[Produto]])=1,1,0)</f>
        <v>0</v>
      </c>
    </row>
    <row r="8088" spans="1:16" x14ac:dyDescent="0.25">
      <c r="A8088" t="s">
        <v>2644</v>
      </c>
      <c r="B8088">
        <v>343</v>
      </c>
      <c r="C8088" t="s">
        <v>10581</v>
      </c>
      <c r="D8088" t="s">
        <v>339</v>
      </c>
      <c r="E8088" s="13">
        <v>58740</v>
      </c>
      <c r="F8088" s="12">
        <v>0.78</v>
      </c>
      <c r="G8088" t="str">
        <f>IFERROR(INDEX(tEditais[Órgão],MATCH(tItens[[#This Row],[Edital]],tEditais[Edital],0)),"")</f>
        <v>CONSORCIO INTEGRADO DE GESTAO PUBLICA DO ENTRE RIOS - CIGAMERIOS</v>
      </c>
      <c r="H8088" t="str">
        <f>IFERROR(INDEX(tEditais[UF],MATCH(tItens[[#This Row],[Edital]],tEditais[Edital],0)),"")</f>
        <v>SC</v>
      </c>
      <c r="I8088" s="11">
        <f>IFERROR(INDEX(tEditais[Encerramento],MATCH(tItens[[#This Row],[Edital]],tEditais[Edital],0)),"")</f>
        <v>46309.332638888889</v>
      </c>
      <c r="J8088" t="str">
        <f>IFERROR(INDEX(tProdutos[Classe],MATCH(tItens[[#This Row],[Produto]],tProdutos[Produto],0)),"produto não cadastrado")</f>
        <v>FORA</v>
      </c>
      <c r="K8088" s="12">
        <f>tItens[[#This Row],[Qtd]]*tItens[[#This Row],[Vlr unit]]</f>
        <v>45817.200000000004</v>
      </c>
      <c r="L8088" s="6">
        <f>IFERROR(IF(INDEX(tProdutos[Desconto homologado],MATCH(tItens[[#This Row],[Produto]],tProdutos[Produto],0))="",DescontoPadrao,INDEX(tProdutos[Desconto homologado],MATCH(tItens[[#This Row],[Produto]],tProdutos[Produto],0))),DescontoPadrao)</f>
        <v>0.35388629091804102</v>
      </c>
      <c r="M8088" s="12">
        <f>tItens[[#This Row],[Valor]]*(1-tItens[[#This Row],[Desconto]])</f>
        <v>29603.121031749935</v>
      </c>
      <c r="N8088" t="str">
        <f>IFERROR(INDEX(tProdutos[Foco],MATCH(tItens[[#This Row],[Produto]],tProdutos[Produto],0)),"Não")</f>
        <v>Não</v>
      </c>
      <c r="O8088" t="str">
        <f>IFERROR(INDEX(tEditais[SRP],MATCH(tItens[[#This Row],[Edital]],tEditais[Edital],0)),"Não")</f>
        <v>Sim</v>
      </c>
      <c r="P8088" s="4">
        <f>IF(COUNTIFS(INDEX(tItens[Edital],1):tItens[[#This Row],[Edital]],tItens[[#This Row],[Edital]],INDEX(tItens[Produto],1):tItens[[#This Row],[Produto]],tItens[[#This Row],[Produto]])=1,1,0)</f>
        <v>0</v>
      </c>
    </row>
    <row r="8089" spans="1:16" x14ac:dyDescent="0.25">
      <c r="A8089" t="s">
        <v>2644</v>
      </c>
      <c r="B8089">
        <v>344</v>
      </c>
      <c r="C8089" t="s">
        <v>10582</v>
      </c>
      <c r="D8089" t="s">
        <v>339</v>
      </c>
      <c r="E8089" s="13">
        <v>58310</v>
      </c>
      <c r="F8089" s="12">
        <v>1.37</v>
      </c>
      <c r="G8089" t="str">
        <f>IFERROR(INDEX(tEditais[Órgão],MATCH(tItens[[#This Row],[Edital]],tEditais[Edital],0)),"")</f>
        <v>CONSORCIO INTEGRADO DE GESTAO PUBLICA DO ENTRE RIOS - CIGAMERIOS</v>
      </c>
      <c r="H8089" t="str">
        <f>IFERROR(INDEX(tEditais[UF],MATCH(tItens[[#This Row],[Edital]],tEditais[Edital],0)),"")</f>
        <v>SC</v>
      </c>
      <c r="I8089" s="11">
        <f>IFERROR(INDEX(tEditais[Encerramento],MATCH(tItens[[#This Row],[Edital]],tEditais[Edital],0)),"")</f>
        <v>46309.332638888889</v>
      </c>
      <c r="J8089" t="str">
        <f>IFERROR(INDEX(tProdutos[Classe],MATCH(tItens[[#This Row],[Produto]],tProdutos[Produto],0)),"produto não cadastrado")</f>
        <v>FORA</v>
      </c>
      <c r="K8089" s="12">
        <f>tItens[[#This Row],[Qtd]]*tItens[[#This Row],[Vlr unit]]</f>
        <v>79884.700000000012</v>
      </c>
      <c r="L8089" s="6">
        <f>IFERROR(IF(INDEX(tProdutos[Desconto homologado],MATCH(tItens[[#This Row],[Produto]],tProdutos[Produto],0))="",DescontoPadrao,INDEX(tProdutos[Desconto homologado],MATCH(tItens[[#This Row],[Produto]],tProdutos[Produto],0))),DescontoPadrao)</f>
        <v>0.35388629091804102</v>
      </c>
      <c r="M8089" s="12">
        <f>tItens[[#This Row],[Valor]]*(1-tItens[[#This Row],[Desconto]])</f>
        <v>51614.599815899579</v>
      </c>
      <c r="N8089" t="str">
        <f>IFERROR(INDEX(tProdutos[Foco],MATCH(tItens[[#This Row],[Produto]],tProdutos[Produto],0)),"Não")</f>
        <v>Não</v>
      </c>
      <c r="O8089" t="str">
        <f>IFERROR(INDEX(tEditais[SRP],MATCH(tItens[[#This Row],[Edital]],tEditais[Edital],0)),"Não")</f>
        <v>Sim</v>
      </c>
      <c r="P8089" s="4">
        <f>IF(COUNTIFS(INDEX(tItens[Edital],1):tItens[[#This Row],[Edital]],tItens[[#This Row],[Edital]],INDEX(tItens[Produto],1):tItens[[#This Row],[Produto]],tItens[[#This Row],[Produto]])=1,1,0)</f>
        <v>0</v>
      </c>
    </row>
    <row r="8090" spans="1:16" x14ac:dyDescent="0.25">
      <c r="A8090" t="s">
        <v>2644</v>
      </c>
      <c r="B8090">
        <v>346</v>
      </c>
      <c r="C8090" t="s">
        <v>10583</v>
      </c>
      <c r="D8090" t="s">
        <v>345</v>
      </c>
      <c r="E8090" s="13">
        <v>79340</v>
      </c>
      <c r="F8090" s="12">
        <v>1.59</v>
      </c>
      <c r="G8090" t="str">
        <f>IFERROR(INDEX(tEditais[Órgão],MATCH(tItens[[#This Row],[Edital]],tEditais[Edital],0)),"")</f>
        <v>CONSORCIO INTEGRADO DE GESTAO PUBLICA DO ENTRE RIOS - CIGAMERIOS</v>
      </c>
      <c r="H8090" t="str">
        <f>IFERROR(INDEX(tEditais[UF],MATCH(tItens[[#This Row],[Edital]],tEditais[Edital],0)),"")</f>
        <v>SC</v>
      </c>
      <c r="I8090" s="11">
        <f>IFERROR(INDEX(tEditais[Encerramento],MATCH(tItens[[#This Row],[Edital]],tEditais[Edital],0)),"")</f>
        <v>46309.332638888889</v>
      </c>
      <c r="J8090" t="str">
        <f>IFERROR(INDEX(tProdutos[Classe],MATCH(tItens[[#This Row],[Produto]],tProdutos[Produto],0)),"produto não cadastrado")</f>
        <v>FORA</v>
      </c>
      <c r="K8090" s="12">
        <f>tItens[[#This Row],[Qtd]]*tItens[[#This Row],[Vlr unit]]</f>
        <v>126150.6</v>
      </c>
      <c r="L8090" s="6">
        <f>IFERROR(IF(INDEX(tProdutos[Desconto homologado],MATCH(tItens[[#This Row],[Produto]],tProdutos[Produto],0))="",DescontoPadrao,INDEX(tProdutos[Desconto homologado],MATCH(tItens[[#This Row],[Produto]],tProdutos[Produto],0))),DescontoPadrao)</f>
        <v>0.412394275616498</v>
      </c>
      <c r="M8090" s="12">
        <f>tItens[[#This Row],[Valor]]*(1-tItens[[#This Row],[Desconto]])</f>
        <v>74126.814694413406</v>
      </c>
      <c r="N8090" t="str">
        <f>IFERROR(INDEX(tProdutos[Foco],MATCH(tItens[[#This Row],[Produto]],tProdutos[Produto],0)),"Não")</f>
        <v>Não</v>
      </c>
      <c r="O8090" t="str">
        <f>IFERROR(INDEX(tEditais[SRP],MATCH(tItens[[#This Row],[Edital]],tEditais[Edital],0)),"Não")</f>
        <v>Sim</v>
      </c>
      <c r="P8090" s="4">
        <f>IF(COUNTIFS(INDEX(tItens[Edital],1):tItens[[#This Row],[Edital]],tItens[[#This Row],[Edital]],INDEX(tItens[Produto],1):tItens[[#This Row],[Produto]],tItens[[#This Row],[Produto]])=1,1,0)</f>
        <v>1</v>
      </c>
    </row>
    <row r="8091" spans="1:16" x14ac:dyDescent="0.25">
      <c r="A8091" t="s">
        <v>2644</v>
      </c>
      <c r="B8091">
        <v>347</v>
      </c>
      <c r="C8091" t="s">
        <v>10584</v>
      </c>
      <c r="D8091" t="s">
        <v>345</v>
      </c>
      <c r="E8091" s="13">
        <v>79740</v>
      </c>
      <c r="F8091" s="12">
        <v>1.59</v>
      </c>
      <c r="G8091" t="str">
        <f>IFERROR(INDEX(tEditais[Órgão],MATCH(tItens[[#This Row],[Edital]],tEditais[Edital],0)),"")</f>
        <v>CONSORCIO INTEGRADO DE GESTAO PUBLICA DO ENTRE RIOS - CIGAMERIOS</v>
      </c>
      <c r="H8091" t="str">
        <f>IFERROR(INDEX(tEditais[UF],MATCH(tItens[[#This Row],[Edital]],tEditais[Edital],0)),"")</f>
        <v>SC</v>
      </c>
      <c r="I8091" s="11">
        <f>IFERROR(INDEX(tEditais[Encerramento],MATCH(tItens[[#This Row],[Edital]],tEditais[Edital],0)),"")</f>
        <v>46309.332638888889</v>
      </c>
      <c r="J8091" t="str">
        <f>IFERROR(INDEX(tProdutos[Classe],MATCH(tItens[[#This Row],[Produto]],tProdutos[Produto],0)),"produto não cadastrado")</f>
        <v>FORA</v>
      </c>
      <c r="K8091" s="12">
        <f>tItens[[#This Row],[Qtd]]*tItens[[#This Row],[Vlr unit]]</f>
        <v>126786.6</v>
      </c>
      <c r="L8091" s="6">
        <f>IFERROR(IF(INDEX(tProdutos[Desconto homologado],MATCH(tItens[[#This Row],[Produto]],tProdutos[Produto],0))="",DescontoPadrao,INDEX(tProdutos[Desconto homologado],MATCH(tItens[[#This Row],[Produto]],tProdutos[Produto],0))),DescontoPadrao)</f>
        <v>0.412394275616498</v>
      </c>
      <c r="M8091" s="12">
        <f>tItens[[#This Row],[Valor]]*(1-tItens[[#This Row],[Desconto]])</f>
        <v>74500.531935121326</v>
      </c>
      <c r="N8091" t="str">
        <f>IFERROR(INDEX(tProdutos[Foco],MATCH(tItens[[#This Row],[Produto]],tProdutos[Produto],0)),"Não")</f>
        <v>Não</v>
      </c>
      <c r="O8091" t="str">
        <f>IFERROR(INDEX(tEditais[SRP],MATCH(tItens[[#This Row],[Edital]],tEditais[Edital],0)),"Não")</f>
        <v>Sim</v>
      </c>
      <c r="P8091" s="4">
        <f>IF(COUNTIFS(INDEX(tItens[Edital],1):tItens[[#This Row],[Edital]],tItens[[#This Row],[Edital]],INDEX(tItens[Produto],1):tItens[[#This Row],[Produto]],tItens[[#This Row],[Produto]])=1,1,0)</f>
        <v>0</v>
      </c>
    </row>
    <row r="8092" spans="1:16" x14ac:dyDescent="0.25">
      <c r="A8092" t="s">
        <v>2644</v>
      </c>
      <c r="B8092">
        <v>348</v>
      </c>
      <c r="C8092" t="s">
        <v>10585</v>
      </c>
      <c r="D8092" t="s">
        <v>345</v>
      </c>
      <c r="E8092" s="13">
        <v>79240</v>
      </c>
      <c r="F8092" s="12">
        <v>1.48</v>
      </c>
      <c r="G8092" t="str">
        <f>IFERROR(INDEX(tEditais[Órgão],MATCH(tItens[[#This Row],[Edital]],tEditais[Edital],0)),"")</f>
        <v>CONSORCIO INTEGRADO DE GESTAO PUBLICA DO ENTRE RIOS - CIGAMERIOS</v>
      </c>
      <c r="H8092" t="str">
        <f>IFERROR(INDEX(tEditais[UF],MATCH(tItens[[#This Row],[Edital]],tEditais[Edital],0)),"")</f>
        <v>SC</v>
      </c>
      <c r="I8092" s="11">
        <f>IFERROR(INDEX(tEditais[Encerramento],MATCH(tItens[[#This Row],[Edital]],tEditais[Edital],0)),"")</f>
        <v>46309.332638888889</v>
      </c>
      <c r="J8092" t="str">
        <f>IFERROR(INDEX(tProdutos[Classe],MATCH(tItens[[#This Row],[Produto]],tProdutos[Produto],0)),"produto não cadastrado")</f>
        <v>FORA</v>
      </c>
      <c r="K8092" s="12">
        <f>tItens[[#This Row],[Qtd]]*tItens[[#This Row],[Vlr unit]]</f>
        <v>117275.2</v>
      </c>
      <c r="L8092" s="6">
        <f>IFERROR(IF(INDEX(tProdutos[Desconto homologado],MATCH(tItens[[#This Row],[Produto]],tProdutos[Produto],0))="",DescontoPadrao,INDEX(tProdutos[Desconto homologado],MATCH(tItens[[#This Row],[Produto]],tProdutos[Produto],0))),DescontoPadrao)</f>
        <v>0.412394275616498</v>
      </c>
      <c r="M8092" s="12">
        <f>tItens[[#This Row],[Valor]]*(1-tItens[[#This Row],[Desconto]])</f>
        <v>68911.578848220073</v>
      </c>
      <c r="N8092" t="str">
        <f>IFERROR(INDEX(tProdutos[Foco],MATCH(tItens[[#This Row],[Produto]],tProdutos[Produto],0)),"Não")</f>
        <v>Não</v>
      </c>
      <c r="O8092" t="str">
        <f>IFERROR(INDEX(tEditais[SRP],MATCH(tItens[[#This Row],[Edital]],tEditais[Edital],0)),"Não")</f>
        <v>Sim</v>
      </c>
      <c r="P8092" s="4">
        <f>IF(COUNTIFS(INDEX(tItens[Edital],1):tItens[[#This Row],[Edital]],tItens[[#This Row],[Edital]],INDEX(tItens[Produto],1):tItens[[#This Row],[Produto]],tItens[[#This Row],[Produto]])=1,1,0)</f>
        <v>0</v>
      </c>
    </row>
    <row r="8093" spans="1:16" x14ac:dyDescent="0.25">
      <c r="A8093" t="s">
        <v>2644</v>
      </c>
      <c r="B8093">
        <v>349</v>
      </c>
      <c r="C8093" t="s">
        <v>10586</v>
      </c>
      <c r="D8093" t="s">
        <v>345</v>
      </c>
      <c r="E8093" s="13">
        <v>80240</v>
      </c>
      <c r="F8093" s="12">
        <v>1.66</v>
      </c>
      <c r="G8093" t="str">
        <f>IFERROR(INDEX(tEditais[Órgão],MATCH(tItens[[#This Row],[Edital]],tEditais[Edital],0)),"")</f>
        <v>CONSORCIO INTEGRADO DE GESTAO PUBLICA DO ENTRE RIOS - CIGAMERIOS</v>
      </c>
      <c r="H8093" t="str">
        <f>IFERROR(INDEX(tEditais[UF],MATCH(tItens[[#This Row],[Edital]],tEditais[Edital],0)),"")</f>
        <v>SC</v>
      </c>
      <c r="I8093" s="11">
        <f>IFERROR(INDEX(tEditais[Encerramento],MATCH(tItens[[#This Row],[Edital]],tEditais[Edital],0)),"")</f>
        <v>46309.332638888889</v>
      </c>
      <c r="J8093" t="str">
        <f>IFERROR(INDEX(tProdutos[Classe],MATCH(tItens[[#This Row],[Produto]],tProdutos[Produto],0)),"produto não cadastrado")</f>
        <v>FORA</v>
      </c>
      <c r="K8093" s="12">
        <f>tItens[[#This Row],[Qtd]]*tItens[[#This Row],[Vlr unit]]</f>
        <v>133198.39999999999</v>
      </c>
      <c r="L8093" s="6">
        <f>IFERROR(IF(INDEX(tProdutos[Desconto homologado],MATCH(tItens[[#This Row],[Produto]],tProdutos[Produto],0))="",DescontoPadrao,INDEX(tProdutos[Desconto homologado],MATCH(tItens[[#This Row],[Produto]],tProdutos[Produto],0))),DescontoPadrao)</f>
        <v>0.412394275616498</v>
      </c>
      <c r="M8093" s="12">
        <f>tItens[[#This Row],[Valor]]*(1-tItens[[#This Row],[Desconto]])</f>
        <v>78268.142318723447</v>
      </c>
      <c r="N8093" t="str">
        <f>IFERROR(INDEX(tProdutos[Foco],MATCH(tItens[[#This Row],[Produto]],tProdutos[Produto],0)),"Não")</f>
        <v>Não</v>
      </c>
      <c r="O8093" t="str">
        <f>IFERROR(INDEX(tEditais[SRP],MATCH(tItens[[#This Row],[Edital]],tEditais[Edital],0)),"Não")</f>
        <v>Sim</v>
      </c>
      <c r="P8093" s="4">
        <f>IF(COUNTIFS(INDEX(tItens[Edital],1):tItens[[#This Row],[Edital]],tItens[[#This Row],[Edital]],INDEX(tItens[Produto],1):tItens[[#This Row],[Produto]],tItens[[#This Row],[Produto]])=1,1,0)</f>
        <v>0</v>
      </c>
    </row>
    <row r="8094" spans="1:16" x14ac:dyDescent="0.25">
      <c r="A8094" t="s">
        <v>2644</v>
      </c>
      <c r="B8094">
        <v>356</v>
      </c>
      <c r="C8094" t="s">
        <v>10587</v>
      </c>
      <c r="D8094" t="s">
        <v>393</v>
      </c>
      <c r="E8094" s="13">
        <v>1615</v>
      </c>
      <c r="F8094" s="12">
        <v>19.5</v>
      </c>
      <c r="G8094" t="str">
        <f>IFERROR(INDEX(tEditais[Órgão],MATCH(tItens[[#This Row],[Edital]],tEditais[Edital],0)),"")</f>
        <v>CONSORCIO INTEGRADO DE GESTAO PUBLICA DO ENTRE RIOS - CIGAMERIOS</v>
      </c>
      <c r="H8094" t="str">
        <f>IFERROR(INDEX(tEditais[UF],MATCH(tItens[[#This Row],[Edital]],tEditais[Edital],0)),"")</f>
        <v>SC</v>
      </c>
      <c r="I8094" s="11">
        <f>IFERROR(INDEX(tEditais[Encerramento],MATCH(tItens[[#This Row],[Edital]],tEditais[Edital],0)),"")</f>
        <v>46309.332638888889</v>
      </c>
      <c r="J8094" t="str">
        <f>IFERROR(INDEX(tProdutos[Classe],MATCH(tItens[[#This Row],[Produto]],tProdutos[Produto],0)),"produto não cadastrado")</f>
        <v>FORA</v>
      </c>
      <c r="K8094" s="12">
        <f>tItens[[#This Row],[Qtd]]*tItens[[#This Row],[Vlr unit]]</f>
        <v>31492.5</v>
      </c>
      <c r="L8094" s="6">
        <f>IFERROR(IF(INDEX(tProdutos[Desconto homologado],MATCH(tItens[[#This Row],[Produto]],tProdutos[Produto],0))="",DescontoPadrao,INDEX(tProdutos[Desconto homologado],MATCH(tItens[[#This Row],[Produto]],tProdutos[Produto],0))),DescontoPadrao)</f>
        <v>0.286445012787724</v>
      </c>
      <c r="M8094" s="12">
        <f>tItens[[#This Row],[Valor]]*(1-tItens[[#This Row],[Desconto]])</f>
        <v>22471.630434782601</v>
      </c>
      <c r="N8094" t="str">
        <f>IFERROR(INDEX(tProdutos[Foco],MATCH(tItens[[#This Row],[Produto]],tProdutos[Produto],0)),"Não")</f>
        <v>Não</v>
      </c>
      <c r="O8094" t="str">
        <f>IFERROR(INDEX(tEditais[SRP],MATCH(tItens[[#This Row],[Edital]],tEditais[Edital],0)),"Não")</f>
        <v>Sim</v>
      </c>
      <c r="P8094" s="4">
        <f>IF(COUNTIFS(INDEX(tItens[Edital],1):tItens[[#This Row],[Edital]],tItens[[#This Row],[Edital]],INDEX(tItens[Produto],1):tItens[[#This Row],[Produto]],tItens[[#This Row],[Produto]])=1,1,0)</f>
        <v>1</v>
      </c>
    </row>
    <row r="8095" spans="1:16" x14ac:dyDescent="0.25">
      <c r="A8095" t="s">
        <v>2644</v>
      </c>
      <c r="B8095">
        <v>357</v>
      </c>
      <c r="C8095" t="s">
        <v>10588</v>
      </c>
      <c r="D8095" t="s">
        <v>512</v>
      </c>
      <c r="E8095" s="13">
        <v>315</v>
      </c>
      <c r="F8095" s="12">
        <v>7.15</v>
      </c>
      <c r="G8095" t="str">
        <f>IFERROR(INDEX(tEditais[Órgão],MATCH(tItens[[#This Row],[Edital]],tEditais[Edital],0)),"")</f>
        <v>CONSORCIO INTEGRADO DE GESTAO PUBLICA DO ENTRE RIOS - CIGAMERIOS</v>
      </c>
      <c r="H8095" t="str">
        <f>IFERROR(INDEX(tEditais[UF],MATCH(tItens[[#This Row],[Edital]],tEditais[Edital],0)),"")</f>
        <v>SC</v>
      </c>
      <c r="I8095" s="11">
        <f>IFERROR(INDEX(tEditais[Encerramento],MATCH(tItens[[#This Row],[Edital]],tEditais[Edital],0)),"")</f>
        <v>46309.332638888889</v>
      </c>
      <c r="J8095" t="str">
        <f>IFERROR(INDEX(tProdutos[Classe],MATCH(tItens[[#This Row],[Produto]],tProdutos[Produto],0)),"produto não cadastrado")</f>
        <v>FILA REBASE</v>
      </c>
      <c r="K8095" s="12">
        <f>tItens[[#This Row],[Qtd]]*tItens[[#This Row],[Vlr unit]]</f>
        <v>2252.25</v>
      </c>
      <c r="L8095" s="6">
        <f>IFERROR(IF(INDEX(tProdutos[Desconto homologado],MATCH(tItens[[#This Row],[Produto]],tProdutos[Produto],0))="",DescontoPadrao,INDEX(tProdutos[Desconto homologado],MATCH(tItens[[#This Row],[Produto]],tProdutos[Produto],0))),DescontoPadrao)</f>
        <v>0.32579365079365102</v>
      </c>
      <c r="M8095" s="12">
        <f>tItens[[#This Row],[Valor]]*(1-tItens[[#This Row],[Desconto]])</f>
        <v>1518.4812499999996</v>
      </c>
      <c r="N8095" t="str">
        <f>IFERROR(INDEX(tProdutos[Foco],MATCH(tItens[[#This Row],[Produto]],tProdutos[Produto],0)),"Não")</f>
        <v>Não</v>
      </c>
      <c r="O8095" t="str">
        <f>IFERROR(INDEX(tEditais[SRP],MATCH(tItens[[#This Row],[Edital]],tEditais[Edital],0)),"Não")</f>
        <v>Sim</v>
      </c>
      <c r="P8095" s="4">
        <f>IF(COUNTIFS(INDEX(tItens[Edital],1):tItens[[#This Row],[Edital]],tItens[[#This Row],[Edital]],INDEX(tItens[Produto],1):tItens[[#This Row],[Produto]],tItens[[#This Row],[Produto]])=1,1,0)</f>
        <v>1</v>
      </c>
    </row>
    <row r="8096" spans="1:16" x14ac:dyDescent="0.25">
      <c r="A8096" t="s">
        <v>2644</v>
      </c>
      <c r="B8096">
        <v>358</v>
      </c>
      <c r="C8096" t="s">
        <v>10589</v>
      </c>
      <c r="D8096" t="s">
        <v>512</v>
      </c>
      <c r="E8096" s="13">
        <v>178</v>
      </c>
      <c r="F8096" s="12">
        <v>15.09</v>
      </c>
      <c r="G8096" t="str">
        <f>IFERROR(INDEX(tEditais[Órgão],MATCH(tItens[[#This Row],[Edital]],tEditais[Edital],0)),"")</f>
        <v>CONSORCIO INTEGRADO DE GESTAO PUBLICA DO ENTRE RIOS - CIGAMERIOS</v>
      </c>
      <c r="H8096" t="str">
        <f>IFERROR(INDEX(tEditais[UF],MATCH(tItens[[#This Row],[Edital]],tEditais[Edital],0)),"")</f>
        <v>SC</v>
      </c>
      <c r="I8096" s="11">
        <f>IFERROR(INDEX(tEditais[Encerramento],MATCH(tItens[[#This Row],[Edital]],tEditais[Edital],0)),"")</f>
        <v>46309.332638888889</v>
      </c>
      <c r="J8096" t="str">
        <f>IFERROR(INDEX(tProdutos[Classe],MATCH(tItens[[#This Row],[Produto]],tProdutos[Produto],0)),"produto não cadastrado")</f>
        <v>FILA REBASE</v>
      </c>
      <c r="K8096" s="12">
        <f>tItens[[#This Row],[Qtd]]*tItens[[#This Row],[Vlr unit]]</f>
        <v>2686.02</v>
      </c>
      <c r="L8096" s="6">
        <f>IFERROR(IF(INDEX(tProdutos[Desconto homologado],MATCH(tItens[[#This Row],[Produto]],tProdutos[Produto],0))="",DescontoPadrao,INDEX(tProdutos[Desconto homologado],MATCH(tItens[[#This Row],[Produto]],tProdutos[Produto],0))),DescontoPadrao)</f>
        <v>0.32579365079365102</v>
      </c>
      <c r="M8096" s="12">
        <f>tItens[[#This Row],[Valor]]*(1-tItens[[#This Row],[Desconto]])</f>
        <v>1810.9317380952375</v>
      </c>
      <c r="N8096" t="str">
        <f>IFERROR(INDEX(tProdutos[Foco],MATCH(tItens[[#This Row],[Produto]],tProdutos[Produto],0)),"Não")</f>
        <v>Não</v>
      </c>
      <c r="O8096" t="str">
        <f>IFERROR(INDEX(tEditais[SRP],MATCH(tItens[[#This Row],[Edital]],tEditais[Edital],0)),"Não")</f>
        <v>Sim</v>
      </c>
      <c r="P8096" s="4">
        <f>IF(COUNTIFS(INDEX(tItens[Edital],1):tItens[[#This Row],[Edital]],tItens[[#This Row],[Edital]],INDEX(tItens[Produto],1):tItens[[#This Row],[Produto]],tItens[[#This Row],[Produto]])=1,1,0)</f>
        <v>0</v>
      </c>
    </row>
    <row r="8097" spans="1:16" x14ac:dyDescent="0.25">
      <c r="A8097" t="s">
        <v>2644</v>
      </c>
      <c r="B8097">
        <v>359</v>
      </c>
      <c r="C8097" t="s">
        <v>10590</v>
      </c>
      <c r="D8097" t="s">
        <v>369</v>
      </c>
      <c r="E8097" s="13">
        <v>2490</v>
      </c>
      <c r="F8097" s="12">
        <v>37.520000000000003</v>
      </c>
      <c r="G8097" t="str">
        <f>IFERROR(INDEX(tEditais[Órgão],MATCH(tItens[[#This Row],[Edital]],tEditais[Edital],0)),"")</f>
        <v>CONSORCIO INTEGRADO DE GESTAO PUBLICA DO ENTRE RIOS - CIGAMERIOS</v>
      </c>
      <c r="H8097" t="str">
        <f>IFERROR(INDEX(tEditais[UF],MATCH(tItens[[#This Row],[Edital]],tEditais[Edital],0)),"")</f>
        <v>SC</v>
      </c>
      <c r="I8097" s="11">
        <f>IFERROR(INDEX(tEditais[Encerramento],MATCH(tItens[[#This Row],[Edital]],tEditais[Edital],0)),"")</f>
        <v>46309.332638888889</v>
      </c>
      <c r="J8097" t="str">
        <f>IFERROR(INDEX(tProdutos[Classe],MATCH(tItens[[#This Row],[Produto]],tProdutos[Produto],0)),"produto não cadastrado")</f>
        <v>FORA</v>
      </c>
      <c r="K8097" s="12">
        <f>tItens[[#This Row],[Qtd]]*tItens[[#This Row],[Vlr unit]]</f>
        <v>93424.8</v>
      </c>
      <c r="L8097" s="6">
        <f>IFERROR(IF(INDEX(tProdutos[Desconto homologado],MATCH(tItens[[#This Row],[Produto]],tProdutos[Produto],0))="",DescontoPadrao,INDEX(tProdutos[Desconto homologado],MATCH(tItens[[#This Row],[Produto]],tProdutos[Produto],0))),DescontoPadrao)</f>
        <v>0.35816618911174802</v>
      </c>
      <c r="M8097" s="12">
        <f>tItens[[#This Row],[Valor]]*(1-tItens[[#This Row],[Desconto]])</f>
        <v>59963.195415472765</v>
      </c>
      <c r="N8097" t="str">
        <f>IFERROR(INDEX(tProdutos[Foco],MATCH(tItens[[#This Row],[Produto]],tProdutos[Produto],0)),"Não")</f>
        <v>Não</v>
      </c>
      <c r="O8097" t="str">
        <f>IFERROR(INDEX(tEditais[SRP],MATCH(tItens[[#This Row],[Edital]],tEditais[Edital],0)),"Não")</f>
        <v>Sim</v>
      </c>
      <c r="P8097" s="4">
        <f>IF(COUNTIFS(INDEX(tItens[Edital],1):tItens[[#This Row],[Edital]],tItens[[#This Row],[Edital]],INDEX(tItens[Produto],1):tItens[[#This Row],[Produto]],tItens[[#This Row],[Produto]])=1,1,0)</f>
        <v>1</v>
      </c>
    </row>
    <row r="8098" spans="1:16" x14ac:dyDescent="0.25">
      <c r="A8098" t="s">
        <v>2644</v>
      </c>
      <c r="B8098">
        <v>360</v>
      </c>
      <c r="C8098" t="s">
        <v>10591</v>
      </c>
      <c r="D8098" t="s">
        <v>369</v>
      </c>
      <c r="E8098" s="13">
        <v>1430</v>
      </c>
      <c r="F8098" s="12">
        <v>157.18</v>
      </c>
      <c r="G8098" t="str">
        <f>IFERROR(INDEX(tEditais[Órgão],MATCH(tItens[[#This Row],[Edital]],tEditais[Edital],0)),"")</f>
        <v>CONSORCIO INTEGRADO DE GESTAO PUBLICA DO ENTRE RIOS - CIGAMERIOS</v>
      </c>
      <c r="H8098" t="str">
        <f>IFERROR(INDEX(tEditais[UF],MATCH(tItens[[#This Row],[Edital]],tEditais[Edital],0)),"")</f>
        <v>SC</v>
      </c>
      <c r="I8098" s="11">
        <f>IFERROR(INDEX(tEditais[Encerramento],MATCH(tItens[[#This Row],[Edital]],tEditais[Edital],0)),"")</f>
        <v>46309.332638888889</v>
      </c>
      <c r="J8098" t="str">
        <f>IFERROR(INDEX(tProdutos[Classe],MATCH(tItens[[#This Row],[Produto]],tProdutos[Produto],0)),"produto não cadastrado")</f>
        <v>FORA</v>
      </c>
      <c r="K8098" s="12">
        <f>tItens[[#This Row],[Qtd]]*tItens[[#This Row],[Vlr unit]]</f>
        <v>224767.40000000002</v>
      </c>
      <c r="L8098" s="6">
        <f>IFERROR(IF(INDEX(tProdutos[Desconto homologado],MATCH(tItens[[#This Row],[Produto]],tProdutos[Produto],0))="",DescontoPadrao,INDEX(tProdutos[Desconto homologado],MATCH(tItens[[#This Row],[Produto]],tProdutos[Produto],0))),DescontoPadrao)</f>
        <v>0.35816618911174802</v>
      </c>
      <c r="M8098" s="12">
        <f>tItens[[#This Row],[Valor]]*(1-tItens[[#This Row],[Desconto]])</f>
        <v>144263.31690544411</v>
      </c>
      <c r="N8098" t="str">
        <f>IFERROR(INDEX(tProdutos[Foco],MATCH(tItens[[#This Row],[Produto]],tProdutos[Produto],0)),"Não")</f>
        <v>Não</v>
      </c>
      <c r="O8098" t="str">
        <f>IFERROR(INDEX(tEditais[SRP],MATCH(tItens[[#This Row],[Edital]],tEditais[Edital],0)),"Não")</f>
        <v>Sim</v>
      </c>
      <c r="P8098" s="4">
        <f>IF(COUNTIFS(INDEX(tItens[Edital],1):tItens[[#This Row],[Edital]],tItens[[#This Row],[Edital]],INDEX(tItens[Produto],1):tItens[[#This Row],[Produto]],tItens[[#This Row],[Produto]])=1,1,0)</f>
        <v>0</v>
      </c>
    </row>
    <row r="8099" spans="1:16" x14ac:dyDescent="0.25">
      <c r="A8099" t="s">
        <v>2644</v>
      </c>
      <c r="B8099">
        <v>361</v>
      </c>
      <c r="C8099" t="s">
        <v>10592</v>
      </c>
      <c r="D8099" t="s">
        <v>467</v>
      </c>
      <c r="E8099" s="13">
        <v>342</v>
      </c>
      <c r="F8099" s="12">
        <v>16.8</v>
      </c>
      <c r="G8099" t="str">
        <f>IFERROR(INDEX(tEditais[Órgão],MATCH(tItens[[#This Row],[Edital]],tEditais[Edital],0)),"")</f>
        <v>CONSORCIO INTEGRADO DE GESTAO PUBLICA DO ENTRE RIOS - CIGAMERIOS</v>
      </c>
      <c r="H8099" t="str">
        <f>IFERROR(INDEX(tEditais[UF],MATCH(tItens[[#This Row],[Edital]],tEditais[Edital],0)),"")</f>
        <v>SC</v>
      </c>
      <c r="I8099" s="11">
        <f>IFERROR(INDEX(tEditais[Encerramento],MATCH(tItens[[#This Row],[Edital]],tEditais[Edital],0)),"")</f>
        <v>46309.332638888889</v>
      </c>
      <c r="J8099" t="str">
        <f>IFERROR(INDEX(tProdutos[Classe],MATCH(tItens[[#This Row],[Produto]],tProdutos[Produto],0)),"produto não cadastrado")</f>
        <v>FILA REBASE</v>
      </c>
      <c r="K8099" s="12">
        <f>tItens[[#This Row],[Qtd]]*tItens[[#This Row],[Vlr unit]]</f>
        <v>5745.6</v>
      </c>
      <c r="L8099" s="6">
        <f>IFERROR(IF(INDEX(tProdutos[Desconto homologado],MATCH(tItens[[#This Row],[Produto]],tProdutos[Produto],0))="",DescontoPadrao,INDEX(tProdutos[Desconto homologado],MATCH(tItens[[#This Row],[Produto]],tProdutos[Produto],0))),DescontoPadrao)</f>
        <v>0.25007144898542499</v>
      </c>
      <c r="M8099" s="12">
        <f>tItens[[#This Row],[Valor]]*(1-tItens[[#This Row],[Desconto]])</f>
        <v>4308.7894827093423</v>
      </c>
      <c r="N8099" t="str">
        <f>IFERROR(INDEX(tProdutos[Foco],MATCH(tItens[[#This Row],[Produto]],tProdutos[Produto],0)),"Não")</f>
        <v>Não</v>
      </c>
      <c r="O8099" t="str">
        <f>IFERROR(INDEX(tEditais[SRP],MATCH(tItens[[#This Row],[Edital]],tEditais[Edital],0)),"Não")</f>
        <v>Sim</v>
      </c>
      <c r="P8099" s="4">
        <f>IF(COUNTIFS(INDEX(tItens[Edital],1):tItens[[#This Row],[Edital]],tItens[[#This Row],[Edital]],INDEX(tItens[Produto],1):tItens[[#This Row],[Produto]],tItens[[#This Row],[Produto]])=1,1,0)</f>
        <v>1</v>
      </c>
    </row>
    <row r="8100" spans="1:16" x14ac:dyDescent="0.25">
      <c r="A8100" t="s">
        <v>2644</v>
      </c>
      <c r="B8100">
        <v>362</v>
      </c>
      <c r="C8100" t="s">
        <v>10593</v>
      </c>
      <c r="D8100" t="s">
        <v>467</v>
      </c>
      <c r="E8100" s="13">
        <v>2674</v>
      </c>
      <c r="F8100" s="12">
        <v>4.3499999999999996</v>
      </c>
      <c r="G8100" t="str">
        <f>IFERROR(INDEX(tEditais[Órgão],MATCH(tItens[[#This Row],[Edital]],tEditais[Edital],0)),"")</f>
        <v>CONSORCIO INTEGRADO DE GESTAO PUBLICA DO ENTRE RIOS - CIGAMERIOS</v>
      </c>
      <c r="H8100" t="str">
        <f>IFERROR(INDEX(tEditais[UF],MATCH(tItens[[#This Row],[Edital]],tEditais[Edital],0)),"")</f>
        <v>SC</v>
      </c>
      <c r="I8100" s="11">
        <f>IFERROR(INDEX(tEditais[Encerramento],MATCH(tItens[[#This Row],[Edital]],tEditais[Edital],0)),"")</f>
        <v>46309.332638888889</v>
      </c>
      <c r="J8100" t="str">
        <f>IFERROR(INDEX(tProdutos[Classe],MATCH(tItens[[#This Row],[Produto]],tProdutos[Produto],0)),"produto não cadastrado")</f>
        <v>FILA REBASE</v>
      </c>
      <c r="K8100" s="12">
        <f>tItens[[#This Row],[Qtd]]*tItens[[#This Row],[Vlr unit]]</f>
        <v>11631.9</v>
      </c>
      <c r="L8100" s="6">
        <f>IFERROR(IF(INDEX(tProdutos[Desconto homologado],MATCH(tItens[[#This Row],[Produto]],tProdutos[Produto],0))="",DescontoPadrao,INDEX(tProdutos[Desconto homologado],MATCH(tItens[[#This Row],[Produto]],tProdutos[Produto],0))),DescontoPadrao)</f>
        <v>0.25007144898542499</v>
      </c>
      <c r="M8100" s="12">
        <f>tItens[[#This Row],[Valor]]*(1-tItens[[#This Row],[Desconto]])</f>
        <v>8723.0939125464356</v>
      </c>
      <c r="N8100" t="str">
        <f>IFERROR(INDEX(tProdutos[Foco],MATCH(tItens[[#This Row],[Produto]],tProdutos[Produto],0)),"Não")</f>
        <v>Não</v>
      </c>
      <c r="O8100" t="str">
        <f>IFERROR(INDEX(tEditais[SRP],MATCH(tItens[[#This Row],[Edital]],tEditais[Edital],0)),"Não")</f>
        <v>Sim</v>
      </c>
      <c r="P8100" s="4">
        <f>IF(COUNTIFS(INDEX(tItens[Edital],1):tItens[[#This Row],[Edital]],tItens[[#This Row],[Edital]],INDEX(tItens[Produto],1):tItens[[#This Row],[Produto]],tItens[[#This Row],[Produto]])=1,1,0)</f>
        <v>0</v>
      </c>
    </row>
    <row r="8101" spans="1:16" x14ac:dyDescent="0.25">
      <c r="A8101" t="s">
        <v>2644</v>
      </c>
      <c r="B8101">
        <v>374</v>
      </c>
      <c r="C8101" t="s">
        <v>10594</v>
      </c>
      <c r="D8101" t="s">
        <v>411</v>
      </c>
      <c r="E8101" s="13">
        <v>2595</v>
      </c>
      <c r="F8101" s="12">
        <v>32.409999999999997</v>
      </c>
      <c r="G8101" t="str">
        <f>IFERROR(INDEX(tEditais[Órgão],MATCH(tItens[[#This Row],[Edital]],tEditais[Edital],0)),"")</f>
        <v>CONSORCIO INTEGRADO DE GESTAO PUBLICA DO ENTRE RIOS - CIGAMERIOS</v>
      </c>
      <c r="H8101" t="str">
        <f>IFERROR(INDEX(tEditais[UF],MATCH(tItens[[#This Row],[Edital]],tEditais[Edital],0)),"")</f>
        <v>SC</v>
      </c>
      <c r="I8101" s="11">
        <f>IFERROR(INDEX(tEditais[Encerramento],MATCH(tItens[[#This Row],[Edital]],tEditais[Edital],0)),"")</f>
        <v>46309.332638888889</v>
      </c>
      <c r="J8101" t="str">
        <f>IFERROR(INDEX(tProdutos[Classe],MATCH(tItens[[#This Row],[Produto]],tProdutos[Produto],0)),"produto não cadastrado")</f>
        <v>FORA</v>
      </c>
      <c r="K8101" s="12">
        <f>tItens[[#This Row],[Qtd]]*tItens[[#This Row],[Vlr unit]]</f>
        <v>84103.95</v>
      </c>
      <c r="L8101" s="6">
        <f>IFERROR(IF(INDEX(tProdutos[Desconto homologado],MATCH(tItens[[#This Row],[Produto]],tProdutos[Produto],0))="",DescontoPadrao,INDEX(tProdutos[Desconto homologado],MATCH(tItens[[#This Row],[Produto]],tProdutos[Produto],0))),DescontoPadrao)</f>
        <v>0.50029835957199398</v>
      </c>
      <c r="M8101" s="12">
        <f>tItens[[#This Row],[Valor]]*(1-tItens[[#This Row],[Desconto]])</f>
        <v>42026.881781474993</v>
      </c>
      <c r="N8101" t="str">
        <f>IFERROR(INDEX(tProdutos[Foco],MATCH(tItens[[#This Row],[Produto]],tProdutos[Produto],0)),"Não")</f>
        <v>Não</v>
      </c>
      <c r="O8101" t="str">
        <f>IFERROR(INDEX(tEditais[SRP],MATCH(tItens[[#This Row],[Edital]],tEditais[Edital],0)),"Não")</f>
        <v>Sim</v>
      </c>
      <c r="P8101" s="4">
        <f>IF(COUNTIFS(INDEX(tItens[Edital],1):tItens[[#This Row],[Edital]],tItens[[#This Row],[Edital]],INDEX(tItens[Produto],1):tItens[[#This Row],[Produto]],tItens[[#This Row],[Produto]])=1,1,0)</f>
        <v>1</v>
      </c>
    </row>
    <row r="8102" spans="1:16" x14ac:dyDescent="0.25">
      <c r="A8102" t="s">
        <v>2644</v>
      </c>
      <c r="B8102">
        <v>375</v>
      </c>
      <c r="C8102" t="s">
        <v>10595</v>
      </c>
      <c r="D8102" t="s">
        <v>411</v>
      </c>
      <c r="E8102" s="13">
        <v>1130</v>
      </c>
      <c r="F8102" s="12">
        <v>33.729999999999997</v>
      </c>
      <c r="G8102" t="str">
        <f>IFERROR(INDEX(tEditais[Órgão],MATCH(tItens[[#This Row],[Edital]],tEditais[Edital],0)),"")</f>
        <v>CONSORCIO INTEGRADO DE GESTAO PUBLICA DO ENTRE RIOS - CIGAMERIOS</v>
      </c>
      <c r="H8102" t="str">
        <f>IFERROR(INDEX(tEditais[UF],MATCH(tItens[[#This Row],[Edital]],tEditais[Edital],0)),"")</f>
        <v>SC</v>
      </c>
      <c r="I8102" s="11">
        <f>IFERROR(INDEX(tEditais[Encerramento],MATCH(tItens[[#This Row],[Edital]],tEditais[Edital],0)),"")</f>
        <v>46309.332638888889</v>
      </c>
      <c r="J8102" t="str">
        <f>IFERROR(INDEX(tProdutos[Classe],MATCH(tItens[[#This Row],[Produto]],tProdutos[Produto],0)),"produto não cadastrado")</f>
        <v>FORA</v>
      </c>
      <c r="K8102" s="12">
        <f>tItens[[#This Row],[Qtd]]*tItens[[#This Row],[Vlr unit]]</f>
        <v>38114.899999999994</v>
      </c>
      <c r="L8102" s="6">
        <f>IFERROR(IF(INDEX(tProdutos[Desconto homologado],MATCH(tItens[[#This Row],[Produto]],tProdutos[Produto],0))="",DescontoPadrao,INDEX(tProdutos[Desconto homologado],MATCH(tItens[[#This Row],[Produto]],tProdutos[Produto],0))),DescontoPadrao)</f>
        <v>0.50029835957199398</v>
      </c>
      <c r="M8102" s="12">
        <f>tItens[[#This Row],[Valor]]*(1-tItens[[#This Row],[Desconto]])</f>
        <v>19046.078054749403</v>
      </c>
      <c r="N8102" t="str">
        <f>IFERROR(INDEX(tProdutos[Foco],MATCH(tItens[[#This Row],[Produto]],tProdutos[Produto],0)),"Não")</f>
        <v>Não</v>
      </c>
      <c r="O8102" t="str">
        <f>IFERROR(INDEX(tEditais[SRP],MATCH(tItens[[#This Row],[Edital]],tEditais[Edital],0)),"Não")</f>
        <v>Sim</v>
      </c>
      <c r="P8102" s="4">
        <f>IF(COUNTIFS(INDEX(tItens[Edital],1):tItens[[#This Row],[Edital]],tItens[[#This Row],[Edital]],INDEX(tItens[Produto],1):tItens[[#This Row],[Produto]],tItens[[#This Row],[Produto]])=1,1,0)</f>
        <v>0</v>
      </c>
    </row>
    <row r="8103" spans="1:16" x14ac:dyDescent="0.25">
      <c r="A8103" t="s">
        <v>2644</v>
      </c>
      <c r="B8103">
        <v>385</v>
      </c>
      <c r="C8103" t="s">
        <v>10596</v>
      </c>
      <c r="D8103" t="s">
        <v>98</v>
      </c>
      <c r="E8103" s="13">
        <v>62</v>
      </c>
      <c r="F8103" s="12">
        <v>29.26</v>
      </c>
      <c r="G8103" t="str">
        <f>IFERROR(INDEX(tEditais[Órgão],MATCH(tItens[[#This Row],[Edital]],tEditais[Edital],0)),"")</f>
        <v>CONSORCIO INTEGRADO DE GESTAO PUBLICA DO ENTRE RIOS - CIGAMERIOS</v>
      </c>
      <c r="H8103" t="str">
        <f>IFERROR(INDEX(tEditais[UF],MATCH(tItens[[#This Row],[Edital]],tEditais[Edital],0)),"")</f>
        <v>SC</v>
      </c>
      <c r="I8103" s="11">
        <f>IFERROR(INDEX(tEditais[Encerramento],MATCH(tItens[[#This Row],[Edital]],tEditais[Edital],0)),"")</f>
        <v>46309.332638888889</v>
      </c>
      <c r="J8103" t="str">
        <f>IFERROR(INDEX(tProdutos[Classe],MATCH(tItens[[#This Row],[Produto]],tProdutos[Produto],0)),"produto não cadastrado")</f>
        <v>NÚCLEO</v>
      </c>
      <c r="K8103" s="12">
        <f>tItens[[#This Row],[Qtd]]*tItens[[#This Row],[Vlr unit]]</f>
        <v>1814.1200000000001</v>
      </c>
      <c r="L8103" s="6">
        <f>IFERROR(IF(INDEX(tProdutos[Desconto homologado],MATCH(tItens[[#This Row],[Produto]],tProdutos[Produto],0))="",DescontoPadrao,INDEX(tProdutos[Desconto homologado],MATCH(tItens[[#This Row],[Produto]],tProdutos[Produto],0))),DescontoPadrao)</f>
        <v>0.39</v>
      </c>
      <c r="M8103" s="12">
        <f>tItens[[#This Row],[Valor]]*(1-tItens[[#This Row],[Desconto]])</f>
        <v>1106.6132</v>
      </c>
      <c r="N8103" t="str">
        <f>IFERROR(INDEX(tProdutos[Foco],MATCH(tItens[[#This Row],[Produto]],tProdutos[Produto],0)),"Não")</f>
        <v>Sim</v>
      </c>
      <c r="O8103" t="str">
        <f>IFERROR(INDEX(tEditais[SRP],MATCH(tItens[[#This Row],[Edital]],tEditais[Edital],0)),"Não")</f>
        <v>Sim</v>
      </c>
      <c r="P8103" s="4">
        <f>IF(COUNTIFS(INDEX(tItens[Edital],1):tItens[[#This Row],[Edital]],tItens[[#This Row],[Edital]],INDEX(tItens[Produto],1):tItens[[#This Row],[Produto]],tItens[[#This Row],[Produto]])=1,1,0)</f>
        <v>1</v>
      </c>
    </row>
    <row r="8104" spans="1:16" x14ac:dyDescent="0.25">
      <c r="A8104" t="s">
        <v>2644</v>
      </c>
      <c r="B8104">
        <v>396</v>
      </c>
      <c r="C8104" t="s">
        <v>10597</v>
      </c>
      <c r="D8104" t="s">
        <v>476</v>
      </c>
      <c r="E8104" s="13">
        <v>1195</v>
      </c>
      <c r="F8104" s="12">
        <v>27.46</v>
      </c>
      <c r="G8104" t="str">
        <f>IFERROR(INDEX(tEditais[Órgão],MATCH(tItens[[#This Row],[Edital]],tEditais[Edital],0)),"")</f>
        <v>CONSORCIO INTEGRADO DE GESTAO PUBLICA DO ENTRE RIOS - CIGAMERIOS</v>
      </c>
      <c r="H8104" t="str">
        <f>IFERROR(INDEX(tEditais[UF],MATCH(tItens[[#This Row],[Edital]],tEditais[Edital],0)),"")</f>
        <v>SC</v>
      </c>
      <c r="I8104" s="11">
        <f>IFERROR(INDEX(tEditais[Encerramento],MATCH(tItens[[#This Row],[Edital]],tEditais[Edital],0)),"")</f>
        <v>46309.332638888889</v>
      </c>
      <c r="J8104" t="str">
        <f>IFERROR(INDEX(tProdutos[Classe],MATCH(tItens[[#This Row],[Produto]],tProdutos[Produto],0)),"produto não cadastrado")</f>
        <v>FILA REBASE</v>
      </c>
      <c r="K8104" s="12">
        <f>tItens[[#This Row],[Qtd]]*tItens[[#This Row],[Vlr unit]]</f>
        <v>32814.700000000004</v>
      </c>
      <c r="L8104" s="6">
        <f>IFERROR(IF(INDEX(tProdutos[Desconto homologado],MATCH(tItens[[#This Row],[Produto]],tProdutos[Produto],0))="",DescontoPadrao,INDEX(tProdutos[Desconto homologado],MATCH(tItens[[#This Row],[Produto]],tProdutos[Produto],0))),DescontoPadrao)</f>
        <v>0.43265506519011498</v>
      </c>
      <c r="M8104" s="12">
        <f>tItens[[#This Row],[Valor]]*(1-tItens[[#This Row],[Desconto]])</f>
        <v>18617.253832305938</v>
      </c>
      <c r="N8104" t="str">
        <f>IFERROR(INDEX(tProdutos[Foco],MATCH(tItens[[#This Row],[Produto]],tProdutos[Produto],0)),"Não")</f>
        <v>Não</v>
      </c>
      <c r="O8104" t="str">
        <f>IFERROR(INDEX(tEditais[SRP],MATCH(tItens[[#This Row],[Edital]],tEditais[Edital],0)),"Não")</f>
        <v>Sim</v>
      </c>
      <c r="P8104" s="4">
        <f>IF(COUNTIFS(INDEX(tItens[Edital],1):tItens[[#This Row],[Edital]],tItens[[#This Row],[Edital]],INDEX(tItens[Produto],1):tItens[[#This Row],[Produto]],tItens[[#This Row],[Produto]])=1,1,0)</f>
        <v>1</v>
      </c>
    </row>
    <row r="8105" spans="1:16" x14ac:dyDescent="0.25">
      <c r="A8105" t="s">
        <v>2644</v>
      </c>
      <c r="B8105">
        <v>398</v>
      </c>
      <c r="C8105" t="s">
        <v>10598</v>
      </c>
      <c r="D8105" t="s">
        <v>417</v>
      </c>
      <c r="E8105" s="13">
        <v>545</v>
      </c>
      <c r="F8105" s="12">
        <v>27</v>
      </c>
      <c r="G8105" t="str">
        <f>IFERROR(INDEX(tEditais[Órgão],MATCH(tItens[[#This Row],[Edital]],tEditais[Edital],0)),"")</f>
        <v>CONSORCIO INTEGRADO DE GESTAO PUBLICA DO ENTRE RIOS - CIGAMERIOS</v>
      </c>
      <c r="H8105" t="str">
        <f>IFERROR(INDEX(tEditais[UF],MATCH(tItens[[#This Row],[Edital]],tEditais[Edital],0)),"")</f>
        <v>SC</v>
      </c>
      <c r="I8105" s="11">
        <f>IFERROR(INDEX(tEditais[Encerramento],MATCH(tItens[[#This Row],[Edital]],tEditais[Edital],0)),"")</f>
        <v>46309.332638888889</v>
      </c>
      <c r="J8105" t="str">
        <f>IFERROR(INDEX(tProdutos[Classe],MATCH(tItens[[#This Row],[Produto]],tProdutos[Produto],0)),"produto não cadastrado")</f>
        <v>FORA</v>
      </c>
      <c r="K8105" s="12">
        <f>tItens[[#This Row],[Qtd]]*tItens[[#This Row],[Vlr unit]]</f>
        <v>14715</v>
      </c>
      <c r="L8105" s="6">
        <f>IFERROR(IF(INDEX(tProdutos[Desconto homologado],MATCH(tItens[[#This Row],[Produto]],tProdutos[Produto],0))="",DescontoPadrao,INDEX(tProdutos[Desconto homologado],MATCH(tItens[[#This Row],[Produto]],tProdutos[Produto],0))),DescontoPadrao)</f>
        <v>0.27842432580405202</v>
      </c>
      <c r="M8105" s="12">
        <f>tItens[[#This Row],[Valor]]*(1-tItens[[#This Row],[Desconto]])</f>
        <v>10617.986045793376</v>
      </c>
      <c r="N8105" t="str">
        <f>IFERROR(INDEX(tProdutos[Foco],MATCH(tItens[[#This Row],[Produto]],tProdutos[Produto],0)),"Não")</f>
        <v>Não</v>
      </c>
      <c r="O8105" t="str">
        <f>IFERROR(INDEX(tEditais[SRP],MATCH(tItens[[#This Row],[Edital]],tEditais[Edital],0)),"Não")</f>
        <v>Sim</v>
      </c>
      <c r="P8105" s="4">
        <f>IF(COUNTIFS(INDEX(tItens[Edital],1):tItens[[#This Row],[Edital]],tItens[[#This Row],[Edital]],INDEX(tItens[Produto],1):tItens[[#This Row],[Produto]],tItens[[#This Row],[Produto]])=1,1,0)</f>
        <v>1</v>
      </c>
    </row>
    <row r="8106" spans="1:16" x14ac:dyDescent="0.25">
      <c r="A8106" t="s">
        <v>2644</v>
      </c>
      <c r="B8106">
        <v>399</v>
      </c>
      <c r="C8106" t="s">
        <v>10599</v>
      </c>
      <c r="D8106" t="s">
        <v>56</v>
      </c>
      <c r="E8106" s="13">
        <v>144</v>
      </c>
      <c r="F8106" s="12">
        <v>44.95</v>
      </c>
      <c r="G8106" t="str">
        <f>IFERROR(INDEX(tEditais[Órgão],MATCH(tItens[[#This Row],[Edital]],tEditais[Edital],0)),"")</f>
        <v>CONSORCIO INTEGRADO DE GESTAO PUBLICA DO ENTRE RIOS - CIGAMERIOS</v>
      </c>
      <c r="H8106" t="str">
        <f>IFERROR(INDEX(tEditais[UF],MATCH(tItens[[#This Row],[Edital]],tEditais[Edital],0)),"")</f>
        <v>SC</v>
      </c>
      <c r="I8106" s="11">
        <f>IFERROR(INDEX(tEditais[Encerramento],MATCH(tItens[[#This Row],[Edital]],tEditais[Edital],0)),"")</f>
        <v>46309.332638888889</v>
      </c>
      <c r="J8106" t="str">
        <f>IFERROR(INDEX(tProdutos[Classe],MATCH(tItens[[#This Row],[Produto]],tProdutos[Produto],0)),"produto não cadastrado")</f>
        <v>NÚCLEO</v>
      </c>
      <c r="K8106" s="12">
        <f>tItens[[#This Row],[Qtd]]*tItens[[#This Row],[Vlr unit]]</f>
        <v>6472.8</v>
      </c>
      <c r="L8106" s="6">
        <f>IFERROR(IF(INDEX(tProdutos[Desconto homologado],MATCH(tItens[[#This Row],[Produto]],tProdutos[Produto],0))="",DescontoPadrao,INDEX(tProdutos[Desconto homologado],MATCH(tItens[[#This Row],[Produto]],tProdutos[Produto],0))),DescontoPadrao)</f>
        <v>0.34</v>
      </c>
      <c r="M8106" s="12">
        <f>tItens[[#This Row],[Valor]]*(1-tItens[[#This Row],[Desconto]])</f>
        <v>4272.0479999999998</v>
      </c>
      <c r="N8106" t="str">
        <f>IFERROR(INDEX(tProdutos[Foco],MATCH(tItens[[#This Row],[Produto]],tProdutos[Produto],0)),"Não")</f>
        <v>Sim</v>
      </c>
      <c r="O8106" t="str">
        <f>IFERROR(INDEX(tEditais[SRP],MATCH(tItens[[#This Row],[Edital]],tEditais[Edital],0)),"Não")</f>
        <v>Sim</v>
      </c>
      <c r="P8106" s="4">
        <f>IF(COUNTIFS(INDEX(tItens[Edital],1):tItens[[#This Row],[Edital]],tItens[[#This Row],[Edital]],INDEX(tItens[Produto],1):tItens[[#This Row],[Produto]],tItens[[#This Row],[Produto]])=1,1,0)</f>
        <v>1</v>
      </c>
    </row>
    <row r="8107" spans="1:16" x14ac:dyDescent="0.25">
      <c r="A8107" t="s">
        <v>2644</v>
      </c>
      <c r="B8107">
        <v>400</v>
      </c>
      <c r="C8107" t="s">
        <v>10600</v>
      </c>
      <c r="D8107" t="s">
        <v>56</v>
      </c>
      <c r="E8107" s="13">
        <v>233</v>
      </c>
      <c r="F8107" s="12">
        <v>28.95</v>
      </c>
      <c r="G8107" t="str">
        <f>IFERROR(INDEX(tEditais[Órgão],MATCH(tItens[[#This Row],[Edital]],tEditais[Edital],0)),"")</f>
        <v>CONSORCIO INTEGRADO DE GESTAO PUBLICA DO ENTRE RIOS - CIGAMERIOS</v>
      </c>
      <c r="H8107" t="str">
        <f>IFERROR(INDEX(tEditais[UF],MATCH(tItens[[#This Row],[Edital]],tEditais[Edital],0)),"")</f>
        <v>SC</v>
      </c>
      <c r="I8107" s="11">
        <f>IFERROR(INDEX(tEditais[Encerramento],MATCH(tItens[[#This Row],[Edital]],tEditais[Edital],0)),"")</f>
        <v>46309.332638888889</v>
      </c>
      <c r="J8107" t="str">
        <f>IFERROR(INDEX(tProdutos[Classe],MATCH(tItens[[#This Row],[Produto]],tProdutos[Produto],0)),"produto não cadastrado")</f>
        <v>NÚCLEO</v>
      </c>
      <c r="K8107" s="12">
        <f>tItens[[#This Row],[Qtd]]*tItens[[#This Row],[Vlr unit]]</f>
        <v>6745.3499999999995</v>
      </c>
      <c r="L8107" s="6">
        <f>IFERROR(IF(INDEX(tProdutos[Desconto homologado],MATCH(tItens[[#This Row],[Produto]],tProdutos[Produto],0))="",DescontoPadrao,INDEX(tProdutos[Desconto homologado],MATCH(tItens[[#This Row],[Produto]],tProdutos[Produto],0))),DescontoPadrao)</f>
        <v>0.34</v>
      </c>
      <c r="M8107" s="12">
        <f>tItens[[#This Row],[Valor]]*(1-tItens[[#This Row],[Desconto]])</f>
        <v>4451.9309999999987</v>
      </c>
      <c r="N8107" t="str">
        <f>IFERROR(INDEX(tProdutos[Foco],MATCH(tItens[[#This Row],[Produto]],tProdutos[Produto],0)),"Não")</f>
        <v>Sim</v>
      </c>
      <c r="O8107" t="str">
        <f>IFERROR(INDEX(tEditais[SRP],MATCH(tItens[[#This Row],[Edital]],tEditais[Edital],0)),"Não")</f>
        <v>Sim</v>
      </c>
      <c r="P8107" s="4">
        <f>IF(COUNTIFS(INDEX(tItens[Edital],1):tItens[[#This Row],[Edital]],tItens[[#This Row],[Edital]],INDEX(tItens[Produto],1):tItens[[#This Row],[Produto]],tItens[[#This Row],[Produto]])=1,1,0)</f>
        <v>0</v>
      </c>
    </row>
    <row r="8108" spans="1:16" x14ac:dyDescent="0.25">
      <c r="A8108" t="s">
        <v>2644</v>
      </c>
      <c r="B8108">
        <v>401</v>
      </c>
      <c r="C8108" t="s">
        <v>10601</v>
      </c>
      <c r="D8108" t="s">
        <v>56</v>
      </c>
      <c r="E8108" s="13">
        <v>200</v>
      </c>
      <c r="F8108" s="12">
        <v>23.8</v>
      </c>
      <c r="G8108" t="str">
        <f>IFERROR(INDEX(tEditais[Órgão],MATCH(tItens[[#This Row],[Edital]],tEditais[Edital],0)),"")</f>
        <v>CONSORCIO INTEGRADO DE GESTAO PUBLICA DO ENTRE RIOS - CIGAMERIOS</v>
      </c>
      <c r="H8108" t="str">
        <f>IFERROR(INDEX(tEditais[UF],MATCH(tItens[[#This Row],[Edital]],tEditais[Edital],0)),"")</f>
        <v>SC</v>
      </c>
      <c r="I8108" s="11">
        <f>IFERROR(INDEX(tEditais[Encerramento],MATCH(tItens[[#This Row],[Edital]],tEditais[Edital],0)),"")</f>
        <v>46309.332638888889</v>
      </c>
      <c r="J8108" t="str">
        <f>IFERROR(INDEX(tProdutos[Classe],MATCH(tItens[[#This Row],[Produto]],tProdutos[Produto],0)),"produto não cadastrado")</f>
        <v>NÚCLEO</v>
      </c>
      <c r="K8108" s="12">
        <f>tItens[[#This Row],[Qtd]]*tItens[[#This Row],[Vlr unit]]</f>
        <v>4760</v>
      </c>
      <c r="L8108" s="6">
        <f>IFERROR(IF(INDEX(tProdutos[Desconto homologado],MATCH(tItens[[#This Row],[Produto]],tProdutos[Produto],0))="",DescontoPadrao,INDEX(tProdutos[Desconto homologado],MATCH(tItens[[#This Row],[Produto]],tProdutos[Produto],0))),DescontoPadrao)</f>
        <v>0.34</v>
      </c>
      <c r="M8108" s="12">
        <f>tItens[[#This Row],[Valor]]*(1-tItens[[#This Row],[Desconto]])</f>
        <v>3141.5999999999995</v>
      </c>
      <c r="N8108" t="str">
        <f>IFERROR(INDEX(tProdutos[Foco],MATCH(tItens[[#This Row],[Produto]],tProdutos[Produto],0)),"Não")</f>
        <v>Sim</v>
      </c>
      <c r="O8108" t="str">
        <f>IFERROR(INDEX(tEditais[SRP],MATCH(tItens[[#This Row],[Edital]],tEditais[Edital],0)),"Não")</f>
        <v>Sim</v>
      </c>
      <c r="P8108" s="4">
        <f>IF(COUNTIFS(INDEX(tItens[Edital],1):tItens[[#This Row],[Edital]],tItens[[#This Row],[Edital]],INDEX(tItens[Produto],1):tItens[[#This Row],[Produto]],tItens[[#This Row],[Produto]])=1,1,0)</f>
        <v>0</v>
      </c>
    </row>
    <row r="8109" spans="1:16" x14ac:dyDescent="0.25">
      <c r="A8109" t="s">
        <v>2644</v>
      </c>
      <c r="B8109">
        <v>402</v>
      </c>
      <c r="C8109" t="s">
        <v>10602</v>
      </c>
      <c r="D8109" t="s">
        <v>56</v>
      </c>
      <c r="E8109" s="13">
        <v>200</v>
      </c>
      <c r="F8109" s="12">
        <v>23.16</v>
      </c>
      <c r="G8109" t="str">
        <f>IFERROR(INDEX(tEditais[Órgão],MATCH(tItens[[#This Row],[Edital]],tEditais[Edital],0)),"")</f>
        <v>CONSORCIO INTEGRADO DE GESTAO PUBLICA DO ENTRE RIOS - CIGAMERIOS</v>
      </c>
      <c r="H8109" t="str">
        <f>IFERROR(INDEX(tEditais[UF],MATCH(tItens[[#This Row],[Edital]],tEditais[Edital],0)),"")</f>
        <v>SC</v>
      </c>
      <c r="I8109" s="11">
        <f>IFERROR(INDEX(tEditais[Encerramento],MATCH(tItens[[#This Row],[Edital]],tEditais[Edital],0)),"")</f>
        <v>46309.332638888889</v>
      </c>
      <c r="J8109" t="str">
        <f>IFERROR(INDEX(tProdutos[Classe],MATCH(tItens[[#This Row],[Produto]],tProdutos[Produto],0)),"produto não cadastrado")</f>
        <v>NÚCLEO</v>
      </c>
      <c r="K8109" s="12">
        <f>tItens[[#This Row],[Qtd]]*tItens[[#This Row],[Vlr unit]]</f>
        <v>4632</v>
      </c>
      <c r="L8109" s="6">
        <f>IFERROR(IF(INDEX(tProdutos[Desconto homologado],MATCH(tItens[[#This Row],[Produto]],tProdutos[Produto],0))="",DescontoPadrao,INDEX(tProdutos[Desconto homologado],MATCH(tItens[[#This Row],[Produto]],tProdutos[Produto],0))),DescontoPadrao)</f>
        <v>0.34</v>
      </c>
      <c r="M8109" s="12">
        <f>tItens[[#This Row],[Valor]]*(1-tItens[[#This Row],[Desconto]])</f>
        <v>3057.1199999999994</v>
      </c>
      <c r="N8109" t="str">
        <f>IFERROR(INDEX(tProdutos[Foco],MATCH(tItens[[#This Row],[Produto]],tProdutos[Produto],0)),"Não")</f>
        <v>Sim</v>
      </c>
      <c r="O8109" t="str">
        <f>IFERROR(INDEX(tEditais[SRP],MATCH(tItens[[#This Row],[Edital]],tEditais[Edital],0)),"Não")</f>
        <v>Sim</v>
      </c>
      <c r="P8109" s="4">
        <f>IF(COUNTIFS(INDEX(tItens[Edital],1):tItens[[#This Row],[Edital]],tItens[[#This Row],[Edital]],INDEX(tItens[Produto],1):tItens[[#This Row],[Produto]],tItens[[#This Row],[Produto]])=1,1,0)</f>
        <v>0</v>
      </c>
    </row>
    <row r="8110" spans="1:16" x14ac:dyDescent="0.25">
      <c r="A8110" t="s">
        <v>2644</v>
      </c>
      <c r="B8110">
        <v>403</v>
      </c>
      <c r="C8110" t="s">
        <v>10603</v>
      </c>
      <c r="D8110" t="s">
        <v>56</v>
      </c>
      <c r="E8110" s="13">
        <v>218</v>
      </c>
      <c r="F8110" s="12">
        <v>25.01</v>
      </c>
      <c r="G8110" t="str">
        <f>IFERROR(INDEX(tEditais[Órgão],MATCH(tItens[[#This Row],[Edital]],tEditais[Edital],0)),"")</f>
        <v>CONSORCIO INTEGRADO DE GESTAO PUBLICA DO ENTRE RIOS - CIGAMERIOS</v>
      </c>
      <c r="H8110" t="str">
        <f>IFERROR(INDEX(tEditais[UF],MATCH(tItens[[#This Row],[Edital]],tEditais[Edital],0)),"")</f>
        <v>SC</v>
      </c>
      <c r="I8110" s="11">
        <f>IFERROR(INDEX(tEditais[Encerramento],MATCH(tItens[[#This Row],[Edital]],tEditais[Edital],0)),"")</f>
        <v>46309.332638888889</v>
      </c>
      <c r="J8110" t="str">
        <f>IFERROR(INDEX(tProdutos[Classe],MATCH(tItens[[#This Row],[Produto]],tProdutos[Produto],0)),"produto não cadastrado")</f>
        <v>NÚCLEO</v>
      </c>
      <c r="K8110" s="12">
        <f>tItens[[#This Row],[Qtd]]*tItens[[#This Row],[Vlr unit]]</f>
        <v>5452.18</v>
      </c>
      <c r="L8110" s="6">
        <f>IFERROR(IF(INDEX(tProdutos[Desconto homologado],MATCH(tItens[[#This Row],[Produto]],tProdutos[Produto],0))="",DescontoPadrao,INDEX(tProdutos[Desconto homologado],MATCH(tItens[[#This Row],[Produto]],tProdutos[Produto],0))),DescontoPadrao)</f>
        <v>0.34</v>
      </c>
      <c r="M8110" s="12">
        <f>tItens[[#This Row],[Valor]]*(1-tItens[[#This Row],[Desconto]])</f>
        <v>3598.4387999999999</v>
      </c>
      <c r="N8110" t="str">
        <f>IFERROR(INDEX(tProdutos[Foco],MATCH(tItens[[#This Row],[Produto]],tProdutos[Produto],0)),"Não")</f>
        <v>Sim</v>
      </c>
      <c r="O8110" t="str">
        <f>IFERROR(INDEX(tEditais[SRP],MATCH(tItens[[#This Row],[Edital]],tEditais[Edital],0)),"Não")</f>
        <v>Sim</v>
      </c>
      <c r="P8110" s="4">
        <f>IF(COUNTIFS(INDEX(tItens[Edital],1):tItens[[#This Row],[Edital]],tItens[[#This Row],[Edital]],INDEX(tItens[Produto],1):tItens[[#This Row],[Produto]],tItens[[#This Row],[Produto]])=1,1,0)</f>
        <v>0</v>
      </c>
    </row>
    <row r="8111" spans="1:16" x14ac:dyDescent="0.25">
      <c r="A8111" t="s">
        <v>2644</v>
      </c>
      <c r="B8111">
        <v>404</v>
      </c>
      <c r="C8111" t="s">
        <v>10604</v>
      </c>
      <c r="D8111" t="s">
        <v>56</v>
      </c>
      <c r="E8111" s="13">
        <v>116</v>
      </c>
      <c r="F8111" s="12">
        <v>25.38</v>
      </c>
      <c r="G8111" t="str">
        <f>IFERROR(INDEX(tEditais[Órgão],MATCH(tItens[[#This Row],[Edital]],tEditais[Edital],0)),"")</f>
        <v>CONSORCIO INTEGRADO DE GESTAO PUBLICA DO ENTRE RIOS - CIGAMERIOS</v>
      </c>
      <c r="H8111" t="str">
        <f>IFERROR(INDEX(tEditais[UF],MATCH(tItens[[#This Row],[Edital]],tEditais[Edital],0)),"")</f>
        <v>SC</v>
      </c>
      <c r="I8111" s="11">
        <f>IFERROR(INDEX(tEditais[Encerramento],MATCH(tItens[[#This Row],[Edital]],tEditais[Edital],0)),"")</f>
        <v>46309.332638888889</v>
      </c>
      <c r="J8111" t="str">
        <f>IFERROR(INDEX(tProdutos[Classe],MATCH(tItens[[#This Row],[Produto]],tProdutos[Produto],0)),"produto não cadastrado")</f>
        <v>NÚCLEO</v>
      </c>
      <c r="K8111" s="12">
        <f>tItens[[#This Row],[Qtd]]*tItens[[#This Row],[Vlr unit]]</f>
        <v>2944.08</v>
      </c>
      <c r="L8111" s="6">
        <f>IFERROR(IF(INDEX(tProdutos[Desconto homologado],MATCH(tItens[[#This Row],[Produto]],tProdutos[Produto],0))="",DescontoPadrao,INDEX(tProdutos[Desconto homologado],MATCH(tItens[[#This Row],[Produto]],tProdutos[Produto],0))),DescontoPadrao)</f>
        <v>0.34</v>
      </c>
      <c r="M8111" s="12">
        <f>tItens[[#This Row],[Valor]]*(1-tItens[[#This Row],[Desconto]])</f>
        <v>1943.0927999999997</v>
      </c>
      <c r="N8111" t="str">
        <f>IFERROR(INDEX(tProdutos[Foco],MATCH(tItens[[#This Row],[Produto]],tProdutos[Produto],0)),"Não")</f>
        <v>Sim</v>
      </c>
      <c r="O8111" t="str">
        <f>IFERROR(INDEX(tEditais[SRP],MATCH(tItens[[#This Row],[Edital]],tEditais[Edital],0)),"Não")</f>
        <v>Sim</v>
      </c>
      <c r="P8111" s="4">
        <f>IF(COUNTIFS(INDEX(tItens[Edital],1):tItens[[#This Row],[Edital]],tItens[[#This Row],[Edital]],INDEX(tItens[Produto],1):tItens[[#This Row],[Produto]],tItens[[#This Row],[Produto]])=1,1,0)</f>
        <v>0</v>
      </c>
    </row>
    <row r="8112" spans="1:16" x14ac:dyDescent="0.25">
      <c r="A8112" t="s">
        <v>2644</v>
      </c>
      <c r="B8112">
        <v>405</v>
      </c>
      <c r="C8112" t="s">
        <v>10605</v>
      </c>
      <c r="D8112" t="s">
        <v>56</v>
      </c>
      <c r="E8112" s="13">
        <v>94</v>
      </c>
      <c r="F8112" s="12">
        <v>23.58</v>
      </c>
      <c r="G8112" t="str">
        <f>IFERROR(INDEX(tEditais[Órgão],MATCH(tItens[[#This Row],[Edital]],tEditais[Edital],0)),"")</f>
        <v>CONSORCIO INTEGRADO DE GESTAO PUBLICA DO ENTRE RIOS - CIGAMERIOS</v>
      </c>
      <c r="H8112" t="str">
        <f>IFERROR(INDEX(tEditais[UF],MATCH(tItens[[#This Row],[Edital]],tEditais[Edital],0)),"")</f>
        <v>SC</v>
      </c>
      <c r="I8112" s="11">
        <f>IFERROR(INDEX(tEditais[Encerramento],MATCH(tItens[[#This Row],[Edital]],tEditais[Edital],0)),"")</f>
        <v>46309.332638888889</v>
      </c>
      <c r="J8112" t="str">
        <f>IFERROR(INDEX(tProdutos[Classe],MATCH(tItens[[#This Row],[Produto]],tProdutos[Produto],0)),"produto não cadastrado")</f>
        <v>NÚCLEO</v>
      </c>
      <c r="K8112" s="12">
        <f>tItens[[#This Row],[Qtd]]*tItens[[#This Row],[Vlr unit]]</f>
        <v>2216.52</v>
      </c>
      <c r="L8112" s="6">
        <f>IFERROR(IF(INDEX(tProdutos[Desconto homologado],MATCH(tItens[[#This Row],[Produto]],tProdutos[Produto],0))="",DescontoPadrao,INDEX(tProdutos[Desconto homologado],MATCH(tItens[[#This Row],[Produto]],tProdutos[Produto],0))),DescontoPadrao)</f>
        <v>0.34</v>
      </c>
      <c r="M8112" s="12">
        <f>tItens[[#This Row],[Valor]]*(1-tItens[[#This Row],[Desconto]])</f>
        <v>1462.9031999999997</v>
      </c>
      <c r="N8112" t="str">
        <f>IFERROR(INDEX(tProdutos[Foco],MATCH(tItens[[#This Row],[Produto]],tProdutos[Produto],0)),"Não")</f>
        <v>Sim</v>
      </c>
      <c r="O8112" t="str">
        <f>IFERROR(INDEX(tEditais[SRP],MATCH(tItens[[#This Row],[Edital]],tEditais[Edital],0)),"Não")</f>
        <v>Sim</v>
      </c>
      <c r="P8112" s="4">
        <f>IF(COUNTIFS(INDEX(tItens[Edital],1):tItens[[#This Row],[Edital]],tItens[[#This Row],[Edital]],INDEX(tItens[Produto],1):tItens[[#This Row],[Produto]],tItens[[#This Row],[Produto]])=1,1,0)</f>
        <v>0</v>
      </c>
    </row>
    <row r="8113" spans="1:16" x14ac:dyDescent="0.25">
      <c r="A8113" t="s">
        <v>2644</v>
      </c>
      <c r="B8113">
        <v>406</v>
      </c>
      <c r="C8113" t="s">
        <v>10606</v>
      </c>
      <c r="D8113" t="s">
        <v>56</v>
      </c>
      <c r="E8113" s="13">
        <v>104</v>
      </c>
      <c r="F8113" s="12">
        <v>25.73</v>
      </c>
      <c r="G8113" t="str">
        <f>IFERROR(INDEX(tEditais[Órgão],MATCH(tItens[[#This Row],[Edital]],tEditais[Edital],0)),"")</f>
        <v>CONSORCIO INTEGRADO DE GESTAO PUBLICA DO ENTRE RIOS - CIGAMERIOS</v>
      </c>
      <c r="H8113" t="str">
        <f>IFERROR(INDEX(tEditais[UF],MATCH(tItens[[#This Row],[Edital]],tEditais[Edital],0)),"")</f>
        <v>SC</v>
      </c>
      <c r="I8113" s="11">
        <f>IFERROR(INDEX(tEditais[Encerramento],MATCH(tItens[[#This Row],[Edital]],tEditais[Edital],0)),"")</f>
        <v>46309.332638888889</v>
      </c>
      <c r="J8113" t="str">
        <f>IFERROR(INDEX(tProdutos[Classe],MATCH(tItens[[#This Row],[Produto]],tProdutos[Produto],0)),"produto não cadastrado")</f>
        <v>NÚCLEO</v>
      </c>
      <c r="K8113" s="12">
        <f>tItens[[#This Row],[Qtd]]*tItens[[#This Row],[Vlr unit]]</f>
        <v>2675.92</v>
      </c>
      <c r="L8113" s="6">
        <f>IFERROR(IF(INDEX(tProdutos[Desconto homologado],MATCH(tItens[[#This Row],[Produto]],tProdutos[Produto],0))="",DescontoPadrao,INDEX(tProdutos[Desconto homologado],MATCH(tItens[[#This Row],[Produto]],tProdutos[Produto],0))),DescontoPadrao)</f>
        <v>0.34</v>
      </c>
      <c r="M8113" s="12">
        <f>tItens[[#This Row],[Valor]]*(1-tItens[[#This Row],[Desconto]])</f>
        <v>1766.1071999999999</v>
      </c>
      <c r="N8113" t="str">
        <f>IFERROR(INDEX(tProdutos[Foco],MATCH(tItens[[#This Row],[Produto]],tProdutos[Produto],0)),"Não")</f>
        <v>Sim</v>
      </c>
      <c r="O8113" t="str">
        <f>IFERROR(INDEX(tEditais[SRP],MATCH(tItens[[#This Row],[Edital]],tEditais[Edital],0)),"Não")</f>
        <v>Sim</v>
      </c>
      <c r="P8113" s="4">
        <f>IF(COUNTIFS(INDEX(tItens[Edital],1):tItens[[#This Row],[Edital]],tItens[[#This Row],[Edital]],INDEX(tItens[Produto],1):tItens[[#This Row],[Produto]],tItens[[#This Row],[Produto]])=1,1,0)</f>
        <v>0</v>
      </c>
    </row>
    <row r="8114" spans="1:16" x14ac:dyDescent="0.25">
      <c r="A8114" t="s">
        <v>2644</v>
      </c>
      <c r="B8114">
        <v>407</v>
      </c>
      <c r="C8114" t="s">
        <v>10607</v>
      </c>
      <c r="D8114" t="s">
        <v>56</v>
      </c>
      <c r="E8114" s="13">
        <v>94</v>
      </c>
      <c r="F8114" s="12">
        <v>22.74</v>
      </c>
      <c r="G8114" t="str">
        <f>IFERROR(INDEX(tEditais[Órgão],MATCH(tItens[[#This Row],[Edital]],tEditais[Edital],0)),"")</f>
        <v>CONSORCIO INTEGRADO DE GESTAO PUBLICA DO ENTRE RIOS - CIGAMERIOS</v>
      </c>
      <c r="H8114" t="str">
        <f>IFERROR(INDEX(tEditais[UF],MATCH(tItens[[#This Row],[Edital]],tEditais[Edital],0)),"")</f>
        <v>SC</v>
      </c>
      <c r="I8114" s="11">
        <f>IFERROR(INDEX(tEditais[Encerramento],MATCH(tItens[[#This Row],[Edital]],tEditais[Edital],0)),"")</f>
        <v>46309.332638888889</v>
      </c>
      <c r="J8114" t="str">
        <f>IFERROR(INDEX(tProdutos[Classe],MATCH(tItens[[#This Row],[Produto]],tProdutos[Produto],0)),"produto não cadastrado")</f>
        <v>NÚCLEO</v>
      </c>
      <c r="K8114" s="12">
        <f>tItens[[#This Row],[Qtd]]*tItens[[#This Row],[Vlr unit]]</f>
        <v>2137.56</v>
      </c>
      <c r="L8114" s="6">
        <f>IFERROR(IF(INDEX(tProdutos[Desconto homologado],MATCH(tItens[[#This Row],[Produto]],tProdutos[Produto],0))="",DescontoPadrao,INDEX(tProdutos[Desconto homologado],MATCH(tItens[[#This Row],[Produto]],tProdutos[Produto],0))),DescontoPadrao)</f>
        <v>0.34</v>
      </c>
      <c r="M8114" s="12">
        <f>tItens[[#This Row],[Valor]]*(1-tItens[[#This Row],[Desconto]])</f>
        <v>1410.7895999999998</v>
      </c>
      <c r="N8114" t="str">
        <f>IFERROR(INDEX(tProdutos[Foco],MATCH(tItens[[#This Row],[Produto]],tProdutos[Produto],0)),"Não")</f>
        <v>Sim</v>
      </c>
      <c r="O8114" t="str">
        <f>IFERROR(INDEX(tEditais[SRP],MATCH(tItens[[#This Row],[Edital]],tEditais[Edital],0)),"Não")</f>
        <v>Sim</v>
      </c>
      <c r="P8114" s="4">
        <f>IF(COUNTIFS(INDEX(tItens[Edital],1):tItens[[#This Row],[Edital]],tItens[[#This Row],[Edital]],INDEX(tItens[Produto],1):tItens[[#This Row],[Produto]],tItens[[#This Row],[Produto]])=1,1,0)</f>
        <v>0</v>
      </c>
    </row>
    <row r="8115" spans="1:16" x14ac:dyDescent="0.25">
      <c r="A8115" t="s">
        <v>2644</v>
      </c>
      <c r="B8115">
        <v>408</v>
      </c>
      <c r="C8115" t="s">
        <v>10608</v>
      </c>
      <c r="D8115" t="s">
        <v>56</v>
      </c>
      <c r="E8115" s="13">
        <v>89</v>
      </c>
      <c r="F8115" s="12">
        <v>25.01</v>
      </c>
      <c r="G8115" t="str">
        <f>IFERROR(INDEX(tEditais[Órgão],MATCH(tItens[[#This Row],[Edital]],tEditais[Edital],0)),"")</f>
        <v>CONSORCIO INTEGRADO DE GESTAO PUBLICA DO ENTRE RIOS - CIGAMERIOS</v>
      </c>
      <c r="H8115" t="str">
        <f>IFERROR(INDEX(tEditais[UF],MATCH(tItens[[#This Row],[Edital]],tEditais[Edital],0)),"")</f>
        <v>SC</v>
      </c>
      <c r="I8115" s="11">
        <f>IFERROR(INDEX(tEditais[Encerramento],MATCH(tItens[[#This Row],[Edital]],tEditais[Edital],0)),"")</f>
        <v>46309.332638888889</v>
      </c>
      <c r="J8115" t="str">
        <f>IFERROR(INDEX(tProdutos[Classe],MATCH(tItens[[#This Row],[Produto]],tProdutos[Produto],0)),"produto não cadastrado")</f>
        <v>NÚCLEO</v>
      </c>
      <c r="K8115" s="12">
        <f>tItens[[#This Row],[Qtd]]*tItens[[#This Row],[Vlr unit]]</f>
        <v>2225.8900000000003</v>
      </c>
      <c r="L8115" s="6">
        <f>IFERROR(IF(INDEX(tProdutos[Desconto homologado],MATCH(tItens[[#This Row],[Produto]],tProdutos[Produto],0))="",DescontoPadrao,INDEX(tProdutos[Desconto homologado],MATCH(tItens[[#This Row],[Produto]],tProdutos[Produto],0))),DescontoPadrao)</f>
        <v>0.34</v>
      </c>
      <c r="M8115" s="12">
        <f>tItens[[#This Row],[Valor]]*(1-tItens[[#This Row],[Desconto]])</f>
        <v>1469.0874000000001</v>
      </c>
      <c r="N8115" t="str">
        <f>IFERROR(INDEX(tProdutos[Foco],MATCH(tItens[[#This Row],[Produto]],tProdutos[Produto],0)),"Não")</f>
        <v>Sim</v>
      </c>
      <c r="O8115" t="str">
        <f>IFERROR(INDEX(tEditais[SRP],MATCH(tItens[[#This Row],[Edital]],tEditais[Edital],0)),"Não")</f>
        <v>Sim</v>
      </c>
      <c r="P8115" s="4">
        <f>IF(COUNTIFS(INDEX(tItens[Edital],1):tItens[[#This Row],[Edital]],tItens[[#This Row],[Edital]],INDEX(tItens[Produto],1):tItens[[#This Row],[Produto]],tItens[[#This Row],[Produto]])=1,1,0)</f>
        <v>0</v>
      </c>
    </row>
    <row r="8116" spans="1:16" x14ac:dyDescent="0.25">
      <c r="A8116" t="s">
        <v>2644</v>
      </c>
      <c r="B8116">
        <v>410</v>
      </c>
      <c r="C8116" t="s">
        <v>10609</v>
      </c>
      <c r="D8116" t="s">
        <v>277</v>
      </c>
      <c r="E8116" s="13">
        <v>2130</v>
      </c>
      <c r="F8116" s="12">
        <v>17.91</v>
      </c>
      <c r="G8116" t="str">
        <f>IFERROR(INDEX(tEditais[Órgão],MATCH(tItens[[#This Row],[Edital]],tEditais[Edital],0)),"")</f>
        <v>CONSORCIO INTEGRADO DE GESTAO PUBLICA DO ENTRE RIOS - CIGAMERIOS</v>
      </c>
      <c r="H8116" t="str">
        <f>IFERROR(INDEX(tEditais[UF],MATCH(tItens[[#This Row],[Edital]],tEditais[Edital],0)),"")</f>
        <v>SC</v>
      </c>
      <c r="I8116" s="11">
        <f>IFERROR(INDEX(tEditais[Encerramento],MATCH(tItens[[#This Row],[Edital]],tEditais[Edital],0)),"")</f>
        <v>46309.332638888889</v>
      </c>
      <c r="J8116" t="str">
        <f>IFERROR(INDEX(tProdutos[Classe],MATCH(tItens[[#This Row],[Produto]],tProdutos[Produto],0)),"produto não cadastrado")</f>
        <v>DISPUTADO</v>
      </c>
      <c r="K8116" s="12">
        <f>tItens[[#This Row],[Qtd]]*tItens[[#This Row],[Vlr unit]]</f>
        <v>38148.300000000003</v>
      </c>
      <c r="L8116" s="6">
        <f>IFERROR(IF(INDEX(tProdutos[Desconto homologado],MATCH(tItens[[#This Row],[Produto]],tProdutos[Produto],0))="",DescontoPadrao,INDEX(tProdutos[Desconto homologado],MATCH(tItens[[#This Row],[Produto]],tProdutos[Produto],0))),DescontoPadrao)</f>
        <v>0.50460666194188497</v>
      </c>
      <c r="M8116" s="12">
        <f>tItens[[#This Row],[Valor]]*(1-tItens[[#This Row],[Desconto]])</f>
        <v>18898.413678242392</v>
      </c>
      <c r="N8116" t="str">
        <f>IFERROR(INDEX(tProdutos[Foco],MATCH(tItens[[#This Row],[Produto]],tProdutos[Produto],0)),"Não")</f>
        <v>Não</v>
      </c>
      <c r="O8116" t="str">
        <f>IFERROR(INDEX(tEditais[SRP],MATCH(tItens[[#This Row],[Edital]],tEditais[Edital],0)),"Não")</f>
        <v>Sim</v>
      </c>
      <c r="P8116" s="4">
        <f>IF(COUNTIFS(INDEX(tItens[Edital],1):tItens[[#This Row],[Edital]],tItens[[#This Row],[Edital]],INDEX(tItens[Produto],1):tItens[[#This Row],[Produto]],tItens[[#This Row],[Produto]])=1,1,0)</f>
        <v>0</v>
      </c>
    </row>
    <row r="8117" spans="1:16" x14ac:dyDescent="0.25">
      <c r="A8117" t="s">
        <v>2644</v>
      </c>
      <c r="B8117">
        <v>411</v>
      </c>
      <c r="C8117" t="s">
        <v>10610</v>
      </c>
      <c r="D8117" t="s">
        <v>277</v>
      </c>
      <c r="E8117" s="13">
        <v>9840</v>
      </c>
      <c r="F8117" s="12">
        <v>15.72</v>
      </c>
      <c r="G8117" t="str">
        <f>IFERROR(INDEX(tEditais[Órgão],MATCH(tItens[[#This Row],[Edital]],tEditais[Edital],0)),"")</f>
        <v>CONSORCIO INTEGRADO DE GESTAO PUBLICA DO ENTRE RIOS - CIGAMERIOS</v>
      </c>
      <c r="H8117" t="str">
        <f>IFERROR(INDEX(tEditais[UF],MATCH(tItens[[#This Row],[Edital]],tEditais[Edital],0)),"")</f>
        <v>SC</v>
      </c>
      <c r="I8117" s="11">
        <f>IFERROR(INDEX(tEditais[Encerramento],MATCH(tItens[[#This Row],[Edital]],tEditais[Edital],0)),"")</f>
        <v>46309.332638888889</v>
      </c>
      <c r="J8117" t="str">
        <f>IFERROR(INDEX(tProdutos[Classe],MATCH(tItens[[#This Row],[Produto]],tProdutos[Produto],0)),"produto não cadastrado")</f>
        <v>DISPUTADO</v>
      </c>
      <c r="K8117" s="12">
        <f>tItens[[#This Row],[Qtd]]*tItens[[#This Row],[Vlr unit]]</f>
        <v>154684.80000000002</v>
      </c>
      <c r="L8117" s="6">
        <f>IFERROR(IF(INDEX(tProdutos[Desconto homologado],MATCH(tItens[[#This Row],[Produto]],tProdutos[Produto],0))="",DescontoPadrao,INDEX(tProdutos[Desconto homologado],MATCH(tItens[[#This Row],[Produto]],tProdutos[Produto],0))),DescontoPadrao)</f>
        <v>0.50460666194188497</v>
      </c>
      <c r="M8117" s="12">
        <f>tItens[[#This Row],[Valor]]*(1-tItens[[#This Row],[Desconto]])</f>
        <v>76629.819418851926</v>
      </c>
      <c r="N8117" t="str">
        <f>IFERROR(INDEX(tProdutos[Foco],MATCH(tItens[[#This Row],[Produto]],tProdutos[Produto],0)),"Não")</f>
        <v>Não</v>
      </c>
      <c r="O8117" t="str">
        <f>IFERROR(INDEX(tEditais[SRP],MATCH(tItens[[#This Row],[Edital]],tEditais[Edital],0)),"Não")</f>
        <v>Sim</v>
      </c>
      <c r="P8117" s="4">
        <f>IF(COUNTIFS(INDEX(tItens[Edital],1):tItens[[#This Row],[Edital]],tItens[[#This Row],[Edital]],INDEX(tItens[Produto],1):tItens[[#This Row],[Produto]],tItens[[#This Row],[Produto]])=1,1,0)</f>
        <v>0</v>
      </c>
    </row>
    <row r="8118" spans="1:16" x14ac:dyDescent="0.25">
      <c r="A8118" t="s">
        <v>2644</v>
      </c>
      <c r="B8118">
        <v>412</v>
      </c>
      <c r="C8118" t="s">
        <v>10611</v>
      </c>
      <c r="D8118" t="s">
        <v>277</v>
      </c>
      <c r="E8118" s="13">
        <v>1121</v>
      </c>
      <c r="F8118" s="12">
        <v>279.5</v>
      </c>
      <c r="G8118" t="str">
        <f>IFERROR(INDEX(tEditais[Órgão],MATCH(tItens[[#This Row],[Edital]],tEditais[Edital],0)),"")</f>
        <v>CONSORCIO INTEGRADO DE GESTAO PUBLICA DO ENTRE RIOS - CIGAMERIOS</v>
      </c>
      <c r="H8118" t="str">
        <f>IFERROR(INDEX(tEditais[UF],MATCH(tItens[[#This Row],[Edital]],tEditais[Edital],0)),"")</f>
        <v>SC</v>
      </c>
      <c r="I8118" s="11">
        <f>IFERROR(INDEX(tEditais[Encerramento],MATCH(tItens[[#This Row],[Edital]],tEditais[Edital],0)),"")</f>
        <v>46309.332638888889</v>
      </c>
      <c r="J8118" t="str">
        <f>IFERROR(INDEX(tProdutos[Classe],MATCH(tItens[[#This Row],[Produto]],tProdutos[Produto],0)),"produto não cadastrado")</f>
        <v>DISPUTADO</v>
      </c>
      <c r="K8118" s="12">
        <f>tItens[[#This Row],[Qtd]]*tItens[[#This Row],[Vlr unit]]</f>
        <v>313319.5</v>
      </c>
      <c r="L8118" s="6">
        <f>IFERROR(IF(INDEX(tProdutos[Desconto homologado],MATCH(tItens[[#This Row],[Produto]],tProdutos[Produto],0))="",DescontoPadrao,INDEX(tProdutos[Desconto homologado],MATCH(tItens[[#This Row],[Produto]],tProdutos[Produto],0))),DescontoPadrao)</f>
        <v>0.50460666194188497</v>
      </c>
      <c r="M8118" s="12">
        <f>tItens[[#This Row],[Valor]]*(1-tItens[[#This Row],[Desconto]])</f>
        <v>155216.39298369957</v>
      </c>
      <c r="N8118" t="str">
        <f>IFERROR(INDEX(tProdutos[Foco],MATCH(tItens[[#This Row],[Produto]],tProdutos[Produto],0)),"Não")</f>
        <v>Não</v>
      </c>
      <c r="O8118" t="str">
        <f>IFERROR(INDEX(tEditais[SRP],MATCH(tItens[[#This Row],[Edital]],tEditais[Edital],0)),"Não")</f>
        <v>Sim</v>
      </c>
      <c r="P8118" s="4">
        <f>IF(COUNTIFS(INDEX(tItens[Edital],1):tItens[[#This Row],[Edital]],tItens[[#This Row],[Edital]],INDEX(tItens[Produto],1):tItens[[#This Row],[Produto]],tItens[[#This Row],[Produto]])=1,1,0)</f>
        <v>0</v>
      </c>
    </row>
    <row r="8119" spans="1:16" x14ac:dyDescent="0.25">
      <c r="A8119" t="s">
        <v>2644</v>
      </c>
      <c r="B8119">
        <v>414</v>
      </c>
      <c r="C8119" t="s">
        <v>10612</v>
      </c>
      <c r="D8119" t="s">
        <v>267</v>
      </c>
      <c r="E8119" s="13">
        <v>145</v>
      </c>
      <c r="F8119" s="12">
        <v>390.33</v>
      </c>
      <c r="G8119" t="str">
        <f>IFERROR(INDEX(tEditais[Órgão],MATCH(tItens[[#This Row],[Edital]],tEditais[Edital],0)),"")</f>
        <v>CONSORCIO INTEGRADO DE GESTAO PUBLICA DO ENTRE RIOS - CIGAMERIOS</v>
      </c>
      <c r="H8119" t="str">
        <f>IFERROR(INDEX(tEditais[UF],MATCH(tItens[[#This Row],[Edital]],tEditais[Edital],0)),"")</f>
        <v>SC</v>
      </c>
      <c r="I8119" s="11">
        <f>IFERROR(INDEX(tEditais[Encerramento],MATCH(tItens[[#This Row],[Edital]],tEditais[Edital],0)),"")</f>
        <v>46309.332638888889</v>
      </c>
      <c r="J8119" t="str">
        <f>IFERROR(INDEX(tProdutos[Classe],MATCH(tItens[[#This Row],[Produto]],tProdutos[Produto],0)),"produto não cadastrado")</f>
        <v>FORA</v>
      </c>
      <c r="K8119" s="12">
        <f>tItens[[#This Row],[Qtd]]*tItens[[#This Row],[Vlr unit]]</f>
        <v>56597.85</v>
      </c>
      <c r="L8119" s="6">
        <f>IFERROR(IF(INDEX(tProdutos[Desconto homologado],MATCH(tItens[[#This Row],[Produto]],tProdutos[Produto],0))="",DescontoPadrao,INDEX(tProdutos[Desconto homologado],MATCH(tItens[[#This Row],[Produto]],tProdutos[Produto],0))),DescontoPadrao)</f>
        <v>0.19963672657401599</v>
      </c>
      <c r="M8119" s="12">
        <f>tItens[[#This Row],[Valor]]*(1-tItens[[#This Row],[Desconto]])</f>
        <v>45298.840494872828</v>
      </c>
      <c r="N8119" t="str">
        <f>IFERROR(INDEX(tProdutos[Foco],MATCH(tItens[[#This Row],[Produto]],tProdutos[Produto],0)),"Não")</f>
        <v>Não</v>
      </c>
      <c r="O8119" t="str">
        <f>IFERROR(INDEX(tEditais[SRP],MATCH(tItens[[#This Row],[Edital]],tEditais[Edital],0)),"Não")</f>
        <v>Sim</v>
      </c>
      <c r="P8119" s="4">
        <f>IF(COUNTIFS(INDEX(tItens[Edital],1):tItens[[#This Row],[Edital]],tItens[[#This Row],[Edital]],INDEX(tItens[Produto],1):tItens[[#This Row],[Produto]],tItens[[#This Row],[Produto]])=1,1,0)</f>
        <v>1</v>
      </c>
    </row>
    <row r="8120" spans="1:16" x14ac:dyDescent="0.25">
      <c r="A8120" t="s">
        <v>2644</v>
      </c>
      <c r="B8120">
        <v>415</v>
      </c>
      <c r="C8120" t="s">
        <v>10613</v>
      </c>
      <c r="D8120" t="s">
        <v>267</v>
      </c>
      <c r="E8120" s="13">
        <v>4170</v>
      </c>
      <c r="F8120" s="12">
        <v>19.7</v>
      </c>
      <c r="G8120" t="str">
        <f>IFERROR(INDEX(tEditais[Órgão],MATCH(tItens[[#This Row],[Edital]],tEditais[Edital],0)),"")</f>
        <v>CONSORCIO INTEGRADO DE GESTAO PUBLICA DO ENTRE RIOS - CIGAMERIOS</v>
      </c>
      <c r="H8120" t="str">
        <f>IFERROR(INDEX(tEditais[UF],MATCH(tItens[[#This Row],[Edital]],tEditais[Edital],0)),"")</f>
        <v>SC</v>
      </c>
      <c r="I8120" s="11">
        <f>IFERROR(INDEX(tEditais[Encerramento],MATCH(tItens[[#This Row],[Edital]],tEditais[Edital],0)),"")</f>
        <v>46309.332638888889</v>
      </c>
      <c r="J8120" t="str">
        <f>IFERROR(INDEX(tProdutos[Classe],MATCH(tItens[[#This Row],[Produto]],tProdutos[Produto],0)),"produto não cadastrado")</f>
        <v>FORA</v>
      </c>
      <c r="K8120" s="12">
        <f>tItens[[#This Row],[Qtd]]*tItens[[#This Row],[Vlr unit]]</f>
        <v>82149</v>
      </c>
      <c r="L8120" s="6">
        <f>IFERROR(IF(INDEX(tProdutos[Desconto homologado],MATCH(tItens[[#This Row],[Produto]],tProdutos[Produto],0))="",DescontoPadrao,INDEX(tProdutos[Desconto homologado],MATCH(tItens[[#This Row],[Produto]],tProdutos[Produto],0))),DescontoPadrao)</f>
        <v>0.19963672657401599</v>
      </c>
      <c r="M8120" s="12">
        <f>tItens[[#This Row],[Valor]]*(1-tItens[[#This Row],[Desconto]])</f>
        <v>65749.042548671161</v>
      </c>
      <c r="N8120" t="str">
        <f>IFERROR(INDEX(tProdutos[Foco],MATCH(tItens[[#This Row],[Produto]],tProdutos[Produto],0)),"Não")</f>
        <v>Não</v>
      </c>
      <c r="O8120" t="str">
        <f>IFERROR(INDEX(tEditais[SRP],MATCH(tItens[[#This Row],[Edital]],tEditais[Edital],0)),"Não")</f>
        <v>Sim</v>
      </c>
      <c r="P8120" s="4">
        <f>IF(COUNTIFS(INDEX(tItens[Edital],1):tItens[[#This Row],[Edital]],tItens[[#This Row],[Edital]],INDEX(tItens[Produto],1):tItens[[#This Row],[Produto]],tItens[[#This Row],[Produto]])=1,1,0)</f>
        <v>0</v>
      </c>
    </row>
    <row r="8121" spans="1:16" x14ac:dyDescent="0.25">
      <c r="A8121" t="s">
        <v>2644</v>
      </c>
      <c r="B8121">
        <v>416</v>
      </c>
      <c r="C8121" t="s">
        <v>10614</v>
      </c>
      <c r="D8121" t="s">
        <v>267</v>
      </c>
      <c r="E8121" s="13">
        <v>6504</v>
      </c>
      <c r="F8121" s="12">
        <v>11.91</v>
      </c>
      <c r="G8121" t="str">
        <f>IFERROR(INDEX(tEditais[Órgão],MATCH(tItens[[#This Row],[Edital]],tEditais[Edital],0)),"")</f>
        <v>CONSORCIO INTEGRADO DE GESTAO PUBLICA DO ENTRE RIOS - CIGAMERIOS</v>
      </c>
      <c r="H8121" t="str">
        <f>IFERROR(INDEX(tEditais[UF],MATCH(tItens[[#This Row],[Edital]],tEditais[Edital],0)),"")</f>
        <v>SC</v>
      </c>
      <c r="I8121" s="11">
        <f>IFERROR(INDEX(tEditais[Encerramento],MATCH(tItens[[#This Row],[Edital]],tEditais[Edital],0)),"")</f>
        <v>46309.332638888889</v>
      </c>
      <c r="J8121" t="str">
        <f>IFERROR(INDEX(tProdutos[Classe],MATCH(tItens[[#This Row],[Produto]],tProdutos[Produto],0)),"produto não cadastrado")</f>
        <v>FORA</v>
      </c>
      <c r="K8121" s="12">
        <f>tItens[[#This Row],[Qtd]]*tItens[[#This Row],[Vlr unit]]</f>
        <v>77462.64</v>
      </c>
      <c r="L8121" s="6">
        <f>IFERROR(IF(INDEX(tProdutos[Desconto homologado],MATCH(tItens[[#This Row],[Produto]],tProdutos[Produto],0))="",DescontoPadrao,INDEX(tProdutos[Desconto homologado],MATCH(tItens[[#This Row],[Produto]],tProdutos[Produto],0))),DescontoPadrao)</f>
        <v>0.19963672657401599</v>
      </c>
      <c r="M8121" s="12">
        <f>tItens[[#This Row],[Valor]]*(1-tItens[[#This Row],[Desconto]])</f>
        <v>61998.252118618562</v>
      </c>
      <c r="N8121" t="str">
        <f>IFERROR(INDEX(tProdutos[Foco],MATCH(tItens[[#This Row],[Produto]],tProdutos[Produto],0)),"Não")</f>
        <v>Não</v>
      </c>
      <c r="O8121" t="str">
        <f>IFERROR(INDEX(tEditais[SRP],MATCH(tItens[[#This Row],[Edital]],tEditais[Edital],0)),"Não")</f>
        <v>Sim</v>
      </c>
      <c r="P8121" s="4">
        <f>IF(COUNTIFS(INDEX(tItens[Edital],1):tItens[[#This Row],[Edital]],tItens[[#This Row],[Edital]],INDEX(tItens[Produto],1):tItens[[#This Row],[Produto]],tItens[[#This Row],[Produto]])=1,1,0)</f>
        <v>0</v>
      </c>
    </row>
    <row r="8122" spans="1:16" x14ac:dyDescent="0.25">
      <c r="A8122" t="s">
        <v>2644</v>
      </c>
      <c r="B8122">
        <v>417</v>
      </c>
      <c r="C8122" t="s">
        <v>10615</v>
      </c>
      <c r="D8122" t="s">
        <v>267</v>
      </c>
      <c r="E8122" s="13">
        <v>7350</v>
      </c>
      <c r="F8122" s="12">
        <v>13.72</v>
      </c>
      <c r="G8122" t="str">
        <f>IFERROR(INDEX(tEditais[Órgão],MATCH(tItens[[#This Row],[Edital]],tEditais[Edital],0)),"")</f>
        <v>CONSORCIO INTEGRADO DE GESTAO PUBLICA DO ENTRE RIOS - CIGAMERIOS</v>
      </c>
      <c r="H8122" t="str">
        <f>IFERROR(INDEX(tEditais[UF],MATCH(tItens[[#This Row],[Edital]],tEditais[Edital],0)),"")</f>
        <v>SC</v>
      </c>
      <c r="I8122" s="11">
        <f>IFERROR(INDEX(tEditais[Encerramento],MATCH(tItens[[#This Row],[Edital]],tEditais[Edital],0)),"")</f>
        <v>46309.332638888889</v>
      </c>
      <c r="J8122" t="str">
        <f>IFERROR(INDEX(tProdutos[Classe],MATCH(tItens[[#This Row],[Produto]],tProdutos[Produto],0)),"produto não cadastrado")</f>
        <v>FORA</v>
      </c>
      <c r="K8122" s="12">
        <f>tItens[[#This Row],[Qtd]]*tItens[[#This Row],[Vlr unit]]</f>
        <v>100842</v>
      </c>
      <c r="L8122" s="6">
        <f>IFERROR(IF(INDEX(tProdutos[Desconto homologado],MATCH(tItens[[#This Row],[Produto]],tProdutos[Produto],0))="",DescontoPadrao,INDEX(tProdutos[Desconto homologado],MATCH(tItens[[#This Row],[Produto]],tProdutos[Produto],0))),DescontoPadrao)</f>
        <v>0.19963672657401599</v>
      </c>
      <c r="M8122" s="12">
        <f>tItens[[#This Row],[Valor]]*(1-tItens[[#This Row],[Desconto]])</f>
        <v>80710.233218823079</v>
      </c>
      <c r="N8122" t="str">
        <f>IFERROR(INDEX(tProdutos[Foco],MATCH(tItens[[#This Row],[Produto]],tProdutos[Produto],0)),"Não")</f>
        <v>Não</v>
      </c>
      <c r="O8122" t="str">
        <f>IFERROR(INDEX(tEditais[SRP],MATCH(tItens[[#This Row],[Edital]],tEditais[Edital],0)),"Não")</f>
        <v>Sim</v>
      </c>
      <c r="P8122" s="4">
        <f>IF(COUNTIFS(INDEX(tItens[Edital],1):tItens[[#This Row],[Edital]],tItens[[#This Row],[Edital]],INDEX(tItens[Produto],1):tItens[[#This Row],[Produto]],tItens[[#This Row],[Produto]])=1,1,0)</f>
        <v>0</v>
      </c>
    </row>
    <row r="8123" spans="1:16" x14ac:dyDescent="0.25">
      <c r="A8123" t="s">
        <v>2644</v>
      </c>
      <c r="B8123">
        <v>418</v>
      </c>
      <c r="C8123" t="s">
        <v>10616</v>
      </c>
      <c r="D8123" t="s">
        <v>267</v>
      </c>
      <c r="E8123" s="13">
        <v>7490</v>
      </c>
      <c r="F8123" s="12">
        <v>14.22</v>
      </c>
      <c r="G8123" t="str">
        <f>IFERROR(INDEX(tEditais[Órgão],MATCH(tItens[[#This Row],[Edital]],tEditais[Edital],0)),"")</f>
        <v>CONSORCIO INTEGRADO DE GESTAO PUBLICA DO ENTRE RIOS - CIGAMERIOS</v>
      </c>
      <c r="H8123" t="str">
        <f>IFERROR(INDEX(tEditais[UF],MATCH(tItens[[#This Row],[Edital]],tEditais[Edital],0)),"")</f>
        <v>SC</v>
      </c>
      <c r="I8123" s="11">
        <f>IFERROR(INDEX(tEditais[Encerramento],MATCH(tItens[[#This Row],[Edital]],tEditais[Edital],0)),"")</f>
        <v>46309.332638888889</v>
      </c>
      <c r="J8123" t="str">
        <f>IFERROR(INDEX(tProdutos[Classe],MATCH(tItens[[#This Row],[Produto]],tProdutos[Produto],0)),"produto não cadastrado")</f>
        <v>FORA</v>
      </c>
      <c r="K8123" s="12">
        <f>tItens[[#This Row],[Qtd]]*tItens[[#This Row],[Vlr unit]]</f>
        <v>106507.8</v>
      </c>
      <c r="L8123" s="6">
        <f>IFERROR(IF(INDEX(tProdutos[Desconto homologado],MATCH(tItens[[#This Row],[Produto]],tProdutos[Produto],0))="",DescontoPadrao,INDEX(tProdutos[Desconto homologado],MATCH(tItens[[#This Row],[Produto]],tProdutos[Produto],0))),DescontoPadrao)</f>
        <v>0.19963672657401599</v>
      </c>
      <c r="M8123" s="12">
        <f>tItens[[#This Row],[Valor]]*(1-tItens[[#This Row],[Desconto]])</f>
        <v>85244.931453400015</v>
      </c>
      <c r="N8123" t="str">
        <f>IFERROR(INDEX(tProdutos[Foco],MATCH(tItens[[#This Row],[Produto]],tProdutos[Produto],0)),"Não")</f>
        <v>Não</v>
      </c>
      <c r="O8123" t="str">
        <f>IFERROR(INDEX(tEditais[SRP],MATCH(tItens[[#This Row],[Edital]],tEditais[Edital],0)),"Não")</f>
        <v>Sim</v>
      </c>
      <c r="P8123" s="4">
        <f>IF(COUNTIFS(INDEX(tItens[Edital],1):tItens[[#This Row],[Edital]],tItens[[#This Row],[Edital]],INDEX(tItens[Produto],1):tItens[[#This Row],[Produto]],tItens[[#This Row],[Produto]])=1,1,0)</f>
        <v>0</v>
      </c>
    </row>
    <row r="8124" spans="1:16" x14ac:dyDescent="0.25">
      <c r="A8124" t="s">
        <v>2644</v>
      </c>
      <c r="B8124">
        <v>431</v>
      </c>
      <c r="C8124" t="s">
        <v>10617</v>
      </c>
      <c r="D8124" t="s">
        <v>251</v>
      </c>
      <c r="E8124" s="13">
        <v>3815</v>
      </c>
      <c r="F8124" s="12">
        <v>3.74</v>
      </c>
      <c r="G8124" t="str">
        <f>IFERROR(INDEX(tEditais[Órgão],MATCH(tItens[[#This Row],[Edital]],tEditais[Edital],0)),"")</f>
        <v>CONSORCIO INTEGRADO DE GESTAO PUBLICA DO ENTRE RIOS - CIGAMERIOS</v>
      </c>
      <c r="H8124" t="str">
        <f>IFERROR(INDEX(tEditais[UF],MATCH(tItens[[#This Row],[Edital]],tEditais[Edital],0)),"")</f>
        <v>SC</v>
      </c>
      <c r="I8124" s="11">
        <f>IFERROR(INDEX(tEditais[Encerramento],MATCH(tItens[[#This Row],[Edital]],tEditais[Edital],0)),"")</f>
        <v>46309.332638888889</v>
      </c>
      <c r="J8124" t="str">
        <f>IFERROR(INDEX(tProdutos[Classe],MATCH(tItens[[#This Row],[Produto]],tProdutos[Produto],0)),"produto não cadastrado")</f>
        <v>FORA</v>
      </c>
      <c r="K8124" s="12">
        <f>tItens[[#This Row],[Qtd]]*tItens[[#This Row],[Vlr unit]]</f>
        <v>14268.1</v>
      </c>
      <c r="L8124" s="6">
        <f>IFERROR(IF(INDEX(tProdutos[Desconto homologado],MATCH(tItens[[#This Row],[Produto]],tProdutos[Produto],0))="",DescontoPadrao,INDEX(tProdutos[Desconto homologado],MATCH(tItens[[#This Row],[Produto]],tProdutos[Produto],0))),DescontoPadrao)</f>
        <v>0.36759020274436599</v>
      </c>
      <c r="M8124" s="12">
        <f>tItens[[#This Row],[Valor]]*(1-tItens[[#This Row],[Desconto]])</f>
        <v>9023.2862282231108</v>
      </c>
      <c r="N8124" t="str">
        <f>IFERROR(INDEX(tProdutos[Foco],MATCH(tItens[[#This Row],[Produto]],tProdutos[Produto],0)),"Não")</f>
        <v>Não</v>
      </c>
      <c r="O8124" t="str">
        <f>IFERROR(INDEX(tEditais[SRP],MATCH(tItens[[#This Row],[Edital]],tEditais[Edital],0)),"Não")</f>
        <v>Sim</v>
      </c>
      <c r="P8124" s="4">
        <f>IF(COUNTIFS(INDEX(tItens[Edital],1):tItens[[#This Row],[Edital]],tItens[[#This Row],[Edital]],INDEX(tItens[Produto],1):tItens[[#This Row],[Produto]],tItens[[#This Row],[Produto]])=1,1,0)</f>
        <v>1</v>
      </c>
    </row>
    <row r="8125" spans="1:16" x14ac:dyDescent="0.25">
      <c r="A8125" t="s">
        <v>2644</v>
      </c>
      <c r="B8125">
        <v>432</v>
      </c>
      <c r="C8125" t="s">
        <v>10618</v>
      </c>
      <c r="D8125" t="s">
        <v>251</v>
      </c>
      <c r="E8125" s="13">
        <v>6200</v>
      </c>
      <c r="F8125" s="12">
        <v>2.11</v>
      </c>
      <c r="G8125" t="str">
        <f>IFERROR(INDEX(tEditais[Órgão],MATCH(tItens[[#This Row],[Edital]],tEditais[Edital],0)),"")</f>
        <v>CONSORCIO INTEGRADO DE GESTAO PUBLICA DO ENTRE RIOS - CIGAMERIOS</v>
      </c>
      <c r="H8125" t="str">
        <f>IFERROR(INDEX(tEditais[UF],MATCH(tItens[[#This Row],[Edital]],tEditais[Edital],0)),"")</f>
        <v>SC</v>
      </c>
      <c r="I8125" s="11">
        <f>IFERROR(INDEX(tEditais[Encerramento],MATCH(tItens[[#This Row],[Edital]],tEditais[Edital],0)),"")</f>
        <v>46309.332638888889</v>
      </c>
      <c r="J8125" t="str">
        <f>IFERROR(INDEX(tProdutos[Classe],MATCH(tItens[[#This Row],[Produto]],tProdutos[Produto],0)),"produto não cadastrado")</f>
        <v>FORA</v>
      </c>
      <c r="K8125" s="12">
        <f>tItens[[#This Row],[Qtd]]*tItens[[#This Row],[Vlr unit]]</f>
        <v>13082</v>
      </c>
      <c r="L8125" s="6">
        <f>IFERROR(IF(INDEX(tProdutos[Desconto homologado],MATCH(tItens[[#This Row],[Produto]],tProdutos[Produto],0))="",DescontoPadrao,INDEX(tProdutos[Desconto homologado],MATCH(tItens[[#This Row],[Produto]],tProdutos[Produto],0))),DescontoPadrao)</f>
        <v>0.36759020274436599</v>
      </c>
      <c r="M8125" s="12">
        <f>tItens[[#This Row],[Valor]]*(1-tItens[[#This Row],[Desconto]])</f>
        <v>8273.1849676982038</v>
      </c>
      <c r="N8125" t="str">
        <f>IFERROR(INDEX(tProdutos[Foco],MATCH(tItens[[#This Row],[Produto]],tProdutos[Produto],0)),"Não")</f>
        <v>Não</v>
      </c>
      <c r="O8125" t="str">
        <f>IFERROR(INDEX(tEditais[SRP],MATCH(tItens[[#This Row],[Edital]],tEditais[Edital],0)),"Não")</f>
        <v>Sim</v>
      </c>
      <c r="P8125" s="4">
        <f>IF(COUNTIFS(INDEX(tItens[Edital],1):tItens[[#This Row],[Edital]],tItens[[#This Row],[Edital]],INDEX(tItens[Produto],1):tItens[[#This Row],[Produto]],tItens[[#This Row],[Produto]])=1,1,0)</f>
        <v>0</v>
      </c>
    </row>
    <row r="8126" spans="1:16" x14ac:dyDescent="0.25">
      <c r="A8126" t="s">
        <v>2644</v>
      </c>
      <c r="B8126">
        <v>433</v>
      </c>
      <c r="C8126" t="s">
        <v>10619</v>
      </c>
      <c r="D8126" t="s">
        <v>251</v>
      </c>
      <c r="E8126" s="13">
        <v>9250</v>
      </c>
      <c r="F8126" s="12">
        <v>2.82</v>
      </c>
      <c r="G8126" t="str">
        <f>IFERROR(INDEX(tEditais[Órgão],MATCH(tItens[[#This Row],[Edital]],tEditais[Edital],0)),"")</f>
        <v>CONSORCIO INTEGRADO DE GESTAO PUBLICA DO ENTRE RIOS - CIGAMERIOS</v>
      </c>
      <c r="H8126" t="str">
        <f>IFERROR(INDEX(tEditais[UF],MATCH(tItens[[#This Row],[Edital]],tEditais[Edital],0)),"")</f>
        <v>SC</v>
      </c>
      <c r="I8126" s="11">
        <f>IFERROR(INDEX(tEditais[Encerramento],MATCH(tItens[[#This Row],[Edital]],tEditais[Edital],0)),"")</f>
        <v>46309.332638888889</v>
      </c>
      <c r="J8126" t="str">
        <f>IFERROR(INDEX(tProdutos[Classe],MATCH(tItens[[#This Row],[Produto]],tProdutos[Produto],0)),"produto não cadastrado")</f>
        <v>FORA</v>
      </c>
      <c r="K8126" s="12">
        <f>tItens[[#This Row],[Qtd]]*tItens[[#This Row],[Vlr unit]]</f>
        <v>26085</v>
      </c>
      <c r="L8126" s="6">
        <f>IFERROR(IF(INDEX(tProdutos[Desconto homologado],MATCH(tItens[[#This Row],[Produto]],tProdutos[Produto],0))="",DescontoPadrao,INDEX(tProdutos[Desconto homologado],MATCH(tItens[[#This Row],[Produto]],tProdutos[Produto],0))),DescontoPadrao)</f>
        <v>0.36759020274436599</v>
      </c>
      <c r="M8126" s="12">
        <f>tItens[[#This Row],[Valor]]*(1-tItens[[#This Row],[Desconto]])</f>
        <v>16496.409561413213</v>
      </c>
      <c r="N8126" t="str">
        <f>IFERROR(INDEX(tProdutos[Foco],MATCH(tItens[[#This Row],[Produto]],tProdutos[Produto],0)),"Não")</f>
        <v>Não</v>
      </c>
      <c r="O8126" t="str">
        <f>IFERROR(INDEX(tEditais[SRP],MATCH(tItens[[#This Row],[Edital]],tEditais[Edital],0)),"Não")</f>
        <v>Sim</v>
      </c>
      <c r="P8126" s="4">
        <f>IF(COUNTIFS(INDEX(tItens[Edital],1):tItens[[#This Row],[Edital]],tItens[[#This Row],[Edital]],INDEX(tItens[Produto],1):tItens[[#This Row],[Produto]],tItens[[#This Row],[Produto]])=1,1,0)</f>
        <v>0</v>
      </c>
    </row>
    <row r="8127" spans="1:16" x14ac:dyDescent="0.25">
      <c r="A8127" t="s">
        <v>2644</v>
      </c>
      <c r="B8127">
        <v>434</v>
      </c>
      <c r="C8127" t="s">
        <v>10620</v>
      </c>
      <c r="D8127" t="s">
        <v>251</v>
      </c>
      <c r="E8127" s="13">
        <v>9630</v>
      </c>
      <c r="F8127" s="12">
        <v>1.66</v>
      </c>
      <c r="G8127" t="str">
        <f>IFERROR(INDEX(tEditais[Órgão],MATCH(tItens[[#This Row],[Edital]],tEditais[Edital],0)),"")</f>
        <v>CONSORCIO INTEGRADO DE GESTAO PUBLICA DO ENTRE RIOS - CIGAMERIOS</v>
      </c>
      <c r="H8127" t="str">
        <f>IFERROR(INDEX(tEditais[UF],MATCH(tItens[[#This Row],[Edital]],tEditais[Edital],0)),"")</f>
        <v>SC</v>
      </c>
      <c r="I8127" s="11">
        <f>IFERROR(INDEX(tEditais[Encerramento],MATCH(tItens[[#This Row],[Edital]],tEditais[Edital],0)),"")</f>
        <v>46309.332638888889</v>
      </c>
      <c r="J8127" t="str">
        <f>IFERROR(INDEX(tProdutos[Classe],MATCH(tItens[[#This Row],[Produto]],tProdutos[Produto],0)),"produto não cadastrado")</f>
        <v>FORA</v>
      </c>
      <c r="K8127" s="12">
        <f>tItens[[#This Row],[Qtd]]*tItens[[#This Row],[Vlr unit]]</f>
        <v>15985.8</v>
      </c>
      <c r="L8127" s="6">
        <f>IFERROR(IF(INDEX(tProdutos[Desconto homologado],MATCH(tItens[[#This Row],[Produto]],tProdutos[Produto],0))="",DescontoPadrao,INDEX(tProdutos[Desconto homologado],MATCH(tItens[[#This Row],[Produto]],tProdutos[Produto],0))),DescontoPadrao)</f>
        <v>0.36759020274436599</v>
      </c>
      <c r="M8127" s="12">
        <f>tItens[[#This Row],[Valor]]*(1-tItens[[#This Row],[Desconto]])</f>
        <v>10109.576536969113</v>
      </c>
      <c r="N8127" t="str">
        <f>IFERROR(INDEX(tProdutos[Foco],MATCH(tItens[[#This Row],[Produto]],tProdutos[Produto],0)),"Não")</f>
        <v>Não</v>
      </c>
      <c r="O8127" t="str">
        <f>IFERROR(INDEX(tEditais[SRP],MATCH(tItens[[#This Row],[Edital]],tEditais[Edital],0)),"Não")</f>
        <v>Sim</v>
      </c>
      <c r="P8127" s="4">
        <f>IF(COUNTIFS(INDEX(tItens[Edital],1):tItens[[#This Row],[Edital]],tItens[[#This Row],[Edital]],INDEX(tItens[Produto],1):tItens[[#This Row],[Produto]],tItens[[#This Row],[Produto]])=1,1,0)</f>
        <v>0</v>
      </c>
    </row>
    <row r="8128" spans="1:16" x14ac:dyDescent="0.25">
      <c r="A8128" t="s">
        <v>2644</v>
      </c>
      <c r="B8128">
        <v>435</v>
      </c>
      <c r="C8128" t="s">
        <v>10621</v>
      </c>
      <c r="D8128" t="s">
        <v>251</v>
      </c>
      <c r="E8128" s="13">
        <v>5400</v>
      </c>
      <c r="F8128" s="12">
        <v>1.83</v>
      </c>
      <c r="G8128" t="str">
        <f>IFERROR(INDEX(tEditais[Órgão],MATCH(tItens[[#This Row],[Edital]],tEditais[Edital],0)),"")</f>
        <v>CONSORCIO INTEGRADO DE GESTAO PUBLICA DO ENTRE RIOS - CIGAMERIOS</v>
      </c>
      <c r="H8128" t="str">
        <f>IFERROR(INDEX(tEditais[UF],MATCH(tItens[[#This Row],[Edital]],tEditais[Edital],0)),"")</f>
        <v>SC</v>
      </c>
      <c r="I8128" s="11">
        <f>IFERROR(INDEX(tEditais[Encerramento],MATCH(tItens[[#This Row],[Edital]],tEditais[Edital],0)),"")</f>
        <v>46309.332638888889</v>
      </c>
      <c r="J8128" t="str">
        <f>IFERROR(INDEX(tProdutos[Classe],MATCH(tItens[[#This Row],[Produto]],tProdutos[Produto],0)),"produto não cadastrado")</f>
        <v>FORA</v>
      </c>
      <c r="K8128" s="12">
        <f>tItens[[#This Row],[Qtd]]*tItens[[#This Row],[Vlr unit]]</f>
        <v>9882</v>
      </c>
      <c r="L8128" s="6">
        <f>IFERROR(IF(INDEX(tProdutos[Desconto homologado],MATCH(tItens[[#This Row],[Produto]],tProdutos[Produto],0))="",DescontoPadrao,INDEX(tProdutos[Desconto homologado],MATCH(tItens[[#This Row],[Produto]],tProdutos[Produto],0))),DescontoPadrao)</f>
        <v>0.36759020274436599</v>
      </c>
      <c r="M8128" s="12">
        <f>tItens[[#This Row],[Valor]]*(1-tItens[[#This Row],[Desconto]])</f>
        <v>6249.4736164801743</v>
      </c>
      <c r="N8128" t="str">
        <f>IFERROR(INDEX(tProdutos[Foco],MATCH(tItens[[#This Row],[Produto]],tProdutos[Produto],0)),"Não")</f>
        <v>Não</v>
      </c>
      <c r="O8128" t="str">
        <f>IFERROR(INDEX(tEditais[SRP],MATCH(tItens[[#This Row],[Edital]],tEditais[Edital],0)),"Não")</f>
        <v>Sim</v>
      </c>
      <c r="P8128" s="4">
        <f>IF(COUNTIFS(INDEX(tItens[Edital],1):tItens[[#This Row],[Edital]],tItens[[#This Row],[Edital]],INDEX(tItens[Produto],1):tItens[[#This Row],[Produto]],tItens[[#This Row],[Produto]])=1,1,0)</f>
        <v>0</v>
      </c>
    </row>
    <row r="8129" spans="1:16" x14ac:dyDescent="0.25">
      <c r="A8129" t="s">
        <v>2644</v>
      </c>
      <c r="B8129">
        <v>436</v>
      </c>
      <c r="C8129" t="s">
        <v>10622</v>
      </c>
      <c r="D8129" t="s">
        <v>251</v>
      </c>
      <c r="E8129" s="13">
        <v>4720</v>
      </c>
      <c r="F8129" s="12">
        <v>1.59</v>
      </c>
      <c r="G8129" t="str">
        <f>IFERROR(INDEX(tEditais[Órgão],MATCH(tItens[[#This Row],[Edital]],tEditais[Edital],0)),"")</f>
        <v>CONSORCIO INTEGRADO DE GESTAO PUBLICA DO ENTRE RIOS - CIGAMERIOS</v>
      </c>
      <c r="H8129" t="str">
        <f>IFERROR(INDEX(tEditais[UF],MATCH(tItens[[#This Row],[Edital]],tEditais[Edital],0)),"")</f>
        <v>SC</v>
      </c>
      <c r="I8129" s="11">
        <f>IFERROR(INDEX(tEditais[Encerramento],MATCH(tItens[[#This Row],[Edital]],tEditais[Edital],0)),"")</f>
        <v>46309.332638888889</v>
      </c>
      <c r="J8129" t="str">
        <f>IFERROR(INDEX(tProdutos[Classe],MATCH(tItens[[#This Row],[Produto]],tProdutos[Produto],0)),"produto não cadastrado")</f>
        <v>FORA</v>
      </c>
      <c r="K8129" s="12">
        <f>tItens[[#This Row],[Qtd]]*tItens[[#This Row],[Vlr unit]]</f>
        <v>7504.8</v>
      </c>
      <c r="L8129" s="6">
        <f>IFERROR(IF(INDEX(tProdutos[Desconto homologado],MATCH(tItens[[#This Row],[Produto]],tProdutos[Produto],0))="",DescontoPadrao,INDEX(tProdutos[Desconto homologado],MATCH(tItens[[#This Row],[Produto]],tProdutos[Produto],0))),DescontoPadrao)</f>
        <v>0.36759020274436599</v>
      </c>
      <c r="M8129" s="12">
        <f>tItens[[#This Row],[Valor]]*(1-tItens[[#This Row],[Desconto]])</f>
        <v>4746.1090464440822</v>
      </c>
      <c r="N8129" t="str">
        <f>IFERROR(INDEX(tProdutos[Foco],MATCH(tItens[[#This Row],[Produto]],tProdutos[Produto],0)),"Não")</f>
        <v>Não</v>
      </c>
      <c r="O8129" t="str">
        <f>IFERROR(INDEX(tEditais[SRP],MATCH(tItens[[#This Row],[Edital]],tEditais[Edital],0)),"Não")</f>
        <v>Sim</v>
      </c>
      <c r="P8129" s="4">
        <f>IF(COUNTIFS(INDEX(tItens[Edital],1):tItens[[#This Row],[Edital]],tItens[[#This Row],[Edital]],INDEX(tItens[Produto],1):tItens[[#This Row],[Produto]],tItens[[#This Row],[Produto]])=1,1,0)</f>
        <v>0</v>
      </c>
    </row>
    <row r="8130" spans="1:16" x14ac:dyDescent="0.25">
      <c r="A8130" t="s">
        <v>2644</v>
      </c>
      <c r="B8130">
        <v>445</v>
      </c>
      <c r="C8130" t="s">
        <v>10623</v>
      </c>
      <c r="D8130" t="s">
        <v>385</v>
      </c>
      <c r="E8130" s="13">
        <v>8120</v>
      </c>
      <c r="F8130" s="12">
        <v>6.18</v>
      </c>
      <c r="G8130" t="str">
        <f>IFERROR(INDEX(tEditais[Órgão],MATCH(tItens[[#This Row],[Edital]],tEditais[Edital],0)),"")</f>
        <v>CONSORCIO INTEGRADO DE GESTAO PUBLICA DO ENTRE RIOS - CIGAMERIOS</v>
      </c>
      <c r="H8130" t="str">
        <f>IFERROR(INDEX(tEditais[UF],MATCH(tItens[[#This Row],[Edital]],tEditais[Edital],0)),"")</f>
        <v>SC</v>
      </c>
      <c r="I8130" s="11">
        <f>IFERROR(INDEX(tEditais[Encerramento],MATCH(tItens[[#This Row],[Edital]],tEditais[Edital],0)),"")</f>
        <v>46309.332638888889</v>
      </c>
      <c r="J8130" t="str">
        <f>IFERROR(INDEX(tProdutos[Classe],MATCH(tItens[[#This Row],[Produto]],tProdutos[Produto],0)),"produto não cadastrado")</f>
        <v>FORA</v>
      </c>
      <c r="K8130" s="12">
        <f>tItens[[#This Row],[Qtd]]*tItens[[#This Row],[Vlr unit]]</f>
        <v>50181.599999999999</v>
      </c>
      <c r="L8130" s="6">
        <f>IFERROR(IF(INDEX(tProdutos[Desconto homologado],MATCH(tItens[[#This Row],[Produto]],tProdutos[Produto],0))="",DescontoPadrao,INDEX(tProdutos[Desconto homologado],MATCH(tItens[[#This Row],[Produto]],tProdutos[Produto],0))),DescontoPadrao)</f>
        <v>0.46969696969697</v>
      </c>
      <c r="M8130" s="12">
        <f>tItens[[#This Row],[Valor]]*(1-tItens[[#This Row],[Desconto]])</f>
        <v>26611.454545454533</v>
      </c>
      <c r="N8130" t="str">
        <f>IFERROR(INDEX(tProdutos[Foco],MATCH(tItens[[#This Row],[Produto]],tProdutos[Produto],0)),"Não")</f>
        <v>Não</v>
      </c>
      <c r="O8130" t="str">
        <f>IFERROR(INDEX(tEditais[SRP],MATCH(tItens[[#This Row],[Edital]],tEditais[Edital],0)),"Não")</f>
        <v>Sim</v>
      </c>
      <c r="P8130" s="4">
        <f>IF(COUNTIFS(INDEX(tItens[Edital],1):tItens[[#This Row],[Edital]],tItens[[#This Row],[Edital]],INDEX(tItens[Produto],1):tItens[[#This Row],[Produto]],tItens[[#This Row],[Produto]])=1,1,0)</f>
        <v>1</v>
      </c>
    </row>
    <row r="8131" spans="1:16" x14ac:dyDescent="0.25">
      <c r="A8131" t="s">
        <v>2644</v>
      </c>
      <c r="B8131">
        <v>447</v>
      </c>
      <c r="C8131" t="s">
        <v>10624</v>
      </c>
      <c r="D8131" t="s">
        <v>257</v>
      </c>
      <c r="E8131" s="13">
        <v>1530</v>
      </c>
      <c r="F8131" s="12">
        <v>7.5</v>
      </c>
      <c r="G8131" t="str">
        <f>IFERROR(INDEX(tEditais[Órgão],MATCH(tItens[[#This Row],[Edital]],tEditais[Edital],0)),"")</f>
        <v>CONSORCIO INTEGRADO DE GESTAO PUBLICA DO ENTRE RIOS - CIGAMERIOS</v>
      </c>
      <c r="H8131" t="str">
        <f>IFERROR(INDEX(tEditais[UF],MATCH(tItens[[#This Row],[Edital]],tEditais[Edital],0)),"")</f>
        <v>SC</v>
      </c>
      <c r="I8131" s="11">
        <f>IFERROR(INDEX(tEditais[Encerramento],MATCH(tItens[[#This Row],[Edital]],tEditais[Edital],0)),"")</f>
        <v>46309.332638888889</v>
      </c>
      <c r="J8131" t="str">
        <f>IFERROR(INDEX(tProdutos[Classe],MATCH(tItens[[#This Row],[Produto]],tProdutos[Produto],0)),"produto não cadastrado")</f>
        <v>FORA</v>
      </c>
      <c r="K8131" s="12">
        <f>tItens[[#This Row],[Qtd]]*tItens[[#This Row],[Vlr unit]]</f>
        <v>11475</v>
      </c>
      <c r="L8131" s="6">
        <f>IFERROR(IF(INDEX(tProdutos[Desconto homologado],MATCH(tItens[[#This Row],[Produto]],tProdutos[Produto],0))="",DescontoPadrao,INDEX(tProdutos[Desconto homologado],MATCH(tItens[[#This Row],[Produto]],tProdutos[Produto],0))),DescontoPadrao)</f>
        <v>0.500812004991805</v>
      </c>
      <c r="M8131" s="12">
        <f>tItens[[#This Row],[Valor]]*(1-tItens[[#This Row],[Desconto]])</f>
        <v>5728.1822427190373</v>
      </c>
      <c r="N8131" t="str">
        <f>IFERROR(INDEX(tProdutos[Foco],MATCH(tItens[[#This Row],[Produto]],tProdutos[Produto],0)),"Não")</f>
        <v>Não</v>
      </c>
      <c r="O8131" t="str">
        <f>IFERROR(INDEX(tEditais[SRP],MATCH(tItens[[#This Row],[Edital]],tEditais[Edital],0)),"Não")</f>
        <v>Sim</v>
      </c>
      <c r="P8131" s="4">
        <f>IF(COUNTIFS(INDEX(tItens[Edital],1):tItens[[#This Row],[Edital]],tItens[[#This Row],[Edital]],INDEX(tItens[Produto],1):tItens[[#This Row],[Produto]],tItens[[#This Row],[Produto]])=1,1,0)</f>
        <v>1</v>
      </c>
    </row>
    <row r="8132" spans="1:16" x14ac:dyDescent="0.25">
      <c r="A8132" t="s">
        <v>2644</v>
      </c>
      <c r="B8132">
        <v>448</v>
      </c>
      <c r="C8132" t="s">
        <v>10625</v>
      </c>
      <c r="D8132" t="s">
        <v>257</v>
      </c>
      <c r="E8132" s="13">
        <v>625</v>
      </c>
      <c r="F8132" s="12">
        <v>13.35</v>
      </c>
      <c r="G8132" t="str">
        <f>IFERROR(INDEX(tEditais[Órgão],MATCH(tItens[[#This Row],[Edital]],tEditais[Edital],0)),"")</f>
        <v>CONSORCIO INTEGRADO DE GESTAO PUBLICA DO ENTRE RIOS - CIGAMERIOS</v>
      </c>
      <c r="H8132" t="str">
        <f>IFERROR(INDEX(tEditais[UF],MATCH(tItens[[#This Row],[Edital]],tEditais[Edital],0)),"")</f>
        <v>SC</v>
      </c>
      <c r="I8132" s="11">
        <f>IFERROR(INDEX(tEditais[Encerramento],MATCH(tItens[[#This Row],[Edital]],tEditais[Edital],0)),"")</f>
        <v>46309.332638888889</v>
      </c>
      <c r="J8132" t="str">
        <f>IFERROR(INDEX(tProdutos[Classe],MATCH(tItens[[#This Row],[Produto]],tProdutos[Produto],0)),"produto não cadastrado")</f>
        <v>FORA</v>
      </c>
      <c r="K8132" s="12">
        <f>tItens[[#This Row],[Qtd]]*tItens[[#This Row],[Vlr unit]]</f>
        <v>8343.75</v>
      </c>
      <c r="L8132" s="6">
        <f>IFERROR(IF(INDEX(tProdutos[Desconto homologado],MATCH(tItens[[#This Row],[Produto]],tProdutos[Produto],0))="",DescontoPadrao,INDEX(tProdutos[Desconto homologado],MATCH(tItens[[#This Row],[Produto]],tProdutos[Produto],0))),DescontoPadrao)</f>
        <v>0.500812004991805</v>
      </c>
      <c r="M8132" s="12">
        <f>tItens[[#This Row],[Valor]]*(1-tItens[[#This Row],[Desconto]])</f>
        <v>4165.0998333496273</v>
      </c>
      <c r="N8132" t="str">
        <f>IFERROR(INDEX(tProdutos[Foco],MATCH(tItens[[#This Row],[Produto]],tProdutos[Produto],0)),"Não")</f>
        <v>Não</v>
      </c>
      <c r="O8132" t="str">
        <f>IFERROR(INDEX(tEditais[SRP],MATCH(tItens[[#This Row],[Edital]],tEditais[Edital],0)),"Não")</f>
        <v>Sim</v>
      </c>
      <c r="P8132" s="4">
        <f>IF(COUNTIFS(INDEX(tItens[Edital],1):tItens[[#This Row],[Edital]],tItens[[#This Row],[Edital]],INDEX(tItens[Produto],1):tItens[[#This Row],[Produto]],tItens[[#This Row],[Produto]])=1,1,0)</f>
        <v>0</v>
      </c>
    </row>
    <row r="8133" spans="1:16" x14ac:dyDescent="0.25">
      <c r="A8133" t="s">
        <v>2644</v>
      </c>
      <c r="B8133">
        <v>449</v>
      </c>
      <c r="C8133" t="s">
        <v>10626</v>
      </c>
      <c r="D8133" t="s">
        <v>249</v>
      </c>
      <c r="E8133" s="13">
        <v>530</v>
      </c>
      <c r="F8133" s="12">
        <v>15.41</v>
      </c>
      <c r="G8133" t="str">
        <f>IFERROR(INDEX(tEditais[Órgão],MATCH(tItens[[#This Row],[Edital]],tEditais[Edital],0)),"")</f>
        <v>CONSORCIO INTEGRADO DE GESTAO PUBLICA DO ENTRE RIOS - CIGAMERIOS</v>
      </c>
      <c r="H8133" t="str">
        <f>IFERROR(INDEX(tEditais[UF],MATCH(tItens[[#This Row],[Edital]],tEditais[Edital],0)),"")</f>
        <v>SC</v>
      </c>
      <c r="I8133" s="11">
        <f>IFERROR(INDEX(tEditais[Encerramento],MATCH(tItens[[#This Row],[Edital]],tEditais[Edital],0)),"")</f>
        <v>46309.332638888889</v>
      </c>
      <c r="J8133" t="str">
        <f>IFERROR(INDEX(tProdutos[Classe],MATCH(tItens[[#This Row],[Produto]],tProdutos[Produto],0)),"produto não cadastrado")</f>
        <v>FORA</v>
      </c>
      <c r="K8133" s="12">
        <f>tItens[[#This Row],[Qtd]]*tItens[[#This Row],[Vlr unit]]</f>
        <v>8167.3</v>
      </c>
      <c r="L8133" s="6">
        <f>IFERROR(IF(INDEX(tProdutos[Desconto homologado],MATCH(tItens[[#This Row],[Produto]],tProdutos[Produto],0))="",DescontoPadrao,INDEX(tProdutos[Desconto homologado],MATCH(tItens[[#This Row],[Produto]],tProdutos[Produto],0))),DescontoPadrao)</f>
        <v>0.45399945399945402</v>
      </c>
      <c r="M8133" s="12">
        <f>tItens[[#This Row],[Valor]]*(1-tItens[[#This Row],[Desconto]])</f>
        <v>4459.350259350259</v>
      </c>
      <c r="N8133" t="str">
        <f>IFERROR(INDEX(tProdutos[Foco],MATCH(tItens[[#This Row],[Produto]],tProdutos[Produto],0)),"Não")</f>
        <v>Não</v>
      </c>
      <c r="O8133" t="str">
        <f>IFERROR(INDEX(tEditais[SRP],MATCH(tItens[[#This Row],[Edital]],tEditais[Edital],0)),"Não")</f>
        <v>Sim</v>
      </c>
      <c r="P8133" s="4">
        <f>IF(COUNTIFS(INDEX(tItens[Edital],1):tItens[[#This Row],[Edital]],tItens[[#This Row],[Edital]],INDEX(tItens[Produto],1):tItens[[#This Row],[Produto]],tItens[[#This Row],[Produto]])=1,1,0)</f>
        <v>1</v>
      </c>
    </row>
    <row r="8134" spans="1:16" x14ac:dyDescent="0.25">
      <c r="A8134" t="s">
        <v>2644</v>
      </c>
      <c r="B8134">
        <v>450</v>
      </c>
      <c r="C8134" t="s">
        <v>10627</v>
      </c>
      <c r="D8134" t="s">
        <v>170</v>
      </c>
      <c r="E8134" s="13">
        <v>95</v>
      </c>
      <c r="F8134" s="12">
        <v>24.22</v>
      </c>
      <c r="G8134" t="str">
        <f>IFERROR(INDEX(tEditais[Órgão],MATCH(tItens[[#This Row],[Edital]],tEditais[Edital],0)),"")</f>
        <v>CONSORCIO INTEGRADO DE GESTAO PUBLICA DO ENTRE RIOS - CIGAMERIOS</v>
      </c>
      <c r="H8134" t="str">
        <f>IFERROR(INDEX(tEditais[UF],MATCH(tItens[[#This Row],[Edital]],tEditais[Edital],0)),"")</f>
        <v>SC</v>
      </c>
      <c r="I8134" s="11">
        <f>IFERROR(INDEX(tEditais[Encerramento],MATCH(tItens[[#This Row],[Edital]],tEditais[Edital],0)),"")</f>
        <v>46309.332638888889</v>
      </c>
      <c r="J8134" t="str">
        <f>IFERROR(INDEX(tProdutos[Classe],MATCH(tItens[[#This Row],[Produto]],tProdutos[Produto],0)),"produto não cadastrado")</f>
        <v>DISPUTADO</v>
      </c>
      <c r="K8134" s="12">
        <f>tItens[[#This Row],[Qtd]]*tItens[[#This Row],[Vlr unit]]</f>
        <v>2300.9</v>
      </c>
      <c r="L8134" s="6">
        <f>IFERROR(IF(INDEX(tProdutos[Desconto homologado],MATCH(tItens[[#This Row],[Produto]],tProdutos[Produto],0))="",DescontoPadrao,INDEX(tProdutos[Desconto homologado],MATCH(tItens[[#This Row],[Produto]],tProdutos[Produto],0))),DescontoPadrao)</f>
        <v>0.36</v>
      </c>
      <c r="M8134" s="12">
        <f>tItens[[#This Row],[Valor]]*(1-tItens[[#This Row],[Desconto]])</f>
        <v>1472.576</v>
      </c>
      <c r="N8134" t="str">
        <f>IFERROR(INDEX(tProdutos[Foco],MATCH(tItens[[#This Row],[Produto]],tProdutos[Produto],0)),"Não")</f>
        <v>Sim</v>
      </c>
      <c r="O8134" t="str">
        <f>IFERROR(INDEX(tEditais[SRP],MATCH(tItens[[#This Row],[Edital]],tEditais[Edital],0)),"Não")</f>
        <v>Sim</v>
      </c>
      <c r="P8134" s="4">
        <f>IF(COUNTIFS(INDEX(tItens[Edital],1):tItens[[#This Row],[Edital]],tItens[[#This Row],[Edital]],INDEX(tItens[Produto],1):tItens[[#This Row],[Produto]],tItens[[#This Row],[Produto]])=1,1,0)</f>
        <v>1</v>
      </c>
    </row>
    <row r="8135" spans="1:16" x14ac:dyDescent="0.25">
      <c r="A8135" t="s">
        <v>2644</v>
      </c>
      <c r="B8135">
        <v>451</v>
      </c>
      <c r="C8135" t="s">
        <v>10628</v>
      </c>
      <c r="D8135" t="s">
        <v>170</v>
      </c>
      <c r="E8135" s="13">
        <v>92</v>
      </c>
      <c r="F8135" s="12">
        <v>21.45</v>
      </c>
      <c r="G8135" t="str">
        <f>IFERROR(INDEX(tEditais[Órgão],MATCH(tItens[[#This Row],[Edital]],tEditais[Edital],0)),"")</f>
        <v>CONSORCIO INTEGRADO DE GESTAO PUBLICA DO ENTRE RIOS - CIGAMERIOS</v>
      </c>
      <c r="H8135" t="str">
        <f>IFERROR(INDEX(tEditais[UF],MATCH(tItens[[#This Row],[Edital]],tEditais[Edital],0)),"")</f>
        <v>SC</v>
      </c>
      <c r="I8135" s="11">
        <f>IFERROR(INDEX(tEditais[Encerramento],MATCH(tItens[[#This Row],[Edital]],tEditais[Edital],0)),"")</f>
        <v>46309.332638888889</v>
      </c>
      <c r="J8135" t="str">
        <f>IFERROR(INDEX(tProdutos[Classe],MATCH(tItens[[#This Row],[Produto]],tProdutos[Produto],0)),"produto não cadastrado")</f>
        <v>DISPUTADO</v>
      </c>
      <c r="K8135" s="12">
        <f>tItens[[#This Row],[Qtd]]*tItens[[#This Row],[Vlr unit]]</f>
        <v>1973.3999999999999</v>
      </c>
      <c r="L8135" s="6">
        <f>IFERROR(IF(INDEX(tProdutos[Desconto homologado],MATCH(tItens[[#This Row],[Produto]],tProdutos[Produto],0))="",DescontoPadrao,INDEX(tProdutos[Desconto homologado],MATCH(tItens[[#This Row],[Produto]],tProdutos[Produto],0))),DescontoPadrao)</f>
        <v>0.36</v>
      </c>
      <c r="M8135" s="12">
        <f>tItens[[#This Row],[Valor]]*(1-tItens[[#This Row],[Desconto]])</f>
        <v>1262.9759999999999</v>
      </c>
      <c r="N8135" t="str">
        <f>IFERROR(INDEX(tProdutos[Foco],MATCH(tItens[[#This Row],[Produto]],tProdutos[Produto],0)),"Não")</f>
        <v>Sim</v>
      </c>
      <c r="O8135" t="str">
        <f>IFERROR(INDEX(tEditais[SRP],MATCH(tItens[[#This Row],[Edital]],tEditais[Edital],0)),"Não")</f>
        <v>Sim</v>
      </c>
      <c r="P8135" s="4">
        <f>IF(COUNTIFS(INDEX(tItens[Edital],1):tItens[[#This Row],[Edital]],tItens[[#This Row],[Edital]],INDEX(tItens[Produto],1):tItens[[#This Row],[Produto]],tItens[[#This Row],[Produto]])=1,1,0)</f>
        <v>0</v>
      </c>
    </row>
    <row r="8136" spans="1:16" x14ac:dyDescent="0.25">
      <c r="A8136" t="s">
        <v>2644</v>
      </c>
      <c r="B8136">
        <v>452</v>
      </c>
      <c r="C8136" t="s">
        <v>10629</v>
      </c>
      <c r="D8136" t="s">
        <v>170</v>
      </c>
      <c r="E8136" s="13">
        <v>97</v>
      </c>
      <c r="F8136" s="12">
        <v>38.56</v>
      </c>
      <c r="G8136" t="str">
        <f>IFERROR(INDEX(tEditais[Órgão],MATCH(tItens[[#This Row],[Edital]],tEditais[Edital],0)),"")</f>
        <v>CONSORCIO INTEGRADO DE GESTAO PUBLICA DO ENTRE RIOS - CIGAMERIOS</v>
      </c>
      <c r="H8136" t="str">
        <f>IFERROR(INDEX(tEditais[UF],MATCH(tItens[[#This Row],[Edital]],tEditais[Edital],0)),"")</f>
        <v>SC</v>
      </c>
      <c r="I8136" s="11">
        <f>IFERROR(INDEX(tEditais[Encerramento],MATCH(tItens[[#This Row],[Edital]],tEditais[Edital],0)),"")</f>
        <v>46309.332638888889</v>
      </c>
      <c r="J8136" t="str">
        <f>IFERROR(INDEX(tProdutos[Classe],MATCH(tItens[[#This Row],[Produto]],tProdutos[Produto],0)),"produto não cadastrado")</f>
        <v>DISPUTADO</v>
      </c>
      <c r="K8136" s="12">
        <f>tItens[[#This Row],[Qtd]]*tItens[[#This Row],[Vlr unit]]</f>
        <v>3740.32</v>
      </c>
      <c r="L8136" s="6">
        <f>IFERROR(IF(INDEX(tProdutos[Desconto homologado],MATCH(tItens[[#This Row],[Produto]],tProdutos[Produto],0))="",DescontoPadrao,INDEX(tProdutos[Desconto homologado],MATCH(tItens[[#This Row],[Produto]],tProdutos[Produto],0))),DescontoPadrao)</f>
        <v>0.36</v>
      </c>
      <c r="M8136" s="12">
        <f>tItens[[#This Row],[Valor]]*(1-tItens[[#This Row],[Desconto]])</f>
        <v>2393.8048000000003</v>
      </c>
      <c r="N8136" t="str">
        <f>IFERROR(INDEX(tProdutos[Foco],MATCH(tItens[[#This Row],[Produto]],tProdutos[Produto],0)),"Não")</f>
        <v>Sim</v>
      </c>
      <c r="O8136" t="str">
        <f>IFERROR(INDEX(tEditais[SRP],MATCH(tItens[[#This Row],[Edital]],tEditais[Edital],0)),"Não")</f>
        <v>Sim</v>
      </c>
      <c r="P8136" s="4">
        <f>IF(COUNTIFS(INDEX(tItens[Edital],1):tItens[[#This Row],[Edital]],tItens[[#This Row],[Edital]],INDEX(tItens[Produto],1):tItens[[#This Row],[Produto]],tItens[[#This Row],[Produto]])=1,1,0)</f>
        <v>0</v>
      </c>
    </row>
    <row r="8137" spans="1:16" x14ac:dyDescent="0.25">
      <c r="A8137" t="s">
        <v>2644</v>
      </c>
      <c r="B8137">
        <v>453</v>
      </c>
      <c r="C8137" t="s">
        <v>10630</v>
      </c>
      <c r="D8137" t="s">
        <v>170</v>
      </c>
      <c r="E8137" s="13">
        <v>97</v>
      </c>
      <c r="F8137" s="12">
        <v>23.91</v>
      </c>
      <c r="G8137" t="str">
        <f>IFERROR(INDEX(tEditais[Órgão],MATCH(tItens[[#This Row],[Edital]],tEditais[Edital],0)),"")</f>
        <v>CONSORCIO INTEGRADO DE GESTAO PUBLICA DO ENTRE RIOS - CIGAMERIOS</v>
      </c>
      <c r="H8137" t="str">
        <f>IFERROR(INDEX(tEditais[UF],MATCH(tItens[[#This Row],[Edital]],tEditais[Edital],0)),"")</f>
        <v>SC</v>
      </c>
      <c r="I8137" s="11">
        <f>IFERROR(INDEX(tEditais[Encerramento],MATCH(tItens[[#This Row],[Edital]],tEditais[Edital],0)),"")</f>
        <v>46309.332638888889</v>
      </c>
      <c r="J8137" t="str">
        <f>IFERROR(INDEX(tProdutos[Classe],MATCH(tItens[[#This Row],[Produto]],tProdutos[Produto],0)),"produto não cadastrado")</f>
        <v>DISPUTADO</v>
      </c>
      <c r="K8137" s="12">
        <f>tItens[[#This Row],[Qtd]]*tItens[[#This Row],[Vlr unit]]</f>
        <v>2319.27</v>
      </c>
      <c r="L8137" s="6">
        <f>IFERROR(IF(INDEX(tProdutos[Desconto homologado],MATCH(tItens[[#This Row],[Produto]],tProdutos[Produto],0))="",DescontoPadrao,INDEX(tProdutos[Desconto homologado],MATCH(tItens[[#This Row],[Produto]],tProdutos[Produto],0))),DescontoPadrao)</f>
        <v>0.36</v>
      </c>
      <c r="M8137" s="12">
        <f>tItens[[#This Row],[Valor]]*(1-tItens[[#This Row],[Desconto]])</f>
        <v>1484.3327999999999</v>
      </c>
      <c r="N8137" t="str">
        <f>IFERROR(INDEX(tProdutos[Foco],MATCH(tItens[[#This Row],[Produto]],tProdutos[Produto],0)),"Não")</f>
        <v>Sim</v>
      </c>
      <c r="O8137" t="str">
        <f>IFERROR(INDEX(tEditais[SRP],MATCH(tItens[[#This Row],[Edital]],tEditais[Edital],0)),"Não")</f>
        <v>Sim</v>
      </c>
      <c r="P8137" s="4">
        <f>IF(COUNTIFS(INDEX(tItens[Edital],1):tItens[[#This Row],[Edital]],tItens[[#This Row],[Edital]],INDEX(tItens[Produto],1):tItens[[#This Row],[Produto]],tItens[[#This Row],[Produto]])=1,1,0)</f>
        <v>0</v>
      </c>
    </row>
    <row r="8138" spans="1:16" x14ac:dyDescent="0.25">
      <c r="A8138" t="s">
        <v>2644</v>
      </c>
      <c r="B8138">
        <v>454</v>
      </c>
      <c r="C8138" t="s">
        <v>10631</v>
      </c>
      <c r="D8138" t="s">
        <v>170</v>
      </c>
      <c r="E8138" s="13">
        <v>102</v>
      </c>
      <c r="F8138" s="12">
        <v>22.62</v>
      </c>
      <c r="G8138" t="str">
        <f>IFERROR(INDEX(tEditais[Órgão],MATCH(tItens[[#This Row],[Edital]],tEditais[Edital],0)),"")</f>
        <v>CONSORCIO INTEGRADO DE GESTAO PUBLICA DO ENTRE RIOS - CIGAMERIOS</v>
      </c>
      <c r="H8138" t="str">
        <f>IFERROR(INDEX(tEditais[UF],MATCH(tItens[[#This Row],[Edital]],tEditais[Edital],0)),"")</f>
        <v>SC</v>
      </c>
      <c r="I8138" s="11">
        <f>IFERROR(INDEX(tEditais[Encerramento],MATCH(tItens[[#This Row],[Edital]],tEditais[Edital],0)),"")</f>
        <v>46309.332638888889</v>
      </c>
      <c r="J8138" t="str">
        <f>IFERROR(INDEX(tProdutos[Classe],MATCH(tItens[[#This Row],[Produto]],tProdutos[Produto],0)),"produto não cadastrado")</f>
        <v>DISPUTADO</v>
      </c>
      <c r="K8138" s="12">
        <f>tItens[[#This Row],[Qtd]]*tItens[[#This Row],[Vlr unit]]</f>
        <v>2307.2400000000002</v>
      </c>
      <c r="L8138" s="6">
        <f>IFERROR(IF(INDEX(tProdutos[Desconto homologado],MATCH(tItens[[#This Row],[Produto]],tProdutos[Produto],0))="",DescontoPadrao,INDEX(tProdutos[Desconto homologado],MATCH(tItens[[#This Row],[Produto]],tProdutos[Produto],0))),DescontoPadrao)</f>
        <v>0.36</v>
      </c>
      <c r="M8138" s="12">
        <f>tItens[[#This Row],[Valor]]*(1-tItens[[#This Row],[Desconto]])</f>
        <v>1476.6336000000001</v>
      </c>
      <c r="N8138" t="str">
        <f>IFERROR(INDEX(tProdutos[Foco],MATCH(tItens[[#This Row],[Produto]],tProdutos[Produto],0)),"Não")</f>
        <v>Sim</v>
      </c>
      <c r="O8138" t="str">
        <f>IFERROR(INDEX(tEditais[SRP],MATCH(tItens[[#This Row],[Edital]],tEditais[Edital],0)),"Não")</f>
        <v>Sim</v>
      </c>
      <c r="P8138" s="4">
        <f>IF(COUNTIFS(INDEX(tItens[Edital],1):tItens[[#This Row],[Edital]],tItens[[#This Row],[Edital]],INDEX(tItens[Produto],1):tItens[[#This Row],[Produto]],tItens[[#This Row],[Produto]])=1,1,0)</f>
        <v>0</v>
      </c>
    </row>
    <row r="8139" spans="1:16" x14ac:dyDescent="0.25">
      <c r="A8139" t="s">
        <v>2644</v>
      </c>
      <c r="B8139">
        <v>455</v>
      </c>
      <c r="C8139" t="s">
        <v>10632</v>
      </c>
      <c r="D8139" t="s">
        <v>170</v>
      </c>
      <c r="E8139" s="13">
        <v>102</v>
      </c>
      <c r="F8139" s="12">
        <v>39.29</v>
      </c>
      <c r="G8139" t="str">
        <f>IFERROR(INDEX(tEditais[Órgão],MATCH(tItens[[#This Row],[Edital]],tEditais[Edital],0)),"")</f>
        <v>CONSORCIO INTEGRADO DE GESTAO PUBLICA DO ENTRE RIOS - CIGAMERIOS</v>
      </c>
      <c r="H8139" t="str">
        <f>IFERROR(INDEX(tEditais[UF],MATCH(tItens[[#This Row],[Edital]],tEditais[Edital],0)),"")</f>
        <v>SC</v>
      </c>
      <c r="I8139" s="11">
        <f>IFERROR(INDEX(tEditais[Encerramento],MATCH(tItens[[#This Row],[Edital]],tEditais[Edital],0)),"")</f>
        <v>46309.332638888889</v>
      </c>
      <c r="J8139" t="str">
        <f>IFERROR(INDEX(tProdutos[Classe],MATCH(tItens[[#This Row],[Produto]],tProdutos[Produto],0)),"produto não cadastrado")</f>
        <v>DISPUTADO</v>
      </c>
      <c r="K8139" s="12">
        <f>tItens[[#This Row],[Qtd]]*tItens[[#This Row],[Vlr unit]]</f>
        <v>4007.58</v>
      </c>
      <c r="L8139" s="6">
        <f>IFERROR(IF(INDEX(tProdutos[Desconto homologado],MATCH(tItens[[#This Row],[Produto]],tProdutos[Produto],0))="",DescontoPadrao,INDEX(tProdutos[Desconto homologado],MATCH(tItens[[#This Row],[Produto]],tProdutos[Produto],0))),DescontoPadrao)</f>
        <v>0.36</v>
      </c>
      <c r="M8139" s="12">
        <f>tItens[[#This Row],[Valor]]*(1-tItens[[#This Row],[Desconto]])</f>
        <v>2564.8512000000001</v>
      </c>
      <c r="N8139" t="str">
        <f>IFERROR(INDEX(tProdutos[Foco],MATCH(tItens[[#This Row],[Produto]],tProdutos[Produto],0)),"Não")</f>
        <v>Sim</v>
      </c>
      <c r="O8139" t="str">
        <f>IFERROR(INDEX(tEditais[SRP],MATCH(tItens[[#This Row],[Edital]],tEditais[Edital],0)),"Não")</f>
        <v>Sim</v>
      </c>
      <c r="P8139" s="4">
        <f>IF(COUNTIFS(INDEX(tItens[Edital],1):tItens[[#This Row],[Edital]],tItens[[#This Row],[Edital]],INDEX(tItens[Produto],1):tItens[[#This Row],[Produto]],tItens[[#This Row],[Produto]])=1,1,0)</f>
        <v>0</v>
      </c>
    </row>
    <row r="8140" spans="1:16" x14ac:dyDescent="0.25">
      <c r="A8140" t="s">
        <v>2644</v>
      </c>
      <c r="B8140">
        <v>456</v>
      </c>
      <c r="C8140" t="s">
        <v>10633</v>
      </c>
      <c r="D8140" t="s">
        <v>170</v>
      </c>
      <c r="E8140" s="13">
        <v>102</v>
      </c>
      <c r="F8140" s="12">
        <v>18.54</v>
      </c>
      <c r="G8140" t="str">
        <f>IFERROR(INDEX(tEditais[Órgão],MATCH(tItens[[#This Row],[Edital]],tEditais[Edital],0)),"")</f>
        <v>CONSORCIO INTEGRADO DE GESTAO PUBLICA DO ENTRE RIOS - CIGAMERIOS</v>
      </c>
      <c r="H8140" t="str">
        <f>IFERROR(INDEX(tEditais[UF],MATCH(tItens[[#This Row],[Edital]],tEditais[Edital],0)),"")</f>
        <v>SC</v>
      </c>
      <c r="I8140" s="11">
        <f>IFERROR(INDEX(tEditais[Encerramento],MATCH(tItens[[#This Row],[Edital]],tEditais[Edital],0)),"")</f>
        <v>46309.332638888889</v>
      </c>
      <c r="J8140" t="str">
        <f>IFERROR(INDEX(tProdutos[Classe],MATCH(tItens[[#This Row],[Produto]],tProdutos[Produto],0)),"produto não cadastrado")</f>
        <v>DISPUTADO</v>
      </c>
      <c r="K8140" s="12">
        <f>tItens[[#This Row],[Qtd]]*tItens[[#This Row],[Vlr unit]]</f>
        <v>1891.08</v>
      </c>
      <c r="L8140" s="6">
        <f>IFERROR(IF(INDEX(tProdutos[Desconto homologado],MATCH(tItens[[#This Row],[Produto]],tProdutos[Produto],0))="",DescontoPadrao,INDEX(tProdutos[Desconto homologado],MATCH(tItens[[#This Row],[Produto]],tProdutos[Produto],0))),DescontoPadrao)</f>
        <v>0.36</v>
      </c>
      <c r="M8140" s="12">
        <f>tItens[[#This Row],[Valor]]*(1-tItens[[#This Row],[Desconto]])</f>
        <v>1210.2911999999999</v>
      </c>
      <c r="N8140" t="str">
        <f>IFERROR(INDEX(tProdutos[Foco],MATCH(tItens[[#This Row],[Produto]],tProdutos[Produto],0)),"Não")</f>
        <v>Sim</v>
      </c>
      <c r="O8140" t="str">
        <f>IFERROR(INDEX(tEditais[SRP],MATCH(tItens[[#This Row],[Edital]],tEditais[Edital],0)),"Não")</f>
        <v>Sim</v>
      </c>
      <c r="P8140" s="4">
        <f>IF(COUNTIFS(INDEX(tItens[Edital],1):tItens[[#This Row],[Edital]],tItens[[#This Row],[Edital]],INDEX(tItens[Produto],1):tItens[[#This Row],[Produto]],tItens[[#This Row],[Produto]])=1,1,0)</f>
        <v>0</v>
      </c>
    </row>
    <row r="8141" spans="1:16" x14ac:dyDescent="0.25">
      <c r="A8141" t="s">
        <v>2644</v>
      </c>
      <c r="B8141">
        <v>457</v>
      </c>
      <c r="C8141" t="s">
        <v>10634</v>
      </c>
      <c r="D8141" t="s">
        <v>257</v>
      </c>
      <c r="E8141" s="13">
        <v>1013</v>
      </c>
      <c r="F8141" s="12">
        <v>8.89</v>
      </c>
      <c r="G8141" t="str">
        <f>IFERROR(INDEX(tEditais[Órgão],MATCH(tItens[[#This Row],[Edital]],tEditais[Edital],0)),"")</f>
        <v>CONSORCIO INTEGRADO DE GESTAO PUBLICA DO ENTRE RIOS - CIGAMERIOS</v>
      </c>
      <c r="H8141" t="str">
        <f>IFERROR(INDEX(tEditais[UF],MATCH(tItens[[#This Row],[Edital]],tEditais[Edital],0)),"")</f>
        <v>SC</v>
      </c>
      <c r="I8141" s="11">
        <f>IFERROR(INDEX(tEditais[Encerramento],MATCH(tItens[[#This Row],[Edital]],tEditais[Edital],0)),"")</f>
        <v>46309.332638888889</v>
      </c>
      <c r="J8141" t="str">
        <f>IFERROR(INDEX(tProdutos[Classe],MATCH(tItens[[#This Row],[Produto]],tProdutos[Produto],0)),"produto não cadastrado")</f>
        <v>FORA</v>
      </c>
      <c r="K8141" s="12">
        <f>tItens[[#This Row],[Qtd]]*tItens[[#This Row],[Vlr unit]]</f>
        <v>9005.57</v>
      </c>
      <c r="L8141" s="6">
        <f>IFERROR(IF(INDEX(tProdutos[Desconto homologado],MATCH(tItens[[#This Row],[Produto]],tProdutos[Produto],0))="",DescontoPadrao,INDEX(tProdutos[Desconto homologado],MATCH(tItens[[#This Row],[Produto]],tProdutos[Produto],0))),DescontoPadrao)</f>
        <v>0.500812004991805</v>
      </c>
      <c r="M8141" s="12">
        <f>tItens[[#This Row],[Valor]]*(1-tItens[[#This Row],[Desconto]])</f>
        <v>4495.4724322059501</v>
      </c>
      <c r="N8141" t="str">
        <f>IFERROR(INDEX(tProdutos[Foco],MATCH(tItens[[#This Row],[Produto]],tProdutos[Produto],0)),"Não")</f>
        <v>Não</v>
      </c>
      <c r="O8141" t="str">
        <f>IFERROR(INDEX(tEditais[SRP],MATCH(tItens[[#This Row],[Edital]],tEditais[Edital],0)),"Não")</f>
        <v>Sim</v>
      </c>
      <c r="P8141" s="4">
        <f>IF(COUNTIFS(INDEX(tItens[Edital],1):tItens[[#This Row],[Edital]],tItens[[#This Row],[Edital]],INDEX(tItens[Produto],1):tItens[[#This Row],[Produto]],tItens[[#This Row],[Produto]])=1,1,0)</f>
        <v>0</v>
      </c>
    </row>
    <row r="8142" spans="1:16" x14ac:dyDescent="0.25">
      <c r="A8142" t="s">
        <v>2644</v>
      </c>
      <c r="B8142">
        <v>459</v>
      </c>
      <c r="C8142" t="s">
        <v>10635</v>
      </c>
      <c r="D8142" t="s">
        <v>403</v>
      </c>
      <c r="E8142" s="13">
        <v>4233</v>
      </c>
      <c r="F8142" s="12">
        <v>1.05</v>
      </c>
      <c r="G8142" t="str">
        <f>IFERROR(INDEX(tEditais[Órgão],MATCH(tItens[[#This Row],[Edital]],tEditais[Edital],0)),"")</f>
        <v>CONSORCIO INTEGRADO DE GESTAO PUBLICA DO ENTRE RIOS - CIGAMERIOS</v>
      </c>
      <c r="H8142" t="str">
        <f>IFERROR(INDEX(tEditais[UF],MATCH(tItens[[#This Row],[Edital]],tEditais[Edital],0)),"")</f>
        <v>SC</v>
      </c>
      <c r="I8142" s="11">
        <f>IFERROR(INDEX(tEditais[Encerramento],MATCH(tItens[[#This Row],[Edital]],tEditais[Edital],0)),"")</f>
        <v>46309.332638888889</v>
      </c>
      <c r="J8142" t="str">
        <f>IFERROR(INDEX(tProdutos[Classe],MATCH(tItens[[#This Row],[Produto]],tProdutos[Produto],0)),"produto não cadastrado")</f>
        <v>FORA</v>
      </c>
      <c r="K8142" s="12">
        <f>tItens[[#This Row],[Qtd]]*tItens[[#This Row],[Vlr unit]]</f>
        <v>4444.6500000000005</v>
      </c>
      <c r="L8142" s="6">
        <f>IFERROR(IF(INDEX(tProdutos[Desconto homologado],MATCH(tItens[[#This Row],[Produto]],tProdutos[Produto],0))="",DescontoPadrao,INDEX(tProdutos[Desconto homologado],MATCH(tItens[[#This Row],[Produto]],tProdutos[Produto],0))),DescontoPadrao)</f>
        <v>0.35326086956521702</v>
      </c>
      <c r="M8142" s="12">
        <f>tItens[[#This Row],[Valor]]*(1-tItens[[#This Row],[Desconto]])</f>
        <v>2874.5290760869584</v>
      </c>
      <c r="N8142" t="str">
        <f>IFERROR(INDEX(tProdutos[Foco],MATCH(tItens[[#This Row],[Produto]],tProdutos[Produto],0)),"Não")</f>
        <v>Não</v>
      </c>
      <c r="O8142" t="str">
        <f>IFERROR(INDEX(tEditais[SRP],MATCH(tItens[[#This Row],[Edital]],tEditais[Edital],0)),"Não")</f>
        <v>Sim</v>
      </c>
      <c r="P8142" s="4">
        <f>IF(COUNTIFS(INDEX(tItens[Edital],1):tItens[[#This Row],[Edital]],tItens[[#This Row],[Edital]],INDEX(tItens[Produto],1):tItens[[#This Row],[Produto]],tItens[[#This Row],[Produto]])=1,1,0)</f>
        <v>1</v>
      </c>
    </row>
    <row r="8143" spans="1:16" x14ac:dyDescent="0.25">
      <c r="A8143" t="s">
        <v>2644</v>
      </c>
      <c r="B8143">
        <v>467</v>
      </c>
      <c r="C8143" t="s">
        <v>10636</v>
      </c>
      <c r="D8143" t="s">
        <v>670</v>
      </c>
      <c r="E8143" s="13">
        <v>138</v>
      </c>
      <c r="F8143" s="12">
        <v>125.72</v>
      </c>
      <c r="G8143" t="str">
        <f>IFERROR(INDEX(tEditais[Órgão],MATCH(tItens[[#This Row],[Edital]],tEditais[Edital],0)),"")</f>
        <v>CONSORCIO INTEGRADO DE GESTAO PUBLICA DO ENTRE RIOS - CIGAMERIOS</v>
      </c>
      <c r="H8143" t="str">
        <f>IFERROR(INDEX(tEditais[UF],MATCH(tItens[[#This Row],[Edital]],tEditais[Edital],0)),"")</f>
        <v>SC</v>
      </c>
      <c r="I8143" s="11">
        <f>IFERROR(INDEX(tEditais[Encerramento],MATCH(tItens[[#This Row],[Edital]],tEditais[Edital],0)),"")</f>
        <v>46309.332638888889</v>
      </c>
      <c r="J8143" t="str">
        <f>IFERROR(INDEX(tProdutos[Classe],MATCH(tItens[[#This Row],[Produto]],tProdutos[Produto],0)),"produto não cadastrado")</f>
        <v>FILA REBASE</v>
      </c>
      <c r="K8143" s="12">
        <f>tItens[[#This Row],[Qtd]]*tItens[[#This Row],[Vlr unit]]</f>
        <v>17349.36</v>
      </c>
      <c r="L8143" s="6">
        <f>IFERROR(IF(INDEX(tProdutos[Desconto homologado],MATCH(tItens[[#This Row],[Produto]],tProdutos[Produto],0))="",DescontoPadrao,INDEX(tProdutos[Desconto homologado],MATCH(tItens[[#This Row],[Produto]],tProdutos[Produto],0))),DescontoPadrao)</f>
        <v>0.53825503355704696</v>
      </c>
      <c r="M8143" s="12">
        <f>tItens[[#This Row],[Valor]]*(1-tItens[[#This Row],[Desconto]])</f>
        <v>8010.9796510067117</v>
      </c>
      <c r="N8143" t="str">
        <f>IFERROR(INDEX(tProdutos[Foco],MATCH(tItens[[#This Row],[Produto]],tProdutos[Produto],0)),"Não")</f>
        <v>Não</v>
      </c>
      <c r="O8143" t="str">
        <f>IFERROR(INDEX(tEditais[SRP],MATCH(tItens[[#This Row],[Edital]],tEditais[Edital],0)),"Não")</f>
        <v>Sim</v>
      </c>
      <c r="P8143" s="4">
        <f>IF(COUNTIFS(INDEX(tItens[Edital],1):tItens[[#This Row],[Edital]],tItens[[#This Row],[Edital]],INDEX(tItens[Produto],1):tItens[[#This Row],[Produto]],tItens[[#This Row],[Produto]])=1,1,0)</f>
        <v>1</v>
      </c>
    </row>
    <row r="8144" spans="1:16" x14ac:dyDescent="0.25">
      <c r="A8144" t="s">
        <v>2644</v>
      </c>
      <c r="B8144">
        <v>468</v>
      </c>
      <c r="C8144" t="s">
        <v>10637</v>
      </c>
      <c r="D8144" t="s">
        <v>670</v>
      </c>
      <c r="E8144" s="13">
        <v>200</v>
      </c>
      <c r="F8144" s="12">
        <v>12.9</v>
      </c>
      <c r="G8144" t="str">
        <f>IFERROR(INDEX(tEditais[Órgão],MATCH(tItens[[#This Row],[Edital]],tEditais[Edital],0)),"")</f>
        <v>CONSORCIO INTEGRADO DE GESTAO PUBLICA DO ENTRE RIOS - CIGAMERIOS</v>
      </c>
      <c r="H8144" t="str">
        <f>IFERROR(INDEX(tEditais[UF],MATCH(tItens[[#This Row],[Edital]],tEditais[Edital],0)),"")</f>
        <v>SC</v>
      </c>
      <c r="I8144" s="11">
        <f>IFERROR(INDEX(tEditais[Encerramento],MATCH(tItens[[#This Row],[Edital]],tEditais[Edital],0)),"")</f>
        <v>46309.332638888889</v>
      </c>
      <c r="J8144" t="str">
        <f>IFERROR(INDEX(tProdutos[Classe],MATCH(tItens[[#This Row],[Produto]],tProdutos[Produto],0)),"produto não cadastrado")</f>
        <v>FILA REBASE</v>
      </c>
      <c r="K8144" s="12">
        <f>tItens[[#This Row],[Qtd]]*tItens[[#This Row],[Vlr unit]]</f>
        <v>2580</v>
      </c>
      <c r="L8144" s="6">
        <f>IFERROR(IF(INDEX(tProdutos[Desconto homologado],MATCH(tItens[[#This Row],[Produto]],tProdutos[Produto],0))="",DescontoPadrao,INDEX(tProdutos[Desconto homologado],MATCH(tItens[[#This Row],[Produto]],tProdutos[Produto],0))),DescontoPadrao)</f>
        <v>0.53825503355704696</v>
      </c>
      <c r="M8144" s="12">
        <f>tItens[[#This Row],[Valor]]*(1-tItens[[#This Row],[Desconto]])</f>
        <v>1191.3020134228188</v>
      </c>
      <c r="N8144" t="str">
        <f>IFERROR(INDEX(tProdutos[Foco],MATCH(tItens[[#This Row],[Produto]],tProdutos[Produto],0)),"Não")</f>
        <v>Não</v>
      </c>
      <c r="O8144" t="str">
        <f>IFERROR(INDEX(tEditais[SRP],MATCH(tItens[[#This Row],[Edital]],tEditais[Edital],0)),"Não")</f>
        <v>Sim</v>
      </c>
      <c r="P8144" s="4">
        <f>IF(COUNTIFS(INDEX(tItens[Edital],1):tItens[[#This Row],[Edital]],tItens[[#This Row],[Edital]],INDEX(tItens[Produto],1):tItens[[#This Row],[Produto]],tItens[[#This Row],[Produto]])=1,1,0)</f>
        <v>0</v>
      </c>
    </row>
    <row r="8145" spans="1:16" x14ac:dyDescent="0.25">
      <c r="A8145" t="s">
        <v>2644</v>
      </c>
      <c r="B8145">
        <v>524</v>
      </c>
      <c r="C8145" t="s">
        <v>10638</v>
      </c>
      <c r="D8145" t="s">
        <v>267</v>
      </c>
      <c r="E8145" s="13">
        <v>420</v>
      </c>
      <c r="F8145" s="12">
        <v>125.56</v>
      </c>
      <c r="G8145" t="str">
        <f>IFERROR(INDEX(tEditais[Órgão],MATCH(tItens[[#This Row],[Edital]],tEditais[Edital],0)),"")</f>
        <v>CONSORCIO INTEGRADO DE GESTAO PUBLICA DO ENTRE RIOS - CIGAMERIOS</v>
      </c>
      <c r="H8145" t="str">
        <f>IFERROR(INDEX(tEditais[UF],MATCH(tItens[[#This Row],[Edital]],tEditais[Edital],0)),"")</f>
        <v>SC</v>
      </c>
      <c r="I8145" s="11">
        <f>IFERROR(INDEX(tEditais[Encerramento],MATCH(tItens[[#This Row],[Edital]],tEditais[Edital],0)),"")</f>
        <v>46309.332638888889</v>
      </c>
      <c r="J8145" t="str">
        <f>IFERROR(INDEX(tProdutos[Classe],MATCH(tItens[[#This Row],[Produto]],tProdutos[Produto],0)),"produto não cadastrado")</f>
        <v>FORA</v>
      </c>
      <c r="K8145" s="12">
        <f>tItens[[#This Row],[Qtd]]*tItens[[#This Row],[Vlr unit]]</f>
        <v>52735.200000000004</v>
      </c>
      <c r="L8145" s="6">
        <f>IFERROR(IF(INDEX(tProdutos[Desconto homologado],MATCH(tItens[[#This Row],[Produto]],tProdutos[Produto],0))="",DescontoPadrao,INDEX(tProdutos[Desconto homologado],MATCH(tItens[[#This Row],[Produto]],tProdutos[Produto],0))),DescontoPadrao)</f>
        <v>0.19963672657401599</v>
      </c>
      <c r="M8145" s="12">
        <f>tItens[[#This Row],[Valor]]*(1-tItens[[#This Row],[Desconto]])</f>
        <v>42207.317296773952</v>
      </c>
      <c r="N8145" t="str">
        <f>IFERROR(INDEX(tProdutos[Foco],MATCH(tItens[[#This Row],[Produto]],tProdutos[Produto],0)),"Não")</f>
        <v>Não</v>
      </c>
      <c r="O8145" t="str">
        <f>IFERROR(INDEX(tEditais[SRP],MATCH(tItens[[#This Row],[Edital]],tEditais[Edital],0)),"Não")</f>
        <v>Sim</v>
      </c>
      <c r="P8145" s="4">
        <f>IF(COUNTIFS(INDEX(tItens[Edital],1):tItens[[#This Row],[Edital]],tItens[[#This Row],[Edital]],INDEX(tItens[Produto],1):tItens[[#This Row],[Produto]],tItens[[#This Row],[Produto]])=1,1,0)</f>
        <v>0</v>
      </c>
    </row>
    <row r="8146" spans="1:16" x14ac:dyDescent="0.25">
      <c r="A8146" t="s">
        <v>2644</v>
      </c>
      <c r="B8146">
        <v>532</v>
      </c>
      <c r="C8146" t="s">
        <v>10639</v>
      </c>
      <c r="D8146" t="s">
        <v>323</v>
      </c>
      <c r="E8146" s="13">
        <v>6810</v>
      </c>
      <c r="F8146" s="12">
        <v>34.409999999999997</v>
      </c>
      <c r="G8146" t="str">
        <f>IFERROR(INDEX(tEditais[Órgão],MATCH(tItens[[#This Row],[Edital]],tEditais[Edital],0)),"")</f>
        <v>CONSORCIO INTEGRADO DE GESTAO PUBLICA DO ENTRE RIOS - CIGAMERIOS</v>
      </c>
      <c r="H8146" t="str">
        <f>IFERROR(INDEX(tEditais[UF],MATCH(tItens[[#This Row],[Edital]],tEditais[Edital],0)),"")</f>
        <v>SC</v>
      </c>
      <c r="I8146" s="11">
        <f>IFERROR(INDEX(tEditais[Encerramento],MATCH(tItens[[#This Row],[Edital]],tEditais[Edital],0)),"")</f>
        <v>46309.332638888889</v>
      </c>
      <c r="J8146" t="str">
        <f>IFERROR(INDEX(tProdutos[Classe],MATCH(tItens[[#This Row],[Produto]],tProdutos[Produto],0)),"produto não cadastrado")</f>
        <v>FORA</v>
      </c>
      <c r="K8146" s="12">
        <f>tItens[[#This Row],[Qtd]]*tItens[[#This Row],[Vlr unit]]</f>
        <v>234332.09999999998</v>
      </c>
      <c r="L8146" s="6">
        <f>IFERROR(IF(INDEX(tProdutos[Desconto homologado],MATCH(tItens[[#This Row],[Produto]],tProdutos[Produto],0))="",DescontoPadrao,INDEX(tProdutos[Desconto homologado],MATCH(tItens[[#This Row],[Produto]],tProdutos[Produto],0))),DescontoPadrao)</f>
        <v>0.42242759676970199</v>
      </c>
      <c r="M8146" s="12">
        <f>tItens[[#This Row],[Valor]]*(1-tItens[[#This Row],[Desconto]])</f>
        <v>135343.7541510025</v>
      </c>
      <c r="N8146" t="str">
        <f>IFERROR(INDEX(tProdutos[Foco],MATCH(tItens[[#This Row],[Produto]],tProdutos[Produto],0)),"Não")</f>
        <v>Não</v>
      </c>
      <c r="O8146" t="str">
        <f>IFERROR(INDEX(tEditais[SRP],MATCH(tItens[[#This Row],[Edital]],tEditais[Edital],0)),"Não")</f>
        <v>Sim</v>
      </c>
      <c r="P8146" s="4">
        <f>IF(COUNTIFS(INDEX(tItens[Edital],1):tItens[[#This Row],[Edital]],tItens[[#This Row],[Edital]],INDEX(tItens[Produto],1):tItens[[#This Row],[Produto]],tItens[[#This Row],[Produto]])=1,1,0)</f>
        <v>1</v>
      </c>
    </row>
    <row r="8147" spans="1:16" x14ac:dyDescent="0.25">
      <c r="A8147" t="s">
        <v>2644</v>
      </c>
      <c r="B8147">
        <v>533</v>
      </c>
      <c r="C8147" t="s">
        <v>10640</v>
      </c>
      <c r="D8147" t="s">
        <v>323</v>
      </c>
      <c r="E8147" s="13">
        <v>920</v>
      </c>
      <c r="F8147" s="12">
        <v>12.34</v>
      </c>
      <c r="G8147" t="str">
        <f>IFERROR(INDEX(tEditais[Órgão],MATCH(tItens[[#This Row],[Edital]],tEditais[Edital],0)),"")</f>
        <v>CONSORCIO INTEGRADO DE GESTAO PUBLICA DO ENTRE RIOS - CIGAMERIOS</v>
      </c>
      <c r="H8147" t="str">
        <f>IFERROR(INDEX(tEditais[UF],MATCH(tItens[[#This Row],[Edital]],tEditais[Edital],0)),"")</f>
        <v>SC</v>
      </c>
      <c r="I8147" s="11">
        <f>IFERROR(INDEX(tEditais[Encerramento],MATCH(tItens[[#This Row],[Edital]],tEditais[Edital],0)),"")</f>
        <v>46309.332638888889</v>
      </c>
      <c r="J8147" t="str">
        <f>IFERROR(INDEX(tProdutos[Classe],MATCH(tItens[[#This Row],[Produto]],tProdutos[Produto],0)),"produto não cadastrado")</f>
        <v>FORA</v>
      </c>
      <c r="K8147" s="12">
        <f>tItens[[#This Row],[Qtd]]*tItens[[#This Row],[Vlr unit]]</f>
        <v>11352.8</v>
      </c>
      <c r="L8147" s="6">
        <f>IFERROR(IF(INDEX(tProdutos[Desconto homologado],MATCH(tItens[[#This Row],[Produto]],tProdutos[Produto],0))="",DescontoPadrao,INDEX(tProdutos[Desconto homologado],MATCH(tItens[[#This Row],[Produto]],tProdutos[Produto],0))),DescontoPadrao)</f>
        <v>0.42242759676970199</v>
      </c>
      <c r="M8147" s="12">
        <f>tItens[[#This Row],[Valor]]*(1-tItens[[#This Row],[Desconto]])</f>
        <v>6557.0639793929267</v>
      </c>
      <c r="N8147" t="str">
        <f>IFERROR(INDEX(tProdutos[Foco],MATCH(tItens[[#This Row],[Produto]],tProdutos[Produto],0)),"Não")</f>
        <v>Não</v>
      </c>
      <c r="O8147" t="str">
        <f>IFERROR(INDEX(tEditais[SRP],MATCH(tItens[[#This Row],[Edital]],tEditais[Edital],0)),"Não")</f>
        <v>Sim</v>
      </c>
      <c r="P8147" s="4">
        <f>IF(COUNTIFS(INDEX(tItens[Edital],1):tItens[[#This Row],[Edital]],tItens[[#This Row],[Edital]],INDEX(tItens[Produto],1):tItens[[#This Row],[Produto]],tItens[[#This Row],[Produto]])=1,1,0)</f>
        <v>0</v>
      </c>
    </row>
    <row r="8148" spans="1:16" x14ac:dyDescent="0.25">
      <c r="A8148" t="s">
        <v>2644</v>
      </c>
      <c r="B8148">
        <v>534</v>
      </c>
      <c r="C8148" t="s">
        <v>10641</v>
      </c>
      <c r="D8148" t="s">
        <v>323</v>
      </c>
      <c r="E8148" s="13">
        <v>2070</v>
      </c>
      <c r="F8148" s="12">
        <v>16.77</v>
      </c>
      <c r="G8148" t="str">
        <f>IFERROR(INDEX(tEditais[Órgão],MATCH(tItens[[#This Row],[Edital]],tEditais[Edital],0)),"")</f>
        <v>CONSORCIO INTEGRADO DE GESTAO PUBLICA DO ENTRE RIOS - CIGAMERIOS</v>
      </c>
      <c r="H8148" t="str">
        <f>IFERROR(INDEX(tEditais[UF],MATCH(tItens[[#This Row],[Edital]],tEditais[Edital],0)),"")</f>
        <v>SC</v>
      </c>
      <c r="I8148" s="11">
        <f>IFERROR(INDEX(tEditais[Encerramento],MATCH(tItens[[#This Row],[Edital]],tEditais[Edital],0)),"")</f>
        <v>46309.332638888889</v>
      </c>
      <c r="J8148" t="str">
        <f>IFERROR(INDEX(tProdutos[Classe],MATCH(tItens[[#This Row],[Produto]],tProdutos[Produto],0)),"produto não cadastrado")</f>
        <v>FORA</v>
      </c>
      <c r="K8148" s="12">
        <f>tItens[[#This Row],[Qtd]]*tItens[[#This Row],[Vlr unit]]</f>
        <v>34713.9</v>
      </c>
      <c r="L8148" s="6">
        <f>IFERROR(IF(INDEX(tProdutos[Desconto homologado],MATCH(tItens[[#This Row],[Produto]],tProdutos[Produto],0))="",DescontoPadrao,INDEX(tProdutos[Desconto homologado],MATCH(tItens[[#This Row],[Produto]],tProdutos[Produto],0))),DescontoPadrao)</f>
        <v>0.42242759676970199</v>
      </c>
      <c r="M8148" s="12">
        <f>tItens[[#This Row],[Valor]]*(1-tItens[[#This Row],[Desconto]])</f>
        <v>20049.790648496244</v>
      </c>
      <c r="N8148" t="str">
        <f>IFERROR(INDEX(tProdutos[Foco],MATCH(tItens[[#This Row],[Produto]],tProdutos[Produto],0)),"Não")</f>
        <v>Não</v>
      </c>
      <c r="O8148" t="str">
        <f>IFERROR(INDEX(tEditais[SRP],MATCH(tItens[[#This Row],[Edital]],tEditais[Edital],0)),"Não")</f>
        <v>Sim</v>
      </c>
      <c r="P8148" s="4">
        <f>IF(COUNTIFS(INDEX(tItens[Edital],1):tItens[[#This Row],[Edital]],tItens[[#This Row],[Edital]],INDEX(tItens[Produto],1):tItens[[#This Row],[Produto]],tItens[[#This Row],[Produto]])=1,1,0)</f>
        <v>0</v>
      </c>
    </row>
    <row r="8149" spans="1:16" x14ac:dyDescent="0.25">
      <c r="A8149" t="s">
        <v>2644</v>
      </c>
      <c r="B8149">
        <v>535</v>
      </c>
      <c r="C8149" t="s">
        <v>10642</v>
      </c>
      <c r="D8149" t="s">
        <v>323</v>
      </c>
      <c r="E8149" s="13">
        <v>6190</v>
      </c>
      <c r="F8149" s="12">
        <v>25.78</v>
      </c>
      <c r="G8149" t="str">
        <f>IFERROR(INDEX(tEditais[Órgão],MATCH(tItens[[#This Row],[Edital]],tEditais[Edital],0)),"")</f>
        <v>CONSORCIO INTEGRADO DE GESTAO PUBLICA DO ENTRE RIOS - CIGAMERIOS</v>
      </c>
      <c r="H8149" t="str">
        <f>IFERROR(INDEX(tEditais[UF],MATCH(tItens[[#This Row],[Edital]],tEditais[Edital],0)),"")</f>
        <v>SC</v>
      </c>
      <c r="I8149" s="11">
        <f>IFERROR(INDEX(tEditais[Encerramento],MATCH(tItens[[#This Row],[Edital]],tEditais[Edital],0)),"")</f>
        <v>46309.332638888889</v>
      </c>
      <c r="J8149" t="str">
        <f>IFERROR(INDEX(tProdutos[Classe],MATCH(tItens[[#This Row],[Produto]],tProdutos[Produto],0)),"produto não cadastrado")</f>
        <v>FORA</v>
      </c>
      <c r="K8149" s="12">
        <f>tItens[[#This Row],[Qtd]]*tItens[[#This Row],[Vlr unit]]</f>
        <v>159578.20000000001</v>
      </c>
      <c r="L8149" s="6">
        <f>IFERROR(IF(INDEX(tProdutos[Desconto homologado],MATCH(tItens[[#This Row],[Produto]],tProdutos[Produto],0))="",DescontoPadrao,INDEX(tProdutos[Desconto homologado],MATCH(tItens[[#This Row],[Produto]],tProdutos[Produto],0))),DescontoPadrao)</f>
        <v>0.42242759676970199</v>
      </c>
      <c r="M8149" s="12">
        <f>tItens[[#This Row],[Valor]]*(1-tItens[[#This Row],[Desconto]])</f>
        <v>92167.964477165151</v>
      </c>
      <c r="N8149" t="str">
        <f>IFERROR(INDEX(tProdutos[Foco],MATCH(tItens[[#This Row],[Produto]],tProdutos[Produto],0)),"Não")</f>
        <v>Não</v>
      </c>
      <c r="O8149" t="str">
        <f>IFERROR(INDEX(tEditais[SRP],MATCH(tItens[[#This Row],[Edital]],tEditais[Edital],0)),"Não")</f>
        <v>Sim</v>
      </c>
      <c r="P8149" s="4">
        <f>IF(COUNTIFS(INDEX(tItens[Edital],1):tItens[[#This Row],[Edital]],tItens[[#This Row],[Edital]],INDEX(tItens[Produto],1):tItens[[#This Row],[Produto]],tItens[[#This Row],[Produto]])=1,1,0)</f>
        <v>0</v>
      </c>
    </row>
    <row r="8150" spans="1:16" x14ac:dyDescent="0.25">
      <c r="A8150" t="s">
        <v>2644</v>
      </c>
      <c r="B8150">
        <v>544</v>
      </c>
      <c r="C8150" t="s">
        <v>10643</v>
      </c>
      <c r="D8150" t="s">
        <v>275</v>
      </c>
      <c r="E8150" s="13">
        <v>21415</v>
      </c>
      <c r="F8150" s="12">
        <v>27.88</v>
      </c>
      <c r="G8150" t="str">
        <f>IFERROR(INDEX(tEditais[Órgão],MATCH(tItens[[#This Row],[Edital]],tEditais[Edital],0)),"")</f>
        <v>CONSORCIO INTEGRADO DE GESTAO PUBLICA DO ENTRE RIOS - CIGAMERIOS</v>
      </c>
      <c r="H8150" t="str">
        <f>IFERROR(INDEX(tEditais[UF],MATCH(tItens[[#This Row],[Edital]],tEditais[Edital],0)),"")</f>
        <v>SC</v>
      </c>
      <c r="I8150" s="11">
        <f>IFERROR(INDEX(tEditais[Encerramento],MATCH(tItens[[#This Row],[Edital]],tEditais[Edital],0)),"")</f>
        <v>46309.332638888889</v>
      </c>
      <c r="J8150" t="str">
        <f>IFERROR(INDEX(tProdutos[Classe],MATCH(tItens[[#This Row],[Produto]],tProdutos[Produto],0)),"produto não cadastrado")</f>
        <v>FORA</v>
      </c>
      <c r="K8150" s="12">
        <f>tItens[[#This Row],[Qtd]]*tItens[[#This Row],[Vlr unit]]</f>
        <v>597050.19999999995</v>
      </c>
      <c r="L8150" s="6">
        <f>IFERROR(IF(INDEX(tProdutos[Desconto homologado],MATCH(tItens[[#This Row],[Produto]],tProdutos[Produto],0))="",DescontoPadrao,INDEX(tProdutos[Desconto homologado],MATCH(tItens[[#This Row],[Produto]],tProdutos[Produto],0))),DescontoPadrao)</f>
        <v>0.405797101449275</v>
      </c>
      <c r="M8150" s="12">
        <f>tItens[[#This Row],[Valor]]*(1-tItens[[#This Row],[Desconto]])</f>
        <v>354768.95942029008</v>
      </c>
      <c r="N8150" t="str">
        <f>IFERROR(INDEX(tProdutos[Foco],MATCH(tItens[[#This Row],[Produto]],tProdutos[Produto],0)),"Não")</f>
        <v>Não</v>
      </c>
      <c r="O8150" t="str">
        <f>IFERROR(INDEX(tEditais[SRP],MATCH(tItens[[#This Row],[Edital]],tEditais[Edital],0)),"Não")</f>
        <v>Sim</v>
      </c>
      <c r="P8150" s="4">
        <f>IF(COUNTIFS(INDEX(tItens[Edital],1):tItens[[#This Row],[Edital]],tItens[[#This Row],[Edital]],INDEX(tItens[Produto],1):tItens[[#This Row],[Produto]],tItens[[#This Row],[Produto]])=1,1,0)</f>
        <v>1</v>
      </c>
    </row>
    <row r="8151" spans="1:16" x14ac:dyDescent="0.25">
      <c r="A8151" t="s">
        <v>2644</v>
      </c>
      <c r="B8151">
        <v>545</v>
      </c>
      <c r="C8151" t="s">
        <v>10644</v>
      </c>
      <c r="D8151" t="s">
        <v>275</v>
      </c>
      <c r="E8151" s="13">
        <v>25545</v>
      </c>
      <c r="F8151" s="12">
        <v>32.950000000000003</v>
      </c>
      <c r="G8151" t="str">
        <f>IFERROR(INDEX(tEditais[Órgão],MATCH(tItens[[#This Row],[Edital]],tEditais[Edital],0)),"")</f>
        <v>CONSORCIO INTEGRADO DE GESTAO PUBLICA DO ENTRE RIOS - CIGAMERIOS</v>
      </c>
      <c r="H8151" t="str">
        <f>IFERROR(INDEX(tEditais[UF],MATCH(tItens[[#This Row],[Edital]],tEditais[Edital],0)),"")</f>
        <v>SC</v>
      </c>
      <c r="I8151" s="11">
        <f>IFERROR(INDEX(tEditais[Encerramento],MATCH(tItens[[#This Row],[Edital]],tEditais[Edital],0)),"")</f>
        <v>46309.332638888889</v>
      </c>
      <c r="J8151" t="str">
        <f>IFERROR(INDEX(tProdutos[Classe],MATCH(tItens[[#This Row],[Produto]],tProdutos[Produto],0)),"produto não cadastrado")</f>
        <v>FORA</v>
      </c>
      <c r="K8151" s="12">
        <f>tItens[[#This Row],[Qtd]]*tItens[[#This Row],[Vlr unit]]</f>
        <v>841707.75000000012</v>
      </c>
      <c r="L8151" s="6">
        <f>IFERROR(IF(INDEX(tProdutos[Desconto homologado],MATCH(tItens[[#This Row],[Produto]],tProdutos[Produto],0))="",DescontoPadrao,INDEX(tProdutos[Desconto homologado],MATCH(tItens[[#This Row],[Produto]],tProdutos[Produto],0))),DescontoPadrao)</f>
        <v>0.405797101449275</v>
      </c>
      <c r="M8151" s="12">
        <f>tItens[[#This Row],[Valor]]*(1-tItens[[#This Row],[Desconto]])</f>
        <v>500145.18478260911</v>
      </c>
      <c r="N8151" t="str">
        <f>IFERROR(INDEX(tProdutos[Foco],MATCH(tItens[[#This Row],[Produto]],tProdutos[Produto],0)),"Não")</f>
        <v>Não</v>
      </c>
      <c r="O8151" t="str">
        <f>IFERROR(INDEX(tEditais[SRP],MATCH(tItens[[#This Row],[Edital]],tEditais[Edital],0)),"Não")</f>
        <v>Sim</v>
      </c>
      <c r="P8151" s="4">
        <f>IF(COUNTIFS(INDEX(tItens[Edital],1):tItens[[#This Row],[Edital]],tItens[[#This Row],[Edital]],INDEX(tItens[Produto],1):tItens[[#This Row],[Produto]],tItens[[#This Row],[Produto]])=1,1,0)</f>
        <v>0</v>
      </c>
    </row>
    <row r="8152" spans="1:16" x14ac:dyDescent="0.25">
      <c r="A8152" t="s">
        <v>2644</v>
      </c>
      <c r="B8152">
        <v>546</v>
      </c>
      <c r="C8152" t="s">
        <v>10645</v>
      </c>
      <c r="D8152" t="s">
        <v>275</v>
      </c>
      <c r="E8152" s="13">
        <v>22060</v>
      </c>
      <c r="F8152" s="12">
        <v>21.65</v>
      </c>
      <c r="G8152" t="str">
        <f>IFERROR(INDEX(tEditais[Órgão],MATCH(tItens[[#This Row],[Edital]],tEditais[Edital],0)),"")</f>
        <v>CONSORCIO INTEGRADO DE GESTAO PUBLICA DO ENTRE RIOS - CIGAMERIOS</v>
      </c>
      <c r="H8152" t="str">
        <f>IFERROR(INDEX(tEditais[UF],MATCH(tItens[[#This Row],[Edital]],tEditais[Edital],0)),"")</f>
        <v>SC</v>
      </c>
      <c r="I8152" s="11">
        <f>IFERROR(INDEX(tEditais[Encerramento],MATCH(tItens[[#This Row],[Edital]],tEditais[Edital],0)),"")</f>
        <v>46309.332638888889</v>
      </c>
      <c r="J8152" t="str">
        <f>IFERROR(INDEX(tProdutos[Classe],MATCH(tItens[[#This Row],[Produto]],tProdutos[Produto],0)),"produto não cadastrado")</f>
        <v>FORA</v>
      </c>
      <c r="K8152" s="12">
        <f>tItens[[#This Row],[Qtd]]*tItens[[#This Row],[Vlr unit]]</f>
        <v>477598.99999999994</v>
      </c>
      <c r="L8152" s="6">
        <f>IFERROR(IF(INDEX(tProdutos[Desconto homologado],MATCH(tItens[[#This Row],[Produto]],tProdutos[Produto],0))="",DescontoPadrao,INDEX(tProdutos[Desconto homologado],MATCH(tItens[[#This Row],[Produto]],tProdutos[Produto],0))),DescontoPadrao)</f>
        <v>0.405797101449275</v>
      </c>
      <c r="M8152" s="12">
        <f>tItens[[#This Row],[Valor]]*(1-tItens[[#This Row],[Desconto]])</f>
        <v>283790.71014492773</v>
      </c>
      <c r="N8152" t="str">
        <f>IFERROR(INDEX(tProdutos[Foco],MATCH(tItens[[#This Row],[Produto]],tProdutos[Produto],0)),"Não")</f>
        <v>Não</v>
      </c>
      <c r="O8152" t="str">
        <f>IFERROR(INDEX(tEditais[SRP],MATCH(tItens[[#This Row],[Edital]],tEditais[Edital],0)),"Não")</f>
        <v>Sim</v>
      </c>
      <c r="P8152" s="4">
        <f>IF(COUNTIFS(INDEX(tItens[Edital],1):tItens[[#This Row],[Edital]],tItens[[#This Row],[Edital]],INDEX(tItens[Produto],1):tItens[[#This Row],[Produto]],tItens[[#This Row],[Produto]])=1,1,0)</f>
        <v>0</v>
      </c>
    </row>
    <row r="8153" spans="1:16" x14ac:dyDescent="0.25">
      <c r="A8153" t="s">
        <v>2644</v>
      </c>
      <c r="B8153">
        <v>547</v>
      </c>
      <c r="C8153" t="s">
        <v>10646</v>
      </c>
      <c r="D8153" t="s">
        <v>275</v>
      </c>
      <c r="E8153" s="13">
        <v>24840</v>
      </c>
      <c r="F8153" s="12">
        <v>85.32</v>
      </c>
      <c r="G8153" t="str">
        <f>IFERROR(INDEX(tEditais[Órgão],MATCH(tItens[[#This Row],[Edital]],tEditais[Edital],0)),"")</f>
        <v>CONSORCIO INTEGRADO DE GESTAO PUBLICA DO ENTRE RIOS - CIGAMERIOS</v>
      </c>
      <c r="H8153" t="str">
        <f>IFERROR(INDEX(tEditais[UF],MATCH(tItens[[#This Row],[Edital]],tEditais[Edital],0)),"")</f>
        <v>SC</v>
      </c>
      <c r="I8153" s="11">
        <f>IFERROR(INDEX(tEditais[Encerramento],MATCH(tItens[[#This Row],[Edital]],tEditais[Edital],0)),"")</f>
        <v>46309.332638888889</v>
      </c>
      <c r="J8153" t="str">
        <f>IFERROR(INDEX(tProdutos[Classe],MATCH(tItens[[#This Row],[Produto]],tProdutos[Produto],0)),"produto não cadastrado")</f>
        <v>FORA</v>
      </c>
      <c r="K8153" s="12">
        <f>tItens[[#This Row],[Qtd]]*tItens[[#This Row],[Vlr unit]]</f>
        <v>2119348.7999999998</v>
      </c>
      <c r="L8153" s="6">
        <f>IFERROR(IF(INDEX(tProdutos[Desconto homologado],MATCH(tItens[[#This Row],[Produto]],tProdutos[Produto],0))="",DescontoPadrao,INDEX(tProdutos[Desconto homologado],MATCH(tItens[[#This Row],[Produto]],tProdutos[Produto],0))),DescontoPadrao)</f>
        <v>0.405797101449275</v>
      </c>
      <c r="M8153" s="12">
        <f>tItens[[#This Row],[Valor]]*(1-tItens[[#This Row],[Desconto]])</f>
        <v>1259323.2000000009</v>
      </c>
      <c r="N8153" t="str">
        <f>IFERROR(INDEX(tProdutos[Foco],MATCH(tItens[[#This Row],[Produto]],tProdutos[Produto],0)),"Não")</f>
        <v>Não</v>
      </c>
      <c r="O8153" t="str">
        <f>IFERROR(INDEX(tEditais[SRP],MATCH(tItens[[#This Row],[Edital]],tEditais[Edital],0)),"Não")</f>
        <v>Sim</v>
      </c>
      <c r="P8153" s="4">
        <f>IF(COUNTIFS(INDEX(tItens[Edital],1):tItens[[#This Row],[Edital]],tItens[[#This Row],[Edital]],INDEX(tItens[Produto],1):tItens[[#This Row],[Produto]],tItens[[#This Row],[Produto]])=1,1,0)</f>
        <v>0</v>
      </c>
    </row>
    <row r="8154" spans="1:16" x14ac:dyDescent="0.25">
      <c r="A8154" t="s">
        <v>2644</v>
      </c>
      <c r="B8154">
        <v>548</v>
      </c>
      <c r="C8154" t="s">
        <v>10647</v>
      </c>
      <c r="D8154" t="s">
        <v>275</v>
      </c>
      <c r="E8154" s="13">
        <v>23885</v>
      </c>
      <c r="F8154" s="12">
        <v>35.020000000000003</v>
      </c>
      <c r="G8154" t="str">
        <f>IFERROR(INDEX(tEditais[Órgão],MATCH(tItens[[#This Row],[Edital]],tEditais[Edital],0)),"")</f>
        <v>CONSORCIO INTEGRADO DE GESTAO PUBLICA DO ENTRE RIOS - CIGAMERIOS</v>
      </c>
      <c r="H8154" t="str">
        <f>IFERROR(INDEX(tEditais[UF],MATCH(tItens[[#This Row],[Edital]],tEditais[Edital],0)),"")</f>
        <v>SC</v>
      </c>
      <c r="I8154" s="11">
        <f>IFERROR(INDEX(tEditais[Encerramento],MATCH(tItens[[#This Row],[Edital]],tEditais[Edital],0)),"")</f>
        <v>46309.332638888889</v>
      </c>
      <c r="J8154" t="str">
        <f>IFERROR(INDEX(tProdutos[Classe],MATCH(tItens[[#This Row],[Produto]],tProdutos[Produto],0)),"produto não cadastrado")</f>
        <v>FORA</v>
      </c>
      <c r="K8154" s="12">
        <f>tItens[[#This Row],[Qtd]]*tItens[[#This Row],[Vlr unit]]</f>
        <v>836452.70000000007</v>
      </c>
      <c r="L8154" s="6">
        <f>IFERROR(IF(INDEX(tProdutos[Desconto homologado],MATCH(tItens[[#This Row],[Produto]],tProdutos[Produto],0))="",DescontoPadrao,INDEX(tProdutos[Desconto homologado],MATCH(tItens[[#This Row],[Produto]],tProdutos[Produto],0))),DescontoPadrao)</f>
        <v>0.405797101449275</v>
      </c>
      <c r="M8154" s="12">
        <f>tItens[[#This Row],[Valor]]*(1-tItens[[#This Row],[Desconto]])</f>
        <v>497022.61884058011</v>
      </c>
      <c r="N8154" t="str">
        <f>IFERROR(INDEX(tProdutos[Foco],MATCH(tItens[[#This Row],[Produto]],tProdutos[Produto],0)),"Não")</f>
        <v>Não</v>
      </c>
      <c r="O8154" t="str">
        <f>IFERROR(INDEX(tEditais[SRP],MATCH(tItens[[#This Row],[Edital]],tEditais[Edital],0)),"Não")</f>
        <v>Sim</v>
      </c>
      <c r="P8154" s="4">
        <f>IF(COUNTIFS(INDEX(tItens[Edital],1):tItens[[#This Row],[Edital]],tItens[[#This Row],[Edital]],INDEX(tItens[Produto],1):tItens[[#This Row],[Produto]],tItens[[#This Row],[Produto]])=1,1,0)</f>
        <v>0</v>
      </c>
    </row>
    <row r="8155" spans="1:16" x14ac:dyDescent="0.25">
      <c r="A8155" t="s">
        <v>2644</v>
      </c>
      <c r="B8155">
        <v>551</v>
      </c>
      <c r="C8155" t="s">
        <v>10648</v>
      </c>
      <c r="D8155" t="s">
        <v>275</v>
      </c>
      <c r="E8155" s="13">
        <v>23050</v>
      </c>
      <c r="F8155" s="12">
        <v>0.95</v>
      </c>
      <c r="G8155" t="str">
        <f>IFERROR(INDEX(tEditais[Órgão],MATCH(tItens[[#This Row],[Edital]],tEditais[Edital],0)),"")</f>
        <v>CONSORCIO INTEGRADO DE GESTAO PUBLICA DO ENTRE RIOS - CIGAMERIOS</v>
      </c>
      <c r="H8155" t="str">
        <f>IFERROR(INDEX(tEditais[UF],MATCH(tItens[[#This Row],[Edital]],tEditais[Edital],0)),"")</f>
        <v>SC</v>
      </c>
      <c r="I8155" s="11">
        <f>IFERROR(INDEX(tEditais[Encerramento],MATCH(tItens[[#This Row],[Edital]],tEditais[Edital],0)),"")</f>
        <v>46309.332638888889</v>
      </c>
      <c r="J8155" t="str">
        <f>IFERROR(INDEX(tProdutos[Classe],MATCH(tItens[[#This Row],[Produto]],tProdutos[Produto],0)),"produto não cadastrado")</f>
        <v>FORA</v>
      </c>
      <c r="K8155" s="12">
        <f>tItens[[#This Row],[Qtd]]*tItens[[#This Row],[Vlr unit]]</f>
        <v>21897.5</v>
      </c>
      <c r="L8155" s="6">
        <f>IFERROR(IF(INDEX(tProdutos[Desconto homologado],MATCH(tItens[[#This Row],[Produto]],tProdutos[Produto],0))="",DescontoPadrao,INDEX(tProdutos[Desconto homologado],MATCH(tItens[[#This Row],[Produto]],tProdutos[Produto],0))),DescontoPadrao)</f>
        <v>0.405797101449275</v>
      </c>
      <c r="M8155" s="12">
        <f>tItens[[#This Row],[Valor]]*(1-tItens[[#This Row],[Desconto]])</f>
        <v>13011.557971014501</v>
      </c>
      <c r="N8155" t="str">
        <f>IFERROR(INDEX(tProdutos[Foco],MATCH(tItens[[#This Row],[Produto]],tProdutos[Produto],0)),"Não")</f>
        <v>Não</v>
      </c>
      <c r="O8155" t="str">
        <f>IFERROR(INDEX(tEditais[SRP],MATCH(tItens[[#This Row],[Edital]],tEditais[Edital],0)),"Não")</f>
        <v>Sim</v>
      </c>
      <c r="P8155" s="4">
        <f>IF(COUNTIFS(INDEX(tItens[Edital],1):tItens[[#This Row],[Edital]],tItens[[#This Row],[Edital]],INDEX(tItens[Produto],1):tItens[[#This Row],[Produto]],tItens[[#This Row],[Produto]])=1,1,0)</f>
        <v>0</v>
      </c>
    </row>
    <row r="8156" spans="1:16" x14ac:dyDescent="0.25">
      <c r="A8156" t="s">
        <v>2644</v>
      </c>
      <c r="B8156">
        <v>552</v>
      </c>
      <c r="C8156" t="s">
        <v>10649</v>
      </c>
      <c r="D8156" t="s">
        <v>275</v>
      </c>
      <c r="E8156" s="13">
        <v>32350</v>
      </c>
      <c r="F8156" s="12">
        <v>1.1100000000000001</v>
      </c>
      <c r="G8156" t="str">
        <f>IFERROR(INDEX(tEditais[Órgão],MATCH(tItens[[#This Row],[Edital]],tEditais[Edital],0)),"")</f>
        <v>CONSORCIO INTEGRADO DE GESTAO PUBLICA DO ENTRE RIOS - CIGAMERIOS</v>
      </c>
      <c r="H8156" t="str">
        <f>IFERROR(INDEX(tEditais[UF],MATCH(tItens[[#This Row],[Edital]],tEditais[Edital],0)),"")</f>
        <v>SC</v>
      </c>
      <c r="I8156" s="11">
        <f>IFERROR(INDEX(tEditais[Encerramento],MATCH(tItens[[#This Row],[Edital]],tEditais[Edital],0)),"")</f>
        <v>46309.332638888889</v>
      </c>
      <c r="J8156" t="str">
        <f>IFERROR(INDEX(tProdutos[Classe],MATCH(tItens[[#This Row],[Produto]],tProdutos[Produto],0)),"produto não cadastrado")</f>
        <v>FORA</v>
      </c>
      <c r="K8156" s="12">
        <f>tItens[[#This Row],[Qtd]]*tItens[[#This Row],[Vlr unit]]</f>
        <v>35908.5</v>
      </c>
      <c r="L8156" s="6">
        <f>IFERROR(IF(INDEX(tProdutos[Desconto homologado],MATCH(tItens[[#This Row],[Produto]],tProdutos[Produto],0))="",DescontoPadrao,INDEX(tProdutos[Desconto homologado],MATCH(tItens[[#This Row],[Produto]],tProdutos[Produto],0))),DescontoPadrao)</f>
        <v>0.405797101449275</v>
      </c>
      <c r="M8156" s="12">
        <f>tItens[[#This Row],[Valor]]*(1-tItens[[#This Row],[Desconto]])</f>
        <v>21336.934782608711</v>
      </c>
      <c r="N8156" t="str">
        <f>IFERROR(INDEX(tProdutos[Foco],MATCH(tItens[[#This Row],[Produto]],tProdutos[Produto],0)),"Não")</f>
        <v>Não</v>
      </c>
      <c r="O8156" t="str">
        <f>IFERROR(INDEX(tEditais[SRP],MATCH(tItens[[#This Row],[Edital]],tEditais[Edital],0)),"Não")</f>
        <v>Sim</v>
      </c>
      <c r="P8156" s="4">
        <f>IF(COUNTIFS(INDEX(tItens[Edital],1):tItens[[#This Row],[Edital]],tItens[[#This Row],[Edital]],INDEX(tItens[Produto],1):tItens[[#This Row],[Produto]],tItens[[#This Row],[Produto]])=1,1,0)</f>
        <v>0</v>
      </c>
    </row>
    <row r="8157" spans="1:16" x14ac:dyDescent="0.25">
      <c r="A8157" t="s">
        <v>2644</v>
      </c>
      <c r="B8157">
        <v>553</v>
      </c>
      <c r="C8157" t="s">
        <v>10650</v>
      </c>
      <c r="D8157" t="s">
        <v>281</v>
      </c>
      <c r="E8157" s="13">
        <v>71500</v>
      </c>
      <c r="F8157" s="12">
        <v>1.18</v>
      </c>
      <c r="G8157" t="str">
        <f>IFERROR(INDEX(tEditais[Órgão],MATCH(tItens[[#This Row],[Edital]],tEditais[Edital],0)),"")</f>
        <v>CONSORCIO INTEGRADO DE GESTAO PUBLICA DO ENTRE RIOS - CIGAMERIOS</v>
      </c>
      <c r="H8157" t="str">
        <f>IFERROR(INDEX(tEditais[UF],MATCH(tItens[[#This Row],[Edital]],tEditais[Edital],0)),"")</f>
        <v>SC</v>
      </c>
      <c r="I8157" s="11">
        <f>IFERROR(INDEX(tEditais[Encerramento],MATCH(tItens[[#This Row],[Edital]],tEditais[Edital],0)),"")</f>
        <v>46309.332638888889</v>
      </c>
      <c r="J8157" t="str">
        <f>IFERROR(INDEX(tProdutos[Classe],MATCH(tItens[[#This Row],[Produto]],tProdutos[Produto],0)),"produto não cadastrado")</f>
        <v>DISPUTADO</v>
      </c>
      <c r="K8157" s="12">
        <f>tItens[[#This Row],[Qtd]]*tItens[[#This Row],[Vlr unit]]</f>
        <v>84370</v>
      </c>
      <c r="L8157" s="6">
        <f>IFERROR(IF(INDEX(tProdutos[Desconto homologado],MATCH(tItens[[#This Row],[Produto]],tProdutos[Produto],0))="",DescontoPadrao,INDEX(tProdutos[Desconto homologado],MATCH(tItens[[#This Row],[Produto]],tProdutos[Produto],0))),DescontoPadrao)</f>
        <v>0.42461538461538501</v>
      </c>
      <c r="M8157" s="12">
        <f>tItens[[#This Row],[Valor]]*(1-tItens[[#This Row],[Desconto]])</f>
        <v>48545.199999999961</v>
      </c>
      <c r="N8157" t="str">
        <f>IFERROR(INDEX(tProdutos[Foco],MATCH(tItens[[#This Row],[Produto]],tProdutos[Produto],0)),"Não")</f>
        <v>Não</v>
      </c>
      <c r="O8157" t="str">
        <f>IFERROR(INDEX(tEditais[SRP],MATCH(tItens[[#This Row],[Edital]],tEditais[Edital],0)),"Não")</f>
        <v>Sim</v>
      </c>
      <c r="P8157" s="4">
        <f>IF(COUNTIFS(INDEX(tItens[Edital],1):tItens[[#This Row],[Edital]],tItens[[#This Row],[Edital]],INDEX(tItens[Produto],1):tItens[[#This Row],[Produto]],tItens[[#This Row],[Produto]])=1,1,0)</f>
        <v>1</v>
      </c>
    </row>
    <row r="8158" spans="1:16" x14ac:dyDescent="0.25">
      <c r="A8158" t="s">
        <v>2644</v>
      </c>
      <c r="B8158">
        <v>554</v>
      </c>
      <c r="C8158" t="s">
        <v>10651</v>
      </c>
      <c r="D8158" t="s">
        <v>281</v>
      </c>
      <c r="E8158" s="13">
        <v>66500</v>
      </c>
      <c r="F8158" s="12">
        <v>0.45</v>
      </c>
      <c r="G8158" t="str">
        <f>IFERROR(INDEX(tEditais[Órgão],MATCH(tItens[[#This Row],[Edital]],tEditais[Edital],0)),"")</f>
        <v>CONSORCIO INTEGRADO DE GESTAO PUBLICA DO ENTRE RIOS - CIGAMERIOS</v>
      </c>
      <c r="H8158" t="str">
        <f>IFERROR(INDEX(tEditais[UF],MATCH(tItens[[#This Row],[Edital]],tEditais[Edital],0)),"")</f>
        <v>SC</v>
      </c>
      <c r="I8158" s="11">
        <f>IFERROR(INDEX(tEditais[Encerramento],MATCH(tItens[[#This Row],[Edital]],tEditais[Edital],0)),"")</f>
        <v>46309.332638888889</v>
      </c>
      <c r="J8158" t="str">
        <f>IFERROR(INDEX(tProdutos[Classe],MATCH(tItens[[#This Row],[Produto]],tProdutos[Produto],0)),"produto não cadastrado")</f>
        <v>DISPUTADO</v>
      </c>
      <c r="K8158" s="12">
        <f>tItens[[#This Row],[Qtd]]*tItens[[#This Row],[Vlr unit]]</f>
        <v>29925</v>
      </c>
      <c r="L8158" s="6">
        <f>IFERROR(IF(INDEX(tProdutos[Desconto homologado],MATCH(tItens[[#This Row],[Produto]],tProdutos[Produto],0))="",DescontoPadrao,INDEX(tProdutos[Desconto homologado],MATCH(tItens[[#This Row],[Produto]],tProdutos[Produto],0))),DescontoPadrao)</f>
        <v>0.42461538461538501</v>
      </c>
      <c r="M8158" s="12">
        <f>tItens[[#This Row],[Valor]]*(1-tItens[[#This Row],[Desconto]])</f>
        <v>17218.384615384603</v>
      </c>
      <c r="N8158" t="str">
        <f>IFERROR(INDEX(tProdutos[Foco],MATCH(tItens[[#This Row],[Produto]],tProdutos[Produto],0)),"Não")</f>
        <v>Não</v>
      </c>
      <c r="O8158" t="str">
        <f>IFERROR(INDEX(tEditais[SRP],MATCH(tItens[[#This Row],[Edital]],tEditais[Edital],0)),"Não")</f>
        <v>Sim</v>
      </c>
      <c r="P8158" s="4">
        <f>IF(COUNTIFS(INDEX(tItens[Edital],1):tItens[[#This Row],[Edital]],tItens[[#This Row],[Edital]],INDEX(tItens[Produto],1):tItens[[#This Row],[Produto]],tItens[[#This Row],[Produto]])=1,1,0)</f>
        <v>0</v>
      </c>
    </row>
    <row r="8159" spans="1:16" x14ac:dyDescent="0.25">
      <c r="A8159" t="s">
        <v>2644</v>
      </c>
      <c r="B8159">
        <v>555</v>
      </c>
      <c r="C8159" t="s">
        <v>10652</v>
      </c>
      <c r="D8159" t="s">
        <v>303</v>
      </c>
      <c r="E8159" s="13">
        <v>47750</v>
      </c>
      <c r="F8159" s="12">
        <v>1.06</v>
      </c>
      <c r="G8159" t="str">
        <f>IFERROR(INDEX(tEditais[Órgão],MATCH(tItens[[#This Row],[Edital]],tEditais[Edital],0)),"")</f>
        <v>CONSORCIO INTEGRADO DE GESTAO PUBLICA DO ENTRE RIOS - CIGAMERIOS</v>
      </c>
      <c r="H8159" t="str">
        <f>IFERROR(INDEX(tEditais[UF],MATCH(tItens[[#This Row],[Edital]],tEditais[Edital],0)),"")</f>
        <v>SC</v>
      </c>
      <c r="I8159" s="11">
        <f>IFERROR(INDEX(tEditais[Encerramento],MATCH(tItens[[#This Row],[Edital]],tEditais[Edital],0)),"")</f>
        <v>46309.332638888889</v>
      </c>
      <c r="J8159" t="str">
        <f>IFERROR(INDEX(tProdutos[Classe],MATCH(tItens[[#This Row],[Produto]],tProdutos[Produto],0)),"produto não cadastrado")</f>
        <v>FORA</v>
      </c>
      <c r="K8159" s="12">
        <f>tItens[[#This Row],[Qtd]]*tItens[[#This Row],[Vlr unit]]</f>
        <v>50615</v>
      </c>
      <c r="L8159" s="6">
        <f>IFERROR(IF(INDEX(tProdutos[Desconto homologado],MATCH(tItens[[#This Row],[Produto]],tProdutos[Produto],0))="",DescontoPadrao,INDEX(tProdutos[Desconto homologado],MATCH(tItens[[#This Row],[Produto]],tProdutos[Produto],0))),DescontoPadrao)</f>
        <v>0.35748048048048098</v>
      </c>
      <c r="M8159" s="12">
        <f>tItens[[#This Row],[Valor]]*(1-tItens[[#This Row],[Desconto]])</f>
        <v>32521.125480480456</v>
      </c>
      <c r="N8159" t="str">
        <f>IFERROR(INDEX(tProdutos[Foco],MATCH(tItens[[#This Row],[Produto]],tProdutos[Produto],0)),"Não")</f>
        <v>Não</v>
      </c>
      <c r="O8159" t="str">
        <f>IFERROR(INDEX(tEditais[SRP],MATCH(tItens[[#This Row],[Edital]],tEditais[Edital],0)),"Não")</f>
        <v>Sim</v>
      </c>
      <c r="P8159" s="4">
        <f>IF(COUNTIFS(INDEX(tItens[Edital],1):tItens[[#This Row],[Edital]],tItens[[#This Row],[Edital]],INDEX(tItens[Produto],1):tItens[[#This Row],[Produto]],tItens[[#This Row],[Produto]])=1,1,0)</f>
        <v>1</v>
      </c>
    </row>
    <row r="8160" spans="1:16" x14ac:dyDescent="0.25">
      <c r="A8160" t="s">
        <v>2644</v>
      </c>
      <c r="B8160">
        <v>556</v>
      </c>
      <c r="C8160" t="s">
        <v>10653</v>
      </c>
      <c r="D8160" t="s">
        <v>289</v>
      </c>
      <c r="E8160" s="13">
        <v>51900</v>
      </c>
      <c r="F8160" s="12">
        <v>1.02</v>
      </c>
      <c r="G8160" t="str">
        <f>IFERROR(INDEX(tEditais[Órgão],MATCH(tItens[[#This Row],[Edital]],tEditais[Edital],0)),"")</f>
        <v>CONSORCIO INTEGRADO DE GESTAO PUBLICA DO ENTRE RIOS - CIGAMERIOS</v>
      </c>
      <c r="H8160" t="str">
        <f>IFERROR(INDEX(tEditais[UF],MATCH(tItens[[#This Row],[Edital]],tEditais[Edital],0)),"")</f>
        <v>SC</v>
      </c>
      <c r="I8160" s="11">
        <f>IFERROR(INDEX(tEditais[Encerramento],MATCH(tItens[[#This Row],[Edital]],tEditais[Edital],0)),"")</f>
        <v>46309.332638888889</v>
      </c>
      <c r="J8160" t="str">
        <f>IFERROR(INDEX(tProdutos[Classe],MATCH(tItens[[#This Row],[Produto]],tProdutos[Produto],0)),"produto não cadastrado")</f>
        <v>DISPUTADO</v>
      </c>
      <c r="K8160" s="12">
        <f>tItens[[#This Row],[Qtd]]*tItens[[#This Row],[Vlr unit]]</f>
        <v>52938</v>
      </c>
      <c r="L8160" s="6">
        <f>IFERROR(IF(INDEX(tProdutos[Desconto homologado],MATCH(tItens[[#This Row],[Produto]],tProdutos[Produto],0))="",DescontoPadrao,INDEX(tProdutos[Desconto homologado],MATCH(tItens[[#This Row],[Produto]],tProdutos[Produto],0))),DescontoPadrao)</f>
        <v>0.35849056603773599</v>
      </c>
      <c r="M8160" s="12">
        <f>tItens[[#This Row],[Valor]]*(1-tItens[[#This Row],[Desconto]])</f>
        <v>33960.22641509433</v>
      </c>
      <c r="N8160" t="str">
        <f>IFERROR(INDEX(tProdutos[Foco],MATCH(tItens[[#This Row],[Produto]],tProdutos[Produto],0)),"Não")</f>
        <v>Não</v>
      </c>
      <c r="O8160" t="str">
        <f>IFERROR(INDEX(tEditais[SRP],MATCH(tItens[[#This Row],[Edital]],tEditais[Edital],0)),"Não")</f>
        <v>Sim</v>
      </c>
      <c r="P8160" s="4">
        <f>IF(COUNTIFS(INDEX(tItens[Edital],1):tItens[[#This Row],[Edital]],tItens[[#This Row],[Edital]],INDEX(tItens[Produto],1):tItens[[#This Row],[Produto]],tItens[[#This Row],[Produto]])=1,1,0)</f>
        <v>1</v>
      </c>
    </row>
    <row r="8161" spans="1:16" x14ac:dyDescent="0.25">
      <c r="A8161" t="s">
        <v>2644</v>
      </c>
      <c r="B8161">
        <v>557</v>
      </c>
      <c r="C8161" t="s">
        <v>10654</v>
      </c>
      <c r="D8161" t="s">
        <v>283</v>
      </c>
      <c r="E8161" s="13">
        <v>150000</v>
      </c>
      <c r="F8161" s="12">
        <v>0.96</v>
      </c>
      <c r="G8161" t="str">
        <f>IFERROR(INDEX(tEditais[Órgão],MATCH(tItens[[#This Row],[Edital]],tEditais[Edital],0)),"")</f>
        <v>CONSORCIO INTEGRADO DE GESTAO PUBLICA DO ENTRE RIOS - CIGAMERIOS</v>
      </c>
      <c r="H8161" t="str">
        <f>IFERROR(INDEX(tEditais[UF],MATCH(tItens[[#This Row],[Edital]],tEditais[Edital],0)),"")</f>
        <v>SC</v>
      </c>
      <c r="I8161" s="11">
        <f>IFERROR(INDEX(tEditais[Encerramento],MATCH(tItens[[#This Row],[Edital]],tEditais[Edital],0)),"")</f>
        <v>46309.332638888889</v>
      </c>
      <c r="J8161" t="str">
        <f>IFERROR(INDEX(tProdutos[Classe],MATCH(tItens[[#This Row],[Produto]],tProdutos[Produto],0)),"produto não cadastrado")</f>
        <v>FORA</v>
      </c>
      <c r="K8161" s="12">
        <f>tItens[[#This Row],[Qtd]]*tItens[[#This Row],[Vlr unit]]</f>
        <v>144000</v>
      </c>
      <c r="L8161" s="6">
        <f>IFERROR(IF(INDEX(tProdutos[Desconto homologado],MATCH(tItens[[#This Row],[Produto]],tProdutos[Produto],0))="",DescontoPadrao,INDEX(tProdutos[Desconto homologado],MATCH(tItens[[#This Row],[Produto]],tProdutos[Produto],0))),DescontoPadrao)</f>
        <v>0.40540540540540498</v>
      </c>
      <c r="M8161" s="12">
        <f>tItens[[#This Row],[Valor]]*(1-tItens[[#This Row],[Desconto]])</f>
        <v>85621.621621621671</v>
      </c>
      <c r="N8161" t="str">
        <f>IFERROR(INDEX(tProdutos[Foco],MATCH(tItens[[#This Row],[Produto]],tProdutos[Produto],0)),"Não")</f>
        <v>Não</v>
      </c>
      <c r="O8161" t="str">
        <f>IFERROR(INDEX(tEditais[SRP],MATCH(tItens[[#This Row],[Edital]],tEditais[Edital],0)),"Não")</f>
        <v>Sim</v>
      </c>
      <c r="P8161" s="4">
        <f>IF(COUNTIFS(INDEX(tItens[Edital],1):tItens[[#This Row],[Edital]],tItens[[#This Row],[Edital]],INDEX(tItens[Produto],1):tItens[[#This Row],[Produto]],tItens[[#This Row],[Produto]])=1,1,0)</f>
        <v>1</v>
      </c>
    </row>
    <row r="8162" spans="1:16" x14ac:dyDescent="0.25">
      <c r="A8162" t="s">
        <v>2644</v>
      </c>
      <c r="B8162">
        <v>558</v>
      </c>
      <c r="C8162" t="s">
        <v>10655</v>
      </c>
      <c r="D8162" t="s">
        <v>283</v>
      </c>
      <c r="E8162" s="13">
        <v>133000</v>
      </c>
      <c r="F8162" s="12">
        <v>0.43</v>
      </c>
      <c r="G8162" t="str">
        <f>IFERROR(INDEX(tEditais[Órgão],MATCH(tItens[[#This Row],[Edital]],tEditais[Edital],0)),"")</f>
        <v>CONSORCIO INTEGRADO DE GESTAO PUBLICA DO ENTRE RIOS - CIGAMERIOS</v>
      </c>
      <c r="H8162" t="str">
        <f>IFERROR(INDEX(tEditais[UF],MATCH(tItens[[#This Row],[Edital]],tEditais[Edital],0)),"")</f>
        <v>SC</v>
      </c>
      <c r="I8162" s="11">
        <f>IFERROR(INDEX(tEditais[Encerramento],MATCH(tItens[[#This Row],[Edital]],tEditais[Edital],0)),"")</f>
        <v>46309.332638888889</v>
      </c>
      <c r="J8162" t="str">
        <f>IFERROR(INDEX(tProdutos[Classe],MATCH(tItens[[#This Row],[Produto]],tProdutos[Produto],0)),"produto não cadastrado")</f>
        <v>FORA</v>
      </c>
      <c r="K8162" s="12">
        <f>tItens[[#This Row],[Qtd]]*tItens[[#This Row],[Vlr unit]]</f>
        <v>57190</v>
      </c>
      <c r="L8162" s="6">
        <f>IFERROR(IF(INDEX(tProdutos[Desconto homologado],MATCH(tItens[[#This Row],[Produto]],tProdutos[Produto],0))="",DescontoPadrao,INDEX(tProdutos[Desconto homologado],MATCH(tItens[[#This Row],[Produto]],tProdutos[Produto],0))),DescontoPadrao)</f>
        <v>0.40540540540540498</v>
      </c>
      <c r="M8162" s="12">
        <f>tItens[[#This Row],[Valor]]*(1-tItens[[#This Row],[Desconto]])</f>
        <v>34004.864864864889</v>
      </c>
      <c r="N8162" t="str">
        <f>IFERROR(INDEX(tProdutos[Foco],MATCH(tItens[[#This Row],[Produto]],tProdutos[Produto],0)),"Não")</f>
        <v>Não</v>
      </c>
      <c r="O8162" t="str">
        <f>IFERROR(INDEX(tEditais[SRP],MATCH(tItens[[#This Row],[Edital]],tEditais[Edital],0)),"Não")</f>
        <v>Sim</v>
      </c>
      <c r="P8162" s="4">
        <f>IF(COUNTIFS(INDEX(tItens[Edital],1):tItens[[#This Row],[Edital]],tItens[[#This Row],[Edital]],INDEX(tItens[Produto],1):tItens[[#This Row],[Produto]],tItens[[#This Row],[Produto]])=1,1,0)</f>
        <v>0</v>
      </c>
    </row>
    <row r="8163" spans="1:16" x14ac:dyDescent="0.25">
      <c r="A8163" t="s">
        <v>2644</v>
      </c>
      <c r="B8163">
        <v>559</v>
      </c>
      <c r="C8163" t="s">
        <v>10656</v>
      </c>
      <c r="D8163" t="s">
        <v>265</v>
      </c>
      <c r="E8163" s="13">
        <v>134000</v>
      </c>
      <c r="F8163" s="12">
        <v>0.37</v>
      </c>
      <c r="G8163" t="str">
        <f>IFERROR(INDEX(tEditais[Órgão],MATCH(tItens[[#This Row],[Edital]],tEditais[Edital],0)),"")</f>
        <v>CONSORCIO INTEGRADO DE GESTAO PUBLICA DO ENTRE RIOS - CIGAMERIOS</v>
      </c>
      <c r="H8163" t="str">
        <f>IFERROR(INDEX(tEditais[UF],MATCH(tItens[[#This Row],[Edital]],tEditais[Edital],0)),"")</f>
        <v>SC</v>
      </c>
      <c r="I8163" s="11">
        <f>IFERROR(INDEX(tEditais[Encerramento],MATCH(tItens[[#This Row],[Edital]],tEditais[Edital],0)),"")</f>
        <v>46309.332638888889</v>
      </c>
      <c r="J8163" t="str">
        <f>IFERROR(INDEX(tProdutos[Classe],MATCH(tItens[[#This Row],[Produto]],tProdutos[Produto],0)),"produto não cadastrado")</f>
        <v>DISPUTADO</v>
      </c>
      <c r="K8163" s="12">
        <f>tItens[[#This Row],[Qtd]]*tItens[[#This Row],[Vlr unit]]</f>
        <v>49580</v>
      </c>
      <c r="L8163" s="6">
        <f>IFERROR(IF(INDEX(tProdutos[Desconto homologado],MATCH(tItens[[#This Row],[Produto]],tProdutos[Produto],0))="",DescontoPadrao,INDEX(tProdutos[Desconto homologado],MATCH(tItens[[#This Row],[Produto]],tProdutos[Produto],0))),DescontoPadrao)</f>
        <v>0.377587663709337</v>
      </c>
      <c r="M8163" s="12">
        <f>tItens[[#This Row],[Valor]]*(1-tItens[[#This Row],[Desconto]])</f>
        <v>30859.203633291076</v>
      </c>
      <c r="N8163" t="str">
        <f>IFERROR(INDEX(tProdutos[Foco],MATCH(tItens[[#This Row],[Produto]],tProdutos[Produto],0)),"Não")</f>
        <v>Não</v>
      </c>
      <c r="O8163" t="str">
        <f>IFERROR(INDEX(tEditais[SRP],MATCH(tItens[[#This Row],[Edital]],tEditais[Edital],0)),"Não")</f>
        <v>Sim</v>
      </c>
      <c r="P8163" s="4">
        <f>IF(COUNTIFS(INDEX(tItens[Edital],1):tItens[[#This Row],[Edital]],tItens[[#This Row],[Edital]],INDEX(tItens[Produto],1):tItens[[#This Row],[Produto]],tItens[[#This Row],[Produto]])=1,1,0)</f>
        <v>1</v>
      </c>
    </row>
    <row r="8164" spans="1:16" x14ac:dyDescent="0.25">
      <c r="A8164" t="s">
        <v>2644</v>
      </c>
      <c r="B8164">
        <v>560</v>
      </c>
      <c r="C8164" t="s">
        <v>10657</v>
      </c>
      <c r="D8164" t="s">
        <v>265</v>
      </c>
      <c r="E8164" s="13">
        <v>126000</v>
      </c>
      <c r="F8164" s="12">
        <v>0.19</v>
      </c>
      <c r="G8164" t="str">
        <f>IFERROR(INDEX(tEditais[Órgão],MATCH(tItens[[#This Row],[Edital]],tEditais[Edital],0)),"")</f>
        <v>CONSORCIO INTEGRADO DE GESTAO PUBLICA DO ENTRE RIOS - CIGAMERIOS</v>
      </c>
      <c r="H8164" t="str">
        <f>IFERROR(INDEX(tEditais[UF],MATCH(tItens[[#This Row],[Edital]],tEditais[Edital],0)),"")</f>
        <v>SC</v>
      </c>
      <c r="I8164" s="11">
        <f>IFERROR(INDEX(tEditais[Encerramento],MATCH(tItens[[#This Row],[Edital]],tEditais[Edital],0)),"")</f>
        <v>46309.332638888889</v>
      </c>
      <c r="J8164" t="str">
        <f>IFERROR(INDEX(tProdutos[Classe],MATCH(tItens[[#This Row],[Produto]],tProdutos[Produto],0)),"produto não cadastrado")</f>
        <v>DISPUTADO</v>
      </c>
      <c r="K8164" s="12">
        <f>tItens[[#This Row],[Qtd]]*tItens[[#This Row],[Vlr unit]]</f>
        <v>23940</v>
      </c>
      <c r="L8164" s="6">
        <f>IFERROR(IF(INDEX(tProdutos[Desconto homologado],MATCH(tItens[[#This Row],[Produto]],tProdutos[Produto],0))="",DescontoPadrao,INDEX(tProdutos[Desconto homologado],MATCH(tItens[[#This Row],[Produto]],tProdutos[Produto],0))),DescontoPadrao)</f>
        <v>0.377587663709337</v>
      </c>
      <c r="M8164" s="12">
        <f>tItens[[#This Row],[Valor]]*(1-tItens[[#This Row],[Desconto]])</f>
        <v>14900.551330798473</v>
      </c>
      <c r="N8164" t="str">
        <f>IFERROR(INDEX(tProdutos[Foco],MATCH(tItens[[#This Row],[Produto]],tProdutos[Produto],0)),"Não")</f>
        <v>Não</v>
      </c>
      <c r="O8164" t="str">
        <f>IFERROR(INDEX(tEditais[SRP],MATCH(tItens[[#This Row],[Edital]],tEditais[Edital],0)),"Não")</f>
        <v>Sim</v>
      </c>
      <c r="P8164" s="4">
        <f>IF(COUNTIFS(INDEX(tItens[Edital],1):tItens[[#This Row],[Edital]],tItens[[#This Row],[Edital]],INDEX(tItens[Produto],1):tItens[[#This Row],[Produto]],tItens[[#This Row],[Produto]])=1,1,0)</f>
        <v>0</v>
      </c>
    </row>
    <row r="8165" spans="1:16" x14ac:dyDescent="0.25">
      <c r="A8165" t="s">
        <v>2644</v>
      </c>
      <c r="B8165">
        <v>561</v>
      </c>
      <c r="C8165" t="s">
        <v>10658</v>
      </c>
      <c r="D8165" t="s">
        <v>317</v>
      </c>
      <c r="E8165" s="13">
        <v>24450</v>
      </c>
      <c r="F8165" s="12">
        <v>69.59</v>
      </c>
      <c r="G8165" t="str">
        <f>IFERROR(INDEX(tEditais[Órgão],MATCH(tItens[[#This Row],[Edital]],tEditais[Edital],0)),"")</f>
        <v>CONSORCIO INTEGRADO DE GESTAO PUBLICA DO ENTRE RIOS - CIGAMERIOS</v>
      </c>
      <c r="H8165" t="str">
        <f>IFERROR(INDEX(tEditais[UF],MATCH(tItens[[#This Row],[Edital]],tEditais[Edital],0)),"")</f>
        <v>SC</v>
      </c>
      <c r="I8165" s="11">
        <f>IFERROR(INDEX(tEditais[Encerramento],MATCH(tItens[[#This Row],[Edital]],tEditais[Edital],0)),"")</f>
        <v>46309.332638888889</v>
      </c>
      <c r="J8165" t="str">
        <f>IFERROR(INDEX(tProdutos[Classe],MATCH(tItens[[#This Row],[Produto]],tProdutos[Produto],0)),"produto não cadastrado")</f>
        <v>FORA</v>
      </c>
      <c r="K8165" s="12">
        <f>tItens[[#This Row],[Qtd]]*tItens[[#This Row],[Vlr unit]]</f>
        <v>1701475.5</v>
      </c>
      <c r="L8165" s="6">
        <f>IFERROR(IF(INDEX(tProdutos[Desconto homologado],MATCH(tItens[[#This Row],[Produto]],tProdutos[Produto],0))="",DescontoPadrao,INDEX(tProdutos[Desconto homologado],MATCH(tItens[[#This Row],[Produto]],tProdutos[Produto],0))),DescontoPadrao)</f>
        <v>0.5</v>
      </c>
      <c r="M8165" s="12">
        <f>tItens[[#This Row],[Valor]]*(1-tItens[[#This Row],[Desconto]])</f>
        <v>850737.75</v>
      </c>
      <c r="N8165" t="str">
        <f>IFERROR(INDEX(tProdutos[Foco],MATCH(tItens[[#This Row],[Produto]],tProdutos[Produto],0)),"Não")</f>
        <v>Não</v>
      </c>
      <c r="O8165" t="str">
        <f>IFERROR(INDEX(tEditais[SRP],MATCH(tItens[[#This Row],[Edital]],tEditais[Edital],0)),"Não")</f>
        <v>Sim</v>
      </c>
      <c r="P8165" s="4">
        <f>IF(COUNTIFS(INDEX(tItens[Edital],1):tItens[[#This Row],[Edital]],tItens[[#This Row],[Edital]],INDEX(tItens[Produto],1):tItens[[#This Row],[Produto]],tItens[[#This Row],[Produto]])=1,1,0)</f>
        <v>1</v>
      </c>
    </row>
    <row r="8166" spans="1:16" x14ac:dyDescent="0.25">
      <c r="A8166" t="s">
        <v>2644</v>
      </c>
      <c r="B8166">
        <v>562</v>
      </c>
      <c r="C8166" t="s">
        <v>10659</v>
      </c>
      <c r="D8166" t="s">
        <v>317</v>
      </c>
      <c r="E8166" s="13">
        <v>61200</v>
      </c>
      <c r="F8166" s="12">
        <v>0.85</v>
      </c>
      <c r="G8166" t="str">
        <f>IFERROR(INDEX(tEditais[Órgão],MATCH(tItens[[#This Row],[Edital]],tEditais[Edital],0)),"")</f>
        <v>CONSORCIO INTEGRADO DE GESTAO PUBLICA DO ENTRE RIOS - CIGAMERIOS</v>
      </c>
      <c r="H8166" t="str">
        <f>IFERROR(INDEX(tEditais[UF],MATCH(tItens[[#This Row],[Edital]],tEditais[Edital],0)),"")</f>
        <v>SC</v>
      </c>
      <c r="I8166" s="11">
        <f>IFERROR(INDEX(tEditais[Encerramento],MATCH(tItens[[#This Row],[Edital]],tEditais[Edital],0)),"")</f>
        <v>46309.332638888889</v>
      </c>
      <c r="J8166" t="str">
        <f>IFERROR(INDEX(tProdutos[Classe],MATCH(tItens[[#This Row],[Produto]],tProdutos[Produto],0)),"produto não cadastrado")</f>
        <v>FORA</v>
      </c>
      <c r="K8166" s="12">
        <f>tItens[[#This Row],[Qtd]]*tItens[[#This Row],[Vlr unit]]</f>
        <v>52020</v>
      </c>
      <c r="L8166" s="6">
        <f>IFERROR(IF(INDEX(tProdutos[Desconto homologado],MATCH(tItens[[#This Row],[Produto]],tProdutos[Produto],0))="",DescontoPadrao,INDEX(tProdutos[Desconto homologado],MATCH(tItens[[#This Row],[Produto]],tProdutos[Produto],0))),DescontoPadrao)</f>
        <v>0.5</v>
      </c>
      <c r="M8166" s="12">
        <f>tItens[[#This Row],[Valor]]*(1-tItens[[#This Row],[Desconto]])</f>
        <v>26010</v>
      </c>
      <c r="N8166" t="str">
        <f>IFERROR(INDEX(tProdutos[Foco],MATCH(tItens[[#This Row],[Produto]],tProdutos[Produto],0)),"Não")</f>
        <v>Não</v>
      </c>
      <c r="O8166" t="str">
        <f>IFERROR(INDEX(tEditais[SRP],MATCH(tItens[[#This Row],[Edital]],tEditais[Edital],0)),"Não")</f>
        <v>Sim</v>
      </c>
      <c r="P8166" s="4">
        <f>IF(COUNTIFS(INDEX(tItens[Edital],1):tItens[[#This Row],[Edital]],tItens[[#This Row],[Edital]],INDEX(tItens[Produto],1):tItens[[#This Row],[Produto]],tItens[[#This Row],[Produto]])=1,1,0)</f>
        <v>0</v>
      </c>
    </row>
    <row r="8167" spans="1:16" x14ac:dyDescent="0.25">
      <c r="A8167" t="s">
        <v>2644</v>
      </c>
      <c r="B8167">
        <v>631</v>
      </c>
      <c r="C8167" t="s">
        <v>10660</v>
      </c>
      <c r="D8167" t="s">
        <v>164</v>
      </c>
      <c r="E8167" s="13">
        <v>585</v>
      </c>
      <c r="F8167" s="12">
        <v>15.18</v>
      </c>
      <c r="G8167" t="str">
        <f>IFERROR(INDEX(tEditais[Órgão],MATCH(tItens[[#This Row],[Edital]],tEditais[Edital],0)),"")</f>
        <v>CONSORCIO INTEGRADO DE GESTAO PUBLICA DO ENTRE RIOS - CIGAMERIOS</v>
      </c>
      <c r="H8167" t="str">
        <f>IFERROR(INDEX(tEditais[UF],MATCH(tItens[[#This Row],[Edital]],tEditais[Edital],0)),"")</f>
        <v>SC</v>
      </c>
      <c r="I8167" s="11">
        <f>IFERROR(INDEX(tEditais[Encerramento],MATCH(tItens[[#This Row],[Edital]],tEditais[Edital],0)),"")</f>
        <v>46309.332638888889</v>
      </c>
      <c r="J8167" t="str">
        <f>IFERROR(INDEX(tProdutos[Classe],MATCH(tItens[[#This Row],[Produto]],tProdutos[Produto],0)),"produto não cadastrado")</f>
        <v>DISPUTADO</v>
      </c>
      <c r="K8167" s="12">
        <f>tItens[[#This Row],[Qtd]]*tItens[[#This Row],[Vlr unit]]</f>
        <v>8880.2999999999993</v>
      </c>
      <c r="L8167" s="6">
        <f>IFERROR(IF(INDEX(tProdutos[Desconto homologado],MATCH(tItens[[#This Row],[Produto]],tProdutos[Produto],0))="",DescontoPadrao,INDEX(tProdutos[Desconto homologado],MATCH(tItens[[#This Row],[Produto]],tProdutos[Produto],0))),DescontoPadrao)</f>
        <v>0.445300462249615</v>
      </c>
      <c r="M8167" s="12">
        <f>tItens[[#This Row],[Valor]]*(1-tItens[[#This Row],[Desconto]])</f>
        <v>4925.8983050847428</v>
      </c>
      <c r="N8167" t="str">
        <f>IFERROR(INDEX(tProdutos[Foco],MATCH(tItens[[#This Row],[Produto]],tProdutos[Produto],0)),"Não")</f>
        <v>Não</v>
      </c>
      <c r="O8167" t="str">
        <f>IFERROR(INDEX(tEditais[SRP],MATCH(tItens[[#This Row],[Edital]],tEditais[Edital],0)),"Não")</f>
        <v>Sim</v>
      </c>
      <c r="P8167" s="4">
        <f>IF(COUNTIFS(INDEX(tItens[Edital],1):tItens[[#This Row],[Edital]],tItens[[#This Row],[Edital]],INDEX(tItens[Produto],1):tItens[[#This Row],[Produto]],tItens[[#This Row],[Produto]])=1,1,0)</f>
        <v>1</v>
      </c>
    </row>
    <row r="8168" spans="1:16" x14ac:dyDescent="0.25">
      <c r="A8168" t="s">
        <v>2644</v>
      </c>
      <c r="B8168">
        <v>632</v>
      </c>
      <c r="C8168" t="s">
        <v>10661</v>
      </c>
      <c r="D8168" t="s">
        <v>164</v>
      </c>
      <c r="E8168" s="13">
        <v>616</v>
      </c>
      <c r="F8168" s="12">
        <v>7.97</v>
      </c>
      <c r="G8168" t="str">
        <f>IFERROR(INDEX(tEditais[Órgão],MATCH(tItens[[#This Row],[Edital]],tEditais[Edital],0)),"")</f>
        <v>CONSORCIO INTEGRADO DE GESTAO PUBLICA DO ENTRE RIOS - CIGAMERIOS</v>
      </c>
      <c r="H8168" t="str">
        <f>IFERROR(INDEX(tEditais[UF],MATCH(tItens[[#This Row],[Edital]],tEditais[Edital],0)),"")</f>
        <v>SC</v>
      </c>
      <c r="I8168" s="11">
        <f>IFERROR(INDEX(tEditais[Encerramento],MATCH(tItens[[#This Row],[Edital]],tEditais[Edital],0)),"")</f>
        <v>46309.332638888889</v>
      </c>
      <c r="J8168" t="str">
        <f>IFERROR(INDEX(tProdutos[Classe],MATCH(tItens[[#This Row],[Produto]],tProdutos[Produto],0)),"produto não cadastrado")</f>
        <v>DISPUTADO</v>
      </c>
      <c r="K8168" s="12">
        <f>tItens[[#This Row],[Qtd]]*tItens[[#This Row],[Vlr unit]]</f>
        <v>4909.5199999999995</v>
      </c>
      <c r="L8168" s="6">
        <f>IFERROR(IF(INDEX(tProdutos[Desconto homologado],MATCH(tItens[[#This Row],[Produto]],tProdutos[Produto],0))="",DescontoPadrao,INDEX(tProdutos[Desconto homologado],MATCH(tItens[[#This Row],[Produto]],tProdutos[Produto],0))),DescontoPadrao)</f>
        <v>0.445300462249615</v>
      </c>
      <c r="M8168" s="12">
        <f>tItens[[#This Row],[Valor]]*(1-tItens[[#This Row],[Desconto]])</f>
        <v>2723.3084745762694</v>
      </c>
      <c r="N8168" t="str">
        <f>IFERROR(INDEX(tProdutos[Foco],MATCH(tItens[[#This Row],[Produto]],tProdutos[Produto],0)),"Não")</f>
        <v>Não</v>
      </c>
      <c r="O8168" t="str">
        <f>IFERROR(INDEX(tEditais[SRP],MATCH(tItens[[#This Row],[Edital]],tEditais[Edital],0)),"Não")</f>
        <v>Sim</v>
      </c>
      <c r="P8168" s="4">
        <f>IF(COUNTIFS(INDEX(tItens[Edital],1):tItens[[#This Row],[Edital]],tItens[[#This Row],[Edital]],INDEX(tItens[Produto],1):tItens[[#This Row],[Produto]],tItens[[#This Row],[Produto]])=1,1,0)</f>
        <v>0</v>
      </c>
    </row>
    <row r="8169" spans="1:16" x14ac:dyDescent="0.25">
      <c r="A8169" t="s">
        <v>2644</v>
      </c>
      <c r="B8169">
        <v>633</v>
      </c>
      <c r="C8169" t="s">
        <v>10662</v>
      </c>
      <c r="D8169" t="s">
        <v>164</v>
      </c>
      <c r="E8169" s="13">
        <v>666</v>
      </c>
      <c r="F8169" s="12">
        <v>7.68</v>
      </c>
      <c r="G8169" t="str">
        <f>IFERROR(INDEX(tEditais[Órgão],MATCH(tItens[[#This Row],[Edital]],tEditais[Edital],0)),"")</f>
        <v>CONSORCIO INTEGRADO DE GESTAO PUBLICA DO ENTRE RIOS - CIGAMERIOS</v>
      </c>
      <c r="H8169" t="str">
        <f>IFERROR(INDEX(tEditais[UF],MATCH(tItens[[#This Row],[Edital]],tEditais[Edital],0)),"")</f>
        <v>SC</v>
      </c>
      <c r="I8169" s="11">
        <f>IFERROR(INDEX(tEditais[Encerramento],MATCH(tItens[[#This Row],[Edital]],tEditais[Edital],0)),"")</f>
        <v>46309.332638888889</v>
      </c>
      <c r="J8169" t="str">
        <f>IFERROR(INDEX(tProdutos[Classe],MATCH(tItens[[#This Row],[Produto]],tProdutos[Produto],0)),"produto não cadastrado")</f>
        <v>DISPUTADO</v>
      </c>
      <c r="K8169" s="12">
        <f>tItens[[#This Row],[Qtd]]*tItens[[#This Row],[Vlr unit]]</f>
        <v>5114.88</v>
      </c>
      <c r="L8169" s="6">
        <f>IFERROR(IF(INDEX(tProdutos[Desconto homologado],MATCH(tItens[[#This Row],[Produto]],tProdutos[Produto],0))="",DescontoPadrao,INDEX(tProdutos[Desconto homologado],MATCH(tItens[[#This Row],[Produto]],tProdutos[Produto],0))),DescontoPadrao)</f>
        <v>0.445300462249615</v>
      </c>
      <c r="M8169" s="12">
        <f>tItens[[#This Row],[Valor]]*(1-tItens[[#This Row],[Desconto]])</f>
        <v>2837.221571648689</v>
      </c>
      <c r="N8169" t="str">
        <f>IFERROR(INDEX(tProdutos[Foco],MATCH(tItens[[#This Row],[Produto]],tProdutos[Produto],0)),"Não")</f>
        <v>Não</v>
      </c>
      <c r="O8169" t="str">
        <f>IFERROR(INDEX(tEditais[SRP],MATCH(tItens[[#This Row],[Edital]],tEditais[Edital],0)),"Não")</f>
        <v>Sim</v>
      </c>
      <c r="P8169" s="4">
        <f>IF(COUNTIFS(INDEX(tItens[Edital],1):tItens[[#This Row],[Edital]],tItens[[#This Row],[Edital]],INDEX(tItens[Produto],1):tItens[[#This Row],[Produto]],tItens[[#This Row],[Produto]])=1,1,0)</f>
        <v>0</v>
      </c>
    </row>
    <row r="8170" spans="1:16" x14ac:dyDescent="0.25">
      <c r="A8170" t="s">
        <v>2644</v>
      </c>
      <c r="B8170">
        <v>634</v>
      </c>
      <c r="C8170" t="s">
        <v>10663</v>
      </c>
      <c r="D8170" t="s">
        <v>110</v>
      </c>
      <c r="E8170" s="13">
        <v>621</v>
      </c>
      <c r="F8170" s="12">
        <v>5.0199999999999996</v>
      </c>
      <c r="G8170" t="str">
        <f>IFERROR(INDEX(tEditais[Órgão],MATCH(tItens[[#This Row],[Edital]],tEditais[Edital],0)),"")</f>
        <v>CONSORCIO INTEGRADO DE GESTAO PUBLICA DO ENTRE RIOS - CIGAMERIOS</v>
      </c>
      <c r="H8170" t="str">
        <f>IFERROR(INDEX(tEditais[UF],MATCH(tItens[[#This Row],[Edital]],tEditais[Edital],0)),"")</f>
        <v>SC</v>
      </c>
      <c r="I8170" s="11">
        <f>IFERROR(INDEX(tEditais[Encerramento],MATCH(tItens[[#This Row],[Edital]],tEditais[Edital],0)),"")</f>
        <v>46309.332638888889</v>
      </c>
      <c r="J8170" t="str">
        <f>IFERROR(INDEX(tProdutos[Classe],MATCH(tItens[[#This Row],[Produto]],tProdutos[Produto],0)),"produto não cadastrado")</f>
        <v>NÚCLEO</v>
      </c>
      <c r="K8170" s="12">
        <f>tItens[[#This Row],[Qtd]]*tItens[[#This Row],[Vlr unit]]</f>
        <v>3117.4199999999996</v>
      </c>
      <c r="L8170" s="6">
        <f>IFERROR(IF(INDEX(tProdutos[Desconto homologado],MATCH(tItens[[#This Row],[Produto]],tProdutos[Produto],0))="",DescontoPadrao,INDEX(tProdutos[Desconto homologado],MATCH(tItens[[#This Row],[Produto]],tProdutos[Produto],0))),DescontoPadrao)</f>
        <v>0.30410958904109597</v>
      </c>
      <c r="M8170" s="12">
        <f>tItens[[#This Row],[Valor]]*(1-tItens[[#This Row],[Desconto]])</f>
        <v>2169.3826849315064</v>
      </c>
      <c r="N8170" t="str">
        <f>IFERROR(INDEX(tProdutos[Foco],MATCH(tItens[[#This Row],[Produto]],tProdutos[Produto],0)),"Não")</f>
        <v>Não</v>
      </c>
      <c r="O8170" t="str">
        <f>IFERROR(INDEX(tEditais[SRP],MATCH(tItens[[#This Row],[Edital]],tEditais[Edital],0)),"Não")</f>
        <v>Sim</v>
      </c>
      <c r="P8170" s="4">
        <f>IF(COUNTIFS(INDEX(tItens[Edital],1):tItens[[#This Row],[Edital]],tItens[[#This Row],[Edital]],INDEX(tItens[Produto],1):tItens[[#This Row],[Produto]],tItens[[#This Row],[Produto]])=1,1,0)</f>
        <v>1</v>
      </c>
    </row>
    <row r="8171" spans="1:16" x14ac:dyDescent="0.25">
      <c r="A8171" t="s">
        <v>2644</v>
      </c>
      <c r="B8171">
        <v>635</v>
      </c>
      <c r="C8171" t="s">
        <v>10664</v>
      </c>
      <c r="D8171" t="s">
        <v>110</v>
      </c>
      <c r="E8171" s="13">
        <v>621</v>
      </c>
      <c r="F8171" s="12">
        <v>2.23</v>
      </c>
      <c r="G8171" t="str">
        <f>IFERROR(INDEX(tEditais[Órgão],MATCH(tItens[[#This Row],[Edital]],tEditais[Edital],0)),"")</f>
        <v>CONSORCIO INTEGRADO DE GESTAO PUBLICA DO ENTRE RIOS - CIGAMERIOS</v>
      </c>
      <c r="H8171" t="str">
        <f>IFERROR(INDEX(tEditais[UF],MATCH(tItens[[#This Row],[Edital]],tEditais[Edital],0)),"")</f>
        <v>SC</v>
      </c>
      <c r="I8171" s="11">
        <f>IFERROR(INDEX(tEditais[Encerramento],MATCH(tItens[[#This Row],[Edital]],tEditais[Edital],0)),"")</f>
        <v>46309.332638888889</v>
      </c>
      <c r="J8171" t="str">
        <f>IFERROR(INDEX(tProdutos[Classe],MATCH(tItens[[#This Row],[Produto]],tProdutos[Produto],0)),"produto não cadastrado")</f>
        <v>NÚCLEO</v>
      </c>
      <c r="K8171" s="12">
        <f>tItens[[#This Row],[Qtd]]*tItens[[#This Row],[Vlr unit]]</f>
        <v>1384.83</v>
      </c>
      <c r="L8171" s="6">
        <f>IFERROR(IF(INDEX(tProdutos[Desconto homologado],MATCH(tItens[[#This Row],[Produto]],tProdutos[Produto],0))="",DescontoPadrao,INDEX(tProdutos[Desconto homologado],MATCH(tItens[[#This Row],[Produto]],tProdutos[Produto],0))),DescontoPadrao)</f>
        <v>0.30410958904109597</v>
      </c>
      <c r="M8171" s="12">
        <f>tItens[[#This Row],[Valor]]*(1-tItens[[#This Row],[Desconto]])</f>
        <v>963.68991780821898</v>
      </c>
      <c r="N8171" t="str">
        <f>IFERROR(INDEX(tProdutos[Foco],MATCH(tItens[[#This Row],[Produto]],tProdutos[Produto],0)),"Não")</f>
        <v>Não</v>
      </c>
      <c r="O8171" t="str">
        <f>IFERROR(INDEX(tEditais[SRP],MATCH(tItens[[#This Row],[Edital]],tEditais[Edital],0)),"Não")</f>
        <v>Sim</v>
      </c>
      <c r="P8171" s="4">
        <f>IF(COUNTIFS(INDEX(tItens[Edital],1):tItens[[#This Row],[Edital]],tItens[[#This Row],[Edital]],INDEX(tItens[Produto],1):tItens[[#This Row],[Produto]],tItens[[#This Row],[Produto]])=1,1,0)</f>
        <v>0</v>
      </c>
    </row>
    <row r="8172" spans="1:16" x14ac:dyDescent="0.25">
      <c r="A8172" t="s">
        <v>2644</v>
      </c>
      <c r="B8172">
        <v>636</v>
      </c>
      <c r="C8172" t="s">
        <v>10665</v>
      </c>
      <c r="D8172" t="s">
        <v>110</v>
      </c>
      <c r="E8172" s="13">
        <v>651</v>
      </c>
      <c r="F8172" s="12">
        <v>1.18</v>
      </c>
      <c r="G8172" t="str">
        <f>IFERROR(INDEX(tEditais[Órgão],MATCH(tItens[[#This Row],[Edital]],tEditais[Edital],0)),"")</f>
        <v>CONSORCIO INTEGRADO DE GESTAO PUBLICA DO ENTRE RIOS - CIGAMERIOS</v>
      </c>
      <c r="H8172" t="str">
        <f>IFERROR(INDEX(tEditais[UF],MATCH(tItens[[#This Row],[Edital]],tEditais[Edital],0)),"")</f>
        <v>SC</v>
      </c>
      <c r="I8172" s="11">
        <f>IFERROR(INDEX(tEditais[Encerramento],MATCH(tItens[[#This Row],[Edital]],tEditais[Edital],0)),"")</f>
        <v>46309.332638888889</v>
      </c>
      <c r="J8172" t="str">
        <f>IFERROR(INDEX(tProdutos[Classe],MATCH(tItens[[#This Row],[Produto]],tProdutos[Produto],0)),"produto não cadastrado")</f>
        <v>NÚCLEO</v>
      </c>
      <c r="K8172" s="12">
        <f>tItens[[#This Row],[Qtd]]*tItens[[#This Row],[Vlr unit]]</f>
        <v>768.18</v>
      </c>
      <c r="L8172" s="6">
        <f>IFERROR(IF(INDEX(tProdutos[Desconto homologado],MATCH(tItens[[#This Row],[Produto]],tProdutos[Produto],0))="",DescontoPadrao,INDEX(tProdutos[Desconto homologado],MATCH(tItens[[#This Row],[Produto]],tProdutos[Produto],0))),DescontoPadrao)</f>
        <v>0.30410958904109597</v>
      </c>
      <c r="M8172" s="12">
        <f>tItens[[#This Row],[Valor]]*(1-tItens[[#This Row],[Desconto]])</f>
        <v>534.56909589041084</v>
      </c>
      <c r="N8172" t="str">
        <f>IFERROR(INDEX(tProdutos[Foco],MATCH(tItens[[#This Row],[Produto]],tProdutos[Produto],0)),"Não")</f>
        <v>Não</v>
      </c>
      <c r="O8172" t="str">
        <f>IFERROR(INDEX(tEditais[SRP],MATCH(tItens[[#This Row],[Edital]],tEditais[Edital],0)),"Não")</f>
        <v>Sim</v>
      </c>
      <c r="P8172" s="4">
        <f>IF(COUNTIFS(INDEX(tItens[Edital],1):tItens[[#This Row],[Edital]],tItens[[#This Row],[Edital]],INDEX(tItens[Produto],1):tItens[[#This Row],[Produto]],tItens[[#This Row],[Produto]])=1,1,0)</f>
        <v>0</v>
      </c>
    </row>
    <row r="8173" spans="1:16" x14ac:dyDescent="0.25">
      <c r="A8173" t="s">
        <v>2644</v>
      </c>
      <c r="B8173">
        <v>637</v>
      </c>
      <c r="C8173" t="s">
        <v>10666</v>
      </c>
      <c r="D8173" t="s">
        <v>110</v>
      </c>
      <c r="E8173" s="13">
        <v>691</v>
      </c>
      <c r="F8173" s="12">
        <v>2.0099999999999998</v>
      </c>
      <c r="G8173" t="str">
        <f>IFERROR(INDEX(tEditais[Órgão],MATCH(tItens[[#This Row],[Edital]],tEditais[Edital],0)),"")</f>
        <v>CONSORCIO INTEGRADO DE GESTAO PUBLICA DO ENTRE RIOS - CIGAMERIOS</v>
      </c>
      <c r="H8173" t="str">
        <f>IFERROR(INDEX(tEditais[UF],MATCH(tItens[[#This Row],[Edital]],tEditais[Edital],0)),"")</f>
        <v>SC</v>
      </c>
      <c r="I8173" s="11">
        <f>IFERROR(INDEX(tEditais[Encerramento],MATCH(tItens[[#This Row],[Edital]],tEditais[Edital],0)),"")</f>
        <v>46309.332638888889</v>
      </c>
      <c r="J8173" t="str">
        <f>IFERROR(INDEX(tProdutos[Classe],MATCH(tItens[[#This Row],[Produto]],tProdutos[Produto],0)),"produto não cadastrado")</f>
        <v>NÚCLEO</v>
      </c>
      <c r="K8173" s="12">
        <f>tItens[[#This Row],[Qtd]]*tItens[[#This Row],[Vlr unit]]</f>
        <v>1388.9099999999999</v>
      </c>
      <c r="L8173" s="6">
        <f>IFERROR(IF(INDEX(tProdutos[Desconto homologado],MATCH(tItens[[#This Row],[Produto]],tProdutos[Produto],0))="",DescontoPadrao,INDEX(tProdutos[Desconto homologado],MATCH(tItens[[#This Row],[Produto]],tProdutos[Produto],0))),DescontoPadrao)</f>
        <v>0.30410958904109597</v>
      </c>
      <c r="M8173" s="12">
        <f>tItens[[#This Row],[Valor]]*(1-tItens[[#This Row],[Desconto]])</f>
        <v>966.52915068493132</v>
      </c>
      <c r="N8173" t="str">
        <f>IFERROR(INDEX(tProdutos[Foco],MATCH(tItens[[#This Row],[Produto]],tProdutos[Produto],0)),"Não")</f>
        <v>Não</v>
      </c>
      <c r="O8173" t="str">
        <f>IFERROR(INDEX(tEditais[SRP],MATCH(tItens[[#This Row],[Edital]],tEditais[Edital],0)),"Não")</f>
        <v>Sim</v>
      </c>
      <c r="P8173" s="4">
        <f>IF(COUNTIFS(INDEX(tItens[Edital],1):tItens[[#This Row],[Edital]],tItens[[#This Row],[Edital]],INDEX(tItens[Produto],1):tItens[[#This Row],[Produto]],tItens[[#This Row],[Produto]])=1,1,0)</f>
        <v>0</v>
      </c>
    </row>
    <row r="8174" spans="1:16" x14ac:dyDescent="0.25">
      <c r="A8174" t="s">
        <v>2644</v>
      </c>
      <c r="B8174">
        <v>638</v>
      </c>
      <c r="C8174" t="s">
        <v>10667</v>
      </c>
      <c r="D8174" t="s">
        <v>110</v>
      </c>
      <c r="E8174" s="13">
        <v>681</v>
      </c>
      <c r="F8174" s="12">
        <v>1.06</v>
      </c>
      <c r="G8174" t="str">
        <f>IFERROR(INDEX(tEditais[Órgão],MATCH(tItens[[#This Row],[Edital]],tEditais[Edital],0)),"")</f>
        <v>CONSORCIO INTEGRADO DE GESTAO PUBLICA DO ENTRE RIOS - CIGAMERIOS</v>
      </c>
      <c r="H8174" t="str">
        <f>IFERROR(INDEX(tEditais[UF],MATCH(tItens[[#This Row],[Edital]],tEditais[Edital],0)),"")</f>
        <v>SC</v>
      </c>
      <c r="I8174" s="11">
        <f>IFERROR(INDEX(tEditais[Encerramento],MATCH(tItens[[#This Row],[Edital]],tEditais[Edital],0)),"")</f>
        <v>46309.332638888889</v>
      </c>
      <c r="J8174" t="str">
        <f>IFERROR(INDEX(tProdutos[Classe],MATCH(tItens[[#This Row],[Produto]],tProdutos[Produto],0)),"produto não cadastrado")</f>
        <v>NÚCLEO</v>
      </c>
      <c r="K8174" s="12">
        <f>tItens[[#This Row],[Qtd]]*tItens[[#This Row],[Vlr unit]]</f>
        <v>721.86</v>
      </c>
      <c r="L8174" s="6">
        <f>IFERROR(IF(INDEX(tProdutos[Desconto homologado],MATCH(tItens[[#This Row],[Produto]],tProdutos[Produto],0))="",DescontoPadrao,INDEX(tProdutos[Desconto homologado],MATCH(tItens[[#This Row],[Produto]],tProdutos[Produto],0))),DescontoPadrao)</f>
        <v>0.30410958904109597</v>
      </c>
      <c r="M8174" s="12">
        <f>tItens[[#This Row],[Valor]]*(1-tItens[[#This Row],[Desconto]])</f>
        <v>502.33545205479447</v>
      </c>
      <c r="N8174" t="str">
        <f>IFERROR(INDEX(tProdutos[Foco],MATCH(tItens[[#This Row],[Produto]],tProdutos[Produto],0)),"Não")</f>
        <v>Não</v>
      </c>
      <c r="O8174" t="str">
        <f>IFERROR(INDEX(tEditais[SRP],MATCH(tItens[[#This Row],[Edital]],tEditais[Edital],0)),"Não")</f>
        <v>Sim</v>
      </c>
      <c r="P8174" s="4">
        <f>IF(COUNTIFS(INDEX(tItens[Edital],1):tItens[[#This Row],[Edital]],tItens[[#This Row],[Edital]],INDEX(tItens[Produto],1):tItens[[#This Row],[Produto]],tItens[[#This Row],[Produto]])=1,1,0)</f>
        <v>0</v>
      </c>
    </row>
    <row r="8175" spans="1:16" x14ac:dyDescent="0.25">
      <c r="A8175" t="s">
        <v>2644</v>
      </c>
      <c r="B8175">
        <v>639</v>
      </c>
      <c r="C8175" t="s">
        <v>10668</v>
      </c>
      <c r="D8175" t="s">
        <v>110</v>
      </c>
      <c r="E8175" s="13">
        <v>701</v>
      </c>
      <c r="F8175" s="12">
        <v>1.18</v>
      </c>
      <c r="G8175" t="str">
        <f>IFERROR(INDEX(tEditais[Órgão],MATCH(tItens[[#This Row],[Edital]],tEditais[Edital],0)),"")</f>
        <v>CONSORCIO INTEGRADO DE GESTAO PUBLICA DO ENTRE RIOS - CIGAMERIOS</v>
      </c>
      <c r="H8175" t="str">
        <f>IFERROR(INDEX(tEditais[UF],MATCH(tItens[[#This Row],[Edital]],tEditais[Edital],0)),"")</f>
        <v>SC</v>
      </c>
      <c r="I8175" s="11">
        <f>IFERROR(INDEX(tEditais[Encerramento],MATCH(tItens[[#This Row],[Edital]],tEditais[Edital],0)),"")</f>
        <v>46309.332638888889</v>
      </c>
      <c r="J8175" t="str">
        <f>IFERROR(INDEX(tProdutos[Classe],MATCH(tItens[[#This Row],[Produto]],tProdutos[Produto],0)),"produto não cadastrado")</f>
        <v>NÚCLEO</v>
      </c>
      <c r="K8175" s="12">
        <f>tItens[[#This Row],[Qtd]]*tItens[[#This Row],[Vlr unit]]</f>
        <v>827.18</v>
      </c>
      <c r="L8175" s="6">
        <f>IFERROR(IF(INDEX(tProdutos[Desconto homologado],MATCH(tItens[[#This Row],[Produto]],tProdutos[Produto],0))="",DescontoPadrao,INDEX(tProdutos[Desconto homologado],MATCH(tItens[[#This Row],[Produto]],tProdutos[Produto],0))),DescontoPadrao)</f>
        <v>0.30410958904109597</v>
      </c>
      <c r="M8175" s="12">
        <f>tItens[[#This Row],[Valor]]*(1-tItens[[#This Row],[Desconto]])</f>
        <v>575.62663013698625</v>
      </c>
      <c r="N8175" t="str">
        <f>IFERROR(INDEX(tProdutos[Foco],MATCH(tItens[[#This Row],[Produto]],tProdutos[Produto],0)),"Não")</f>
        <v>Não</v>
      </c>
      <c r="O8175" t="str">
        <f>IFERROR(INDEX(tEditais[SRP],MATCH(tItens[[#This Row],[Edital]],tEditais[Edital],0)),"Não")</f>
        <v>Sim</v>
      </c>
      <c r="P8175" s="4">
        <f>IF(COUNTIFS(INDEX(tItens[Edital],1):tItens[[#This Row],[Edital]],tItens[[#This Row],[Edital]],INDEX(tItens[Produto],1):tItens[[#This Row],[Produto]],tItens[[#This Row],[Produto]])=1,1,0)</f>
        <v>0</v>
      </c>
    </row>
    <row r="8176" spans="1:16" x14ac:dyDescent="0.25">
      <c r="A8176" t="s">
        <v>2644</v>
      </c>
      <c r="B8176">
        <v>640</v>
      </c>
      <c r="C8176" t="s">
        <v>10669</v>
      </c>
      <c r="D8176" t="s">
        <v>110</v>
      </c>
      <c r="E8176" s="13">
        <v>701</v>
      </c>
      <c r="F8176" s="12">
        <v>1.86</v>
      </c>
      <c r="G8176" t="str">
        <f>IFERROR(INDEX(tEditais[Órgão],MATCH(tItens[[#This Row],[Edital]],tEditais[Edital],0)),"")</f>
        <v>CONSORCIO INTEGRADO DE GESTAO PUBLICA DO ENTRE RIOS - CIGAMERIOS</v>
      </c>
      <c r="H8176" t="str">
        <f>IFERROR(INDEX(tEditais[UF],MATCH(tItens[[#This Row],[Edital]],tEditais[Edital],0)),"")</f>
        <v>SC</v>
      </c>
      <c r="I8176" s="11">
        <f>IFERROR(INDEX(tEditais[Encerramento],MATCH(tItens[[#This Row],[Edital]],tEditais[Edital],0)),"")</f>
        <v>46309.332638888889</v>
      </c>
      <c r="J8176" t="str">
        <f>IFERROR(INDEX(tProdutos[Classe],MATCH(tItens[[#This Row],[Produto]],tProdutos[Produto],0)),"produto não cadastrado")</f>
        <v>NÚCLEO</v>
      </c>
      <c r="K8176" s="12">
        <f>tItens[[#This Row],[Qtd]]*tItens[[#This Row],[Vlr unit]]</f>
        <v>1303.8600000000001</v>
      </c>
      <c r="L8176" s="6">
        <f>IFERROR(IF(INDEX(tProdutos[Desconto homologado],MATCH(tItens[[#This Row],[Produto]],tProdutos[Produto],0))="",DescontoPadrao,INDEX(tProdutos[Desconto homologado],MATCH(tItens[[#This Row],[Produto]],tProdutos[Produto],0))),DescontoPadrao)</f>
        <v>0.30410958904109597</v>
      </c>
      <c r="M8176" s="12">
        <f>tItens[[#This Row],[Valor]]*(1-tItens[[#This Row],[Desconto]])</f>
        <v>907.34367123287666</v>
      </c>
      <c r="N8176" t="str">
        <f>IFERROR(INDEX(tProdutos[Foco],MATCH(tItens[[#This Row],[Produto]],tProdutos[Produto],0)),"Não")</f>
        <v>Não</v>
      </c>
      <c r="O8176" t="str">
        <f>IFERROR(INDEX(tEditais[SRP],MATCH(tItens[[#This Row],[Edital]],tEditais[Edital],0)),"Não")</f>
        <v>Sim</v>
      </c>
      <c r="P8176" s="4">
        <f>IF(COUNTIFS(INDEX(tItens[Edital],1):tItens[[#This Row],[Edital]],tItens[[#This Row],[Edital]],INDEX(tItens[Produto],1):tItens[[#This Row],[Produto]],tItens[[#This Row],[Produto]])=1,1,0)</f>
        <v>0</v>
      </c>
    </row>
    <row r="8177" spans="1:16" x14ac:dyDescent="0.25">
      <c r="A8177" t="s">
        <v>2644</v>
      </c>
      <c r="B8177">
        <v>641</v>
      </c>
      <c r="C8177" t="s">
        <v>10670</v>
      </c>
      <c r="D8177" t="s">
        <v>110</v>
      </c>
      <c r="E8177" s="13">
        <v>696</v>
      </c>
      <c r="F8177" s="12">
        <v>1.65</v>
      </c>
      <c r="G8177" t="str">
        <f>IFERROR(INDEX(tEditais[Órgão],MATCH(tItens[[#This Row],[Edital]],tEditais[Edital],0)),"")</f>
        <v>CONSORCIO INTEGRADO DE GESTAO PUBLICA DO ENTRE RIOS - CIGAMERIOS</v>
      </c>
      <c r="H8177" t="str">
        <f>IFERROR(INDEX(tEditais[UF],MATCH(tItens[[#This Row],[Edital]],tEditais[Edital],0)),"")</f>
        <v>SC</v>
      </c>
      <c r="I8177" s="11">
        <f>IFERROR(INDEX(tEditais[Encerramento],MATCH(tItens[[#This Row],[Edital]],tEditais[Edital],0)),"")</f>
        <v>46309.332638888889</v>
      </c>
      <c r="J8177" t="str">
        <f>IFERROR(INDEX(tProdutos[Classe],MATCH(tItens[[#This Row],[Produto]],tProdutos[Produto],0)),"produto não cadastrado")</f>
        <v>NÚCLEO</v>
      </c>
      <c r="K8177" s="12">
        <f>tItens[[#This Row],[Qtd]]*tItens[[#This Row],[Vlr unit]]</f>
        <v>1148.3999999999999</v>
      </c>
      <c r="L8177" s="6">
        <f>IFERROR(IF(INDEX(tProdutos[Desconto homologado],MATCH(tItens[[#This Row],[Produto]],tProdutos[Produto],0))="",DescontoPadrao,INDEX(tProdutos[Desconto homologado],MATCH(tItens[[#This Row],[Produto]],tProdutos[Produto],0))),DescontoPadrao)</f>
        <v>0.30410958904109597</v>
      </c>
      <c r="M8177" s="12">
        <f>tItens[[#This Row],[Valor]]*(1-tItens[[#This Row],[Desconto]])</f>
        <v>799.16054794520528</v>
      </c>
      <c r="N8177" t="str">
        <f>IFERROR(INDEX(tProdutos[Foco],MATCH(tItens[[#This Row],[Produto]],tProdutos[Produto],0)),"Não")</f>
        <v>Não</v>
      </c>
      <c r="O8177" t="str">
        <f>IFERROR(INDEX(tEditais[SRP],MATCH(tItens[[#This Row],[Edital]],tEditais[Edital],0)),"Não")</f>
        <v>Sim</v>
      </c>
      <c r="P8177" s="4">
        <f>IF(COUNTIFS(INDEX(tItens[Edital],1):tItens[[#This Row],[Edital]],tItens[[#This Row],[Edital]],INDEX(tItens[Produto],1):tItens[[#This Row],[Produto]],tItens[[#This Row],[Produto]])=1,1,0)</f>
        <v>0</v>
      </c>
    </row>
    <row r="8178" spans="1:16" x14ac:dyDescent="0.25">
      <c r="A8178" t="s">
        <v>2644</v>
      </c>
      <c r="B8178">
        <v>643</v>
      </c>
      <c r="C8178" t="s">
        <v>10671</v>
      </c>
      <c r="D8178" t="s">
        <v>120</v>
      </c>
      <c r="E8178" s="13">
        <v>1886</v>
      </c>
      <c r="F8178" s="12">
        <v>0.96</v>
      </c>
      <c r="G8178" t="str">
        <f>IFERROR(INDEX(tEditais[Órgão],MATCH(tItens[[#This Row],[Edital]],tEditais[Edital],0)),"")</f>
        <v>CONSORCIO INTEGRADO DE GESTAO PUBLICA DO ENTRE RIOS - CIGAMERIOS</v>
      </c>
      <c r="H8178" t="str">
        <f>IFERROR(INDEX(tEditais[UF],MATCH(tItens[[#This Row],[Edital]],tEditais[Edital],0)),"")</f>
        <v>SC</v>
      </c>
      <c r="I8178" s="11">
        <f>IFERROR(INDEX(tEditais[Encerramento],MATCH(tItens[[#This Row],[Edital]],tEditais[Edital],0)),"")</f>
        <v>46309.332638888889</v>
      </c>
      <c r="J8178" t="str">
        <f>IFERROR(INDEX(tProdutos[Classe],MATCH(tItens[[#This Row],[Produto]],tProdutos[Produto],0)),"produto não cadastrado")</f>
        <v>DISPUTADO</v>
      </c>
      <c r="K8178" s="12">
        <f>tItens[[#This Row],[Qtd]]*tItens[[#This Row],[Vlr unit]]</f>
        <v>1810.56</v>
      </c>
      <c r="L8178" s="6">
        <f>IFERROR(IF(INDEX(tProdutos[Desconto homologado],MATCH(tItens[[#This Row],[Produto]],tProdutos[Produto],0))="",DescontoPadrao,INDEX(tProdutos[Desconto homologado],MATCH(tItens[[#This Row],[Produto]],tProdutos[Produto],0))),DescontoPadrao)</f>
        <v>0.40909090909090901</v>
      </c>
      <c r="M8178" s="12">
        <f>tItens[[#This Row],[Valor]]*(1-tItens[[#This Row],[Desconto]])</f>
        <v>1069.8763636363637</v>
      </c>
      <c r="N8178" t="str">
        <f>IFERROR(INDEX(tProdutos[Foco],MATCH(tItens[[#This Row],[Produto]],tProdutos[Produto],0)),"Não")</f>
        <v>Não</v>
      </c>
      <c r="O8178" t="str">
        <f>IFERROR(INDEX(tEditais[SRP],MATCH(tItens[[#This Row],[Edital]],tEditais[Edital],0)),"Não")</f>
        <v>Sim</v>
      </c>
      <c r="P8178" s="4">
        <f>IF(COUNTIFS(INDEX(tItens[Edital],1):tItens[[#This Row],[Edital]],tItens[[#This Row],[Edital]],INDEX(tItens[Produto],1):tItens[[#This Row],[Produto]],tItens[[#This Row],[Produto]])=1,1,0)</f>
        <v>1</v>
      </c>
    </row>
    <row r="8179" spans="1:16" x14ac:dyDescent="0.25">
      <c r="A8179" t="s">
        <v>2644</v>
      </c>
      <c r="B8179">
        <v>644</v>
      </c>
      <c r="C8179" t="s">
        <v>10672</v>
      </c>
      <c r="D8179" t="s">
        <v>120</v>
      </c>
      <c r="E8179" s="13">
        <v>1712</v>
      </c>
      <c r="F8179" s="12">
        <v>0.81</v>
      </c>
      <c r="G8179" t="str">
        <f>IFERROR(INDEX(tEditais[Órgão],MATCH(tItens[[#This Row],[Edital]],tEditais[Edital],0)),"")</f>
        <v>CONSORCIO INTEGRADO DE GESTAO PUBLICA DO ENTRE RIOS - CIGAMERIOS</v>
      </c>
      <c r="H8179" t="str">
        <f>IFERROR(INDEX(tEditais[UF],MATCH(tItens[[#This Row],[Edital]],tEditais[Edital],0)),"")</f>
        <v>SC</v>
      </c>
      <c r="I8179" s="11">
        <f>IFERROR(INDEX(tEditais[Encerramento],MATCH(tItens[[#This Row],[Edital]],tEditais[Edital],0)),"")</f>
        <v>46309.332638888889</v>
      </c>
      <c r="J8179" t="str">
        <f>IFERROR(INDEX(tProdutos[Classe],MATCH(tItens[[#This Row],[Produto]],tProdutos[Produto],0)),"produto não cadastrado")</f>
        <v>DISPUTADO</v>
      </c>
      <c r="K8179" s="12">
        <f>tItens[[#This Row],[Qtd]]*tItens[[#This Row],[Vlr unit]]</f>
        <v>1386.72</v>
      </c>
      <c r="L8179" s="6">
        <f>IFERROR(IF(INDEX(tProdutos[Desconto homologado],MATCH(tItens[[#This Row],[Produto]],tProdutos[Produto],0))="",DescontoPadrao,INDEX(tProdutos[Desconto homologado],MATCH(tItens[[#This Row],[Produto]],tProdutos[Produto],0))),DescontoPadrao)</f>
        <v>0.40909090909090901</v>
      </c>
      <c r="M8179" s="12">
        <f>tItens[[#This Row],[Valor]]*(1-tItens[[#This Row],[Desconto]])</f>
        <v>819.42545454545473</v>
      </c>
      <c r="N8179" t="str">
        <f>IFERROR(INDEX(tProdutos[Foco],MATCH(tItens[[#This Row],[Produto]],tProdutos[Produto],0)),"Não")</f>
        <v>Não</v>
      </c>
      <c r="O8179" t="str">
        <f>IFERROR(INDEX(tEditais[SRP],MATCH(tItens[[#This Row],[Edital]],tEditais[Edital],0)),"Não")</f>
        <v>Sim</v>
      </c>
      <c r="P8179" s="4">
        <f>IF(COUNTIFS(INDEX(tItens[Edital],1):tItens[[#This Row],[Edital]],tItens[[#This Row],[Edital]],INDEX(tItens[Produto],1):tItens[[#This Row],[Produto]],tItens[[#This Row],[Produto]])=1,1,0)</f>
        <v>0</v>
      </c>
    </row>
    <row r="8180" spans="1:16" x14ac:dyDescent="0.25">
      <c r="A8180" t="s">
        <v>2644</v>
      </c>
      <c r="B8180">
        <v>645</v>
      </c>
      <c r="C8180" t="s">
        <v>10673</v>
      </c>
      <c r="D8180" t="s">
        <v>120</v>
      </c>
      <c r="E8180" s="13">
        <v>1712</v>
      </c>
      <c r="F8180" s="12">
        <v>0.82</v>
      </c>
      <c r="G8180" t="str">
        <f>IFERROR(INDEX(tEditais[Órgão],MATCH(tItens[[#This Row],[Edital]],tEditais[Edital],0)),"")</f>
        <v>CONSORCIO INTEGRADO DE GESTAO PUBLICA DO ENTRE RIOS - CIGAMERIOS</v>
      </c>
      <c r="H8180" t="str">
        <f>IFERROR(INDEX(tEditais[UF],MATCH(tItens[[#This Row],[Edital]],tEditais[Edital],0)),"")</f>
        <v>SC</v>
      </c>
      <c r="I8180" s="11">
        <f>IFERROR(INDEX(tEditais[Encerramento],MATCH(tItens[[#This Row],[Edital]],tEditais[Edital],0)),"")</f>
        <v>46309.332638888889</v>
      </c>
      <c r="J8180" t="str">
        <f>IFERROR(INDEX(tProdutos[Classe],MATCH(tItens[[#This Row],[Produto]],tProdutos[Produto],0)),"produto não cadastrado")</f>
        <v>DISPUTADO</v>
      </c>
      <c r="K8180" s="12">
        <f>tItens[[#This Row],[Qtd]]*tItens[[#This Row],[Vlr unit]]</f>
        <v>1403.84</v>
      </c>
      <c r="L8180" s="6">
        <f>IFERROR(IF(INDEX(tProdutos[Desconto homologado],MATCH(tItens[[#This Row],[Produto]],tProdutos[Produto],0))="",DescontoPadrao,INDEX(tProdutos[Desconto homologado],MATCH(tItens[[#This Row],[Produto]],tProdutos[Produto],0))),DescontoPadrao)</f>
        <v>0.40909090909090901</v>
      </c>
      <c r="M8180" s="12">
        <f>tItens[[#This Row],[Valor]]*(1-tItens[[#This Row],[Desconto]])</f>
        <v>829.54181818181837</v>
      </c>
      <c r="N8180" t="str">
        <f>IFERROR(INDEX(tProdutos[Foco],MATCH(tItens[[#This Row],[Produto]],tProdutos[Produto],0)),"Não")</f>
        <v>Não</v>
      </c>
      <c r="O8180" t="str">
        <f>IFERROR(INDEX(tEditais[SRP],MATCH(tItens[[#This Row],[Edital]],tEditais[Edital],0)),"Não")</f>
        <v>Sim</v>
      </c>
      <c r="P8180" s="4">
        <f>IF(COUNTIFS(INDEX(tItens[Edital],1):tItens[[#This Row],[Edital]],tItens[[#This Row],[Edital]],INDEX(tItens[Produto],1):tItens[[#This Row],[Produto]],tItens[[#This Row],[Produto]])=1,1,0)</f>
        <v>0</v>
      </c>
    </row>
    <row r="8181" spans="1:16" x14ac:dyDescent="0.25">
      <c r="A8181" t="s">
        <v>2644</v>
      </c>
      <c r="B8181">
        <v>646</v>
      </c>
      <c r="C8181" t="s">
        <v>10674</v>
      </c>
      <c r="D8181" t="s">
        <v>120</v>
      </c>
      <c r="E8181" s="13">
        <v>2302</v>
      </c>
      <c r="F8181" s="12">
        <v>0.94</v>
      </c>
      <c r="G8181" t="str">
        <f>IFERROR(INDEX(tEditais[Órgão],MATCH(tItens[[#This Row],[Edital]],tEditais[Edital],0)),"")</f>
        <v>CONSORCIO INTEGRADO DE GESTAO PUBLICA DO ENTRE RIOS - CIGAMERIOS</v>
      </c>
      <c r="H8181" t="str">
        <f>IFERROR(INDEX(tEditais[UF],MATCH(tItens[[#This Row],[Edital]],tEditais[Edital],0)),"")</f>
        <v>SC</v>
      </c>
      <c r="I8181" s="11">
        <f>IFERROR(INDEX(tEditais[Encerramento],MATCH(tItens[[#This Row],[Edital]],tEditais[Edital],0)),"")</f>
        <v>46309.332638888889</v>
      </c>
      <c r="J8181" t="str">
        <f>IFERROR(INDEX(tProdutos[Classe],MATCH(tItens[[#This Row],[Produto]],tProdutos[Produto],0)),"produto não cadastrado")</f>
        <v>DISPUTADO</v>
      </c>
      <c r="K8181" s="12">
        <f>tItens[[#This Row],[Qtd]]*tItens[[#This Row],[Vlr unit]]</f>
        <v>2163.8799999999997</v>
      </c>
      <c r="L8181" s="6">
        <f>IFERROR(IF(INDEX(tProdutos[Desconto homologado],MATCH(tItens[[#This Row],[Produto]],tProdutos[Produto],0))="",DescontoPadrao,INDEX(tProdutos[Desconto homologado],MATCH(tItens[[#This Row],[Produto]],tProdutos[Produto],0))),DescontoPadrao)</f>
        <v>0.40909090909090901</v>
      </c>
      <c r="M8181" s="12">
        <f>tItens[[#This Row],[Valor]]*(1-tItens[[#This Row],[Desconto]])</f>
        <v>1278.6563636363637</v>
      </c>
      <c r="N8181" t="str">
        <f>IFERROR(INDEX(tProdutos[Foco],MATCH(tItens[[#This Row],[Produto]],tProdutos[Produto],0)),"Não")</f>
        <v>Não</v>
      </c>
      <c r="O8181" t="str">
        <f>IFERROR(INDEX(tEditais[SRP],MATCH(tItens[[#This Row],[Edital]],tEditais[Edital],0)),"Não")</f>
        <v>Sim</v>
      </c>
      <c r="P8181" s="4">
        <f>IF(COUNTIFS(INDEX(tItens[Edital],1):tItens[[#This Row],[Edital]],tItens[[#This Row],[Edital]],INDEX(tItens[Produto],1):tItens[[#This Row],[Produto]],tItens[[#This Row],[Produto]])=1,1,0)</f>
        <v>0</v>
      </c>
    </row>
    <row r="8182" spans="1:16" x14ac:dyDescent="0.25">
      <c r="A8182" t="s">
        <v>2644</v>
      </c>
      <c r="B8182">
        <v>647</v>
      </c>
      <c r="C8182" t="s">
        <v>10675</v>
      </c>
      <c r="D8182" t="s">
        <v>120</v>
      </c>
      <c r="E8182" s="13">
        <v>9102</v>
      </c>
      <c r="F8182" s="12">
        <v>0.75</v>
      </c>
      <c r="G8182" t="str">
        <f>IFERROR(INDEX(tEditais[Órgão],MATCH(tItens[[#This Row],[Edital]],tEditais[Edital],0)),"")</f>
        <v>CONSORCIO INTEGRADO DE GESTAO PUBLICA DO ENTRE RIOS - CIGAMERIOS</v>
      </c>
      <c r="H8182" t="str">
        <f>IFERROR(INDEX(tEditais[UF],MATCH(tItens[[#This Row],[Edital]],tEditais[Edital],0)),"")</f>
        <v>SC</v>
      </c>
      <c r="I8182" s="11">
        <f>IFERROR(INDEX(tEditais[Encerramento],MATCH(tItens[[#This Row],[Edital]],tEditais[Edital],0)),"")</f>
        <v>46309.332638888889</v>
      </c>
      <c r="J8182" t="str">
        <f>IFERROR(INDEX(tProdutos[Classe],MATCH(tItens[[#This Row],[Produto]],tProdutos[Produto],0)),"produto não cadastrado")</f>
        <v>DISPUTADO</v>
      </c>
      <c r="K8182" s="12">
        <f>tItens[[#This Row],[Qtd]]*tItens[[#This Row],[Vlr unit]]</f>
        <v>6826.5</v>
      </c>
      <c r="L8182" s="6">
        <f>IFERROR(IF(INDEX(tProdutos[Desconto homologado],MATCH(tItens[[#This Row],[Produto]],tProdutos[Produto],0))="",DescontoPadrao,INDEX(tProdutos[Desconto homologado],MATCH(tItens[[#This Row],[Produto]],tProdutos[Produto],0))),DescontoPadrao)</f>
        <v>0.40909090909090901</v>
      </c>
      <c r="M8182" s="12">
        <f>tItens[[#This Row],[Valor]]*(1-tItens[[#This Row],[Desconto]])</f>
        <v>4033.8409090909099</v>
      </c>
      <c r="N8182" t="str">
        <f>IFERROR(INDEX(tProdutos[Foco],MATCH(tItens[[#This Row],[Produto]],tProdutos[Produto],0)),"Não")</f>
        <v>Não</v>
      </c>
      <c r="O8182" t="str">
        <f>IFERROR(INDEX(tEditais[SRP],MATCH(tItens[[#This Row],[Edital]],tEditais[Edital],0)),"Não")</f>
        <v>Sim</v>
      </c>
      <c r="P8182" s="4">
        <f>IF(COUNTIFS(INDEX(tItens[Edital],1):tItens[[#This Row],[Edital]],tItens[[#This Row],[Edital]],INDEX(tItens[Produto],1):tItens[[#This Row],[Produto]],tItens[[#This Row],[Produto]])=1,1,0)</f>
        <v>0</v>
      </c>
    </row>
    <row r="8183" spans="1:16" x14ac:dyDescent="0.25">
      <c r="A8183" t="s">
        <v>2644</v>
      </c>
      <c r="B8183">
        <v>648</v>
      </c>
      <c r="C8183" t="s">
        <v>10676</v>
      </c>
      <c r="D8183" t="s">
        <v>120</v>
      </c>
      <c r="E8183" s="13">
        <v>30772</v>
      </c>
      <c r="F8183" s="12">
        <v>0.61</v>
      </c>
      <c r="G8183" t="str">
        <f>IFERROR(INDEX(tEditais[Órgão],MATCH(tItens[[#This Row],[Edital]],tEditais[Edital],0)),"")</f>
        <v>CONSORCIO INTEGRADO DE GESTAO PUBLICA DO ENTRE RIOS - CIGAMERIOS</v>
      </c>
      <c r="H8183" t="str">
        <f>IFERROR(INDEX(tEditais[UF],MATCH(tItens[[#This Row],[Edital]],tEditais[Edital],0)),"")</f>
        <v>SC</v>
      </c>
      <c r="I8183" s="11">
        <f>IFERROR(INDEX(tEditais[Encerramento],MATCH(tItens[[#This Row],[Edital]],tEditais[Edital],0)),"")</f>
        <v>46309.332638888889</v>
      </c>
      <c r="J8183" t="str">
        <f>IFERROR(INDEX(tProdutos[Classe],MATCH(tItens[[#This Row],[Produto]],tProdutos[Produto],0)),"produto não cadastrado")</f>
        <v>DISPUTADO</v>
      </c>
      <c r="K8183" s="12">
        <f>tItens[[#This Row],[Qtd]]*tItens[[#This Row],[Vlr unit]]</f>
        <v>18770.919999999998</v>
      </c>
      <c r="L8183" s="6">
        <f>IFERROR(IF(INDEX(tProdutos[Desconto homologado],MATCH(tItens[[#This Row],[Produto]],tProdutos[Produto],0))="",DescontoPadrao,INDEX(tProdutos[Desconto homologado],MATCH(tItens[[#This Row],[Produto]],tProdutos[Produto],0))),DescontoPadrao)</f>
        <v>0.40909090909090901</v>
      </c>
      <c r="M8183" s="12">
        <f>tItens[[#This Row],[Valor]]*(1-tItens[[#This Row],[Desconto]])</f>
        <v>11091.907272727274</v>
      </c>
      <c r="N8183" t="str">
        <f>IFERROR(INDEX(tProdutos[Foco],MATCH(tItens[[#This Row],[Produto]],tProdutos[Produto],0)),"Não")</f>
        <v>Não</v>
      </c>
      <c r="O8183" t="str">
        <f>IFERROR(INDEX(tEditais[SRP],MATCH(tItens[[#This Row],[Edital]],tEditais[Edital],0)),"Não")</f>
        <v>Sim</v>
      </c>
      <c r="P8183" s="4">
        <f>IF(COUNTIFS(INDEX(tItens[Edital],1):tItens[[#This Row],[Edital]],tItens[[#This Row],[Edital]],INDEX(tItens[Produto],1):tItens[[#This Row],[Produto]],tItens[[#This Row],[Produto]])=1,1,0)</f>
        <v>0</v>
      </c>
    </row>
    <row r="8184" spans="1:16" x14ac:dyDescent="0.25">
      <c r="A8184" t="s">
        <v>2644</v>
      </c>
      <c r="B8184">
        <v>649</v>
      </c>
      <c r="C8184" t="s">
        <v>10677</v>
      </c>
      <c r="D8184" t="s">
        <v>120</v>
      </c>
      <c r="E8184" s="13">
        <v>48282</v>
      </c>
      <c r="F8184" s="12">
        <v>0.9</v>
      </c>
      <c r="G8184" t="str">
        <f>IFERROR(INDEX(tEditais[Órgão],MATCH(tItens[[#This Row],[Edital]],tEditais[Edital],0)),"")</f>
        <v>CONSORCIO INTEGRADO DE GESTAO PUBLICA DO ENTRE RIOS - CIGAMERIOS</v>
      </c>
      <c r="H8184" t="str">
        <f>IFERROR(INDEX(tEditais[UF],MATCH(tItens[[#This Row],[Edital]],tEditais[Edital],0)),"")</f>
        <v>SC</v>
      </c>
      <c r="I8184" s="11">
        <f>IFERROR(INDEX(tEditais[Encerramento],MATCH(tItens[[#This Row],[Edital]],tEditais[Edital],0)),"")</f>
        <v>46309.332638888889</v>
      </c>
      <c r="J8184" t="str">
        <f>IFERROR(INDEX(tProdutos[Classe],MATCH(tItens[[#This Row],[Produto]],tProdutos[Produto],0)),"produto não cadastrado")</f>
        <v>DISPUTADO</v>
      </c>
      <c r="K8184" s="12">
        <f>tItens[[#This Row],[Qtd]]*tItens[[#This Row],[Vlr unit]]</f>
        <v>43453.8</v>
      </c>
      <c r="L8184" s="6">
        <f>IFERROR(IF(INDEX(tProdutos[Desconto homologado],MATCH(tItens[[#This Row],[Produto]],tProdutos[Produto],0))="",DescontoPadrao,INDEX(tProdutos[Desconto homologado],MATCH(tItens[[#This Row],[Produto]],tProdutos[Produto],0))),DescontoPadrao)</f>
        <v>0.40909090909090901</v>
      </c>
      <c r="M8184" s="12">
        <f>tItens[[#This Row],[Valor]]*(1-tItens[[#This Row],[Desconto]])</f>
        <v>25677.245454545464</v>
      </c>
      <c r="N8184" t="str">
        <f>IFERROR(INDEX(tProdutos[Foco],MATCH(tItens[[#This Row],[Produto]],tProdutos[Produto],0)),"Não")</f>
        <v>Não</v>
      </c>
      <c r="O8184" t="str">
        <f>IFERROR(INDEX(tEditais[SRP],MATCH(tItens[[#This Row],[Edital]],tEditais[Edital],0)),"Não")</f>
        <v>Sim</v>
      </c>
      <c r="P8184" s="4">
        <f>IF(COUNTIFS(INDEX(tItens[Edital],1):tItens[[#This Row],[Edital]],tItens[[#This Row],[Edital]],INDEX(tItens[Produto],1):tItens[[#This Row],[Produto]],tItens[[#This Row],[Produto]])=1,1,0)</f>
        <v>0</v>
      </c>
    </row>
    <row r="8185" spans="1:16" x14ac:dyDescent="0.25">
      <c r="A8185" t="s">
        <v>2644</v>
      </c>
      <c r="B8185">
        <v>650</v>
      </c>
      <c r="C8185" t="s">
        <v>10678</v>
      </c>
      <c r="D8185" t="s">
        <v>120</v>
      </c>
      <c r="E8185" s="13">
        <v>27452</v>
      </c>
      <c r="F8185" s="12">
        <v>0.83</v>
      </c>
      <c r="G8185" t="str">
        <f>IFERROR(INDEX(tEditais[Órgão],MATCH(tItens[[#This Row],[Edital]],tEditais[Edital],0)),"")</f>
        <v>CONSORCIO INTEGRADO DE GESTAO PUBLICA DO ENTRE RIOS - CIGAMERIOS</v>
      </c>
      <c r="H8185" t="str">
        <f>IFERROR(INDEX(tEditais[UF],MATCH(tItens[[#This Row],[Edital]],tEditais[Edital],0)),"")</f>
        <v>SC</v>
      </c>
      <c r="I8185" s="11">
        <f>IFERROR(INDEX(tEditais[Encerramento],MATCH(tItens[[#This Row],[Edital]],tEditais[Edital],0)),"")</f>
        <v>46309.332638888889</v>
      </c>
      <c r="J8185" t="str">
        <f>IFERROR(INDEX(tProdutos[Classe],MATCH(tItens[[#This Row],[Produto]],tProdutos[Produto],0)),"produto não cadastrado")</f>
        <v>DISPUTADO</v>
      </c>
      <c r="K8185" s="12">
        <f>tItens[[#This Row],[Qtd]]*tItens[[#This Row],[Vlr unit]]</f>
        <v>22785.16</v>
      </c>
      <c r="L8185" s="6">
        <f>IFERROR(IF(INDEX(tProdutos[Desconto homologado],MATCH(tItens[[#This Row],[Produto]],tProdutos[Produto],0))="",DescontoPadrao,INDEX(tProdutos[Desconto homologado],MATCH(tItens[[#This Row],[Produto]],tProdutos[Produto],0))),DescontoPadrao)</f>
        <v>0.40909090909090901</v>
      </c>
      <c r="M8185" s="12">
        <f>tItens[[#This Row],[Valor]]*(1-tItens[[#This Row],[Desconto]])</f>
        <v>13463.958181818185</v>
      </c>
      <c r="N8185" t="str">
        <f>IFERROR(INDEX(tProdutos[Foco],MATCH(tItens[[#This Row],[Produto]],tProdutos[Produto],0)),"Não")</f>
        <v>Não</v>
      </c>
      <c r="O8185" t="str">
        <f>IFERROR(INDEX(tEditais[SRP],MATCH(tItens[[#This Row],[Edital]],tEditais[Edital],0)),"Não")</f>
        <v>Sim</v>
      </c>
      <c r="P8185" s="4">
        <f>IF(COUNTIFS(INDEX(tItens[Edital],1):tItens[[#This Row],[Edital]],tItens[[#This Row],[Edital]],INDEX(tItens[Produto],1):tItens[[#This Row],[Produto]],tItens[[#This Row],[Produto]])=1,1,0)</f>
        <v>0</v>
      </c>
    </row>
    <row r="8186" spans="1:16" x14ac:dyDescent="0.25">
      <c r="A8186" t="s">
        <v>2644</v>
      </c>
      <c r="B8186">
        <v>651</v>
      </c>
      <c r="C8186" t="s">
        <v>10679</v>
      </c>
      <c r="D8186" t="s">
        <v>120</v>
      </c>
      <c r="E8186" s="13">
        <v>4066</v>
      </c>
      <c r="F8186" s="12">
        <v>0.69</v>
      </c>
      <c r="G8186" t="str">
        <f>IFERROR(INDEX(tEditais[Órgão],MATCH(tItens[[#This Row],[Edital]],tEditais[Edital],0)),"")</f>
        <v>CONSORCIO INTEGRADO DE GESTAO PUBLICA DO ENTRE RIOS - CIGAMERIOS</v>
      </c>
      <c r="H8186" t="str">
        <f>IFERROR(INDEX(tEditais[UF],MATCH(tItens[[#This Row],[Edital]],tEditais[Edital],0)),"")</f>
        <v>SC</v>
      </c>
      <c r="I8186" s="11">
        <f>IFERROR(INDEX(tEditais[Encerramento],MATCH(tItens[[#This Row],[Edital]],tEditais[Edital],0)),"")</f>
        <v>46309.332638888889</v>
      </c>
      <c r="J8186" t="str">
        <f>IFERROR(INDEX(tProdutos[Classe],MATCH(tItens[[#This Row],[Produto]],tProdutos[Produto],0)),"produto não cadastrado")</f>
        <v>DISPUTADO</v>
      </c>
      <c r="K8186" s="12">
        <f>tItens[[#This Row],[Qtd]]*tItens[[#This Row],[Vlr unit]]</f>
        <v>2805.54</v>
      </c>
      <c r="L8186" s="6">
        <f>IFERROR(IF(INDEX(tProdutos[Desconto homologado],MATCH(tItens[[#This Row],[Produto]],tProdutos[Produto],0))="",DescontoPadrao,INDEX(tProdutos[Desconto homologado],MATCH(tItens[[#This Row],[Produto]],tProdutos[Produto],0))),DescontoPadrao)</f>
        <v>0.40909090909090901</v>
      </c>
      <c r="M8186" s="12">
        <f>tItens[[#This Row],[Valor]]*(1-tItens[[#This Row],[Desconto]])</f>
        <v>1657.8190909090913</v>
      </c>
      <c r="N8186" t="str">
        <f>IFERROR(INDEX(tProdutos[Foco],MATCH(tItens[[#This Row],[Produto]],tProdutos[Produto],0)),"Não")</f>
        <v>Não</v>
      </c>
      <c r="O8186" t="str">
        <f>IFERROR(INDEX(tEditais[SRP],MATCH(tItens[[#This Row],[Edital]],tEditais[Edital],0)),"Não")</f>
        <v>Sim</v>
      </c>
      <c r="P8186" s="4">
        <f>IF(COUNTIFS(INDEX(tItens[Edital],1):tItens[[#This Row],[Edital]],tItens[[#This Row],[Edital]],INDEX(tItens[Produto],1):tItens[[#This Row],[Produto]],tItens[[#This Row],[Produto]])=1,1,0)</f>
        <v>0</v>
      </c>
    </row>
    <row r="8187" spans="1:16" x14ac:dyDescent="0.25">
      <c r="A8187" t="s">
        <v>2644</v>
      </c>
      <c r="B8187">
        <v>652</v>
      </c>
      <c r="C8187" t="s">
        <v>10680</v>
      </c>
      <c r="D8187" t="s">
        <v>120</v>
      </c>
      <c r="E8187" s="13">
        <v>3986</v>
      </c>
      <c r="F8187" s="12">
        <v>0.72</v>
      </c>
      <c r="G8187" t="str">
        <f>IFERROR(INDEX(tEditais[Órgão],MATCH(tItens[[#This Row],[Edital]],tEditais[Edital],0)),"")</f>
        <v>CONSORCIO INTEGRADO DE GESTAO PUBLICA DO ENTRE RIOS - CIGAMERIOS</v>
      </c>
      <c r="H8187" t="str">
        <f>IFERROR(INDEX(tEditais[UF],MATCH(tItens[[#This Row],[Edital]],tEditais[Edital],0)),"")</f>
        <v>SC</v>
      </c>
      <c r="I8187" s="11">
        <f>IFERROR(INDEX(tEditais[Encerramento],MATCH(tItens[[#This Row],[Edital]],tEditais[Edital],0)),"")</f>
        <v>46309.332638888889</v>
      </c>
      <c r="J8187" t="str">
        <f>IFERROR(INDEX(tProdutos[Classe],MATCH(tItens[[#This Row],[Produto]],tProdutos[Produto],0)),"produto não cadastrado")</f>
        <v>DISPUTADO</v>
      </c>
      <c r="K8187" s="12">
        <f>tItens[[#This Row],[Qtd]]*tItens[[#This Row],[Vlr unit]]</f>
        <v>2869.92</v>
      </c>
      <c r="L8187" s="6">
        <f>IFERROR(IF(INDEX(tProdutos[Desconto homologado],MATCH(tItens[[#This Row],[Produto]],tProdutos[Produto],0))="",DescontoPadrao,INDEX(tProdutos[Desconto homologado],MATCH(tItens[[#This Row],[Produto]],tProdutos[Produto],0))),DescontoPadrao)</f>
        <v>0.40909090909090901</v>
      </c>
      <c r="M8187" s="12">
        <f>tItens[[#This Row],[Valor]]*(1-tItens[[#This Row],[Desconto]])</f>
        <v>1695.8618181818185</v>
      </c>
      <c r="N8187" t="str">
        <f>IFERROR(INDEX(tProdutos[Foco],MATCH(tItens[[#This Row],[Produto]],tProdutos[Produto],0)),"Não")</f>
        <v>Não</v>
      </c>
      <c r="O8187" t="str">
        <f>IFERROR(INDEX(tEditais[SRP],MATCH(tItens[[#This Row],[Edital]],tEditais[Edital],0)),"Não")</f>
        <v>Sim</v>
      </c>
      <c r="P8187" s="4">
        <f>IF(COUNTIFS(INDEX(tItens[Edital],1):tItens[[#This Row],[Edital]],tItens[[#This Row],[Edital]],INDEX(tItens[Produto],1):tItens[[#This Row],[Produto]],tItens[[#This Row],[Produto]])=1,1,0)</f>
        <v>0</v>
      </c>
    </row>
    <row r="8188" spans="1:16" x14ac:dyDescent="0.25">
      <c r="A8188" t="s">
        <v>2644</v>
      </c>
      <c r="B8188">
        <v>683</v>
      </c>
      <c r="C8188" t="s">
        <v>10681</v>
      </c>
      <c r="D8188" t="s">
        <v>126</v>
      </c>
      <c r="E8188" s="13">
        <v>501</v>
      </c>
      <c r="F8188" s="12">
        <v>550.87</v>
      </c>
      <c r="G8188" t="str">
        <f>IFERROR(INDEX(tEditais[Órgão],MATCH(tItens[[#This Row],[Edital]],tEditais[Edital],0)),"")</f>
        <v>CONSORCIO INTEGRADO DE GESTAO PUBLICA DO ENTRE RIOS - CIGAMERIOS</v>
      </c>
      <c r="H8188" t="str">
        <f>IFERROR(INDEX(tEditais[UF],MATCH(tItens[[#This Row],[Edital]],tEditais[Edital],0)),"")</f>
        <v>SC</v>
      </c>
      <c r="I8188" s="11">
        <f>IFERROR(INDEX(tEditais[Encerramento],MATCH(tItens[[#This Row],[Edital]],tEditais[Edital],0)),"")</f>
        <v>46309.332638888889</v>
      </c>
      <c r="J8188" t="str">
        <f>IFERROR(INDEX(tProdutos[Classe],MATCH(tItens[[#This Row],[Produto]],tProdutos[Produto],0)),"produto não cadastrado")</f>
        <v>DISPUTADO</v>
      </c>
      <c r="K8188" s="12">
        <f>tItens[[#This Row],[Qtd]]*tItens[[#This Row],[Vlr unit]]</f>
        <v>275985.87</v>
      </c>
      <c r="L8188" s="6">
        <f>IFERROR(IF(INDEX(tProdutos[Desconto homologado],MATCH(tItens[[#This Row],[Produto]],tProdutos[Produto],0))="",DescontoPadrao,INDEX(tProdutos[Desconto homologado],MATCH(tItens[[#This Row],[Produto]],tProdutos[Produto],0))),DescontoPadrao)</f>
        <v>0.21</v>
      </c>
      <c r="M8188" s="12">
        <f>tItens[[#This Row],[Valor]]*(1-tItens[[#This Row],[Desconto]])</f>
        <v>218028.83730000001</v>
      </c>
      <c r="N8188" t="str">
        <f>IFERROR(INDEX(tProdutos[Foco],MATCH(tItens[[#This Row],[Produto]],tProdutos[Produto],0)),"Não")</f>
        <v>Sim</v>
      </c>
      <c r="O8188" t="str">
        <f>IFERROR(INDEX(tEditais[SRP],MATCH(tItens[[#This Row],[Edital]],tEditais[Edital],0)),"Não")</f>
        <v>Sim</v>
      </c>
      <c r="P8188" s="4">
        <f>IF(COUNTIFS(INDEX(tItens[Edital],1):tItens[[#This Row],[Edital]],tItens[[#This Row],[Edital]],INDEX(tItens[Produto],1):tItens[[#This Row],[Produto]],tItens[[#This Row],[Produto]])=1,1,0)</f>
        <v>1</v>
      </c>
    </row>
    <row r="8189" spans="1:16" x14ac:dyDescent="0.25">
      <c r="A8189" t="s">
        <v>2644</v>
      </c>
      <c r="B8189">
        <v>700</v>
      </c>
      <c r="C8189" t="s">
        <v>10682</v>
      </c>
      <c r="D8189" t="s">
        <v>114</v>
      </c>
      <c r="E8189" s="13">
        <v>2540</v>
      </c>
      <c r="F8189" s="12">
        <v>8.84</v>
      </c>
      <c r="G8189" t="str">
        <f>IFERROR(INDEX(tEditais[Órgão],MATCH(tItens[[#This Row],[Edital]],tEditais[Edital],0)),"")</f>
        <v>CONSORCIO INTEGRADO DE GESTAO PUBLICA DO ENTRE RIOS - CIGAMERIOS</v>
      </c>
      <c r="H8189" t="str">
        <f>IFERROR(INDEX(tEditais[UF],MATCH(tItens[[#This Row],[Edital]],tEditais[Edital],0)),"")</f>
        <v>SC</v>
      </c>
      <c r="I8189" s="11">
        <f>IFERROR(INDEX(tEditais[Encerramento],MATCH(tItens[[#This Row],[Edital]],tEditais[Edital],0)),"")</f>
        <v>46309.332638888889</v>
      </c>
      <c r="J8189" t="str">
        <f>IFERROR(INDEX(tProdutos[Classe],MATCH(tItens[[#This Row],[Produto]],tProdutos[Produto],0)),"produto não cadastrado")</f>
        <v>DISPUTADO</v>
      </c>
      <c r="K8189" s="12">
        <f>tItens[[#This Row],[Qtd]]*tItens[[#This Row],[Vlr unit]]</f>
        <v>22453.599999999999</v>
      </c>
      <c r="L8189" s="6">
        <f>IFERROR(IF(INDEX(tProdutos[Desconto homologado],MATCH(tItens[[#This Row],[Produto]],tProdutos[Produto],0))="",DescontoPadrao,INDEX(tProdutos[Desconto homologado],MATCH(tItens[[#This Row],[Produto]],tProdutos[Produto],0))),DescontoPadrao)</f>
        <v>0.24332656063896899</v>
      </c>
      <c r="M8189" s="12">
        <f>tItens[[#This Row],[Valor]]*(1-tItens[[#This Row],[Desconto]])</f>
        <v>16990.042738036846</v>
      </c>
      <c r="N8189" t="str">
        <f>IFERROR(INDEX(tProdutos[Foco],MATCH(tItens[[#This Row],[Produto]],tProdutos[Produto],0)),"Não")</f>
        <v>Não</v>
      </c>
      <c r="O8189" t="str">
        <f>IFERROR(INDEX(tEditais[SRP],MATCH(tItens[[#This Row],[Edital]],tEditais[Edital],0)),"Não")</f>
        <v>Sim</v>
      </c>
      <c r="P8189" s="4">
        <f>IF(COUNTIFS(INDEX(tItens[Edital],1):tItens[[#This Row],[Edital]],tItens[[#This Row],[Edital]],INDEX(tItens[Produto],1):tItens[[#This Row],[Produto]],tItens[[#This Row],[Produto]])=1,1,0)</f>
        <v>1</v>
      </c>
    </row>
    <row r="8190" spans="1:16" x14ac:dyDescent="0.25">
      <c r="A8190" t="s">
        <v>2644</v>
      </c>
      <c r="B8190">
        <v>720</v>
      </c>
      <c r="C8190" t="s">
        <v>10683</v>
      </c>
      <c r="D8190" t="s">
        <v>150</v>
      </c>
      <c r="E8190" s="13">
        <v>8560</v>
      </c>
      <c r="F8190" s="12">
        <v>1.1599999999999999</v>
      </c>
      <c r="G8190" t="str">
        <f>IFERROR(INDEX(tEditais[Órgão],MATCH(tItens[[#This Row],[Edital]],tEditais[Edital],0)),"")</f>
        <v>CONSORCIO INTEGRADO DE GESTAO PUBLICA DO ENTRE RIOS - CIGAMERIOS</v>
      </c>
      <c r="H8190" t="str">
        <f>IFERROR(INDEX(tEditais[UF],MATCH(tItens[[#This Row],[Edital]],tEditais[Edital],0)),"")</f>
        <v>SC</v>
      </c>
      <c r="I8190" s="11">
        <f>IFERROR(INDEX(tEditais[Encerramento],MATCH(tItens[[#This Row],[Edital]],tEditais[Edital],0)),"")</f>
        <v>46309.332638888889</v>
      </c>
      <c r="J8190" t="str">
        <f>IFERROR(INDEX(tProdutos[Classe],MATCH(tItens[[#This Row],[Produto]],tProdutos[Produto],0)),"produto não cadastrado")</f>
        <v>DISPUTADO</v>
      </c>
      <c r="K8190" s="12">
        <f>tItens[[#This Row],[Qtd]]*tItens[[#This Row],[Vlr unit]]</f>
        <v>9929.5999999999985</v>
      </c>
      <c r="L8190" s="6">
        <f>IFERROR(IF(INDEX(tProdutos[Desconto homologado],MATCH(tItens[[#This Row],[Produto]],tProdutos[Produto],0))="",DescontoPadrao,INDEX(tProdutos[Desconto homologado],MATCH(tItens[[#This Row],[Produto]],tProdutos[Produto],0))),DescontoPadrao)</f>
        <v>0.24874026568941801</v>
      </c>
      <c r="M8190" s="12">
        <f>tItens[[#This Row],[Valor]]*(1-tItens[[#This Row],[Desconto]])</f>
        <v>7459.7086578103545</v>
      </c>
      <c r="N8190" t="str">
        <f>IFERROR(INDEX(tProdutos[Foco],MATCH(tItens[[#This Row],[Produto]],tProdutos[Produto],0)),"Não")</f>
        <v>Não</v>
      </c>
      <c r="O8190" t="str">
        <f>IFERROR(INDEX(tEditais[SRP],MATCH(tItens[[#This Row],[Edital]],tEditais[Edital],0)),"Não")</f>
        <v>Sim</v>
      </c>
      <c r="P8190" s="4">
        <f>IF(COUNTIFS(INDEX(tItens[Edital],1):tItens[[#This Row],[Edital]],tItens[[#This Row],[Edital]],INDEX(tItens[Produto],1):tItens[[#This Row],[Produto]],tItens[[#This Row],[Produto]])=1,1,0)</f>
        <v>1</v>
      </c>
    </row>
    <row r="8191" spans="1:16" x14ac:dyDescent="0.25">
      <c r="A8191" t="s">
        <v>2644</v>
      </c>
      <c r="B8191">
        <v>721</v>
      </c>
      <c r="C8191" t="s">
        <v>10684</v>
      </c>
      <c r="D8191" t="s">
        <v>150</v>
      </c>
      <c r="E8191" s="13">
        <v>13150</v>
      </c>
      <c r="F8191" s="12">
        <v>0.65</v>
      </c>
      <c r="G8191" t="str">
        <f>IFERROR(INDEX(tEditais[Órgão],MATCH(tItens[[#This Row],[Edital]],tEditais[Edital],0)),"")</f>
        <v>CONSORCIO INTEGRADO DE GESTAO PUBLICA DO ENTRE RIOS - CIGAMERIOS</v>
      </c>
      <c r="H8191" t="str">
        <f>IFERROR(INDEX(tEditais[UF],MATCH(tItens[[#This Row],[Edital]],tEditais[Edital],0)),"")</f>
        <v>SC</v>
      </c>
      <c r="I8191" s="11">
        <f>IFERROR(INDEX(tEditais[Encerramento],MATCH(tItens[[#This Row],[Edital]],tEditais[Edital],0)),"")</f>
        <v>46309.332638888889</v>
      </c>
      <c r="J8191" t="str">
        <f>IFERROR(INDEX(tProdutos[Classe],MATCH(tItens[[#This Row],[Produto]],tProdutos[Produto],0)),"produto não cadastrado")</f>
        <v>DISPUTADO</v>
      </c>
      <c r="K8191" s="12">
        <f>tItens[[#This Row],[Qtd]]*tItens[[#This Row],[Vlr unit]]</f>
        <v>8547.5</v>
      </c>
      <c r="L8191" s="6">
        <f>IFERROR(IF(INDEX(tProdutos[Desconto homologado],MATCH(tItens[[#This Row],[Produto]],tProdutos[Produto],0))="",DescontoPadrao,INDEX(tProdutos[Desconto homologado],MATCH(tItens[[#This Row],[Produto]],tProdutos[Produto],0))),DescontoPadrao)</f>
        <v>0.24874026568941801</v>
      </c>
      <c r="M8191" s="12">
        <f>tItens[[#This Row],[Valor]]*(1-tItens[[#This Row],[Desconto]])</f>
        <v>6421.3925790197</v>
      </c>
      <c r="N8191" t="str">
        <f>IFERROR(INDEX(tProdutos[Foco],MATCH(tItens[[#This Row],[Produto]],tProdutos[Produto],0)),"Não")</f>
        <v>Não</v>
      </c>
      <c r="O8191" t="str">
        <f>IFERROR(INDEX(tEditais[SRP],MATCH(tItens[[#This Row],[Edital]],tEditais[Edital],0)),"Não")</f>
        <v>Sim</v>
      </c>
      <c r="P8191" s="4">
        <f>IF(COUNTIFS(INDEX(tItens[Edital],1):tItens[[#This Row],[Edital]],tItens[[#This Row],[Edital]],INDEX(tItens[Produto],1):tItens[[#This Row],[Produto]],tItens[[#This Row],[Produto]])=1,1,0)</f>
        <v>0</v>
      </c>
    </row>
    <row r="8192" spans="1:16" x14ac:dyDescent="0.25">
      <c r="A8192" t="s">
        <v>2644</v>
      </c>
      <c r="B8192">
        <v>722</v>
      </c>
      <c r="C8192" t="s">
        <v>10685</v>
      </c>
      <c r="D8192" t="s">
        <v>150</v>
      </c>
      <c r="E8192" s="13">
        <v>12450</v>
      </c>
      <c r="F8192" s="12">
        <v>0.45</v>
      </c>
      <c r="G8192" t="str">
        <f>IFERROR(INDEX(tEditais[Órgão],MATCH(tItens[[#This Row],[Edital]],tEditais[Edital],0)),"")</f>
        <v>CONSORCIO INTEGRADO DE GESTAO PUBLICA DO ENTRE RIOS - CIGAMERIOS</v>
      </c>
      <c r="H8192" t="str">
        <f>IFERROR(INDEX(tEditais[UF],MATCH(tItens[[#This Row],[Edital]],tEditais[Edital],0)),"")</f>
        <v>SC</v>
      </c>
      <c r="I8192" s="11">
        <f>IFERROR(INDEX(tEditais[Encerramento],MATCH(tItens[[#This Row],[Edital]],tEditais[Edital],0)),"")</f>
        <v>46309.332638888889</v>
      </c>
      <c r="J8192" t="str">
        <f>IFERROR(INDEX(tProdutos[Classe],MATCH(tItens[[#This Row],[Produto]],tProdutos[Produto],0)),"produto não cadastrado")</f>
        <v>DISPUTADO</v>
      </c>
      <c r="K8192" s="12">
        <f>tItens[[#This Row],[Qtd]]*tItens[[#This Row],[Vlr unit]]</f>
        <v>5602.5</v>
      </c>
      <c r="L8192" s="6">
        <f>IFERROR(IF(INDEX(tProdutos[Desconto homologado],MATCH(tItens[[#This Row],[Produto]],tProdutos[Produto],0))="",DescontoPadrao,INDEX(tProdutos[Desconto homologado],MATCH(tItens[[#This Row],[Produto]],tProdutos[Produto],0))),DescontoPadrao)</f>
        <v>0.24874026568941801</v>
      </c>
      <c r="M8192" s="12">
        <f>tItens[[#This Row],[Valor]]*(1-tItens[[#This Row],[Desconto]])</f>
        <v>4208.9326614750362</v>
      </c>
      <c r="N8192" t="str">
        <f>IFERROR(INDEX(tProdutos[Foco],MATCH(tItens[[#This Row],[Produto]],tProdutos[Produto],0)),"Não")</f>
        <v>Não</v>
      </c>
      <c r="O8192" t="str">
        <f>IFERROR(INDEX(tEditais[SRP],MATCH(tItens[[#This Row],[Edital]],tEditais[Edital],0)),"Não")</f>
        <v>Sim</v>
      </c>
      <c r="P8192" s="4">
        <f>IF(COUNTIFS(INDEX(tItens[Edital],1):tItens[[#This Row],[Edital]],tItens[[#This Row],[Edital]],INDEX(tItens[Produto],1):tItens[[#This Row],[Produto]],tItens[[#This Row],[Produto]])=1,1,0)</f>
        <v>0</v>
      </c>
    </row>
    <row r="8193" spans="1:16" x14ac:dyDescent="0.25">
      <c r="A8193" t="s">
        <v>2644</v>
      </c>
      <c r="B8193">
        <v>723</v>
      </c>
      <c r="C8193" t="s">
        <v>10686</v>
      </c>
      <c r="D8193" t="s">
        <v>150</v>
      </c>
      <c r="E8193" s="13">
        <v>10950</v>
      </c>
      <c r="F8193" s="12">
        <v>1.01</v>
      </c>
      <c r="G8193" t="str">
        <f>IFERROR(INDEX(tEditais[Órgão],MATCH(tItens[[#This Row],[Edital]],tEditais[Edital],0)),"")</f>
        <v>CONSORCIO INTEGRADO DE GESTAO PUBLICA DO ENTRE RIOS - CIGAMERIOS</v>
      </c>
      <c r="H8193" t="str">
        <f>IFERROR(INDEX(tEditais[UF],MATCH(tItens[[#This Row],[Edital]],tEditais[Edital],0)),"")</f>
        <v>SC</v>
      </c>
      <c r="I8193" s="11">
        <f>IFERROR(INDEX(tEditais[Encerramento],MATCH(tItens[[#This Row],[Edital]],tEditais[Edital],0)),"")</f>
        <v>46309.332638888889</v>
      </c>
      <c r="J8193" t="str">
        <f>IFERROR(INDEX(tProdutos[Classe],MATCH(tItens[[#This Row],[Produto]],tProdutos[Produto],0)),"produto não cadastrado")</f>
        <v>DISPUTADO</v>
      </c>
      <c r="K8193" s="12">
        <f>tItens[[#This Row],[Qtd]]*tItens[[#This Row],[Vlr unit]]</f>
        <v>11059.5</v>
      </c>
      <c r="L8193" s="6">
        <f>IFERROR(IF(INDEX(tProdutos[Desconto homologado],MATCH(tItens[[#This Row],[Produto]],tProdutos[Produto],0))="",DescontoPadrao,INDEX(tProdutos[Desconto homologado],MATCH(tItens[[#This Row],[Produto]],tProdutos[Produto],0))),DescontoPadrao)</f>
        <v>0.24874026568941801</v>
      </c>
      <c r="M8193" s="12">
        <f>tItens[[#This Row],[Valor]]*(1-tItens[[#This Row],[Desconto]])</f>
        <v>8308.5570316078811</v>
      </c>
      <c r="N8193" t="str">
        <f>IFERROR(INDEX(tProdutos[Foco],MATCH(tItens[[#This Row],[Produto]],tProdutos[Produto],0)),"Não")</f>
        <v>Não</v>
      </c>
      <c r="O8193" t="str">
        <f>IFERROR(INDEX(tEditais[SRP],MATCH(tItens[[#This Row],[Edital]],tEditais[Edital],0)),"Não")</f>
        <v>Sim</v>
      </c>
      <c r="P8193" s="4">
        <f>IF(COUNTIFS(INDEX(tItens[Edital],1):tItens[[#This Row],[Edital]],tItens[[#This Row],[Edital]],INDEX(tItens[Produto],1):tItens[[#This Row],[Produto]],tItens[[#This Row],[Produto]])=1,1,0)</f>
        <v>0</v>
      </c>
    </row>
    <row r="8194" spans="1:16" x14ac:dyDescent="0.25">
      <c r="A8194" t="s">
        <v>2644</v>
      </c>
      <c r="B8194">
        <v>724</v>
      </c>
      <c r="C8194" t="s">
        <v>10687</v>
      </c>
      <c r="D8194" t="s">
        <v>176</v>
      </c>
      <c r="E8194" s="13">
        <v>8650</v>
      </c>
      <c r="F8194" s="12">
        <v>0.83</v>
      </c>
      <c r="G8194" t="str">
        <f>IFERROR(INDEX(tEditais[Órgão],MATCH(tItens[[#This Row],[Edital]],tEditais[Edital],0)),"")</f>
        <v>CONSORCIO INTEGRADO DE GESTAO PUBLICA DO ENTRE RIOS - CIGAMERIOS</v>
      </c>
      <c r="H8194" t="str">
        <f>IFERROR(INDEX(tEditais[UF],MATCH(tItens[[#This Row],[Edital]],tEditais[Edital],0)),"")</f>
        <v>SC</v>
      </c>
      <c r="I8194" s="11">
        <f>IFERROR(INDEX(tEditais[Encerramento],MATCH(tItens[[#This Row],[Edital]],tEditais[Edital],0)),"")</f>
        <v>46309.332638888889</v>
      </c>
      <c r="J8194" t="str">
        <f>IFERROR(INDEX(tProdutos[Classe],MATCH(tItens[[#This Row],[Produto]],tProdutos[Produto],0)),"produto não cadastrado")</f>
        <v>DISPUTADO</v>
      </c>
      <c r="K8194" s="12">
        <f>tItens[[#This Row],[Qtd]]*tItens[[#This Row],[Vlr unit]]</f>
        <v>7179.5</v>
      </c>
      <c r="L8194" s="6">
        <f>IFERROR(IF(INDEX(tProdutos[Desconto homologado],MATCH(tItens[[#This Row],[Produto]],tProdutos[Produto],0))="",DescontoPadrao,INDEX(tProdutos[Desconto homologado],MATCH(tItens[[#This Row],[Produto]],tProdutos[Produto],0))),DescontoPadrao)</f>
        <v>0.39921530161843999</v>
      </c>
      <c r="M8194" s="12">
        <f>tItens[[#This Row],[Valor]]*(1-tItens[[#This Row],[Desconto]])</f>
        <v>4313.3337420304097</v>
      </c>
      <c r="N8194" t="str">
        <f>IFERROR(INDEX(tProdutos[Foco],MATCH(tItens[[#This Row],[Produto]],tProdutos[Produto],0)),"Não")</f>
        <v>Não</v>
      </c>
      <c r="O8194" t="str">
        <f>IFERROR(INDEX(tEditais[SRP],MATCH(tItens[[#This Row],[Edital]],tEditais[Edital],0)),"Não")</f>
        <v>Sim</v>
      </c>
      <c r="P8194" s="4">
        <f>IF(COUNTIFS(INDEX(tItens[Edital],1):tItens[[#This Row],[Edital]],tItens[[#This Row],[Edital]],INDEX(tItens[Produto],1):tItens[[#This Row],[Produto]],tItens[[#This Row],[Produto]])=1,1,0)</f>
        <v>1</v>
      </c>
    </row>
    <row r="8195" spans="1:16" x14ac:dyDescent="0.25">
      <c r="A8195" t="s">
        <v>2644</v>
      </c>
      <c r="B8195">
        <v>725</v>
      </c>
      <c r="C8195" t="s">
        <v>10688</v>
      </c>
      <c r="D8195" t="s">
        <v>176</v>
      </c>
      <c r="E8195" s="13">
        <v>8050</v>
      </c>
      <c r="F8195" s="12">
        <v>0.97</v>
      </c>
      <c r="G8195" t="str">
        <f>IFERROR(INDEX(tEditais[Órgão],MATCH(tItens[[#This Row],[Edital]],tEditais[Edital],0)),"")</f>
        <v>CONSORCIO INTEGRADO DE GESTAO PUBLICA DO ENTRE RIOS - CIGAMERIOS</v>
      </c>
      <c r="H8195" t="str">
        <f>IFERROR(INDEX(tEditais[UF],MATCH(tItens[[#This Row],[Edital]],tEditais[Edital],0)),"")</f>
        <v>SC</v>
      </c>
      <c r="I8195" s="11">
        <f>IFERROR(INDEX(tEditais[Encerramento],MATCH(tItens[[#This Row],[Edital]],tEditais[Edital],0)),"")</f>
        <v>46309.332638888889</v>
      </c>
      <c r="J8195" t="str">
        <f>IFERROR(INDEX(tProdutos[Classe],MATCH(tItens[[#This Row],[Produto]],tProdutos[Produto],0)),"produto não cadastrado")</f>
        <v>DISPUTADO</v>
      </c>
      <c r="K8195" s="12">
        <f>tItens[[#This Row],[Qtd]]*tItens[[#This Row],[Vlr unit]]</f>
        <v>7808.5</v>
      </c>
      <c r="L8195" s="6">
        <f>IFERROR(IF(INDEX(tProdutos[Desconto homologado],MATCH(tItens[[#This Row],[Produto]],tProdutos[Produto],0))="",DescontoPadrao,INDEX(tProdutos[Desconto homologado],MATCH(tItens[[#This Row],[Produto]],tProdutos[Produto],0))),DescontoPadrao)</f>
        <v>0.39921530161843999</v>
      </c>
      <c r="M8195" s="12">
        <f>tItens[[#This Row],[Valor]]*(1-tItens[[#This Row],[Desconto]])</f>
        <v>4691.2273173124113</v>
      </c>
      <c r="N8195" t="str">
        <f>IFERROR(INDEX(tProdutos[Foco],MATCH(tItens[[#This Row],[Produto]],tProdutos[Produto],0)),"Não")</f>
        <v>Não</v>
      </c>
      <c r="O8195" t="str">
        <f>IFERROR(INDEX(tEditais[SRP],MATCH(tItens[[#This Row],[Edital]],tEditais[Edital],0)),"Não")</f>
        <v>Sim</v>
      </c>
      <c r="P8195" s="4">
        <f>IF(COUNTIFS(INDEX(tItens[Edital],1):tItens[[#This Row],[Edital]],tItens[[#This Row],[Edital]],INDEX(tItens[Produto],1):tItens[[#This Row],[Produto]],tItens[[#This Row],[Produto]])=1,1,0)</f>
        <v>0</v>
      </c>
    </row>
    <row r="8196" spans="1:16" x14ac:dyDescent="0.25">
      <c r="A8196" t="s">
        <v>2644</v>
      </c>
      <c r="B8196">
        <v>726</v>
      </c>
      <c r="C8196" t="s">
        <v>10689</v>
      </c>
      <c r="D8196" t="s">
        <v>176</v>
      </c>
      <c r="E8196" s="13">
        <v>11050</v>
      </c>
      <c r="F8196" s="12">
        <v>0.83</v>
      </c>
      <c r="G8196" t="str">
        <f>IFERROR(INDEX(tEditais[Órgão],MATCH(tItens[[#This Row],[Edital]],tEditais[Edital],0)),"")</f>
        <v>CONSORCIO INTEGRADO DE GESTAO PUBLICA DO ENTRE RIOS - CIGAMERIOS</v>
      </c>
      <c r="H8196" t="str">
        <f>IFERROR(INDEX(tEditais[UF],MATCH(tItens[[#This Row],[Edital]],tEditais[Edital],0)),"")</f>
        <v>SC</v>
      </c>
      <c r="I8196" s="11">
        <f>IFERROR(INDEX(tEditais[Encerramento],MATCH(tItens[[#This Row],[Edital]],tEditais[Edital],0)),"")</f>
        <v>46309.332638888889</v>
      </c>
      <c r="J8196" t="str">
        <f>IFERROR(INDEX(tProdutos[Classe],MATCH(tItens[[#This Row],[Produto]],tProdutos[Produto],0)),"produto não cadastrado")</f>
        <v>DISPUTADO</v>
      </c>
      <c r="K8196" s="12">
        <f>tItens[[#This Row],[Qtd]]*tItens[[#This Row],[Vlr unit]]</f>
        <v>9171.5</v>
      </c>
      <c r="L8196" s="6">
        <f>IFERROR(IF(INDEX(tProdutos[Desconto homologado],MATCH(tItens[[#This Row],[Produto]],tProdutos[Produto],0))="",DescontoPadrao,INDEX(tProdutos[Desconto homologado],MATCH(tItens[[#This Row],[Produto]],tProdutos[Produto],0))),DescontoPadrao)</f>
        <v>0.39921530161843999</v>
      </c>
      <c r="M8196" s="12">
        <f>tItens[[#This Row],[Valor]]*(1-tItens[[#This Row],[Desconto]])</f>
        <v>5510.096861206478</v>
      </c>
      <c r="N8196" t="str">
        <f>IFERROR(INDEX(tProdutos[Foco],MATCH(tItens[[#This Row],[Produto]],tProdutos[Produto],0)),"Não")</f>
        <v>Não</v>
      </c>
      <c r="O8196" t="str">
        <f>IFERROR(INDEX(tEditais[SRP],MATCH(tItens[[#This Row],[Edital]],tEditais[Edital],0)),"Não")</f>
        <v>Sim</v>
      </c>
      <c r="P8196" s="4">
        <f>IF(COUNTIFS(INDEX(tItens[Edital],1):tItens[[#This Row],[Edital]],tItens[[#This Row],[Edital]],INDEX(tItens[Produto],1):tItens[[#This Row],[Produto]],tItens[[#This Row],[Produto]])=1,1,0)</f>
        <v>0</v>
      </c>
    </row>
    <row r="8197" spans="1:16" x14ac:dyDescent="0.25">
      <c r="A8197" t="s">
        <v>2644</v>
      </c>
      <c r="B8197">
        <v>728</v>
      </c>
      <c r="C8197" t="s">
        <v>10690</v>
      </c>
      <c r="D8197" t="s">
        <v>176</v>
      </c>
      <c r="E8197" s="13">
        <v>8500</v>
      </c>
      <c r="F8197" s="12">
        <v>1.05</v>
      </c>
      <c r="G8197" t="str">
        <f>IFERROR(INDEX(tEditais[Órgão],MATCH(tItens[[#This Row],[Edital]],tEditais[Edital],0)),"")</f>
        <v>CONSORCIO INTEGRADO DE GESTAO PUBLICA DO ENTRE RIOS - CIGAMERIOS</v>
      </c>
      <c r="H8197" t="str">
        <f>IFERROR(INDEX(tEditais[UF],MATCH(tItens[[#This Row],[Edital]],tEditais[Edital],0)),"")</f>
        <v>SC</v>
      </c>
      <c r="I8197" s="11">
        <f>IFERROR(INDEX(tEditais[Encerramento],MATCH(tItens[[#This Row],[Edital]],tEditais[Edital],0)),"")</f>
        <v>46309.332638888889</v>
      </c>
      <c r="J8197" t="str">
        <f>IFERROR(INDEX(tProdutos[Classe],MATCH(tItens[[#This Row],[Produto]],tProdutos[Produto],0)),"produto não cadastrado")</f>
        <v>DISPUTADO</v>
      </c>
      <c r="K8197" s="12">
        <f>tItens[[#This Row],[Qtd]]*tItens[[#This Row],[Vlr unit]]</f>
        <v>8925</v>
      </c>
      <c r="L8197" s="6">
        <f>IFERROR(IF(INDEX(tProdutos[Desconto homologado],MATCH(tItens[[#This Row],[Produto]],tProdutos[Produto],0))="",DescontoPadrao,INDEX(tProdutos[Desconto homologado],MATCH(tItens[[#This Row],[Produto]],tProdutos[Produto],0))),DescontoPadrao)</f>
        <v>0.39921530161843999</v>
      </c>
      <c r="M8197" s="12">
        <f>tItens[[#This Row],[Valor]]*(1-tItens[[#This Row],[Desconto]])</f>
        <v>5362.0034330554236</v>
      </c>
      <c r="N8197" t="str">
        <f>IFERROR(INDEX(tProdutos[Foco],MATCH(tItens[[#This Row],[Produto]],tProdutos[Produto],0)),"Não")</f>
        <v>Não</v>
      </c>
      <c r="O8197" t="str">
        <f>IFERROR(INDEX(tEditais[SRP],MATCH(tItens[[#This Row],[Edital]],tEditais[Edital],0)),"Não")</f>
        <v>Sim</v>
      </c>
      <c r="P8197" s="4">
        <f>IF(COUNTIFS(INDEX(tItens[Edital],1):tItens[[#This Row],[Edital]],tItens[[#This Row],[Edital]],INDEX(tItens[Produto],1):tItens[[#This Row],[Produto]],tItens[[#This Row],[Produto]])=1,1,0)</f>
        <v>0</v>
      </c>
    </row>
    <row r="8198" spans="1:16" x14ac:dyDescent="0.25">
      <c r="A8198" t="s">
        <v>2644</v>
      </c>
      <c r="B8198">
        <v>729</v>
      </c>
      <c r="C8198" t="s">
        <v>10691</v>
      </c>
      <c r="D8198" t="s">
        <v>122</v>
      </c>
      <c r="E8198" s="13">
        <v>9850</v>
      </c>
      <c r="F8198" s="12">
        <v>0.52</v>
      </c>
      <c r="G8198" t="str">
        <f>IFERROR(INDEX(tEditais[Órgão],MATCH(tItens[[#This Row],[Edital]],tEditais[Edital],0)),"")</f>
        <v>CONSORCIO INTEGRADO DE GESTAO PUBLICA DO ENTRE RIOS - CIGAMERIOS</v>
      </c>
      <c r="H8198" t="str">
        <f>IFERROR(INDEX(tEditais[UF],MATCH(tItens[[#This Row],[Edital]],tEditais[Edital],0)),"")</f>
        <v>SC</v>
      </c>
      <c r="I8198" s="11">
        <f>IFERROR(INDEX(tEditais[Encerramento],MATCH(tItens[[#This Row],[Edital]],tEditais[Edital],0)),"")</f>
        <v>46309.332638888889</v>
      </c>
      <c r="J8198" t="str">
        <f>IFERROR(INDEX(tProdutos[Classe],MATCH(tItens[[#This Row],[Produto]],tProdutos[Produto],0)),"produto não cadastrado")</f>
        <v>DISPUTADO</v>
      </c>
      <c r="K8198" s="12">
        <f>tItens[[#This Row],[Qtd]]*tItens[[#This Row],[Vlr unit]]</f>
        <v>5122</v>
      </c>
      <c r="L8198" s="6">
        <f>IFERROR(IF(INDEX(tProdutos[Desconto homologado],MATCH(tItens[[#This Row],[Produto]],tProdutos[Produto],0))="",DescontoPadrao,INDEX(tProdutos[Desconto homologado],MATCH(tItens[[#This Row],[Produto]],tProdutos[Produto],0))),DescontoPadrao)</f>
        <v>0.29597296536187001</v>
      </c>
      <c r="M8198" s="12">
        <f>tItens[[#This Row],[Valor]]*(1-tItens[[#This Row],[Desconto]])</f>
        <v>3606.0264714165019</v>
      </c>
      <c r="N8198" t="str">
        <f>IFERROR(INDEX(tProdutos[Foco],MATCH(tItens[[#This Row],[Produto]],tProdutos[Produto],0)),"Não")</f>
        <v>Não</v>
      </c>
      <c r="O8198" t="str">
        <f>IFERROR(INDEX(tEditais[SRP],MATCH(tItens[[#This Row],[Edital]],tEditais[Edital],0)),"Não")</f>
        <v>Sim</v>
      </c>
      <c r="P8198" s="4">
        <f>IF(COUNTIFS(INDEX(tItens[Edital],1):tItens[[#This Row],[Edital]],tItens[[#This Row],[Edital]],INDEX(tItens[Produto],1):tItens[[#This Row],[Produto]],tItens[[#This Row],[Produto]])=1,1,0)</f>
        <v>1</v>
      </c>
    </row>
    <row r="8199" spans="1:16" x14ac:dyDescent="0.25">
      <c r="A8199" t="s">
        <v>2644</v>
      </c>
      <c r="B8199">
        <v>731</v>
      </c>
      <c r="C8199" t="s">
        <v>10692</v>
      </c>
      <c r="D8199" t="s">
        <v>427</v>
      </c>
      <c r="E8199" s="13">
        <v>615</v>
      </c>
      <c r="F8199" s="12">
        <v>14.09</v>
      </c>
      <c r="G8199" t="str">
        <f>IFERROR(INDEX(tEditais[Órgão],MATCH(tItens[[#This Row],[Edital]],tEditais[Edital],0)),"")</f>
        <v>CONSORCIO INTEGRADO DE GESTAO PUBLICA DO ENTRE RIOS - CIGAMERIOS</v>
      </c>
      <c r="H8199" t="str">
        <f>IFERROR(INDEX(tEditais[UF],MATCH(tItens[[#This Row],[Edital]],tEditais[Edital],0)),"")</f>
        <v>SC</v>
      </c>
      <c r="I8199" s="11">
        <f>IFERROR(INDEX(tEditais[Encerramento],MATCH(tItens[[#This Row],[Edital]],tEditais[Edital],0)),"")</f>
        <v>46309.332638888889</v>
      </c>
      <c r="J8199" t="str">
        <f>IFERROR(INDEX(tProdutos[Classe],MATCH(tItens[[#This Row],[Produto]],tProdutos[Produto],0)),"produto não cadastrado")</f>
        <v>FORA</v>
      </c>
      <c r="K8199" s="12">
        <f>tItens[[#This Row],[Qtd]]*tItens[[#This Row],[Vlr unit]]</f>
        <v>8665.35</v>
      </c>
      <c r="L8199" s="6">
        <f>IFERROR(IF(INDEX(tProdutos[Desconto homologado],MATCH(tItens[[#This Row],[Produto]],tProdutos[Produto],0))="",DescontoPadrao,INDEX(tProdutos[Desconto homologado],MATCH(tItens[[#This Row],[Produto]],tProdutos[Produto],0))),DescontoPadrao)</f>
        <v>0.26040061633282002</v>
      </c>
      <c r="M8199" s="12">
        <f>tItens[[#This Row],[Valor]]*(1-tItens[[#This Row],[Desconto]])</f>
        <v>6408.8875192603982</v>
      </c>
      <c r="N8199" t="str">
        <f>IFERROR(INDEX(tProdutos[Foco],MATCH(tItens[[#This Row],[Produto]],tProdutos[Produto],0)),"Não")</f>
        <v>Não</v>
      </c>
      <c r="O8199" t="str">
        <f>IFERROR(INDEX(tEditais[SRP],MATCH(tItens[[#This Row],[Edital]],tEditais[Edital],0)),"Não")</f>
        <v>Sim</v>
      </c>
      <c r="P8199" s="4">
        <f>IF(COUNTIFS(INDEX(tItens[Edital],1):tItens[[#This Row],[Edital]],tItens[[#This Row],[Edital]],INDEX(tItens[Produto],1):tItens[[#This Row],[Produto]],tItens[[#This Row],[Produto]])=1,1,0)</f>
        <v>1</v>
      </c>
    </row>
    <row r="8200" spans="1:16" x14ac:dyDescent="0.25">
      <c r="A8200" t="s">
        <v>2644</v>
      </c>
      <c r="B8200">
        <v>732</v>
      </c>
      <c r="C8200" t="s">
        <v>10693</v>
      </c>
      <c r="D8200" t="s">
        <v>156</v>
      </c>
      <c r="E8200" s="13">
        <v>720</v>
      </c>
      <c r="F8200" s="12">
        <v>17.190000000000001</v>
      </c>
      <c r="G8200" t="str">
        <f>IFERROR(INDEX(tEditais[Órgão],MATCH(tItens[[#This Row],[Edital]],tEditais[Edital],0)),"")</f>
        <v>CONSORCIO INTEGRADO DE GESTAO PUBLICA DO ENTRE RIOS - CIGAMERIOS</v>
      </c>
      <c r="H8200" t="str">
        <f>IFERROR(INDEX(tEditais[UF],MATCH(tItens[[#This Row],[Edital]],tEditais[Edital],0)),"")</f>
        <v>SC</v>
      </c>
      <c r="I8200" s="11">
        <f>IFERROR(INDEX(tEditais[Encerramento],MATCH(tItens[[#This Row],[Edital]],tEditais[Edital],0)),"")</f>
        <v>46309.332638888889</v>
      </c>
      <c r="J8200" t="str">
        <f>IFERROR(INDEX(tProdutos[Classe],MATCH(tItens[[#This Row],[Produto]],tProdutos[Produto],0)),"produto não cadastrado")</f>
        <v>DISPUTADO</v>
      </c>
      <c r="K8200" s="12">
        <f>tItens[[#This Row],[Qtd]]*tItens[[#This Row],[Vlr unit]]</f>
        <v>12376.800000000001</v>
      </c>
      <c r="L8200" s="6">
        <f>IFERROR(IF(INDEX(tProdutos[Desconto homologado],MATCH(tItens[[#This Row],[Produto]],tProdutos[Produto],0))="",DescontoPadrao,INDEX(tProdutos[Desconto homologado],MATCH(tItens[[#This Row],[Produto]],tProdutos[Produto],0))),DescontoPadrao)</f>
        <v>0.27131852489802799</v>
      </c>
      <c r="M8200" s="12">
        <f>tItens[[#This Row],[Valor]]*(1-tItens[[#This Row],[Desconto]])</f>
        <v>9018.7448810420883</v>
      </c>
      <c r="N8200" t="str">
        <f>IFERROR(INDEX(tProdutos[Foco],MATCH(tItens[[#This Row],[Produto]],tProdutos[Produto],0)),"Não")</f>
        <v>Não</v>
      </c>
      <c r="O8200" t="str">
        <f>IFERROR(INDEX(tEditais[SRP],MATCH(tItens[[#This Row],[Edital]],tEditais[Edital],0)),"Não")</f>
        <v>Sim</v>
      </c>
      <c r="P8200" s="4">
        <f>IF(COUNTIFS(INDEX(tItens[Edital],1):tItens[[#This Row],[Edital]],tItens[[#This Row],[Edital]],INDEX(tItens[Produto],1):tItens[[#This Row],[Produto]],tItens[[#This Row],[Produto]])=1,1,0)</f>
        <v>1</v>
      </c>
    </row>
    <row r="8201" spans="1:16" x14ac:dyDescent="0.25">
      <c r="A8201" t="s">
        <v>2644</v>
      </c>
      <c r="B8201">
        <v>737</v>
      </c>
      <c r="C8201" t="s">
        <v>10694</v>
      </c>
      <c r="D8201" t="s">
        <v>92</v>
      </c>
      <c r="E8201" s="13">
        <v>770</v>
      </c>
      <c r="F8201" s="12">
        <v>6.52</v>
      </c>
      <c r="G8201" t="str">
        <f>IFERROR(INDEX(tEditais[Órgão],MATCH(tItens[[#This Row],[Edital]],tEditais[Edital],0)),"")</f>
        <v>CONSORCIO INTEGRADO DE GESTAO PUBLICA DO ENTRE RIOS - CIGAMERIOS</v>
      </c>
      <c r="H8201" t="str">
        <f>IFERROR(INDEX(tEditais[UF],MATCH(tItens[[#This Row],[Edital]],tEditais[Edital],0)),"")</f>
        <v>SC</v>
      </c>
      <c r="I8201" s="11">
        <f>IFERROR(INDEX(tEditais[Encerramento],MATCH(tItens[[#This Row],[Edital]],tEditais[Edital],0)),"")</f>
        <v>46309.332638888889</v>
      </c>
      <c r="J8201" t="str">
        <f>IFERROR(INDEX(tProdutos[Classe],MATCH(tItens[[#This Row],[Produto]],tProdutos[Produto],0)),"produto não cadastrado")</f>
        <v>NÚCLEO</v>
      </c>
      <c r="K8201" s="12">
        <f>tItens[[#This Row],[Qtd]]*tItens[[#This Row],[Vlr unit]]</f>
        <v>5020.3999999999996</v>
      </c>
      <c r="L8201" s="6">
        <f>IFERROR(IF(INDEX(tProdutos[Desconto homologado],MATCH(tItens[[#This Row],[Produto]],tProdutos[Produto],0))="",DescontoPadrao,INDEX(tProdutos[Desconto homologado],MATCH(tItens[[#This Row],[Produto]],tProdutos[Produto],0))),DescontoPadrao)</f>
        <v>0.37</v>
      </c>
      <c r="M8201" s="12">
        <f>tItens[[#This Row],[Valor]]*(1-tItens[[#This Row],[Desconto]])</f>
        <v>3162.8519999999999</v>
      </c>
      <c r="N8201" t="str">
        <f>IFERROR(INDEX(tProdutos[Foco],MATCH(tItens[[#This Row],[Produto]],tProdutos[Produto],0)),"Não")</f>
        <v>Sim</v>
      </c>
      <c r="O8201" t="str">
        <f>IFERROR(INDEX(tEditais[SRP],MATCH(tItens[[#This Row],[Edital]],tEditais[Edital],0)),"Não")</f>
        <v>Sim</v>
      </c>
      <c r="P8201" s="4">
        <f>IF(COUNTIFS(INDEX(tItens[Edital],1):tItens[[#This Row],[Edital]],tItens[[#This Row],[Edital]],INDEX(tItens[Produto],1):tItens[[#This Row],[Produto]],tItens[[#This Row],[Produto]])=1,1,0)</f>
        <v>0</v>
      </c>
    </row>
    <row r="8202" spans="1:16" x14ac:dyDescent="0.25">
      <c r="A8202" t="s">
        <v>2648</v>
      </c>
      <c r="B8202">
        <v>2</v>
      </c>
      <c r="C8202" t="s">
        <v>10695</v>
      </c>
      <c r="D8202" t="s">
        <v>160</v>
      </c>
      <c r="E8202" s="13">
        <v>300</v>
      </c>
      <c r="F8202" s="12">
        <v>0</v>
      </c>
      <c r="G8202" t="str">
        <f>IFERROR(INDEX(tEditais[Órgão],MATCH(tItens[[#This Row],[Edital]],tEditais[Edital],0)),"")</f>
        <v>EMPRESA BRASILEIRA DE SERVICOS HOSPITALARES - EBSERH</v>
      </c>
      <c r="H8202" t="str">
        <f>IFERROR(INDEX(tEditais[UF],MATCH(tItens[[#This Row],[Edital]],tEditais[Edital],0)),"")</f>
        <v>SC</v>
      </c>
      <c r="I8202" s="11">
        <f>IFERROR(INDEX(tEditais[Encerramento],MATCH(tItens[[#This Row],[Edital]],tEditais[Edital],0)),"")</f>
        <v>46309.375</v>
      </c>
      <c r="J8202" t="str">
        <f>IFERROR(INDEX(tProdutos[Classe],MATCH(tItens[[#This Row],[Produto]],tProdutos[Produto],0)),"produto não cadastrado")</f>
        <v>DISPUTADO</v>
      </c>
      <c r="K8202" s="12">
        <f>tItens[[#This Row],[Qtd]]*tItens[[#This Row],[Vlr unit]]</f>
        <v>0</v>
      </c>
      <c r="L8202" s="6">
        <f>IFERROR(IF(INDEX(tProdutos[Desconto homologado],MATCH(tItens[[#This Row],[Produto]],tProdutos[Produto],0))="",DescontoPadrao,INDEX(tProdutos[Desconto homologado],MATCH(tItens[[#This Row],[Produto]],tProdutos[Produto],0))),DescontoPadrao)</f>
        <v>0.28000000000000003</v>
      </c>
      <c r="M8202" s="12">
        <f>tItens[[#This Row],[Valor]]*(1-tItens[[#This Row],[Desconto]])</f>
        <v>0</v>
      </c>
      <c r="N8202" t="str">
        <f>IFERROR(INDEX(tProdutos[Foco],MATCH(tItens[[#This Row],[Produto]],tProdutos[Produto],0)),"Não")</f>
        <v>Sim</v>
      </c>
      <c r="O8202" t="str">
        <f>IFERROR(INDEX(tEditais[SRP],MATCH(tItens[[#This Row],[Edital]],tEditais[Edital],0)),"Não")</f>
        <v>Sim</v>
      </c>
      <c r="P8202" s="4">
        <f>IF(COUNTIFS(INDEX(tItens[Edital],1):tItens[[#This Row],[Edital]],tItens[[#This Row],[Edital]],INDEX(tItens[Produto],1):tItens[[#This Row],[Produto]],tItens[[#This Row],[Produto]])=1,1,0)</f>
        <v>1</v>
      </c>
    </row>
    <row r="8203" spans="1:16" x14ac:dyDescent="0.25">
      <c r="A8203" t="s">
        <v>2648</v>
      </c>
      <c r="B8203">
        <v>3</v>
      </c>
      <c r="C8203" t="s">
        <v>10696</v>
      </c>
      <c r="D8203" t="s">
        <v>409</v>
      </c>
      <c r="E8203" s="13">
        <v>1500</v>
      </c>
      <c r="F8203" s="12">
        <v>0</v>
      </c>
      <c r="G8203" t="str">
        <f>IFERROR(INDEX(tEditais[Órgão],MATCH(tItens[[#This Row],[Edital]],tEditais[Edital],0)),"")</f>
        <v>EMPRESA BRASILEIRA DE SERVICOS HOSPITALARES - EBSERH</v>
      </c>
      <c r="H8203" t="str">
        <f>IFERROR(INDEX(tEditais[UF],MATCH(tItens[[#This Row],[Edital]],tEditais[Edital],0)),"")</f>
        <v>SC</v>
      </c>
      <c r="I8203" s="11">
        <f>IFERROR(INDEX(tEditais[Encerramento],MATCH(tItens[[#This Row],[Edital]],tEditais[Edital],0)),"")</f>
        <v>46309.375</v>
      </c>
      <c r="J8203" t="str">
        <f>IFERROR(INDEX(tProdutos[Classe],MATCH(tItens[[#This Row],[Produto]],tProdutos[Produto],0)),"produto não cadastrado")</f>
        <v>FORA</v>
      </c>
      <c r="K8203" s="12">
        <f>tItens[[#This Row],[Qtd]]*tItens[[#This Row],[Vlr unit]]</f>
        <v>0</v>
      </c>
      <c r="L8203" s="6">
        <f>IFERROR(IF(INDEX(tProdutos[Desconto homologado],MATCH(tItens[[#This Row],[Produto]],tProdutos[Produto],0))="",DescontoPadrao,INDEX(tProdutos[Desconto homologado],MATCH(tItens[[#This Row],[Produto]],tProdutos[Produto],0))),DescontoPadrao)</f>
        <v>0.24924924924924899</v>
      </c>
      <c r="M8203" s="12">
        <f>tItens[[#This Row],[Valor]]*(1-tItens[[#This Row],[Desconto]])</f>
        <v>0</v>
      </c>
      <c r="N8203" t="str">
        <f>IFERROR(INDEX(tProdutos[Foco],MATCH(tItens[[#This Row],[Produto]],tProdutos[Produto],0)),"Não")</f>
        <v>Não</v>
      </c>
      <c r="O8203" t="str">
        <f>IFERROR(INDEX(tEditais[SRP],MATCH(tItens[[#This Row],[Edital]],tEditais[Edital],0)),"Não")</f>
        <v>Sim</v>
      </c>
      <c r="P8203" s="4">
        <f>IF(COUNTIFS(INDEX(tItens[Edital],1):tItens[[#This Row],[Edital]],tItens[[#This Row],[Edital]],INDEX(tItens[Produto],1):tItens[[#This Row],[Produto]],tItens[[#This Row],[Produto]])=1,1,0)</f>
        <v>1</v>
      </c>
    </row>
    <row r="8204" spans="1:16" x14ac:dyDescent="0.25">
      <c r="A8204" t="s">
        <v>2648</v>
      </c>
      <c r="B8204">
        <v>4</v>
      </c>
      <c r="C8204" t="s">
        <v>10697</v>
      </c>
      <c r="D8204" t="s">
        <v>160</v>
      </c>
      <c r="E8204" s="13">
        <v>7300</v>
      </c>
      <c r="F8204" s="12">
        <v>0</v>
      </c>
      <c r="G8204" t="str">
        <f>IFERROR(INDEX(tEditais[Órgão],MATCH(tItens[[#This Row],[Edital]],tEditais[Edital],0)),"")</f>
        <v>EMPRESA BRASILEIRA DE SERVICOS HOSPITALARES - EBSERH</v>
      </c>
      <c r="H8204" t="str">
        <f>IFERROR(INDEX(tEditais[UF],MATCH(tItens[[#This Row],[Edital]],tEditais[Edital],0)),"")</f>
        <v>SC</v>
      </c>
      <c r="I8204" s="11">
        <f>IFERROR(INDEX(tEditais[Encerramento],MATCH(tItens[[#This Row],[Edital]],tEditais[Edital],0)),"")</f>
        <v>46309.375</v>
      </c>
      <c r="J8204" t="str">
        <f>IFERROR(INDEX(tProdutos[Classe],MATCH(tItens[[#This Row],[Produto]],tProdutos[Produto],0)),"produto não cadastrado")</f>
        <v>DISPUTADO</v>
      </c>
      <c r="K8204" s="12">
        <f>tItens[[#This Row],[Qtd]]*tItens[[#This Row],[Vlr unit]]</f>
        <v>0</v>
      </c>
      <c r="L8204" s="6">
        <f>IFERROR(IF(INDEX(tProdutos[Desconto homologado],MATCH(tItens[[#This Row],[Produto]],tProdutos[Produto],0))="",DescontoPadrao,INDEX(tProdutos[Desconto homologado],MATCH(tItens[[#This Row],[Produto]],tProdutos[Produto],0))),DescontoPadrao)</f>
        <v>0.28000000000000003</v>
      </c>
      <c r="M8204" s="12">
        <f>tItens[[#This Row],[Valor]]*(1-tItens[[#This Row],[Desconto]])</f>
        <v>0</v>
      </c>
      <c r="N8204" t="str">
        <f>IFERROR(INDEX(tProdutos[Foco],MATCH(tItens[[#This Row],[Produto]],tProdutos[Produto],0)),"Não")</f>
        <v>Sim</v>
      </c>
      <c r="O8204" t="str">
        <f>IFERROR(INDEX(tEditais[SRP],MATCH(tItens[[#This Row],[Edital]],tEditais[Edital],0)),"Não")</f>
        <v>Sim</v>
      </c>
      <c r="P8204" s="4">
        <f>IF(COUNTIFS(INDEX(tItens[Edital],1):tItens[[#This Row],[Edital]],tItens[[#This Row],[Edital]],INDEX(tItens[Produto],1):tItens[[#This Row],[Produto]],tItens[[#This Row],[Produto]])=1,1,0)</f>
        <v>0</v>
      </c>
    </row>
    <row r="8205" spans="1:16" x14ac:dyDescent="0.25">
      <c r="A8205" t="s">
        <v>2648</v>
      </c>
      <c r="B8205">
        <v>31</v>
      </c>
      <c r="C8205" t="s">
        <v>10698</v>
      </c>
      <c r="D8205" t="s">
        <v>56</v>
      </c>
      <c r="E8205" s="13">
        <v>700</v>
      </c>
      <c r="F8205" s="12">
        <v>0</v>
      </c>
      <c r="G8205" t="str">
        <f>IFERROR(INDEX(tEditais[Órgão],MATCH(tItens[[#This Row],[Edital]],tEditais[Edital],0)),"")</f>
        <v>EMPRESA BRASILEIRA DE SERVICOS HOSPITALARES - EBSERH</v>
      </c>
      <c r="H8205" t="str">
        <f>IFERROR(INDEX(tEditais[UF],MATCH(tItens[[#This Row],[Edital]],tEditais[Edital],0)),"")</f>
        <v>SC</v>
      </c>
      <c r="I8205" s="11">
        <f>IFERROR(INDEX(tEditais[Encerramento],MATCH(tItens[[#This Row],[Edital]],tEditais[Edital],0)),"")</f>
        <v>46309.375</v>
      </c>
      <c r="J8205" t="str">
        <f>IFERROR(INDEX(tProdutos[Classe],MATCH(tItens[[#This Row],[Produto]],tProdutos[Produto],0)),"produto não cadastrado")</f>
        <v>NÚCLEO</v>
      </c>
      <c r="K8205" s="12">
        <f>tItens[[#This Row],[Qtd]]*tItens[[#This Row],[Vlr unit]]</f>
        <v>0</v>
      </c>
      <c r="L8205" s="6">
        <f>IFERROR(IF(INDEX(tProdutos[Desconto homologado],MATCH(tItens[[#This Row],[Produto]],tProdutos[Produto],0))="",DescontoPadrao,INDEX(tProdutos[Desconto homologado],MATCH(tItens[[#This Row],[Produto]],tProdutos[Produto],0))),DescontoPadrao)</f>
        <v>0.34</v>
      </c>
      <c r="M8205" s="12">
        <f>tItens[[#This Row],[Valor]]*(1-tItens[[#This Row],[Desconto]])</f>
        <v>0</v>
      </c>
      <c r="N8205" t="str">
        <f>IFERROR(INDEX(tProdutos[Foco],MATCH(tItens[[#This Row],[Produto]],tProdutos[Produto],0)),"Não")</f>
        <v>Sim</v>
      </c>
      <c r="O8205" t="str">
        <f>IFERROR(INDEX(tEditais[SRP],MATCH(tItens[[#This Row],[Edital]],tEditais[Edital],0)),"Não")</f>
        <v>Sim</v>
      </c>
      <c r="P8205" s="4">
        <f>IF(COUNTIFS(INDEX(tItens[Edital],1):tItens[[#This Row],[Edital]],tItens[[#This Row],[Edital]],INDEX(tItens[Produto],1):tItens[[#This Row],[Produto]],tItens[[#This Row],[Produto]])=1,1,0)</f>
        <v>1</v>
      </c>
    </row>
    <row r="8206" spans="1:16" x14ac:dyDescent="0.25">
      <c r="A8206" t="s">
        <v>2648</v>
      </c>
      <c r="B8206">
        <v>32</v>
      </c>
      <c r="C8206" t="s">
        <v>10699</v>
      </c>
      <c r="D8206" t="s">
        <v>56</v>
      </c>
      <c r="E8206" s="13">
        <v>10000</v>
      </c>
      <c r="F8206" s="12">
        <v>0</v>
      </c>
      <c r="G8206" t="str">
        <f>IFERROR(INDEX(tEditais[Órgão],MATCH(tItens[[#This Row],[Edital]],tEditais[Edital],0)),"")</f>
        <v>EMPRESA BRASILEIRA DE SERVICOS HOSPITALARES - EBSERH</v>
      </c>
      <c r="H8206" t="str">
        <f>IFERROR(INDEX(tEditais[UF],MATCH(tItens[[#This Row],[Edital]],tEditais[Edital],0)),"")</f>
        <v>SC</v>
      </c>
      <c r="I8206" s="11">
        <f>IFERROR(INDEX(tEditais[Encerramento],MATCH(tItens[[#This Row],[Edital]],tEditais[Edital],0)),"")</f>
        <v>46309.375</v>
      </c>
      <c r="J8206" t="str">
        <f>IFERROR(INDEX(tProdutos[Classe],MATCH(tItens[[#This Row],[Produto]],tProdutos[Produto],0)),"produto não cadastrado")</f>
        <v>NÚCLEO</v>
      </c>
      <c r="K8206" s="12">
        <f>tItens[[#This Row],[Qtd]]*tItens[[#This Row],[Vlr unit]]</f>
        <v>0</v>
      </c>
      <c r="L8206" s="6">
        <f>IFERROR(IF(INDEX(tProdutos[Desconto homologado],MATCH(tItens[[#This Row],[Produto]],tProdutos[Produto],0))="",DescontoPadrao,INDEX(tProdutos[Desconto homologado],MATCH(tItens[[#This Row],[Produto]],tProdutos[Produto],0))),DescontoPadrao)</f>
        <v>0.34</v>
      </c>
      <c r="M8206" s="12">
        <f>tItens[[#This Row],[Valor]]*(1-tItens[[#This Row],[Desconto]])</f>
        <v>0</v>
      </c>
      <c r="N8206" t="str">
        <f>IFERROR(INDEX(tProdutos[Foco],MATCH(tItens[[#This Row],[Produto]],tProdutos[Produto],0)),"Não")</f>
        <v>Sim</v>
      </c>
      <c r="O8206" t="str">
        <f>IFERROR(INDEX(tEditais[SRP],MATCH(tItens[[#This Row],[Edital]],tEditais[Edital],0)),"Não")</f>
        <v>Sim</v>
      </c>
      <c r="P8206" s="4">
        <f>IF(COUNTIFS(INDEX(tItens[Edital],1):tItens[[#This Row],[Edital]],tItens[[#This Row],[Edital]],INDEX(tItens[Produto],1):tItens[[#This Row],[Produto]],tItens[[#This Row],[Produto]])=1,1,0)</f>
        <v>0</v>
      </c>
    </row>
    <row r="8207" spans="1:16" x14ac:dyDescent="0.25">
      <c r="A8207" t="s">
        <v>2648</v>
      </c>
      <c r="B8207">
        <v>33</v>
      </c>
      <c r="C8207" t="s">
        <v>10700</v>
      </c>
      <c r="D8207" t="s">
        <v>56</v>
      </c>
      <c r="E8207" s="13">
        <v>500</v>
      </c>
      <c r="F8207" s="12">
        <v>0</v>
      </c>
      <c r="G8207" t="str">
        <f>IFERROR(INDEX(tEditais[Órgão],MATCH(tItens[[#This Row],[Edital]],tEditais[Edital],0)),"")</f>
        <v>EMPRESA BRASILEIRA DE SERVICOS HOSPITALARES - EBSERH</v>
      </c>
      <c r="H8207" t="str">
        <f>IFERROR(INDEX(tEditais[UF],MATCH(tItens[[#This Row],[Edital]],tEditais[Edital],0)),"")</f>
        <v>SC</v>
      </c>
      <c r="I8207" s="11">
        <f>IFERROR(INDEX(tEditais[Encerramento],MATCH(tItens[[#This Row],[Edital]],tEditais[Edital],0)),"")</f>
        <v>46309.375</v>
      </c>
      <c r="J8207" t="str">
        <f>IFERROR(INDEX(tProdutos[Classe],MATCH(tItens[[#This Row],[Produto]],tProdutos[Produto],0)),"produto não cadastrado")</f>
        <v>NÚCLEO</v>
      </c>
      <c r="K8207" s="12">
        <f>tItens[[#This Row],[Qtd]]*tItens[[#This Row],[Vlr unit]]</f>
        <v>0</v>
      </c>
      <c r="L8207" s="6">
        <f>IFERROR(IF(INDEX(tProdutos[Desconto homologado],MATCH(tItens[[#This Row],[Produto]],tProdutos[Produto],0))="",DescontoPadrao,INDEX(tProdutos[Desconto homologado],MATCH(tItens[[#This Row],[Produto]],tProdutos[Produto],0))),DescontoPadrao)</f>
        <v>0.34</v>
      </c>
      <c r="M8207" s="12">
        <f>tItens[[#This Row],[Valor]]*(1-tItens[[#This Row],[Desconto]])</f>
        <v>0</v>
      </c>
      <c r="N8207" t="str">
        <f>IFERROR(INDEX(tProdutos[Foco],MATCH(tItens[[#This Row],[Produto]],tProdutos[Produto],0)),"Não")</f>
        <v>Sim</v>
      </c>
      <c r="O8207" t="str">
        <f>IFERROR(INDEX(tEditais[SRP],MATCH(tItens[[#This Row],[Edital]],tEditais[Edital],0)),"Não")</f>
        <v>Sim</v>
      </c>
      <c r="P8207" s="4">
        <f>IF(COUNTIFS(INDEX(tItens[Edital],1):tItens[[#This Row],[Edital]],tItens[[#This Row],[Edital]],INDEX(tItens[Produto],1):tItens[[#This Row],[Produto]],tItens[[#This Row],[Produto]])=1,1,0)</f>
        <v>0</v>
      </c>
    </row>
    <row r="8208" spans="1:16" x14ac:dyDescent="0.25">
      <c r="A8208" t="s">
        <v>2648</v>
      </c>
      <c r="B8208">
        <v>34</v>
      </c>
      <c r="C8208" t="s">
        <v>10701</v>
      </c>
      <c r="D8208" t="s">
        <v>56</v>
      </c>
      <c r="E8208" s="13">
        <v>10000</v>
      </c>
      <c r="F8208" s="12">
        <v>0</v>
      </c>
      <c r="G8208" t="str">
        <f>IFERROR(INDEX(tEditais[Órgão],MATCH(tItens[[#This Row],[Edital]],tEditais[Edital],0)),"")</f>
        <v>EMPRESA BRASILEIRA DE SERVICOS HOSPITALARES - EBSERH</v>
      </c>
      <c r="H8208" t="str">
        <f>IFERROR(INDEX(tEditais[UF],MATCH(tItens[[#This Row],[Edital]],tEditais[Edital],0)),"")</f>
        <v>SC</v>
      </c>
      <c r="I8208" s="11">
        <f>IFERROR(INDEX(tEditais[Encerramento],MATCH(tItens[[#This Row],[Edital]],tEditais[Edital],0)),"")</f>
        <v>46309.375</v>
      </c>
      <c r="J8208" t="str">
        <f>IFERROR(INDEX(tProdutos[Classe],MATCH(tItens[[#This Row],[Produto]],tProdutos[Produto],0)),"produto não cadastrado")</f>
        <v>NÚCLEO</v>
      </c>
      <c r="K8208" s="12">
        <f>tItens[[#This Row],[Qtd]]*tItens[[#This Row],[Vlr unit]]</f>
        <v>0</v>
      </c>
      <c r="L8208" s="6">
        <f>IFERROR(IF(INDEX(tProdutos[Desconto homologado],MATCH(tItens[[#This Row],[Produto]],tProdutos[Produto],0))="",DescontoPadrao,INDEX(tProdutos[Desconto homologado],MATCH(tItens[[#This Row],[Produto]],tProdutos[Produto],0))),DescontoPadrao)</f>
        <v>0.34</v>
      </c>
      <c r="M8208" s="12">
        <f>tItens[[#This Row],[Valor]]*(1-tItens[[#This Row],[Desconto]])</f>
        <v>0</v>
      </c>
      <c r="N8208" t="str">
        <f>IFERROR(INDEX(tProdutos[Foco],MATCH(tItens[[#This Row],[Produto]],tProdutos[Produto],0)),"Não")</f>
        <v>Sim</v>
      </c>
      <c r="O8208" t="str">
        <f>IFERROR(INDEX(tEditais[SRP],MATCH(tItens[[#This Row],[Edital]],tEditais[Edital],0)),"Não")</f>
        <v>Sim</v>
      </c>
      <c r="P8208" s="4">
        <f>IF(COUNTIFS(INDEX(tItens[Edital],1):tItens[[#This Row],[Edital]],tItens[[#This Row],[Edital]],INDEX(tItens[Produto],1):tItens[[#This Row],[Produto]],tItens[[#This Row],[Produto]])=1,1,0)</f>
        <v>0</v>
      </c>
    </row>
    <row r="8209" spans="1:16" x14ac:dyDescent="0.25">
      <c r="A8209" t="s">
        <v>2648</v>
      </c>
      <c r="B8209">
        <v>35</v>
      </c>
      <c r="C8209" t="s">
        <v>10702</v>
      </c>
      <c r="D8209" t="s">
        <v>56</v>
      </c>
      <c r="E8209" s="13">
        <v>6000</v>
      </c>
      <c r="F8209" s="12">
        <v>0</v>
      </c>
      <c r="G8209" t="str">
        <f>IFERROR(INDEX(tEditais[Órgão],MATCH(tItens[[#This Row],[Edital]],tEditais[Edital],0)),"")</f>
        <v>EMPRESA BRASILEIRA DE SERVICOS HOSPITALARES - EBSERH</v>
      </c>
      <c r="H8209" t="str">
        <f>IFERROR(INDEX(tEditais[UF],MATCH(tItens[[#This Row],[Edital]],tEditais[Edital],0)),"")</f>
        <v>SC</v>
      </c>
      <c r="I8209" s="11">
        <f>IFERROR(INDEX(tEditais[Encerramento],MATCH(tItens[[#This Row],[Edital]],tEditais[Edital],0)),"")</f>
        <v>46309.375</v>
      </c>
      <c r="J8209" t="str">
        <f>IFERROR(INDEX(tProdutos[Classe],MATCH(tItens[[#This Row],[Produto]],tProdutos[Produto],0)),"produto não cadastrado")</f>
        <v>NÚCLEO</v>
      </c>
      <c r="K8209" s="12">
        <f>tItens[[#This Row],[Qtd]]*tItens[[#This Row],[Vlr unit]]</f>
        <v>0</v>
      </c>
      <c r="L8209" s="6">
        <f>IFERROR(IF(INDEX(tProdutos[Desconto homologado],MATCH(tItens[[#This Row],[Produto]],tProdutos[Produto],0))="",DescontoPadrao,INDEX(tProdutos[Desconto homologado],MATCH(tItens[[#This Row],[Produto]],tProdutos[Produto],0))),DescontoPadrao)</f>
        <v>0.34</v>
      </c>
      <c r="M8209" s="12">
        <f>tItens[[#This Row],[Valor]]*(1-tItens[[#This Row],[Desconto]])</f>
        <v>0</v>
      </c>
      <c r="N8209" t="str">
        <f>IFERROR(INDEX(tProdutos[Foco],MATCH(tItens[[#This Row],[Produto]],tProdutos[Produto],0)),"Não")</f>
        <v>Sim</v>
      </c>
      <c r="O8209" t="str">
        <f>IFERROR(INDEX(tEditais[SRP],MATCH(tItens[[#This Row],[Edital]],tEditais[Edital],0)),"Não")</f>
        <v>Sim</v>
      </c>
      <c r="P8209" s="4">
        <f>IF(COUNTIFS(INDEX(tItens[Edital],1):tItens[[#This Row],[Edital]],tItens[[#This Row],[Edital]],INDEX(tItens[Produto],1):tItens[[#This Row],[Produto]],tItens[[#This Row],[Produto]])=1,1,0)</f>
        <v>0</v>
      </c>
    </row>
    <row r="8210" spans="1:16" x14ac:dyDescent="0.25">
      <c r="A8210" t="s">
        <v>2648</v>
      </c>
      <c r="B8210">
        <v>36</v>
      </c>
      <c r="C8210" t="s">
        <v>10703</v>
      </c>
      <c r="D8210" t="s">
        <v>56</v>
      </c>
      <c r="E8210" s="13">
        <v>2000</v>
      </c>
      <c r="F8210" s="12">
        <v>0</v>
      </c>
      <c r="G8210" t="str">
        <f>IFERROR(INDEX(tEditais[Órgão],MATCH(tItens[[#This Row],[Edital]],tEditais[Edital],0)),"")</f>
        <v>EMPRESA BRASILEIRA DE SERVICOS HOSPITALARES - EBSERH</v>
      </c>
      <c r="H8210" t="str">
        <f>IFERROR(INDEX(tEditais[UF],MATCH(tItens[[#This Row],[Edital]],tEditais[Edital],0)),"")</f>
        <v>SC</v>
      </c>
      <c r="I8210" s="11">
        <f>IFERROR(INDEX(tEditais[Encerramento],MATCH(tItens[[#This Row],[Edital]],tEditais[Edital],0)),"")</f>
        <v>46309.375</v>
      </c>
      <c r="J8210" t="str">
        <f>IFERROR(INDEX(tProdutos[Classe],MATCH(tItens[[#This Row],[Produto]],tProdutos[Produto],0)),"produto não cadastrado")</f>
        <v>NÚCLEO</v>
      </c>
      <c r="K8210" s="12">
        <f>tItens[[#This Row],[Qtd]]*tItens[[#This Row],[Vlr unit]]</f>
        <v>0</v>
      </c>
      <c r="L8210" s="6">
        <f>IFERROR(IF(INDEX(tProdutos[Desconto homologado],MATCH(tItens[[#This Row],[Produto]],tProdutos[Produto],0))="",DescontoPadrao,INDEX(tProdutos[Desconto homologado],MATCH(tItens[[#This Row],[Produto]],tProdutos[Produto],0))),DescontoPadrao)</f>
        <v>0.34</v>
      </c>
      <c r="M8210" s="12">
        <f>tItens[[#This Row],[Valor]]*(1-tItens[[#This Row],[Desconto]])</f>
        <v>0</v>
      </c>
      <c r="N8210" t="str">
        <f>IFERROR(INDEX(tProdutos[Foco],MATCH(tItens[[#This Row],[Produto]],tProdutos[Produto],0)),"Não")</f>
        <v>Sim</v>
      </c>
      <c r="O8210" t="str">
        <f>IFERROR(INDEX(tEditais[SRP],MATCH(tItens[[#This Row],[Edital]],tEditais[Edital],0)),"Não")</f>
        <v>Sim</v>
      </c>
      <c r="P8210" s="4">
        <f>IF(COUNTIFS(INDEX(tItens[Edital],1):tItens[[#This Row],[Edital]],tItens[[#This Row],[Edital]],INDEX(tItens[Produto],1):tItens[[#This Row],[Produto]],tItens[[#This Row],[Produto]])=1,1,0)</f>
        <v>0</v>
      </c>
    </row>
    <row r="8211" spans="1:16" x14ac:dyDescent="0.25">
      <c r="A8211" t="s">
        <v>2648</v>
      </c>
      <c r="B8211">
        <v>39</v>
      </c>
      <c r="C8211" t="s">
        <v>10704</v>
      </c>
      <c r="D8211" t="s">
        <v>485</v>
      </c>
      <c r="E8211" s="13">
        <v>8100</v>
      </c>
      <c r="F8211" s="12">
        <v>0</v>
      </c>
      <c r="G8211" t="str">
        <f>IFERROR(INDEX(tEditais[Órgão],MATCH(tItens[[#This Row],[Edital]],tEditais[Edital],0)),"")</f>
        <v>EMPRESA BRASILEIRA DE SERVICOS HOSPITALARES - EBSERH</v>
      </c>
      <c r="H8211" t="str">
        <f>IFERROR(INDEX(tEditais[UF],MATCH(tItens[[#This Row],[Edital]],tEditais[Edital],0)),"")</f>
        <v>SC</v>
      </c>
      <c r="I8211" s="11">
        <f>IFERROR(INDEX(tEditais[Encerramento],MATCH(tItens[[#This Row],[Edital]],tEditais[Edital],0)),"")</f>
        <v>46309.375</v>
      </c>
      <c r="J8211" t="str">
        <f>IFERROR(INDEX(tProdutos[Classe],MATCH(tItens[[#This Row],[Produto]],tProdutos[Produto],0)),"produto não cadastrado")</f>
        <v>FILA REBASE</v>
      </c>
      <c r="K8211" s="12">
        <f>tItens[[#This Row],[Qtd]]*tItens[[#This Row],[Vlr unit]]</f>
        <v>0</v>
      </c>
      <c r="L8211" s="6">
        <f>IFERROR(IF(INDEX(tProdutos[Desconto homologado],MATCH(tItens[[#This Row],[Produto]],tProdutos[Produto],0))="",DescontoPadrao,INDEX(tProdutos[Desconto homologado],MATCH(tItens[[#This Row],[Produto]],tProdutos[Produto],0))),DescontoPadrao)</f>
        <v>0.371991013159302</v>
      </c>
      <c r="M8211" s="12">
        <f>tItens[[#This Row],[Valor]]*(1-tItens[[#This Row],[Desconto]])</f>
        <v>0</v>
      </c>
      <c r="N8211" t="str">
        <f>IFERROR(INDEX(tProdutos[Foco],MATCH(tItens[[#This Row],[Produto]],tProdutos[Produto],0)),"Não")</f>
        <v>Não</v>
      </c>
      <c r="O8211" t="str">
        <f>IFERROR(INDEX(tEditais[SRP],MATCH(tItens[[#This Row],[Edital]],tEditais[Edital],0)),"Não")</f>
        <v>Sim</v>
      </c>
      <c r="P8211" s="4">
        <f>IF(COUNTIFS(INDEX(tItens[Edital],1):tItens[[#This Row],[Edital]],tItens[[#This Row],[Edital]],INDEX(tItens[Produto],1):tItens[[#This Row],[Produto]],tItens[[#This Row],[Produto]])=1,1,0)</f>
        <v>1</v>
      </c>
    </row>
    <row r="8212" spans="1:16" x14ac:dyDescent="0.25">
      <c r="A8212" t="s">
        <v>2648</v>
      </c>
      <c r="B8212">
        <v>40</v>
      </c>
      <c r="C8212" t="s">
        <v>10705</v>
      </c>
      <c r="D8212" t="s">
        <v>485</v>
      </c>
      <c r="E8212" s="13">
        <v>10</v>
      </c>
      <c r="F8212" s="12">
        <v>0</v>
      </c>
      <c r="G8212" t="str">
        <f>IFERROR(INDEX(tEditais[Órgão],MATCH(tItens[[#This Row],[Edital]],tEditais[Edital],0)),"")</f>
        <v>EMPRESA BRASILEIRA DE SERVICOS HOSPITALARES - EBSERH</v>
      </c>
      <c r="H8212" t="str">
        <f>IFERROR(INDEX(tEditais[UF],MATCH(tItens[[#This Row],[Edital]],tEditais[Edital],0)),"")</f>
        <v>SC</v>
      </c>
      <c r="I8212" s="11">
        <f>IFERROR(INDEX(tEditais[Encerramento],MATCH(tItens[[#This Row],[Edital]],tEditais[Edital],0)),"")</f>
        <v>46309.375</v>
      </c>
      <c r="J8212" t="str">
        <f>IFERROR(INDEX(tProdutos[Classe],MATCH(tItens[[#This Row],[Produto]],tProdutos[Produto],0)),"produto não cadastrado")</f>
        <v>FILA REBASE</v>
      </c>
      <c r="K8212" s="12">
        <f>tItens[[#This Row],[Qtd]]*tItens[[#This Row],[Vlr unit]]</f>
        <v>0</v>
      </c>
      <c r="L8212" s="6">
        <f>IFERROR(IF(INDEX(tProdutos[Desconto homologado],MATCH(tItens[[#This Row],[Produto]],tProdutos[Produto],0))="",DescontoPadrao,INDEX(tProdutos[Desconto homologado],MATCH(tItens[[#This Row],[Produto]],tProdutos[Produto],0))),DescontoPadrao)</f>
        <v>0.371991013159302</v>
      </c>
      <c r="M8212" s="12">
        <f>tItens[[#This Row],[Valor]]*(1-tItens[[#This Row],[Desconto]])</f>
        <v>0</v>
      </c>
      <c r="N8212" t="str">
        <f>IFERROR(INDEX(tProdutos[Foco],MATCH(tItens[[#This Row],[Produto]],tProdutos[Produto],0)),"Não")</f>
        <v>Não</v>
      </c>
      <c r="O8212" t="str">
        <f>IFERROR(INDEX(tEditais[SRP],MATCH(tItens[[#This Row],[Edital]],tEditais[Edital],0)),"Não")</f>
        <v>Sim</v>
      </c>
      <c r="P8212" s="4">
        <f>IF(COUNTIFS(INDEX(tItens[Edital],1):tItens[[#This Row],[Edital]],tItens[[#This Row],[Edital]],INDEX(tItens[Produto],1):tItens[[#This Row],[Produto]],tItens[[#This Row],[Produto]])=1,1,0)</f>
        <v>0</v>
      </c>
    </row>
    <row r="8213" spans="1:16" x14ac:dyDescent="0.25">
      <c r="A8213" t="s">
        <v>2648</v>
      </c>
      <c r="B8213">
        <v>41</v>
      </c>
      <c r="C8213" t="s">
        <v>10706</v>
      </c>
      <c r="D8213" t="s">
        <v>485</v>
      </c>
      <c r="E8213" s="13">
        <v>100</v>
      </c>
      <c r="F8213" s="12">
        <v>0</v>
      </c>
      <c r="G8213" t="str">
        <f>IFERROR(INDEX(tEditais[Órgão],MATCH(tItens[[#This Row],[Edital]],tEditais[Edital],0)),"")</f>
        <v>EMPRESA BRASILEIRA DE SERVICOS HOSPITALARES - EBSERH</v>
      </c>
      <c r="H8213" t="str">
        <f>IFERROR(INDEX(tEditais[UF],MATCH(tItens[[#This Row],[Edital]],tEditais[Edital],0)),"")</f>
        <v>SC</v>
      </c>
      <c r="I8213" s="11">
        <f>IFERROR(INDEX(tEditais[Encerramento],MATCH(tItens[[#This Row],[Edital]],tEditais[Edital],0)),"")</f>
        <v>46309.375</v>
      </c>
      <c r="J8213" t="str">
        <f>IFERROR(INDEX(tProdutos[Classe],MATCH(tItens[[#This Row],[Produto]],tProdutos[Produto],0)),"produto não cadastrado")</f>
        <v>FILA REBASE</v>
      </c>
      <c r="K8213" s="12">
        <f>tItens[[#This Row],[Qtd]]*tItens[[#This Row],[Vlr unit]]</f>
        <v>0</v>
      </c>
      <c r="L8213" s="6">
        <f>IFERROR(IF(INDEX(tProdutos[Desconto homologado],MATCH(tItens[[#This Row],[Produto]],tProdutos[Produto],0))="",DescontoPadrao,INDEX(tProdutos[Desconto homologado],MATCH(tItens[[#This Row],[Produto]],tProdutos[Produto],0))),DescontoPadrao)</f>
        <v>0.371991013159302</v>
      </c>
      <c r="M8213" s="12">
        <f>tItens[[#This Row],[Valor]]*(1-tItens[[#This Row],[Desconto]])</f>
        <v>0</v>
      </c>
      <c r="N8213" t="str">
        <f>IFERROR(INDEX(tProdutos[Foco],MATCH(tItens[[#This Row],[Produto]],tProdutos[Produto],0)),"Não")</f>
        <v>Não</v>
      </c>
      <c r="O8213" t="str">
        <f>IFERROR(INDEX(tEditais[SRP],MATCH(tItens[[#This Row],[Edital]],tEditais[Edital],0)),"Não")</f>
        <v>Sim</v>
      </c>
      <c r="P8213" s="4">
        <f>IF(COUNTIFS(INDEX(tItens[Edital],1):tItens[[#This Row],[Edital]],tItens[[#This Row],[Edital]],INDEX(tItens[Produto],1):tItens[[#This Row],[Produto]],tItens[[#This Row],[Produto]])=1,1,0)</f>
        <v>0</v>
      </c>
    </row>
    <row r="8214" spans="1:16" x14ac:dyDescent="0.25">
      <c r="A8214" t="s">
        <v>2652</v>
      </c>
      <c r="B8214">
        <v>3</v>
      </c>
      <c r="C8214" t="s">
        <v>10707</v>
      </c>
      <c r="D8214" t="s">
        <v>503</v>
      </c>
      <c r="E8214" s="13">
        <v>50</v>
      </c>
      <c r="F8214" s="12">
        <v>0</v>
      </c>
      <c r="G8214" t="str">
        <f>IFERROR(INDEX(tEditais[Órgão],MATCH(tItens[[#This Row],[Edital]],tEditais[Edital],0)),"")</f>
        <v>COMPANHIA AGUAS DE JOINVILLE</v>
      </c>
      <c r="H8214" t="str">
        <f>IFERROR(INDEX(tEditais[UF],MATCH(tItens[[#This Row],[Edital]],tEditais[Edital],0)),"")</f>
        <v>SC</v>
      </c>
      <c r="I8214" s="11">
        <f>IFERROR(INDEX(tEditais[Encerramento],MATCH(tItens[[#This Row],[Edital]],tEditais[Edital],0)),"")</f>
        <v>46309.583333333336</v>
      </c>
      <c r="J8214" t="str">
        <f>IFERROR(INDEX(tProdutos[Classe],MATCH(tItens[[#This Row],[Produto]],tProdutos[Produto],0)),"produto não cadastrado")</f>
        <v>FILA REBASE</v>
      </c>
      <c r="K8214" s="12">
        <f>tItens[[#This Row],[Qtd]]*tItens[[#This Row],[Vlr unit]]</f>
        <v>0</v>
      </c>
      <c r="L8214" s="6">
        <f>IFERROR(IF(INDEX(tProdutos[Desconto homologado],MATCH(tItens[[#This Row],[Produto]],tProdutos[Produto],0))="",DescontoPadrao,INDEX(tProdutos[Desconto homologado],MATCH(tItens[[#This Row],[Produto]],tProdutos[Produto],0))),DescontoPadrao)</f>
        <v>0.54492561591744004</v>
      </c>
      <c r="M8214" s="12">
        <f>tItens[[#This Row],[Valor]]*(1-tItens[[#This Row],[Desconto]])</f>
        <v>0</v>
      </c>
      <c r="N8214" t="str">
        <f>IFERROR(INDEX(tProdutos[Foco],MATCH(tItens[[#This Row],[Produto]],tProdutos[Produto],0)),"Não")</f>
        <v>Não</v>
      </c>
      <c r="O8214" t="str">
        <f>IFERROR(INDEX(tEditais[SRP],MATCH(tItens[[#This Row],[Edital]],tEditais[Edital],0)),"Não")</f>
        <v>Não</v>
      </c>
      <c r="P8214" s="4">
        <f>IF(COUNTIFS(INDEX(tItens[Edital],1):tItens[[#This Row],[Edital]],tItens[[#This Row],[Edital]],INDEX(tItens[Produto],1):tItens[[#This Row],[Produto]],tItens[[#This Row],[Produto]])=1,1,0)</f>
        <v>1</v>
      </c>
    </row>
    <row r="8215" spans="1:16" x14ac:dyDescent="0.25">
      <c r="A8215" t="s">
        <v>2657</v>
      </c>
      <c r="B8215">
        <v>2294889</v>
      </c>
      <c r="C8215" t="s">
        <v>10708</v>
      </c>
      <c r="D8215" t="s">
        <v>120</v>
      </c>
      <c r="E8215" s="13">
        <v>21600</v>
      </c>
      <c r="F8215" s="12">
        <v>0.53</v>
      </c>
      <c r="G8215" t="str">
        <f>IFERROR(INDEX(tEditais[Órgão],MATCH(tItens[[#This Row],[Edital]],tEditais[Edital],0)),"")</f>
        <v>FUNDO MUNICIPAL DE SAUDE DE INDAIAL</v>
      </c>
      <c r="H8215" t="str">
        <f>IFERROR(INDEX(tEditais[UF],MATCH(tItens[[#This Row],[Edital]],tEditais[Edital],0)),"")</f>
        <v>SC</v>
      </c>
      <c r="I8215" s="11">
        <f>IFERROR(INDEX(tEditais[Encerramento],MATCH(tItens[[#This Row],[Edital]],tEditais[Edital],0)),"")</f>
        <v>46310.354166666664</v>
      </c>
      <c r="J8215" t="str">
        <f>IFERROR(INDEX(tProdutos[Classe],MATCH(tItens[[#This Row],[Produto]],tProdutos[Produto],0)),"produto não cadastrado")</f>
        <v>DISPUTADO</v>
      </c>
      <c r="K8215" s="12">
        <f>tItens[[#This Row],[Qtd]]*tItens[[#This Row],[Vlr unit]]</f>
        <v>11448</v>
      </c>
      <c r="L8215" s="6">
        <f>IFERROR(IF(INDEX(tProdutos[Desconto homologado],MATCH(tItens[[#This Row],[Produto]],tProdutos[Produto],0))="",DescontoPadrao,INDEX(tProdutos[Desconto homologado],MATCH(tItens[[#This Row],[Produto]],tProdutos[Produto],0))),DescontoPadrao)</f>
        <v>0.40909090909090901</v>
      </c>
      <c r="M8215" s="12">
        <f>tItens[[#This Row],[Valor]]*(1-tItens[[#This Row],[Desconto]])</f>
        <v>6764.7272727272748</v>
      </c>
      <c r="N8215" t="str">
        <f>IFERROR(INDEX(tProdutos[Foco],MATCH(tItens[[#This Row],[Produto]],tProdutos[Produto],0)),"Não")</f>
        <v>Não</v>
      </c>
      <c r="O8215" t="str">
        <f>IFERROR(INDEX(tEditais[SRP],MATCH(tItens[[#This Row],[Edital]],tEditais[Edital],0)),"Não")</f>
        <v>Não</v>
      </c>
      <c r="P8215" s="4">
        <f>IF(COUNTIFS(INDEX(tItens[Edital],1):tItens[[#This Row],[Edital]],tItens[[#This Row],[Edital]],INDEX(tItens[Produto],1):tItens[[#This Row],[Produto]],tItens[[#This Row],[Produto]])=1,1,0)</f>
        <v>1</v>
      </c>
    </row>
    <row r="8216" spans="1:16" x14ac:dyDescent="0.25">
      <c r="A8216" t="s">
        <v>2657</v>
      </c>
      <c r="B8216">
        <v>2294890</v>
      </c>
      <c r="C8216" t="s">
        <v>10709</v>
      </c>
      <c r="D8216" t="s">
        <v>120</v>
      </c>
      <c r="E8216" s="13">
        <v>32400</v>
      </c>
      <c r="F8216" s="12">
        <v>0.57999999999999996</v>
      </c>
      <c r="G8216" t="str">
        <f>IFERROR(INDEX(tEditais[Órgão],MATCH(tItens[[#This Row],[Edital]],tEditais[Edital],0)),"")</f>
        <v>FUNDO MUNICIPAL DE SAUDE DE INDAIAL</v>
      </c>
      <c r="H8216" t="str">
        <f>IFERROR(INDEX(tEditais[UF],MATCH(tItens[[#This Row],[Edital]],tEditais[Edital],0)),"")</f>
        <v>SC</v>
      </c>
      <c r="I8216" s="11">
        <f>IFERROR(INDEX(tEditais[Encerramento],MATCH(tItens[[#This Row],[Edital]],tEditais[Edital],0)),"")</f>
        <v>46310.354166666664</v>
      </c>
      <c r="J8216" t="str">
        <f>IFERROR(INDEX(tProdutos[Classe],MATCH(tItens[[#This Row],[Produto]],tProdutos[Produto],0)),"produto não cadastrado")</f>
        <v>DISPUTADO</v>
      </c>
      <c r="K8216" s="12">
        <f>tItens[[#This Row],[Qtd]]*tItens[[#This Row],[Vlr unit]]</f>
        <v>18792</v>
      </c>
      <c r="L8216" s="6">
        <f>IFERROR(IF(INDEX(tProdutos[Desconto homologado],MATCH(tItens[[#This Row],[Produto]],tProdutos[Produto],0))="",DescontoPadrao,INDEX(tProdutos[Desconto homologado],MATCH(tItens[[#This Row],[Produto]],tProdutos[Produto],0))),DescontoPadrao)</f>
        <v>0.40909090909090901</v>
      </c>
      <c r="M8216" s="12">
        <f>tItens[[#This Row],[Valor]]*(1-tItens[[#This Row],[Desconto]])</f>
        <v>11104.36363636364</v>
      </c>
      <c r="N8216" t="str">
        <f>IFERROR(INDEX(tProdutos[Foco],MATCH(tItens[[#This Row],[Produto]],tProdutos[Produto],0)),"Não")</f>
        <v>Não</v>
      </c>
      <c r="O8216" t="str">
        <f>IFERROR(INDEX(tEditais[SRP],MATCH(tItens[[#This Row],[Edital]],tEditais[Edital],0)),"Não")</f>
        <v>Não</v>
      </c>
      <c r="P8216" s="4">
        <f>IF(COUNTIFS(INDEX(tItens[Edital],1):tItens[[#This Row],[Edital]],tItens[[#This Row],[Edital]],INDEX(tItens[Produto],1):tItens[[#This Row],[Produto]],tItens[[#This Row],[Produto]])=1,1,0)</f>
        <v>0</v>
      </c>
    </row>
    <row r="8217" spans="1:16" x14ac:dyDescent="0.25">
      <c r="A8217" t="s">
        <v>2657</v>
      </c>
      <c r="B8217">
        <v>2294891</v>
      </c>
      <c r="C8217" t="s">
        <v>10710</v>
      </c>
      <c r="D8217" t="s">
        <v>120</v>
      </c>
      <c r="E8217" s="13">
        <v>32400</v>
      </c>
      <c r="F8217" s="12">
        <v>0.56999999999999995</v>
      </c>
      <c r="G8217" t="str">
        <f>IFERROR(INDEX(tEditais[Órgão],MATCH(tItens[[#This Row],[Edital]],tEditais[Edital],0)),"")</f>
        <v>FUNDO MUNICIPAL DE SAUDE DE INDAIAL</v>
      </c>
      <c r="H8217" t="str">
        <f>IFERROR(INDEX(tEditais[UF],MATCH(tItens[[#This Row],[Edital]],tEditais[Edital],0)),"")</f>
        <v>SC</v>
      </c>
      <c r="I8217" s="11">
        <f>IFERROR(INDEX(tEditais[Encerramento],MATCH(tItens[[#This Row],[Edital]],tEditais[Edital],0)),"")</f>
        <v>46310.354166666664</v>
      </c>
      <c r="J8217" t="str">
        <f>IFERROR(INDEX(tProdutos[Classe],MATCH(tItens[[#This Row],[Produto]],tProdutos[Produto],0)),"produto não cadastrado")</f>
        <v>DISPUTADO</v>
      </c>
      <c r="K8217" s="12">
        <f>tItens[[#This Row],[Qtd]]*tItens[[#This Row],[Vlr unit]]</f>
        <v>18468</v>
      </c>
      <c r="L8217" s="6">
        <f>IFERROR(IF(INDEX(tProdutos[Desconto homologado],MATCH(tItens[[#This Row],[Produto]],tProdutos[Produto],0))="",DescontoPadrao,INDEX(tProdutos[Desconto homologado],MATCH(tItens[[#This Row],[Produto]],tProdutos[Produto],0))),DescontoPadrao)</f>
        <v>0.40909090909090901</v>
      </c>
      <c r="M8217" s="12">
        <f>tItens[[#This Row],[Valor]]*(1-tItens[[#This Row],[Desconto]])</f>
        <v>10912.909090909094</v>
      </c>
      <c r="N8217" t="str">
        <f>IFERROR(INDEX(tProdutos[Foco],MATCH(tItens[[#This Row],[Produto]],tProdutos[Produto],0)),"Não")</f>
        <v>Não</v>
      </c>
      <c r="O8217" t="str">
        <f>IFERROR(INDEX(tEditais[SRP],MATCH(tItens[[#This Row],[Edital]],tEditais[Edital],0)),"Não")</f>
        <v>Não</v>
      </c>
      <c r="P8217" s="4">
        <f>IF(COUNTIFS(INDEX(tItens[Edital],1):tItens[[#This Row],[Edital]],tItens[[#This Row],[Edital]],INDEX(tItens[Produto],1):tItens[[#This Row],[Produto]],tItens[[#This Row],[Produto]])=1,1,0)</f>
        <v>0</v>
      </c>
    </row>
    <row r="8218" spans="1:16" x14ac:dyDescent="0.25">
      <c r="A8218" t="s">
        <v>2657</v>
      </c>
      <c r="B8218">
        <v>2294892</v>
      </c>
      <c r="C8218" t="s">
        <v>10711</v>
      </c>
      <c r="D8218" t="s">
        <v>120</v>
      </c>
      <c r="E8218" s="13">
        <v>75600</v>
      </c>
      <c r="F8218" s="12">
        <v>0.55000000000000004</v>
      </c>
      <c r="G8218" t="str">
        <f>IFERROR(INDEX(tEditais[Órgão],MATCH(tItens[[#This Row],[Edital]],tEditais[Edital],0)),"")</f>
        <v>FUNDO MUNICIPAL DE SAUDE DE INDAIAL</v>
      </c>
      <c r="H8218" t="str">
        <f>IFERROR(INDEX(tEditais[UF],MATCH(tItens[[#This Row],[Edital]],tEditais[Edital],0)),"")</f>
        <v>SC</v>
      </c>
      <c r="I8218" s="11">
        <f>IFERROR(INDEX(tEditais[Encerramento],MATCH(tItens[[#This Row],[Edital]],tEditais[Edital],0)),"")</f>
        <v>46310.354166666664</v>
      </c>
      <c r="J8218" t="str">
        <f>IFERROR(INDEX(tProdutos[Classe],MATCH(tItens[[#This Row],[Produto]],tProdutos[Produto],0)),"produto não cadastrado")</f>
        <v>DISPUTADO</v>
      </c>
      <c r="K8218" s="12">
        <f>tItens[[#This Row],[Qtd]]*tItens[[#This Row],[Vlr unit]]</f>
        <v>41580</v>
      </c>
      <c r="L8218" s="6">
        <f>IFERROR(IF(INDEX(tProdutos[Desconto homologado],MATCH(tItens[[#This Row],[Produto]],tProdutos[Produto],0))="",DescontoPadrao,INDEX(tProdutos[Desconto homologado],MATCH(tItens[[#This Row],[Produto]],tProdutos[Produto],0))),DescontoPadrao)</f>
        <v>0.40909090909090901</v>
      </c>
      <c r="M8218" s="12">
        <f>tItens[[#This Row],[Valor]]*(1-tItens[[#This Row],[Desconto]])</f>
        <v>24570.000000000007</v>
      </c>
      <c r="N8218" t="str">
        <f>IFERROR(INDEX(tProdutos[Foco],MATCH(tItens[[#This Row],[Produto]],tProdutos[Produto],0)),"Não")</f>
        <v>Não</v>
      </c>
      <c r="O8218" t="str">
        <f>IFERROR(INDEX(tEditais[SRP],MATCH(tItens[[#This Row],[Edital]],tEditais[Edital],0)),"Não")</f>
        <v>Não</v>
      </c>
      <c r="P8218" s="4">
        <f>IF(COUNTIFS(INDEX(tItens[Edital],1):tItens[[#This Row],[Edital]],tItens[[#This Row],[Edital]],INDEX(tItens[Produto],1):tItens[[#This Row],[Produto]],tItens[[#This Row],[Produto]])=1,1,0)</f>
        <v>0</v>
      </c>
    </row>
    <row r="8219" spans="1:16" x14ac:dyDescent="0.25">
      <c r="A8219" t="s">
        <v>2657</v>
      </c>
      <c r="B8219">
        <v>2294893</v>
      </c>
      <c r="C8219" t="s">
        <v>10712</v>
      </c>
      <c r="D8219" t="s">
        <v>120</v>
      </c>
      <c r="E8219" s="13">
        <v>54000</v>
      </c>
      <c r="F8219" s="12">
        <v>0.55000000000000004</v>
      </c>
      <c r="G8219" t="str">
        <f>IFERROR(INDEX(tEditais[Órgão],MATCH(tItens[[#This Row],[Edital]],tEditais[Edital],0)),"")</f>
        <v>FUNDO MUNICIPAL DE SAUDE DE INDAIAL</v>
      </c>
      <c r="H8219" t="str">
        <f>IFERROR(INDEX(tEditais[UF],MATCH(tItens[[#This Row],[Edital]],tEditais[Edital],0)),"")</f>
        <v>SC</v>
      </c>
      <c r="I8219" s="11">
        <f>IFERROR(INDEX(tEditais[Encerramento],MATCH(tItens[[#This Row],[Edital]],tEditais[Edital],0)),"")</f>
        <v>46310.354166666664</v>
      </c>
      <c r="J8219" t="str">
        <f>IFERROR(INDEX(tProdutos[Classe],MATCH(tItens[[#This Row],[Produto]],tProdutos[Produto],0)),"produto não cadastrado")</f>
        <v>DISPUTADO</v>
      </c>
      <c r="K8219" s="12">
        <f>tItens[[#This Row],[Qtd]]*tItens[[#This Row],[Vlr unit]]</f>
        <v>29700.000000000004</v>
      </c>
      <c r="L8219" s="6">
        <f>IFERROR(IF(INDEX(tProdutos[Desconto homologado],MATCH(tItens[[#This Row],[Produto]],tProdutos[Produto],0))="",DescontoPadrao,INDEX(tProdutos[Desconto homologado],MATCH(tItens[[#This Row],[Produto]],tProdutos[Produto],0))),DescontoPadrao)</f>
        <v>0.40909090909090901</v>
      </c>
      <c r="M8219" s="12">
        <f>tItens[[#This Row],[Valor]]*(1-tItens[[#This Row],[Desconto]])</f>
        <v>17550.000000000007</v>
      </c>
      <c r="N8219" t="str">
        <f>IFERROR(INDEX(tProdutos[Foco],MATCH(tItens[[#This Row],[Produto]],tProdutos[Produto],0)),"Não")</f>
        <v>Não</v>
      </c>
      <c r="O8219" t="str">
        <f>IFERROR(INDEX(tEditais[SRP],MATCH(tItens[[#This Row],[Edital]],tEditais[Edital],0)),"Não")</f>
        <v>Não</v>
      </c>
      <c r="P8219" s="4">
        <f>IF(COUNTIFS(INDEX(tItens[Edital],1):tItens[[#This Row],[Edital]],tItens[[#This Row],[Edital]],INDEX(tItens[Produto],1):tItens[[#This Row],[Produto]],tItens[[#This Row],[Produto]])=1,1,0)</f>
        <v>0</v>
      </c>
    </row>
    <row r="8220" spans="1:16" x14ac:dyDescent="0.25">
      <c r="A8220" t="s">
        <v>2662</v>
      </c>
      <c r="B8220">
        <v>1</v>
      </c>
      <c r="C8220" t="s">
        <v>10713</v>
      </c>
      <c r="D8220" t="s">
        <v>132</v>
      </c>
      <c r="E8220" s="13">
        <v>2300</v>
      </c>
      <c r="F8220" s="12">
        <v>0</v>
      </c>
      <c r="G8220" t="str">
        <f>IFERROR(INDEX(tEditais[Órgão],MATCH(tItens[[#This Row],[Edital]],tEditais[Edital],0)),"")</f>
        <v>EMPRESA BRASILEIRA DE SERVICOS HOSPITALARES - EBSERH</v>
      </c>
      <c r="H8220" t="str">
        <f>IFERROR(INDEX(tEditais[UF],MATCH(tItens[[#This Row],[Edital]],tEditais[Edital],0)),"")</f>
        <v>SC</v>
      </c>
      <c r="I8220" s="11">
        <f>IFERROR(INDEX(tEditais[Encerramento],MATCH(tItens[[#This Row],[Edital]],tEditais[Edital],0)),"")</f>
        <v>46310.354166666664</v>
      </c>
      <c r="J8220" t="str">
        <f>IFERROR(INDEX(tProdutos[Classe],MATCH(tItens[[#This Row],[Produto]],tProdutos[Produto],0)),"produto não cadastrado")</f>
        <v>NÚCLEO</v>
      </c>
      <c r="K8220" s="12">
        <f>tItens[[#This Row],[Qtd]]*tItens[[#This Row],[Vlr unit]]</f>
        <v>0</v>
      </c>
      <c r="L8220" s="6">
        <f>IFERROR(IF(INDEX(tProdutos[Desconto homologado],MATCH(tItens[[#This Row],[Produto]],tProdutos[Produto],0))="",DescontoPadrao,INDEX(tProdutos[Desconto homologado],MATCH(tItens[[#This Row],[Produto]],tProdutos[Produto],0))),DescontoPadrao)</f>
        <v>0.27</v>
      </c>
      <c r="M8220" s="12">
        <f>tItens[[#This Row],[Valor]]*(1-tItens[[#This Row],[Desconto]])</f>
        <v>0</v>
      </c>
      <c r="N8220" t="str">
        <f>IFERROR(INDEX(tProdutos[Foco],MATCH(tItens[[#This Row],[Produto]],tProdutos[Produto],0)),"Não")</f>
        <v>Sim</v>
      </c>
      <c r="O8220" t="str">
        <f>IFERROR(INDEX(tEditais[SRP],MATCH(tItens[[#This Row],[Edital]],tEditais[Edital],0)),"Não")</f>
        <v>Sim</v>
      </c>
      <c r="P8220" s="4">
        <f>IF(COUNTIFS(INDEX(tItens[Edital],1):tItens[[#This Row],[Edital]],tItens[[#This Row],[Edital]],INDEX(tItens[Produto],1):tItens[[#This Row],[Produto]],tItens[[#This Row],[Produto]])=1,1,0)</f>
        <v>1</v>
      </c>
    </row>
    <row r="8221" spans="1:16" x14ac:dyDescent="0.25">
      <c r="A8221" t="s">
        <v>2662</v>
      </c>
      <c r="B8221">
        <v>35</v>
      </c>
      <c r="C8221" t="s">
        <v>3881</v>
      </c>
      <c r="D8221" t="s">
        <v>411</v>
      </c>
      <c r="E8221" s="13">
        <v>700</v>
      </c>
      <c r="F8221" s="12">
        <v>0</v>
      </c>
      <c r="G8221" t="str">
        <f>IFERROR(INDEX(tEditais[Órgão],MATCH(tItens[[#This Row],[Edital]],tEditais[Edital],0)),"")</f>
        <v>EMPRESA BRASILEIRA DE SERVICOS HOSPITALARES - EBSERH</v>
      </c>
      <c r="H8221" t="str">
        <f>IFERROR(INDEX(tEditais[UF],MATCH(tItens[[#This Row],[Edital]],tEditais[Edital],0)),"")</f>
        <v>SC</v>
      </c>
      <c r="I8221" s="11">
        <f>IFERROR(INDEX(tEditais[Encerramento],MATCH(tItens[[#This Row],[Edital]],tEditais[Edital],0)),"")</f>
        <v>46310.354166666664</v>
      </c>
      <c r="J8221" t="str">
        <f>IFERROR(INDEX(tProdutos[Classe],MATCH(tItens[[#This Row],[Produto]],tProdutos[Produto],0)),"produto não cadastrado")</f>
        <v>FORA</v>
      </c>
      <c r="K8221" s="12">
        <f>tItens[[#This Row],[Qtd]]*tItens[[#This Row],[Vlr unit]]</f>
        <v>0</v>
      </c>
      <c r="L8221" s="6">
        <f>IFERROR(IF(INDEX(tProdutos[Desconto homologado],MATCH(tItens[[#This Row],[Produto]],tProdutos[Produto],0))="",DescontoPadrao,INDEX(tProdutos[Desconto homologado],MATCH(tItens[[#This Row],[Produto]],tProdutos[Produto],0))),DescontoPadrao)</f>
        <v>0.50029835957199398</v>
      </c>
      <c r="M8221" s="12">
        <f>tItens[[#This Row],[Valor]]*(1-tItens[[#This Row],[Desconto]])</f>
        <v>0</v>
      </c>
      <c r="N8221" t="str">
        <f>IFERROR(INDEX(tProdutos[Foco],MATCH(tItens[[#This Row],[Produto]],tProdutos[Produto],0)),"Não")</f>
        <v>Não</v>
      </c>
      <c r="O8221" t="str">
        <f>IFERROR(INDEX(tEditais[SRP],MATCH(tItens[[#This Row],[Edital]],tEditais[Edital],0)),"Não")</f>
        <v>Sim</v>
      </c>
      <c r="P8221" s="4">
        <f>IF(COUNTIFS(INDEX(tItens[Edital],1):tItens[[#This Row],[Edital]],tItens[[#This Row],[Edital]],INDEX(tItens[Produto],1):tItens[[#This Row],[Produto]],tItens[[#This Row],[Produto]])=1,1,0)</f>
        <v>1</v>
      </c>
    </row>
    <row r="8222" spans="1:16" x14ac:dyDescent="0.25">
      <c r="A8222" t="s">
        <v>2662</v>
      </c>
      <c r="B8222">
        <v>61</v>
      </c>
      <c r="C8222" t="s">
        <v>3881</v>
      </c>
      <c r="D8222" t="s">
        <v>411</v>
      </c>
      <c r="E8222" s="13">
        <v>1700</v>
      </c>
      <c r="F8222" s="12">
        <v>0</v>
      </c>
      <c r="G8222" t="str">
        <f>IFERROR(INDEX(tEditais[Órgão],MATCH(tItens[[#This Row],[Edital]],tEditais[Edital],0)),"")</f>
        <v>EMPRESA BRASILEIRA DE SERVICOS HOSPITALARES - EBSERH</v>
      </c>
      <c r="H8222" t="str">
        <f>IFERROR(INDEX(tEditais[UF],MATCH(tItens[[#This Row],[Edital]],tEditais[Edital],0)),"")</f>
        <v>SC</v>
      </c>
      <c r="I8222" s="11">
        <f>IFERROR(INDEX(tEditais[Encerramento],MATCH(tItens[[#This Row],[Edital]],tEditais[Edital],0)),"")</f>
        <v>46310.354166666664</v>
      </c>
      <c r="J8222" t="str">
        <f>IFERROR(INDEX(tProdutos[Classe],MATCH(tItens[[#This Row],[Produto]],tProdutos[Produto],0)),"produto não cadastrado")</f>
        <v>FORA</v>
      </c>
      <c r="K8222" s="12">
        <f>tItens[[#This Row],[Qtd]]*tItens[[#This Row],[Vlr unit]]</f>
        <v>0</v>
      </c>
      <c r="L8222" s="6">
        <f>IFERROR(IF(INDEX(tProdutos[Desconto homologado],MATCH(tItens[[#This Row],[Produto]],tProdutos[Produto],0))="",DescontoPadrao,INDEX(tProdutos[Desconto homologado],MATCH(tItens[[#This Row],[Produto]],tProdutos[Produto],0))),DescontoPadrao)</f>
        <v>0.50029835957199398</v>
      </c>
      <c r="M8222" s="12">
        <f>tItens[[#This Row],[Valor]]*(1-tItens[[#This Row],[Desconto]])</f>
        <v>0</v>
      </c>
      <c r="N8222" t="str">
        <f>IFERROR(INDEX(tProdutos[Foco],MATCH(tItens[[#This Row],[Produto]],tProdutos[Produto],0)),"Não")</f>
        <v>Não</v>
      </c>
      <c r="O8222" t="str">
        <f>IFERROR(INDEX(tEditais[SRP],MATCH(tItens[[#This Row],[Edital]],tEditais[Edital],0)),"Não")</f>
        <v>Sim</v>
      </c>
      <c r="P8222" s="4">
        <f>IF(COUNTIFS(INDEX(tItens[Edital],1):tItens[[#This Row],[Edital]],tItens[[#This Row],[Edital]],INDEX(tItens[Produto],1):tItens[[#This Row],[Produto]],tItens[[#This Row],[Produto]])=1,1,0)</f>
        <v>0</v>
      </c>
    </row>
    <row r="8223" spans="1:16" x14ac:dyDescent="0.25">
      <c r="A8223" t="s">
        <v>2665</v>
      </c>
      <c r="B8223">
        <v>6</v>
      </c>
      <c r="C8223" t="s">
        <v>10714</v>
      </c>
      <c r="D8223" t="s">
        <v>144</v>
      </c>
      <c r="E8223" s="13">
        <v>10</v>
      </c>
      <c r="F8223" s="12">
        <v>8.4</v>
      </c>
      <c r="G8223" t="str">
        <f>IFERROR(INDEX(tEditais[Órgão],MATCH(tItens[[#This Row],[Edital]],tEditais[Edital],0)),"")</f>
        <v>FUNDO MUNICIPAL DE SAUDE</v>
      </c>
      <c r="H8223" t="str">
        <f>IFERROR(INDEX(tEditais[UF],MATCH(tItens[[#This Row],[Edital]],tEditais[Edital],0)),"")</f>
        <v>SC</v>
      </c>
      <c r="I8223" s="11">
        <f>IFERROR(INDEX(tEditais[Encerramento],MATCH(tItens[[#This Row],[Edital]],tEditais[Edital],0)),"")</f>
        <v>46310.374305555553</v>
      </c>
      <c r="J8223" t="str">
        <f>IFERROR(INDEX(tProdutos[Classe],MATCH(tItens[[#This Row],[Produto]],tProdutos[Produto],0)),"produto não cadastrado")</f>
        <v>DISPUTADO</v>
      </c>
      <c r="K8223" s="12">
        <f>tItens[[#This Row],[Qtd]]*tItens[[#This Row],[Vlr unit]]</f>
        <v>84</v>
      </c>
      <c r="L8223" s="6">
        <f>IFERROR(IF(INDEX(tProdutos[Desconto homologado],MATCH(tItens[[#This Row],[Produto]],tProdutos[Produto],0))="",DescontoPadrao,INDEX(tProdutos[Desconto homologado],MATCH(tItens[[#This Row],[Produto]],tProdutos[Produto],0))),DescontoPadrao)</f>
        <v>0.371428571428571</v>
      </c>
      <c r="M8223" s="12">
        <f>tItens[[#This Row],[Valor]]*(1-tItens[[#This Row],[Desconto]])</f>
        <v>52.80000000000004</v>
      </c>
      <c r="N8223" t="str">
        <f>IFERROR(INDEX(tProdutos[Foco],MATCH(tItens[[#This Row],[Produto]],tProdutos[Produto],0)),"Não")</f>
        <v>Não</v>
      </c>
      <c r="O8223" t="str">
        <f>IFERROR(INDEX(tEditais[SRP],MATCH(tItens[[#This Row],[Edital]],tEditais[Edital],0)),"Não")</f>
        <v>Sim</v>
      </c>
      <c r="P8223" s="4">
        <f>IF(COUNTIFS(INDEX(tItens[Edital],1):tItens[[#This Row],[Edital]],tItens[[#This Row],[Edital]],INDEX(tItens[Produto],1):tItens[[#This Row],[Produto]],tItens[[#This Row],[Produto]])=1,1,0)</f>
        <v>1</v>
      </c>
    </row>
    <row r="8224" spans="1:16" x14ac:dyDescent="0.25">
      <c r="A8224" t="s">
        <v>2668</v>
      </c>
      <c r="B8224">
        <v>2296689</v>
      </c>
      <c r="C8224" t="s">
        <v>10715</v>
      </c>
      <c r="D8224" t="s">
        <v>132</v>
      </c>
      <c r="E8224" s="13">
        <v>120</v>
      </c>
      <c r="F8224" s="12">
        <v>45.98</v>
      </c>
      <c r="G8224" t="str">
        <f>IFERROR(INDEX(tEditais[Órgão],MATCH(tItens[[#This Row],[Edital]],tEditais[Edital],0)),"")</f>
        <v>MUNICIPIO DE BRACO DO TROMBUDO</v>
      </c>
      <c r="H8224" t="str">
        <f>IFERROR(INDEX(tEditais[UF],MATCH(tItens[[#This Row],[Edital]],tEditais[Edital],0)),"")</f>
        <v>SC</v>
      </c>
      <c r="I8224" s="11">
        <f>IFERROR(INDEX(tEditais[Encerramento],MATCH(tItens[[#This Row],[Edital]],tEditais[Edital],0)),"")</f>
        <v>46311.354166666664</v>
      </c>
      <c r="J8224" t="str">
        <f>IFERROR(INDEX(tProdutos[Classe],MATCH(tItens[[#This Row],[Produto]],tProdutos[Produto],0)),"produto não cadastrado")</f>
        <v>NÚCLEO</v>
      </c>
      <c r="K8224" s="12">
        <f>tItens[[#This Row],[Qtd]]*tItens[[#This Row],[Vlr unit]]</f>
        <v>5517.5999999999995</v>
      </c>
      <c r="L8224" s="6">
        <f>IFERROR(IF(INDEX(tProdutos[Desconto homologado],MATCH(tItens[[#This Row],[Produto]],tProdutos[Produto],0))="",DescontoPadrao,INDEX(tProdutos[Desconto homologado],MATCH(tItens[[#This Row],[Produto]],tProdutos[Produto],0))),DescontoPadrao)</f>
        <v>0.27</v>
      </c>
      <c r="M8224" s="12">
        <f>tItens[[#This Row],[Valor]]*(1-tItens[[#This Row],[Desconto]])</f>
        <v>4027.8479999999995</v>
      </c>
      <c r="N8224" t="str">
        <f>IFERROR(INDEX(tProdutos[Foco],MATCH(tItens[[#This Row],[Produto]],tProdutos[Produto],0)),"Não")</f>
        <v>Sim</v>
      </c>
      <c r="O8224" t="str">
        <f>IFERROR(INDEX(tEditais[SRP],MATCH(tItens[[#This Row],[Edital]],tEditais[Edital],0)),"Não")</f>
        <v>Não</v>
      </c>
      <c r="P8224" s="4">
        <f>IF(COUNTIFS(INDEX(tItens[Edital],1):tItens[[#This Row],[Edital]],tItens[[#This Row],[Edital]],INDEX(tItens[Produto],1):tItens[[#This Row],[Produto]],tItens[[#This Row],[Produto]])=1,1,0)</f>
        <v>1</v>
      </c>
    </row>
    <row r="8225" spans="1:16" x14ac:dyDescent="0.25">
      <c r="A8225" t="s">
        <v>2668</v>
      </c>
      <c r="B8225">
        <v>2296690</v>
      </c>
      <c r="C8225" t="s">
        <v>10716</v>
      </c>
      <c r="D8225" t="s">
        <v>132</v>
      </c>
      <c r="E8225" s="13">
        <v>68</v>
      </c>
      <c r="F8225" s="12">
        <v>44.46</v>
      </c>
      <c r="G8225" t="str">
        <f>IFERROR(INDEX(tEditais[Órgão],MATCH(tItens[[#This Row],[Edital]],tEditais[Edital],0)),"")</f>
        <v>MUNICIPIO DE BRACO DO TROMBUDO</v>
      </c>
      <c r="H8225" t="str">
        <f>IFERROR(INDEX(tEditais[UF],MATCH(tItens[[#This Row],[Edital]],tEditais[Edital],0)),"")</f>
        <v>SC</v>
      </c>
      <c r="I8225" s="11">
        <f>IFERROR(INDEX(tEditais[Encerramento],MATCH(tItens[[#This Row],[Edital]],tEditais[Edital],0)),"")</f>
        <v>46311.354166666664</v>
      </c>
      <c r="J8225" t="str">
        <f>IFERROR(INDEX(tProdutos[Classe],MATCH(tItens[[#This Row],[Produto]],tProdutos[Produto],0)),"produto não cadastrado")</f>
        <v>NÚCLEO</v>
      </c>
      <c r="K8225" s="12">
        <f>tItens[[#This Row],[Qtd]]*tItens[[#This Row],[Vlr unit]]</f>
        <v>3023.28</v>
      </c>
      <c r="L8225" s="6">
        <f>IFERROR(IF(INDEX(tProdutos[Desconto homologado],MATCH(tItens[[#This Row],[Produto]],tProdutos[Produto],0))="",DescontoPadrao,INDEX(tProdutos[Desconto homologado],MATCH(tItens[[#This Row],[Produto]],tProdutos[Produto],0))),DescontoPadrao)</f>
        <v>0.27</v>
      </c>
      <c r="M8225" s="12">
        <f>tItens[[#This Row],[Valor]]*(1-tItens[[#This Row],[Desconto]])</f>
        <v>2206.9944</v>
      </c>
      <c r="N8225" t="str">
        <f>IFERROR(INDEX(tProdutos[Foco],MATCH(tItens[[#This Row],[Produto]],tProdutos[Produto],0)),"Não")</f>
        <v>Sim</v>
      </c>
      <c r="O8225" t="str">
        <f>IFERROR(INDEX(tEditais[SRP],MATCH(tItens[[#This Row],[Edital]],tEditais[Edital],0)),"Não")</f>
        <v>Não</v>
      </c>
      <c r="P8225" s="4">
        <f>IF(COUNTIFS(INDEX(tItens[Edital],1):tItens[[#This Row],[Edital]],tItens[[#This Row],[Edital]],INDEX(tItens[Produto],1):tItens[[#This Row],[Produto]],tItens[[#This Row],[Produto]])=1,1,0)</f>
        <v>0</v>
      </c>
    </row>
    <row r="8226" spans="1:16" x14ac:dyDescent="0.25">
      <c r="A8226" t="s">
        <v>2668</v>
      </c>
      <c r="B8226">
        <v>2296691</v>
      </c>
      <c r="C8226" t="s">
        <v>10717</v>
      </c>
      <c r="D8226" t="s">
        <v>132</v>
      </c>
      <c r="E8226" s="13">
        <v>92</v>
      </c>
      <c r="F8226" s="12">
        <v>42.48</v>
      </c>
      <c r="G8226" t="str">
        <f>IFERROR(INDEX(tEditais[Órgão],MATCH(tItens[[#This Row],[Edital]],tEditais[Edital],0)),"")</f>
        <v>MUNICIPIO DE BRACO DO TROMBUDO</v>
      </c>
      <c r="H8226" t="str">
        <f>IFERROR(INDEX(tEditais[UF],MATCH(tItens[[#This Row],[Edital]],tEditais[Edital],0)),"")</f>
        <v>SC</v>
      </c>
      <c r="I8226" s="11">
        <f>IFERROR(INDEX(tEditais[Encerramento],MATCH(tItens[[#This Row],[Edital]],tEditais[Edital],0)),"")</f>
        <v>46311.354166666664</v>
      </c>
      <c r="J8226" t="str">
        <f>IFERROR(INDEX(tProdutos[Classe],MATCH(tItens[[#This Row],[Produto]],tProdutos[Produto],0)),"produto não cadastrado")</f>
        <v>NÚCLEO</v>
      </c>
      <c r="K8226" s="12">
        <f>tItens[[#This Row],[Qtd]]*tItens[[#This Row],[Vlr unit]]</f>
        <v>3908.16</v>
      </c>
      <c r="L8226" s="6">
        <f>IFERROR(IF(INDEX(tProdutos[Desconto homologado],MATCH(tItens[[#This Row],[Produto]],tProdutos[Produto],0))="",DescontoPadrao,INDEX(tProdutos[Desconto homologado],MATCH(tItens[[#This Row],[Produto]],tProdutos[Produto],0))),DescontoPadrao)</f>
        <v>0.27</v>
      </c>
      <c r="M8226" s="12">
        <f>tItens[[#This Row],[Valor]]*(1-tItens[[#This Row],[Desconto]])</f>
        <v>2852.9567999999999</v>
      </c>
      <c r="N8226" t="str">
        <f>IFERROR(INDEX(tProdutos[Foco],MATCH(tItens[[#This Row],[Produto]],tProdutos[Produto],0)),"Não")</f>
        <v>Sim</v>
      </c>
      <c r="O8226" t="str">
        <f>IFERROR(INDEX(tEditais[SRP],MATCH(tItens[[#This Row],[Edital]],tEditais[Edital],0)),"Não")</f>
        <v>Não</v>
      </c>
      <c r="P8226" s="4">
        <f>IF(COUNTIFS(INDEX(tItens[Edital],1):tItens[[#This Row],[Edital]],tItens[[#This Row],[Edital]],INDEX(tItens[Produto],1):tItens[[#This Row],[Produto]],tItens[[#This Row],[Produto]])=1,1,0)</f>
        <v>0</v>
      </c>
    </row>
    <row r="8227" spans="1:16" x14ac:dyDescent="0.25">
      <c r="A8227" t="s">
        <v>2668</v>
      </c>
      <c r="B8227">
        <v>2296700</v>
      </c>
      <c r="C8227" t="s">
        <v>10718</v>
      </c>
      <c r="D8227" t="s">
        <v>385</v>
      </c>
      <c r="E8227" s="13">
        <v>1670</v>
      </c>
      <c r="F8227" s="12">
        <v>22.31</v>
      </c>
      <c r="G8227" t="str">
        <f>IFERROR(INDEX(tEditais[Órgão],MATCH(tItens[[#This Row],[Edital]],tEditais[Edital],0)),"")</f>
        <v>MUNICIPIO DE BRACO DO TROMBUDO</v>
      </c>
      <c r="H8227" t="str">
        <f>IFERROR(INDEX(tEditais[UF],MATCH(tItens[[#This Row],[Edital]],tEditais[Edital],0)),"")</f>
        <v>SC</v>
      </c>
      <c r="I8227" s="11">
        <f>IFERROR(INDEX(tEditais[Encerramento],MATCH(tItens[[#This Row],[Edital]],tEditais[Edital],0)),"")</f>
        <v>46311.354166666664</v>
      </c>
      <c r="J8227" t="str">
        <f>IFERROR(INDEX(tProdutos[Classe],MATCH(tItens[[#This Row],[Produto]],tProdutos[Produto],0)),"produto não cadastrado")</f>
        <v>FORA</v>
      </c>
      <c r="K8227" s="12">
        <f>tItens[[#This Row],[Qtd]]*tItens[[#This Row],[Vlr unit]]</f>
        <v>37257.699999999997</v>
      </c>
      <c r="L8227" s="6">
        <f>IFERROR(IF(INDEX(tProdutos[Desconto homologado],MATCH(tItens[[#This Row],[Produto]],tProdutos[Produto],0))="",DescontoPadrao,INDEX(tProdutos[Desconto homologado],MATCH(tItens[[#This Row],[Produto]],tProdutos[Produto],0))),DescontoPadrao)</f>
        <v>0.46969696969697</v>
      </c>
      <c r="M8227" s="12">
        <f>tItens[[#This Row],[Valor]]*(1-tItens[[#This Row],[Desconto]])</f>
        <v>19757.871212121201</v>
      </c>
      <c r="N8227" t="str">
        <f>IFERROR(INDEX(tProdutos[Foco],MATCH(tItens[[#This Row],[Produto]],tProdutos[Produto],0)),"Não")</f>
        <v>Não</v>
      </c>
      <c r="O8227" t="str">
        <f>IFERROR(INDEX(tEditais[SRP],MATCH(tItens[[#This Row],[Edital]],tEditais[Edital],0)),"Não")</f>
        <v>Não</v>
      </c>
      <c r="P8227" s="4">
        <f>IF(COUNTIFS(INDEX(tItens[Edital],1):tItens[[#This Row],[Edital]],tItens[[#This Row],[Edital]],INDEX(tItens[Produto],1):tItens[[#This Row],[Produto]],tItens[[#This Row],[Produto]])=1,1,0)</f>
        <v>1</v>
      </c>
    </row>
    <row r="8228" spans="1:16" x14ac:dyDescent="0.25">
      <c r="A8228" t="s">
        <v>2673</v>
      </c>
      <c r="B8228">
        <v>7</v>
      </c>
      <c r="C8228" t="s">
        <v>10719</v>
      </c>
      <c r="D8228" t="s">
        <v>315</v>
      </c>
      <c r="E8228" s="13">
        <v>24</v>
      </c>
      <c r="F8228" s="12">
        <v>15.85</v>
      </c>
      <c r="G8228" t="str">
        <f>IFERROR(INDEX(tEditais[Órgão],MATCH(tItens[[#This Row],[Edital]],tEditais[Edital],0)),"")</f>
        <v>INSTITUTO FEDERAL DE EDUCACAO, CIENCIA E TECNOLOGIA DE SANTA CATARINA</v>
      </c>
      <c r="H8228" t="str">
        <f>IFERROR(INDEX(tEditais[UF],MATCH(tItens[[#This Row],[Edital]],tEditais[Edital],0)),"")</f>
        <v>SC</v>
      </c>
      <c r="I8228" s="11">
        <f>IFERROR(INDEX(tEditais[Encerramento],MATCH(tItens[[#This Row],[Edital]],tEditais[Edital],0)),"")</f>
        <v>46311.416666666664</v>
      </c>
      <c r="J8228" t="str">
        <f>IFERROR(INDEX(tProdutos[Classe],MATCH(tItens[[#This Row],[Produto]],tProdutos[Produto],0)),"produto não cadastrado")</f>
        <v>FORA</v>
      </c>
      <c r="K8228" s="12">
        <f>tItens[[#This Row],[Qtd]]*tItens[[#This Row],[Vlr unit]]</f>
        <v>380.4</v>
      </c>
      <c r="L8228" s="6">
        <f>IFERROR(IF(INDEX(tProdutos[Desconto homologado],MATCH(tItens[[#This Row],[Produto]],tProdutos[Produto],0))="",DescontoPadrao,INDEX(tProdutos[Desconto homologado],MATCH(tItens[[#This Row],[Produto]],tProdutos[Produto],0))),DescontoPadrao)</f>
        <v>0.38432036097010702</v>
      </c>
      <c r="M8228" s="12">
        <f>tItens[[#This Row],[Valor]]*(1-tItens[[#This Row],[Desconto]])</f>
        <v>234.20453468697127</v>
      </c>
      <c r="N8228" t="str">
        <f>IFERROR(INDEX(tProdutos[Foco],MATCH(tItens[[#This Row],[Produto]],tProdutos[Produto],0)),"Não")</f>
        <v>Não</v>
      </c>
      <c r="O8228" t="str">
        <f>IFERROR(INDEX(tEditais[SRP],MATCH(tItens[[#This Row],[Edital]],tEditais[Edital],0)),"Não")</f>
        <v>Não</v>
      </c>
      <c r="P8228" s="4">
        <f>IF(COUNTIFS(INDEX(tItens[Edital],1):tItens[[#This Row],[Edital]],tItens[[#This Row],[Edital]],INDEX(tItens[Produto],1):tItens[[#This Row],[Produto]],tItens[[#This Row],[Produto]])=1,1,0)</f>
        <v>1</v>
      </c>
    </row>
    <row r="8229" spans="1:16" x14ac:dyDescent="0.25">
      <c r="A8229" t="s">
        <v>2673</v>
      </c>
      <c r="B8229">
        <v>8</v>
      </c>
      <c r="C8229" t="s">
        <v>4244</v>
      </c>
      <c r="D8229" t="s">
        <v>315</v>
      </c>
      <c r="E8229" s="13">
        <v>5</v>
      </c>
      <c r="F8229" s="12">
        <v>16.34</v>
      </c>
      <c r="G8229" t="str">
        <f>IFERROR(INDEX(tEditais[Órgão],MATCH(tItens[[#This Row],[Edital]],tEditais[Edital],0)),"")</f>
        <v>INSTITUTO FEDERAL DE EDUCACAO, CIENCIA E TECNOLOGIA DE SANTA CATARINA</v>
      </c>
      <c r="H8229" t="str">
        <f>IFERROR(INDEX(tEditais[UF],MATCH(tItens[[#This Row],[Edital]],tEditais[Edital],0)),"")</f>
        <v>SC</v>
      </c>
      <c r="I8229" s="11">
        <f>IFERROR(INDEX(tEditais[Encerramento],MATCH(tItens[[#This Row],[Edital]],tEditais[Edital],0)),"")</f>
        <v>46311.416666666664</v>
      </c>
      <c r="J8229" t="str">
        <f>IFERROR(INDEX(tProdutos[Classe],MATCH(tItens[[#This Row],[Produto]],tProdutos[Produto],0)),"produto não cadastrado")</f>
        <v>FORA</v>
      </c>
      <c r="K8229" s="12">
        <f>tItens[[#This Row],[Qtd]]*tItens[[#This Row],[Vlr unit]]</f>
        <v>81.7</v>
      </c>
      <c r="L8229" s="6">
        <f>IFERROR(IF(INDEX(tProdutos[Desconto homologado],MATCH(tItens[[#This Row],[Produto]],tProdutos[Produto],0))="",DescontoPadrao,INDEX(tProdutos[Desconto homologado],MATCH(tItens[[#This Row],[Produto]],tProdutos[Produto],0))),DescontoPadrao)</f>
        <v>0.38432036097010702</v>
      </c>
      <c r="M8229" s="12">
        <f>tItens[[#This Row],[Valor]]*(1-tItens[[#This Row],[Desconto]])</f>
        <v>50.301026508742261</v>
      </c>
      <c r="N8229" t="str">
        <f>IFERROR(INDEX(tProdutos[Foco],MATCH(tItens[[#This Row],[Produto]],tProdutos[Produto],0)),"Não")</f>
        <v>Não</v>
      </c>
      <c r="O8229" t="str">
        <f>IFERROR(INDEX(tEditais[SRP],MATCH(tItens[[#This Row],[Edital]],tEditais[Edital],0)),"Não")</f>
        <v>Não</v>
      </c>
      <c r="P8229" s="4">
        <f>IF(COUNTIFS(INDEX(tItens[Edital],1):tItens[[#This Row],[Edital]],tItens[[#This Row],[Edital]],INDEX(tItens[Produto],1):tItens[[#This Row],[Produto]],tItens[[#This Row],[Produto]])=1,1,0)</f>
        <v>0</v>
      </c>
    </row>
    <row r="8230" spans="1:16" x14ac:dyDescent="0.25">
      <c r="A8230" t="s">
        <v>2673</v>
      </c>
      <c r="B8230">
        <v>9</v>
      </c>
      <c r="C8230" t="s">
        <v>4138</v>
      </c>
      <c r="D8230" t="s">
        <v>315</v>
      </c>
      <c r="E8230" s="13">
        <v>10</v>
      </c>
      <c r="F8230" s="12">
        <v>18.21</v>
      </c>
      <c r="G8230" t="str">
        <f>IFERROR(INDEX(tEditais[Órgão],MATCH(tItens[[#This Row],[Edital]],tEditais[Edital],0)),"")</f>
        <v>INSTITUTO FEDERAL DE EDUCACAO, CIENCIA E TECNOLOGIA DE SANTA CATARINA</v>
      </c>
      <c r="H8230" t="str">
        <f>IFERROR(INDEX(tEditais[UF],MATCH(tItens[[#This Row],[Edital]],tEditais[Edital],0)),"")</f>
        <v>SC</v>
      </c>
      <c r="I8230" s="11">
        <f>IFERROR(INDEX(tEditais[Encerramento],MATCH(tItens[[#This Row],[Edital]],tEditais[Edital],0)),"")</f>
        <v>46311.416666666664</v>
      </c>
      <c r="J8230" t="str">
        <f>IFERROR(INDEX(tProdutos[Classe],MATCH(tItens[[#This Row],[Produto]],tProdutos[Produto],0)),"produto não cadastrado")</f>
        <v>FORA</v>
      </c>
      <c r="K8230" s="12">
        <f>tItens[[#This Row],[Qtd]]*tItens[[#This Row],[Vlr unit]]</f>
        <v>182.10000000000002</v>
      </c>
      <c r="L8230" s="6">
        <f>IFERROR(IF(INDEX(tProdutos[Desconto homologado],MATCH(tItens[[#This Row],[Produto]],tProdutos[Produto],0))="",DescontoPadrao,INDEX(tProdutos[Desconto homologado],MATCH(tItens[[#This Row],[Produto]],tProdutos[Produto],0))),DescontoPadrao)</f>
        <v>0.38432036097010702</v>
      </c>
      <c r="M8230" s="12">
        <f>tItens[[#This Row],[Valor]]*(1-tItens[[#This Row],[Desconto]])</f>
        <v>112.11526226734352</v>
      </c>
      <c r="N8230" t="str">
        <f>IFERROR(INDEX(tProdutos[Foco],MATCH(tItens[[#This Row],[Produto]],tProdutos[Produto],0)),"Não")</f>
        <v>Não</v>
      </c>
      <c r="O8230" t="str">
        <f>IFERROR(INDEX(tEditais[SRP],MATCH(tItens[[#This Row],[Edital]],tEditais[Edital],0)),"Não")</f>
        <v>Não</v>
      </c>
      <c r="P8230" s="4">
        <f>IF(COUNTIFS(INDEX(tItens[Edital],1):tItens[[#This Row],[Edital]],tItens[[#This Row],[Edital]],INDEX(tItens[Produto],1):tItens[[#This Row],[Produto]],tItens[[#This Row],[Produto]])=1,1,0)</f>
        <v>0</v>
      </c>
    </row>
    <row r="8231" spans="1:16" x14ac:dyDescent="0.25">
      <c r="A8231" t="s">
        <v>2673</v>
      </c>
      <c r="B8231">
        <v>10</v>
      </c>
      <c r="C8231" t="s">
        <v>3239</v>
      </c>
      <c r="D8231" t="s">
        <v>71</v>
      </c>
      <c r="E8231" s="13">
        <v>10</v>
      </c>
      <c r="F8231" s="12">
        <v>34.409999999999997</v>
      </c>
      <c r="G8231" t="str">
        <f>IFERROR(INDEX(tEditais[Órgão],MATCH(tItens[[#This Row],[Edital]],tEditais[Edital],0)),"")</f>
        <v>INSTITUTO FEDERAL DE EDUCACAO, CIENCIA E TECNOLOGIA DE SANTA CATARINA</v>
      </c>
      <c r="H8231" t="str">
        <f>IFERROR(INDEX(tEditais[UF],MATCH(tItens[[#This Row],[Edital]],tEditais[Edital],0)),"")</f>
        <v>SC</v>
      </c>
      <c r="I8231" s="11">
        <f>IFERROR(INDEX(tEditais[Encerramento],MATCH(tItens[[#This Row],[Edital]],tEditais[Edital],0)),"")</f>
        <v>46311.416666666664</v>
      </c>
      <c r="J8231" t="str">
        <f>IFERROR(INDEX(tProdutos[Classe],MATCH(tItens[[#This Row],[Produto]],tProdutos[Produto],0)),"produto não cadastrado")</f>
        <v>NÚCLEO</v>
      </c>
      <c r="K8231" s="12">
        <f>tItens[[#This Row],[Qtd]]*tItens[[#This Row],[Vlr unit]]</f>
        <v>344.09999999999997</v>
      </c>
      <c r="L8231" s="6">
        <f>IFERROR(IF(INDEX(tProdutos[Desconto homologado],MATCH(tItens[[#This Row],[Produto]],tProdutos[Produto],0))="",DescontoPadrao,INDEX(tProdutos[Desconto homologado],MATCH(tItens[[#This Row],[Produto]],tProdutos[Produto],0))),DescontoPadrao)</f>
        <v>0.44981412639405199</v>
      </c>
      <c r="M8231" s="12">
        <f>tItens[[#This Row],[Valor]]*(1-tItens[[#This Row],[Desconto]])</f>
        <v>189.31895910780668</v>
      </c>
      <c r="N8231" t="str">
        <f>IFERROR(INDEX(tProdutos[Foco],MATCH(tItens[[#This Row],[Produto]],tProdutos[Produto],0)),"Não")</f>
        <v>Não</v>
      </c>
      <c r="O8231" t="str">
        <f>IFERROR(INDEX(tEditais[SRP],MATCH(tItens[[#This Row],[Edital]],tEditais[Edital],0)),"Não")</f>
        <v>Não</v>
      </c>
      <c r="P8231" s="4">
        <f>IF(COUNTIFS(INDEX(tItens[Edital],1):tItens[[#This Row],[Edital]],tItens[[#This Row],[Edital]],INDEX(tItens[Produto],1):tItens[[#This Row],[Produto]],tItens[[#This Row],[Produto]])=1,1,0)</f>
        <v>1</v>
      </c>
    </row>
    <row r="8232" spans="1:16" x14ac:dyDescent="0.25">
      <c r="A8232" t="s">
        <v>2673</v>
      </c>
      <c r="B8232">
        <v>31</v>
      </c>
      <c r="C8232" t="s">
        <v>10720</v>
      </c>
      <c r="D8232" t="s">
        <v>73</v>
      </c>
      <c r="E8232" s="13">
        <v>200</v>
      </c>
      <c r="F8232" s="12">
        <v>3.01</v>
      </c>
      <c r="G8232" t="str">
        <f>IFERROR(INDEX(tEditais[Órgão],MATCH(tItens[[#This Row],[Edital]],tEditais[Edital],0)),"")</f>
        <v>INSTITUTO FEDERAL DE EDUCACAO, CIENCIA E TECNOLOGIA DE SANTA CATARINA</v>
      </c>
      <c r="H8232" t="str">
        <f>IFERROR(INDEX(tEditais[UF],MATCH(tItens[[#This Row],[Edital]],tEditais[Edital],0)),"")</f>
        <v>SC</v>
      </c>
      <c r="I8232" s="11">
        <f>IFERROR(INDEX(tEditais[Encerramento],MATCH(tItens[[#This Row],[Edital]],tEditais[Edital],0)),"")</f>
        <v>46311.416666666664</v>
      </c>
      <c r="J8232" t="str">
        <f>IFERROR(INDEX(tProdutos[Classe],MATCH(tItens[[#This Row],[Produto]],tProdutos[Produto],0)),"produto não cadastrado")</f>
        <v>NÚCLEO</v>
      </c>
      <c r="K8232" s="12">
        <f>tItens[[#This Row],[Qtd]]*tItens[[#This Row],[Vlr unit]]</f>
        <v>602</v>
      </c>
      <c r="L8232" s="6">
        <f>IFERROR(IF(INDEX(tProdutos[Desconto homologado],MATCH(tItens[[#This Row],[Produto]],tProdutos[Produto],0))="",DescontoPadrao,INDEX(tProdutos[Desconto homologado],MATCH(tItens[[#This Row],[Produto]],tProdutos[Produto],0))),DescontoPadrao)</f>
        <v>0.37</v>
      </c>
      <c r="M8232" s="12">
        <f>tItens[[#This Row],[Valor]]*(1-tItens[[#This Row],[Desconto]])</f>
        <v>379.26</v>
      </c>
      <c r="N8232" t="str">
        <f>IFERROR(INDEX(tProdutos[Foco],MATCH(tItens[[#This Row],[Produto]],tProdutos[Produto],0)),"Não")</f>
        <v>Sim</v>
      </c>
      <c r="O8232" t="str">
        <f>IFERROR(INDEX(tEditais[SRP],MATCH(tItens[[#This Row],[Edital]],tEditais[Edital],0)),"Não")</f>
        <v>Não</v>
      </c>
      <c r="P8232" s="4">
        <f>IF(COUNTIFS(INDEX(tItens[Edital],1):tItens[[#This Row],[Edital]],tItens[[#This Row],[Edital]],INDEX(tItens[Produto],1):tItens[[#This Row],[Produto]],tItens[[#This Row],[Produto]])=1,1,0)</f>
        <v>1</v>
      </c>
    </row>
    <row r="8233" spans="1:16" x14ac:dyDescent="0.25">
      <c r="A8233" t="s">
        <v>2673</v>
      </c>
      <c r="B8233">
        <v>39</v>
      </c>
      <c r="C8233" t="s">
        <v>9409</v>
      </c>
      <c r="D8233" t="s">
        <v>62</v>
      </c>
      <c r="E8233" s="13">
        <v>100</v>
      </c>
      <c r="F8233" s="12">
        <v>6.01</v>
      </c>
      <c r="G8233" t="str">
        <f>IFERROR(INDEX(tEditais[Órgão],MATCH(tItens[[#This Row],[Edital]],tEditais[Edital],0)),"")</f>
        <v>INSTITUTO FEDERAL DE EDUCACAO, CIENCIA E TECNOLOGIA DE SANTA CATARINA</v>
      </c>
      <c r="H8233" t="str">
        <f>IFERROR(INDEX(tEditais[UF],MATCH(tItens[[#This Row],[Edital]],tEditais[Edital],0)),"")</f>
        <v>SC</v>
      </c>
      <c r="I8233" s="11">
        <f>IFERROR(INDEX(tEditais[Encerramento],MATCH(tItens[[#This Row],[Edital]],tEditais[Edital],0)),"")</f>
        <v>46311.416666666664</v>
      </c>
      <c r="J8233" t="str">
        <f>IFERROR(INDEX(tProdutos[Classe],MATCH(tItens[[#This Row],[Produto]],tProdutos[Produto],0)),"produto não cadastrado")</f>
        <v>NÚCLEO</v>
      </c>
      <c r="K8233" s="12">
        <f>tItens[[#This Row],[Qtd]]*tItens[[#This Row],[Vlr unit]]</f>
        <v>601</v>
      </c>
      <c r="L8233" s="6">
        <f>IFERROR(IF(INDEX(tProdutos[Desconto homologado],MATCH(tItens[[#This Row],[Produto]],tProdutos[Produto],0))="",DescontoPadrao,INDEX(tProdutos[Desconto homologado],MATCH(tItens[[#This Row],[Produto]],tProdutos[Produto],0))),DescontoPadrao)</f>
        <v>0.3</v>
      </c>
      <c r="M8233" s="12">
        <f>tItens[[#This Row],[Valor]]*(1-tItens[[#This Row],[Desconto]])</f>
        <v>420.7</v>
      </c>
      <c r="N8233" t="str">
        <f>IFERROR(INDEX(tProdutos[Foco],MATCH(tItens[[#This Row],[Produto]],tProdutos[Produto],0)),"Não")</f>
        <v>Sim</v>
      </c>
      <c r="O8233" t="str">
        <f>IFERROR(INDEX(tEditais[SRP],MATCH(tItens[[#This Row],[Edital]],tEditais[Edital],0)),"Não")</f>
        <v>Não</v>
      </c>
      <c r="P8233" s="4">
        <f>IF(COUNTIFS(INDEX(tItens[Edital],1):tItens[[#This Row],[Edital]],tItens[[#This Row],[Edital]],INDEX(tItens[Produto],1):tItens[[#This Row],[Produto]],tItens[[#This Row],[Produto]])=1,1,0)</f>
        <v>1</v>
      </c>
    </row>
    <row r="8234" spans="1:16" x14ac:dyDescent="0.25">
      <c r="A8234" t="s">
        <v>2673</v>
      </c>
      <c r="B8234">
        <v>52</v>
      </c>
      <c r="C8234" t="s">
        <v>6292</v>
      </c>
      <c r="D8234" t="s">
        <v>347</v>
      </c>
      <c r="E8234" s="13">
        <v>50</v>
      </c>
      <c r="F8234" s="12">
        <v>18.54</v>
      </c>
      <c r="G8234" t="str">
        <f>IFERROR(INDEX(tEditais[Órgão],MATCH(tItens[[#This Row],[Edital]],tEditais[Edital],0)),"")</f>
        <v>INSTITUTO FEDERAL DE EDUCACAO, CIENCIA E TECNOLOGIA DE SANTA CATARINA</v>
      </c>
      <c r="H8234" t="str">
        <f>IFERROR(INDEX(tEditais[UF],MATCH(tItens[[#This Row],[Edital]],tEditais[Edital],0)),"")</f>
        <v>SC</v>
      </c>
      <c r="I8234" s="11">
        <f>IFERROR(INDEX(tEditais[Encerramento],MATCH(tItens[[#This Row],[Edital]],tEditais[Edital],0)),"")</f>
        <v>46311.416666666664</v>
      </c>
      <c r="J8234" t="str">
        <f>IFERROR(INDEX(tProdutos[Classe],MATCH(tItens[[#This Row],[Produto]],tProdutos[Produto],0)),"produto não cadastrado")</f>
        <v>FORA</v>
      </c>
      <c r="K8234" s="12">
        <f>tItens[[#This Row],[Qtd]]*tItens[[#This Row],[Vlr unit]]</f>
        <v>927</v>
      </c>
      <c r="L8234" s="6">
        <f>IFERROR(IF(INDEX(tProdutos[Desconto homologado],MATCH(tItens[[#This Row],[Produto]],tProdutos[Produto],0))="",DescontoPadrao,INDEX(tProdutos[Desconto homologado],MATCH(tItens[[#This Row],[Produto]],tProdutos[Produto],0))),DescontoPadrao)</f>
        <v>0.26356465005931201</v>
      </c>
      <c r="M8234" s="12">
        <f>tItens[[#This Row],[Valor]]*(1-tItens[[#This Row],[Desconto]])</f>
        <v>682.67556939501776</v>
      </c>
      <c r="N8234" t="str">
        <f>IFERROR(INDEX(tProdutos[Foco],MATCH(tItens[[#This Row],[Produto]],tProdutos[Produto],0)),"Não")</f>
        <v>Não</v>
      </c>
      <c r="O8234" t="str">
        <f>IFERROR(INDEX(tEditais[SRP],MATCH(tItens[[#This Row],[Edital]],tEditais[Edital],0)),"Não")</f>
        <v>Não</v>
      </c>
      <c r="P8234" s="4">
        <f>IF(COUNTIFS(INDEX(tItens[Edital],1):tItens[[#This Row],[Edital]],tItens[[#This Row],[Edital]],INDEX(tItens[Produto],1):tItens[[#This Row],[Produto]],tItens[[#This Row],[Produto]])=1,1,0)</f>
        <v>1</v>
      </c>
    </row>
    <row r="8235" spans="1:16" x14ac:dyDescent="0.25">
      <c r="A8235" t="s">
        <v>2673</v>
      </c>
      <c r="B8235">
        <v>53</v>
      </c>
      <c r="C8235" t="s">
        <v>4116</v>
      </c>
      <c r="D8235" t="s">
        <v>347</v>
      </c>
      <c r="E8235" s="13">
        <v>3</v>
      </c>
      <c r="F8235" s="12">
        <v>141.61000000000001</v>
      </c>
      <c r="G8235" t="str">
        <f>IFERROR(INDEX(tEditais[Órgão],MATCH(tItens[[#This Row],[Edital]],tEditais[Edital],0)),"")</f>
        <v>INSTITUTO FEDERAL DE EDUCACAO, CIENCIA E TECNOLOGIA DE SANTA CATARINA</v>
      </c>
      <c r="H8235" t="str">
        <f>IFERROR(INDEX(tEditais[UF],MATCH(tItens[[#This Row],[Edital]],tEditais[Edital],0)),"")</f>
        <v>SC</v>
      </c>
      <c r="I8235" s="11">
        <f>IFERROR(INDEX(tEditais[Encerramento],MATCH(tItens[[#This Row],[Edital]],tEditais[Edital],0)),"")</f>
        <v>46311.416666666664</v>
      </c>
      <c r="J8235" t="str">
        <f>IFERROR(INDEX(tProdutos[Classe],MATCH(tItens[[#This Row],[Produto]],tProdutos[Produto],0)),"produto não cadastrado")</f>
        <v>FORA</v>
      </c>
      <c r="K8235" s="12">
        <f>tItens[[#This Row],[Qtd]]*tItens[[#This Row],[Vlr unit]]</f>
        <v>424.83000000000004</v>
      </c>
      <c r="L8235" s="6">
        <f>IFERROR(IF(INDEX(tProdutos[Desconto homologado],MATCH(tItens[[#This Row],[Produto]],tProdutos[Produto],0))="",DescontoPadrao,INDEX(tProdutos[Desconto homologado],MATCH(tItens[[#This Row],[Produto]],tProdutos[Produto],0))),DescontoPadrao)</f>
        <v>0.26356465005931201</v>
      </c>
      <c r="M8235" s="12">
        <f>tItens[[#This Row],[Valor]]*(1-tItens[[#This Row],[Desconto]])</f>
        <v>312.85982971530251</v>
      </c>
      <c r="N8235" t="str">
        <f>IFERROR(INDEX(tProdutos[Foco],MATCH(tItens[[#This Row],[Produto]],tProdutos[Produto],0)),"Não")</f>
        <v>Não</v>
      </c>
      <c r="O8235" t="str">
        <f>IFERROR(INDEX(tEditais[SRP],MATCH(tItens[[#This Row],[Edital]],tEditais[Edital],0)),"Não")</f>
        <v>Não</v>
      </c>
      <c r="P8235" s="4">
        <f>IF(COUNTIFS(INDEX(tItens[Edital],1):tItens[[#This Row],[Edital]],tItens[[#This Row],[Edital]],INDEX(tItens[Produto],1):tItens[[#This Row],[Produto]],tItens[[#This Row],[Produto]])=1,1,0)</f>
        <v>0</v>
      </c>
    </row>
    <row r="8236" spans="1:16" x14ac:dyDescent="0.25">
      <c r="A8236" t="s">
        <v>2673</v>
      </c>
      <c r="B8236">
        <v>55</v>
      </c>
      <c r="C8236" t="s">
        <v>10721</v>
      </c>
      <c r="D8236" t="s">
        <v>209</v>
      </c>
      <c r="E8236" s="13">
        <v>1500</v>
      </c>
      <c r="F8236" s="12">
        <v>1.94</v>
      </c>
      <c r="G8236" t="str">
        <f>IFERROR(INDEX(tEditais[Órgão],MATCH(tItens[[#This Row],[Edital]],tEditais[Edital],0)),"")</f>
        <v>INSTITUTO FEDERAL DE EDUCACAO, CIENCIA E TECNOLOGIA DE SANTA CATARINA</v>
      </c>
      <c r="H8236" t="str">
        <f>IFERROR(INDEX(tEditais[UF],MATCH(tItens[[#This Row],[Edital]],tEditais[Edital],0)),"")</f>
        <v>SC</v>
      </c>
      <c r="I8236" s="11">
        <f>IFERROR(INDEX(tEditais[Encerramento],MATCH(tItens[[#This Row],[Edital]],tEditais[Edital],0)),"")</f>
        <v>46311.416666666664</v>
      </c>
      <c r="J8236" t="str">
        <f>IFERROR(INDEX(tProdutos[Classe],MATCH(tItens[[#This Row],[Produto]],tProdutos[Produto],0)),"produto não cadastrado")</f>
        <v>FORA</v>
      </c>
      <c r="K8236" s="12">
        <f>tItens[[#This Row],[Qtd]]*tItens[[#This Row],[Vlr unit]]</f>
        <v>2910</v>
      </c>
      <c r="L8236" s="6">
        <f>IFERROR(IF(INDEX(tProdutos[Desconto homologado],MATCH(tItens[[#This Row],[Produto]],tProdutos[Produto],0))="",DescontoPadrao,INDEX(tProdutos[Desconto homologado],MATCH(tItens[[#This Row],[Produto]],tProdutos[Produto],0))),DescontoPadrao)</f>
        <v>0.16442507504040599</v>
      </c>
      <c r="M8236" s="12">
        <f>tItens[[#This Row],[Valor]]*(1-tItens[[#This Row],[Desconto]])</f>
        <v>2431.5230316324187</v>
      </c>
      <c r="N8236" t="str">
        <f>IFERROR(INDEX(tProdutos[Foco],MATCH(tItens[[#This Row],[Produto]],tProdutos[Produto],0)),"Não")</f>
        <v>Não</v>
      </c>
      <c r="O8236" t="str">
        <f>IFERROR(INDEX(tEditais[SRP],MATCH(tItens[[#This Row],[Edital]],tEditais[Edital],0)),"Não")</f>
        <v>Não</v>
      </c>
      <c r="P8236" s="4">
        <f>IF(COUNTIFS(INDEX(tItens[Edital],1):tItens[[#This Row],[Edital]],tItens[[#This Row],[Edital]],INDEX(tItens[Produto],1):tItens[[#This Row],[Produto]],tItens[[#This Row],[Produto]])=1,1,0)</f>
        <v>1</v>
      </c>
    </row>
    <row r="8237" spans="1:16" x14ac:dyDescent="0.25">
      <c r="A8237" t="s">
        <v>2673</v>
      </c>
      <c r="B8237">
        <v>56</v>
      </c>
      <c r="C8237" t="s">
        <v>10722</v>
      </c>
      <c r="D8237" t="s">
        <v>187</v>
      </c>
      <c r="E8237" s="13">
        <v>500</v>
      </c>
      <c r="F8237" s="12">
        <v>2.12</v>
      </c>
      <c r="G8237" t="str">
        <f>IFERROR(INDEX(tEditais[Órgão],MATCH(tItens[[#This Row],[Edital]],tEditais[Edital],0)),"")</f>
        <v>INSTITUTO FEDERAL DE EDUCACAO, CIENCIA E TECNOLOGIA DE SANTA CATARINA</v>
      </c>
      <c r="H8237" t="str">
        <f>IFERROR(INDEX(tEditais[UF],MATCH(tItens[[#This Row],[Edital]],tEditais[Edital],0)),"")</f>
        <v>SC</v>
      </c>
      <c r="I8237" s="11">
        <f>IFERROR(INDEX(tEditais[Encerramento],MATCH(tItens[[#This Row],[Edital]],tEditais[Edital],0)),"")</f>
        <v>46311.416666666664</v>
      </c>
      <c r="J8237" t="str">
        <f>IFERROR(INDEX(tProdutos[Classe],MATCH(tItens[[#This Row],[Produto]],tProdutos[Produto],0)),"produto não cadastrado")</f>
        <v>DISPUTADO</v>
      </c>
      <c r="K8237" s="12">
        <f>tItens[[#This Row],[Qtd]]*tItens[[#This Row],[Vlr unit]]</f>
        <v>1060</v>
      </c>
      <c r="L8237" s="6">
        <f>IFERROR(IF(INDEX(tProdutos[Desconto homologado],MATCH(tItens[[#This Row],[Produto]],tProdutos[Produto],0))="",DescontoPadrao,INDEX(tProdutos[Desconto homologado],MATCH(tItens[[#This Row],[Produto]],tProdutos[Produto],0))),DescontoPadrao)</f>
        <v>0.44298820445609399</v>
      </c>
      <c r="M8237" s="12">
        <f>tItens[[#This Row],[Valor]]*(1-tItens[[#This Row],[Desconto]])</f>
        <v>590.43250327654039</v>
      </c>
      <c r="N8237" t="str">
        <f>IFERROR(INDEX(tProdutos[Foco],MATCH(tItens[[#This Row],[Produto]],tProdutos[Produto],0)),"Não")</f>
        <v>Não</v>
      </c>
      <c r="O8237" t="str">
        <f>IFERROR(INDEX(tEditais[SRP],MATCH(tItens[[#This Row],[Edital]],tEditais[Edital],0)),"Não")</f>
        <v>Não</v>
      </c>
      <c r="P8237" s="4">
        <f>IF(COUNTIFS(INDEX(tItens[Edital],1):tItens[[#This Row],[Edital]],tItens[[#This Row],[Edital]],INDEX(tItens[Produto],1):tItens[[#This Row],[Produto]],tItens[[#This Row],[Produto]])=1,1,0)</f>
        <v>1</v>
      </c>
    </row>
    <row r="8238" spans="1:16" x14ac:dyDescent="0.25">
      <c r="A8238" t="s">
        <v>2673</v>
      </c>
      <c r="B8238">
        <v>57</v>
      </c>
      <c r="C8238" t="s">
        <v>4187</v>
      </c>
      <c r="D8238" t="s">
        <v>180</v>
      </c>
      <c r="E8238" s="13">
        <v>1500</v>
      </c>
      <c r="F8238" s="12">
        <v>1.1000000000000001</v>
      </c>
      <c r="G8238" t="str">
        <f>IFERROR(INDEX(tEditais[Órgão],MATCH(tItens[[#This Row],[Edital]],tEditais[Edital],0)),"")</f>
        <v>INSTITUTO FEDERAL DE EDUCACAO, CIENCIA E TECNOLOGIA DE SANTA CATARINA</v>
      </c>
      <c r="H8238" t="str">
        <f>IFERROR(INDEX(tEditais[UF],MATCH(tItens[[#This Row],[Edital]],tEditais[Edital],0)),"")</f>
        <v>SC</v>
      </c>
      <c r="I8238" s="11">
        <f>IFERROR(INDEX(tEditais[Encerramento],MATCH(tItens[[#This Row],[Edital]],tEditais[Edital],0)),"")</f>
        <v>46311.416666666664</v>
      </c>
      <c r="J8238" t="str">
        <f>IFERROR(INDEX(tProdutos[Classe],MATCH(tItens[[#This Row],[Produto]],tProdutos[Produto],0)),"produto não cadastrado")</f>
        <v>DISPUTADO</v>
      </c>
      <c r="K8238" s="12">
        <f>tItens[[#This Row],[Qtd]]*tItens[[#This Row],[Vlr unit]]</f>
        <v>1650.0000000000002</v>
      </c>
      <c r="L8238" s="6">
        <f>IFERROR(IF(INDEX(tProdutos[Desconto homologado],MATCH(tItens[[#This Row],[Produto]],tProdutos[Produto],0))="",DescontoPadrao,INDEX(tProdutos[Desconto homologado],MATCH(tItens[[#This Row],[Produto]],tProdutos[Produto],0))),DescontoPadrao)</f>
        <v>0.33333333333333298</v>
      </c>
      <c r="M8238" s="12">
        <f>tItens[[#This Row],[Valor]]*(1-tItens[[#This Row],[Desconto]])</f>
        <v>1100.0000000000007</v>
      </c>
      <c r="N8238" t="str">
        <f>IFERROR(INDEX(tProdutos[Foco],MATCH(tItens[[#This Row],[Produto]],tProdutos[Produto],0)),"Não")</f>
        <v>Não</v>
      </c>
      <c r="O8238" t="str">
        <f>IFERROR(INDEX(tEditais[SRP],MATCH(tItens[[#This Row],[Edital]],tEditais[Edital],0)),"Não")</f>
        <v>Não</v>
      </c>
      <c r="P8238" s="4">
        <f>IF(COUNTIFS(INDEX(tItens[Edital],1):tItens[[#This Row],[Edital]],tItens[[#This Row],[Edital]],INDEX(tItens[Produto],1):tItens[[#This Row],[Produto]],tItens[[#This Row],[Produto]])=1,1,0)</f>
        <v>1</v>
      </c>
    </row>
    <row r="8239" spans="1:16" x14ac:dyDescent="0.25">
      <c r="A8239" t="s">
        <v>2673</v>
      </c>
      <c r="B8239">
        <v>69</v>
      </c>
      <c r="C8239" t="s">
        <v>10723</v>
      </c>
      <c r="D8239" t="s">
        <v>77</v>
      </c>
      <c r="E8239" s="13">
        <v>6</v>
      </c>
      <c r="F8239" s="12">
        <v>96.24</v>
      </c>
      <c r="G8239" t="str">
        <f>IFERROR(INDEX(tEditais[Órgão],MATCH(tItens[[#This Row],[Edital]],tEditais[Edital],0)),"")</f>
        <v>INSTITUTO FEDERAL DE EDUCACAO, CIENCIA E TECNOLOGIA DE SANTA CATARINA</v>
      </c>
      <c r="H8239" t="str">
        <f>IFERROR(INDEX(tEditais[UF],MATCH(tItens[[#This Row],[Edital]],tEditais[Edital],0)),"")</f>
        <v>SC</v>
      </c>
      <c r="I8239" s="11">
        <f>IFERROR(INDEX(tEditais[Encerramento],MATCH(tItens[[#This Row],[Edital]],tEditais[Edital],0)),"")</f>
        <v>46311.416666666664</v>
      </c>
      <c r="J8239" t="str">
        <f>IFERROR(INDEX(tProdutos[Classe],MATCH(tItens[[#This Row],[Produto]],tProdutos[Produto],0)),"produto não cadastrado")</f>
        <v>DISPUTADO</v>
      </c>
      <c r="K8239" s="12">
        <f>tItens[[#This Row],[Qtd]]*tItens[[#This Row],[Vlr unit]]</f>
        <v>577.43999999999994</v>
      </c>
      <c r="L8239" s="6">
        <f>IFERROR(IF(INDEX(tProdutos[Desconto homologado],MATCH(tItens[[#This Row],[Produto]],tProdutos[Produto],0))="",DescontoPadrao,INDEX(tProdutos[Desconto homologado],MATCH(tItens[[#This Row],[Produto]],tProdutos[Produto],0))),DescontoPadrao)</f>
        <v>0.33</v>
      </c>
      <c r="M8239" s="12">
        <f>tItens[[#This Row],[Valor]]*(1-tItens[[#This Row],[Desconto]])</f>
        <v>386.88479999999993</v>
      </c>
      <c r="N8239" t="str">
        <f>IFERROR(INDEX(tProdutos[Foco],MATCH(tItens[[#This Row],[Produto]],tProdutos[Produto],0)),"Não")</f>
        <v>Sim</v>
      </c>
      <c r="O8239" t="str">
        <f>IFERROR(INDEX(tEditais[SRP],MATCH(tItens[[#This Row],[Edital]],tEditais[Edital],0)),"Não")</f>
        <v>Não</v>
      </c>
      <c r="P8239" s="4">
        <f>IF(COUNTIFS(INDEX(tItens[Edital],1):tItens[[#This Row],[Edital]],tItens[[#This Row],[Edital]],INDEX(tItens[Produto],1):tItens[[#This Row],[Produto]],tItens[[#This Row],[Produto]])=1,1,0)</f>
        <v>1</v>
      </c>
    </row>
    <row r="8240" spans="1:16" x14ac:dyDescent="0.25">
      <c r="A8240" t="s">
        <v>2673</v>
      </c>
      <c r="B8240">
        <v>70</v>
      </c>
      <c r="C8240" t="s">
        <v>4224</v>
      </c>
      <c r="D8240" t="s">
        <v>77</v>
      </c>
      <c r="E8240" s="13">
        <v>97</v>
      </c>
      <c r="F8240" s="12">
        <v>9.01</v>
      </c>
      <c r="G8240" t="str">
        <f>IFERROR(INDEX(tEditais[Órgão],MATCH(tItens[[#This Row],[Edital]],tEditais[Edital],0)),"")</f>
        <v>INSTITUTO FEDERAL DE EDUCACAO, CIENCIA E TECNOLOGIA DE SANTA CATARINA</v>
      </c>
      <c r="H8240" t="str">
        <f>IFERROR(INDEX(tEditais[UF],MATCH(tItens[[#This Row],[Edital]],tEditais[Edital],0)),"")</f>
        <v>SC</v>
      </c>
      <c r="I8240" s="11">
        <f>IFERROR(INDEX(tEditais[Encerramento],MATCH(tItens[[#This Row],[Edital]],tEditais[Edital],0)),"")</f>
        <v>46311.416666666664</v>
      </c>
      <c r="J8240" t="str">
        <f>IFERROR(INDEX(tProdutos[Classe],MATCH(tItens[[#This Row],[Produto]],tProdutos[Produto],0)),"produto não cadastrado")</f>
        <v>DISPUTADO</v>
      </c>
      <c r="K8240" s="12">
        <f>tItens[[#This Row],[Qtd]]*tItens[[#This Row],[Vlr unit]]</f>
        <v>873.97</v>
      </c>
      <c r="L8240" s="6">
        <f>IFERROR(IF(INDEX(tProdutos[Desconto homologado],MATCH(tItens[[#This Row],[Produto]],tProdutos[Produto],0))="",DescontoPadrao,INDEX(tProdutos[Desconto homologado],MATCH(tItens[[#This Row],[Produto]],tProdutos[Produto],0))),DescontoPadrao)</f>
        <v>0.33</v>
      </c>
      <c r="M8240" s="12">
        <f>tItens[[#This Row],[Valor]]*(1-tItens[[#This Row],[Desconto]])</f>
        <v>585.55989999999997</v>
      </c>
      <c r="N8240" t="str">
        <f>IFERROR(INDEX(tProdutos[Foco],MATCH(tItens[[#This Row],[Produto]],tProdutos[Produto],0)),"Não")</f>
        <v>Sim</v>
      </c>
      <c r="O8240" t="str">
        <f>IFERROR(INDEX(tEditais[SRP],MATCH(tItens[[#This Row],[Edital]],tEditais[Edital],0)),"Não")</f>
        <v>Não</v>
      </c>
      <c r="P8240" s="4">
        <f>IF(COUNTIFS(INDEX(tItens[Edital],1):tItens[[#This Row],[Edital]],tItens[[#This Row],[Edital]],INDEX(tItens[Produto],1):tItens[[#This Row],[Produto]],tItens[[#This Row],[Produto]])=1,1,0)</f>
        <v>0</v>
      </c>
    </row>
    <row r="8241" spans="1:16" x14ac:dyDescent="0.25">
      <c r="A8241" t="s">
        <v>2673</v>
      </c>
      <c r="B8241">
        <v>79</v>
      </c>
      <c r="C8241" t="s">
        <v>10724</v>
      </c>
      <c r="D8241" t="s">
        <v>411</v>
      </c>
      <c r="E8241" s="13">
        <v>15</v>
      </c>
      <c r="F8241" s="12">
        <v>35.69</v>
      </c>
      <c r="G8241" t="str">
        <f>IFERROR(INDEX(tEditais[Órgão],MATCH(tItens[[#This Row],[Edital]],tEditais[Edital],0)),"")</f>
        <v>INSTITUTO FEDERAL DE EDUCACAO, CIENCIA E TECNOLOGIA DE SANTA CATARINA</v>
      </c>
      <c r="H8241" t="str">
        <f>IFERROR(INDEX(tEditais[UF],MATCH(tItens[[#This Row],[Edital]],tEditais[Edital],0)),"")</f>
        <v>SC</v>
      </c>
      <c r="I8241" s="11">
        <f>IFERROR(INDEX(tEditais[Encerramento],MATCH(tItens[[#This Row],[Edital]],tEditais[Edital],0)),"")</f>
        <v>46311.416666666664</v>
      </c>
      <c r="J8241" t="str">
        <f>IFERROR(INDEX(tProdutos[Classe],MATCH(tItens[[#This Row],[Produto]],tProdutos[Produto],0)),"produto não cadastrado")</f>
        <v>FORA</v>
      </c>
      <c r="K8241" s="12">
        <f>tItens[[#This Row],[Qtd]]*tItens[[#This Row],[Vlr unit]]</f>
        <v>535.34999999999991</v>
      </c>
      <c r="L8241" s="6">
        <f>IFERROR(IF(INDEX(tProdutos[Desconto homologado],MATCH(tItens[[#This Row],[Produto]],tProdutos[Produto],0))="",DescontoPadrao,INDEX(tProdutos[Desconto homologado],MATCH(tItens[[#This Row],[Produto]],tProdutos[Produto],0))),DescontoPadrao)</f>
        <v>0.50029835957199398</v>
      </c>
      <c r="M8241" s="12">
        <f>tItens[[#This Row],[Valor]]*(1-tItens[[#This Row],[Desconto]])</f>
        <v>267.51527320313301</v>
      </c>
      <c r="N8241" t="str">
        <f>IFERROR(INDEX(tProdutos[Foco],MATCH(tItens[[#This Row],[Produto]],tProdutos[Produto],0)),"Não")</f>
        <v>Não</v>
      </c>
      <c r="O8241" t="str">
        <f>IFERROR(INDEX(tEditais[SRP],MATCH(tItens[[#This Row],[Edital]],tEditais[Edital],0)),"Não")</f>
        <v>Não</v>
      </c>
      <c r="P8241" s="4">
        <f>IF(COUNTIFS(INDEX(tItens[Edital],1):tItens[[#This Row],[Edital]],tItens[[#This Row],[Edital]],INDEX(tItens[Produto],1):tItens[[#This Row],[Produto]],tItens[[#This Row],[Produto]])=1,1,0)</f>
        <v>1</v>
      </c>
    </row>
    <row r="8242" spans="1:16" x14ac:dyDescent="0.25">
      <c r="A8242" t="s">
        <v>2673</v>
      </c>
      <c r="B8242">
        <v>86</v>
      </c>
      <c r="C8242" t="s">
        <v>10725</v>
      </c>
      <c r="D8242" t="s">
        <v>273</v>
      </c>
      <c r="E8242" s="13">
        <v>5</v>
      </c>
      <c r="F8242" s="12">
        <v>140.25</v>
      </c>
      <c r="G8242" t="str">
        <f>IFERROR(INDEX(tEditais[Órgão],MATCH(tItens[[#This Row],[Edital]],tEditais[Edital],0)),"")</f>
        <v>INSTITUTO FEDERAL DE EDUCACAO, CIENCIA E TECNOLOGIA DE SANTA CATARINA</v>
      </c>
      <c r="H8242" t="str">
        <f>IFERROR(INDEX(tEditais[UF],MATCH(tItens[[#This Row],[Edital]],tEditais[Edital],0)),"")</f>
        <v>SC</v>
      </c>
      <c r="I8242" s="11">
        <f>IFERROR(INDEX(tEditais[Encerramento],MATCH(tItens[[#This Row],[Edital]],tEditais[Edital],0)),"")</f>
        <v>46311.416666666664</v>
      </c>
      <c r="J8242" t="str">
        <f>IFERROR(INDEX(tProdutos[Classe],MATCH(tItens[[#This Row],[Produto]],tProdutos[Produto],0)),"produto não cadastrado")</f>
        <v>FORA</v>
      </c>
      <c r="K8242" s="12">
        <f>tItens[[#This Row],[Qtd]]*tItens[[#This Row],[Vlr unit]]</f>
        <v>701.25</v>
      </c>
      <c r="L8242" s="6">
        <f>IFERROR(IF(INDEX(tProdutos[Desconto homologado],MATCH(tItens[[#This Row],[Produto]],tProdutos[Produto],0))="",DescontoPadrao,INDEX(tProdutos[Desconto homologado],MATCH(tItens[[#This Row],[Produto]],tProdutos[Produto],0))),DescontoPadrao)</f>
        <v>0.33168166649812902</v>
      </c>
      <c r="M8242" s="12">
        <f>tItens[[#This Row],[Valor]]*(1-tItens[[#This Row],[Desconto]])</f>
        <v>468.65823136818705</v>
      </c>
      <c r="N8242" t="str">
        <f>IFERROR(INDEX(tProdutos[Foco],MATCH(tItens[[#This Row],[Produto]],tProdutos[Produto],0)),"Não")</f>
        <v>Não</v>
      </c>
      <c r="O8242" t="str">
        <f>IFERROR(INDEX(tEditais[SRP],MATCH(tItens[[#This Row],[Edital]],tEditais[Edital],0)),"Não")</f>
        <v>Não</v>
      </c>
      <c r="P8242" s="4">
        <f>IF(COUNTIFS(INDEX(tItens[Edital],1):tItens[[#This Row],[Edital]],tItens[[#This Row],[Edital]],INDEX(tItens[Produto],1):tItens[[#This Row],[Produto]],tItens[[#This Row],[Produto]])=1,1,0)</f>
        <v>1</v>
      </c>
    </row>
    <row r="8243" spans="1:16" x14ac:dyDescent="0.25">
      <c r="A8243" t="s">
        <v>2673</v>
      </c>
      <c r="B8243">
        <v>90</v>
      </c>
      <c r="C8243" t="s">
        <v>3476</v>
      </c>
      <c r="D8243" t="s">
        <v>413</v>
      </c>
      <c r="E8243" s="13">
        <v>300</v>
      </c>
      <c r="F8243" s="12">
        <v>2.41</v>
      </c>
      <c r="G8243" t="str">
        <f>IFERROR(INDEX(tEditais[Órgão],MATCH(tItens[[#This Row],[Edital]],tEditais[Edital],0)),"")</f>
        <v>INSTITUTO FEDERAL DE EDUCACAO, CIENCIA E TECNOLOGIA DE SANTA CATARINA</v>
      </c>
      <c r="H8243" t="str">
        <f>IFERROR(INDEX(tEditais[UF],MATCH(tItens[[#This Row],[Edital]],tEditais[Edital],0)),"")</f>
        <v>SC</v>
      </c>
      <c r="I8243" s="11">
        <f>IFERROR(INDEX(tEditais[Encerramento],MATCH(tItens[[#This Row],[Edital]],tEditais[Edital],0)),"")</f>
        <v>46311.416666666664</v>
      </c>
      <c r="J8243" t="str">
        <f>IFERROR(INDEX(tProdutos[Classe],MATCH(tItens[[#This Row],[Produto]],tProdutos[Produto],0)),"produto não cadastrado")</f>
        <v>FORA</v>
      </c>
      <c r="K8243" s="12">
        <f>tItens[[#This Row],[Qtd]]*tItens[[#This Row],[Vlr unit]]</f>
        <v>723</v>
      </c>
      <c r="L8243" s="6">
        <f>IFERROR(IF(INDEX(tProdutos[Desconto homologado],MATCH(tItens[[#This Row],[Produto]],tProdutos[Produto],0))="",DescontoPadrao,INDEX(tProdutos[Desconto homologado],MATCH(tItens[[#This Row],[Produto]],tProdutos[Produto],0))),DescontoPadrao)</f>
        <v>0.477732793522267</v>
      </c>
      <c r="M8243" s="12">
        <f>tItens[[#This Row],[Valor]]*(1-tItens[[#This Row],[Desconto]])</f>
        <v>377.5991902834009</v>
      </c>
      <c r="N8243" t="str">
        <f>IFERROR(INDEX(tProdutos[Foco],MATCH(tItens[[#This Row],[Produto]],tProdutos[Produto],0)),"Não")</f>
        <v>Não</v>
      </c>
      <c r="O8243" t="str">
        <f>IFERROR(INDEX(tEditais[SRP],MATCH(tItens[[#This Row],[Edital]],tEditais[Edital],0)),"Não")</f>
        <v>Não</v>
      </c>
      <c r="P8243" s="4">
        <f>IF(COUNTIFS(INDEX(tItens[Edital],1):tItens[[#This Row],[Edital]],tItens[[#This Row],[Edital]],INDEX(tItens[Produto],1):tItens[[#This Row],[Produto]],tItens[[#This Row],[Produto]])=1,1,0)</f>
        <v>1</v>
      </c>
    </row>
    <row r="8244" spans="1:16" x14ac:dyDescent="0.25">
      <c r="A8244" t="s">
        <v>2673</v>
      </c>
      <c r="B8244">
        <v>91</v>
      </c>
      <c r="C8244" t="s">
        <v>9131</v>
      </c>
      <c r="D8244" t="s">
        <v>413</v>
      </c>
      <c r="E8244" s="13">
        <v>300</v>
      </c>
      <c r="F8244" s="12">
        <v>2.3199999999999998</v>
      </c>
      <c r="G8244" t="str">
        <f>IFERROR(INDEX(tEditais[Órgão],MATCH(tItens[[#This Row],[Edital]],tEditais[Edital],0)),"")</f>
        <v>INSTITUTO FEDERAL DE EDUCACAO, CIENCIA E TECNOLOGIA DE SANTA CATARINA</v>
      </c>
      <c r="H8244" t="str">
        <f>IFERROR(INDEX(tEditais[UF],MATCH(tItens[[#This Row],[Edital]],tEditais[Edital],0)),"")</f>
        <v>SC</v>
      </c>
      <c r="I8244" s="11">
        <f>IFERROR(INDEX(tEditais[Encerramento],MATCH(tItens[[#This Row],[Edital]],tEditais[Edital],0)),"")</f>
        <v>46311.416666666664</v>
      </c>
      <c r="J8244" t="str">
        <f>IFERROR(INDEX(tProdutos[Classe],MATCH(tItens[[#This Row],[Produto]],tProdutos[Produto],0)),"produto não cadastrado")</f>
        <v>FORA</v>
      </c>
      <c r="K8244" s="12">
        <f>tItens[[#This Row],[Qtd]]*tItens[[#This Row],[Vlr unit]]</f>
        <v>696</v>
      </c>
      <c r="L8244" s="6">
        <f>IFERROR(IF(INDEX(tProdutos[Desconto homologado],MATCH(tItens[[#This Row],[Produto]],tProdutos[Produto],0))="",DescontoPadrao,INDEX(tProdutos[Desconto homologado],MATCH(tItens[[#This Row],[Produto]],tProdutos[Produto],0))),DescontoPadrao)</f>
        <v>0.477732793522267</v>
      </c>
      <c r="M8244" s="12">
        <f>tItens[[#This Row],[Valor]]*(1-tItens[[#This Row],[Desconto]])</f>
        <v>363.49797570850211</v>
      </c>
      <c r="N8244" t="str">
        <f>IFERROR(INDEX(tProdutos[Foco],MATCH(tItens[[#This Row],[Produto]],tProdutos[Produto],0)),"Não")</f>
        <v>Não</v>
      </c>
      <c r="O8244" t="str">
        <f>IFERROR(INDEX(tEditais[SRP],MATCH(tItens[[#This Row],[Edital]],tEditais[Edital],0)),"Não")</f>
        <v>Não</v>
      </c>
      <c r="P8244" s="4">
        <f>IF(COUNTIFS(INDEX(tItens[Edital],1):tItens[[#This Row],[Edital]],tItens[[#This Row],[Edital]],INDEX(tItens[Produto],1):tItens[[#This Row],[Produto]],tItens[[#This Row],[Produto]])=1,1,0)</f>
        <v>0</v>
      </c>
    </row>
    <row r="8245" spans="1:16" x14ac:dyDescent="0.25">
      <c r="A8245" t="s">
        <v>2673</v>
      </c>
      <c r="B8245">
        <v>92</v>
      </c>
      <c r="C8245" t="s">
        <v>10726</v>
      </c>
      <c r="D8245" t="s">
        <v>413</v>
      </c>
      <c r="E8245" s="13">
        <v>300</v>
      </c>
      <c r="F8245" s="12">
        <v>2.39</v>
      </c>
      <c r="G8245" t="str">
        <f>IFERROR(INDEX(tEditais[Órgão],MATCH(tItens[[#This Row],[Edital]],tEditais[Edital],0)),"")</f>
        <v>INSTITUTO FEDERAL DE EDUCACAO, CIENCIA E TECNOLOGIA DE SANTA CATARINA</v>
      </c>
      <c r="H8245" t="str">
        <f>IFERROR(INDEX(tEditais[UF],MATCH(tItens[[#This Row],[Edital]],tEditais[Edital],0)),"")</f>
        <v>SC</v>
      </c>
      <c r="I8245" s="11">
        <f>IFERROR(INDEX(tEditais[Encerramento],MATCH(tItens[[#This Row],[Edital]],tEditais[Edital],0)),"")</f>
        <v>46311.416666666664</v>
      </c>
      <c r="J8245" t="str">
        <f>IFERROR(INDEX(tProdutos[Classe],MATCH(tItens[[#This Row],[Produto]],tProdutos[Produto],0)),"produto não cadastrado")</f>
        <v>FORA</v>
      </c>
      <c r="K8245" s="12">
        <f>tItens[[#This Row],[Qtd]]*tItens[[#This Row],[Vlr unit]]</f>
        <v>717</v>
      </c>
      <c r="L8245" s="6">
        <f>IFERROR(IF(INDEX(tProdutos[Desconto homologado],MATCH(tItens[[#This Row],[Produto]],tProdutos[Produto],0))="",DescontoPadrao,INDEX(tProdutos[Desconto homologado],MATCH(tItens[[#This Row],[Produto]],tProdutos[Produto],0))),DescontoPadrao)</f>
        <v>0.477732793522267</v>
      </c>
      <c r="M8245" s="12">
        <f>tItens[[#This Row],[Valor]]*(1-tItens[[#This Row],[Desconto]])</f>
        <v>374.46558704453452</v>
      </c>
      <c r="N8245" t="str">
        <f>IFERROR(INDEX(tProdutos[Foco],MATCH(tItens[[#This Row],[Produto]],tProdutos[Produto],0)),"Não")</f>
        <v>Não</v>
      </c>
      <c r="O8245" t="str">
        <f>IFERROR(INDEX(tEditais[SRP],MATCH(tItens[[#This Row],[Edital]],tEditais[Edital],0)),"Não")</f>
        <v>Não</v>
      </c>
      <c r="P8245" s="4">
        <f>IF(COUNTIFS(INDEX(tItens[Edital],1):tItens[[#This Row],[Edital]],tItens[[#This Row],[Edital]],INDEX(tItens[Produto],1):tItens[[#This Row],[Produto]],tItens[[#This Row],[Produto]])=1,1,0)</f>
        <v>0</v>
      </c>
    </row>
    <row r="8246" spans="1:16" x14ac:dyDescent="0.25">
      <c r="A8246" t="s">
        <v>2673</v>
      </c>
      <c r="B8246">
        <v>93</v>
      </c>
      <c r="C8246" t="s">
        <v>10021</v>
      </c>
      <c r="D8246" t="s">
        <v>313</v>
      </c>
      <c r="E8246" s="13">
        <v>51</v>
      </c>
      <c r="F8246" s="12">
        <v>37</v>
      </c>
      <c r="G8246" t="str">
        <f>IFERROR(INDEX(tEditais[Órgão],MATCH(tItens[[#This Row],[Edital]],tEditais[Edital],0)),"")</f>
        <v>INSTITUTO FEDERAL DE EDUCACAO, CIENCIA E TECNOLOGIA DE SANTA CATARINA</v>
      </c>
      <c r="H8246" t="str">
        <f>IFERROR(INDEX(tEditais[UF],MATCH(tItens[[#This Row],[Edital]],tEditais[Edital],0)),"")</f>
        <v>SC</v>
      </c>
      <c r="I8246" s="11">
        <f>IFERROR(INDEX(tEditais[Encerramento],MATCH(tItens[[#This Row],[Edital]],tEditais[Edital],0)),"")</f>
        <v>46311.416666666664</v>
      </c>
      <c r="J8246" t="str">
        <f>IFERROR(INDEX(tProdutos[Classe],MATCH(tItens[[#This Row],[Produto]],tProdutos[Produto],0)),"produto não cadastrado")</f>
        <v>FORA</v>
      </c>
      <c r="K8246" s="12">
        <f>tItens[[#This Row],[Qtd]]*tItens[[#This Row],[Vlr unit]]</f>
        <v>1887</v>
      </c>
      <c r="L8246" s="6">
        <f>IFERROR(IF(INDEX(tProdutos[Desconto homologado],MATCH(tItens[[#This Row],[Produto]],tProdutos[Produto],0))="",DescontoPadrao,INDEX(tProdutos[Desconto homologado],MATCH(tItens[[#This Row],[Produto]],tProdutos[Produto],0))),DescontoPadrao)</f>
        <v>0.35766373163696302</v>
      </c>
      <c r="M8246" s="12">
        <f>tItens[[#This Row],[Valor]]*(1-tItens[[#This Row],[Desconto]])</f>
        <v>1212.0885384010508</v>
      </c>
      <c r="N8246" t="str">
        <f>IFERROR(INDEX(tProdutos[Foco],MATCH(tItens[[#This Row],[Produto]],tProdutos[Produto],0)),"Não")</f>
        <v>Não</v>
      </c>
      <c r="O8246" t="str">
        <f>IFERROR(INDEX(tEditais[SRP],MATCH(tItens[[#This Row],[Edital]],tEditais[Edital],0)),"Não")</f>
        <v>Não</v>
      </c>
      <c r="P8246" s="4">
        <f>IF(COUNTIFS(INDEX(tItens[Edital],1):tItens[[#This Row],[Edital]],tItens[[#This Row],[Edital]],INDEX(tItens[Produto],1):tItens[[#This Row],[Produto]],tItens[[#This Row],[Produto]])=1,1,0)</f>
        <v>1</v>
      </c>
    </row>
    <row r="8247" spans="1:16" x14ac:dyDescent="0.25">
      <c r="A8247" t="s">
        <v>2673</v>
      </c>
      <c r="B8247">
        <v>94</v>
      </c>
      <c r="C8247" t="s">
        <v>3331</v>
      </c>
      <c r="D8247" t="s">
        <v>313</v>
      </c>
      <c r="E8247" s="13">
        <v>82</v>
      </c>
      <c r="F8247" s="12">
        <v>36.049999999999997</v>
      </c>
      <c r="G8247" t="str">
        <f>IFERROR(INDEX(tEditais[Órgão],MATCH(tItens[[#This Row],[Edital]],tEditais[Edital],0)),"")</f>
        <v>INSTITUTO FEDERAL DE EDUCACAO, CIENCIA E TECNOLOGIA DE SANTA CATARINA</v>
      </c>
      <c r="H8247" t="str">
        <f>IFERROR(INDEX(tEditais[UF],MATCH(tItens[[#This Row],[Edital]],tEditais[Edital],0)),"")</f>
        <v>SC</v>
      </c>
      <c r="I8247" s="11">
        <f>IFERROR(INDEX(tEditais[Encerramento],MATCH(tItens[[#This Row],[Edital]],tEditais[Edital],0)),"")</f>
        <v>46311.416666666664</v>
      </c>
      <c r="J8247" t="str">
        <f>IFERROR(INDEX(tProdutos[Classe],MATCH(tItens[[#This Row],[Produto]],tProdutos[Produto],0)),"produto não cadastrado")</f>
        <v>FORA</v>
      </c>
      <c r="K8247" s="12">
        <f>tItens[[#This Row],[Qtd]]*tItens[[#This Row],[Vlr unit]]</f>
        <v>2956.1</v>
      </c>
      <c r="L8247" s="6">
        <f>IFERROR(IF(INDEX(tProdutos[Desconto homologado],MATCH(tItens[[#This Row],[Produto]],tProdutos[Produto],0))="",DescontoPadrao,INDEX(tProdutos[Desconto homologado],MATCH(tItens[[#This Row],[Produto]],tProdutos[Produto],0))),DescontoPadrao)</f>
        <v>0.35766373163696302</v>
      </c>
      <c r="M8247" s="12">
        <f>tItens[[#This Row],[Valor]]*(1-tItens[[#This Row],[Desconto]])</f>
        <v>1898.8102429079734</v>
      </c>
      <c r="N8247" t="str">
        <f>IFERROR(INDEX(tProdutos[Foco],MATCH(tItens[[#This Row],[Produto]],tProdutos[Produto],0)),"Não")</f>
        <v>Não</v>
      </c>
      <c r="O8247" t="str">
        <f>IFERROR(INDEX(tEditais[SRP],MATCH(tItens[[#This Row],[Edital]],tEditais[Edital],0)),"Não")</f>
        <v>Não</v>
      </c>
      <c r="P8247" s="4">
        <f>IF(COUNTIFS(INDEX(tItens[Edital],1):tItens[[#This Row],[Edital]],tItens[[#This Row],[Edital]],INDEX(tItens[Produto],1):tItens[[#This Row],[Produto]],tItens[[#This Row],[Produto]])=1,1,0)</f>
        <v>0</v>
      </c>
    </row>
    <row r="8248" spans="1:16" x14ac:dyDescent="0.25">
      <c r="A8248" t="s">
        <v>2673</v>
      </c>
      <c r="B8248">
        <v>95</v>
      </c>
      <c r="C8248" t="s">
        <v>3330</v>
      </c>
      <c r="D8248" t="s">
        <v>313</v>
      </c>
      <c r="E8248" s="13">
        <v>70</v>
      </c>
      <c r="F8248" s="12">
        <v>33.39</v>
      </c>
      <c r="G8248" t="str">
        <f>IFERROR(INDEX(tEditais[Órgão],MATCH(tItens[[#This Row],[Edital]],tEditais[Edital],0)),"")</f>
        <v>INSTITUTO FEDERAL DE EDUCACAO, CIENCIA E TECNOLOGIA DE SANTA CATARINA</v>
      </c>
      <c r="H8248" t="str">
        <f>IFERROR(INDEX(tEditais[UF],MATCH(tItens[[#This Row],[Edital]],tEditais[Edital],0)),"")</f>
        <v>SC</v>
      </c>
      <c r="I8248" s="11">
        <f>IFERROR(INDEX(tEditais[Encerramento],MATCH(tItens[[#This Row],[Edital]],tEditais[Edital],0)),"")</f>
        <v>46311.416666666664</v>
      </c>
      <c r="J8248" t="str">
        <f>IFERROR(INDEX(tProdutos[Classe],MATCH(tItens[[#This Row],[Produto]],tProdutos[Produto],0)),"produto não cadastrado")</f>
        <v>FORA</v>
      </c>
      <c r="K8248" s="12">
        <f>tItens[[#This Row],[Qtd]]*tItens[[#This Row],[Vlr unit]]</f>
        <v>2337.3000000000002</v>
      </c>
      <c r="L8248" s="6">
        <f>IFERROR(IF(INDEX(tProdutos[Desconto homologado],MATCH(tItens[[#This Row],[Produto]],tProdutos[Produto],0))="",DescontoPadrao,INDEX(tProdutos[Desconto homologado],MATCH(tItens[[#This Row],[Produto]],tProdutos[Produto],0))),DescontoPadrao)</f>
        <v>0.35766373163696302</v>
      </c>
      <c r="M8248" s="12">
        <f>tItens[[#This Row],[Valor]]*(1-tItens[[#This Row],[Desconto]])</f>
        <v>1501.3325600449264</v>
      </c>
      <c r="N8248" t="str">
        <f>IFERROR(INDEX(tProdutos[Foco],MATCH(tItens[[#This Row],[Produto]],tProdutos[Produto],0)),"Não")</f>
        <v>Não</v>
      </c>
      <c r="O8248" t="str">
        <f>IFERROR(INDEX(tEditais[SRP],MATCH(tItens[[#This Row],[Edital]],tEditais[Edital],0)),"Não")</f>
        <v>Não</v>
      </c>
      <c r="P8248" s="4">
        <f>IF(COUNTIFS(INDEX(tItens[Edital],1):tItens[[#This Row],[Edital]],tItens[[#This Row],[Edital]],INDEX(tItens[Produto],1):tItens[[#This Row],[Produto]],tItens[[#This Row],[Produto]])=1,1,0)</f>
        <v>0</v>
      </c>
    </row>
    <row r="8249" spans="1:16" x14ac:dyDescent="0.25">
      <c r="A8249" t="s">
        <v>2673</v>
      </c>
      <c r="B8249">
        <v>98</v>
      </c>
      <c r="C8249" t="s">
        <v>10727</v>
      </c>
      <c r="D8249" t="s">
        <v>313</v>
      </c>
      <c r="E8249" s="13">
        <v>35</v>
      </c>
      <c r="F8249" s="12">
        <v>29.3</v>
      </c>
      <c r="G8249" t="str">
        <f>IFERROR(INDEX(tEditais[Órgão],MATCH(tItens[[#This Row],[Edital]],tEditais[Edital],0)),"")</f>
        <v>INSTITUTO FEDERAL DE EDUCACAO, CIENCIA E TECNOLOGIA DE SANTA CATARINA</v>
      </c>
      <c r="H8249" t="str">
        <f>IFERROR(INDEX(tEditais[UF],MATCH(tItens[[#This Row],[Edital]],tEditais[Edital],0)),"")</f>
        <v>SC</v>
      </c>
      <c r="I8249" s="11">
        <f>IFERROR(INDEX(tEditais[Encerramento],MATCH(tItens[[#This Row],[Edital]],tEditais[Edital],0)),"")</f>
        <v>46311.416666666664</v>
      </c>
      <c r="J8249" t="str">
        <f>IFERROR(INDEX(tProdutos[Classe],MATCH(tItens[[#This Row],[Produto]],tProdutos[Produto],0)),"produto não cadastrado")</f>
        <v>FORA</v>
      </c>
      <c r="K8249" s="12">
        <f>tItens[[#This Row],[Qtd]]*tItens[[#This Row],[Vlr unit]]</f>
        <v>1025.5</v>
      </c>
      <c r="L8249" s="6">
        <f>IFERROR(IF(INDEX(tProdutos[Desconto homologado],MATCH(tItens[[#This Row],[Produto]],tProdutos[Produto],0))="",DescontoPadrao,INDEX(tProdutos[Desconto homologado],MATCH(tItens[[#This Row],[Produto]],tProdutos[Produto],0))),DescontoPadrao)</f>
        <v>0.35766373163696302</v>
      </c>
      <c r="M8249" s="12">
        <f>tItens[[#This Row],[Valor]]*(1-tItens[[#This Row],[Desconto]])</f>
        <v>658.71584320629438</v>
      </c>
      <c r="N8249" t="str">
        <f>IFERROR(INDEX(tProdutos[Foco],MATCH(tItens[[#This Row],[Produto]],tProdutos[Produto],0)),"Não")</f>
        <v>Não</v>
      </c>
      <c r="O8249" t="str">
        <f>IFERROR(INDEX(tEditais[SRP],MATCH(tItens[[#This Row],[Edital]],tEditais[Edital],0)),"Não")</f>
        <v>Não</v>
      </c>
      <c r="P8249" s="4">
        <f>IF(COUNTIFS(INDEX(tItens[Edital],1):tItens[[#This Row],[Edital]],tItens[[#This Row],[Edital]],INDEX(tItens[Produto],1):tItens[[#This Row],[Produto]],tItens[[#This Row],[Produto]])=1,1,0)</f>
        <v>0</v>
      </c>
    </row>
    <row r="8250" spans="1:16" x14ac:dyDescent="0.25">
      <c r="A8250" t="s">
        <v>2673</v>
      </c>
      <c r="B8250">
        <v>99</v>
      </c>
      <c r="C8250" t="s">
        <v>7239</v>
      </c>
      <c r="D8250" t="s">
        <v>455</v>
      </c>
      <c r="E8250" s="13">
        <v>2</v>
      </c>
      <c r="F8250" s="12">
        <v>102.93</v>
      </c>
      <c r="G8250" t="str">
        <f>IFERROR(INDEX(tEditais[Órgão],MATCH(tItens[[#This Row],[Edital]],tEditais[Edital],0)),"")</f>
        <v>INSTITUTO FEDERAL DE EDUCACAO, CIENCIA E TECNOLOGIA DE SANTA CATARINA</v>
      </c>
      <c r="H8250" t="str">
        <f>IFERROR(INDEX(tEditais[UF],MATCH(tItens[[#This Row],[Edital]],tEditais[Edital],0)),"")</f>
        <v>SC</v>
      </c>
      <c r="I8250" s="11">
        <f>IFERROR(INDEX(tEditais[Encerramento],MATCH(tItens[[#This Row],[Edital]],tEditais[Edital],0)),"")</f>
        <v>46311.416666666664</v>
      </c>
      <c r="J8250" t="str">
        <f>IFERROR(INDEX(tProdutos[Classe],MATCH(tItens[[#This Row],[Produto]],tProdutos[Produto],0)),"produto não cadastrado")</f>
        <v>FILA REBASE</v>
      </c>
      <c r="K8250" s="12">
        <f>tItens[[#This Row],[Qtd]]*tItens[[#This Row],[Vlr unit]]</f>
        <v>205.86</v>
      </c>
      <c r="L8250" s="6">
        <f>IFERROR(IF(INDEX(tProdutos[Desconto homologado],MATCH(tItens[[#This Row],[Produto]],tProdutos[Produto],0))="",DescontoPadrao,INDEX(tProdutos[Desconto homologado],MATCH(tItens[[#This Row],[Produto]],tProdutos[Produto],0))),DescontoPadrao)</f>
        <v>0.29595946765523801</v>
      </c>
      <c r="M8250" s="12">
        <f>tItens[[#This Row],[Valor]]*(1-tItens[[#This Row],[Desconto]])</f>
        <v>144.93378398849273</v>
      </c>
      <c r="N8250" t="str">
        <f>IFERROR(INDEX(tProdutos[Foco],MATCH(tItens[[#This Row],[Produto]],tProdutos[Produto],0)),"Não")</f>
        <v>Não</v>
      </c>
      <c r="O8250" t="str">
        <f>IFERROR(INDEX(tEditais[SRP],MATCH(tItens[[#This Row],[Edital]],tEditais[Edital],0)),"Não")</f>
        <v>Não</v>
      </c>
      <c r="P8250" s="4">
        <f>IF(COUNTIFS(INDEX(tItens[Edital],1):tItens[[#This Row],[Edital]],tItens[[#This Row],[Edital]],INDEX(tItens[Produto],1):tItens[[#This Row],[Produto]],tItens[[#This Row],[Produto]])=1,1,0)</f>
        <v>1</v>
      </c>
    </row>
    <row r="8251" spans="1:16" x14ac:dyDescent="0.25">
      <c r="A8251" t="s">
        <v>2673</v>
      </c>
      <c r="B8251">
        <v>127</v>
      </c>
      <c r="C8251" t="s">
        <v>10404</v>
      </c>
      <c r="D8251" t="s">
        <v>164</v>
      </c>
      <c r="E8251" s="13">
        <v>20</v>
      </c>
      <c r="F8251" s="12">
        <v>15.59</v>
      </c>
      <c r="G8251" t="str">
        <f>IFERROR(INDEX(tEditais[Órgão],MATCH(tItens[[#This Row],[Edital]],tEditais[Edital],0)),"")</f>
        <v>INSTITUTO FEDERAL DE EDUCACAO, CIENCIA E TECNOLOGIA DE SANTA CATARINA</v>
      </c>
      <c r="H8251" t="str">
        <f>IFERROR(INDEX(tEditais[UF],MATCH(tItens[[#This Row],[Edital]],tEditais[Edital],0)),"")</f>
        <v>SC</v>
      </c>
      <c r="I8251" s="11">
        <f>IFERROR(INDEX(tEditais[Encerramento],MATCH(tItens[[#This Row],[Edital]],tEditais[Edital],0)),"")</f>
        <v>46311.416666666664</v>
      </c>
      <c r="J8251" t="str">
        <f>IFERROR(INDEX(tProdutos[Classe],MATCH(tItens[[#This Row],[Produto]],tProdutos[Produto],0)),"produto não cadastrado")</f>
        <v>DISPUTADO</v>
      </c>
      <c r="K8251" s="12">
        <f>tItens[[#This Row],[Qtd]]*tItens[[#This Row],[Vlr unit]]</f>
        <v>311.8</v>
      </c>
      <c r="L8251" s="6">
        <f>IFERROR(IF(INDEX(tProdutos[Desconto homologado],MATCH(tItens[[#This Row],[Produto]],tProdutos[Produto],0))="",DescontoPadrao,INDEX(tProdutos[Desconto homologado],MATCH(tItens[[#This Row],[Produto]],tProdutos[Produto],0))),DescontoPadrao)</f>
        <v>0.445300462249615</v>
      </c>
      <c r="M8251" s="12">
        <f>tItens[[#This Row],[Valor]]*(1-tItens[[#This Row],[Desconto]])</f>
        <v>172.95531587057002</v>
      </c>
      <c r="N8251" t="str">
        <f>IFERROR(INDEX(tProdutos[Foco],MATCH(tItens[[#This Row],[Produto]],tProdutos[Produto],0)),"Não")</f>
        <v>Não</v>
      </c>
      <c r="O8251" t="str">
        <f>IFERROR(INDEX(tEditais[SRP],MATCH(tItens[[#This Row],[Edital]],tEditais[Edital],0)),"Não")</f>
        <v>Não</v>
      </c>
      <c r="P8251" s="4">
        <f>IF(COUNTIFS(INDEX(tItens[Edital],1):tItens[[#This Row],[Edital]],tItens[[#This Row],[Edital]],INDEX(tItens[Produto],1):tItens[[#This Row],[Produto]],tItens[[#This Row],[Produto]])=1,1,0)</f>
        <v>1</v>
      </c>
    </row>
    <row r="8252" spans="1:16" x14ac:dyDescent="0.25">
      <c r="A8252" t="s">
        <v>2673</v>
      </c>
      <c r="B8252">
        <v>128</v>
      </c>
      <c r="C8252" t="s">
        <v>4238</v>
      </c>
      <c r="D8252" t="s">
        <v>164</v>
      </c>
      <c r="E8252" s="13">
        <v>20</v>
      </c>
      <c r="F8252" s="12">
        <v>17.170000000000002</v>
      </c>
      <c r="G8252" t="str">
        <f>IFERROR(INDEX(tEditais[Órgão],MATCH(tItens[[#This Row],[Edital]],tEditais[Edital],0)),"")</f>
        <v>INSTITUTO FEDERAL DE EDUCACAO, CIENCIA E TECNOLOGIA DE SANTA CATARINA</v>
      </c>
      <c r="H8252" t="str">
        <f>IFERROR(INDEX(tEditais[UF],MATCH(tItens[[#This Row],[Edital]],tEditais[Edital],0)),"")</f>
        <v>SC</v>
      </c>
      <c r="I8252" s="11">
        <f>IFERROR(INDEX(tEditais[Encerramento],MATCH(tItens[[#This Row],[Edital]],tEditais[Edital],0)),"")</f>
        <v>46311.416666666664</v>
      </c>
      <c r="J8252" t="str">
        <f>IFERROR(INDEX(tProdutos[Classe],MATCH(tItens[[#This Row],[Produto]],tProdutos[Produto],0)),"produto não cadastrado")</f>
        <v>DISPUTADO</v>
      </c>
      <c r="K8252" s="12">
        <f>tItens[[#This Row],[Qtd]]*tItens[[#This Row],[Vlr unit]]</f>
        <v>343.40000000000003</v>
      </c>
      <c r="L8252" s="6">
        <f>IFERROR(IF(INDEX(tProdutos[Desconto homologado],MATCH(tItens[[#This Row],[Produto]],tProdutos[Produto],0))="",DescontoPadrao,INDEX(tProdutos[Desconto homologado],MATCH(tItens[[#This Row],[Produto]],tProdutos[Produto],0))),DescontoPadrao)</f>
        <v>0.445300462249615</v>
      </c>
      <c r="M8252" s="12">
        <f>tItens[[#This Row],[Valor]]*(1-tItens[[#This Row],[Desconto]])</f>
        <v>190.48382126348221</v>
      </c>
      <c r="N8252" t="str">
        <f>IFERROR(INDEX(tProdutos[Foco],MATCH(tItens[[#This Row],[Produto]],tProdutos[Produto],0)),"Não")</f>
        <v>Não</v>
      </c>
      <c r="O8252" t="str">
        <f>IFERROR(INDEX(tEditais[SRP],MATCH(tItens[[#This Row],[Edital]],tEditais[Edital],0)),"Não")</f>
        <v>Não</v>
      </c>
      <c r="P8252" s="4">
        <f>IF(COUNTIFS(INDEX(tItens[Edital],1):tItens[[#This Row],[Edital]],tItens[[#This Row],[Edital]],INDEX(tItens[Produto],1):tItens[[#This Row],[Produto]],tItens[[#This Row],[Produto]])=1,1,0)</f>
        <v>0</v>
      </c>
    </row>
    <row r="8253" spans="1:16" x14ac:dyDescent="0.25">
      <c r="A8253" t="s">
        <v>2673</v>
      </c>
      <c r="B8253">
        <v>129</v>
      </c>
      <c r="C8253" t="s">
        <v>9434</v>
      </c>
      <c r="D8253" t="s">
        <v>164</v>
      </c>
      <c r="E8253" s="13">
        <v>20</v>
      </c>
      <c r="F8253" s="12">
        <v>20.32</v>
      </c>
      <c r="G8253" t="str">
        <f>IFERROR(INDEX(tEditais[Órgão],MATCH(tItens[[#This Row],[Edital]],tEditais[Edital],0)),"")</f>
        <v>INSTITUTO FEDERAL DE EDUCACAO, CIENCIA E TECNOLOGIA DE SANTA CATARINA</v>
      </c>
      <c r="H8253" t="str">
        <f>IFERROR(INDEX(tEditais[UF],MATCH(tItens[[#This Row],[Edital]],tEditais[Edital],0)),"")</f>
        <v>SC</v>
      </c>
      <c r="I8253" s="11">
        <f>IFERROR(INDEX(tEditais[Encerramento],MATCH(tItens[[#This Row],[Edital]],tEditais[Edital],0)),"")</f>
        <v>46311.416666666664</v>
      </c>
      <c r="J8253" t="str">
        <f>IFERROR(INDEX(tProdutos[Classe],MATCH(tItens[[#This Row],[Produto]],tProdutos[Produto],0)),"produto não cadastrado")</f>
        <v>DISPUTADO</v>
      </c>
      <c r="K8253" s="12">
        <f>tItens[[#This Row],[Qtd]]*tItens[[#This Row],[Vlr unit]]</f>
        <v>406.4</v>
      </c>
      <c r="L8253" s="6">
        <f>IFERROR(IF(INDEX(tProdutos[Desconto homologado],MATCH(tItens[[#This Row],[Produto]],tProdutos[Produto],0))="",DescontoPadrao,INDEX(tProdutos[Desconto homologado],MATCH(tItens[[#This Row],[Produto]],tProdutos[Produto],0))),DescontoPadrao)</f>
        <v>0.445300462249615</v>
      </c>
      <c r="M8253" s="12">
        <f>tItens[[#This Row],[Valor]]*(1-tItens[[#This Row],[Desconto]])</f>
        <v>225.42989214175643</v>
      </c>
      <c r="N8253" t="str">
        <f>IFERROR(INDEX(tProdutos[Foco],MATCH(tItens[[#This Row],[Produto]],tProdutos[Produto],0)),"Não")</f>
        <v>Não</v>
      </c>
      <c r="O8253" t="str">
        <f>IFERROR(INDEX(tEditais[SRP],MATCH(tItens[[#This Row],[Edital]],tEditais[Edital],0)),"Não")</f>
        <v>Não</v>
      </c>
      <c r="P8253" s="4">
        <f>IF(COUNTIFS(INDEX(tItens[Edital],1):tItens[[#This Row],[Edital]],tItens[[#This Row],[Edital]],INDEX(tItens[Produto],1):tItens[[#This Row],[Produto]],tItens[[#This Row],[Produto]])=1,1,0)</f>
        <v>0</v>
      </c>
    </row>
    <row r="8254" spans="1:16" x14ac:dyDescent="0.25">
      <c r="A8254" t="s">
        <v>2673</v>
      </c>
      <c r="B8254">
        <v>130</v>
      </c>
      <c r="C8254" t="s">
        <v>8639</v>
      </c>
      <c r="D8254" t="s">
        <v>110</v>
      </c>
      <c r="E8254" s="13">
        <v>50</v>
      </c>
      <c r="F8254" s="12">
        <v>1.93</v>
      </c>
      <c r="G8254" t="str">
        <f>IFERROR(INDEX(tEditais[Órgão],MATCH(tItens[[#This Row],[Edital]],tEditais[Edital],0)),"")</f>
        <v>INSTITUTO FEDERAL DE EDUCACAO, CIENCIA E TECNOLOGIA DE SANTA CATARINA</v>
      </c>
      <c r="H8254" t="str">
        <f>IFERROR(INDEX(tEditais[UF],MATCH(tItens[[#This Row],[Edital]],tEditais[Edital],0)),"")</f>
        <v>SC</v>
      </c>
      <c r="I8254" s="11">
        <f>IFERROR(INDEX(tEditais[Encerramento],MATCH(tItens[[#This Row],[Edital]],tEditais[Edital],0)),"")</f>
        <v>46311.416666666664</v>
      </c>
      <c r="J8254" t="str">
        <f>IFERROR(INDEX(tProdutos[Classe],MATCH(tItens[[#This Row],[Produto]],tProdutos[Produto],0)),"produto não cadastrado")</f>
        <v>NÚCLEO</v>
      </c>
      <c r="K8254" s="12">
        <f>tItens[[#This Row],[Qtd]]*tItens[[#This Row],[Vlr unit]]</f>
        <v>96.5</v>
      </c>
      <c r="L8254" s="6">
        <f>IFERROR(IF(INDEX(tProdutos[Desconto homologado],MATCH(tItens[[#This Row],[Produto]],tProdutos[Produto],0))="",DescontoPadrao,INDEX(tProdutos[Desconto homologado],MATCH(tItens[[#This Row],[Produto]],tProdutos[Produto],0))),DescontoPadrao)</f>
        <v>0.30410958904109597</v>
      </c>
      <c r="M8254" s="12">
        <f>tItens[[#This Row],[Valor]]*(1-tItens[[#This Row],[Desconto]])</f>
        <v>67.153424657534245</v>
      </c>
      <c r="N8254" t="str">
        <f>IFERROR(INDEX(tProdutos[Foco],MATCH(tItens[[#This Row],[Produto]],tProdutos[Produto],0)),"Não")</f>
        <v>Não</v>
      </c>
      <c r="O8254" t="str">
        <f>IFERROR(INDEX(tEditais[SRP],MATCH(tItens[[#This Row],[Edital]],tEditais[Edital],0)),"Não")</f>
        <v>Não</v>
      </c>
      <c r="P8254" s="4">
        <f>IF(COUNTIFS(INDEX(tItens[Edital],1):tItens[[#This Row],[Edital]],tItens[[#This Row],[Edital]],INDEX(tItens[Produto],1):tItens[[#This Row],[Produto]],tItens[[#This Row],[Produto]])=1,1,0)</f>
        <v>1</v>
      </c>
    </row>
    <row r="8255" spans="1:16" x14ac:dyDescent="0.25">
      <c r="A8255" t="s">
        <v>2673</v>
      </c>
      <c r="B8255">
        <v>131</v>
      </c>
      <c r="C8255" t="s">
        <v>8640</v>
      </c>
      <c r="D8255" t="s">
        <v>110</v>
      </c>
      <c r="E8255" s="13">
        <v>50</v>
      </c>
      <c r="F8255" s="12">
        <v>2.2200000000000002</v>
      </c>
      <c r="G8255" t="str">
        <f>IFERROR(INDEX(tEditais[Órgão],MATCH(tItens[[#This Row],[Edital]],tEditais[Edital],0)),"")</f>
        <v>INSTITUTO FEDERAL DE EDUCACAO, CIENCIA E TECNOLOGIA DE SANTA CATARINA</v>
      </c>
      <c r="H8255" t="str">
        <f>IFERROR(INDEX(tEditais[UF],MATCH(tItens[[#This Row],[Edital]],tEditais[Edital],0)),"")</f>
        <v>SC</v>
      </c>
      <c r="I8255" s="11">
        <f>IFERROR(INDEX(tEditais[Encerramento],MATCH(tItens[[#This Row],[Edital]],tEditais[Edital],0)),"")</f>
        <v>46311.416666666664</v>
      </c>
      <c r="J8255" t="str">
        <f>IFERROR(INDEX(tProdutos[Classe],MATCH(tItens[[#This Row],[Produto]],tProdutos[Produto],0)),"produto não cadastrado")</f>
        <v>NÚCLEO</v>
      </c>
      <c r="K8255" s="12">
        <f>tItens[[#This Row],[Qtd]]*tItens[[#This Row],[Vlr unit]]</f>
        <v>111.00000000000001</v>
      </c>
      <c r="L8255" s="6">
        <f>IFERROR(IF(INDEX(tProdutos[Desconto homologado],MATCH(tItens[[#This Row],[Produto]],tProdutos[Produto],0))="",DescontoPadrao,INDEX(tProdutos[Desconto homologado],MATCH(tItens[[#This Row],[Produto]],tProdutos[Produto],0))),DescontoPadrao)</f>
        <v>0.30410958904109597</v>
      </c>
      <c r="M8255" s="12">
        <f>tItens[[#This Row],[Valor]]*(1-tItens[[#This Row],[Desconto]])</f>
        <v>77.243835616438361</v>
      </c>
      <c r="N8255" t="str">
        <f>IFERROR(INDEX(tProdutos[Foco],MATCH(tItens[[#This Row],[Produto]],tProdutos[Produto],0)),"Não")</f>
        <v>Não</v>
      </c>
      <c r="O8255" t="str">
        <f>IFERROR(INDEX(tEditais[SRP],MATCH(tItens[[#This Row],[Edital]],tEditais[Edital],0)),"Não")</f>
        <v>Não</v>
      </c>
      <c r="P8255" s="4">
        <f>IF(COUNTIFS(INDEX(tItens[Edital],1):tItens[[#This Row],[Edital]],tItens[[#This Row],[Edital]],INDEX(tItens[Produto],1):tItens[[#This Row],[Produto]],tItens[[#This Row],[Produto]])=1,1,0)</f>
        <v>0</v>
      </c>
    </row>
    <row r="8256" spans="1:16" x14ac:dyDescent="0.25">
      <c r="A8256" t="s">
        <v>2673</v>
      </c>
      <c r="B8256">
        <v>132</v>
      </c>
      <c r="C8256" t="s">
        <v>8556</v>
      </c>
      <c r="D8256" t="s">
        <v>110</v>
      </c>
      <c r="E8256" s="13">
        <v>50</v>
      </c>
      <c r="F8256" s="12">
        <v>3.09</v>
      </c>
      <c r="G8256" t="str">
        <f>IFERROR(INDEX(tEditais[Órgão],MATCH(tItens[[#This Row],[Edital]],tEditais[Edital],0)),"")</f>
        <v>INSTITUTO FEDERAL DE EDUCACAO, CIENCIA E TECNOLOGIA DE SANTA CATARINA</v>
      </c>
      <c r="H8256" t="str">
        <f>IFERROR(INDEX(tEditais[UF],MATCH(tItens[[#This Row],[Edital]],tEditais[Edital],0)),"")</f>
        <v>SC</v>
      </c>
      <c r="I8256" s="11">
        <f>IFERROR(INDEX(tEditais[Encerramento],MATCH(tItens[[#This Row],[Edital]],tEditais[Edital],0)),"")</f>
        <v>46311.416666666664</v>
      </c>
      <c r="J8256" t="str">
        <f>IFERROR(INDEX(tProdutos[Classe],MATCH(tItens[[#This Row],[Produto]],tProdutos[Produto],0)),"produto não cadastrado")</f>
        <v>NÚCLEO</v>
      </c>
      <c r="K8256" s="12">
        <f>tItens[[#This Row],[Qtd]]*tItens[[#This Row],[Vlr unit]]</f>
        <v>154.5</v>
      </c>
      <c r="L8256" s="6">
        <f>IFERROR(IF(INDEX(tProdutos[Desconto homologado],MATCH(tItens[[#This Row],[Produto]],tProdutos[Produto],0))="",DescontoPadrao,INDEX(tProdutos[Desconto homologado],MATCH(tItens[[#This Row],[Produto]],tProdutos[Produto],0))),DescontoPadrao)</f>
        <v>0.30410958904109597</v>
      </c>
      <c r="M8256" s="12">
        <f>tItens[[#This Row],[Valor]]*(1-tItens[[#This Row],[Desconto]])</f>
        <v>107.51506849315068</v>
      </c>
      <c r="N8256" t="str">
        <f>IFERROR(INDEX(tProdutos[Foco],MATCH(tItens[[#This Row],[Produto]],tProdutos[Produto],0)),"Não")</f>
        <v>Não</v>
      </c>
      <c r="O8256" t="str">
        <f>IFERROR(INDEX(tEditais[SRP],MATCH(tItens[[#This Row],[Edital]],tEditais[Edital],0)),"Não")</f>
        <v>Não</v>
      </c>
      <c r="P8256" s="4">
        <f>IF(COUNTIFS(INDEX(tItens[Edital],1):tItens[[#This Row],[Edital]],tItens[[#This Row],[Edital]],INDEX(tItens[Produto],1):tItens[[#This Row],[Produto]],tItens[[#This Row],[Produto]])=1,1,0)</f>
        <v>0</v>
      </c>
    </row>
    <row r="8257" spans="1:16" x14ac:dyDescent="0.25">
      <c r="A8257" t="s">
        <v>2673</v>
      </c>
      <c r="B8257">
        <v>134</v>
      </c>
      <c r="C8257" t="s">
        <v>9209</v>
      </c>
      <c r="D8257" t="s">
        <v>69</v>
      </c>
      <c r="E8257" s="13">
        <v>50</v>
      </c>
      <c r="F8257" s="12">
        <v>1.41</v>
      </c>
      <c r="G8257" t="str">
        <f>IFERROR(INDEX(tEditais[Órgão],MATCH(tItens[[#This Row],[Edital]],tEditais[Edital],0)),"")</f>
        <v>INSTITUTO FEDERAL DE EDUCACAO, CIENCIA E TECNOLOGIA DE SANTA CATARINA</v>
      </c>
      <c r="H8257" t="str">
        <f>IFERROR(INDEX(tEditais[UF],MATCH(tItens[[#This Row],[Edital]],tEditais[Edital],0)),"")</f>
        <v>SC</v>
      </c>
      <c r="I8257" s="11">
        <f>IFERROR(INDEX(tEditais[Encerramento],MATCH(tItens[[#This Row],[Edital]],tEditais[Edital],0)),"")</f>
        <v>46311.416666666664</v>
      </c>
      <c r="J8257" t="str">
        <f>IFERROR(INDEX(tProdutos[Classe],MATCH(tItens[[#This Row],[Produto]],tProdutos[Produto],0)),"produto não cadastrado")</f>
        <v>NÚCLEO</v>
      </c>
      <c r="K8257" s="12">
        <f>tItens[[#This Row],[Qtd]]*tItens[[#This Row],[Vlr unit]]</f>
        <v>70.5</v>
      </c>
      <c r="L8257" s="6">
        <f>IFERROR(IF(INDEX(tProdutos[Desconto homologado],MATCH(tItens[[#This Row],[Produto]],tProdutos[Produto],0))="",DescontoPadrao,INDEX(tProdutos[Desconto homologado],MATCH(tItens[[#This Row],[Produto]],tProdutos[Produto],0))),DescontoPadrao)</f>
        <v>0.38829259638568803</v>
      </c>
      <c r="M8257" s="12">
        <f>tItens[[#This Row],[Valor]]*(1-tItens[[#This Row],[Desconto]])</f>
        <v>43.125371954808998</v>
      </c>
      <c r="N8257" t="str">
        <f>IFERROR(INDEX(tProdutos[Foco],MATCH(tItens[[#This Row],[Produto]],tProdutos[Produto],0)),"Não")</f>
        <v>Não</v>
      </c>
      <c r="O8257" t="str">
        <f>IFERROR(INDEX(tEditais[SRP],MATCH(tItens[[#This Row],[Edital]],tEditais[Edital],0)),"Não")</f>
        <v>Não</v>
      </c>
      <c r="P8257" s="4">
        <f>IF(COUNTIFS(INDEX(tItens[Edital],1):tItens[[#This Row],[Edital]],tItens[[#This Row],[Edital]],INDEX(tItens[Produto],1):tItens[[#This Row],[Produto]],tItens[[#This Row],[Produto]])=1,1,0)</f>
        <v>1</v>
      </c>
    </row>
    <row r="8258" spans="1:16" x14ac:dyDescent="0.25">
      <c r="A8258" t="s">
        <v>2673</v>
      </c>
      <c r="B8258">
        <v>135</v>
      </c>
      <c r="C8258" t="s">
        <v>10728</v>
      </c>
      <c r="D8258" t="s">
        <v>69</v>
      </c>
      <c r="E8258" s="13">
        <v>50</v>
      </c>
      <c r="F8258" s="12">
        <v>1.18</v>
      </c>
      <c r="G8258" t="str">
        <f>IFERROR(INDEX(tEditais[Órgão],MATCH(tItens[[#This Row],[Edital]],tEditais[Edital],0)),"")</f>
        <v>INSTITUTO FEDERAL DE EDUCACAO, CIENCIA E TECNOLOGIA DE SANTA CATARINA</v>
      </c>
      <c r="H8258" t="str">
        <f>IFERROR(INDEX(tEditais[UF],MATCH(tItens[[#This Row],[Edital]],tEditais[Edital],0)),"")</f>
        <v>SC</v>
      </c>
      <c r="I8258" s="11">
        <f>IFERROR(INDEX(tEditais[Encerramento],MATCH(tItens[[#This Row],[Edital]],tEditais[Edital],0)),"")</f>
        <v>46311.416666666664</v>
      </c>
      <c r="J8258" t="str">
        <f>IFERROR(INDEX(tProdutos[Classe],MATCH(tItens[[#This Row],[Produto]],tProdutos[Produto],0)),"produto não cadastrado")</f>
        <v>NÚCLEO</v>
      </c>
      <c r="K8258" s="12">
        <f>tItens[[#This Row],[Qtd]]*tItens[[#This Row],[Vlr unit]]</f>
        <v>59</v>
      </c>
      <c r="L8258" s="6">
        <f>IFERROR(IF(INDEX(tProdutos[Desconto homologado],MATCH(tItens[[#This Row],[Produto]],tProdutos[Produto],0))="",DescontoPadrao,INDEX(tProdutos[Desconto homologado],MATCH(tItens[[#This Row],[Produto]],tProdutos[Produto],0))),DescontoPadrao)</f>
        <v>0.38829259638568803</v>
      </c>
      <c r="M8258" s="12">
        <f>tItens[[#This Row],[Valor]]*(1-tItens[[#This Row],[Desconto]])</f>
        <v>36.090736813244405</v>
      </c>
      <c r="N8258" t="str">
        <f>IFERROR(INDEX(tProdutos[Foco],MATCH(tItens[[#This Row],[Produto]],tProdutos[Produto],0)),"Não")</f>
        <v>Não</v>
      </c>
      <c r="O8258" t="str">
        <f>IFERROR(INDEX(tEditais[SRP],MATCH(tItens[[#This Row],[Edital]],tEditais[Edital],0)),"Não")</f>
        <v>Não</v>
      </c>
      <c r="P8258" s="4">
        <f>IF(COUNTIFS(INDEX(tItens[Edital],1):tItens[[#This Row],[Edital]],tItens[[#This Row],[Edital]],INDEX(tItens[Produto],1):tItens[[#This Row],[Produto]],tItens[[#This Row],[Produto]])=1,1,0)</f>
        <v>0</v>
      </c>
    </row>
    <row r="8259" spans="1:16" x14ac:dyDescent="0.25">
      <c r="A8259" t="s">
        <v>2673</v>
      </c>
      <c r="B8259">
        <v>145</v>
      </c>
      <c r="C8259" t="s">
        <v>10384</v>
      </c>
      <c r="D8259" t="s">
        <v>195</v>
      </c>
      <c r="E8259" s="13">
        <v>100</v>
      </c>
      <c r="F8259" s="12">
        <v>1.29</v>
      </c>
      <c r="G8259" t="str">
        <f>IFERROR(INDEX(tEditais[Órgão],MATCH(tItens[[#This Row],[Edital]],tEditais[Edital],0)),"")</f>
        <v>INSTITUTO FEDERAL DE EDUCACAO, CIENCIA E TECNOLOGIA DE SANTA CATARINA</v>
      </c>
      <c r="H8259" t="str">
        <f>IFERROR(INDEX(tEditais[UF],MATCH(tItens[[#This Row],[Edital]],tEditais[Edital],0)),"")</f>
        <v>SC</v>
      </c>
      <c r="I8259" s="11">
        <f>IFERROR(INDEX(tEditais[Encerramento],MATCH(tItens[[#This Row],[Edital]],tEditais[Edital],0)),"")</f>
        <v>46311.416666666664</v>
      </c>
      <c r="J8259" t="str">
        <f>IFERROR(INDEX(tProdutos[Classe],MATCH(tItens[[#This Row],[Produto]],tProdutos[Produto],0)),"produto não cadastrado")</f>
        <v>FORA</v>
      </c>
      <c r="K8259" s="12">
        <f>tItens[[#This Row],[Qtd]]*tItens[[#This Row],[Vlr unit]]</f>
        <v>129</v>
      </c>
      <c r="L8259" s="6">
        <f>IFERROR(IF(INDEX(tProdutos[Desconto homologado],MATCH(tItens[[#This Row],[Produto]],tProdutos[Produto],0))="",DescontoPadrao,INDEX(tProdutos[Desconto homologado],MATCH(tItens[[#This Row],[Produto]],tProdutos[Produto],0))),DescontoPadrao)</f>
        <v>0.27813657840171302</v>
      </c>
      <c r="M8259" s="12">
        <f>tItens[[#This Row],[Valor]]*(1-tItens[[#This Row],[Desconto]])</f>
        <v>93.12038138617902</v>
      </c>
      <c r="N8259" t="str">
        <f>IFERROR(INDEX(tProdutos[Foco],MATCH(tItens[[#This Row],[Produto]],tProdutos[Produto],0)),"Não")</f>
        <v>Não</v>
      </c>
      <c r="O8259" t="str">
        <f>IFERROR(INDEX(tEditais[SRP],MATCH(tItens[[#This Row],[Edital]],tEditais[Edital],0)),"Não")</f>
        <v>Não</v>
      </c>
      <c r="P8259" s="4">
        <f>IF(COUNTIFS(INDEX(tItens[Edital],1):tItens[[#This Row],[Edital]],tItens[[#This Row],[Edital]],INDEX(tItens[Produto],1):tItens[[#This Row],[Produto]],tItens[[#This Row],[Produto]])=1,1,0)</f>
        <v>1</v>
      </c>
    </row>
    <row r="8260" spans="1:16" x14ac:dyDescent="0.25">
      <c r="A8260" t="s">
        <v>2673</v>
      </c>
      <c r="B8260">
        <v>147</v>
      </c>
      <c r="C8260" t="s">
        <v>4180</v>
      </c>
      <c r="D8260" t="s">
        <v>156</v>
      </c>
      <c r="E8260" s="13">
        <v>10</v>
      </c>
      <c r="F8260" s="12">
        <v>37.53</v>
      </c>
      <c r="G8260" t="str">
        <f>IFERROR(INDEX(tEditais[Órgão],MATCH(tItens[[#This Row],[Edital]],tEditais[Edital],0)),"")</f>
        <v>INSTITUTO FEDERAL DE EDUCACAO, CIENCIA E TECNOLOGIA DE SANTA CATARINA</v>
      </c>
      <c r="H8260" t="str">
        <f>IFERROR(INDEX(tEditais[UF],MATCH(tItens[[#This Row],[Edital]],tEditais[Edital],0)),"")</f>
        <v>SC</v>
      </c>
      <c r="I8260" s="11">
        <f>IFERROR(INDEX(tEditais[Encerramento],MATCH(tItens[[#This Row],[Edital]],tEditais[Edital],0)),"")</f>
        <v>46311.416666666664</v>
      </c>
      <c r="J8260" t="str">
        <f>IFERROR(INDEX(tProdutos[Classe],MATCH(tItens[[#This Row],[Produto]],tProdutos[Produto],0)),"produto não cadastrado")</f>
        <v>DISPUTADO</v>
      </c>
      <c r="K8260" s="12">
        <f>tItens[[#This Row],[Qtd]]*tItens[[#This Row],[Vlr unit]]</f>
        <v>375.3</v>
      </c>
      <c r="L8260" s="6">
        <f>IFERROR(IF(INDEX(tProdutos[Desconto homologado],MATCH(tItens[[#This Row],[Produto]],tProdutos[Produto],0))="",DescontoPadrao,INDEX(tProdutos[Desconto homologado],MATCH(tItens[[#This Row],[Produto]],tProdutos[Produto],0))),DescontoPadrao)</f>
        <v>0.27131852489802799</v>
      </c>
      <c r="M8260" s="12">
        <f>tItens[[#This Row],[Valor]]*(1-tItens[[#This Row],[Desconto]])</f>
        <v>273.47415760577013</v>
      </c>
      <c r="N8260" t="str">
        <f>IFERROR(INDEX(tProdutos[Foco],MATCH(tItens[[#This Row],[Produto]],tProdutos[Produto],0)),"Não")</f>
        <v>Não</v>
      </c>
      <c r="O8260" t="str">
        <f>IFERROR(INDEX(tEditais[SRP],MATCH(tItens[[#This Row],[Edital]],tEditais[Edital],0)),"Não")</f>
        <v>Não</v>
      </c>
      <c r="P8260" s="4">
        <f>IF(COUNTIFS(INDEX(tItens[Edital],1):tItens[[#This Row],[Edital]],tItens[[#This Row],[Edital]],INDEX(tItens[Produto],1):tItens[[#This Row],[Produto]],tItens[[#This Row],[Produto]])=1,1,0)</f>
        <v>1</v>
      </c>
    </row>
    <row r="8261" spans="1:16" x14ac:dyDescent="0.25">
      <c r="A8261" t="s">
        <v>2677</v>
      </c>
      <c r="B8261">
        <v>23</v>
      </c>
      <c r="C8261" t="s">
        <v>10729</v>
      </c>
      <c r="D8261" t="s">
        <v>387</v>
      </c>
      <c r="E8261" s="13">
        <v>16500</v>
      </c>
      <c r="F8261" s="12">
        <v>11.85</v>
      </c>
      <c r="G8261" t="str">
        <f>IFERROR(INDEX(tEditais[Órgão],MATCH(tItens[[#This Row],[Edital]],tEditais[Edital],0)),"")</f>
        <v>MUNICIPIO DE JOINVILLE</v>
      </c>
      <c r="H8261" t="str">
        <f>IFERROR(INDEX(tEditais[UF],MATCH(tItens[[#This Row],[Edital]],tEditais[Edital],0)),"")</f>
        <v>SC</v>
      </c>
      <c r="I8261" s="11">
        <f>IFERROR(INDEX(tEditais[Encerramento],MATCH(tItens[[#This Row],[Edital]],tEditais[Edital],0)),"")</f>
        <v>46314.354166666664</v>
      </c>
      <c r="J8261" t="str">
        <f>IFERROR(INDEX(tProdutos[Classe],MATCH(tItens[[#This Row],[Produto]],tProdutos[Produto],0)),"produto não cadastrado")</f>
        <v>FORA</v>
      </c>
      <c r="K8261" s="12">
        <f>tItens[[#This Row],[Qtd]]*tItens[[#This Row],[Vlr unit]]</f>
        <v>195525</v>
      </c>
      <c r="L8261" s="6">
        <f>IFERROR(IF(INDEX(tProdutos[Desconto homologado],MATCH(tItens[[#This Row],[Produto]],tProdutos[Produto],0))="",DescontoPadrao,INDEX(tProdutos[Desconto homologado],MATCH(tItens[[#This Row],[Produto]],tProdutos[Produto],0))),DescontoPadrao)</f>
        <v>0.30458221024258803</v>
      </c>
      <c r="M8261" s="12">
        <f>tItens[[#This Row],[Valor]]*(1-tItens[[#This Row],[Desconto]])</f>
        <v>135971.56334231797</v>
      </c>
      <c r="N8261" t="str">
        <f>IFERROR(INDEX(tProdutos[Foco],MATCH(tItens[[#This Row],[Produto]],tProdutos[Produto],0)),"Não")</f>
        <v>Não</v>
      </c>
      <c r="O8261" t="str">
        <f>IFERROR(INDEX(tEditais[SRP],MATCH(tItens[[#This Row],[Edital]],tEditais[Edital],0)),"Não")</f>
        <v>Não</v>
      </c>
      <c r="P8261" s="4">
        <f>IF(COUNTIFS(INDEX(tItens[Edital],1):tItens[[#This Row],[Edital]],tItens[[#This Row],[Edital]],INDEX(tItens[Produto],1):tItens[[#This Row],[Produto]],tItens[[#This Row],[Produto]])=1,1,0)</f>
        <v>1</v>
      </c>
    </row>
    <row r="8262" spans="1:16" x14ac:dyDescent="0.25">
      <c r="A8262" t="s">
        <v>2677</v>
      </c>
      <c r="B8262">
        <v>24</v>
      </c>
      <c r="C8262" t="s">
        <v>10730</v>
      </c>
      <c r="D8262" t="s">
        <v>387</v>
      </c>
      <c r="E8262" s="13">
        <v>5500</v>
      </c>
      <c r="F8262" s="12">
        <v>11.85</v>
      </c>
      <c r="G8262" t="str">
        <f>IFERROR(INDEX(tEditais[Órgão],MATCH(tItens[[#This Row],[Edital]],tEditais[Edital],0)),"")</f>
        <v>MUNICIPIO DE JOINVILLE</v>
      </c>
      <c r="H8262" t="str">
        <f>IFERROR(INDEX(tEditais[UF],MATCH(tItens[[#This Row],[Edital]],tEditais[Edital],0)),"")</f>
        <v>SC</v>
      </c>
      <c r="I8262" s="11">
        <f>IFERROR(INDEX(tEditais[Encerramento],MATCH(tItens[[#This Row],[Edital]],tEditais[Edital],0)),"")</f>
        <v>46314.354166666664</v>
      </c>
      <c r="J8262" t="str">
        <f>IFERROR(INDEX(tProdutos[Classe],MATCH(tItens[[#This Row],[Produto]],tProdutos[Produto],0)),"produto não cadastrado")</f>
        <v>FORA</v>
      </c>
      <c r="K8262" s="12">
        <f>tItens[[#This Row],[Qtd]]*tItens[[#This Row],[Vlr unit]]</f>
        <v>65175</v>
      </c>
      <c r="L8262" s="6">
        <f>IFERROR(IF(INDEX(tProdutos[Desconto homologado],MATCH(tItens[[#This Row],[Produto]],tProdutos[Produto],0))="",DescontoPadrao,INDEX(tProdutos[Desconto homologado],MATCH(tItens[[#This Row],[Produto]],tProdutos[Produto],0))),DescontoPadrao)</f>
        <v>0.30458221024258803</v>
      </c>
      <c r="M8262" s="12">
        <f>tItens[[#This Row],[Valor]]*(1-tItens[[#This Row],[Desconto]])</f>
        <v>45323.854447439327</v>
      </c>
      <c r="N8262" t="str">
        <f>IFERROR(INDEX(tProdutos[Foco],MATCH(tItens[[#This Row],[Produto]],tProdutos[Produto],0)),"Não")</f>
        <v>Não</v>
      </c>
      <c r="O8262" t="str">
        <f>IFERROR(INDEX(tEditais[SRP],MATCH(tItens[[#This Row],[Edital]],tEditais[Edital],0)),"Não")</f>
        <v>Não</v>
      </c>
      <c r="P8262" s="4">
        <f>IF(COUNTIFS(INDEX(tItens[Edital],1):tItens[[#This Row],[Edital]],tItens[[#This Row],[Edital]],INDEX(tItens[Produto],1):tItens[[#This Row],[Produto]],tItens[[#This Row],[Produto]])=1,1,0)</f>
        <v>0</v>
      </c>
    </row>
    <row r="8263" spans="1:16" x14ac:dyDescent="0.25">
      <c r="A8263" t="s">
        <v>2677</v>
      </c>
      <c r="B8263">
        <v>25</v>
      </c>
      <c r="C8263" t="s">
        <v>10731</v>
      </c>
      <c r="D8263" t="s">
        <v>387</v>
      </c>
      <c r="E8263" s="13">
        <v>1500</v>
      </c>
      <c r="F8263" s="12">
        <v>3.49</v>
      </c>
      <c r="G8263" t="str">
        <f>IFERROR(INDEX(tEditais[Órgão],MATCH(tItens[[#This Row],[Edital]],tEditais[Edital],0)),"")</f>
        <v>MUNICIPIO DE JOINVILLE</v>
      </c>
      <c r="H8263" t="str">
        <f>IFERROR(INDEX(tEditais[UF],MATCH(tItens[[#This Row],[Edital]],tEditais[Edital],0)),"")</f>
        <v>SC</v>
      </c>
      <c r="I8263" s="11">
        <f>IFERROR(INDEX(tEditais[Encerramento],MATCH(tItens[[#This Row],[Edital]],tEditais[Edital],0)),"")</f>
        <v>46314.354166666664</v>
      </c>
      <c r="J8263" t="str">
        <f>IFERROR(INDEX(tProdutos[Classe],MATCH(tItens[[#This Row],[Produto]],tProdutos[Produto],0)),"produto não cadastrado")</f>
        <v>FORA</v>
      </c>
      <c r="K8263" s="12">
        <f>tItens[[#This Row],[Qtd]]*tItens[[#This Row],[Vlr unit]]</f>
        <v>5235</v>
      </c>
      <c r="L8263" s="6">
        <f>IFERROR(IF(INDEX(tProdutos[Desconto homologado],MATCH(tItens[[#This Row],[Produto]],tProdutos[Produto],0))="",DescontoPadrao,INDEX(tProdutos[Desconto homologado],MATCH(tItens[[#This Row],[Produto]],tProdutos[Produto],0))),DescontoPadrao)</f>
        <v>0.30458221024258803</v>
      </c>
      <c r="M8263" s="12">
        <f>tItens[[#This Row],[Valor]]*(1-tItens[[#This Row],[Desconto]])</f>
        <v>3640.5121293800516</v>
      </c>
      <c r="N8263" t="str">
        <f>IFERROR(INDEX(tProdutos[Foco],MATCH(tItens[[#This Row],[Produto]],tProdutos[Produto],0)),"Não")</f>
        <v>Não</v>
      </c>
      <c r="O8263" t="str">
        <f>IFERROR(INDEX(tEditais[SRP],MATCH(tItens[[#This Row],[Edital]],tEditais[Edital],0)),"Não")</f>
        <v>Não</v>
      </c>
      <c r="P8263" s="4">
        <f>IF(COUNTIFS(INDEX(tItens[Edital],1):tItens[[#This Row],[Edital]],tItens[[#This Row],[Edital]],INDEX(tItens[Produto],1):tItens[[#This Row],[Produto]],tItens[[#This Row],[Produto]])=1,1,0)</f>
        <v>0</v>
      </c>
    </row>
    <row r="8264" spans="1:16" x14ac:dyDescent="0.25">
      <c r="A8264" t="s">
        <v>2677</v>
      </c>
      <c r="B8264">
        <v>26</v>
      </c>
      <c r="C8264" t="s">
        <v>10732</v>
      </c>
      <c r="D8264" t="s">
        <v>387</v>
      </c>
      <c r="E8264" s="13">
        <v>9000</v>
      </c>
      <c r="F8264" s="12">
        <v>7.26</v>
      </c>
      <c r="G8264" t="str">
        <f>IFERROR(INDEX(tEditais[Órgão],MATCH(tItens[[#This Row],[Edital]],tEditais[Edital],0)),"")</f>
        <v>MUNICIPIO DE JOINVILLE</v>
      </c>
      <c r="H8264" t="str">
        <f>IFERROR(INDEX(tEditais[UF],MATCH(tItens[[#This Row],[Edital]],tEditais[Edital],0)),"")</f>
        <v>SC</v>
      </c>
      <c r="I8264" s="11">
        <f>IFERROR(INDEX(tEditais[Encerramento],MATCH(tItens[[#This Row],[Edital]],tEditais[Edital],0)),"")</f>
        <v>46314.354166666664</v>
      </c>
      <c r="J8264" t="str">
        <f>IFERROR(INDEX(tProdutos[Classe],MATCH(tItens[[#This Row],[Produto]],tProdutos[Produto],0)),"produto não cadastrado")</f>
        <v>FORA</v>
      </c>
      <c r="K8264" s="12">
        <f>tItens[[#This Row],[Qtd]]*tItens[[#This Row],[Vlr unit]]</f>
        <v>65340</v>
      </c>
      <c r="L8264" s="6">
        <f>IFERROR(IF(INDEX(tProdutos[Desconto homologado],MATCH(tItens[[#This Row],[Produto]],tProdutos[Produto],0))="",DescontoPadrao,INDEX(tProdutos[Desconto homologado],MATCH(tItens[[#This Row],[Produto]],tProdutos[Produto],0))),DescontoPadrao)</f>
        <v>0.30458221024258803</v>
      </c>
      <c r="M8264" s="12">
        <f>tItens[[#This Row],[Valor]]*(1-tItens[[#This Row],[Desconto]])</f>
        <v>45438.598382749296</v>
      </c>
      <c r="N8264" t="str">
        <f>IFERROR(INDEX(tProdutos[Foco],MATCH(tItens[[#This Row],[Produto]],tProdutos[Produto],0)),"Não")</f>
        <v>Não</v>
      </c>
      <c r="O8264" t="str">
        <f>IFERROR(INDEX(tEditais[SRP],MATCH(tItens[[#This Row],[Edital]],tEditais[Edital],0)),"Não")</f>
        <v>Não</v>
      </c>
      <c r="P8264" s="4">
        <f>IF(COUNTIFS(INDEX(tItens[Edital],1):tItens[[#This Row],[Edital]],tItens[[#This Row],[Edital]],INDEX(tItens[Produto],1):tItens[[#This Row],[Produto]],tItens[[#This Row],[Produto]])=1,1,0)</f>
        <v>0</v>
      </c>
    </row>
    <row r="8265" spans="1:16" x14ac:dyDescent="0.25">
      <c r="A8265" t="s">
        <v>2677</v>
      </c>
      <c r="B8265">
        <v>27</v>
      </c>
      <c r="C8265" t="s">
        <v>10732</v>
      </c>
      <c r="D8265" t="s">
        <v>387</v>
      </c>
      <c r="E8265" s="13">
        <v>3000</v>
      </c>
      <c r="F8265" s="12">
        <v>7.26</v>
      </c>
      <c r="G8265" t="str">
        <f>IFERROR(INDEX(tEditais[Órgão],MATCH(tItens[[#This Row],[Edital]],tEditais[Edital],0)),"")</f>
        <v>MUNICIPIO DE JOINVILLE</v>
      </c>
      <c r="H8265" t="str">
        <f>IFERROR(INDEX(tEditais[UF],MATCH(tItens[[#This Row],[Edital]],tEditais[Edital],0)),"")</f>
        <v>SC</v>
      </c>
      <c r="I8265" s="11">
        <f>IFERROR(INDEX(tEditais[Encerramento],MATCH(tItens[[#This Row],[Edital]],tEditais[Edital],0)),"")</f>
        <v>46314.354166666664</v>
      </c>
      <c r="J8265" t="str">
        <f>IFERROR(INDEX(tProdutos[Classe],MATCH(tItens[[#This Row],[Produto]],tProdutos[Produto],0)),"produto não cadastrado")</f>
        <v>FORA</v>
      </c>
      <c r="K8265" s="12">
        <f>tItens[[#This Row],[Qtd]]*tItens[[#This Row],[Vlr unit]]</f>
        <v>21780</v>
      </c>
      <c r="L8265" s="6">
        <f>IFERROR(IF(INDEX(tProdutos[Desconto homologado],MATCH(tItens[[#This Row],[Produto]],tProdutos[Produto],0))="",DescontoPadrao,INDEX(tProdutos[Desconto homologado],MATCH(tItens[[#This Row],[Produto]],tProdutos[Produto],0))),DescontoPadrao)</f>
        <v>0.30458221024258803</v>
      </c>
      <c r="M8265" s="12">
        <f>tItens[[#This Row],[Valor]]*(1-tItens[[#This Row],[Desconto]])</f>
        <v>15146.199460916432</v>
      </c>
      <c r="N8265" t="str">
        <f>IFERROR(INDEX(tProdutos[Foco],MATCH(tItens[[#This Row],[Produto]],tProdutos[Produto],0)),"Não")</f>
        <v>Não</v>
      </c>
      <c r="O8265" t="str">
        <f>IFERROR(INDEX(tEditais[SRP],MATCH(tItens[[#This Row],[Edital]],tEditais[Edital],0)),"Não")</f>
        <v>Não</v>
      </c>
      <c r="P8265" s="4">
        <f>IF(COUNTIFS(INDEX(tItens[Edital],1):tItens[[#This Row],[Edital]],tItens[[#This Row],[Edital]],INDEX(tItens[Produto],1):tItens[[#This Row],[Produto]],tItens[[#This Row],[Produto]])=1,1,0)</f>
        <v>0</v>
      </c>
    </row>
    <row r="8266" spans="1:16" x14ac:dyDescent="0.25">
      <c r="A8266" t="s">
        <v>2677</v>
      </c>
      <c r="B8266">
        <v>28</v>
      </c>
      <c r="C8266" t="s">
        <v>10733</v>
      </c>
      <c r="D8266" t="s">
        <v>387</v>
      </c>
      <c r="E8266" s="13">
        <v>75000</v>
      </c>
      <c r="F8266" s="12">
        <v>1.91</v>
      </c>
      <c r="G8266" t="str">
        <f>IFERROR(INDEX(tEditais[Órgão],MATCH(tItens[[#This Row],[Edital]],tEditais[Edital],0)),"")</f>
        <v>MUNICIPIO DE JOINVILLE</v>
      </c>
      <c r="H8266" t="str">
        <f>IFERROR(INDEX(tEditais[UF],MATCH(tItens[[#This Row],[Edital]],tEditais[Edital],0)),"")</f>
        <v>SC</v>
      </c>
      <c r="I8266" s="11">
        <f>IFERROR(INDEX(tEditais[Encerramento],MATCH(tItens[[#This Row],[Edital]],tEditais[Edital],0)),"")</f>
        <v>46314.354166666664</v>
      </c>
      <c r="J8266" t="str">
        <f>IFERROR(INDEX(tProdutos[Classe],MATCH(tItens[[#This Row],[Produto]],tProdutos[Produto],0)),"produto não cadastrado")</f>
        <v>FORA</v>
      </c>
      <c r="K8266" s="12">
        <f>tItens[[#This Row],[Qtd]]*tItens[[#This Row],[Vlr unit]]</f>
        <v>143250</v>
      </c>
      <c r="L8266" s="6">
        <f>IFERROR(IF(INDEX(tProdutos[Desconto homologado],MATCH(tItens[[#This Row],[Produto]],tProdutos[Produto],0))="",DescontoPadrao,INDEX(tProdutos[Desconto homologado],MATCH(tItens[[#This Row],[Produto]],tProdutos[Produto],0))),DescontoPadrao)</f>
        <v>0.30458221024258803</v>
      </c>
      <c r="M8266" s="12">
        <f>tItens[[#This Row],[Valor]]*(1-tItens[[#This Row],[Desconto]])</f>
        <v>99618.59838274926</v>
      </c>
      <c r="N8266" t="str">
        <f>IFERROR(INDEX(tProdutos[Foco],MATCH(tItens[[#This Row],[Produto]],tProdutos[Produto],0)),"Não")</f>
        <v>Não</v>
      </c>
      <c r="O8266" t="str">
        <f>IFERROR(INDEX(tEditais[SRP],MATCH(tItens[[#This Row],[Edital]],tEditais[Edital],0)),"Não")</f>
        <v>Não</v>
      </c>
      <c r="P8266" s="4">
        <f>IF(COUNTIFS(INDEX(tItens[Edital],1):tItens[[#This Row],[Edital]],tItens[[#This Row],[Edital]],INDEX(tItens[Produto],1):tItens[[#This Row],[Produto]],tItens[[#This Row],[Produto]])=1,1,0)</f>
        <v>0</v>
      </c>
    </row>
    <row r="8267" spans="1:16" x14ac:dyDescent="0.25">
      <c r="A8267" t="s">
        <v>2677</v>
      </c>
      <c r="B8267">
        <v>29</v>
      </c>
      <c r="C8267" t="s">
        <v>10733</v>
      </c>
      <c r="D8267" t="s">
        <v>387</v>
      </c>
      <c r="E8267" s="13">
        <v>25000</v>
      </c>
      <c r="F8267" s="12">
        <v>1.91</v>
      </c>
      <c r="G8267" t="str">
        <f>IFERROR(INDEX(tEditais[Órgão],MATCH(tItens[[#This Row],[Edital]],tEditais[Edital],0)),"")</f>
        <v>MUNICIPIO DE JOINVILLE</v>
      </c>
      <c r="H8267" t="str">
        <f>IFERROR(INDEX(tEditais[UF],MATCH(tItens[[#This Row],[Edital]],tEditais[Edital],0)),"")</f>
        <v>SC</v>
      </c>
      <c r="I8267" s="11">
        <f>IFERROR(INDEX(tEditais[Encerramento],MATCH(tItens[[#This Row],[Edital]],tEditais[Edital],0)),"")</f>
        <v>46314.354166666664</v>
      </c>
      <c r="J8267" t="str">
        <f>IFERROR(INDEX(tProdutos[Classe],MATCH(tItens[[#This Row],[Produto]],tProdutos[Produto],0)),"produto não cadastrado")</f>
        <v>FORA</v>
      </c>
      <c r="K8267" s="12">
        <f>tItens[[#This Row],[Qtd]]*tItens[[#This Row],[Vlr unit]]</f>
        <v>47750</v>
      </c>
      <c r="L8267" s="6">
        <f>IFERROR(IF(INDEX(tProdutos[Desconto homologado],MATCH(tItens[[#This Row],[Produto]],tProdutos[Produto],0))="",DescontoPadrao,INDEX(tProdutos[Desconto homologado],MATCH(tItens[[#This Row],[Produto]],tProdutos[Produto],0))),DescontoPadrao)</f>
        <v>0.30458221024258803</v>
      </c>
      <c r="M8267" s="12">
        <f>tItens[[#This Row],[Valor]]*(1-tItens[[#This Row],[Desconto]])</f>
        <v>33206.199460916425</v>
      </c>
      <c r="N8267" t="str">
        <f>IFERROR(INDEX(tProdutos[Foco],MATCH(tItens[[#This Row],[Produto]],tProdutos[Produto],0)),"Não")</f>
        <v>Não</v>
      </c>
      <c r="O8267" t="str">
        <f>IFERROR(INDEX(tEditais[SRP],MATCH(tItens[[#This Row],[Edital]],tEditais[Edital],0)),"Não")</f>
        <v>Não</v>
      </c>
      <c r="P8267" s="4">
        <f>IF(COUNTIFS(INDEX(tItens[Edital],1):tItens[[#This Row],[Edital]],tItens[[#This Row],[Edital]],INDEX(tItens[Produto],1):tItens[[#This Row],[Produto]],tItens[[#This Row],[Produto]])=1,1,0)</f>
        <v>0</v>
      </c>
    </row>
    <row r="8268" spans="1:16" x14ac:dyDescent="0.25">
      <c r="A8268" t="s">
        <v>2677</v>
      </c>
      <c r="B8268">
        <v>35</v>
      </c>
      <c r="C8268" t="s">
        <v>10734</v>
      </c>
      <c r="D8268" t="s">
        <v>160</v>
      </c>
      <c r="E8268" s="13">
        <v>5000</v>
      </c>
      <c r="F8268" s="12">
        <v>2.91</v>
      </c>
      <c r="G8268" t="str">
        <f>IFERROR(INDEX(tEditais[Órgão],MATCH(tItens[[#This Row],[Edital]],tEditais[Edital],0)),"")</f>
        <v>MUNICIPIO DE JOINVILLE</v>
      </c>
      <c r="H8268" t="str">
        <f>IFERROR(INDEX(tEditais[UF],MATCH(tItens[[#This Row],[Edital]],tEditais[Edital],0)),"")</f>
        <v>SC</v>
      </c>
      <c r="I8268" s="11">
        <f>IFERROR(INDEX(tEditais[Encerramento],MATCH(tItens[[#This Row],[Edital]],tEditais[Edital],0)),"")</f>
        <v>46314.354166666664</v>
      </c>
      <c r="J8268" t="str">
        <f>IFERROR(INDEX(tProdutos[Classe],MATCH(tItens[[#This Row],[Produto]],tProdutos[Produto],0)),"produto não cadastrado")</f>
        <v>DISPUTADO</v>
      </c>
      <c r="K8268" s="12">
        <f>tItens[[#This Row],[Qtd]]*tItens[[#This Row],[Vlr unit]]</f>
        <v>14550</v>
      </c>
      <c r="L8268" s="6">
        <f>IFERROR(IF(INDEX(tProdutos[Desconto homologado],MATCH(tItens[[#This Row],[Produto]],tProdutos[Produto],0))="",DescontoPadrao,INDEX(tProdutos[Desconto homologado],MATCH(tItens[[#This Row],[Produto]],tProdutos[Produto],0))),DescontoPadrao)</f>
        <v>0.28000000000000003</v>
      </c>
      <c r="M8268" s="12">
        <f>tItens[[#This Row],[Valor]]*(1-tItens[[#This Row],[Desconto]])</f>
        <v>10476</v>
      </c>
      <c r="N8268" t="str">
        <f>IFERROR(INDEX(tProdutos[Foco],MATCH(tItens[[#This Row],[Produto]],tProdutos[Produto],0)),"Não")</f>
        <v>Sim</v>
      </c>
      <c r="O8268" t="str">
        <f>IFERROR(INDEX(tEditais[SRP],MATCH(tItens[[#This Row],[Edital]],tEditais[Edital],0)),"Não")</f>
        <v>Não</v>
      </c>
      <c r="P8268" s="4">
        <f>IF(COUNTIFS(INDEX(tItens[Edital],1):tItens[[#This Row],[Edital]],tItens[[#This Row],[Edital]],INDEX(tItens[Produto],1):tItens[[#This Row],[Produto]],tItens[[#This Row],[Produto]])=1,1,0)</f>
        <v>1</v>
      </c>
    </row>
    <row r="8269" spans="1:16" x14ac:dyDescent="0.25">
      <c r="A8269" t="s">
        <v>2677</v>
      </c>
      <c r="B8269">
        <v>36</v>
      </c>
      <c r="C8269" t="s">
        <v>10734</v>
      </c>
      <c r="D8269" t="s">
        <v>160</v>
      </c>
      <c r="E8269" s="13">
        <v>18750</v>
      </c>
      <c r="F8269" s="12">
        <v>7.12</v>
      </c>
      <c r="G8269" t="str">
        <f>IFERROR(INDEX(tEditais[Órgão],MATCH(tItens[[#This Row],[Edital]],tEditais[Edital],0)),"")</f>
        <v>MUNICIPIO DE JOINVILLE</v>
      </c>
      <c r="H8269" t="str">
        <f>IFERROR(INDEX(tEditais[UF],MATCH(tItens[[#This Row],[Edital]],tEditais[Edital],0)),"")</f>
        <v>SC</v>
      </c>
      <c r="I8269" s="11">
        <f>IFERROR(INDEX(tEditais[Encerramento],MATCH(tItens[[#This Row],[Edital]],tEditais[Edital],0)),"")</f>
        <v>46314.354166666664</v>
      </c>
      <c r="J8269" t="str">
        <f>IFERROR(INDEX(tProdutos[Classe],MATCH(tItens[[#This Row],[Produto]],tProdutos[Produto],0)),"produto não cadastrado")</f>
        <v>DISPUTADO</v>
      </c>
      <c r="K8269" s="12">
        <f>tItens[[#This Row],[Qtd]]*tItens[[#This Row],[Vlr unit]]</f>
        <v>133500</v>
      </c>
      <c r="L8269" s="6">
        <f>IFERROR(IF(INDEX(tProdutos[Desconto homologado],MATCH(tItens[[#This Row],[Produto]],tProdutos[Produto],0))="",DescontoPadrao,INDEX(tProdutos[Desconto homologado],MATCH(tItens[[#This Row],[Produto]],tProdutos[Produto],0))),DescontoPadrao)</f>
        <v>0.28000000000000003</v>
      </c>
      <c r="M8269" s="12">
        <f>tItens[[#This Row],[Valor]]*(1-tItens[[#This Row],[Desconto]])</f>
        <v>96120</v>
      </c>
      <c r="N8269" t="str">
        <f>IFERROR(INDEX(tProdutos[Foco],MATCH(tItens[[#This Row],[Produto]],tProdutos[Produto],0)),"Não")</f>
        <v>Sim</v>
      </c>
      <c r="O8269" t="str">
        <f>IFERROR(INDEX(tEditais[SRP],MATCH(tItens[[#This Row],[Edital]],tEditais[Edital],0)),"Não")</f>
        <v>Não</v>
      </c>
      <c r="P8269" s="4">
        <f>IF(COUNTIFS(INDEX(tItens[Edital],1):tItens[[#This Row],[Edital]],tItens[[#This Row],[Edital]],INDEX(tItens[Produto],1):tItens[[#This Row],[Produto]],tItens[[#This Row],[Produto]])=1,1,0)</f>
        <v>0</v>
      </c>
    </row>
    <row r="8270" spans="1:16" x14ac:dyDescent="0.25">
      <c r="A8270" t="s">
        <v>2677</v>
      </c>
      <c r="B8270">
        <v>37</v>
      </c>
      <c r="C8270" t="s">
        <v>10734</v>
      </c>
      <c r="D8270" t="s">
        <v>160</v>
      </c>
      <c r="E8270" s="13">
        <v>6250</v>
      </c>
      <c r="F8270" s="12">
        <v>7.12</v>
      </c>
      <c r="G8270" t="str">
        <f>IFERROR(INDEX(tEditais[Órgão],MATCH(tItens[[#This Row],[Edital]],tEditais[Edital],0)),"")</f>
        <v>MUNICIPIO DE JOINVILLE</v>
      </c>
      <c r="H8270" t="str">
        <f>IFERROR(INDEX(tEditais[UF],MATCH(tItens[[#This Row],[Edital]],tEditais[Edital],0)),"")</f>
        <v>SC</v>
      </c>
      <c r="I8270" s="11">
        <f>IFERROR(INDEX(tEditais[Encerramento],MATCH(tItens[[#This Row],[Edital]],tEditais[Edital],0)),"")</f>
        <v>46314.354166666664</v>
      </c>
      <c r="J8270" t="str">
        <f>IFERROR(INDEX(tProdutos[Classe],MATCH(tItens[[#This Row],[Produto]],tProdutos[Produto],0)),"produto não cadastrado")</f>
        <v>DISPUTADO</v>
      </c>
      <c r="K8270" s="12">
        <f>tItens[[#This Row],[Qtd]]*tItens[[#This Row],[Vlr unit]]</f>
        <v>44500</v>
      </c>
      <c r="L8270" s="6">
        <f>IFERROR(IF(INDEX(tProdutos[Desconto homologado],MATCH(tItens[[#This Row],[Produto]],tProdutos[Produto],0))="",DescontoPadrao,INDEX(tProdutos[Desconto homologado],MATCH(tItens[[#This Row],[Produto]],tProdutos[Produto],0))),DescontoPadrao)</f>
        <v>0.28000000000000003</v>
      </c>
      <c r="M8270" s="12">
        <f>tItens[[#This Row],[Valor]]*(1-tItens[[#This Row],[Desconto]])</f>
        <v>32040</v>
      </c>
      <c r="N8270" t="str">
        <f>IFERROR(INDEX(tProdutos[Foco],MATCH(tItens[[#This Row],[Produto]],tProdutos[Produto],0)),"Não")</f>
        <v>Sim</v>
      </c>
      <c r="O8270" t="str">
        <f>IFERROR(INDEX(tEditais[SRP],MATCH(tItens[[#This Row],[Edital]],tEditais[Edital],0)),"Não")</f>
        <v>Não</v>
      </c>
      <c r="P8270" s="4">
        <f>IF(COUNTIFS(INDEX(tItens[Edital],1):tItens[[#This Row],[Edital]],tItens[[#This Row],[Edital]],INDEX(tItens[Produto],1):tItens[[#This Row],[Produto]],tItens[[#This Row],[Produto]])=1,1,0)</f>
        <v>0</v>
      </c>
    </row>
    <row r="8271" spans="1:16" x14ac:dyDescent="0.25">
      <c r="A8271" t="s">
        <v>2677</v>
      </c>
      <c r="B8271">
        <v>38</v>
      </c>
      <c r="C8271" t="s">
        <v>10735</v>
      </c>
      <c r="D8271" t="s">
        <v>160</v>
      </c>
      <c r="E8271" s="13">
        <v>600</v>
      </c>
      <c r="F8271" s="12">
        <v>14.09</v>
      </c>
      <c r="G8271" t="str">
        <f>IFERROR(INDEX(tEditais[Órgão],MATCH(tItens[[#This Row],[Edital]],tEditais[Edital],0)),"")</f>
        <v>MUNICIPIO DE JOINVILLE</v>
      </c>
      <c r="H8271" t="str">
        <f>IFERROR(INDEX(tEditais[UF],MATCH(tItens[[#This Row],[Edital]],tEditais[Edital],0)),"")</f>
        <v>SC</v>
      </c>
      <c r="I8271" s="11">
        <f>IFERROR(INDEX(tEditais[Encerramento],MATCH(tItens[[#This Row],[Edital]],tEditais[Edital],0)),"")</f>
        <v>46314.354166666664</v>
      </c>
      <c r="J8271" t="str">
        <f>IFERROR(INDEX(tProdutos[Classe],MATCH(tItens[[#This Row],[Produto]],tProdutos[Produto],0)),"produto não cadastrado")</f>
        <v>DISPUTADO</v>
      </c>
      <c r="K8271" s="12">
        <f>tItens[[#This Row],[Qtd]]*tItens[[#This Row],[Vlr unit]]</f>
        <v>8454</v>
      </c>
      <c r="L8271" s="6">
        <f>IFERROR(IF(INDEX(tProdutos[Desconto homologado],MATCH(tItens[[#This Row],[Produto]],tProdutos[Produto],0))="",DescontoPadrao,INDEX(tProdutos[Desconto homologado],MATCH(tItens[[#This Row],[Produto]],tProdutos[Produto],0))),DescontoPadrao)</f>
        <v>0.28000000000000003</v>
      </c>
      <c r="M8271" s="12">
        <f>tItens[[#This Row],[Valor]]*(1-tItens[[#This Row],[Desconto]])</f>
        <v>6086.88</v>
      </c>
      <c r="N8271" t="str">
        <f>IFERROR(INDEX(tProdutos[Foco],MATCH(tItens[[#This Row],[Produto]],tProdutos[Produto],0)),"Não")</f>
        <v>Sim</v>
      </c>
      <c r="O8271" t="str">
        <f>IFERROR(INDEX(tEditais[SRP],MATCH(tItens[[#This Row],[Edital]],tEditais[Edital],0)),"Não")</f>
        <v>Não</v>
      </c>
      <c r="P8271" s="4">
        <f>IF(COUNTIFS(INDEX(tItens[Edital],1):tItens[[#This Row],[Edital]],tItens[[#This Row],[Edital]],INDEX(tItens[Produto],1):tItens[[#This Row],[Produto]],tItens[[#This Row],[Produto]])=1,1,0)</f>
        <v>0</v>
      </c>
    </row>
    <row r="8272" spans="1:16" x14ac:dyDescent="0.25">
      <c r="A8272" t="s">
        <v>2677</v>
      </c>
      <c r="B8272">
        <v>39</v>
      </c>
      <c r="C8272" t="s">
        <v>10736</v>
      </c>
      <c r="D8272" t="s">
        <v>160</v>
      </c>
      <c r="E8272" s="13">
        <v>350</v>
      </c>
      <c r="F8272" s="12">
        <v>20.8</v>
      </c>
      <c r="G8272" t="str">
        <f>IFERROR(INDEX(tEditais[Órgão],MATCH(tItens[[#This Row],[Edital]],tEditais[Edital],0)),"")</f>
        <v>MUNICIPIO DE JOINVILLE</v>
      </c>
      <c r="H8272" t="str">
        <f>IFERROR(INDEX(tEditais[UF],MATCH(tItens[[#This Row],[Edital]],tEditais[Edital],0)),"")</f>
        <v>SC</v>
      </c>
      <c r="I8272" s="11">
        <f>IFERROR(INDEX(tEditais[Encerramento],MATCH(tItens[[#This Row],[Edital]],tEditais[Edital],0)),"")</f>
        <v>46314.354166666664</v>
      </c>
      <c r="J8272" t="str">
        <f>IFERROR(INDEX(tProdutos[Classe],MATCH(tItens[[#This Row],[Produto]],tProdutos[Produto],0)),"produto não cadastrado")</f>
        <v>DISPUTADO</v>
      </c>
      <c r="K8272" s="12">
        <f>tItens[[#This Row],[Qtd]]*tItens[[#This Row],[Vlr unit]]</f>
        <v>7280</v>
      </c>
      <c r="L8272" s="6">
        <f>IFERROR(IF(INDEX(tProdutos[Desconto homologado],MATCH(tItens[[#This Row],[Produto]],tProdutos[Produto],0))="",DescontoPadrao,INDEX(tProdutos[Desconto homologado],MATCH(tItens[[#This Row],[Produto]],tProdutos[Produto],0))),DescontoPadrao)</f>
        <v>0.28000000000000003</v>
      </c>
      <c r="M8272" s="12">
        <f>tItens[[#This Row],[Valor]]*(1-tItens[[#This Row],[Desconto]])</f>
        <v>5241.5999999999995</v>
      </c>
      <c r="N8272" t="str">
        <f>IFERROR(INDEX(tProdutos[Foco],MATCH(tItens[[#This Row],[Produto]],tProdutos[Produto],0)),"Não")</f>
        <v>Sim</v>
      </c>
      <c r="O8272" t="str">
        <f>IFERROR(INDEX(tEditais[SRP],MATCH(tItens[[#This Row],[Edital]],tEditais[Edital],0)),"Não")</f>
        <v>Não</v>
      </c>
      <c r="P8272" s="4">
        <f>IF(COUNTIFS(INDEX(tItens[Edital],1):tItens[[#This Row],[Edital]],tItens[[#This Row],[Edital]],INDEX(tItens[Produto],1):tItens[[#This Row],[Produto]],tItens[[#This Row],[Produto]])=1,1,0)</f>
        <v>0</v>
      </c>
    </row>
    <row r="8273" spans="1:16" x14ac:dyDescent="0.25">
      <c r="A8273" t="s">
        <v>2677</v>
      </c>
      <c r="B8273">
        <v>51</v>
      </c>
      <c r="C8273" t="s">
        <v>10737</v>
      </c>
      <c r="D8273" t="s">
        <v>503</v>
      </c>
      <c r="E8273" s="13">
        <v>32007</v>
      </c>
      <c r="F8273" s="12">
        <v>12.17</v>
      </c>
      <c r="G8273" t="str">
        <f>IFERROR(INDEX(tEditais[Órgão],MATCH(tItens[[#This Row],[Edital]],tEditais[Edital],0)),"")</f>
        <v>MUNICIPIO DE JOINVILLE</v>
      </c>
      <c r="H8273" t="str">
        <f>IFERROR(INDEX(tEditais[UF],MATCH(tItens[[#This Row],[Edital]],tEditais[Edital],0)),"")</f>
        <v>SC</v>
      </c>
      <c r="I8273" s="11">
        <f>IFERROR(INDEX(tEditais[Encerramento],MATCH(tItens[[#This Row],[Edital]],tEditais[Edital],0)),"")</f>
        <v>46314.354166666664</v>
      </c>
      <c r="J8273" t="str">
        <f>IFERROR(INDEX(tProdutos[Classe],MATCH(tItens[[#This Row],[Produto]],tProdutos[Produto],0)),"produto não cadastrado")</f>
        <v>FILA REBASE</v>
      </c>
      <c r="K8273" s="12">
        <f>tItens[[#This Row],[Qtd]]*tItens[[#This Row],[Vlr unit]]</f>
        <v>389525.19</v>
      </c>
      <c r="L8273" s="6">
        <f>IFERROR(IF(INDEX(tProdutos[Desconto homologado],MATCH(tItens[[#This Row],[Produto]],tProdutos[Produto],0))="",DescontoPadrao,INDEX(tProdutos[Desconto homologado],MATCH(tItens[[#This Row],[Produto]],tProdutos[Produto],0))),DescontoPadrao)</f>
        <v>0.54492561591744004</v>
      </c>
      <c r="M8273" s="12">
        <f>tItens[[#This Row],[Valor]]*(1-tItens[[#This Row],[Desconto]])</f>
        <v>177262.93592389213</v>
      </c>
      <c r="N8273" t="str">
        <f>IFERROR(INDEX(tProdutos[Foco],MATCH(tItens[[#This Row],[Produto]],tProdutos[Produto],0)),"Não")</f>
        <v>Não</v>
      </c>
      <c r="O8273" t="str">
        <f>IFERROR(INDEX(tEditais[SRP],MATCH(tItens[[#This Row],[Edital]],tEditais[Edital],0)),"Não")</f>
        <v>Não</v>
      </c>
      <c r="P8273" s="4">
        <f>IF(COUNTIFS(INDEX(tItens[Edital],1):tItens[[#This Row],[Edital]],tItens[[#This Row],[Edital]],INDEX(tItens[Produto],1):tItens[[#This Row],[Produto]],tItens[[#This Row],[Produto]])=1,1,0)</f>
        <v>1</v>
      </c>
    </row>
    <row r="8274" spans="1:16" x14ac:dyDescent="0.25">
      <c r="A8274" t="s">
        <v>2677</v>
      </c>
      <c r="B8274">
        <v>52</v>
      </c>
      <c r="C8274" t="s">
        <v>6964</v>
      </c>
      <c r="D8274" t="s">
        <v>503</v>
      </c>
      <c r="E8274" s="13">
        <v>6573</v>
      </c>
      <c r="F8274" s="12">
        <v>12.17</v>
      </c>
      <c r="G8274" t="str">
        <f>IFERROR(INDEX(tEditais[Órgão],MATCH(tItens[[#This Row],[Edital]],tEditais[Edital],0)),"")</f>
        <v>MUNICIPIO DE JOINVILLE</v>
      </c>
      <c r="H8274" t="str">
        <f>IFERROR(INDEX(tEditais[UF],MATCH(tItens[[#This Row],[Edital]],tEditais[Edital],0)),"")</f>
        <v>SC</v>
      </c>
      <c r="I8274" s="11">
        <f>IFERROR(INDEX(tEditais[Encerramento],MATCH(tItens[[#This Row],[Edital]],tEditais[Edital],0)),"")</f>
        <v>46314.354166666664</v>
      </c>
      <c r="J8274" t="str">
        <f>IFERROR(INDEX(tProdutos[Classe],MATCH(tItens[[#This Row],[Produto]],tProdutos[Produto],0)),"produto não cadastrado")</f>
        <v>FILA REBASE</v>
      </c>
      <c r="K8274" s="12">
        <f>tItens[[#This Row],[Qtd]]*tItens[[#This Row],[Vlr unit]]</f>
        <v>79993.41</v>
      </c>
      <c r="L8274" s="6">
        <f>IFERROR(IF(INDEX(tProdutos[Desconto homologado],MATCH(tItens[[#This Row],[Produto]],tProdutos[Produto],0))="",DescontoPadrao,INDEX(tProdutos[Desconto homologado],MATCH(tItens[[#This Row],[Produto]],tProdutos[Produto],0))),DescontoPadrao)</f>
        <v>0.54492561591744004</v>
      </c>
      <c r="M8274" s="12">
        <f>tItens[[#This Row],[Valor]]*(1-tItens[[#This Row],[Desconto]])</f>
        <v>36402.951786413694</v>
      </c>
      <c r="N8274" t="str">
        <f>IFERROR(INDEX(tProdutos[Foco],MATCH(tItens[[#This Row],[Produto]],tProdutos[Produto],0)),"Não")</f>
        <v>Não</v>
      </c>
      <c r="O8274" t="str">
        <f>IFERROR(INDEX(tEditais[SRP],MATCH(tItens[[#This Row],[Edital]],tEditais[Edital],0)),"Não")</f>
        <v>Não</v>
      </c>
      <c r="P8274" s="4">
        <f>IF(COUNTIFS(INDEX(tItens[Edital],1):tItens[[#This Row],[Edital]],tItens[[#This Row],[Edital]],INDEX(tItens[Produto],1):tItens[[#This Row],[Produto]],tItens[[#This Row],[Produto]])=1,1,0)</f>
        <v>0</v>
      </c>
    </row>
    <row r="8275" spans="1:16" x14ac:dyDescent="0.25">
      <c r="A8275" t="s">
        <v>2677</v>
      </c>
      <c r="B8275">
        <v>54</v>
      </c>
      <c r="C8275" t="s">
        <v>10738</v>
      </c>
      <c r="D8275" t="s">
        <v>503</v>
      </c>
      <c r="E8275" s="13">
        <v>14070</v>
      </c>
      <c r="F8275" s="12">
        <v>2.68</v>
      </c>
      <c r="G8275" t="str">
        <f>IFERROR(INDEX(tEditais[Órgão],MATCH(tItens[[#This Row],[Edital]],tEditais[Edital],0)),"")</f>
        <v>MUNICIPIO DE JOINVILLE</v>
      </c>
      <c r="H8275" t="str">
        <f>IFERROR(INDEX(tEditais[UF],MATCH(tItens[[#This Row],[Edital]],tEditais[Edital],0)),"")</f>
        <v>SC</v>
      </c>
      <c r="I8275" s="11">
        <f>IFERROR(INDEX(tEditais[Encerramento],MATCH(tItens[[#This Row],[Edital]],tEditais[Edital],0)),"")</f>
        <v>46314.354166666664</v>
      </c>
      <c r="J8275" t="str">
        <f>IFERROR(INDEX(tProdutos[Classe],MATCH(tItens[[#This Row],[Produto]],tProdutos[Produto],0)),"produto não cadastrado")</f>
        <v>FILA REBASE</v>
      </c>
      <c r="K8275" s="12">
        <f>tItens[[#This Row],[Qtd]]*tItens[[#This Row],[Vlr unit]]</f>
        <v>37707.600000000006</v>
      </c>
      <c r="L8275" s="6">
        <f>IFERROR(IF(INDEX(tProdutos[Desconto homologado],MATCH(tItens[[#This Row],[Produto]],tProdutos[Produto],0))="",DescontoPadrao,INDEX(tProdutos[Desconto homologado],MATCH(tItens[[#This Row],[Produto]],tProdutos[Produto],0))),DescontoPadrao)</f>
        <v>0.54492561591744004</v>
      </c>
      <c r="M8275" s="12">
        <f>tItens[[#This Row],[Valor]]*(1-tItens[[#This Row],[Desconto]])</f>
        <v>17159.76284523154</v>
      </c>
      <c r="N8275" t="str">
        <f>IFERROR(INDEX(tProdutos[Foco],MATCH(tItens[[#This Row],[Produto]],tProdutos[Produto],0)),"Não")</f>
        <v>Não</v>
      </c>
      <c r="O8275" t="str">
        <f>IFERROR(INDEX(tEditais[SRP],MATCH(tItens[[#This Row],[Edital]],tEditais[Edital],0)),"Não")</f>
        <v>Não</v>
      </c>
      <c r="P8275" s="4">
        <f>IF(COUNTIFS(INDEX(tItens[Edital],1):tItens[[#This Row],[Edital]],tItens[[#This Row],[Edital]],INDEX(tItens[Produto],1):tItens[[#This Row],[Produto]],tItens[[#This Row],[Produto]])=1,1,0)</f>
        <v>0</v>
      </c>
    </row>
    <row r="8276" spans="1:16" x14ac:dyDescent="0.25">
      <c r="A8276" t="s">
        <v>2677</v>
      </c>
      <c r="B8276">
        <v>56</v>
      </c>
      <c r="C8276" t="s">
        <v>10739</v>
      </c>
      <c r="D8276" t="s">
        <v>503</v>
      </c>
      <c r="E8276" s="13">
        <v>10470</v>
      </c>
      <c r="F8276" s="12">
        <v>5.79</v>
      </c>
      <c r="G8276" t="str">
        <f>IFERROR(INDEX(tEditais[Órgão],MATCH(tItens[[#This Row],[Edital]],tEditais[Edital],0)),"")</f>
        <v>MUNICIPIO DE JOINVILLE</v>
      </c>
      <c r="H8276" t="str">
        <f>IFERROR(INDEX(tEditais[UF],MATCH(tItens[[#This Row],[Edital]],tEditais[Edital],0)),"")</f>
        <v>SC</v>
      </c>
      <c r="I8276" s="11">
        <f>IFERROR(INDEX(tEditais[Encerramento],MATCH(tItens[[#This Row],[Edital]],tEditais[Edital],0)),"")</f>
        <v>46314.354166666664</v>
      </c>
      <c r="J8276" t="str">
        <f>IFERROR(INDEX(tProdutos[Classe],MATCH(tItens[[#This Row],[Produto]],tProdutos[Produto],0)),"produto não cadastrado")</f>
        <v>FILA REBASE</v>
      </c>
      <c r="K8276" s="12">
        <f>tItens[[#This Row],[Qtd]]*tItens[[#This Row],[Vlr unit]]</f>
        <v>60621.3</v>
      </c>
      <c r="L8276" s="6">
        <f>IFERROR(IF(INDEX(tProdutos[Desconto homologado],MATCH(tItens[[#This Row],[Produto]],tProdutos[Produto],0))="",DescontoPadrao,INDEX(tProdutos[Desconto homologado],MATCH(tItens[[#This Row],[Produto]],tProdutos[Produto],0))),DescontoPadrao)</f>
        <v>0.54492561591744004</v>
      </c>
      <c r="M8276" s="12">
        <f>tItens[[#This Row],[Valor]]*(1-tItens[[#This Row],[Desconto]])</f>
        <v>27587.200759784093</v>
      </c>
      <c r="N8276" t="str">
        <f>IFERROR(INDEX(tProdutos[Foco],MATCH(tItens[[#This Row],[Produto]],tProdutos[Produto],0)),"Não")</f>
        <v>Não</v>
      </c>
      <c r="O8276" t="str">
        <f>IFERROR(INDEX(tEditais[SRP],MATCH(tItens[[#This Row],[Edital]],tEditais[Edital],0)),"Não")</f>
        <v>Não</v>
      </c>
      <c r="P8276" s="4">
        <f>IF(COUNTIFS(INDEX(tItens[Edital],1):tItens[[#This Row],[Edital]],tItens[[#This Row],[Edital]],INDEX(tItens[Produto],1):tItens[[#This Row],[Produto]],tItens[[#This Row],[Produto]])=1,1,0)</f>
        <v>0</v>
      </c>
    </row>
    <row r="8277" spans="1:16" x14ac:dyDescent="0.25">
      <c r="A8277" t="s">
        <v>2677</v>
      </c>
      <c r="B8277">
        <v>58</v>
      </c>
      <c r="C8277" t="s">
        <v>10740</v>
      </c>
      <c r="D8277" t="s">
        <v>267</v>
      </c>
      <c r="E8277" s="13">
        <v>46500</v>
      </c>
      <c r="F8277" s="12">
        <v>2.14</v>
      </c>
      <c r="G8277" t="str">
        <f>IFERROR(INDEX(tEditais[Órgão],MATCH(tItens[[#This Row],[Edital]],tEditais[Edital],0)),"")</f>
        <v>MUNICIPIO DE JOINVILLE</v>
      </c>
      <c r="H8277" t="str">
        <f>IFERROR(INDEX(tEditais[UF],MATCH(tItens[[#This Row],[Edital]],tEditais[Edital],0)),"")</f>
        <v>SC</v>
      </c>
      <c r="I8277" s="11">
        <f>IFERROR(INDEX(tEditais[Encerramento],MATCH(tItens[[#This Row],[Edital]],tEditais[Edital],0)),"")</f>
        <v>46314.354166666664</v>
      </c>
      <c r="J8277" t="str">
        <f>IFERROR(INDEX(tProdutos[Classe],MATCH(tItens[[#This Row],[Produto]],tProdutos[Produto],0)),"produto não cadastrado")</f>
        <v>FORA</v>
      </c>
      <c r="K8277" s="12">
        <f>tItens[[#This Row],[Qtd]]*tItens[[#This Row],[Vlr unit]]</f>
        <v>99510</v>
      </c>
      <c r="L8277" s="6">
        <f>IFERROR(IF(INDEX(tProdutos[Desconto homologado],MATCH(tItens[[#This Row],[Produto]],tProdutos[Produto],0))="",DescontoPadrao,INDEX(tProdutos[Desconto homologado],MATCH(tItens[[#This Row],[Produto]],tProdutos[Produto],0))),DescontoPadrao)</f>
        <v>0.19963672657401599</v>
      </c>
      <c r="M8277" s="12">
        <f>tItens[[#This Row],[Valor]]*(1-tItens[[#This Row],[Desconto]])</f>
        <v>79644.149338619667</v>
      </c>
      <c r="N8277" t="str">
        <f>IFERROR(INDEX(tProdutos[Foco],MATCH(tItens[[#This Row],[Produto]],tProdutos[Produto],0)),"Não")</f>
        <v>Não</v>
      </c>
      <c r="O8277" t="str">
        <f>IFERROR(INDEX(tEditais[SRP],MATCH(tItens[[#This Row],[Edital]],tEditais[Edital],0)),"Não")</f>
        <v>Não</v>
      </c>
      <c r="P8277" s="4">
        <f>IF(COUNTIFS(INDEX(tItens[Edital],1):tItens[[#This Row],[Edital]],tItens[[#This Row],[Edital]],INDEX(tItens[Produto],1):tItens[[#This Row],[Produto]],tItens[[#This Row],[Produto]])=1,1,0)</f>
        <v>1</v>
      </c>
    </row>
    <row r="8278" spans="1:16" x14ac:dyDescent="0.25">
      <c r="A8278" t="s">
        <v>2677</v>
      </c>
      <c r="B8278">
        <v>59</v>
      </c>
      <c r="C8278" t="s">
        <v>10740</v>
      </c>
      <c r="D8278" t="s">
        <v>267</v>
      </c>
      <c r="E8278" s="13">
        <v>15500</v>
      </c>
      <c r="F8278" s="12">
        <v>2.14</v>
      </c>
      <c r="G8278" t="str">
        <f>IFERROR(INDEX(tEditais[Órgão],MATCH(tItens[[#This Row],[Edital]],tEditais[Edital],0)),"")</f>
        <v>MUNICIPIO DE JOINVILLE</v>
      </c>
      <c r="H8278" t="str">
        <f>IFERROR(INDEX(tEditais[UF],MATCH(tItens[[#This Row],[Edital]],tEditais[Edital],0)),"")</f>
        <v>SC</v>
      </c>
      <c r="I8278" s="11">
        <f>IFERROR(INDEX(tEditais[Encerramento],MATCH(tItens[[#This Row],[Edital]],tEditais[Edital],0)),"")</f>
        <v>46314.354166666664</v>
      </c>
      <c r="J8278" t="str">
        <f>IFERROR(INDEX(tProdutos[Classe],MATCH(tItens[[#This Row],[Produto]],tProdutos[Produto],0)),"produto não cadastrado")</f>
        <v>FORA</v>
      </c>
      <c r="K8278" s="12">
        <f>tItens[[#This Row],[Qtd]]*tItens[[#This Row],[Vlr unit]]</f>
        <v>33170</v>
      </c>
      <c r="L8278" s="6">
        <f>IFERROR(IF(INDEX(tProdutos[Desconto homologado],MATCH(tItens[[#This Row],[Produto]],tProdutos[Produto],0))="",DescontoPadrao,INDEX(tProdutos[Desconto homologado],MATCH(tItens[[#This Row],[Produto]],tProdutos[Produto],0))),DescontoPadrao)</f>
        <v>0.19963672657401599</v>
      </c>
      <c r="M8278" s="12">
        <f>tItens[[#This Row],[Valor]]*(1-tItens[[#This Row],[Desconto]])</f>
        <v>26548.049779539891</v>
      </c>
      <c r="N8278" t="str">
        <f>IFERROR(INDEX(tProdutos[Foco],MATCH(tItens[[#This Row],[Produto]],tProdutos[Produto],0)),"Não")</f>
        <v>Não</v>
      </c>
      <c r="O8278" t="str">
        <f>IFERROR(INDEX(tEditais[SRP],MATCH(tItens[[#This Row],[Edital]],tEditais[Edital],0)),"Não")</f>
        <v>Não</v>
      </c>
      <c r="P8278" s="4">
        <f>IF(COUNTIFS(INDEX(tItens[Edital],1):tItens[[#This Row],[Edital]],tItens[[#This Row],[Edital]],INDEX(tItens[Produto],1):tItens[[#This Row],[Produto]],tItens[[#This Row],[Produto]])=1,1,0)</f>
        <v>0</v>
      </c>
    </row>
    <row r="8279" spans="1:16" x14ac:dyDescent="0.25">
      <c r="A8279" t="s">
        <v>2681</v>
      </c>
      <c r="B8279">
        <v>50</v>
      </c>
      <c r="C8279" t="s">
        <v>10741</v>
      </c>
      <c r="D8279" t="s">
        <v>142</v>
      </c>
      <c r="E8279" s="13">
        <v>25</v>
      </c>
      <c r="F8279" s="12">
        <v>10.4</v>
      </c>
      <c r="G8279" t="str">
        <f>IFERROR(INDEX(tEditais[Órgão],MATCH(tItens[[#This Row],[Edital]],tEditais[Edital],0)),"")</f>
        <v>INSTITUTO FEDERAL DE EDUCACAO, CIENCIA E TECNOLOGIA DE SANTA CATARINA</v>
      </c>
      <c r="H8279" t="str">
        <f>IFERROR(INDEX(tEditais[UF],MATCH(tItens[[#This Row],[Edital]],tEditais[Edital],0)),"")</f>
        <v>SC</v>
      </c>
      <c r="I8279" s="11">
        <f>IFERROR(INDEX(tEditais[Encerramento],MATCH(tItens[[#This Row],[Edital]],tEditais[Edital],0)),"")</f>
        <v>46314.583333333336</v>
      </c>
      <c r="J8279" t="str">
        <f>IFERROR(INDEX(tProdutos[Classe],MATCH(tItens[[#This Row],[Produto]],tProdutos[Produto],0)),"produto não cadastrado")</f>
        <v>DISPUTADO</v>
      </c>
      <c r="K8279" s="12">
        <f>tItens[[#This Row],[Qtd]]*tItens[[#This Row],[Vlr unit]]</f>
        <v>260</v>
      </c>
      <c r="L8279" s="6">
        <f>IFERROR(IF(INDEX(tProdutos[Desconto homologado],MATCH(tItens[[#This Row],[Produto]],tProdutos[Produto],0))="",DescontoPadrao,INDEX(tProdutos[Desconto homologado],MATCH(tItens[[#This Row],[Produto]],tProdutos[Produto],0))),DescontoPadrao)</f>
        <v>0.37093619495691699</v>
      </c>
      <c r="M8279" s="12">
        <f>tItens[[#This Row],[Valor]]*(1-tItens[[#This Row],[Desconto]])</f>
        <v>163.55658931120158</v>
      </c>
      <c r="N8279" t="str">
        <f>IFERROR(INDEX(tProdutos[Foco],MATCH(tItens[[#This Row],[Produto]],tProdutos[Produto],0)),"Não")</f>
        <v>Não</v>
      </c>
      <c r="O8279" t="str">
        <f>IFERROR(INDEX(tEditais[SRP],MATCH(tItens[[#This Row],[Edital]],tEditais[Edital],0)),"Não")</f>
        <v>Não</v>
      </c>
      <c r="P8279" s="4">
        <f>IF(COUNTIFS(INDEX(tItens[Edital],1):tItens[[#This Row],[Edital]],tItens[[#This Row],[Edital]],INDEX(tItens[Produto],1):tItens[[#This Row],[Produto]],tItens[[#This Row],[Produto]])=1,1,0)</f>
        <v>1</v>
      </c>
    </row>
    <row r="8280" spans="1:16" x14ac:dyDescent="0.25">
      <c r="A8280" t="s">
        <v>2681</v>
      </c>
      <c r="B8280">
        <v>67</v>
      </c>
      <c r="C8280" t="s">
        <v>3328</v>
      </c>
      <c r="D8280" t="s">
        <v>411</v>
      </c>
      <c r="E8280" s="13">
        <v>1</v>
      </c>
      <c r="F8280" s="12">
        <v>35.69</v>
      </c>
      <c r="G8280" t="str">
        <f>IFERROR(INDEX(tEditais[Órgão],MATCH(tItens[[#This Row],[Edital]],tEditais[Edital],0)),"")</f>
        <v>INSTITUTO FEDERAL DE EDUCACAO, CIENCIA E TECNOLOGIA DE SANTA CATARINA</v>
      </c>
      <c r="H8280" t="str">
        <f>IFERROR(INDEX(tEditais[UF],MATCH(tItens[[#This Row],[Edital]],tEditais[Edital],0)),"")</f>
        <v>SC</v>
      </c>
      <c r="I8280" s="11">
        <f>IFERROR(INDEX(tEditais[Encerramento],MATCH(tItens[[#This Row],[Edital]],tEditais[Edital],0)),"")</f>
        <v>46314.583333333336</v>
      </c>
      <c r="J8280" t="str">
        <f>IFERROR(INDEX(tProdutos[Classe],MATCH(tItens[[#This Row],[Produto]],tProdutos[Produto],0)),"produto não cadastrado")</f>
        <v>FORA</v>
      </c>
      <c r="K8280" s="12">
        <f>tItens[[#This Row],[Qtd]]*tItens[[#This Row],[Vlr unit]]</f>
        <v>35.69</v>
      </c>
      <c r="L8280" s="6">
        <f>IFERROR(IF(INDEX(tProdutos[Desconto homologado],MATCH(tItens[[#This Row],[Produto]],tProdutos[Produto],0))="",DescontoPadrao,INDEX(tProdutos[Desconto homologado],MATCH(tItens[[#This Row],[Produto]],tProdutos[Produto],0))),DescontoPadrao)</f>
        <v>0.50029835957199398</v>
      </c>
      <c r="M8280" s="12">
        <f>tItens[[#This Row],[Valor]]*(1-tItens[[#This Row],[Desconto]])</f>
        <v>17.834351546875535</v>
      </c>
      <c r="N8280" t="str">
        <f>IFERROR(INDEX(tProdutos[Foco],MATCH(tItens[[#This Row],[Produto]],tProdutos[Produto],0)),"Não")</f>
        <v>Não</v>
      </c>
      <c r="O8280" t="str">
        <f>IFERROR(INDEX(tEditais[SRP],MATCH(tItens[[#This Row],[Edital]],tEditais[Edital],0)),"Não")</f>
        <v>Não</v>
      </c>
      <c r="P8280" s="4">
        <f>IF(COUNTIFS(INDEX(tItens[Edital],1):tItens[[#This Row],[Edital]],tItens[[#This Row],[Edital]],INDEX(tItens[Produto],1):tItens[[#This Row],[Produto]],tItens[[#This Row],[Produto]])=1,1,0)</f>
        <v>1</v>
      </c>
    </row>
    <row r="8281" spans="1:16" x14ac:dyDescent="0.25">
      <c r="A8281" t="s">
        <v>2681</v>
      </c>
      <c r="B8281">
        <v>76</v>
      </c>
      <c r="C8281" t="s">
        <v>10742</v>
      </c>
      <c r="D8281" t="s">
        <v>277</v>
      </c>
      <c r="E8281" s="13">
        <v>10</v>
      </c>
      <c r="F8281" s="12">
        <v>23.99</v>
      </c>
      <c r="G8281" t="str">
        <f>IFERROR(INDEX(tEditais[Órgão],MATCH(tItens[[#This Row],[Edital]],tEditais[Edital],0)),"")</f>
        <v>INSTITUTO FEDERAL DE EDUCACAO, CIENCIA E TECNOLOGIA DE SANTA CATARINA</v>
      </c>
      <c r="H8281" t="str">
        <f>IFERROR(INDEX(tEditais[UF],MATCH(tItens[[#This Row],[Edital]],tEditais[Edital],0)),"")</f>
        <v>SC</v>
      </c>
      <c r="I8281" s="11">
        <f>IFERROR(INDEX(tEditais[Encerramento],MATCH(tItens[[#This Row],[Edital]],tEditais[Edital],0)),"")</f>
        <v>46314.583333333336</v>
      </c>
      <c r="J8281" t="str">
        <f>IFERROR(INDEX(tProdutos[Classe],MATCH(tItens[[#This Row],[Produto]],tProdutos[Produto],0)),"produto não cadastrado")</f>
        <v>DISPUTADO</v>
      </c>
      <c r="K8281" s="12">
        <f>tItens[[#This Row],[Qtd]]*tItens[[#This Row],[Vlr unit]]</f>
        <v>239.89999999999998</v>
      </c>
      <c r="L8281" s="6">
        <f>IFERROR(IF(INDEX(tProdutos[Desconto homologado],MATCH(tItens[[#This Row],[Produto]],tProdutos[Produto],0))="",DescontoPadrao,INDEX(tProdutos[Desconto homologado],MATCH(tItens[[#This Row],[Produto]],tProdutos[Produto],0))),DescontoPadrao)</f>
        <v>0.50460666194188497</v>
      </c>
      <c r="M8281" s="12">
        <f>tItens[[#This Row],[Valor]]*(1-tItens[[#This Row],[Desconto]])</f>
        <v>118.84486180014179</v>
      </c>
      <c r="N8281" t="str">
        <f>IFERROR(INDEX(tProdutos[Foco],MATCH(tItens[[#This Row],[Produto]],tProdutos[Produto],0)),"Não")</f>
        <v>Não</v>
      </c>
      <c r="O8281" t="str">
        <f>IFERROR(INDEX(tEditais[SRP],MATCH(tItens[[#This Row],[Edital]],tEditais[Edital],0)),"Não")</f>
        <v>Não</v>
      </c>
      <c r="P8281" s="4">
        <f>IF(COUNTIFS(INDEX(tItens[Edital],1):tItens[[#This Row],[Edital]],tItens[[#This Row],[Edital]],INDEX(tItens[Produto],1):tItens[[#This Row],[Produto]],tItens[[#This Row],[Produto]])=1,1,0)</f>
        <v>1</v>
      </c>
    </row>
    <row r="8282" spans="1:16" x14ac:dyDescent="0.25">
      <c r="A8282" t="s">
        <v>2681</v>
      </c>
      <c r="B8282">
        <v>77</v>
      </c>
      <c r="C8282" t="s">
        <v>10743</v>
      </c>
      <c r="D8282" t="s">
        <v>267</v>
      </c>
      <c r="E8282" s="13">
        <v>21</v>
      </c>
      <c r="F8282" s="12">
        <v>83.48</v>
      </c>
      <c r="G8282" t="str">
        <f>IFERROR(INDEX(tEditais[Órgão],MATCH(tItens[[#This Row],[Edital]],tEditais[Edital],0)),"")</f>
        <v>INSTITUTO FEDERAL DE EDUCACAO, CIENCIA E TECNOLOGIA DE SANTA CATARINA</v>
      </c>
      <c r="H8282" t="str">
        <f>IFERROR(INDEX(tEditais[UF],MATCH(tItens[[#This Row],[Edital]],tEditais[Edital],0)),"")</f>
        <v>SC</v>
      </c>
      <c r="I8282" s="11">
        <f>IFERROR(INDEX(tEditais[Encerramento],MATCH(tItens[[#This Row],[Edital]],tEditais[Edital],0)),"")</f>
        <v>46314.583333333336</v>
      </c>
      <c r="J8282" t="str">
        <f>IFERROR(INDEX(tProdutos[Classe],MATCH(tItens[[#This Row],[Produto]],tProdutos[Produto],0)),"produto não cadastrado")</f>
        <v>FORA</v>
      </c>
      <c r="K8282" s="12">
        <f>tItens[[#This Row],[Qtd]]*tItens[[#This Row],[Vlr unit]]</f>
        <v>1753.0800000000002</v>
      </c>
      <c r="L8282" s="6">
        <f>IFERROR(IF(INDEX(tProdutos[Desconto homologado],MATCH(tItens[[#This Row],[Produto]],tProdutos[Produto],0))="",DescontoPadrao,INDEX(tProdutos[Desconto homologado],MATCH(tItens[[#This Row],[Produto]],tProdutos[Produto],0))),DescontoPadrao)</f>
        <v>0.19963672657401599</v>
      </c>
      <c r="M8282" s="12">
        <f>tItens[[#This Row],[Valor]]*(1-tItens[[#This Row],[Desconto]])</f>
        <v>1403.1008473776242</v>
      </c>
      <c r="N8282" t="str">
        <f>IFERROR(INDEX(tProdutos[Foco],MATCH(tItens[[#This Row],[Produto]],tProdutos[Produto],0)),"Não")</f>
        <v>Não</v>
      </c>
      <c r="O8282" t="str">
        <f>IFERROR(INDEX(tEditais[SRP],MATCH(tItens[[#This Row],[Edital]],tEditais[Edital],0)),"Não")</f>
        <v>Não</v>
      </c>
      <c r="P8282" s="4">
        <f>IF(COUNTIFS(INDEX(tItens[Edital],1):tItens[[#This Row],[Edital]],tItens[[#This Row],[Edital]],INDEX(tItens[Produto],1):tItens[[#This Row],[Produto]],tItens[[#This Row],[Produto]])=1,1,0)</f>
        <v>1</v>
      </c>
    </row>
    <row r="8283" spans="1:16" x14ac:dyDescent="0.25">
      <c r="A8283" t="s">
        <v>2684</v>
      </c>
      <c r="B8283">
        <v>8056154</v>
      </c>
      <c r="C8283" t="s">
        <v>10744</v>
      </c>
      <c r="D8283" t="s">
        <v>82</v>
      </c>
      <c r="E8283" s="13">
        <v>100</v>
      </c>
      <c r="F8283" s="12">
        <v>64.27</v>
      </c>
      <c r="G8283" t="str">
        <f>IFERROR(INDEX(tEditais[Órgão],MATCH(tItens[[#This Row],[Edital]],tEditais[Edital],0)),"")</f>
        <v>FUNDO MUNICIPAL DE SAUDE</v>
      </c>
      <c r="H8283" t="str">
        <f>IFERROR(INDEX(tEditais[UF],MATCH(tItens[[#This Row],[Edital]],tEditais[Edital],0)),"")</f>
        <v>SE</v>
      </c>
      <c r="I8283" s="11">
        <f>IFERROR(INDEX(tEditais[Encerramento],MATCH(tItens[[#This Row],[Edital]],tEditais[Edital],0)),"")</f>
        <v>46309.395833333336</v>
      </c>
      <c r="J8283" t="str">
        <f>IFERROR(INDEX(tProdutos[Classe],MATCH(tItens[[#This Row],[Produto]],tProdutos[Produto],0)),"produto não cadastrado")</f>
        <v>NÚCLEO</v>
      </c>
      <c r="K8283" s="12">
        <f>tItens[[#This Row],[Qtd]]*tItens[[#This Row],[Vlr unit]]</f>
        <v>6427</v>
      </c>
      <c r="L8283" s="6">
        <f>IFERROR(IF(INDEX(tProdutos[Desconto homologado],MATCH(tItens[[#This Row],[Produto]],tProdutos[Produto],0))="",DescontoPadrao,INDEX(tProdutos[Desconto homologado],MATCH(tItens[[#This Row],[Produto]],tProdutos[Produto],0))),DescontoPadrao)</f>
        <v>0.40487090276506099</v>
      </c>
      <c r="M8283" s="12">
        <f>tItens[[#This Row],[Valor]]*(1-tItens[[#This Row],[Desconto]])</f>
        <v>3824.8947079289528</v>
      </c>
      <c r="N8283" t="str">
        <f>IFERROR(INDEX(tProdutos[Foco],MATCH(tItens[[#This Row],[Produto]],tProdutos[Produto],0)),"Não")</f>
        <v>Não</v>
      </c>
      <c r="O8283" t="str">
        <f>IFERROR(INDEX(tEditais[SRP],MATCH(tItens[[#This Row],[Edital]],tEditais[Edital],0)),"Não")</f>
        <v>Sim</v>
      </c>
      <c r="P8283" s="4">
        <f>IF(COUNTIFS(INDEX(tItens[Edital],1):tItens[[#This Row],[Edital]],tItens[[#This Row],[Edital]],INDEX(tItens[Produto],1):tItens[[#This Row],[Produto]],tItens[[#This Row],[Produto]])=1,1,0)</f>
        <v>1</v>
      </c>
    </row>
    <row r="8284" spans="1:16" x14ac:dyDescent="0.25">
      <c r="A8284" t="s">
        <v>2684</v>
      </c>
      <c r="B8284">
        <v>8056166</v>
      </c>
      <c r="C8284" t="s">
        <v>10745</v>
      </c>
      <c r="D8284" t="s">
        <v>100</v>
      </c>
      <c r="E8284" s="13">
        <v>50</v>
      </c>
      <c r="F8284" s="12">
        <v>58.17</v>
      </c>
      <c r="G8284" t="str">
        <f>IFERROR(INDEX(tEditais[Órgão],MATCH(tItens[[#This Row],[Edital]],tEditais[Edital],0)),"")</f>
        <v>FUNDO MUNICIPAL DE SAUDE</v>
      </c>
      <c r="H8284" t="str">
        <f>IFERROR(INDEX(tEditais[UF],MATCH(tItens[[#This Row],[Edital]],tEditais[Edital],0)),"")</f>
        <v>SE</v>
      </c>
      <c r="I8284" s="11">
        <f>IFERROR(INDEX(tEditais[Encerramento],MATCH(tItens[[#This Row],[Edital]],tEditais[Edital],0)),"")</f>
        <v>46309.395833333336</v>
      </c>
      <c r="J8284" t="str">
        <f>IFERROR(INDEX(tProdutos[Classe],MATCH(tItens[[#This Row],[Produto]],tProdutos[Produto],0)),"produto não cadastrado")</f>
        <v>NÚCLEO</v>
      </c>
      <c r="K8284" s="12">
        <f>tItens[[#This Row],[Qtd]]*tItens[[#This Row],[Vlr unit]]</f>
        <v>2908.5</v>
      </c>
      <c r="L8284" s="6">
        <f>IFERROR(IF(INDEX(tProdutos[Desconto homologado],MATCH(tItens[[#This Row],[Produto]],tProdutos[Produto],0))="",DescontoPadrao,INDEX(tProdutos[Desconto homologado],MATCH(tItens[[#This Row],[Produto]],tProdutos[Produto],0))),DescontoPadrao)</f>
        <v>0.24</v>
      </c>
      <c r="M8284" s="12">
        <f>tItens[[#This Row],[Valor]]*(1-tItens[[#This Row],[Desconto]])</f>
        <v>2210.46</v>
      </c>
      <c r="N8284" t="str">
        <f>IFERROR(INDEX(tProdutos[Foco],MATCH(tItens[[#This Row],[Produto]],tProdutos[Produto],0)),"Não")</f>
        <v>Sim</v>
      </c>
      <c r="O8284" t="str">
        <f>IFERROR(INDEX(tEditais[SRP],MATCH(tItens[[#This Row],[Edital]],tEditais[Edital],0)),"Não")</f>
        <v>Sim</v>
      </c>
      <c r="P8284" s="4">
        <f>IF(COUNTIFS(INDEX(tItens[Edital],1):tItens[[#This Row],[Edital]],tItens[[#This Row],[Edital]],INDEX(tItens[Produto],1):tItens[[#This Row],[Produto]],tItens[[#This Row],[Produto]])=1,1,0)</f>
        <v>1</v>
      </c>
    </row>
    <row r="8285" spans="1:16" x14ac:dyDescent="0.25">
      <c r="A8285" t="s">
        <v>2684</v>
      </c>
      <c r="B8285">
        <v>8056175</v>
      </c>
      <c r="C8285" t="s">
        <v>10746</v>
      </c>
      <c r="D8285" t="s">
        <v>313</v>
      </c>
      <c r="E8285" s="13">
        <v>400</v>
      </c>
      <c r="F8285" s="12">
        <v>37.17</v>
      </c>
      <c r="G8285" t="str">
        <f>IFERROR(INDEX(tEditais[Órgão],MATCH(tItens[[#This Row],[Edital]],tEditais[Edital],0)),"")</f>
        <v>FUNDO MUNICIPAL DE SAUDE</v>
      </c>
      <c r="H8285" t="str">
        <f>IFERROR(INDEX(tEditais[UF],MATCH(tItens[[#This Row],[Edital]],tEditais[Edital],0)),"")</f>
        <v>SE</v>
      </c>
      <c r="I8285" s="11">
        <f>IFERROR(INDEX(tEditais[Encerramento],MATCH(tItens[[#This Row],[Edital]],tEditais[Edital],0)),"")</f>
        <v>46309.395833333336</v>
      </c>
      <c r="J8285" t="str">
        <f>IFERROR(INDEX(tProdutos[Classe],MATCH(tItens[[#This Row],[Produto]],tProdutos[Produto],0)),"produto não cadastrado")</f>
        <v>FORA</v>
      </c>
      <c r="K8285" s="12">
        <f>tItens[[#This Row],[Qtd]]*tItens[[#This Row],[Vlr unit]]</f>
        <v>14868</v>
      </c>
      <c r="L8285" s="6">
        <f>IFERROR(IF(INDEX(tProdutos[Desconto homologado],MATCH(tItens[[#This Row],[Produto]],tProdutos[Produto],0))="",DescontoPadrao,INDEX(tProdutos[Desconto homologado],MATCH(tItens[[#This Row],[Produto]],tProdutos[Produto],0))),DescontoPadrao)</f>
        <v>0.35766373163696302</v>
      </c>
      <c r="M8285" s="12">
        <f>tItens[[#This Row],[Valor]]*(1-tItens[[#This Row],[Desconto]])</f>
        <v>9550.2556380216338</v>
      </c>
      <c r="N8285" t="str">
        <f>IFERROR(INDEX(tProdutos[Foco],MATCH(tItens[[#This Row],[Produto]],tProdutos[Produto],0)),"Não")</f>
        <v>Não</v>
      </c>
      <c r="O8285" t="str">
        <f>IFERROR(INDEX(tEditais[SRP],MATCH(tItens[[#This Row],[Edital]],tEditais[Edital],0)),"Não")</f>
        <v>Sim</v>
      </c>
      <c r="P8285" s="4">
        <f>IF(COUNTIFS(INDEX(tItens[Edital],1):tItens[[#This Row],[Edital]],tItens[[#This Row],[Edital]],INDEX(tItens[Produto],1):tItens[[#This Row],[Produto]],tItens[[#This Row],[Produto]])=1,1,0)</f>
        <v>1</v>
      </c>
    </row>
    <row r="8286" spans="1:16" x14ac:dyDescent="0.25">
      <c r="A8286" t="s">
        <v>2684</v>
      </c>
      <c r="B8286">
        <v>8056176</v>
      </c>
      <c r="C8286" t="s">
        <v>10747</v>
      </c>
      <c r="D8286" t="s">
        <v>313</v>
      </c>
      <c r="E8286" s="13">
        <v>400</v>
      </c>
      <c r="F8286" s="12">
        <v>33.549999999999997</v>
      </c>
      <c r="G8286" t="str">
        <f>IFERROR(INDEX(tEditais[Órgão],MATCH(tItens[[#This Row],[Edital]],tEditais[Edital],0)),"")</f>
        <v>FUNDO MUNICIPAL DE SAUDE</v>
      </c>
      <c r="H8286" t="str">
        <f>IFERROR(INDEX(tEditais[UF],MATCH(tItens[[#This Row],[Edital]],tEditais[Edital],0)),"")</f>
        <v>SE</v>
      </c>
      <c r="I8286" s="11">
        <f>IFERROR(INDEX(tEditais[Encerramento],MATCH(tItens[[#This Row],[Edital]],tEditais[Edital],0)),"")</f>
        <v>46309.395833333336</v>
      </c>
      <c r="J8286" t="str">
        <f>IFERROR(INDEX(tProdutos[Classe],MATCH(tItens[[#This Row],[Produto]],tProdutos[Produto],0)),"produto não cadastrado")</f>
        <v>FORA</v>
      </c>
      <c r="K8286" s="12">
        <f>tItens[[#This Row],[Qtd]]*tItens[[#This Row],[Vlr unit]]</f>
        <v>13419.999999999998</v>
      </c>
      <c r="L8286" s="6">
        <f>IFERROR(IF(INDEX(tProdutos[Desconto homologado],MATCH(tItens[[#This Row],[Produto]],tProdutos[Produto],0))="",DescontoPadrao,INDEX(tProdutos[Desconto homologado],MATCH(tItens[[#This Row],[Produto]],tProdutos[Produto],0))),DescontoPadrao)</f>
        <v>0.35766373163696302</v>
      </c>
      <c r="M8286" s="12">
        <f>tItens[[#This Row],[Valor]]*(1-tItens[[#This Row],[Desconto]])</f>
        <v>8620.152721431954</v>
      </c>
      <c r="N8286" t="str">
        <f>IFERROR(INDEX(tProdutos[Foco],MATCH(tItens[[#This Row],[Produto]],tProdutos[Produto],0)),"Não")</f>
        <v>Não</v>
      </c>
      <c r="O8286" t="str">
        <f>IFERROR(INDEX(tEditais[SRP],MATCH(tItens[[#This Row],[Edital]],tEditais[Edital],0)),"Não")</f>
        <v>Sim</v>
      </c>
      <c r="P8286" s="4">
        <f>IF(COUNTIFS(INDEX(tItens[Edital],1):tItens[[#This Row],[Edital]],tItens[[#This Row],[Edital]],INDEX(tItens[Produto],1):tItens[[#This Row],[Produto]],tItens[[#This Row],[Produto]])=1,1,0)</f>
        <v>0</v>
      </c>
    </row>
    <row r="8287" spans="1:16" x14ac:dyDescent="0.25">
      <c r="A8287" t="s">
        <v>2684</v>
      </c>
      <c r="B8287">
        <v>8056191</v>
      </c>
      <c r="C8287" t="s">
        <v>10748</v>
      </c>
      <c r="D8287" t="s">
        <v>455</v>
      </c>
      <c r="E8287" s="13">
        <v>2000</v>
      </c>
      <c r="F8287" s="12">
        <v>1.02</v>
      </c>
      <c r="G8287" t="str">
        <f>IFERROR(INDEX(tEditais[Órgão],MATCH(tItens[[#This Row],[Edital]],tEditais[Edital],0)),"")</f>
        <v>FUNDO MUNICIPAL DE SAUDE</v>
      </c>
      <c r="H8287" t="str">
        <f>IFERROR(INDEX(tEditais[UF],MATCH(tItens[[#This Row],[Edital]],tEditais[Edital],0)),"")</f>
        <v>SE</v>
      </c>
      <c r="I8287" s="11">
        <f>IFERROR(INDEX(tEditais[Encerramento],MATCH(tItens[[#This Row],[Edital]],tEditais[Edital],0)),"")</f>
        <v>46309.395833333336</v>
      </c>
      <c r="J8287" t="str">
        <f>IFERROR(INDEX(tProdutos[Classe],MATCH(tItens[[#This Row],[Produto]],tProdutos[Produto],0)),"produto não cadastrado")</f>
        <v>FILA REBASE</v>
      </c>
      <c r="K8287" s="12">
        <f>tItens[[#This Row],[Qtd]]*tItens[[#This Row],[Vlr unit]]</f>
        <v>2040</v>
      </c>
      <c r="L8287" s="6">
        <f>IFERROR(IF(INDEX(tProdutos[Desconto homologado],MATCH(tItens[[#This Row],[Produto]],tProdutos[Produto],0))="",DescontoPadrao,INDEX(tProdutos[Desconto homologado],MATCH(tItens[[#This Row],[Produto]],tProdutos[Produto],0))),DescontoPadrao)</f>
        <v>0.29595946765523801</v>
      </c>
      <c r="M8287" s="12">
        <f>tItens[[#This Row],[Valor]]*(1-tItens[[#This Row],[Desconto]])</f>
        <v>1436.2426859833147</v>
      </c>
      <c r="N8287" t="str">
        <f>IFERROR(INDEX(tProdutos[Foco],MATCH(tItens[[#This Row],[Produto]],tProdutos[Produto],0)),"Não")</f>
        <v>Não</v>
      </c>
      <c r="O8287" t="str">
        <f>IFERROR(INDEX(tEditais[SRP],MATCH(tItens[[#This Row],[Edital]],tEditais[Edital],0)),"Não")</f>
        <v>Sim</v>
      </c>
      <c r="P8287" s="4">
        <f>IF(COUNTIFS(INDEX(tItens[Edital],1):tItens[[#This Row],[Edital]],tItens[[#This Row],[Edital]],INDEX(tItens[Produto],1):tItens[[#This Row],[Produto]],tItens[[#This Row],[Produto]])=1,1,0)</f>
        <v>1</v>
      </c>
    </row>
    <row r="8288" spans="1:16" x14ac:dyDescent="0.25">
      <c r="A8288" t="s">
        <v>2684</v>
      </c>
      <c r="B8288">
        <v>8056217</v>
      </c>
      <c r="C8288" t="s">
        <v>10749</v>
      </c>
      <c r="D8288" t="s">
        <v>267</v>
      </c>
      <c r="E8288" s="13">
        <v>30</v>
      </c>
      <c r="F8288" s="12">
        <v>47.52</v>
      </c>
      <c r="G8288" t="str">
        <f>IFERROR(INDEX(tEditais[Órgão],MATCH(tItens[[#This Row],[Edital]],tEditais[Edital],0)),"")</f>
        <v>FUNDO MUNICIPAL DE SAUDE</v>
      </c>
      <c r="H8288" t="str">
        <f>IFERROR(INDEX(tEditais[UF],MATCH(tItens[[#This Row],[Edital]],tEditais[Edital],0)),"")</f>
        <v>SE</v>
      </c>
      <c r="I8288" s="11">
        <f>IFERROR(INDEX(tEditais[Encerramento],MATCH(tItens[[#This Row],[Edital]],tEditais[Edital],0)),"")</f>
        <v>46309.395833333336</v>
      </c>
      <c r="J8288" t="str">
        <f>IFERROR(INDEX(tProdutos[Classe],MATCH(tItens[[#This Row],[Produto]],tProdutos[Produto],0)),"produto não cadastrado")</f>
        <v>FORA</v>
      </c>
      <c r="K8288" s="12">
        <f>tItens[[#This Row],[Qtd]]*tItens[[#This Row],[Vlr unit]]</f>
        <v>1425.6000000000001</v>
      </c>
      <c r="L8288" s="6">
        <f>IFERROR(IF(INDEX(tProdutos[Desconto homologado],MATCH(tItens[[#This Row],[Produto]],tProdutos[Produto],0))="",DescontoPadrao,INDEX(tProdutos[Desconto homologado],MATCH(tItens[[#This Row],[Produto]],tProdutos[Produto],0))),DescontoPadrao)</f>
        <v>0.19963672657401599</v>
      </c>
      <c r="M8288" s="12">
        <f>tItens[[#This Row],[Valor]]*(1-tItens[[#This Row],[Desconto]])</f>
        <v>1140.9978825960829</v>
      </c>
      <c r="N8288" t="str">
        <f>IFERROR(INDEX(tProdutos[Foco],MATCH(tItens[[#This Row],[Produto]],tProdutos[Produto],0)),"Não")</f>
        <v>Não</v>
      </c>
      <c r="O8288" t="str">
        <f>IFERROR(INDEX(tEditais[SRP],MATCH(tItens[[#This Row],[Edital]],tEditais[Edital],0)),"Não")</f>
        <v>Sim</v>
      </c>
      <c r="P8288" s="4">
        <f>IF(COUNTIFS(INDEX(tItens[Edital],1):tItens[[#This Row],[Edital]],tItens[[#This Row],[Edital]],INDEX(tItens[Produto],1):tItens[[#This Row],[Produto]],tItens[[#This Row],[Produto]])=1,1,0)</f>
        <v>1</v>
      </c>
    </row>
    <row r="8289" spans="1:16" x14ac:dyDescent="0.25">
      <c r="A8289" t="s">
        <v>2684</v>
      </c>
      <c r="B8289">
        <v>8056229</v>
      </c>
      <c r="C8289" t="s">
        <v>10750</v>
      </c>
      <c r="D8289" t="s">
        <v>281</v>
      </c>
      <c r="E8289" s="13">
        <v>100</v>
      </c>
      <c r="F8289" s="12">
        <v>2.16</v>
      </c>
      <c r="G8289" t="str">
        <f>IFERROR(INDEX(tEditais[Órgão],MATCH(tItens[[#This Row],[Edital]],tEditais[Edital],0)),"")</f>
        <v>FUNDO MUNICIPAL DE SAUDE</v>
      </c>
      <c r="H8289" t="str">
        <f>IFERROR(INDEX(tEditais[UF],MATCH(tItens[[#This Row],[Edital]],tEditais[Edital],0)),"")</f>
        <v>SE</v>
      </c>
      <c r="I8289" s="11">
        <f>IFERROR(INDEX(tEditais[Encerramento],MATCH(tItens[[#This Row],[Edital]],tEditais[Edital],0)),"")</f>
        <v>46309.395833333336</v>
      </c>
      <c r="J8289" t="str">
        <f>IFERROR(INDEX(tProdutos[Classe],MATCH(tItens[[#This Row],[Produto]],tProdutos[Produto],0)),"produto não cadastrado")</f>
        <v>DISPUTADO</v>
      </c>
      <c r="K8289" s="12">
        <f>tItens[[#This Row],[Qtd]]*tItens[[#This Row],[Vlr unit]]</f>
        <v>216</v>
      </c>
      <c r="L8289" s="6">
        <f>IFERROR(IF(INDEX(tProdutos[Desconto homologado],MATCH(tItens[[#This Row],[Produto]],tProdutos[Produto],0))="",DescontoPadrao,INDEX(tProdutos[Desconto homologado],MATCH(tItens[[#This Row],[Produto]],tProdutos[Produto],0))),DescontoPadrao)</f>
        <v>0.42461538461538501</v>
      </c>
      <c r="M8289" s="12">
        <f>tItens[[#This Row],[Valor]]*(1-tItens[[#This Row],[Desconto]])</f>
        <v>124.28307692307683</v>
      </c>
      <c r="N8289" t="str">
        <f>IFERROR(INDEX(tProdutos[Foco],MATCH(tItens[[#This Row],[Produto]],tProdutos[Produto],0)),"Não")</f>
        <v>Não</v>
      </c>
      <c r="O8289" t="str">
        <f>IFERROR(INDEX(tEditais[SRP],MATCH(tItens[[#This Row],[Edital]],tEditais[Edital],0)),"Não")</f>
        <v>Sim</v>
      </c>
      <c r="P8289" s="4">
        <f>IF(COUNTIFS(INDEX(tItens[Edital],1):tItens[[#This Row],[Edital]],tItens[[#This Row],[Edital]],INDEX(tItens[Produto],1):tItens[[#This Row],[Produto]],tItens[[#This Row],[Produto]])=1,1,0)</f>
        <v>1</v>
      </c>
    </row>
    <row r="8290" spans="1:16" x14ac:dyDescent="0.25">
      <c r="A8290" t="s">
        <v>2689</v>
      </c>
      <c r="B8290">
        <v>101</v>
      </c>
      <c r="C8290" t="s">
        <v>10751</v>
      </c>
      <c r="D8290" t="s">
        <v>313</v>
      </c>
      <c r="E8290" s="13">
        <v>300</v>
      </c>
      <c r="F8290" s="12">
        <v>0</v>
      </c>
      <c r="G8290" t="str">
        <f>IFERROR(INDEX(tEditais[Órgão],MATCH(tItens[[#This Row],[Edital]],tEditais[Edital],0)),"")</f>
        <v>CORPO DE BOMBEIROS MILITAR DO ESTADO DE SERGIPE</v>
      </c>
      <c r="H8290" t="str">
        <f>IFERROR(INDEX(tEditais[UF],MATCH(tItens[[#This Row],[Edital]],tEditais[Edital],0)),"")</f>
        <v>SE</v>
      </c>
      <c r="I8290" s="11">
        <f>IFERROR(INDEX(tEditais[Encerramento],MATCH(tItens[[#This Row],[Edital]],tEditais[Edital],0)),"")</f>
        <v>46309.479166666664</v>
      </c>
      <c r="J8290" t="str">
        <f>IFERROR(INDEX(tProdutos[Classe],MATCH(tItens[[#This Row],[Produto]],tProdutos[Produto],0)),"produto não cadastrado")</f>
        <v>FORA</v>
      </c>
      <c r="K8290" s="12">
        <f>tItens[[#This Row],[Qtd]]*tItens[[#This Row],[Vlr unit]]</f>
        <v>0</v>
      </c>
      <c r="L8290" s="6">
        <f>IFERROR(IF(INDEX(tProdutos[Desconto homologado],MATCH(tItens[[#This Row],[Produto]],tProdutos[Produto],0))="",DescontoPadrao,INDEX(tProdutos[Desconto homologado],MATCH(tItens[[#This Row],[Produto]],tProdutos[Produto],0))),DescontoPadrao)</f>
        <v>0.35766373163696302</v>
      </c>
      <c r="M8290" s="12">
        <f>tItens[[#This Row],[Valor]]*(1-tItens[[#This Row],[Desconto]])</f>
        <v>0</v>
      </c>
      <c r="N8290" t="str">
        <f>IFERROR(INDEX(tProdutos[Foco],MATCH(tItens[[#This Row],[Produto]],tProdutos[Produto],0)),"Não")</f>
        <v>Não</v>
      </c>
      <c r="O8290" t="str">
        <f>IFERROR(INDEX(tEditais[SRP],MATCH(tItens[[#This Row],[Edital]],tEditais[Edital],0)),"Não")</f>
        <v>Não</v>
      </c>
      <c r="P8290" s="4">
        <f>IF(COUNTIFS(INDEX(tItens[Edital],1):tItens[[#This Row],[Edital]],tItens[[#This Row],[Edital]],INDEX(tItens[Produto],1):tItens[[#This Row],[Produto]],tItens[[#This Row],[Produto]])=1,1,0)</f>
        <v>1</v>
      </c>
    </row>
    <row r="8291" spans="1:16" x14ac:dyDescent="0.25">
      <c r="A8291" t="s">
        <v>2694</v>
      </c>
      <c r="B8291">
        <v>25</v>
      </c>
      <c r="C8291" t="s">
        <v>10752</v>
      </c>
      <c r="D8291" t="s">
        <v>317</v>
      </c>
      <c r="E8291" s="13">
        <v>55000</v>
      </c>
      <c r="F8291" s="12">
        <v>0.34</v>
      </c>
      <c r="G8291" t="str">
        <f>IFERROR(INDEX(tEditais[Órgão],MATCH(tItens[[#This Row],[Edital]],tEditais[Edital],0)),"")</f>
        <v>FUNDO MUNICIPAL DE SAUDE DE MUNICIPIO DE SIMAO DIAS</v>
      </c>
      <c r="H8291" t="str">
        <f>IFERROR(INDEX(tEditais[UF],MATCH(tItens[[#This Row],[Edital]],tEditais[Edital],0)),"")</f>
        <v>SE</v>
      </c>
      <c r="I8291" s="11">
        <f>IFERROR(INDEX(tEditais[Encerramento],MATCH(tItens[[#This Row],[Edital]],tEditais[Edital],0)),"")</f>
        <v>46310.458333333336</v>
      </c>
      <c r="J8291" t="str">
        <f>IFERROR(INDEX(tProdutos[Classe],MATCH(tItens[[#This Row],[Produto]],tProdutos[Produto],0)),"produto não cadastrado")</f>
        <v>FORA</v>
      </c>
      <c r="K8291" s="12">
        <f>tItens[[#This Row],[Qtd]]*tItens[[#This Row],[Vlr unit]]</f>
        <v>18700</v>
      </c>
      <c r="L8291" s="6">
        <f>IFERROR(IF(INDEX(tProdutos[Desconto homologado],MATCH(tItens[[#This Row],[Produto]],tProdutos[Produto],0))="",DescontoPadrao,INDEX(tProdutos[Desconto homologado],MATCH(tItens[[#This Row],[Produto]],tProdutos[Produto],0))),DescontoPadrao)</f>
        <v>0.5</v>
      </c>
      <c r="M8291" s="12">
        <f>tItens[[#This Row],[Valor]]*(1-tItens[[#This Row],[Desconto]])</f>
        <v>9350</v>
      </c>
      <c r="N8291" t="str">
        <f>IFERROR(INDEX(tProdutos[Foco],MATCH(tItens[[#This Row],[Produto]],tProdutos[Produto],0)),"Não")</f>
        <v>Não</v>
      </c>
      <c r="O8291" t="str">
        <f>IFERROR(INDEX(tEditais[SRP],MATCH(tItens[[#This Row],[Edital]],tEditais[Edital],0)),"Não")</f>
        <v>Sim</v>
      </c>
      <c r="P8291" s="4">
        <f>IF(COUNTIFS(INDEX(tItens[Edital],1):tItens[[#This Row],[Edital]],tItens[[#This Row],[Edital]],INDEX(tItens[Produto],1):tItens[[#This Row],[Produto]],tItens[[#This Row],[Produto]])=1,1,0)</f>
        <v>1</v>
      </c>
    </row>
    <row r="8292" spans="1:16" x14ac:dyDescent="0.25">
      <c r="A8292" t="s">
        <v>2698</v>
      </c>
      <c r="B8292">
        <v>105</v>
      </c>
      <c r="C8292" t="s">
        <v>10753</v>
      </c>
      <c r="D8292" t="s">
        <v>536</v>
      </c>
      <c r="E8292" s="13">
        <v>60</v>
      </c>
      <c r="F8292" s="12">
        <v>142.25</v>
      </c>
      <c r="G8292" t="str">
        <f>IFERROR(INDEX(tEditais[Órgão],MATCH(tItens[[#This Row],[Edital]],tEditais[Edital],0)),"")</f>
        <v>FUNDO MUNICIPAL DE SAUDE</v>
      </c>
      <c r="H8292" t="str">
        <f>IFERROR(INDEX(tEditais[UF],MATCH(tItens[[#This Row],[Edital]],tEditais[Edital],0)),"")</f>
        <v>SE</v>
      </c>
      <c r="I8292" s="11">
        <f>IFERROR(INDEX(tEditais[Encerramento],MATCH(tItens[[#This Row],[Edital]],tEditais[Edital],0)),"")</f>
        <v>46310.583333333336</v>
      </c>
      <c r="J8292" t="str">
        <f>IFERROR(INDEX(tProdutos[Classe],MATCH(tItens[[#This Row],[Produto]],tProdutos[Produto],0)),"produto não cadastrado")</f>
        <v>FILA REBASE</v>
      </c>
      <c r="K8292" s="12">
        <f>tItens[[#This Row],[Qtd]]*tItens[[#This Row],[Vlr unit]]</f>
        <v>8535</v>
      </c>
      <c r="L8292" s="6">
        <f>IFERROR(IF(INDEX(tProdutos[Desconto homologado],MATCH(tItens[[#This Row],[Produto]],tProdutos[Produto],0))="",DescontoPadrao,INDEX(tProdutos[Desconto homologado],MATCH(tItens[[#This Row],[Produto]],tProdutos[Produto],0))),DescontoPadrao)</f>
        <v>0.30373352277212101</v>
      </c>
      <c r="M8292" s="12">
        <f>tItens[[#This Row],[Valor]]*(1-tItens[[#This Row],[Desconto]])</f>
        <v>5942.6343831399472</v>
      </c>
      <c r="N8292" t="str">
        <f>IFERROR(INDEX(tProdutos[Foco],MATCH(tItens[[#This Row],[Produto]],tProdutos[Produto],0)),"Não")</f>
        <v>Não</v>
      </c>
      <c r="O8292" t="str">
        <f>IFERROR(INDEX(tEditais[SRP],MATCH(tItens[[#This Row],[Edital]],tEditais[Edital],0)),"Não")</f>
        <v>Não</v>
      </c>
      <c r="P8292" s="4">
        <f>IF(COUNTIFS(INDEX(tItens[Edital],1):tItens[[#This Row],[Edital]],tItens[[#This Row],[Edital]],INDEX(tItens[Produto],1):tItens[[#This Row],[Produto]],tItens[[#This Row],[Produto]])=1,1,0)</f>
        <v>1</v>
      </c>
    </row>
    <row r="8293" spans="1:16" x14ac:dyDescent="0.25">
      <c r="A8293" t="s">
        <v>2701</v>
      </c>
      <c r="B8293">
        <v>1</v>
      </c>
      <c r="C8293" t="s">
        <v>10754</v>
      </c>
      <c r="D8293" t="s">
        <v>154</v>
      </c>
      <c r="E8293" s="13">
        <v>180</v>
      </c>
      <c r="F8293" s="12">
        <v>78.099999999999994</v>
      </c>
      <c r="G8293" t="str">
        <f>IFERROR(INDEX(tEditais[Órgão],MATCH(tItens[[#This Row],[Edital]],tEditais[Edital],0)),"")</f>
        <v>FUNDO ESTADUAL DE SAUDE</v>
      </c>
      <c r="H8293" t="str">
        <f>IFERROR(INDEX(tEditais[UF],MATCH(tItens[[#This Row],[Edital]],tEditais[Edital],0)),"")</f>
        <v>SE</v>
      </c>
      <c r="I8293" s="11">
        <f>IFERROR(INDEX(tEditais[Encerramento],MATCH(tItens[[#This Row],[Edital]],tEditais[Edital],0)),"")</f>
        <v>46311.375</v>
      </c>
      <c r="J8293" t="str">
        <f>IFERROR(INDEX(tProdutos[Classe],MATCH(tItens[[#This Row],[Produto]],tProdutos[Produto],0)),"produto não cadastrado")</f>
        <v>DISPUTADO</v>
      </c>
      <c r="K8293" s="12">
        <f>tItens[[#This Row],[Qtd]]*tItens[[#This Row],[Vlr unit]]</f>
        <v>14057.999999999998</v>
      </c>
      <c r="L8293" s="6">
        <f>IFERROR(IF(INDEX(tProdutos[Desconto homologado],MATCH(tItens[[#This Row],[Produto]],tProdutos[Produto],0))="",DescontoPadrao,INDEX(tProdutos[Desconto homologado],MATCH(tItens[[#This Row],[Produto]],tProdutos[Produto],0))),DescontoPadrao)</f>
        <v>0.48690097134476601</v>
      </c>
      <c r="M8293" s="12">
        <f>tItens[[#This Row],[Valor]]*(1-tItens[[#This Row],[Desconto]])</f>
        <v>7213.1461448352775</v>
      </c>
      <c r="N8293" t="str">
        <f>IFERROR(INDEX(tProdutos[Foco],MATCH(tItens[[#This Row],[Produto]],tProdutos[Produto],0)),"Não")</f>
        <v>Não</v>
      </c>
      <c r="O8293" t="str">
        <f>IFERROR(INDEX(tEditais[SRP],MATCH(tItens[[#This Row],[Edital]],tEditais[Edital],0)),"Não")</f>
        <v>Não</v>
      </c>
      <c r="P8293" s="4">
        <f>IF(COUNTIFS(INDEX(tItens[Edital],1):tItens[[#This Row],[Edital]],tItens[[#This Row],[Edital]],INDEX(tItens[Produto],1):tItens[[#This Row],[Produto]],tItens[[#This Row],[Produto]])=1,1,0)</f>
        <v>1</v>
      </c>
    </row>
    <row r="8294" spans="1:16" x14ac:dyDescent="0.25">
      <c r="A8294" t="s">
        <v>2705</v>
      </c>
      <c r="B8294">
        <v>6</v>
      </c>
      <c r="C8294" t="s">
        <v>4184</v>
      </c>
      <c r="D8294" t="s">
        <v>277</v>
      </c>
      <c r="E8294" s="13">
        <v>10</v>
      </c>
      <c r="F8294" s="12">
        <v>24.9</v>
      </c>
      <c r="G8294" t="str">
        <f>IFERROR(INDEX(tEditais[Órgão],MATCH(tItens[[#This Row],[Edital]],tEditais[Edital],0)),"")</f>
        <v>UNIVERSIDADE ESTADUAL PAULISTA JULIO DE MESQUITA FILHO</v>
      </c>
      <c r="H8294" t="str">
        <f>IFERROR(INDEX(tEditais[UF],MATCH(tItens[[#This Row],[Edital]],tEditais[Edital],0)),"")</f>
        <v>SP</v>
      </c>
      <c r="I8294" s="11">
        <f>IFERROR(INDEX(tEditais[Encerramento],MATCH(tItens[[#This Row],[Edital]],tEditais[Edital],0)),"")</f>
        <v>46304.333333333336</v>
      </c>
      <c r="J8294" t="str">
        <f>IFERROR(INDEX(tProdutos[Classe],MATCH(tItens[[#This Row],[Produto]],tProdutos[Produto],0)),"produto não cadastrado")</f>
        <v>DISPUTADO</v>
      </c>
      <c r="K8294" s="12">
        <f>tItens[[#This Row],[Qtd]]*tItens[[#This Row],[Vlr unit]]</f>
        <v>249</v>
      </c>
      <c r="L8294" s="6">
        <f>IFERROR(IF(INDEX(tProdutos[Desconto homologado],MATCH(tItens[[#This Row],[Produto]],tProdutos[Produto],0))="",DescontoPadrao,INDEX(tProdutos[Desconto homologado],MATCH(tItens[[#This Row],[Produto]],tProdutos[Produto],0))),DescontoPadrao)</f>
        <v>0.50460666194188497</v>
      </c>
      <c r="M8294" s="12">
        <f>tItens[[#This Row],[Valor]]*(1-tItens[[#This Row],[Desconto]])</f>
        <v>123.35294117647064</v>
      </c>
      <c r="N8294" t="str">
        <f>IFERROR(INDEX(tProdutos[Foco],MATCH(tItens[[#This Row],[Produto]],tProdutos[Produto],0)),"Não")</f>
        <v>Não</v>
      </c>
      <c r="O8294" t="str">
        <f>IFERROR(INDEX(tEditais[SRP],MATCH(tItens[[#This Row],[Edital]],tEditais[Edital],0)),"Não")</f>
        <v>Não</v>
      </c>
      <c r="P8294" s="4">
        <f>IF(COUNTIFS(INDEX(tItens[Edital],1):tItens[[#This Row],[Edital]],tItens[[#This Row],[Edital]],INDEX(tItens[Produto],1):tItens[[#This Row],[Produto]],tItens[[#This Row],[Produto]])=1,1,0)</f>
        <v>1</v>
      </c>
    </row>
    <row r="8295" spans="1:16" x14ac:dyDescent="0.25">
      <c r="A8295" t="s">
        <v>2705</v>
      </c>
      <c r="B8295">
        <v>8</v>
      </c>
      <c r="C8295" t="s">
        <v>4113</v>
      </c>
      <c r="D8295" t="s">
        <v>315</v>
      </c>
      <c r="E8295" s="13">
        <v>1</v>
      </c>
      <c r="F8295" s="12">
        <v>20</v>
      </c>
      <c r="G8295" t="str">
        <f>IFERROR(INDEX(tEditais[Órgão],MATCH(tItens[[#This Row],[Edital]],tEditais[Edital],0)),"")</f>
        <v>UNIVERSIDADE ESTADUAL PAULISTA JULIO DE MESQUITA FILHO</v>
      </c>
      <c r="H8295" t="str">
        <f>IFERROR(INDEX(tEditais[UF],MATCH(tItens[[#This Row],[Edital]],tEditais[Edital],0)),"")</f>
        <v>SP</v>
      </c>
      <c r="I8295" s="11">
        <f>IFERROR(INDEX(tEditais[Encerramento],MATCH(tItens[[#This Row],[Edital]],tEditais[Edital],0)),"")</f>
        <v>46304.333333333336</v>
      </c>
      <c r="J8295" t="str">
        <f>IFERROR(INDEX(tProdutos[Classe],MATCH(tItens[[#This Row],[Produto]],tProdutos[Produto],0)),"produto não cadastrado")</f>
        <v>FORA</v>
      </c>
      <c r="K8295" s="12">
        <f>tItens[[#This Row],[Qtd]]*tItens[[#This Row],[Vlr unit]]</f>
        <v>20</v>
      </c>
      <c r="L8295" s="6">
        <f>IFERROR(IF(INDEX(tProdutos[Desconto homologado],MATCH(tItens[[#This Row],[Produto]],tProdutos[Produto],0))="",DescontoPadrao,INDEX(tProdutos[Desconto homologado],MATCH(tItens[[#This Row],[Produto]],tProdutos[Produto],0))),DescontoPadrao)</f>
        <v>0.38432036097010702</v>
      </c>
      <c r="M8295" s="12">
        <f>tItens[[#This Row],[Valor]]*(1-tItens[[#This Row],[Desconto]])</f>
        <v>12.31359278059786</v>
      </c>
      <c r="N8295" t="str">
        <f>IFERROR(INDEX(tProdutos[Foco],MATCH(tItens[[#This Row],[Produto]],tProdutos[Produto],0)),"Não")</f>
        <v>Não</v>
      </c>
      <c r="O8295" t="str">
        <f>IFERROR(INDEX(tEditais[SRP],MATCH(tItens[[#This Row],[Edital]],tEditais[Edital],0)),"Não")</f>
        <v>Não</v>
      </c>
      <c r="P8295" s="4">
        <f>IF(COUNTIFS(INDEX(tItens[Edital],1):tItens[[#This Row],[Edital]],tItens[[#This Row],[Edital]],INDEX(tItens[Produto],1):tItens[[#This Row],[Produto]],tItens[[#This Row],[Produto]])=1,1,0)</f>
        <v>1</v>
      </c>
    </row>
    <row r="8296" spans="1:16" x14ac:dyDescent="0.25">
      <c r="A8296" t="s">
        <v>2711</v>
      </c>
      <c r="B8296">
        <v>5</v>
      </c>
      <c r="C8296" t="s">
        <v>10755</v>
      </c>
      <c r="D8296" t="s">
        <v>578</v>
      </c>
      <c r="E8296" s="13">
        <v>1</v>
      </c>
      <c r="F8296" s="12">
        <v>0</v>
      </c>
      <c r="G8296" t="str">
        <f>IFERROR(INDEX(tEditais[Órgão],MATCH(tItens[[#This Row],[Edital]],tEditais[Edital],0)),"")</f>
        <v>MUNICIPIO DE FERNAO</v>
      </c>
      <c r="H8296" t="str">
        <f>IFERROR(INDEX(tEditais[UF],MATCH(tItens[[#This Row],[Edital]],tEditais[Edital],0)),"")</f>
        <v>SP</v>
      </c>
      <c r="I8296" s="11">
        <f>IFERROR(INDEX(tEditais[Encerramento],MATCH(tItens[[#This Row],[Edital]],tEditais[Edital],0)),"")</f>
        <v>46304.333333333336</v>
      </c>
      <c r="J8296" t="str">
        <f>IFERROR(INDEX(tProdutos[Classe],MATCH(tItens[[#This Row],[Produto]],tProdutos[Produto],0)),"produto não cadastrado")</f>
        <v>FILA REBASE</v>
      </c>
      <c r="K8296" s="12">
        <f>tItens[[#This Row],[Qtd]]*tItens[[#This Row],[Vlr unit]]</f>
        <v>0</v>
      </c>
      <c r="L8296" s="6">
        <f>IFERROR(IF(INDEX(tProdutos[Desconto homologado],MATCH(tItens[[#This Row],[Produto]],tProdutos[Produto],0))="",DescontoPadrao,INDEX(tProdutos[Desconto homologado],MATCH(tItens[[#This Row],[Produto]],tProdutos[Produto],0))),DescontoPadrao)</f>
        <v>0.36014625228519198</v>
      </c>
      <c r="M8296" s="12">
        <f>tItens[[#This Row],[Valor]]*(1-tItens[[#This Row],[Desconto]])</f>
        <v>0</v>
      </c>
      <c r="N8296" t="str">
        <f>IFERROR(INDEX(tProdutos[Foco],MATCH(tItens[[#This Row],[Produto]],tProdutos[Produto],0)),"Não")</f>
        <v>Não</v>
      </c>
      <c r="O8296" t="str">
        <f>IFERROR(INDEX(tEditais[SRP],MATCH(tItens[[#This Row],[Edital]],tEditais[Edital],0)),"Não")</f>
        <v>Não</v>
      </c>
      <c r="P8296" s="4">
        <f>IF(COUNTIFS(INDEX(tItens[Edital],1):tItens[[#This Row],[Edital]],tItens[[#This Row],[Edital]],INDEX(tItens[Produto],1):tItens[[#This Row],[Produto]],tItens[[#This Row],[Produto]])=1,1,0)</f>
        <v>1</v>
      </c>
    </row>
    <row r="8297" spans="1:16" x14ac:dyDescent="0.25">
      <c r="A8297" t="s">
        <v>2715</v>
      </c>
      <c r="B8297">
        <v>7</v>
      </c>
      <c r="C8297" t="s">
        <v>4211</v>
      </c>
      <c r="D8297" t="s">
        <v>195</v>
      </c>
      <c r="E8297" s="13">
        <v>500</v>
      </c>
      <c r="F8297" s="12">
        <v>0</v>
      </c>
      <c r="G8297" t="str">
        <f>IFERROR(INDEX(tEditais[Órgão],MATCH(tItens[[#This Row],[Edital]],tEditais[Edital],0)),"")</f>
        <v>SECRETARIA DE ESTADO DA SAUDE</v>
      </c>
      <c r="H8297" t="str">
        <f>IFERROR(INDEX(tEditais[UF],MATCH(tItens[[#This Row],[Edital]],tEditais[Edital],0)),"")</f>
        <v>SP</v>
      </c>
      <c r="I8297" s="11">
        <f>IFERROR(INDEX(tEditais[Encerramento],MATCH(tItens[[#This Row],[Edital]],tEditais[Edital],0)),"")</f>
        <v>46304.333333333336</v>
      </c>
      <c r="J8297" t="str">
        <f>IFERROR(INDEX(tProdutos[Classe],MATCH(tItens[[#This Row],[Produto]],tProdutos[Produto],0)),"produto não cadastrado")</f>
        <v>FORA</v>
      </c>
      <c r="K8297" s="12">
        <f>tItens[[#This Row],[Qtd]]*tItens[[#This Row],[Vlr unit]]</f>
        <v>0</v>
      </c>
      <c r="L8297" s="6">
        <f>IFERROR(IF(INDEX(tProdutos[Desconto homologado],MATCH(tItens[[#This Row],[Produto]],tProdutos[Produto],0))="",DescontoPadrao,INDEX(tProdutos[Desconto homologado],MATCH(tItens[[#This Row],[Produto]],tProdutos[Produto],0))),DescontoPadrao)</f>
        <v>0.27813657840171302</v>
      </c>
      <c r="M8297" s="12">
        <f>tItens[[#This Row],[Valor]]*(1-tItens[[#This Row],[Desconto]])</f>
        <v>0</v>
      </c>
      <c r="N8297" t="str">
        <f>IFERROR(INDEX(tProdutos[Foco],MATCH(tItens[[#This Row],[Produto]],tProdutos[Produto],0)),"Não")</f>
        <v>Não</v>
      </c>
      <c r="O8297" t="str">
        <f>IFERROR(INDEX(tEditais[SRP],MATCH(tItens[[#This Row],[Edital]],tEditais[Edital],0)),"Não")</f>
        <v>Não</v>
      </c>
      <c r="P8297" s="4">
        <f>IF(COUNTIFS(INDEX(tItens[Edital],1):tItens[[#This Row],[Edital]],tItens[[#This Row],[Edital]],INDEX(tItens[Produto],1):tItens[[#This Row],[Produto]],tItens[[#This Row],[Produto]])=1,1,0)</f>
        <v>1</v>
      </c>
    </row>
    <row r="8298" spans="1:16" x14ac:dyDescent="0.25">
      <c r="A8298" t="s">
        <v>2719</v>
      </c>
      <c r="B8298">
        <v>1</v>
      </c>
      <c r="C8298" t="s">
        <v>10756</v>
      </c>
      <c r="D8298" t="s">
        <v>277</v>
      </c>
      <c r="E8298" s="13">
        <v>6000</v>
      </c>
      <c r="F8298" s="12">
        <v>0</v>
      </c>
      <c r="G8298" t="str">
        <f>IFERROR(INDEX(tEditais[Órgão],MATCH(tItens[[#This Row],[Edital]],tEditais[Edital],0)),"")</f>
        <v>MUNICIPIO DE JARINU</v>
      </c>
      <c r="H8298" t="str">
        <f>IFERROR(INDEX(tEditais[UF],MATCH(tItens[[#This Row],[Edital]],tEditais[Edital],0)),"")</f>
        <v>SP</v>
      </c>
      <c r="I8298" s="11">
        <f>IFERROR(INDEX(tEditais[Encerramento],MATCH(tItens[[#This Row],[Edital]],tEditais[Edital],0)),"")</f>
        <v>46304.333333333336</v>
      </c>
      <c r="J8298" t="str">
        <f>IFERROR(INDEX(tProdutos[Classe],MATCH(tItens[[#This Row],[Produto]],tProdutos[Produto],0)),"produto não cadastrado")</f>
        <v>DISPUTADO</v>
      </c>
      <c r="K8298" s="12">
        <f>tItens[[#This Row],[Qtd]]*tItens[[#This Row],[Vlr unit]]</f>
        <v>0</v>
      </c>
      <c r="L8298" s="6">
        <f>IFERROR(IF(INDEX(tProdutos[Desconto homologado],MATCH(tItens[[#This Row],[Produto]],tProdutos[Produto],0))="",DescontoPadrao,INDEX(tProdutos[Desconto homologado],MATCH(tItens[[#This Row],[Produto]],tProdutos[Produto],0))),DescontoPadrao)</f>
        <v>0.50460666194188497</v>
      </c>
      <c r="M8298" s="12">
        <f>tItens[[#This Row],[Valor]]*(1-tItens[[#This Row],[Desconto]])</f>
        <v>0</v>
      </c>
      <c r="N8298" t="str">
        <f>IFERROR(INDEX(tProdutos[Foco],MATCH(tItens[[#This Row],[Produto]],tProdutos[Produto],0)),"Não")</f>
        <v>Não</v>
      </c>
      <c r="O8298" t="str">
        <f>IFERROR(INDEX(tEditais[SRP],MATCH(tItens[[#This Row],[Edital]],tEditais[Edital],0)),"Não")</f>
        <v>Sim</v>
      </c>
      <c r="P8298" s="4">
        <f>IF(COUNTIFS(INDEX(tItens[Edital],1):tItens[[#This Row],[Edital]],tItens[[#This Row],[Edital]],INDEX(tItens[Produto],1):tItens[[#This Row],[Produto]],tItens[[#This Row],[Produto]])=1,1,0)</f>
        <v>1</v>
      </c>
    </row>
    <row r="8299" spans="1:16" x14ac:dyDescent="0.25">
      <c r="A8299" t="s">
        <v>2723</v>
      </c>
      <c r="B8299">
        <v>5</v>
      </c>
      <c r="C8299" t="s">
        <v>6630</v>
      </c>
      <c r="D8299" t="s">
        <v>114</v>
      </c>
      <c r="E8299" s="13">
        <v>2</v>
      </c>
      <c r="F8299" s="12">
        <v>8.8000000000000007</v>
      </c>
      <c r="G8299" t="str">
        <f>IFERROR(INDEX(tEditais[Órgão],MATCH(tItens[[#This Row],[Edital]],tEditais[Edital],0)),"")</f>
        <v>FACULDADE DE MEDICINA DE SAO JOSE DO RIO PRETO</v>
      </c>
      <c r="H8299" t="str">
        <f>IFERROR(INDEX(tEditais[UF],MATCH(tItens[[#This Row],[Edital]],tEditais[Edital],0)),"")</f>
        <v>SP</v>
      </c>
      <c r="I8299" s="11">
        <f>IFERROR(INDEX(tEditais[Encerramento],MATCH(tItens[[#This Row],[Edital]],tEditais[Edital],0)),"")</f>
        <v>46304.333333333336</v>
      </c>
      <c r="J8299" t="str">
        <f>IFERROR(INDEX(tProdutos[Classe],MATCH(tItens[[#This Row],[Produto]],tProdutos[Produto],0)),"produto não cadastrado")</f>
        <v>DISPUTADO</v>
      </c>
      <c r="K8299" s="12">
        <f>tItens[[#This Row],[Qtd]]*tItens[[#This Row],[Vlr unit]]</f>
        <v>17.600000000000001</v>
      </c>
      <c r="L8299" s="6">
        <f>IFERROR(IF(INDEX(tProdutos[Desconto homologado],MATCH(tItens[[#This Row],[Produto]],tProdutos[Produto],0))="",DescontoPadrao,INDEX(tProdutos[Desconto homologado],MATCH(tItens[[#This Row],[Produto]],tProdutos[Produto],0))),DescontoPadrao)</f>
        <v>0.24332656063896899</v>
      </c>
      <c r="M8299" s="12">
        <f>tItens[[#This Row],[Valor]]*(1-tItens[[#This Row],[Desconto]])</f>
        <v>13.317452532754148</v>
      </c>
      <c r="N8299" t="str">
        <f>IFERROR(INDEX(tProdutos[Foco],MATCH(tItens[[#This Row],[Produto]],tProdutos[Produto],0)),"Não")</f>
        <v>Não</v>
      </c>
      <c r="O8299" t="str">
        <f>IFERROR(INDEX(tEditais[SRP],MATCH(tItens[[#This Row],[Edital]],tEditais[Edital],0)),"Não")</f>
        <v>Não</v>
      </c>
      <c r="P8299" s="4">
        <f>IF(COUNTIFS(INDEX(tItens[Edital],1):tItens[[#This Row],[Edital]],tItens[[#This Row],[Edital]],INDEX(tItens[Produto],1):tItens[[#This Row],[Produto]],tItens[[#This Row],[Produto]])=1,1,0)</f>
        <v>1</v>
      </c>
    </row>
    <row r="8300" spans="1:16" x14ac:dyDescent="0.25">
      <c r="A8300" t="s">
        <v>2723</v>
      </c>
      <c r="B8300">
        <v>12</v>
      </c>
      <c r="C8300" t="s">
        <v>7392</v>
      </c>
      <c r="D8300" t="s">
        <v>142</v>
      </c>
      <c r="E8300" s="13">
        <v>5</v>
      </c>
      <c r="F8300" s="12">
        <v>14.36</v>
      </c>
      <c r="G8300" t="str">
        <f>IFERROR(INDEX(tEditais[Órgão],MATCH(tItens[[#This Row],[Edital]],tEditais[Edital],0)),"")</f>
        <v>FACULDADE DE MEDICINA DE SAO JOSE DO RIO PRETO</v>
      </c>
      <c r="H8300" t="str">
        <f>IFERROR(INDEX(tEditais[UF],MATCH(tItens[[#This Row],[Edital]],tEditais[Edital],0)),"")</f>
        <v>SP</v>
      </c>
      <c r="I8300" s="11">
        <f>IFERROR(INDEX(tEditais[Encerramento],MATCH(tItens[[#This Row],[Edital]],tEditais[Edital],0)),"")</f>
        <v>46304.333333333336</v>
      </c>
      <c r="J8300" t="str">
        <f>IFERROR(INDEX(tProdutos[Classe],MATCH(tItens[[#This Row],[Produto]],tProdutos[Produto],0)),"produto não cadastrado")</f>
        <v>DISPUTADO</v>
      </c>
      <c r="K8300" s="12">
        <f>tItens[[#This Row],[Qtd]]*tItens[[#This Row],[Vlr unit]]</f>
        <v>71.8</v>
      </c>
      <c r="L8300" s="6">
        <f>IFERROR(IF(INDEX(tProdutos[Desconto homologado],MATCH(tItens[[#This Row],[Produto]],tProdutos[Produto],0))="",DescontoPadrao,INDEX(tProdutos[Desconto homologado],MATCH(tItens[[#This Row],[Produto]],tProdutos[Produto],0))),DescontoPadrao)</f>
        <v>0.37093619495691699</v>
      </c>
      <c r="M8300" s="12">
        <f>tItens[[#This Row],[Valor]]*(1-tItens[[#This Row],[Desconto]])</f>
        <v>45.166781202093361</v>
      </c>
      <c r="N8300" t="str">
        <f>IFERROR(INDEX(tProdutos[Foco],MATCH(tItens[[#This Row],[Produto]],tProdutos[Produto],0)),"Não")</f>
        <v>Não</v>
      </c>
      <c r="O8300" t="str">
        <f>IFERROR(INDEX(tEditais[SRP],MATCH(tItens[[#This Row],[Edital]],tEditais[Edital],0)),"Não")</f>
        <v>Não</v>
      </c>
      <c r="P8300" s="4">
        <f>IF(COUNTIFS(INDEX(tItens[Edital],1):tItens[[#This Row],[Edital]],tItens[[#This Row],[Edital]],INDEX(tItens[Produto],1):tItens[[#This Row],[Produto]],tItens[[#This Row],[Produto]])=1,1,0)</f>
        <v>1</v>
      </c>
    </row>
    <row r="8301" spans="1:16" x14ac:dyDescent="0.25">
      <c r="A8301" t="s">
        <v>2723</v>
      </c>
      <c r="B8301">
        <v>17</v>
      </c>
      <c r="C8301" t="s">
        <v>10021</v>
      </c>
      <c r="D8301" t="s">
        <v>313</v>
      </c>
      <c r="E8301" s="13">
        <v>4</v>
      </c>
      <c r="F8301" s="12">
        <v>20.12</v>
      </c>
      <c r="G8301" t="str">
        <f>IFERROR(INDEX(tEditais[Órgão],MATCH(tItens[[#This Row],[Edital]],tEditais[Edital],0)),"")</f>
        <v>FACULDADE DE MEDICINA DE SAO JOSE DO RIO PRETO</v>
      </c>
      <c r="H8301" t="str">
        <f>IFERROR(INDEX(tEditais[UF],MATCH(tItens[[#This Row],[Edital]],tEditais[Edital],0)),"")</f>
        <v>SP</v>
      </c>
      <c r="I8301" s="11">
        <f>IFERROR(INDEX(tEditais[Encerramento],MATCH(tItens[[#This Row],[Edital]],tEditais[Edital],0)),"")</f>
        <v>46304.333333333336</v>
      </c>
      <c r="J8301" t="str">
        <f>IFERROR(INDEX(tProdutos[Classe],MATCH(tItens[[#This Row],[Produto]],tProdutos[Produto],0)),"produto não cadastrado")</f>
        <v>FORA</v>
      </c>
      <c r="K8301" s="12">
        <f>tItens[[#This Row],[Qtd]]*tItens[[#This Row],[Vlr unit]]</f>
        <v>80.48</v>
      </c>
      <c r="L8301" s="6">
        <f>IFERROR(IF(INDEX(tProdutos[Desconto homologado],MATCH(tItens[[#This Row],[Produto]],tProdutos[Produto],0))="",DescontoPadrao,INDEX(tProdutos[Desconto homologado],MATCH(tItens[[#This Row],[Produto]],tProdutos[Produto],0))),DescontoPadrao)</f>
        <v>0.35766373163696302</v>
      </c>
      <c r="M8301" s="12">
        <f>tItens[[#This Row],[Valor]]*(1-tItens[[#This Row],[Desconto]])</f>
        <v>51.695222877857212</v>
      </c>
      <c r="N8301" t="str">
        <f>IFERROR(INDEX(tProdutos[Foco],MATCH(tItens[[#This Row],[Produto]],tProdutos[Produto],0)),"Não")</f>
        <v>Não</v>
      </c>
      <c r="O8301" t="str">
        <f>IFERROR(INDEX(tEditais[SRP],MATCH(tItens[[#This Row],[Edital]],tEditais[Edital],0)),"Não")</f>
        <v>Não</v>
      </c>
      <c r="P8301" s="4">
        <f>IF(COUNTIFS(INDEX(tItens[Edital],1):tItens[[#This Row],[Edital]],tItens[[#This Row],[Edital]],INDEX(tItens[Produto],1):tItens[[#This Row],[Produto]],tItens[[#This Row],[Produto]])=1,1,0)</f>
        <v>1</v>
      </c>
    </row>
    <row r="8302" spans="1:16" x14ac:dyDescent="0.25">
      <c r="A8302" t="s">
        <v>2728</v>
      </c>
      <c r="B8302">
        <v>5</v>
      </c>
      <c r="C8302" t="s">
        <v>10757</v>
      </c>
      <c r="D8302" t="s">
        <v>512</v>
      </c>
      <c r="E8302" s="13">
        <v>50</v>
      </c>
      <c r="F8302" s="12">
        <v>40.14</v>
      </c>
      <c r="G8302" t="str">
        <f>IFERROR(INDEX(tEditais[Órgão],MATCH(tItens[[#This Row],[Edital]],tEditais[Edital],0)),"")</f>
        <v>MUNICIPIO DE PIRATININGA</v>
      </c>
      <c r="H8302" t="str">
        <f>IFERROR(INDEX(tEditais[UF],MATCH(tItens[[#This Row],[Edital]],tEditais[Edital],0)),"")</f>
        <v>SP</v>
      </c>
      <c r="I8302" s="11">
        <f>IFERROR(INDEX(tEditais[Encerramento],MATCH(tItens[[#This Row],[Edital]],tEditais[Edital],0)),"")</f>
        <v>46304.354166666664</v>
      </c>
      <c r="J8302" t="str">
        <f>IFERROR(INDEX(tProdutos[Classe],MATCH(tItens[[#This Row],[Produto]],tProdutos[Produto],0)),"produto não cadastrado")</f>
        <v>FILA REBASE</v>
      </c>
      <c r="K8302" s="12">
        <f>tItens[[#This Row],[Qtd]]*tItens[[#This Row],[Vlr unit]]</f>
        <v>2007</v>
      </c>
      <c r="L8302" s="6">
        <f>IFERROR(IF(INDEX(tProdutos[Desconto homologado],MATCH(tItens[[#This Row],[Produto]],tProdutos[Produto],0))="",DescontoPadrao,INDEX(tProdutos[Desconto homologado],MATCH(tItens[[#This Row],[Produto]],tProdutos[Produto],0))),DescontoPadrao)</f>
        <v>0.32579365079365102</v>
      </c>
      <c r="M8302" s="12">
        <f>tItens[[#This Row],[Valor]]*(1-tItens[[#This Row],[Desconto]])</f>
        <v>1353.1321428571425</v>
      </c>
      <c r="N8302" t="str">
        <f>IFERROR(INDEX(tProdutos[Foco],MATCH(tItens[[#This Row],[Produto]],tProdutos[Produto],0)),"Não")</f>
        <v>Não</v>
      </c>
      <c r="O8302" t="str">
        <f>IFERROR(INDEX(tEditais[SRP],MATCH(tItens[[#This Row],[Edital]],tEditais[Edital],0)),"Não")</f>
        <v>Sim</v>
      </c>
      <c r="P8302" s="4">
        <f>IF(COUNTIFS(INDEX(tItens[Edital],1):tItens[[#This Row],[Edital]],tItens[[#This Row],[Edital]],INDEX(tItens[Produto],1):tItens[[#This Row],[Produto]],tItens[[#This Row],[Produto]])=1,1,0)</f>
        <v>1</v>
      </c>
    </row>
    <row r="8303" spans="1:16" x14ac:dyDescent="0.25">
      <c r="A8303" t="s">
        <v>2728</v>
      </c>
      <c r="B8303">
        <v>10</v>
      </c>
      <c r="C8303" t="s">
        <v>10758</v>
      </c>
      <c r="D8303" t="s">
        <v>275</v>
      </c>
      <c r="E8303" s="13">
        <v>3000</v>
      </c>
      <c r="F8303" s="12">
        <v>0.16</v>
      </c>
      <c r="G8303" t="str">
        <f>IFERROR(INDEX(tEditais[Órgão],MATCH(tItens[[#This Row],[Edital]],tEditais[Edital],0)),"")</f>
        <v>MUNICIPIO DE PIRATININGA</v>
      </c>
      <c r="H8303" t="str">
        <f>IFERROR(INDEX(tEditais[UF],MATCH(tItens[[#This Row],[Edital]],tEditais[Edital],0)),"")</f>
        <v>SP</v>
      </c>
      <c r="I8303" s="11">
        <f>IFERROR(INDEX(tEditais[Encerramento],MATCH(tItens[[#This Row],[Edital]],tEditais[Edital],0)),"")</f>
        <v>46304.354166666664</v>
      </c>
      <c r="J8303" t="str">
        <f>IFERROR(INDEX(tProdutos[Classe],MATCH(tItens[[#This Row],[Produto]],tProdutos[Produto],0)),"produto não cadastrado")</f>
        <v>FORA</v>
      </c>
      <c r="K8303" s="12">
        <f>tItens[[#This Row],[Qtd]]*tItens[[#This Row],[Vlr unit]]</f>
        <v>480</v>
      </c>
      <c r="L8303" s="6">
        <f>IFERROR(IF(INDEX(tProdutos[Desconto homologado],MATCH(tItens[[#This Row],[Produto]],tProdutos[Produto],0))="",DescontoPadrao,INDEX(tProdutos[Desconto homologado],MATCH(tItens[[#This Row],[Produto]],tProdutos[Produto],0))),DescontoPadrao)</f>
        <v>0.405797101449275</v>
      </c>
      <c r="M8303" s="12">
        <f>tItens[[#This Row],[Valor]]*(1-tItens[[#This Row],[Desconto]])</f>
        <v>285.21739130434804</v>
      </c>
      <c r="N8303" t="str">
        <f>IFERROR(INDEX(tProdutos[Foco],MATCH(tItens[[#This Row],[Produto]],tProdutos[Produto],0)),"Não")</f>
        <v>Não</v>
      </c>
      <c r="O8303" t="str">
        <f>IFERROR(INDEX(tEditais[SRP],MATCH(tItens[[#This Row],[Edital]],tEditais[Edital],0)),"Não")</f>
        <v>Sim</v>
      </c>
      <c r="P8303" s="4">
        <f>IF(COUNTIFS(INDEX(tItens[Edital],1):tItens[[#This Row],[Edital]],tItens[[#This Row],[Edital]],INDEX(tItens[Produto],1):tItens[[#This Row],[Produto]],tItens[[#This Row],[Produto]])=1,1,0)</f>
        <v>1</v>
      </c>
    </row>
    <row r="8304" spans="1:16" x14ac:dyDescent="0.25">
      <c r="A8304" t="s">
        <v>2728</v>
      </c>
      <c r="B8304">
        <v>11</v>
      </c>
      <c r="C8304" t="s">
        <v>10759</v>
      </c>
      <c r="D8304" t="s">
        <v>303</v>
      </c>
      <c r="E8304" s="13">
        <v>10000</v>
      </c>
      <c r="F8304" s="12">
        <v>0.43</v>
      </c>
      <c r="G8304" t="str">
        <f>IFERROR(INDEX(tEditais[Órgão],MATCH(tItens[[#This Row],[Edital]],tEditais[Edital],0)),"")</f>
        <v>MUNICIPIO DE PIRATININGA</v>
      </c>
      <c r="H8304" t="str">
        <f>IFERROR(INDEX(tEditais[UF],MATCH(tItens[[#This Row],[Edital]],tEditais[Edital],0)),"")</f>
        <v>SP</v>
      </c>
      <c r="I8304" s="11">
        <f>IFERROR(INDEX(tEditais[Encerramento],MATCH(tItens[[#This Row],[Edital]],tEditais[Edital],0)),"")</f>
        <v>46304.354166666664</v>
      </c>
      <c r="J8304" t="str">
        <f>IFERROR(INDEX(tProdutos[Classe],MATCH(tItens[[#This Row],[Produto]],tProdutos[Produto],0)),"produto não cadastrado")</f>
        <v>FORA</v>
      </c>
      <c r="K8304" s="12">
        <f>tItens[[#This Row],[Qtd]]*tItens[[#This Row],[Vlr unit]]</f>
        <v>4300</v>
      </c>
      <c r="L8304" s="6">
        <f>IFERROR(IF(INDEX(tProdutos[Desconto homologado],MATCH(tItens[[#This Row],[Produto]],tProdutos[Produto],0))="",DescontoPadrao,INDEX(tProdutos[Desconto homologado],MATCH(tItens[[#This Row],[Produto]],tProdutos[Produto],0))),DescontoPadrao)</f>
        <v>0.35748048048048098</v>
      </c>
      <c r="M8304" s="12">
        <f>tItens[[#This Row],[Valor]]*(1-tItens[[#This Row],[Desconto]])</f>
        <v>2762.8339339339318</v>
      </c>
      <c r="N8304" t="str">
        <f>IFERROR(INDEX(tProdutos[Foco],MATCH(tItens[[#This Row],[Produto]],tProdutos[Produto],0)),"Não")</f>
        <v>Não</v>
      </c>
      <c r="O8304" t="str">
        <f>IFERROR(INDEX(tEditais[SRP],MATCH(tItens[[#This Row],[Edital]],tEditais[Edital],0)),"Não")</f>
        <v>Sim</v>
      </c>
      <c r="P8304" s="4">
        <f>IF(COUNTIFS(INDEX(tItens[Edital],1):tItens[[#This Row],[Edital]],tItens[[#This Row],[Edital]],INDEX(tItens[Produto],1):tItens[[#This Row],[Produto]],tItens[[#This Row],[Produto]])=1,1,0)</f>
        <v>1</v>
      </c>
    </row>
    <row r="8305" spans="1:16" x14ac:dyDescent="0.25">
      <c r="A8305" t="s">
        <v>2728</v>
      </c>
      <c r="B8305">
        <v>12</v>
      </c>
      <c r="C8305" t="s">
        <v>10760</v>
      </c>
      <c r="D8305" t="s">
        <v>289</v>
      </c>
      <c r="E8305" s="13">
        <v>8000</v>
      </c>
      <c r="F8305" s="12">
        <v>0.43</v>
      </c>
      <c r="G8305" t="str">
        <f>IFERROR(INDEX(tEditais[Órgão],MATCH(tItens[[#This Row],[Edital]],tEditais[Edital],0)),"")</f>
        <v>MUNICIPIO DE PIRATININGA</v>
      </c>
      <c r="H8305" t="str">
        <f>IFERROR(INDEX(tEditais[UF],MATCH(tItens[[#This Row],[Edital]],tEditais[Edital],0)),"")</f>
        <v>SP</v>
      </c>
      <c r="I8305" s="11">
        <f>IFERROR(INDEX(tEditais[Encerramento],MATCH(tItens[[#This Row],[Edital]],tEditais[Edital],0)),"")</f>
        <v>46304.354166666664</v>
      </c>
      <c r="J8305" t="str">
        <f>IFERROR(INDEX(tProdutos[Classe],MATCH(tItens[[#This Row],[Produto]],tProdutos[Produto],0)),"produto não cadastrado")</f>
        <v>DISPUTADO</v>
      </c>
      <c r="K8305" s="12">
        <f>tItens[[#This Row],[Qtd]]*tItens[[#This Row],[Vlr unit]]</f>
        <v>3440</v>
      </c>
      <c r="L8305" s="6">
        <f>IFERROR(IF(INDEX(tProdutos[Desconto homologado],MATCH(tItens[[#This Row],[Produto]],tProdutos[Produto],0))="",DescontoPadrao,INDEX(tProdutos[Desconto homologado],MATCH(tItens[[#This Row],[Produto]],tProdutos[Produto],0))),DescontoPadrao)</f>
        <v>0.35849056603773599</v>
      </c>
      <c r="M8305" s="12">
        <f>tItens[[#This Row],[Valor]]*(1-tItens[[#This Row],[Desconto]])</f>
        <v>2206.7924528301883</v>
      </c>
      <c r="N8305" t="str">
        <f>IFERROR(INDEX(tProdutos[Foco],MATCH(tItens[[#This Row],[Produto]],tProdutos[Produto],0)),"Não")</f>
        <v>Não</v>
      </c>
      <c r="O8305" t="str">
        <f>IFERROR(INDEX(tEditais[SRP],MATCH(tItens[[#This Row],[Edital]],tEditais[Edital],0)),"Não")</f>
        <v>Sim</v>
      </c>
      <c r="P8305" s="4">
        <f>IF(COUNTIFS(INDEX(tItens[Edital],1):tItens[[#This Row],[Edital]],tItens[[#This Row],[Edital]],INDEX(tItens[Produto],1):tItens[[#This Row],[Produto]],tItens[[#This Row],[Produto]])=1,1,0)</f>
        <v>1</v>
      </c>
    </row>
    <row r="8306" spans="1:16" x14ac:dyDescent="0.25">
      <c r="A8306" t="s">
        <v>2728</v>
      </c>
      <c r="B8306">
        <v>13</v>
      </c>
      <c r="C8306" t="s">
        <v>10761</v>
      </c>
      <c r="D8306" t="s">
        <v>265</v>
      </c>
      <c r="E8306" s="13">
        <v>40000</v>
      </c>
      <c r="F8306" s="12">
        <v>0.24</v>
      </c>
      <c r="G8306" t="str">
        <f>IFERROR(INDEX(tEditais[Órgão],MATCH(tItens[[#This Row],[Edital]],tEditais[Edital],0)),"")</f>
        <v>MUNICIPIO DE PIRATININGA</v>
      </c>
      <c r="H8306" t="str">
        <f>IFERROR(INDEX(tEditais[UF],MATCH(tItens[[#This Row],[Edital]],tEditais[Edital],0)),"")</f>
        <v>SP</v>
      </c>
      <c r="I8306" s="11">
        <f>IFERROR(INDEX(tEditais[Encerramento],MATCH(tItens[[#This Row],[Edital]],tEditais[Edital],0)),"")</f>
        <v>46304.354166666664</v>
      </c>
      <c r="J8306" t="str">
        <f>IFERROR(INDEX(tProdutos[Classe],MATCH(tItens[[#This Row],[Produto]],tProdutos[Produto],0)),"produto não cadastrado")</f>
        <v>DISPUTADO</v>
      </c>
      <c r="K8306" s="12">
        <f>tItens[[#This Row],[Qtd]]*tItens[[#This Row],[Vlr unit]]</f>
        <v>9600</v>
      </c>
      <c r="L8306" s="6">
        <f>IFERROR(IF(INDEX(tProdutos[Desconto homologado],MATCH(tItens[[#This Row],[Produto]],tProdutos[Produto],0))="",DescontoPadrao,INDEX(tProdutos[Desconto homologado],MATCH(tItens[[#This Row],[Produto]],tProdutos[Produto],0))),DescontoPadrao)</f>
        <v>0.377587663709337</v>
      </c>
      <c r="M8306" s="12">
        <f>tItens[[#This Row],[Valor]]*(1-tItens[[#This Row],[Desconto]])</f>
        <v>5975.1584283903658</v>
      </c>
      <c r="N8306" t="str">
        <f>IFERROR(INDEX(tProdutos[Foco],MATCH(tItens[[#This Row],[Produto]],tProdutos[Produto],0)),"Não")</f>
        <v>Não</v>
      </c>
      <c r="O8306" t="str">
        <f>IFERROR(INDEX(tEditais[SRP],MATCH(tItens[[#This Row],[Edital]],tEditais[Edital],0)),"Não")</f>
        <v>Sim</v>
      </c>
      <c r="P8306" s="4">
        <f>IF(COUNTIFS(INDEX(tItens[Edital],1):tItens[[#This Row],[Edital]],tItens[[#This Row],[Edital]],INDEX(tItens[Produto],1):tItens[[#This Row],[Produto]],tItens[[#This Row],[Produto]])=1,1,0)</f>
        <v>1</v>
      </c>
    </row>
    <row r="8307" spans="1:16" x14ac:dyDescent="0.25">
      <c r="A8307" t="s">
        <v>2728</v>
      </c>
      <c r="B8307">
        <v>16</v>
      </c>
      <c r="C8307" t="s">
        <v>10762</v>
      </c>
      <c r="D8307" t="s">
        <v>221</v>
      </c>
      <c r="E8307" s="13">
        <v>700</v>
      </c>
      <c r="F8307" s="12">
        <v>234.53</v>
      </c>
      <c r="G8307" t="str">
        <f>IFERROR(INDEX(tEditais[Órgão],MATCH(tItens[[#This Row],[Edital]],tEditais[Edital],0)),"")</f>
        <v>MUNICIPIO DE PIRATININGA</v>
      </c>
      <c r="H8307" t="str">
        <f>IFERROR(INDEX(tEditais[UF],MATCH(tItens[[#This Row],[Edital]],tEditais[Edital],0)),"")</f>
        <v>SP</v>
      </c>
      <c r="I8307" s="11">
        <f>IFERROR(INDEX(tEditais[Encerramento],MATCH(tItens[[#This Row],[Edital]],tEditais[Edital],0)),"")</f>
        <v>46304.354166666664</v>
      </c>
      <c r="J8307" t="str">
        <f>IFERROR(INDEX(tProdutos[Classe],MATCH(tItens[[#This Row],[Produto]],tProdutos[Produto],0)),"produto não cadastrado")</f>
        <v>FORA</v>
      </c>
      <c r="K8307" s="12">
        <f>tItens[[#This Row],[Qtd]]*tItens[[#This Row],[Vlr unit]]</f>
        <v>164171</v>
      </c>
      <c r="L8307" s="6">
        <f>IFERROR(IF(INDEX(tProdutos[Desconto homologado],MATCH(tItens[[#This Row],[Produto]],tProdutos[Produto],0))="",DescontoPadrao,INDEX(tProdutos[Desconto homologado],MATCH(tItens[[#This Row],[Produto]],tProdutos[Produto],0))),DescontoPadrao)</f>
        <v>0.35408560311283999</v>
      </c>
      <c r="M8307" s="12">
        <f>tItens[[#This Row],[Valor]]*(1-tItens[[#This Row],[Desconto]])</f>
        <v>106040.41245136195</v>
      </c>
      <c r="N8307" t="str">
        <f>IFERROR(INDEX(tProdutos[Foco],MATCH(tItens[[#This Row],[Produto]],tProdutos[Produto],0)),"Não")</f>
        <v>Não</v>
      </c>
      <c r="O8307" t="str">
        <f>IFERROR(INDEX(tEditais[SRP],MATCH(tItens[[#This Row],[Edital]],tEditais[Edital],0)),"Não")</f>
        <v>Sim</v>
      </c>
      <c r="P8307" s="4">
        <f>IF(COUNTIFS(INDEX(tItens[Edital],1):tItens[[#This Row],[Edital]],tItens[[#This Row],[Edital]],INDEX(tItens[Produto],1):tItens[[#This Row],[Produto]],tItens[[#This Row],[Produto]])=1,1,0)</f>
        <v>1</v>
      </c>
    </row>
    <row r="8308" spans="1:16" x14ac:dyDescent="0.25">
      <c r="A8308" t="s">
        <v>2728</v>
      </c>
      <c r="B8308">
        <v>18</v>
      </c>
      <c r="C8308" t="s">
        <v>10763</v>
      </c>
      <c r="D8308" t="s">
        <v>209</v>
      </c>
      <c r="E8308" s="13">
        <v>50</v>
      </c>
      <c r="F8308" s="12">
        <v>4.3</v>
      </c>
      <c r="G8308" t="str">
        <f>IFERROR(INDEX(tEditais[Órgão],MATCH(tItens[[#This Row],[Edital]],tEditais[Edital],0)),"")</f>
        <v>MUNICIPIO DE PIRATININGA</v>
      </c>
      <c r="H8308" t="str">
        <f>IFERROR(INDEX(tEditais[UF],MATCH(tItens[[#This Row],[Edital]],tEditais[Edital],0)),"")</f>
        <v>SP</v>
      </c>
      <c r="I8308" s="11">
        <f>IFERROR(INDEX(tEditais[Encerramento],MATCH(tItens[[#This Row],[Edital]],tEditais[Edital],0)),"")</f>
        <v>46304.354166666664</v>
      </c>
      <c r="J8308" t="str">
        <f>IFERROR(INDEX(tProdutos[Classe],MATCH(tItens[[#This Row],[Produto]],tProdutos[Produto],0)),"produto não cadastrado")</f>
        <v>FORA</v>
      </c>
      <c r="K8308" s="12">
        <f>tItens[[#This Row],[Qtd]]*tItens[[#This Row],[Vlr unit]]</f>
        <v>215</v>
      </c>
      <c r="L8308" s="6">
        <f>IFERROR(IF(INDEX(tProdutos[Desconto homologado],MATCH(tItens[[#This Row],[Produto]],tProdutos[Produto],0))="",DescontoPadrao,INDEX(tProdutos[Desconto homologado],MATCH(tItens[[#This Row],[Produto]],tProdutos[Produto],0))),DescontoPadrao)</f>
        <v>0.16442507504040599</v>
      </c>
      <c r="M8308" s="12">
        <f>tItens[[#This Row],[Valor]]*(1-tItens[[#This Row],[Desconto]])</f>
        <v>179.64860886631271</v>
      </c>
      <c r="N8308" t="str">
        <f>IFERROR(INDEX(tProdutos[Foco],MATCH(tItens[[#This Row],[Produto]],tProdutos[Produto],0)),"Não")</f>
        <v>Não</v>
      </c>
      <c r="O8308" t="str">
        <f>IFERROR(INDEX(tEditais[SRP],MATCH(tItens[[#This Row],[Edital]],tEditais[Edital],0)),"Não")</f>
        <v>Sim</v>
      </c>
      <c r="P8308" s="4">
        <f>IF(COUNTIFS(INDEX(tItens[Edital],1):tItens[[#This Row],[Edital]],tItens[[#This Row],[Edital]],INDEX(tItens[Produto],1):tItens[[#This Row],[Produto]],tItens[[#This Row],[Produto]])=1,1,0)</f>
        <v>1</v>
      </c>
    </row>
    <row r="8309" spans="1:16" x14ac:dyDescent="0.25">
      <c r="A8309" t="s">
        <v>2728</v>
      </c>
      <c r="B8309">
        <v>19</v>
      </c>
      <c r="C8309" t="s">
        <v>4400</v>
      </c>
      <c r="D8309" t="s">
        <v>187</v>
      </c>
      <c r="E8309" s="13">
        <v>30</v>
      </c>
      <c r="F8309" s="12">
        <v>2.19</v>
      </c>
      <c r="G8309" t="str">
        <f>IFERROR(INDEX(tEditais[Órgão],MATCH(tItens[[#This Row],[Edital]],tEditais[Edital],0)),"")</f>
        <v>MUNICIPIO DE PIRATININGA</v>
      </c>
      <c r="H8309" t="str">
        <f>IFERROR(INDEX(tEditais[UF],MATCH(tItens[[#This Row],[Edital]],tEditais[Edital],0)),"")</f>
        <v>SP</v>
      </c>
      <c r="I8309" s="11">
        <f>IFERROR(INDEX(tEditais[Encerramento],MATCH(tItens[[#This Row],[Edital]],tEditais[Edital],0)),"")</f>
        <v>46304.354166666664</v>
      </c>
      <c r="J8309" t="str">
        <f>IFERROR(INDEX(tProdutos[Classe],MATCH(tItens[[#This Row],[Produto]],tProdutos[Produto],0)),"produto não cadastrado")</f>
        <v>DISPUTADO</v>
      </c>
      <c r="K8309" s="12">
        <f>tItens[[#This Row],[Qtd]]*tItens[[#This Row],[Vlr unit]]</f>
        <v>65.7</v>
      </c>
      <c r="L8309" s="6">
        <f>IFERROR(IF(INDEX(tProdutos[Desconto homologado],MATCH(tItens[[#This Row],[Produto]],tProdutos[Produto],0))="",DescontoPadrao,INDEX(tProdutos[Desconto homologado],MATCH(tItens[[#This Row],[Produto]],tProdutos[Produto],0))),DescontoPadrao)</f>
        <v>0.44298820445609399</v>
      </c>
      <c r="M8309" s="12">
        <f>tItens[[#This Row],[Valor]]*(1-tItens[[#This Row],[Desconto]])</f>
        <v>36.595674967234629</v>
      </c>
      <c r="N8309" t="str">
        <f>IFERROR(INDEX(tProdutos[Foco],MATCH(tItens[[#This Row],[Produto]],tProdutos[Produto],0)),"Não")</f>
        <v>Não</v>
      </c>
      <c r="O8309" t="str">
        <f>IFERROR(INDEX(tEditais[SRP],MATCH(tItens[[#This Row],[Edital]],tEditais[Edital],0)),"Não")</f>
        <v>Sim</v>
      </c>
      <c r="P8309" s="4">
        <f>IF(COUNTIFS(INDEX(tItens[Edital],1):tItens[[#This Row],[Edital]],tItens[[#This Row],[Edital]],INDEX(tItens[Produto],1):tItens[[#This Row],[Produto]],tItens[[#This Row],[Produto]])=1,1,0)</f>
        <v>1</v>
      </c>
    </row>
    <row r="8310" spans="1:16" x14ac:dyDescent="0.25">
      <c r="A8310" t="s">
        <v>2728</v>
      </c>
      <c r="B8310">
        <v>20</v>
      </c>
      <c r="C8310" t="s">
        <v>10764</v>
      </c>
      <c r="D8310" t="s">
        <v>331</v>
      </c>
      <c r="E8310" s="13">
        <v>150</v>
      </c>
      <c r="F8310" s="12">
        <v>1.18</v>
      </c>
      <c r="G8310" t="str">
        <f>IFERROR(INDEX(tEditais[Órgão],MATCH(tItens[[#This Row],[Edital]],tEditais[Edital],0)),"")</f>
        <v>MUNICIPIO DE PIRATININGA</v>
      </c>
      <c r="H8310" t="str">
        <f>IFERROR(INDEX(tEditais[UF],MATCH(tItens[[#This Row],[Edital]],tEditais[Edital],0)),"")</f>
        <v>SP</v>
      </c>
      <c r="I8310" s="11">
        <f>IFERROR(INDEX(tEditais[Encerramento],MATCH(tItens[[#This Row],[Edital]],tEditais[Edital],0)),"")</f>
        <v>46304.354166666664</v>
      </c>
      <c r="J8310" t="str">
        <f>IFERROR(INDEX(tProdutos[Classe],MATCH(tItens[[#This Row],[Produto]],tProdutos[Produto],0)),"produto não cadastrado")</f>
        <v>FORA</v>
      </c>
      <c r="K8310" s="12">
        <f>tItens[[#This Row],[Qtd]]*tItens[[#This Row],[Vlr unit]]</f>
        <v>177</v>
      </c>
      <c r="L8310" s="6">
        <f>IFERROR(IF(INDEX(tProdutos[Desconto homologado],MATCH(tItens[[#This Row],[Produto]],tProdutos[Produto],0))="",DescontoPadrao,INDEX(tProdutos[Desconto homologado],MATCH(tItens[[#This Row],[Produto]],tProdutos[Produto],0))),DescontoPadrao)</f>
        <v>0.45927812223206399</v>
      </c>
      <c r="M8310" s="12">
        <f>tItens[[#This Row],[Valor]]*(1-tItens[[#This Row],[Desconto]])</f>
        <v>95.707772364924679</v>
      </c>
      <c r="N8310" t="str">
        <f>IFERROR(INDEX(tProdutos[Foco],MATCH(tItens[[#This Row],[Produto]],tProdutos[Produto],0)),"Não")</f>
        <v>Não</v>
      </c>
      <c r="O8310" t="str">
        <f>IFERROR(INDEX(tEditais[SRP],MATCH(tItens[[#This Row],[Edital]],tEditais[Edital],0)),"Não")</f>
        <v>Sim</v>
      </c>
      <c r="P8310" s="4">
        <f>IF(COUNTIFS(INDEX(tItens[Edital],1):tItens[[#This Row],[Edital]],tItens[[#This Row],[Edital]],INDEX(tItens[Produto],1):tItens[[#This Row],[Produto]],tItens[[#This Row],[Produto]])=1,1,0)</f>
        <v>1</v>
      </c>
    </row>
    <row r="8311" spans="1:16" x14ac:dyDescent="0.25">
      <c r="A8311" t="s">
        <v>2728</v>
      </c>
      <c r="B8311">
        <v>33</v>
      </c>
      <c r="C8311" t="s">
        <v>10765</v>
      </c>
      <c r="D8311" t="s">
        <v>144</v>
      </c>
      <c r="E8311" s="13">
        <v>200</v>
      </c>
      <c r="F8311" s="12">
        <v>26.58</v>
      </c>
      <c r="G8311" t="str">
        <f>IFERROR(INDEX(tEditais[Órgão],MATCH(tItens[[#This Row],[Edital]],tEditais[Edital],0)),"")</f>
        <v>MUNICIPIO DE PIRATININGA</v>
      </c>
      <c r="H8311" t="str">
        <f>IFERROR(INDEX(tEditais[UF],MATCH(tItens[[#This Row],[Edital]],tEditais[Edital],0)),"")</f>
        <v>SP</v>
      </c>
      <c r="I8311" s="11">
        <f>IFERROR(INDEX(tEditais[Encerramento],MATCH(tItens[[#This Row],[Edital]],tEditais[Edital],0)),"")</f>
        <v>46304.354166666664</v>
      </c>
      <c r="J8311" t="str">
        <f>IFERROR(INDEX(tProdutos[Classe],MATCH(tItens[[#This Row],[Produto]],tProdutos[Produto],0)),"produto não cadastrado")</f>
        <v>DISPUTADO</v>
      </c>
      <c r="K8311" s="12">
        <f>tItens[[#This Row],[Qtd]]*tItens[[#This Row],[Vlr unit]]</f>
        <v>5316</v>
      </c>
      <c r="L8311" s="6">
        <f>IFERROR(IF(INDEX(tProdutos[Desconto homologado],MATCH(tItens[[#This Row],[Produto]],tProdutos[Produto],0))="",DescontoPadrao,INDEX(tProdutos[Desconto homologado],MATCH(tItens[[#This Row],[Produto]],tProdutos[Produto],0))),DescontoPadrao)</f>
        <v>0.371428571428571</v>
      </c>
      <c r="M8311" s="12">
        <f>tItens[[#This Row],[Valor]]*(1-tItens[[#This Row],[Desconto]])</f>
        <v>3341.4857142857168</v>
      </c>
      <c r="N8311" t="str">
        <f>IFERROR(INDEX(tProdutos[Foco],MATCH(tItens[[#This Row],[Produto]],tProdutos[Produto],0)),"Não")</f>
        <v>Não</v>
      </c>
      <c r="O8311" t="str">
        <f>IFERROR(INDEX(tEditais[SRP],MATCH(tItens[[#This Row],[Edital]],tEditais[Edital],0)),"Não")</f>
        <v>Sim</v>
      </c>
      <c r="P8311" s="4">
        <f>IF(COUNTIFS(INDEX(tItens[Edital],1):tItens[[#This Row],[Edital]],tItens[[#This Row],[Edital]],INDEX(tItens[Produto],1):tItens[[#This Row],[Produto]],tItens[[#This Row],[Produto]])=1,1,0)</f>
        <v>1</v>
      </c>
    </row>
    <row r="8312" spans="1:16" x14ac:dyDescent="0.25">
      <c r="A8312" t="s">
        <v>2728</v>
      </c>
      <c r="B8312">
        <v>34</v>
      </c>
      <c r="C8312" t="s">
        <v>10766</v>
      </c>
      <c r="D8312" t="s">
        <v>90</v>
      </c>
      <c r="E8312" s="13">
        <v>300</v>
      </c>
      <c r="F8312" s="12">
        <v>5.89</v>
      </c>
      <c r="G8312" t="str">
        <f>IFERROR(INDEX(tEditais[Órgão],MATCH(tItens[[#This Row],[Edital]],tEditais[Edital],0)),"")</f>
        <v>MUNICIPIO DE PIRATININGA</v>
      </c>
      <c r="H8312" t="str">
        <f>IFERROR(INDEX(tEditais[UF],MATCH(tItens[[#This Row],[Edital]],tEditais[Edital],0)),"")</f>
        <v>SP</v>
      </c>
      <c r="I8312" s="11">
        <f>IFERROR(INDEX(tEditais[Encerramento],MATCH(tItens[[#This Row],[Edital]],tEditais[Edital],0)),"")</f>
        <v>46304.354166666664</v>
      </c>
      <c r="J8312" t="str">
        <f>IFERROR(INDEX(tProdutos[Classe],MATCH(tItens[[#This Row],[Produto]],tProdutos[Produto],0)),"produto não cadastrado")</f>
        <v>DISPUTADO</v>
      </c>
      <c r="K8312" s="12">
        <f>tItens[[#This Row],[Qtd]]*tItens[[#This Row],[Vlr unit]]</f>
        <v>1767</v>
      </c>
      <c r="L8312" s="6">
        <f>IFERROR(IF(INDEX(tProdutos[Desconto homologado],MATCH(tItens[[#This Row],[Produto]],tProdutos[Produto],0))="",DescontoPadrao,INDEX(tProdutos[Desconto homologado],MATCH(tItens[[#This Row],[Produto]],tProdutos[Produto],0))),DescontoPadrao)</f>
        <v>0.25393823957010597</v>
      </c>
      <c r="M8312" s="12">
        <f>tItens[[#This Row],[Valor]]*(1-tItens[[#This Row],[Desconto]])</f>
        <v>1318.2911306796227</v>
      </c>
      <c r="N8312" t="str">
        <f>IFERROR(INDEX(tProdutos[Foco],MATCH(tItens[[#This Row],[Produto]],tProdutos[Produto],0)),"Não")</f>
        <v>Não</v>
      </c>
      <c r="O8312" t="str">
        <f>IFERROR(INDEX(tEditais[SRP],MATCH(tItens[[#This Row],[Edital]],tEditais[Edital],0)),"Não")</f>
        <v>Sim</v>
      </c>
      <c r="P8312" s="4">
        <f>IF(COUNTIFS(INDEX(tItens[Edital],1):tItens[[#This Row],[Edital]],tItens[[#This Row],[Edital]],INDEX(tItens[Produto],1):tItens[[#This Row],[Produto]],tItens[[#This Row],[Produto]])=1,1,0)</f>
        <v>1</v>
      </c>
    </row>
    <row r="8313" spans="1:16" x14ac:dyDescent="0.25">
      <c r="A8313" t="s">
        <v>2728</v>
      </c>
      <c r="B8313">
        <v>40</v>
      </c>
      <c r="C8313" t="s">
        <v>10767</v>
      </c>
      <c r="D8313" t="s">
        <v>409</v>
      </c>
      <c r="E8313" s="13">
        <v>800</v>
      </c>
      <c r="F8313" s="12">
        <v>4.51</v>
      </c>
      <c r="G8313" t="str">
        <f>IFERROR(INDEX(tEditais[Órgão],MATCH(tItens[[#This Row],[Edital]],tEditais[Edital],0)),"")</f>
        <v>MUNICIPIO DE PIRATININGA</v>
      </c>
      <c r="H8313" t="str">
        <f>IFERROR(INDEX(tEditais[UF],MATCH(tItens[[#This Row],[Edital]],tEditais[Edital],0)),"")</f>
        <v>SP</v>
      </c>
      <c r="I8313" s="11">
        <f>IFERROR(INDEX(tEditais[Encerramento],MATCH(tItens[[#This Row],[Edital]],tEditais[Edital],0)),"")</f>
        <v>46304.354166666664</v>
      </c>
      <c r="J8313" t="str">
        <f>IFERROR(INDEX(tProdutos[Classe],MATCH(tItens[[#This Row],[Produto]],tProdutos[Produto],0)),"produto não cadastrado")</f>
        <v>FORA</v>
      </c>
      <c r="K8313" s="12">
        <f>tItens[[#This Row],[Qtd]]*tItens[[#This Row],[Vlr unit]]</f>
        <v>3608</v>
      </c>
      <c r="L8313" s="6">
        <f>IFERROR(IF(INDEX(tProdutos[Desconto homologado],MATCH(tItens[[#This Row],[Produto]],tProdutos[Produto],0))="",DescontoPadrao,INDEX(tProdutos[Desconto homologado],MATCH(tItens[[#This Row],[Produto]],tProdutos[Produto],0))),DescontoPadrao)</f>
        <v>0.24924924924924899</v>
      </c>
      <c r="M8313" s="12">
        <f>tItens[[#This Row],[Valor]]*(1-tItens[[#This Row],[Desconto]])</f>
        <v>2708.7087087087098</v>
      </c>
      <c r="N8313" t="str">
        <f>IFERROR(INDEX(tProdutos[Foco],MATCH(tItens[[#This Row],[Produto]],tProdutos[Produto],0)),"Não")</f>
        <v>Não</v>
      </c>
      <c r="O8313" t="str">
        <f>IFERROR(INDEX(tEditais[SRP],MATCH(tItens[[#This Row],[Edital]],tEditais[Edital],0)),"Não")</f>
        <v>Sim</v>
      </c>
      <c r="P8313" s="4">
        <f>IF(COUNTIFS(INDEX(tItens[Edital],1):tItens[[#This Row],[Edital]],tItens[[#This Row],[Edital]],INDEX(tItens[Produto],1):tItens[[#This Row],[Produto]],tItens[[#This Row],[Produto]])=1,1,0)</f>
        <v>1</v>
      </c>
    </row>
    <row r="8314" spans="1:16" x14ac:dyDescent="0.25">
      <c r="A8314" t="s">
        <v>2728</v>
      </c>
      <c r="B8314">
        <v>46</v>
      </c>
      <c r="C8314" t="s">
        <v>10768</v>
      </c>
      <c r="D8314" t="s">
        <v>56</v>
      </c>
      <c r="E8314" s="13">
        <v>20</v>
      </c>
      <c r="F8314" s="12">
        <v>49.73</v>
      </c>
      <c r="G8314" t="str">
        <f>IFERROR(INDEX(tEditais[Órgão],MATCH(tItens[[#This Row],[Edital]],tEditais[Edital],0)),"")</f>
        <v>MUNICIPIO DE PIRATININGA</v>
      </c>
      <c r="H8314" t="str">
        <f>IFERROR(INDEX(tEditais[UF],MATCH(tItens[[#This Row],[Edital]],tEditais[Edital],0)),"")</f>
        <v>SP</v>
      </c>
      <c r="I8314" s="11">
        <f>IFERROR(INDEX(tEditais[Encerramento],MATCH(tItens[[#This Row],[Edital]],tEditais[Edital],0)),"")</f>
        <v>46304.354166666664</v>
      </c>
      <c r="J8314" t="str">
        <f>IFERROR(INDEX(tProdutos[Classe],MATCH(tItens[[#This Row],[Produto]],tProdutos[Produto],0)),"produto não cadastrado")</f>
        <v>NÚCLEO</v>
      </c>
      <c r="K8314" s="12">
        <f>tItens[[#This Row],[Qtd]]*tItens[[#This Row],[Vlr unit]]</f>
        <v>994.59999999999991</v>
      </c>
      <c r="L8314" s="6">
        <f>IFERROR(IF(INDEX(tProdutos[Desconto homologado],MATCH(tItens[[#This Row],[Produto]],tProdutos[Produto],0))="",DescontoPadrao,INDEX(tProdutos[Desconto homologado],MATCH(tItens[[#This Row],[Produto]],tProdutos[Produto],0))),DescontoPadrao)</f>
        <v>0.34</v>
      </c>
      <c r="M8314" s="12">
        <f>tItens[[#This Row],[Valor]]*(1-tItens[[#This Row],[Desconto]])</f>
        <v>656.43599999999981</v>
      </c>
      <c r="N8314" t="str">
        <f>IFERROR(INDEX(tProdutos[Foco],MATCH(tItens[[#This Row],[Produto]],tProdutos[Produto],0)),"Não")</f>
        <v>Sim</v>
      </c>
      <c r="O8314" t="str">
        <f>IFERROR(INDEX(tEditais[SRP],MATCH(tItens[[#This Row],[Edital]],tEditais[Edital],0)),"Não")</f>
        <v>Sim</v>
      </c>
      <c r="P8314" s="4">
        <f>IF(COUNTIFS(INDEX(tItens[Edital],1):tItens[[#This Row],[Edital]],tItens[[#This Row],[Edital]],INDEX(tItens[Produto],1):tItens[[#This Row],[Produto]],tItens[[#This Row],[Produto]])=1,1,0)</f>
        <v>1</v>
      </c>
    </row>
    <row r="8315" spans="1:16" x14ac:dyDescent="0.25">
      <c r="A8315" t="s">
        <v>2728</v>
      </c>
      <c r="B8315">
        <v>47</v>
      </c>
      <c r="C8315" t="s">
        <v>10769</v>
      </c>
      <c r="D8315" t="s">
        <v>56</v>
      </c>
      <c r="E8315" s="13">
        <v>20</v>
      </c>
      <c r="F8315" s="12">
        <v>49.72</v>
      </c>
      <c r="G8315" t="str">
        <f>IFERROR(INDEX(tEditais[Órgão],MATCH(tItens[[#This Row],[Edital]],tEditais[Edital],0)),"")</f>
        <v>MUNICIPIO DE PIRATININGA</v>
      </c>
      <c r="H8315" t="str">
        <f>IFERROR(INDEX(tEditais[UF],MATCH(tItens[[#This Row],[Edital]],tEditais[Edital],0)),"")</f>
        <v>SP</v>
      </c>
      <c r="I8315" s="11">
        <f>IFERROR(INDEX(tEditais[Encerramento],MATCH(tItens[[#This Row],[Edital]],tEditais[Edital],0)),"")</f>
        <v>46304.354166666664</v>
      </c>
      <c r="J8315" t="str">
        <f>IFERROR(INDEX(tProdutos[Classe],MATCH(tItens[[#This Row],[Produto]],tProdutos[Produto],0)),"produto não cadastrado")</f>
        <v>NÚCLEO</v>
      </c>
      <c r="K8315" s="12">
        <f>tItens[[#This Row],[Qtd]]*tItens[[#This Row],[Vlr unit]]</f>
        <v>994.4</v>
      </c>
      <c r="L8315" s="6">
        <f>IFERROR(IF(INDEX(tProdutos[Desconto homologado],MATCH(tItens[[#This Row],[Produto]],tProdutos[Produto],0))="",DescontoPadrao,INDEX(tProdutos[Desconto homologado],MATCH(tItens[[#This Row],[Produto]],tProdutos[Produto],0))),DescontoPadrao)</f>
        <v>0.34</v>
      </c>
      <c r="M8315" s="12">
        <f>tItens[[#This Row],[Valor]]*(1-tItens[[#This Row],[Desconto]])</f>
        <v>656.30399999999986</v>
      </c>
      <c r="N8315" t="str">
        <f>IFERROR(INDEX(tProdutos[Foco],MATCH(tItens[[#This Row],[Produto]],tProdutos[Produto],0)),"Não")</f>
        <v>Sim</v>
      </c>
      <c r="O8315" t="str">
        <f>IFERROR(INDEX(tEditais[SRP],MATCH(tItens[[#This Row],[Edital]],tEditais[Edital],0)),"Não")</f>
        <v>Sim</v>
      </c>
      <c r="P8315" s="4">
        <f>IF(COUNTIFS(INDEX(tItens[Edital],1):tItens[[#This Row],[Edital]],tItens[[#This Row],[Edital]],INDEX(tItens[Produto],1):tItens[[#This Row],[Produto]],tItens[[#This Row],[Produto]])=1,1,0)</f>
        <v>0</v>
      </c>
    </row>
    <row r="8316" spans="1:16" x14ac:dyDescent="0.25">
      <c r="A8316" t="s">
        <v>2728</v>
      </c>
      <c r="B8316">
        <v>48</v>
      </c>
      <c r="C8316" t="s">
        <v>10770</v>
      </c>
      <c r="D8316" t="s">
        <v>351</v>
      </c>
      <c r="E8316" s="13">
        <v>5000</v>
      </c>
      <c r="F8316" s="12">
        <v>5.55</v>
      </c>
      <c r="G8316" t="str">
        <f>IFERROR(INDEX(tEditais[Órgão],MATCH(tItens[[#This Row],[Edital]],tEditais[Edital],0)),"")</f>
        <v>MUNICIPIO DE PIRATININGA</v>
      </c>
      <c r="H8316" t="str">
        <f>IFERROR(INDEX(tEditais[UF],MATCH(tItens[[#This Row],[Edital]],tEditais[Edital],0)),"")</f>
        <v>SP</v>
      </c>
      <c r="I8316" s="11">
        <f>IFERROR(INDEX(tEditais[Encerramento],MATCH(tItens[[#This Row],[Edital]],tEditais[Edital],0)),"")</f>
        <v>46304.354166666664</v>
      </c>
      <c r="J8316" t="str">
        <f>IFERROR(INDEX(tProdutos[Classe],MATCH(tItens[[#This Row],[Produto]],tProdutos[Produto],0)),"produto não cadastrado")</f>
        <v>FORA</v>
      </c>
      <c r="K8316" s="12">
        <f>tItens[[#This Row],[Qtd]]*tItens[[#This Row],[Vlr unit]]</f>
        <v>27750</v>
      </c>
      <c r="L8316" s="6">
        <f>IFERROR(IF(INDEX(tProdutos[Desconto homologado],MATCH(tItens[[#This Row],[Produto]],tProdutos[Produto],0))="",DescontoPadrao,INDEX(tProdutos[Desconto homologado],MATCH(tItens[[#This Row],[Produto]],tProdutos[Produto],0))),DescontoPadrao)</f>
        <v>0.33518005540166201</v>
      </c>
      <c r="M8316" s="12">
        <f>tItens[[#This Row],[Valor]]*(1-tItens[[#This Row],[Desconto]])</f>
        <v>18448.75346260388</v>
      </c>
      <c r="N8316" t="str">
        <f>IFERROR(INDEX(tProdutos[Foco],MATCH(tItens[[#This Row],[Produto]],tProdutos[Produto],0)),"Não")</f>
        <v>Não</v>
      </c>
      <c r="O8316" t="str">
        <f>IFERROR(INDEX(tEditais[SRP],MATCH(tItens[[#This Row],[Edital]],tEditais[Edital],0)),"Não")</f>
        <v>Sim</v>
      </c>
      <c r="P8316" s="4">
        <f>IF(COUNTIFS(INDEX(tItens[Edital],1):tItens[[#This Row],[Edital]],tItens[[#This Row],[Edital]],INDEX(tItens[Produto],1):tItens[[#This Row],[Produto]],tItens[[#This Row],[Produto]])=1,1,0)</f>
        <v>1</v>
      </c>
    </row>
    <row r="8317" spans="1:16" x14ac:dyDescent="0.25">
      <c r="A8317" t="s">
        <v>2728</v>
      </c>
      <c r="B8317">
        <v>49</v>
      </c>
      <c r="C8317" t="s">
        <v>10771</v>
      </c>
      <c r="D8317" t="s">
        <v>351</v>
      </c>
      <c r="E8317" s="13">
        <v>15000</v>
      </c>
      <c r="F8317" s="12">
        <v>8.49</v>
      </c>
      <c r="G8317" t="str">
        <f>IFERROR(INDEX(tEditais[Órgão],MATCH(tItens[[#This Row],[Edital]],tEditais[Edital],0)),"")</f>
        <v>MUNICIPIO DE PIRATININGA</v>
      </c>
      <c r="H8317" t="str">
        <f>IFERROR(INDEX(tEditais[UF],MATCH(tItens[[#This Row],[Edital]],tEditais[Edital],0)),"")</f>
        <v>SP</v>
      </c>
      <c r="I8317" s="11">
        <f>IFERROR(INDEX(tEditais[Encerramento],MATCH(tItens[[#This Row],[Edital]],tEditais[Edital],0)),"")</f>
        <v>46304.354166666664</v>
      </c>
      <c r="J8317" t="str">
        <f>IFERROR(INDEX(tProdutos[Classe],MATCH(tItens[[#This Row],[Produto]],tProdutos[Produto],0)),"produto não cadastrado")</f>
        <v>FORA</v>
      </c>
      <c r="K8317" s="12">
        <f>tItens[[#This Row],[Qtd]]*tItens[[#This Row],[Vlr unit]]</f>
        <v>127350</v>
      </c>
      <c r="L8317" s="6">
        <f>IFERROR(IF(INDEX(tProdutos[Desconto homologado],MATCH(tItens[[#This Row],[Produto]],tProdutos[Produto],0))="",DescontoPadrao,INDEX(tProdutos[Desconto homologado],MATCH(tItens[[#This Row],[Produto]],tProdutos[Produto],0))),DescontoPadrao)</f>
        <v>0.33518005540166201</v>
      </c>
      <c r="M8317" s="12">
        <f>tItens[[#This Row],[Valor]]*(1-tItens[[#This Row],[Desconto]])</f>
        <v>84664.819944598348</v>
      </c>
      <c r="N8317" t="str">
        <f>IFERROR(INDEX(tProdutos[Foco],MATCH(tItens[[#This Row],[Produto]],tProdutos[Produto],0)),"Não")</f>
        <v>Não</v>
      </c>
      <c r="O8317" t="str">
        <f>IFERROR(INDEX(tEditais[SRP],MATCH(tItens[[#This Row],[Edital]],tEditais[Edital],0)),"Não")</f>
        <v>Sim</v>
      </c>
      <c r="P8317" s="4">
        <f>IF(COUNTIFS(INDEX(tItens[Edital],1):tItens[[#This Row],[Edital]],tItens[[#This Row],[Edital]],INDEX(tItens[Produto],1):tItens[[#This Row],[Produto]],tItens[[#This Row],[Produto]])=1,1,0)</f>
        <v>0</v>
      </c>
    </row>
    <row r="8318" spans="1:16" x14ac:dyDescent="0.25">
      <c r="A8318" t="s">
        <v>2728</v>
      </c>
      <c r="B8318">
        <v>50</v>
      </c>
      <c r="C8318" t="s">
        <v>10772</v>
      </c>
      <c r="D8318" t="s">
        <v>351</v>
      </c>
      <c r="E8318" s="13">
        <v>1000</v>
      </c>
      <c r="F8318" s="12">
        <v>6.67</v>
      </c>
      <c r="G8318" t="str">
        <f>IFERROR(INDEX(tEditais[Órgão],MATCH(tItens[[#This Row],[Edital]],tEditais[Edital],0)),"")</f>
        <v>MUNICIPIO DE PIRATININGA</v>
      </c>
      <c r="H8318" t="str">
        <f>IFERROR(INDEX(tEditais[UF],MATCH(tItens[[#This Row],[Edital]],tEditais[Edital],0)),"")</f>
        <v>SP</v>
      </c>
      <c r="I8318" s="11">
        <f>IFERROR(INDEX(tEditais[Encerramento],MATCH(tItens[[#This Row],[Edital]],tEditais[Edital],0)),"")</f>
        <v>46304.354166666664</v>
      </c>
      <c r="J8318" t="str">
        <f>IFERROR(INDEX(tProdutos[Classe],MATCH(tItens[[#This Row],[Produto]],tProdutos[Produto],0)),"produto não cadastrado")</f>
        <v>FORA</v>
      </c>
      <c r="K8318" s="12">
        <f>tItens[[#This Row],[Qtd]]*tItens[[#This Row],[Vlr unit]]</f>
        <v>6670</v>
      </c>
      <c r="L8318" s="6">
        <f>IFERROR(IF(INDEX(tProdutos[Desconto homologado],MATCH(tItens[[#This Row],[Produto]],tProdutos[Produto],0))="",DescontoPadrao,INDEX(tProdutos[Desconto homologado],MATCH(tItens[[#This Row],[Produto]],tProdutos[Produto],0))),DescontoPadrao)</f>
        <v>0.33518005540166201</v>
      </c>
      <c r="M8318" s="12">
        <f>tItens[[#This Row],[Valor]]*(1-tItens[[#This Row],[Desconto]])</f>
        <v>4434.3490304709148</v>
      </c>
      <c r="N8318" t="str">
        <f>IFERROR(INDEX(tProdutos[Foco],MATCH(tItens[[#This Row],[Produto]],tProdutos[Produto],0)),"Não")</f>
        <v>Não</v>
      </c>
      <c r="O8318" t="str">
        <f>IFERROR(INDEX(tEditais[SRP],MATCH(tItens[[#This Row],[Edital]],tEditais[Edital],0)),"Não")</f>
        <v>Sim</v>
      </c>
      <c r="P8318" s="4">
        <f>IF(COUNTIFS(INDEX(tItens[Edital],1):tItens[[#This Row],[Edital]],tItens[[#This Row],[Edital]],INDEX(tItens[Produto],1):tItens[[#This Row],[Produto]],tItens[[#This Row],[Produto]])=1,1,0)</f>
        <v>0</v>
      </c>
    </row>
    <row r="8319" spans="1:16" x14ac:dyDescent="0.25">
      <c r="A8319" t="s">
        <v>2728</v>
      </c>
      <c r="B8319">
        <v>51</v>
      </c>
      <c r="C8319" t="s">
        <v>10773</v>
      </c>
      <c r="D8319" t="s">
        <v>503</v>
      </c>
      <c r="E8319" s="13">
        <v>400</v>
      </c>
      <c r="F8319" s="12">
        <v>19.3</v>
      </c>
      <c r="G8319" t="str">
        <f>IFERROR(INDEX(tEditais[Órgão],MATCH(tItens[[#This Row],[Edital]],tEditais[Edital],0)),"")</f>
        <v>MUNICIPIO DE PIRATININGA</v>
      </c>
      <c r="H8319" t="str">
        <f>IFERROR(INDEX(tEditais[UF],MATCH(tItens[[#This Row],[Edital]],tEditais[Edital],0)),"")</f>
        <v>SP</v>
      </c>
      <c r="I8319" s="11">
        <f>IFERROR(INDEX(tEditais[Encerramento],MATCH(tItens[[#This Row],[Edital]],tEditais[Edital],0)),"")</f>
        <v>46304.354166666664</v>
      </c>
      <c r="J8319" t="str">
        <f>IFERROR(INDEX(tProdutos[Classe],MATCH(tItens[[#This Row],[Produto]],tProdutos[Produto],0)),"produto não cadastrado")</f>
        <v>FILA REBASE</v>
      </c>
      <c r="K8319" s="12">
        <f>tItens[[#This Row],[Qtd]]*tItens[[#This Row],[Vlr unit]]</f>
        <v>7720</v>
      </c>
      <c r="L8319" s="6">
        <f>IFERROR(IF(INDEX(tProdutos[Desconto homologado],MATCH(tItens[[#This Row],[Produto]],tProdutos[Produto],0))="",DescontoPadrao,INDEX(tProdutos[Desconto homologado],MATCH(tItens[[#This Row],[Produto]],tProdutos[Produto],0))),DescontoPadrao)</f>
        <v>0.54492561591744004</v>
      </c>
      <c r="M8319" s="12">
        <f>tItens[[#This Row],[Valor]]*(1-tItens[[#This Row],[Desconto]])</f>
        <v>3513.1742451173627</v>
      </c>
      <c r="N8319" t="str">
        <f>IFERROR(INDEX(tProdutos[Foco],MATCH(tItens[[#This Row],[Produto]],tProdutos[Produto],0)),"Não")</f>
        <v>Não</v>
      </c>
      <c r="O8319" t="str">
        <f>IFERROR(INDEX(tEditais[SRP],MATCH(tItens[[#This Row],[Edital]],tEditais[Edital],0)),"Não")</f>
        <v>Sim</v>
      </c>
      <c r="P8319" s="4">
        <f>IF(COUNTIFS(INDEX(tItens[Edital],1):tItens[[#This Row],[Edital]],tItens[[#This Row],[Edital]],INDEX(tItens[Produto],1):tItens[[#This Row],[Produto]],tItens[[#This Row],[Produto]])=1,1,0)</f>
        <v>1</v>
      </c>
    </row>
    <row r="8320" spans="1:16" x14ac:dyDescent="0.25">
      <c r="A8320" t="s">
        <v>2728</v>
      </c>
      <c r="B8320">
        <v>55</v>
      </c>
      <c r="C8320" t="s">
        <v>10774</v>
      </c>
      <c r="D8320" t="s">
        <v>77</v>
      </c>
      <c r="E8320" s="13">
        <v>700</v>
      </c>
      <c r="F8320" s="12">
        <v>2.2599999999999998</v>
      </c>
      <c r="G8320" t="str">
        <f>IFERROR(INDEX(tEditais[Órgão],MATCH(tItens[[#This Row],[Edital]],tEditais[Edital],0)),"")</f>
        <v>MUNICIPIO DE PIRATININGA</v>
      </c>
      <c r="H8320" t="str">
        <f>IFERROR(INDEX(tEditais[UF],MATCH(tItens[[#This Row],[Edital]],tEditais[Edital],0)),"")</f>
        <v>SP</v>
      </c>
      <c r="I8320" s="11">
        <f>IFERROR(INDEX(tEditais[Encerramento],MATCH(tItens[[#This Row],[Edital]],tEditais[Edital],0)),"")</f>
        <v>46304.354166666664</v>
      </c>
      <c r="J8320" t="str">
        <f>IFERROR(INDEX(tProdutos[Classe],MATCH(tItens[[#This Row],[Produto]],tProdutos[Produto],0)),"produto não cadastrado")</f>
        <v>DISPUTADO</v>
      </c>
      <c r="K8320" s="12">
        <f>tItens[[#This Row],[Qtd]]*tItens[[#This Row],[Vlr unit]]</f>
        <v>1581.9999999999998</v>
      </c>
      <c r="L8320" s="6">
        <f>IFERROR(IF(INDEX(tProdutos[Desconto homologado],MATCH(tItens[[#This Row],[Produto]],tProdutos[Produto],0))="",DescontoPadrao,INDEX(tProdutos[Desconto homologado],MATCH(tItens[[#This Row],[Produto]],tProdutos[Produto],0))),DescontoPadrao)</f>
        <v>0.33</v>
      </c>
      <c r="M8320" s="12">
        <f>tItens[[#This Row],[Valor]]*(1-tItens[[#This Row],[Desconto]])</f>
        <v>1059.9399999999998</v>
      </c>
      <c r="N8320" t="str">
        <f>IFERROR(INDEX(tProdutos[Foco],MATCH(tItens[[#This Row],[Produto]],tProdutos[Produto],0)),"Não")</f>
        <v>Sim</v>
      </c>
      <c r="O8320" t="str">
        <f>IFERROR(INDEX(tEditais[SRP],MATCH(tItens[[#This Row],[Edital]],tEditais[Edital],0)),"Não")</f>
        <v>Sim</v>
      </c>
      <c r="P8320" s="4">
        <f>IF(COUNTIFS(INDEX(tItens[Edital],1):tItens[[#This Row],[Edital]],tItens[[#This Row],[Edital]],INDEX(tItens[Produto],1):tItens[[#This Row],[Produto]],tItens[[#This Row],[Produto]])=1,1,0)</f>
        <v>1</v>
      </c>
    </row>
    <row r="8321" spans="1:16" x14ac:dyDescent="0.25">
      <c r="A8321" t="s">
        <v>2728</v>
      </c>
      <c r="B8321">
        <v>56</v>
      </c>
      <c r="C8321" t="s">
        <v>10775</v>
      </c>
      <c r="D8321" t="s">
        <v>77</v>
      </c>
      <c r="E8321" s="13">
        <v>1200</v>
      </c>
      <c r="F8321" s="12">
        <v>4.9000000000000004</v>
      </c>
      <c r="G8321" t="str">
        <f>IFERROR(INDEX(tEditais[Órgão],MATCH(tItens[[#This Row],[Edital]],tEditais[Edital],0)),"")</f>
        <v>MUNICIPIO DE PIRATININGA</v>
      </c>
      <c r="H8321" t="str">
        <f>IFERROR(INDEX(tEditais[UF],MATCH(tItens[[#This Row],[Edital]],tEditais[Edital],0)),"")</f>
        <v>SP</v>
      </c>
      <c r="I8321" s="11">
        <f>IFERROR(INDEX(tEditais[Encerramento],MATCH(tItens[[#This Row],[Edital]],tEditais[Edital],0)),"")</f>
        <v>46304.354166666664</v>
      </c>
      <c r="J8321" t="str">
        <f>IFERROR(INDEX(tProdutos[Classe],MATCH(tItens[[#This Row],[Produto]],tProdutos[Produto],0)),"produto não cadastrado")</f>
        <v>DISPUTADO</v>
      </c>
      <c r="K8321" s="12">
        <f>tItens[[#This Row],[Qtd]]*tItens[[#This Row],[Vlr unit]]</f>
        <v>5880</v>
      </c>
      <c r="L8321" s="6">
        <f>IFERROR(IF(INDEX(tProdutos[Desconto homologado],MATCH(tItens[[#This Row],[Produto]],tProdutos[Produto],0))="",DescontoPadrao,INDEX(tProdutos[Desconto homologado],MATCH(tItens[[#This Row],[Produto]],tProdutos[Produto],0))),DescontoPadrao)</f>
        <v>0.33</v>
      </c>
      <c r="M8321" s="12">
        <f>tItens[[#This Row],[Valor]]*(1-tItens[[#This Row],[Desconto]])</f>
        <v>3939.5999999999995</v>
      </c>
      <c r="N8321" t="str">
        <f>IFERROR(INDEX(tProdutos[Foco],MATCH(tItens[[#This Row],[Produto]],tProdutos[Produto],0)),"Não")</f>
        <v>Sim</v>
      </c>
      <c r="O8321" t="str">
        <f>IFERROR(INDEX(tEditais[SRP],MATCH(tItens[[#This Row],[Edital]],tEditais[Edital],0)),"Não")</f>
        <v>Sim</v>
      </c>
      <c r="P8321" s="4">
        <f>IF(COUNTIFS(INDEX(tItens[Edital],1):tItens[[#This Row],[Edital]],tItens[[#This Row],[Edital]],INDEX(tItens[Produto],1):tItens[[#This Row],[Produto]],tItens[[#This Row],[Produto]])=1,1,0)</f>
        <v>0</v>
      </c>
    </row>
    <row r="8322" spans="1:16" x14ac:dyDescent="0.25">
      <c r="A8322" t="s">
        <v>2728</v>
      </c>
      <c r="B8322">
        <v>63</v>
      </c>
      <c r="C8322" t="s">
        <v>10776</v>
      </c>
      <c r="D8322" t="s">
        <v>170</v>
      </c>
      <c r="E8322" s="13">
        <v>10</v>
      </c>
      <c r="F8322" s="12">
        <v>15.5</v>
      </c>
      <c r="G8322" t="str">
        <f>IFERROR(INDEX(tEditais[Órgão],MATCH(tItens[[#This Row],[Edital]],tEditais[Edital],0)),"")</f>
        <v>MUNICIPIO DE PIRATININGA</v>
      </c>
      <c r="H8322" t="str">
        <f>IFERROR(INDEX(tEditais[UF],MATCH(tItens[[#This Row],[Edital]],tEditais[Edital],0)),"")</f>
        <v>SP</v>
      </c>
      <c r="I8322" s="11">
        <f>IFERROR(INDEX(tEditais[Encerramento],MATCH(tItens[[#This Row],[Edital]],tEditais[Edital],0)),"")</f>
        <v>46304.354166666664</v>
      </c>
      <c r="J8322" t="str">
        <f>IFERROR(INDEX(tProdutos[Classe],MATCH(tItens[[#This Row],[Produto]],tProdutos[Produto],0)),"produto não cadastrado")</f>
        <v>DISPUTADO</v>
      </c>
      <c r="K8322" s="12">
        <f>tItens[[#This Row],[Qtd]]*tItens[[#This Row],[Vlr unit]]</f>
        <v>155</v>
      </c>
      <c r="L8322" s="6">
        <f>IFERROR(IF(INDEX(tProdutos[Desconto homologado],MATCH(tItens[[#This Row],[Produto]],tProdutos[Produto],0))="",DescontoPadrao,INDEX(tProdutos[Desconto homologado],MATCH(tItens[[#This Row],[Produto]],tProdutos[Produto],0))),DescontoPadrao)</f>
        <v>0.36</v>
      </c>
      <c r="M8322" s="12">
        <f>tItens[[#This Row],[Valor]]*(1-tItens[[#This Row],[Desconto]])</f>
        <v>99.2</v>
      </c>
      <c r="N8322" t="str">
        <f>IFERROR(INDEX(tProdutos[Foco],MATCH(tItens[[#This Row],[Produto]],tProdutos[Produto],0)),"Não")</f>
        <v>Sim</v>
      </c>
      <c r="O8322" t="str">
        <f>IFERROR(INDEX(tEditais[SRP],MATCH(tItens[[#This Row],[Edital]],tEditais[Edital],0)),"Não")</f>
        <v>Sim</v>
      </c>
      <c r="P8322" s="4">
        <f>IF(COUNTIFS(INDEX(tItens[Edital],1):tItens[[#This Row],[Edital]],tItens[[#This Row],[Edital]],INDEX(tItens[Produto],1):tItens[[#This Row],[Produto]],tItens[[#This Row],[Produto]])=1,1,0)</f>
        <v>1</v>
      </c>
    </row>
    <row r="8323" spans="1:16" x14ac:dyDescent="0.25">
      <c r="A8323" t="s">
        <v>2728</v>
      </c>
      <c r="B8323">
        <v>64</v>
      </c>
      <c r="C8323" t="s">
        <v>10777</v>
      </c>
      <c r="D8323" t="s">
        <v>170</v>
      </c>
      <c r="E8323" s="13">
        <v>30</v>
      </c>
      <c r="F8323" s="12">
        <v>15.1</v>
      </c>
      <c r="G8323" t="str">
        <f>IFERROR(INDEX(tEditais[Órgão],MATCH(tItens[[#This Row],[Edital]],tEditais[Edital],0)),"")</f>
        <v>MUNICIPIO DE PIRATININGA</v>
      </c>
      <c r="H8323" t="str">
        <f>IFERROR(INDEX(tEditais[UF],MATCH(tItens[[#This Row],[Edital]],tEditais[Edital],0)),"")</f>
        <v>SP</v>
      </c>
      <c r="I8323" s="11">
        <f>IFERROR(INDEX(tEditais[Encerramento],MATCH(tItens[[#This Row],[Edital]],tEditais[Edital],0)),"")</f>
        <v>46304.354166666664</v>
      </c>
      <c r="J8323" t="str">
        <f>IFERROR(INDEX(tProdutos[Classe],MATCH(tItens[[#This Row],[Produto]],tProdutos[Produto],0)),"produto não cadastrado")</f>
        <v>DISPUTADO</v>
      </c>
      <c r="K8323" s="12">
        <f>tItens[[#This Row],[Qtd]]*tItens[[#This Row],[Vlr unit]]</f>
        <v>453</v>
      </c>
      <c r="L8323" s="6">
        <f>IFERROR(IF(INDEX(tProdutos[Desconto homologado],MATCH(tItens[[#This Row],[Produto]],tProdutos[Produto],0))="",DescontoPadrao,INDEX(tProdutos[Desconto homologado],MATCH(tItens[[#This Row],[Produto]],tProdutos[Produto],0))),DescontoPadrao)</f>
        <v>0.36</v>
      </c>
      <c r="M8323" s="12">
        <f>tItens[[#This Row],[Valor]]*(1-tItens[[#This Row],[Desconto]])</f>
        <v>289.92</v>
      </c>
      <c r="N8323" t="str">
        <f>IFERROR(INDEX(tProdutos[Foco],MATCH(tItens[[#This Row],[Produto]],tProdutos[Produto],0)),"Não")</f>
        <v>Sim</v>
      </c>
      <c r="O8323" t="str">
        <f>IFERROR(INDEX(tEditais[SRP],MATCH(tItens[[#This Row],[Edital]],tEditais[Edital],0)),"Não")</f>
        <v>Sim</v>
      </c>
      <c r="P8323" s="4">
        <f>IF(COUNTIFS(INDEX(tItens[Edital],1):tItens[[#This Row],[Edital]],tItens[[#This Row],[Edital]],INDEX(tItens[Produto],1):tItens[[#This Row],[Produto]],tItens[[#This Row],[Produto]])=1,1,0)</f>
        <v>0</v>
      </c>
    </row>
    <row r="8324" spans="1:16" x14ac:dyDescent="0.25">
      <c r="A8324" t="s">
        <v>2728</v>
      </c>
      <c r="B8324">
        <v>65</v>
      </c>
      <c r="C8324" t="s">
        <v>10778</v>
      </c>
      <c r="D8324" t="s">
        <v>170</v>
      </c>
      <c r="E8324" s="13">
        <v>30</v>
      </c>
      <c r="F8324" s="12">
        <v>14.8</v>
      </c>
      <c r="G8324" t="str">
        <f>IFERROR(INDEX(tEditais[Órgão],MATCH(tItens[[#This Row],[Edital]],tEditais[Edital],0)),"")</f>
        <v>MUNICIPIO DE PIRATININGA</v>
      </c>
      <c r="H8324" t="str">
        <f>IFERROR(INDEX(tEditais[UF],MATCH(tItens[[#This Row],[Edital]],tEditais[Edital],0)),"")</f>
        <v>SP</v>
      </c>
      <c r="I8324" s="11">
        <f>IFERROR(INDEX(tEditais[Encerramento],MATCH(tItens[[#This Row],[Edital]],tEditais[Edital],0)),"")</f>
        <v>46304.354166666664</v>
      </c>
      <c r="J8324" t="str">
        <f>IFERROR(INDEX(tProdutos[Classe],MATCH(tItens[[#This Row],[Produto]],tProdutos[Produto],0)),"produto não cadastrado")</f>
        <v>DISPUTADO</v>
      </c>
      <c r="K8324" s="12">
        <f>tItens[[#This Row],[Qtd]]*tItens[[#This Row],[Vlr unit]]</f>
        <v>444</v>
      </c>
      <c r="L8324" s="6">
        <f>IFERROR(IF(INDEX(tProdutos[Desconto homologado],MATCH(tItens[[#This Row],[Produto]],tProdutos[Produto],0))="",DescontoPadrao,INDEX(tProdutos[Desconto homologado],MATCH(tItens[[#This Row],[Produto]],tProdutos[Produto],0))),DescontoPadrao)</f>
        <v>0.36</v>
      </c>
      <c r="M8324" s="12">
        <f>tItens[[#This Row],[Valor]]*(1-tItens[[#This Row],[Desconto]])</f>
        <v>284.16000000000003</v>
      </c>
      <c r="N8324" t="str">
        <f>IFERROR(INDEX(tProdutos[Foco],MATCH(tItens[[#This Row],[Produto]],tProdutos[Produto],0)),"Não")</f>
        <v>Sim</v>
      </c>
      <c r="O8324" t="str">
        <f>IFERROR(INDEX(tEditais[SRP],MATCH(tItens[[#This Row],[Edital]],tEditais[Edital],0)),"Não")</f>
        <v>Sim</v>
      </c>
      <c r="P8324" s="4">
        <f>IF(COUNTIFS(INDEX(tItens[Edital],1):tItens[[#This Row],[Edital]],tItens[[#This Row],[Edital]],INDEX(tItens[Produto],1):tItens[[#This Row],[Produto]],tItens[[#This Row],[Produto]])=1,1,0)</f>
        <v>0</v>
      </c>
    </row>
    <row r="8325" spans="1:16" x14ac:dyDescent="0.25">
      <c r="A8325" t="s">
        <v>2728</v>
      </c>
      <c r="B8325">
        <v>66</v>
      </c>
      <c r="C8325" t="s">
        <v>10779</v>
      </c>
      <c r="D8325" t="s">
        <v>170</v>
      </c>
      <c r="E8325" s="13">
        <v>10</v>
      </c>
      <c r="F8325" s="12">
        <v>16.18</v>
      </c>
      <c r="G8325" t="str">
        <f>IFERROR(INDEX(tEditais[Órgão],MATCH(tItens[[#This Row],[Edital]],tEditais[Edital],0)),"")</f>
        <v>MUNICIPIO DE PIRATININGA</v>
      </c>
      <c r="H8325" t="str">
        <f>IFERROR(INDEX(tEditais[UF],MATCH(tItens[[#This Row],[Edital]],tEditais[Edital],0)),"")</f>
        <v>SP</v>
      </c>
      <c r="I8325" s="11">
        <f>IFERROR(INDEX(tEditais[Encerramento],MATCH(tItens[[#This Row],[Edital]],tEditais[Edital],0)),"")</f>
        <v>46304.354166666664</v>
      </c>
      <c r="J8325" t="str">
        <f>IFERROR(INDEX(tProdutos[Classe],MATCH(tItens[[#This Row],[Produto]],tProdutos[Produto],0)),"produto não cadastrado")</f>
        <v>DISPUTADO</v>
      </c>
      <c r="K8325" s="12">
        <f>tItens[[#This Row],[Qtd]]*tItens[[#This Row],[Vlr unit]]</f>
        <v>161.80000000000001</v>
      </c>
      <c r="L8325" s="6">
        <f>IFERROR(IF(INDEX(tProdutos[Desconto homologado],MATCH(tItens[[#This Row],[Produto]],tProdutos[Produto],0))="",DescontoPadrao,INDEX(tProdutos[Desconto homologado],MATCH(tItens[[#This Row],[Produto]],tProdutos[Produto],0))),DescontoPadrao)</f>
        <v>0.36</v>
      </c>
      <c r="M8325" s="12">
        <f>tItens[[#This Row],[Valor]]*(1-tItens[[#This Row],[Desconto]])</f>
        <v>103.55200000000001</v>
      </c>
      <c r="N8325" t="str">
        <f>IFERROR(INDEX(tProdutos[Foco],MATCH(tItens[[#This Row],[Produto]],tProdutos[Produto],0)),"Não")</f>
        <v>Sim</v>
      </c>
      <c r="O8325" t="str">
        <f>IFERROR(INDEX(tEditais[SRP],MATCH(tItens[[#This Row],[Edital]],tEditais[Edital],0)),"Não")</f>
        <v>Sim</v>
      </c>
      <c r="P8325" s="4">
        <f>IF(COUNTIFS(INDEX(tItens[Edital],1):tItens[[#This Row],[Edital]],tItens[[#This Row],[Edital]],INDEX(tItens[Produto],1):tItens[[#This Row],[Produto]],tItens[[#This Row],[Produto]])=1,1,0)</f>
        <v>0</v>
      </c>
    </row>
    <row r="8326" spans="1:16" x14ac:dyDescent="0.25">
      <c r="A8326" t="s">
        <v>2728</v>
      </c>
      <c r="B8326">
        <v>67</v>
      </c>
      <c r="C8326" t="s">
        <v>10780</v>
      </c>
      <c r="D8326" t="s">
        <v>170</v>
      </c>
      <c r="E8326" s="13">
        <v>10</v>
      </c>
      <c r="F8326" s="12">
        <v>18.04</v>
      </c>
      <c r="G8326" t="str">
        <f>IFERROR(INDEX(tEditais[Órgão],MATCH(tItens[[#This Row],[Edital]],tEditais[Edital],0)),"")</f>
        <v>MUNICIPIO DE PIRATININGA</v>
      </c>
      <c r="H8326" t="str">
        <f>IFERROR(INDEX(tEditais[UF],MATCH(tItens[[#This Row],[Edital]],tEditais[Edital],0)),"")</f>
        <v>SP</v>
      </c>
      <c r="I8326" s="11">
        <f>IFERROR(INDEX(tEditais[Encerramento],MATCH(tItens[[#This Row],[Edital]],tEditais[Edital],0)),"")</f>
        <v>46304.354166666664</v>
      </c>
      <c r="J8326" t="str">
        <f>IFERROR(INDEX(tProdutos[Classe],MATCH(tItens[[#This Row],[Produto]],tProdutos[Produto],0)),"produto não cadastrado")</f>
        <v>DISPUTADO</v>
      </c>
      <c r="K8326" s="12">
        <f>tItens[[#This Row],[Qtd]]*tItens[[#This Row],[Vlr unit]]</f>
        <v>180.39999999999998</v>
      </c>
      <c r="L8326" s="6">
        <f>IFERROR(IF(INDEX(tProdutos[Desconto homologado],MATCH(tItens[[#This Row],[Produto]],tProdutos[Produto],0))="",DescontoPadrao,INDEX(tProdutos[Desconto homologado],MATCH(tItens[[#This Row],[Produto]],tProdutos[Produto],0))),DescontoPadrao)</f>
        <v>0.36</v>
      </c>
      <c r="M8326" s="12">
        <f>tItens[[#This Row],[Valor]]*(1-tItens[[#This Row],[Desconto]])</f>
        <v>115.45599999999999</v>
      </c>
      <c r="N8326" t="str">
        <f>IFERROR(INDEX(tProdutos[Foco],MATCH(tItens[[#This Row],[Produto]],tProdutos[Produto],0)),"Não")</f>
        <v>Sim</v>
      </c>
      <c r="O8326" t="str">
        <f>IFERROR(INDEX(tEditais[SRP],MATCH(tItens[[#This Row],[Edital]],tEditais[Edital],0)),"Não")</f>
        <v>Sim</v>
      </c>
      <c r="P8326" s="4">
        <f>IF(COUNTIFS(INDEX(tItens[Edital],1):tItens[[#This Row],[Edital]],tItens[[#This Row],[Edital]],INDEX(tItens[Produto],1):tItens[[#This Row],[Produto]],tItens[[#This Row],[Produto]])=1,1,0)</f>
        <v>0</v>
      </c>
    </row>
    <row r="8327" spans="1:16" x14ac:dyDescent="0.25">
      <c r="A8327" t="s">
        <v>2728</v>
      </c>
      <c r="B8327">
        <v>76</v>
      </c>
      <c r="C8327" t="s">
        <v>10781</v>
      </c>
      <c r="D8327" t="s">
        <v>259</v>
      </c>
      <c r="E8327" s="13">
        <v>50</v>
      </c>
      <c r="F8327" s="12">
        <v>2.44</v>
      </c>
      <c r="G8327" t="str">
        <f>IFERROR(INDEX(tEditais[Órgão],MATCH(tItens[[#This Row],[Edital]],tEditais[Edital],0)),"")</f>
        <v>MUNICIPIO DE PIRATININGA</v>
      </c>
      <c r="H8327" t="str">
        <f>IFERROR(INDEX(tEditais[UF],MATCH(tItens[[#This Row],[Edital]],tEditais[Edital],0)),"")</f>
        <v>SP</v>
      </c>
      <c r="I8327" s="11">
        <f>IFERROR(INDEX(tEditais[Encerramento],MATCH(tItens[[#This Row],[Edital]],tEditais[Edital],0)),"")</f>
        <v>46304.354166666664</v>
      </c>
      <c r="J8327" t="str">
        <f>IFERROR(INDEX(tProdutos[Classe],MATCH(tItens[[#This Row],[Produto]],tProdutos[Produto],0)),"produto não cadastrado")</f>
        <v>FORA</v>
      </c>
      <c r="K8327" s="12">
        <f>tItens[[#This Row],[Qtd]]*tItens[[#This Row],[Vlr unit]]</f>
        <v>122</v>
      </c>
      <c r="L8327" s="6">
        <f>IFERROR(IF(INDEX(tProdutos[Desconto homologado],MATCH(tItens[[#This Row],[Produto]],tProdutos[Produto],0))="",DescontoPadrao,INDEX(tProdutos[Desconto homologado],MATCH(tItens[[#This Row],[Produto]],tProdutos[Produto],0))),DescontoPadrao)</f>
        <v>0.374798283789543</v>
      </c>
      <c r="M8327" s="12">
        <f>tItens[[#This Row],[Valor]]*(1-tItens[[#This Row],[Desconto]])</f>
        <v>76.274609377675759</v>
      </c>
      <c r="N8327" t="str">
        <f>IFERROR(INDEX(tProdutos[Foco],MATCH(tItens[[#This Row],[Produto]],tProdutos[Produto],0)),"Não")</f>
        <v>Não</v>
      </c>
      <c r="O8327" t="str">
        <f>IFERROR(INDEX(tEditais[SRP],MATCH(tItens[[#This Row],[Edital]],tEditais[Edital],0)),"Não")</f>
        <v>Sim</v>
      </c>
      <c r="P8327" s="4">
        <f>IF(COUNTIFS(INDEX(tItens[Edital],1):tItens[[#This Row],[Edital]],tItens[[#This Row],[Edital]],INDEX(tItens[Produto],1):tItens[[#This Row],[Produto]],tItens[[#This Row],[Produto]])=1,1,0)</f>
        <v>1</v>
      </c>
    </row>
    <row r="8328" spans="1:16" x14ac:dyDescent="0.25">
      <c r="A8328" t="s">
        <v>2728</v>
      </c>
      <c r="B8328">
        <v>81</v>
      </c>
      <c r="C8328" t="s">
        <v>10782</v>
      </c>
      <c r="D8328" t="s">
        <v>156</v>
      </c>
      <c r="E8328" s="13">
        <v>50</v>
      </c>
      <c r="F8328" s="12">
        <v>26.6</v>
      </c>
      <c r="G8328" t="str">
        <f>IFERROR(INDEX(tEditais[Órgão],MATCH(tItens[[#This Row],[Edital]],tEditais[Edital],0)),"")</f>
        <v>MUNICIPIO DE PIRATININGA</v>
      </c>
      <c r="H8328" t="str">
        <f>IFERROR(INDEX(tEditais[UF],MATCH(tItens[[#This Row],[Edital]],tEditais[Edital],0)),"")</f>
        <v>SP</v>
      </c>
      <c r="I8328" s="11">
        <f>IFERROR(INDEX(tEditais[Encerramento],MATCH(tItens[[#This Row],[Edital]],tEditais[Edital],0)),"")</f>
        <v>46304.354166666664</v>
      </c>
      <c r="J8328" t="str">
        <f>IFERROR(INDEX(tProdutos[Classe],MATCH(tItens[[#This Row],[Produto]],tProdutos[Produto],0)),"produto não cadastrado")</f>
        <v>DISPUTADO</v>
      </c>
      <c r="K8328" s="12">
        <f>tItens[[#This Row],[Qtd]]*tItens[[#This Row],[Vlr unit]]</f>
        <v>1330</v>
      </c>
      <c r="L8328" s="6">
        <f>IFERROR(IF(INDEX(tProdutos[Desconto homologado],MATCH(tItens[[#This Row],[Produto]],tProdutos[Produto],0))="",DescontoPadrao,INDEX(tProdutos[Desconto homologado],MATCH(tItens[[#This Row],[Produto]],tProdutos[Produto],0))),DescontoPadrao)</f>
        <v>0.27131852489802799</v>
      </c>
      <c r="M8328" s="12">
        <f>tItens[[#This Row],[Valor]]*(1-tItens[[#This Row],[Desconto]])</f>
        <v>969.14636188562281</v>
      </c>
      <c r="N8328" t="str">
        <f>IFERROR(INDEX(tProdutos[Foco],MATCH(tItens[[#This Row],[Produto]],tProdutos[Produto],0)),"Não")</f>
        <v>Não</v>
      </c>
      <c r="O8328" t="str">
        <f>IFERROR(INDEX(tEditais[SRP],MATCH(tItens[[#This Row],[Edital]],tEditais[Edital],0)),"Não")</f>
        <v>Sim</v>
      </c>
      <c r="P8328" s="4">
        <f>IF(COUNTIFS(INDEX(tItens[Edital],1):tItens[[#This Row],[Edital]],tItens[[#This Row],[Edital]],INDEX(tItens[Produto],1):tItens[[#This Row],[Produto]],tItens[[#This Row],[Produto]])=1,1,0)</f>
        <v>1</v>
      </c>
    </row>
    <row r="8329" spans="1:16" x14ac:dyDescent="0.25">
      <c r="A8329" t="s">
        <v>2728</v>
      </c>
      <c r="B8329">
        <v>86</v>
      </c>
      <c r="C8329" t="s">
        <v>10783</v>
      </c>
      <c r="D8329" t="s">
        <v>156</v>
      </c>
      <c r="E8329" s="13">
        <v>40</v>
      </c>
      <c r="F8329" s="12">
        <v>12.68</v>
      </c>
      <c r="G8329" t="str">
        <f>IFERROR(INDEX(tEditais[Órgão],MATCH(tItens[[#This Row],[Edital]],tEditais[Edital],0)),"")</f>
        <v>MUNICIPIO DE PIRATININGA</v>
      </c>
      <c r="H8329" t="str">
        <f>IFERROR(INDEX(tEditais[UF],MATCH(tItens[[#This Row],[Edital]],tEditais[Edital],0)),"")</f>
        <v>SP</v>
      </c>
      <c r="I8329" s="11">
        <f>IFERROR(INDEX(tEditais[Encerramento],MATCH(tItens[[#This Row],[Edital]],tEditais[Edital],0)),"")</f>
        <v>46304.354166666664</v>
      </c>
      <c r="J8329" t="str">
        <f>IFERROR(INDEX(tProdutos[Classe],MATCH(tItens[[#This Row],[Produto]],tProdutos[Produto],0)),"produto não cadastrado")</f>
        <v>DISPUTADO</v>
      </c>
      <c r="K8329" s="12">
        <f>tItens[[#This Row],[Qtd]]*tItens[[#This Row],[Vlr unit]]</f>
        <v>507.2</v>
      </c>
      <c r="L8329" s="6">
        <f>IFERROR(IF(INDEX(tProdutos[Desconto homologado],MATCH(tItens[[#This Row],[Produto]],tProdutos[Produto],0))="",DescontoPadrao,INDEX(tProdutos[Desconto homologado],MATCH(tItens[[#This Row],[Produto]],tProdutos[Produto],0))),DescontoPadrao)</f>
        <v>0.27131852489802799</v>
      </c>
      <c r="M8329" s="12">
        <f>tItens[[#This Row],[Valor]]*(1-tItens[[#This Row],[Desconto]])</f>
        <v>369.58724417172022</v>
      </c>
      <c r="N8329" t="str">
        <f>IFERROR(INDEX(tProdutos[Foco],MATCH(tItens[[#This Row],[Produto]],tProdutos[Produto],0)),"Não")</f>
        <v>Não</v>
      </c>
      <c r="O8329" t="str">
        <f>IFERROR(INDEX(tEditais[SRP],MATCH(tItens[[#This Row],[Edital]],tEditais[Edital],0)),"Não")</f>
        <v>Sim</v>
      </c>
      <c r="P8329" s="4">
        <f>IF(COUNTIFS(INDEX(tItens[Edital],1):tItens[[#This Row],[Edital]],tItens[[#This Row],[Edital]],INDEX(tItens[Produto],1):tItens[[#This Row],[Produto]],tItens[[#This Row],[Produto]])=1,1,0)</f>
        <v>0</v>
      </c>
    </row>
    <row r="8330" spans="1:16" x14ac:dyDescent="0.25">
      <c r="A8330" t="s">
        <v>2728</v>
      </c>
      <c r="B8330">
        <v>106</v>
      </c>
      <c r="C8330" t="s">
        <v>10784</v>
      </c>
      <c r="D8330" t="s">
        <v>164</v>
      </c>
      <c r="E8330" s="13">
        <v>200</v>
      </c>
      <c r="F8330" s="12">
        <v>9.1199999999999992</v>
      </c>
      <c r="G8330" t="str">
        <f>IFERROR(INDEX(tEditais[Órgão],MATCH(tItens[[#This Row],[Edital]],tEditais[Edital],0)),"")</f>
        <v>MUNICIPIO DE PIRATININGA</v>
      </c>
      <c r="H8330" t="str">
        <f>IFERROR(INDEX(tEditais[UF],MATCH(tItens[[#This Row],[Edital]],tEditais[Edital],0)),"")</f>
        <v>SP</v>
      </c>
      <c r="I8330" s="11">
        <f>IFERROR(INDEX(tEditais[Encerramento],MATCH(tItens[[#This Row],[Edital]],tEditais[Edital],0)),"")</f>
        <v>46304.354166666664</v>
      </c>
      <c r="J8330" t="str">
        <f>IFERROR(INDEX(tProdutos[Classe],MATCH(tItens[[#This Row],[Produto]],tProdutos[Produto],0)),"produto não cadastrado")</f>
        <v>DISPUTADO</v>
      </c>
      <c r="K8330" s="12">
        <f>tItens[[#This Row],[Qtd]]*tItens[[#This Row],[Vlr unit]]</f>
        <v>1823.9999999999998</v>
      </c>
      <c r="L8330" s="6">
        <f>IFERROR(IF(INDEX(tProdutos[Desconto homologado],MATCH(tItens[[#This Row],[Produto]],tProdutos[Produto],0))="",DescontoPadrao,INDEX(tProdutos[Desconto homologado],MATCH(tItens[[#This Row],[Produto]],tProdutos[Produto],0))),DescontoPadrao)</f>
        <v>0.445300462249615</v>
      </c>
      <c r="M8330" s="12">
        <f>tItens[[#This Row],[Valor]]*(1-tItens[[#This Row],[Desconto]])</f>
        <v>1011.771956856702</v>
      </c>
      <c r="N8330" t="str">
        <f>IFERROR(INDEX(tProdutos[Foco],MATCH(tItens[[#This Row],[Produto]],tProdutos[Produto],0)),"Não")</f>
        <v>Não</v>
      </c>
      <c r="O8330" t="str">
        <f>IFERROR(INDEX(tEditais[SRP],MATCH(tItens[[#This Row],[Edital]],tEditais[Edital],0)),"Não")</f>
        <v>Sim</v>
      </c>
      <c r="P8330" s="4">
        <f>IF(COUNTIFS(INDEX(tItens[Edital],1):tItens[[#This Row],[Edital]],tItens[[#This Row],[Edital]],INDEX(tItens[Produto],1):tItens[[#This Row],[Produto]],tItens[[#This Row],[Produto]])=1,1,0)</f>
        <v>1</v>
      </c>
    </row>
    <row r="8331" spans="1:16" x14ac:dyDescent="0.25">
      <c r="A8331" t="s">
        <v>2728</v>
      </c>
      <c r="B8331">
        <v>107</v>
      </c>
      <c r="C8331" t="s">
        <v>10785</v>
      </c>
      <c r="D8331" t="s">
        <v>110</v>
      </c>
      <c r="E8331" s="13">
        <v>150</v>
      </c>
      <c r="F8331" s="12">
        <v>1.57</v>
      </c>
      <c r="G8331" t="str">
        <f>IFERROR(INDEX(tEditais[Órgão],MATCH(tItens[[#This Row],[Edital]],tEditais[Edital],0)),"")</f>
        <v>MUNICIPIO DE PIRATININGA</v>
      </c>
      <c r="H8331" t="str">
        <f>IFERROR(INDEX(tEditais[UF],MATCH(tItens[[#This Row],[Edital]],tEditais[Edital],0)),"")</f>
        <v>SP</v>
      </c>
      <c r="I8331" s="11">
        <f>IFERROR(INDEX(tEditais[Encerramento],MATCH(tItens[[#This Row],[Edital]],tEditais[Edital],0)),"")</f>
        <v>46304.354166666664</v>
      </c>
      <c r="J8331" t="str">
        <f>IFERROR(INDEX(tProdutos[Classe],MATCH(tItens[[#This Row],[Produto]],tProdutos[Produto],0)),"produto não cadastrado")</f>
        <v>NÚCLEO</v>
      </c>
      <c r="K8331" s="12">
        <f>tItens[[#This Row],[Qtd]]*tItens[[#This Row],[Vlr unit]]</f>
        <v>235.5</v>
      </c>
      <c r="L8331" s="6">
        <f>IFERROR(IF(INDEX(tProdutos[Desconto homologado],MATCH(tItens[[#This Row],[Produto]],tProdutos[Produto],0))="",DescontoPadrao,INDEX(tProdutos[Desconto homologado],MATCH(tItens[[#This Row],[Produto]],tProdutos[Produto],0))),DescontoPadrao)</f>
        <v>0.30410958904109597</v>
      </c>
      <c r="M8331" s="12">
        <f>tItens[[#This Row],[Valor]]*(1-tItens[[#This Row],[Desconto]])</f>
        <v>163.8821917808219</v>
      </c>
      <c r="N8331" t="str">
        <f>IFERROR(INDEX(tProdutos[Foco],MATCH(tItens[[#This Row],[Produto]],tProdutos[Produto],0)),"Não")</f>
        <v>Não</v>
      </c>
      <c r="O8331" t="str">
        <f>IFERROR(INDEX(tEditais[SRP],MATCH(tItens[[#This Row],[Edital]],tEditais[Edital],0)),"Não")</f>
        <v>Sim</v>
      </c>
      <c r="P8331" s="4">
        <f>IF(COUNTIFS(INDEX(tItens[Edital],1):tItens[[#This Row],[Edital]],tItens[[#This Row],[Edital]],INDEX(tItens[Produto],1):tItens[[#This Row],[Produto]],tItens[[#This Row],[Produto]])=1,1,0)</f>
        <v>1</v>
      </c>
    </row>
    <row r="8332" spans="1:16" x14ac:dyDescent="0.25">
      <c r="A8332" t="s">
        <v>2728</v>
      </c>
      <c r="B8332">
        <v>108</v>
      </c>
      <c r="C8332" t="s">
        <v>10786</v>
      </c>
      <c r="D8332" t="s">
        <v>110</v>
      </c>
      <c r="E8332" s="13">
        <v>150</v>
      </c>
      <c r="F8332" s="12">
        <v>1.31</v>
      </c>
      <c r="G8332" t="str">
        <f>IFERROR(INDEX(tEditais[Órgão],MATCH(tItens[[#This Row],[Edital]],tEditais[Edital],0)),"")</f>
        <v>MUNICIPIO DE PIRATININGA</v>
      </c>
      <c r="H8332" t="str">
        <f>IFERROR(INDEX(tEditais[UF],MATCH(tItens[[#This Row],[Edital]],tEditais[Edital],0)),"")</f>
        <v>SP</v>
      </c>
      <c r="I8332" s="11">
        <f>IFERROR(INDEX(tEditais[Encerramento],MATCH(tItens[[#This Row],[Edital]],tEditais[Edital],0)),"")</f>
        <v>46304.354166666664</v>
      </c>
      <c r="J8332" t="str">
        <f>IFERROR(INDEX(tProdutos[Classe],MATCH(tItens[[#This Row],[Produto]],tProdutos[Produto],0)),"produto não cadastrado")</f>
        <v>NÚCLEO</v>
      </c>
      <c r="K8332" s="12">
        <f>tItens[[#This Row],[Qtd]]*tItens[[#This Row],[Vlr unit]]</f>
        <v>196.5</v>
      </c>
      <c r="L8332" s="6">
        <f>IFERROR(IF(INDEX(tProdutos[Desconto homologado],MATCH(tItens[[#This Row],[Produto]],tProdutos[Produto],0))="",DescontoPadrao,INDEX(tProdutos[Desconto homologado],MATCH(tItens[[#This Row],[Produto]],tProdutos[Produto],0))),DescontoPadrao)</f>
        <v>0.30410958904109597</v>
      </c>
      <c r="M8332" s="12">
        <f>tItens[[#This Row],[Valor]]*(1-tItens[[#This Row],[Desconto]])</f>
        <v>136.74246575342465</v>
      </c>
      <c r="N8332" t="str">
        <f>IFERROR(INDEX(tProdutos[Foco],MATCH(tItens[[#This Row],[Produto]],tProdutos[Produto],0)),"Não")</f>
        <v>Não</v>
      </c>
      <c r="O8332" t="str">
        <f>IFERROR(INDEX(tEditais[SRP],MATCH(tItens[[#This Row],[Edital]],tEditais[Edital],0)),"Não")</f>
        <v>Sim</v>
      </c>
      <c r="P8332" s="4">
        <f>IF(COUNTIFS(INDEX(tItens[Edital],1):tItens[[#This Row],[Edital]],tItens[[#This Row],[Edital]],INDEX(tItens[Produto],1):tItens[[#This Row],[Produto]],tItens[[#This Row],[Produto]])=1,1,0)</f>
        <v>0</v>
      </c>
    </row>
    <row r="8333" spans="1:16" x14ac:dyDescent="0.25">
      <c r="A8333" t="s">
        <v>2728</v>
      </c>
      <c r="B8333">
        <v>109</v>
      </c>
      <c r="C8333" t="s">
        <v>10787</v>
      </c>
      <c r="D8333" t="s">
        <v>110</v>
      </c>
      <c r="E8333" s="13">
        <v>200</v>
      </c>
      <c r="F8333" s="12">
        <v>1.47</v>
      </c>
      <c r="G8333" t="str">
        <f>IFERROR(INDEX(tEditais[Órgão],MATCH(tItens[[#This Row],[Edital]],tEditais[Edital],0)),"")</f>
        <v>MUNICIPIO DE PIRATININGA</v>
      </c>
      <c r="H8333" t="str">
        <f>IFERROR(INDEX(tEditais[UF],MATCH(tItens[[#This Row],[Edital]],tEditais[Edital],0)),"")</f>
        <v>SP</v>
      </c>
      <c r="I8333" s="11">
        <f>IFERROR(INDEX(tEditais[Encerramento],MATCH(tItens[[#This Row],[Edital]],tEditais[Edital],0)),"")</f>
        <v>46304.354166666664</v>
      </c>
      <c r="J8333" t="str">
        <f>IFERROR(INDEX(tProdutos[Classe],MATCH(tItens[[#This Row],[Produto]],tProdutos[Produto],0)),"produto não cadastrado")</f>
        <v>NÚCLEO</v>
      </c>
      <c r="K8333" s="12">
        <f>tItens[[#This Row],[Qtd]]*tItens[[#This Row],[Vlr unit]]</f>
        <v>294</v>
      </c>
      <c r="L8333" s="6">
        <f>IFERROR(IF(INDEX(tProdutos[Desconto homologado],MATCH(tItens[[#This Row],[Produto]],tProdutos[Produto],0))="",DescontoPadrao,INDEX(tProdutos[Desconto homologado],MATCH(tItens[[#This Row],[Produto]],tProdutos[Produto],0))),DescontoPadrao)</f>
        <v>0.30410958904109597</v>
      </c>
      <c r="M8333" s="12">
        <f>tItens[[#This Row],[Valor]]*(1-tItens[[#This Row],[Desconto]])</f>
        <v>204.59178082191778</v>
      </c>
      <c r="N8333" t="str">
        <f>IFERROR(INDEX(tProdutos[Foco],MATCH(tItens[[#This Row],[Produto]],tProdutos[Produto],0)),"Não")</f>
        <v>Não</v>
      </c>
      <c r="O8333" t="str">
        <f>IFERROR(INDEX(tEditais[SRP],MATCH(tItens[[#This Row],[Edital]],tEditais[Edital],0)),"Não")</f>
        <v>Sim</v>
      </c>
      <c r="P8333" s="4">
        <f>IF(COUNTIFS(INDEX(tItens[Edital],1):tItens[[#This Row],[Edital]],tItens[[#This Row],[Edital]],INDEX(tItens[Produto],1):tItens[[#This Row],[Produto]],tItens[[#This Row],[Produto]])=1,1,0)</f>
        <v>0</v>
      </c>
    </row>
    <row r="8334" spans="1:16" x14ac:dyDescent="0.25">
      <c r="A8334" t="s">
        <v>2728</v>
      </c>
      <c r="B8334">
        <v>110</v>
      </c>
      <c r="C8334" t="s">
        <v>10788</v>
      </c>
      <c r="D8334" t="s">
        <v>110</v>
      </c>
      <c r="E8334" s="13">
        <v>200</v>
      </c>
      <c r="F8334" s="12">
        <v>1.7</v>
      </c>
      <c r="G8334" t="str">
        <f>IFERROR(INDEX(tEditais[Órgão],MATCH(tItens[[#This Row],[Edital]],tEditais[Edital],0)),"")</f>
        <v>MUNICIPIO DE PIRATININGA</v>
      </c>
      <c r="H8334" t="str">
        <f>IFERROR(INDEX(tEditais[UF],MATCH(tItens[[#This Row],[Edital]],tEditais[Edital],0)),"")</f>
        <v>SP</v>
      </c>
      <c r="I8334" s="11">
        <f>IFERROR(INDEX(tEditais[Encerramento],MATCH(tItens[[#This Row],[Edital]],tEditais[Edital],0)),"")</f>
        <v>46304.354166666664</v>
      </c>
      <c r="J8334" t="str">
        <f>IFERROR(INDEX(tProdutos[Classe],MATCH(tItens[[#This Row],[Produto]],tProdutos[Produto],0)),"produto não cadastrado")</f>
        <v>NÚCLEO</v>
      </c>
      <c r="K8334" s="12">
        <f>tItens[[#This Row],[Qtd]]*tItens[[#This Row],[Vlr unit]]</f>
        <v>340</v>
      </c>
      <c r="L8334" s="6">
        <f>IFERROR(IF(INDEX(tProdutos[Desconto homologado],MATCH(tItens[[#This Row],[Produto]],tProdutos[Produto],0))="",DescontoPadrao,INDEX(tProdutos[Desconto homologado],MATCH(tItens[[#This Row],[Produto]],tProdutos[Produto],0))),DescontoPadrao)</f>
        <v>0.30410958904109597</v>
      </c>
      <c r="M8334" s="12">
        <f>tItens[[#This Row],[Valor]]*(1-tItens[[#This Row],[Desconto]])</f>
        <v>236.60273972602738</v>
      </c>
      <c r="N8334" t="str">
        <f>IFERROR(INDEX(tProdutos[Foco],MATCH(tItens[[#This Row],[Produto]],tProdutos[Produto],0)),"Não")</f>
        <v>Não</v>
      </c>
      <c r="O8334" t="str">
        <f>IFERROR(INDEX(tEditais[SRP],MATCH(tItens[[#This Row],[Edital]],tEditais[Edital],0)),"Não")</f>
        <v>Sim</v>
      </c>
      <c r="P8334" s="4">
        <f>IF(COUNTIFS(INDEX(tItens[Edital],1):tItens[[#This Row],[Edital]],tItens[[#This Row],[Edital]],INDEX(tItens[Produto],1):tItens[[#This Row],[Produto]],tItens[[#This Row],[Produto]])=1,1,0)</f>
        <v>0</v>
      </c>
    </row>
    <row r="8335" spans="1:16" x14ac:dyDescent="0.25">
      <c r="A8335" t="s">
        <v>2728</v>
      </c>
      <c r="B8335">
        <v>111</v>
      </c>
      <c r="C8335" t="s">
        <v>10789</v>
      </c>
      <c r="D8335" t="s">
        <v>110</v>
      </c>
      <c r="E8335" s="13">
        <v>200</v>
      </c>
      <c r="F8335" s="12">
        <v>1.7</v>
      </c>
      <c r="G8335" t="str">
        <f>IFERROR(INDEX(tEditais[Órgão],MATCH(tItens[[#This Row],[Edital]],tEditais[Edital],0)),"")</f>
        <v>MUNICIPIO DE PIRATININGA</v>
      </c>
      <c r="H8335" t="str">
        <f>IFERROR(INDEX(tEditais[UF],MATCH(tItens[[#This Row],[Edital]],tEditais[Edital],0)),"")</f>
        <v>SP</v>
      </c>
      <c r="I8335" s="11">
        <f>IFERROR(INDEX(tEditais[Encerramento],MATCH(tItens[[#This Row],[Edital]],tEditais[Edital],0)),"")</f>
        <v>46304.354166666664</v>
      </c>
      <c r="J8335" t="str">
        <f>IFERROR(INDEX(tProdutos[Classe],MATCH(tItens[[#This Row],[Produto]],tProdutos[Produto],0)),"produto não cadastrado")</f>
        <v>NÚCLEO</v>
      </c>
      <c r="K8335" s="12">
        <f>tItens[[#This Row],[Qtd]]*tItens[[#This Row],[Vlr unit]]</f>
        <v>340</v>
      </c>
      <c r="L8335" s="6">
        <f>IFERROR(IF(INDEX(tProdutos[Desconto homologado],MATCH(tItens[[#This Row],[Produto]],tProdutos[Produto],0))="",DescontoPadrao,INDEX(tProdutos[Desconto homologado],MATCH(tItens[[#This Row],[Produto]],tProdutos[Produto],0))),DescontoPadrao)</f>
        <v>0.30410958904109597</v>
      </c>
      <c r="M8335" s="12">
        <f>tItens[[#This Row],[Valor]]*(1-tItens[[#This Row],[Desconto]])</f>
        <v>236.60273972602738</v>
      </c>
      <c r="N8335" t="str">
        <f>IFERROR(INDEX(tProdutos[Foco],MATCH(tItens[[#This Row],[Produto]],tProdutos[Produto],0)),"Não")</f>
        <v>Não</v>
      </c>
      <c r="O8335" t="str">
        <f>IFERROR(INDEX(tEditais[SRP],MATCH(tItens[[#This Row],[Edital]],tEditais[Edital],0)),"Não")</f>
        <v>Sim</v>
      </c>
      <c r="P8335" s="4">
        <f>IF(COUNTIFS(INDEX(tItens[Edital],1):tItens[[#This Row],[Edital]],tItens[[#This Row],[Edital]],INDEX(tItens[Produto],1):tItens[[#This Row],[Produto]],tItens[[#This Row],[Produto]])=1,1,0)</f>
        <v>0</v>
      </c>
    </row>
    <row r="8336" spans="1:16" x14ac:dyDescent="0.25">
      <c r="A8336" t="s">
        <v>2728</v>
      </c>
      <c r="B8336">
        <v>112</v>
      </c>
      <c r="C8336" t="s">
        <v>10790</v>
      </c>
      <c r="D8336" t="s">
        <v>110</v>
      </c>
      <c r="E8336" s="13">
        <v>200</v>
      </c>
      <c r="F8336" s="12">
        <v>1.87</v>
      </c>
      <c r="G8336" t="str">
        <f>IFERROR(INDEX(tEditais[Órgão],MATCH(tItens[[#This Row],[Edital]],tEditais[Edital],0)),"")</f>
        <v>MUNICIPIO DE PIRATININGA</v>
      </c>
      <c r="H8336" t="str">
        <f>IFERROR(INDEX(tEditais[UF],MATCH(tItens[[#This Row],[Edital]],tEditais[Edital],0)),"")</f>
        <v>SP</v>
      </c>
      <c r="I8336" s="11">
        <f>IFERROR(INDEX(tEditais[Encerramento],MATCH(tItens[[#This Row],[Edital]],tEditais[Edital],0)),"")</f>
        <v>46304.354166666664</v>
      </c>
      <c r="J8336" t="str">
        <f>IFERROR(INDEX(tProdutos[Classe],MATCH(tItens[[#This Row],[Produto]],tProdutos[Produto],0)),"produto não cadastrado")</f>
        <v>NÚCLEO</v>
      </c>
      <c r="K8336" s="12">
        <f>tItens[[#This Row],[Qtd]]*tItens[[#This Row],[Vlr unit]]</f>
        <v>374</v>
      </c>
      <c r="L8336" s="6">
        <f>IFERROR(IF(INDEX(tProdutos[Desconto homologado],MATCH(tItens[[#This Row],[Produto]],tProdutos[Produto],0))="",DescontoPadrao,INDEX(tProdutos[Desconto homologado],MATCH(tItens[[#This Row],[Produto]],tProdutos[Produto],0))),DescontoPadrao)</f>
        <v>0.30410958904109597</v>
      </c>
      <c r="M8336" s="12">
        <f>tItens[[#This Row],[Valor]]*(1-tItens[[#This Row],[Desconto]])</f>
        <v>260.26301369863012</v>
      </c>
      <c r="N8336" t="str">
        <f>IFERROR(INDEX(tProdutos[Foco],MATCH(tItens[[#This Row],[Produto]],tProdutos[Produto],0)),"Não")</f>
        <v>Não</v>
      </c>
      <c r="O8336" t="str">
        <f>IFERROR(INDEX(tEditais[SRP],MATCH(tItens[[#This Row],[Edital]],tEditais[Edital],0)),"Não")</f>
        <v>Sim</v>
      </c>
      <c r="P8336" s="4">
        <f>IF(COUNTIFS(INDEX(tItens[Edital],1):tItens[[#This Row],[Edital]],tItens[[#This Row],[Edital]],INDEX(tItens[Produto],1):tItens[[#This Row],[Produto]],tItens[[#This Row],[Produto]])=1,1,0)</f>
        <v>0</v>
      </c>
    </row>
    <row r="8337" spans="1:16" x14ac:dyDescent="0.25">
      <c r="A8337" t="s">
        <v>2728</v>
      </c>
      <c r="B8337">
        <v>113</v>
      </c>
      <c r="C8337" t="s">
        <v>10791</v>
      </c>
      <c r="D8337" t="s">
        <v>110</v>
      </c>
      <c r="E8337" s="13">
        <v>200</v>
      </c>
      <c r="F8337" s="12">
        <v>1.61</v>
      </c>
      <c r="G8337" t="str">
        <f>IFERROR(INDEX(tEditais[Órgão],MATCH(tItens[[#This Row],[Edital]],tEditais[Edital],0)),"")</f>
        <v>MUNICIPIO DE PIRATININGA</v>
      </c>
      <c r="H8337" t="str">
        <f>IFERROR(INDEX(tEditais[UF],MATCH(tItens[[#This Row],[Edital]],tEditais[Edital],0)),"")</f>
        <v>SP</v>
      </c>
      <c r="I8337" s="11">
        <f>IFERROR(INDEX(tEditais[Encerramento],MATCH(tItens[[#This Row],[Edital]],tEditais[Edital],0)),"")</f>
        <v>46304.354166666664</v>
      </c>
      <c r="J8337" t="str">
        <f>IFERROR(INDEX(tProdutos[Classe],MATCH(tItens[[#This Row],[Produto]],tProdutos[Produto],0)),"produto não cadastrado")</f>
        <v>NÚCLEO</v>
      </c>
      <c r="K8337" s="12">
        <f>tItens[[#This Row],[Qtd]]*tItens[[#This Row],[Vlr unit]]</f>
        <v>322</v>
      </c>
      <c r="L8337" s="6">
        <f>IFERROR(IF(INDEX(tProdutos[Desconto homologado],MATCH(tItens[[#This Row],[Produto]],tProdutos[Produto],0))="",DescontoPadrao,INDEX(tProdutos[Desconto homologado],MATCH(tItens[[#This Row],[Produto]],tProdutos[Produto],0))),DescontoPadrao)</f>
        <v>0.30410958904109597</v>
      </c>
      <c r="M8337" s="12">
        <f>tItens[[#This Row],[Valor]]*(1-tItens[[#This Row],[Desconto]])</f>
        <v>224.07671232876709</v>
      </c>
      <c r="N8337" t="str">
        <f>IFERROR(INDEX(tProdutos[Foco],MATCH(tItens[[#This Row],[Produto]],tProdutos[Produto],0)),"Não")</f>
        <v>Não</v>
      </c>
      <c r="O8337" t="str">
        <f>IFERROR(INDEX(tEditais[SRP],MATCH(tItens[[#This Row],[Edital]],tEditais[Edital],0)),"Não")</f>
        <v>Sim</v>
      </c>
      <c r="P8337" s="4">
        <f>IF(COUNTIFS(INDEX(tItens[Edital],1):tItens[[#This Row],[Edital]],tItens[[#This Row],[Edital]],INDEX(tItens[Produto],1):tItens[[#This Row],[Produto]],tItens[[#This Row],[Produto]])=1,1,0)</f>
        <v>0</v>
      </c>
    </row>
    <row r="8338" spans="1:16" x14ac:dyDescent="0.25">
      <c r="A8338" t="s">
        <v>2728</v>
      </c>
      <c r="B8338">
        <v>114</v>
      </c>
      <c r="C8338" t="s">
        <v>10792</v>
      </c>
      <c r="D8338" t="s">
        <v>110</v>
      </c>
      <c r="E8338" s="13">
        <v>100</v>
      </c>
      <c r="F8338" s="12">
        <v>1.1599999999999999</v>
      </c>
      <c r="G8338" t="str">
        <f>IFERROR(INDEX(tEditais[Órgão],MATCH(tItens[[#This Row],[Edital]],tEditais[Edital],0)),"")</f>
        <v>MUNICIPIO DE PIRATININGA</v>
      </c>
      <c r="H8338" t="str">
        <f>IFERROR(INDEX(tEditais[UF],MATCH(tItens[[#This Row],[Edital]],tEditais[Edital],0)),"")</f>
        <v>SP</v>
      </c>
      <c r="I8338" s="11">
        <f>IFERROR(INDEX(tEditais[Encerramento],MATCH(tItens[[#This Row],[Edital]],tEditais[Edital],0)),"")</f>
        <v>46304.354166666664</v>
      </c>
      <c r="J8338" t="str">
        <f>IFERROR(INDEX(tProdutos[Classe],MATCH(tItens[[#This Row],[Produto]],tProdutos[Produto],0)),"produto não cadastrado")</f>
        <v>NÚCLEO</v>
      </c>
      <c r="K8338" s="12">
        <f>tItens[[#This Row],[Qtd]]*tItens[[#This Row],[Vlr unit]]</f>
        <v>115.99999999999999</v>
      </c>
      <c r="L8338" s="6">
        <f>IFERROR(IF(INDEX(tProdutos[Desconto homologado],MATCH(tItens[[#This Row],[Produto]],tProdutos[Produto],0))="",DescontoPadrao,INDEX(tProdutos[Desconto homologado],MATCH(tItens[[#This Row],[Produto]],tProdutos[Produto],0))),DescontoPadrao)</f>
        <v>0.30410958904109597</v>
      </c>
      <c r="M8338" s="12">
        <f>tItens[[#This Row],[Valor]]*(1-tItens[[#This Row],[Desconto]])</f>
        <v>80.723287671232853</v>
      </c>
      <c r="N8338" t="str">
        <f>IFERROR(INDEX(tProdutos[Foco],MATCH(tItens[[#This Row],[Produto]],tProdutos[Produto],0)),"Não")</f>
        <v>Não</v>
      </c>
      <c r="O8338" t="str">
        <f>IFERROR(INDEX(tEditais[SRP],MATCH(tItens[[#This Row],[Edital]],tEditais[Edital],0)),"Não")</f>
        <v>Sim</v>
      </c>
      <c r="P8338" s="4">
        <f>IF(COUNTIFS(INDEX(tItens[Edital],1):tItens[[#This Row],[Edital]],tItens[[#This Row],[Edital]],INDEX(tItens[Produto],1):tItens[[#This Row],[Produto]],tItens[[#This Row],[Produto]])=1,1,0)</f>
        <v>0</v>
      </c>
    </row>
    <row r="8339" spans="1:16" x14ac:dyDescent="0.25">
      <c r="A8339" t="s">
        <v>2728</v>
      </c>
      <c r="B8339">
        <v>115</v>
      </c>
      <c r="C8339" t="s">
        <v>10793</v>
      </c>
      <c r="D8339" t="s">
        <v>110</v>
      </c>
      <c r="E8339" s="13">
        <v>100</v>
      </c>
      <c r="F8339" s="12">
        <v>1.1299999999999999</v>
      </c>
      <c r="G8339" t="str">
        <f>IFERROR(INDEX(tEditais[Órgão],MATCH(tItens[[#This Row],[Edital]],tEditais[Edital],0)),"")</f>
        <v>MUNICIPIO DE PIRATININGA</v>
      </c>
      <c r="H8339" t="str">
        <f>IFERROR(INDEX(tEditais[UF],MATCH(tItens[[#This Row],[Edital]],tEditais[Edital],0)),"")</f>
        <v>SP</v>
      </c>
      <c r="I8339" s="11">
        <f>IFERROR(INDEX(tEditais[Encerramento],MATCH(tItens[[#This Row],[Edital]],tEditais[Edital],0)),"")</f>
        <v>46304.354166666664</v>
      </c>
      <c r="J8339" t="str">
        <f>IFERROR(INDEX(tProdutos[Classe],MATCH(tItens[[#This Row],[Produto]],tProdutos[Produto],0)),"produto não cadastrado")</f>
        <v>NÚCLEO</v>
      </c>
      <c r="K8339" s="12">
        <f>tItens[[#This Row],[Qtd]]*tItens[[#This Row],[Vlr unit]]</f>
        <v>112.99999999999999</v>
      </c>
      <c r="L8339" s="6">
        <f>IFERROR(IF(INDEX(tProdutos[Desconto homologado],MATCH(tItens[[#This Row],[Produto]],tProdutos[Produto],0))="",DescontoPadrao,INDEX(tProdutos[Desconto homologado],MATCH(tItens[[#This Row],[Produto]],tProdutos[Produto],0))),DescontoPadrao)</f>
        <v>0.30410958904109597</v>
      </c>
      <c r="M8339" s="12">
        <f>tItens[[#This Row],[Valor]]*(1-tItens[[#This Row],[Desconto]])</f>
        <v>78.635616438356152</v>
      </c>
      <c r="N8339" t="str">
        <f>IFERROR(INDEX(tProdutos[Foco],MATCH(tItens[[#This Row],[Produto]],tProdutos[Produto],0)),"Não")</f>
        <v>Não</v>
      </c>
      <c r="O8339" t="str">
        <f>IFERROR(INDEX(tEditais[SRP],MATCH(tItens[[#This Row],[Edital]],tEditais[Edital],0)),"Não")</f>
        <v>Sim</v>
      </c>
      <c r="P8339" s="4">
        <f>IF(COUNTIFS(INDEX(tItens[Edital],1):tItens[[#This Row],[Edital]],tItens[[#This Row],[Edital]],INDEX(tItens[Produto],1):tItens[[#This Row],[Produto]],tItens[[#This Row],[Produto]])=1,1,0)</f>
        <v>0</v>
      </c>
    </row>
    <row r="8340" spans="1:16" x14ac:dyDescent="0.25">
      <c r="A8340" t="s">
        <v>2728</v>
      </c>
      <c r="B8340">
        <v>116</v>
      </c>
      <c r="C8340" t="s">
        <v>10794</v>
      </c>
      <c r="D8340" t="s">
        <v>110</v>
      </c>
      <c r="E8340" s="13">
        <v>150</v>
      </c>
      <c r="F8340" s="12">
        <v>1.25</v>
      </c>
      <c r="G8340" t="str">
        <f>IFERROR(INDEX(tEditais[Órgão],MATCH(tItens[[#This Row],[Edital]],tEditais[Edital],0)),"")</f>
        <v>MUNICIPIO DE PIRATININGA</v>
      </c>
      <c r="H8340" t="str">
        <f>IFERROR(INDEX(tEditais[UF],MATCH(tItens[[#This Row],[Edital]],tEditais[Edital],0)),"")</f>
        <v>SP</v>
      </c>
      <c r="I8340" s="11">
        <f>IFERROR(INDEX(tEditais[Encerramento],MATCH(tItens[[#This Row],[Edital]],tEditais[Edital],0)),"")</f>
        <v>46304.354166666664</v>
      </c>
      <c r="J8340" t="str">
        <f>IFERROR(INDEX(tProdutos[Classe],MATCH(tItens[[#This Row],[Produto]],tProdutos[Produto],0)),"produto não cadastrado")</f>
        <v>NÚCLEO</v>
      </c>
      <c r="K8340" s="12">
        <f>tItens[[#This Row],[Qtd]]*tItens[[#This Row],[Vlr unit]]</f>
        <v>187.5</v>
      </c>
      <c r="L8340" s="6">
        <f>IFERROR(IF(INDEX(tProdutos[Desconto homologado],MATCH(tItens[[#This Row],[Produto]],tProdutos[Produto],0))="",DescontoPadrao,INDEX(tProdutos[Desconto homologado],MATCH(tItens[[#This Row],[Produto]],tProdutos[Produto],0))),DescontoPadrao)</f>
        <v>0.30410958904109597</v>
      </c>
      <c r="M8340" s="12">
        <f>tItens[[#This Row],[Valor]]*(1-tItens[[#This Row],[Desconto]])</f>
        <v>130.47945205479451</v>
      </c>
      <c r="N8340" t="str">
        <f>IFERROR(INDEX(tProdutos[Foco],MATCH(tItens[[#This Row],[Produto]],tProdutos[Produto],0)),"Não")</f>
        <v>Não</v>
      </c>
      <c r="O8340" t="str">
        <f>IFERROR(INDEX(tEditais[SRP],MATCH(tItens[[#This Row],[Edital]],tEditais[Edital],0)),"Não")</f>
        <v>Sim</v>
      </c>
      <c r="P8340" s="4">
        <f>IF(COUNTIFS(INDEX(tItens[Edital],1):tItens[[#This Row],[Edital]],tItens[[#This Row],[Edital]],INDEX(tItens[Produto],1):tItens[[#This Row],[Produto]],tItens[[#This Row],[Produto]])=1,1,0)</f>
        <v>0</v>
      </c>
    </row>
    <row r="8341" spans="1:16" x14ac:dyDescent="0.25">
      <c r="A8341" t="s">
        <v>2728</v>
      </c>
      <c r="B8341">
        <v>117</v>
      </c>
      <c r="C8341" t="s">
        <v>10795</v>
      </c>
      <c r="D8341" t="s">
        <v>110</v>
      </c>
      <c r="E8341" s="13">
        <v>150</v>
      </c>
      <c r="F8341" s="12">
        <v>1.1399999999999999</v>
      </c>
      <c r="G8341" t="str">
        <f>IFERROR(INDEX(tEditais[Órgão],MATCH(tItens[[#This Row],[Edital]],tEditais[Edital],0)),"")</f>
        <v>MUNICIPIO DE PIRATININGA</v>
      </c>
      <c r="H8341" t="str">
        <f>IFERROR(INDEX(tEditais[UF],MATCH(tItens[[#This Row],[Edital]],tEditais[Edital],0)),"")</f>
        <v>SP</v>
      </c>
      <c r="I8341" s="11">
        <f>IFERROR(INDEX(tEditais[Encerramento],MATCH(tItens[[#This Row],[Edital]],tEditais[Edital],0)),"")</f>
        <v>46304.354166666664</v>
      </c>
      <c r="J8341" t="str">
        <f>IFERROR(INDEX(tProdutos[Classe],MATCH(tItens[[#This Row],[Produto]],tProdutos[Produto],0)),"produto não cadastrado")</f>
        <v>NÚCLEO</v>
      </c>
      <c r="K8341" s="12">
        <f>tItens[[#This Row],[Qtd]]*tItens[[#This Row],[Vlr unit]]</f>
        <v>170.99999999999997</v>
      </c>
      <c r="L8341" s="6">
        <f>IFERROR(IF(INDEX(tProdutos[Desconto homologado],MATCH(tItens[[#This Row],[Produto]],tProdutos[Produto],0))="",DescontoPadrao,INDEX(tProdutos[Desconto homologado],MATCH(tItens[[#This Row],[Produto]],tProdutos[Produto],0))),DescontoPadrao)</f>
        <v>0.30410958904109597</v>
      </c>
      <c r="M8341" s="12">
        <f>tItens[[#This Row],[Valor]]*(1-tItens[[#This Row],[Desconto]])</f>
        <v>118.99726027397257</v>
      </c>
      <c r="N8341" t="str">
        <f>IFERROR(INDEX(tProdutos[Foco],MATCH(tItens[[#This Row],[Produto]],tProdutos[Produto],0)),"Não")</f>
        <v>Não</v>
      </c>
      <c r="O8341" t="str">
        <f>IFERROR(INDEX(tEditais[SRP],MATCH(tItens[[#This Row],[Edital]],tEditais[Edital],0)),"Não")</f>
        <v>Sim</v>
      </c>
      <c r="P8341" s="4">
        <f>IF(COUNTIFS(INDEX(tItens[Edital],1):tItens[[#This Row],[Edital]],tItens[[#This Row],[Edital]],INDEX(tItens[Produto],1):tItens[[#This Row],[Produto]],tItens[[#This Row],[Produto]])=1,1,0)</f>
        <v>0</v>
      </c>
    </row>
    <row r="8342" spans="1:16" x14ac:dyDescent="0.25">
      <c r="A8342" t="s">
        <v>2728</v>
      </c>
      <c r="B8342">
        <v>118</v>
      </c>
      <c r="C8342" t="s">
        <v>10796</v>
      </c>
      <c r="D8342" t="s">
        <v>110</v>
      </c>
      <c r="E8342" s="13">
        <v>200</v>
      </c>
      <c r="F8342" s="12">
        <v>1.0900000000000001</v>
      </c>
      <c r="G8342" t="str">
        <f>IFERROR(INDEX(tEditais[Órgão],MATCH(tItens[[#This Row],[Edital]],tEditais[Edital],0)),"")</f>
        <v>MUNICIPIO DE PIRATININGA</v>
      </c>
      <c r="H8342" t="str">
        <f>IFERROR(INDEX(tEditais[UF],MATCH(tItens[[#This Row],[Edital]],tEditais[Edital],0)),"")</f>
        <v>SP</v>
      </c>
      <c r="I8342" s="11">
        <f>IFERROR(INDEX(tEditais[Encerramento],MATCH(tItens[[#This Row],[Edital]],tEditais[Edital],0)),"")</f>
        <v>46304.354166666664</v>
      </c>
      <c r="J8342" t="str">
        <f>IFERROR(INDEX(tProdutos[Classe],MATCH(tItens[[#This Row],[Produto]],tProdutos[Produto],0)),"produto não cadastrado")</f>
        <v>NÚCLEO</v>
      </c>
      <c r="K8342" s="12">
        <f>tItens[[#This Row],[Qtd]]*tItens[[#This Row],[Vlr unit]]</f>
        <v>218.00000000000003</v>
      </c>
      <c r="L8342" s="6">
        <f>IFERROR(IF(INDEX(tProdutos[Desconto homologado],MATCH(tItens[[#This Row],[Produto]],tProdutos[Produto],0))="",DescontoPadrao,INDEX(tProdutos[Desconto homologado],MATCH(tItens[[#This Row],[Produto]],tProdutos[Produto],0))),DescontoPadrao)</f>
        <v>0.30410958904109597</v>
      </c>
      <c r="M8342" s="12">
        <f>tItens[[#This Row],[Valor]]*(1-tItens[[#This Row],[Desconto]])</f>
        <v>151.70410958904111</v>
      </c>
      <c r="N8342" t="str">
        <f>IFERROR(INDEX(tProdutos[Foco],MATCH(tItens[[#This Row],[Produto]],tProdutos[Produto],0)),"Não")</f>
        <v>Não</v>
      </c>
      <c r="O8342" t="str">
        <f>IFERROR(INDEX(tEditais[SRP],MATCH(tItens[[#This Row],[Edital]],tEditais[Edital],0)),"Não")</f>
        <v>Sim</v>
      </c>
      <c r="P8342" s="4">
        <f>IF(COUNTIFS(INDEX(tItens[Edital],1):tItens[[#This Row],[Edital]],tItens[[#This Row],[Edital]],INDEX(tItens[Produto],1):tItens[[#This Row],[Produto]],tItens[[#This Row],[Produto]])=1,1,0)</f>
        <v>0</v>
      </c>
    </row>
    <row r="8343" spans="1:16" x14ac:dyDescent="0.25">
      <c r="A8343" t="s">
        <v>2728</v>
      </c>
      <c r="B8343">
        <v>119</v>
      </c>
      <c r="C8343" t="s">
        <v>10797</v>
      </c>
      <c r="D8343" t="s">
        <v>110</v>
      </c>
      <c r="E8343" s="13">
        <v>200</v>
      </c>
      <c r="F8343" s="12">
        <v>1.1499999999999999</v>
      </c>
      <c r="G8343" t="str">
        <f>IFERROR(INDEX(tEditais[Órgão],MATCH(tItens[[#This Row],[Edital]],tEditais[Edital],0)),"")</f>
        <v>MUNICIPIO DE PIRATININGA</v>
      </c>
      <c r="H8343" t="str">
        <f>IFERROR(INDEX(tEditais[UF],MATCH(tItens[[#This Row],[Edital]],tEditais[Edital],0)),"")</f>
        <v>SP</v>
      </c>
      <c r="I8343" s="11">
        <f>IFERROR(INDEX(tEditais[Encerramento],MATCH(tItens[[#This Row],[Edital]],tEditais[Edital],0)),"")</f>
        <v>46304.354166666664</v>
      </c>
      <c r="J8343" t="str">
        <f>IFERROR(INDEX(tProdutos[Classe],MATCH(tItens[[#This Row],[Produto]],tProdutos[Produto],0)),"produto não cadastrado")</f>
        <v>NÚCLEO</v>
      </c>
      <c r="K8343" s="12">
        <f>tItens[[#This Row],[Qtd]]*tItens[[#This Row],[Vlr unit]]</f>
        <v>229.99999999999997</v>
      </c>
      <c r="L8343" s="6">
        <f>IFERROR(IF(INDEX(tProdutos[Desconto homologado],MATCH(tItens[[#This Row],[Produto]],tProdutos[Produto],0))="",DescontoPadrao,INDEX(tProdutos[Desconto homologado],MATCH(tItens[[#This Row],[Produto]],tProdutos[Produto],0))),DescontoPadrao)</f>
        <v>0.30410958904109597</v>
      </c>
      <c r="M8343" s="12">
        <f>tItens[[#This Row],[Valor]]*(1-tItens[[#This Row],[Desconto]])</f>
        <v>160.05479452054792</v>
      </c>
      <c r="N8343" t="str">
        <f>IFERROR(INDEX(tProdutos[Foco],MATCH(tItens[[#This Row],[Produto]],tProdutos[Produto],0)),"Não")</f>
        <v>Não</v>
      </c>
      <c r="O8343" t="str">
        <f>IFERROR(INDEX(tEditais[SRP],MATCH(tItens[[#This Row],[Edital]],tEditais[Edital],0)),"Não")</f>
        <v>Sim</v>
      </c>
      <c r="P8343" s="4">
        <f>IF(COUNTIFS(INDEX(tItens[Edital],1):tItens[[#This Row],[Edital]],tItens[[#This Row],[Edital]],INDEX(tItens[Produto],1):tItens[[#This Row],[Produto]],tItens[[#This Row],[Produto]])=1,1,0)</f>
        <v>0</v>
      </c>
    </row>
    <row r="8344" spans="1:16" x14ac:dyDescent="0.25">
      <c r="A8344" t="s">
        <v>2728</v>
      </c>
      <c r="B8344">
        <v>120</v>
      </c>
      <c r="C8344" t="s">
        <v>10798</v>
      </c>
      <c r="D8344" t="s">
        <v>110</v>
      </c>
      <c r="E8344" s="13">
        <v>200</v>
      </c>
      <c r="F8344" s="12">
        <v>1.29</v>
      </c>
      <c r="G8344" t="str">
        <f>IFERROR(INDEX(tEditais[Órgão],MATCH(tItens[[#This Row],[Edital]],tEditais[Edital],0)),"")</f>
        <v>MUNICIPIO DE PIRATININGA</v>
      </c>
      <c r="H8344" t="str">
        <f>IFERROR(INDEX(tEditais[UF],MATCH(tItens[[#This Row],[Edital]],tEditais[Edital],0)),"")</f>
        <v>SP</v>
      </c>
      <c r="I8344" s="11">
        <f>IFERROR(INDEX(tEditais[Encerramento],MATCH(tItens[[#This Row],[Edital]],tEditais[Edital],0)),"")</f>
        <v>46304.354166666664</v>
      </c>
      <c r="J8344" t="str">
        <f>IFERROR(INDEX(tProdutos[Classe],MATCH(tItens[[#This Row],[Produto]],tProdutos[Produto],0)),"produto não cadastrado")</f>
        <v>NÚCLEO</v>
      </c>
      <c r="K8344" s="12">
        <f>tItens[[#This Row],[Qtd]]*tItens[[#This Row],[Vlr unit]]</f>
        <v>258</v>
      </c>
      <c r="L8344" s="6">
        <f>IFERROR(IF(INDEX(tProdutos[Desconto homologado],MATCH(tItens[[#This Row],[Produto]],tProdutos[Produto],0))="",DescontoPadrao,INDEX(tProdutos[Desconto homologado],MATCH(tItens[[#This Row],[Produto]],tProdutos[Produto],0))),DescontoPadrao)</f>
        <v>0.30410958904109597</v>
      </c>
      <c r="M8344" s="12">
        <f>tItens[[#This Row],[Valor]]*(1-tItens[[#This Row],[Desconto]])</f>
        <v>179.53972602739725</v>
      </c>
      <c r="N8344" t="str">
        <f>IFERROR(INDEX(tProdutos[Foco],MATCH(tItens[[#This Row],[Produto]],tProdutos[Produto],0)),"Não")</f>
        <v>Não</v>
      </c>
      <c r="O8344" t="str">
        <f>IFERROR(INDEX(tEditais[SRP],MATCH(tItens[[#This Row],[Edital]],tEditais[Edital],0)),"Não")</f>
        <v>Sim</v>
      </c>
      <c r="P8344" s="4">
        <f>IF(COUNTIFS(INDEX(tItens[Edital],1):tItens[[#This Row],[Edital]],tItens[[#This Row],[Edital]],INDEX(tItens[Produto],1):tItens[[#This Row],[Produto]],tItens[[#This Row],[Produto]])=1,1,0)</f>
        <v>0</v>
      </c>
    </row>
    <row r="8345" spans="1:16" x14ac:dyDescent="0.25">
      <c r="A8345" t="s">
        <v>2728</v>
      </c>
      <c r="B8345">
        <v>121</v>
      </c>
      <c r="C8345" t="s">
        <v>10799</v>
      </c>
      <c r="D8345" t="s">
        <v>110</v>
      </c>
      <c r="E8345" s="13">
        <v>200</v>
      </c>
      <c r="F8345" s="12">
        <v>1.44</v>
      </c>
      <c r="G8345" t="str">
        <f>IFERROR(INDEX(tEditais[Órgão],MATCH(tItens[[#This Row],[Edital]],tEditais[Edital],0)),"")</f>
        <v>MUNICIPIO DE PIRATININGA</v>
      </c>
      <c r="H8345" t="str">
        <f>IFERROR(INDEX(tEditais[UF],MATCH(tItens[[#This Row],[Edital]],tEditais[Edital],0)),"")</f>
        <v>SP</v>
      </c>
      <c r="I8345" s="11">
        <f>IFERROR(INDEX(tEditais[Encerramento],MATCH(tItens[[#This Row],[Edital]],tEditais[Edital],0)),"")</f>
        <v>46304.354166666664</v>
      </c>
      <c r="J8345" t="str">
        <f>IFERROR(INDEX(tProdutos[Classe],MATCH(tItens[[#This Row],[Produto]],tProdutos[Produto],0)),"produto não cadastrado")</f>
        <v>NÚCLEO</v>
      </c>
      <c r="K8345" s="12">
        <f>tItens[[#This Row],[Qtd]]*tItens[[#This Row],[Vlr unit]]</f>
        <v>288</v>
      </c>
      <c r="L8345" s="6">
        <f>IFERROR(IF(INDEX(tProdutos[Desconto homologado],MATCH(tItens[[#This Row],[Produto]],tProdutos[Produto],0))="",DescontoPadrao,INDEX(tProdutos[Desconto homologado],MATCH(tItens[[#This Row],[Produto]],tProdutos[Produto],0))),DescontoPadrao)</f>
        <v>0.30410958904109597</v>
      </c>
      <c r="M8345" s="12">
        <f>tItens[[#This Row],[Valor]]*(1-tItens[[#This Row],[Desconto]])</f>
        <v>200.41643835616435</v>
      </c>
      <c r="N8345" t="str">
        <f>IFERROR(INDEX(tProdutos[Foco],MATCH(tItens[[#This Row],[Produto]],tProdutos[Produto],0)),"Não")</f>
        <v>Não</v>
      </c>
      <c r="O8345" t="str">
        <f>IFERROR(INDEX(tEditais[SRP],MATCH(tItens[[#This Row],[Edital]],tEditais[Edital],0)),"Não")</f>
        <v>Sim</v>
      </c>
      <c r="P8345" s="4">
        <f>IF(COUNTIFS(INDEX(tItens[Edital],1):tItens[[#This Row],[Edital]],tItens[[#This Row],[Edital]],INDEX(tItens[Produto],1):tItens[[#This Row],[Produto]],tItens[[#This Row],[Produto]])=1,1,0)</f>
        <v>0</v>
      </c>
    </row>
    <row r="8346" spans="1:16" x14ac:dyDescent="0.25">
      <c r="A8346" t="s">
        <v>2728</v>
      </c>
      <c r="B8346">
        <v>122</v>
      </c>
      <c r="C8346" t="s">
        <v>10800</v>
      </c>
      <c r="D8346" t="s">
        <v>110</v>
      </c>
      <c r="E8346" s="13">
        <v>150</v>
      </c>
      <c r="F8346" s="12">
        <v>1.08</v>
      </c>
      <c r="G8346" t="str">
        <f>IFERROR(INDEX(tEditais[Órgão],MATCH(tItens[[#This Row],[Edital]],tEditais[Edital],0)),"")</f>
        <v>MUNICIPIO DE PIRATININGA</v>
      </c>
      <c r="H8346" t="str">
        <f>IFERROR(INDEX(tEditais[UF],MATCH(tItens[[#This Row],[Edital]],tEditais[Edital],0)),"")</f>
        <v>SP</v>
      </c>
      <c r="I8346" s="11">
        <f>IFERROR(INDEX(tEditais[Encerramento],MATCH(tItens[[#This Row],[Edital]],tEditais[Edital],0)),"")</f>
        <v>46304.354166666664</v>
      </c>
      <c r="J8346" t="str">
        <f>IFERROR(INDEX(tProdutos[Classe],MATCH(tItens[[#This Row],[Produto]],tProdutos[Produto],0)),"produto não cadastrado")</f>
        <v>NÚCLEO</v>
      </c>
      <c r="K8346" s="12">
        <f>tItens[[#This Row],[Qtd]]*tItens[[#This Row],[Vlr unit]]</f>
        <v>162</v>
      </c>
      <c r="L8346" s="6">
        <f>IFERROR(IF(INDEX(tProdutos[Desconto homologado],MATCH(tItens[[#This Row],[Produto]],tProdutos[Produto],0))="",DescontoPadrao,INDEX(tProdutos[Desconto homologado],MATCH(tItens[[#This Row],[Produto]],tProdutos[Produto],0))),DescontoPadrao)</f>
        <v>0.30410958904109597</v>
      </c>
      <c r="M8346" s="12">
        <f>tItens[[#This Row],[Valor]]*(1-tItens[[#This Row],[Desconto]])</f>
        <v>112.73424657534245</v>
      </c>
      <c r="N8346" t="str">
        <f>IFERROR(INDEX(tProdutos[Foco],MATCH(tItens[[#This Row],[Produto]],tProdutos[Produto],0)),"Não")</f>
        <v>Não</v>
      </c>
      <c r="O8346" t="str">
        <f>IFERROR(INDEX(tEditais[SRP],MATCH(tItens[[#This Row],[Edital]],tEditais[Edital],0)),"Não")</f>
        <v>Sim</v>
      </c>
      <c r="P8346" s="4">
        <f>IF(COUNTIFS(INDEX(tItens[Edital],1):tItens[[#This Row],[Edital]],tItens[[#This Row],[Edital]],INDEX(tItens[Produto],1):tItens[[#This Row],[Produto]],tItens[[#This Row],[Produto]])=1,1,0)</f>
        <v>0</v>
      </c>
    </row>
    <row r="8347" spans="1:16" x14ac:dyDescent="0.25">
      <c r="A8347" t="s">
        <v>2728</v>
      </c>
      <c r="B8347">
        <v>123</v>
      </c>
      <c r="C8347" t="s">
        <v>4722</v>
      </c>
      <c r="D8347" t="s">
        <v>110</v>
      </c>
      <c r="E8347" s="13">
        <v>200</v>
      </c>
      <c r="F8347" s="12">
        <v>1.61</v>
      </c>
      <c r="G8347" t="str">
        <f>IFERROR(INDEX(tEditais[Órgão],MATCH(tItens[[#This Row],[Edital]],tEditais[Edital],0)),"")</f>
        <v>MUNICIPIO DE PIRATININGA</v>
      </c>
      <c r="H8347" t="str">
        <f>IFERROR(INDEX(tEditais[UF],MATCH(tItens[[#This Row],[Edital]],tEditais[Edital],0)),"")</f>
        <v>SP</v>
      </c>
      <c r="I8347" s="11">
        <f>IFERROR(INDEX(tEditais[Encerramento],MATCH(tItens[[#This Row],[Edital]],tEditais[Edital],0)),"")</f>
        <v>46304.354166666664</v>
      </c>
      <c r="J8347" t="str">
        <f>IFERROR(INDEX(tProdutos[Classe],MATCH(tItens[[#This Row],[Produto]],tProdutos[Produto],0)),"produto não cadastrado")</f>
        <v>NÚCLEO</v>
      </c>
      <c r="K8347" s="12">
        <f>tItens[[#This Row],[Qtd]]*tItens[[#This Row],[Vlr unit]]</f>
        <v>322</v>
      </c>
      <c r="L8347" s="6">
        <f>IFERROR(IF(INDEX(tProdutos[Desconto homologado],MATCH(tItens[[#This Row],[Produto]],tProdutos[Produto],0))="",DescontoPadrao,INDEX(tProdutos[Desconto homologado],MATCH(tItens[[#This Row],[Produto]],tProdutos[Produto],0))),DescontoPadrao)</f>
        <v>0.30410958904109597</v>
      </c>
      <c r="M8347" s="12">
        <f>tItens[[#This Row],[Valor]]*(1-tItens[[#This Row],[Desconto]])</f>
        <v>224.07671232876709</v>
      </c>
      <c r="N8347" t="str">
        <f>IFERROR(INDEX(tProdutos[Foco],MATCH(tItens[[#This Row],[Produto]],tProdutos[Produto],0)),"Não")</f>
        <v>Não</v>
      </c>
      <c r="O8347" t="str">
        <f>IFERROR(INDEX(tEditais[SRP],MATCH(tItens[[#This Row],[Edital]],tEditais[Edital],0)),"Não")</f>
        <v>Sim</v>
      </c>
      <c r="P8347" s="4">
        <f>IF(COUNTIFS(INDEX(tItens[Edital],1):tItens[[#This Row],[Edital]],tItens[[#This Row],[Edital]],INDEX(tItens[Produto],1):tItens[[#This Row],[Produto]],tItens[[#This Row],[Produto]])=1,1,0)</f>
        <v>0</v>
      </c>
    </row>
    <row r="8348" spans="1:16" x14ac:dyDescent="0.25">
      <c r="A8348" t="s">
        <v>2728</v>
      </c>
      <c r="B8348">
        <v>124</v>
      </c>
      <c r="C8348" t="s">
        <v>10801</v>
      </c>
      <c r="D8348" t="s">
        <v>110</v>
      </c>
      <c r="E8348" s="13">
        <v>100</v>
      </c>
      <c r="F8348" s="12">
        <v>0.97</v>
      </c>
      <c r="G8348" t="str">
        <f>IFERROR(INDEX(tEditais[Órgão],MATCH(tItens[[#This Row],[Edital]],tEditais[Edital],0)),"")</f>
        <v>MUNICIPIO DE PIRATININGA</v>
      </c>
      <c r="H8348" t="str">
        <f>IFERROR(INDEX(tEditais[UF],MATCH(tItens[[#This Row],[Edital]],tEditais[Edital],0)),"")</f>
        <v>SP</v>
      </c>
      <c r="I8348" s="11">
        <f>IFERROR(INDEX(tEditais[Encerramento],MATCH(tItens[[#This Row],[Edital]],tEditais[Edital],0)),"")</f>
        <v>46304.354166666664</v>
      </c>
      <c r="J8348" t="str">
        <f>IFERROR(INDEX(tProdutos[Classe],MATCH(tItens[[#This Row],[Produto]],tProdutos[Produto],0)),"produto não cadastrado")</f>
        <v>NÚCLEO</v>
      </c>
      <c r="K8348" s="12">
        <f>tItens[[#This Row],[Qtd]]*tItens[[#This Row],[Vlr unit]]</f>
        <v>97</v>
      </c>
      <c r="L8348" s="6">
        <f>IFERROR(IF(INDEX(tProdutos[Desconto homologado],MATCH(tItens[[#This Row],[Produto]],tProdutos[Produto],0))="",DescontoPadrao,INDEX(tProdutos[Desconto homologado],MATCH(tItens[[#This Row],[Produto]],tProdutos[Produto],0))),DescontoPadrao)</f>
        <v>0.30410958904109597</v>
      </c>
      <c r="M8348" s="12">
        <f>tItens[[#This Row],[Valor]]*(1-tItens[[#This Row],[Desconto]])</f>
        <v>67.501369863013693</v>
      </c>
      <c r="N8348" t="str">
        <f>IFERROR(INDEX(tProdutos[Foco],MATCH(tItens[[#This Row],[Produto]],tProdutos[Produto],0)),"Não")</f>
        <v>Não</v>
      </c>
      <c r="O8348" t="str">
        <f>IFERROR(INDEX(tEditais[SRP],MATCH(tItens[[#This Row],[Edital]],tEditais[Edital],0)),"Não")</f>
        <v>Sim</v>
      </c>
      <c r="P8348" s="4">
        <f>IF(COUNTIFS(INDEX(tItens[Edital],1):tItens[[#This Row],[Edital]],tItens[[#This Row],[Edital]],INDEX(tItens[Produto],1):tItens[[#This Row],[Produto]],tItens[[#This Row],[Produto]])=1,1,0)</f>
        <v>0</v>
      </c>
    </row>
    <row r="8349" spans="1:16" x14ac:dyDescent="0.25">
      <c r="A8349" t="s">
        <v>2728</v>
      </c>
      <c r="B8349">
        <v>125</v>
      </c>
      <c r="C8349" t="s">
        <v>10802</v>
      </c>
      <c r="D8349" t="s">
        <v>110</v>
      </c>
      <c r="E8349" s="13">
        <v>100</v>
      </c>
      <c r="F8349" s="12">
        <v>1.03</v>
      </c>
      <c r="G8349" t="str">
        <f>IFERROR(INDEX(tEditais[Órgão],MATCH(tItens[[#This Row],[Edital]],tEditais[Edital],0)),"")</f>
        <v>MUNICIPIO DE PIRATININGA</v>
      </c>
      <c r="H8349" t="str">
        <f>IFERROR(INDEX(tEditais[UF],MATCH(tItens[[#This Row],[Edital]],tEditais[Edital],0)),"")</f>
        <v>SP</v>
      </c>
      <c r="I8349" s="11">
        <f>IFERROR(INDEX(tEditais[Encerramento],MATCH(tItens[[#This Row],[Edital]],tEditais[Edital],0)),"")</f>
        <v>46304.354166666664</v>
      </c>
      <c r="J8349" t="str">
        <f>IFERROR(INDEX(tProdutos[Classe],MATCH(tItens[[#This Row],[Produto]],tProdutos[Produto],0)),"produto não cadastrado")</f>
        <v>NÚCLEO</v>
      </c>
      <c r="K8349" s="12">
        <f>tItens[[#This Row],[Qtd]]*tItens[[#This Row],[Vlr unit]]</f>
        <v>103</v>
      </c>
      <c r="L8349" s="6">
        <f>IFERROR(IF(INDEX(tProdutos[Desconto homologado],MATCH(tItens[[#This Row],[Produto]],tProdutos[Produto],0))="",DescontoPadrao,INDEX(tProdutos[Desconto homologado],MATCH(tItens[[#This Row],[Produto]],tProdutos[Produto],0))),DescontoPadrao)</f>
        <v>0.30410958904109597</v>
      </c>
      <c r="M8349" s="12">
        <f>tItens[[#This Row],[Valor]]*(1-tItens[[#This Row],[Desconto]])</f>
        <v>71.67671232876711</v>
      </c>
      <c r="N8349" t="str">
        <f>IFERROR(INDEX(tProdutos[Foco],MATCH(tItens[[#This Row],[Produto]],tProdutos[Produto],0)),"Não")</f>
        <v>Não</v>
      </c>
      <c r="O8349" t="str">
        <f>IFERROR(INDEX(tEditais[SRP],MATCH(tItens[[#This Row],[Edital]],tEditais[Edital],0)),"Não")</f>
        <v>Sim</v>
      </c>
      <c r="P8349" s="4">
        <f>IF(COUNTIFS(INDEX(tItens[Edital],1):tItens[[#This Row],[Edital]],tItens[[#This Row],[Edital]],INDEX(tItens[Produto],1):tItens[[#This Row],[Produto]],tItens[[#This Row],[Produto]])=1,1,0)</f>
        <v>0</v>
      </c>
    </row>
    <row r="8350" spans="1:16" x14ac:dyDescent="0.25">
      <c r="A8350" t="s">
        <v>2728</v>
      </c>
      <c r="B8350">
        <v>126</v>
      </c>
      <c r="C8350" t="s">
        <v>10803</v>
      </c>
      <c r="D8350" t="s">
        <v>110</v>
      </c>
      <c r="E8350" s="13">
        <v>150</v>
      </c>
      <c r="F8350" s="12">
        <v>1.08</v>
      </c>
      <c r="G8350" t="str">
        <f>IFERROR(INDEX(tEditais[Órgão],MATCH(tItens[[#This Row],[Edital]],tEditais[Edital],0)),"")</f>
        <v>MUNICIPIO DE PIRATININGA</v>
      </c>
      <c r="H8350" t="str">
        <f>IFERROR(INDEX(tEditais[UF],MATCH(tItens[[#This Row],[Edital]],tEditais[Edital],0)),"")</f>
        <v>SP</v>
      </c>
      <c r="I8350" s="11">
        <f>IFERROR(INDEX(tEditais[Encerramento],MATCH(tItens[[#This Row],[Edital]],tEditais[Edital],0)),"")</f>
        <v>46304.354166666664</v>
      </c>
      <c r="J8350" t="str">
        <f>IFERROR(INDEX(tProdutos[Classe],MATCH(tItens[[#This Row],[Produto]],tProdutos[Produto],0)),"produto não cadastrado")</f>
        <v>NÚCLEO</v>
      </c>
      <c r="K8350" s="12">
        <f>tItens[[#This Row],[Qtd]]*tItens[[#This Row],[Vlr unit]]</f>
        <v>162</v>
      </c>
      <c r="L8350" s="6">
        <f>IFERROR(IF(INDEX(tProdutos[Desconto homologado],MATCH(tItens[[#This Row],[Produto]],tProdutos[Produto],0))="",DescontoPadrao,INDEX(tProdutos[Desconto homologado],MATCH(tItens[[#This Row],[Produto]],tProdutos[Produto],0))),DescontoPadrao)</f>
        <v>0.30410958904109597</v>
      </c>
      <c r="M8350" s="12">
        <f>tItens[[#This Row],[Valor]]*(1-tItens[[#This Row],[Desconto]])</f>
        <v>112.73424657534245</v>
      </c>
      <c r="N8350" t="str">
        <f>IFERROR(INDEX(tProdutos[Foco],MATCH(tItens[[#This Row],[Produto]],tProdutos[Produto],0)),"Não")</f>
        <v>Não</v>
      </c>
      <c r="O8350" t="str">
        <f>IFERROR(INDEX(tEditais[SRP],MATCH(tItens[[#This Row],[Edital]],tEditais[Edital],0)),"Não")</f>
        <v>Sim</v>
      </c>
      <c r="P8350" s="4">
        <f>IF(COUNTIFS(INDEX(tItens[Edital],1):tItens[[#This Row],[Edital]],tItens[[#This Row],[Edital]],INDEX(tItens[Produto],1):tItens[[#This Row],[Produto]],tItens[[#This Row],[Produto]])=1,1,0)</f>
        <v>0</v>
      </c>
    </row>
    <row r="8351" spans="1:16" x14ac:dyDescent="0.25">
      <c r="A8351" t="s">
        <v>2728</v>
      </c>
      <c r="B8351">
        <v>127</v>
      </c>
      <c r="C8351" t="s">
        <v>10804</v>
      </c>
      <c r="D8351" t="s">
        <v>62</v>
      </c>
      <c r="E8351" s="13">
        <v>600</v>
      </c>
      <c r="F8351" s="12">
        <v>6.45</v>
      </c>
      <c r="G8351" t="str">
        <f>IFERROR(INDEX(tEditais[Órgão],MATCH(tItens[[#This Row],[Edital]],tEditais[Edital],0)),"")</f>
        <v>MUNICIPIO DE PIRATININGA</v>
      </c>
      <c r="H8351" t="str">
        <f>IFERROR(INDEX(tEditais[UF],MATCH(tItens[[#This Row],[Edital]],tEditais[Edital],0)),"")</f>
        <v>SP</v>
      </c>
      <c r="I8351" s="11">
        <f>IFERROR(INDEX(tEditais[Encerramento],MATCH(tItens[[#This Row],[Edital]],tEditais[Edital],0)),"")</f>
        <v>46304.354166666664</v>
      </c>
      <c r="J8351" t="str">
        <f>IFERROR(INDEX(tProdutos[Classe],MATCH(tItens[[#This Row],[Produto]],tProdutos[Produto],0)),"produto não cadastrado")</f>
        <v>NÚCLEO</v>
      </c>
      <c r="K8351" s="12">
        <f>tItens[[#This Row],[Qtd]]*tItens[[#This Row],[Vlr unit]]</f>
        <v>3870</v>
      </c>
      <c r="L8351" s="6">
        <f>IFERROR(IF(INDEX(tProdutos[Desconto homologado],MATCH(tItens[[#This Row],[Produto]],tProdutos[Produto],0))="",DescontoPadrao,INDEX(tProdutos[Desconto homologado],MATCH(tItens[[#This Row],[Produto]],tProdutos[Produto],0))),DescontoPadrao)</f>
        <v>0.3</v>
      </c>
      <c r="M8351" s="12">
        <f>tItens[[#This Row],[Valor]]*(1-tItens[[#This Row],[Desconto]])</f>
        <v>2709</v>
      </c>
      <c r="N8351" t="str">
        <f>IFERROR(INDEX(tProdutos[Foco],MATCH(tItens[[#This Row],[Produto]],tProdutos[Produto],0)),"Não")</f>
        <v>Sim</v>
      </c>
      <c r="O8351" t="str">
        <f>IFERROR(INDEX(tEditais[SRP],MATCH(tItens[[#This Row],[Edital]],tEditais[Edital],0)),"Não")</f>
        <v>Sim</v>
      </c>
      <c r="P8351" s="4">
        <f>IF(COUNTIFS(INDEX(tItens[Edital],1):tItens[[#This Row],[Edital]],tItens[[#This Row],[Edital]],INDEX(tItens[Produto],1):tItens[[#This Row],[Produto]],tItens[[#This Row],[Produto]])=1,1,0)</f>
        <v>1</v>
      </c>
    </row>
    <row r="8352" spans="1:16" x14ac:dyDescent="0.25">
      <c r="A8352" t="s">
        <v>2728</v>
      </c>
      <c r="B8352">
        <v>128</v>
      </c>
      <c r="C8352" t="s">
        <v>10805</v>
      </c>
      <c r="D8352" t="s">
        <v>62</v>
      </c>
      <c r="E8352" s="13">
        <v>3000</v>
      </c>
      <c r="F8352" s="12">
        <v>2.13</v>
      </c>
      <c r="G8352" t="str">
        <f>IFERROR(INDEX(tEditais[Órgão],MATCH(tItens[[#This Row],[Edital]],tEditais[Edital],0)),"")</f>
        <v>MUNICIPIO DE PIRATININGA</v>
      </c>
      <c r="H8352" t="str">
        <f>IFERROR(INDEX(tEditais[UF],MATCH(tItens[[#This Row],[Edital]],tEditais[Edital],0)),"")</f>
        <v>SP</v>
      </c>
      <c r="I8352" s="11">
        <f>IFERROR(INDEX(tEditais[Encerramento],MATCH(tItens[[#This Row],[Edital]],tEditais[Edital],0)),"")</f>
        <v>46304.354166666664</v>
      </c>
      <c r="J8352" t="str">
        <f>IFERROR(INDEX(tProdutos[Classe],MATCH(tItens[[#This Row],[Produto]],tProdutos[Produto],0)),"produto não cadastrado")</f>
        <v>NÚCLEO</v>
      </c>
      <c r="K8352" s="12">
        <f>tItens[[#This Row],[Qtd]]*tItens[[#This Row],[Vlr unit]]</f>
        <v>6390</v>
      </c>
      <c r="L8352" s="6">
        <f>IFERROR(IF(INDEX(tProdutos[Desconto homologado],MATCH(tItens[[#This Row],[Produto]],tProdutos[Produto],0))="",DescontoPadrao,INDEX(tProdutos[Desconto homologado],MATCH(tItens[[#This Row],[Produto]],tProdutos[Produto],0))),DescontoPadrao)</f>
        <v>0.3</v>
      </c>
      <c r="M8352" s="12">
        <f>tItens[[#This Row],[Valor]]*(1-tItens[[#This Row],[Desconto]])</f>
        <v>4473</v>
      </c>
      <c r="N8352" t="str">
        <f>IFERROR(INDEX(tProdutos[Foco],MATCH(tItens[[#This Row],[Produto]],tProdutos[Produto],0)),"Não")</f>
        <v>Sim</v>
      </c>
      <c r="O8352" t="str">
        <f>IFERROR(INDEX(tEditais[SRP],MATCH(tItens[[#This Row],[Edital]],tEditais[Edital],0)),"Não")</f>
        <v>Sim</v>
      </c>
      <c r="P8352" s="4">
        <f>IF(COUNTIFS(INDEX(tItens[Edital],1):tItens[[#This Row],[Edital]],tItens[[#This Row],[Edital]],INDEX(tItens[Produto],1):tItens[[#This Row],[Produto]],tItens[[#This Row],[Produto]])=1,1,0)</f>
        <v>0</v>
      </c>
    </row>
    <row r="8353" spans="1:16" x14ac:dyDescent="0.25">
      <c r="A8353" t="s">
        <v>2728</v>
      </c>
      <c r="B8353">
        <v>129</v>
      </c>
      <c r="C8353" t="s">
        <v>4373</v>
      </c>
      <c r="D8353" t="s">
        <v>184</v>
      </c>
      <c r="E8353" s="13">
        <v>200</v>
      </c>
      <c r="F8353" s="12">
        <v>4.87</v>
      </c>
      <c r="G8353" t="str">
        <f>IFERROR(INDEX(tEditais[Órgão],MATCH(tItens[[#This Row],[Edital]],tEditais[Edital],0)),"")</f>
        <v>MUNICIPIO DE PIRATININGA</v>
      </c>
      <c r="H8353" t="str">
        <f>IFERROR(INDEX(tEditais[UF],MATCH(tItens[[#This Row],[Edital]],tEditais[Edital],0)),"")</f>
        <v>SP</v>
      </c>
      <c r="I8353" s="11">
        <f>IFERROR(INDEX(tEditais[Encerramento],MATCH(tItens[[#This Row],[Edital]],tEditais[Edital],0)),"")</f>
        <v>46304.354166666664</v>
      </c>
      <c r="J8353" t="str">
        <f>IFERROR(INDEX(tProdutos[Classe],MATCH(tItens[[#This Row],[Produto]],tProdutos[Produto],0)),"produto não cadastrado")</f>
        <v>FORA</v>
      </c>
      <c r="K8353" s="12">
        <f>tItens[[#This Row],[Qtd]]*tItens[[#This Row],[Vlr unit]]</f>
        <v>974</v>
      </c>
      <c r="L8353" s="6">
        <f>IFERROR(IF(INDEX(tProdutos[Desconto homologado],MATCH(tItens[[#This Row],[Produto]],tProdutos[Produto],0))="",DescontoPadrao,INDEX(tProdutos[Desconto homologado],MATCH(tItens[[#This Row],[Produto]],tProdutos[Produto],0))),DescontoPadrao)</f>
        <v>0.363567906332742</v>
      </c>
      <c r="M8353" s="12">
        <f>tItens[[#This Row],[Valor]]*(1-tItens[[#This Row],[Desconto]])</f>
        <v>619.88485923190933</v>
      </c>
      <c r="N8353" t="str">
        <f>IFERROR(INDEX(tProdutos[Foco],MATCH(tItens[[#This Row],[Produto]],tProdutos[Produto],0)),"Não")</f>
        <v>Não</v>
      </c>
      <c r="O8353" t="str">
        <f>IFERROR(INDEX(tEditais[SRP],MATCH(tItens[[#This Row],[Edital]],tEditais[Edital],0)),"Não")</f>
        <v>Sim</v>
      </c>
      <c r="P8353" s="4">
        <f>IF(COUNTIFS(INDEX(tItens[Edital],1):tItens[[#This Row],[Edital]],tItens[[#This Row],[Edital]],INDEX(tItens[Produto],1):tItens[[#This Row],[Produto]],tItens[[#This Row],[Produto]])=1,1,0)</f>
        <v>1</v>
      </c>
    </row>
    <row r="8354" spans="1:16" x14ac:dyDescent="0.25">
      <c r="A8354" t="s">
        <v>2728</v>
      </c>
      <c r="B8354">
        <v>130</v>
      </c>
      <c r="C8354" t="s">
        <v>4372</v>
      </c>
      <c r="D8354" t="s">
        <v>184</v>
      </c>
      <c r="E8354" s="13">
        <v>200</v>
      </c>
      <c r="F8354" s="12">
        <v>3.53</v>
      </c>
      <c r="G8354" t="str">
        <f>IFERROR(INDEX(tEditais[Órgão],MATCH(tItens[[#This Row],[Edital]],tEditais[Edital],0)),"")</f>
        <v>MUNICIPIO DE PIRATININGA</v>
      </c>
      <c r="H8354" t="str">
        <f>IFERROR(INDEX(tEditais[UF],MATCH(tItens[[#This Row],[Edital]],tEditais[Edital],0)),"")</f>
        <v>SP</v>
      </c>
      <c r="I8354" s="11">
        <f>IFERROR(INDEX(tEditais[Encerramento],MATCH(tItens[[#This Row],[Edital]],tEditais[Edital],0)),"")</f>
        <v>46304.354166666664</v>
      </c>
      <c r="J8354" t="str">
        <f>IFERROR(INDEX(tProdutos[Classe],MATCH(tItens[[#This Row],[Produto]],tProdutos[Produto],0)),"produto não cadastrado")</f>
        <v>FORA</v>
      </c>
      <c r="K8354" s="12">
        <f>tItens[[#This Row],[Qtd]]*tItens[[#This Row],[Vlr unit]]</f>
        <v>706</v>
      </c>
      <c r="L8354" s="6">
        <f>IFERROR(IF(INDEX(tProdutos[Desconto homologado],MATCH(tItens[[#This Row],[Produto]],tProdutos[Produto],0))="",DescontoPadrao,INDEX(tProdutos[Desconto homologado],MATCH(tItens[[#This Row],[Produto]],tProdutos[Produto],0))),DescontoPadrao)</f>
        <v>0.363567906332742</v>
      </c>
      <c r="M8354" s="12">
        <f>tItens[[#This Row],[Valor]]*(1-tItens[[#This Row],[Desconto]])</f>
        <v>449.32105812908418</v>
      </c>
      <c r="N8354" t="str">
        <f>IFERROR(INDEX(tProdutos[Foco],MATCH(tItens[[#This Row],[Produto]],tProdutos[Produto],0)),"Não")</f>
        <v>Não</v>
      </c>
      <c r="O8354" t="str">
        <f>IFERROR(INDEX(tEditais[SRP],MATCH(tItens[[#This Row],[Edital]],tEditais[Edital],0)),"Não")</f>
        <v>Sim</v>
      </c>
      <c r="P8354" s="4">
        <f>IF(COUNTIFS(INDEX(tItens[Edital],1):tItens[[#This Row],[Edital]],tItens[[#This Row],[Edital]],INDEX(tItens[Produto],1):tItens[[#This Row],[Produto]],tItens[[#This Row],[Produto]])=1,1,0)</f>
        <v>0</v>
      </c>
    </row>
    <row r="8355" spans="1:16" x14ac:dyDescent="0.25">
      <c r="A8355" t="s">
        <v>2728</v>
      </c>
      <c r="B8355">
        <v>131</v>
      </c>
      <c r="C8355" t="s">
        <v>4371</v>
      </c>
      <c r="D8355" t="s">
        <v>184</v>
      </c>
      <c r="E8355" s="13">
        <v>100</v>
      </c>
      <c r="F8355" s="12">
        <v>4.17</v>
      </c>
      <c r="G8355" t="str">
        <f>IFERROR(INDEX(tEditais[Órgão],MATCH(tItens[[#This Row],[Edital]],tEditais[Edital],0)),"")</f>
        <v>MUNICIPIO DE PIRATININGA</v>
      </c>
      <c r="H8355" t="str">
        <f>IFERROR(INDEX(tEditais[UF],MATCH(tItens[[#This Row],[Edital]],tEditais[Edital],0)),"")</f>
        <v>SP</v>
      </c>
      <c r="I8355" s="11">
        <f>IFERROR(INDEX(tEditais[Encerramento],MATCH(tItens[[#This Row],[Edital]],tEditais[Edital],0)),"")</f>
        <v>46304.354166666664</v>
      </c>
      <c r="J8355" t="str">
        <f>IFERROR(INDEX(tProdutos[Classe],MATCH(tItens[[#This Row],[Produto]],tProdutos[Produto],0)),"produto não cadastrado")</f>
        <v>FORA</v>
      </c>
      <c r="K8355" s="12">
        <f>tItens[[#This Row],[Qtd]]*tItens[[#This Row],[Vlr unit]]</f>
        <v>417</v>
      </c>
      <c r="L8355" s="6">
        <f>IFERROR(IF(INDEX(tProdutos[Desconto homologado],MATCH(tItens[[#This Row],[Produto]],tProdutos[Produto],0))="",DescontoPadrao,INDEX(tProdutos[Desconto homologado],MATCH(tItens[[#This Row],[Produto]],tProdutos[Produto],0))),DescontoPadrao)</f>
        <v>0.363567906332742</v>
      </c>
      <c r="M8355" s="12">
        <f>tItens[[#This Row],[Valor]]*(1-tItens[[#This Row],[Desconto]])</f>
        <v>265.39218305924663</v>
      </c>
      <c r="N8355" t="str">
        <f>IFERROR(INDEX(tProdutos[Foco],MATCH(tItens[[#This Row],[Produto]],tProdutos[Produto],0)),"Não")</f>
        <v>Não</v>
      </c>
      <c r="O8355" t="str">
        <f>IFERROR(INDEX(tEditais[SRP],MATCH(tItens[[#This Row],[Edital]],tEditais[Edital],0)),"Não")</f>
        <v>Sim</v>
      </c>
      <c r="P8355" s="4">
        <f>IF(COUNTIFS(INDEX(tItens[Edital],1):tItens[[#This Row],[Edital]],tItens[[#This Row],[Edital]],INDEX(tItens[Produto],1):tItens[[#This Row],[Produto]],tItens[[#This Row],[Produto]])=1,1,0)</f>
        <v>0</v>
      </c>
    </row>
    <row r="8356" spans="1:16" x14ac:dyDescent="0.25">
      <c r="A8356" t="s">
        <v>2728</v>
      </c>
      <c r="B8356">
        <v>132</v>
      </c>
      <c r="C8356" t="s">
        <v>4374</v>
      </c>
      <c r="D8356" t="s">
        <v>184</v>
      </c>
      <c r="E8356" s="13">
        <v>200</v>
      </c>
      <c r="F8356" s="12">
        <v>3.79</v>
      </c>
      <c r="G8356" t="str">
        <f>IFERROR(INDEX(tEditais[Órgão],MATCH(tItens[[#This Row],[Edital]],tEditais[Edital],0)),"")</f>
        <v>MUNICIPIO DE PIRATININGA</v>
      </c>
      <c r="H8356" t="str">
        <f>IFERROR(INDEX(tEditais[UF],MATCH(tItens[[#This Row],[Edital]],tEditais[Edital],0)),"")</f>
        <v>SP</v>
      </c>
      <c r="I8356" s="11">
        <f>IFERROR(INDEX(tEditais[Encerramento],MATCH(tItens[[#This Row],[Edital]],tEditais[Edital],0)),"")</f>
        <v>46304.354166666664</v>
      </c>
      <c r="J8356" t="str">
        <f>IFERROR(INDEX(tProdutos[Classe],MATCH(tItens[[#This Row],[Produto]],tProdutos[Produto],0)),"produto não cadastrado")</f>
        <v>FORA</v>
      </c>
      <c r="K8356" s="12">
        <f>tItens[[#This Row],[Qtd]]*tItens[[#This Row],[Vlr unit]]</f>
        <v>758</v>
      </c>
      <c r="L8356" s="6">
        <f>IFERROR(IF(INDEX(tProdutos[Desconto homologado],MATCH(tItens[[#This Row],[Produto]],tProdutos[Produto],0))="",DescontoPadrao,INDEX(tProdutos[Desconto homologado],MATCH(tItens[[#This Row],[Produto]],tProdutos[Produto],0))),DescontoPadrao)</f>
        <v>0.363567906332742</v>
      </c>
      <c r="M8356" s="12">
        <f>tItens[[#This Row],[Valor]]*(1-tItens[[#This Row],[Desconto]])</f>
        <v>482.4155269997816</v>
      </c>
      <c r="N8356" t="str">
        <f>IFERROR(INDEX(tProdutos[Foco],MATCH(tItens[[#This Row],[Produto]],tProdutos[Produto],0)),"Não")</f>
        <v>Não</v>
      </c>
      <c r="O8356" t="str">
        <f>IFERROR(INDEX(tEditais[SRP],MATCH(tItens[[#This Row],[Edital]],tEditais[Edital],0)),"Não")</f>
        <v>Sim</v>
      </c>
      <c r="P8356" s="4">
        <f>IF(COUNTIFS(INDEX(tItens[Edital],1):tItens[[#This Row],[Edital]],tItens[[#This Row],[Edital]],INDEX(tItens[Produto],1):tItens[[#This Row],[Produto]],tItens[[#This Row],[Produto]])=1,1,0)</f>
        <v>0</v>
      </c>
    </row>
    <row r="8357" spans="1:16" x14ac:dyDescent="0.25">
      <c r="A8357" t="s">
        <v>2728</v>
      </c>
      <c r="B8357">
        <v>133</v>
      </c>
      <c r="C8357" t="s">
        <v>3571</v>
      </c>
      <c r="D8357" t="s">
        <v>253</v>
      </c>
      <c r="E8357" s="13">
        <v>100</v>
      </c>
      <c r="F8357" s="12">
        <v>2.86</v>
      </c>
      <c r="G8357" t="str">
        <f>IFERROR(INDEX(tEditais[Órgão],MATCH(tItens[[#This Row],[Edital]],tEditais[Edital],0)),"")</f>
        <v>MUNICIPIO DE PIRATININGA</v>
      </c>
      <c r="H8357" t="str">
        <f>IFERROR(INDEX(tEditais[UF],MATCH(tItens[[#This Row],[Edital]],tEditais[Edital],0)),"")</f>
        <v>SP</v>
      </c>
      <c r="I8357" s="11">
        <f>IFERROR(INDEX(tEditais[Encerramento],MATCH(tItens[[#This Row],[Edital]],tEditais[Edital],0)),"")</f>
        <v>46304.354166666664</v>
      </c>
      <c r="J8357" t="str">
        <f>IFERROR(INDEX(tProdutos[Classe],MATCH(tItens[[#This Row],[Produto]],tProdutos[Produto],0)),"produto não cadastrado")</f>
        <v>FORA</v>
      </c>
      <c r="K8357" s="12">
        <f>tItens[[#This Row],[Qtd]]*tItens[[#This Row],[Vlr unit]]</f>
        <v>286</v>
      </c>
      <c r="L8357" s="6">
        <f>IFERROR(IF(INDEX(tProdutos[Desconto homologado],MATCH(tItens[[#This Row],[Produto]],tProdutos[Produto],0))="",DescontoPadrao,INDEX(tProdutos[Desconto homologado],MATCH(tItens[[#This Row],[Produto]],tProdutos[Produto],0))),DescontoPadrao)</f>
        <v>0.31735159817351599</v>
      </c>
      <c r="M8357" s="12">
        <f>tItens[[#This Row],[Valor]]*(1-tItens[[#This Row],[Desconto]])</f>
        <v>195.23744292237441</v>
      </c>
      <c r="N8357" t="str">
        <f>IFERROR(INDEX(tProdutos[Foco],MATCH(tItens[[#This Row],[Produto]],tProdutos[Produto],0)),"Não")</f>
        <v>Não</v>
      </c>
      <c r="O8357" t="str">
        <f>IFERROR(INDEX(tEditais[SRP],MATCH(tItens[[#This Row],[Edital]],tEditais[Edital],0)),"Não")</f>
        <v>Sim</v>
      </c>
      <c r="P8357" s="4">
        <f>IF(COUNTIFS(INDEX(tItens[Edital],1):tItens[[#This Row],[Edital]],tItens[[#This Row],[Edital]],INDEX(tItens[Produto],1):tItens[[#This Row],[Produto]],tItens[[#This Row],[Produto]])=1,1,0)</f>
        <v>1</v>
      </c>
    </row>
    <row r="8358" spans="1:16" x14ac:dyDescent="0.25">
      <c r="A8358" t="s">
        <v>2728</v>
      </c>
      <c r="B8358">
        <v>134</v>
      </c>
      <c r="C8358" t="s">
        <v>10806</v>
      </c>
      <c r="D8358" t="s">
        <v>253</v>
      </c>
      <c r="E8358" s="13">
        <v>50</v>
      </c>
      <c r="F8358" s="12">
        <v>3.52</v>
      </c>
      <c r="G8358" t="str">
        <f>IFERROR(INDEX(tEditais[Órgão],MATCH(tItens[[#This Row],[Edital]],tEditais[Edital],0)),"")</f>
        <v>MUNICIPIO DE PIRATININGA</v>
      </c>
      <c r="H8358" t="str">
        <f>IFERROR(INDEX(tEditais[UF],MATCH(tItens[[#This Row],[Edital]],tEditais[Edital],0)),"")</f>
        <v>SP</v>
      </c>
      <c r="I8358" s="11">
        <f>IFERROR(INDEX(tEditais[Encerramento],MATCH(tItens[[#This Row],[Edital]],tEditais[Edital],0)),"")</f>
        <v>46304.354166666664</v>
      </c>
      <c r="J8358" t="str">
        <f>IFERROR(INDEX(tProdutos[Classe],MATCH(tItens[[#This Row],[Produto]],tProdutos[Produto],0)),"produto não cadastrado")</f>
        <v>FORA</v>
      </c>
      <c r="K8358" s="12">
        <f>tItens[[#This Row],[Qtd]]*tItens[[#This Row],[Vlr unit]]</f>
        <v>176</v>
      </c>
      <c r="L8358" s="6">
        <f>IFERROR(IF(INDEX(tProdutos[Desconto homologado],MATCH(tItens[[#This Row],[Produto]],tProdutos[Produto],0))="",DescontoPadrao,INDEX(tProdutos[Desconto homologado],MATCH(tItens[[#This Row],[Produto]],tProdutos[Produto],0))),DescontoPadrao)</f>
        <v>0.31735159817351599</v>
      </c>
      <c r="M8358" s="12">
        <f>tItens[[#This Row],[Valor]]*(1-tItens[[#This Row],[Desconto]])</f>
        <v>120.14611872146119</v>
      </c>
      <c r="N8358" t="str">
        <f>IFERROR(INDEX(tProdutos[Foco],MATCH(tItens[[#This Row],[Produto]],tProdutos[Produto],0)),"Não")</f>
        <v>Não</v>
      </c>
      <c r="O8358" t="str">
        <f>IFERROR(INDEX(tEditais[SRP],MATCH(tItens[[#This Row],[Edital]],tEditais[Edital],0)),"Não")</f>
        <v>Sim</v>
      </c>
      <c r="P8358" s="4">
        <f>IF(COUNTIFS(INDEX(tItens[Edital],1):tItens[[#This Row],[Edital]],tItens[[#This Row],[Edital]],INDEX(tItens[Produto],1):tItens[[#This Row],[Produto]],tItens[[#This Row],[Produto]])=1,1,0)</f>
        <v>0</v>
      </c>
    </row>
    <row r="8359" spans="1:16" x14ac:dyDescent="0.25">
      <c r="A8359" t="s">
        <v>2728</v>
      </c>
      <c r="B8359">
        <v>135</v>
      </c>
      <c r="C8359" t="s">
        <v>10807</v>
      </c>
      <c r="D8359" t="s">
        <v>120</v>
      </c>
      <c r="E8359" s="13">
        <v>3500</v>
      </c>
      <c r="F8359" s="12">
        <v>0.83</v>
      </c>
      <c r="G8359" t="str">
        <f>IFERROR(INDEX(tEditais[Órgão],MATCH(tItens[[#This Row],[Edital]],tEditais[Edital],0)),"")</f>
        <v>MUNICIPIO DE PIRATININGA</v>
      </c>
      <c r="H8359" t="str">
        <f>IFERROR(INDEX(tEditais[UF],MATCH(tItens[[#This Row],[Edital]],tEditais[Edital],0)),"")</f>
        <v>SP</v>
      </c>
      <c r="I8359" s="11">
        <f>IFERROR(INDEX(tEditais[Encerramento],MATCH(tItens[[#This Row],[Edital]],tEditais[Edital],0)),"")</f>
        <v>46304.354166666664</v>
      </c>
      <c r="J8359" t="str">
        <f>IFERROR(INDEX(tProdutos[Classe],MATCH(tItens[[#This Row],[Produto]],tProdutos[Produto],0)),"produto não cadastrado")</f>
        <v>DISPUTADO</v>
      </c>
      <c r="K8359" s="12">
        <f>tItens[[#This Row],[Qtd]]*tItens[[#This Row],[Vlr unit]]</f>
        <v>2905</v>
      </c>
      <c r="L8359" s="6">
        <f>IFERROR(IF(INDEX(tProdutos[Desconto homologado],MATCH(tItens[[#This Row],[Produto]],tProdutos[Produto],0))="",DescontoPadrao,INDEX(tProdutos[Desconto homologado],MATCH(tItens[[#This Row],[Produto]],tProdutos[Produto],0))),DescontoPadrao)</f>
        <v>0.40909090909090901</v>
      </c>
      <c r="M8359" s="12">
        <f>tItens[[#This Row],[Valor]]*(1-tItens[[#This Row],[Desconto]])</f>
        <v>1716.5909090909095</v>
      </c>
      <c r="N8359" t="str">
        <f>IFERROR(INDEX(tProdutos[Foco],MATCH(tItens[[#This Row],[Produto]],tProdutos[Produto],0)),"Não")</f>
        <v>Não</v>
      </c>
      <c r="O8359" t="str">
        <f>IFERROR(INDEX(tEditais[SRP],MATCH(tItens[[#This Row],[Edital]],tEditais[Edital],0)),"Não")</f>
        <v>Sim</v>
      </c>
      <c r="P8359" s="4">
        <f>IF(COUNTIFS(INDEX(tItens[Edital],1):tItens[[#This Row],[Edital]],tItens[[#This Row],[Edital]],INDEX(tItens[Produto],1):tItens[[#This Row],[Produto]],tItens[[#This Row],[Produto]])=1,1,0)</f>
        <v>1</v>
      </c>
    </row>
    <row r="8360" spans="1:16" x14ac:dyDescent="0.25">
      <c r="A8360" t="s">
        <v>2728</v>
      </c>
      <c r="B8360">
        <v>138</v>
      </c>
      <c r="C8360" t="s">
        <v>10808</v>
      </c>
      <c r="D8360" t="s">
        <v>343</v>
      </c>
      <c r="E8360" s="13">
        <v>1200</v>
      </c>
      <c r="F8360" s="12">
        <v>2.42</v>
      </c>
      <c r="G8360" t="str">
        <f>IFERROR(INDEX(tEditais[Órgão],MATCH(tItens[[#This Row],[Edital]],tEditais[Edital],0)),"")</f>
        <v>MUNICIPIO DE PIRATININGA</v>
      </c>
      <c r="H8360" t="str">
        <f>IFERROR(INDEX(tEditais[UF],MATCH(tItens[[#This Row],[Edital]],tEditais[Edital],0)),"")</f>
        <v>SP</v>
      </c>
      <c r="I8360" s="11">
        <f>IFERROR(INDEX(tEditais[Encerramento],MATCH(tItens[[#This Row],[Edital]],tEditais[Edital],0)),"")</f>
        <v>46304.354166666664</v>
      </c>
      <c r="J8360" t="str">
        <f>IFERROR(INDEX(tProdutos[Classe],MATCH(tItens[[#This Row],[Produto]],tProdutos[Produto],0)),"produto não cadastrado")</f>
        <v>FORA</v>
      </c>
      <c r="K8360" s="12">
        <f>tItens[[#This Row],[Qtd]]*tItens[[#This Row],[Vlr unit]]</f>
        <v>2904</v>
      </c>
      <c r="L8360" s="6">
        <f>IFERROR(IF(INDEX(tProdutos[Desconto homologado],MATCH(tItens[[#This Row],[Produto]],tProdutos[Produto],0))="",DescontoPadrao,INDEX(tProdutos[Desconto homologado],MATCH(tItens[[#This Row],[Produto]],tProdutos[Produto],0))),DescontoPadrao)</f>
        <v>0.35412234042553198</v>
      </c>
      <c r="M8360" s="12">
        <f>tItens[[#This Row],[Valor]]*(1-tItens[[#This Row],[Desconto]])</f>
        <v>1875.628723404255</v>
      </c>
      <c r="N8360" t="str">
        <f>IFERROR(INDEX(tProdutos[Foco],MATCH(tItens[[#This Row],[Produto]],tProdutos[Produto],0)),"Não")</f>
        <v>Não</v>
      </c>
      <c r="O8360" t="str">
        <f>IFERROR(INDEX(tEditais[SRP],MATCH(tItens[[#This Row],[Edital]],tEditais[Edital],0)),"Não")</f>
        <v>Sim</v>
      </c>
      <c r="P8360" s="4">
        <f>IF(COUNTIFS(INDEX(tItens[Edital],1):tItens[[#This Row],[Edital]],tItens[[#This Row],[Edital]],INDEX(tItens[Produto],1):tItens[[#This Row],[Produto]],tItens[[#This Row],[Produto]])=1,1,0)</f>
        <v>1</v>
      </c>
    </row>
    <row r="8361" spans="1:16" x14ac:dyDescent="0.25">
      <c r="A8361" t="s">
        <v>2728</v>
      </c>
      <c r="B8361">
        <v>139</v>
      </c>
      <c r="C8361" t="s">
        <v>10809</v>
      </c>
      <c r="D8361" t="s">
        <v>343</v>
      </c>
      <c r="E8361" s="13">
        <v>2500</v>
      </c>
      <c r="F8361" s="12">
        <v>2.42</v>
      </c>
      <c r="G8361" t="str">
        <f>IFERROR(INDEX(tEditais[Órgão],MATCH(tItens[[#This Row],[Edital]],tEditais[Edital],0)),"")</f>
        <v>MUNICIPIO DE PIRATININGA</v>
      </c>
      <c r="H8361" t="str">
        <f>IFERROR(INDEX(tEditais[UF],MATCH(tItens[[#This Row],[Edital]],tEditais[Edital],0)),"")</f>
        <v>SP</v>
      </c>
      <c r="I8361" s="11">
        <f>IFERROR(INDEX(tEditais[Encerramento],MATCH(tItens[[#This Row],[Edital]],tEditais[Edital],0)),"")</f>
        <v>46304.354166666664</v>
      </c>
      <c r="J8361" t="str">
        <f>IFERROR(INDEX(tProdutos[Classe],MATCH(tItens[[#This Row],[Produto]],tProdutos[Produto],0)),"produto não cadastrado")</f>
        <v>FORA</v>
      </c>
      <c r="K8361" s="12">
        <f>tItens[[#This Row],[Qtd]]*tItens[[#This Row],[Vlr unit]]</f>
        <v>6050</v>
      </c>
      <c r="L8361" s="6">
        <f>IFERROR(IF(INDEX(tProdutos[Desconto homologado],MATCH(tItens[[#This Row],[Produto]],tProdutos[Produto],0))="",DescontoPadrao,INDEX(tProdutos[Desconto homologado],MATCH(tItens[[#This Row],[Produto]],tProdutos[Produto],0))),DescontoPadrao)</f>
        <v>0.35412234042553198</v>
      </c>
      <c r="M8361" s="12">
        <f>tItens[[#This Row],[Valor]]*(1-tItens[[#This Row],[Desconto]])</f>
        <v>3907.5598404255311</v>
      </c>
      <c r="N8361" t="str">
        <f>IFERROR(INDEX(tProdutos[Foco],MATCH(tItens[[#This Row],[Produto]],tProdutos[Produto],0)),"Não")</f>
        <v>Não</v>
      </c>
      <c r="O8361" t="str">
        <f>IFERROR(INDEX(tEditais[SRP],MATCH(tItens[[#This Row],[Edital]],tEditais[Edital],0)),"Não")</f>
        <v>Sim</v>
      </c>
      <c r="P8361" s="4">
        <f>IF(COUNTIFS(INDEX(tItens[Edital],1):tItens[[#This Row],[Edital]],tItens[[#This Row],[Edital]],INDEX(tItens[Produto],1):tItens[[#This Row],[Produto]],tItens[[#This Row],[Produto]])=1,1,0)</f>
        <v>0</v>
      </c>
    </row>
    <row r="8362" spans="1:16" x14ac:dyDescent="0.25">
      <c r="A8362" t="s">
        <v>2728</v>
      </c>
      <c r="B8362">
        <v>140</v>
      </c>
      <c r="C8362" t="s">
        <v>10810</v>
      </c>
      <c r="D8362" t="s">
        <v>343</v>
      </c>
      <c r="E8362" s="13">
        <v>1000</v>
      </c>
      <c r="F8362" s="12">
        <v>2.74</v>
      </c>
      <c r="G8362" t="str">
        <f>IFERROR(INDEX(tEditais[Órgão],MATCH(tItens[[#This Row],[Edital]],tEditais[Edital],0)),"")</f>
        <v>MUNICIPIO DE PIRATININGA</v>
      </c>
      <c r="H8362" t="str">
        <f>IFERROR(INDEX(tEditais[UF],MATCH(tItens[[#This Row],[Edital]],tEditais[Edital],0)),"")</f>
        <v>SP</v>
      </c>
      <c r="I8362" s="11">
        <f>IFERROR(INDEX(tEditais[Encerramento],MATCH(tItens[[#This Row],[Edital]],tEditais[Edital],0)),"")</f>
        <v>46304.354166666664</v>
      </c>
      <c r="J8362" t="str">
        <f>IFERROR(INDEX(tProdutos[Classe],MATCH(tItens[[#This Row],[Produto]],tProdutos[Produto],0)),"produto não cadastrado")</f>
        <v>FORA</v>
      </c>
      <c r="K8362" s="12">
        <f>tItens[[#This Row],[Qtd]]*tItens[[#This Row],[Vlr unit]]</f>
        <v>2740</v>
      </c>
      <c r="L8362" s="6">
        <f>IFERROR(IF(INDEX(tProdutos[Desconto homologado],MATCH(tItens[[#This Row],[Produto]],tProdutos[Produto],0))="",DescontoPadrao,INDEX(tProdutos[Desconto homologado],MATCH(tItens[[#This Row],[Produto]],tProdutos[Produto],0))),DescontoPadrao)</f>
        <v>0.35412234042553198</v>
      </c>
      <c r="M8362" s="12">
        <f>tItens[[#This Row],[Valor]]*(1-tItens[[#This Row],[Desconto]])</f>
        <v>1769.7047872340422</v>
      </c>
      <c r="N8362" t="str">
        <f>IFERROR(INDEX(tProdutos[Foco],MATCH(tItens[[#This Row],[Produto]],tProdutos[Produto],0)),"Não")</f>
        <v>Não</v>
      </c>
      <c r="O8362" t="str">
        <f>IFERROR(INDEX(tEditais[SRP],MATCH(tItens[[#This Row],[Edital]],tEditais[Edital],0)),"Não")</f>
        <v>Sim</v>
      </c>
      <c r="P8362" s="4">
        <f>IF(COUNTIFS(INDEX(tItens[Edital],1):tItens[[#This Row],[Edital]],tItens[[#This Row],[Edital]],INDEX(tItens[Produto],1):tItens[[#This Row],[Produto]],tItens[[#This Row],[Produto]])=1,1,0)</f>
        <v>0</v>
      </c>
    </row>
    <row r="8363" spans="1:16" x14ac:dyDescent="0.25">
      <c r="A8363" t="s">
        <v>2728</v>
      </c>
      <c r="B8363">
        <v>147</v>
      </c>
      <c r="C8363" t="s">
        <v>10811</v>
      </c>
      <c r="D8363" t="s">
        <v>494</v>
      </c>
      <c r="E8363" s="13">
        <v>20</v>
      </c>
      <c r="F8363" s="12">
        <v>22.2</v>
      </c>
      <c r="G8363" t="str">
        <f>IFERROR(INDEX(tEditais[Órgão],MATCH(tItens[[#This Row],[Edital]],tEditais[Edital],0)),"")</f>
        <v>MUNICIPIO DE PIRATININGA</v>
      </c>
      <c r="H8363" t="str">
        <f>IFERROR(INDEX(tEditais[UF],MATCH(tItens[[#This Row],[Edital]],tEditais[Edital],0)),"")</f>
        <v>SP</v>
      </c>
      <c r="I8363" s="11">
        <f>IFERROR(INDEX(tEditais[Encerramento],MATCH(tItens[[#This Row],[Edital]],tEditais[Edital],0)),"")</f>
        <v>46304.354166666664</v>
      </c>
      <c r="J8363" t="str">
        <f>IFERROR(INDEX(tProdutos[Classe],MATCH(tItens[[#This Row],[Produto]],tProdutos[Produto],0)),"produto não cadastrado")</f>
        <v>FILA REBASE</v>
      </c>
      <c r="K8363" s="12">
        <f>tItens[[#This Row],[Qtd]]*tItens[[#This Row],[Vlr unit]]</f>
        <v>444</v>
      </c>
      <c r="L8363" s="6">
        <f>IFERROR(IF(INDEX(tProdutos[Desconto homologado],MATCH(tItens[[#This Row],[Produto]],tProdutos[Produto],0))="",DescontoPadrao,INDEX(tProdutos[Desconto homologado],MATCH(tItens[[#This Row],[Produto]],tProdutos[Produto],0))),DescontoPadrao)</f>
        <v>0.253736324829619</v>
      </c>
      <c r="M8363" s="12">
        <f>tItens[[#This Row],[Valor]]*(1-tItens[[#This Row],[Desconto]])</f>
        <v>331.3410717756492</v>
      </c>
      <c r="N8363" t="str">
        <f>IFERROR(INDEX(tProdutos[Foco],MATCH(tItens[[#This Row],[Produto]],tProdutos[Produto],0)),"Não")</f>
        <v>Não</v>
      </c>
      <c r="O8363" t="str">
        <f>IFERROR(INDEX(tEditais[SRP],MATCH(tItens[[#This Row],[Edital]],tEditais[Edital],0)),"Não")</f>
        <v>Sim</v>
      </c>
      <c r="P8363" s="4">
        <f>IF(COUNTIFS(INDEX(tItens[Edital],1):tItens[[#This Row],[Edital]],tItens[[#This Row],[Edital]],INDEX(tItens[Produto],1):tItens[[#This Row],[Produto]],tItens[[#This Row],[Produto]])=1,1,0)</f>
        <v>1</v>
      </c>
    </row>
    <row r="8364" spans="1:16" x14ac:dyDescent="0.25">
      <c r="A8364" t="s">
        <v>2728</v>
      </c>
      <c r="B8364">
        <v>149</v>
      </c>
      <c r="C8364" t="s">
        <v>10812</v>
      </c>
      <c r="D8364" t="s">
        <v>411</v>
      </c>
      <c r="E8364" s="13">
        <v>50</v>
      </c>
      <c r="F8364" s="12">
        <v>30.96</v>
      </c>
      <c r="G8364" t="str">
        <f>IFERROR(INDEX(tEditais[Órgão],MATCH(tItens[[#This Row],[Edital]],tEditais[Edital],0)),"")</f>
        <v>MUNICIPIO DE PIRATININGA</v>
      </c>
      <c r="H8364" t="str">
        <f>IFERROR(INDEX(tEditais[UF],MATCH(tItens[[#This Row],[Edital]],tEditais[Edital],0)),"")</f>
        <v>SP</v>
      </c>
      <c r="I8364" s="11">
        <f>IFERROR(INDEX(tEditais[Encerramento],MATCH(tItens[[#This Row],[Edital]],tEditais[Edital],0)),"")</f>
        <v>46304.354166666664</v>
      </c>
      <c r="J8364" t="str">
        <f>IFERROR(INDEX(tProdutos[Classe],MATCH(tItens[[#This Row],[Produto]],tProdutos[Produto],0)),"produto não cadastrado")</f>
        <v>FORA</v>
      </c>
      <c r="K8364" s="12">
        <f>tItens[[#This Row],[Qtd]]*tItens[[#This Row],[Vlr unit]]</f>
        <v>1548</v>
      </c>
      <c r="L8364" s="6">
        <f>IFERROR(IF(INDEX(tProdutos[Desconto homologado],MATCH(tItens[[#This Row],[Produto]],tProdutos[Produto],0))="",DescontoPadrao,INDEX(tProdutos[Desconto homologado],MATCH(tItens[[#This Row],[Produto]],tProdutos[Produto],0))),DescontoPadrao)</f>
        <v>0.50029835957199398</v>
      </c>
      <c r="M8364" s="12">
        <f>tItens[[#This Row],[Valor]]*(1-tItens[[#This Row],[Desconto]])</f>
        <v>773.53813938255337</v>
      </c>
      <c r="N8364" t="str">
        <f>IFERROR(INDEX(tProdutos[Foco],MATCH(tItens[[#This Row],[Produto]],tProdutos[Produto],0)),"Não")</f>
        <v>Não</v>
      </c>
      <c r="O8364" t="str">
        <f>IFERROR(INDEX(tEditais[SRP],MATCH(tItens[[#This Row],[Edital]],tEditais[Edital],0)),"Não")</f>
        <v>Sim</v>
      </c>
      <c r="P8364" s="4">
        <f>IF(COUNTIFS(INDEX(tItens[Edital],1):tItens[[#This Row],[Edital]],tItens[[#This Row],[Edital]],INDEX(tItens[Produto],1):tItens[[#This Row],[Produto]],tItens[[#This Row],[Produto]])=1,1,0)</f>
        <v>1</v>
      </c>
    </row>
    <row r="8365" spans="1:16" x14ac:dyDescent="0.25">
      <c r="A8365" t="s">
        <v>2728</v>
      </c>
      <c r="B8365">
        <v>151</v>
      </c>
      <c r="C8365" t="s">
        <v>10813</v>
      </c>
      <c r="D8365" t="s">
        <v>494</v>
      </c>
      <c r="E8365" s="13">
        <v>20</v>
      </c>
      <c r="F8365" s="12">
        <v>39.42</v>
      </c>
      <c r="G8365" t="str">
        <f>IFERROR(INDEX(tEditais[Órgão],MATCH(tItens[[#This Row],[Edital]],tEditais[Edital],0)),"")</f>
        <v>MUNICIPIO DE PIRATININGA</v>
      </c>
      <c r="H8365" t="str">
        <f>IFERROR(INDEX(tEditais[UF],MATCH(tItens[[#This Row],[Edital]],tEditais[Edital],0)),"")</f>
        <v>SP</v>
      </c>
      <c r="I8365" s="11">
        <f>IFERROR(INDEX(tEditais[Encerramento],MATCH(tItens[[#This Row],[Edital]],tEditais[Edital],0)),"")</f>
        <v>46304.354166666664</v>
      </c>
      <c r="J8365" t="str">
        <f>IFERROR(INDEX(tProdutos[Classe],MATCH(tItens[[#This Row],[Produto]],tProdutos[Produto],0)),"produto não cadastrado")</f>
        <v>FILA REBASE</v>
      </c>
      <c r="K8365" s="12">
        <f>tItens[[#This Row],[Qtd]]*tItens[[#This Row],[Vlr unit]]</f>
        <v>788.40000000000009</v>
      </c>
      <c r="L8365" s="6">
        <f>IFERROR(IF(INDEX(tProdutos[Desconto homologado],MATCH(tItens[[#This Row],[Produto]],tProdutos[Produto],0))="",DescontoPadrao,INDEX(tProdutos[Desconto homologado],MATCH(tItens[[#This Row],[Produto]],tProdutos[Produto],0))),DescontoPadrao)</f>
        <v>0.253736324829619</v>
      </c>
      <c r="M8365" s="12">
        <f>tItens[[#This Row],[Valor]]*(1-tItens[[#This Row],[Desconto]])</f>
        <v>588.35428150432847</v>
      </c>
      <c r="N8365" t="str">
        <f>IFERROR(INDEX(tProdutos[Foco],MATCH(tItens[[#This Row],[Produto]],tProdutos[Produto],0)),"Não")</f>
        <v>Não</v>
      </c>
      <c r="O8365" t="str">
        <f>IFERROR(INDEX(tEditais[SRP],MATCH(tItens[[#This Row],[Edital]],tEditais[Edital],0)),"Não")</f>
        <v>Sim</v>
      </c>
      <c r="P8365" s="4">
        <f>IF(COUNTIFS(INDEX(tItens[Edital],1):tItens[[#This Row],[Edital]],tItens[[#This Row],[Edital]],INDEX(tItens[Produto],1):tItens[[#This Row],[Produto]],tItens[[#This Row],[Produto]])=1,1,0)</f>
        <v>0</v>
      </c>
    </row>
    <row r="8366" spans="1:16" x14ac:dyDescent="0.25">
      <c r="A8366" t="s">
        <v>2728</v>
      </c>
      <c r="B8366">
        <v>152</v>
      </c>
      <c r="C8366" t="s">
        <v>10814</v>
      </c>
      <c r="D8366" t="s">
        <v>494</v>
      </c>
      <c r="E8366" s="13">
        <v>20</v>
      </c>
      <c r="F8366" s="12">
        <v>76.84</v>
      </c>
      <c r="G8366" t="str">
        <f>IFERROR(INDEX(tEditais[Órgão],MATCH(tItens[[#This Row],[Edital]],tEditais[Edital],0)),"")</f>
        <v>MUNICIPIO DE PIRATININGA</v>
      </c>
      <c r="H8366" t="str">
        <f>IFERROR(INDEX(tEditais[UF],MATCH(tItens[[#This Row],[Edital]],tEditais[Edital],0)),"")</f>
        <v>SP</v>
      </c>
      <c r="I8366" s="11">
        <f>IFERROR(INDEX(tEditais[Encerramento],MATCH(tItens[[#This Row],[Edital]],tEditais[Edital],0)),"")</f>
        <v>46304.354166666664</v>
      </c>
      <c r="J8366" t="str">
        <f>IFERROR(INDEX(tProdutos[Classe],MATCH(tItens[[#This Row],[Produto]],tProdutos[Produto],0)),"produto não cadastrado")</f>
        <v>FILA REBASE</v>
      </c>
      <c r="K8366" s="12">
        <f>tItens[[#This Row],[Qtd]]*tItens[[#This Row],[Vlr unit]]</f>
        <v>1536.8000000000002</v>
      </c>
      <c r="L8366" s="6">
        <f>IFERROR(IF(INDEX(tProdutos[Desconto homologado],MATCH(tItens[[#This Row],[Produto]],tProdutos[Produto],0))="",DescontoPadrao,INDEX(tProdutos[Desconto homologado],MATCH(tItens[[#This Row],[Produto]],tProdutos[Produto],0))),DescontoPadrao)</f>
        <v>0.253736324829619</v>
      </c>
      <c r="M8366" s="12">
        <f>tItens[[#This Row],[Valor]]*(1-tItens[[#This Row],[Desconto]])</f>
        <v>1146.8580160018416</v>
      </c>
      <c r="N8366" t="str">
        <f>IFERROR(INDEX(tProdutos[Foco],MATCH(tItens[[#This Row],[Produto]],tProdutos[Produto],0)),"Não")</f>
        <v>Não</v>
      </c>
      <c r="O8366" t="str">
        <f>IFERROR(INDEX(tEditais[SRP],MATCH(tItens[[#This Row],[Edital]],tEditais[Edital],0)),"Não")</f>
        <v>Sim</v>
      </c>
      <c r="P8366" s="4">
        <f>IF(COUNTIFS(INDEX(tItens[Edital],1):tItens[[#This Row],[Edital]],tItens[[#This Row],[Edital]],INDEX(tItens[Produto],1):tItens[[#This Row],[Produto]],tItens[[#This Row],[Produto]])=1,1,0)</f>
        <v>0</v>
      </c>
    </row>
    <row r="8367" spans="1:16" x14ac:dyDescent="0.25">
      <c r="A8367" t="s">
        <v>2728</v>
      </c>
      <c r="B8367">
        <v>159</v>
      </c>
      <c r="C8367" t="s">
        <v>10815</v>
      </c>
      <c r="D8367" t="s">
        <v>60</v>
      </c>
      <c r="E8367" s="13">
        <v>50</v>
      </c>
      <c r="F8367" s="12">
        <v>35.21</v>
      </c>
      <c r="G8367" t="str">
        <f>IFERROR(INDEX(tEditais[Órgão],MATCH(tItens[[#This Row],[Edital]],tEditais[Edital],0)),"")</f>
        <v>MUNICIPIO DE PIRATININGA</v>
      </c>
      <c r="H8367" t="str">
        <f>IFERROR(INDEX(tEditais[UF],MATCH(tItens[[#This Row],[Edital]],tEditais[Edital],0)),"")</f>
        <v>SP</v>
      </c>
      <c r="I8367" s="11">
        <f>IFERROR(INDEX(tEditais[Encerramento],MATCH(tItens[[#This Row],[Edital]],tEditais[Edital],0)),"")</f>
        <v>46304.354166666664</v>
      </c>
      <c r="J8367" t="str">
        <f>IFERROR(INDEX(tProdutos[Classe],MATCH(tItens[[#This Row],[Produto]],tProdutos[Produto],0)),"produto não cadastrado")</f>
        <v>NÚCLEO</v>
      </c>
      <c r="K8367" s="12">
        <f>tItens[[#This Row],[Qtd]]*tItens[[#This Row],[Vlr unit]]</f>
        <v>1760.5</v>
      </c>
      <c r="L8367" s="6">
        <f>IFERROR(IF(INDEX(tProdutos[Desconto homologado],MATCH(tItens[[#This Row],[Produto]],tProdutos[Produto],0))="",DescontoPadrao,INDEX(tProdutos[Desconto homologado],MATCH(tItens[[#This Row],[Produto]],tProdutos[Produto],0))),DescontoPadrao)</f>
        <v>0.23</v>
      </c>
      <c r="M8367" s="12">
        <f>tItens[[#This Row],[Valor]]*(1-tItens[[#This Row],[Desconto]])</f>
        <v>1355.585</v>
      </c>
      <c r="N8367" t="str">
        <f>IFERROR(INDEX(tProdutos[Foco],MATCH(tItens[[#This Row],[Produto]],tProdutos[Produto],0)),"Não")</f>
        <v>Sim</v>
      </c>
      <c r="O8367" t="str">
        <f>IFERROR(INDEX(tEditais[SRP],MATCH(tItens[[#This Row],[Edital]],tEditais[Edital],0)),"Não")</f>
        <v>Sim</v>
      </c>
      <c r="P8367" s="4">
        <f>IF(COUNTIFS(INDEX(tItens[Edital],1):tItens[[#This Row],[Edital]],tItens[[#This Row],[Edital]],INDEX(tItens[Produto],1):tItens[[#This Row],[Produto]],tItens[[#This Row],[Produto]])=1,1,0)</f>
        <v>1</v>
      </c>
    </row>
    <row r="8368" spans="1:16" x14ac:dyDescent="0.25">
      <c r="A8368" t="s">
        <v>2728</v>
      </c>
      <c r="B8368">
        <v>160</v>
      </c>
      <c r="C8368" t="s">
        <v>10816</v>
      </c>
      <c r="D8368" t="s">
        <v>458</v>
      </c>
      <c r="E8368" s="13">
        <v>500</v>
      </c>
      <c r="F8368" s="12">
        <v>0.51</v>
      </c>
      <c r="G8368" t="str">
        <f>IFERROR(INDEX(tEditais[Órgão],MATCH(tItens[[#This Row],[Edital]],tEditais[Edital],0)),"")</f>
        <v>MUNICIPIO DE PIRATININGA</v>
      </c>
      <c r="H8368" t="str">
        <f>IFERROR(INDEX(tEditais[UF],MATCH(tItens[[#This Row],[Edital]],tEditais[Edital],0)),"")</f>
        <v>SP</v>
      </c>
      <c r="I8368" s="11">
        <f>IFERROR(INDEX(tEditais[Encerramento],MATCH(tItens[[#This Row],[Edital]],tEditais[Edital],0)),"")</f>
        <v>46304.354166666664</v>
      </c>
      <c r="J8368" t="str">
        <f>IFERROR(INDEX(tProdutos[Classe],MATCH(tItens[[#This Row],[Produto]],tProdutos[Produto],0)),"produto não cadastrado")</f>
        <v>FILA REBASE</v>
      </c>
      <c r="K8368" s="12">
        <f>tItens[[#This Row],[Qtd]]*tItens[[#This Row],[Vlr unit]]</f>
        <v>255</v>
      </c>
      <c r="L8368" s="6">
        <f>IFERROR(IF(INDEX(tProdutos[Desconto homologado],MATCH(tItens[[#This Row],[Produto]],tProdutos[Produto],0))="",DescontoPadrao,INDEX(tProdutos[Desconto homologado],MATCH(tItens[[#This Row],[Produto]],tProdutos[Produto],0))),DescontoPadrao)</f>
        <v>0.33411214953271001</v>
      </c>
      <c r="M8368" s="12">
        <f>tItens[[#This Row],[Valor]]*(1-tItens[[#This Row],[Desconto]])</f>
        <v>169.80140186915895</v>
      </c>
      <c r="N8368" t="str">
        <f>IFERROR(INDEX(tProdutos[Foco],MATCH(tItens[[#This Row],[Produto]],tProdutos[Produto],0)),"Não")</f>
        <v>Não</v>
      </c>
      <c r="O8368" t="str">
        <f>IFERROR(INDEX(tEditais[SRP],MATCH(tItens[[#This Row],[Edital]],tEditais[Edital],0)),"Não")</f>
        <v>Sim</v>
      </c>
      <c r="P8368" s="4">
        <f>IF(COUNTIFS(INDEX(tItens[Edital],1):tItens[[#This Row],[Edital]],tItens[[#This Row],[Edital]],INDEX(tItens[Produto],1):tItens[[#This Row],[Produto]],tItens[[#This Row],[Produto]])=1,1,0)</f>
        <v>1</v>
      </c>
    </row>
    <row r="8369" spans="1:16" x14ac:dyDescent="0.25">
      <c r="A8369" t="s">
        <v>2728</v>
      </c>
      <c r="B8369">
        <v>161</v>
      </c>
      <c r="C8369" t="s">
        <v>10817</v>
      </c>
      <c r="D8369" t="s">
        <v>225</v>
      </c>
      <c r="E8369" s="13">
        <v>300</v>
      </c>
      <c r="F8369" s="12">
        <v>27.14</v>
      </c>
      <c r="G8369" t="str">
        <f>IFERROR(INDEX(tEditais[Órgão],MATCH(tItens[[#This Row],[Edital]],tEditais[Edital],0)),"")</f>
        <v>MUNICIPIO DE PIRATININGA</v>
      </c>
      <c r="H8369" t="str">
        <f>IFERROR(INDEX(tEditais[UF],MATCH(tItens[[#This Row],[Edital]],tEditais[Edital],0)),"")</f>
        <v>SP</v>
      </c>
      <c r="I8369" s="11">
        <f>IFERROR(INDEX(tEditais[Encerramento],MATCH(tItens[[#This Row],[Edital]],tEditais[Edital],0)),"")</f>
        <v>46304.354166666664</v>
      </c>
      <c r="J8369" t="str">
        <f>IFERROR(INDEX(tProdutos[Classe],MATCH(tItens[[#This Row],[Produto]],tProdutos[Produto],0)),"produto não cadastrado")</f>
        <v>FORA</v>
      </c>
      <c r="K8369" s="12">
        <f>tItens[[#This Row],[Qtd]]*tItens[[#This Row],[Vlr unit]]</f>
        <v>8142</v>
      </c>
      <c r="L8369" s="6">
        <f>IFERROR(IF(INDEX(tProdutos[Desconto homologado],MATCH(tItens[[#This Row],[Produto]],tProdutos[Produto],0))="",DescontoPadrao,INDEX(tProdutos[Desconto homologado],MATCH(tItens[[#This Row],[Produto]],tProdutos[Produto],0))),DescontoPadrao)</f>
        <v>0.27745664739884401</v>
      </c>
      <c r="M8369" s="12">
        <f>tItens[[#This Row],[Valor]]*(1-tItens[[#This Row],[Desconto]])</f>
        <v>5882.9479768786123</v>
      </c>
      <c r="N8369" t="str">
        <f>IFERROR(INDEX(tProdutos[Foco],MATCH(tItens[[#This Row],[Produto]],tProdutos[Produto],0)),"Não")</f>
        <v>Não</v>
      </c>
      <c r="O8369" t="str">
        <f>IFERROR(INDEX(tEditais[SRP],MATCH(tItens[[#This Row],[Edital]],tEditais[Edital],0)),"Não")</f>
        <v>Sim</v>
      </c>
      <c r="P8369" s="4">
        <f>IF(COUNTIFS(INDEX(tItens[Edital],1):tItens[[#This Row],[Edital]],tItens[[#This Row],[Edital]],INDEX(tItens[Produto],1):tItens[[#This Row],[Produto]],tItens[[#This Row],[Produto]])=1,1,0)</f>
        <v>1</v>
      </c>
    </row>
    <row r="8370" spans="1:16" x14ac:dyDescent="0.25">
      <c r="A8370" t="s">
        <v>2728</v>
      </c>
      <c r="B8370">
        <v>164</v>
      </c>
      <c r="C8370" t="s">
        <v>9457</v>
      </c>
      <c r="D8370" t="s">
        <v>233</v>
      </c>
      <c r="E8370" s="13">
        <v>20</v>
      </c>
      <c r="F8370" s="12">
        <v>12.7</v>
      </c>
      <c r="G8370" t="str">
        <f>IFERROR(INDEX(tEditais[Órgão],MATCH(tItens[[#This Row],[Edital]],tEditais[Edital],0)),"")</f>
        <v>MUNICIPIO DE PIRATININGA</v>
      </c>
      <c r="H8370" t="str">
        <f>IFERROR(INDEX(tEditais[UF],MATCH(tItens[[#This Row],[Edital]],tEditais[Edital],0)),"")</f>
        <v>SP</v>
      </c>
      <c r="I8370" s="11">
        <f>IFERROR(INDEX(tEditais[Encerramento],MATCH(tItens[[#This Row],[Edital]],tEditais[Edital],0)),"")</f>
        <v>46304.354166666664</v>
      </c>
      <c r="J8370" t="str">
        <f>IFERROR(INDEX(tProdutos[Classe],MATCH(tItens[[#This Row],[Produto]],tProdutos[Produto],0)),"produto não cadastrado")</f>
        <v>FORA</v>
      </c>
      <c r="K8370" s="12">
        <f>tItens[[#This Row],[Qtd]]*tItens[[#This Row],[Vlr unit]]</f>
        <v>254</v>
      </c>
      <c r="L8370" s="6">
        <f>IFERROR(IF(INDEX(tProdutos[Desconto homologado],MATCH(tItens[[#This Row],[Produto]],tProdutos[Produto],0))="",DescontoPadrao,INDEX(tProdutos[Desconto homologado],MATCH(tItens[[#This Row],[Produto]],tProdutos[Produto],0))),DescontoPadrao)</f>
        <v>0.246270084162204</v>
      </c>
      <c r="M8370" s="12">
        <f>tItens[[#This Row],[Valor]]*(1-tItens[[#This Row],[Desconto]])</f>
        <v>191.44739862280019</v>
      </c>
      <c r="N8370" t="str">
        <f>IFERROR(INDEX(tProdutos[Foco],MATCH(tItens[[#This Row],[Produto]],tProdutos[Produto],0)),"Não")</f>
        <v>Não</v>
      </c>
      <c r="O8370" t="str">
        <f>IFERROR(INDEX(tEditais[SRP],MATCH(tItens[[#This Row],[Edital]],tEditais[Edital],0)),"Não")</f>
        <v>Sim</v>
      </c>
      <c r="P8370" s="4">
        <f>IF(COUNTIFS(INDEX(tItens[Edital],1):tItens[[#This Row],[Edital]],tItens[[#This Row],[Edital]],INDEX(tItens[Produto],1):tItens[[#This Row],[Produto]],tItens[[#This Row],[Produto]])=1,1,0)</f>
        <v>1</v>
      </c>
    </row>
    <row r="8371" spans="1:16" x14ac:dyDescent="0.25">
      <c r="A8371" t="s">
        <v>2728</v>
      </c>
      <c r="B8371">
        <v>214</v>
      </c>
      <c r="C8371" t="s">
        <v>10818</v>
      </c>
      <c r="D8371" t="s">
        <v>267</v>
      </c>
      <c r="E8371" s="13">
        <v>800</v>
      </c>
      <c r="F8371" s="12">
        <v>10.06</v>
      </c>
      <c r="G8371" t="str">
        <f>IFERROR(INDEX(tEditais[Órgão],MATCH(tItens[[#This Row],[Edital]],tEditais[Edital],0)),"")</f>
        <v>MUNICIPIO DE PIRATININGA</v>
      </c>
      <c r="H8371" t="str">
        <f>IFERROR(INDEX(tEditais[UF],MATCH(tItens[[#This Row],[Edital]],tEditais[Edital],0)),"")</f>
        <v>SP</v>
      </c>
      <c r="I8371" s="11">
        <f>IFERROR(INDEX(tEditais[Encerramento],MATCH(tItens[[#This Row],[Edital]],tEditais[Edital],0)),"")</f>
        <v>46304.354166666664</v>
      </c>
      <c r="J8371" t="str">
        <f>IFERROR(INDEX(tProdutos[Classe],MATCH(tItens[[#This Row],[Produto]],tProdutos[Produto],0)),"produto não cadastrado")</f>
        <v>FORA</v>
      </c>
      <c r="K8371" s="12">
        <f>tItens[[#This Row],[Qtd]]*tItens[[#This Row],[Vlr unit]]</f>
        <v>8048</v>
      </c>
      <c r="L8371" s="6">
        <f>IFERROR(IF(INDEX(tProdutos[Desconto homologado],MATCH(tItens[[#This Row],[Produto]],tProdutos[Produto],0))="",DescontoPadrao,INDEX(tProdutos[Desconto homologado],MATCH(tItens[[#This Row],[Produto]],tProdutos[Produto],0))),DescontoPadrao)</f>
        <v>0.19963672657401599</v>
      </c>
      <c r="M8371" s="12">
        <f>tItens[[#This Row],[Valor]]*(1-tItens[[#This Row],[Desconto]])</f>
        <v>6441.3236245323196</v>
      </c>
      <c r="N8371" t="str">
        <f>IFERROR(INDEX(tProdutos[Foco],MATCH(tItens[[#This Row],[Produto]],tProdutos[Produto],0)),"Não")</f>
        <v>Não</v>
      </c>
      <c r="O8371" t="str">
        <f>IFERROR(INDEX(tEditais[SRP],MATCH(tItens[[#This Row],[Edital]],tEditais[Edital],0)),"Não")</f>
        <v>Sim</v>
      </c>
      <c r="P8371" s="4">
        <f>IF(COUNTIFS(INDEX(tItens[Edital],1):tItens[[#This Row],[Edital]],tItens[[#This Row],[Edital]],INDEX(tItens[Produto],1):tItens[[#This Row],[Produto]],tItens[[#This Row],[Produto]])=1,1,0)</f>
        <v>1</v>
      </c>
    </row>
    <row r="8372" spans="1:16" x14ac:dyDescent="0.25">
      <c r="A8372" t="s">
        <v>2733</v>
      </c>
      <c r="B8372">
        <v>3</v>
      </c>
      <c r="C8372" t="s">
        <v>10819</v>
      </c>
      <c r="D8372" t="s">
        <v>329</v>
      </c>
      <c r="E8372" s="13">
        <v>1200</v>
      </c>
      <c r="F8372" s="12">
        <v>2.11</v>
      </c>
      <c r="G8372" t="str">
        <f>IFERROR(INDEX(tEditais[Órgão],MATCH(tItens[[#This Row],[Edital]],tEditais[Edital],0)),"")</f>
        <v>MUNICIPIO DE ITANHAEM</v>
      </c>
      <c r="H8372" t="str">
        <f>IFERROR(INDEX(tEditais[UF],MATCH(tItens[[#This Row],[Edital]],tEditais[Edital],0)),"")</f>
        <v>SP</v>
      </c>
      <c r="I8372" s="11">
        <f>IFERROR(INDEX(tEditais[Encerramento],MATCH(tItens[[#This Row],[Edital]],tEditais[Edital],0)),"")</f>
        <v>46304.354166666664</v>
      </c>
      <c r="J8372" t="str">
        <f>IFERROR(INDEX(tProdutos[Classe],MATCH(tItens[[#This Row],[Produto]],tProdutos[Produto],0)),"produto não cadastrado")</f>
        <v>FORA</v>
      </c>
      <c r="K8372" s="12">
        <f>tItens[[#This Row],[Qtd]]*tItens[[#This Row],[Vlr unit]]</f>
        <v>2532</v>
      </c>
      <c r="L8372" s="6">
        <f>IFERROR(IF(INDEX(tProdutos[Desconto homologado],MATCH(tItens[[#This Row],[Produto]],tProdutos[Produto],0))="",DescontoPadrao,INDEX(tProdutos[Desconto homologado],MATCH(tItens[[#This Row],[Produto]],tProdutos[Produto],0))),DescontoPadrao)</f>
        <v>0.46441781031074703</v>
      </c>
      <c r="M8372" s="12">
        <f>tItens[[#This Row],[Valor]]*(1-tItens[[#This Row],[Desconto]])</f>
        <v>1356.0941042931886</v>
      </c>
      <c r="N8372" t="str">
        <f>IFERROR(INDEX(tProdutos[Foco],MATCH(tItens[[#This Row],[Produto]],tProdutos[Produto],0)),"Não")</f>
        <v>Não</v>
      </c>
      <c r="O8372" t="str">
        <f>IFERROR(INDEX(tEditais[SRP],MATCH(tItens[[#This Row],[Edital]],tEditais[Edital],0)),"Não")</f>
        <v>Sim</v>
      </c>
      <c r="P8372" s="4">
        <f>IF(COUNTIFS(INDEX(tItens[Edital],1):tItens[[#This Row],[Edital]],tItens[[#This Row],[Edital]],INDEX(tItens[Produto],1):tItens[[#This Row],[Produto]],tItens[[#This Row],[Produto]])=1,1,0)</f>
        <v>1</v>
      </c>
    </row>
    <row r="8373" spans="1:16" x14ac:dyDescent="0.25">
      <c r="A8373" t="s">
        <v>2733</v>
      </c>
      <c r="B8373">
        <v>8</v>
      </c>
      <c r="C8373" t="s">
        <v>10820</v>
      </c>
      <c r="D8373" t="s">
        <v>142</v>
      </c>
      <c r="E8373" s="13">
        <v>200</v>
      </c>
      <c r="F8373" s="12">
        <v>5.69</v>
      </c>
      <c r="G8373" t="str">
        <f>IFERROR(INDEX(tEditais[Órgão],MATCH(tItens[[#This Row],[Edital]],tEditais[Edital],0)),"")</f>
        <v>MUNICIPIO DE ITANHAEM</v>
      </c>
      <c r="H8373" t="str">
        <f>IFERROR(INDEX(tEditais[UF],MATCH(tItens[[#This Row],[Edital]],tEditais[Edital],0)),"")</f>
        <v>SP</v>
      </c>
      <c r="I8373" s="11">
        <f>IFERROR(INDEX(tEditais[Encerramento],MATCH(tItens[[#This Row],[Edital]],tEditais[Edital],0)),"")</f>
        <v>46304.354166666664</v>
      </c>
      <c r="J8373" t="str">
        <f>IFERROR(INDEX(tProdutos[Classe],MATCH(tItens[[#This Row],[Produto]],tProdutos[Produto],0)),"produto não cadastrado")</f>
        <v>DISPUTADO</v>
      </c>
      <c r="K8373" s="12">
        <f>tItens[[#This Row],[Qtd]]*tItens[[#This Row],[Vlr unit]]</f>
        <v>1138</v>
      </c>
      <c r="L8373" s="6">
        <f>IFERROR(IF(INDEX(tProdutos[Desconto homologado],MATCH(tItens[[#This Row],[Produto]],tProdutos[Produto],0))="",DescontoPadrao,INDEX(tProdutos[Desconto homologado],MATCH(tItens[[#This Row],[Produto]],tProdutos[Produto],0))),DescontoPadrao)</f>
        <v>0.37093619495691699</v>
      </c>
      <c r="M8373" s="12">
        <f>tItens[[#This Row],[Valor]]*(1-tItens[[#This Row],[Desconto]])</f>
        <v>715.8746101390285</v>
      </c>
      <c r="N8373" t="str">
        <f>IFERROR(INDEX(tProdutos[Foco],MATCH(tItens[[#This Row],[Produto]],tProdutos[Produto],0)),"Não")</f>
        <v>Não</v>
      </c>
      <c r="O8373" t="str">
        <f>IFERROR(INDEX(tEditais[SRP],MATCH(tItens[[#This Row],[Edital]],tEditais[Edital],0)),"Não")</f>
        <v>Sim</v>
      </c>
      <c r="P8373" s="4">
        <f>IF(COUNTIFS(INDEX(tItens[Edital],1):tItens[[#This Row],[Edital]],tItens[[#This Row],[Edital]],INDEX(tItens[Produto],1):tItens[[#This Row],[Produto]],tItens[[#This Row],[Produto]])=1,1,0)</f>
        <v>1</v>
      </c>
    </row>
    <row r="8374" spans="1:16" x14ac:dyDescent="0.25">
      <c r="A8374" t="s">
        <v>2733</v>
      </c>
      <c r="B8374">
        <v>13</v>
      </c>
      <c r="C8374" t="s">
        <v>10821</v>
      </c>
      <c r="D8374" t="s">
        <v>56</v>
      </c>
      <c r="E8374" s="13">
        <v>8000</v>
      </c>
      <c r="F8374" s="12">
        <v>0.34</v>
      </c>
      <c r="G8374" t="str">
        <f>IFERROR(INDEX(tEditais[Órgão],MATCH(tItens[[#This Row],[Edital]],tEditais[Edital],0)),"")</f>
        <v>MUNICIPIO DE ITANHAEM</v>
      </c>
      <c r="H8374" t="str">
        <f>IFERROR(INDEX(tEditais[UF],MATCH(tItens[[#This Row],[Edital]],tEditais[Edital],0)),"")</f>
        <v>SP</v>
      </c>
      <c r="I8374" s="11">
        <f>IFERROR(INDEX(tEditais[Encerramento],MATCH(tItens[[#This Row],[Edital]],tEditais[Edital],0)),"")</f>
        <v>46304.354166666664</v>
      </c>
      <c r="J8374" t="str">
        <f>IFERROR(INDEX(tProdutos[Classe],MATCH(tItens[[#This Row],[Produto]],tProdutos[Produto],0)),"produto não cadastrado")</f>
        <v>NÚCLEO</v>
      </c>
      <c r="K8374" s="12">
        <f>tItens[[#This Row],[Qtd]]*tItens[[#This Row],[Vlr unit]]</f>
        <v>2720</v>
      </c>
      <c r="L8374" s="6">
        <f>IFERROR(IF(INDEX(tProdutos[Desconto homologado],MATCH(tItens[[#This Row],[Produto]],tProdutos[Produto],0))="",DescontoPadrao,INDEX(tProdutos[Desconto homologado],MATCH(tItens[[#This Row],[Produto]],tProdutos[Produto],0))),DescontoPadrao)</f>
        <v>0.34</v>
      </c>
      <c r="M8374" s="12">
        <f>tItens[[#This Row],[Valor]]*(1-tItens[[#This Row],[Desconto]])</f>
        <v>1795.1999999999998</v>
      </c>
      <c r="N8374" t="str">
        <f>IFERROR(INDEX(tProdutos[Foco],MATCH(tItens[[#This Row],[Produto]],tProdutos[Produto],0)),"Não")</f>
        <v>Sim</v>
      </c>
      <c r="O8374" t="str">
        <f>IFERROR(INDEX(tEditais[SRP],MATCH(tItens[[#This Row],[Edital]],tEditais[Edital],0)),"Não")</f>
        <v>Sim</v>
      </c>
      <c r="P8374" s="4">
        <f>IF(COUNTIFS(INDEX(tItens[Edital],1):tItens[[#This Row],[Edital]],tItens[[#This Row],[Edital]],INDEX(tItens[Produto],1):tItens[[#This Row],[Produto]],tItens[[#This Row],[Produto]])=1,1,0)</f>
        <v>1</v>
      </c>
    </row>
    <row r="8375" spans="1:16" x14ac:dyDescent="0.25">
      <c r="A8375" t="s">
        <v>2737</v>
      </c>
      <c r="B8375">
        <v>53</v>
      </c>
      <c r="C8375" t="s">
        <v>10822</v>
      </c>
      <c r="D8375" t="s">
        <v>279</v>
      </c>
      <c r="E8375" s="13">
        <v>720</v>
      </c>
      <c r="F8375" s="12">
        <v>91.87</v>
      </c>
      <c r="G8375" t="str">
        <f>IFERROR(INDEX(tEditais[Órgão],MATCH(tItens[[#This Row],[Edital]],tEditais[Edital],0)),"")</f>
        <v>MUNICIPIO DE CATANDUVA</v>
      </c>
      <c r="H8375" t="str">
        <f>IFERROR(INDEX(tEditais[UF],MATCH(tItens[[#This Row],[Edital]],tEditais[Edital],0)),"")</f>
        <v>SP</v>
      </c>
      <c r="I8375" s="11">
        <f>IFERROR(INDEX(tEditais[Encerramento],MATCH(tItens[[#This Row],[Edital]],tEditais[Edital],0)),"")</f>
        <v>46304.354166666664</v>
      </c>
      <c r="J8375" t="str">
        <f>IFERROR(INDEX(tProdutos[Classe],MATCH(tItens[[#This Row],[Produto]],tProdutos[Produto],0)),"produto não cadastrado")</f>
        <v>FORA</v>
      </c>
      <c r="K8375" s="12">
        <f>tItens[[#This Row],[Qtd]]*tItens[[#This Row],[Vlr unit]]</f>
        <v>66146.400000000009</v>
      </c>
      <c r="L8375" s="6">
        <f>IFERROR(IF(INDEX(tProdutos[Desconto homologado],MATCH(tItens[[#This Row],[Produto]],tProdutos[Produto],0))="",DescontoPadrao,INDEX(tProdutos[Desconto homologado],MATCH(tItens[[#This Row],[Produto]],tProdutos[Produto],0))),DescontoPadrao)</f>
        <v>0.28909090909090901</v>
      </c>
      <c r="M8375" s="12">
        <f>tItens[[#This Row],[Valor]]*(1-tItens[[#This Row],[Desconto]])</f>
        <v>47024.077090909101</v>
      </c>
      <c r="N8375" t="str">
        <f>IFERROR(INDEX(tProdutos[Foco],MATCH(tItens[[#This Row],[Produto]],tProdutos[Produto],0)),"Não")</f>
        <v>Não</v>
      </c>
      <c r="O8375" t="str">
        <f>IFERROR(INDEX(tEditais[SRP],MATCH(tItens[[#This Row],[Edital]],tEditais[Edital],0)),"Não")</f>
        <v>Sim</v>
      </c>
      <c r="P8375" s="4">
        <f>IF(COUNTIFS(INDEX(tItens[Edital],1):tItens[[#This Row],[Edital]],tItens[[#This Row],[Edital]],INDEX(tItens[Produto],1):tItens[[#This Row],[Produto]],tItens[[#This Row],[Produto]])=1,1,0)</f>
        <v>1</v>
      </c>
    </row>
    <row r="8376" spans="1:16" x14ac:dyDescent="0.25">
      <c r="A8376" t="s">
        <v>2742</v>
      </c>
      <c r="B8376">
        <v>5</v>
      </c>
      <c r="C8376" t="s">
        <v>10823</v>
      </c>
      <c r="D8376" t="s">
        <v>351</v>
      </c>
      <c r="E8376" s="13">
        <v>60000</v>
      </c>
      <c r="F8376" s="12">
        <v>1.19</v>
      </c>
      <c r="G8376" t="str">
        <f>IFERROR(INDEX(tEditais[Órgão],MATCH(tItens[[#This Row],[Edital]],tEditais[Edital],0)),"")</f>
        <v>MUNICIPIO DE ITANHAEM</v>
      </c>
      <c r="H8376" t="str">
        <f>IFERROR(INDEX(tEditais[UF],MATCH(tItens[[#This Row],[Edital]],tEditais[Edital],0)),"")</f>
        <v>SP</v>
      </c>
      <c r="I8376" s="11">
        <f>IFERROR(INDEX(tEditais[Encerramento],MATCH(tItens[[#This Row],[Edital]],tEditais[Edital],0)),"")</f>
        <v>46304.354166666664</v>
      </c>
      <c r="J8376" t="str">
        <f>IFERROR(INDEX(tProdutos[Classe],MATCH(tItens[[#This Row],[Produto]],tProdutos[Produto],0)),"produto não cadastrado")</f>
        <v>FORA</v>
      </c>
      <c r="K8376" s="12">
        <f>tItens[[#This Row],[Qtd]]*tItens[[#This Row],[Vlr unit]]</f>
        <v>71400</v>
      </c>
      <c r="L8376" s="6">
        <f>IFERROR(IF(INDEX(tProdutos[Desconto homologado],MATCH(tItens[[#This Row],[Produto]],tProdutos[Produto],0))="",DescontoPadrao,INDEX(tProdutos[Desconto homologado],MATCH(tItens[[#This Row],[Produto]],tProdutos[Produto],0))),DescontoPadrao)</f>
        <v>0.33518005540166201</v>
      </c>
      <c r="M8376" s="12">
        <f>tItens[[#This Row],[Valor]]*(1-tItens[[#This Row],[Desconto]])</f>
        <v>47468.144044321336</v>
      </c>
      <c r="N8376" t="str">
        <f>IFERROR(INDEX(tProdutos[Foco],MATCH(tItens[[#This Row],[Produto]],tProdutos[Produto],0)),"Não")</f>
        <v>Não</v>
      </c>
      <c r="O8376" t="str">
        <f>IFERROR(INDEX(tEditais[SRP],MATCH(tItens[[#This Row],[Edital]],tEditais[Edital],0)),"Não")</f>
        <v>Sim</v>
      </c>
      <c r="P8376" s="4">
        <f>IF(COUNTIFS(INDEX(tItens[Edital],1):tItens[[#This Row],[Edital]],tItens[[#This Row],[Edital]],INDEX(tItens[Produto],1):tItens[[#This Row],[Produto]],tItens[[#This Row],[Produto]])=1,1,0)</f>
        <v>1</v>
      </c>
    </row>
    <row r="8377" spans="1:16" x14ac:dyDescent="0.25">
      <c r="A8377" t="s">
        <v>2742</v>
      </c>
      <c r="B8377">
        <v>6</v>
      </c>
      <c r="C8377" t="s">
        <v>10824</v>
      </c>
      <c r="D8377" t="s">
        <v>351</v>
      </c>
      <c r="E8377" s="13">
        <v>36000</v>
      </c>
      <c r="F8377" s="12">
        <v>1.2</v>
      </c>
      <c r="G8377" t="str">
        <f>IFERROR(INDEX(tEditais[Órgão],MATCH(tItens[[#This Row],[Edital]],tEditais[Edital],0)),"")</f>
        <v>MUNICIPIO DE ITANHAEM</v>
      </c>
      <c r="H8377" t="str">
        <f>IFERROR(INDEX(tEditais[UF],MATCH(tItens[[#This Row],[Edital]],tEditais[Edital],0)),"")</f>
        <v>SP</v>
      </c>
      <c r="I8377" s="11">
        <f>IFERROR(INDEX(tEditais[Encerramento],MATCH(tItens[[#This Row],[Edital]],tEditais[Edital],0)),"")</f>
        <v>46304.354166666664</v>
      </c>
      <c r="J8377" t="str">
        <f>IFERROR(INDEX(tProdutos[Classe],MATCH(tItens[[#This Row],[Produto]],tProdutos[Produto],0)),"produto não cadastrado")</f>
        <v>FORA</v>
      </c>
      <c r="K8377" s="12">
        <f>tItens[[#This Row],[Qtd]]*tItens[[#This Row],[Vlr unit]]</f>
        <v>43200</v>
      </c>
      <c r="L8377" s="6">
        <f>IFERROR(IF(INDEX(tProdutos[Desconto homologado],MATCH(tItens[[#This Row],[Produto]],tProdutos[Produto],0))="",DescontoPadrao,INDEX(tProdutos[Desconto homologado],MATCH(tItens[[#This Row],[Produto]],tProdutos[Produto],0))),DescontoPadrao)</f>
        <v>0.33518005540166201</v>
      </c>
      <c r="M8377" s="12">
        <f>tItens[[#This Row],[Valor]]*(1-tItens[[#This Row],[Desconto]])</f>
        <v>28720.221606648203</v>
      </c>
      <c r="N8377" t="str">
        <f>IFERROR(INDEX(tProdutos[Foco],MATCH(tItens[[#This Row],[Produto]],tProdutos[Produto],0)),"Não")</f>
        <v>Não</v>
      </c>
      <c r="O8377" t="str">
        <f>IFERROR(INDEX(tEditais[SRP],MATCH(tItens[[#This Row],[Edital]],tEditais[Edital],0)),"Não")</f>
        <v>Sim</v>
      </c>
      <c r="P8377" s="4">
        <f>IF(COUNTIFS(INDEX(tItens[Edital],1):tItens[[#This Row],[Edital]],tItens[[#This Row],[Edital]],INDEX(tItens[Produto],1):tItens[[#This Row],[Produto]],tItens[[#This Row],[Produto]])=1,1,0)</f>
        <v>0</v>
      </c>
    </row>
    <row r="8378" spans="1:16" x14ac:dyDescent="0.25">
      <c r="A8378" t="s">
        <v>2744</v>
      </c>
      <c r="B8378">
        <v>1</v>
      </c>
      <c r="C8378" t="s">
        <v>10825</v>
      </c>
      <c r="D8378" t="s">
        <v>578</v>
      </c>
      <c r="E8378" s="13">
        <v>10</v>
      </c>
      <c r="F8378" s="12">
        <v>3776.25</v>
      </c>
      <c r="G8378" t="str">
        <f>IFERROR(INDEX(tEditais[Órgão],MATCH(tItens[[#This Row],[Edital]],tEditais[Edital],0)),"")</f>
        <v>MUNICIPIO DE SAO JOSE DO RIO PRETO</v>
      </c>
      <c r="H8378" t="str">
        <f>IFERROR(INDEX(tEditais[UF],MATCH(tItens[[#This Row],[Edital]],tEditais[Edital],0)),"")</f>
        <v>SP</v>
      </c>
      <c r="I8378" s="11">
        <f>IFERROR(INDEX(tEditais[Encerramento],MATCH(tItens[[#This Row],[Edital]],tEditais[Edital],0)),"")</f>
        <v>46304.354166666664</v>
      </c>
      <c r="J8378" t="str">
        <f>IFERROR(INDEX(tProdutos[Classe],MATCH(tItens[[#This Row],[Produto]],tProdutos[Produto],0)),"produto não cadastrado")</f>
        <v>FILA REBASE</v>
      </c>
      <c r="K8378" s="12">
        <f>tItens[[#This Row],[Qtd]]*tItens[[#This Row],[Vlr unit]]</f>
        <v>37762.5</v>
      </c>
      <c r="L8378" s="6">
        <f>IFERROR(IF(INDEX(tProdutos[Desconto homologado],MATCH(tItens[[#This Row],[Produto]],tProdutos[Produto],0))="",DescontoPadrao,INDEX(tProdutos[Desconto homologado],MATCH(tItens[[#This Row],[Produto]],tProdutos[Produto],0))),DescontoPadrao)</f>
        <v>0.36014625228519198</v>
      </c>
      <c r="M8378" s="12">
        <f>tItens[[#This Row],[Valor]]*(1-tItens[[#This Row],[Desconto]])</f>
        <v>24162.477148080441</v>
      </c>
      <c r="N8378" t="str">
        <f>IFERROR(INDEX(tProdutos[Foco],MATCH(tItens[[#This Row],[Produto]],tProdutos[Produto],0)),"Não")</f>
        <v>Não</v>
      </c>
      <c r="O8378" t="str">
        <f>IFERROR(INDEX(tEditais[SRP],MATCH(tItens[[#This Row],[Edital]],tEditais[Edital],0)),"Não")</f>
        <v>Sim</v>
      </c>
      <c r="P8378" s="4">
        <f>IF(COUNTIFS(INDEX(tItens[Edital],1):tItens[[#This Row],[Edital]],tItens[[#This Row],[Edital]],INDEX(tItens[Produto],1):tItens[[#This Row],[Produto]],tItens[[#This Row],[Produto]])=1,1,0)</f>
        <v>1</v>
      </c>
    </row>
    <row r="8379" spans="1:16" x14ac:dyDescent="0.25">
      <c r="A8379" t="s">
        <v>2748</v>
      </c>
      <c r="B8379">
        <v>82</v>
      </c>
      <c r="C8379" t="s">
        <v>10826</v>
      </c>
      <c r="D8379" t="s">
        <v>411</v>
      </c>
      <c r="E8379" s="13">
        <v>3</v>
      </c>
      <c r="F8379" s="12">
        <v>278.82</v>
      </c>
      <c r="G8379" t="str">
        <f>IFERROR(INDEX(tEditais[Órgão],MATCH(tItens[[#This Row],[Edital]],tEditais[Edital],0)),"")</f>
        <v>COMPANHIA ITUANA DE SANEAMENTO - CIS</v>
      </c>
      <c r="H8379" t="str">
        <f>IFERROR(INDEX(tEditais[UF],MATCH(tItens[[#This Row],[Edital]],tEditais[Edital],0)),"")</f>
        <v>SP</v>
      </c>
      <c r="I8379" s="11">
        <f>IFERROR(INDEX(tEditais[Encerramento],MATCH(tItens[[#This Row],[Edital]],tEditais[Edital],0)),"")</f>
        <v>46304.368055555555</v>
      </c>
      <c r="J8379" t="str">
        <f>IFERROR(INDEX(tProdutos[Classe],MATCH(tItens[[#This Row],[Produto]],tProdutos[Produto],0)),"produto não cadastrado")</f>
        <v>FORA</v>
      </c>
      <c r="K8379" s="12">
        <f>tItens[[#This Row],[Qtd]]*tItens[[#This Row],[Vlr unit]]</f>
        <v>836.46</v>
      </c>
      <c r="L8379" s="6">
        <f>IFERROR(IF(INDEX(tProdutos[Desconto homologado],MATCH(tItens[[#This Row],[Produto]],tProdutos[Produto],0))="",DescontoPadrao,INDEX(tProdutos[Desconto homologado],MATCH(tItens[[#This Row],[Produto]],tProdutos[Produto],0))),DescontoPadrao)</f>
        <v>0.50029835957199398</v>
      </c>
      <c r="M8379" s="12">
        <f>tItens[[#This Row],[Valor]]*(1-tItens[[#This Row],[Desconto]])</f>
        <v>417.98043415240994</v>
      </c>
      <c r="N8379" t="str">
        <f>IFERROR(INDEX(tProdutos[Foco],MATCH(tItens[[#This Row],[Produto]],tProdutos[Produto],0)),"Não")</f>
        <v>Não</v>
      </c>
      <c r="O8379" t="str">
        <f>IFERROR(INDEX(tEditais[SRP],MATCH(tItens[[#This Row],[Edital]],tEditais[Edital],0)),"Não")</f>
        <v>Sim</v>
      </c>
      <c r="P8379" s="4">
        <f>IF(COUNTIFS(INDEX(tItens[Edital],1):tItens[[#This Row],[Edital]],tItens[[#This Row],[Edital]],INDEX(tItens[Produto],1):tItens[[#This Row],[Produto]],tItens[[#This Row],[Produto]])=1,1,0)</f>
        <v>1</v>
      </c>
    </row>
    <row r="8380" spans="1:16" x14ac:dyDescent="0.25">
      <c r="A8380" t="s">
        <v>2752</v>
      </c>
      <c r="B8380">
        <v>1</v>
      </c>
      <c r="C8380" t="s">
        <v>10827</v>
      </c>
      <c r="D8380" t="s">
        <v>309</v>
      </c>
      <c r="E8380" s="13">
        <v>285</v>
      </c>
      <c r="F8380" s="12">
        <v>68.959999999999994</v>
      </c>
      <c r="G8380" t="str">
        <f>IFERROR(INDEX(tEditais[Órgão],MATCH(tItens[[#This Row],[Edital]],tEditais[Edital],0)),"")</f>
        <v>MUNICIPIO DE BARUERI</v>
      </c>
      <c r="H8380" t="str">
        <f>IFERROR(INDEX(tEditais[UF],MATCH(tItens[[#This Row],[Edital]],tEditais[Edital],0)),"")</f>
        <v>SP</v>
      </c>
      <c r="I8380" s="11">
        <f>IFERROR(INDEX(tEditais[Encerramento],MATCH(tItens[[#This Row],[Edital]],tEditais[Edital],0)),"")</f>
        <v>46304.374305555553</v>
      </c>
      <c r="J8380" t="str">
        <f>IFERROR(INDEX(tProdutos[Classe],MATCH(tItens[[#This Row],[Produto]],tProdutos[Produto],0)),"produto não cadastrado")</f>
        <v>DISPUTADO</v>
      </c>
      <c r="K8380" s="12">
        <f>tItens[[#This Row],[Qtd]]*tItens[[#This Row],[Vlr unit]]</f>
        <v>19653.599999999999</v>
      </c>
      <c r="L8380" s="6">
        <f>IFERROR(IF(INDEX(tProdutos[Desconto homologado],MATCH(tItens[[#This Row],[Produto]],tProdutos[Produto],0))="",DescontoPadrao,INDEX(tProdutos[Desconto homologado],MATCH(tItens[[#This Row],[Produto]],tProdutos[Produto],0))),DescontoPadrao)</f>
        <v>0.329229323455968</v>
      </c>
      <c r="M8380" s="12">
        <f>tItens[[#This Row],[Valor]]*(1-tItens[[#This Row],[Desconto]])</f>
        <v>13183.058568525787</v>
      </c>
      <c r="N8380" t="str">
        <f>IFERROR(INDEX(tProdutos[Foco],MATCH(tItens[[#This Row],[Produto]],tProdutos[Produto],0)),"Não")</f>
        <v>Não</v>
      </c>
      <c r="O8380" t="str">
        <f>IFERROR(INDEX(tEditais[SRP],MATCH(tItens[[#This Row],[Edital]],tEditais[Edital],0)),"Não")</f>
        <v>Sim</v>
      </c>
      <c r="P8380" s="4">
        <f>IF(COUNTIFS(INDEX(tItens[Edital],1):tItens[[#This Row],[Edital]],tItens[[#This Row],[Edital]],INDEX(tItens[Produto],1):tItens[[#This Row],[Produto]],tItens[[#This Row],[Produto]])=1,1,0)</f>
        <v>1</v>
      </c>
    </row>
    <row r="8381" spans="1:16" x14ac:dyDescent="0.25">
      <c r="A8381" t="s">
        <v>2752</v>
      </c>
      <c r="B8381">
        <v>2</v>
      </c>
      <c r="C8381" t="s">
        <v>10828</v>
      </c>
      <c r="D8381" t="s">
        <v>329</v>
      </c>
      <c r="E8381" s="13">
        <v>143</v>
      </c>
      <c r="F8381" s="12">
        <v>2.2599999999999998</v>
      </c>
      <c r="G8381" t="str">
        <f>IFERROR(INDEX(tEditais[Órgão],MATCH(tItens[[#This Row],[Edital]],tEditais[Edital],0)),"")</f>
        <v>MUNICIPIO DE BARUERI</v>
      </c>
      <c r="H8381" t="str">
        <f>IFERROR(INDEX(tEditais[UF],MATCH(tItens[[#This Row],[Edital]],tEditais[Edital],0)),"")</f>
        <v>SP</v>
      </c>
      <c r="I8381" s="11">
        <f>IFERROR(INDEX(tEditais[Encerramento],MATCH(tItens[[#This Row],[Edital]],tEditais[Edital],0)),"")</f>
        <v>46304.374305555553</v>
      </c>
      <c r="J8381" t="str">
        <f>IFERROR(INDEX(tProdutos[Classe],MATCH(tItens[[#This Row],[Produto]],tProdutos[Produto],0)),"produto não cadastrado")</f>
        <v>FORA</v>
      </c>
      <c r="K8381" s="12">
        <f>tItens[[#This Row],[Qtd]]*tItens[[#This Row],[Vlr unit]]</f>
        <v>323.17999999999995</v>
      </c>
      <c r="L8381" s="6">
        <f>IFERROR(IF(INDEX(tProdutos[Desconto homologado],MATCH(tItens[[#This Row],[Produto]],tProdutos[Produto],0))="",DescontoPadrao,INDEX(tProdutos[Desconto homologado],MATCH(tItens[[#This Row],[Produto]],tProdutos[Produto],0))),DescontoPadrao)</f>
        <v>0.46441781031074703</v>
      </c>
      <c r="M8381" s="12">
        <f>tItens[[#This Row],[Valor]]*(1-tItens[[#This Row],[Desconto]])</f>
        <v>173.08945206377274</v>
      </c>
      <c r="N8381" t="str">
        <f>IFERROR(INDEX(tProdutos[Foco],MATCH(tItens[[#This Row],[Produto]],tProdutos[Produto],0)),"Não")</f>
        <v>Não</v>
      </c>
      <c r="O8381" t="str">
        <f>IFERROR(INDEX(tEditais[SRP],MATCH(tItens[[#This Row],[Edital]],tEditais[Edital],0)),"Não")</f>
        <v>Sim</v>
      </c>
      <c r="P8381" s="4">
        <f>IF(COUNTIFS(INDEX(tItens[Edital],1):tItens[[#This Row],[Edital]],tItens[[#This Row],[Edital]],INDEX(tItens[Produto],1):tItens[[#This Row],[Produto]],tItens[[#This Row],[Produto]])=1,1,0)</f>
        <v>1</v>
      </c>
    </row>
    <row r="8382" spans="1:16" x14ac:dyDescent="0.25">
      <c r="A8382" t="s">
        <v>2752</v>
      </c>
      <c r="B8382">
        <v>13</v>
      </c>
      <c r="C8382" t="s">
        <v>10829</v>
      </c>
      <c r="D8382" t="s">
        <v>267</v>
      </c>
      <c r="E8382" s="13">
        <v>20900</v>
      </c>
      <c r="F8382" s="12">
        <v>19.16</v>
      </c>
      <c r="G8382" t="str">
        <f>IFERROR(INDEX(tEditais[Órgão],MATCH(tItens[[#This Row],[Edital]],tEditais[Edital],0)),"")</f>
        <v>MUNICIPIO DE BARUERI</v>
      </c>
      <c r="H8382" t="str">
        <f>IFERROR(INDEX(tEditais[UF],MATCH(tItens[[#This Row],[Edital]],tEditais[Edital],0)),"")</f>
        <v>SP</v>
      </c>
      <c r="I8382" s="11">
        <f>IFERROR(INDEX(tEditais[Encerramento],MATCH(tItens[[#This Row],[Edital]],tEditais[Edital],0)),"")</f>
        <v>46304.374305555553</v>
      </c>
      <c r="J8382" t="str">
        <f>IFERROR(INDEX(tProdutos[Classe],MATCH(tItens[[#This Row],[Produto]],tProdutos[Produto],0)),"produto não cadastrado")</f>
        <v>FORA</v>
      </c>
      <c r="K8382" s="12">
        <f>tItens[[#This Row],[Qtd]]*tItens[[#This Row],[Vlr unit]]</f>
        <v>400444</v>
      </c>
      <c r="L8382" s="6">
        <f>IFERROR(IF(INDEX(tProdutos[Desconto homologado],MATCH(tItens[[#This Row],[Produto]],tProdutos[Produto],0))="",DescontoPadrao,INDEX(tProdutos[Desconto homologado],MATCH(tItens[[#This Row],[Produto]],tProdutos[Produto],0))),DescontoPadrao)</f>
        <v>0.19963672657401599</v>
      </c>
      <c r="M8382" s="12">
        <f>tItens[[#This Row],[Valor]]*(1-tItens[[#This Row],[Desconto]])</f>
        <v>320500.67066379474</v>
      </c>
      <c r="N8382" t="str">
        <f>IFERROR(INDEX(tProdutos[Foco],MATCH(tItens[[#This Row],[Produto]],tProdutos[Produto],0)),"Não")</f>
        <v>Não</v>
      </c>
      <c r="O8382" t="str">
        <f>IFERROR(INDEX(tEditais[SRP],MATCH(tItens[[#This Row],[Edital]],tEditais[Edital],0)),"Não")</f>
        <v>Sim</v>
      </c>
      <c r="P8382" s="4">
        <f>IF(COUNTIFS(INDEX(tItens[Edital],1):tItens[[#This Row],[Edital]],tItens[[#This Row],[Edital]],INDEX(tItens[Produto],1):tItens[[#This Row],[Produto]],tItens[[#This Row],[Produto]])=1,1,0)</f>
        <v>1</v>
      </c>
    </row>
    <row r="8383" spans="1:16" x14ac:dyDescent="0.25">
      <c r="A8383" t="s">
        <v>2752</v>
      </c>
      <c r="B8383">
        <v>15</v>
      </c>
      <c r="C8383" t="s">
        <v>10830</v>
      </c>
      <c r="D8383" t="s">
        <v>184</v>
      </c>
      <c r="E8383" s="13">
        <v>10</v>
      </c>
      <c r="F8383" s="12">
        <v>14.16</v>
      </c>
      <c r="G8383" t="str">
        <f>IFERROR(INDEX(tEditais[Órgão],MATCH(tItens[[#This Row],[Edital]],tEditais[Edital],0)),"")</f>
        <v>MUNICIPIO DE BARUERI</v>
      </c>
      <c r="H8383" t="str">
        <f>IFERROR(INDEX(tEditais[UF],MATCH(tItens[[#This Row],[Edital]],tEditais[Edital],0)),"")</f>
        <v>SP</v>
      </c>
      <c r="I8383" s="11">
        <f>IFERROR(INDEX(tEditais[Encerramento],MATCH(tItens[[#This Row],[Edital]],tEditais[Edital],0)),"")</f>
        <v>46304.374305555553</v>
      </c>
      <c r="J8383" t="str">
        <f>IFERROR(INDEX(tProdutos[Classe],MATCH(tItens[[#This Row],[Produto]],tProdutos[Produto],0)),"produto não cadastrado")</f>
        <v>FORA</v>
      </c>
      <c r="K8383" s="12">
        <f>tItens[[#This Row],[Qtd]]*tItens[[#This Row],[Vlr unit]]</f>
        <v>141.6</v>
      </c>
      <c r="L8383" s="6">
        <f>IFERROR(IF(INDEX(tProdutos[Desconto homologado],MATCH(tItens[[#This Row],[Produto]],tProdutos[Produto],0))="",DescontoPadrao,INDEX(tProdutos[Desconto homologado],MATCH(tItens[[#This Row],[Produto]],tProdutos[Produto],0))),DescontoPadrao)</f>
        <v>0.363567906332742</v>
      </c>
      <c r="M8383" s="12">
        <f>tItens[[#This Row],[Valor]]*(1-tItens[[#This Row],[Desconto]])</f>
        <v>90.118784463283731</v>
      </c>
      <c r="N8383" t="str">
        <f>IFERROR(INDEX(tProdutos[Foco],MATCH(tItens[[#This Row],[Produto]],tProdutos[Produto],0)),"Não")</f>
        <v>Não</v>
      </c>
      <c r="O8383" t="str">
        <f>IFERROR(INDEX(tEditais[SRP],MATCH(tItens[[#This Row],[Edital]],tEditais[Edital],0)),"Não")</f>
        <v>Sim</v>
      </c>
      <c r="P8383" s="4">
        <f>IF(COUNTIFS(INDEX(tItens[Edital],1):tItens[[#This Row],[Edital]],tItens[[#This Row],[Edital]],INDEX(tItens[Produto],1):tItens[[#This Row],[Produto]],tItens[[#This Row],[Produto]])=1,1,0)</f>
        <v>1</v>
      </c>
    </row>
    <row r="8384" spans="1:16" x14ac:dyDescent="0.25">
      <c r="A8384" t="s">
        <v>2752</v>
      </c>
      <c r="B8384">
        <v>16</v>
      </c>
      <c r="C8384" t="s">
        <v>3571</v>
      </c>
      <c r="D8384" t="s">
        <v>253</v>
      </c>
      <c r="E8384" s="13">
        <v>19</v>
      </c>
      <c r="F8384" s="12">
        <v>7.89</v>
      </c>
      <c r="G8384" t="str">
        <f>IFERROR(INDEX(tEditais[Órgão],MATCH(tItens[[#This Row],[Edital]],tEditais[Edital],0)),"")</f>
        <v>MUNICIPIO DE BARUERI</v>
      </c>
      <c r="H8384" t="str">
        <f>IFERROR(INDEX(tEditais[UF],MATCH(tItens[[#This Row],[Edital]],tEditais[Edital],0)),"")</f>
        <v>SP</v>
      </c>
      <c r="I8384" s="11">
        <f>IFERROR(INDEX(tEditais[Encerramento],MATCH(tItens[[#This Row],[Edital]],tEditais[Edital],0)),"")</f>
        <v>46304.374305555553</v>
      </c>
      <c r="J8384" t="str">
        <f>IFERROR(INDEX(tProdutos[Classe],MATCH(tItens[[#This Row],[Produto]],tProdutos[Produto],0)),"produto não cadastrado")</f>
        <v>FORA</v>
      </c>
      <c r="K8384" s="12">
        <f>tItens[[#This Row],[Qtd]]*tItens[[#This Row],[Vlr unit]]</f>
        <v>149.91</v>
      </c>
      <c r="L8384" s="6">
        <f>IFERROR(IF(INDEX(tProdutos[Desconto homologado],MATCH(tItens[[#This Row],[Produto]],tProdutos[Produto],0))="",DescontoPadrao,INDEX(tProdutos[Desconto homologado],MATCH(tItens[[#This Row],[Produto]],tProdutos[Produto],0))),DescontoPadrao)</f>
        <v>0.31735159817351599</v>
      </c>
      <c r="M8384" s="12">
        <f>tItens[[#This Row],[Valor]]*(1-tItens[[#This Row],[Desconto]])</f>
        <v>102.33582191780822</v>
      </c>
      <c r="N8384" t="str">
        <f>IFERROR(INDEX(tProdutos[Foco],MATCH(tItens[[#This Row],[Produto]],tProdutos[Produto],0)),"Não")</f>
        <v>Não</v>
      </c>
      <c r="O8384" t="str">
        <f>IFERROR(INDEX(tEditais[SRP],MATCH(tItens[[#This Row],[Edital]],tEditais[Edital],0)),"Não")</f>
        <v>Sim</v>
      </c>
      <c r="P8384" s="4">
        <f>IF(COUNTIFS(INDEX(tItens[Edital],1):tItens[[#This Row],[Edital]],tItens[[#This Row],[Edital]],INDEX(tItens[Produto],1):tItens[[#This Row],[Produto]],tItens[[#This Row],[Produto]])=1,1,0)</f>
        <v>1</v>
      </c>
    </row>
    <row r="8385" spans="1:16" x14ac:dyDescent="0.25">
      <c r="A8385" t="s">
        <v>2752</v>
      </c>
      <c r="B8385">
        <v>17</v>
      </c>
      <c r="C8385" t="s">
        <v>10831</v>
      </c>
      <c r="D8385" t="s">
        <v>162</v>
      </c>
      <c r="E8385" s="13">
        <v>7600</v>
      </c>
      <c r="F8385" s="12">
        <v>1.41</v>
      </c>
      <c r="G8385" t="str">
        <f>IFERROR(INDEX(tEditais[Órgão],MATCH(tItens[[#This Row],[Edital]],tEditais[Edital],0)),"")</f>
        <v>MUNICIPIO DE BARUERI</v>
      </c>
      <c r="H8385" t="str">
        <f>IFERROR(INDEX(tEditais[UF],MATCH(tItens[[#This Row],[Edital]],tEditais[Edital],0)),"")</f>
        <v>SP</v>
      </c>
      <c r="I8385" s="11">
        <f>IFERROR(INDEX(tEditais[Encerramento],MATCH(tItens[[#This Row],[Edital]],tEditais[Edital],0)),"")</f>
        <v>46304.374305555553</v>
      </c>
      <c r="J8385" t="str">
        <f>IFERROR(INDEX(tProdutos[Classe],MATCH(tItens[[#This Row],[Produto]],tProdutos[Produto],0)),"produto não cadastrado")</f>
        <v>DISPUTADO</v>
      </c>
      <c r="K8385" s="12">
        <f>tItens[[#This Row],[Qtd]]*tItens[[#This Row],[Vlr unit]]</f>
        <v>10716</v>
      </c>
      <c r="L8385" s="6">
        <f>IFERROR(IF(INDEX(tProdutos[Desconto homologado],MATCH(tItens[[#This Row],[Produto]],tProdutos[Produto],0))="",DescontoPadrao,INDEX(tProdutos[Desconto homologado],MATCH(tItens[[#This Row],[Produto]],tProdutos[Produto],0))),DescontoPadrao)</f>
        <v>0.41269841269841301</v>
      </c>
      <c r="M8385" s="12">
        <f>tItens[[#This Row],[Valor]]*(1-tItens[[#This Row],[Desconto]])</f>
        <v>6293.5238095238064</v>
      </c>
      <c r="N8385" t="str">
        <f>IFERROR(INDEX(tProdutos[Foco],MATCH(tItens[[#This Row],[Produto]],tProdutos[Produto],0)),"Não")</f>
        <v>Não</v>
      </c>
      <c r="O8385" t="str">
        <f>IFERROR(INDEX(tEditais[SRP],MATCH(tItens[[#This Row],[Edital]],tEditais[Edital],0)),"Não")</f>
        <v>Sim</v>
      </c>
      <c r="P8385" s="4">
        <f>IF(COUNTIFS(INDEX(tItens[Edital],1):tItens[[#This Row],[Edital]],tItens[[#This Row],[Edital]],INDEX(tItens[Produto],1):tItens[[#This Row],[Produto]],tItens[[#This Row],[Produto]])=1,1,0)</f>
        <v>1</v>
      </c>
    </row>
    <row r="8386" spans="1:16" x14ac:dyDescent="0.25">
      <c r="A8386" t="s">
        <v>2757</v>
      </c>
      <c r="B8386">
        <v>2</v>
      </c>
      <c r="C8386" t="s">
        <v>10832</v>
      </c>
      <c r="D8386" t="s">
        <v>494</v>
      </c>
      <c r="E8386" s="13">
        <v>1050</v>
      </c>
      <c r="F8386" s="12">
        <v>65</v>
      </c>
      <c r="G8386" t="str">
        <f>IFERROR(INDEX(tEditais[Órgão],MATCH(tItens[[#This Row],[Edital]],tEditais[Edital],0)),"")</f>
        <v>MUNICIPIO DE SAO BERNARDO DO CAMPO</v>
      </c>
      <c r="H8386" t="str">
        <f>IFERROR(INDEX(tEditais[UF],MATCH(tItens[[#This Row],[Edital]],tEditais[Edital],0)),"")</f>
        <v>SP</v>
      </c>
      <c r="I8386" s="11">
        <f>IFERROR(INDEX(tEditais[Encerramento],MATCH(tItens[[#This Row],[Edital]],tEditais[Edital],0)),"")</f>
        <v>46304.375</v>
      </c>
      <c r="J8386" t="str">
        <f>IFERROR(INDEX(tProdutos[Classe],MATCH(tItens[[#This Row],[Produto]],tProdutos[Produto],0)),"produto não cadastrado")</f>
        <v>FILA REBASE</v>
      </c>
      <c r="K8386" s="12">
        <f>tItens[[#This Row],[Qtd]]*tItens[[#This Row],[Vlr unit]]</f>
        <v>68250</v>
      </c>
      <c r="L8386" s="6">
        <f>IFERROR(IF(INDEX(tProdutos[Desconto homologado],MATCH(tItens[[#This Row],[Produto]],tProdutos[Produto],0))="",DescontoPadrao,INDEX(tProdutos[Desconto homologado],MATCH(tItens[[#This Row],[Produto]],tProdutos[Produto],0))),DescontoPadrao)</f>
        <v>0.253736324829619</v>
      </c>
      <c r="M8386" s="12">
        <f>tItens[[#This Row],[Valor]]*(1-tItens[[#This Row],[Desconto]])</f>
        <v>50932.49583037851</v>
      </c>
      <c r="N8386" t="str">
        <f>IFERROR(INDEX(tProdutos[Foco],MATCH(tItens[[#This Row],[Produto]],tProdutos[Produto],0)),"Não")</f>
        <v>Não</v>
      </c>
      <c r="O8386" t="str">
        <f>IFERROR(INDEX(tEditais[SRP],MATCH(tItens[[#This Row],[Edital]],tEditais[Edital],0)),"Não")</f>
        <v>Sim</v>
      </c>
      <c r="P8386" s="4">
        <f>IF(COUNTIFS(INDEX(tItens[Edital],1):tItens[[#This Row],[Edital]],tItens[[#This Row],[Edital]],INDEX(tItens[Produto],1):tItens[[#This Row],[Produto]],tItens[[#This Row],[Produto]])=1,1,0)</f>
        <v>1</v>
      </c>
    </row>
    <row r="8387" spans="1:16" x14ac:dyDescent="0.25">
      <c r="A8387" t="s">
        <v>2757</v>
      </c>
      <c r="B8387">
        <v>3</v>
      </c>
      <c r="C8387" t="s">
        <v>10833</v>
      </c>
      <c r="D8387" t="s">
        <v>494</v>
      </c>
      <c r="E8387" s="13">
        <v>450</v>
      </c>
      <c r="F8387" s="12">
        <v>122.99</v>
      </c>
      <c r="G8387" t="str">
        <f>IFERROR(INDEX(tEditais[Órgão],MATCH(tItens[[#This Row],[Edital]],tEditais[Edital],0)),"")</f>
        <v>MUNICIPIO DE SAO BERNARDO DO CAMPO</v>
      </c>
      <c r="H8387" t="str">
        <f>IFERROR(INDEX(tEditais[UF],MATCH(tItens[[#This Row],[Edital]],tEditais[Edital],0)),"")</f>
        <v>SP</v>
      </c>
      <c r="I8387" s="11">
        <f>IFERROR(INDEX(tEditais[Encerramento],MATCH(tItens[[#This Row],[Edital]],tEditais[Edital],0)),"")</f>
        <v>46304.375</v>
      </c>
      <c r="J8387" t="str">
        <f>IFERROR(INDEX(tProdutos[Classe],MATCH(tItens[[#This Row],[Produto]],tProdutos[Produto],0)),"produto não cadastrado")</f>
        <v>FILA REBASE</v>
      </c>
      <c r="K8387" s="12">
        <f>tItens[[#This Row],[Qtd]]*tItens[[#This Row],[Vlr unit]]</f>
        <v>55345.5</v>
      </c>
      <c r="L8387" s="6">
        <f>IFERROR(IF(INDEX(tProdutos[Desconto homologado],MATCH(tItens[[#This Row],[Produto]],tProdutos[Produto],0))="",DescontoPadrao,INDEX(tProdutos[Desconto homologado],MATCH(tItens[[#This Row],[Produto]],tProdutos[Produto],0))),DescontoPadrao)</f>
        <v>0.253736324829619</v>
      </c>
      <c r="M8387" s="12">
        <f>tItens[[#This Row],[Valor]]*(1-tItens[[#This Row],[Desconto]])</f>
        <v>41302.336234142327</v>
      </c>
      <c r="N8387" t="str">
        <f>IFERROR(INDEX(tProdutos[Foco],MATCH(tItens[[#This Row],[Produto]],tProdutos[Produto],0)),"Não")</f>
        <v>Não</v>
      </c>
      <c r="O8387" t="str">
        <f>IFERROR(INDEX(tEditais[SRP],MATCH(tItens[[#This Row],[Edital]],tEditais[Edital],0)),"Não")</f>
        <v>Sim</v>
      </c>
      <c r="P8387" s="4">
        <f>IF(COUNTIFS(INDEX(tItens[Edital],1):tItens[[#This Row],[Edital]],tItens[[#This Row],[Edital]],INDEX(tItens[Produto],1):tItens[[#This Row],[Produto]],tItens[[#This Row],[Produto]])=1,1,0)</f>
        <v>0</v>
      </c>
    </row>
    <row r="8388" spans="1:16" x14ac:dyDescent="0.25">
      <c r="A8388" t="s">
        <v>2757</v>
      </c>
      <c r="B8388">
        <v>6</v>
      </c>
      <c r="C8388" t="s">
        <v>10834</v>
      </c>
      <c r="D8388" t="s">
        <v>94</v>
      </c>
      <c r="E8388" s="13">
        <v>1335</v>
      </c>
      <c r="F8388" s="12">
        <v>10.17</v>
      </c>
      <c r="G8388" t="str">
        <f>IFERROR(INDEX(tEditais[Órgão],MATCH(tItens[[#This Row],[Edital]],tEditais[Edital],0)),"")</f>
        <v>MUNICIPIO DE SAO BERNARDO DO CAMPO</v>
      </c>
      <c r="H8388" t="str">
        <f>IFERROR(INDEX(tEditais[UF],MATCH(tItens[[#This Row],[Edital]],tEditais[Edital],0)),"")</f>
        <v>SP</v>
      </c>
      <c r="I8388" s="11">
        <f>IFERROR(INDEX(tEditais[Encerramento],MATCH(tItens[[#This Row],[Edital]],tEditais[Edital],0)),"")</f>
        <v>46304.375</v>
      </c>
      <c r="J8388" t="str">
        <f>IFERROR(INDEX(tProdutos[Classe],MATCH(tItens[[#This Row],[Produto]],tProdutos[Produto],0)),"produto não cadastrado")</f>
        <v>NÚCLEO</v>
      </c>
      <c r="K8388" s="12">
        <f>tItens[[#This Row],[Qtd]]*tItens[[#This Row],[Vlr unit]]</f>
        <v>13576.95</v>
      </c>
      <c r="L8388" s="6">
        <f>IFERROR(IF(INDEX(tProdutos[Desconto homologado],MATCH(tItens[[#This Row],[Produto]],tProdutos[Produto],0))="",DescontoPadrao,INDEX(tProdutos[Desconto homologado],MATCH(tItens[[#This Row],[Produto]],tProdutos[Produto],0))),DescontoPadrao)</f>
        <v>0.21</v>
      </c>
      <c r="M8388" s="12">
        <f>tItens[[#This Row],[Valor]]*(1-tItens[[#This Row],[Desconto]])</f>
        <v>10725.790500000001</v>
      </c>
      <c r="N8388" t="str">
        <f>IFERROR(INDEX(tProdutos[Foco],MATCH(tItens[[#This Row],[Produto]],tProdutos[Produto],0)),"Não")</f>
        <v>Sim</v>
      </c>
      <c r="O8388" t="str">
        <f>IFERROR(INDEX(tEditais[SRP],MATCH(tItens[[#This Row],[Edital]],tEditais[Edital],0)),"Não")</f>
        <v>Sim</v>
      </c>
      <c r="P8388" s="4">
        <f>IF(COUNTIFS(INDEX(tItens[Edital],1):tItens[[#This Row],[Edital]],tItens[[#This Row],[Edital]],INDEX(tItens[Produto],1):tItens[[#This Row],[Produto]],tItens[[#This Row],[Produto]])=1,1,0)</f>
        <v>1</v>
      </c>
    </row>
    <row r="8389" spans="1:16" x14ac:dyDescent="0.25">
      <c r="A8389" t="s">
        <v>2762</v>
      </c>
      <c r="B8389">
        <v>2</v>
      </c>
      <c r="C8389" t="s">
        <v>10835</v>
      </c>
      <c r="D8389" t="s">
        <v>62</v>
      </c>
      <c r="E8389" s="13">
        <v>350</v>
      </c>
      <c r="F8389" s="12">
        <v>0</v>
      </c>
      <c r="G8389" t="str">
        <f>IFERROR(INDEX(tEditais[Órgão],MATCH(tItens[[#This Row],[Edital]],tEditais[Edital],0)),"")</f>
        <v>SECRETARIA DE ESTADO DA SAUDE</v>
      </c>
      <c r="H8389" t="str">
        <f>IFERROR(INDEX(tEditais[UF],MATCH(tItens[[#This Row],[Edital]],tEditais[Edital],0)),"")</f>
        <v>SP</v>
      </c>
      <c r="I8389" s="11">
        <f>IFERROR(INDEX(tEditais[Encerramento],MATCH(tItens[[#This Row],[Edital]],tEditais[Edital],0)),"")</f>
        <v>46304.375</v>
      </c>
      <c r="J8389" t="str">
        <f>IFERROR(INDEX(tProdutos[Classe],MATCH(tItens[[#This Row],[Produto]],tProdutos[Produto],0)),"produto não cadastrado")</f>
        <v>NÚCLEO</v>
      </c>
      <c r="K8389" s="12">
        <f>tItens[[#This Row],[Qtd]]*tItens[[#This Row],[Vlr unit]]</f>
        <v>0</v>
      </c>
      <c r="L8389" s="6">
        <f>IFERROR(IF(INDEX(tProdutos[Desconto homologado],MATCH(tItens[[#This Row],[Produto]],tProdutos[Produto],0))="",DescontoPadrao,INDEX(tProdutos[Desconto homologado],MATCH(tItens[[#This Row],[Produto]],tProdutos[Produto],0))),DescontoPadrao)</f>
        <v>0.3</v>
      </c>
      <c r="M8389" s="12">
        <f>tItens[[#This Row],[Valor]]*(1-tItens[[#This Row],[Desconto]])</f>
        <v>0</v>
      </c>
      <c r="N8389" t="str">
        <f>IFERROR(INDEX(tProdutos[Foco],MATCH(tItens[[#This Row],[Produto]],tProdutos[Produto],0)),"Não")</f>
        <v>Sim</v>
      </c>
      <c r="O8389" t="str">
        <f>IFERROR(INDEX(tEditais[SRP],MATCH(tItens[[#This Row],[Edital]],tEditais[Edital],0)),"Não")</f>
        <v>Não</v>
      </c>
      <c r="P8389" s="4">
        <f>IF(COUNTIFS(INDEX(tItens[Edital],1):tItens[[#This Row],[Edital]],tItens[[#This Row],[Edital]],INDEX(tItens[Produto],1):tItens[[#This Row],[Produto]],tItens[[#This Row],[Produto]])=1,1,0)</f>
        <v>1</v>
      </c>
    </row>
    <row r="8390" spans="1:16" x14ac:dyDescent="0.25">
      <c r="A8390" t="s">
        <v>2766</v>
      </c>
      <c r="B8390">
        <v>1</v>
      </c>
      <c r="C8390" t="s">
        <v>10836</v>
      </c>
      <c r="D8390" t="s">
        <v>375</v>
      </c>
      <c r="E8390" s="13">
        <v>18720</v>
      </c>
      <c r="F8390" s="12">
        <v>0</v>
      </c>
      <c r="G8390" t="str">
        <f>IFERROR(INDEX(tEditais[Órgão],MATCH(tItens[[#This Row],[Edital]],tEditais[Edital],0)),"")</f>
        <v>FUNDO MUNICIPAL DE SAUDE - FMS</v>
      </c>
      <c r="H8390" t="str">
        <f>IFERROR(INDEX(tEditais[UF],MATCH(tItens[[#This Row],[Edital]],tEditais[Edital],0)),"")</f>
        <v>SP</v>
      </c>
      <c r="I8390" s="11">
        <f>IFERROR(INDEX(tEditais[Encerramento],MATCH(tItens[[#This Row],[Edital]],tEditais[Edital],0)),"")</f>
        <v>46304.375</v>
      </c>
      <c r="J8390" t="str">
        <f>IFERROR(INDEX(tProdutos[Classe],MATCH(tItens[[#This Row],[Produto]],tProdutos[Produto],0)),"produto não cadastrado")</f>
        <v>FORA</v>
      </c>
      <c r="K8390" s="12">
        <f>tItens[[#This Row],[Qtd]]*tItens[[#This Row],[Vlr unit]]</f>
        <v>0</v>
      </c>
      <c r="L8390" s="6">
        <f>IFERROR(IF(INDEX(tProdutos[Desconto homologado],MATCH(tItens[[#This Row],[Produto]],tProdutos[Produto],0))="",DescontoPadrao,INDEX(tProdutos[Desconto homologado],MATCH(tItens[[#This Row],[Produto]],tProdutos[Produto],0))),DescontoPadrao)</f>
        <v>0.25005895299481201</v>
      </c>
      <c r="M8390" s="12">
        <f>tItens[[#This Row],[Valor]]*(1-tItens[[#This Row],[Desconto]])</f>
        <v>0</v>
      </c>
      <c r="N8390" t="str">
        <f>IFERROR(INDEX(tProdutos[Foco],MATCH(tItens[[#This Row],[Produto]],tProdutos[Produto],0)),"Não")</f>
        <v>Não</v>
      </c>
      <c r="O8390" t="str">
        <f>IFERROR(INDEX(tEditais[SRP],MATCH(tItens[[#This Row],[Edital]],tEditais[Edital],0)),"Não")</f>
        <v>Não</v>
      </c>
      <c r="P8390" s="4">
        <f>IF(COUNTIFS(INDEX(tItens[Edital],1):tItens[[#This Row],[Edital]],tItens[[#This Row],[Edital]],INDEX(tItens[Produto],1):tItens[[#This Row],[Produto]],tItens[[#This Row],[Produto]])=1,1,0)</f>
        <v>1</v>
      </c>
    </row>
    <row r="8391" spans="1:16" x14ac:dyDescent="0.25">
      <c r="A8391" t="s">
        <v>2766</v>
      </c>
      <c r="B8391">
        <v>2</v>
      </c>
      <c r="C8391" t="s">
        <v>10837</v>
      </c>
      <c r="D8391" t="s">
        <v>375</v>
      </c>
      <c r="E8391" s="13">
        <v>7056</v>
      </c>
      <c r="F8391" s="12">
        <v>0</v>
      </c>
      <c r="G8391" t="str">
        <f>IFERROR(INDEX(tEditais[Órgão],MATCH(tItens[[#This Row],[Edital]],tEditais[Edital],0)),"")</f>
        <v>FUNDO MUNICIPAL DE SAUDE - FMS</v>
      </c>
      <c r="H8391" t="str">
        <f>IFERROR(INDEX(tEditais[UF],MATCH(tItens[[#This Row],[Edital]],tEditais[Edital],0)),"")</f>
        <v>SP</v>
      </c>
      <c r="I8391" s="11">
        <f>IFERROR(INDEX(tEditais[Encerramento],MATCH(tItens[[#This Row],[Edital]],tEditais[Edital],0)),"")</f>
        <v>46304.375</v>
      </c>
      <c r="J8391" t="str">
        <f>IFERROR(INDEX(tProdutos[Classe],MATCH(tItens[[#This Row],[Produto]],tProdutos[Produto],0)),"produto não cadastrado")</f>
        <v>FORA</v>
      </c>
      <c r="K8391" s="12">
        <f>tItens[[#This Row],[Qtd]]*tItens[[#This Row],[Vlr unit]]</f>
        <v>0</v>
      </c>
      <c r="L8391" s="6">
        <f>IFERROR(IF(INDEX(tProdutos[Desconto homologado],MATCH(tItens[[#This Row],[Produto]],tProdutos[Produto],0))="",DescontoPadrao,INDEX(tProdutos[Desconto homologado],MATCH(tItens[[#This Row],[Produto]],tProdutos[Produto],0))),DescontoPadrao)</f>
        <v>0.25005895299481201</v>
      </c>
      <c r="M8391" s="12">
        <f>tItens[[#This Row],[Valor]]*(1-tItens[[#This Row],[Desconto]])</f>
        <v>0</v>
      </c>
      <c r="N8391" t="str">
        <f>IFERROR(INDEX(tProdutos[Foco],MATCH(tItens[[#This Row],[Produto]],tProdutos[Produto],0)),"Não")</f>
        <v>Não</v>
      </c>
      <c r="O8391" t="str">
        <f>IFERROR(INDEX(tEditais[SRP],MATCH(tItens[[#This Row],[Edital]],tEditais[Edital],0)),"Não")</f>
        <v>Não</v>
      </c>
      <c r="P8391" s="4">
        <f>IF(COUNTIFS(INDEX(tItens[Edital],1):tItens[[#This Row],[Edital]],tItens[[#This Row],[Edital]],INDEX(tItens[Produto],1):tItens[[#This Row],[Produto]],tItens[[#This Row],[Produto]])=1,1,0)</f>
        <v>0</v>
      </c>
    </row>
    <row r="8392" spans="1:16" x14ac:dyDescent="0.25">
      <c r="A8392" t="s">
        <v>2766</v>
      </c>
      <c r="B8392">
        <v>3</v>
      </c>
      <c r="C8392" t="s">
        <v>10837</v>
      </c>
      <c r="D8392" t="s">
        <v>375</v>
      </c>
      <c r="E8392" s="13">
        <v>864</v>
      </c>
      <c r="F8392" s="12">
        <v>0</v>
      </c>
      <c r="G8392" t="str">
        <f>IFERROR(INDEX(tEditais[Órgão],MATCH(tItens[[#This Row],[Edital]],tEditais[Edital],0)),"")</f>
        <v>FUNDO MUNICIPAL DE SAUDE - FMS</v>
      </c>
      <c r="H8392" t="str">
        <f>IFERROR(INDEX(tEditais[UF],MATCH(tItens[[#This Row],[Edital]],tEditais[Edital],0)),"")</f>
        <v>SP</v>
      </c>
      <c r="I8392" s="11">
        <f>IFERROR(INDEX(tEditais[Encerramento],MATCH(tItens[[#This Row],[Edital]],tEditais[Edital],0)),"")</f>
        <v>46304.375</v>
      </c>
      <c r="J8392" t="str">
        <f>IFERROR(INDEX(tProdutos[Classe],MATCH(tItens[[#This Row],[Produto]],tProdutos[Produto],0)),"produto não cadastrado")</f>
        <v>FORA</v>
      </c>
      <c r="K8392" s="12">
        <f>tItens[[#This Row],[Qtd]]*tItens[[#This Row],[Vlr unit]]</f>
        <v>0</v>
      </c>
      <c r="L8392" s="6">
        <f>IFERROR(IF(INDEX(tProdutos[Desconto homologado],MATCH(tItens[[#This Row],[Produto]],tProdutos[Produto],0))="",DescontoPadrao,INDEX(tProdutos[Desconto homologado],MATCH(tItens[[#This Row],[Produto]],tProdutos[Produto],0))),DescontoPadrao)</f>
        <v>0.25005895299481201</v>
      </c>
      <c r="M8392" s="12">
        <f>tItens[[#This Row],[Valor]]*(1-tItens[[#This Row],[Desconto]])</f>
        <v>0</v>
      </c>
      <c r="N8392" t="str">
        <f>IFERROR(INDEX(tProdutos[Foco],MATCH(tItens[[#This Row],[Produto]],tProdutos[Produto],0)),"Não")</f>
        <v>Não</v>
      </c>
      <c r="O8392" t="str">
        <f>IFERROR(INDEX(tEditais[SRP],MATCH(tItens[[#This Row],[Edital]],tEditais[Edital],0)),"Não")</f>
        <v>Não</v>
      </c>
      <c r="P8392" s="4">
        <f>IF(COUNTIFS(INDEX(tItens[Edital],1):tItens[[#This Row],[Edital]],tItens[[#This Row],[Edital]],INDEX(tItens[Produto],1):tItens[[#This Row],[Produto]],tItens[[#This Row],[Produto]])=1,1,0)</f>
        <v>0</v>
      </c>
    </row>
    <row r="8393" spans="1:16" x14ac:dyDescent="0.25">
      <c r="A8393" t="s">
        <v>2766</v>
      </c>
      <c r="B8393">
        <v>4</v>
      </c>
      <c r="C8393" t="s">
        <v>10836</v>
      </c>
      <c r="D8393" t="s">
        <v>375</v>
      </c>
      <c r="E8393" s="13">
        <v>6240</v>
      </c>
      <c r="F8393" s="12">
        <v>0</v>
      </c>
      <c r="G8393" t="str">
        <f>IFERROR(INDEX(tEditais[Órgão],MATCH(tItens[[#This Row],[Edital]],tEditais[Edital],0)),"")</f>
        <v>FUNDO MUNICIPAL DE SAUDE - FMS</v>
      </c>
      <c r="H8393" t="str">
        <f>IFERROR(INDEX(tEditais[UF],MATCH(tItens[[#This Row],[Edital]],tEditais[Edital],0)),"")</f>
        <v>SP</v>
      </c>
      <c r="I8393" s="11">
        <f>IFERROR(INDEX(tEditais[Encerramento],MATCH(tItens[[#This Row],[Edital]],tEditais[Edital],0)),"")</f>
        <v>46304.375</v>
      </c>
      <c r="J8393" t="str">
        <f>IFERROR(INDEX(tProdutos[Classe],MATCH(tItens[[#This Row],[Produto]],tProdutos[Produto],0)),"produto não cadastrado")</f>
        <v>FORA</v>
      </c>
      <c r="K8393" s="12">
        <f>tItens[[#This Row],[Qtd]]*tItens[[#This Row],[Vlr unit]]</f>
        <v>0</v>
      </c>
      <c r="L8393" s="6">
        <f>IFERROR(IF(INDEX(tProdutos[Desconto homologado],MATCH(tItens[[#This Row],[Produto]],tProdutos[Produto],0))="",DescontoPadrao,INDEX(tProdutos[Desconto homologado],MATCH(tItens[[#This Row],[Produto]],tProdutos[Produto],0))),DescontoPadrao)</f>
        <v>0.25005895299481201</v>
      </c>
      <c r="M8393" s="12">
        <f>tItens[[#This Row],[Valor]]*(1-tItens[[#This Row],[Desconto]])</f>
        <v>0</v>
      </c>
      <c r="N8393" t="str">
        <f>IFERROR(INDEX(tProdutos[Foco],MATCH(tItens[[#This Row],[Produto]],tProdutos[Produto],0)),"Não")</f>
        <v>Não</v>
      </c>
      <c r="O8393" t="str">
        <f>IFERROR(INDEX(tEditais[SRP],MATCH(tItens[[#This Row],[Edital]],tEditais[Edital],0)),"Não")</f>
        <v>Não</v>
      </c>
      <c r="P8393" s="4">
        <f>IF(COUNTIFS(INDEX(tItens[Edital],1):tItens[[#This Row],[Edital]],tItens[[#This Row],[Edital]],INDEX(tItens[Produto],1):tItens[[#This Row],[Produto]],tItens[[#This Row],[Produto]])=1,1,0)</f>
        <v>0</v>
      </c>
    </row>
    <row r="8394" spans="1:16" x14ac:dyDescent="0.25">
      <c r="A8394" t="s">
        <v>2769</v>
      </c>
      <c r="B8394">
        <v>1</v>
      </c>
      <c r="C8394" t="s">
        <v>10838</v>
      </c>
      <c r="D8394" t="s">
        <v>578</v>
      </c>
      <c r="E8394" s="13">
        <v>12</v>
      </c>
      <c r="F8394" s="12">
        <v>3129.99</v>
      </c>
      <c r="G8394" t="str">
        <f>IFERROR(INDEX(tEditais[Órgão],MATCH(tItens[[#This Row],[Edital]],tEditais[Edital],0)),"")</f>
        <v>MUNICIPIO DE BAURU</v>
      </c>
      <c r="H8394" t="str">
        <f>IFERROR(INDEX(tEditais[UF],MATCH(tItens[[#This Row],[Edital]],tEditais[Edital],0)),"")</f>
        <v>SP</v>
      </c>
      <c r="I8394" s="11">
        <f>IFERROR(INDEX(tEditais[Encerramento],MATCH(tItens[[#This Row],[Edital]],tEditais[Edital],0)),"")</f>
        <v>46304.375</v>
      </c>
      <c r="J8394" t="str">
        <f>IFERROR(INDEX(tProdutos[Classe],MATCH(tItens[[#This Row],[Produto]],tProdutos[Produto],0)),"produto não cadastrado")</f>
        <v>FILA REBASE</v>
      </c>
      <c r="K8394" s="12">
        <f>tItens[[#This Row],[Qtd]]*tItens[[#This Row],[Vlr unit]]</f>
        <v>37559.879999999997</v>
      </c>
      <c r="L8394" s="6">
        <f>IFERROR(IF(INDEX(tProdutos[Desconto homologado],MATCH(tItens[[#This Row],[Produto]],tProdutos[Produto],0))="",DescontoPadrao,INDEX(tProdutos[Desconto homologado],MATCH(tItens[[#This Row],[Produto]],tProdutos[Produto],0))),DescontoPadrao)</f>
        <v>0.36014625228519198</v>
      </c>
      <c r="M8394" s="12">
        <f>tItens[[#This Row],[Valor]]*(1-tItens[[#This Row],[Desconto]])</f>
        <v>24032.829981718463</v>
      </c>
      <c r="N8394" t="str">
        <f>IFERROR(INDEX(tProdutos[Foco],MATCH(tItens[[#This Row],[Produto]],tProdutos[Produto],0)),"Não")</f>
        <v>Não</v>
      </c>
      <c r="O8394" t="str">
        <f>IFERROR(INDEX(tEditais[SRP],MATCH(tItens[[#This Row],[Edital]],tEditais[Edital],0)),"Não")</f>
        <v>Não</v>
      </c>
      <c r="P8394" s="4">
        <f>IF(COUNTIFS(INDEX(tItens[Edital],1):tItens[[#This Row],[Edital]],tItens[[#This Row],[Edital]],INDEX(tItens[Produto],1):tItens[[#This Row],[Produto]],tItens[[#This Row],[Produto]])=1,1,0)</f>
        <v>1</v>
      </c>
    </row>
    <row r="8395" spans="1:16" x14ac:dyDescent="0.25">
      <c r="A8395" t="s">
        <v>2773</v>
      </c>
      <c r="B8395">
        <v>74</v>
      </c>
      <c r="C8395" t="s">
        <v>10839</v>
      </c>
      <c r="D8395" t="s">
        <v>500</v>
      </c>
      <c r="E8395" s="13">
        <v>300</v>
      </c>
      <c r="F8395" s="12">
        <v>2.63</v>
      </c>
      <c r="G8395" t="str">
        <f>IFERROR(INDEX(tEditais[Órgão],MATCH(tItens[[#This Row],[Edital]],tEditais[Edital],0)),"")</f>
        <v>PREFEITURA MUNICIPAL DE PARANAPANEMA</v>
      </c>
      <c r="H8395" t="str">
        <f>IFERROR(INDEX(tEditais[UF],MATCH(tItens[[#This Row],[Edital]],tEditais[Edital],0)),"")</f>
        <v>SP</v>
      </c>
      <c r="I8395" s="11">
        <f>IFERROR(INDEX(tEditais[Encerramento],MATCH(tItens[[#This Row],[Edital]],tEditais[Edital],0)),"")</f>
        <v>46304.375</v>
      </c>
      <c r="J8395" t="str">
        <f>IFERROR(INDEX(tProdutos[Classe],MATCH(tItens[[#This Row],[Produto]],tProdutos[Produto],0)),"produto não cadastrado")</f>
        <v>FILA REBASE</v>
      </c>
      <c r="K8395" s="12">
        <f>tItens[[#This Row],[Qtd]]*tItens[[#This Row],[Vlr unit]]</f>
        <v>789</v>
      </c>
      <c r="L8395" s="6">
        <f>IFERROR(IF(INDEX(tProdutos[Desconto homologado],MATCH(tItens[[#This Row],[Produto]],tProdutos[Produto],0))="",DescontoPadrao,INDEX(tProdutos[Desconto homologado],MATCH(tItens[[#This Row],[Produto]],tProdutos[Produto],0))),DescontoPadrao)</f>
        <v>0.267022226451467</v>
      </c>
      <c r="M8395" s="12">
        <f>tItens[[#This Row],[Valor]]*(1-tItens[[#This Row],[Desconto]])</f>
        <v>578.31946332979248</v>
      </c>
      <c r="N8395" t="str">
        <f>IFERROR(INDEX(tProdutos[Foco],MATCH(tItens[[#This Row],[Produto]],tProdutos[Produto],0)),"Não")</f>
        <v>Não</v>
      </c>
      <c r="O8395" t="str">
        <f>IFERROR(INDEX(tEditais[SRP],MATCH(tItens[[#This Row],[Edital]],tEditais[Edital],0)),"Não")</f>
        <v>Não</v>
      </c>
      <c r="P8395" s="4">
        <f>IF(COUNTIFS(INDEX(tItens[Edital],1):tItens[[#This Row],[Edital]],tItens[[#This Row],[Edital]],INDEX(tItens[Produto],1):tItens[[#This Row],[Produto]],tItens[[#This Row],[Produto]])=1,1,0)</f>
        <v>1</v>
      </c>
    </row>
    <row r="8396" spans="1:16" x14ac:dyDescent="0.25">
      <c r="A8396" t="s">
        <v>2777</v>
      </c>
      <c r="B8396">
        <v>2</v>
      </c>
      <c r="C8396" t="s">
        <v>10840</v>
      </c>
      <c r="D8396" t="s">
        <v>413</v>
      </c>
      <c r="E8396" s="13">
        <v>200</v>
      </c>
      <c r="F8396" s="12">
        <v>0</v>
      </c>
      <c r="G8396" t="str">
        <f>IFERROR(INDEX(tEditais[Órgão],MATCH(tItens[[#This Row],[Edital]],tEditais[Edital],0)),"")</f>
        <v>MUNICIPIO DE ATIBAIA</v>
      </c>
      <c r="H8396" t="str">
        <f>IFERROR(INDEX(tEditais[UF],MATCH(tItens[[#This Row],[Edital]],tEditais[Edital],0)),"")</f>
        <v>SP</v>
      </c>
      <c r="I8396" s="11">
        <f>IFERROR(INDEX(tEditais[Encerramento],MATCH(tItens[[#This Row],[Edital]],tEditais[Edital],0)),"")</f>
        <v>46304.395833333336</v>
      </c>
      <c r="J8396" t="str">
        <f>IFERROR(INDEX(tProdutos[Classe],MATCH(tItens[[#This Row],[Produto]],tProdutos[Produto],0)),"produto não cadastrado")</f>
        <v>FORA</v>
      </c>
      <c r="K8396" s="12">
        <f>tItens[[#This Row],[Qtd]]*tItens[[#This Row],[Vlr unit]]</f>
        <v>0</v>
      </c>
      <c r="L8396" s="6">
        <f>IFERROR(IF(INDEX(tProdutos[Desconto homologado],MATCH(tItens[[#This Row],[Produto]],tProdutos[Produto],0))="",DescontoPadrao,INDEX(tProdutos[Desconto homologado],MATCH(tItens[[#This Row],[Produto]],tProdutos[Produto],0))),DescontoPadrao)</f>
        <v>0.477732793522267</v>
      </c>
      <c r="M8396" s="12">
        <f>tItens[[#This Row],[Valor]]*(1-tItens[[#This Row],[Desconto]])</f>
        <v>0</v>
      </c>
      <c r="N8396" t="str">
        <f>IFERROR(INDEX(tProdutos[Foco],MATCH(tItens[[#This Row],[Produto]],tProdutos[Produto],0)),"Não")</f>
        <v>Não</v>
      </c>
      <c r="O8396" t="str">
        <f>IFERROR(INDEX(tEditais[SRP],MATCH(tItens[[#This Row],[Edital]],tEditais[Edital],0)),"Não")</f>
        <v>Não</v>
      </c>
      <c r="P8396" s="4">
        <f>IF(COUNTIFS(INDEX(tItens[Edital],1):tItens[[#This Row],[Edital]],tItens[[#This Row],[Edital]],INDEX(tItens[Produto],1):tItens[[#This Row],[Produto]],tItens[[#This Row],[Produto]])=1,1,0)</f>
        <v>1</v>
      </c>
    </row>
    <row r="8397" spans="1:16" x14ac:dyDescent="0.25">
      <c r="A8397" t="s">
        <v>2777</v>
      </c>
      <c r="B8397">
        <v>3</v>
      </c>
      <c r="C8397" t="s">
        <v>10841</v>
      </c>
      <c r="D8397" t="s">
        <v>413</v>
      </c>
      <c r="E8397" s="13">
        <v>200</v>
      </c>
      <c r="F8397" s="12">
        <v>0</v>
      </c>
      <c r="G8397" t="str">
        <f>IFERROR(INDEX(tEditais[Órgão],MATCH(tItens[[#This Row],[Edital]],tEditais[Edital],0)),"")</f>
        <v>MUNICIPIO DE ATIBAIA</v>
      </c>
      <c r="H8397" t="str">
        <f>IFERROR(INDEX(tEditais[UF],MATCH(tItens[[#This Row],[Edital]],tEditais[Edital],0)),"")</f>
        <v>SP</v>
      </c>
      <c r="I8397" s="11">
        <f>IFERROR(INDEX(tEditais[Encerramento],MATCH(tItens[[#This Row],[Edital]],tEditais[Edital],0)),"")</f>
        <v>46304.395833333336</v>
      </c>
      <c r="J8397" t="str">
        <f>IFERROR(INDEX(tProdutos[Classe],MATCH(tItens[[#This Row],[Produto]],tProdutos[Produto],0)),"produto não cadastrado")</f>
        <v>FORA</v>
      </c>
      <c r="K8397" s="12">
        <f>tItens[[#This Row],[Qtd]]*tItens[[#This Row],[Vlr unit]]</f>
        <v>0</v>
      </c>
      <c r="L8397" s="6">
        <f>IFERROR(IF(INDEX(tProdutos[Desconto homologado],MATCH(tItens[[#This Row],[Produto]],tProdutos[Produto],0))="",DescontoPadrao,INDEX(tProdutos[Desconto homologado],MATCH(tItens[[#This Row],[Produto]],tProdutos[Produto],0))),DescontoPadrao)</f>
        <v>0.477732793522267</v>
      </c>
      <c r="M8397" s="12">
        <f>tItens[[#This Row],[Valor]]*(1-tItens[[#This Row],[Desconto]])</f>
        <v>0</v>
      </c>
      <c r="N8397" t="str">
        <f>IFERROR(INDEX(tProdutos[Foco],MATCH(tItens[[#This Row],[Produto]],tProdutos[Produto],0)),"Não")</f>
        <v>Não</v>
      </c>
      <c r="O8397" t="str">
        <f>IFERROR(INDEX(tEditais[SRP],MATCH(tItens[[#This Row],[Edital]],tEditais[Edital],0)),"Não")</f>
        <v>Não</v>
      </c>
      <c r="P8397" s="4">
        <f>IF(COUNTIFS(INDEX(tItens[Edital],1):tItens[[#This Row],[Edital]],tItens[[#This Row],[Edital]],INDEX(tItens[Produto],1):tItens[[#This Row],[Produto]],tItens[[#This Row],[Produto]])=1,1,0)</f>
        <v>0</v>
      </c>
    </row>
    <row r="8398" spans="1:16" x14ac:dyDescent="0.25">
      <c r="A8398" t="s">
        <v>2777</v>
      </c>
      <c r="B8398">
        <v>4</v>
      </c>
      <c r="C8398" t="s">
        <v>10842</v>
      </c>
      <c r="D8398" t="s">
        <v>413</v>
      </c>
      <c r="E8398" s="13">
        <v>200</v>
      </c>
      <c r="F8398" s="12">
        <v>0</v>
      </c>
      <c r="G8398" t="str">
        <f>IFERROR(INDEX(tEditais[Órgão],MATCH(tItens[[#This Row],[Edital]],tEditais[Edital],0)),"")</f>
        <v>MUNICIPIO DE ATIBAIA</v>
      </c>
      <c r="H8398" t="str">
        <f>IFERROR(INDEX(tEditais[UF],MATCH(tItens[[#This Row],[Edital]],tEditais[Edital],0)),"")</f>
        <v>SP</v>
      </c>
      <c r="I8398" s="11">
        <f>IFERROR(INDEX(tEditais[Encerramento],MATCH(tItens[[#This Row],[Edital]],tEditais[Edital],0)),"")</f>
        <v>46304.395833333336</v>
      </c>
      <c r="J8398" t="str">
        <f>IFERROR(INDEX(tProdutos[Classe],MATCH(tItens[[#This Row],[Produto]],tProdutos[Produto],0)),"produto não cadastrado")</f>
        <v>FORA</v>
      </c>
      <c r="K8398" s="12">
        <f>tItens[[#This Row],[Qtd]]*tItens[[#This Row],[Vlr unit]]</f>
        <v>0</v>
      </c>
      <c r="L8398" s="6">
        <f>IFERROR(IF(INDEX(tProdutos[Desconto homologado],MATCH(tItens[[#This Row],[Produto]],tProdutos[Produto],0))="",DescontoPadrao,INDEX(tProdutos[Desconto homologado],MATCH(tItens[[#This Row],[Produto]],tProdutos[Produto],0))),DescontoPadrao)</f>
        <v>0.477732793522267</v>
      </c>
      <c r="M8398" s="12">
        <f>tItens[[#This Row],[Valor]]*(1-tItens[[#This Row],[Desconto]])</f>
        <v>0</v>
      </c>
      <c r="N8398" t="str">
        <f>IFERROR(INDEX(tProdutos[Foco],MATCH(tItens[[#This Row],[Produto]],tProdutos[Produto],0)),"Não")</f>
        <v>Não</v>
      </c>
      <c r="O8398" t="str">
        <f>IFERROR(INDEX(tEditais[SRP],MATCH(tItens[[#This Row],[Edital]],tEditais[Edital],0)),"Não")</f>
        <v>Não</v>
      </c>
      <c r="P8398" s="4">
        <f>IF(COUNTIFS(INDEX(tItens[Edital],1):tItens[[#This Row],[Edital]],tItens[[#This Row],[Edital]],INDEX(tItens[Produto],1):tItens[[#This Row],[Produto]],tItens[[#This Row],[Produto]])=1,1,0)</f>
        <v>0</v>
      </c>
    </row>
    <row r="8399" spans="1:16" x14ac:dyDescent="0.25">
      <c r="A8399" t="s">
        <v>2777</v>
      </c>
      <c r="B8399">
        <v>5</v>
      </c>
      <c r="C8399" t="s">
        <v>10843</v>
      </c>
      <c r="D8399" t="s">
        <v>283</v>
      </c>
      <c r="E8399" s="13">
        <v>5000</v>
      </c>
      <c r="F8399" s="12">
        <v>0</v>
      </c>
      <c r="G8399" t="str">
        <f>IFERROR(INDEX(tEditais[Órgão],MATCH(tItens[[#This Row],[Edital]],tEditais[Edital],0)),"")</f>
        <v>MUNICIPIO DE ATIBAIA</v>
      </c>
      <c r="H8399" t="str">
        <f>IFERROR(INDEX(tEditais[UF],MATCH(tItens[[#This Row],[Edital]],tEditais[Edital],0)),"")</f>
        <v>SP</v>
      </c>
      <c r="I8399" s="11">
        <f>IFERROR(INDEX(tEditais[Encerramento],MATCH(tItens[[#This Row],[Edital]],tEditais[Edital],0)),"")</f>
        <v>46304.395833333336</v>
      </c>
      <c r="J8399" t="str">
        <f>IFERROR(INDEX(tProdutos[Classe],MATCH(tItens[[#This Row],[Produto]],tProdutos[Produto],0)),"produto não cadastrado")</f>
        <v>FORA</v>
      </c>
      <c r="K8399" s="12">
        <f>tItens[[#This Row],[Qtd]]*tItens[[#This Row],[Vlr unit]]</f>
        <v>0</v>
      </c>
      <c r="L8399" s="6">
        <f>IFERROR(IF(INDEX(tProdutos[Desconto homologado],MATCH(tItens[[#This Row],[Produto]],tProdutos[Produto],0))="",DescontoPadrao,INDEX(tProdutos[Desconto homologado],MATCH(tItens[[#This Row],[Produto]],tProdutos[Produto],0))),DescontoPadrao)</f>
        <v>0.40540540540540498</v>
      </c>
      <c r="M8399" s="12">
        <f>tItens[[#This Row],[Valor]]*(1-tItens[[#This Row],[Desconto]])</f>
        <v>0</v>
      </c>
      <c r="N8399" t="str">
        <f>IFERROR(INDEX(tProdutos[Foco],MATCH(tItens[[#This Row],[Produto]],tProdutos[Produto],0)),"Não")</f>
        <v>Não</v>
      </c>
      <c r="O8399" t="str">
        <f>IFERROR(INDEX(tEditais[SRP],MATCH(tItens[[#This Row],[Edital]],tEditais[Edital],0)),"Não")</f>
        <v>Não</v>
      </c>
      <c r="P8399" s="4">
        <f>IF(COUNTIFS(INDEX(tItens[Edital],1):tItens[[#This Row],[Edital]],tItens[[#This Row],[Edital]],INDEX(tItens[Produto],1):tItens[[#This Row],[Produto]],tItens[[#This Row],[Produto]])=1,1,0)</f>
        <v>1</v>
      </c>
    </row>
    <row r="8400" spans="1:16" x14ac:dyDescent="0.25">
      <c r="A8400" t="s">
        <v>2781</v>
      </c>
      <c r="B8400">
        <v>4</v>
      </c>
      <c r="C8400" t="s">
        <v>8550</v>
      </c>
      <c r="D8400" t="s">
        <v>98</v>
      </c>
      <c r="E8400" s="13">
        <v>50</v>
      </c>
      <c r="F8400" s="12">
        <v>2.5499999999999998</v>
      </c>
      <c r="G8400" t="str">
        <f>IFERROR(INDEX(tEditais[Órgão],MATCH(tItens[[#This Row],[Edital]],tEditais[Edital],0)),"")</f>
        <v>MUNICIPIO DE GUARUJA</v>
      </c>
      <c r="H8400" t="str">
        <f>IFERROR(INDEX(tEditais[UF],MATCH(tItens[[#This Row],[Edital]],tEditais[Edital],0)),"")</f>
        <v>SP</v>
      </c>
      <c r="I8400" s="11">
        <f>IFERROR(INDEX(tEditais[Encerramento],MATCH(tItens[[#This Row],[Edital]],tEditais[Edital],0)),"")</f>
        <v>46304.395833333336</v>
      </c>
      <c r="J8400" t="str">
        <f>IFERROR(INDEX(tProdutos[Classe],MATCH(tItens[[#This Row],[Produto]],tProdutos[Produto],0)),"produto não cadastrado")</f>
        <v>NÚCLEO</v>
      </c>
      <c r="K8400" s="12">
        <f>tItens[[#This Row],[Qtd]]*tItens[[#This Row],[Vlr unit]]</f>
        <v>127.49999999999999</v>
      </c>
      <c r="L8400" s="6">
        <f>IFERROR(IF(INDEX(tProdutos[Desconto homologado],MATCH(tItens[[#This Row],[Produto]],tProdutos[Produto],0))="",DescontoPadrao,INDEX(tProdutos[Desconto homologado],MATCH(tItens[[#This Row],[Produto]],tProdutos[Produto],0))),DescontoPadrao)</f>
        <v>0.39</v>
      </c>
      <c r="M8400" s="12">
        <f>tItens[[#This Row],[Valor]]*(1-tItens[[#This Row],[Desconto]])</f>
        <v>77.774999999999991</v>
      </c>
      <c r="N8400" t="str">
        <f>IFERROR(INDEX(tProdutos[Foco],MATCH(tItens[[#This Row],[Produto]],tProdutos[Produto],0)),"Não")</f>
        <v>Sim</v>
      </c>
      <c r="O8400" t="str">
        <f>IFERROR(INDEX(tEditais[SRP],MATCH(tItens[[#This Row],[Edital]],tEditais[Edital],0)),"Não")</f>
        <v>Sim</v>
      </c>
      <c r="P8400" s="4">
        <f>IF(COUNTIFS(INDEX(tItens[Edital],1):tItens[[#This Row],[Edital]],tItens[[#This Row],[Edital]],INDEX(tItens[Produto],1):tItens[[#This Row],[Produto]],tItens[[#This Row],[Produto]])=1,1,0)</f>
        <v>1</v>
      </c>
    </row>
    <row r="8401" spans="1:16" x14ac:dyDescent="0.25">
      <c r="A8401" t="s">
        <v>2781</v>
      </c>
      <c r="B8401">
        <v>5</v>
      </c>
      <c r="C8401" t="s">
        <v>8551</v>
      </c>
      <c r="D8401" t="s">
        <v>98</v>
      </c>
      <c r="E8401" s="13">
        <v>50</v>
      </c>
      <c r="F8401" s="12">
        <v>2.5499999999999998</v>
      </c>
      <c r="G8401" t="str">
        <f>IFERROR(INDEX(tEditais[Órgão],MATCH(tItens[[#This Row],[Edital]],tEditais[Edital],0)),"")</f>
        <v>MUNICIPIO DE GUARUJA</v>
      </c>
      <c r="H8401" t="str">
        <f>IFERROR(INDEX(tEditais[UF],MATCH(tItens[[#This Row],[Edital]],tEditais[Edital],0)),"")</f>
        <v>SP</v>
      </c>
      <c r="I8401" s="11">
        <f>IFERROR(INDEX(tEditais[Encerramento],MATCH(tItens[[#This Row],[Edital]],tEditais[Edital],0)),"")</f>
        <v>46304.395833333336</v>
      </c>
      <c r="J8401" t="str">
        <f>IFERROR(INDEX(tProdutos[Classe],MATCH(tItens[[#This Row],[Produto]],tProdutos[Produto],0)),"produto não cadastrado")</f>
        <v>NÚCLEO</v>
      </c>
      <c r="K8401" s="12">
        <f>tItens[[#This Row],[Qtd]]*tItens[[#This Row],[Vlr unit]]</f>
        <v>127.49999999999999</v>
      </c>
      <c r="L8401" s="6">
        <f>IFERROR(IF(INDEX(tProdutos[Desconto homologado],MATCH(tItens[[#This Row],[Produto]],tProdutos[Produto],0))="",DescontoPadrao,INDEX(tProdutos[Desconto homologado],MATCH(tItens[[#This Row],[Produto]],tProdutos[Produto],0))),DescontoPadrao)</f>
        <v>0.39</v>
      </c>
      <c r="M8401" s="12">
        <f>tItens[[#This Row],[Valor]]*(1-tItens[[#This Row],[Desconto]])</f>
        <v>77.774999999999991</v>
      </c>
      <c r="N8401" t="str">
        <f>IFERROR(INDEX(tProdutos[Foco],MATCH(tItens[[#This Row],[Produto]],tProdutos[Produto],0)),"Não")</f>
        <v>Sim</v>
      </c>
      <c r="O8401" t="str">
        <f>IFERROR(INDEX(tEditais[SRP],MATCH(tItens[[#This Row],[Edital]],tEditais[Edital],0)),"Não")</f>
        <v>Sim</v>
      </c>
      <c r="P8401" s="4">
        <f>IF(COUNTIFS(INDEX(tItens[Edital],1):tItens[[#This Row],[Edital]],tItens[[#This Row],[Edital]],INDEX(tItens[Produto],1):tItens[[#This Row],[Produto]],tItens[[#This Row],[Produto]])=1,1,0)</f>
        <v>0</v>
      </c>
    </row>
    <row r="8402" spans="1:16" x14ac:dyDescent="0.25">
      <c r="A8402" t="s">
        <v>2781</v>
      </c>
      <c r="B8402">
        <v>6</v>
      </c>
      <c r="C8402" t="s">
        <v>8552</v>
      </c>
      <c r="D8402" t="s">
        <v>98</v>
      </c>
      <c r="E8402" s="13">
        <v>50</v>
      </c>
      <c r="F8402" s="12">
        <v>3</v>
      </c>
      <c r="G8402" t="str">
        <f>IFERROR(INDEX(tEditais[Órgão],MATCH(tItens[[#This Row],[Edital]],tEditais[Edital],0)),"")</f>
        <v>MUNICIPIO DE GUARUJA</v>
      </c>
      <c r="H8402" t="str">
        <f>IFERROR(INDEX(tEditais[UF],MATCH(tItens[[#This Row],[Edital]],tEditais[Edital],0)),"")</f>
        <v>SP</v>
      </c>
      <c r="I8402" s="11">
        <f>IFERROR(INDEX(tEditais[Encerramento],MATCH(tItens[[#This Row],[Edital]],tEditais[Edital],0)),"")</f>
        <v>46304.395833333336</v>
      </c>
      <c r="J8402" t="str">
        <f>IFERROR(INDEX(tProdutos[Classe],MATCH(tItens[[#This Row],[Produto]],tProdutos[Produto],0)),"produto não cadastrado")</f>
        <v>NÚCLEO</v>
      </c>
      <c r="K8402" s="12">
        <f>tItens[[#This Row],[Qtd]]*tItens[[#This Row],[Vlr unit]]</f>
        <v>150</v>
      </c>
      <c r="L8402" s="6">
        <f>IFERROR(IF(INDEX(tProdutos[Desconto homologado],MATCH(tItens[[#This Row],[Produto]],tProdutos[Produto],0))="",DescontoPadrao,INDEX(tProdutos[Desconto homologado],MATCH(tItens[[#This Row],[Produto]],tProdutos[Produto],0))),DescontoPadrao)</f>
        <v>0.39</v>
      </c>
      <c r="M8402" s="12">
        <f>tItens[[#This Row],[Valor]]*(1-tItens[[#This Row],[Desconto]])</f>
        <v>91.5</v>
      </c>
      <c r="N8402" t="str">
        <f>IFERROR(INDEX(tProdutos[Foco],MATCH(tItens[[#This Row],[Produto]],tProdutos[Produto],0)),"Não")</f>
        <v>Sim</v>
      </c>
      <c r="O8402" t="str">
        <f>IFERROR(INDEX(tEditais[SRP],MATCH(tItens[[#This Row],[Edital]],tEditais[Edital],0)),"Não")</f>
        <v>Sim</v>
      </c>
      <c r="P8402" s="4">
        <f>IF(COUNTIFS(INDEX(tItens[Edital],1):tItens[[#This Row],[Edital]],tItens[[#This Row],[Edital]],INDEX(tItens[Produto],1):tItens[[#This Row],[Produto]],tItens[[#This Row],[Produto]])=1,1,0)</f>
        <v>0</v>
      </c>
    </row>
    <row r="8403" spans="1:16" x14ac:dyDescent="0.25">
      <c r="A8403" t="s">
        <v>2781</v>
      </c>
      <c r="B8403">
        <v>7</v>
      </c>
      <c r="C8403" t="s">
        <v>8553</v>
      </c>
      <c r="D8403" t="s">
        <v>98</v>
      </c>
      <c r="E8403" s="13">
        <v>100</v>
      </c>
      <c r="F8403" s="12">
        <v>3.15</v>
      </c>
      <c r="G8403" t="str">
        <f>IFERROR(INDEX(tEditais[Órgão],MATCH(tItens[[#This Row],[Edital]],tEditais[Edital],0)),"")</f>
        <v>MUNICIPIO DE GUARUJA</v>
      </c>
      <c r="H8403" t="str">
        <f>IFERROR(INDEX(tEditais[UF],MATCH(tItens[[#This Row],[Edital]],tEditais[Edital],0)),"")</f>
        <v>SP</v>
      </c>
      <c r="I8403" s="11">
        <f>IFERROR(INDEX(tEditais[Encerramento],MATCH(tItens[[#This Row],[Edital]],tEditais[Edital],0)),"")</f>
        <v>46304.395833333336</v>
      </c>
      <c r="J8403" t="str">
        <f>IFERROR(INDEX(tProdutos[Classe],MATCH(tItens[[#This Row],[Produto]],tProdutos[Produto],0)),"produto não cadastrado")</f>
        <v>NÚCLEO</v>
      </c>
      <c r="K8403" s="12">
        <f>tItens[[#This Row],[Qtd]]*tItens[[#This Row],[Vlr unit]]</f>
        <v>315</v>
      </c>
      <c r="L8403" s="6">
        <f>IFERROR(IF(INDEX(tProdutos[Desconto homologado],MATCH(tItens[[#This Row],[Produto]],tProdutos[Produto],0))="",DescontoPadrao,INDEX(tProdutos[Desconto homologado],MATCH(tItens[[#This Row],[Produto]],tProdutos[Produto],0))),DescontoPadrao)</f>
        <v>0.39</v>
      </c>
      <c r="M8403" s="12">
        <f>tItens[[#This Row],[Valor]]*(1-tItens[[#This Row],[Desconto]])</f>
        <v>192.15</v>
      </c>
      <c r="N8403" t="str">
        <f>IFERROR(INDEX(tProdutos[Foco],MATCH(tItens[[#This Row],[Produto]],tProdutos[Produto],0)),"Não")</f>
        <v>Sim</v>
      </c>
      <c r="O8403" t="str">
        <f>IFERROR(INDEX(tEditais[SRP],MATCH(tItens[[#This Row],[Edital]],tEditais[Edital],0)),"Não")</f>
        <v>Sim</v>
      </c>
      <c r="P8403" s="4">
        <f>IF(COUNTIFS(INDEX(tItens[Edital],1):tItens[[#This Row],[Edital]],tItens[[#This Row],[Edital]],INDEX(tItens[Produto],1):tItens[[#This Row],[Produto]],tItens[[#This Row],[Produto]])=1,1,0)</f>
        <v>0</v>
      </c>
    </row>
    <row r="8404" spans="1:16" x14ac:dyDescent="0.25">
      <c r="A8404" t="s">
        <v>2781</v>
      </c>
      <c r="B8404">
        <v>8</v>
      </c>
      <c r="C8404" t="s">
        <v>8554</v>
      </c>
      <c r="D8404" t="s">
        <v>98</v>
      </c>
      <c r="E8404" s="13">
        <v>50</v>
      </c>
      <c r="F8404" s="12">
        <v>3.02</v>
      </c>
      <c r="G8404" t="str">
        <f>IFERROR(INDEX(tEditais[Órgão],MATCH(tItens[[#This Row],[Edital]],tEditais[Edital],0)),"")</f>
        <v>MUNICIPIO DE GUARUJA</v>
      </c>
      <c r="H8404" t="str">
        <f>IFERROR(INDEX(tEditais[UF],MATCH(tItens[[#This Row],[Edital]],tEditais[Edital],0)),"")</f>
        <v>SP</v>
      </c>
      <c r="I8404" s="11">
        <f>IFERROR(INDEX(tEditais[Encerramento],MATCH(tItens[[#This Row],[Edital]],tEditais[Edital],0)),"")</f>
        <v>46304.395833333336</v>
      </c>
      <c r="J8404" t="str">
        <f>IFERROR(INDEX(tProdutos[Classe],MATCH(tItens[[#This Row],[Produto]],tProdutos[Produto],0)),"produto não cadastrado")</f>
        <v>NÚCLEO</v>
      </c>
      <c r="K8404" s="12">
        <f>tItens[[#This Row],[Qtd]]*tItens[[#This Row],[Vlr unit]]</f>
        <v>151</v>
      </c>
      <c r="L8404" s="6">
        <f>IFERROR(IF(INDEX(tProdutos[Desconto homologado],MATCH(tItens[[#This Row],[Produto]],tProdutos[Produto],0))="",DescontoPadrao,INDEX(tProdutos[Desconto homologado],MATCH(tItens[[#This Row],[Produto]],tProdutos[Produto],0))),DescontoPadrao)</f>
        <v>0.39</v>
      </c>
      <c r="M8404" s="12">
        <f>tItens[[#This Row],[Valor]]*(1-tItens[[#This Row],[Desconto]])</f>
        <v>92.11</v>
      </c>
      <c r="N8404" t="str">
        <f>IFERROR(INDEX(tProdutos[Foco],MATCH(tItens[[#This Row],[Produto]],tProdutos[Produto],0)),"Não")</f>
        <v>Sim</v>
      </c>
      <c r="O8404" t="str">
        <f>IFERROR(INDEX(tEditais[SRP],MATCH(tItens[[#This Row],[Edital]],tEditais[Edital],0)),"Não")</f>
        <v>Sim</v>
      </c>
      <c r="P8404" s="4">
        <f>IF(COUNTIFS(INDEX(tItens[Edital],1):tItens[[#This Row],[Edital]],tItens[[#This Row],[Edital]],INDEX(tItens[Produto],1):tItens[[#This Row],[Produto]],tItens[[#This Row],[Produto]])=1,1,0)</f>
        <v>0</v>
      </c>
    </row>
    <row r="8405" spans="1:16" x14ac:dyDescent="0.25">
      <c r="A8405" t="s">
        <v>2781</v>
      </c>
      <c r="B8405">
        <v>9</v>
      </c>
      <c r="C8405" t="s">
        <v>10410</v>
      </c>
      <c r="D8405" t="s">
        <v>110</v>
      </c>
      <c r="E8405" s="13">
        <v>500</v>
      </c>
      <c r="F8405" s="12">
        <v>1</v>
      </c>
      <c r="G8405" t="str">
        <f>IFERROR(INDEX(tEditais[Órgão],MATCH(tItens[[#This Row],[Edital]],tEditais[Edital],0)),"")</f>
        <v>MUNICIPIO DE GUARUJA</v>
      </c>
      <c r="H8405" t="str">
        <f>IFERROR(INDEX(tEditais[UF],MATCH(tItens[[#This Row],[Edital]],tEditais[Edital],0)),"")</f>
        <v>SP</v>
      </c>
      <c r="I8405" s="11">
        <f>IFERROR(INDEX(tEditais[Encerramento],MATCH(tItens[[#This Row],[Edital]],tEditais[Edital],0)),"")</f>
        <v>46304.395833333336</v>
      </c>
      <c r="J8405" t="str">
        <f>IFERROR(INDEX(tProdutos[Classe],MATCH(tItens[[#This Row],[Produto]],tProdutos[Produto],0)),"produto não cadastrado")</f>
        <v>NÚCLEO</v>
      </c>
      <c r="K8405" s="12">
        <f>tItens[[#This Row],[Qtd]]*tItens[[#This Row],[Vlr unit]]</f>
        <v>500</v>
      </c>
      <c r="L8405" s="6">
        <f>IFERROR(IF(INDEX(tProdutos[Desconto homologado],MATCH(tItens[[#This Row],[Produto]],tProdutos[Produto],0))="",DescontoPadrao,INDEX(tProdutos[Desconto homologado],MATCH(tItens[[#This Row],[Produto]],tProdutos[Produto],0))),DescontoPadrao)</f>
        <v>0.30410958904109597</v>
      </c>
      <c r="M8405" s="12">
        <f>tItens[[#This Row],[Valor]]*(1-tItens[[#This Row],[Desconto]])</f>
        <v>347.945205479452</v>
      </c>
      <c r="N8405" t="str">
        <f>IFERROR(INDEX(tProdutos[Foco],MATCH(tItens[[#This Row],[Produto]],tProdutos[Produto],0)),"Não")</f>
        <v>Não</v>
      </c>
      <c r="O8405" t="str">
        <f>IFERROR(INDEX(tEditais[SRP],MATCH(tItens[[#This Row],[Edital]],tEditais[Edital],0)),"Não")</f>
        <v>Sim</v>
      </c>
      <c r="P8405" s="4">
        <f>IF(COUNTIFS(INDEX(tItens[Edital],1):tItens[[#This Row],[Edital]],tItens[[#This Row],[Edital]],INDEX(tItens[Produto],1):tItens[[#This Row],[Produto]],tItens[[#This Row],[Produto]])=1,1,0)</f>
        <v>1</v>
      </c>
    </row>
    <row r="8406" spans="1:16" x14ac:dyDescent="0.25">
      <c r="A8406" t="s">
        <v>2781</v>
      </c>
      <c r="B8406">
        <v>10</v>
      </c>
      <c r="C8406" t="s">
        <v>8632</v>
      </c>
      <c r="D8406" t="s">
        <v>110</v>
      </c>
      <c r="E8406" s="13">
        <v>500</v>
      </c>
      <c r="F8406" s="12">
        <v>1.01</v>
      </c>
      <c r="G8406" t="str">
        <f>IFERROR(INDEX(tEditais[Órgão],MATCH(tItens[[#This Row],[Edital]],tEditais[Edital],0)),"")</f>
        <v>MUNICIPIO DE GUARUJA</v>
      </c>
      <c r="H8406" t="str">
        <f>IFERROR(INDEX(tEditais[UF],MATCH(tItens[[#This Row],[Edital]],tEditais[Edital],0)),"")</f>
        <v>SP</v>
      </c>
      <c r="I8406" s="11">
        <f>IFERROR(INDEX(tEditais[Encerramento],MATCH(tItens[[#This Row],[Edital]],tEditais[Edital],0)),"")</f>
        <v>46304.395833333336</v>
      </c>
      <c r="J8406" t="str">
        <f>IFERROR(INDEX(tProdutos[Classe],MATCH(tItens[[#This Row],[Produto]],tProdutos[Produto],0)),"produto não cadastrado")</f>
        <v>NÚCLEO</v>
      </c>
      <c r="K8406" s="12">
        <f>tItens[[#This Row],[Qtd]]*tItens[[#This Row],[Vlr unit]]</f>
        <v>505</v>
      </c>
      <c r="L8406" s="6">
        <f>IFERROR(IF(INDEX(tProdutos[Desconto homologado],MATCH(tItens[[#This Row],[Produto]],tProdutos[Produto],0))="",DescontoPadrao,INDEX(tProdutos[Desconto homologado],MATCH(tItens[[#This Row],[Produto]],tProdutos[Produto],0))),DescontoPadrao)</f>
        <v>0.30410958904109597</v>
      </c>
      <c r="M8406" s="12">
        <f>tItens[[#This Row],[Valor]]*(1-tItens[[#This Row],[Desconto]])</f>
        <v>351.42465753424653</v>
      </c>
      <c r="N8406" t="str">
        <f>IFERROR(INDEX(tProdutos[Foco],MATCH(tItens[[#This Row],[Produto]],tProdutos[Produto],0)),"Não")</f>
        <v>Não</v>
      </c>
      <c r="O8406" t="str">
        <f>IFERROR(INDEX(tEditais[SRP],MATCH(tItens[[#This Row],[Edital]],tEditais[Edital],0)),"Não")</f>
        <v>Sim</v>
      </c>
      <c r="P8406" s="4">
        <f>IF(COUNTIFS(INDEX(tItens[Edital],1):tItens[[#This Row],[Edital]],tItens[[#This Row],[Edital]],INDEX(tItens[Produto],1):tItens[[#This Row],[Produto]],tItens[[#This Row],[Produto]])=1,1,0)</f>
        <v>0</v>
      </c>
    </row>
    <row r="8407" spans="1:16" x14ac:dyDescent="0.25">
      <c r="A8407" t="s">
        <v>2781</v>
      </c>
      <c r="B8407">
        <v>11</v>
      </c>
      <c r="C8407" t="s">
        <v>8633</v>
      </c>
      <c r="D8407" t="s">
        <v>110</v>
      </c>
      <c r="E8407" s="13">
        <v>500</v>
      </c>
      <c r="F8407" s="12">
        <v>1.06</v>
      </c>
      <c r="G8407" t="str">
        <f>IFERROR(INDEX(tEditais[Órgão],MATCH(tItens[[#This Row],[Edital]],tEditais[Edital],0)),"")</f>
        <v>MUNICIPIO DE GUARUJA</v>
      </c>
      <c r="H8407" t="str">
        <f>IFERROR(INDEX(tEditais[UF],MATCH(tItens[[#This Row],[Edital]],tEditais[Edital],0)),"")</f>
        <v>SP</v>
      </c>
      <c r="I8407" s="11">
        <f>IFERROR(INDEX(tEditais[Encerramento],MATCH(tItens[[#This Row],[Edital]],tEditais[Edital],0)),"")</f>
        <v>46304.395833333336</v>
      </c>
      <c r="J8407" t="str">
        <f>IFERROR(INDEX(tProdutos[Classe],MATCH(tItens[[#This Row],[Produto]],tProdutos[Produto],0)),"produto não cadastrado")</f>
        <v>NÚCLEO</v>
      </c>
      <c r="K8407" s="12">
        <f>tItens[[#This Row],[Qtd]]*tItens[[#This Row],[Vlr unit]]</f>
        <v>530</v>
      </c>
      <c r="L8407" s="6">
        <f>IFERROR(IF(INDEX(tProdutos[Desconto homologado],MATCH(tItens[[#This Row],[Produto]],tProdutos[Produto],0))="",DescontoPadrao,INDEX(tProdutos[Desconto homologado],MATCH(tItens[[#This Row],[Produto]],tProdutos[Produto],0))),DescontoPadrao)</f>
        <v>0.30410958904109597</v>
      </c>
      <c r="M8407" s="12">
        <f>tItens[[#This Row],[Valor]]*(1-tItens[[#This Row],[Desconto]])</f>
        <v>368.82191780821915</v>
      </c>
      <c r="N8407" t="str">
        <f>IFERROR(INDEX(tProdutos[Foco],MATCH(tItens[[#This Row],[Produto]],tProdutos[Produto],0)),"Não")</f>
        <v>Não</v>
      </c>
      <c r="O8407" t="str">
        <f>IFERROR(INDEX(tEditais[SRP],MATCH(tItens[[#This Row],[Edital]],tEditais[Edital],0)),"Não")</f>
        <v>Sim</v>
      </c>
      <c r="P8407" s="4">
        <f>IF(COUNTIFS(INDEX(tItens[Edital],1):tItens[[#This Row],[Edital]],tItens[[#This Row],[Edital]],INDEX(tItens[Produto],1):tItens[[#This Row],[Produto]],tItens[[#This Row],[Produto]])=1,1,0)</f>
        <v>0</v>
      </c>
    </row>
    <row r="8408" spans="1:16" x14ac:dyDescent="0.25">
      <c r="A8408" t="s">
        <v>2781</v>
      </c>
      <c r="B8408">
        <v>12</v>
      </c>
      <c r="C8408" t="s">
        <v>8639</v>
      </c>
      <c r="D8408" t="s">
        <v>110</v>
      </c>
      <c r="E8408" s="13">
        <v>500</v>
      </c>
      <c r="F8408" s="12">
        <v>1.1599999999999999</v>
      </c>
      <c r="G8408" t="str">
        <f>IFERROR(INDEX(tEditais[Órgão],MATCH(tItens[[#This Row],[Edital]],tEditais[Edital],0)),"")</f>
        <v>MUNICIPIO DE GUARUJA</v>
      </c>
      <c r="H8408" t="str">
        <f>IFERROR(INDEX(tEditais[UF],MATCH(tItens[[#This Row],[Edital]],tEditais[Edital],0)),"")</f>
        <v>SP</v>
      </c>
      <c r="I8408" s="11">
        <f>IFERROR(INDEX(tEditais[Encerramento],MATCH(tItens[[#This Row],[Edital]],tEditais[Edital],0)),"")</f>
        <v>46304.395833333336</v>
      </c>
      <c r="J8408" t="str">
        <f>IFERROR(INDEX(tProdutos[Classe],MATCH(tItens[[#This Row],[Produto]],tProdutos[Produto],0)),"produto não cadastrado")</f>
        <v>NÚCLEO</v>
      </c>
      <c r="K8408" s="12">
        <f>tItens[[#This Row],[Qtd]]*tItens[[#This Row],[Vlr unit]]</f>
        <v>580</v>
      </c>
      <c r="L8408" s="6">
        <f>IFERROR(IF(INDEX(tProdutos[Desconto homologado],MATCH(tItens[[#This Row],[Produto]],tProdutos[Produto],0))="",DescontoPadrao,INDEX(tProdutos[Desconto homologado],MATCH(tItens[[#This Row],[Produto]],tProdutos[Produto],0))),DescontoPadrao)</f>
        <v>0.30410958904109597</v>
      </c>
      <c r="M8408" s="12">
        <f>tItens[[#This Row],[Valor]]*(1-tItens[[#This Row],[Desconto]])</f>
        <v>403.61643835616434</v>
      </c>
      <c r="N8408" t="str">
        <f>IFERROR(INDEX(tProdutos[Foco],MATCH(tItens[[#This Row],[Produto]],tProdutos[Produto],0)),"Não")</f>
        <v>Não</v>
      </c>
      <c r="O8408" t="str">
        <f>IFERROR(INDEX(tEditais[SRP],MATCH(tItens[[#This Row],[Edital]],tEditais[Edital],0)),"Não")</f>
        <v>Sim</v>
      </c>
      <c r="P8408" s="4">
        <f>IF(COUNTIFS(INDEX(tItens[Edital],1):tItens[[#This Row],[Edital]],tItens[[#This Row],[Edital]],INDEX(tItens[Produto],1):tItens[[#This Row],[Produto]],tItens[[#This Row],[Produto]])=1,1,0)</f>
        <v>0</v>
      </c>
    </row>
    <row r="8409" spans="1:16" x14ac:dyDescent="0.25">
      <c r="A8409" t="s">
        <v>2781</v>
      </c>
      <c r="B8409">
        <v>13</v>
      </c>
      <c r="C8409" t="s">
        <v>8640</v>
      </c>
      <c r="D8409" t="s">
        <v>110</v>
      </c>
      <c r="E8409" s="13">
        <v>500</v>
      </c>
      <c r="F8409" s="12">
        <v>1.56</v>
      </c>
      <c r="G8409" t="str">
        <f>IFERROR(INDEX(tEditais[Órgão],MATCH(tItens[[#This Row],[Edital]],tEditais[Edital],0)),"")</f>
        <v>MUNICIPIO DE GUARUJA</v>
      </c>
      <c r="H8409" t="str">
        <f>IFERROR(INDEX(tEditais[UF],MATCH(tItens[[#This Row],[Edital]],tEditais[Edital],0)),"")</f>
        <v>SP</v>
      </c>
      <c r="I8409" s="11">
        <f>IFERROR(INDEX(tEditais[Encerramento],MATCH(tItens[[#This Row],[Edital]],tEditais[Edital],0)),"")</f>
        <v>46304.395833333336</v>
      </c>
      <c r="J8409" t="str">
        <f>IFERROR(INDEX(tProdutos[Classe],MATCH(tItens[[#This Row],[Produto]],tProdutos[Produto],0)),"produto não cadastrado")</f>
        <v>NÚCLEO</v>
      </c>
      <c r="K8409" s="12">
        <f>tItens[[#This Row],[Qtd]]*tItens[[#This Row],[Vlr unit]]</f>
        <v>780</v>
      </c>
      <c r="L8409" s="6">
        <f>IFERROR(IF(INDEX(tProdutos[Desconto homologado],MATCH(tItens[[#This Row],[Produto]],tProdutos[Produto],0))="",DescontoPadrao,INDEX(tProdutos[Desconto homologado],MATCH(tItens[[#This Row],[Produto]],tProdutos[Produto],0))),DescontoPadrao)</f>
        <v>0.30410958904109597</v>
      </c>
      <c r="M8409" s="12">
        <f>tItens[[#This Row],[Valor]]*(1-tItens[[#This Row],[Desconto]])</f>
        <v>542.79452054794513</v>
      </c>
      <c r="N8409" t="str">
        <f>IFERROR(INDEX(tProdutos[Foco],MATCH(tItens[[#This Row],[Produto]],tProdutos[Produto],0)),"Não")</f>
        <v>Não</v>
      </c>
      <c r="O8409" t="str">
        <f>IFERROR(INDEX(tEditais[SRP],MATCH(tItens[[#This Row],[Edital]],tEditais[Edital],0)),"Não")</f>
        <v>Sim</v>
      </c>
      <c r="P8409" s="4">
        <f>IF(COUNTIFS(INDEX(tItens[Edital],1):tItens[[#This Row],[Edital]],tItens[[#This Row],[Edital]],INDEX(tItens[Produto],1):tItens[[#This Row],[Produto]],tItens[[#This Row],[Produto]])=1,1,0)</f>
        <v>0</v>
      </c>
    </row>
    <row r="8410" spans="1:16" x14ac:dyDescent="0.25">
      <c r="A8410" t="s">
        <v>2781</v>
      </c>
      <c r="B8410">
        <v>14</v>
      </c>
      <c r="C8410" t="s">
        <v>8596</v>
      </c>
      <c r="D8410" t="s">
        <v>110</v>
      </c>
      <c r="E8410" s="13">
        <v>500</v>
      </c>
      <c r="F8410" s="12">
        <v>1.88</v>
      </c>
      <c r="G8410" t="str">
        <f>IFERROR(INDEX(tEditais[Órgão],MATCH(tItens[[#This Row],[Edital]],tEditais[Edital],0)),"")</f>
        <v>MUNICIPIO DE GUARUJA</v>
      </c>
      <c r="H8410" t="str">
        <f>IFERROR(INDEX(tEditais[UF],MATCH(tItens[[#This Row],[Edital]],tEditais[Edital],0)),"")</f>
        <v>SP</v>
      </c>
      <c r="I8410" s="11">
        <f>IFERROR(INDEX(tEditais[Encerramento],MATCH(tItens[[#This Row],[Edital]],tEditais[Edital],0)),"")</f>
        <v>46304.395833333336</v>
      </c>
      <c r="J8410" t="str">
        <f>IFERROR(INDEX(tProdutos[Classe],MATCH(tItens[[#This Row],[Produto]],tProdutos[Produto],0)),"produto não cadastrado")</f>
        <v>NÚCLEO</v>
      </c>
      <c r="K8410" s="12">
        <f>tItens[[#This Row],[Qtd]]*tItens[[#This Row],[Vlr unit]]</f>
        <v>940</v>
      </c>
      <c r="L8410" s="6">
        <f>IFERROR(IF(INDEX(tProdutos[Desconto homologado],MATCH(tItens[[#This Row],[Produto]],tProdutos[Produto],0))="",DescontoPadrao,INDEX(tProdutos[Desconto homologado],MATCH(tItens[[#This Row],[Produto]],tProdutos[Produto],0))),DescontoPadrao)</f>
        <v>0.30410958904109597</v>
      </c>
      <c r="M8410" s="12">
        <f>tItens[[#This Row],[Valor]]*(1-tItens[[#This Row],[Desconto]])</f>
        <v>654.1369863013698</v>
      </c>
      <c r="N8410" t="str">
        <f>IFERROR(INDEX(tProdutos[Foco],MATCH(tItens[[#This Row],[Produto]],tProdutos[Produto],0)),"Não")</f>
        <v>Não</v>
      </c>
      <c r="O8410" t="str">
        <f>IFERROR(INDEX(tEditais[SRP],MATCH(tItens[[#This Row],[Edital]],tEditais[Edital],0)),"Não")</f>
        <v>Sim</v>
      </c>
      <c r="P8410" s="4">
        <f>IF(COUNTIFS(INDEX(tItens[Edital],1):tItens[[#This Row],[Edital]],tItens[[#This Row],[Edital]],INDEX(tItens[Produto],1):tItens[[#This Row],[Produto]],tItens[[#This Row],[Produto]])=1,1,0)</f>
        <v>0</v>
      </c>
    </row>
    <row r="8411" spans="1:16" x14ac:dyDescent="0.25">
      <c r="A8411" t="s">
        <v>2781</v>
      </c>
      <c r="B8411">
        <v>15</v>
      </c>
      <c r="C8411" t="s">
        <v>8597</v>
      </c>
      <c r="D8411" t="s">
        <v>110</v>
      </c>
      <c r="E8411" s="13">
        <v>500</v>
      </c>
      <c r="F8411" s="12">
        <v>2.1</v>
      </c>
      <c r="G8411" t="str">
        <f>IFERROR(INDEX(tEditais[Órgão],MATCH(tItens[[#This Row],[Edital]],tEditais[Edital],0)),"")</f>
        <v>MUNICIPIO DE GUARUJA</v>
      </c>
      <c r="H8411" t="str">
        <f>IFERROR(INDEX(tEditais[UF],MATCH(tItens[[#This Row],[Edital]],tEditais[Edital],0)),"")</f>
        <v>SP</v>
      </c>
      <c r="I8411" s="11">
        <f>IFERROR(INDEX(tEditais[Encerramento],MATCH(tItens[[#This Row],[Edital]],tEditais[Edital],0)),"")</f>
        <v>46304.395833333336</v>
      </c>
      <c r="J8411" t="str">
        <f>IFERROR(INDEX(tProdutos[Classe],MATCH(tItens[[#This Row],[Produto]],tProdutos[Produto],0)),"produto não cadastrado")</f>
        <v>NÚCLEO</v>
      </c>
      <c r="K8411" s="12">
        <f>tItens[[#This Row],[Qtd]]*tItens[[#This Row],[Vlr unit]]</f>
        <v>1050</v>
      </c>
      <c r="L8411" s="6">
        <f>IFERROR(IF(INDEX(tProdutos[Desconto homologado],MATCH(tItens[[#This Row],[Produto]],tProdutos[Produto],0))="",DescontoPadrao,INDEX(tProdutos[Desconto homologado],MATCH(tItens[[#This Row],[Produto]],tProdutos[Produto],0))),DescontoPadrao)</f>
        <v>0.30410958904109597</v>
      </c>
      <c r="M8411" s="12">
        <f>tItens[[#This Row],[Valor]]*(1-tItens[[#This Row],[Desconto]])</f>
        <v>730.68493150684924</v>
      </c>
      <c r="N8411" t="str">
        <f>IFERROR(INDEX(tProdutos[Foco],MATCH(tItens[[#This Row],[Produto]],tProdutos[Produto],0)),"Não")</f>
        <v>Não</v>
      </c>
      <c r="O8411" t="str">
        <f>IFERROR(INDEX(tEditais[SRP],MATCH(tItens[[#This Row],[Edital]],tEditais[Edital],0)),"Não")</f>
        <v>Sim</v>
      </c>
      <c r="P8411" s="4">
        <f>IF(COUNTIFS(INDEX(tItens[Edital],1):tItens[[#This Row],[Edital]],tItens[[#This Row],[Edital]],INDEX(tItens[Produto],1):tItens[[#This Row],[Produto]],tItens[[#This Row],[Produto]])=1,1,0)</f>
        <v>0</v>
      </c>
    </row>
    <row r="8412" spans="1:16" x14ac:dyDescent="0.25">
      <c r="A8412" t="s">
        <v>2781</v>
      </c>
      <c r="B8412">
        <v>16</v>
      </c>
      <c r="C8412" t="s">
        <v>8631</v>
      </c>
      <c r="D8412" t="s">
        <v>110</v>
      </c>
      <c r="E8412" s="13">
        <v>500</v>
      </c>
      <c r="F8412" s="12">
        <v>2.13</v>
      </c>
      <c r="G8412" t="str">
        <f>IFERROR(INDEX(tEditais[Órgão],MATCH(tItens[[#This Row],[Edital]],tEditais[Edital],0)),"")</f>
        <v>MUNICIPIO DE GUARUJA</v>
      </c>
      <c r="H8412" t="str">
        <f>IFERROR(INDEX(tEditais[UF],MATCH(tItens[[#This Row],[Edital]],tEditais[Edital],0)),"")</f>
        <v>SP</v>
      </c>
      <c r="I8412" s="11">
        <f>IFERROR(INDEX(tEditais[Encerramento],MATCH(tItens[[#This Row],[Edital]],tEditais[Edital],0)),"")</f>
        <v>46304.395833333336</v>
      </c>
      <c r="J8412" t="str">
        <f>IFERROR(INDEX(tProdutos[Classe],MATCH(tItens[[#This Row],[Produto]],tProdutos[Produto],0)),"produto não cadastrado")</f>
        <v>NÚCLEO</v>
      </c>
      <c r="K8412" s="12">
        <f>tItens[[#This Row],[Qtd]]*tItens[[#This Row],[Vlr unit]]</f>
        <v>1065</v>
      </c>
      <c r="L8412" s="6">
        <f>IFERROR(IF(INDEX(tProdutos[Desconto homologado],MATCH(tItens[[#This Row],[Produto]],tProdutos[Produto],0))="",DescontoPadrao,INDEX(tProdutos[Desconto homologado],MATCH(tItens[[#This Row],[Produto]],tProdutos[Produto],0))),DescontoPadrao)</f>
        <v>0.30410958904109597</v>
      </c>
      <c r="M8412" s="12">
        <f>tItens[[#This Row],[Valor]]*(1-tItens[[#This Row],[Desconto]])</f>
        <v>741.12328767123279</v>
      </c>
      <c r="N8412" t="str">
        <f>IFERROR(INDEX(tProdutos[Foco],MATCH(tItens[[#This Row],[Produto]],tProdutos[Produto],0)),"Não")</f>
        <v>Não</v>
      </c>
      <c r="O8412" t="str">
        <f>IFERROR(INDEX(tEditais[SRP],MATCH(tItens[[#This Row],[Edital]],tEditais[Edital],0)),"Não")</f>
        <v>Sim</v>
      </c>
      <c r="P8412" s="4">
        <f>IF(COUNTIFS(INDEX(tItens[Edital],1):tItens[[#This Row],[Edital]],tItens[[#This Row],[Edital]],INDEX(tItens[Produto],1):tItens[[#This Row],[Produto]],tItens[[#This Row],[Produto]])=1,1,0)</f>
        <v>0</v>
      </c>
    </row>
    <row r="8413" spans="1:16" x14ac:dyDescent="0.25">
      <c r="A8413" t="s">
        <v>2781</v>
      </c>
      <c r="B8413">
        <v>17</v>
      </c>
      <c r="C8413" t="s">
        <v>8641</v>
      </c>
      <c r="D8413" t="s">
        <v>110</v>
      </c>
      <c r="E8413" s="13">
        <v>400</v>
      </c>
      <c r="F8413" s="12">
        <v>2.71</v>
      </c>
      <c r="G8413" t="str">
        <f>IFERROR(INDEX(tEditais[Órgão],MATCH(tItens[[#This Row],[Edital]],tEditais[Edital],0)),"")</f>
        <v>MUNICIPIO DE GUARUJA</v>
      </c>
      <c r="H8413" t="str">
        <f>IFERROR(INDEX(tEditais[UF],MATCH(tItens[[#This Row],[Edital]],tEditais[Edital],0)),"")</f>
        <v>SP</v>
      </c>
      <c r="I8413" s="11">
        <f>IFERROR(INDEX(tEditais[Encerramento],MATCH(tItens[[#This Row],[Edital]],tEditais[Edital],0)),"")</f>
        <v>46304.395833333336</v>
      </c>
      <c r="J8413" t="str">
        <f>IFERROR(INDEX(tProdutos[Classe],MATCH(tItens[[#This Row],[Produto]],tProdutos[Produto],0)),"produto não cadastrado")</f>
        <v>NÚCLEO</v>
      </c>
      <c r="K8413" s="12">
        <f>tItens[[#This Row],[Qtd]]*tItens[[#This Row],[Vlr unit]]</f>
        <v>1084</v>
      </c>
      <c r="L8413" s="6">
        <f>IFERROR(IF(INDEX(tProdutos[Desconto homologado],MATCH(tItens[[#This Row],[Produto]],tProdutos[Produto],0))="",DescontoPadrao,INDEX(tProdutos[Desconto homologado],MATCH(tItens[[#This Row],[Produto]],tProdutos[Produto],0))),DescontoPadrao)</f>
        <v>0.30410958904109597</v>
      </c>
      <c r="M8413" s="12">
        <f>tItens[[#This Row],[Valor]]*(1-tItens[[#This Row],[Desconto]])</f>
        <v>754.34520547945192</v>
      </c>
      <c r="N8413" t="str">
        <f>IFERROR(INDEX(tProdutos[Foco],MATCH(tItens[[#This Row],[Produto]],tProdutos[Produto],0)),"Não")</f>
        <v>Não</v>
      </c>
      <c r="O8413" t="str">
        <f>IFERROR(INDEX(tEditais[SRP],MATCH(tItens[[#This Row],[Edital]],tEditais[Edital],0)),"Não")</f>
        <v>Sim</v>
      </c>
      <c r="P8413" s="4">
        <f>IF(COUNTIFS(INDEX(tItens[Edital],1):tItens[[#This Row],[Edital]],tItens[[#This Row],[Edital]],INDEX(tItens[Produto],1):tItens[[#This Row],[Produto]],tItens[[#This Row],[Produto]])=1,1,0)</f>
        <v>0</v>
      </c>
    </row>
    <row r="8414" spans="1:16" x14ac:dyDescent="0.25">
      <c r="A8414" t="s">
        <v>2781</v>
      </c>
      <c r="B8414">
        <v>18</v>
      </c>
      <c r="C8414" t="s">
        <v>10844</v>
      </c>
      <c r="D8414" t="s">
        <v>110</v>
      </c>
      <c r="E8414" s="13">
        <v>400</v>
      </c>
      <c r="F8414" s="12">
        <v>2.98</v>
      </c>
      <c r="G8414" t="str">
        <f>IFERROR(INDEX(tEditais[Órgão],MATCH(tItens[[#This Row],[Edital]],tEditais[Edital],0)),"")</f>
        <v>MUNICIPIO DE GUARUJA</v>
      </c>
      <c r="H8414" t="str">
        <f>IFERROR(INDEX(tEditais[UF],MATCH(tItens[[#This Row],[Edital]],tEditais[Edital],0)),"")</f>
        <v>SP</v>
      </c>
      <c r="I8414" s="11">
        <f>IFERROR(INDEX(tEditais[Encerramento],MATCH(tItens[[#This Row],[Edital]],tEditais[Edital],0)),"")</f>
        <v>46304.395833333336</v>
      </c>
      <c r="J8414" t="str">
        <f>IFERROR(INDEX(tProdutos[Classe],MATCH(tItens[[#This Row],[Produto]],tProdutos[Produto],0)),"produto não cadastrado")</f>
        <v>NÚCLEO</v>
      </c>
      <c r="K8414" s="12">
        <f>tItens[[#This Row],[Qtd]]*tItens[[#This Row],[Vlr unit]]</f>
        <v>1192</v>
      </c>
      <c r="L8414" s="6">
        <f>IFERROR(IF(INDEX(tProdutos[Desconto homologado],MATCH(tItens[[#This Row],[Produto]],tProdutos[Produto],0))="",DescontoPadrao,INDEX(tProdutos[Desconto homologado],MATCH(tItens[[#This Row],[Produto]],tProdutos[Produto],0))),DescontoPadrao)</f>
        <v>0.30410958904109597</v>
      </c>
      <c r="M8414" s="12">
        <f>tItens[[#This Row],[Valor]]*(1-tItens[[#This Row],[Desconto]])</f>
        <v>829.50136986301357</v>
      </c>
      <c r="N8414" t="str">
        <f>IFERROR(INDEX(tProdutos[Foco],MATCH(tItens[[#This Row],[Produto]],tProdutos[Produto],0)),"Não")</f>
        <v>Não</v>
      </c>
      <c r="O8414" t="str">
        <f>IFERROR(INDEX(tEditais[SRP],MATCH(tItens[[#This Row],[Edital]],tEditais[Edital],0)),"Não")</f>
        <v>Sim</v>
      </c>
      <c r="P8414" s="4">
        <f>IF(COUNTIFS(INDEX(tItens[Edital],1):tItens[[#This Row],[Edital]],tItens[[#This Row],[Edital]],INDEX(tItens[Produto],1):tItens[[#This Row],[Produto]],tItens[[#This Row],[Produto]])=1,1,0)</f>
        <v>0</v>
      </c>
    </row>
    <row r="8415" spans="1:16" x14ac:dyDescent="0.25">
      <c r="A8415" t="s">
        <v>2781</v>
      </c>
      <c r="B8415">
        <v>21</v>
      </c>
      <c r="C8415" t="s">
        <v>10845</v>
      </c>
      <c r="D8415" t="s">
        <v>164</v>
      </c>
      <c r="E8415" s="13">
        <v>150</v>
      </c>
      <c r="F8415" s="12">
        <v>15.12</v>
      </c>
      <c r="G8415" t="str">
        <f>IFERROR(INDEX(tEditais[Órgão],MATCH(tItens[[#This Row],[Edital]],tEditais[Edital],0)),"")</f>
        <v>MUNICIPIO DE GUARUJA</v>
      </c>
      <c r="H8415" t="str">
        <f>IFERROR(INDEX(tEditais[UF],MATCH(tItens[[#This Row],[Edital]],tEditais[Edital],0)),"")</f>
        <v>SP</v>
      </c>
      <c r="I8415" s="11">
        <f>IFERROR(INDEX(tEditais[Encerramento],MATCH(tItens[[#This Row],[Edital]],tEditais[Edital],0)),"")</f>
        <v>46304.395833333336</v>
      </c>
      <c r="J8415" t="str">
        <f>IFERROR(INDEX(tProdutos[Classe],MATCH(tItens[[#This Row],[Produto]],tProdutos[Produto],0)),"produto não cadastrado")</f>
        <v>DISPUTADO</v>
      </c>
      <c r="K8415" s="12">
        <f>tItens[[#This Row],[Qtd]]*tItens[[#This Row],[Vlr unit]]</f>
        <v>2268</v>
      </c>
      <c r="L8415" s="6">
        <f>IFERROR(IF(INDEX(tProdutos[Desconto homologado],MATCH(tItens[[#This Row],[Produto]],tProdutos[Produto],0))="",DescontoPadrao,INDEX(tProdutos[Desconto homologado],MATCH(tItens[[#This Row],[Produto]],tProdutos[Produto],0))),DescontoPadrao)</f>
        <v>0.445300462249615</v>
      </c>
      <c r="M8415" s="12">
        <f>tItens[[#This Row],[Valor]]*(1-tItens[[#This Row],[Desconto]])</f>
        <v>1258.058551617873</v>
      </c>
      <c r="N8415" t="str">
        <f>IFERROR(INDEX(tProdutos[Foco],MATCH(tItens[[#This Row],[Produto]],tProdutos[Produto],0)),"Não")</f>
        <v>Não</v>
      </c>
      <c r="O8415" t="str">
        <f>IFERROR(INDEX(tEditais[SRP],MATCH(tItens[[#This Row],[Edital]],tEditais[Edital],0)),"Não")</f>
        <v>Sim</v>
      </c>
      <c r="P8415" s="4">
        <f>IF(COUNTIFS(INDEX(tItens[Edital],1):tItens[[#This Row],[Edital]],tItens[[#This Row],[Edital]],INDEX(tItens[Produto],1):tItens[[#This Row],[Produto]],tItens[[#This Row],[Produto]])=1,1,0)</f>
        <v>1</v>
      </c>
    </row>
    <row r="8416" spans="1:16" x14ac:dyDescent="0.25">
      <c r="A8416" t="s">
        <v>2781</v>
      </c>
      <c r="B8416">
        <v>22</v>
      </c>
      <c r="C8416" t="s">
        <v>10416</v>
      </c>
      <c r="D8416" t="s">
        <v>164</v>
      </c>
      <c r="E8416" s="13">
        <v>150</v>
      </c>
      <c r="F8416" s="12">
        <v>14.94</v>
      </c>
      <c r="G8416" t="str">
        <f>IFERROR(INDEX(tEditais[Órgão],MATCH(tItens[[#This Row],[Edital]],tEditais[Edital],0)),"")</f>
        <v>MUNICIPIO DE GUARUJA</v>
      </c>
      <c r="H8416" t="str">
        <f>IFERROR(INDEX(tEditais[UF],MATCH(tItens[[#This Row],[Edital]],tEditais[Edital],0)),"")</f>
        <v>SP</v>
      </c>
      <c r="I8416" s="11">
        <f>IFERROR(INDEX(tEditais[Encerramento],MATCH(tItens[[#This Row],[Edital]],tEditais[Edital],0)),"")</f>
        <v>46304.395833333336</v>
      </c>
      <c r="J8416" t="str">
        <f>IFERROR(INDEX(tProdutos[Classe],MATCH(tItens[[#This Row],[Produto]],tProdutos[Produto],0)),"produto não cadastrado")</f>
        <v>DISPUTADO</v>
      </c>
      <c r="K8416" s="12">
        <f>tItens[[#This Row],[Qtd]]*tItens[[#This Row],[Vlr unit]]</f>
        <v>2241</v>
      </c>
      <c r="L8416" s="6">
        <f>IFERROR(IF(INDEX(tProdutos[Desconto homologado],MATCH(tItens[[#This Row],[Produto]],tProdutos[Produto],0))="",DescontoPadrao,INDEX(tProdutos[Desconto homologado],MATCH(tItens[[#This Row],[Produto]],tProdutos[Produto],0))),DescontoPadrao)</f>
        <v>0.445300462249615</v>
      </c>
      <c r="M8416" s="12">
        <f>tItens[[#This Row],[Valor]]*(1-tItens[[#This Row],[Desconto]])</f>
        <v>1243.0816640986127</v>
      </c>
      <c r="N8416" t="str">
        <f>IFERROR(INDEX(tProdutos[Foco],MATCH(tItens[[#This Row],[Produto]],tProdutos[Produto],0)),"Não")</f>
        <v>Não</v>
      </c>
      <c r="O8416" t="str">
        <f>IFERROR(INDEX(tEditais[SRP],MATCH(tItens[[#This Row],[Edital]],tEditais[Edital],0)),"Não")</f>
        <v>Sim</v>
      </c>
      <c r="P8416" s="4">
        <f>IF(COUNTIFS(INDEX(tItens[Edital],1):tItens[[#This Row],[Edital]],tItens[[#This Row],[Edital]],INDEX(tItens[Produto],1):tItens[[#This Row],[Produto]],tItens[[#This Row],[Produto]])=1,1,0)</f>
        <v>0</v>
      </c>
    </row>
    <row r="8417" spans="1:16" x14ac:dyDescent="0.25">
      <c r="A8417" t="s">
        <v>2781</v>
      </c>
      <c r="B8417">
        <v>23</v>
      </c>
      <c r="C8417" t="s">
        <v>9433</v>
      </c>
      <c r="D8417" t="s">
        <v>164</v>
      </c>
      <c r="E8417" s="13">
        <v>500</v>
      </c>
      <c r="F8417" s="12">
        <v>14.25</v>
      </c>
      <c r="G8417" t="str">
        <f>IFERROR(INDEX(tEditais[Órgão],MATCH(tItens[[#This Row],[Edital]],tEditais[Edital],0)),"")</f>
        <v>MUNICIPIO DE GUARUJA</v>
      </c>
      <c r="H8417" t="str">
        <f>IFERROR(INDEX(tEditais[UF],MATCH(tItens[[#This Row],[Edital]],tEditais[Edital],0)),"")</f>
        <v>SP</v>
      </c>
      <c r="I8417" s="11">
        <f>IFERROR(INDEX(tEditais[Encerramento],MATCH(tItens[[#This Row],[Edital]],tEditais[Edital],0)),"")</f>
        <v>46304.395833333336</v>
      </c>
      <c r="J8417" t="str">
        <f>IFERROR(INDEX(tProdutos[Classe],MATCH(tItens[[#This Row],[Produto]],tProdutos[Produto],0)),"produto não cadastrado")</f>
        <v>DISPUTADO</v>
      </c>
      <c r="K8417" s="12">
        <f>tItens[[#This Row],[Qtd]]*tItens[[#This Row],[Vlr unit]]</f>
        <v>7125</v>
      </c>
      <c r="L8417" s="6">
        <f>IFERROR(IF(INDEX(tProdutos[Desconto homologado],MATCH(tItens[[#This Row],[Produto]],tProdutos[Produto],0))="",DescontoPadrao,INDEX(tProdutos[Desconto homologado],MATCH(tItens[[#This Row],[Produto]],tProdutos[Produto],0))),DescontoPadrao)</f>
        <v>0.445300462249615</v>
      </c>
      <c r="M8417" s="12">
        <f>tItens[[#This Row],[Valor]]*(1-tItens[[#This Row],[Desconto]])</f>
        <v>3952.2342064714926</v>
      </c>
      <c r="N8417" t="str">
        <f>IFERROR(INDEX(tProdutos[Foco],MATCH(tItens[[#This Row],[Produto]],tProdutos[Produto],0)),"Não")</f>
        <v>Não</v>
      </c>
      <c r="O8417" t="str">
        <f>IFERROR(INDEX(tEditais[SRP],MATCH(tItens[[#This Row],[Edital]],tEditais[Edital],0)),"Não")</f>
        <v>Sim</v>
      </c>
      <c r="P8417" s="4">
        <f>IF(COUNTIFS(INDEX(tItens[Edital],1):tItens[[#This Row],[Edital]],tItens[[#This Row],[Edital]],INDEX(tItens[Produto],1):tItens[[#This Row],[Produto]],tItens[[#This Row],[Produto]])=1,1,0)</f>
        <v>0</v>
      </c>
    </row>
    <row r="8418" spans="1:16" x14ac:dyDescent="0.25">
      <c r="A8418" t="s">
        <v>2781</v>
      </c>
      <c r="B8418">
        <v>24</v>
      </c>
      <c r="C8418" t="s">
        <v>8598</v>
      </c>
      <c r="D8418" t="s">
        <v>164</v>
      </c>
      <c r="E8418" s="13">
        <v>1000</v>
      </c>
      <c r="F8418" s="12">
        <v>14.88</v>
      </c>
      <c r="G8418" t="str">
        <f>IFERROR(INDEX(tEditais[Órgão],MATCH(tItens[[#This Row],[Edital]],tEditais[Edital],0)),"")</f>
        <v>MUNICIPIO DE GUARUJA</v>
      </c>
      <c r="H8418" t="str">
        <f>IFERROR(INDEX(tEditais[UF],MATCH(tItens[[#This Row],[Edital]],tEditais[Edital],0)),"")</f>
        <v>SP</v>
      </c>
      <c r="I8418" s="11">
        <f>IFERROR(INDEX(tEditais[Encerramento],MATCH(tItens[[#This Row],[Edital]],tEditais[Edital],0)),"")</f>
        <v>46304.395833333336</v>
      </c>
      <c r="J8418" t="str">
        <f>IFERROR(INDEX(tProdutos[Classe],MATCH(tItens[[#This Row],[Produto]],tProdutos[Produto],0)),"produto não cadastrado")</f>
        <v>DISPUTADO</v>
      </c>
      <c r="K8418" s="12">
        <f>tItens[[#This Row],[Qtd]]*tItens[[#This Row],[Vlr unit]]</f>
        <v>14880</v>
      </c>
      <c r="L8418" s="6">
        <f>IFERROR(IF(INDEX(tProdutos[Desconto homologado],MATCH(tItens[[#This Row],[Produto]],tProdutos[Produto],0))="",DescontoPadrao,INDEX(tProdutos[Desconto homologado],MATCH(tItens[[#This Row],[Produto]],tProdutos[Produto],0))),DescontoPadrao)</f>
        <v>0.445300462249615</v>
      </c>
      <c r="M8418" s="12">
        <f>tItens[[#This Row],[Valor]]*(1-tItens[[#This Row],[Desconto]])</f>
        <v>8253.9291217257287</v>
      </c>
      <c r="N8418" t="str">
        <f>IFERROR(INDEX(tProdutos[Foco],MATCH(tItens[[#This Row],[Produto]],tProdutos[Produto],0)),"Não")</f>
        <v>Não</v>
      </c>
      <c r="O8418" t="str">
        <f>IFERROR(INDEX(tEditais[SRP],MATCH(tItens[[#This Row],[Edital]],tEditais[Edital],0)),"Não")</f>
        <v>Sim</v>
      </c>
      <c r="P8418" s="4">
        <f>IF(COUNTIFS(INDEX(tItens[Edital],1):tItens[[#This Row],[Edital]],tItens[[#This Row],[Edital]],INDEX(tItens[Produto],1):tItens[[#This Row],[Produto]],tItens[[#This Row],[Produto]])=1,1,0)</f>
        <v>0</v>
      </c>
    </row>
    <row r="8419" spans="1:16" x14ac:dyDescent="0.25">
      <c r="A8419" t="s">
        <v>2781</v>
      </c>
      <c r="B8419">
        <v>27</v>
      </c>
      <c r="C8419" t="s">
        <v>10846</v>
      </c>
      <c r="D8419" t="s">
        <v>245</v>
      </c>
      <c r="E8419" s="13">
        <v>2000</v>
      </c>
      <c r="F8419" s="12">
        <v>88.2</v>
      </c>
      <c r="G8419" t="str">
        <f>IFERROR(INDEX(tEditais[Órgão],MATCH(tItens[[#This Row],[Edital]],tEditais[Edital],0)),"")</f>
        <v>MUNICIPIO DE GUARUJA</v>
      </c>
      <c r="H8419" t="str">
        <f>IFERROR(INDEX(tEditais[UF],MATCH(tItens[[#This Row],[Edital]],tEditais[Edital],0)),"")</f>
        <v>SP</v>
      </c>
      <c r="I8419" s="11">
        <f>IFERROR(INDEX(tEditais[Encerramento],MATCH(tItens[[#This Row],[Edital]],tEditais[Edital],0)),"")</f>
        <v>46304.395833333336</v>
      </c>
      <c r="J8419" t="str">
        <f>IFERROR(INDEX(tProdutos[Classe],MATCH(tItens[[#This Row],[Produto]],tProdutos[Produto],0)),"produto não cadastrado")</f>
        <v>FORA</v>
      </c>
      <c r="K8419" s="12">
        <f>tItens[[#This Row],[Qtd]]*tItens[[#This Row],[Vlr unit]]</f>
        <v>176400</v>
      </c>
      <c r="L8419" s="6">
        <f>IFERROR(IF(INDEX(tProdutos[Desconto homologado],MATCH(tItens[[#This Row],[Produto]],tProdutos[Produto],0))="",DescontoPadrao,INDEX(tProdutos[Desconto homologado],MATCH(tItens[[#This Row],[Produto]],tProdutos[Produto],0))),DescontoPadrao)</f>
        <v>0.34516963542284401</v>
      </c>
      <c r="M8419" s="12">
        <f>tItens[[#This Row],[Valor]]*(1-tItens[[#This Row],[Desconto]])</f>
        <v>115512.07631141033</v>
      </c>
      <c r="N8419" t="str">
        <f>IFERROR(INDEX(tProdutos[Foco],MATCH(tItens[[#This Row],[Produto]],tProdutos[Produto],0)),"Não")</f>
        <v>Não</v>
      </c>
      <c r="O8419" t="str">
        <f>IFERROR(INDEX(tEditais[SRP],MATCH(tItens[[#This Row],[Edital]],tEditais[Edital],0)),"Não")</f>
        <v>Sim</v>
      </c>
      <c r="P8419" s="4">
        <f>IF(COUNTIFS(INDEX(tItens[Edital],1):tItens[[#This Row],[Edital]],tItens[[#This Row],[Edital]],INDEX(tItens[Produto],1):tItens[[#This Row],[Produto]],tItens[[#This Row],[Produto]])=1,1,0)</f>
        <v>1</v>
      </c>
    </row>
    <row r="8420" spans="1:16" x14ac:dyDescent="0.25">
      <c r="A8420" t="s">
        <v>2781</v>
      </c>
      <c r="B8420">
        <v>29</v>
      </c>
      <c r="C8420" t="s">
        <v>9035</v>
      </c>
      <c r="D8420" t="s">
        <v>56</v>
      </c>
      <c r="E8420" s="13">
        <v>100</v>
      </c>
      <c r="F8420" s="12">
        <v>12.95</v>
      </c>
      <c r="G8420" t="str">
        <f>IFERROR(INDEX(tEditais[Órgão],MATCH(tItens[[#This Row],[Edital]],tEditais[Edital],0)),"")</f>
        <v>MUNICIPIO DE GUARUJA</v>
      </c>
      <c r="H8420" t="str">
        <f>IFERROR(INDEX(tEditais[UF],MATCH(tItens[[#This Row],[Edital]],tEditais[Edital],0)),"")</f>
        <v>SP</v>
      </c>
      <c r="I8420" s="11">
        <f>IFERROR(INDEX(tEditais[Encerramento],MATCH(tItens[[#This Row],[Edital]],tEditais[Edital],0)),"")</f>
        <v>46304.395833333336</v>
      </c>
      <c r="J8420" t="str">
        <f>IFERROR(INDEX(tProdutos[Classe],MATCH(tItens[[#This Row],[Produto]],tProdutos[Produto],0)),"produto não cadastrado")</f>
        <v>NÚCLEO</v>
      </c>
      <c r="K8420" s="12">
        <f>tItens[[#This Row],[Qtd]]*tItens[[#This Row],[Vlr unit]]</f>
        <v>1295</v>
      </c>
      <c r="L8420" s="6">
        <f>IFERROR(IF(INDEX(tProdutos[Desconto homologado],MATCH(tItens[[#This Row],[Produto]],tProdutos[Produto],0))="",DescontoPadrao,INDEX(tProdutos[Desconto homologado],MATCH(tItens[[#This Row],[Produto]],tProdutos[Produto],0))),DescontoPadrao)</f>
        <v>0.34</v>
      </c>
      <c r="M8420" s="12">
        <f>tItens[[#This Row],[Valor]]*(1-tItens[[#This Row],[Desconto]])</f>
        <v>854.69999999999993</v>
      </c>
      <c r="N8420" t="str">
        <f>IFERROR(INDEX(tProdutos[Foco],MATCH(tItens[[#This Row],[Produto]],tProdutos[Produto],0)),"Não")</f>
        <v>Sim</v>
      </c>
      <c r="O8420" t="str">
        <f>IFERROR(INDEX(tEditais[SRP],MATCH(tItens[[#This Row],[Edital]],tEditais[Edital],0)),"Não")</f>
        <v>Sim</v>
      </c>
      <c r="P8420" s="4">
        <f>IF(COUNTIFS(INDEX(tItens[Edital],1):tItens[[#This Row],[Edital]],tItens[[#This Row],[Edital]],INDEX(tItens[Produto],1):tItens[[#This Row],[Produto]],tItens[[#This Row],[Produto]])=1,1,0)</f>
        <v>1</v>
      </c>
    </row>
    <row r="8421" spans="1:16" x14ac:dyDescent="0.25">
      <c r="A8421" t="s">
        <v>2781</v>
      </c>
      <c r="B8421">
        <v>30</v>
      </c>
      <c r="C8421" t="s">
        <v>3503</v>
      </c>
      <c r="D8421" t="s">
        <v>156</v>
      </c>
      <c r="E8421" s="13">
        <v>1000</v>
      </c>
      <c r="F8421" s="12">
        <v>35.11</v>
      </c>
      <c r="G8421" t="str">
        <f>IFERROR(INDEX(tEditais[Órgão],MATCH(tItens[[#This Row],[Edital]],tEditais[Edital],0)),"")</f>
        <v>MUNICIPIO DE GUARUJA</v>
      </c>
      <c r="H8421" t="str">
        <f>IFERROR(INDEX(tEditais[UF],MATCH(tItens[[#This Row],[Edital]],tEditais[Edital],0)),"")</f>
        <v>SP</v>
      </c>
      <c r="I8421" s="11">
        <f>IFERROR(INDEX(tEditais[Encerramento],MATCH(tItens[[#This Row],[Edital]],tEditais[Edital],0)),"")</f>
        <v>46304.395833333336</v>
      </c>
      <c r="J8421" t="str">
        <f>IFERROR(INDEX(tProdutos[Classe],MATCH(tItens[[#This Row],[Produto]],tProdutos[Produto],0)),"produto não cadastrado")</f>
        <v>DISPUTADO</v>
      </c>
      <c r="K8421" s="12">
        <f>tItens[[#This Row],[Qtd]]*tItens[[#This Row],[Vlr unit]]</f>
        <v>35110</v>
      </c>
      <c r="L8421" s="6">
        <f>IFERROR(IF(INDEX(tProdutos[Desconto homologado],MATCH(tItens[[#This Row],[Produto]],tProdutos[Produto],0))="",DescontoPadrao,INDEX(tProdutos[Desconto homologado],MATCH(tItens[[#This Row],[Produto]],tProdutos[Produto],0))),DescontoPadrao)</f>
        <v>0.27131852489802799</v>
      </c>
      <c r="M8421" s="12">
        <f>tItens[[#This Row],[Valor]]*(1-tItens[[#This Row],[Desconto]])</f>
        <v>25584.006590830239</v>
      </c>
      <c r="N8421" t="str">
        <f>IFERROR(INDEX(tProdutos[Foco],MATCH(tItens[[#This Row],[Produto]],tProdutos[Produto],0)),"Não")</f>
        <v>Não</v>
      </c>
      <c r="O8421" t="str">
        <f>IFERROR(INDEX(tEditais[SRP],MATCH(tItens[[#This Row],[Edital]],tEditais[Edital],0)),"Não")</f>
        <v>Sim</v>
      </c>
      <c r="P8421" s="4">
        <f>IF(COUNTIFS(INDEX(tItens[Edital],1):tItens[[#This Row],[Edital]],tItens[[#This Row],[Edital]],INDEX(tItens[Produto],1):tItens[[#This Row],[Produto]],tItens[[#This Row],[Produto]])=1,1,0)</f>
        <v>1</v>
      </c>
    </row>
    <row r="8422" spans="1:16" x14ac:dyDescent="0.25">
      <c r="A8422" t="s">
        <v>2786</v>
      </c>
      <c r="B8422">
        <v>2266647</v>
      </c>
      <c r="C8422" t="s">
        <v>10847</v>
      </c>
      <c r="D8422" t="s">
        <v>411</v>
      </c>
      <c r="E8422" s="13">
        <v>18</v>
      </c>
      <c r="F8422" s="12">
        <v>36.1</v>
      </c>
      <c r="G8422" t="str">
        <f>IFERROR(INDEX(tEditais[Órgão],MATCH(tItens[[#This Row],[Edital]],tEditais[Edital],0)),"")</f>
        <v>UNIVERSIDADE DE TAUBATE</v>
      </c>
      <c r="H8422" t="str">
        <f>IFERROR(INDEX(tEditais[UF],MATCH(tItens[[#This Row],[Edital]],tEditais[Edital],0)),"")</f>
        <v>SP</v>
      </c>
      <c r="I8422" s="11">
        <f>IFERROR(INDEX(tEditais[Encerramento],MATCH(tItens[[#This Row],[Edital]],tEditais[Edital],0)),"")</f>
        <v>46304.395833333336</v>
      </c>
      <c r="J8422" t="str">
        <f>IFERROR(INDEX(tProdutos[Classe],MATCH(tItens[[#This Row],[Produto]],tProdutos[Produto],0)),"produto não cadastrado")</f>
        <v>FORA</v>
      </c>
      <c r="K8422" s="12">
        <f>tItens[[#This Row],[Qtd]]*tItens[[#This Row],[Vlr unit]]</f>
        <v>649.80000000000007</v>
      </c>
      <c r="L8422" s="6">
        <f>IFERROR(IF(INDEX(tProdutos[Desconto homologado],MATCH(tItens[[#This Row],[Produto]],tProdutos[Produto],0))="",DescontoPadrao,INDEX(tProdutos[Desconto homologado],MATCH(tItens[[#This Row],[Produto]],tProdutos[Produto],0))),DescontoPadrao)</f>
        <v>0.50029835957199398</v>
      </c>
      <c r="M8422" s="12">
        <f>tItens[[#This Row],[Valor]]*(1-tItens[[#This Row],[Desconto]])</f>
        <v>324.70612595011835</v>
      </c>
      <c r="N8422" t="str">
        <f>IFERROR(INDEX(tProdutos[Foco],MATCH(tItens[[#This Row],[Produto]],tProdutos[Produto],0)),"Não")</f>
        <v>Não</v>
      </c>
      <c r="O8422" t="str">
        <f>IFERROR(INDEX(tEditais[SRP],MATCH(tItens[[#This Row],[Edital]],tEditais[Edital],0)),"Não")</f>
        <v>Não</v>
      </c>
      <c r="P8422" s="4">
        <f>IF(COUNTIFS(INDEX(tItens[Edital],1):tItens[[#This Row],[Edital]],tItens[[#This Row],[Edital]],INDEX(tItens[Produto],1):tItens[[#This Row],[Produto]],tItens[[#This Row],[Produto]])=1,1,0)</f>
        <v>1</v>
      </c>
    </row>
    <row r="8423" spans="1:16" x14ac:dyDescent="0.25">
      <c r="A8423" t="s">
        <v>2791</v>
      </c>
      <c r="B8423">
        <v>2</v>
      </c>
      <c r="C8423" t="s">
        <v>10848</v>
      </c>
      <c r="D8423" t="s">
        <v>245</v>
      </c>
      <c r="E8423" s="13">
        <v>200</v>
      </c>
      <c r="F8423" s="12">
        <v>0</v>
      </c>
      <c r="G8423" t="str">
        <f>IFERROR(INDEX(tEditais[Órgão],MATCH(tItens[[#This Row],[Edital]],tEditais[Edital],0)),"")</f>
        <v>SECRETARIA DE ESTADO DA SAUDE</v>
      </c>
      <c r="H8423" t="str">
        <f>IFERROR(INDEX(tEditais[UF],MATCH(tItens[[#This Row],[Edital]],tEditais[Edital],0)),"")</f>
        <v>SP</v>
      </c>
      <c r="I8423" s="11">
        <f>IFERROR(INDEX(tEditais[Encerramento],MATCH(tItens[[#This Row],[Edital]],tEditais[Edital],0)),"")</f>
        <v>46304.416666666664</v>
      </c>
      <c r="J8423" t="str">
        <f>IFERROR(INDEX(tProdutos[Classe],MATCH(tItens[[#This Row],[Produto]],tProdutos[Produto],0)),"produto não cadastrado")</f>
        <v>FORA</v>
      </c>
      <c r="K8423" s="12">
        <f>tItens[[#This Row],[Qtd]]*tItens[[#This Row],[Vlr unit]]</f>
        <v>0</v>
      </c>
      <c r="L8423" s="6">
        <f>IFERROR(IF(INDEX(tProdutos[Desconto homologado],MATCH(tItens[[#This Row],[Produto]],tProdutos[Produto],0))="",DescontoPadrao,INDEX(tProdutos[Desconto homologado],MATCH(tItens[[#This Row],[Produto]],tProdutos[Produto],0))),DescontoPadrao)</f>
        <v>0.34516963542284401</v>
      </c>
      <c r="M8423" s="12">
        <f>tItens[[#This Row],[Valor]]*(1-tItens[[#This Row],[Desconto]])</f>
        <v>0</v>
      </c>
      <c r="N8423" t="str">
        <f>IFERROR(INDEX(tProdutos[Foco],MATCH(tItens[[#This Row],[Produto]],tProdutos[Produto],0)),"Não")</f>
        <v>Não</v>
      </c>
      <c r="O8423" t="str">
        <f>IFERROR(INDEX(tEditais[SRP],MATCH(tItens[[#This Row],[Edital]],tEditais[Edital],0)),"Não")</f>
        <v>Não</v>
      </c>
      <c r="P8423" s="4">
        <f>IF(COUNTIFS(INDEX(tItens[Edital],1):tItens[[#This Row],[Edital]],tItens[[#This Row],[Edital]],INDEX(tItens[Produto],1):tItens[[#This Row],[Produto]],tItens[[#This Row],[Produto]])=1,1,0)</f>
        <v>1</v>
      </c>
    </row>
    <row r="8424" spans="1:16" x14ac:dyDescent="0.25">
      <c r="A8424" t="s">
        <v>2794</v>
      </c>
      <c r="B8424">
        <v>1</v>
      </c>
      <c r="C8424" t="s">
        <v>4116</v>
      </c>
      <c r="D8424" t="s">
        <v>347</v>
      </c>
      <c r="E8424" s="13">
        <v>20</v>
      </c>
      <c r="F8424" s="12">
        <v>0</v>
      </c>
      <c r="G8424" t="str">
        <f>IFERROR(INDEX(tEditais[Órgão],MATCH(tItens[[#This Row],[Edital]],tEditais[Edital],0)),"")</f>
        <v>SECRETARIA DE ESTADO DA SAUDE</v>
      </c>
      <c r="H8424" t="str">
        <f>IFERROR(INDEX(tEditais[UF],MATCH(tItens[[#This Row],[Edital]],tEditais[Edital],0)),"")</f>
        <v>SP</v>
      </c>
      <c r="I8424" s="11">
        <f>IFERROR(INDEX(tEditais[Encerramento],MATCH(tItens[[#This Row],[Edital]],tEditais[Edital],0)),"")</f>
        <v>46304.458333333336</v>
      </c>
      <c r="J8424" t="str">
        <f>IFERROR(INDEX(tProdutos[Classe],MATCH(tItens[[#This Row],[Produto]],tProdutos[Produto],0)),"produto não cadastrado")</f>
        <v>FORA</v>
      </c>
      <c r="K8424" s="12">
        <f>tItens[[#This Row],[Qtd]]*tItens[[#This Row],[Vlr unit]]</f>
        <v>0</v>
      </c>
      <c r="L8424" s="6">
        <f>IFERROR(IF(INDEX(tProdutos[Desconto homologado],MATCH(tItens[[#This Row],[Produto]],tProdutos[Produto],0))="",DescontoPadrao,INDEX(tProdutos[Desconto homologado],MATCH(tItens[[#This Row],[Produto]],tProdutos[Produto],0))),DescontoPadrao)</f>
        <v>0.26356465005931201</v>
      </c>
      <c r="M8424" s="12">
        <f>tItens[[#This Row],[Valor]]*(1-tItens[[#This Row],[Desconto]])</f>
        <v>0</v>
      </c>
      <c r="N8424" t="str">
        <f>IFERROR(INDEX(tProdutos[Foco],MATCH(tItens[[#This Row],[Produto]],tProdutos[Produto],0)),"Não")</f>
        <v>Não</v>
      </c>
      <c r="O8424" t="str">
        <f>IFERROR(INDEX(tEditais[SRP],MATCH(tItens[[#This Row],[Edital]],tEditais[Edital],0)),"Não")</f>
        <v>Não</v>
      </c>
      <c r="P8424" s="4">
        <f>IF(COUNTIFS(INDEX(tItens[Edital],1):tItens[[#This Row],[Edital]],tItens[[#This Row],[Edital]],INDEX(tItens[Produto],1):tItens[[#This Row],[Produto]],tItens[[#This Row],[Produto]])=1,1,0)</f>
        <v>1</v>
      </c>
    </row>
    <row r="8425" spans="1:16" x14ac:dyDescent="0.25">
      <c r="A8425" t="s">
        <v>2797</v>
      </c>
      <c r="B8425">
        <v>17</v>
      </c>
      <c r="C8425" t="s">
        <v>10849</v>
      </c>
      <c r="D8425" t="s">
        <v>417</v>
      </c>
      <c r="E8425" s="13">
        <v>15</v>
      </c>
      <c r="F8425" s="12">
        <v>589.44000000000005</v>
      </c>
      <c r="G8425" t="str">
        <f>IFERROR(INDEX(tEditais[Órgão],MATCH(tItens[[#This Row],[Edital]],tEditais[Edital],0)),"")</f>
        <v>MUNICIPIO DE CATANDUVA</v>
      </c>
      <c r="H8425" t="str">
        <f>IFERROR(INDEX(tEditais[UF],MATCH(tItens[[#This Row],[Edital]],tEditais[Edital],0)),"")</f>
        <v>SP</v>
      </c>
      <c r="I8425" s="11">
        <f>IFERROR(INDEX(tEditais[Encerramento],MATCH(tItens[[#This Row],[Edital]],tEditais[Edital],0)),"")</f>
        <v>46304.5625</v>
      </c>
      <c r="J8425" t="str">
        <f>IFERROR(INDEX(tProdutos[Classe],MATCH(tItens[[#This Row],[Produto]],tProdutos[Produto],0)),"produto não cadastrado")</f>
        <v>FORA</v>
      </c>
      <c r="K8425" s="12">
        <f>tItens[[#This Row],[Qtd]]*tItens[[#This Row],[Vlr unit]]</f>
        <v>8841.6</v>
      </c>
      <c r="L8425" s="6">
        <f>IFERROR(IF(INDEX(tProdutos[Desconto homologado],MATCH(tItens[[#This Row],[Produto]],tProdutos[Produto],0))="",DescontoPadrao,INDEX(tProdutos[Desconto homologado],MATCH(tItens[[#This Row],[Produto]],tProdutos[Produto],0))),DescontoPadrao)</f>
        <v>0.27842432580405202</v>
      </c>
      <c r="M8425" s="12">
        <f>tItens[[#This Row],[Valor]]*(1-tItens[[#This Row],[Desconto]])</f>
        <v>6379.8834809708942</v>
      </c>
      <c r="N8425" t="str">
        <f>IFERROR(INDEX(tProdutos[Foco],MATCH(tItens[[#This Row],[Produto]],tProdutos[Produto],0)),"Não")</f>
        <v>Não</v>
      </c>
      <c r="O8425" t="str">
        <f>IFERROR(INDEX(tEditais[SRP],MATCH(tItens[[#This Row],[Edital]],tEditais[Edital],0)),"Não")</f>
        <v>Sim</v>
      </c>
      <c r="P8425" s="4">
        <f>IF(COUNTIFS(INDEX(tItens[Edital],1):tItens[[#This Row],[Edital]],tItens[[#This Row],[Edital]],INDEX(tItens[Produto],1):tItens[[#This Row],[Produto]],tItens[[#This Row],[Produto]])=1,1,0)</f>
        <v>1</v>
      </c>
    </row>
    <row r="8426" spans="1:16" x14ac:dyDescent="0.25">
      <c r="A8426" t="s">
        <v>2797</v>
      </c>
      <c r="B8426">
        <v>28</v>
      </c>
      <c r="C8426" t="s">
        <v>10850</v>
      </c>
      <c r="D8426" t="s">
        <v>578</v>
      </c>
      <c r="E8426" s="13">
        <v>2</v>
      </c>
      <c r="F8426" s="12">
        <v>444</v>
      </c>
      <c r="G8426" t="str">
        <f>IFERROR(INDEX(tEditais[Órgão],MATCH(tItens[[#This Row],[Edital]],tEditais[Edital],0)),"")</f>
        <v>MUNICIPIO DE CATANDUVA</v>
      </c>
      <c r="H8426" t="str">
        <f>IFERROR(INDEX(tEditais[UF],MATCH(tItens[[#This Row],[Edital]],tEditais[Edital],0)),"")</f>
        <v>SP</v>
      </c>
      <c r="I8426" s="11">
        <f>IFERROR(INDEX(tEditais[Encerramento],MATCH(tItens[[#This Row],[Edital]],tEditais[Edital],0)),"")</f>
        <v>46304.5625</v>
      </c>
      <c r="J8426" t="str">
        <f>IFERROR(INDEX(tProdutos[Classe],MATCH(tItens[[#This Row],[Produto]],tProdutos[Produto],0)),"produto não cadastrado")</f>
        <v>FILA REBASE</v>
      </c>
      <c r="K8426" s="12">
        <f>tItens[[#This Row],[Qtd]]*tItens[[#This Row],[Vlr unit]]</f>
        <v>888</v>
      </c>
      <c r="L8426" s="6">
        <f>IFERROR(IF(INDEX(tProdutos[Desconto homologado],MATCH(tItens[[#This Row],[Produto]],tProdutos[Produto],0))="",DescontoPadrao,INDEX(tProdutos[Desconto homologado],MATCH(tItens[[#This Row],[Produto]],tProdutos[Produto],0))),DescontoPadrao)</f>
        <v>0.36014625228519198</v>
      </c>
      <c r="M8426" s="12">
        <f>tItens[[#This Row],[Valor]]*(1-tItens[[#This Row],[Desconto]])</f>
        <v>568.19012797074959</v>
      </c>
      <c r="N8426" t="str">
        <f>IFERROR(INDEX(tProdutos[Foco],MATCH(tItens[[#This Row],[Produto]],tProdutos[Produto],0)),"Não")</f>
        <v>Não</v>
      </c>
      <c r="O8426" t="str">
        <f>IFERROR(INDEX(tEditais[SRP],MATCH(tItens[[#This Row],[Edital]],tEditais[Edital],0)),"Não")</f>
        <v>Sim</v>
      </c>
      <c r="P8426" s="4">
        <f>IF(COUNTIFS(INDEX(tItens[Edital],1):tItens[[#This Row],[Edital]],tItens[[#This Row],[Edital]],INDEX(tItens[Produto],1):tItens[[#This Row],[Produto]],tItens[[#This Row],[Produto]])=1,1,0)</f>
        <v>1</v>
      </c>
    </row>
    <row r="8427" spans="1:16" x14ac:dyDescent="0.25">
      <c r="A8427" t="s">
        <v>2797</v>
      </c>
      <c r="B8427">
        <v>43</v>
      </c>
      <c r="C8427" t="s">
        <v>10851</v>
      </c>
      <c r="D8427" t="s">
        <v>75</v>
      </c>
      <c r="E8427" s="13">
        <v>6</v>
      </c>
      <c r="F8427" s="12">
        <v>126.38</v>
      </c>
      <c r="G8427" t="str">
        <f>IFERROR(INDEX(tEditais[Órgão],MATCH(tItens[[#This Row],[Edital]],tEditais[Edital],0)),"")</f>
        <v>MUNICIPIO DE CATANDUVA</v>
      </c>
      <c r="H8427" t="str">
        <f>IFERROR(INDEX(tEditais[UF],MATCH(tItens[[#This Row],[Edital]],tEditais[Edital],0)),"")</f>
        <v>SP</v>
      </c>
      <c r="I8427" s="11">
        <f>IFERROR(INDEX(tEditais[Encerramento],MATCH(tItens[[#This Row],[Edital]],tEditais[Edital],0)),"")</f>
        <v>46304.5625</v>
      </c>
      <c r="J8427" t="str">
        <f>IFERROR(INDEX(tProdutos[Classe],MATCH(tItens[[#This Row],[Produto]],tProdutos[Produto],0)),"produto não cadastrado")</f>
        <v>NÚCLEO</v>
      </c>
      <c r="K8427" s="12">
        <f>tItens[[#This Row],[Qtd]]*tItens[[#This Row],[Vlr unit]]</f>
        <v>758.28</v>
      </c>
      <c r="L8427" s="6">
        <f>IFERROR(IF(INDEX(tProdutos[Desconto homologado],MATCH(tItens[[#This Row],[Produto]],tProdutos[Produto],0))="",DescontoPadrao,INDEX(tProdutos[Desconto homologado],MATCH(tItens[[#This Row],[Produto]],tProdutos[Produto],0))),DescontoPadrao)</f>
        <v>0.26</v>
      </c>
      <c r="M8427" s="12">
        <f>tItens[[#This Row],[Valor]]*(1-tItens[[#This Row],[Desconto]])</f>
        <v>561.12720000000002</v>
      </c>
      <c r="N8427" t="str">
        <f>IFERROR(INDEX(tProdutos[Foco],MATCH(tItens[[#This Row],[Produto]],tProdutos[Produto],0)),"Não")</f>
        <v>Sim</v>
      </c>
      <c r="O8427" t="str">
        <f>IFERROR(INDEX(tEditais[SRP],MATCH(tItens[[#This Row],[Edital]],tEditais[Edital],0)),"Não")</f>
        <v>Sim</v>
      </c>
      <c r="P8427" s="4">
        <f>IF(COUNTIFS(INDEX(tItens[Edital],1):tItens[[#This Row],[Edital]],tItens[[#This Row],[Edital]],INDEX(tItens[Produto],1):tItens[[#This Row],[Produto]],tItens[[#This Row],[Produto]])=1,1,0)</f>
        <v>1</v>
      </c>
    </row>
    <row r="8428" spans="1:16" x14ac:dyDescent="0.25">
      <c r="A8428" t="s">
        <v>2797</v>
      </c>
      <c r="B8428">
        <v>44</v>
      </c>
      <c r="C8428" t="s">
        <v>10852</v>
      </c>
      <c r="D8428" t="s">
        <v>75</v>
      </c>
      <c r="E8428" s="13">
        <v>6</v>
      </c>
      <c r="F8428" s="12">
        <v>156.96</v>
      </c>
      <c r="G8428" t="str">
        <f>IFERROR(INDEX(tEditais[Órgão],MATCH(tItens[[#This Row],[Edital]],tEditais[Edital],0)),"")</f>
        <v>MUNICIPIO DE CATANDUVA</v>
      </c>
      <c r="H8428" t="str">
        <f>IFERROR(INDEX(tEditais[UF],MATCH(tItens[[#This Row],[Edital]],tEditais[Edital],0)),"")</f>
        <v>SP</v>
      </c>
      <c r="I8428" s="11">
        <f>IFERROR(INDEX(tEditais[Encerramento],MATCH(tItens[[#This Row],[Edital]],tEditais[Edital],0)),"")</f>
        <v>46304.5625</v>
      </c>
      <c r="J8428" t="str">
        <f>IFERROR(INDEX(tProdutos[Classe],MATCH(tItens[[#This Row],[Produto]],tProdutos[Produto],0)),"produto não cadastrado")</f>
        <v>NÚCLEO</v>
      </c>
      <c r="K8428" s="12">
        <f>tItens[[#This Row],[Qtd]]*tItens[[#This Row],[Vlr unit]]</f>
        <v>941.76</v>
      </c>
      <c r="L8428" s="6">
        <f>IFERROR(IF(INDEX(tProdutos[Desconto homologado],MATCH(tItens[[#This Row],[Produto]],tProdutos[Produto],0))="",DescontoPadrao,INDEX(tProdutos[Desconto homologado],MATCH(tItens[[#This Row],[Produto]],tProdutos[Produto],0))),DescontoPadrao)</f>
        <v>0.26</v>
      </c>
      <c r="M8428" s="12">
        <f>tItens[[#This Row],[Valor]]*(1-tItens[[#This Row],[Desconto]])</f>
        <v>696.90239999999994</v>
      </c>
      <c r="N8428" t="str">
        <f>IFERROR(INDEX(tProdutos[Foco],MATCH(tItens[[#This Row],[Produto]],tProdutos[Produto],0)),"Não")</f>
        <v>Sim</v>
      </c>
      <c r="O8428" t="str">
        <f>IFERROR(INDEX(tEditais[SRP],MATCH(tItens[[#This Row],[Edital]],tEditais[Edital],0)),"Não")</f>
        <v>Sim</v>
      </c>
      <c r="P8428" s="4">
        <f>IF(COUNTIFS(INDEX(tItens[Edital],1):tItens[[#This Row],[Edital]],tItens[[#This Row],[Edital]],INDEX(tItens[Produto],1):tItens[[#This Row],[Produto]],tItens[[#This Row],[Produto]])=1,1,0)</f>
        <v>0</v>
      </c>
    </row>
    <row r="8429" spans="1:16" x14ac:dyDescent="0.25">
      <c r="A8429" t="s">
        <v>2797</v>
      </c>
      <c r="B8429">
        <v>45</v>
      </c>
      <c r="C8429" t="s">
        <v>10853</v>
      </c>
      <c r="D8429" t="s">
        <v>75</v>
      </c>
      <c r="E8429" s="13">
        <v>6</v>
      </c>
      <c r="F8429" s="12">
        <v>230.02</v>
      </c>
      <c r="G8429" t="str">
        <f>IFERROR(INDEX(tEditais[Órgão],MATCH(tItens[[#This Row],[Edital]],tEditais[Edital],0)),"")</f>
        <v>MUNICIPIO DE CATANDUVA</v>
      </c>
      <c r="H8429" t="str">
        <f>IFERROR(INDEX(tEditais[UF],MATCH(tItens[[#This Row],[Edital]],tEditais[Edital],0)),"")</f>
        <v>SP</v>
      </c>
      <c r="I8429" s="11">
        <f>IFERROR(INDEX(tEditais[Encerramento],MATCH(tItens[[#This Row],[Edital]],tEditais[Edital],0)),"")</f>
        <v>46304.5625</v>
      </c>
      <c r="J8429" t="str">
        <f>IFERROR(INDEX(tProdutos[Classe],MATCH(tItens[[#This Row],[Produto]],tProdutos[Produto],0)),"produto não cadastrado")</f>
        <v>NÚCLEO</v>
      </c>
      <c r="K8429" s="12">
        <f>tItens[[#This Row],[Qtd]]*tItens[[#This Row],[Vlr unit]]</f>
        <v>1380.1200000000001</v>
      </c>
      <c r="L8429" s="6">
        <f>IFERROR(IF(INDEX(tProdutos[Desconto homologado],MATCH(tItens[[#This Row],[Produto]],tProdutos[Produto],0))="",DescontoPadrao,INDEX(tProdutos[Desconto homologado],MATCH(tItens[[#This Row],[Produto]],tProdutos[Produto],0))),DescontoPadrao)</f>
        <v>0.26</v>
      </c>
      <c r="M8429" s="12">
        <f>tItens[[#This Row],[Valor]]*(1-tItens[[#This Row],[Desconto]])</f>
        <v>1021.2888</v>
      </c>
      <c r="N8429" t="str">
        <f>IFERROR(INDEX(tProdutos[Foco],MATCH(tItens[[#This Row],[Produto]],tProdutos[Produto],0)),"Não")</f>
        <v>Sim</v>
      </c>
      <c r="O8429" t="str">
        <f>IFERROR(INDEX(tEditais[SRP],MATCH(tItens[[#This Row],[Edital]],tEditais[Edital],0)),"Não")</f>
        <v>Sim</v>
      </c>
      <c r="P8429" s="4">
        <f>IF(COUNTIFS(INDEX(tItens[Edital],1):tItens[[#This Row],[Edital]],tItens[[#This Row],[Edital]],INDEX(tItens[Produto],1):tItens[[#This Row],[Produto]],tItens[[#This Row],[Produto]])=1,1,0)</f>
        <v>0</v>
      </c>
    </row>
    <row r="8430" spans="1:16" x14ac:dyDescent="0.25">
      <c r="A8430" t="s">
        <v>2797</v>
      </c>
      <c r="B8430">
        <v>46</v>
      </c>
      <c r="C8430" t="s">
        <v>10854</v>
      </c>
      <c r="D8430" t="s">
        <v>75</v>
      </c>
      <c r="E8430" s="13">
        <v>6</v>
      </c>
      <c r="F8430" s="12">
        <v>242.27</v>
      </c>
      <c r="G8430" t="str">
        <f>IFERROR(INDEX(tEditais[Órgão],MATCH(tItens[[#This Row],[Edital]],tEditais[Edital],0)),"")</f>
        <v>MUNICIPIO DE CATANDUVA</v>
      </c>
      <c r="H8430" t="str">
        <f>IFERROR(INDEX(tEditais[UF],MATCH(tItens[[#This Row],[Edital]],tEditais[Edital],0)),"")</f>
        <v>SP</v>
      </c>
      <c r="I8430" s="11">
        <f>IFERROR(INDEX(tEditais[Encerramento],MATCH(tItens[[#This Row],[Edital]],tEditais[Edital],0)),"")</f>
        <v>46304.5625</v>
      </c>
      <c r="J8430" t="str">
        <f>IFERROR(INDEX(tProdutos[Classe],MATCH(tItens[[#This Row],[Produto]],tProdutos[Produto],0)),"produto não cadastrado")</f>
        <v>NÚCLEO</v>
      </c>
      <c r="K8430" s="12">
        <f>tItens[[#This Row],[Qtd]]*tItens[[#This Row],[Vlr unit]]</f>
        <v>1453.6200000000001</v>
      </c>
      <c r="L8430" s="6">
        <f>IFERROR(IF(INDEX(tProdutos[Desconto homologado],MATCH(tItens[[#This Row],[Produto]],tProdutos[Produto],0))="",DescontoPadrao,INDEX(tProdutos[Desconto homologado],MATCH(tItens[[#This Row],[Produto]],tProdutos[Produto],0))),DescontoPadrao)</f>
        <v>0.26</v>
      </c>
      <c r="M8430" s="12">
        <f>tItens[[#This Row],[Valor]]*(1-tItens[[#This Row],[Desconto]])</f>
        <v>1075.6788000000001</v>
      </c>
      <c r="N8430" t="str">
        <f>IFERROR(INDEX(tProdutos[Foco],MATCH(tItens[[#This Row],[Produto]],tProdutos[Produto],0)),"Não")</f>
        <v>Sim</v>
      </c>
      <c r="O8430" t="str">
        <f>IFERROR(INDEX(tEditais[SRP],MATCH(tItens[[#This Row],[Edital]],tEditais[Edital],0)),"Não")</f>
        <v>Sim</v>
      </c>
      <c r="P8430" s="4">
        <f>IF(COUNTIFS(INDEX(tItens[Edital],1):tItens[[#This Row],[Edital]],tItens[[#This Row],[Edital]],INDEX(tItens[Produto],1):tItens[[#This Row],[Produto]],tItens[[#This Row],[Produto]])=1,1,0)</f>
        <v>0</v>
      </c>
    </row>
    <row r="8431" spans="1:16" x14ac:dyDescent="0.25">
      <c r="A8431" t="s">
        <v>2800</v>
      </c>
      <c r="B8431">
        <v>8</v>
      </c>
      <c r="C8431" t="s">
        <v>10855</v>
      </c>
      <c r="D8431" t="s">
        <v>584</v>
      </c>
      <c r="E8431" s="13">
        <v>255</v>
      </c>
      <c r="F8431" s="12">
        <v>2.5</v>
      </c>
      <c r="G8431" t="str">
        <f>IFERROR(INDEX(tEditais[Órgão],MATCH(tItens[[#This Row],[Edital]],tEditais[Edital],0)),"")</f>
        <v>MUNICIPIO DE SAO BERNARDO DO CAMPO</v>
      </c>
      <c r="H8431" t="str">
        <f>IFERROR(INDEX(tEditais[UF],MATCH(tItens[[#This Row],[Edital]],tEditais[Edital],0)),"")</f>
        <v>SP</v>
      </c>
      <c r="I8431" s="11">
        <f>IFERROR(INDEX(tEditais[Encerramento],MATCH(tItens[[#This Row],[Edital]],tEditais[Edital],0)),"")</f>
        <v>46304.583333333336</v>
      </c>
      <c r="J8431" t="str">
        <f>IFERROR(INDEX(tProdutos[Classe],MATCH(tItens[[#This Row],[Produto]],tProdutos[Produto],0)),"produto não cadastrado")</f>
        <v>FILA REBASE</v>
      </c>
      <c r="K8431" s="12">
        <f>tItens[[#This Row],[Qtd]]*tItens[[#This Row],[Vlr unit]]</f>
        <v>637.5</v>
      </c>
      <c r="L8431" s="6">
        <f>IFERROR(IF(INDEX(tProdutos[Desconto homologado],MATCH(tItens[[#This Row],[Produto]],tProdutos[Produto],0))="",DescontoPadrao,INDEX(tProdutos[Desconto homologado],MATCH(tItens[[#This Row],[Produto]],tProdutos[Produto],0))),DescontoPadrao)</f>
        <v>1.8306728813864401E-2</v>
      </c>
      <c r="M8431" s="12">
        <f>tItens[[#This Row],[Valor]]*(1-tItens[[#This Row],[Desconto]])</f>
        <v>625.82946038116143</v>
      </c>
      <c r="N8431" t="str">
        <f>IFERROR(INDEX(tProdutos[Foco],MATCH(tItens[[#This Row],[Produto]],tProdutos[Produto],0)),"Não")</f>
        <v>Não</v>
      </c>
      <c r="O8431" t="str">
        <f>IFERROR(INDEX(tEditais[SRP],MATCH(tItens[[#This Row],[Edital]],tEditais[Edital],0)),"Não")</f>
        <v>Sim</v>
      </c>
      <c r="P8431" s="4">
        <f>IF(COUNTIFS(INDEX(tItens[Edital],1):tItens[[#This Row],[Edital]],tItens[[#This Row],[Edital]],INDEX(tItens[Produto],1):tItens[[#This Row],[Produto]],tItens[[#This Row],[Produto]])=1,1,0)</f>
        <v>1</v>
      </c>
    </row>
    <row r="8432" spans="1:16" x14ac:dyDescent="0.25">
      <c r="A8432" t="s">
        <v>2800</v>
      </c>
      <c r="B8432">
        <v>9</v>
      </c>
      <c r="C8432" t="s">
        <v>10856</v>
      </c>
      <c r="D8432" t="s">
        <v>584</v>
      </c>
      <c r="E8432" s="13">
        <v>135</v>
      </c>
      <c r="F8432" s="12">
        <v>2.67</v>
      </c>
      <c r="G8432" t="str">
        <f>IFERROR(INDEX(tEditais[Órgão],MATCH(tItens[[#This Row],[Edital]],tEditais[Edital],0)),"")</f>
        <v>MUNICIPIO DE SAO BERNARDO DO CAMPO</v>
      </c>
      <c r="H8432" t="str">
        <f>IFERROR(INDEX(tEditais[UF],MATCH(tItens[[#This Row],[Edital]],tEditais[Edital],0)),"")</f>
        <v>SP</v>
      </c>
      <c r="I8432" s="11">
        <f>IFERROR(INDEX(tEditais[Encerramento],MATCH(tItens[[#This Row],[Edital]],tEditais[Edital],0)),"")</f>
        <v>46304.583333333336</v>
      </c>
      <c r="J8432" t="str">
        <f>IFERROR(INDEX(tProdutos[Classe],MATCH(tItens[[#This Row],[Produto]],tProdutos[Produto],0)),"produto não cadastrado")</f>
        <v>FILA REBASE</v>
      </c>
      <c r="K8432" s="12">
        <f>tItens[[#This Row],[Qtd]]*tItens[[#This Row],[Vlr unit]]</f>
        <v>360.45</v>
      </c>
      <c r="L8432" s="6">
        <f>IFERROR(IF(INDEX(tProdutos[Desconto homologado],MATCH(tItens[[#This Row],[Produto]],tProdutos[Produto],0))="",DescontoPadrao,INDEX(tProdutos[Desconto homologado],MATCH(tItens[[#This Row],[Produto]],tProdutos[Produto],0))),DescontoPadrao)</f>
        <v>1.8306728813864401E-2</v>
      </c>
      <c r="M8432" s="12">
        <f>tItens[[#This Row],[Valor]]*(1-tItens[[#This Row],[Desconto]])</f>
        <v>353.85133959904255</v>
      </c>
      <c r="N8432" t="str">
        <f>IFERROR(INDEX(tProdutos[Foco],MATCH(tItens[[#This Row],[Produto]],tProdutos[Produto],0)),"Não")</f>
        <v>Não</v>
      </c>
      <c r="O8432" t="str">
        <f>IFERROR(INDEX(tEditais[SRP],MATCH(tItens[[#This Row],[Edital]],tEditais[Edital],0)),"Não")</f>
        <v>Sim</v>
      </c>
      <c r="P8432" s="4">
        <f>IF(COUNTIFS(INDEX(tItens[Edital],1):tItens[[#This Row],[Edital]],tItens[[#This Row],[Edital]],INDEX(tItens[Produto],1):tItens[[#This Row],[Produto]],tItens[[#This Row],[Produto]])=1,1,0)</f>
        <v>0</v>
      </c>
    </row>
    <row r="8433" spans="1:16" x14ac:dyDescent="0.25">
      <c r="A8433" t="s">
        <v>2800</v>
      </c>
      <c r="B8433">
        <v>10</v>
      </c>
      <c r="C8433" t="s">
        <v>10857</v>
      </c>
      <c r="D8433" t="s">
        <v>584</v>
      </c>
      <c r="E8433" s="13">
        <v>150</v>
      </c>
      <c r="F8433" s="12">
        <v>2.62</v>
      </c>
      <c r="G8433" t="str">
        <f>IFERROR(INDEX(tEditais[Órgão],MATCH(tItens[[#This Row],[Edital]],tEditais[Edital],0)),"")</f>
        <v>MUNICIPIO DE SAO BERNARDO DO CAMPO</v>
      </c>
      <c r="H8433" t="str">
        <f>IFERROR(INDEX(tEditais[UF],MATCH(tItens[[#This Row],[Edital]],tEditais[Edital],0)),"")</f>
        <v>SP</v>
      </c>
      <c r="I8433" s="11">
        <f>IFERROR(INDEX(tEditais[Encerramento],MATCH(tItens[[#This Row],[Edital]],tEditais[Edital],0)),"")</f>
        <v>46304.583333333336</v>
      </c>
      <c r="J8433" t="str">
        <f>IFERROR(INDEX(tProdutos[Classe],MATCH(tItens[[#This Row],[Produto]],tProdutos[Produto],0)),"produto não cadastrado")</f>
        <v>FILA REBASE</v>
      </c>
      <c r="K8433" s="12">
        <f>tItens[[#This Row],[Qtd]]*tItens[[#This Row],[Vlr unit]]</f>
        <v>393</v>
      </c>
      <c r="L8433" s="6">
        <f>IFERROR(IF(INDEX(tProdutos[Desconto homologado],MATCH(tItens[[#This Row],[Produto]],tProdutos[Produto],0))="",DescontoPadrao,INDEX(tProdutos[Desconto homologado],MATCH(tItens[[#This Row],[Produto]],tProdutos[Produto],0))),DescontoPadrao)</f>
        <v>1.8306728813864401E-2</v>
      </c>
      <c r="M8433" s="12">
        <f>tItens[[#This Row],[Valor]]*(1-tItens[[#This Row],[Desconto]])</f>
        <v>385.8054555761513</v>
      </c>
      <c r="N8433" t="str">
        <f>IFERROR(INDEX(tProdutos[Foco],MATCH(tItens[[#This Row],[Produto]],tProdutos[Produto],0)),"Não")</f>
        <v>Não</v>
      </c>
      <c r="O8433" t="str">
        <f>IFERROR(INDEX(tEditais[SRP],MATCH(tItens[[#This Row],[Edital]],tEditais[Edital],0)),"Não")</f>
        <v>Sim</v>
      </c>
      <c r="P8433" s="4">
        <f>IF(COUNTIFS(INDEX(tItens[Edital],1):tItens[[#This Row],[Edital]],tItens[[#This Row],[Edital]],INDEX(tItens[Produto],1):tItens[[#This Row],[Produto]],tItens[[#This Row],[Produto]])=1,1,0)</f>
        <v>0</v>
      </c>
    </row>
    <row r="8434" spans="1:16" x14ac:dyDescent="0.25">
      <c r="A8434" t="s">
        <v>2800</v>
      </c>
      <c r="B8434">
        <v>11</v>
      </c>
      <c r="C8434" t="s">
        <v>10858</v>
      </c>
      <c r="D8434" t="s">
        <v>584</v>
      </c>
      <c r="E8434" s="13">
        <v>15</v>
      </c>
      <c r="F8434" s="12">
        <v>2.67</v>
      </c>
      <c r="G8434" t="str">
        <f>IFERROR(INDEX(tEditais[Órgão],MATCH(tItens[[#This Row],[Edital]],tEditais[Edital],0)),"")</f>
        <v>MUNICIPIO DE SAO BERNARDO DO CAMPO</v>
      </c>
      <c r="H8434" t="str">
        <f>IFERROR(INDEX(tEditais[UF],MATCH(tItens[[#This Row],[Edital]],tEditais[Edital],0)),"")</f>
        <v>SP</v>
      </c>
      <c r="I8434" s="11">
        <f>IFERROR(INDEX(tEditais[Encerramento],MATCH(tItens[[#This Row],[Edital]],tEditais[Edital],0)),"")</f>
        <v>46304.583333333336</v>
      </c>
      <c r="J8434" t="str">
        <f>IFERROR(INDEX(tProdutos[Classe],MATCH(tItens[[#This Row],[Produto]],tProdutos[Produto],0)),"produto não cadastrado")</f>
        <v>FILA REBASE</v>
      </c>
      <c r="K8434" s="12">
        <f>tItens[[#This Row],[Qtd]]*tItens[[#This Row],[Vlr unit]]</f>
        <v>40.049999999999997</v>
      </c>
      <c r="L8434" s="6">
        <f>IFERROR(IF(INDEX(tProdutos[Desconto homologado],MATCH(tItens[[#This Row],[Produto]],tProdutos[Produto],0))="",DescontoPadrao,INDEX(tProdutos[Desconto homologado],MATCH(tItens[[#This Row],[Produto]],tProdutos[Produto],0))),DescontoPadrao)</f>
        <v>1.8306728813864401E-2</v>
      </c>
      <c r="M8434" s="12">
        <f>tItens[[#This Row],[Valor]]*(1-tItens[[#This Row],[Desconto]])</f>
        <v>39.316815511004727</v>
      </c>
      <c r="N8434" t="str">
        <f>IFERROR(INDEX(tProdutos[Foco],MATCH(tItens[[#This Row],[Produto]],tProdutos[Produto],0)),"Não")</f>
        <v>Não</v>
      </c>
      <c r="O8434" t="str">
        <f>IFERROR(INDEX(tEditais[SRP],MATCH(tItens[[#This Row],[Edital]],tEditais[Edital],0)),"Não")</f>
        <v>Sim</v>
      </c>
      <c r="P8434" s="4">
        <f>IF(COUNTIFS(INDEX(tItens[Edital],1):tItens[[#This Row],[Edital]],tItens[[#This Row],[Edital]],INDEX(tItens[Produto],1):tItens[[#This Row],[Produto]],tItens[[#This Row],[Produto]])=1,1,0)</f>
        <v>0</v>
      </c>
    </row>
    <row r="8435" spans="1:16" x14ac:dyDescent="0.25">
      <c r="A8435" t="s">
        <v>2800</v>
      </c>
      <c r="B8435">
        <v>12</v>
      </c>
      <c r="C8435" t="s">
        <v>10859</v>
      </c>
      <c r="D8435" t="s">
        <v>584</v>
      </c>
      <c r="E8435" s="13">
        <v>285</v>
      </c>
      <c r="F8435" s="12">
        <v>2.67</v>
      </c>
      <c r="G8435" t="str">
        <f>IFERROR(INDEX(tEditais[Órgão],MATCH(tItens[[#This Row],[Edital]],tEditais[Edital],0)),"")</f>
        <v>MUNICIPIO DE SAO BERNARDO DO CAMPO</v>
      </c>
      <c r="H8435" t="str">
        <f>IFERROR(INDEX(tEditais[UF],MATCH(tItens[[#This Row],[Edital]],tEditais[Edital],0)),"")</f>
        <v>SP</v>
      </c>
      <c r="I8435" s="11">
        <f>IFERROR(INDEX(tEditais[Encerramento],MATCH(tItens[[#This Row],[Edital]],tEditais[Edital],0)),"")</f>
        <v>46304.583333333336</v>
      </c>
      <c r="J8435" t="str">
        <f>IFERROR(INDEX(tProdutos[Classe],MATCH(tItens[[#This Row],[Produto]],tProdutos[Produto],0)),"produto não cadastrado")</f>
        <v>FILA REBASE</v>
      </c>
      <c r="K8435" s="12">
        <f>tItens[[#This Row],[Qtd]]*tItens[[#This Row],[Vlr unit]]</f>
        <v>760.94999999999993</v>
      </c>
      <c r="L8435" s="6">
        <f>IFERROR(IF(INDEX(tProdutos[Desconto homologado],MATCH(tItens[[#This Row],[Produto]],tProdutos[Produto],0))="",DescontoPadrao,INDEX(tProdutos[Desconto homologado],MATCH(tItens[[#This Row],[Produto]],tProdutos[Produto],0))),DescontoPadrao)</f>
        <v>1.8306728813864401E-2</v>
      </c>
      <c r="M8435" s="12">
        <f>tItens[[#This Row],[Valor]]*(1-tItens[[#This Row],[Desconto]])</f>
        <v>747.01949470908983</v>
      </c>
      <c r="N8435" t="str">
        <f>IFERROR(INDEX(tProdutos[Foco],MATCH(tItens[[#This Row],[Produto]],tProdutos[Produto],0)),"Não")</f>
        <v>Não</v>
      </c>
      <c r="O8435" t="str">
        <f>IFERROR(INDEX(tEditais[SRP],MATCH(tItens[[#This Row],[Edital]],tEditais[Edital],0)),"Não")</f>
        <v>Sim</v>
      </c>
      <c r="P8435" s="4">
        <f>IF(COUNTIFS(INDEX(tItens[Edital],1):tItens[[#This Row],[Edital]],tItens[[#This Row],[Edital]],INDEX(tItens[Produto],1):tItens[[#This Row],[Produto]],tItens[[#This Row],[Produto]])=1,1,0)</f>
        <v>0</v>
      </c>
    </row>
    <row r="8436" spans="1:16" x14ac:dyDescent="0.25">
      <c r="A8436" t="s">
        <v>2800</v>
      </c>
      <c r="B8436">
        <v>13</v>
      </c>
      <c r="C8436" t="s">
        <v>10860</v>
      </c>
      <c r="D8436" t="s">
        <v>584</v>
      </c>
      <c r="E8436" s="13">
        <v>285</v>
      </c>
      <c r="F8436" s="12">
        <v>2.61</v>
      </c>
      <c r="G8436" t="str">
        <f>IFERROR(INDEX(tEditais[Órgão],MATCH(tItens[[#This Row],[Edital]],tEditais[Edital],0)),"")</f>
        <v>MUNICIPIO DE SAO BERNARDO DO CAMPO</v>
      </c>
      <c r="H8436" t="str">
        <f>IFERROR(INDEX(tEditais[UF],MATCH(tItens[[#This Row],[Edital]],tEditais[Edital],0)),"")</f>
        <v>SP</v>
      </c>
      <c r="I8436" s="11">
        <f>IFERROR(INDEX(tEditais[Encerramento],MATCH(tItens[[#This Row],[Edital]],tEditais[Edital],0)),"")</f>
        <v>46304.583333333336</v>
      </c>
      <c r="J8436" t="str">
        <f>IFERROR(INDEX(tProdutos[Classe],MATCH(tItens[[#This Row],[Produto]],tProdutos[Produto],0)),"produto não cadastrado")</f>
        <v>FILA REBASE</v>
      </c>
      <c r="K8436" s="12">
        <f>tItens[[#This Row],[Qtd]]*tItens[[#This Row],[Vlr unit]]</f>
        <v>743.84999999999991</v>
      </c>
      <c r="L8436" s="6">
        <f>IFERROR(IF(INDEX(tProdutos[Desconto homologado],MATCH(tItens[[#This Row],[Produto]],tProdutos[Produto],0))="",DescontoPadrao,INDEX(tProdutos[Desconto homologado],MATCH(tItens[[#This Row],[Produto]],tProdutos[Produto],0))),DescontoPadrao)</f>
        <v>1.8306728813864401E-2</v>
      </c>
      <c r="M8436" s="12">
        <f>tItens[[#This Row],[Valor]]*(1-tItens[[#This Row],[Desconto]])</f>
        <v>730.23253977180684</v>
      </c>
      <c r="N8436" t="str">
        <f>IFERROR(INDEX(tProdutos[Foco],MATCH(tItens[[#This Row],[Produto]],tProdutos[Produto],0)),"Não")</f>
        <v>Não</v>
      </c>
      <c r="O8436" t="str">
        <f>IFERROR(INDEX(tEditais[SRP],MATCH(tItens[[#This Row],[Edital]],tEditais[Edital],0)),"Não")</f>
        <v>Sim</v>
      </c>
      <c r="P8436" s="4">
        <f>IF(COUNTIFS(INDEX(tItens[Edital],1):tItens[[#This Row],[Edital]],tItens[[#This Row],[Edital]],INDEX(tItens[Produto],1):tItens[[#This Row],[Produto]],tItens[[#This Row],[Produto]])=1,1,0)</f>
        <v>0</v>
      </c>
    </row>
    <row r="8437" spans="1:16" x14ac:dyDescent="0.25">
      <c r="A8437" t="s">
        <v>2800</v>
      </c>
      <c r="B8437">
        <v>14</v>
      </c>
      <c r="C8437" t="s">
        <v>10861</v>
      </c>
      <c r="D8437" t="s">
        <v>584</v>
      </c>
      <c r="E8437" s="13">
        <v>255</v>
      </c>
      <c r="F8437" s="12">
        <v>3.21</v>
      </c>
      <c r="G8437" t="str">
        <f>IFERROR(INDEX(tEditais[Órgão],MATCH(tItens[[#This Row],[Edital]],tEditais[Edital],0)),"")</f>
        <v>MUNICIPIO DE SAO BERNARDO DO CAMPO</v>
      </c>
      <c r="H8437" t="str">
        <f>IFERROR(INDEX(tEditais[UF],MATCH(tItens[[#This Row],[Edital]],tEditais[Edital],0)),"")</f>
        <v>SP</v>
      </c>
      <c r="I8437" s="11">
        <f>IFERROR(INDEX(tEditais[Encerramento],MATCH(tItens[[#This Row],[Edital]],tEditais[Edital],0)),"")</f>
        <v>46304.583333333336</v>
      </c>
      <c r="J8437" t="str">
        <f>IFERROR(INDEX(tProdutos[Classe],MATCH(tItens[[#This Row],[Produto]],tProdutos[Produto],0)),"produto não cadastrado")</f>
        <v>FILA REBASE</v>
      </c>
      <c r="K8437" s="12">
        <f>tItens[[#This Row],[Qtd]]*tItens[[#This Row],[Vlr unit]]</f>
        <v>818.55</v>
      </c>
      <c r="L8437" s="6">
        <f>IFERROR(IF(INDEX(tProdutos[Desconto homologado],MATCH(tItens[[#This Row],[Produto]],tProdutos[Produto],0))="",DescontoPadrao,INDEX(tProdutos[Desconto homologado],MATCH(tItens[[#This Row],[Produto]],tProdutos[Produto],0))),DescontoPadrao)</f>
        <v>1.8306728813864401E-2</v>
      </c>
      <c r="M8437" s="12">
        <f>tItens[[#This Row],[Valor]]*(1-tItens[[#This Row],[Desconto]])</f>
        <v>803.56502712941119</v>
      </c>
      <c r="N8437" t="str">
        <f>IFERROR(INDEX(tProdutos[Foco],MATCH(tItens[[#This Row],[Produto]],tProdutos[Produto],0)),"Não")</f>
        <v>Não</v>
      </c>
      <c r="O8437" t="str">
        <f>IFERROR(INDEX(tEditais[SRP],MATCH(tItens[[#This Row],[Edital]],tEditais[Edital],0)),"Não")</f>
        <v>Sim</v>
      </c>
      <c r="P8437" s="4">
        <f>IF(COUNTIFS(INDEX(tItens[Edital],1):tItens[[#This Row],[Edital]],tItens[[#This Row],[Edital]],INDEX(tItens[Produto],1):tItens[[#This Row],[Produto]],tItens[[#This Row],[Produto]])=1,1,0)</f>
        <v>0</v>
      </c>
    </row>
    <row r="8438" spans="1:16" x14ac:dyDescent="0.25">
      <c r="A8438" t="s">
        <v>2800</v>
      </c>
      <c r="B8438">
        <v>15</v>
      </c>
      <c r="C8438" t="s">
        <v>10862</v>
      </c>
      <c r="D8438" t="s">
        <v>584</v>
      </c>
      <c r="E8438" s="13">
        <v>165</v>
      </c>
      <c r="F8438" s="12">
        <v>2.83</v>
      </c>
      <c r="G8438" t="str">
        <f>IFERROR(INDEX(tEditais[Órgão],MATCH(tItens[[#This Row],[Edital]],tEditais[Edital],0)),"")</f>
        <v>MUNICIPIO DE SAO BERNARDO DO CAMPO</v>
      </c>
      <c r="H8438" t="str">
        <f>IFERROR(INDEX(tEditais[UF],MATCH(tItens[[#This Row],[Edital]],tEditais[Edital],0)),"")</f>
        <v>SP</v>
      </c>
      <c r="I8438" s="11">
        <f>IFERROR(INDEX(tEditais[Encerramento],MATCH(tItens[[#This Row],[Edital]],tEditais[Edital],0)),"")</f>
        <v>46304.583333333336</v>
      </c>
      <c r="J8438" t="str">
        <f>IFERROR(INDEX(tProdutos[Classe],MATCH(tItens[[#This Row],[Produto]],tProdutos[Produto],0)),"produto não cadastrado")</f>
        <v>FILA REBASE</v>
      </c>
      <c r="K8438" s="12">
        <f>tItens[[#This Row],[Qtd]]*tItens[[#This Row],[Vlr unit]]</f>
        <v>466.95</v>
      </c>
      <c r="L8438" s="6">
        <f>IFERROR(IF(INDEX(tProdutos[Desconto homologado],MATCH(tItens[[#This Row],[Produto]],tProdutos[Produto],0))="",DescontoPadrao,INDEX(tProdutos[Desconto homologado],MATCH(tItens[[#This Row],[Produto]],tProdutos[Produto],0))),DescontoPadrao)</f>
        <v>1.8306728813864401E-2</v>
      </c>
      <c r="M8438" s="12">
        <f>tItens[[#This Row],[Valor]]*(1-tItens[[#This Row],[Desconto]])</f>
        <v>458.40167298036602</v>
      </c>
      <c r="N8438" t="str">
        <f>IFERROR(INDEX(tProdutos[Foco],MATCH(tItens[[#This Row],[Produto]],tProdutos[Produto],0)),"Não")</f>
        <v>Não</v>
      </c>
      <c r="O8438" t="str">
        <f>IFERROR(INDEX(tEditais[SRP],MATCH(tItens[[#This Row],[Edital]],tEditais[Edital],0)),"Não")</f>
        <v>Sim</v>
      </c>
      <c r="P8438" s="4">
        <f>IF(COUNTIFS(INDEX(tItens[Edital],1):tItens[[#This Row],[Edital]],tItens[[#This Row],[Edital]],INDEX(tItens[Produto],1):tItens[[#This Row],[Produto]],tItens[[#This Row],[Produto]])=1,1,0)</f>
        <v>0</v>
      </c>
    </row>
    <row r="8439" spans="1:16" x14ac:dyDescent="0.25">
      <c r="A8439" t="s">
        <v>2802</v>
      </c>
      <c r="B8439">
        <v>3</v>
      </c>
      <c r="C8439" t="s">
        <v>6970</v>
      </c>
      <c r="D8439" t="s">
        <v>313</v>
      </c>
      <c r="E8439" s="13">
        <v>10</v>
      </c>
      <c r="F8439" s="12">
        <v>40.67</v>
      </c>
      <c r="G8439" t="str">
        <f>IFERROR(INDEX(tEditais[Órgão],MATCH(tItens[[#This Row],[Edital]],tEditais[Edital],0)),"")</f>
        <v>SECRETARIA DE AGRICULTURA E ABASTECIMENTO</v>
      </c>
      <c r="H8439" t="str">
        <f>IFERROR(INDEX(tEditais[UF],MATCH(tItens[[#This Row],[Edital]],tEditais[Edital],0)),"")</f>
        <v>SP</v>
      </c>
      <c r="I8439" s="11">
        <f>IFERROR(INDEX(tEditais[Encerramento],MATCH(tItens[[#This Row],[Edital]],tEditais[Edital],0)),"")</f>
        <v>46308.333333333336</v>
      </c>
      <c r="J8439" t="str">
        <f>IFERROR(INDEX(tProdutos[Classe],MATCH(tItens[[#This Row],[Produto]],tProdutos[Produto],0)),"produto não cadastrado")</f>
        <v>FORA</v>
      </c>
      <c r="K8439" s="12">
        <f>tItens[[#This Row],[Qtd]]*tItens[[#This Row],[Vlr unit]]</f>
        <v>406.70000000000005</v>
      </c>
      <c r="L8439" s="6">
        <f>IFERROR(IF(INDEX(tProdutos[Desconto homologado],MATCH(tItens[[#This Row],[Produto]],tProdutos[Produto],0))="",DescontoPadrao,INDEX(tProdutos[Desconto homologado],MATCH(tItens[[#This Row],[Produto]],tProdutos[Produto],0))),DescontoPadrao)</f>
        <v>0.35766373163696302</v>
      </c>
      <c r="M8439" s="12">
        <f>tItens[[#This Row],[Valor]]*(1-tItens[[#This Row],[Desconto]])</f>
        <v>261.23816034324716</v>
      </c>
      <c r="N8439" t="str">
        <f>IFERROR(INDEX(tProdutos[Foco],MATCH(tItens[[#This Row],[Produto]],tProdutos[Produto],0)),"Não")</f>
        <v>Não</v>
      </c>
      <c r="O8439" t="str">
        <f>IFERROR(INDEX(tEditais[SRP],MATCH(tItens[[#This Row],[Edital]],tEditais[Edital],0)),"Não")</f>
        <v>Não</v>
      </c>
      <c r="P8439" s="4">
        <f>IF(COUNTIFS(INDEX(tItens[Edital],1):tItens[[#This Row],[Edital]],tItens[[#This Row],[Edital]],INDEX(tItens[Produto],1):tItens[[#This Row],[Produto]],tItens[[#This Row],[Produto]])=1,1,0)</f>
        <v>1</v>
      </c>
    </row>
    <row r="8440" spans="1:16" x14ac:dyDescent="0.25">
      <c r="A8440" t="s">
        <v>2806</v>
      </c>
      <c r="B8440">
        <v>5</v>
      </c>
      <c r="C8440" t="s">
        <v>10863</v>
      </c>
      <c r="D8440" t="s">
        <v>611</v>
      </c>
      <c r="E8440" s="13">
        <v>500</v>
      </c>
      <c r="F8440" s="12">
        <v>0</v>
      </c>
      <c r="G8440" t="str">
        <f>IFERROR(INDEX(tEditais[Órgão],MATCH(tItens[[#This Row],[Edital]],tEditais[Edital],0)),"")</f>
        <v>SECRETARIA DE ESTADO DA SAUDE</v>
      </c>
      <c r="H8440" t="str">
        <f>IFERROR(INDEX(tEditais[UF],MATCH(tItens[[#This Row],[Edital]],tEditais[Edital],0)),"")</f>
        <v>SP</v>
      </c>
      <c r="I8440" s="11">
        <f>IFERROR(INDEX(tEditais[Encerramento],MATCH(tItens[[#This Row],[Edital]],tEditais[Edital],0)),"")</f>
        <v>46308.333333333336</v>
      </c>
      <c r="J8440" t="str">
        <f>IFERROR(INDEX(tProdutos[Classe],MATCH(tItens[[#This Row],[Produto]],tProdutos[Produto],0)),"produto não cadastrado")</f>
        <v>FILA REBASE</v>
      </c>
      <c r="K8440" s="12">
        <f>tItens[[#This Row],[Qtd]]*tItens[[#This Row],[Vlr unit]]</f>
        <v>0</v>
      </c>
      <c r="L8440" s="6">
        <f>IFERROR(IF(INDEX(tProdutos[Desconto homologado],MATCH(tItens[[#This Row],[Produto]],tProdutos[Produto],0))="",DescontoPadrao,INDEX(tProdutos[Desconto homologado],MATCH(tItens[[#This Row],[Produto]],tProdutos[Produto],0))),DescontoPadrao)</f>
        <v>0.3</v>
      </c>
      <c r="M8440" s="12">
        <f>tItens[[#This Row],[Valor]]*(1-tItens[[#This Row],[Desconto]])</f>
        <v>0</v>
      </c>
      <c r="N8440" t="str">
        <f>IFERROR(INDEX(tProdutos[Foco],MATCH(tItens[[#This Row],[Produto]],tProdutos[Produto],0)),"Não")</f>
        <v>Não</v>
      </c>
      <c r="O8440" t="str">
        <f>IFERROR(INDEX(tEditais[SRP],MATCH(tItens[[#This Row],[Edital]],tEditais[Edital],0)),"Não")</f>
        <v>Não</v>
      </c>
      <c r="P8440" s="4">
        <f>IF(COUNTIFS(INDEX(tItens[Edital],1):tItens[[#This Row],[Edital]],tItens[[#This Row],[Edital]],INDEX(tItens[Produto],1):tItens[[#This Row],[Produto]],tItens[[#This Row],[Produto]])=1,1,0)</f>
        <v>1</v>
      </c>
    </row>
    <row r="8441" spans="1:16" x14ac:dyDescent="0.25">
      <c r="A8441" t="s">
        <v>2806</v>
      </c>
      <c r="B8441">
        <v>8</v>
      </c>
      <c r="C8441" t="s">
        <v>10864</v>
      </c>
      <c r="D8441" t="s">
        <v>347</v>
      </c>
      <c r="E8441" s="13">
        <v>75</v>
      </c>
      <c r="F8441" s="12">
        <v>0</v>
      </c>
      <c r="G8441" t="str">
        <f>IFERROR(INDEX(tEditais[Órgão],MATCH(tItens[[#This Row],[Edital]],tEditais[Edital],0)),"")</f>
        <v>SECRETARIA DE ESTADO DA SAUDE</v>
      </c>
      <c r="H8441" t="str">
        <f>IFERROR(INDEX(tEditais[UF],MATCH(tItens[[#This Row],[Edital]],tEditais[Edital],0)),"")</f>
        <v>SP</v>
      </c>
      <c r="I8441" s="11">
        <f>IFERROR(INDEX(tEditais[Encerramento],MATCH(tItens[[#This Row],[Edital]],tEditais[Edital],0)),"")</f>
        <v>46308.333333333336</v>
      </c>
      <c r="J8441" t="str">
        <f>IFERROR(INDEX(tProdutos[Classe],MATCH(tItens[[#This Row],[Produto]],tProdutos[Produto],0)),"produto não cadastrado")</f>
        <v>FORA</v>
      </c>
      <c r="K8441" s="12">
        <f>tItens[[#This Row],[Qtd]]*tItens[[#This Row],[Vlr unit]]</f>
        <v>0</v>
      </c>
      <c r="L8441" s="6">
        <f>IFERROR(IF(INDEX(tProdutos[Desconto homologado],MATCH(tItens[[#This Row],[Produto]],tProdutos[Produto],0))="",DescontoPadrao,INDEX(tProdutos[Desconto homologado],MATCH(tItens[[#This Row],[Produto]],tProdutos[Produto],0))),DescontoPadrao)</f>
        <v>0.26356465005931201</v>
      </c>
      <c r="M8441" s="12">
        <f>tItens[[#This Row],[Valor]]*(1-tItens[[#This Row],[Desconto]])</f>
        <v>0</v>
      </c>
      <c r="N8441" t="str">
        <f>IFERROR(INDEX(tProdutos[Foco],MATCH(tItens[[#This Row],[Produto]],tProdutos[Produto],0)),"Não")</f>
        <v>Não</v>
      </c>
      <c r="O8441" t="str">
        <f>IFERROR(INDEX(tEditais[SRP],MATCH(tItens[[#This Row],[Edital]],tEditais[Edital],0)),"Não")</f>
        <v>Não</v>
      </c>
      <c r="P8441" s="4">
        <f>IF(COUNTIFS(INDEX(tItens[Edital],1):tItens[[#This Row],[Edital]],tItens[[#This Row],[Edital]],INDEX(tItens[Produto],1):tItens[[#This Row],[Produto]],tItens[[#This Row],[Produto]])=1,1,0)</f>
        <v>1</v>
      </c>
    </row>
    <row r="8442" spans="1:16" x14ac:dyDescent="0.25">
      <c r="A8442" t="s">
        <v>2806</v>
      </c>
      <c r="B8442">
        <v>10</v>
      </c>
      <c r="C8442" t="s">
        <v>10865</v>
      </c>
      <c r="D8442" t="s">
        <v>375</v>
      </c>
      <c r="E8442" s="13">
        <v>960</v>
      </c>
      <c r="F8442" s="12">
        <v>0</v>
      </c>
      <c r="G8442" t="str">
        <f>IFERROR(INDEX(tEditais[Órgão],MATCH(tItens[[#This Row],[Edital]],tEditais[Edital],0)),"")</f>
        <v>SECRETARIA DE ESTADO DA SAUDE</v>
      </c>
      <c r="H8442" t="str">
        <f>IFERROR(INDEX(tEditais[UF],MATCH(tItens[[#This Row],[Edital]],tEditais[Edital],0)),"")</f>
        <v>SP</v>
      </c>
      <c r="I8442" s="11">
        <f>IFERROR(INDEX(tEditais[Encerramento],MATCH(tItens[[#This Row],[Edital]],tEditais[Edital],0)),"")</f>
        <v>46308.333333333336</v>
      </c>
      <c r="J8442" t="str">
        <f>IFERROR(INDEX(tProdutos[Classe],MATCH(tItens[[#This Row],[Produto]],tProdutos[Produto],0)),"produto não cadastrado")</f>
        <v>FORA</v>
      </c>
      <c r="K8442" s="12">
        <f>tItens[[#This Row],[Qtd]]*tItens[[#This Row],[Vlr unit]]</f>
        <v>0</v>
      </c>
      <c r="L8442" s="6">
        <f>IFERROR(IF(INDEX(tProdutos[Desconto homologado],MATCH(tItens[[#This Row],[Produto]],tProdutos[Produto],0))="",DescontoPadrao,INDEX(tProdutos[Desconto homologado],MATCH(tItens[[#This Row],[Produto]],tProdutos[Produto],0))),DescontoPadrao)</f>
        <v>0.25005895299481201</v>
      </c>
      <c r="M8442" s="12">
        <f>tItens[[#This Row],[Valor]]*(1-tItens[[#This Row],[Desconto]])</f>
        <v>0</v>
      </c>
      <c r="N8442" t="str">
        <f>IFERROR(INDEX(tProdutos[Foco],MATCH(tItens[[#This Row],[Produto]],tProdutos[Produto],0)),"Não")</f>
        <v>Não</v>
      </c>
      <c r="O8442" t="str">
        <f>IFERROR(INDEX(tEditais[SRP],MATCH(tItens[[#This Row],[Edital]],tEditais[Edital],0)),"Não")</f>
        <v>Não</v>
      </c>
      <c r="P8442" s="4">
        <f>IF(COUNTIFS(INDEX(tItens[Edital],1):tItens[[#This Row],[Edital]],tItens[[#This Row],[Edital]],INDEX(tItens[Produto],1):tItens[[#This Row],[Produto]],tItens[[#This Row],[Produto]])=1,1,0)</f>
        <v>1</v>
      </c>
    </row>
    <row r="8443" spans="1:16" x14ac:dyDescent="0.25">
      <c r="A8443" t="s">
        <v>2806</v>
      </c>
      <c r="B8443">
        <v>11</v>
      </c>
      <c r="C8443" t="s">
        <v>10866</v>
      </c>
      <c r="D8443" t="s">
        <v>461</v>
      </c>
      <c r="E8443" s="13">
        <v>360</v>
      </c>
      <c r="F8443" s="12">
        <v>0</v>
      </c>
      <c r="G8443" t="str">
        <f>IFERROR(INDEX(tEditais[Órgão],MATCH(tItens[[#This Row],[Edital]],tEditais[Edital],0)),"")</f>
        <v>SECRETARIA DE ESTADO DA SAUDE</v>
      </c>
      <c r="H8443" t="str">
        <f>IFERROR(INDEX(tEditais[UF],MATCH(tItens[[#This Row],[Edital]],tEditais[Edital],0)),"")</f>
        <v>SP</v>
      </c>
      <c r="I8443" s="11">
        <f>IFERROR(INDEX(tEditais[Encerramento],MATCH(tItens[[#This Row],[Edital]],tEditais[Edital],0)),"")</f>
        <v>46308.333333333336</v>
      </c>
      <c r="J8443" t="str">
        <f>IFERROR(INDEX(tProdutos[Classe],MATCH(tItens[[#This Row],[Produto]],tProdutos[Produto],0)),"produto não cadastrado")</f>
        <v>FILA REBASE</v>
      </c>
      <c r="K8443" s="12">
        <f>tItens[[#This Row],[Qtd]]*tItens[[#This Row],[Vlr unit]]</f>
        <v>0</v>
      </c>
      <c r="L8443" s="6">
        <f>IFERROR(IF(INDEX(tProdutos[Desconto homologado],MATCH(tItens[[#This Row],[Produto]],tProdutos[Produto],0))="",DescontoPadrao,INDEX(tProdutos[Desconto homologado],MATCH(tItens[[#This Row],[Produto]],tProdutos[Produto],0))),DescontoPadrao)</f>
        <v>0.44096385542168698</v>
      </c>
      <c r="M8443" s="12">
        <f>tItens[[#This Row],[Valor]]*(1-tItens[[#This Row],[Desconto]])</f>
        <v>0</v>
      </c>
      <c r="N8443" t="str">
        <f>IFERROR(INDEX(tProdutos[Foco],MATCH(tItens[[#This Row],[Produto]],tProdutos[Produto],0)),"Não")</f>
        <v>Não</v>
      </c>
      <c r="O8443" t="str">
        <f>IFERROR(INDEX(tEditais[SRP],MATCH(tItens[[#This Row],[Edital]],tEditais[Edital],0)),"Não")</f>
        <v>Não</v>
      </c>
      <c r="P8443" s="4">
        <f>IF(COUNTIFS(INDEX(tItens[Edital],1):tItens[[#This Row],[Edital]],tItens[[#This Row],[Edital]],INDEX(tItens[Produto],1):tItens[[#This Row],[Produto]],tItens[[#This Row],[Produto]])=1,1,0)</f>
        <v>1</v>
      </c>
    </row>
    <row r="8444" spans="1:16" x14ac:dyDescent="0.25">
      <c r="A8444" t="s">
        <v>2806</v>
      </c>
      <c r="B8444">
        <v>12</v>
      </c>
      <c r="C8444" t="s">
        <v>10867</v>
      </c>
      <c r="D8444" t="s">
        <v>375</v>
      </c>
      <c r="E8444" s="13">
        <v>288</v>
      </c>
      <c r="F8444" s="12">
        <v>0</v>
      </c>
      <c r="G8444" t="str">
        <f>IFERROR(INDEX(tEditais[Órgão],MATCH(tItens[[#This Row],[Edital]],tEditais[Edital],0)),"")</f>
        <v>SECRETARIA DE ESTADO DA SAUDE</v>
      </c>
      <c r="H8444" t="str">
        <f>IFERROR(INDEX(tEditais[UF],MATCH(tItens[[#This Row],[Edital]],tEditais[Edital],0)),"")</f>
        <v>SP</v>
      </c>
      <c r="I8444" s="11">
        <f>IFERROR(INDEX(tEditais[Encerramento],MATCH(tItens[[#This Row],[Edital]],tEditais[Edital],0)),"")</f>
        <v>46308.333333333336</v>
      </c>
      <c r="J8444" t="str">
        <f>IFERROR(INDEX(tProdutos[Classe],MATCH(tItens[[#This Row],[Produto]],tProdutos[Produto],0)),"produto não cadastrado")</f>
        <v>FORA</v>
      </c>
      <c r="K8444" s="12">
        <f>tItens[[#This Row],[Qtd]]*tItens[[#This Row],[Vlr unit]]</f>
        <v>0</v>
      </c>
      <c r="L8444" s="6">
        <f>IFERROR(IF(INDEX(tProdutos[Desconto homologado],MATCH(tItens[[#This Row],[Produto]],tProdutos[Produto],0))="",DescontoPadrao,INDEX(tProdutos[Desconto homologado],MATCH(tItens[[#This Row],[Produto]],tProdutos[Produto],0))),DescontoPadrao)</f>
        <v>0.25005895299481201</v>
      </c>
      <c r="M8444" s="12">
        <f>tItens[[#This Row],[Valor]]*(1-tItens[[#This Row],[Desconto]])</f>
        <v>0</v>
      </c>
      <c r="N8444" t="str">
        <f>IFERROR(INDEX(tProdutos[Foco],MATCH(tItens[[#This Row],[Produto]],tProdutos[Produto],0)),"Não")</f>
        <v>Não</v>
      </c>
      <c r="O8444" t="str">
        <f>IFERROR(INDEX(tEditais[SRP],MATCH(tItens[[#This Row],[Edital]],tEditais[Edital],0)),"Não")</f>
        <v>Não</v>
      </c>
      <c r="P8444" s="4">
        <f>IF(COUNTIFS(INDEX(tItens[Edital],1):tItens[[#This Row],[Edital]],tItens[[#This Row],[Edital]],INDEX(tItens[Produto],1):tItens[[#This Row],[Produto]],tItens[[#This Row],[Produto]])=1,1,0)</f>
        <v>0</v>
      </c>
    </row>
    <row r="8445" spans="1:16" x14ac:dyDescent="0.25">
      <c r="A8445" t="s">
        <v>2810</v>
      </c>
      <c r="B8445">
        <v>1</v>
      </c>
      <c r="C8445" t="s">
        <v>4138</v>
      </c>
      <c r="D8445" t="s">
        <v>315</v>
      </c>
      <c r="E8445" s="13">
        <v>200</v>
      </c>
      <c r="F8445" s="12">
        <v>0</v>
      </c>
      <c r="G8445" t="str">
        <f>IFERROR(INDEX(tEditais[Órgão],MATCH(tItens[[#This Row],[Edital]],tEditais[Edital],0)),"")</f>
        <v>SECRETARIA DE ESTADO DA SAUDE</v>
      </c>
      <c r="H8445" t="str">
        <f>IFERROR(INDEX(tEditais[UF],MATCH(tItens[[#This Row],[Edital]],tEditais[Edital],0)),"")</f>
        <v>SP</v>
      </c>
      <c r="I8445" s="11">
        <f>IFERROR(INDEX(tEditais[Encerramento],MATCH(tItens[[#This Row],[Edital]],tEditais[Edital],0)),"")</f>
        <v>46308.333333333336</v>
      </c>
      <c r="J8445" t="str">
        <f>IFERROR(INDEX(tProdutos[Classe],MATCH(tItens[[#This Row],[Produto]],tProdutos[Produto],0)),"produto não cadastrado")</f>
        <v>FORA</v>
      </c>
      <c r="K8445" s="12">
        <f>tItens[[#This Row],[Qtd]]*tItens[[#This Row],[Vlr unit]]</f>
        <v>0</v>
      </c>
      <c r="L8445" s="6">
        <f>IFERROR(IF(INDEX(tProdutos[Desconto homologado],MATCH(tItens[[#This Row],[Produto]],tProdutos[Produto],0))="",DescontoPadrao,INDEX(tProdutos[Desconto homologado],MATCH(tItens[[#This Row],[Produto]],tProdutos[Produto],0))),DescontoPadrao)</f>
        <v>0.38432036097010702</v>
      </c>
      <c r="M8445" s="12">
        <f>tItens[[#This Row],[Valor]]*(1-tItens[[#This Row],[Desconto]])</f>
        <v>0</v>
      </c>
      <c r="N8445" t="str">
        <f>IFERROR(INDEX(tProdutos[Foco],MATCH(tItens[[#This Row],[Produto]],tProdutos[Produto],0)),"Não")</f>
        <v>Não</v>
      </c>
      <c r="O8445" t="str">
        <f>IFERROR(INDEX(tEditais[SRP],MATCH(tItens[[#This Row],[Edital]],tEditais[Edital],0)),"Não")</f>
        <v>Não</v>
      </c>
      <c r="P8445" s="4">
        <f>IF(COUNTIFS(INDEX(tItens[Edital],1):tItens[[#This Row],[Edital]],tItens[[#This Row],[Edital]],INDEX(tItens[Produto],1):tItens[[#This Row],[Produto]],tItens[[#This Row],[Produto]])=1,1,0)</f>
        <v>1</v>
      </c>
    </row>
    <row r="8446" spans="1:16" x14ac:dyDescent="0.25">
      <c r="A8446" t="s">
        <v>2814</v>
      </c>
      <c r="B8446">
        <v>1</v>
      </c>
      <c r="C8446" t="s">
        <v>4173</v>
      </c>
      <c r="D8446" t="s">
        <v>551</v>
      </c>
      <c r="E8446" s="13">
        <v>20</v>
      </c>
      <c r="F8446" s="12">
        <v>71.05</v>
      </c>
      <c r="G8446" t="str">
        <f>IFERROR(INDEX(tEditais[Órgão],MATCH(tItens[[#This Row],[Edital]],tEditais[Edital],0)),"")</f>
        <v>COMANDO DO EXERCITO</v>
      </c>
      <c r="H8446" t="str">
        <f>IFERROR(INDEX(tEditais[UF],MATCH(tItens[[#This Row],[Edital]],tEditais[Edital],0)),"")</f>
        <v>SP</v>
      </c>
      <c r="I8446" s="11">
        <f>IFERROR(INDEX(tEditais[Encerramento],MATCH(tItens[[#This Row],[Edital]],tEditais[Edital],0)),"")</f>
        <v>46308.333333333336</v>
      </c>
      <c r="J8446" t="str">
        <f>IFERROR(INDEX(tProdutos[Classe],MATCH(tItens[[#This Row],[Produto]],tProdutos[Produto],0)),"produto não cadastrado")</f>
        <v>FILA REBASE</v>
      </c>
      <c r="K8446" s="12">
        <f>tItens[[#This Row],[Qtd]]*tItens[[#This Row],[Vlr unit]]</f>
        <v>1421</v>
      </c>
      <c r="L8446" s="6">
        <f>IFERROR(IF(INDEX(tProdutos[Desconto homologado],MATCH(tItens[[#This Row],[Produto]],tProdutos[Produto],0))="",DescontoPadrao,INDEX(tProdutos[Desconto homologado],MATCH(tItens[[#This Row],[Produto]],tProdutos[Produto],0))),DescontoPadrao)</f>
        <v>0.71401513972830499</v>
      </c>
      <c r="M8446" s="12">
        <f>tItens[[#This Row],[Valor]]*(1-tItens[[#This Row],[Desconto]])</f>
        <v>406.3844864460786</v>
      </c>
      <c r="N8446" t="str">
        <f>IFERROR(INDEX(tProdutos[Foco],MATCH(tItens[[#This Row],[Produto]],tProdutos[Produto],0)),"Não")</f>
        <v>Não</v>
      </c>
      <c r="O8446" t="str">
        <f>IFERROR(INDEX(tEditais[SRP],MATCH(tItens[[#This Row],[Edital]],tEditais[Edital],0)),"Não")</f>
        <v>Não</v>
      </c>
      <c r="P8446" s="4">
        <f>IF(COUNTIFS(INDEX(tItens[Edital],1):tItens[[#This Row],[Edital]],tItens[[#This Row],[Edital]],INDEX(tItens[Produto],1):tItens[[#This Row],[Produto]],tItens[[#This Row],[Produto]])=1,1,0)</f>
        <v>1</v>
      </c>
    </row>
    <row r="8447" spans="1:16" x14ac:dyDescent="0.25">
      <c r="A8447" t="s">
        <v>2818</v>
      </c>
      <c r="B8447">
        <v>3</v>
      </c>
      <c r="C8447" t="s">
        <v>10868</v>
      </c>
      <c r="D8447" t="s">
        <v>237</v>
      </c>
      <c r="E8447" s="13">
        <v>143</v>
      </c>
      <c r="F8447" s="12">
        <v>70.12</v>
      </c>
      <c r="G8447" t="str">
        <f>IFERROR(INDEX(tEditais[Órgão],MATCH(tItens[[#This Row],[Edital]],tEditais[Edital],0)),"")</f>
        <v>MUNICIPIO DE TAUBATE</v>
      </c>
      <c r="H8447" t="str">
        <f>IFERROR(INDEX(tEditais[UF],MATCH(tItens[[#This Row],[Edital]],tEditais[Edital],0)),"")</f>
        <v>SP</v>
      </c>
      <c r="I8447" s="11">
        <f>IFERROR(INDEX(tEditais[Encerramento],MATCH(tItens[[#This Row],[Edital]],tEditais[Edital],0)),"")</f>
        <v>46308.353472222225</v>
      </c>
      <c r="J8447" t="str">
        <f>IFERROR(INDEX(tProdutos[Classe],MATCH(tItens[[#This Row],[Produto]],tProdutos[Produto],0)),"produto não cadastrado")</f>
        <v>FORA</v>
      </c>
      <c r="K8447" s="12">
        <f>tItens[[#This Row],[Qtd]]*tItens[[#This Row],[Vlr unit]]</f>
        <v>10027.16</v>
      </c>
      <c r="L8447" s="6">
        <f>IFERROR(IF(INDEX(tProdutos[Desconto homologado],MATCH(tItens[[#This Row],[Produto]],tProdutos[Produto],0))="",DescontoPadrao,INDEX(tProdutos[Desconto homologado],MATCH(tItens[[#This Row],[Produto]],tProdutos[Produto],0))),DescontoPadrao)</f>
        <v>0.281629856521038</v>
      </c>
      <c r="M8447" s="12">
        <f>tItens[[#This Row],[Valor]]*(1-tItens[[#This Row],[Desconto]])</f>
        <v>7203.2123678865082</v>
      </c>
      <c r="N8447" t="str">
        <f>IFERROR(INDEX(tProdutos[Foco],MATCH(tItens[[#This Row],[Produto]],tProdutos[Produto],0)),"Não")</f>
        <v>Não</v>
      </c>
      <c r="O8447" t="str">
        <f>IFERROR(INDEX(tEditais[SRP],MATCH(tItens[[#This Row],[Edital]],tEditais[Edital],0)),"Não")</f>
        <v>Sim</v>
      </c>
      <c r="P8447" s="4">
        <f>IF(COUNTIFS(INDEX(tItens[Edital],1):tItens[[#This Row],[Edital]],tItens[[#This Row],[Edital]],INDEX(tItens[Produto],1):tItens[[#This Row],[Produto]],tItens[[#This Row],[Produto]])=1,1,0)</f>
        <v>1</v>
      </c>
    </row>
    <row r="8448" spans="1:16" x14ac:dyDescent="0.25">
      <c r="A8448" t="s">
        <v>2818</v>
      </c>
      <c r="B8448">
        <v>4</v>
      </c>
      <c r="C8448" t="s">
        <v>10869</v>
      </c>
      <c r="D8448" t="s">
        <v>237</v>
      </c>
      <c r="E8448" s="13">
        <v>38</v>
      </c>
      <c r="F8448" s="12">
        <v>114.17</v>
      </c>
      <c r="G8448" t="str">
        <f>IFERROR(INDEX(tEditais[Órgão],MATCH(tItens[[#This Row],[Edital]],tEditais[Edital],0)),"")</f>
        <v>MUNICIPIO DE TAUBATE</v>
      </c>
      <c r="H8448" t="str">
        <f>IFERROR(INDEX(tEditais[UF],MATCH(tItens[[#This Row],[Edital]],tEditais[Edital],0)),"")</f>
        <v>SP</v>
      </c>
      <c r="I8448" s="11">
        <f>IFERROR(INDEX(tEditais[Encerramento],MATCH(tItens[[#This Row],[Edital]],tEditais[Edital],0)),"")</f>
        <v>46308.353472222225</v>
      </c>
      <c r="J8448" t="str">
        <f>IFERROR(INDEX(tProdutos[Classe],MATCH(tItens[[#This Row],[Produto]],tProdutos[Produto],0)),"produto não cadastrado")</f>
        <v>FORA</v>
      </c>
      <c r="K8448" s="12">
        <f>tItens[[#This Row],[Qtd]]*tItens[[#This Row],[Vlr unit]]</f>
        <v>4338.46</v>
      </c>
      <c r="L8448" s="6">
        <f>IFERROR(IF(INDEX(tProdutos[Desconto homologado],MATCH(tItens[[#This Row],[Produto]],tProdutos[Produto],0))="",DescontoPadrao,INDEX(tProdutos[Desconto homologado],MATCH(tItens[[#This Row],[Produto]],tProdutos[Produto],0))),DescontoPadrao)</f>
        <v>0.281629856521038</v>
      </c>
      <c r="M8448" s="12">
        <f>tItens[[#This Row],[Valor]]*(1-tItens[[#This Row],[Desconto]])</f>
        <v>3116.6201326777373</v>
      </c>
      <c r="N8448" t="str">
        <f>IFERROR(INDEX(tProdutos[Foco],MATCH(tItens[[#This Row],[Produto]],tProdutos[Produto],0)),"Não")</f>
        <v>Não</v>
      </c>
      <c r="O8448" t="str">
        <f>IFERROR(INDEX(tEditais[SRP],MATCH(tItens[[#This Row],[Edital]],tEditais[Edital],0)),"Não")</f>
        <v>Sim</v>
      </c>
      <c r="P8448" s="4">
        <f>IF(COUNTIFS(INDEX(tItens[Edital],1):tItens[[#This Row],[Edital]],tItens[[#This Row],[Edital]],INDEX(tItens[Produto],1):tItens[[#This Row],[Produto]],tItens[[#This Row],[Produto]])=1,1,0)</f>
        <v>0</v>
      </c>
    </row>
    <row r="8449" spans="1:16" x14ac:dyDescent="0.25">
      <c r="A8449" t="s">
        <v>2818</v>
      </c>
      <c r="B8449">
        <v>5</v>
      </c>
      <c r="C8449" t="s">
        <v>10870</v>
      </c>
      <c r="D8449" t="s">
        <v>237</v>
      </c>
      <c r="E8449" s="13">
        <v>173</v>
      </c>
      <c r="F8449" s="12">
        <v>38.96</v>
      </c>
      <c r="G8449" t="str">
        <f>IFERROR(INDEX(tEditais[Órgão],MATCH(tItens[[#This Row],[Edital]],tEditais[Edital],0)),"")</f>
        <v>MUNICIPIO DE TAUBATE</v>
      </c>
      <c r="H8449" t="str">
        <f>IFERROR(INDEX(tEditais[UF],MATCH(tItens[[#This Row],[Edital]],tEditais[Edital],0)),"")</f>
        <v>SP</v>
      </c>
      <c r="I8449" s="11">
        <f>IFERROR(INDEX(tEditais[Encerramento],MATCH(tItens[[#This Row],[Edital]],tEditais[Edital],0)),"")</f>
        <v>46308.353472222225</v>
      </c>
      <c r="J8449" t="str">
        <f>IFERROR(INDEX(tProdutos[Classe],MATCH(tItens[[#This Row],[Produto]],tProdutos[Produto],0)),"produto não cadastrado")</f>
        <v>FORA</v>
      </c>
      <c r="K8449" s="12">
        <f>tItens[[#This Row],[Qtd]]*tItens[[#This Row],[Vlr unit]]</f>
        <v>6740.08</v>
      </c>
      <c r="L8449" s="6">
        <f>IFERROR(IF(INDEX(tProdutos[Desconto homologado],MATCH(tItens[[#This Row],[Produto]],tProdutos[Produto],0))="",DescontoPadrao,INDEX(tProdutos[Desconto homologado],MATCH(tItens[[#This Row],[Produto]],tProdutos[Produto],0))),DescontoPadrao)</f>
        <v>0.281629856521038</v>
      </c>
      <c r="M8449" s="12">
        <f>tItens[[#This Row],[Valor]]*(1-tItens[[#This Row],[Desconto]])</f>
        <v>4841.8722366596821</v>
      </c>
      <c r="N8449" t="str">
        <f>IFERROR(INDEX(tProdutos[Foco],MATCH(tItens[[#This Row],[Produto]],tProdutos[Produto],0)),"Não")</f>
        <v>Não</v>
      </c>
      <c r="O8449" t="str">
        <f>IFERROR(INDEX(tEditais[SRP],MATCH(tItens[[#This Row],[Edital]],tEditais[Edital],0)),"Não")</f>
        <v>Sim</v>
      </c>
      <c r="P8449" s="4">
        <f>IF(COUNTIFS(INDEX(tItens[Edital],1):tItens[[#This Row],[Edital]],tItens[[#This Row],[Edital]],INDEX(tItens[Produto],1):tItens[[#This Row],[Produto]],tItens[[#This Row],[Produto]])=1,1,0)</f>
        <v>0</v>
      </c>
    </row>
    <row r="8450" spans="1:16" x14ac:dyDescent="0.25">
      <c r="A8450" t="s">
        <v>2818</v>
      </c>
      <c r="B8450">
        <v>6</v>
      </c>
      <c r="C8450" t="s">
        <v>10871</v>
      </c>
      <c r="D8450" t="s">
        <v>237</v>
      </c>
      <c r="E8450" s="13">
        <v>143</v>
      </c>
      <c r="F8450" s="12">
        <v>70.12</v>
      </c>
      <c r="G8450" t="str">
        <f>IFERROR(INDEX(tEditais[Órgão],MATCH(tItens[[#This Row],[Edital]],tEditais[Edital],0)),"")</f>
        <v>MUNICIPIO DE TAUBATE</v>
      </c>
      <c r="H8450" t="str">
        <f>IFERROR(INDEX(tEditais[UF],MATCH(tItens[[#This Row],[Edital]],tEditais[Edital],0)),"")</f>
        <v>SP</v>
      </c>
      <c r="I8450" s="11">
        <f>IFERROR(INDEX(tEditais[Encerramento],MATCH(tItens[[#This Row],[Edital]],tEditais[Edital],0)),"")</f>
        <v>46308.353472222225</v>
      </c>
      <c r="J8450" t="str">
        <f>IFERROR(INDEX(tProdutos[Classe],MATCH(tItens[[#This Row],[Produto]],tProdutos[Produto],0)),"produto não cadastrado")</f>
        <v>FORA</v>
      </c>
      <c r="K8450" s="12">
        <f>tItens[[#This Row],[Qtd]]*tItens[[#This Row],[Vlr unit]]</f>
        <v>10027.16</v>
      </c>
      <c r="L8450" s="6">
        <f>IFERROR(IF(INDEX(tProdutos[Desconto homologado],MATCH(tItens[[#This Row],[Produto]],tProdutos[Produto],0))="",DescontoPadrao,INDEX(tProdutos[Desconto homologado],MATCH(tItens[[#This Row],[Produto]],tProdutos[Produto],0))),DescontoPadrao)</f>
        <v>0.281629856521038</v>
      </c>
      <c r="M8450" s="12">
        <f>tItens[[#This Row],[Valor]]*(1-tItens[[#This Row],[Desconto]])</f>
        <v>7203.2123678865082</v>
      </c>
      <c r="N8450" t="str">
        <f>IFERROR(INDEX(tProdutos[Foco],MATCH(tItens[[#This Row],[Produto]],tProdutos[Produto],0)),"Não")</f>
        <v>Não</v>
      </c>
      <c r="O8450" t="str">
        <f>IFERROR(INDEX(tEditais[SRP],MATCH(tItens[[#This Row],[Edital]],tEditais[Edital],0)),"Não")</f>
        <v>Sim</v>
      </c>
      <c r="P8450" s="4">
        <f>IF(COUNTIFS(INDEX(tItens[Edital],1):tItens[[#This Row],[Edital]],tItens[[#This Row],[Edital]],INDEX(tItens[Produto],1):tItens[[#This Row],[Produto]],tItens[[#This Row],[Produto]])=1,1,0)</f>
        <v>0</v>
      </c>
    </row>
    <row r="8451" spans="1:16" x14ac:dyDescent="0.25">
      <c r="A8451" t="s">
        <v>2818</v>
      </c>
      <c r="B8451">
        <v>7</v>
      </c>
      <c r="C8451" t="s">
        <v>10872</v>
      </c>
      <c r="D8451" t="s">
        <v>237</v>
      </c>
      <c r="E8451" s="13">
        <v>134</v>
      </c>
      <c r="F8451" s="12">
        <v>107.22</v>
      </c>
      <c r="G8451" t="str">
        <f>IFERROR(INDEX(tEditais[Órgão],MATCH(tItens[[#This Row],[Edital]],tEditais[Edital],0)),"")</f>
        <v>MUNICIPIO DE TAUBATE</v>
      </c>
      <c r="H8451" t="str">
        <f>IFERROR(INDEX(tEditais[UF],MATCH(tItens[[#This Row],[Edital]],tEditais[Edital],0)),"")</f>
        <v>SP</v>
      </c>
      <c r="I8451" s="11">
        <f>IFERROR(INDEX(tEditais[Encerramento],MATCH(tItens[[#This Row],[Edital]],tEditais[Edital],0)),"")</f>
        <v>46308.353472222225</v>
      </c>
      <c r="J8451" t="str">
        <f>IFERROR(INDEX(tProdutos[Classe],MATCH(tItens[[#This Row],[Produto]],tProdutos[Produto],0)),"produto não cadastrado")</f>
        <v>FORA</v>
      </c>
      <c r="K8451" s="12">
        <f>tItens[[#This Row],[Qtd]]*tItens[[#This Row],[Vlr unit]]</f>
        <v>14367.48</v>
      </c>
      <c r="L8451" s="6">
        <f>IFERROR(IF(INDEX(tProdutos[Desconto homologado],MATCH(tItens[[#This Row],[Produto]],tProdutos[Produto],0))="",DescontoPadrao,INDEX(tProdutos[Desconto homologado],MATCH(tItens[[#This Row],[Produto]],tProdutos[Produto],0))),DescontoPadrao)</f>
        <v>0.281629856521038</v>
      </c>
      <c r="M8451" s="12">
        <f>tItens[[#This Row],[Valor]]*(1-tItens[[#This Row],[Desconto]])</f>
        <v>10321.168669031116</v>
      </c>
      <c r="N8451" t="str">
        <f>IFERROR(INDEX(tProdutos[Foco],MATCH(tItens[[#This Row],[Produto]],tProdutos[Produto],0)),"Não")</f>
        <v>Não</v>
      </c>
      <c r="O8451" t="str">
        <f>IFERROR(INDEX(tEditais[SRP],MATCH(tItens[[#This Row],[Edital]],tEditais[Edital],0)),"Não")</f>
        <v>Sim</v>
      </c>
      <c r="P8451" s="4">
        <f>IF(COUNTIFS(INDEX(tItens[Edital],1):tItens[[#This Row],[Edital]],tItens[[#This Row],[Edital]],INDEX(tItens[Produto],1):tItens[[#This Row],[Produto]],tItens[[#This Row],[Produto]])=1,1,0)</f>
        <v>0</v>
      </c>
    </row>
    <row r="8452" spans="1:16" x14ac:dyDescent="0.25">
      <c r="A8452" t="s">
        <v>2818</v>
      </c>
      <c r="B8452">
        <v>35</v>
      </c>
      <c r="C8452" t="s">
        <v>10868</v>
      </c>
      <c r="D8452" t="s">
        <v>237</v>
      </c>
      <c r="E8452" s="13">
        <v>47</v>
      </c>
      <c r="F8452" s="12">
        <v>70.12</v>
      </c>
      <c r="G8452" t="str">
        <f>IFERROR(INDEX(tEditais[Órgão],MATCH(tItens[[#This Row],[Edital]],tEditais[Edital],0)),"")</f>
        <v>MUNICIPIO DE TAUBATE</v>
      </c>
      <c r="H8452" t="str">
        <f>IFERROR(INDEX(tEditais[UF],MATCH(tItens[[#This Row],[Edital]],tEditais[Edital],0)),"")</f>
        <v>SP</v>
      </c>
      <c r="I8452" s="11">
        <f>IFERROR(INDEX(tEditais[Encerramento],MATCH(tItens[[#This Row],[Edital]],tEditais[Edital],0)),"")</f>
        <v>46308.353472222225</v>
      </c>
      <c r="J8452" t="str">
        <f>IFERROR(INDEX(tProdutos[Classe],MATCH(tItens[[#This Row],[Produto]],tProdutos[Produto],0)),"produto não cadastrado")</f>
        <v>FORA</v>
      </c>
      <c r="K8452" s="12">
        <f>tItens[[#This Row],[Qtd]]*tItens[[#This Row],[Vlr unit]]</f>
        <v>3295.6400000000003</v>
      </c>
      <c r="L8452" s="6">
        <f>IFERROR(IF(INDEX(tProdutos[Desconto homologado],MATCH(tItens[[#This Row],[Produto]],tProdutos[Produto],0))="",DescontoPadrao,INDEX(tProdutos[Desconto homologado],MATCH(tItens[[#This Row],[Produto]],tProdutos[Produto],0))),DescontoPadrao)</f>
        <v>0.281629856521038</v>
      </c>
      <c r="M8452" s="12">
        <f>tItens[[#This Row],[Valor]]*(1-tItens[[#This Row],[Desconto]])</f>
        <v>2367.4893796550064</v>
      </c>
      <c r="N8452" t="str">
        <f>IFERROR(INDEX(tProdutos[Foco],MATCH(tItens[[#This Row],[Produto]],tProdutos[Produto],0)),"Não")</f>
        <v>Não</v>
      </c>
      <c r="O8452" t="str">
        <f>IFERROR(INDEX(tEditais[SRP],MATCH(tItens[[#This Row],[Edital]],tEditais[Edital],0)),"Não")</f>
        <v>Sim</v>
      </c>
      <c r="P8452" s="4">
        <f>IF(COUNTIFS(INDEX(tItens[Edital],1):tItens[[#This Row],[Edital]],tItens[[#This Row],[Edital]],INDEX(tItens[Produto],1):tItens[[#This Row],[Produto]],tItens[[#This Row],[Produto]])=1,1,0)</f>
        <v>0</v>
      </c>
    </row>
    <row r="8453" spans="1:16" x14ac:dyDescent="0.25">
      <c r="A8453" t="s">
        <v>2818</v>
      </c>
      <c r="B8453">
        <v>36</v>
      </c>
      <c r="C8453" t="s">
        <v>10869</v>
      </c>
      <c r="D8453" t="s">
        <v>237</v>
      </c>
      <c r="E8453" s="13">
        <v>12</v>
      </c>
      <c r="F8453" s="12">
        <v>114.17</v>
      </c>
      <c r="G8453" t="str">
        <f>IFERROR(INDEX(tEditais[Órgão],MATCH(tItens[[#This Row],[Edital]],tEditais[Edital],0)),"")</f>
        <v>MUNICIPIO DE TAUBATE</v>
      </c>
      <c r="H8453" t="str">
        <f>IFERROR(INDEX(tEditais[UF],MATCH(tItens[[#This Row],[Edital]],tEditais[Edital],0)),"")</f>
        <v>SP</v>
      </c>
      <c r="I8453" s="11">
        <f>IFERROR(INDEX(tEditais[Encerramento],MATCH(tItens[[#This Row],[Edital]],tEditais[Edital],0)),"")</f>
        <v>46308.353472222225</v>
      </c>
      <c r="J8453" t="str">
        <f>IFERROR(INDEX(tProdutos[Classe],MATCH(tItens[[#This Row],[Produto]],tProdutos[Produto],0)),"produto não cadastrado")</f>
        <v>FORA</v>
      </c>
      <c r="K8453" s="12">
        <f>tItens[[#This Row],[Qtd]]*tItens[[#This Row],[Vlr unit]]</f>
        <v>1370.04</v>
      </c>
      <c r="L8453" s="6">
        <f>IFERROR(IF(INDEX(tProdutos[Desconto homologado],MATCH(tItens[[#This Row],[Produto]],tProdutos[Produto],0))="",DescontoPadrao,INDEX(tProdutos[Desconto homologado],MATCH(tItens[[#This Row],[Produto]],tProdutos[Produto],0))),DescontoPadrao)</f>
        <v>0.281629856521038</v>
      </c>
      <c r="M8453" s="12">
        <f>tItens[[#This Row],[Valor]]*(1-tItens[[#This Row],[Desconto]])</f>
        <v>984.19583137191705</v>
      </c>
      <c r="N8453" t="str">
        <f>IFERROR(INDEX(tProdutos[Foco],MATCH(tItens[[#This Row],[Produto]],tProdutos[Produto],0)),"Não")</f>
        <v>Não</v>
      </c>
      <c r="O8453" t="str">
        <f>IFERROR(INDEX(tEditais[SRP],MATCH(tItens[[#This Row],[Edital]],tEditais[Edital],0)),"Não")</f>
        <v>Sim</v>
      </c>
      <c r="P8453" s="4">
        <f>IF(COUNTIFS(INDEX(tItens[Edital],1):tItens[[#This Row],[Edital]],tItens[[#This Row],[Edital]],INDEX(tItens[Produto],1):tItens[[#This Row],[Produto]],tItens[[#This Row],[Produto]])=1,1,0)</f>
        <v>0</v>
      </c>
    </row>
    <row r="8454" spans="1:16" x14ac:dyDescent="0.25">
      <c r="A8454" t="s">
        <v>2818</v>
      </c>
      <c r="B8454">
        <v>37</v>
      </c>
      <c r="C8454" t="s">
        <v>10870</v>
      </c>
      <c r="D8454" t="s">
        <v>237</v>
      </c>
      <c r="E8454" s="13">
        <v>57</v>
      </c>
      <c r="F8454" s="12">
        <v>38.96</v>
      </c>
      <c r="G8454" t="str">
        <f>IFERROR(INDEX(tEditais[Órgão],MATCH(tItens[[#This Row],[Edital]],tEditais[Edital],0)),"")</f>
        <v>MUNICIPIO DE TAUBATE</v>
      </c>
      <c r="H8454" t="str">
        <f>IFERROR(INDEX(tEditais[UF],MATCH(tItens[[#This Row],[Edital]],tEditais[Edital],0)),"")</f>
        <v>SP</v>
      </c>
      <c r="I8454" s="11">
        <f>IFERROR(INDEX(tEditais[Encerramento],MATCH(tItens[[#This Row],[Edital]],tEditais[Edital],0)),"")</f>
        <v>46308.353472222225</v>
      </c>
      <c r="J8454" t="str">
        <f>IFERROR(INDEX(tProdutos[Classe],MATCH(tItens[[#This Row],[Produto]],tProdutos[Produto],0)),"produto não cadastrado")</f>
        <v>FORA</v>
      </c>
      <c r="K8454" s="12">
        <f>tItens[[#This Row],[Qtd]]*tItens[[#This Row],[Vlr unit]]</f>
        <v>2220.7200000000003</v>
      </c>
      <c r="L8454" s="6">
        <f>IFERROR(IF(INDEX(tProdutos[Desconto homologado],MATCH(tItens[[#This Row],[Produto]],tProdutos[Produto],0))="",DescontoPadrao,INDEX(tProdutos[Desconto homologado],MATCH(tItens[[#This Row],[Produto]],tProdutos[Produto],0))),DescontoPadrao)</f>
        <v>0.281629856521038</v>
      </c>
      <c r="M8454" s="12">
        <f>tItens[[#This Row],[Valor]]*(1-tItens[[#This Row],[Desconto]])</f>
        <v>1595.2989450266007</v>
      </c>
      <c r="N8454" t="str">
        <f>IFERROR(INDEX(tProdutos[Foco],MATCH(tItens[[#This Row],[Produto]],tProdutos[Produto],0)),"Não")</f>
        <v>Não</v>
      </c>
      <c r="O8454" t="str">
        <f>IFERROR(INDEX(tEditais[SRP],MATCH(tItens[[#This Row],[Edital]],tEditais[Edital],0)),"Não")</f>
        <v>Sim</v>
      </c>
      <c r="P8454" s="4">
        <f>IF(COUNTIFS(INDEX(tItens[Edital],1):tItens[[#This Row],[Edital]],tItens[[#This Row],[Edital]],INDEX(tItens[Produto],1):tItens[[#This Row],[Produto]],tItens[[#This Row],[Produto]])=1,1,0)</f>
        <v>0</v>
      </c>
    </row>
    <row r="8455" spans="1:16" x14ac:dyDescent="0.25">
      <c r="A8455" t="s">
        <v>2818</v>
      </c>
      <c r="B8455">
        <v>38</v>
      </c>
      <c r="C8455" t="s">
        <v>10871</v>
      </c>
      <c r="D8455" t="s">
        <v>237</v>
      </c>
      <c r="E8455" s="13">
        <v>47</v>
      </c>
      <c r="F8455" s="12">
        <v>70.12</v>
      </c>
      <c r="G8455" t="str">
        <f>IFERROR(INDEX(tEditais[Órgão],MATCH(tItens[[#This Row],[Edital]],tEditais[Edital],0)),"")</f>
        <v>MUNICIPIO DE TAUBATE</v>
      </c>
      <c r="H8455" t="str">
        <f>IFERROR(INDEX(tEditais[UF],MATCH(tItens[[#This Row],[Edital]],tEditais[Edital],0)),"")</f>
        <v>SP</v>
      </c>
      <c r="I8455" s="11">
        <f>IFERROR(INDEX(tEditais[Encerramento],MATCH(tItens[[#This Row],[Edital]],tEditais[Edital],0)),"")</f>
        <v>46308.353472222225</v>
      </c>
      <c r="J8455" t="str">
        <f>IFERROR(INDEX(tProdutos[Classe],MATCH(tItens[[#This Row],[Produto]],tProdutos[Produto],0)),"produto não cadastrado")</f>
        <v>FORA</v>
      </c>
      <c r="K8455" s="12">
        <f>tItens[[#This Row],[Qtd]]*tItens[[#This Row],[Vlr unit]]</f>
        <v>3295.6400000000003</v>
      </c>
      <c r="L8455" s="6">
        <f>IFERROR(IF(INDEX(tProdutos[Desconto homologado],MATCH(tItens[[#This Row],[Produto]],tProdutos[Produto],0))="",DescontoPadrao,INDEX(tProdutos[Desconto homologado],MATCH(tItens[[#This Row],[Produto]],tProdutos[Produto],0))),DescontoPadrao)</f>
        <v>0.281629856521038</v>
      </c>
      <c r="M8455" s="12">
        <f>tItens[[#This Row],[Valor]]*(1-tItens[[#This Row],[Desconto]])</f>
        <v>2367.4893796550064</v>
      </c>
      <c r="N8455" t="str">
        <f>IFERROR(INDEX(tProdutos[Foco],MATCH(tItens[[#This Row],[Produto]],tProdutos[Produto],0)),"Não")</f>
        <v>Não</v>
      </c>
      <c r="O8455" t="str">
        <f>IFERROR(INDEX(tEditais[SRP],MATCH(tItens[[#This Row],[Edital]],tEditais[Edital],0)),"Não")</f>
        <v>Sim</v>
      </c>
      <c r="P8455" s="4">
        <f>IF(COUNTIFS(INDEX(tItens[Edital],1):tItens[[#This Row],[Edital]],tItens[[#This Row],[Edital]],INDEX(tItens[Produto],1):tItens[[#This Row],[Produto]],tItens[[#This Row],[Produto]])=1,1,0)</f>
        <v>0</v>
      </c>
    </row>
    <row r="8456" spans="1:16" x14ac:dyDescent="0.25">
      <c r="A8456" t="s">
        <v>2818</v>
      </c>
      <c r="B8456">
        <v>39</v>
      </c>
      <c r="C8456" t="s">
        <v>10872</v>
      </c>
      <c r="D8456" t="s">
        <v>237</v>
      </c>
      <c r="E8456" s="13">
        <v>44</v>
      </c>
      <c r="F8456" s="12">
        <v>107.22</v>
      </c>
      <c r="G8456" t="str">
        <f>IFERROR(INDEX(tEditais[Órgão],MATCH(tItens[[#This Row],[Edital]],tEditais[Edital],0)),"")</f>
        <v>MUNICIPIO DE TAUBATE</v>
      </c>
      <c r="H8456" t="str">
        <f>IFERROR(INDEX(tEditais[UF],MATCH(tItens[[#This Row],[Edital]],tEditais[Edital],0)),"")</f>
        <v>SP</v>
      </c>
      <c r="I8456" s="11">
        <f>IFERROR(INDEX(tEditais[Encerramento],MATCH(tItens[[#This Row],[Edital]],tEditais[Edital],0)),"")</f>
        <v>46308.353472222225</v>
      </c>
      <c r="J8456" t="str">
        <f>IFERROR(INDEX(tProdutos[Classe],MATCH(tItens[[#This Row],[Produto]],tProdutos[Produto],0)),"produto não cadastrado")</f>
        <v>FORA</v>
      </c>
      <c r="K8456" s="12">
        <f>tItens[[#This Row],[Qtd]]*tItens[[#This Row],[Vlr unit]]</f>
        <v>4717.68</v>
      </c>
      <c r="L8456" s="6">
        <f>IFERROR(IF(INDEX(tProdutos[Desconto homologado],MATCH(tItens[[#This Row],[Produto]],tProdutos[Produto],0))="",DescontoPadrao,INDEX(tProdutos[Desconto homologado],MATCH(tItens[[#This Row],[Produto]],tProdutos[Produto],0))),DescontoPadrao)</f>
        <v>0.281629856521038</v>
      </c>
      <c r="M8456" s="12">
        <f>tItens[[#This Row],[Valor]]*(1-tItens[[#This Row],[Desconto]])</f>
        <v>3389.0404584878297</v>
      </c>
      <c r="N8456" t="str">
        <f>IFERROR(INDEX(tProdutos[Foco],MATCH(tItens[[#This Row],[Produto]],tProdutos[Produto],0)),"Não")</f>
        <v>Não</v>
      </c>
      <c r="O8456" t="str">
        <f>IFERROR(INDEX(tEditais[SRP],MATCH(tItens[[#This Row],[Edital]],tEditais[Edital],0)),"Não")</f>
        <v>Sim</v>
      </c>
      <c r="P8456" s="4">
        <f>IF(COUNTIFS(INDEX(tItens[Edital],1):tItens[[#This Row],[Edital]],tItens[[#This Row],[Edital]],INDEX(tItens[Produto],1):tItens[[#This Row],[Produto]],tItens[[#This Row],[Produto]])=1,1,0)</f>
        <v>0</v>
      </c>
    </row>
    <row r="8457" spans="1:16" x14ac:dyDescent="0.25">
      <c r="A8457" t="s">
        <v>2821</v>
      </c>
      <c r="B8457">
        <v>8</v>
      </c>
      <c r="C8457" t="s">
        <v>10873</v>
      </c>
      <c r="D8457" t="s">
        <v>417</v>
      </c>
      <c r="E8457" s="13">
        <v>250</v>
      </c>
      <c r="F8457" s="12">
        <v>33.44</v>
      </c>
      <c r="G8457" t="str">
        <f>IFERROR(INDEX(tEditais[Órgão],MATCH(tItens[[#This Row],[Edital]],tEditais[Edital],0)),"")</f>
        <v>FUNDO MUNICIPAL DE SAUDE DE SAO JOSE DOS CAMPOS</v>
      </c>
      <c r="H8457" t="str">
        <f>IFERROR(INDEX(tEditais[UF],MATCH(tItens[[#This Row],[Edital]],tEditais[Edital],0)),"")</f>
        <v>SP</v>
      </c>
      <c r="I8457" s="11">
        <f>IFERROR(INDEX(tEditais[Encerramento],MATCH(tItens[[#This Row],[Edital]],tEditais[Edital],0)),"")</f>
        <v>46308.354166666664</v>
      </c>
      <c r="J8457" t="str">
        <f>IFERROR(INDEX(tProdutos[Classe],MATCH(tItens[[#This Row],[Produto]],tProdutos[Produto],0)),"produto não cadastrado")</f>
        <v>FORA</v>
      </c>
      <c r="K8457" s="12">
        <f>tItens[[#This Row],[Qtd]]*tItens[[#This Row],[Vlr unit]]</f>
        <v>8360</v>
      </c>
      <c r="L8457" s="6">
        <f>IFERROR(IF(INDEX(tProdutos[Desconto homologado],MATCH(tItens[[#This Row],[Produto]],tProdutos[Produto],0))="",DescontoPadrao,INDEX(tProdutos[Desconto homologado],MATCH(tItens[[#This Row],[Produto]],tProdutos[Produto],0))),DescontoPadrao)</f>
        <v>0.27842432580405202</v>
      </c>
      <c r="M8457" s="12">
        <f>tItens[[#This Row],[Valor]]*(1-tItens[[#This Row],[Desconto]])</f>
        <v>6032.3726362781254</v>
      </c>
      <c r="N8457" t="str">
        <f>IFERROR(INDEX(tProdutos[Foco],MATCH(tItens[[#This Row],[Produto]],tProdutos[Produto],0)),"Não")</f>
        <v>Não</v>
      </c>
      <c r="O8457" t="str">
        <f>IFERROR(INDEX(tEditais[SRP],MATCH(tItens[[#This Row],[Edital]],tEditais[Edital],0)),"Não")</f>
        <v>Sim</v>
      </c>
      <c r="P8457" s="4">
        <f>IF(COUNTIFS(INDEX(tItens[Edital],1):tItens[[#This Row],[Edital]],tItens[[#This Row],[Edital]],INDEX(tItens[Produto],1):tItens[[#This Row],[Produto]],tItens[[#This Row],[Produto]])=1,1,0)</f>
        <v>1</v>
      </c>
    </row>
    <row r="8458" spans="1:16" x14ac:dyDescent="0.25">
      <c r="A8458" t="s">
        <v>2826</v>
      </c>
      <c r="B8458">
        <v>2296611</v>
      </c>
      <c r="C8458" t="s">
        <v>10874</v>
      </c>
      <c r="D8458" t="s">
        <v>341</v>
      </c>
      <c r="E8458" s="13">
        <v>5000</v>
      </c>
      <c r="F8458" s="12">
        <v>21.08</v>
      </c>
      <c r="G8458" t="str">
        <f>IFERROR(INDEX(tEditais[Órgão],MATCH(tItens[[#This Row],[Edital]],tEditais[Edital],0)),"")</f>
        <v>MUNICIPIO DE CAJURU</v>
      </c>
      <c r="H8458" t="str">
        <f>IFERROR(INDEX(tEditais[UF],MATCH(tItens[[#This Row],[Edital]],tEditais[Edital],0)),"")</f>
        <v>SP</v>
      </c>
      <c r="I8458" s="11">
        <f>IFERROR(INDEX(tEditais[Encerramento],MATCH(tItens[[#This Row],[Edital]],tEditais[Edital],0)),"")</f>
        <v>46308.354166666664</v>
      </c>
      <c r="J8458" t="str">
        <f>IFERROR(INDEX(tProdutos[Classe],MATCH(tItens[[#This Row],[Produto]],tProdutos[Produto],0)),"produto não cadastrado")</f>
        <v>FORA</v>
      </c>
      <c r="K8458" s="12">
        <f>tItens[[#This Row],[Qtd]]*tItens[[#This Row],[Vlr unit]]</f>
        <v>105399.99999999999</v>
      </c>
      <c r="L8458" s="6">
        <f>IFERROR(IF(INDEX(tProdutos[Desconto homologado],MATCH(tItens[[#This Row],[Produto]],tProdutos[Produto],0))="",DescontoPadrao,INDEX(tProdutos[Desconto homologado],MATCH(tItens[[#This Row],[Produto]],tProdutos[Produto],0))),DescontoPadrao)</f>
        <v>0.46918578497525898</v>
      </c>
      <c r="M8458" s="12">
        <f>tItens[[#This Row],[Valor]]*(1-tItens[[#This Row],[Desconto]])</f>
        <v>55947.818263607696</v>
      </c>
      <c r="N8458" t="str">
        <f>IFERROR(INDEX(tProdutos[Foco],MATCH(tItens[[#This Row],[Produto]],tProdutos[Produto],0)),"Não")</f>
        <v>Não</v>
      </c>
      <c r="O8458" t="str">
        <f>IFERROR(INDEX(tEditais[SRP],MATCH(tItens[[#This Row],[Edital]],tEditais[Edital],0)),"Não")</f>
        <v>Não</v>
      </c>
      <c r="P8458" s="4">
        <f>IF(COUNTIFS(INDEX(tItens[Edital],1):tItens[[#This Row],[Edital]],tItens[[#This Row],[Edital]],INDEX(tItens[Produto],1):tItens[[#This Row],[Produto]],tItens[[#This Row],[Produto]])=1,1,0)</f>
        <v>1</v>
      </c>
    </row>
    <row r="8459" spans="1:16" x14ac:dyDescent="0.25">
      <c r="A8459" t="s">
        <v>2826</v>
      </c>
      <c r="B8459">
        <v>2296623</v>
      </c>
      <c r="C8459" t="s">
        <v>10875</v>
      </c>
      <c r="D8459" t="s">
        <v>144</v>
      </c>
      <c r="E8459" s="13">
        <v>250</v>
      </c>
      <c r="F8459" s="12">
        <v>35.56</v>
      </c>
      <c r="G8459" t="str">
        <f>IFERROR(INDEX(tEditais[Órgão],MATCH(tItens[[#This Row],[Edital]],tEditais[Edital],0)),"")</f>
        <v>MUNICIPIO DE CAJURU</v>
      </c>
      <c r="H8459" t="str">
        <f>IFERROR(INDEX(tEditais[UF],MATCH(tItens[[#This Row],[Edital]],tEditais[Edital],0)),"")</f>
        <v>SP</v>
      </c>
      <c r="I8459" s="11">
        <f>IFERROR(INDEX(tEditais[Encerramento],MATCH(tItens[[#This Row],[Edital]],tEditais[Edital],0)),"")</f>
        <v>46308.354166666664</v>
      </c>
      <c r="J8459" t="str">
        <f>IFERROR(INDEX(tProdutos[Classe],MATCH(tItens[[#This Row],[Produto]],tProdutos[Produto],0)),"produto não cadastrado")</f>
        <v>DISPUTADO</v>
      </c>
      <c r="K8459" s="12">
        <f>tItens[[#This Row],[Qtd]]*tItens[[#This Row],[Vlr unit]]</f>
        <v>8890</v>
      </c>
      <c r="L8459" s="6">
        <f>IFERROR(IF(INDEX(tProdutos[Desconto homologado],MATCH(tItens[[#This Row],[Produto]],tProdutos[Produto],0))="",DescontoPadrao,INDEX(tProdutos[Desconto homologado],MATCH(tItens[[#This Row],[Produto]],tProdutos[Produto],0))),DescontoPadrao)</f>
        <v>0.371428571428571</v>
      </c>
      <c r="M8459" s="12">
        <f>tItens[[#This Row],[Valor]]*(1-tItens[[#This Row],[Desconto]])</f>
        <v>5588.0000000000036</v>
      </c>
      <c r="N8459" t="str">
        <f>IFERROR(INDEX(tProdutos[Foco],MATCH(tItens[[#This Row],[Produto]],tProdutos[Produto],0)),"Não")</f>
        <v>Não</v>
      </c>
      <c r="O8459" t="str">
        <f>IFERROR(INDEX(tEditais[SRP],MATCH(tItens[[#This Row],[Edital]],tEditais[Edital],0)),"Não")</f>
        <v>Não</v>
      </c>
      <c r="P8459" s="4">
        <f>IF(COUNTIFS(INDEX(tItens[Edital],1):tItens[[#This Row],[Edital]],tItens[[#This Row],[Edital]],INDEX(tItens[Produto],1):tItens[[#This Row],[Produto]],tItens[[#This Row],[Produto]])=1,1,0)</f>
        <v>1</v>
      </c>
    </row>
    <row r="8460" spans="1:16" x14ac:dyDescent="0.25">
      <c r="A8460" t="s">
        <v>2826</v>
      </c>
      <c r="B8460">
        <v>2296646</v>
      </c>
      <c r="C8460" t="s">
        <v>10876</v>
      </c>
      <c r="D8460" t="s">
        <v>275</v>
      </c>
      <c r="E8460" s="13">
        <v>50000</v>
      </c>
      <c r="F8460" s="12">
        <v>0.31</v>
      </c>
      <c r="G8460" t="str">
        <f>IFERROR(INDEX(tEditais[Órgão],MATCH(tItens[[#This Row],[Edital]],tEditais[Edital],0)),"")</f>
        <v>MUNICIPIO DE CAJURU</v>
      </c>
      <c r="H8460" t="str">
        <f>IFERROR(INDEX(tEditais[UF],MATCH(tItens[[#This Row],[Edital]],tEditais[Edital],0)),"")</f>
        <v>SP</v>
      </c>
      <c r="I8460" s="11">
        <f>IFERROR(INDEX(tEditais[Encerramento],MATCH(tItens[[#This Row],[Edital]],tEditais[Edital],0)),"")</f>
        <v>46308.354166666664</v>
      </c>
      <c r="J8460" t="str">
        <f>IFERROR(INDEX(tProdutos[Classe],MATCH(tItens[[#This Row],[Produto]],tProdutos[Produto],0)),"produto não cadastrado")</f>
        <v>FORA</v>
      </c>
      <c r="K8460" s="12">
        <f>tItens[[#This Row],[Qtd]]*tItens[[#This Row],[Vlr unit]]</f>
        <v>15500</v>
      </c>
      <c r="L8460" s="6">
        <f>IFERROR(IF(INDEX(tProdutos[Desconto homologado],MATCH(tItens[[#This Row],[Produto]],tProdutos[Produto],0))="",DescontoPadrao,INDEX(tProdutos[Desconto homologado],MATCH(tItens[[#This Row],[Produto]],tProdutos[Produto],0))),DescontoPadrao)</f>
        <v>0.405797101449275</v>
      </c>
      <c r="M8460" s="12">
        <f>tItens[[#This Row],[Valor]]*(1-tItens[[#This Row],[Desconto]])</f>
        <v>9210.1449275362393</v>
      </c>
      <c r="N8460" t="str">
        <f>IFERROR(INDEX(tProdutos[Foco],MATCH(tItens[[#This Row],[Produto]],tProdutos[Produto],0)),"Não")</f>
        <v>Não</v>
      </c>
      <c r="O8460" t="str">
        <f>IFERROR(INDEX(tEditais[SRP],MATCH(tItens[[#This Row],[Edital]],tEditais[Edital],0)),"Não")</f>
        <v>Não</v>
      </c>
      <c r="P8460" s="4">
        <f>IF(COUNTIFS(INDEX(tItens[Edital],1):tItens[[#This Row],[Edital]],tItens[[#This Row],[Edital]],INDEX(tItens[Produto],1):tItens[[#This Row],[Produto]],tItens[[#This Row],[Produto]])=1,1,0)</f>
        <v>1</v>
      </c>
    </row>
    <row r="8461" spans="1:16" x14ac:dyDescent="0.25">
      <c r="A8461" t="s">
        <v>2831</v>
      </c>
      <c r="B8461">
        <v>16</v>
      </c>
      <c r="C8461" t="s">
        <v>10877</v>
      </c>
      <c r="D8461" t="s">
        <v>267</v>
      </c>
      <c r="E8461" s="13">
        <v>10</v>
      </c>
      <c r="F8461" s="12">
        <v>184.9</v>
      </c>
      <c r="G8461" t="str">
        <f>IFERROR(INDEX(tEditais[Órgão],MATCH(tItens[[#This Row],[Edital]],tEditais[Edital],0)),"")</f>
        <v>MUNICIPIO DE TIETE</v>
      </c>
      <c r="H8461" t="str">
        <f>IFERROR(INDEX(tEditais[UF],MATCH(tItens[[#This Row],[Edital]],tEditais[Edital],0)),"")</f>
        <v>SP</v>
      </c>
      <c r="I8461" s="11">
        <f>IFERROR(INDEX(tEditais[Encerramento],MATCH(tItens[[#This Row],[Edital]],tEditais[Edital],0)),"")</f>
        <v>46308.364583333336</v>
      </c>
      <c r="J8461" t="str">
        <f>IFERROR(INDEX(tProdutos[Classe],MATCH(tItens[[#This Row],[Produto]],tProdutos[Produto],0)),"produto não cadastrado")</f>
        <v>FORA</v>
      </c>
      <c r="K8461" s="12">
        <f>tItens[[#This Row],[Qtd]]*tItens[[#This Row],[Vlr unit]]</f>
        <v>1849</v>
      </c>
      <c r="L8461" s="6">
        <f>IFERROR(IF(INDEX(tProdutos[Desconto homologado],MATCH(tItens[[#This Row],[Produto]],tProdutos[Produto],0))="",DescontoPadrao,INDEX(tProdutos[Desconto homologado],MATCH(tItens[[#This Row],[Produto]],tProdutos[Produto],0))),DescontoPadrao)</f>
        <v>0.19963672657401599</v>
      </c>
      <c r="M8461" s="12">
        <f>tItens[[#This Row],[Valor]]*(1-tItens[[#This Row],[Desconto]])</f>
        <v>1479.8716925646445</v>
      </c>
      <c r="N8461" t="str">
        <f>IFERROR(INDEX(tProdutos[Foco],MATCH(tItens[[#This Row],[Produto]],tProdutos[Produto],0)),"Não")</f>
        <v>Não</v>
      </c>
      <c r="O8461" t="str">
        <f>IFERROR(INDEX(tEditais[SRP],MATCH(tItens[[#This Row],[Edital]],tEditais[Edital],0)),"Não")</f>
        <v>Sim</v>
      </c>
      <c r="P8461" s="4">
        <f>IF(COUNTIFS(INDEX(tItens[Edital],1):tItens[[#This Row],[Edital]],tItens[[#This Row],[Edital]],INDEX(tItens[Produto],1):tItens[[#This Row],[Produto]],tItens[[#This Row],[Produto]])=1,1,0)</f>
        <v>1</v>
      </c>
    </row>
    <row r="8462" spans="1:16" x14ac:dyDescent="0.25">
      <c r="A8462" t="s">
        <v>2831</v>
      </c>
      <c r="B8462">
        <v>146</v>
      </c>
      <c r="C8462" t="s">
        <v>10878</v>
      </c>
      <c r="D8462" t="s">
        <v>638</v>
      </c>
      <c r="E8462" s="13">
        <v>50</v>
      </c>
      <c r="F8462" s="12">
        <v>59</v>
      </c>
      <c r="G8462" t="str">
        <f>IFERROR(INDEX(tEditais[Órgão],MATCH(tItens[[#This Row],[Edital]],tEditais[Edital],0)),"")</f>
        <v>MUNICIPIO DE TIETE</v>
      </c>
      <c r="H8462" t="str">
        <f>IFERROR(INDEX(tEditais[UF],MATCH(tItens[[#This Row],[Edital]],tEditais[Edital],0)),"")</f>
        <v>SP</v>
      </c>
      <c r="I8462" s="11">
        <f>IFERROR(INDEX(tEditais[Encerramento],MATCH(tItens[[#This Row],[Edital]],tEditais[Edital],0)),"")</f>
        <v>46308.364583333336</v>
      </c>
      <c r="J8462" t="str">
        <f>IFERROR(INDEX(tProdutos[Classe],MATCH(tItens[[#This Row],[Produto]],tProdutos[Produto],0)),"produto não cadastrado")</f>
        <v>FILA REBASE</v>
      </c>
      <c r="K8462" s="12">
        <f>tItens[[#This Row],[Qtd]]*tItens[[#This Row],[Vlr unit]]</f>
        <v>2950</v>
      </c>
      <c r="L8462" s="6">
        <f>IFERROR(IF(INDEX(tProdutos[Desconto homologado],MATCH(tItens[[#This Row],[Produto]],tProdutos[Produto],0))="",DescontoPadrao,INDEX(tProdutos[Desconto homologado],MATCH(tItens[[#This Row],[Produto]],tProdutos[Produto],0))),DescontoPadrao)</f>
        <v>0.487179487179487</v>
      </c>
      <c r="M8462" s="12">
        <f>tItens[[#This Row],[Valor]]*(1-tItens[[#This Row],[Desconto]])</f>
        <v>1512.8205128205134</v>
      </c>
      <c r="N8462" t="str">
        <f>IFERROR(INDEX(tProdutos[Foco],MATCH(tItens[[#This Row],[Produto]],tProdutos[Produto],0)),"Não")</f>
        <v>Não</v>
      </c>
      <c r="O8462" t="str">
        <f>IFERROR(INDEX(tEditais[SRP],MATCH(tItens[[#This Row],[Edital]],tEditais[Edital],0)),"Não")</f>
        <v>Sim</v>
      </c>
      <c r="P8462" s="4">
        <f>IF(COUNTIFS(INDEX(tItens[Edital],1):tItens[[#This Row],[Edital]],tItens[[#This Row],[Edital]],INDEX(tItens[Produto],1):tItens[[#This Row],[Produto]],tItens[[#This Row],[Produto]])=1,1,0)</f>
        <v>1</v>
      </c>
    </row>
    <row r="8463" spans="1:16" x14ac:dyDescent="0.25">
      <c r="A8463" t="s">
        <v>2831</v>
      </c>
      <c r="B8463">
        <v>164</v>
      </c>
      <c r="C8463" t="s">
        <v>10879</v>
      </c>
      <c r="D8463" t="s">
        <v>142</v>
      </c>
      <c r="E8463" s="13">
        <v>30</v>
      </c>
      <c r="F8463" s="12">
        <v>12</v>
      </c>
      <c r="G8463" t="str">
        <f>IFERROR(INDEX(tEditais[Órgão],MATCH(tItens[[#This Row],[Edital]],tEditais[Edital],0)),"")</f>
        <v>MUNICIPIO DE TIETE</v>
      </c>
      <c r="H8463" t="str">
        <f>IFERROR(INDEX(tEditais[UF],MATCH(tItens[[#This Row],[Edital]],tEditais[Edital],0)),"")</f>
        <v>SP</v>
      </c>
      <c r="I8463" s="11">
        <f>IFERROR(INDEX(tEditais[Encerramento],MATCH(tItens[[#This Row],[Edital]],tEditais[Edital],0)),"")</f>
        <v>46308.364583333336</v>
      </c>
      <c r="J8463" t="str">
        <f>IFERROR(INDEX(tProdutos[Classe],MATCH(tItens[[#This Row],[Produto]],tProdutos[Produto],0)),"produto não cadastrado")</f>
        <v>DISPUTADO</v>
      </c>
      <c r="K8463" s="12">
        <f>tItens[[#This Row],[Qtd]]*tItens[[#This Row],[Vlr unit]]</f>
        <v>360</v>
      </c>
      <c r="L8463" s="6">
        <f>IFERROR(IF(INDEX(tProdutos[Desconto homologado],MATCH(tItens[[#This Row],[Produto]],tProdutos[Produto],0))="",DescontoPadrao,INDEX(tProdutos[Desconto homologado],MATCH(tItens[[#This Row],[Produto]],tProdutos[Produto],0))),DescontoPadrao)</f>
        <v>0.37093619495691699</v>
      </c>
      <c r="M8463" s="12">
        <f>tItens[[#This Row],[Valor]]*(1-tItens[[#This Row],[Desconto]])</f>
        <v>226.46296981550989</v>
      </c>
      <c r="N8463" t="str">
        <f>IFERROR(INDEX(tProdutos[Foco],MATCH(tItens[[#This Row],[Produto]],tProdutos[Produto],0)),"Não")</f>
        <v>Não</v>
      </c>
      <c r="O8463" t="str">
        <f>IFERROR(INDEX(tEditais[SRP],MATCH(tItens[[#This Row],[Edital]],tEditais[Edital],0)),"Não")</f>
        <v>Sim</v>
      </c>
      <c r="P8463" s="4">
        <f>IF(COUNTIFS(INDEX(tItens[Edital],1):tItens[[#This Row],[Edital]],tItens[[#This Row],[Edital]],INDEX(tItens[Produto],1):tItens[[#This Row],[Produto]],tItens[[#This Row],[Produto]])=1,1,0)</f>
        <v>1</v>
      </c>
    </row>
    <row r="8464" spans="1:16" x14ac:dyDescent="0.25">
      <c r="A8464" t="s">
        <v>2831</v>
      </c>
      <c r="B8464">
        <v>186</v>
      </c>
      <c r="C8464" t="s">
        <v>10880</v>
      </c>
      <c r="D8464" t="s">
        <v>411</v>
      </c>
      <c r="E8464" s="13">
        <v>100</v>
      </c>
      <c r="F8464" s="12">
        <v>78.33</v>
      </c>
      <c r="G8464" t="str">
        <f>IFERROR(INDEX(tEditais[Órgão],MATCH(tItens[[#This Row],[Edital]],tEditais[Edital],0)),"")</f>
        <v>MUNICIPIO DE TIETE</v>
      </c>
      <c r="H8464" t="str">
        <f>IFERROR(INDEX(tEditais[UF],MATCH(tItens[[#This Row],[Edital]],tEditais[Edital],0)),"")</f>
        <v>SP</v>
      </c>
      <c r="I8464" s="11">
        <f>IFERROR(INDEX(tEditais[Encerramento],MATCH(tItens[[#This Row],[Edital]],tEditais[Edital],0)),"")</f>
        <v>46308.364583333336</v>
      </c>
      <c r="J8464" t="str">
        <f>IFERROR(INDEX(tProdutos[Classe],MATCH(tItens[[#This Row],[Produto]],tProdutos[Produto],0)),"produto não cadastrado")</f>
        <v>FORA</v>
      </c>
      <c r="K8464" s="12">
        <f>tItens[[#This Row],[Qtd]]*tItens[[#This Row],[Vlr unit]]</f>
        <v>7833</v>
      </c>
      <c r="L8464" s="6">
        <f>IFERROR(IF(INDEX(tProdutos[Desconto homologado],MATCH(tItens[[#This Row],[Produto]],tProdutos[Produto],0))="",DescontoPadrao,INDEX(tProdutos[Desconto homologado],MATCH(tItens[[#This Row],[Produto]],tProdutos[Produto],0))),DescontoPadrao)</f>
        <v>0.50029835957199398</v>
      </c>
      <c r="M8464" s="12">
        <f>tItens[[#This Row],[Valor]]*(1-tItens[[#This Row],[Desconto]])</f>
        <v>3914.1629494725712</v>
      </c>
      <c r="N8464" t="str">
        <f>IFERROR(INDEX(tProdutos[Foco],MATCH(tItens[[#This Row],[Produto]],tProdutos[Produto],0)),"Não")</f>
        <v>Não</v>
      </c>
      <c r="O8464" t="str">
        <f>IFERROR(INDEX(tEditais[SRP],MATCH(tItens[[#This Row],[Edital]],tEditais[Edital],0)),"Não")</f>
        <v>Sim</v>
      </c>
      <c r="P8464" s="4">
        <f>IF(COUNTIFS(INDEX(tItens[Edital],1):tItens[[#This Row],[Edital]],tItens[[#This Row],[Edital]],INDEX(tItens[Produto],1):tItens[[#This Row],[Produto]],tItens[[#This Row],[Produto]])=1,1,0)</f>
        <v>1</v>
      </c>
    </row>
    <row r="8465" spans="1:16" x14ac:dyDescent="0.25">
      <c r="A8465" t="s">
        <v>2831</v>
      </c>
      <c r="B8465">
        <v>197</v>
      </c>
      <c r="C8465" t="s">
        <v>10881</v>
      </c>
      <c r="D8465" t="s">
        <v>267</v>
      </c>
      <c r="E8465" s="13">
        <v>50</v>
      </c>
      <c r="F8465" s="12">
        <v>45</v>
      </c>
      <c r="G8465" t="str">
        <f>IFERROR(INDEX(tEditais[Órgão],MATCH(tItens[[#This Row],[Edital]],tEditais[Edital],0)),"")</f>
        <v>MUNICIPIO DE TIETE</v>
      </c>
      <c r="H8465" t="str">
        <f>IFERROR(INDEX(tEditais[UF],MATCH(tItens[[#This Row],[Edital]],tEditais[Edital],0)),"")</f>
        <v>SP</v>
      </c>
      <c r="I8465" s="11">
        <f>IFERROR(INDEX(tEditais[Encerramento],MATCH(tItens[[#This Row],[Edital]],tEditais[Edital],0)),"")</f>
        <v>46308.364583333336</v>
      </c>
      <c r="J8465" t="str">
        <f>IFERROR(INDEX(tProdutos[Classe],MATCH(tItens[[#This Row],[Produto]],tProdutos[Produto],0)),"produto não cadastrado")</f>
        <v>FORA</v>
      </c>
      <c r="K8465" s="12">
        <f>tItens[[#This Row],[Qtd]]*tItens[[#This Row],[Vlr unit]]</f>
        <v>2250</v>
      </c>
      <c r="L8465" s="6">
        <f>IFERROR(IF(INDEX(tProdutos[Desconto homologado],MATCH(tItens[[#This Row],[Produto]],tProdutos[Produto],0))="",DescontoPadrao,INDEX(tProdutos[Desconto homologado],MATCH(tItens[[#This Row],[Produto]],tProdutos[Produto],0))),DescontoPadrao)</f>
        <v>0.19963672657401599</v>
      </c>
      <c r="M8465" s="12">
        <f>tItens[[#This Row],[Valor]]*(1-tItens[[#This Row],[Desconto]])</f>
        <v>1800.817365208464</v>
      </c>
      <c r="N8465" t="str">
        <f>IFERROR(INDEX(tProdutos[Foco],MATCH(tItens[[#This Row],[Produto]],tProdutos[Produto],0)),"Não")</f>
        <v>Não</v>
      </c>
      <c r="O8465" t="str">
        <f>IFERROR(INDEX(tEditais[SRP],MATCH(tItens[[#This Row],[Edital]],tEditais[Edital],0)),"Não")</f>
        <v>Sim</v>
      </c>
      <c r="P8465" s="4">
        <f>IF(COUNTIFS(INDEX(tItens[Edital],1):tItens[[#This Row],[Edital]],tItens[[#This Row],[Edital]],INDEX(tItens[Produto],1):tItens[[#This Row],[Produto]],tItens[[#This Row],[Produto]])=1,1,0)</f>
        <v>0</v>
      </c>
    </row>
    <row r="8466" spans="1:16" x14ac:dyDescent="0.25">
      <c r="A8466" t="s">
        <v>2831</v>
      </c>
      <c r="B8466">
        <v>265</v>
      </c>
      <c r="C8466" t="s">
        <v>10882</v>
      </c>
      <c r="D8466" t="s">
        <v>542</v>
      </c>
      <c r="E8466" s="13">
        <v>30</v>
      </c>
      <c r="F8466" s="12">
        <v>78.680000000000007</v>
      </c>
      <c r="G8466" t="str">
        <f>IFERROR(INDEX(tEditais[Órgão],MATCH(tItens[[#This Row],[Edital]],tEditais[Edital],0)),"")</f>
        <v>MUNICIPIO DE TIETE</v>
      </c>
      <c r="H8466" t="str">
        <f>IFERROR(INDEX(tEditais[UF],MATCH(tItens[[#This Row],[Edital]],tEditais[Edital],0)),"")</f>
        <v>SP</v>
      </c>
      <c r="I8466" s="11">
        <f>IFERROR(INDEX(tEditais[Encerramento],MATCH(tItens[[#This Row],[Edital]],tEditais[Edital],0)),"")</f>
        <v>46308.364583333336</v>
      </c>
      <c r="J8466" t="str">
        <f>IFERROR(INDEX(tProdutos[Classe],MATCH(tItens[[#This Row],[Produto]],tProdutos[Produto],0)),"produto não cadastrado")</f>
        <v>FILA REBASE</v>
      </c>
      <c r="K8466" s="12">
        <f>tItens[[#This Row],[Qtd]]*tItens[[#This Row],[Vlr unit]]</f>
        <v>2360.4</v>
      </c>
      <c r="L8466" s="6">
        <f>IFERROR(IF(INDEX(tProdutos[Desconto homologado],MATCH(tItens[[#This Row],[Produto]],tProdutos[Produto],0))="",DescontoPadrao,INDEX(tProdutos[Desconto homologado],MATCH(tItens[[#This Row],[Produto]],tProdutos[Produto],0))),DescontoPadrao)</f>
        <v>0.3</v>
      </c>
      <c r="M8466" s="12">
        <f>tItens[[#This Row],[Valor]]*(1-tItens[[#This Row],[Desconto]])</f>
        <v>1652.28</v>
      </c>
      <c r="N8466" t="str">
        <f>IFERROR(INDEX(tProdutos[Foco],MATCH(tItens[[#This Row],[Produto]],tProdutos[Produto],0)),"Não")</f>
        <v>Não</v>
      </c>
      <c r="O8466" t="str">
        <f>IFERROR(INDEX(tEditais[SRP],MATCH(tItens[[#This Row],[Edital]],tEditais[Edital],0)),"Não")</f>
        <v>Sim</v>
      </c>
      <c r="P8466" s="4">
        <f>IF(COUNTIFS(INDEX(tItens[Edital],1):tItens[[#This Row],[Edital]],tItens[[#This Row],[Edital]],INDEX(tItens[Produto],1):tItens[[#This Row],[Produto]],tItens[[#This Row],[Produto]])=1,1,0)</f>
        <v>1</v>
      </c>
    </row>
    <row r="8467" spans="1:16" x14ac:dyDescent="0.25">
      <c r="A8467" t="s">
        <v>2831</v>
      </c>
      <c r="B8467">
        <v>271</v>
      </c>
      <c r="C8467" t="s">
        <v>10883</v>
      </c>
      <c r="D8467" t="s">
        <v>100</v>
      </c>
      <c r="E8467" s="13">
        <v>15</v>
      </c>
      <c r="F8467" s="12">
        <v>119.59</v>
      </c>
      <c r="G8467" t="str">
        <f>IFERROR(INDEX(tEditais[Órgão],MATCH(tItens[[#This Row],[Edital]],tEditais[Edital],0)),"")</f>
        <v>MUNICIPIO DE TIETE</v>
      </c>
      <c r="H8467" t="str">
        <f>IFERROR(INDEX(tEditais[UF],MATCH(tItens[[#This Row],[Edital]],tEditais[Edital],0)),"")</f>
        <v>SP</v>
      </c>
      <c r="I8467" s="11">
        <f>IFERROR(INDEX(tEditais[Encerramento],MATCH(tItens[[#This Row],[Edital]],tEditais[Edital],0)),"")</f>
        <v>46308.364583333336</v>
      </c>
      <c r="J8467" t="str">
        <f>IFERROR(INDEX(tProdutos[Classe],MATCH(tItens[[#This Row],[Produto]],tProdutos[Produto],0)),"produto não cadastrado")</f>
        <v>NÚCLEO</v>
      </c>
      <c r="K8467" s="12">
        <f>tItens[[#This Row],[Qtd]]*tItens[[#This Row],[Vlr unit]]</f>
        <v>1793.8500000000001</v>
      </c>
      <c r="L8467" s="6">
        <f>IFERROR(IF(INDEX(tProdutos[Desconto homologado],MATCH(tItens[[#This Row],[Produto]],tProdutos[Produto],0))="",DescontoPadrao,INDEX(tProdutos[Desconto homologado],MATCH(tItens[[#This Row],[Produto]],tProdutos[Produto],0))),DescontoPadrao)</f>
        <v>0.24</v>
      </c>
      <c r="M8467" s="12">
        <f>tItens[[#This Row],[Valor]]*(1-tItens[[#This Row],[Desconto]])</f>
        <v>1363.326</v>
      </c>
      <c r="N8467" t="str">
        <f>IFERROR(INDEX(tProdutos[Foco],MATCH(tItens[[#This Row],[Produto]],tProdutos[Produto],0)),"Não")</f>
        <v>Sim</v>
      </c>
      <c r="O8467" t="str">
        <f>IFERROR(INDEX(tEditais[SRP],MATCH(tItens[[#This Row],[Edital]],tEditais[Edital],0)),"Não")</f>
        <v>Sim</v>
      </c>
      <c r="P8467" s="4">
        <f>IF(COUNTIFS(INDEX(tItens[Edital],1):tItens[[#This Row],[Edital]],tItens[[#This Row],[Edital]],INDEX(tItens[Produto],1):tItens[[#This Row],[Produto]],tItens[[#This Row],[Produto]])=1,1,0)</f>
        <v>1</v>
      </c>
    </row>
    <row r="8468" spans="1:16" x14ac:dyDescent="0.25">
      <c r="A8468" t="s">
        <v>2835</v>
      </c>
      <c r="B8468">
        <v>4</v>
      </c>
      <c r="C8468" t="s">
        <v>10420</v>
      </c>
      <c r="D8468" t="s">
        <v>120</v>
      </c>
      <c r="E8468" s="13">
        <v>20</v>
      </c>
      <c r="F8468" s="12">
        <v>0</v>
      </c>
      <c r="G8468" t="str">
        <f>IFERROR(INDEX(tEditais[Órgão],MATCH(tItens[[#This Row],[Edital]],tEditais[Edital],0)),"")</f>
        <v>SECRETARIA DE ESTADO DA SAUDE</v>
      </c>
      <c r="H8468" t="str">
        <f>IFERROR(INDEX(tEditais[UF],MATCH(tItens[[#This Row],[Edital]],tEditais[Edital],0)),"")</f>
        <v>SP</v>
      </c>
      <c r="I8468" s="11">
        <f>IFERROR(INDEX(tEditais[Encerramento],MATCH(tItens[[#This Row],[Edital]],tEditais[Edital],0)),"")</f>
        <v>46308.374305555553</v>
      </c>
      <c r="J8468" t="str">
        <f>IFERROR(INDEX(tProdutos[Classe],MATCH(tItens[[#This Row],[Produto]],tProdutos[Produto],0)),"produto não cadastrado")</f>
        <v>DISPUTADO</v>
      </c>
      <c r="K8468" s="12">
        <f>tItens[[#This Row],[Qtd]]*tItens[[#This Row],[Vlr unit]]</f>
        <v>0</v>
      </c>
      <c r="L8468" s="6">
        <f>IFERROR(IF(INDEX(tProdutos[Desconto homologado],MATCH(tItens[[#This Row],[Produto]],tProdutos[Produto],0))="",DescontoPadrao,INDEX(tProdutos[Desconto homologado],MATCH(tItens[[#This Row],[Produto]],tProdutos[Produto],0))),DescontoPadrao)</f>
        <v>0.40909090909090901</v>
      </c>
      <c r="M8468" s="12">
        <f>tItens[[#This Row],[Valor]]*(1-tItens[[#This Row],[Desconto]])</f>
        <v>0</v>
      </c>
      <c r="N8468" t="str">
        <f>IFERROR(INDEX(tProdutos[Foco],MATCH(tItens[[#This Row],[Produto]],tProdutos[Produto],0)),"Não")</f>
        <v>Não</v>
      </c>
      <c r="O8468" t="str">
        <f>IFERROR(INDEX(tEditais[SRP],MATCH(tItens[[#This Row],[Edital]],tEditais[Edital],0)),"Não")</f>
        <v>Não</v>
      </c>
      <c r="P8468" s="4">
        <f>IF(COUNTIFS(INDEX(tItens[Edital],1):tItens[[#This Row],[Edital]],tItens[[#This Row],[Edital]],INDEX(tItens[Produto],1):tItens[[#This Row],[Produto]],tItens[[#This Row],[Produto]])=1,1,0)</f>
        <v>1</v>
      </c>
    </row>
    <row r="8469" spans="1:16" x14ac:dyDescent="0.25">
      <c r="A8469" t="s">
        <v>2835</v>
      </c>
      <c r="B8469">
        <v>5</v>
      </c>
      <c r="C8469" t="s">
        <v>4245</v>
      </c>
      <c r="D8469" t="s">
        <v>245</v>
      </c>
      <c r="E8469" s="13">
        <v>130</v>
      </c>
      <c r="F8469" s="12">
        <v>0</v>
      </c>
      <c r="G8469" t="str">
        <f>IFERROR(INDEX(tEditais[Órgão],MATCH(tItens[[#This Row],[Edital]],tEditais[Edital],0)),"")</f>
        <v>SECRETARIA DE ESTADO DA SAUDE</v>
      </c>
      <c r="H8469" t="str">
        <f>IFERROR(INDEX(tEditais[UF],MATCH(tItens[[#This Row],[Edital]],tEditais[Edital],0)),"")</f>
        <v>SP</v>
      </c>
      <c r="I8469" s="11">
        <f>IFERROR(INDEX(tEditais[Encerramento],MATCH(tItens[[#This Row],[Edital]],tEditais[Edital],0)),"")</f>
        <v>46308.374305555553</v>
      </c>
      <c r="J8469" t="str">
        <f>IFERROR(INDEX(tProdutos[Classe],MATCH(tItens[[#This Row],[Produto]],tProdutos[Produto],0)),"produto não cadastrado")</f>
        <v>FORA</v>
      </c>
      <c r="K8469" s="12">
        <f>tItens[[#This Row],[Qtd]]*tItens[[#This Row],[Vlr unit]]</f>
        <v>0</v>
      </c>
      <c r="L8469" s="6">
        <f>IFERROR(IF(INDEX(tProdutos[Desconto homologado],MATCH(tItens[[#This Row],[Produto]],tProdutos[Produto],0))="",DescontoPadrao,INDEX(tProdutos[Desconto homologado],MATCH(tItens[[#This Row],[Produto]],tProdutos[Produto],0))),DescontoPadrao)</f>
        <v>0.34516963542284401</v>
      </c>
      <c r="M8469" s="12">
        <f>tItens[[#This Row],[Valor]]*(1-tItens[[#This Row],[Desconto]])</f>
        <v>0</v>
      </c>
      <c r="N8469" t="str">
        <f>IFERROR(INDEX(tProdutos[Foco],MATCH(tItens[[#This Row],[Produto]],tProdutos[Produto],0)),"Não")</f>
        <v>Não</v>
      </c>
      <c r="O8469" t="str">
        <f>IFERROR(INDEX(tEditais[SRP],MATCH(tItens[[#This Row],[Edital]],tEditais[Edital],0)),"Não")</f>
        <v>Não</v>
      </c>
      <c r="P8469" s="4">
        <f>IF(COUNTIFS(INDEX(tItens[Edital],1):tItens[[#This Row],[Edital]],tItens[[#This Row],[Edital]],INDEX(tItens[Produto],1):tItens[[#This Row],[Produto]],tItens[[#This Row],[Produto]])=1,1,0)</f>
        <v>1</v>
      </c>
    </row>
    <row r="8470" spans="1:16" x14ac:dyDescent="0.25">
      <c r="A8470" t="s">
        <v>2835</v>
      </c>
      <c r="B8470">
        <v>6</v>
      </c>
      <c r="C8470" t="s">
        <v>10884</v>
      </c>
      <c r="D8470" t="s">
        <v>136</v>
      </c>
      <c r="E8470" s="13">
        <v>3100</v>
      </c>
      <c r="F8470" s="12">
        <v>0</v>
      </c>
      <c r="G8470" t="str">
        <f>IFERROR(INDEX(tEditais[Órgão],MATCH(tItens[[#This Row],[Edital]],tEditais[Edital],0)),"")</f>
        <v>SECRETARIA DE ESTADO DA SAUDE</v>
      </c>
      <c r="H8470" t="str">
        <f>IFERROR(INDEX(tEditais[UF],MATCH(tItens[[#This Row],[Edital]],tEditais[Edital],0)),"")</f>
        <v>SP</v>
      </c>
      <c r="I8470" s="11">
        <f>IFERROR(INDEX(tEditais[Encerramento],MATCH(tItens[[#This Row],[Edital]],tEditais[Edital],0)),"")</f>
        <v>46308.374305555553</v>
      </c>
      <c r="J8470" t="str">
        <f>IFERROR(INDEX(tProdutos[Classe],MATCH(tItens[[#This Row],[Produto]],tProdutos[Produto],0)),"produto não cadastrado")</f>
        <v>DISPUTADO</v>
      </c>
      <c r="K8470" s="12">
        <f>tItens[[#This Row],[Qtd]]*tItens[[#This Row],[Vlr unit]]</f>
        <v>0</v>
      </c>
      <c r="L8470" s="6">
        <f>IFERROR(IF(INDEX(tProdutos[Desconto homologado],MATCH(tItens[[#This Row],[Produto]],tProdutos[Produto],0))="",DescontoPadrao,INDEX(tProdutos[Desconto homologado],MATCH(tItens[[#This Row],[Produto]],tProdutos[Produto],0))),DescontoPadrao)</f>
        <v>0.330646209370899</v>
      </c>
      <c r="M8470" s="12">
        <f>tItens[[#This Row],[Valor]]*(1-tItens[[#This Row],[Desconto]])</f>
        <v>0</v>
      </c>
      <c r="N8470" t="str">
        <f>IFERROR(INDEX(tProdutos[Foco],MATCH(tItens[[#This Row],[Produto]],tProdutos[Produto],0)),"Não")</f>
        <v>Não</v>
      </c>
      <c r="O8470" t="str">
        <f>IFERROR(INDEX(tEditais[SRP],MATCH(tItens[[#This Row],[Edital]],tEditais[Edital],0)),"Não")</f>
        <v>Não</v>
      </c>
      <c r="P8470" s="4">
        <f>IF(COUNTIFS(INDEX(tItens[Edital],1):tItens[[#This Row],[Edital]],tItens[[#This Row],[Edital]],INDEX(tItens[Produto],1):tItens[[#This Row],[Produto]],tItens[[#This Row],[Produto]])=1,1,0)</f>
        <v>1</v>
      </c>
    </row>
    <row r="8471" spans="1:16" x14ac:dyDescent="0.25">
      <c r="A8471" t="s">
        <v>2839</v>
      </c>
      <c r="B8471">
        <v>2</v>
      </c>
      <c r="C8471" t="s">
        <v>10885</v>
      </c>
      <c r="D8471" t="s">
        <v>569</v>
      </c>
      <c r="E8471" s="13">
        <v>12</v>
      </c>
      <c r="F8471" s="12">
        <v>0</v>
      </c>
      <c r="G8471" t="str">
        <f>IFERROR(INDEX(tEditais[Órgão],MATCH(tItens[[#This Row],[Edital]],tEditais[Edital],0)),"")</f>
        <v>MUNICIPIO DE VALENTIM GENTIL</v>
      </c>
      <c r="H8471" t="str">
        <f>IFERROR(INDEX(tEditais[UF],MATCH(tItens[[#This Row],[Edital]],tEditais[Edital],0)),"")</f>
        <v>SP</v>
      </c>
      <c r="I8471" s="11">
        <f>IFERROR(INDEX(tEditais[Encerramento],MATCH(tItens[[#This Row],[Edital]],tEditais[Edital],0)),"")</f>
        <v>46308.374305555553</v>
      </c>
      <c r="J8471" t="str">
        <f>IFERROR(INDEX(tProdutos[Classe],MATCH(tItens[[#This Row],[Produto]],tProdutos[Produto],0)),"produto não cadastrado")</f>
        <v>FILA REBASE</v>
      </c>
      <c r="K8471" s="12">
        <f>tItens[[#This Row],[Qtd]]*tItens[[#This Row],[Vlr unit]]</f>
        <v>0</v>
      </c>
      <c r="L8471" s="6">
        <f>IFERROR(IF(INDEX(tProdutos[Desconto homologado],MATCH(tItens[[#This Row],[Produto]],tProdutos[Produto],0))="",DescontoPadrao,INDEX(tProdutos[Desconto homologado],MATCH(tItens[[#This Row],[Produto]],tProdutos[Produto],0))),DescontoPadrao)</f>
        <v>0.3</v>
      </c>
      <c r="M8471" s="12">
        <f>tItens[[#This Row],[Valor]]*(1-tItens[[#This Row],[Desconto]])</f>
        <v>0</v>
      </c>
      <c r="N8471" t="str">
        <f>IFERROR(INDEX(tProdutos[Foco],MATCH(tItens[[#This Row],[Produto]],tProdutos[Produto],0)),"Não")</f>
        <v>Não</v>
      </c>
      <c r="O8471" t="str">
        <f>IFERROR(INDEX(tEditais[SRP],MATCH(tItens[[#This Row],[Edital]],tEditais[Edital],0)),"Não")</f>
        <v>Sim</v>
      </c>
      <c r="P8471" s="4">
        <f>IF(COUNTIFS(INDEX(tItens[Edital],1):tItens[[#This Row],[Edital]],tItens[[#This Row],[Edital]],INDEX(tItens[Produto],1):tItens[[#This Row],[Produto]],tItens[[#This Row],[Produto]])=1,1,0)</f>
        <v>1</v>
      </c>
    </row>
    <row r="8472" spans="1:16" x14ac:dyDescent="0.25">
      <c r="A8472" t="s">
        <v>2839</v>
      </c>
      <c r="B8472">
        <v>9</v>
      </c>
      <c r="C8472" t="s">
        <v>10886</v>
      </c>
      <c r="D8472" t="s">
        <v>611</v>
      </c>
      <c r="E8472" s="13">
        <v>12</v>
      </c>
      <c r="F8472" s="12">
        <v>0</v>
      </c>
      <c r="G8472" t="str">
        <f>IFERROR(INDEX(tEditais[Órgão],MATCH(tItens[[#This Row],[Edital]],tEditais[Edital],0)),"")</f>
        <v>MUNICIPIO DE VALENTIM GENTIL</v>
      </c>
      <c r="H8472" t="str">
        <f>IFERROR(INDEX(tEditais[UF],MATCH(tItens[[#This Row],[Edital]],tEditais[Edital],0)),"")</f>
        <v>SP</v>
      </c>
      <c r="I8472" s="11">
        <f>IFERROR(INDEX(tEditais[Encerramento],MATCH(tItens[[#This Row],[Edital]],tEditais[Edital],0)),"")</f>
        <v>46308.374305555553</v>
      </c>
      <c r="J8472" t="str">
        <f>IFERROR(INDEX(tProdutos[Classe],MATCH(tItens[[#This Row],[Produto]],tProdutos[Produto],0)),"produto não cadastrado")</f>
        <v>FILA REBASE</v>
      </c>
      <c r="K8472" s="12">
        <f>tItens[[#This Row],[Qtd]]*tItens[[#This Row],[Vlr unit]]</f>
        <v>0</v>
      </c>
      <c r="L8472" s="6">
        <f>IFERROR(IF(INDEX(tProdutos[Desconto homologado],MATCH(tItens[[#This Row],[Produto]],tProdutos[Produto],0))="",DescontoPadrao,INDEX(tProdutos[Desconto homologado],MATCH(tItens[[#This Row],[Produto]],tProdutos[Produto],0))),DescontoPadrao)</f>
        <v>0.3</v>
      </c>
      <c r="M8472" s="12">
        <f>tItens[[#This Row],[Valor]]*(1-tItens[[#This Row],[Desconto]])</f>
        <v>0</v>
      </c>
      <c r="N8472" t="str">
        <f>IFERROR(INDEX(tProdutos[Foco],MATCH(tItens[[#This Row],[Produto]],tProdutos[Produto],0)),"Não")</f>
        <v>Não</v>
      </c>
      <c r="O8472" t="str">
        <f>IFERROR(INDEX(tEditais[SRP],MATCH(tItens[[#This Row],[Edital]],tEditais[Edital],0)),"Não")</f>
        <v>Sim</v>
      </c>
      <c r="P8472" s="4">
        <f>IF(COUNTIFS(INDEX(tItens[Edital],1):tItens[[#This Row],[Edital]],tItens[[#This Row],[Edital]],INDEX(tItens[Produto],1):tItens[[#This Row],[Produto]],tItens[[#This Row],[Produto]])=1,1,0)</f>
        <v>1</v>
      </c>
    </row>
    <row r="8473" spans="1:16" x14ac:dyDescent="0.25">
      <c r="A8473" t="s">
        <v>2839</v>
      </c>
      <c r="B8473">
        <v>14</v>
      </c>
      <c r="C8473" t="s">
        <v>10887</v>
      </c>
      <c r="D8473" t="s">
        <v>60</v>
      </c>
      <c r="E8473" s="13">
        <v>10000</v>
      </c>
      <c r="F8473" s="12">
        <v>0</v>
      </c>
      <c r="G8473" t="str">
        <f>IFERROR(INDEX(tEditais[Órgão],MATCH(tItens[[#This Row],[Edital]],tEditais[Edital],0)),"")</f>
        <v>MUNICIPIO DE VALENTIM GENTIL</v>
      </c>
      <c r="H8473" t="str">
        <f>IFERROR(INDEX(tEditais[UF],MATCH(tItens[[#This Row],[Edital]],tEditais[Edital],0)),"")</f>
        <v>SP</v>
      </c>
      <c r="I8473" s="11">
        <f>IFERROR(INDEX(tEditais[Encerramento],MATCH(tItens[[#This Row],[Edital]],tEditais[Edital],0)),"")</f>
        <v>46308.374305555553</v>
      </c>
      <c r="J8473" t="str">
        <f>IFERROR(INDEX(tProdutos[Classe],MATCH(tItens[[#This Row],[Produto]],tProdutos[Produto],0)),"produto não cadastrado")</f>
        <v>NÚCLEO</v>
      </c>
      <c r="K8473" s="12">
        <f>tItens[[#This Row],[Qtd]]*tItens[[#This Row],[Vlr unit]]</f>
        <v>0</v>
      </c>
      <c r="L8473" s="6">
        <f>IFERROR(IF(INDEX(tProdutos[Desconto homologado],MATCH(tItens[[#This Row],[Produto]],tProdutos[Produto],0))="",DescontoPadrao,INDEX(tProdutos[Desconto homologado],MATCH(tItens[[#This Row],[Produto]],tProdutos[Produto],0))),DescontoPadrao)</f>
        <v>0.23</v>
      </c>
      <c r="M8473" s="12">
        <f>tItens[[#This Row],[Valor]]*(1-tItens[[#This Row],[Desconto]])</f>
        <v>0</v>
      </c>
      <c r="N8473" t="str">
        <f>IFERROR(INDEX(tProdutos[Foco],MATCH(tItens[[#This Row],[Produto]],tProdutos[Produto],0)),"Não")</f>
        <v>Sim</v>
      </c>
      <c r="O8473" t="str">
        <f>IFERROR(INDEX(tEditais[SRP],MATCH(tItens[[#This Row],[Edital]],tEditais[Edital],0)),"Não")</f>
        <v>Sim</v>
      </c>
      <c r="P8473" s="4">
        <f>IF(COUNTIFS(INDEX(tItens[Edital],1):tItens[[#This Row],[Edital]],tItens[[#This Row],[Edital]],INDEX(tItens[Produto],1):tItens[[#This Row],[Produto]],tItens[[#This Row],[Produto]])=1,1,0)</f>
        <v>1</v>
      </c>
    </row>
    <row r="8474" spans="1:16" x14ac:dyDescent="0.25">
      <c r="A8474" t="s">
        <v>2839</v>
      </c>
      <c r="B8474">
        <v>24</v>
      </c>
      <c r="C8474" t="s">
        <v>10888</v>
      </c>
      <c r="D8474" t="s">
        <v>170</v>
      </c>
      <c r="E8474" s="13">
        <v>20</v>
      </c>
      <c r="F8474" s="12">
        <v>0</v>
      </c>
      <c r="G8474" t="str">
        <f>IFERROR(INDEX(tEditais[Órgão],MATCH(tItens[[#This Row],[Edital]],tEditais[Edital],0)),"")</f>
        <v>MUNICIPIO DE VALENTIM GENTIL</v>
      </c>
      <c r="H8474" t="str">
        <f>IFERROR(INDEX(tEditais[UF],MATCH(tItens[[#This Row],[Edital]],tEditais[Edital],0)),"")</f>
        <v>SP</v>
      </c>
      <c r="I8474" s="11">
        <f>IFERROR(INDEX(tEditais[Encerramento],MATCH(tItens[[#This Row],[Edital]],tEditais[Edital],0)),"")</f>
        <v>46308.374305555553</v>
      </c>
      <c r="J8474" t="str">
        <f>IFERROR(INDEX(tProdutos[Classe],MATCH(tItens[[#This Row],[Produto]],tProdutos[Produto],0)),"produto não cadastrado")</f>
        <v>DISPUTADO</v>
      </c>
      <c r="K8474" s="12">
        <f>tItens[[#This Row],[Qtd]]*tItens[[#This Row],[Vlr unit]]</f>
        <v>0</v>
      </c>
      <c r="L8474" s="6">
        <f>IFERROR(IF(INDEX(tProdutos[Desconto homologado],MATCH(tItens[[#This Row],[Produto]],tProdutos[Produto],0))="",DescontoPadrao,INDEX(tProdutos[Desconto homologado],MATCH(tItens[[#This Row],[Produto]],tProdutos[Produto],0))),DescontoPadrao)</f>
        <v>0.36</v>
      </c>
      <c r="M8474" s="12">
        <f>tItens[[#This Row],[Valor]]*(1-tItens[[#This Row],[Desconto]])</f>
        <v>0</v>
      </c>
      <c r="N8474" t="str">
        <f>IFERROR(INDEX(tProdutos[Foco],MATCH(tItens[[#This Row],[Produto]],tProdutos[Produto],0)),"Não")</f>
        <v>Sim</v>
      </c>
      <c r="O8474" t="str">
        <f>IFERROR(INDEX(tEditais[SRP],MATCH(tItens[[#This Row],[Edital]],tEditais[Edital],0)),"Não")</f>
        <v>Sim</v>
      </c>
      <c r="P8474" s="4">
        <f>IF(COUNTIFS(INDEX(tItens[Edital],1):tItens[[#This Row],[Edital]],tItens[[#This Row],[Edital]],INDEX(tItens[Produto],1):tItens[[#This Row],[Produto]],tItens[[#This Row],[Produto]])=1,1,0)</f>
        <v>1</v>
      </c>
    </row>
    <row r="8475" spans="1:16" x14ac:dyDescent="0.25">
      <c r="A8475" t="s">
        <v>2839</v>
      </c>
      <c r="B8475">
        <v>25</v>
      </c>
      <c r="C8475" t="s">
        <v>10889</v>
      </c>
      <c r="D8475" t="s">
        <v>170</v>
      </c>
      <c r="E8475" s="13">
        <v>20</v>
      </c>
      <c r="F8475" s="12">
        <v>0</v>
      </c>
      <c r="G8475" t="str">
        <f>IFERROR(INDEX(tEditais[Órgão],MATCH(tItens[[#This Row],[Edital]],tEditais[Edital],0)),"")</f>
        <v>MUNICIPIO DE VALENTIM GENTIL</v>
      </c>
      <c r="H8475" t="str">
        <f>IFERROR(INDEX(tEditais[UF],MATCH(tItens[[#This Row],[Edital]],tEditais[Edital],0)),"")</f>
        <v>SP</v>
      </c>
      <c r="I8475" s="11">
        <f>IFERROR(INDEX(tEditais[Encerramento],MATCH(tItens[[#This Row],[Edital]],tEditais[Edital],0)),"")</f>
        <v>46308.374305555553</v>
      </c>
      <c r="J8475" t="str">
        <f>IFERROR(INDEX(tProdutos[Classe],MATCH(tItens[[#This Row],[Produto]],tProdutos[Produto],0)),"produto não cadastrado")</f>
        <v>DISPUTADO</v>
      </c>
      <c r="K8475" s="12">
        <f>tItens[[#This Row],[Qtd]]*tItens[[#This Row],[Vlr unit]]</f>
        <v>0</v>
      </c>
      <c r="L8475" s="6">
        <f>IFERROR(IF(INDEX(tProdutos[Desconto homologado],MATCH(tItens[[#This Row],[Produto]],tProdutos[Produto],0))="",DescontoPadrao,INDEX(tProdutos[Desconto homologado],MATCH(tItens[[#This Row],[Produto]],tProdutos[Produto],0))),DescontoPadrao)</f>
        <v>0.36</v>
      </c>
      <c r="M8475" s="12">
        <f>tItens[[#This Row],[Valor]]*(1-tItens[[#This Row],[Desconto]])</f>
        <v>0</v>
      </c>
      <c r="N8475" t="str">
        <f>IFERROR(INDEX(tProdutos[Foco],MATCH(tItens[[#This Row],[Produto]],tProdutos[Produto],0)),"Não")</f>
        <v>Sim</v>
      </c>
      <c r="O8475" t="str">
        <f>IFERROR(INDEX(tEditais[SRP],MATCH(tItens[[#This Row],[Edital]],tEditais[Edital],0)),"Não")</f>
        <v>Sim</v>
      </c>
      <c r="P8475" s="4">
        <f>IF(COUNTIFS(INDEX(tItens[Edital],1):tItens[[#This Row],[Edital]],tItens[[#This Row],[Edital]],INDEX(tItens[Produto],1):tItens[[#This Row],[Produto]],tItens[[#This Row],[Produto]])=1,1,0)</f>
        <v>0</v>
      </c>
    </row>
    <row r="8476" spans="1:16" x14ac:dyDescent="0.25">
      <c r="A8476" t="s">
        <v>2839</v>
      </c>
      <c r="B8476">
        <v>26</v>
      </c>
      <c r="C8476" t="s">
        <v>10890</v>
      </c>
      <c r="D8476" t="s">
        <v>170</v>
      </c>
      <c r="E8476" s="13">
        <v>20</v>
      </c>
      <c r="F8476" s="12">
        <v>0</v>
      </c>
      <c r="G8476" t="str">
        <f>IFERROR(INDEX(tEditais[Órgão],MATCH(tItens[[#This Row],[Edital]],tEditais[Edital],0)),"")</f>
        <v>MUNICIPIO DE VALENTIM GENTIL</v>
      </c>
      <c r="H8476" t="str">
        <f>IFERROR(INDEX(tEditais[UF],MATCH(tItens[[#This Row],[Edital]],tEditais[Edital],0)),"")</f>
        <v>SP</v>
      </c>
      <c r="I8476" s="11">
        <f>IFERROR(INDEX(tEditais[Encerramento],MATCH(tItens[[#This Row],[Edital]],tEditais[Edital],0)),"")</f>
        <v>46308.374305555553</v>
      </c>
      <c r="J8476" t="str">
        <f>IFERROR(INDEX(tProdutos[Classe],MATCH(tItens[[#This Row],[Produto]],tProdutos[Produto],0)),"produto não cadastrado")</f>
        <v>DISPUTADO</v>
      </c>
      <c r="K8476" s="12">
        <f>tItens[[#This Row],[Qtd]]*tItens[[#This Row],[Vlr unit]]</f>
        <v>0</v>
      </c>
      <c r="L8476" s="6">
        <f>IFERROR(IF(INDEX(tProdutos[Desconto homologado],MATCH(tItens[[#This Row],[Produto]],tProdutos[Produto],0))="",DescontoPadrao,INDEX(tProdutos[Desconto homologado],MATCH(tItens[[#This Row],[Produto]],tProdutos[Produto],0))),DescontoPadrao)</f>
        <v>0.36</v>
      </c>
      <c r="M8476" s="12">
        <f>tItens[[#This Row],[Valor]]*(1-tItens[[#This Row],[Desconto]])</f>
        <v>0</v>
      </c>
      <c r="N8476" t="str">
        <f>IFERROR(INDEX(tProdutos[Foco],MATCH(tItens[[#This Row],[Produto]],tProdutos[Produto],0)),"Não")</f>
        <v>Sim</v>
      </c>
      <c r="O8476" t="str">
        <f>IFERROR(INDEX(tEditais[SRP],MATCH(tItens[[#This Row],[Edital]],tEditais[Edital],0)),"Não")</f>
        <v>Sim</v>
      </c>
      <c r="P8476" s="4">
        <f>IF(COUNTIFS(INDEX(tItens[Edital],1):tItens[[#This Row],[Edital]],tItens[[#This Row],[Edital]],INDEX(tItens[Produto],1):tItens[[#This Row],[Produto]],tItens[[#This Row],[Produto]])=1,1,0)</f>
        <v>0</v>
      </c>
    </row>
    <row r="8477" spans="1:16" x14ac:dyDescent="0.25">
      <c r="A8477" t="s">
        <v>2839</v>
      </c>
      <c r="B8477">
        <v>27</v>
      </c>
      <c r="C8477" t="s">
        <v>10891</v>
      </c>
      <c r="D8477" t="s">
        <v>670</v>
      </c>
      <c r="E8477" s="13">
        <v>12</v>
      </c>
      <c r="F8477" s="12">
        <v>0</v>
      </c>
      <c r="G8477" t="str">
        <f>IFERROR(INDEX(tEditais[Órgão],MATCH(tItens[[#This Row],[Edital]],tEditais[Edital],0)),"")</f>
        <v>MUNICIPIO DE VALENTIM GENTIL</v>
      </c>
      <c r="H8477" t="str">
        <f>IFERROR(INDEX(tEditais[UF],MATCH(tItens[[#This Row],[Edital]],tEditais[Edital],0)),"")</f>
        <v>SP</v>
      </c>
      <c r="I8477" s="11">
        <f>IFERROR(INDEX(tEditais[Encerramento],MATCH(tItens[[#This Row],[Edital]],tEditais[Edital],0)),"")</f>
        <v>46308.374305555553</v>
      </c>
      <c r="J8477" t="str">
        <f>IFERROR(INDEX(tProdutos[Classe],MATCH(tItens[[#This Row],[Produto]],tProdutos[Produto],0)),"produto não cadastrado")</f>
        <v>FILA REBASE</v>
      </c>
      <c r="K8477" s="12">
        <f>tItens[[#This Row],[Qtd]]*tItens[[#This Row],[Vlr unit]]</f>
        <v>0</v>
      </c>
      <c r="L8477" s="6">
        <f>IFERROR(IF(INDEX(tProdutos[Desconto homologado],MATCH(tItens[[#This Row],[Produto]],tProdutos[Produto],0))="",DescontoPadrao,INDEX(tProdutos[Desconto homologado],MATCH(tItens[[#This Row],[Produto]],tProdutos[Produto],0))),DescontoPadrao)</f>
        <v>0.53825503355704696</v>
      </c>
      <c r="M8477" s="12">
        <f>tItens[[#This Row],[Valor]]*(1-tItens[[#This Row],[Desconto]])</f>
        <v>0</v>
      </c>
      <c r="N8477" t="str">
        <f>IFERROR(INDEX(tProdutos[Foco],MATCH(tItens[[#This Row],[Produto]],tProdutos[Produto],0)),"Não")</f>
        <v>Não</v>
      </c>
      <c r="O8477" t="str">
        <f>IFERROR(INDEX(tEditais[SRP],MATCH(tItens[[#This Row],[Edital]],tEditais[Edital],0)),"Não")</f>
        <v>Sim</v>
      </c>
      <c r="P8477" s="4">
        <f>IF(COUNTIFS(INDEX(tItens[Edital],1):tItens[[#This Row],[Edital]],tItens[[#This Row],[Edital]],INDEX(tItens[Produto],1):tItens[[#This Row],[Produto]],tItens[[#This Row],[Produto]])=1,1,0)</f>
        <v>1</v>
      </c>
    </row>
    <row r="8478" spans="1:16" x14ac:dyDescent="0.25">
      <c r="A8478" t="s">
        <v>2839</v>
      </c>
      <c r="B8478">
        <v>54</v>
      </c>
      <c r="C8478" t="s">
        <v>10892</v>
      </c>
      <c r="D8478" t="s">
        <v>455</v>
      </c>
      <c r="E8478" s="13">
        <v>10</v>
      </c>
      <c r="F8478" s="12">
        <v>0</v>
      </c>
      <c r="G8478" t="str">
        <f>IFERROR(INDEX(tEditais[Órgão],MATCH(tItens[[#This Row],[Edital]],tEditais[Edital],0)),"")</f>
        <v>MUNICIPIO DE VALENTIM GENTIL</v>
      </c>
      <c r="H8478" t="str">
        <f>IFERROR(INDEX(tEditais[UF],MATCH(tItens[[#This Row],[Edital]],tEditais[Edital],0)),"")</f>
        <v>SP</v>
      </c>
      <c r="I8478" s="11">
        <f>IFERROR(INDEX(tEditais[Encerramento],MATCH(tItens[[#This Row],[Edital]],tEditais[Edital],0)),"")</f>
        <v>46308.374305555553</v>
      </c>
      <c r="J8478" t="str">
        <f>IFERROR(INDEX(tProdutos[Classe],MATCH(tItens[[#This Row],[Produto]],tProdutos[Produto],0)),"produto não cadastrado")</f>
        <v>FILA REBASE</v>
      </c>
      <c r="K8478" s="12">
        <f>tItens[[#This Row],[Qtd]]*tItens[[#This Row],[Vlr unit]]</f>
        <v>0</v>
      </c>
      <c r="L8478" s="6">
        <f>IFERROR(IF(INDEX(tProdutos[Desconto homologado],MATCH(tItens[[#This Row],[Produto]],tProdutos[Produto],0))="",DescontoPadrao,INDEX(tProdutos[Desconto homologado],MATCH(tItens[[#This Row],[Produto]],tProdutos[Produto],0))),DescontoPadrao)</f>
        <v>0.29595946765523801</v>
      </c>
      <c r="M8478" s="12">
        <f>tItens[[#This Row],[Valor]]*(1-tItens[[#This Row],[Desconto]])</f>
        <v>0</v>
      </c>
      <c r="N8478" t="str">
        <f>IFERROR(INDEX(tProdutos[Foco],MATCH(tItens[[#This Row],[Produto]],tProdutos[Produto],0)),"Não")</f>
        <v>Não</v>
      </c>
      <c r="O8478" t="str">
        <f>IFERROR(INDEX(tEditais[SRP],MATCH(tItens[[#This Row],[Edital]],tEditais[Edital],0)),"Não")</f>
        <v>Sim</v>
      </c>
      <c r="P8478" s="4">
        <f>IF(COUNTIFS(INDEX(tItens[Edital],1):tItens[[#This Row],[Edital]],tItens[[#This Row],[Edital]],INDEX(tItens[Produto],1):tItens[[#This Row],[Produto]],tItens[[#This Row],[Produto]])=1,1,0)</f>
        <v>1</v>
      </c>
    </row>
    <row r="8479" spans="1:16" x14ac:dyDescent="0.25">
      <c r="A8479" t="s">
        <v>2839</v>
      </c>
      <c r="B8479">
        <v>55</v>
      </c>
      <c r="C8479" t="s">
        <v>10893</v>
      </c>
      <c r="D8479" t="s">
        <v>455</v>
      </c>
      <c r="E8479" s="13">
        <v>10</v>
      </c>
      <c r="F8479" s="12">
        <v>0</v>
      </c>
      <c r="G8479" t="str">
        <f>IFERROR(INDEX(tEditais[Órgão],MATCH(tItens[[#This Row],[Edital]],tEditais[Edital],0)),"")</f>
        <v>MUNICIPIO DE VALENTIM GENTIL</v>
      </c>
      <c r="H8479" t="str">
        <f>IFERROR(INDEX(tEditais[UF],MATCH(tItens[[#This Row],[Edital]],tEditais[Edital],0)),"")</f>
        <v>SP</v>
      </c>
      <c r="I8479" s="11">
        <f>IFERROR(INDEX(tEditais[Encerramento],MATCH(tItens[[#This Row],[Edital]],tEditais[Edital],0)),"")</f>
        <v>46308.374305555553</v>
      </c>
      <c r="J8479" t="str">
        <f>IFERROR(INDEX(tProdutos[Classe],MATCH(tItens[[#This Row],[Produto]],tProdutos[Produto],0)),"produto não cadastrado")</f>
        <v>FILA REBASE</v>
      </c>
      <c r="K8479" s="12">
        <f>tItens[[#This Row],[Qtd]]*tItens[[#This Row],[Vlr unit]]</f>
        <v>0</v>
      </c>
      <c r="L8479" s="6">
        <f>IFERROR(IF(INDEX(tProdutos[Desconto homologado],MATCH(tItens[[#This Row],[Produto]],tProdutos[Produto],0))="",DescontoPadrao,INDEX(tProdutos[Desconto homologado],MATCH(tItens[[#This Row],[Produto]],tProdutos[Produto],0))),DescontoPadrao)</f>
        <v>0.29595946765523801</v>
      </c>
      <c r="M8479" s="12">
        <f>tItens[[#This Row],[Valor]]*(1-tItens[[#This Row],[Desconto]])</f>
        <v>0</v>
      </c>
      <c r="N8479" t="str">
        <f>IFERROR(INDEX(tProdutos[Foco],MATCH(tItens[[#This Row],[Produto]],tProdutos[Produto],0)),"Não")</f>
        <v>Não</v>
      </c>
      <c r="O8479" t="str">
        <f>IFERROR(INDEX(tEditais[SRP],MATCH(tItens[[#This Row],[Edital]],tEditais[Edital],0)),"Não")</f>
        <v>Sim</v>
      </c>
      <c r="P8479" s="4">
        <f>IF(COUNTIFS(INDEX(tItens[Edital],1):tItens[[#This Row],[Edital]],tItens[[#This Row],[Edital]],INDEX(tItens[Produto],1):tItens[[#This Row],[Produto]],tItens[[#This Row],[Produto]])=1,1,0)</f>
        <v>0</v>
      </c>
    </row>
    <row r="8480" spans="1:16" x14ac:dyDescent="0.25">
      <c r="A8480" t="s">
        <v>2839</v>
      </c>
      <c r="B8480">
        <v>56</v>
      </c>
      <c r="C8480" t="s">
        <v>10894</v>
      </c>
      <c r="D8480" t="s">
        <v>455</v>
      </c>
      <c r="E8480" s="13">
        <v>10</v>
      </c>
      <c r="F8480" s="12">
        <v>0</v>
      </c>
      <c r="G8480" t="str">
        <f>IFERROR(INDEX(tEditais[Órgão],MATCH(tItens[[#This Row],[Edital]],tEditais[Edital],0)),"")</f>
        <v>MUNICIPIO DE VALENTIM GENTIL</v>
      </c>
      <c r="H8480" t="str">
        <f>IFERROR(INDEX(tEditais[UF],MATCH(tItens[[#This Row],[Edital]],tEditais[Edital],0)),"")</f>
        <v>SP</v>
      </c>
      <c r="I8480" s="11">
        <f>IFERROR(INDEX(tEditais[Encerramento],MATCH(tItens[[#This Row],[Edital]],tEditais[Edital],0)),"")</f>
        <v>46308.374305555553</v>
      </c>
      <c r="J8480" t="str">
        <f>IFERROR(INDEX(tProdutos[Classe],MATCH(tItens[[#This Row],[Produto]],tProdutos[Produto],0)),"produto não cadastrado")</f>
        <v>FILA REBASE</v>
      </c>
      <c r="K8480" s="12">
        <f>tItens[[#This Row],[Qtd]]*tItens[[#This Row],[Vlr unit]]</f>
        <v>0</v>
      </c>
      <c r="L8480" s="6">
        <f>IFERROR(IF(INDEX(tProdutos[Desconto homologado],MATCH(tItens[[#This Row],[Produto]],tProdutos[Produto],0))="",DescontoPadrao,INDEX(tProdutos[Desconto homologado],MATCH(tItens[[#This Row],[Produto]],tProdutos[Produto],0))),DescontoPadrao)</f>
        <v>0.29595946765523801</v>
      </c>
      <c r="M8480" s="12">
        <f>tItens[[#This Row],[Valor]]*(1-tItens[[#This Row],[Desconto]])</f>
        <v>0</v>
      </c>
      <c r="N8480" t="str">
        <f>IFERROR(INDEX(tProdutos[Foco],MATCH(tItens[[#This Row],[Produto]],tProdutos[Produto],0)),"Não")</f>
        <v>Não</v>
      </c>
      <c r="O8480" t="str">
        <f>IFERROR(INDEX(tEditais[SRP],MATCH(tItens[[#This Row],[Edital]],tEditais[Edital],0)),"Não")</f>
        <v>Sim</v>
      </c>
      <c r="P8480" s="4">
        <f>IF(COUNTIFS(INDEX(tItens[Edital],1):tItens[[#This Row],[Edital]],tItens[[#This Row],[Edital]],INDEX(tItens[Produto],1):tItens[[#This Row],[Produto]],tItens[[#This Row],[Produto]])=1,1,0)</f>
        <v>0</v>
      </c>
    </row>
    <row r="8481" spans="1:16" x14ac:dyDescent="0.25">
      <c r="A8481" t="s">
        <v>2839</v>
      </c>
      <c r="B8481">
        <v>57</v>
      </c>
      <c r="C8481" t="s">
        <v>10895</v>
      </c>
      <c r="D8481" t="s">
        <v>455</v>
      </c>
      <c r="E8481" s="13">
        <v>10</v>
      </c>
      <c r="F8481" s="12">
        <v>0</v>
      </c>
      <c r="G8481" t="str">
        <f>IFERROR(INDEX(tEditais[Órgão],MATCH(tItens[[#This Row],[Edital]],tEditais[Edital],0)),"")</f>
        <v>MUNICIPIO DE VALENTIM GENTIL</v>
      </c>
      <c r="H8481" t="str">
        <f>IFERROR(INDEX(tEditais[UF],MATCH(tItens[[#This Row],[Edital]],tEditais[Edital],0)),"")</f>
        <v>SP</v>
      </c>
      <c r="I8481" s="11">
        <f>IFERROR(INDEX(tEditais[Encerramento],MATCH(tItens[[#This Row],[Edital]],tEditais[Edital],0)),"")</f>
        <v>46308.374305555553</v>
      </c>
      <c r="J8481" t="str">
        <f>IFERROR(INDEX(tProdutos[Classe],MATCH(tItens[[#This Row],[Produto]],tProdutos[Produto],0)),"produto não cadastrado")</f>
        <v>FILA REBASE</v>
      </c>
      <c r="K8481" s="12">
        <f>tItens[[#This Row],[Qtd]]*tItens[[#This Row],[Vlr unit]]</f>
        <v>0</v>
      </c>
      <c r="L8481" s="6">
        <f>IFERROR(IF(INDEX(tProdutos[Desconto homologado],MATCH(tItens[[#This Row],[Produto]],tProdutos[Produto],0))="",DescontoPadrao,INDEX(tProdutos[Desconto homologado],MATCH(tItens[[#This Row],[Produto]],tProdutos[Produto],0))),DescontoPadrao)</f>
        <v>0.29595946765523801</v>
      </c>
      <c r="M8481" s="12">
        <f>tItens[[#This Row],[Valor]]*(1-tItens[[#This Row],[Desconto]])</f>
        <v>0</v>
      </c>
      <c r="N8481" t="str">
        <f>IFERROR(INDEX(tProdutos[Foco],MATCH(tItens[[#This Row],[Produto]],tProdutos[Produto],0)),"Não")</f>
        <v>Não</v>
      </c>
      <c r="O8481" t="str">
        <f>IFERROR(INDEX(tEditais[SRP],MATCH(tItens[[#This Row],[Edital]],tEditais[Edital],0)),"Não")</f>
        <v>Sim</v>
      </c>
      <c r="P8481" s="4">
        <f>IF(COUNTIFS(INDEX(tItens[Edital],1):tItens[[#This Row],[Edital]],tItens[[#This Row],[Edital]],INDEX(tItens[Produto],1):tItens[[#This Row],[Produto]],tItens[[#This Row],[Produto]])=1,1,0)</f>
        <v>0</v>
      </c>
    </row>
    <row r="8482" spans="1:16" x14ac:dyDescent="0.25">
      <c r="A8482" t="s">
        <v>2839</v>
      </c>
      <c r="B8482">
        <v>58</v>
      </c>
      <c r="C8482" t="s">
        <v>10896</v>
      </c>
      <c r="D8482" t="s">
        <v>455</v>
      </c>
      <c r="E8482" s="13">
        <v>10</v>
      </c>
      <c r="F8482" s="12">
        <v>0</v>
      </c>
      <c r="G8482" t="str">
        <f>IFERROR(INDEX(tEditais[Órgão],MATCH(tItens[[#This Row],[Edital]],tEditais[Edital],0)),"")</f>
        <v>MUNICIPIO DE VALENTIM GENTIL</v>
      </c>
      <c r="H8482" t="str">
        <f>IFERROR(INDEX(tEditais[UF],MATCH(tItens[[#This Row],[Edital]],tEditais[Edital],0)),"")</f>
        <v>SP</v>
      </c>
      <c r="I8482" s="11">
        <f>IFERROR(INDEX(tEditais[Encerramento],MATCH(tItens[[#This Row],[Edital]],tEditais[Edital],0)),"")</f>
        <v>46308.374305555553</v>
      </c>
      <c r="J8482" t="str">
        <f>IFERROR(INDEX(tProdutos[Classe],MATCH(tItens[[#This Row],[Produto]],tProdutos[Produto],0)),"produto não cadastrado")</f>
        <v>FILA REBASE</v>
      </c>
      <c r="K8482" s="12">
        <f>tItens[[#This Row],[Qtd]]*tItens[[#This Row],[Vlr unit]]</f>
        <v>0</v>
      </c>
      <c r="L8482" s="6">
        <f>IFERROR(IF(INDEX(tProdutos[Desconto homologado],MATCH(tItens[[#This Row],[Produto]],tProdutos[Produto],0))="",DescontoPadrao,INDEX(tProdutos[Desconto homologado],MATCH(tItens[[#This Row],[Produto]],tProdutos[Produto],0))),DescontoPadrao)</f>
        <v>0.29595946765523801</v>
      </c>
      <c r="M8482" s="12">
        <f>tItens[[#This Row],[Valor]]*(1-tItens[[#This Row],[Desconto]])</f>
        <v>0</v>
      </c>
      <c r="N8482" t="str">
        <f>IFERROR(INDEX(tProdutos[Foco],MATCH(tItens[[#This Row],[Produto]],tProdutos[Produto],0)),"Não")</f>
        <v>Não</v>
      </c>
      <c r="O8482" t="str">
        <f>IFERROR(INDEX(tEditais[SRP],MATCH(tItens[[#This Row],[Edital]],tEditais[Edital],0)),"Não")</f>
        <v>Sim</v>
      </c>
      <c r="P8482" s="4">
        <f>IF(COUNTIFS(INDEX(tItens[Edital],1):tItens[[#This Row],[Edital]],tItens[[#This Row],[Edital]],INDEX(tItens[Produto],1):tItens[[#This Row],[Produto]],tItens[[#This Row],[Produto]])=1,1,0)</f>
        <v>0</v>
      </c>
    </row>
    <row r="8483" spans="1:16" x14ac:dyDescent="0.25">
      <c r="A8483" t="s">
        <v>2839</v>
      </c>
      <c r="B8483">
        <v>59</v>
      </c>
      <c r="C8483" t="s">
        <v>10897</v>
      </c>
      <c r="D8483" t="s">
        <v>455</v>
      </c>
      <c r="E8483" s="13">
        <v>10</v>
      </c>
      <c r="F8483" s="12">
        <v>0</v>
      </c>
      <c r="G8483" t="str">
        <f>IFERROR(INDEX(tEditais[Órgão],MATCH(tItens[[#This Row],[Edital]],tEditais[Edital],0)),"")</f>
        <v>MUNICIPIO DE VALENTIM GENTIL</v>
      </c>
      <c r="H8483" t="str">
        <f>IFERROR(INDEX(tEditais[UF],MATCH(tItens[[#This Row],[Edital]],tEditais[Edital],0)),"")</f>
        <v>SP</v>
      </c>
      <c r="I8483" s="11">
        <f>IFERROR(INDEX(tEditais[Encerramento],MATCH(tItens[[#This Row],[Edital]],tEditais[Edital],0)),"")</f>
        <v>46308.374305555553</v>
      </c>
      <c r="J8483" t="str">
        <f>IFERROR(INDEX(tProdutos[Classe],MATCH(tItens[[#This Row],[Produto]],tProdutos[Produto],0)),"produto não cadastrado")</f>
        <v>FILA REBASE</v>
      </c>
      <c r="K8483" s="12">
        <f>tItens[[#This Row],[Qtd]]*tItens[[#This Row],[Vlr unit]]</f>
        <v>0</v>
      </c>
      <c r="L8483" s="6">
        <f>IFERROR(IF(INDEX(tProdutos[Desconto homologado],MATCH(tItens[[#This Row],[Produto]],tProdutos[Produto],0))="",DescontoPadrao,INDEX(tProdutos[Desconto homologado],MATCH(tItens[[#This Row],[Produto]],tProdutos[Produto],0))),DescontoPadrao)</f>
        <v>0.29595946765523801</v>
      </c>
      <c r="M8483" s="12">
        <f>tItens[[#This Row],[Valor]]*(1-tItens[[#This Row],[Desconto]])</f>
        <v>0</v>
      </c>
      <c r="N8483" t="str">
        <f>IFERROR(INDEX(tProdutos[Foco],MATCH(tItens[[#This Row],[Produto]],tProdutos[Produto],0)),"Não")</f>
        <v>Não</v>
      </c>
      <c r="O8483" t="str">
        <f>IFERROR(INDEX(tEditais[SRP],MATCH(tItens[[#This Row],[Edital]],tEditais[Edital],0)),"Não")</f>
        <v>Sim</v>
      </c>
      <c r="P8483" s="4">
        <f>IF(COUNTIFS(INDEX(tItens[Edital],1):tItens[[#This Row],[Edital]],tItens[[#This Row],[Edital]],INDEX(tItens[Produto],1):tItens[[#This Row],[Produto]],tItens[[#This Row],[Produto]])=1,1,0)</f>
        <v>0</v>
      </c>
    </row>
    <row r="8484" spans="1:16" x14ac:dyDescent="0.25">
      <c r="A8484" t="s">
        <v>2839</v>
      </c>
      <c r="B8484">
        <v>60</v>
      </c>
      <c r="C8484" t="s">
        <v>10898</v>
      </c>
      <c r="D8484" t="s">
        <v>455</v>
      </c>
      <c r="E8484" s="13">
        <v>10</v>
      </c>
      <c r="F8484" s="12">
        <v>0</v>
      </c>
      <c r="G8484" t="str">
        <f>IFERROR(INDEX(tEditais[Órgão],MATCH(tItens[[#This Row],[Edital]],tEditais[Edital],0)),"")</f>
        <v>MUNICIPIO DE VALENTIM GENTIL</v>
      </c>
      <c r="H8484" t="str">
        <f>IFERROR(INDEX(tEditais[UF],MATCH(tItens[[#This Row],[Edital]],tEditais[Edital],0)),"")</f>
        <v>SP</v>
      </c>
      <c r="I8484" s="11">
        <f>IFERROR(INDEX(tEditais[Encerramento],MATCH(tItens[[#This Row],[Edital]],tEditais[Edital],0)),"")</f>
        <v>46308.374305555553</v>
      </c>
      <c r="J8484" t="str">
        <f>IFERROR(INDEX(tProdutos[Classe],MATCH(tItens[[#This Row],[Produto]],tProdutos[Produto],0)),"produto não cadastrado")</f>
        <v>FILA REBASE</v>
      </c>
      <c r="K8484" s="12">
        <f>tItens[[#This Row],[Qtd]]*tItens[[#This Row],[Vlr unit]]</f>
        <v>0</v>
      </c>
      <c r="L8484" s="6">
        <f>IFERROR(IF(INDEX(tProdutos[Desconto homologado],MATCH(tItens[[#This Row],[Produto]],tProdutos[Produto],0))="",DescontoPadrao,INDEX(tProdutos[Desconto homologado],MATCH(tItens[[#This Row],[Produto]],tProdutos[Produto],0))),DescontoPadrao)</f>
        <v>0.29595946765523801</v>
      </c>
      <c r="M8484" s="12">
        <f>tItens[[#This Row],[Valor]]*(1-tItens[[#This Row],[Desconto]])</f>
        <v>0</v>
      </c>
      <c r="N8484" t="str">
        <f>IFERROR(INDEX(tProdutos[Foco],MATCH(tItens[[#This Row],[Produto]],tProdutos[Produto],0)),"Não")</f>
        <v>Não</v>
      </c>
      <c r="O8484" t="str">
        <f>IFERROR(INDEX(tEditais[SRP],MATCH(tItens[[#This Row],[Edital]],tEditais[Edital],0)),"Não")</f>
        <v>Sim</v>
      </c>
      <c r="P8484" s="4">
        <f>IF(COUNTIFS(INDEX(tItens[Edital],1):tItens[[#This Row],[Edital]],tItens[[#This Row],[Edital]],INDEX(tItens[Produto],1):tItens[[#This Row],[Produto]],tItens[[#This Row],[Produto]])=1,1,0)</f>
        <v>0</v>
      </c>
    </row>
    <row r="8485" spans="1:16" x14ac:dyDescent="0.25">
      <c r="A8485" t="s">
        <v>2839</v>
      </c>
      <c r="B8485">
        <v>70</v>
      </c>
      <c r="C8485" t="s">
        <v>10899</v>
      </c>
      <c r="D8485" t="s">
        <v>118</v>
      </c>
      <c r="E8485" s="13">
        <v>50</v>
      </c>
      <c r="F8485" s="12">
        <v>0</v>
      </c>
      <c r="G8485" t="str">
        <f>IFERROR(INDEX(tEditais[Órgão],MATCH(tItens[[#This Row],[Edital]],tEditais[Edital],0)),"")</f>
        <v>MUNICIPIO DE VALENTIM GENTIL</v>
      </c>
      <c r="H8485" t="str">
        <f>IFERROR(INDEX(tEditais[UF],MATCH(tItens[[#This Row],[Edital]],tEditais[Edital],0)),"")</f>
        <v>SP</v>
      </c>
      <c r="I8485" s="11">
        <f>IFERROR(INDEX(tEditais[Encerramento],MATCH(tItens[[#This Row],[Edital]],tEditais[Edital],0)),"")</f>
        <v>46308.374305555553</v>
      </c>
      <c r="J8485" t="str">
        <f>IFERROR(INDEX(tProdutos[Classe],MATCH(tItens[[#This Row],[Produto]],tProdutos[Produto],0)),"produto não cadastrado")</f>
        <v>DISPUTADO</v>
      </c>
      <c r="K8485" s="12">
        <f>tItens[[#This Row],[Qtd]]*tItens[[#This Row],[Vlr unit]]</f>
        <v>0</v>
      </c>
      <c r="L8485" s="6">
        <f>IFERROR(IF(INDEX(tProdutos[Desconto homologado],MATCH(tItens[[#This Row],[Produto]],tProdutos[Produto],0))="",DescontoPadrao,INDEX(tProdutos[Desconto homologado],MATCH(tItens[[#This Row],[Produto]],tProdutos[Produto],0))),DescontoPadrao)</f>
        <v>0.45970952208503602</v>
      </c>
      <c r="M8485" s="12">
        <f>tItens[[#This Row],[Valor]]*(1-tItens[[#This Row],[Desconto]])</f>
        <v>0</v>
      </c>
      <c r="N8485" t="str">
        <f>IFERROR(INDEX(tProdutos[Foco],MATCH(tItens[[#This Row],[Produto]],tProdutos[Produto],0)),"Não")</f>
        <v>Não</v>
      </c>
      <c r="O8485" t="str">
        <f>IFERROR(INDEX(tEditais[SRP],MATCH(tItens[[#This Row],[Edital]],tEditais[Edital],0)),"Não")</f>
        <v>Sim</v>
      </c>
      <c r="P8485" s="4">
        <f>IF(COUNTIFS(INDEX(tItens[Edital],1):tItens[[#This Row],[Edital]],tItens[[#This Row],[Edital]],INDEX(tItens[Produto],1):tItens[[#This Row],[Produto]],tItens[[#This Row],[Produto]])=1,1,0)</f>
        <v>1</v>
      </c>
    </row>
    <row r="8486" spans="1:16" x14ac:dyDescent="0.25">
      <c r="A8486" t="s">
        <v>2839</v>
      </c>
      <c r="B8486">
        <v>73</v>
      </c>
      <c r="C8486" t="s">
        <v>10900</v>
      </c>
      <c r="D8486" t="s">
        <v>229</v>
      </c>
      <c r="E8486" s="13">
        <v>250</v>
      </c>
      <c r="F8486" s="12">
        <v>0</v>
      </c>
      <c r="G8486" t="str">
        <f>IFERROR(INDEX(tEditais[Órgão],MATCH(tItens[[#This Row],[Edital]],tEditais[Edital],0)),"")</f>
        <v>MUNICIPIO DE VALENTIM GENTIL</v>
      </c>
      <c r="H8486" t="str">
        <f>IFERROR(INDEX(tEditais[UF],MATCH(tItens[[#This Row],[Edital]],tEditais[Edital],0)),"")</f>
        <v>SP</v>
      </c>
      <c r="I8486" s="11">
        <f>IFERROR(INDEX(tEditais[Encerramento],MATCH(tItens[[#This Row],[Edital]],tEditais[Edital],0)),"")</f>
        <v>46308.374305555553</v>
      </c>
      <c r="J8486" t="str">
        <f>IFERROR(INDEX(tProdutos[Classe],MATCH(tItens[[#This Row],[Produto]],tProdutos[Produto],0)),"produto não cadastrado")</f>
        <v>FORA</v>
      </c>
      <c r="K8486" s="12">
        <f>tItens[[#This Row],[Qtd]]*tItens[[#This Row],[Vlr unit]]</f>
        <v>0</v>
      </c>
      <c r="L8486" s="6">
        <f>IFERROR(IF(INDEX(tProdutos[Desconto homologado],MATCH(tItens[[#This Row],[Produto]],tProdutos[Produto],0))="",DescontoPadrao,INDEX(tProdutos[Desconto homologado],MATCH(tItens[[#This Row],[Produto]],tProdutos[Produto],0))),DescontoPadrao)</f>
        <v>0.33093491191658198</v>
      </c>
      <c r="M8486" s="12">
        <f>tItens[[#This Row],[Valor]]*(1-tItens[[#This Row],[Desconto]])</f>
        <v>0</v>
      </c>
      <c r="N8486" t="str">
        <f>IFERROR(INDEX(tProdutos[Foco],MATCH(tItens[[#This Row],[Produto]],tProdutos[Produto],0)),"Não")</f>
        <v>Não</v>
      </c>
      <c r="O8486" t="str">
        <f>IFERROR(INDEX(tEditais[SRP],MATCH(tItens[[#This Row],[Edital]],tEditais[Edital],0)),"Não")</f>
        <v>Sim</v>
      </c>
      <c r="P8486" s="4">
        <f>IF(COUNTIFS(INDEX(tItens[Edital],1):tItens[[#This Row],[Edital]],tItens[[#This Row],[Edital]],INDEX(tItens[Produto],1):tItens[[#This Row],[Produto]],tItens[[#This Row],[Produto]])=1,1,0)</f>
        <v>1</v>
      </c>
    </row>
    <row r="8487" spans="1:16" x14ac:dyDescent="0.25">
      <c r="A8487" t="s">
        <v>2839</v>
      </c>
      <c r="B8487">
        <v>76</v>
      </c>
      <c r="C8487" t="s">
        <v>10901</v>
      </c>
      <c r="D8487" t="s">
        <v>259</v>
      </c>
      <c r="E8487" s="13">
        <v>30</v>
      </c>
      <c r="F8487" s="12">
        <v>0</v>
      </c>
      <c r="G8487" t="str">
        <f>IFERROR(INDEX(tEditais[Órgão],MATCH(tItens[[#This Row],[Edital]],tEditais[Edital],0)),"")</f>
        <v>MUNICIPIO DE VALENTIM GENTIL</v>
      </c>
      <c r="H8487" t="str">
        <f>IFERROR(INDEX(tEditais[UF],MATCH(tItens[[#This Row],[Edital]],tEditais[Edital],0)),"")</f>
        <v>SP</v>
      </c>
      <c r="I8487" s="11">
        <f>IFERROR(INDEX(tEditais[Encerramento],MATCH(tItens[[#This Row],[Edital]],tEditais[Edital],0)),"")</f>
        <v>46308.374305555553</v>
      </c>
      <c r="J8487" t="str">
        <f>IFERROR(INDEX(tProdutos[Classe],MATCH(tItens[[#This Row],[Produto]],tProdutos[Produto],0)),"produto não cadastrado")</f>
        <v>FORA</v>
      </c>
      <c r="K8487" s="12">
        <f>tItens[[#This Row],[Qtd]]*tItens[[#This Row],[Vlr unit]]</f>
        <v>0</v>
      </c>
      <c r="L8487" s="6">
        <f>IFERROR(IF(INDEX(tProdutos[Desconto homologado],MATCH(tItens[[#This Row],[Produto]],tProdutos[Produto],0))="",DescontoPadrao,INDEX(tProdutos[Desconto homologado],MATCH(tItens[[#This Row],[Produto]],tProdutos[Produto],0))),DescontoPadrao)</f>
        <v>0.374798283789543</v>
      </c>
      <c r="M8487" s="12">
        <f>tItens[[#This Row],[Valor]]*(1-tItens[[#This Row],[Desconto]])</f>
        <v>0</v>
      </c>
      <c r="N8487" t="str">
        <f>IFERROR(INDEX(tProdutos[Foco],MATCH(tItens[[#This Row],[Produto]],tProdutos[Produto],0)),"Não")</f>
        <v>Não</v>
      </c>
      <c r="O8487" t="str">
        <f>IFERROR(INDEX(tEditais[SRP],MATCH(tItens[[#This Row],[Edital]],tEditais[Edital],0)),"Não")</f>
        <v>Sim</v>
      </c>
      <c r="P8487" s="4">
        <f>IF(COUNTIFS(INDEX(tItens[Edital],1):tItens[[#This Row],[Edital]],tItens[[#This Row],[Edital]],INDEX(tItens[Produto],1):tItens[[#This Row],[Produto]],tItens[[#This Row],[Produto]])=1,1,0)</f>
        <v>1</v>
      </c>
    </row>
    <row r="8488" spans="1:16" x14ac:dyDescent="0.25">
      <c r="A8488" t="s">
        <v>2839</v>
      </c>
      <c r="B8488">
        <v>77</v>
      </c>
      <c r="C8488" t="s">
        <v>10902</v>
      </c>
      <c r="D8488" t="s">
        <v>405</v>
      </c>
      <c r="E8488" s="13">
        <v>50</v>
      </c>
      <c r="F8488" s="12">
        <v>0</v>
      </c>
      <c r="G8488" t="str">
        <f>IFERROR(INDEX(tEditais[Órgão],MATCH(tItens[[#This Row],[Edital]],tEditais[Edital],0)),"")</f>
        <v>MUNICIPIO DE VALENTIM GENTIL</v>
      </c>
      <c r="H8488" t="str">
        <f>IFERROR(INDEX(tEditais[UF],MATCH(tItens[[#This Row],[Edital]],tEditais[Edital],0)),"")</f>
        <v>SP</v>
      </c>
      <c r="I8488" s="11">
        <f>IFERROR(INDEX(tEditais[Encerramento],MATCH(tItens[[#This Row],[Edital]],tEditais[Edital],0)),"")</f>
        <v>46308.374305555553</v>
      </c>
      <c r="J8488" t="str">
        <f>IFERROR(INDEX(tProdutos[Classe],MATCH(tItens[[#This Row],[Produto]],tProdutos[Produto],0)),"produto não cadastrado")</f>
        <v>FORA</v>
      </c>
      <c r="K8488" s="12">
        <f>tItens[[#This Row],[Qtd]]*tItens[[#This Row],[Vlr unit]]</f>
        <v>0</v>
      </c>
      <c r="L8488" s="6">
        <f>IFERROR(IF(INDEX(tProdutos[Desconto homologado],MATCH(tItens[[#This Row],[Produto]],tProdutos[Produto],0))="",DescontoPadrao,INDEX(tProdutos[Desconto homologado],MATCH(tItens[[#This Row],[Produto]],tProdutos[Produto],0))),DescontoPadrao)</f>
        <v>0.43839061190276601</v>
      </c>
      <c r="M8488" s="12">
        <f>tItens[[#This Row],[Valor]]*(1-tItens[[#This Row],[Desconto]])</f>
        <v>0</v>
      </c>
      <c r="N8488" t="str">
        <f>IFERROR(INDEX(tProdutos[Foco],MATCH(tItens[[#This Row],[Produto]],tProdutos[Produto],0)),"Não")</f>
        <v>Não</v>
      </c>
      <c r="O8488" t="str">
        <f>IFERROR(INDEX(tEditais[SRP],MATCH(tItens[[#This Row],[Edital]],tEditais[Edital],0)),"Não")</f>
        <v>Sim</v>
      </c>
      <c r="P8488" s="4">
        <f>IF(COUNTIFS(INDEX(tItens[Edital],1):tItens[[#This Row],[Edital]],tItens[[#This Row],[Edital]],INDEX(tItens[Produto],1):tItens[[#This Row],[Produto]],tItens[[#This Row],[Produto]])=1,1,0)</f>
        <v>1</v>
      </c>
    </row>
    <row r="8489" spans="1:16" x14ac:dyDescent="0.25">
      <c r="A8489" t="s">
        <v>2839</v>
      </c>
      <c r="B8489">
        <v>78</v>
      </c>
      <c r="C8489" t="s">
        <v>10903</v>
      </c>
      <c r="D8489" t="s">
        <v>405</v>
      </c>
      <c r="E8489" s="13">
        <v>24</v>
      </c>
      <c r="F8489" s="12">
        <v>0</v>
      </c>
      <c r="G8489" t="str">
        <f>IFERROR(INDEX(tEditais[Órgão],MATCH(tItens[[#This Row],[Edital]],tEditais[Edital],0)),"")</f>
        <v>MUNICIPIO DE VALENTIM GENTIL</v>
      </c>
      <c r="H8489" t="str">
        <f>IFERROR(INDEX(tEditais[UF],MATCH(tItens[[#This Row],[Edital]],tEditais[Edital],0)),"")</f>
        <v>SP</v>
      </c>
      <c r="I8489" s="11">
        <f>IFERROR(INDEX(tEditais[Encerramento],MATCH(tItens[[#This Row],[Edital]],tEditais[Edital],0)),"")</f>
        <v>46308.374305555553</v>
      </c>
      <c r="J8489" t="str">
        <f>IFERROR(INDEX(tProdutos[Classe],MATCH(tItens[[#This Row],[Produto]],tProdutos[Produto],0)),"produto não cadastrado")</f>
        <v>FORA</v>
      </c>
      <c r="K8489" s="12">
        <f>tItens[[#This Row],[Qtd]]*tItens[[#This Row],[Vlr unit]]</f>
        <v>0</v>
      </c>
      <c r="L8489" s="6">
        <f>IFERROR(IF(INDEX(tProdutos[Desconto homologado],MATCH(tItens[[#This Row],[Produto]],tProdutos[Produto],0))="",DescontoPadrao,INDEX(tProdutos[Desconto homologado],MATCH(tItens[[#This Row],[Produto]],tProdutos[Produto],0))),DescontoPadrao)</f>
        <v>0.43839061190276601</v>
      </c>
      <c r="M8489" s="12">
        <f>tItens[[#This Row],[Valor]]*(1-tItens[[#This Row],[Desconto]])</f>
        <v>0</v>
      </c>
      <c r="N8489" t="str">
        <f>IFERROR(INDEX(tProdutos[Foco],MATCH(tItens[[#This Row],[Produto]],tProdutos[Produto],0)),"Não")</f>
        <v>Não</v>
      </c>
      <c r="O8489" t="str">
        <f>IFERROR(INDEX(tEditais[SRP],MATCH(tItens[[#This Row],[Edital]],tEditais[Edital],0)),"Não")</f>
        <v>Sim</v>
      </c>
      <c r="P8489" s="4">
        <f>IF(COUNTIFS(INDEX(tItens[Edital],1):tItens[[#This Row],[Edital]],tItens[[#This Row],[Edital]],INDEX(tItens[Produto],1):tItens[[#This Row],[Produto]],tItens[[#This Row],[Produto]])=1,1,0)</f>
        <v>0</v>
      </c>
    </row>
    <row r="8490" spans="1:16" x14ac:dyDescent="0.25">
      <c r="A8490" t="s">
        <v>2839</v>
      </c>
      <c r="B8490">
        <v>79</v>
      </c>
      <c r="C8490" t="s">
        <v>10904</v>
      </c>
      <c r="D8490" t="s">
        <v>405</v>
      </c>
      <c r="E8490" s="13">
        <v>12</v>
      </c>
      <c r="F8490" s="12">
        <v>0</v>
      </c>
      <c r="G8490" t="str">
        <f>IFERROR(INDEX(tEditais[Órgão],MATCH(tItens[[#This Row],[Edital]],tEditais[Edital],0)),"")</f>
        <v>MUNICIPIO DE VALENTIM GENTIL</v>
      </c>
      <c r="H8490" t="str">
        <f>IFERROR(INDEX(tEditais[UF],MATCH(tItens[[#This Row],[Edital]],tEditais[Edital],0)),"")</f>
        <v>SP</v>
      </c>
      <c r="I8490" s="11">
        <f>IFERROR(INDEX(tEditais[Encerramento],MATCH(tItens[[#This Row],[Edital]],tEditais[Edital],0)),"")</f>
        <v>46308.374305555553</v>
      </c>
      <c r="J8490" t="str">
        <f>IFERROR(INDEX(tProdutos[Classe],MATCH(tItens[[#This Row],[Produto]],tProdutos[Produto],0)),"produto não cadastrado")</f>
        <v>FORA</v>
      </c>
      <c r="K8490" s="12">
        <f>tItens[[#This Row],[Qtd]]*tItens[[#This Row],[Vlr unit]]</f>
        <v>0</v>
      </c>
      <c r="L8490" s="6">
        <f>IFERROR(IF(INDEX(tProdutos[Desconto homologado],MATCH(tItens[[#This Row],[Produto]],tProdutos[Produto],0))="",DescontoPadrao,INDEX(tProdutos[Desconto homologado],MATCH(tItens[[#This Row],[Produto]],tProdutos[Produto],0))),DescontoPadrao)</f>
        <v>0.43839061190276601</v>
      </c>
      <c r="M8490" s="12">
        <f>tItens[[#This Row],[Valor]]*(1-tItens[[#This Row],[Desconto]])</f>
        <v>0</v>
      </c>
      <c r="N8490" t="str">
        <f>IFERROR(INDEX(tProdutos[Foco],MATCH(tItens[[#This Row],[Produto]],tProdutos[Produto],0)),"Não")</f>
        <v>Não</v>
      </c>
      <c r="O8490" t="str">
        <f>IFERROR(INDEX(tEditais[SRP],MATCH(tItens[[#This Row],[Edital]],tEditais[Edital],0)),"Não")</f>
        <v>Sim</v>
      </c>
      <c r="P8490" s="4">
        <f>IF(COUNTIFS(INDEX(tItens[Edital],1):tItens[[#This Row],[Edital]],tItens[[#This Row],[Edital]],INDEX(tItens[Produto],1):tItens[[#This Row],[Produto]],tItens[[#This Row],[Produto]])=1,1,0)</f>
        <v>0</v>
      </c>
    </row>
    <row r="8491" spans="1:16" x14ac:dyDescent="0.25">
      <c r="A8491" t="s">
        <v>2839</v>
      </c>
      <c r="B8491">
        <v>83</v>
      </c>
      <c r="C8491" t="s">
        <v>10905</v>
      </c>
      <c r="D8491" t="s">
        <v>417</v>
      </c>
      <c r="E8491" s="13">
        <v>50</v>
      </c>
      <c r="F8491" s="12">
        <v>0</v>
      </c>
      <c r="G8491" t="str">
        <f>IFERROR(INDEX(tEditais[Órgão],MATCH(tItens[[#This Row],[Edital]],tEditais[Edital],0)),"")</f>
        <v>MUNICIPIO DE VALENTIM GENTIL</v>
      </c>
      <c r="H8491" t="str">
        <f>IFERROR(INDEX(tEditais[UF],MATCH(tItens[[#This Row],[Edital]],tEditais[Edital],0)),"")</f>
        <v>SP</v>
      </c>
      <c r="I8491" s="11">
        <f>IFERROR(INDEX(tEditais[Encerramento],MATCH(tItens[[#This Row],[Edital]],tEditais[Edital],0)),"")</f>
        <v>46308.374305555553</v>
      </c>
      <c r="J8491" t="str">
        <f>IFERROR(INDEX(tProdutos[Classe],MATCH(tItens[[#This Row],[Produto]],tProdutos[Produto],0)),"produto não cadastrado")</f>
        <v>FORA</v>
      </c>
      <c r="K8491" s="12">
        <f>tItens[[#This Row],[Qtd]]*tItens[[#This Row],[Vlr unit]]</f>
        <v>0</v>
      </c>
      <c r="L8491" s="6">
        <f>IFERROR(IF(INDEX(tProdutos[Desconto homologado],MATCH(tItens[[#This Row],[Produto]],tProdutos[Produto],0))="",DescontoPadrao,INDEX(tProdutos[Desconto homologado],MATCH(tItens[[#This Row],[Produto]],tProdutos[Produto],0))),DescontoPadrao)</f>
        <v>0.27842432580405202</v>
      </c>
      <c r="M8491" s="12">
        <f>tItens[[#This Row],[Valor]]*(1-tItens[[#This Row],[Desconto]])</f>
        <v>0</v>
      </c>
      <c r="N8491" t="str">
        <f>IFERROR(INDEX(tProdutos[Foco],MATCH(tItens[[#This Row],[Produto]],tProdutos[Produto],0)),"Não")</f>
        <v>Não</v>
      </c>
      <c r="O8491" t="str">
        <f>IFERROR(INDEX(tEditais[SRP],MATCH(tItens[[#This Row],[Edital]],tEditais[Edital],0)),"Não")</f>
        <v>Sim</v>
      </c>
      <c r="P8491" s="4">
        <f>IF(COUNTIFS(INDEX(tItens[Edital],1):tItens[[#This Row],[Edital]],tItens[[#This Row],[Edital]],INDEX(tItens[Produto],1):tItens[[#This Row],[Produto]],tItens[[#This Row],[Produto]])=1,1,0)</f>
        <v>1</v>
      </c>
    </row>
    <row r="8492" spans="1:16" x14ac:dyDescent="0.25">
      <c r="A8492" t="s">
        <v>2839</v>
      </c>
      <c r="B8492">
        <v>102</v>
      </c>
      <c r="C8492" t="s">
        <v>10906</v>
      </c>
      <c r="D8492" t="s">
        <v>512</v>
      </c>
      <c r="E8492" s="13">
        <v>600</v>
      </c>
      <c r="F8492" s="12">
        <v>0</v>
      </c>
      <c r="G8492" t="str">
        <f>IFERROR(INDEX(tEditais[Órgão],MATCH(tItens[[#This Row],[Edital]],tEditais[Edital],0)),"")</f>
        <v>MUNICIPIO DE VALENTIM GENTIL</v>
      </c>
      <c r="H8492" t="str">
        <f>IFERROR(INDEX(tEditais[UF],MATCH(tItens[[#This Row],[Edital]],tEditais[Edital],0)),"")</f>
        <v>SP</v>
      </c>
      <c r="I8492" s="11">
        <f>IFERROR(INDEX(tEditais[Encerramento],MATCH(tItens[[#This Row],[Edital]],tEditais[Edital],0)),"")</f>
        <v>46308.374305555553</v>
      </c>
      <c r="J8492" t="str">
        <f>IFERROR(INDEX(tProdutos[Classe],MATCH(tItens[[#This Row],[Produto]],tProdutos[Produto],0)),"produto não cadastrado")</f>
        <v>FILA REBASE</v>
      </c>
      <c r="K8492" s="12">
        <f>tItens[[#This Row],[Qtd]]*tItens[[#This Row],[Vlr unit]]</f>
        <v>0</v>
      </c>
      <c r="L8492" s="6">
        <f>IFERROR(IF(INDEX(tProdutos[Desconto homologado],MATCH(tItens[[#This Row],[Produto]],tProdutos[Produto],0))="",DescontoPadrao,INDEX(tProdutos[Desconto homologado],MATCH(tItens[[#This Row],[Produto]],tProdutos[Produto],0))),DescontoPadrao)</f>
        <v>0.32579365079365102</v>
      </c>
      <c r="M8492" s="12">
        <f>tItens[[#This Row],[Valor]]*(1-tItens[[#This Row],[Desconto]])</f>
        <v>0</v>
      </c>
      <c r="N8492" t="str">
        <f>IFERROR(INDEX(tProdutos[Foco],MATCH(tItens[[#This Row],[Produto]],tProdutos[Produto],0)),"Não")</f>
        <v>Não</v>
      </c>
      <c r="O8492" t="str">
        <f>IFERROR(INDEX(tEditais[SRP],MATCH(tItens[[#This Row],[Edital]],tEditais[Edital],0)),"Não")</f>
        <v>Sim</v>
      </c>
      <c r="P8492" s="4">
        <f>IF(COUNTIFS(INDEX(tItens[Edital],1):tItens[[#This Row],[Edital]],tItens[[#This Row],[Edital]],INDEX(tItens[Produto],1):tItens[[#This Row],[Produto]],tItens[[#This Row],[Produto]])=1,1,0)</f>
        <v>1</v>
      </c>
    </row>
    <row r="8493" spans="1:16" x14ac:dyDescent="0.25">
      <c r="A8493" t="s">
        <v>2839</v>
      </c>
      <c r="B8493">
        <v>109</v>
      </c>
      <c r="C8493" t="s">
        <v>10907</v>
      </c>
      <c r="D8493" t="s">
        <v>542</v>
      </c>
      <c r="E8493" s="13">
        <v>10</v>
      </c>
      <c r="F8493" s="12">
        <v>0</v>
      </c>
      <c r="G8493" t="str">
        <f>IFERROR(INDEX(tEditais[Órgão],MATCH(tItens[[#This Row],[Edital]],tEditais[Edital],0)),"")</f>
        <v>MUNICIPIO DE VALENTIM GENTIL</v>
      </c>
      <c r="H8493" t="str">
        <f>IFERROR(INDEX(tEditais[UF],MATCH(tItens[[#This Row],[Edital]],tEditais[Edital],0)),"")</f>
        <v>SP</v>
      </c>
      <c r="I8493" s="11">
        <f>IFERROR(INDEX(tEditais[Encerramento],MATCH(tItens[[#This Row],[Edital]],tEditais[Edital],0)),"")</f>
        <v>46308.374305555553</v>
      </c>
      <c r="J8493" t="str">
        <f>IFERROR(INDEX(tProdutos[Classe],MATCH(tItens[[#This Row],[Produto]],tProdutos[Produto],0)),"produto não cadastrado")</f>
        <v>FILA REBASE</v>
      </c>
      <c r="K8493" s="12">
        <f>tItens[[#This Row],[Qtd]]*tItens[[#This Row],[Vlr unit]]</f>
        <v>0</v>
      </c>
      <c r="L8493" s="6">
        <f>IFERROR(IF(INDEX(tProdutos[Desconto homologado],MATCH(tItens[[#This Row],[Produto]],tProdutos[Produto],0))="",DescontoPadrao,INDEX(tProdutos[Desconto homologado],MATCH(tItens[[#This Row],[Produto]],tProdutos[Produto],0))),DescontoPadrao)</f>
        <v>0.3</v>
      </c>
      <c r="M8493" s="12">
        <f>tItens[[#This Row],[Valor]]*(1-tItens[[#This Row],[Desconto]])</f>
        <v>0</v>
      </c>
      <c r="N8493" t="str">
        <f>IFERROR(INDEX(tProdutos[Foco],MATCH(tItens[[#This Row],[Produto]],tProdutos[Produto],0)),"Não")</f>
        <v>Não</v>
      </c>
      <c r="O8493" t="str">
        <f>IFERROR(INDEX(tEditais[SRP],MATCH(tItens[[#This Row],[Edital]],tEditais[Edital],0)),"Não")</f>
        <v>Sim</v>
      </c>
      <c r="P8493" s="4">
        <f>IF(COUNTIFS(INDEX(tItens[Edital],1):tItens[[#This Row],[Edital]],tItens[[#This Row],[Edital]],INDEX(tItens[Produto],1):tItens[[#This Row],[Produto]],tItens[[#This Row],[Produto]])=1,1,0)</f>
        <v>1</v>
      </c>
    </row>
    <row r="8494" spans="1:16" x14ac:dyDescent="0.25">
      <c r="A8494" t="s">
        <v>2839</v>
      </c>
      <c r="B8494">
        <v>113</v>
      </c>
      <c r="C8494" t="s">
        <v>10908</v>
      </c>
      <c r="D8494" t="s">
        <v>351</v>
      </c>
      <c r="E8494" s="13">
        <v>5000</v>
      </c>
      <c r="F8494" s="12">
        <v>0</v>
      </c>
      <c r="G8494" t="str">
        <f>IFERROR(INDEX(tEditais[Órgão],MATCH(tItens[[#This Row],[Edital]],tEditais[Edital],0)),"")</f>
        <v>MUNICIPIO DE VALENTIM GENTIL</v>
      </c>
      <c r="H8494" t="str">
        <f>IFERROR(INDEX(tEditais[UF],MATCH(tItens[[#This Row],[Edital]],tEditais[Edital],0)),"")</f>
        <v>SP</v>
      </c>
      <c r="I8494" s="11">
        <f>IFERROR(INDEX(tEditais[Encerramento],MATCH(tItens[[#This Row],[Edital]],tEditais[Edital],0)),"")</f>
        <v>46308.374305555553</v>
      </c>
      <c r="J8494" t="str">
        <f>IFERROR(INDEX(tProdutos[Classe],MATCH(tItens[[#This Row],[Produto]],tProdutos[Produto],0)),"produto não cadastrado")</f>
        <v>FORA</v>
      </c>
      <c r="K8494" s="12">
        <f>tItens[[#This Row],[Qtd]]*tItens[[#This Row],[Vlr unit]]</f>
        <v>0</v>
      </c>
      <c r="L8494" s="6">
        <f>IFERROR(IF(INDEX(tProdutos[Desconto homologado],MATCH(tItens[[#This Row],[Produto]],tProdutos[Produto],0))="",DescontoPadrao,INDEX(tProdutos[Desconto homologado],MATCH(tItens[[#This Row],[Produto]],tProdutos[Produto],0))),DescontoPadrao)</f>
        <v>0.33518005540166201</v>
      </c>
      <c r="M8494" s="12">
        <f>tItens[[#This Row],[Valor]]*(1-tItens[[#This Row],[Desconto]])</f>
        <v>0</v>
      </c>
      <c r="N8494" t="str">
        <f>IFERROR(INDEX(tProdutos[Foco],MATCH(tItens[[#This Row],[Produto]],tProdutos[Produto],0)),"Não")</f>
        <v>Não</v>
      </c>
      <c r="O8494" t="str">
        <f>IFERROR(INDEX(tEditais[SRP],MATCH(tItens[[#This Row],[Edital]],tEditais[Edital],0)),"Não")</f>
        <v>Sim</v>
      </c>
      <c r="P8494" s="4">
        <f>IF(COUNTIFS(INDEX(tItens[Edital],1):tItens[[#This Row],[Edital]],tItens[[#This Row],[Edital]],INDEX(tItens[Produto],1):tItens[[#This Row],[Produto]],tItens[[#This Row],[Produto]])=1,1,0)</f>
        <v>1</v>
      </c>
    </row>
    <row r="8495" spans="1:16" x14ac:dyDescent="0.25">
      <c r="A8495" t="s">
        <v>2839</v>
      </c>
      <c r="B8495">
        <v>114</v>
      </c>
      <c r="C8495" t="s">
        <v>10909</v>
      </c>
      <c r="D8495" t="s">
        <v>164</v>
      </c>
      <c r="E8495" s="13">
        <v>100</v>
      </c>
      <c r="F8495" s="12">
        <v>0</v>
      </c>
      <c r="G8495" t="str">
        <f>IFERROR(INDEX(tEditais[Órgão],MATCH(tItens[[#This Row],[Edital]],tEditais[Edital],0)),"")</f>
        <v>MUNICIPIO DE VALENTIM GENTIL</v>
      </c>
      <c r="H8495" t="str">
        <f>IFERROR(INDEX(tEditais[UF],MATCH(tItens[[#This Row],[Edital]],tEditais[Edital],0)),"")</f>
        <v>SP</v>
      </c>
      <c r="I8495" s="11">
        <f>IFERROR(INDEX(tEditais[Encerramento],MATCH(tItens[[#This Row],[Edital]],tEditais[Edital],0)),"")</f>
        <v>46308.374305555553</v>
      </c>
      <c r="J8495" t="str">
        <f>IFERROR(INDEX(tProdutos[Classe],MATCH(tItens[[#This Row],[Produto]],tProdutos[Produto],0)),"produto não cadastrado")</f>
        <v>DISPUTADO</v>
      </c>
      <c r="K8495" s="12">
        <f>tItens[[#This Row],[Qtd]]*tItens[[#This Row],[Vlr unit]]</f>
        <v>0</v>
      </c>
      <c r="L8495" s="6">
        <f>IFERROR(IF(INDEX(tProdutos[Desconto homologado],MATCH(tItens[[#This Row],[Produto]],tProdutos[Produto],0))="",DescontoPadrao,INDEX(tProdutos[Desconto homologado],MATCH(tItens[[#This Row],[Produto]],tProdutos[Produto],0))),DescontoPadrao)</f>
        <v>0.445300462249615</v>
      </c>
      <c r="M8495" s="12">
        <f>tItens[[#This Row],[Valor]]*(1-tItens[[#This Row],[Desconto]])</f>
        <v>0</v>
      </c>
      <c r="N8495" t="str">
        <f>IFERROR(INDEX(tProdutos[Foco],MATCH(tItens[[#This Row],[Produto]],tProdutos[Produto],0)),"Não")</f>
        <v>Não</v>
      </c>
      <c r="O8495" t="str">
        <f>IFERROR(INDEX(tEditais[SRP],MATCH(tItens[[#This Row],[Edital]],tEditais[Edital],0)),"Não")</f>
        <v>Sim</v>
      </c>
      <c r="P8495" s="4">
        <f>IF(COUNTIFS(INDEX(tItens[Edital],1):tItens[[#This Row],[Edital]],tItens[[#This Row],[Edital]],INDEX(tItens[Produto],1):tItens[[#This Row],[Produto]],tItens[[#This Row],[Produto]])=1,1,0)</f>
        <v>1</v>
      </c>
    </row>
    <row r="8496" spans="1:16" x14ac:dyDescent="0.25">
      <c r="A8496" t="s">
        <v>2839</v>
      </c>
      <c r="B8496">
        <v>115</v>
      </c>
      <c r="C8496" t="s">
        <v>10910</v>
      </c>
      <c r="D8496" t="s">
        <v>164</v>
      </c>
      <c r="E8496" s="13">
        <v>100</v>
      </c>
      <c r="F8496" s="12">
        <v>0</v>
      </c>
      <c r="G8496" t="str">
        <f>IFERROR(INDEX(tEditais[Órgão],MATCH(tItens[[#This Row],[Edital]],tEditais[Edital],0)),"")</f>
        <v>MUNICIPIO DE VALENTIM GENTIL</v>
      </c>
      <c r="H8496" t="str">
        <f>IFERROR(INDEX(tEditais[UF],MATCH(tItens[[#This Row],[Edital]],tEditais[Edital],0)),"")</f>
        <v>SP</v>
      </c>
      <c r="I8496" s="11">
        <f>IFERROR(INDEX(tEditais[Encerramento],MATCH(tItens[[#This Row],[Edital]],tEditais[Edital],0)),"")</f>
        <v>46308.374305555553</v>
      </c>
      <c r="J8496" t="str">
        <f>IFERROR(INDEX(tProdutos[Classe],MATCH(tItens[[#This Row],[Produto]],tProdutos[Produto],0)),"produto não cadastrado")</f>
        <v>DISPUTADO</v>
      </c>
      <c r="K8496" s="12">
        <f>tItens[[#This Row],[Qtd]]*tItens[[#This Row],[Vlr unit]]</f>
        <v>0</v>
      </c>
      <c r="L8496" s="6">
        <f>IFERROR(IF(INDEX(tProdutos[Desconto homologado],MATCH(tItens[[#This Row],[Produto]],tProdutos[Produto],0))="",DescontoPadrao,INDEX(tProdutos[Desconto homologado],MATCH(tItens[[#This Row],[Produto]],tProdutos[Produto],0))),DescontoPadrao)</f>
        <v>0.445300462249615</v>
      </c>
      <c r="M8496" s="12">
        <f>tItens[[#This Row],[Valor]]*(1-tItens[[#This Row],[Desconto]])</f>
        <v>0</v>
      </c>
      <c r="N8496" t="str">
        <f>IFERROR(INDEX(tProdutos[Foco],MATCH(tItens[[#This Row],[Produto]],tProdutos[Produto],0)),"Não")</f>
        <v>Não</v>
      </c>
      <c r="O8496" t="str">
        <f>IFERROR(INDEX(tEditais[SRP],MATCH(tItens[[#This Row],[Edital]],tEditais[Edital],0)),"Não")</f>
        <v>Sim</v>
      </c>
      <c r="P8496" s="4">
        <f>IF(COUNTIFS(INDEX(tItens[Edital],1):tItens[[#This Row],[Edital]],tItens[[#This Row],[Edital]],INDEX(tItens[Produto],1):tItens[[#This Row],[Produto]],tItens[[#This Row],[Produto]])=1,1,0)</f>
        <v>0</v>
      </c>
    </row>
    <row r="8497" spans="1:16" x14ac:dyDescent="0.25">
      <c r="A8497" t="s">
        <v>2839</v>
      </c>
      <c r="B8497">
        <v>118</v>
      </c>
      <c r="C8497" t="s">
        <v>10911</v>
      </c>
      <c r="D8497" t="s">
        <v>341</v>
      </c>
      <c r="E8497" s="13">
        <v>1000</v>
      </c>
      <c r="F8497" s="12">
        <v>0</v>
      </c>
      <c r="G8497" t="str">
        <f>IFERROR(INDEX(tEditais[Órgão],MATCH(tItens[[#This Row],[Edital]],tEditais[Edital],0)),"")</f>
        <v>MUNICIPIO DE VALENTIM GENTIL</v>
      </c>
      <c r="H8497" t="str">
        <f>IFERROR(INDEX(tEditais[UF],MATCH(tItens[[#This Row],[Edital]],tEditais[Edital],0)),"")</f>
        <v>SP</v>
      </c>
      <c r="I8497" s="11">
        <f>IFERROR(INDEX(tEditais[Encerramento],MATCH(tItens[[#This Row],[Edital]],tEditais[Edital],0)),"")</f>
        <v>46308.374305555553</v>
      </c>
      <c r="J8497" t="str">
        <f>IFERROR(INDEX(tProdutos[Classe],MATCH(tItens[[#This Row],[Produto]],tProdutos[Produto],0)),"produto não cadastrado")</f>
        <v>FORA</v>
      </c>
      <c r="K8497" s="12">
        <f>tItens[[#This Row],[Qtd]]*tItens[[#This Row],[Vlr unit]]</f>
        <v>0</v>
      </c>
      <c r="L8497" s="6">
        <f>IFERROR(IF(INDEX(tProdutos[Desconto homologado],MATCH(tItens[[#This Row],[Produto]],tProdutos[Produto],0))="",DescontoPadrao,INDEX(tProdutos[Desconto homologado],MATCH(tItens[[#This Row],[Produto]],tProdutos[Produto],0))),DescontoPadrao)</f>
        <v>0.46918578497525898</v>
      </c>
      <c r="M8497" s="12">
        <f>tItens[[#This Row],[Valor]]*(1-tItens[[#This Row],[Desconto]])</f>
        <v>0</v>
      </c>
      <c r="N8497" t="str">
        <f>IFERROR(INDEX(tProdutos[Foco],MATCH(tItens[[#This Row],[Produto]],tProdutos[Produto],0)),"Não")</f>
        <v>Não</v>
      </c>
      <c r="O8497" t="str">
        <f>IFERROR(INDEX(tEditais[SRP],MATCH(tItens[[#This Row],[Edital]],tEditais[Edital],0)),"Não")</f>
        <v>Sim</v>
      </c>
      <c r="P8497" s="4">
        <f>IF(COUNTIFS(INDEX(tItens[Edital],1):tItens[[#This Row],[Edital]],tItens[[#This Row],[Edital]],INDEX(tItens[Produto],1):tItens[[#This Row],[Produto]],tItens[[#This Row],[Produto]])=1,1,0)</f>
        <v>1</v>
      </c>
    </row>
    <row r="8498" spans="1:16" x14ac:dyDescent="0.25">
      <c r="A8498" t="s">
        <v>2839</v>
      </c>
      <c r="B8498">
        <v>130</v>
      </c>
      <c r="C8498" t="s">
        <v>10912</v>
      </c>
      <c r="D8498" t="s">
        <v>249</v>
      </c>
      <c r="E8498" s="13">
        <v>50</v>
      </c>
      <c r="F8498" s="12">
        <v>0</v>
      </c>
      <c r="G8498" t="str">
        <f>IFERROR(INDEX(tEditais[Órgão],MATCH(tItens[[#This Row],[Edital]],tEditais[Edital],0)),"")</f>
        <v>MUNICIPIO DE VALENTIM GENTIL</v>
      </c>
      <c r="H8498" t="str">
        <f>IFERROR(INDEX(tEditais[UF],MATCH(tItens[[#This Row],[Edital]],tEditais[Edital],0)),"")</f>
        <v>SP</v>
      </c>
      <c r="I8498" s="11">
        <f>IFERROR(INDEX(tEditais[Encerramento],MATCH(tItens[[#This Row],[Edital]],tEditais[Edital],0)),"")</f>
        <v>46308.374305555553</v>
      </c>
      <c r="J8498" t="str">
        <f>IFERROR(INDEX(tProdutos[Classe],MATCH(tItens[[#This Row],[Produto]],tProdutos[Produto],0)),"produto não cadastrado")</f>
        <v>FORA</v>
      </c>
      <c r="K8498" s="12">
        <f>tItens[[#This Row],[Qtd]]*tItens[[#This Row],[Vlr unit]]</f>
        <v>0</v>
      </c>
      <c r="L8498" s="6">
        <f>IFERROR(IF(INDEX(tProdutos[Desconto homologado],MATCH(tItens[[#This Row],[Produto]],tProdutos[Produto],0))="",DescontoPadrao,INDEX(tProdutos[Desconto homologado],MATCH(tItens[[#This Row],[Produto]],tProdutos[Produto],0))),DescontoPadrao)</f>
        <v>0.45399945399945402</v>
      </c>
      <c r="M8498" s="12">
        <f>tItens[[#This Row],[Valor]]*(1-tItens[[#This Row],[Desconto]])</f>
        <v>0</v>
      </c>
      <c r="N8498" t="str">
        <f>IFERROR(INDEX(tProdutos[Foco],MATCH(tItens[[#This Row],[Produto]],tProdutos[Produto],0)),"Não")</f>
        <v>Não</v>
      </c>
      <c r="O8498" t="str">
        <f>IFERROR(INDEX(tEditais[SRP],MATCH(tItens[[#This Row],[Edital]],tEditais[Edital],0)),"Não")</f>
        <v>Sim</v>
      </c>
      <c r="P8498" s="4">
        <f>IF(COUNTIFS(INDEX(tItens[Edital],1):tItens[[#This Row],[Edital]],tItens[[#This Row],[Edital]],INDEX(tItens[Produto],1):tItens[[#This Row],[Produto]],tItens[[#This Row],[Produto]])=1,1,0)</f>
        <v>1</v>
      </c>
    </row>
    <row r="8499" spans="1:16" x14ac:dyDescent="0.25">
      <c r="A8499" t="s">
        <v>2839</v>
      </c>
      <c r="B8499">
        <v>137</v>
      </c>
      <c r="C8499" t="s">
        <v>10913</v>
      </c>
      <c r="D8499" t="s">
        <v>64</v>
      </c>
      <c r="E8499" s="13">
        <v>5000</v>
      </c>
      <c r="F8499" s="12">
        <v>0</v>
      </c>
      <c r="G8499" t="str">
        <f>IFERROR(INDEX(tEditais[Órgão],MATCH(tItens[[#This Row],[Edital]],tEditais[Edital],0)),"")</f>
        <v>MUNICIPIO DE VALENTIM GENTIL</v>
      </c>
      <c r="H8499" t="str">
        <f>IFERROR(INDEX(tEditais[UF],MATCH(tItens[[#This Row],[Edital]],tEditais[Edital],0)),"")</f>
        <v>SP</v>
      </c>
      <c r="I8499" s="11">
        <f>IFERROR(INDEX(tEditais[Encerramento],MATCH(tItens[[#This Row],[Edital]],tEditais[Edital],0)),"")</f>
        <v>46308.374305555553</v>
      </c>
      <c r="J8499" t="str">
        <f>IFERROR(INDEX(tProdutos[Classe],MATCH(tItens[[#This Row],[Produto]],tProdutos[Produto],0)),"produto não cadastrado")</f>
        <v>NÚCLEO</v>
      </c>
      <c r="K8499" s="12">
        <f>tItens[[#This Row],[Qtd]]*tItens[[#This Row],[Vlr unit]]</f>
        <v>0</v>
      </c>
      <c r="L8499" s="6">
        <f>IFERROR(IF(INDEX(tProdutos[Desconto homologado],MATCH(tItens[[#This Row],[Produto]],tProdutos[Produto],0))="",DescontoPadrao,INDEX(tProdutos[Desconto homologado],MATCH(tItens[[#This Row],[Produto]],tProdutos[Produto],0))),DescontoPadrao)</f>
        <v>0.28197166699010301</v>
      </c>
      <c r="M8499" s="12">
        <f>tItens[[#This Row],[Valor]]*(1-tItens[[#This Row],[Desconto]])</f>
        <v>0</v>
      </c>
      <c r="N8499" t="str">
        <f>IFERROR(INDEX(tProdutos[Foco],MATCH(tItens[[#This Row],[Produto]],tProdutos[Produto],0)),"Não")</f>
        <v>Não</v>
      </c>
      <c r="O8499" t="str">
        <f>IFERROR(INDEX(tEditais[SRP],MATCH(tItens[[#This Row],[Edital]],tEditais[Edital],0)),"Não")</f>
        <v>Sim</v>
      </c>
      <c r="P8499" s="4">
        <f>IF(COUNTIFS(INDEX(tItens[Edital],1):tItens[[#This Row],[Edital]],tItens[[#This Row],[Edital]],INDEX(tItens[Produto],1):tItens[[#This Row],[Produto]],tItens[[#This Row],[Produto]])=1,1,0)</f>
        <v>1</v>
      </c>
    </row>
    <row r="8500" spans="1:16" x14ac:dyDescent="0.25">
      <c r="A8500" t="s">
        <v>2843</v>
      </c>
      <c r="B8500">
        <v>7</v>
      </c>
      <c r="C8500" t="s">
        <v>10914</v>
      </c>
      <c r="D8500" t="s">
        <v>347</v>
      </c>
      <c r="E8500" s="13">
        <v>1600</v>
      </c>
      <c r="F8500" s="12">
        <v>0</v>
      </c>
      <c r="G8500" t="str">
        <f>IFERROR(INDEX(tEditais[Órgão],MATCH(tItens[[#This Row],[Edital]],tEditais[Edital],0)),"")</f>
        <v>HOSPITAL DAS CLINICAS DA FACULDADE DE MEDICINA DE BOTUCATU</v>
      </c>
      <c r="H8500" t="str">
        <f>IFERROR(INDEX(tEditais[UF],MATCH(tItens[[#This Row],[Edital]],tEditais[Edital],0)),"")</f>
        <v>SP</v>
      </c>
      <c r="I8500" s="11">
        <f>IFERROR(INDEX(tEditais[Encerramento],MATCH(tItens[[#This Row],[Edital]],tEditais[Edital],0)),"")</f>
        <v>46308.375</v>
      </c>
      <c r="J8500" t="str">
        <f>IFERROR(INDEX(tProdutos[Classe],MATCH(tItens[[#This Row],[Produto]],tProdutos[Produto],0)),"produto não cadastrado")</f>
        <v>FORA</v>
      </c>
      <c r="K8500" s="12">
        <f>tItens[[#This Row],[Qtd]]*tItens[[#This Row],[Vlr unit]]</f>
        <v>0</v>
      </c>
      <c r="L8500" s="6">
        <f>IFERROR(IF(INDEX(tProdutos[Desconto homologado],MATCH(tItens[[#This Row],[Produto]],tProdutos[Produto],0))="",DescontoPadrao,INDEX(tProdutos[Desconto homologado],MATCH(tItens[[#This Row],[Produto]],tProdutos[Produto],0))),DescontoPadrao)</f>
        <v>0.26356465005931201</v>
      </c>
      <c r="M8500" s="12">
        <f>tItens[[#This Row],[Valor]]*(1-tItens[[#This Row],[Desconto]])</f>
        <v>0</v>
      </c>
      <c r="N8500" t="str">
        <f>IFERROR(INDEX(tProdutos[Foco],MATCH(tItens[[#This Row],[Produto]],tProdutos[Produto],0)),"Não")</f>
        <v>Não</v>
      </c>
      <c r="O8500" t="str">
        <f>IFERROR(INDEX(tEditais[SRP],MATCH(tItens[[#This Row],[Edital]],tEditais[Edital],0)),"Não")</f>
        <v>Não</v>
      </c>
      <c r="P8500" s="4">
        <f>IF(COUNTIFS(INDEX(tItens[Edital],1):tItens[[#This Row],[Edital]],tItens[[#This Row],[Edital]],INDEX(tItens[Produto],1):tItens[[#This Row],[Produto]],tItens[[#This Row],[Produto]])=1,1,0)</f>
        <v>1</v>
      </c>
    </row>
    <row r="8501" spans="1:16" x14ac:dyDescent="0.25">
      <c r="A8501" t="s">
        <v>2843</v>
      </c>
      <c r="B8501">
        <v>8</v>
      </c>
      <c r="C8501" t="s">
        <v>10915</v>
      </c>
      <c r="D8501" t="s">
        <v>333</v>
      </c>
      <c r="E8501" s="13">
        <v>300</v>
      </c>
      <c r="F8501" s="12">
        <v>0</v>
      </c>
      <c r="G8501" t="str">
        <f>IFERROR(INDEX(tEditais[Órgão],MATCH(tItens[[#This Row],[Edital]],tEditais[Edital],0)),"")</f>
        <v>HOSPITAL DAS CLINICAS DA FACULDADE DE MEDICINA DE BOTUCATU</v>
      </c>
      <c r="H8501" t="str">
        <f>IFERROR(INDEX(tEditais[UF],MATCH(tItens[[#This Row],[Edital]],tEditais[Edital],0)),"")</f>
        <v>SP</v>
      </c>
      <c r="I8501" s="11">
        <f>IFERROR(INDEX(tEditais[Encerramento],MATCH(tItens[[#This Row],[Edital]],tEditais[Edital],0)),"")</f>
        <v>46308.375</v>
      </c>
      <c r="J8501" t="str">
        <f>IFERROR(INDEX(tProdutos[Classe],MATCH(tItens[[#This Row],[Produto]],tProdutos[Produto],0)),"produto não cadastrado")</f>
        <v>FORA</v>
      </c>
      <c r="K8501" s="12">
        <f>tItens[[#This Row],[Qtd]]*tItens[[#This Row],[Vlr unit]]</f>
        <v>0</v>
      </c>
      <c r="L8501" s="6">
        <f>IFERROR(IF(INDEX(tProdutos[Desconto homologado],MATCH(tItens[[#This Row],[Produto]],tProdutos[Produto],0))="",DescontoPadrao,INDEX(tProdutos[Desconto homologado],MATCH(tItens[[#This Row],[Produto]],tProdutos[Produto],0))),DescontoPadrao)</f>
        <v>0.48951048951048998</v>
      </c>
      <c r="M8501" s="12">
        <f>tItens[[#This Row],[Valor]]*(1-tItens[[#This Row],[Desconto]])</f>
        <v>0</v>
      </c>
      <c r="N8501" t="str">
        <f>IFERROR(INDEX(tProdutos[Foco],MATCH(tItens[[#This Row],[Produto]],tProdutos[Produto],0)),"Não")</f>
        <v>Não</v>
      </c>
      <c r="O8501" t="str">
        <f>IFERROR(INDEX(tEditais[SRP],MATCH(tItens[[#This Row],[Edital]],tEditais[Edital],0)),"Não")</f>
        <v>Não</v>
      </c>
      <c r="P8501" s="4">
        <f>IF(COUNTIFS(INDEX(tItens[Edital],1):tItens[[#This Row],[Edital]],tItens[[#This Row],[Edital]],INDEX(tItens[Produto],1):tItens[[#This Row],[Produto]],tItens[[#This Row],[Produto]])=1,1,0)</f>
        <v>1</v>
      </c>
    </row>
    <row r="8502" spans="1:16" x14ac:dyDescent="0.25">
      <c r="A8502" t="s">
        <v>2848</v>
      </c>
      <c r="B8502">
        <v>1</v>
      </c>
      <c r="C8502" t="s">
        <v>10916</v>
      </c>
      <c r="D8502" t="s">
        <v>375</v>
      </c>
      <c r="E8502" s="13">
        <v>2400</v>
      </c>
      <c r="F8502" s="12">
        <v>0</v>
      </c>
      <c r="G8502" t="str">
        <f>IFERROR(INDEX(tEditais[Órgão],MATCH(tItens[[#This Row],[Edital]],tEditais[Edital],0)),"")</f>
        <v>HOSPITAL DAS CLINICAS DA FACULDADE DE MEDICINA DE MARILIA - HCFAMEMA</v>
      </c>
      <c r="H8502" t="str">
        <f>IFERROR(INDEX(tEditais[UF],MATCH(tItens[[#This Row],[Edital]],tEditais[Edital],0)),"")</f>
        <v>SP</v>
      </c>
      <c r="I8502" s="11">
        <f>IFERROR(INDEX(tEditais[Encerramento],MATCH(tItens[[#This Row],[Edital]],tEditais[Edital],0)),"")</f>
        <v>46308.375</v>
      </c>
      <c r="J8502" t="str">
        <f>IFERROR(INDEX(tProdutos[Classe],MATCH(tItens[[#This Row],[Produto]],tProdutos[Produto],0)),"produto não cadastrado")</f>
        <v>FORA</v>
      </c>
      <c r="K8502" s="12">
        <f>tItens[[#This Row],[Qtd]]*tItens[[#This Row],[Vlr unit]]</f>
        <v>0</v>
      </c>
      <c r="L8502" s="6">
        <f>IFERROR(IF(INDEX(tProdutos[Desconto homologado],MATCH(tItens[[#This Row],[Produto]],tProdutos[Produto],0))="",DescontoPadrao,INDEX(tProdutos[Desconto homologado],MATCH(tItens[[#This Row],[Produto]],tProdutos[Produto],0))),DescontoPadrao)</f>
        <v>0.25005895299481201</v>
      </c>
      <c r="M8502" s="12">
        <f>tItens[[#This Row],[Valor]]*(1-tItens[[#This Row],[Desconto]])</f>
        <v>0</v>
      </c>
      <c r="N8502" t="str">
        <f>IFERROR(INDEX(tProdutos[Foco],MATCH(tItens[[#This Row],[Produto]],tProdutos[Produto],0)),"Não")</f>
        <v>Não</v>
      </c>
      <c r="O8502" t="str">
        <f>IFERROR(INDEX(tEditais[SRP],MATCH(tItens[[#This Row],[Edital]],tEditais[Edital],0)),"Não")</f>
        <v>Não</v>
      </c>
      <c r="P8502" s="4">
        <f>IF(COUNTIFS(INDEX(tItens[Edital],1):tItens[[#This Row],[Edital]],tItens[[#This Row],[Edital]],INDEX(tItens[Produto],1):tItens[[#This Row],[Produto]],tItens[[#This Row],[Produto]])=1,1,0)</f>
        <v>1</v>
      </c>
    </row>
    <row r="8503" spans="1:16" x14ac:dyDescent="0.25">
      <c r="A8503" t="s">
        <v>2848</v>
      </c>
      <c r="B8503">
        <v>2</v>
      </c>
      <c r="C8503" t="s">
        <v>10917</v>
      </c>
      <c r="D8503" t="s">
        <v>375</v>
      </c>
      <c r="E8503" s="13">
        <v>8250</v>
      </c>
      <c r="F8503" s="12">
        <v>0</v>
      </c>
      <c r="G8503" t="str">
        <f>IFERROR(INDEX(tEditais[Órgão],MATCH(tItens[[#This Row],[Edital]],tEditais[Edital],0)),"")</f>
        <v>HOSPITAL DAS CLINICAS DA FACULDADE DE MEDICINA DE MARILIA - HCFAMEMA</v>
      </c>
      <c r="H8503" t="str">
        <f>IFERROR(INDEX(tEditais[UF],MATCH(tItens[[#This Row],[Edital]],tEditais[Edital],0)),"")</f>
        <v>SP</v>
      </c>
      <c r="I8503" s="11">
        <f>IFERROR(INDEX(tEditais[Encerramento],MATCH(tItens[[#This Row],[Edital]],tEditais[Edital],0)),"")</f>
        <v>46308.375</v>
      </c>
      <c r="J8503" t="str">
        <f>IFERROR(INDEX(tProdutos[Classe],MATCH(tItens[[#This Row],[Produto]],tProdutos[Produto],0)),"produto não cadastrado")</f>
        <v>FORA</v>
      </c>
      <c r="K8503" s="12">
        <f>tItens[[#This Row],[Qtd]]*tItens[[#This Row],[Vlr unit]]</f>
        <v>0</v>
      </c>
      <c r="L8503" s="6">
        <f>IFERROR(IF(INDEX(tProdutos[Desconto homologado],MATCH(tItens[[#This Row],[Produto]],tProdutos[Produto],0))="",DescontoPadrao,INDEX(tProdutos[Desconto homologado],MATCH(tItens[[#This Row],[Produto]],tProdutos[Produto],0))),DescontoPadrao)</f>
        <v>0.25005895299481201</v>
      </c>
      <c r="M8503" s="12">
        <f>tItens[[#This Row],[Valor]]*(1-tItens[[#This Row],[Desconto]])</f>
        <v>0</v>
      </c>
      <c r="N8503" t="str">
        <f>IFERROR(INDEX(tProdutos[Foco],MATCH(tItens[[#This Row],[Produto]],tProdutos[Produto],0)),"Não")</f>
        <v>Não</v>
      </c>
      <c r="O8503" t="str">
        <f>IFERROR(INDEX(tEditais[SRP],MATCH(tItens[[#This Row],[Edital]],tEditais[Edital],0)),"Não")</f>
        <v>Não</v>
      </c>
      <c r="P8503" s="4">
        <f>IF(COUNTIFS(INDEX(tItens[Edital],1):tItens[[#This Row],[Edital]],tItens[[#This Row],[Edital]],INDEX(tItens[Produto],1):tItens[[#This Row],[Produto]],tItens[[#This Row],[Produto]])=1,1,0)</f>
        <v>0</v>
      </c>
    </row>
    <row r="8504" spans="1:16" x14ac:dyDescent="0.25">
      <c r="A8504" t="s">
        <v>2848</v>
      </c>
      <c r="B8504">
        <v>3</v>
      </c>
      <c r="C8504" t="s">
        <v>10917</v>
      </c>
      <c r="D8504" t="s">
        <v>375</v>
      </c>
      <c r="E8504" s="13">
        <v>750</v>
      </c>
      <c r="F8504" s="12">
        <v>0</v>
      </c>
      <c r="G8504" t="str">
        <f>IFERROR(INDEX(tEditais[Órgão],MATCH(tItens[[#This Row],[Edital]],tEditais[Edital],0)),"")</f>
        <v>HOSPITAL DAS CLINICAS DA FACULDADE DE MEDICINA DE MARILIA - HCFAMEMA</v>
      </c>
      <c r="H8504" t="str">
        <f>IFERROR(INDEX(tEditais[UF],MATCH(tItens[[#This Row],[Edital]],tEditais[Edital],0)),"")</f>
        <v>SP</v>
      </c>
      <c r="I8504" s="11">
        <f>IFERROR(INDEX(tEditais[Encerramento],MATCH(tItens[[#This Row],[Edital]],tEditais[Edital],0)),"")</f>
        <v>46308.375</v>
      </c>
      <c r="J8504" t="str">
        <f>IFERROR(INDEX(tProdutos[Classe],MATCH(tItens[[#This Row],[Produto]],tProdutos[Produto],0)),"produto não cadastrado")</f>
        <v>FORA</v>
      </c>
      <c r="K8504" s="12">
        <f>tItens[[#This Row],[Qtd]]*tItens[[#This Row],[Vlr unit]]</f>
        <v>0</v>
      </c>
      <c r="L8504" s="6">
        <f>IFERROR(IF(INDEX(tProdutos[Desconto homologado],MATCH(tItens[[#This Row],[Produto]],tProdutos[Produto],0))="",DescontoPadrao,INDEX(tProdutos[Desconto homologado],MATCH(tItens[[#This Row],[Produto]],tProdutos[Produto],0))),DescontoPadrao)</f>
        <v>0.25005895299481201</v>
      </c>
      <c r="M8504" s="12">
        <f>tItens[[#This Row],[Valor]]*(1-tItens[[#This Row],[Desconto]])</f>
        <v>0</v>
      </c>
      <c r="N8504" t="str">
        <f>IFERROR(INDEX(tProdutos[Foco],MATCH(tItens[[#This Row],[Produto]],tProdutos[Produto],0)),"Não")</f>
        <v>Não</v>
      </c>
      <c r="O8504" t="str">
        <f>IFERROR(INDEX(tEditais[SRP],MATCH(tItens[[#This Row],[Edital]],tEditais[Edital],0)),"Não")</f>
        <v>Não</v>
      </c>
      <c r="P8504" s="4">
        <f>IF(COUNTIFS(INDEX(tItens[Edital],1):tItens[[#This Row],[Edital]],tItens[[#This Row],[Edital]],INDEX(tItens[Produto],1):tItens[[#This Row],[Produto]],tItens[[#This Row],[Produto]])=1,1,0)</f>
        <v>0</v>
      </c>
    </row>
    <row r="8505" spans="1:16" x14ac:dyDescent="0.25">
      <c r="A8505" t="s">
        <v>2848</v>
      </c>
      <c r="B8505">
        <v>4</v>
      </c>
      <c r="C8505" t="s">
        <v>10918</v>
      </c>
      <c r="D8505" t="s">
        <v>375</v>
      </c>
      <c r="E8505" s="13">
        <v>360</v>
      </c>
      <c r="F8505" s="12">
        <v>0</v>
      </c>
      <c r="G8505" t="str">
        <f>IFERROR(INDEX(tEditais[Órgão],MATCH(tItens[[#This Row],[Edital]],tEditais[Edital],0)),"")</f>
        <v>HOSPITAL DAS CLINICAS DA FACULDADE DE MEDICINA DE MARILIA - HCFAMEMA</v>
      </c>
      <c r="H8505" t="str">
        <f>IFERROR(INDEX(tEditais[UF],MATCH(tItens[[#This Row],[Edital]],tEditais[Edital],0)),"")</f>
        <v>SP</v>
      </c>
      <c r="I8505" s="11">
        <f>IFERROR(INDEX(tEditais[Encerramento],MATCH(tItens[[#This Row],[Edital]],tEditais[Edital],0)),"")</f>
        <v>46308.375</v>
      </c>
      <c r="J8505" t="str">
        <f>IFERROR(INDEX(tProdutos[Classe],MATCH(tItens[[#This Row],[Produto]],tProdutos[Produto],0)),"produto não cadastrado")</f>
        <v>FORA</v>
      </c>
      <c r="K8505" s="12">
        <f>tItens[[#This Row],[Qtd]]*tItens[[#This Row],[Vlr unit]]</f>
        <v>0</v>
      </c>
      <c r="L8505" s="6">
        <f>IFERROR(IF(INDEX(tProdutos[Desconto homologado],MATCH(tItens[[#This Row],[Produto]],tProdutos[Produto],0))="",DescontoPadrao,INDEX(tProdutos[Desconto homologado],MATCH(tItens[[#This Row],[Produto]],tProdutos[Produto],0))),DescontoPadrao)</f>
        <v>0.25005895299481201</v>
      </c>
      <c r="M8505" s="12">
        <f>tItens[[#This Row],[Valor]]*(1-tItens[[#This Row],[Desconto]])</f>
        <v>0</v>
      </c>
      <c r="N8505" t="str">
        <f>IFERROR(INDEX(tProdutos[Foco],MATCH(tItens[[#This Row],[Produto]],tProdutos[Produto],0)),"Não")</f>
        <v>Não</v>
      </c>
      <c r="O8505" t="str">
        <f>IFERROR(INDEX(tEditais[SRP],MATCH(tItens[[#This Row],[Edital]],tEditais[Edital],0)),"Não")</f>
        <v>Não</v>
      </c>
      <c r="P8505" s="4">
        <f>IF(COUNTIFS(INDEX(tItens[Edital],1):tItens[[#This Row],[Edital]],tItens[[#This Row],[Edital]],INDEX(tItens[Produto],1):tItens[[#This Row],[Produto]],tItens[[#This Row],[Produto]])=1,1,0)</f>
        <v>0</v>
      </c>
    </row>
    <row r="8506" spans="1:16" x14ac:dyDescent="0.25">
      <c r="A8506" t="s">
        <v>2848</v>
      </c>
      <c r="B8506">
        <v>5</v>
      </c>
      <c r="C8506" t="s">
        <v>10919</v>
      </c>
      <c r="D8506" t="s">
        <v>375</v>
      </c>
      <c r="E8506" s="13">
        <v>360</v>
      </c>
      <c r="F8506" s="12">
        <v>0</v>
      </c>
      <c r="G8506" t="str">
        <f>IFERROR(INDEX(tEditais[Órgão],MATCH(tItens[[#This Row],[Edital]],tEditais[Edital],0)),"")</f>
        <v>HOSPITAL DAS CLINICAS DA FACULDADE DE MEDICINA DE MARILIA - HCFAMEMA</v>
      </c>
      <c r="H8506" t="str">
        <f>IFERROR(INDEX(tEditais[UF],MATCH(tItens[[#This Row],[Edital]],tEditais[Edital],0)),"")</f>
        <v>SP</v>
      </c>
      <c r="I8506" s="11">
        <f>IFERROR(INDEX(tEditais[Encerramento],MATCH(tItens[[#This Row],[Edital]],tEditais[Edital],0)),"")</f>
        <v>46308.375</v>
      </c>
      <c r="J8506" t="str">
        <f>IFERROR(INDEX(tProdutos[Classe],MATCH(tItens[[#This Row],[Produto]],tProdutos[Produto],0)),"produto não cadastrado")</f>
        <v>FORA</v>
      </c>
      <c r="K8506" s="12">
        <f>tItens[[#This Row],[Qtd]]*tItens[[#This Row],[Vlr unit]]</f>
        <v>0</v>
      </c>
      <c r="L8506" s="6">
        <f>IFERROR(IF(INDEX(tProdutos[Desconto homologado],MATCH(tItens[[#This Row],[Produto]],tProdutos[Produto],0))="",DescontoPadrao,INDEX(tProdutos[Desconto homologado],MATCH(tItens[[#This Row],[Produto]],tProdutos[Produto],0))),DescontoPadrao)</f>
        <v>0.25005895299481201</v>
      </c>
      <c r="M8506" s="12">
        <f>tItens[[#This Row],[Valor]]*(1-tItens[[#This Row],[Desconto]])</f>
        <v>0</v>
      </c>
      <c r="N8506" t="str">
        <f>IFERROR(INDEX(tProdutos[Foco],MATCH(tItens[[#This Row],[Produto]],tProdutos[Produto],0)),"Não")</f>
        <v>Não</v>
      </c>
      <c r="O8506" t="str">
        <f>IFERROR(INDEX(tEditais[SRP],MATCH(tItens[[#This Row],[Edital]],tEditais[Edital],0)),"Não")</f>
        <v>Não</v>
      </c>
      <c r="P8506" s="4">
        <f>IF(COUNTIFS(INDEX(tItens[Edital],1):tItens[[#This Row],[Edital]],tItens[[#This Row],[Edital]],INDEX(tItens[Produto],1):tItens[[#This Row],[Produto]],tItens[[#This Row],[Produto]])=1,1,0)</f>
        <v>0</v>
      </c>
    </row>
    <row r="8507" spans="1:16" x14ac:dyDescent="0.25">
      <c r="A8507" t="s">
        <v>2848</v>
      </c>
      <c r="B8507">
        <v>6</v>
      </c>
      <c r="C8507" t="s">
        <v>10920</v>
      </c>
      <c r="D8507" t="s">
        <v>375</v>
      </c>
      <c r="E8507" s="13">
        <v>2700</v>
      </c>
      <c r="F8507" s="12">
        <v>0</v>
      </c>
      <c r="G8507" t="str">
        <f>IFERROR(INDEX(tEditais[Órgão],MATCH(tItens[[#This Row],[Edital]],tEditais[Edital],0)),"")</f>
        <v>HOSPITAL DAS CLINICAS DA FACULDADE DE MEDICINA DE MARILIA - HCFAMEMA</v>
      </c>
      <c r="H8507" t="str">
        <f>IFERROR(INDEX(tEditais[UF],MATCH(tItens[[#This Row],[Edital]],tEditais[Edital],0)),"")</f>
        <v>SP</v>
      </c>
      <c r="I8507" s="11">
        <f>IFERROR(INDEX(tEditais[Encerramento],MATCH(tItens[[#This Row],[Edital]],tEditais[Edital],0)),"")</f>
        <v>46308.375</v>
      </c>
      <c r="J8507" t="str">
        <f>IFERROR(INDEX(tProdutos[Classe],MATCH(tItens[[#This Row],[Produto]],tProdutos[Produto],0)),"produto não cadastrado")</f>
        <v>FORA</v>
      </c>
      <c r="K8507" s="12">
        <f>tItens[[#This Row],[Qtd]]*tItens[[#This Row],[Vlr unit]]</f>
        <v>0</v>
      </c>
      <c r="L8507" s="6">
        <f>IFERROR(IF(INDEX(tProdutos[Desconto homologado],MATCH(tItens[[#This Row],[Produto]],tProdutos[Produto],0))="",DescontoPadrao,INDEX(tProdutos[Desconto homologado],MATCH(tItens[[#This Row],[Produto]],tProdutos[Produto],0))),DescontoPadrao)</f>
        <v>0.25005895299481201</v>
      </c>
      <c r="M8507" s="12">
        <f>tItens[[#This Row],[Valor]]*(1-tItens[[#This Row],[Desconto]])</f>
        <v>0</v>
      </c>
      <c r="N8507" t="str">
        <f>IFERROR(INDEX(tProdutos[Foco],MATCH(tItens[[#This Row],[Produto]],tProdutos[Produto],0)),"Não")</f>
        <v>Não</v>
      </c>
      <c r="O8507" t="str">
        <f>IFERROR(INDEX(tEditais[SRP],MATCH(tItens[[#This Row],[Edital]],tEditais[Edital],0)),"Não")</f>
        <v>Não</v>
      </c>
      <c r="P8507" s="4">
        <f>IF(COUNTIFS(INDEX(tItens[Edital],1):tItens[[#This Row],[Edital]],tItens[[#This Row],[Edital]],INDEX(tItens[Produto],1):tItens[[#This Row],[Produto]],tItens[[#This Row],[Produto]])=1,1,0)</f>
        <v>0</v>
      </c>
    </row>
    <row r="8508" spans="1:16" x14ac:dyDescent="0.25">
      <c r="A8508" t="s">
        <v>2848</v>
      </c>
      <c r="B8508">
        <v>7</v>
      </c>
      <c r="C8508" t="s">
        <v>10921</v>
      </c>
      <c r="D8508" t="s">
        <v>375</v>
      </c>
      <c r="E8508" s="13">
        <v>600</v>
      </c>
      <c r="F8508" s="12">
        <v>0</v>
      </c>
      <c r="G8508" t="str">
        <f>IFERROR(INDEX(tEditais[Órgão],MATCH(tItens[[#This Row],[Edital]],tEditais[Edital],0)),"")</f>
        <v>HOSPITAL DAS CLINICAS DA FACULDADE DE MEDICINA DE MARILIA - HCFAMEMA</v>
      </c>
      <c r="H8508" t="str">
        <f>IFERROR(INDEX(tEditais[UF],MATCH(tItens[[#This Row],[Edital]],tEditais[Edital],0)),"")</f>
        <v>SP</v>
      </c>
      <c r="I8508" s="11">
        <f>IFERROR(INDEX(tEditais[Encerramento],MATCH(tItens[[#This Row],[Edital]],tEditais[Edital],0)),"")</f>
        <v>46308.375</v>
      </c>
      <c r="J8508" t="str">
        <f>IFERROR(INDEX(tProdutos[Classe],MATCH(tItens[[#This Row],[Produto]],tProdutos[Produto],0)),"produto não cadastrado")</f>
        <v>FORA</v>
      </c>
      <c r="K8508" s="12">
        <f>tItens[[#This Row],[Qtd]]*tItens[[#This Row],[Vlr unit]]</f>
        <v>0</v>
      </c>
      <c r="L8508" s="6">
        <f>IFERROR(IF(INDEX(tProdutos[Desconto homologado],MATCH(tItens[[#This Row],[Produto]],tProdutos[Produto],0))="",DescontoPadrao,INDEX(tProdutos[Desconto homologado],MATCH(tItens[[#This Row],[Produto]],tProdutos[Produto],0))),DescontoPadrao)</f>
        <v>0.25005895299481201</v>
      </c>
      <c r="M8508" s="12">
        <f>tItens[[#This Row],[Valor]]*(1-tItens[[#This Row],[Desconto]])</f>
        <v>0</v>
      </c>
      <c r="N8508" t="str">
        <f>IFERROR(INDEX(tProdutos[Foco],MATCH(tItens[[#This Row],[Produto]],tProdutos[Produto],0)),"Não")</f>
        <v>Não</v>
      </c>
      <c r="O8508" t="str">
        <f>IFERROR(INDEX(tEditais[SRP],MATCH(tItens[[#This Row],[Edital]],tEditais[Edital],0)),"Não")</f>
        <v>Não</v>
      </c>
      <c r="P8508" s="4">
        <f>IF(COUNTIFS(INDEX(tItens[Edital],1):tItens[[#This Row],[Edital]],tItens[[#This Row],[Edital]],INDEX(tItens[Produto],1):tItens[[#This Row],[Produto]],tItens[[#This Row],[Produto]])=1,1,0)</f>
        <v>0</v>
      </c>
    </row>
    <row r="8509" spans="1:16" x14ac:dyDescent="0.25">
      <c r="A8509" t="s">
        <v>2853</v>
      </c>
      <c r="B8509">
        <v>25</v>
      </c>
      <c r="C8509" t="s">
        <v>10922</v>
      </c>
      <c r="D8509" t="s">
        <v>273</v>
      </c>
      <c r="E8509" s="13">
        <v>1</v>
      </c>
      <c r="F8509" s="12">
        <v>0</v>
      </c>
      <c r="G8509" t="str">
        <f>IFERROR(INDEX(tEditais[Órgão],MATCH(tItens[[#This Row],[Edital]],tEditais[Edital],0)),"")</f>
        <v>MUNICIPIO DE ASSIS</v>
      </c>
      <c r="H8509" t="str">
        <f>IFERROR(INDEX(tEditais[UF],MATCH(tItens[[#This Row],[Edital]],tEditais[Edital],0)),"")</f>
        <v>SP</v>
      </c>
      <c r="I8509" s="11">
        <f>IFERROR(INDEX(tEditais[Encerramento],MATCH(tItens[[#This Row],[Edital]],tEditais[Edital],0)),"")</f>
        <v>46308.375</v>
      </c>
      <c r="J8509" t="str">
        <f>IFERROR(INDEX(tProdutos[Classe],MATCH(tItens[[#This Row],[Produto]],tProdutos[Produto],0)),"produto não cadastrado")</f>
        <v>FORA</v>
      </c>
      <c r="K8509" s="12">
        <f>tItens[[#This Row],[Qtd]]*tItens[[#This Row],[Vlr unit]]</f>
        <v>0</v>
      </c>
      <c r="L8509" s="6">
        <f>IFERROR(IF(INDEX(tProdutos[Desconto homologado],MATCH(tItens[[#This Row],[Produto]],tProdutos[Produto],0))="",DescontoPadrao,INDEX(tProdutos[Desconto homologado],MATCH(tItens[[#This Row],[Produto]],tProdutos[Produto],0))),DescontoPadrao)</f>
        <v>0.33168166649812902</v>
      </c>
      <c r="M8509" s="12">
        <f>tItens[[#This Row],[Valor]]*(1-tItens[[#This Row],[Desconto]])</f>
        <v>0</v>
      </c>
      <c r="N8509" t="str">
        <f>IFERROR(INDEX(tProdutos[Foco],MATCH(tItens[[#This Row],[Produto]],tProdutos[Produto],0)),"Não")</f>
        <v>Não</v>
      </c>
      <c r="O8509" t="str">
        <f>IFERROR(INDEX(tEditais[SRP],MATCH(tItens[[#This Row],[Edital]],tEditais[Edital],0)),"Não")</f>
        <v>Não</v>
      </c>
      <c r="P8509" s="4">
        <f>IF(COUNTIFS(INDEX(tItens[Edital],1):tItens[[#This Row],[Edital]],tItens[[#This Row],[Edital]],INDEX(tItens[Produto],1):tItens[[#This Row],[Produto]],tItens[[#This Row],[Produto]])=1,1,0)</f>
        <v>1</v>
      </c>
    </row>
    <row r="8510" spans="1:16" x14ac:dyDescent="0.25">
      <c r="A8510" t="s">
        <v>2858</v>
      </c>
      <c r="B8510">
        <v>6</v>
      </c>
      <c r="C8510" t="s">
        <v>10923</v>
      </c>
      <c r="D8510" t="s">
        <v>419</v>
      </c>
      <c r="E8510" s="13">
        <v>300</v>
      </c>
      <c r="F8510" s="12">
        <v>9.7899999999999991</v>
      </c>
      <c r="G8510" t="str">
        <f>IFERROR(INDEX(tEditais[Órgão],MATCH(tItens[[#This Row],[Edital]],tEditais[Edital],0)),"")</f>
        <v>MUNICIPIO DE ILHABELA</v>
      </c>
      <c r="H8510" t="str">
        <f>IFERROR(INDEX(tEditais[UF],MATCH(tItens[[#This Row],[Edital]],tEditais[Edital],0)),"")</f>
        <v>SP</v>
      </c>
      <c r="I8510" s="11">
        <f>IFERROR(INDEX(tEditais[Encerramento],MATCH(tItens[[#This Row],[Edital]],tEditais[Edital],0)),"")</f>
        <v>46308.375</v>
      </c>
      <c r="J8510" t="str">
        <f>IFERROR(INDEX(tProdutos[Classe],MATCH(tItens[[#This Row],[Produto]],tProdutos[Produto],0)),"produto não cadastrado")</f>
        <v>FORA</v>
      </c>
      <c r="K8510" s="12">
        <f>tItens[[#This Row],[Qtd]]*tItens[[#This Row],[Vlr unit]]</f>
        <v>2936.9999999999995</v>
      </c>
      <c r="L8510" s="6">
        <f>IFERROR(IF(INDEX(tProdutos[Desconto homologado],MATCH(tItens[[#This Row],[Produto]],tProdutos[Produto],0))="",DescontoPadrao,INDEX(tProdutos[Desconto homologado],MATCH(tItens[[#This Row],[Produto]],tProdutos[Produto],0))),DescontoPadrao)</f>
        <v>0.26185567010309302</v>
      </c>
      <c r="M8510" s="12">
        <f>tItens[[#This Row],[Valor]]*(1-tItens[[#This Row],[Desconto]])</f>
        <v>2167.9298969072156</v>
      </c>
      <c r="N8510" t="str">
        <f>IFERROR(INDEX(tProdutos[Foco],MATCH(tItens[[#This Row],[Produto]],tProdutos[Produto],0)),"Não")</f>
        <v>Não</v>
      </c>
      <c r="O8510" t="str">
        <f>IFERROR(INDEX(tEditais[SRP],MATCH(tItens[[#This Row],[Edital]],tEditais[Edital],0)),"Não")</f>
        <v>Sim</v>
      </c>
      <c r="P8510" s="4">
        <f>IF(COUNTIFS(INDEX(tItens[Edital],1):tItens[[#This Row],[Edital]],tItens[[#This Row],[Edital]],INDEX(tItens[Produto],1):tItens[[#This Row],[Produto]],tItens[[#This Row],[Produto]])=1,1,0)</f>
        <v>1</v>
      </c>
    </row>
    <row r="8511" spans="1:16" x14ac:dyDescent="0.25">
      <c r="A8511" t="s">
        <v>2858</v>
      </c>
      <c r="B8511">
        <v>27</v>
      </c>
      <c r="C8511" t="s">
        <v>10924</v>
      </c>
      <c r="D8511" t="s">
        <v>267</v>
      </c>
      <c r="E8511" s="13">
        <v>10</v>
      </c>
      <c r="F8511" s="12">
        <v>25.61</v>
      </c>
      <c r="G8511" t="str">
        <f>IFERROR(INDEX(tEditais[Órgão],MATCH(tItens[[#This Row],[Edital]],tEditais[Edital],0)),"")</f>
        <v>MUNICIPIO DE ILHABELA</v>
      </c>
      <c r="H8511" t="str">
        <f>IFERROR(INDEX(tEditais[UF],MATCH(tItens[[#This Row],[Edital]],tEditais[Edital],0)),"")</f>
        <v>SP</v>
      </c>
      <c r="I8511" s="11">
        <f>IFERROR(INDEX(tEditais[Encerramento],MATCH(tItens[[#This Row],[Edital]],tEditais[Edital],0)),"")</f>
        <v>46308.375</v>
      </c>
      <c r="J8511" t="str">
        <f>IFERROR(INDEX(tProdutos[Classe],MATCH(tItens[[#This Row],[Produto]],tProdutos[Produto],0)),"produto não cadastrado")</f>
        <v>FORA</v>
      </c>
      <c r="K8511" s="12">
        <f>tItens[[#This Row],[Qtd]]*tItens[[#This Row],[Vlr unit]]</f>
        <v>256.10000000000002</v>
      </c>
      <c r="L8511" s="6">
        <f>IFERROR(IF(INDEX(tProdutos[Desconto homologado],MATCH(tItens[[#This Row],[Produto]],tProdutos[Produto],0))="",DescontoPadrao,INDEX(tProdutos[Desconto homologado],MATCH(tItens[[#This Row],[Produto]],tProdutos[Produto],0))),DescontoPadrao)</f>
        <v>0.19963672657401599</v>
      </c>
      <c r="M8511" s="12">
        <f>tItens[[#This Row],[Valor]]*(1-tItens[[#This Row],[Desconto]])</f>
        <v>204.97303432439452</v>
      </c>
      <c r="N8511" t="str">
        <f>IFERROR(INDEX(tProdutos[Foco],MATCH(tItens[[#This Row],[Produto]],tProdutos[Produto],0)),"Não")</f>
        <v>Não</v>
      </c>
      <c r="O8511" t="str">
        <f>IFERROR(INDEX(tEditais[SRP],MATCH(tItens[[#This Row],[Edital]],tEditais[Edital],0)),"Não")</f>
        <v>Sim</v>
      </c>
      <c r="P8511" s="4">
        <f>IF(COUNTIFS(INDEX(tItens[Edital],1):tItens[[#This Row],[Edital]],tItens[[#This Row],[Edital]],INDEX(tItens[Produto],1):tItens[[#This Row],[Produto]],tItens[[#This Row],[Produto]])=1,1,0)</f>
        <v>1</v>
      </c>
    </row>
    <row r="8512" spans="1:16" x14ac:dyDescent="0.25">
      <c r="A8512" t="s">
        <v>2858</v>
      </c>
      <c r="B8512">
        <v>78</v>
      </c>
      <c r="C8512" t="s">
        <v>10925</v>
      </c>
      <c r="D8512" t="s">
        <v>455</v>
      </c>
      <c r="E8512" s="13">
        <v>10</v>
      </c>
      <c r="F8512" s="12">
        <v>10.56</v>
      </c>
      <c r="G8512" t="str">
        <f>IFERROR(INDEX(tEditais[Órgão],MATCH(tItens[[#This Row],[Edital]],tEditais[Edital],0)),"")</f>
        <v>MUNICIPIO DE ILHABELA</v>
      </c>
      <c r="H8512" t="str">
        <f>IFERROR(INDEX(tEditais[UF],MATCH(tItens[[#This Row],[Edital]],tEditais[Edital],0)),"")</f>
        <v>SP</v>
      </c>
      <c r="I8512" s="11">
        <f>IFERROR(INDEX(tEditais[Encerramento],MATCH(tItens[[#This Row],[Edital]],tEditais[Edital],0)),"")</f>
        <v>46308.375</v>
      </c>
      <c r="J8512" t="str">
        <f>IFERROR(INDEX(tProdutos[Classe],MATCH(tItens[[#This Row],[Produto]],tProdutos[Produto],0)),"produto não cadastrado")</f>
        <v>FILA REBASE</v>
      </c>
      <c r="K8512" s="12">
        <f>tItens[[#This Row],[Qtd]]*tItens[[#This Row],[Vlr unit]]</f>
        <v>105.60000000000001</v>
      </c>
      <c r="L8512" s="6">
        <f>IFERROR(IF(INDEX(tProdutos[Desconto homologado],MATCH(tItens[[#This Row],[Produto]],tProdutos[Produto],0))="",DescontoPadrao,INDEX(tProdutos[Desconto homologado],MATCH(tItens[[#This Row],[Produto]],tProdutos[Produto],0))),DescontoPadrao)</f>
        <v>0.29595946765523801</v>
      </c>
      <c r="M8512" s="12">
        <f>tItens[[#This Row],[Valor]]*(1-tItens[[#This Row],[Desconto]])</f>
        <v>74.346680215606881</v>
      </c>
      <c r="N8512" t="str">
        <f>IFERROR(INDEX(tProdutos[Foco],MATCH(tItens[[#This Row],[Produto]],tProdutos[Produto],0)),"Não")</f>
        <v>Não</v>
      </c>
      <c r="O8512" t="str">
        <f>IFERROR(INDEX(tEditais[SRP],MATCH(tItens[[#This Row],[Edital]],tEditais[Edital],0)),"Não")</f>
        <v>Sim</v>
      </c>
      <c r="P8512" s="4">
        <f>IF(COUNTIFS(INDEX(tItens[Edital],1):tItens[[#This Row],[Edital]],tItens[[#This Row],[Edital]],INDEX(tItens[Produto],1):tItens[[#This Row],[Produto]],tItens[[#This Row],[Produto]])=1,1,0)</f>
        <v>1</v>
      </c>
    </row>
    <row r="8513" spans="1:16" x14ac:dyDescent="0.25">
      <c r="A8513" t="s">
        <v>2858</v>
      </c>
      <c r="B8513">
        <v>79</v>
      </c>
      <c r="C8513" t="s">
        <v>10926</v>
      </c>
      <c r="D8513" t="s">
        <v>455</v>
      </c>
      <c r="E8513" s="13">
        <v>20</v>
      </c>
      <c r="F8513" s="12">
        <v>8.6999999999999993</v>
      </c>
      <c r="G8513" t="str">
        <f>IFERROR(INDEX(tEditais[Órgão],MATCH(tItens[[#This Row],[Edital]],tEditais[Edital],0)),"")</f>
        <v>MUNICIPIO DE ILHABELA</v>
      </c>
      <c r="H8513" t="str">
        <f>IFERROR(INDEX(tEditais[UF],MATCH(tItens[[#This Row],[Edital]],tEditais[Edital],0)),"")</f>
        <v>SP</v>
      </c>
      <c r="I8513" s="11">
        <f>IFERROR(INDEX(tEditais[Encerramento],MATCH(tItens[[#This Row],[Edital]],tEditais[Edital],0)),"")</f>
        <v>46308.375</v>
      </c>
      <c r="J8513" t="str">
        <f>IFERROR(INDEX(tProdutos[Classe],MATCH(tItens[[#This Row],[Produto]],tProdutos[Produto],0)),"produto não cadastrado")</f>
        <v>FILA REBASE</v>
      </c>
      <c r="K8513" s="12">
        <f>tItens[[#This Row],[Qtd]]*tItens[[#This Row],[Vlr unit]]</f>
        <v>174</v>
      </c>
      <c r="L8513" s="6">
        <f>IFERROR(IF(INDEX(tProdutos[Desconto homologado],MATCH(tItens[[#This Row],[Produto]],tProdutos[Produto],0))="",DescontoPadrao,INDEX(tProdutos[Desconto homologado],MATCH(tItens[[#This Row],[Produto]],tProdutos[Produto],0))),DescontoPadrao)</f>
        <v>0.29595946765523801</v>
      </c>
      <c r="M8513" s="12">
        <f>tItens[[#This Row],[Valor]]*(1-tItens[[#This Row],[Desconto]])</f>
        <v>122.50305262798859</v>
      </c>
      <c r="N8513" t="str">
        <f>IFERROR(INDEX(tProdutos[Foco],MATCH(tItens[[#This Row],[Produto]],tProdutos[Produto],0)),"Não")</f>
        <v>Não</v>
      </c>
      <c r="O8513" t="str">
        <f>IFERROR(INDEX(tEditais[SRP],MATCH(tItens[[#This Row],[Edital]],tEditais[Edital],0)),"Não")</f>
        <v>Sim</v>
      </c>
      <c r="P8513" s="4">
        <f>IF(COUNTIFS(INDEX(tItens[Edital],1):tItens[[#This Row],[Edital]],tItens[[#This Row],[Edital]],INDEX(tItens[Produto],1):tItens[[#This Row],[Produto]],tItens[[#This Row],[Produto]])=1,1,0)</f>
        <v>0</v>
      </c>
    </row>
    <row r="8514" spans="1:16" x14ac:dyDescent="0.25">
      <c r="A8514" t="s">
        <v>2858</v>
      </c>
      <c r="B8514">
        <v>80</v>
      </c>
      <c r="C8514" t="s">
        <v>10927</v>
      </c>
      <c r="D8514" t="s">
        <v>455</v>
      </c>
      <c r="E8514" s="13">
        <v>10</v>
      </c>
      <c r="F8514" s="12">
        <v>9.35</v>
      </c>
      <c r="G8514" t="str">
        <f>IFERROR(INDEX(tEditais[Órgão],MATCH(tItens[[#This Row],[Edital]],tEditais[Edital],0)),"")</f>
        <v>MUNICIPIO DE ILHABELA</v>
      </c>
      <c r="H8514" t="str">
        <f>IFERROR(INDEX(tEditais[UF],MATCH(tItens[[#This Row],[Edital]],tEditais[Edital],0)),"")</f>
        <v>SP</v>
      </c>
      <c r="I8514" s="11">
        <f>IFERROR(INDEX(tEditais[Encerramento],MATCH(tItens[[#This Row],[Edital]],tEditais[Edital],0)),"")</f>
        <v>46308.375</v>
      </c>
      <c r="J8514" t="str">
        <f>IFERROR(INDEX(tProdutos[Classe],MATCH(tItens[[#This Row],[Produto]],tProdutos[Produto],0)),"produto não cadastrado")</f>
        <v>FILA REBASE</v>
      </c>
      <c r="K8514" s="12">
        <f>tItens[[#This Row],[Qtd]]*tItens[[#This Row],[Vlr unit]]</f>
        <v>93.5</v>
      </c>
      <c r="L8514" s="6">
        <f>IFERROR(IF(INDEX(tProdutos[Desconto homologado],MATCH(tItens[[#This Row],[Produto]],tProdutos[Produto],0))="",DescontoPadrao,INDEX(tProdutos[Desconto homologado],MATCH(tItens[[#This Row],[Produto]],tProdutos[Produto],0))),DescontoPadrao)</f>
        <v>0.29595946765523801</v>
      </c>
      <c r="M8514" s="12">
        <f>tItens[[#This Row],[Valor]]*(1-tItens[[#This Row],[Desconto]])</f>
        <v>65.827789774235256</v>
      </c>
      <c r="N8514" t="str">
        <f>IFERROR(INDEX(tProdutos[Foco],MATCH(tItens[[#This Row],[Produto]],tProdutos[Produto],0)),"Não")</f>
        <v>Não</v>
      </c>
      <c r="O8514" t="str">
        <f>IFERROR(INDEX(tEditais[SRP],MATCH(tItens[[#This Row],[Edital]],tEditais[Edital],0)),"Não")</f>
        <v>Sim</v>
      </c>
      <c r="P8514" s="4">
        <f>IF(COUNTIFS(INDEX(tItens[Edital],1):tItens[[#This Row],[Edital]],tItens[[#This Row],[Edital]],INDEX(tItens[Produto],1):tItens[[#This Row],[Produto]],tItens[[#This Row],[Produto]])=1,1,0)</f>
        <v>0</v>
      </c>
    </row>
    <row r="8515" spans="1:16" x14ac:dyDescent="0.25">
      <c r="A8515" t="s">
        <v>2858</v>
      </c>
      <c r="B8515">
        <v>81</v>
      </c>
      <c r="C8515" t="s">
        <v>10928</v>
      </c>
      <c r="D8515" t="s">
        <v>455</v>
      </c>
      <c r="E8515" s="13">
        <v>5</v>
      </c>
      <c r="F8515" s="12">
        <v>9.6</v>
      </c>
      <c r="G8515" t="str">
        <f>IFERROR(INDEX(tEditais[Órgão],MATCH(tItens[[#This Row],[Edital]],tEditais[Edital],0)),"")</f>
        <v>MUNICIPIO DE ILHABELA</v>
      </c>
      <c r="H8515" t="str">
        <f>IFERROR(INDEX(tEditais[UF],MATCH(tItens[[#This Row],[Edital]],tEditais[Edital],0)),"")</f>
        <v>SP</v>
      </c>
      <c r="I8515" s="11">
        <f>IFERROR(INDEX(tEditais[Encerramento],MATCH(tItens[[#This Row],[Edital]],tEditais[Edital],0)),"")</f>
        <v>46308.375</v>
      </c>
      <c r="J8515" t="str">
        <f>IFERROR(INDEX(tProdutos[Classe],MATCH(tItens[[#This Row],[Produto]],tProdutos[Produto],0)),"produto não cadastrado")</f>
        <v>FILA REBASE</v>
      </c>
      <c r="K8515" s="12">
        <f>tItens[[#This Row],[Qtd]]*tItens[[#This Row],[Vlr unit]]</f>
        <v>48</v>
      </c>
      <c r="L8515" s="6">
        <f>IFERROR(IF(INDEX(tProdutos[Desconto homologado],MATCH(tItens[[#This Row],[Produto]],tProdutos[Produto],0))="",DescontoPadrao,INDEX(tProdutos[Desconto homologado],MATCH(tItens[[#This Row],[Produto]],tProdutos[Produto],0))),DescontoPadrao)</f>
        <v>0.29595946765523801</v>
      </c>
      <c r="M8515" s="12">
        <f>tItens[[#This Row],[Valor]]*(1-tItens[[#This Row],[Desconto]])</f>
        <v>33.793945552548578</v>
      </c>
      <c r="N8515" t="str">
        <f>IFERROR(INDEX(tProdutos[Foco],MATCH(tItens[[#This Row],[Produto]],tProdutos[Produto],0)),"Não")</f>
        <v>Não</v>
      </c>
      <c r="O8515" t="str">
        <f>IFERROR(INDEX(tEditais[SRP],MATCH(tItens[[#This Row],[Edital]],tEditais[Edital],0)),"Não")</f>
        <v>Sim</v>
      </c>
      <c r="P8515" s="4">
        <f>IF(COUNTIFS(INDEX(tItens[Edital],1):tItens[[#This Row],[Edital]],tItens[[#This Row],[Edital]],INDEX(tItens[Produto],1):tItens[[#This Row],[Produto]],tItens[[#This Row],[Produto]])=1,1,0)</f>
        <v>0</v>
      </c>
    </row>
    <row r="8516" spans="1:16" x14ac:dyDescent="0.25">
      <c r="A8516" t="s">
        <v>2858</v>
      </c>
      <c r="B8516">
        <v>82</v>
      </c>
      <c r="C8516" t="s">
        <v>10929</v>
      </c>
      <c r="D8516" t="s">
        <v>455</v>
      </c>
      <c r="E8516" s="13">
        <v>10</v>
      </c>
      <c r="F8516" s="12">
        <v>10.27</v>
      </c>
      <c r="G8516" t="str">
        <f>IFERROR(INDEX(tEditais[Órgão],MATCH(tItens[[#This Row],[Edital]],tEditais[Edital],0)),"")</f>
        <v>MUNICIPIO DE ILHABELA</v>
      </c>
      <c r="H8516" t="str">
        <f>IFERROR(INDEX(tEditais[UF],MATCH(tItens[[#This Row],[Edital]],tEditais[Edital],0)),"")</f>
        <v>SP</v>
      </c>
      <c r="I8516" s="11">
        <f>IFERROR(INDEX(tEditais[Encerramento],MATCH(tItens[[#This Row],[Edital]],tEditais[Edital],0)),"")</f>
        <v>46308.375</v>
      </c>
      <c r="J8516" t="str">
        <f>IFERROR(INDEX(tProdutos[Classe],MATCH(tItens[[#This Row],[Produto]],tProdutos[Produto],0)),"produto não cadastrado")</f>
        <v>FILA REBASE</v>
      </c>
      <c r="K8516" s="12">
        <f>tItens[[#This Row],[Qtd]]*tItens[[#This Row],[Vlr unit]]</f>
        <v>102.69999999999999</v>
      </c>
      <c r="L8516" s="6">
        <f>IFERROR(IF(INDEX(tProdutos[Desconto homologado],MATCH(tItens[[#This Row],[Produto]],tProdutos[Produto],0))="",DescontoPadrao,INDEX(tProdutos[Desconto homologado],MATCH(tItens[[#This Row],[Produto]],tProdutos[Produto],0))),DescontoPadrao)</f>
        <v>0.29595946765523801</v>
      </c>
      <c r="M8516" s="12">
        <f>tItens[[#This Row],[Valor]]*(1-tItens[[#This Row],[Desconto]])</f>
        <v>72.304962671807061</v>
      </c>
      <c r="N8516" t="str">
        <f>IFERROR(INDEX(tProdutos[Foco],MATCH(tItens[[#This Row],[Produto]],tProdutos[Produto],0)),"Não")</f>
        <v>Não</v>
      </c>
      <c r="O8516" t="str">
        <f>IFERROR(INDEX(tEditais[SRP],MATCH(tItens[[#This Row],[Edital]],tEditais[Edital],0)),"Não")</f>
        <v>Sim</v>
      </c>
      <c r="P8516" s="4">
        <f>IF(COUNTIFS(INDEX(tItens[Edital],1):tItens[[#This Row],[Edital]],tItens[[#This Row],[Edital]],INDEX(tItens[Produto],1):tItens[[#This Row],[Produto]],tItens[[#This Row],[Produto]])=1,1,0)</f>
        <v>0</v>
      </c>
    </row>
    <row r="8517" spans="1:16" x14ac:dyDescent="0.25">
      <c r="A8517" t="s">
        <v>2858</v>
      </c>
      <c r="B8517">
        <v>83</v>
      </c>
      <c r="C8517" t="s">
        <v>10930</v>
      </c>
      <c r="D8517" t="s">
        <v>455</v>
      </c>
      <c r="E8517" s="13">
        <v>20</v>
      </c>
      <c r="F8517" s="12">
        <v>8.4600000000000009</v>
      </c>
      <c r="G8517" t="str">
        <f>IFERROR(INDEX(tEditais[Órgão],MATCH(tItens[[#This Row],[Edital]],tEditais[Edital],0)),"")</f>
        <v>MUNICIPIO DE ILHABELA</v>
      </c>
      <c r="H8517" t="str">
        <f>IFERROR(INDEX(tEditais[UF],MATCH(tItens[[#This Row],[Edital]],tEditais[Edital],0)),"")</f>
        <v>SP</v>
      </c>
      <c r="I8517" s="11">
        <f>IFERROR(INDEX(tEditais[Encerramento],MATCH(tItens[[#This Row],[Edital]],tEditais[Edital],0)),"")</f>
        <v>46308.375</v>
      </c>
      <c r="J8517" t="str">
        <f>IFERROR(INDEX(tProdutos[Classe],MATCH(tItens[[#This Row],[Produto]],tProdutos[Produto],0)),"produto não cadastrado")</f>
        <v>FILA REBASE</v>
      </c>
      <c r="K8517" s="12">
        <f>tItens[[#This Row],[Qtd]]*tItens[[#This Row],[Vlr unit]]</f>
        <v>169.20000000000002</v>
      </c>
      <c r="L8517" s="6">
        <f>IFERROR(IF(INDEX(tProdutos[Desconto homologado],MATCH(tItens[[#This Row],[Produto]],tProdutos[Produto],0))="",DescontoPadrao,INDEX(tProdutos[Desconto homologado],MATCH(tItens[[#This Row],[Produto]],tProdutos[Produto],0))),DescontoPadrao)</f>
        <v>0.29595946765523801</v>
      </c>
      <c r="M8517" s="12">
        <f>tItens[[#This Row],[Valor]]*(1-tItens[[#This Row],[Desconto]])</f>
        <v>119.12365807273375</v>
      </c>
      <c r="N8517" t="str">
        <f>IFERROR(INDEX(tProdutos[Foco],MATCH(tItens[[#This Row],[Produto]],tProdutos[Produto],0)),"Não")</f>
        <v>Não</v>
      </c>
      <c r="O8517" t="str">
        <f>IFERROR(INDEX(tEditais[SRP],MATCH(tItens[[#This Row],[Edital]],tEditais[Edital],0)),"Não")</f>
        <v>Sim</v>
      </c>
      <c r="P8517" s="4">
        <f>IF(COUNTIFS(INDEX(tItens[Edital],1):tItens[[#This Row],[Edital]],tItens[[#This Row],[Edital]],INDEX(tItens[Produto],1):tItens[[#This Row],[Produto]],tItens[[#This Row],[Produto]])=1,1,0)</f>
        <v>0</v>
      </c>
    </row>
    <row r="8518" spans="1:16" x14ac:dyDescent="0.25">
      <c r="A8518" t="s">
        <v>2858</v>
      </c>
      <c r="B8518">
        <v>84</v>
      </c>
      <c r="C8518" t="s">
        <v>10931</v>
      </c>
      <c r="D8518" t="s">
        <v>455</v>
      </c>
      <c r="E8518" s="13">
        <v>10</v>
      </c>
      <c r="F8518" s="12">
        <v>9.65</v>
      </c>
      <c r="G8518" t="str">
        <f>IFERROR(INDEX(tEditais[Órgão],MATCH(tItens[[#This Row],[Edital]],tEditais[Edital],0)),"")</f>
        <v>MUNICIPIO DE ILHABELA</v>
      </c>
      <c r="H8518" t="str">
        <f>IFERROR(INDEX(tEditais[UF],MATCH(tItens[[#This Row],[Edital]],tEditais[Edital],0)),"")</f>
        <v>SP</v>
      </c>
      <c r="I8518" s="11">
        <f>IFERROR(INDEX(tEditais[Encerramento],MATCH(tItens[[#This Row],[Edital]],tEditais[Edital],0)),"")</f>
        <v>46308.375</v>
      </c>
      <c r="J8518" t="str">
        <f>IFERROR(INDEX(tProdutos[Classe],MATCH(tItens[[#This Row],[Produto]],tProdutos[Produto],0)),"produto não cadastrado")</f>
        <v>FILA REBASE</v>
      </c>
      <c r="K8518" s="12">
        <f>tItens[[#This Row],[Qtd]]*tItens[[#This Row],[Vlr unit]]</f>
        <v>96.5</v>
      </c>
      <c r="L8518" s="6">
        <f>IFERROR(IF(INDEX(tProdutos[Desconto homologado],MATCH(tItens[[#This Row],[Produto]],tProdutos[Produto],0))="",DescontoPadrao,INDEX(tProdutos[Desconto homologado],MATCH(tItens[[#This Row],[Produto]],tProdutos[Produto],0))),DescontoPadrao)</f>
        <v>0.29595946765523801</v>
      </c>
      <c r="M8518" s="12">
        <f>tItens[[#This Row],[Valor]]*(1-tItens[[#This Row],[Desconto]])</f>
        <v>67.939911371269531</v>
      </c>
      <c r="N8518" t="str">
        <f>IFERROR(INDEX(tProdutos[Foco],MATCH(tItens[[#This Row],[Produto]],tProdutos[Produto],0)),"Não")</f>
        <v>Não</v>
      </c>
      <c r="O8518" t="str">
        <f>IFERROR(INDEX(tEditais[SRP],MATCH(tItens[[#This Row],[Edital]],tEditais[Edital],0)),"Não")</f>
        <v>Sim</v>
      </c>
      <c r="P8518" s="4">
        <f>IF(COUNTIFS(INDEX(tItens[Edital],1):tItens[[#This Row],[Edital]],tItens[[#This Row],[Edital]],INDEX(tItens[Produto],1):tItens[[#This Row],[Produto]],tItens[[#This Row],[Produto]])=1,1,0)</f>
        <v>0</v>
      </c>
    </row>
    <row r="8519" spans="1:16" x14ac:dyDescent="0.25">
      <c r="A8519" t="s">
        <v>2858</v>
      </c>
      <c r="B8519">
        <v>85</v>
      </c>
      <c r="C8519" t="s">
        <v>10932</v>
      </c>
      <c r="D8519" t="s">
        <v>455</v>
      </c>
      <c r="E8519" s="13">
        <v>5</v>
      </c>
      <c r="F8519" s="12">
        <v>9.5299999999999994</v>
      </c>
      <c r="G8519" t="str">
        <f>IFERROR(INDEX(tEditais[Órgão],MATCH(tItens[[#This Row],[Edital]],tEditais[Edital],0)),"")</f>
        <v>MUNICIPIO DE ILHABELA</v>
      </c>
      <c r="H8519" t="str">
        <f>IFERROR(INDEX(tEditais[UF],MATCH(tItens[[#This Row],[Edital]],tEditais[Edital],0)),"")</f>
        <v>SP</v>
      </c>
      <c r="I8519" s="11">
        <f>IFERROR(INDEX(tEditais[Encerramento],MATCH(tItens[[#This Row],[Edital]],tEditais[Edital],0)),"")</f>
        <v>46308.375</v>
      </c>
      <c r="J8519" t="str">
        <f>IFERROR(INDEX(tProdutos[Classe],MATCH(tItens[[#This Row],[Produto]],tProdutos[Produto],0)),"produto não cadastrado")</f>
        <v>FILA REBASE</v>
      </c>
      <c r="K8519" s="12">
        <f>tItens[[#This Row],[Qtd]]*tItens[[#This Row],[Vlr unit]]</f>
        <v>47.65</v>
      </c>
      <c r="L8519" s="6">
        <f>IFERROR(IF(INDEX(tProdutos[Desconto homologado],MATCH(tItens[[#This Row],[Produto]],tProdutos[Produto],0))="",DescontoPadrao,INDEX(tProdutos[Desconto homologado],MATCH(tItens[[#This Row],[Produto]],tProdutos[Produto],0))),DescontoPadrao)</f>
        <v>0.29595946765523801</v>
      </c>
      <c r="M8519" s="12">
        <f>tItens[[#This Row],[Valor]]*(1-tItens[[#This Row],[Desconto]])</f>
        <v>33.547531366227908</v>
      </c>
      <c r="N8519" t="str">
        <f>IFERROR(INDEX(tProdutos[Foco],MATCH(tItens[[#This Row],[Produto]],tProdutos[Produto],0)),"Não")</f>
        <v>Não</v>
      </c>
      <c r="O8519" t="str">
        <f>IFERROR(INDEX(tEditais[SRP],MATCH(tItens[[#This Row],[Edital]],tEditais[Edital],0)),"Não")</f>
        <v>Sim</v>
      </c>
      <c r="P8519" s="4">
        <f>IF(COUNTIFS(INDEX(tItens[Edital],1):tItens[[#This Row],[Edital]],tItens[[#This Row],[Edital]],INDEX(tItens[Produto],1):tItens[[#This Row],[Produto]],tItens[[#This Row],[Produto]])=1,1,0)</f>
        <v>0</v>
      </c>
    </row>
    <row r="8520" spans="1:16" x14ac:dyDescent="0.25">
      <c r="A8520" t="s">
        <v>2858</v>
      </c>
      <c r="B8520">
        <v>93</v>
      </c>
      <c r="C8520" t="s">
        <v>10933</v>
      </c>
      <c r="D8520" t="s">
        <v>638</v>
      </c>
      <c r="E8520" s="13">
        <v>100</v>
      </c>
      <c r="F8520" s="12">
        <v>18.45</v>
      </c>
      <c r="G8520" t="str">
        <f>IFERROR(INDEX(tEditais[Órgão],MATCH(tItens[[#This Row],[Edital]],tEditais[Edital],0)),"")</f>
        <v>MUNICIPIO DE ILHABELA</v>
      </c>
      <c r="H8520" t="str">
        <f>IFERROR(INDEX(tEditais[UF],MATCH(tItens[[#This Row],[Edital]],tEditais[Edital],0)),"")</f>
        <v>SP</v>
      </c>
      <c r="I8520" s="11">
        <f>IFERROR(INDEX(tEditais[Encerramento],MATCH(tItens[[#This Row],[Edital]],tEditais[Edital],0)),"")</f>
        <v>46308.375</v>
      </c>
      <c r="J8520" t="str">
        <f>IFERROR(INDEX(tProdutos[Classe],MATCH(tItens[[#This Row],[Produto]],tProdutos[Produto],0)),"produto não cadastrado")</f>
        <v>FILA REBASE</v>
      </c>
      <c r="K8520" s="12">
        <f>tItens[[#This Row],[Qtd]]*tItens[[#This Row],[Vlr unit]]</f>
        <v>1845</v>
      </c>
      <c r="L8520" s="6">
        <f>IFERROR(IF(INDEX(tProdutos[Desconto homologado],MATCH(tItens[[#This Row],[Produto]],tProdutos[Produto],0))="",DescontoPadrao,INDEX(tProdutos[Desconto homologado],MATCH(tItens[[#This Row],[Produto]],tProdutos[Produto],0))),DescontoPadrao)</f>
        <v>0.487179487179487</v>
      </c>
      <c r="M8520" s="12">
        <f>tItens[[#This Row],[Valor]]*(1-tItens[[#This Row],[Desconto]])</f>
        <v>946.15384615384653</v>
      </c>
      <c r="N8520" t="str">
        <f>IFERROR(INDEX(tProdutos[Foco],MATCH(tItens[[#This Row],[Produto]],tProdutos[Produto],0)),"Não")</f>
        <v>Não</v>
      </c>
      <c r="O8520" t="str">
        <f>IFERROR(INDEX(tEditais[SRP],MATCH(tItens[[#This Row],[Edital]],tEditais[Edital],0)),"Não")</f>
        <v>Sim</v>
      </c>
      <c r="P8520" s="4">
        <f>IF(COUNTIFS(INDEX(tItens[Edital],1):tItens[[#This Row],[Edital]],tItens[[#This Row],[Edital]],INDEX(tItens[Produto],1):tItens[[#This Row],[Produto]],tItens[[#This Row],[Produto]])=1,1,0)</f>
        <v>1</v>
      </c>
    </row>
    <row r="8521" spans="1:16" x14ac:dyDescent="0.25">
      <c r="A8521" t="s">
        <v>2862</v>
      </c>
      <c r="B8521">
        <v>13</v>
      </c>
      <c r="C8521" t="s">
        <v>10934</v>
      </c>
      <c r="D8521" t="s">
        <v>521</v>
      </c>
      <c r="E8521" s="13">
        <v>2</v>
      </c>
      <c r="F8521" s="12">
        <v>0</v>
      </c>
      <c r="G8521" t="str">
        <f>IFERROR(INDEX(tEditais[Órgão],MATCH(tItens[[#This Row],[Edital]],tEditais[Edital],0)),"")</f>
        <v>HOSPITAL DAS CLINICAS DA FACULDADE DE MEDICINA DE BOTUCATU</v>
      </c>
      <c r="H8521" t="str">
        <f>IFERROR(INDEX(tEditais[UF],MATCH(tItens[[#This Row],[Edital]],tEditais[Edital],0)),"")</f>
        <v>SP</v>
      </c>
      <c r="I8521" s="11">
        <f>IFERROR(INDEX(tEditais[Encerramento],MATCH(tItens[[#This Row],[Edital]],tEditais[Edital],0)),"")</f>
        <v>46308.375</v>
      </c>
      <c r="J8521" t="str">
        <f>IFERROR(INDEX(tProdutos[Classe],MATCH(tItens[[#This Row],[Produto]],tProdutos[Produto],0)),"produto não cadastrado")</f>
        <v>FILA REBASE</v>
      </c>
      <c r="K8521" s="12">
        <f>tItens[[#This Row],[Qtd]]*tItens[[#This Row],[Vlr unit]]</f>
        <v>0</v>
      </c>
      <c r="L8521" s="6">
        <f>IFERROR(IF(INDEX(tProdutos[Desconto homologado],MATCH(tItens[[#This Row],[Produto]],tProdutos[Produto],0))="",DescontoPadrao,INDEX(tProdutos[Desconto homologado],MATCH(tItens[[#This Row],[Produto]],tProdutos[Produto],0))),DescontoPadrao)</f>
        <v>0.20254361398888801</v>
      </c>
      <c r="M8521" s="12">
        <f>tItens[[#This Row],[Valor]]*(1-tItens[[#This Row],[Desconto]])</f>
        <v>0</v>
      </c>
      <c r="N8521" t="str">
        <f>IFERROR(INDEX(tProdutos[Foco],MATCH(tItens[[#This Row],[Produto]],tProdutos[Produto],0)),"Não")</f>
        <v>Não</v>
      </c>
      <c r="O8521" t="str">
        <f>IFERROR(INDEX(tEditais[SRP],MATCH(tItens[[#This Row],[Edital]],tEditais[Edital],0)),"Não")</f>
        <v>Não</v>
      </c>
      <c r="P8521" s="4">
        <f>IF(COUNTIFS(INDEX(tItens[Edital],1):tItens[[#This Row],[Edital]],tItens[[#This Row],[Edital]],INDEX(tItens[Produto],1):tItens[[#This Row],[Produto]],tItens[[#This Row],[Produto]])=1,1,0)</f>
        <v>1</v>
      </c>
    </row>
    <row r="8522" spans="1:16" x14ac:dyDescent="0.25">
      <c r="A8522" t="s">
        <v>2862</v>
      </c>
      <c r="B8522">
        <v>20</v>
      </c>
      <c r="C8522" t="s">
        <v>10935</v>
      </c>
      <c r="D8522" t="s">
        <v>423</v>
      </c>
      <c r="E8522" s="13">
        <v>2</v>
      </c>
      <c r="F8522" s="12">
        <v>0</v>
      </c>
      <c r="G8522" t="str">
        <f>IFERROR(INDEX(tEditais[Órgão],MATCH(tItens[[#This Row],[Edital]],tEditais[Edital],0)),"")</f>
        <v>HOSPITAL DAS CLINICAS DA FACULDADE DE MEDICINA DE BOTUCATU</v>
      </c>
      <c r="H8522" t="str">
        <f>IFERROR(INDEX(tEditais[UF],MATCH(tItens[[#This Row],[Edital]],tEditais[Edital],0)),"")</f>
        <v>SP</v>
      </c>
      <c r="I8522" s="11">
        <f>IFERROR(INDEX(tEditais[Encerramento],MATCH(tItens[[#This Row],[Edital]],tEditais[Edital],0)),"")</f>
        <v>46308.375</v>
      </c>
      <c r="J8522" t="str">
        <f>IFERROR(INDEX(tProdutos[Classe],MATCH(tItens[[#This Row],[Produto]],tProdutos[Produto],0)),"produto não cadastrado")</f>
        <v>FORA</v>
      </c>
      <c r="K8522" s="12">
        <f>tItens[[#This Row],[Qtd]]*tItens[[#This Row],[Vlr unit]]</f>
        <v>0</v>
      </c>
      <c r="L8522" s="6">
        <f>IFERROR(IF(INDEX(tProdutos[Desconto homologado],MATCH(tItens[[#This Row],[Produto]],tProdutos[Produto],0))="",DescontoPadrao,INDEX(tProdutos[Desconto homologado],MATCH(tItens[[#This Row],[Produto]],tProdutos[Produto],0))),DescontoPadrao)</f>
        <v>0.38271604938271597</v>
      </c>
      <c r="M8522" s="12">
        <f>tItens[[#This Row],[Valor]]*(1-tItens[[#This Row],[Desconto]])</f>
        <v>0</v>
      </c>
      <c r="N8522" t="str">
        <f>IFERROR(INDEX(tProdutos[Foco],MATCH(tItens[[#This Row],[Produto]],tProdutos[Produto],0)),"Não")</f>
        <v>Não</v>
      </c>
      <c r="O8522" t="str">
        <f>IFERROR(INDEX(tEditais[SRP],MATCH(tItens[[#This Row],[Edital]],tEditais[Edital],0)),"Não")</f>
        <v>Não</v>
      </c>
      <c r="P8522" s="4">
        <f>IF(COUNTIFS(INDEX(tItens[Edital],1):tItens[[#This Row],[Edital]],tItens[[#This Row],[Edital]],INDEX(tItens[Produto],1):tItens[[#This Row],[Produto]],tItens[[#This Row],[Produto]])=1,1,0)</f>
        <v>1</v>
      </c>
    </row>
    <row r="8523" spans="1:16" x14ac:dyDescent="0.25">
      <c r="A8523" t="s">
        <v>2865</v>
      </c>
      <c r="B8523">
        <v>5</v>
      </c>
      <c r="C8523" t="s">
        <v>10936</v>
      </c>
      <c r="D8523" t="s">
        <v>403</v>
      </c>
      <c r="E8523" s="13">
        <v>504</v>
      </c>
      <c r="F8523" s="12">
        <v>1.62</v>
      </c>
      <c r="G8523" t="str">
        <f>IFERROR(INDEX(tEditais[Órgão],MATCH(tItens[[#This Row],[Edital]],tEditais[Edital],0)),"")</f>
        <v>MUNICIPIO DE CAMPINAS</v>
      </c>
      <c r="H8523" t="str">
        <f>IFERROR(INDEX(tEditais[UF],MATCH(tItens[[#This Row],[Edital]],tEditais[Edital],0)),"")</f>
        <v>SP</v>
      </c>
      <c r="I8523" s="11">
        <f>IFERROR(INDEX(tEditais[Encerramento],MATCH(tItens[[#This Row],[Edital]],tEditais[Edital],0)),"")</f>
        <v>46308.375</v>
      </c>
      <c r="J8523" t="str">
        <f>IFERROR(INDEX(tProdutos[Classe],MATCH(tItens[[#This Row],[Produto]],tProdutos[Produto],0)),"produto não cadastrado")</f>
        <v>FORA</v>
      </c>
      <c r="K8523" s="12">
        <f>tItens[[#This Row],[Qtd]]*tItens[[#This Row],[Vlr unit]]</f>
        <v>816.48</v>
      </c>
      <c r="L8523" s="6">
        <f>IFERROR(IF(INDEX(tProdutos[Desconto homologado],MATCH(tItens[[#This Row],[Produto]],tProdutos[Produto],0))="",DescontoPadrao,INDEX(tProdutos[Desconto homologado],MATCH(tItens[[#This Row],[Produto]],tProdutos[Produto],0))),DescontoPadrao)</f>
        <v>0.35326086956521702</v>
      </c>
      <c r="M8523" s="12">
        <f>tItens[[#This Row],[Valor]]*(1-tItens[[#This Row],[Desconto]])</f>
        <v>528.04956521739155</v>
      </c>
      <c r="N8523" t="str">
        <f>IFERROR(INDEX(tProdutos[Foco],MATCH(tItens[[#This Row],[Produto]],tProdutos[Produto],0)),"Não")</f>
        <v>Não</v>
      </c>
      <c r="O8523" t="str">
        <f>IFERROR(INDEX(tEditais[SRP],MATCH(tItens[[#This Row],[Edital]],tEditais[Edital],0)),"Não")</f>
        <v>Não</v>
      </c>
      <c r="P8523" s="4">
        <f>IF(COUNTIFS(INDEX(tItens[Edital],1):tItens[[#This Row],[Edital]],tItens[[#This Row],[Edital]],INDEX(tItens[Produto],1):tItens[[#This Row],[Produto]],tItens[[#This Row],[Produto]])=1,1,0)</f>
        <v>1</v>
      </c>
    </row>
    <row r="8524" spans="1:16" x14ac:dyDescent="0.25">
      <c r="A8524" t="s">
        <v>2870</v>
      </c>
      <c r="B8524">
        <v>6</v>
      </c>
      <c r="C8524" t="s">
        <v>10937</v>
      </c>
      <c r="D8524" t="s">
        <v>315</v>
      </c>
      <c r="E8524" s="13">
        <v>60</v>
      </c>
      <c r="F8524" s="12">
        <v>6.78</v>
      </c>
      <c r="G8524" t="str">
        <f>IFERROR(INDEX(tEditais[Órgão],MATCH(tItens[[#This Row],[Edital]],tEditais[Edital],0)),"")</f>
        <v>MUNICIPIO DE BORBOREMA</v>
      </c>
      <c r="H8524" t="str">
        <f>IFERROR(INDEX(tEditais[UF],MATCH(tItens[[#This Row],[Edital]],tEditais[Edital],0)),"")</f>
        <v>SP</v>
      </c>
      <c r="I8524" s="11">
        <f>IFERROR(INDEX(tEditais[Encerramento],MATCH(tItens[[#This Row],[Edital]],tEditais[Edital],0)),"")</f>
        <v>46308.375694444447</v>
      </c>
      <c r="J8524" t="str">
        <f>IFERROR(INDEX(tProdutos[Classe],MATCH(tItens[[#This Row],[Produto]],tProdutos[Produto],0)),"produto não cadastrado")</f>
        <v>FORA</v>
      </c>
      <c r="K8524" s="12">
        <f>tItens[[#This Row],[Qtd]]*tItens[[#This Row],[Vlr unit]]</f>
        <v>406.8</v>
      </c>
      <c r="L8524" s="6">
        <f>IFERROR(IF(INDEX(tProdutos[Desconto homologado],MATCH(tItens[[#This Row],[Produto]],tProdutos[Produto],0))="",DescontoPadrao,INDEX(tProdutos[Desconto homologado],MATCH(tItens[[#This Row],[Produto]],tProdutos[Produto],0))),DescontoPadrao)</f>
        <v>0.38432036097010702</v>
      </c>
      <c r="M8524" s="12">
        <f>tItens[[#This Row],[Valor]]*(1-tItens[[#This Row],[Desconto]])</f>
        <v>250.45847715736048</v>
      </c>
      <c r="N8524" t="str">
        <f>IFERROR(INDEX(tProdutos[Foco],MATCH(tItens[[#This Row],[Produto]],tProdutos[Produto],0)),"Não")</f>
        <v>Não</v>
      </c>
      <c r="O8524" t="str">
        <f>IFERROR(INDEX(tEditais[SRP],MATCH(tItens[[#This Row],[Edital]],tEditais[Edital],0)),"Não")</f>
        <v>Sim</v>
      </c>
      <c r="P8524" s="4">
        <f>IF(COUNTIFS(INDEX(tItens[Edital],1):tItens[[#This Row],[Edital]],tItens[[#This Row],[Edital]],INDEX(tItens[Produto],1):tItens[[#This Row],[Produto]],tItens[[#This Row],[Produto]])=1,1,0)</f>
        <v>1</v>
      </c>
    </row>
    <row r="8525" spans="1:16" x14ac:dyDescent="0.25">
      <c r="A8525" t="s">
        <v>2870</v>
      </c>
      <c r="B8525">
        <v>7</v>
      </c>
      <c r="C8525" t="s">
        <v>10938</v>
      </c>
      <c r="D8525" t="s">
        <v>315</v>
      </c>
      <c r="E8525" s="13">
        <v>50</v>
      </c>
      <c r="F8525" s="12">
        <v>7.37</v>
      </c>
      <c r="G8525" t="str">
        <f>IFERROR(INDEX(tEditais[Órgão],MATCH(tItens[[#This Row],[Edital]],tEditais[Edital],0)),"")</f>
        <v>MUNICIPIO DE BORBOREMA</v>
      </c>
      <c r="H8525" t="str">
        <f>IFERROR(INDEX(tEditais[UF],MATCH(tItens[[#This Row],[Edital]],tEditais[Edital],0)),"")</f>
        <v>SP</v>
      </c>
      <c r="I8525" s="11">
        <f>IFERROR(INDEX(tEditais[Encerramento],MATCH(tItens[[#This Row],[Edital]],tEditais[Edital],0)),"")</f>
        <v>46308.375694444447</v>
      </c>
      <c r="J8525" t="str">
        <f>IFERROR(INDEX(tProdutos[Classe],MATCH(tItens[[#This Row],[Produto]],tProdutos[Produto],0)),"produto não cadastrado")</f>
        <v>FORA</v>
      </c>
      <c r="K8525" s="12">
        <f>tItens[[#This Row],[Qtd]]*tItens[[#This Row],[Vlr unit]]</f>
        <v>368.5</v>
      </c>
      <c r="L8525" s="6">
        <f>IFERROR(IF(INDEX(tProdutos[Desconto homologado],MATCH(tItens[[#This Row],[Produto]],tProdutos[Produto],0))="",DescontoPadrao,INDEX(tProdutos[Desconto homologado],MATCH(tItens[[#This Row],[Produto]],tProdutos[Produto],0))),DescontoPadrao)</f>
        <v>0.38432036097010702</v>
      </c>
      <c r="M8525" s="12">
        <f>tItens[[#This Row],[Valor]]*(1-tItens[[#This Row],[Desconto]])</f>
        <v>226.87794698251557</v>
      </c>
      <c r="N8525" t="str">
        <f>IFERROR(INDEX(tProdutos[Foco],MATCH(tItens[[#This Row],[Produto]],tProdutos[Produto],0)),"Não")</f>
        <v>Não</v>
      </c>
      <c r="O8525" t="str">
        <f>IFERROR(INDEX(tEditais[SRP],MATCH(tItens[[#This Row],[Edital]],tEditais[Edital],0)),"Não")</f>
        <v>Sim</v>
      </c>
      <c r="P8525" s="4">
        <f>IF(COUNTIFS(INDEX(tItens[Edital],1):tItens[[#This Row],[Edital]],tItens[[#This Row],[Edital]],INDEX(tItens[Produto],1):tItens[[#This Row],[Produto]],tItens[[#This Row],[Produto]])=1,1,0)</f>
        <v>0</v>
      </c>
    </row>
    <row r="8526" spans="1:16" x14ac:dyDescent="0.25">
      <c r="A8526" t="s">
        <v>2870</v>
      </c>
      <c r="B8526">
        <v>8</v>
      </c>
      <c r="C8526" t="s">
        <v>10939</v>
      </c>
      <c r="D8526" t="s">
        <v>315</v>
      </c>
      <c r="E8526" s="13">
        <v>60</v>
      </c>
      <c r="F8526" s="12">
        <v>7.38</v>
      </c>
      <c r="G8526" t="str">
        <f>IFERROR(INDEX(tEditais[Órgão],MATCH(tItens[[#This Row],[Edital]],tEditais[Edital],0)),"")</f>
        <v>MUNICIPIO DE BORBOREMA</v>
      </c>
      <c r="H8526" t="str">
        <f>IFERROR(INDEX(tEditais[UF],MATCH(tItens[[#This Row],[Edital]],tEditais[Edital],0)),"")</f>
        <v>SP</v>
      </c>
      <c r="I8526" s="11">
        <f>IFERROR(INDEX(tEditais[Encerramento],MATCH(tItens[[#This Row],[Edital]],tEditais[Edital],0)),"")</f>
        <v>46308.375694444447</v>
      </c>
      <c r="J8526" t="str">
        <f>IFERROR(INDEX(tProdutos[Classe],MATCH(tItens[[#This Row],[Produto]],tProdutos[Produto],0)),"produto não cadastrado")</f>
        <v>FORA</v>
      </c>
      <c r="K8526" s="12">
        <f>tItens[[#This Row],[Qtd]]*tItens[[#This Row],[Vlr unit]]</f>
        <v>442.8</v>
      </c>
      <c r="L8526" s="6">
        <f>IFERROR(IF(INDEX(tProdutos[Desconto homologado],MATCH(tItens[[#This Row],[Produto]],tProdutos[Produto],0))="",DescontoPadrao,INDEX(tProdutos[Desconto homologado],MATCH(tItens[[#This Row],[Produto]],tProdutos[Produto],0))),DescontoPadrao)</f>
        <v>0.38432036097010702</v>
      </c>
      <c r="M8526" s="12">
        <f>tItens[[#This Row],[Valor]]*(1-tItens[[#This Row],[Desconto]])</f>
        <v>272.62294416243662</v>
      </c>
      <c r="N8526" t="str">
        <f>IFERROR(INDEX(tProdutos[Foco],MATCH(tItens[[#This Row],[Produto]],tProdutos[Produto],0)),"Não")</f>
        <v>Não</v>
      </c>
      <c r="O8526" t="str">
        <f>IFERROR(INDEX(tEditais[SRP],MATCH(tItens[[#This Row],[Edital]],tEditais[Edital],0)),"Não")</f>
        <v>Sim</v>
      </c>
      <c r="P8526" s="4">
        <f>IF(COUNTIFS(INDEX(tItens[Edital],1):tItens[[#This Row],[Edital]],tItens[[#This Row],[Edital]],INDEX(tItens[Produto],1):tItens[[#This Row],[Produto]],tItens[[#This Row],[Produto]])=1,1,0)</f>
        <v>0</v>
      </c>
    </row>
    <row r="8527" spans="1:16" x14ac:dyDescent="0.25">
      <c r="A8527" t="s">
        <v>2870</v>
      </c>
      <c r="B8527">
        <v>9</v>
      </c>
      <c r="C8527" t="s">
        <v>10940</v>
      </c>
      <c r="D8527" t="s">
        <v>315</v>
      </c>
      <c r="E8527" s="13">
        <v>200</v>
      </c>
      <c r="F8527" s="12">
        <v>8.43</v>
      </c>
      <c r="G8527" t="str">
        <f>IFERROR(INDEX(tEditais[Órgão],MATCH(tItens[[#This Row],[Edital]],tEditais[Edital],0)),"")</f>
        <v>MUNICIPIO DE BORBOREMA</v>
      </c>
      <c r="H8527" t="str">
        <f>IFERROR(INDEX(tEditais[UF],MATCH(tItens[[#This Row],[Edital]],tEditais[Edital],0)),"")</f>
        <v>SP</v>
      </c>
      <c r="I8527" s="11">
        <f>IFERROR(INDEX(tEditais[Encerramento],MATCH(tItens[[#This Row],[Edital]],tEditais[Edital],0)),"")</f>
        <v>46308.375694444447</v>
      </c>
      <c r="J8527" t="str">
        <f>IFERROR(INDEX(tProdutos[Classe],MATCH(tItens[[#This Row],[Produto]],tProdutos[Produto],0)),"produto não cadastrado")</f>
        <v>FORA</v>
      </c>
      <c r="K8527" s="12">
        <f>tItens[[#This Row],[Qtd]]*tItens[[#This Row],[Vlr unit]]</f>
        <v>1686</v>
      </c>
      <c r="L8527" s="6">
        <f>IFERROR(IF(INDEX(tProdutos[Desconto homologado],MATCH(tItens[[#This Row],[Produto]],tProdutos[Produto],0))="",DescontoPadrao,INDEX(tProdutos[Desconto homologado],MATCH(tItens[[#This Row],[Produto]],tProdutos[Produto],0))),DescontoPadrao)</f>
        <v>0.38432036097010702</v>
      </c>
      <c r="M8527" s="12">
        <f>tItens[[#This Row],[Valor]]*(1-tItens[[#This Row],[Desconto]])</f>
        <v>1038.0358714043996</v>
      </c>
      <c r="N8527" t="str">
        <f>IFERROR(INDEX(tProdutos[Foco],MATCH(tItens[[#This Row],[Produto]],tProdutos[Produto],0)),"Não")</f>
        <v>Não</v>
      </c>
      <c r="O8527" t="str">
        <f>IFERROR(INDEX(tEditais[SRP],MATCH(tItens[[#This Row],[Edital]],tEditais[Edital],0)),"Não")</f>
        <v>Sim</v>
      </c>
      <c r="P8527" s="4">
        <f>IF(COUNTIFS(INDEX(tItens[Edital],1):tItens[[#This Row],[Edital]],tItens[[#This Row],[Edital]],INDEX(tItens[Produto],1):tItens[[#This Row],[Produto]],tItens[[#This Row],[Produto]])=1,1,0)</f>
        <v>0</v>
      </c>
    </row>
    <row r="8528" spans="1:16" x14ac:dyDescent="0.25">
      <c r="A8528" t="s">
        <v>2870</v>
      </c>
      <c r="B8528">
        <v>17</v>
      </c>
      <c r="C8528" t="s">
        <v>10941</v>
      </c>
      <c r="D8528" t="s">
        <v>351</v>
      </c>
      <c r="E8528" s="13">
        <v>1200</v>
      </c>
      <c r="F8528" s="12">
        <v>5.32</v>
      </c>
      <c r="G8528" t="str">
        <f>IFERROR(INDEX(tEditais[Órgão],MATCH(tItens[[#This Row],[Edital]],tEditais[Edital],0)),"")</f>
        <v>MUNICIPIO DE BORBOREMA</v>
      </c>
      <c r="H8528" t="str">
        <f>IFERROR(INDEX(tEditais[UF],MATCH(tItens[[#This Row],[Edital]],tEditais[Edital],0)),"")</f>
        <v>SP</v>
      </c>
      <c r="I8528" s="11">
        <f>IFERROR(INDEX(tEditais[Encerramento],MATCH(tItens[[#This Row],[Edital]],tEditais[Edital],0)),"")</f>
        <v>46308.375694444447</v>
      </c>
      <c r="J8528" t="str">
        <f>IFERROR(INDEX(tProdutos[Classe],MATCH(tItens[[#This Row],[Produto]],tProdutos[Produto],0)),"produto não cadastrado")</f>
        <v>FORA</v>
      </c>
      <c r="K8528" s="12">
        <f>tItens[[#This Row],[Qtd]]*tItens[[#This Row],[Vlr unit]]</f>
        <v>6384</v>
      </c>
      <c r="L8528" s="6">
        <f>IFERROR(IF(INDEX(tProdutos[Desconto homologado],MATCH(tItens[[#This Row],[Produto]],tProdutos[Produto],0))="",DescontoPadrao,INDEX(tProdutos[Desconto homologado],MATCH(tItens[[#This Row],[Produto]],tProdutos[Produto],0))),DescontoPadrao)</f>
        <v>0.33518005540166201</v>
      </c>
      <c r="M8528" s="12">
        <f>tItens[[#This Row],[Valor]]*(1-tItens[[#This Row],[Desconto]])</f>
        <v>4244.21052631579</v>
      </c>
      <c r="N8528" t="str">
        <f>IFERROR(INDEX(tProdutos[Foco],MATCH(tItens[[#This Row],[Produto]],tProdutos[Produto],0)),"Não")</f>
        <v>Não</v>
      </c>
      <c r="O8528" t="str">
        <f>IFERROR(INDEX(tEditais[SRP],MATCH(tItens[[#This Row],[Edital]],tEditais[Edital],0)),"Não")</f>
        <v>Sim</v>
      </c>
      <c r="P8528" s="4">
        <f>IF(COUNTIFS(INDEX(tItens[Edital],1):tItens[[#This Row],[Edital]],tItens[[#This Row],[Edital]],INDEX(tItens[Produto],1):tItens[[#This Row],[Produto]],tItens[[#This Row],[Produto]])=1,1,0)</f>
        <v>1</v>
      </c>
    </row>
    <row r="8529" spans="1:16" x14ac:dyDescent="0.25">
      <c r="A8529" t="s">
        <v>2870</v>
      </c>
      <c r="B8529">
        <v>18</v>
      </c>
      <c r="C8529" t="s">
        <v>10942</v>
      </c>
      <c r="D8529" t="s">
        <v>351</v>
      </c>
      <c r="E8529" s="13">
        <v>1200</v>
      </c>
      <c r="F8529" s="12">
        <v>10.7</v>
      </c>
      <c r="G8529" t="str">
        <f>IFERROR(INDEX(tEditais[Órgão],MATCH(tItens[[#This Row],[Edital]],tEditais[Edital],0)),"")</f>
        <v>MUNICIPIO DE BORBOREMA</v>
      </c>
      <c r="H8529" t="str">
        <f>IFERROR(INDEX(tEditais[UF],MATCH(tItens[[#This Row],[Edital]],tEditais[Edital],0)),"")</f>
        <v>SP</v>
      </c>
      <c r="I8529" s="11">
        <f>IFERROR(INDEX(tEditais[Encerramento],MATCH(tItens[[#This Row],[Edital]],tEditais[Edital],0)),"")</f>
        <v>46308.375694444447</v>
      </c>
      <c r="J8529" t="str">
        <f>IFERROR(INDEX(tProdutos[Classe],MATCH(tItens[[#This Row],[Produto]],tProdutos[Produto],0)),"produto não cadastrado")</f>
        <v>FORA</v>
      </c>
      <c r="K8529" s="12">
        <f>tItens[[#This Row],[Qtd]]*tItens[[#This Row],[Vlr unit]]</f>
        <v>12840</v>
      </c>
      <c r="L8529" s="6">
        <f>IFERROR(IF(INDEX(tProdutos[Desconto homologado],MATCH(tItens[[#This Row],[Produto]],tProdutos[Produto],0))="",DescontoPadrao,INDEX(tProdutos[Desconto homologado],MATCH(tItens[[#This Row],[Produto]],tProdutos[Produto],0))),DescontoPadrao)</f>
        <v>0.33518005540166201</v>
      </c>
      <c r="M8529" s="12">
        <f>tItens[[#This Row],[Valor]]*(1-tItens[[#This Row],[Desconto]])</f>
        <v>8536.288088642661</v>
      </c>
      <c r="N8529" t="str">
        <f>IFERROR(INDEX(tProdutos[Foco],MATCH(tItens[[#This Row],[Produto]],tProdutos[Produto],0)),"Não")</f>
        <v>Não</v>
      </c>
      <c r="O8529" t="str">
        <f>IFERROR(INDEX(tEditais[SRP],MATCH(tItens[[#This Row],[Edital]],tEditais[Edital],0)),"Não")</f>
        <v>Sim</v>
      </c>
      <c r="P8529" s="4">
        <f>IF(COUNTIFS(INDEX(tItens[Edital],1):tItens[[#This Row],[Edital]],tItens[[#This Row],[Edital]],INDEX(tItens[Produto],1):tItens[[#This Row],[Produto]],tItens[[#This Row],[Produto]])=1,1,0)</f>
        <v>0</v>
      </c>
    </row>
    <row r="8530" spans="1:16" x14ac:dyDescent="0.25">
      <c r="A8530" t="s">
        <v>2870</v>
      </c>
      <c r="B8530">
        <v>19</v>
      </c>
      <c r="C8530" t="s">
        <v>10943</v>
      </c>
      <c r="D8530" t="s">
        <v>351</v>
      </c>
      <c r="E8530" s="13">
        <v>1200</v>
      </c>
      <c r="F8530" s="12">
        <v>11.89</v>
      </c>
      <c r="G8530" t="str">
        <f>IFERROR(INDEX(tEditais[Órgão],MATCH(tItens[[#This Row],[Edital]],tEditais[Edital],0)),"")</f>
        <v>MUNICIPIO DE BORBOREMA</v>
      </c>
      <c r="H8530" t="str">
        <f>IFERROR(INDEX(tEditais[UF],MATCH(tItens[[#This Row],[Edital]],tEditais[Edital],0)),"")</f>
        <v>SP</v>
      </c>
      <c r="I8530" s="11">
        <f>IFERROR(INDEX(tEditais[Encerramento],MATCH(tItens[[#This Row],[Edital]],tEditais[Edital],0)),"")</f>
        <v>46308.375694444447</v>
      </c>
      <c r="J8530" t="str">
        <f>IFERROR(INDEX(tProdutos[Classe],MATCH(tItens[[#This Row],[Produto]],tProdutos[Produto],0)),"produto não cadastrado")</f>
        <v>FORA</v>
      </c>
      <c r="K8530" s="12">
        <f>tItens[[#This Row],[Qtd]]*tItens[[#This Row],[Vlr unit]]</f>
        <v>14268</v>
      </c>
      <c r="L8530" s="6">
        <f>IFERROR(IF(INDEX(tProdutos[Desconto homologado],MATCH(tItens[[#This Row],[Produto]],tProdutos[Produto],0))="",DescontoPadrao,INDEX(tProdutos[Desconto homologado],MATCH(tItens[[#This Row],[Produto]],tProdutos[Produto],0))),DescontoPadrao)</f>
        <v>0.33518005540166201</v>
      </c>
      <c r="M8530" s="12">
        <f>tItens[[#This Row],[Valor]]*(1-tItens[[#This Row],[Desconto]])</f>
        <v>9485.6509695290879</v>
      </c>
      <c r="N8530" t="str">
        <f>IFERROR(INDEX(tProdutos[Foco],MATCH(tItens[[#This Row],[Produto]],tProdutos[Produto],0)),"Não")</f>
        <v>Não</v>
      </c>
      <c r="O8530" t="str">
        <f>IFERROR(INDEX(tEditais[SRP],MATCH(tItens[[#This Row],[Edital]],tEditais[Edital],0)),"Não")</f>
        <v>Sim</v>
      </c>
      <c r="P8530" s="4">
        <f>IF(COUNTIFS(INDEX(tItens[Edital],1):tItens[[#This Row],[Edital]],tItens[[#This Row],[Edital]],INDEX(tItens[Produto],1):tItens[[#This Row],[Produto]],tItens[[#This Row],[Produto]])=1,1,0)</f>
        <v>0</v>
      </c>
    </row>
    <row r="8531" spans="1:16" x14ac:dyDescent="0.25">
      <c r="A8531" t="s">
        <v>2870</v>
      </c>
      <c r="B8531">
        <v>24</v>
      </c>
      <c r="C8531" t="s">
        <v>10944</v>
      </c>
      <c r="D8531" t="s">
        <v>389</v>
      </c>
      <c r="E8531" s="13">
        <v>1000</v>
      </c>
      <c r="F8531" s="12">
        <v>4.5599999999999996</v>
      </c>
      <c r="G8531" t="str">
        <f>IFERROR(INDEX(tEditais[Órgão],MATCH(tItens[[#This Row],[Edital]],tEditais[Edital],0)),"")</f>
        <v>MUNICIPIO DE BORBOREMA</v>
      </c>
      <c r="H8531" t="str">
        <f>IFERROR(INDEX(tEditais[UF],MATCH(tItens[[#This Row],[Edital]],tEditais[Edital],0)),"")</f>
        <v>SP</v>
      </c>
      <c r="I8531" s="11">
        <f>IFERROR(INDEX(tEditais[Encerramento],MATCH(tItens[[#This Row],[Edital]],tEditais[Edital],0)),"")</f>
        <v>46308.375694444447</v>
      </c>
      <c r="J8531" t="str">
        <f>IFERROR(INDEX(tProdutos[Classe],MATCH(tItens[[#This Row],[Produto]],tProdutos[Produto],0)),"produto não cadastrado")</f>
        <v>FORA</v>
      </c>
      <c r="K8531" s="12">
        <f>tItens[[#This Row],[Qtd]]*tItens[[#This Row],[Vlr unit]]</f>
        <v>4560</v>
      </c>
      <c r="L8531" s="6">
        <f>IFERROR(IF(INDEX(tProdutos[Desconto homologado],MATCH(tItens[[#This Row],[Produto]],tProdutos[Produto],0))="",DescontoPadrao,INDEX(tProdutos[Desconto homologado],MATCH(tItens[[#This Row],[Produto]],tProdutos[Produto],0))),DescontoPadrao)</f>
        <v>0.39163140573577798</v>
      </c>
      <c r="M8531" s="12">
        <f>tItens[[#This Row],[Valor]]*(1-tItens[[#This Row],[Desconto]])</f>
        <v>2774.1607898448528</v>
      </c>
      <c r="N8531" t="str">
        <f>IFERROR(INDEX(tProdutos[Foco],MATCH(tItens[[#This Row],[Produto]],tProdutos[Produto],0)),"Não")</f>
        <v>Não</v>
      </c>
      <c r="O8531" t="str">
        <f>IFERROR(INDEX(tEditais[SRP],MATCH(tItens[[#This Row],[Edital]],tEditais[Edital],0)),"Não")</f>
        <v>Sim</v>
      </c>
      <c r="P8531" s="4">
        <f>IF(COUNTIFS(INDEX(tItens[Edital],1):tItens[[#This Row],[Edital]],tItens[[#This Row],[Edital]],INDEX(tItens[Produto],1):tItens[[#This Row],[Produto]],tItens[[#This Row],[Produto]])=1,1,0)</f>
        <v>1</v>
      </c>
    </row>
    <row r="8532" spans="1:16" x14ac:dyDescent="0.25">
      <c r="A8532" t="s">
        <v>2870</v>
      </c>
      <c r="B8532">
        <v>28</v>
      </c>
      <c r="C8532" t="s">
        <v>10945</v>
      </c>
      <c r="D8532" t="s">
        <v>73</v>
      </c>
      <c r="E8532" s="13">
        <v>120</v>
      </c>
      <c r="F8532" s="12">
        <v>1.81</v>
      </c>
      <c r="G8532" t="str">
        <f>IFERROR(INDEX(tEditais[Órgão],MATCH(tItens[[#This Row],[Edital]],tEditais[Edital],0)),"")</f>
        <v>MUNICIPIO DE BORBOREMA</v>
      </c>
      <c r="H8532" t="str">
        <f>IFERROR(INDEX(tEditais[UF],MATCH(tItens[[#This Row],[Edital]],tEditais[Edital],0)),"")</f>
        <v>SP</v>
      </c>
      <c r="I8532" s="11">
        <f>IFERROR(INDEX(tEditais[Encerramento],MATCH(tItens[[#This Row],[Edital]],tEditais[Edital],0)),"")</f>
        <v>46308.375694444447</v>
      </c>
      <c r="J8532" t="str">
        <f>IFERROR(INDEX(tProdutos[Classe],MATCH(tItens[[#This Row],[Produto]],tProdutos[Produto],0)),"produto não cadastrado")</f>
        <v>NÚCLEO</v>
      </c>
      <c r="K8532" s="12">
        <f>tItens[[#This Row],[Qtd]]*tItens[[#This Row],[Vlr unit]]</f>
        <v>217.20000000000002</v>
      </c>
      <c r="L8532" s="6">
        <f>IFERROR(IF(INDEX(tProdutos[Desconto homologado],MATCH(tItens[[#This Row],[Produto]],tProdutos[Produto],0))="",DescontoPadrao,INDEX(tProdutos[Desconto homologado],MATCH(tItens[[#This Row],[Produto]],tProdutos[Produto],0))),DescontoPadrao)</f>
        <v>0.37</v>
      </c>
      <c r="M8532" s="12">
        <f>tItens[[#This Row],[Valor]]*(1-tItens[[#This Row],[Desconto]])</f>
        <v>136.83600000000001</v>
      </c>
      <c r="N8532" t="str">
        <f>IFERROR(INDEX(tProdutos[Foco],MATCH(tItens[[#This Row],[Produto]],tProdutos[Produto],0)),"Não")</f>
        <v>Sim</v>
      </c>
      <c r="O8532" t="str">
        <f>IFERROR(INDEX(tEditais[SRP],MATCH(tItens[[#This Row],[Edital]],tEditais[Edital],0)),"Não")</f>
        <v>Sim</v>
      </c>
      <c r="P8532" s="4">
        <f>IF(COUNTIFS(INDEX(tItens[Edital],1):tItens[[#This Row],[Edital]],tItens[[#This Row],[Edital]],INDEX(tItens[Produto],1):tItens[[#This Row],[Produto]],tItens[[#This Row],[Produto]])=1,1,0)</f>
        <v>1</v>
      </c>
    </row>
    <row r="8533" spans="1:16" x14ac:dyDescent="0.25">
      <c r="A8533" t="s">
        <v>2870</v>
      </c>
      <c r="B8533">
        <v>29</v>
      </c>
      <c r="C8533" t="s">
        <v>10946</v>
      </c>
      <c r="D8533" t="s">
        <v>365</v>
      </c>
      <c r="E8533" s="13">
        <v>1000</v>
      </c>
      <c r="F8533" s="12">
        <v>1.1100000000000001</v>
      </c>
      <c r="G8533" t="str">
        <f>IFERROR(INDEX(tEditais[Órgão],MATCH(tItens[[#This Row],[Edital]],tEditais[Edital],0)),"")</f>
        <v>MUNICIPIO DE BORBOREMA</v>
      </c>
      <c r="H8533" t="str">
        <f>IFERROR(INDEX(tEditais[UF],MATCH(tItens[[#This Row],[Edital]],tEditais[Edital],0)),"")</f>
        <v>SP</v>
      </c>
      <c r="I8533" s="11">
        <f>IFERROR(INDEX(tEditais[Encerramento],MATCH(tItens[[#This Row],[Edital]],tEditais[Edital],0)),"")</f>
        <v>46308.375694444447</v>
      </c>
      <c r="J8533" t="str">
        <f>IFERROR(INDEX(tProdutos[Classe],MATCH(tItens[[#This Row],[Produto]],tProdutos[Produto],0)),"produto não cadastrado")</f>
        <v>FORA</v>
      </c>
      <c r="K8533" s="12">
        <f>tItens[[#This Row],[Qtd]]*tItens[[#This Row],[Vlr unit]]</f>
        <v>1110</v>
      </c>
      <c r="L8533" s="6">
        <f>IFERROR(IF(INDEX(tProdutos[Desconto homologado],MATCH(tItens[[#This Row],[Produto]],tProdutos[Produto],0))="",DescontoPadrao,INDEX(tProdutos[Desconto homologado],MATCH(tItens[[#This Row],[Produto]],tProdutos[Produto],0))),DescontoPadrao)</f>
        <v>0.41120529659182697</v>
      </c>
      <c r="M8533" s="12">
        <f>tItens[[#This Row],[Valor]]*(1-tItens[[#This Row],[Desconto]])</f>
        <v>653.56212078307215</v>
      </c>
      <c r="N8533" t="str">
        <f>IFERROR(INDEX(tProdutos[Foco],MATCH(tItens[[#This Row],[Produto]],tProdutos[Produto],0)),"Não")</f>
        <v>Não</v>
      </c>
      <c r="O8533" t="str">
        <f>IFERROR(INDEX(tEditais[SRP],MATCH(tItens[[#This Row],[Edital]],tEditais[Edital],0)),"Não")</f>
        <v>Sim</v>
      </c>
      <c r="P8533" s="4">
        <f>IF(COUNTIFS(INDEX(tItens[Edital],1):tItens[[#This Row],[Edital]],tItens[[#This Row],[Edital]],INDEX(tItens[Produto],1):tItens[[#This Row],[Produto]],tItens[[#This Row],[Produto]])=1,1,0)</f>
        <v>1</v>
      </c>
    </row>
    <row r="8534" spans="1:16" x14ac:dyDescent="0.25">
      <c r="A8534" t="s">
        <v>2870</v>
      </c>
      <c r="B8534">
        <v>30</v>
      </c>
      <c r="C8534" t="s">
        <v>10947</v>
      </c>
      <c r="D8534" t="s">
        <v>379</v>
      </c>
      <c r="E8534" s="13">
        <v>1000</v>
      </c>
      <c r="F8534" s="12">
        <v>1.1399999999999999</v>
      </c>
      <c r="G8534" t="str">
        <f>IFERROR(INDEX(tEditais[Órgão],MATCH(tItens[[#This Row],[Edital]],tEditais[Edital],0)),"")</f>
        <v>MUNICIPIO DE BORBOREMA</v>
      </c>
      <c r="H8534" t="str">
        <f>IFERROR(INDEX(tEditais[UF],MATCH(tItens[[#This Row],[Edital]],tEditais[Edital],0)),"")</f>
        <v>SP</v>
      </c>
      <c r="I8534" s="11">
        <f>IFERROR(INDEX(tEditais[Encerramento],MATCH(tItens[[#This Row],[Edital]],tEditais[Edital],0)),"")</f>
        <v>46308.375694444447</v>
      </c>
      <c r="J8534" t="str">
        <f>IFERROR(INDEX(tProdutos[Classe],MATCH(tItens[[#This Row],[Produto]],tProdutos[Produto],0)),"produto não cadastrado")</f>
        <v>FORA</v>
      </c>
      <c r="K8534" s="12">
        <f>tItens[[#This Row],[Qtd]]*tItens[[#This Row],[Vlr unit]]</f>
        <v>1140</v>
      </c>
      <c r="L8534" s="6">
        <f>IFERROR(IF(INDEX(tProdutos[Desconto homologado],MATCH(tItens[[#This Row],[Produto]],tProdutos[Produto],0))="",DescontoPadrao,INDEX(tProdutos[Desconto homologado],MATCH(tItens[[#This Row],[Produto]],tProdutos[Produto],0))),DescontoPadrao)</f>
        <v>0.49504950495049499</v>
      </c>
      <c r="M8534" s="12">
        <f>tItens[[#This Row],[Valor]]*(1-tItens[[#This Row],[Desconto]])</f>
        <v>575.6435643564356</v>
      </c>
      <c r="N8534" t="str">
        <f>IFERROR(INDEX(tProdutos[Foco],MATCH(tItens[[#This Row],[Produto]],tProdutos[Produto],0)),"Não")</f>
        <v>Não</v>
      </c>
      <c r="O8534" t="str">
        <f>IFERROR(INDEX(tEditais[SRP],MATCH(tItens[[#This Row],[Edital]],tEditais[Edital],0)),"Não")</f>
        <v>Sim</v>
      </c>
      <c r="P8534" s="4">
        <f>IF(COUNTIFS(INDEX(tItens[Edital],1):tItens[[#This Row],[Edital]],tItens[[#This Row],[Edital]],INDEX(tItens[Produto],1):tItens[[#This Row],[Produto]],tItens[[#This Row],[Produto]])=1,1,0)</f>
        <v>1</v>
      </c>
    </row>
    <row r="8535" spans="1:16" x14ac:dyDescent="0.25">
      <c r="A8535" t="s">
        <v>2870</v>
      </c>
      <c r="B8535">
        <v>31</v>
      </c>
      <c r="C8535" t="s">
        <v>10948</v>
      </c>
      <c r="D8535" t="s">
        <v>247</v>
      </c>
      <c r="E8535" s="13">
        <v>2500</v>
      </c>
      <c r="F8535" s="12">
        <v>1.44</v>
      </c>
      <c r="G8535" t="str">
        <f>IFERROR(INDEX(tEditais[Órgão],MATCH(tItens[[#This Row],[Edital]],tEditais[Edital],0)),"")</f>
        <v>MUNICIPIO DE BORBOREMA</v>
      </c>
      <c r="H8535" t="str">
        <f>IFERROR(INDEX(tEditais[UF],MATCH(tItens[[#This Row],[Edital]],tEditais[Edital],0)),"")</f>
        <v>SP</v>
      </c>
      <c r="I8535" s="11">
        <f>IFERROR(INDEX(tEditais[Encerramento],MATCH(tItens[[#This Row],[Edital]],tEditais[Edital],0)),"")</f>
        <v>46308.375694444447</v>
      </c>
      <c r="J8535" t="str">
        <f>IFERROR(INDEX(tProdutos[Classe],MATCH(tItens[[#This Row],[Produto]],tProdutos[Produto],0)),"produto não cadastrado")</f>
        <v>FORA</v>
      </c>
      <c r="K8535" s="12">
        <f>tItens[[#This Row],[Qtd]]*tItens[[#This Row],[Vlr unit]]</f>
        <v>3600</v>
      </c>
      <c r="L8535" s="6">
        <f>IFERROR(IF(INDEX(tProdutos[Desconto homologado],MATCH(tItens[[#This Row],[Produto]],tProdutos[Produto],0))="",DescontoPadrao,INDEX(tProdutos[Desconto homologado],MATCH(tItens[[#This Row],[Produto]],tProdutos[Produto],0))),DescontoPadrao)</f>
        <v>0.27353256199762999</v>
      </c>
      <c r="M8535" s="12">
        <f>tItens[[#This Row],[Valor]]*(1-tItens[[#This Row],[Desconto]])</f>
        <v>2615.2827768085322</v>
      </c>
      <c r="N8535" t="str">
        <f>IFERROR(INDEX(tProdutos[Foco],MATCH(tItens[[#This Row],[Produto]],tProdutos[Produto],0)),"Não")</f>
        <v>Não</v>
      </c>
      <c r="O8535" t="str">
        <f>IFERROR(INDEX(tEditais[SRP],MATCH(tItens[[#This Row],[Edital]],tEditais[Edital],0)),"Não")</f>
        <v>Sim</v>
      </c>
      <c r="P8535" s="4">
        <f>IF(COUNTIFS(INDEX(tItens[Edital],1):tItens[[#This Row],[Edital]],tItens[[#This Row],[Edital]],INDEX(tItens[Produto],1):tItens[[#This Row],[Produto]],tItens[[#This Row],[Produto]])=1,1,0)</f>
        <v>1</v>
      </c>
    </row>
    <row r="8536" spans="1:16" x14ac:dyDescent="0.25">
      <c r="A8536" t="s">
        <v>2870</v>
      </c>
      <c r="B8536">
        <v>32</v>
      </c>
      <c r="C8536" t="s">
        <v>10949</v>
      </c>
      <c r="D8536" t="s">
        <v>287</v>
      </c>
      <c r="E8536" s="13">
        <v>2500</v>
      </c>
      <c r="F8536" s="12">
        <v>1.63</v>
      </c>
      <c r="G8536" t="str">
        <f>IFERROR(INDEX(tEditais[Órgão],MATCH(tItens[[#This Row],[Edital]],tEditais[Edital],0)),"")</f>
        <v>MUNICIPIO DE BORBOREMA</v>
      </c>
      <c r="H8536" t="str">
        <f>IFERROR(INDEX(tEditais[UF],MATCH(tItens[[#This Row],[Edital]],tEditais[Edital],0)),"")</f>
        <v>SP</v>
      </c>
      <c r="I8536" s="11">
        <f>IFERROR(INDEX(tEditais[Encerramento],MATCH(tItens[[#This Row],[Edital]],tEditais[Edital],0)),"")</f>
        <v>46308.375694444447</v>
      </c>
      <c r="J8536" t="str">
        <f>IFERROR(INDEX(tProdutos[Classe],MATCH(tItens[[#This Row],[Produto]],tProdutos[Produto],0)),"produto não cadastrado")</f>
        <v>FORA</v>
      </c>
      <c r="K8536" s="12">
        <f>tItens[[#This Row],[Qtd]]*tItens[[#This Row],[Vlr unit]]</f>
        <v>4074.9999999999995</v>
      </c>
      <c r="L8536" s="6">
        <f>IFERROR(IF(INDEX(tProdutos[Desconto homologado],MATCH(tItens[[#This Row],[Produto]],tProdutos[Produto],0))="",DescontoPadrao,INDEX(tProdutos[Desconto homologado],MATCH(tItens[[#This Row],[Produto]],tProdutos[Produto],0))),DescontoPadrao)</f>
        <v>0.46344491178876002</v>
      </c>
      <c r="M8536" s="12">
        <f>tItens[[#This Row],[Valor]]*(1-tItens[[#This Row],[Desconto]])</f>
        <v>2186.4619844608028</v>
      </c>
      <c r="N8536" t="str">
        <f>IFERROR(INDEX(tProdutos[Foco],MATCH(tItens[[#This Row],[Produto]],tProdutos[Produto],0)),"Não")</f>
        <v>Não</v>
      </c>
      <c r="O8536" t="str">
        <f>IFERROR(INDEX(tEditais[SRP],MATCH(tItens[[#This Row],[Edital]],tEditais[Edital],0)),"Não")</f>
        <v>Sim</v>
      </c>
      <c r="P8536" s="4">
        <f>IF(COUNTIFS(INDEX(tItens[Edital],1):tItens[[#This Row],[Edital]],tItens[[#This Row],[Edital]],INDEX(tItens[Produto],1):tItens[[#This Row],[Produto]],tItens[[#This Row],[Produto]])=1,1,0)</f>
        <v>1</v>
      </c>
    </row>
    <row r="8537" spans="1:16" x14ac:dyDescent="0.25">
      <c r="A8537" t="s">
        <v>2870</v>
      </c>
      <c r="B8537">
        <v>36</v>
      </c>
      <c r="C8537" t="s">
        <v>10950</v>
      </c>
      <c r="D8537" t="s">
        <v>279</v>
      </c>
      <c r="E8537" s="13">
        <v>250</v>
      </c>
      <c r="F8537" s="12">
        <v>3.75</v>
      </c>
      <c r="G8537" t="str">
        <f>IFERROR(INDEX(tEditais[Órgão],MATCH(tItens[[#This Row],[Edital]],tEditais[Edital],0)),"")</f>
        <v>MUNICIPIO DE BORBOREMA</v>
      </c>
      <c r="H8537" t="str">
        <f>IFERROR(INDEX(tEditais[UF],MATCH(tItens[[#This Row],[Edital]],tEditais[Edital],0)),"")</f>
        <v>SP</v>
      </c>
      <c r="I8537" s="11">
        <f>IFERROR(INDEX(tEditais[Encerramento],MATCH(tItens[[#This Row],[Edital]],tEditais[Edital],0)),"")</f>
        <v>46308.375694444447</v>
      </c>
      <c r="J8537" t="str">
        <f>IFERROR(INDEX(tProdutos[Classe],MATCH(tItens[[#This Row],[Produto]],tProdutos[Produto],0)),"produto não cadastrado")</f>
        <v>FORA</v>
      </c>
      <c r="K8537" s="12">
        <f>tItens[[#This Row],[Qtd]]*tItens[[#This Row],[Vlr unit]]</f>
        <v>937.5</v>
      </c>
      <c r="L8537" s="6">
        <f>IFERROR(IF(INDEX(tProdutos[Desconto homologado],MATCH(tItens[[#This Row],[Produto]],tProdutos[Produto],0))="",DescontoPadrao,INDEX(tProdutos[Desconto homologado],MATCH(tItens[[#This Row],[Produto]],tProdutos[Produto],0))),DescontoPadrao)</f>
        <v>0.28909090909090901</v>
      </c>
      <c r="M8537" s="12">
        <f>tItens[[#This Row],[Valor]]*(1-tItens[[#This Row],[Desconto]])</f>
        <v>666.47727272727275</v>
      </c>
      <c r="N8537" t="str">
        <f>IFERROR(INDEX(tProdutos[Foco],MATCH(tItens[[#This Row],[Produto]],tProdutos[Produto],0)),"Não")</f>
        <v>Não</v>
      </c>
      <c r="O8537" t="str">
        <f>IFERROR(INDEX(tEditais[SRP],MATCH(tItens[[#This Row],[Edital]],tEditais[Edital],0)),"Não")</f>
        <v>Sim</v>
      </c>
      <c r="P8537" s="4">
        <f>IF(COUNTIFS(INDEX(tItens[Edital],1):tItens[[#This Row],[Edital]],tItens[[#This Row],[Edital]],INDEX(tItens[Produto],1):tItens[[#This Row],[Produto]],tItens[[#This Row],[Produto]])=1,1,0)</f>
        <v>1</v>
      </c>
    </row>
    <row r="8538" spans="1:16" x14ac:dyDescent="0.25">
      <c r="A8538" t="s">
        <v>2870</v>
      </c>
      <c r="B8538">
        <v>37</v>
      </c>
      <c r="C8538" t="s">
        <v>10951</v>
      </c>
      <c r="D8538" t="s">
        <v>279</v>
      </c>
      <c r="E8538" s="13">
        <v>25000</v>
      </c>
      <c r="F8538" s="12">
        <v>0.54</v>
      </c>
      <c r="G8538" t="str">
        <f>IFERROR(INDEX(tEditais[Órgão],MATCH(tItens[[#This Row],[Edital]],tEditais[Edital],0)),"")</f>
        <v>MUNICIPIO DE BORBOREMA</v>
      </c>
      <c r="H8538" t="str">
        <f>IFERROR(INDEX(tEditais[UF],MATCH(tItens[[#This Row],[Edital]],tEditais[Edital],0)),"")</f>
        <v>SP</v>
      </c>
      <c r="I8538" s="11">
        <f>IFERROR(INDEX(tEditais[Encerramento],MATCH(tItens[[#This Row],[Edital]],tEditais[Edital],0)),"")</f>
        <v>46308.375694444447</v>
      </c>
      <c r="J8538" t="str">
        <f>IFERROR(INDEX(tProdutos[Classe],MATCH(tItens[[#This Row],[Produto]],tProdutos[Produto],0)),"produto não cadastrado")</f>
        <v>FORA</v>
      </c>
      <c r="K8538" s="12">
        <f>tItens[[#This Row],[Qtd]]*tItens[[#This Row],[Vlr unit]]</f>
        <v>13500</v>
      </c>
      <c r="L8538" s="6">
        <f>IFERROR(IF(INDEX(tProdutos[Desconto homologado],MATCH(tItens[[#This Row],[Produto]],tProdutos[Produto],0))="",DescontoPadrao,INDEX(tProdutos[Desconto homologado],MATCH(tItens[[#This Row],[Produto]],tProdutos[Produto],0))),DescontoPadrao)</f>
        <v>0.28909090909090901</v>
      </c>
      <c r="M8538" s="12">
        <f>tItens[[#This Row],[Valor]]*(1-tItens[[#This Row],[Desconto]])</f>
        <v>9597.2727272727279</v>
      </c>
      <c r="N8538" t="str">
        <f>IFERROR(INDEX(tProdutos[Foco],MATCH(tItens[[#This Row],[Produto]],tProdutos[Produto],0)),"Não")</f>
        <v>Não</v>
      </c>
      <c r="O8538" t="str">
        <f>IFERROR(INDEX(tEditais[SRP],MATCH(tItens[[#This Row],[Edital]],tEditais[Edital],0)),"Não")</f>
        <v>Sim</v>
      </c>
      <c r="P8538" s="4">
        <f>IF(COUNTIFS(INDEX(tItens[Edital],1):tItens[[#This Row],[Edital]],tItens[[#This Row],[Edital]],INDEX(tItens[Produto],1):tItens[[#This Row],[Produto]],tItens[[#This Row],[Produto]])=1,1,0)</f>
        <v>0</v>
      </c>
    </row>
    <row r="8539" spans="1:16" x14ac:dyDescent="0.25">
      <c r="A8539" t="s">
        <v>2870</v>
      </c>
      <c r="B8539">
        <v>46</v>
      </c>
      <c r="C8539" t="s">
        <v>10952</v>
      </c>
      <c r="D8539" t="s">
        <v>311</v>
      </c>
      <c r="E8539" s="13">
        <v>600</v>
      </c>
      <c r="F8539" s="12">
        <v>5.07</v>
      </c>
      <c r="G8539" t="str">
        <f>IFERROR(INDEX(tEditais[Órgão],MATCH(tItens[[#This Row],[Edital]],tEditais[Edital],0)),"")</f>
        <v>MUNICIPIO DE BORBOREMA</v>
      </c>
      <c r="H8539" t="str">
        <f>IFERROR(INDEX(tEditais[UF],MATCH(tItens[[#This Row],[Edital]],tEditais[Edital],0)),"")</f>
        <v>SP</v>
      </c>
      <c r="I8539" s="11">
        <f>IFERROR(INDEX(tEditais[Encerramento],MATCH(tItens[[#This Row],[Edital]],tEditais[Edital],0)),"")</f>
        <v>46308.375694444447</v>
      </c>
      <c r="J8539" t="str">
        <f>IFERROR(INDEX(tProdutos[Classe],MATCH(tItens[[#This Row],[Produto]],tProdutos[Produto],0)),"produto não cadastrado")</f>
        <v>FORA</v>
      </c>
      <c r="K8539" s="12">
        <f>tItens[[#This Row],[Qtd]]*tItens[[#This Row],[Vlr unit]]</f>
        <v>3042</v>
      </c>
      <c r="L8539" s="6">
        <f>IFERROR(IF(INDEX(tProdutos[Desconto homologado],MATCH(tItens[[#This Row],[Produto]],tProdutos[Produto],0))="",DescontoPadrao,INDEX(tProdutos[Desconto homologado],MATCH(tItens[[#This Row],[Produto]],tProdutos[Produto],0))),DescontoPadrao)</f>
        <v>0.29046182846371399</v>
      </c>
      <c r="M8539" s="12">
        <f>tItens[[#This Row],[Valor]]*(1-tItens[[#This Row],[Desconto]])</f>
        <v>2158.415117813382</v>
      </c>
      <c r="N8539" t="str">
        <f>IFERROR(INDEX(tProdutos[Foco],MATCH(tItens[[#This Row],[Produto]],tProdutos[Produto],0)),"Não")</f>
        <v>Não</v>
      </c>
      <c r="O8539" t="str">
        <f>IFERROR(INDEX(tEditais[SRP],MATCH(tItens[[#This Row],[Edital]],tEditais[Edital],0)),"Não")</f>
        <v>Sim</v>
      </c>
      <c r="P8539" s="4">
        <f>IF(COUNTIFS(INDEX(tItens[Edital],1):tItens[[#This Row],[Edital]],tItens[[#This Row],[Edital]],INDEX(tItens[Produto],1):tItens[[#This Row],[Produto]],tItens[[#This Row],[Produto]])=1,1,0)</f>
        <v>1</v>
      </c>
    </row>
    <row r="8540" spans="1:16" x14ac:dyDescent="0.25">
      <c r="A8540" t="s">
        <v>2870</v>
      </c>
      <c r="B8540">
        <v>47</v>
      </c>
      <c r="C8540" t="s">
        <v>10953</v>
      </c>
      <c r="D8540" t="s">
        <v>311</v>
      </c>
      <c r="E8540" s="13">
        <v>500</v>
      </c>
      <c r="F8540" s="12">
        <v>7.27</v>
      </c>
      <c r="G8540" t="str">
        <f>IFERROR(INDEX(tEditais[Órgão],MATCH(tItens[[#This Row],[Edital]],tEditais[Edital],0)),"")</f>
        <v>MUNICIPIO DE BORBOREMA</v>
      </c>
      <c r="H8540" t="str">
        <f>IFERROR(INDEX(tEditais[UF],MATCH(tItens[[#This Row],[Edital]],tEditais[Edital],0)),"")</f>
        <v>SP</v>
      </c>
      <c r="I8540" s="11">
        <f>IFERROR(INDEX(tEditais[Encerramento],MATCH(tItens[[#This Row],[Edital]],tEditais[Edital],0)),"")</f>
        <v>46308.375694444447</v>
      </c>
      <c r="J8540" t="str">
        <f>IFERROR(INDEX(tProdutos[Classe],MATCH(tItens[[#This Row],[Produto]],tProdutos[Produto],0)),"produto não cadastrado")</f>
        <v>FORA</v>
      </c>
      <c r="K8540" s="12">
        <f>tItens[[#This Row],[Qtd]]*tItens[[#This Row],[Vlr unit]]</f>
        <v>3635</v>
      </c>
      <c r="L8540" s="6">
        <f>IFERROR(IF(INDEX(tProdutos[Desconto homologado],MATCH(tItens[[#This Row],[Produto]],tProdutos[Produto],0))="",DescontoPadrao,INDEX(tProdutos[Desconto homologado],MATCH(tItens[[#This Row],[Produto]],tProdutos[Produto],0))),DescontoPadrao)</f>
        <v>0.29046182846371399</v>
      </c>
      <c r="M8540" s="12">
        <f>tItens[[#This Row],[Valor]]*(1-tItens[[#This Row],[Desconto]])</f>
        <v>2579.1712535344</v>
      </c>
      <c r="N8540" t="str">
        <f>IFERROR(INDEX(tProdutos[Foco],MATCH(tItens[[#This Row],[Produto]],tProdutos[Produto],0)),"Não")</f>
        <v>Não</v>
      </c>
      <c r="O8540" t="str">
        <f>IFERROR(INDEX(tEditais[SRP],MATCH(tItens[[#This Row],[Edital]],tEditais[Edital],0)),"Não")</f>
        <v>Sim</v>
      </c>
      <c r="P8540" s="4">
        <f>IF(COUNTIFS(INDEX(tItens[Edital],1):tItens[[#This Row],[Edital]],tItens[[#This Row],[Edital]],INDEX(tItens[Produto],1):tItens[[#This Row],[Produto]],tItens[[#This Row],[Produto]])=1,1,0)</f>
        <v>0</v>
      </c>
    </row>
    <row r="8541" spans="1:16" x14ac:dyDescent="0.25">
      <c r="A8541" t="s">
        <v>2870</v>
      </c>
      <c r="B8541">
        <v>48</v>
      </c>
      <c r="C8541" t="s">
        <v>10954</v>
      </c>
      <c r="D8541" t="s">
        <v>299</v>
      </c>
      <c r="E8541" s="13">
        <v>10000</v>
      </c>
      <c r="F8541" s="12">
        <v>0.38</v>
      </c>
      <c r="G8541" t="str">
        <f>IFERROR(INDEX(tEditais[Órgão],MATCH(tItens[[#This Row],[Edital]],tEditais[Edital],0)),"")</f>
        <v>MUNICIPIO DE BORBOREMA</v>
      </c>
      <c r="H8541" t="str">
        <f>IFERROR(INDEX(tEditais[UF],MATCH(tItens[[#This Row],[Edital]],tEditais[Edital],0)),"")</f>
        <v>SP</v>
      </c>
      <c r="I8541" s="11">
        <f>IFERROR(INDEX(tEditais[Encerramento],MATCH(tItens[[#This Row],[Edital]],tEditais[Edital],0)),"")</f>
        <v>46308.375694444447</v>
      </c>
      <c r="J8541" t="str">
        <f>IFERROR(INDEX(tProdutos[Classe],MATCH(tItens[[#This Row],[Produto]],tProdutos[Produto],0)),"produto não cadastrado")</f>
        <v>FORA</v>
      </c>
      <c r="K8541" s="12">
        <f>tItens[[#This Row],[Qtd]]*tItens[[#This Row],[Vlr unit]]</f>
        <v>3800</v>
      </c>
      <c r="L8541" s="6">
        <f>IFERROR(IF(INDEX(tProdutos[Desconto homologado],MATCH(tItens[[#This Row],[Produto]],tProdutos[Produto],0))="",DescontoPadrao,INDEX(tProdutos[Desconto homologado],MATCH(tItens[[#This Row],[Produto]],tProdutos[Produto],0))),DescontoPadrao)</f>
        <v>0.42211465163381601</v>
      </c>
      <c r="M8541" s="12">
        <f>tItens[[#This Row],[Valor]]*(1-tItens[[#This Row],[Desconto]])</f>
        <v>2195.9643237914993</v>
      </c>
      <c r="N8541" t="str">
        <f>IFERROR(INDEX(tProdutos[Foco],MATCH(tItens[[#This Row],[Produto]],tProdutos[Produto],0)),"Não")</f>
        <v>Não</v>
      </c>
      <c r="O8541" t="str">
        <f>IFERROR(INDEX(tEditais[SRP],MATCH(tItens[[#This Row],[Edital]],tEditais[Edital],0)),"Não")</f>
        <v>Sim</v>
      </c>
      <c r="P8541" s="4">
        <f>IF(COUNTIFS(INDEX(tItens[Edital],1):tItens[[#This Row],[Edital]],tItens[[#This Row],[Edital]],INDEX(tItens[Produto],1):tItens[[#This Row],[Produto]],tItens[[#This Row],[Produto]])=1,1,0)</f>
        <v>1</v>
      </c>
    </row>
    <row r="8542" spans="1:16" x14ac:dyDescent="0.25">
      <c r="A8542" t="s">
        <v>2870</v>
      </c>
      <c r="B8542">
        <v>49</v>
      </c>
      <c r="C8542" t="s">
        <v>10955</v>
      </c>
      <c r="D8542" t="s">
        <v>60</v>
      </c>
      <c r="E8542" s="13">
        <v>6000</v>
      </c>
      <c r="F8542" s="12">
        <v>0.56000000000000005</v>
      </c>
      <c r="G8542" t="str">
        <f>IFERROR(INDEX(tEditais[Órgão],MATCH(tItens[[#This Row],[Edital]],tEditais[Edital],0)),"")</f>
        <v>MUNICIPIO DE BORBOREMA</v>
      </c>
      <c r="H8542" t="str">
        <f>IFERROR(INDEX(tEditais[UF],MATCH(tItens[[#This Row],[Edital]],tEditais[Edital],0)),"")</f>
        <v>SP</v>
      </c>
      <c r="I8542" s="11">
        <f>IFERROR(INDEX(tEditais[Encerramento],MATCH(tItens[[#This Row],[Edital]],tEditais[Edital],0)),"")</f>
        <v>46308.375694444447</v>
      </c>
      <c r="J8542" t="str">
        <f>IFERROR(INDEX(tProdutos[Classe],MATCH(tItens[[#This Row],[Produto]],tProdutos[Produto],0)),"produto não cadastrado")</f>
        <v>NÚCLEO</v>
      </c>
      <c r="K8542" s="12">
        <f>tItens[[#This Row],[Qtd]]*tItens[[#This Row],[Vlr unit]]</f>
        <v>3360.0000000000005</v>
      </c>
      <c r="L8542" s="6">
        <f>IFERROR(IF(INDEX(tProdutos[Desconto homologado],MATCH(tItens[[#This Row],[Produto]],tProdutos[Produto],0))="",DescontoPadrao,INDEX(tProdutos[Desconto homologado],MATCH(tItens[[#This Row],[Produto]],tProdutos[Produto],0))),DescontoPadrao)</f>
        <v>0.23</v>
      </c>
      <c r="M8542" s="12">
        <f>tItens[[#This Row],[Valor]]*(1-tItens[[#This Row],[Desconto]])</f>
        <v>2587.2000000000003</v>
      </c>
      <c r="N8542" t="str">
        <f>IFERROR(INDEX(tProdutos[Foco],MATCH(tItens[[#This Row],[Produto]],tProdutos[Produto],0)),"Não")</f>
        <v>Sim</v>
      </c>
      <c r="O8542" t="str">
        <f>IFERROR(INDEX(tEditais[SRP],MATCH(tItens[[#This Row],[Edital]],tEditais[Edital],0)),"Não")</f>
        <v>Sim</v>
      </c>
      <c r="P8542" s="4">
        <f>IF(COUNTIFS(INDEX(tItens[Edital],1):tItens[[#This Row],[Edital]],tItens[[#This Row],[Edital]],INDEX(tItens[Produto],1):tItens[[#This Row],[Produto]],tItens[[#This Row],[Produto]])=1,1,0)</f>
        <v>1</v>
      </c>
    </row>
    <row r="8543" spans="1:16" x14ac:dyDescent="0.25">
      <c r="A8543" t="s">
        <v>2870</v>
      </c>
      <c r="B8543">
        <v>50</v>
      </c>
      <c r="C8543" t="s">
        <v>10956</v>
      </c>
      <c r="D8543" t="s">
        <v>90</v>
      </c>
      <c r="E8543" s="13">
        <v>300</v>
      </c>
      <c r="F8543" s="12">
        <v>12.88</v>
      </c>
      <c r="G8543" t="str">
        <f>IFERROR(INDEX(tEditais[Órgão],MATCH(tItens[[#This Row],[Edital]],tEditais[Edital],0)),"")</f>
        <v>MUNICIPIO DE BORBOREMA</v>
      </c>
      <c r="H8543" t="str">
        <f>IFERROR(INDEX(tEditais[UF],MATCH(tItens[[#This Row],[Edital]],tEditais[Edital],0)),"")</f>
        <v>SP</v>
      </c>
      <c r="I8543" s="11">
        <f>IFERROR(INDEX(tEditais[Encerramento],MATCH(tItens[[#This Row],[Edital]],tEditais[Edital],0)),"")</f>
        <v>46308.375694444447</v>
      </c>
      <c r="J8543" t="str">
        <f>IFERROR(INDEX(tProdutos[Classe],MATCH(tItens[[#This Row],[Produto]],tProdutos[Produto],0)),"produto não cadastrado")</f>
        <v>DISPUTADO</v>
      </c>
      <c r="K8543" s="12">
        <f>tItens[[#This Row],[Qtd]]*tItens[[#This Row],[Vlr unit]]</f>
        <v>3864.0000000000005</v>
      </c>
      <c r="L8543" s="6">
        <f>IFERROR(IF(INDEX(tProdutos[Desconto homologado],MATCH(tItens[[#This Row],[Produto]],tProdutos[Produto],0))="",DescontoPadrao,INDEX(tProdutos[Desconto homologado],MATCH(tItens[[#This Row],[Produto]],tProdutos[Produto],0))),DescontoPadrao)</f>
        <v>0.25393823957010597</v>
      </c>
      <c r="M8543" s="12">
        <f>tItens[[#This Row],[Valor]]*(1-tItens[[#This Row],[Desconto]])</f>
        <v>2882.7826423011111</v>
      </c>
      <c r="N8543" t="str">
        <f>IFERROR(INDEX(tProdutos[Foco],MATCH(tItens[[#This Row],[Produto]],tProdutos[Produto],0)),"Não")</f>
        <v>Não</v>
      </c>
      <c r="O8543" t="str">
        <f>IFERROR(INDEX(tEditais[SRP],MATCH(tItens[[#This Row],[Edital]],tEditais[Edital],0)),"Não")</f>
        <v>Sim</v>
      </c>
      <c r="P8543" s="4">
        <f>IF(COUNTIFS(INDEX(tItens[Edital],1):tItens[[#This Row],[Edital]],tItens[[#This Row],[Edital]],INDEX(tItens[Produto],1):tItens[[#This Row],[Produto]],tItens[[#This Row],[Produto]])=1,1,0)</f>
        <v>1</v>
      </c>
    </row>
    <row r="8544" spans="1:16" x14ac:dyDescent="0.25">
      <c r="A8544" t="s">
        <v>2870</v>
      </c>
      <c r="B8544">
        <v>51</v>
      </c>
      <c r="C8544" t="s">
        <v>10957</v>
      </c>
      <c r="D8544" t="s">
        <v>233</v>
      </c>
      <c r="E8544" s="13">
        <v>20</v>
      </c>
      <c r="F8544" s="12">
        <v>14.86</v>
      </c>
      <c r="G8544" t="str">
        <f>IFERROR(INDEX(tEditais[Órgão],MATCH(tItens[[#This Row],[Edital]],tEditais[Edital],0)),"")</f>
        <v>MUNICIPIO DE BORBOREMA</v>
      </c>
      <c r="H8544" t="str">
        <f>IFERROR(INDEX(tEditais[UF],MATCH(tItens[[#This Row],[Edital]],tEditais[Edital],0)),"")</f>
        <v>SP</v>
      </c>
      <c r="I8544" s="11">
        <f>IFERROR(INDEX(tEditais[Encerramento],MATCH(tItens[[#This Row],[Edital]],tEditais[Edital],0)),"")</f>
        <v>46308.375694444447</v>
      </c>
      <c r="J8544" t="str">
        <f>IFERROR(INDEX(tProdutos[Classe],MATCH(tItens[[#This Row],[Produto]],tProdutos[Produto],0)),"produto não cadastrado")</f>
        <v>FORA</v>
      </c>
      <c r="K8544" s="12">
        <f>tItens[[#This Row],[Qtd]]*tItens[[#This Row],[Vlr unit]]</f>
        <v>297.2</v>
      </c>
      <c r="L8544" s="6">
        <f>IFERROR(IF(INDEX(tProdutos[Desconto homologado],MATCH(tItens[[#This Row],[Produto]],tProdutos[Produto],0))="",DescontoPadrao,INDEX(tProdutos[Desconto homologado],MATCH(tItens[[#This Row],[Produto]],tProdutos[Produto],0))),DescontoPadrao)</f>
        <v>0.246270084162204</v>
      </c>
      <c r="M8544" s="12">
        <f>tItens[[#This Row],[Valor]]*(1-tItens[[#This Row],[Desconto]])</f>
        <v>224.00853098699298</v>
      </c>
      <c r="N8544" t="str">
        <f>IFERROR(INDEX(tProdutos[Foco],MATCH(tItens[[#This Row],[Produto]],tProdutos[Produto],0)),"Não")</f>
        <v>Não</v>
      </c>
      <c r="O8544" t="str">
        <f>IFERROR(INDEX(tEditais[SRP],MATCH(tItens[[#This Row],[Edital]],tEditais[Edital],0)),"Não")</f>
        <v>Sim</v>
      </c>
      <c r="P8544" s="4">
        <f>IF(COUNTIFS(INDEX(tItens[Edital],1):tItens[[#This Row],[Edital]],tItens[[#This Row],[Edital]],INDEX(tItens[Produto],1):tItens[[#This Row],[Produto]],tItens[[#This Row],[Produto]])=1,1,0)</f>
        <v>1</v>
      </c>
    </row>
    <row r="8545" spans="1:16" x14ac:dyDescent="0.25">
      <c r="A8545" t="s">
        <v>2870</v>
      </c>
      <c r="B8545">
        <v>52</v>
      </c>
      <c r="C8545" t="s">
        <v>10958</v>
      </c>
      <c r="D8545" t="s">
        <v>75</v>
      </c>
      <c r="E8545" s="13">
        <v>1500</v>
      </c>
      <c r="F8545" s="12">
        <v>1.86</v>
      </c>
      <c r="G8545" t="str">
        <f>IFERROR(INDEX(tEditais[Órgão],MATCH(tItens[[#This Row],[Edital]],tEditais[Edital],0)),"")</f>
        <v>MUNICIPIO DE BORBOREMA</v>
      </c>
      <c r="H8545" t="str">
        <f>IFERROR(INDEX(tEditais[UF],MATCH(tItens[[#This Row],[Edital]],tEditais[Edital],0)),"")</f>
        <v>SP</v>
      </c>
      <c r="I8545" s="11">
        <f>IFERROR(INDEX(tEditais[Encerramento],MATCH(tItens[[#This Row],[Edital]],tEditais[Edital],0)),"")</f>
        <v>46308.375694444447</v>
      </c>
      <c r="J8545" t="str">
        <f>IFERROR(INDEX(tProdutos[Classe],MATCH(tItens[[#This Row],[Produto]],tProdutos[Produto],0)),"produto não cadastrado")</f>
        <v>NÚCLEO</v>
      </c>
      <c r="K8545" s="12">
        <f>tItens[[#This Row],[Qtd]]*tItens[[#This Row],[Vlr unit]]</f>
        <v>2790</v>
      </c>
      <c r="L8545" s="6">
        <f>IFERROR(IF(INDEX(tProdutos[Desconto homologado],MATCH(tItens[[#This Row],[Produto]],tProdutos[Produto],0))="",DescontoPadrao,INDEX(tProdutos[Desconto homologado],MATCH(tItens[[#This Row],[Produto]],tProdutos[Produto],0))),DescontoPadrao)</f>
        <v>0.26</v>
      </c>
      <c r="M8545" s="12">
        <f>tItens[[#This Row],[Valor]]*(1-tItens[[#This Row],[Desconto]])</f>
        <v>2064.6</v>
      </c>
      <c r="N8545" t="str">
        <f>IFERROR(INDEX(tProdutos[Foco],MATCH(tItens[[#This Row],[Produto]],tProdutos[Produto],0)),"Não")</f>
        <v>Sim</v>
      </c>
      <c r="O8545" t="str">
        <f>IFERROR(INDEX(tEditais[SRP],MATCH(tItens[[#This Row],[Edital]],tEditais[Edital],0)),"Não")</f>
        <v>Sim</v>
      </c>
      <c r="P8545" s="4">
        <f>IF(COUNTIFS(INDEX(tItens[Edital],1):tItens[[#This Row],[Edital]],tItens[[#This Row],[Edital]],INDEX(tItens[Produto],1):tItens[[#This Row],[Produto]],tItens[[#This Row],[Produto]])=1,1,0)</f>
        <v>1</v>
      </c>
    </row>
    <row r="8546" spans="1:16" x14ac:dyDescent="0.25">
      <c r="A8546" t="s">
        <v>2870</v>
      </c>
      <c r="B8546">
        <v>53</v>
      </c>
      <c r="C8546" t="s">
        <v>10959</v>
      </c>
      <c r="D8546" t="s">
        <v>75</v>
      </c>
      <c r="E8546" s="13">
        <v>1000</v>
      </c>
      <c r="F8546" s="12">
        <v>1.63</v>
      </c>
      <c r="G8546" t="str">
        <f>IFERROR(INDEX(tEditais[Órgão],MATCH(tItens[[#This Row],[Edital]],tEditais[Edital],0)),"")</f>
        <v>MUNICIPIO DE BORBOREMA</v>
      </c>
      <c r="H8546" t="str">
        <f>IFERROR(INDEX(tEditais[UF],MATCH(tItens[[#This Row],[Edital]],tEditais[Edital],0)),"")</f>
        <v>SP</v>
      </c>
      <c r="I8546" s="11">
        <f>IFERROR(INDEX(tEditais[Encerramento],MATCH(tItens[[#This Row],[Edital]],tEditais[Edital],0)),"")</f>
        <v>46308.375694444447</v>
      </c>
      <c r="J8546" t="str">
        <f>IFERROR(INDEX(tProdutos[Classe],MATCH(tItens[[#This Row],[Produto]],tProdutos[Produto],0)),"produto não cadastrado")</f>
        <v>NÚCLEO</v>
      </c>
      <c r="K8546" s="12">
        <f>tItens[[#This Row],[Qtd]]*tItens[[#This Row],[Vlr unit]]</f>
        <v>1630</v>
      </c>
      <c r="L8546" s="6">
        <f>IFERROR(IF(INDEX(tProdutos[Desconto homologado],MATCH(tItens[[#This Row],[Produto]],tProdutos[Produto],0))="",DescontoPadrao,INDEX(tProdutos[Desconto homologado],MATCH(tItens[[#This Row],[Produto]],tProdutos[Produto],0))),DescontoPadrao)</f>
        <v>0.26</v>
      </c>
      <c r="M8546" s="12">
        <f>tItens[[#This Row],[Valor]]*(1-tItens[[#This Row],[Desconto]])</f>
        <v>1206.2</v>
      </c>
      <c r="N8546" t="str">
        <f>IFERROR(INDEX(tProdutos[Foco],MATCH(tItens[[#This Row],[Produto]],tProdutos[Produto],0)),"Não")</f>
        <v>Sim</v>
      </c>
      <c r="O8546" t="str">
        <f>IFERROR(INDEX(tEditais[SRP],MATCH(tItens[[#This Row],[Edital]],tEditais[Edital],0)),"Não")</f>
        <v>Sim</v>
      </c>
      <c r="P8546" s="4">
        <f>IF(COUNTIFS(INDEX(tItens[Edital],1):tItens[[#This Row],[Edital]],tItens[[#This Row],[Edital]],INDEX(tItens[Produto],1):tItens[[#This Row],[Produto]],tItens[[#This Row],[Produto]])=1,1,0)</f>
        <v>0</v>
      </c>
    </row>
    <row r="8547" spans="1:16" x14ac:dyDescent="0.25">
      <c r="A8547" t="s">
        <v>2870</v>
      </c>
      <c r="B8547">
        <v>54</v>
      </c>
      <c r="C8547" t="s">
        <v>10960</v>
      </c>
      <c r="D8547" t="s">
        <v>75</v>
      </c>
      <c r="E8547" s="13">
        <v>800</v>
      </c>
      <c r="F8547" s="12">
        <v>2.25</v>
      </c>
      <c r="G8547" t="str">
        <f>IFERROR(INDEX(tEditais[Órgão],MATCH(tItens[[#This Row],[Edital]],tEditais[Edital],0)),"")</f>
        <v>MUNICIPIO DE BORBOREMA</v>
      </c>
      <c r="H8547" t="str">
        <f>IFERROR(INDEX(tEditais[UF],MATCH(tItens[[#This Row],[Edital]],tEditais[Edital],0)),"")</f>
        <v>SP</v>
      </c>
      <c r="I8547" s="11">
        <f>IFERROR(INDEX(tEditais[Encerramento],MATCH(tItens[[#This Row],[Edital]],tEditais[Edital],0)),"")</f>
        <v>46308.375694444447</v>
      </c>
      <c r="J8547" t="str">
        <f>IFERROR(INDEX(tProdutos[Classe],MATCH(tItens[[#This Row],[Produto]],tProdutos[Produto],0)),"produto não cadastrado")</f>
        <v>NÚCLEO</v>
      </c>
      <c r="K8547" s="12">
        <f>tItens[[#This Row],[Qtd]]*tItens[[#This Row],[Vlr unit]]</f>
        <v>1800</v>
      </c>
      <c r="L8547" s="6">
        <f>IFERROR(IF(INDEX(tProdutos[Desconto homologado],MATCH(tItens[[#This Row],[Produto]],tProdutos[Produto],0))="",DescontoPadrao,INDEX(tProdutos[Desconto homologado],MATCH(tItens[[#This Row],[Produto]],tProdutos[Produto],0))),DescontoPadrao)</f>
        <v>0.26</v>
      </c>
      <c r="M8547" s="12">
        <f>tItens[[#This Row],[Valor]]*(1-tItens[[#This Row],[Desconto]])</f>
        <v>1332</v>
      </c>
      <c r="N8547" t="str">
        <f>IFERROR(INDEX(tProdutos[Foco],MATCH(tItens[[#This Row],[Produto]],tProdutos[Produto],0)),"Não")</f>
        <v>Sim</v>
      </c>
      <c r="O8547" t="str">
        <f>IFERROR(INDEX(tEditais[SRP],MATCH(tItens[[#This Row],[Edital]],tEditais[Edital],0)),"Não")</f>
        <v>Sim</v>
      </c>
      <c r="P8547" s="4">
        <f>IF(COUNTIFS(INDEX(tItens[Edital],1):tItens[[#This Row],[Edital]],tItens[[#This Row],[Edital]],INDEX(tItens[Produto],1):tItens[[#This Row],[Produto]],tItens[[#This Row],[Produto]])=1,1,0)</f>
        <v>0</v>
      </c>
    </row>
    <row r="8548" spans="1:16" x14ac:dyDescent="0.25">
      <c r="A8548" t="s">
        <v>2870</v>
      </c>
      <c r="B8548">
        <v>57</v>
      </c>
      <c r="C8548" t="s">
        <v>10961</v>
      </c>
      <c r="D8548" t="s">
        <v>331</v>
      </c>
      <c r="E8548" s="13">
        <v>1000</v>
      </c>
      <c r="F8548" s="12">
        <v>1.1200000000000001</v>
      </c>
      <c r="G8548" t="str">
        <f>IFERROR(INDEX(tEditais[Órgão],MATCH(tItens[[#This Row],[Edital]],tEditais[Edital],0)),"")</f>
        <v>MUNICIPIO DE BORBOREMA</v>
      </c>
      <c r="H8548" t="str">
        <f>IFERROR(INDEX(tEditais[UF],MATCH(tItens[[#This Row],[Edital]],tEditais[Edital],0)),"")</f>
        <v>SP</v>
      </c>
      <c r="I8548" s="11">
        <f>IFERROR(INDEX(tEditais[Encerramento],MATCH(tItens[[#This Row],[Edital]],tEditais[Edital],0)),"")</f>
        <v>46308.375694444447</v>
      </c>
      <c r="J8548" t="str">
        <f>IFERROR(INDEX(tProdutos[Classe],MATCH(tItens[[#This Row],[Produto]],tProdutos[Produto],0)),"produto não cadastrado")</f>
        <v>FORA</v>
      </c>
      <c r="K8548" s="12">
        <f>tItens[[#This Row],[Qtd]]*tItens[[#This Row],[Vlr unit]]</f>
        <v>1120</v>
      </c>
      <c r="L8548" s="6">
        <f>IFERROR(IF(INDEX(tProdutos[Desconto homologado],MATCH(tItens[[#This Row],[Produto]],tProdutos[Produto],0))="",DescontoPadrao,INDEX(tProdutos[Desconto homologado],MATCH(tItens[[#This Row],[Produto]],tProdutos[Produto],0))),DescontoPadrao)</f>
        <v>0.45927812223206399</v>
      </c>
      <c r="M8548" s="12">
        <f>tItens[[#This Row],[Valor]]*(1-tItens[[#This Row],[Desconto]])</f>
        <v>605.60850310008834</v>
      </c>
      <c r="N8548" t="str">
        <f>IFERROR(INDEX(tProdutos[Foco],MATCH(tItens[[#This Row],[Produto]],tProdutos[Produto],0)),"Não")</f>
        <v>Não</v>
      </c>
      <c r="O8548" t="str">
        <f>IFERROR(INDEX(tEditais[SRP],MATCH(tItens[[#This Row],[Edital]],tEditais[Edital],0)),"Não")</f>
        <v>Sim</v>
      </c>
      <c r="P8548" s="4">
        <f>IF(COUNTIFS(INDEX(tItens[Edital],1):tItens[[#This Row],[Edital]],tItens[[#This Row],[Edital]],INDEX(tItens[Produto],1):tItens[[#This Row],[Produto]],tItens[[#This Row],[Produto]])=1,1,0)</f>
        <v>1</v>
      </c>
    </row>
    <row r="8549" spans="1:16" x14ac:dyDescent="0.25">
      <c r="A8549" t="s">
        <v>2870</v>
      </c>
      <c r="B8549">
        <v>58</v>
      </c>
      <c r="C8549" t="s">
        <v>10962</v>
      </c>
      <c r="D8549" t="s">
        <v>333</v>
      </c>
      <c r="E8549" s="13">
        <v>10000</v>
      </c>
      <c r="F8549" s="12">
        <v>0.95</v>
      </c>
      <c r="G8549" t="str">
        <f>IFERROR(INDEX(tEditais[Órgão],MATCH(tItens[[#This Row],[Edital]],tEditais[Edital],0)),"")</f>
        <v>MUNICIPIO DE BORBOREMA</v>
      </c>
      <c r="H8549" t="str">
        <f>IFERROR(INDEX(tEditais[UF],MATCH(tItens[[#This Row],[Edital]],tEditais[Edital],0)),"")</f>
        <v>SP</v>
      </c>
      <c r="I8549" s="11">
        <f>IFERROR(INDEX(tEditais[Encerramento],MATCH(tItens[[#This Row],[Edital]],tEditais[Edital],0)),"")</f>
        <v>46308.375694444447</v>
      </c>
      <c r="J8549" t="str">
        <f>IFERROR(INDEX(tProdutos[Classe],MATCH(tItens[[#This Row],[Produto]],tProdutos[Produto],0)),"produto não cadastrado")</f>
        <v>FORA</v>
      </c>
      <c r="K8549" s="12">
        <f>tItens[[#This Row],[Qtd]]*tItens[[#This Row],[Vlr unit]]</f>
        <v>9500</v>
      </c>
      <c r="L8549" s="6">
        <f>IFERROR(IF(INDEX(tProdutos[Desconto homologado],MATCH(tItens[[#This Row],[Produto]],tProdutos[Produto],0))="",DescontoPadrao,INDEX(tProdutos[Desconto homologado],MATCH(tItens[[#This Row],[Produto]],tProdutos[Produto],0))),DescontoPadrao)</f>
        <v>0.48951048951048998</v>
      </c>
      <c r="M8549" s="12">
        <f>tItens[[#This Row],[Valor]]*(1-tItens[[#This Row],[Desconto]])</f>
        <v>4849.6503496503447</v>
      </c>
      <c r="N8549" t="str">
        <f>IFERROR(INDEX(tProdutos[Foco],MATCH(tItens[[#This Row],[Produto]],tProdutos[Produto],0)),"Não")</f>
        <v>Não</v>
      </c>
      <c r="O8549" t="str">
        <f>IFERROR(INDEX(tEditais[SRP],MATCH(tItens[[#This Row],[Edital]],tEditais[Edital],0)),"Não")</f>
        <v>Sim</v>
      </c>
      <c r="P8549" s="4">
        <f>IF(COUNTIFS(INDEX(tItens[Edital],1):tItens[[#This Row],[Edital]],tItens[[#This Row],[Edital]],INDEX(tItens[Produto],1):tItens[[#This Row],[Produto]],tItens[[#This Row],[Produto]])=1,1,0)</f>
        <v>1</v>
      </c>
    </row>
    <row r="8550" spans="1:16" x14ac:dyDescent="0.25">
      <c r="A8550" t="s">
        <v>2870</v>
      </c>
      <c r="B8550">
        <v>59</v>
      </c>
      <c r="C8550" t="s">
        <v>10963</v>
      </c>
      <c r="D8550" t="s">
        <v>461</v>
      </c>
      <c r="E8550" s="13">
        <v>200</v>
      </c>
      <c r="F8550" s="12">
        <v>1.69</v>
      </c>
      <c r="G8550" t="str">
        <f>IFERROR(INDEX(tEditais[Órgão],MATCH(tItens[[#This Row],[Edital]],tEditais[Edital],0)),"")</f>
        <v>MUNICIPIO DE BORBOREMA</v>
      </c>
      <c r="H8550" t="str">
        <f>IFERROR(INDEX(tEditais[UF],MATCH(tItens[[#This Row],[Edital]],tEditais[Edital],0)),"")</f>
        <v>SP</v>
      </c>
      <c r="I8550" s="11">
        <f>IFERROR(INDEX(tEditais[Encerramento],MATCH(tItens[[#This Row],[Edital]],tEditais[Edital],0)),"")</f>
        <v>46308.375694444447</v>
      </c>
      <c r="J8550" t="str">
        <f>IFERROR(INDEX(tProdutos[Classe],MATCH(tItens[[#This Row],[Produto]],tProdutos[Produto],0)),"produto não cadastrado")</f>
        <v>FILA REBASE</v>
      </c>
      <c r="K8550" s="12">
        <f>tItens[[#This Row],[Qtd]]*tItens[[#This Row],[Vlr unit]]</f>
        <v>338</v>
      </c>
      <c r="L8550" s="6">
        <f>IFERROR(IF(INDEX(tProdutos[Desconto homologado],MATCH(tItens[[#This Row],[Produto]],tProdutos[Produto],0))="",DescontoPadrao,INDEX(tProdutos[Desconto homologado],MATCH(tItens[[#This Row],[Produto]],tProdutos[Produto],0))),DescontoPadrao)</f>
        <v>0.44096385542168698</v>
      </c>
      <c r="M8550" s="12">
        <f>tItens[[#This Row],[Valor]]*(1-tItens[[#This Row],[Desconto]])</f>
        <v>188.9542168674698</v>
      </c>
      <c r="N8550" t="str">
        <f>IFERROR(INDEX(tProdutos[Foco],MATCH(tItens[[#This Row],[Produto]],tProdutos[Produto],0)),"Não")</f>
        <v>Não</v>
      </c>
      <c r="O8550" t="str">
        <f>IFERROR(INDEX(tEditais[SRP],MATCH(tItens[[#This Row],[Edital]],tEditais[Edital],0)),"Não")</f>
        <v>Sim</v>
      </c>
      <c r="P8550" s="4">
        <f>IF(COUNTIFS(INDEX(tItens[Edital],1):tItens[[#This Row],[Edital]],tItens[[#This Row],[Edital]],INDEX(tItens[Produto],1):tItens[[#This Row],[Produto]],tItens[[#This Row],[Produto]])=1,1,0)</f>
        <v>1</v>
      </c>
    </row>
    <row r="8551" spans="1:16" x14ac:dyDescent="0.25">
      <c r="A8551" t="s">
        <v>2870</v>
      </c>
      <c r="B8551">
        <v>60</v>
      </c>
      <c r="C8551" t="s">
        <v>10964</v>
      </c>
      <c r="D8551" t="s">
        <v>461</v>
      </c>
      <c r="E8551" s="13">
        <v>200</v>
      </c>
      <c r="F8551" s="12">
        <v>1.39</v>
      </c>
      <c r="G8551" t="str">
        <f>IFERROR(INDEX(tEditais[Órgão],MATCH(tItens[[#This Row],[Edital]],tEditais[Edital],0)),"")</f>
        <v>MUNICIPIO DE BORBOREMA</v>
      </c>
      <c r="H8551" t="str">
        <f>IFERROR(INDEX(tEditais[UF],MATCH(tItens[[#This Row],[Edital]],tEditais[Edital],0)),"")</f>
        <v>SP</v>
      </c>
      <c r="I8551" s="11">
        <f>IFERROR(INDEX(tEditais[Encerramento],MATCH(tItens[[#This Row],[Edital]],tEditais[Edital],0)),"")</f>
        <v>46308.375694444447</v>
      </c>
      <c r="J8551" t="str">
        <f>IFERROR(INDEX(tProdutos[Classe],MATCH(tItens[[#This Row],[Produto]],tProdutos[Produto],0)),"produto não cadastrado")</f>
        <v>FILA REBASE</v>
      </c>
      <c r="K8551" s="12">
        <f>tItens[[#This Row],[Qtd]]*tItens[[#This Row],[Vlr unit]]</f>
        <v>278</v>
      </c>
      <c r="L8551" s="6">
        <f>IFERROR(IF(INDEX(tProdutos[Desconto homologado],MATCH(tItens[[#This Row],[Produto]],tProdutos[Produto],0))="",DescontoPadrao,INDEX(tProdutos[Desconto homologado],MATCH(tItens[[#This Row],[Produto]],tProdutos[Produto],0))),DescontoPadrao)</f>
        <v>0.44096385542168698</v>
      </c>
      <c r="M8551" s="12">
        <f>tItens[[#This Row],[Valor]]*(1-tItens[[#This Row],[Desconto]])</f>
        <v>155.41204819277101</v>
      </c>
      <c r="N8551" t="str">
        <f>IFERROR(INDEX(tProdutos[Foco],MATCH(tItens[[#This Row],[Produto]],tProdutos[Produto],0)),"Não")</f>
        <v>Não</v>
      </c>
      <c r="O8551" t="str">
        <f>IFERROR(INDEX(tEditais[SRP],MATCH(tItens[[#This Row],[Edital]],tEditais[Edital],0)),"Não")</f>
        <v>Sim</v>
      </c>
      <c r="P8551" s="4">
        <f>IF(COUNTIFS(INDEX(tItens[Edital],1):tItens[[#This Row],[Edital]],tItens[[#This Row],[Edital]],INDEX(tItens[Produto],1):tItens[[#This Row],[Produto]],tItens[[#This Row],[Produto]])=1,1,0)</f>
        <v>0</v>
      </c>
    </row>
    <row r="8552" spans="1:16" x14ac:dyDescent="0.25">
      <c r="A8552" t="s">
        <v>2870</v>
      </c>
      <c r="B8552">
        <v>61</v>
      </c>
      <c r="C8552" t="s">
        <v>10965</v>
      </c>
      <c r="D8552" t="s">
        <v>461</v>
      </c>
      <c r="E8552" s="13">
        <v>200</v>
      </c>
      <c r="F8552" s="12">
        <v>1.5</v>
      </c>
      <c r="G8552" t="str">
        <f>IFERROR(INDEX(tEditais[Órgão],MATCH(tItens[[#This Row],[Edital]],tEditais[Edital],0)),"")</f>
        <v>MUNICIPIO DE BORBOREMA</v>
      </c>
      <c r="H8552" t="str">
        <f>IFERROR(INDEX(tEditais[UF],MATCH(tItens[[#This Row],[Edital]],tEditais[Edital],0)),"")</f>
        <v>SP</v>
      </c>
      <c r="I8552" s="11">
        <f>IFERROR(INDEX(tEditais[Encerramento],MATCH(tItens[[#This Row],[Edital]],tEditais[Edital],0)),"")</f>
        <v>46308.375694444447</v>
      </c>
      <c r="J8552" t="str">
        <f>IFERROR(INDEX(tProdutos[Classe],MATCH(tItens[[#This Row],[Produto]],tProdutos[Produto],0)),"produto não cadastrado")</f>
        <v>FILA REBASE</v>
      </c>
      <c r="K8552" s="12">
        <f>tItens[[#This Row],[Qtd]]*tItens[[#This Row],[Vlr unit]]</f>
        <v>300</v>
      </c>
      <c r="L8552" s="6">
        <f>IFERROR(IF(INDEX(tProdutos[Desconto homologado],MATCH(tItens[[#This Row],[Produto]],tProdutos[Produto],0))="",DescontoPadrao,INDEX(tProdutos[Desconto homologado],MATCH(tItens[[#This Row],[Produto]],tProdutos[Produto],0))),DescontoPadrao)</f>
        <v>0.44096385542168698</v>
      </c>
      <c r="M8552" s="12">
        <f>tItens[[#This Row],[Valor]]*(1-tItens[[#This Row],[Desconto]])</f>
        <v>167.7108433734939</v>
      </c>
      <c r="N8552" t="str">
        <f>IFERROR(INDEX(tProdutos[Foco],MATCH(tItens[[#This Row],[Produto]],tProdutos[Produto],0)),"Não")</f>
        <v>Não</v>
      </c>
      <c r="O8552" t="str">
        <f>IFERROR(INDEX(tEditais[SRP],MATCH(tItens[[#This Row],[Edital]],tEditais[Edital],0)),"Não")</f>
        <v>Sim</v>
      </c>
      <c r="P8552" s="4">
        <f>IF(COUNTIFS(INDEX(tItens[Edital],1):tItens[[#This Row],[Edital]],tItens[[#This Row],[Edital]],INDEX(tItens[Produto],1):tItens[[#This Row],[Produto]],tItens[[#This Row],[Produto]])=1,1,0)</f>
        <v>0</v>
      </c>
    </row>
    <row r="8553" spans="1:16" x14ac:dyDescent="0.25">
      <c r="A8553" t="s">
        <v>2870</v>
      </c>
      <c r="B8553">
        <v>62</v>
      </c>
      <c r="C8553" t="s">
        <v>10966</v>
      </c>
      <c r="D8553" t="s">
        <v>461</v>
      </c>
      <c r="E8553" s="13">
        <v>200</v>
      </c>
      <c r="F8553" s="12">
        <v>1.65</v>
      </c>
      <c r="G8553" t="str">
        <f>IFERROR(INDEX(tEditais[Órgão],MATCH(tItens[[#This Row],[Edital]],tEditais[Edital],0)),"")</f>
        <v>MUNICIPIO DE BORBOREMA</v>
      </c>
      <c r="H8553" t="str">
        <f>IFERROR(INDEX(tEditais[UF],MATCH(tItens[[#This Row],[Edital]],tEditais[Edital],0)),"")</f>
        <v>SP</v>
      </c>
      <c r="I8553" s="11">
        <f>IFERROR(INDEX(tEditais[Encerramento],MATCH(tItens[[#This Row],[Edital]],tEditais[Edital],0)),"")</f>
        <v>46308.375694444447</v>
      </c>
      <c r="J8553" t="str">
        <f>IFERROR(INDEX(tProdutos[Classe],MATCH(tItens[[#This Row],[Produto]],tProdutos[Produto],0)),"produto não cadastrado")</f>
        <v>FILA REBASE</v>
      </c>
      <c r="K8553" s="12">
        <f>tItens[[#This Row],[Qtd]]*tItens[[#This Row],[Vlr unit]]</f>
        <v>330</v>
      </c>
      <c r="L8553" s="6">
        <f>IFERROR(IF(INDEX(tProdutos[Desconto homologado],MATCH(tItens[[#This Row],[Produto]],tProdutos[Produto],0))="",DescontoPadrao,INDEX(tProdutos[Desconto homologado],MATCH(tItens[[#This Row],[Produto]],tProdutos[Produto],0))),DescontoPadrao)</f>
        <v>0.44096385542168698</v>
      </c>
      <c r="M8553" s="12">
        <f>tItens[[#This Row],[Valor]]*(1-tItens[[#This Row],[Desconto]])</f>
        <v>184.48192771084328</v>
      </c>
      <c r="N8553" t="str">
        <f>IFERROR(INDEX(tProdutos[Foco],MATCH(tItens[[#This Row],[Produto]],tProdutos[Produto],0)),"Não")</f>
        <v>Não</v>
      </c>
      <c r="O8553" t="str">
        <f>IFERROR(INDEX(tEditais[SRP],MATCH(tItens[[#This Row],[Edital]],tEditais[Edital],0)),"Não")</f>
        <v>Sim</v>
      </c>
      <c r="P8553" s="4">
        <f>IF(COUNTIFS(INDEX(tItens[Edital],1):tItens[[#This Row],[Edital]],tItens[[#This Row],[Edital]],INDEX(tItens[Produto],1):tItens[[#This Row],[Produto]],tItens[[#This Row],[Produto]])=1,1,0)</f>
        <v>0</v>
      </c>
    </row>
    <row r="8554" spans="1:16" x14ac:dyDescent="0.25">
      <c r="A8554" t="s">
        <v>2870</v>
      </c>
      <c r="B8554">
        <v>66</v>
      </c>
      <c r="C8554" t="s">
        <v>10967</v>
      </c>
      <c r="D8554" t="s">
        <v>369</v>
      </c>
      <c r="E8554" s="13">
        <v>50</v>
      </c>
      <c r="F8554" s="12">
        <v>1.74</v>
      </c>
      <c r="G8554" t="str">
        <f>IFERROR(INDEX(tEditais[Órgão],MATCH(tItens[[#This Row],[Edital]],tEditais[Edital],0)),"")</f>
        <v>MUNICIPIO DE BORBOREMA</v>
      </c>
      <c r="H8554" t="str">
        <f>IFERROR(INDEX(tEditais[UF],MATCH(tItens[[#This Row],[Edital]],tEditais[Edital],0)),"")</f>
        <v>SP</v>
      </c>
      <c r="I8554" s="11">
        <f>IFERROR(INDEX(tEditais[Encerramento],MATCH(tItens[[#This Row],[Edital]],tEditais[Edital],0)),"")</f>
        <v>46308.375694444447</v>
      </c>
      <c r="J8554" t="str">
        <f>IFERROR(INDEX(tProdutos[Classe],MATCH(tItens[[#This Row],[Produto]],tProdutos[Produto],0)),"produto não cadastrado")</f>
        <v>FORA</v>
      </c>
      <c r="K8554" s="12">
        <f>tItens[[#This Row],[Qtd]]*tItens[[#This Row],[Vlr unit]]</f>
        <v>87</v>
      </c>
      <c r="L8554" s="6">
        <f>IFERROR(IF(INDEX(tProdutos[Desconto homologado],MATCH(tItens[[#This Row],[Produto]],tProdutos[Produto],0))="",DescontoPadrao,INDEX(tProdutos[Desconto homologado],MATCH(tItens[[#This Row],[Produto]],tProdutos[Produto],0))),DescontoPadrao)</f>
        <v>0.35816618911174802</v>
      </c>
      <c r="M8554" s="12">
        <f>tItens[[#This Row],[Valor]]*(1-tItens[[#This Row],[Desconto]])</f>
        <v>55.839541547277925</v>
      </c>
      <c r="N8554" t="str">
        <f>IFERROR(INDEX(tProdutos[Foco],MATCH(tItens[[#This Row],[Produto]],tProdutos[Produto],0)),"Não")</f>
        <v>Não</v>
      </c>
      <c r="O8554" t="str">
        <f>IFERROR(INDEX(tEditais[SRP],MATCH(tItens[[#This Row],[Edital]],tEditais[Edital],0)),"Não")</f>
        <v>Sim</v>
      </c>
      <c r="P8554" s="4">
        <f>IF(COUNTIFS(INDEX(tItens[Edital],1):tItens[[#This Row],[Edital]],tItens[[#This Row],[Edital]],INDEX(tItens[Produto],1):tItens[[#This Row],[Produto]],tItens[[#This Row],[Produto]])=1,1,0)</f>
        <v>1</v>
      </c>
    </row>
    <row r="8555" spans="1:16" x14ac:dyDescent="0.25">
      <c r="A8555" t="s">
        <v>2870</v>
      </c>
      <c r="B8555">
        <v>76</v>
      </c>
      <c r="C8555" t="s">
        <v>10968</v>
      </c>
      <c r="D8555" t="s">
        <v>56</v>
      </c>
      <c r="E8555" s="13">
        <v>10</v>
      </c>
      <c r="F8555" s="12">
        <v>27.82</v>
      </c>
      <c r="G8555" t="str">
        <f>IFERROR(INDEX(tEditais[Órgão],MATCH(tItens[[#This Row],[Edital]],tEditais[Edital],0)),"")</f>
        <v>MUNICIPIO DE BORBOREMA</v>
      </c>
      <c r="H8555" t="str">
        <f>IFERROR(INDEX(tEditais[UF],MATCH(tItens[[#This Row],[Edital]],tEditais[Edital],0)),"")</f>
        <v>SP</v>
      </c>
      <c r="I8555" s="11">
        <f>IFERROR(INDEX(tEditais[Encerramento],MATCH(tItens[[#This Row],[Edital]],tEditais[Edital],0)),"")</f>
        <v>46308.375694444447</v>
      </c>
      <c r="J8555" t="str">
        <f>IFERROR(INDEX(tProdutos[Classe],MATCH(tItens[[#This Row],[Produto]],tProdutos[Produto],0)),"produto não cadastrado")</f>
        <v>NÚCLEO</v>
      </c>
      <c r="K8555" s="12">
        <f>tItens[[#This Row],[Qtd]]*tItens[[#This Row],[Vlr unit]]</f>
        <v>278.2</v>
      </c>
      <c r="L8555" s="6">
        <f>IFERROR(IF(INDEX(tProdutos[Desconto homologado],MATCH(tItens[[#This Row],[Produto]],tProdutos[Produto],0))="",DescontoPadrao,INDEX(tProdutos[Desconto homologado],MATCH(tItens[[#This Row],[Produto]],tProdutos[Produto],0))),DescontoPadrao)</f>
        <v>0.34</v>
      </c>
      <c r="M8555" s="12">
        <f>tItens[[#This Row],[Valor]]*(1-tItens[[#This Row],[Desconto]])</f>
        <v>183.61199999999997</v>
      </c>
      <c r="N8555" t="str">
        <f>IFERROR(INDEX(tProdutos[Foco],MATCH(tItens[[#This Row],[Produto]],tProdutos[Produto],0)),"Não")</f>
        <v>Sim</v>
      </c>
      <c r="O8555" t="str">
        <f>IFERROR(INDEX(tEditais[SRP],MATCH(tItens[[#This Row],[Edital]],tEditais[Edital],0)),"Não")</f>
        <v>Sim</v>
      </c>
      <c r="P8555" s="4">
        <f>IF(COUNTIFS(INDEX(tItens[Edital],1):tItens[[#This Row],[Edital]],tItens[[#This Row],[Edital]],INDEX(tItens[Produto],1):tItens[[#This Row],[Produto]],tItens[[#This Row],[Produto]])=1,1,0)</f>
        <v>1</v>
      </c>
    </row>
    <row r="8556" spans="1:16" x14ac:dyDescent="0.25">
      <c r="A8556" t="s">
        <v>2870</v>
      </c>
      <c r="B8556">
        <v>77</v>
      </c>
      <c r="C8556" t="s">
        <v>10969</v>
      </c>
      <c r="D8556" t="s">
        <v>56</v>
      </c>
      <c r="E8556" s="13">
        <v>10</v>
      </c>
      <c r="F8556" s="12">
        <v>28.37</v>
      </c>
      <c r="G8556" t="str">
        <f>IFERROR(INDEX(tEditais[Órgão],MATCH(tItens[[#This Row],[Edital]],tEditais[Edital],0)),"")</f>
        <v>MUNICIPIO DE BORBOREMA</v>
      </c>
      <c r="H8556" t="str">
        <f>IFERROR(INDEX(tEditais[UF],MATCH(tItens[[#This Row],[Edital]],tEditais[Edital],0)),"")</f>
        <v>SP</v>
      </c>
      <c r="I8556" s="11">
        <f>IFERROR(INDEX(tEditais[Encerramento],MATCH(tItens[[#This Row],[Edital]],tEditais[Edital],0)),"")</f>
        <v>46308.375694444447</v>
      </c>
      <c r="J8556" t="str">
        <f>IFERROR(INDEX(tProdutos[Classe],MATCH(tItens[[#This Row],[Produto]],tProdutos[Produto],0)),"produto não cadastrado")</f>
        <v>NÚCLEO</v>
      </c>
      <c r="K8556" s="12">
        <f>tItens[[#This Row],[Qtd]]*tItens[[#This Row],[Vlr unit]]</f>
        <v>283.7</v>
      </c>
      <c r="L8556" s="6">
        <f>IFERROR(IF(INDEX(tProdutos[Desconto homologado],MATCH(tItens[[#This Row],[Produto]],tProdutos[Produto],0))="",DescontoPadrao,INDEX(tProdutos[Desconto homologado],MATCH(tItens[[#This Row],[Produto]],tProdutos[Produto],0))),DescontoPadrao)</f>
        <v>0.34</v>
      </c>
      <c r="M8556" s="12">
        <f>tItens[[#This Row],[Valor]]*(1-tItens[[#This Row],[Desconto]])</f>
        <v>187.24199999999996</v>
      </c>
      <c r="N8556" t="str">
        <f>IFERROR(INDEX(tProdutos[Foco],MATCH(tItens[[#This Row],[Produto]],tProdutos[Produto],0)),"Não")</f>
        <v>Sim</v>
      </c>
      <c r="O8556" t="str">
        <f>IFERROR(INDEX(tEditais[SRP],MATCH(tItens[[#This Row],[Edital]],tEditais[Edital],0)),"Não")</f>
        <v>Sim</v>
      </c>
      <c r="P8556" s="4">
        <f>IF(COUNTIFS(INDEX(tItens[Edital],1):tItens[[#This Row],[Edital]],tItens[[#This Row],[Edital]],INDEX(tItens[Produto],1):tItens[[#This Row],[Produto]],tItens[[#This Row],[Produto]])=1,1,0)</f>
        <v>0</v>
      </c>
    </row>
    <row r="8557" spans="1:16" x14ac:dyDescent="0.25">
      <c r="A8557" t="s">
        <v>2870</v>
      </c>
      <c r="B8557">
        <v>78</v>
      </c>
      <c r="C8557" t="s">
        <v>10970</v>
      </c>
      <c r="D8557" t="s">
        <v>56</v>
      </c>
      <c r="E8557" s="13">
        <v>10</v>
      </c>
      <c r="F8557" s="12">
        <v>28.83</v>
      </c>
      <c r="G8557" t="str">
        <f>IFERROR(INDEX(tEditais[Órgão],MATCH(tItens[[#This Row],[Edital]],tEditais[Edital],0)),"")</f>
        <v>MUNICIPIO DE BORBOREMA</v>
      </c>
      <c r="H8557" t="str">
        <f>IFERROR(INDEX(tEditais[UF],MATCH(tItens[[#This Row],[Edital]],tEditais[Edital],0)),"")</f>
        <v>SP</v>
      </c>
      <c r="I8557" s="11">
        <f>IFERROR(INDEX(tEditais[Encerramento],MATCH(tItens[[#This Row],[Edital]],tEditais[Edital],0)),"")</f>
        <v>46308.375694444447</v>
      </c>
      <c r="J8557" t="str">
        <f>IFERROR(INDEX(tProdutos[Classe],MATCH(tItens[[#This Row],[Produto]],tProdutos[Produto],0)),"produto não cadastrado")</f>
        <v>NÚCLEO</v>
      </c>
      <c r="K8557" s="12">
        <f>tItens[[#This Row],[Qtd]]*tItens[[#This Row],[Vlr unit]]</f>
        <v>288.29999999999995</v>
      </c>
      <c r="L8557" s="6">
        <f>IFERROR(IF(INDEX(tProdutos[Desconto homologado],MATCH(tItens[[#This Row],[Produto]],tProdutos[Produto],0))="",DescontoPadrao,INDEX(tProdutos[Desconto homologado],MATCH(tItens[[#This Row],[Produto]],tProdutos[Produto],0))),DescontoPadrao)</f>
        <v>0.34</v>
      </c>
      <c r="M8557" s="12">
        <f>tItens[[#This Row],[Valor]]*(1-tItens[[#This Row],[Desconto]])</f>
        <v>190.27799999999993</v>
      </c>
      <c r="N8557" t="str">
        <f>IFERROR(INDEX(tProdutos[Foco],MATCH(tItens[[#This Row],[Produto]],tProdutos[Produto],0)),"Não")</f>
        <v>Sim</v>
      </c>
      <c r="O8557" t="str">
        <f>IFERROR(INDEX(tEditais[SRP],MATCH(tItens[[#This Row],[Edital]],tEditais[Edital],0)),"Não")</f>
        <v>Sim</v>
      </c>
      <c r="P8557" s="4">
        <f>IF(COUNTIFS(INDEX(tItens[Edital],1):tItens[[#This Row],[Edital]],tItens[[#This Row],[Edital]],INDEX(tItens[Produto],1):tItens[[#This Row],[Produto]],tItens[[#This Row],[Produto]])=1,1,0)</f>
        <v>0</v>
      </c>
    </row>
    <row r="8558" spans="1:16" x14ac:dyDescent="0.25">
      <c r="A8558" t="s">
        <v>2870</v>
      </c>
      <c r="B8558">
        <v>79</v>
      </c>
      <c r="C8558" t="s">
        <v>10971</v>
      </c>
      <c r="D8558" t="s">
        <v>343</v>
      </c>
      <c r="E8558" s="13">
        <v>500</v>
      </c>
      <c r="F8558" s="12">
        <v>1.64</v>
      </c>
      <c r="G8558" t="str">
        <f>IFERROR(INDEX(tEditais[Órgão],MATCH(tItens[[#This Row],[Edital]],tEditais[Edital],0)),"")</f>
        <v>MUNICIPIO DE BORBOREMA</v>
      </c>
      <c r="H8558" t="str">
        <f>IFERROR(INDEX(tEditais[UF],MATCH(tItens[[#This Row],[Edital]],tEditais[Edital],0)),"")</f>
        <v>SP</v>
      </c>
      <c r="I8558" s="11">
        <f>IFERROR(INDEX(tEditais[Encerramento],MATCH(tItens[[#This Row],[Edital]],tEditais[Edital],0)),"")</f>
        <v>46308.375694444447</v>
      </c>
      <c r="J8558" t="str">
        <f>IFERROR(INDEX(tProdutos[Classe],MATCH(tItens[[#This Row],[Produto]],tProdutos[Produto],0)),"produto não cadastrado")</f>
        <v>FORA</v>
      </c>
      <c r="K8558" s="12">
        <f>tItens[[#This Row],[Qtd]]*tItens[[#This Row],[Vlr unit]]</f>
        <v>820</v>
      </c>
      <c r="L8558" s="6">
        <f>IFERROR(IF(INDEX(tProdutos[Desconto homologado],MATCH(tItens[[#This Row],[Produto]],tProdutos[Produto],0))="",DescontoPadrao,INDEX(tProdutos[Desconto homologado],MATCH(tItens[[#This Row],[Produto]],tProdutos[Produto],0))),DescontoPadrao)</f>
        <v>0.35412234042553198</v>
      </c>
      <c r="M8558" s="12">
        <f>tItens[[#This Row],[Valor]]*(1-tItens[[#This Row],[Desconto]])</f>
        <v>529.61968085106378</v>
      </c>
      <c r="N8558" t="str">
        <f>IFERROR(INDEX(tProdutos[Foco],MATCH(tItens[[#This Row],[Produto]],tProdutos[Produto],0)),"Não")</f>
        <v>Não</v>
      </c>
      <c r="O8558" t="str">
        <f>IFERROR(INDEX(tEditais[SRP],MATCH(tItens[[#This Row],[Edital]],tEditais[Edital],0)),"Não")</f>
        <v>Sim</v>
      </c>
      <c r="P8558" s="4">
        <f>IF(COUNTIFS(INDEX(tItens[Edital],1):tItens[[#This Row],[Edital]],tItens[[#This Row],[Edital]],INDEX(tItens[Produto],1):tItens[[#This Row],[Produto]],tItens[[#This Row],[Produto]])=1,1,0)</f>
        <v>1</v>
      </c>
    </row>
    <row r="8559" spans="1:16" x14ac:dyDescent="0.25">
      <c r="A8559" t="s">
        <v>2870</v>
      </c>
      <c r="B8559">
        <v>80</v>
      </c>
      <c r="C8559" t="s">
        <v>10972</v>
      </c>
      <c r="D8559" t="s">
        <v>343</v>
      </c>
      <c r="E8559" s="13">
        <v>500</v>
      </c>
      <c r="F8559" s="12">
        <v>1.93</v>
      </c>
      <c r="G8559" t="str">
        <f>IFERROR(INDEX(tEditais[Órgão],MATCH(tItens[[#This Row],[Edital]],tEditais[Edital],0)),"")</f>
        <v>MUNICIPIO DE BORBOREMA</v>
      </c>
      <c r="H8559" t="str">
        <f>IFERROR(INDEX(tEditais[UF],MATCH(tItens[[#This Row],[Edital]],tEditais[Edital],0)),"")</f>
        <v>SP</v>
      </c>
      <c r="I8559" s="11">
        <f>IFERROR(INDEX(tEditais[Encerramento],MATCH(tItens[[#This Row],[Edital]],tEditais[Edital],0)),"")</f>
        <v>46308.375694444447</v>
      </c>
      <c r="J8559" t="str">
        <f>IFERROR(INDEX(tProdutos[Classe],MATCH(tItens[[#This Row],[Produto]],tProdutos[Produto],0)),"produto não cadastrado")</f>
        <v>FORA</v>
      </c>
      <c r="K8559" s="12">
        <f>tItens[[#This Row],[Qtd]]*tItens[[#This Row],[Vlr unit]]</f>
        <v>965</v>
      </c>
      <c r="L8559" s="6">
        <f>IFERROR(IF(INDEX(tProdutos[Desconto homologado],MATCH(tItens[[#This Row],[Produto]],tProdutos[Produto],0))="",DescontoPadrao,INDEX(tProdutos[Desconto homologado],MATCH(tItens[[#This Row],[Produto]],tProdutos[Produto],0))),DescontoPadrao)</f>
        <v>0.35412234042553198</v>
      </c>
      <c r="M8559" s="12">
        <f>tItens[[#This Row],[Valor]]*(1-tItens[[#This Row],[Desconto]])</f>
        <v>623.27194148936155</v>
      </c>
      <c r="N8559" t="str">
        <f>IFERROR(INDEX(tProdutos[Foco],MATCH(tItens[[#This Row],[Produto]],tProdutos[Produto],0)),"Não")</f>
        <v>Não</v>
      </c>
      <c r="O8559" t="str">
        <f>IFERROR(INDEX(tEditais[SRP],MATCH(tItens[[#This Row],[Edital]],tEditais[Edital],0)),"Não")</f>
        <v>Sim</v>
      </c>
      <c r="P8559" s="4">
        <f>IF(COUNTIFS(INDEX(tItens[Edital],1):tItens[[#This Row],[Edital]],tItens[[#This Row],[Edital]],INDEX(tItens[Produto],1):tItens[[#This Row],[Produto]],tItens[[#This Row],[Produto]])=1,1,0)</f>
        <v>0</v>
      </c>
    </row>
    <row r="8560" spans="1:16" x14ac:dyDescent="0.25">
      <c r="A8560" t="s">
        <v>2870</v>
      </c>
      <c r="B8560">
        <v>81</v>
      </c>
      <c r="C8560" t="s">
        <v>10973</v>
      </c>
      <c r="D8560" t="s">
        <v>343</v>
      </c>
      <c r="E8560" s="13">
        <v>500</v>
      </c>
      <c r="F8560" s="12">
        <v>1.82</v>
      </c>
      <c r="G8560" t="str">
        <f>IFERROR(INDEX(tEditais[Órgão],MATCH(tItens[[#This Row],[Edital]],tEditais[Edital],0)),"")</f>
        <v>MUNICIPIO DE BORBOREMA</v>
      </c>
      <c r="H8560" t="str">
        <f>IFERROR(INDEX(tEditais[UF],MATCH(tItens[[#This Row],[Edital]],tEditais[Edital],0)),"")</f>
        <v>SP</v>
      </c>
      <c r="I8560" s="11">
        <f>IFERROR(INDEX(tEditais[Encerramento],MATCH(tItens[[#This Row],[Edital]],tEditais[Edital],0)),"")</f>
        <v>46308.375694444447</v>
      </c>
      <c r="J8560" t="str">
        <f>IFERROR(INDEX(tProdutos[Classe],MATCH(tItens[[#This Row],[Produto]],tProdutos[Produto],0)),"produto não cadastrado")</f>
        <v>FORA</v>
      </c>
      <c r="K8560" s="12">
        <f>tItens[[#This Row],[Qtd]]*tItens[[#This Row],[Vlr unit]]</f>
        <v>910</v>
      </c>
      <c r="L8560" s="6">
        <f>IFERROR(IF(INDEX(tProdutos[Desconto homologado],MATCH(tItens[[#This Row],[Produto]],tProdutos[Produto],0))="",DescontoPadrao,INDEX(tProdutos[Desconto homologado],MATCH(tItens[[#This Row],[Produto]],tProdutos[Produto],0))),DescontoPadrao)</f>
        <v>0.35412234042553198</v>
      </c>
      <c r="M8560" s="12">
        <f>tItens[[#This Row],[Valor]]*(1-tItens[[#This Row],[Desconto]])</f>
        <v>587.74867021276589</v>
      </c>
      <c r="N8560" t="str">
        <f>IFERROR(INDEX(tProdutos[Foco],MATCH(tItens[[#This Row],[Produto]],tProdutos[Produto],0)),"Não")</f>
        <v>Não</v>
      </c>
      <c r="O8560" t="str">
        <f>IFERROR(INDEX(tEditais[SRP],MATCH(tItens[[#This Row],[Edital]],tEditais[Edital],0)),"Não")</f>
        <v>Sim</v>
      </c>
      <c r="P8560" s="4">
        <f>IF(COUNTIFS(INDEX(tItens[Edital],1):tItens[[#This Row],[Edital]],tItens[[#This Row],[Edital]],INDEX(tItens[Produto],1):tItens[[#This Row],[Produto]],tItens[[#This Row],[Produto]])=1,1,0)</f>
        <v>0</v>
      </c>
    </row>
    <row r="8561" spans="1:16" x14ac:dyDescent="0.25">
      <c r="A8561" t="s">
        <v>2870</v>
      </c>
      <c r="B8561">
        <v>92</v>
      </c>
      <c r="C8561" t="s">
        <v>10974</v>
      </c>
      <c r="D8561" t="s">
        <v>494</v>
      </c>
      <c r="E8561" s="13">
        <v>30</v>
      </c>
      <c r="F8561" s="12">
        <v>25.52</v>
      </c>
      <c r="G8561" t="str">
        <f>IFERROR(INDEX(tEditais[Órgão],MATCH(tItens[[#This Row],[Edital]],tEditais[Edital],0)),"")</f>
        <v>MUNICIPIO DE BORBOREMA</v>
      </c>
      <c r="H8561" t="str">
        <f>IFERROR(INDEX(tEditais[UF],MATCH(tItens[[#This Row],[Edital]],tEditais[Edital],0)),"")</f>
        <v>SP</v>
      </c>
      <c r="I8561" s="11">
        <f>IFERROR(INDEX(tEditais[Encerramento],MATCH(tItens[[#This Row],[Edital]],tEditais[Edital],0)),"")</f>
        <v>46308.375694444447</v>
      </c>
      <c r="J8561" t="str">
        <f>IFERROR(INDEX(tProdutos[Classe],MATCH(tItens[[#This Row],[Produto]],tProdutos[Produto],0)),"produto não cadastrado")</f>
        <v>FILA REBASE</v>
      </c>
      <c r="K8561" s="12">
        <f>tItens[[#This Row],[Qtd]]*tItens[[#This Row],[Vlr unit]]</f>
        <v>765.6</v>
      </c>
      <c r="L8561" s="6">
        <f>IFERROR(IF(INDEX(tProdutos[Desconto homologado],MATCH(tItens[[#This Row],[Produto]],tProdutos[Produto],0))="",DescontoPadrao,INDEX(tProdutos[Desconto homologado],MATCH(tItens[[#This Row],[Produto]],tProdutos[Produto],0))),DescontoPadrao)</f>
        <v>0.253736324829619</v>
      </c>
      <c r="M8561" s="12">
        <f>tItens[[#This Row],[Valor]]*(1-tItens[[#This Row],[Desconto]])</f>
        <v>571.33946971044372</v>
      </c>
      <c r="N8561" t="str">
        <f>IFERROR(INDEX(tProdutos[Foco],MATCH(tItens[[#This Row],[Produto]],tProdutos[Produto],0)),"Não")</f>
        <v>Não</v>
      </c>
      <c r="O8561" t="str">
        <f>IFERROR(INDEX(tEditais[SRP],MATCH(tItens[[#This Row],[Edital]],tEditais[Edital],0)),"Não")</f>
        <v>Sim</v>
      </c>
      <c r="P8561" s="4">
        <f>IF(COUNTIFS(INDEX(tItens[Edital],1):tItens[[#This Row],[Edital]],tItens[[#This Row],[Edital]],INDEX(tItens[Produto],1):tItens[[#This Row],[Produto]],tItens[[#This Row],[Produto]])=1,1,0)</f>
        <v>1</v>
      </c>
    </row>
    <row r="8562" spans="1:16" x14ac:dyDescent="0.25">
      <c r="A8562" t="s">
        <v>2870</v>
      </c>
      <c r="B8562">
        <v>93</v>
      </c>
      <c r="C8562" t="s">
        <v>10975</v>
      </c>
      <c r="D8562" t="s">
        <v>494</v>
      </c>
      <c r="E8562" s="13">
        <v>24</v>
      </c>
      <c r="F8562" s="12">
        <v>41.41</v>
      </c>
      <c r="G8562" t="str">
        <f>IFERROR(INDEX(tEditais[Órgão],MATCH(tItens[[#This Row],[Edital]],tEditais[Edital],0)),"")</f>
        <v>MUNICIPIO DE BORBOREMA</v>
      </c>
      <c r="H8562" t="str">
        <f>IFERROR(INDEX(tEditais[UF],MATCH(tItens[[#This Row],[Edital]],tEditais[Edital],0)),"")</f>
        <v>SP</v>
      </c>
      <c r="I8562" s="11">
        <f>IFERROR(INDEX(tEditais[Encerramento],MATCH(tItens[[#This Row],[Edital]],tEditais[Edital],0)),"")</f>
        <v>46308.375694444447</v>
      </c>
      <c r="J8562" t="str">
        <f>IFERROR(INDEX(tProdutos[Classe],MATCH(tItens[[#This Row],[Produto]],tProdutos[Produto],0)),"produto não cadastrado")</f>
        <v>FILA REBASE</v>
      </c>
      <c r="K8562" s="12">
        <f>tItens[[#This Row],[Qtd]]*tItens[[#This Row],[Vlr unit]]</f>
        <v>993.83999999999992</v>
      </c>
      <c r="L8562" s="6">
        <f>IFERROR(IF(INDEX(tProdutos[Desconto homologado],MATCH(tItens[[#This Row],[Produto]],tProdutos[Produto],0))="",DescontoPadrao,INDEX(tProdutos[Desconto homologado],MATCH(tItens[[#This Row],[Produto]],tProdutos[Produto],0))),DescontoPadrao)</f>
        <v>0.253736324829619</v>
      </c>
      <c r="M8562" s="12">
        <f>tItens[[#This Row],[Valor]]*(1-tItens[[#This Row],[Desconto]])</f>
        <v>741.66669093133146</v>
      </c>
      <c r="N8562" t="str">
        <f>IFERROR(INDEX(tProdutos[Foco],MATCH(tItens[[#This Row],[Produto]],tProdutos[Produto],0)),"Não")</f>
        <v>Não</v>
      </c>
      <c r="O8562" t="str">
        <f>IFERROR(INDEX(tEditais[SRP],MATCH(tItens[[#This Row],[Edital]],tEditais[Edital],0)),"Não")</f>
        <v>Sim</v>
      </c>
      <c r="P8562" s="4">
        <f>IF(COUNTIFS(INDEX(tItens[Edital],1):tItens[[#This Row],[Edital]],tItens[[#This Row],[Edital]],INDEX(tItens[Produto],1):tItens[[#This Row],[Produto]],tItens[[#This Row],[Produto]])=1,1,0)</f>
        <v>0</v>
      </c>
    </row>
    <row r="8563" spans="1:16" x14ac:dyDescent="0.25">
      <c r="A8563" t="s">
        <v>2870</v>
      </c>
      <c r="B8563">
        <v>94</v>
      </c>
      <c r="C8563" t="s">
        <v>10976</v>
      </c>
      <c r="D8563" t="s">
        <v>494</v>
      </c>
      <c r="E8563" s="13">
        <v>24</v>
      </c>
      <c r="F8563" s="12">
        <v>61.11</v>
      </c>
      <c r="G8563" t="str">
        <f>IFERROR(INDEX(tEditais[Órgão],MATCH(tItens[[#This Row],[Edital]],tEditais[Edital],0)),"")</f>
        <v>MUNICIPIO DE BORBOREMA</v>
      </c>
      <c r="H8563" t="str">
        <f>IFERROR(INDEX(tEditais[UF],MATCH(tItens[[#This Row],[Edital]],tEditais[Edital],0)),"")</f>
        <v>SP</v>
      </c>
      <c r="I8563" s="11">
        <f>IFERROR(INDEX(tEditais[Encerramento],MATCH(tItens[[#This Row],[Edital]],tEditais[Edital],0)),"")</f>
        <v>46308.375694444447</v>
      </c>
      <c r="J8563" t="str">
        <f>IFERROR(INDEX(tProdutos[Classe],MATCH(tItens[[#This Row],[Produto]],tProdutos[Produto],0)),"produto não cadastrado")</f>
        <v>FILA REBASE</v>
      </c>
      <c r="K8563" s="12">
        <f>tItens[[#This Row],[Qtd]]*tItens[[#This Row],[Vlr unit]]</f>
        <v>1466.6399999999999</v>
      </c>
      <c r="L8563" s="6">
        <f>IFERROR(IF(INDEX(tProdutos[Desconto homologado],MATCH(tItens[[#This Row],[Produto]],tProdutos[Produto],0))="",DescontoPadrao,INDEX(tProdutos[Desconto homologado],MATCH(tItens[[#This Row],[Produto]],tProdutos[Produto],0))),DescontoPadrao)</f>
        <v>0.253736324829619</v>
      </c>
      <c r="M8563" s="12">
        <f>tItens[[#This Row],[Valor]]*(1-tItens[[#This Row],[Desconto]])</f>
        <v>1094.5001565518876</v>
      </c>
      <c r="N8563" t="str">
        <f>IFERROR(INDEX(tProdutos[Foco],MATCH(tItens[[#This Row],[Produto]],tProdutos[Produto],0)),"Não")</f>
        <v>Não</v>
      </c>
      <c r="O8563" t="str">
        <f>IFERROR(INDEX(tEditais[SRP],MATCH(tItens[[#This Row],[Edital]],tEditais[Edital],0)),"Não")</f>
        <v>Sim</v>
      </c>
      <c r="P8563" s="4">
        <f>IF(COUNTIFS(INDEX(tItens[Edital],1):tItens[[#This Row],[Edital]],tItens[[#This Row],[Edital]],INDEX(tItens[Produto],1):tItens[[#This Row],[Produto]],tItens[[#This Row],[Produto]])=1,1,0)</f>
        <v>0</v>
      </c>
    </row>
    <row r="8564" spans="1:16" x14ac:dyDescent="0.25">
      <c r="A8564" t="s">
        <v>2870</v>
      </c>
      <c r="B8564">
        <v>95</v>
      </c>
      <c r="C8564" t="s">
        <v>10977</v>
      </c>
      <c r="D8564" t="s">
        <v>494</v>
      </c>
      <c r="E8564" s="13">
        <v>24</v>
      </c>
      <c r="F8564" s="12">
        <v>75.56</v>
      </c>
      <c r="G8564" t="str">
        <f>IFERROR(INDEX(tEditais[Órgão],MATCH(tItens[[#This Row],[Edital]],tEditais[Edital],0)),"")</f>
        <v>MUNICIPIO DE BORBOREMA</v>
      </c>
      <c r="H8564" t="str">
        <f>IFERROR(INDEX(tEditais[UF],MATCH(tItens[[#This Row],[Edital]],tEditais[Edital],0)),"")</f>
        <v>SP</v>
      </c>
      <c r="I8564" s="11">
        <f>IFERROR(INDEX(tEditais[Encerramento],MATCH(tItens[[#This Row],[Edital]],tEditais[Edital],0)),"")</f>
        <v>46308.375694444447</v>
      </c>
      <c r="J8564" t="str">
        <f>IFERROR(INDEX(tProdutos[Classe],MATCH(tItens[[#This Row],[Produto]],tProdutos[Produto],0)),"produto não cadastrado")</f>
        <v>FILA REBASE</v>
      </c>
      <c r="K8564" s="12">
        <f>tItens[[#This Row],[Qtd]]*tItens[[#This Row],[Vlr unit]]</f>
        <v>1813.44</v>
      </c>
      <c r="L8564" s="6">
        <f>IFERROR(IF(INDEX(tProdutos[Desconto homologado],MATCH(tItens[[#This Row],[Produto]],tProdutos[Produto],0))="",DescontoPadrao,INDEX(tProdutos[Desconto homologado],MATCH(tItens[[#This Row],[Produto]],tProdutos[Produto],0))),DescontoPadrao)</f>
        <v>0.253736324829619</v>
      </c>
      <c r="M8564" s="12">
        <f>tItens[[#This Row],[Valor]]*(1-tItens[[#This Row],[Desconto]])</f>
        <v>1353.3043991009758</v>
      </c>
      <c r="N8564" t="str">
        <f>IFERROR(INDEX(tProdutos[Foco],MATCH(tItens[[#This Row],[Produto]],tProdutos[Produto],0)),"Não")</f>
        <v>Não</v>
      </c>
      <c r="O8564" t="str">
        <f>IFERROR(INDEX(tEditais[SRP],MATCH(tItens[[#This Row],[Edital]],tEditais[Edital],0)),"Não")</f>
        <v>Sim</v>
      </c>
      <c r="P8564" s="4">
        <f>IF(COUNTIFS(INDEX(tItens[Edital],1):tItens[[#This Row],[Edital]],tItens[[#This Row],[Edital]],INDEX(tItens[Produto],1):tItens[[#This Row],[Produto]],tItens[[#This Row],[Produto]])=1,1,0)</f>
        <v>0</v>
      </c>
    </row>
    <row r="8565" spans="1:16" x14ac:dyDescent="0.25">
      <c r="A8565" t="s">
        <v>2870</v>
      </c>
      <c r="B8565">
        <v>96</v>
      </c>
      <c r="C8565" t="s">
        <v>10978</v>
      </c>
      <c r="D8565" t="s">
        <v>267</v>
      </c>
      <c r="E8565" s="13">
        <v>800</v>
      </c>
      <c r="F8565" s="12">
        <v>9.36</v>
      </c>
      <c r="G8565" t="str">
        <f>IFERROR(INDEX(tEditais[Órgão],MATCH(tItens[[#This Row],[Edital]],tEditais[Edital],0)),"")</f>
        <v>MUNICIPIO DE BORBOREMA</v>
      </c>
      <c r="H8565" t="str">
        <f>IFERROR(INDEX(tEditais[UF],MATCH(tItens[[#This Row],[Edital]],tEditais[Edital],0)),"")</f>
        <v>SP</v>
      </c>
      <c r="I8565" s="11">
        <f>IFERROR(INDEX(tEditais[Encerramento],MATCH(tItens[[#This Row],[Edital]],tEditais[Edital],0)),"")</f>
        <v>46308.375694444447</v>
      </c>
      <c r="J8565" t="str">
        <f>IFERROR(INDEX(tProdutos[Classe],MATCH(tItens[[#This Row],[Produto]],tProdutos[Produto],0)),"produto não cadastrado")</f>
        <v>FORA</v>
      </c>
      <c r="K8565" s="12">
        <f>tItens[[#This Row],[Qtd]]*tItens[[#This Row],[Vlr unit]]</f>
        <v>7488</v>
      </c>
      <c r="L8565" s="6">
        <f>IFERROR(IF(INDEX(tProdutos[Desconto homologado],MATCH(tItens[[#This Row],[Produto]],tProdutos[Produto],0))="",DescontoPadrao,INDEX(tProdutos[Desconto homologado],MATCH(tItens[[#This Row],[Produto]],tProdutos[Produto],0))),DescontoPadrao)</f>
        <v>0.19963672657401599</v>
      </c>
      <c r="M8565" s="12">
        <f>tItens[[#This Row],[Valor]]*(1-tItens[[#This Row],[Desconto]])</f>
        <v>5993.1201914137682</v>
      </c>
      <c r="N8565" t="str">
        <f>IFERROR(INDEX(tProdutos[Foco],MATCH(tItens[[#This Row],[Produto]],tProdutos[Produto],0)),"Não")</f>
        <v>Não</v>
      </c>
      <c r="O8565" t="str">
        <f>IFERROR(INDEX(tEditais[SRP],MATCH(tItens[[#This Row],[Edital]],tEditais[Edital],0)),"Não")</f>
        <v>Sim</v>
      </c>
      <c r="P8565" s="4">
        <f>IF(COUNTIFS(INDEX(tItens[Edital],1):tItens[[#This Row],[Edital]],tItens[[#This Row],[Edital]],INDEX(tItens[Produto],1):tItens[[#This Row],[Produto]],tItens[[#This Row],[Produto]])=1,1,0)</f>
        <v>1</v>
      </c>
    </row>
    <row r="8566" spans="1:16" x14ac:dyDescent="0.25">
      <c r="A8566" t="s">
        <v>2870</v>
      </c>
      <c r="B8566">
        <v>102</v>
      </c>
      <c r="C8566" t="s">
        <v>10979</v>
      </c>
      <c r="D8566" t="s">
        <v>327</v>
      </c>
      <c r="E8566" s="13">
        <v>4000</v>
      </c>
      <c r="F8566" s="12">
        <v>0.13</v>
      </c>
      <c r="G8566" t="str">
        <f>IFERROR(INDEX(tEditais[Órgão],MATCH(tItens[[#This Row],[Edital]],tEditais[Edital],0)),"")</f>
        <v>MUNICIPIO DE BORBOREMA</v>
      </c>
      <c r="H8566" t="str">
        <f>IFERROR(INDEX(tEditais[UF],MATCH(tItens[[#This Row],[Edital]],tEditais[Edital],0)),"")</f>
        <v>SP</v>
      </c>
      <c r="I8566" s="11">
        <f>IFERROR(INDEX(tEditais[Encerramento],MATCH(tItens[[#This Row],[Edital]],tEditais[Edital],0)),"")</f>
        <v>46308.375694444447</v>
      </c>
      <c r="J8566" t="str">
        <f>IFERROR(INDEX(tProdutos[Classe],MATCH(tItens[[#This Row],[Produto]],tProdutos[Produto],0)),"produto não cadastrado")</f>
        <v>FORA</v>
      </c>
      <c r="K8566" s="12">
        <f>tItens[[#This Row],[Qtd]]*tItens[[#This Row],[Vlr unit]]</f>
        <v>520</v>
      </c>
      <c r="L8566" s="6">
        <f>IFERROR(IF(INDEX(tProdutos[Desconto homologado],MATCH(tItens[[#This Row],[Produto]],tProdutos[Produto],0))="",DescontoPadrao,INDEX(tProdutos[Desconto homologado],MATCH(tItens[[#This Row],[Produto]],tProdutos[Produto],0))),DescontoPadrao)</f>
        <v>0.49969483918783197</v>
      </c>
      <c r="M8566" s="12">
        <f>tItens[[#This Row],[Valor]]*(1-tItens[[#This Row],[Desconto]])</f>
        <v>260.15868362232737</v>
      </c>
      <c r="N8566" t="str">
        <f>IFERROR(INDEX(tProdutos[Foco],MATCH(tItens[[#This Row],[Produto]],tProdutos[Produto],0)),"Não")</f>
        <v>Não</v>
      </c>
      <c r="O8566" t="str">
        <f>IFERROR(INDEX(tEditais[SRP],MATCH(tItens[[#This Row],[Edital]],tEditais[Edital],0)),"Não")</f>
        <v>Sim</v>
      </c>
      <c r="P8566" s="4">
        <f>IF(COUNTIFS(INDEX(tItens[Edital],1):tItens[[#This Row],[Edital]],tItens[[#This Row],[Edital]],INDEX(tItens[Produto],1):tItens[[#This Row],[Produto]],tItens[[#This Row],[Produto]])=1,1,0)</f>
        <v>1</v>
      </c>
    </row>
    <row r="8567" spans="1:16" x14ac:dyDescent="0.25">
      <c r="A8567" t="s">
        <v>2870</v>
      </c>
      <c r="B8567">
        <v>107</v>
      </c>
      <c r="C8567" t="s">
        <v>10980</v>
      </c>
      <c r="D8567" t="s">
        <v>90</v>
      </c>
      <c r="E8567" s="13">
        <v>24</v>
      </c>
      <c r="F8567" s="12">
        <v>17.670000000000002</v>
      </c>
      <c r="G8567" t="str">
        <f>IFERROR(INDEX(tEditais[Órgão],MATCH(tItens[[#This Row],[Edital]],tEditais[Edital],0)),"")</f>
        <v>MUNICIPIO DE BORBOREMA</v>
      </c>
      <c r="H8567" t="str">
        <f>IFERROR(INDEX(tEditais[UF],MATCH(tItens[[#This Row],[Edital]],tEditais[Edital],0)),"")</f>
        <v>SP</v>
      </c>
      <c r="I8567" s="11">
        <f>IFERROR(INDEX(tEditais[Encerramento],MATCH(tItens[[#This Row],[Edital]],tEditais[Edital],0)),"")</f>
        <v>46308.375694444447</v>
      </c>
      <c r="J8567" t="str">
        <f>IFERROR(INDEX(tProdutos[Classe],MATCH(tItens[[#This Row],[Produto]],tProdutos[Produto],0)),"produto não cadastrado")</f>
        <v>DISPUTADO</v>
      </c>
      <c r="K8567" s="12">
        <f>tItens[[#This Row],[Qtd]]*tItens[[#This Row],[Vlr unit]]</f>
        <v>424.08000000000004</v>
      </c>
      <c r="L8567" s="6">
        <f>IFERROR(IF(INDEX(tProdutos[Desconto homologado],MATCH(tItens[[#This Row],[Produto]],tProdutos[Produto],0))="",DescontoPadrao,INDEX(tProdutos[Desconto homologado],MATCH(tItens[[#This Row],[Produto]],tProdutos[Produto],0))),DescontoPadrao)</f>
        <v>0.25393823957010597</v>
      </c>
      <c r="M8567" s="12">
        <f>tItens[[#This Row],[Valor]]*(1-tItens[[#This Row],[Desconto]])</f>
        <v>316.38987136310948</v>
      </c>
      <c r="N8567" t="str">
        <f>IFERROR(INDEX(tProdutos[Foco],MATCH(tItens[[#This Row],[Produto]],tProdutos[Produto],0)),"Não")</f>
        <v>Não</v>
      </c>
      <c r="O8567" t="str">
        <f>IFERROR(INDEX(tEditais[SRP],MATCH(tItens[[#This Row],[Edital]],tEditais[Edital],0)),"Não")</f>
        <v>Sim</v>
      </c>
      <c r="P8567" s="4">
        <f>IF(COUNTIFS(INDEX(tItens[Edital],1):tItens[[#This Row],[Edital]],tItens[[#This Row],[Edital]],INDEX(tItens[Produto],1):tItens[[#This Row],[Produto]],tItens[[#This Row],[Produto]])=1,1,0)</f>
        <v>0</v>
      </c>
    </row>
    <row r="8568" spans="1:16" x14ac:dyDescent="0.25">
      <c r="A8568" t="s">
        <v>2870</v>
      </c>
      <c r="B8568">
        <v>117</v>
      </c>
      <c r="C8568" t="s">
        <v>10981</v>
      </c>
      <c r="D8568" t="s">
        <v>275</v>
      </c>
      <c r="E8568" s="13">
        <v>10000</v>
      </c>
      <c r="F8568" s="12">
        <v>0.27</v>
      </c>
      <c r="G8568" t="str">
        <f>IFERROR(INDEX(tEditais[Órgão],MATCH(tItens[[#This Row],[Edital]],tEditais[Edital],0)),"")</f>
        <v>MUNICIPIO DE BORBOREMA</v>
      </c>
      <c r="H8568" t="str">
        <f>IFERROR(INDEX(tEditais[UF],MATCH(tItens[[#This Row],[Edital]],tEditais[Edital],0)),"")</f>
        <v>SP</v>
      </c>
      <c r="I8568" s="11">
        <f>IFERROR(INDEX(tEditais[Encerramento],MATCH(tItens[[#This Row],[Edital]],tEditais[Edital],0)),"")</f>
        <v>46308.375694444447</v>
      </c>
      <c r="J8568" t="str">
        <f>IFERROR(INDEX(tProdutos[Classe],MATCH(tItens[[#This Row],[Produto]],tProdutos[Produto],0)),"produto não cadastrado")</f>
        <v>FORA</v>
      </c>
      <c r="K8568" s="12">
        <f>tItens[[#This Row],[Qtd]]*tItens[[#This Row],[Vlr unit]]</f>
        <v>2700</v>
      </c>
      <c r="L8568" s="6">
        <f>IFERROR(IF(INDEX(tProdutos[Desconto homologado],MATCH(tItens[[#This Row],[Produto]],tProdutos[Produto],0))="",DescontoPadrao,INDEX(tProdutos[Desconto homologado],MATCH(tItens[[#This Row],[Produto]],tProdutos[Produto],0))),DescontoPadrao)</f>
        <v>0.405797101449275</v>
      </c>
      <c r="M8568" s="12">
        <f>tItens[[#This Row],[Valor]]*(1-tItens[[#This Row],[Desconto]])</f>
        <v>1604.3478260869576</v>
      </c>
      <c r="N8568" t="str">
        <f>IFERROR(INDEX(tProdutos[Foco],MATCH(tItens[[#This Row],[Produto]],tProdutos[Produto],0)),"Não")</f>
        <v>Não</v>
      </c>
      <c r="O8568" t="str">
        <f>IFERROR(INDEX(tEditais[SRP],MATCH(tItens[[#This Row],[Edital]],tEditais[Edital],0)),"Não")</f>
        <v>Sim</v>
      </c>
      <c r="P8568" s="4">
        <f>IF(COUNTIFS(INDEX(tItens[Edital],1):tItens[[#This Row],[Edital]],tItens[[#This Row],[Edital]],INDEX(tItens[Produto],1):tItens[[#This Row],[Produto]],tItens[[#This Row],[Produto]])=1,1,0)</f>
        <v>1</v>
      </c>
    </row>
    <row r="8569" spans="1:16" x14ac:dyDescent="0.25">
      <c r="A8569" t="s">
        <v>2870</v>
      </c>
      <c r="B8569">
        <v>118</v>
      </c>
      <c r="C8569" t="s">
        <v>10982</v>
      </c>
      <c r="D8569" t="s">
        <v>184</v>
      </c>
      <c r="E8569" s="13">
        <v>10</v>
      </c>
      <c r="F8569" s="12">
        <v>2.52</v>
      </c>
      <c r="G8569" t="str">
        <f>IFERROR(INDEX(tEditais[Órgão],MATCH(tItens[[#This Row],[Edital]],tEditais[Edital],0)),"")</f>
        <v>MUNICIPIO DE BORBOREMA</v>
      </c>
      <c r="H8569" t="str">
        <f>IFERROR(INDEX(tEditais[UF],MATCH(tItens[[#This Row],[Edital]],tEditais[Edital],0)),"")</f>
        <v>SP</v>
      </c>
      <c r="I8569" s="11">
        <f>IFERROR(INDEX(tEditais[Encerramento],MATCH(tItens[[#This Row],[Edital]],tEditais[Edital],0)),"")</f>
        <v>46308.375694444447</v>
      </c>
      <c r="J8569" t="str">
        <f>IFERROR(INDEX(tProdutos[Classe],MATCH(tItens[[#This Row],[Produto]],tProdutos[Produto],0)),"produto não cadastrado")</f>
        <v>FORA</v>
      </c>
      <c r="K8569" s="12">
        <f>tItens[[#This Row],[Qtd]]*tItens[[#This Row],[Vlr unit]]</f>
        <v>25.2</v>
      </c>
      <c r="L8569" s="6">
        <f>IFERROR(IF(INDEX(tProdutos[Desconto homologado],MATCH(tItens[[#This Row],[Produto]],tProdutos[Produto],0))="",DescontoPadrao,INDEX(tProdutos[Desconto homologado],MATCH(tItens[[#This Row],[Produto]],tProdutos[Produto],0))),DescontoPadrao)</f>
        <v>0.363567906332742</v>
      </c>
      <c r="M8569" s="12">
        <f>tItens[[#This Row],[Valor]]*(1-tItens[[#This Row],[Desconto]])</f>
        <v>16.038088760414901</v>
      </c>
      <c r="N8569" t="str">
        <f>IFERROR(INDEX(tProdutos[Foco],MATCH(tItens[[#This Row],[Produto]],tProdutos[Produto],0)),"Não")</f>
        <v>Não</v>
      </c>
      <c r="O8569" t="str">
        <f>IFERROR(INDEX(tEditais[SRP],MATCH(tItens[[#This Row],[Edital]],tEditais[Edital],0)),"Não")</f>
        <v>Sim</v>
      </c>
      <c r="P8569" s="4">
        <f>IF(COUNTIFS(INDEX(tItens[Edital],1):tItens[[#This Row],[Edital]],tItens[[#This Row],[Edital]],INDEX(tItens[Produto],1):tItens[[#This Row],[Produto]],tItens[[#This Row],[Produto]])=1,1,0)</f>
        <v>1</v>
      </c>
    </row>
    <row r="8570" spans="1:16" x14ac:dyDescent="0.25">
      <c r="A8570" t="s">
        <v>2870</v>
      </c>
      <c r="B8570">
        <v>119</v>
      </c>
      <c r="C8570" t="s">
        <v>10983</v>
      </c>
      <c r="D8570" t="s">
        <v>184</v>
      </c>
      <c r="E8570" s="13">
        <v>30</v>
      </c>
      <c r="F8570" s="12">
        <v>2.39</v>
      </c>
      <c r="G8570" t="str">
        <f>IFERROR(INDEX(tEditais[Órgão],MATCH(tItens[[#This Row],[Edital]],tEditais[Edital],0)),"")</f>
        <v>MUNICIPIO DE BORBOREMA</v>
      </c>
      <c r="H8570" t="str">
        <f>IFERROR(INDEX(tEditais[UF],MATCH(tItens[[#This Row],[Edital]],tEditais[Edital],0)),"")</f>
        <v>SP</v>
      </c>
      <c r="I8570" s="11">
        <f>IFERROR(INDEX(tEditais[Encerramento],MATCH(tItens[[#This Row],[Edital]],tEditais[Edital],0)),"")</f>
        <v>46308.375694444447</v>
      </c>
      <c r="J8570" t="str">
        <f>IFERROR(INDEX(tProdutos[Classe],MATCH(tItens[[#This Row],[Produto]],tProdutos[Produto],0)),"produto não cadastrado")</f>
        <v>FORA</v>
      </c>
      <c r="K8570" s="12">
        <f>tItens[[#This Row],[Qtd]]*tItens[[#This Row],[Vlr unit]]</f>
        <v>71.7</v>
      </c>
      <c r="L8570" s="6">
        <f>IFERROR(IF(INDEX(tProdutos[Desconto homologado],MATCH(tItens[[#This Row],[Produto]],tProdutos[Produto],0))="",DescontoPadrao,INDEX(tProdutos[Desconto homologado],MATCH(tItens[[#This Row],[Produto]],tProdutos[Produto],0))),DescontoPadrao)</f>
        <v>0.363567906332742</v>
      </c>
      <c r="M8570" s="12">
        <f>tItens[[#This Row],[Valor]]*(1-tItens[[#This Row],[Desconto]])</f>
        <v>45.632181115942402</v>
      </c>
      <c r="N8570" t="str">
        <f>IFERROR(INDEX(tProdutos[Foco],MATCH(tItens[[#This Row],[Produto]],tProdutos[Produto],0)),"Não")</f>
        <v>Não</v>
      </c>
      <c r="O8570" t="str">
        <f>IFERROR(INDEX(tEditais[SRP],MATCH(tItens[[#This Row],[Edital]],tEditais[Edital],0)),"Não")</f>
        <v>Sim</v>
      </c>
      <c r="P8570" s="4">
        <f>IF(COUNTIFS(INDEX(tItens[Edital],1):tItens[[#This Row],[Edital]],tItens[[#This Row],[Edital]],INDEX(tItens[Produto],1):tItens[[#This Row],[Produto]],tItens[[#This Row],[Produto]])=1,1,0)</f>
        <v>0</v>
      </c>
    </row>
    <row r="8571" spans="1:16" x14ac:dyDescent="0.25">
      <c r="A8571" t="s">
        <v>2870</v>
      </c>
      <c r="B8571">
        <v>120</v>
      </c>
      <c r="C8571" t="s">
        <v>10984</v>
      </c>
      <c r="D8571" t="s">
        <v>184</v>
      </c>
      <c r="E8571" s="13">
        <v>50</v>
      </c>
      <c r="F8571" s="12">
        <v>2.39</v>
      </c>
      <c r="G8571" t="str">
        <f>IFERROR(INDEX(tEditais[Órgão],MATCH(tItens[[#This Row],[Edital]],tEditais[Edital],0)),"")</f>
        <v>MUNICIPIO DE BORBOREMA</v>
      </c>
      <c r="H8571" t="str">
        <f>IFERROR(INDEX(tEditais[UF],MATCH(tItens[[#This Row],[Edital]],tEditais[Edital],0)),"")</f>
        <v>SP</v>
      </c>
      <c r="I8571" s="11">
        <f>IFERROR(INDEX(tEditais[Encerramento],MATCH(tItens[[#This Row],[Edital]],tEditais[Edital],0)),"")</f>
        <v>46308.375694444447</v>
      </c>
      <c r="J8571" t="str">
        <f>IFERROR(INDEX(tProdutos[Classe],MATCH(tItens[[#This Row],[Produto]],tProdutos[Produto],0)),"produto não cadastrado")</f>
        <v>FORA</v>
      </c>
      <c r="K8571" s="12">
        <f>tItens[[#This Row],[Qtd]]*tItens[[#This Row],[Vlr unit]]</f>
        <v>119.5</v>
      </c>
      <c r="L8571" s="6">
        <f>IFERROR(IF(INDEX(tProdutos[Desconto homologado],MATCH(tItens[[#This Row],[Produto]],tProdutos[Produto],0))="",DescontoPadrao,INDEX(tProdutos[Desconto homologado],MATCH(tItens[[#This Row],[Produto]],tProdutos[Produto],0))),DescontoPadrao)</f>
        <v>0.363567906332742</v>
      </c>
      <c r="M8571" s="12">
        <f>tItens[[#This Row],[Valor]]*(1-tItens[[#This Row],[Desconto]])</f>
        <v>76.053635193237341</v>
      </c>
      <c r="N8571" t="str">
        <f>IFERROR(INDEX(tProdutos[Foco],MATCH(tItens[[#This Row],[Produto]],tProdutos[Produto],0)),"Não")</f>
        <v>Não</v>
      </c>
      <c r="O8571" t="str">
        <f>IFERROR(INDEX(tEditais[SRP],MATCH(tItens[[#This Row],[Edital]],tEditais[Edital],0)),"Não")</f>
        <v>Sim</v>
      </c>
      <c r="P8571" s="4">
        <f>IF(COUNTIFS(INDEX(tItens[Edital],1):tItens[[#This Row],[Edital]],tItens[[#This Row],[Edital]],INDEX(tItens[Produto],1):tItens[[#This Row],[Produto]],tItens[[#This Row],[Produto]])=1,1,0)</f>
        <v>0</v>
      </c>
    </row>
    <row r="8572" spans="1:16" x14ac:dyDescent="0.25">
      <c r="A8572" t="s">
        <v>2870</v>
      </c>
      <c r="B8572">
        <v>121</v>
      </c>
      <c r="C8572" t="s">
        <v>10985</v>
      </c>
      <c r="D8572" t="s">
        <v>184</v>
      </c>
      <c r="E8572" s="13">
        <v>80</v>
      </c>
      <c r="F8572" s="12">
        <v>2.41</v>
      </c>
      <c r="G8572" t="str">
        <f>IFERROR(INDEX(tEditais[Órgão],MATCH(tItens[[#This Row],[Edital]],tEditais[Edital],0)),"")</f>
        <v>MUNICIPIO DE BORBOREMA</v>
      </c>
      <c r="H8572" t="str">
        <f>IFERROR(INDEX(tEditais[UF],MATCH(tItens[[#This Row],[Edital]],tEditais[Edital],0)),"")</f>
        <v>SP</v>
      </c>
      <c r="I8572" s="11">
        <f>IFERROR(INDEX(tEditais[Encerramento],MATCH(tItens[[#This Row],[Edital]],tEditais[Edital],0)),"")</f>
        <v>46308.375694444447</v>
      </c>
      <c r="J8572" t="str">
        <f>IFERROR(INDEX(tProdutos[Classe],MATCH(tItens[[#This Row],[Produto]],tProdutos[Produto],0)),"produto não cadastrado")</f>
        <v>FORA</v>
      </c>
      <c r="K8572" s="12">
        <f>tItens[[#This Row],[Qtd]]*tItens[[#This Row],[Vlr unit]]</f>
        <v>192.8</v>
      </c>
      <c r="L8572" s="6">
        <f>IFERROR(IF(INDEX(tProdutos[Desconto homologado],MATCH(tItens[[#This Row],[Produto]],tProdutos[Produto],0))="",DescontoPadrao,INDEX(tProdutos[Desconto homologado],MATCH(tItens[[#This Row],[Produto]],tProdutos[Produto],0))),DescontoPadrao)</f>
        <v>0.363567906332742</v>
      </c>
      <c r="M8572" s="12">
        <f>tItens[[#This Row],[Valor]]*(1-tItens[[#This Row],[Desconto]])</f>
        <v>122.70410765904737</v>
      </c>
      <c r="N8572" t="str">
        <f>IFERROR(INDEX(tProdutos[Foco],MATCH(tItens[[#This Row],[Produto]],tProdutos[Produto],0)),"Não")</f>
        <v>Não</v>
      </c>
      <c r="O8572" t="str">
        <f>IFERROR(INDEX(tEditais[SRP],MATCH(tItens[[#This Row],[Edital]],tEditais[Edital],0)),"Não")</f>
        <v>Sim</v>
      </c>
      <c r="P8572" s="4">
        <f>IF(COUNTIFS(INDEX(tItens[Edital],1):tItens[[#This Row],[Edital]],tItens[[#This Row],[Edital]],INDEX(tItens[Produto],1):tItens[[#This Row],[Produto]],tItens[[#This Row],[Produto]])=1,1,0)</f>
        <v>0</v>
      </c>
    </row>
    <row r="8573" spans="1:16" x14ac:dyDescent="0.25">
      <c r="A8573" t="s">
        <v>2870</v>
      </c>
      <c r="B8573">
        <v>122</v>
      </c>
      <c r="C8573" t="s">
        <v>10986</v>
      </c>
      <c r="D8573" t="s">
        <v>265</v>
      </c>
      <c r="E8573" s="13">
        <v>5000</v>
      </c>
      <c r="F8573" s="12">
        <v>0.21</v>
      </c>
      <c r="G8573" t="str">
        <f>IFERROR(INDEX(tEditais[Órgão],MATCH(tItens[[#This Row],[Edital]],tEditais[Edital],0)),"")</f>
        <v>MUNICIPIO DE BORBOREMA</v>
      </c>
      <c r="H8573" t="str">
        <f>IFERROR(INDEX(tEditais[UF],MATCH(tItens[[#This Row],[Edital]],tEditais[Edital],0)),"")</f>
        <v>SP</v>
      </c>
      <c r="I8573" s="11">
        <f>IFERROR(INDEX(tEditais[Encerramento],MATCH(tItens[[#This Row],[Edital]],tEditais[Edital],0)),"")</f>
        <v>46308.375694444447</v>
      </c>
      <c r="J8573" t="str">
        <f>IFERROR(INDEX(tProdutos[Classe],MATCH(tItens[[#This Row],[Produto]],tProdutos[Produto],0)),"produto não cadastrado")</f>
        <v>DISPUTADO</v>
      </c>
      <c r="K8573" s="12">
        <f>tItens[[#This Row],[Qtd]]*tItens[[#This Row],[Vlr unit]]</f>
        <v>1050</v>
      </c>
      <c r="L8573" s="6">
        <f>IFERROR(IF(INDEX(tProdutos[Desconto homologado],MATCH(tItens[[#This Row],[Produto]],tProdutos[Produto],0))="",DescontoPadrao,INDEX(tProdutos[Desconto homologado],MATCH(tItens[[#This Row],[Produto]],tProdutos[Produto],0))),DescontoPadrao)</f>
        <v>0.377587663709337</v>
      </c>
      <c r="M8573" s="12">
        <f>tItens[[#This Row],[Valor]]*(1-tItens[[#This Row],[Desconto]])</f>
        <v>653.53295310519616</v>
      </c>
      <c r="N8573" t="str">
        <f>IFERROR(INDEX(tProdutos[Foco],MATCH(tItens[[#This Row],[Produto]],tProdutos[Produto],0)),"Não")</f>
        <v>Não</v>
      </c>
      <c r="O8573" t="str">
        <f>IFERROR(INDEX(tEditais[SRP],MATCH(tItens[[#This Row],[Edital]],tEditais[Edital],0)),"Não")</f>
        <v>Sim</v>
      </c>
      <c r="P8573" s="4">
        <f>IF(COUNTIFS(INDEX(tItens[Edital],1):tItens[[#This Row],[Edital]],tItens[[#This Row],[Edital]],INDEX(tItens[Produto],1):tItens[[#This Row],[Produto]],tItens[[#This Row],[Produto]])=1,1,0)</f>
        <v>1</v>
      </c>
    </row>
    <row r="8574" spans="1:16" x14ac:dyDescent="0.25">
      <c r="A8574" t="s">
        <v>2870</v>
      </c>
      <c r="B8574">
        <v>128</v>
      </c>
      <c r="C8574" t="s">
        <v>10987</v>
      </c>
      <c r="D8574" t="s">
        <v>184</v>
      </c>
      <c r="E8574" s="13">
        <v>60</v>
      </c>
      <c r="F8574" s="12">
        <v>2.56</v>
      </c>
      <c r="G8574" t="str">
        <f>IFERROR(INDEX(tEditais[Órgão],MATCH(tItens[[#This Row],[Edital]],tEditais[Edital],0)),"")</f>
        <v>MUNICIPIO DE BORBOREMA</v>
      </c>
      <c r="H8574" t="str">
        <f>IFERROR(INDEX(tEditais[UF],MATCH(tItens[[#This Row],[Edital]],tEditais[Edital],0)),"")</f>
        <v>SP</v>
      </c>
      <c r="I8574" s="11">
        <f>IFERROR(INDEX(tEditais[Encerramento],MATCH(tItens[[#This Row],[Edital]],tEditais[Edital],0)),"")</f>
        <v>46308.375694444447</v>
      </c>
      <c r="J8574" t="str">
        <f>IFERROR(INDEX(tProdutos[Classe],MATCH(tItens[[#This Row],[Produto]],tProdutos[Produto],0)),"produto não cadastrado")</f>
        <v>FORA</v>
      </c>
      <c r="K8574" s="12">
        <f>tItens[[#This Row],[Qtd]]*tItens[[#This Row],[Vlr unit]]</f>
        <v>153.6</v>
      </c>
      <c r="L8574" s="6">
        <f>IFERROR(IF(INDEX(tProdutos[Desconto homologado],MATCH(tItens[[#This Row],[Produto]],tProdutos[Produto],0))="",DescontoPadrao,INDEX(tProdutos[Desconto homologado],MATCH(tItens[[#This Row],[Produto]],tProdutos[Produto],0))),DescontoPadrao)</f>
        <v>0.363567906332742</v>
      </c>
      <c r="M8574" s="12">
        <f>tItens[[#This Row],[Valor]]*(1-tItens[[#This Row],[Desconto]])</f>
        <v>97.755969587290835</v>
      </c>
      <c r="N8574" t="str">
        <f>IFERROR(INDEX(tProdutos[Foco],MATCH(tItens[[#This Row],[Produto]],tProdutos[Produto],0)),"Não")</f>
        <v>Não</v>
      </c>
      <c r="O8574" t="str">
        <f>IFERROR(INDEX(tEditais[SRP],MATCH(tItens[[#This Row],[Edital]],tEditais[Edital],0)),"Não")</f>
        <v>Sim</v>
      </c>
      <c r="P8574" s="4">
        <f>IF(COUNTIFS(INDEX(tItens[Edital],1):tItens[[#This Row],[Edital]],tItens[[#This Row],[Edital]],INDEX(tItens[Produto],1):tItens[[#This Row],[Produto]],tItens[[#This Row],[Produto]])=1,1,0)</f>
        <v>0</v>
      </c>
    </row>
    <row r="8575" spans="1:16" x14ac:dyDescent="0.25">
      <c r="A8575" t="s">
        <v>2870</v>
      </c>
      <c r="B8575">
        <v>129</v>
      </c>
      <c r="C8575" t="s">
        <v>10988</v>
      </c>
      <c r="D8575" t="s">
        <v>184</v>
      </c>
      <c r="E8575" s="13">
        <v>50</v>
      </c>
      <c r="F8575" s="12">
        <v>2.5499999999999998</v>
      </c>
      <c r="G8575" t="str">
        <f>IFERROR(INDEX(tEditais[Órgão],MATCH(tItens[[#This Row],[Edital]],tEditais[Edital],0)),"")</f>
        <v>MUNICIPIO DE BORBOREMA</v>
      </c>
      <c r="H8575" t="str">
        <f>IFERROR(INDEX(tEditais[UF],MATCH(tItens[[#This Row],[Edital]],tEditais[Edital],0)),"")</f>
        <v>SP</v>
      </c>
      <c r="I8575" s="11">
        <f>IFERROR(INDEX(tEditais[Encerramento],MATCH(tItens[[#This Row],[Edital]],tEditais[Edital],0)),"")</f>
        <v>46308.375694444447</v>
      </c>
      <c r="J8575" t="str">
        <f>IFERROR(INDEX(tProdutos[Classe],MATCH(tItens[[#This Row],[Produto]],tProdutos[Produto],0)),"produto não cadastrado")</f>
        <v>FORA</v>
      </c>
      <c r="K8575" s="12">
        <f>tItens[[#This Row],[Qtd]]*tItens[[#This Row],[Vlr unit]]</f>
        <v>127.49999999999999</v>
      </c>
      <c r="L8575" s="6">
        <f>IFERROR(IF(INDEX(tProdutos[Desconto homologado],MATCH(tItens[[#This Row],[Produto]],tProdutos[Produto],0))="",DescontoPadrao,INDEX(tProdutos[Desconto homologado],MATCH(tItens[[#This Row],[Produto]],tProdutos[Produto],0))),DescontoPadrao)</f>
        <v>0.363567906332742</v>
      </c>
      <c r="M8575" s="12">
        <f>tItens[[#This Row],[Valor]]*(1-tItens[[#This Row],[Desconto]])</f>
        <v>81.145091942575391</v>
      </c>
      <c r="N8575" t="str">
        <f>IFERROR(INDEX(tProdutos[Foco],MATCH(tItens[[#This Row],[Produto]],tProdutos[Produto],0)),"Não")</f>
        <v>Não</v>
      </c>
      <c r="O8575" t="str">
        <f>IFERROR(INDEX(tEditais[SRP],MATCH(tItens[[#This Row],[Edital]],tEditais[Edital],0)),"Não")</f>
        <v>Sim</v>
      </c>
      <c r="P8575" s="4">
        <f>IF(COUNTIFS(INDEX(tItens[Edital],1):tItens[[#This Row],[Edital]],tItens[[#This Row],[Edital]],INDEX(tItens[Produto],1):tItens[[#This Row],[Produto]],tItens[[#This Row],[Produto]])=1,1,0)</f>
        <v>0</v>
      </c>
    </row>
    <row r="8576" spans="1:16" x14ac:dyDescent="0.25">
      <c r="A8576" t="s">
        <v>2870</v>
      </c>
      <c r="B8576">
        <v>130</v>
      </c>
      <c r="C8576" t="s">
        <v>10989</v>
      </c>
      <c r="D8576" t="s">
        <v>184</v>
      </c>
      <c r="E8576" s="13">
        <v>40</v>
      </c>
      <c r="F8576" s="12">
        <v>2.35</v>
      </c>
      <c r="G8576" t="str">
        <f>IFERROR(INDEX(tEditais[Órgão],MATCH(tItens[[#This Row],[Edital]],tEditais[Edital],0)),"")</f>
        <v>MUNICIPIO DE BORBOREMA</v>
      </c>
      <c r="H8576" t="str">
        <f>IFERROR(INDEX(tEditais[UF],MATCH(tItens[[#This Row],[Edital]],tEditais[Edital],0)),"")</f>
        <v>SP</v>
      </c>
      <c r="I8576" s="11">
        <f>IFERROR(INDEX(tEditais[Encerramento],MATCH(tItens[[#This Row],[Edital]],tEditais[Edital],0)),"")</f>
        <v>46308.375694444447</v>
      </c>
      <c r="J8576" t="str">
        <f>IFERROR(INDEX(tProdutos[Classe],MATCH(tItens[[#This Row],[Produto]],tProdutos[Produto],0)),"produto não cadastrado")</f>
        <v>FORA</v>
      </c>
      <c r="K8576" s="12">
        <f>tItens[[#This Row],[Qtd]]*tItens[[#This Row],[Vlr unit]]</f>
        <v>94</v>
      </c>
      <c r="L8576" s="6">
        <f>IFERROR(IF(INDEX(tProdutos[Desconto homologado],MATCH(tItens[[#This Row],[Produto]],tProdutos[Produto],0))="",DescontoPadrao,INDEX(tProdutos[Desconto homologado],MATCH(tItens[[#This Row],[Produto]],tProdutos[Produto],0))),DescontoPadrao)</f>
        <v>0.363567906332742</v>
      </c>
      <c r="M8576" s="12">
        <f>tItens[[#This Row],[Valor]]*(1-tItens[[#This Row],[Desconto]])</f>
        <v>59.824616804722254</v>
      </c>
      <c r="N8576" t="str">
        <f>IFERROR(INDEX(tProdutos[Foco],MATCH(tItens[[#This Row],[Produto]],tProdutos[Produto],0)),"Não")</f>
        <v>Não</v>
      </c>
      <c r="O8576" t="str">
        <f>IFERROR(INDEX(tEditais[SRP],MATCH(tItens[[#This Row],[Edital]],tEditais[Edital],0)),"Não")</f>
        <v>Sim</v>
      </c>
      <c r="P8576" s="4">
        <f>IF(COUNTIFS(INDEX(tItens[Edital],1):tItens[[#This Row],[Edital]],tItens[[#This Row],[Edital]],INDEX(tItens[Produto],1):tItens[[#This Row],[Produto]],tItens[[#This Row],[Produto]])=1,1,0)</f>
        <v>0</v>
      </c>
    </row>
    <row r="8577" spans="1:16" x14ac:dyDescent="0.25">
      <c r="A8577" t="s">
        <v>2870</v>
      </c>
      <c r="B8577">
        <v>138</v>
      </c>
      <c r="C8577" t="s">
        <v>10990</v>
      </c>
      <c r="D8577" t="s">
        <v>120</v>
      </c>
      <c r="E8577" s="13">
        <v>3000</v>
      </c>
      <c r="F8577" s="12">
        <v>0.61</v>
      </c>
      <c r="G8577" t="str">
        <f>IFERROR(INDEX(tEditais[Órgão],MATCH(tItens[[#This Row],[Edital]],tEditais[Edital],0)),"")</f>
        <v>MUNICIPIO DE BORBOREMA</v>
      </c>
      <c r="H8577" t="str">
        <f>IFERROR(INDEX(tEditais[UF],MATCH(tItens[[#This Row],[Edital]],tEditais[Edital],0)),"")</f>
        <v>SP</v>
      </c>
      <c r="I8577" s="11">
        <f>IFERROR(INDEX(tEditais[Encerramento],MATCH(tItens[[#This Row],[Edital]],tEditais[Edital],0)),"")</f>
        <v>46308.375694444447</v>
      </c>
      <c r="J8577" t="str">
        <f>IFERROR(INDEX(tProdutos[Classe],MATCH(tItens[[#This Row],[Produto]],tProdutos[Produto],0)),"produto não cadastrado")</f>
        <v>DISPUTADO</v>
      </c>
      <c r="K8577" s="12">
        <f>tItens[[#This Row],[Qtd]]*tItens[[#This Row],[Vlr unit]]</f>
        <v>1830</v>
      </c>
      <c r="L8577" s="6">
        <f>IFERROR(IF(INDEX(tProdutos[Desconto homologado],MATCH(tItens[[#This Row],[Produto]],tProdutos[Produto],0))="",DescontoPadrao,INDEX(tProdutos[Desconto homologado],MATCH(tItens[[#This Row],[Produto]],tProdutos[Produto],0))),DescontoPadrao)</f>
        <v>0.40909090909090901</v>
      </c>
      <c r="M8577" s="12">
        <f>tItens[[#This Row],[Valor]]*(1-tItens[[#This Row],[Desconto]])</f>
        <v>1081.3636363636367</v>
      </c>
      <c r="N8577" t="str">
        <f>IFERROR(INDEX(tProdutos[Foco],MATCH(tItens[[#This Row],[Produto]],tProdutos[Produto],0)),"Não")</f>
        <v>Não</v>
      </c>
      <c r="O8577" t="str">
        <f>IFERROR(INDEX(tEditais[SRP],MATCH(tItens[[#This Row],[Edital]],tEditais[Edital],0)),"Não")</f>
        <v>Sim</v>
      </c>
      <c r="P8577" s="4">
        <f>IF(COUNTIFS(INDEX(tItens[Edital],1):tItens[[#This Row],[Edital]],tItens[[#This Row],[Edital]],INDEX(tItens[Produto],1):tItens[[#This Row],[Produto]],tItens[[#This Row],[Produto]])=1,1,0)</f>
        <v>1</v>
      </c>
    </row>
    <row r="8578" spans="1:16" x14ac:dyDescent="0.25">
      <c r="A8578" t="s">
        <v>2870</v>
      </c>
      <c r="B8578">
        <v>139</v>
      </c>
      <c r="C8578" t="s">
        <v>10991</v>
      </c>
      <c r="D8578" t="s">
        <v>120</v>
      </c>
      <c r="E8578" s="13">
        <v>5000</v>
      </c>
      <c r="F8578" s="12">
        <v>0.74</v>
      </c>
      <c r="G8578" t="str">
        <f>IFERROR(INDEX(tEditais[Órgão],MATCH(tItens[[#This Row],[Edital]],tEditais[Edital],0)),"")</f>
        <v>MUNICIPIO DE BORBOREMA</v>
      </c>
      <c r="H8578" t="str">
        <f>IFERROR(INDEX(tEditais[UF],MATCH(tItens[[#This Row],[Edital]],tEditais[Edital],0)),"")</f>
        <v>SP</v>
      </c>
      <c r="I8578" s="11">
        <f>IFERROR(INDEX(tEditais[Encerramento],MATCH(tItens[[#This Row],[Edital]],tEditais[Edital],0)),"")</f>
        <v>46308.375694444447</v>
      </c>
      <c r="J8578" t="str">
        <f>IFERROR(INDEX(tProdutos[Classe],MATCH(tItens[[#This Row],[Produto]],tProdutos[Produto],0)),"produto não cadastrado")</f>
        <v>DISPUTADO</v>
      </c>
      <c r="K8578" s="12">
        <f>tItens[[#This Row],[Qtd]]*tItens[[#This Row],[Vlr unit]]</f>
        <v>3700</v>
      </c>
      <c r="L8578" s="6">
        <f>IFERROR(IF(INDEX(tProdutos[Desconto homologado],MATCH(tItens[[#This Row],[Produto]],tProdutos[Produto],0))="",DescontoPadrao,INDEX(tProdutos[Desconto homologado],MATCH(tItens[[#This Row],[Produto]],tProdutos[Produto],0))),DescontoPadrao)</f>
        <v>0.40909090909090901</v>
      </c>
      <c r="M8578" s="12">
        <f>tItens[[#This Row],[Valor]]*(1-tItens[[#This Row],[Desconto]])</f>
        <v>2186.3636363636369</v>
      </c>
      <c r="N8578" t="str">
        <f>IFERROR(INDEX(tProdutos[Foco],MATCH(tItens[[#This Row],[Produto]],tProdutos[Produto],0)),"Não")</f>
        <v>Não</v>
      </c>
      <c r="O8578" t="str">
        <f>IFERROR(INDEX(tEditais[SRP],MATCH(tItens[[#This Row],[Edital]],tEditais[Edital],0)),"Não")</f>
        <v>Sim</v>
      </c>
      <c r="P8578" s="4">
        <f>IF(COUNTIFS(INDEX(tItens[Edital],1):tItens[[#This Row],[Edital]],tItens[[#This Row],[Edital]],INDEX(tItens[Produto],1):tItens[[#This Row],[Produto]],tItens[[#This Row],[Produto]])=1,1,0)</f>
        <v>0</v>
      </c>
    </row>
    <row r="8579" spans="1:16" x14ac:dyDescent="0.25">
      <c r="A8579" t="s">
        <v>2870</v>
      </c>
      <c r="B8579">
        <v>140</v>
      </c>
      <c r="C8579" t="s">
        <v>10992</v>
      </c>
      <c r="D8579" t="s">
        <v>120</v>
      </c>
      <c r="E8579" s="13">
        <v>4000</v>
      </c>
      <c r="F8579" s="12">
        <v>0.74</v>
      </c>
      <c r="G8579" t="str">
        <f>IFERROR(INDEX(tEditais[Órgão],MATCH(tItens[[#This Row],[Edital]],tEditais[Edital],0)),"")</f>
        <v>MUNICIPIO DE BORBOREMA</v>
      </c>
      <c r="H8579" t="str">
        <f>IFERROR(INDEX(tEditais[UF],MATCH(tItens[[#This Row],[Edital]],tEditais[Edital],0)),"")</f>
        <v>SP</v>
      </c>
      <c r="I8579" s="11">
        <f>IFERROR(INDEX(tEditais[Encerramento],MATCH(tItens[[#This Row],[Edital]],tEditais[Edital],0)),"")</f>
        <v>46308.375694444447</v>
      </c>
      <c r="J8579" t="str">
        <f>IFERROR(INDEX(tProdutos[Classe],MATCH(tItens[[#This Row],[Produto]],tProdutos[Produto],0)),"produto não cadastrado")</f>
        <v>DISPUTADO</v>
      </c>
      <c r="K8579" s="12">
        <f>tItens[[#This Row],[Qtd]]*tItens[[#This Row],[Vlr unit]]</f>
        <v>2960</v>
      </c>
      <c r="L8579" s="6">
        <f>IFERROR(IF(INDEX(tProdutos[Desconto homologado],MATCH(tItens[[#This Row],[Produto]],tProdutos[Produto],0))="",DescontoPadrao,INDEX(tProdutos[Desconto homologado],MATCH(tItens[[#This Row],[Produto]],tProdutos[Produto],0))),DescontoPadrao)</f>
        <v>0.40909090909090901</v>
      </c>
      <c r="M8579" s="12">
        <f>tItens[[#This Row],[Valor]]*(1-tItens[[#This Row],[Desconto]])</f>
        <v>1749.0909090909095</v>
      </c>
      <c r="N8579" t="str">
        <f>IFERROR(INDEX(tProdutos[Foco],MATCH(tItens[[#This Row],[Produto]],tProdutos[Produto],0)),"Não")</f>
        <v>Não</v>
      </c>
      <c r="O8579" t="str">
        <f>IFERROR(INDEX(tEditais[SRP],MATCH(tItens[[#This Row],[Edital]],tEditais[Edital],0)),"Não")</f>
        <v>Sim</v>
      </c>
      <c r="P8579" s="4">
        <f>IF(COUNTIFS(INDEX(tItens[Edital],1):tItens[[#This Row],[Edital]],tItens[[#This Row],[Edital]],INDEX(tItens[Produto],1):tItens[[#This Row],[Produto]],tItens[[#This Row],[Produto]])=1,1,0)</f>
        <v>0</v>
      </c>
    </row>
    <row r="8580" spans="1:16" x14ac:dyDescent="0.25">
      <c r="A8580" t="s">
        <v>2870</v>
      </c>
      <c r="B8580">
        <v>141</v>
      </c>
      <c r="C8580" t="s">
        <v>10993</v>
      </c>
      <c r="D8580" t="s">
        <v>120</v>
      </c>
      <c r="E8580" s="13">
        <v>3000</v>
      </c>
      <c r="F8580" s="12">
        <v>0.77</v>
      </c>
      <c r="G8580" t="str">
        <f>IFERROR(INDEX(tEditais[Órgão],MATCH(tItens[[#This Row],[Edital]],tEditais[Edital],0)),"")</f>
        <v>MUNICIPIO DE BORBOREMA</v>
      </c>
      <c r="H8580" t="str">
        <f>IFERROR(INDEX(tEditais[UF],MATCH(tItens[[#This Row],[Edital]],tEditais[Edital],0)),"")</f>
        <v>SP</v>
      </c>
      <c r="I8580" s="11">
        <f>IFERROR(INDEX(tEditais[Encerramento],MATCH(tItens[[#This Row],[Edital]],tEditais[Edital],0)),"")</f>
        <v>46308.375694444447</v>
      </c>
      <c r="J8580" t="str">
        <f>IFERROR(INDEX(tProdutos[Classe],MATCH(tItens[[#This Row],[Produto]],tProdutos[Produto],0)),"produto não cadastrado")</f>
        <v>DISPUTADO</v>
      </c>
      <c r="K8580" s="12">
        <f>tItens[[#This Row],[Qtd]]*tItens[[#This Row],[Vlr unit]]</f>
        <v>2310</v>
      </c>
      <c r="L8580" s="6">
        <f>IFERROR(IF(INDEX(tProdutos[Desconto homologado],MATCH(tItens[[#This Row],[Produto]],tProdutos[Produto],0))="",DescontoPadrao,INDEX(tProdutos[Desconto homologado],MATCH(tItens[[#This Row],[Produto]],tProdutos[Produto],0))),DescontoPadrao)</f>
        <v>0.40909090909090901</v>
      </c>
      <c r="M8580" s="12">
        <f>tItens[[#This Row],[Valor]]*(1-tItens[[#This Row],[Desconto]])</f>
        <v>1365.0000000000002</v>
      </c>
      <c r="N8580" t="str">
        <f>IFERROR(INDEX(tProdutos[Foco],MATCH(tItens[[#This Row],[Produto]],tProdutos[Produto],0)),"Não")</f>
        <v>Não</v>
      </c>
      <c r="O8580" t="str">
        <f>IFERROR(INDEX(tEditais[SRP],MATCH(tItens[[#This Row],[Edital]],tEditais[Edital],0)),"Não")</f>
        <v>Sim</v>
      </c>
      <c r="P8580" s="4">
        <f>IF(COUNTIFS(INDEX(tItens[Edital],1):tItens[[#This Row],[Edital]],tItens[[#This Row],[Edital]],INDEX(tItens[Produto],1):tItens[[#This Row],[Produto]],tItens[[#This Row],[Produto]])=1,1,0)</f>
        <v>0</v>
      </c>
    </row>
    <row r="8581" spans="1:16" x14ac:dyDescent="0.25">
      <c r="A8581" t="s">
        <v>2870</v>
      </c>
      <c r="B8581">
        <v>142</v>
      </c>
      <c r="C8581" t="s">
        <v>10994</v>
      </c>
      <c r="D8581" t="s">
        <v>120</v>
      </c>
      <c r="E8581" s="13">
        <v>2000</v>
      </c>
      <c r="F8581" s="12">
        <v>0.78</v>
      </c>
      <c r="G8581" t="str">
        <f>IFERROR(INDEX(tEditais[Órgão],MATCH(tItens[[#This Row],[Edital]],tEditais[Edital],0)),"")</f>
        <v>MUNICIPIO DE BORBOREMA</v>
      </c>
      <c r="H8581" t="str">
        <f>IFERROR(INDEX(tEditais[UF],MATCH(tItens[[#This Row],[Edital]],tEditais[Edital],0)),"")</f>
        <v>SP</v>
      </c>
      <c r="I8581" s="11">
        <f>IFERROR(INDEX(tEditais[Encerramento],MATCH(tItens[[#This Row],[Edital]],tEditais[Edital],0)),"")</f>
        <v>46308.375694444447</v>
      </c>
      <c r="J8581" t="str">
        <f>IFERROR(INDEX(tProdutos[Classe],MATCH(tItens[[#This Row],[Produto]],tProdutos[Produto],0)),"produto não cadastrado")</f>
        <v>DISPUTADO</v>
      </c>
      <c r="K8581" s="12">
        <f>tItens[[#This Row],[Qtd]]*tItens[[#This Row],[Vlr unit]]</f>
        <v>1560</v>
      </c>
      <c r="L8581" s="6">
        <f>IFERROR(IF(INDEX(tProdutos[Desconto homologado],MATCH(tItens[[#This Row],[Produto]],tProdutos[Produto],0))="",DescontoPadrao,INDEX(tProdutos[Desconto homologado],MATCH(tItens[[#This Row],[Produto]],tProdutos[Produto],0))),DescontoPadrao)</f>
        <v>0.40909090909090901</v>
      </c>
      <c r="M8581" s="12">
        <f>tItens[[#This Row],[Valor]]*(1-tItens[[#This Row],[Desconto]])</f>
        <v>921.81818181818198</v>
      </c>
      <c r="N8581" t="str">
        <f>IFERROR(INDEX(tProdutos[Foco],MATCH(tItens[[#This Row],[Produto]],tProdutos[Produto],0)),"Não")</f>
        <v>Não</v>
      </c>
      <c r="O8581" t="str">
        <f>IFERROR(INDEX(tEditais[SRP],MATCH(tItens[[#This Row],[Edital]],tEditais[Edital],0)),"Não")</f>
        <v>Sim</v>
      </c>
      <c r="P8581" s="4">
        <f>IF(COUNTIFS(INDEX(tItens[Edital],1):tItens[[#This Row],[Edital]],tItens[[#This Row],[Edital]],INDEX(tItens[Produto],1):tItens[[#This Row],[Produto]],tItens[[#This Row],[Produto]])=1,1,0)</f>
        <v>0</v>
      </c>
    </row>
    <row r="8582" spans="1:16" x14ac:dyDescent="0.25">
      <c r="A8582" t="s">
        <v>2870</v>
      </c>
      <c r="B8582">
        <v>152</v>
      </c>
      <c r="C8582" t="s">
        <v>10995</v>
      </c>
      <c r="D8582" t="s">
        <v>197</v>
      </c>
      <c r="E8582" s="13">
        <v>25</v>
      </c>
      <c r="F8582" s="12">
        <v>56.43</v>
      </c>
      <c r="G8582" t="str">
        <f>IFERROR(INDEX(tEditais[Órgão],MATCH(tItens[[#This Row],[Edital]],tEditais[Edital],0)),"")</f>
        <v>MUNICIPIO DE BORBOREMA</v>
      </c>
      <c r="H8582" t="str">
        <f>IFERROR(INDEX(tEditais[UF],MATCH(tItens[[#This Row],[Edital]],tEditais[Edital],0)),"")</f>
        <v>SP</v>
      </c>
      <c r="I8582" s="11">
        <f>IFERROR(INDEX(tEditais[Encerramento],MATCH(tItens[[#This Row],[Edital]],tEditais[Edital],0)),"")</f>
        <v>46308.375694444447</v>
      </c>
      <c r="J8582" t="str">
        <f>IFERROR(INDEX(tProdutos[Classe],MATCH(tItens[[#This Row],[Produto]],tProdutos[Produto],0)),"produto não cadastrado")</f>
        <v>FORA</v>
      </c>
      <c r="K8582" s="12">
        <f>tItens[[#This Row],[Qtd]]*tItens[[#This Row],[Vlr unit]]</f>
        <v>1410.75</v>
      </c>
      <c r="L8582" s="6">
        <f>IFERROR(IF(INDEX(tProdutos[Desconto homologado],MATCH(tItens[[#This Row],[Produto]],tProdutos[Produto],0))="",DescontoPadrao,INDEX(tProdutos[Desconto homologado],MATCH(tItens[[#This Row],[Produto]],tProdutos[Produto],0))),DescontoPadrao)</f>
        <v>0.26394818195200997</v>
      </c>
      <c r="M8582" s="12">
        <f>tItens[[#This Row],[Valor]]*(1-tItens[[#This Row],[Desconto]])</f>
        <v>1038.385102311202</v>
      </c>
      <c r="N8582" t="str">
        <f>IFERROR(INDEX(tProdutos[Foco],MATCH(tItens[[#This Row],[Produto]],tProdutos[Produto],0)),"Não")</f>
        <v>Não</v>
      </c>
      <c r="O8582" t="str">
        <f>IFERROR(INDEX(tEditais[SRP],MATCH(tItens[[#This Row],[Edital]],tEditais[Edital],0)),"Não")</f>
        <v>Sim</v>
      </c>
      <c r="P8582" s="4">
        <f>IF(COUNTIFS(INDEX(tItens[Edital],1):tItens[[#This Row],[Edital]],tItens[[#This Row],[Edital]],INDEX(tItens[Produto],1):tItens[[#This Row],[Produto]],tItens[[#This Row],[Produto]])=1,1,0)</f>
        <v>1</v>
      </c>
    </row>
    <row r="8583" spans="1:16" x14ac:dyDescent="0.25">
      <c r="A8583" t="s">
        <v>2870</v>
      </c>
      <c r="B8583">
        <v>154</v>
      </c>
      <c r="C8583" t="s">
        <v>10996</v>
      </c>
      <c r="D8583" t="s">
        <v>114</v>
      </c>
      <c r="E8583" s="13">
        <v>40</v>
      </c>
      <c r="F8583" s="12">
        <v>11.46</v>
      </c>
      <c r="G8583" t="str">
        <f>IFERROR(INDEX(tEditais[Órgão],MATCH(tItens[[#This Row],[Edital]],tEditais[Edital],0)),"")</f>
        <v>MUNICIPIO DE BORBOREMA</v>
      </c>
      <c r="H8583" t="str">
        <f>IFERROR(INDEX(tEditais[UF],MATCH(tItens[[#This Row],[Edital]],tEditais[Edital],0)),"")</f>
        <v>SP</v>
      </c>
      <c r="I8583" s="11">
        <f>IFERROR(INDEX(tEditais[Encerramento],MATCH(tItens[[#This Row],[Edital]],tEditais[Edital],0)),"")</f>
        <v>46308.375694444447</v>
      </c>
      <c r="J8583" t="str">
        <f>IFERROR(INDEX(tProdutos[Classe],MATCH(tItens[[#This Row],[Produto]],tProdutos[Produto],0)),"produto não cadastrado")</f>
        <v>DISPUTADO</v>
      </c>
      <c r="K8583" s="12">
        <f>tItens[[#This Row],[Qtd]]*tItens[[#This Row],[Vlr unit]]</f>
        <v>458.40000000000003</v>
      </c>
      <c r="L8583" s="6">
        <f>IFERROR(IF(INDEX(tProdutos[Desconto homologado],MATCH(tItens[[#This Row],[Produto]],tProdutos[Produto],0))="",DescontoPadrao,INDEX(tProdutos[Desconto homologado],MATCH(tItens[[#This Row],[Produto]],tProdutos[Produto],0))),DescontoPadrao)</f>
        <v>0.24332656063896899</v>
      </c>
      <c r="M8583" s="12">
        <f>tItens[[#This Row],[Valor]]*(1-tItens[[#This Row],[Desconto]])</f>
        <v>346.85910460309668</v>
      </c>
      <c r="N8583" t="str">
        <f>IFERROR(INDEX(tProdutos[Foco],MATCH(tItens[[#This Row],[Produto]],tProdutos[Produto],0)),"Não")</f>
        <v>Não</v>
      </c>
      <c r="O8583" t="str">
        <f>IFERROR(INDEX(tEditais[SRP],MATCH(tItens[[#This Row],[Edital]],tEditais[Edital],0)),"Não")</f>
        <v>Sim</v>
      </c>
      <c r="P8583" s="4">
        <f>IF(COUNTIFS(INDEX(tItens[Edital],1):tItens[[#This Row],[Edital]],tItens[[#This Row],[Edital]],INDEX(tItens[Produto],1):tItens[[#This Row],[Produto]],tItens[[#This Row],[Produto]])=1,1,0)</f>
        <v>1</v>
      </c>
    </row>
    <row r="8584" spans="1:16" x14ac:dyDescent="0.25">
      <c r="A8584" t="s">
        <v>2870</v>
      </c>
      <c r="B8584">
        <v>155</v>
      </c>
      <c r="C8584" t="s">
        <v>10997</v>
      </c>
      <c r="D8584" t="s">
        <v>156</v>
      </c>
      <c r="E8584" s="13">
        <v>30</v>
      </c>
      <c r="F8584" s="12">
        <v>13.08</v>
      </c>
      <c r="G8584" t="str">
        <f>IFERROR(INDEX(tEditais[Órgão],MATCH(tItens[[#This Row],[Edital]],tEditais[Edital],0)),"")</f>
        <v>MUNICIPIO DE BORBOREMA</v>
      </c>
      <c r="H8584" t="str">
        <f>IFERROR(INDEX(tEditais[UF],MATCH(tItens[[#This Row],[Edital]],tEditais[Edital],0)),"")</f>
        <v>SP</v>
      </c>
      <c r="I8584" s="11">
        <f>IFERROR(INDEX(tEditais[Encerramento],MATCH(tItens[[#This Row],[Edital]],tEditais[Edital],0)),"")</f>
        <v>46308.375694444447</v>
      </c>
      <c r="J8584" t="str">
        <f>IFERROR(INDEX(tProdutos[Classe],MATCH(tItens[[#This Row],[Produto]],tProdutos[Produto],0)),"produto não cadastrado")</f>
        <v>DISPUTADO</v>
      </c>
      <c r="K8584" s="12">
        <f>tItens[[#This Row],[Qtd]]*tItens[[#This Row],[Vlr unit]]</f>
        <v>392.4</v>
      </c>
      <c r="L8584" s="6">
        <f>IFERROR(IF(INDEX(tProdutos[Desconto homologado],MATCH(tItens[[#This Row],[Produto]],tProdutos[Produto],0))="",DescontoPadrao,INDEX(tProdutos[Desconto homologado],MATCH(tItens[[#This Row],[Produto]],tProdutos[Produto],0))),DescontoPadrao)</f>
        <v>0.27131852489802799</v>
      </c>
      <c r="M8584" s="12">
        <f>tItens[[#This Row],[Valor]]*(1-tItens[[#This Row],[Desconto]])</f>
        <v>285.93461083001381</v>
      </c>
      <c r="N8584" t="str">
        <f>IFERROR(INDEX(tProdutos[Foco],MATCH(tItens[[#This Row],[Produto]],tProdutos[Produto],0)),"Não")</f>
        <v>Não</v>
      </c>
      <c r="O8584" t="str">
        <f>IFERROR(INDEX(tEditais[SRP],MATCH(tItens[[#This Row],[Edital]],tEditais[Edital],0)),"Não")</f>
        <v>Sim</v>
      </c>
      <c r="P8584" s="4">
        <f>IF(COUNTIFS(INDEX(tItens[Edital],1):tItens[[#This Row],[Edital]],tItens[[#This Row],[Edital]],INDEX(tItens[Produto],1):tItens[[#This Row],[Produto]],tItens[[#This Row],[Produto]])=1,1,0)</f>
        <v>1</v>
      </c>
    </row>
    <row r="8585" spans="1:16" x14ac:dyDescent="0.25">
      <c r="A8585" t="s">
        <v>2874</v>
      </c>
      <c r="B8585">
        <v>5</v>
      </c>
      <c r="C8585" t="s">
        <v>10998</v>
      </c>
      <c r="D8585" t="s">
        <v>201</v>
      </c>
      <c r="E8585" s="13">
        <v>44000</v>
      </c>
      <c r="F8585" s="12">
        <v>0.82</v>
      </c>
      <c r="G8585" t="str">
        <f>IFERROR(INDEX(tEditais[Órgão],MATCH(tItens[[#This Row],[Edital]],tEditais[Edital],0)),"")</f>
        <v>COMANDO DA AERONAUTICA</v>
      </c>
      <c r="H8585" t="str">
        <f>IFERROR(INDEX(tEditais[UF],MATCH(tItens[[#This Row],[Edital]],tEditais[Edital],0)),"")</f>
        <v>SP</v>
      </c>
      <c r="I8585" s="11">
        <f>IFERROR(INDEX(tEditais[Encerramento],MATCH(tItens[[#This Row],[Edital]],tEditais[Edital],0)),"")</f>
        <v>46308.416666666664</v>
      </c>
      <c r="J8585" t="str">
        <f>IFERROR(INDEX(tProdutos[Classe],MATCH(tItens[[#This Row],[Produto]],tProdutos[Produto],0)),"produto não cadastrado")</f>
        <v>DISPUTADO</v>
      </c>
      <c r="K8585" s="12">
        <f>tItens[[#This Row],[Qtd]]*tItens[[#This Row],[Vlr unit]]</f>
        <v>36080</v>
      </c>
      <c r="L8585" s="6">
        <f>IFERROR(IF(INDEX(tProdutos[Desconto homologado],MATCH(tItens[[#This Row],[Produto]],tProdutos[Produto],0))="",DescontoPadrao,INDEX(tProdutos[Desconto homologado],MATCH(tItens[[#This Row],[Produto]],tProdutos[Produto],0))),DescontoPadrao)</f>
        <v>0.27203065134099602</v>
      </c>
      <c r="M8585" s="12">
        <f>tItens[[#This Row],[Valor]]*(1-tItens[[#This Row],[Desconto]])</f>
        <v>26265.134099616862</v>
      </c>
      <c r="N8585" t="str">
        <f>IFERROR(INDEX(tProdutos[Foco],MATCH(tItens[[#This Row],[Produto]],tProdutos[Produto],0)),"Não")</f>
        <v>Não</v>
      </c>
      <c r="O8585" t="str">
        <f>IFERROR(INDEX(tEditais[SRP],MATCH(tItens[[#This Row],[Edital]],tEditais[Edital],0)),"Não")</f>
        <v>Não</v>
      </c>
      <c r="P8585" s="4">
        <f>IF(COUNTIFS(INDEX(tItens[Edital],1):tItens[[#This Row],[Edital]],tItens[[#This Row],[Edital]],INDEX(tItens[Produto],1):tItens[[#This Row],[Produto]],tItens[[#This Row],[Produto]])=1,1,0)</f>
        <v>1</v>
      </c>
    </row>
    <row r="8586" spans="1:16" x14ac:dyDescent="0.25">
      <c r="A8586" t="s">
        <v>2874</v>
      </c>
      <c r="B8586">
        <v>75</v>
      </c>
      <c r="C8586" t="s">
        <v>10999</v>
      </c>
      <c r="D8586" t="s">
        <v>512</v>
      </c>
      <c r="E8586" s="13">
        <v>7500</v>
      </c>
      <c r="F8586" s="12">
        <v>0.87</v>
      </c>
      <c r="G8586" t="str">
        <f>IFERROR(INDEX(tEditais[Órgão],MATCH(tItens[[#This Row],[Edital]],tEditais[Edital],0)),"")</f>
        <v>COMANDO DA AERONAUTICA</v>
      </c>
      <c r="H8586" t="str">
        <f>IFERROR(INDEX(tEditais[UF],MATCH(tItens[[#This Row],[Edital]],tEditais[Edital],0)),"")</f>
        <v>SP</v>
      </c>
      <c r="I8586" s="11">
        <f>IFERROR(INDEX(tEditais[Encerramento],MATCH(tItens[[#This Row],[Edital]],tEditais[Edital],0)),"")</f>
        <v>46308.416666666664</v>
      </c>
      <c r="J8586" t="str">
        <f>IFERROR(INDEX(tProdutos[Classe],MATCH(tItens[[#This Row],[Produto]],tProdutos[Produto],0)),"produto não cadastrado")</f>
        <v>FILA REBASE</v>
      </c>
      <c r="K8586" s="12">
        <f>tItens[[#This Row],[Qtd]]*tItens[[#This Row],[Vlr unit]]</f>
        <v>6525</v>
      </c>
      <c r="L8586" s="6">
        <f>IFERROR(IF(INDEX(tProdutos[Desconto homologado],MATCH(tItens[[#This Row],[Produto]],tProdutos[Produto],0))="",DescontoPadrao,INDEX(tProdutos[Desconto homologado],MATCH(tItens[[#This Row],[Produto]],tProdutos[Produto],0))),DescontoPadrao)</f>
        <v>0.32579365079365102</v>
      </c>
      <c r="M8586" s="12">
        <f>tItens[[#This Row],[Valor]]*(1-tItens[[#This Row],[Desconto]])</f>
        <v>4399.1964285714275</v>
      </c>
      <c r="N8586" t="str">
        <f>IFERROR(INDEX(tProdutos[Foco],MATCH(tItens[[#This Row],[Produto]],tProdutos[Produto],0)),"Não")</f>
        <v>Não</v>
      </c>
      <c r="O8586" t="str">
        <f>IFERROR(INDEX(tEditais[SRP],MATCH(tItens[[#This Row],[Edital]],tEditais[Edital],0)),"Não")</f>
        <v>Não</v>
      </c>
      <c r="P8586" s="4">
        <f>IF(COUNTIFS(INDEX(tItens[Edital],1):tItens[[#This Row],[Edital]],tItens[[#This Row],[Edital]],INDEX(tItens[Produto],1):tItens[[#This Row],[Produto]],tItens[[#This Row],[Produto]])=1,1,0)</f>
        <v>1</v>
      </c>
    </row>
    <row r="8587" spans="1:16" x14ac:dyDescent="0.25">
      <c r="A8587" t="s">
        <v>2874</v>
      </c>
      <c r="B8587">
        <v>78</v>
      </c>
      <c r="C8587" t="s">
        <v>11000</v>
      </c>
      <c r="D8587" t="s">
        <v>411</v>
      </c>
      <c r="E8587" s="13">
        <v>1500</v>
      </c>
      <c r="F8587" s="12">
        <v>26.3</v>
      </c>
      <c r="G8587" t="str">
        <f>IFERROR(INDEX(tEditais[Órgão],MATCH(tItens[[#This Row],[Edital]],tEditais[Edital],0)),"")</f>
        <v>COMANDO DA AERONAUTICA</v>
      </c>
      <c r="H8587" t="str">
        <f>IFERROR(INDEX(tEditais[UF],MATCH(tItens[[#This Row],[Edital]],tEditais[Edital],0)),"")</f>
        <v>SP</v>
      </c>
      <c r="I8587" s="11">
        <f>IFERROR(INDEX(tEditais[Encerramento],MATCH(tItens[[#This Row],[Edital]],tEditais[Edital],0)),"")</f>
        <v>46308.416666666664</v>
      </c>
      <c r="J8587" t="str">
        <f>IFERROR(INDEX(tProdutos[Classe],MATCH(tItens[[#This Row],[Produto]],tProdutos[Produto],0)),"produto não cadastrado")</f>
        <v>FORA</v>
      </c>
      <c r="K8587" s="12">
        <f>tItens[[#This Row],[Qtd]]*tItens[[#This Row],[Vlr unit]]</f>
        <v>39450</v>
      </c>
      <c r="L8587" s="6">
        <f>IFERROR(IF(INDEX(tProdutos[Desconto homologado],MATCH(tItens[[#This Row],[Produto]],tProdutos[Produto],0))="",DescontoPadrao,INDEX(tProdutos[Desconto homologado],MATCH(tItens[[#This Row],[Produto]],tProdutos[Produto],0))),DescontoPadrao)</f>
        <v>0.50029835957199398</v>
      </c>
      <c r="M8587" s="12">
        <f>tItens[[#This Row],[Valor]]*(1-tItens[[#This Row],[Desconto]])</f>
        <v>19713.229714884837</v>
      </c>
      <c r="N8587" t="str">
        <f>IFERROR(INDEX(tProdutos[Foco],MATCH(tItens[[#This Row],[Produto]],tProdutos[Produto],0)),"Não")</f>
        <v>Não</v>
      </c>
      <c r="O8587" t="str">
        <f>IFERROR(INDEX(tEditais[SRP],MATCH(tItens[[#This Row],[Edital]],tEditais[Edital],0)),"Não")</f>
        <v>Não</v>
      </c>
      <c r="P8587" s="4">
        <f>IF(COUNTIFS(INDEX(tItens[Edital],1):tItens[[#This Row],[Edital]],tItens[[#This Row],[Edital]],INDEX(tItens[Produto],1):tItens[[#This Row],[Produto]],tItens[[#This Row],[Produto]])=1,1,0)</f>
        <v>1</v>
      </c>
    </row>
    <row r="8588" spans="1:16" x14ac:dyDescent="0.25">
      <c r="A8588" t="s">
        <v>2874</v>
      </c>
      <c r="B8588">
        <v>97</v>
      </c>
      <c r="C8588" t="s">
        <v>11001</v>
      </c>
      <c r="D8588" t="s">
        <v>267</v>
      </c>
      <c r="E8588" s="13">
        <v>20000</v>
      </c>
      <c r="F8588" s="12">
        <v>0.69</v>
      </c>
      <c r="G8588" t="str">
        <f>IFERROR(INDEX(tEditais[Órgão],MATCH(tItens[[#This Row],[Edital]],tEditais[Edital],0)),"")</f>
        <v>COMANDO DA AERONAUTICA</v>
      </c>
      <c r="H8588" t="str">
        <f>IFERROR(INDEX(tEditais[UF],MATCH(tItens[[#This Row],[Edital]],tEditais[Edital],0)),"")</f>
        <v>SP</v>
      </c>
      <c r="I8588" s="11">
        <f>IFERROR(INDEX(tEditais[Encerramento],MATCH(tItens[[#This Row],[Edital]],tEditais[Edital],0)),"")</f>
        <v>46308.416666666664</v>
      </c>
      <c r="J8588" t="str">
        <f>IFERROR(INDEX(tProdutos[Classe],MATCH(tItens[[#This Row],[Produto]],tProdutos[Produto],0)),"produto não cadastrado")</f>
        <v>FORA</v>
      </c>
      <c r="K8588" s="12">
        <f>tItens[[#This Row],[Qtd]]*tItens[[#This Row],[Vlr unit]]</f>
        <v>13799.999999999998</v>
      </c>
      <c r="L8588" s="6">
        <f>IFERROR(IF(INDEX(tProdutos[Desconto homologado],MATCH(tItens[[#This Row],[Produto]],tProdutos[Produto],0))="",DescontoPadrao,INDEX(tProdutos[Desconto homologado],MATCH(tItens[[#This Row],[Produto]],tProdutos[Produto],0))),DescontoPadrao)</f>
        <v>0.19963672657401599</v>
      </c>
      <c r="M8588" s="12">
        <f>tItens[[#This Row],[Valor]]*(1-tItens[[#This Row],[Desconto]])</f>
        <v>11045.013173278578</v>
      </c>
      <c r="N8588" t="str">
        <f>IFERROR(INDEX(tProdutos[Foco],MATCH(tItens[[#This Row],[Produto]],tProdutos[Produto],0)),"Não")</f>
        <v>Não</v>
      </c>
      <c r="O8588" t="str">
        <f>IFERROR(INDEX(tEditais[SRP],MATCH(tItens[[#This Row],[Edital]],tEditais[Edital],0)),"Não")</f>
        <v>Não</v>
      </c>
      <c r="P8588" s="4">
        <f>IF(COUNTIFS(INDEX(tItens[Edital],1):tItens[[#This Row],[Edital]],tItens[[#This Row],[Edital]],INDEX(tItens[Produto],1):tItens[[#This Row],[Produto]],tItens[[#This Row],[Produto]])=1,1,0)</f>
        <v>1</v>
      </c>
    </row>
    <row r="8589" spans="1:16" x14ac:dyDescent="0.25">
      <c r="A8589" t="s">
        <v>2874</v>
      </c>
      <c r="B8589">
        <v>149</v>
      </c>
      <c r="C8589" t="s">
        <v>11002</v>
      </c>
      <c r="D8589" t="s">
        <v>283</v>
      </c>
      <c r="E8589" s="13">
        <v>5200</v>
      </c>
      <c r="F8589" s="12">
        <v>2.2200000000000002</v>
      </c>
      <c r="G8589" t="str">
        <f>IFERROR(INDEX(tEditais[Órgão],MATCH(tItens[[#This Row],[Edital]],tEditais[Edital],0)),"")</f>
        <v>COMANDO DA AERONAUTICA</v>
      </c>
      <c r="H8589" t="str">
        <f>IFERROR(INDEX(tEditais[UF],MATCH(tItens[[#This Row],[Edital]],tEditais[Edital],0)),"")</f>
        <v>SP</v>
      </c>
      <c r="I8589" s="11">
        <f>IFERROR(INDEX(tEditais[Encerramento],MATCH(tItens[[#This Row],[Edital]],tEditais[Edital],0)),"")</f>
        <v>46308.416666666664</v>
      </c>
      <c r="J8589" t="str">
        <f>IFERROR(INDEX(tProdutos[Classe],MATCH(tItens[[#This Row],[Produto]],tProdutos[Produto],0)),"produto não cadastrado")</f>
        <v>FORA</v>
      </c>
      <c r="K8589" s="12">
        <f>tItens[[#This Row],[Qtd]]*tItens[[#This Row],[Vlr unit]]</f>
        <v>11544.000000000002</v>
      </c>
      <c r="L8589" s="6">
        <f>IFERROR(IF(INDEX(tProdutos[Desconto homologado],MATCH(tItens[[#This Row],[Produto]],tProdutos[Produto],0))="",DescontoPadrao,INDEX(tProdutos[Desconto homologado],MATCH(tItens[[#This Row],[Produto]],tProdutos[Produto],0))),DescontoPadrao)</f>
        <v>0.40540540540540498</v>
      </c>
      <c r="M8589" s="12">
        <f>tItens[[#This Row],[Valor]]*(1-tItens[[#This Row],[Desconto]])</f>
        <v>6864.0000000000055</v>
      </c>
      <c r="N8589" t="str">
        <f>IFERROR(INDEX(tProdutos[Foco],MATCH(tItens[[#This Row],[Produto]],tProdutos[Produto],0)),"Não")</f>
        <v>Não</v>
      </c>
      <c r="O8589" t="str">
        <f>IFERROR(INDEX(tEditais[SRP],MATCH(tItens[[#This Row],[Edital]],tEditais[Edital],0)),"Não")</f>
        <v>Não</v>
      </c>
      <c r="P8589" s="4">
        <f>IF(COUNTIFS(INDEX(tItens[Edital],1):tItens[[#This Row],[Edital]],tItens[[#This Row],[Edital]],INDEX(tItens[Produto],1):tItens[[#This Row],[Produto]],tItens[[#This Row],[Produto]])=1,1,0)</f>
        <v>1</v>
      </c>
    </row>
    <row r="8590" spans="1:16" x14ac:dyDescent="0.25">
      <c r="A8590" t="s">
        <v>2877</v>
      </c>
      <c r="B8590">
        <v>4</v>
      </c>
      <c r="C8590" t="s">
        <v>11003</v>
      </c>
      <c r="D8590" t="s">
        <v>315</v>
      </c>
      <c r="E8590" s="13">
        <v>500</v>
      </c>
      <c r="F8590" s="12">
        <v>6.53</v>
      </c>
      <c r="G8590" t="str">
        <f>IFERROR(INDEX(tEditais[Órgão],MATCH(tItens[[#This Row],[Edital]],tEditais[Edital],0)),"")</f>
        <v>MUNICIPIO DE MIGUELOPOLIS</v>
      </c>
      <c r="H8590" t="str">
        <f>IFERROR(INDEX(tEditais[UF],MATCH(tItens[[#This Row],[Edital]],tEditais[Edital],0)),"")</f>
        <v>SP</v>
      </c>
      <c r="I8590" s="11">
        <f>IFERROR(INDEX(tEditais[Encerramento],MATCH(tItens[[#This Row],[Edital]],tEditais[Edital],0)),"")</f>
        <v>46308.561805555553</v>
      </c>
      <c r="J8590" t="str">
        <f>IFERROR(INDEX(tProdutos[Classe],MATCH(tItens[[#This Row],[Produto]],tProdutos[Produto],0)),"produto não cadastrado")</f>
        <v>FORA</v>
      </c>
      <c r="K8590" s="12">
        <f>tItens[[#This Row],[Qtd]]*tItens[[#This Row],[Vlr unit]]</f>
        <v>3265</v>
      </c>
      <c r="L8590" s="6">
        <f>IFERROR(IF(INDEX(tProdutos[Desconto homologado],MATCH(tItens[[#This Row],[Produto]],tProdutos[Produto],0))="",DescontoPadrao,INDEX(tProdutos[Desconto homologado],MATCH(tItens[[#This Row],[Produto]],tProdutos[Produto],0))),DescontoPadrao)</f>
        <v>0.38432036097010702</v>
      </c>
      <c r="M8590" s="12">
        <f>tItens[[#This Row],[Valor]]*(1-tItens[[#This Row],[Desconto]])</f>
        <v>2010.1940214326005</v>
      </c>
      <c r="N8590" t="str">
        <f>IFERROR(INDEX(tProdutos[Foco],MATCH(tItens[[#This Row],[Produto]],tProdutos[Produto],0)),"Não")</f>
        <v>Não</v>
      </c>
      <c r="O8590" t="str">
        <f>IFERROR(INDEX(tEditais[SRP],MATCH(tItens[[#This Row],[Edital]],tEditais[Edital],0)),"Não")</f>
        <v>Sim</v>
      </c>
      <c r="P8590" s="4">
        <f>IF(COUNTIFS(INDEX(tItens[Edital],1):tItens[[#This Row],[Edital]],tItens[[#This Row],[Edital]],INDEX(tItens[Produto],1):tItens[[#This Row],[Produto]],tItens[[#This Row],[Produto]])=1,1,0)</f>
        <v>1</v>
      </c>
    </row>
    <row r="8591" spans="1:16" x14ac:dyDescent="0.25">
      <c r="A8591" t="s">
        <v>2877</v>
      </c>
      <c r="B8591">
        <v>5</v>
      </c>
      <c r="C8591" t="s">
        <v>11004</v>
      </c>
      <c r="D8591" t="s">
        <v>315</v>
      </c>
      <c r="E8591" s="13">
        <v>500</v>
      </c>
      <c r="F8591" s="12">
        <v>6.1</v>
      </c>
      <c r="G8591" t="str">
        <f>IFERROR(INDEX(tEditais[Órgão],MATCH(tItens[[#This Row],[Edital]],tEditais[Edital],0)),"")</f>
        <v>MUNICIPIO DE MIGUELOPOLIS</v>
      </c>
      <c r="H8591" t="str">
        <f>IFERROR(INDEX(tEditais[UF],MATCH(tItens[[#This Row],[Edital]],tEditais[Edital],0)),"")</f>
        <v>SP</v>
      </c>
      <c r="I8591" s="11">
        <f>IFERROR(INDEX(tEditais[Encerramento],MATCH(tItens[[#This Row],[Edital]],tEditais[Edital],0)),"")</f>
        <v>46308.561805555553</v>
      </c>
      <c r="J8591" t="str">
        <f>IFERROR(INDEX(tProdutos[Classe],MATCH(tItens[[#This Row],[Produto]],tProdutos[Produto],0)),"produto não cadastrado")</f>
        <v>FORA</v>
      </c>
      <c r="K8591" s="12">
        <f>tItens[[#This Row],[Qtd]]*tItens[[#This Row],[Vlr unit]]</f>
        <v>3050</v>
      </c>
      <c r="L8591" s="6">
        <f>IFERROR(IF(INDEX(tProdutos[Desconto homologado],MATCH(tItens[[#This Row],[Produto]],tProdutos[Produto],0))="",DescontoPadrao,INDEX(tProdutos[Desconto homologado],MATCH(tItens[[#This Row],[Produto]],tProdutos[Produto],0))),DescontoPadrao)</f>
        <v>0.38432036097010702</v>
      </c>
      <c r="M8591" s="12">
        <f>tItens[[#This Row],[Valor]]*(1-tItens[[#This Row],[Desconto]])</f>
        <v>1877.8228990411735</v>
      </c>
      <c r="N8591" t="str">
        <f>IFERROR(INDEX(tProdutos[Foco],MATCH(tItens[[#This Row],[Produto]],tProdutos[Produto],0)),"Não")</f>
        <v>Não</v>
      </c>
      <c r="O8591" t="str">
        <f>IFERROR(INDEX(tEditais[SRP],MATCH(tItens[[#This Row],[Edital]],tEditais[Edital],0)),"Não")</f>
        <v>Sim</v>
      </c>
      <c r="P8591" s="4">
        <f>IF(COUNTIFS(INDEX(tItens[Edital],1):tItens[[#This Row],[Edital]],tItens[[#This Row],[Edital]],INDEX(tItens[Produto],1):tItens[[#This Row],[Produto]],tItens[[#This Row],[Produto]])=1,1,0)</f>
        <v>0</v>
      </c>
    </row>
    <row r="8592" spans="1:16" x14ac:dyDescent="0.25">
      <c r="A8592" t="s">
        <v>2877</v>
      </c>
      <c r="B8592">
        <v>6</v>
      </c>
      <c r="C8592" t="s">
        <v>11005</v>
      </c>
      <c r="D8592" t="s">
        <v>315</v>
      </c>
      <c r="E8592" s="13">
        <v>500</v>
      </c>
      <c r="F8592" s="12">
        <v>3.95</v>
      </c>
      <c r="G8592" t="str">
        <f>IFERROR(INDEX(tEditais[Órgão],MATCH(tItens[[#This Row],[Edital]],tEditais[Edital],0)),"")</f>
        <v>MUNICIPIO DE MIGUELOPOLIS</v>
      </c>
      <c r="H8592" t="str">
        <f>IFERROR(INDEX(tEditais[UF],MATCH(tItens[[#This Row],[Edital]],tEditais[Edital],0)),"")</f>
        <v>SP</v>
      </c>
      <c r="I8592" s="11">
        <f>IFERROR(INDEX(tEditais[Encerramento],MATCH(tItens[[#This Row],[Edital]],tEditais[Edital],0)),"")</f>
        <v>46308.561805555553</v>
      </c>
      <c r="J8592" t="str">
        <f>IFERROR(INDEX(tProdutos[Classe],MATCH(tItens[[#This Row],[Produto]],tProdutos[Produto],0)),"produto não cadastrado")</f>
        <v>FORA</v>
      </c>
      <c r="K8592" s="12">
        <f>tItens[[#This Row],[Qtd]]*tItens[[#This Row],[Vlr unit]]</f>
        <v>1975</v>
      </c>
      <c r="L8592" s="6">
        <f>IFERROR(IF(INDEX(tProdutos[Desconto homologado],MATCH(tItens[[#This Row],[Produto]],tProdutos[Produto],0))="",DescontoPadrao,INDEX(tProdutos[Desconto homologado],MATCH(tItens[[#This Row],[Produto]],tProdutos[Produto],0))),DescontoPadrao)</f>
        <v>0.38432036097010702</v>
      </c>
      <c r="M8592" s="12">
        <f>tItens[[#This Row],[Valor]]*(1-tItens[[#This Row],[Desconto]])</f>
        <v>1215.9672870840386</v>
      </c>
      <c r="N8592" t="str">
        <f>IFERROR(INDEX(tProdutos[Foco],MATCH(tItens[[#This Row],[Produto]],tProdutos[Produto],0)),"Não")</f>
        <v>Não</v>
      </c>
      <c r="O8592" t="str">
        <f>IFERROR(INDEX(tEditais[SRP],MATCH(tItens[[#This Row],[Edital]],tEditais[Edital],0)),"Não")</f>
        <v>Sim</v>
      </c>
      <c r="P8592" s="4">
        <f>IF(COUNTIFS(INDEX(tItens[Edital],1):tItens[[#This Row],[Edital]],tItens[[#This Row],[Edital]],INDEX(tItens[Produto],1):tItens[[#This Row],[Produto]],tItens[[#This Row],[Produto]])=1,1,0)</f>
        <v>0</v>
      </c>
    </row>
    <row r="8593" spans="1:16" x14ac:dyDescent="0.25">
      <c r="A8593" t="s">
        <v>2877</v>
      </c>
      <c r="B8593">
        <v>7</v>
      </c>
      <c r="C8593" t="s">
        <v>11006</v>
      </c>
      <c r="D8593" t="s">
        <v>315</v>
      </c>
      <c r="E8593" s="13">
        <v>500</v>
      </c>
      <c r="F8593" s="12">
        <v>6.11</v>
      </c>
      <c r="G8593" t="str">
        <f>IFERROR(INDEX(tEditais[Órgão],MATCH(tItens[[#This Row],[Edital]],tEditais[Edital],0)),"")</f>
        <v>MUNICIPIO DE MIGUELOPOLIS</v>
      </c>
      <c r="H8593" t="str">
        <f>IFERROR(INDEX(tEditais[UF],MATCH(tItens[[#This Row],[Edital]],tEditais[Edital],0)),"")</f>
        <v>SP</v>
      </c>
      <c r="I8593" s="11">
        <f>IFERROR(INDEX(tEditais[Encerramento],MATCH(tItens[[#This Row],[Edital]],tEditais[Edital],0)),"")</f>
        <v>46308.561805555553</v>
      </c>
      <c r="J8593" t="str">
        <f>IFERROR(INDEX(tProdutos[Classe],MATCH(tItens[[#This Row],[Produto]],tProdutos[Produto],0)),"produto não cadastrado")</f>
        <v>FORA</v>
      </c>
      <c r="K8593" s="12">
        <f>tItens[[#This Row],[Qtd]]*tItens[[#This Row],[Vlr unit]]</f>
        <v>3055</v>
      </c>
      <c r="L8593" s="6">
        <f>IFERROR(IF(INDEX(tProdutos[Desconto homologado],MATCH(tItens[[#This Row],[Produto]],tProdutos[Produto],0))="",DescontoPadrao,INDEX(tProdutos[Desconto homologado],MATCH(tItens[[#This Row],[Produto]],tProdutos[Produto],0))),DescontoPadrao)</f>
        <v>0.38432036097010702</v>
      </c>
      <c r="M8593" s="12">
        <f>tItens[[#This Row],[Valor]]*(1-tItens[[#This Row],[Desconto]])</f>
        <v>1880.901297236323</v>
      </c>
      <c r="N8593" t="str">
        <f>IFERROR(INDEX(tProdutos[Foco],MATCH(tItens[[#This Row],[Produto]],tProdutos[Produto],0)),"Não")</f>
        <v>Não</v>
      </c>
      <c r="O8593" t="str">
        <f>IFERROR(INDEX(tEditais[SRP],MATCH(tItens[[#This Row],[Edital]],tEditais[Edital],0)),"Não")</f>
        <v>Sim</v>
      </c>
      <c r="P8593" s="4">
        <f>IF(COUNTIFS(INDEX(tItens[Edital],1):tItens[[#This Row],[Edital]],tItens[[#This Row],[Edital]],INDEX(tItens[Produto],1):tItens[[#This Row],[Produto]],tItens[[#This Row],[Produto]])=1,1,0)</f>
        <v>0</v>
      </c>
    </row>
    <row r="8594" spans="1:16" x14ac:dyDescent="0.25">
      <c r="A8594" t="s">
        <v>2877</v>
      </c>
      <c r="B8594">
        <v>8</v>
      </c>
      <c r="C8594" t="s">
        <v>11007</v>
      </c>
      <c r="D8594" t="s">
        <v>315</v>
      </c>
      <c r="E8594" s="13">
        <v>500</v>
      </c>
      <c r="F8594" s="12">
        <v>8.32</v>
      </c>
      <c r="G8594" t="str">
        <f>IFERROR(INDEX(tEditais[Órgão],MATCH(tItens[[#This Row],[Edital]],tEditais[Edital],0)),"")</f>
        <v>MUNICIPIO DE MIGUELOPOLIS</v>
      </c>
      <c r="H8594" t="str">
        <f>IFERROR(INDEX(tEditais[UF],MATCH(tItens[[#This Row],[Edital]],tEditais[Edital],0)),"")</f>
        <v>SP</v>
      </c>
      <c r="I8594" s="11">
        <f>IFERROR(INDEX(tEditais[Encerramento],MATCH(tItens[[#This Row],[Edital]],tEditais[Edital],0)),"")</f>
        <v>46308.561805555553</v>
      </c>
      <c r="J8594" t="str">
        <f>IFERROR(INDEX(tProdutos[Classe],MATCH(tItens[[#This Row],[Produto]],tProdutos[Produto],0)),"produto não cadastrado")</f>
        <v>FORA</v>
      </c>
      <c r="K8594" s="12">
        <f>tItens[[#This Row],[Qtd]]*tItens[[#This Row],[Vlr unit]]</f>
        <v>4160</v>
      </c>
      <c r="L8594" s="6">
        <f>IFERROR(IF(INDEX(tProdutos[Desconto homologado],MATCH(tItens[[#This Row],[Produto]],tProdutos[Produto],0))="",DescontoPadrao,INDEX(tProdutos[Desconto homologado],MATCH(tItens[[#This Row],[Produto]],tProdutos[Produto],0))),DescontoPadrao)</f>
        <v>0.38432036097010702</v>
      </c>
      <c r="M8594" s="12">
        <f>tItens[[#This Row],[Valor]]*(1-tItens[[#This Row],[Desconto]])</f>
        <v>2561.2272983643547</v>
      </c>
      <c r="N8594" t="str">
        <f>IFERROR(INDEX(tProdutos[Foco],MATCH(tItens[[#This Row],[Produto]],tProdutos[Produto],0)),"Não")</f>
        <v>Não</v>
      </c>
      <c r="O8594" t="str">
        <f>IFERROR(INDEX(tEditais[SRP],MATCH(tItens[[#This Row],[Edital]],tEditais[Edital],0)),"Não")</f>
        <v>Sim</v>
      </c>
      <c r="P8594" s="4">
        <f>IF(COUNTIFS(INDEX(tItens[Edital],1):tItens[[#This Row],[Edital]],tItens[[#This Row],[Edital]],INDEX(tItens[Produto],1):tItens[[#This Row],[Produto]],tItens[[#This Row],[Produto]])=1,1,0)</f>
        <v>0</v>
      </c>
    </row>
    <row r="8595" spans="1:16" x14ac:dyDescent="0.25">
      <c r="A8595" t="s">
        <v>2877</v>
      </c>
      <c r="B8595">
        <v>9</v>
      </c>
      <c r="C8595" t="s">
        <v>11008</v>
      </c>
      <c r="D8595" t="s">
        <v>315</v>
      </c>
      <c r="E8595" s="13">
        <v>500</v>
      </c>
      <c r="F8595" s="12">
        <v>7.67</v>
      </c>
      <c r="G8595" t="str">
        <f>IFERROR(INDEX(tEditais[Órgão],MATCH(tItens[[#This Row],[Edital]],tEditais[Edital],0)),"")</f>
        <v>MUNICIPIO DE MIGUELOPOLIS</v>
      </c>
      <c r="H8595" t="str">
        <f>IFERROR(INDEX(tEditais[UF],MATCH(tItens[[#This Row],[Edital]],tEditais[Edital],0)),"")</f>
        <v>SP</v>
      </c>
      <c r="I8595" s="11">
        <f>IFERROR(INDEX(tEditais[Encerramento],MATCH(tItens[[#This Row],[Edital]],tEditais[Edital],0)),"")</f>
        <v>46308.561805555553</v>
      </c>
      <c r="J8595" t="str">
        <f>IFERROR(INDEX(tProdutos[Classe],MATCH(tItens[[#This Row],[Produto]],tProdutos[Produto],0)),"produto não cadastrado")</f>
        <v>FORA</v>
      </c>
      <c r="K8595" s="12">
        <f>tItens[[#This Row],[Qtd]]*tItens[[#This Row],[Vlr unit]]</f>
        <v>3835</v>
      </c>
      <c r="L8595" s="6">
        <f>IFERROR(IF(INDEX(tProdutos[Desconto homologado],MATCH(tItens[[#This Row],[Produto]],tProdutos[Produto],0))="",DescontoPadrao,INDEX(tProdutos[Desconto homologado],MATCH(tItens[[#This Row],[Produto]],tProdutos[Produto],0))),DescontoPadrao)</f>
        <v>0.38432036097010702</v>
      </c>
      <c r="M8595" s="12">
        <f>tItens[[#This Row],[Valor]]*(1-tItens[[#This Row],[Desconto]])</f>
        <v>2361.1314156796398</v>
      </c>
      <c r="N8595" t="str">
        <f>IFERROR(INDEX(tProdutos[Foco],MATCH(tItens[[#This Row],[Produto]],tProdutos[Produto],0)),"Não")</f>
        <v>Não</v>
      </c>
      <c r="O8595" t="str">
        <f>IFERROR(INDEX(tEditais[SRP],MATCH(tItens[[#This Row],[Edital]],tEditais[Edital],0)),"Não")</f>
        <v>Sim</v>
      </c>
      <c r="P8595" s="4">
        <f>IF(COUNTIFS(INDEX(tItens[Edital],1):tItens[[#This Row],[Edital]],tItens[[#This Row],[Edital]],INDEX(tItens[Produto],1):tItens[[#This Row],[Produto]],tItens[[#This Row],[Produto]])=1,1,0)</f>
        <v>0</v>
      </c>
    </row>
    <row r="8596" spans="1:16" x14ac:dyDescent="0.25">
      <c r="A8596" t="s">
        <v>2877</v>
      </c>
      <c r="B8596">
        <v>10</v>
      </c>
      <c r="C8596" t="s">
        <v>11009</v>
      </c>
      <c r="D8596" t="s">
        <v>315</v>
      </c>
      <c r="E8596" s="13">
        <v>500</v>
      </c>
      <c r="F8596" s="12">
        <v>6.73</v>
      </c>
      <c r="G8596" t="str">
        <f>IFERROR(INDEX(tEditais[Órgão],MATCH(tItens[[#This Row],[Edital]],tEditais[Edital],0)),"")</f>
        <v>MUNICIPIO DE MIGUELOPOLIS</v>
      </c>
      <c r="H8596" t="str">
        <f>IFERROR(INDEX(tEditais[UF],MATCH(tItens[[#This Row],[Edital]],tEditais[Edital],0)),"")</f>
        <v>SP</v>
      </c>
      <c r="I8596" s="11">
        <f>IFERROR(INDEX(tEditais[Encerramento],MATCH(tItens[[#This Row],[Edital]],tEditais[Edital],0)),"")</f>
        <v>46308.561805555553</v>
      </c>
      <c r="J8596" t="str">
        <f>IFERROR(INDEX(tProdutos[Classe],MATCH(tItens[[#This Row],[Produto]],tProdutos[Produto],0)),"produto não cadastrado")</f>
        <v>FORA</v>
      </c>
      <c r="K8596" s="12">
        <f>tItens[[#This Row],[Qtd]]*tItens[[#This Row],[Vlr unit]]</f>
        <v>3365</v>
      </c>
      <c r="L8596" s="6">
        <f>IFERROR(IF(INDEX(tProdutos[Desconto homologado],MATCH(tItens[[#This Row],[Produto]],tProdutos[Produto],0))="",DescontoPadrao,INDEX(tProdutos[Desconto homologado],MATCH(tItens[[#This Row],[Produto]],tProdutos[Produto],0))),DescontoPadrao)</f>
        <v>0.38432036097010702</v>
      </c>
      <c r="M8596" s="12">
        <f>tItens[[#This Row],[Valor]]*(1-tItens[[#This Row],[Desconto]])</f>
        <v>2071.76198533559</v>
      </c>
      <c r="N8596" t="str">
        <f>IFERROR(INDEX(tProdutos[Foco],MATCH(tItens[[#This Row],[Produto]],tProdutos[Produto],0)),"Não")</f>
        <v>Não</v>
      </c>
      <c r="O8596" t="str">
        <f>IFERROR(INDEX(tEditais[SRP],MATCH(tItens[[#This Row],[Edital]],tEditais[Edital],0)),"Não")</f>
        <v>Sim</v>
      </c>
      <c r="P8596" s="4">
        <f>IF(COUNTIFS(INDEX(tItens[Edital],1):tItens[[#This Row],[Edital]],tItens[[#This Row],[Edital]],INDEX(tItens[Produto],1):tItens[[#This Row],[Produto]],tItens[[#This Row],[Produto]])=1,1,0)</f>
        <v>0</v>
      </c>
    </row>
    <row r="8597" spans="1:16" x14ac:dyDescent="0.25">
      <c r="A8597" t="s">
        <v>2877</v>
      </c>
      <c r="B8597">
        <v>11</v>
      </c>
      <c r="C8597" t="s">
        <v>11010</v>
      </c>
      <c r="D8597" t="s">
        <v>315</v>
      </c>
      <c r="E8597" s="13">
        <v>500</v>
      </c>
      <c r="F8597" s="12">
        <v>6.29</v>
      </c>
      <c r="G8597" t="str">
        <f>IFERROR(INDEX(tEditais[Órgão],MATCH(tItens[[#This Row],[Edital]],tEditais[Edital],0)),"")</f>
        <v>MUNICIPIO DE MIGUELOPOLIS</v>
      </c>
      <c r="H8597" t="str">
        <f>IFERROR(INDEX(tEditais[UF],MATCH(tItens[[#This Row],[Edital]],tEditais[Edital],0)),"")</f>
        <v>SP</v>
      </c>
      <c r="I8597" s="11">
        <f>IFERROR(INDEX(tEditais[Encerramento],MATCH(tItens[[#This Row],[Edital]],tEditais[Edital],0)),"")</f>
        <v>46308.561805555553</v>
      </c>
      <c r="J8597" t="str">
        <f>IFERROR(INDEX(tProdutos[Classe],MATCH(tItens[[#This Row],[Produto]],tProdutos[Produto],0)),"produto não cadastrado")</f>
        <v>FORA</v>
      </c>
      <c r="K8597" s="12">
        <f>tItens[[#This Row],[Qtd]]*tItens[[#This Row],[Vlr unit]]</f>
        <v>3145</v>
      </c>
      <c r="L8597" s="6">
        <f>IFERROR(IF(INDEX(tProdutos[Desconto homologado],MATCH(tItens[[#This Row],[Produto]],tProdutos[Produto],0))="",DescontoPadrao,INDEX(tProdutos[Desconto homologado],MATCH(tItens[[#This Row],[Produto]],tProdutos[Produto],0))),DescontoPadrao)</f>
        <v>0.38432036097010702</v>
      </c>
      <c r="M8597" s="12">
        <f>tItens[[#This Row],[Valor]]*(1-tItens[[#This Row],[Desconto]])</f>
        <v>1936.3124647490133</v>
      </c>
      <c r="N8597" t="str">
        <f>IFERROR(INDEX(tProdutos[Foco],MATCH(tItens[[#This Row],[Produto]],tProdutos[Produto],0)),"Não")</f>
        <v>Não</v>
      </c>
      <c r="O8597" t="str">
        <f>IFERROR(INDEX(tEditais[SRP],MATCH(tItens[[#This Row],[Edital]],tEditais[Edital],0)),"Não")</f>
        <v>Sim</v>
      </c>
      <c r="P8597" s="4">
        <f>IF(COUNTIFS(INDEX(tItens[Edital],1):tItens[[#This Row],[Edital]],tItens[[#This Row],[Edital]],INDEX(tItens[Produto],1):tItens[[#This Row],[Produto]],tItens[[#This Row],[Produto]])=1,1,0)</f>
        <v>0</v>
      </c>
    </row>
    <row r="8598" spans="1:16" x14ac:dyDescent="0.25">
      <c r="A8598" t="s">
        <v>2877</v>
      </c>
      <c r="B8598">
        <v>14</v>
      </c>
      <c r="C8598" t="s">
        <v>11011</v>
      </c>
      <c r="D8598" t="s">
        <v>154</v>
      </c>
      <c r="E8598" s="13">
        <v>300</v>
      </c>
      <c r="F8598" s="12">
        <v>39.9</v>
      </c>
      <c r="G8598" t="str">
        <f>IFERROR(INDEX(tEditais[Órgão],MATCH(tItens[[#This Row],[Edital]],tEditais[Edital],0)),"")</f>
        <v>MUNICIPIO DE MIGUELOPOLIS</v>
      </c>
      <c r="H8598" t="str">
        <f>IFERROR(INDEX(tEditais[UF],MATCH(tItens[[#This Row],[Edital]],tEditais[Edital],0)),"")</f>
        <v>SP</v>
      </c>
      <c r="I8598" s="11">
        <f>IFERROR(INDEX(tEditais[Encerramento],MATCH(tItens[[#This Row],[Edital]],tEditais[Edital],0)),"")</f>
        <v>46308.561805555553</v>
      </c>
      <c r="J8598" t="str">
        <f>IFERROR(INDEX(tProdutos[Classe],MATCH(tItens[[#This Row],[Produto]],tProdutos[Produto],0)),"produto não cadastrado")</f>
        <v>DISPUTADO</v>
      </c>
      <c r="K8598" s="12">
        <f>tItens[[#This Row],[Qtd]]*tItens[[#This Row],[Vlr unit]]</f>
        <v>11970</v>
      </c>
      <c r="L8598" s="6">
        <f>IFERROR(IF(INDEX(tProdutos[Desconto homologado],MATCH(tItens[[#This Row],[Produto]],tProdutos[Produto],0))="",DescontoPadrao,INDEX(tProdutos[Desconto homologado],MATCH(tItens[[#This Row],[Produto]],tProdutos[Produto],0))),DescontoPadrao)</f>
        <v>0.48690097134476601</v>
      </c>
      <c r="M8598" s="12">
        <f>tItens[[#This Row],[Valor]]*(1-tItens[[#This Row],[Desconto]])</f>
        <v>6141.7953730031504</v>
      </c>
      <c r="N8598" t="str">
        <f>IFERROR(INDEX(tProdutos[Foco],MATCH(tItens[[#This Row],[Produto]],tProdutos[Produto],0)),"Não")</f>
        <v>Não</v>
      </c>
      <c r="O8598" t="str">
        <f>IFERROR(INDEX(tEditais[SRP],MATCH(tItens[[#This Row],[Edital]],tEditais[Edital],0)),"Não")</f>
        <v>Sim</v>
      </c>
      <c r="P8598" s="4">
        <f>IF(COUNTIFS(INDEX(tItens[Edital],1):tItens[[#This Row],[Edital]],tItens[[#This Row],[Edital]],INDEX(tItens[Produto],1):tItens[[#This Row],[Produto]],tItens[[#This Row],[Produto]])=1,1,0)</f>
        <v>1</v>
      </c>
    </row>
    <row r="8599" spans="1:16" x14ac:dyDescent="0.25">
      <c r="A8599" t="s">
        <v>2877</v>
      </c>
      <c r="B8599">
        <v>19</v>
      </c>
      <c r="C8599" t="s">
        <v>11012</v>
      </c>
      <c r="D8599" t="s">
        <v>351</v>
      </c>
      <c r="E8599" s="13">
        <v>3000</v>
      </c>
      <c r="F8599" s="12">
        <v>5.22</v>
      </c>
      <c r="G8599" t="str">
        <f>IFERROR(INDEX(tEditais[Órgão],MATCH(tItens[[#This Row],[Edital]],tEditais[Edital],0)),"")</f>
        <v>MUNICIPIO DE MIGUELOPOLIS</v>
      </c>
      <c r="H8599" t="str">
        <f>IFERROR(INDEX(tEditais[UF],MATCH(tItens[[#This Row],[Edital]],tEditais[Edital],0)),"")</f>
        <v>SP</v>
      </c>
      <c r="I8599" s="11">
        <f>IFERROR(INDEX(tEditais[Encerramento],MATCH(tItens[[#This Row],[Edital]],tEditais[Edital],0)),"")</f>
        <v>46308.561805555553</v>
      </c>
      <c r="J8599" t="str">
        <f>IFERROR(INDEX(tProdutos[Classe],MATCH(tItens[[#This Row],[Produto]],tProdutos[Produto],0)),"produto não cadastrado")</f>
        <v>FORA</v>
      </c>
      <c r="K8599" s="12">
        <f>tItens[[#This Row],[Qtd]]*tItens[[#This Row],[Vlr unit]]</f>
        <v>15660</v>
      </c>
      <c r="L8599" s="6">
        <f>IFERROR(IF(INDEX(tProdutos[Desconto homologado],MATCH(tItens[[#This Row],[Produto]],tProdutos[Produto],0))="",DescontoPadrao,INDEX(tProdutos[Desconto homologado],MATCH(tItens[[#This Row],[Produto]],tProdutos[Produto],0))),DescontoPadrao)</f>
        <v>0.33518005540166201</v>
      </c>
      <c r="M8599" s="12">
        <f>tItens[[#This Row],[Valor]]*(1-tItens[[#This Row],[Desconto]])</f>
        <v>10411.080332409974</v>
      </c>
      <c r="N8599" t="str">
        <f>IFERROR(INDEX(tProdutos[Foco],MATCH(tItens[[#This Row],[Produto]],tProdutos[Produto],0)),"Não")</f>
        <v>Não</v>
      </c>
      <c r="O8599" t="str">
        <f>IFERROR(INDEX(tEditais[SRP],MATCH(tItens[[#This Row],[Edital]],tEditais[Edital],0)),"Não")</f>
        <v>Sim</v>
      </c>
      <c r="P8599" s="4">
        <f>IF(COUNTIFS(INDEX(tItens[Edital],1):tItens[[#This Row],[Edital]],tItens[[#This Row],[Edital]],INDEX(tItens[Produto],1):tItens[[#This Row],[Produto]],tItens[[#This Row],[Produto]])=1,1,0)</f>
        <v>1</v>
      </c>
    </row>
    <row r="8600" spans="1:16" x14ac:dyDescent="0.25">
      <c r="A8600" t="s">
        <v>2877</v>
      </c>
      <c r="B8600">
        <v>20</v>
      </c>
      <c r="C8600" t="s">
        <v>11013</v>
      </c>
      <c r="D8600" t="s">
        <v>351</v>
      </c>
      <c r="E8600" s="13">
        <v>3000</v>
      </c>
      <c r="F8600" s="12">
        <v>6.73</v>
      </c>
      <c r="G8600" t="str">
        <f>IFERROR(INDEX(tEditais[Órgão],MATCH(tItens[[#This Row],[Edital]],tEditais[Edital],0)),"")</f>
        <v>MUNICIPIO DE MIGUELOPOLIS</v>
      </c>
      <c r="H8600" t="str">
        <f>IFERROR(INDEX(tEditais[UF],MATCH(tItens[[#This Row],[Edital]],tEditais[Edital],0)),"")</f>
        <v>SP</v>
      </c>
      <c r="I8600" s="11">
        <f>IFERROR(INDEX(tEditais[Encerramento],MATCH(tItens[[#This Row],[Edital]],tEditais[Edital],0)),"")</f>
        <v>46308.561805555553</v>
      </c>
      <c r="J8600" t="str">
        <f>IFERROR(INDEX(tProdutos[Classe],MATCH(tItens[[#This Row],[Produto]],tProdutos[Produto],0)),"produto não cadastrado")</f>
        <v>FORA</v>
      </c>
      <c r="K8600" s="12">
        <f>tItens[[#This Row],[Qtd]]*tItens[[#This Row],[Vlr unit]]</f>
        <v>20190</v>
      </c>
      <c r="L8600" s="6">
        <f>IFERROR(IF(INDEX(tProdutos[Desconto homologado],MATCH(tItens[[#This Row],[Produto]],tProdutos[Produto],0))="",DescontoPadrao,INDEX(tProdutos[Desconto homologado],MATCH(tItens[[#This Row],[Produto]],tProdutos[Produto],0))),DescontoPadrao)</f>
        <v>0.33518005540166201</v>
      </c>
      <c r="M8600" s="12">
        <f>tItens[[#This Row],[Valor]]*(1-tItens[[#This Row],[Desconto]])</f>
        <v>13422.714681440446</v>
      </c>
      <c r="N8600" t="str">
        <f>IFERROR(INDEX(tProdutos[Foco],MATCH(tItens[[#This Row],[Produto]],tProdutos[Produto],0)),"Não")</f>
        <v>Não</v>
      </c>
      <c r="O8600" t="str">
        <f>IFERROR(INDEX(tEditais[SRP],MATCH(tItens[[#This Row],[Edital]],tEditais[Edital],0)),"Não")</f>
        <v>Sim</v>
      </c>
      <c r="P8600" s="4">
        <f>IF(COUNTIFS(INDEX(tItens[Edital],1):tItens[[#This Row],[Edital]],tItens[[#This Row],[Edital]],INDEX(tItens[Produto],1):tItens[[#This Row],[Produto]],tItens[[#This Row],[Produto]])=1,1,0)</f>
        <v>0</v>
      </c>
    </row>
    <row r="8601" spans="1:16" x14ac:dyDescent="0.25">
      <c r="A8601" t="s">
        <v>2877</v>
      </c>
      <c r="B8601">
        <v>21</v>
      </c>
      <c r="C8601" t="s">
        <v>11014</v>
      </c>
      <c r="D8601" t="s">
        <v>351</v>
      </c>
      <c r="E8601" s="13">
        <v>3000</v>
      </c>
      <c r="F8601" s="12">
        <v>9.06</v>
      </c>
      <c r="G8601" t="str">
        <f>IFERROR(INDEX(tEditais[Órgão],MATCH(tItens[[#This Row],[Edital]],tEditais[Edital],0)),"")</f>
        <v>MUNICIPIO DE MIGUELOPOLIS</v>
      </c>
      <c r="H8601" t="str">
        <f>IFERROR(INDEX(tEditais[UF],MATCH(tItens[[#This Row],[Edital]],tEditais[Edital],0)),"")</f>
        <v>SP</v>
      </c>
      <c r="I8601" s="11">
        <f>IFERROR(INDEX(tEditais[Encerramento],MATCH(tItens[[#This Row],[Edital]],tEditais[Edital],0)),"")</f>
        <v>46308.561805555553</v>
      </c>
      <c r="J8601" t="str">
        <f>IFERROR(INDEX(tProdutos[Classe],MATCH(tItens[[#This Row],[Produto]],tProdutos[Produto],0)),"produto não cadastrado")</f>
        <v>FORA</v>
      </c>
      <c r="K8601" s="12">
        <f>tItens[[#This Row],[Qtd]]*tItens[[#This Row],[Vlr unit]]</f>
        <v>27180</v>
      </c>
      <c r="L8601" s="6">
        <f>IFERROR(IF(INDEX(tProdutos[Desconto homologado],MATCH(tItens[[#This Row],[Produto]],tProdutos[Produto],0))="",DescontoPadrao,INDEX(tProdutos[Desconto homologado],MATCH(tItens[[#This Row],[Produto]],tProdutos[Produto],0))),DescontoPadrao)</f>
        <v>0.33518005540166201</v>
      </c>
      <c r="M8601" s="12">
        <f>tItens[[#This Row],[Valor]]*(1-tItens[[#This Row],[Desconto]])</f>
        <v>18069.806094182826</v>
      </c>
      <c r="N8601" t="str">
        <f>IFERROR(INDEX(tProdutos[Foco],MATCH(tItens[[#This Row],[Produto]],tProdutos[Produto],0)),"Não")</f>
        <v>Não</v>
      </c>
      <c r="O8601" t="str">
        <f>IFERROR(INDEX(tEditais[SRP],MATCH(tItens[[#This Row],[Edital]],tEditais[Edital],0)),"Não")</f>
        <v>Sim</v>
      </c>
      <c r="P8601" s="4">
        <f>IF(COUNTIFS(INDEX(tItens[Edital],1):tItens[[#This Row],[Edital]],tItens[[#This Row],[Edital]],INDEX(tItens[Produto],1):tItens[[#This Row],[Produto]],tItens[[#This Row],[Produto]])=1,1,0)</f>
        <v>0</v>
      </c>
    </row>
    <row r="8602" spans="1:16" x14ac:dyDescent="0.25">
      <c r="A8602" t="s">
        <v>2877</v>
      </c>
      <c r="B8602">
        <v>35</v>
      </c>
      <c r="C8602" t="s">
        <v>11015</v>
      </c>
      <c r="D8602" t="s">
        <v>311</v>
      </c>
      <c r="E8602" s="13">
        <v>500</v>
      </c>
      <c r="F8602" s="12">
        <v>5.0199999999999996</v>
      </c>
      <c r="G8602" t="str">
        <f>IFERROR(INDEX(tEditais[Órgão],MATCH(tItens[[#This Row],[Edital]],tEditais[Edital],0)),"")</f>
        <v>MUNICIPIO DE MIGUELOPOLIS</v>
      </c>
      <c r="H8602" t="str">
        <f>IFERROR(INDEX(tEditais[UF],MATCH(tItens[[#This Row],[Edital]],tEditais[Edital],0)),"")</f>
        <v>SP</v>
      </c>
      <c r="I8602" s="11">
        <f>IFERROR(INDEX(tEditais[Encerramento],MATCH(tItens[[#This Row],[Edital]],tEditais[Edital],0)),"")</f>
        <v>46308.561805555553</v>
      </c>
      <c r="J8602" t="str">
        <f>IFERROR(INDEX(tProdutos[Classe],MATCH(tItens[[#This Row],[Produto]],tProdutos[Produto],0)),"produto não cadastrado")</f>
        <v>FORA</v>
      </c>
      <c r="K8602" s="12">
        <f>tItens[[#This Row],[Qtd]]*tItens[[#This Row],[Vlr unit]]</f>
        <v>2510</v>
      </c>
      <c r="L8602" s="6">
        <f>IFERROR(IF(INDEX(tProdutos[Desconto homologado],MATCH(tItens[[#This Row],[Produto]],tProdutos[Produto],0))="",DescontoPadrao,INDEX(tProdutos[Desconto homologado],MATCH(tItens[[#This Row],[Produto]],tProdutos[Produto],0))),DescontoPadrao)</f>
        <v>0.29046182846371399</v>
      </c>
      <c r="M8602" s="12">
        <f>tItens[[#This Row],[Valor]]*(1-tItens[[#This Row],[Desconto]])</f>
        <v>1780.9408105560781</v>
      </c>
      <c r="N8602" t="str">
        <f>IFERROR(INDEX(tProdutos[Foco],MATCH(tItens[[#This Row],[Produto]],tProdutos[Produto],0)),"Não")</f>
        <v>Não</v>
      </c>
      <c r="O8602" t="str">
        <f>IFERROR(INDEX(tEditais[SRP],MATCH(tItens[[#This Row],[Edital]],tEditais[Edital],0)),"Não")</f>
        <v>Sim</v>
      </c>
      <c r="P8602" s="4">
        <f>IF(COUNTIFS(INDEX(tItens[Edital],1):tItens[[#This Row],[Edital]],tItens[[#This Row],[Edital]],INDEX(tItens[Produto],1):tItens[[#This Row],[Produto]],tItens[[#This Row],[Produto]])=1,1,0)</f>
        <v>1</v>
      </c>
    </row>
    <row r="8603" spans="1:16" x14ac:dyDescent="0.25">
      <c r="A8603" t="s">
        <v>2877</v>
      </c>
      <c r="B8603">
        <v>37</v>
      </c>
      <c r="C8603" t="s">
        <v>11016</v>
      </c>
      <c r="D8603" t="s">
        <v>383</v>
      </c>
      <c r="E8603" s="13">
        <v>1000</v>
      </c>
      <c r="F8603" s="12">
        <v>0.6</v>
      </c>
      <c r="G8603" t="str">
        <f>IFERROR(INDEX(tEditais[Órgão],MATCH(tItens[[#This Row],[Edital]],tEditais[Edital],0)),"")</f>
        <v>MUNICIPIO DE MIGUELOPOLIS</v>
      </c>
      <c r="H8603" t="str">
        <f>IFERROR(INDEX(tEditais[UF],MATCH(tItens[[#This Row],[Edital]],tEditais[Edital],0)),"")</f>
        <v>SP</v>
      </c>
      <c r="I8603" s="11">
        <f>IFERROR(INDEX(tEditais[Encerramento],MATCH(tItens[[#This Row],[Edital]],tEditais[Edital],0)),"")</f>
        <v>46308.561805555553</v>
      </c>
      <c r="J8603" t="str">
        <f>IFERROR(INDEX(tProdutos[Classe],MATCH(tItens[[#This Row],[Produto]],tProdutos[Produto],0)),"produto não cadastrado")</f>
        <v>FORA</v>
      </c>
      <c r="K8603" s="12">
        <f>tItens[[#This Row],[Qtd]]*tItens[[#This Row],[Vlr unit]]</f>
        <v>600</v>
      </c>
      <c r="L8603" s="6">
        <f>IFERROR(IF(INDEX(tProdutos[Desconto homologado],MATCH(tItens[[#This Row],[Produto]],tProdutos[Produto],0))="",DescontoPadrao,INDEX(tProdutos[Desconto homologado],MATCH(tItens[[#This Row],[Produto]],tProdutos[Produto],0))),DescontoPadrao)</f>
        <v>0.48749999999999999</v>
      </c>
      <c r="M8603" s="12">
        <f>tItens[[#This Row],[Valor]]*(1-tItens[[#This Row],[Desconto]])</f>
        <v>307.5</v>
      </c>
      <c r="N8603" t="str">
        <f>IFERROR(INDEX(tProdutos[Foco],MATCH(tItens[[#This Row],[Produto]],tProdutos[Produto],0)),"Não")</f>
        <v>Não</v>
      </c>
      <c r="O8603" t="str">
        <f>IFERROR(INDEX(tEditais[SRP],MATCH(tItens[[#This Row],[Edital]],tEditais[Edital],0)),"Não")</f>
        <v>Sim</v>
      </c>
      <c r="P8603" s="4">
        <f>IF(COUNTIFS(INDEX(tItens[Edital],1):tItens[[#This Row],[Edital]],tItens[[#This Row],[Edital]],INDEX(tItens[Produto],1):tItens[[#This Row],[Produto]],tItens[[#This Row],[Produto]])=1,1,0)</f>
        <v>1</v>
      </c>
    </row>
    <row r="8604" spans="1:16" x14ac:dyDescent="0.25">
      <c r="A8604" t="s">
        <v>2877</v>
      </c>
      <c r="B8604">
        <v>41</v>
      </c>
      <c r="C8604" t="s">
        <v>11017</v>
      </c>
      <c r="D8604" t="s">
        <v>333</v>
      </c>
      <c r="E8604" s="13">
        <v>300</v>
      </c>
      <c r="F8604" s="12">
        <v>0.75</v>
      </c>
      <c r="G8604" t="str">
        <f>IFERROR(INDEX(tEditais[Órgão],MATCH(tItens[[#This Row],[Edital]],tEditais[Edital],0)),"")</f>
        <v>MUNICIPIO DE MIGUELOPOLIS</v>
      </c>
      <c r="H8604" t="str">
        <f>IFERROR(INDEX(tEditais[UF],MATCH(tItens[[#This Row],[Edital]],tEditais[Edital],0)),"")</f>
        <v>SP</v>
      </c>
      <c r="I8604" s="11">
        <f>IFERROR(INDEX(tEditais[Encerramento],MATCH(tItens[[#This Row],[Edital]],tEditais[Edital],0)),"")</f>
        <v>46308.561805555553</v>
      </c>
      <c r="J8604" t="str">
        <f>IFERROR(INDEX(tProdutos[Classe],MATCH(tItens[[#This Row],[Produto]],tProdutos[Produto],0)),"produto não cadastrado")</f>
        <v>FORA</v>
      </c>
      <c r="K8604" s="12">
        <f>tItens[[#This Row],[Qtd]]*tItens[[#This Row],[Vlr unit]]</f>
        <v>225</v>
      </c>
      <c r="L8604" s="6">
        <f>IFERROR(IF(INDEX(tProdutos[Desconto homologado],MATCH(tItens[[#This Row],[Produto]],tProdutos[Produto],0))="",DescontoPadrao,INDEX(tProdutos[Desconto homologado],MATCH(tItens[[#This Row],[Produto]],tProdutos[Produto],0))),DescontoPadrao)</f>
        <v>0.48951048951048998</v>
      </c>
      <c r="M8604" s="12">
        <f>tItens[[#This Row],[Valor]]*(1-tItens[[#This Row],[Desconto]])</f>
        <v>114.86013986013974</v>
      </c>
      <c r="N8604" t="str">
        <f>IFERROR(INDEX(tProdutos[Foco],MATCH(tItens[[#This Row],[Produto]],tProdutos[Produto],0)),"Não")</f>
        <v>Não</v>
      </c>
      <c r="O8604" t="str">
        <f>IFERROR(INDEX(tEditais[SRP],MATCH(tItens[[#This Row],[Edital]],tEditais[Edital],0)),"Não")</f>
        <v>Sim</v>
      </c>
      <c r="P8604" s="4">
        <f>IF(COUNTIFS(INDEX(tItens[Edital],1):tItens[[#This Row],[Edital]],tItens[[#This Row],[Edital]],INDEX(tItens[Produto],1):tItens[[#This Row],[Produto]],tItens[[#This Row],[Produto]])=1,1,0)</f>
        <v>1</v>
      </c>
    </row>
    <row r="8605" spans="1:16" x14ac:dyDescent="0.25">
      <c r="A8605" t="s">
        <v>2877</v>
      </c>
      <c r="B8605">
        <v>42</v>
      </c>
      <c r="C8605" t="s">
        <v>11018</v>
      </c>
      <c r="D8605" t="s">
        <v>90</v>
      </c>
      <c r="E8605" s="13">
        <v>2000</v>
      </c>
      <c r="F8605" s="12">
        <v>7.24</v>
      </c>
      <c r="G8605" t="str">
        <f>IFERROR(INDEX(tEditais[Órgão],MATCH(tItens[[#This Row],[Edital]],tEditais[Edital],0)),"")</f>
        <v>MUNICIPIO DE MIGUELOPOLIS</v>
      </c>
      <c r="H8605" t="str">
        <f>IFERROR(INDEX(tEditais[UF],MATCH(tItens[[#This Row],[Edital]],tEditais[Edital],0)),"")</f>
        <v>SP</v>
      </c>
      <c r="I8605" s="11">
        <f>IFERROR(INDEX(tEditais[Encerramento],MATCH(tItens[[#This Row],[Edital]],tEditais[Edital],0)),"")</f>
        <v>46308.561805555553</v>
      </c>
      <c r="J8605" t="str">
        <f>IFERROR(INDEX(tProdutos[Classe],MATCH(tItens[[#This Row],[Produto]],tProdutos[Produto],0)),"produto não cadastrado")</f>
        <v>DISPUTADO</v>
      </c>
      <c r="K8605" s="12">
        <f>tItens[[#This Row],[Qtd]]*tItens[[#This Row],[Vlr unit]]</f>
        <v>14480</v>
      </c>
      <c r="L8605" s="6">
        <f>IFERROR(IF(INDEX(tProdutos[Desconto homologado],MATCH(tItens[[#This Row],[Produto]],tProdutos[Produto],0))="",DescontoPadrao,INDEX(tProdutos[Desconto homologado],MATCH(tItens[[#This Row],[Produto]],tProdutos[Produto],0))),DescontoPadrao)</f>
        <v>0.25393823957010597</v>
      </c>
      <c r="M8605" s="12">
        <f>tItens[[#This Row],[Valor]]*(1-tItens[[#This Row],[Desconto]])</f>
        <v>10802.974291024866</v>
      </c>
      <c r="N8605" t="str">
        <f>IFERROR(INDEX(tProdutos[Foco],MATCH(tItens[[#This Row],[Produto]],tProdutos[Produto],0)),"Não")</f>
        <v>Não</v>
      </c>
      <c r="O8605" t="str">
        <f>IFERROR(INDEX(tEditais[SRP],MATCH(tItens[[#This Row],[Edital]],tEditais[Edital],0)),"Não")</f>
        <v>Sim</v>
      </c>
      <c r="P8605" s="4">
        <f>IF(COUNTIFS(INDEX(tItens[Edital],1):tItens[[#This Row],[Edital]],tItens[[#This Row],[Edital]],INDEX(tItens[Produto],1):tItens[[#This Row],[Produto]],tItens[[#This Row],[Produto]])=1,1,0)</f>
        <v>1</v>
      </c>
    </row>
    <row r="8606" spans="1:16" x14ac:dyDescent="0.25">
      <c r="A8606" t="s">
        <v>2877</v>
      </c>
      <c r="B8606">
        <v>43</v>
      </c>
      <c r="C8606" t="s">
        <v>11019</v>
      </c>
      <c r="D8606" t="s">
        <v>75</v>
      </c>
      <c r="E8606" s="13">
        <v>600</v>
      </c>
      <c r="F8606" s="12">
        <v>1.32</v>
      </c>
      <c r="G8606" t="str">
        <f>IFERROR(INDEX(tEditais[Órgão],MATCH(tItens[[#This Row],[Edital]],tEditais[Edital],0)),"")</f>
        <v>MUNICIPIO DE MIGUELOPOLIS</v>
      </c>
      <c r="H8606" t="str">
        <f>IFERROR(INDEX(tEditais[UF],MATCH(tItens[[#This Row],[Edital]],tEditais[Edital],0)),"")</f>
        <v>SP</v>
      </c>
      <c r="I8606" s="11">
        <f>IFERROR(INDEX(tEditais[Encerramento],MATCH(tItens[[#This Row],[Edital]],tEditais[Edital],0)),"")</f>
        <v>46308.561805555553</v>
      </c>
      <c r="J8606" t="str">
        <f>IFERROR(INDEX(tProdutos[Classe],MATCH(tItens[[#This Row],[Produto]],tProdutos[Produto],0)),"produto não cadastrado")</f>
        <v>NÚCLEO</v>
      </c>
      <c r="K8606" s="12">
        <f>tItens[[#This Row],[Qtd]]*tItens[[#This Row],[Vlr unit]]</f>
        <v>792</v>
      </c>
      <c r="L8606" s="6">
        <f>IFERROR(IF(INDEX(tProdutos[Desconto homologado],MATCH(tItens[[#This Row],[Produto]],tProdutos[Produto],0))="",DescontoPadrao,INDEX(tProdutos[Desconto homologado],MATCH(tItens[[#This Row],[Produto]],tProdutos[Produto],0))),DescontoPadrao)</f>
        <v>0.26</v>
      </c>
      <c r="M8606" s="12">
        <f>tItens[[#This Row],[Valor]]*(1-tItens[[#This Row],[Desconto]])</f>
        <v>586.08000000000004</v>
      </c>
      <c r="N8606" t="str">
        <f>IFERROR(INDEX(tProdutos[Foco],MATCH(tItens[[#This Row],[Produto]],tProdutos[Produto],0)),"Não")</f>
        <v>Sim</v>
      </c>
      <c r="O8606" t="str">
        <f>IFERROR(INDEX(tEditais[SRP],MATCH(tItens[[#This Row],[Edital]],tEditais[Edital],0)),"Não")</f>
        <v>Sim</v>
      </c>
      <c r="P8606" s="4">
        <f>IF(COUNTIFS(INDEX(tItens[Edital],1):tItens[[#This Row],[Edital]],tItens[[#This Row],[Edital]],INDEX(tItens[Produto],1):tItens[[#This Row],[Produto]],tItens[[#This Row],[Produto]])=1,1,0)</f>
        <v>1</v>
      </c>
    </row>
    <row r="8607" spans="1:16" x14ac:dyDescent="0.25">
      <c r="A8607" t="s">
        <v>2877</v>
      </c>
      <c r="B8607">
        <v>44</v>
      </c>
      <c r="C8607" t="s">
        <v>11020</v>
      </c>
      <c r="D8607" t="s">
        <v>75</v>
      </c>
      <c r="E8607" s="13">
        <v>1200</v>
      </c>
      <c r="F8607" s="12">
        <v>1.49</v>
      </c>
      <c r="G8607" t="str">
        <f>IFERROR(INDEX(tEditais[Órgão],MATCH(tItens[[#This Row],[Edital]],tEditais[Edital],0)),"")</f>
        <v>MUNICIPIO DE MIGUELOPOLIS</v>
      </c>
      <c r="H8607" t="str">
        <f>IFERROR(INDEX(tEditais[UF],MATCH(tItens[[#This Row],[Edital]],tEditais[Edital],0)),"")</f>
        <v>SP</v>
      </c>
      <c r="I8607" s="11">
        <f>IFERROR(INDEX(tEditais[Encerramento],MATCH(tItens[[#This Row],[Edital]],tEditais[Edital],0)),"")</f>
        <v>46308.561805555553</v>
      </c>
      <c r="J8607" t="str">
        <f>IFERROR(INDEX(tProdutos[Classe],MATCH(tItens[[#This Row],[Produto]],tProdutos[Produto],0)),"produto não cadastrado")</f>
        <v>NÚCLEO</v>
      </c>
      <c r="K8607" s="12">
        <f>tItens[[#This Row],[Qtd]]*tItens[[#This Row],[Vlr unit]]</f>
        <v>1788</v>
      </c>
      <c r="L8607" s="6">
        <f>IFERROR(IF(INDEX(tProdutos[Desconto homologado],MATCH(tItens[[#This Row],[Produto]],tProdutos[Produto],0))="",DescontoPadrao,INDEX(tProdutos[Desconto homologado],MATCH(tItens[[#This Row],[Produto]],tProdutos[Produto],0))),DescontoPadrao)</f>
        <v>0.26</v>
      </c>
      <c r="M8607" s="12">
        <f>tItens[[#This Row],[Valor]]*(1-tItens[[#This Row],[Desconto]])</f>
        <v>1323.12</v>
      </c>
      <c r="N8607" t="str">
        <f>IFERROR(INDEX(tProdutos[Foco],MATCH(tItens[[#This Row],[Produto]],tProdutos[Produto],0)),"Não")</f>
        <v>Sim</v>
      </c>
      <c r="O8607" t="str">
        <f>IFERROR(INDEX(tEditais[SRP],MATCH(tItens[[#This Row],[Edital]],tEditais[Edital],0)),"Não")</f>
        <v>Sim</v>
      </c>
      <c r="P8607" s="4">
        <f>IF(COUNTIFS(INDEX(tItens[Edital],1):tItens[[#This Row],[Edital]],tItens[[#This Row],[Edital]],INDEX(tItens[Produto],1):tItens[[#This Row],[Produto]],tItens[[#This Row],[Produto]])=1,1,0)</f>
        <v>0</v>
      </c>
    </row>
    <row r="8608" spans="1:16" x14ac:dyDescent="0.25">
      <c r="A8608" t="s">
        <v>2877</v>
      </c>
      <c r="B8608">
        <v>45</v>
      </c>
      <c r="C8608" t="s">
        <v>11021</v>
      </c>
      <c r="D8608" t="s">
        <v>75</v>
      </c>
      <c r="E8608" s="13">
        <v>800</v>
      </c>
      <c r="F8608" s="12">
        <v>1.37</v>
      </c>
      <c r="G8608" t="str">
        <f>IFERROR(INDEX(tEditais[Órgão],MATCH(tItens[[#This Row],[Edital]],tEditais[Edital],0)),"")</f>
        <v>MUNICIPIO DE MIGUELOPOLIS</v>
      </c>
      <c r="H8608" t="str">
        <f>IFERROR(INDEX(tEditais[UF],MATCH(tItens[[#This Row],[Edital]],tEditais[Edital],0)),"")</f>
        <v>SP</v>
      </c>
      <c r="I8608" s="11">
        <f>IFERROR(INDEX(tEditais[Encerramento],MATCH(tItens[[#This Row],[Edital]],tEditais[Edital],0)),"")</f>
        <v>46308.561805555553</v>
      </c>
      <c r="J8608" t="str">
        <f>IFERROR(INDEX(tProdutos[Classe],MATCH(tItens[[#This Row],[Produto]],tProdutos[Produto],0)),"produto não cadastrado")</f>
        <v>NÚCLEO</v>
      </c>
      <c r="K8608" s="12">
        <f>tItens[[#This Row],[Qtd]]*tItens[[#This Row],[Vlr unit]]</f>
        <v>1096</v>
      </c>
      <c r="L8608" s="6">
        <f>IFERROR(IF(INDEX(tProdutos[Desconto homologado],MATCH(tItens[[#This Row],[Produto]],tProdutos[Produto],0))="",DescontoPadrao,INDEX(tProdutos[Desconto homologado],MATCH(tItens[[#This Row],[Produto]],tProdutos[Produto],0))),DescontoPadrao)</f>
        <v>0.26</v>
      </c>
      <c r="M8608" s="12">
        <f>tItens[[#This Row],[Valor]]*(1-tItens[[#This Row],[Desconto]])</f>
        <v>811.04</v>
      </c>
      <c r="N8608" t="str">
        <f>IFERROR(INDEX(tProdutos[Foco],MATCH(tItens[[#This Row],[Produto]],tProdutos[Produto],0)),"Não")</f>
        <v>Sim</v>
      </c>
      <c r="O8608" t="str">
        <f>IFERROR(INDEX(tEditais[SRP],MATCH(tItens[[#This Row],[Edital]],tEditais[Edital],0)),"Não")</f>
        <v>Sim</v>
      </c>
      <c r="P8608" s="4">
        <f>IF(COUNTIFS(INDEX(tItens[Edital],1):tItens[[#This Row],[Edital]],tItens[[#This Row],[Edital]],INDEX(tItens[Produto],1):tItens[[#This Row],[Produto]],tItens[[#This Row],[Produto]])=1,1,0)</f>
        <v>0</v>
      </c>
    </row>
    <row r="8609" spans="1:16" x14ac:dyDescent="0.25">
      <c r="A8609" t="s">
        <v>2877</v>
      </c>
      <c r="B8609">
        <v>47</v>
      </c>
      <c r="C8609" t="s">
        <v>11022</v>
      </c>
      <c r="D8609" t="s">
        <v>77</v>
      </c>
      <c r="E8609" s="13">
        <v>2000</v>
      </c>
      <c r="F8609" s="12">
        <v>2.0299999999999998</v>
      </c>
      <c r="G8609" t="str">
        <f>IFERROR(INDEX(tEditais[Órgão],MATCH(tItens[[#This Row],[Edital]],tEditais[Edital],0)),"")</f>
        <v>MUNICIPIO DE MIGUELOPOLIS</v>
      </c>
      <c r="H8609" t="str">
        <f>IFERROR(INDEX(tEditais[UF],MATCH(tItens[[#This Row],[Edital]],tEditais[Edital],0)),"")</f>
        <v>SP</v>
      </c>
      <c r="I8609" s="11">
        <f>IFERROR(INDEX(tEditais[Encerramento],MATCH(tItens[[#This Row],[Edital]],tEditais[Edital],0)),"")</f>
        <v>46308.561805555553</v>
      </c>
      <c r="J8609" t="str">
        <f>IFERROR(INDEX(tProdutos[Classe],MATCH(tItens[[#This Row],[Produto]],tProdutos[Produto],0)),"produto não cadastrado")</f>
        <v>DISPUTADO</v>
      </c>
      <c r="K8609" s="12">
        <f>tItens[[#This Row],[Qtd]]*tItens[[#This Row],[Vlr unit]]</f>
        <v>4059.9999999999995</v>
      </c>
      <c r="L8609" s="6">
        <f>IFERROR(IF(INDEX(tProdutos[Desconto homologado],MATCH(tItens[[#This Row],[Produto]],tProdutos[Produto],0))="",DescontoPadrao,INDEX(tProdutos[Desconto homologado],MATCH(tItens[[#This Row],[Produto]],tProdutos[Produto],0))),DescontoPadrao)</f>
        <v>0.33</v>
      </c>
      <c r="M8609" s="12">
        <f>tItens[[#This Row],[Valor]]*(1-tItens[[#This Row],[Desconto]])</f>
        <v>2720.1999999999994</v>
      </c>
      <c r="N8609" t="str">
        <f>IFERROR(INDEX(tProdutos[Foco],MATCH(tItens[[#This Row],[Produto]],tProdutos[Produto],0)),"Não")</f>
        <v>Sim</v>
      </c>
      <c r="O8609" t="str">
        <f>IFERROR(INDEX(tEditais[SRP],MATCH(tItens[[#This Row],[Edital]],tEditais[Edital],0)),"Não")</f>
        <v>Sim</v>
      </c>
      <c r="P8609" s="4">
        <f>IF(COUNTIFS(INDEX(tItens[Edital],1):tItens[[#This Row],[Edital]],tItens[[#This Row],[Edital]],INDEX(tItens[Produto],1):tItens[[#This Row],[Produto]],tItens[[#This Row],[Produto]])=1,1,0)</f>
        <v>1</v>
      </c>
    </row>
    <row r="8610" spans="1:16" x14ac:dyDescent="0.25">
      <c r="A8610" t="s">
        <v>2877</v>
      </c>
      <c r="B8610">
        <v>48</v>
      </c>
      <c r="C8610" t="s">
        <v>11023</v>
      </c>
      <c r="D8610" t="s">
        <v>77</v>
      </c>
      <c r="E8610" s="13">
        <v>2000</v>
      </c>
      <c r="F8610" s="12">
        <v>2.35</v>
      </c>
      <c r="G8610" t="str">
        <f>IFERROR(INDEX(tEditais[Órgão],MATCH(tItens[[#This Row],[Edital]],tEditais[Edital],0)),"")</f>
        <v>MUNICIPIO DE MIGUELOPOLIS</v>
      </c>
      <c r="H8610" t="str">
        <f>IFERROR(INDEX(tEditais[UF],MATCH(tItens[[#This Row],[Edital]],tEditais[Edital],0)),"")</f>
        <v>SP</v>
      </c>
      <c r="I8610" s="11">
        <f>IFERROR(INDEX(tEditais[Encerramento],MATCH(tItens[[#This Row],[Edital]],tEditais[Edital],0)),"")</f>
        <v>46308.561805555553</v>
      </c>
      <c r="J8610" t="str">
        <f>IFERROR(INDEX(tProdutos[Classe],MATCH(tItens[[#This Row],[Produto]],tProdutos[Produto],0)),"produto não cadastrado")</f>
        <v>DISPUTADO</v>
      </c>
      <c r="K8610" s="12">
        <f>tItens[[#This Row],[Qtd]]*tItens[[#This Row],[Vlr unit]]</f>
        <v>4700</v>
      </c>
      <c r="L8610" s="6">
        <f>IFERROR(IF(INDEX(tProdutos[Desconto homologado],MATCH(tItens[[#This Row],[Produto]],tProdutos[Produto],0))="",DescontoPadrao,INDEX(tProdutos[Desconto homologado],MATCH(tItens[[#This Row],[Produto]],tProdutos[Produto],0))),DescontoPadrao)</f>
        <v>0.33</v>
      </c>
      <c r="M8610" s="12">
        <f>tItens[[#This Row],[Valor]]*(1-tItens[[#This Row],[Desconto]])</f>
        <v>3148.9999999999995</v>
      </c>
      <c r="N8610" t="str">
        <f>IFERROR(INDEX(tProdutos[Foco],MATCH(tItens[[#This Row],[Produto]],tProdutos[Produto],0)),"Não")</f>
        <v>Sim</v>
      </c>
      <c r="O8610" t="str">
        <f>IFERROR(INDEX(tEditais[SRP],MATCH(tItens[[#This Row],[Edital]],tEditais[Edital],0)),"Não")</f>
        <v>Sim</v>
      </c>
      <c r="P8610" s="4">
        <f>IF(COUNTIFS(INDEX(tItens[Edital],1):tItens[[#This Row],[Edital]],tItens[[#This Row],[Edital]],INDEX(tItens[Produto],1):tItens[[#This Row],[Produto]],tItens[[#This Row],[Produto]])=1,1,0)</f>
        <v>0</v>
      </c>
    </row>
    <row r="8611" spans="1:16" x14ac:dyDescent="0.25">
      <c r="A8611" t="s">
        <v>2877</v>
      </c>
      <c r="B8611">
        <v>50</v>
      </c>
      <c r="C8611" t="s">
        <v>11024</v>
      </c>
      <c r="D8611" t="s">
        <v>467</v>
      </c>
      <c r="E8611" s="13">
        <v>100</v>
      </c>
      <c r="F8611" s="12">
        <v>6.45</v>
      </c>
      <c r="G8611" t="str">
        <f>IFERROR(INDEX(tEditais[Órgão],MATCH(tItens[[#This Row],[Edital]],tEditais[Edital],0)),"")</f>
        <v>MUNICIPIO DE MIGUELOPOLIS</v>
      </c>
      <c r="H8611" t="str">
        <f>IFERROR(INDEX(tEditais[UF],MATCH(tItens[[#This Row],[Edital]],tEditais[Edital],0)),"")</f>
        <v>SP</v>
      </c>
      <c r="I8611" s="11">
        <f>IFERROR(INDEX(tEditais[Encerramento],MATCH(tItens[[#This Row],[Edital]],tEditais[Edital],0)),"")</f>
        <v>46308.561805555553</v>
      </c>
      <c r="J8611" t="str">
        <f>IFERROR(INDEX(tProdutos[Classe],MATCH(tItens[[#This Row],[Produto]],tProdutos[Produto],0)),"produto não cadastrado")</f>
        <v>FILA REBASE</v>
      </c>
      <c r="K8611" s="12">
        <f>tItens[[#This Row],[Qtd]]*tItens[[#This Row],[Vlr unit]]</f>
        <v>645</v>
      </c>
      <c r="L8611" s="6">
        <f>IFERROR(IF(INDEX(tProdutos[Desconto homologado],MATCH(tItens[[#This Row],[Produto]],tProdutos[Produto],0))="",DescontoPadrao,INDEX(tProdutos[Desconto homologado],MATCH(tItens[[#This Row],[Produto]],tProdutos[Produto],0))),DescontoPadrao)</f>
        <v>0.25007144898542499</v>
      </c>
      <c r="M8611" s="12">
        <f>tItens[[#This Row],[Valor]]*(1-tItens[[#This Row],[Desconto]])</f>
        <v>483.7039154044009</v>
      </c>
      <c r="N8611" t="str">
        <f>IFERROR(INDEX(tProdutos[Foco],MATCH(tItens[[#This Row],[Produto]],tProdutos[Produto],0)),"Não")</f>
        <v>Não</v>
      </c>
      <c r="O8611" t="str">
        <f>IFERROR(INDEX(tEditais[SRP],MATCH(tItens[[#This Row],[Edital]],tEditais[Edital],0)),"Não")</f>
        <v>Sim</v>
      </c>
      <c r="P8611" s="4">
        <f>IF(COUNTIFS(INDEX(tItens[Edital],1):tItens[[#This Row],[Edital]],tItens[[#This Row],[Edital]],INDEX(tItens[Produto],1):tItens[[#This Row],[Produto]],tItens[[#This Row],[Produto]])=1,1,0)</f>
        <v>1</v>
      </c>
    </row>
    <row r="8612" spans="1:16" x14ac:dyDescent="0.25">
      <c r="A8612" t="s">
        <v>2877</v>
      </c>
      <c r="B8612">
        <v>54</v>
      </c>
      <c r="C8612" t="s">
        <v>11025</v>
      </c>
      <c r="D8612" t="s">
        <v>397</v>
      </c>
      <c r="E8612" s="13">
        <v>1000</v>
      </c>
      <c r="F8612" s="12">
        <v>3.74</v>
      </c>
      <c r="G8612" t="str">
        <f>IFERROR(INDEX(tEditais[Órgão],MATCH(tItens[[#This Row],[Edital]],tEditais[Edital],0)),"")</f>
        <v>MUNICIPIO DE MIGUELOPOLIS</v>
      </c>
      <c r="H8612" t="str">
        <f>IFERROR(INDEX(tEditais[UF],MATCH(tItens[[#This Row],[Edital]],tEditais[Edital],0)),"")</f>
        <v>SP</v>
      </c>
      <c r="I8612" s="11">
        <f>IFERROR(INDEX(tEditais[Encerramento],MATCH(tItens[[#This Row],[Edital]],tEditais[Edital],0)),"")</f>
        <v>46308.561805555553</v>
      </c>
      <c r="J8612" t="str">
        <f>IFERROR(INDEX(tProdutos[Classe],MATCH(tItens[[#This Row],[Produto]],tProdutos[Produto],0)),"produto não cadastrado")</f>
        <v>FORA</v>
      </c>
      <c r="K8612" s="12">
        <f>tItens[[#This Row],[Qtd]]*tItens[[#This Row],[Vlr unit]]</f>
        <v>3740</v>
      </c>
      <c r="L8612" s="6">
        <f>IFERROR(IF(INDEX(tProdutos[Desconto homologado],MATCH(tItens[[#This Row],[Produto]],tProdutos[Produto],0))="",DescontoPadrao,INDEX(tProdutos[Desconto homologado],MATCH(tItens[[#This Row],[Produto]],tProdutos[Produto],0))),DescontoPadrao)</f>
        <v>0.336426116838488</v>
      </c>
      <c r="M8612" s="12">
        <f>tItens[[#This Row],[Valor]]*(1-tItens[[#This Row],[Desconto]])</f>
        <v>2481.7663230240551</v>
      </c>
      <c r="N8612" t="str">
        <f>IFERROR(INDEX(tProdutos[Foco],MATCH(tItens[[#This Row],[Produto]],tProdutos[Produto],0)),"Não")</f>
        <v>Não</v>
      </c>
      <c r="O8612" t="str">
        <f>IFERROR(INDEX(tEditais[SRP],MATCH(tItens[[#This Row],[Edital]],tEditais[Edital],0)),"Não")</f>
        <v>Sim</v>
      </c>
      <c r="P8612" s="4">
        <f>IF(COUNTIFS(INDEX(tItens[Edital],1):tItens[[#This Row],[Edital]],tItens[[#This Row],[Edital]],INDEX(tItens[Produto],1):tItens[[#This Row],[Produto]],tItens[[#This Row],[Produto]])=1,1,0)</f>
        <v>1</v>
      </c>
    </row>
    <row r="8613" spans="1:16" x14ac:dyDescent="0.25">
      <c r="A8613" t="s">
        <v>2877</v>
      </c>
      <c r="B8613">
        <v>55</v>
      </c>
      <c r="C8613" t="s">
        <v>11025</v>
      </c>
      <c r="D8613" t="s">
        <v>397</v>
      </c>
      <c r="E8613" s="13">
        <v>100</v>
      </c>
      <c r="F8613" s="12">
        <v>28.85</v>
      </c>
      <c r="G8613" t="str">
        <f>IFERROR(INDEX(tEditais[Órgão],MATCH(tItens[[#This Row],[Edital]],tEditais[Edital],0)),"")</f>
        <v>MUNICIPIO DE MIGUELOPOLIS</v>
      </c>
      <c r="H8613" t="str">
        <f>IFERROR(INDEX(tEditais[UF],MATCH(tItens[[#This Row],[Edital]],tEditais[Edital],0)),"")</f>
        <v>SP</v>
      </c>
      <c r="I8613" s="11">
        <f>IFERROR(INDEX(tEditais[Encerramento],MATCH(tItens[[#This Row],[Edital]],tEditais[Edital],0)),"")</f>
        <v>46308.561805555553</v>
      </c>
      <c r="J8613" t="str">
        <f>IFERROR(INDEX(tProdutos[Classe],MATCH(tItens[[#This Row],[Produto]],tProdutos[Produto],0)),"produto não cadastrado")</f>
        <v>FORA</v>
      </c>
      <c r="K8613" s="12">
        <f>tItens[[#This Row],[Qtd]]*tItens[[#This Row],[Vlr unit]]</f>
        <v>2885</v>
      </c>
      <c r="L8613" s="6">
        <f>IFERROR(IF(INDEX(tProdutos[Desconto homologado],MATCH(tItens[[#This Row],[Produto]],tProdutos[Produto],0))="",DescontoPadrao,INDEX(tProdutos[Desconto homologado],MATCH(tItens[[#This Row],[Produto]],tProdutos[Produto],0))),DescontoPadrao)</f>
        <v>0.336426116838488</v>
      </c>
      <c r="M8613" s="12">
        <f>tItens[[#This Row],[Valor]]*(1-tItens[[#This Row],[Desconto]])</f>
        <v>1914.4106529209621</v>
      </c>
      <c r="N8613" t="str">
        <f>IFERROR(INDEX(tProdutos[Foco],MATCH(tItens[[#This Row],[Produto]],tProdutos[Produto],0)),"Não")</f>
        <v>Não</v>
      </c>
      <c r="O8613" t="str">
        <f>IFERROR(INDEX(tEditais[SRP],MATCH(tItens[[#This Row],[Edital]],tEditais[Edital],0)),"Não")</f>
        <v>Sim</v>
      </c>
      <c r="P8613" s="4">
        <f>IF(COUNTIFS(INDEX(tItens[Edital],1):tItens[[#This Row],[Edital]],tItens[[#This Row],[Edital]],INDEX(tItens[Produto],1):tItens[[#This Row],[Produto]],tItens[[#This Row],[Produto]])=1,1,0)</f>
        <v>0</v>
      </c>
    </row>
    <row r="8614" spans="1:16" x14ac:dyDescent="0.25">
      <c r="A8614" t="s">
        <v>2877</v>
      </c>
      <c r="B8614">
        <v>56</v>
      </c>
      <c r="C8614" t="s">
        <v>11026</v>
      </c>
      <c r="D8614" t="s">
        <v>56</v>
      </c>
      <c r="E8614" s="13">
        <v>20</v>
      </c>
      <c r="F8614" s="12">
        <v>29.39</v>
      </c>
      <c r="G8614" t="str">
        <f>IFERROR(INDEX(tEditais[Órgão],MATCH(tItens[[#This Row],[Edital]],tEditais[Edital],0)),"")</f>
        <v>MUNICIPIO DE MIGUELOPOLIS</v>
      </c>
      <c r="H8614" t="str">
        <f>IFERROR(INDEX(tEditais[UF],MATCH(tItens[[#This Row],[Edital]],tEditais[Edital],0)),"")</f>
        <v>SP</v>
      </c>
      <c r="I8614" s="11">
        <f>IFERROR(INDEX(tEditais[Encerramento],MATCH(tItens[[#This Row],[Edital]],tEditais[Edital],0)),"")</f>
        <v>46308.561805555553</v>
      </c>
      <c r="J8614" t="str">
        <f>IFERROR(INDEX(tProdutos[Classe],MATCH(tItens[[#This Row],[Produto]],tProdutos[Produto],0)),"produto não cadastrado")</f>
        <v>NÚCLEO</v>
      </c>
      <c r="K8614" s="12">
        <f>tItens[[#This Row],[Qtd]]*tItens[[#This Row],[Vlr unit]]</f>
        <v>587.79999999999995</v>
      </c>
      <c r="L8614" s="6">
        <f>IFERROR(IF(INDEX(tProdutos[Desconto homologado],MATCH(tItens[[#This Row],[Produto]],tProdutos[Produto],0))="",DescontoPadrao,INDEX(tProdutos[Desconto homologado],MATCH(tItens[[#This Row],[Produto]],tProdutos[Produto],0))),DescontoPadrao)</f>
        <v>0.34</v>
      </c>
      <c r="M8614" s="12">
        <f>tItens[[#This Row],[Valor]]*(1-tItens[[#This Row],[Desconto]])</f>
        <v>387.94799999999992</v>
      </c>
      <c r="N8614" t="str">
        <f>IFERROR(INDEX(tProdutos[Foco],MATCH(tItens[[#This Row],[Produto]],tProdutos[Produto],0)),"Não")</f>
        <v>Sim</v>
      </c>
      <c r="O8614" t="str">
        <f>IFERROR(INDEX(tEditais[SRP],MATCH(tItens[[#This Row],[Edital]],tEditais[Edital],0)),"Não")</f>
        <v>Sim</v>
      </c>
      <c r="P8614" s="4">
        <f>IF(COUNTIFS(INDEX(tItens[Edital],1):tItens[[#This Row],[Edital]],tItens[[#This Row],[Edital]],INDEX(tItens[Produto],1):tItens[[#This Row],[Produto]],tItens[[#This Row],[Produto]])=1,1,0)</f>
        <v>1</v>
      </c>
    </row>
    <row r="8615" spans="1:16" x14ac:dyDescent="0.25">
      <c r="A8615" t="s">
        <v>2877</v>
      </c>
      <c r="B8615">
        <v>57</v>
      </c>
      <c r="C8615" t="s">
        <v>11027</v>
      </c>
      <c r="D8615" t="s">
        <v>267</v>
      </c>
      <c r="E8615" s="13">
        <v>3000</v>
      </c>
      <c r="F8615" s="12">
        <v>8.93</v>
      </c>
      <c r="G8615" t="str">
        <f>IFERROR(INDEX(tEditais[Órgão],MATCH(tItens[[#This Row],[Edital]],tEditais[Edital],0)),"")</f>
        <v>MUNICIPIO DE MIGUELOPOLIS</v>
      </c>
      <c r="H8615" t="str">
        <f>IFERROR(INDEX(tEditais[UF],MATCH(tItens[[#This Row],[Edital]],tEditais[Edital],0)),"")</f>
        <v>SP</v>
      </c>
      <c r="I8615" s="11">
        <f>IFERROR(INDEX(tEditais[Encerramento],MATCH(tItens[[#This Row],[Edital]],tEditais[Edital],0)),"")</f>
        <v>46308.561805555553</v>
      </c>
      <c r="J8615" t="str">
        <f>IFERROR(INDEX(tProdutos[Classe],MATCH(tItens[[#This Row],[Produto]],tProdutos[Produto],0)),"produto não cadastrado")</f>
        <v>FORA</v>
      </c>
      <c r="K8615" s="12">
        <f>tItens[[#This Row],[Qtd]]*tItens[[#This Row],[Vlr unit]]</f>
        <v>26790</v>
      </c>
      <c r="L8615" s="6">
        <f>IFERROR(IF(INDEX(tProdutos[Desconto homologado],MATCH(tItens[[#This Row],[Produto]],tProdutos[Produto],0))="",DescontoPadrao,INDEX(tProdutos[Desconto homologado],MATCH(tItens[[#This Row],[Produto]],tProdutos[Produto],0))),DescontoPadrao)</f>
        <v>0.19963672657401599</v>
      </c>
      <c r="M8615" s="12">
        <f>tItens[[#This Row],[Valor]]*(1-tItens[[#This Row],[Desconto]])</f>
        <v>21441.732095082112</v>
      </c>
      <c r="N8615" t="str">
        <f>IFERROR(INDEX(tProdutos[Foco],MATCH(tItens[[#This Row],[Produto]],tProdutos[Produto],0)),"Não")</f>
        <v>Não</v>
      </c>
      <c r="O8615" t="str">
        <f>IFERROR(INDEX(tEditais[SRP],MATCH(tItens[[#This Row],[Edital]],tEditais[Edital],0)),"Não")</f>
        <v>Sim</v>
      </c>
      <c r="P8615" s="4">
        <f>IF(COUNTIFS(INDEX(tItens[Edital],1):tItens[[#This Row],[Edital]],tItens[[#This Row],[Edital]],INDEX(tItens[Produto],1):tItens[[#This Row],[Produto]],tItens[[#This Row],[Produto]])=1,1,0)</f>
        <v>1</v>
      </c>
    </row>
    <row r="8616" spans="1:16" x14ac:dyDescent="0.25">
      <c r="A8616" t="s">
        <v>2877</v>
      </c>
      <c r="B8616">
        <v>59</v>
      </c>
      <c r="C8616" t="s">
        <v>11028</v>
      </c>
      <c r="D8616" t="s">
        <v>313</v>
      </c>
      <c r="E8616" s="13">
        <v>5000</v>
      </c>
      <c r="F8616" s="12">
        <v>20.94</v>
      </c>
      <c r="G8616" t="str">
        <f>IFERROR(INDEX(tEditais[Órgão],MATCH(tItens[[#This Row],[Edital]],tEditais[Edital],0)),"")</f>
        <v>MUNICIPIO DE MIGUELOPOLIS</v>
      </c>
      <c r="H8616" t="str">
        <f>IFERROR(INDEX(tEditais[UF],MATCH(tItens[[#This Row],[Edital]],tEditais[Edital],0)),"")</f>
        <v>SP</v>
      </c>
      <c r="I8616" s="11">
        <f>IFERROR(INDEX(tEditais[Encerramento],MATCH(tItens[[#This Row],[Edital]],tEditais[Edital],0)),"")</f>
        <v>46308.561805555553</v>
      </c>
      <c r="J8616" t="str">
        <f>IFERROR(INDEX(tProdutos[Classe],MATCH(tItens[[#This Row],[Produto]],tProdutos[Produto],0)),"produto não cadastrado")</f>
        <v>FORA</v>
      </c>
      <c r="K8616" s="12">
        <f>tItens[[#This Row],[Qtd]]*tItens[[#This Row],[Vlr unit]]</f>
        <v>104700</v>
      </c>
      <c r="L8616" s="6">
        <f>IFERROR(IF(INDEX(tProdutos[Desconto homologado],MATCH(tItens[[#This Row],[Produto]],tProdutos[Produto],0))="",DescontoPadrao,INDEX(tProdutos[Desconto homologado],MATCH(tItens[[#This Row],[Produto]],tProdutos[Produto],0))),DescontoPadrao)</f>
        <v>0.35766373163696302</v>
      </c>
      <c r="M8616" s="12">
        <f>tItens[[#This Row],[Valor]]*(1-tItens[[#This Row],[Desconto]])</f>
        <v>67252.607297609968</v>
      </c>
      <c r="N8616" t="str">
        <f>IFERROR(INDEX(tProdutos[Foco],MATCH(tItens[[#This Row],[Produto]],tProdutos[Produto],0)),"Não")</f>
        <v>Não</v>
      </c>
      <c r="O8616" t="str">
        <f>IFERROR(INDEX(tEditais[SRP],MATCH(tItens[[#This Row],[Edital]],tEditais[Edital],0)),"Não")</f>
        <v>Sim</v>
      </c>
      <c r="P8616" s="4">
        <f>IF(COUNTIFS(INDEX(tItens[Edital],1):tItens[[#This Row],[Edital]],tItens[[#This Row],[Edital]],INDEX(tItens[Produto],1):tItens[[#This Row],[Produto]],tItens[[#This Row],[Produto]])=1,1,0)</f>
        <v>1</v>
      </c>
    </row>
    <row r="8617" spans="1:16" x14ac:dyDescent="0.25">
      <c r="A8617" t="s">
        <v>2877</v>
      </c>
      <c r="B8617">
        <v>60</v>
      </c>
      <c r="C8617" t="s">
        <v>11029</v>
      </c>
      <c r="D8617" t="s">
        <v>313</v>
      </c>
      <c r="E8617" s="13">
        <v>3000</v>
      </c>
      <c r="F8617" s="12">
        <v>17.190000000000001</v>
      </c>
      <c r="G8617" t="str">
        <f>IFERROR(INDEX(tEditais[Órgão],MATCH(tItens[[#This Row],[Edital]],tEditais[Edital],0)),"")</f>
        <v>MUNICIPIO DE MIGUELOPOLIS</v>
      </c>
      <c r="H8617" t="str">
        <f>IFERROR(INDEX(tEditais[UF],MATCH(tItens[[#This Row],[Edital]],tEditais[Edital],0)),"")</f>
        <v>SP</v>
      </c>
      <c r="I8617" s="11">
        <f>IFERROR(INDEX(tEditais[Encerramento],MATCH(tItens[[#This Row],[Edital]],tEditais[Edital],0)),"")</f>
        <v>46308.561805555553</v>
      </c>
      <c r="J8617" t="str">
        <f>IFERROR(INDEX(tProdutos[Classe],MATCH(tItens[[#This Row],[Produto]],tProdutos[Produto],0)),"produto não cadastrado")</f>
        <v>FORA</v>
      </c>
      <c r="K8617" s="12">
        <f>tItens[[#This Row],[Qtd]]*tItens[[#This Row],[Vlr unit]]</f>
        <v>51570.000000000007</v>
      </c>
      <c r="L8617" s="6">
        <f>IFERROR(IF(INDEX(tProdutos[Desconto homologado],MATCH(tItens[[#This Row],[Produto]],tProdutos[Produto],0))="",DescontoPadrao,INDEX(tProdutos[Desconto homologado],MATCH(tItens[[#This Row],[Produto]],tProdutos[Produto],0))),DescontoPadrao)</f>
        <v>0.35766373163696302</v>
      </c>
      <c r="M8617" s="12">
        <f>tItens[[#This Row],[Valor]]*(1-tItens[[#This Row],[Desconto]])</f>
        <v>33125.281359481822</v>
      </c>
      <c r="N8617" t="str">
        <f>IFERROR(INDEX(tProdutos[Foco],MATCH(tItens[[#This Row],[Produto]],tProdutos[Produto],0)),"Não")</f>
        <v>Não</v>
      </c>
      <c r="O8617" t="str">
        <f>IFERROR(INDEX(tEditais[SRP],MATCH(tItens[[#This Row],[Edital]],tEditais[Edital],0)),"Não")</f>
        <v>Sim</v>
      </c>
      <c r="P8617" s="4">
        <f>IF(COUNTIFS(INDEX(tItens[Edital],1):tItens[[#This Row],[Edital]],tItens[[#This Row],[Edital]],INDEX(tItens[Produto],1):tItens[[#This Row],[Produto]],tItens[[#This Row],[Produto]])=1,1,0)</f>
        <v>0</v>
      </c>
    </row>
    <row r="8618" spans="1:16" x14ac:dyDescent="0.25">
      <c r="A8618" t="s">
        <v>2877</v>
      </c>
      <c r="B8618">
        <v>65</v>
      </c>
      <c r="C8618" t="s">
        <v>11030</v>
      </c>
      <c r="D8618" t="s">
        <v>494</v>
      </c>
      <c r="E8618" s="13">
        <v>100</v>
      </c>
      <c r="F8618" s="12">
        <v>38.67</v>
      </c>
      <c r="G8618" t="str">
        <f>IFERROR(INDEX(tEditais[Órgão],MATCH(tItens[[#This Row],[Edital]],tEditais[Edital],0)),"")</f>
        <v>MUNICIPIO DE MIGUELOPOLIS</v>
      </c>
      <c r="H8618" t="str">
        <f>IFERROR(INDEX(tEditais[UF],MATCH(tItens[[#This Row],[Edital]],tEditais[Edital],0)),"")</f>
        <v>SP</v>
      </c>
      <c r="I8618" s="11">
        <f>IFERROR(INDEX(tEditais[Encerramento],MATCH(tItens[[#This Row],[Edital]],tEditais[Edital],0)),"")</f>
        <v>46308.561805555553</v>
      </c>
      <c r="J8618" t="str">
        <f>IFERROR(INDEX(tProdutos[Classe],MATCH(tItens[[#This Row],[Produto]],tProdutos[Produto],0)),"produto não cadastrado")</f>
        <v>FILA REBASE</v>
      </c>
      <c r="K8618" s="12">
        <f>tItens[[#This Row],[Qtd]]*tItens[[#This Row],[Vlr unit]]</f>
        <v>3867</v>
      </c>
      <c r="L8618" s="6">
        <f>IFERROR(IF(INDEX(tProdutos[Desconto homologado],MATCH(tItens[[#This Row],[Produto]],tProdutos[Produto],0))="",DescontoPadrao,INDEX(tProdutos[Desconto homologado],MATCH(tItens[[#This Row],[Produto]],tProdutos[Produto],0))),DescontoPadrao)</f>
        <v>0.253736324829619</v>
      </c>
      <c r="M8618" s="12">
        <f>tItens[[#This Row],[Valor]]*(1-tItens[[#This Row],[Desconto]])</f>
        <v>2885.8016318838636</v>
      </c>
      <c r="N8618" t="str">
        <f>IFERROR(INDEX(tProdutos[Foco],MATCH(tItens[[#This Row],[Produto]],tProdutos[Produto],0)),"Não")</f>
        <v>Não</v>
      </c>
      <c r="O8618" t="str">
        <f>IFERROR(INDEX(tEditais[SRP],MATCH(tItens[[#This Row],[Edital]],tEditais[Edital],0)),"Não")</f>
        <v>Sim</v>
      </c>
      <c r="P8618" s="4">
        <f>IF(COUNTIFS(INDEX(tItens[Edital],1):tItens[[#This Row],[Edital]],tItens[[#This Row],[Edital]],INDEX(tItens[Produto],1):tItens[[#This Row],[Produto]],tItens[[#This Row],[Produto]])=1,1,0)</f>
        <v>1</v>
      </c>
    </row>
    <row r="8619" spans="1:16" x14ac:dyDescent="0.25">
      <c r="A8619" t="s">
        <v>2877</v>
      </c>
      <c r="B8619">
        <v>66</v>
      </c>
      <c r="C8619" t="s">
        <v>11031</v>
      </c>
      <c r="D8619" t="s">
        <v>494</v>
      </c>
      <c r="E8619" s="13">
        <v>100</v>
      </c>
      <c r="F8619" s="12">
        <v>111.45</v>
      </c>
      <c r="G8619" t="str">
        <f>IFERROR(INDEX(tEditais[Órgão],MATCH(tItens[[#This Row],[Edital]],tEditais[Edital],0)),"")</f>
        <v>MUNICIPIO DE MIGUELOPOLIS</v>
      </c>
      <c r="H8619" t="str">
        <f>IFERROR(INDEX(tEditais[UF],MATCH(tItens[[#This Row],[Edital]],tEditais[Edital],0)),"")</f>
        <v>SP</v>
      </c>
      <c r="I8619" s="11">
        <f>IFERROR(INDEX(tEditais[Encerramento],MATCH(tItens[[#This Row],[Edital]],tEditais[Edital],0)),"")</f>
        <v>46308.561805555553</v>
      </c>
      <c r="J8619" t="str">
        <f>IFERROR(INDEX(tProdutos[Classe],MATCH(tItens[[#This Row],[Produto]],tProdutos[Produto],0)),"produto não cadastrado")</f>
        <v>FILA REBASE</v>
      </c>
      <c r="K8619" s="12">
        <f>tItens[[#This Row],[Qtd]]*tItens[[#This Row],[Vlr unit]]</f>
        <v>11145</v>
      </c>
      <c r="L8619" s="6">
        <f>IFERROR(IF(INDEX(tProdutos[Desconto homologado],MATCH(tItens[[#This Row],[Produto]],tProdutos[Produto],0))="",DescontoPadrao,INDEX(tProdutos[Desconto homologado],MATCH(tItens[[#This Row],[Produto]],tProdutos[Produto],0))),DescontoPadrao)</f>
        <v>0.253736324829619</v>
      </c>
      <c r="M8619" s="12">
        <f>tItens[[#This Row],[Valor]]*(1-tItens[[#This Row],[Desconto]])</f>
        <v>8317.1086597738977</v>
      </c>
      <c r="N8619" t="str">
        <f>IFERROR(INDEX(tProdutos[Foco],MATCH(tItens[[#This Row],[Produto]],tProdutos[Produto],0)),"Não")</f>
        <v>Não</v>
      </c>
      <c r="O8619" t="str">
        <f>IFERROR(INDEX(tEditais[SRP],MATCH(tItens[[#This Row],[Edital]],tEditais[Edital],0)),"Não")</f>
        <v>Sim</v>
      </c>
      <c r="P8619" s="4">
        <f>IF(COUNTIFS(INDEX(tItens[Edital],1):tItens[[#This Row],[Edital]],tItens[[#This Row],[Edital]],INDEX(tItens[Produto],1):tItens[[#This Row],[Produto]],tItens[[#This Row],[Produto]])=1,1,0)</f>
        <v>0</v>
      </c>
    </row>
    <row r="8620" spans="1:16" x14ac:dyDescent="0.25">
      <c r="A8620" t="s">
        <v>2877</v>
      </c>
      <c r="B8620">
        <v>70</v>
      </c>
      <c r="C8620" t="s">
        <v>11032</v>
      </c>
      <c r="D8620" t="s">
        <v>323</v>
      </c>
      <c r="E8620" s="13">
        <v>500</v>
      </c>
      <c r="F8620" s="12">
        <v>17.399999999999999</v>
      </c>
      <c r="G8620" t="str">
        <f>IFERROR(INDEX(tEditais[Órgão],MATCH(tItens[[#This Row],[Edital]],tEditais[Edital],0)),"")</f>
        <v>MUNICIPIO DE MIGUELOPOLIS</v>
      </c>
      <c r="H8620" t="str">
        <f>IFERROR(INDEX(tEditais[UF],MATCH(tItens[[#This Row],[Edital]],tEditais[Edital],0)),"")</f>
        <v>SP</v>
      </c>
      <c r="I8620" s="11">
        <f>IFERROR(INDEX(tEditais[Encerramento],MATCH(tItens[[#This Row],[Edital]],tEditais[Edital],0)),"")</f>
        <v>46308.561805555553</v>
      </c>
      <c r="J8620" t="str">
        <f>IFERROR(INDEX(tProdutos[Classe],MATCH(tItens[[#This Row],[Produto]],tProdutos[Produto],0)),"produto não cadastrado")</f>
        <v>FORA</v>
      </c>
      <c r="K8620" s="12">
        <f>tItens[[#This Row],[Qtd]]*tItens[[#This Row],[Vlr unit]]</f>
        <v>8700</v>
      </c>
      <c r="L8620" s="6">
        <f>IFERROR(IF(INDEX(tProdutos[Desconto homologado],MATCH(tItens[[#This Row],[Produto]],tProdutos[Produto],0))="",DescontoPadrao,INDEX(tProdutos[Desconto homologado],MATCH(tItens[[#This Row],[Produto]],tProdutos[Produto],0))),DescontoPadrao)</f>
        <v>0.42242759676970199</v>
      </c>
      <c r="M8620" s="12">
        <f>tItens[[#This Row],[Valor]]*(1-tItens[[#This Row],[Desconto]])</f>
        <v>5024.8799081035932</v>
      </c>
      <c r="N8620" t="str">
        <f>IFERROR(INDEX(tProdutos[Foco],MATCH(tItens[[#This Row],[Produto]],tProdutos[Produto],0)),"Não")</f>
        <v>Não</v>
      </c>
      <c r="O8620" t="str">
        <f>IFERROR(INDEX(tEditais[SRP],MATCH(tItens[[#This Row],[Edital]],tEditais[Edital],0)),"Não")</f>
        <v>Sim</v>
      </c>
      <c r="P8620" s="4">
        <f>IF(COUNTIFS(INDEX(tItens[Edital],1):tItens[[#This Row],[Edital]],tItens[[#This Row],[Edital]],INDEX(tItens[Produto],1):tItens[[#This Row],[Produto]],tItens[[#This Row],[Produto]])=1,1,0)</f>
        <v>1</v>
      </c>
    </row>
    <row r="8621" spans="1:16" x14ac:dyDescent="0.25">
      <c r="A8621" t="s">
        <v>2877</v>
      </c>
      <c r="B8621">
        <v>71</v>
      </c>
      <c r="C8621" t="s">
        <v>11033</v>
      </c>
      <c r="D8621" t="s">
        <v>323</v>
      </c>
      <c r="E8621" s="13">
        <v>500</v>
      </c>
      <c r="F8621" s="12">
        <v>15.3</v>
      </c>
      <c r="G8621" t="str">
        <f>IFERROR(INDEX(tEditais[Órgão],MATCH(tItens[[#This Row],[Edital]],tEditais[Edital],0)),"")</f>
        <v>MUNICIPIO DE MIGUELOPOLIS</v>
      </c>
      <c r="H8621" t="str">
        <f>IFERROR(INDEX(tEditais[UF],MATCH(tItens[[#This Row],[Edital]],tEditais[Edital],0)),"")</f>
        <v>SP</v>
      </c>
      <c r="I8621" s="11">
        <f>IFERROR(INDEX(tEditais[Encerramento],MATCH(tItens[[#This Row],[Edital]],tEditais[Edital],0)),"")</f>
        <v>46308.561805555553</v>
      </c>
      <c r="J8621" t="str">
        <f>IFERROR(INDEX(tProdutos[Classe],MATCH(tItens[[#This Row],[Produto]],tProdutos[Produto],0)),"produto não cadastrado")</f>
        <v>FORA</v>
      </c>
      <c r="K8621" s="12">
        <f>tItens[[#This Row],[Qtd]]*tItens[[#This Row],[Vlr unit]]</f>
        <v>7650</v>
      </c>
      <c r="L8621" s="6">
        <f>IFERROR(IF(INDEX(tProdutos[Desconto homologado],MATCH(tItens[[#This Row],[Produto]],tProdutos[Produto],0))="",DescontoPadrao,INDEX(tProdutos[Desconto homologado],MATCH(tItens[[#This Row],[Produto]],tProdutos[Produto],0))),DescontoPadrao)</f>
        <v>0.42242759676970199</v>
      </c>
      <c r="M8621" s="12">
        <f>tItens[[#This Row],[Valor]]*(1-tItens[[#This Row],[Desconto]])</f>
        <v>4418.4288847117796</v>
      </c>
      <c r="N8621" t="str">
        <f>IFERROR(INDEX(tProdutos[Foco],MATCH(tItens[[#This Row],[Produto]],tProdutos[Produto],0)),"Não")</f>
        <v>Não</v>
      </c>
      <c r="O8621" t="str">
        <f>IFERROR(INDEX(tEditais[SRP],MATCH(tItens[[#This Row],[Edital]],tEditais[Edital],0)),"Não")</f>
        <v>Sim</v>
      </c>
      <c r="P8621" s="4">
        <f>IF(COUNTIFS(INDEX(tItens[Edital],1):tItens[[#This Row],[Edital]],tItens[[#This Row],[Edital]],INDEX(tItens[Produto],1):tItens[[#This Row],[Produto]],tItens[[#This Row],[Produto]])=1,1,0)</f>
        <v>0</v>
      </c>
    </row>
    <row r="8622" spans="1:16" x14ac:dyDescent="0.25">
      <c r="A8622" t="s">
        <v>2877</v>
      </c>
      <c r="B8622">
        <v>73</v>
      </c>
      <c r="C8622" t="s">
        <v>11034</v>
      </c>
      <c r="D8622" t="s">
        <v>281</v>
      </c>
      <c r="E8622" s="13">
        <v>100</v>
      </c>
      <c r="F8622" s="12">
        <v>74.38</v>
      </c>
      <c r="G8622" t="str">
        <f>IFERROR(INDEX(tEditais[Órgão],MATCH(tItens[[#This Row],[Edital]],tEditais[Edital],0)),"")</f>
        <v>MUNICIPIO DE MIGUELOPOLIS</v>
      </c>
      <c r="H8622" t="str">
        <f>IFERROR(INDEX(tEditais[UF],MATCH(tItens[[#This Row],[Edital]],tEditais[Edital],0)),"")</f>
        <v>SP</v>
      </c>
      <c r="I8622" s="11">
        <f>IFERROR(INDEX(tEditais[Encerramento],MATCH(tItens[[#This Row],[Edital]],tEditais[Edital],0)),"")</f>
        <v>46308.561805555553</v>
      </c>
      <c r="J8622" t="str">
        <f>IFERROR(INDEX(tProdutos[Classe],MATCH(tItens[[#This Row],[Produto]],tProdutos[Produto],0)),"produto não cadastrado")</f>
        <v>DISPUTADO</v>
      </c>
      <c r="K8622" s="12">
        <f>tItens[[#This Row],[Qtd]]*tItens[[#This Row],[Vlr unit]]</f>
        <v>7438</v>
      </c>
      <c r="L8622" s="6">
        <f>IFERROR(IF(INDEX(tProdutos[Desconto homologado],MATCH(tItens[[#This Row],[Produto]],tProdutos[Produto],0))="",DescontoPadrao,INDEX(tProdutos[Desconto homologado],MATCH(tItens[[#This Row],[Produto]],tProdutos[Produto],0))),DescontoPadrao)</f>
        <v>0.42461538461538501</v>
      </c>
      <c r="M8622" s="12">
        <f>tItens[[#This Row],[Valor]]*(1-tItens[[#This Row],[Desconto]])</f>
        <v>4279.7107692307663</v>
      </c>
      <c r="N8622" t="str">
        <f>IFERROR(INDEX(tProdutos[Foco],MATCH(tItens[[#This Row],[Produto]],tProdutos[Produto],0)),"Não")</f>
        <v>Não</v>
      </c>
      <c r="O8622" t="str">
        <f>IFERROR(INDEX(tEditais[SRP],MATCH(tItens[[#This Row],[Edital]],tEditais[Edital],0)),"Não")</f>
        <v>Sim</v>
      </c>
      <c r="P8622" s="4">
        <f>IF(COUNTIFS(INDEX(tItens[Edital],1):tItens[[#This Row],[Edital]],tItens[[#This Row],[Edital]],INDEX(tItens[Produto],1):tItens[[#This Row],[Produto]],tItens[[#This Row],[Produto]])=1,1,0)</f>
        <v>1</v>
      </c>
    </row>
    <row r="8623" spans="1:16" x14ac:dyDescent="0.25">
      <c r="A8623" t="s">
        <v>2877</v>
      </c>
      <c r="B8623">
        <v>74</v>
      </c>
      <c r="C8623" t="s">
        <v>11035</v>
      </c>
      <c r="D8623" t="s">
        <v>289</v>
      </c>
      <c r="E8623" s="13">
        <v>100</v>
      </c>
      <c r="F8623" s="12">
        <v>31.91</v>
      </c>
      <c r="G8623" t="str">
        <f>IFERROR(INDEX(tEditais[Órgão],MATCH(tItens[[#This Row],[Edital]],tEditais[Edital],0)),"")</f>
        <v>MUNICIPIO DE MIGUELOPOLIS</v>
      </c>
      <c r="H8623" t="str">
        <f>IFERROR(INDEX(tEditais[UF],MATCH(tItens[[#This Row],[Edital]],tEditais[Edital],0)),"")</f>
        <v>SP</v>
      </c>
      <c r="I8623" s="11">
        <f>IFERROR(INDEX(tEditais[Encerramento],MATCH(tItens[[#This Row],[Edital]],tEditais[Edital],0)),"")</f>
        <v>46308.561805555553</v>
      </c>
      <c r="J8623" t="str">
        <f>IFERROR(INDEX(tProdutos[Classe],MATCH(tItens[[#This Row],[Produto]],tProdutos[Produto],0)),"produto não cadastrado")</f>
        <v>DISPUTADO</v>
      </c>
      <c r="K8623" s="12">
        <f>tItens[[#This Row],[Qtd]]*tItens[[#This Row],[Vlr unit]]</f>
        <v>3191</v>
      </c>
      <c r="L8623" s="6">
        <f>IFERROR(IF(INDEX(tProdutos[Desconto homologado],MATCH(tItens[[#This Row],[Produto]],tProdutos[Produto],0))="",DescontoPadrao,INDEX(tProdutos[Desconto homologado],MATCH(tItens[[#This Row],[Produto]],tProdutos[Produto],0))),DescontoPadrao)</f>
        <v>0.35849056603773599</v>
      </c>
      <c r="M8623" s="12">
        <f>tItens[[#This Row],[Valor]]*(1-tItens[[#This Row],[Desconto]])</f>
        <v>2047.0566037735844</v>
      </c>
      <c r="N8623" t="str">
        <f>IFERROR(INDEX(tProdutos[Foco],MATCH(tItens[[#This Row],[Produto]],tProdutos[Produto],0)),"Não")</f>
        <v>Não</v>
      </c>
      <c r="O8623" t="str">
        <f>IFERROR(INDEX(tEditais[SRP],MATCH(tItens[[#This Row],[Edital]],tEditais[Edital],0)),"Não")</f>
        <v>Sim</v>
      </c>
      <c r="P8623" s="4">
        <f>IF(COUNTIFS(INDEX(tItens[Edital],1):tItens[[#This Row],[Edital]],tItens[[#This Row],[Edital]],INDEX(tItens[Produto],1):tItens[[#This Row],[Produto]],tItens[[#This Row],[Produto]])=1,1,0)</f>
        <v>1</v>
      </c>
    </row>
    <row r="8624" spans="1:16" x14ac:dyDescent="0.25">
      <c r="A8624" t="s">
        <v>2877</v>
      </c>
      <c r="B8624">
        <v>76</v>
      </c>
      <c r="C8624" t="s">
        <v>11036</v>
      </c>
      <c r="D8624" t="s">
        <v>265</v>
      </c>
      <c r="E8624" s="13">
        <v>400</v>
      </c>
      <c r="F8624" s="12">
        <v>15.08</v>
      </c>
      <c r="G8624" t="str">
        <f>IFERROR(INDEX(tEditais[Órgão],MATCH(tItens[[#This Row],[Edital]],tEditais[Edital],0)),"")</f>
        <v>MUNICIPIO DE MIGUELOPOLIS</v>
      </c>
      <c r="H8624" t="str">
        <f>IFERROR(INDEX(tEditais[UF],MATCH(tItens[[#This Row],[Edital]],tEditais[Edital],0)),"")</f>
        <v>SP</v>
      </c>
      <c r="I8624" s="11">
        <f>IFERROR(INDEX(tEditais[Encerramento],MATCH(tItens[[#This Row],[Edital]],tEditais[Edital],0)),"")</f>
        <v>46308.561805555553</v>
      </c>
      <c r="J8624" t="str">
        <f>IFERROR(INDEX(tProdutos[Classe],MATCH(tItens[[#This Row],[Produto]],tProdutos[Produto],0)),"produto não cadastrado")</f>
        <v>DISPUTADO</v>
      </c>
      <c r="K8624" s="12">
        <f>tItens[[#This Row],[Qtd]]*tItens[[#This Row],[Vlr unit]]</f>
        <v>6032</v>
      </c>
      <c r="L8624" s="6">
        <f>IFERROR(IF(INDEX(tProdutos[Desconto homologado],MATCH(tItens[[#This Row],[Produto]],tProdutos[Produto],0))="",DescontoPadrao,INDEX(tProdutos[Desconto homologado],MATCH(tItens[[#This Row],[Produto]],tProdutos[Produto],0))),DescontoPadrao)</f>
        <v>0.377587663709337</v>
      </c>
      <c r="M8624" s="12">
        <f>tItens[[#This Row],[Valor]]*(1-tItens[[#This Row],[Desconto]])</f>
        <v>3754.3912125052798</v>
      </c>
      <c r="N8624" t="str">
        <f>IFERROR(INDEX(tProdutos[Foco],MATCH(tItens[[#This Row],[Produto]],tProdutos[Produto],0)),"Não")</f>
        <v>Não</v>
      </c>
      <c r="O8624" t="str">
        <f>IFERROR(INDEX(tEditais[SRP],MATCH(tItens[[#This Row],[Edital]],tEditais[Edital],0)),"Não")</f>
        <v>Sim</v>
      </c>
      <c r="P8624" s="4">
        <f>IF(COUNTIFS(INDEX(tItens[Edital],1):tItens[[#This Row],[Edital]],tItens[[#This Row],[Edital]],INDEX(tItens[Produto],1):tItens[[#This Row],[Produto]],tItens[[#This Row],[Produto]])=1,1,0)</f>
        <v>1</v>
      </c>
    </row>
    <row r="8625" spans="1:16" x14ac:dyDescent="0.25">
      <c r="A8625" t="s">
        <v>2877</v>
      </c>
      <c r="B8625">
        <v>77</v>
      </c>
      <c r="C8625" t="s">
        <v>11037</v>
      </c>
      <c r="D8625" t="s">
        <v>317</v>
      </c>
      <c r="E8625" s="13">
        <v>2000</v>
      </c>
      <c r="F8625" s="12">
        <v>0.42</v>
      </c>
      <c r="G8625" t="str">
        <f>IFERROR(INDEX(tEditais[Órgão],MATCH(tItens[[#This Row],[Edital]],tEditais[Edital],0)),"")</f>
        <v>MUNICIPIO DE MIGUELOPOLIS</v>
      </c>
      <c r="H8625" t="str">
        <f>IFERROR(INDEX(tEditais[UF],MATCH(tItens[[#This Row],[Edital]],tEditais[Edital],0)),"")</f>
        <v>SP</v>
      </c>
      <c r="I8625" s="11">
        <f>IFERROR(INDEX(tEditais[Encerramento],MATCH(tItens[[#This Row],[Edital]],tEditais[Edital],0)),"")</f>
        <v>46308.561805555553</v>
      </c>
      <c r="J8625" t="str">
        <f>IFERROR(INDEX(tProdutos[Classe],MATCH(tItens[[#This Row],[Produto]],tProdutos[Produto],0)),"produto não cadastrado")</f>
        <v>FORA</v>
      </c>
      <c r="K8625" s="12">
        <f>tItens[[#This Row],[Qtd]]*tItens[[#This Row],[Vlr unit]]</f>
        <v>840</v>
      </c>
      <c r="L8625" s="6">
        <f>IFERROR(IF(INDEX(tProdutos[Desconto homologado],MATCH(tItens[[#This Row],[Produto]],tProdutos[Produto],0))="",DescontoPadrao,INDEX(tProdutos[Desconto homologado],MATCH(tItens[[#This Row],[Produto]],tProdutos[Produto],0))),DescontoPadrao)</f>
        <v>0.5</v>
      </c>
      <c r="M8625" s="12">
        <f>tItens[[#This Row],[Valor]]*(1-tItens[[#This Row],[Desconto]])</f>
        <v>420</v>
      </c>
      <c r="N8625" t="str">
        <f>IFERROR(INDEX(tProdutos[Foco],MATCH(tItens[[#This Row],[Produto]],tProdutos[Produto],0)),"Não")</f>
        <v>Não</v>
      </c>
      <c r="O8625" t="str">
        <f>IFERROR(INDEX(tEditais[SRP],MATCH(tItens[[#This Row],[Edital]],tEditais[Edital],0)),"Não")</f>
        <v>Sim</v>
      </c>
      <c r="P8625" s="4">
        <f>IF(COUNTIFS(INDEX(tItens[Edital],1):tItens[[#This Row],[Edital]],tItens[[#This Row],[Edital]],INDEX(tItens[Produto],1):tItens[[#This Row],[Produto]],tItens[[#This Row],[Produto]])=1,1,0)</f>
        <v>1</v>
      </c>
    </row>
    <row r="8626" spans="1:16" x14ac:dyDescent="0.25">
      <c r="A8626" t="s">
        <v>2877</v>
      </c>
      <c r="B8626">
        <v>85</v>
      </c>
      <c r="C8626" t="s">
        <v>11038</v>
      </c>
      <c r="D8626" t="s">
        <v>197</v>
      </c>
      <c r="E8626" s="13">
        <v>50</v>
      </c>
      <c r="F8626" s="12">
        <v>74.97</v>
      </c>
      <c r="G8626" t="str">
        <f>IFERROR(INDEX(tEditais[Órgão],MATCH(tItens[[#This Row],[Edital]],tEditais[Edital],0)),"")</f>
        <v>MUNICIPIO DE MIGUELOPOLIS</v>
      </c>
      <c r="H8626" t="str">
        <f>IFERROR(INDEX(tEditais[UF],MATCH(tItens[[#This Row],[Edital]],tEditais[Edital],0)),"")</f>
        <v>SP</v>
      </c>
      <c r="I8626" s="11">
        <f>IFERROR(INDEX(tEditais[Encerramento],MATCH(tItens[[#This Row],[Edital]],tEditais[Edital],0)),"")</f>
        <v>46308.561805555553</v>
      </c>
      <c r="J8626" t="str">
        <f>IFERROR(INDEX(tProdutos[Classe],MATCH(tItens[[#This Row],[Produto]],tProdutos[Produto],0)),"produto não cadastrado")</f>
        <v>FORA</v>
      </c>
      <c r="K8626" s="12">
        <f>tItens[[#This Row],[Qtd]]*tItens[[#This Row],[Vlr unit]]</f>
        <v>3748.5</v>
      </c>
      <c r="L8626" s="6">
        <f>IFERROR(IF(INDEX(tProdutos[Desconto homologado],MATCH(tItens[[#This Row],[Produto]],tProdutos[Produto],0))="",DescontoPadrao,INDEX(tProdutos[Desconto homologado],MATCH(tItens[[#This Row],[Produto]],tProdutos[Produto],0))),DescontoPadrao)</f>
        <v>0.26394818195200997</v>
      </c>
      <c r="M8626" s="12">
        <f>tItens[[#This Row],[Valor]]*(1-tItens[[#This Row],[Desconto]])</f>
        <v>2759.0902399528904</v>
      </c>
      <c r="N8626" t="str">
        <f>IFERROR(INDEX(tProdutos[Foco],MATCH(tItens[[#This Row],[Produto]],tProdutos[Produto],0)),"Não")</f>
        <v>Não</v>
      </c>
      <c r="O8626" t="str">
        <f>IFERROR(INDEX(tEditais[SRP],MATCH(tItens[[#This Row],[Edital]],tEditais[Edital],0)),"Não")</f>
        <v>Sim</v>
      </c>
      <c r="P8626" s="4">
        <f>IF(COUNTIFS(INDEX(tItens[Edital],1):tItens[[#This Row],[Edital]],tItens[[#This Row],[Edital]],INDEX(tItens[Produto],1):tItens[[#This Row],[Produto]],tItens[[#This Row],[Produto]])=1,1,0)</f>
        <v>1</v>
      </c>
    </row>
    <row r="8627" spans="1:16" x14ac:dyDescent="0.25">
      <c r="A8627" t="s">
        <v>2882</v>
      </c>
      <c r="B8627">
        <v>8</v>
      </c>
      <c r="C8627" t="s">
        <v>11039</v>
      </c>
      <c r="D8627" t="s">
        <v>295</v>
      </c>
      <c r="E8627" s="13">
        <v>20</v>
      </c>
      <c r="F8627" s="12">
        <v>47.22</v>
      </c>
      <c r="G8627" t="str">
        <f>IFERROR(INDEX(tEditais[Órgão],MATCH(tItens[[#This Row],[Edital]],tEditais[Edital],0)),"")</f>
        <v>MUNICIPIO DE SARUTAIA</v>
      </c>
      <c r="H8627" t="str">
        <f>IFERROR(INDEX(tEditais[UF],MATCH(tItens[[#This Row],[Edital]],tEditais[Edital],0)),"")</f>
        <v>SP</v>
      </c>
      <c r="I8627" s="11">
        <f>IFERROR(INDEX(tEditais[Encerramento],MATCH(tItens[[#This Row],[Edital]],tEditais[Edital],0)),"")</f>
        <v>46309.291666666664</v>
      </c>
      <c r="J8627" t="str">
        <f>IFERROR(INDEX(tProdutos[Classe],MATCH(tItens[[#This Row],[Produto]],tProdutos[Produto],0)),"produto não cadastrado")</f>
        <v>FORA</v>
      </c>
      <c r="K8627" s="12">
        <f>tItens[[#This Row],[Qtd]]*tItens[[#This Row],[Vlr unit]]</f>
        <v>944.4</v>
      </c>
      <c r="L8627" s="6">
        <f>IFERROR(IF(INDEX(tProdutos[Desconto homologado],MATCH(tItens[[#This Row],[Produto]],tProdutos[Produto],0))="",DescontoPadrao,INDEX(tProdutos[Desconto homologado],MATCH(tItens[[#This Row],[Produto]],tProdutos[Produto],0))),DescontoPadrao)</f>
        <v>0.219311377245509</v>
      </c>
      <c r="M8627" s="12">
        <f>tItens[[#This Row],[Valor]]*(1-tItens[[#This Row],[Desconto]])</f>
        <v>737.28233532934132</v>
      </c>
      <c r="N8627" t="str">
        <f>IFERROR(INDEX(tProdutos[Foco],MATCH(tItens[[#This Row],[Produto]],tProdutos[Produto],0)),"Não")</f>
        <v>Não</v>
      </c>
      <c r="O8627" t="str">
        <f>IFERROR(INDEX(tEditais[SRP],MATCH(tItens[[#This Row],[Edital]],tEditais[Edital],0)),"Não")</f>
        <v>Sim</v>
      </c>
      <c r="P8627" s="4">
        <f>IF(COUNTIFS(INDEX(tItens[Edital],1):tItens[[#This Row],[Edital]],tItens[[#This Row],[Edital]],INDEX(tItens[Produto],1):tItens[[#This Row],[Produto]],tItens[[#This Row],[Produto]])=1,1,0)</f>
        <v>1</v>
      </c>
    </row>
    <row r="8628" spans="1:16" x14ac:dyDescent="0.25">
      <c r="A8628" t="s">
        <v>2882</v>
      </c>
      <c r="B8628">
        <v>20</v>
      </c>
      <c r="C8628" t="s">
        <v>11040</v>
      </c>
      <c r="D8628" t="s">
        <v>494</v>
      </c>
      <c r="E8628" s="13">
        <v>10</v>
      </c>
      <c r="F8628" s="12">
        <v>150.41</v>
      </c>
      <c r="G8628" t="str">
        <f>IFERROR(INDEX(tEditais[Órgão],MATCH(tItens[[#This Row],[Edital]],tEditais[Edital],0)),"")</f>
        <v>MUNICIPIO DE SARUTAIA</v>
      </c>
      <c r="H8628" t="str">
        <f>IFERROR(INDEX(tEditais[UF],MATCH(tItens[[#This Row],[Edital]],tEditais[Edital],0)),"")</f>
        <v>SP</v>
      </c>
      <c r="I8628" s="11">
        <f>IFERROR(INDEX(tEditais[Encerramento],MATCH(tItens[[#This Row],[Edital]],tEditais[Edital],0)),"")</f>
        <v>46309.291666666664</v>
      </c>
      <c r="J8628" t="str">
        <f>IFERROR(INDEX(tProdutos[Classe],MATCH(tItens[[#This Row],[Produto]],tProdutos[Produto],0)),"produto não cadastrado")</f>
        <v>FILA REBASE</v>
      </c>
      <c r="K8628" s="12">
        <f>tItens[[#This Row],[Qtd]]*tItens[[#This Row],[Vlr unit]]</f>
        <v>1504.1</v>
      </c>
      <c r="L8628" s="6">
        <f>IFERROR(IF(INDEX(tProdutos[Desconto homologado],MATCH(tItens[[#This Row],[Produto]],tProdutos[Produto],0))="",DescontoPadrao,INDEX(tProdutos[Desconto homologado],MATCH(tItens[[#This Row],[Produto]],tProdutos[Produto],0))),DescontoPadrao)</f>
        <v>0.253736324829619</v>
      </c>
      <c r="M8628" s="12">
        <f>tItens[[#This Row],[Valor]]*(1-tItens[[#This Row],[Desconto]])</f>
        <v>1122.4551938237701</v>
      </c>
      <c r="N8628" t="str">
        <f>IFERROR(INDEX(tProdutos[Foco],MATCH(tItens[[#This Row],[Produto]],tProdutos[Produto],0)),"Não")</f>
        <v>Não</v>
      </c>
      <c r="O8628" t="str">
        <f>IFERROR(INDEX(tEditais[SRP],MATCH(tItens[[#This Row],[Edital]],tEditais[Edital],0)),"Não")</f>
        <v>Sim</v>
      </c>
      <c r="P8628" s="4">
        <f>IF(COUNTIFS(INDEX(tItens[Edital],1):tItens[[#This Row],[Edital]],tItens[[#This Row],[Edital]],INDEX(tItens[Produto],1):tItens[[#This Row],[Produto]],tItens[[#This Row],[Produto]])=1,1,0)</f>
        <v>1</v>
      </c>
    </row>
    <row r="8629" spans="1:16" x14ac:dyDescent="0.25">
      <c r="A8629" t="s">
        <v>2882</v>
      </c>
      <c r="B8629">
        <v>21</v>
      </c>
      <c r="C8629" t="s">
        <v>11041</v>
      </c>
      <c r="D8629" t="s">
        <v>409</v>
      </c>
      <c r="E8629" s="13">
        <v>100</v>
      </c>
      <c r="F8629" s="12">
        <v>6.05</v>
      </c>
      <c r="G8629" t="str">
        <f>IFERROR(INDEX(tEditais[Órgão],MATCH(tItens[[#This Row],[Edital]],tEditais[Edital],0)),"")</f>
        <v>MUNICIPIO DE SARUTAIA</v>
      </c>
      <c r="H8629" t="str">
        <f>IFERROR(INDEX(tEditais[UF],MATCH(tItens[[#This Row],[Edital]],tEditais[Edital],0)),"")</f>
        <v>SP</v>
      </c>
      <c r="I8629" s="11">
        <f>IFERROR(INDEX(tEditais[Encerramento],MATCH(tItens[[#This Row],[Edital]],tEditais[Edital],0)),"")</f>
        <v>46309.291666666664</v>
      </c>
      <c r="J8629" t="str">
        <f>IFERROR(INDEX(tProdutos[Classe],MATCH(tItens[[#This Row],[Produto]],tProdutos[Produto],0)),"produto não cadastrado")</f>
        <v>FORA</v>
      </c>
      <c r="K8629" s="12">
        <f>tItens[[#This Row],[Qtd]]*tItens[[#This Row],[Vlr unit]]</f>
        <v>605</v>
      </c>
      <c r="L8629" s="6">
        <f>IFERROR(IF(INDEX(tProdutos[Desconto homologado],MATCH(tItens[[#This Row],[Produto]],tProdutos[Produto],0))="",DescontoPadrao,INDEX(tProdutos[Desconto homologado],MATCH(tItens[[#This Row],[Produto]],tProdutos[Produto],0))),DescontoPadrao)</f>
        <v>0.24924924924924899</v>
      </c>
      <c r="M8629" s="12">
        <f>tItens[[#This Row],[Valor]]*(1-tItens[[#This Row],[Desconto]])</f>
        <v>454.20420420420436</v>
      </c>
      <c r="N8629" t="str">
        <f>IFERROR(INDEX(tProdutos[Foco],MATCH(tItens[[#This Row],[Produto]],tProdutos[Produto],0)),"Não")</f>
        <v>Não</v>
      </c>
      <c r="O8629" t="str">
        <f>IFERROR(INDEX(tEditais[SRP],MATCH(tItens[[#This Row],[Edital]],tEditais[Edital],0)),"Não")</f>
        <v>Sim</v>
      </c>
      <c r="P8629" s="4">
        <f>IF(COUNTIFS(INDEX(tItens[Edital],1):tItens[[#This Row],[Edital]],tItens[[#This Row],[Edital]],INDEX(tItens[Produto],1):tItens[[#This Row],[Produto]],tItens[[#This Row],[Produto]])=1,1,0)</f>
        <v>1</v>
      </c>
    </row>
    <row r="8630" spans="1:16" x14ac:dyDescent="0.25">
      <c r="A8630" t="s">
        <v>2882</v>
      </c>
      <c r="B8630">
        <v>22</v>
      </c>
      <c r="C8630" t="s">
        <v>11042</v>
      </c>
      <c r="D8630" t="s">
        <v>160</v>
      </c>
      <c r="E8630" s="13">
        <v>300</v>
      </c>
      <c r="F8630" s="12">
        <v>5.4</v>
      </c>
      <c r="G8630" t="str">
        <f>IFERROR(INDEX(tEditais[Órgão],MATCH(tItens[[#This Row],[Edital]],tEditais[Edital],0)),"")</f>
        <v>MUNICIPIO DE SARUTAIA</v>
      </c>
      <c r="H8630" t="str">
        <f>IFERROR(INDEX(tEditais[UF],MATCH(tItens[[#This Row],[Edital]],tEditais[Edital],0)),"")</f>
        <v>SP</v>
      </c>
      <c r="I8630" s="11">
        <f>IFERROR(INDEX(tEditais[Encerramento],MATCH(tItens[[#This Row],[Edital]],tEditais[Edital],0)),"")</f>
        <v>46309.291666666664</v>
      </c>
      <c r="J8630" t="str">
        <f>IFERROR(INDEX(tProdutos[Classe],MATCH(tItens[[#This Row],[Produto]],tProdutos[Produto],0)),"produto não cadastrado")</f>
        <v>DISPUTADO</v>
      </c>
      <c r="K8630" s="12">
        <f>tItens[[#This Row],[Qtd]]*tItens[[#This Row],[Vlr unit]]</f>
        <v>1620</v>
      </c>
      <c r="L8630" s="6">
        <f>IFERROR(IF(INDEX(tProdutos[Desconto homologado],MATCH(tItens[[#This Row],[Produto]],tProdutos[Produto],0))="",DescontoPadrao,INDEX(tProdutos[Desconto homologado],MATCH(tItens[[#This Row],[Produto]],tProdutos[Produto],0))),DescontoPadrao)</f>
        <v>0.28000000000000003</v>
      </c>
      <c r="M8630" s="12">
        <f>tItens[[#This Row],[Valor]]*(1-tItens[[#This Row],[Desconto]])</f>
        <v>1166.3999999999999</v>
      </c>
      <c r="N8630" t="str">
        <f>IFERROR(INDEX(tProdutos[Foco],MATCH(tItens[[#This Row],[Produto]],tProdutos[Produto],0)),"Não")</f>
        <v>Sim</v>
      </c>
      <c r="O8630" t="str">
        <f>IFERROR(INDEX(tEditais[SRP],MATCH(tItens[[#This Row],[Edital]],tEditais[Edital],0)),"Não")</f>
        <v>Sim</v>
      </c>
      <c r="P8630" s="4">
        <f>IF(COUNTIFS(INDEX(tItens[Edital],1):tItens[[#This Row],[Edital]],tItens[[#This Row],[Edital]],INDEX(tItens[Produto],1):tItens[[#This Row],[Produto]],tItens[[#This Row],[Produto]])=1,1,0)</f>
        <v>1</v>
      </c>
    </row>
    <row r="8631" spans="1:16" x14ac:dyDescent="0.25">
      <c r="A8631" t="s">
        <v>2882</v>
      </c>
      <c r="B8631">
        <v>23</v>
      </c>
      <c r="C8631" t="s">
        <v>11043</v>
      </c>
      <c r="D8631" t="s">
        <v>73</v>
      </c>
      <c r="E8631" s="13">
        <v>300</v>
      </c>
      <c r="F8631" s="12">
        <v>2.0499999999999998</v>
      </c>
      <c r="G8631" t="str">
        <f>IFERROR(INDEX(tEditais[Órgão],MATCH(tItens[[#This Row],[Edital]],tEditais[Edital],0)),"")</f>
        <v>MUNICIPIO DE SARUTAIA</v>
      </c>
      <c r="H8631" t="str">
        <f>IFERROR(INDEX(tEditais[UF],MATCH(tItens[[#This Row],[Edital]],tEditais[Edital],0)),"")</f>
        <v>SP</v>
      </c>
      <c r="I8631" s="11">
        <f>IFERROR(INDEX(tEditais[Encerramento],MATCH(tItens[[#This Row],[Edital]],tEditais[Edital],0)),"")</f>
        <v>46309.291666666664</v>
      </c>
      <c r="J8631" t="str">
        <f>IFERROR(INDEX(tProdutos[Classe],MATCH(tItens[[#This Row],[Produto]],tProdutos[Produto],0)),"produto não cadastrado")</f>
        <v>NÚCLEO</v>
      </c>
      <c r="K8631" s="12">
        <f>tItens[[#This Row],[Qtd]]*tItens[[#This Row],[Vlr unit]]</f>
        <v>615</v>
      </c>
      <c r="L8631" s="6">
        <f>IFERROR(IF(INDEX(tProdutos[Desconto homologado],MATCH(tItens[[#This Row],[Produto]],tProdutos[Produto],0))="",DescontoPadrao,INDEX(tProdutos[Desconto homologado],MATCH(tItens[[#This Row],[Produto]],tProdutos[Produto],0))),DescontoPadrao)</f>
        <v>0.37</v>
      </c>
      <c r="M8631" s="12">
        <f>tItens[[#This Row],[Valor]]*(1-tItens[[#This Row],[Desconto]])</f>
        <v>387.45</v>
      </c>
      <c r="N8631" t="str">
        <f>IFERROR(INDEX(tProdutos[Foco],MATCH(tItens[[#This Row],[Produto]],tProdutos[Produto],0)),"Não")</f>
        <v>Sim</v>
      </c>
      <c r="O8631" t="str">
        <f>IFERROR(INDEX(tEditais[SRP],MATCH(tItens[[#This Row],[Edital]],tEditais[Edital],0)),"Não")</f>
        <v>Sim</v>
      </c>
      <c r="P8631" s="4">
        <f>IF(COUNTIFS(INDEX(tItens[Edital],1):tItens[[#This Row],[Edital]],tItens[[#This Row],[Edital]],INDEX(tItens[Produto],1):tItens[[#This Row],[Produto]],tItens[[#This Row],[Produto]])=1,1,0)</f>
        <v>1</v>
      </c>
    </row>
    <row r="8632" spans="1:16" x14ac:dyDescent="0.25">
      <c r="A8632" t="s">
        <v>2882</v>
      </c>
      <c r="B8632">
        <v>32</v>
      </c>
      <c r="C8632" t="s">
        <v>11044</v>
      </c>
      <c r="D8632" t="s">
        <v>279</v>
      </c>
      <c r="E8632" s="13">
        <v>300</v>
      </c>
      <c r="F8632" s="12">
        <v>6.23</v>
      </c>
      <c r="G8632" t="str">
        <f>IFERROR(INDEX(tEditais[Órgão],MATCH(tItens[[#This Row],[Edital]],tEditais[Edital],0)),"")</f>
        <v>MUNICIPIO DE SARUTAIA</v>
      </c>
      <c r="H8632" t="str">
        <f>IFERROR(INDEX(tEditais[UF],MATCH(tItens[[#This Row],[Edital]],tEditais[Edital],0)),"")</f>
        <v>SP</v>
      </c>
      <c r="I8632" s="11">
        <f>IFERROR(INDEX(tEditais[Encerramento],MATCH(tItens[[#This Row],[Edital]],tEditais[Edital],0)),"")</f>
        <v>46309.291666666664</v>
      </c>
      <c r="J8632" t="str">
        <f>IFERROR(INDEX(tProdutos[Classe],MATCH(tItens[[#This Row],[Produto]],tProdutos[Produto],0)),"produto não cadastrado")</f>
        <v>FORA</v>
      </c>
      <c r="K8632" s="12">
        <f>tItens[[#This Row],[Qtd]]*tItens[[#This Row],[Vlr unit]]</f>
        <v>1869.0000000000002</v>
      </c>
      <c r="L8632" s="6">
        <f>IFERROR(IF(INDEX(tProdutos[Desconto homologado],MATCH(tItens[[#This Row],[Produto]],tProdutos[Produto],0))="",DescontoPadrao,INDEX(tProdutos[Desconto homologado],MATCH(tItens[[#This Row],[Produto]],tProdutos[Produto],0))),DescontoPadrao)</f>
        <v>0.28909090909090901</v>
      </c>
      <c r="M8632" s="12">
        <f>tItens[[#This Row],[Valor]]*(1-tItens[[#This Row],[Desconto]])</f>
        <v>1328.6890909090912</v>
      </c>
      <c r="N8632" t="str">
        <f>IFERROR(INDEX(tProdutos[Foco],MATCH(tItens[[#This Row],[Produto]],tProdutos[Produto],0)),"Não")</f>
        <v>Não</v>
      </c>
      <c r="O8632" t="str">
        <f>IFERROR(INDEX(tEditais[SRP],MATCH(tItens[[#This Row],[Edital]],tEditais[Edital],0)),"Não")</f>
        <v>Sim</v>
      </c>
      <c r="P8632" s="4">
        <f>IF(COUNTIFS(INDEX(tItens[Edital],1):tItens[[#This Row],[Edital]],tItens[[#This Row],[Edital]],INDEX(tItens[Produto],1):tItens[[#This Row],[Produto]],tItens[[#This Row],[Produto]])=1,1,0)</f>
        <v>1</v>
      </c>
    </row>
    <row r="8633" spans="1:16" x14ac:dyDescent="0.25">
      <c r="A8633" t="s">
        <v>2882</v>
      </c>
      <c r="B8633">
        <v>33</v>
      </c>
      <c r="C8633" t="s">
        <v>11045</v>
      </c>
      <c r="D8633" t="s">
        <v>311</v>
      </c>
      <c r="E8633" s="13">
        <v>600</v>
      </c>
      <c r="F8633" s="12">
        <v>5.88</v>
      </c>
      <c r="G8633" t="str">
        <f>IFERROR(INDEX(tEditais[Órgão],MATCH(tItens[[#This Row],[Edital]],tEditais[Edital],0)),"")</f>
        <v>MUNICIPIO DE SARUTAIA</v>
      </c>
      <c r="H8633" t="str">
        <f>IFERROR(INDEX(tEditais[UF],MATCH(tItens[[#This Row],[Edital]],tEditais[Edital],0)),"")</f>
        <v>SP</v>
      </c>
      <c r="I8633" s="11">
        <f>IFERROR(INDEX(tEditais[Encerramento],MATCH(tItens[[#This Row],[Edital]],tEditais[Edital],0)),"")</f>
        <v>46309.291666666664</v>
      </c>
      <c r="J8633" t="str">
        <f>IFERROR(INDEX(tProdutos[Classe],MATCH(tItens[[#This Row],[Produto]],tProdutos[Produto],0)),"produto não cadastrado")</f>
        <v>FORA</v>
      </c>
      <c r="K8633" s="12">
        <f>tItens[[#This Row],[Qtd]]*tItens[[#This Row],[Vlr unit]]</f>
        <v>3528</v>
      </c>
      <c r="L8633" s="6">
        <f>IFERROR(IF(INDEX(tProdutos[Desconto homologado],MATCH(tItens[[#This Row],[Produto]],tProdutos[Produto],0))="",DescontoPadrao,INDEX(tProdutos[Desconto homologado],MATCH(tItens[[#This Row],[Produto]],tProdutos[Produto],0))),DescontoPadrao)</f>
        <v>0.29046182846371399</v>
      </c>
      <c r="M8633" s="12">
        <f>tItens[[#This Row],[Valor]]*(1-tItens[[#This Row],[Desconto]])</f>
        <v>2503.2506691800172</v>
      </c>
      <c r="N8633" t="str">
        <f>IFERROR(INDEX(tProdutos[Foco],MATCH(tItens[[#This Row],[Produto]],tProdutos[Produto],0)),"Não")</f>
        <v>Não</v>
      </c>
      <c r="O8633" t="str">
        <f>IFERROR(INDEX(tEditais[SRP],MATCH(tItens[[#This Row],[Edital]],tEditais[Edital],0)),"Não")</f>
        <v>Sim</v>
      </c>
      <c r="P8633" s="4">
        <f>IF(COUNTIFS(INDEX(tItens[Edital],1):tItens[[#This Row],[Edital]],tItens[[#This Row],[Edital]],INDEX(tItens[Produto],1):tItens[[#This Row],[Produto]],tItens[[#This Row],[Produto]])=1,1,0)</f>
        <v>1</v>
      </c>
    </row>
    <row r="8634" spans="1:16" x14ac:dyDescent="0.25">
      <c r="A8634" t="s">
        <v>2882</v>
      </c>
      <c r="B8634">
        <v>34</v>
      </c>
      <c r="C8634" t="s">
        <v>11046</v>
      </c>
      <c r="D8634" t="s">
        <v>371</v>
      </c>
      <c r="E8634" s="13">
        <v>5000</v>
      </c>
      <c r="F8634" s="12">
        <v>1.0900000000000001</v>
      </c>
      <c r="G8634" t="str">
        <f>IFERROR(INDEX(tEditais[Órgão],MATCH(tItens[[#This Row],[Edital]],tEditais[Edital],0)),"")</f>
        <v>MUNICIPIO DE SARUTAIA</v>
      </c>
      <c r="H8634" t="str">
        <f>IFERROR(INDEX(tEditais[UF],MATCH(tItens[[#This Row],[Edital]],tEditais[Edital],0)),"")</f>
        <v>SP</v>
      </c>
      <c r="I8634" s="11">
        <f>IFERROR(INDEX(tEditais[Encerramento],MATCH(tItens[[#This Row],[Edital]],tEditais[Edital],0)),"")</f>
        <v>46309.291666666664</v>
      </c>
      <c r="J8634" t="str">
        <f>IFERROR(INDEX(tProdutos[Classe],MATCH(tItens[[#This Row],[Produto]],tProdutos[Produto],0)),"produto não cadastrado")</f>
        <v>FORA</v>
      </c>
      <c r="K8634" s="12">
        <f>tItens[[#This Row],[Qtd]]*tItens[[#This Row],[Vlr unit]]</f>
        <v>5450</v>
      </c>
      <c r="L8634" s="6">
        <f>IFERROR(IF(INDEX(tProdutos[Desconto homologado],MATCH(tItens[[#This Row],[Produto]],tProdutos[Produto],0))="",DescontoPadrao,INDEX(tProdutos[Desconto homologado],MATCH(tItens[[#This Row],[Produto]],tProdutos[Produto],0))),DescontoPadrao)</f>
        <v>0.217826086956522</v>
      </c>
      <c r="M8634" s="12">
        <f>tItens[[#This Row],[Valor]]*(1-tItens[[#This Row],[Desconto]])</f>
        <v>4262.8478260869551</v>
      </c>
      <c r="N8634" t="str">
        <f>IFERROR(INDEX(tProdutos[Foco],MATCH(tItens[[#This Row],[Produto]],tProdutos[Produto],0)),"Não")</f>
        <v>Não</v>
      </c>
      <c r="O8634" t="str">
        <f>IFERROR(INDEX(tEditais[SRP],MATCH(tItens[[#This Row],[Edital]],tEditais[Edital],0)),"Não")</f>
        <v>Sim</v>
      </c>
      <c r="P8634" s="4">
        <f>IF(COUNTIFS(INDEX(tItens[Edital],1):tItens[[#This Row],[Edital]],tItens[[#This Row],[Edital]],INDEX(tItens[Produto],1):tItens[[#This Row],[Produto]],tItens[[#This Row],[Produto]])=1,1,0)</f>
        <v>1</v>
      </c>
    </row>
    <row r="8635" spans="1:16" x14ac:dyDescent="0.25">
      <c r="A8635" t="s">
        <v>2882</v>
      </c>
      <c r="B8635">
        <v>37</v>
      </c>
      <c r="C8635" t="s">
        <v>11047</v>
      </c>
      <c r="D8635" t="s">
        <v>641</v>
      </c>
      <c r="E8635" s="13">
        <v>2</v>
      </c>
      <c r="F8635" s="12">
        <v>70.5</v>
      </c>
      <c r="G8635" t="str">
        <f>IFERROR(INDEX(tEditais[Órgão],MATCH(tItens[[#This Row],[Edital]],tEditais[Edital],0)),"")</f>
        <v>MUNICIPIO DE SARUTAIA</v>
      </c>
      <c r="H8635" t="str">
        <f>IFERROR(INDEX(tEditais[UF],MATCH(tItens[[#This Row],[Edital]],tEditais[Edital],0)),"")</f>
        <v>SP</v>
      </c>
      <c r="I8635" s="11">
        <f>IFERROR(INDEX(tEditais[Encerramento],MATCH(tItens[[#This Row],[Edital]],tEditais[Edital],0)),"")</f>
        <v>46309.291666666664</v>
      </c>
      <c r="J8635" t="str">
        <f>IFERROR(INDEX(tProdutos[Classe],MATCH(tItens[[#This Row],[Produto]],tProdutos[Produto],0)),"produto não cadastrado")</f>
        <v>FILA REBASE</v>
      </c>
      <c r="K8635" s="12">
        <f>tItens[[#This Row],[Qtd]]*tItens[[#This Row],[Vlr unit]]</f>
        <v>141</v>
      </c>
      <c r="L8635" s="6">
        <f>IFERROR(IF(INDEX(tProdutos[Desconto homologado],MATCH(tItens[[#This Row],[Produto]],tProdutos[Produto],0))="",DescontoPadrao,INDEX(tProdutos[Desconto homologado],MATCH(tItens[[#This Row],[Produto]],tProdutos[Produto],0))),DescontoPadrao)</f>
        <v>0.3</v>
      </c>
      <c r="M8635" s="12">
        <f>tItens[[#This Row],[Valor]]*(1-tItens[[#This Row],[Desconto]])</f>
        <v>98.699999999999989</v>
      </c>
      <c r="N8635" t="str">
        <f>IFERROR(INDEX(tProdutos[Foco],MATCH(tItens[[#This Row],[Produto]],tProdutos[Produto],0)),"Não")</f>
        <v>Não</v>
      </c>
      <c r="O8635" t="str">
        <f>IFERROR(INDEX(tEditais[SRP],MATCH(tItens[[#This Row],[Edital]],tEditais[Edital],0)),"Não")</f>
        <v>Sim</v>
      </c>
      <c r="P8635" s="4">
        <f>IF(COUNTIFS(INDEX(tItens[Edital],1):tItens[[#This Row],[Edital]],tItens[[#This Row],[Edital]],INDEX(tItens[Produto],1):tItens[[#This Row],[Produto]],tItens[[#This Row],[Produto]])=1,1,0)</f>
        <v>1</v>
      </c>
    </row>
    <row r="8636" spans="1:16" x14ac:dyDescent="0.25">
      <c r="A8636" t="s">
        <v>2882</v>
      </c>
      <c r="B8636">
        <v>39</v>
      </c>
      <c r="C8636" t="s">
        <v>11048</v>
      </c>
      <c r="D8636" t="s">
        <v>144</v>
      </c>
      <c r="E8636" s="13">
        <v>10</v>
      </c>
      <c r="F8636" s="12">
        <v>51.5</v>
      </c>
      <c r="G8636" t="str">
        <f>IFERROR(INDEX(tEditais[Órgão],MATCH(tItens[[#This Row],[Edital]],tEditais[Edital],0)),"")</f>
        <v>MUNICIPIO DE SARUTAIA</v>
      </c>
      <c r="H8636" t="str">
        <f>IFERROR(INDEX(tEditais[UF],MATCH(tItens[[#This Row],[Edital]],tEditais[Edital],0)),"")</f>
        <v>SP</v>
      </c>
      <c r="I8636" s="11">
        <f>IFERROR(INDEX(tEditais[Encerramento],MATCH(tItens[[#This Row],[Edital]],tEditais[Edital],0)),"")</f>
        <v>46309.291666666664</v>
      </c>
      <c r="J8636" t="str">
        <f>IFERROR(INDEX(tProdutos[Classe],MATCH(tItens[[#This Row],[Produto]],tProdutos[Produto],0)),"produto não cadastrado")</f>
        <v>DISPUTADO</v>
      </c>
      <c r="K8636" s="12">
        <f>tItens[[#This Row],[Qtd]]*tItens[[#This Row],[Vlr unit]]</f>
        <v>515</v>
      </c>
      <c r="L8636" s="6">
        <f>IFERROR(IF(INDEX(tProdutos[Desconto homologado],MATCH(tItens[[#This Row],[Produto]],tProdutos[Produto],0))="",DescontoPadrao,INDEX(tProdutos[Desconto homologado],MATCH(tItens[[#This Row],[Produto]],tProdutos[Produto],0))),DescontoPadrao)</f>
        <v>0.371428571428571</v>
      </c>
      <c r="M8636" s="12">
        <f>tItens[[#This Row],[Valor]]*(1-tItens[[#This Row],[Desconto]])</f>
        <v>323.71428571428595</v>
      </c>
      <c r="N8636" t="str">
        <f>IFERROR(INDEX(tProdutos[Foco],MATCH(tItens[[#This Row],[Produto]],tProdutos[Produto],0)),"Não")</f>
        <v>Não</v>
      </c>
      <c r="O8636" t="str">
        <f>IFERROR(INDEX(tEditais[SRP],MATCH(tItens[[#This Row],[Edital]],tEditais[Edital],0)),"Não")</f>
        <v>Sim</v>
      </c>
      <c r="P8636" s="4">
        <f>IF(COUNTIFS(INDEX(tItens[Edital],1):tItens[[#This Row],[Edital]],tItens[[#This Row],[Edital]],INDEX(tItens[Produto],1):tItens[[#This Row],[Produto]],tItens[[#This Row],[Produto]])=1,1,0)</f>
        <v>1</v>
      </c>
    </row>
    <row r="8637" spans="1:16" x14ac:dyDescent="0.25">
      <c r="A8637" t="s">
        <v>2882</v>
      </c>
      <c r="B8637">
        <v>44</v>
      </c>
      <c r="C8637" t="s">
        <v>11049</v>
      </c>
      <c r="D8637" t="s">
        <v>90</v>
      </c>
      <c r="E8637" s="13">
        <v>300</v>
      </c>
      <c r="F8637" s="12">
        <v>17.87</v>
      </c>
      <c r="G8637" t="str">
        <f>IFERROR(INDEX(tEditais[Órgão],MATCH(tItens[[#This Row],[Edital]],tEditais[Edital],0)),"")</f>
        <v>MUNICIPIO DE SARUTAIA</v>
      </c>
      <c r="H8637" t="str">
        <f>IFERROR(INDEX(tEditais[UF],MATCH(tItens[[#This Row],[Edital]],tEditais[Edital],0)),"")</f>
        <v>SP</v>
      </c>
      <c r="I8637" s="11">
        <f>IFERROR(INDEX(tEditais[Encerramento],MATCH(tItens[[#This Row],[Edital]],tEditais[Edital],0)),"")</f>
        <v>46309.291666666664</v>
      </c>
      <c r="J8637" t="str">
        <f>IFERROR(INDEX(tProdutos[Classe],MATCH(tItens[[#This Row],[Produto]],tProdutos[Produto],0)),"produto não cadastrado")</f>
        <v>DISPUTADO</v>
      </c>
      <c r="K8637" s="12">
        <f>tItens[[#This Row],[Qtd]]*tItens[[#This Row],[Vlr unit]]</f>
        <v>5361</v>
      </c>
      <c r="L8637" s="6">
        <f>IFERROR(IF(INDEX(tProdutos[Desconto homologado],MATCH(tItens[[#This Row],[Produto]],tProdutos[Produto],0))="",DescontoPadrao,INDEX(tProdutos[Desconto homologado],MATCH(tItens[[#This Row],[Produto]],tProdutos[Produto],0))),DescontoPadrao)</f>
        <v>0.25393823957010597</v>
      </c>
      <c r="M8637" s="12">
        <f>tItens[[#This Row],[Valor]]*(1-tItens[[#This Row],[Desconto]])</f>
        <v>3999.6370976646617</v>
      </c>
      <c r="N8637" t="str">
        <f>IFERROR(INDEX(tProdutos[Foco],MATCH(tItens[[#This Row],[Produto]],tProdutos[Produto],0)),"Não")</f>
        <v>Não</v>
      </c>
      <c r="O8637" t="str">
        <f>IFERROR(INDEX(tEditais[SRP],MATCH(tItens[[#This Row],[Edital]],tEditais[Edital],0)),"Não")</f>
        <v>Sim</v>
      </c>
      <c r="P8637" s="4">
        <f>IF(COUNTIFS(INDEX(tItens[Edital],1):tItens[[#This Row],[Edital]],tItens[[#This Row],[Edital]],INDEX(tItens[Produto],1):tItens[[#This Row],[Produto]],tItens[[#This Row],[Produto]])=1,1,0)</f>
        <v>1</v>
      </c>
    </row>
    <row r="8638" spans="1:16" x14ac:dyDescent="0.25">
      <c r="A8638" t="s">
        <v>2882</v>
      </c>
      <c r="B8638">
        <v>46</v>
      </c>
      <c r="C8638" t="s">
        <v>11050</v>
      </c>
      <c r="D8638" t="s">
        <v>156</v>
      </c>
      <c r="E8638" s="13">
        <v>200</v>
      </c>
      <c r="F8638" s="12">
        <v>6.05</v>
      </c>
      <c r="G8638" t="str">
        <f>IFERROR(INDEX(tEditais[Órgão],MATCH(tItens[[#This Row],[Edital]],tEditais[Edital],0)),"")</f>
        <v>MUNICIPIO DE SARUTAIA</v>
      </c>
      <c r="H8638" t="str">
        <f>IFERROR(INDEX(tEditais[UF],MATCH(tItens[[#This Row],[Edital]],tEditais[Edital],0)),"")</f>
        <v>SP</v>
      </c>
      <c r="I8638" s="11">
        <f>IFERROR(INDEX(tEditais[Encerramento],MATCH(tItens[[#This Row],[Edital]],tEditais[Edital],0)),"")</f>
        <v>46309.291666666664</v>
      </c>
      <c r="J8638" t="str">
        <f>IFERROR(INDEX(tProdutos[Classe],MATCH(tItens[[#This Row],[Produto]],tProdutos[Produto],0)),"produto não cadastrado")</f>
        <v>DISPUTADO</v>
      </c>
      <c r="K8638" s="12">
        <f>tItens[[#This Row],[Qtd]]*tItens[[#This Row],[Vlr unit]]</f>
        <v>1210</v>
      </c>
      <c r="L8638" s="6">
        <f>IFERROR(IF(INDEX(tProdutos[Desconto homologado],MATCH(tItens[[#This Row],[Produto]],tProdutos[Produto],0))="",DescontoPadrao,INDEX(tProdutos[Desconto homologado],MATCH(tItens[[#This Row],[Produto]],tProdutos[Produto],0))),DescontoPadrao)</f>
        <v>0.27131852489802799</v>
      </c>
      <c r="M8638" s="12">
        <f>tItens[[#This Row],[Valor]]*(1-tItens[[#This Row],[Desconto]])</f>
        <v>881.70458487338612</v>
      </c>
      <c r="N8638" t="str">
        <f>IFERROR(INDEX(tProdutos[Foco],MATCH(tItens[[#This Row],[Produto]],tProdutos[Produto],0)),"Não")</f>
        <v>Não</v>
      </c>
      <c r="O8638" t="str">
        <f>IFERROR(INDEX(tEditais[SRP],MATCH(tItens[[#This Row],[Edital]],tEditais[Edital],0)),"Não")</f>
        <v>Sim</v>
      </c>
      <c r="P8638" s="4">
        <f>IF(COUNTIFS(INDEX(tItens[Edital],1):tItens[[#This Row],[Edital]],tItens[[#This Row],[Edital]],INDEX(tItens[Produto],1):tItens[[#This Row],[Produto]],tItens[[#This Row],[Produto]])=1,1,0)</f>
        <v>1</v>
      </c>
    </row>
    <row r="8639" spans="1:16" x14ac:dyDescent="0.25">
      <c r="A8639" t="s">
        <v>2882</v>
      </c>
      <c r="B8639">
        <v>52</v>
      </c>
      <c r="C8639" t="s">
        <v>11051</v>
      </c>
      <c r="D8639" t="s">
        <v>345</v>
      </c>
      <c r="E8639" s="13">
        <v>600</v>
      </c>
      <c r="F8639" s="12">
        <v>17.8</v>
      </c>
      <c r="G8639" t="str">
        <f>IFERROR(INDEX(tEditais[Órgão],MATCH(tItens[[#This Row],[Edital]],tEditais[Edital],0)),"")</f>
        <v>MUNICIPIO DE SARUTAIA</v>
      </c>
      <c r="H8639" t="str">
        <f>IFERROR(INDEX(tEditais[UF],MATCH(tItens[[#This Row],[Edital]],tEditais[Edital],0)),"")</f>
        <v>SP</v>
      </c>
      <c r="I8639" s="11">
        <f>IFERROR(INDEX(tEditais[Encerramento],MATCH(tItens[[#This Row],[Edital]],tEditais[Edital],0)),"")</f>
        <v>46309.291666666664</v>
      </c>
      <c r="J8639" t="str">
        <f>IFERROR(INDEX(tProdutos[Classe],MATCH(tItens[[#This Row],[Produto]],tProdutos[Produto],0)),"produto não cadastrado")</f>
        <v>FORA</v>
      </c>
      <c r="K8639" s="12">
        <f>tItens[[#This Row],[Qtd]]*tItens[[#This Row],[Vlr unit]]</f>
        <v>10680</v>
      </c>
      <c r="L8639" s="6">
        <f>IFERROR(IF(INDEX(tProdutos[Desconto homologado],MATCH(tItens[[#This Row],[Produto]],tProdutos[Produto],0))="",DescontoPadrao,INDEX(tProdutos[Desconto homologado],MATCH(tItens[[#This Row],[Produto]],tProdutos[Produto],0))),DescontoPadrao)</f>
        <v>0.412394275616498</v>
      </c>
      <c r="M8639" s="12">
        <f>tItens[[#This Row],[Valor]]*(1-tItens[[#This Row],[Desconto]])</f>
        <v>6275.6291364158014</v>
      </c>
      <c r="N8639" t="str">
        <f>IFERROR(INDEX(tProdutos[Foco],MATCH(tItens[[#This Row],[Produto]],tProdutos[Produto],0)),"Não")</f>
        <v>Não</v>
      </c>
      <c r="O8639" t="str">
        <f>IFERROR(INDEX(tEditais[SRP],MATCH(tItens[[#This Row],[Edital]],tEditais[Edital],0)),"Não")</f>
        <v>Sim</v>
      </c>
      <c r="P8639" s="4">
        <f>IF(COUNTIFS(INDEX(tItens[Edital],1):tItens[[#This Row],[Edital]],tItens[[#This Row],[Edital]],INDEX(tItens[Produto],1):tItens[[#This Row],[Produto]],tItens[[#This Row],[Produto]])=1,1,0)</f>
        <v>1</v>
      </c>
    </row>
    <row r="8640" spans="1:16" x14ac:dyDescent="0.25">
      <c r="A8640" t="s">
        <v>2882</v>
      </c>
      <c r="B8640">
        <v>53</v>
      </c>
      <c r="C8640" t="s">
        <v>11052</v>
      </c>
      <c r="D8640" t="s">
        <v>345</v>
      </c>
      <c r="E8640" s="13">
        <v>600</v>
      </c>
      <c r="F8640" s="12">
        <v>17.8</v>
      </c>
      <c r="G8640" t="str">
        <f>IFERROR(INDEX(tEditais[Órgão],MATCH(tItens[[#This Row],[Edital]],tEditais[Edital],0)),"")</f>
        <v>MUNICIPIO DE SARUTAIA</v>
      </c>
      <c r="H8640" t="str">
        <f>IFERROR(INDEX(tEditais[UF],MATCH(tItens[[#This Row],[Edital]],tEditais[Edital],0)),"")</f>
        <v>SP</v>
      </c>
      <c r="I8640" s="11">
        <f>IFERROR(INDEX(tEditais[Encerramento],MATCH(tItens[[#This Row],[Edital]],tEditais[Edital],0)),"")</f>
        <v>46309.291666666664</v>
      </c>
      <c r="J8640" t="str">
        <f>IFERROR(INDEX(tProdutos[Classe],MATCH(tItens[[#This Row],[Produto]],tProdutos[Produto],0)),"produto não cadastrado")</f>
        <v>FORA</v>
      </c>
      <c r="K8640" s="12">
        <f>tItens[[#This Row],[Qtd]]*tItens[[#This Row],[Vlr unit]]</f>
        <v>10680</v>
      </c>
      <c r="L8640" s="6">
        <f>IFERROR(IF(INDEX(tProdutos[Desconto homologado],MATCH(tItens[[#This Row],[Produto]],tProdutos[Produto],0))="",DescontoPadrao,INDEX(tProdutos[Desconto homologado],MATCH(tItens[[#This Row],[Produto]],tProdutos[Produto],0))),DescontoPadrao)</f>
        <v>0.412394275616498</v>
      </c>
      <c r="M8640" s="12">
        <f>tItens[[#This Row],[Valor]]*(1-tItens[[#This Row],[Desconto]])</f>
        <v>6275.6291364158014</v>
      </c>
      <c r="N8640" t="str">
        <f>IFERROR(INDEX(tProdutos[Foco],MATCH(tItens[[#This Row],[Produto]],tProdutos[Produto],0)),"Não")</f>
        <v>Não</v>
      </c>
      <c r="O8640" t="str">
        <f>IFERROR(INDEX(tEditais[SRP],MATCH(tItens[[#This Row],[Edital]],tEditais[Edital],0)),"Não")</f>
        <v>Sim</v>
      </c>
      <c r="P8640" s="4">
        <f>IF(COUNTIFS(INDEX(tItens[Edital],1):tItens[[#This Row],[Edital]],tItens[[#This Row],[Edital]],INDEX(tItens[Produto],1):tItens[[#This Row],[Produto]],tItens[[#This Row],[Produto]])=1,1,0)</f>
        <v>0</v>
      </c>
    </row>
    <row r="8641" spans="1:16" x14ac:dyDescent="0.25">
      <c r="A8641" t="s">
        <v>2882</v>
      </c>
      <c r="B8641">
        <v>54</v>
      </c>
      <c r="C8641" t="s">
        <v>11053</v>
      </c>
      <c r="D8641" t="s">
        <v>345</v>
      </c>
      <c r="E8641" s="13">
        <v>200</v>
      </c>
      <c r="F8641" s="12">
        <v>17.8</v>
      </c>
      <c r="G8641" t="str">
        <f>IFERROR(INDEX(tEditais[Órgão],MATCH(tItens[[#This Row],[Edital]],tEditais[Edital],0)),"")</f>
        <v>MUNICIPIO DE SARUTAIA</v>
      </c>
      <c r="H8641" t="str">
        <f>IFERROR(INDEX(tEditais[UF],MATCH(tItens[[#This Row],[Edital]],tEditais[Edital],0)),"")</f>
        <v>SP</v>
      </c>
      <c r="I8641" s="11">
        <f>IFERROR(INDEX(tEditais[Encerramento],MATCH(tItens[[#This Row],[Edital]],tEditais[Edital],0)),"")</f>
        <v>46309.291666666664</v>
      </c>
      <c r="J8641" t="str">
        <f>IFERROR(INDEX(tProdutos[Classe],MATCH(tItens[[#This Row],[Produto]],tProdutos[Produto],0)),"produto não cadastrado")</f>
        <v>FORA</v>
      </c>
      <c r="K8641" s="12">
        <f>tItens[[#This Row],[Qtd]]*tItens[[#This Row],[Vlr unit]]</f>
        <v>3560</v>
      </c>
      <c r="L8641" s="6">
        <f>IFERROR(IF(INDEX(tProdutos[Desconto homologado],MATCH(tItens[[#This Row],[Produto]],tProdutos[Produto],0))="",DescontoPadrao,INDEX(tProdutos[Desconto homologado],MATCH(tItens[[#This Row],[Produto]],tProdutos[Produto],0))),DescontoPadrao)</f>
        <v>0.412394275616498</v>
      </c>
      <c r="M8641" s="12">
        <f>tItens[[#This Row],[Valor]]*(1-tItens[[#This Row],[Desconto]])</f>
        <v>2091.876378805267</v>
      </c>
      <c r="N8641" t="str">
        <f>IFERROR(INDEX(tProdutos[Foco],MATCH(tItens[[#This Row],[Produto]],tProdutos[Produto],0)),"Não")</f>
        <v>Não</v>
      </c>
      <c r="O8641" t="str">
        <f>IFERROR(INDEX(tEditais[SRP],MATCH(tItens[[#This Row],[Edital]],tEditais[Edital],0)),"Não")</f>
        <v>Sim</v>
      </c>
      <c r="P8641" s="4">
        <f>IF(COUNTIFS(INDEX(tItens[Edital],1):tItens[[#This Row],[Edital]],tItens[[#This Row],[Edital]],INDEX(tItens[Produto],1):tItens[[#This Row],[Produto]],tItens[[#This Row],[Produto]])=1,1,0)</f>
        <v>0</v>
      </c>
    </row>
    <row r="8642" spans="1:16" x14ac:dyDescent="0.25">
      <c r="A8642" t="s">
        <v>2882</v>
      </c>
      <c r="B8642">
        <v>55</v>
      </c>
      <c r="C8642" t="s">
        <v>11054</v>
      </c>
      <c r="D8642" t="s">
        <v>345</v>
      </c>
      <c r="E8642" s="13">
        <v>100</v>
      </c>
      <c r="F8642" s="12">
        <v>18</v>
      </c>
      <c r="G8642" t="str">
        <f>IFERROR(INDEX(tEditais[Órgão],MATCH(tItens[[#This Row],[Edital]],tEditais[Edital],0)),"")</f>
        <v>MUNICIPIO DE SARUTAIA</v>
      </c>
      <c r="H8642" t="str">
        <f>IFERROR(INDEX(tEditais[UF],MATCH(tItens[[#This Row],[Edital]],tEditais[Edital],0)),"")</f>
        <v>SP</v>
      </c>
      <c r="I8642" s="11">
        <f>IFERROR(INDEX(tEditais[Encerramento],MATCH(tItens[[#This Row],[Edital]],tEditais[Edital],0)),"")</f>
        <v>46309.291666666664</v>
      </c>
      <c r="J8642" t="str">
        <f>IFERROR(INDEX(tProdutos[Classe],MATCH(tItens[[#This Row],[Produto]],tProdutos[Produto],0)),"produto não cadastrado")</f>
        <v>FORA</v>
      </c>
      <c r="K8642" s="12">
        <f>tItens[[#This Row],[Qtd]]*tItens[[#This Row],[Vlr unit]]</f>
        <v>1800</v>
      </c>
      <c r="L8642" s="6">
        <f>IFERROR(IF(INDEX(tProdutos[Desconto homologado],MATCH(tItens[[#This Row],[Produto]],tProdutos[Produto],0))="",DescontoPadrao,INDEX(tProdutos[Desconto homologado],MATCH(tItens[[#This Row],[Produto]],tProdutos[Produto],0))),DescontoPadrao)</f>
        <v>0.412394275616498</v>
      </c>
      <c r="M8642" s="12">
        <f>tItens[[#This Row],[Valor]]*(1-tItens[[#This Row],[Desconto]])</f>
        <v>1057.6903038903035</v>
      </c>
      <c r="N8642" t="str">
        <f>IFERROR(INDEX(tProdutos[Foco],MATCH(tItens[[#This Row],[Produto]],tProdutos[Produto],0)),"Não")</f>
        <v>Não</v>
      </c>
      <c r="O8642" t="str">
        <f>IFERROR(INDEX(tEditais[SRP],MATCH(tItens[[#This Row],[Edital]],tEditais[Edital],0)),"Não")</f>
        <v>Sim</v>
      </c>
      <c r="P8642" s="4">
        <f>IF(COUNTIFS(INDEX(tItens[Edital],1):tItens[[#This Row],[Edital]],tItens[[#This Row],[Edital]],INDEX(tItens[Produto],1):tItens[[#This Row],[Produto]],tItens[[#This Row],[Produto]])=1,1,0)</f>
        <v>0</v>
      </c>
    </row>
    <row r="8643" spans="1:16" x14ac:dyDescent="0.25">
      <c r="A8643" t="s">
        <v>2882</v>
      </c>
      <c r="B8643">
        <v>57</v>
      </c>
      <c r="C8643" t="s">
        <v>11055</v>
      </c>
      <c r="D8643" t="s">
        <v>467</v>
      </c>
      <c r="E8643" s="13">
        <v>10</v>
      </c>
      <c r="F8643" s="12">
        <v>52.75</v>
      </c>
      <c r="G8643" t="str">
        <f>IFERROR(INDEX(tEditais[Órgão],MATCH(tItens[[#This Row],[Edital]],tEditais[Edital],0)),"")</f>
        <v>MUNICIPIO DE SARUTAIA</v>
      </c>
      <c r="H8643" t="str">
        <f>IFERROR(INDEX(tEditais[UF],MATCH(tItens[[#This Row],[Edital]],tEditais[Edital],0)),"")</f>
        <v>SP</v>
      </c>
      <c r="I8643" s="11">
        <f>IFERROR(INDEX(tEditais[Encerramento],MATCH(tItens[[#This Row],[Edital]],tEditais[Edital],0)),"")</f>
        <v>46309.291666666664</v>
      </c>
      <c r="J8643" t="str">
        <f>IFERROR(INDEX(tProdutos[Classe],MATCH(tItens[[#This Row],[Produto]],tProdutos[Produto],0)),"produto não cadastrado")</f>
        <v>FILA REBASE</v>
      </c>
      <c r="K8643" s="12">
        <f>tItens[[#This Row],[Qtd]]*tItens[[#This Row],[Vlr unit]]</f>
        <v>527.5</v>
      </c>
      <c r="L8643" s="6">
        <f>IFERROR(IF(INDEX(tProdutos[Desconto homologado],MATCH(tItens[[#This Row],[Produto]],tProdutos[Produto],0))="",DescontoPadrao,INDEX(tProdutos[Desconto homologado],MATCH(tItens[[#This Row],[Produto]],tProdutos[Produto],0))),DescontoPadrao)</f>
        <v>0.25007144898542499</v>
      </c>
      <c r="M8643" s="12">
        <f>tItens[[#This Row],[Valor]]*(1-tItens[[#This Row],[Desconto]])</f>
        <v>395.58731066018834</v>
      </c>
      <c r="N8643" t="str">
        <f>IFERROR(INDEX(tProdutos[Foco],MATCH(tItens[[#This Row],[Produto]],tProdutos[Produto],0)),"Não")</f>
        <v>Não</v>
      </c>
      <c r="O8643" t="str">
        <f>IFERROR(INDEX(tEditais[SRP],MATCH(tItens[[#This Row],[Edital]],tEditais[Edital],0)),"Não")</f>
        <v>Sim</v>
      </c>
      <c r="P8643" s="4">
        <f>IF(COUNTIFS(INDEX(tItens[Edital],1):tItens[[#This Row],[Edital]],tItens[[#This Row],[Edital]],INDEX(tItens[Produto],1):tItens[[#This Row],[Produto]],tItens[[#This Row],[Produto]])=1,1,0)</f>
        <v>1</v>
      </c>
    </row>
    <row r="8644" spans="1:16" x14ac:dyDescent="0.25">
      <c r="A8644" t="s">
        <v>2882</v>
      </c>
      <c r="B8644">
        <v>63</v>
      </c>
      <c r="C8644" t="s">
        <v>11056</v>
      </c>
      <c r="D8644" t="s">
        <v>233</v>
      </c>
      <c r="E8644" s="13">
        <v>400</v>
      </c>
      <c r="F8644" s="12">
        <v>7.39</v>
      </c>
      <c r="G8644" t="str">
        <f>IFERROR(INDEX(tEditais[Órgão],MATCH(tItens[[#This Row],[Edital]],tEditais[Edital],0)),"")</f>
        <v>MUNICIPIO DE SARUTAIA</v>
      </c>
      <c r="H8644" t="str">
        <f>IFERROR(INDEX(tEditais[UF],MATCH(tItens[[#This Row],[Edital]],tEditais[Edital],0)),"")</f>
        <v>SP</v>
      </c>
      <c r="I8644" s="11">
        <f>IFERROR(INDEX(tEditais[Encerramento],MATCH(tItens[[#This Row],[Edital]],tEditais[Edital],0)),"")</f>
        <v>46309.291666666664</v>
      </c>
      <c r="J8644" t="str">
        <f>IFERROR(INDEX(tProdutos[Classe],MATCH(tItens[[#This Row],[Produto]],tProdutos[Produto],0)),"produto não cadastrado")</f>
        <v>FORA</v>
      </c>
      <c r="K8644" s="12">
        <f>tItens[[#This Row],[Qtd]]*tItens[[#This Row],[Vlr unit]]</f>
        <v>2956</v>
      </c>
      <c r="L8644" s="6">
        <f>IFERROR(IF(INDEX(tProdutos[Desconto homologado],MATCH(tItens[[#This Row],[Produto]],tProdutos[Produto],0))="",DescontoPadrao,INDEX(tProdutos[Desconto homologado],MATCH(tItens[[#This Row],[Produto]],tProdutos[Produto],0))),DescontoPadrao)</f>
        <v>0.246270084162204</v>
      </c>
      <c r="M8644" s="12">
        <f>tItens[[#This Row],[Valor]]*(1-tItens[[#This Row],[Desconto]])</f>
        <v>2228.0256312165252</v>
      </c>
      <c r="N8644" t="str">
        <f>IFERROR(INDEX(tProdutos[Foco],MATCH(tItens[[#This Row],[Produto]],tProdutos[Produto],0)),"Não")</f>
        <v>Não</v>
      </c>
      <c r="O8644" t="str">
        <f>IFERROR(INDEX(tEditais[SRP],MATCH(tItens[[#This Row],[Edital]],tEditais[Edital],0)),"Não")</f>
        <v>Sim</v>
      </c>
      <c r="P8644" s="4">
        <f>IF(COUNTIFS(INDEX(tItens[Edital],1):tItens[[#This Row],[Edital]],tItens[[#This Row],[Edital]],INDEX(tItens[Produto],1):tItens[[#This Row],[Produto]],tItens[[#This Row],[Produto]])=1,1,0)</f>
        <v>1</v>
      </c>
    </row>
    <row r="8645" spans="1:16" x14ac:dyDescent="0.25">
      <c r="A8645" t="s">
        <v>2882</v>
      </c>
      <c r="B8645">
        <v>64</v>
      </c>
      <c r="C8645" t="s">
        <v>11057</v>
      </c>
      <c r="D8645" t="s">
        <v>233</v>
      </c>
      <c r="E8645" s="13">
        <v>400</v>
      </c>
      <c r="F8645" s="12">
        <v>7.44</v>
      </c>
      <c r="G8645" t="str">
        <f>IFERROR(INDEX(tEditais[Órgão],MATCH(tItens[[#This Row],[Edital]],tEditais[Edital],0)),"")</f>
        <v>MUNICIPIO DE SARUTAIA</v>
      </c>
      <c r="H8645" t="str">
        <f>IFERROR(INDEX(tEditais[UF],MATCH(tItens[[#This Row],[Edital]],tEditais[Edital],0)),"")</f>
        <v>SP</v>
      </c>
      <c r="I8645" s="11">
        <f>IFERROR(INDEX(tEditais[Encerramento],MATCH(tItens[[#This Row],[Edital]],tEditais[Edital],0)),"")</f>
        <v>46309.291666666664</v>
      </c>
      <c r="J8645" t="str">
        <f>IFERROR(INDEX(tProdutos[Classe],MATCH(tItens[[#This Row],[Produto]],tProdutos[Produto],0)),"produto não cadastrado")</f>
        <v>FORA</v>
      </c>
      <c r="K8645" s="12">
        <f>tItens[[#This Row],[Qtd]]*tItens[[#This Row],[Vlr unit]]</f>
        <v>2976</v>
      </c>
      <c r="L8645" s="6">
        <f>IFERROR(IF(INDEX(tProdutos[Desconto homologado],MATCH(tItens[[#This Row],[Produto]],tProdutos[Produto],0))="",DescontoPadrao,INDEX(tProdutos[Desconto homologado],MATCH(tItens[[#This Row],[Produto]],tProdutos[Produto],0))),DescontoPadrao)</f>
        <v>0.246270084162204</v>
      </c>
      <c r="M8645" s="12">
        <f>tItens[[#This Row],[Valor]]*(1-tItens[[#This Row],[Desconto]])</f>
        <v>2243.100229533281</v>
      </c>
      <c r="N8645" t="str">
        <f>IFERROR(INDEX(tProdutos[Foco],MATCH(tItens[[#This Row],[Produto]],tProdutos[Produto],0)),"Não")</f>
        <v>Não</v>
      </c>
      <c r="O8645" t="str">
        <f>IFERROR(INDEX(tEditais[SRP],MATCH(tItens[[#This Row],[Edital]],tEditais[Edital],0)),"Não")</f>
        <v>Sim</v>
      </c>
      <c r="P8645" s="4">
        <f>IF(COUNTIFS(INDEX(tItens[Edital],1):tItens[[#This Row],[Edital]],tItens[[#This Row],[Edital]],INDEX(tItens[Produto],1):tItens[[#This Row],[Produto]],tItens[[#This Row],[Produto]])=1,1,0)</f>
        <v>0</v>
      </c>
    </row>
    <row r="8646" spans="1:16" x14ac:dyDescent="0.25">
      <c r="A8646" t="s">
        <v>2882</v>
      </c>
      <c r="B8646">
        <v>65</v>
      </c>
      <c r="C8646" t="s">
        <v>11058</v>
      </c>
      <c r="D8646" t="s">
        <v>233</v>
      </c>
      <c r="E8646" s="13">
        <v>200</v>
      </c>
      <c r="F8646" s="12">
        <v>9.5</v>
      </c>
      <c r="G8646" t="str">
        <f>IFERROR(INDEX(tEditais[Órgão],MATCH(tItens[[#This Row],[Edital]],tEditais[Edital],0)),"")</f>
        <v>MUNICIPIO DE SARUTAIA</v>
      </c>
      <c r="H8646" t="str">
        <f>IFERROR(INDEX(tEditais[UF],MATCH(tItens[[#This Row],[Edital]],tEditais[Edital],0)),"")</f>
        <v>SP</v>
      </c>
      <c r="I8646" s="11">
        <f>IFERROR(INDEX(tEditais[Encerramento],MATCH(tItens[[#This Row],[Edital]],tEditais[Edital],0)),"")</f>
        <v>46309.291666666664</v>
      </c>
      <c r="J8646" t="str">
        <f>IFERROR(INDEX(tProdutos[Classe],MATCH(tItens[[#This Row],[Produto]],tProdutos[Produto],0)),"produto não cadastrado")</f>
        <v>FORA</v>
      </c>
      <c r="K8646" s="12">
        <f>tItens[[#This Row],[Qtd]]*tItens[[#This Row],[Vlr unit]]</f>
        <v>1900</v>
      </c>
      <c r="L8646" s="6">
        <f>IFERROR(IF(INDEX(tProdutos[Desconto homologado],MATCH(tItens[[#This Row],[Produto]],tProdutos[Produto],0))="",DescontoPadrao,INDEX(tProdutos[Desconto homologado],MATCH(tItens[[#This Row],[Produto]],tProdutos[Produto],0))),DescontoPadrao)</f>
        <v>0.246270084162204</v>
      </c>
      <c r="M8646" s="12">
        <f>tItens[[#This Row],[Valor]]*(1-tItens[[#This Row],[Desconto]])</f>
        <v>1432.0868400918125</v>
      </c>
      <c r="N8646" t="str">
        <f>IFERROR(INDEX(tProdutos[Foco],MATCH(tItens[[#This Row],[Produto]],tProdutos[Produto],0)),"Não")</f>
        <v>Não</v>
      </c>
      <c r="O8646" t="str">
        <f>IFERROR(INDEX(tEditais[SRP],MATCH(tItens[[#This Row],[Edital]],tEditais[Edital],0)),"Não")</f>
        <v>Sim</v>
      </c>
      <c r="P8646" s="4">
        <f>IF(COUNTIFS(INDEX(tItens[Edital],1):tItens[[#This Row],[Edital]],tItens[[#This Row],[Edital]],INDEX(tItens[Produto],1):tItens[[#This Row],[Produto]],tItens[[#This Row],[Produto]])=1,1,0)</f>
        <v>0</v>
      </c>
    </row>
    <row r="8647" spans="1:16" x14ac:dyDescent="0.25">
      <c r="A8647" t="s">
        <v>2882</v>
      </c>
      <c r="B8647">
        <v>66</v>
      </c>
      <c r="C8647" t="s">
        <v>11059</v>
      </c>
      <c r="D8647" t="s">
        <v>56</v>
      </c>
      <c r="E8647" s="13">
        <v>5</v>
      </c>
      <c r="F8647" s="12">
        <v>53.2</v>
      </c>
      <c r="G8647" t="str">
        <f>IFERROR(INDEX(tEditais[Órgão],MATCH(tItens[[#This Row],[Edital]],tEditais[Edital],0)),"")</f>
        <v>MUNICIPIO DE SARUTAIA</v>
      </c>
      <c r="H8647" t="str">
        <f>IFERROR(INDEX(tEditais[UF],MATCH(tItens[[#This Row],[Edital]],tEditais[Edital],0)),"")</f>
        <v>SP</v>
      </c>
      <c r="I8647" s="11">
        <f>IFERROR(INDEX(tEditais[Encerramento],MATCH(tItens[[#This Row],[Edital]],tEditais[Edital],0)),"")</f>
        <v>46309.291666666664</v>
      </c>
      <c r="J8647" t="str">
        <f>IFERROR(INDEX(tProdutos[Classe],MATCH(tItens[[#This Row],[Produto]],tProdutos[Produto],0)),"produto não cadastrado")</f>
        <v>NÚCLEO</v>
      </c>
      <c r="K8647" s="12">
        <f>tItens[[#This Row],[Qtd]]*tItens[[#This Row],[Vlr unit]]</f>
        <v>266</v>
      </c>
      <c r="L8647" s="6">
        <f>IFERROR(IF(INDEX(tProdutos[Desconto homologado],MATCH(tItens[[#This Row],[Produto]],tProdutos[Produto],0))="",DescontoPadrao,INDEX(tProdutos[Desconto homologado],MATCH(tItens[[#This Row],[Produto]],tProdutos[Produto],0))),DescontoPadrao)</f>
        <v>0.34</v>
      </c>
      <c r="M8647" s="12">
        <f>tItens[[#This Row],[Valor]]*(1-tItens[[#This Row],[Desconto]])</f>
        <v>175.55999999999997</v>
      </c>
      <c r="N8647" t="str">
        <f>IFERROR(INDEX(tProdutos[Foco],MATCH(tItens[[#This Row],[Produto]],tProdutos[Produto],0)),"Não")</f>
        <v>Sim</v>
      </c>
      <c r="O8647" t="str">
        <f>IFERROR(INDEX(tEditais[SRP],MATCH(tItens[[#This Row],[Edital]],tEditais[Edital],0)),"Não")</f>
        <v>Sim</v>
      </c>
      <c r="P8647" s="4">
        <f>IF(COUNTIFS(INDEX(tItens[Edital],1):tItens[[#This Row],[Edital]],tItens[[#This Row],[Edital]],INDEX(tItens[Produto],1):tItens[[#This Row],[Produto]],tItens[[#This Row],[Produto]])=1,1,0)</f>
        <v>1</v>
      </c>
    </row>
    <row r="8648" spans="1:16" x14ac:dyDescent="0.25">
      <c r="A8648" t="s">
        <v>2882</v>
      </c>
      <c r="B8648">
        <v>67</v>
      </c>
      <c r="C8648" t="s">
        <v>11060</v>
      </c>
      <c r="D8648" t="s">
        <v>56</v>
      </c>
      <c r="E8648" s="13">
        <v>5</v>
      </c>
      <c r="F8648" s="12">
        <v>52.65</v>
      </c>
      <c r="G8648" t="str">
        <f>IFERROR(INDEX(tEditais[Órgão],MATCH(tItens[[#This Row],[Edital]],tEditais[Edital],0)),"")</f>
        <v>MUNICIPIO DE SARUTAIA</v>
      </c>
      <c r="H8648" t="str">
        <f>IFERROR(INDEX(tEditais[UF],MATCH(tItens[[#This Row],[Edital]],tEditais[Edital],0)),"")</f>
        <v>SP</v>
      </c>
      <c r="I8648" s="11">
        <f>IFERROR(INDEX(tEditais[Encerramento],MATCH(tItens[[#This Row],[Edital]],tEditais[Edital],0)),"")</f>
        <v>46309.291666666664</v>
      </c>
      <c r="J8648" t="str">
        <f>IFERROR(INDEX(tProdutos[Classe],MATCH(tItens[[#This Row],[Produto]],tProdutos[Produto],0)),"produto não cadastrado")</f>
        <v>NÚCLEO</v>
      </c>
      <c r="K8648" s="12">
        <f>tItens[[#This Row],[Qtd]]*tItens[[#This Row],[Vlr unit]]</f>
        <v>263.25</v>
      </c>
      <c r="L8648" s="6">
        <f>IFERROR(IF(INDEX(tProdutos[Desconto homologado],MATCH(tItens[[#This Row],[Produto]],tProdutos[Produto],0))="",DescontoPadrao,INDEX(tProdutos[Desconto homologado],MATCH(tItens[[#This Row],[Produto]],tProdutos[Produto],0))),DescontoPadrao)</f>
        <v>0.34</v>
      </c>
      <c r="M8648" s="12">
        <f>tItens[[#This Row],[Valor]]*(1-tItens[[#This Row],[Desconto]])</f>
        <v>173.74499999999998</v>
      </c>
      <c r="N8648" t="str">
        <f>IFERROR(INDEX(tProdutos[Foco],MATCH(tItens[[#This Row],[Produto]],tProdutos[Produto],0)),"Não")</f>
        <v>Sim</v>
      </c>
      <c r="O8648" t="str">
        <f>IFERROR(INDEX(tEditais[SRP],MATCH(tItens[[#This Row],[Edital]],tEditais[Edital],0)),"Não")</f>
        <v>Sim</v>
      </c>
      <c r="P8648" s="4">
        <f>IF(COUNTIFS(INDEX(tItens[Edital],1):tItens[[#This Row],[Edital]],tItens[[#This Row],[Edital]],INDEX(tItens[Produto],1):tItens[[#This Row],[Produto]],tItens[[#This Row],[Produto]])=1,1,0)</f>
        <v>0</v>
      </c>
    </row>
    <row r="8649" spans="1:16" x14ac:dyDescent="0.25">
      <c r="A8649" t="s">
        <v>2882</v>
      </c>
      <c r="B8649">
        <v>68</v>
      </c>
      <c r="C8649" t="s">
        <v>11061</v>
      </c>
      <c r="D8649" t="s">
        <v>56</v>
      </c>
      <c r="E8649" s="13">
        <v>5</v>
      </c>
      <c r="F8649" s="12">
        <v>50.95</v>
      </c>
      <c r="G8649" t="str">
        <f>IFERROR(INDEX(tEditais[Órgão],MATCH(tItens[[#This Row],[Edital]],tEditais[Edital],0)),"")</f>
        <v>MUNICIPIO DE SARUTAIA</v>
      </c>
      <c r="H8649" t="str">
        <f>IFERROR(INDEX(tEditais[UF],MATCH(tItens[[#This Row],[Edital]],tEditais[Edital],0)),"")</f>
        <v>SP</v>
      </c>
      <c r="I8649" s="11">
        <f>IFERROR(INDEX(tEditais[Encerramento],MATCH(tItens[[#This Row],[Edital]],tEditais[Edital],0)),"")</f>
        <v>46309.291666666664</v>
      </c>
      <c r="J8649" t="str">
        <f>IFERROR(INDEX(tProdutos[Classe],MATCH(tItens[[#This Row],[Produto]],tProdutos[Produto],0)),"produto não cadastrado")</f>
        <v>NÚCLEO</v>
      </c>
      <c r="K8649" s="12">
        <f>tItens[[#This Row],[Qtd]]*tItens[[#This Row],[Vlr unit]]</f>
        <v>254.75</v>
      </c>
      <c r="L8649" s="6">
        <f>IFERROR(IF(INDEX(tProdutos[Desconto homologado],MATCH(tItens[[#This Row],[Produto]],tProdutos[Produto],0))="",DescontoPadrao,INDEX(tProdutos[Desconto homologado],MATCH(tItens[[#This Row],[Produto]],tProdutos[Produto],0))),DescontoPadrao)</f>
        <v>0.34</v>
      </c>
      <c r="M8649" s="12">
        <f>tItens[[#This Row],[Valor]]*(1-tItens[[#This Row],[Desconto]])</f>
        <v>168.13499999999999</v>
      </c>
      <c r="N8649" t="str">
        <f>IFERROR(INDEX(tProdutos[Foco],MATCH(tItens[[#This Row],[Produto]],tProdutos[Produto],0)),"Não")</f>
        <v>Sim</v>
      </c>
      <c r="O8649" t="str">
        <f>IFERROR(INDEX(tEditais[SRP],MATCH(tItens[[#This Row],[Edital]],tEditais[Edital],0)),"Não")</f>
        <v>Sim</v>
      </c>
      <c r="P8649" s="4">
        <f>IF(COUNTIFS(INDEX(tItens[Edital],1):tItens[[#This Row],[Edital]],tItens[[#This Row],[Edital]],INDEX(tItens[Produto],1):tItens[[#This Row],[Produto]],tItens[[#This Row],[Produto]])=1,1,0)</f>
        <v>0</v>
      </c>
    </row>
    <row r="8650" spans="1:16" x14ac:dyDescent="0.25">
      <c r="A8650" t="s">
        <v>2882</v>
      </c>
      <c r="B8650">
        <v>69</v>
      </c>
      <c r="C8650" t="s">
        <v>11062</v>
      </c>
      <c r="D8650" t="s">
        <v>56</v>
      </c>
      <c r="E8650" s="13">
        <v>6</v>
      </c>
      <c r="F8650" s="12">
        <v>52.1</v>
      </c>
      <c r="G8650" t="str">
        <f>IFERROR(INDEX(tEditais[Órgão],MATCH(tItens[[#This Row],[Edital]],tEditais[Edital],0)),"")</f>
        <v>MUNICIPIO DE SARUTAIA</v>
      </c>
      <c r="H8650" t="str">
        <f>IFERROR(INDEX(tEditais[UF],MATCH(tItens[[#This Row],[Edital]],tEditais[Edital],0)),"")</f>
        <v>SP</v>
      </c>
      <c r="I8650" s="11">
        <f>IFERROR(INDEX(tEditais[Encerramento],MATCH(tItens[[#This Row],[Edital]],tEditais[Edital],0)),"")</f>
        <v>46309.291666666664</v>
      </c>
      <c r="J8650" t="str">
        <f>IFERROR(INDEX(tProdutos[Classe],MATCH(tItens[[#This Row],[Produto]],tProdutos[Produto],0)),"produto não cadastrado")</f>
        <v>NÚCLEO</v>
      </c>
      <c r="K8650" s="12">
        <f>tItens[[#This Row],[Qtd]]*tItens[[#This Row],[Vlr unit]]</f>
        <v>312.60000000000002</v>
      </c>
      <c r="L8650" s="6">
        <f>IFERROR(IF(INDEX(tProdutos[Desconto homologado],MATCH(tItens[[#This Row],[Produto]],tProdutos[Produto],0))="",DescontoPadrao,INDEX(tProdutos[Desconto homologado],MATCH(tItens[[#This Row],[Produto]],tProdutos[Produto],0))),DescontoPadrao)</f>
        <v>0.34</v>
      </c>
      <c r="M8650" s="12">
        <f>tItens[[#This Row],[Valor]]*(1-tItens[[#This Row],[Desconto]])</f>
        <v>206.316</v>
      </c>
      <c r="N8650" t="str">
        <f>IFERROR(INDEX(tProdutos[Foco],MATCH(tItens[[#This Row],[Produto]],tProdutos[Produto],0)),"Não")</f>
        <v>Sim</v>
      </c>
      <c r="O8650" t="str">
        <f>IFERROR(INDEX(tEditais[SRP],MATCH(tItens[[#This Row],[Edital]],tEditais[Edital],0)),"Não")</f>
        <v>Sim</v>
      </c>
      <c r="P8650" s="4">
        <f>IF(COUNTIFS(INDEX(tItens[Edital],1):tItens[[#This Row],[Edital]],tItens[[#This Row],[Edital]],INDEX(tItens[Produto],1):tItens[[#This Row],[Produto]],tItens[[#This Row],[Produto]])=1,1,0)</f>
        <v>0</v>
      </c>
    </row>
    <row r="8651" spans="1:16" x14ac:dyDescent="0.25">
      <c r="A8651" t="s">
        <v>2882</v>
      </c>
      <c r="B8651">
        <v>70</v>
      </c>
      <c r="C8651" t="s">
        <v>11063</v>
      </c>
      <c r="D8651" t="s">
        <v>277</v>
      </c>
      <c r="E8651" s="13">
        <v>400</v>
      </c>
      <c r="F8651" s="12">
        <v>11.34</v>
      </c>
      <c r="G8651" t="str">
        <f>IFERROR(INDEX(tEditais[Órgão],MATCH(tItens[[#This Row],[Edital]],tEditais[Edital],0)),"")</f>
        <v>MUNICIPIO DE SARUTAIA</v>
      </c>
      <c r="H8651" t="str">
        <f>IFERROR(INDEX(tEditais[UF],MATCH(tItens[[#This Row],[Edital]],tEditais[Edital],0)),"")</f>
        <v>SP</v>
      </c>
      <c r="I8651" s="11">
        <f>IFERROR(INDEX(tEditais[Encerramento],MATCH(tItens[[#This Row],[Edital]],tEditais[Edital],0)),"")</f>
        <v>46309.291666666664</v>
      </c>
      <c r="J8651" t="str">
        <f>IFERROR(INDEX(tProdutos[Classe],MATCH(tItens[[#This Row],[Produto]],tProdutos[Produto],0)),"produto não cadastrado")</f>
        <v>DISPUTADO</v>
      </c>
      <c r="K8651" s="12">
        <f>tItens[[#This Row],[Qtd]]*tItens[[#This Row],[Vlr unit]]</f>
        <v>4536</v>
      </c>
      <c r="L8651" s="6">
        <f>IFERROR(IF(INDEX(tProdutos[Desconto homologado],MATCH(tItens[[#This Row],[Produto]],tProdutos[Produto],0))="",DescontoPadrao,INDEX(tProdutos[Desconto homologado],MATCH(tItens[[#This Row],[Produto]],tProdutos[Produto],0))),DescontoPadrao)</f>
        <v>0.50460666194188497</v>
      </c>
      <c r="M8651" s="12">
        <f>tItens[[#This Row],[Valor]]*(1-tItens[[#This Row],[Desconto]])</f>
        <v>2247.10418143161</v>
      </c>
      <c r="N8651" t="str">
        <f>IFERROR(INDEX(tProdutos[Foco],MATCH(tItens[[#This Row],[Produto]],tProdutos[Produto],0)),"Não")</f>
        <v>Não</v>
      </c>
      <c r="O8651" t="str">
        <f>IFERROR(INDEX(tEditais[SRP],MATCH(tItens[[#This Row],[Edital]],tEditais[Edital],0)),"Não")</f>
        <v>Sim</v>
      </c>
      <c r="P8651" s="4">
        <f>IF(COUNTIFS(INDEX(tItens[Edital],1):tItens[[#This Row],[Edital]],tItens[[#This Row],[Edital]],INDEX(tItens[Produto],1):tItens[[#This Row],[Produto]],tItens[[#This Row],[Produto]])=1,1,0)</f>
        <v>1</v>
      </c>
    </row>
    <row r="8652" spans="1:16" x14ac:dyDescent="0.25">
      <c r="A8652" t="s">
        <v>2882</v>
      </c>
      <c r="B8652">
        <v>71</v>
      </c>
      <c r="C8652" t="s">
        <v>11064</v>
      </c>
      <c r="D8652" t="s">
        <v>267</v>
      </c>
      <c r="E8652" s="13">
        <v>200</v>
      </c>
      <c r="F8652" s="12">
        <v>19.25</v>
      </c>
      <c r="G8652" t="str">
        <f>IFERROR(INDEX(tEditais[Órgão],MATCH(tItens[[#This Row],[Edital]],tEditais[Edital],0)),"")</f>
        <v>MUNICIPIO DE SARUTAIA</v>
      </c>
      <c r="H8652" t="str">
        <f>IFERROR(INDEX(tEditais[UF],MATCH(tItens[[#This Row],[Edital]],tEditais[Edital],0)),"")</f>
        <v>SP</v>
      </c>
      <c r="I8652" s="11">
        <f>IFERROR(INDEX(tEditais[Encerramento],MATCH(tItens[[#This Row],[Edital]],tEditais[Edital],0)),"")</f>
        <v>46309.291666666664</v>
      </c>
      <c r="J8652" t="str">
        <f>IFERROR(INDEX(tProdutos[Classe],MATCH(tItens[[#This Row],[Produto]],tProdutos[Produto],0)),"produto não cadastrado")</f>
        <v>FORA</v>
      </c>
      <c r="K8652" s="12">
        <f>tItens[[#This Row],[Qtd]]*tItens[[#This Row],[Vlr unit]]</f>
        <v>3850</v>
      </c>
      <c r="L8652" s="6">
        <f>IFERROR(IF(INDEX(tProdutos[Desconto homologado],MATCH(tItens[[#This Row],[Produto]],tProdutos[Produto],0))="",DescontoPadrao,INDEX(tProdutos[Desconto homologado],MATCH(tItens[[#This Row],[Produto]],tProdutos[Produto],0))),DescontoPadrao)</f>
        <v>0.19963672657401599</v>
      </c>
      <c r="M8652" s="12">
        <f>tItens[[#This Row],[Valor]]*(1-tItens[[#This Row],[Desconto]])</f>
        <v>3081.3986026900384</v>
      </c>
      <c r="N8652" t="str">
        <f>IFERROR(INDEX(tProdutos[Foco],MATCH(tItens[[#This Row],[Produto]],tProdutos[Produto],0)),"Não")</f>
        <v>Não</v>
      </c>
      <c r="O8652" t="str">
        <f>IFERROR(INDEX(tEditais[SRP],MATCH(tItens[[#This Row],[Edital]],tEditais[Edital],0)),"Não")</f>
        <v>Sim</v>
      </c>
      <c r="P8652" s="4">
        <f>IF(COUNTIFS(INDEX(tItens[Edital],1):tItens[[#This Row],[Edital]],tItens[[#This Row],[Edital]],INDEX(tItens[Produto],1):tItens[[#This Row],[Produto]],tItens[[#This Row],[Produto]])=1,1,0)</f>
        <v>1</v>
      </c>
    </row>
    <row r="8653" spans="1:16" x14ac:dyDescent="0.25">
      <c r="A8653" t="s">
        <v>2882</v>
      </c>
      <c r="B8653">
        <v>73</v>
      </c>
      <c r="C8653" t="s">
        <v>11065</v>
      </c>
      <c r="D8653" t="s">
        <v>313</v>
      </c>
      <c r="E8653" s="13">
        <v>150</v>
      </c>
      <c r="F8653" s="12">
        <v>36.78</v>
      </c>
      <c r="G8653" t="str">
        <f>IFERROR(INDEX(tEditais[Órgão],MATCH(tItens[[#This Row],[Edital]],tEditais[Edital],0)),"")</f>
        <v>MUNICIPIO DE SARUTAIA</v>
      </c>
      <c r="H8653" t="str">
        <f>IFERROR(INDEX(tEditais[UF],MATCH(tItens[[#This Row],[Edital]],tEditais[Edital],0)),"")</f>
        <v>SP</v>
      </c>
      <c r="I8653" s="11">
        <f>IFERROR(INDEX(tEditais[Encerramento],MATCH(tItens[[#This Row],[Edital]],tEditais[Edital],0)),"")</f>
        <v>46309.291666666664</v>
      </c>
      <c r="J8653" t="str">
        <f>IFERROR(INDEX(tProdutos[Classe],MATCH(tItens[[#This Row],[Produto]],tProdutos[Produto],0)),"produto não cadastrado")</f>
        <v>FORA</v>
      </c>
      <c r="K8653" s="12">
        <f>tItens[[#This Row],[Qtd]]*tItens[[#This Row],[Vlr unit]]</f>
        <v>5517</v>
      </c>
      <c r="L8653" s="6">
        <f>IFERROR(IF(INDEX(tProdutos[Desconto homologado],MATCH(tItens[[#This Row],[Produto]],tProdutos[Produto],0))="",DescontoPadrao,INDEX(tProdutos[Desconto homologado],MATCH(tItens[[#This Row],[Produto]],tProdutos[Produto],0))),DescontoPadrao)</f>
        <v>0.35766373163696302</v>
      </c>
      <c r="M8653" s="12">
        <f>tItens[[#This Row],[Valor]]*(1-tItens[[#This Row],[Desconto]])</f>
        <v>3543.7691925588747</v>
      </c>
      <c r="N8653" t="str">
        <f>IFERROR(INDEX(tProdutos[Foco],MATCH(tItens[[#This Row],[Produto]],tProdutos[Produto],0)),"Não")</f>
        <v>Não</v>
      </c>
      <c r="O8653" t="str">
        <f>IFERROR(INDEX(tEditais[SRP],MATCH(tItens[[#This Row],[Edital]],tEditais[Edital],0)),"Não")</f>
        <v>Sim</v>
      </c>
      <c r="P8653" s="4">
        <f>IF(COUNTIFS(INDEX(tItens[Edital],1):tItens[[#This Row],[Edital]],tItens[[#This Row],[Edital]],INDEX(tItens[Produto],1):tItens[[#This Row],[Produto]],tItens[[#This Row],[Produto]])=1,1,0)</f>
        <v>1</v>
      </c>
    </row>
    <row r="8654" spans="1:16" x14ac:dyDescent="0.25">
      <c r="A8654" t="s">
        <v>2882</v>
      </c>
      <c r="B8654">
        <v>74</v>
      </c>
      <c r="C8654" t="s">
        <v>11066</v>
      </c>
      <c r="D8654" t="s">
        <v>313</v>
      </c>
      <c r="E8654" s="13">
        <v>300</v>
      </c>
      <c r="F8654" s="12">
        <v>38.200000000000003</v>
      </c>
      <c r="G8654" t="str">
        <f>IFERROR(INDEX(tEditais[Órgão],MATCH(tItens[[#This Row],[Edital]],tEditais[Edital],0)),"")</f>
        <v>MUNICIPIO DE SARUTAIA</v>
      </c>
      <c r="H8654" t="str">
        <f>IFERROR(INDEX(tEditais[UF],MATCH(tItens[[#This Row],[Edital]],tEditais[Edital],0)),"")</f>
        <v>SP</v>
      </c>
      <c r="I8654" s="11">
        <f>IFERROR(INDEX(tEditais[Encerramento],MATCH(tItens[[#This Row],[Edital]],tEditais[Edital],0)),"")</f>
        <v>46309.291666666664</v>
      </c>
      <c r="J8654" t="str">
        <f>IFERROR(INDEX(tProdutos[Classe],MATCH(tItens[[#This Row],[Produto]],tProdutos[Produto],0)),"produto não cadastrado")</f>
        <v>FORA</v>
      </c>
      <c r="K8654" s="12">
        <f>tItens[[#This Row],[Qtd]]*tItens[[#This Row],[Vlr unit]]</f>
        <v>11460</v>
      </c>
      <c r="L8654" s="6">
        <f>IFERROR(IF(INDEX(tProdutos[Desconto homologado],MATCH(tItens[[#This Row],[Produto]],tProdutos[Produto],0))="",DescontoPadrao,INDEX(tProdutos[Desconto homologado],MATCH(tItens[[#This Row],[Produto]],tProdutos[Produto],0))),DescontoPadrao)</f>
        <v>0.35766373163696302</v>
      </c>
      <c r="M8654" s="12">
        <f>tItens[[#This Row],[Valor]]*(1-tItens[[#This Row],[Desconto]])</f>
        <v>7361.1736354404029</v>
      </c>
      <c r="N8654" t="str">
        <f>IFERROR(INDEX(tProdutos[Foco],MATCH(tItens[[#This Row],[Produto]],tProdutos[Produto],0)),"Não")</f>
        <v>Não</v>
      </c>
      <c r="O8654" t="str">
        <f>IFERROR(INDEX(tEditais[SRP],MATCH(tItens[[#This Row],[Edital]],tEditais[Edital],0)),"Não")</f>
        <v>Sim</v>
      </c>
      <c r="P8654" s="4">
        <f>IF(COUNTIFS(INDEX(tItens[Edital],1):tItens[[#This Row],[Edital]],tItens[[#This Row],[Edital]],INDEX(tItens[Produto],1):tItens[[#This Row],[Produto]],tItens[[#This Row],[Produto]])=1,1,0)</f>
        <v>0</v>
      </c>
    </row>
    <row r="8655" spans="1:16" x14ac:dyDescent="0.25">
      <c r="A8655" t="s">
        <v>2882</v>
      </c>
      <c r="B8655">
        <v>75</v>
      </c>
      <c r="C8655" t="s">
        <v>11067</v>
      </c>
      <c r="D8655" t="s">
        <v>313</v>
      </c>
      <c r="E8655" s="13">
        <v>300</v>
      </c>
      <c r="F8655" s="12">
        <v>36.96</v>
      </c>
      <c r="G8655" t="str">
        <f>IFERROR(INDEX(tEditais[Órgão],MATCH(tItens[[#This Row],[Edital]],tEditais[Edital],0)),"")</f>
        <v>MUNICIPIO DE SARUTAIA</v>
      </c>
      <c r="H8655" t="str">
        <f>IFERROR(INDEX(tEditais[UF],MATCH(tItens[[#This Row],[Edital]],tEditais[Edital],0)),"")</f>
        <v>SP</v>
      </c>
      <c r="I8655" s="11">
        <f>IFERROR(INDEX(tEditais[Encerramento],MATCH(tItens[[#This Row],[Edital]],tEditais[Edital],0)),"")</f>
        <v>46309.291666666664</v>
      </c>
      <c r="J8655" t="str">
        <f>IFERROR(INDEX(tProdutos[Classe],MATCH(tItens[[#This Row],[Produto]],tProdutos[Produto],0)),"produto não cadastrado")</f>
        <v>FORA</v>
      </c>
      <c r="K8655" s="12">
        <f>tItens[[#This Row],[Qtd]]*tItens[[#This Row],[Vlr unit]]</f>
        <v>11088</v>
      </c>
      <c r="L8655" s="6">
        <f>IFERROR(IF(INDEX(tProdutos[Desconto homologado],MATCH(tItens[[#This Row],[Produto]],tProdutos[Produto],0))="",DescontoPadrao,INDEX(tProdutos[Desconto homologado],MATCH(tItens[[#This Row],[Produto]],tProdutos[Produto],0))),DescontoPadrao)</f>
        <v>0.35766373163696302</v>
      </c>
      <c r="M8655" s="12">
        <f>tItens[[#This Row],[Valor]]*(1-tItens[[#This Row],[Desconto]])</f>
        <v>7122.2245436093535</v>
      </c>
      <c r="N8655" t="str">
        <f>IFERROR(INDEX(tProdutos[Foco],MATCH(tItens[[#This Row],[Produto]],tProdutos[Produto],0)),"Não")</f>
        <v>Não</v>
      </c>
      <c r="O8655" t="str">
        <f>IFERROR(INDEX(tEditais[SRP],MATCH(tItens[[#This Row],[Edital]],tEditais[Edital],0)),"Não")</f>
        <v>Sim</v>
      </c>
      <c r="P8655" s="4">
        <f>IF(COUNTIFS(INDEX(tItens[Edital],1):tItens[[#This Row],[Edital]],tItens[[#This Row],[Edital]],INDEX(tItens[Produto],1):tItens[[#This Row],[Produto]],tItens[[#This Row],[Produto]])=1,1,0)</f>
        <v>0</v>
      </c>
    </row>
    <row r="8656" spans="1:16" x14ac:dyDescent="0.25">
      <c r="A8656" t="s">
        <v>2882</v>
      </c>
      <c r="B8656">
        <v>85</v>
      </c>
      <c r="C8656" t="s">
        <v>11068</v>
      </c>
      <c r="D8656" t="s">
        <v>267</v>
      </c>
      <c r="E8656" s="13">
        <v>800</v>
      </c>
      <c r="F8656" s="12">
        <v>13.77</v>
      </c>
      <c r="G8656" t="str">
        <f>IFERROR(INDEX(tEditais[Órgão],MATCH(tItens[[#This Row],[Edital]],tEditais[Edital],0)),"")</f>
        <v>MUNICIPIO DE SARUTAIA</v>
      </c>
      <c r="H8656" t="str">
        <f>IFERROR(INDEX(tEditais[UF],MATCH(tItens[[#This Row],[Edital]],tEditais[Edital],0)),"")</f>
        <v>SP</v>
      </c>
      <c r="I8656" s="11">
        <f>IFERROR(INDEX(tEditais[Encerramento],MATCH(tItens[[#This Row],[Edital]],tEditais[Edital],0)),"")</f>
        <v>46309.291666666664</v>
      </c>
      <c r="J8656" t="str">
        <f>IFERROR(INDEX(tProdutos[Classe],MATCH(tItens[[#This Row],[Produto]],tProdutos[Produto],0)),"produto não cadastrado")</f>
        <v>FORA</v>
      </c>
      <c r="K8656" s="12">
        <f>tItens[[#This Row],[Qtd]]*tItens[[#This Row],[Vlr unit]]</f>
        <v>11016</v>
      </c>
      <c r="L8656" s="6">
        <f>IFERROR(IF(INDEX(tProdutos[Desconto homologado],MATCH(tItens[[#This Row],[Produto]],tProdutos[Produto],0))="",DescontoPadrao,INDEX(tProdutos[Desconto homologado],MATCH(tItens[[#This Row],[Produto]],tProdutos[Produto],0))),DescontoPadrao)</f>
        <v>0.19963672657401599</v>
      </c>
      <c r="M8656" s="12">
        <f>tItens[[#This Row],[Valor]]*(1-tItens[[#This Row],[Desconto]])</f>
        <v>8816.8018200606402</v>
      </c>
      <c r="N8656" t="str">
        <f>IFERROR(INDEX(tProdutos[Foco],MATCH(tItens[[#This Row],[Produto]],tProdutos[Produto],0)),"Não")</f>
        <v>Não</v>
      </c>
      <c r="O8656" t="str">
        <f>IFERROR(INDEX(tEditais[SRP],MATCH(tItens[[#This Row],[Edital]],tEditais[Edital],0)),"Não")</f>
        <v>Sim</v>
      </c>
      <c r="P8656" s="4">
        <f>IF(COUNTIFS(INDEX(tItens[Edital],1):tItens[[#This Row],[Edital]],tItens[[#This Row],[Edital]],INDEX(tItens[Produto],1):tItens[[#This Row],[Produto]],tItens[[#This Row],[Produto]])=1,1,0)</f>
        <v>0</v>
      </c>
    </row>
    <row r="8657" spans="1:16" x14ac:dyDescent="0.25">
      <c r="A8657" t="s">
        <v>2882</v>
      </c>
      <c r="B8657">
        <v>89</v>
      </c>
      <c r="C8657" t="s">
        <v>11069</v>
      </c>
      <c r="D8657" t="s">
        <v>255</v>
      </c>
      <c r="E8657" s="13">
        <v>30</v>
      </c>
      <c r="F8657" s="12">
        <v>75.75</v>
      </c>
      <c r="G8657" t="str">
        <f>IFERROR(INDEX(tEditais[Órgão],MATCH(tItens[[#This Row],[Edital]],tEditais[Edital],0)),"")</f>
        <v>MUNICIPIO DE SARUTAIA</v>
      </c>
      <c r="H8657" t="str">
        <f>IFERROR(INDEX(tEditais[UF],MATCH(tItens[[#This Row],[Edital]],tEditais[Edital],0)),"")</f>
        <v>SP</v>
      </c>
      <c r="I8657" s="11">
        <f>IFERROR(INDEX(tEditais[Encerramento],MATCH(tItens[[#This Row],[Edital]],tEditais[Edital],0)),"")</f>
        <v>46309.291666666664</v>
      </c>
      <c r="J8657" t="str">
        <f>IFERROR(INDEX(tProdutos[Classe],MATCH(tItens[[#This Row],[Produto]],tProdutos[Produto],0)),"produto não cadastrado")</f>
        <v>DISPUTADO</v>
      </c>
      <c r="K8657" s="12">
        <f>tItens[[#This Row],[Qtd]]*tItens[[#This Row],[Vlr unit]]</f>
        <v>2272.5</v>
      </c>
      <c r="L8657" s="6">
        <f>IFERROR(IF(INDEX(tProdutos[Desconto homologado],MATCH(tItens[[#This Row],[Produto]],tProdutos[Produto],0))="",DescontoPadrao,INDEX(tProdutos[Desconto homologado],MATCH(tItens[[#This Row],[Produto]],tProdutos[Produto],0))),DescontoPadrao)</f>
        <v>0.30555555555555602</v>
      </c>
      <c r="M8657" s="12">
        <f>tItens[[#This Row],[Valor]]*(1-tItens[[#This Row],[Desconto]])</f>
        <v>1578.1249999999989</v>
      </c>
      <c r="N8657" t="str">
        <f>IFERROR(INDEX(tProdutos[Foco],MATCH(tItens[[#This Row],[Produto]],tProdutos[Produto],0)),"Não")</f>
        <v>Não</v>
      </c>
      <c r="O8657" t="str">
        <f>IFERROR(INDEX(tEditais[SRP],MATCH(tItens[[#This Row],[Edital]],tEditais[Edital],0)),"Não")</f>
        <v>Sim</v>
      </c>
      <c r="P8657" s="4">
        <f>IF(COUNTIFS(INDEX(tItens[Edital],1):tItens[[#This Row],[Edital]],tItens[[#This Row],[Edital]],INDEX(tItens[Produto],1):tItens[[#This Row],[Produto]],tItens[[#This Row],[Produto]])=1,1,0)</f>
        <v>1</v>
      </c>
    </row>
    <row r="8658" spans="1:16" x14ac:dyDescent="0.25">
      <c r="A8658" t="s">
        <v>2882</v>
      </c>
      <c r="B8658">
        <v>90</v>
      </c>
      <c r="C8658" t="s">
        <v>11070</v>
      </c>
      <c r="D8658" t="s">
        <v>255</v>
      </c>
      <c r="E8658" s="13">
        <v>30</v>
      </c>
      <c r="F8658" s="12">
        <v>47.95</v>
      </c>
      <c r="G8658" t="str">
        <f>IFERROR(INDEX(tEditais[Órgão],MATCH(tItens[[#This Row],[Edital]],tEditais[Edital],0)),"")</f>
        <v>MUNICIPIO DE SARUTAIA</v>
      </c>
      <c r="H8658" t="str">
        <f>IFERROR(INDEX(tEditais[UF],MATCH(tItens[[#This Row],[Edital]],tEditais[Edital],0)),"")</f>
        <v>SP</v>
      </c>
      <c r="I8658" s="11">
        <f>IFERROR(INDEX(tEditais[Encerramento],MATCH(tItens[[#This Row],[Edital]],tEditais[Edital],0)),"")</f>
        <v>46309.291666666664</v>
      </c>
      <c r="J8658" t="str">
        <f>IFERROR(INDEX(tProdutos[Classe],MATCH(tItens[[#This Row],[Produto]],tProdutos[Produto],0)),"produto não cadastrado")</f>
        <v>DISPUTADO</v>
      </c>
      <c r="K8658" s="12">
        <f>tItens[[#This Row],[Qtd]]*tItens[[#This Row],[Vlr unit]]</f>
        <v>1438.5</v>
      </c>
      <c r="L8658" s="6">
        <f>IFERROR(IF(INDEX(tProdutos[Desconto homologado],MATCH(tItens[[#This Row],[Produto]],tProdutos[Produto],0))="",DescontoPadrao,INDEX(tProdutos[Desconto homologado],MATCH(tItens[[#This Row],[Produto]],tProdutos[Produto],0))),DescontoPadrao)</f>
        <v>0.30555555555555602</v>
      </c>
      <c r="M8658" s="12">
        <f>tItens[[#This Row],[Valor]]*(1-tItens[[#This Row],[Desconto]])</f>
        <v>998.95833333333269</v>
      </c>
      <c r="N8658" t="str">
        <f>IFERROR(INDEX(tProdutos[Foco],MATCH(tItens[[#This Row],[Produto]],tProdutos[Produto],0)),"Não")</f>
        <v>Não</v>
      </c>
      <c r="O8658" t="str">
        <f>IFERROR(INDEX(tEditais[SRP],MATCH(tItens[[#This Row],[Edital]],tEditais[Edital],0)),"Não")</f>
        <v>Sim</v>
      </c>
      <c r="P8658" s="4">
        <f>IF(COUNTIFS(INDEX(tItens[Edital],1):tItens[[#This Row],[Edital]],tItens[[#This Row],[Edital]],INDEX(tItens[Produto],1):tItens[[#This Row],[Produto]],tItens[[#This Row],[Produto]])=1,1,0)</f>
        <v>0</v>
      </c>
    </row>
    <row r="8659" spans="1:16" x14ac:dyDescent="0.25">
      <c r="A8659" t="s">
        <v>2882</v>
      </c>
      <c r="B8659">
        <v>91</v>
      </c>
      <c r="C8659" t="s">
        <v>11071</v>
      </c>
      <c r="D8659" t="s">
        <v>255</v>
      </c>
      <c r="E8659" s="13">
        <v>30</v>
      </c>
      <c r="F8659" s="12">
        <v>32.450000000000003</v>
      </c>
      <c r="G8659" t="str">
        <f>IFERROR(INDEX(tEditais[Órgão],MATCH(tItens[[#This Row],[Edital]],tEditais[Edital],0)),"")</f>
        <v>MUNICIPIO DE SARUTAIA</v>
      </c>
      <c r="H8659" t="str">
        <f>IFERROR(INDEX(tEditais[UF],MATCH(tItens[[#This Row],[Edital]],tEditais[Edital],0)),"")</f>
        <v>SP</v>
      </c>
      <c r="I8659" s="11">
        <f>IFERROR(INDEX(tEditais[Encerramento],MATCH(tItens[[#This Row],[Edital]],tEditais[Edital],0)),"")</f>
        <v>46309.291666666664</v>
      </c>
      <c r="J8659" t="str">
        <f>IFERROR(INDEX(tProdutos[Classe],MATCH(tItens[[#This Row],[Produto]],tProdutos[Produto],0)),"produto não cadastrado")</f>
        <v>DISPUTADO</v>
      </c>
      <c r="K8659" s="12">
        <f>tItens[[#This Row],[Qtd]]*tItens[[#This Row],[Vlr unit]]</f>
        <v>973.50000000000011</v>
      </c>
      <c r="L8659" s="6">
        <f>IFERROR(IF(INDEX(tProdutos[Desconto homologado],MATCH(tItens[[#This Row],[Produto]],tProdutos[Produto],0))="",DescontoPadrao,INDEX(tProdutos[Desconto homologado],MATCH(tItens[[#This Row],[Produto]],tProdutos[Produto],0))),DescontoPadrao)</f>
        <v>0.30555555555555602</v>
      </c>
      <c r="M8659" s="12">
        <f>tItens[[#This Row],[Valor]]*(1-tItens[[#This Row],[Desconto]])</f>
        <v>676.04166666666629</v>
      </c>
      <c r="N8659" t="str">
        <f>IFERROR(INDEX(tProdutos[Foco],MATCH(tItens[[#This Row],[Produto]],tProdutos[Produto],0)),"Não")</f>
        <v>Não</v>
      </c>
      <c r="O8659" t="str">
        <f>IFERROR(INDEX(tEditais[SRP],MATCH(tItens[[#This Row],[Edital]],tEditais[Edital],0)),"Não")</f>
        <v>Sim</v>
      </c>
      <c r="P8659" s="4">
        <f>IF(COUNTIFS(INDEX(tItens[Edital],1):tItens[[#This Row],[Edital]],tItens[[#This Row],[Edital]],INDEX(tItens[Produto],1):tItens[[#This Row],[Produto]],tItens[[#This Row],[Produto]])=1,1,0)</f>
        <v>0</v>
      </c>
    </row>
    <row r="8660" spans="1:16" x14ac:dyDescent="0.25">
      <c r="A8660" t="s">
        <v>2882</v>
      </c>
      <c r="B8660">
        <v>95</v>
      </c>
      <c r="C8660" t="s">
        <v>11072</v>
      </c>
      <c r="D8660" t="s">
        <v>281</v>
      </c>
      <c r="E8660" s="13">
        <v>10000</v>
      </c>
      <c r="F8660" s="12">
        <v>0.73</v>
      </c>
      <c r="G8660" t="str">
        <f>IFERROR(INDEX(tEditais[Órgão],MATCH(tItens[[#This Row],[Edital]],tEditais[Edital],0)),"")</f>
        <v>MUNICIPIO DE SARUTAIA</v>
      </c>
      <c r="H8660" t="str">
        <f>IFERROR(INDEX(tEditais[UF],MATCH(tItens[[#This Row],[Edital]],tEditais[Edital],0)),"")</f>
        <v>SP</v>
      </c>
      <c r="I8660" s="11">
        <f>IFERROR(INDEX(tEditais[Encerramento],MATCH(tItens[[#This Row],[Edital]],tEditais[Edital],0)),"")</f>
        <v>46309.291666666664</v>
      </c>
      <c r="J8660" t="str">
        <f>IFERROR(INDEX(tProdutos[Classe],MATCH(tItens[[#This Row],[Produto]],tProdutos[Produto],0)),"produto não cadastrado")</f>
        <v>DISPUTADO</v>
      </c>
      <c r="K8660" s="12">
        <f>tItens[[#This Row],[Qtd]]*tItens[[#This Row],[Vlr unit]]</f>
        <v>7300</v>
      </c>
      <c r="L8660" s="6">
        <f>IFERROR(IF(INDEX(tProdutos[Desconto homologado],MATCH(tItens[[#This Row],[Produto]],tProdutos[Produto],0))="",DescontoPadrao,INDEX(tProdutos[Desconto homologado],MATCH(tItens[[#This Row],[Produto]],tProdutos[Produto],0))),DescontoPadrao)</f>
        <v>0.42461538461538501</v>
      </c>
      <c r="M8660" s="12">
        <f>tItens[[#This Row],[Valor]]*(1-tItens[[#This Row],[Desconto]])</f>
        <v>4200.3076923076887</v>
      </c>
      <c r="N8660" t="str">
        <f>IFERROR(INDEX(tProdutos[Foco],MATCH(tItens[[#This Row],[Produto]],tProdutos[Produto],0)),"Não")</f>
        <v>Não</v>
      </c>
      <c r="O8660" t="str">
        <f>IFERROR(INDEX(tEditais[SRP],MATCH(tItens[[#This Row],[Edital]],tEditais[Edital],0)),"Não")</f>
        <v>Sim</v>
      </c>
      <c r="P8660" s="4">
        <f>IF(COUNTIFS(INDEX(tItens[Edital],1):tItens[[#This Row],[Edital]],tItens[[#This Row],[Edital]],INDEX(tItens[Produto],1):tItens[[#This Row],[Produto]],tItens[[#This Row],[Produto]])=1,1,0)</f>
        <v>1</v>
      </c>
    </row>
    <row r="8661" spans="1:16" x14ac:dyDescent="0.25">
      <c r="A8661" t="s">
        <v>2882</v>
      </c>
      <c r="B8661">
        <v>96</v>
      </c>
      <c r="C8661" t="s">
        <v>11073</v>
      </c>
      <c r="D8661" t="s">
        <v>289</v>
      </c>
      <c r="E8661" s="13">
        <v>10000</v>
      </c>
      <c r="F8661" s="12">
        <v>1.2</v>
      </c>
      <c r="G8661" t="str">
        <f>IFERROR(INDEX(tEditais[Órgão],MATCH(tItens[[#This Row],[Edital]],tEditais[Edital],0)),"")</f>
        <v>MUNICIPIO DE SARUTAIA</v>
      </c>
      <c r="H8661" t="str">
        <f>IFERROR(INDEX(tEditais[UF],MATCH(tItens[[#This Row],[Edital]],tEditais[Edital],0)),"")</f>
        <v>SP</v>
      </c>
      <c r="I8661" s="11">
        <f>IFERROR(INDEX(tEditais[Encerramento],MATCH(tItens[[#This Row],[Edital]],tEditais[Edital],0)),"")</f>
        <v>46309.291666666664</v>
      </c>
      <c r="J8661" t="str">
        <f>IFERROR(INDEX(tProdutos[Classe],MATCH(tItens[[#This Row],[Produto]],tProdutos[Produto],0)),"produto não cadastrado")</f>
        <v>DISPUTADO</v>
      </c>
      <c r="K8661" s="12">
        <f>tItens[[#This Row],[Qtd]]*tItens[[#This Row],[Vlr unit]]</f>
        <v>12000</v>
      </c>
      <c r="L8661" s="6">
        <f>IFERROR(IF(INDEX(tProdutos[Desconto homologado],MATCH(tItens[[#This Row],[Produto]],tProdutos[Produto],0))="",DescontoPadrao,INDEX(tProdutos[Desconto homologado],MATCH(tItens[[#This Row],[Produto]],tProdutos[Produto],0))),DescontoPadrao)</f>
        <v>0.35849056603773599</v>
      </c>
      <c r="M8661" s="12">
        <f>tItens[[#This Row],[Valor]]*(1-tItens[[#This Row],[Desconto]])</f>
        <v>7698.1132075471678</v>
      </c>
      <c r="N8661" t="str">
        <f>IFERROR(INDEX(tProdutos[Foco],MATCH(tItens[[#This Row],[Produto]],tProdutos[Produto],0)),"Não")</f>
        <v>Não</v>
      </c>
      <c r="O8661" t="str">
        <f>IFERROR(INDEX(tEditais[SRP],MATCH(tItens[[#This Row],[Edital]],tEditais[Edital],0)),"Não")</f>
        <v>Sim</v>
      </c>
      <c r="P8661" s="4">
        <f>IF(COUNTIFS(INDEX(tItens[Edital],1):tItens[[#This Row],[Edital]],tItens[[#This Row],[Edital]],INDEX(tItens[Produto],1):tItens[[#This Row],[Produto]],tItens[[#This Row],[Produto]])=1,1,0)</f>
        <v>1</v>
      </c>
    </row>
    <row r="8662" spans="1:16" x14ac:dyDescent="0.25">
      <c r="A8662" t="s">
        <v>2882</v>
      </c>
      <c r="B8662">
        <v>97</v>
      </c>
      <c r="C8662" t="s">
        <v>11074</v>
      </c>
      <c r="D8662" t="s">
        <v>283</v>
      </c>
      <c r="E8662" s="13">
        <v>30000</v>
      </c>
      <c r="F8662" s="12">
        <v>0.47</v>
      </c>
      <c r="G8662" t="str">
        <f>IFERROR(INDEX(tEditais[Órgão],MATCH(tItens[[#This Row],[Edital]],tEditais[Edital],0)),"")</f>
        <v>MUNICIPIO DE SARUTAIA</v>
      </c>
      <c r="H8662" t="str">
        <f>IFERROR(INDEX(tEditais[UF],MATCH(tItens[[#This Row],[Edital]],tEditais[Edital],0)),"")</f>
        <v>SP</v>
      </c>
      <c r="I8662" s="11">
        <f>IFERROR(INDEX(tEditais[Encerramento],MATCH(tItens[[#This Row],[Edital]],tEditais[Edital],0)),"")</f>
        <v>46309.291666666664</v>
      </c>
      <c r="J8662" t="str">
        <f>IFERROR(INDEX(tProdutos[Classe],MATCH(tItens[[#This Row],[Produto]],tProdutos[Produto],0)),"produto não cadastrado")</f>
        <v>FORA</v>
      </c>
      <c r="K8662" s="12">
        <f>tItens[[#This Row],[Qtd]]*tItens[[#This Row],[Vlr unit]]</f>
        <v>14100</v>
      </c>
      <c r="L8662" s="6">
        <f>IFERROR(IF(INDEX(tProdutos[Desconto homologado],MATCH(tItens[[#This Row],[Produto]],tProdutos[Produto],0))="",DescontoPadrao,INDEX(tProdutos[Desconto homologado],MATCH(tItens[[#This Row],[Produto]],tProdutos[Produto],0))),DescontoPadrao)</f>
        <v>0.40540540540540498</v>
      </c>
      <c r="M8662" s="12">
        <f>tItens[[#This Row],[Valor]]*(1-tItens[[#This Row],[Desconto]])</f>
        <v>8383.7837837837887</v>
      </c>
      <c r="N8662" t="str">
        <f>IFERROR(INDEX(tProdutos[Foco],MATCH(tItens[[#This Row],[Produto]],tProdutos[Produto],0)),"Não")</f>
        <v>Não</v>
      </c>
      <c r="O8662" t="str">
        <f>IFERROR(INDEX(tEditais[SRP],MATCH(tItens[[#This Row],[Edital]],tEditais[Edital],0)),"Não")</f>
        <v>Sim</v>
      </c>
      <c r="P8662" s="4">
        <f>IF(COUNTIFS(INDEX(tItens[Edital],1):tItens[[#This Row],[Edital]],tItens[[#This Row],[Edital]],INDEX(tItens[Produto],1):tItens[[#This Row],[Produto]],tItens[[#This Row],[Produto]])=1,1,0)</f>
        <v>1</v>
      </c>
    </row>
    <row r="8663" spans="1:16" x14ac:dyDescent="0.25">
      <c r="A8663" t="s">
        <v>2882</v>
      </c>
      <c r="B8663">
        <v>98</v>
      </c>
      <c r="C8663" t="s">
        <v>11075</v>
      </c>
      <c r="D8663" t="s">
        <v>265</v>
      </c>
      <c r="E8663" s="13">
        <v>15000</v>
      </c>
      <c r="F8663" s="12">
        <v>0.53</v>
      </c>
      <c r="G8663" t="str">
        <f>IFERROR(INDEX(tEditais[Órgão],MATCH(tItens[[#This Row],[Edital]],tEditais[Edital],0)),"")</f>
        <v>MUNICIPIO DE SARUTAIA</v>
      </c>
      <c r="H8663" t="str">
        <f>IFERROR(INDEX(tEditais[UF],MATCH(tItens[[#This Row],[Edital]],tEditais[Edital],0)),"")</f>
        <v>SP</v>
      </c>
      <c r="I8663" s="11">
        <f>IFERROR(INDEX(tEditais[Encerramento],MATCH(tItens[[#This Row],[Edital]],tEditais[Edital],0)),"")</f>
        <v>46309.291666666664</v>
      </c>
      <c r="J8663" t="str">
        <f>IFERROR(INDEX(tProdutos[Classe],MATCH(tItens[[#This Row],[Produto]],tProdutos[Produto],0)),"produto não cadastrado")</f>
        <v>DISPUTADO</v>
      </c>
      <c r="K8663" s="12">
        <f>tItens[[#This Row],[Qtd]]*tItens[[#This Row],[Vlr unit]]</f>
        <v>7950</v>
      </c>
      <c r="L8663" s="6">
        <f>IFERROR(IF(INDEX(tProdutos[Desconto homologado],MATCH(tItens[[#This Row],[Produto]],tProdutos[Produto],0))="",DescontoPadrao,INDEX(tProdutos[Desconto homologado],MATCH(tItens[[#This Row],[Produto]],tProdutos[Produto],0))),DescontoPadrao)</f>
        <v>0.377587663709337</v>
      </c>
      <c r="M8663" s="12">
        <f>tItens[[#This Row],[Valor]]*(1-tItens[[#This Row],[Desconto]])</f>
        <v>4948.1780735107714</v>
      </c>
      <c r="N8663" t="str">
        <f>IFERROR(INDEX(tProdutos[Foco],MATCH(tItens[[#This Row],[Produto]],tProdutos[Produto],0)),"Não")</f>
        <v>Não</v>
      </c>
      <c r="O8663" t="str">
        <f>IFERROR(INDEX(tEditais[SRP],MATCH(tItens[[#This Row],[Edital]],tEditais[Edital],0)),"Não")</f>
        <v>Sim</v>
      </c>
      <c r="P8663" s="4">
        <f>IF(COUNTIFS(INDEX(tItens[Edital],1):tItens[[#This Row],[Edital]],tItens[[#This Row],[Edital]],INDEX(tItens[Produto],1):tItens[[#This Row],[Produto]],tItens[[#This Row],[Produto]])=1,1,0)</f>
        <v>1</v>
      </c>
    </row>
    <row r="8664" spans="1:16" x14ac:dyDescent="0.25">
      <c r="A8664" t="s">
        <v>2882</v>
      </c>
      <c r="B8664">
        <v>99</v>
      </c>
      <c r="C8664" t="s">
        <v>11076</v>
      </c>
      <c r="D8664" t="s">
        <v>275</v>
      </c>
      <c r="E8664" s="13">
        <v>20000</v>
      </c>
      <c r="F8664" s="12">
        <v>1.71</v>
      </c>
      <c r="G8664" t="str">
        <f>IFERROR(INDEX(tEditais[Órgão],MATCH(tItens[[#This Row],[Edital]],tEditais[Edital],0)),"")</f>
        <v>MUNICIPIO DE SARUTAIA</v>
      </c>
      <c r="H8664" t="str">
        <f>IFERROR(INDEX(tEditais[UF],MATCH(tItens[[#This Row],[Edital]],tEditais[Edital],0)),"")</f>
        <v>SP</v>
      </c>
      <c r="I8664" s="11">
        <f>IFERROR(INDEX(tEditais[Encerramento],MATCH(tItens[[#This Row],[Edital]],tEditais[Edital],0)),"")</f>
        <v>46309.291666666664</v>
      </c>
      <c r="J8664" t="str">
        <f>IFERROR(INDEX(tProdutos[Classe],MATCH(tItens[[#This Row],[Produto]],tProdutos[Produto],0)),"produto não cadastrado")</f>
        <v>FORA</v>
      </c>
      <c r="K8664" s="12">
        <f>tItens[[#This Row],[Qtd]]*tItens[[#This Row],[Vlr unit]]</f>
        <v>34200</v>
      </c>
      <c r="L8664" s="6">
        <f>IFERROR(IF(INDEX(tProdutos[Desconto homologado],MATCH(tItens[[#This Row],[Produto]],tProdutos[Produto],0))="",DescontoPadrao,INDEX(tProdutos[Desconto homologado],MATCH(tItens[[#This Row],[Produto]],tProdutos[Produto],0))),DescontoPadrao)</f>
        <v>0.405797101449275</v>
      </c>
      <c r="M8664" s="12">
        <f>tItens[[#This Row],[Valor]]*(1-tItens[[#This Row],[Desconto]])</f>
        <v>20321.739130434798</v>
      </c>
      <c r="N8664" t="str">
        <f>IFERROR(INDEX(tProdutos[Foco],MATCH(tItens[[#This Row],[Produto]],tProdutos[Produto],0)),"Não")</f>
        <v>Não</v>
      </c>
      <c r="O8664" t="str">
        <f>IFERROR(INDEX(tEditais[SRP],MATCH(tItens[[#This Row],[Edital]],tEditais[Edital],0)),"Não")</f>
        <v>Sim</v>
      </c>
      <c r="P8664" s="4">
        <f>IF(COUNTIFS(INDEX(tItens[Edital],1):tItens[[#This Row],[Edital]],tItens[[#This Row],[Edital]],INDEX(tItens[Produto],1):tItens[[#This Row],[Produto]],tItens[[#This Row],[Produto]])=1,1,0)</f>
        <v>1</v>
      </c>
    </row>
    <row r="8665" spans="1:16" x14ac:dyDescent="0.25">
      <c r="A8665" t="s">
        <v>2882</v>
      </c>
      <c r="B8665">
        <v>104</v>
      </c>
      <c r="C8665" t="s">
        <v>11077</v>
      </c>
      <c r="D8665" t="s">
        <v>120</v>
      </c>
      <c r="E8665" s="13">
        <v>2500</v>
      </c>
      <c r="F8665" s="12">
        <v>1.37</v>
      </c>
      <c r="G8665" t="str">
        <f>IFERROR(INDEX(tEditais[Órgão],MATCH(tItens[[#This Row],[Edital]],tEditais[Edital],0)),"")</f>
        <v>MUNICIPIO DE SARUTAIA</v>
      </c>
      <c r="H8665" t="str">
        <f>IFERROR(INDEX(tEditais[UF],MATCH(tItens[[#This Row],[Edital]],tEditais[Edital],0)),"")</f>
        <v>SP</v>
      </c>
      <c r="I8665" s="11">
        <f>IFERROR(INDEX(tEditais[Encerramento],MATCH(tItens[[#This Row],[Edital]],tEditais[Edital],0)),"")</f>
        <v>46309.291666666664</v>
      </c>
      <c r="J8665" t="str">
        <f>IFERROR(INDEX(tProdutos[Classe],MATCH(tItens[[#This Row],[Produto]],tProdutos[Produto],0)),"produto não cadastrado")</f>
        <v>DISPUTADO</v>
      </c>
      <c r="K8665" s="12">
        <f>tItens[[#This Row],[Qtd]]*tItens[[#This Row],[Vlr unit]]</f>
        <v>3425.0000000000005</v>
      </c>
      <c r="L8665" s="6">
        <f>IFERROR(IF(INDEX(tProdutos[Desconto homologado],MATCH(tItens[[#This Row],[Produto]],tProdutos[Produto],0))="",DescontoPadrao,INDEX(tProdutos[Desconto homologado],MATCH(tItens[[#This Row],[Produto]],tProdutos[Produto],0))),DescontoPadrao)</f>
        <v>0.40909090909090901</v>
      </c>
      <c r="M8665" s="12">
        <f>tItens[[#This Row],[Valor]]*(1-tItens[[#This Row],[Desconto]])</f>
        <v>2023.8636363636372</v>
      </c>
      <c r="N8665" t="str">
        <f>IFERROR(INDEX(tProdutos[Foco],MATCH(tItens[[#This Row],[Produto]],tProdutos[Produto],0)),"Não")</f>
        <v>Não</v>
      </c>
      <c r="O8665" t="str">
        <f>IFERROR(INDEX(tEditais[SRP],MATCH(tItens[[#This Row],[Edital]],tEditais[Edital],0)),"Não")</f>
        <v>Sim</v>
      </c>
      <c r="P8665" s="4">
        <f>IF(COUNTIFS(INDEX(tItens[Edital],1):tItens[[#This Row],[Edital]],tItens[[#This Row],[Edital]],INDEX(tItens[Produto],1):tItens[[#This Row],[Produto]],tItens[[#This Row],[Produto]])=1,1,0)</f>
        <v>1</v>
      </c>
    </row>
    <row r="8666" spans="1:16" x14ac:dyDescent="0.25">
      <c r="A8666" t="s">
        <v>2882</v>
      </c>
      <c r="B8666">
        <v>105</v>
      </c>
      <c r="C8666" t="s">
        <v>11078</v>
      </c>
      <c r="D8666" t="s">
        <v>120</v>
      </c>
      <c r="E8666" s="13">
        <v>2500</v>
      </c>
      <c r="F8666" s="12">
        <v>1.28</v>
      </c>
      <c r="G8666" t="str">
        <f>IFERROR(INDEX(tEditais[Órgão],MATCH(tItens[[#This Row],[Edital]],tEditais[Edital],0)),"")</f>
        <v>MUNICIPIO DE SARUTAIA</v>
      </c>
      <c r="H8666" t="str">
        <f>IFERROR(INDEX(tEditais[UF],MATCH(tItens[[#This Row],[Edital]],tEditais[Edital],0)),"")</f>
        <v>SP</v>
      </c>
      <c r="I8666" s="11">
        <f>IFERROR(INDEX(tEditais[Encerramento],MATCH(tItens[[#This Row],[Edital]],tEditais[Edital],0)),"")</f>
        <v>46309.291666666664</v>
      </c>
      <c r="J8666" t="str">
        <f>IFERROR(INDEX(tProdutos[Classe],MATCH(tItens[[#This Row],[Produto]],tProdutos[Produto],0)),"produto não cadastrado")</f>
        <v>DISPUTADO</v>
      </c>
      <c r="K8666" s="12">
        <f>tItens[[#This Row],[Qtd]]*tItens[[#This Row],[Vlr unit]]</f>
        <v>3200</v>
      </c>
      <c r="L8666" s="6">
        <f>IFERROR(IF(INDEX(tProdutos[Desconto homologado],MATCH(tItens[[#This Row],[Produto]],tProdutos[Produto],0))="",DescontoPadrao,INDEX(tProdutos[Desconto homologado],MATCH(tItens[[#This Row],[Produto]],tProdutos[Produto],0))),DescontoPadrao)</f>
        <v>0.40909090909090901</v>
      </c>
      <c r="M8666" s="12">
        <f>tItens[[#This Row],[Valor]]*(1-tItens[[#This Row],[Desconto]])</f>
        <v>1890.9090909090914</v>
      </c>
      <c r="N8666" t="str">
        <f>IFERROR(INDEX(tProdutos[Foco],MATCH(tItens[[#This Row],[Produto]],tProdutos[Produto],0)),"Não")</f>
        <v>Não</v>
      </c>
      <c r="O8666" t="str">
        <f>IFERROR(INDEX(tEditais[SRP],MATCH(tItens[[#This Row],[Edital]],tEditais[Edital],0)),"Não")</f>
        <v>Sim</v>
      </c>
      <c r="P8666" s="4">
        <f>IF(COUNTIFS(INDEX(tItens[Edital],1):tItens[[#This Row],[Edital]],tItens[[#This Row],[Edital]],INDEX(tItens[Produto],1):tItens[[#This Row],[Produto]],tItens[[#This Row],[Produto]])=1,1,0)</f>
        <v>0</v>
      </c>
    </row>
    <row r="8667" spans="1:16" x14ac:dyDescent="0.25">
      <c r="A8667" t="s">
        <v>2882</v>
      </c>
      <c r="B8667">
        <v>111</v>
      </c>
      <c r="C8667" t="s">
        <v>11079</v>
      </c>
      <c r="D8667" t="s">
        <v>411</v>
      </c>
      <c r="E8667" s="13">
        <v>500</v>
      </c>
      <c r="F8667" s="12">
        <v>11</v>
      </c>
      <c r="G8667" t="str">
        <f>IFERROR(INDEX(tEditais[Órgão],MATCH(tItens[[#This Row],[Edital]],tEditais[Edital],0)),"")</f>
        <v>MUNICIPIO DE SARUTAIA</v>
      </c>
      <c r="H8667" t="str">
        <f>IFERROR(INDEX(tEditais[UF],MATCH(tItens[[#This Row],[Edital]],tEditais[Edital],0)),"")</f>
        <v>SP</v>
      </c>
      <c r="I8667" s="11">
        <f>IFERROR(INDEX(tEditais[Encerramento],MATCH(tItens[[#This Row],[Edital]],tEditais[Edital],0)),"")</f>
        <v>46309.291666666664</v>
      </c>
      <c r="J8667" t="str">
        <f>IFERROR(INDEX(tProdutos[Classe],MATCH(tItens[[#This Row],[Produto]],tProdutos[Produto],0)),"produto não cadastrado")</f>
        <v>FORA</v>
      </c>
      <c r="K8667" s="12">
        <f>tItens[[#This Row],[Qtd]]*tItens[[#This Row],[Vlr unit]]</f>
        <v>5500</v>
      </c>
      <c r="L8667" s="6">
        <f>IFERROR(IF(INDEX(tProdutos[Desconto homologado],MATCH(tItens[[#This Row],[Produto]],tProdutos[Produto],0))="",DescontoPadrao,INDEX(tProdutos[Desconto homologado],MATCH(tItens[[#This Row],[Produto]],tProdutos[Produto],0))),DescontoPadrao)</f>
        <v>0.50029835957199398</v>
      </c>
      <c r="M8667" s="12">
        <f>tItens[[#This Row],[Valor]]*(1-tItens[[#This Row],[Desconto]])</f>
        <v>2748.3590223540332</v>
      </c>
      <c r="N8667" t="str">
        <f>IFERROR(INDEX(tProdutos[Foco],MATCH(tItens[[#This Row],[Produto]],tProdutos[Produto],0)),"Não")</f>
        <v>Não</v>
      </c>
      <c r="O8667" t="str">
        <f>IFERROR(INDEX(tEditais[SRP],MATCH(tItens[[#This Row],[Edital]],tEditais[Edital],0)),"Não")</f>
        <v>Sim</v>
      </c>
      <c r="P8667" s="4">
        <f>IF(COUNTIFS(INDEX(tItens[Edital],1):tItens[[#This Row],[Edital]],tItens[[#This Row],[Edital]],INDEX(tItens[Produto],1):tItens[[#This Row],[Produto]],tItens[[#This Row],[Produto]])=1,1,0)</f>
        <v>1</v>
      </c>
    </row>
    <row r="8668" spans="1:16" x14ac:dyDescent="0.25">
      <c r="A8668" t="s">
        <v>2882</v>
      </c>
      <c r="B8668">
        <v>117</v>
      </c>
      <c r="C8668" t="s">
        <v>11080</v>
      </c>
      <c r="D8668" t="s">
        <v>114</v>
      </c>
      <c r="E8668" s="13">
        <v>50</v>
      </c>
      <c r="F8668" s="12">
        <v>17.12</v>
      </c>
      <c r="G8668" t="str">
        <f>IFERROR(INDEX(tEditais[Órgão],MATCH(tItens[[#This Row],[Edital]],tEditais[Edital],0)),"")</f>
        <v>MUNICIPIO DE SARUTAIA</v>
      </c>
      <c r="H8668" t="str">
        <f>IFERROR(INDEX(tEditais[UF],MATCH(tItens[[#This Row],[Edital]],tEditais[Edital],0)),"")</f>
        <v>SP</v>
      </c>
      <c r="I8668" s="11">
        <f>IFERROR(INDEX(tEditais[Encerramento],MATCH(tItens[[#This Row],[Edital]],tEditais[Edital],0)),"")</f>
        <v>46309.291666666664</v>
      </c>
      <c r="J8668" t="str">
        <f>IFERROR(INDEX(tProdutos[Classe],MATCH(tItens[[#This Row],[Produto]],tProdutos[Produto],0)),"produto não cadastrado")</f>
        <v>DISPUTADO</v>
      </c>
      <c r="K8668" s="12">
        <f>tItens[[#This Row],[Qtd]]*tItens[[#This Row],[Vlr unit]]</f>
        <v>856</v>
      </c>
      <c r="L8668" s="6">
        <f>IFERROR(IF(INDEX(tProdutos[Desconto homologado],MATCH(tItens[[#This Row],[Produto]],tProdutos[Produto],0))="",DescontoPadrao,INDEX(tProdutos[Desconto homologado],MATCH(tItens[[#This Row],[Produto]],tProdutos[Produto],0))),DescontoPadrao)</f>
        <v>0.24332656063896899</v>
      </c>
      <c r="M8668" s="12">
        <f>tItens[[#This Row],[Valor]]*(1-tItens[[#This Row],[Desconto]])</f>
        <v>647.71246409304263</v>
      </c>
      <c r="N8668" t="str">
        <f>IFERROR(INDEX(tProdutos[Foco],MATCH(tItens[[#This Row],[Produto]],tProdutos[Produto],0)),"Não")</f>
        <v>Não</v>
      </c>
      <c r="O8668" t="str">
        <f>IFERROR(INDEX(tEditais[SRP],MATCH(tItens[[#This Row],[Edital]],tEditais[Edital],0)),"Não")</f>
        <v>Sim</v>
      </c>
      <c r="P8668" s="4">
        <f>IF(COUNTIFS(INDEX(tItens[Edital],1):tItens[[#This Row],[Edital]],tItens[[#This Row],[Edital]],INDEX(tItens[Produto],1):tItens[[#This Row],[Produto]],tItens[[#This Row],[Produto]])=1,1,0)</f>
        <v>1</v>
      </c>
    </row>
    <row r="8669" spans="1:16" x14ac:dyDescent="0.25">
      <c r="A8669" t="s">
        <v>2887</v>
      </c>
      <c r="B8669">
        <v>2</v>
      </c>
      <c r="C8669" t="s">
        <v>11081</v>
      </c>
      <c r="D8669" t="s">
        <v>347</v>
      </c>
      <c r="E8669" s="13">
        <v>200</v>
      </c>
      <c r="F8669" s="12">
        <v>0</v>
      </c>
      <c r="G8669" t="str">
        <f>IFERROR(INDEX(tEditais[Órgão],MATCH(tItens[[#This Row],[Edital]],tEditais[Edital],0)),"")</f>
        <v>SECRETARIA DE ESTADO DA SAUDE</v>
      </c>
      <c r="H8669" t="str">
        <f>IFERROR(INDEX(tEditais[UF],MATCH(tItens[[#This Row],[Edital]],tEditais[Edital],0)),"")</f>
        <v>SP</v>
      </c>
      <c r="I8669" s="11">
        <f>IFERROR(INDEX(tEditais[Encerramento],MATCH(tItens[[#This Row],[Edital]],tEditais[Edital],0)),"")</f>
        <v>46309.333333333336</v>
      </c>
      <c r="J8669" t="str">
        <f>IFERROR(INDEX(tProdutos[Classe],MATCH(tItens[[#This Row],[Produto]],tProdutos[Produto],0)),"produto não cadastrado")</f>
        <v>FORA</v>
      </c>
      <c r="K8669" s="12">
        <f>tItens[[#This Row],[Qtd]]*tItens[[#This Row],[Vlr unit]]</f>
        <v>0</v>
      </c>
      <c r="L8669" s="6">
        <f>IFERROR(IF(INDEX(tProdutos[Desconto homologado],MATCH(tItens[[#This Row],[Produto]],tProdutos[Produto],0))="",DescontoPadrao,INDEX(tProdutos[Desconto homologado],MATCH(tItens[[#This Row],[Produto]],tProdutos[Produto],0))),DescontoPadrao)</f>
        <v>0.26356465005931201</v>
      </c>
      <c r="M8669" s="12">
        <f>tItens[[#This Row],[Valor]]*(1-tItens[[#This Row],[Desconto]])</f>
        <v>0</v>
      </c>
      <c r="N8669" t="str">
        <f>IFERROR(INDEX(tProdutos[Foco],MATCH(tItens[[#This Row],[Produto]],tProdutos[Produto],0)),"Não")</f>
        <v>Não</v>
      </c>
      <c r="O8669" t="str">
        <f>IFERROR(INDEX(tEditais[SRP],MATCH(tItens[[#This Row],[Edital]],tEditais[Edital],0)),"Não")</f>
        <v>Não</v>
      </c>
      <c r="P8669" s="4">
        <f>IF(COUNTIFS(INDEX(tItens[Edital],1):tItens[[#This Row],[Edital]],tItens[[#This Row],[Edital]],INDEX(tItens[Produto],1):tItens[[#This Row],[Produto]],tItens[[#This Row],[Produto]])=1,1,0)</f>
        <v>1</v>
      </c>
    </row>
    <row r="8670" spans="1:16" x14ac:dyDescent="0.25">
      <c r="A8670" t="s">
        <v>2887</v>
      </c>
      <c r="B8670">
        <v>3</v>
      </c>
      <c r="C8670" t="s">
        <v>11082</v>
      </c>
      <c r="D8670" t="s">
        <v>347</v>
      </c>
      <c r="E8670" s="13">
        <v>300</v>
      </c>
      <c r="F8670" s="12">
        <v>0</v>
      </c>
      <c r="G8670" t="str">
        <f>IFERROR(INDEX(tEditais[Órgão],MATCH(tItens[[#This Row],[Edital]],tEditais[Edital],0)),"")</f>
        <v>SECRETARIA DE ESTADO DA SAUDE</v>
      </c>
      <c r="H8670" t="str">
        <f>IFERROR(INDEX(tEditais[UF],MATCH(tItens[[#This Row],[Edital]],tEditais[Edital],0)),"")</f>
        <v>SP</v>
      </c>
      <c r="I8670" s="11">
        <f>IFERROR(INDEX(tEditais[Encerramento],MATCH(tItens[[#This Row],[Edital]],tEditais[Edital],0)),"")</f>
        <v>46309.333333333336</v>
      </c>
      <c r="J8670" t="str">
        <f>IFERROR(INDEX(tProdutos[Classe],MATCH(tItens[[#This Row],[Produto]],tProdutos[Produto],0)),"produto não cadastrado")</f>
        <v>FORA</v>
      </c>
      <c r="K8670" s="12">
        <f>tItens[[#This Row],[Qtd]]*tItens[[#This Row],[Vlr unit]]</f>
        <v>0</v>
      </c>
      <c r="L8670" s="6">
        <f>IFERROR(IF(INDEX(tProdutos[Desconto homologado],MATCH(tItens[[#This Row],[Produto]],tProdutos[Produto],0))="",DescontoPadrao,INDEX(tProdutos[Desconto homologado],MATCH(tItens[[#This Row],[Produto]],tProdutos[Produto],0))),DescontoPadrao)</f>
        <v>0.26356465005931201</v>
      </c>
      <c r="M8670" s="12">
        <f>tItens[[#This Row],[Valor]]*(1-tItens[[#This Row],[Desconto]])</f>
        <v>0</v>
      </c>
      <c r="N8670" t="str">
        <f>IFERROR(INDEX(tProdutos[Foco],MATCH(tItens[[#This Row],[Produto]],tProdutos[Produto],0)),"Não")</f>
        <v>Não</v>
      </c>
      <c r="O8670" t="str">
        <f>IFERROR(INDEX(tEditais[SRP],MATCH(tItens[[#This Row],[Edital]],tEditais[Edital],0)),"Não")</f>
        <v>Não</v>
      </c>
      <c r="P8670" s="4">
        <f>IF(COUNTIFS(INDEX(tItens[Edital],1):tItens[[#This Row],[Edital]],tItens[[#This Row],[Edital]],INDEX(tItens[Produto],1):tItens[[#This Row],[Produto]],tItens[[#This Row],[Produto]])=1,1,0)</f>
        <v>0</v>
      </c>
    </row>
    <row r="8671" spans="1:16" x14ac:dyDescent="0.25">
      <c r="A8671" t="s">
        <v>2890</v>
      </c>
      <c r="B8671">
        <v>1</v>
      </c>
      <c r="C8671" t="s">
        <v>11083</v>
      </c>
      <c r="D8671" t="s">
        <v>375</v>
      </c>
      <c r="E8671" s="13">
        <v>72</v>
      </c>
      <c r="F8671" s="12">
        <v>0</v>
      </c>
      <c r="G8671" t="str">
        <f>IFERROR(INDEX(tEditais[Órgão],MATCH(tItens[[#This Row],[Edital]],tEditais[Edital],0)),"")</f>
        <v>SECRETARIA DE ESTADO DA SAUDE</v>
      </c>
      <c r="H8671" t="str">
        <f>IFERROR(INDEX(tEditais[UF],MATCH(tItens[[#This Row],[Edital]],tEditais[Edital],0)),"")</f>
        <v>SP</v>
      </c>
      <c r="I8671" s="11">
        <f>IFERROR(INDEX(tEditais[Encerramento],MATCH(tItens[[#This Row],[Edital]],tEditais[Edital],0)),"")</f>
        <v>46309.333333333336</v>
      </c>
      <c r="J8671" t="str">
        <f>IFERROR(INDEX(tProdutos[Classe],MATCH(tItens[[#This Row],[Produto]],tProdutos[Produto],0)),"produto não cadastrado")</f>
        <v>FORA</v>
      </c>
      <c r="K8671" s="12">
        <f>tItens[[#This Row],[Qtd]]*tItens[[#This Row],[Vlr unit]]</f>
        <v>0</v>
      </c>
      <c r="L8671" s="6">
        <f>IFERROR(IF(INDEX(tProdutos[Desconto homologado],MATCH(tItens[[#This Row],[Produto]],tProdutos[Produto],0))="",DescontoPadrao,INDEX(tProdutos[Desconto homologado],MATCH(tItens[[#This Row],[Produto]],tProdutos[Produto],0))),DescontoPadrao)</f>
        <v>0.25005895299481201</v>
      </c>
      <c r="M8671" s="12">
        <f>tItens[[#This Row],[Valor]]*(1-tItens[[#This Row],[Desconto]])</f>
        <v>0</v>
      </c>
      <c r="N8671" t="str">
        <f>IFERROR(INDEX(tProdutos[Foco],MATCH(tItens[[#This Row],[Produto]],tProdutos[Produto],0)),"Não")</f>
        <v>Não</v>
      </c>
      <c r="O8671" t="str">
        <f>IFERROR(INDEX(tEditais[SRP],MATCH(tItens[[#This Row],[Edital]],tEditais[Edital],0)),"Não")</f>
        <v>Não</v>
      </c>
      <c r="P8671" s="4">
        <f>IF(COUNTIFS(INDEX(tItens[Edital],1):tItens[[#This Row],[Edital]],tItens[[#This Row],[Edital]],INDEX(tItens[Produto],1):tItens[[#This Row],[Produto]],tItens[[#This Row],[Produto]])=1,1,0)</f>
        <v>1</v>
      </c>
    </row>
    <row r="8672" spans="1:16" x14ac:dyDescent="0.25">
      <c r="A8672" t="s">
        <v>2890</v>
      </c>
      <c r="B8672">
        <v>2</v>
      </c>
      <c r="C8672" t="s">
        <v>3495</v>
      </c>
      <c r="D8672" t="s">
        <v>461</v>
      </c>
      <c r="E8672" s="13">
        <v>144</v>
      </c>
      <c r="F8672" s="12">
        <v>0</v>
      </c>
      <c r="G8672" t="str">
        <f>IFERROR(INDEX(tEditais[Órgão],MATCH(tItens[[#This Row],[Edital]],tEditais[Edital],0)),"")</f>
        <v>SECRETARIA DE ESTADO DA SAUDE</v>
      </c>
      <c r="H8672" t="str">
        <f>IFERROR(INDEX(tEditais[UF],MATCH(tItens[[#This Row],[Edital]],tEditais[Edital],0)),"")</f>
        <v>SP</v>
      </c>
      <c r="I8672" s="11">
        <f>IFERROR(INDEX(tEditais[Encerramento],MATCH(tItens[[#This Row],[Edital]],tEditais[Edital],0)),"")</f>
        <v>46309.333333333336</v>
      </c>
      <c r="J8672" t="str">
        <f>IFERROR(INDEX(tProdutos[Classe],MATCH(tItens[[#This Row],[Produto]],tProdutos[Produto],0)),"produto não cadastrado")</f>
        <v>FILA REBASE</v>
      </c>
      <c r="K8672" s="12">
        <f>tItens[[#This Row],[Qtd]]*tItens[[#This Row],[Vlr unit]]</f>
        <v>0</v>
      </c>
      <c r="L8672" s="6">
        <f>IFERROR(IF(INDEX(tProdutos[Desconto homologado],MATCH(tItens[[#This Row],[Produto]],tProdutos[Produto],0))="",DescontoPadrao,INDEX(tProdutos[Desconto homologado],MATCH(tItens[[#This Row],[Produto]],tProdutos[Produto],0))),DescontoPadrao)</f>
        <v>0.44096385542168698</v>
      </c>
      <c r="M8672" s="12">
        <f>tItens[[#This Row],[Valor]]*(1-tItens[[#This Row],[Desconto]])</f>
        <v>0</v>
      </c>
      <c r="N8672" t="str">
        <f>IFERROR(INDEX(tProdutos[Foco],MATCH(tItens[[#This Row],[Produto]],tProdutos[Produto],0)),"Não")</f>
        <v>Não</v>
      </c>
      <c r="O8672" t="str">
        <f>IFERROR(INDEX(tEditais[SRP],MATCH(tItens[[#This Row],[Edital]],tEditais[Edital],0)),"Não")</f>
        <v>Não</v>
      </c>
      <c r="P8672" s="4">
        <f>IF(COUNTIFS(INDEX(tItens[Edital],1):tItens[[#This Row],[Edital]],tItens[[#This Row],[Edital]],INDEX(tItens[Produto],1):tItens[[#This Row],[Produto]],tItens[[#This Row],[Produto]])=1,1,0)</f>
        <v>1</v>
      </c>
    </row>
    <row r="8673" spans="1:16" x14ac:dyDescent="0.25">
      <c r="A8673" t="s">
        <v>2890</v>
      </c>
      <c r="B8673">
        <v>3</v>
      </c>
      <c r="C8673" t="s">
        <v>7879</v>
      </c>
      <c r="D8673" t="s">
        <v>461</v>
      </c>
      <c r="E8673" s="13">
        <v>72</v>
      </c>
      <c r="F8673" s="12">
        <v>0</v>
      </c>
      <c r="G8673" t="str">
        <f>IFERROR(INDEX(tEditais[Órgão],MATCH(tItens[[#This Row],[Edital]],tEditais[Edital],0)),"")</f>
        <v>SECRETARIA DE ESTADO DA SAUDE</v>
      </c>
      <c r="H8673" t="str">
        <f>IFERROR(INDEX(tEditais[UF],MATCH(tItens[[#This Row],[Edital]],tEditais[Edital],0)),"")</f>
        <v>SP</v>
      </c>
      <c r="I8673" s="11">
        <f>IFERROR(INDEX(tEditais[Encerramento],MATCH(tItens[[#This Row],[Edital]],tEditais[Edital],0)),"")</f>
        <v>46309.333333333336</v>
      </c>
      <c r="J8673" t="str">
        <f>IFERROR(INDEX(tProdutos[Classe],MATCH(tItens[[#This Row],[Produto]],tProdutos[Produto],0)),"produto não cadastrado")</f>
        <v>FILA REBASE</v>
      </c>
      <c r="K8673" s="12">
        <f>tItens[[#This Row],[Qtd]]*tItens[[#This Row],[Vlr unit]]</f>
        <v>0</v>
      </c>
      <c r="L8673" s="6">
        <f>IFERROR(IF(INDEX(tProdutos[Desconto homologado],MATCH(tItens[[#This Row],[Produto]],tProdutos[Produto],0))="",DescontoPadrao,INDEX(tProdutos[Desconto homologado],MATCH(tItens[[#This Row],[Produto]],tProdutos[Produto],0))),DescontoPadrao)</f>
        <v>0.44096385542168698</v>
      </c>
      <c r="M8673" s="12">
        <f>tItens[[#This Row],[Valor]]*(1-tItens[[#This Row],[Desconto]])</f>
        <v>0</v>
      </c>
      <c r="N8673" t="str">
        <f>IFERROR(INDEX(tProdutos[Foco],MATCH(tItens[[#This Row],[Produto]],tProdutos[Produto],0)),"Não")</f>
        <v>Não</v>
      </c>
      <c r="O8673" t="str">
        <f>IFERROR(INDEX(tEditais[SRP],MATCH(tItens[[#This Row],[Edital]],tEditais[Edital],0)),"Não")</f>
        <v>Não</v>
      </c>
      <c r="P8673" s="4">
        <f>IF(COUNTIFS(INDEX(tItens[Edital],1):tItens[[#This Row],[Edital]],tItens[[#This Row],[Edital]],INDEX(tItens[Produto],1):tItens[[#This Row],[Produto]],tItens[[#This Row],[Produto]])=1,1,0)</f>
        <v>0</v>
      </c>
    </row>
    <row r="8674" spans="1:16" x14ac:dyDescent="0.25">
      <c r="A8674" t="s">
        <v>2890</v>
      </c>
      <c r="B8674">
        <v>4</v>
      </c>
      <c r="C8674" t="s">
        <v>11084</v>
      </c>
      <c r="D8674" t="s">
        <v>461</v>
      </c>
      <c r="E8674" s="13">
        <v>24</v>
      </c>
      <c r="F8674" s="12">
        <v>0</v>
      </c>
      <c r="G8674" t="str">
        <f>IFERROR(INDEX(tEditais[Órgão],MATCH(tItens[[#This Row],[Edital]],tEditais[Edital],0)),"")</f>
        <v>SECRETARIA DE ESTADO DA SAUDE</v>
      </c>
      <c r="H8674" t="str">
        <f>IFERROR(INDEX(tEditais[UF],MATCH(tItens[[#This Row],[Edital]],tEditais[Edital],0)),"")</f>
        <v>SP</v>
      </c>
      <c r="I8674" s="11">
        <f>IFERROR(INDEX(tEditais[Encerramento],MATCH(tItens[[#This Row],[Edital]],tEditais[Edital],0)),"")</f>
        <v>46309.333333333336</v>
      </c>
      <c r="J8674" t="str">
        <f>IFERROR(INDEX(tProdutos[Classe],MATCH(tItens[[#This Row],[Produto]],tProdutos[Produto],0)),"produto não cadastrado")</f>
        <v>FILA REBASE</v>
      </c>
      <c r="K8674" s="12">
        <f>tItens[[#This Row],[Qtd]]*tItens[[#This Row],[Vlr unit]]</f>
        <v>0</v>
      </c>
      <c r="L8674" s="6">
        <f>IFERROR(IF(INDEX(tProdutos[Desconto homologado],MATCH(tItens[[#This Row],[Produto]],tProdutos[Produto],0))="",DescontoPadrao,INDEX(tProdutos[Desconto homologado],MATCH(tItens[[#This Row],[Produto]],tProdutos[Produto],0))),DescontoPadrao)</f>
        <v>0.44096385542168698</v>
      </c>
      <c r="M8674" s="12">
        <f>tItens[[#This Row],[Valor]]*(1-tItens[[#This Row],[Desconto]])</f>
        <v>0</v>
      </c>
      <c r="N8674" t="str">
        <f>IFERROR(INDEX(tProdutos[Foco],MATCH(tItens[[#This Row],[Produto]],tProdutos[Produto],0)),"Não")</f>
        <v>Não</v>
      </c>
      <c r="O8674" t="str">
        <f>IFERROR(INDEX(tEditais[SRP],MATCH(tItens[[#This Row],[Edital]],tEditais[Edital],0)),"Não")</f>
        <v>Não</v>
      </c>
      <c r="P8674" s="4">
        <f>IF(COUNTIFS(INDEX(tItens[Edital],1):tItens[[#This Row],[Edital]],tItens[[#This Row],[Edital]],INDEX(tItens[Produto],1):tItens[[#This Row],[Produto]],tItens[[#This Row],[Produto]])=1,1,0)</f>
        <v>0</v>
      </c>
    </row>
    <row r="8675" spans="1:16" x14ac:dyDescent="0.25">
      <c r="A8675" t="s">
        <v>2890</v>
      </c>
      <c r="B8675">
        <v>5</v>
      </c>
      <c r="C8675" t="s">
        <v>11085</v>
      </c>
      <c r="D8675" t="s">
        <v>170</v>
      </c>
      <c r="E8675" s="13">
        <v>54</v>
      </c>
      <c r="F8675" s="12">
        <v>0</v>
      </c>
      <c r="G8675" t="str">
        <f>IFERROR(INDEX(tEditais[Órgão],MATCH(tItens[[#This Row],[Edital]],tEditais[Edital],0)),"")</f>
        <v>SECRETARIA DE ESTADO DA SAUDE</v>
      </c>
      <c r="H8675" t="str">
        <f>IFERROR(INDEX(tEditais[UF],MATCH(tItens[[#This Row],[Edital]],tEditais[Edital],0)),"")</f>
        <v>SP</v>
      </c>
      <c r="I8675" s="11">
        <f>IFERROR(INDEX(tEditais[Encerramento],MATCH(tItens[[#This Row],[Edital]],tEditais[Edital],0)),"")</f>
        <v>46309.333333333336</v>
      </c>
      <c r="J8675" t="str">
        <f>IFERROR(INDEX(tProdutos[Classe],MATCH(tItens[[#This Row],[Produto]],tProdutos[Produto],0)),"produto não cadastrado")</f>
        <v>DISPUTADO</v>
      </c>
      <c r="K8675" s="12">
        <f>tItens[[#This Row],[Qtd]]*tItens[[#This Row],[Vlr unit]]</f>
        <v>0</v>
      </c>
      <c r="L8675" s="6">
        <f>IFERROR(IF(INDEX(tProdutos[Desconto homologado],MATCH(tItens[[#This Row],[Produto]],tProdutos[Produto],0))="",DescontoPadrao,INDEX(tProdutos[Desconto homologado],MATCH(tItens[[#This Row],[Produto]],tProdutos[Produto],0))),DescontoPadrao)</f>
        <v>0.36</v>
      </c>
      <c r="M8675" s="12">
        <f>tItens[[#This Row],[Valor]]*(1-tItens[[#This Row],[Desconto]])</f>
        <v>0</v>
      </c>
      <c r="N8675" t="str">
        <f>IFERROR(INDEX(tProdutos[Foco],MATCH(tItens[[#This Row],[Produto]],tProdutos[Produto],0)),"Não")</f>
        <v>Sim</v>
      </c>
      <c r="O8675" t="str">
        <f>IFERROR(INDEX(tEditais[SRP],MATCH(tItens[[#This Row],[Edital]],tEditais[Edital],0)),"Não")</f>
        <v>Não</v>
      </c>
      <c r="P8675" s="4">
        <f>IF(COUNTIFS(INDEX(tItens[Edital],1):tItens[[#This Row],[Edital]],tItens[[#This Row],[Edital]],INDEX(tItens[Produto],1):tItens[[#This Row],[Produto]],tItens[[#This Row],[Produto]])=1,1,0)</f>
        <v>1</v>
      </c>
    </row>
    <row r="8676" spans="1:16" x14ac:dyDescent="0.25">
      <c r="A8676" t="s">
        <v>2893</v>
      </c>
      <c r="B8676">
        <v>7</v>
      </c>
      <c r="C8676" t="s">
        <v>11086</v>
      </c>
      <c r="D8676" t="s">
        <v>403</v>
      </c>
      <c r="E8676" s="13">
        <v>8800</v>
      </c>
      <c r="F8676" s="12">
        <v>4.38</v>
      </c>
      <c r="G8676" t="str">
        <f>IFERROR(INDEX(tEditais[Órgão],MATCH(tItens[[#This Row],[Edital]],tEditais[Edital],0)),"")</f>
        <v>MUNICIPIO DE COTIA</v>
      </c>
      <c r="H8676" t="str">
        <f>IFERROR(INDEX(tEditais[UF],MATCH(tItens[[#This Row],[Edital]],tEditais[Edital],0)),"")</f>
        <v>SP</v>
      </c>
      <c r="I8676" s="11">
        <f>IFERROR(INDEX(tEditais[Encerramento],MATCH(tItens[[#This Row],[Edital]],tEditais[Edital],0)),"")</f>
        <v>46309.333333333336</v>
      </c>
      <c r="J8676" t="str">
        <f>IFERROR(INDEX(tProdutos[Classe],MATCH(tItens[[#This Row],[Produto]],tProdutos[Produto],0)),"produto não cadastrado")</f>
        <v>FORA</v>
      </c>
      <c r="K8676" s="12">
        <f>tItens[[#This Row],[Qtd]]*tItens[[#This Row],[Vlr unit]]</f>
        <v>38544</v>
      </c>
      <c r="L8676" s="6">
        <f>IFERROR(IF(INDEX(tProdutos[Desconto homologado],MATCH(tItens[[#This Row],[Produto]],tProdutos[Produto],0))="",DescontoPadrao,INDEX(tProdutos[Desconto homologado],MATCH(tItens[[#This Row],[Produto]],tProdutos[Produto],0))),DescontoPadrao)</f>
        <v>0.35326086956521702</v>
      </c>
      <c r="M8676" s="12">
        <f>tItens[[#This Row],[Valor]]*(1-tItens[[#This Row],[Desconto]])</f>
        <v>24927.913043478275</v>
      </c>
      <c r="N8676" t="str">
        <f>IFERROR(INDEX(tProdutos[Foco],MATCH(tItens[[#This Row],[Produto]],tProdutos[Produto],0)),"Não")</f>
        <v>Não</v>
      </c>
      <c r="O8676" t="str">
        <f>IFERROR(INDEX(tEditais[SRP],MATCH(tItens[[#This Row],[Edital]],tEditais[Edital],0)),"Não")</f>
        <v>Não</v>
      </c>
      <c r="P8676" s="4">
        <f>IF(COUNTIFS(INDEX(tItens[Edital],1):tItens[[#This Row],[Edital]],tItens[[#This Row],[Edital]],INDEX(tItens[Produto],1):tItens[[#This Row],[Produto]],tItens[[#This Row],[Produto]])=1,1,0)</f>
        <v>1</v>
      </c>
    </row>
    <row r="8677" spans="1:16" x14ac:dyDescent="0.25">
      <c r="A8677" t="s">
        <v>2893</v>
      </c>
      <c r="B8677">
        <v>31</v>
      </c>
      <c r="C8677" t="s">
        <v>11087</v>
      </c>
      <c r="D8677" t="s">
        <v>530</v>
      </c>
      <c r="E8677" s="13">
        <v>1570</v>
      </c>
      <c r="F8677" s="12">
        <v>64.34</v>
      </c>
      <c r="G8677" t="str">
        <f>IFERROR(INDEX(tEditais[Órgão],MATCH(tItens[[#This Row],[Edital]],tEditais[Edital],0)),"")</f>
        <v>MUNICIPIO DE COTIA</v>
      </c>
      <c r="H8677" t="str">
        <f>IFERROR(INDEX(tEditais[UF],MATCH(tItens[[#This Row],[Edital]],tEditais[Edital],0)),"")</f>
        <v>SP</v>
      </c>
      <c r="I8677" s="11">
        <f>IFERROR(INDEX(tEditais[Encerramento],MATCH(tItens[[#This Row],[Edital]],tEditais[Edital],0)),"")</f>
        <v>46309.333333333336</v>
      </c>
      <c r="J8677" t="str">
        <f>IFERROR(INDEX(tProdutos[Classe],MATCH(tItens[[#This Row],[Produto]],tProdutos[Produto],0)),"produto não cadastrado")</f>
        <v>FILA REBASE</v>
      </c>
      <c r="K8677" s="12">
        <f>tItens[[#This Row],[Qtd]]*tItens[[#This Row],[Vlr unit]]</f>
        <v>101013.8</v>
      </c>
      <c r="L8677" s="6">
        <f>IFERROR(IF(INDEX(tProdutos[Desconto homologado],MATCH(tItens[[#This Row],[Produto]],tProdutos[Produto],0))="",DescontoPadrao,INDEX(tProdutos[Desconto homologado],MATCH(tItens[[#This Row],[Produto]],tProdutos[Produto],0))),DescontoPadrao)</f>
        <v>0.457328385899815</v>
      </c>
      <c r="M8677" s="12">
        <f>tItens[[#This Row],[Valor]]*(1-tItens[[#This Row],[Desconto]])</f>
        <v>54817.321892393273</v>
      </c>
      <c r="N8677" t="str">
        <f>IFERROR(INDEX(tProdutos[Foco],MATCH(tItens[[#This Row],[Produto]],tProdutos[Produto],0)),"Não")</f>
        <v>Não</v>
      </c>
      <c r="O8677" t="str">
        <f>IFERROR(INDEX(tEditais[SRP],MATCH(tItens[[#This Row],[Edital]],tEditais[Edital],0)),"Não")</f>
        <v>Não</v>
      </c>
      <c r="P8677" s="4">
        <f>IF(COUNTIFS(INDEX(tItens[Edital],1):tItens[[#This Row],[Edital]],tItens[[#This Row],[Edital]],INDEX(tItens[Produto],1):tItens[[#This Row],[Produto]],tItens[[#This Row],[Produto]])=1,1,0)</f>
        <v>1</v>
      </c>
    </row>
    <row r="8678" spans="1:16" x14ac:dyDescent="0.25">
      <c r="A8678" t="s">
        <v>2893</v>
      </c>
      <c r="B8678">
        <v>40</v>
      </c>
      <c r="C8678" t="s">
        <v>11088</v>
      </c>
      <c r="D8678" t="s">
        <v>132</v>
      </c>
      <c r="E8678" s="13">
        <v>900</v>
      </c>
      <c r="F8678" s="12">
        <v>12.02</v>
      </c>
      <c r="G8678" t="str">
        <f>IFERROR(INDEX(tEditais[Órgão],MATCH(tItens[[#This Row],[Edital]],tEditais[Edital],0)),"")</f>
        <v>MUNICIPIO DE COTIA</v>
      </c>
      <c r="H8678" t="str">
        <f>IFERROR(INDEX(tEditais[UF],MATCH(tItens[[#This Row],[Edital]],tEditais[Edital],0)),"")</f>
        <v>SP</v>
      </c>
      <c r="I8678" s="11">
        <f>IFERROR(INDEX(tEditais[Encerramento],MATCH(tItens[[#This Row],[Edital]],tEditais[Edital],0)),"")</f>
        <v>46309.333333333336</v>
      </c>
      <c r="J8678" t="str">
        <f>IFERROR(INDEX(tProdutos[Classe],MATCH(tItens[[#This Row],[Produto]],tProdutos[Produto],0)),"produto não cadastrado")</f>
        <v>NÚCLEO</v>
      </c>
      <c r="K8678" s="12">
        <f>tItens[[#This Row],[Qtd]]*tItens[[#This Row],[Vlr unit]]</f>
        <v>10818</v>
      </c>
      <c r="L8678" s="6">
        <f>IFERROR(IF(INDEX(tProdutos[Desconto homologado],MATCH(tItens[[#This Row],[Produto]],tProdutos[Produto],0))="",DescontoPadrao,INDEX(tProdutos[Desconto homologado],MATCH(tItens[[#This Row],[Produto]],tProdutos[Produto],0))),DescontoPadrao)</f>
        <v>0.27</v>
      </c>
      <c r="M8678" s="12">
        <f>tItens[[#This Row],[Valor]]*(1-tItens[[#This Row],[Desconto]])</f>
        <v>7897.1399999999994</v>
      </c>
      <c r="N8678" t="str">
        <f>IFERROR(INDEX(tProdutos[Foco],MATCH(tItens[[#This Row],[Produto]],tProdutos[Produto],0)),"Não")</f>
        <v>Sim</v>
      </c>
      <c r="O8678" t="str">
        <f>IFERROR(INDEX(tEditais[SRP],MATCH(tItens[[#This Row],[Edital]],tEditais[Edital],0)),"Não")</f>
        <v>Não</v>
      </c>
      <c r="P8678" s="4">
        <f>IF(COUNTIFS(INDEX(tItens[Edital],1):tItens[[#This Row],[Edital]],tItens[[#This Row],[Edital]],INDEX(tItens[Produto],1):tItens[[#This Row],[Produto]],tItens[[#This Row],[Produto]])=1,1,0)</f>
        <v>1</v>
      </c>
    </row>
    <row r="8679" spans="1:16" x14ac:dyDescent="0.25">
      <c r="A8679" t="s">
        <v>2897</v>
      </c>
      <c r="B8679">
        <v>1</v>
      </c>
      <c r="C8679" t="s">
        <v>11089</v>
      </c>
      <c r="D8679" t="s">
        <v>343</v>
      </c>
      <c r="E8679" s="13">
        <v>6</v>
      </c>
      <c r="F8679" s="12">
        <v>0</v>
      </c>
      <c r="G8679" t="str">
        <f>IFERROR(INDEX(tEditais[Órgão],MATCH(tItens[[#This Row],[Edital]],tEditais[Edital],0)),"")</f>
        <v>UNIVERSIDADE DE SAO PAULO</v>
      </c>
      <c r="H8679" t="str">
        <f>IFERROR(INDEX(tEditais[UF],MATCH(tItens[[#This Row],[Edital]],tEditais[Edital],0)),"")</f>
        <v>SP</v>
      </c>
      <c r="I8679" s="11">
        <f>IFERROR(INDEX(tEditais[Encerramento],MATCH(tItens[[#This Row],[Edital]],tEditais[Edital],0)),"")</f>
        <v>46309.333333333336</v>
      </c>
      <c r="J8679" t="str">
        <f>IFERROR(INDEX(tProdutos[Classe],MATCH(tItens[[#This Row],[Produto]],tProdutos[Produto],0)),"produto não cadastrado")</f>
        <v>FORA</v>
      </c>
      <c r="K8679" s="12">
        <f>tItens[[#This Row],[Qtd]]*tItens[[#This Row],[Vlr unit]]</f>
        <v>0</v>
      </c>
      <c r="L8679" s="6">
        <f>IFERROR(IF(INDEX(tProdutos[Desconto homologado],MATCH(tItens[[#This Row],[Produto]],tProdutos[Produto],0))="",DescontoPadrao,INDEX(tProdutos[Desconto homologado],MATCH(tItens[[#This Row],[Produto]],tProdutos[Produto],0))),DescontoPadrao)</f>
        <v>0.35412234042553198</v>
      </c>
      <c r="M8679" s="12">
        <f>tItens[[#This Row],[Valor]]*(1-tItens[[#This Row],[Desconto]])</f>
        <v>0</v>
      </c>
      <c r="N8679" t="str">
        <f>IFERROR(INDEX(tProdutos[Foco],MATCH(tItens[[#This Row],[Produto]],tProdutos[Produto],0)),"Não")</f>
        <v>Não</v>
      </c>
      <c r="O8679" t="str">
        <f>IFERROR(INDEX(tEditais[SRP],MATCH(tItens[[#This Row],[Edital]],tEditais[Edital],0)),"Não")</f>
        <v>Não</v>
      </c>
      <c r="P8679" s="4">
        <f>IF(COUNTIFS(INDEX(tItens[Edital],1):tItens[[#This Row],[Edital]],tItens[[#This Row],[Edital]],INDEX(tItens[Produto],1):tItens[[#This Row],[Produto]],tItens[[#This Row],[Produto]])=1,1,0)</f>
        <v>1</v>
      </c>
    </row>
    <row r="8680" spans="1:16" x14ac:dyDescent="0.25">
      <c r="A8680" t="s">
        <v>2897</v>
      </c>
      <c r="B8680">
        <v>5</v>
      </c>
      <c r="C8680" t="s">
        <v>11090</v>
      </c>
      <c r="D8680" t="s">
        <v>114</v>
      </c>
      <c r="E8680" s="13">
        <v>100</v>
      </c>
      <c r="F8680" s="12">
        <v>0</v>
      </c>
      <c r="G8680" t="str">
        <f>IFERROR(INDEX(tEditais[Órgão],MATCH(tItens[[#This Row],[Edital]],tEditais[Edital],0)),"")</f>
        <v>UNIVERSIDADE DE SAO PAULO</v>
      </c>
      <c r="H8680" t="str">
        <f>IFERROR(INDEX(tEditais[UF],MATCH(tItens[[#This Row],[Edital]],tEditais[Edital],0)),"")</f>
        <v>SP</v>
      </c>
      <c r="I8680" s="11">
        <f>IFERROR(INDEX(tEditais[Encerramento],MATCH(tItens[[#This Row],[Edital]],tEditais[Edital],0)),"")</f>
        <v>46309.333333333336</v>
      </c>
      <c r="J8680" t="str">
        <f>IFERROR(INDEX(tProdutos[Classe],MATCH(tItens[[#This Row],[Produto]],tProdutos[Produto],0)),"produto não cadastrado")</f>
        <v>DISPUTADO</v>
      </c>
      <c r="K8680" s="12">
        <f>tItens[[#This Row],[Qtd]]*tItens[[#This Row],[Vlr unit]]</f>
        <v>0</v>
      </c>
      <c r="L8680" s="6">
        <f>IFERROR(IF(INDEX(tProdutos[Desconto homologado],MATCH(tItens[[#This Row],[Produto]],tProdutos[Produto],0))="",DescontoPadrao,INDEX(tProdutos[Desconto homologado],MATCH(tItens[[#This Row],[Produto]],tProdutos[Produto],0))),DescontoPadrao)</f>
        <v>0.24332656063896899</v>
      </c>
      <c r="M8680" s="12">
        <f>tItens[[#This Row],[Valor]]*(1-tItens[[#This Row],[Desconto]])</f>
        <v>0</v>
      </c>
      <c r="N8680" t="str">
        <f>IFERROR(INDEX(tProdutos[Foco],MATCH(tItens[[#This Row],[Produto]],tProdutos[Produto],0)),"Não")</f>
        <v>Não</v>
      </c>
      <c r="O8680" t="str">
        <f>IFERROR(INDEX(tEditais[SRP],MATCH(tItens[[#This Row],[Edital]],tEditais[Edital],0)),"Não")</f>
        <v>Não</v>
      </c>
      <c r="P8680" s="4">
        <f>IF(COUNTIFS(INDEX(tItens[Edital],1):tItens[[#This Row],[Edital]],tItens[[#This Row],[Edital]],INDEX(tItens[Produto],1):tItens[[#This Row],[Produto]],tItens[[#This Row],[Produto]])=1,1,0)</f>
        <v>1</v>
      </c>
    </row>
    <row r="8681" spans="1:16" x14ac:dyDescent="0.25">
      <c r="A8681" t="s">
        <v>2901</v>
      </c>
      <c r="B8681">
        <v>4</v>
      </c>
      <c r="C8681" t="s">
        <v>11091</v>
      </c>
      <c r="D8681" t="s">
        <v>403</v>
      </c>
      <c r="E8681" s="13">
        <v>2000</v>
      </c>
      <c r="F8681" s="12">
        <v>2.82</v>
      </c>
      <c r="G8681" t="str">
        <f>IFERROR(INDEX(tEditais[Órgão],MATCH(tItens[[#This Row],[Edital]],tEditais[Edital],0)),"")</f>
        <v>MUNICIPIO DE CERQUILHO</v>
      </c>
      <c r="H8681" t="str">
        <f>IFERROR(INDEX(tEditais[UF],MATCH(tItens[[#This Row],[Edital]],tEditais[Edital],0)),"")</f>
        <v>SP</v>
      </c>
      <c r="I8681" s="11">
        <f>IFERROR(INDEX(tEditais[Encerramento],MATCH(tItens[[#This Row],[Edital]],tEditais[Edital],0)),"")</f>
        <v>46309.354166666664</v>
      </c>
      <c r="J8681" t="str">
        <f>IFERROR(INDEX(tProdutos[Classe],MATCH(tItens[[#This Row],[Produto]],tProdutos[Produto],0)),"produto não cadastrado")</f>
        <v>FORA</v>
      </c>
      <c r="K8681" s="12">
        <f>tItens[[#This Row],[Qtd]]*tItens[[#This Row],[Vlr unit]]</f>
        <v>5640</v>
      </c>
      <c r="L8681" s="6">
        <f>IFERROR(IF(INDEX(tProdutos[Desconto homologado],MATCH(tItens[[#This Row],[Produto]],tProdutos[Produto],0))="",DescontoPadrao,INDEX(tProdutos[Desconto homologado],MATCH(tItens[[#This Row],[Produto]],tProdutos[Produto],0))),DescontoPadrao)</f>
        <v>0.35326086956521702</v>
      </c>
      <c r="M8681" s="12">
        <f>tItens[[#This Row],[Valor]]*(1-tItens[[#This Row],[Desconto]])</f>
        <v>3647.6086956521758</v>
      </c>
      <c r="N8681" t="str">
        <f>IFERROR(INDEX(tProdutos[Foco],MATCH(tItens[[#This Row],[Produto]],tProdutos[Produto],0)),"Não")</f>
        <v>Não</v>
      </c>
      <c r="O8681" t="str">
        <f>IFERROR(INDEX(tEditais[SRP],MATCH(tItens[[#This Row],[Edital]],tEditais[Edital],0)),"Não")</f>
        <v>Não</v>
      </c>
      <c r="P8681" s="4">
        <f>IF(COUNTIFS(INDEX(tItens[Edital],1):tItens[[#This Row],[Edital]],tItens[[#This Row],[Edital]],INDEX(tItens[Produto],1):tItens[[#This Row],[Produto]],tItens[[#This Row],[Produto]])=1,1,0)</f>
        <v>1</v>
      </c>
    </row>
    <row r="8682" spans="1:16" x14ac:dyDescent="0.25">
      <c r="A8682" t="s">
        <v>2901</v>
      </c>
      <c r="B8682">
        <v>5</v>
      </c>
      <c r="C8682" t="s">
        <v>11092</v>
      </c>
      <c r="D8682" t="s">
        <v>114</v>
      </c>
      <c r="E8682" s="13">
        <v>100</v>
      </c>
      <c r="F8682" s="12">
        <v>7.96</v>
      </c>
      <c r="G8682" t="str">
        <f>IFERROR(INDEX(tEditais[Órgão],MATCH(tItens[[#This Row],[Edital]],tEditais[Edital],0)),"")</f>
        <v>MUNICIPIO DE CERQUILHO</v>
      </c>
      <c r="H8682" t="str">
        <f>IFERROR(INDEX(tEditais[UF],MATCH(tItens[[#This Row],[Edital]],tEditais[Edital],0)),"")</f>
        <v>SP</v>
      </c>
      <c r="I8682" s="11">
        <f>IFERROR(INDEX(tEditais[Encerramento],MATCH(tItens[[#This Row],[Edital]],tEditais[Edital],0)),"")</f>
        <v>46309.354166666664</v>
      </c>
      <c r="J8682" t="str">
        <f>IFERROR(INDEX(tProdutos[Classe],MATCH(tItens[[#This Row],[Produto]],tProdutos[Produto],0)),"produto não cadastrado")</f>
        <v>DISPUTADO</v>
      </c>
      <c r="K8682" s="12">
        <f>tItens[[#This Row],[Qtd]]*tItens[[#This Row],[Vlr unit]]</f>
        <v>796</v>
      </c>
      <c r="L8682" s="6">
        <f>IFERROR(IF(INDEX(tProdutos[Desconto homologado],MATCH(tItens[[#This Row],[Produto]],tProdutos[Produto],0))="",DescontoPadrao,INDEX(tProdutos[Desconto homologado],MATCH(tItens[[#This Row],[Produto]],tProdutos[Produto],0))),DescontoPadrao)</f>
        <v>0.24332656063896899</v>
      </c>
      <c r="M8682" s="12">
        <f>tItens[[#This Row],[Valor]]*(1-tItens[[#This Row],[Desconto]])</f>
        <v>602.31205773138072</v>
      </c>
      <c r="N8682" t="str">
        <f>IFERROR(INDEX(tProdutos[Foco],MATCH(tItens[[#This Row],[Produto]],tProdutos[Produto],0)),"Não")</f>
        <v>Não</v>
      </c>
      <c r="O8682" t="str">
        <f>IFERROR(INDEX(tEditais[SRP],MATCH(tItens[[#This Row],[Edital]],tEditais[Edital],0)),"Não")</f>
        <v>Não</v>
      </c>
      <c r="P8682" s="4">
        <f>IF(COUNTIFS(INDEX(tItens[Edital],1):tItens[[#This Row],[Edital]],tItens[[#This Row],[Edital]],INDEX(tItens[Produto],1):tItens[[#This Row],[Produto]],tItens[[#This Row],[Produto]])=1,1,0)</f>
        <v>1</v>
      </c>
    </row>
    <row r="8683" spans="1:16" x14ac:dyDescent="0.25">
      <c r="A8683" t="s">
        <v>2905</v>
      </c>
      <c r="B8683">
        <v>6</v>
      </c>
      <c r="C8683" t="s">
        <v>11093</v>
      </c>
      <c r="D8683" t="s">
        <v>88</v>
      </c>
      <c r="E8683" s="13">
        <v>3000</v>
      </c>
      <c r="F8683" s="12">
        <v>0.23</v>
      </c>
      <c r="G8683" t="str">
        <f>IFERROR(INDEX(tEditais[Órgão],MATCH(tItens[[#This Row],[Edital]],tEditais[Edital],0)),"")</f>
        <v>FUNDO MUNICIPAL DE SAUDE DE SAO JOSE DOS CAMPOS</v>
      </c>
      <c r="H8683" t="str">
        <f>IFERROR(INDEX(tEditais[UF],MATCH(tItens[[#This Row],[Edital]],tEditais[Edital],0)),"")</f>
        <v>SP</v>
      </c>
      <c r="I8683" s="11">
        <f>IFERROR(INDEX(tEditais[Encerramento],MATCH(tItens[[#This Row],[Edital]],tEditais[Edital],0)),"")</f>
        <v>46309.354166666664</v>
      </c>
      <c r="J8683" t="str">
        <f>IFERROR(INDEX(tProdutos[Classe],MATCH(tItens[[#This Row],[Produto]],tProdutos[Produto],0)),"produto não cadastrado")</f>
        <v>NÚCLEO</v>
      </c>
      <c r="K8683" s="12">
        <f>tItens[[#This Row],[Qtd]]*tItens[[#This Row],[Vlr unit]]</f>
        <v>690</v>
      </c>
      <c r="L8683" s="6">
        <f>IFERROR(IF(INDEX(tProdutos[Desconto homologado],MATCH(tItens[[#This Row],[Produto]],tProdutos[Produto],0))="",DescontoPadrao,INDEX(tProdutos[Desconto homologado],MATCH(tItens[[#This Row],[Produto]],tProdutos[Produto],0))),DescontoPadrao)</f>
        <v>0.30251202565473001</v>
      </c>
      <c r="M8683" s="12">
        <f>tItens[[#This Row],[Valor]]*(1-tItens[[#This Row],[Desconto]])</f>
        <v>481.26670229823628</v>
      </c>
      <c r="N8683" t="str">
        <f>IFERROR(INDEX(tProdutos[Foco],MATCH(tItens[[#This Row],[Produto]],tProdutos[Produto],0)),"Não")</f>
        <v>Não</v>
      </c>
      <c r="O8683" t="str">
        <f>IFERROR(INDEX(tEditais[SRP],MATCH(tItens[[#This Row],[Edital]],tEditais[Edital],0)),"Não")</f>
        <v>Sim</v>
      </c>
      <c r="P8683" s="4">
        <f>IF(COUNTIFS(INDEX(tItens[Edital],1):tItens[[#This Row],[Edital]],tItens[[#This Row],[Edital]],INDEX(tItens[Produto],1):tItens[[#This Row],[Produto]],tItens[[#This Row],[Produto]])=1,1,0)</f>
        <v>1</v>
      </c>
    </row>
    <row r="8684" spans="1:16" x14ac:dyDescent="0.25">
      <c r="A8684" t="s">
        <v>2905</v>
      </c>
      <c r="B8684">
        <v>16</v>
      </c>
      <c r="C8684" t="s">
        <v>11094</v>
      </c>
      <c r="D8684" t="s">
        <v>71</v>
      </c>
      <c r="E8684" s="13">
        <v>20000</v>
      </c>
      <c r="F8684" s="12">
        <v>0.23</v>
      </c>
      <c r="G8684" t="str">
        <f>IFERROR(INDEX(tEditais[Órgão],MATCH(tItens[[#This Row],[Edital]],tEditais[Edital],0)),"")</f>
        <v>FUNDO MUNICIPAL DE SAUDE DE SAO JOSE DOS CAMPOS</v>
      </c>
      <c r="H8684" t="str">
        <f>IFERROR(INDEX(tEditais[UF],MATCH(tItens[[#This Row],[Edital]],tEditais[Edital],0)),"")</f>
        <v>SP</v>
      </c>
      <c r="I8684" s="11">
        <f>IFERROR(INDEX(tEditais[Encerramento],MATCH(tItens[[#This Row],[Edital]],tEditais[Edital],0)),"")</f>
        <v>46309.354166666664</v>
      </c>
      <c r="J8684" t="str">
        <f>IFERROR(INDEX(tProdutos[Classe],MATCH(tItens[[#This Row],[Produto]],tProdutos[Produto],0)),"produto não cadastrado")</f>
        <v>NÚCLEO</v>
      </c>
      <c r="K8684" s="12">
        <f>tItens[[#This Row],[Qtd]]*tItens[[#This Row],[Vlr unit]]</f>
        <v>4600</v>
      </c>
      <c r="L8684" s="6">
        <f>IFERROR(IF(INDEX(tProdutos[Desconto homologado],MATCH(tItens[[#This Row],[Produto]],tProdutos[Produto],0))="",DescontoPadrao,INDEX(tProdutos[Desconto homologado],MATCH(tItens[[#This Row],[Produto]],tProdutos[Produto],0))),DescontoPadrao)</f>
        <v>0.44981412639405199</v>
      </c>
      <c r="M8684" s="12">
        <f>tItens[[#This Row],[Valor]]*(1-tItens[[#This Row],[Desconto]])</f>
        <v>2530.8550185873605</v>
      </c>
      <c r="N8684" t="str">
        <f>IFERROR(INDEX(tProdutos[Foco],MATCH(tItens[[#This Row],[Produto]],tProdutos[Produto],0)),"Não")</f>
        <v>Não</v>
      </c>
      <c r="O8684" t="str">
        <f>IFERROR(INDEX(tEditais[SRP],MATCH(tItens[[#This Row],[Edital]],tEditais[Edital],0)),"Não")</f>
        <v>Sim</v>
      </c>
      <c r="P8684" s="4">
        <f>IF(COUNTIFS(INDEX(tItens[Edital],1):tItens[[#This Row],[Edital]],tItens[[#This Row],[Edital]],INDEX(tItens[Produto],1):tItens[[#This Row],[Produto]],tItens[[#This Row],[Produto]])=1,1,0)</f>
        <v>1</v>
      </c>
    </row>
    <row r="8685" spans="1:16" x14ac:dyDescent="0.25">
      <c r="A8685" t="s">
        <v>2908</v>
      </c>
      <c r="B8685">
        <v>4</v>
      </c>
      <c r="C8685" t="s">
        <v>11095</v>
      </c>
      <c r="D8685" t="s">
        <v>154</v>
      </c>
      <c r="E8685" s="13">
        <v>800</v>
      </c>
      <c r="F8685" s="12">
        <v>0</v>
      </c>
      <c r="G8685" t="str">
        <f>IFERROR(INDEX(tEditais[Órgão],MATCH(tItens[[#This Row],[Edital]],tEditais[Edital],0)),"")</f>
        <v>MUNICIPIO DE SANTA BARBARA D'OESTE</v>
      </c>
      <c r="H8685" t="str">
        <f>IFERROR(INDEX(tEditais[UF],MATCH(tItens[[#This Row],[Edital]],tEditais[Edital],0)),"")</f>
        <v>SP</v>
      </c>
      <c r="I8685" s="11">
        <f>IFERROR(INDEX(tEditais[Encerramento],MATCH(tItens[[#This Row],[Edital]],tEditais[Edital],0)),"")</f>
        <v>46309.374305555553</v>
      </c>
      <c r="J8685" t="str">
        <f>IFERROR(INDEX(tProdutos[Classe],MATCH(tItens[[#This Row],[Produto]],tProdutos[Produto],0)),"produto não cadastrado")</f>
        <v>DISPUTADO</v>
      </c>
      <c r="K8685" s="12">
        <f>tItens[[#This Row],[Qtd]]*tItens[[#This Row],[Vlr unit]]</f>
        <v>0</v>
      </c>
      <c r="L8685" s="6">
        <f>IFERROR(IF(INDEX(tProdutos[Desconto homologado],MATCH(tItens[[#This Row],[Produto]],tProdutos[Produto],0))="",DescontoPadrao,INDEX(tProdutos[Desconto homologado],MATCH(tItens[[#This Row],[Produto]],tProdutos[Produto],0))),DescontoPadrao)</f>
        <v>0.48690097134476601</v>
      </c>
      <c r="M8685" s="12">
        <f>tItens[[#This Row],[Valor]]*(1-tItens[[#This Row],[Desconto]])</f>
        <v>0</v>
      </c>
      <c r="N8685" t="str">
        <f>IFERROR(INDEX(tProdutos[Foco],MATCH(tItens[[#This Row],[Produto]],tProdutos[Produto],0)),"Não")</f>
        <v>Não</v>
      </c>
      <c r="O8685" t="str">
        <f>IFERROR(INDEX(tEditais[SRP],MATCH(tItens[[#This Row],[Edital]],tEditais[Edital],0)),"Não")</f>
        <v>Sim</v>
      </c>
      <c r="P8685" s="4">
        <f>IF(COUNTIFS(INDEX(tItens[Edital],1):tItens[[#This Row],[Edital]],tItens[[#This Row],[Edital]],INDEX(tItens[Produto],1):tItens[[#This Row],[Produto]],tItens[[#This Row],[Produto]])=1,1,0)</f>
        <v>1</v>
      </c>
    </row>
    <row r="8686" spans="1:16" x14ac:dyDescent="0.25">
      <c r="A8686" t="s">
        <v>2912</v>
      </c>
      <c r="B8686">
        <v>1</v>
      </c>
      <c r="C8686" t="s">
        <v>11096</v>
      </c>
      <c r="D8686" t="s">
        <v>339</v>
      </c>
      <c r="E8686" s="13">
        <v>131730</v>
      </c>
      <c r="F8686" s="12">
        <v>1.1200000000000001</v>
      </c>
      <c r="G8686" t="str">
        <f>IFERROR(INDEX(tEditais[Órgão],MATCH(tItens[[#This Row],[Edital]],tEditais[Edital],0)),"")</f>
        <v>CONSORCIO INTERMUNICIPAL DO VALE DO PARANAPANEMA</v>
      </c>
      <c r="H8686" t="str">
        <f>IFERROR(INDEX(tEditais[UF],MATCH(tItens[[#This Row],[Edital]],tEditais[Edital],0)),"")</f>
        <v>SP</v>
      </c>
      <c r="I8686" s="11">
        <f>IFERROR(INDEX(tEditais[Encerramento],MATCH(tItens[[#This Row],[Edital]],tEditais[Edital],0)),"")</f>
        <v>46309.374305555553</v>
      </c>
      <c r="J8686" t="str">
        <f>IFERROR(INDEX(tProdutos[Classe],MATCH(tItens[[#This Row],[Produto]],tProdutos[Produto],0)),"produto não cadastrado")</f>
        <v>FORA</v>
      </c>
      <c r="K8686" s="12">
        <f>tItens[[#This Row],[Qtd]]*tItens[[#This Row],[Vlr unit]]</f>
        <v>147537.60000000001</v>
      </c>
      <c r="L8686" s="6">
        <f>IFERROR(IF(INDEX(tProdutos[Desconto homologado],MATCH(tItens[[#This Row],[Produto]],tProdutos[Produto],0))="",DescontoPadrao,INDEX(tProdutos[Desconto homologado],MATCH(tItens[[#This Row],[Produto]],tProdutos[Produto],0))),DescontoPadrao)</f>
        <v>0.35388629091804102</v>
      </c>
      <c r="M8686" s="12">
        <f>tItens[[#This Row],[Valor]]*(1-tItens[[#This Row],[Desconto]])</f>
        <v>95326.065965050439</v>
      </c>
      <c r="N8686" t="str">
        <f>IFERROR(INDEX(tProdutos[Foco],MATCH(tItens[[#This Row],[Produto]],tProdutos[Produto],0)),"Não")</f>
        <v>Não</v>
      </c>
      <c r="O8686" t="str">
        <f>IFERROR(INDEX(tEditais[SRP],MATCH(tItens[[#This Row],[Edital]],tEditais[Edital],0)),"Não")</f>
        <v>Sim</v>
      </c>
      <c r="P8686" s="4">
        <f>IF(COUNTIFS(INDEX(tItens[Edital],1):tItens[[#This Row],[Edital]],tItens[[#This Row],[Edital]],INDEX(tItens[Produto],1):tItens[[#This Row],[Produto]],tItens[[#This Row],[Produto]])=1,1,0)</f>
        <v>1</v>
      </c>
    </row>
    <row r="8687" spans="1:16" x14ac:dyDescent="0.25">
      <c r="A8687" t="s">
        <v>2912</v>
      </c>
      <c r="B8687">
        <v>2</v>
      </c>
      <c r="C8687" t="s">
        <v>11097</v>
      </c>
      <c r="D8687" t="s">
        <v>339</v>
      </c>
      <c r="E8687" s="13">
        <v>275480</v>
      </c>
      <c r="F8687" s="12">
        <v>1.1499999999999999</v>
      </c>
      <c r="G8687" t="str">
        <f>IFERROR(INDEX(tEditais[Órgão],MATCH(tItens[[#This Row],[Edital]],tEditais[Edital],0)),"")</f>
        <v>CONSORCIO INTERMUNICIPAL DO VALE DO PARANAPANEMA</v>
      </c>
      <c r="H8687" t="str">
        <f>IFERROR(INDEX(tEditais[UF],MATCH(tItens[[#This Row],[Edital]],tEditais[Edital],0)),"")</f>
        <v>SP</v>
      </c>
      <c r="I8687" s="11">
        <f>IFERROR(INDEX(tEditais[Encerramento],MATCH(tItens[[#This Row],[Edital]],tEditais[Edital],0)),"")</f>
        <v>46309.374305555553</v>
      </c>
      <c r="J8687" t="str">
        <f>IFERROR(INDEX(tProdutos[Classe],MATCH(tItens[[#This Row],[Produto]],tProdutos[Produto],0)),"produto não cadastrado")</f>
        <v>FORA</v>
      </c>
      <c r="K8687" s="12">
        <f>tItens[[#This Row],[Qtd]]*tItens[[#This Row],[Vlr unit]]</f>
        <v>316802</v>
      </c>
      <c r="L8687" s="6">
        <f>IFERROR(IF(INDEX(tProdutos[Desconto homologado],MATCH(tItens[[#This Row],[Produto]],tProdutos[Produto],0))="",DescontoPadrao,INDEX(tProdutos[Desconto homologado],MATCH(tItens[[#This Row],[Produto]],tProdutos[Produto],0))),DescontoPadrao)</f>
        <v>0.35388629091804102</v>
      </c>
      <c r="M8687" s="12">
        <f>tItens[[#This Row],[Valor]]*(1-tItens[[#This Row],[Desconto]])</f>
        <v>204690.11526458277</v>
      </c>
      <c r="N8687" t="str">
        <f>IFERROR(INDEX(tProdutos[Foco],MATCH(tItens[[#This Row],[Produto]],tProdutos[Produto],0)),"Não")</f>
        <v>Não</v>
      </c>
      <c r="O8687" t="str">
        <f>IFERROR(INDEX(tEditais[SRP],MATCH(tItens[[#This Row],[Edital]],tEditais[Edital],0)),"Não")</f>
        <v>Sim</v>
      </c>
      <c r="P8687" s="4">
        <f>IF(COUNTIFS(INDEX(tItens[Edital],1):tItens[[#This Row],[Edital]],tItens[[#This Row],[Edital]],INDEX(tItens[Produto],1):tItens[[#This Row],[Produto]],tItens[[#This Row],[Produto]])=1,1,0)</f>
        <v>0</v>
      </c>
    </row>
    <row r="8688" spans="1:16" x14ac:dyDescent="0.25">
      <c r="A8688" t="s">
        <v>2912</v>
      </c>
      <c r="B8688">
        <v>3</v>
      </c>
      <c r="C8688" t="s">
        <v>11098</v>
      </c>
      <c r="D8688" t="s">
        <v>339</v>
      </c>
      <c r="E8688" s="13">
        <v>465170</v>
      </c>
      <c r="F8688" s="12">
        <v>1.06</v>
      </c>
      <c r="G8688" t="str">
        <f>IFERROR(INDEX(tEditais[Órgão],MATCH(tItens[[#This Row],[Edital]],tEditais[Edital],0)),"")</f>
        <v>CONSORCIO INTERMUNICIPAL DO VALE DO PARANAPANEMA</v>
      </c>
      <c r="H8688" t="str">
        <f>IFERROR(INDEX(tEditais[UF],MATCH(tItens[[#This Row],[Edital]],tEditais[Edital],0)),"")</f>
        <v>SP</v>
      </c>
      <c r="I8688" s="11">
        <f>IFERROR(INDEX(tEditais[Encerramento],MATCH(tItens[[#This Row],[Edital]],tEditais[Edital],0)),"")</f>
        <v>46309.374305555553</v>
      </c>
      <c r="J8688" t="str">
        <f>IFERROR(INDEX(tProdutos[Classe],MATCH(tItens[[#This Row],[Produto]],tProdutos[Produto],0)),"produto não cadastrado")</f>
        <v>FORA</v>
      </c>
      <c r="K8688" s="12">
        <f>tItens[[#This Row],[Qtd]]*tItens[[#This Row],[Vlr unit]]</f>
        <v>493080.2</v>
      </c>
      <c r="L8688" s="6">
        <f>IFERROR(IF(INDEX(tProdutos[Desconto homologado],MATCH(tItens[[#This Row],[Produto]],tProdutos[Produto],0))="",DescontoPadrao,INDEX(tProdutos[Desconto homologado],MATCH(tItens[[#This Row],[Produto]],tProdutos[Produto],0))),DescontoPadrao)</f>
        <v>0.35388629091804102</v>
      </c>
      <c r="M8688" s="12">
        <f>tItens[[#This Row],[Valor]]*(1-tItens[[#This Row],[Desconto]])</f>
        <v>318585.87689687416</v>
      </c>
      <c r="N8688" t="str">
        <f>IFERROR(INDEX(tProdutos[Foco],MATCH(tItens[[#This Row],[Produto]],tProdutos[Produto],0)),"Não")</f>
        <v>Não</v>
      </c>
      <c r="O8688" t="str">
        <f>IFERROR(INDEX(tEditais[SRP],MATCH(tItens[[#This Row],[Edital]],tEditais[Edital],0)),"Não")</f>
        <v>Sim</v>
      </c>
      <c r="P8688" s="4">
        <f>IF(COUNTIFS(INDEX(tItens[Edital],1):tItens[[#This Row],[Edital]],tItens[[#This Row],[Edital]],INDEX(tItens[Produto],1):tItens[[#This Row],[Produto]],tItens[[#This Row],[Produto]])=1,1,0)</f>
        <v>0</v>
      </c>
    </row>
    <row r="8689" spans="1:16" x14ac:dyDescent="0.25">
      <c r="A8689" t="s">
        <v>2912</v>
      </c>
      <c r="B8689">
        <v>4</v>
      </c>
      <c r="C8689" t="s">
        <v>11099</v>
      </c>
      <c r="D8689" t="s">
        <v>339</v>
      </c>
      <c r="E8689" s="13">
        <v>394710</v>
      </c>
      <c r="F8689" s="12">
        <v>1.46</v>
      </c>
      <c r="G8689" t="str">
        <f>IFERROR(INDEX(tEditais[Órgão],MATCH(tItens[[#This Row],[Edital]],tEditais[Edital],0)),"")</f>
        <v>CONSORCIO INTERMUNICIPAL DO VALE DO PARANAPANEMA</v>
      </c>
      <c r="H8689" t="str">
        <f>IFERROR(INDEX(tEditais[UF],MATCH(tItens[[#This Row],[Edital]],tEditais[Edital],0)),"")</f>
        <v>SP</v>
      </c>
      <c r="I8689" s="11">
        <f>IFERROR(INDEX(tEditais[Encerramento],MATCH(tItens[[#This Row],[Edital]],tEditais[Edital],0)),"")</f>
        <v>46309.374305555553</v>
      </c>
      <c r="J8689" t="str">
        <f>IFERROR(INDEX(tProdutos[Classe],MATCH(tItens[[#This Row],[Produto]],tProdutos[Produto],0)),"produto não cadastrado")</f>
        <v>FORA</v>
      </c>
      <c r="K8689" s="12">
        <f>tItens[[#This Row],[Qtd]]*tItens[[#This Row],[Vlr unit]]</f>
        <v>576276.6</v>
      </c>
      <c r="L8689" s="6">
        <f>IFERROR(IF(INDEX(tProdutos[Desconto homologado],MATCH(tItens[[#This Row],[Produto]],tProdutos[Produto],0))="",DescontoPadrao,INDEX(tProdutos[Desconto homologado],MATCH(tItens[[#This Row],[Produto]],tProdutos[Produto],0))),DescontoPadrao)</f>
        <v>0.35388629091804102</v>
      </c>
      <c r="M8689" s="12">
        <f>tItens[[#This Row],[Valor]]*(1-tItens[[#This Row],[Desconto]])</f>
        <v>372340.21148314042</v>
      </c>
      <c r="N8689" t="str">
        <f>IFERROR(INDEX(tProdutos[Foco],MATCH(tItens[[#This Row],[Produto]],tProdutos[Produto],0)),"Não")</f>
        <v>Não</v>
      </c>
      <c r="O8689" t="str">
        <f>IFERROR(INDEX(tEditais[SRP],MATCH(tItens[[#This Row],[Edital]],tEditais[Edital],0)),"Não")</f>
        <v>Sim</v>
      </c>
      <c r="P8689" s="4">
        <f>IF(COUNTIFS(INDEX(tItens[Edital],1):tItens[[#This Row],[Edital]],tItens[[#This Row],[Edital]],INDEX(tItens[Produto],1):tItens[[#This Row],[Produto]],tItens[[#This Row],[Produto]])=1,1,0)</f>
        <v>0</v>
      </c>
    </row>
    <row r="8690" spans="1:16" x14ac:dyDescent="0.25">
      <c r="A8690" t="s">
        <v>2912</v>
      </c>
      <c r="B8690">
        <v>5</v>
      </c>
      <c r="C8690" t="s">
        <v>11100</v>
      </c>
      <c r="D8690" t="s">
        <v>339</v>
      </c>
      <c r="E8690" s="13">
        <v>342720</v>
      </c>
      <c r="F8690" s="12">
        <v>1.85</v>
      </c>
      <c r="G8690" t="str">
        <f>IFERROR(INDEX(tEditais[Órgão],MATCH(tItens[[#This Row],[Edital]],tEditais[Edital],0)),"")</f>
        <v>CONSORCIO INTERMUNICIPAL DO VALE DO PARANAPANEMA</v>
      </c>
      <c r="H8690" t="str">
        <f>IFERROR(INDEX(tEditais[UF],MATCH(tItens[[#This Row],[Edital]],tEditais[Edital],0)),"")</f>
        <v>SP</v>
      </c>
      <c r="I8690" s="11">
        <f>IFERROR(INDEX(tEditais[Encerramento],MATCH(tItens[[#This Row],[Edital]],tEditais[Edital],0)),"")</f>
        <v>46309.374305555553</v>
      </c>
      <c r="J8690" t="str">
        <f>IFERROR(INDEX(tProdutos[Classe],MATCH(tItens[[#This Row],[Produto]],tProdutos[Produto],0)),"produto não cadastrado")</f>
        <v>FORA</v>
      </c>
      <c r="K8690" s="12">
        <f>tItens[[#This Row],[Qtd]]*tItens[[#This Row],[Vlr unit]]</f>
        <v>634032</v>
      </c>
      <c r="L8690" s="6">
        <f>IFERROR(IF(INDEX(tProdutos[Desconto homologado],MATCH(tItens[[#This Row],[Produto]],tProdutos[Produto],0))="",DescontoPadrao,INDEX(tProdutos[Desconto homologado],MATCH(tItens[[#This Row],[Produto]],tProdutos[Produto],0))),DescontoPadrao)</f>
        <v>0.35388629091804102</v>
      </c>
      <c r="M8690" s="12">
        <f>tItens[[#This Row],[Valor]]*(1-tItens[[#This Row],[Desconto]])</f>
        <v>409656.7671966526</v>
      </c>
      <c r="N8690" t="str">
        <f>IFERROR(INDEX(tProdutos[Foco],MATCH(tItens[[#This Row],[Produto]],tProdutos[Produto],0)),"Não")</f>
        <v>Não</v>
      </c>
      <c r="O8690" t="str">
        <f>IFERROR(INDEX(tEditais[SRP],MATCH(tItens[[#This Row],[Edital]],tEditais[Edital],0)),"Não")</f>
        <v>Sim</v>
      </c>
      <c r="P8690" s="4">
        <f>IF(COUNTIFS(INDEX(tItens[Edital],1):tItens[[#This Row],[Edital]],tItens[[#This Row],[Edital]],INDEX(tItens[Produto],1):tItens[[#This Row],[Produto]],tItens[[#This Row],[Produto]])=1,1,0)</f>
        <v>0</v>
      </c>
    </row>
    <row r="8691" spans="1:16" x14ac:dyDescent="0.25">
      <c r="A8691" t="s">
        <v>2912</v>
      </c>
      <c r="B8691">
        <v>6</v>
      </c>
      <c r="C8691" t="s">
        <v>11101</v>
      </c>
      <c r="D8691" t="s">
        <v>345</v>
      </c>
      <c r="E8691" s="13">
        <v>190262</v>
      </c>
      <c r="F8691" s="12">
        <v>1.63</v>
      </c>
      <c r="G8691" t="str">
        <f>IFERROR(INDEX(tEditais[Órgão],MATCH(tItens[[#This Row],[Edital]],tEditais[Edital],0)),"")</f>
        <v>CONSORCIO INTERMUNICIPAL DO VALE DO PARANAPANEMA</v>
      </c>
      <c r="H8691" t="str">
        <f>IFERROR(INDEX(tEditais[UF],MATCH(tItens[[#This Row],[Edital]],tEditais[Edital],0)),"")</f>
        <v>SP</v>
      </c>
      <c r="I8691" s="11">
        <f>IFERROR(INDEX(tEditais[Encerramento],MATCH(tItens[[#This Row],[Edital]],tEditais[Edital],0)),"")</f>
        <v>46309.374305555553</v>
      </c>
      <c r="J8691" t="str">
        <f>IFERROR(INDEX(tProdutos[Classe],MATCH(tItens[[#This Row],[Produto]],tProdutos[Produto],0)),"produto não cadastrado")</f>
        <v>FORA</v>
      </c>
      <c r="K8691" s="12">
        <f>tItens[[#This Row],[Qtd]]*tItens[[#This Row],[Vlr unit]]</f>
        <v>310127.06</v>
      </c>
      <c r="L8691" s="6">
        <f>IFERROR(IF(INDEX(tProdutos[Desconto homologado],MATCH(tItens[[#This Row],[Produto]],tProdutos[Produto],0))="",DescontoPadrao,INDEX(tProdutos[Desconto homologado],MATCH(tItens[[#This Row],[Produto]],tProdutos[Produto],0))),DescontoPadrao)</f>
        <v>0.412394275616498</v>
      </c>
      <c r="M8691" s="12">
        <f>tItens[[#This Row],[Valor]]*(1-tItens[[#This Row],[Desconto]])</f>
        <v>182232.43574222579</v>
      </c>
      <c r="N8691" t="str">
        <f>IFERROR(INDEX(tProdutos[Foco],MATCH(tItens[[#This Row],[Produto]],tProdutos[Produto],0)),"Não")</f>
        <v>Não</v>
      </c>
      <c r="O8691" t="str">
        <f>IFERROR(INDEX(tEditais[SRP],MATCH(tItens[[#This Row],[Edital]],tEditais[Edital],0)),"Não")</f>
        <v>Sim</v>
      </c>
      <c r="P8691" s="4">
        <f>IF(COUNTIFS(INDEX(tItens[Edital],1):tItens[[#This Row],[Edital]],tItens[[#This Row],[Edital]],INDEX(tItens[Produto],1):tItens[[#This Row],[Produto]],tItens[[#This Row],[Produto]])=1,1,0)</f>
        <v>1</v>
      </c>
    </row>
    <row r="8692" spans="1:16" x14ac:dyDescent="0.25">
      <c r="A8692" t="s">
        <v>2912</v>
      </c>
      <c r="B8692">
        <v>7</v>
      </c>
      <c r="C8692" t="s">
        <v>11102</v>
      </c>
      <c r="D8692" t="s">
        <v>345</v>
      </c>
      <c r="E8692" s="13">
        <v>304230</v>
      </c>
      <c r="F8692" s="12">
        <v>2.9</v>
      </c>
      <c r="G8692" t="str">
        <f>IFERROR(INDEX(tEditais[Órgão],MATCH(tItens[[#This Row],[Edital]],tEditais[Edital],0)),"")</f>
        <v>CONSORCIO INTERMUNICIPAL DO VALE DO PARANAPANEMA</v>
      </c>
      <c r="H8692" t="str">
        <f>IFERROR(INDEX(tEditais[UF],MATCH(tItens[[#This Row],[Edital]],tEditais[Edital],0)),"")</f>
        <v>SP</v>
      </c>
      <c r="I8692" s="11">
        <f>IFERROR(INDEX(tEditais[Encerramento],MATCH(tItens[[#This Row],[Edital]],tEditais[Edital],0)),"")</f>
        <v>46309.374305555553</v>
      </c>
      <c r="J8692" t="str">
        <f>IFERROR(INDEX(tProdutos[Classe],MATCH(tItens[[#This Row],[Produto]],tProdutos[Produto],0)),"produto não cadastrado")</f>
        <v>FORA</v>
      </c>
      <c r="K8692" s="12">
        <f>tItens[[#This Row],[Qtd]]*tItens[[#This Row],[Vlr unit]]</f>
        <v>882267</v>
      </c>
      <c r="L8692" s="6">
        <f>IFERROR(IF(INDEX(tProdutos[Desconto homologado],MATCH(tItens[[#This Row],[Produto]],tProdutos[Produto],0))="",DescontoPadrao,INDEX(tProdutos[Desconto homologado],MATCH(tItens[[#This Row],[Produto]],tProdutos[Produto],0))),DescontoPadrao)</f>
        <v>0.412394275616498</v>
      </c>
      <c r="M8692" s="12">
        <f>tItens[[#This Row],[Valor]]*(1-tItens[[#This Row],[Desconto]])</f>
        <v>518425.13963465916</v>
      </c>
      <c r="N8692" t="str">
        <f>IFERROR(INDEX(tProdutos[Foco],MATCH(tItens[[#This Row],[Produto]],tProdutos[Produto],0)),"Não")</f>
        <v>Não</v>
      </c>
      <c r="O8692" t="str">
        <f>IFERROR(INDEX(tEditais[SRP],MATCH(tItens[[#This Row],[Edital]],tEditais[Edital],0)),"Não")</f>
        <v>Sim</v>
      </c>
      <c r="P8692" s="4">
        <f>IF(COUNTIFS(INDEX(tItens[Edital],1):tItens[[#This Row],[Edital]],tItens[[#This Row],[Edital]],INDEX(tItens[Produto],1):tItens[[#This Row],[Produto]],tItens[[#This Row],[Produto]])=1,1,0)</f>
        <v>0</v>
      </c>
    </row>
    <row r="8693" spans="1:16" x14ac:dyDescent="0.25">
      <c r="A8693" t="s">
        <v>2912</v>
      </c>
      <c r="B8693">
        <v>8</v>
      </c>
      <c r="C8693" t="s">
        <v>11103</v>
      </c>
      <c r="D8693" t="s">
        <v>345</v>
      </c>
      <c r="E8693" s="13">
        <v>488334</v>
      </c>
      <c r="F8693" s="12">
        <v>2.52</v>
      </c>
      <c r="G8693" t="str">
        <f>IFERROR(INDEX(tEditais[Órgão],MATCH(tItens[[#This Row],[Edital]],tEditais[Edital],0)),"")</f>
        <v>CONSORCIO INTERMUNICIPAL DO VALE DO PARANAPANEMA</v>
      </c>
      <c r="H8693" t="str">
        <f>IFERROR(INDEX(tEditais[UF],MATCH(tItens[[#This Row],[Edital]],tEditais[Edital],0)),"")</f>
        <v>SP</v>
      </c>
      <c r="I8693" s="11">
        <f>IFERROR(INDEX(tEditais[Encerramento],MATCH(tItens[[#This Row],[Edital]],tEditais[Edital],0)),"")</f>
        <v>46309.374305555553</v>
      </c>
      <c r="J8693" t="str">
        <f>IFERROR(INDEX(tProdutos[Classe],MATCH(tItens[[#This Row],[Produto]],tProdutos[Produto],0)),"produto não cadastrado")</f>
        <v>FORA</v>
      </c>
      <c r="K8693" s="12">
        <f>tItens[[#This Row],[Qtd]]*tItens[[#This Row],[Vlr unit]]</f>
        <v>1230601.68</v>
      </c>
      <c r="L8693" s="6">
        <f>IFERROR(IF(INDEX(tProdutos[Desconto homologado],MATCH(tItens[[#This Row],[Produto]],tProdutos[Produto],0))="",DescontoPadrao,INDEX(tProdutos[Desconto homologado],MATCH(tItens[[#This Row],[Produto]],tProdutos[Produto],0))),DescontoPadrao)</f>
        <v>0.412394275616498</v>
      </c>
      <c r="M8693" s="12">
        <f>tItens[[#This Row],[Valor]]*(1-tItens[[#This Row],[Desconto]])</f>
        <v>723108.59160395444</v>
      </c>
      <c r="N8693" t="str">
        <f>IFERROR(INDEX(tProdutos[Foco],MATCH(tItens[[#This Row],[Produto]],tProdutos[Produto],0)),"Não")</f>
        <v>Não</v>
      </c>
      <c r="O8693" t="str">
        <f>IFERROR(INDEX(tEditais[SRP],MATCH(tItens[[#This Row],[Edital]],tEditais[Edital],0)),"Não")</f>
        <v>Sim</v>
      </c>
      <c r="P8693" s="4">
        <f>IF(COUNTIFS(INDEX(tItens[Edital],1):tItens[[#This Row],[Edital]],tItens[[#This Row],[Edital]],INDEX(tItens[Produto],1):tItens[[#This Row],[Produto]],tItens[[#This Row],[Produto]])=1,1,0)</f>
        <v>0</v>
      </c>
    </row>
    <row r="8694" spans="1:16" x14ac:dyDescent="0.25">
      <c r="A8694" t="s">
        <v>2912</v>
      </c>
      <c r="B8694">
        <v>9</v>
      </c>
      <c r="C8694" t="s">
        <v>11104</v>
      </c>
      <c r="D8694" t="s">
        <v>345</v>
      </c>
      <c r="E8694" s="13">
        <v>457368</v>
      </c>
      <c r="F8694" s="12">
        <v>2.42</v>
      </c>
      <c r="G8694" t="str">
        <f>IFERROR(INDEX(tEditais[Órgão],MATCH(tItens[[#This Row],[Edital]],tEditais[Edital],0)),"")</f>
        <v>CONSORCIO INTERMUNICIPAL DO VALE DO PARANAPANEMA</v>
      </c>
      <c r="H8694" t="str">
        <f>IFERROR(INDEX(tEditais[UF],MATCH(tItens[[#This Row],[Edital]],tEditais[Edital],0)),"")</f>
        <v>SP</v>
      </c>
      <c r="I8694" s="11">
        <f>IFERROR(INDEX(tEditais[Encerramento],MATCH(tItens[[#This Row],[Edital]],tEditais[Edital],0)),"")</f>
        <v>46309.374305555553</v>
      </c>
      <c r="J8694" t="str">
        <f>IFERROR(INDEX(tProdutos[Classe],MATCH(tItens[[#This Row],[Produto]],tProdutos[Produto],0)),"produto não cadastrado")</f>
        <v>FORA</v>
      </c>
      <c r="K8694" s="12">
        <f>tItens[[#This Row],[Qtd]]*tItens[[#This Row],[Vlr unit]]</f>
        <v>1106830.56</v>
      </c>
      <c r="L8694" s="6">
        <f>IFERROR(IF(INDEX(tProdutos[Desconto homologado],MATCH(tItens[[#This Row],[Produto]],tProdutos[Produto],0))="",DescontoPadrao,INDEX(tProdutos[Desconto homologado],MATCH(tItens[[#This Row],[Produto]],tProdutos[Produto],0))),DescontoPadrao)</f>
        <v>0.412394275616498</v>
      </c>
      <c r="M8694" s="12">
        <f>tItens[[#This Row],[Valor]]*(1-tItens[[#This Row],[Desconto]])</f>
        <v>650379.97297859716</v>
      </c>
      <c r="N8694" t="str">
        <f>IFERROR(INDEX(tProdutos[Foco],MATCH(tItens[[#This Row],[Produto]],tProdutos[Produto],0)),"Não")</f>
        <v>Não</v>
      </c>
      <c r="O8694" t="str">
        <f>IFERROR(INDEX(tEditais[SRP],MATCH(tItens[[#This Row],[Edital]],tEditais[Edital],0)),"Não")</f>
        <v>Sim</v>
      </c>
      <c r="P8694" s="4">
        <f>IF(COUNTIFS(INDEX(tItens[Edital],1):tItens[[#This Row],[Edital]],tItens[[#This Row],[Edital]],INDEX(tItens[Produto],1):tItens[[#This Row],[Produto]],tItens[[#This Row],[Produto]])=1,1,0)</f>
        <v>0</v>
      </c>
    </row>
    <row r="8695" spans="1:16" x14ac:dyDescent="0.25">
      <c r="A8695" t="s">
        <v>2912</v>
      </c>
      <c r="B8695">
        <v>10</v>
      </c>
      <c r="C8695" t="s">
        <v>11105</v>
      </c>
      <c r="D8695" t="s">
        <v>345</v>
      </c>
      <c r="E8695" s="13">
        <v>143922</v>
      </c>
      <c r="F8695" s="12">
        <v>3.47</v>
      </c>
      <c r="G8695" t="str">
        <f>IFERROR(INDEX(tEditais[Órgão],MATCH(tItens[[#This Row],[Edital]],tEditais[Edital],0)),"")</f>
        <v>CONSORCIO INTERMUNICIPAL DO VALE DO PARANAPANEMA</v>
      </c>
      <c r="H8695" t="str">
        <f>IFERROR(INDEX(tEditais[UF],MATCH(tItens[[#This Row],[Edital]],tEditais[Edital],0)),"")</f>
        <v>SP</v>
      </c>
      <c r="I8695" s="11">
        <f>IFERROR(INDEX(tEditais[Encerramento],MATCH(tItens[[#This Row],[Edital]],tEditais[Edital],0)),"")</f>
        <v>46309.374305555553</v>
      </c>
      <c r="J8695" t="str">
        <f>IFERROR(INDEX(tProdutos[Classe],MATCH(tItens[[#This Row],[Produto]],tProdutos[Produto],0)),"produto não cadastrado")</f>
        <v>FORA</v>
      </c>
      <c r="K8695" s="12">
        <f>tItens[[#This Row],[Qtd]]*tItens[[#This Row],[Vlr unit]]</f>
        <v>499409.34</v>
      </c>
      <c r="L8695" s="6">
        <f>IFERROR(IF(INDEX(tProdutos[Desconto homologado],MATCH(tItens[[#This Row],[Produto]],tProdutos[Produto],0))="",DescontoPadrao,INDEX(tProdutos[Desconto homologado],MATCH(tItens[[#This Row],[Produto]],tProdutos[Produto],0))),DescontoPadrao)</f>
        <v>0.412394275616498</v>
      </c>
      <c r="M8695" s="12">
        <f>tItens[[#This Row],[Valor]]*(1-tItens[[#This Row],[Desconto]])</f>
        <v>293455.78699458664</v>
      </c>
      <c r="N8695" t="str">
        <f>IFERROR(INDEX(tProdutos[Foco],MATCH(tItens[[#This Row],[Produto]],tProdutos[Produto],0)),"Não")</f>
        <v>Não</v>
      </c>
      <c r="O8695" t="str">
        <f>IFERROR(INDEX(tEditais[SRP],MATCH(tItens[[#This Row],[Edital]],tEditais[Edital],0)),"Não")</f>
        <v>Sim</v>
      </c>
      <c r="P8695" s="4">
        <f>IF(COUNTIFS(INDEX(tItens[Edital],1):tItens[[#This Row],[Edital]],tItens[[#This Row],[Edital]],INDEX(tItens[Produto],1):tItens[[#This Row],[Produto]],tItens[[#This Row],[Produto]])=1,1,0)</f>
        <v>0</v>
      </c>
    </row>
    <row r="8696" spans="1:16" x14ac:dyDescent="0.25">
      <c r="A8696" t="s">
        <v>2912</v>
      </c>
      <c r="B8696">
        <v>11</v>
      </c>
      <c r="C8696" t="s">
        <v>11106</v>
      </c>
      <c r="D8696" t="s">
        <v>345</v>
      </c>
      <c r="E8696" s="13">
        <v>289650</v>
      </c>
      <c r="F8696" s="12">
        <v>3.59</v>
      </c>
      <c r="G8696" t="str">
        <f>IFERROR(INDEX(tEditais[Órgão],MATCH(tItens[[#This Row],[Edital]],tEditais[Edital],0)),"")</f>
        <v>CONSORCIO INTERMUNICIPAL DO VALE DO PARANAPANEMA</v>
      </c>
      <c r="H8696" t="str">
        <f>IFERROR(INDEX(tEditais[UF],MATCH(tItens[[#This Row],[Edital]],tEditais[Edital],0)),"")</f>
        <v>SP</v>
      </c>
      <c r="I8696" s="11">
        <f>IFERROR(INDEX(tEditais[Encerramento],MATCH(tItens[[#This Row],[Edital]],tEditais[Edital],0)),"")</f>
        <v>46309.374305555553</v>
      </c>
      <c r="J8696" t="str">
        <f>IFERROR(INDEX(tProdutos[Classe],MATCH(tItens[[#This Row],[Produto]],tProdutos[Produto],0)),"produto não cadastrado")</f>
        <v>FORA</v>
      </c>
      <c r="K8696" s="12">
        <f>tItens[[#This Row],[Qtd]]*tItens[[#This Row],[Vlr unit]]</f>
        <v>1039843.5</v>
      </c>
      <c r="L8696" s="6">
        <f>IFERROR(IF(INDEX(tProdutos[Desconto homologado],MATCH(tItens[[#This Row],[Produto]],tProdutos[Produto],0))="",DescontoPadrao,INDEX(tProdutos[Desconto homologado],MATCH(tItens[[#This Row],[Produto]],tProdutos[Produto],0))),DescontoPadrao)</f>
        <v>0.412394275616498</v>
      </c>
      <c r="M8696" s="12">
        <f>tItens[[#This Row],[Valor]]*(1-tItens[[#This Row],[Desconto]])</f>
        <v>611017.99306297605</v>
      </c>
      <c r="N8696" t="str">
        <f>IFERROR(INDEX(tProdutos[Foco],MATCH(tItens[[#This Row],[Produto]],tProdutos[Produto],0)),"Não")</f>
        <v>Não</v>
      </c>
      <c r="O8696" t="str">
        <f>IFERROR(INDEX(tEditais[SRP],MATCH(tItens[[#This Row],[Edital]],tEditais[Edital],0)),"Não")</f>
        <v>Sim</v>
      </c>
      <c r="P8696" s="4">
        <f>IF(COUNTIFS(INDEX(tItens[Edital],1):tItens[[#This Row],[Edital]],tItens[[#This Row],[Edital]],INDEX(tItens[Produto],1):tItens[[#This Row],[Produto]],tItens[[#This Row],[Produto]])=1,1,0)</f>
        <v>0</v>
      </c>
    </row>
    <row r="8697" spans="1:16" x14ac:dyDescent="0.25">
      <c r="A8697" t="s">
        <v>2915</v>
      </c>
      <c r="B8697">
        <v>1</v>
      </c>
      <c r="C8697" t="s">
        <v>3238</v>
      </c>
      <c r="D8697" t="s">
        <v>413</v>
      </c>
      <c r="E8697" s="13">
        <v>33600</v>
      </c>
      <c r="F8697" s="12">
        <v>0</v>
      </c>
      <c r="G8697" t="str">
        <f>IFERROR(INDEX(tEditais[Órgão],MATCH(tItens[[#This Row],[Edital]],tEditais[Edital],0)),"")</f>
        <v>SECRETARIA DE ESTADO DA SAUDE</v>
      </c>
      <c r="H8697" t="str">
        <f>IFERROR(INDEX(tEditais[UF],MATCH(tItens[[#This Row],[Edital]],tEditais[Edital],0)),"")</f>
        <v>SP</v>
      </c>
      <c r="I8697" s="11">
        <f>IFERROR(INDEX(tEditais[Encerramento],MATCH(tItens[[#This Row],[Edital]],tEditais[Edital],0)),"")</f>
        <v>46309.374305555553</v>
      </c>
      <c r="J8697" t="str">
        <f>IFERROR(INDEX(tProdutos[Classe],MATCH(tItens[[#This Row],[Produto]],tProdutos[Produto],0)),"produto não cadastrado")</f>
        <v>FORA</v>
      </c>
      <c r="K8697" s="12">
        <f>tItens[[#This Row],[Qtd]]*tItens[[#This Row],[Vlr unit]]</f>
        <v>0</v>
      </c>
      <c r="L8697" s="6">
        <f>IFERROR(IF(INDEX(tProdutos[Desconto homologado],MATCH(tItens[[#This Row],[Produto]],tProdutos[Produto],0))="",DescontoPadrao,INDEX(tProdutos[Desconto homologado],MATCH(tItens[[#This Row],[Produto]],tProdutos[Produto],0))),DescontoPadrao)</f>
        <v>0.477732793522267</v>
      </c>
      <c r="M8697" s="12">
        <f>tItens[[#This Row],[Valor]]*(1-tItens[[#This Row],[Desconto]])</f>
        <v>0</v>
      </c>
      <c r="N8697" t="str">
        <f>IFERROR(INDEX(tProdutos[Foco],MATCH(tItens[[#This Row],[Produto]],tProdutos[Produto],0)),"Não")</f>
        <v>Não</v>
      </c>
      <c r="O8697" t="str">
        <f>IFERROR(INDEX(tEditais[SRP],MATCH(tItens[[#This Row],[Edital]],tEditais[Edital],0)),"Não")</f>
        <v>Não</v>
      </c>
      <c r="P8697" s="4">
        <f>IF(COUNTIFS(INDEX(tItens[Edital],1):tItens[[#This Row],[Edital]],tItens[[#This Row],[Edital]],INDEX(tItens[Produto],1):tItens[[#This Row],[Produto]],tItens[[#This Row],[Produto]])=1,1,0)</f>
        <v>1</v>
      </c>
    </row>
    <row r="8698" spans="1:16" x14ac:dyDescent="0.25">
      <c r="A8698" t="s">
        <v>2918</v>
      </c>
      <c r="B8698">
        <v>44</v>
      </c>
      <c r="C8698" t="s">
        <v>11107</v>
      </c>
      <c r="D8698" t="s">
        <v>82</v>
      </c>
      <c r="E8698" s="13">
        <v>158</v>
      </c>
      <c r="F8698" s="12">
        <v>40.07</v>
      </c>
      <c r="G8698" t="str">
        <f>IFERROR(INDEX(tEditais[Órgão],MATCH(tItens[[#This Row],[Edital]],tEditais[Edital],0)),"")</f>
        <v>MUNICIPIO DE OURINHOS</v>
      </c>
      <c r="H8698" t="str">
        <f>IFERROR(INDEX(tEditais[UF],MATCH(tItens[[#This Row],[Edital]],tEditais[Edital],0)),"")</f>
        <v>SP</v>
      </c>
      <c r="I8698" s="11">
        <f>IFERROR(INDEX(tEditais[Encerramento],MATCH(tItens[[#This Row],[Edital]],tEditais[Edital],0)),"")</f>
        <v>46309.374305555553</v>
      </c>
      <c r="J8698" t="str">
        <f>IFERROR(INDEX(tProdutos[Classe],MATCH(tItens[[#This Row],[Produto]],tProdutos[Produto],0)),"produto não cadastrado")</f>
        <v>NÚCLEO</v>
      </c>
      <c r="K8698" s="12">
        <f>tItens[[#This Row],[Qtd]]*tItens[[#This Row],[Vlr unit]]</f>
        <v>6331.06</v>
      </c>
      <c r="L8698" s="6">
        <f>IFERROR(IF(INDEX(tProdutos[Desconto homologado],MATCH(tItens[[#This Row],[Produto]],tProdutos[Produto],0))="",DescontoPadrao,INDEX(tProdutos[Desconto homologado],MATCH(tItens[[#This Row],[Produto]],tProdutos[Produto],0))),DescontoPadrao)</f>
        <v>0.40487090276506099</v>
      </c>
      <c r="M8698" s="12">
        <f>tItens[[#This Row],[Valor]]*(1-tItens[[#This Row],[Desconto]])</f>
        <v>3767.7980223402333</v>
      </c>
      <c r="N8698" t="str">
        <f>IFERROR(INDEX(tProdutos[Foco],MATCH(tItens[[#This Row],[Produto]],tProdutos[Produto],0)),"Não")</f>
        <v>Não</v>
      </c>
      <c r="O8698" t="str">
        <f>IFERROR(INDEX(tEditais[SRP],MATCH(tItens[[#This Row],[Edital]],tEditais[Edital],0)),"Não")</f>
        <v>Sim</v>
      </c>
      <c r="P8698" s="4">
        <f>IF(COUNTIFS(INDEX(tItens[Edital],1):tItens[[#This Row],[Edital]],tItens[[#This Row],[Edital]],INDEX(tItens[Produto],1):tItens[[#This Row],[Produto]],tItens[[#This Row],[Produto]])=1,1,0)</f>
        <v>1</v>
      </c>
    </row>
    <row r="8699" spans="1:16" x14ac:dyDescent="0.25">
      <c r="A8699" t="s">
        <v>2918</v>
      </c>
      <c r="B8699">
        <v>53</v>
      </c>
      <c r="C8699" t="s">
        <v>11108</v>
      </c>
      <c r="D8699" t="s">
        <v>88</v>
      </c>
      <c r="E8699" s="13">
        <v>79</v>
      </c>
      <c r="F8699" s="12">
        <v>49.4</v>
      </c>
      <c r="G8699" t="str">
        <f>IFERROR(INDEX(tEditais[Órgão],MATCH(tItens[[#This Row],[Edital]],tEditais[Edital],0)),"")</f>
        <v>MUNICIPIO DE OURINHOS</v>
      </c>
      <c r="H8699" t="str">
        <f>IFERROR(INDEX(tEditais[UF],MATCH(tItens[[#This Row],[Edital]],tEditais[Edital],0)),"")</f>
        <v>SP</v>
      </c>
      <c r="I8699" s="11">
        <f>IFERROR(INDEX(tEditais[Encerramento],MATCH(tItens[[#This Row],[Edital]],tEditais[Edital],0)),"")</f>
        <v>46309.374305555553</v>
      </c>
      <c r="J8699" t="str">
        <f>IFERROR(INDEX(tProdutos[Classe],MATCH(tItens[[#This Row],[Produto]],tProdutos[Produto],0)),"produto não cadastrado")</f>
        <v>NÚCLEO</v>
      </c>
      <c r="K8699" s="12">
        <f>tItens[[#This Row],[Qtd]]*tItens[[#This Row],[Vlr unit]]</f>
        <v>3902.6</v>
      </c>
      <c r="L8699" s="6">
        <f>IFERROR(IF(INDEX(tProdutos[Desconto homologado],MATCH(tItens[[#This Row],[Produto]],tProdutos[Produto],0))="",DescontoPadrao,INDEX(tProdutos[Desconto homologado],MATCH(tItens[[#This Row],[Produto]],tProdutos[Produto],0))),DescontoPadrao)</f>
        <v>0.30251202565473001</v>
      </c>
      <c r="M8699" s="12">
        <f>tItens[[#This Row],[Valor]]*(1-tItens[[#This Row],[Desconto]])</f>
        <v>2722.0165686798505</v>
      </c>
      <c r="N8699" t="str">
        <f>IFERROR(INDEX(tProdutos[Foco],MATCH(tItens[[#This Row],[Produto]],tProdutos[Produto],0)),"Não")</f>
        <v>Não</v>
      </c>
      <c r="O8699" t="str">
        <f>IFERROR(INDEX(tEditais[SRP],MATCH(tItens[[#This Row],[Edital]],tEditais[Edital],0)),"Não")</f>
        <v>Sim</v>
      </c>
      <c r="P8699" s="4">
        <f>IF(COUNTIFS(INDEX(tItens[Edital],1):tItens[[#This Row],[Edital]],tItens[[#This Row],[Edital]],INDEX(tItens[Produto],1):tItens[[#This Row],[Produto]],tItens[[#This Row],[Produto]])=1,1,0)</f>
        <v>1</v>
      </c>
    </row>
    <row r="8700" spans="1:16" x14ac:dyDescent="0.25">
      <c r="A8700" t="s">
        <v>2922</v>
      </c>
      <c r="B8700">
        <v>11</v>
      </c>
      <c r="C8700" t="s">
        <v>9908</v>
      </c>
      <c r="D8700" t="s">
        <v>399</v>
      </c>
      <c r="E8700" s="13">
        <v>1220</v>
      </c>
      <c r="F8700" s="12">
        <v>0</v>
      </c>
      <c r="G8700" t="str">
        <f>IFERROR(INDEX(tEditais[Órgão],MATCH(tItens[[#This Row],[Edital]],tEditais[Edital],0)),"")</f>
        <v>HOSPITAL DAS CLINICAS DA FACULDADE DE MEDICINA DA U S P</v>
      </c>
      <c r="H8700" t="str">
        <f>IFERROR(INDEX(tEditais[UF],MATCH(tItens[[#This Row],[Edital]],tEditais[Edital],0)),"")</f>
        <v>SP</v>
      </c>
      <c r="I8700" s="11">
        <f>IFERROR(INDEX(tEditais[Encerramento],MATCH(tItens[[#This Row],[Edital]],tEditais[Edital],0)),"")</f>
        <v>46309.375</v>
      </c>
      <c r="J8700" t="str">
        <f>IFERROR(INDEX(tProdutos[Classe],MATCH(tItens[[#This Row],[Produto]],tProdutos[Produto],0)),"produto não cadastrado")</f>
        <v>FORA</v>
      </c>
      <c r="K8700" s="12">
        <f>tItens[[#This Row],[Qtd]]*tItens[[#This Row],[Vlr unit]]</f>
        <v>0</v>
      </c>
      <c r="L8700" s="6">
        <f>IFERROR(IF(INDEX(tProdutos[Desconto homologado],MATCH(tItens[[#This Row],[Produto]],tProdutos[Produto],0))="",DescontoPadrao,INDEX(tProdutos[Desconto homologado],MATCH(tItens[[#This Row],[Produto]],tProdutos[Produto],0))),DescontoPadrao)</f>
        <v>0.30009041591320101</v>
      </c>
      <c r="M8700" s="12">
        <f>tItens[[#This Row],[Valor]]*(1-tItens[[#This Row],[Desconto]])</f>
        <v>0</v>
      </c>
      <c r="N8700" t="str">
        <f>IFERROR(INDEX(tProdutos[Foco],MATCH(tItens[[#This Row],[Produto]],tProdutos[Produto],0)),"Não")</f>
        <v>Não</v>
      </c>
      <c r="O8700" t="str">
        <f>IFERROR(INDEX(tEditais[SRP],MATCH(tItens[[#This Row],[Edital]],tEditais[Edital],0)),"Não")</f>
        <v>Não</v>
      </c>
      <c r="P8700" s="4">
        <f>IF(COUNTIFS(INDEX(tItens[Edital],1):tItens[[#This Row],[Edital]],tItens[[#This Row],[Edital]],INDEX(tItens[Produto],1):tItens[[#This Row],[Produto]],tItens[[#This Row],[Produto]])=1,1,0)</f>
        <v>1</v>
      </c>
    </row>
    <row r="8701" spans="1:16" x14ac:dyDescent="0.25">
      <c r="A8701" t="s">
        <v>2926</v>
      </c>
      <c r="B8701">
        <v>1</v>
      </c>
      <c r="C8701" t="s">
        <v>6971</v>
      </c>
      <c r="D8701" t="s">
        <v>333</v>
      </c>
      <c r="E8701" s="13">
        <v>230643</v>
      </c>
      <c r="F8701" s="12">
        <v>0.92</v>
      </c>
      <c r="G8701" t="str">
        <f>IFERROR(INDEX(tEditais[Órgão],MATCH(tItens[[#This Row],[Edital]],tEditais[Edital],0)),"")</f>
        <v>HOSPITAL DAS CLINICAS DA FACULDADE DE MEDICINA DE RPUSP</v>
      </c>
      <c r="H8701" t="str">
        <f>IFERROR(INDEX(tEditais[UF],MATCH(tItens[[#This Row],[Edital]],tEditais[Edital],0)),"")</f>
        <v>SP</v>
      </c>
      <c r="I8701" s="11">
        <f>IFERROR(INDEX(tEditais[Encerramento],MATCH(tItens[[#This Row],[Edital]],tEditais[Edital],0)),"")</f>
        <v>46309.375</v>
      </c>
      <c r="J8701" t="str">
        <f>IFERROR(INDEX(tProdutos[Classe],MATCH(tItens[[#This Row],[Produto]],tProdutos[Produto],0)),"produto não cadastrado")</f>
        <v>FORA</v>
      </c>
      <c r="K8701" s="12">
        <f>tItens[[#This Row],[Qtd]]*tItens[[#This Row],[Vlr unit]]</f>
        <v>212191.56</v>
      </c>
      <c r="L8701" s="6">
        <f>IFERROR(IF(INDEX(tProdutos[Desconto homologado],MATCH(tItens[[#This Row],[Produto]],tProdutos[Produto],0))="",DescontoPadrao,INDEX(tProdutos[Desconto homologado],MATCH(tItens[[#This Row],[Produto]],tProdutos[Produto],0))),DescontoPadrao)</f>
        <v>0.48951048951048998</v>
      </c>
      <c r="M8701" s="12">
        <f>tItens[[#This Row],[Valor]]*(1-tItens[[#This Row],[Desconto]])</f>
        <v>108321.56559440549</v>
      </c>
      <c r="N8701" t="str">
        <f>IFERROR(INDEX(tProdutos[Foco],MATCH(tItens[[#This Row],[Produto]],tProdutos[Produto],0)),"Não")</f>
        <v>Não</v>
      </c>
      <c r="O8701" t="str">
        <f>IFERROR(INDEX(tEditais[SRP],MATCH(tItens[[#This Row],[Edital]],tEditais[Edital],0)),"Não")</f>
        <v>Sim</v>
      </c>
      <c r="P8701" s="4">
        <f>IF(COUNTIFS(INDEX(tItens[Edital],1):tItens[[#This Row],[Edital]],tItens[[#This Row],[Edital]],INDEX(tItens[Produto],1):tItens[[#This Row],[Produto]],tItens[[#This Row],[Produto]])=1,1,0)</f>
        <v>1</v>
      </c>
    </row>
    <row r="8702" spans="1:16" x14ac:dyDescent="0.25">
      <c r="A8702" t="s">
        <v>2926</v>
      </c>
      <c r="B8702">
        <v>2</v>
      </c>
      <c r="C8702" t="s">
        <v>11109</v>
      </c>
      <c r="D8702" t="s">
        <v>333</v>
      </c>
      <c r="E8702" s="13">
        <v>158919</v>
      </c>
      <c r="F8702" s="12">
        <v>1.05</v>
      </c>
      <c r="G8702" t="str">
        <f>IFERROR(INDEX(tEditais[Órgão],MATCH(tItens[[#This Row],[Edital]],tEditais[Edital],0)),"")</f>
        <v>HOSPITAL DAS CLINICAS DA FACULDADE DE MEDICINA DE RPUSP</v>
      </c>
      <c r="H8702" t="str">
        <f>IFERROR(INDEX(tEditais[UF],MATCH(tItens[[#This Row],[Edital]],tEditais[Edital],0)),"")</f>
        <v>SP</v>
      </c>
      <c r="I8702" s="11">
        <f>IFERROR(INDEX(tEditais[Encerramento],MATCH(tItens[[#This Row],[Edital]],tEditais[Edital],0)),"")</f>
        <v>46309.375</v>
      </c>
      <c r="J8702" t="str">
        <f>IFERROR(INDEX(tProdutos[Classe],MATCH(tItens[[#This Row],[Produto]],tProdutos[Produto],0)),"produto não cadastrado")</f>
        <v>FORA</v>
      </c>
      <c r="K8702" s="12">
        <f>tItens[[#This Row],[Qtd]]*tItens[[#This Row],[Vlr unit]]</f>
        <v>166864.95000000001</v>
      </c>
      <c r="L8702" s="6">
        <f>IFERROR(IF(INDEX(tProdutos[Desconto homologado],MATCH(tItens[[#This Row],[Produto]],tProdutos[Produto],0))="",DescontoPadrao,INDEX(tProdutos[Desconto homologado],MATCH(tItens[[#This Row],[Produto]],tProdutos[Produto],0))),DescontoPadrao)</f>
        <v>0.48951048951048998</v>
      </c>
      <c r="M8702" s="12">
        <f>tItens[[#This Row],[Valor]]*(1-tItens[[#This Row],[Desconto]])</f>
        <v>85182.806643356569</v>
      </c>
      <c r="N8702" t="str">
        <f>IFERROR(INDEX(tProdutos[Foco],MATCH(tItens[[#This Row],[Produto]],tProdutos[Produto],0)),"Não")</f>
        <v>Não</v>
      </c>
      <c r="O8702" t="str">
        <f>IFERROR(INDEX(tEditais[SRP],MATCH(tItens[[#This Row],[Edital]],tEditais[Edital],0)),"Não")</f>
        <v>Sim</v>
      </c>
      <c r="P8702" s="4">
        <f>IF(COUNTIFS(INDEX(tItens[Edital],1):tItens[[#This Row],[Edital]],tItens[[#This Row],[Edital]],INDEX(tItens[Produto],1):tItens[[#This Row],[Produto]],tItens[[#This Row],[Produto]])=1,1,0)</f>
        <v>0</v>
      </c>
    </row>
    <row r="8703" spans="1:16" x14ac:dyDescent="0.25">
      <c r="A8703" t="s">
        <v>2926</v>
      </c>
      <c r="B8703">
        <v>4</v>
      </c>
      <c r="C8703" t="s">
        <v>7387</v>
      </c>
      <c r="D8703" t="s">
        <v>299</v>
      </c>
      <c r="E8703" s="13">
        <v>1443192</v>
      </c>
      <c r="F8703" s="12">
        <v>0.27</v>
      </c>
      <c r="G8703" t="str">
        <f>IFERROR(INDEX(tEditais[Órgão],MATCH(tItens[[#This Row],[Edital]],tEditais[Edital],0)),"")</f>
        <v>HOSPITAL DAS CLINICAS DA FACULDADE DE MEDICINA DE RPUSP</v>
      </c>
      <c r="H8703" t="str">
        <f>IFERROR(INDEX(tEditais[UF],MATCH(tItens[[#This Row],[Edital]],tEditais[Edital],0)),"")</f>
        <v>SP</v>
      </c>
      <c r="I8703" s="11">
        <f>IFERROR(INDEX(tEditais[Encerramento],MATCH(tItens[[#This Row],[Edital]],tEditais[Edital],0)),"")</f>
        <v>46309.375</v>
      </c>
      <c r="J8703" t="str">
        <f>IFERROR(INDEX(tProdutos[Classe],MATCH(tItens[[#This Row],[Produto]],tProdutos[Produto],0)),"produto não cadastrado")</f>
        <v>FORA</v>
      </c>
      <c r="K8703" s="12">
        <f>tItens[[#This Row],[Qtd]]*tItens[[#This Row],[Vlr unit]]</f>
        <v>389661.84</v>
      </c>
      <c r="L8703" s="6">
        <f>IFERROR(IF(INDEX(tProdutos[Desconto homologado],MATCH(tItens[[#This Row],[Produto]],tProdutos[Produto],0))="",DescontoPadrao,INDEX(tProdutos[Desconto homologado],MATCH(tItens[[#This Row],[Produto]],tProdutos[Produto],0))),DescontoPadrao)</f>
        <v>0.42211465163381601</v>
      </c>
      <c r="M8703" s="12">
        <f>tItens[[#This Row],[Valor]]*(1-tItens[[#This Row],[Desconto]])</f>
        <v>225179.86815340826</v>
      </c>
      <c r="N8703" t="str">
        <f>IFERROR(INDEX(tProdutos[Foco],MATCH(tItens[[#This Row],[Produto]],tProdutos[Produto],0)),"Não")</f>
        <v>Não</v>
      </c>
      <c r="O8703" t="str">
        <f>IFERROR(INDEX(tEditais[SRP],MATCH(tItens[[#This Row],[Edital]],tEditais[Edital],0)),"Não")</f>
        <v>Sim</v>
      </c>
      <c r="P8703" s="4">
        <f>IF(COUNTIFS(INDEX(tItens[Edital],1):tItens[[#This Row],[Edital]],tItens[[#This Row],[Edital]],INDEX(tItens[Produto],1):tItens[[#This Row],[Produto]],tItens[[#This Row],[Produto]])=1,1,0)</f>
        <v>1</v>
      </c>
    </row>
    <row r="8704" spans="1:16" x14ac:dyDescent="0.25">
      <c r="A8704" t="s">
        <v>2931</v>
      </c>
      <c r="B8704">
        <v>9</v>
      </c>
      <c r="C8704" t="s">
        <v>11110</v>
      </c>
      <c r="D8704" t="s">
        <v>409</v>
      </c>
      <c r="E8704" s="13">
        <v>10500</v>
      </c>
      <c r="F8704" s="12">
        <v>0</v>
      </c>
      <c r="G8704" t="str">
        <f>IFERROR(INDEX(tEditais[Órgão],MATCH(tItens[[#This Row],[Edital]],tEditais[Edital],0)),"")</f>
        <v>HOSPITAL DAS CLINICAS DA FACULDADE DE MEDICINA DA U S P</v>
      </c>
      <c r="H8704" t="str">
        <f>IFERROR(INDEX(tEditais[UF],MATCH(tItens[[#This Row],[Edital]],tEditais[Edital],0)),"")</f>
        <v>SP</v>
      </c>
      <c r="I8704" s="11">
        <f>IFERROR(INDEX(tEditais[Encerramento],MATCH(tItens[[#This Row],[Edital]],tEditais[Edital],0)),"")</f>
        <v>46309.375</v>
      </c>
      <c r="J8704" t="str">
        <f>IFERROR(INDEX(tProdutos[Classe],MATCH(tItens[[#This Row],[Produto]],tProdutos[Produto],0)),"produto não cadastrado")</f>
        <v>FORA</v>
      </c>
      <c r="K8704" s="12">
        <f>tItens[[#This Row],[Qtd]]*tItens[[#This Row],[Vlr unit]]</f>
        <v>0</v>
      </c>
      <c r="L8704" s="6">
        <f>IFERROR(IF(INDEX(tProdutos[Desconto homologado],MATCH(tItens[[#This Row],[Produto]],tProdutos[Produto],0))="",DescontoPadrao,INDEX(tProdutos[Desconto homologado],MATCH(tItens[[#This Row],[Produto]],tProdutos[Produto],0))),DescontoPadrao)</f>
        <v>0.24924924924924899</v>
      </c>
      <c r="M8704" s="12">
        <f>tItens[[#This Row],[Valor]]*(1-tItens[[#This Row],[Desconto]])</f>
        <v>0</v>
      </c>
      <c r="N8704" t="str">
        <f>IFERROR(INDEX(tProdutos[Foco],MATCH(tItens[[#This Row],[Produto]],tProdutos[Produto],0)),"Não")</f>
        <v>Não</v>
      </c>
      <c r="O8704" t="str">
        <f>IFERROR(INDEX(tEditais[SRP],MATCH(tItens[[#This Row],[Edital]],tEditais[Edital],0)),"Não")</f>
        <v>Não</v>
      </c>
      <c r="P8704" s="4">
        <f>IF(COUNTIFS(INDEX(tItens[Edital],1):tItens[[#This Row],[Edital]],tItens[[#This Row],[Edital]],INDEX(tItens[Produto],1):tItens[[#This Row],[Produto]],tItens[[#This Row],[Produto]])=1,1,0)</f>
        <v>1</v>
      </c>
    </row>
    <row r="8705" spans="1:16" x14ac:dyDescent="0.25">
      <c r="A8705" t="s">
        <v>2934</v>
      </c>
      <c r="B8705">
        <v>49</v>
      </c>
      <c r="C8705" t="s">
        <v>11111</v>
      </c>
      <c r="D8705" t="s">
        <v>423</v>
      </c>
      <c r="E8705" s="13">
        <v>100</v>
      </c>
      <c r="F8705" s="12">
        <v>9.4499999999999993</v>
      </c>
      <c r="G8705" t="str">
        <f>IFERROR(INDEX(tEditais[Órgão],MATCH(tItens[[#This Row],[Edital]],tEditais[Edital],0)),"")</f>
        <v>MUNICIPIO DE MARILIA</v>
      </c>
      <c r="H8705" t="str">
        <f>IFERROR(INDEX(tEditais[UF],MATCH(tItens[[#This Row],[Edital]],tEditais[Edital],0)),"")</f>
        <v>SP</v>
      </c>
      <c r="I8705" s="11">
        <f>IFERROR(INDEX(tEditais[Encerramento],MATCH(tItens[[#This Row],[Edital]],tEditais[Edital],0)),"")</f>
        <v>46309.375</v>
      </c>
      <c r="J8705" t="str">
        <f>IFERROR(INDEX(tProdutos[Classe],MATCH(tItens[[#This Row],[Produto]],tProdutos[Produto],0)),"produto não cadastrado")</f>
        <v>FORA</v>
      </c>
      <c r="K8705" s="12">
        <f>tItens[[#This Row],[Qtd]]*tItens[[#This Row],[Vlr unit]]</f>
        <v>944.99999999999989</v>
      </c>
      <c r="L8705" s="6">
        <f>IFERROR(IF(INDEX(tProdutos[Desconto homologado],MATCH(tItens[[#This Row],[Produto]],tProdutos[Produto],0))="",DescontoPadrao,INDEX(tProdutos[Desconto homologado],MATCH(tItens[[#This Row],[Produto]],tProdutos[Produto],0))),DescontoPadrao)</f>
        <v>0.38271604938271597</v>
      </c>
      <c r="M8705" s="12">
        <f>tItens[[#This Row],[Valor]]*(1-tItens[[#This Row],[Desconto]])</f>
        <v>583.33333333333337</v>
      </c>
      <c r="N8705" t="str">
        <f>IFERROR(INDEX(tProdutos[Foco],MATCH(tItens[[#This Row],[Produto]],tProdutos[Produto],0)),"Não")</f>
        <v>Não</v>
      </c>
      <c r="O8705" t="str">
        <f>IFERROR(INDEX(tEditais[SRP],MATCH(tItens[[#This Row],[Edital]],tEditais[Edital],0)),"Não")</f>
        <v>Sim</v>
      </c>
      <c r="P8705" s="4">
        <f>IF(COUNTIFS(INDEX(tItens[Edital],1):tItens[[#This Row],[Edital]],tItens[[#This Row],[Edital]],INDEX(tItens[Produto],1):tItens[[#This Row],[Produto]],tItens[[#This Row],[Produto]])=1,1,0)</f>
        <v>1</v>
      </c>
    </row>
    <row r="8706" spans="1:16" x14ac:dyDescent="0.25">
      <c r="A8706" t="s">
        <v>2934</v>
      </c>
      <c r="B8706">
        <v>91</v>
      </c>
      <c r="C8706" t="s">
        <v>11112</v>
      </c>
      <c r="D8706" t="s">
        <v>455</v>
      </c>
      <c r="E8706" s="13">
        <v>30</v>
      </c>
      <c r="F8706" s="12">
        <v>41.88</v>
      </c>
      <c r="G8706" t="str">
        <f>IFERROR(INDEX(tEditais[Órgão],MATCH(tItens[[#This Row],[Edital]],tEditais[Edital],0)),"")</f>
        <v>MUNICIPIO DE MARILIA</v>
      </c>
      <c r="H8706" t="str">
        <f>IFERROR(INDEX(tEditais[UF],MATCH(tItens[[#This Row],[Edital]],tEditais[Edital],0)),"")</f>
        <v>SP</v>
      </c>
      <c r="I8706" s="11">
        <f>IFERROR(INDEX(tEditais[Encerramento],MATCH(tItens[[#This Row],[Edital]],tEditais[Edital],0)),"")</f>
        <v>46309.375</v>
      </c>
      <c r="J8706" t="str">
        <f>IFERROR(INDEX(tProdutos[Classe],MATCH(tItens[[#This Row],[Produto]],tProdutos[Produto],0)),"produto não cadastrado")</f>
        <v>FILA REBASE</v>
      </c>
      <c r="K8706" s="12">
        <f>tItens[[#This Row],[Qtd]]*tItens[[#This Row],[Vlr unit]]</f>
        <v>1256.4000000000001</v>
      </c>
      <c r="L8706" s="6">
        <f>IFERROR(IF(INDEX(tProdutos[Desconto homologado],MATCH(tItens[[#This Row],[Produto]],tProdutos[Produto],0))="",DescontoPadrao,INDEX(tProdutos[Desconto homologado],MATCH(tItens[[#This Row],[Produto]],tProdutos[Produto],0))),DescontoPadrao)</f>
        <v>0.29595946765523801</v>
      </c>
      <c r="M8706" s="12">
        <f>tItens[[#This Row],[Valor]]*(1-tItens[[#This Row],[Desconto]])</f>
        <v>884.55652483795905</v>
      </c>
      <c r="N8706" t="str">
        <f>IFERROR(INDEX(tProdutos[Foco],MATCH(tItens[[#This Row],[Produto]],tProdutos[Produto],0)),"Não")</f>
        <v>Não</v>
      </c>
      <c r="O8706" t="str">
        <f>IFERROR(INDEX(tEditais[SRP],MATCH(tItens[[#This Row],[Edital]],tEditais[Edital],0)),"Não")</f>
        <v>Sim</v>
      </c>
      <c r="P8706" s="4">
        <f>IF(COUNTIFS(INDEX(tItens[Edital],1):tItens[[#This Row],[Edital]],tItens[[#This Row],[Edital]],INDEX(tItens[Produto],1):tItens[[#This Row],[Produto]],tItens[[#This Row],[Produto]])=1,1,0)</f>
        <v>1</v>
      </c>
    </row>
    <row r="8707" spans="1:16" x14ac:dyDescent="0.25">
      <c r="A8707" t="s">
        <v>2934</v>
      </c>
      <c r="B8707">
        <v>92</v>
      </c>
      <c r="C8707" t="s">
        <v>11113</v>
      </c>
      <c r="D8707" t="s">
        <v>455</v>
      </c>
      <c r="E8707" s="13">
        <v>30</v>
      </c>
      <c r="F8707" s="12">
        <v>40.549999999999997</v>
      </c>
      <c r="G8707" t="str">
        <f>IFERROR(INDEX(tEditais[Órgão],MATCH(tItens[[#This Row],[Edital]],tEditais[Edital],0)),"")</f>
        <v>MUNICIPIO DE MARILIA</v>
      </c>
      <c r="H8707" t="str">
        <f>IFERROR(INDEX(tEditais[UF],MATCH(tItens[[#This Row],[Edital]],tEditais[Edital],0)),"")</f>
        <v>SP</v>
      </c>
      <c r="I8707" s="11">
        <f>IFERROR(INDEX(tEditais[Encerramento],MATCH(tItens[[#This Row],[Edital]],tEditais[Edital],0)),"")</f>
        <v>46309.375</v>
      </c>
      <c r="J8707" t="str">
        <f>IFERROR(INDEX(tProdutos[Classe],MATCH(tItens[[#This Row],[Produto]],tProdutos[Produto],0)),"produto não cadastrado")</f>
        <v>FILA REBASE</v>
      </c>
      <c r="K8707" s="12">
        <f>tItens[[#This Row],[Qtd]]*tItens[[#This Row],[Vlr unit]]</f>
        <v>1216.5</v>
      </c>
      <c r="L8707" s="6">
        <f>IFERROR(IF(INDEX(tProdutos[Desconto homologado],MATCH(tItens[[#This Row],[Produto]],tProdutos[Produto],0))="",DescontoPadrao,INDEX(tProdutos[Desconto homologado],MATCH(tItens[[#This Row],[Produto]],tProdutos[Produto],0))),DescontoPadrao)</f>
        <v>0.29595946765523801</v>
      </c>
      <c r="M8707" s="12">
        <f>tItens[[#This Row],[Valor]]*(1-tItens[[#This Row],[Desconto]])</f>
        <v>856.46530759740301</v>
      </c>
      <c r="N8707" t="str">
        <f>IFERROR(INDEX(tProdutos[Foco],MATCH(tItens[[#This Row],[Produto]],tProdutos[Produto],0)),"Não")</f>
        <v>Não</v>
      </c>
      <c r="O8707" t="str">
        <f>IFERROR(INDEX(tEditais[SRP],MATCH(tItens[[#This Row],[Edital]],tEditais[Edital],0)),"Não")</f>
        <v>Sim</v>
      </c>
      <c r="P8707" s="4">
        <f>IF(COUNTIFS(INDEX(tItens[Edital],1):tItens[[#This Row],[Edital]],tItens[[#This Row],[Edital]],INDEX(tItens[Produto],1):tItens[[#This Row],[Produto]],tItens[[#This Row],[Produto]])=1,1,0)</f>
        <v>0</v>
      </c>
    </row>
    <row r="8708" spans="1:16" x14ac:dyDescent="0.25">
      <c r="A8708" t="s">
        <v>2934</v>
      </c>
      <c r="B8708">
        <v>93</v>
      </c>
      <c r="C8708" t="s">
        <v>11114</v>
      </c>
      <c r="D8708" t="s">
        <v>455</v>
      </c>
      <c r="E8708" s="13">
        <v>30</v>
      </c>
      <c r="F8708" s="12">
        <v>39.93</v>
      </c>
      <c r="G8708" t="str">
        <f>IFERROR(INDEX(tEditais[Órgão],MATCH(tItens[[#This Row],[Edital]],tEditais[Edital],0)),"")</f>
        <v>MUNICIPIO DE MARILIA</v>
      </c>
      <c r="H8708" t="str">
        <f>IFERROR(INDEX(tEditais[UF],MATCH(tItens[[#This Row],[Edital]],tEditais[Edital],0)),"")</f>
        <v>SP</v>
      </c>
      <c r="I8708" s="11">
        <f>IFERROR(INDEX(tEditais[Encerramento],MATCH(tItens[[#This Row],[Edital]],tEditais[Edital],0)),"")</f>
        <v>46309.375</v>
      </c>
      <c r="J8708" t="str">
        <f>IFERROR(INDEX(tProdutos[Classe],MATCH(tItens[[#This Row],[Produto]],tProdutos[Produto],0)),"produto não cadastrado")</f>
        <v>FILA REBASE</v>
      </c>
      <c r="K8708" s="12">
        <f>tItens[[#This Row],[Qtd]]*tItens[[#This Row],[Vlr unit]]</f>
        <v>1197.9000000000001</v>
      </c>
      <c r="L8708" s="6">
        <f>IFERROR(IF(INDEX(tProdutos[Desconto homologado],MATCH(tItens[[#This Row],[Produto]],tProdutos[Produto],0))="",DescontoPadrao,INDEX(tProdutos[Desconto homologado],MATCH(tItens[[#This Row],[Produto]],tProdutos[Produto],0))),DescontoPadrao)</f>
        <v>0.29595946765523801</v>
      </c>
      <c r="M8708" s="12">
        <f>tItens[[#This Row],[Valor]]*(1-tItens[[#This Row],[Desconto]])</f>
        <v>843.37015369579058</v>
      </c>
      <c r="N8708" t="str">
        <f>IFERROR(INDEX(tProdutos[Foco],MATCH(tItens[[#This Row],[Produto]],tProdutos[Produto],0)),"Não")</f>
        <v>Não</v>
      </c>
      <c r="O8708" t="str">
        <f>IFERROR(INDEX(tEditais[SRP],MATCH(tItens[[#This Row],[Edital]],tEditais[Edital],0)),"Não")</f>
        <v>Sim</v>
      </c>
      <c r="P8708" s="4">
        <f>IF(COUNTIFS(INDEX(tItens[Edital],1):tItens[[#This Row],[Edital]],tItens[[#This Row],[Edital]],INDEX(tItens[Produto],1):tItens[[#This Row],[Produto]],tItens[[#This Row],[Produto]])=1,1,0)</f>
        <v>0</v>
      </c>
    </row>
    <row r="8709" spans="1:16" x14ac:dyDescent="0.25">
      <c r="A8709" t="s">
        <v>2934</v>
      </c>
      <c r="B8709">
        <v>94</v>
      </c>
      <c r="C8709" t="s">
        <v>11115</v>
      </c>
      <c r="D8709" t="s">
        <v>455</v>
      </c>
      <c r="E8709" s="13">
        <v>30</v>
      </c>
      <c r="F8709" s="12">
        <v>40.47</v>
      </c>
      <c r="G8709" t="str">
        <f>IFERROR(INDEX(tEditais[Órgão],MATCH(tItens[[#This Row],[Edital]],tEditais[Edital],0)),"")</f>
        <v>MUNICIPIO DE MARILIA</v>
      </c>
      <c r="H8709" t="str">
        <f>IFERROR(INDEX(tEditais[UF],MATCH(tItens[[#This Row],[Edital]],tEditais[Edital],0)),"")</f>
        <v>SP</v>
      </c>
      <c r="I8709" s="11">
        <f>IFERROR(INDEX(tEditais[Encerramento],MATCH(tItens[[#This Row],[Edital]],tEditais[Edital],0)),"")</f>
        <v>46309.375</v>
      </c>
      <c r="J8709" t="str">
        <f>IFERROR(INDEX(tProdutos[Classe],MATCH(tItens[[#This Row],[Produto]],tProdutos[Produto],0)),"produto não cadastrado")</f>
        <v>FILA REBASE</v>
      </c>
      <c r="K8709" s="12">
        <f>tItens[[#This Row],[Qtd]]*tItens[[#This Row],[Vlr unit]]</f>
        <v>1214.0999999999999</v>
      </c>
      <c r="L8709" s="6">
        <f>IFERROR(IF(INDEX(tProdutos[Desconto homologado],MATCH(tItens[[#This Row],[Produto]],tProdutos[Produto],0))="",DescontoPadrao,INDEX(tProdutos[Desconto homologado],MATCH(tItens[[#This Row],[Produto]],tProdutos[Produto],0))),DescontoPadrao)</f>
        <v>0.29595946765523801</v>
      </c>
      <c r="M8709" s="12">
        <f>tItens[[#This Row],[Valor]]*(1-tItens[[#This Row],[Desconto]])</f>
        <v>854.77561031977552</v>
      </c>
      <c r="N8709" t="str">
        <f>IFERROR(INDEX(tProdutos[Foco],MATCH(tItens[[#This Row],[Produto]],tProdutos[Produto],0)),"Não")</f>
        <v>Não</v>
      </c>
      <c r="O8709" t="str">
        <f>IFERROR(INDEX(tEditais[SRP],MATCH(tItens[[#This Row],[Edital]],tEditais[Edital],0)),"Não")</f>
        <v>Sim</v>
      </c>
      <c r="P8709" s="4">
        <f>IF(COUNTIFS(INDEX(tItens[Edital],1):tItens[[#This Row],[Edital]],tItens[[#This Row],[Edital]],INDEX(tItens[Produto],1):tItens[[#This Row],[Produto]],tItens[[#This Row],[Produto]])=1,1,0)</f>
        <v>0</v>
      </c>
    </row>
    <row r="8710" spans="1:16" x14ac:dyDescent="0.25">
      <c r="A8710" t="s">
        <v>2934</v>
      </c>
      <c r="B8710">
        <v>158</v>
      </c>
      <c r="C8710" t="s">
        <v>11116</v>
      </c>
      <c r="D8710" t="s">
        <v>71</v>
      </c>
      <c r="E8710" s="13">
        <v>320</v>
      </c>
      <c r="F8710" s="12">
        <v>43.5</v>
      </c>
      <c r="G8710" t="str">
        <f>IFERROR(INDEX(tEditais[Órgão],MATCH(tItens[[#This Row],[Edital]],tEditais[Edital],0)),"")</f>
        <v>MUNICIPIO DE MARILIA</v>
      </c>
      <c r="H8710" t="str">
        <f>IFERROR(INDEX(tEditais[UF],MATCH(tItens[[#This Row],[Edital]],tEditais[Edital],0)),"")</f>
        <v>SP</v>
      </c>
      <c r="I8710" s="11">
        <f>IFERROR(INDEX(tEditais[Encerramento],MATCH(tItens[[#This Row],[Edital]],tEditais[Edital],0)),"")</f>
        <v>46309.375</v>
      </c>
      <c r="J8710" t="str">
        <f>IFERROR(INDEX(tProdutos[Classe],MATCH(tItens[[#This Row],[Produto]],tProdutos[Produto],0)),"produto não cadastrado")</f>
        <v>NÚCLEO</v>
      </c>
      <c r="K8710" s="12">
        <f>tItens[[#This Row],[Qtd]]*tItens[[#This Row],[Vlr unit]]</f>
        <v>13920</v>
      </c>
      <c r="L8710" s="6">
        <f>IFERROR(IF(INDEX(tProdutos[Desconto homologado],MATCH(tItens[[#This Row],[Produto]],tProdutos[Produto],0))="",DescontoPadrao,INDEX(tProdutos[Desconto homologado],MATCH(tItens[[#This Row],[Produto]],tProdutos[Produto],0))),DescontoPadrao)</f>
        <v>0.44981412639405199</v>
      </c>
      <c r="M8710" s="12">
        <f>tItens[[#This Row],[Valor]]*(1-tItens[[#This Row],[Desconto]])</f>
        <v>7658.5873605947954</v>
      </c>
      <c r="N8710" t="str">
        <f>IFERROR(INDEX(tProdutos[Foco],MATCH(tItens[[#This Row],[Produto]],tProdutos[Produto],0)),"Não")</f>
        <v>Não</v>
      </c>
      <c r="O8710" t="str">
        <f>IFERROR(INDEX(tEditais[SRP],MATCH(tItens[[#This Row],[Edital]],tEditais[Edital],0)),"Não")</f>
        <v>Sim</v>
      </c>
      <c r="P8710" s="4">
        <f>IF(COUNTIFS(INDEX(tItens[Edital],1):tItens[[#This Row],[Edital]],tItens[[#This Row],[Edital]],INDEX(tItens[Produto],1):tItens[[#This Row],[Produto]],tItens[[#This Row],[Produto]])=1,1,0)</f>
        <v>1</v>
      </c>
    </row>
    <row r="8711" spans="1:16" x14ac:dyDescent="0.25">
      <c r="A8711" t="s">
        <v>2934</v>
      </c>
      <c r="B8711">
        <v>160</v>
      </c>
      <c r="C8711" t="s">
        <v>11117</v>
      </c>
      <c r="D8711" t="s">
        <v>112</v>
      </c>
      <c r="E8711" s="13">
        <v>60</v>
      </c>
      <c r="F8711" s="12">
        <v>34.700000000000003</v>
      </c>
      <c r="G8711" t="str">
        <f>IFERROR(INDEX(tEditais[Órgão],MATCH(tItens[[#This Row],[Edital]],tEditais[Edital],0)),"")</f>
        <v>MUNICIPIO DE MARILIA</v>
      </c>
      <c r="H8711" t="str">
        <f>IFERROR(INDEX(tEditais[UF],MATCH(tItens[[#This Row],[Edital]],tEditais[Edital],0)),"")</f>
        <v>SP</v>
      </c>
      <c r="I8711" s="11">
        <f>IFERROR(INDEX(tEditais[Encerramento],MATCH(tItens[[#This Row],[Edital]],tEditais[Edital],0)),"")</f>
        <v>46309.375</v>
      </c>
      <c r="J8711" t="str">
        <f>IFERROR(INDEX(tProdutos[Classe],MATCH(tItens[[#This Row],[Produto]],tProdutos[Produto],0)),"produto não cadastrado")</f>
        <v>DISPUTADO</v>
      </c>
      <c r="K8711" s="12">
        <f>tItens[[#This Row],[Qtd]]*tItens[[#This Row],[Vlr unit]]</f>
        <v>2082</v>
      </c>
      <c r="L8711" s="6">
        <f>IFERROR(IF(INDEX(tProdutos[Desconto homologado],MATCH(tItens[[#This Row],[Produto]],tProdutos[Produto],0))="",DescontoPadrao,INDEX(tProdutos[Desconto homologado],MATCH(tItens[[#This Row],[Produto]],tProdutos[Produto],0))),DescontoPadrao)</f>
        <v>0.35273348841447499</v>
      </c>
      <c r="M8711" s="12">
        <f>tItens[[#This Row],[Valor]]*(1-tItens[[#This Row],[Desconto]])</f>
        <v>1347.608877121063</v>
      </c>
      <c r="N8711" t="str">
        <f>IFERROR(INDEX(tProdutos[Foco],MATCH(tItens[[#This Row],[Produto]],tProdutos[Produto],0)),"Não")</f>
        <v>Não</v>
      </c>
      <c r="O8711" t="str">
        <f>IFERROR(INDEX(tEditais[SRP],MATCH(tItens[[#This Row],[Edital]],tEditais[Edital],0)),"Não")</f>
        <v>Sim</v>
      </c>
      <c r="P8711" s="4">
        <f>IF(COUNTIFS(INDEX(tItens[Edital],1):tItens[[#This Row],[Edital]],tItens[[#This Row],[Edital]],INDEX(tItens[Produto],1):tItens[[#This Row],[Produto]],tItens[[#This Row],[Produto]])=1,1,0)</f>
        <v>1</v>
      </c>
    </row>
    <row r="8712" spans="1:16" x14ac:dyDescent="0.25">
      <c r="A8712" t="s">
        <v>2934</v>
      </c>
      <c r="B8712">
        <v>163</v>
      </c>
      <c r="C8712" t="s">
        <v>11118</v>
      </c>
      <c r="D8712" t="s">
        <v>341</v>
      </c>
      <c r="E8712" s="13">
        <v>2500</v>
      </c>
      <c r="F8712" s="12">
        <v>25.46</v>
      </c>
      <c r="G8712" t="str">
        <f>IFERROR(INDEX(tEditais[Órgão],MATCH(tItens[[#This Row],[Edital]],tEditais[Edital],0)),"")</f>
        <v>MUNICIPIO DE MARILIA</v>
      </c>
      <c r="H8712" t="str">
        <f>IFERROR(INDEX(tEditais[UF],MATCH(tItens[[#This Row],[Edital]],tEditais[Edital],0)),"")</f>
        <v>SP</v>
      </c>
      <c r="I8712" s="11">
        <f>IFERROR(INDEX(tEditais[Encerramento],MATCH(tItens[[#This Row],[Edital]],tEditais[Edital],0)),"")</f>
        <v>46309.375</v>
      </c>
      <c r="J8712" t="str">
        <f>IFERROR(INDEX(tProdutos[Classe],MATCH(tItens[[#This Row],[Produto]],tProdutos[Produto],0)),"produto não cadastrado")</f>
        <v>FORA</v>
      </c>
      <c r="K8712" s="12">
        <f>tItens[[#This Row],[Qtd]]*tItens[[#This Row],[Vlr unit]]</f>
        <v>63650</v>
      </c>
      <c r="L8712" s="6">
        <f>IFERROR(IF(INDEX(tProdutos[Desconto homologado],MATCH(tItens[[#This Row],[Produto]],tProdutos[Produto],0))="",DescontoPadrao,INDEX(tProdutos[Desconto homologado],MATCH(tItens[[#This Row],[Produto]],tProdutos[Produto],0))),DescontoPadrao)</f>
        <v>0.46918578497525898</v>
      </c>
      <c r="M8712" s="12">
        <f>tItens[[#This Row],[Valor]]*(1-tItens[[#This Row],[Desconto]])</f>
        <v>33786.324786324767</v>
      </c>
      <c r="N8712" t="str">
        <f>IFERROR(INDEX(tProdutos[Foco],MATCH(tItens[[#This Row],[Produto]],tProdutos[Produto],0)),"Não")</f>
        <v>Não</v>
      </c>
      <c r="O8712" t="str">
        <f>IFERROR(INDEX(tEditais[SRP],MATCH(tItens[[#This Row],[Edital]],tEditais[Edital],0)),"Não")</f>
        <v>Sim</v>
      </c>
      <c r="P8712" s="4">
        <f>IF(COUNTIFS(INDEX(tItens[Edital],1):tItens[[#This Row],[Edital]],tItens[[#This Row],[Edital]],INDEX(tItens[Produto],1):tItens[[#This Row],[Produto]],tItens[[#This Row],[Produto]])=1,1,0)</f>
        <v>1</v>
      </c>
    </row>
    <row r="8713" spans="1:16" x14ac:dyDescent="0.25">
      <c r="A8713" t="s">
        <v>2934</v>
      </c>
      <c r="B8713">
        <v>165</v>
      </c>
      <c r="C8713" t="s">
        <v>11119</v>
      </c>
      <c r="D8713" t="s">
        <v>189</v>
      </c>
      <c r="E8713" s="13">
        <v>120</v>
      </c>
      <c r="F8713" s="12">
        <v>7.83</v>
      </c>
      <c r="G8713" t="str">
        <f>IFERROR(INDEX(tEditais[Órgão],MATCH(tItens[[#This Row],[Edital]],tEditais[Edital],0)),"")</f>
        <v>MUNICIPIO DE MARILIA</v>
      </c>
      <c r="H8713" t="str">
        <f>IFERROR(INDEX(tEditais[UF],MATCH(tItens[[#This Row],[Edital]],tEditais[Edital],0)),"")</f>
        <v>SP</v>
      </c>
      <c r="I8713" s="11">
        <f>IFERROR(INDEX(tEditais[Encerramento],MATCH(tItens[[#This Row],[Edital]],tEditais[Edital],0)),"")</f>
        <v>46309.375</v>
      </c>
      <c r="J8713" t="str">
        <f>IFERROR(INDEX(tProdutos[Classe],MATCH(tItens[[#This Row],[Produto]],tProdutos[Produto],0)),"produto não cadastrado")</f>
        <v>DISPUTADO</v>
      </c>
      <c r="K8713" s="12">
        <f>tItens[[#This Row],[Qtd]]*tItens[[#This Row],[Vlr unit]]</f>
        <v>939.6</v>
      </c>
      <c r="L8713" s="6">
        <f>IFERROR(IF(INDEX(tProdutos[Desconto homologado],MATCH(tItens[[#This Row],[Produto]],tProdutos[Produto],0))="",DescontoPadrao,INDEX(tProdutos[Desconto homologado],MATCH(tItens[[#This Row],[Produto]],tProdutos[Produto],0))),DescontoPadrao)</f>
        <v>0.33088052268966101</v>
      </c>
      <c r="M8713" s="12">
        <f>tItens[[#This Row],[Valor]]*(1-tItens[[#This Row],[Desconto]])</f>
        <v>628.70466088079456</v>
      </c>
      <c r="N8713" t="str">
        <f>IFERROR(INDEX(tProdutos[Foco],MATCH(tItens[[#This Row],[Produto]],tProdutos[Produto],0)),"Não")</f>
        <v>Não</v>
      </c>
      <c r="O8713" t="str">
        <f>IFERROR(INDEX(tEditais[SRP],MATCH(tItens[[#This Row],[Edital]],tEditais[Edital],0)),"Não")</f>
        <v>Sim</v>
      </c>
      <c r="P8713" s="4">
        <f>IF(COUNTIFS(INDEX(tItens[Edital],1):tItens[[#This Row],[Edital]],tItens[[#This Row],[Edital]],INDEX(tItens[Produto],1):tItens[[#This Row],[Produto]],tItens[[#This Row],[Produto]])=1,1,0)</f>
        <v>1</v>
      </c>
    </row>
    <row r="8714" spans="1:16" x14ac:dyDescent="0.25">
      <c r="A8714" t="s">
        <v>2934</v>
      </c>
      <c r="B8714">
        <v>166</v>
      </c>
      <c r="C8714" t="s">
        <v>11120</v>
      </c>
      <c r="D8714" t="s">
        <v>321</v>
      </c>
      <c r="E8714" s="13">
        <v>3000</v>
      </c>
      <c r="F8714" s="12">
        <v>2.2400000000000002</v>
      </c>
      <c r="G8714" t="str">
        <f>IFERROR(INDEX(tEditais[Órgão],MATCH(tItens[[#This Row],[Edital]],tEditais[Edital],0)),"")</f>
        <v>MUNICIPIO DE MARILIA</v>
      </c>
      <c r="H8714" t="str">
        <f>IFERROR(INDEX(tEditais[UF],MATCH(tItens[[#This Row],[Edital]],tEditais[Edital],0)),"")</f>
        <v>SP</v>
      </c>
      <c r="I8714" s="11">
        <f>IFERROR(INDEX(tEditais[Encerramento],MATCH(tItens[[#This Row],[Edital]],tEditais[Edital],0)),"")</f>
        <v>46309.375</v>
      </c>
      <c r="J8714" t="str">
        <f>IFERROR(INDEX(tProdutos[Classe],MATCH(tItens[[#This Row],[Produto]],tProdutos[Produto],0)),"produto não cadastrado")</f>
        <v>FORA</v>
      </c>
      <c r="K8714" s="12">
        <f>tItens[[#This Row],[Qtd]]*tItens[[#This Row],[Vlr unit]]</f>
        <v>6720.0000000000009</v>
      </c>
      <c r="L8714" s="6">
        <f>IFERROR(IF(INDEX(tProdutos[Desconto homologado],MATCH(tItens[[#This Row],[Produto]],tProdutos[Produto],0))="",DescontoPadrao,INDEX(tProdutos[Desconto homologado],MATCH(tItens[[#This Row],[Produto]],tProdutos[Produto],0))),DescontoPadrao)</f>
        <v>0.380257510729614</v>
      </c>
      <c r="M8714" s="12">
        <f>tItens[[#This Row],[Valor]]*(1-tItens[[#This Row],[Desconto]])</f>
        <v>4164.6695278969946</v>
      </c>
      <c r="N8714" t="str">
        <f>IFERROR(INDEX(tProdutos[Foco],MATCH(tItens[[#This Row],[Produto]],tProdutos[Produto],0)),"Não")</f>
        <v>Não</v>
      </c>
      <c r="O8714" t="str">
        <f>IFERROR(INDEX(tEditais[SRP],MATCH(tItens[[#This Row],[Edital]],tEditais[Edital],0)),"Não")</f>
        <v>Sim</v>
      </c>
      <c r="P8714" s="4">
        <f>IF(COUNTIFS(INDEX(tItens[Edital],1):tItens[[#This Row],[Edital]],tItens[[#This Row],[Edital]],INDEX(tItens[Produto],1):tItens[[#This Row],[Produto]],tItens[[#This Row],[Produto]])=1,1,0)</f>
        <v>1</v>
      </c>
    </row>
    <row r="8715" spans="1:16" x14ac:dyDescent="0.25">
      <c r="A8715" t="s">
        <v>2934</v>
      </c>
      <c r="B8715">
        <v>171</v>
      </c>
      <c r="C8715" t="s">
        <v>11121</v>
      </c>
      <c r="D8715" t="s">
        <v>241</v>
      </c>
      <c r="E8715" s="13">
        <v>3000</v>
      </c>
      <c r="F8715" s="12">
        <v>9</v>
      </c>
      <c r="G8715" t="str">
        <f>IFERROR(INDEX(tEditais[Órgão],MATCH(tItens[[#This Row],[Edital]],tEditais[Edital],0)),"")</f>
        <v>MUNICIPIO DE MARILIA</v>
      </c>
      <c r="H8715" t="str">
        <f>IFERROR(INDEX(tEditais[UF],MATCH(tItens[[#This Row],[Edital]],tEditais[Edital],0)),"")</f>
        <v>SP</v>
      </c>
      <c r="I8715" s="11">
        <f>IFERROR(INDEX(tEditais[Encerramento],MATCH(tItens[[#This Row],[Edital]],tEditais[Edital],0)),"")</f>
        <v>46309.375</v>
      </c>
      <c r="J8715" t="str">
        <f>IFERROR(INDEX(tProdutos[Classe],MATCH(tItens[[#This Row],[Produto]],tProdutos[Produto],0)),"produto não cadastrado")</f>
        <v>DISPUTADO</v>
      </c>
      <c r="K8715" s="12">
        <f>tItens[[#This Row],[Qtd]]*tItens[[#This Row],[Vlr unit]]</f>
        <v>27000</v>
      </c>
      <c r="L8715" s="6">
        <f>IFERROR(IF(INDEX(tProdutos[Desconto homologado],MATCH(tItens[[#This Row],[Produto]],tProdutos[Produto],0))="",DescontoPadrao,INDEX(tProdutos[Desconto homologado],MATCH(tItens[[#This Row],[Produto]],tProdutos[Produto],0))),DescontoPadrao)</f>
        <v>0.36881329157903497</v>
      </c>
      <c r="M8715" s="12">
        <f>tItens[[#This Row],[Valor]]*(1-tItens[[#This Row],[Desconto]])</f>
        <v>17042.041127366057</v>
      </c>
      <c r="N8715" t="str">
        <f>IFERROR(INDEX(tProdutos[Foco],MATCH(tItens[[#This Row],[Produto]],tProdutos[Produto],0)),"Não")</f>
        <v>Não</v>
      </c>
      <c r="O8715" t="str">
        <f>IFERROR(INDEX(tEditais[SRP],MATCH(tItens[[#This Row],[Edital]],tEditais[Edital],0)),"Não")</f>
        <v>Sim</v>
      </c>
      <c r="P8715" s="4">
        <f>IF(COUNTIFS(INDEX(tItens[Edital],1):tItens[[#This Row],[Edital]],tItens[[#This Row],[Edital]],INDEX(tItens[Produto],1):tItens[[#This Row],[Produto]],tItens[[#This Row],[Produto]])=1,1,0)</f>
        <v>1</v>
      </c>
    </row>
    <row r="8716" spans="1:16" x14ac:dyDescent="0.25">
      <c r="A8716" t="s">
        <v>2934</v>
      </c>
      <c r="B8716">
        <v>226</v>
      </c>
      <c r="C8716" t="s">
        <v>11122</v>
      </c>
      <c r="D8716" t="s">
        <v>142</v>
      </c>
      <c r="E8716" s="13">
        <v>4</v>
      </c>
      <c r="F8716" s="12">
        <v>5.75</v>
      </c>
      <c r="G8716" t="str">
        <f>IFERROR(INDEX(tEditais[Órgão],MATCH(tItens[[#This Row],[Edital]],tEditais[Edital],0)),"")</f>
        <v>MUNICIPIO DE MARILIA</v>
      </c>
      <c r="H8716" t="str">
        <f>IFERROR(INDEX(tEditais[UF],MATCH(tItens[[#This Row],[Edital]],tEditais[Edital],0)),"")</f>
        <v>SP</v>
      </c>
      <c r="I8716" s="11">
        <f>IFERROR(INDEX(tEditais[Encerramento],MATCH(tItens[[#This Row],[Edital]],tEditais[Edital],0)),"")</f>
        <v>46309.375</v>
      </c>
      <c r="J8716" t="str">
        <f>IFERROR(INDEX(tProdutos[Classe],MATCH(tItens[[#This Row],[Produto]],tProdutos[Produto],0)),"produto não cadastrado")</f>
        <v>DISPUTADO</v>
      </c>
      <c r="K8716" s="12">
        <f>tItens[[#This Row],[Qtd]]*tItens[[#This Row],[Vlr unit]]</f>
        <v>23</v>
      </c>
      <c r="L8716" s="6">
        <f>IFERROR(IF(INDEX(tProdutos[Desconto homologado],MATCH(tItens[[#This Row],[Produto]],tProdutos[Produto],0))="",DescontoPadrao,INDEX(tProdutos[Desconto homologado],MATCH(tItens[[#This Row],[Produto]],tProdutos[Produto],0))),DescontoPadrao)</f>
        <v>0.37093619495691699</v>
      </c>
      <c r="M8716" s="12">
        <f>tItens[[#This Row],[Valor]]*(1-tItens[[#This Row],[Desconto]])</f>
        <v>14.468467515990909</v>
      </c>
      <c r="N8716" t="str">
        <f>IFERROR(INDEX(tProdutos[Foco],MATCH(tItens[[#This Row],[Produto]],tProdutos[Produto],0)),"Não")</f>
        <v>Não</v>
      </c>
      <c r="O8716" t="str">
        <f>IFERROR(INDEX(tEditais[SRP],MATCH(tItens[[#This Row],[Edital]],tEditais[Edital],0)),"Não")</f>
        <v>Sim</v>
      </c>
      <c r="P8716" s="4">
        <f>IF(COUNTIFS(INDEX(tItens[Edital],1):tItens[[#This Row],[Edital]],tItens[[#This Row],[Edital]],INDEX(tItens[Produto],1):tItens[[#This Row],[Produto]],tItens[[#This Row],[Produto]])=1,1,0)</f>
        <v>1</v>
      </c>
    </row>
    <row r="8717" spans="1:16" x14ac:dyDescent="0.25">
      <c r="A8717" t="s">
        <v>2934</v>
      </c>
      <c r="B8717">
        <v>227</v>
      </c>
      <c r="C8717" t="s">
        <v>11123</v>
      </c>
      <c r="D8717" t="s">
        <v>494</v>
      </c>
      <c r="E8717" s="13">
        <v>240</v>
      </c>
      <c r="F8717" s="12">
        <v>60.7</v>
      </c>
      <c r="G8717" t="str">
        <f>IFERROR(INDEX(tEditais[Órgão],MATCH(tItens[[#This Row],[Edital]],tEditais[Edital],0)),"")</f>
        <v>MUNICIPIO DE MARILIA</v>
      </c>
      <c r="H8717" t="str">
        <f>IFERROR(INDEX(tEditais[UF],MATCH(tItens[[#This Row],[Edital]],tEditais[Edital],0)),"")</f>
        <v>SP</v>
      </c>
      <c r="I8717" s="11">
        <f>IFERROR(INDEX(tEditais[Encerramento],MATCH(tItens[[#This Row],[Edital]],tEditais[Edital],0)),"")</f>
        <v>46309.375</v>
      </c>
      <c r="J8717" t="str">
        <f>IFERROR(INDEX(tProdutos[Classe],MATCH(tItens[[#This Row],[Produto]],tProdutos[Produto],0)),"produto não cadastrado")</f>
        <v>FILA REBASE</v>
      </c>
      <c r="K8717" s="12">
        <f>tItens[[#This Row],[Qtd]]*tItens[[#This Row],[Vlr unit]]</f>
        <v>14568</v>
      </c>
      <c r="L8717" s="6">
        <f>IFERROR(IF(INDEX(tProdutos[Desconto homologado],MATCH(tItens[[#This Row],[Produto]],tProdutos[Produto],0))="",DescontoPadrao,INDEX(tProdutos[Desconto homologado],MATCH(tItens[[#This Row],[Produto]],tProdutos[Produto],0))),DescontoPadrao)</f>
        <v>0.253736324829619</v>
      </c>
      <c r="M8717" s="12">
        <f>tItens[[#This Row],[Valor]]*(1-tItens[[#This Row],[Desconto]])</f>
        <v>10871.569219882111</v>
      </c>
      <c r="N8717" t="str">
        <f>IFERROR(INDEX(tProdutos[Foco],MATCH(tItens[[#This Row],[Produto]],tProdutos[Produto],0)),"Não")</f>
        <v>Não</v>
      </c>
      <c r="O8717" t="str">
        <f>IFERROR(INDEX(tEditais[SRP],MATCH(tItens[[#This Row],[Edital]],tEditais[Edital],0)),"Não")</f>
        <v>Sim</v>
      </c>
      <c r="P8717" s="4">
        <f>IF(COUNTIFS(INDEX(tItens[Edital],1):tItens[[#This Row],[Edital]],tItens[[#This Row],[Edital]],INDEX(tItens[Produto],1):tItens[[#This Row],[Produto]],tItens[[#This Row],[Produto]])=1,1,0)</f>
        <v>1</v>
      </c>
    </row>
    <row r="8718" spans="1:16" x14ac:dyDescent="0.25">
      <c r="A8718" t="s">
        <v>2934</v>
      </c>
      <c r="B8718">
        <v>228</v>
      </c>
      <c r="C8718" t="s">
        <v>11124</v>
      </c>
      <c r="D8718" t="s">
        <v>494</v>
      </c>
      <c r="E8718" s="13">
        <v>100</v>
      </c>
      <c r="F8718" s="12">
        <v>137.41</v>
      </c>
      <c r="G8718" t="str">
        <f>IFERROR(INDEX(tEditais[Órgão],MATCH(tItens[[#This Row],[Edital]],tEditais[Edital],0)),"")</f>
        <v>MUNICIPIO DE MARILIA</v>
      </c>
      <c r="H8718" t="str">
        <f>IFERROR(INDEX(tEditais[UF],MATCH(tItens[[#This Row],[Edital]],tEditais[Edital],0)),"")</f>
        <v>SP</v>
      </c>
      <c r="I8718" s="11">
        <f>IFERROR(INDEX(tEditais[Encerramento],MATCH(tItens[[#This Row],[Edital]],tEditais[Edital],0)),"")</f>
        <v>46309.375</v>
      </c>
      <c r="J8718" t="str">
        <f>IFERROR(INDEX(tProdutos[Classe],MATCH(tItens[[#This Row],[Produto]],tProdutos[Produto],0)),"produto não cadastrado")</f>
        <v>FILA REBASE</v>
      </c>
      <c r="K8718" s="12">
        <f>tItens[[#This Row],[Qtd]]*tItens[[#This Row],[Vlr unit]]</f>
        <v>13741</v>
      </c>
      <c r="L8718" s="6">
        <f>IFERROR(IF(INDEX(tProdutos[Desconto homologado],MATCH(tItens[[#This Row],[Produto]],tProdutos[Produto],0))="",DescontoPadrao,INDEX(tProdutos[Desconto homologado],MATCH(tItens[[#This Row],[Produto]],tProdutos[Produto],0))),DescontoPadrao)</f>
        <v>0.253736324829619</v>
      </c>
      <c r="M8718" s="12">
        <f>tItens[[#This Row],[Valor]]*(1-tItens[[#This Row],[Desconto]])</f>
        <v>10254.409160516207</v>
      </c>
      <c r="N8718" t="str">
        <f>IFERROR(INDEX(tProdutos[Foco],MATCH(tItens[[#This Row],[Produto]],tProdutos[Produto],0)),"Não")</f>
        <v>Não</v>
      </c>
      <c r="O8718" t="str">
        <f>IFERROR(INDEX(tEditais[SRP],MATCH(tItens[[#This Row],[Edital]],tEditais[Edital],0)),"Não")</f>
        <v>Sim</v>
      </c>
      <c r="P8718" s="4">
        <f>IF(COUNTIFS(INDEX(tItens[Edital],1):tItens[[#This Row],[Edital]],tItens[[#This Row],[Edital]],INDEX(tItens[Produto],1):tItens[[#This Row],[Produto]],tItens[[#This Row],[Produto]])=1,1,0)</f>
        <v>0</v>
      </c>
    </row>
    <row r="8719" spans="1:16" x14ac:dyDescent="0.25">
      <c r="A8719" t="s">
        <v>2934</v>
      </c>
      <c r="B8719">
        <v>229</v>
      </c>
      <c r="C8719" t="s">
        <v>11125</v>
      </c>
      <c r="D8719" t="s">
        <v>494</v>
      </c>
      <c r="E8719" s="13">
        <v>200</v>
      </c>
      <c r="F8719" s="12">
        <v>94.63</v>
      </c>
      <c r="G8719" t="str">
        <f>IFERROR(INDEX(tEditais[Órgão],MATCH(tItens[[#This Row],[Edital]],tEditais[Edital],0)),"")</f>
        <v>MUNICIPIO DE MARILIA</v>
      </c>
      <c r="H8719" t="str">
        <f>IFERROR(INDEX(tEditais[UF],MATCH(tItens[[#This Row],[Edital]],tEditais[Edital],0)),"")</f>
        <v>SP</v>
      </c>
      <c r="I8719" s="11">
        <f>IFERROR(INDEX(tEditais[Encerramento],MATCH(tItens[[#This Row],[Edital]],tEditais[Edital],0)),"")</f>
        <v>46309.375</v>
      </c>
      <c r="J8719" t="str">
        <f>IFERROR(INDEX(tProdutos[Classe],MATCH(tItens[[#This Row],[Produto]],tProdutos[Produto],0)),"produto não cadastrado")</f>
        <v>FILA REBASE</v>
      </c>
      <c r="K8719" s="12">
        <f>tItens[[#This Row],[Qtd]]*tItens[[#This Row],[Vlr unit]]</f>
        <v>18926</v>
      </c>
      <c r="L8719" s="6">
        <f>IFERROR(IF(INDEX(tProdutos[Desconto homologado],MATCH(tItens[[#This Row],[Produto]],tProdutos[Produto],0))="",DescontoPadrao,INDEX(tProdutos[Desconto homologado],MATCH(tItens[[#This Row],[Produto]],tProdutos[Produto],0))),DescontoPadrao)</f>
        <v>0.253736324829619</v>
      </c>
      <c r="M8719" s="12">
        <f>tItens[[#This Row],[Valor]]*(1-tItens[[#This Row],[Desconto]])</f>
        <v>14123.786316274633</v>
      </c>
      <c r="N8719" t="str">
        <f>IFERROR(INDEX(tProdutos[Foco],MATCH(tItens[[#This Row],[Produto]],tProdutos[Produto],0)),"Não")</f>
        <v>Não</v>
      </c>
      <c r="O8719" t="str">
        <f>IFERROR(INDEX(tEditais[SRP],MATCH(tItens[[#This Row],[Edital]],tEditais[Edital],0)),"Não")</f>
        <v>Sim</v>
      </c>
      <c r="P8719" s="4">
        <f>IF(COUNTIFS(INDEX(tItens[Edital],1):tItens[[#This Row],[Edital]],tItens[[#This Row],[Edital]],INDEX(tItens[Produto],1):tItens[[#This Row],[Produto]],tItens[[#This Row],[Produto]])=1,1,0)</f>
        <v>0</v>
      </c>
    </row>
    <row r="8720" spans="1:16" x14ac:dyDescent="0.25">
      <c r="A8720" t="s">
        <v>2934</v>
      </c>
      <c r="B8720">
        <v>230</v>
      </c>
      <c r="C8720" t="s">
        <v>11126</v>
      </c>
      <c r="D8720" t="s">
        <v>494</v>
      </c>
      <c r="E8720" s="13">
        <v>100</v>
      </c>
      <c r="F8720" s="12">
        <v>116.15</v>
      </c>
      <c r="G8720" t="str">
        <f>IFERROR(INDEX(tEditais[Órgão],MATCH(tItens[[#This Row],[Edital]],tEditais[Edital],0)),"")</f>
        <v>MUNICIPIO DE MARILIA</v>
      </c>
      <c r="H8720" t="str">
        <f>IFERROR(INDEX(tEditais[UF],MATCH(tItens[[#This Row],[Edital]],tEditais[Edital],0)),"")</f>
        <v>SP</v>
      </c>
      <c r="I8720" s="11">
        <f>IFERROR(INDEX(tEditais[Encerramento],MATCH(tItens[[#This Row],[Edital]],tEditais[Edital],0)),"")</f>
        <v>46309.375</v>
      </c>
      <c r="J8720" t="str">
        <f>IFERROR(INDEX(tProdutos[Classe],MATCH(tItens[[#This Row],[Produto]],tProdutos[Produto],0)),"produto não cadastrado")</f>
        <v>FILA REBASE</v>
      </c>
      <c r="K8720" s="12">
        <f>tItens[[#This Row],[Qtd]]*tItens[[#This Row],[Vlr unit]]</f>
        <v>11615</v>
      </c>
      <c r="L8720" s="6">
        <f>IFERROR(IF(INDEX(tProdutos[Desconto homologado],MATCH(tItens[[#This Row],[Produto]],tProdutos[Produto],0))="",DescontoPadrao,INDEX(tProdutos[Desconto homologado],MATCH(tItens[[#This Row],[Produto]],tProdutos[Produto],0))),DescontoPadrao)</f>
        <v>0.253736324829619</v>
      </c>
      <c r="M8720" s="12">
        <f>tItens[[#This Row],[Valor]]*(1-tItens[[#This Row],[Desconto]])</f>
        <v>8667.8525871039765</v>
      </c>
      <c r="N8720" t="str">
        <f>IFERROR(INDEX(tProdutos[Foco],MATCH(tItens[[#This Row],[Produto]],tProdutos[Produto],0)),"Não")</f>
        <v>Não</v>
      </c>
      <c r="O8720" t="str">
        <f>IFERROR(INDEX(tEditais[SRP],MATCH(tItens[[#This Row],[Edital]],tEditais[Edital],0)),"Não")</f>
        <v>Sim</v>
      </c>
      <c r="P8720" s="4">
        <f>IF(COUNTIFS(INDEX(tItens[Edital],1):tItens[[#This Row],[Edital]],tItens[[#This Row],[Edital]],INDEX(tItens[Produto],1):tItens[[#This Row],[Produto]],tItens[[#This Row],[Produto]])=1,1,0)</f>
        <v>0</v>
      </c>
    </row>
    <row r="8721" spans="1:16" x14ac:dyDescent="0.25">
      <c r="A8721" t="s">
        <v>2934</v>
      </c>
      <c r="B8721">
        <v>231</v>
      </c>
      <c r="C8721" t="s">
        <v>11127</v>
      </c>
      <c r="D8721" t="s">
        <v>494</v>
      </c>
      <c r="E8721" s="13">
        <v>200</v>
      </c>
      <c r="F8721" s="12">
        <v>25.51</v>
      </c>
      <c r="G8721" t="str">
        <f>IFERROR(INDEX(tEditais[Órgão],MATCH(tItens[[#This Row],[Edital]],tEditais[Edital],0)),"")</f>
        <v>MUNICIPIO DE MARILIA</v>
      </c>
      <c r="H8721" t="str">
        <f>IFERROR(INDEX(tEditais[UF],MATCH(tItens[[#This Row],[Edital]],tEditais[Edital],0)),"")</f>
        <v>SP</v>
      </c>
      <c r="I8721" s="11">
        <f>IFERROR(INDEX(tEditais[Encerramento],MATCH(tItens[[#This Row],[Edital]],tEditais[Edital],0)),"")</f>
        <v>46309.375</v>
      </c>
      <c r="J8721" t="str">
        <f>IFERROR(INDEX(tProdutos[Classe],MATCH(tItens[[#This Row],[Produto]],tProdutos[Produto],0)),"produto não cadastrado")</f>
        <v>FILA REBASE</v>
      </c>
      <c r="K8721" s="12">
        <f>tItens[[#This Row],[Qtd]]*tItens[[#This Row],[Vlr unit]]</f>
        <v>5102</v>
      </c>
      <c r="L8721" s="6">
        <f>IFERROR(IF(INDEX(tProdutos[Desconto homologado],MATCH(tItens[[#This Row],[Produto]],tProdutos[Produto],0))="",DescontoPadrao,INDEX(tProdutos[Desconto homologado],MATCH(tItens[[#This Row],[Produto]],tProdutos[Produto],0))),DescontoPadrao)</f>
        <v>0.253736324829619</v>
      </c>
      <c r="M8721" s="12">
        <f>tItens[[#This Row],[Valor]]*(1-tItens[[#This Row],[Desconto]])</f>
        <v>3807.4372707192842</v>
      </c>
      <c r="N8721" t="str">
        <f>IFERROR(INDEX(tProdutos[Foco],MATCH(tItens[[#This Row],[Produto]],tProdutos[Produto],0)),"Não")</f>
        <v>Não</v>
      </c>
      <c r="O8721" t="str">
        <f>IFERROR(INDEX(tEditais[SRP],MATCH(tItens[[#This Row],[Edital]],tEditais[Edital],0)),"Não")</f>
        <v>Sim</v>
      </c>
      <c r="P8721" s="4">
        <f>IF(COUNTIFS(INDEX(tItens[Edital],1):tItens[[#This Row],[Edital]],tItens[[#This Row],[Edital]],INDEX(tItens[Produto],1):tItens[[#This Row],[Produto]],tItens[[#This Row],[Produto]])=1,1,0)</f>
        <v>0</v>
      </c>
    </row>
    <row r="8722" spans="1:16" x14ac:dyDescent="0.25">
      <c r="A8722" t="s">
        <v>2937</v>
      </c>
      <c r="B8722">
        <v>5</v>
      </c>
      <c r="C8722" t="s">
        <v>11128</v>
      </c>
      <c r="D8722" t="s">
        <v>333</v>
      </c>
      <c r="E8722" s="13">
        <v>453150</v>
      </c>
      <c r="F8722" s="12">
        <v>2.4900000000000002</v>
      </c>
      <c r="G8722" t="str">
        <f>IFERROR(INDEX(tEditais[Órgão],MATCH(tItens[[#This Row],[Edital]],tEditais[Edital],0)),"")</f>
        <v>MUNICIPIO DE SAO BERNARDO DO CAMPO</v>
      </c>
      <c r="H8722" t="str">
        <f>IFERROR(INDEX(tEditais[UF],MATCH(tItens[[#This Row],[Edital]],tEditais[Edital],0)),"")</f>
        <v>SP</v>
      </c>
      <c r="I8722" s="11">
        <f>IFERROR(INDEX(tEditais[Encerramento],MATCH(tItens[[#This Row],[Edital]],tEditais[Edital],0)),"")</f>
        <v>46309.375</v>
      </c>
      <c r="J8722" t="str">
        <f>IFERROR(INDEX(tProdutos[Classe],MATCH(tItens[[#This Row],[Produto]],tProdutos[Produto],0)),"produto não cadastrado")</f>
        <v>FORA</v>
      </c>
      <c r="K8722" s="12">
        <f>tItens[[#This Row],[Qtd]]*tItens[[#This Row],[Vlr unit]]</f>
        <v>1128343.5</v>
      </c>
      <c r="L8722" s="6">
        <f>IFERROR(IF(INDEX(tProdutos[Desconto homologado],MATCH(tItens[[#This Row],[Produto]],tProdutos[Produto],0))="",DescontoPadrao,INDEX(tProdutos[Desconto homologado],MATCH(tItens[[#This Row],[Produto]],tProdutos[Produto],0))),DescontoPadrao)</f>
        <v>0.48951048951048998</v>
      </c>
      <c r="M8722" s="12">
        <f>tItens[[#This Row],[Valor]]*(1-tItens[[#This Row],[Desconto]])</f>
        <v>576007.5209790204</v>
      </c>
      <c r="N8722" t="str">
        <f>IFERROR(INDEX(tProdutos[Foco],MATCH(tItens[[#This Row],[Produto]],tProdutos[Produto],0)),"Não")</f>
        <v>Não</v>
      </c>
      <c r="O8722" t="str">
        <f>IFERROR(INDEX(tEditais[SRP],MATCH(tItens[[#This Row],[Edital]],tEditais[Edital],0)),"Não")</f>
        <v>Sim</v>
      </c>
      <c r="P8722" s="4">
        <f>IF(COUNTIFS(INDEX(tItens[Edital],1):tItens[[#This Row],[Edital]],tItens[[#This Row],[Edital]],INDEX(tItens[Produto],1):tItens[[#This Row],[Produto]],tItens[[#This Row],[Produto]])=1,1,0)</f>
        <v>1</v>
      </c>
    </row>
    <row r="8723" spans="1:16" x14ac:dyDescent="0.25">
      <c r="A8723" t="s">
        <v>2937</v>
      </c>
      <c r="B8723">
        <v>6</v>
      </c>
      <c r="C8723" t="s">
        <v>11129</v>
      </c>
      <c r="D8723" t="s">
        <v>187</v>
      </c>
      <c r="E8723" s="13">
        <v>1260</v>
      </c>
      <c r="F8723" s="12">
        <v>5.54</v>
      </c>
      <c r="G8723" t="str">
        <f>IFERROR(INDEX(tEditais[Órgão],MATCH(tItens[[#This Row],[Edital]],tEditais[Edital],0)),"")</f>
        <v>MUNICIPIO DE SAO BERNARDO DO CAMPO</v>
      </c>
      <c r="H8723" t="str">
        <f>IFERROR(INDEX(tEditais[UF],MATCH(tItens[[#This Row],[Edital]],tEditais[Edital],0)),"")</f>
        <v>SP</v>
      </c>
      <c r="I8723" s="11">
        <f>IFERROR(INDEX(tEditais[Encerramento],MATCH(tItens[[#This Row],[Edital]],tEditais[Edital],0)),"")</f>
        <v>46309.375</v>
      </c>
      <c r="J8723" t="str">
        <f>IFERROR(INDEX(tProdutos[Classe],MATCH(tItens[[#This Row],[Produto]],tProdutos[Produto],0)),"produto não cadastrado")</f>
        <v>DISPUTADO</v>
      </c>
      <c r="K8723" s="12">
        <f>tItens[[#This Row],[Qtd]]*tItens[[#This Row],[Vlr unit]]</f>
        <v>6980.4</v>
      </c>
      <c r="L8723" s="6">
        <f>IFERROR(IF(INDEX(tProdutos[Desconto homologado],MATCH(tItens[[#This Row],[Produto]],tProdutos[Produto],0))="",DescontoPadrao,INDEX(tProdutos[Desconto homologado],MATCH(tItens[[#This Row],[Produto]],tProdutos[Produto],0))),DescontoPadrao)</f>
        <v>0.44298820445609399</v>
      </c>
      <c r="M8723" s="12">
        <f>tItens[[#This Row],[Valor]]*(1-tItens[[#This Row],[Desconto]])</f>
        <v>3888.1651376146815</v>
      </c>
      <c r="N8723" t="str">
        <f>IFERROR(INDEX(tProdutos[Foco],MATCH(tItens[[#This Row],[Produto]],tProdutos[Produto],0)),"Não")</f>
        <v>Não</v>
      </c>
      <c r="O8723" t="str">
        <f>IFERROR(INDEX(tEditais[SRP],MATCH(tItens[[#This Row],[Edital]],tEditais[Edital],0)),"Não")</f>
        <v>Sim</v>
      </c>
      <c r="P8723" s="4">
        <f>IF(COUNTIFS(INDEX(tItens[Edital],1):tItens[[#This Row],[Edital]],tItens[[#This Row],[Edital]],INDEX(tItens[Produto],1):tItens[[#This Row],[Produto]],tItens[[#This Row],[Produto]])=1,1,0)</f>
        <v>1</v>
      </c>
    </row>
    <row r="8724" spans="1:16" x14ac:dyDescent="0.25">
      <c r="A8724" t="s">
        <v>2937</v>
      </c>
      <c r="B8724">
        <v>7</v>
      </c>
      <c r="C8724" t="s">
        <v>11129</v>
      </c>
      <c r="D8724" t="s">
        <v>187</v>
      </c>
      <c r="E8724" s="13">
        <v>3375</v>
      </c>
      <c r="F8724" s="12">
        <v>4.12</v>
      </c>
      <c r="G8724" t="str">
        <f>IFERROR(INDEX(tEditais[Órgão],MATCH(tItens[[#This Row],[Edital]],tEditais[Edital],0)),"")</f>
        <v>MUNICIPIO DE SAO BERNARDO DO CAMPO</v>
      </c>
      <c r="H8724" t="str">
        <f>IFERROR(INDEX(tEditais[UF],MATCH(tItens[[#This Row],[Edital]],tEditais[Edital],0)),"")</f>
        <v>SP</v>
      </c>
      <c r="I8724" s="11">
        <f>IFERROR(INDEX(tEditais[Encerramento],MATCH(tItens[[#This Row],[Edital]],tEditais[Edital],0)),"")</f>
        <v>46309.375</v>
      </c>
      <c r="J8724" t="str">
        <f>IFERROR(INDEX(tProdutos[Classe],MATCH(tItens[[#This Row],[Produto]],tProdutos[Produto],0)),"produto não cadastrado")</f>
        <v>DISPUTADO</v>
      </c>
      <c r="K8724" s="12">
        <f>tItens[[#This Row],[Qtd]]*tItens[[#This Row],[Vlr unit]]</f>
        <v>13905</v>
      </c>
      <c r="L8724" s="6">
        <f>IFERROR(IF(INDEX(tProdutos[Desconto homologado],MATCH(tItens[[#This Row],[Produto]],tProdutos[Produto],0))="",DescontoPadrao,INDEX(tProdutos[Desconto homologado],MATCH(tItens[[#This Row],[Produto]],tProdutos[Produto],0))),DescontoPadrao)</f>
        <v>0.44298820445609399</v>
      </c>
      <c r="M8724" s="12">
        <f>tItens[[#This Row],[Valor]]*(1-tItens[[#This Row],[Desconto]])</f>
        <v>7745.2490170380133</v>
      </c>
      <c r="N8724" t="str">
        <f>IFERROR(INDEX(tProdutos[Foco],MATCH(tItens[[#This Row],[Produto]],tProdutos[Produto],0)),"Não")</f>
        <v>Não</v>
      </c>
      <c r="O8724" t="str">
        <f>IFERROR(INDEX(tEditais[SRP],MATCH(tItens[[#This Row],[Edital]],tEditais[Edital],0)),"Não")</f>
        <v>Sim</v>
      </c>
      <c r="P8724" s="4">
        <f>IF(COUNTIFS(INDEX(tItens[Edital],1):tItens[[#This Row],[Edital]],tItens[[#This Row],[Edital]],INDEX(tItens[Produto],1):tItens[[#This Row],[Produto]],tItens[[#This Row],[Produto]])=1,1,0)</f>
        <v>0</v>
      </c>
    </row>
    <row r="8725" spans="1:16" x14ac:dyDescent="0.25">
      <c r="A8725" t="s">
        <v>2937</v>
      </c>
      <c r="B8725">
        <v>8</v>
      </c>
      <c r="C8725" t="s">
        <v>11130</v>
      </c>
      <c r="D8725" t="s">
        <v>331</v>
      </c>
      <c r="E8725" s="13">
        <v>80940</v>
      </c>
      <c r="F8725" s="12">
        <v>1.0900000000000001</v>
      </c>
      <c r="G8725" t="str">
        <f>IFERROR(INDEX(tEditais[Órgão],MATCH(tItens[[#This Row],[Edital]],tEditais[Edital],0)),"")</f>
        <v>MUNICIPIO DE SAO BERNARDO DO CAMPO</v>
      </c>
      <c r="H8725" t="str">
        <f>IFERROR(INDEX(tEditais[UF],MATCH(tItens[[#This Row],[Edital]],tEditais[Edital],0)),"")</f>
        <v>SP</v>
      </c>
      <c r="I8725" s="11">
        <f>IFERROR(INDEX(tEditais[Encerramento],MATCH(tItens[[#This Row],[Edital]],tEditais[Edital],0)),"")</f>
        <v>46309.375</v>
      </c>
      <c r="J8725" t="str">
        <f>IFERROR(INDEX(tProdutos[Classe],MATCH(tItens[[#This Row],[Produto]],tProdutos[Produto],0)),"produto não cadastrado")</f>
        <v>FORA</v>
      </c>
      <c r="K8725" s="12">
        <f>tItens[[#This Row],[Qtd]]*tItens[[#This Row],[Vlr unit]]</f>
        <v>88224.6</v>
      </c>
      <c r="L8725" s="6">
        <f>IFERROR(IF(INDEX(tProdutos[Desconto homologado],MATCH(tItens[[#This Row],[Produto]],tProdutos[Produto],0))="",DescontoPadrao,INDEX(tProdutos[Desconto homologado],MATCH(tItens[[#This Row],[Produto]],tProdutos[Produto],0))),DescontoPadrao)</f>
        <v>0.45927812223206399</v>
      </c>
      <c r="M8725" s="12">
        <f>tItens[[#This Row],[Valor]]*(1-tItens[[#This Row],[Desconto]])</f>
        <v>47704.971377325048</v>
      </c>
      <c r="N8725" t="str">
        <f>IFERROR(INDEX(tProdutos[Foco],MATCH(tItens[[#This Row],[Produto]],tProdutos[Produto],0)),"Não")</f>
        <v>Não</v>
      </c>
      <c r="O8725" t="str">
        <f>IFERROR(INDEX(tEditais[SRP],MATCH(tItens[[#This Row],[Edital]],tEditais[Edital],0)),"Não")</f>
        <v>Sim</v>
      </c>
      <c r="P8725" s="4">
        <f>IF(COUNTIFS(INDEX(tItens[Edital],1):tItens[[#This Row],[Edital]],tItens[[#This Row],[Edital]],INDEX(tItens[Produto],1):tItens[[#This Row],[Produto]],tItens[[#This Row],[Produto]])=1,1,0)</f>
        <v>1</v>
      </c>
    </row>
    <row r="8726" spans="1:16" x14ac:dyDescent="0.25">
      <c r="A8726" t="s">
        <v>2937</v>
      </c>
      <c r="B8726">
        <v>9</v>
      </c>
      <c r="C8726" t="s">
        <v>11131</v>
      </c>
      <c r="D8726" t="s">
        <v>90</v>
      </c>
      <c r="E8726" s="13">
        <v>1155</v>
      </c>
      <c r="F8726" s="12">
        <v>11.94</v>
      </c>
      <c r="G8726" t="str">
        <f>IFERROR(INDEX(tEditais[Órgão],MATCH(tItens[[#This Row],[Edital]],tEditais[Edital],0)),"")</f>
        <v>MUNICIPIO DE SAO BERNARDO DO CAMPO</v>
      </c>
      <c r="H8726" t="str">
        <f>IFERROR(INDEX(tEditais[UF],MATCH(tItens[[#This Row],[Edital]],tEditais[Edital],0)),"")</f>
        <v>SP</v>
      </c>
      <c r="I8726" s="11">
        <f>IFERROR(INDEX(tEditais[Encerramento],MATCH(tItens[[#This Row],[Edital]],tEditais[Edital],0)),"")</f>
        <v>46309.375</v>
      </c>
      <c r="J8726" t="str">
        <f>IFERROR(INDEX(tProdutos[Classe],MATCH(tItens[[#This Row],[Produto]],tProdutos[Produto],0)),"produto não cadastrado")</f>
        <v>DISPUTADO</v>
      </c>
      <c r="K8726" s="12">
        <f>tItens[[#This Row],[Qtd]]*tItens[[#This Row],[Vlr unit]]</f>
        <v>13790.699999999999</v>
      </c>
      <c r="L8726" s="6">
        <f>IFERROR(IF(INDEX(tProdutos[Desconto homologado],MATCH(tItens[[#This Row],[Produto]],tProdutos[Produto],0))="",DescontoPadrao,INDEX(tProdutos[Desconto homologado],MATCH(tItens[[#This Row],[Produto]],tProdutos[Produto],0))),DescontoPadrao)</f>
        <v>0.25393823957010597</v>
      </c>
      <c r="M8726" s="12">
        <f>tItens[[#This Row],[Valor]]*(1-tItens[[#This Row],[Desconto]])</f>
        <v>10288.71391956054</v>
      </c>
      <c r="N8726" t="str">
        <f>IFERROR(INDEX(tProdutos[Foco],MATCH(tItens[[#This Row],[Produto]],tProdutos[Produto],0)),"Não")</f>
        <v>Não</v>
      </c>
      <c r="O8726" t="str">
        <f>IFERROR(INDEX(tEditais[SRP],MATCH(tItens[[#This Row],[Edital]],tEditais[Edital],0)),"Não")</f>
        <v>Sim</v>
      </c>
      <c r="P8726" s="4">
        <f>IF(COUNTIFS(INDEX(tItens[Edital],1):tItens[[#This Row],[Edital]],tItens[[#This Row],[Edital]],INDEX(tItens[Produto],1):tItens[[#This Row],[Produto]],tItens[[#This Row],[Produto]])=1,1,0)</f>
        <v>1</v>
      </c>
    </row>
    <row r="8727" spans="1:16" x14ac:dyDescent="0.25">
      <c r="A8727" t="s">
        <v>2937</v>
      </c>
      <c r="B8727">
        <v>10</v>
      </c>
      <c r="C8727" t="s">
        <v>11131</v>
      </c>
      <c r="D8727" t="s">
        <v>90</v>
      </c>
      <c r="E8727" s="13">
        <v>14310</v>
      </c>
      <c r="F8727" s="12">
        <v>7.4</v>
      </c>
      <c r="G8727" t="str">
        <f>IFERROR(INDEX(tEditais[Órgão],MATCH(tItens[[#This Row],[Edital]],tEditais[Edital],0)),"")</f>
        <v>MUNICIPIO DE SAO BERNARDO DO CAMPO</v>
      </c>
      <c r="H8727" t="str">
        <f>IFERROR(INDEX(tEditais[UF],MATCH(tItens[[#This Row],[Edital]],tEditais[Edital],0)),"")</f>
        <v>SP</v>
      </c>
      <c r="I8727" s="11">
        <f>IFERROR(INDEX(tEditais[Encerramento],MATCH(tItens[[#This Row],[Edital]],tEditais[Edital],0)),"")</f>
        <v>46309.375</v>
      </c>
      <c r="J8727" t="str">
        <f>IFERROR(INDEX(tProdutos[Classe],MATCH(tItens[[#This Row],[Produto]],tProdutos[Produto],0)),"produto não cadastrado")</f>
        <v>DISPUTADO</v>
      </c>
      <c r="K8727" s="12">
        <f>tItens[[#This Row],[Qtd]]*tItens[[#This Row],[Vlr unit]]</f>
        <v>105894</v>
      </c>
      <c r="L8727" s="6">
        <f>IFERROR(IF(INDEX(tProdutos[Desconto homologado],MATCH(tItens[[#This Row],[Produto]],tProdutos[Produto],0))="",DescontoPadrao,INDEX(tProdutos[Desconto homologado],MATCH(tItens[[#This Row],[Produto]],tProdutos[Produto],0))),DescontoPadrao)</f>
        <v>0.25393823957010597</v>
      </c>
      <c r="M8727" s="12">
        <f>tItens[[#This Row],[Valor]]*(1-tItens[[#This Row],[Desconto]])</f>
        <v>79003.464058963204</v>
      </c>
      <c r="N8727" t="str">
        <f>IFERROR(INDEX(tProdutos[Foco],MATCH(tItens[[#This Row],[Produto]],tProdutos[Produto],0)),"Não")</f>
        <v>Não</v>
      </c>
      <c r="O8727" t="str">
        <f>IFERROR(INDEX(tEditais[SRP],MATCH(tItens[[#This Row],[Edital]],tEditais[Edital],0)),"Não")</f>
        <v>Sim</v>
      </c>
      <c r="P8727" s="4">
        <f>IF(COUNTIFS(INDEX(tItens[Edital],1):tItens[[#This Row],[Edital]],tItens[[#This Row],[Edital]],INDEX(tItens[Produto],1):tItens[[#This Row],[Produto]],tItens[[#This Row],[Produto]])=1,1,0)</f>
        <v>0</v>
      </c>
    </row>
    <row r="8728" spans="1:16" x14ac:dyDescent="0.25">
      <c r="A8728" t="s">
        <v>2937</v>
      </c>
      <c r="B8728">
        <v>11</v>
      </c>
      <c r="C8728" t="s">
        <v>11132</v>
      </c>
      <c r="D8728" t="s">
        <v>75</v>
      </c>
      <c r="E8728" s="13">
        <v>1500</v>
      </c>
      <c r="F8728" s="12">
        <v>2.94</v>
      </c>
      <c r="G8728" t="str">
        <f>IFERROR(INDEX(tEditais[Órgão],MATCH(tItens[[#This Row],[Edital]],tEditais[Edital],0)),"")</f>
        <v>MUNICIPIO DE SAO BERNARDO DO CAMPO</v>
      </c>
      <c r="H8728" t="str">
        <f>IFERROR(INDEX(tEditais[UF],MATCH(tItens[[#This Row],[Edital]],tEditais[Edital],0)),"")</f>
        <v>SP</v>
      </c>
      <c r="I8728" s="11">
        <f>IFERROR(INDEX(tEditais[Encerramento],MATCH(tItens[[#This Row],[Edital]],tEditais[Edital],0)),"")</f>
        <v>46309.375</v>
      </c>
      <c r="J8728" t="str">
        <f>IFERROR(INDEX(tProdutos[Classe],MATCH(tItens[[#This Row],[Produto]],tProdutos[Produto],0)),"produto não cadastrado")</f>
        <v>NÚCLEO</v>
      </c>
      <c r="K8728" s="12">
        <f>tItens[[#This Row],[Qtd]]*tItens[[#This Row],[Vlr unit]]</f>
        <v>4410</v>
      </c>
      <c r="L8728" s="6">
        <f>IFERROR(IF(INDEX(tProdutos[Desconto homologado],MATCH(tItens[[#This Row],[Produto]],tProdutos[Produto],0))="",DescontoPadrao,INDEX(tProdutos[Desconto homologado],MATCH(tItens[[#This Row],[Produto]],tProdutos[Produto],0))),DescontoPadrao)</f>
        <v>0.26</v>
      </c>
      <c r="M8728" s="12">
        <f>tItens[[#This Row],[Valor]]*(1-tItens[[#This Row],[Desconto]])</f>
        <v>3263.4</v>
      </c>
      <c r="N8728" t="str">
        <f>IFERROR(INDEX(tProdutos[Foco],MATCH(tItens[[#This Row],[Produto]],tProdutos[Produto],0)),"Não")</f>
        <v>Sim</v>
      </c>
      <c r="O8728" t="str">
        <f>IFERROR(INDEX(tEditais[SRP],MATCH(tItens[[#This Row],[Edital]],tEditais[Edital],0)),"Não")</f>
        <v>Sim</v>
      </c>
      <c r="P8728" s="4">
        <f>IF(COUNTIFS(INDEX(tItens[Edital],1):tItens[[#This Row],[Edital]],tItens[[#This Row],[Edital]],INDEX(tItens[Produto],1):tItens[[#This Row],[Produto]],tItens[[#This Row],[Produto]])=1,1,0)</f>
        <v>1</v>
      </c>
    </row>
    <row r="8729" spans="1:16" x14ac:dyDescent="0.25">
      <c r="A8729" t="s">
        <v>2937</v>
      </c>
      <c r="B8729">
        <v>12</v>
      </c>
      <c r="C8729" t="s">
        <v>11133</v>
      </c>
      <c r="D8729" t="s">
        <v>77</v>
      </c>
      <c r="E8729" s="13">
        <v>41700</v>
      </c>
      <c r="F8729" s="12">
        <v>3.54</v>
      </c>
      <c r="G8729" t="str">
        <f>IFERROR(INDEX(tEditais[Órgão],MATCH(tItens[[#This Row],[Edital]],tEditais[Edital],0)),"")</f>
        <v>MUNICIPIO DE SAO BERNARDO DO CAMPO</v>
      </c>
      <c r="H8729" t="str">
        <f>IFERROR(INDEX(tEditais[UF],MATCH(tItens[[#This Row],[Edital]],tEditais[Edital],0)),"")</f>
        <v>SP</v>
      </c>
      <c r="I8729" s="11">
        <f>IFERROR(INDEX(tEditais[Encerramento],MATCH(tItens[[#This Row],[Edital]],tEditais[Edital],0)),"")</f>
        <v>46309.375</v>
      </c>
      <c r="J8729" t="str">
        <f>IFERROR(INDEX(tProdutos[Classe],MATCH(tItens[[#This Row],[Produto]],tProdutos[Produto],0)),"produto não cadastrado")</f>
        <v>DISPUTADO</v>
      </c>
      <c r="K8729" s="12">
        <f>tItens[[#This Row],[Qtd]]*tItens[[#This Row],[Vlr unit]]</f>
        <v>147618</v>
      </c>
      <c r="L8729" s="6">
        <f>IFERROR(IF(INDEX(tProdutos[Desconto homologado],MATCH(tItens[[#This Row],[Produto]],tProdutos[Produto],0))="",DescontoPadrao,INDEX(tProdutos[Desconto homologado],MATCH(tItens[[#This Row],[Produto]],tProdutos[Produto],0))),DescontoPadrao)</f>
        <v>0.33</v>
      </c>
      <c r="M8729" s="12">
        <f>tItens[[#This Row],[Valor]]*(1-tItens[[#This Row],[Desconto]])</f>
        <v>98904.059999999983</v>
      </c>
      <c r="N8729" t="str">
        <f>IFERROR(INDEX(tProdutos[Foco],MATCH(tItens[[#This Row],[Produto]],tProdutos[Produto],0)),"Não")</f>
        <v>Sim</v>
      </c>
      <c r="O8729" t="str">
        <f>IFERROR(INDEX(tEditais[SRP],MATCH(tItens[[#This Row],[Edital]],tEditais[Edital],0)),"Não")</f>
        <v>Sim</v>
      </c>
      <c r="P8729" s="4">
        <f>IF(COUNTIFS(INDEX(tItens[Edital],1):tItens[[#This Row],[Edital]],tItens[[#This Row],[Edital]],INDEX(tItens[Produto],1):tItens[[#This Row],[Produto]],tItens[[#This Row],[Produto]])=1,1,0)</f>
        <v>1</v>
      </c>
    </row>
    <row r="8730" spans="1:16" x14ac:dyDescent="0.25">
      <c r="A8730" t="s">
        <v>2939</v>
      </c>
      <c r="B8730">
        <v>1</v>
      </c>
      <c r="C8730" t="s">
        <v>3482</v>
      </c>
      <c r="D8730" t="s">
        <v>315</v>
      </c>
      <c r="E8730" s="13">
        <v>2365200</v>
      </c>
      <c r="F8730" s="12">
        <v>0</v>
      </c>
      <c r="G8730" t="str">
        <f>IFERROR(INDEX(tEditais[Órgão],MATCH(tItens[[#This Row],[Edital]],tEditais[Edital],0)),"")</f>
        <v>INSTITUTO DE ASSISTENCIA MEDICA AO SERVIDOR PUBLICO ESTADUAL</v>
      </c>
      <c r="H8730" t="str">
        <f>IFERROR(INDEX(tEditais[UF],MATCH(tItens[[#This Row],[Edital]],tEditais[Edital],0)),"")</f>
        <v>SP</v>
      </c>
      <c r="I8730" s="11">
        <f>IFERROR(INDEX(tEditais[Encerramento],MATCH(tItens[[#This Row],[Edital]],tEditais[Edital],0)),"")</f>
        <v>46309.375</v>
      </c>
      <c r="J8730" t="str">
        <f>IFERROR(INDEX(tProdutos[Classe],MATCH(tItens[[#This Row],[Produto]],tProdutos[Produto],0)),"produto não cadastrado")</f>
        <v>FORA</v>
      </c>
      <c r="K8730" s="12">
        <f>tItens[[#This Row],[Qtd]]*tItens[[#This Row],[Vlr unit]]</f>
        <v>0</v>
      </c>
      <c r="L8730" s="6">
        <f>IFERROR(IF(INDEX(tProdutos[Desconto homologado],MATCH(tItens[[#This Row],[Produto]],tProdutos[Produto],0))="",DescontoPadrao,INDEX(tProdutos[Desconto homologado],MATCH(tItens[[#This Row],[Produto]],tProdutos[Produto],0))),DescontoPadrao)</f>
        <v>0.38432036097010702</v>
      </c>
      <c r="M8730" s="12">
        <f>tItens[[#This Row],[Valor]]*(1-tItens[[#This Row],[Desconto]])</f>
        <v>0</v>
      </c>
      <c r="N8730" t="str">
        <f>IFERROR(INDEX(tProdutos[Foco],MATCH(tItens[[#This Row],[Produto]],tProdutos[Produto],0)),"Não")</f>
        <v>Não</v>
      </c>
      <c r="O8730" t="str">
        <f>IFERROR(INDEX(tEditais[SRP],MATCH(tItens[[#This Row],[Edital]],tEditais[Edital],0)),"Não")</f>
        <v>Não</v>
      </c>
      <c r="P8730" s="4">
        <f>IF(COUNTIFS(INDEX(tItens[Edital],1):tItens[[#This Row],[Edital]],tItens[[#This Row],[Edital]],INDEX(tItens[Produto],1):tItens[[#This Row],[Produto]],tItens[[#This Row],[Produto]])=1,1,0)</f>
        <v>1</v>
      </c>
    </row>
    <row r="8731" spans="1:16" x14ac:dyDescent="0.25">
      <c r="A8731" t="s">
        <v>2943</v>
      </c>
      <c r="B8731">
        <v>10</v>
      </c>
      <c r="C8731" t="s">
        <v>11134</v>
      </c>
      <c r="D8731" t="s">
        <v>369</v>
      </c>
      <c r="E8731" s="13">
        <v>20</v>
      </c>
      <c r="F8731" s="12">
        <v>2.2200000000000002</v>
      </c>
      <c r="G8731" t="str">
        <f>IFERROR(INDEX(tEditais[Órgão],MATCH(tItens[[#This Row],[Edital]],tEditais[Edital],0)),"")</f>
        <v>FUNDACAO CX BENEF SERVIDORES UNIVERSIDADE DE TAUBATE</v>
      </c>
      <c r="H8731" t="str">
        <f>IFERROR(INDEX(tEditais[UF],MATCH(tItens[[#This Row],[Edital]],tEditais[Edital],0)),"")</f>
        <v>SP</v>
      </c>
      <c r="I8731" s="11">
        <f>IFERROR(INDEX(tEditais[Encerramento],MATCH(tItens[[#This Row],[Edital]],tEditais[Edital],0)),"")</f>
        <v>46309.375</v>
      </c>
      <c r="J8731" t="str">
        <f>IFERROR(INDEX(tProdutos[Classe],MATCH(tItens[[#This Row],[Produto]],tProdutos[Produto],0)),"produto não cadastrado")</f>
        <v>FORA</v>
      </c>
      <c r="K8731" s="12">
        <f>tItens[[#This Row],[Qtd]]*tItens[[#This Row],[Vlr unit]]</f>
        <v>44.400000000000006</v>
      </c>
      <c r="L8731" s="6">
        <f>IFERROR(IF(INDEX(tProdutos[Desconto homologado],MATCH(tItens[[#This Row],[Produto]],tProdutos[Produto],0))="",DescontoPadrao,INDEX(tProdutos[Desconto homologado],MATCH(tItens[[#This Row],[Produto]],tProdutos[Produto],0))),DescontoPadrao)</f>
        <v>0.35816618911174802</v>
      </c>
      <c r="M8731" s="12">
        <f>tItens[[#This Row],[Valor]]*(1-tItens[[#This Row],[Desconto]])</f>
        <v>28.497421203438392</v>
      </c>
      <c r="N8731" t="str">
        <f>IFERROR(INDEX(tProdutos[Foco],MATCH(tItens[[#This Row],[Produto]],tProdutos[Produto],0)),"Não")</f>
        <v>Não</v>
      </c>
      <c r="O8731" t="str">
        <f>IFERROR(INDEX(tEditais[SRP],MATCH(tItens[[#This Row],[Edital]],tEditais[Edital],0)),"Não")</f>
        <v>Não</v>
      </c>
      <c r="P8731" s="4">
        <f>IF(COUNTIFS(INDEX(tItens[Edital],1):tItens[[#This Row],[Edital]],tItens[[#This Row],[Edital]],INDEX(tItens[Produto],1):tItens[[#This Row],[Produto]],tItens[[#This Row],[Produto]])=1,1,0)</f>
        <v>1</v>
      </c>
    </row>
    <row r="8732" spans="1:16" x14ac:dyDescent="0.25">
      <c r="A8732" t="s">
        <v>2943</v>
      </c>
      <c r="B8732">
        <v>11</v>
      </c>
      <c r="C8732" t="s">
        <v>11135</v>
      </c>
      <c r="D8732" t="s">
        <v>351</v>
      </c>
      <c r="E8732" s="13">
        <v>10</v>
      </c>
      <c r="F8732" s="12">
        <v>4.1100000000000003</v>
      </c>
      <c r="G8732" t="str">
        <f>IFERROR(INDEX(tEditais[Órgão],MATCH(tItens[[#This Row],[Edital]],tEditais[Edital],0)),"")</f>
        <v>FUNDACAO CX BENEF SERVIDORES UNIVERSIDADE DE TAUBATE</v>
      </c>
      <c r="H8732" t="str">
        <f>IFERROR(INDEX(tEditais[UF],MATCH(tItens[[#This Row],[Edital]],tEditais[Edital],0)),"")</f>
        <v>SP</v>
      </c>
      <c r="I8732" s="11">
        <f>IFERROR(INDEX(tEditais[Encerramento],MATCH(tItens[[#This Row],[Edital]],tEditais[Edital],0)),"")</f>
        <v>46309.375</v>
      </c>
      <c r="J8732" t="str">
        <f>IFERROR(INDEX(tProdutos[Classe],MATCH(tItens[[#This Row],[Produto]],tProdutos[Produto],0)),"produto não cadastrado")</f>
        <v>FORA</v>
      </c>
      <c r="K8732" s="12">
        <f>tItens[[#This Row],[Qtd]]*tItens[[#This Row],[Vlr unit]]</f>
        <v>41.1</v>
      </c>
      <c r="L8732" s="6">
        <f>IFERROR(IF(INDEX(tProdutos[Desconto homologado],MATCH(tItens[[#This Row],[Produto]],tProdutos[Produto],0))="",DescontoPadrao,INDEX(tProdutos[Desconto homologado],MATCH(tItens[[#This Row],[Produto]],tProdutos[Produto],0))),DescontoPadrao)</f>
        <v>0.33518005540166201</v>
      </c>
      <c r="M8732" s="12">
        <f>tItens[[#This Row],[Valor]]*(1-tItens[[#This Row],[Desconto]])</f>
        <v>27.324099722991694</v>
      </c>
      <c r="N8732" t="str">
        <f>IFERROR(INDEX(tProdutos[Foco],MATCH(tItens[[#This Row],[Produto]],tProdutos[Produto],0)),"Não")</f>
        <v>Não</v>
      </c>
      <c r="O8732" t="str">
        <f>IFERROR(INDEX(tEditais[SRP],MATCH(tItens[[#This Row],[Edital]],tEditais[Edital],0)),"Não")</f>
        <v>Não</v>
      </c>
      <c r="P8732" s="4">
        <f>IF(COUNTIFS(INDEX(tItens[Edital],1):tItens[[#This Row],[Edital]],tItens[[#This Row],[Edital]],INDEX(tItens[Produto],1):tItens[[#This Row],[Produto]],tItens[[#This Row],[Produto]])=1,1,0)</f>
        <v>1</v>
      </c>
    </row>
    <row r="8733" spans="1:16" x14ac:dyDescent="0.25">
      <c r="A8733" t="s">
        <v>2943</v>
      </c>
      <c r="B8733">
        <v>17</v>
      </c>
      <c r="C8733" t="s">
        <v>11136</v>
      </c>
      <c r="D8733" t="s">
        <v>277</v>
      </c>
      <c r="E8733" s="13">
        <v>100</v>
      </c>
      <c r="F8733" s="12">
        <v>0.46</v>
      </c>
      <c r="G8733" t="str">
        <f>IFERROR(INDEX(tEditais[Órgão],MATCH(tItens[[#This Row],[Edital]],tEditais[Edital],0)),"")</f>
        <v>FUNDACAO CX BENEF SERVIDORES UNIVERSIDADE DE TAUBATE</v>
      </c>
      <c r="H8733" t="str">
        <f>IFERROR(INDEX(tEditais[UF],MATCH(tItens[[#This Row],[Edital]],tEditais[Edital],0)),"")</f>
        <v>SP</v>
      </c>
      <c r="I8733" s="11">
        <f>IFERROR(INDEX(tEditais[Encerramento],MATCH(tItens[[#This Row],[Edital]],tEditais[Edital],0)),"")</f>
        <v>46309.375</v>
      </c>
      <c r="J8733" t="str">
        <f>IFERROR(INDEX(tProdutos[Classe],MATCH(tItens[[#This Row],[Produto]],tProdutos[Produto],0)),"produto não cadastrado")</f>
        <v>DISPUTADO</v>
      </c>
      <c r="K8733" s="12">
        <f>tItens[[#This Row],[Qtd]]*tItens[[#This Row],[Vlr unit]]</f>
        <v>46</v>
      </c>
      <c r="L8733" s="6">
        <f>IFERROR(IF(INDEX(tProdutos[Desconto homologado],MATCH(tItens[[#This Row],[Produto]],tProdutos[Produto],0))="",DescontoPadrao,INDEX(tProdutos[Desconto homologado],MATCH(tItens[[#This Row],[Produto]],tProdutos[Produto],0))),DescontoPadrao)</f>
        <v>0.50460666194188497</v>
      </c>
      <c r="M8733" s="12">
        <f>tItens[[#This Row],[Valor]]*(1-tItens[[#This Row],[Desconto]])</f>
        <v>22.788093550673292</v>
      </c>
      <c r="N8733" t="str">
        <f>IFERROR(INDEX(tProdutos[Foco],MATCH(tItens[[#This Row],[Produto]],tProdutos[Produto],0)),"Não")</f>
        <v>Não</v>
      </c>
      <c r="O8733" t="str">
        <f>IFERROR(INDEX(tEditais[SRP],MATCH(tItens[[#This Row],[Edital]],tEditais[Edital],0)),"Não")</f>
        <v>Não</v>
      </c>
      <c r="P8733" s="4">
        <f>IF(COUNTIFS(INDEX(tItens[Edital],1):tItens[[#This Row],[Edital]],tItens[[#This Row],[Edital]],INDEX(tItens[Produto],1):tItens[[#This Row],[Produto]],tItens[[#This Row],[Produto]])=1,1,0)</f>
        <v>1</v>
      </c>
    </row>
    <row r="8734" spans="1:16" x14ac:dyDescent="0.25">
      <c r="A8734" t="s">
        <v>2943</v>
      </c>
      <c r="B8734">
        <v>18</v>
      </c>
      <c r="C8734" t="s">
        <v>11137</v>
      </c>
      <c r="D8734" t="s">
        <v>267</v>
      </c>
      <c r="E8734" s="13">
        <v>2</v>
      </c>
      <c r="F8734" s="12">
        <v>16.420000000000002</v>
      </c>
      <c r="G8734" t="str">
        <f>IFERROR(INDEX(tEditais[Órgão],MATCH(tItens[[#This Row],[Edital]],tEditais[Edital],0)),"")</f>
        <v>FUNDACAO CX BENEF SERVIDORES UNIVERSIDADE DE TAUBATE</v>
      </c>
      <c r="H8734" t="str">
        <f>IFERROR(INDEX(tEditais[UF],MATCH(tItens[[#This Row],[Edital]],tEditais[Edital],0)),"")</f>
        <v>SP</v>
      </c>
      <c r="I8734" s="11">
        <f>IFERROR(INDEX(tEditais[Encerramento],MATCH(tItens[[#This Row],[Edital]],tEditais[Edital],0)),"")</f>
        <v>46309.375</v>
      </c>
      <c r="J8734" t="str">
        <f>IFERROR(INDEX(tProdutos[Classe],MATCH(tItens[[#This Row],[Produto]],tProdutos[Produto],0)),"produto não cadastrado")</f>
        <v>FORA</v>
      </c>
      <c r="K8734" s="12">
        <f>tItens[[#This Row],[Qtd]]*tItens[[#This Row],[Vlr unit]]</f>
        <v>32.840000000000003</v>
      </c>
      <c r="L8734" s="6">
        <f>IFERROR(IF(INDEX(tProdutos[Desconto homologado],MATCH(tItens[[#This Row],[Produto]],tProdutos[Produto],0))="",DescontoPadrao,INDEX(tProdutos[Desconto homologado],MATCH(tItens[[#This Row],[Produto]],tProdutos[Produto],0))),DescontoPadrao)</f>
        <v>0.19963672657401599</v>
      </c>
      <c r="M8734" s="12">
        <f>tItens[[#This Row],[Valor]]*(1-tItens[[#This Row],[Desconto]])</f>
        <v>26.283929899309317</v>
      </c>
      <c r="N8734" t="str">
        <f>IFERROR(INDEX(tProdutos[Foco],MATCH(tItens[[#This Row],[Produto]],tProdutos[Produto],0)),"Não")</f>
        <v>Não</v>
      </c>
      <c r="O8734" t="str">
        <f>IFERROR(INDEX(tEditais[SRP],MATCH(tItens[[#This Row],[Edital]],tEditais[Edital],0)),"Não")</f>
        <v>Não</v>
      </c>
      <c r="P8734" s="4">
        <f>IF(COUNTIFS(INDEX(tItens[Edital],1):tItens[[#This Row],[Edital]],tItens[[#This Row],[Edital]],INDEX(tItens[Produto],1):tItens[[#This Row],[Produto]],tItens[[#This Row],[Produto]])=1,1,0)</f>
        <v>1</v>
      </c>
    </row>
    <row r="8735" spans="1:16" x14ac:dyDescent="0.25">
      <c r="A8735" t="s">
        <v>2943</v>
      </c>
      <c r="B8735">
        <v>20</v>
      </c>
      <c r="C8735" t="s">
        <v>11138</v>
      </c>
      <c r="D8735" t="s">
        <v>277</v>
      </c>
      <c r="E8735" s="13">
        <v>1</v>
      </c>
      <c r="F8735" s="12">
        <v>11.03</v>
      </c>
      <c r="G8735" t="str">
        <f>IFERROR(INDEX(tEditais[Órgão],MATCH(tItens[[#This Row],[Edital]],tEditais[Edital],0)),"")</f>
        <v>FUNDACAO CX BENEF SERVIDORES UNIVERSIDADE DE TAUBATE</v>
      </c>
      <c r="H8735" t="str">
        <f>IFERROR(INDEX(tEditais[UF],MATCH(tItens[[#This Row],[Edital]],tEditais[Edital],0)),"")</f>
        <v>SP</v>
      </c>
      <c r="I8735" s="11">
        <f>IFERROR(INDEX(tEditais[Encerramento],MATCH(tItens[[#This Row],[Edital]],tEditais[Edital],0)),"")</f>
        <v>46309.375</v>
      </c>
      <c r="J8735" t="str">
        <f>IFERROR(INDEX(tProdutos[Classe],MATCH(tItens[[#This Row],[Produto]],tProdutos[Produto],0)),"produto não cadastrado")</f>
        <v>DISPUTADO</v>
      </c>
      <c r="K8735" s="12">
        <f>tItens[[#This Row],[Qtd]]*tItens[[#This Row],[Vlr unit]]</f>
        <v>11.03</v>
      </c>
      <c r="L8735" s="6">
        <f>IFERROR(IF(INDEX(tProdutos[Desconto homologado],MATCH(tItens[[#This Row],[Produto]],tProdutos[Produto],0))="",DescontoPadrao,INDEX(tProdutos[Desconto homologado],MATCH(tItens[[#This Row],[Produto]],tProdutos[Produto],0))),DescontoPadrao)</f>
        <v>0.50460666194188497</v>
      </c>
      <c r="M8735" s="12">
        <f>tItens[[#This Row],[Valor]]*(1-tItens[[#This Row],[Desconto]])</f>
        <v>5.4641885187810084</v>
      </c>
      <c r="N8735" t="str">
        <f>IFERROR(INDEX(tProdutos[Foco],MATCH(tItens[[#This Row],[Produto]],tProdutos[Produto],0)),"Não")</f>
        <v>Não</v>
      </c>
      <c r="O8735" t="str">
        <f>IFERROR(INDEX(tEditais[SRP],MATCH(tItens[[#This Row],[Edital]],tEditais[Edital],0)),"Não")</f>
        <v>Não</v>
      </c>
      <c r="P8735" s="4">
        <f>IF(COUNTIFS(INDEX(tItens[Edital],1):tItens[[#This Row],[Edital]],tItens[[#This Row],[Edital]],INDEX(tItens[Produto],1):tItens[[#This Row],[Produto]],tItens[[#This Row],[Produto]])=1,1,0)</f>
        <v>0</v>
      </c>
    </row>
    <row r="8736" spans="1:16" x14ac:dyDescent="0.25">
      <c r="A8736" t="s">
        <v>2947</v>
      </c>
      <c r="B8736">
        <v>4</v>
      </c>
      <c r="C8736" t="s">
        <v>11139</v>
      </c>
      <c r="D8736" t="s">
        <v>383</v>
      </c>
      <c r="E8736" s="13">
        <v>3000</v>
      </c>
      <c r="F8736" s="12">
        <v>1.5</v>
      </c>
      <c r="G8736" t="str">
        <f>IFERROR(INDEX(tEditais[Órgão],MATCH(tItens[[#This Row],[Edital]],tEditais[Edital],0)),"")</f>
        <v>MUNICIPIO DE AGUAS DA PRATA</v>
      </c>
      <c r="H8736" t="str">
        <f>IFERROR(INDEX(tEditais[UF],MATCH(tItens[[#This Row],[Edital]],tEditais[Edital],0)),"")</f>
        <v>SP</v>
      </c>
      <c r="I8736" s="11">
        <f>IFERROR(INDEX(tEditais[Encerramento],MATCH(tItens[[#This Row],[Edital]],tEditais[Edital],0)),"")</f>
        <v>46309.415972222225</v>
      </c>
      <c r="J8736" t="str">
        <f>IFERROR(INDEX(tProdutos[Classe],MATCH(tItens[[#This Row],[Produto]],tProdutos[Produto],0)),"produto não cadastrado")</f>
        <v>FORA</v>
      </c>
      <c r="K8736" s="12">
        <f>tItens[[#This Row],[Qtd]]*tItens[[#This Row],[Vlr unit]]</f>
        <v>4500</v>
      </c>
      <c r="L8736" s="6">
        <f>IFERROR(IF(INDEX(tProdutos[Desconto homologado],MATCH(tItens[[#This Row],[Produto]],tProdutos[Produto],0))="",DescontoPadrao,INDEX(tProdutos[Desconto homologado],MATCH(tItens[[#This Row],[Produto]],tProdutos[Produto],0))),DescontoPadrao)</f>
        <v>0.48749999999999999</v>
      </c>
      <c r="M8736" s="12">
        <f>tItens[[#This Row],[Valor]]*(1-tItens[[#This Row],[Desconto]])</f>
        <v>2306.25</v>
      </c>
      <c r="N8736" t="str">
        <f>IFERROR(INDEX(tProdutos[Foco],MATCH(tItens[[#This Row],[Produto]],tProdutos[Produto],0)),"Não")</f>
        <v>Não</v>
      </c>
      <c r="O8736" t="str">
        <f>IFERROR(INDEX(tEditais[SRP],MATCH(tItens[[#This Row],[Edital]],tEditais[Edital],0)),"Não")</f>
        <v>Sim</v>
      </c>
      <c r="P8736" s="4">
        <f>IF(COUNTIFS(INDEX(tItens[Edital],1):tItens[[#This Row],[Edital]],tItens[[#This Row],[Edital]],INDEX(tItens[Produto],1):tItens[[#This Row],[Produto]],tItens[[#This Row],[Produto]])=1,1,0)</f>
        <v>1</v>
      </c>
    </row>
    <row r="8737" spans="1:16" x14ac:dyDescent="0.25">
      <c r="A8737" t="s">
        <v>2947</v>
      </c>
      <c r="B8737">
        <v>24</v>
      </c>
      <c r="C8737" t="s">
        <v>11140</v>
      </c>
      <c r="D8737" t="s">
        <v>345</v>
      </c>
      <c r="E8737" s="13">
        <v>10000</v>
      </c>
      <c r="F8737" s="12">
        <v>3.96</v>
      </c>
      <c r="G8737" t="str">
        <f>IFERROR(INDEX(tEditais[Órgão],MATCH(tItens[[#This Row],[Edital]],tEditais[Edital],0)),"")</f>
        <v>MUNICIPIO DE AGUAS DA PRATA</v>
      </c>
      <c r="H8737" t="str">
        <f>IFERROR(INDEX(tEditais[UF],MATCH(tItens[[#This Row],[Edital]],tEditais[Edital],0)),"")</f>
        <v>SP</v>
      </c>
      <c r="I8737" s="11">
        <f>IFERROR(INDEX(tEditais[Encerramento],MATCH(tItens[[#This Row],[Edital]],tEditais[Edital],0)),"")</f>
        <v>46309.415972222225</v>
      </c>
      <c r="J8737" t="str">
        <f>IFERROR(INDEX(tProdutos[Classe],MATCH(tItens[[#This Row],[Produto]],tProdutos[Produto],0)),"produto não cadastrado")</f>
        <v>FORA</v>
      </c>
      <c r="K8737" s="12">
        <f>tItens[[#This Row],[Qtd]]*tItens[[#This Row],[Vlr unit]]</f>
        <v>39600</v>
      </c>
      <c r="L8737" s="6">
        <f>IFERROR(IF(INDEX(tProdutos[Desconto homologado],MATCH(tItens[[#This Row],[Produto]],tProdutos[Produto],0))="",DescontoPadrao,INDEX(tProdutos[Desconto homologado],MATCH(tItens[[#This Row],[Produto]],tProdutos[Produto],0))),DescontoPadrao)</f>
        <v>0.412394275616498</v>
      </c>
      <c r="M8737" s="12">
        <f>tItens[[#This Row],[Valor]]*(1-tItens[[#This Row],[Desconto]])</f>
        <v>23269.186685586679</v>
      </c>
      <c r="N8737" t="str">
        <f>IFERROR(INDEX(tProdutos[Foco],MATCH(tItens[[#This Row],[Produto]],tProdutos[Produto],0)),"Não")</f>
        <v>Não</v>
      </c>
      <c r="O8737" t="str">
        <f>IFERROR(INDEX(tEditais[SRP],MATCH(tItens[[#This Row],[Edital]],tEditais[Edital],0)),"Não")</f>
        <v>Sim</v>
      </c>
      <c r="P8737" s="4">
        <f>IF(COUNTIFS(INDEX(tItens[Edital],1):tItens[[#This Row],[Edital]],tItens[[#This Row],[Edital]],INDEX(tItens[Produto],1):tItens[[#This Row],[Produto]],tItens[[#This Row],[Produto]])=1,1,0)</f>
        <v>1</v>
      </c>
    </row>
    <row r="8738" spans="1:16" x14ac:dyDescent="0.25">
      <c r="A8738" t="s">
        <v>2947</v>
      </c>
      <c r="B8738">
        <v>25</v>
      </c>
      <c r="C8738" t="s">
        <v>11141</v>
      </c>
      <c r="D8738" t="s">
        <v>345</v>
      </c>
      <c r="E8738" s="13">
        <v>5000</v>
      </c>
      <c r="F8738" s="12">
        <v>3.01</v>
      </c>
      <c r="G8738" t="str">
        <f>IFERROR(INDEX(tEditais[Órgão],MATCH(tItens[[#This Row],[Edital]],tEditais[Edital],0)),"")</f>
        <v>MUNICIPIO DE AGUAS DA PRATA</v>
      </c>
      <c r="H8738" t="str">
        <f>IFERROR(INDEX(tEditais[UF],MATCH(tItens[[#This Row],[Edital]],tEditais[Edital],0)),"")</f>
        <v>SP</v>
      </c>
      <c r="I8738" s="11">
        <f>IFERROR(INDEX(tEditais[Encerramento],MATCH(tItens[[#This Row],[Edital]],tEditais[Edital],0)),"")</f>
        <v>46309.415972222225</v>
      </c>
      <c r="J8738" t="str">
        <f>IFERROR(INDEX(tProdutos[Classe],MATCH(tItens[[#This Row],[Produto]],tProdutos[Produto],0)),"produto não cadastrado")</f>
        <v>FORA</v>
      </c>
      <c r="K8738" s="12">
        <f>tItens[[#This Row],[Qtd]]*tItens[[#This Row],[Vlr unit]]</f>
        <v>15049.999999999998</v>
      </c>
      <c r="L8738" s="6">
        <f>IFERROR(IF(INDEX(tProdutos[Desconto homologado],MATCH(tItens[[#This Row],[Produto]],tProdutos[Produto],0))="",DescontoPadrao,INDEX(tProdutos[Desconto homologado],MATCH(tItens[[#This Row],[Produto]],tProdutos[Produto],0))),DescontoPadrao)</f>
        <v>0.412394275616498</v>
      </c>
      <c r="M8738" s="12">
        <f>tItens[[#This Row],[Valor]]*(1-tItens[[#This Row],[Desconto]])</f>
        <v>8843.4661519717047</v>
      </c>
      <c r="N8738" t="str">
        <f>IFERROR(INDEX(tProdutos[Foco],MATCH(tItens[[#This Row],[Produto]],tProdutos[Produto],0)),"Não")</f>
        <v>Não</v>
      </c>
      <c r="O8738" t="str">
        <f>IFERROR(INDEX(tEditais[SRP],MATCH(tItens[[#This Row],[Edital]],tEditais[Edital],0)),"Não")</f>
        <v>Sim</v>
      </c>
      <c r="P8738" s="4">
        <f>IF(COUNTIFS(INDEX(tItens[Edital],1):tItens[[#This Row],[Edital]],tItens[[#This Row],[Edital]],INDEX(tItens[Produto],1):tItens[[#This Row],[Produto]],tItens[[#This Row],[Produto]])=1,1,0)</f>
        <v>0</v>
      </c>
    </row>
    <row r="8739" spans="1:16" x14ac:dyDescent="0.25">
      <c r="A8739" t="s">
        <v>2947</v>
      </c>
      <c r="B8739">
        <v>26</v>
      </c>
      <c r="C8739" t="s">
        <v>11142</v>
      </c>
      <c r="D8739" t="s">
        <v>345</v>
      </c>
      <c r="E8739" s="13">
        <v>3000</v>
      </c>
      <c r="F8739" s="12">
        <v>2.63</v>
      </c>
      <c r="G8739" t="str">
        <f>IFERROR(INDEX(tEditais[Órgão],MATCH(tItens[[#This Row],[Edital]],tEditais[Edital],0)),"")</f>
        <v>MUNICIPIO DE AGUAS DA PRATA</v>
      </c>
      <c r="H8739" t="str">
        <f>IFERROR(INDEX(tEditais[UF],MATCH(tItens[[#This Row],[Edital]],tEditais[Edital],0)),"")</f>
        <v>SP</v>
      </c>
      <c r="I8739" s="11">
        <f>IFERROR(INDEX(tEditais[Encerramento],MATCH(tItens[[#This Row],[Edital]],tEditais[Edital],0)),"")</f>
        <v>46309.415972222225</v>
      </c>
      <c r="J8739" t="str">
        <f>IFERROR(INDEX(tProdutos[Classe],MATCH(tItens[[#This Row],[Produto]],tProdutos[Produto],0)),"produto não cadastrado")</f>
        <v>FORA</v>
      </c>
      <c r="K8739" s="12">
        <f>tItens[[#This Row],[Qtd]]*tItens[[#This Row],[Vlr unit]]</f>
        <v>7890</v>
      </c>
      <c r="L8739" s="6">
        <f>IFERROR(IF(INDEX(tProdutos[Desconto homologado],MATCH(tItens[[#This Row],[Produto]],tProdutos[Produto],0))="",DescontoPadrao,INDEX(tProdutos[Desconto homologado],MATCH(tItens[[#This Row],[Produto]],tProdutos[Produto],0))),DescontoPadrao)</f>
        <v>0.412394275616498</v>
      </c>
      <c r="M8739" s="12">
        <f>tItens[[#This Row],[Valor]]*(1-tItens[[#This Row],[Desconto]])</f>
        <v>4636.2091653858306</v>
      </c>
      <c r="N8739" t="str">
        <f>IFERROR(INDEX(tProdutos[Foco],MATCH(tItens[[#This Row],[Produto]],tProdutos[Produto],0)),"Não")</f>
        <v>Não</v>
      </c>
      <c r="O8739" t="str">
        <f>IFERROR(INDEX(tEditais[SRP],MATCH(tItens[[#This Row],[Edital]],tEditais[Edital],0)),"Não")</f>
        <v>Sim</v>
      </c>
      <c r="P8739" s="4">
        <f>IF(COUNTIFS(INDEX(tItens[Edital],1):tItens[[#This Row],[Edital]],tItens[[#This Row],[Edital]],INDEX(tItens[Produto],1):tItens[[#This Row],[Produto]],tItens[[#This Row],[Produto]])=1,1,0)</f>
        <v>0</v>
      </c>
    </row>
    <row r="8740" spans="1:16" x14ac:dyDescent="0.25">
      <c r="A8740" t="s">
        <v>2947</v>
      </c>
      <c r="B8740">
        <v>27</v>
      </c>
      <c r="C8740" t="s">
        <v>11143</v>
      </c>
      <c r="D8740" t="s">
        <v>345</v>
      </c>
      <c r="E8740" s="13">
        <v>10000</v>
      </c>
      <c r="F8740" s="12">
        <v>3.08</v>
      </c>
      <c r="G8740" t="str">
        <f>IFERROR(INDEX(tEditais[Órgão],MATCH(tItens[[#This Row],[Edital]],tEditais[Edital],0)),"")</f>
        <v>MUNICIPIO DE AGUAS DA PRATA</v>
      </c>
      <c r="H8740" t="str">
        <f>IFERROR(INDEX(tEditais[UF],MATCH(tItens[[#This Row],[Edital]],tEditais[Edital],0)),"")</f>
        <v>SP</v>
      </c>
      <c r="I8740" s="11">
        <f>IFERROR(INDEX(tEditais[Encerramento],MATCH(tItens[[#This Row],[Edital]],tEditais[Edital],0)),"")</f>
        <v>46309.415972222225</v>
      </c>
      <c r="J8740" t="str">
        <f>IFERROR(INDEX(tProdutos[Classe],MATCH(tItens[[#This Row],[Produto]],tProdutos[Produto],0)),"produto não cadastrado")</f>
        <v>FORA</v>
      </c>
      <c r="K8740" s="12">
        <f>tItens[[#This Row],[Qtd]]*tItens[[#This Row],[Vlr unit]]</f>
        <v>30800</v>
      </c>
      <c r="L8740" s="6">
        <f>IFERROR(IF(INDEX(tProdutos[Desconto homologado],MATCH(tItens[[#This Row],[Produto]],tProdutos[Produto],0))="",DescontoPadrao,INDEX(tProdutos[Desconto homologado],MATCH(tItens[[#This Row],[Produto]],tProdutos[Produto],0))),DescontoPadrao)</f>
        <v>0.412394275616498</v>
      </c>
      <c r="M8740" s="12">
        <f>tItens[[#This Row],[Valor]]*(1-tItens[[#This Row],[Desconto]])</f>
        <v>18098.256311011861</v>
      </c>
      <c r="N8740" t="str">
        <f>IFERROR(INDEX(tProdutos[Foco],MATCH(tItens[[#This Row],[Produto]],tProdutos[Produto],0)),"Não")</f>
        <v>Não</v>
      </c>
      <c r="O8740" t="str">
        <f>IFERROR(INDEX(tEditais[SRP],MATCH(tItens[[#This Row],[Edital]],tEditais[Edital],0)),"Não")</f>
        <v>Sim</v>
      </c>
      <c r="P8740" s="4">
        <f>IF(COUNTIFS(INDEX(tItens[Edital],1):tItens[[#This Row],[Edital]],tItens[[#This Row],[Edital]],INDEX(tItens[Produto],1):tItens[[#This Row],[Produto]],tItens[[#This Row],[Produto]])=1,1,0)</f>
        <v>0</v>
      </c>
    </row>
    <row r="8741" spans="1:16" x14ac:dyDescent="0.25">
      <c r="A8741" t="s">
        <v>2947</v>
      </c>
      <c r="B8741">
        <v>28</v>
      </c>
      <c r="C8741" t="s">
        <v>11144</v>
      </c>
      <c r="D8741" t="s">
        <v>339</v>
      </c>
      <c r="E8741" s="13">
        <v>3000</v>
      </c>
      <c r="F8741" s="12">
        <v>1.27</v>
      </c>
      <c r="G8741" t="str">
        <f>IFERROR(INDEX(tEditais[Órgão],MATCH(tItens[[#This Row],[Edital]],tEditais[Edital],0)),"")</f>
        <v>MUNICIPIO DE AGUAS DA PRATA</v>
      </c>
      <c r="H8741" t="str">
        <f>IFERROR(INDEX(tEditais[UF],MATCH(tItens[[#This Row],[Edital]],tEditais[Edital],0)),"")</f>
        <v>SP</v>
      </c>
      <c r="I8741" s="11">
        <f>IFERROR(INDEX(tEditais[Encerramento],MATCH(tItens[[#This Row],[Edital]],tEditais[Edital],0)),"")</f>
        <v>46309.415972222225</v>
      </c>
      <c r="J8741" t="str">
        <f>IFERROR(INDEX(tProdutos[Classe],MATCH(tItens[[#This Row],[Produto]],tProdutos[Produto],0)),"produto não cadastrado")</f>
        <v>FORA</v>
      </c>
      <c r="K8741" s="12">
        <f>tItens[[#This Row],[Qtd]]*tItens[[#This Row],[Vlr unit]]</f>
        <v>3810</v>
      </c>
      <c r="L8741" s="6">
        <f>IFERROR(IF(INDEX(tProdutos[Desconto homologado],MATCH(tItens[[#This Row],[Produto]],tProdutos[Produto],0))="",DescontoPadrao,INDEX(tProdutos[Desconto homologado],MATCH(tItens[[#This Row],[Produto]],tProdutos[Produto],0))),DescontoPadrao)</f>
        <v>0.35388629091804102</v>
      </c>
      <c r="M8741" s="12">
        <f>tItens[[#This Row],[Valor]]*(1-tItens[[#This Row],[Desconto]])</f>
        <v>2461.6932316022635</v>
      </c>
      <c r="N8741" t="str">
        <f>IFERROR(INDEX(tProdutos[Foco],MATCH(tItens[[#This Row],[Produto]],tProdutos[Produto],0)),"Não")</f>
        <v>Não</v>
      </c>
      <c r="O8741" t="str">
        <f>IFERROR(INDEX(tEditais[SRP],MATCH(tItens[[#This Row],[Edital]],tEditais[Edital],0)),"Não")</f>
        <v>Sim</v>
      </c>
      <c r="P8741" s="4">
        <f>IF(COUNTIFS(INDEX(tItens[Edital],1):tItens[[#This Row],[Edital]],tItens[[#This Row],[Edital]],INDEX(tItens[Produto],1):tItens[[#This Row],[Produto]],tItens[[#This Row],[Produto]])=1,1,0)</f>
        <v>1</v>
      </c>
    </row>
    <row r="8742" spans="1:16" x14ac:dyDescent="0.25">
      <c r="A8742" t="s">
        <v>2947</v>
      </c>
      <c r="B8742">
        <v>29</v>
      </c>
      <c r="C8742" t="s">
        <v>11145</v>
      </c>
      <c r="D8742" t="s">
        <v>339</v>
      </c>
      <c r="E8742" s="13">
        <v>3000</v>
      </c>
      <c r="F8742" s="12">
        <v>1.1399999999999999</v>
      </c>
      <c r="G8742" t="str">
        <f>IFERROR(INDEX(tEditais[Órgão],MATCH(tItens[[#This Row],[Edital]],tEditais[Edital],0)),"")</f>
        <v>MUNICIPIO DE AGUAS DA PRATA</v>
      </c>
      <c r="H8742" t="str">
        <f>IFERROR(INDEX(tEditais[UF],MATCH(tItens[[#This Row],[Edital]],tEditais[Edital],0)),"")</f>
        <v>SP</v>
      </c>
      <c r="I8742" s="11">
        <f>IFERROR(INDEX(tEditais[Encerramento],MATCH(tItens[[#This Row],[Edital]],tEditais[Edital],0)),"")</f>
        <v>46309.415972222225</v>
      </c>
      <c r="J8742" t="str">
        <f>IFERROR(INDEX(tProdutos[Classe],MATCH(tItens[[#This Row],[Produto]],tProdutos[Produto],0)),"produto não cadastrado")</f>
        <v>FORA</v>
      </c>
      <c r="K8742" s="12">
        <f>tItens[[#This Row],[Qtd]]*tItens[[#This Row],[Vlr unit]]</f>
        <v>3419.9999999999995</v>
      </c>
      <c r="L8742" s="6">
        <f>IFERROR(IF(INDEX(tProdutos[Desconto homologado],MATCH(tItens[[#This Row],[Produto]],tProdutos[Produto],0))="",DescontoPadrao,INDEX(tProdutos[Desconto homologado],MATCH(tItens[[#This Row],[Produto]],tProdutos[Produto],0))),DescontoPadrao)</f>
        <v>0.35388629091804102</v>
      </c>
      <c r="M8742" s="12">
        <f>tItens[[#This Row],[Valor]]*(1-tItens[[#This Row],[Desconto]])</f>
        <v>2209.7088850602995</v>
      </c>
      <c r="N8742" t="str">
        <f>IFERROR(INDEX(tProdutos[Foco],MATCH(tItens[[#This Row],[Produto]],tProdutos[Produto],0)),"Não")</f>
        <v>Não</v>
      </c>
      <c r="O8742" t="str">
        <f>IFERROR(INDEX(tEditais[SRP],MATCH(tItens[[#This Row],[Edital]],tEditais[Edital],0)),"Não")</f>
        <v>Sim</v>
      </c>
      <c r="P8742" s="4">
        <f>IF(COUNTIFS(INDEX(tItens[Edital],1):tItens[[#This Row],[Edital]],tItens[[#This Row],[Edital]],INDEX(tItens[Produto],1):tItens[[#This Row],[Produto]],tItens[[#This Row],[Produto]])=1,1,0)</f>
        <v>0</v>
      </c>
    </row>
    <row r="8743" spans="1:16" x14ac:dyDescent="0.25">
      <c r="A8743" t="s">
        <v>2947</v>
      </c>
      <c r="B8743">
        <v>30</v>
      </c>
      <c r="C8743" t="s">
        <v>11146</v>
      </c>
      <c r="D8743" t="s">
        <v>339</v>
      </c>
      <c r="E8743" s="13">
        <v>3000</v>
      </c>
      <c r="F8743" s="12">
        <v>1.5</v>
      </c>
      <c r="G8743" t="str">
        <f>IFERROR(INDEX(tEditais[Órgão],MATCH(tItens[[#This Row],[Edital]],tEditais[Edital],0)),"")</f>
        <v>MUNICIPIO DE AGUAS DA PRATA</v>
      </c>
      <c r="H8743" t="str">
        <f>IFERROR(INDEX(tEditais[UF],MATCH(tItens[[#This Row],[Edital]],tEditais[Edital],0)),"")</f>
        <v>SP</v>
      </c>
      <c r="I8743" s="11">
        <f>IFERROR(INDEX(tEditais[Encerramento],MATCH(tItens[[#This Row],[Edital]],tEditais[Edital],0)),"")</f>
        <v>46309.415972222225</v>
      </c>
      <c r="J8743" t="str">
        <f>IFERROR(INDEX(tProdutos[Classe],MATCH(tItens[[#This Row],[Produto]],tProdutos[Produto],0)),"produto não cadastrado")</f>
        <v>FORA</v>
      </c>
      <c r="K8743" s="12">
        <f>tItens[[#This Row],[Qtd]]*tItens[[#This Row],[Vlr unit]]</f>
        <v>4500</v>
      </c>
      <c r="L8743" s="6">
        <f>IFERROR(IF(INDEX(tProdutos[Desconto homologado],MATCH(tItens[[#This Row],[Produto]],tProdutos[Produto],0))="",DescontoPadrao,INDEX(tProdutos[Desconto homologado],MATCH(tItens[[#This Row],[Produto]],tProdutos[Produto],0))),DescontoPadrao)</f>
        <v>0.35388629091804102</v>
      </c>
      <c r="M8743" s="12">
        <f>tItens[[#This Row],[Valor]]*(1-tItens[[#This Row],[Desconto]])</f>
        <v>2907.5116908688155</v>
      </c>
      <c r="N8743" t="str">
        <f>IFERROR(INDEX(tProdutos[Foco],MATCH(tItens[[#This Row],[Produto]],tProdutos[Produto],0)),"Não")</f>
        <v>Não</v>
      </c>
      <c r="O8743" t="str">
        <f>IFERROR(INDEX(tEditais[SRP],MATCH(tItens[[#This Row],[Edital]],tEditais[Edital],0)),"Não")</f>
        <v>Sim</v>
      </c>
      <c r="P8743" s="4">
        <f>IF(COUNTIFS(INDEX(tItens[Edital],1):tItens[[#This Row],[Edital]],tItens[[#This Row],[Edital]],INDEX(tItens[Produto],1):tItens[[#This Row],[Produto]],tItens[[#This Row],[Produto]])=1,1,0)</f>
        <v>0</v>
      </c>
    </row>
    <row r="8744" spans="1:16" x14ac:dyDescent="0.25">
      <c r="A8744" t="s">
        <v>2947</v>
      </c>
      <c r="B8744">
        <v>31</v>
      </c>
      <c r="C8744" t="s">
        <v>11147</v>
      </c>
      <c r="D8744" t="s">
        <v>339</v>
      </c>
      <c r="E8744" s="13">
        <v>3000</v>
      </c>
      <c r="F8744" s="12">
        <v>1.01</v>
      </c>
      <c r="G8744" t="str">
        <f>IFERROR(INDEX(tEditais[Órgão],MATCH(tItens[[#This Row],[Edital]],tEditais[Edital],0)),"")</f>
        <v>MUNICIPIO DE AGUAS DA PRATA</v>
      </c>
      <c r="H8744" t="str">
        <f>IFERROR(INDEX(tEditais[UF],MATCH(tItens[[#This Row],[Edital]],tEditais[Edital],0)),"")</f>
        <v>SP</v>
      </c>
      <c r="I8744" s="11">
        <f>IFERROR(INDEX(tEditais[Encerramento],MATCH(tItens[[#This Row],[Edital]],tEditais[Edital],0)),"")</f>
        <v>46309.415972222225</v>
      </c>
      <c r="J8744" t="str">
        <f>IFERROR(INDEX(tProdutos[Classe],MATCH(tItens[[#This Row],[Produto]],tProdutos[Produto],0)),"produto não cadastrado")</f>
        <v>FORA</v>
      </c>
      <c r="K8744" s="12">
        <f>tItens[[#This Row],[Qtd]]*tItens[[#This Row],[Vlr unit]]</f>
        <v>3030</v>
      </c>
      <c r="L8744" s="6">
        <f>IFERROR(IF(INDEX(tProdutos[Desconto homologado],MATCH(tItens[[#This Row],[Produto]],tProdutos[Produto],0))="",DescontoPadrao,INDEX(tProdutos[Desconto homologado],MATCH(tItens[[#This Row],[Produto]],tProdutos[Produto],0))),DescontoPadrao)</f>
        <v>0.35388629091804102</v>
      </c>
      <c r="M8744" s="12">
        <f>tItens[[#This Row],[Valor]]*(1-tItens[[#This Row],[Desconto]])</f>
        <v>1957.7245385183357</v>
      </c>
      <c r="N8744" t="str">
        <f>IFERROR(INDEX(tProdutos[Foco],MATCH(tItens[[#This Row],[Produto]],tProdutos[Produto],0)),"Não")</f>
        <v>Não</v>
      </c>
      <c r="O8744" t="str">
        <f>IFERROR(INDEX(tEditais[SRP],MATCH(tItens[[#This Row],[Edital]],tEditais[Edital],0)),"Não")</f>
        <v>Sim</v>
      </c>
      <c r="P8744" s="4">
        <f>IF(COUNTIFS(INDEX(tItens[Edital],1):tItens[[#This Row],[Edital]],tItens[[#This Row],[Edital]],INDEX(tItens[Produto],1):tItens[[#This Row],[Produto]],tItens[[#This Row],[Produto]])=1,1,0)</f>
        <v>0</v>
      </c>
    </row>
    <row r="8745" spans="1:16" x14ac:dyDescent="0.25">
      <c r="A8745" t="s">
        <v>2947</v>
      </c>
      <c r="B8745">
        <v>33</v>
      </c>
      <c r="C8745" t="s">
        <v>11148</v>
      </c>
      <c r="D8745" t="s">
        <v>267</v>
      </c>
      <c r="E8745" s="13">
        <v>3000</v>
      </c>
      <c r="F8745" s="12">
        <v>17.14</v>
      </c>
      <c r="G8745" t="str">
        <f>IFERROR(INDEX(tEditais[Órgão],MATCH(tItens[[#This Row],[Edital]],tEditais[Edital],0)),"")</f>
        <v>MUNICIPIO DE AGUAS DA PRATA</v>
      </c>
      <c r="H8745" t="str">
        <f>IFERROR(INDEX(tEditais[UF],MATCH(tItens[[#This Row],[Edital]],tEditais[Edital],0)),"")</f>
        <v>SP</v>
      </c>
      <c r="I8745" s="11">
        <f>IFERROR(INDEX(tEditais[Encerramento],MATCH(tItens[[#This Row],[Edital]],tEditais[Edital],0)),"")</f>
        <v>46309.415972222225</v>
      </c>
      <c r="J8745" t="str">
        <f>IFERROR(INDEX(tProdutos[Classe],MATCH(tItens[[#This Row],[Produto]],tProdutos[Produto],0)),"produto não cadastrado")</f>
        <v>FORA</v>
      </c>
      <c r="K8745" s="12">
        <f>tItens[[#This Row],[Qtd]]*tItens[[#This Row],[Vlr unit]]</f>
        <v>51420</v>
      </c>
      <c r="L8745" s="6">
        <f>IFERROR(IF(INDEX(tProdutos[Desconto homologado],MATCH(tItens[[#This Row],[Produto]],tProdutos[Produto],0))="",DescontoPadrao,INDEX(tProdutos[Desconto homologado],MATCH(tItens[[#This Row],[Produto]],tProdutos[Produto],0))),DescontoPadrao)</f>
        <v>0.19963672657401599</v>
      </c>
      <c r="M8745" s="12">
        <f>tItens[[#This Row],[Valor]]*(1-tItens[[#This Row],[Desconto]])</f>
        <v>41154.679519564095</v>
      </c>
      <c r="N8745" t="str">
        <f>IFERROR(INDEX(tProdutos[Foco],MATCH(tItens[[#This Row],[Produto]],tProdutos[Produto],0)),"Não")</f>
        <v>Não</v>
      </c>
      <c r="O8745" t="str">
        <f>IFERROR(INDEX(tEditais[SRP],MATCH(tItens[[#This Row],[Edital]],tEditais[Edital],0)),"Não")</f>
        <v>Sim</v>
      </c>
      <c r="P8745" s="4">
        <f>IF(COUNTIFS(INDEX(tItens[Edital],1):tItens[[#This Row],[Edital]],tItens[[#This Row],[Edital]],INDEX(tItens[Produto],1):tItens[[#This Row],[Produto]],tItens[[#This Row],[Produto]])=1,1,0)</f>
        <v>1</v>
      </c>
    </row>
    <row r="8746" spans="1:16" x14ac:dyDescent="0.25">
      <c r="A8746" t="s">
        <v>2952</v>
      </c>
      <c r="B8746">
        <v>1</v>
      </c>
      <c r="C8746" t="s">
        <v>3490</v>
      </c>
      <c r="D8746" t="s">
        <v>461</v>
      </c>
      <c r="E8746" s="13">
        <v>3000</v>
      </c>
      <c r="F8746" s="12">
        <v>0</v>
      </c>
      <c r="G8746" t="str">
        <f>IFERROR(INDEX(tEditais[Órgão],MATCH(tItens[[#This Row],[Edital]],tEditais[Edital],0)),"")</f>
        <v>SECRETARIA DE ESTADO DA SAUDE</v>
      </c>
      <c r="H8746" t="str">
        <f>IFERROR(INDEX(tEditais[UF],MATCH(tItens[[#This Row],[Edital]],tEditais[Edital],0)),"")</f>
        <v>SP</v>
      </c>
      <c r="I8746" s="11">
        <f>IFERROR(INDEX(tEditais[Encerramento],MATCH(tItens[[#This Row],[Edital]],tEditais[Edital],0)),"")</f>
        <v>46309.416666666664</v>
      </c>
      <c r="J8746" t="str">
        <f>IFERROR(INDEX(tProdutos[Classe],MATCH(tItens[[#This Row],[Produto]],tProdutos[Produto],0)),"produto não cadastrado")</f>
        <v>FILA REBASE</v>
      </c>
      <c r="K8746" s="12">
        <f>tItens[[#This Row],[Qtd]]*tItens[[#This Row],[Vlr unit]]</f>
        <v>0</v>
      </c>
      <c r="L8746" s="6">
        <f>IFERROR(IF(INDEX(tProdutos[Desconto homologado],MATCH(tItens[[#This Row],[Produto]],tProdutos[Produto],0))="",DescontoPadrao,INDEX(tProdutos[Desconto homologado],MATCH(tItens[[#This Row],[Produto]],tProdutos[Produto],0))),DescontoPadrao)</f>
        <v>0.44096385542168698</v>
      </c>
      <c r="M8746" s="12">
        <f>tItens[[#This Row],[Valor]]*(1-tItens[[#This Row],[Desconto]])</f>
        <v>0</v>
      </c>
      <c r="N8746" t="str">
        <f>IFERROR(INDEX(tProdutos[Foco],MATCH(tItens[[#This Row],[Produto]],tProdutos[Produto],0)),"Não")</f>
        <v>Não</v>
      </c>
      <c r="O8746" t="str">
        <f>IFERROR(INDEX(tEditais[SRP],MATCH(tItens[[#This Row],[Edital]],tEditais[Edital],0)),"Não")</f>
        <v>Não</v>
      </c>
      <c r="P8746" s="4">
        <f>IF(COUNTIFS(INDEX(tItens[Edital],1):tItens[[#This Row],[Edital]],tItens[[#This Row],[Edital]],INDEX(tItens[Produto],1):tItens[[#This Row],[Produto]],tItens[[#This Row],[Produto]])=1,1,0)</f>
        <v>1</v>
      </c>
    </row>
    <row r="8747" spans="1:16" x14ac:dyDescent="0.25">
      <c r="A8747" t="s">
        <v>2952</v>
      </c>
      <c r="B8747">
        <v>2</v>
      </c>
      <c r="C8747" t="s">
        <v>11149</v>
      </c>
      <c r="D8747" t="s">
        <v>461</v>
      </c>
      <c r="E8747" s="13">
        <v>350</v>
      </c>
      <c r="F8747" s="12">
        <v>0</v>
      </c>
      <c r="G8747" t="str">
        <f>IFERROR(INDEX(tEditais[Órgão],MATCH(tItens[[#This Row],[Edital]],tEditais[Edital],0)),"")</f>
        <v>SECRETARIA DE ESTADO DA SAUDE</v>
      </c>
      <c r="H8747" t="str">
        <f>IFERROR(INDEX(tEditais[UF],MATCH(tItens[[#This Row],[Edital]],tEditais[Edital],0)),"")</f>
        <v>SP</v>
      </c>
      <c r="I8747" s="11">
        <f>IFERROR(INDEX(tEditais[Encerramento],MATCH(tItens[[#This Row],[Edital]],tEditais[Edital],0)),"")</f>
        <v>46309.416666666664</v>
      </c>
      <c r="J8747" t="str">
        <f>IFERROR(INDEX(tProdutos[Classe],MATCH(tItens[[#This Row],[Produto]],tProdutos[Produto],0)),"produto não cadastrado")</f>
        <v>FILA REBASE</v>
      </c>
      <c r="K8747" s="12">
        <f>tItens[[#This Row],[Qtd]]*tItens[[#This Row],[Vlr unit]]</f>
        <v>0</v>
      </c>
      <c r="L8747" s="6">
        <f>IFERROR(IF(INDEX(tProdutos[Desconto homologado],MATCH(tItens[[#This Row],[Produto]],tProdutos[Produto],0))="",DescontoPadrao,INDEX(tProdutos[Desconto homologado],MATCH(tItens[[#This Row],[Produto]],tProdutos[Produto],0))),DescontoPadrao)</f>
        <v>0.44096385542168698</v>
      </c>
      <c r="M8747" s="12">
        <f>tItens[[#This Row],[Valor]]*(1-tItens[[#This Row],[Desconto]])</f>
        <v>0</v>
      </c>
      <c r="N8747" t="str">
        <f>IFERROR(INDEX(tProdutos[Foco],MATCH(tItens[[#This Row],[Produto]],tProdutos[Produto],0)),"Não")</f>
        <v>Não</v>
      </c>
      <c r="O8747" t="str">
        <f>IFERROR(INDEX(tEditais[SRP],MATCH(tItens[[#This Row],[Edital]],tEditais[Edital],0)),"Não")</f>
        <v>Não</v>
      </c>
      <c r="P8747" s="4">
        <f>IF(COUNTIFS(INDEX(tItens[Edital],1):tItens[[#This Row],[Edital]],tItens[[#This Row],[Edital]],INDEX(tItens[Produto],1):tItens[[#This Row],[Produto]],tItens[[#This Row],[Produto]])=1,1,0)</f>
        <v>0</v>
      </c>
    </row>
    <row r="8748" spans="1:16" x14ac:dyDescent="0.25">
      <c r="A8748" t="s">
        <v>2955</v>
      </c>
      <c r="B8748">
        <v>2</v>
      </c>
      <c r="C8748" t="s">
        <v>11150</v>
      </c>
      <c r="D8748" t="s">
        <v>277</v>
      </c>
      <c r="E8748" s="13">
        <v>3000</v>
      </c>
      <c r="F8748" s="12">
        <v>13.9</v>
      </c>
      <c r="G8748" t="str">
        <f>IFERROR(INDEX(tEditais[Órgão],MATCH(tItens[[#This Row],[Edital]],tEditais[Edital],0)),"")</f>
        <v>MUNICIPIO DE SALES</v>
      </c>
      <c r="H8748" t="str">
        <f>IFERROR(INDEX(tEditais[UF],MATCH(tItens[[#This Row],[Edital]],tEditais[Edital],0)),"")</f>
        <v>SP</v>
      </c>
      <c r="I8748" s="11">
        <f>IFERROR(INDEX(tEditais[Encerramento],MATCH(tItens[[#This Row],[Edital]],tEditais[Edital],0)),"")</f>
        <v>46309.999305555553</v>
      </c>
      <c r="J8748" t="str">
        <f>IFERROR(INDEX(tProdutos[Classe],MATCH(tItens[[#This Row],[Produto]],tProdutos[Produto],0)),"produto não cadastrado")</f>
        <v>DISPUTADO</v>
      </c>
      <c r="K8748" s="12">
        <f>tItens[[#This Row],[Qtd]]*tItens[[#This Row],[Vlr unit]]</f>
        <v>41700</v>
      </c>
      <c r="L8748" s="6">
        <f>IFERROR(IF(INDEX(tProdutos[Desconto homologado],MATCH(tItens[[#This Row],[Produto]],tProdutos[Produto],0))="",DescontoPadrao,INDEX(tProdutos[Desconto homologado],MATCH(tItens[[#This Row],[Produto]],tProdutos[Produto],0))),DescontoPadrao)</f>
        <v>0.50460666194188497</v>
      </c>
      <c r="M8748" s="12">
        <f>tItens[[#This Row],[Valor]]*(1-tItens[[#This Row],[Desconto]])</f>
        <v>20657.902197023395</v>
      </c>
      <c r="N8748" t="str">
        <f>IFERROR(INDEX(tProdutos[Foco],MATCH(tItens[[#This Row],[Produto]],tProdutos[Produto],0)),"Não")</f>
        <v>Não</v>
      </c>
      <c r="O8748" t="str">
        <f>IFERROR(INDEX(tEditais[SRP],MATCH(tItens[[#This Row],[Edital]],tEditais[Edital],0)),"Não")</f>
        <v>Não</v>
      </c>
      <c r="P8748" s="4">
        <f>IF(COUNTIFS(INDEX(tItens[Edital],1):tItens[[#This Row],[Edital]],tItens[[#This Row],[Edital]],INDEX(tItens[Produto],1):tItens[[#This Row],[Produto]],tItens[[#This Row],[Produto]])=1,1,0)</f>
        <v>1</v>
      </c>
    </row>
    <row r="8749" spans="1:16" x14ac:dyDescent="0.25">
      <c r="A8749" t="s">
        <v>2959</v>
      </c>
      <c r="B8749">
        <v>3</v>
      </c>
      <c r="C8749" t="s">
        <v>3502</v>
      </c>
      <c r="D8749" t="s">
        <v>387</v>
      </c>
      <c r="E8749" s="13">
        <v>6500</v>
      </c>
      <c r="F8749" s="12">
        <v>0</v>
      </c>
      <c r="G8749" t="str">
        <f>IFERROR(INDEX(tEditais[Órgão],MATCH(tItens[[#This Row],[Edital]],tEditais[Edital],0)),"")</f>
        <v>SECRETARIA DE ESTADO DA SAUDE</v>
      </c>
      <c r="H8749" t="str">
        <f>IFERROR(INDEX(tEditais[UF],MATCH(tItens[[#This Row],[Edital]],tEditais[Edital],0)),"")</f>
        <v>SP</v>
      </c>
      <c r="I8749" s="11">
        <f>IFERROR(INDEX(tEditais[Encerramento],MATCH(tItens[[#This Row],[Edital]],tEditais[Edital],0)),"")</f>
        <v>46310.333333333336</v>
      </c>
      <c r="J8749" t="str">
        <f>IFERROR(INDEX(tProdutos[Classe],MATCH(tItens[[#This Row],[Produto]],tProdutos[Produto],0)),"produto não cadastrado")</f>
        <v>FORA</v>
      </c>
      <c r="K8749" s="12">
        <f>tItens[[#This Row],[Qtd]]*tItens[[#This Row],[Vlr unit]]</f>
        <v>0</v>
      </c>
      <c r="L8749" s="6">
        <f>IFERROR(IF(INDEX(tProdutos[Desconto homologado],MATCH(tItens[[#This Row],[Produto]],tProdutos[Produto],0))="",DescontoPadrao,INDEX(tProdutos[Desconto homologado],MATCH(tItens[[#This Row],[Produto]],tProdutos[Produto],0))),DescontoPadrao)</f>
        <v>0.30458221024258803</v>
      </c>
      <c r="M8749" s="12">
        <f>tItens[[#This Row],[Valor]]*(1-tItens[[#This Row],[Desconto]])</f>
        <v>0</v>
      </c>
      <c r="N8749" t="str">
        <f>IFERROR(INDEX(tProdutos[Foco],MATCH(tItens[[#This Row],[Produto]],tProdutos[Produto],0)),"Não")</f>
        <v>Não</v>
      </c>
      <c r="O8749" t="str">
        <f>IFERROR(INDEX(tEditais[SRP],MATCH(tItens[[#This Row],[Edital]],tEditais[Edital],0)),"Não")</f>
        <v>Não</v>
      </c>
      <c r="P8749" s="4">
        <f>IF(COUNTIFS(INDEX(tItens[Edital],1):tItens[[#This Row],[Edital]],tItens[[#This Row],[Edital]],INDEX(tItens[Produto],1):tItens[[#This Row],[Produto]],tItens[[#This Row],[Produto]])=1,1,0)</f>
        <v>1</v>
      </c>
    </row>
    <row r="8750" spans="1:16" x14ac:dyDescent="0.25">
      <c r="A8750" t="s">
        <v>2959</v>
      </c>
      <c r="B8750">
        <v>4</v>
      </c>
      <c r="C8750" t="s">
        <v>3502</v>
      </c>
      <c r="D8750" t="s">
        <v>387</v>
      </c>
      <c r="E8750" s="13">
        <v>1500</v>
      </c>
      <c r="F8750" s="12">
        <v>0</v>
      </c>
      <c r="G8750" t="str">
        <f>IFERROR(INDEX(tEditais[Órgão],MATCH(tItens[[#This Row],[Edital]],tEditais[Edital],0)),"")</f>
        <v>SECRETARIA DE ESTADO DA SAUDE</v>
      </c>
      <c r="H8750" t="str">
        <f>IFERROR(INDEX(tEditais[UF],MATCH(tItens[[#This Row],[Edital]],tEditais[Edital],0)),"")</f>
        <v>SP</v>
      </c>
      <c r="I8750" s="11">
        <f>IFERROR(INDEX(tEditais[Encerramento],MATCH(tItens[[#This Row],[Edital]],tEditais[Edital],0)),"")</f>
        <v>46310.333333333336</v>
      </c>
      <c r="J8750" t="str">
        <f>IFERROR(INDEX(tProdutos[Classe],MATCH(tItens[[#This Row],[Produto]],tProdutos[Produto],0)),"produto não cadastrado")</f>
        <v>FORA</v>
      </c>
      <c r="K8750" s="12">
        <f>tItens[[#This Row],[Qtd]]*tItens[[#This Row],[Vlr unit]]</f>
        <v>0</v>
      </c>
      <c r="L8750" s="6">
        <f>IFERROR(IF(INDEX(tProdutos[Desconto homologado],MATCH(tItens[[#This Row],[Produto]],tProdutos[Produto],0))="",DescontoPadrao,INDEX(tProdutos[Desconto homologado],MATCH(tItens[[#This Row],[Produto]],tProdutos[Produto],0))),DescontoPadrao)</f>
        <v>0.30458221024258803</v>
      </c>
      <c r="M8750" s="12">
        <f>tItens[[#This Row],[Valor]]*(1-tItens[[#This Row],[Desconto]])</f>
        <v>0</v>
      </c>
      <c r="N8750" t="str">
        <f>IFERROR(INDEX(tProdutos[Foco],MATCH(tItens[[#This Row],[Produto]],tProdutos[Produto],0)),"Não")</f>
        <v>Não</v>
      </c>
      <c r="O8750" t="str">
        <f>IFERROR(INDEX(tEditais[SRP],MATCH(tItens[[#This Row],[Edital]],tEditais[Edital],0)),"Não")</f>
        <v>Não</v>
      </c>
      <c r="P8750" s="4">
        <f>IF(COUNTIFS(INDEX(tItens[Edital],1):tItens[[#This Row],[Edital]],tItens[[#This Row],[Edital]],INDEX(tItens[Produto],1):tItens[[#This Row],[Produto]],tItens[[#This Row],[Produto]])=1,1,0)</f>
        <v>0</v>
      </c>
    </row>
    <row r="8751" spans="1:16" x14ac:dyDescent="0.25">
      <c r="A8751" t="s">
        <v>2963</v>
      </c>
      <c r="B8751">
        <v>1</v>
      </c>
      <c r="C8751" t="s">
        <v>11151</v>
      </c>
      <c r="D8751" t="s">
        <v>277</v>
      </c>
      <c r="E8751" s="13">
        <v>500000</v>
      </c>
      <c r="F8751" s="12">
        <v>0.14000000000000001</v>
      </c>
      <c r="G8751" t="str">
        <f>IFERROR(INDEX(tEditais[Órgão],MATCH(tItens[[#This Row],[Edital]],tEditais[Edital],0)),"")</f>
        <v>MUNICIPIO DE NOVA ODESSA</v>
      </c>
      <c r="H8751" t="str">
        <f>IFERROR(INDEX(tEditais[UF],MATCH(tItens[[#This Row],[Edital]],tEditais[Edital],0)),"")</f>
        <v>SP</v>
      </c>
      <c r="I8751" s="11">
        <f>IFERROR(INDEX(tEditais[Encerramento],MATCH(tItens[[#This Row],[Edital]],tEditais[Edital],0)),"")</f>
        <v>46310.353472222225</v>
      </c>
      <c r="J8751" t="str">
        <f>IFERROR(INDEX(tProdutos[Classe],MATCH(tItens[[#This Row],[Produto]],tProdutos[Produto],0)),"produto não cadastrado")</f>
        <v>DISPUTADO</v>
      </c>
      <c r="K8751" s="12">
        <f>tItens[[#This Row],[Qtd]]*tItens[[#This Row],[Vlr unit]]</f>
        <v>70000</v>
      </c>
      <c r="L8751" s="6">
        <f>IFERROR(IF(INDEX(tProdutos[Desconto homologado],MATCH(tItens[[#This Row],[Produto]],tProdutos[Produto],0))="",DescontoPadrao,INDEX(tProdutos[Desconto homologado],MATCH(tItens[[#This Row],[Produto]],tProdutos[Produto],0))),DescontoPadrao)</f>
        <v>0.50460666194188497</v>
      </c>
      <c r="M8751" s="12">
        <f>tItens[[#This Row],[Valor]]*(1-tItens[[#This Row],[Desconto]])</f>
        <v>34677.533664068054</v>
      </c>
      <c r="N8751" t="str">
        <f>IFERROR(INDEX(tProdutos[Foco],MATCH(tItens[[#This Row],[Produto]],tProdutos[Produto],0)),"Não")</f>
        <v>Não</v>
      </c>
      <c r="O8751" t="str">
        <f>IFERROR(INDEX(tEditais[SRP],MATCH(tItens[[#This Row],[Edital]],tEditais[Edital],0)),"Não")</f>
        <v>Sim</v>
      </c>
      <c r="P8751" s="4">
        <f>IF(COUNTIFS(INDEX(tItens[Edital],1):tItens[[#This Row],[Edital]],tItens[[#This Row],[Edital]],INDEX(tItens[Produto],1):tItens[[#This Row],[Produto]],tItens[[#This Row],[Produto]])=1,1,0)</f>
        <v>1</v>
      </c>
    </row>
    <row r="8752" spans="1:16" x14ac:dyDescent="0.25">
      <c r="A8752" t="s">
        <v>2963</v>
      </c>
      <c r="B8752">
        <v>2</v>
      </c>
      <c r="C8752" t="s">
        <v>11152</v>
      </c>
      <c r="D8752" t="s">
        <v>317</v>
      </c>
      <c r="E8752" s="13">
        <v>5000</v>
      </c>
      <c r="F8752" s="12">
        <v>1.29</v>
      </c>
      <c r="G8752" t="str">
        <f>IFERROR(INDEX(tEditais[Órgão],MATCH(tItens[[#This Row],[Edital]],tEditais[Edital],0)),"")</f>
        <v>MUNICIPIO DE NOVA ODESSA</v>
      </c>
      <c r="H8752" t="str">
        <f>IFERROR(INDEX(tEditais[UF],MATCH(tItens[[#This Row],[Edital]],tEditais[Edital],0)),"")</f>
        <v>SP</v>
      </c>
      <c r="I8752" s="11">
        <f>IFERROR(INDEX(tEditais[Encerramento],MATCH(tItens[[#This Row],[Edital]],tEditais[Edital],0)),"")</f>
        <v>46310.353472222225</v>
      </c>
      <c r="J8752" t="str">
        <f>IFERROR(INDEX(tProdutos[Classe],MATCH(tItens[[#This Row],[Produto]],tProdutos[Produto],0)),"produto não cadastrado")</f>
        <v>FORA</v>
      </c>
      <c r="K8752" s="12">
        <f>tItens[[#This Row],[Qtd]]*tItens[[#This Row],[Vlr unit]]</f>
        <v>6450</v>
      </c>
      <c r="L8752" s="6">
        <f>IFERROR(IF(INDEX(tProdutos[Desconto homologado],MATCH(tItens[[#This Row],[Produto]],tProdutos[Produto],0))="",DescontoPadrao,INDEX(tProdutos[Desconto homologado],MATCH(tItens[[#This Row],[Produto]],tProdutos[Produto],0))),DescontoPadrao)</f>
        <v>0.5</v>
      </c>
      <c r="M8752" s="12">
        <f>tItens[[#This Row],[Valor]]*(1-tItens[[#This Row],[Desconto]])</f>
        <v>3225</v>
      </c>
      <c r="N8752" t="str">
        <f>IFERROR(INDEX(tProdutos[Foco],MATCH(tItens[[#This Row],[Produto]],tProdutos[Produto],0)),"Não")</f>
        <v>Não</v>
      </c>
      <c r="O8752" t="str">
        <f>IFERROR(INDEX(tEditais[SRP],MATCH(tItens[[#This Row],[Edital]],tEditais[Edital],0)),"Não")</f>
        <v>Sim</v>
      </c>
      <c r="P8752" s="4">
        <f>IF(COUNTIFS(INDEX(tItens[Edital],1):tItens[[#This Row],[Edital]],tItens[[#This Row],[Edital]],INDEX(tItens[Produto],1):tItens[[#This Row],[Produto]],tItens[[#This Row],[Produto]])=1,1,0)</f>
        <v>1</v>
      </c>
    </row>
    <row r="8753" spans="1:16" x14ac:dyDescent="0.25">
      <c r="A8753" t="s">
        <v>2963</v>
      </c>
      <c r="B8753">
        <v>3</v>
      </c>
      <c r="C8753" t="s">
        <v>11153</v>
      </c>
      <c r="D8753" t="s">
        <v>317</v>
      </c>
      <c r="E8753" s="13">
        <v>100000</v>
      </c>
      <c r="F8753" s="12">
        <v>1.35</v>
      </c>
      <c r="G8753" t="str">
        <f>IFERROR(INDEX(tEditais[Órgão],MATCH(tItens[[#This Row],[Edital]],tEditais[Edital],0)),"")</f>
        <v>MUNICIPIO DE NOVA ODESSA</v>
      </c>
      <c r="H8753" t="str">
        <f>IFERROR(INDEX(tEditais[UF],MATCH(tItens[[#This Row],[Edital]],tEditais[Edital],0)),"")</f>
        <v>SP</v>
      </c>
      <c r="I8753" s="11">
        <f>IFERROR(INDEX(tEditais[Encerramento],MATCH(tItens[[#This Row],[Edital]],tEditais[Edital],0)),"")</f>
        <v>46310.353472222225</v>
      </c>
      <c r="J8753" t="str">
        <f>IFERROR(INDEX(tProdutos[Classe],MATCH(tItens[[#This Row],[Produto]],tProdutos[Produto],0)),"produto não cadastrado")</f>
        <v>FORA</v>
      </c>
      <c r="K8753" s="12">
        <f>tItens[[#This Row],[Qtd]]*tItens[[#This Row],[Vlr unit]]</f>
        <v>135000</v>
      </c>
      <c r="L8753" s="6">
        <f>IFERROR(IF(INDEX(tProdutos[Desconto homologado],MATCH(tItens[[#This Row],[Produto]],tProdutos[Produto],0))="",DescontoPadrao,INDEX(tProdutos[Desconto homologado],MATCH(tItens[[#This Row],[Produto]],tProdutos[Produto],0))),DescontoPadrao)</f>
        <v>0.5</v>
      </c>
      <c r="M8753" s="12">
        <f>tItens[[#This Row],[Valor]]*(1-tItens[[#This Row],[Desconto]])</f>
        <v>67500</v>
      </c>
      <c r="N8753" t="str">
        <f>IFERROR(INDEX(tProdutos[Foco],MATCH(tItens[[#This Row],[Produto]],tProdutos[Produto],0)),"Não")</f>
        <v>Não</v>
      </c>
      <c r="O8753" t="str">
        <f>IFERROR(INDEX(tEditais[SRP],MATCH(tItens[[#This Row],[Edital]],tEditais[Edital],0)),"Não")</f>
        <v>Sim</v>
      </c>
      <c r="P8753" s="4">
        <f>IF(COUNTIFS(INDEX(tItens[Edital],1):tItens[[#This Row],[Edital]],tItens[[#This Row],[Edital]],INDEX(tItens[Produto],1):tItens[[#This Row],[Produto]],tItens[[#This Row],[Produto]])=1,1,0)</f>
        <v>0</v>
      </c>
    </row>
    <row r="8754" spans="1:16" x14ac:dyDescent="0.25">
      <c r="A8754" t="s">
        <v>2967</v>
      </c>
      <c r="B8754">
        <v>1</v>
      </c>
      <c r="C8754" t="s">
        <v>11154</v>
      </c>
      <c r="D8754" t="s">
        <v>277</v>
      </c>
      <c r="E8754" s="13">
        <v>500000</v>
      </c>
      <c r="F8754" s="12">
        <v>0.14000000000000001</v>
      </c>
      <c r="G8754" t="str">
        <f>IFERROR(INDEX(tEditais[Órgão],MATCH(tItens[[#This Row],[Edital]],tEditais[Edital],0)),"")</f>
        <v>MUNICIPIO DE NOVA ODESSA</v>
      </c>
      <c r="H8754" t="str">
        <f>IFERROR(INDEX(tEditais[UF],MATCH(tItens[[#This Row],[Edital]],tEditais[Edital],0)),"")</f>
        <v>SP</v>
      </c>
      <c r="I8754" s="11">
        <f>IFERROR(INDEX(tEditais[Encerramento],MATCH(tItens[[#This Row],[Edital]],tEditais[Edital],0)),"")</f>
        <v>46310.353472222225</v>
      </c>
      <c r="J8754" t="str">
        <f>IFERROR(INDEX(tProdutos[Classe],MATCH(tItens[[#This Row],[Produto]],tProdutos[Produto],0)),"produto não cadastrado")</f>
        <v>DISPUTADO</v>
      </c>
      <c r="K8754" s="12">
        <f>tItens[[#This Row],[Qtd]]*tItens[[#This Row],[Vlr unit]]</f>
        <v>70000</v>
      </c>
      <c r="L8754" s="6">
        <f>IFERROR(IF(INDEX(tProdutos[Desconto homologado],MATCH(tItens[[#This Row],[Produto]],tProdutos[Produto],0))="",DescontoPadrao,INDEX(tProdutos[Desconto homologado],MATCH(tItens[[#This Row],[Produto]],tProdutos[Produto],0))),DescontoPadrao)</f>
        <v>0.50460666194188497</v>
      </c>
      <c r="M8754" s="12">
        <f>tItens[[#This Row],[Valor]]*(1-tItens[[#This Row],[Desconto]])</f>
        <v>34677.533664068054</v>
      </c>
      <c r="N8754" t="str">
        <f>IFERROR(INDEX(tProdutos[Foco],MATCH(tItens[[#This Row],[Produto]],tProdutos[Produto],0)),"Não")</f>
        <v>Não</v>
      </c>
      <c r="O8754" t="str">
        <f>IFERROR(INDEX(tEditais[SRP],MATCH(tItens[[#This Row],[Edital]],tEditais[Edital],0)),"Não")</f>
        <v>Sim</v>
      </c>
      <c r="P8754" s="4">
        <f>IF(COUNTIFS(INDEX(tItens[Edital],1):tItens[[#This Row],[Edital]],tItens[[#This Row],[Edital]],INDEX(tItens[Produto],1):tItens[[#This Row],[Produto]],tItens[[#This Row],[Produto]])=1,1,0)</f>
        <v>1</v>
      </c>
    </row>
    <row r="8755" spans="1:16" x14ac:dyDescent="0.25">
      <c r="A8755" t="s">
        <v>2967</v>
      </c>
      <c r="B8755">
        <v>2</v>
      </c>
      <c r="C8755" t="s">
        <v>11155</v>
      </c>
      <c r="D8755" t="s">
        <v>317</v>
      </c>
      <c r="E8755" s="13">
        <v>5000</v>
      </c>
      <c r="F8755" s="12">
        <v>1.29</v>
      </c>
      <c r="G8755" t="str">
        <f>IFERROR(INDEX(tEditais[Órgão],MATCH(tItens[[#This Row],[Edital]],tEditais[Edital],0)),"")</f>
        <v>MUNICIPIO DE NOVA ODESSA</v>
      </c>
      <c r="H8755" t="str">
        <f>IFERROR(INDEX(tEditais[UF],MATCH(tItens[[#This Row],[Edital]],tEditais[Edital],0)),"")</f>
        <v>SP</v>
      </c>
      <c r="I8755" s="11">
        <f>IFERROR(INDEX(tEditais[Encerramento],MATCH(tItens[[#This Row],[Edital]],tEditais[Edital],0)),"")</f>
        <v>46310.353472222225</v>
      </c>
      <c r="J8755" t="str">
        <f>IFERROR(INDEX(tProdutos[Classe],MATCH(tItens[[#This Row],[Produto]],tProdutos[Produto],0)),"produto não cadastrado")</f>
        <v>FORA</v>
      </c>
      <c r="K8755" s="12">
        <f>tItens[[#This Row],[Qtd]]*tItens[[#This Row],[Vlr unit]]</f>
        <v>6450</v>
      </c>
      <c r="L8755" s="6">
        <f>IFERROR(IF(INDEX(tProdutos[Desconto homologado],MATCH(tItens[[#This Row],[Produto]],tProdutos[Produto],0))="",DescontoPadrao,INDEX(tProdutos[Desconto homologado],MATCH(tItens[[#This Row],[Produto]],tProdutos[Produto],0))),DescontoPadrao)</f>
        <v>0.5</v>
      </c>
      <c r="M8755" s="12">
        <f>tItens[[#This Row],[Valor]]*(1-tItens[[#This Row],[Desconto]])</f>
        <v>3225</v>
      </c>
      <c r="N8755" t="str">
        <f>IFERROR(INDEX(tProdutos[Foco],MATCH(tItens[[#This Row],[Produto]],tProdutos[Produto],0)),"Não")</f>
        <v>Não</v>
      </c>
      <c r="O8755" t="str">
        <f>IFERROR(INDEX(tEditais[SRP],MATCH(tItens[[#This Row],[Edital]],tEditais[Edital],0)),"Não")</f>
        <v>Sim</v>
      </c>
      <c r="P8755" s="4">
        <f>IF(COUNTIFS(INDEX(tItens[Edital],1):tItens[[#This Row],[Edital]],tItens[[#This Row],[Edital]],INDEX(tItens[Produto],1):tItens[[#This Row],[Produto]],tItens[[#This Row],[Produto]])=1,1,0)</f>
        <v>1</v>
      </c>
    </row>
    <row r="8756" spans="1:16" x14ac:dyDescent="0.25">
      <c r="A8756" t="s">
        <v>2967</v>
      </c>
      <c r="B8756">
        <v>3</v>
      </c>
      <c r="C8756" t="s">
        <v>11156</v>
      </c>
      <c r="D8756" t="s">
        <v>317</v>
      </c>
      <c r="E8756" s="13">
        <v>100000</v>
      </c>
      <c r="F8756" s="12">
        <v>1.35</v>
      </c>
      <c r="G8756" t="str">
        <f>IFERROR(INDEX(tEditais[Órgão],MATCH(tItens[[#This Row],[Edital]],tEditais[Edital],0)),"")</f>
        <v>MUNICIPIO DE NOVA ODESSA</v>
      </c>
      <c r="H8756" t="str">
        <f>IFERROR(INDEX(tEditais[UF],MATCH(tItens[[#This Row],[Edital]],tEditais[Edital],0)),"")</f>
        <v>SP</v>
      </c>
      <c r="I8756" s="11">
        <f>IFERROR(INDEX(tEditais[Encerramento],MATCH(tItens[[#This Row],[Edital]],tEditais[Edital],0)),"")</f>
        <v>46310.353472222225</v>
      </c>
      <c r="J8756" t="str">
        <f>IFERROR(INDEX(tProdutos[Classe],MATCH(tItens[[#This Row],[Produto]],tProdutos[Produto],0)),"produto não cadastrado")</f>
        <v>FORA</v>
      </c>
      <c r="K8756" s="12">
        <f>tItens[[#This Row],[Qtd]]*tItens[[#This Row],[Vlr unit]]</f>
        <v>135000</v>
      </c>
      <c r="L8756" s="6">
        <f>IFERROR(IF(INDEX(tProdutos[Desconto homologado],MATCH(tItens[[#This Row],[Produto]],tProdutos[Produto],0))="",DescontoPadrao,INDEX(tProdutos[Desconto homologado],MATCH(tItens[[#This Row],[Produto]],tProdutos[Produto],0))),DescontoPadrao)</f>
        <v>0.5</v>
      </c>
      <c r="M8756" s="12">
        <f>tItens[[#This Row],[Valor]]*(1-tItens[[#This Row],[Desconto]])</f>
        <v>67500</v>
      </c>
      <c r="N8756" t="str">
        <f>IFERROR(INDEX(tProdutos[Foco],MATCH(tItens[[#This Row],[Produto]],tProdutos[Produto],0)),"Não")</f>
        <v>Não</v>
      </c>
      <c r="O8756" t="str">
        <f>IFERROR(INDEX(tEditais[SRP],MATCH(tItens[[#This Row],[Edital]],tEditais[Edital],0)),"Não")</f>
        <v>Sim</v>
      </c>
      <c r="P8756" s="4">
        <f>IF(COUNTIFS(INDEX(tItens[Edital],1):tItens[[#This Row],[Edital]],tItens[[#This Row],[Edital]],INDEX(tItens[Produto],1):tItens[[#This Row],[Produto]],tItens[[#This Row],[Produto]])=1,1,0)</f>
        <v>0</v>
      </c>
    </row>
    <row r="8757" spans="1:16" x14ac:dyDescent="0.25">
      <c r="A8757" t="s">
        <v>2968</v>
      </c>
      <c r="B8757">
        <v>1</v>
      </c>
      <c r="C8757" t="s">
        <v>11157</v>
      </c>
      <c r="D8757" t="s">
        <v>299</v>
      </c>
      <c r="E8757" s="13">
        <v>12</v>
      </c>
      <c r="F8757" s="12">
        <v>586.15</v>
      </c>
      <c r="G8757" t="str">
        <f>IFERROR(INDEX(tEditais[Órgão],MATCH(tItens[[#This Row],[Edital]],tEditais[Edital],0)),"")</f>
        <v>MUNICIPIO DE CAMPINAS</v>
      </c>
      <c r="H8757" t="str">
        <f>IFERROR(INDEX(tEditais[UF],MATCH(tItens[[#This Row],[Edital]],tEditais[Edital],0)),"")</f>
        <v>SP</v>
      </c>
      <c r="I8757" s="11">
        <f>IFERROR(INDEX(tEditais[Encerramento],MATCH(tItens[[#This Row],[Edital]],tEditais[Edital],0)),"")</f>
        <v>46310.354166666664</v>
      </c>
      <c r="J8757" t="str">
        <f>IFERROR(INDEX(tProdutos[Classe],MATCH(tItens[[#This Row],[Produto]],tProdutos[Produto],0)),"produto não cadastrado")</f>
        <v>FORA</v>
      </c>
      <c r="K8757" s="12">
        <f>tItens[[#This Row],[Qtd]]*tItens[[#This Row],[Vlr unit]]</f>
        <v>7033.7999999999993</v>
      </c>
      <c r="L8757" s="6">
        <f>IFERROR(IF(INDEX(tProdutos[Desconto homologado],MATCH(tItens[[#This Row],[Produto]],tProdutos[Produto],0))="",DescontoPadrao,INDEX(tProdutos[Desconto homologado],MATCH(tItens[[#This Row],[Produto]],tProdutos[Produto],0))),DescontoPadrao)</f>
        <v>0.42211465163381601</v>
      </c>
      <c r="M8757" s="12">
        <f>tItens[[#This Row],[Valor]]*(1-tItens[[#This Row],[Desconto]])</f>
        <v>4064.7299633380644</v>
      </c>
      <c r="N8757" t="str">
        <f>IFERROR(INDEX(tProdutos[Foco],MATCH(tItens[[#This Row],[Produto]],tProdutos[Produto],0)),"Não")</f>
        <v>Não</v>
      </c>
      <c r="O8757" t="str">
        <f>IFERROR(INDEX(tEditais[SRP],MATCH(tItens[[#This Row],[Edital]],tEditais[Edital],0)),"Não")</f>
        <v>Sim</v>
      </c>
      <c r="P8757" s="4">
        <f>IF(COUNTIFS(INDEX(tItens[Edital],1):tItens[[#This Row],[Edital]],tItens[[#This Row],[Edital]],INDEX(tItens[Produto],1):tItens[[#This Row],[Produto]],tItens[[#This Row],[Produto]])=1,1,0)</f>
        <v>1</v>
      </c>
    </row>
    <row r="8758" spans="1:16" x14ac:dyDescent="0.25">
      <c r="A8758" t="s">
        <v>2968</v>
      </c>
      <c r="B8758">
        <v>2</v>
      </c>
      <c r="C8758" t="s">
        <v>11158</v>
      </c>
      <c r="D8758" t="s">
        <v>299</v>
      </c>
      <c r="E8758" s="13">
        <v>12</v>
      </c>
      <c r="F8758" s="12">
        <v>590.12</v>
      </c>
      <c r="G8758" t="str">
        <f>IFERROR(INDEX(tEditais[Órgão],MATCH(tItens[[#This Row],[Edital]],tEditais[Edital],0)),"")</f>
        <v>MUNICIPIO DE CAMPINAS</v>
      </c>
      <c r="H8758" t="str">
        <f>IFERROR(INDEX(tEditais[UF],MATCH(tItens[[#This Row],[Edital]],tEditais[Edital],0)),"")</f>
        <v>SP</v>
      </c>
      <c r="I8758" s="11">
        <f>IFERROR(INDEX(tEditais[Encerramento],MATCH(tItens[[#This Row],[Edital]],tEditais[Edital],0)),"")</f>
        <v>46310.354166666664</v>
      </c>
      <c r="J8758" t="str">
        <f>IFERROR(INDEX(tProdutos[Classe],MATCH(tItens[[#This Row],[Produto]],tProdutos[Produto],0)),"produto não cadastrado")</f>
        <v>FORA</v>
      </c>
      <c r="K8758" s="12">
        <f>tItens[[#This Row],[Qtd]]*tItens[[#This Row],[Vlr unit]]</f>
        <v>7081.4400000000005</v>
      </c>
      <c r="L8758" s="6">
        <f>IFERROR(IF(INDEX(tProdutos[Desconto homologado],MATCH(tItens[[#This Row],[Produto]],tProdutos[Produto],0))="",DescontoPadrao,INDEX(tProdutos[Desconto homologado],MATCH(tItens[[#This Row],[Produto]],tProdutos[Produto],0))),DescontoPadrao)</f>
        <v>0.42211465163381601</v>
      </c>
      <c r="M8758" s="12">
        <f>tItens[[#This Row],[Valor]]*(1-tItens[[#This Row],[Desconto]])</f>
        <v>4092.2604213342302</v>
      </c>
      <c r="N8758" t="str">
        <f>IFERROR(INDEX(tProdutos[Foco],MATCH(tItens[[#This Row],[Produto]],tProdutos[Produto],0)),"Não")</f>
        <v>Não</v>
      </c>
      <c r="O8758" t="str">
        <f>IFERROR(INDEX(tEditais[SRP],MATCH(tItens[[#This Row],[Edital]],tEditais[Edital],0)),"Não")</f>
        <v>Sim</v>
      </c>
      <c r="P8758" s="4">
        <f>IF(COUNTIFS(INDEX(tItens[Edital],1):tItens[[#This Row],[Edital]],tItens[[#This Row],[Edital]],INDEX(tItens[Produto],1):tItens[[#This Row],[Produto]],tItens[[#This Row],[Produto]])=1,1,0)</f>
        <v>0</v>
      </c>
    </row>
    <row r="8759" spans="1:16" x14ac:dyDescent="0.25">
      <c r="A8759" t="s">
        <v>2968</v>
      </c>
      <c r="B8759">
        <v>3</v>
      </c>
      <c r="C8759" t="s">
        <v>11157</v>
      </c>
      <c r="D8759" t="s">
        <v>299</v>
      </c>
      <c r="E8759" s="13">
        <v>85</v>
      </c>
      <c r="F8759" s="12">
        <v>632.92999999999995</v>
      </c>
      <c r="G8759" t="str">
        <f>IFERROR(INDEX(tEditais[Órgão],MATCH(tItens[[#This Row],[Edital]],tEditais[Edital],0)),"")</f>
        <v>MUNICIPIO DE CAMPINAS</v>
      </c>
      <c r="H8759" t="str">
        <f>IFERROR(INDEX(tEditais[UF],MATCH(tItens[[#This Row],[Edital]],tEditais[Edital],0)),"")</f>
        <v>SP</v>
      </c>
      <c r="I8759" s="11">
        <f>IFERROR(INDEX(tEditais[Encerramento],MATCH(tItens[[#This Row],[Edital]],tEditais[Edital],0)),"")</f>
        <v>46310.354166666664</v>
      </c>
      <c r="J8759" t="str">
        <f>IFERROR(INDEX(tProdutos[Classe],MATCH(tItens[[#This Row],[Produto]],tProdutos[Produto],0)),"produto não cadastrado")</f>
        <v>FORA</v>
      </c>
      <c r="K8759" s="12">
        <f>tItens[[#This Row],[Qtd]]*tItens[[#This Row],[Vlr unit]]</f>
        <v>53799.049999999996</v>
      </c>
      <c r="L8759" s="6">
        <f>IFERROR(IF(INDEX(tProdutos[Desconto homologado],MATCH(tItens[[#This Row],[Produto]],tProdutos[Produto],0))="",DescontoPadrao,INDEX(tProdutos[Desconto homologado],MATCH(tItens[[#This Row],[Produto]],tProdutos[Produto],0))),DescontoPadrao)</f>
        <v>0.42211465163381601</v>
      </c>
      <c r="M8759" s="12">
        <f>tItens[[#This Row],[Valor]]*(1-tItens[[#This Row],[Desconto]])</f>
        <v>31089.682751019747</v>
      </c>
      <c r="N8759" t="str">
        <f>IFERROR(INDEX(tProdutos[Foco],MATCH(tItens[[#This Row],[Produto]],tProdutos[Produto],0)),"Não")</f>
        <v>Não</v>
      </c>
      <c r="O8759" t="str">
        <f>IFERROR(INDEX(tEditais[SRP],MATCH(tItens[[#This Row],[Edital]],tEditais[Edital],0)),"Não")</f>
        <v>Sim</v>
      </c>
      <c r="P8759" s="4">
        <f>IF(COUNTIFS(INDEX(tItens[Edital],1):tItens[[#This Row],[Edital]],tItens[[#This Row],[Edital]],INDEX(tItens[Produto],1):tItens[[#This Row],[Produto]],tItens[[#This Row],[Produto]])=1,1,0)</f>
        <v>0</v>
      </c>
    </row>
    <row r="8760" spans="1:16" x14ac:dyDescent="0.25">
      <c r="A8760" t="s">
        <v>2968</v>
      </c>
      <c r="B8760">
        <v>4</v>
      </c>
      <c r="C8760" t="s">
        <v>11158</v>
      </c>
      <c r="D8760" t="s">
        <v>299</v>
      </c>
      <c r="E8760" s="13">
        <v>85</v>
      </c>
      <c r="F8760" s="12">
        <v>636.9</v>
      </c>
      <c r="G8760" t="str">
        <f>IFERROR(INDEX(tEditais[Órgão],MATCH(tItens[[#This Row],[Edital]],tEditais[Edital],0)),"")</f>
        <v>MUNICIPIO DE CAMPINAS</v>
      </c>
      <c r="H8760" t="str">
        <f>IFERROR(INDEX(tEditais[UF],MATCH(tItens[[#This Row],[Edital]],tEditais[Edital],0)),"")</f>
        <v>SP</v>
      </c>
      <c r="I8760" s="11">
        <f>IFERROR(INDEX(tEditais[Encerramento],MATCH(tItens[[#This Row],[Edital]],tEditais[Edital],0)),"")</f>
        <v>46310.354166666664</v>
      </c>
      <c r="J8760" t="str">
        <f>IFERROR(INDEX(tProdutos[Classe],MATCH(tItens[[#This Row],[Produto]],tProdutos[Produto],0)),"produto não cadastrado")</f>
        <v>FORA</v>
      </c>
      <c r="K8760" s="12">
        <f>tItens[[#This Row],[Qtd]]*tItens[[#This Row],[Vlr unit]]</f>
        <v>54136.5</v>
      </c>
      <c r="L8760" s="6">
        <f>IFERROR(IF(INDEX(tProdutos[Desconto homologado],MATCH(tItens[[#This Row],[Produto]],tProdutos[Produto],0))="",DescontoPadrao,INDEX(tProdutos[Desconto homologado],MATCH(tItens[[#This Row],[Produto]],tProdutos[Produto],0))),DescontoPadrao)</f>
        <v>0.42211465163381601</v>
      </c>
      <c r="M8760" s="12">
        <f>tItens[[#This Row],[Valor]]*(1-tItens[[#This Row],[Desconto]])</f>
        <v>31284.690161825918</v>
      </c>
      <c r="N8760" t="str">
        <f>IFERROR(INDEX(tProdutos[Foco],MATCH(tItens[[#This Row],[Produto]],tProdutos[Produto],0)),"Não")</f>
        <v>Não</v>
      </c>
      <c r="O8760" t="str">
        <f>IFERROR(INDEX(tEditais[SRP],MATCH(tItens[[#This Row],[Edital]],tEditais[Edital],0)),"Não")</f>
        <v>Sim</v>
      </c>
      <c r="P8760" s="4">
        <f>IF(COUNTIFS(INDEX(tItens[Edital],1):tItens[[#This Row],[Edital]],tItens[[#This Row],[Edital]],INDEX(tItens[Produto],1):tItens[[#This Row],[Produto]],tItens[[#This Row],[Produto]])=1,1,0)</f>
        <v>0</v>
      </c>
    </row>
    <row r="8761" spans="1:16" x14ac:dyDescent="0.25">
      <c r="A8761" t="s">
        <v>2968</v>
      </c>
      <c r="B8761">
        <v>5</v>
      </c>
      <c r="C8761" t="s">
        <v>11157</v>
      </c>
      <c r="D8761" t="s">
        <v>299</v>
      </c>
      <c r="E8761" s="13">
        <v>15</v>
      </c>
      <c r="F8761" s="12">
        <v>465.5</v>
      </c>
      <c r="G8761" t="str">
        <f>IFERROR(INDEX(tEditais[Órgão],MATCH(tItens[[#This Row],[Edital]],tEditais[Edital],0)),"")</f>
        <v>MUNICIPIO DE CAMPINAS</v>
      </c>
      <c r="H8761" t="str">
        <f>IFERROR(INDEX(tEditais[UF],MATCH(tItens[[#This Row],[Edital]],tEditais[Edital],0)),"")</f>
        <v>SP</v>
      </c>
      <c r="I8761" s="11">
        <f>IFERROR(INDEX(tEditais[Encerramento],MATCH(tItens[[#This Row],[Edital]],tEditais[Edital],0)),"")</f>
        <v>46310.354166666664</v>
      </c>
      <c r="J8761" t="str">
        <f>IFERROR(INDEX(tProdutos[Classe],MATCH(tItens[[#This Row],[Produto]],tProdutos[Produto],0)),"produto não cadastrado")</f>
        <v>FORA</v>
      </c>
      <c r="K8761" s="12">
        <f>tItens[[#This Row],[Qtd]]*tItens[[#This Row],[Vlr unit]]</f>
        <v>6982.5</v>
      </c>
      <c r="L8761" s="6">
        <f>IFERROR(IF(INDEX(tProdutos[Desconto homologado],MATCH(tItens[[#This Row],[Produto]],tProdutos[Produto],0))="",DescontoPadrao,INDEX(tProdutos[Desconto homologado],MATCH(tItens[[#This Row],[Produto]],tProdutos[Produto],0))),DescontoPadrao)</f>
        <v>0.42211465163381601</v>
      </c>
      <c r="M8761" s="12">
        <f>tItens[[#This Row],[Valor]]*(1-tItens[[#This Row],[Desconto]])</f>
        <v>4035.0844449668798</v>
      </c>
      <c r="N8761" t="str">
        <f>IFERROR(INDEX(tProdutos[Foco],MATCH(tItens[[#This Row],[Produto]],tProdutos[Produto],0)),"Não")</f>
        <v>Não</v>
      </c>
      <c r="O8761" t="str">
        <f>IFERROR(INDEX(tEditais[SRP],MATCH(tItens[[#This Row],[Edital]],tEditais[Edital],0)),"Não")</f>
        <v>Sim</v>
      </c>
      <c r="P8761" s="4">
        <f>IF(COUNTIFS(INDEX(tItens[Edital],1):tItens[[#This Row],[Edital]],tItens[[#This Row],[Edital]],INDEX(tItens[Produto],1):tItens[[#This Row],[Produto]],tItens[[#This Row],[Produto]])=1,1,0)</f>
        <v>0</v>
      </c>
    </row>
    <row r="8762" spans="1:16" x14ac:dyDescent="0.25">
      <c r="A8762" t="s">
        <v>2971</v>
      </c>
      <c r="B8762">
        <v>1</v>
      </c>
      <c r="C8762" t="s">
        <v>11159</v>
      </c>
      <c r="D8762" t="s">
        <v>90</v>
      </c>
      <c r="E8762" s="13">
        <v>1</v>
      </c>
      <c r="F8762" s="12">
        <v>6.98</v>
      </c>
      <c r="G8762" t="str">
        <f>IFERROR(INDEX(tEditais[Órgão],MATCH(tItens[[#This Row],[Edital]],tEditais[Edital],0)),"")</f>
        <v>FACULDADE DE MEDICINA DE JUNDIAI</v>
      </c>
      <c r="H8762" t="str">
        <f>IFERROR(INDEX(tEditais[UF],MATCH(tItens[[#This Row],[Edital]],tEditais[Edital],0)),"")</f>
        <v>SP</v>
      </c>
      <c r="I8762" s="11">
        <f>IFERROR(INDEX(tEditais[Encerramento],MATCH(tItens[[#This Row],[Edital]],tEditais[Edital],0)),"")</f>
        <v>46310.374305555553</v>
      </c>
      <c r="J8762" t="str">
        <f>IFERROR(INDEX(tProdutos[Classe],MATCH(tItens[[#This Row],[Produto]],tProdutos[Produto],0)),"produto não cadastrado")</f>
        <v>DISPUTADO</v>
      </c>
      <c r="K8762" s="12">
        <f>tItens[[#This Row],[Qtd]]*tItens[[#This Row],[Vlr unit]]</f>
        <v>6.98</v>
      </c>
      <c r="L8762" s="6">
        <f>IFERROR(IF(INDEX(tProdutos[Desconto homologado],MATCH(tItens[[#This Row],[Produto]],tProdutos[Produto],0))="",DescontoPadrao,INDEX(tProdutos[Desconto homologado],MATCH(tItens[[#This Row],[Produto]],tProdutos[Produto],0))),DescontoPadrao)</f>
        <v>0.25393823957010597</v>
      </c>
      <c r="M8762" s="12">
        <f>tItens[[#This Row],[Valor]]*(1-tItens[[#This Row],[Desconto]])</f>
        <v>5.2075110878006603</v>
      </c>
      <c r="N8762" t="str">
        <f>IFERROR(INDEX(tProdutos[Foco],MATCH(tItens[[#This Row],[Produto]],tProdutos[Produto],0)),"Não")</f>
        <v>Não</v>
      </c>
      <c r="O8762" t="str">
        <f>IFERROR(INDEX(tEditais[SRP],MATCH(tItens[[#This Row],[Edital]],tEditais[Edital],0)),"Não")</f>
        <v>Não</v>
      </c>
      <c r="P8762" s="4">
        <f>IF(COUNTIFS(INDEX(tItens[Edital],1):tItens[[#This Row],[Edital]],tItens[[#This Row],[Edital]],INDEX(tItens[Produto],1):tItens[[#This Row],[Produto]],tItens[[#This Row],[Produto]])=1,1,0)</f>
        <v>1</v>
      </c>
    </row>
    <row r="8763" spans="1:16" x14ac:dyDescent="0.25">
      <c r="A8763" t="s">
        <v>2971</v>
      </c>
      <c r="B8763">
        <v>3</v>
      </c>
      <c r="C8763" t="s">
        <v>11160</v>
      </c>
      <c r="D8763" t="s">
        <v>383</v>
      </c>
      <c r="E8763" s="13">
        <v>6</v>
      </c>
      <c r="F8763" s="12">
        <v>64.61</v>
      </c>
      <c r="G8763" t="str">
        <f>IFERROR(INDEX(tEditais[Órgão],MATCH(tItens[[#This Row],[Edital]],tEditais[Edital],0)),"")</f>
        <v>FACULDADE DE MEDICINA DE JUNDIAI</v>
      </c>
      <c r="H8763" t="str">
        <f>IFERROR(INDEX(tEditais[UF],MATCH(tItens[[#This Row],[Edital]],tEditais[Edital],0)),"")</f>
        <v>SP</v>
      </c>
      <c r="I8763" s="11">
        <f>IFERROR(INDEX(tEditais[Encerramento],MATCH(tItens[[#This Row],[Edital]],tEditais[Edital],0)),"")</f>
        <v>46310.374305555553</v>
      </c>
      <c r="J8763" t="str">
        <f>IFERROR(INDEX(tProdutos[Classe],MATCH(tItens[[#This Row],[Produto]],tProdutos[Produto],0)),"produto não cadastrado")</f>
        <v>FORA</v>
      </c>
      <c r="K8763" s="12">
        <f>tItens[[#This Row],[Qtd]]*tItens[[#This Row],[Vlr unit]]</f>
        <v>387.65999999999997</v>
      </c>
      <c r="L8763" s="6">
        <f>IFERROR(IF(INDEX(tProdutos[Desconto homologado],MATCH(tItens[[#This Row],[Produto]],tProdutos[Produto],0))="",DescontoPadrao,INDEX(tProdutos[Desconto homologado],MATCH(tItens[[#This Row],[Produto]],tProdutos[Produto],0))),DescontoPadrao)</f>
        <v>0.48749999999999999</v>
      </c>
      <c r="M8763" s="12">
        <f>tItens[[#This Row],[Valor]]*(1-tItens[[#This Row],[Desconto]])</f>
        <v>198.67574999999997</v>
      </c>
      <c r="N8763" t="str">
        <f>IFERROR(INDEX(tProdutos[Foco],MATCH(tItens[[#This Row],[Produto]],tProdutos[Produto],0)),"Não")</f>
        <v>Não</v>
      </c>
      <c r="O8763" t="str">
        <f>IFERROR(INDEX(tEditais[SRP],MATCH(tItens[[#This Row],[Edital]],tEditais[Edital],0)),"Não")</f>
        <v>Não</v>
      </c>
      <c r="P8763" s="4">
        <f>IF(COUNTIFS(INDEX(tItens[Edital],1):tItens[[#This Row],[Edital]],tItens[[#This Row],[Edital]],INDEX(tItens[Produto],1):tItens[[#This Row],[Produto]],tItens[[#This Row],[Produto]])=1,1,0)</f>
        <v>1</v>
      </c>
    </row>
    <row r="8764" spans="1:16" x14ac:dyDescent="0.25">
      <c r="A8764" t="s">
        <v>2971</v>
      </c>
      <c r="B8764">
        <v>7</v>
      </c>
      <c r="C8764" t="s">
        <v>11161</v>
      </c>
      <c r="D8764" t="s">
        <v>371</v>
      </c>
      <c r="E8764" s="13">
        <v>8</v>
      </c>
      <c r="F8764" s="12">
        <v>62.94</v>
      </c>
      <c r="G8764" t="str">
        <f>IFERROR(INDEX(tEditais[Órgão],MATCH(tItens[[#This Row],[Edital]],tEditais[Edital],0)),"")</f>
        <v>FACULDADE DE MEDICINA DE JUNDIAI</v>
      </c>
      <c r="H8764" t="str">
        <f>IFERROR(INDEX(tEditais[UF],MATCH(tItens[[#This Row],[Edital]],tEditais[Edital],0)),"")</f>
        <v>SP</v>
      </c>
      <c r="I8764" s="11">
        <f>IFERROR(INDEX(tEditais[Encerramento],MATCH(tItens[[#This Row],[Edital]],tEditais[Edital],0)),"")</f>
        <v>46310.374305555553</v>
      </c>
      <c r="J8764" t="str">
        <f>IFERROR(INDEX(tProdutos[Classe],MATCH(tItens[[#This Row],[Produto]],tProdutos[Produto],0)),"produto não cadastrado")</f>
        <v>FORA</v>
      </c>
      <c r="K8764" s="12">
        <f>tItens[[#This Row],[Qtd]]*tItens[[#This Row],[Vlr unit]]</f>
        <v>503.52</v>
      </c>
      <c r="L8764" s="6">
        <f>IFERROR(IF(INDEX(tProdutos[Desconto homologado],MATCH(tItens[[#This Row],[Produto]],tProdutos[Produto],0))="",DescontoPadrao,INDEX(tProdutos[Desconto homologado],MATCH(tItens[[#This Row],[Produto]],tProdutos[Produto],0))),DescontoPadrao)</f>
        <v>0.217826086956522</v>
      </c>
      <c r="M8764" s="12">
        <f>tItens[[#This Row],[Valor]]*(1-tItens[[#This Row],[Desconto]])</f>
        <v>393.840208695652</v>
      </c>
      <c r="N8764" t="str">
        <f>IFERROR(INDEX(tProdutos[Foco],MATCH(tItens[[#This Row],[Produto]],tProdutos[Produto],0)),"Não")</f>
        <v>Não</v>
      </c>
      <c r="O8764" t="str">
        <f>IFERROR(INDEX(tEditais[SRP],MATCH(tItens[[#This Row],[Edital]],tEditais[Edital],0)),"Não")</f>
        <v>Não</v>
      </c>
      <c r="P8764" s="4">
        <f>IF(COUNTIFS(INDEX(tItens[Edital],1):tItens[[#This Row],[Edital]],tItens[[#This Row],[Edital]],INDEX(tItens[Produto],1):tItens[[#This Row],[Produto]],tItens[[#This Row],[Produto]])=1,1,0)</f>
        <v>1</v>
      </c>
    </row>
    <row r="8765" spans="1:16" x14ac:dyDescent="0.25">
      <c r="A8765" t="s">
        <v>2976</v>
      </c>
      <c r="B8765">
        <v>1</v>
      </c>
      <c r="C8765" t="s">
        <v>11162</v>
      </c>
      <c r="D8765" t="s">
        <v>363</v>
      </c>
      <c r="E8765" s="13">
        <v>29</v>
      </c>
      <c r="F8765" s="12">
        <v>6.2</v>
      </c>
      <c r="G8765" t="str">
        <f>IFERROR(INDEX(tEditais[Órgão],MATCH(tItens[[#This Row],[Edital]],tEditais[Edital],0)),"")</f>
        <v>MUNICIPIO DE BARUERI</v>
      </c>
      <c r="H8765" t="str">
        <f>IFERROR(INDEX(tEditais[UF],MATCH(tItens[[#This Row],[Edital]],tEditais[Edital],0)),"")</f>
        <v>SP</v>
      </c>
      <c r="I8765" s="11">
        <f>IFERROR(INDEX(tEditais[Encerramento],MATCH(tItens[[#This Row],[Edital]],tEditais[Edital],0)),"")</f>
        <v>46310.374305555553</v>
      </c>
      <c r="J8765" t="str">
        <f>IFERROR(INDEX(tProdutos[Classe],MATCH(tItens[[#This Row],[Produto]],tProdutos[Produto],0)),"produto não cadastrado")</f>
        <v>FORA</v>
      </c>
      <c r="K8765" s="12">
        <f>tItens[[#This Row],[Qtd]]*tItens[[#This Row],[Vlr unit]]</f>
        <v>179.8</v>
      </c>
      <c r="L8765" s="6">
        <f>IFERROR(IF(INDEX(tProdutos[Desconto homologado],MATCH(tItens[[#This Row],[Produto]],tProdutos[Produto],0))="",DescontoPadrao,INDEX(tProdutos[Desconto homologado],MATCH(tItens[[#This Row],[Produto]],tProdutos[Produto],0))),DescontoPadrao)</f>
        <v>0.36454545454545501</v>
      </c>
      <c r="M8765" s="12">
        <f>tItens[[#This Row],[Valor]]*(1-tItens[[#This Row],[Desconto]])</f>
        <v>114.25472727272721</v>
      </c>
      <c r="N8765" t="str">
        <f>IFERROR(INDEX(tProdutos[Foco],MATCH(tItens[[#This Row],[Produto]],tProdutos[Produto],0)),"Não")</f>
        <v>Não</v>
      </c>
      <c r="O8765" t="str">
        <f>IFERROR(INDEX(tEditais[SRP],MATCH(tItens[[#This Row],[Edital]],tEditais[Edital],0)),"Não")</f>
        <v>Sim</v>
      </c>
      <c r="P8765" s="4">
        <f>IF(COUNTIFS(INDEX(tItens[Edital],1):tItens[[#This Row],[Edital]],tItens[[#This Row],[Edital]],INDEX(tItens[Produto],1):tItens[[#This Row],[Produto]],tItens[[#This Row],[Produto]])=1,1,0)</f>
        <v>1</v>
      </c>
    </row>
    <row r="8766" spans="1:16" x14ac:dyDescent="0.25">
      <c r="A8766" t="s">
        <v>2976</v>
      </c>
      <c r="B8766">
        <v>12</v>
      </c>
      <c r="C8766" t="s">
        <v>11163</v>
      </c>
      <c r="D8766" t="s">
        <v>75</v>
      </c>
      <c r="E8766" s="13">
        <v>4275</v>
      </c>
      <c r="F8766" s="12">
        <v>2.94</v>
      </c>
      <c r="G8766" t="str">
        <f>IFERROR(INDEX(tEditais[Órgão],MATCH(tItens[[#This Row],[Edital]],tEditais[Edital],0)),"")</f>
        <v>MUNICIPIO DE BARUERI</v>
      </c>
      <c r="H8766" t="str">
        <f>IFERROR(INDEX(tEditais[UF],MATCH(tItens[[#This Row],[Edital]],tEditais[Edital],0)),"")</f>
        <v>SP</v>
      </c>
      <c r="I8766" s="11">
        <f>IFERROR(INDEX(tEditais[Encerramento],MATCH(tItens[[#This Row],[Edital]],tEditais[Edital],0)),"")</f>
        <v>46310.374305555553</v>
      </c>
      <c r="J8766" t="str">
        <f>IFERROR(INDEX(tProdutos[Classe],MATCH(tItens[[#This Row],[Produto]],tProdutos[Produto],0)),"produto não cadastrado")</f>
        <v>NÚCLEO</v>
      </c>
      <c r="K8766" s="12">
        <f>tItens[[#This Row],[Qtd]]*tItens[[#This Row],[Vlr unit]]</f>
        <v>12568.5</v>
      </c>
      <c r="L8766" s="6">
        <f>IFERROR(IF(INDEX(tProdutos[Desconto homologado],MATCH(tItens[[#This Row],[Produto]],tProdutos[Produto],0))="",DescontoPadrao,INDEX(tProdutos[Desconto homologado],MATCH(tItens[[#This Row],[Produto]],tProdutos[Produto],0))),DescontoPadrao)</f>
        <v>0.26</v>
      </c>
      <c r="M8766" s="12">
        <f>tItens[[#This Row],[Valor]]*(1-tItens[[#This Row],[Desconto]])</f>
        <v>9300.69</v>
      </c>
      <c r="N8766" t="str">
        <f>IFERROR(INDEX(tProdutos[Foco],MATCH(tItens[[#This Row],[Produto]],tProdutos[Produto],0)),"Não")</f>
        <v>Sim</v>
      </c>
      <c r="O8766" t="str">
        <f>IFERROR(INDEX(tEditais[SRP],MATCH(tItens[[#This Row],[Edital]],tEditais[Edital],0)),"Não")</f>
        <v>Sim</v>
      </c>
      <c r="P8766" s="4">
        <f>IF(COUNTIFS(INDEX(tItens[Edital],1):tItens[[#This Row],[Edital]],tItens[[#This Row],[Edital]],INDEX(tItens[Produto],1):tItens[[#This Row],[Produto]],tItens[[#This Row],[Produto]])=1,1,0)</f>
        <v>1</v>
      </c>
    </row>
    <row r="8767" spans="1:16" x14ac:dyDescent="0.25">
      <c r="A8767" t="s">
        <v>2976</v>
      </c>
      <c r="B8767">
        <v>13</v>
      </c>
      <c r="C8767" t="s">
        <v>11164</v>
      </c>
      <c r="D8767" t="s">
        <v>126</v>
      </c>
      <c r="E8767" s="13">
        <v>665</v>
      </c>
      <c r="F8767" s="12">
        <v>14.52</v>
      </c>
      <c r="G8767" t="str">
        <f>IFERROR(INDEX(tEditais[Órgão],MATCH(tItens[[#This Row],[Edital]],tEditais[Edital],0)),"")</f>
        <v>MUNICIPIO DE BARUERI</v>
      </c>
      <c r="H8767" t="str">
        <f>IFERROR(INDEX(tEditais[UF],MATCH(tItens[[#This Row],[Edital]],tEditais[Edital],0)),"")</f>
        <v>SP</v>
      </c>
      <c r="I8767" s="11">
        <f>IFERROR(INDEX(tEditais[Encerramento],MATCH(tItens[[#This Row],[Edital]],tEditais[Edital],0)),"")</f>
        <v>46310.374305555553</v>
      </c>
      <c r="J8767" t="str">
        <f>IFERROR(INDEX(tProdutos[Classe],MATCH(tItens[[#This Row],[Produto]],tProdutos[Produto],0)),"produto não cadastrado")</f>
        <v>DISPUTADO</v>
      </c>
      <c r="K8767" s="12">
        <f>tItens[[#This Row],[Qtd]]*tItens[[#This Row],[Vlr unit]]</f>
        <v>9655.7999999999993</v>
      </c>
      <c r="L8767" s="6">
        <f>IFERROR(IF(INDEX(tProdutos[Desconto homologado],MATCH(tItens[[#This Row],[Produto]],tProdutos[Produto],0))="",DescontoPadrao,INDEX(tProdutos[Desconto homologado],MATCH(tItens[[#This Row],[Produto]],tProdutos[Produto],0))),DescontoPadrao)</f>
        <v>0.21</v>
      </c>
      <c r="M8767" s="12">
        <f>tItens[[#This Row],[Valor]]*(1-tItens[[#This Row],[Desconto]])</f>
        <v>7628.0819999999994</v>
      </c>
      <c r="N8767" t="str">
        <f>IFERROR(INDEX(tProdutos[Foco],MATCH(tItens[[#This Row],[Produto]],tProdutos[Produto],0)),"Não")</f>
        <v>Sim</v>
      </c>
      <c r="O8767" t="str">
        <f>IFERROR(INDEX(tEditais[SRP],MATCH(tItens[[#This Row],[Edital]],tEditais[Edital],0)),"Não")</f>
        <v>Sim</v>
      </c>
      <c r="P8767" s="4">
        <f>IF(COUNTIFS(INDEX(tItens[Edital],1):tItens[[#This Row],[Edital]],tItens[[#This Row],[Edital]],INDEX(tItens[Produto],1):tItens[[#This Row],[Produto]],tItens[[#This Row],[Produto]])=1,1,0)</f>
        <v>1</v>
      </c>
    </row>
    <row r="8768" spans="1:16" x14ac:dyDescent="0.25">
      <c r="A8768" t="s">
        <v>2976</v>
      </c>
      <c r="B8768">
        <v>16</v>
      </c>
      <c r="C8768" t="s">
        <v>11165</v>
      </c>
      <c r="D8768" t="s">
        <v>339</v>
      </c>
      <c r="E8768" s="13">
        <v>380</v>
      </c>
      <c r="F8768" s="12">
        <v>1.58</v>
      </c>
      <c r="G8768" t="str">
        <f>IFERROR(INDEX(tEditais[Órgão],MATCH(tItens[[#This Row],[Edital]],tEditais[Edital],0)),"")</f>
        <v>MUNICIPIO DE BARUERI</v>
      </c>
      <c r="H8768" t="str">
        <f>IFERROR(INDEX(tEditais[UF],MATCH(tItens[[#This Row],[Edital]],tEditais[Edital],0)),"")</f>
        <v>SP</v>
      </c>
      <c r="I8768" s="11">
        <f>IFERROR(INDEX(tEditais[Encerramento],MATCH(tItens[[#This Row],[Edital]],tEditais[Edital],0)),"")</f>
        <v>46310.374305555553</v>
      </c>
      <c r="J8768" t="str">
        <f>IFERROR(INDEX(tProdutos[Classe],MATCH(tItens[[#This Row],[Produto]],tProdutos[Produto],0)),"produto não cadastrado")</f>
        <v>FORA</v>
      </c>
      <c r="K8768" s="12">
        <f>tItens[[#This Row],[Qtd]]*tItens[[#This Row],[Vlr unit]]</f>
        <v>600.4</v>
      </c>
      <c r="L8768" s="6">
        <f>IFERROR(IF(INDEX(tProdutos[Desconto homologado],MATCH(tItens[[#This Row],[Produto]],tProdutos[Produto],0))="",DescontoPadrao,INDEX(tProdutos[Desconto homologado],MATCH(tItens[[#This Row],[Produto]],tProdutos[Produto],0))),DescontoPadrao)</f>
        <v>0.35388629091804102</v>
      </c>
      <c r="M8768" s="12">
        <f>tItens[[#This Row],[Valor]]*(1-tItens[[#This Row],[Desconto]])</f>
        <v>387.92667093280818</v>
      </c>
      <c r="N8768" t="str">
        <f>IFERROR(INDEX(tProdutos[Foco],MATCH(tItens[[#This Row],[Produto]],tProdutos[Produto],0)),"Não")</f>
        <v>Não</v>
      </c>
      <c r="O8768" t="str">
        <f>IFERROR(INDEX(tEditais[SRP],MATCH(tItens[[#This Row],[Edital]],tEditais[Edital],0)),"Não")</f>
        <v>Sim</v>
      </c>
      <c r="P8768" s="4">
        <f>IF(COUNTIFS(INDEX(tItens[Edital],1):tItens[[#This Row],[Edital]],tItens[[#This Row],[Edital]],INDEX(tItens[Produto],1):tItens[[#This Row],[Produto]],tItens[[#This Row],[Produto]])=1,1,0)</f>
        <v>1</v>
      </c>
    </row>
    <row r="8769" spans="1:16" x14ac:dyDescent="0.25">
      <c r="A8769" t="s">
        <v>2976</v>
      </c>
      <c r="B8769">
        <v>17</v>
      </c>
      <c r="C8769" t="s">
        <v>11166</v>
      </c>
      <c r="D8769" t="s">
        <v>94</v>
      </c>
      <c r="E8769" s="13">
        <v>475</v>
      </c>
      <c r="F8769" s="12">
        <v>48.43</v>
      </c>
      <c r="G8769" t="str">
        <f>IFERROR(INDEX(tEditais[Órgão],MATCH(tItens[[#This Row],[Edital]],tEditais[Edital],0)),"")</f>
        <v>MUNICIPIO DE BARUERI</v>
      </c>
      <c r="H8769" t="str">
        <f>IFERROR(INDEX(tEditais[UF],MATCH(tItens[[#This Row],[Edital]],tEditais[Edital],0)),"")</f>
        <v>SP</v>
      </c>
      <c r="I8769" s="11">
        <f>IFERROR(INDEX(tEditais[Encerramento],MATCH(tItens[[#This Row],[Edital]],tEditais[Edital],0)),"")</f>
        <v>46310.374305555553</v>
      </c>
      <c r="J8769" t="str">
        <f>IFERROR(INDEX(tProdutos[Classe],MATCH(tItens[[#This Row],[Produto]],tProdutos[Produto],0)),"produto não cadastrado")</f>
        <v>NÚCLEO</v>
      </c>
      <c r="K8769" s="12">
        <f>tItens[[#This Row],[Qtd]]*tItens[[#This Row],[Vlr unit]]</f>
        <v>23004.25</v>
      </c>
      <c r="L8769" s="6">
        <f>IFERROR(IF(INDEX(tProdutos[Desconto homologado],MATCH(tItens[[#This Row],[Produto]],tProdutos[Produto],0))="",DescontoPadrao,INDEX(tProdutos[Desconto homologado],MATCH(tItens[[#This Row],[Produto]],tProdutos[Produto],0))),DescontoPadrao)</f>
        <v>0.21</v>
      </c>
      <c r="M8769" s="12">
        <f>tItens[[#This Row],[Valor]]*(1-tItens[[#This Row],[Desconto]])</f>
        <v>18173.357500000002</v>
      </c>
      <c r="N8769" t="str">
        <f>IFERROR(INDEX(tProdutos[Foco],MATCH(tItens[[#This Row],[Produto]],tProdutos[Produto],0)),"Não")</f>
        <v>Sim</v>
      </c>
      <c r="O8769" t="str">
        <f>IFERROR(INDEX(tEditais[SRP],MATCH(tItens[[#This Row],[Edital]],tEditais[Edital],0)),"Não")</f>
        <v>Sim</v>
      </c>
      <c r="P8769" s="4">
        <f>IF(COUNTIFS(INDEX(tItens[Edital],1):tItens[[#This Row],[Edital]],tItens[[#This Row],[Edital]],INDEX(tItens[Produto],1):tItens[[#This Row],[Produto]],tItens[[#This Row],[Produto]])=1,1,0)</f>
        <v>1</v>
      </c>
    </row>
    <row r="8770" spans="1:16" x14ac:dyDescent="0.25">
      <c r="A8770" t="s">
        <v>2976</v>
      </c>
      <c r="B8770">
        <v>18</v>
      </c>
      <c r="C8770" t="s">
        <v>11167</v>
      </c>
      <c r="D8770" t="s">
        <v>467</v>
      </c>
      <c r="E8770" s="13">
        <v>1140</v>
      </c>
      <c r="F8770" s="12">
        <v>6.18</v>
      </c>
      <c r="G8770" t="str">
        <f>IFERROR(INDEX(tEditais[Órgão],MATCH(tItens[[#This Row],[Edital]],tEditais[Edital],0)),"")</f>
        <v>MUNICIPIO DE BARUERI</v>
      </c>
      <c r="H8770" t="str">
        <f>IFERROR(INDEX(tEditais[UF],MATCH(tItens[[#This Row],[Edital]],tEditais[Edital],0)),"")</f>
        <v>SP</v>
      </c>
      <c r="I8770" s="11">
        <f>IFERROR(INDEX(tEditais[Encerramento],MATCH(tItens[[#This Row],[Edital]],tEditais[Edital],0)),"")</f>
        <v>46310.374305555553</v>
      </c>
      <c r="J8770" t="str">
        <f>IFERROR(INDEX(tProdutos[Classe],MATCH(tItens[[#This Row],[Produto]],tProdutos[Produto],0)),"produto não cadastrado")</f>
        <v>FILA REBASE</v>
      </c>
      <c r="K8770" s="12">
        <f>tItens[[#This Row],[Qtd]]*tItens[[#This Row],[Vlr unit]]</f>
        <v>7045.2</v>
      </c>
      <c r="L8770" s="6">
        <f>IFERROR(IF(INDEX(tProdutos[Desconto homologado],MATCH(tItens[[#This Row],[Produto]],tProdutos[Produto],0))="",DescontoPadrao,INDEX(tProdutos[Desconto homologado],MATCH(tItens[[#This Row],[Produto]],tProdutos[Produto],0))),DescontoPadrao)</f>
        <v>0.25007144898542499</v>
      </c>
      <c r="M8770" s="12">
        <f>tItens[[#This Row],[Valor]]*(1-tItens[[#This Row],[Desconto]])</f>
        <v>5283.3966276078836</v>
      </c>
      <c r="N8770" t="str">
        <f>IFERROR(INDEX(tProdutos[Foco],MATCH(tItens[[#This Row],[Produto]],tProdutos[Produto],0)),"Não")</f>
        <v>Não</v>
      </c>
      <c r="O8770" t="str">
        <f>IFERROR(INDEX(tEditais[SRP],MATCH(tItens[[#This Row],[Edital]],tEditais[Edital],0)),"Não")</f>
        <v>Sim</v>
      </c>
      <c r="P8770" s="4">
        <f>IF(COUNTIFS(INDEX(tItens[Edital],1):tItens[[#This Row],[Edital]],tItens[[#This Row],[Edital]],INDEX(tItens[Produto],1):tItens[[#This Row],[Produto]],tItens[[#This Row],[Produto]])=1,1,0)</f>
        <v>1</v>
      </c>
    </row>
    <row r="8771" spans="1:16" x14ac:dyDescent="0.25">
      <c r="A8771" t="s">
        <v>2976</v>
      </c>
      <c r="B8771">
        <v>20</v>
      </c>
      <c r="C8771" t="s">
        <v>11168</v>
      </c>
      <c r="D8771" t="s">
        <v>566</v>
      </c>
      <c r="E8771" s="13">
        <v>10</v>
      </c>
      <c r="F8771" s="12">
        <v>630.9</v>
      </c>
      <c r="G8771" t="str">
        <f>IFERROR(INDEX(tEditais[Órgão],MATCH(tItens[[#This Row],[Edital]],tEditais[Edital],0)),"")</f>
        <v>MUNICIPIO DE BARUERI</v>
      </c>
      <c r="H8771" t="str">
        <f>IFERROR(INDEX(tEditais[UF],MATCH(tItens[[#This Row],[Edital]],tEditais[Edital],0)),"")</f>
        <v>SP</v>
      </c>
      <c r="I8771" s="11">
        <f>IFERROR(INDEX(tEditais[Encerramento],MATCH(tItens[[#This Row],[Edital]],tEditais[Edital],0)),"")</f>
        <v>46310.374305555553</v>
      </c>
      <c r="J8771" t="str">
        <f>IFERROR(INDEX(tProdutos[Classe],MATCH(tItens[[#This Row],[Produto]],tProdutos[Produto],0)),"produto não cadastrado")</f>
        <v>FILA REBASE</v>
      </c>
      <c r="K8771" s="12">
        <f>tItens[[#This Row],[Qtd]]*tItens[[#This Row],[Vlr unit]]</f>
        <v>6309</v>
      </c>
      <c r="L8771" s="6">
        <f>IFERROR(IF(INDEX(tProdutos[Desconto homologado],MATCH(tItens[[#This Row],[Produto]],tProdutos[Produto],0))="",DescontoPadrao,INDEX(tProdutos[Desconto homologado],MATCH(tItens[[#This Row],[Produto]],tProdutos[Produto],0))),DescontoPadrao)</f>
        <v>0.1816062551698</v>
      </c>
      <c r="M8771" s="12">
        <f>tItens[[#This Row],[Valor]]*(1-tItens[[#This Row],[Desconto]])</f>
        <v>5163.2461361337319</v>
      </c>
      <c r="N8771" t="str">
        <f>IFERROR(INDEX(tProdutos[Foco],MATCH(tItens[[#This Row],[Produto]],tProdutos[Produto],0)),"Não")</f>
        <v>Não</v>
      </c>
      <c r="O8771" t="str">
        <f>IFERROR(INDEX(tEditais[SRP],MATCH(tItens[[#This Row],[Edital]],tEditais[Edital],0)),"Não")</f>
        <v>Sim</v>
      </c>
      <c r="P8771" s="4">
        <f>IF(COUNTIFS(INDEX(tItens[Edital],1):tItens[[#This Row],[Edital]],tItens[[#This Row],[Edital]],INDEX(tItens[Produto],1):tItens[[#This Row],[Produto]],tItens[[#This Row],[Produto]])=1,1,0)</f>
        <v>1</v>
      </c>
    </row>
    <row r="8772" spans="1:16" x14ac:dyDescent="0.25">
      <c r="A8772" t="s">
        <v>2976</v>
      </c>
      <c r="B8772">
        <v>22</v>
      </c>
      <c r="C8772" t="s">
        <v>11169</v>
      </c>
      <c r="D8772" t="s">
        <v>257</v>
      </c>
      <c r="E8772" s="13">
        <v>380</v>
      </c>
      <c r="F8772" s="12">
        <v>15.22</v>
      </c>
      <c r="G8772" t="str">
        <f>IFERROR(INDEX(tEditais[Órgão],MATCH(tItens[[#This Row],[Edital]],tEditais[Edital],0)),"")</f>
        <v>MUNICIPIO DE BARUERI</v>
      </c>
      <c r="H8772" t="str">
        <f>IFERROR(INDEX(tEditais[UF],MATCH(tItens[[#This Row],[Edital]],tEditais[Edital],0)),"")</f>
        <v>SP</v>
      </c>
      <c r="I8772" s="11">
        <f>IFERROR(INDEX(tEditais[Encerramento],MATCH(tItens[[#This Row],[Edital]],tEditais[Edital],0)),"")</f>
        <v>46310.374305555553</v>
      </c>
      <c r="J8772" t="str">
        <f>IFERROR(INDEX(tProdutos[Classe],MATCH(tItens[[#This Row],[Produto]],tProdutos[Produto],0)),"produto não cadastrado")</f>
        <v>FORA</v>
      </c>
      <c r="K8772" s="12">
        <f>tItens[[#This Row],[Qtd]]*tItens[[#This Row],[Vlr unit]]</f>
        <v>5783.6</v>
      </c>
      <c r="L8772" s="6">
        <f>IFERROR(IF(INDEX(tProdutos[Desconto homologado],MATCH(tItens[[#This Row],[Produto]],tProdutos[Produto],0))="",DescontoPadrao,INDEX(tProdutos[Desconto homologado],MATCH(tItens[[#This Row],[Produto]],tProdutos[Produto],0))),DescontoPadrao)</f>
        <v>0.500812004991805</v>
      </c>
      <c r="M8772" s="12">
        <f>tItens[[#This Row],[Valor]]*(1-tItens[[#This Row],[Desconto]])</f>
        <v>2887.103687929397</v>
      </c>
      <c r="N8772" t="str">
        <f>IFERROR(INDEX(tProdutos[Foco],MATCH(tItens[[#This Row],[Produto]],tProdutos[Produto],0)),"Não")</f>
        <v>Não</v>
      </c>
      <c r="O8772" t="str">
        <f>IFERROR(INDEX(tEditais[SRP],MATCH(tItens[[#This Row],[Edital]],tEditais[Edital],0)),"Não")</f>
        <v>Sim</v>
      </c>
      <c r="P8772" s="4">
        <f>IF(COUNTIFS(INDEX(tItens[Edital],1):tItens[[#This Row],[Edital]],tItens[[#This Row],[Edital]],INDEX(tItens[Produto],1):tItens[[#This Row],[Produto]],tItens[[#This Row],[Produto]])=1,1,0)</f>
        <v>1</v>
      </c>
    </row>
    <row r="8773" spans="1:16" x14ac:dyDescent="0.25">
      <c r="A8773" t="s">
        <v>2976</v>
      </c>
      <c r="B8773">
        <v>23</v>
      </c>
      <c r="C8773" t="s">
        <v>11170</v>
      </c>
      <c r="D8773" t="s">
        <v>249</v>
      </c>
      <c r="E8773" s="13">
        <v>190</v>
      </c>
      <c r="F8773" s="12">
        <v>14.04</v>
      </c>
      <c r="G8773" t="str">
        <f>IFERROR(INDEX(tEditais[Órgão],MATCH(tItens[[#This Row],[Edital]],tEditais[Edital],0)),"")</f>
        <v>MUNICIPIO DE BARUERI</v>
      </c>
      <c r="H8773" t="str">
        <f>IFERROR(INDEX(tEditais[UF],MATCH(tItens[[#This Row],[Edital]],tEditais[Edital],0)),"")</f>
        <v>SP</v>
      </c>
      <c r="I8773" s="11">
        <f>IFERROR(INDEX(tEditais[Encerramento],MATCH(tItens[[#This Row],[Edital]],tEditais[Edital],0)),"")</f>
        <v>46310.374305555553</v>
      </c>
      <c r="J8773" t="str">
        <f>IFERROR(INDEX(tProdutos[Classe],MATCH(tItens[[#This Row],[Produto]],tProdutos[Produto],0)),"produto não cadastrado")</f>
        <v>FORA</v>
      </c>
      <c r="K8773" s="12">
        <f>tItens[[#This Row],[Qtd]]*tItens[[#This Row],[Vlr unit]]</f>
        <v>2667.6</v>
      </c>
      <c r="L8773" s="6">
        <f>IFERROR(IF(INDEX(tProdutos[Desconto homologado],MATCH(tItens[[#This Row],[Produto]],tProdutos[Produto],0))="",DescontoPadrao,INDEX(tProdutos[Desconto homologado],MATCH(tItens[[#This Row],[Produto]],tProdutos[Produto],0))),DescontoPadrao)</f>
        <v>0.45399945399945402</v>
      </c>
      <c r="M8773" s="12">
        <f>tItens[[#This Row],[Valor]]*(1-tItens[[#This Row],[Desconto]])</f>
        <v>1456.5110565110563</v>
      </c>
      <c r="N8773" t="str">
        <f>IFERROR(INDEX(tProdutos[Foco],MATCH(tItens[[#This Row],[Produto]],tProdutos[Produto],0)),"Não")</f>
        <v>Não</v>
      </c>
      <c r="O8773" t="str">
        <f>IFERROR(INDEX(tEditais[SRP],MATCH(tItens[[#This Row],[Edital]],tEditais[Edital],0)),"Não")</f>
        <v>Sim</v>
      </c>
      <c r="P8773" s="4">
        <f>IF(COUNTIFS(INDEX(tItens[Edital],1):tItens[[#This Row],[Edital]],tItens[[#This Row],[Edital]],INDEX(tItens[Produto],1):tItens[[#This Row],[Produto]],tItens[[#This Row],[Produto]])=1,1,0)</f>
        <v>1</v>
      </c>
    </row>
    <row r="8774" spans="1:16" x14ac:dyDescent="0.25">
      <c r="A8774" t="s">
        <v>2976</v>
      </c>
      <c r="B8774">
        <v>32</v>
      </c>
      <c r="C8774" t="s">
        <v>11171</v>
      </c>
      <c r="D8774" t="s">
        <v>170</v>
      </c>
      <c r="E8774" s="13">
        <v>10</v>
      </c>
      <c r="F8774" s="12">
        <v>43.68</v>
      </c>
      <c r="G8774" t="str">
        <f>IFERROR(INDEX(tEditais[Órgão],MATCH(tItens[[#This Row],[Edital]],tEditais[Edital],0)),"")</f>
        <v>MUNICIPIO DE BARUERI</v>
      </c>
      <c r="H8774" t="str">
        <f>IFERROR(INDEX(tEditais[UF],MATCH(tItens[[#This Row],[Edital]],tEditais[Edital],0)),"")</f>
        <v>SP</v>
      </c>
      <c r="I8774" s="11">
        <f>IFERROR(INDEX(tEditais[Encerramento],MATCH(tItens[[#This Row],[Edital]],tEditais[Edital],0)),"")</f>
        <v>46310.374305555553</v>
      </c>
      <c r="J8774" t="str">
        <f>IFERROR(INDEX(tProdutos[Classe],MATCH(tItens[[#This Row],[Produto]],tProdutos[Produto],0)),"produto não cadastrado")</f>
        <v>DISPUTADO</v>
      </c>
      <c r="K8774" s="12">
        <f>tItens[[#This Row],[Qtd]]*tItens[[#This Row],[Vlr unit]]</f>
        <v>436.8</v>
      </c>
      <c r="L8774" s="6">
        <f>IFERROR(IF(INDEX(tProdutos[Desconto homologado],MATCH(tItens[[#This Row],[Produto]],tProdutos[Produto],0))="",DescontoPadrao,INDEX(tProdutos[Desconto homologado],MATCH(tItens[[#This Row],[Produto]],tProdutos[Produto],0))),DescontoPadrao)</f>
        <v>0.36</v>
      </c>
      <c r="M8774" s="12">
        <f>tItens[[#This Row],[Valor]]*(1-tItens[[#This Row],[Desconto]])</f>
        <v>279.55200000000002</v>
      </c>
      <c r="N8774" t="str">
        <f>IFERROR(INDEX(tProdutos[Foco],MATCH(tItens[[#This Row],[Produto]],tProdutos[Produto],0)),"Não")</f>
        <v>Sim</v>
      </c>
      <c r="O8774" t="str">
        <f>IFERROR(INDEX(tEditais[SRP],MATCH(tItens[[#This Row],[Edital]],tEditais[Edital],0)),"Não")</f>
        <v>Sim</v>
      </c>
      <c r="P8774" s="4">
        <f>IF(COUNTIFS(INDEX(tItens[Edital],1):tItens[[#This Row],[Edital]],tItens[[#This Row],[Edital]],INDEX(tItens[Produto],1):tItens[[#This Row],[Produto]],tItens[[#This Row],[Produto]])=1,1,0)</f>
        <v>1</v>
      </c>
    </row>
    <row r="8775" spans="1:16" x14ac:dyDescent="0.25">
      <c r="A8775" t="s">
        <v>2976</v>
      </c>
      <c r="B8775">
        <v>33</v>
      </c>
      <c r="C8775" t="s">
        <v>11172</v>
      </c>
      <c r="D8775" t="s">
        <v>170</v>
      </c>
      <c r="E8775" s="13">
        <v>10</v>
      </c>
      <c r="F8775" s="12">
        <v>46.23</v>
      </c>
      <c r="G8775" t="str">
        <f>IFERROR(INDEX(tEditais[Órgão],MATCH(tItens[[#This Row],[Edital]],tEditais[Edital],0)),"")</f>
        <v>MUNICIPIO DE BARUERI</v>
      </c>
      <c r="H8775" t="str">
        <f>IFERROR(INDEX(tEditais[UF],MATCH(tItens[[#This Row],[Edital]],tEditais[Edital],0)),"")</f>
        <v>SP</v>
      </c>
      <c r="I8775" s="11">
        <f>IFERROR(INDEX(tEditais[Encerramento],MATCH(tItens[[#This Row],[Edital]],tEditais[Edital],0)),"")</f>
        <v>46310.374305555553</v>
      </c>
      <c r="J8775" t="str">
        <f>IFERROR(INDEX(tProdutos[Classe],MATCH(tItens[[#This Row],[Produto]],tProdutos[Produto],0)),"produto não cadastrado")</f>
        <v>DISPUTADO</v>
      </c>
      <c r="K8775" s="12">
        <f>tItens[[#This Row],[Qtd]]*tItens[[#This Row],[Vlr unit]]</f>
        <v>462.29999999999995</v>
      </c>
      <c r="L8775" s="6">
        <f>IFERROR(IF(INDEX(tProdutos[Desconto homologado],MATCH(tItens[[#This Row],[Produto]],tProdutos[Produto],0))="",DescontoPadrao,INDEX(tProdutos[Desconto homologado],MATCH(tItens[[#This Row],[Produto]],tProdutos[Produto],0))),DescontoPadrao)</f>
        <v>0.36</v>
      </c>
      <c r="M8775" s="12">
        <f>tItens[[#This Row],[Valor]]*(1-tItens[[#This Row],[Desconto]])</f>
        <v>295.87199999999996</v>
      </c>
      <c r="N8775" t="str">
        <f>IFERROR(INDEX(tProdutos[Foco],MATCH(tItens[[#This Row],[Produto]],tProdutos[Produto],0)),"Não")</f>
        <v>Sim</v>
      </c>
      <c r="O8775" t="str">
        <f>IFERROR(INDEX(tEditais[SRP],MATCH(tItens[[#This Row],[Edital]],tEditais[Edital],0)),"Não")</f>
        <v>Sim</v>
      </c>
      <c r="P8775" s="4">
        <f>IF(COUNTIFS(INDEX(tItens[Edital],1):tItens[[#This Row],[Edital]],tItens[[#This Row],[Edital]],INDEX(tItens[Produto],1):tItens[[#This Row],[Produto]],tItens[[#This Row],[Produto]])=1,1,0)</f>
        <v>0</v>
      </c>
    </row>
    <row r="8776" spans="1:16" x14ac:dyDescent="0.25">
      <c r="A8776" t="s">
        <v>2976</v>
      </c>
      <c r="B8776">
        <v>34</v>
      </c>
      <c r="C8776" t="s">
        <v>11173</v>
      </c>
      <c r="D8776" t="s">
        <v>170</v>
      </c>
      <c r="E8776" s="13">
        <v>10</v>
      </c>
      <c r="F8776" s="12">
        <v>44.7</v>
      </c>
      <c r="G8776" t="str">
        <f>IFERROR(INDEX(tEditais[Órgão],MATCH(tItens[[#This Row],[Edital]],tEditais[Edital],0)),"")</f>
        <v>MUNICIPIO DE BARUERI</v>
      </c>
      <c r="H8776" t="str">
        <f>IFERROR(INDEX(tEditais[UF],MATCH(tItens[[#This Row],[Edital]],tEditais[Edital],0)),"")</f>
        <v>SP</v>
      </c>
      <c r="I8776" s="11">
        <f>IFERROR(INDEX(tEditais[Encerramento],MATCH(tItens[[#This Row],[Edital]],tEditais[Edital],0)),"")</f>
        <v>46310.374305555553</v>
      </c>
      <c r="J8776" t="str">
        <f>IFERROR(INDEX(tProdutos[Classe],MATCH(tItens[[#This Row],[Produto]],tProdutos[Produto],0)),"produto não cadastrado")</f>
        <v>DISPUTADO</v>
      </c>
      <c r="K8776" s="12">
        <f>tItens[[#This Row],[Qtd]]*tItens[[#This Row],[Vlr unit]]</f>
        <v>447</v>
      </c>
      <c r="L8776" s="6">
        <f>IFERROR(IF(INDEX(tProdutos[Desconto homologado],MATCH(tItens[[#This Row],[Produto]],tProdutos[Produto],0))="",DescontoPadrao,INDEX(tProdutos[Desconto homologado],MATCH(tItens[[#This Row],[Produto]],tProdutos[Produto],0))),DescontoPadrao)</f>
        <v>0.36</v>
      </c>
      <c r="M8776" s="12">
        <f>tItens[[#This Row],[Valor]]*(1-tItens[[#This Row],[Desconto]])</f>
        <v>286.08</v>
      </c>
      <c r="N8776" t="str">
        <f>IFERROR(INDEX(tProdutos[Foco],MATCH(tItens[[#This Row],[Produto]],tProdutos[Produto],0)),"Não")</f>
        <v>Sim</v>
      </c>
      <c r="O8776" t="str">
        <f>IFERROR(INDEX(tEditais[SRP],MATCH(tItens[[#This Row],[Edital]],tEditais[Edital],0)),"Não")</f>
        <v>Sim</v>
      </c>
      <c r="P8776" s="4">
        <f>IF(COUNTIFS(INDEX(tItens[Edital],1):tItens[[#This Row],[Edital]],tItens[[#This Row],[Edital]],INDEX(tItens[Produto],1):tItens[[#This Row],[Produto]],tItens[[#This Row],[Produto]])=1,1,0)</f>
        <v>0</v>
      </c>
    </row>
    <row r="8777" spans="1:16" x14ac:dyDescent="0.25">
      <c r="A8777" t="s">
        <v>2977</v>
      </c>
      <c r="B8777">
        <v>36</v>
      </c>
      <c r="C8777" t="s">
        <v>11174</v>
      </c>
      <c r="D8777" t="s">
        <v>578</v>
      </c>
      <c r="E8777" s="13">
        <v>1</v>
      </c>
      <c r="F8777" s="12">
        <v>6114</v>
      </c>
      <c r="G8777" t="str">
        <f>IFERROR(INDEX(tEditais[Órgão],MATCH(tItens[[#This Row],[Edital]],tEditais[Edital],0)),"")</f>
        <v>MUNICIPIO DE ILHABELA</v>
      </c>
      <c r="H8777" t="str">
        <f>IFERROR(INDEX(tEditais[UF],MATCH(tItens[[#This Row],[Edital]],tEditais[Edital],0)),"")</f>
        <v>SP</v>
      </c>
      <c r="I8777" s="11">
        <f>IFERROR(INDEX(tEditais[Encerramento],MATCH(tItens[[#This Row],[Edital]],tEditais[Edital],0)),"")</f>
        <v>46310.375</v>
      </c>
      <c r="J8777" t="str">
        <f>IFERROR(INDEX(tProdutos[Classe],MATCH(tItens[[#This Row],[Produto]],tProdutos[Produto],0)),"produto não cadastrado")</f>
        <v>FILA REBASE</v>
      </c>
      <c r="K8777" s="12">
        <f>tItens[[#This Row],[Qtd]]*tItens[[#This Row],[Vlr unit]]</f>
        <v>6114</v>
      </c>
      <c r="L8777" s="6">
        <f>IFERROR(IF(INDEX(tProdutos[Desconto homologado],MATCH(tItens[[#This Row],[Produto]],tProdutos[Produto],0))="",DescontoPadrao,INDEX(tProdutos[Desconto homologado],MATCH(tItens[[#This Row],[Produto]],tProdutos[Produto],0))),DescontoPadrao)</f>
        <v>0.36014625228519198</v>
      </c>
      <c r="M8777" s="12">
        <f>tItens[[#This Row],[Valor]]*(1-tItens[[#This Row],[Desconto]])</f>
        <v>3912.0658135283365</v>
      </c>
      <c r="N8777" t="str">
        <f>IFERROR(INDEX(tProdutos[Foco],MATCH(tItens[[#This Row],[Produto]],tProdutos[Produto],0)),"Não")</f>
        <v>Não</v>
      </c>
      <c r="O8777" t="str">
        <f>IFERROR(INDEX(tEditais[SRP],MATCH(tItens[[#This Row],[Edital]],tEditais[Edital],0)),"Não")</f>
        <v>Sim</v>
      </c>
      <c r="P8777" s="4">
        <f>IF(COUNTIFS(INDEX(tItens[Edital],1):tItens[[#This Row],[Edital]],tItens[[#This Row],[Edital]],INDEX(tItens[Produto],1):tItens[[#This Row],[Produto]],tItens[[#This Row],[Produto]])=1,1,0)</f>
        <v>1</v>
      </c>
    </row>
    <row r="8778" spans="1:16" x14ac:dyDescent="0.25">
      <c r="A8778" t="s">
        <v>2979</v>
      </c>
      <c r="B8778">
        <v>3</v>
      </c>
      <c r="C8778" t="s">
        <v>10086</v>
      </c>
      <c r="D8778" t="s">
        <v>120</v>
      </c>
      <c r="E8778" s="13">
        <v>1100</v>
      </c>
      <c r="F8778" s="12">
        <v>0</v>
      </c>
      <c r="G8778" t="str">
        <f>IFERROR(INDEX(tEditais[Órgão],MATCH(tItens[[#This Row],[Edital]],tEditais[Edital],0)),"")</f>
        <v>SECRETARIA DE ESTADO DA SAUDE</v>
      </c>
      <c r="H8778" t="str">
        <f>IFERROR(INDEX(tEditais[UF],MATCH(tItens[[#This Row],[Edital]],tEditais[Edital],0)),"")</f>
        <v>SP</v>
      </c>
      <c r="I8778" s="11">
        <f>IFERROR(INDEX(tEditais[Encerramento],MATCH(tItens[[#This Row],[Edital]],tEditais[Edital],0)),"")</f>
        <v>46310.375</v>
      </c>
      <c r="J8778" t="str">
        <f>IFERROR(INDEX(tProdutos[Classe],MATCH(tItens[[#This Row],[Produto]],tProdutos[Produto],0)),"produto não cadastrado")</f>
        <v>DISPUTADO</v>
      </c>
      <c r="K8778" s="12">
        <f>tItens[[#This Row],[Qtd]]*tItens[[#This Row],[Vlr unit]]</f>
        <v>0</v>
      </c>
      <c r="L8778" s="6">
        <f>IFERROR(IF(INDEX(tProdutos[Desconto homologado],MATCH(tItens[[#This Row],[Produto]],tProdutos[Produto],0))="",DescontoPadrao,INDEX(tProdutos[Desconto homologado],MATCH(tItens[[#This Row],[Produto]],tProdutos[Produto],0))),DescontoPadrao)</f>
        <v>0.40909090909090901</v>
      </c>
      <c r="M8778" s="12">
        <f>tItens[[#This Row],[Valor]]*(1-tItens[[#This Row],[Desconto]])</f>
        <v>0</v>
      </c>
      <c r="N8778" t="str">
        <f>IFERROR(INDEX(tProdutos[Foco],MATCH(tItens[[#This Row],[Produto]],tProdutos[Produto],0)),"Não")</f>
        <v>Não</v>
      </c>
      <c r="O8778" t="str">
        <f>IFERROR(INDEX(tEditais[SRP],MATCH(tItens[[#This Row],[Edital]],tEditais[Edital],0)),"Não")</f>
        <v>Não</v>
      </c>
      <c r="P8778" s="4">
        <f>IF(COUNTIFS(INDEX(tItens[Edital],1):tItens[[#This Row],[Edital]],tItens[[#This Row],[Edital]],INDEX(tItens[Produto],1):tItens[[#This Row],[Produto]],tItens[[#This Row],[Produto]])=1,1,0)</f>
        <v>1</v>
      </c>
    </row>
    <row r="8779" spans="1:16" x14ac:dyDescent="0.25">
      <c r="A8779" t="s">
        <v>2979</v>
      </c>
      <c r="B8779">
        <v>4</v>
      </c>
      <c r="C8779" t="s">
        <v>11175</v>
      </c>
      <c r="D8779" t="s">
        <v>120</v>
      </c>
      <c r="E8779" s="13">
        <v>2475</v>
      </c>
      <c r="F8779" s="12">
        <v>0</v>
      </c>
      <c r="G8779" t="str">
        <f>IFERROR(INDEX(tEditais[Órgão],MATCH(tItens[[#This Row],[Edital]],tEditais[Edital],0)),"")</f>
        <v>SECRETARIA DE ESTADO DA SAUDE</v>
      </c>
      <c r="H8779" t="str">
        <f>IFERROR(INDEX(tEditais[UF],MATCH(tItens[[#This Row],[Edital]],tEditais[Edital],0)),"")</f>
        <v>SP</v>
      </c>
      <c r="I8779" s="11">
        <f>IFERROR(INDEX(tEditais[Encerramento],MATCH(tItens[[#This Row],[Edital]],tEditais[Edital],0)),"")</f>
        <v>46310.375</v>
      </c>
      <c r="J8779" t="str">
        <f>IFERROR(INDEX(tProdutos[Classe],MATCH(tItens[[#This Row],[Produto]],tProdutos[Produto],0)),"produto não cadastrado")</f>
        <v>DISPUTADO</v>
      </c>
      <c r="K8779" s="12">
        <f>tItens[[#This Row],[Qtd]]*tItens[[#This Row],[Vlr unit]]</f>
        <v>0</v>
      </c>
      <c r="L8779" s="6">
        <f>IFERROR(IF(INDEX(tProdutos[Desconto homologado],MATCH(tItens[[#This Row],[Produto]],tProdutos[Produto],0))="",DescontoPadrao,INDEX(tProdutos[Desconto homologado],MATCH(tItens[[#This Row],[Produto]],tProdutos[Produto],0))),DescontoPadrao)</f>
        <v>0.40909090909090901</v>
      </c>
      <c r="M8779" s="12">
        <f>tItens[[#This Row],[Valor]]*(1-tItens[[#This Row],[Desconto]])</f>
        <v>0</v>
      </c>
      <c r="N8779" t="str">
        <f>IFERROR(INDEX(tProdutos[Foco],MATCH(tItens[[#This Row],[Produto]],tProdutos[Produto],0)),"Não")</f>
        <v>Não</v>
      </c>
      <c r="O8779" t="str">
        <f>IFERROR(INDEX(tEditais[SRP],MATCH(tItens[[#This Row],[Edital]],tEditais[Edital],0)),"Não")</f>
        <v>Não</v>
      </c>
      <c r="P8779" s="4">
        <f>IF(COUNTIFS(INDEX(tItens[Edital],1):tItens[[#This Row],[Edital]],tItens[[#This Row],[Edital]],INDEX(tItens[Produto],1):tItens[[#This Row],[Produto]],tItens[[#This Row],[Produto]])=1,1,0)</f>
        <v>0</v>
      </c>
    </row>
    <row r="8780" spans="1:16" x14ac:dyDescent="0.25">
      <c r="A8780" t="s">
        <v>2979</v>
      </c>
      <c r="B8780">
        <v>5</v>
      </c>
      <c r="C8780" t="s">
        <v>11176</v>
      </c>
      <c r="D8780" t="s">
        <v>120</v>
      </c>
      <c r="E8780" s="13">
        <v>4725</v>
      </c>
      <c r="F8780" s="12">
        <v>0</v>
      </c>
      <c r="G8780" t="str">
        <f>IFERROR(INDEX(tEditais[Órgão],MATCH(tItens[[#This Row],[Edital]],tEditais[Edital],0)),"")</f>
        <v>SECRETARIA DE ESTADO DA SAUDE</v>
      </c>
      <c r="H8780" t="str">
        <f>IFERROR(INDEX(tEditais[UF],MATCH(tItens[[#This Row],[Edital]],tEditais[Edital],0)),"")</f>
        <v>SP</v>
      </c>
      <c r="I8780" s="11">
        <f>IFERROR(INDEX(tEditais[Encerramento],MATCH(tItens[[#This Row],[Edital]],tEditais[Edital],0)),"")</f>
        <v>46310.375</v>
      </c>
      <c r="J8780" t="str">
        <f>IFERROR(INDEX(tProdutos[Classe],MATCH(tItens[[#This Row],[Produto]],tProdutos[Produto],0)),"produto não cadastrado")</f>
        <v>DISPUTADO</v>
      </c>
      <c r="K8780" s="12">
        <f>tItens[[#This Row],[Qtd]]*tItens[[#This Row],[Vlr unit]]</f>
        <v>0</v>
      </c>
      <c r="L8780" s="6">
        <f>IFERROR(IF(INDEX(tProdutos[Desconto homologado],MATCH(tItens[[#This Row],[Produto]],tProdutos[Produto],0))="",DescontoPadrao,INDEX(tProdutos[Desconto homologado],MATCH(tItens[[#This Row],[Produto]],tProdutos[Produto],0))),DescontoPadrao)</f>
        <v>0.40909090909090901</v>
      </c>
      <c r="M8780" s="12">
        <f>tItens[[#This Row],[Valor]]*(1-tItens[[#This Row],[Desconto]])</f>
        <v>0</v>
      </c>
      <c r="N8780" t="str">
        <f>IFERROR(INDEX(tProdutos[Foco],MATCH(tItens[[#This Row],[Produto]],tProdutos[Produto],0)),"Não")</f>
        <v>Não</v>
      </c>
      <c r="O8780" t="str">
        <f>IFERROR(INDEX(tEditais[SRP],MATCH(tItens[[#This Row],[Edital]],tEditais[Edital],0)),"Não")</f>
        <v>Não</v>
      </c>
      <c r="P8780" s="4">
        <f>IF(COUNTIFS(INDEX(tItens[Edital],1):tItens[[#This Row],[Edital]],tItens[[#This Row],[Edital]],INDEX(tItens[Produto],1):tItens[[#This Row],[Produto]],tItens[[#This Row],[Produto]])=1,1,0)</f>
        <v>0</v>
      </c>
    </row>
    <row r="8781" spans="1:16" x14ac:dyDescent="0.25">
      <c r="A8781" t="s">
        <v>2979</v>
      </c>
      <c r="B8781">
        <v>6</v>
      </c>
      <c r="C8781" t="s">
        <v>11175</v>
      </c>
      <c r="D8781" t="s">
        <v>120</v>
      </c>
      <c r="E8781" s="13">
        <v>825</v>
      </c>
      <c r="F8781" s="12">
        <v>0</v>
      </c>
      <c r="G8781" t="str">
        <f>IFERROR(INDEX(tEditais[Órgão],MATCH(tItens[[#This Row],[Edital]],tEditais[Edital],0)),"")</f>
        <v>SECRETARIA DE ESTADO DA SAUDE</v>
      </c>
      <c r="H8781" t="str">
        <f>IFERROR(INDEX(tEditais[UF],MATCH(tItens[[#This Row],[Edital]],tEditais[Edital],0)),"")</f>
        <v>SP</v>
      </c>
      <c r="I8781" s="11">
        <f>IFERROR(INDEX(tEditais[Encerramento],MATCH(tItens[[#This Row],[Edital]],tEditais[Edital],0)),"")</f>
        <v>46310.375</v>
      </c>
      <c r="J8781" t="str">
        <f>IFERROR(INDEX(tProdutos[Classe],MATCH(tItens[[#This Row],[Produto]],tProdutos[Produto],0)),"produto não cadastrado")</f>
        <v>DISPUTADO</v>
      </c>
      <c r="K8781" s="12">
        <f>tItens[[#This Row],[Qtd]]*tItens[[#This Row],[Vlr unit]]</f>
        <v>0</v>
      </c>
      <c r="L8781" s="6">
        <f>IFERROR(IF(INDEX(tProdutos[Desconto homologado],MATCH(tItens[[#This Row],[Produto]],tProdutos[Produto],0))="",DescontoPadrao,INDEX(tProdutos[Desconto homologado],MATCH(tItens[[#This Row],[Produto]],tProdutos[Produto],0))),DescontoPadrao)</f>
        <v>0.40909090909090901</v>
      </c>
      <c r="M8781" s="12">
        <f>tItens[[#This Row],[Valor]]*(1-tItens[[#This Row],[Desconto]])</f>
        <v>0</v>
      </c>
      <c r="N8781" t="str">
        <f>IFERROR(INDEX(tProdutos[Foco],MATCH(tItens[[#This Row],[Produto]],tProdutos[Produto],0)),"Não")</f>
        <v>Não</v>
      </c>
      <c r="O8781" t="str">
        <f>IFERROR(INDEX(tEditais[SRP],MATCH(tItens[[#This Row],[Edital]],tEditais[Edital],0)),"Não")</f>
        <v>Não</v>
      </c>
      <c r="P8781" s="4">
        <f>IF(COUNTIFS(INDEX(tItens[Edital],1):tItens[[#This Row],[Edital]],tItens[[#This Row],[Edital]],INDEX(tItens[Produto],1):tItens[[#This Row],[Produto]],tItens[[#This Row],[Produto]])=1,1,0)</f>
        <v>0</v>
      </c>
    </row>
    <row r="8782" spans="1:16" x14ac:dyDescent="0.25">
      <c r="A8782" t="s">
        <v>2979</v>
      </c>
      <c r="B8782">
        <v>7</v>
      </c>
      <c r="C8782" t="s">
        <v>11176</v>
      </c>
      <c r="D8782" t="s">
        <v>120</v>
      </c>
      <c r="E8782" s="13">
        <v>1575</v>
      </c>
      <c r="F8782" s="12">
        <v>0</v>
      </c>
      <c r="G8782" t="str">
        <f>IFERROR(INDEX(tEditais[Órgão],MATCH(tItens[[#This Row],[Edital]],tEditais[Edital],0)),"")</f>
        <v>SECRETARIA DE ESTADO DA SAUDE</v>
      </c>
      <c r="H8782" t="str">
        <f>IFERROR(INDEX(tEditais[UF],MATCH(tItens[[#This Row],[Edital]],tEditais[Edital],0)),"")</f>
        <v>SP</v>
      </c>
      <c r="I8782" s="11">
        <f>IFERROR(INDEX(tEditais[Encerramento],MATCH(tItens[[#This Row],[Edital]],tEditais[Edital],0)),"")</f>
        <v>46310.375</v>
      </c>
      <c r="J8782" t="str">
        <f>IFERROR(INDEX(tProdutos[Classe],MATCH(tItens[[#This Row],[Produto]],tProdutos[Produto],0)),"produto não cadastrado")</f>
        <v>DISPUTADO</v>
      </c>
      <c r="K8782" s="12">
        <f>tItens[[#This Row],[Qtd]]*tItens[[#This Row],[Vlr unit]]</f>
        <v>0</v>
      </c>
      <c r="L8782" s="6">
        <f>IFERROR(IF(INDEX(tProdutos[Desconto homologado],MATCH(tItens[[#This Row],[Produto]],tProdutos[Produto],0))="",DescontoPadrao,INDEX(tProdutos[Desconto homologado],MATCH(tItens[[#This Row],[Produto]],tProdutos[Produto],0))),DescontoPadrao)</f>
        <v>0.40909090909090901</v>
      </c>
      <c r="M8782" s="12">
        <f>tItens[[#This Row],[Valor]]*(1-tItens[[#This Row],[Desconto]])</f>
        <v>0</v>
      </c>
      <c r="N8782" t="str">
        <f>IFERROR(INDEX(tProdutos[Foco],MATCH(tItens[[#This Row],[Produto]],tProdutos[Produto],0)),"Não")</f>
        <v>Não</v>
      </c>
      <c r="O8782" t="str">
        <f>IFERROR(INDEX(tEditais[SRP],MATCH(tItens[[#This Row],[Edital]],tEditais[Edital],0)),"Não")</f>
        <v>Não</v>
      </c>
      <c r="P8782" s="4">
        <f>IF(COUNTIFS(INDEX(tItens[Edital],1):tItens[[#This Row],[Edital]],tItens[[#This Row],[Edital]],INDEX(tItens[Produto],1):tItens[[#This Row],[Produto]],tItens[[#This Row],[Produto]])=1,1,0)</f>
        <v>0</v>
      </c>
    </row>
    <row r="8783" spans="1:16" x14ac:dyDescent="0.25">
      <c r="A8783" t="s">
        <v>2982</v>
      </c>
      <c r="B8783">
        <v>1</v>
      </c>
      <c r="C8783" t="s">
        <v>7910</v>
      </c>
      <c r="D8783" t="s">
        <v>114</v>
      </c>
      <c r="E8783" s="13">
        <v>28800</v>
      </c>
      <c r="F8783" s="12">
        <v>0</v>
      </c>
      <c r="G8783" t="str">
        <f>IFERROR(INDEX(tEditais[Órgão],MATCH(tItens[[#This Row],[Edital]],tEditais[Edital],0)),"")</f>
        <v>INSTITUTO DE ASSISTENCIA MEDICA AO SERVIDOR PUBLICO ESTADUAL</v>
      </c>
      <c r="H8783" t="str">
        <f>IFERROR(INDEX(tEditais[UF],MATCH(tItens[[#This Row],[Edital]],tEditais[Edital],0)),"")</f>
        <v>SP</v>
      </c>
      <c r="I8783" s="11">
        <f>IFERROR(INDEX(tEditais[Encerramento],MATCH(tItens[[#This Row],[Edital]],tEditais[Edital],0)),"")</f>
        <v>46310.375</v>
      </c>
      <c r="J8783" t="str">
        <f>IFERROR(INDEX(tProdutos[Classe],MATCH(tItens[[#This Row],[Produto]],tProdutos[Produto],0)),"produto não cadastrado")</f>
        <v>DISPUTADO</v>
      </c>
      <c r="K8783" s="12">
        <f>tItens[[#This Row],[Qtd]]*tItens[[#This Row],[Vlr unit]]</f>
        <v>0</v>
      </c>
      <c r="L8783" s="6">
        <f>IFERROR(IF(INDEX(tProdutos[Desconto homologado],MATCH(tItens[[#This Row],[Produto]],tProdutos[Produto],0))="",DescontoPadrao,INDEX(tProdutos[Desconto homologado],MATCH(tItens[[#This Row],[Produto]],tProdutos[Produto],0))),DescontoPadrao)</f>
        <v>0.24332656063896899</v>
      </c>
      <c r="M8783" s="12">
        <f>tItens[[#This Row],[Valor]]*(1-tItens[[#This Row],[Desconto]])</f>
        <v>0</v>
      </c>
      <c r="N8783" t="str">
        <f>IFERROR(INDEX(tProdutos[Foco],MATCH(tItens[[#This Row],[Produto]],tProdutos[Produto],0)),"Não")</f>
        <v>Não</v>
      </c>
      <c r="O8783" t="str">
        <f>IFERROR(INDEX(tEditais[SRP],MATCH(tItens[[#This Row],[Edital]],tEditais[Edital],0)),"Não")</f>
        <v>Não</v>
      </c>
      <c r="P8783" s="4">
        <f>IF(COUNTIFS(INDEX(tItens[Edital],1):tItens[[#This Row],[Edital]],tItens[[#This Row],[Edital]],INDEX(tItens[Produto],1):tItens[[#This Row],[Produto]],tItens[[#This Row],[Produto]])=1,1,0)</f>
        <v>1</v>
      </c>
    </row>
    <row r="8784" spans="1:16" x14ac:dyDescent="0.25">
      <c r="A8784" t="s">
        <v>2985</v>
      </c>
      <c r="B8784">
        <v>6</v>
      </c>
      <c r="C8784" t="s">
        <v>11177</v>
      </c>
      <c r="D8784" t="s">
        <v>461</v>
      </c>
      <c r="E8784" s="13">
        <v>21318</v>
      </c>
      <c r="F8784" s="12">
        <v>0</v>
      </c>
      <c r="G8784" t="str">
        <f>IFERROR(INDEX(tEditais[Órgão],MATCH(tItens[[#This Row],[Edital]],tEditais[Edital],0)),"")</f>
        <v>HOSPITAL DAS CLINICAS DA FACULDADE DE MEDICINA DA U S P</v>
      </c>
      <c r="H8784" t="str">
        <f>IFERROR(INDEX(tEditais[UF],MATCH(tItens[[#This Row],[Edital]],tEditais[Edital],0)),"")</f>
        <v>SP</v>
      </c>
      <c r="I8784" s="11">
        <f>IFERROR(INDEX(tEditais[Encerramento],MATCH(tItens[[#This Row],[Edital]],tEditais[Edital],0)),"")</f>
        <v>46310.375</v>
      </c>
      <c r="J8784" t="str">
        <f>IFERROR(INDEX(tProdutos[Classe],MATCH(tItens[[#This Row],[Produto]],tProdutos[Produto],0)),"produto não cadastrado")</f>
        <v>FILA REBASE</v>
      </c>
      <c r="K8784" s="12">
        <f>tItens[[#This Row],[Qtd]]*tItens[[#This Row],[Vlr unit]]</f>
        <v>0</v>
      </c>
      <c r="L8784" s="6">
        <f>IFERROR(IF(INDEX(tProdutos[Desconto homologado],MATCH(tItens[[#This Row],[Produto]],tProdutos[Produto],0))="",DescontoPadrao,INDEX(tProdutos[Desconto homologado],MATCH(tItens[[#This Row],[Produto]],tProdutos[Produto],0))),DescontoPadrao)</f>
        <v>0.44096385542168698</v>
      </c>
      <c r="M8784" s="12">
        <f>tItens[[#This Row],[Valor]]*(1-tItens[[#This Row],[Desconto]])</f>
        <v>0</v>
      </c>
      <c r="N8784" t="str">
        <f>IFERROR(INDEX(tProdutos[Foco],MATCH(tItens[[#This Row],[Produto]],tProdutos[Produto],0)),"Não")</f>
        <v>Não</v>
      </c>
      <c r="O8784" t="str">
        <f>IFERROR(INDEX(tEditais[SRP],MATCH(tItens[[#This Row],[Edital]],tEditais[Edital],0)),"Não")</f>
        <v>Não</v>
      </c>
      <c r="P8784" s="4">
        <f>IF(COUNTIFS(INDEX(tItens[Edital],1):tItens[[#This Row],[Edital]],tItens[[#This Row],[Edital]],INDEX(tItens[Produto],1):tItens[[#This Row],[Produto]],tItens[[#This Row],[Produto]])=1,1,0)</f>
        <v>1</v>
      </c>
    </row>
    <row r="8785" spans="1:16" x14ac:dyDescent="0.25">
      <c r="A8785" t="s">
        <v>2988</v>
      </c>
      <c r="B8785">
        <v>2</v>
      </c>
      <c r="C8785" t="s">
        <v>11178</v>
      </c>
      <c r="D8785" t="s">
        <v>339</v>
      </c>
      <c r="E8785" s="13">
        <v>3600</v>
      </c>
      <c r="F8785" s="12">
        <v>2.62</v>
      </c>
      <c r="G8785" t="str">
        <f>IFERROR(INDEX(tEditais[Órgão],MATCH(tItens[[#This Row],[Edital]],tEditais[Edital],0)),"")</f>
        <v>MUNICIPIO DE SAO BERNARDO DO CAMPO</v>
      </c>
      <c r="H8785" t="str">
        <f>IFERROR(INDEX(tEditais[UF],MATCH(tItens[[#This Row],[Edital]],tEditais[Edital],0)),"")</f>
        <v>SP</v>
      </c>
      <c r="I8785" s="11">
        <f>IFERROR(INDEX(tEditais[Encerramento],MATCH(tItens[[#This Row],[Edital]],tEditais[Edital],0)),"")</f>
        <v>46310.375</v>
      </c>
      <c r="J8785" t="str">
        <f>IFERROR(INDEX(tProdutos[Classe],MATCH(tItens[[#This Row],[Produto]],tProdutos[Produto],0)),"produto não cadastrado")</f>
        <v>FORA</v>
      </c>
      <c r="K8785" s="12">
        <f>tItens[[#This Row],[Qtd]]*tItens[[#This Row],[Vlr unit]]</f>
        <v>9432</v>
      </c>
      <c r="L8785" s="6">
        <f>IFERROR(IF(INDEX(tProdutos[Desconto homologado],MATCH(tItens[[#This Row],[Produto]],tProdutos[Produto],0))="",DescontoPadrao,INDEX(tProdutos[Desconto homologado],MATCH(tItens[[#This Row],[Produto]],tProdutos[Produto],0))),DescontoPadrao)</f>
        <v>0.35388629091804102</v>
      </c>
      <c r="M8785" s="12">
        <f>tItens[[#This Row],[Valor]]*(1-tItens[[#This Row],[Desconto]])</f>
        <v>6094.144504061037</v>
      </c>
      <c r="N8785" t="str">
        <f>IFERROR(INDEX(tProdutos[Foco],MATCH(tItens[[#This Row],[Produto]],tProdutos[Produto],0)),"Não")</f>
        <v>Não</v>
      </c>
      <c r="O8785" t="str">
        <f>IFERROR(INDEX(tEditais[SRP],MATCH(tItens[[#This Row],[Edital]],tEditais[Edital],0)),"Não")</f>
        <v>Sim</v>
      </c>
      <c r="P8785" s="4">
        <f>IF(COUNTIFS(INDEX(tItens[Edital],1):tItens[[#This Row],[Edital]],tItens[[#This Row],[Edital]],INDEX(tItens[Produto],1):tItens[[#This Row],[Produto]],tItens[[#This Row],[Produto]])=1,1,0)</f>
        <v>1</v>
      </c>
    </row>
    <row r="8786" spans="1:16" x14ac:dyDescent="0.25">
      <c r="A8786" t="s">
        <v>2990</v>
      </c>
      <c r="B8786">
        <v>1</v>
      </c>
      <c r="C8786" t="s">
        <v>11179</v>
      </c>
      <c r="D8786" t="s">
        <v>345</v>
      </c>
      <c r="E8786" s="13">
        <v>30000</v>
      </c>
      <c r="F8786" s="12">
        <v>4.72</v>
      </c>
      <c r="G8786" t="str">
        <f>IFERROR(INDEX(tEditais[Órgão],MATCH(tItens[[#This Row],[Edital]],tEditais[Edital],0)),"")</f>
        <v>MUNICIPIO DE NOVA CAMPINA</v>
      </c>
      <c r="H8786" t="str">
        <f>IFERROR(INDEX(tEditais[UF],MATCH(tItens[[#This Row],[Edital]],tEditais[Edital],0)),"")</f>
        <v>SP</v>
      </c>
      <c r="I8786" s="11">
        <f>IFERROR(INDEX(tEditais[Encerramento],MATCH(tItens[[#This Row],[Edital]],tEditais[Edital],0)),"")</f>
        <v>46310.375</v>
      </c>
      <c r="J8786" t="str">
        <f>IFERROR(INDEX(tProdutos[Classe],MATCH(tItens[[#This Row],[Produto]],tProdutos[Produto],0)),"produto não cadastrado")</f>
        <v>FORA</v>
      </c>
      <c r="K8786" s="12">
        <f>tItens[[#This Row],[Qtd]]*tItens[[#This Row],[Vlr unit]]</f>
        <v>141600</v>
      </c>
      <c r="L8786" s="6">
        <f>IFERROR(IF(INDEX(tProdutos[Desconto homologado],MATCH(tItens[[#This Row],[Produto]],tProdutos[Produto],0))="",DescontoPadrao,INDEX(tProdutos[Desconto homologado],MATCH(tItens[[#This Row],[Produto]],tProdutos[Produto],0))),DescontoPadrao)</f>
        <v>0.412394275616498</v>
      </c>
      <c r="M8786" s="12">
        <f>tItens[[#This Row],[Valor]]*(1-tItens[[#This Row],[Desconto]])</f>
        <v>83204.970572703882</v>
      </c>
      <c r="N8786" t="str">
        <f>IFERROR(INDEX(tProdutos[Foco],MATCH(tItens[[#This Row],[Produto]],tProdutos[Produto],0)),"Não")</f>
        <v>Não</v>
      </c>
      <c r="O8786" t="str">
        <f>IFERROR(INDEX(tEditais[SRP],MATCH(tItens[[#This Row],[Edital]],tEditais[Edital],0)),"Não")</f>
        <v>Não</v>
      </c>
      <c r="P8786" s="4">
        <f>IF(COUNTIFS(INDEX(tItens[Edital],1):tItens[[#This Row],[Edital]],tItens[[#This Row],[Edital]],INDEX(tItens[Produto],1):tItens[[#This Row],[Produto]],tItens[[#This Row],[Produto]])=1,1,0)</f>
        <v>1</v>
      </c>
    </row>
    <row r="8787" spans="1:16" x14ac:dyDescent="0.25">
      <c r="A8787" t="s">
        <v>2990</v>
      </c>
      <c r="B8787">
        <v>2</v>
      </c>
      <c r="C8787" t="s">
        <v>11180</v>
      </c>
      <c r="D8787" t="s">
        <v>345</v>
      </c>
      <c r="E8787" s="13">
        <v>80000</v>
      </c>
      <c r="F8787" s="12">
        <v>4.3899999999999997</v>
      </c>
      <c r="G8787" t="str">
        <f>IFERROR(INDEX(tEditais[Órgão],MATCH(tItens[[#This Row],[Edital]],tEditais[Edital],0)),"")</f>
        <v>MUNICIPIO DE NOVA CAMPINA</v>
      </c>
      <c r="H8787" t="str">
        <f>IFERROR(INDEX(tEditais[UF],MATCH(tItens[[#This Row],[Edital]],tEditais[Edital],0)),"")</f>
        <v>SP</v>
      </c>
      <c r="I8787" s="11">
        <f>IFERROR(INDEX(tEditais[Encerramento],MATCH(tItens[[#This Row],[Edital]],tEditais[Edital],0)),"")</f>
        <v>46310.375</v>
      </c>
      <c r="J8787" t="str">
        <f>IFERROR(INDEX(tProdutos[Classe],MATCH(tItens[[#This Row],[Produto]],tProdutos[Produto],0)),"produto não cadastrado")</f>
        <v>FORA</v>
      </c>
      <c r="K8787" s="12">
        <f>tItens[[#This Row],[Qtd]]*tItens[[#This Row],[Vlr unit]]</f>
        <v>351200</v>
      </c>
      <c r="L8787" s="6">
        <f>IFERROR(IF(INDEX(tProdutos[Desconto homologado],MATCH(tItens[[#This Row],[Produto]],tProdutos[Produto],0))="",DescontoPadrao,INDEX(tProdutos[Desconto homologado],MATCH(tItens[[#This Row],[Produto]],tProdutos[Produto],0))),DescontoPadrao)</f>
        <v>0.412394275616498</v>
      </c>
      <c r="M8787" s="12">
        <f>tItens[[#This Row],[Valor]]*(1-tItens[[#This Row],[Desconto]])</f>
        <v>206367.13040348591</v>
      </c>
      <c r="N8787" t="str">
        <f>IFERROR(INDEX(tProdutos[Foco],MATCH(tItens[[#This Row],[Produto]],tProdutos[Produto],0)),"Não")</f>
        <v>Não</v>
      </c>
      <c r="O8787" t="str">
        <f>IFERROR(INDEX(tEditais[SRP],MATCH(tItens[[#This Row],[Edital]],tEditais[Edital],0)),"Não")</f>
        <v>Não</v>
      </c>
      <c r="P8787" s="4">
        <f>IF(COUNTIFS(INDEX(tItens[Edital],1):tItens[[#This Row],[Edital]],tItens[[#This Row],[Edital]],INDEX(tItens[Produto],1):tItens[[#This Row],[Produto]],tItens[[#This Row],[Produto]])=1,1,0)</f>
        <v>0</v>
      </c>
    </row>
    <row r="8788" spans="1:16" x14ac:dyDescent="0.25">
      <c r="A8788" t="s">
        <v>2994</v>
      </c>
      <c r="B8788">
        <v>1</v>
      </c>
      <c r="C8788" t="s">
        <v>11181</v>
      </c>
      <c r="D8788" t="s">
        <v>229</v>
      </c>
      <c r="E8788" s="13">
        <v>35</v>
      </c>
      <c r="F8788" s="12">
        <v>0</v>
      </c>
      <c r="G8788" t="str">
        <f>IFERROR(INDEX(tEditais[Órgão],MATCH(tItens[[#This Row],[Edital]],tEditais[Edital],0)),"")</f>
        <v>HOSPITAL DO SERVIDOR PUBLICO MUNICIPAL</v>
      </c>
      <c r="H8788" t="str">
        <f>IFERROR(INDEX(tEditais[UF],MATCH(tItens[[#This Row],[Edital]],tEditais[Edital],0)),"")</f>
        <v>SP</v>
      </c>
      <c r="I8788" s="11">
        <f>IFERROR(INDEX(tEditais[Encerramento],MATCH(tItens[[#This Row],[Edital]],tEditais[Edital],0)),"")</f>
        <v>46310.375</v>
      </c>
      <c r="J8788" t="str">
        <f>IFERROR(INDEX(tProdutos[Classe],MATCH(tItens[[#This Row],[Produto]],tProdutos[Produto],0)),"produto não cadastrado")</f>
        <v>FORA</v>
      </c>
      <c r="K8788" s="12">
        <f>tItens[[#This Row],[Qtd]]*tItens[[#This Row],[Vlr unit]]</f>
        <v>0</v>
      </c>
      <c r="L8788" s="6">
        <f>IFERROR(IF(INDEX(tProdutos[Desconto homologado],MATCH(tItens[[#This Row],[Produto]],tProdutos[Produto],0))="",DescontoPadrao,INDEX(tProdutos[Desconto homologado],MATCH(tItens[[#This Row],[Produto]],tProdutos[Produto],0))),DescontoPadrao)</f>
        <v>0.33093491191658198</v>
      </c>
      <c r="M8788" s="12">
        <f>tItens[[#This Row],[Valor]]*(1-tItens[[#This Row],[Desconto]])</f>
        <v>0</v>
      </c>
      <c r="N8788" t="str">
        <f>IFERROR(INDEX(tProdutos[Foco],MATCH(tItens[[#This Row],[Produto]],tProdutos[Produto],0)),"Não")</f>
        <v>Não</v>
      </c>
      <c r="O8788" t="str">
        <f>IFERROR(INDEX(tEditais[SRP],MATCH(tItens[[#This Row],[Edital]],tEditais[Edital],0)),"Não")</f>
        <v>Não</v>
      </c>
      <c r="P8788" s="4">
        <f>IF(COUNTIFS(INDEX(tItens[Edital],1):tItens[[#This Row],[Edital]],tItens[[#This Row],[Edital]],INDEX(tItens[Produto],1):tItens[[#This Row],[Produto]],tItens[[#This Row],[Produto]])=1,1,0)</f>
        <v>1</v>
      </c>
    </row>
    <row r="8789" spans="1:16" x14ac:dyDescent="0.25">
      <c r="A8789" t="s">
        <v>2998</v>
      </c>
      <c r="B8789">
        <v>1</v>
      </c>
      <c r="C8789" t="s">
        <v>11182</v>
      </c>
      <c r="D8789" t="s">
        <v>289</v>
      </c>
      <c r="E8789" s="13">
        <v>1</v>
      </c>
      <c r="F8789" s="12">
        <v>0.62</v>
      </c>
      <c r="G8789" t="str">
        <f>IFERROR(INDEX(tEditais[Órgão],MATCH(tItens[[#This Row],[Edital]],tEditais[Edital],0)),"")</f>
        <v>MUNICIPIO DE JUNDIAI</v>
      </c>
      <c r="H8789" t="str">
        <f>IFERROR(INDEX(tEditais[UF],MATCH(tItens[[#This Row],[Edital]],tEditais[Edital],0)),"")</f>
        <v>SP</v>
      </c>
      <c r="I8789" s="11">
        <f>IFERROR(INDEX(tEditais[Encerramento],MATCH(tItens[[#This Row],[Edital]],tEditais[Edital],0)),"")</f>
        <v>46310.375</v>
      </c>
      <c r="J8789" t="str">
        <f>IFERROR(INDEX(tProdutos[Classe],MATCH(tItens[[#This Row],[Produto]],tProdutos[Produto],0)),"produto não cadastrado")</f>
        <v>DISPUTADO</v>
      </c>
      <c r="K8789" s="12">
        <f>tItens[[#This Row],[Qtd]]*tItens[[#This Row],[Vlr unit]]</f>
        <v>0.62</v>
      </c>
      <c r="L8789" s="6">
        <f>IFERROR(IF(INDEX(tProdutos[Desconto homologado],MATCH(tItens[[#This Row],[Produto]],tProdutos[Produto],0))="",DescontoPadrao,INDEX(tProdutos[Desconto homologado],MATCH(tItens[[#This Row],[Produto]],tProdutos[Produto],0))),DescontoPadrao)</f>
        <v>0.35849056603773599</v>
      </c>
      <c r="M8789" s="12">
        <f>tItens[[#This Row],[Valor]]*(1-tItens[[#This Row],[Desconto]])</f>
        <v>0.3977358490566037</v>
      </c>
      <c r="N8789" t="str">
        <f>IFERROR(INDEX(tProdutos[Foco],MATCH(tItens[[#This Row],[Produto]],tProdutos[Produto],0)),"Não")</f>
        <v>Não</v>
      </c>
      <c r="O8789" t="str">
        <f>IFERROR(INDEX(tEditais[SRP],MATCH(tItens[[#This Row],[Edital]],tEditais[Edital],0)),"Não")</f>
        <v>Não</v>
      </c>
      <c r="P8789" s="4">
        <f>IF(COUNTIFS(INDEX(tItens[Edital],1):tItens[[#This Row],[Edital]],tItens[[#This Row],[Edital]],INDEX(tItens[Produto],1):tItens[[#This Row],[Produto]],tItens[[#This Row],[Produto]])=1,1,0)</f>
        <v>1</v>
      </c>
    </row>
    <row r="8790" spans="1:16" x14ac:dyDescent="0.25">
      <c r="A8790" t="s">
        <v>2998</v>
      </c>
      <c r="B8790">
        <v>2</v>
      </c>
      <c r="C8790" t="s">
        <v>11183</v>
      </c>
      <c r="D8790" t="s">
        <v>289</v>
      </c>
      <c r="E8790" s="13">
        <v>1</v>
      </c>
      <c r="F8790" s="12">
        <v>0.62</v>
      </c>
      <c r="G8790" t="str">
        <f>IFERROR(INDEX(tEditais[Órgão],MATCH(tItens[[#This Row],[Edital]],tEditais[Edital],0)),"")</f>
        <v>MUNICIPIO DE JUNDIAI</v>
      </c>
      <c r="H8790" t="str">
        <f>IFERROR(INDEX(tEditais[UF],MATCH(tItens[[#This Row],[Edital]],tEditais[Edital],0)),"")</f>
        <v>SP</v>
      </c>
      <c r="I8790" s="11">
        <f>IFERROR(INDEX(tEditais[Encerramento],MATCH(tItens[[#This Row],[Edital]],tEditais[Edital],0)),"")</f>
        <v>46310.375</v>
      </c>
      <c r="J8790" t="str">
        <f>IFERROR(INDEX(tProdutos[Classe],MATCH(tItens[[#This Row],[Produto]],tProdutos[Produto],0)),"produto não cadastrado")</f>
        <v>DISPUTADO</v>
      </c>
      <c r="K8790" s="12">
        <f>tItens[[#This Row],[Qtd]]*tItens[[#This Row],[Vlr unit]]</f>
        <v>0.62</v>
      </c>
      <c r="L8790" s="6">
        <f>IFERROR(IF(INDEX(tProdutos[Desconto homologado],MATCH(tItens[[#This Row],[Produto]],tProdutos[Produto],0))="",DescontoPadrao,INDEX(tProdutos[Desconto homologado],MATCH(tItens[[#This Row],[Produto]],tProdutos[Produto],0))),DescontoPadrao)</f>
        <v>0.35849056603773599</v>
      </c>
      <c r="M8790" s="12">
        <f>tItens[[#This Row],[Valor]]*(1-tItens[[#This Row],[Desconto]])</f>
        <v>0.3977358490566037</v>
      </c>
      <c r="N8790" t="str">
        <f>IFERROR(INDEX(tProdutos[Foco],MATCH(tItens[[#This Row],[Produto]],tProdutos[Produto],0)),"Não")</f>
        <v>Não</v>
      </c>
      <c r="O8790" t="str">
        <f>IFERROR(INDEX(tEditais[SRP],MATCH(tItens[[#This Row],[Edital]],tEditais[Edital],0)),"Não")</f>
        <v>Não</v>
      </c>
      <c r="P8790" s="4">
        <f>IF(COUNTIFS(INDEX(tItens[Edital],1):tItens[[#This Row],[Edital]],tItens[[#This Row],[Edital]],INDEX(tItens[Produto],1):tItens[[#This Row],[Produto]],tItens[[#This Row],[Produto]])=1,1,0)</f>
        <v>0</v>
      </c>
    </row>
    <row r="8791" spans="1:16" x14ac:dyDescent="0.25">
      <c r="A8791" t="s">
        <v>2998</v>
      </c>
      <c r="B8791">
        <v>3</v>
      </c>
      <c r="C8791" t="s">
        <v>11184</v>
      </c>
      <c r="D8791" t="s">
        <v>281</v>
      </c>
      <c r="E8791" s="13">
        <v>1</v>
      </c>
      <c r="F8791" s="12">
        <v>0.31</v>
      </c>
      <c r="G8791" t="str">
        <f>IFERROR(INDEX(tEditais[Órgão],MATCH(tItens[[#This Row],[Edital]],tEditais[Edital],0)),"")</f>
        <v>MUNICIPIO DE JUNDIAI</v>
      </c>
      <c r="H8791" t="str">
        <f>IFERROR(INDEX(tEditais[UF],MATCH(tItens[[#This Row],[Edital]],tEditais[Edital],0)),"")</f>
        <v>SP</v>
      </c>
      <c r="I8791" s="11">
        <f>IFERROR(INDEX(tEditais[Encerramento],MATCH(tItens[[#This Row],[Edital]],tEditais[Edital],0)),"")</f>
        <v>46310.375</v>
      </c>
      <c r="J8791" t="str">
        <f>IFERROR(INDEX(tProdutos[Classe],MATCH(tItens[[#This Row],[Produto]],tProdutos[Produto],0)),"produto não cadastrado")</f>
        <v>DISPUTADO</v>
      </c>
      <c r="K8791" s="12">
        <f>tItens[[#This Row],[Qtd]]*tItens[[#This Row],[Vlr unit]]</f>
        <v>0.31</v>
      </c>
      <c r="L8791" s="6">
        <f>IFERROR(IF(INDEX(tProdutos[Desconto homologado],MATCH(tItens[[#This Row],[Produto]],tProdutos[Produto],0))="",DescontoPadrao,INDEX(tProdutos[Desconto homologado],MATCH(tItens[[#This Row],[Produto]],tProdutos[Produto],0))),DescontoPadrao)</f>
        <v>0.42461538461538501</v>
      </c>
      <c r="M8791" s="12">
        <f>tItens[[#This Row],[Valor]]*(1-tItens[[#This Row],[Desconto]])</f>
        <v>0.17836923076923064</v>
      </c>
      <c r="N8791" t="str">
        <f>IFERROR(INDEX(tProdutos[Foco],MATCH(tItens[[#This Row],[Produto]],tProdutos[Produto],0)),"Não")</f>
        <v>Não</v>
      </c>
      <c r="O8791" t="str">
        <f>IFERROR(INDEX(tEditais[SRP],MATCH(tItens[[#This Row],[Edital]],tEditais[Edital],0)),"Não")</f>
        <v>Não</v>
      </c>
      <c r="P8791" s="4">
        <f>IF(COUNTIFS(INDEX(tItens[Edital],1):tItens[[#This Row],[Edital]],tItens[[#This Row],[Edital]],INDEX(tItens[Produto],1):tItens[[#This Row],[Produto]],tItens[[#This Row],[Produto]])=1,1,0)</f>
        <v>1</v>
      </c>
    </row>
    <row r="8792" spans="1:16" x14ac:dyDescent="0.25">
      <c r="A8792" t="s">
        <v>2998</v>
      </c>
      <c r="B8792">
        <v>4</v>
      </c>
      <c r="C8792" t="s">
        <v>11185</v>
      </c>
      <c r="D8792" t="s">
        <v>281</v>
      </c>
      <c r="E8792" s="13">
        <v>1</v>
      </c>
      <c r="F8792" s="12">
        <v>0.31</v>
      </c>
      <c r="G8792" t="str">
        <f>IFERROR(INDEX(tEditais[Órgão],MATCH(tItens[[#This Row],[Edital]],tEditais[Edital],0)),"")</f>
        <v>MUNICIPIO DE JUNDIAI</v>
      </c>
      <c r="H8792" t="str">
        <f>IFERROR(INDEX(tEditais[UF],MATCH(tItens[[#This Row],[Edital]],tEditais[Edital],0)),"")</f>
        <v>SP</v>
      </c>
      <c r="I8792" s="11">
        <f>IFERROR(INDEX(tEditais[Encerramento],MATCH(tItens[[#This Row],[Edital]],tEditais[Edital],0)),"")</f>
        <v>46310.375</v>
      </c>
      <c r="J8792" t="str">
        <f>IFERROR(INDEX(tProdutos[Classe],MATCH(tItens[[#This Row],[Produto]],tProdutos[Produto],0)),"produto não cadastrado")</f>
        <v>DISPUTADO</v>
      </c>
      <c r="K8792" s="12">
        <f>tItens[[#This Row],[Qtd]]*tItens[[#This Row],[Vlr unit]]</f>
        <v>0.31</v>
      </c>
      <c r="L8792" s="6">
        <f>IFERROR(IF(INDEX(tProdutos[Desconto homologado],MATCH(tItens[[#This Row],[Produto]],tProdutos[Produto],0))="",DescontoPadrao,INDEX(tProdutos[Desconto homologado],MATCH(tItens[[#This Row],[Produto]],tProdutos[Produto],0))),DescontoPadrao)</f>
        <v>0.42461538461538501</v>
      </c>
      <c r="M8792" s="12">
        <f>tItens[[#This Row],[Valor]]*(1-tItens[[#This Row],[Desconto]])</f>
        <v>0.17836923076923064</v>
      </c>
      <c r="N8792" t="str">
        <f>IFERROR(INDEX(tProdutos[Foco],MATCH(tItens[[#This Row],[Produto]],tProdutos[Produto],0)),"Não")</f>
        <v>Não</v>
      </c>
      <c r="O8792" t="str">
        <f>IFERROR(INDEX(tEditais[SRP],MATCH(tItens[[#This Row],[Edital]],tEditais[Edital],0)),"Não")</f>
        <v>Não</v>
      </c>
      <c r="P8792" s="4">
        <f>IF(COUNTIFS(INDEX(tItens[Edital],1):tItens[[#This Row],[Edital]],tItens[[#This Row],[Edital]],INDEX(tItens[Produto],1):tItens[[#This Row],[Produto]],tItens[[#This Row],[Produto]])=1,1,0)</f>
        <v>0</v>
      </c>
    </row>
    <row r="8793" spans="1:16" x14ac:dyDescent="0.25">
      <c r="A8793" t="s">
        <v>2998</v>
      </c>
      <c r="B8793">
        <v>5</v>
      </c>
      <c r="C8793" t="s">
        <v>11186</v>
      </c>
      <c r="D8793" t="s">
        <v>283</v>
      </c>
      <c r="E8793" s="13">
        <v>1</v>
      </c>
      <c r="F8793" s="12">
        <v>0.55000000000000004</v>
      </c>
      <c r="G8793" t="str">
        <f>IFERROR(INDEX(tEditais[Órgão],MATCH(tItens[[#This Row],[Edital]],tEditais[Edital],0)),"")</f>
        <v>MUNICIPIO DE JUNDIAI</v>
      </c>
      <c r="H8793" t="str">
        <f>IFERROR(INDEX(tEditais[UF],MATCH(tItens[[#This Row],[Edital]],tEditais[Edital],0)),"")</f>
        <v>SP</v>
      </c>
      <c r="I8793" s="11">
        <f>IFERROR(INDEX(tEditais[Encerramento],MATCH(tItens[[#This Row],[Edital]],tEditais[Edital],0)),"")</f>
        <v>46310.375</v>
      </c>
      <c r="J8793" t="str">
        <f>IFERROR(INDEX(tProdutos[Classe],MATCH(tItens[[#This Row],[Produto]],tProdutos[Produto],0)),"produto não cadastrado")</f>
        <v>FORA</v>
      </c>
      <c r="K8793" s="12">
        <f>tItens[[#This Row],[Qtd]]*tItens[[#This Row],[Vlr unit]]</f>
        <v>0.55000000000000004</v>
      </c>
      <c r="L8793" s="6">
        <f>IFERROR(IF(INDEX(tProdutos[Desconto homologado],MATCH(tItens[[#This Row],[Produto]],tProdutos[Produto],0))="",DescontoPadrao,INDEX(tProdutos[Desconto homologado],MATCH(tItens[[#This Row],[Produto]],tProdutos[Produto],0))),DescontoPadrao)</f>
        <v>0.40540540540540498</v>
      </c>
      <c r="M8793" s="12">
        <f>tItens[[#This Row],[Valor]]*(1-tItens[[#This Row],[Desconto]])</f>
        <v>0.32702702702702724</v>
      </c>
      <c r="N8793" t="str">
        <f>IFERROR(INDEX(tProdutos[Foco],MATCH(tItens[[#This Row],[Produto]],tProdutos[Produto],0)),"Não")</f>
        <v>Não</v>
      </c>
      <c r="O8793" t="str">
        <f>IFERROR(INDEX(tEditais[SRP],MATCH(tItens[[#This Row],[Edital]],tEditais[Edital],0)),"Não")</f>
        <v>Não</v>
      </c>
      <c r="P8793" s="4">
        <f>IF(COUNTIFS(INDEX(tItens[Edital],1):tItens[[#This Row],[Edital]],tItens[[#This Row],[Edital]],INDEX(tItens[Produto],1):tItens[[#This Row],[Produto]],tItens[[#This Row],[Produto]])=1,1,0)</f>
        <v>1</v>
      </c>
    </row>
    <row r="8794" spans="1:16" x14ac:dyDescent="0.25">
      <c r="A8794" t="s">
        <v>2998</v>
      </c>
      <c r="B8794">
        <v>6</v>
      </c>
      <c r="C8794" t="s">
        <v>11187</v>
      </c>
      <c r="D8794" t="s">
        <v>283</v>
      </c>
      <c r="E8794" s="13">
        <v>1</v>
      </c>
      <c r="F8794" s="12">
        <v>0.55000000000000004</v>
      </c>
      <c r="G8794" t="str">
        <f>IFERROR(INDEX(tEditais[Órgão],MATCH(tItens[[#This Row],[Edital]],tEditais[Edital],0)),"")</f>
        <v>MUNICIPIO DE JUNDIAI</v>
      </c>
      <c r="H8794" t="str">
        <f>IFERROR(INDEX(tEditais[UF],MATCH(tItens[[#This Row],[Edital]],tEditais[Edital],0)),"")</f>
        <v>SP</v>
      </c>
      <c r="I8794" s="11">
        <f>IFERROR(INDEX(tEditais[Encerramento],MATCH(tItens[[#This Row],[Edital]],tEditais[Edital],0)),"")</f>
        <v>46310.375</v>
      </c>
      <c r="J8794" t="str">
        <f>IFERROR(INDEX(tProdutos[Classe],MATCH(tItens[[#This Row],[Produto]],tProdutos[Produto],0)),"produto não cadastrado")</f>
        <v>FORA</v>
      </c>
      <c r="K8794" s="12">
        <f>tItens[[#This Row],[Qtd]]*tItens[[#This Row],[Vlr unit]]</f>
        <v>0.55000000000000004</v>
      </c>
      <c r="L8794" s="6">
        <f>IFERROR(IF(INDEX(tProdutos[Desconto homologado],MATCH(tItens[[#This Row],[Produto]],tProdutos[Produto],0))="",DescontoPadrao,INDEX(tProdutos[Desconto homologado],MATCH(tItens[[#This Row],[Produto]],tProdutos[Produto],0))),DescontoPadrao)</f>
        <v>0.40540540540540498</v>
      </c>
      <c r="M8794" s="12">
        <f>tItens[[#This Row],[Valor]]*(1-tItens[[#This Row],[Desconto]])</f>
        <v>0.32702702702702724</v>
      </c>
      <c r="N8794" t="str">
        <f>IFERROR(INDEX(tProdutos[Foco],MATCH(tItens[[#This Row],[Produto]],tProdutos[Produto],0)),"Não")</f>
        <v>Não</v>
      </c>
      <c r="O8794" t="str">
        <f>IFERROR(INDEX(tEditais[SRP],MATCH(tItens[[#This Row],[Edital]],tEditais[Edital],0)),"Não")</f>
        <v>Não</v>
      </c>
      <c r="P8794" s="4">
        <f>IF(COUNTIFS(INDEX(tItens[Edital],1):tItens[[#This Row],[Edital]],tItens[[#This Row],[Edital]],INDEX(tItens[Produto],1):tItens[[#This Row],[Produto]],tItens[[#This Row],[Produto]])=1,1,0)</f>
        <v>0</v>
      </c>
    </row>
    <row r="8795" spans="1:16" x14ac:dyDescent="0.25">
      <c r="A8795" t="s">
        <v>3001</v>
      </c>
      <c r="B8795">
        <v>4</v>
      </c>
      <c r="C8795" t="s">
        <v>3239</v>
      </c>
      <c r="D8795" t="s">
        <v>71</v>
      </c>
      <c r="E8795" s="13">
        <v>4</v>
      </c>
      <c r="F8795" s="12">
        <v>33.840000000000003</v>
      </c>
      <c r="G8795" t="str">
        <f>IFERROR(INDEX(tEditais[Órgão],MATCH(tItens[[#This Row],[Edital]],tEditais[Edital],0)),"")</f>
        <v>SAO PAULO SECRETARIA DA SEGURANCA PUBLICA</v>
      </c>
      <c r="H8795" t="str">
        <f>IFERROR(INDEX(tEditais[UF],MATCH(tItens[[#This Row],[Edital]],tEditais[Edital],0)),"")</f>
        <v>SP</v>
      </c>
      <c r="I8795" s="11">
        <f>IFERROR(INDEX(tEditais[Encerramento],MATCH(tItens[[#This Row],[Edital]],tEditais[Edital],0)),"")</f>
        <v>46310.375</v>
      </c>
      <c r="J8795" t="str">
        <f>IFERROR(INDEX(tProdutos[Classe],MATCH(tItens[[#This Row],[Produto]],tProdutos[Produto],0)),"produto não cadastrado")</f>
        <v>NÚCLEO</v>
      </c>
      <c r="K8795" s="12">
        <f>tItens[[#This Row],[Qtd]]*tItens[[#This Row],[Vlr unit]]</f>
        <v>135.36000000000001</v>
      </c>
      <c r="L8795" s="6">
        <f>IFERROR(IF(INDEX(tProdutos[Desconto homologado],MATCH(tItens[[#This Row],[Produto]],tProdutos[Produto],0))="",DescontoPadrao,INDEX(tProdutos[Desconto homologado],MATCH(tItens[[#This Row],[Produto]],tProdutos[Produto],0))),DescontoPadrao)</f>
        <v>0.44981412639405199</v>
      </c>
      <c r="M8795" s="12">
        <f>tItens[[#This Row],[Valor]]*(1-tItens[[#This Row],[Desconto]])</f>
        <v>74.473159851301119</v>
      </c>
      <c r="N8795" t="str">
        <f>IFERROR(INDEX(tProdutos[Foco],MATCH(tItens[[#This Row],[Produto]],tProdutos[Produto],0)),"Não")</f>
        <v>Não</v>
      </c>
      <c r="O8795" t="str">
        <f>IFERROR(INDEX(tEditais[SRP],MATCH(tItens[[#This Row],[Edital]],tEditais[Edital],0)),"Não")</f>
        <v>Não</v>
      </c>
      <c r="P8795" s="4">
        <f>IF(COUNTIFS(INDEX(tItens[Edital],1):tItens[[#This Row],[Edital]],tItens[[#This Row],[Edital]],INDEX(tItens[Produto],1):tItens[[#This Row],[Produto]],tItens[[#This Row],[Produto]])=1,1,0)</f>
        <v>1</v>
      </c>
    </row>
    <row r="8796" spans="1:16" x14ac:dyDescent="0.25">
      <c r="A8796" t="s">
        <v>3001</v>
      </c>
      <c r="B8796">
        <v>5</v>
      </c>
      <c r="C8796" t="s">
        <v>7904</v>
      </c>
      <c r="D8796" t="s">
        <v>88</v>
      </c>
      <c r="E8796" s="13">
        <v>3</v>
      </c>
      <c r="F8796" s="12">
        <v>33.5</v>
      </c>
      <c r="G8796" t="str">
        <f>IFERROR(INDEX(tEditais[Órgão],MATCH(tItens[[#This Row],[Edital]],tEditais[Edital],0)),"")</f>
        <v>SAO PAULO SECRETARIA DA SEGURANCA PUBLICA</v>
      </c>
      <c r="H8796" t="str">
        <f>IFERROR(INDEX(tEditais[UF],MATCH(tItens[[#This Row],[Edital]],tEditais[Edital],0)),"")</f>
        <v>SP</v>
      </c>
      <c r="I8796" s="11">
        <f>IFERROR(INDEX(tEditais[Encerramento],MATCH(tItens[[#This Row],[Edital]],tEditais[Edital],0)),"")</f>
        <v>46310.375</v>
      </c>
      <c r="J8796" t="str">
        <f>IFERROR(INDEX(tProdutos[Classe],MATCH(tItens[[#This Row],[Produto]],tProdutos[Produto],0)),"produto não cadastrado")</f>
        <v>NÚCLEO</v>
      </c>
      <c r="K8796" s="12">
        <f>tItens[[#This Row],[Qtd]]*tItens[[#This Row],[Vlr unit]]</f>
        <v>100.5</v>
      </c>
      <c r="L8796" s="6">
        <f>IFERROR(IF(INDEX(tProdutos[Desconto homologado],MATCH(tItens[[#This Row],[Produto]],tProdutos[Produto],0))="",DescontoPadrao,INDEX(tProdutos[Desconto homologado],MATCH(tItens[[#This Row],[Produto]],tProdutos[Produto],0))),DescontoPadrao)</f>
        <v>0.30251202565473001</v>
      </c>
      <c r="M8796" s="12">
        <f>tItens[[#This Row],[Valor]]*(1-tItens[[#This Row],[Desconto]])</f>
        <v>70.097541421699631</v>
      </c>
      <c r="N8796" t="str">
        <f>IFERROR(INDEX(tProdutos[Foco],MATCH(tItens[[#This Row],[Produto]],tProdutos[Produto],0)),"Não")</f>
        <v>Não</v>
      </c>
      <c r="O8796" t="str">
        <f>IFERROR(INDEX(tEditais[SRP],MATCH(tItens[[#This Row],[Edital]],tEditais[Edital],0)),"Não")</f>
        <v>Não</v>
      </c>
      <c r="P8796" s="4">
        <f>IF(COUNTIFS(INDEX(tItens[Edital],1):tItens[[#This Row],[Edital]],tItens[[#This Row],[Edital]],INDEX(tItens[Produto],1):tItens[[#This Row],[Produto]],tItens[[#This Row],[Produto]])=1,1,0)</f>
        <v>1</v>
      </c>
    </row>
    <row r="8797" spans="1:16" x14ac:dyDescent="0.25">
      <c r="A8797" t="s">
        <v>3001</v>
      </c>
      <c r="B8797">
        <v>40</v>
      </c>
      <c r="C8797" t="s">
        <v>11188</v>
      </c>
      <c r="D8797" t="s">
        <v>311</v>
      </c>
      <c r="E8797" s="13">
        <v>7</v>
      </c>
      <c r="F8797" s="12">
        <v>8</v>
      </c>
      <c r="G8797" t="str">
        <f>IFERROR(INDEX(tEditais[Órgão],MATCH(tItens[[#This Row],[Edital]],tEditais[Edital],0)),"")</f>
        <v>SAO PAULO SECRETARIA DA SEGURANCA PUBLICA</v>
      </c>
      <c r="H8797" t="str">
        <f>IFERROR(INDEX(tEditais[UF],MATCH(tItens[[#This Row],[Edital]],tEditais[Edital],0)),"")</f>
        <v>SP</v>
      </c>
      <c r="I8797" s="11">
        <f>IFERROR(INDEX(tEditais[Encerramento],MATCH(tItens[[#This Row],[Edital]],tEditais[Edital],0)),"")</f>
        <v>46310.375</v>
      </c>
      <c r="J8797" t="str">
        <f>IFERROR(INDEX(tProdutos[Classe],MATCH(tItens[[#This Row],[Produto]],tProdutos[Produto],0)),"produto não cadastrado")</f>
        <v>FORA</v>
      </c>
      <c r="K8797" s="12">
        <f>tItens[[#This Row],[Qtd]]*tItens[[#This Row],[Vlr unit]]</f>
        <v>56</v>
      </c>
      <c r="L8797" s="6">
        <f>IFERROR(IF(INDEX(tProdutos[Desconto homologado],MATCH(tItens[[#This Row],[Produto]],tProdutos[Produto],0))="",DescontoPadrao,INDEX(tProdutos[Desconto homologado],MATCH(tItens[[#This Row],[Produto]],tProdutos[Produto],0))),DescontoPadrao)</f>
        <v>0.29046182846371399</v>
      </c>
      <c r="M8797" s="12">
        <f>tItens[[#This Row],[Valor]]*(1-tItens[[#This Row],[Desconto]])</f>
        <v>39.734137606032021</v>
      </c>
      <c r="N8797" t="str">
        <f>IFERROR(INDEX(tProdutos[Foco],MATCH(tItens[[#This Row],[Produto]],tProdutos[Produto],0)),"Não")</f>
        <v>Não</v>
      </c>
      <c r="O8797" t="str">
        <f>IFERROR(INDEX(tEditais[SRP],MATCH(tItens[[#This Row],[Edital]],tEditais[Edital],0)),"Não")</f>
        <v>Não</v>
      </c>
      <c r="P8797" s="4">
        <f>IF(COUNTIFS(INDEX(tItens[Edital],1):tItens[[#This Row],[Edital]],tItens[[#This Row],[Edital]],INDEX(tItens[Produto],1):tItens[[#This Row],[Produto]],tItens[[#This Row],[Produto]])=1,1,0)</f>
        <v>1</v>
      </c>
    </row>
    <row r="8798" spans="1:16" x14ac:dyDescent="0.25">
      <c r="A8798" t="s">
        <v>3001</v>
      </c>
      <c r="B8798">
        <v>55</v>
      </c>
      <c r="C8798" t="s">
        <v>11189</v>
      </c>
      <c r="D8798" t="s">
        <v>375</v>
      </c>
      <c r="E8798" s="13">
        <v>5</v>
      </c>
      <c r="F8798" s="12">
        <v>15.65</v>
      </c>
      <c r="G8798" t="str">
        <f>IFERROR(INDEX(tEditais[Órgão],MATCH(tItens[[#This Row],[Edital]],tEditais[Edital],0)),"")</f>
        <v>SAO PAULO SECRETARIA DA SEGURANCA PUBLICA</v>
      </c>
      <c r="H8798" t="str">
        <f>IFERROR(INDEX(tEditais[UF],MATCH(tItens[[#This Row],[Edital]],tEditais[Edital],0)),"")</f>
        <v>SP</v>
      </c>
      <c r="I8798" s="11">
        <f>IFERROR(INDEX(tEditais[Encerramento],MATCH(tItens[[#This Row],[Edital]],tEditais[Edital],0)),"")</f>
        <v>46310.375</v>
      </c>
      <c r="J8798" t="str">
        <f>IFERROR(INDEX(tProdutos[Classe],MATCH(tItens[[#This Row],[Produto]],tProdutos[Produto],0)),"produto não cadastrado")</f>
        <v>FORA</v>
      </c>
      <c r="K8798" s="12">
        <f>tItens[[#This Row],[Qtd]]*tItens[[#This Row],[Vlr unit]]</f>
        <v>78.25</v>
      </c>
      <c r="L8798" s="6">
        <f>IFERROR(IF(INDEX(tProdutos[Desconto homologado],MATCH(tItens[[#This Row],[Produto]],tProdutos[Produto],0))="",DescontoPadrao,INDEX(tProdutos[Desconto homologado],MATCH(tItens[[#This Row],[Produto]],tProdutos[Produto],0))),DescontoPadrao)</f>
        <v>0.25005895299481201</v>
      </c>
      <c r="M8798" s="12">
        <f>tItens[[#This Row],[Valor]]*(1-tItens[[#This Row],[Desconto]])</f>
        <v>58.682886928155959</v>
      </c>
      <c r="N8798" t="str">
        <f>IFERROR(INDEX(tProdutos[Foco],MATCH(tItens[[#This Row],[Produto]],tProdutos[Produto],0)),"Não")</f>
        <v>Não</v>
      </c>
      <c r="O8798" t="str">
        <f>IFERROR(INDEX(tEditais[SRP],MATCH(tItens[[#This Row],[Edital]],tEditais[Edital],0)),"Não")</f>
        <v>Não</v>
      </c>
      <c r="P8798" s="4">
        <f>IF(COUNTIFS(INDEX(tItens[Edital],1):tItens[[#This Row],[Edital]],tItens[[#This Row],[Edital]],INDEX(tItens[Produto],1):tItens[[#This Row],[Produto]],tItens[[#This Row],[Produto]])=1,1,0)</f>
        <v>1</v>
      </c>
    </row>
    <row r="8799" spans="1:16" x14ac:dyDescent="0.25">
      <c r="A8799" t="s">
        <v>3001</v>
      </c>
      <c r="B8799">
        <v>68</v>
      </c>
      <c r="C8799" t="s">
        <v>11190</v>
      </c>
      <c r="D8799" t="s">
        <v>411</v>
      </c>
      <c r="E8799" s="13">
        <v>14</v>
      </c>
      <c r="F8799" s="12">
        <v>55.09</v>
      </c>
      <c r="G8799" t="str">
        <f>IFERROR(INDEX(tEditais[Órgão],MATCH(tItens[[#This Row],[Edital]],tEditais[Edital],0)),"")</f>
        <v>SAO PAULO SECRETARIA DA SEGURANCA PUBLICA</v>
      </c>
      <c r="H8799" t="str">
        <f>IFERROR(INDEX(tEditais[UF],MATCH(tItens[[#This Row],[Edital]],tEditais[Edital],0)),"")</f>
        <v>SP</v>
      </c>
      <c r="I8799" s="11">
        <f>IFERROR(INDEX(tEditais[Encerramento],MATCH(tItens[[#This Row],[Edital]],tEditais[Edital],0)),"")</f>
        <v>46310.375</v>
      </c>
      <c r="J8799" t="str">
        <f>IFERROR(INDEX(tProdutos[Classe],MATCH(tItens[[#This Row],[Produto]],tProdutos[Produto],0)),"produto não cadastrado")</f>
        <v>FORA</v>
      </c>
      <c r="K8799" s="12">
        <f>tItens[[#This Row],[Qtd]]*tItens[[#This Row],[Vlr unit]]</f>
        <v>771.26</v>
      </c>
      <c r="L8799" s="6">
        <f>IFERROR(IF(INDEX(tProdutos[Desconto homologado],MATCH(tItens[[#This Row],[Produto]],tProdutos[Produto],0))="",DescontoPadrao,INDEX(tProdutos[Desconto homologado],MATCH(tItens[[#This Row],[Produto]],tProdutos[Produto],0))),DescontoPadrao)</f>
        <v>0.50029835957199398</v>
      </c>
      <c r="M8799" s="12">
        <f>tItens[[#This Row],[Valor]]*(1-tItens[[#This Row],[Desconto]])</f>
        <v>385.39988719650393</v>
      </c>
      <c r="N8799" t="str">
        <f>IFERROR(INDEX(tProdutos[Foco],MATCH(tItens[[#This Row],[Produto]],tProdutos[Produto],0)),"Não")</f>
        <v>Não</v>
      </c>
      <c r="O8799" t="str">
        <f>IFERROR(INDEX(tEditais[SRP],MATCH(tItens[[#This Row],[Edital]],tEditais[Edital],0)),"Não")</f>
        <v>Não</v>
      </c>
      <c r="P8799" s="4">
        <f>IF(COUNTIFS(INDEX(tItens[Edital],1):tItens[[#This Row],[Edital]],tItens[[#This Row],[Edital]],INDEX(tItens[Produto],1):tItens[[#This Row],[Produto]],tItens[[#This Row],[Produto]])=1,1,0)</f>
        <v>1</v>
      </c>
    </row>
    <row r="8800" spans="1:16" x14ac:dyDescent="0.25">
      <c r="A8800" t="s">
        <v>3001</v>
      </c>
      <c r="B8800">
        <v>72</v>
      </c>
      <c r="C8800" t="s">
        <v>11191</v>
      </c>
      <c r="D8800" t="s">
        <v>387</v>
      </c>
      <c r="E8800" s="13">
        <v>85</v>
      </c>
      <c r="F8800" s="12">
        <v>85</v>
      </c>
      <c r="G8800" t="str">
        <f>IFERROR(INDEX(tEditais[Órgão],MATCH(tItens[[#This Row],[Edital]],tEditais[Edital],0)),"")</f>
        <v>SAO PAULO SECRETARIA DA SEGURANCA PUBLICA</v>
      </c>
      <c r="H8800" t="str">
        <f>IFERROR(INDEX(tEditais[UF],MATCH(tItens[[#This Row],[Edital]],tEditais[Edital],0)),"")</f>
        <v>SP</v>
      </c>
      <c r="I8800" s="11">
        <f>IFERROR(INDEX(tEditais[Encerramento],MATCH(tItens[[#This Row],[Edital]],tEditais[Edital],0)),"")</f>
        <v>46310.375</v>
      </c>
      <c r="J8800" t="str">
        <f>IFERROR(INDEX(tProdutos[Classe],MATCH(tItens[[#This Row],[Produto]],tProdutos[Produto],0)),"produto não cadastrado")</f>
        <v>FORA</v>
      </c>
      <c r="K8800" s="12">
        <f>tItens[[#This Row],[Qtd]]*tItens[[#This Row],[Vlr unit]]</f>
        <v>7225</v>
      </c>
      <c r="L8800" s="6">
        <f>IFERROR(IF(INDEX(tProdutos[Desconto homologado],MATCH(tItens[[#This Row],[Produto]],tProdutos[Produto],0))="",DescontoPadrao,INDEX(tProdutos[Desconto homologado],MATCH(tItens[[#This Row],[Produto]],tProdutos[Produto],0))),DescontoPadrao)</f>
        <v>0.30458221024258803</v>
      </c>
      <c r="M8800" s="12">
        <f>tItens[[#This Row],[Valor]]*(1-tItens[[#This Row],[Desconto]])</f>
        <v>5024.3935309973012</v>
      </c>
      <c r="N8800" t="str">
        <f>IFERROR(INDEX(tProdutos[Foco],MATCH(tItens[[#This Row],[Produto]],tProdutos[Produto],0)),"Não")</f>
        <v>Não</v>
      </c>
      <c r="O8800" t="str">
        <f>IFERROR(INDEX(tEditais[SRP],MATCH(tItens[[#This Row],[Edital]],tEditais[Edital],0)),"Não")</f>
        <v>Não</v>
      </c>
      <c r="P8800" s="4">
        <f>IF(COUNTIFS(INDEX(tItens[Edital],1):tItens[[#This Row],[Edital]],tItens[[#This Row],[Edital]],INDEX(tItens[Produto],1):tItens[[#This Row],[Produto]],tItens[[#This Row],[Produto]])=1,1,0)</f>
        <v>1</v>
      </c>
    </row>
    <row r="8801" spans="1:16" x14ac:dyDescent="0.25">
      <c r="A8801" t="s">
        <v>3001</v>
      </c>
      <c r="B8801">
        <v>76</v>
      </c>
      <c r="C8801" t="s">
        <v>7909</v>
      </c>
      <c r="D8801" t="s">
        <v>313</v>
      </c>
      <c r="E8801" s="13">
        <v>80</v>
      </c>
      <c r="F8801" s="12">
        <v>28.99</v>
      </c>
      <c r="G8801" t="str">
        <f>IFERROR(INDEX(tEditais[Órgão],MATCH(tItens[[#This Row],[Edital]],tEditais[Edital],0)),"")</f>
        <v>SAO PAULO SECRETARIA DA SEGURANCA PUBLICA</v>
      </c>
      <c r="H8801" t="str">
        <f>IFERROR(INDEX(tEditais[UF],MATCH(tItens[[#This Row],[Edital]],tEditais[Edital],0)),"")</f>
        <v>SP</v>
      </c>
      <c r="I8801" s="11">
        <f>IFERROR(INDEX(tEditais[Encerramento],MATCH(tItens[[#This Row],[Edital]],tEditais[Edital],0)),"")</f>
        <v>46310.375</v>
      </c>
      <c r="J8801" t="str">
        <f>IFERROR(INDEX(tProdutos[Classe],MATCH(tItens[[#This Row],[Produto]],tProdutos[Produto],0)),"produto não cadastrado")</f>
        <v>FORA</v>
      </c>
      <c r="K8801" s="12">
        <f>tItens[[#This Row],[Qtd]]*tItens[[#This Row],[Vlr unit]]</f>
        <v>2319.1999999999998</v>
      </c>
      <c r="L8801" s="6">
        <f>IFERROR(IF(INDEX(tProdutos[Desconto homologado],MATCH(tItens[[#This Row],[Produto]],tProdutos[Produto],0))="",DescontoPadrao,INDEX(tProdutos[Desconto homologado],MATCH(tItens[[#This Row],[Produto]],tProdutos[Produto],0))),DescontoPadrao)</f>
        <v>0.35766373163696302</v>
      </c>
      <c r="M8801" s="12">
        <f>tItens[[#This Row],[Valor]]*(1-tItens[[#This Row],[Desconto]])</f>
        <v>1489.7062735875552</v>
      </c>
      <c r="N8801" t="str">
        <f>IFERROR(INDEX(tProdutos[Foco],MATCH(tItens[[#This Row],[Produto]],tProdutos[Produto],0)),"Não")</f>
        <v>Não</v>
      </c>
      <c r="O8801" t="str">
        <f>IFERROR(INDEX(tEditais[SRP],MATCH(tItens[[#This Row],[Edital]],tEditais[Edital],0)),"Não")</f>
        <v>Não</v>
      </c>
      <c r="P8801" s="4">
        <f>IF(COUNTIFS(INDEX(tItens[Edital],1):tItens[[#This Row],[Edital]],tItens[[#This Row],[Edital]],INDEX(tItens[Produto],1):tItens[[#This Row],[Produto]],tItens[[#This Row],[Produto]])=1,1,0)</f>
        <v>1</v>
      </c>
    </row>
    <row r="8802" spans="1:16" x14ac:dyDescent="0.25">
      <c r="A8802" t="s">
        <v>3001</v>
      </c>
      <c r="B8802">
        <v>77</v>
      </c>
      <c r="C8802" t="s">
        <v>6389</v>
      </c>
      <c r="D8802" t="s">
        <v>313</v>
      </c>
      <c r="E8802" s="13">
        <v>50</v>
      </c>
      <c r="F8802" s="12">
        <v>35</v>
      </c>
      <c r="G8802" t="str">
        <f>IFERROR(INDEX(tEditais[Órgão],MATCH(tItens[[#This Row],[Edital]],tEditais[Edital],0)),"")</f>
        <v>SAO PAULO SECRETARIA DA SEGURANCA PUBLICA</v>
      </c>
      <c r="H8802" t="str">
        <f>IFERROR(INDEX(tEditais[UF],MATCH(tItens[[#This Row],[Edital]],tEditais[Edital],0)),"")</f>
        <v>SP</v>
      </c>
      <c r="I8802" s="11">
        <f>IFERROR(INDEX(tEditais[Encerramento],MATCH(tItens[[#This Row],[Edital]],tEditais[Edital],0)),"")</f>
        <v>46310.375</v>
      </c>
      <c r="J8802" t="str">
        <f>IFERROR(INDEX(tProdutos[Classe],MATCH(tItens[[#This Row],[Produto]],tProdutos[Produto],0)),"produto não cadastrado")</f>
        <v>FORA</v>
      </c>
      <c r="K8802" s="12">
        <f>tItens[[#This Row],[Qtd]]*tItens[[#This Row],[Vlr unit]]</f>
        <v>1750</v>
      </c>
      <c r="L8802" s="6">
        <f>IFERROR(IF(INDEX(tProdutos[Desconto homologado],MATCH(tItens[[#This Row],[Produto]],tProdutos[Produto],0))="",DescontoPadrao,INDEX(tProdutos[Desconto homologado],MATCH(tItens[[#This Row],[Produto]],tProdutos[Produto],0))),DescontoPadrao)</f>
        <v>0.35766373163696302</v>
      </c>
      <c r="M8802" s="12">
        <f>tItens[[#This Row],[Valor]]*(1-tItens[[#This Row],[Desconto]])</f>
        <v>1124.0884696353146</v>
      </c>
      <c r="N8802" t="str">
        <f>IFERROR(INDEX(tProdutos[Foco],MATCH(tItens[[#This Row],[Produto]],tProdutos[Produto],0)),"Não")</f>
        <v>Não</v>
      </c>
      <c r="O8802" t="str">
        <f>IFERROR(INDEX(tEditais[SRP],MATCH(tItens[[#This Row],[Edital]],tEditais[Edital],0)),"Não")</f>
        <v>Não</v>
      </c>
      <c r="P8802" s="4">
        <f>IF(COUNTIFS(INDEX(tItens[Edital],1):tItens[[#This Row],[Edital]],tItens[[#This Row],[Edital]],INDEX(tItens[Produto],1):tItens[[#This Row],[Produto]],tItens[[#This Row],[Produto]])=1,1,0)</f>
        <v>0</v>
      </c>
    </row>
    <row r="8803" spans="1:16" x14ac:dyDescent="0.25">
      <c r="A8803" t="s">
        <v>3001</v>
      </c>
      <c r="B8803">
        <v>108</v>
      </c>
      <c r="C8803" t="s">
        <v>7910</v>
      </c>
      <c r="D8803" t="s">
        <v>114</v>
      </c>
      <c r="E8803" s="13">
        <v>17</v>
      </c>
      <c r="F8803" s="12">
        <v>11.79</v>
      </c>
      <c r="G8803" t="str">
        <f>IFERROR(INDEX(tEditais[Órgão],MATCH(tItens[[#This Row],[Edital]],tEditais[Edital],0)),"")</f>
        <v>SAO PAULO SECRETARIA DA SEGURANCA PUBLICA</v>
      </c>
      <c r="H8803" t="str">
        <f>IFERROR(INDEX(tEditais[UF],MATCH(tItens[[#This Row],[Edital]],tEditais[Edital],0)),"")</f>
        <v>SP</v>
      </c>
      <c r="I8803" s="11">
        <f>IFERROR(INDEX(tEditais[Encerramento],MATCH(tItens[[#This Row],[Edital]],tEditais[Edital],0)),"")</f>
        <v>46310.375</v>
      </c>
      <c r="J8803" t="str">
        <f>IFERROR(INDEX(tProdutos[Classe],MATCH(tItens[[#This Row],[Produto]],tProdutos[Produto],0)),"produto não cadastrado")</f>
        <v>DISPUTADO</v>
      </c>
      <c r="K8803" s="12">
        <f>tItens[[#This Row],[Qtd]]*tItens[[#This Row],[Vlr unit]]</f>
        <v>200.42999999999998</v>
      </c>
      <c r="L8803" s="6">
        <f>IFERROR(IF(INDEX(tProdutos[Desconto homologado],MATCH(tItens[[#This Row],[Produto]],tProdutos[Produto],0))="",DescontoPadrao,INDEX(tProdutos[Desconto homologado],MATCH(tItens[[#This Row],[Produto]],tProdutos[Produto],0))),DescontoPadrao)</f>
        <v>0.24332656063896899</v>
      </c>
      <c r="M8803" s="12">
        <f>tItens[[#This Row],[Valor]]*(1-tItens[[#This Row],[Desconto]])</f>
        <v>151.66005745113142</v>
      </c>
      <c r="N8803" t="str">
        <f>IFERROR(INDEX(tProdutos[Foco],MATCH(tItens[[#This Row],[Produto]],tProdutos[Produto],0)),"Não")</f>
        <v>Não</v>
      </c>
      <c r="O8803" t="str">
        <f>IFERROR(INDEX(tEditais[SRP],MATCH(tItens[[#This Row],[Edital]],tEditais[Edital],0)),"Não")</f>
        <v>Não</v>
      </c>
      <c r="P8803" s="4">
        <f>IF(COUNTIFS(INDEX(tItens[Edital],1):tItens[[#This Row],[Edital]],tItens[[#This Row],[Edital]],INDEX(tItens[Produto],1):tItens[[#This Row],[Produto]],tItens[[#This Row],[Produto]])=1,1,0)</f>
        <v>1</v>
      </c>
    </row>
    <row r="8804" spans="1:16" x14ac:dyDescent="0.25">
      <c r="A8804" t="s">
        <v>3001</v>
      </c>
      <c r="B8804">
        <v>116</v>
      </c>
      <c r="C8804" t="s">
        <v>9118</v>
      </c>
      <c r="D8804" t="s">
        <v>82</v>
      </c>
      <c r="E8804" s="13">
        <v>6</v>
      </c>
      <c r="F8804" s="12">
        <v>48.7</v>
      </c>
      <c r="G8804" t="str">
        <f>IFERROR(INDEX(tEditais[Órgão],MATCH(tItens[[#This Row],[Edital]],tEditais[Edital],0)),"")</f>
        <v>SAO PAULO SECRETARIA DA SEGURANCA PUBLICA</v>
      </c>
      <c r="H8804" t="str">
        <f>IFERROR(INDEX(tEditais[UF],MATCH(tItens[[#This Row],[Edital]],tEditais[Edital],0)),"")</f>
        <v>SP</v>
      </c>
      <c r="I8804" s="11">
        <f>IFERROR(INDEX(tEditais[Encerramento],MATCH(tItens[[#This Row],[Edital]],tEditais[Edital],0)),"")</f>
        <v>46310.375</v>
      </c>
      <c r="J8804" t="str">
        <f>IFERROR(INDEX(tProdutos[Classe],MATCH(tItens[[#This Row],[Produto]],tProdutos[Produto],0)),"produto não cadastrado")</f>
        <v>NÚCLEO</v>
      </c>
      <c r="K8804" s="12">
        <f>tItens[[#This Row],[Qtd]]*tItens[[#This Row],[Vlr unit]]</f>
        <v>292.20000000000005</v>
      </c>
      <c r="L8804" s="6">
        <f>IFERROR(IF(INDEX(tProdutos[Desconto homologado],MATCH(tItens[[#This Row],[Produto]],tProdutos[Produto],0))="",DescontoPadrao,INDEX(tProdutos[Desconto homologado],MATCH(tItens[[#This Row],[Produto]],tProdutos[Produto],0))),DescontoPadrao)</f>
        <v>0.40487090276506099</v>
      </c>
      <c r="M8804" s="12">
        <f>tItens[[#This Row],[Valor]]*(1-tItens[[#This Row],[Desconto]])</f>
        <v>173.89672221204921</v>
      </c>
      <c r="N8804" t="str">
        <f>IFERROR(INDEX(tProdutos[Foco],MATCH(tItens[[#This Row],[Produto]],tProdutos[Produto],0)),"Não")</f>
        <v>Não</v>
      </c>
      <c r="O8804" t="str">
        <f>IFERROR(INDEX(tEditais[SRP],MATCH(tItens[[#This Row],[Edital]],tEditais[Edital],0)),"Não")</f>
        <v>Não</v>
      </c>
      <c r="P8804" s="4">
        <f>IF(COUNTIFS(INDEX(tItens[Edital],1):tItens[[#This Row],[Edital]],tItens[[#This Row],[Edital]],INDEX(tItens[Produto],1):tItens[[#This Row],[Produto]],tItens[[#This Row],[Produto]])=1,1,0)</f>
        <v>1</v>
      </c>
    </row>
    <row r="8805" spans="1:16" x14ac:dyDescent="0.25">
      <c r="A8805" t="s">
        <v>3006</v>
      </c>
      <c r="B8805">
        <v>7</v>
      </c>
      <c r="C8805" t="s">
        <v>4184</v>
      </c>
      <c r="D8805" t="s">
        <v>277</v>
      </c>
      <c r="E8805" s="13">
        <v>400</v>
      </c>
      <c r="F8805" s="12">
        <v>0</v>
      </c>
      <c r="G8805" t="str">
        <f>IFERROR(INDEX(tEditais[Órgão],MATCH(tItens[[#This Row],[Edital]],tEditais[Edital],0)),"")</f>
        <v>SECRETARIA DE ESTADO DA SAUDE</v>
      </c>
      <c r="H8805" t="str">
        <f>IFERROR(INDEX(tEditais[UF],MATCH(tItens[[#This Row],[Edital]],tEditais[Edital],0)),"")</f>
        <v>SP</v>
      </c>
      <c r="I8805" s="11">
        <f>IFERROR(INDEX(tEditais[Encerramento],MATCH(tItens[[#This Row],[Edital]],tEditais[Edital],0)),"")</f>
        <v>46310.375</v>
      </c>
      <c r="J8805" t="str">
        <f>IFERROR(INDEX(tProdutos[Classe],MATCH(tItens[[#This Row],[Produto]],tProdutos[Produto],0)),"produto não cadastrado")</f>
        <v>DISPUTADO</v>
      </c>
      <c r="K8805" s="12">
        <f>tItens[[#This Row],[Qtd]]*tItens[[#This Row],[Vlr unit]]</f>
        <v>0</v>
      </c>
      <c r="L8805" s="6">
        <f>IFERROR(IF(INDEX(tProdutos[Desconto homologado],MATCH(tItens[[#This Row],[Produto]],tProdutos[Produto],0))="",DescontoPadrao,INDEX(tProdutos[Desconto homologado],MATCH(tItens[[#This Row],[Produto]],tProdutos[Produto],0))),DescontoPadrao)</f>
        <v>0.50460666194188497</v>
      </c>
      <c r="M8805" s="12">
        <f>tItens[[#This Row],[Valor]]*(1-tItens[[#This Row],[Desconto]])</f>
        <v>0</v>
      </c>
      <c r="N8805" t="str">
        <f>IFERROR(INDEX(tProdutos[Foco],MATCH(tItens[[#This Row],[Produto]],tProdutos[Produto],0)),"Não")</f>
        <v>Não</v>
      </c>
      <c r="O8805" t="str">
        <f>IFERROR(INDEX(tEditais[SRP],MATCH(tItens[[#This Row],[Edital]],tEditais[Edital],0)),"Não")</f>
        <v>Não</v>
      </c>
      <c r="P8805" s="4">
        <f>IF(COUNTIFS(INDEX(tItens[Edital],1):tItens[[#This Row],[Edital]],tItens[[#This Row],[Edital]],INDEX(tItens[Produto],1):tItens[[#This Row],[Produto]],tItens[[#This Row],[Produto]])=1,1,0)</f>
        <v>1</v>
      </c>
    </row>
    <row r="8806" spans="1:16" x14ac:dyDescent="0.25">
      <c r="A8806" t="s">
        <v>3006</v>
      </c>
      <c r="B8806">
        <v>12</v>
      </c>
      <c r="C8806" t="s">
        <v>3474</v>
      </c>
      <c r="D8806" t="s">
        <v>313</v>
      </c>
      <c r="E8806" s="13">
        <v>2500</v>
      </c>
      <c r="F8806" s="12">
        <v>0</v>
      </c>
      <c r="G8806" t="str">
        <f>IFERROR(INDEX(tEditais[Órgão],MATCH(tItens[[#This Row],[Edital]],tEditais[Edital],0)),"")</f>
        <v>SECRETARIA DE ESTADO DA SAUDE</v>
      </c>
      <c r="H8806" t="str">
        <f>IFERROR(INDEX(tEditais[UF],MATCH(tItens[[#This Row],[Edital]],tEditais[Edital],0)),"")</f>
        <v>SP</v>
      </c>
      <c r="I8806" s="11">
        <f>IFERROR(INDEX(tEditais[Encerramento],MATCH(tItens[[#This Row],[Edital]],tEditais[Edital],0)),"")</f>
        <v>46310.375</v>
      </c>
      <c r="J8806" t="str">
        <f>IFERROR(INDEX(tProdutos[Classe],MATCH(tItens[[#This Row],[Produto]],tProdutos[Produto],0)),"produto não cadastrado")</f>
        <v>FORA</v>
      </c>
      <c r="K8806" s="12">
        <f>tItens[[#This Row],[Qtd]]*tItens[[#This Row],[Vlr unit]]</f>
        <v>0</v>
      </c>
      <c r="L8806" s="6">
        <f>IFERROR(IF(INDEX(tProdutos[Desconto homologado],MATCH(tItens[[#This Row],[Produto]],tProdutos[Produto],0))="",DescontoPadrao,INDEX(tProdutos[Desconto homologado],MATCH(tItens[[#This Row],[Produto]],tProdutos[Produto],0))),DescontoPadrao)</f>
        <v>0.35766373163696302</v>
      </c>
      <c r="M8806" s="12">
        <f>tItens[[#This Row],[Valor]]*(1-tItens[[#This Row],[Desconto]])</f>
        <v>0</v>
      </c>
      <c r="N8806" t="str">
        <f>IFERROR(INDEX(tProdutos[Foco],MATCH(tItens[[#This Row],[Produto]],tProdutos[Produto],0)),"Não")</f>
        <v>Não</v>
      </c>
      <c r="O8806" t="str">
        <f>IFERROR(INDEX(tEditais[SRP],MATCH(tItens[[#This Row],[Edital]],tEditais[Edital],0)),"Não")</f>
        <v>Não</v>
      </c>
      <c r="P8806" s="4">
        <f>IF(COUNTIFS(INDEX(tItens[Edital],1):tItens[[#This Row],[Edital]],tItens[[#This Row],[Edital]],INDEX(tItens[Produto],1):tItens[[#This Row],[Produto]],tItens[[#This Row],[Produto]])=1,1,0)</f>
        <v>1</v>
      </c>
    </row>
    <row r="8807" spans="1:16" x14ac:dyDescent="0.25">
      <c r="A8807" t="s">
        <v>3006</v>
      </c>
      <c r="B8807">
        <v>17</v>
      </c>
      <c r="C8807" t="s">
        <v>10085</v>
      </c>
      <c r="D8807" t="s">
        <v>120</v>
      </c>
      <c r="E8807" s="13">
        <v>600</v>
      </c>
      <c r="F8807" s="12">
        <v>0</v>
      </c>
      <c r="G8807" t="str">
        <f>IFERROR(INDEX(tEditais[Órgão],MATCH(tItens[[#This Row],[Edital]],tEditais[Edital],0)),"")</f>
        <v>SECRETARIA DE ESTADO DA SAUDE</v>
      </c>
      <c r="H8807" t="str">
        <f>IFERROR(INDEX(tEditais[UF],MATCH(tItens[[#This Row],[Edital]],tEditais[Edital],0)),"")</f>
        <v>SP</v>
      </c>
      <c r="I8807" s="11">
        <f>IFERROR(INDEX(tEditais[Encerramento],MATCH(tItens[[#This Row],[Edital]],tEditais[Edital],0)),"")</f>
        <v>46310.375</v>
      </c>
      <c r="J8807" t="str">
        <f>IFERROR(INDEX(tProdutos[Classe],MATCH(tItens[[#This Row],[Produto]],tProdutos[Produto],0)),"produto não cadastrado")</f>
        <v>DISPUTADO</v>
      </c>
      <c r="K8807" s="12">
        <f>tItens[[#This Row],[Qtd]]*tItens[[#This Row],[Vlr unit]]</f>
        <v>0</v>
      </c>
      <c r="L8807" s="6">
        <f>IFERROR(IF(INDEX(tProdutos[Desconto homologado],MATCH(tItens[[#This Row],[Produto]],tProdutos[Produto],0))="",DescontoPadrao,INDEX(tProdutos[Desconto homologado],MATCH(tItens[[#This Row],[Produto]],tProdutos[Produto],0))),DescontoPadrao)</f>
        <v>0.40909090909090901</v>
      </c>
      <c r="M8807" s="12">
        <f>tItens[[#This Row],[Valor]]*(1-tItens[[#This Row],[Desconto]])</f>
        <v>0</v>
      </c>
      <c r="N8807" t="str">
        <f>IFERROR(INDEX(tProdutos[Foco],MATCH(tItens[[#This Row],[Produto]],tProdutos[Produto],0)),"Não")</f>
        <v>Não</v>
      </c>
      <c r="O8807" t="str">
        <f>IFERROR(INDEX(tEditais[SRP],MATCH(tItens[[#This Row],[Edital]],tEditais[Edital],0)),"Não")</f>
        <v>Não</v>
      </c>
      <c r="P8807" s="4">
        <f>IF(COUNTIFS(INDEX(tItens[Edital],1):tItens[[#This Row],[Edital]],tItens[[#This Row],[Edital]],INDEX(tItens[Produto],1):tItens[[#This Row],[Produto]],tItens[[#This Row],[Produto]])=1,1,0)</f>
        <v>1</v>
      </c>
    </row>
    <row r="8808" spans="1:16" x14ac:dyDescent="0.25">
      <c r="A8808" t="s">
        <v>3006</v>
      </c>
      <c r="B8808">
        <v>18</v>
      </c>
      <c r="C8808" t="s">
        <v>11176</v>
      </c>
      <c r="D8808" t="s">
        <v>120</v>
      </c>
      <c r="E8808" s="13">
        <v>720</v>
      </c>
      <c r="F8808" s="12">
        <v>0</v>
      </c>
      <c r="G8808" t="str">
        <f>IFERROR(INDEX(tEditais[Órgão],MATCH(tItens[[#This Row],[Edital]],tEditais[Edital],0)),"")</f>
        <v>SECRETARIA DE ESTADO DA SAUDE</v>
      </c>
      <c r="H8808" t="str">
        <f>IFERROR(INDEX(tEditais[UF],MATCH(tItens[[#This Row],[Edital]],tEditais[Edital],0)),"")</f>
        <v>SP</v>
      </c>
      <c r="I8808" s="11">
        <f>IFERROR(INDEX(tEditais[Encerramento],MATCH(tItens[[#This Row],[Edital]],tEditais[Edital],0)),"")</f>
        <v>46310.375</v>
      </c>
      <c r="J8808" t="str">
        <f>IFERROR(INDEX(tProdutos[Classe],MATCH(tItens[[#This Row],[Produto]],tProdutos[Produto],0)),"produto não cadastrado")</f>
        <v>DISPUTADO</v>
      </c>
      <c r="K8808" s="12">
        <f>tItens[[#This Row],[Qtd]]*tItens[[#This Row],[Vlr unit]]</f>
        <v>0</v>
      </c>
      <c r="L8808" s="6">
        <f>IFERROR(IF(INDEX(tProdutos[Desconto homologado],MATCH(tItens[[#This Row],[Produto]],tProdutos[Produto],0))="",DescontoPadrao,INDEX(tProdutos[Desconto homologado],MATCH(tItens[[#This Row],[Produto]],tProdutos[Produto],0))),DescontoPadrao)</f>
        <v>0.40909090909090901</v>
      </c>
      <c r="M8808" s="12">
        <f>tItens[[#This Row],[Valor]]*(1-tItens[[#This Row],[Desconto]])</f>
        <v>0</v>
      </c>
      <c r="N8808" t="str">
        <f>IFERROR(INDEX(tProdutos[Foco],MATCH(tItens[[#This Row],[Produto]],tProdutos[Produto],0)),"Não")</f>
        <v>Não</v>
      </c>
      <c r="O8808" t="str">
        <f>IFERROR(INDEX(tEditais[SRP],MATCH(tItens[[#This Row],[Edital]],tEditais[Edital],0)),"Não")</f>
        <v>Não</v>
      </c>
      <c r="P8808" s="4">
        <f>IF(COUNTIFS(INDEX(tItens[Edital],1):tItens[[#This Row],[Edital]],tItens[[#This Row],[Edital]],INDEX(tItens[Produto],1):tItens[[#This Row],[Produto]],tItens[[#This Row],[Produto]])=1,1,0)</f>
        <v>0</v>
      </c>
    </row>
    <row r="8809" spans="1:16" x14ac:dyDescent="0.25">
      <c r="A8809" t="s">
        <v>3006</v>
      </c>
      <c r="B8809">
        <v>19</v>
      </c>
      <c r="C8809" t="s">
        <v>9033</v>
      </c>
      <c r="D8809" t="s">
        <v>69</v>
      </c>
      <c r="E8809" s="13">
        <v>600</v>
      </c>
      <c r="F8809" s="12">
        <v>0</v>
      </c>
      <c r="G8809" t="str">
        <f>IFERROR(INDEX(tEditais[Órgão],MATCH(tItens[[#This Row],[Edital]],tEditais[Edital],0)),"")</f>
        <v>SECRETARIA DE ESTADO DA SAUDE</v>
      </c>
      <c r="H8809" t="str">
        <f>IFERROR(INDEX(tEditais[UF],MATCH(tItens[[#This Row],[Edital]],tEditais[Edital],0)),"")</f>
        <v>SP</v>
      </c>
      <c r="I8809" s="11">
        <f>IFERROR(INDEX(tEditais[Encerramento],MATCH(tItens[[#This Row],[Edital]],tEditais[Edital],0)),"")</f>
        <v>46310.375</v>
      </c>
      <c r="J8809" t="str">
        <f>IFERROR(INDEX(tProdutos[Classe],MATCH(tItens[[#This Row],[Produto]],tProdutos[Produto],0)),"produto não cadastrado")</f>
        <v>NÚCLEO</v>
      </c>
      <c r="K8809" s="12">
        <f>tItens[[#This Row],[Qtd]]*tItens[[#This Row],[Vlr unit]]</f>
        <v>0</v>
      </c>
      <c r="L8809" s="6">
        <f>IFERROR(IF(INDEX(tProdutos[Desconto homologado],MATCH(tItens[[#This Row],[Produto]],tProdutos[Produto],0))="",DescontoPadrao,INDEX(tProdutos[Desconto homologado],MATCH(tItens[[#This Row],[Produto]],tProdutos[Produto],0))),DescontoPadrao)</f>
        <v>0.38829259638568803</v>
      </c>
      <c r="M8809" s="12">
        <f>tItens[[#This Row],[Valor]]*(1-tItens[[#This Row],[Desconto]])</f>
        <v>0</v>
      </c>
      <c r="N8809" t="str">
        <f>IFERROR(INDEX(tProdutos[Foco],MATCH(tItens[[#This Row],[Produto]],tProdutos[Produto],0)),"Não")</f>
        <v>Não</v>
      </c>
      <c r="O8809" t="str">
        <f>IFERROR(INDEX(tEditais[SRP],MATCH(tItens[[#This Row],[Edital]],tEditais[Edital],0)),"Não")</f>
        <v>Não</v>
      </c>
      <c r="P8809" s="4">
        <f>IF(COUNTIFS(INDEX(tItens[Edital],1):tItens[[#This Row],[Edital]],tItens[[#This Row],[Edital]],INDEX(tItens[Produto],1):tItens[[#This Row],[Produto]],tItens[[#This Row],[Produto]])=1,1,0)</f>
        <v>1</v>
      </c>
    </row>
    <row r="8810" spans="1:16" x14ac:dyDescent="0.25">
      <c r="A8810" t="s">
        <v>3009</v>
      </c>
      <c r="B8810">
        <v>1</v>
      </c>
      <c r="C8810" t="s">
        <v>9065</v>
      </c>
      <c r="D8810" t="s">
        <v>160</v>
      </c>
      <c r="E8810" s="13">
        <v>720</v>
      </c>
      <c r="F8810" s="12">
        <v>0</v>
      </c>
      <c r="G8810" t="str">
        <f>IFERROR(INDEX(tEditais[Órgão],MATCH(tItens[[#This Row],[Edital]],tEditais[Edital],0)),"")</f>
        <v>INSTITUTO DE ASSISTENCIA MEDICA AO SERVIDOR PUBLICO ESTADUAL</v>
      </c>
      <c r="H8810" t="str">
        <f>IFERROR(INDEX(tEditais[UF],MATCH(tItens[[#This Row],[Edital]],tEditais[Edital],0)),"")</f>
        <v>SP</v>
      </c>
      <c r="I8810" s="11">
        <f>IFERROR(INDEX(tEditais[Encerramento],MATCH(tItens[[#This Row],[Edital]],tEditais[Edital],0)),"")</f>
        <v>46310.375</v>
      </c>
      <c r="J8810" t="str">
        <f>IFERROR(INDEX(tProdutos[Classe],MATCH(tItens[[#This Row],[Produto]],tProdutos[Produto],0)),"produto não cadastrado")</f>
        <v>DISPUTADO</v>
      </c>
      <c r="K8810" s="12">
        <f>tItens[[#This Row],[Qtd]]*tItens[[#This Row],[Vlr unit]]</f>
        <v>0</v>
      </c>
      <c r="L8810" s="6">
        <f>IFERROR(IF(INDEX(tProdutos[Desconto homologado],MATCH(tItens[[#This Row],[Produto]],tProdutos[Produto],0))="",DescontoPadrao,INDEX(tProdutos[Desconto homologado],MATCH(tItens[[#This Row],[Produto]],tProdutos[Produto],0))),DescontoPadrao)</f>
        <v>0.28000000000000003</v>
      </c>
      <c r="M8810" s="12">
        <f>tItens[[#This Row],[Valor]]*(1-tItens[[#This Row],[Desconto]])</f>
        <v>0</v>
      </c>
      <c r="N8810" t="str">
        <f>IFERROR(INDEX(tProdutos[Foco],MATCH(tItens[[#This Row],[Produto]],tProdutos[Produto],0)),"Não")</f>
        <v>Sim</v>
      </c>
      <c r="O8810" t="str">
        <f>IFERROR(INDEX(tEditais[SRP],MATCH(tItens[[#This Row],[Edital]],tEditais[Edital],0)),"Não")</f>
        <v>Não</v>
      </c>
      <c r="P8810" s="4">
        <f>IF(COUNTIFS(INDEX(tItens[Edital],1):tItens[[#This Row],[Edital]],tItens[[#This Row],[Edital]],INDEX(tItens[Produto],1):tItens[[#This Row],[Produto]],tItens[[#This Row],[Produto]])=1,1,0)</f>
        <v>1</v>
      </c>
    </row>
    <row r="8811" spans="1:16" x14ac:dyDescent="0.25">
      <c r="A8811" t="s">
        <v>3012</v>
      </c>
      <c r="B8811">
        <v>4</v>
      </c>
      <c r="C8811" t="s">
        <v>11192</v>
      </c>
      <c r="D8811" t="s">
        <v>347</v>
      </c>
      <c r="E8811" s="13">
        <v>100</v>
      </c>
      <c r="F8811" s="12">
        <v>0</v>
      </c>
      <c r="G8811" t="str">
        <f>IFERROR(INDEX(tEditais[Órgão],MATCH(tItens[[#This Row],[Edital]],tEditais[Edital],0)),"")</f>
        <v>SECRETARIA DE ESTADO DA SAUDE</v>
      </c>
      <c r="H8811" t="str">
        <f>IFERROR(INDEX(tEditais[UF],MATCH(tItens[[#This Row],[Edital]],tEditais[Edital],0)),"")</f>
        <v>SP</v>
      </c>
      <c r="I8811" s="11">
        <f>IFERROR(INDEX(tEditais[Encerramento],MATCH(tItens[[#This Row],[Edital]],tEditais[Edital],0)),"")</f>
        <v>46310.375</v>
      </c>
      <c r="J8811" t="str">
        <f>IFERROR(INDEX(tProdutos[Classe],MATCH(tItens[[#This Row],[Produto]],tProdutos[Produto],0)),"produto não cadastrado")</f>
        <v>FORA</v>
      </c>
      <c r="K8811" s="12">
        <f>tItens[[#This Row],[Qtd]]*tItens[[#This Row],[Vlr unit]]</f>
        <v>0</v>
      </c>
      <c r="L8811" s="6">
        <f>IFERROR(IF(INDEX(tProdutos[Desconto homologado],MATCH(tItens[[#This Row],[Produto]],tProdutos[Produto],0))="",DescontoPadrao,INDEX(tProdutos[Desconto homologado],MATCH(tItens[[#This Row],[Produto]],tProdutos[Produto],0))),DescontoPadrao)</f>
        <v>0.26356465005931201</v>
      </c>
      <c r="M8811" s="12">
        <f>tItens[[#This Row],[Valor]]*(1-tItens[[#This Row],[Desconto]])</f>
        <v>0</v>
      </c>
      <c r="N8811" t="str">
        <f>IFERROR(INDEX(tProdutos[Foco],MATCH(tItens[[#This Row],[Produto]],tProdutos[Produto],0)),"Não")</f>
        <v>Não</v>
      </c>
      <c r="O8811" t="str">
        <f>IFERROR(INDEX(tEditais[SRP],MATCH(tItens[[#This Row],[Edital]],tEditais[Edital],0)),"Não")</f>
        <v>Não</v>
      </c>
      <c r="P8811" s="4">
        <f>IF(COUNTIFS(INDEX(tItens[Edital],1):tItens[[#This Row],[Edital]],tItens[[#This Row],[Edital]],INDEX(tItens[Produto],1):tItens[[#This Row],[Produto]],tItens[[#This Row],[Produto]])=1,1,0)</f>
        <v>1</v>
      </c>
    </row>
    <row r="8812" spans="1:16" x14ac:dyDescent="0.25">
      <c r="A8812" t="s">
        <v>3015</v>
      </c>
      <c r="B8812">
        <v>1</v>
      </c>
      <c r="C8812" t="s">
        <v>4191</v>
      </c>
      <c r="D8812" t="s">
        <v>245</v>
      </c>
      <c r="E8812" s="13">
        <v>72</v>
      </c>
      <c r="F8812" s="12">
        <v>0</v>
      </c>
      <c r="G8812" t="str">
        <f>IFERROR(INDEX(tEditais[Órgão],MATCH(tItens[[#This Row],[Edital]],tEditais[Edital],0)),"")</f>
        <v>INSTITUTO DE ASSISTENCIA MEDICA AO SERVIDOR PUBLICO ESTADUAL</v>
      </c>
      <c r="H8812" t="str">
        <f>IFERROR(INDEX(tEditais[UF],MATCH(tItens[[#This Row],[Edital]],tEditais[Edital],0)),"")</f>
        <v>SP</v>
      </c>
      <c r="I8812" s="11">
        <f>IFERROR(INDEX(tEditais[Encerramento],MATCH(tItens[[#This Row],[Edital]],tEditais[Edital],0)),"")</f>
        <v>46310.375</v>
      </c>
      <c r="J8812" t="str">
        <f>IFERROR(INDEX(tProdutos[Classe],MATCH(tItens[[#This Row],[Produto]],tProdutos[Produto],0)),"produto não cadastrado")</f>
        <v>FORA</v>
      </c>
      <c r="K8812" s="12">
        <f>tItens[[#This Row],[Qtd]]*tItens[[#This Row],[Vlr unit]]</f>
        <v>0</v>
      </c>
      <c r="L8812" s="6">
        <f>IFERROR(IF(INDEX(tProdutos[Desconto homologado],MATCH(tItens[[#This Row],[Produto]],tProdutos[Produto],0))="",DescontoPadrao,INDEX(tProdutos[Desconto homologado],MATCH(tItens[[#This Row],[Produto]],tProdutos[Produto],0))),DescontoPadrao)</f>
        <v>0.34516963542284401</v>
      </c>
      <c r="M8812" s="12">
        <f>tItens[[#This Row],[Valor]]*(1-tItens[[#This Row],[Desconto]])</f>
        <v>0</v>
      </c>
      <c r="N8812" t="str">
        <f>IFERROR(INDEX(tProdutos[Foco],MATCH(tItens[[#This Row],[Produto]],tProdutos[Produto],0)),"Não")</f>
        <v>Não</v>
      </c>
      <c r="O8812" t="str">
        <f>IFERROR(INDEX(tEditais[SRP],MATCH(tItens[[#This Row],[Edital]],tEditais[Edital],0)),"Não")</f>
        <v>Não</v>
      </c>
      <c r="P8812" s="4">
        <f>IF(COUNTIFS(INDEX(tItens[Edital],1):tItens[[#This Row],[Edital]],tItens[[#This Row],[Edital]],INDEX(tItens[Produto],1):tItens[[#This Row],[Produto]],tItens[[#This Row],[Produto]])=1,1,0)</f>
        <v>1</v>
      </c>
    </row>
    <row r="8813" spans="1:16" x14ac:dyDescent="0.25">
      <c r="A8813" t="s">
        <v>3018</v>
      </c>
      <c r="B8813">
        <v>2</v>
      </c>
      <c r="C8813" t="s">
        <v>5455</v>
      </c>
      <c r="D8813" t="s">
        <v>195</v>
      </c>
      <c r="E8813" s="13">
        <v>3200</v>
      </c>
      <c r="F8813" s="12">
        <v>0</v>
      </c>
      <c r="G8813" t="str">
        <f>IFERROR(INDEX(tEditais[Órgão],MATCH(tItens[[#This Row],[Edital]],tEditais[Edital],0)),"")</f>
        <v>SECRETARIA DE ESTADO DA SAUDE</v>
      </c>
      <c r="H8813" t="str">
        <f>IFERROR(INDEX(tEditais[UF],MATCH(tItens[[#This Row],[Edital]],tEditais[Edital],0)),"")</f>
        <v>SP</v>
      </c>
      <c r="I8813" s="11">
        <f>IFERROR(INDEX(tEditais[Encerramento],MATCH(tItens[[#This Row],[Edital]],tEditais[Edital],0)),"")</f>
        <v>46310.375</v>
      </c>
      <c r="J8813" t="str">
        <f>IFERROR(INDEX(tProdutos[Classe],MATCH(tItens[[#This Row],[Produto]],tProdutos[Produto],0)),"produto não cadastrado")</f>
        <v>FORA</v>
      </c>
      <c r="K8813" s="12">
        <f>tItens[[#This Row],[Qtd]]*tItens[[#This Row],[Vlr unit]]</f>
        <v>0</v>
      </c>
      <c r="L8813" s="6">
        <f>IFERROR(IF(INDEX(tProdutos[Desconto homologado],MATCH(tItens[[#This Row],[Produto]],tProdutos[Produto],0))="",DescontoPadrao,INDEX(tProdutos[Desconto homologado],MATCH(tItens[[#This Row],[Produto]],tProdutos[Produto],0))),DescontoPadrao)</f>
        <v>0.27813657840171302</v>
      </c>
      <c r="M8813" s="12">
        <f>tItens[[#This Row],[Valor]]*(1-tItens[[#This Row],[Desconto]])</f>
        <v>0</v>
      </c>
      <c r="N8813" t="str">
        <f>IFERROR(INDEX(tProdutos[Foco],MATCH(tItens[[#This Row],[Produto]],tProdutos[Produto],0)),"Não")</f>
        <v>Não</v>
      </c>
      <c r="O8813" t="str">
        <f>IFERROR(INDEX(tEditais[SRP],MATCH(tItens[[#This Row],[Edital]],tEditais[Edital],0)),"Não")</f>
        <v>Não</v>
      </c>
      <c r="P8813" s="4">
        <f>IF(COUNTIFS(INDEX(tItens[Edital],1):tItens[[#This Row],[Edital]],tItens[[#This Row],[Edital]],INDEX(tItens[Produto],1):tItens[[#This Row],[Produto]],tItens[[#This Row],[Produto]])=1,1,0)</f>
        <v>1</v>
      </c>
    </row>
    <row r="8814" spans="1:16" x14ac:dyDescent="0.25">
      <c r="A8814" t="s">
        <v>3018</v>
      </c>
      <c r="B8814">
        <v>3</v>
      </c>
      <c r="C8814" t="s">
        <v>11193</v>
      </c>
      <c r="D8814" t="s">
        <v>180</v>
      </c>
      <c r="E8814" s="13">
        <v>3200</v>
      </c>
      <c r="F8814" s="12">
        <v>0</v>
      </c>
      <c r="G8814" t="str">
        <f>IFERROR(INDEX(tEditais[Órgão],MATCH(tItens[[#This Row],[Edital]],tEditais[Edital],0)),"")</f>
        <v>SECRETARIA DE ESTADO DA SAUDE</v>
      </c>
      <c r="H8814" t="str">
        <f>IFERROR(INDEX(tEditais[UF],MATCH(tItens[[#This Row],[Edital]],tEditais[Edital],0)),"")</f>
        <v>SP</v>
      </c>
      <c r="I8814" s="11">
        <f>IFERROR(INDEX(tEditais[Encerramento],MATCH(tItens[[#This Row],[Edital]],tEditais[Edital],0)),"")</f>
        <v>46310.375</v>
      </c>
      <c r="J8814" t="str">
        <f>IFERROR(INDEX(tProdutos[Classe],MATCH(tItens[[#This Row],[Produto]],tProdutos[Produto],0)),"produto não cadastrado")</f>
        <v>DISPUTADO</v>
      </c>
      <c r="K8814" s="12">
        <f>tItens[[#This Row],[Qtd]]*tItens[[#This Row],[Vlr unit]]</f>
        <v>0</v>
      </c>
      <c r="L8814" s="6">
        <f>IFERROR(IF(INDEX(tProdutos[Desconto homologado],MATCH(tItens[[#This Row],[Produto]],tProdutos[Produto],0))="",DescontoPadrao,INDEX(tProdutos[Desconto homologado],MATCH(tItens[[#This Row],[Produto]],tProdutos[Produto],0))),DescontoPadrao)</f>
        <v>0.33333333333333298</v>
      </c>
      <c r="M8814" s="12">
        <f>tItens[[#This Row],[Valor]]*(1-tItens[[#This Row],[Desconto]])</f>
        <v>0</v>
      </c>
      <c r="N8814" t="str">
        <f>IFERROR(INDEX(tProdutos[Foco],MATCH(tItens[[#This Row],[Produto]],tProdutos[Produto],0)),"Não")</f>
        <v>Não</v>
      </c>
      <c r="O8814" t="str">
        <f>IFERROR(INDEX(tEditais[SRP],MATCH(tItens[[#This Row],[Edital]],tEditais[Edital],0)),"Não")</f>
        <v>Não</v>
      </c>
      <c r="P8814" s="4">
        <f>IF(COUNTIFS(INDEX(tItens[Edital],1):tItens[[#This Row],[Edital]],tItens[[#This Row],[Edital]],INDEX(tItens[Produto],1):tItens[[#This Row],[Produto]],tItens[[#This Row],[Produto]])=1,1,0)</f>
        <v>1</v>
      </c>
    </row>
    <row r="8815" spans="1:16" x14ac:dyDescent="0.25">
      <c r="A8815" t="s">
        <v>3021</v>
      </c>
      <c r="B8815">
        <v>7</v>
      </c>
      <c r="C8815" t="s">
        <v>4147</v>
      </c>
      <c r="D8815" t="s">
        <v>229</v>
      </c>
      <c r="E8815" s="13">
        <v>11174</v>
      </c>
      <c r="F8815" s="12">
        <v>0</v>
      </c>
      <c r="G8815" t="str">
        <f>IFERROR(INDEX(tEditais[Órgão],MATCH(tItens[[#This Row],[Edital]],tEditais[Edital],0)),"")</f>
        <v>HOSPITAL DAS CLINICAS DA FACULDADE DE MEDICINA DA U S P</v>
      </c>
      <c r="H8815" t="str">
        <f>IFERROR(INDEX(tEditais[UF],MATCH(tItens[[#This Row],[Edital]],tEditais[Edital],0)),"")</f>
        <v>SP</v>
      </c>
      <c r="I8815" s="11">
        <f>IFERROR(INDEX(tEditais[Encerramento],MATCH(tItens[[#This Row],[Edital]],tEditais[Edital],0)),"")</f>
        <v>46310.375</v>
      </c>
      <c r="J8815" t="str">
        <f>IFERROR(INDEX(tProdutos[Classe],MATCH(tItens[[#This Row],[Produto]],tProdutos[Produto],0)),"produto não cadastrado")</f>
        <v>FORA</v>
      </c>
      <c r="K8815" s="12">
        <f>tItens[[#This Row],[Qtd]]*tItens[[#This Row],[Vlr unit]]</f>
        <v>0</v>
      </c>
      <c r="L8815" s="6">
        <f>IFERROR(IF(INDEX(tProdutos[Desconto homologado],MATCH(tItens[[#This Row],[Produto]],tProdutos[Produto],0))="",DescontoPadrao,INDEX(tProdutos[Desconto homologado],MATCH(tItens[[#This Row],[Produto]],tProdutos[Produto],0))),DescontoPadrao)</f>
        <v>0.33093491191658198</v>
      </c>
      <c r="M8815" s="12">
        <f>tItens[[#This Row],[Valor]]*(1-tItens[[#This Row],[Desconto]])</f>
        <v>0</v>
      </c>
      <c r="N8815" t="str">
        <f>IFERROR(INDEX(tProdutos[Foco],MATCH(tItens[[#This Row],[Produto]],tProdutos[Produto],0)),"Não")</f>
        <v>Não</v>
      </c>
      <c r="O8815" t="str">
        <f>IFERROR(INDEX(tEditais[SRP],MATCH(tItens[[#This Row],[Edital]],tEditais[Edital],0)),"Não")</f>
        <v>Não</v>
      </c>
      <c r="P8815" s="4">
        <f>IF(COUNTIFS(INDEX(tItens[Edital],1):tItens[[#This Row],[Edital]],tItens[[#This Row],[Edital]],INDEX(tItens[Produto],1):tItens[[#This Row],[Produto]],tItens[[#This Row],[Produto]])=1,1,0)</f>
        <v>1</v>
      </c>
    </row>
    <row r="8816" spans="1:16" x14ac:dyDescent="0.25">
      <c r="A8816" t="s">
        <v>3021</v>
      </c>
      <c r="B8816">
        <v>8</v>
      </c>
      <c r="C8816" t="s">
        <v>11194</v>
      </c>
      <c r="D8816" t="s">
        <v>229</v>
      </c>
      <c r="E8816" s="13">
        <v>25070</v>
      </c>
      <c r="F8816" s="12">
        <v>0</v>
      </c>
      <c r="G8816" t="str">
        <f>IFERROR(INDEX(tEditais[Órgão],MATCH(tItens[[#This Row],[Edital]],tEditais[Edital],0)),"")</f>
        <v>HOSPITAL DAS CLINICAS DA FACULDADE DE MEDICINA DA U S P</v>
      </c>
      <c r="H8816" t="str">
        <f>IFERROR(INDEX(tEditais[UF],MATCH(tItens[[#This Row],[Edital]],tEditais[Edital],0)),"")</f>
        <v>SP</v>
      </c>
      <c r="I8816" s="11">
        <f>IFERROR(INDEX(tEditais[Encerramento],MATCH(tItens[[#This Row],[Edital]],tEditais[Edital],0)),"")</f>
        <v>46310.375</v>
      </c>
      <c r="J8816" t="str">
        <f>IFERROR(INDEX(tProdutos[Classe],MATCH(tItens[[#This Row],[Produto]],tProdutos[Produto],0)),"produto não cadastrado")</f>
        <v>FORA</v>
      </c>
      <c r="K8816" s="12">
        <f>tItens[[#This Row],[Qtd]]*tItens[[#This Row],[Vlr unit]]</f>
        <v>0</v>
      </c>
      <c r="L8816" s="6">
        <f>IFERROR(IF(INDEX(tProdutos[Desconto homologado],MATCH(tItens[[#This Row],[Produto]],tProdutos[Produto],0))="",DescontoPadrao,INDEX(tProdutos[Desconto homologado],MATCH(tItens[[#This Row],[Produto]],tProdutos[Produto],0))),DescontoPadrao)</f>
        <v>0.33093491191658198</v>
      </c>
      <c r="M8816" s="12">
        <f>tItens[[#This Row],[Valor]]*(1-tItens[[#This Row],[Desconto]])</f>
        <v>0</v>
      </c>
      <c r="N8816" t="str">
        <f>IFERROR(INDEX(tProdutos[Foco],MATCH(tItens[[#This Row],[Produto]],tProdutos[Produto],0)),"Não")</f>
        <v>Não</v>
      </c>
      <c r="O8816" t="str">
        <f>IFERROR(INDEX(tEditais[SRP],MATCH(tItens[[#This Row],[Edital]],tEditais[Edital],0)),"Não")</f>
        <v>Não</v>
      </c>
      <c r="P8816" s="4">
        <f>IF(COUNTIFS(INDEX(tItens[Edital],1):tItens[[#This Row],[Edital]],tItens[[#This Row],[Edital]],INDEX(tItens[Produto],1):tItens[[#This Row],[Produto]],tItens[[#This Row],[Produto]])=1,1,0)</f>
        <v>0</v>
      </c>
    </row>
    <row r="8817" spans="1:16" x14ac:dyDescent="0.25">
      <c r="A8817" t="s">
        <v>3021</v>
      </c>
      <c r="B8817">
        <v>9</v>
      </c>
      <c r="C8817" t="s">
        <v>11195</v>
      </c>
      <c r="D8817" t="s">
        <v>229</v>
      </c>
      <c r="E8817" s="13">
        <v>188710</v>
      </c>
      <c r="F8817" s="12">
        <v>0</v>
      </c>
      <c r="G8817" t="str">
        <f>IFERROR(INDEX(tEditais[Órgão],MATCH(tItens[[#This Row],[Edital]],tEditais[Edital],0)),"")</f>
        <v>HOSPITAL DAS CLINICAS DA FACULDADE DE MEDICINA DA U S P</v>
      </c>
      <c r="H8817" t="str">
        <f>IFERROR(INDEX(tEditais[UF],MATCH(tItens[[#This Row],[Edital]],tEditais[Edital],0)),"")</f>
        <v>SP</v>
      </c>
      <c r="I8817" s="11">
        <f>IFERROR(INDEX(tEditais[Encerramento],MATCH(tItens[[#This Row],[Edital]],tEditais[Edital],0)),"")</f>
        <v>46310.375</v>
      </c>
      <c r="J8817" t="str">
        <f>IFERROR(INDEX(tProdutos[Classe],MATCH(tItens[[#This Row],[Produto]],tProdutos[Produto],0)),"produto não cadastrado")</f>
        <v>FORA</v>
      </c>
      <c r="K8817" s="12">
        <f>tItens[[#This Row],[Qtd]]*tItens[[#This Row],[Vlr unit]]</f>
        <v>0</v>
      </c>
      <c r="L8817" s="6">
        <f>IFERROR(IF(INDEX(tProdutos[Desconto homologado],MATCH(tItens[[#This Row],[Produto]],tProdutos[Produto],0))="",DescontoPadrao,INDEX(tProdutos[Desconto homologado],MATCH(tItens[[#This Row],[Produto]],tProdutos[Produto],0))),DescontoPadrao)</f>
        <v>0.33093491191658198</v>
      </c>
      <c r="M8817" s="12">
        <f>tItens[[#This Row],[Valor]]*(1-tItens[[#This Row],[Desconto]])</f>
        <v>0</v>
      </c>
      <c r="N8817" t="str">
        <f>IFERROR(INDEX(tProdutos[Foco],MATCH(tItens[[#This Row],[Produto]],tProdutos[Produto],0)),"Não")</f>
        <v>Não</v>
      </c>
      <c r="O8817" t="str">
        <f>IFERROR(INDEX(tEditais[SRP],MATCH(tItens[[#This Row],[Edital]],tEditais[Edital],0)),"Não")</f>
        <v>Não</v>
      </c>
      <c r="P8817" s="4">
        <f>IF(COUNTIFS(INDEX(tItens[Edital],1):tItens[[#This Row],[Edital]],tItens[[#This Row],[Edital]],INDEX(tItens[Produto],1):tItens[[#This Row],[Produto]],tItens[[#This Row],[Produto]])=1,1,0)</f>
        <v>0</v>
      </c>
    </row>
    <row r="8818" spans="1:16" x14ac:dyDescent="0.25">
      <c r="A8818" t="s">
        <v>3021</v>
      </c>
      <c r="B8818">
        <v>10</v>
      </c>
      <c r="C8818" t="s">
        <v>11196</v>
      </c>
      <c r="D8818" t="s">
        <v>229</v>
      </c>
      <c r="E8818" s="13">
        <v>2040</v>
      </c>
      <c r="F8818" s="12">
        <v>0</v>
      </c>
      <c r="G8818" t="str">
        <f>IFERROR(INDEX(tEditais[Órgão],MATCH(tItens[[#This Row],[Edital]],tEditais[Edital],0)),"")</f>
        <v>HOSPITAL DAS CLINICAS DA FACULDADE DE MEDICINA DA U S P</v>
      </c>
      <c r="H8818" t="str">
        <f>IFERROR(INDEX(tEditais[UF],MATCH(tItens[[#This Row],[Edital]],tEditais[Edital],0)),"")</f>
        <v>SP</v>
      </c>
      <c r="I8818" s="11">
        <f>IFERROR(INDEX(tEditais[Encerramento],MATCH(tItens[[#This Row],[Edital]],tEditais[Edital],0)),"")</f>
        <v>46310.375</v>
      </c>
      <c r="J8818" t="str">
        <f>IFERROR(INDEX(tProdutos[Classe],MATCH(tItens[[#This Row],[Produto]],tProdutos[Produto],0)),"produto não cadastrado")</f>
        <v>FORA</v>
      </c>
      <c r="K8818" s="12">
        <f>tItens[[#This Row],[Qtd]]*tItens[[#This Row],[Vlr unit]]</f>
        <v>0</v>
      </c>
      <c r="L8818" s="6">
        <f>IFERROR(IF(INDEX(tProdutos[Desconto homologado],MATCH(tItens[[#This Row],[Produto]],tProdutos[Produto],0))="",DescontoPadrao,INDEX(tProdutos[Desconto homologado],MATCH(tItens[[#This Row],[Produto]],tProdutos[Produto],0))),DescontoPadrao)</f>
        <v>0.33093491191658198</v>
      </c>
      <c r="M8818" s="12">
        <f>tItens[[#This Row],[Valor]]*(1-tItens[[#This Row],[Desconto]])</f>
        <v>0</v>
      </c>
      <c r="N8818" t="str">
        <f>IFERROR(INDEX(tProdutos[Foco],MATCH(tItens[[#This Row],[Produto]],tProdutos[Produto],0)),"Não")</f>
        <v>Não</v>
      </c>
      <c r="O8818" t="str">
        <f>IFERROR(INDEX(tEditais[SRP],MATCH(tItens[[#This Row],[Edital]],tEditais[Edital],0)),"Não")</f>
        <v>Não</v>
      </c>
      <c r="P8818" s="4">
        <f>IF(COUNTIFS(INDEX(tItens[Edital],1):tItens[[#This Row],[Edital]],tItens[[#This Row],[Edital]],INDEX(tItens[Produto],1):tItens[[#This Row],[Produto]],tItens[[#This Row],[Produto]])=1,1,0)</f>
        <v>0</v>
      </c>
    </row>
    <row r="8819" spans="1:16" x14ac:dyDescent="0.25">
      <c r="A8819" t="s">
        <v>3024</v>
      </c>
      <c r="B8819">
        <v>1</v>
      </c>
      <c r="C8819" t="s">
        <v>5877</v>
      </c>
      <c r="D8819" t="s">
        <v>347</v>
      </c>
      <c r="E8819" s="13">
        <v>288</v>
      </c>
      <c r="F8819" s="12">
        <v>0</v>
      </c>
      <c r="G8819" t="str">
        <f>IFERROR(INDEX(tEditais[Órgão],MATCH(tItens[[#This Row],[Edital]],tEditais[Edital],0)),"")</f>
        <v>INSTITUTO DE ASSISTENCIA MEDICA AO SERVIDOR PUBLICO ESTADUAL</v>
      </c>
      <c r="H8819" t="str">
        <f>IFERROR(INDEX(tEditais[UF],MATCH(tItens[[#This Row],[Edital]],tEditais[Edital],0)),"")</f>
        <v>SP</v>
      </c>
      <c r="I8819" s="11">
        <f>IFERROR(INDEX(tEditais[Encerramento],MATCH(tItens[[#This Row],[Edital]],tEditais[Edital],0)),"")</f>
        <v>46310.375</v>
      </c>
      <c r="J8819" t="str">
        <f>IFERROR(INDEX(tProdutos[Classe],MATCH(tItens[[#This Row],[Produto]],tProdutos[Produto],0)),"produto não cadastrado")</f>
        <v>FORA</v>
      </c>
      <c r="K8819" s="12">
        <f>tItens[[#This Row],[Qtd]]*tItens[[#This Row],[Vlr unit]]</f>
        <v>0</v>
      </c>
      <c r="L8819" s="6">
        <f>IFERROR(IF(INDEX(tProdutos[Desconto homologado],MATCH(tItens[[#This Row],[Produto]],tProdutos[Produto],0))="",DescontoPadrao,INDEX(tProdutos[Desconto homologado],MATCH(tItens[[#This Row],[Produto]],tProdutos[Produto],0))),DescontoPadrao)</f>
        <v>0.26356465005931201</v>
      </c>
      <c r="M8819" s="12">
        <f>tItens[[#This Row],[Valor]]*(1-tItens[[#This Row],[Desconto]])</f>
        <v>0</v>
      </c>
      <c r="N8819" t="str">
        <f>IFERROR(INDEX(tProdutos[Foco],MATCH(tItens[[#This Row],[Produto]],tProdutos[Produto],0)),"Não")</f>
        <v>Não</v>
      </c>
      <c r="O8819" t="str">
        <f>IFERROR(INDEX(tEditais[SRP],MATCH(tItens[[#This Row],[Edital]],tEditais[Edital],0)),"Não")</f>
        <v>Não</v>
      </c>
      <c r="P8819" s="4">
        <f>IF(COUNTIFS(INDEX(tItens[Edital],1):tItens[[#This Row],[Edital]],tItens[[#This Row],[Edital]],INDEX(tItens[Produto],1):tItens[[#This Row],[Produto]],tItens[[#This Row],[Produto]])=1,1,0)</f>
        <v>1</v>
      </c>
    </row>
    <row r="8820" spans="1:16" x14ac:dyDescent="0.25">
      <c r="A8820" t="s">
        <v>3024</v>
      </c>
      <c r="B8820">
        <v>2</v>
      </c>
      <c r="C8820" t="s">
        <v>4116</v>
      </c>
      <c r="D8820" t="s">
        <v>347</v>
      </c>
      <c r="E8820" s="13">
        <v>1080</v>
      </c>
      <c r="F8820" s="12">
        <v>0</v>
      </c>
      <c r="G8820" t="str">
        <f>IFERROR(INDEX(tEditais[Órgão],MATCH(tItens[[#This Row],[Edital]],tEditais[Edital],0)),"")</f>
        <v>INSTITUTO DE ASSISTENCIA MEDICA AO SERVIDOR PUBLICO ESTADUAL</v>
      </c>
      <c r="H8820" t="str">
        <f>IFERROR(INDEX(tEditais[UF],MATCH(tItens[[#This Row],[Edital]],tEditais[Edital],0)),"")</f>
        <v>SP</v>
      </c>
      <c r="I8820" s="11">
        <f>IFERROR(INDEX(tEditais[Encerramento],MATCH(tItens[[#This Row],[Edital]],tEditais[Edital],0)),"")</f>
        <v>46310.375</v>
      </c>
      <c r="J8820" t="str">
        <f>IFERROR(INDEX(tProdutos[Classe],MATCH(tItens[[#This Row],[Produto]],tProdutos[Produto],0)),"produto não cadastrado")</f>
        <v>FORA</v>
      </c>
      <c r="K8820" s="12">
        <f>tItens[[#This Row],[Qtd]]*tItens[[#This Row],[Vlr unit]]</f>
        <v>0</v>
      </c>
      <c r="L8820" s="6">
        <f>IFERROR(IF(INDEX(tProdutos[Desconto homologado],MATCH(tItens[[#This Row],[Produto]],tProdutos[Produto],0))="",DescontoPadrao,INDEX(tProdutos[Desconto homologado],MATCH(tItens[[#This Row],[Produto]],tProdutos[Produto],0))),DescontoPadrao)</f>
        <v>0.26356465005931201</v>
      </c>
      <c r="M8820" s="12">
        <f>tItens[[#This Row],[Valor]]*(1-tItens[[#This Row],[Desconto]])</f>
        <v>0</v>
      </c>
      <c r="N8820" t="str">
        <f>IFERROR(INDEX(tProdutos[Foco],MATCH(tItens[[#This Row],[Produto]],tProdutos[Produto],0)),"Não")</f>
        <v>Não</v>
      </c>
      <c r="O8820" t="str">
        <f>IFERROR(INDEX(tEditais[SRP],MATCH(tItens[[#This Row],[Edital]],tEditais[Edital],0)),"Não")</f>
        <v>Não</v>
      </c>
      <c r="P8820" s="4">
        <f>IF(COUNTIFS(INDEX(tItens[Edital],1):tItens[[#This Row],[Edital]],tItens[[#This Row],[Edital]],INDEX(tItens[Produto],1):tItens[[#This Row],[Produto]],tItens[[#This Row],[Produto]])=1,1,0)</f>
        <v>0</v>
      </c>
    </row>
    <row r="8821" spans="1:16" x14ac:dyDescent="0.25">
      <c r="A8821" t="s">
        <v>3024</v>
      </c>
      <c r="B8821">
        <v>3</v>
      </c>
      <c r="C8821" t="s">
        <v>5876</v>
      </c>
      <c r="D8821" t="s">
        <v>347</v>
      </c>
      <c r="E8821" s="13">
        <v>1284</v>
      </c>
      <c r="F8821" s="12">
        <v>0</v>
      </c>
      <c r="G8821" t="str">
        <f>IFERROR(INDEX(tEditais[Órgão],MATCH(tItens[[#This Row],[Edital]],tEditais[Edital],0)),"")</f>
        <v>INSTITUTO DE ASSISTENCIA MEDICA AO SERVIDOR PUBLICO ESTADUAL</v>
      </c>
      <c r="H8821" t="str">
        <f>IFERROR(INDEX(tEditais[UF],MATCH(tItens[[#This Row],[Edital]],tEditais[Edital],0)),"")</f>
        <v>SP</v>
      </c>
      <c r="I8821" s="11">
        <f>IFERROR(INDEX(tEditais[Encerramento],MATCH(tItens[[#This Row],[Edital]],tEditais[Edital],0)),"")</f>
        <v>46310.375</v>
      </c>
      <c r="J8821" t="str">
        <f>IFERROR(INDEX(tProdutos[Classe],MATCH(tItens[[#This Row],[Produto]],tProdutos[Produto],0)),"produto não cadastrado")</f>
        <v>FORA</v>
      </c>
      <c r="K8821" s="12">
        <f>tItens[[#This Row],[Qtd]]*tItens[[#This Row],[Vlr unit]]</f>
        <v>0</v>
      </c>
      <c r="L8821" s="6">
        <f>IFERROR(IF(INDEX(tProdutos[Desconto homologado],MATCH(tItens[[#This Row],[Produto]],tProdutos[Produto],0))="",DescontoPadrao,INDEX(tProdutos[Desconto homologado],MATCH(tItens[[#This Row],[Produto]],tProdutos[Produto],0))),DescontoPadrao)</f>
        <v>0.26356465005931201</v>
      </c>
      <c r="M8821" s="12">
        <f>tItens[[#This Row],[Valor]]*(1-tItens[[#This Row],[Desconto]])</f>
        <v>0</v>
      </c>
      <c r="N8821" t="str">
        <f>IFERROR(INDEX(tProdutos[Foco],MATCH(tItens[[#This Row],[Produto]],tProdutos[Produto],0)),"Não")</f>
        <v>Não</v>
      </c>
      <c r="O8821" t="str">
        <f>IFERROR(INDEX(tEditais[SRP],MATCH(tItens[[#This Row],[Edital]],tEditais[Edital],0)),"Não")</f>
        <v>Não</v>
      </c>
      <c r="P8821" s="4">
        <f>IF(COUNTIFS(INDEX(tItens[Edital],1):tItens[[#This Row],[Edital]],tItens[[#This Row],[Edital]],INDEX(tItens[Produto],1):tItens[[#This Row],[Produto]],tItens[[#This Row],[Produto]])=1,1,0)</f>
        <v>0</v>
      </c>
    </row>
    <row r="8822" spans="1:16" x14ac:dyDescent="0.25">
      <c r="A8822" t="s">
        <v>3027</v>
      </c>
      <c r="B8822">
        <v>3</v>
      </c>
      <c r="C8822" t="s">
        <v>11197</v>
      </c>
      <c r="D8822" t="s">
        <v>156</v>
      </c>
      <c r="E8822" s="13">
        <v>30</v>
      </c>
      <c r="F8822" s="12">
        <v>0</v>
      </c>
      <c r="G8822" t="str">
        <f>IFERROR(INDEX(tEditais[Órgão],MATCH(tItens[[#This Row],[Edital]],tEditais[Edital],0)),"")</f>
        <v>SECRETARIA DE ESTADO DA SAUDE</v>
      </c>
      <c r="H8822" t="str">
        <f>IFERROR(INDEX(tEditais[UF],MATCH(tItens[[#This Row],[Edital]],tEditais[Edital],0)),"")</f>
        <v>SP</v>
      </c>
      <c r="I8822" s="11">
        <f>IFERROR(INDEX(tEditais[Encerramento],MATCH(tItens[[#This Row],[Edital]],tEditais[Edital],0)),"")</f>
        <v>46310.416666666664</v>
      </c>
      <c r="J8822" t="str">
        <f>IFERROR(INDEX(tProdutos[Classe],MATCH(tItens[[#This Row],[Produto]],tProdutos[Produto],0)),"produto não cadastrado")</f>
        <v>DISPUTADO</v>
      </c>
      <c r="K8822" s="12">
        <f>tItens[[#This Row],[Qtd]]*tItens[[#This Row],[Vlr unit]]</f>
        <v>0</v>
      </c>
      <c r="L8822" s="6">
        <f>IFERROR(IF(INDEX(tProdutos[Desconto homologado],MATCH(tItens[[#This Row],[Produto]],tProdutos[Produto],0))="",DescontoPadrao,INDEX(tProdutos[Desconto homologado],MATCH(tItens[[#This Row],[Produto]],tProdutos[Produto],0))),DescontoPadrao)</f>
        <v>0.27131852489802799</v>
      </c>
      <c r="M8822" s="12">
        <f>tItens[[#This Row],[Valor]]*(1-tItens[[#This Row],[Desconto]])</f>
        <v>0</v>
      </c>
      <c r="N8822" t="str">
        <f>IFERROR(INDEX(tProdutos[Foco],MATCH(tItens[[#This Row],[Produto]],tProdutos[Produto],0)),"Não")</f>
        <v>Não</v>
      </c>
      <c r="O8822" t="str">
        <f>IFERROR(INDEX(tEditais[SRP],MATCH(tItens[[#This Row],[Edital]],tEditais[Edital],0)),"Não")</f>
        <v>Não</v>
      </c>
      <c r="P8822" s="4">
        <f>IF(COUNTIFS(INDEX(tItens[Edital],1):tItens[[#This Row],[Edital]],tItens[[#This Row],[Edital]],INDEX(tItens[Produto],1):tItens[[#This Row],[Produto]],tItens[[#This Row],[Produto]])=1,1,0)</f>
        <v>1</v>
      </c>
    </row>
    <row r="8823" spans="1:16" x14ac:dyDescent="0.25">
      <c r="A8823" t="s">
        <v>3030</v>
      </c>
      <c r="B8823">
        <v>8</v>
      </c>
      <c r="C8823" t="s">
        <v>4111</v>
      </c>
      <c r="D8823" t="s">
        <v>82</v>
      </c>
      <c r="E8823" s="13">
        <v>7</v>
      </c>
      <c r="F8823" s="12">
        <v>0</v>
      </c>
      <c r="G8823" t="str">
        <f>IFERROR(INDEX(tEditais[Órgão],MATCH(tItens[[#This Row],[Edital]],tEditais[Edital],0)),"")</f>
        <v>SECRETARIA DE ESTADO DA SAUDE</v>
      </c>
      <c r="H8823" t="str">
        <f>IFERROR(INDEX(tEditais[UF],MATCH(tItens[[#This Row],[Edital]],tEditais[Edital],0)),"")</f>
        <v>SP</v>
      </c>
      <c r="I8823" s="11">
        <f>IFERROR(INDEX(tEditais[Encerramento],MATCH(tItens[[#This Row],[Edital]],tEditais[Edital],0)),"")</f>
        <v>46310.416666666664</v>
      </c>
      <c r="J8823" t="str">
        <f>IFERROR(INDEX(tProdutos[Classe],MATCH(tItens[[#This Row],[Produto]],tProdutos[Produto],0)),"produto não cadastrado")</f>
        <v>NÚCLEO</v>
      </c>
      <c r="K8823" s="12">
        <f>tItens[[#This Row],[Qtd]]*tItens[[#This Row],[Vlr unit]]</f>
        <v>0</v>
      </c>
      <c r="L8823" s="6">
        <f>IFERROR(IF(INDEX(tProdutos[Desconto homologado],MATCH(tItens[[#This Row],[Produto]],tProdutos[Produto],0))="",DescontoPadrao,INDEX(tProdutos[Desconto homologado],MATCH(tItens[[#This Row],[Produto]],tProdutos[Produto],0))),DescontoPadrao)</f>
        <v>0.40487090276506099</v>
      </c>
      <c r="M8823" s="12">
        <f>tItens[[#This Row],[Valor]]*(1-tItens[[#This Row],[Desconto]])</f>
        <v>0</v>
      </c>
      <c r="N8823" t="str">
        <f>IFERROR(INDEX(tProdutos[Foco],MATCH(tItens[[#This Row],[Produto]],tProdutos[Produto],0)),"Não")</f>
        <v>Não</v>
      </c>
      <c r="O8823" t="str">
        <f>IFERROR(INDEX(tEditais[SRP],MATCH(tItens[[#This Row],[Edital]],tEditais[Edital],0)),"Não")</f>
        <v>Não</v>
      </c>
      <c r="P8823" s="4">
        <f>IF(COUNTIFS(INDEX(tItens[Edital],1):tItens[[#This Row],[Edital]],tItens[[#This Row],[Edital]],INDEX(tItens[Produto],1):tItens[[#This Row],[Produto]],tItens[[#This Row],[Produto]])=1,1,0)</f>
        <v>1</v>
      </c>
    </row>
    <row r="8824" spans="1:16" x14ac:dyDescent="0.25">
      <c r="A8824" t="s">
        <v>3033</v>
      </c>
      <c r="B8824">
        <v>3</v>
      </c>
      <c r="C8824" t="s">
        <v>6975</v>
      </c>
      <c r="D8824" t="s">
        <v>333</v>
      </c>
      <c r="E8824" s="13">
        <v>33375</v>
      </c>
      <c r="F8824" s="12">
        <v>0</v>
      </c>
      <c r="G8824" t="str">
        <f>IFERROR(INDEX(tEditais[Órgão],MATCH(tItens[[#This Row],[Edital]],tEditais[Edital],0)),"")</f>
        <v>SECRETARIA DE ESTADO DA SAUDE</v>
      </c>
      <c r="H8824" t="str">
        <f>IFERROR(INDEX(tEditais[UF],MATCH(tItens[[#This Row],[Edital]],tEditais[Edital],0)),"")</f>
        <v>SP</v>
      </c>
      <c r="I8824" s="11">
        <f>IFERROR(INDEX(tEditais[Encerramento],MATCH(tItens[[#This Row],[Edital]],tEditais[Edital],0)),"")</f>
        <v>46310.479166666664</v>
      </c>
      <c r="J8824" t="str">
        <f>IFERROR(INDEX(tProdutos[Classe],MATCH(tItens[[#This Row],[Produto]],tProdutos[Produto],0)),"produto não cadastrado")</f>
        <v>FORA</v>
      </c>
      <c r="K8824" s="12">
        <f>tItens[[#This Row],[Qtd]]*tItens[[#This Row],[Vlr unit]]</f>
        <v>0</v>
      </c>
      <c r="L8824" s="6">
        <f>IFERROR(IF(INDEX(tProdutos[Desconto homologado],MATCH(tItens[[#This Row],[Produto]],tProdutos[Produto],0))="",DescontoPadrao,INDEX(tProdutos[Desconto homologado],MATCH(tItens[[#This Row],[Produto]],tProdutos[Produto],0))),DescontoPadrao)</f>
        <v>0.48951048951048998</v>
      </c>
      <c r="M8824" s="12">
        <f>tItens[[#This Row],[Valor]]*(1-tItens[[#This Row],[Desconto]])</f>
        <v>0</v>
      </c>
      <c r="N8824" t="str">
        <f>IFERROR(INDEX(tProdutos[Foco],MATCH(tItens[[#This Row],[Produto]],tProdutos[Produto],0)),"Não")</f>
        <v>Não</v>
      </c>
      <c r="O8824" t="str">
        <f>IFERROR(INDEX(tEditais[SRP],MATCH(tItens[[#This Row],[Edital]],tEditais[Edital],0)),"Não")</f>
        <v>Não</v>
      </c>
      <c r="P8824" s="4">
        <f>IF(COUNTIFS(INDEX(tItens[Edital],1):tItens[[#This Row],[Edital]],tItens[[#This Row],[Edital]],INDEX(tItens[Produto],1):tItens[[#This Row],[Produto]],tItens[[#This Row],[Produto]])=1,1,0)</f>
        <v>1</v>
      </c>
    </row>
    <row r="8825" spans="1:16" x14ac:dyDescent="0.25">
      <c r="A8825" t="s">
        <v>3033</v>
      </c>
      <c r="B8825">
        <v>4</v>
      </c>
      <c r="C8825" t="s">
        <v>6975</v>
      </c>
      <c r="D8825" t="s">
        <v>333</v>
      </c>
      <c r="E8825" s="13">
        <v>11125</v>
      </c>
      <c r="F8825" s="12">
        <v>0</v>
      </c>
      <c r="G8825" t="str">
        <f>IFERROR(INDEX(tEditais[Órgão],MATCH(tItens[[#This Row],[Edital]],tEditais[Edital],0)),"")</f>
        <v>SECRETARIA DE ESTADO DA SAUDE</v>
      </c>
      <c r="H8825" t="str">
        <f>IFERROR(INDEX(tEditais[UF],MATCH(tItens[[#This Row],[Edital]],tEditais[Edital],0)),"")</f>
        <v>SP</v>
      </c>
      <c r="I8825" s="11">
        <f>IFERROR(INDEX(tEditais[Encerramento],MATCH(tItens[[#This Row],[Edital]],tEditais[Edital],0)),"")</f>
        <v>46310.479166666664</v>
      </c>
      <c r="J8825" t="str">
        <f>IFERROR(INDEX(tProdutos[Classe],MATCH(tItens[[#This Row],[Produto]],tProdutos[Produto],0)),"produto não cadastrado")</f>
        <v>FORA</v>
      </c>
      <c r="K8825" s="12">
        <f>tItens[[#This Row],[Qtd]]*tItens[[#This Row],[Vlr unit]]</f>
        <v>0</v>
      </c>
      <c r="L8825" s="6">
        <f>IFERROR(IF(INDEX(tProdutos[Desconto homologado],MATCH(tItens[[#This Row],[Produto]],tProdutos[Produto],0))="",DescontoPadrao,INDEX(tProdutos[Desconto homologado],MATCH(tItens[[#This Row],[Produto]],tProdutos[Produto],0))),DescontoPadrao)</f>
        <v>0.48951048951048998</v>
      </c>
      <c r="M8825" s="12">
        <f>tItens[[#This Row],[Valor]]*(1-tItens[[#This Row],[Desconto]])</f>
        <v>0</v>
      </c>
      <c r="N8825" t="str">
        <f>IFERROR(INDEX(tProdutos[Foco],MATCH(tItens[[#This Row],[Produto]],tProdutos[Produto],0)),"Não")</f>
        <v>Não</v>
      </c>
      <c r="O8825" t="str">
        <f>IFERROR(INDEX(tEditais[SRP],MATCH(tItens[[#This Row],[Edital]],tEditais[Edital],0)),"Não")</f>
        <v>Não</v>
      </c>
      <c r="P8825" s="4">
        <f>IF(COUNTIFS(INDEX(tItens[Edital],1):tItens[[#This Row],[Edital]],tItens[[#This Row],[Edital]],INDEX(tItens[Produto],1):tItens[[#This Row],[Produto]],tItens[[#This Row],[Produto]])=1,1,0)</f>
        <v>0</v>
      </c>
    </row>
    <row r="8826" spans="1:16" x14ac:dyDescent="0.25">
      <c r="A8826" t="s">
        <v>3037</v>
      </c>
      <c r="B8826">
        <v>2</v>
      </c>
      <c r="C8826" t="s">
        <v>11198</v>
      </c>
      <c r="D8826" t="s">
        <v>279</v>
      </c>
      <c r="E8826" s="13">
        <v>1200</v>
      </c>
      <c r="F8826" s="12">
        <v>5.09</v>
      </c>
      <c r="G8826" t="str">
        <f>IFERROR(INDEX(tEditais[Órgão],MATCH(tItens[[#This Row],[Edital]],tEditais[Edital],0)),"")</f>
        <v>MUNICIPIO DE SANTOS</v>
      </c>
      <c r="H8826" t="str">
        <f>IFERROR(INDEX(tEditais[UF],MATCH(tItens[[#This Row],[Edital]],tEditais[Edital],0)),"")</f>
        <v>SP</v>
      </c>
      <c r="I8826" s="11">
        <f>IFERROR(INDEX(tEditais[Encerramento],MATCH(tItens[[#This Row],[Edital]],tEditais[Edital],0)),"")</f>
        <v>46310.583333333336</v>
      </c>
      <c r="J8826" t="str">
        <f>IFERROR(INDEX(tProdutos[Classe],MATCH(tItens[[#This Row],[Produto]],tProdutos[Produto],0)),"produto não cadastrado")</f>
        <v>FORA</v>
      </c>
      <c r="K8826" s="12">
        <f>tItens[[#This Row],[Qtd]]*tItens[[#This Row],[Vlr unit]]</f>
        <v>6108</v>
      </c>
      <c r="L8826" s="6">
        <f>IFERROR(IF(INDEX(tProdutos[Desconto homologado],MATCH(tItens[[#This Row],[Produto]],tProdutos[Produto],0))="",DescontoPadrao,INDEX(tProdutos[Desconto homologado],MATCH(tItens[[#This Row],[Produto]],tProdutos[Produto],0))),DescontoPadrao)</f>
        <v>0.28909090909090901</v>
      </c>
      <c r="M8826" s="12">
        <f>tItens[[#This Row],[Valor]]*(1-tItens[[#This Row],[Desconto]])</f>
        <v>4342.2327272727271</v>
      </c>
      <c r="N8826" t="str">
        <f>IFERROR(INDEX(tProdutos[Foco],MATCH(tItens[[#This Row],[Produto]],tProdutos[Produto],0)),"Não")</f>
        <v>Não</v>
      </c>
      <c r="O8826" t="str">
        <f>IFERROR(INDEX(tEditais[SRP],MATCH(tItens[[#This Row],[Edital]],tEditais[Edital],0)),"Não")</f>
        <v>Não</v>
      </c>
      <c r="P8826" s="4">
        <f>IF(COUNTIFS(INDEX(tItens[Edital],1):tItens[[#This Row],[Edital]],tItens[[#This Row],[Edital]],INDEX(tItens[Produto],1):tItens[[#This Row],[Produto]],tItens[[#This Row],[Produto]])=1,1,0)</f>
        <v>1</v>
      </c>
    </row>
    <row r="8827" spans="1:16" x14ac:dyDescent="0.25">
      <c r="A8827" t="s">
        <v>3041</v>
      </c>
      <c r="B8827">
        <v>14</v>
      </c>
      <c r="C8827" t="s">
        <v>11199</v>
      </c>
      <c r="D8827" t="s">
        <v>345</v>
      </c>
      <c r="E8827" s="13">
        <v>4000</v>
      </c>
      <c r="F8827" s="12">
        <v>3.13</v>
      </c>
      <c r="G8827" t="str">
        <f>IFERROR(INDEX(tEditais[Órgão],MATCH(tItens[[#This Row],[Edital]],tEditais[Edital],0)),"")</f>
        <v>MUNICIPIO DE POTIM</v>
      </c>
      <c r="H8827" t="str">
        <f>IFERROR(INDEX(tEditais[UF],MATCH(tItens[[#This Row],[Edital]],tEditais[Edital],0)),"")</f>
        <v>SP</v>
      </c>
      <c r="I8827" s="11">
        <f>IFERROR(INDEX(tEditais[Encerramento],MATCH(tItens[[#This Row],[Edital]],tEditais[Edital],0)),"")</f>
        <v>46311.332638888889</v>
      </c>
      <c r="J8827" t="str">
        <f>IFERROR(INDEX(tProdutos[Classe],MATCH(tItens[[#This Row],[Produto]],tProdutos[Produto],0)),"produto não cadastrado")</f>
        <v>FORA</v>
      </c>
      <c r="K8827" s="12">
        <f>tItens[[#This Row],[Qtd]]*tItens[[#This Row],[Vlr unit]]</f>
        <v>12520</v>
      </c>
      <c r="L8827" s="6">
        <f>IFERROR(IF(INDEX(tProdutos[Desconto homologado],MATCH(tItens[[#This Row],[Produto]],tProdutos[Produto],0))="",DescontoPadrao,INDEX(tProdutos[Desconto homologado],MATCH(tItens[[#This Row],[Produto]],tProdutos[Produto],0))),DescontoPadrao)</f>
        <v>0.412394275616498</v>
      </c>
      <c r="M8827" s="12">
        <f>tItens[[#This Row],[Valor]]*(1-tItens[[#This Row],[Desconto]])</f>
        <v>7356.8236692814453</v>
      </c>
      <c r="N8827" t="str">
        <f>IFERROR(INDEX(tProdutos[Foco],MATCH(tItens[[#This Row],[Produto]],tProdutos[Produto],0)),"Não")</f>
        <v>Não</v>
      </c>
      <c r="O8827" t="str">
        <f>IFERROR(INDEX(tEditais[SRP],MATCH(tItens[[#This Row],[Edital]],tEditais[Edital],0)),"Não")</f>
        <v>Sim</v>
      </c>
      <c r="P8827" s="4">
        <f>IF(COUNTIFS(INDEX(tItens[Edital],1):tItens[[#This Row],[Edital]],tItens[[#This Row],[Edital]],INDEX(tItens[Produto],1):tItens[[#This Row],[Produto]],tItens[[#This Row],[Produto]])=1,1,0)</f>
        <v>1</v>
      </c>
    </row>
    <row r="8828" spans="1:16" x14ac:dyDescent="0.25">
      <c r="A8828" t="s">
        <v>3041</v>
      </c>
      <c r="B8828">
        <v>15</v>
      </c>
      <c r="C8828" t="s">
        <v>11200</v>
      </c>
      <c r="D8828" t="s">
        <v>345</v>
      </c>
      <c r="E8828" s="13">
        <v>3500</v>
      </c>
      <c r="F8828" s="12">
        <v>3.02</v>
      </c>
      <c r="G8828" t="str">
        <f>IFERROR(INDEX(tEditais[Órgão],MATCH(tItens[[#This Row],[Edital]],tEditais[Edital],0)),"")</f>
        <v>MUNICIPIO DE POTIM</v>
      </c>
      <c r="H8828" t="str">
        <f>IFERROR(INDEX(tEditais[UF],MATCH(tItens[[#This Row],[Edital]],tEditais[Edital],0)),"")</f>
        <v>SP</v>
      </c>
      <c r="I8828" s="11">
        <f>IFERROR(INDEX(tEditais[Encerramento],MATCH(tItens[[#This Row],[Edital]],tEditais[Edital],0)),"")</f>
        <v>46311.332638888889</v>
      </c>
      <c r="J8828" t="str">
        <f>IFERROR(INDEX(tProdutos[Classe],MATCH(tItens[[#This Row],[Produto]],tProdutos[Produto],0)),"produto não cadastrado")</f>
        <v>FORA</v>
      </c>
      <c r="K8828" s="12">
        <f>tItens[[#This Row],[Qtd]]*tItens[[#This Row],[Vlr unit]]</f>
        <v>10570</v>
      </c>
      <c r="L8828" s="6">
        <f>IFERROR(IF(INDEX(tProdutos[Desconto homologado],MATCH(tItens[[#This Row],[Produto]],tProdutos[Produto],0))="",DescontoPadrao,INDEX(tProdutos[Desconto homologado],MATCH(tItens[[#This Row],[Produto]],tProdutos[Produto],0))),DescontoPadrao)</f>
        <v>0.412394275616498</v>
      </c>
      <c r="M8828" s="12">
        <f>tItens[[#This Row],[Valor]]*(1-tItens[[#This Row],[Desconto]])</f>
        <v>6210.9925067336162</v>
      </c>
      <c r="N8828" t="str">
        <f>IFERROR(INDEX(tProdutos[Foco],MATCH(tItens[[#This Row],[Produto]],tProdutos[Produto],0)),"Não")</f>
        <v>Não</v>
      </c>
      <c r="O8828" t="str">
        <f>IFERROR(INDEX(tEditais[SRP],MATCH(tItens[[#This Row],[Edital]],tEditais[Edital],0)),"Não")</f>
        <v>Sim</v>
      </c>
      <c r="P8828" s="4">
        <f>IF(COUNTIFS(INDEX(tItens[Edital],1):tItens[[#This Row],[Edital]],tItens[[#This Row],[Edital]],INDEX(tItens[Produto],1):tItens[[#This Row],[Produto]],tItens[[#This Row],[Produto]])=1,1,0)</f>
        <v>0</v>
      </c>
    </row>
    <row r="8829" spans="1:16" x14ac:dyDescent="0.25">
      <c r="A8829" t="s">
        <v>3045</v>
      </c>
      <c r="B8829">
        <v>7</v>
      </c>
      <c r="C8829" t="s">
        <v>6389</v>
      </c>
      <c r="D8829" t="s">
        <v>313</v>
      </c>
      <c r="E8829" s="13">
        <v>30</v>
      </c>
      <c r="F8829" s="12">
        <v>21.55</v>
      </c>
      <c r="G8829" t="str">
        <f>IFERROR(INDEX(tEditais[Órgão],MATCH(tItens[[#This Row],[Edital]],tEditais[Edital],0)),"")</f>
        <v>SAO PAULO SECRETARIA DA ADMINISTRACAO PENITENCIARIA</v>
      </c>
      <c r="H8829" t="str">
        <f>IFERROR(INDEX(tEditais[UF],MATCH(tItens[[#This Row],[Edital]],tEditais[Edital],0)),"")</f>
        <v>SP</v>
      </c>
      <c r="I8829" s="11">
        <f>IFERROR(INDEX(tEditais[Encerramento],MATCH(tItens[[#This Row],[Edital]],tEditais[Edital],0)),"")</f>
        <v>46311.333333333336</v>
      </c>
      <c r="J8829" t="str">
        <f>IFERROR(INDEX(tProdutos[Classe],MATCH(tItens[[#This Row],[Produto]],tProdutos[Produto],0)),"produto não cadastrado")</f>
        <v>FORA</v>
      </c>
      <c r="K8829" s="12">
        <f>tItens[[#This Row],[Qtd]]*tItens[[#This Row],[Vlr unit]]</f>
        <v>646.5</v>
      </c>
      <c r="L8829" s="6">
        <f>IFERROR(IF(INDEX(tProdutos[Desconto homologado],MATCH(tItens[[#This Row],[Produto]],tProdutos[Produto],0))="",DescontoPadrao,INDEX(tProdutos[Desconto homologado],MATCH(tItens[[#This Row],[Produto]],tProdutos[Produto],0))),DescontoPadrao)</f>
        <v>0.35766373163696302</v>
      </c>
      <c r="M8829" s="12">
        <f>tItens[[#This Row],[Valor]]*(1-tItens[[#This Row],[Desconto]])</f>
        <v>415.27039749670337</v>
      </c>
      <c r="N8829" t="str">
        <f>IFERROR(INDEX(tProdutos[Foco],MATCH(tItens[[#This Row],[Produto]],tProdutos[Produto],0)),"Não")</f>
        <v>Não</v>
      </c>
      <c r="O8829" t="str">
        <f>IFERROR(INDEX(tEditais[SRP],MATCH(tItens[[#This Row],[Edital]],tEditais[Edital],0)),"Não")</f>
        <v>Não</v>
      </c>
      <c r="P8829" s="4">
        <f>IF(COUNTIFS(INDEX(tItens[Edital],1):tItens[[#This Row],[Edital]],tItens[[#This Row],[Edital]],INDEX(tItens[Produto],1):tItens[[#This Row],[Produto]],tItens[[#This Row],[Produto]])=1,1,0)</f>
        <v>1</v>
      </c>
    </row>
    <row r="8830" spans="1:16" x14ac:dyDescent="0.25">
      <c r="A8830" t="s">
        <v>3045</v>
      </c>
      <c r="B8830">
        <v>8</v>
      </c>
      <c r="C8830" t="s">
        <v>10001</v>
      </c>
      <c r="D8830" t="s">
        <v>313</v>
      </c>
      <c r="E8830" s="13">
        <v>30</v>
      </c>
      <c r="F8830" s="12">
        <v>21.13</v>
      </c>
      <c r="G8830" t="str">
        <f>IFERROR(INDEX(tEditais[Órgão],MATCH(tItens[[#This Row],[Edital]],tEditais[Edital],0)),"")</f>
        <v>SAO PAULO SECRETARIA DA ADMINISTRACAO PENITENCIARIA</v>
      </c>
      <c r="H8830" t="str">
        <f>IFERROR(INDEX(tEditais[UF],MATCH(tItens[[#This Row],[Edital]],tEditais[Edital],0)),"")</f>
        <v>SP</v>
      </c>
      <c r="I8830" s="11">
        <f>IFERROR(INDEX(tEditais[Encerramento],MATCH(tItens[[#This Row],[Edital]],tEditais[Edital],0)),"")</f>
        <v>46311.333333333336</v>
      </c>
      <c r="J8830" t="str">
        <f>IFERROR(INDEX(tProdutos[Classe],MATCH(tItens[[#This Row],[Produto]],tProdutos[Produto],0)),"produto não cadastrado")</f>
        <v>FORA</v>
      </c>
      <c r="K8830" s="12">
        <f>tItens[[#This Row],[Qtd]]*tItens[[#This Row],[Vlr unit]]</f>
        <v>633.9</v>
      </c>
      <c r="L8830" s="6">
        <f>IFERROR(IF(INDEX(tProdutos[Desconto homologado],MATCH(tItens[[#This Row],[Produto]],tProdutos[Produto],0))="",DescontoPadrao,INDEX(tProdutos[Desconto homologado],MATCH(tItens[[#This Row],[Produto]],tProdutos[Produto],0))),DescontoPadrao)</f>
        <v>0.35766373163696302</v>
      </c>
      <c r="M8830" s="12">
        <f>tItens[[#This Row],[Valor]]*(1-tItens[[#This Row],[Desconto]])</f>
        <v>407.17696051532909</v>
      </c>
      <c r="N8830" t="str">
        <f>IFERROR(INDEX(tProdutos[Foco],MATCH(tItens[[#This Row],[Produto]],tProdutos[Produto],0)),"Não")</f>
        <v>Não</v>
      </c>
      <c r="O8830" t="str">
        <f>IFERROR(INDEX(tEditais[SRP],MATCH(tItens[[#This Row],[Edital]],tEditais[Edital],0)),"Não")</f>
        <v>Não</v>
      </c>
      <c r="P8830" s="4">
        <f>IF(COUNTIFS(INDEX(tItens[Edital],1):tItens[[#This Row],[Edital]],tItens[[#This Row],[Edital]],INDEX(tItens[Produto],1):tItens[[#This Row],[Produto]],tItens[[#This Row],[Produto]])=1,1,0)</f>
        <v>0</v>
      </c>
    </row>
    <row r="8831" spans="1:16" x14ac:dyDescent="0.25">
      <c r="A8831" t="s">
        <v>3045</v>
      </c>
      <c r="B8831">
        <v>10</v>
      </c>
      <c r="C8831" t="s">
        <v>6965</v>
      </c>
      <c r="D8831" t="s">
        <v>315</v>
      </c>
      <c r="E8831" s="13">
        <v>1000</v>
      </c>
      <c r="F8831" s="12">
        <v>0.13</v>
      </c>
      <c r="G8831" t="str">
        <f>IFERROR(INDEX(tEditais[Órgão],MATCH(tItens[[#This Row],[Edital]],tEditais[Edital],0)),"")</f>
        <v>SAO PAULO SECRETARIA DA ADMINISTRACAO PENITENCIARIA</v>
      </c>
      <c r="H8831" t="str">
        <f>IFERROR(INDEX(tEditais[UF],MATCH(tItens[[#This Row],[Edital]],tEditais[Edital],0)),"")</f>
        <v>SP</v>
      </c>
      <c r="I8831" s="11">
        <f>IFERROR(INDEX(tEditais[Encerramento],MATCH(tItens[[#This Row],[Edital]],tEditais[Edital],0)),"")</f>
        <v>46311.333333333336</v>
      </c>
      <c r="J8831" t="str">
        <f>IFERROR(INDEX(tProdutos[Classe],MATCH(tItens[[#This Row],[Produto]],tProdutos[Produto],0)),"produto não cadastrado")</f>
        <v>FORA</v>
      </c>
      <c r="K8831" s="12">
        <f>tItens[[#This Row],[Qtd]]*tItens[[#This Row],[Vlr unit]]</f>
        <v>130</v>
      </c>
      <c r="L8831" s="6">
        <f>IFERROR(IF(INDEX(tProdutos[Desconto homologado],MATCH(tItens[[#This Row],[Produto]],tProdutos[Produto],0))="",DescontoPadrao,INDEX(tProdutos[Desconto homologado],MATCH(tItens[[#This Row],[Produto]],tProdutos[Produto],0))),DescontoPadrao)</f>
        <v>0.38432036097010702</v>
      </c>
      <c r="M8831" s="12">
        <f>tItens[[#This Row],[Valor]]*(1-tItens[[#This Row],[Desconto]])</f>
        <v>80.038353073886086</v>
      </c>
      <c r="N8831" t="str">
        <f>IFERROR(INDEX(tProdutos[Foco],MATCH(tItens[[#This Row],[Produto]],tProdutos[Produto],0)),"Não")</f>
        <v>Não</v>
      </c>
      <c r="O8831" t="str">
        <f>IFERROR(INDEX(tEditais[SRP],MATCH(tItens[[#This Row],[Edital]],tEditais[Edital],0)),"Não")</f>
        <v>Não</v>
      </c>
      <c r="P8831" s="4">
        <f>IF(COUNTIFS(INDEX(tItens[Edital],1):tItens[[#This Row],[Edital]],tItens[[#This Row],[Edital]],INDEX(tItens[Produto],1):tItens[[#This Row],[Produto]],tItens[[#This Row],[Produto]])=1,1,0)</f>
        <v>1</v>
      </c>
    </row>
    <row r="8832" spans="1:16" x14ac:dyDescent="0.25">
      <c r="A8832" t="s">
        <v>3045</v>
      </c>
      <c r="B8832">
        <v>14</v>
      </c>
      <c r="C8832" t="s">
        <v>9207</v>
      </c>
      <c r="D8832" t="s">
        <v>311</v>
      </c>
      <c r="E8832" s="13">
        <v>30</v>
      </c>
      <c r="F8832" s="12">
        <v>5.5</v>
      </c>
      <c r="G8832" t="str">
        <f>IFERROR(INDEX(tEditais[Órgão],MATCH(tItens[[#This Row],[Edital]],tEditais[Edital],0)),"")</f>
        <v>SAO PAULO SECRETARIA DA ADMINISTRACAO PENITENCIARIA</v>
      </c>
      <c r="H8832" t="str">
        <f>IFERROR(INDEX(tEditais[UF],MATCH(tItens[[#This Row],[Edital]],tEditais[Edital],0)),"")</f>
        <v>SP</v>
      </c>
      <c r="I8832" s="11">
        <f>IFERROR(INDEX(tEditais[Encerramento],MATCH(tItens[[#This Row],[Edital]],tEditais[Edital],0)),"")</f>
        <v>46311.333333333336</v>
      </c>
      <c r="J8832" t="str">
        <f>IFERROR(INDEX(tProdutos[Classe],MATCH(tItens[[#This Row],[Produto]],tProdutos[Produto],0)),"produto não cadastrado")</f>
        <v>FORA</v>
      </c>
      <c r="K8832" s="12">
        <f>tItens[[#This Row],[Qtd]]*tItens[[#This Row],[Vlr unit]]</f>
        <v>165</v>
      </c>
      <c r="L8832" s="6">
        <f>IFERROR(IF(INDEX(tProdutos[Desconto homologado],MATCH(tItens[[#This Row],[Produto]],tProdutos[Produto],0))="",DescontoPadrao,INDEX(tProdutos[Desconto homologado],MATCH(tItens[[#This Row],[Produto]],tProdutos[Produto],0))),DescontoPadrao)</f>
        <v>0.29046182846371399</v>
      </c>
      <c r="M8832" s="12">
        <f>tItens[[#This Row],[Valor]]*(1-tItens[[#This Row],[Desconto]])</f>
        <v>117.07379830348719</v>
      </c>
      <c r="N8832" t="str">
        <f>IFERROR(INDEX(tProdutos[Foco],MATCH(tItens[[#This Row],[Produto]],tProdutos[Produto],0)),"Não")</f>
        <v>Não</v>
      </c>
      <c r="O8832" t="str">
        <f>IFERROR(INDEX(tEditais[SRP],MATCH(tItens[[#This Row],[Edital]],tEditais[Edital],0)),"Não")</f>
        <v>Não</v>
      </c>
      <c r="P8832" s="4">
        <f>IF(COUNTIFS(INDEX(tItens[Edital],1):tItens[[#This Row],[Edital]],tItens[[#This Row],[Edital]],INDEX(tItens[Produto],1):tItens[[#This Row],[Produto]],tItens[[#This Row],[Produto]])=1,1,0)</f>
        <v>1</v>
      </c>
    </row>
    <row r="8833" spans="1:16" x14ac:dyDescent="0.25">
      <c r="A8833" t="s">
        <v>3045</v>
      </c>
      <c r="B8833">
        <v>15</v>
      </c>
      <c r="C8833" t="s">
        <v>6972</v>
      </c>
      <c r="D8833" t="s">
        <v>311</v>
      </c>
      <c r="E8833" s="13">
        <v>30</v>
      </c>
      <c r="F8833" s="12">
        <v>6.5</v>
      </c>
      <c r="G8833" t="str">
        <f>IFERROR(INDEX(tEditais[Órgão],MATCH(tItens[[#This Row],[Edital]],tEditais[Edital],0)),"")</f>
        <v>SAO PAULO SECRETARIA DA ADMINISTRACAO PENITENCIARIA</v>
      </c>
      <c r="H8833" t="str">
        <f>IFERROR(INDEX(tEditais[UF],MATCH(tItens[[#This Row],[Edital]],tEditais[Edital],0)),"")</f>
        <v>SP</v>
      </c>
      <c r="I8833" s="11">
        <f>IFERROR(INDEX(tEditais[Encerramento],MATCH(tItens[[#This Row],[Edital]],tEditais[Edital],0)),"")</f>
        <v>46311.333333333336</v>
      </c>
      <c r="J8833" t="str">
        <f>IFERROR(INDEX(tProdutos[Classe],MATCH(tItens[[#This Row],[Produto]],tProdutos[Produto],0)),"produto não cadastrado")</f>
        <v>FORA</v>
      </c>
      <c r="K8833" s="12">
        <f>tItens[[#This Row],[Qtd]]*tItens[[#This Row],[Vlr unit]]</f>
        <v>195</v>
      </c>
      <c r="L8833" s="6">
        <f>IFERROR(IF(INDEX(tProdutos[Desconto homologado],MATCH(tItens[[#This Row],[Produto]],tProdutos[Produto],0))="",DescontoPadrao,INDEX(tProdutos[Desconto homologado],MATCH(tItens[[#This Row],[Produto]],tProdutos[Produto],0))),DescontoPadrao)</f>
        <v>0.29046182846371399</v>
      </c>
      <c r="M8833" s="12">
        <f>tItens[[#This Row],[Valor]]*(1-tItens[[#This Row],[Desconto]])</f>
        <v>138.35994344957578</v>
      </c>
      <c r="N8833" t="str">
        <f>IFERROR(INDEX(tProdutos[Foco],MATCH(tItens[[#This Row],[Produto]],tProdutos[Produto],0)),"Não")</f>
        <v>Não</v>
      </c>
      <c r="O8833" t="str">
        <f>IFERROR(INDEX(tEditais[SRP],MATCH(tItens[[#This Row],[Edital]],tEditais[Edital],0)),"Não")</f>
        <v>Não</v>
      </c>
      <c r="P8833" s="4">
        <f>IF(COUNTIFS(INDEX(tItens[Edital],1):tItens[[#This Row],[Edital]],tItens[[#This Row],[Edital]],INDEX(tItens[Produto],1):tItens[[#This Row],[Produto]],tItens[[#This Row],[Produto]])=1,1,0)</f>
        <v>0</v>
      </c>
    </row>
    <row r="8834" spans="1:16" x14ac:dyDescent="0.25">
      <c r="A8834" t="s">
        <v>3050</v>
      </c>
      <c r="B8834">
        <v>4</v>
      </c>
      <c r="C8834" t="s">
        <v>11201</v>
      </c>
      <c r="D8834" t="s">
        <v>467</v>
      </c>
      <c r="E8834" s="13">
        <v>50</v>
      </c>
      <c r="F8834" s="12">
        <v>6.3</v>
      </c>
      <c r="G8834" t="str">
        <f>IFERROR(INDEX(tEditais[Órgão],MATCH(tItens[[#This Row],[Edital]],tEditais[Edital],0)),"")</f>
        <v>SAO PAULO SECRETARIA DA ADMINISTRACAO PENITENCIARIA</v>
      </c>
      <c r="H8834" t="str">
        <f>IFERROR(INDEX(tEditais[UF],MATCH(tItens[[#This Row],[Edital]],tEditais[Edital],0)),"")</f>
        <v>SP</v>
      </c>
      <c r="I8834" s="11">
        <f>IFERROR(INDEX(tEditais[Encerramento],MATCH(tItens[[#This Row],[Edital]],tEditais[Edital],0)),"")</f>
        <v>46311.333333333336</v>
      </c>
      <c r="J8834" t="str">
        <f>IFERROR(INDEX(tProdutos[Classe],MATCH(tItens[[#This Row],[Produto]],tProdutos[Produto],0)),"produto não cadastrado")</f>
        <v>FILA REBASE</v>
      </c>
      <c r="K8834" s="12">
        <f>tItens[[#This Row],[Qtd]]*tItens[[#This Row],[Vlr unit]]</f>
        <v>315</v>
      </c>
      <c r="L8834" s="6">
        <f>IFERROR(IF(INDEX(tProdutos[Desconto homologado],MATCH(tItens[[#This Row],[Produto]],tProdutos[Produto],0))="",DescontoPadrao,INDEX(tProdutos[Desconto homologado],MATCH(tItens[[#This Row],[Produto]],tProdutos[Produto],0))),DescontoPadrao)</f>
        <v>0.25007144898542499</v>
      </c>
      <c r="M8834" s="12">
        <f>tItens[[#This Row],[Valor]]*(1-tItens[[#This Row],[Desconto]])</f>
        <v>236.22749356959113</v>
      </c>
      <c r="N8834" t="str">
        <f>IFERROR(INDEX(tProdutos[Foco],MATCH(tItens[[#This Row],[Produto]],tProdutos[Produto],0)),"Não")</f>
        <v>Não</v>
      </c>
      <c r="O8834" t="str">
        <f>IFERROR(INDEX(tEditais[SRP],MATCH(tItens[[#This Row],[Edital]],tEditais[Edital],0)),"Não")</f>
        <v>Não</v>
      </c>
      <c r="P8834" s="4">
        <f>IF(COUNTIFS(INDEX(tItens[Edital],1):tItens[[#This Row],[Edital]],tItens[[#This Row],[Edital]],INDEX(tItens[Produto],1):tItens[[#This Row],[Produto]],tItens[[#This Row],[Produto]])=1,1,0)</f>
        <v>1</v>
      </c>
    </row>
    <row r="8835" spans="1:16" x14ac:dyDescent="0.25">
      <c r="A8835" t="s">
        <v>3050</v>
      </c>
      <c r="B8835">
        <v>5</v>
      </c>
      <c r="C8835" t="s">
        <v>7392</v>
      </c>
      <c r="D8835" t="s">
        <v>142</v>
      </c>
      <c r="E8835" s="13">
        <v>50</v>
      </c>
      <c r="F8835" s="12">
        <v>7.16</v>
      </c>
      <c r="G8835" t="str">
        <f>IFERROR(INDEX(tEditais[Órgão],MATCH(tItens[[#This Row],[Edital]],tEditais[Edital],0)),"")</f>
        <v>SAO PAULO SECRETARIA DA ADMINISTRACAO PENITENCIARIA</v>
      </c>
      <c r="H8835" t="str">
        <f>IFERROR(INDEX(tEditais[UF],MATCH(tItens[[#This Row],[Edital]],tEditais[Edital],0)),"")</f>
        <v>SP</v>
      </c>
      <c r="I8835" s="11">
        <f>IFERROR(INDEX(tEditais[Encerramento],MATCH(tItens[[#This Row],[Edital]],tEditais[Edital],0)),"")</f>
        <v>46311.333333333336</v>
      </c>
      <c r="J8835" t="str">
        <f>IFERROR(INDEX(tProdutos[Classe],MATCH(tItens[[#This Row],[Produto]],tProdutos[Produto],0)),"produto não cadastrado")</f>
        <v>DISPUTADO</v>
      </c>
      <c r="K8835" s="12">
        <f>tItens[[#This Row],[Qtd]]*tItens[[#This Row],[Vlr unit]]</f>
        <v>358</v>
      </c>
      <c r="L8835" s="6">
        <f>IFERROR(IF(INDEX(tProdutos[Desconto homologado],MATCH(tItens[[#This Row],[Produto]],tProdutos[Produto],0))="",DescontoPadrao,INDEX(tProdutos[Desconto homologado],MATCH(tItens[[#This Row],[Produto]],tProdutos[Produto],0))),DescontoPadrao)</f>
        <v>0.37093619495691699</v>
      </c>
      <c r="M8835" s="12">
        <f>tItens[[#This Row],[Valor]]*(1-tItens[[#This Row],[Desconto]])</f>
        <v>225.20484220542372</v>
      </c>
      <c r="N8835" t="str">
        <f>IFERROR(INDEX(tProdutos[Foco],MATCH(tItens[[#This Row],[Produto]],tProdutos[Produto],0)),"Não")</f>
        <v>Não</v>
      </c>
      <c r="O8835" t="str">
        <f>IFERROR(INDEX(tEditais[SRP],MATCH(tItens[[#This Row],[Edital]],tEditais[Edital],0)),"Não")</f>
        <v>Não</v>
      </c>
      <c r="P8835" s="4">
        <f>IF(COUNTIFS(INDEX(tItens[Edital],1):tItens[[#This Row],[Edital]],tItens[[#This Row],[Edital]],INDEX(tItens[Produto],1):tItens[[#This Row],[Produto]],tItens[[#This Row],[Produto]])=1,1,0)</f>
        <v>1</v>
      </c>
    </row>
    <row r="8836" spans="1:16" x14ac:dyDescent="0.25">
      <c r="A8836" t="s">
        <v>3050</v>
      </c>
      <c r="B8836">
        <v>7</v>
      </c>
      <c r="C8836" t="s">
        <v>4110</v>
      </c>
      <c r="D8836" t="s">
        <v>277</v>
      </c>
      <c r="E8836" s="13">
        <v>40</v>
      </c>
      <c r="F8836" s="12">
        <v>14.5</v>
      </c>
      <c r="G8836" t="str">
        <f>IFERROR(INDEX(tEditais[Órgão],MATCH(tItens[[#This Row],[Edital]],tEditais[Edital],0)),"")</f>
        <v>SAO PAULO SECRETARIA DA ADMINISTRACAO PENITENCIARIA</v>
      </c>
      <c r="H8836" t="str">
        <f>IFERROR(INDEX(tEditais[UF],MATCH(tItens[[#This Row],[Edital]],tEditais[Edital],0)),"")</f>
        <v>SP</v>
      </c>
      <c r="I8836" s="11">
        <f>IFERROR(INDEX(tEditais[Encerramento],MATCH(tItens[[#This Row],[Edital]],tEditais[Edital],0)),"")</f>
        <v>46311.333333333336</v>
      </c>
      <c r="J8836" t="str">
        <f>IFERROR(INDEX(tProdutos[Classe],MATCH(tItens[[#This Row],[Produto]],tProdutos[Produto],0)),"produto não cadastrado")</f>
        <v>DISPUTADO</v>
      </c>
      <c r="K8836" s="12">
        <f>tItens[[#This Row],[Qtd]]*tItens[[#This Row],[Vlr unit]]</f>
        <v>580</v>
      </c>
      <c r="L8836" s="6">
        <f>IFERROR(IF(INDEX(tProdutos[Desconto homologado],MATCH(tItens[[#This Row],[Produto]],tProdutos[Produto],0))="",DescontoPadrao,INDEX(tProdutos[Desconto homologado],MATCH(tItens[[#This Row],[Produto]],tProdutos[Produto],0))),DescontoPadrao)</f>
        <v>0.50460666194188497</v>
      </c>
      <c r="M8836" s="12">
        <f>tItens[[#This Row],[Valor]]*(1-tItens[[#This Row],[Desconto]])</f>
        <v>287.32813607370673</v>
      </c>
      <c r="N8836" t="str">
        <f>IFERROR(INDEX(tProdutos[Foco],MATCH(tItens[[#This Row],[Produto]],tProdutos[Produto],0)),"Não")</f>
        <v>Não</v>
      </c>
      <c r="O8836" t="str">
        <f>IFERROR(INDEX(tEditais[SRP],MATCH(tItens[[#This Row],[Edital]],tEditais[Edital],0)),"Não")</f>
        <v>Não</v>
      </c>
      <c r="P8836" s="4">
        <f>IF(COUNTIFS(INDEX(tItens[Edital],1):tItens[[#This Row],[Edital]],tItens[[#This Row],[Edital]],INDEX(tItens[Produto],1):tItens[[#This Row],[Produto]],tItens[[#This Row],[Produto]])=1,1,0)</f>
        <v>1</v>
      </c>
    </row>
    <row r="8837" spans="1:16" x14ac:dyDescent="0.25">
      <c r="A8837" t="s">
        <v>3054</v>
      </c>
      <c r="B8837">
        <v>1</v>
      </c>
      <c r="C8837" t="s">
        <v>11202</v>
      </c>
      <c r="D8837" t="s">
        <v>265</v>
      </c>
      <c r="E8837" s="13">
        <v>15000</v>
      </c>
      <c r="F8837" s="12">
        <v>0.32</v>
      </c>
      <c r="G8837" t="str">
        <f>IFERROR(INDEX(tEditais[Órgão],MATCH(tItens[[#This Row],[Edital]],tEditais[Edital],0)),"")</f>
        <v>MUNICIPIO DE ASSIS</v>
      </c>
      <c r="H8837" t="str">
        <f>IFERROR(INDEX(tEditais[UF],MATCH(tItens[[#This Row],[Edital]],tEditais[Edital],0)),"")</f>
        <v>SP</v>
      </c>
      <c r="I8837" s="11">
        <f>IFERROR(INDEX(tEditais[Encerramento],MATCH(tItens[[#This Row],[Edital]],tEditais[Edital],0)),"")</f>
        <v>46311.333333333336</v>
      </c>
      <c r="J8837" t="str">
        <f>IFERROR(INDEX(tProdutos[Classe],MATCH(tItens[[#This Row],[Produto]],tProdutos[Produto],0)),"produto não cadastrado")</f>
        <v>DISPUTADO</v>
      </c>
      <c r="K8837" s="12">
        <f>tItens[[#This Row],[Qtd]]*tItens[[#This Row],[Vlr unit]]</f>
        <v>4800</v>
      </c>
      <c r="L8837" s="6">
        <f>IFERROR(IF(INDEX(tProdutos[Desconto homologado],MATCH(tItens[[#This Row],[Produto]],tProdutos[Produto],0))="",DescontoPadrao,INDEX(tProdutos[Desconto homologado],MATCH(tItens[[#This Row],[Produto]],tProdutos[Produto],0))),DescontoPadrao)</f>
        <v>0.377587663709337</v>
      </c>
      <c r="M8837" s="12">
        <f>tItens[[#This Row],[Valor]]*(1-tItens[[#This Row],[Desconto]])</f>
        <v>2987.5792141951829</v>
      </c>
      <c r="N8837" t="str">
        <f>IFERROR(INDEX(tProdutos[Foco],MATCH(tItens[[#This Row],[Produto]],tProdutos[Produto],0)),"Não")</f>
        <v>Não</v>
      </c>
      <c r="O8837" t="str">
        <f>IFERROR(INDEX(tEditais[SRP],MATCH(tItens[[#This Row],[Edital]],tEditais[Edital],0)),"Não")</f>
        <v>Não</v>
      </c>
      <c r="P8837" s="4">
        <f>IF(COUNTIFS(INDEX(tItens[Edital],1):tItens[[#This Row],[Edital]],tItens[[#This Row],[Edital]],INDEX(tItens[Produto],1):tItens[[#This Row],[Produto]],tItens[[#This Row],[Produto]])=1,1,0)</f>
        <v>1</v>
      </c>
    </row>
    <row r="8838" spans="1:16" x14ac:dyDescent="0.25">
      <c r="A8838" t="s">
        <v>3054</v>
      </c>
      <c r="B8838">
        <v>2</v>
      </c>
      <c r="C8838" t="s">
        <v>11203</v>
      </c>
      <c r="D8838" t="s">
        <v>96</v>
      </c>
      <c r="E8838" s="13">
        <v>50</v>
      </c>
      <c r="F8838" s="12">
        <v>3.95</v>
      </c>
      <c r="G8838" t="str">
        <f>IFERROR(INDEX(tEditais[Órgão],MATCH(tItens[[#This Row],[Edital]],tEditais[Edital],0)),"")</f>
        <v>MUNICIPIO DE ASSIS</v>
      </c>
      <c r="H8838" t="str">
        <f>IFERROR(INDEX(tEditais[UF],MATCH(tItens[[#This Row],[Edital]],tEditais[Edital],0)),"")</f>
        <v>SP</v>
      </c>
      <c r="I8838" s="11">
        <f>IFERROR(INDEX(tEditais[Encerramento],MATCH(tItens[[#This Row],[Edital]],tEditais[Edital],0)),"")</f>
        <v>46311.333333333336</v>
      </c>
      <c r="J8838" t="str">
        <f>IFERROR(INDEX(tProdutos[Classe],MATCH(tItens[[#This Row],[Produto]],tProdutos[Produto],0)),"produto não cadastrado")</f>
        <v>NÚCLEO</v>
      </c>
      <c r="K8838" s="12">
        <f>tItens[[#This Row],[Qtd]]*tItens[[#This Row],[Vlr unit]]</f>
        <v>197.5</v>
      </c>
      <c r="L8838" s="6">
        <f>IFERROR(IF(INDEX(tProdutos[Desconto homologado],MATCH(tItens[[#This Row],[Produto]],tProdutos[Produto],0))="",DescontoPadrao,INDEX(tProdutos[Desconto homologado],MATCH(tItens[[#This Row],[Produto]],tProdutos[Produto],0))),DescontoPadrao)</f>
        <v>0.23886411318649201</v>
      </c>
      <c r="M8838" s="12">
        <f>tItens[[#This Row],[Valor]]*(1-tItens[[#This Row],[Desconto]])</f>
        <v>150.32433764566781</v>
      </c>
      <c r="N8838" t="str">
        <f>IFERROR(INDEX(tProdutos[Foco],MATCH(tItens[[#This Row],[Produto]],tProdutos[Produto],0)),"Não")</f>
        <v>Não</v>
      </c>
      <c r="O8838" t="str">
        <f>IFERROR(INDEX(tEditais[SRP],MATCH(tItens[[#This Row],[Edital]],tEditais[Edital],0)),"Não")</f>
        <v>Não</v>
      </c>
      <c r="P8838" s="4">
        <f>IF(COUNTIFS(INDEX(tItens[Edital],1):tItens[[#This Row],[Edital]],tItens[[#This Row],[Edital]],INDEX(tItens[Produto],1):tItens[[#This Row],[Produto]],tItens[[#This Row],[Produto]])=1,1,0)</f>
        <v>1</v>
      </c>
    </row>
    <row r="8839" spans="1:16" x14ac:dyDescent="0.25">
      <c r="A8839" t="s">
        <v>3054</v>
      </c>
      <c r="B8839">
        <v>3</v>
      </c>
      <c r="C8839" t="s">
        <v>11204</v>
      </c>
      <c r="D8839" t="s">
        <v>247</v>
      </c>
      <c r="E8839" s="13">
        <v>3000</v>
      </c>
      <c r="F8839" s="12">
        <v>0.75</v>
      </c>
      <c r="G8839" t="str">
        <f>IFERROR(INDEX(tEditais[Órgão],MATCH(tItens[[#This Row],[Edital]],tEditais[Edital],0)),"")</f>
        <v>MUNICIPIO DE ASSIS</v>
      </c>
      <c r="H8839" t="str">
        <f>IFERROR(INDEX(tEditais[UF],MATCH(tItens[[#This Row],[Edital]],tEditais[Edital],0)),"")</f>
        <v>SP</v>
      </c>
      <c r="I8839" s="11">
        <f>IFERROR(INDEX(tEditais[Encerramento],MATCH(tItens[[#This Row],[Edital]],tEditais[Edital],0)),"")</f>
        <v>46311.333333333336</v>
      </c>
      <c r="J8839" t="str">
        <f>IFERROR(INDEX(tProdutos[Classe],MATCH(tItens[[#This Row],[Produto]],tProdutos[Produto],0)),"produto não cadastrado")</f>
        <v>FORA</v>
      </c>
      <c r="K8839" s="12">
        <f>tItens[[#This Row],[Qtd]]*tItens[[#This Row],[Vlr unit]]</f>
        <v>2250</v>
      </c>
      <c r="L8839" s="6">
        <f>IFERROR(IF(INDEX(tProdutos[Desconto homologado],MATCH(tItens[[#This Row],[Produto]],tProdutos[Produto],0))="",DescontoPadrao,INDEX(tProdutos[Desconto homologado],MATCH(tItens[[#This Row],[Produto]],tProdutos[Produto],0))),DescontoPadrao)</f>
        <v>0.27353256199762999</v>
      </c>
      <c r="M8839" s="12">
        <f>tItens[[#This Row],[Valor]]*(1-tItens[[#This Row],[Desconto]])</f>
        <v>1634.5517355053325</v>
      </c>
      <c r="N8839" t="str">
        <f>IFERROR(INDEX(tProdutos[Foco],MATCH(tItens[[#This Row],[Produto]],tProdutos[Produto],0)),"Não")</f>
        <v>Não</v>
      </c>
      <c r="O8839" t="str">
        <f>IFERROR(INDEX(tEditais[SRP],MATCH(tItens[[#This Row],[Edital]],tEditais[Edital],0)),"Não")</f>
        <v>Não</v>
      </c>
      <c r="P8839" s="4">
        <f>IF(COUNTIFS(INDEX(tItens[Edital],1):tItens[[#This Row],[Edital]],tItens[[#This Row],[Edital]],INDEX(tItens[Produto],1):tItens[[#This Row],[Produto]],tItens[[#This Row],[Produto]])=1,1,0)</f>
        <v>1</v>
      </c>
    </row>
    <row r="8840" spans="1:16" x14ac:dyDescent="0.25">
      <c r="A8840" t="s">
        <v>3054</v>
      </c>
      <c r="B8840">
        <v>4</v>
      </c>
      <c r="C8840" t="s">
        <v>11205</v>
      </c>
      <c r="D8840" t="s">
        <v>377</v>
      </c>
      <c r="E8840" s="13">
        <v>15</v>
      </c>
      <c r="F8840" s="12">
        <v>19.899999999999999</v>
      </c>
      <c r="G8840" t="str">
        <f>IFERROR(INDEX(tEditais[Órgão],MATCH(tItens[[#This Row],[Edital]],tEditais[Edital],0)),"")</f>
        <v>MUNICIPIO DE ASSIS</v>
      </c>
      <c r="H8840" t="str">
        <f>IFERROR(INDEX(tEditais[UF],MATCH(tItens[[#This Row],[Edital]],tEditais[Edital],0)),"")</f>
        <v>SP</v>
      </c>
      <c r="I8840" s="11">
        <f>IFERROR(INDEX(tEditais[Encerramento],MATCH(tItens[[#This Row],[Edital]],tEditais[Edital],0)),"")</f>
        <v>46311.333333333336</v>
      </c>
      <c r="J8840" t="str">
        <f>IFERROR(INDEX(tProdutos[Classe],MATCH(tItens[[#This Row],[Produto]],tProdutos[Produto],0)),"produto não cadastrado")</f>
        <v>FORA</v>
      </c>
      <c r="K8840" s="12">
        <f>tItens[[#This Row],[Qtd]]*tItens[[#This Row],[Vlr unit]]</f>
        <v>298.5</v>
      </c>
      <c r="L8840" s="6">
        <f>IFERROR(IF(INDEX(tProdutos[Desconto homologado],MATCH(tItens[[#This Row],[Produto]],tProdutos[Produto],0))="",DescontoPadrao,INDEX(tProdutos[Desconto homologado],MATCH(tItens[[#This Row],[Produto]],tProdutos[Produto],0))),DescontoPadrao)</f>
        <v>0.29186603777106501</v>
      </c>
      <c r="M8840" s="12">
        <f>tItens[[#This Row],[Valor]]*(1-tItens[[#This Row],[Desconto]])</f>
        <v>211.37798772533711</v>
      </c>
      <c r="N8840" t="str">
        <f>IFERROR(INDEX(tProdutos[Foco],MATCH(tItens[[#This Row],[Produto]],tProdutos[Produto],0)),"Não")</f>
        <v>Não</v>
      </c>
      <c r="O8840" t="str">
        <f>IFERROR(INDEX(tEditais[SRP],MATCH(tItens[[#This Row],[Edital]],tEditais[Edital],0)),"Não")</f>
        <v>Não</v>
      </c>
      <c r="P8840" s="4">
        <f>IF(COUNTIFS(INDEX(tItens[Edital],1):tItens[[#This Row],[Edital]],tItens[[#This Row],[Edital]],INDEX(tItens[Produto],1):tItens[[#This Row],[Produto]],tItens[[#This Row],[Produto]])=1,1,0)</f>
        <v>1</v>
      </c>
    </row>
    <row r="8841" spans="1:16" x14ac:dyDescent="0.25">
      <c r="A8841" t="s">
        <v>3054</v>
      </c>
      <c r="B8841">
        <v>5</v>
      </c>
      <c r="C8841" t="s">
        <v>11206</v>
      </c>
      <c r="D8841" t="s">
        <v>267</v>
      </c>
      <c r="E8841" s="13">
        <v>1000</v>
      </c>
      <c r="F8841" s="12">
        <v>8.89</v>
      </c>
      <c r="G8841" t="str">
        <f>IFERROR(INDEX(tEditais[Órgão],MATCH(tItens[[#This Row],[Edital]],tEditais[Edital],0)),"")</f>
        <v>MUNICIPIO DE ASSIS</v>
      </c>
      <c r="H8841" t="str">
        <f>IFERROR(INDEX(tEditais[UF],MATCH(tItens[[#This Row],[Edital]],tEditais[Edital],0)),"")</f>
        <v>SP</v>
      </c>
      <c r="I8841" s="11">
        <f>IFERROR(INDEX(tEditais[Encerramento],MATCH(tItens[[#This Row],[Edital]],tEditais[Edital],0)),"")</f>
        <v>46311.333333333336</v>
      </c>
      <c r="J8841" t="str">
        <f>IFERROR(INDEX(tProdutos[Classe],MATCH(tItens[[#This Row],[Produto]],tProdutos[Produto],0)),"produto não cadastrado")</f>
        <v>FORA</v>
      </c>
      <c r="K8841" s="12">
        <f>tItens[[#This Row],[Qtd]]*tItens[[#This Row],[Vlr unit]]</f>
        <v>8890</v>
      </c>
      <c r="L8841" s="6">
        <f>IFERROR(IF(INDEX(tProdutos[Desconto homologado],MATCH(tItens[[#This Row],[Produto]],tProdutos[Produto],0))="",DescontoPadrao,INDEX(tProdutos[Desconto homologado],MATCH(tItens[[#This Row],[Produto]],tProdutos[Produto],0))),DescontoPadrao)</f>
        <v>0.19963672657401599</v>
      </c>
      <c r="M8841" s="12">
        <f>tItens[[#This Row],[Valor]]*(1-tItens[[#This Row],[Desconto]])</f>
        <v>7115.2295007569983</v>
      </c>
      <c r="N8841" t="str">
        <f>IFERROR(INDEX(tProdutos[Foco],MATCH(tItens[[#This Row],[Produto]],tProdutos[Produto],0)),"Não")</f>
        <v>Não</v>
      </c>
      <c r="O8841" t="str">
        <f>IFERROR(INDEX(tEditais[SRP],MATCH(tItens[[#This Row],[Edital]],tEditais[Edital],0)),"Não")</f>
        <v>Não</v>
      </c>
      <c r="P8841" s="4">
        <f>IF(COUNTIFS(INDEX(tItens[Edital],1):tItens[[#This Row],[Edital]],tItens[[#This Row],[Edital]],INDEX(tItens[Produto],1):tItens[[#This Row],[Produto]],tItens[[#This Row],[Produto]])=1,1,0)</f>
        <v>1</v>
      </c>
    </row>
    <row r="8842" spans="1:16" x14ac:dyDescent="0.25">
      <c r="A8842" t="s">
        <v>3057</v>
      </c>
      <c r="B8842">
        <v>1</v>
      </c>
      <c r="C8842" t="s">
        <v>11207</v>
      </c>
      <c r="D8842" t="s">
        <v>341</v>
      </c>
      <c r="E8842" s="13">
        <v>7500</v>
      </c>
      <c r="F8842" s="12">
        <v>25.24</v>
      </c>
      <c r="G8842" t="str">
        <f>IFERROR(INDEX(tEditais[Órgão],MATCH(tItens[[#This Row],[Edital]],tEditais[Edital],0)),"")</f>
        <v>MUNICIPIO DE HORTOLANDIA</v>
      </c>
      <c r="H8842" t="str">
        <f>IFERROR(INDEX(tEditais[UF],MATCH(tItens[[#This Row],[Edital]],tEditais[Edital],0)),"")</f>
        <v>SP</v>
      </c>
      <c r="I8842" s="11">
        <f>IFERROR(INDEX(tEditais[Encerramento],MATCH(tItens[[#This Row],[Edital]],tEditais[Edital],0)),"")</f>
        <v>46311.333333333336</v>
      </c>
      <c r="J8842" t="str">
        <f>IFERROR(INDEX(tProdutos[Classe],MATCH(tItens[[#This Row],[Produto]],tProdutos[Produto],0)),"produto não cadastrado")</f>
        <v>FORA</v>
      </c>
      <c r="K8842" s="12">
        <f>tItens[[#This Row],[Qtd]]*tItens[[#This Row],[Vlr unit]]</f>
        <v>189300</v>
      </c>
      <c r="L8842" s="6">
        <f>IFERROR(IF(INDEX(tProdutos[Desconto homologado],MATCH(tItens[[#This Row],[Produto]],tProdutos[Produto],0))="",DescontoPadrao,INDEX(tProdutos[Desconto homologado],MATCH(tItens[[#This Row],[Produto]],tProdutos[Produto],0))),DescontoPadrao)</f>
        <v>0.46918578497525898</v>
      </c>
      <c r="M8842" s="12">
        <f>tItens[[#This Row],[Valor]]*(1-tItens[[#This Row],[Desconto]])</f>
        <v>100483.13090418348</v>
      </c>
      <c r="N8842" t="str">
        <f>IFERROR(INDEX(tProdutos[Foco],MATCH(tItens[[#This Row],[Produto]],tProdutos[Produto],0)),"Não")</f>
        <v>Não</v>
      </c>
      <c r="O8842" t="str">
        <f>IFERROR(INDEX(tEditais[SRP],MATCH(tItens[[#This Row],[Edital]],tEditais[Edital],0)),"Não")</f>
        <v>Sim</v>
      </c>
      <c r="P8842" s="4">
        <f>IF(COUNTIFS(INDEX(tItens[Edital],1):tItens[[#This Row],[Edital]],tItens[[#This Row],[Edital]],INDEX(tItens[Produto],1):tItens[[#This Row],[Produto]],tItens[[#This Row],[Produto]])=1,1,0)</f>
        <v>1</v>
      </c>
    </row>
    <row r="8843" spans="1:16" x14ac:dyDescent="0.25">
      <c r="A8843" t="s">
        <v>3057</v>
      </c>
      <c r="B8843">
        <v>2</v>
      </c>
      <c r="C8843" t="s">
        <v>11207</v>
      </c>
      <c r="D8843" t="s">
        <v>341</v>
      </c>
      <c r="E8843" s="13">
        <v>2500</v>
      </c>
      <c r="F8843" s="12">
        <v>25.24</v>
      </c>
      <c r="G8843" t="str">
        <f>IFERROR(INDEX(tEditais[Órgão],MATCH(tItens[[#This Row],[Edital]],tEditais[Edital],0)),"")</f>
        <v>MUNICIPIO DE HORTOLANDIA</v>
      </c>
      <c r="H8843" t="str">
        <f>IFERROR(INDEX(tEditais[UF],MATCH(tItens[[#This Row],[Edital]],tEditais[Edital],0)),"")</f>
        <v>SP</v>
      </c>
      <c r="I8843" s="11">
        <f>IFERROR(INDEX(tEditais[Encerramento],MATCH(tItens[[#This Row],[Edital]],tEditais[Edital],0)),"")</f>
        <v>46311.333333333336</v>
      </c>
      <c r="J8843" t="str">
        <f>IFERROR(INDEX(tProdutos[Classe],MATCH(tItens[[#This Row],[Produto]],tProdutos[Produto],0)),"produto não cadastrado")</f>
        <v>FORA</v>
      </c>
      <c r="K8843" s="12">
        <f>tItens[[#This Row],[Qtd]]*tItens[[#This Row],[Vlr unit]]</f>
        <v>63099.999999999993</v>
      </c>
      <c r="L8843" s="6">
        <f>IFERROR(IF(INDEX(tProdutos[Desconto homologado],MATCH(tItens[[#This Row],[Produto]],tProdutos[Produto],0))="",DescontoPadrao,INDEX(tProdutos[Desconto homologado],MATCH(tItens[[#This Row],[Produto]],tProdutos[Produto],0))),DescontoPadrao)</f>
        <v>0.46918578497525898</v>
      </c>
      <c r="M8843" s="12">
        <f>tItens[[#This Row],[Valor]]*(1-tItens[[#This Row],[Desconto]])</f>
        <v>33494.376968061151</v>
      </c>
      <c r="N8843" t="str">
        <f>IFERROR(INDEX(tProdutos[Foco],MATCH(tItens[[#This Row],[Produto]],tProdutos[Produto],0)),"Não")</f>
        <v>Não</v>
      </c>
      <c r="O8843" t="str">
        <f>IFERROR(INDEX(tEditais[SRP],MATCH(tItens[[#This Row],[Edital]],tEditais[Edital],0)),"Não")</f>
        <v>Sim</v>
      </c>
      <c r="P8843" s="4">
        <f>IF(COUNTIFS(INDEX(tItens[Edital],1):tItens[[#This Row],[Edital]],tItens[[#This Row],[Edital]],INDEX(tItens[Produto],1):tItens[[#This Row],[Produto]],tItens[[#This Row],[Produto]])=1,1,0)</f>
        <v>0</v>
      </c>
    </row>
    <row r="8844" spans="1:16" x14ac:dyDescent="0.25">
      <c r="A8844" t="s">
        <v>3057</v>
      </c>
      <c r="B8844">
        <v>6</v>
      </c>
      <c r="C8844" t="s">
        <v>11208</v>
      </c>
      <c r="D8844" t="s">
        <v>295</v>
      </c>
      <c r="E8844" s="13">
        <v>350</v>
      </c>
      <c r="F8844" s="12">
        <v>12.7</v>
      </c>
      <c r="G8844" t="str">
        <f>IFERROR(INDEX(tEditais[Órgão],MATCH(tItens[[#This Row],[Edital]],tEditais[Edital],0)),"")</f>
        <v>MUNICIPIO DE HORTOLANDIA</v>
      </c>
      <c r="H8844" t="str">
        <f>IFERROR(INDEX(tEditais[UF],MATCH(tItens[[#This Row],[Edital]],tEditais[Edital],0)),"")</f>
        <v>SP</v>
      </c>
      <c r="I8844" s="11">
        <f>IFERROR(INDEX(tEditais[Encerramento],MATCH(tItens[[#This Row],[Edital]],tEditais[Edital],0)),"")</f>
        <v>46311.333333333336</v>
      </c>
      <c r="J8844" t="str">
        <f>IFERROR(INDEX(tProdutos[Classe],MATCH(tItens[[#This Row],[Produto]],tProdutos[Produto],0)),"produto não cadastrado")</f>
        <v>FORA</v>
      </c>
      <c r="K8844" s="12">
        <f>tItens[[#This Row],[Qtd]]*tItens[[#This Row],[Vlr unit]]</f>
        <v>4445</v>
      </c>
      <c r="L8844" s="6">
        <f>IFERROR(IF(INDEX(tProdutos[Desconto homologado],MATCH(tItens[[#This Row],[Produto]],tProdutos[Produto],0))="",DescontoPadrao,INDEX(tProdutos[Desconto homologado],MATCH(tItens[[#This Row],[Produto]],tProdutos[Produto],0))),DescontoPadrao)</f>
        <v>0.219311377245509</v>
      </c>
      <c r="M8844" s="12">
        <f>tItens[[#This Row],[Valor]]*(1-tItens[[#This Row],[Desconto]])</f>
        <v>3470.1609281437127</v>
      </c>
      <c r="N8844" t="str">
        <f>IFERROR(INDEX(tProdutos[Foco],MATCH(tItens[[#This Row],[Produto]],tProdutos[Produto],0)),"Não")</f>
        <v>Não</v>
      </c>
      <c r="O8844" t="str">
        <f>IFERROR(INDEX(tEditais[SRP],MATCH(tItens[[#This Row],[Edital]],tEditais[Edital],0)),"Não")</f>
        <v>Sim</v>
      </c>
      <c r="P8844" s="4">
        <f>IF(COUNTIFS(INDEX(tItens[Edital],1):tItens[[#This Row],[Edital]],tItens[[#This Row],[Edital]],INDEX(tItens[Produto],1):tItens[[#This Row],[Produto]],tItens[[#This Row],[Produto]])=1,1,0)</f>
        <v>1</v>
      </c>
    </row>
    <row r="8845" spans="1:16" x14ac:dyDescent="0.25">
      <c r="A8845" t="s">
        <v>3057</v>
      </c>
      <c r="B8845">
        <v>7</v>
      </c>
      <c r="C8845" t="s">
        <v>11209</v>
      </c>
      <c r="D8845" t="s">
        <v>295</v>
      </c>
      <c r="E8845" s="13">
        <v>180</v>
      </c>
      <c r="F8845" s="12">
        <v>16.510000000000002</v>
      </c>
      <c r="G8845" t="str">
        <f>IFERROR(INDEX(tEditais[Órgão],MATCH(tItens[[#This Row],[Edital]],tEditais[Edital],0)),"")</f>
        <v>MUNICIPIO DE HORTOLANDIA</v>
      </c>
      <c r="H8845" t="str">
        <f>IFERROR(INDEX(tEditais[UF],MATCH(tItens[[#This Row],[Edital]],tEditais[Edital],0)),"")</f>
        <v>SP</v>
      </c>
      <c r="I8845" s="11">
        <f>IFERROR(INDEX(tEditais[Encerramento],MATCH(tItens[[#This Row],[Edital]],tEditais[Edital],0)),"")</f>
        <v>46311.333333333336</v>
      </c>
      <c r="J8845" t="str">
        <f>IFERROR(INDEX(tProdutos[Classe],MATCH(tItens[[#This Row],[Produto]],tProdutos[Produto],0)),"produto não cadastrado")</f>
        <v>FORA</v>
      </c>
      <c r="K8845" s="12">
        <f>tItens[[#This Row],[Qtd]]*tItens[[#This Row],[Vlr unit]]</f>
        <v>2971.8</v>
      </c>
      <c r="L8845" s="6">
        <f>IFERROR(IF(INDEX(tProdutos[Desconto homologado],MATCH(tItens[[#This Row],[Produto]],tProdutos[Produto],0))="",DescontoPadrao,INDEX(tProdutos[Desconto homologado],MATCH(tItens[[#This Row],[Produto]],tProdutos[Produto],0))),DescontoPadrao)</f>
        <v>0.219311377245509</v>
      </c>
      <c r="M8845" s="12">
        <f>tItens[[#This Row],[Valor]]*(1-tItens[[#This Row],[Desconto]])</f>
        <v>2320.0504491017964</v>
      </c>
      <c r="N8845" t="str">
        <f>IFERROR(INDEX(tProdutos[Foco],MATCH(tItens[[#This Row],[Produto]],tProdutos[Produto],0)),"Não")</f>
        <v>Não</v>
      </c>
      <c r="O8845" t="str">
        <f>IFERROR(INDEX(tEditais[SRP],MATCH(tItens[[#This Row],[Edital]],tEditais[Edital],0)),"Não")</f>
        <v>Sim</v>
      </c>
      <c r="P8845" s="4">
        <f>IF(COUNTIFS(INDEX(tItens[Edital],1):tItens[[#This Row],[Edital]],tItens[[#This Row],[Edital]],INDEX(tItens[Produto],1):tItens[[#This Row],[Produto]],tItens[[#This Row],[Produto]])=1,1,0)</f>
        <v>0</v>
      </c>
    </row>
    <row r="8846" spans="1:16" x14ac:dyDescent="0.25">
      <c r="A8846" t="s">
        <v>3057</v>
      </c>
      <c r="B8846">
        <v>17</v>
      </c>
      <c r="C8846" t="s">
        <v>11210</v>
      </c>
      <c r="D8846" t="s">
        <v>279</v>
      </c>
      <c r="E8846" s="13">
        <v>1200</v>
      </c>
      <c r="F8846" s="12">
        <v>4.12</v>
      </c>
      <c r="G8846" t="str">
        <f>IFERROR(INDEX(tEditais[Órgão],MATCH(tItens[[#This Row],[Edital]],tEditais[Edital],0)),"")</f>
        <v>MUNICIPIO DE HORTOLANDIA</v>
      </c>
      <c r="H8846" t="str">
        <f>IFERROR(INDEX(tEditais[UF],MATCH(tItens[[#This Row],[Edital]],tEditais[Edital],0)),"")</f>
        <v>SP</v>
      </c>
      <c r="I8846" s="11">
        <f>IFERROR(INDEX(tEditais[Encerramento],MATCH(tItens[[#This Row],[Edital]],tEditais[Edital],0)),"")</f>
        <v>46311.333333333336</v>
      </c>
      <c r="J8846" t="str">
        <f>IFERROR(INDEX(tProdutos[Classe],MATCH(tItens[[#This Row],[Produto]],tProdutos[Produto],0)),"produto não cadastrado")</f>
        <v>FORA</v>
      </c>
      <c r="K8846" s="12">
        <f>tItens[[#This Row],[Qtd]]*tItens[[#This Row],[Vlr unit]]</f>
        <v>4944</v>
      </c>
      <c r="L8846" s="6">
        <f>IFERROR(IF(INDEX(tProdutos[Desconto homologado],MATCH(tItens[[#This Row],[Produto]],tProdutos[Produto],0))="",DescontoPadrao,INDEX(tProdutos[Desconto homologado],MATCH(tItens[[#This Row],[Produto]],tProdutos[Produto],0))),DescontoPadrao)</f>
        <v>0.28909090909090901</v>
      </c>
      <c r="M8846" s="12">
        <f>tItens[[#This Row],[Valor]]*(1-tItens[[#This Row],[Desconto]])</f>
        <v>3514.7345454545457</v>
      </c>
      <c r="N8846" t="str">
        <f>IFERROR(INDEX(tProdutos[Foco],MATCH(tItens[[#This Row],[Produto]],tProdutos[Produto],0)),"Não")</f>
        <v>Não</v>
      </c>
      <c r="O8846" t="str">
        <f>IFERROR(INDEX(tEditais[SRP],MATCH(tItens[[#This Row],[Edital]],tEditais[Edital],0)),"Não")</f>
        <v>Sim</v>
      </c>
      <c r="P8846" s="4">
        <f>IF(COUNTIFS(INDEX(tItens[Edital],1):tItens[[#This Row],[Edital]],tItens[[#This Row],[Edital]],INDEX(tItens[Produto],1):tItens[[#This Row],[Produto]],tItens[[#This Row],[Produto]])=1,1,0)</f>
        <v>1</v>
      </c>
    </row>
    <row r="8847" spans="1:16" x14ac:dyDescent="0.25">
      <c r="A8847" t="s">
        <v>3057</v>
      </c>
      <c r="B8847">
        <v>18</v>
      </c>
      <c r="C8847" t="s">
        <v>11211</v>
      </c>
      <c r="D8847" t="s">
        <v>269</v>
      </c>
      <c r="E8847" s="13">
        <v>45</v>
      </c>
      <c r="F8847" s="12">
        <v>56.91</v>
      </c>
      <c r="G8847" t="str">
        <f>IFERROR(INDEX(tEditais[Órgão],MATCH(tItens[[#This Row],[Edital]],tEditais[Edital],0)),"")</f>
        <v>MUNICIPIO DE HORTOLANDIA</v>
      </c>
      <c r="H8847" t="str">
        <f>IFERROR(INDEX(tEditais[UF],MATCH(tItens[[#This Row],[Edital]],tEditais[Edital],0)),"")</f>
        <v>SP</v>
      </c>
      <c r="I8847" s="11">
        <f>IFERROR(INDEX(tEditais[Encerramento],MATCH(tItens[[#This Row],[Edital]],tEditais[Edital],0)),"")</f>
        <v>46311.333333333336</v>
      </c>
      <c r="J8847" t="str">
        <f>IFERROR(INDEX(tProdutos[Classe],MATCH(tItens[[#This Row],[Produto]],tProdutos[Produto],0)),"produto não cadastrado")</f>
        <v>FORA</v>
      </c>
      <c r="K8847" s="12">
        <f>tItens[[#This Row],[Qtd]]*tItens[[#This Row],[Vlr unit]]</f>
        <v>2560.9499999999998</v>
      </c>
      <c r="L8847" s="6">
        <f>IFERROR(IF(INDEX(tProdutos[Desconto homologado],MATCH(tItens[[#This Row],[Produto]],tProdutos[Produto],0))="",DescontoPadrao,INDEX(tProdutos[Desconto homologado],MATCH(tItens[[#This Row],[Produto]],tProdutos[Produto],0))),DescontoPadrao)</f>
        <v>0.28935117103332197</v>
      </c>
      <c r="M8847" s="12">
        <f>tItens[[#This Row],[Valor]]*(1-tItens[[#This Row],[Desconto]])</f>
        <v>1819.936118542214</v>
      </c>
      <c r="N8847" t="str">
        <f>IFERROR(INDEX(tProdutos[Foco],MATCH(tItens[[#This Row],[Produto]],tProdutos[Produto],0)),"Não")</f>
        <v>Não</v>
      </c>
      <c r="O8847" t="str">
        <f>IFERROR(INDEX(tEditais[SRP],MATCH(tItens[[#This Row],[Edital]],tEditais[Edital],0)),"Não")</f>
        <v>Sim</v>
      </c>
      <c r="P8847" s="4">
        <f>IF(COUNTIFS(INDEX(tItens[Edital],1):tItens[[#This Row],[Edital]],tItens[[#This Row],[Edital]],INDEX(tItens[Produto],1):tItens[[#This Row],[Produto]],tItens[[#This Row],[Produto]])=1,1,0)</f>
        <v>1</v>
      </c>
    </row>
    <row r="8848" spans="1:16" x14ac:dyDescent="0.25">
      <c r="A8848" t="s">
        <v>3057</v>
      </c>
      <c r="B8848">
        <v>19</v>
      </c>
      <c r="C8848" t="s">
        <v>11212</v>
      </c>
      <c r="D8848" t="s">
        <v>383</v>
      </c>
      <c r="E8848" s="13">
        <v>125000</v>
      </c>
      <c r="F8848" s="12">
        <v>0.54</v>
      </c>
      <c r="G8848" t="str">
        <f>IFERROR(INDEX(tEditais[Órgão],MATCH(tItens[[#This Row],[Edital]],tEditais[Edital],0)),"")</f>
        <v>MUNICIPIO DE HORTOLANDIA</v>
      </c>
      <c r="H8848" t="str">
        <f>IFERROR(INDEX(tEditais[UF],MATCH(tItens[[#This Row],[Edital]],tEditais[Edital],0)),"")</f>
        <v>SP</v>
      </c>
      <c r="I8848" s="11">
        <f>IFERROR(INDEX(tEditais[Encerramento],MATCH(tItens[[#This Row],[Edital]],tEditais[Edital],0)),"")</f>
        <v>46311.333333333336</v>
      </c>
      <c r="J8848" t="str">
        <f>IFERROR(INDEX(tProdutos[Classe],MATCH(tItens[[#This Row],[Produto]],tProdutos[Produto],0)),"produto não cadastrado")</f>
        <v>FORA</v>
      </c>
      <c r="K8848" s="12">
        <f>tItens[[#This Row],[Qtd]]*tItens[[#This Row],[Vlr unit]]</f>
        <v>67500</v>
      </c>
      <c r="L8848" s="6">
        <f>IFERROR(IF(INDEX(tProdutos[Desconto homologado],MATCH(tItens[[#This Row],[Produto]],tProdutos[Produto],0))="",DescontoPadrao,INDEX(tProdutos[Desconto homologado],MATCH(tItens[[#This Row],[Produto]],tProdutos[Produto],0))),DescontoPadrao)</f>
        <v>0.48749999999999999</v>
      </c>
      <c r="M8848" s="12">
        <f>tItens[[#This Row],[Valor]]*(1-tItens[[#This Row],[Desconto]])</f>
        <v>34593.75</v>
      </c>
      <c r="N8848" t="str">
        <f>IFERROR(INDEX(tProdutos[Foco],MATCH(tItens[[#This Row],[Produto]],tProdutos[Produto],0)),"Não")</f>
        <v>Não</v>
      </c>
      <c r="O8848" t="str">
        <f>IFERROR(INDEX(tEditais[SRP],MATCH(tItens[[#This Row],[Edital]],tEditais[Edital],0)),"Não")</f>
        <v>Sim</v>
      </c>
      <c r="P8848" s="4">
        <f>IF(COUNTIFS(INDEX(tItens[Edital],1):tItens[[#This Row],[Edital]],tItens[[#This Row],[Edital]],INDEX(tItens[Produto],1):tItens[[#This Row],[Produto]],tItens[[#This Row],[Produto]])=1,1,0)</f>
        <v>1</v>
      </c>
    </row>
    <row r="8849" spans="1:16" x14ac:dyDescent="0.25">
      <c r="A8849" t="s">
        <v>3057</v>
      </c>
      <c r="B8849">
        <v>28</v>
      </c>
      <c r="C8849" t="s">
        <v>11213</v>
      </c>
      <c r="D8849" t="s">
        <v>75</v>
      </c>
      <c r="E8849" s="13">
        <v>1200</v>
      </c>
      <c r="F8849" s="12">
        <v>1.85</v>
      </c>
      <c r="G8849" t="str">
        <f>IFERROR(INDEX(tEditais[Órgão],MATCH(tItens[[#This Row],[Edital]],tEditais[Edital],0)),"")</f>
        <v>MUNICIPIO DE HORTOLANDIA</v>
      </c>
      <c r="H8849" t="str">
        <f>IFERROR(INDEX(tEditais[UF],MATCH(tItens[[#This Row],[Edital]],tEditais[Edital],0)),"")</f>
        <v>SP</v>
      </c>
      <c r="I8849" s="11">
        <f>IFERROR(INDEX(tEditais[Encerramento],MATCH(tItens[[#This Row],[Edital]],tEditais[Edital],0)),"")</f>
        <v>46311.333333333336</v>
      </c>
      <c r="J8849" t="str">
        <f>IFERROR(INDEX(tProdutos[Classe],MATCH(tItens[[#This Row],[Produto]],tProdutos[Produto],0)),"produto não cadastrado")</f>
        <v>NÚCLEO</v>
      </c>
      <c r="K8849" s="12">
        <f>tItens[[#This Row],[Qtd]]*tItens[[#This Row],[Vlr unit]]</f>
        <v>2220</v>
      </c>
      <c r="L8849" s="6">
        <f>IFERROR(IF(INDEX(tProdutos[Desconto homologado],MATCH(tItens[[#This Row],[Produto]],tProdutos[Produto],0))="",DescontoPadrao,INDEX(tProdutos[Desconto homologado],MATCH(tItens[[#This Row],[Produto]],tProdutos[Produto],0))),DescontoPadrao)</f>
        <v>0.26</v>
      </c>
      <c r="M8849" s="12">
        <f>tItens[[#This Row],[Valor]]*(1-tItens[[#This Row],[Desconto]])</f>
        <v>1642.8</v>
      </c>
      <c r="N8849" t="str">
        <f>IFERROR(INDEX(tProdutos[Foco],MATCH(tItens[[#This Row],[Produto]],tProdutos[Produto],0)),"Não")</f>
        <v>Sim</v>
      </c>
      <c r="O8849" t="str">
        <f>IFERROR(INDEX(tEditais[SRP],MATCH(tItens[[#This Row],[Edital]],tEditais[Edital],0)),"Não")</f>
        <v>Sim</v>
      </c>
      <c r="P8849" s="4">
        <f>IF(COUNTIFS(INDEX(tItens[Edital],1):tItens[[#This Row],[Edital]],tItens[[#This Row],[Edital]],INDEX(tItens[Produto],1):tItens[[#This Row],[Produto]],tItens[[#This Row],[Produto]])=1,1,0)</f>
        <v>1</v>
      </c>
    </row>
    <row r="8850" spans="1:16" x14ac:dyDescent="0.25">
      <c r="A8850" t="s">
        <v>3057</v>
      </c>
      <c r="B8850">
        <v>29</v>
      </c>
      <c r="C8850" t="s">
        <v>11214</v>
      </c>
      <c r="D8850" t="s">
        <v>75</v>
      </c>
      <c r="E8850" s="13">
        <v>10000</v>
      </c>
      <c r="F8850" s="12">
        <v>1.56</v>
      </c>
      <c r="G8850" t="str">
        <f>IFERROR(INDEX(tEditais[Órgão],MATCH(tItens[[#This Row],[Edital]],tEditais[Edital],0)),"")</f>
        <v>MUNICIPIO DE HORTOLANDIA</v>
      </c>
      <c r="H8850" t="str">
        <f>IFERROR(INDEX(tEditais[UF],MATCH(tItens[[#This Row],[Edital]],tEditais[Edital],0)),"")</f>
        <v>SP</v>
      </c>
      <c r="I8850" s="11">
        <f>IFERROR(INDEX(tEditais[Encerramento],MATCH(tItens[[#This Row],[Edital]],tEditais[Edital],0)),"")</f>
        <v>46311.333333333336</v>
      </c>
      <c r="J8850" t="str">
        <f>IFERROR(INDEX(tProdutos[Classe],MATCH(tItens[[#This Row],[Produto]],tProdutos[Produto],0)),"produto não cadastrado")</f>
        <v>NÚCLEO</v>
      </c>
      <c r="K8850" s="12">
        <f>tItens[[#This Row],[Qtd]]*tItens[[#This Row],[Vlr unit]]</f>
        <v>15600</v>
      </c>
      <c r="L8850" s="6">
        <f>IFERROR(IF(INDEX(tProdutos[Desconto homologado],MATCH(tItens[[#This Row],[Produto]],tProdutos[Produto],0))="",DescontoPadrao,INDEX(tProdutos[Desconto homologado],MATCH(tItens[[#This Row],[Produto]],tProdutos[Produto],0))),DescontoPadrao)</f>
        <v>0.26</v>
      </c>
      <c r="M8850" s="12">
        <f>tItens[[#This Row],[Valor]]*(1-tItens[[#This Row],[Desconto]])</f>
        <v>11544</v>
      </c>
      <c r="N8850" t="str">
        <f>IFERROR(INDEX(tProdutos[Foco],MATCH(tItens[[#This Row],[Produto]],tProdutos[Produto],0)),"Não")</f>
        <v>Sim</v>
      </c>
      <c r="O8850" t="str">
        <f>IFERROR(INDEX(tEditais[SRP],MATCH(tItens[[#This Row],[Edital]],tEditais[Edital],0)),"Não")</f>
        <v>Sim</v>
      </c>
      <c r="P8850" s="4">
        <f>IF(COUNTIFS(INDEX(tItens[Edital],1):tItens[[#This Row],[Edital]],tItens[[#This Row],[Edital]],INDEX(tItens[Produto],1):tItens[[#This Row],[Produto]],tItens[[#This Row],[Produto]])=1,1,0)</f>
        <v>0</v>
      </c>
    </row>
    <row r="8851" spans="1:16" x14ac:dyDescent="0.25">
      <c r="A8851" t="s">
        <v>3057</v>
      </c>
      <c r="B8851">
        <v>30</v>
      </c>
      <c r="C8851" t="s">
        <v>11215</v>
      </c>
      <c r="D8851" t="s">
        <v>75</v>
      </c>
      <c r="E8851" s="13">
        <v>4600</v>
      </c>
      <c r="F8851" s="12">
        <v>1.56</v>
      </c>
      <c r="G8851" t="str">
        <f>IFERROR(INDEX(tEditais[Órgão],MATCH(tItens[[#This Row],[Edital]],tEditais[Edital],0)),"")</f>
        <v>MUNICIPIO DE HORTOLANDIA</v>
      </c>
      <c r="H8851" t="str">
        <f>IFERROR(INDEX(tEditais[UF],MATCH(tItens[[#This Row],[Edital]],tEditais[Edital],0)),"")</f>
        <v>SP</v>
      </c>
      <c r="I8851" s="11">
        <f>IFERROR(INDEX(tEditais[Encerramento],MATCH(tItens[[#This Row],[Edital]],tEditais[Edital],0)),"")</f>
        <v>46311.333333333336</v>
      </c>
      <c r="J8851" t="str">
        <f>IFERROR(INDEX(tProdutos[Classe],MATCH(tItens[[#This Row],[Produto]],tProdutos[Produto],0)),"produto não cadastrado")</f>
        <v>NÚCLEO</v>
      </c>
      <c r="K8851" s="12">
        <f>tItens[[#This Row],[Qtd]]*tItens[[#This Row],[Vlr unit]]</f>
        <v>7176</v>
      </c>
      <c r="L8851" s="6">
        <f>IFERROR(IF(INDEX(tProdutos[Desconto homologado],MATCH(tItens[[#This Row],[Produto]],tProdutos[Produto],0))="",DescontoPadrao,INDEX(tProdutos[Desconto homologado],MATCH(tItens[[#This Row],[Produto]],tProdutos[Produto],0))),DescontoPadrao)</f>
        <v>0.26</v>
      </c>
      <c r="M8851" s="12">
        <f>tItens[[#This Row],[Valor]]*(1-tItens[[#This Row],[Desconto]])</f>
        <v>5310.24</v>
      </c>
      <c r="N8851" t="str">
        <f>IFERROR(INDEX(tProdutos[Foco],MATCH(tItens[[#This Row],[Produto]],tProdutos[Produto],0)),"Não")</f>
        <v>Sim</v>
      </c>
      <c r="O8851" t="str">
        <f>IFERROR(INDEX(tEditais[SRP],MATCH(tItens[[#This Row],[Edital]],tEditais[Edital],0)),"Não")</f>
        <v>Sim</v>
      </c>
      <c r="P8851" s="4">
        <f>IF(COUNTIFS(INDEX(tItens[Edital],1):tItens[[#This Row],[Edital]],tItens[[#This Row],[Edital]],INDEX(tItens[Produto],1):tItens[[#This Row],[Produto]],tItens[[#This Row],[Produto]])=1,1,0)</f>
        <v>0</v>
      </c>
    </row>
    <row r="8852" spans="1:16" x14ac:dyDescent="0.25">
      <c r="A8852" t="s">
        <v>3057</v>
      </c>
      <c r="B8852">
        <v>31</v>
      </c>
      <c r="C8852" t="s">
        <v>11216</v>
      </c>
      <c r="D8852" t="s">
        <v>189</v>
      </c>
      <c r="E8852" s="13">
        <v>20</v>
      </c>
      <c r="F8852" s="12">
        <v>343.87</v>
      </c>
      <c r="G8852" t="str">
        <f>IFERROR(INDEX(tEditais[Órgão],MATCH(tItens[[#This Row],[Edital]],tEditais[Edital],0)),"")</f>
        <v>MUNICIPIO DE HORTOLANDIA</v>
      </c>
      <c r="H8852" t="str">
        <f>IFERROR(INDEX(tEditais[UF],MATCH(tItens[[#This Row],[Edital]],tEditais[Edital],0)),"")</f>
        <v>SP</v>
      </c>
      <c r="I8852" s="11">
        <f>IFERROR(INDEX(tEditais[Encerramento],MATCH(tItens[[#This Row],[Edital]],tEditais[Edital],0)),"")</f>
        <v>46311.333333333336</v>
      </c>
      <c r="J8852" t="str">
        <f>IFERROR(INDEX(tProdutos[Classe],MATCH(tItens[[#This Row],[Produto]],tProdutos[Produto],0)),"produto não cadastrado")</f>
        <v>DISPUTADO</v>
      </c>
      <c r="K8852" s="12">
        <f>tItens[[#This Row],[Qtd]]*tItens[[#This Row],[Vlr unit]]</f>
        <v>6877.4</v>
      </c>
      <c r="L8852" s="6">
        <f>IFERROR(IF(INDEX(tProdutos[Desconto homologado],MATCH(tItens[[#This Row],[Produto]],tProdutos[Produto],0))="",DescontoPadrao,INDEX(tProdutos[Desconto homologado],MATCH(tItens[[#This Row],[Produto]],tProdutos[Produto],0))),DescontoPadrao)</f>
        <v>0.33088052268966101</v>
      </c>
      <c r="M8852" s="12">
        <f>tItens[[#This Row],[Valor]]*(1-tItens[[#This Row],[Desconto]])</f>
        <v>4601.8022932541253</v>
      </c>
      <c r="N8852" t="str">
        <f>IFERROR(INDEX(tProdutos[Foco],MATCH(tItens[[#This Row],[Produto]],tProdutos[Produto],0)),"Não")</f>
        <v>Não</v>
      </c>
      <c r="O8852" t="str">
        <f>IFERROR(INDEX(tEditais[SRP],MATCH(tItens[[#This Row],[Edital]],tEditais[Edital],0)),"Não")</f>
        <v>Sim</v>
      </c>
      <c r="P8852" s="4">
        <f>IF(COUNTIFS(INDEX(tItens[Edital],1):tItens[[#This Row],[Edital]],tItens[[#This Row],[Edital]],INDEX(tItens[Produto],1):tItens[[#This Row],[Produto]],tItens[[#This Row],[Produto]])=1,1,0)</f>
        <v>1</v>
      </c>
    </row>
    <row r="8853" spans="1:16" x14ac:dyDescent="0.25">
      <c r="A8853" t="s">
        <v>3057</v>
      </c>
      <c r="B8853">
        <v>32</v>
      </c>
      <c r="C8853" t="s">
        <v>11217</v>
      </c>
      <c r="D8853" t="s">
        <v>189</v>
      </c>
      <c r="E8853" s="13">
        <v>20</v>
      </c>
      <c r="F8853" s="12">
        <v>321.02</v>
      </c>
      <c r="G8853" t="str">
        <f>IFERROR(INDEX(tEditais[Órgão],MATCH(tItens[[#This Row],[Edital]],tEditais[Edital],0)),"")</f>
        <v>MUNICIPIO DE HORTOLANDIA</v>
      </c>
      <c r="H8853" t="str">
        <f>IFERROR(INDEX(tEditais[UF],MATCH(tItens[[#This Row],[Edital]],tEditais[Edital],0)),"")</f>
        <v>SP</v>
      </c>
      <c r="I8853" s="11">
        <f>IFERROR(INDEX(tEditais[Encerramento],MATCH(tItens[[#This Row],[Edital]],tEditais[Edital],0)),"")</f>
        <v>46311.333333333336</v>
      </c>
      <c r="J8853" t="str">
        <f>IFERROR(INDEX(tProdutos[Classe],MATCH(tItens[[#This Row],[Produto]],tProdutos[Produto],0)),"produto não cadastrado")</f>
        <v>DISPUTADO</v>
      </c>
      <c r="K8853" s="12">
        <f>tItens[[#This Row],[Qtd]]*tItens[[#This Row],[Vlr unit]]</f>
        <v>6420.4</v>
      </c>
      <c r="L8853" s="6">
        <f>IFERROR(IF(INDEX(tProdutos[Desconto homologado],MATCH(tItens[[#This Row],[Produto]],tProdutos[Produto],0))="",DescontoPadrao,INDEX(tProdutos[Desconto homologado],MATCH(tItens[[#This Row],[Produto]],tProdutos[Produto],0))),DescontoPadrao)</f>
        <v>0.33088052268966101</v>
      </c>
      <c r="M8853" s="12">
        <f>tItens[[#This Row],[Valor]]*(1-tItens[[#This Row],[Desconto]])</f>
        <v>4296.0146921233008</v>
      </c>
      <c r="N8853" t="str">
        <f>IFERROR(INDEX(tProdutos[Foco],MATCH(tItens[[#This Row],[Produto]],tProdutos[Produto],0)),"Não")</f>
        <v>Não</v>
      </c>
      <c r="O8853" t="str">
        <f>IFERROR(INDEX(tEditais[SRP],MATCH(tItens[[#This Row],[Edital]],tEditais[Edital],0)),"Não")</f>
        <v>Sim</v>
      </c>
      <c r="P8853" s="4">
        <f>IF(COUNTIFS(INDEX(tItens[Edital],1):tItens[[#This Row],[Edital]],tItens[[#This Row],[Edital]],INDEX(tItens[Produto],1):tItens[[#This Row],[Produto]],tItens[[#This Row],[Produto]])=1,1,0)</f>
        <v>0</v>
      </c>
    </row>
    <row r="8854" spans="1:16" x14ac:dyDescent="0.25">
      <c r="A8854" t="s">
        <v>3057</v>
      </c>
      <c r="B8854">
        <v>36</v>
      </c>
      <c r="C8854" t="s">
        <v>11218</v>
      </c>
      <c r="D8854" t="s">
        <v>77</v>
      </c>
      <c r="E8854" s="13">
        <v>1000</v>
      </c>
      <c r="F8854" s="12">
        <v>1.81</v>
      </c>
      <c r="G8854" t="str">
        <f>IFERROR(INDEX(tEditais[Órgão],MATCH(tItens[[#This Row],[Edital]],tEditais[Edital],0)),"")</f>
        <v>MUNICIPIO DE HORTOLANDIA</v>
      </c>
      <c r="H8854" t="str">
        <f>IFERROR(INDEX(tEditais[UF],MATCH(tItens[[#This Row],[Edital]],tEditais[Edital],0)),"")</f>
        <v>SP</v>
      </c>
      <c r="I8854" s="11">
        <f>IFERROR(INDEX(tEditais[Encerramento],MATCH(tItens[[#This Row],[Edital]],tEditais[Edital],0)),"")</f>
        <v>46311.333333333336</v>
      </c>
      <c r="J8854" t="str">
        <f>IFERROR(INDEX(tProdutos[Classe],MATCH(tItens[[#This Row],[Produto]],tProdutos[Produto],0)),"produto não cadastrado")</f>
        <v>DISPUTADO</v>
      </c>
      <c r="K8854" s="12">
        <f>tItens[[#This Row],[Qtd]]*tItens[[#This Row],[Vlr unit]]</f>
        <v>1810</v>
      </c>
      <c r="L8854" s="6">
        <f>IFERROR(IF(INDEX(tProdutos[Desconto homologado],MATCH(tItens[[#This Row],[Produto]],tProdutos[Produto],0))="",DescontoPadrao,INDEX(tProdutos[Desconto homologado],MATCH(tItens[[#This Row],[Produto]],tProdutos[Produto],0))),DescontoPadrao)</f>
        <v>0.33</v>
      </c>
      <c r="M8854" s="12">
        <f>tItens[[#This Row],[Valor]]*(1-tItens[[#This Row],[Desconto]])</f>
        <v>1212.6999999999998</v>
      </c>
      <c r="N8854" t="str">
        <f>IFERROR(INDEX(tProdutos[Foco],MATCH(tItens[[#This Row],[Produto]],tProdutos[Produto],0)),"Não")</f>
        <v>Sim</v>
      </c>
      <c r="O8854" t="str">
        <f>IFERROR(INDEX(tEditais[SRP],MATCH(tItens[[#This Row],[Edital]],tEditais[Edital],0)),"Não")</f>
        <v>Sim</v>
      </c>
      <c r="P8854" s="4">
        <f>IF(COUNTIFS(INDEX(tItens[Edital],1):tItens[[#This Row],[Edital]],tItens[[#This Row],[Edital]],INDEX(tItens[Produto],1):tItens[[#This Row],[Produto]],tItens[[#This Row],[Produto]])=1,1,0)</f>
        <v>1</v>
      </c>
    </row>
    <row r="8855" spans="1:16" x14ac:dyDescent="0.25">
      <c r="A8855" t="s">
        <v>3057</v>
      </c>
      <c r="B8855">
        <v>37</v>
      </c>
      <c r="C8855" t="s">
        <v>11219</v>
      </c>
      <c r="D8855" t="s">
        <v>77</v>
      </c>
      <c r="E8855" s="13">
        <v>5200</v>
      </c>
      <c r="F8855" s="12">
        <v>2.85</v>
      </c>
      <c r="G8855" t="str">
        <f>IFERROR(INDEX(tEditais[Órgão],MATCH(tItens[[#This Row],[Edital]],tEditais[Edital],0)),"")</f>
        <v>MUNICIPIO DE HORTOLANDIA</v>
      </c>
      <c r="H8855" t="str">
        <f>IFERROR(INDEX(tEditais[UF],MATCH(tItens[[#This Row],[Edital]],tEditais[Edital],0)),"")</f>
        <v>SP</v>
      </c>
      <c r="I8855" s="11">
        <f>IFERROR(INDEX(tEditais[Encerramento],MATCH(tItens[[#This Row],[Edital]],tEditais[Edital],0)),"")</f>
        <v>46311.333333333336</v>
      </c>
      <c r="J8855" t="str">
        <f>IFERROR(INDEX(tProdutos[Classe],MATCH(tItens[[#This Row],[Produto]],tProdutos[Produto],0)),"produto não cadastrado")</f>
        <v>DISPUTADO</v>
      </c>
      <c r="K8855" s="12">
        <f>tItens[[#This Row],[Qtd]]*tItens[[#This Row],[Vlr unit]]</f>
        <v>14820</v>
      </c>
      <c r="L8855" s="6">
        <f>IFERROR(IF(INDEX(tProdutos[Desconto homologado],MATCH(tItens[[#This Row],[Produto]],tProdutos[Produto],0))="",DescontoPadrao,INDEX(tProdutos[Desconto homologado],MATCH(tItens[[#This Row],[Produto]],tProdutos[Produto],0))),DescontoPadrao)</f>
        <v>0.33</v>
      </c>
      <c r="M8855" s="12">
        <f>tItens[[#This Row],[Valor]]*(1-tItens[[#This Row],[Desconto]])</f>
        <v>9929.4</v>
      </c>
      <c r="N8855" t="str">
        <f>IFERROR(INDEX(tProdutos[Foco],MATCH(tItens[[#This Row],[Produto]],tProdutos[Produto],0)),"Não")</f>
        <v>Sim</v>
      </c>
      <c r="O8855" t="str">
        <f>IFERROR(INDEX(tEditais[SRP],MATCH(tItens[[#This Row],[Edital]],tEditais[Edital],0)),"Não")</f>
        <v>Sim</v>
      </c>
      <c r="P8855" s="4">
        <f>IF(COUNTIFS(INDEX(tItens[Edital],1):tItens[[#This Row],[Edital]],tItens[[#This Row],[Edital]],INDEX(tItens[Produto],1):tItens[[#This Row],[Produto]],tItens[[#This Row],[Produto]])=1,1,0)</f>
        <v>0</v>
      </c>
    </row>
    <row r="8856" spans="1:16" x14ac:dyDescent="0.25">
      <c r="A8856" t="s">
        <v>3057</v>
      </c>
      <c r="B8856">
        <v>38</v>
      </c>
      <c r="C8856" t="s">
        <v>11220</v>
      </c>
      <c r="D8856" t="s">
        <v>77</v>
      </c>
      <c r="E8856" s="13">
        <v>5800</v>
      </c>
      <c r="F8856" s="12">
        <v>5.08</v>
      </c>
      <c r="G8856" t="str">
        <f>IFERROR(INDEX(tEditais[Órgão],MATCH(tItens[[#This Row],[Edital]],tEditais[Edital],0)),"")</f>
        <v>MUNICIPIO DE HORTOLANDIA</v>
      </c>
      <c r="H8856" t="str">
        <f>IFERROR(INDEX(tEditais[UF],MATCH(tItens[[#This Row],[Edital]],tEditais[Edital],0)),"")</f>
        <v>SP</v>
      </c>
      <c r="I8856" s="11">
        <f>IFERROR(INDEX(tEditais[Encerramento],MATCH(tItens[[#This Row],[Edital]],tEditais[Edital],0)),"")</f>
        <v>46311.333333333336</v>
      </c>
      <c r="J8856" t="str">
        <f>IFERROR(INDEX(tProdutos[Classe],MATCH(tItens[[#This Row],[Produto]],tProdutos[Produto],0)),"produto não cadastrado")</f>
        <v>DISPUTADO</v>
      </c>
      <c r="K8856" s="12">
        <f>tItens[[#This Row],[Qtd]]*tItens[[#This Row],[Vlr unit]]</f>
        <v>29464</v>
      </c>
      <c r="L8856" s="6">
        <f>IFERROR(IF(INDEX(tProdutos[Desconto homologado],MATCH(tItens[[#This Row],[Produto]],tProdutos[Produto],0))="",DescontoPadrao,INDEX(tProdutos[Desconto homologado],MATCH(tItens[[#This Row],[Produto]],tProdutos[Produto],0))),DescontoPadrao)</f>
        <v>0.33</v>
      </c>
      <c r="M8856" s="12">
        <f>tItens[[#This Row],[Valor]]*(1-tItens[[#This Row],[Desconto]])</f>
        <v>19740.879999999997</v>
      </c>
      <c r="N8856" t="str">
        <f>IFERROR(INDEX(tProdutos[Foco],MATCH(tItens[[#This Row],[Produto]],tProdutos[Produto],0)),"Não")</f>
        <v>Sim</v>
      </c>
      <c r="O8856" t="str">
        <f>IFERROR(INDEX(tEditais[SRP],MATCH(tItens[[#This Row],[Edital]],tEditais[Edital],0)),"Não")</f>
        <v>Sim</v>
      </c>
      <c r="P8856" s="4">
        <f>IF(COUNTIFS(INDEX(tItens[Edital],1):tItens[[#This Row],[Edital]],tItens[[#This Row],[Edital]],INDEX(tItens[Produto],1):tItens[[#This Row],[Produto]],tItens[[#This Row],[Produto]])=1,1,0)</f>
        <v>0</v>
      </c>
    </row>
    <row r="8857" spans="1:16" x14ac:dyDescent="0.25">
      <c r="A8857" t="s">
        <v>3057</v>
      </c>
      <c r="B8857">
        <v>40</v>
      </c>
      <c r="C8857" t="s">
        <v>11221</v>
      </c>
      <c r="D8857" t="s">
        <v>339</v>
      </c>
      <c r="E8857" s="13">
        <v>4500</v>
      </c>
      <c r="F8857" s="12">
        <v>0.7</v>
      </c>
      <c r="G8857" t="str">
        <f>IFERROR(INDEX(tEditais[Órgão],MATCH(tItens[[#This Row],[Edital]],tEditais[Edital],0)),"")</f>
        <v>MUNICIPIO DE HORTOLANDIA</v>
      </c>
      <c r="H8857" t="str">
        <f>IFERROR(INDEX(tEditais[UF],MATCH(tItens[[#This Row],[Edital]],tEditais[Edital],0)),"")</f>
        <v>SP</v>
      </c>
      <c r="I8857" s="11">
        <f>IFERROR(INDEX(tEditais[Encerramento],MATCH(tItens[[#This Row],[Edital]],tEditais[Edital],0)),"")</f>
        <v>46311.333333333336</v>
      </c>
      <c r="J8857" t="str">
        <f>IFERROR(INDEX(tProdutos[Classe],MATCH(tItens[[#This Row],[Produto]],tProdutos[Produto],0)),"produto não cadastrado")</f>
        <v>FORA</v>
      </c>
      <c r="K8857" s="12">
        <f>tItens[[#This Row],[Qtd]]*tItens[[#This Row],[Vlr unit]]</f>
        <v>3150</v>
      </c>
      <c r="L8857" s="6">
        <f>IFERROR(IF(INDEX(tProdutos[Desconto homologado],MATCH(tItens[[#This Row],[Produto]],tProdutos[Produto],0))="",DescontoPadrao,INDEX(tProdutos[Desconto homologado],MATCH(tItens[[#This Row],[Produto]],tProdutos[Produto],0))),DescontoPadrao)</f>
        <v>0.35388629091804102</v>
      </c>
      <c r="M8857" s="12">
        <f>tItens[[#This Row],[Valor]]*(1-tItens[[#This Row],[Desconto]])</f>
        <v>2035.2581836081708</v>
      </c>
      <c r="N8857" t="str">
        <f>IFERROR(INDEX(tProdutos[Foco],MATCH(tItens[[#This Row],[Produto]],tProdutos[Produto],0)),"Não")</f>
        <v>Não</v>
      </c>
      <c r="O8857" t="str">
        <f>IFERROR(INDEX(tEditais[SRP],MATCH(tItens[[#This Row],[Edital]],tEditais[Edital],0)),"Não")</f>
        <v>Sim</v>
      </c>
      <c r="P8857" s="4">
        <f>IF(COUNTIFS(INDEX(tItens[Edital],1):tItens[[#This Row],[Edital]],tItens[[#This Row],[Edital]],INDEX(tItens[Produto],1):tItens[[#This Row],[Produto]],tItens[[#This Row],[Produto]])=1,1,0)</f>
        <v>1</v>
      </c>
    </row>
    <row r="8858" spans="1:16" x14ac:dyDescent="0.25">
      <c r="A8858" t="s">
        <v>3057</v>
      </c>
      <c r="B8858">
        <v>41</v>
      </c>
      <c r="C8858" t="s">
        <v>11222</v>
      </c>
      <c r="D8858" t="s">
        <v>339</v>
      </c>
      <c r="E8858" s="13">
        <v>13000</v>
      </c>
      <c r="F8858" s="12">
        <v>0.82</v>
      </c>
      <c r="G8858" t="str">
        <f>IFERROR(INDEX(tEditais[Órgão],MATCH(tItens[[#This Row],[Edital]],tEditais[Edital],0)),"")</f>
        <v>MUNICIPIO DE HORTOLANDIA</v>
      </c>
      <c r="H8858" t="str">
        <f>IFERROR(INDEX(tEditais[UF],MATCH(tItens[[#This Row],[Edital]],tEditais[Edital],0)),"")</f>
        <v>SP</v>
      </c>
      <c r="I8858" s="11">
        <f>IFERROR(INDEX(tEditais[Encerramento],MATCH(tItens[[#This Row],[Edital]],tEditais[Edital],0)),"")</f>
        <v>46311.333333333336</v>
      </c>
      <c r="J8858" t="str">
        <f>IFERROR(INDEX(tProdutos[Classe],MATCH(tItens[[#This Row],[Produto]],tProdutos[Produto],0)),"produto não cadastrado")</f>
        <v>FORA</v>
      </c>
      <c r="K8858" s="12">
        <f>tItens[[#This Row],[Qtd]]*tItens[[#This Row],[Vlr unit]]</f>
        <v>10660</v>
      </c>
      <c r="L8858" s="6">
        <f>IFERROR(IF(INDEX(tProdutos[Desconto homologado],MATCH(tItens[[#This Row],[Produto]],tProdutos[Produto],0))="",DescontoPadrao,INDEX(tProdutos[Desconto homologado],MATCH(tItens[[#This Row],[Produto]],tProdutos[Produto],0))),DescontoPadrao)</f>
        <v>0.35388629091804102</v>
      </c>
      <c r="M8858" s="12">
        <f>tItens[[#This Row],[Valor]]*(1-tItens[[#This Row],[Desconto]])</f>
        <v>6887.5721388136826</v>
      </c>
      <c r="N8858" t="str">
        <f>IFERROR(INDEX(tProdutos[Foco],MATCH(tItens[[#This Row],[Produto]],tProdutos[Produto],0)),"Não")</f>
        <v>Não</v>
      </c>
      <c r="O8858" t="str">
        <f>IFERROR(INDEX(tEditais[SRP],MATCH(tItens[[#This Row],[Edital]],tEditais[Edital],0)),"Não")</f>
        <v>Sim</v>
      </c>
      <c r="P8858" s="4">
        <f>IF(COUNTIFS(INDEX(tItens[Edital],1):tItens[[#This Row],[Edital]],tItens[[#This Row],[Edital]],INDEX(tItens[Produto],1):tItens[[#This Row],[Produto]],tItens[[#This Row],[Produto]])=1,1,0)</f>
        <v>0</v>
      </c>
    </row>
    <row r="8859" spans="1:16" x14ac:dyDescent="0.25">
      <c r="A8859" t="s">
        <v>3057</v>
      </c>
      <c r="B8859">
        <v>42</v>
      </c>
      <c r="C8859" t="s">
        <v>11223</v>
      </c>
      <c r="D8859" t="s">
        <v>339</v>
      </c>
      <c r="E8859" s="13">
        <v>4500</v>
      </c>
      <c r="F8859" s="12">
        <v>0.75</v>
      </c>
      <c r="G8859" t="str">
        <f>IFERROR(INDEX(tEditais[Órgão],MATCH(tItens[[#This Row],[Edital]],tEditais[Edital],0)),"")</f>
        <v>MUNICIPIO DE HORTOLANDIA</v>
      </c>
      <c r="H8859" t="str">
        <f>IFERROR(INDEX(tEditais[UF],MATCH(tItens[[#This Row],[Edital]],tEditais[Edital],0)),"")</f>
        <v>SP</v>
      </c>
      <c r="I8859" s="11">
        <f>IFERROR(INDEX(tEditais[Encerramento],MATCH(tItens[[#This Row],[Edital]],tEditais[Edital],0)),"")</f>
        <v>46311.333333333336</v>
      </c>
      <c r="J8859" t="str">
        <f>IFERROR(INDEX(tProdutos[Classe],MATCH(tItens[[#This Row],[Produto]],tProdutos[Produto],0)),"produto não cadastrado")</f>
        <v>FORA</v>
      </c>
      <c r="K8859" s="12">
        <f>tItens[[#This Row],[Qtd]]*tItens[[#This Row],[Vlr unit]]</f>
        <v>3375</v>
      </c>
      <c r="L8859" s="6">
        <f>IFERROR(IF(INDEX(tProdutos[Desconto homologado],MATCH(tItens[[#This Row],[Produto]],tProdutos[Produto],0))="",DescontoPadrao,INDEX(tProdutos[Desconto homologado],MATCH(tItens[[#This Row],[Produto]],tProdutos[Produto],0))),DescontoPadrao)</f>
        <v>0.35388629091804102</v>
      </c>
      <c r="M8859" s="12">
        <f>tItens[[#This Row],[Valor]]*(1-tItens[[#This Row],[Desconto]])</f>
        <v>2180.6337681516115</v>
      </c>
      <c r="N8859" t="str">
        <f>IFERROR(INDEX(tProdutos[Foco],MATCH(tItens[[#This Row],[Produto]],tProdutos[Produto],0)),"Não")</f>
        <v>Não</v>
      </c>
      <c r="O8859" t="str">
        <f>IFERROR(INDEX(tEditais[SRP],MATCH(tItens[[#This Row],[Edital]],tEditais[Edital],0)),"Não")</f>
        <v>Sim</v>
      </c>
      <c r="P8859" s="4">
        <f>IF(COUNTIFS(INDEX(tItens[Edital],1):tItens[[#This Row],[Edital]],tItens[[#This Row],[Edital]],INDEX(tItens[Produto],1):tItens[[#This Row],[Produto]],tItens[[#This Row],[Produto]])=1,1,0)</f>
        <v>0</v>
      </c>
    </row>
    <row r="8860" spans="1:16" x14ac:dyDescent="0.25">
      <c r="A8860" t="s">
        <v>3057</v>
      </c>
      <c r="B8860">
        <v>43</v>
      </c>
      <c r="C8860" t="s">
        <v>11224</v>
      </c>
      <c r="D8860" t="s">
        <v>345</v>
      </c>
      <c r="E8860" s="13">
        <v>2200</v>
      </c>
      <c r="F8860" s="12">
        <v>1.87</v>
      </c>
      <c r="G8860" t="str">
        <f>IFERROR(INDEX(tEditais[Órgão],MATCH(tItens[[#This Row],[Edital]],tEditais[Edital],0)),"")</f>
        <v>MUNICIPIO DE HORTOLANDIA</v>
      </c>
      <c r="H8860" t="str">
        <f>IFERROR(INDEX(tEditais[UF],MATCH(tItens[[#This Row],[Edital]],tEditais[Edital],0)),"")</f>
        <v>SP</v>
      </c>
      <c r="I8860" s="11">
        <f>IFERROR(INDEX(tEditais[Encerramento],MATCH(tItens[[#This Row],[Edital]],tEditais[Edital],0)),"")</f>
        <v>46311.333333333336</v>
      </c>
      <c r="J8860" t="str">
        <f>IFERROR(INDEX(tProdutos[Classe],MATCH(tItens[[#This Row],[Produto]],tProdutos[Produto],0)),"produto não cadastrado")</f>
        <v>FORA</v>
      </c>
      <c r="K8860" s="12">
        <f>tItens[[#This Row],[Qtd]]*tItens[[#This Row],[Vlr unit]]</f>
        <v>4114</v>
      </c>
      <c r="L8860" s="6">
        <f>IFERROR(IF(INDEX(tProdutos[Desconto homologado],MATCH(tItens[[#This Row],[Produto]],tProdutos[Produto],0))="",DescontoPadrao,INDEX(tProdutos[Desconto homologado],MATCH(tItens[[#This Row],[Produto]],tProdutos[Produto],0))),DescontoPadrao)</f>
        <v>0.412394275616498</v>
      </c>
      <c r="M8860" s="12">
        <f>tItens[[#This Row],[Valor]]*(1-tItens[[#This Row],[Desconto]])</f>
        <v>2417.4099501137271</v>
      </c>
      <c r="N8860" t="str">
        <f>IFERROR(INDEX(tProdutos[Foco],MATCH(tItens[[#This Row],[Produto]],tProdutos[Produto],0)),"Não")</f>
        <v>Não</v>
      </c>
      <c r="O8860" t="str">
        <f>IFERROR(INDEX(tEditais[SRP],MATCH(tItens[[#This Row],[Edital]],tEditais[Edital],0)),"Não")</f>
        <v>Sim</v>
      </c>
      <c r="P8860" s="4">
        <f>IF(COUNTIFS(INDEX(tItens[Edital],1):tItens[[#This Row],[Edital]],tItens[[#This Row],[Edital]],INDEX(tItens[Produto],1):tItens[[#This Row],[Produto]],tItens[[#This Row],[Produto]])=1,1,0)</f>
        <v>1</v>
      </c>
    </row>
    <row r="8861" spans="1:16" x14ac:dyDescent="0.25">
      <c r="A8861" t="s">
        <v>3057</v>
      </c>
      <c r="B8861">
        <v>44</v>
      </c>
      <c r="C8861" t="s">
        <v>11225</v>
      </c>
      <c r="D8861" t="s">
        <v>339</v>
      </c>
      <c r="E8861" s="13">
        <v>4000</v>
      </c>
      <c r="F8861" s="12">
        <v>0.84</v>
      </c>
      <c r="G8861" t="str">
        <f>IFERROR(INDEX(tEditais[Órgão],MATCH(tItens[[#This Row],[Edital]],tEditais[Edital],0)),"")</f>
        <v>MUNICIPIO DE HORTOLANDIA</v>
      </c>
      <c r="H8861" t="str">
        <f>IFERROR(INDEX(tEditais[UF],MATCH(tItens[[#This Row],[Edital]],tEditais[Edital],0)),"")</f>
        <v>SP</v>
      </c>
      <c r="I8861" s="11">
        <f>IFERROR(INDEX(tEditais[Encerramento],MATCH(tItens[[#This Row],[Edital]],tEditais[Edital],0)),"")</f>
        <v>46311.333333333336</v>
      </c>
      <c r="J8861" t="str">
        <f>IFERROR(INDEX(tProdutos[Classe],MATCH(tItens[[#This Row],[Produto]],tProdutos[Produto],0)),"produto não cadastrado")</f>
        <v>FORA</v>
      </c>
      <c r="K8861" s="12">
        <f>tItens[[#This Row],[Qtd]]*tItens[[#This Row],[Vlr unit]]</f>
        <v>3360</v>
      </c>
      <c r="L8861" s="6">
        <f>IFERROR(IF(INDEX(tProdutos[Desconto homologado],MATCH(tItens[[#This Row],[Produto]],tProdutos[Produto],0))="",DescontoPadrao,INDEX(tProdutos[Desconto homologado],MATCH(tItens[[#This Row],[Produto]],tProdutos[Produto],0))),DescontoPadrao)</f>
        <v>0.35388629091804102</v>
      </c>
      <c r="M8861" s="12">
        <f>tItens[[#This Row],[Valor]]*(1-tItens[[#This Row],[Desconto]])</f>
        <v>2170.9420625153821</v>
      </c>
      <c r="N8861" t="str">
        <f>IFERROR(INDEX(tProdutos[Foco],MATCH(tItens[[#This Row],[Produto]],tProdutos[Produto],0)),"Não")</f>
        <v>Não</v>
      </c>
      <c r="O8861" t="str">
        <f>IFERROR(INDEX(tEditais[SRP],MATCH(tItens[[#This Row],[Edital]],tEditais[Edital],0)),"Não")</f>
        <v>Sim</v>
      </c>
      <c r="P8861" s="4">
        <f>IF(COUNTIFS(INDEX(tItens[Edital],1):tItens[[#This Row],[Edital]],tItens[[#This Row],[Edital]],INDEX(tItens[Produto],1):tItens[[#This Row],[Produto]],tItens[[#This Row],[Produto]])=1,1,0)</f>
        <v>0</v>
      </c>
    </row>
    <row r="8862" spans="1:16" x14ac:dyDescent="0.25">
      <c r="A8862" t="s">
        <v>3057</v>
      </c>
      <c r="B8862">
        <v>45</v>
      </c>
      <c r="C8862" t="s">
        <v>11226</v>
      </c>
      <c r="D8862" t="s">
        <v>339</v>
      </c>
      <c r="E8862" s="13">
        <v>600</v>
      </c>
      <c r="F8862" s="12">
        <v>1.1100000000000001</v>
      </c>
      <c r="G8862" t="str">
        <f>IFERROR(INDEX(tEditais[Órgão],MATCH(tItens[[#This Row],[Edital]],tEditais[Edital],0)),"")</f>
        <v>MUNICIPIO DE HORTOLANDIA</v>
      </c>
      <c r="H8862" t="str">
        <f>IFERROR(INDEX(tEditais[UF],MATCH(tItens[[#This Row],[Edital]],tEditais[Edital],0)),"")</f>
        <v>SP</v>
      </c>
      <c r="I8862" s="11">
        <f>IFERROR(INDEX(tEditais[Encerramento],MATCH(tItens[[#This Row],[Edital]],tEditais[Edital],0)),"")</f>
        <v>46311.333333333336</v>
      </c>
      <c r="J8862" t="str">
        <f>IFERROR(INDEX(tProdutos[Classe],MATCH(tItens[[#This Row],[Produto]],tProdutos[Produto],0)),"produto não cadastrado")</f>
        <v>FORA</v>
      </c>
      <c r="K8862" s="12">
        <f>tItens[[#This Row],[Qtd]]*tItens[[#This Row],[Vlr unit]]</f>
        <v>666.00000000000011</v>
      </c>
      <c r="L8862" s="6">
        <f>IFERROR(IF(INDEX(tProdutos[Desconto homologado],MATCH(tItens[[#This Row],[Produto]],tProdutos[Produto],0))="",DescontoPadrao,INDEX(tProdutos[Desconto homologado],MATCH(tItens[[#This Row],[Produto]],tProdutos[Produto],0))),DescontoPadrao)</f>
        <v>0.35388629091804102</v>
      </c>
      <c r="M8862" s="12">
        <f>tItens[[#This Row],[Valor]]*(1-tItens[[#This Row],[Desconto]])</f>
        <v>430.31173024858475</v>
      </c>
      <c r="N8862" t="str">
        <f>IFERROR(INDEX(tProdutos[Foco],MATCH(tItens[[#This Row],[Produto]],tProdutos[Produto],0)),"Não")</f>
        <v>Não</v>
      </c>
      <c r="O8862" t="str">
        <f>IFERROR(INDEX(tEditais[SRP],MATCH(tItens[[#This Row],[Edital]],tEditais[Edital],0)),"Não")</f>
        <v>Sim</v>
      </c>
      <c r="P8862" s="4">
        <f>IF(COUNTIFS(INDEX(tItens[Edital],1):tItens[[#This Row],[Edital]],tItens[[#This Row],[Edital]],INDEX(tItens[Produto],1):tItens[[#This Row],[Produto]],tItens[[#This Row],[Produto]])=1,1,0)</f>
        <v>0</v>
      </c>
    </row>
    <row r="8863" spans="1:16" x14ac:dyDescent="0.25">
      <c r="A8863" t="s">
        <v>3057</v>
      </c>
      <c r="B8863">
        <v>46</v>
      </c>
      <c r="C8863" t="s">
        <v>11227</v>
      </c>
      <c r="D8863" t="s">
        <v>512</v>
      </c>
      <c r="E8863" s="13">
        <v>30</v>
      </c>
      <c r="F8863" s="12">
        <v>21.16</v>
      </c>
      <c r="G8863" t="str">
        <f>IFERROR(INDEX(tEditais[Órgão],MATCH(tItens[[#This Row],[Edital]],tEditais[Edital],0)),"")</f>
        <v>MUNICIPIO DE HORTOLANDIA</v>
      </c>
      <c r="H8863" t="str">
        <f>IFERROR(INDEX(tEditais[UF],MATCH(tItens[[#This Row],[Edital]],tEditais[Edital],0)),"")</f>
        <v>SP</v>
      </c>
      <c r="I8863" s="11">
        <f>IFERROR(INDEX(tEditais[Encerramento],MATCH(tItens[[#This Row],[Edital]],tEditais[Edital],0)),"")</f>
        <v>46311.333333333336</v>
      </c>
      <c r="J8863" t="str">
        <f>IFERROR(INDEX(tProdutos[Classe],MATCH(tItens[[#This Row],[Produto]],tProdutos[Produto],0)),"produto não cadastrado")</f>
        <v>FILA REBASE</v>
      </c>
      <c r="K8863" s="12">
        <f>tItens[[#This Row],[Qtd]]*tItens[[#This Row],[Vlr unit]]</f>
        <v>634.79999999999995</v>
      </c>
      <c r="L8863" s="6">
        <f>IFERROR(IF(INDEX(tProdutos[Desconto homologado],MATCH(tItens[[#This Row],[Produto]],tProdutos[Produto],0))="",DescontoPadrao,INDEX(tProdutos[Desconto homologado],MATCH(tItens[[#This Row],[Produto]],tProdutos[Produto],0))),DescontoPadrao)</f>
        <v>0.32579365079365102</v>
      </c>
      <c r="M8863" s="12">
        <f>tItens[[#This Row],[Valor]]*(1-tItens[[#This Row],[Desconto]])</f>
        <v>427.98619047619036</v>
      </c>
      <c r="N8863" t="str">
        <f>IFERROR(INDEX(tProdutos[Foco],MATCH(tItens[[#This Row],[Produto]],tProdutos[Produto],0)),"Não")</f>
        <v>Não</v>
      </c>
      <c r="O8863" t="str">
        <f>IFERROR(INDEX(tEditais[SRP],MATCH(tItens[[#This Row],[Edital]],tEditais[Edital],0)),"Não")</f>
        <v>Sim</v>
      </c>
      <c r="P8863" s="4">
        <f>IF(COUNTIFS(INDEX(tItens[Edital],1):tItens[[#This Row],[Edital]],tItens[[#This Row],[Edital]],INDEX(tItens[Produto],1):tItens[[#This Row],[Produto]],tItens[[#This Row],[Produto]])=1,1,0)</f>
        <v>1</v>
      </c>
    </row>
    <row r="8864" spans="1:16" x14ac:dyDescent="0.25">
      <c r="A8864" t="s">
        <v>3057</v>
      </c>
      <c r="B8864">
        <v>47</v>
      </c>
      <c r="C8864" t="s">
        <v>11228</v>
      </c>
      <c r="D8864" t="s">
        <v>467</v>
      </c>
      <c r="E8864" s="13">
        <v>1000</v>
      </c>
      <c r="F8864" s="12">
        <v>1.76</v>
      </c>
      <c r="G8864" t="str">
        <f>IFERROR(INDEX(tEditais[Órgão],MATCH(tItens[[#This Row],[Edital]],tEditais[Edital],0)),"")</f>
        <v>MUNICIPIO DE HORTOLANDIA</v>
      </c>
      <c r="H8864" t="str">
        <f>IFERROR(INDEX(tEditais[UF],MATCH(tItens[[#This Row],[Edital]],tEditais[Edital],0)),"")</f>
        <v>SP</v>
      </c>
      <c r="I8864" s="11">
        <f>IFERROR(INDEX(tEditais[Encerramento],MATCH(tItens[[#This Row],[Edital]],tEditais[Edital],0)),"")</f>
        <v>46311.333333333336</v>
      </c>
      <c r="J8864" t="str">
        <f>IFERROR(INDEX(tProdutos[Classe],MATCH(tItens[[#This Row],[Produto]],tProdutos[Produto],0)),"produto não cadastrado")</f>
        <v>FILA REBASE</v>
      </c>
      <c r="K8864" s="12">
        <f>tItens[[#This Row],[Qtd]]*tItens[[#This Row],[Vlr unit]]</f>
        <v>1760</v>
      </c>
      <c r="L8864" s="6">
        <f>IFERROR(IF(INDEX(tProdutos[Desconto homologado],MATCH(tItens[[#This Row],[Produto]],tProdutos[Produto],0))="",DescontoPadrao,INDEX(tProdutos[Desconto homologado],MATCH(tItens[[#This Row],[Produto]],tProdutos[Produto],0))),DescontoPadrao)</f>
        <v>0.25007144898542499</v>
      </c>
      <c r="M8864" s="12">
        <f>tItens[[#This Row],[Valor]]*(1-tItens[[#This Row],[Desconto]])</f>
        <v>1319.874249785652</v>
      </c>
      <c r="N8864" t="str">
        <f>IFERROR(INDEX(tProdutos[Foco],MATCH(tItens[[#This Row],[Produto]],tProdutos[Produto],0)),"Não")</f>
        <v>Não</v>
      </c>
      <c r="O8864" t="str">
        <f>IFERROR(INDEX(tEditais[SRP],MATCH(tItens[[#This Row],[Edital]],tEditais[Edital],0)),"Não")</f>
        <v>Sim</v>
      </c>
      <c r="P8864" s="4">
        <f>IF(COUNTIFS(INDEX(tItens[Edital],1):tItens[[#This Row],[Edital]],tItens[[#This Row],[Edital]],INDEX(tItens[Produto],1):tItens[[#This Row],[Produto]],tItens[[#This Row],[Produto]])=1,1,0)</f>
        <v>1</v>
      </c>
    </row>
    <row r="8865" spans="1:16" x14ac:dyDescent="0.25">
      <c r="A8865" t="s">
        <v>3057</v>
      </c>
      <c r="B8865">
        <v>48</v>
      </c>
      <c r="C8865" t="s">
        <v>11229</v>
      </c>
      <c r="D8865" t="s">
        <v>397</v>
      </c>
      <c r="E8865" s="13">
        <v>3100</v>
      </c>
      <c r="F8865" s="12">
        <v>17.78</v>
      </c>
      <c r="G8865" t="str">
        <f>IFERROR(INDEX(tEditais[Órgão],MATCH(tItens[[#This Row],[Edital]],tEditais[Edital],0)),"")</f>
        <v>MUNICIPIO DE HORTOLANDIA</v>
      </c>
      <c r="H8865" t="str">
        <f>IFERROR(INDEX(tEditais[UF],MATCH(tItens[[#This Row],[Edital]],tEditais[Edital],0)),"")</f>
        <v>SP</v>
      </c>
      <c r="I8865" s="11">
        <f>IFERROR(INDEX(tEditais[Encerramento],MATCH(tItens[[#This Row],[Edital]],tEditais[Edital],0)),"")</f>
        <v>46311.333333333336</v>
      </c>
      <c r="J8865" t="str">
        <f>IFERROR(INDEX(tProdutos[Classe],MATCH(tItens[[#This Row],[Produto]],tProdutos[Produto],0)),"produto não cadastrado")</f>
        <v>FORA</v>
      </c>
      <c r="K8865" s="12">
        <f>tItens[[#This Row],[Qtd]]*tItens[[#This Row],[Vlr unit]]</f>
        <v>55118</v>
      </c>
      <c r="L8865" s="6">
        <f>IFERROR(IF(INDEX(tProdutos[Desconto homologado],MATCH(tItens[[#This Row],[Produto]],tProdutos[Produto],0))="",DescontoPadrao,INDEX(tProdutos[Desconto homologado],MATCH(tItens[[#This Row],[Produto]],tProdutos[Produto],0))),DescontoPadrao)</f>
        <v>0.336426116838488</v>
      </c>
      <c r="M8865" s="12">
        <f>tItens[[#This Row],[Valor]]*(1-tItens[[#This Row],[Desconto]])</f>
        <v>36574.865292096219</v>
      </c>
      <c r="N8865" t="str">
        <f>IFERROR(INDEX(tProdutos[Foco],MATCH(tItens[[#This Row],[Produto]],tProdutos[Produto],0)),"Não")</f>
        <v>Não</v>
      </c>
      <c r="O8865" t="str">
        <f>IFERROR(INDEX(tEditais[SRP],MATCH(tItens[[#This Row],[Edital]],tEditais[Edital],0)),"Não")</f>
        <v>Sim</v>
      </c>
      <c r="P8865" s="4">
        <f>IF(COUNTIFS(INDEX(tItens[Edital],1):tItens[[#This Row],[Edital]],tItens[[#This Row],[Edital]],INDEX(tItens[Produto],1):tItens[[#This Row],[Produto]],tItens[[#This Row],[Produto]])=1,1,0)</f>
        <v>1</v>
      </c>
    </row>
    <row r="8866" spans="1:16" x14ac:dyDescent="0.25">
      <c r="A8866" t="s">
        <v>3057</v>
      </c>
      <c r="B8866">
        <v>50</v>
      </c>
      <c r="C8866" t="s">
        <v>11230</v>
      </c>
      <c r="D8866" t="s">
        <v>56</v>
      </c>
      <c r="E8866" s="13">
        <v>60</v>
      </c>
      <c r="F8866" s="12">
        <v>42.65</v>
      </c>
      <c r="G8866" t="str">
        <f>IFERROR(INDEX(tEditais[Órgão],MATCH(tItens[[#This Row],[Edital]],tEditais[Edital],0)),"")</f>
        <v>MUNICIPIO DE HORTOLANDIA</v>
      </c>
      <c r="H8866" t="str">
        <f>IFERROR(INDEX(tEditais[UF],MATCH(tItens[[#This Row],[Edital]],tEditais[Edital],0)),"")</f>
        <v>SP</v>
      </c>
      <c r="I8866" s="11">
        <f>IFERROR(INDEX(tEditais[Encerramento],MATCH(tItens[[#This Row],[Edital]],tEditais[Edital],0)),"")</f>
        <v>46311.333333333336</v>
      </c>
      <c r="J8866" t="str">
        <f>IFERROR(INDEX(tProdutos[Classe],MATCH(tItens[[#This Row],[Produto]],tProdutos[Produto],0)),"produto não cadastrado")</f>
        <v>NÚCLEO</v>
      </c>
      <c r="K8866" s="12">
        <f>tItens[[#This Row],[Qtd]]*tItens[[#This Row],[Vlr unit]]</f>
        <v>2559</v>
      </c>
      <c r="L8866" s="6">
        <f>IFERROR(IF(INDEX(tProdutos[Desconto homologado],MATCH(tItens[[#This Row],[Produto]],tProdutos[Produto],0))="",DescontoPadrao,INDEX(tProdutos[Desconto homologado],MATCH(tItens[[#This Row],[Produto]],tProdutos[Produto],0))),DescontoPadrao)</f>
        <v>0.34</v>
      </c>
      <c r="M8866" s="12">
        <f>tItens[[#This Row],[Valor]]*(1-tItens[[#This Row],[Desconto]])</f>
        <v>1688.9399999999998</v>
      </c>
      <c r="N8866" t="str">
        <f>IFERROR(INDEX(tProdutos[Foco],MATCH(tItens[[#This Row],[Produto]],tProdutos[Produto],0)),"Não")</f>
        <v>Sim</v>
      </c>
      <c r="O8866" t="str">
        <f>IFERROR(INDEX(tEditais[SRP],MATCH(tItens[[#This Row],[Edital]],tEditais[Edital],0)),"Não")</f>
        <v>Sim</v>
      </c>
      <c r="P8866" s="4">
        <f>IF(COUNTIFS(INDEX(tItens[Edital],1):tItens[[#This Row],[Edital]],tItens[[#This Row],[Edital]],INDEX(tItens[Produto],1):tItens[[#This Row],[Produto]],tItens[[#This Row],[Produto]])=1,1,0)</f>
        <v>1</v>
      </c>
    </row>
    <row r="8867" spans="1:16" x14ac:dyDescent="0.25">
      <c r="A8867" t="s">
        <v>3057</v>
      </c>
      <c r="B8867">
        <v>52</v>
      </c>
      <c r="C8867" t="s">
        <v>11231</v>
      </c>
      <c r="D8867" t="s">
        <v>267</v>
      </c>
      <c r="E8867" s="13">
        <v>7600</v>
      </c>
      <c r="F8867" s="12">
        <v>7.59</v>
      </c>
      <c r="G8867" t="str">
        <f>IFERROR(INDEX(tEditais[Órgão],MATCH(tItens[[#This Row],[Edital]],tEditais[Edital],0)),"")</f>
        <v>MUNICIPIO DE HORTOLANDIA</v>
      </c>
      <c r="H8867" t="str">
        <f>IFERROR(INDEX(tEditais[UF],MATCH(tItens[[#This Row],[Edital]],tEditais[Edital],0)),"")</f>
        <v>SP</v>
      </c>
      <c r="I8867" s="11">
        <f>IFERROR(INDEX(tEditais[Encerramento],MATCH(tItens[[#This Row],[Edital]],tEditais[Edital],0)),"")</f>
        <v>46311.333333333336</v>
      </c>
      <c r="J8867" t="str">
        <f>IFERROR(INDEX(tProdutos[Classe],MATCH(tItens[[#This Row],[Produto]],tProdutos[Produto],0)),"produto não cadastrado")</f>
        <v>FORA</v>
      </c>
      <c r="K8867" s="12">
        <f>tItens[[#This Row],[Qtd]]*tItens[[#This Row],[Vlr unit]]</f>
        <v>57684</v>
      </c>
      <c r="L8867" s="6">
        <f>IFERROR(IF(INDEX(tProdutos[Desconto homologado],MATCH(tItens[[#This Row],[Produto]],tProdutos[Produto],0))="",DescontoPadrao,INDEX(tProdutos[Desconto homologado],MATCH(tItens[[#This Row],[Produto]],tProdutos[Produto],0))),DescontoPadrao)</f>
        <v>0.19963672657401599</v>
      </c>
      <c r="M8867" s="12">
        <f>tItens[[#This Row],[Valor]]*(1-tItens[[#This Row],[Desconto]])</f>
        <v>46168.155064304461</v>
      </c>
      <c r="N8867" t="str">
        <f>IFERROR(INDEX(tProdutos[Foco],MATCH(tItens[[#This Row],[Produto]],tProdutos[Produto],0)),"Não")</f>
        <v>Não</v>
      </c>
      <c r="O8867" t="str">
        <f>IFERROR(INDEX(tEditais[SRP],MATCH(tItens[[#This Row],[Edital]],tEditais[Edital],0)),"Não")</f>
        <v>Sim</v>
      </c>
      <c r="P8867" s="4">
        <f>IF(COUNTIFS(INDEX(tItens[Edital],1):tItens[[#This Row],[Edital]],tItens[[#This Row],[Edital]],INDEX(tItens[Produto],1):tItens[[#This Row],[Produto]],tItens[[#This Row],[Produto]])=1,1,0)</f>
        <v>1</v>
      </c>
    </row>
    <row r="8868" spans="1:16" x14ac:dyDescent="0.25">
      <c r="A8868" t="s">
        <v>3057</v>
      </c>
      <c r="B8868">
        <v>62</v>
      </c>
      <c r="C8868" t="s">
        <v>11232</v>
      </c>
      <c r="D8868" t="s">
        <v>281</v>
      </c>
      <c r="E8868" s="13">
        <v>20000</v>
      </c>
      <c r="F8868" s="12">
        <v>0.25</v>
      </c>
      <c r="G8868" t="str">
        <f>IFERROR(INDEX(tEditais[Órgão],MATCH(tItens[[#This Row],[Edital]],tEditais[Edital],0)),"")</f>
        <v>MUNICIPIO DE HORTOLANDIA</v>
      </c>
      <c r="H8868" t="str">
        <f>IFERROR(INDEX(tEditais[UF],MATCH(tItens[[#This Row],[Edital]],tEditais[Edital],0)),"")</f>
        <v>SP</v>
      </c>
      <c r="I8868" s="11">
        <f>IFERROR(INDEX(tEditais[Encerramento],MATCH(tItens[[#This Row],[Edital]],tEditais[Edital],0)),"")</f>
        <v>46311.333333333336</v>
      </c>
      <c r="J8868" t="str">
        <f>IFERROR(INDEX(tProdutos[Classe],MATCH(tItens[[#This Row],[Produto]],tProdutos[Produto],0)),"produto não cadastrado")</f>
        <v>DISPUTADO</v>
      </c>
      <c r="K8868" s="12">
        <f>tItens[[#This Row],[Qtd]]*tItens[[#This Row],[Vlr unit]]</f>
        <v>5000</v>
      </c>
      <c r="L8868" s="6">
        <f>IFERROR(IF(INDEX(tProdutos[Desconto homologado],MATCH(tItens[[#This Row],[Produto]],tProdutos[Produto],0))="",DescontoPadrao,INDEX(tProdutos[Desconto homologado],MATCH(tItens[[#This Row],[Produto]],tProdutos[Produto],0))),DescontoPadrao)</f>
        <v>0.42461538461538501</v>
      </c>
      <c r="M8868" s="12">
        <f>tItens[[#This Row],[Valor]]*(1-tItens[[#This Row],[Desconto]])</f>
        <v>2876.9230769230749</v>
      </c>
      <c r="N8868" t="str">
        <f>IFERROR(INDEX(tProdutos[Foco],MATCH(tItens[[#This Row],[Produto]],tProdutos[Produto],0)),"Não")</f>
        <v>Não</v>
      </c>
      <c r="O8868" t="str">
        <f>IFERROR(INDEX(tEditais[SRP],MATCH(tItens[[#This Row],[Edital]],tEditais[Edital],0)),"Não")</f>
        <v>Sim</v>
      </c>
      <c r="P8868" s="4">
        <f>IF(COUNTIFS(INDEX(tItens[Edital],1):tItens[[#This Row],[Edital]],tItens[[#This Row],[Edital]],INDEX(tItens[Produto],1):tItens[[#This Row],[Produto]],tItens[[#This Row],[Produto]])=1,1,0)</f>
        <v>1</v>
      </c>
    </row>
    <row r="8869" spans="1:16" x14ac:dyDescent="0.25">
      <c r="A8869" t="s">
        <v>3057</v>
      </c>
      <c r="B8869">
        <v>63</v>
      </c>
      <c r="C8869" t="s">
        <v>11233</v>
      </c>
      <c r="D8869" t="s">
        <v>283</v>
      </c>
      <c r="E8869" s="13">
        <v>130000</v>
      </c>
      <c r="F8869" s="12">
        <v>0.17</v>
      </c>
      <c r="G8869" t="str">
        <f>IFERROR(INDEX(tEditais[Órgão],MATCH(tItens[[#This Row],[Edital]],tEditais[Edital],0)),"")</f>
        <v>MUNICIPIO DE HORTOLANDIA</v>
      </c>
      <c r="H8869" t="str">
        <f>IFERROR(INDEX(tEditais[UF],MATCH(tItens[[#This Row],[Edital]],tEditais[Edital],0)),"")</f>
        <v>SP</v>
      </c>
      <c r="I8869" s="11">
        <f>IFERROR(INDEX(tEditais[Encerramento],MATCH(tItens[[#This Row],[Edital]],tEditais[Edital],0)),"")</f>
        <v>46311.333333333336</v>
      </c>
      <c r="J8869" t="str">
        <f>IFERROR(INDEX(tProdutos[Classe],MATCH(tItens[[#This Row],[Produto]],tProdutos[Produto],0)),"produto não cadastrado")</f>
        <v>FORA</v>
      </c>
      <c r="K8869" s="12">
        <f>tItens[[#This Row],[Qtd]]*tItens[[#This Row],[Vlr unit]]</f>
        <v>22100</v>
      </c>
      <c r="L8869" s="6">
        <f>IFERROR(IF(INDEX(tProdutos[Desconto homologado],MATCH(tItens[[#This Row],[Produto]],tProdutos[Produto],0))="",DescontoPadrao,INDEX(tProdutos[Desconto homologado],MATCH(tItens[[#This Row],[Produto]],tProdutos[Produto],0))),DescontoPadrao)</f>
        <v>0.40540540540540498</v>
      </c>
      <c r="M8869" s="12">
        <f>tItens[[#This Row],[Valor]]*(1-tItens[[#This Row],[Desconto]])</f>
        <v>13140.540540540549</v>
      </c>
      <c r="N8869" t="str">
        <f>IFERROR(INDEX(tProdutos[Foco],MATCH(tItens[[#This Row],[Produto]],tProdutos[Produto],0)),"Não")</f>
        <v>Não</v>
      </c>
      <c r="O8869" t="str">
        <f>IFERROR(INDEX(tEditais[SRP],MATCH(tItens[[#This Row],[Edital]],tEditais[Edital],0)),"Não")</f>
        <v>Sim</v>
      </c>
      <c r="P8869" s="4">
        <f>IF(COUNTIFS(INDEX(tItens[Edital],1):tItens[[#This Row],[Edital]],tItens[[#This Row],[Edital]],INDEX(tItens[Produto],1):tItens[[#This Row],[Produto]],tItens[[#This Row],[Produto]])=1,1,0)</f>
        <v>1</v>
      </c>
    </row>
    <row r="8870" spans="1:16" x14ac:dyDescent="0.25">
      <c r="A8870" t="s">
        <v>3057</v>
      </c>
      <c r="B8870">
        <v>64</v>
      </c>
      <c r="C8870" t="s">
        <v>11234</v>
      </c>
      <c r="D8870" t="s">
        <v>265</v>
      </c>
      <c r="E8870" s="13">
        <v>22000</v>
      </c>
      <c r="F8870" s="12">
        <v>0.2</v>
      </c>
      <c r="G8870" t="str">
        <f>IFERROR(INDEX(tEditais[Órgão],MATCH(tItens[[#This Row],[Edital]],tEditais[Edital],0)),"")</f>
        <v>MUNICIPIO DE HORTOLANDIA</v>
      </c>
      <c r="H8870" t="str">
        <f>IFERROR(INDEX(tEditais[UF],MATCH(tItens[[#This Row],[Edital]],tEditais[Edital],0)),"")</f>
        <v>SP</v>
      </c>
      <c r="I8870" s="11">
        <f>IFERROR(INDEX(tEditais[Encerramento],MATCH(tItens[[#This Row],[Edital]],tEditais[Edital],0)),"")</f>
        <v>46311.333333333336</v>
      </c>
      <c r="J8870" t="str">
        <f>IFERROR(INDEX(tProdutos[Classe],MATCH(tItens[[#This Row],[Produto]],tProdutos[Produto],0)),"produto não cadastrado")</f>
        <v>DISPUTADO</v>
      </c>
      <c r="K8870" s="12">
        <f>tItens[[#This Row],[Qtd]]*tItens[[#This Row],[Vlr unit]]</f>
        <v>4400</v>
      </c>
      <c r="L8870" s="6">
        <f>IFERROR(IF(INDEX(tProdutos[Desconto homologado],MATCH(tItens[[#This Row],[Produto]],tProdutos[Produto],0))="",DescontoPadrao,INDEX(tProdutos[Desconto homologado],MATCH(tItens[[#This Row],[Produto]],tProdutos[Produto],0))),DescontoPadrao)</f>
        <v>0.377587663709337</v>
      </c>
      <c r="M8870" s="12">
        <f>tItens[[#This Row],[Valor]]*(1-tItens[[#This Row],[Desconto]])</f>
        <v>2738.6142796789177</v>
      </c>
      <c r="N8870" t="str">
        <f>IFERROR(INDEX(tProdutos[Foco],MATCH(tItens[[#This Row],[Produto]],tProdutos[Produto],0)),"Não")</f>
        <v>Não</v>
      </c>
      <c r="O8870" t="str">
        <f>IFERROR(INDEX(tEditais[SRP],MATCH(tItens[[#This Row],[Edital]],tEditais[Edital],0)),"Não")</f>
        <v>Sim</v>
      </c>
      <c r="P8870" s="4">
        <f>IF(COUNTIFS(INDEX(tItens[Edital],1):tItens[[#This Row],[Edital]],tItens[[#This Row],[Edital]],INDEX(tItens[Produto],1):tItens[[#This Row],[Produto]],tItens[[#This Row],[Produto]])=1,1,0)</f>
        <v>1</v>
      </c>
    </row>
    <row r="8871" spans="1:16" x14ac:dyDescent="0.25">
      <c r="A8871" t="s">
        <v>3057</v>
      </c>
      <c r="B8871">
        <v>65</v>
      </c>
      <c r="C8871" t="s">
        <v>11235</v>
      </c>
      <c r="D8871" t="s">
        <v>317</v>
      </c>
      <c r="E8871" s="13">
        <v>85000</v>
      </c>
      <c r="F8871" s="12">
        <v>0.23</v>
      </c>
      <c r="G8871" t="str">
        <f>IFERROR(INDEX(tEditais[Órgão],MATCH(tItens[[#This Row],[Edital]],tEditais[Edital],0)),"")</f>
        <v>MUNICIPIO DE HORTOLANDIA</v>
      </c>
      <c r="H8871" t="str">
        <f>IFERROR(INDEX(tEditais[UF],MATCH(tItens[[#This Row],[Edital]],tEditais[Edital],0)),"")</f>
        <v>SP</v>
      </c>
      <c r="I8871" s="11">
        <f>IFERROR(INDEX(tEditais[Encerramento],MATCH(tItens[[#This Row],[Edital]],tEditais[Edital],0)),"")</f>
        <v>46311.333333333336</v>
      </c>
      <c r="J8871" t="str">
        <f>IFERROR(INDEX(tProdutos[Classe],MATCH(tItens[[#This Row],[Produto]],tProdutos[Produto],0)),"produto não cadastrado")</f>
        <v>FORA</v>
      </c>
      <c r="K8871" s="12">
        <f>tItens[[#This Row],[Qtd]]*tItens[[#This Row],[Vlr unit]]</f>
        <v>19550</v>
      </c>
      <c r="L8871" s="6">
        <f>IFERROR(IF(INDEX(tProdutos[Desconto homologado],MATCH(tItens[[#This Row],[Produto]],tProdutos[Produto],0))="",DescontoPadrao,INDEX(tProdutos[Desconto homologado],MATCH(tItens[[#This Row],[Produto]],tProdutos[Produto],0))),DescontoPadrao)</f>
        <v>0.5</v>
      </c>
      <c r="M8871" s="12">
        <f>tItens[[#This Row],[Valor]]*(1-tItens[[#This Row],[Desconto]])</f>
        <v>9775</v>
      </c>
      <c r="N8871" t="str">
        <f>IFERROR(INDEX(tProdutos[Foco],MATCH(tItens[[#This Row],[Produto]],tProdutos[Produto],0)),"Não")</f>
        <v>Não</v>
      </c>
      <c r="O8871" t="str">
        <f>IFERROR(INDEX(tEditais[SRP],MATCH(tItens[[#This Row],[Edital]],tEditais[Edital],0)),"Não")</f>
        <v>Sim</v>
      </c>
      <c r="P8871" s="4">
        <f>IF(COUNTIFS(INDEX(tItens[Edital],1):tItens[[#This Row],[Edital]],tItens[[#This Row],[Edital]],INDEX(tItens[Produto],1):tItens[[#This Row],[Produto]],tItens[[#This Row],[Produto]])=1,1,0)</f>
        <v>1</v>
      </c>
    </row>
    <row r="8872" spans="1:16" x14ac:dyDescent="0.25">
      <c r="A8872" t="s">
        <v>3057</v>
      </c>
      <c r="B8872">
        <v>69</v>
      </c>
      <c r="C8872" t="s">
        <v>11236</v>
      </c>
      <c r="D8872" t="s">
        <v>114</v>
      </c>
      <c r="E8872" s="13">
        <v>530</v>
      </c>
      <c r="F8872" s="12">
        <v>5.6</v>
      </c>
      <c r="G8872" t="str">
        <f>IFERROR(INDEX(tEditais[Órgão],MATCH(tItens[[#This Row],[Edital]],tEditais[Edital],0)),"")</f>
        <v>MUNICIPIO DE HORTOLANDIA</v>
      </c>
      <c r="H8872" t="str">
        <f>IFERROR(INDEX(tEditais[UF],MATCH(tItens[[#This Row],[Edital]],tEditais[Edital],0)),"")</f>
        <v>SP</v>
      </c>
      <c r="I8872" s="11">
        <f>IFERROR(INDEX(tEditais[Encerramento],MATCH(tItens[[#This Row],[Edital]],tEditais[Edital],0)),"")</f>
        <v>46311.333333333336</v>
      </c>
      <c r="J8872" t="str">
        <f>IFERROR(INDEX(tProdutos[Classe],MATCH(tItens[[#This Row],[Produto]],tProdutos[Produto],0)),"produto não cadastrado")</f>
        <v>DISPUTADO</v>
      </c>
      <c r="K8872" s="12">
        <f>tItens[[#This Row],[Qtd]]*tItens[[#This Row],[Vlr unit]]</f>
        <v>2968</v>
      </c>
      <c r="L8872" s="6">
        <f>IFERROR(IF(INDEX(tProdutos[Desconto homologado],MATCH(tItens[[#This Row],[Produto]],tProdutos[Produto],0))="",DescontoPadrao,INDEX(tProdutos[Desconto homologado],MATCH(tItens[[#This Row],[Produto]],tProdutos[Produto],0))),DescontoPadrao)</f>
        <v>0.24332656063896899</v>
      </c>
      <c r="M8872" s="12">
        <f>tItens[[#This Row],[Valor]]*(1-tItens[[#This Row],[Desconto]])</f>
        <v>2245.8067680235399</v>
      </c>
      <c r="N8872" t="str">
        <f>IFERROR(INDEX(tProdutos[Foco],MATCH(tItens[[#This Row],[Produto]],tProdutos[Produto],0)),"Não")</f>
        <v>Não</v>
      </c>
      <c r="O8872" t="str">
        <f>IFERROR(INDEX(tEditais[SRP],MATCH(tItens[[#This Row],[Edital]],tEditais[Edital],0)),"Não")</f>
        <v>Sim</v>
      </c>
      <c r="P8872" s="4">
        <f>IF(COUNTIFS(INDEX(tItens[Edital],1):tItens[[#This Row],[Edital]],tItens[[#This Row],[Edital]],INDEX(tItens[Produto],1):tItens[[#This Row],[Produto]],tItens[[#This Row],[Produto]])=1,1,0)</f>
        <v>1</v>
      </c>
    </row>
    <row r="8873" spans="1:16" x14ac:dyDescent="0.25">
      <c r="A8873" t="s">
        <v>3057</v>
      </c>
      <c r="B8873">
        <v>72</v>
      </c>
      <c r="C8873" t="s">
        <v>11237</v>
      </c>
      <c r="D8873" t="s">
        <v>156</v>
      </c>
      <c r="E8873" s="13">
        <v>20</v>
      </c>
      <c r="F8873" s="12">
        <v>33.32</v>
      </c>
      <c r="G8873" t="str">
        <f>IFERROR(INDEX(tEditais[Órgão],MATCH(tItens[[#This Row],[Edital]],tEditais[Edital],0)),"")</f>
        <v>MUNICIPIO DE HORTOLANDIA</v>
      </c>
      <c r="H8873" t="str">
        <f>IFERROR(INDEX(tEditais[UF],MATCH(tItens[[#This Row],[Edital]],tEditais[Edital],0)),"")</f>
        <v>SP</v>
      </c>
      <c r="I8873" s="11">
        <f>IFERROR(INDEX(tEditais[Encerramento],MATCH(tItens[[#This Row],[Edital]],tEditais[Edital],0)),"")</f>
        <v>46311.333333333336</v>
      </c>
      <c r="J8873" t="str">
        <f>IFERROR(INDEX(tProdutos[Classe],MATCH(tItens[[#This Row],[Produto]],tProdutos[Produto],0)),"produto não cadastrado")</f>
        <v>DISPUTADO</v>
      </c>
      <c r="K8873" s="12">
        <f>tItens[[#This Row],[Qtd]]*tItens[[#This Row],[Vlr unit]]</f>
        <v>666.4</v>
      </c>
      <c r="L8873" s="6">
        <f>IFERROR(IF(INDEX(tProdutos[Desconto homologado],MATCH(tItens[[#This Row],[Produto]],tProdutos[Produto],0))="",DescontoPadrao,INDEX(tProdutos[Desconto homologado],MATCH(tItens[[#This Row],[Produto]],tProdutos[Produto],0))),DescontoPadrao)</f>
        <v>0.27131852489802799</v>
      </c>
      <c r="M8873" s="12">
        <f>tItens[[#This Row],[Valor]]*(1-tItens[[#This Row],[Desconto]])</f>
        <v>485.59333500795412</v>
      </c>
      <c r="N8873" t="str">
        <f>IFERROR(INDEX(tProdutos[Foco],MATCH(tItens[[#This Row],[Produto]],tProdutos[Produto],0)),"Não")</f>
        <v>Não</v>
      </c>
      <c r="O8873" t="str">
        <f>IFERROR(INDEX(tEditais[SRP],MATCH(tItens[[#This Row],[Edital]],tEditais[Edital],0)),"Não")</f>
        <v>Sim</v>
      </c>
      <c r="P8873" s="4">
        <f>IF(COUNTIFS(INDEX(tItens[Edital],1):tItens[[#This Row],[Edital]],tItens[[#This Row],[Edital]],INDEX(tItens[Produto],1):tItens[[#This Row],[Produto]],tItens[[#This Row],[Produto]])=1,1,0)</f>
        <v>1</v>
      </c>
    </row>
    <row r="8874" spans="1:16" x14ac:dyDescent="0.25">
      <c r="A8874" t="s">
        <v>3057</v>
      </c>
      <c r="B8874">
        <v>73</v>
      </c>
      <c r="C8874" t="s">
        <v>11238</v>
      </c>
      <c r="D8874" t="s">
        <v>156</v>
      </c>
      <c r="E8874" s="13">
        <v>20</v>
      </c>
      <c r="F8874" s="12">
        <v>28.66</v>
      </c>
      <c r="G8874" t="str">
        <f>IFERROR(INDEX(tEditais[Órgão],MATCH(tItens[[#This Row],[Edital]],tEditais[Edital],0)),"")</f>
        <v>MUNICIPIO DE HORTOLANDIA</v>
      </c>
      <c r="H8874" t="str">
        <f>IFERROR(INDEX(tEditais[UF],MATCH(tItens[[#This Row],[Edital]],tEditais[Edital],0)),"")</f>
        <v>SP</v>
      </c>
      <c r="I8874" s="11">
        <f>IFERROR(INDEX(tEditais[Encerramento],MATCH(tItens[[#This Row],[Edital]],tEditais[Edital],0)),"")</f>
        <v>46311.333333333336</v>
      </c>
      <c r="J8874" t="str">
        <f>IFERROR(INDEX(tProdutos[Classe],MATCH(tItens[[#This Row],[Produto]],tProdutos[Produto],0)),"produto não cadastrado")</f>
        <v>DISPUTADO</v>
      </c>
      <c r="K8874" s="12">
        <f>tItens[[#This Row],[Qtd]]*tItens[[#This Row],[Vlr unit]]</f>
        <v>573.20000000000005</v>
      </c>
      <c r="L8874" s="6">
        <f>IFERROR(IF(INDEX(tProdutos[Desconto homologado],MATCH(tItens[[#This Row],[Produto]],tProdutos[Produto],0))="",DescontoPadrao,INDEX(tProdutos[Desconto homologado],MATCH(tItens[[#This Row],[Produto]],tProdutos[Produto],0))),DescontoPadrao)</f>
        <v>0.27131852489802799</v>
      </c>
      <c r="M8874" s="12">
        <f>tItens[[#This Row],[Valor]]*(1-tItens[[#This Row],[Desconto]])</f>
        <v>417.68022152845037</v>
      </c>
      <c r="N8874" t="str">
        <f>IFERROR(INDEX(tProdutos[Foco],MATCH(tItens[[#This Row],[Produto]],tProdutos[Produto],0)),"Não")</f>
        <v>Não</v>
      </c>
      <c r="O8874" t="str">
        <f>IFERROR(INDEX(tEditais[SRP],MATCH(tItens[[#This Row],[Edital]],tEditais[Edital],0)),"Não")</f>
        <v>Sim</v>
      </c>
      <c r="P8874" s="4">
        <f>IF(COUNTIFS(INDEX(tItens[Edital],1):tItens[[#This Row],[Edital]],tItens[[#This Row],[Edital]],INDEX(tItens[Produto],1):tItens[[#This Row],[Produto]],tItens[[#This Row],[Produto]])=1,1,0)</f>
        <v>0</v>
      </c>
    </row>
    <row r="8875" spans="1:16" x14ac:dyDescent="0.25">
      <c r="A8875" t="s">
        <v>3061</v>
      </c>
      <c r="B8875">
        <v>2</v>
      </c>
      <c r="C8875" t="s">
        <v>11239</v>
      </c>
      <c r="D8875" t="s">
        <v>108</v>
      </c>
      <c r="E8875" s="13">
        <v>1000</v>
      </c>
      <c r="F8875" s="12">
        <v>161.68</v>
      </c>
      <c r="G8875" t="str">
        <f>IFERROR(INDEX(tEditais[Órgão],MATCH(tItens[[#This Row],[Edital]],tEditais[Edital],0)),"")</f>
        <v>MUNICIPIO DE ARARAS</v>
      </c>
      <c r="H8875" t="str">
        <f>IFERROR(INDEX(tEditais[UF],MATCH(tItens[[#This Row],[Edital]],tEditais[Edital],0)),"")</f>
        <v>SP</v>
      </c>
      <c r="I8875" s="11">
        <f>IFERROR(INDEX(tEditais[Encerramento],MATCH(tItens[[#This Row],[Edital]],tEditais[Edital],0)),"")</f>
        <v>46311.333333333336</v>
      </c>
      <c r="J8875" t="str">
        <f>IFERROR(INDEX(tProdutos[Classe],MATCH(tItens[[#This Row],[Produto]],tProdutos[Produto],0)),"produto não cadastrado")</f>
        <v>NÚCLEO</v>
      </c>
      <c r="K8875" s="12">
        <f>tItens[[#This Row],[Qtd]]*tItens[[#This Row],[Vlr unit]]</f>
        <v>161680</v>
      </c>
      <c r="L8875" s="6">
        <f>IFERROR(IF(INDEX(tProdutos[Desconto homologado],MATCH(tItens[[#This Row],[Produto]],tProdutos[Produto],0))="",DescontoPadrao,INDEX(tProdutos[Desconto homologado],MATCH(tItens[[#This Row],[Produto]],tProdutos[Produto],0))),DescontoPadrao)</f>
        <v>0.105498072631365</v>
      </c>
      <c r="M8875" s="12">
        <f>tItens[[#This Row],[Valor]]*(1-tItens[[#This Row],[Desconto]])</f>
        <v>144623.07161696089</v>
      </c>
      <c r="N8875" t="str">
        <f>IFERROR(INDEX(tProdutos[Foco],MATCH(tItens[[#This Row],[Produto]],tProdutos[Produto],0)),"Não")</f>
        <v>Não</v>
      </c>
      <c r="O8875" t="str">
        <f>IFERROR(INDEX(tEditais[SRP],MATCH(tItens[[#This Row],[Edital]],tEditais[Edital],0)),"Não")</f>
        <v>Sim</v>
      </c>
      <c r="P8875" s="4">
        <f>IF(COUNTIFS(INDEX(tItens[Edital],1):tItens[[#This Row],[Edital]],tItens[[#This Row],[Edital]],INDEX(tItens[Produto],1):tItens[[#This Row],[Produto]],tItens[[#This Row],[Produto]])=1,1,0)</f>
        <v>1</v>
      </c>
    </row>
    <row r="8876" spans="1:16" x14ac:dyDescent="0.25">
      <c r="A8876" t="s">
        <v>3065</v>
      </c>
      <c r="B8876">
        <v>2</v>
      </c>
      <c r="C8876" t="s">
        <v>3246</v>
      </c>
      <c r="D8876" t="s">
        <v>71</v>
      </c>
      <c r="E8876" s="13">
        <v>2</v>
      </c>
      <c r="F8876" s="12">
        <v>24.18</v>
      </c>
      <c r="G8876" t="str">
        <f>IFERROR(INDEX(tEditais[Órgão],MATCH(tItens[[#This Row],[Edital]],tEditais[Edital],0)),"")</f>
        <v>MINISTERIO PUBLICO DA UNIAO</v>
      </c>
      <c r="H8876" t="str">
        <f>IFERROR(INDEX(tEditais[UF],MATCH(tItens[[#This Row],[Edital]],tEditais[Edital],0)),"")</f>
        <v>SP</v>
      </c>
      <c r="I8876" s="11">
        <f>IFERROR(INDEX(tEditais[Encerramento],MATCH(tItens[[#This Row],[Edital]],tEditais[Edital],0)),"")</f>
        <v>46311.333333333336</v>
      </c>
      <c r="J8876" t="str">
        <f>IFERROR(INDEX(tProdutos[Classe],MATCH(tItens[[#This Row],[Produto]],tProdutos[Produto],0)),"produto não cadastrado")</f>
        <v>NÚCLEO</v>
      </c>
      <c r="K8876" s="12">
        <f>tItens[[#This Row],[Qtd]]*tItens[[#This Row],[Vlr unit]]</f>
        <v>48.36</v>
      </c>
      <c r="L8876" s="6">
        <f>IFERROR(IF(INDEX(tProdutos[Desconto homologado],MATCH(tItens[[#This Row],[Produto]],tProdutos[Produto],0))="",DescontoPadrao,INDEX(tProdutos[Desconto homologado],MATCH(tItens[[#This Row],[Produto]],tProdutos[Produto],0))),DescontoPadrao)</f>
        <v>0.44981412639405199</v>
      </c>
      <c r="M8876" s="12">
        <f>tItens[[#This Row],[Valor]]*(1-tItens[[#This Row],[Desconto]])</f>
        <v>26.606988847583644</v>
      </c>
      <c r="N8876" t="str">
        <f>IFERROR(INDEX(tProdutos[Foco],MATCH(tItens[[#This Row],[Produto]],tProdutos[Produto],0)),"Não")</f>
        <v>Não</v>
      </c>
      <c r="O8876" t="str">
        <f>IFERROR(INDEX(tEditais[SRP],MATCH(tItens[[#This Row],[Edital]],tEditais[Edital],0)),"Não")</f>
        <v>Não</v>
      </c>
      <c r="P8876" s="4">
        <f>IF(COUNTIFS(INDEX(tItens[Edital],1):tItens[[#This Row],[Edital]],tItens[[#This Row],[Edital]],INDEX(tItens[Produto],1):tItens[[#This Row],[Produto]],tItens[[#This Row],[Produto]])=1,1,0)</f>
        <v>1</v>
      </c>
    </row>
    <row r="8877" spans="1:16" x14ac:dyDescent="0.25">
      <c r="A8877" t="s">
        <v>3065</v>
      </c>
      <c r="B8877">
        <v>3</v>
      </c>
      <c r="C8877" t="s">
        <v>3245</v>
      </c>
      <c r="D8877" t="s">
        <v>82</v>
      </c>
      <c r="E8877" s="13">
        <v>1</v>
      </c>
      <c r="F8877" s="12">
        <v>24.31</v>
      </c>
      <c r="G8877" t="str">
        <f>IFERROR(INDEX(tEditais[Órgão],MATCH(tItens[[#This Row],[Edital]],tEditais[Edital],0)),"")</f>
        <v>MINISTERIO PUBLICO DA UNIAO</v>
      </c>
      <c r="H8877" t="str">
        <f>IFERROR(INDEX(tEditais[UF],MATCH(tItens[[#This Row],[Edital]],tEditais[Edital],0)),"")</f>
        <v>SP</v>
      </c>
      <c r="I8877" s="11">
        <f>IFERROR(INDEX(tEditais[Encerramento],MATCH(tItens[[#This Row],[Edital]],tEditais[Edital],0)),"")</f>
        <v>46311.333333333336</v>
      </c>
      <c r="J8877" t="str">
        <f>IFERROR(INDEX(tProdutos[Classe],MATCH(tItens[[#This Row],[Produto]],tProdutos[Produto],0)),"produto não cadastrado")</f>
        <v>NÚCLEO</v>
      </c>
      <c r="K8877" s="12">
        <f>tItens[[#This Row],[Qtd]]*tItens[[#This Row],[Vlr unit]]</f>
        <v>24.31</v>
      </c>
      <c r="L8877" s="6">
        <f>IFERROR(IF(INDEX(tProdutos[Desconto homologado],MATCH(tItens[[#This Row],[Produto]],tProdutos[Produto],0))="",DescontoPadrao,INDEX(tProdutos[Desconto homologado],MATCH(tItens[[#This Row],[Produto]],tProdutos[Produto],0))),DescontoPadrao)</f>
        <v>0.40487090276506099</v>
      </c>
      <c r="M8877" s="12">
        <f>tItens[[#This Row],[Valor]]*(1-tItens[[#This Row],[Desconto]])</f>
        <v>14.467588353781366</v>
      </c>
      <c r="N8877" t="str">
        <f>IFERROR(INDEX(tProdutos[Foco],MATCH(tItens[[#This Row],[Produto]],tProdutos[Produto],0)),"Não")</f>
        <v>Não</v>
      </c>
      <c r="O8877" t="str">
        <f>IFERROR(INDEX(tEditais[SRP],MATCH(tItens[[#This Row],[Edital]],tEditais[Edital],0)),"Não")</f>
        <v>Não</v>
      </c>
      <c r="P8877" s="4">
        <f>IF(COUNTIFS(INDEX(tItens[Edital],1):tItens[[#This Row],[Edital]],tItens[[#This Row],[Edital]],INDEX(tItens[Produto],1):tItens[[#This Row],[Produto]],tItens[[#This Row],[Produto]])=1,1,0)</f>
        <v>1</v>
      </c>
    </row>
    <row r="8878" spans="1:16" x14ac:dyDescent="0.25">
      <c r="A8878" t="s">
        <v>3065</v>
      </c>
      <c r="B8878">
        <v>57</v>
      </c>
      <c r="C8878" t="s">
        <v>8996</v>
      </c>
      <c r="D8878" t="s">
        <v>375</v>
      </c>
      <c r="E8878" s="13">
        <v>1</v>
      </c>
      <c r="F8878" s="12">
        <v>2.0299999999999998</v>
      </c>
      <c r="G8878" t="str">
        <f>IFERROR(INDEX(tEditais[Órgão],MATCH(tItens[[#This Row],[Edital]],tEditais[Edital],0)),"")</f>
        <v>MINISTERIO PUBLICO DA UNIAO</v>
      </c>
      <c r="H8878" t="str">
        <f>IFERROR(INDEX(tEditais[UF],MATCH(tItens[[#This Row],[Edital]],tEditais[Edital],0)),"")</f>
        <v>SP</v>
      </c>
      <c r="I8878" s="11">
        <f>IFERROR(INDEX(tEditais[Encerramento],MATCH(tItens[[#This Row],[Edital]],tEditais[Edital],0)),"")</f>
        <v>46311.333333333336</v>
      </c>
      <c r="J8878" t="str">
        <f>IFERROR(INDEX(tProdutos[Classe],MATCH(tItens[[#This Row],[Produto]],tProdutos[Produto],0)),"produto não cadastrado")</f>
        <v>FORA</v>
      </c>
      <c r="K8878" s="12">
        <f>tItens[[#This Row],[Qtd]]*tItens[[#This Row],[Vlr unit]]</f>
        <v>2.0299999999999998</v>
      </c>
      <c r="L8878" s="6">
        <f>IFERROR(IF(INDEX(tProdutos[Desconto homologado],MATCH(tItens[[#This Row],[Produto]],tProdutos[Produto],0))="",DescontoPadrao,INDEX(tProdutos[Desconto homologado],MATCH(tItens[[#This Row],[Produto]],tProdutos[Produto],0))),DescontoPadrao)</f>
        <v>0.25005895299481201</v>
      </c>
      <c r="M8878" s="12">
        <f>tItens[[#This Row],[Valor]]*(1-tItens[[#This Row],[Desconto]])</f>
        <v>1.5223803254205313</v>
      </c>
      <c r="N8878" t="str">
        <f>IFERROR(INDEX(tProdutos[Foco],MATCH(tItens[[#This Row],[Produto]],tProdutos[Produto],0)),"Não")</f>
        <v>Não</v>
      </c>
      <c r="O8878" t="str">
        <f>IFERROR(INDEX(tEditais[SRP],MATCH(tItens[[#This Row],[Edital]],tEditais[Edital],0)),"Não")</f>
        <v>Não</v>
      </c>
      <c r="P8878" s="4">
        <f>IF(COUNTIFS(INDEX(tItens[Edital],1):tItens[[#This Row],[Edital]],tItens[[#This Row],[Edital]],INDEX(tItens[Produto],1):tItens[[#This Row],[Produto]],tItens[[#This Row],[Produto]])=1,1,0)</f>
        <v>1</v>
      </c>
    </row>
    <row r="8879" spans="1:16" x14ac:dyDescent="0.25">
      <c r="A8879" t="s">
        <v>3065</v>
      </c>
      <c r="B8879">
        <v>73</v>
      </c>
      <c r="C8879" t="s">
        <v>11240</v>
      </c>
      <c r="D8879" t="s">
        <v>455</v>
      </c>
      <c r="E8879" s="13">
        <v>4</v>
      </c>
      <c r="F8879" s="12">
        <v>40.19</v>
      </c>
      <c r="G8879" t="str">
        <f>IFERROR(INDEX(tEditais[Órgão],MATCH(tItens[[#This Row],[Edital]],tEditais[Edital],0)),"")</f>
        <v>MINISTERIO PUBLICO DA UNIAO</v>
      </c>
      <c r="H8879" t="str">
        <f>IFERROR(INDEX(tEditais[UF],MATCH(tItens[[#This Row],[Edital]],tEditais[Edital],0)),"")</f>
        <v>SP</v>
      </c>
      <c r="I8879" s="11">
        <f>IFERROR(INDEX(tEditais[Encerramento],MATCH(tItens[[#This Row],[Edital]],tEditais[Edital],0)),"")</f>
        <v>46311.333333333336</v>
      </c>
      <c r="J8879" t="str">
        <f>IFERROR(INDEX(tProdutos[Classe],MATCH(tItens[[#This Row],[Produto]],tProdutos[Produto],0)),"produto não cadastrado")</f>
        <v>FILA REBASE</v>
      </c>
      <c r="K8879" s="12">
        <f>tItens[[#This Row],[Qtd]]*tItens[[#This Row],[Vlr unit]]</f>
        <v>160.76</v>
      </c>
      <c r="L8879" s="6">
        <f>IFERROR(IF(INDEX(tProdutos[Desconto homologado],MATCH(tItens[[#This Row],[Produto]],tProdutos[Produto],0))="",DescontoPadrao,INDEX(tProdutos[Desconto homologado],MATCH(tItens[[#This Row],[Produto]],tProdutos[Produto],0))),DescontoPadrao)</f>
        <v>0.29595946765523801</v>
      </c>
      <c r="M8879" s="12">
        <f>tItens[[#This Row],[Valor]]*(1-tItens[[#This Row],[Desconto]])</f>
        <v>113.18155597974395</v>
      </c>
      <c r="N8879" t="str">
        <f>IFERROR(INDEX(tProdutos[Foco],MATCH(tItens[[#This Row],[Produto]],tProdutos[Produto],0)),"Não")</f>
        <v>Não</v>
      </c>
      <c r="O8879" t="str">
        <f>IFERROR(INDEX(tEditais[SRP],MATCH(tItens[[#This Row],[Edital]],tEditais[Edital],0)),"Não")</f>
        <v>Não</v>
      </c>
      <c r="P8879" s="4">
        <f>IF(COUNTIFS(INDEX(tItens[Edital],1):tItens[[#This Row],[Edital]],tItens[[#This Row],[Edital]],INDEX(tItens[Produto],1):tItens[[#This Row],[Produto]],tItens[[#This Row],[Produto]])=1,1,0)</f>
        <v>1</v>
      </c>
    </row>
    <row r="8880" spans="1:16" x14ac:dyDescent="0.25">
      <c r="A8880" t="s">
        <v>3065</v>
      </c>
      <c r="B8880">
        <v>74</v>
      </c>
      <c r="C8880" t="s">
        <v>11240</v>
      </c>
      <c r="D8880" t="s">
        <v>455</v>
      </c>
      <c r="E8880" s="13">
        <v>2</v>
      </c>
      <c r="F8880" s="12">
        <v>45.27</v>
      </c>
      <c r="G8880" t="str">
        <f>IFERROR(INDEX(tEditais[Órgão],MATCH(tItens[[#This Row],[Edital]],tEditais[Edital],0)),"")</f>
        <v>MINISTERIO PUBLICO DA UNIAO</v>
      </c>
      <c r="H8880" t="str">
        <f>IFERROR(INDEX(tEditais[UF],MATCH(tItens[[#This Row],[Edital]],tEditais[Edital],0)),"")</f>
        <v>SP</v>
      </c>
      <c r="I8880" s="11">
        <f>IFERROR(INDEX(tEditais[Encerramento],MATCH(tItens[[#This Row],[Edital]],tEditais[Edital],0)),"")</f>
        <v>46311.333333333336</v>
      </c>
      <c r="J8880" t="str">
        <f>IFERROR(INDEX(tProdutos[Classe],MATCH(tItens[[#This Row],[Produto]],tProdutos[Produto],0)),"produto não cadastrado")</f>
        <v>FILA REBASE</v>
      </c>
      <c r="K8880" s="12">
        <f>tItens[[#This Row],[Qtd]]*tItens[[#This Row],[Vlr unit]]</f>
        <v>90.54</v>
      </c>
      <c r="L8880" s="6">
        <f>IFERROR(IF(INDEX(tProdutos[Desconto homologado],MATCH(tItens[[#This Row],[Produto]],tProdutos[Produto],0))="",DescontoPadrao,INDEX(tProdutos[Desconto homologado],MATCH(tItens[[#This Row],[Produto]],tProdutos[Produto],0))),DescontoPadrao)</f>
        <v>0.29595946765523801</v>
      </c>
      <c r="M8880" s="12">
        <f>tItens[[#This Row],[Valor]]*(1-tItens[[#This Row],[Desconto]])</f>
        <v>63.743829798494758</v>
      </c>
      <c r="N8880" t="str">
        <f>IFERROR(INDEX(tProdutos[Foco],MATCH(tItens[[#This Row],[Produto]],tProdutos[Produto],0)),"Não")</f>
        <v>Não</v>
      </c>
      <c r="O8880" t="str">
        <f>IFERROR(INDEX(tEditais[SRP],MATCH(tItens[[#This Row],[Edital]],tEditais[Edital],0)),"Não")</f>
        <v>Não</v>
      </c>
      <c r="P8880" s="4">
        <f>IF(COUNTIFS(INDEX(tItens[Edital],1):tItens[[#This Row],[Edital]],tItens[[#This Row],[Edital]],INDEX(tItens[Produto],1):tItens[[#This Row],[Produto]],tItens[[#This Row],[Produto]])=1,1,0)</f>
        <v>0</v>
      </c>
    </row>
    <row r="8881" spans="1:16" x14ac:dyDescent="0.25">
      <c r="A8881" t="s">
        <v>3065</v>
      </c>
      <c r="B8881">
        <v>112</v>
      </c>
      <c r="C8881" t="s">
        <v>10002</v>
      </c>
      <c r="D8881" t="s">
        <v>311</v>
      </c>
      <c r="E8881" s="13">
        <v>1</v>
      </c>
      <c r="F8881" s="12">
        <v>2.4300000000000002</v>
      </c>
      <c r="G8881" t="str">
        <f>IFERROR(INDEX(tEditais[Órgão],MATCH(tItens[[#This Row],[Edital]],tEditais[Edital],0)),"")</f>
        <v>MINISTERIO PUBLICO DA UNIAO</v>
      </c>
      <c r="H8881" t="str">
        <f>IFERROR(INDEX(tEditais[UF],MATCH(tItens[[#This Row],[Edital]],tEditais[Edital],0)),"")</f>
        <v>SP</v>
      </c>
      <c r="I8881" s="11">
        <f>IFERROR(INDEX(tEditais[Encerramento],MATCH(tItens[[#This Row],[Edital]],tEditais[Edital],0)),"")</f>
        <v>46311.333333333336</v>
      </c>
      <c r="J8881" t="str">
        <f>IFERROR(INDEX(tProdutos[Classe],MATCH(tItens[[#This Row],[Produto]],tProdutos[Produto],0)),"produto não cadastrado")</f>
        <v>FORA</v>
      </c>
      <c r="K8881" s="12">
        <f>tItens[[#This Row],[Qtd]]*tItens[[#This Row],[Vlr unit]]</f>
        <v>2.4300000000000002</v>
      </c>
      <c r="L8881" s="6">
        <f>IFERROR(IF(INDEX(tProdutos[Desconto homologado],MATCH(tItens[[#This Row],[Produto]],tProdutos[Produto],0))="",DescontoPadrao,INDEX(tProdutos[Desconto homologado],MATCH(tItens[[#This Row],[Produto]],tProdutos[Produto],0))),DescontoPadrao)</f>
        <v>0.29046182846371399</v>
      </c>
      <c r="M8881" s="12">
        <f>tItens[[#This Row],[Valor]]*(1-tItens[[#This Row],[Desconto]])</f>
        <v>1.7241777568331753</v>
      </c>
      <c r="N8881" t="str">
        <f>IFERROR(INDEX(tProdutos[Foco],MATCH(tItens[[#This Row],[Produto]],tProdutos[Produto],0)),"Não")</f>
        <v>Não</v>
      </c>
      <c r="O8881" t="str">
        <f>IFERROR(INDEX(tEditais[SRP],MATCH(tItens[[#This Row],[Edital]],tEditais[Edital],0)),"Não")</f>
        <v>Não</v>
      </c>
      <c r="P8881" s="4">
        <f>IF(COUNTIFS(INDEX(tItens[Edital],1):tItens[[#This Row],[Edital]],tItens[[#This Row],[Edital]],INDEX(tItens[Produto],1):tItens[[#This Row],[Produto]],tItens[[#This Row],[Produto]])=1,1,0)</f>
        <v>1</v>
      </c>
    </row>
    <row r="8882" spans="1:16" x14ac:dyDescent="0.25">
      <c r="A8882" t="s">
        <v>3065</v>
      </c>
      <c r="B8882">
        <v>113</v>
      </c>
      <c r="C8882" t="s">
        <v>7237</v>
      </c>
      <c r="D8882" t="s">
        <v>311</v>
      </c>
      <c r="E8882" s="13">
        <v>4</v>
      </c>
      <c r="F8882" s="12">
        <v>4.58</v>
      </c>
      <c r="G8882" t="str">
        <f>IFERROR(INDEX(tEditais[Órgão],MATCH(tItens[[#This Row],[Edital]],tEditais[Edital],0)),"")</f>
        <v>MINISTERIO PUBLICO DA UNIAO</v>
      </c>
      <c r="H8882" t="str">
        <f>IFERROR(INDEX(tEditais[UF],MATCH(tItens[[#This Row],[Edital]],tEditais[Edital],0)),"")</f>
        <v>SP</v>
      </c>
      <c r="I8882" s="11">
        <f>IFERROR(INDEX(tEditais[Encerramento],MATCH(tItens[[#This Row],[Edital]],tEditais[Edital],0)),"")</f>
        <v>46311.333333333336</v>
      </c>
      <c r="J8882" t="str">
        <f>IFERROR(INDEX(tProdutos[Classe],MATCH(tItens[[#This Row],[Produto]],tProdutos[Produto],0)),"produto não cadastrado")</f>
        <v>FORA</v>
      </c>
      <c r="K8882" s="12">
        <f>tItens[[#This Row],[Qtd]]*tItens[[#This Row],[Vlr unit]]</f>
        <v>18.32</v>
      </c>
      <c r="L8882" s="6">
        <f>IFERROR(IF(INDEX(tProdutos[Desconto homologado],MATCH(tItens[[#This Row],[Produto]],tProdutos[Produto],0))="",DescontoPadrao,INDEX(tProdutos[Desconto homologado],MATCH(tItens[[#This Row],[Produto]],tProdutos[Produto],0))),DescontoPadrao)</f>
        <v>0.29046182846371399</v>
      </c>
      <c r="M8882" s="12">
        <f>tItens[[#This Row],[Valor]]*(1-tItens[[#This Row],[Desconto]])</f>
        <v>12.998739302544761</v>
      </c>
      <c r="N8882" t="str">
        <f>IFERROR(INDEX(tProdutos[Foco],MATCH(tItens[[#This Row],[Produto]],tProdutos[Produto],0)),"Não")</f>
        <v>Não</v>
      </c>
      <c r="O8882" t="str">
        <f>IFERROR(INDEX(tEditais[SRP],MATCH(tItens[[#This Row],[Edital]],tEditais[Edital],0)),"Não")</f>
        <v>Não</v>
      </c>
      <c r="P8882" s="4">
        <f>IF(COUNTIFS(INDEX(tItens[Edital],1):tItens[[#This Row],[Edital]],tItens[[#This Row],[Edital]],INDEX(tItens[Produto],1):tItens[[#This Row],[Produto]],tItens[[#This Row],[Produto]])=1,1,0)</f>
        <v>0</v>
      </c>
    </row>
    <row r="8883" spans="1:16" x14ac:dyDescent="0.25">
      <c r="A8883" t="s">
        <v>3065</v>
      </c>
      <c r="B8883">
        <v>118</v>
      </c>
      <c r="C8883" t="s">
        <v>5833</v>
      </c>
      <c r="D8883" t="s">
        <v>411</v>
      </c>
      <c r="E8883" s="13">
        <v>12</v>
      </c>
      <c r="F8883" s="12">
        <v>24.91</v>
      </c>
      <c r="G8883" t="str">
        <f>IFERROR(INDEX(tEditais[Órgão],MATCH(tItens[[#This Row],[Edital]],tEditais[Edital],0)),"")</f>
        <v>MINISTERIO PUBLICO DA UNIAO</v>
      </c>
      <c r="H8883" t="str">
        <f>IFERROR(INDEX(tEditais[UF],MATCH(tItens[[#This Row],[Edital]],tEditais[Edital],0)),"")</f>
        <v>SP</v>
      </c>
      <c r="I8883" s="11">
        <f>IFERROR(INDEX(tEditais[Encerramento],MATCH(tItens[[#This Row],[Edital]],tEditais[Edital],0)),"")</f>
        <v>46311.333333333336</v>
      </c>
      <c r="J8883" t="str">
        <f>IFERROR(INDEX(tProdutos[Classe],MATCH(tItens[[#This Row],[Produto]],tProdutos[Produto],0)),"produto não cadastrado")</f>
        <v>FORA</v>
      </c>
      <c r="K8883" s="12">
        <f>tItens[[#This Row],[Qtd]]*tItens[[#This Row],[Vlr unit]]</f>
        <v>298.92</v>
      </c>
      <c r="L8883" s="6">
        <f>IFERROR(IF(INDEX(tProdutos[Desconto homologado],MATCH(tItens[[#This Row],[Produto]],tProdutos[Produto],0))="",DescontoPadrao,INDEX(tProdutos[Desconto homologado],MATCH(tItens[[#This Row],[Produto]],tProdutos[Produto],0))),DescontoPadrao)</f>
        <v>0.50029835957199398</v>
      </c>
      <c r="M8883" s="12">
        <f>tItens[[#This Row],[Valor]]*(1-tItens[[#This Row],[Desconto]])</f>
        <v>149.37081435673957</v>
      </c>
      <c r="N8883" t="str">
        <f>IFERROR(INDEX(tProdutos[Foco],MATCH(tItens[[#This Row],[Produto]],tProdutos[Produto],0)),"Não")</f>
        <v>Não</v>
      </c>
      <c r="O8883" t="str">
        <f>IFERROR(INDEX(tEditais[SRP],MATCH(tItens[[#This Row],[Edital]],tEditais[Edital],0)),"Não")</f>
        <v>Não</v>
      </c>
      <c r="P8883" s="4">
        <f>IF(COUNTIFS(INDEX(tItens[Edital],1):tItens[[#This Row],[Edital]],tItens[[#This Row],[Edital]],INDEX(tItens[Produto],1):tItens[[#This Row],[Produto]],tItens[[#This Row],[Produto]])=1,1,0)</f>
        <v>1</v>
      </c>
    </row>
    <row r="8884" spans="1:16" x14ac:dyDescent="0.25">
      <c r="A8884" t="s">
        <v>3065</v>
      </c>
      <c r="B8884">
        <v>121</v>
      </c>
      <c r="C8884" t="s">
        <v>4243</v>
      </c>
      <c r="D8884" t="s">
        <v>413</v>
      </c>
      <c r="E8884" s="13">
        <v>2</v>
      </c>
      <c r="F8884" s="12">
        <v>1.47</v>
      </c>
      <c r="G8884" t="str">
        <f>IFERROR(INDEX(tEditais[Órgão],MATCH(tItens[[#This Row],[Edital]],tEditais[Edital],0)),"")</f>
        <v>MINISTERIO PUBLICO DA UNIAO</v>
      </c>
      <c r="H8884" t="str">
        <f>IFERROR(INDEX(tEditais[UF],MATCH(tItens[[#This Row],[Edital]],tEditais[Edital],0)),"")</f>
        <v>SP</v>
      </c>
      <c r="I8884" s="11">
        <f>IFERROR(INDEX(tEditais[Encerramento],MATCH(tItens[[#This Row],[Edital]],tEditais[Edital],0)),"")</f>
        <v>46311.333333333336</v>
      </c>
      <c r="J8884" t="str">
        <f>IFERROR(INDEX(tProdutos[Classe],MATCH(tItens[[#This Row],[Produto]],tProdutos[Produto],0)),"produto não cadastrado")</f>
        <v>FORA</v>
      </c>
      <c r="K8884" s="12">
        <f>tItens[[#This Row],[Qtd]]*tItens[[#This Row],[Vlr unit]]</f>
        <v>2.94</v>
      </c>
      <c r="L8884" s="6">
        <f>IFERROR(IF(INDEX(tProdutos[Desconto homologado],MATCH(tItens[[#This Row],[Produto]],tProdutos[Produto],0))="",DescontoPadrao,INDEX(tProdutos[Desconto homologado],MATCH(tItens[[#This Row],[Produto]],tProdutos[Produto],0))),DescontoPadrao)</f>
        <v>0.477732793522267</v>
      </c>
      <c r="M8884" s="12">
        <f>tItens[[#This Row],[Valor]]*(1-tItens[[#This Row],[Desconto]])</f>
        <v>1.5354655870445348</v>
      </c>
      <c r="N8884" t="str">
        <f>IFERROR(INDEX(tProdutos[Foco],MATCH(tItens[[#This Row],[Produto]],tProdutos[Produto],0)),"Não")</f>
        <v>Não</v>
      </c>
      <c r="O8884" t="str">
        <f>IFERROR(INDEX(tEditais[SRP],MATCH(tItens[[#This Row],[Edital]],tEditais[Edital],0)),"Não")</f>
        <v>Não</v>
      </c>
      <c r="P8884" s="4">
        <f>IF(COUNTIFS(INDEX(tItens[Edital],1):tItens[[#This Row],[Edital]],tItens[[#This Row],[Edital]],INDEX(tItens[Produto],1):tItens[[#This Row],[Produto]],tItens[[#This Row],[Produto]])=1,1,0)</f>
        <v>1</v>
      </c>
    </row>
    <row r="8885" spans="1:16" x14ac:dyDescent="0.25">
      <c r="A8885" t="s">
        <v>3065</v>
      </c>
      <c r="B8885">
        <v>122</v>
      </c>
      <c r="C8885" t="s">
        <v>4242</v>
      </c>
      <c r="D8885" t="s">
        <v>413</v>
      </c>
      <c r="E8885" s="13">
        <v>2</v>
      </c>
      <c r="F8885" s="12">
        <v>1.28</v>
      </c>
      <c r="G8885" t="str">
        <f>IFERROR(INDEX(tEditais[Órgão],MATCH(tItens[[#This Row],[Edital]],tEditais[Edital],0)),"")</f>
        <v>MINISTERIO PUBLICO DA UNIAO</v>
      </c>
      <c r="H8885" t="str">
        <f>IFERROR(INDEX(tEditais[UF],MATCH(tItens[[#This Row],[Edital]],tEditais[Edital],0)),"")</f>
        <v>SP</v>
      </c>
      <c r="I8885" s="11">
        <f>IFERROR(INDEX(tEditais[Encerramento],MATCH(tItens[[#This Row],[Edital]],tEditais[Edital],0)),"")</f>
        <v>46311.333333333336</v>
      </c>
      <c r="J8885" t="str">
        <f>IFERROR(INDEX(tProdutos[Classe],MATCH(tItens[[#This Row],[Produto]],tProdutos[Produto],0)),"produto não cadastrado")</f>
        <v>FORA</v>
      </c>
      <c r="K8885" s="12">
        <f>tItens[[#This Row],[Qtd]]*tItens[[#This Row],[Vlr unit]]</f>
        <v>2.56</v>
      </c>
      <c r="L8885" s="6">
        <f>IFERROR(IF(INDEX(tProdutos[Desconto homologado],MATCH(tItens[[#This Row],[Produto]],tProdutos[Produto],0))="",DescontoPadrao,INDEX(tProdutos[Desconto homologado],MATCH(tItens[[#This Row],[Produto]],tProdutos[Produto],0))),DescontoPadrao)</f>
        <v>0.477732793522267</v>
      </c>
      <c r="M8885" s="12">
        <f>tItens[[#This Row],[Valor]]*(1-tItens[[#This Row],[Desconto]])</f>
        <v>1.3370040485829964</v>
      </c>
      <c r="N8885" t="str">
        <f>IFERROR(INDEX(tProdutos[Foco],MATCH(tItens[[#This Row],[Produto]],tProdutos[Produto],0)),"Não")</f>
        <v>Não</v>
      </c>
      <c r="O8885" t="str">
        <f>IFERROR(INDEX(tEditais[SRP],MATCH(tItens[[#This Row],[Edital]],tEditais[Edital],0)),"Não")</f>
        <v>Não</v>
      </c>
      <c r="P8885" s="4">
        <f>IF(COUNTIFS(INDEX(tItens[Edital],1):tItens[[#This Row],[Edital]],tItens[[#This Row],[Edital]],INDEX(tItens[Produto],1):tItens[[#This Row],[Produto]],tItens[[#This Row],[Produto]])=1,1,0)</f>
        <v>0</v>
      </c>
    </row>
    <row r="8886" spans="1:16" x14ac:dyDescent="0.25">
      <c r="A8886" t="s">
        <v>3065</v>
      </c>
      <c r="B8886">
        <v>123</v>
      </c>
      <c r="C8886" t="s">
        <v>4248</v>
      </c>
      <c r="D8886" t="s">
        <v>413</v>
      </c>
      <c r="E8886" s="13">
        <v>2</v>
      </c>
      <c r="F8886" s="12">
        <v>1.18</v>
      </c>
      <c r="G8886" t="str">
        <f>IFERROR(INDEX(tEditais[Órgão],MATCH(tItens[[#This Row],[Edital]],tEditais[Edital],0)),"")</f>
        <v>MINISTERIO PUBLICO DA UNIAO</v>
      </c>
      <c r="H8886" t="str">
        <f>IFERROR(INDEX(tEditais[UF],MATCH(tItens[[#This Row],[Edital]],tEditais[Edital],0)),"")</f>
        <v>SP</v>
      </c>
      <c r="I8886" s="11">
        <f>IFERROR(INDEX(tEditais[Encerramento],MATCH(tItens[[#This Row],[Edital]],tEditais[Edital],0)),"")</f>
        <v>46311.333333333336</v>
      </c>
      <c r="J8886" t="str">
        <f>IFERROR(INDEX(tProdutos[Classe],MATCH(tItens[[#This Row],[Produto]],tProdutos[Produto],0)),"produto não cadastrado")</f>
        <v>FORA</v>
      </c>
      <c r="K8886" s="12">
        <f>tItens[[#This Row],[Qtd]]*tItens[[#This Row],[Vlr unit]]</f>
        <v>2.36</v>
      </c>
      <c r="L8886" s="6">
        <f>IFERROR(IF(INDEX(tProdutos[Desconto homologado],MATCH(tItens[[#This Row],[Produto]],tProdutos[Produto],0))="",DescontoPadrao,INDEX(tProdutos[Desconto homologado],MATCH(tItens[[#This Row],[Produto]],tProdutos[Produto],0))),DescontoPadrao)</f>
        <v>0.477732793522267</v>
      </c>
      <c r="M8886" s="12">
        <f>tItens[[#This Row],[Valor]]*(1-tItens[[#This Row],[Desconto]])</f>
        <v>1.2325506072874497</v>
      </c>
      <c r="N8886" t="str">
        <f>IFERROR(INDEX(tProdutos[Foco],MATCH(tItens[[#This Row],[Produto]],tProdutos[Produto],0)),"Não")</f>
        <v>Não</v>
      </c>
      <c r="O8886" t="str">
        <f>IFERROR(INDEX(tEditais[SRP],MATCH(tItens[[#This Row],[Edital]],tEditais[Edital],0)),"Não")</f>
        <v>Não</v>
      </c>
      <c r="P8886" s="4">
        <f>IF(COUNTIFS(INDEX(tItens[Edital],1):tItens[[#This Row],[Edital]],tItens[[#This Row],[Edital]],INDEX(tItens[Produto],1):tItens[[#This Row],[Produto]],tItens[[#This Row],[Produto]])=1,1,0)</f>
        <v>0</v>
      </c>
    </row>
    <row r="8887" spans="1:16" x14ac:dyDescent="0.25">
      <c r="A8887" t="s">
        <v>3065</v>
      </c>
      <c r="B8887">
        <v>136</v>
      </c>
      <c r="C8887" t="s">
        <v>3333</v>
      </c>
      <c r="D8887" t="s">
        <v>437</v>
      </c>
      <c r="E8887" s="13">
        <v>2</v>
      </c>
      <c r="F8887" s="12">
        <v>2.71</v>
      </c>
      <c r="G8887" t="str">
        <f>IFERROR(INDEX(tEditais[Órgão],MATCH(tItens[[#This Row],[Edital]],tEditais[Edital],0)),"")</f>
        <v>MINISTERIO PUBLICO DA UNIAO</v>
      </c>
      <c r="H8887" t="str">
        <f>IFERROR(INDEX(tEditais[UF],MATCH(tItens[[#This Row],[Edital]],tEditais[Edital],0)),"")</f>
        <v>SP</v>
      </c>
      <c r="I8887" s="11">
        <f>IFERROR(INDEX(tEditais[Encerramento],MATCH(tItens[[#This Row],[Edital]],tEditais[Edital],0)),"")</f>
        <v>46311.333333333336</v>
      </c>
      <c r="J8887" t="str">
        <f>IFERROR(INDEX(tProdutos[Classe],MATCH(tItens[[#This Row],[Produto]],tProdutos[Produto],0)),"produto não cadastrado")</f>
        <v>FILA REBASE</v>
      </c>
      <c r="K8887" s="12">
        <f>tItens[[#This Row],[Qtd]]*tItens[[#This Row],[Vlr unit]]</f>
        <v>5.42</v>
      </c>
      <c r="L8887" s="6">
        <f>IFERROR(IF(INDEX(tProdutos[Desconto homologado],MATCH(tItens[[#This Row],[Produto]],tProdutos[Produto],0))="",DescontoPadrao,INDEX(tProdutos[Desconto homologado],MATCH(tItens[[#This Row],[Produto]],tProdutos[Produto],0))),DescontoPadrao)</f>
        <v>0.23334221878164699</v>
      </c>
      <c r="M8887" s="12">
        <f>tItens[[#This Row],[Valor]]*(1-tItens[[#This Row],[Desconto]])</f>
        <v>4.1552851742034731</v>
      </c>
      <c r="N8887" t="str">
        <f>IFERROR(INDEX(tProdutos[Foco],MATCH(tItens[[#This Row],[Produto]],tProdutos[Produto],0)),"Não")</f>
        <v>Não</v>
      </c>
      <c r="O8887" t="str">
        <f>IFERROR(INDEX(tEditais[SRP],MATCH(tItens[[#This Row],[Edital]],tEditais[Edital],0)),"Não")</f>
        <v>Não</v>
      </c>
      <c r="P8887" s="4">
        <f>IF(COUNTIFS(INDEX(tItens[Edital],1):tItens[[#This Row],[Edital]],tItens[[#This Row],[Edital]],INDEX(tItens[Produto],1):tItens[[#This Row],[Produto]],tItens[[#This Row],[Produto]])=1,1,0)</f>
        <v>1</v>
      </c>
    </row>
    <row r="8888" spans="1:16" x14ac:dyDescent="0.25">
      <c r="A8888" t="s">
        <v>3065</v>
      </c>
      <c r="B8888">
        <v>139</v>
      </c>
      <c r="C8888" t="s">
        <v>3240</v>
      </c>
      <c r="D8888" t="s">
        <v>114</v>
      </c>
      <c r="E8888" s="13">
        <v>10</v>
      </c>
      <c r="F8888" s="12">
        <v>8.1</v>
      </c>
      <c r="G8888" t="str">
        <f>IFERROR(INDEX(tEditais[Órgão],MATCH(tItens[[#This Row],[Edital]],tEditais[Edital],0)),"")</f>
        <v>MINISTERIO PUBLICO DA UNIAO</v>
      </c>
      <c r="H8888" t="str">
        <f>IFERROR(INDEX(tEditais[UF],MATCH(tItens[[#This Row],[Edital]],tEditais[Edital],0)),"")</f>
        <v>SP</v>
      </c>
      <c r="I8888" s="11">
        <f>IFERROR(INDEX(tEditais[Encerramento],MATCH(tItens[[#This Row],[Edital]],tEditais[Edital],0)),"")</f>
        <v>46311.333333333336</v>
      </c>
      <c r="J8888" t="str">
        <f>IFERROR(INDEX(tProdutos[Classe],MATCH(tItens[[#This Row],[Produto]],tProdutos[Produto],0)),"produto não cadastrado")</f>
        <v>DISPUTADO</v>
      </c>
      <c r="K8888" s="12">
        <f>tItens[[#This Row],[Qtd]]*tItens[[#This Row],[Vlr unit]]</f>
        <v>81</v>
      </c>
      <c r="L8888" s="6">
        <f>IFERROR(IF(INDEX(tProdutos[Desconto homologado],MATCH(tItens[[#This Row],[Produto]],tProdutos[Produto],0))="",DescontoPadrao,INDEX(tProdutos[Desconto homologado],MATCH(tItens[[#This Row],[Produto]],tProdutos[Produto],0))),DescontoPadrao)</f>
        <v>0.24332656063896899</v>
      </c>
      <c r="M8888" s="12">
        <f>tItens[[#This Row],[Valor]]*(1-tItens[[#This Row],[Desconto]])</f>
        <v>61.290548588243517</v>
      </c>
      <c r="N8888" t="str">
        <f>IFERROR(INDEX(tProdutos[Foco],MATCH(tItens[[#This Row],[Produto]],tProdutos[Produto],0)),"Não")</f>
        <v>Não</v>
      </c>
      <c r="O8888" t="str">
        <f>IFERROR(INDEX(tEditais[SRP],MATCH(tItens[[#This Row],[Edital]],tEditais[Edital],0)),"Não")</f>
        <v>Não</v>
      </c>
      <c r="P8888" s="4">
        <f>IF(COUNTIFS(INDEX(tItens[Edital],1):tItens[[#This Row],[Edital]],tItens[[#This Row],[Edital]],INDEX(tItens[Produto],1):tItens[[#This Row],[Produto]],tItens[[#This Row],[Produto]])=1,1,0)</f>
        <v>1</v>
      </c>
    </row>
    <row r="8889" spans="1:16" x14ac:dyDescent="0.25">
      <c r="A8889" t="s">
        <v>3069</v>
      </c>
      <c r="B8889">
        <v>1</v>
      </c>
      <c r="C8889" t="s">
        <v>11241</v>
      </c>
      <c r="D8889" t="s">
        <v>351</v>
      </c>
      <c r="E8889" s="13">
        <v>3000</v>
      </c>
      <c r="F8889" s="12">
        <v>164.88</v>
      </c>
      <c r="G8889" t="str">
        <f>IFERROR(INDEX(tEditais[Órgão],MATCH(tItens[[#This Row],[Edital]],tEditais[Edital],0)),"")</f>
        <v>MUNICIPIO DE MARIAPOLIS</v>
      </c>
      <c r="H8889" t="str">
        <f>IFERROR(INDEX(tEditais[UF],MATCH(tItens[[#This Row],[Edital]],tEditais[Edital],0)),"")</f>
        <v>SP</v>
      </c>
      <c r="I8889" s="11">
        <f>IFERROR(INDEX(tEditais[Encerramento],MATCH(tItens[[#This Row],[Edital]],tEditais[Edital],0)),"")</f>
        <v>46311.347222222219</v>
      </c>
      <c r="J8889" t="str">
        <f>IFERROR(INDEX(tProdutos[Classe],MATCH(tItens[[#This Row],[Produto]],tProdutos[Produto],0)),"produto não cadastrado")</f>
        <v>FORA</v>
      </c>
      <c r="K8889" s="12">
        <f>tItens[[#This Row],[Qtd]]*tItens[[#This Row],[Vlr unit]]</f>
        <v>494640</v>
      </c>
      <c r="L8889" s="6">
        <f>IFERROR(IF(INDEX(tProdutos[Desconto homologado],MATCH(tItens[[#This Row],[Produto]],tProdutos[Produto],0))="",DescontoPadrao,INDEX(tProdutos[Desconto homologado],MATCH(tItens[[#This Row],[Produto]],tProdutos[Produto],0))),DescontoPadrao)</f>
        <v>0.33518005540166201</v>
      </c>
      <c r="M8889" s="12">
        <f>tItens[[#This Row],[Valor]]*(1-tItens[[#This Row],[Desconto]])</f>
        <v>328846.53739612194</v>
      </c>
      <c r="N8889" t="str">
        <f>IFERROR(INDEX(tProdutos[Foco],MATCH(tItens[[#This Row],[Produto]],tProdutos[Produto],0)),"Não")</f>
        <v>Não</v>
      </c>
      <c r="O8889" t="str">
        <f>IFERROR(INDEX(tEditais[SRP],MATCH(tItens[[#This Row],[Edital]],tEditais[Edital],0)),"Não")</f>
        <v>Não</v>
      </c>
      <c r="P8889" s="4">
        <f>IF(COUNTIFS(INDEX(tItens[Edital],1):tItens[[#This Row],[Edital]],tItens[[#This Row],[Edital]],INDEX(tItens[Produto],1):tItens[[#This Row],[Produto]],tItens[[#This Row],[Produto]])=1,1,0)</f>
        <v>1</v>
      </c>
    </row>
    <row r="8890" spans="1:16" x14ac:dyDescent="0.25">
      <c r="A8890" t="s">
        <v>3069</v>
      </c>
      <c r="B8890">
        <v>2</v>
      </c>
      <c r="C8890" t="s">
        <v>11242</v>
      </c>
      <c r="D8890" t="s">
        <v>351</v>
      </c>
      <c r="E8890" s="13">
        <v>3750</v>
      </c>
      <c r="F8890" s="12">
        <v>215.97</v>
      </c>
      <c r="G8890" t="str">
        <f>IFERROR(INDEX(tEditais[Órgão],MATCH(tItens[[#This Row],[Edital]],tEditais[Edital],0)),"")</f>
        <v>MUNICIPIO DE MARIAPOLIS</v>
      </c>
      <c r="H8890" t="str">
        <f>IFERROR(INDEX(tEditais[UF],MATCH(tItens[[#This Row],[Edital]],tEditais[Edital],0)),"")</f>
        <v>SP</v>
      </c>
      <c r="I8890" s="11">
        <f>IFERROR(INDEX(tEditais[Encerramento],MATCH(tItens[[#This Row],[Edital]],tEditais[Edital],0)),"")</f>
        <v>46311.347222222219</v>
      </c>
      <c r="J8890" t="str">
        <f>IFERROR(INDEX(tProdutos[Classe],MATCH(tItens[[#This Row],[Produto]],tProdutos[Produto],0)),"produto não cadastrado")</f>
        <v>FORA</v>
      </c>
      <c r="K8890" s="12">
        <f>tItens[[#This Row],[Qtd]]*tItens[[#This Row],[Vlr unit]]</f>
        <v>809887.5</v>
      </c>
      <c r="L8890" s="6">
        <f>IFERROR(IF(INDEX(tProdutos[Desconto homologado],MATCH(tItens[[#This Row],[Produto]],tProdutos[Produto],0))="",DescontoPadrao,INDEX(tProdutos[Desconto homologado],MATCH(tItens[[#This Row],[Produto]],tProdutos[Produto],0))),DescontoPadrao)</f>
        <v>0.33518005540166201</v>
      </c>
      <c r="M8890" s="12">
        <f>tItens[[#This Row],[Valor]]*(1-tItens[[#This Row],[Desconto]])</f>
        <v>538429.36288088653</v>
      </c>
      <c r="N8890" t="str">
        <f>IFERROR(INDEX(tProdutos[Foco],MATCH(tItens[[#This Row],[Produto]],tProdutos[Produto],0)),"Não")</f>
        <v>Não</v>
      </c>
      <c r="O8890" t="str">
        <f>IFERROR(INDEX(tEditais[SRP],MATCH(tItens[[#This Row],[Edital]],tEditais[Edital],0)),"Não")</f>
        <v>Não</v>
      </c>
      <c r="P8890" s="4">
        <f>IF(COUNTIFS(INDEX(tItens[Edital],1):tItens[[#This Row],[Edital]],tItens[[#This Row],[Edital]],INDEX(tItens[Produto],1):tItens[[#This Row],[Produto]],tItens[[#This Row],[Produto]])=1,1,0)</f>
        <v>0</v>
      </c>
    </row>
    <row r="8891" spans="1:16" x14ac:dyDescent="0.25">
      <c r="A8891" t="s">
        <v>3069</v>
      </c>
      <c r="B8891">
        <v>3</v>
      </c>
      <c r="C8891" t="s">
        <v>11243</v>
      </c>
      <c r="D8891" t="s">
        <v>383</v>
      </c>
      <c r="E8891" s="13">
        <v>37500</v>
      </c>
      <c r="F8891" s="12">
        <v>1.96</v>
      </c>
      <c r="G8891" t="str">
        <f>IFERROR(INDEX(tEditais[Órgão],MATCH(tItens[[#This Row],[Edital]],tEditais[Edital],0)),"")</f>
        <v>MUNICIPIO DE MARIAPOLIS</v>
      </c>
      <c r="H8891" t="str">
        <f>IFERROR(INDEX(tEditais[UF],MATCH(tItens[[#This Row],[Edital]],tEditais[Edital],0)),"")</f>
        <v>SP</v>
      </c>
      <c r="I8891" s="11">
        <f>IFERROR(INDEX(tEditais[Encerramento],MATCH(tItens[[#This Row],[Edital]],tEditais[Edital],0)),"")</f>
        <v>46311.347222222219</v>
      </c>
      <c r="J8891" t="str">
        <f>IFERROR(INDEX(tProdutos[Classe],MATCH(tItens[[#This Row],[Produto]],tProdutos[Produto],0)),"produto não cadastrado")</f>
        <v>FORA</v>
      </c>
      <c r="K8891" s="12">
        <f>tItens[[#This Row],[Qtd]]*tItens[[#This Row],[Vlr unit]]</f>
        <v>73500</v>
      </c>
      <c r="L8891" s="6">
        <f>IFERROR(IF(INDEX(tProdutos[Desconto homologado],MATCH(tItens[[#This Row],[Produto]],tProdutos[Produto],0))="",DescontoPadrao,INDEX(tProdutos[Desconto homologado],MATCH(tItens[[#This Row],[Produto]],tProdutos[Produto],0))),DescontoPadrao)</f>
        <v>0.48749999999999999</v>
      </c>
      <c r="M8891" s="12">
        <f>tItens[[#This Row],[Valor]]*(1-tItens[[#This Row],[Desconto]])</f>
        <v>37668.75</v>
      </c>
      <c r="N8891" t="str">
        <f>IFERROR(INDEX(tProdutos[Foco],MATCH(tItens[[#This Row],[Produto]],tProdutos[Produto],0)),"Não")</f>
        <v>Não</v>
      </c>
      <c r="O8891" t="str">
        <f>IFERROR(INDEX(tEditais[SRP],MATCH(tItens[[#This Row],[Edital]],tEditais[Edital],0)),"Não")</f>
        <v>Não</v>
      </c>
      <c r="P8891" s="4">
        <f>IF(COUNTIFS(INDEX(tItens[Edital],1):tItens[[#This Row],[Edital]],tItens[[#This Row],[Edital]],INDEX(tItens[Produto],1):tItens[[#This Row],[Produto]],tItens[[#This Row],[Produto]])=1,1,0)</f>
        <v>1</v>
      </c>
    </row>
    <row r="8892" spans="1:16" x14ac:dyDescent="0.25">
      <c r="A8892" t="s">
        <v>3069</v>
      </c>
      <c r="B8892">
        <v>4</v>
      </c>
      <c r="C8892" t="s">
        <v>11244</v>
      </c>
      <c r="D8892" t="s">
        <v>104</v>
      </c>
      <c r="E8892" s="13">
        <v>750</v>
      </c>
      <c r="F8892" s="12">
        <v>242.93</v>
      </c>
      <c r="G8892" t="str">
        <f>IFERROR(INDEX(tEditais[Órgão],MATCH(tItens[[#This Row],[Edital]],tEditais[Edital],0)),"")</f>
        <v>MUNICIPIO DE MARIAPOLIS</v>
      </c>
      <c r="H8892" t="str">
        <f>IFERROR(INDEX(tEditais[UF],MATCH(tItens[[#This Row],[Edital]],tEditais[Edital],0)),"")</f>
        <v>SP</v>
      </c>
      <c r="I8892" s="11">
        <f>IFERROR(INDEX(tEditais[Encerramento],MATCH(tItens[[#This Row],[Edital]],tEditais[Edital],0)),"")</f>
        <v>46311.347222222219</v>
      </c>
      <c r="J8892" t="str">
        <f>IFERROR(INDEX(tProdutos[Classe],MATCH(tItens[[#This Row],[Produto]],tProdutos[Produto],0)),"produto não cadastrado")</f>
        <v>DISPUTADO</v>
      </c>
      <c r="K8892" s="12">
        <f>tItens[[#This Row],[Qtd]]*tItens[[#This Row],[Vlr unit]]</f>
        <v>182197.5</v>
      </c>
      <c r="L8892" s="6">
        <f>IFERROR(IF(INDEX(tProdutos[Desconto homologado],MATCH(tItens[[#This Row],[Produto]],tProdutos[Produto],0))="",DescontoPadrao,INDEX(tProdutos[Desconto homologado],MATCH(tItens[[#This Row],[Produto]],tProdutos[Produto],0))),DescontoPadrao)</f>
        <v>0.51</v>
      </c>
      <c r="M8892" s="12">
        <f>tItens[[#This Row],[Valor]]*(1-tItens[[#This Row],[Desconto]])</f>
        <v>89276.774999999994</v>
      </c>
      <c r="N8892" t="str">
        <f>IFERROR(INDEX(tProdutos[Foco],MATCH(tItens[[#This Row],[Produto]],tProdutos[Produto],0)),"Não")</f>
        <v>Sim</v>
      </c>
      <c r="O8892" t="str">
        <f>IFERROR(INDEX(tEditais[SRP],MATCH(tItens[[#This Row],[Edital]],tEditais[Edital],0)),"Não")</f>
        <v>Não</v>
      </c>
      <c r="P8892" s="4">
        <f>IF(COUNTIFS(INDEX(tItens[Edital],1):tItens[[#This Row],[Edital]],tItens[[#This Row],[Edital]],INDEX(tItens[Produto],1):tItens[[#This Row],[Produto]],tItens[[#This Row],[Produto]])=1,1,0)</f>
        <v>1</v>
      </c>
    </row>
    <row r="8893" spans="1:16" x14ac:dyDescent="0.25">
      <c r="A8893" t="s">
        <v>3069</v>
      </c>
      <c r="B8893">
        <v>5</v>
      </c>
      <c r="C8893" t="s">
        <v>11245</v>
      </c>
      <c r="D8893" t="s">
        <v>277</v>
      </c>
      <c r="E8893" s="13">
        <v>2025</v>
      </c>
      <c r="F8893" s="12">
        <v>54.85</v>
      </c>
      <c r="G8893" t="str">
        <f>IFERROR(INDEX(tEditais[Órgão],MATCH(tItens[[#This Row],[Edital]],tEditais[Edital],0)),"")</f>
        <v>MUNICIPIO DE MARIAPOLIS</v>
      </c>
      <c r="H8893" t="str">
        <f>IFERROR(INDEX(tEditais[UF],MATCH(tItens[[#This Row],[Edital]],tEditais[Edital],0)),"")</f>
        <v>SP</v>
      </c>
      <c r="I8893" s="11">
        <f>IFERROR(INDEX(tEditais[Encerramento],MATCH(tItens[[#This Row],[Edital]],tEditais[Edital],0)),"")</f>
        <v>46311.347222222219</v>
      </c>
      <c r="J8893" t="str">
        <f>IFERROR(INDEX(tProdutos[Classe],MATCH(tItens[[#This Row],[Produto]],tProdutos[Produto],0)),"produto não cadastrado")</f>
        <v>DISPUTADO</v>
      </c>
      <c r="K8893" s="12">
        <f>tItens[[#This Row],[Qtd]]*tItens[[#This Row],[Vlr unit]]</f>
        <v>111071.25</v>
      </c>
      <c r="L8893" s="6">
        <f>IFERROR(IF(INDEX(tProdutos[Desconto homologado],MATCH(tItens[[#This Row],[Produto]],tProdutos[Produto],0))="",DescontoPadrao,INDEX(tProdutos[Desconto homologado],MATCH(tItens[[#This Row],[Produto]],tProdutos[Produto],0))),DescontoPadrao)</f>
        <v>0.50460666194188497</v>
      </c>
      <c r="M8893" s="12">
        <f>tItens[[#This Row],[Valor]]*(1-tItens[[#This Row],[Desconto]])</f>
        <v>55023.957299787406</v>
      </c>
      <c r="N8893" t="str">
        <f>IFERROR(INDEX(tProdutos[Foco],MATCH(tItens[[#This Row],[Produto]],tProdutos[Produto],0)),"Não")</f>
        <v>Não</v>
      </c>
      <c r="O8893" t="str">
        <f>IFERROR(INDEX(tEditais[SRP],MATCH(tItens[[#This Row],[Edital]],tEditais[Edital],0)),"Não")</f>
        <v>Não</v>
      </c>
      <c r="P8893" s="4">
        <f>IF(COUNTIFS(INDEX(tItens[Edital],1):tItens[[#This Row],[Edital]],tItens[[#This Row],[Edital]],INDEX(tItens[Produto],1):tItens[[#This Row],[Produto]],tItens[[#This Row],[Produto]])=1,1,0)</f>
        <v>1</v>
      </c>
    </row>
    <row r="8894" spans="1:16" x14ac:dyDescent="0.25">
      <c r="A8894" t="s">
        <v>3069</v>
      </c>
      <c r="B8894">
        <v>6</v>
      </c>
      <c r="C8894" t="s">
        <v>11246</v>
      </c>
      <c r="D8894" t="s">
        <v>277</v>
      </c>
      <c r="E8894" s="13">
        <v>2025</v>
      </c>
      <c r="F8894" s="12">
        <v>54.85</v>
      </c>
      <c r="G8894" t="str">
        <f>IFERROR(INDEX(tEditais[Órgão],MATCH(tItens[[#This Row],[Edital]],tEditais[Edital],0)),"")</f>
        <v>MUNICIPIO DE MARIAPOLIS</v>
      </c>
      <c r="H8894" t="str">
        <f>IFERROR(INDEX(tEditais[UF],MATCH(tItens[[#This Row],[Edital]],tEditais[Edital],0)),"")</f>
        <v>SP</v>
      </c>
      <c r="I8894" s="11">
        <f>IFERROR(INDEX(tEditais[Encerramento],MATCH(tItens[[#This Row],[Edital]],tEditais[Edital],0)),"")</f>
        <v>46311.347222222219</v>
      </c>
      <c r="J8894" t="str">
        <f>IFERROR(INDEX(tProdutos[Classe],MATCH(tItens[[#This Row],[Produto]],tProdutos[Produto],0)),"produto não cadastrado")</f>
        <v>DISPUTADO</v>
      </c>
      <c r="K8894" s="12">
        <f>tItens[[#This Row],[Qtd]]*tItens[[#This Row],[Vlr unit]]</f>
        <v>111071.25</v>
      </c>
      <c r="L8894" s="6">
        <f>IFERROR(IF(INDEX(tProdutos[Desconto homologado],MATCH(tItens[[#This Row],[Produto]],tProdutos[Produto],0))="",DescontoPadrao,INDEX(tProdutos[Desconto homologado],MATCH(tItens[[#This Row],[Produto]],tProdutos[Produto],0))),DescontoPadrao)</f>
        <v>0.50460666194188497</v>
      </c>
      <c r="M8894" s="12">
        <f>tItens[[#This Row],[Valor]]*(1-tItens[[#This Row],[Desconto]])</f>
        <v>55023.957299787406</v>
      </c>
      <c r="N8894" t="str">
        <f>IFERROR(INDEX(tProdutos[Foco],MATCH(tItens[[#This Row],[Produto]],tProdutos[Produto],0)),"Não")</f>
        <v>Não</v>
      </c>
      <c r="O8894" t="str">
        <f>IFERROR(INDEX(tEditais[SRP],MATCH(tItens[[#This Row],[Edital]],tEditais[Edital],0)),"Não")</f>
        <v>Não</v>
      </c>
      <c r="P8894" s="4">
        <f>IF(COUNTIFS(INDEX(tItens[Edital],1):tItens[[#This Row],[Edital]],tItens[[#This Row],[Edital]],INDEX(tItens[Produto],1):tItens[[#This Row],[Produto]],tItens[[#This Row],[Produto]])=1,1,0)</f>
        <v>0</v>
      </c>
    </row>
    <row r="8895" spans="1:16" x14ac:dyDescent="0.25">
      <c r="A8895" t="s">
        <v>3069</v>
      </c>
      <c r="B8895">
        <v>7</v>
      </c>
      <c r="C8895" t="s">
        <v>11247</v>
      </c>
      <c r="D8895" t="s">
        <v>385</v>
      </c>
      <c r="E8895" s="13">
        <v>15000</v>
      </c>
      <c r="F8895" s="12">
        <v>28.6</v>
      </c>
      <c r="G8895" t="str">
        <f>IFERROR(INDEX(tEditais[Órgão],MATCH(tItens[[#This Row],[Edital]],tEditais[Edital],0)),"")</f>
        <v>MUNICIPIO DE MARIAPOLIS</v>
      </c>
      <c r="H8895" t="str">
        <f>IFERROR(INDEX(tEditais[UF],MATCH(tItens[[#This Row],[Edital]],tEditais[Edital],0)),"")</f>
        <v>SP</v>
      </c>
      <c r="I8895" s="11">
        <f>IFERROR(INDEX(tEditais[Encerramento],MATCH(tItens[[#This Row],[Edital]],tEditais[Edital],0)),"")</f>
        <v>46311.347222222219</v>
      </c>
      <c r="J8895" t="str">
        <f>IFERROR(INDEX(tProdutos[Classe],MATCH(tItens[[#This Row],[Produto]],tProdutos[Produto],0)),"produto não cadastrado")</f>
        <v>FORA</v>
      </c>
      <c r="K8895" s="12">
        <f>tItens[[#This Row],[Qtd]]*tItens[[#This Row],[Vlr unit]]</f>
        <v>429000</v>
      </c>
      <c r="L8895" s="6">
        <f>IFERROR(IF(INDEX(tProdutos[Desconto homologado],MATCH(tItens[[#This Row],[Produto]],tProdutos[Produto],0))="",DescontoPadrao,INDEX(tProdutos[Desconto homologado],MATCH(tItens[[#This Row],[Produto]],tProdutos[Produto],0))),DescontoPadrao)</f>
        <v>0.46969696969697</v>
      </c>
      <c r="M8895" s="12">
        <f>tItens[[#This Row],[Valor]]*(1-tItens[[#This Row],[Desconto]])</f>
        <v>227499.99999999988</v>
      </c>
      <c r="N8895" t="str">
        <f>IFERROR(INDEX(tProdutos[Foco],MATCH(tItens[[#This Row],[Produto]],tProdutos[Produto],0)),"Não")</f>
        <v>Não</v>
      </c>
      <c r="O8895" t="str">
        <f>IFERROR(INDEX(tEditais[SRP],MATCH(tItens[[#This Row],[Edital]],tEditais[Edital],0)),"Não")</f>
        <v>Não</v>
      </c>
      <c r="P8895" s="4">
        <f>IF(COUNTIFS(INDEX(tItens[Edital],1):tItens[[#This Row],[Edital]],tItens[[#This Row],[Edital]],INDEX(tItens[Produto],1):tItens[[#This Row],[Produto]],tItens[[#This Row],[Produto]])=1,1,0)</f>
        <v>1</v>
      </c>
    </row>
    <row r="8896" spans="1:16" x14ac:dyDescent="0.25">
      <c r="A8896" t="s">
        <v>3069</v>
      </c>
      <c r="B8896">
        <v>19</v>
      </c>
      <c r="C8896" t="s">
        <v>11248</v>
      </c>
      <c r="D8896" t="s">
        <v>315</v>
      </c>
      <c r="E8896" s="13">
        <v>400</v>
      </c>
      <c r="F8896" s="12">
        <v>23.25</v>
      </c>
      <c r="G8896" t="str">
        <f>IFERROR(INDEX(tEditais[Órgão],MATCH(tItens[[#This Row],[Edital]],tEditais[Edital],0)),"")</f>
        <v>MUNICIPIO DE MARIAPOLIS</v>
      </c>
      <c r="H8896" t="str">
        <f>IFERROR(INDEX(tEditais[UF],MATCH(tItens[[#This Row],[Edital]],tEditais[Edital],0)),"")</f>
        <v>SP</v>
      </c>
      <c r="I8896" s="11">
        <f>IFERROR(INDEX(tEditais[Encerramento],MATCH(tItens[[#This Row],[Edital]],tEditais[Edital],0)),"")</f>
        <v>46311.347222222219</v>
      </c>
      <c r="J8896" t="str">
        <f>IFERROR(INDEX(tProdutos[Classe],MATCH(tItens[[#This Row],[Produto]],tProdutos[Produto],0)),"produto não cadastrado")</f>
        <v>FORA</v>
      </c>
      <c r="K8896" s="12">
        <f>tItens[[#This Row],[Qtd]]*tItens[[#This Row],[Vlr unit]]</f>
        <v>9300</v>
      </c>
      <c r="L8896" s="6">
        <f>IFERROR(IF(INDEX(tProdutos[Desconto homologado],MATCH(tItens[[#This Row],[Produto]],tProdutos[Produto],0))="",DescontoPadrao,INDEX(tProdutos[Desconto homologado],MATCH(tItens[[#This Row],[Produto]],tProdutos[Produto],0))),DescontoPadrao)</f>
        <v>0.38432036097010702</v>
      </c>
      <c r="M8896" s="12">
        <f>tItens[[#This Row],[Valor]]*(1-tItens[[#This Row],[Desconto]])</f>
        <v>5725.8206429780048</v>
      </c>
      <c r="N8896" t="str">
        <f>IFERROR(INDEX(tProdutos[Foco],MATCH(tItens[[#This Row],[Produto]],tProdutos[Produto],0)),"Não")</f>
        <v>Não</v>
      </c>
      <c r="O8896" t="str">
        <f>IFERROR(INDEX(tEditais[SRP],MATCH(tItens[[#This Row],[Edital]],tEditais[Edital],0)),"Não")</f>
        <v>Não</v>
      </c>
      <c r="P8896" s="4">
        <f>IF(COUNTIFS(INDEX(tItens[Edital],1):tItens[[#This Row],[Edital]],tItens[[#This Row],[Edital]],INDEX(tItens[Produto],1):tItens[[#This Row],[Produto]],tItens[[#This Row],[Produto]])=1,1,0)</f>
        <v>1</v>
      </c>
    </row>
    <row r="8897" spans="1:16" x14ac:dyDescent="0.25">
      <c r="A8897" t="s">
        <v>3069</v>
      </c>
      <c r="B8897">
        <v>20</v>
      </c>
      <c r="C8897" t="s">
        <v>11249</v>
      </c>
      <c r="D8897" t="s">
        <v>315</v>
      </c>
      <c r="E8897" s="13">
        <v>500</v>
      </c>
      <c r="F8897" s="12">
        <v>23.25</v>
      </c>
      <c r="G8897" t="str">
        <f>IFERROR(INDEX(tEditais[Órgão],MATCH(tItens[[#This Row],[Edital]],tEditais[Edital],0)),"")</f>
        <v>MUNICIPIO DE MARIAPOLIS</v>
      </c>
      <c r="H8897" t="str">
        <f>IFERROR(INDEX(tEditais[UF],MATCH(tItens[[#This Row],[Edital]],tEditais[Edital],0)),"")</f>
        <v>SP</v>
      </c>
      <c r="I8897" s="11">
        <f>IFERROR(INDEX(tEditais[Encerramento],MATCH(tItens[[#This Row],[Edital]],tEditais[Edital],0)),"")</f>
        <v>46311.347222222219</v>
      </c>
      <c r="J8897" t="str">
        <f>IFERROR(INDEX(tProdutos[Classe],MATCH(tItens[[#This Row],[Produto]],tProdutos[Produto],0)),"produto não cadastrado")</f>
        <v>FORA</v>
      </c>
      <c r="K8897" s="12">
        <f>tItens[[#This Row],[Qtd]]*tItens[[#This Row],[Vlr unit]]</f>
        <v>11625</v>
      </c>
      <c r="L8897" s="6">
        <f>IFERROR(IF(INDEX(tProdutos[Desconto homologado],MATCH(tItens[[#This Row],[Produto]],tProdutos[Produto],0))="",DescontoPadrao,INDEX(tProdutos[Desconto homologado],MATCH(tItens[[#This Row],[Produto]],tProdutos[Produto],0))),DescontoPadrao)</f>
        <v>0.38432036097010702</v>
      </c>
      <c r="M8897" s="12">
        <f>tItens[[#This Row],[Valor]]*(1-tItens[[#This Row],[Desconto]])</f>
        <v>7157.2758037225058</v>
      </c>
      <c r="N8897" t="str">
        <f>IFERROR(INDEX(tProdutos[Foco],MATCH(tItens[[#This Row],[Produto]],tProdutos[Produto],0)),"Não")</f>
        <v>Não</v>
      </c>
      <c r="O8897" t="str">
        <f>IFERROR(INDEX(tEditais[SRP],MATCH(tItens[[#This Row],[Edital]],tEditais[Edital],0)),"Não")</f>
        <v>Não</v>
      </c>
      <c r="P8897" s="4">
        <f>IF(COUNTIFS(INDEX(tItens[Edital],1):tItens[[#This Row],[Edital]],tItens[[#This Row],[Edital]],INDEX(tItens[Produto],1):tItens[[#This Row],[Produto]],tItens[[#This Row],[Produto]])=1,1,0)</f>
        <v>0</v>
      </c>
    </row>
    <row r="8898" spans="1:16" x14ac:dyDescent="0.25">
      <c r="A8898" t="s">
        <v>3069</v>
      </c>
      <c r="B8898">
        <v>21</v>
      </c>
      <c r="C8898" t="s">
        <v>11250</v>
      </c>
      <c r="D8898" t="s">
        <v>315</v>
      </c>
      <c r="E8898" s="13">
        <v>500</v>
      </c>
      <c r="F8898" s="12">
        <v>23.25</v>
      </c>
      <c r="G8898" t="str">
        <f>IFERROR(INDEX(tEditais[Órgão],MATCH(tItens[[#This Row],[Edital]],tEditais[Edital],0)),"")</f>
        <v>MUNICIPIO DE MARIAPOLIS</v>
      </c>
      <c r="H8898" t="str">
        <f>IFERROR(INDEX(tEditais[UF],MATCH(tItens[[#This Row],[Edital]],tEditais[Edital],0)),"")</f>
        <v>SP</v>
      </c>
      <c r="I8898" s="11">
        <f>IFERROR(INDEX(tEditais[Encerramento],MATCH(tItens[[#This Row],[Edital]],tEditais[Edital],0)),"")</f>
        <v>46311.347222222219</v>
      </c>
      <c r="J8898" t="str">
        <f>IFERROR(INDEX(tProdutos[Classe],MATCH(tItens[[#This Row],[Produto]],tProdutos[Produto],0)),"produto não cadastrado")</f>
        <v>FORA</v>
      </c>
      <c r="K8898" s="12">
        <f>tItens[[#This Row],[Qtd]]*tItens[[#This Row],[Vlr unit]]</f>
        <v>11625</v>
      </c>
      <c r="L8898" s="6">
        <f>IFERROR(IF(INDEX(tProdutos[Desconto homologado],MATCH(tItens[[#This Row],[Produto]],tProdutos[Produto],0))="",DescontoPadrao,INDEX(tProdutos[Desconto homologado],MATCH(tItens[[#This Row],[Produto]],tProdutos[Produto],0))),DescontoPadrao)</f>
        <v>0.38432036097010702</v>
      </c>
      <c r="M8898" s="12">
        <f>tItens[[#This Row],[Valor]]*(1-tItens[[#This Row],[Desconto]])</f>
        <v>7157.2758037225058</v>
      </c>
      <c r="N8898" t="str">
        <f>IFERROR(INDEX(tProdutos[Foco],MATCH(tItens[[#This Row],[Produto]],tProdutos[Produto],0)),"Não")</f>
        <v>Não</v>
      </c>
      <c r="O8898" t="str">
        <f>IFERROR(INDEX(tEditais[SRP],MATCH(tItens[[#This Row],[Edital]],tEditais[Edital],0)),"Não")</f>
        <v>Não</v>
      </c>
      <c r="P8898" s="4">
        <f>IF(COUNTIFS(INDEX(tItens[Edital],1):tItens[[#This Row],[Edital]],tItens[[#This Row],[Edital]],INDEX(tItens[Produto],1):tItens[[#This Row],[Produto]],tItens[[#This Row],[Produto]])=1,1,0)</f>
        <v>0</v>
      </c>
    </row>
    <row r="8899" spans="1:16" x14ac:dyDescent="0.25">
      <c r="A8899" t="s">
        <v>3069</v>
      </c>
      <c r="B8899">
        <v>22</v>
      </c>
      <c r="C8899" t="s">
        <v>11251</v>
      </c>
      <c r="D8899" t="s">
        <v>315</v>
      </c>
      <c r="E8899" s="13">
        <v>400</v>
      </c>
      <c r="F8899" s="12">
        <v>23.25</v>
      </c>
      <c r="G8899" t="str">
        <f>IFERROR(INDEX(tEditais[Órgão],MATCH(tItens[[#This Row],[Edital]],tEditais[Edital],0)),"")</f>
        <v>MUNICIPIO DE MARIAPOLIS</v>
      </c>
      <c r="H8899" t="str">
        <f>IFERROR(INDEX(tEditais[UF],MATCH(tItens[[#This Row],[Edital]],tEditais[Edital],0)),"")</f>
        <v>SP</v>
      </c>
      <c r="I8899" s="11">
        <f>IFERROR(INDEX(tEditais[Encerramento],MATCH(tItens[[#This Row],[Edital]],tEditais[Edital],0)),"")</f>
        <v>46311.347222222219</v>
      </c>
      <c r="J8899" t="str">
        <f>IFERROR(INDEX(tProdutos[Classe],MATCH(tItens[[#This Row],[Produto]],tProdutos[Produto],0)),"produto não cadastrado")</f>
        <v>FORA</v>
      </c>
      <c r="K8899" s="12">
        <f>tItens[[#This Row],[Qtd]]*tItens[[#This Row],[Vlr unit]]</f>
        <v>9300</v>
      </c>
      <c r="L8899" s="6">
        <f>IFERROR(IF(INDEX(tProdutos[Desconto homologado],MATCH(tItens[[#This Row],[Produto]],tProdutos[Produto],0))="",DescontoPadrao,INDEX(tProdutos[Desconto homologado],MATCH(tItens[[#This Row],[Produto]],tProdutos[Produto],0))),DescontoPadrao)</f>
        <v>0.38432036097010702</v>
      </c>
      <c r="M8899" s="12">
        <f>tItens[[#This Row],[Valor]]*(1-tItens[[#This Row],[Desconto]])</f>
        <v>5725.8206429780048</v>
      </c>
      <c r="N8899" t="str">
        <f>IFERROR(INDEX(tProdutos[Foco],MATCH(tItens[[#This Row],[Produto]],tProdutos[Produto],0)),"Não")</f>
        <v>Não</v>
      </c>
      <c r="O8899" t="str">
        <f>IFERROR(INDEX(tEditais[SRP],MATCH(tItens[[#This Row],[Edital]],tEditais[Edital],0)),"Não")</f>
        <v>Não</v>
      </c>
      <c r="P8899" s="4">
        <f>IF(COUNTIFS(INDEX(tItens[Edital],1):tItens[[#This Row],[Edital]],tItens[[#This Row],[Edital]],INDEX(tItens[Produto],1):tItens[[#This Row],[Produto]],tItens[[#This Row],[Produto]])=1,1,0)</f>
        <v>0</v>
      </c>
    </row>
    <row r="8900" spans="1:16" x14ac:dyDescent="0.25">
      <c r="A8900" t="s">
        <v>3069</v>
      </c>
      <c r="B8900">
        <v>23</v>
      </c>
      <c r="C8900" t="s">
        <v>11252</v>
      </c>
      <c r="D8900" t="s">
        <v>315</v>
      </c>
      <c r="E8900" s="13">
        <v>360</v>
      </c>
      <c r="F8900" s="12">
        <v>23.25</v>
      </c>
      <c r="G8900" t="str">
        <f>IFERROR(INDEX(tEditais[Órgão],MATCH(tItens[[#This Row],[Edital]],tEditais[Edital],0)),"")</f>
        <v>MUNICIPIO DE MARIAPOLIS</v>
      </c>
      <c r="H8900" t="str">
        <f>IFERROR(INDEX(tEditais[UF],MATCH(tItens[[#This Row],[Edital]],tEditais[Edital],0)),"")</f>
        <v>SP</v>
      </c>
      <c r="I8900" s="11">
        <f>IFERROR(INDEX(tEditais[Encerramento],MATCH(tItens[[#This Row],[Edital]],tEditais[Edital],0)),"")</f>
        <v>46311.347222222219</v>
      </c>
      <c r="J8900" t="str">
        <f>IFERROR(INDEX(tProdutos[Classe],MATCH(tItens[[#This Row],[Produto]],tProdutos[Produto],0)),"produto não cadastrado")</f>
        <v>FORA</v>
      </c>
      <c r="K8900" s="12">
        <f>tItens[[#This Row],[Qtd]]*tItens[[#This Row],[Vlr unit]]</f>
        <v>8370</v>
      </c>
      <c r="L8900" s="6">
        <f>IFERROR(IF(INDEX(tProdutos[Desconto homologado],MATCH(tItens[[#This Row],[Produto]],tProdutos[Produto],0))="",DescontoPadrao,INDEX(tProdutos[Desconto homologado],MATCH(tItens[[#This Row],[Produto]],tProdutos[Produto],0))),DescontoPadrao)</f>
        <v>0.38432036097010702</v>
      </c>
      <c r="M8900" s="12">
        <f>tItens[[#This Row],[Valor]]*(1-tItens[[#This Row],[Desconto]])</f>
        <v>5153.2385786802042</v>
      </c>
      <c r="N8900" t="str">
        <f>IFERROR(INDEX(tProdutos[Foco],MATCH(tItens[[#This Row],[Produto]],tProdutos[Produto],0)),"Não")</f>
        <v>Não</v>
      </c>
      <c r="O8900" t="str">
        <f>IFERROR(INDEX(tEditais[SRP],MATCH(tItens[[#This Row],[Edital]],tEditais[Edital],0)),"Não")</f>
        <v>Não</v>
      </c>
      <c r="P8900" s="4">
        <f>IF(COUNTIFS(INDEX(tItens[Edital],1):tItens[[#This Row],[Edital]],tItens[[#This Row],[Edital]],INDEX(tItens[Produto],1):tItens[[#This Row],[Produto]],tItens[[#This Row],[Produto]])=1,1,0)</f>
        <v>0</v>
      </c>
    </row>
    <row r="8901" spans="1:16" x14ac:dyDescent="0.25">
      <c r="A8901" t="s">
        <v>3069</v>
      </c>
      <c r="B8901">
        <v>24</v>
      </c>
      <c r="C8901" t="s">
        <v>11253</v>
      </c>
      <c r="D8901" t="s">
        <v>315</v>
      </c>
      <c r="E8901" s="13">
        <v>360</v>
      </c>
      <c r="F8901" s="12">
        <v>23.25</v>
      </c>
      <c r="G8901" t="str">
        <f>IFERROR(INDEX(tEditais[Órgão],MATCH(tItens[[#This Row],[Edital]],tEditais[Edital],0)),"")</f>
        <v>MUNICIPIO DE MARIAPOLIS</v>
      </c>
      <c r="H8901" t="str">
        <f>IFERROR(INDEX(tEditais[UF],MATCH(tItens[[#This Row],[Edital]],tEditais[Edital],0)),"")</f>
        <v>SP</v>
      </c>
      <c r="I8901" s="11">
        <f>IFERROR(INDEX(tEditais[Encerramento],MATCH(tItens[[#This Row],[Edital]],tEditais[Edital],0)),"")</f>
        <v>46311.347222222219</v>
      </c>
      <c r="J8901" t="str">
        <f>IFERROR(INDEX(tProdutos[Classe],MATCH(tItens[[#This Row],[Produto]],tProdutos[Produto],0)),"produto não cadastrado")</f>
        <v>FORA</v>
      </c>
      <c r="K8901" s="12">
        <f>tItens[[#This Row],[Qtd]]*tItens[[#This Row],[Vlr unit]]</f>
        <v>8370</v>
      </c>
      <c r="L8901" s="6">
        <f>IFERROR(IF(INDEX(tProdutos[Desconto homologado],MATCH(tItens[[#This Row],[Produto]],tProdutos[Produto],0))="",DescontoPadrao,INDEX(tProdutos[Desconto homologado],MATCH(tItens[[#This Row],[Produto]],tProdutos[Produto],0))),DescontoPadrao)</f>
        <v>0.38432036097010702</v>
      </c>
      <c r="M8901" s="12">
        <f>tItens[[#This Row],[Valor]]*(1-tItens[[#This Row],[Desconto]])</f>
        <v>5153.2385786802042</v>
      </c>
      <c r="N8901" t="str">
        <f>IFERROR(INDEX(tProdutos[Foco],MATCH(tItens[[#This Row],[Produto]],tProdutos[Produto],0)),"Não")</f>
        <v>Não</v>
      </c>
      <c r="O8901" t="str">
        <f>IFERROR(INDEX(tEditais[SRP],MATCH(tItens[[#This Row],[Edital]],tEditais[Edital],0)),"Não")</f>
        <v>Não</v>
      </c>
      <c r="P8901" s="4">
        <f>IF(COUNTIFS(INDEX(tItens[Edital],1):tItens[[#This Row],[Edital]],tItens[[#This Row],[Edital]],INDEX(tItens[Produto],1):tItens[[#This Row],[Produto]],tItens[[#This Row],[Produto]])=1,1,0)</f>
        <v>0</v>
      </c>
    </row>
    <row r="8902" spans="1:16" x14ac:dyDescent="0.25">
      <c r="A8902" t="s">
        <v>3069</v>
      </c>
      <c r="B8902">
        <v>25</v>
      </c>
      <c r="C8902" t="s">
        <v>11254</v>
      </c>
      <c r="D8902" t="s">
        <v>315</v>
      </c>
      <c r="E8902" s="13">
        <v>800</v>
      </c>
      <c r="F8902" s="12">
        <v>23.25</v>
      </c>
      <c r="G8902" t="str">
        <f>IFERROR(INDEX(tEditais[Órgão],MATCH(tItens[[#This Row],[Edital]],tEditais[Edital],0)),"")</f>
        <v>MUNICIPIO DE MARIAPOLIS</v>
      </c>
      <c r="H8902" t="str">
        <f>IFERROR(INDEX(tEditais[UF],MATCH(tItens[[#This Row],[Edital]],tEditais[Edital],0)),"")</f>
        <v>SP</v>
      </c>
      <c r="I8902" s="11">
        <f>IFERROR(INDEX(tEditais[Encerramento],MATCH(tItens[[#This Row],[Edital]],tEditais[Edital],0)),"")</f>
        <v>46311.347222222219</v>
      </c>
      <c r="J8902" t="str">
        <f>IFERROR(INDEX(tProdutos[Classe],MATCH(tItens[[#This Row],[Produto]],tProdutos[Produto],0)),"produto não cadastrado")</f>
        <v>FORA</v>
      </c>
      <c r="K8902" s="12">
        <f>tItens[[#This Row],[Qtd]]*tItens[[#This Row],[Vlr unit]]</f>
        <v>18600</v>
      </c>
      <c r="L8902" s="6">
        <f>IFERROR(IF(INDEX(tProdutos[Desconto homologado],MATCH(tItens[[#This Row],[Produto]],tProdutos[Produto],0))="",DescontoPadrao,INDEX(tProdutos[Desconto homologado],MATCH(tItens[[#This Row],[Produto]],tProdutos[Produto],0))),DescontoPadrao)</f>
        <v>0.38432036097010702</v>
      </c>
      <c r="M8902" s="12">
        <f>tItens[[#This Row],[Valor]]*(1-tItens[[#This Row],[Desconto]])</f>
        <v>11451.64128595601</v>
      </c>
      <c r="N8902" t="str">
        <f>IFERROR(INDEX(tProdutos[Foco],MATCH(tItens[[#This Row],[Produto]],tProdutos[Produto],0)),"Não")</f>
        <v>Não</v>
      </c>
      <c r="O8902" t="str">
        <f>IFERROR(INDEX(tEditais[SRP],MATCH(tItens[[#This Row],[Edital]],tEditais[Edital],0)),"Não")</f>
        <v>Não</v>
      </c>
      <c r="P8902" s="4">
        <f>IF(COUNTIFS(INDEX(tItens[Edital],1):tItens[[#This Row],[Edital]],tItens[[#This Row],[Edital]],INDEX(tItens[Produto],1):tItens[[#This Row],[Produto]],tItens[[#This Row],[Produto]])=1,1,0)</f>
        <v>0</v>
      </c>
    </row>
    <row r="8903" spans="1:16" x14ac:dyDescent="0.25">
      <c r="A8903" t="s">
        <v>3069</v>
      </c>
      <c r="B8903">
        <v>26</v>
      </c>
      <c r="C8903" t="s">
        <v>11255</v>
      </c>
      <c r="D8903" t="s">
        <v>315</v>
      </c>
      <c r="E8903" s="13">
        <v>100</v>
      </c>
      <c r="F8903" s="12">
        <v>23.25</v>
      </c>
      <c r="G8903" t="str">
        <f>IFERROR(INDEX(tEditais[Órgão],MATCH(tItens[[#This Row],[Edital]],tEditais[Edital],0)),"")</f>
        <v>MUNICIPIO DE MARIAPOLIS</v>
      </c>
      <c r="H8903" t="str">
        <f>IFERROR(INDEX(tEditais[UF],MATCH(tItens[[#This Row],[Edital]],tEditais[Edital],0)),"")</f>
        <v>SP</v>
      </c>
      <c r="I8903" s="11">
        <f>IFERROR(INDEX(tEditais[Encerramento],MATCH(tItens[[#This Row],[Edital]],tEditais[Edital],0)),"")</f>
        <v>46311.347222222219</v>
      </c>
      <c r="J8903" t="str">
        <f>IFERROR(INDEX(tProdutos[Classe],MATCH(tItens[[#This Row],[Produto]],tProdutos[Produto],0)),"produto não cadastrado")</f>
        <v>FORA</v>
      </c>
      <c r="K8903" s="12">
        <f>tItens[[#This Row],[Qtd]]*tItens[[#This Row],[Vlr unit]]</f>
        <v>2325</v>
      </c>
      <c r="L8903" s="6">
        <f>IFERROR(IF(INDEX(tProdutos[Desconto homologado],MATCH(tItens[[#This Row],[Produto]],tProdutos[Produto],0))="",DescontoPadrao,INDEX(tProdutos[Desconto homologado],MATCH(tItens[[#This Row],[Produto]],tProdutos[Produto],0))),DescontoPadrao)</f>
        <v>0.38432036097010702</v>
      </c>
      <c r="M8903" s="12">
        <f>tItens[[#This Row],[Valor]]*(1-tItens[[#This Row],[Desconto]])</f>
        <v>1431.4551607445012</v>
      </c>
      <c r="N8903" t="str">
        <f>IFERROR(INDEX(tProdutos[Foco],MATCH(tItens[[#This Row],[Produto]],tProdutos[Produto],0)),"Não")</f>
        <v>Não</v>
      </c>
      <c r="O8903" t="str">
        <f>IFERROR(INDEX(tEditais[SRP],MATCH(tItens[[#This Row],[Edital]],tEditais[Edital],0)),"Não")</f>
        <v>Não</v>
      </c>
      <c r="P8903" s="4">
        <f>IF(COUNTIFS(INDEX(tItens[Edital],1):tItens[[#This Row],[Edital]],tItens[[#This Row],[Edital]],INDEX(tItens[Produto],1):tItens[[#This Row],[Produto]],tItens[[#This Row],[Produto]])=1,1,0)</f>
        <v>0</v>
      </c>
    </row>
    <row r="8904" spans="1:16" x14ac:dyDescent="0.25">
      <c r="A8904" t="s">
        <v>3069</v>
      </c>
      <c r="B8904">
        <v>27</v>
      </c>
      <c r="C8904" t="s">
        <v>11256</v>
      </c>
      <c r="D8904" t="s">
        <v>201</v>
      </c>
      <c r="E8904" s="13">
        <v>220</v>
      </c>
      <c r="F8904" s="12">
        <v>65.17</v>
      </c>
      <c r="G8904" t="str">
        <f>IFERROR(INDEX(tEditais[Órgão],MATCH(tItens[[#This Row],[Edital]],tEditais[Edital],0)),"")</f>
        <v>MUNICIPIO DE MARIAPOLIS</v>
      </c>
      <c r="H8904" t="str">
        <f>IFERROR(INDEX(tEditais[UF],MATCH(tItens[[#This Row],[Edital]],tEditais[Edital],0)),"")</f>
        <v>SP</v>
      </c>
      <c r="I8904" s="11">
        <f>IFERROR(INDEX(tEditais[Encerramento],MATCH(tItens[[#This Row],[Edital]],tEditais[Edital],0)),"")</f>
        <v>46311.347222222219</v>
      </c>
      <c r="J8904" t="str">
        <f>IFERROR(INDEX(tProdutos[Classe],MATCH(tItens[[#This Row],[Produto]],tProdutos[Produto],0)),"produto não cadastrado")</f>
        <v>DISPUTADO</v>
      </c>
      <c r="K8904" s="12">
        <f>tItens[[#This Row],[Qtd]]*tItens[[#This Row],[Vlr unit]]</f>
        <v>14337.4</v>
      </c>
      <c r="L8904" s="6">
        <f>IFERROR(IF(INDEX(tProdutos[Desconto homologado],MATCH(tItens[[#This Row],[Produto]],tProdutos[Produto],0))="",DescontoPadrao,INDEX(tProdutos[Desconto homologado],MATCH(tItens[[#This Row],[Produto]],tProdutos[Produto],0))),DescontoPadrao)</f>
        <v>0.27203065134099602</v>
      </c>
      <c r="M8904" s="12">
        <f>tItens[[#This Row],[Valor]]*(1-tItens[[#This Row],[Desconto]])</f>
        <v>10437.187739463603</v>
      </c>
      <c r="N8904" t="str">
        <f>IFERROR(INDEX(tProdutos[Foco],MATCH(tItens[[#This Row],[Produto]],tProdutos[Produto],0)),"Não")</f>
        <v>Não</v>
      </c>
      <c r="O8904" t="str">
        <f>IFERROR(INDEX(tEditais[SRP],MATCH(tItens[[#This Row],[Edital]],tEditais[Edital],0)),"Não")</f>
        <v>Não</v>
      </c>
      <c r="P8904" s="4">
        <f>IF(COUNTIFS(INDEX(tItens[Edital],1):tItens[[#This Row],[Edital]],tItens[[#This Row],[Edital]],INDEX(tItens[Produto],1):tItens[[#This Row],[Produto]],tItens[[#This Row],[Produto]])=1,1,0)</f>
        <v>1</v>
      </c>
    </row>
    <row r="8905" spans="1:16" x14ac:dyDescent="0.25">
      <c r="A8905" t="s">
        <v>3069</v>
      </c>
      <c r="B8905">
        <v>37</v>
      </c>
      <c r="C8905" t="s">
        <v>11257</v>
      </c>
      <c r="D8905" t="s">
        <v>351</v>
      </c>
      <c r="E8905" s="13">
        <v>3000</v>
      </c>
      <c r="F8905" s="12">
        <v>10.42</v>
      </c>
      <c r="G8905" t="str">
        <f>IFERROR(INDEX(tEditais[Órgão],MATCH(tItens[[#This Row],[Edital]],tEditais[Edital],0)),"")</f>
        <v>MUNICIPIO DE MARIAPOLIS</v>
      </c>
      <c r="H8905" t="str">
        <f>IFERROR(INDEX(tEditais[UF],MATCH(tItens[[#This Row],[Edital]],tEditais[Edital],0)),"")</f>
        <v>SP</v>
      </c>
      <c r="I8905" s="11">
        <f>IFERROR(INDEX(tEditais[Encerramento],MATCH(tItens[[#This Row],[Edital]],tEditais[Edital],0)),"")</f>
        <v>46311.347222222219</v>
      </c>
      <c r="J8905" t="str">
        <f>IFERROR(INDEX(tProdutos[Classe],MATCH(tItens[[#This Row],[Produto]],tProdutos[Produto],0)),"produto não cadastrado")</f>
        <v>FORA</v>
      </c>
      <c r="K8905" s="12">
        <f>tItens[[#This Row],[Qtd]]*tItens[[#This Row],[Vlr unit]]</f>
        <v>31260</v>
      </c>
      <c r="L8905" s="6">
        <f>IFERROR(IF(INDEX(tProdutos[Desconto homologado],MATCH(tItens[[#This Row],[Produto]],tProdutos[Produto],0))="",DescontoPadrao,INDEX(tProdutos[Desconto homologado],MATCH(tItens[[#This Row],[Produto]],tProdutos[Produto],0))),DescontoPadrao)</f>
        <v>0.33518005540166201</v>
      </c>
      <c r="M8905" s="12">
        <f>tItens[[#This Row],[Valor]]*(1-tItens[[#This Row],[Desconto]])</f>
        <v>20782.271468144048</v>
      </c>
      <c r="N8905" t="str">
        <f>IFERROR(INDEX(tProdutos[Foco],MATCH(tItens[[#This Row],[Produto]],tProdutos[Produto],0)),"Não")</f>
        <v>Não</v>
      </c>
      <c r="O8905" t="str">
        <f>IFERROR(INDEX(tEditais[SRP],MATCH(tItens[[#This Row],[Edital]],tEditais[Edital],0)),"Não")</f>
        <v>Não</v>
      </c>
      <c r="P8905" s="4">
        <f>IF(COUNTIFS(INDEX(tItens[Edital],1):tItens[[#This Row],[Edital]],tItens[[#This Row],[Edital]],INDEX(tItens[Produto],1):tItens[[#This Row],[Produto]],tItens[[#This Row],[Produto]])=1,1,0)</f>
        <v>0</v>
      </c>
    </row>
    <row r="8906" spans="1:16" x14ac:dyDescent="0.25">
      <c r="A8906" t="s">
        <v>3069</v>
      </c>
      <c r="B8906">
        <v>38</v>
      </c>
      <c r="C8906" t="s">
        <v>11241</v>
      </c>
      <c r="D8906" t="s">
        <v>351</v>
      </c>
      <c r="E8906" s="13">
        <v>1000</v>
      </c>
      <c r="F8906" s="12">
        <v>164.88</v>
      </c>
      <c r="G8906" t="str">
        <f>IFERROR(INDEX(tEditais[Órgão],MATCH(tItens[[#This Row],[Edital]],tEditais[Edital],0)),"")</f>
        <v>MUNICIPIO DE MARIAPOLIS</v>
      </c>
      <c r="H8906" t="str">
        <f>IFERROR(INDEX(tEditais[UF],MATCH(tItens[[#This Row],[Edital]],tEditais[Edital],0)),"")</f>
        <v>SP</v>
      </c>
      <c r="I8906" s="11">
        <f>IFERROR(INDEX(tEditais[Encerramento],MATCH(tItens[[#This Row],[Edital]],tEditais[Edital],0)),"")</f>
        <v>46311.347222222219</v>
      </c>
      <c r="J8906" t="str">
        <f>IFERROR(INDEX(tProdutos[Classe],MATCH(tItens[[#This Row],[Produto]],tProdutos[Produto],0)),"produto não cadastrado")</f>
        <v>FORA</v>
      </c>
      <c r="K8906" s="12">
        <f>tItens[[#This Row],[Qtd]]*tItens[[#This Row],[Vlr unit]]</f>
        <v>164880</v>
      </c>
      <c r="L8906" s="6">
        <f>IFERROR(IF(INDEX(tProdutos[Desconto homologado],MATCH(tItens[[#This Row],[Produto]],tProdutos[Produto],0))="",DescontoPadrao,INDEX(tProdutos[Desconto homologado],MATCH(tItens[[#This Row],[Produto]],tProdutos[Produto],0))),DescontoPadrao)</f>
        <v>0.33518005540166201</v>
      </c>
      <c r="M8906" s="12">
        <f>tItens[[#This Row],[Valor]]*(1-tItens[[#This Row],[Desconto]])</f>
        <v>109615.51246537398</v>
      </c>
      <c r="N8906" t="str">
        <f>IFERROR(INDEX(tProdutos[Foco],MATCH(tItens[[#This Row],[Produto]],tProdutos[Produto],0)),"Não")</f>
        <v>Não</v>
      </c>
      <c r="O8906" t="str">
        <f>IFERROR(INDEX(tEditais[SRP],MATCH(tItens[[#This Row],[Edital]],tEditais[Edital],0)),"Não")</f>
        <v>Não</v>
      </c>
      <c r="P8906" s="4">
        <f>IF(COUNTIFS(INDEX(tItens[Edital],1):tItens[[#This Row],[Edital]],tItens[[#This Row],[Edital]],INDEX(tItens[Produto],1):tItens[[#This Row],[Produto]],tItens[[#This Row],[Produto]])=1,1,0)</f>
        <v>0</v>
      </c>
    </row>
    <row r="8907" spans="1:16" x14ac:dyDescent="0.25">
      <c r="A8907" t="s">
        <v>3069</v>
      </c>
      <c r="B8907">
        <v>39</v>
      </c>
      <c r="C8907" t="s">
        <v>11242</v>
      </c>
      <c r="D8907" t="s">
        <v>351</v>
      </c>
      <c r="E8907" s="13">
        <v>1250</v>
      </c>
      <c r="F8907" s="12">
        <v>215.97</v>
      </c>
      <c r="G8907" t="str">
        <f>IFERROR(INDEX(tEditais[Órgão],MATCH(tItens[[#This Row],[Edital]],tEditais[Edital],0)),"")</f>
        <v>MUNICIPIO DE MARIAPOLIS</v>
      </c>
      <c r="H8907" t="str">
        <f>IFERROR(INDEX(tEditais[UF],MATCH(tItens[[#This Row],[Edital]],tEditais[Edital],0)),"")</f>
        <v>SP</v>
      </c>
      <c r="I8907" s="11">
        <f>IFERROR(INDEX(tEditais[Encerramento],MATCH(tItens[[#This Row],[Edital]],tEditais[Edital],0)),"")</f>
        <v>46311.347222222219</v>
      </c>
      <c r="J8907" t="str">
        <f>IFERROR(INDEX(tProdutos[Classe],MATCH(tItens[[#This Row],[Produto]],tProdutos[Produto],0)),"produto não cadastrado")</f>
        <v>FORA</v>
      </c>
      <c r="K8907" s="12">
        <f>tItens[[#This Row],[Qtd]]*tItens[[#This Row],[Vlr unit]]</f>
        <v>269962.5</v>
      </c>
      <c r="L8907" s="6">
        <f>IFERROR(IF(INDEX(tProdutos[Desconto homologado],MATCH(tItens[[#This Row],[Produto]],tProdutos[Produto],0))="",DescontoPadrao,INDEX(tProdutos[Desconto homologado],MATCH(tItens[[#This Row],[Produto]],tProdutos[Produto],0))),DescontoPadrao)</f>
        <v>0.33518005540166201</v>
      </c>
      <c r="M8907" s="12">
        <f>tItens[[#This Row],[Valor]]*(1-tItens[[#This Row],[Desconto]])</f>
        <v>179476.45429362883</v>
      </c>
      <c r="N8907" t="str">
        <f>IFERROR(INDEX(tProdutos[Foco],MATCH(tItens[[#This Row],[Produto]],tProdutos[Produto],0)),"Não")</f>
        <v>Não</v>
      </c>
      <c r="O8907" t="str">
        <f>IFERROR(INDEX(tEditais[SRP],MATCH(tItens[[#This Row],[Edital]],tEditais[Edital],0)),"Não")</f>
        <v>Não</v>
      </c>
      <c r="P8907" s="4">
        <f>IF(COUNTIFS(INDEX(tItens[Edital],1):tItens[[#This Row],[Edital]],tItens[[#This Row],[Edital]],INDEX(tItens[Produto],1):tItens[[#This Row],[Produto]],tItens[[#This Row],[Produto]])=1,1,0)</f>
        <v>0</v>
      </c>
    </row>
    <row r="8908" spans="1:16" x14ac:dyDescent="0.25">
      <c r="A8908" t="s">
        <v>3069</v>
      </c>
      <c r="B8908">
        <v>41</v>
      </c>
      <c r="C8908" t="s">
        <v>11258</v>
      </c>
      <c r="D8908" t="s">
        <v>389</v>
      </c>
      <c r="E8908" s="13">
        <v>5000</v>
      </c>
      <c r="F8908" s="12">
        <v>7.71</v>
      </c>
      <c r="G8908" t="str">
        <f>IFERROR(INDEX(tEditais[Órgão],MATCH(tItens[[#This Row],[Edital]],tEditais[Edital],0)),"")</f>
        <v>MUNICIPIO DE MARIAPOLIS</v>
      </c>
      <c r="H8908" t="str">
        <f>IFERROR(INDEX(tEditais[UF],MATCH(tItens[[#This Row],[Edital]],tEditais[Edital],0)),"")</f>
        <v>SP</v>
      </c>
      <c r="I8908" s="11">
        <f>IFERROR(INDEX(tEditais[Encerramento],MATCH(tItens[[#This Row],[Edital]],tEditais[Edital],0)),"")</f>
        <v>46311.347222222219</v>
      </c>
      <c r="J8908" t="str">
        <f>IFERROR(INDEX(tProdutos[Classe],MATCH(tItens[[#This Row],[Produto]],tProdutos[Produto],0)),"produto não cadastrado")</f>
        <v>FORA</v>
      </c>
      <c r="K8908" s="12">
        <f>tItens[[#This Row],[Qtd]]*tItens[[#This Row],[Vlr unit]]</f>
        <v>38550</v>
      </c>
      <c r="L8908" s="6">
        <f>IFERROR(IF(INDEX(tProdutos[Desconto homologado],MATCH(tItens[[#This Row],[Produto]],tProdutos[Produto],0))="",DescontoPadrao,INDEX(tProdutos[Desconto homologado],MATCH(tItens[[#This Row],[Produto]],tProdutos[Produto],0))),DescontoPadrao)</f>
        <v>0.39163140573577798</v>
      </c>
      <c r="M8908" s="12">
        <f>tItens[[#This Row],[Valor]]*(1-tItens[[#This Row],[Desconto]])</f>
        <v>23452.60930888576</v>
      </c>
      <c r="N8908" t="str">
        <f>IFERROR(INDEX(tProdutos[Foco],MATCH(tItens[[#This Row],[Produto]],tProdutos[Produto],0)),"Não")</f>
        <v>Não</v>
      </c>
      <c r="O8908" t="str">
        <f>IFERROR(INDEX(tEditais[SRP],MATCH(tItens[[#This Row],[Edital]],tEditais[Edital],0)),"Não")</f>
        <v>Não</v>
      </c>
      <c r="P8908" s="4">
        <f>IF(COUNTIFS(INDEX(tItens[Edital],1):tItens[[#This Row],[Edital]],tItens[[#This Row],[Edital]],INDEX(tItens[Produto],1):tItens[[#This Row],[Produto]],tItens[[#This Row],[Produto]])=1,1,0)</f>
        <v>1</v>
      </c>
    </row>
    <row r="8909" spans="1:16" x14ac:dyDescent="0.25">
      <c r="A8909" t="s">
        <v>3069</v>
      </c>
      <c r="B8909">
        <v>42</v>
      </c>
      <c r="C8909" t="s">
        <v>11259</v>
      </c>
      <c r="D8909" t="s">
        <v>389</v>
      </c>
      <c r="E8909" s="13">
        <v>5000</v>
      </c>
      <c r="F8909" s="12">
        <v>6.4</v>
      </c>
      <c r="G8909" t="str">
        <f>IFERROR(INDEX(tEditais[Órgão],MATCH(tItens[[#This Row],[Edital]],tEditais[Edital],0)),"")</f>
        <v>MUNICIPIO DE MARIAPOLIS</v>
      </c>
      <c r="H8909" t="str">
        <f>IFERROR(INDEX(tEditais[UF],MATCH(tItens[[#This Row],[Edital]],tEditais[Edital],0)),"")</f>
        <v>SP</v>
      </c>
      <c r="I8909" s="11">
        <f>IFERROR(INDEX(tEditais[Encerramento],MATCH(tItens[[#This Row],[Edital]],tEditais[Edital],0)),"")</f>
        <v>46311.347222222219</v>
      </c>
      <c r="J8909" t="str">
        <f>IFERROR(INDEX(tProdutos[Classe],MATCH(tItens[[#This Row],[Produto]],tProdutos[Produto],0)),"produto não cadastrado")</f>
        <v>FORA</v>
      </c>
      <c r="K8909" s="12">
        <f>tItens[[#This Row],[Qtd]]*tItens[[#This Row],[Vlr unit]]</f>
        <v>32000</v>
      </c>
      <c r="L8909" s="6">
        <f>IFERROR(IF(INDEX(tProdutos[Desconto homologado],MATCH(tItens[[#This Row],[Produto]],tProdutos[Produto],0))="",DescontoPadrao,INDEX(tProdutos[Desconto homologado],MATCH(tItens[[#This Row],[Produto]],tProdutos[Produto],0))),DescontoPadrao)</f>
        <v>0.39163140573577798</v>
      </c>
      <c r="M8909" s="12">
        <f>tItens[[#This Row],[Valor]]*(1-tItens[[#This Row],[Desconto]])</f>
        <v>19467.795016455108</v>
      </c>
      <c r="N8909" t="str">
        <f>IFERROR(INDEX(tProdutos[Foco],MATCH(tItens[[#This Row],[Produto]],tProdutos[Produto],0)),"Não")</f>
        <v>Não</v>
      </c>
      <c r="O8909" t="str">
        <f>IFERROR(INDEX(tEditais[SRP],MATCH(tItens[[#This Row],[Edital]],tEditais[Edital],0)),"Não")</f>
        <v>Não</v>
      </c>
      <c r="P8909" s="4">
        <f>IF(COUNTIFS(INDEX(tItens[Edital],1):tItens[[#This Row],[Edital]],tItens[[#This Row],[Edital]],INDEX(tItens[Produto],1):tItens[[#This Row],[Produto]],tItens[[#This Row],[Produto]])=1,1,0)</f>
        <v>0</v>
      </c>
    </row>
    <row r="8910" spans="1:16" x14ac:dyDescent="0.25">
      <c r="A8910" t="s">
        <v>3069</v>
      </c>
      <c r="B8910">
        <v>43</v>
      </c>
      <c r="C8910" t="s">
        <v>11260</v>
      </c>
      <c r="D8910" t="s">
        <v>389</v>
      </c>
      <c r="E8910" s="13">
        <v>5000</v>
      </c>
      <c r="F8910" s="12">
        <v>7.18</v>
      </c>
      <c r="G8910" t="str">
        <f>IFERROR(INDEX(tEditais[Órgão],MATCH(tItens[[#This Row],[Edital]],tEditais[Edital],0)),"")</f>
        <v>MUNICIPIO DE MARIAPOLIS</v>
      </c>
      <c r="H8910" t="str">
        <f>IFERROR(INDEX(tEditais[UF],MATCH(tItens[[#This Row],[Edital]],tEditais[Edital],0)),"")</f>
        <v>SP</v>
      </c>
      <c r="I8910" s="11">
        <f>IFERROR(INDEX(tEditais[Encerramento],MATCH(tItens[[#This Row],[Edital]],tEditais[Edital],0)),"")</f>
        <v>46311.347222222219</v>
      </c>
      <c r="J8910" t="str">
        <f>IFERROR(INDEX(tProdutos[Classe],MATCH(tItens[[#This Row],[Produto]],tProdutos[Produto],0)),"produto não cadastrado")</f>
        <v>FORA</v>
      </c>
      <c r="K8910" s="12">
        <f>tItens[[#This Row],[Qtd]]*tItens[[#This Row],[Vlr unit]]</f>
        <v>35900</v>
      </c>
      <c r="L8910" s="6">
        <f>IFERROR(IF(INDEX(tProdutos[Desconto homologado],MATCH(tItens[[#This Row],[Produto]],tProdutos[Produto],0))="",DescontoPadrao,INDEX(tProdutos[Desconto homologado],MATCH(tItens[[#This Row],[Produto]],tProdutos[Produto],0))),DescontoPadrao)</f>
        <v>0.39163140573577798</v>
      </c>
      <c r="M8910" s="12">
        <f>tItens[[#This Row],[Valor]]*(1-tItens[[#This Row],[Desconto]])</f>
        <v>21840.432534085572</v>
      </c>
      <c r="N8910" t="str">
        <f>IFERROR(INDEX(tProdutos[Foco],MATCH(tItens[[#This Row],[Produto]],tProdutos[Produto],0)),"Não")</f>
        <v>Não</v>
      </c>
      <c r="O8910" t="str">
        <f>IFERROR(INDEX(tEditais[SRP],MATCH(tItens[[#This Row],[Edital]],tEditais[Edital],0)),"Não")</f>
        <v>Não</v>
      </c>
      <c r="P8910" s="4">
        <f>IF(COUNTIFS(INDEX(tItens[Edital],1):tItens[[#This Row],[Edital]],tItens[[#This Row],[Edital]],INDEX(tItens[Produto],1):tItens[[#This Row],[Produto]],tItens[[#This Row],[Produto]])=1,1,0)</f>
        <v>0</v>
      </c>
    </row>
    <row r="8911" spans="1:16" x14ac:dyDescent="0.25">
      <c r="A8911" t="s">
        <v>3069</v>
      </c>
      <c r="B8911">
        <v>44</v>
      </c>
      <c r="C8911" t="s">
        <v>11261</v>
      </c>
      <c r="D8911" t="s">
        <v>389</v>
      </c>
      <c r="E8911" s="13">
        <v>5000</v>
      </c>
      <c r="F8911" s="12">
        <v>6.4</v>
      </c>
      <c r="G8911" t="str">
        <f>IFERROR(INDEX(tEditais[Órgão],MATCH(tItens[[#This Row],[Edital]],tEditais[Edital],0)),"")</f>
        <v>MUNICIPIO DE MARIAPOLIS</v>
      </c>
      <c r="H8911" t="str">
        <f>IFERROR(INDEX(tEditais[UF],MATCH(tItens[[#This Row],[Edital]],tEditais[Edital],0)),"")</f>
        <v>SP</v>
      </c>
      <c r="I8911" s="11">
        <f>IFERROR(INDEX(tEditais[Encerramento],MATCH(tItens[[#This Row],[Edital]],tEditais[Edital],0)),"")</f>
        <v>46311.347222222219</v>
      </c>
      <c r="J8911" t="str">
        <f>IFERROR(INDEX(tProdutos[Classe],MATCH(tItens[[#This Row],[Produto]],tProdutos[Produto],0)),"produto não cadastrado")</f>
        <v>FORA</v>
      </c>
      <c r="K8911" s="12">
        <f>tItens[[#This Row],[Qtd]]*tItens[[#This Row],[Vlr unit]]</f>
        <v>32000</v>
      </c>
      <c r="L8911" s="6">
        <f>IFERROR(IF(INDEX(tProdutos[Desconto homologado],MATCH(tItens[[#This Row],[Produto]],tProdutos[Produto],0))="",DescontoPadrao,INDEX(tProdutos[Desconto homologado],MATCH(tItens[[#This Row],[Produto]],tProdutos[Produto],0))),DescontoPadrao)</f>
        <v>0.39163140573577798</v>
      </c>
      <c r="M8911" s="12">
        <f>tItens[[#This Row],[Valor]]*(1-tItens[[#This Row],[Desconto]])</f>
        <v>19467.795016455108</v>
      </c>
      <c r="N8911" t="str">
        <f>IFERROR(INDEX(tProdutos[Foco],MATCH(tItens[[#This Row],[Produto]],tProdutos[Produto],0)),"Não")</f>
        <v>Não</v>
      </c>
      <c r="O8911" t="str">
        <f>IFERROR(INDEX(tEditais[SRP],MATCH(tItens[[#This Row],[Edital]],tEditais[Edital],0)),"Não")</f>
        <v>Não</v>
      </c>
      <c r="P8911" s="4">
        <f>IF(COUNTIFS(INDEX(tItens[Edital],1):tItens[[#This Row],[Edital]],tItens[[#This Row],[Edital]],INDEX(tItens[Produto],1):tItens[[#This Row],[Produto]],tItens[[#This Row],[Produto]])=1,1,0)</f>
        <v>0</v>
      </c>
    </row>
    <row r="8912" spans="1:16" x14ac:dyDescent="0.25">
      <c r="A8912" t="s">
        <v>3069</v>
      </c>
      <c r="B8912">
        <v>45</v>
      </c>
      <c r="C8912" t="s">
        <v>11262</v>
      </c>
      <c r="D8912" t="s">
        <v>389</v>
      </c>
      <c r="E8912" s="13">
        <v>5000</v>
      </c>
      <c r="F8912" s="12">
        <v>6.4</v>
      </c>
      <c r="G8912" t="str">
        <f>IFERROR(INDEX(tEditais[Órgão],MATCH(tItens[[#This Row],[Edital]],tEditais[Edital],0)),"")</f>
        <v>MUNICIPIO DE MARIAPOLIS</v>
      </c>
      <c r="H8912" t="str">
        <f>IFERROR(INDEX(tEditais[UF],MATCH(tItens[[#This Row],[Edital]],tEditais[Edital],0)),"")</f>
        <v>SP</v>
      </c>
      <c r="I8912" s="11">
        <f>IFERROR(INDEX(tEditais[Encerramento],MATCH(tItens[[#This Row],[Edital]],tEditais[Edital],0)),"")</f>
        <v>46311.347222222219</v>
      </c>
      <c r="J8912" t="str">
        <f>IFERROR(INDEX(tProdutos[Classe],MATCH(tItens[[#This Row],[Produto]],tProdutos[Produto],0)),"produto não cadastrado")</f>
        <v>FORA</v>
      </c>
      <c r="K8912" s="12">
        <f>tItens[[#This Row],[Qtd]]*tItens[[#This Row],[Vlr unit]]</f>
        <v>32000</v>
      </c>
      <c r="L8912" s="6">
        <f>IFERROR(IF(INDEX(tProdutos[Desconto homologado],MATCH(tItens[[#This Row],[Produto]],tProdutos[Produto],0))="",DescontoPadrao,INDEX(tProdutos[Desconto homologado],MATCH(tItens[[#This Row],[Produto]],tProdutos[Produto],0))),DescontoPadrao)</f>
        <v>0.39163140573577798</v>
      </c>
      <c r="M8912" s="12">
        <f>tItens[[#This Row],[Valor]]*(1-tItens[[#This Row],[Desconto]])</f>
        <v>19467.795016455108</v>
      </c>
      <c r="N8912" t="str">
        <f>IFERROR(INDEX(tProdutos[Foco],MATCH(tItens[[#This Row],[Produto]],tProdutos[Produto],0)),"Não")</f>
        <v>Não</v>
      </c>
      <c r="O8912" t="str">
        <f>IFERROR(INDEX(tEditais[SRP],MATCH(tItens[[#This Row],[Edital]],tEditais[Edital],0)),"Não")</f>
        <v>Não</v>
      </c>
      <c r="P8912" s="4">
        <f>IF(COUNTIFS(INDEX(tItens[Edital],1):tItens[[#This Row],[Edital]],tItens[[#This Row],[Edital]],INDEX(tItens[Produto],1):tItens[[#This Row],[Produto]],tItens[[#This Row],[Produto]])=1,1,0)</f>
        <v>0</v>
      </c>
    </row>
    <row r="8913" spans="1:16" x14ac:dyDescent="0.25">
      <c r="A8913" t="s">
        <v>3069</v>
      </c>
      <c r="B8913">
        <v>46</v>
      </c>
      <c r="C8913" t="s">
        <v>11263</v>
      </c>
      <c r="D8913" t="s">
        <v>389</v>
      </c>
      <c r="E8913" s="13">
        <v>3750</v>
      </c>
      <c r="F8913" s="12">
        <v>14.24</v>
      </c>
      <c r="G8913" t="str">
        <f>IFERROR(INDEX(tEditais[Órgão],MATCH(tItens[[#This Row],[Edital]],tEditais[Edital],0)),"")</f>
        <v>MUNICIPIO DE MARIAPOLIS</v>
      </c>
      <c r="H8913" t="str">
        <f>IFERROR(INDEX(tEditais[UF],MATCH(tItens[[#This Row],[Edital]],tEditais[Edital],0)),"")</f>
        <v>SP</v>
      </c>
      <c r="I8913" s="11">
        <f>IFERROR(INDEX(tEditais[Encerramento],MATCH(tItens[[#This Row],[Edital]],tEditais[Edital],0)),"")</f>
        <v>46311.347222222219</v>
      </c>
      <c r="J8913" t="str">
        <f>IFERROR(INDEX(tProdutos[Classe],MATCH(tItens[[#This Row],[Produto]],tProdutos[Produto],0)),"produto não cadastrado")</f>
        <v>FORA</v>
      </c>
      <c r="K8913" s="12">
        <f>tItens[[#This Row],[Qtd]]*tItens[[#This Row],[Vlr unit]]</f>
        <v>53400</v>
      </c>
      <c r="L8913" s="6">
        <f>IFERROR(IF(INDEX(tProdutos[Desconto homologado],MATCH(tItens[[#This Row],[Produto]],tProdutos[Produto],0))="",DescontoPadrao,INDEX(tProdutos[Desconto homologado],MATCH(tItens[[#This Row],[Produto]],tProdutos[Produto],0))),DescontoPadrao)</f>
        <v>0.39163140573577798</v>
      </c>
      <c r="M8913" s="12">
        <f>tItens[[#This Row],[Valor]]*(1-tItens[[#This Row],[Desconto]])</f>
        <v>32486.882933709458</v>
      </c>
      <c r="N8913" t="str">
        <f>IFERROR(INDEX(tProdutos[Foco],MATCH(tItens[[#This Row],[Produto]],tProdutos[Produto],0)),"Não")</f>
        <v>Não</v>
      </c>
      <c r="O8913" t="str">
        <f>IFERROR(INDEX(tEditais[SRP],MATCH(tItens[[#This Row],[Edital]],tEditais[Edital],0)),"Não")</f>
        <v>Não</v>
      </c>
      <c r="P8913" s="4">
        <f>IF(COUNTIFS(INDEX(tItens[Edital],1):tItens[[#This Row],[Edital]],tItens[[#This Row],[Edital]],INDEX(tItens[Produto],1):tItens[[#This Row],[Produto]],tItens[[#This Row],[Produto]])=1,1,0)</f>
        <v>0</v>
      </c>
    </row>
    <row r="8914" spans="1:16" x14ac:dyDescent="0.25">
      <c r="A8914" t="s">
        <v>3069</v>
      </c>
      <c r="B8914">
        <v>47</v>
      </c>
      <c r="C8914" t="s">
        <v>11264</v>
      </c>
      <c r="D8914" t="s">
        <v>389</v>
      </c>
      <c r="E8914" s="13">
        <v>4000</v>
      </c>
      <c r="F8914" s="12">
        <v>11.62</v>
      </c>
      <c r="G8914" t="str">
        <f>IFERROR(INDEX(tEditais[Órgão],MATCH(tItens[[#This Row],[Edital]],tEditais[Edital],0)),"")</f>
        <v>MUNICIPIO DE MARIAPOLIS</v>
      </c>
      <c r="H8914" t="str">
        <f>IFERROR(INDEX(tEditais[UF],MATCH(tItens[[#This Row],[Edital]],tEditais[Edital],0)),"")</f>
        <v>SP</v>
      </c>
      <c r="I8914" s="11">
        <f>IFERROR(INDEX(tEditais[Encerramento],MATCH(tItens[[#This Row],[Edital]],tEditais[Edital],0)),"")</f>
        <v>46311.347222222219</v>
      </c>
      <c r="J8914" t="str">
        <f>IFERROR(INDEX(tProdutos[Classe],MATCH(tItens[[#This Row],[Produto]],tProdutos[Produto],0)),"produto não cadastrado")</f>
        <v>FORA</v>
      </c>
      <c r="K8914" s="12">
        <f>tItens[[#This Row],[Qtd]]*tItens[[#This Row],[Vlr unit]]</f>
        <v>46480</v>
      </c>
      <c r="L8914" s="6">
        <f>IFERROR(IF(INDEX(tProdutos[Desconto homologado],MATCH(tItens[[#This Row],[Produto]],tProdutos[Produto],0))="",DescontoPadrao,INDEX(tProdutos[Desconto homologado],MATCH(tItens[[#This Row],[Produto]],tProdutos[Produto],0))),DescontoPadrao)</f>
        <v>0.39163140573577798</v>
      </c>
      <c r="M8914" s="12">
        <f>tItens[[#This Row],[Valor]]*(1-tItens[[#This Row],[Desconto]])</f>
        <v>28276.972261401042</v>
      </c>
      <c r="N8914" t="str">
        <f>IFERROR(INDEX(tProdutos[Foco],MATCH(tItens[[#This Row],[Produto]],tProdutos[Produto],0)),"Não")</f>
        <v>Não</v>
      </c>
      <c r="O8914" t="str">
        <f>IFERROR(INDEX(tEditais[SRP],MATCH(tItens[[#This Row],[Edital]],tEditais[Edital],0)),"Não")</f>
        <v>Não</v>
      </c>
      <c r="P8914" s="4">
        <f>IF(COUNTIFS(INDEX(tItens[Edital],1):tItens[[#This Row],[Edital]],tItens[[#This Row],[Edital]],INDEX(tItens[Produto],1):tItens[[#This Row],[Produto]],tItens[[#This Row],[Produto]])=1,1,0)</f>
        <v>0</v>
      </c>
    </row>
    <row r="8915" spans="1:16" x14ac:dyDescent="0.25">
      <c r="A8915" t="s">
        <v>3069</v>
      </c>
      <c r="B8915">
        <v>48</v>
      </c>
      <c r="C8915" t="s">
        <v>11265</v>
      </c>
      <c r="D8915" t="s">
        <v>389</v>
      </c>
      <c r="E8915" s="13">
        <v>3750</v>
      </c>
      <c r="F8915" s="12">
        <v>12.93</v>
      </c>
      <c r="G8915" t="str">
        <f>IFERROR(INDEX(tEditais[Órgão],MATCH(tItens[[#This Row],[Edital]],tEditais[Edital],0)),"")</f>
        <v>MUNICIPIO DE MARIAPOLIS</v>
      </c>
      <c r="H8915" t="str">
        <f>IFERROR(INDEX(tEditais[UF],MATCH(tItens[[#This Row],[Edital]],tEditais[Edital],0)),"")</f>
        <v>SP</v>
      </c>
      <c r="I8915" s="11">
        <f>IFERROR(INDEX(tEditais[Encerramento],MATCH(tItens[[#This Row],[Edital]],tEditais[Edital],0)),"")</f>
        <v>46311.347222222219</v>
      </c>
      <c r="J8915" t="str">
        <f>IFERROR(INDEX(tProdutos[Classe],MATCH(tItens[[#This Row],[Produto]],tProdutos[Produto],0)),"produto não cadastrado")</f>
        <v>FORA</v>
      </c>
      <c r="K8915" s="12">
        <f>tItens[[#This Row],[Qtd]]*tItens[[#This Row],[Vlr unit]]</f>
        <v>48487.5</v>
      </c>
      <c r="L8915" s="6">
        <f>IFERROR(IF(INDEX(tProdutos[Desconto homologado],MATCH(tItens[[#This Row],[Produto]],tProdutos[Produto],0))="",DescontoPadrao,INDEX(tProdutos[Desconto homologado],MATCH(tItens[[#This Row],[Produto]],tProdutos[Produto],0))),DescontoPadrao)</f>
        <v>0.39163140573577798</v>
      </c>
      <c r="M8915" s="12">
        <f>tItens[[#This Row],[Valor]]*(1-tItens[[#This Row],[Desconto]])</f>
        <v>29498.272214386467</v>
      </c>
      <c r="N8915" t="str">
        <f>IFERROR(INDEX(tProdutos[Foco],MATCH(tItens[[#This Row],[Produto]],tProdutos[Produto],0)),"Não")</f>
        <v>Não</v>
      </c>
      <c r="O8915" t="str">
        <f>IFERROR(INDEX(tEditais[SRP],MATCH(tItens[[#This Row],[Edital]],tEditais[Edital],0)),"Não")</f>
        <v>Não</v>
      </c>
      <c r="P8915" s="4">
        <f>IF(COUNTIFS(INDEX(tItens[Edital],1):tItens[[#This Row],[Edital]],tItens[[#This Row],[Edital]],INDEX(tItens[Produto],1):tItens[[#This Row],[Produto]],tItens[[#This Row],[Produto]])=1,1,0)</f>
        <v>0</v>
      </c>
    </row>
    <row r="8916" spans="1:16" x14ac:dyDescent="0.25">
      <c r="A8916" t="s">
        <v>3069</v>
      </c>
      <c r="B8916">
        <v>49</v>
      </c>
      <c r="C8916" t="s">
        <v>11266</v>
      </c>
      <c r="D8916" t="s">
        <v>389</v>
      </c>
      <c r="E8916" s="13">
        <v>3750</v>
      </c>
      <c r="F8916" s="12">
        <v>11.62</v>
      </c>
      <c r="G8916" t="str">
        <f>IFERROR(INDEX(tEditais[Órgão],MATCH(tItens[[#This Row],[Edital]],tEditais[Edital],0)),"")</f>
        <v>MUNICIPIO DE MARIAPOLIS</v>
      </c>
      <c r="H8916" t="str">
        <f>IFERROR(INDEX(tEditais[UF],MATCH(tItens[[#This Row],[Edital]],tEditais[Edital],0)),"")</f>
        <v>SP</v>
      </c>
      <c r="I8916" s="11">
        <f>IFERROR(INDEX(tEditais[Encerramento],MATCH(tItens[[#This Row],[Edital]],tEditais[Edital],0)),"")</f>
        <v>46311.347222222219</v>
      </c>
      <c r="J8916" t="str">
        <f>IFERROR(INDEX(tProdutos[Classe],MATCH(tItens[[#This Row],[Produto]],tProdutos[Produto],0)),"produto não cadastrado")</f>
        <v>FORA</v>
      </c>
      <c r="K8916" s="12">
        <f>tItens[[#This Row],[Qtd]]*tItens[[#This Row],[Vlr unit]]</f>
        <v>43575</v>
      </c>
      <c r="L8916" s="6">
        <f>IFERROR(IF(INDEX(tProdutos[Desconto homologado],MATCH(tItens[[#This Row],[Produto]],tProdutos[Produto],0))="",DescontoPadrao,INDEX(tProdutos[Desconto homologado],MATCH(tItens[[#This Row],[Produto]],tProdutos[Produto],0))),DescontoPadrao)</f>
        <v>0.39163140573577798</v>
      </c>
      <c r="M8916" s="12">
        <f>tItens[[#This Row],[Valor]]*(1-tItens[[#This Row],[Desconto]])</f>
        <v>26509.661495063476</v>
      </c>
      <c r="N8916" t="str">
        <f>IFERROR(INDEX(tProdutos[Foco],MATCH(tItens[[#This Row],[Produto]],tProdutos[Produto],0)),"Não")</f>
        <v>Não</v>
      </c>
      <c r="O8916" t="str">
        <f>IFERROR(INDEX(tEditais[SRP],MATCH(tItens[[#This Row],[Edital]],tEditais[Edital],0)),"Não")</f>
        <v>Não</v>
      </c>
      <c r="P8916" s="4">
        <f>IF(COUNTIFS(INDEX(tItens[Edital],1):tItens[[#This Row],[Edital]],tItens[[#This Row],[Edital]],INDEX(tItens[Produto],1):tItens[[#This Row],[Produto]],tItens[[#This Row],[Produto]])=1,1,0)</f>
        <v>0</v>
      </c>
    </row>
    <row r="8917" spans="1:16" x14ac:dyDescent="0.25">
      <c r="A8917" t="s">
        <v>3069</v>
      </c>
      <c r="B8917">
        <v>50</v>
      </c>
      <c r="C8917" t="s">
        <v>11267</v>
      </c>
      <c r="D8917" t="s">
        <v>389</v>
      </c>
      <c r="E8917" s="13">
        <v>3750</v>
      </c>
      <c r="F8917" s="12">
        <v>11.62</v>
      </c>
      <c r="G8917" t="str">
        <f>IFERROR(INDEX(tEditais[Órgão],MATCH(tItens[[#This Row],[Edital]],tEditais[Edital],0)),"")</f>
        <v>MUNICIPIO DE MARIAPOLIS</v>
      </c>
      <c r="H8917" t="str">
        <f>IFERROR(INDEX(tEditais[UF],MATCH(tItens[[#This Row],[Edital]],tEditais[Edital],0)),"")</f>
        <v>SP</v>
      </c>
      <c r="I8917" s="11">
        <f>IFERROR(INDEX(tEditais[Encerramento],MATCH(tItens[[#This Row],[Edital]],tEditais[Edital],0)),"")</f>
        <v>46311.347222222219</v>
      </c>
      <c r="J8917" t="str">
        <f>IFERROR(INDEX(tProdutos[Classe],MATCH(tItens[[#This Row],[Produto]],tProdutos[Produto],0)),"produto não cadastrado")</f>
        <v>FORA</v>
      </c>
      <c r="K8917" s="12">
        <f>tItens[[#This Row],[Qtd]]*tItens[[#This Row],[Vlr unit]]</f>
        <v>43575</v>
      </c>
      <c r="L8917" s="6">
        <f>IFERROR(IF(INDEX(tProdutos[Desconto homologado],MATCH(tItens[[#This Row],[Produto]],tProdutos[Produto],0))="",DescontoPadrao,INDEX(tProdutos[Desconto homologado],MATCH(tItens[[#This Row],[Produto]],tProdutos[Produto],0))),DescontoPadrao)</f>
        <v>0.39163140573577798</v>
      </c>
      <c r="M8917" s="12">
        <f>tItens[[#This Row],[Valor]]*(1-tItens[[#This Row],[Desconto]])</f>
        <v>26509.661495063476</v>
      </c>
      <c r="N8917" t="str">
        <f>IFERROR(INDEX(tProdutos[Foco],MATCH(tItens[[#This Row],[Produto]],tProdutos[Produto],0)),"Não")</f>
        <v>Não</v>
      </c>
      <c r="O8917" t="str">
        <f>IFERROR(INDEX(tEditais[SRP],MATCH(tItens[[#This Row],[Edital]],tEditais[Edital],0)),"Não")</f>
        <v>Não</v>
      </c>
      <c r="P8917" s="4">
        <f>IF(COUNTIFS(INDEX(tItens[Edital],1):tItens[[#This Row],[Edital]],tItens[[#This Row],[Edital]],INDEX(tItens[Produto],1):tItens[[#This Row],[Produto]],tItens[[#This Row],[Produto]])=1,1,0)</f>
        <v>0</v>
      </c>
    </row>
    <row r="8918" spans="1:16" x14ac:dyDescent="0.25">
      <c r="A8918" t="s">
        <v>3069</v>
      </c>
      <c r="B8918">
        <v>51</v>
      </c>
      <c r="C8918" t="s">
        <v>11268</v>
      </c>
      <c r="D8918" t="s">
        <v>373</v>
      </c>
      <c r="E8918" s="13">
        <v>100</v>
      </c>
      <c r="F8918" s="12">
        <v>45.71</v>
      </c>
      <c r="G8918" t="str">
        <f>IFERROR(INDEX(tEditais[Órgão],MATCH(tItens[[#This Row],[Edital]],tEditais[Edital],0)),"")</f>
        <v>MUNICIPIO DE MARIAPOLIS</v>
      </c>
      <c r="H8918" t="str">
        <f>IFERROR(INDEX(tEditais[UF],MATCH(tItens[[#This Row],[Edital]],tEditais[Edital],0)),"")</f>
        <v>SP</v>
      </c>
      <c r="I8918" s="11">
        <f>IFERROR(INDEX(tEditais[Encerramento],MATCH(tItens[[#This Row],[Edital]],tEditais[Edital],0)),"")</f>
        <v>46311.347222222219</v>
      </c>
      <c r="J8918" t="str">
        <f>IFERROR(INDEX(tProdutos[Classe],MATCH(tItens[[#This Row],[Produto]],tProdutos[Produto],0)),"produto não cadastrado")</f>
        <v>FORA</v>
      </c>
      <c r="K8918" s="12">
        <f>tItens[[#This Row],[Qtd]]*tItens[[#This Row],[Vlr unit]]</f>
        <v>4571</v>
      </c>
      <c r="L8918" s="6">
        <f>IFERROR(IF(INDEX(tProdutos[Desconto homologado],MATCH(tItens[[#This Row],[Produto]],tProdutos[Produto],0))="",DescontoPadrao,INDEX(tProdutos[Desconto homologado],MATCH(tItens[[#This Row],[Produto]],tProdutos[Produto],0))),DescontoPadrao)</f>
        <v>0.340132997843278</v>
      </c>
      <c r="M8918" s="12">
        <f>tItens[[#This Row],[Valor]]*(1-tItens[[#This Row],[Desconto]])</f>
        <v>3016.2520668583761</v>
      </c>
      <c r="N8918" t="str">
        <f>IFERROR(INDEX(tProdutos[Foco],MATCH(tItens[[#This Row],[Produto]],tProdutos[Produto],0)),"Não")</f>
        <v>Não</v>
      </c>
      <c r="O8918" t="str">
        <f>IFERROR(INDEX(tEditais[SRP],MATCH(tItens[[#This Row],[Edital]],tEditais[Edital],0)),"Não")</f>
        <v>Não</v>
      </c>
      <c r="P8918" s="4">
        <f>IF(COUNTIFS(INDEX(tItens[Edital],1):tItens[[#This Row],[Edital]],tItens[[#This Row],[Edital]],INDEX(tItens[Produto],1):tItens[[#This Row],[Produto]],tItens[[#This Row],[Produto]])=1,1,0)</f>
        <v>1</v>
      </c>
    </row>
    <row r="8919" spans="1:16" x14ac:dyDescent="0.25">
      <c r="A8919" t="s">
        <v>3069</v>
      </c>
      <c r="B8919">
        <v>60</v>
      </c>
      <c r="C8919" t="s">
        <v>11269</v>
      </c>
      <c r="D8919" t="s">
        <v>62</v>
      </c>
      <c r="E8919" s="13">
        <v>200</v>
      </c>
      <c r="F8919" s="12">
        <v>12.93</v>
      </c>
      <c r="G8919" t="str">
        <f>IFERROR(INDEX(tEditais[Órgão],MATCH(tItens[[#This Row],[Edital]],tEditais[Edital],0)),"")</f>
        <v>MUNICIPIO DE MARIAPOLIS</v>
      </c>
      <c r="H8919" t="str">
        <f>IFERROR(INDEX(tEditais[UF],MATCH(tItens[[#This Row],[Edital]],tEditais[Edital],0)),"")</f>
        <v>SP</v>
      </c>
      <c r="I8919" s="11">
        <f>IFERROR(INDEX(tEditais[Encerramento],MATCH(tItens[[#This Row],[Edital]],tEditais[Edital],0)),"")</f>
        <v>46311.347222222219</v>
      </c>
      <c r="J8919" t="str">
        <f>IFERROR(INDEX(tProdutos[Classe],MATCH(tItens[[#This Row],[Produto]],tProdutos[Produto],0)),"produto não cadastrado")</f>
        <v>NÚCLEO</v>
      </c>
      <c r="K8919" s="12">
        <f>tItens[[#This Row],[Qtd]]*tItens[[#This Row],[Vlr unit]]</f>
        <v>2586</v>
      </c>
      <c r="L8919" s="6">
        <f>IFERROR(IF(INDEX(tProdutos[Desconto homologado],MATCH(tItens[[#This Row],[Produto]],tProdutos[Produto],0))="",DescontoPadrao,INDEX(tProdutos[Desconto homologado],MATCH(tItens[[#This Row],[Produto]],tProdutos[Produto],0))),DescontoPadrao)</f>
        <v>0.3</v>
      </c>
      <c r="M8919" s="12">
        <f>tItens[[#This Row],[Valor]]*(1-tItens[[#This Row],[Desconto]])</f>
        <v>1810.1999999999998</v>
      </c>
      <c r="N8919" t="str">
        <f>IFERROR(INDEX(tProdutos[Foco],MATCH(tItens[[#This Row],[Produto]],tProdutos[Produto],0)),"Não")</f>
        <v>Sim</v>
      </c>
      <c r="O8919" t="str">
        <f>IFERROR(INDEX(tEditais[SRP],MATCH(tItens[[#This Row],[Edital]],tEditais[Edital],0)),"Não")</f>
        <v>Não</v>
      </c>
      <c r="P8919" s="4">
        <f>IF(COUNTIFS(INDEX(tItens[Edital],1):tItens[[#This Row],[Edital]],tItens[[#This Row],[Edital]],INDEX(tItens[Produto],1):tItens[[#This Row],[Produto]],tItens[[#This Row],[Produto]])=1,1,0)</f>
        <v>1</v>
      </c>
    </row>
    <row r="8920" spans="1:16" x14ac:dyDescent="0.25">
      <c r="A8920" t="s">
        <v>3069</v>
      </c>
      <c r="B8920">
        <v>70</v>
      </c>
      <c r="C8920" t="s">
        <v>11270</v>
      </c>
      <c r="D8920" t="s">
        <v>160</v>
      </c>
      <c r="E8920" s="13">
        <v>500</v>
      </c>
      <c r="F8920" s="12">
        <v>25.99</v>
      </c>
      <c r="G8920" t="str">
        <f>IFERROR(INDEX(tEditais[Órgão],MATCH(tItens[[#This Row],[Edital]],tEditais[Edital],0)),"")</f>
        <v>MUNICIPIO DE MARIAPOLIS</v>
      </c>
      <c r="H8920" t="str">
        <f>IFERROR(INDEX(tEditais[UF],MATCH(tItens[[#This Row],[Edital]],tEditais[Edital],0)),"")</f>
        <v>SP</v>
      </c>
      <c r="I8920" s="11">
        <f>IFERROR(INDEX(tEditais[Encerramento],MATCH(tItens[[#This Row],[Edital]],tEditais[Edital],0)),"")</f>
        <v>46311.347222222219</v>
      </c>
      <c r="J8920" t="str">
        <f>IFERROR(INDEX(tProdutos[Classe],MATCH(tItens[[#This Row],[Produto]],tProdutos[Produto],0)),"produto não cadastrado")</f>
        <v>DISPUTADO</v>
      </c>
      <c r="K8920" s="12">
        <f>tItens[[#This Row],[Qtd]]*tItens[[#This Row],[Vlr unit]]</f>
        <v>12995</v>
      </c>
      <c r="L8920" s="6">
        <f>IFERROR(IF(INDEX(tProdutos[Desconto homologado],MATCH(tItens[[#This Row],[Produto]],tProdutos[Produto],0))="",DescontoPadrao,INDEX(tProdutos[Desconto homologado],MATCH(tItens[[#This Row],[Produto]],tProdutos[Produto],0))),DescontoPadrao)</f>
        <v>0.28000000000000003</v>
      </c>
      <c r="M8920" s="12">
        <f>tItens[[#This Row],[Valor]]*(1-tItens[[#This Row],[Desconto]])</f>
        <v>9356.4</v>
      </c>
      <c r="N8920" t="str">
        <f>IFERROR(INDEX(tProdutos[Foco],MATCH(tItens[[#This Row],[Produto]],tProdutos[Produto],0)),"Não")</f>
        <v>Sim</v>
      </c>
      <c r="O8920" t="str">
        <f>IFERROR(INDEX(tEditais[SRP],MATCH(tItens[[#This Row],[Edital]],tEditais[Edital],0)),"Não")</f>
        <v>Não</v>
      </c>
      <c r="P8920" s="4">
        <f>IF(COUNTIFS(INDEX(tItens[Edital],1):tItens[[#This Row],[Edital]],tItens[[#This Row],[Edital]],INDEX(tItens[Produto],1):tItens[[#This Row],[Produto]],tItens[[#This Row],[Produto]])=1,1,0)</f>
        <v>1</v>
      </c>
    </row>
    <row r="8921" spans="1:16" x14ac:dyDescent="0.25">
      <c r="A8921" t="s">
        <v>3069</v>
      </c>
      <c r="B8921">
        <v>71</v>
      </c>
      <c r="C8921" t="s">
        <v>11271</v>
      </c>
      <c r="D8921" t="s">
        <v>160</v>
      </c>
      <c r="E8921" s="13">
        <v>300</v>
      </c>
      <c r="F8921" s="12">
        <v>32.520000000000003</v>
      </c>
      <c r="G8921" t="str">
        <f>IFERROR(INDEX(tEditais[Órgão],MATCH(tItens[[#This Row],[Edital]],tEditais[Edital],0)),"")</f>
        <v>MUNICIPIO DE MARIAPOLIS</v>
      </c>
      <c r="H8921" t="str">
        <f>IFERROR(INDEX(tEditais[UF],MATCH(tItens[[#This Row],[Edital]],tEditais[Edital],0)),"")</f>
        <v>SP</v>
      </c>
      <c r="I8921" s="11">
        <f>IFERROR(INDEX(tEditais[Encerramento],MATCH(tItens[[#This Row],[Edital]],tEditais[Edital],0)),"")</f>
        <v>46311.347222222219</v>
      </c>
      <c r="J8921" t="str">
        <f>IFERROR(INDEX(tProdutos[Classe],MATCH(tItens[[#This Row],[Produto]],tProdutos[Produto],0)),"produto não cadastrado")</f>
        <v>DISPUTADO</v>
      </c>
      <c r="K8921" s="12">
        <f>tItens[[#This Row],[Qtd]]*tItens[[#This Row],[Vlr unit]]</f>
        <v>9756.0000000000018</v>
      </c>
      <c r="L8921" s="6">
        <f>IFERROR(IF(INDEX(tProdutos[Desconto homologado],MATCH(tItens[[#This Row],[Produto]],tProdutos[Produto],0))="",DescontoPadrao,INDEX(tProdutos[Desconto homologado],MATCH(tItens[[#This Row],[Produto]],tProdutos[Produto],0))),DescontoPadrao)</f>
        <v>0.28000000000000003</v>
      </c>
      <c r="M8921" s="12">
        <f>tItens[[#This Row],[Valor]]*(1-tItens[[#This Row],[Desconto]])</f>
        <v>7024.3200000000006</v>
      </c>
      <c r="N8921" t="str">
        <f>IFERROR(INDEX(tProdutos[Foco],MATCH(tItens[[#This Row],[Produto]],tProdutos[Produto],0)),"Não")</f>
        <v>Sim</v>
      </c>
      <c r="O8921" t="str">
        <f>IFERROR(INDEX(tEditais[SRP],MATCH(tItens[[#This Row],[Edital]],tEditais[Edital],0)),"Não")</f>
        <v>Não</v>
      </c>
      <c r="P8921" s="4">
        <f>IF(COUNTIFS(INDEX(tItens[Edital],1):tItens[[#This Row],[Edital]],tItens[[#This Row],[Edital]],INDEX(tItens[Produto],1):tItens[[#This Row],[Produto]],tItens[[#This Row],[Produto]])=1,1,0)</f>
        <v>0</v>
      </c>
    </row>
    <row r="8922" spans="1:16" x14ac:dyDescent="0.25">
      <c r="A8922" t="s">
        <v>3069</v>
      </c>
      <c r="B8922">
        <v>72</v>
      </c>
      <c r="C8922" t="s">
        <v>11272</v>
      </c>
      <c r="D8922" t="s">
        <v>160</v>
      </c>
      <c r="E8922" s="13">
        <v>300</v>
      </c>
      <c r="F8922" s="12">
        <v>31.22</v>
      </c>
      <c r="G8922" t="str">
        <f>IFERROR(INDEX(tEditais[Órgão],MATCH(tItens[[#This Row],[Edital]],tEditais[Edital],0)),"")</f>
        <v>MUNICIPIO DE MARIAPOLIS</v>
      </c>
      <c r="H8922" t="str">
        <f>IFERROR(INDEX(tEditais[UF],MATCH(tItens[[#This Row],[Edital]],tEditais[Edital],0)),"")</f>
        <v>SP</v>
      </c>
      <c r="I8922" s="11">
        <f>IFERROR(INDEX(tEditais[Encerramento],MATCH(tItens[[#This Row],[Edital]],tEditais[Edital],0)),"")</f>
        <v>46311.347222222219</v>
      </c>
      <c r="J8922" t="str">
        <f>IFERROR(INDEX(tProdutos[Classe],MATCH(tItens[[#This Row],[Produto]],tProdutos[Produto],0)),"produto não cadastrado")</f>
        <v>DISPUTADO</v>
      </c>
      <c r="K8922" s="12">
        <f>tItens[[#This Row],[Qtd]]*tItens[[#This Row],[Vlr unit]]</f>
        <v>9366</v>
      </c>
      <c r="L8922" s="6">
        <f>IFERROR(IF(INDEX(tProdutos[Desconto homologado],MATCH(tItens[[#This Row],[Produto]],tProdutos[Produto],0))="",DescontoPadrao,INDEX(tProdutos[Desconto homologado],MATCH(tItens[[#This Row],[Produto]],tProdutos[Produto],0))),DescontoPadrao)</f>
        <v>0.28000000000000003</v>
      </c>
      <c r="M8922" s="12">
        <f>tItens[[#This Row],[Valor]]*(1-tItens[[#This Row],[Desconto]])</f>
        <v>6743.5199999999995</v>
      </c>
      <c r="N8922" t="str">
        <f>IFERROR(INDEX(tProdutos[Foco],MATCH(tItens[[#This Row],[Produto]],tProdutos[Produto],0)),"Não")</f>
        <v>Sim</v>
      </c>
      <c r="O8922" t="str">
        <f>IFERROR(INDEX(tEditais[SRP],MATCH(tItens[[#This Row],[Edital]],tEditais[Edital],0)),"Não")</f>
        <v>Não</v>
      </c>
      <c r="P8922" s="4">
        <f>IF(COUNTIFS(INDEX(tItens[Edital],1):tItens[[#This Row],[Edital]],tItens[[#This Row],[Edital]],INDEX(tItens[Produto],1):tItens[[#This Row],[Produto]],tItens[[#This Row],[Produto]])=1,1,0)</f>
        <v>0</v>
      </c>
    </row>
    <row r="8923" spans="1:16" x14ac:dyDescent="0.25">
      <c r="A8923" t="s">
        <v>3069</v>
      </c>
      <c r="B8923">
        <v>83</v>
      </c>
      <c r="C8923" t="s">
        <v>11273</v>
      </c>
      <c r="D8923" t="s">
        <v>379</v>
      </c>
      <c r="E8923" s="13">
        <v>1000</v>
      </c>
      <c r="F8923" s="12">
        <v>4.18</v>
      </c>
      <c r="G8923" t="str">
        <f>IFERROR(INDEX(tEditais[Órgão],MATCH(tItens[[#This Row],[Edital]],tEditais[Edital],0)),"")</f>
        <v>MUNICIPIO DE MARIAPOLIS</v>
      </c>
      <c r="H8923" t="str">
        <f>IFERROR(INDEX(tEditais[UF],MATCH(tItens[[#This Row],[Edital]],tEditais[Edital],0)),"")</f>
        <v>SP</v>
      </c>
      <c r="I8923" s="11">
        <f>IFERROR(INDEX(tEditais[Encerramento],MATCH(tItens[[#This Row],[Edital]],tEditais[Edital],0)),"")</f>
        <v>46311.347222222219</v>
      </c>
      <c r="J8923" t="str">
        <f>IFERROR(INDEX(tProdutos[Classe],MATCH(tItens[[#This Row],[Produto]],tProdutos[Produto],0)),"produto não cadastrado")</f>
        <v>FORA</v>
      </c>
      <c r="K8923" s="12">
        <f>tItens[[#This Row],[Qtd]]*tItens[[#This Row],[Vlr unit]]</f>
        <v>4180</v>
      </c>
      <c r="L8923" s="6">
        <f>IFERROR(IF(INDEX(tProdutos[Desconto homologado],MATCH(tItens[[#This Row],[Produto]],tProdutos[Produto],0))="",DescontoPadrao,INDEX(tProdutos[Desconto homologado],MATCH(tItens[[#This Row],[Produto]],tProdutos[Produto],0))),DescontoPadrao)</f>
        <v>0.49504950495049499</v>
      </c>
      <c r="M8923" s="12">
        <f>tItens[[#This Row],[Valor]]*(1-tItens[[#This Row],[Desconto]])</f>
        <v>2110.6930693069307</v>
      </c>
      <c r="N8923" t="str">
        <f>IFERROR(INDEX(tProdutos[Foco],MATCH(tItens[[#This Row],[Produto]],tProdutos[Produto],0)),"Não")</f>
        <v>Não</v>
      </c>
      <c r="O8923" t="str">
        <f>IFERROR(INDEX(tEditais[SRP],MATCH(tItens[[#This Row],[Edital]],tEditais[Edital],0)),"Não")</f>
        <v>Não</v>
      </c>
      <c r="P8923" s="4">
        <f>IF(COUNTIFS(INDEX(tItens[Edital],1):tItens[[#This Row],[Edital]],tItens[[#This Row],[Edital]],INDEX(tItens[Produto],1):tItens[[#This Row],[Produto]],tItens[[#This Row],[Produto]])=1,1,0)</f>
        <v>1</v>
      </c>
    </row>
    <row r="8924" spans="1:16" x14ac:dyDescent="0.25">
      <c r="A8924" t="s">
        <v>3069</v>
      </c>
      <c r="B8924">
        <v>85</v>
      </c>
      <c r="C8924" t="s">
        <v>11274</v>
      </c>
      <c r="D8924" t="s">
        <v>365</v>
      </c>
      <c r="E8924" s="13">
        <v>1500</v>
      </c>
      <c r="F8924" s="12">
        <v>4.18</v>
      </c>
      <c r="G8924" t="str">
        <f>IFERROR(INDEX(tEditais[Órgão],MATCH(tItens[[#This Row],[Edital]],tEditais[Edital],0)),"")</f>
        <v>MUNICIPIO DE MARIAPOLIS</v>
      </c>
      <c r="H8924" t="str">
        <f>IFERROR(INDEX(tEditais[UF],MATCH(tItens[[#This Row],[Edital]],tEditais[Edital],0)),"")</f>
        <v>SP</v>
      </c>
      <c r="I8924" s="11">
        <f>IFERROR(INDEX(tEditais[Encerramento],MATCH(tItens[[#This Row],[Edital]],tEditais[Edital],0)),"")</f>
        <v>46311.347222222219</v>
      </c>
      <c r="J8924" t="str">
        <f>IFERROR(INDEX(tProdutos[Classe],MATCH(tItens[[#This Row],[Produto]],tProdutos[Produto],0)),"produto não cadastrado")</f>
        <v>FORA</v>
      </c>
      <c r="K8924" s="12">
        <f>tItens[[#This Row],[Qtd]]*tItens[[#This Row],[Vlr unit]]</f>
        <v>6270</v>
      </c>
      <c r="L8924" s="6">
        <f>IFERROR(IF(INDEX(tProdutos[Desconto homologado],MATCH(tItens[[#This Row],[Produto]],tProdutos[Produto],0))="",DescontoPadrao,INDEX(tProdutos[Desconto homologado],MATCH(tItens[[#This Row],[Produto]],tProdutos[Produto],0))),DescontoPadrao)</f>
        <v>0.41120529659182697</v>
      </c>
      <c r="M8924" s="12">
        <f>tItens[[#This Row],[Valor]]*(1-tItens[[#This Row],[Desconto]])</f>
        <v>3691.7427903692451</v>
      </c>
      <c r="N8924" t="str">
        <f>IFERROR(INDEX(tProdutos[Foco],MATCH(tItens[[#This Row],[Produto]],tProdutos[Produto],0)),"Não")</f>
        <v>Não</v>
      </c>
      <c r="O8924" t="str">
        <f>IFERROR(INDEX(tEditais[SRP],MATCH(tItens[[#This Row],[Edital]],tEditais[Edital],0)),"Não")</f>
        <v>Não</v>
      </c>
      <c r="P8924" s="4">
        <f>IF(COUNTIFS(INDEX(tItens[Edital],1):tItens[[#This Row],[Edital]],tItens[[#This Row],[Edital]],INDEX(tItens[Produto],1):tItens[[#This Row],[Produto]],tItens[[#This Row],[Produto]])=1,1,0)</f>
        <v>1</v>
      </c>
    </row>
    <row r="8925" spans="1:16" x14ac:dyDescent="0.25">
      <c r="A8925" t="s">
        <v>3069</v>
      </c>
      <c r="B8925">
        <v>86</v>
      </c>
      <c r="C8925" t="s">
        <v>11275</v>
      </c>
      <c r="D8925" t="s">
        <v>287</v>
      </c>
      <c r="E8925" s="13">
        <v>2000</v>
      </c>
      <c r="F8925" s="12">
        <v>4.18</v>
      </c>
      <c r="G8925" t="str">
        <f>IFERROR(INDEX(tEditais[Órgão],MATCH(tItens[[#This Row],[Edital]],tEditais[Edital],0)),"")</f>
        <v>MUNICIPIO DE MARIAPOLIS</v>
      </c>
      <c r="H8925" t="str">
        <f>IFERROR(INDEX(tEditais[UF],MATCH(tItens[[#This Row],[Edital]],tEditais[Edital],0)),"")</f>
        <v>SP</v>
      </c>
      <c r="I8925" s="11">
        <f>IFERROR(INDEX(tEditais[Encerramento],MATCH(tItens[[#This Row],[Edital]],tEditais[Edital],0)),"")</f>
        <v>46311.347222222219</v>
      </c>
      <c r="J8925" t="str">
        <f>IFERROR(INDEX(tProdutos[Classe],MATCH(tItens[[#This Row],[Produto]],tProdutos[Produto],0)),"produto não cadastrado")</f>
        <v>FORA</v>
      </c>
      <c r="K8925" s="12">
        <f>tItens[[#This Row],[Qtd]]*tItens[[#This Row],[Vlr unit]]</f>
        <v>8360</v>
      </c>
      <c r="L8925" s="6">
        <f>IFERROR(IF(INDEX(tProdutos[Desconto homologado],MATCH(tItens[[#This Row],[Produto]],tProdutos[Produto],0))="",DescontoPadrao,INDEX(tProdutos[Desconto homologado],MATCH(tItens[[#This Row],[Produto]],tProdutos[Produto],0))),DescontoPadrao)</f>
        <v>0.46344491178876002</v>
      </c>
      <c r="M8925" s="12">
        <f>tItens[[#This Row],[Valor]]*(1-tItens[[#This Row],[Desconto]])</f>
        <v>4485.6005374459664</v>
      </c>
      <c r="N8925" t="str">
        <f>IFERROR(INDEX(tProdutos[Foco],MATCH(tItens[[#This Row],[Produto]],tProdutos[Produto],0)),"Não")</f>
        <v>Não</v>
      </c>
      <c r="O8925" t="str">
        <f>IFERROR(INDEX(tEditais[SRP],MATCH(tItens[[#This Row],[Edital]],tEditais[Edital],0)),"Não")</f>
        <v>Não</v>
      </c>
      <c r="P8925" s="4">
        <f>IF(COUNTIFS(INDEX(tItens[Edital],1):tItens[[#This Row],[Edital]],tItens[[#This Row],[Edital]],INDEX(tItens[Produto],1):tItens[[#This Row],[Produto]],tItens[[#This Row],[Produto]])=1,1,0)</f>
        <v>1</v>
      </c>
    </row>
    <row r="8926" spans="1:16" x14ac:dyDescent="0.25">
      <c r="A8926" t="s">
        <v>3069</v>
      </c>
      <c r="B8926">
        <v>87</v>
      </c>
      <c r="C8926" t="s">
        <v>11276</v>
      </c>
      <c r="D8926" t="s">
        <v>73</v>
      </c>
      <c r="E8926" s="13">
        <v>1000</v>
      </c>
      <c r="F8926" s="12">
        <v>5.48</v>
      </c>
      <c r="G8926" t="str">
        <f>IFERROR(INDEX(tEditais[Órgão],MATCH(tItens[[#This Row],[Edital]],tEditais[Edital],0)),"")</f>
        <v>MUNICIPIO DE MARIAPOLIS</v>
      </c>
      <c r="H8926" t="str">
        <f>IFERROR(INDEX(tEditais[UF],MATCH(tItens[[#This Row],[Edital]],tEditais[Edital],0)),"")</f>
        <v>SP</v>
      </c>
      <c r="I8926" s="11">
        <f>IFERROR(INDEX(tEditais[Encerramento],MATCH(tItens[[#This Row],[Edital]],tEditais[Edital],0)),"")</f>
        <v>46311.347222222219</v>
      </c>
      <c r="J8926" t="str">
        <f>IFERROR(INDEX(tProdutos[Classe],MATCH(tItens[[#This Row],[Produto]],tProdutos[Produto],0)),"produto não cadastrado")</f>
        <v>NÚCLEO</v>
      </c>
      <c r="K8926" s="12">
        <f>tItens[[#This Row],[Qtd]]*tItens[[#This Row],[Vlr unit]]</f>
        <v>5480</v>
      </c>
      <c r="L8926" s="6">
        <f>IFERROR(IF(INDEX(tProdutos[Desconto homologado],MATCH(tItens[[#This Row],[Produto]],tProdutos[Produto],0))="",DescontoPadrao,INDEX(tProdutos[Desconto homologado],MATCH(tItens[[#This Row],[Produto]],tProdutos[Produto],0))),DescontoPadrao)</f>
        <v>0.37</v>
      </c>
      <c r="M8926" s="12">
        <f>tItens[[#This Row],[Valor]]*(1-tItens[[#This Row],[Desconto]])</f>
        <v>3452.4</v>
      </c>
      <c r="N8926" t="str">
        <f>IFERROR(INDEX(tProdutos[Foco],MATCH(tItens[[#This Row],[Produto]],tProdutos[Produto],0)),"Não")</f>
        <v>Sim</v>
      </c>
      <c r="O8926" t="str">
        <f>IFERROR(INDEX(tEditais[SRP],MATCH(tItens[[#This Row],[Edital]],tEditais[Edital],0)),"Não")</f>
        <v>Não</v>
      </c>
      <c r="P8926" s="4">
        <f>IF(COUNTIFS(INDEX(tItens[Edital],1):tItens[[#This Row],[Edital]],tItens[[#This Row],[Edital]],INDEX(tItens[Produto],1):tItens[[#This Row],[Produto]],tItens[[#This Row],[Produto]])=1,1,0)</f>
        <v>1</v>
      </c>
    </row>
    <row r="8927" spans="1:16" x14ac:dyDescent="0.25">
      <c r="A8927" t="s">
        <v>3069</v>
      </c>
      <c r="B8927">
        <v>88</v>
      </c>
      <c r="C8927" t="s">
        <v>11277</v>
      </c>
      <c r="D8927" t="s">
        <v>73</v>
      </c>
      <c r="E8927" s="13">
        <v>1000</v>
      </c>
      <c r="F8927" s="12">
        <v>5.48</v>
      </c>
      <c r="G8927" t="str">
        <f>IFERROR(INDEX(tEditais[Órgão],MATCH(tItens[[#This Row],[Edital]],tEditais[Edital],0)),"")</f>
        <v>MUNICIPIO DE MARIAPOLIS</v>
      </c>
      <c r="H8927" t="str">
        <f>IFERROR(INDEX(tEditais[UF],MATCH(tItens[[#This Row],[Edital]],tEditais[Edital],0)),"")</f>
        <v>SP</v>
      </c>
      <c r="I8927" s="11">
        <f>IFERROR(INDEX(tEditais[Encerramento],MATCH(tItens[[#This Row],[Edital]],tEditais[Edital],0)),"")</f>
        <v>46311.347222222219</v>
      </c>
      <c r="J8927" t="str">
        <f>IFERROR(INDEX(tProdutos[Classe],MATCH(tItens[[#This Row],[Produto]],tProdutos[Produto],0)),"produto não cadastrado")</f>
        <v>NÚCLEO</v>
      </c>
      <c r="K8927" s="12">
        <f>tItens[[#This Row],[Qtd]]*tItens[[#This Row],[Vlr unit]]</f>
        <v>5480</v>
      </c>
      <c r="L8927" s="6">
        <f>IFERROR(IF(INDEX(tProdutos[Desconto homologado],MATCH(tItens[[#This Row],[Produto]],tProdutos[Produto],0))="",DescontoPadrao,INDEX(tProdutos[Desconto homologado],MATCH(tItens[[#This Row],[Produto]],tProdutos[Produto],0))),DescontoPadrao)</f>
        <v>0.37</v>
      </c>
      <c r="M8927" s="12">
        <f>tItens[[#This Row],[Valor]]*(1-tItens[[#This Row],[Desconto]])</f>
        <v>3452.4</v>
      </c>
      <c r="N8927" t="str">
        <f>IFERROR(INDEX(tProdutos[Foco],MATCH(tItens[[#This Row],[Produto]],tProdutos[Produto],0)),"Não")</f>
        <v>Sim</v>
      </c>
      <c r="O8927" t="str">
        <f>IFERROR(INDEX(tEditais[SRP],MATCH(tItens[[#This Row],[Edital]],tEditais[Edital],0)),"Não")</f>
        <v>Não</v>
      </c>
      <c r="P8927" s="4">
        <f>IF(COUNTIFS(INDEX(tItens[Edital],1):tItens[[#This Row],[Edital]],tItens[[#This Row],[Edital]],INDEX(tItens[Produto],1):tItens[[#This Row],[Produto]],tItens[[#This Row],[Produto]])=1,1,0)</f>
        <v>0</v>
      </c>
    </row>
    <row r="8928" spans="1:16" x14ac:dyDescent="0.25">
      <c r="A8928" t="s">
        <v>3069</v>
      </c>
      <c r="B8928">
        <v>97</v>
      </c>
      <c r="C8928" t="s">
        <v>11278</v>
      </c>
      <c r="D8928" t="s">
        <v>80</v>
      </c>
      <c r="E8928" s="13">
        <v>500</v>
      </c>
      <c r="F8928" s="12">
        <v>3.65</v>
      </c>
      <c r="G8928" t="str">
        <f>IFERROR(INDEX(tEditais[Órgão],MATCH(tItens[[#This Row],[Edital]],tEditais[Edital],0)),"")</f>
        <v>MUNICIPIO DE MARIAPOLIS</v>
      </c>
      <c r="H8928" t="str">
        <f>IFERROR(INDEX(tEditais[UF],MATCH(tItens[[#This Row],[Edital]],tEditais[Edital],0)),"")</f>
        <v>SP</v>
      </c>
      <c r="I8928" s="11">
        <f>IFERROR(INDEX(tEditais[Encerramento],MATCH(tItens[[#This Row],[Edital]],tEditais[Edital],0)),"")</f>
        <v>46311.347222222219</v>
      </c>
      <c r="J8928" t="str">
        <f>IFERROR(INDEX(tProdutos[Classe],MATCH(tItens[[#This Row],[Produto]],tProdutos[Produto],0)),"produto não cadastrado")</f>
        <v>NÚCLEO</v>
      </c>
      <c r="K8928" s="12">
        <f>tItens[[#This Row],[Qtd]]*tItens[[#This Row],[Vlr unit]]</f>
        <v>1825</v>
      </c>
      <c r="L8928" s="6">
        <f>IFERROR(IF(INDEX(tProdutos[Desconto homologado],MATCH(tItens[[#This Row],[Produto]],tProdutos[Produto],0))="",DescontoPadrao,INDEX(tProdutos[Desconto homologado],MATCH(tItens[[#This Row],[Produto]],tProdutos[Produto],0))),DescontoPadrao)</f>
        <v>0.33</v>
      </c>
      <c r="M8928" s="12">
        <f>tItens[[#This Row],[Valor]]*(1-tItens[[#This Row],[Desconto]])</f>
        <v>1222.7499999999998</v>
      </c>
      <c r="N8928" t="str">
        <f>IFERROR(INDEX(tProdutos[Foco],MATCH(tItens[[#This Row],[Produto]],tProdutos[Produto],0)),"Não")</f>
        <v>Sim</v>
      </c>
      <c r="O8928" t="str">
        <f>IFERROR(INDEX(tEditais[SRP],MATCH(tItens[[#This Row],[Edital]],tEditais[Edital],0)),"Não")</f>
        <v>Não</v>
      </c>
      <c r="P8928" s="4">
        <f>IF(COUNTIFS(INDEX(tItens[Edital],1):tItens[[#This Row],[Edital]],tItens[[#This Row],[Edital]],INDEX(tItens[Produto],1):tItens[[#This Row],[Produto]],tItens[[#This Row],[Produto]])=1,1,0)</f>
        <v>1</v>
      </c>
    </row>
    <row r="8929" spans="1:16" x14ac:dyDescent="0.25">
      <c r="A8929" t="s">
        <v>3069</v>
      </c>
      <c r="B8929">
        <v>98</v>
      </c>
      <c r="C8929" t="s">
        <v>11279</v>
      </c>
      <c r="D8929" t="s">
        <v>80</v>
      </c>
      <c r="E8929" s="13">
        <v>500</v>
      </c>
      <c r="F8929" s="12">
        <v>3.66</v>
      </c>
      <c r="G8929" t="str">
        <f>IFERROR(INDEX(tEditais[Órgão],MATCH(tItens[[#This Row],[Edital]],tEditais[Edital],0)),"")</f>
        <v>MUNICIPIO DE MARIAPOLIS</v>
      </c>
      <c r="H8929" t="str">
        <f>IFERROR(INDEX(tEditais[UF],MATCH(tItens[[#This Row],[Edital]],tEditais[Edital],0)),"")</f>
        <v>SP</v>
      </c>
      <c r="I8929" s="11">
        <f>IFERROR(INDEX(tEditais[Encerramento],MATCH(tItens[[#This Row],[Edital]],tEditais[Edital],0)),"")</f>
        <v>46311.347222222219</v>
      </c>
      <c r="J8929" t="str">
        <f>IFERROR(INDEX(tProdutos[Classe],MATCH(tItens[[#This Row],[Produto]],tProdutos[Produto],0)),"produto não cadastrado")</f>
        <v>NÚCLEO</v>
      </c>
      <c r="K8929" s="12">
        <f>tItens[[#This Row],[Qtd]]*tItens[[#This Row],[Vlr unit]]</f>
        <v>1830</v>
      </c>
      <c r="L8929" s="6">
        <f>IFERROR(IF(INDEX(tProdutos[Desconto homologado],MATCH(tItens[[#This Row],[Produto]],tProdutos[Produto],0))="",DescontoPadrao,INDEX(tProdutos[Desconto homologado],MATCH(tItens[[#This Row],[Produto]],tProdutos[Produto],0))),DescontoPadrao)</f>
        <v>0.33</v>
      </c>
      <c r="M8929" s="12">
        <f>tItens[[#This Row],[Valor]]*(1-tItens[[#This Row],[Desconto]])</f>
        <v>1226.0999999999999</v>
      </c>
      <c r="N8929" t="str">
        <f>IFERROR(INDEX(tProdutos[Foco],MATCH(tItens[[#This Row],[Produto]],tProdutos[Produto],0)),"Não")</f>
        <v>Sim</v>
      </c>
      <c r="O8929" t="str">
        <f>IFERROR(INDEX(tEditais[SRP],MATCH(tItens[[#This Row],[Edital]],tEditais[Edital],0)),"Não")</f>
        <v>Não</v>
      </c>
      <c r="P8929" s="4">
        <f>IF(COUNTIFS(INDEX(tItens[Edital],1):tItens[[#This Row],[Edital]],tItens[[#This Row],[Edital]],INDEX(tItens[Produto],1):tItens[[#This Row],[Produto]],tItens[[#This Row],[Produto]])=1,1,0)</f>
        <v>0</v>
      </c>
    </row>
    <row r="8930" spans="1:16" x14ac:dyDescent="0.25">
      <c r="A8930" t="s">
        <v>3069</v>
      </c>
      <c r="B8930">
        <v>99</v>
      </c>
      <c r="C8930" t="s">
        <v>11280</v>
      </c>
      <c r="D8930" t="s">
        <v>311</v>
      </c>
      <c r="E8930" s="13">
        <v>500</v>
      </c>
      <c r="F8930" s="12">
        <v>8.8800000000000008</v>
      </c>
      <c r="G8930" t="str">
        <f>IFERROR(INDEX(tEditais[Órgão],MATCH(tItens[[#This Row],[Edital]],tEditais[Edital],0)),"")</f>
        <v>MUNICIPIO DE MARIAPOLIS</v>
      </c>
      <c r="H8930" t="str">
        <f>IFERROR(INDEX(tEditais[UF],MATCH(tItens[[#This Row],[Edital]],tEditais[Edital],0)),"")</f>
        <v>SP</v>
      </c>
      <c r="I8930" s="11">
        <f>IFERROR(INDEX(tEditais[Encerramento],MATCH(tItens[[#This Row],[Edital]],tEditais[Edital],0)),"")</f>
        <v>46311.347222222219</v>
      </c>
      <c r="J8930" t="str">
        <f>IFERROR(INDEX(tProdutos[Classe],MATCH(tItens[[#This Row],[Produto]],tProdutos[Produto],0)),"produto não cadastrado")</f>
        <v>FORA</v>
      </c>
      <c r="K8930" s="12">
        <f>tItens[[#This Row],[Qtd]]*tItens[[#This Row],[Vlr unit]]</f>
        <v>4440</v>
      </c>
      <c r="L8930" s="6">
        <f>IFERROR(IF(INDEX(tProdutos[Desconto homologado],MATCH(tItens[[#This Row],[Produto]],tProdutos[Produto],0))="",DescontoPadrao,INDEX(tProdutos[Desconto homologado],MATCH(tItens[[#This Row],[Produto]],tProdutos[Produto],0))),DescontoPadrao)</f>
        <v>0.29046182846371399</v>
      </c>
      <c r="M8930" s="12">
        <f>tItens[[#This Row],[Valor]]*(1-tItens[[#This Row],[Desconto]])</f>
        <v>3150.34948162111</v>
      </c>
      <c r="N8930" t="str">
        <f>IFERROR(INDEX(tProdutos[Foco],MATCH(tItens[[#This Row],[Produto]],tProdutos[Produto],0)),"Não")</f>
        <v>Não</v>
      </c>
      <c r="O8930" t="str">
        <f>IFERROR(INDEX(tEditais[SRP],MATCH(tItens[[#This Row],[Edital]],tEditais[Edital],0)),"Não")</f>
        <v>Não</v>
      </c>
      <c r="P8930" s="4">
        <f>IF(COUNTIFS(INDEX(tItens[Edital],1):tItens[[#This Row],[Edital]],tItens[[#This Row],[Edital]],INDEX(tItens[Produto],1):tItens[[#This Row],[Produto]],tItens[[#This Row],[Produto]])=1,1,0)</f>
        <v>1</v>
      </c>
    </row>
    <row r="8931" spans="1:16" x14ac:dyDescent="0.25">
      <c r="A8931" t="s">
        <v>3069</v>
      </c>
      <c r="B8931">
        <v>100</v>
      </c>
      <c r="C8931" t="s">
        <v>11243</v>
      </c>
      <c r="D8931" t="s">
        <v>383</v>
      </c>
      <c r="E8931" s="13">
        <v>12500</v>
      </c>
      <c r="F8931" s="12">
        <v>1.96</v>
      </c>
      <c r="G8931" t="str">
        <f>IFERROR(INDEX(tEditais[Órgão],MATCH(tItens[[#This Row],[Edital]],tEditais[Edital],0)),"")</f>
        <v>MUNICIPIO DE MARIAPOLIS</v>
      </c>
      <c r="H8931" t="str">
        <f>IFERROR(INDEX(tEditais[UF],MATCH(tItens[[#This Row],[Edital]],tEditais[Edital],0)),"")</f>
        <v>SP</v>
      </c>
      <c r="I8931" s="11">
        <f>IFERROR(INDEX(tEditais[Encerramento],MATCH(tItens[[#This Row],[Edital]],tEditais[Edital],0)),"")</f>
        <v>46311.347222222219</v>
      </c>
      <c r="J8931" t="str">
        <f>IFERROR(INDEX(tProdutos[Classe],MATCH(tItens[[#This Row],[Produto]],tProdutos[Produto],0)),"produto não cadastrado")</f>
        <v>FORA</v>
      </c>
      <c r="K8931" s="12">
        <f>tItens[[#This Row],[Qtd]]*tItens[[#This Row],[Vlr unit]]</f>
        <v>24500</v>
      </c>
      <c r="L8931" s="6">
        <f>IFERROR(IF(INDEX(tProdutos[Desconto homologado],MATCH(tItens[[#This Row],[Produto]],tProdutos[Produto],0))="",DescontoPadrao,INDEX(tProdutos[Desconto homologado],MATCH(tItens[[#This Row],[Produto]],tProdutos[Produto],0))),DescontoPadrao)</f>
        <v>0.48749999999999999</v>
      </c>
      <c r="M8931" s="12">
        <f>tItens[[#This Row],[Valor]]*(1-tItens[[#This Row],[Desconto]])</f>
        <v>12556.249999999998</v>
      </c>
      <c r="N8931" t="str">
        <f>IFERROR(INDEX(tProdutos[Foco],MATCH(tItens[[#This Row],[Produto]],tProdutos[Produto],0)),"Não")</f>
        <v>Não</v>
      </c>
      <c r="O8931" t="str">
        <f>IFERROR(INDEX(tEditais[SRP],MATCH(tItens[[#This Row],[Edital]],tEditais[Edital],0)),"Não")</f>
        <v>Não</v>
      </c>
      <c r="P8931" s="4">
        <f>IF(COUNTIFS(INDEX(tItens[Edital],1):tItens[[#This Row],[Edital]],tItens[[#This Row],[Edital]],INDEX(tItens[Produto],1):tItens[[#This Row],[Produto]],tItens[[#This Row],[Produto]])=1,1,0)</f>
        <v>0</v>
      </c>
    </row>
    <row r="8932" spans="1:16" x14ac:dyDescent="0.25">
      <c r="A8932" t="s">
        <v>3069</v>
      </c>
      <c r="B8932">
        <v>105</v>
      </c>
      <c r="C8932" t="s">
        <v>11281</v>
      </c>
      <c r="D8932" t="s">
        <v>156</v>
      </c>
      <c r="E8932" s="13">
        <v>120</v>
      </c>
      <c r="F8932" s="12">
        <v>36.57</v>
      </c>
      <c r="G8932" t="str">
        <f>IFERROR(INDEX(tEditais[Órgão],MATCH(tItens[[#This Row],[Edital]],tEditais[Edital],0)),"")</f>
        <v>MUNICIPIO DE MARIAPOLIS</v>
      </c>
      <c r="H8932" t="str">
        <f>IFERROR(INDEX(tEditais[UF],MATCH(tItens[[#This Row],[Edital]],tEditais[Edital],0)),"")</f>
        <v>SP</v>
      </c>
      <c r="I8932" s="11">
        <f>IFERROR(INDEX(tEditais[Encerramento],MATCH(tItens[[#This Row],[Edital]],tEditais[Edital],0)),"")</f>
        <v>46311.347222222219</v>
      </c>
      <c r="J8932" t="str">
        <f>IFERROR(INDEX(tProdutos[Classe],MATCH(tItens[[#This Row],[Produto]],tProdutos[Produto],0)),"produto não cadastrado")</f>
        <v>DISPUTADO</v>
      </c>
      <c r="K8932" s="12">
        <f>tItens[[#This Row],[Qtd]]*tItens[[#This Row],[Vlr unit]]</f>
        <v>4388.3999999999996</v>
      </c>
      <c r="L8932" s="6">
        <f>IFERROR(IF(INDEX(tProdutos[Desconto homologado],MATCH(tItens[[#This Row],[Produto]],tProdutos[Produto],0))="",DescontoPadrao,INDEX(tProdutos[Desconto homologado],MATCH(tItens[[#This Row],[Produto]],tProdutos[Produto],0))),DescontoPadrao)</f>
        <v>0.27131852489802799</v>
      </c>
      <c r="M8932" s="12">
        <f>tItens[[#This Row],[Valor]]*(1-tItens[[#This Row],[Desconto]])</f>
        <v>3197.7457853374935</v>
      </c>
      <c r="N8932" t="str">
        <f>IFERROR(INDEX(tProdutos[Foco],MATCH(tItens[[#This Row],[Produto]],tProdutos[Produto],0)),"Não")</f>
        <v>Não</v>
      </c>
      <c r="O8932" t="str">
        <f>IFERROR(INDEX(tEditais[SRP],MATCH(tItens[[#This Row],[Edital]],tEditais[Edital],0)),"Não")</f>
        <v>Não</v>
      </c>
      <c r="P8932" s="4">
        <f>IF(COUNTIFS(INDEX(tItens[Edital],1):tItens[[#This Row],[Edital]],tItens[[#This Row],[Edital]],INDEX(tItens[Produto],1):tItens[[#This Row],[Produto]],tItens[[#This Row],[Produto]])=1,1,0)</f>
        <v>1</v>
      </c>
    </row>
    <row r="8933" spans="1:16" x14ac:dyDescent="0.25">
      <c r="A8933" t="s">
        <v>3069</v>
      </c>
      <c r="B8933">
        <v>106</v>
      </c>
      <c r="C8933" t="s">
        <v>11282</v>
      </c>
      <c r="D8933" t="s">
        <v>641</v>
      </c>
      <c r="E8933" s="13">
        <v>20</v>
      </c>
      <c r="F8933" s="12">
        <v>58.78</v>
      </c>
      <c r="G8933" t="str">
        <f>IFERROR(INDEX(tEditais[Órgão],MATCH(tItens[[#This Row],[Edital]],tEditais[Edital],0)),"")</f>
        <v>MUNICIPIO DE MARIAPOLIS</v>
      </c>
      <c r="H8933" t="str">
        <f>IFERROR(INDEX(tEditais[UF],MATCH(tItens[[#This Row],[Edital]],tEditais[Edital],0)),"")</f>
        <v>SP</v>
      </c>
      <c r="I8933" s="11">
        <f>IFERROR(INDEX(tEditais[Encerramento],MATCH(tItens[[#This Row],[Edital]],tEditais[Edital],0)),"")</f>
        <v>46311.347222222219</v>
      </c>
      <c r="J8933" t="str">
        <f>IFERROR(INDEX(tProdutos[Classe],MATCH(tItens[[#This Row],[Produto]],tProdutos[Produto],0)),"produto não cadastrado")</f>
        <v>FILA REBASE</v>
      </c>
      <c r="K8933" s="12">
        <f>tItens[[#This Row],[Qtd]]*tItens[[#This Row],[Vlr unit]]</f>
        <v>1175.5999999999999</v>
      </c>
      <c r="L8933" s="6">
        <f>IFERROR(IF(INDEX(tProdutos[Desconto homologado],MATCH(tItens[[#This Row],[Produto]],tProdutos[Produto],0))="",DescontoPadrao,INDEX(tProdutos[Desconto homologado],MATCH(tItens[[#This Row],[Produto]],tProdutos[Produto],0))),DescontoPadrao)</f>
        <v>0.3</v>
      </c>
      <c r="M8933" s="12">
        <f>tItens[[#This Row],[Valor]]*(1-tItens[[#This Row],[Desconto]])</f>
        <v>822.91999999999985</v>
      </c>
      <c r="N8933" t="str">
        <f>IFERROR(INDEX(tProdutos[Foco],MATCH(tItens[[#This Row],[Produto]],tProdutos[Produto],0)),"Não")</f>
        <v>Não</v>
      </c>
      <c r="O8933" t="str">
        <f>IFERROR(INDEX(tEditais[SRP],MATCH(tItens[[#This Row],[Edital]],tEditais[Edital],0)),"Não")</f>
        <v>Não</v>
      </c>
      <c r="P8933" s="4">
        <f>IF(COUNTIFS(INDEX(tItens[Edital],1):tItens[[#This Row],[Edital]],tItens[[#This Row],[Edital]],INDEX(tItens[Produto],1):tItens[[#This Row],[Produto]],tItens[[#This Row],[Produto]])=1,1,0)</f>
        <v>1</v>
      </c>
    </row>
    <row r="8934" spans="1:16" x14ac:dyDescent="0.25">
      <c r="A8934" t="s">
        <v>3069</v>
      </c>
      <c r="B8934">
        <v>107</v>
      </c>
      <c r="C8934" t="s">
        <v>11283</v>
      </c>
      <c r="D8934" t="s">
        <v>144</v>
      </c>
      <c r="E8934" s="13">
        <v>50</v>
      </c>
      <c r="F8934" s="12">
        <v>58.78</v>
      </c>
      <c r="G8934" t="str">
        <f>IFERROR(INDEX(tEditais[Órgão],MATCH(tItens[[#This Row],[Edital]],tEditais[Edital],0)),"")</f>
        <v>MUNICIPIO DE MARIAPOLIS</v>
      </c>
      <c r="H8934" t="str">
        <f>IFERROR(INDEX(tEditais[UF],MATCH(tItens[[#This Row],[Edital]],tEditais[Edital],0)),"")</f>
        <v>SP</v>
      </c>
      <c r="I8934" s="11">
        <f>IFERROR(INDEX(tEditais[Encerramento],MATCH(tItens[[#This Row],[Edital]],tEditais[Edital],0)),"")</f>
        <v>46311.347222222219</v>
      </c>
      <c r="J8934" t="str">
        <f>IFERROR(INDEX(tProdutos[Classe],MATCH(tItens[[#This Row],[Produto]],tProdutos[Produto],0)),"produto não cadastrado")</f>
        <v>DISPUTADO</v>
      </c>
      <c r="K8934" s="12">
        <f>tItens[[#This Row],[Qtd]]*tItens[[#This Row],[Vlr unit]]</f>
        <v>2939</v>
      </c>
      <c r="L8934" s="6">
        <f>IFERROR(IF(INDEX(tProdutos[Desconto homologado],MATCH(tItens[[#This Row],[Produto]],tProdutos[Produto],0))="",DescontoPadrao,INDEX(tProdutos[Desconto homologado],MATCH(tItens[[#This Row],[Produto]],tProdutos[Produto],0))),DescontoPadrao)</f>
        <v>0.371428571428571</v>
      </c>
      <c r="M8934" s="12">
        <f>tItens[[#This Row],[Valor]]*(1-tItens[[#This Row],[Desconto]])</f>
        <v>1847.3714285714298</v>
      </c>
      <c r="N8934" t="str">
        <f>IFERROR(INDEX(tProdutos[Foco],MATCH(tItens[[#This Row],[Produto]],tProdutos[Produto],0)),"Não")</f>
        <v>Não</v>
      </c>
      <c r="O8934" t="str">
        <f>IFERROR(INDEX(tEditais[SRP],MATCH(tItens[[#This Row],[Edital]],tEditais[Edital],0)),"Não")</f>
        <v>Não</v>
      </c>
      <c r="P8934" s="4">
        <f>IF(COUNTIFS(INDEX(tItens[Edital],1):tItens[[#This Row],[Edital]],tItens[[#This Row],[Edital]],INDEX(tItens[Produto],1):tItens[[#This Row],[Produto]],tItens[[#This Row],[Produto]])=1,1,0)</f>
        <v>1</v>
      </c>
    </row>
    <row r="8935" spans="1:16" x14ac:dyDescent="0.25">
      <c r="A8935" t="s">
        <v>3069</v>
      </c>
      <c r="B8935">
        <v>108</v>
      </c>
      <c r="C8935" t="s">
        <v>11284</v>
      </c>
      <c r="D8935" t="s">
        <v>144</v>
      </c>
      <c r="E8935" s="13">
        <v>30</v>
      </c>
      <c r="F8935" s="12">
        <v>45.71</v>
      </c>
      <c r="G8935" t="str">
        <f>IFERROR(INDEX(tEditais[Órgão],MATCH(tItens[[#This Row],[Edital]],tEditais[Edital],0)),"")</f>
        <v>MUNICIPIO DE MARIAPOLIS</v>
      </c>
      <c r="H8935" t="str">
        <f>IFERROR(INDEX(tEditais[UF],MATCH(tItens[[#This Row],[Edital]],tEditais[Edital],0)),"")</f>
        <v>SP</v>
      </c>
      <c r="I8935" s="11">
        <f>IFERROR(INDEX(tEditais[Encerramento],MATCH(tItens[[#This Row],[Edital]],tEditais[Edital],0)),"")</f>
        <v>46311.347222222219</v>
      </c>
      <c r="J8935" t="str">
        <f>IFERROR(INDEX(tProdutos[Classe],MATCH(tItens[[#This Row],[Produto]],tProdutos[Produto],0)),"produto não cadastrado")</f>
        <v>DISPUTADO</v>
      </c>
      <c r="K8935" s="12">
        <f>tItens[[#This Row],[Qtd]]*tItens[[#This Row],[Vlr unit]]</f>
        <v>1371.3</v>
      </c>
      <c r="L8935" s="6">
        <f>IFERROR(IF(INDEX(tProdutos[Desconto homologado],MATCH(tItens[[#This Row],[Produto]],tProdutos[Produto],0))="",DescontoPadrao,INDEX(tProdutos[Desconto homologado],MATCH(tItens[[#This Row],[Produto]],tProdutos[Produto],0))),DescontoPadrao)</f>
        <v>0.371428571428571</v>
      </c>
      <c r="M8935" s="12">
        <f>tItens[[#This Row],[Valor]]*(1-tItens[[#This Row],[Desconto]])</f>
        <v>861.9600000000006</v>
      </c>
      <c r="N8935" t="str">
        <f>IFERROR(INDEX(tProdutos[Foco],MATCH(tItens[[#This Row],[Produto]],tProdutos[Produto],0)),"Não")</f>
        <v>Não</v>
      </c>
      <c r="O8935" t="str">
        <f>IFERROR(INDEX(tEditais[SRP],MATCH(tItens[[#This Row],[Edital]],tEditais[Edital],0)),"Não")</f>
        <v>Não</v>
      </c>
      <c r="P8935" s="4">
        <f>IF(COUNTIFS(INDEX(tItens[Edital],1):tItens[[#This Row],[Edital]],tItens[[#This Row],[Edital]],INDEX(tItens[Produto],1):tItens[[#This Row],[Produto]],tItens[[#This Row],[Produto]])=1,1,0)</f>
        <v>0</v>
      </c>
    </row>
    <row r="8936" spans="1:16" x14ac:dyDescent="0.25">
      <c r="A8936" t="s">
        <v>3069</v>
      </c>
      <c r="B8936">
        <v>115</v>
      </c>
      <c r="C8936" t="s">
        <v>11285</v>
      </c>
      <c r="D8936" t="s">
        <v>331</v>
      </c>
      <c r="E8936" s="13">
        <v>1000</v>
      </c>
      <c r="F8936" s="12">
        <v>3.79</v>
      </c>
      <c r="G8936" t="str">
        <f>IFERROR(INDEX(tEditais[Órgão],MATCH(tItens[[#This Row],[Edital]],tEditais[Edital],0)),"")</f>
        <v>MUNICIPIO DE MARIAPOLIS</v>
      </c>
      <c r="H8936" t="str">
        <f>IFERROR(INDEX(tEditais[UF],MATCH(tItens[[#This Row],[Edital]],tEditais[Edital],0)),"")</f>
        <v>SP</v>
      </c>
      <c r="I8936" s="11">
        <f>IFERROR(INDEX(tEditais[Encerramento],MATCH(tItens[[#This Row],[Edital]],tEditais[Edital],0)),"")</f>
        <v>46311.347222222219</v>
      </c>
      <c r="J8936" t="str">
        <f>IFERROR(INDEX(tProdutos[Classe],MATCH(tItens[[#This Row],[Produto]],tProdutos[Produto],0)),"produto não cadastrado")</f>
        <v>FORA</v>
      </c>
      <c r="K8936" s="12">
        <f>tItens[[#This Row],[Qtd]]*tItens[[#This Row],[Vlr unit]]</f>
        <v>3790</v>
      </c>
      <c r="L8936" s="6">
        <f>IFERROR(IF(INDEX(tProdutos[Desconto homologado],MATCH(tItens[[#This Row],[Produto]],tProdutos[Produto],0))="",DescontoPadrao,INDEX(tProdutos[Desconto homologado],MATCH(tItens[[#This Row],[Produto]],tProdutos[Produto],0))),DescontoPadrao)</f>
        <v>0.45927812223206399</v>
      </c>
      <c r="M8936" s="12">
        <f>tItens[[#This Row],[Valor]]*(1-tItens[[#This Row],[Desconto]])</f>
        <v>2049.3359167404774</v>
      </c>
      <c r="N8936" t="str">
        <f>IFERROR(INDEX(tProdutos[Foco],MATCH(tItens[[#This Row],[Produto]],tProdutos[Produto],0)),"Não")</f>
        <v>Não</v>
      </c>
      <c r="O8936" t="str">
        <f>IFERROR(INDEX(tEditais[SRP],MATCH(tItens[[#This Row],[Edital]],tEditais[Edital],0)),"Não")</f>
        <v>Não</v>
      </c>
      <c r="P8936" s="4">
        <f>IF(COUNTIFS(INDEX(tItens[Edital],1):tItens[[#This Row],[Edital]],tItens[[#This Row],[Edital]],INDEX(tItens[Produto],1):tItens[[#This Row],[Produto]],tItens[[#This Row],[Produto]])=1,1,0)</f>
        <v>1</v>
      </c>
    </row>
    <row r="8937" spans="1:16" x14ac:dyDescent="0.25">
      <c r="A8937" t="s">
        <v>3069</v>
      </c>
      <c r="B8937">
        <v>116</v>
      </c>
      <c r="C8937" t="s">
        <v>11286</v>
      </c>
      <c r="D8937" t="s">
        <v>60</v>
      </c>
      <c r="E8937" s="13">
        <v>1000</v>
      </c>
      <c r="F8937" s="12">
        <v>1.7</v>
      </c>
      <c r="G8937" t="str">
        <f>IFERROR(INDEX(tEditais[Órgão],MATCH(tItens[[#This Row],[Edital]],tEditais[Edital],0)),"")</f>
        <v>MUNICIPIO DE MARIAPOLIS</v>
      </c>
      <c r="H8937" t="str">
        <f>IFERROR(INDEX(tEditais[UF],MATCH(tItens[[#This Row],[Edital]],tEditais[Edital],0)),"")</f>
        <v>SP</v>
      </c>
      <c r="I8937" s="11">
        <f>IFERROR(INDEX(tEditais[Encerramento],MATCH(tItens[[#This Row],[Edital]],tEditais[Edital],0)),"")</f>
        <v>46311.347222222219</v>
      </c>
      <c r="J8937" t="str">
        <f>IFERROR(INDEX(tProdutos[Classe],MATCH(tItens[[#This Row],[Produto]],tProdutos[Produto],0)),"produto não cadastrado")</f>
        <v>NÚCLEO</v>
      </c>
      <c r="K8937" s="12">
        <f>tItens[[#This Row],[Qtd]]*tItens[[#This Row],[Vlr unit]]</f>
        <v>1700</v>
      </c>
      <c r="L8937" s="6">
        <f>IFERROR(IF(INDEX(tProdutos[Desconto homologado],MATCH(tItens[[#This Row],[Produto]],tProdutos[Produto],0))="",DescontoPadrao,INDEX(tProdutos[Desconto homologado],MATCH(tItens[[#This Row],[Produto]],tProdutos[Produto],0))),DescontoPadrao)</f>
        <v>0.23</v>
      </c>
      <c r="M8937" s="12">
        <f>tItens[[#This Row],[Valor]]*(1-tItens[[#This Row],[Desconto]])</f>
        <v>1309</v>
      </c>
      <c r="N8937" t="str">
        <f>IFERROR(INDEX(tProdutos[Foco],MATCH(tItens[[#This Row],[Produto]],tProdutos[Produto],0)),"Não")</f>
        <v>Sim</v>
      </c>
      <c r="O8937" t="str">
        <f>IFERROR(INDEX(tEditais[SRP],MATCH(tItens[[#This Row],[Edital]],tEditais[Edital],0)),"Não")</f>
        <v>Não</v>
      </c>
      <c r="P8937" s="4">
        <f>IF(COUNTIFS(INDEX(tItens[Edital],1):tItens[[#This Row],[Edital]],tItens[[#This Row],[Edital]],INDEX(tItens[Produto],1):tItens[[#This Row],[Produto]],tItens[[#This Row],[Produto]])=1,1,0)</f>
        <v>1</v>
      </c>
    </row>
    <row r="8938" spans="1:16" x14ac:dyDescent="0.25">
      <c r="A8938" t="s">
        <v>3069</v>
      </c>
      <c r="B8938">
        <v>117</v>
      </c>
      <c r="C8938" t="s">
        <v>11287</v>
      </c>
      <c r="D8938" t="s">
        <v>90</v>
      </c>
      <c r="E8938" s="13">
        <v>600</v>
      </c>
      <c r="F8938" s="12">
        <v>18.02</v>
      </c>
      <c r="G8938" t="str">
        <f>IFERROR(INDEX(tEditais[Órgão],MATCH(tItens[[#This Row],[Edital]],tEditais[Edital],0)),"")</f>
        <v>MUNICIPIO DE MARIAPOLIS</v>
      </c>
      <c r="H8938" t="str">
        <f>IFERROR(INDEX(tEditais[UF],MATCH(tItens[[#This Row],[Edital]],tEditais[Edital],0)),"")</f>
        <v>SP</v>
      </c>
      <c r="I8938" s="11">
        <f>IFERROR(INDEX(tEditais[Encerramento],MATCH(tItens[[#This Row],[Edital]],tEditais[Edital],0)),"")</f>
        <v>46311.347222222219</v>
      </c>
      <c r="J8938" t="str">
        <f>IFERROR(INDEX(tProdutos[Classe],MATCH(tItens[[#This Row],[Produto]],tProdutos[Produto],0)),"produto não cadastrado")</f>
        <v>DISPUTADO</v>
      </c>
      <c r="K8938" s="12">
        <f>tItens[[#This Row],[Qtd]]*tItens[[#This Row],[Vlr unit]]</f>
        <v>10812</v>
      </c>
      <c r="L8938" s="6">
        <f>IFERROR(IF(INDEX(tProdutos[Desconto homologado],MATCH(tItens[[#This Row],[Produto]],tProdutos[Produto],0))="",DescontoPadrao,INDEX(tProdutos[Desconto homologado],MATCH(tItens[[#This Row],[Produto]],tProdutos[Produto],0))),DescontoPadrao)</f>
        <v>0.25393823957010597</v>
      </c>
      <c r="M8938" s="12">
        <f>tItens[[#This Row],[Valor]]*(1-tItens[[#This Row],[Desconto]])</f>
        <v>8066.4197537680138</v>
      </c>
      <c r="N8938" t="str">
        <f>IFERROR(INDEX(tProdutos[Foco],MATCH(tItens[[#This Row],[Produto]],tProdutos[Produto],0)),"Não")</f>
        <v>Não</v>
      </c>
      <c r="O8938" t="str">
        <f>IFERROR(INDEX(tEditais[SRP],MATCH(tItens[[#This Row],[Edital]],tEditais[Edital],0)),"Não")</f>
        <v>Não</v>
      </c>
      <c r="P8938" s="4">
        <f>IF(COUNTIFS(INDEX(tItens[Edital],1):tItens[[#This Row],[Edital]],tItens[[#This Row],[Edital]],INDEX(tItens[Produto],1):tItens[[#This Row],[Produto]],tItens[[#This Row],[Produto]])=1,1,0)</f>
        <v>1</v>
      </c>
    </row>
    <row r="8939" spans="1:16" x14ac:dyDescent="0.25">
      <c r="A8939" t="s">
        <v>3069</v>
      </c>
      <c r="B8939">
        <v>118</v>
      </c>
      <c r="C8939" t="s">
        <v>11288</v>
      </c>
      <c r="D8939" t="s">
        <v>233</v>
      </c>
      <c r="E8939" s="13">
        <v>40</v>
      </c>
      <c r="F8939" s="12">
        <v>25.86</v>
      </c>
      <c r="G8939" t="str">
        <f>IFERROR(INDEX(tEditais[Órgão],MATCH(tItens[[#This Row],[Edital]],tEditais[Edital],0)),"")</f>
        <v>MUNICIPIO DE MARIAPOLIS</v>
      </c>
      <c r="H8939" t="str">
        <f>IFERROR(INDEX(tEditais[UF],MATCH(tItens[[#This Row],[Edital]],tEditais[Edital],0)),"")</f>
        <v>SP</v>
      </c>
      <c r="I8939" s="11">
        <f>IFERROR(INDEX(tEditais[Encerramento],MATCH(tItens[[#This Row],[Edital]],tEditais[Edital],0)),"")</f>
        <v>46311.347222222219</v>
      </c>
      <c r="J8939" t="str">
        <f>IFERROR(INDEX(tProdutos[Classe],MATCH(tItens[[#This Row],[Produto]],tProdutos[Produto],0)),"produto não cadastrado")</f>
        <v>FORA</v>
      </c>
      <c r="K8939" s="12">
        <f>tItens[[#This Row],[Qtd]]*tItens[[#This Row],[Vlr unit]]</f>
        <v>1034.4000000000001</v>
      </c>
      <c r="L8939" s="6">
        <f>IFERROR(IF(INDEX(tProdutos[Desconto homologado],MATCH(tItens[[#This Row],[Produto]],tProdutos[Produto],0))="",DescontoPadrao,INDEX(tProdutos[Desconto homologado],MATCH(tItens[[#This Row],[Produto]],tProdutos[Produto],0))),DescontoPadrao)</f>
        <v>0.246270084162204</v>
      </c>
      <c r="M8939" s="12">
        <f>tItens[[#This Row],[Valor]]*(1-tItens[[#This Row],[Desconto]])</f>
        <v>779.65822494261624</v>
      </c>
      <c r="N8939" t="str">
        <f>IFERROR(INDEX(tProdutos[Foco],MATCH(tItens[[#This Row],[Produto]],tProdutos[Produto],0)),"Não")</f>
        <v>Não</v>
      </c>
      <c r="O8939" t="str">
        <f>IFERROR(INDEX(tEditais[SRP],MATCH(tItens[[#This Row],[Edital]],tEditais[Edital],0)),"Não")</f>
        <v>Não</v>
      </c>
      <c r="P8939" s="4">
        <f>IF(COUNTIFS(INDEX(tItens[Edital],1):tItens[[#This Row],[Edital]],tItens[[#This Row],[Edital]],INDEX(tItens[Produto],1):tItens[[#This Row],[Produto]],tItens[[#This Row],[Produto]])=1,1,0)</f>
        <v>1</v>
      </c>
    </row>
    <row r="8940" spans="1:16" x14ac:dyDescent="0.25">
      <c r="A8940" t="s">
        <v>3069</v>
      </c>
      <c r="B8940">
        <v>122</v>
      </c>
      <c r="C8940" t="s">
        <v>11289</v>
      </c>
      <c r="D8940" t="s">
        <v>75</v>
      </c>
      <c r="E8940" s="13">
        <v>100</v>
      </c>
      <c r="F8940" s="12">
        <v>5.88</v>
      </c>
      <c r="G8940" t="str">
        <f>IFERROR(INDEX(tEditais[Órgão],MATCH(tItens[[#This Row],[Edital]],tEditais[Edital],0)),"")</f>
        <v>MUNICIPIO DE MARIAPOLIS</v>
      </c>
      <c r="H8940" t="str">
        <f>IFERROR(INDEX(tEditais[UF],MATCH(tItens[[#This Row],[Edital]],tEditais[Edital],0)),"")</f>
        <v>SP</v>
      </c>
      <c r="I8940" s="11">
        <f>IFERROR(INDEX(tEditais[Encerramento],MATCH(tItens[[#This Row],[Edital]],tEditais[Edital],0)),"")</f>
        <v>46311.347222222219</v>
      </c>
      <c r="J8940" t="str">
        <f>IFERROR(INDEX(tProdutos[Classe],MATCH(tItens[[#This Row],[Produto]],tProdutos[Produto],0)),"produto não cadastrado")</f>
        <v>NÚCLEO</v>
      </c>
      <c r="K8940" s="12">
        <f>tItens[[#This Row],[Qtd]]*tItens[[#This Row],[Vlr unit]]</f>
        <v>588</v>
      </c>
      <c r="L8940" s="6">
        <f>IFERROR(IF(INDEX(tProdutos[Desconto homologado],MATCH(tItens[[#This Row],[Produto]],tProdutos[Produto],0))="",DescontoPadrao,INDEX(tProdutos[Desconto homologado],MATCH(tItens[[#This Row],[Produto]],tProdutos[Produto],0))),DescontoPadrao)</f>
        <v>0.26</v>
      </c>
      <c r="M8940" s="12">
        <f>tItens[[#This Row],[Valor]]*(1-tItens[[#This Row],[Desconto]])</f>
        <v>435.12</v>
      </c>
      <c r="N8940" t="str">
        <f>IFERROR(INDEX(tProdutos[Foco],MATCH(tItens[[#This Row],[Produto]],tProdutos[Produto],0)),"Não")</f>
        <v>Sim</v>
      </c>
      <c r="O8940" t="str">
        <f>IFERROR(INDEX(tEditais[SRP],MATCH(tItens[[#This Row],[Edital]],tEditais[Edital],0)),"Não")</f>
        <v>Não</v>
      </c>
      <c r="P8940" s="4">
        <f>IF(COUNTIFS(INDEX(tItens[Edital],1):tItens[[#This Row],[Edital]],tItens[[#This Row],[Edital]],INDEX(tItens[Produto],1):tItens[[#This Row],[Produto]],tItens[[#This Row],[Produto]])=1,1,0)</f>
        <v>1</v>
      </c>
    </row>
    <row r="8941" spans="1:16" x14ac:dyDescent="0.25">
      <c r="A8941" t="s">
        <v>3069</v>
      </c>
      <c r="B8941">
        <v>130</v>
      </c>
      <c r="C8941" t="s">
        <v>11290</v>
      </c>
      <c r="D8941" t="s">
        <v>461</v>
      </c>
      <c r="E8941" s="13">
        <v>10</v>
      </c>
      <c r="F8941" s="12">
        <v>107.1</v>
      </c>
      <c r="G8941" t="str">
        <f>IFERROR(INDEX(tEditais[Órgão],MATCH(tItens[[#This Row],[Edital]],tEditais[Edital],0)),"")</f>
        <v>MUNICIPIO DE MARIAPOLIS</v>
      </c>
      <c r="H8941" t="str">
        <f>IFERROR(INDEX(tEditais[UF],MATCH(tItens[[#This Row],[Edital]],tEditais[Edital],0)),"")</f>
        <v>SP</v>
      </c>
      <c r="I8941" s="11">
        <f>IFERROR(INDEX(tEditais[Encerramento],MATCH(tItens[[#This Row],[Edital]],tEditais[Edital],0)),"")</f>
        <v>46311.347222222219</v>
      </c>
      <c r="J8941" t="str">
        <f>IFERROR(INDEX(tProdutos[Classe],MATCH(tItens[[#This Row],[Produto]],tProdutos[Produto],0)),"produto não cadastrado")</f>
        <v>FILA REBASE</v>
      </c>
      <c r="K8941" s="12">
        <f>tItens[[#This Row],[Qtd]]*tItens[[#This Row],[Vlr unit]]</f>
        <v>1071</v>
      </c>
      <c r="L8941" s="6">
        <f>IFERROR(IF(INDEX(tProdutos[Desconto homologado],MATCH(tItens[[#This Row],[Produto]],tProdutos[Produto],0))="",DescontoPadrao,INDEX(tProdutos[Desconto homologado],MATCH(tItens[[#This Row],[Produto]],tProdutos[Produto],0))),DescontoPadrao)</f>
        <v>0.44096385542168698</v>
      </c>
      <c r="M8941" s="12">
        <f>tItens[[#This Row],[Valor]]*(1-tItens[[#This Row],[Desconto]])</f>
        <v>598.72771084337319</v>
      </c>
      <c r="N8941" t="str">
        <f>IFERROR(INDEX(tProdutos[Foco],MATCH(tItens[[#This Row],[Produto]],tProdutos[Produto],0)),"Não")</f>
        <v>Não</v>
      </c>
      <c r="O8941" t="str">
        <f>IFERROR(INDEX(tEditais[SRP],MATCH(tItens[[#This Row],[Edital]],tEditais[Edital],0)),"Não")</f>
        <v>Não</v>
      </c>
      <c r="P8941" s="4">
        <f>IF(COUNTIFS(INDEX(tItens[Edital],1):tItens[[#This Row],[Edital]],tItens[[#This Row],[Edital]],INDEX(tItens[Produto],1):tItens[[#This Row],[Produto]],tItens[[#This Row],[Produto]])=1,1,0)</f>
        <v>1</v>
      </c>
    </row>
    <row r="8942" spans="1:16" x14ac:dyDescent="0.25">
      <c r="A8942" t="s">
        <v>3069</v>
      </c>
      <c r="B8942">
        <v>133</v>
      </c>
      <c r="C8942" t="s">
        <v>11291</v>
      </c>
      <c r="D8942" t="s">
        <v>77</v>
      </c>
      <c r="E8942" s="13">
        <v>1500</v>
      </c>
      <c r="F8942" s="12">
        <v>4.83</v>
      </c>
      <c r="G8942" t="str">
        <f>IFERROR(INDEX(tEditais[Órgão],MATCH(tItens[[#This Row],[Edital]],tEditais[Edital],0)),"")</f>
        <v>MUNICIPIO DE MARIAPOLIS</v>
      </c>
      <c r="H8942" t="str">
        <f>IFERROR(INDEX(tEditais[UF],MATCH(tItens[[#This Row],[Edital]],tEditais[Edital],0)),"")</f>
        <v>SP</v>
      </c>
      <c r="I8942" s="11">
        <f>IFERROR(INDEX(tEditais[Encerramento],MATCH(tItens[[#This Row],[Edital]],tEditais[Edital],0)),"")</f>
        <v>46311.347222222219</v>
      </c>
      <c r="J8942" t="str">
        <f>IFERROR(INDEX(tProdutos[Classe],MATCH(tItens[[#This Row],[Produto]],tProdutos[Produto],0)),"produto não cadastrado")</f>
        <v>DISPUTADO</v>
      </c>
      <c r="K8942" s="12">
        <f>tItens[[#This Row],[Qtd]]*tItens[[#This Row],[Vlr unit]]</f>
        <v>7245</v>
      </c>
      <c r="L8942" s="6">
        <f>IFERROR(IF(INDEX(tProdutos[Desconto homologado],MATCH(tItens[[#This Row],[Produto]],tProdutos[Produto],0))="",DescontoPadrao,INDEX(tProdutos[Desconto homologado],MATCH(tItens[[#This Row],[Produto]],tProdutos[Produto],0))),DescontoPadrao)</f>
        <v>0.33</v>
      </c>
      <c r="M8942" s="12">
        <f>tItens[[#This Row],[Valor]]*(1-tItens[[#This Row],[Desconto]])</f>
        <v>4854.1499999999996</v>
      </c>
      <c r="N8942" t="str">
        <f>IFERROR(INDEX(tProdutos[Foco],MATCH(tItens[[#This Row],[Produto]],tProdutos[Produto],0)),"Não")</f>
        <v>Sim</v>
      </c>
      <c r="O8942" t="str">
        <f>IFERROR(INDEX(tEditais[SRP],MATCH(tItens[[#This Row],[Edital]],tEditais[Edital],0)),"Não")</f>
        <v>Não</v>
      </c>
      <c r="P8942" s="4">
        <f>IF(COUNTIFS(INDEX(tItens[Edital],1):tItens[[#This Row],[Edital]],tItens[[#This Row],[Edital]],INDEX(tItens[Produto],1):tItens[[#This Row],[Produto]],tItens[[#This Row],[Produto]])=1,1,0)</f>
        <v>1</v>
      </c>
    </row>
    <row r="8943" spans="1:16" x14ac:dyDescent="0.25">
      <c r="A8943" t="s">
        <v>3069</v>
      </c>
      <c r="B8943">
        <v>134</v>
      </c>
      <c r="C8943" t="s">
        <v>11292</v>
      </c>
      <c r="D8943" t="s">
        <v>142</v>
      </c>
      <c r="E8943" s="13">
        <v>300</v>
      </c>
      <c r="F8943" s="12">
        <v>9.8000000000000007</v>
      </c>
      <c r="G8943" t="str">
        <f>IFERROR(INDEX(tEditais[Órgão],MATCH(tItens[[#This Row],[Edital]],tEditais[Edital],0)),"")</f>
        <v>MUNICIPIO DE MARIAPOLIS</v>
      </c>
      <c r="H8943" t="str">
        <f>IFERROR(INDEX(tEditais[UF],MATCH(tItens[[#This Row],[Edital]],tEditais[Edital],0)),"")</f>
        <v>SP</v>
      </c>
      <c r="I8943" s="11">
        <f>IFERROR(INDEX(tEditais[Encerramento],MATCH(tItens[[#This Row],[Edital]],tEditais[Edital],0)),"")</f>
        <v>46311.347222222219</v>
      </c>
      <c r="J8943" t="str">
        <f>IFERROR(INDEX(tProdutos[Classe],MATCH(tItens[[#This Row],[Produto]],tProdutos[Produto],0)),"produto não cadastrado")</f>
        <v>DISPUTADO</v>
      </c>
      <c r="K8943" s="12">
        <f>tItens[[#This Row],[Qtd]]*tItens[[#This Row],[Vlr unit]]</f>
        <v>2940</v>
      </c>
      <c r="L8943" s="6">
        <f>IFERROR(IF(INDEX(tProdutos[Desconto homologado],MATCH(tItens[[#This Row],[Produto]],tProdutos[Produto],0))="",DescontoPadrao,INDEX(tProdutos[Desconto homologado],MATCH(tItens[[#This Row],[Produto]],tProdutos[Produto],0))),DescontoPadrao)</f>
        <v>0.37093619495691699</v>
      </c>
      <c r="M8943" s="12">
        <f>tItens[[#This Row],[Valor]]*(1-tItens[[#This Row],[Desconto]])</f>
        <v>1849.4475868266641</v>
      </c>
      <c r="N8943" t="str">
        <f>IFERROR(INDEX(tProdutos[Foco],MATCH(tItens[[#This Row],[Produto]],tProdutos[Produto],0)),"Não")</f>
        <v>Não</v>
      </c>
      <c r="O8943" t="str">
        <f>IFERROR(INDEX(tEditais[SRP],MATCH(tItens[[#This Row],[Edital]],tEditais[Edital],0)),"Não")</f>
        <v>Não</v>
      </c>
      <c r="P8943" s="4">
        <f>IF(COUNTIFS(INDEX(tItens[Edital],1):tItens[[#This Row],[Edital]],tItens[[#This Row],[Edital]],INDEX(tItens[Produto],1):tItens[[#This Row],[Produto]],tItens[[#This Row],[Produto]])=1,1,0)</f>
        <v>1</v>
      </c>
    </row>
    <row r="8944" spans="1:16" x14ac:dyDescent="0.25">
      <c r="A8944" t="s">
        <v>3069</v>
      </c>
      <c r="B8944">
        <v>144</v>
      </c>
      <c r="C8944" t="s">
        <v>11293</v>
      </c>
      <c r="D8944" t="s">
        <v>393</v>
      </c>
      <c r="E8944" s="13">
        <v>50</v>
      </c>
      <c r="F8944" s="12">
        <v>25.86</v>
      </c>
      <c r="G8944" t="str">
        <f>IFERROR(INDEX(tEditais[Órgão],MATCH(tItens[[#This Row],[Edital]],tEditais[Edital],0)),"")</f>
        <v>MUNICIPIO DE MARIAPOLIS</v>
      </c>
      <c r="H8944" t="str">
        <f>IFERROR(INDEX(tEditais[UF],MATCH(tItens[[#This Row],[Edital]],tEditais[Edital],0)),"")</f>
        <v>SP</v>
      </c>
      <c r="I8944" s="11">
        <f>IFERROR(INDEX(tEditais[Encerramento],MATCH(tItens[[#This Row],[Edital]],tEditais[Edital],0)),"")</f>
        <v>46311.347222222219</v>
      </c>
      <c r="J8944" t="str">
        <f>IFERROR(INDEX(tProdutos[Classe],MATCH(tItens[[#This Row],[Produto]],tProdutos[Produto],0)),"produto não cadastrado")</f>
        <v>FORA</v>
      </c>
      <c r="K8944" s="12">
        <f>tItens[[#This Row],[Qtd]]*tItens[[#This Row],[Vlr unit]]</f>
        <v>1293</v>
      </c>
      <c r="L8944" s="6">
        <f>IFERROR(IF(INDEX(tProdutos[Desconto homologado],MATCH(tItens[[#This Row],[Produto]],tProdutos[Produto],0))="",DescontoPadrao,INDEX(tProdutos[Desconto homologado],MATCH(tItens[[#This Row],[Produto]],tProdutos[Produto],0))),DescontoPadrao)</f>
        <v>0.286445012787724</v>
      </c>
      <c r="M8944" s="12">
        <f>tItens[[#This Row],[Valor]]*(1-tItens[[#This Row],[Desconto]])</f>
        <v>922.62659846547285</v>
      </c>
      <c r="N8944" t="str">
        <f>IFERROR(INDEX(tProdutos[Foco],MATCH(tItens[[#This Row],[Produto]],tProdutos[Produto],0)),"Não")</f>
        <v>Não</v>
      </c>
      <c r="O8944" t="str">
        <f>IFERROR(INDEX(tEditais[SRP],MATCH(tItens[[#This Row],[Edital]],tEditais[Edital],0)),"Não")</f>
        <v>Não</v>
      </c>
      <c r="P8944" s="4">
        <f>IF(COUNTIFS(INDEX(tItens[Edital],1):tItens[[#This Row],[Edital]],tItens[[#This Row],[Edital]],INDEX(tItens[Produto],1):tItens[[#This Row],[Produto]],tItens[[#This Row],[Produto]])=1,1,0)</f>
        <v>1</v>
      </c>
    </row>
    <row r="8945" spans="1:16" x14ac:dyDescent="0.25">
      <c r="A8945" t="s">
        <v>3069</v>
      </c>
      <c r="B8945">
        <v>145</v>
      </c>
      <c r="C8945" t="s">
        <v>11294</v>
      </c>
      <c r="D8945" t="s">
        <v>393</v>
      </c>
      <c r="E8945" s="13">
        <v>30</v>
      </c>
      <c r="F8945" s="12">
        <v>29.78</v>
      </c>
      <c r="G8945" t="str">
        <f>IFERROR(INDEX(tEditais[Órgão],MATCH(tItens[[#This Row],[Edital]],tEditais[Edital],0)),"")</f>
        <v>MUNICIPIO DE MARIAPOLIS</v>
      </c>
      <c r="H8945" t="str">
        <f>IFERROR(INDEX(tEditais[UF],MATCH(tItens[[#This Row],[Edital]],tEditais[Edital],0)),"")</f>
        <v>SP</v>
      </c>
      <c r="I8945" s="11">
        <f>IFERROR(INDEX(tEditais[Encerramento],MATCH(tItens[[#This Row],[Edital]],tEditais[Edital],0)),"")</f>
        <v>46311.347222222219</v>
      </c>
      <c r="J8945" t="str">
        <f>IFERROR(INDEX(tProdutos[Classe],MATCH(tItens[[#This Row],[Produto]],tProdutos[Produto],0)),"produto não cadastrado")</f>
        <v>FORA</v>
      </c>
      <c r="K8945" s="12">
        <f>tItens[[#This Row],[Qtd]]*tItens[[#This Row],[Vlr unit]]</f>
        <v>893.40000000000009</v>
      </c>
      <c r="L8945" s="6">
        <f>IFERROR(IF(INDEX(tProdutos[Desconto homologado],MATCH(tItens[[#This Row],[Produto]],tProdutos[Produto],0))="",DescontoPadrao,INDEX(tProdutos[Desconto homologado],MATCH(tItens[[#This Row],[Produto]],tProdutos[Produto],0))),DescontoPadrao)</f>
        <v>0.286445012787724</v>
      </c>
      <c r="M8945" s="12">
        <f>tItens[[#This Row],[Valor]]*(1-tItens[[#This Row],[Desconto]])</f>
        <v>637.49002557544736</v>
      </c>
      <c r="N8945" t="str">
        <f>IFERROR(INDEX(tProdutos[Foco],MATCH(tItens[[#This Row],[Produto]],tProdutos[Produto],0)),"Não")</f>
        <v>Não</v>
      </c>
      <c r="O8945" t="str">
        <f>IFERROR(INDEX(tEditais[SRP],MATCH(tItens[[#This Row],[Edital]],tEditais[Edital],0)),"Não")</f>
        <v>Não</v>
      </c>
      <c r="P8945" s="4">
        <f>IF(COUNTIFS(INDEX(tItens[Edital],1):tItens[[#This Row],[Edital]],tItens[[#This Row],[Edital]],INDEX(tItens[Produto],1):tItens[[#This Row],[Produto]],tItens[[#This Row],[Produto]])=1,1,0)</f>
        <v>0</v>
      </c>
    </row>
    <row r="8946" spans="1:16" x14ac:dyDescent="0.25">
      <c r="A8946" t="s">
        <v>3069</v>
      </c>
      <c r="B8946">
        <v>146</v>
      </c>
      <c r="C8946" t="s">
        <v>11295</v>
      </c>
      <c r="D8946" t="s">
        <v>512</v>
      </c>
      <c r="E8946" s="13">
        <v>50</v>
      </c>
      <c r="F8946" s="12">
        <v>23.51</v>
      </c>
      <c r="G8946" t="str">
        <f>IFERROR(INDEX(tEditais[Órgão],MATCH(tItens[[#This Row],[Edital]],tEditais[Edital],0)),"")</f>
        <v>MUNICIPIO DE MARIAPOLIS</v>
      </c>
      <c r="H8946" t="str">
        <f>IFERROR(INDEX(tEditais[UF],MATCH(tItens[[#This Row],[Edital]],tEditais[Edital],0)),"")</f>
        <v>SP</v>
      </c>
      <c r="I8946" s="11">
        <f>IFERROR(INDEX(tEditais[Encerramento],MATCH(tItens[[#This Row],[Edital]],tEditais[Edital],0)),"")</f>
        <v>46311.347222222219</v>
      </c>
      <c r="J8946" t="str">
        <f>IFERROR(INDEX(tProdutos[Classe],MATCH(tItens[[#This Row],[Produto]],tProdutos[Produto],0)),"produto não cadastrado")</f>
        <v>FILA REBASE</v>
      </c>
      <c r="K8946" s="12">
        <f>tItens[[#This Row],[Qtd]]*tItens[[#This Row],[Vlr unit]]</f>
        <v>1175.5</v>
      </c>
      <c r="L8946" s="6">
        <f>IFERROR(IF(INDEX(tProdutos[Desconto homologado],MATCH(tItens[[#This Row],[Produto]],tProdutos[Produto],0))="",DescontoPadrao,INDEX(tProdutos[Desconto homologado],MATCH(tItens[[#This Row],[Produto]],tProdutos[Produto],0))),DescontoPadrao)</f>
        <v>0.32579365079365102</v>
      </c>
      <c r="M8946" s="12">
        <f>tItens[[#This Row],[Valor]]*(1-tItens[[#This Row],[Desconto]])</f>
        <v>792.52956349206329</v>
      </c>
      <c r="N8946" t="str">
        <f>IFERROR(INDEX(tProdutos[Foco],MATCH(tItens[[#This Row],[Produto]],tProdutos[Produto],0)),"Não")</f>
        <v>Não</v>
      </c>
      <c r="O8946" t="str">
        <f>IFERROR(INDEX(tEditais[SRP],MATCH(tItens[[#This Row],[Edital]],tEditais[Edital],0)),"Não")</f>
        <v>Não</v>
      </c>
      <c r="P8946" s="4">
        <f>IF(COUNTIFS(INDEX(tItens[Edital],1):tItens[[#This Row],[Edital]],tItens[[#This Row],[Edital]],INDEX(tItens[Produto],1):tItens[[#This Row],[Produto]],tItens[[#This Row],[Produto]])=1,1,0)</f>
        <v>1</v>
      </c>
    </row>
    <row r="8947" spans="1:16" x14ac:dyDescent="0.25">
      <c r="A8947" t="s">
        <v>3069</v>
      </c>
      <c r="B8947">
        <v>147</v>
      </c>
      <c r="C8947" t="s">
        <v>11296</v>
      </c>
      <c r="D8947" t="s">
        <v>512</v>
      </c>
      <c r="E8947" s="13">
        <v>200</v>
      </c>
      <c r="F8947" s="12">
        <v>107.1</v>
      </c>
      <c r="G8947" t="str">
        <f>IFERROR(INDEX(tEditais[Órgão],MATCH(tItens[[#This Row],[Edital]],tEditais[Edital],0)),"")</f>
        <v>MUNICIPIO DE MARIAPOLIS</v>
      </c>
      <c r="H8947" t="str">
        <f>IFERROR(INDEX(tEditais[UF],MATCH(tItens[[#This Row],[Edital]],tEditais[Edital],0)),"")</f>
        <v>SP</v>
      </c>
      <c r="I8947" s="11">
        <f>IFERROR(INDEX(tEditais[Encerramento],MATCH(tItens[[#This Row],[Edital]],tEditais[Edital],0)),"")</f>
        <v>46311.347222222219</v>
      </c>
      <c r="J8947" t="str">
        <f>IFERROR(INDEX(tProdutos[Classe],MATCH(tItens[[#This Row],[Produto]],tProdutos[Produto],0)),"produto não cadastrado")</f>
        <v>FILA REBASE</v>
      </c>
      <c r="K8947" s="12">
        <f>tItens[[#This Row],[Qtd]]*tItens[[#This Row],[Vlr unit]]</f>
        <v>21420</v>
      </c>
      <c r="L8947" s="6">
        <f>IFERROR(IF(INDEX(tProdutos[Desconto homologado],MATCH(tItens[[#This Row],[Produto]],tProdutos[Produto],0))="",DescontoPadrao,INDEX(tProdutos[Desconto homologado],MATCH(tItens[[#This Row],[Produto]],tProdutos[Produto],0))),DescontoPadrao)</f>
        <v>0.32579365079365102</v>
      </c>
      <c r="M8947" s="12">
        <f>tItens[[#This Row],[Valor]]*(1-tItens[[#This Row],[Desconto]])</f>
        <v>14441.499999999996</v>
      </c>
      <c r="N8947" t="str">
        <f>IFERROR(INDEX(tProdutos[Foco],MATCH(tItens[[#This Row],[Produto]],tProdutos[Produto],0)),"Não")</f>
        <v>Não</v>
      </c>
      <c r="O8947" t="str">
        <f>IFERROR(INDEX(tEditais[SRP],MATCH(tItens[[#This Row],[Edital]],tEditais[Edital],0)),"Não")</f>
        <v>Não</v>
      </c>
      <c r="P8947" s="4">
        <f>IF(COUNTIFS(INDEX(tItens[Edital],1):tItens[[#This Row],[Edital]],tItens[[#This Row],[Edital]],INDEX(tItens[Produto],1):tItens[[#This Row],[Produto]],tItens[[#This Row],[Produto]])=1,1,0)</f>
        <v>0</v>
      </c>
    </row>
    <row r="8948" spans="1:16" x14ac:dyDescent="0.25">
      <c r="A8948" t="s">
        <v>3069</v>
      </c>
      <c r="B8948">
        <v>148</v>
      </c>
      <c r="C8948" t="s">
        <v>11297</v>
      </c>
      <c r="D8948" t="s">
        <v>467</v>
      </c>
      <c r="E8948" s="13">
        <v>50</v>
      </c>
      <c r="F8948" s="12">
        <v>10.32</v>
      </c>
      <c r="G8948" t="str">
        <f>IFERROR(INDEX(tEditais[Órgão],MATCH(tItens[[#This Row],[Edital]],tEditais[Edital],0)),"")</f>
        <v>MUNICIPIO DE MARIAPOLIS</v>
      </c>
      <c r="H8948" t="str">
        <f>IFERROR(INDEX(tEditais[UF],MATCH(tItens[[#This Row],[Edital]],tEditais[Edital],0)),"")</f>
        <v>SP</v>
      </c>
      <c r="I8948" s="11">
        <f>IFERROR(INDEX(tEditais[Encerramento],MATCH(tItens[[#This Row],[Edital]],tEditais[Edital],0)),"")</f>
        <v>46311.347222222219</v>
      </c>
      <c r="J8948" t="str">
        <f>IFERROR(INDEX(tProdutos[Classe],MATCH(tItens[[#This Row],[Produto]],tProdutos[Produto],0)),"produto não cadastrado")</f>
        <v>FILA REBASE</v>
      </c>
      <c r="K8948" s="12">
        <f>tItens[[#This Row],[Qtd]]*tItens[[#This Row],[Vlr unit]]</f>
        <v>516</v>
      </c>
      <c r="L8948" s="6">
        <f>IFERROR(IF(INDEX(tProdutos[Desconto homologado],MATCH(tItens[[#This Row],[Produto]],tProdutos[Produto],0))="",DescontoPadrao,INDEX(tProdutos[Desconto homologado],MATCH(tItens[[#This Row],[Produto]],tProdutos[Produto],0))),DescontoPadrao)</f>
        <v>0.25007144898542499</v>
      </c>
      <c r="M8948" s="12">
        <f>tItens[[#This Row],[Valor]]*(1-tItens[[#This Row],[Desconto]])</f>
        <v>386.96313232352071</v>
      </c>
      <c r="N8948" t="str">
        <f>IFERROR(INDEX(tProdutos[Foco],MATCH(tItens[[#This Row],[Produto]],tProdutos[Produto],0)),"Não")</f>
        <v>Não</v>
      </c>
      <c r="O8948" t="str">
        <f>IFERROR(INDEX(tEditais[SRP],MATCH(tItens[[#This Row],[Edital]],tEditais[Edital],0)),"Não")</f>
        <v>Não</v>
      </c>
      <c r="P8948" s="4">
        <f>IF(COUNTIFS(INDEX(tItens[Edital],1):tItens[[#This Row],[Edital]],tItens[[#This Row],[Edital]],INDEX(tItens[Produto],1):tItens[[#This Row],[Produto]],tItens[[#This Row],[Produto]])=1,1,0)</f>
        <v>1</v>
      </c>
    </row>
    <row r="8949" spans="1:16" x14ac:dyDescent="0.25">
      <c r="A8949" t="s">
        <v>3069</v>
      </c>
      <c r="B8949">
        <v>149</v>
      </c>
      <c r="C8949" t="s">
        <v>11298</v>
      </c>
      <c r="D8949" t="s">
        <v>154</v>
      </c>
      <c r="E8949" s="13">
        <v>80</v>
      </c>
      <c r="F8949" s="12">
        <v>49.63</v>
      </c>
      <c r="G8949" t="str">
        <f>IFERROR(INDEX(tEditais[Órgão],MATCH(tItens[[#This Row],[Edital]],tEditais[Edital],0)),"")</f>
        <v>MUNICIPIO DE MARIAPOLIS</v>
      </c>
      <c r="H8949" t="str">
        <f>IFERROR(INDEX(tEditais[UF],MATCH(tItens[[#This Row],[Edital]],tEditais[Edital],0)),"")</f>
        <v>SP</v>
      </c>
      <c r="I8949" s="11">
        <f>IFERROR(INDEX(tEditais[Encerramento],MATCH(tItens[[#This Row],[Edital]],tEditais[Edital],0)),"")</f>
        <v>46311.347222222219</v>
      </c>
      <c r="J8949" t="str">
        <f>IFERROR(INDEX(tProdutos[Classe],MATCH(tItens[[#This Row],[Produto]],tProdutos[Produto],0)),"produto não cadastrado")</f>
        <v>DISPUTADO</v>
      </c>
      <c r="K8949" s="12">
        <f>tItens[[#This Row],[Qtd]]*tItens[[#This Row],[Vlr unit]]</f>
        <v>3970.4</v>
      </c>
      <c r="L8949" s="6">
        <f>IFERROR(IF(INDEX(tProdutos[Desconto homologado],MATCH(tItens[[#This Row],[Produto]],tProdutos[Produto],0))="",DescontoPadrao,INDEX(tProdutos[Desconto homologado],MATCH(tItens[[#This Row],[Produto]],tProdutos[Produto],0))),DescontoPadrao)</f>
        <v>0.48690097134476601</v>
      </c>
      <c r="M8949" s="12">
        <f>tItens[[#This Row],[Valor]]*(1-tItens[[#This Row],[Desconto]])</f>
        <v>2037.2083833727409</v>
      </c>
      <c r="N8949" t="str">
        <f>IFERROR(INDEX(tProdutos[Foco],MATCH(tItens[[#This Row],[Produto]],tProdutos[Produto],0)),"Não")</f>
        <v>Não</v>
      </c>
      <c r="O8949" t="str">
        <f>IFERROR(INDEX(tEditais[SRP],MATCH(tItens[[#This Row],[Edital]],tEditais[Edital],0)),"Não")</f>
        <v>Não</v>
      </c>
      <c r="P8949" s="4">
        <f>IF(COUNTIFS(INDEX(tItens[Edital],1):tItens[[#This Row],[Edital]],tItens[[#This Row],[Edital]],INDEX(tItens[Produto],1):tItens[[#This Row],[Produto]],tItens[[#This Row],[Produto]])=1,1,0)</f>
        <v>1</v>
      </c>
    </row>
    <row r="8950" spans="1:16" x14ac:dyDescent="0.25">
      <c r="A8950" t="s">
        <v>3069</v>
      </c>
      <c r="B8950">
        <v>157</v>
      </c>
      <c r="C8950" t="s">
        <v>11299</v>
      </c>
      <c r="D8950" t="s">
        <v>411</v>
      </c>
      <c r="E8950" s="13">
        <v>120</v>
      </c>
      <c r="F8950" s="12">
        <v>313.45999999999998</v>
      </c>
      <c r="G8950" t="str">
        <f>IFERROR(INDEX(tEditais[Órgão],MATCH(tItens[[#This Row],[Edital]],tEditais[Edital],0)),"")</f>
        <v>MUNICIPIO DE MARIAPOLIS</v>
      </c>
      <c r="H8950" t="str">
        <f>IFERROR(INDEX(tEditais[UF],MATCH(tItens[[#This Row],[Edital]],tEditais[Edital],0)),"")</f>
        <v>SP</v>
      </c>
      <c r="I8950" s="11">
        <f>IFERROR(INDEX(tEditais[Encerramento],MATCH(tItens[[#This Row],[Edital]],tEditais[Edital],0)),"")</f>
        <v>46311.347222222219</v>
      </c>
      <c r="J8950" t="str">
        <f>IFERROR(INDEX(tProdutos[Classe],MATCH(tItens[[#This Row],[Produto]],tProdutos[Produto],0)),"produto não cadastrado")</f>
        <v>FORA</v>
      </c>
      <c r="K8950" s="12">
        <f>tItens[[#This Row],[Qtd]]*tItens[[#This Row],[Vlr unit]]</f>
        <v>37615.199999999997</v>
      </c>
      <c r="L8950" s="6">
        <f>IFERROR(IF(INDEX(tProdutos[Desconto homologado],MATCH(tItens[[#This Row],[Produto]],tProdutos[Produto],0))="",DescontoPadrao,INDEX(tProdutos[Desconto homologado],MATCH(tItens[[#This Row],[Produto]],tProdutos[Produto],0))),DescontoPadrao)</f>
        <v>0.50029835957199398</v>
      </c>
      <c r="M8950" s="12">
        <f>tItens[[#This Row],[Valor]]*(1-tItens[[#This Row],[Desconto]])</f>
        <v>18796.377145027531</v>
      </c>
      <c r="N8950" t="str">
        <f>IFERROR(INDEX(tProdutos[Foco],MATCH(tItens[[#This Row],[Produto]],tProdutos[Produto],0)),"Não")</f>
        <v>Não</v>
      </c>
      <c r="O8950" t="str">
        <f>IFERROR(INDEX(tEditais[SRP],MATCH(tItens[[#This Row],[Edital]],tEditais[Edital],0)),"Não")</f>
        <v>Não</v>
      </c>
      <c r="P8950" s="4">
        <f>IF(COUNTIFS(INDEX(tItens[Edital],1):tItens[[#This Row],[Edital]],tItens[[#This Row],[Edital]],INDEX(tItens[Produto],1):tItens[[#This Row],[Produto]],tItens[[#This Row],[Produto]])=1,1,0)</f>
        <v>1</v>
      </c>
    </row>
    <row r="8951" spans="1:16" x14ac:dyDescent="0.25">
      <c r="A8951" t="s">
        <v>3069</v>
      </c>
      <c r="B8951">
        <v>158</v>
      </c>
      <c r="C8951" t="s">
        <v>11300</v>
      </c>
      <c r="D8951" t="s">
        <v>411</v>
      </c>
      <c r="E8951" s="13">
        <v>60</v>
      </c>
      <c r="F8951" s="12">
        <v>313.45999999999998</v>
      </c>
      <c r="G8951" t="str">
        <f>IFERROR(INDEX(tEditais[Órgão],MATCH(tItens[[#This Row],[Edital]],tEditais[Edital],0)),"")</f>
        <v>MUNICIPIO DE MARIAPOLIS</v>
      </c>
      <c r="H8951" t="str">
        <f>IFERROR(INDEX(tEditais[UF],MATCH(tItens[[#This Row],[Edital]],tEditais[Edital],0)),"")</f>
        <v>SP</v>
      </c>
      <c r="I8951" s="11">
        <f>IFERROR(INDEX(tEditais[Encerramento],MATCH(tItens[[#This Row],[Edital]],tEditais[Edital],0)),"")</f>
        <v>46311.347222222219</v>
      </c>
      <c r="J8951" t="str">
        <f>IFERROR(INDEX(tProdutos[Classe],MATCH(tItens[[#This Row],[Produto]],tProdutos[Produto],0)),"produto não cadastrado")</f>
        <v>FORA</v>
      </c>
      <c r="K8951" s="12">
        <f>tItens[[#This Row],[Qtd]]*tItens[[#This Row],[Vlr unit]]</f>
        <v>18807.599999999999</v>
      </c>
      <c r="L8951" s="6">
        <f>IFERROR(IF(INDEX(tProdutos[Desconto homologado],MATCH(tItens[[#This Row],[Produto]],tProdutos[Produto],0))="",DescontoPadrao,INDEX(tProdutos[Desconto homologado],MATCH(tItens[[#This Row],[Produto]],tProdutos[Produto],0))),DescontoPadrao)</f>
        <v>0.50029835957199398</v>
      </c>
      <c r="M8951" s="12">
        <f>tItens[[#This Row],[Valor]]*(1-tItens[[#This Row],[Desconto]])</f>
        <v>9398.1885725137654</v>
      </c>
      <c r="N8951" t="str">
        <f>IFERROR(INDEX(tProdutos[Foco],MATCH(tItens[[#This Row],[Produto]],tProdutos[Produto],0)),"Não")</f>
        <v>Não</v>
      </c>
      <c r="O8951" t="str">
        <f>IFERROR(INDEX(tEditais[SRP],MATCH(tItens[[#This Row],[Edital]],tEditais[Edital],0)),"Não")</f>
        <v>Não</v>
      </c>
      <c r="P8951" s="4">
        <f>IF(COUNTIFS(INDEX(tItens[Edital],1):tItens[[#This Row],[Edital]],tItens[[#This Row],[Edital]],INDEX(tItens[Produto],1):tItens[[#This Row],[Produto]],tItens[[#This Row],[Produto]])=1,1,0)</f>
        <v>0</v>
      </c>
    </row>
    <row r="8952" spans="1:16" x14ac:dyDescent="0.25">
      <c r="A8952" t="s">
        <v>3069</v>
      </c>
      <c r="B8952">
        <v>159</v>
      </c>
      <c r="C8952" t="s">
        <v>11301</v>
      </c>
      <c r="D8952" t="s">
        <v>126</v>
      </c>
      <c r="E8952" s="13">
        <v>20</v>
      </c>
      <c r="F8952" s="12">
        <v>195.91</v>
      </c>
      <c r="G8952" t="str">
        <f>IFERROR(INDEX(tEditais[Órgão],MATCH(tItens[[#This Row],[Edital]],tEditais[Edital],0)),"")</f>
        <v>MUNICIPIO DE MARIAPOLIS</v>
      </c>
      <c r="H8952" t="str">
        <f>IFERROR(INDEX(tEditais[UF],MATCH(tItens[[#This Row],[Edital]],tEditais[Edital],0)),"")</f>
        <v>SP</v>
      </c>
      <c r="I8952" s="11">
        <f>IFERROR(INDEX(tEditais[Encerramento],MATCH(tItens[[#This Row],[Edital]],tEditais[Edital],0)),"")</f>
        <v>46311.347222222219</v>
      </c>
      <c r="J8952" t="str">
        <f>IFERROR(INDEX(tProdutos[Classe],MATCH(tItens[[#This Row],[Produto]],tProdutos[Produto],0)),"produto não cadastrado")</f>
        <v>DISPUTADO</v>
      </c>
      <c r="K8952" s="12">
        <f>tItens[[#This Row],[Qtd]]*tItens[[#This Row],[Vlr unit]]</f>
        <v>3918.2</v>
      </c>
      <c r="L8952" s="6">
        <f>IFERROR(IF(INDEX(tProdutos[Desconto homologado],MATCH(tItens[[#This Row],[Produto]],tProdutos[Produto],0))="",DescontoPadrao,INDEX(tProdutos[Desconto homologado],MATCH(tItens[[#This Row],[Produto]],tProdutos[Produto],0))),DescontoPadrao)</f>
        <v>0.21</v>
      </c>
      <c r="M8952" s="12">
        <f>tItens[[#This Row],[Valor]]*(1-tItens[[#This Row],[Desconto]])</f>
        <v>3095.3780000000002</v>
      </c>
      <c r="N8952" t="str">
        <f>IFERROR(INDEX(tProdutos[Foco],MATCH(tItens[[#This Row],[Produto]],tProdutos[Produto],0)),"Não")</f>
        <v>Sim</v>
      </c>
      <c r="O8952" t="str">
        <f>IFERROR(INDEX(tEditais[SRP],MATCH(tItens[[#This Row],[Edital]],tEditais[Edital],0)),"Não")</f>
        <v>Não</v>
      </c>
      <c r="P8952" s="4">
        <f>IF(COUNTIFS(INDEX(tItens[Edital],1):tItens[[#This Row],[Edital]],tItens[[#This Row],[Edital]],INDEX(tItens[Produto],1):tItens[[#This Row],[Produto]],tItens[[#This Row],[Produto]])=1,1,0)</f>
        <v>1</v>
      </c>
    </row>
    <row r="8953" spans="1:16" x14ac:dyDescent="0.25">
      <c r="A8953" t="s">
        <v>3069</v>
      </c>
      <c r="B8953">
        <v>160</v>
      </c>
      <c r="C8953" t="s">
        <v>11244</v>
      </c>
      <c r="D8953" t="s">
        <v>104</v>
      </c>
      <c r="E8953" s="13">
        <v>250</v>
      </c>
      <c r="F8953" s="12">
        <v>242.93</v>
      </c>
      <c r="G8953" t="str">
        <f>IFERROR(INDEX(tEditais[Órgão],MATCH(tItens[[#This Row],[Edital]],tEditais[Edital],0)),"")</f>
        <v>MUNICIPIO DE MARIAPOLIS</v>
      </c>
      <c r="H8953" t="str">
        <f>IFERROR(INDEX(tEditais[UF],MATCH(tItens[[#This Row],[Edital]],tEditais[Edital],0)),"")</f>
        <v>SP</v>
      </c>
      <c r="I8953" s="11">
        <f>IFERROR(INDEX(tEditais[Encerramento],MATCH(tItens[[#This Row],[Edital]],tEditais[Edital],0)),"")</f>
        <v>46311.347222222219</v>
      </c>
      <c r="J8953" t="str">
        <f>IFERROR(INDEX(tProdutos[Classe],MATCH(tItens[[#This Row],[Produto]],tProdutos[Produto],0)),"produto não cadastrado")</f>
        <v>DISPUTADO</v>
      </c>
      <c r="K8953" s="12">
        <f>tItens[[#This Row],[Qtd]]*tItens[[#This Row],[Vlr unit]]</f>
        <v>60732.5</v>
      </c>
      <c r="L8953" s="6">
        <f>IFERROR(IF(INDEX(tProdutos[Desconto homologado],MATCH(tItens[[#This Row],[Produto]],tProdutos[Produto],0))="",DescontoPadrao,INDEX(tProdutos[Desconto homologado],MATCH(tItens[[#This Row],[Produto]],tProdutos[Produto],0))),DescontoPadrao)</f>
        <v>0.51</v>
      </c>
      <c r="M8953" s="12">
        <f>tItens[[#This Row],[Valor]]*(1-tItens[[#This Row],[Desconto]])</f>
        <v>29758.924999999999</v>
      </c>
      <c r="N8953" t="str">
        <f>IFERROR(INDEX(tProdutos[Foco],MATCH(tItens[[#This Row],[Produto]],tProdutos[Produto],0)),"Não")</f>
        <v>Sim</v>
      </c>
      <c r="O8953" t="str">
        <f>IFERROR(INDEX(tEditais[SRP],MATCH(tItens[[#This Row],[Edital]],tEditais[Edital],0)),"Não")</f>
        <v>Não</v>
      </c>
      <c r="P8953" s="4">
        <f>IF(COUNTIFS(INDEX(tItens[Edital],1):tItens[[#This Row],[Edital]],tItens[[#This Row],[Edital]],INDEX(tItens[Produto],1):tItens[[#This Row],[Produto]],tItens[[#This Row],[Produto]])=1,1,0)</f>
        <v>0</v>
      </c>
    </row>
    <row r="8954" spans="1:16" x14ac:dyDescent="0.25">
      <c r="A8954" t="s">
        <v>3069</v>
      </c>
      <c r="B8954">
        <v>163</v>
      </c>
      <c r="C8954" t="s">
        <v>11302</v>
      </c>
      <c r="D8954" t="s">
        <v>56</v>
      </c>
      <c r="E8954" s="13">
        <v>25</v>
      </c>
      <c r="F8954" s="12">
        <v>47.02</v>
      </c>
      <c r="G8954" t="str">
        <f>IFERROR(INDEX(tEditais[Órgão],MATCH(tItens[[#This Row],[Edital]],tEditais[Edital],0)),"")</f>
        <v>MUNICIPIO DE MARIAPOLIS</v>
      </c>
      <c r="H8954" t="str">
        <f>IFERROR(INDEX(tEditais[UF],MATCH(tItens[[#This Row],[Edital]],tEditais[Edital],0)),"")</f>
        <v>SP</v>
      </c>
      <c r="I8954" s="11">
        <f>IFERROR(INDEX(tEditais[Encerramento],MATCH(tItens[[#This Row],[Edital]],tEditais[Edital],0)),"")</f>
        <v>46311.347222222219</v>
      </c>
      <c r="J8954" t="str">
        <f>IFERROR(INDEX(tProdutos[Classe],MATCH(tItens[[#This Row],[Produto]],tProdutos[Produto],0)),"produto não cadastrado")</f>
        <v>NÚCLEO</v>
      </c>
      <c r="K8954" s="12">
        <f>tItens[[#This Row],[Qtd]]*tItens[[#This Row],[Vlr unit]]</f>
        <v>1175.5</v>
      </c>
      <c r="L8954" s="6">
        <f>IFERROR(IF(INDEX(tProdutos[Desconto homologado],MATCH(tItens[[#This Row],[Produto]],tProdutos[Produto],0))="",DescontoPadrao,INDEX(tProdutos[Desconto homologado],MATCH(tItens[[#This Row],[Produto]],tProdutos[Produto],0))),DescontoPadrao)</f>
        <v>0.34</v>
      </c>
      <c r="M8954" s="12">
        <f>tItens[[#This Row],[Valor]]*(1-tItens[[#This Row],[Desconto]])</f>
        <v>775.82999999999993</v>
      </c>
      <c r="N8954" t="str">
        <f>IFERROR(INDEX(tProdutos[Foco],MATCH(tItens[[#This Row],[Produto]],tProdutos[Produto],0)),"Não")</f>
        <v>Sim</v>
      </c>
      <c r="O8954" t="str">
        <f>IFERROR(INDEX(tEditais[SRP],MATCH(tItens[[#This Row],[Edital]],tEditais[Edital],0)),"Não")</f>
        <v>Não</v>
      </c>
      <c r="P8954" s="4">
        <f>IF(COUNTIFS(INDEX(tItens[Edital],1):tItens[[#This Row],[Edital]],tItens[[#This Row],[Edital]],INDEX(tItens[Produto],1):tItens[[#This Row],[Produto]],tItens[[#This Row],[Produto]])=1,1,0)</f>
        <v>1</v>
      </c>
    </row>
    <row r="8955" spans="1:16" x14ac:dyDescent="0.25">
      <c r="A8955" t="s">
        <v>3069</v>
      </c>
      <c r="B8955">
        <v>164</v>
      </c>
      <c r="C8955" t="s">
        <v>11303</v>
      </c>
      <c r="D8955" t="s">
        <v>56</v>
      </c>
      <c r="E8955" s="13">
        <v>150</v>
      </c>
      <c r="F8955" s="12">
        <v>1.57</v>
      </c>
      <c r="G8955" t="str">
        <f>IFERROR(INDEX(tEditais[Órgão],MATCH(tItens[[#This Row],[Edital]],tEditais[Edital],0)),"")</f>
        <v>MUNICIPIO DE MARIAPOLIS</v>
      </c>
      <c r="H8955" t="str">
        <f>IFERROR(INDEX(tEditais[UF],MATCH(tItens[[#This Row],[Edital]],tEditais[Edital],0)),"")</f>
        <v>SP</v>
      </c>
      <c r="I8955" s="11">
        <f>IFERROR(INDEX(tEditais[Encerramento],MATCH(tItens[[#This Row],[Edital]],tEditais[Edital],0)),"")</f>
        <v>46311.347222222219</v>
      </c>
      <c r="J8955" t="str">
        <f>IFERROR(INDEX(tProdutos[Classe],MATCH(tItens[[#This Row],[Produto]],tProdutos[Produto],0)),"produto não cadastrado")</f>
        <v>NÚCLEO</v>
      </c>
      <c r="K8955" s="12">
        <f>tItens[[#This Row],[Qtd]]*tItens[[#This Row],[Vlr unit]]</f>
        <v>235.5</v>
      </c>
      <c r="L8955" s="6">
        <f>IFERROR(IF(INDEX(tProdutos[Desconto homologado],MATCH(tItens[[#This Row],[Produto]],tProdutos[Produto],0))="",DescontoPadrao,INDEX(tProdutos[Desconto homologado],MATCH(tItens[[#This Row],[Produto]],tProdutos[Produto],0))),DescontoPadrao)</f>
        <v>0.34</v>
      </c>
      <c r="M8955" s="12">
        <f>tItens[[#This Row],[Valor]]*(1-tItens[[#This Row],[Desconto]])</f>
        <v>155.42999999999998</v>
      </c>
      <c r="N8955" t="str">
        <f>IFERROR(INDEX(tProdutos[Foco],MATCH(tItens[[#This Row],[Produto]],tProdutos[Produto],0)),"Não")</f>
        <v>Sim</v>
      </c>
      <c r="O8955" t="str">
        <f>IFERROR(INDEX(tEditais[SRP],MATCH(tItens[[#This Row],[Edital]],tEditais[Edital],0)),"Não")</f>
        <v>Não</v>
      </c>
      <c r="P8955" s="4">
        <f>IF(COUNTIFS(INDEX(tItens[Edital],1):tItens[[#This Row],[Edital]],tItens[[#This Row],[Edital]],INDEX(tItens[Produto],1):tItens[[#This Row],[Produto]],tItens[[#This Row],[Produto]])=1,1,0)</f>
        <v>0</v>
      </c>
    </row>
    <row r="8956" spans="1:16" x14ac:dyDescent="0.25">
      <c r="A8956" t="s">
        <v>3069</v>
      </c>
      <c r="B8956">
        <v>165</v>
      </c>
      <c r="C8956" t="s">
        <v>11304</v>
      </c>
      <c r="D8956" t="s">
        <v>56</v>
      </c>
      <c r="E8956" s="13">
        <v>160</v>
      </c>
      <c r="F8956" s="12">
        <v>1.57</v>
      </c>
      <c r="G8956" t="str">
        <f>IFERROR(INDEX(tEditais[Órgão],MATCH(tItens[[#This Row],[Edital]],tEditais[Edital],0)),"")</f>
        <v>MUNICIPIO DE MARIAPOLIS</v>
      </c>
      <c r="H8956" t="str">
        <f>IFERROR(INDEX(tEditais[UF],MATCH(tItens[[#This Row],[Edital]],tEditais[Edital],0)),"")</f>
        <v>SP</v>
      </c>
      <c r="I8956" s="11">
        <f>IFERROR(INDEX(tEditais[Encerramento],MATCH(tItens[[#This Row],[Edital]],tEditais[Edital],0)),"")</f>
        <v>46311.347222222219</v>
      </c>
      <c r="J8956" t="str">
        <f>IFERROR(INDEX(tProdutos[Classe],MATCH(tItens[[#This Row],[Produto]],tProdutos[Produto],0)),"produto não cadastrado")</f>
        <v>NÚCLEO</v>
      </c>
      <c r="K8956" s="12">
        <f>tItens[[#This Row],[Qtd]]*tItens[[#This Row],[Vlr unit]]</f>
        <v>251.20000000000002</v>
      </c>
      <c r="L8956" s="6">
        <f>IFERROR(IF(INDEX(tProdutos[Desconto homologado],MATCH(tItens[[#This Row],[Produto]],tProdutos[Produto],0))="",DescontoPadrao,INDEX(tProdutos[Desconto homologado],MATCH(tItens[[#This Row],[Produto]],tProdutos[Produto],0))),DescontoPadrao)</f>
        <v>0.34</v>
      </c>
      <c r="M8956" s="12">
        <f>tItens[[#This Row],[Valor]]*(1-tItens[[#This Row],[Desconto]])</f>
        <v>165.792</v>
      </c>
      <c r="N8956" t="str">
        <f>IFERROR(INDEX(tProdutos[Foco],MATCH(tItens[[#This Row],[Produto]],tProdutos[Produto],0)),"Não")</f>
        <v>Sim</v>
      </c>
      <c r="O8956" t="str">
        <f>IFERROR(INDEX(tEditais[SRP],MATCH(tItens[[#This Row],[Edital]],tEditais[Edital],0)),"Não")</f>
        <v>Não</v>
      </c>
      <c r="P8956" s="4">
        <f>IF(COUNTIFS(INDEX(tItens[Edital],1):tItens[[#This Row],[Edital]],tItens[[#This Row],[Edital]],INDEX(tItens[Produto],1):tItens[[#This Row],[Produto]],tItens[[#This Row],[Produto]])=1,1,0)</f>
        <v>0</v>
      </c>
    </row>
    <row r="8957" spans="1:16" x14ac:dyDescent="0.25">
      <c r="A8957" t="s">
        <v>3069</v>
      </c>
      <c r="B8957">
        <v>167</v>
      </c>
      <c r="C8957" t="s">
        <v>11305</v>
      </c>
      <c r="D8957" t="s">
        <v>277</v>
      </c>
      <c r="E8957" s="13">
        <v>200</v>
      </c>
      <c r="F8957" s="12">
        <v>23.51</v>
      </c>
      <c r="G8957" t="str">
        <f>IFERROR(INDEX(tEditais[Órgão],MATCH(tItens[[#This Row],[Edital]],tEditais[Edital],0)),"")</f>
        <v>MUNICIPIO DE MARIAPOLIS</v>
      </c>
      <c r="H8957" t="str">
        <f>IFERROR(INDEX(tEditais[UF],MATCH(tItens[[#This Row],[Edital]],tEditais[Edital],0)),"")</f>
        <v>SP</v>
      </c>
      <c r="I8957" s="11">
        <f>IFERROR(INDEX(tEditais[Encerramento],MATCH(tItens[[#This Row],[Edital]],tEditais[Edital],0)),"")</f>
        <v>46311.347222222219</v>
      </c>
      <c r="J8957" t="str">
        <f>IFERROR(INDEX(tProdutos[Classe],MATCH(tItens[[#This Row],[Produto]],tProdutos[Produto],0)),"produto não cadastrado")</f>
        <v>DISPUTADO</v>
      </c>
      <c r="K8957" s="12">
        <f>tItens[[#This Row],[Qtd]]*tItens[[#This Row],[Vlr unit]]</f>
        <v>4702</v>
      </c>
      <c r="L8957" s="6">
        <f>IFERROR(IF(INDEX(tProdutos[Desconto homologado],MATCH(tItens[[#This Row],[Produto]],tProdutos[Produto],0))="",DescontoPadrao,INDEX(tProdutos[Desconto homologado],MATCH(tItens[[#This Row],[Produto]],tProdutos[Produto],0))),DescontoPadrao)</f>
        <v>0.50460666194188497</v>
      </c>
      <c r="M8957" s="12">
        <f>tItens[[#This Row],[Valor]]*(1-tItens[[#This Row],[Desconto]])</f>
        <v>2329.3394755492568</v>
      </c>
      <c r="N8957" t="str">
        <f>IFERROR(INDEX(tProdutos[Foco],MATCH(tItens[[#This Row],[Produto]],tProdutos[Produto],0)),"Não")</f>
        <v>Não</v>
      </c>
      <c r="O8957" t="str">
        <f>IFERROR(INDEX(tEditais[SRP],MATCH(tItens[[#This Row],[Edital]],tEditais[Edital],0)),"Não")</f>
        <v>Não</v>
      </c>
      <c r="P8957" s="4">
        <f>IF(COUNTIFS(INDEX(tItens[Edital],1):tItens[[#This Row],[Edital]],tItens[[#This Row],[Edital]],INDEX(tItens[Produto],1):tItens[[#This Row],[Produto]],tItens[[#This Row],[Produto]])=1,1,0)</f>
        <v>0</v>
      </c>
    </row>
    <row r="8958" spans="1:16" x14ac:dyDescent="0.25">
      <c r="A8958" t="s">
        <v>3069</v>
      </c>
      <c r="B8958">
        <v>168</v>
      </c>
      <c r="C8958" t="s">
        <v>11245</v>
      </c>
      <c r="D8958" t="s">
        <v>277</v>
      </c>
      <c r="E8958" s="13">
        <v>675</v>
      </c>
      <c r="F8958" s="12">
        <v>54.85</v>
      </c>
      <c r="G8958" t="str">
        <f>IFERROR(INDEX(tEditais[Órgão],MATCH(tItens[[#This Row],[Edital]],tEditais[Edital],0)),"")</f>
        <v>MUNICIPIO DE MARIAPOLIS</v>
      </c>
      <c r="H8958" t="str">
        <f>IFERROR(INDEX(tEditais[UF],MATCH(tItens[[#This Row],[Edital]],tEditais[Edital],0)),"")</f>
        <v>SP</v>
      </c>
      <c r="I8958" s="11">
        <f>IFERROR(INDEX(tEditais[Encerramento],MATCH(tItens[[#This Row],[Edital]],tEditais[Edital],0)),"")</f>
        <v>46311.347222222219</v>
      </c>
      <c r="J8958" t="str">
        <f>IFERROR(INDEX(tProdutos[Classe],MATCH(tItens[[#This Row],[Produto]],tProdutos[Produto],0)),"produto não cadastrado")</f>
        <v>DISPUTADO</v>
      </c>
      <c r="K8958" s="12">
        <f>tItens[[#This Row],[Qtd]]*tItens[[#This Row],[Vlr unit]]</f>
        <v>37023.75</v>
      </c>
      <c r="L8958" s="6">
        <f>IFERROR(IF(INDEX(tProdutos[Desconto homologado],MATCH(tItens[[#This Row],[Produto]],tProdutos[Produto],0))="",DescontoPadrao,INDEX(tProdutos[Desconto homologado],MATCH(tItens[[#This Row],[Produto]],tProdutos[Produto],0))),DescontoPadrao)</f>
        <v>0.50460666194188497</v>
      </c>
      <c r="M8958" s="12">
        <f>tItens[[#This Row],[Valor]]*(1-tItens[[#This Row],[Desconto]])</f>
        <v>18341.319099929136</v>
      </c>
      <c r="N8958" t="str">
        <f>IFERROR(INDEX(tProdutos[Foco],MATCH(tItens[[#This Row],[Produto]],tProdutos[Produto],0)),"Não")</f>
        <v>Não</v>
      </c>
      <c r="O8958" t="str">
        <f>IFERROR(INDEX(tEditais[SRP],MATCH(tItens[[#This Row],[Edital]],tEditais[Edital],0)),"Não")</f>
        <v>Não</v>
      </c>
      <c r="P8958" s="4">
        <f>IF(COUNTIFS(INDEX(tItens[Edital],1):tItens[[#This Row],[Edital]],tItens[[#This Row],[Edital]],INDEX(tItens[Produto],1):tItens[[#This Row],[Produto]],tItens[[#This Row],[Produto]])=1,1,0)</f>
        <v>0</v>
      </c>
    </row>
    <row r="8959" spans="1:16" x14ac:dyDescent="0.25">
      <c r="A8959" t="s">
        <v>3069</v>
      </c>
      <c r="B8959">
        <v>169</v>
      </c>
      <c r="C8959" t="s">
        <v>11246</v>
      </c>
      <c r="D8959" t="s">
        <v>277</v>
      </c>
      <c r="E8959" s="13">
        <v>675</v>
      </c>
      <c r="F8959" s="12">
        <v>54.85</v>
      </c>
      <c r="G8959" t="str">
        <f>IFERROR(INDEX(tEditais[Órgão],MATCH(tItens[[#This Row],[Edital]],tEditais[Edital],0)),"")</f>
        <v>MUNICIPIO DE MARIAPOLIS</v>
      </c>
      <c r="H8959" t="str">
        <f>IFERROR(INDEX(tEditais[UF],MATCH(tItens[[#This Row],[Edital]],tEditais[Edital],0)),"")</f>
        <v>SP</v>
      </c>
      <c r="I8959" s="11">
        <f>IFERROR(INDEX(tEditais[Encerramento],MATCH(tItens[[#This Row],[Edital]],tEditais[Edital],0)),"")</f>
        <v>46311.347222222219</v>
      </c>
      <c r="J8959" t="str">
        <f>IFERROR(INDEX(tProdutos[Classe],MATCH(tItens[[#This Row],[Produto]],tProdutos[Produto],0)),"produto não cadastrado")</f>
        <v>DISPUTADO</v>
      </c>
      <c r="K8959" s="12">
        <f>tItens[[#This Row],[Qtd]]*tItens[[#This Row],[Vlr unit]]</f>
        <v>37023.75</v>
      </c>
      <c r="L8959" s="6">
        <f>IFERROR(IF(INDEX(tProdutos[Desconto homologado],MATCH(tItens[[#This Row],[Produto]],tProdutos[Produto],0))="",DescontoPadrao,INDEX(tProdutos[Desconto homologado],MATCH(tItens[[#This Row],[Produto]],tProdutos[Produto],0))),DescontoPadrao)</f>
        <v>0.50460666194188497</v>
      </c>
      <c r="M8959" s="12">
        <f>tItens[[#This Row],[Valor]]*(1-tItens[[#This Row],[Desconto]])</f>
        <v>18341.319099929136</v>
      </c>
      <c r="N8959" t="str">
        <f>IFERROR(INDEX(tProdutos[Foco],MATCH(tItens[[#This Row],[Produto]],tProdutos[Produto],0)),"Não")</f>
        <v>Não</v>
      </c>
      <c r="O8959" t="str">
        <f>IFERROR(INDEX(tEditais[SRP],MATCH(tItens[[#This Row],[Edital]],tEditais[Edital],0)),"Não")</f>
        <v>Não</v>
      </c>
      <c r="P8959" s="4">
        <f>IF(COUNTIFS(INDEX(tItens[Edital],1):tItens[[#This Row],[Edital]],tItens[[#This Row],[Edital]],INDEX(tItens[Produto],1):tItens[[#This Row],[Produto]],tItens[[#This Row],[Produto]])=1,1,0)</f>
        <v>0</v>
      </c>
    </row>
    <row r="8960" spans="1:16" x14ac:dyDescent="0.25">
      <c r="A8960" t="s">
        <v>3069</v>
      </c>
      <c r="B8960">
        <v>170</v>
      </c>
      <c r="C8960" t="s">
        <v>11306</v>
      </c>
      <c r="D8960" t="s">
        <v>267</v>
      </c>
      <c r="E8960" s="13">
        <v>70</v>
      </c>
      <c r="F8960" s="12">
        <v>41.8</v>
      </c>
      <c r="G8960" t="str">
        <f>IFERROR(INDEX(tEditais[Órgão],MATCH(tItens[[#This Row],[Edital]],tEditais[Edital],0)),"")</f>
        <v>MUNICIPIO DE MARIAPOLIS</v>
      </c>
      <c r="H8960" t="str">
        <f>IFERROR(INDEX(tEditais[UF],MATCH(tItens[[#This Row],[Edital]],tEditais[Edital],0)),"")</f>
        <v>SP</v>
      </c>
      <c r="I8960" s="11">
        <f>IFERROR(INDEX(tEditais[Encerramento],MATCH(tItens[[#This Row],[Edital]],tEditais[Edital],0)),"")</f>
        <v>46311.347222222219</v>
      </c>
      <c r="J8960" t="str">
        <f>IFERROR(INDEX(tProdutos[Classe],MATCH(tItens[[#This Row],[Produto]],tProdutos[Produto],0)),"produto não cadastrado")</f>
        <v>FORA</v>
      </c>
      <c r="K8960" s="12">
        <f>tItens[[#This Row],[Qtd]]*tItens[[#This Row],[Vlr unit]]</f>
        <v>2926</v>
      </c>
      <c r="L8960" s="6">
        <f>IFERROR(IF(INDEX(tProdutos[Desconto homologado],MATCH(tItens[[#This Row],[Produto]],tProdutos[Produto],0))="",DescontoPadrao,INDEX(tProdutos[Desconto homologado],MATCH(tItens[[#This Row],[Produto]],tProdutos[Produto],0))),DescontoPadrao)</f>
        <v>0.19963672657401599</v>
      </c>
      <c r="M8960" s="12">
        <f>tItens[[#This Row],[Valor]]*(1-tItens[[#This Row],[Desconto]])</f>
        <v>2341.862938044429</v>
      </c>
      <c r="N8960" t="str">
        <f>IFERROR(INDEX(tProdutos[Foco],MATCH(tItens[[#This Row],[Produto]],tProdutos[Produto],0)),"Não")</f>
        <v>Não</v>
      </c>
      <c r="O8960" t="str">
        <f>IFERROR(INDEX(tEditais[SRP],MATCH(tItens[[#This Row],[Edital]],tEditais[Edital],0)),"Não")</f>
        <v>Não</v>
      </c>
      <c r="P8960" s="4">
        <f>IF(COUNTIFS(INDEX(tItens[Edital],1):tItens[[#This Row],[Edital]],tItens[[#This Row],[Edital]],INDEX(tItens[Produto],1):tItens[[#This Row],[Produto]],tItens[[#This Row],[Produto]])=1,1,0)</f>
        <v>1</v>
      </c>
    </row>
    <row r="8961" spans="1:16" x14ac:dyDescent="0.25">
      <c r="A8961" t="s">
        <v>3069</v>
      </c>
      <c r="B8961">
        <v>171</v>
      </c>
      <c r="C8961" t="s">
        <v>11307</v>
      </c>
      <c r="D8961" t="s">
        <v>343</v>
      </c>
      <c r="E8961" s="13">
        <v>200</v>
      </c>
      <c r="F8961" s="12">
        <v>4.96</v>
      </c>
      <c r="G8961" t="str">
        <f>IFERROR(INDEX(tEditais[Órgão],MATCH(tItens[[#This Row],[Edital]],tEditais[Edital],0)),"")</f>
        <v>MUNICIPIO DE MARIAPOLIS</v>
      </c>
      <c r="H8961" t="str">
        <f>IFERROR(INDEX(tEditais[UF],MATCH(tItens[[#This Row],[Edital]],tEditais[Edital],0)),"")</f>
        <v>SP</v>
      </c>
      <c r="I8961" s="11">
        <f>IFERROR(INDEX(tEditais[Encerramento],MATCH(tItens[[#This Row],[Edital]],tEditais[Edital],0)),"")</f>
        <v>46311.347222222219</v>
      </c>
      <c r="J8961" t="str">
        <f>IFERROR(INDEX(tProdutos[Classe],MATCH(tItens[[#This Row],[Produto]],tProdutos[Produto],0)),"produto não cadastrado")</f>
        <v>FORA</v>
      </c>
      <c r="K8961" s="12">
        <f>tItens[[#This Row],[Qtd]]*tItens[[#This Row],[Vlr unit]]</f>
        <v>992</v>
      </c>
      <c r="L8961" s="6">
        <f>IFERROR(IF(INDEX(tProdutos[Desconto homologado],MATCH(tItens[[#This Row],[Produto]],tProdutos[Produto],0))="",DescontoPadrao,INDEX(tProdutos[Desconto homologado],MATCH(tItens[[#This Row],[Produto]],tProdutos[Produto],0))),DescontoPadrao)</f>
        <v>0.35412234042553198</v>
      </c>
      <c r="M8961" s="12">
        <f>tItens[[#This Row],[Valor]]*(1-tItens[[#This Row],[Desconto]])</f>
        <v>640.71063829787226</v>
      </c>
      <c r="N8961" t="str">
        <f>IFERROR(INDEX(tProdutos[Foco],MATCH(tItens[[#This Row],[Produto]],tProdutos[Produto],0)),"Não")</f>
        <v>Não</v>
      </c>
      <c r="O8961" t="str">
        <f>IFERROR(INDEX(tEditais[SRP],MATCH(tItens[[#This Row],[Edital]],tEditais[Edital],0)),"Não")</f>
        <v>Não</v>
      </c>
      <c r="P8961" s="4">
        <f>IF(COUNTIFS(INDEX(tItens[Edital],1):tItens[[#This Row],[Edital]],tItens[[#This Row],[Edital]],INDEX(tItens[Produto],1):tItens[[#This Row],[Produto]],tItens[[#This Row],[Produto]])=1,1,0)</f>
        <v>1</v>
      </c>
    </row>
    <row r="8962" spans="1:16" x14ac:dyDescent="0.25">
      <c r="A8962" t="s">
        <v>3069</v>
      </c>
      <c r="B8962">
        <v>172</v>
      </c>
      <c r="C8962" t="s">
        <v>11308</v>
      </c>
      <c r="D8962" t="s">
        <v>343</v>
      </c>
      <c r="E8962" s="13">
        <v>250</v>
      </c>
      <c r="F8962" s="12">
        <v>4.96</v>
      </c>
      <c r="G8962" t="str">
        <f>IFERROR(INDEX(tEditais[Órgão],MATCH(tItens[[#This Row],[Edital]],tEditais[Edital],0)),"")</f>
        <v>MUNICIPIO DE MARIAPOLIS</v>
      </c>
      <c r="H8962" t="str">
        <f>IFERROR(INDEX(tEditais[UF],MATCH(tItens[[#This Row],[Edital]],tEditais[Edital],0)),"")</f>
        <v>SP</v>
      </c>
      <c r="I8962" s="11">
        <f>IFERROR(INDEX(tEditais[Encerramento],MATCH(tItens[[#This Row],[Edital]],tEditais[Edital],0)),"")</f>
        <v>46311.347222222219</v>
      </c>
      <c r="J8962" t="str">
        <f>IFERROR(INDEX(tProdutos[Classe],MATCH(tItens[[#This Row],[Produto]],tProdutos[Produto],0)),"produto não cadastrado")</f>
        <v>FORA</v>
      </c>
      <c r="K8962" s="12">
        <f>tItens[[#This Row],[Qtd]]*tItens[[#This Row],[Vlr unit]]</f>
        <v>1240</v>
      </c>
      <c r="L8962" s="6">
        <f>IFERROR(IF(INDEX(tProdutos[Desconto homologado],MATCH(tItens[[#This Row],[Produto]],tProdutos[Produto],0))="",DescontoPadrao,INDEX(tProdutos[Desconto homologado],MATCH(tItens[[#This Row],[Produto]],tProdutos[Produto],0))),DescontoPadrao)</f>
        <v>0.35412234042553198</v>
      </c>
      <c r="M8962" s="12">
        <f>tItens[[#This Row],[Valor]]*(1-tItens[[#This Row],[Desconto]])</f>
        <v>800.88829787234033</v>
      </c>
      <c r="N8962" t="str">
        <f>IFERROR(INDEX(tProdutos[Foco],MATCH(tItens[[#This Row],[Produto]],tProdutos[Produto],0)),"Não")</f>
        <v>Não</v>
      </c>
      <c r="O8962" t="str">
        <f>IFERROR(INDEX(tEditais[SRP],MATCH(tItens[[#This Row],[Edital]],tEditais[Edital],0)),"Não")</f>
        <v>Não</v>
      </c>
      <c r="P8962" s="4">
        <f>IF(COUNTIFS(INDEX(tItens[Edital],1):tItens[[#This Row],[Edital]],tItens[[#This Row],[Edital]],INDEX(tItens[Produto],1):tItens[[#This Row],[Produto]],tItens[[#This Row],[Produto]])=1,1,0)</f>
        <v>0</v>
      </c>
    </row>
    <row r="8963" spans="1:16" x14ac:dyDescent="0.25">
      <c r="A8963" t="s">
        <v>3069</v>
      </c>
      <c r="B8963">
        <v>173</v>
      </c>
      <c r="C8963" t="s">
        <v>11309</v>
      </c>
      <c r="D8963" t="s">
        <v>343</v>
      </c>
      <c r="E8963" s="13">
        <v>250</v>
      </c>
      <c r="F8963" s="12">
        <v>4.96</v>
      </c>
      <c r="G8963" t="str">
        <f>IFERROR(INDEX(tEditais[Órgão],MATCH(tItens[[#This Row],[Edital]],tEditais[Edital],0)),"")</f>
        <v>MUNICIPIO DE MARIAPOLIS</v>
      </c>
      <c r="H8963" t="str">
        <f>IFERROR(INDEX(tEditais[UF],MATCH(tItens[[#This Row],[Edital]],tEditais[Edital],0)),"")</f>
        <v>SP</v>
      </c>
      <c r="I8963" s="11">
        <f>IFERROR(INDEX(tEditais[Encerramento],MATCH(tItens[[#This Row],[Edital]],tEditais[Edital],0)),"")</f>
        <v>46311.347222222219</v>
      </c>
      <c r="J8963" t="str">
        <f>IFERROR(INDEX(tProdutos[Classe],MATCH(tItens[[#This Row],[Produto]],tProdutos[Produto],0)),"produto não cadastrado")</f>
        <v>FORA</v>
      </c>
      <c r="K8963" s="12">
        <f>tItens[[#This Row],[Qtd]]*tItens[[#This Row],[Vlr unit]]</f>
        <v>1240</v>
      </c>
      <c r="L8963" s="6">
        <f>IFERROR(IF(INDEX(tProdutos[Desconto homologado],MATCH(tItens[[#This Row],[Produto]],tProdutos[Produto],0))="",DescontoPadrao,INDEX(tProdutos[Desconto homologado],MATCH(tItens[[#This Row],[Produto]],tProdutos[Produto],0))),DescontoPadrao)</f>
        <v>0.35412234042553198</v>
      </c>
      <c r="M8963" s="12">
        <f>tItens[[#This Row],[Valor]]*(1-tItens[[#This Row],[Desconto]])</f>
        <v>800.88829787234033</v>
      </c>
      <c r="N8963" t="str">
        <f>IFERROR(INDEX(tProdutos[Foco],MATCH(tItens[[#This Row],[Produto]],tProdutos[Produto],0)),"Não")</f>
        <v>Não</v>
      </c>
      <c r="O8963" t="str">
        <f>IFERROR(INDEX(tEditais[SRP],MATCH(tItens[[#This Row],[Edital]],tEditais[Edital],0)),"Não")</f>
        <v>Não</v>
      </c>
      <c r="P8963" s="4">
        <f>IF(COUNTIFS(INDEX(tItens[Edital],1):tItens[[#This Row],[Edital]],tItens[[#This Row],[Edital]],INDEX(tItens[Produto],1):tItens[[#This Row],[Produto]],tItens[[#This Row],[Produto]])=1,1,0)</f>
        <v>0</v>
      </c>
    </row>
    <row r="8964" spans="1:16" x14ac:dyDescent="0.25">
      <c r="A8964" t="s">
        <v>3069</v>
      </c>
      <c r="B8964">
        <v>174</v>
      </c>
      <c r="C8964" t="s">
        <v>11310</v>
      </c>
      <c r="D8964" t="s">
        <v>343</v>
      </c>
      <c r="E8964" s="13">
        <v>500</v>
      </c>
      <c r="F8964" s="12">
        <v>4.96</v>
      </c>
      <c r="G8964" t="str">
        <f>IFERROR(INDEX(tEditais[Órgão],MATCH(tItens[[#This Row],[Edital]],tEditais[Edital],0)),"")</f>
        <v>MUNICIPIO DE MARIAPOLIS</v>
      </c>
      <c r="H8964" t="str">
        <f>IFERROR(INDEX(tEditais[UF],MATCH(tItens[[#This Row],[Edital]],tEditais[Edital],0)),"")</f>
        <v>SP</v>
      </c>
      <c r="I8964" s="11">
        <f>IFERROR(INDEX(tEditais[Encerramento],MATCH(tItens[[#This Row],[Edital]],tEditais[Edital],0)),"")</f>
        <v>46311.347222222219</v>
      </c>
      <c r="J8964" t="str">
        <f>IFERROR(INDEX(tProdutos[Classe],MATCH(tItens[[#This Row],[Produto]],tProdutos[Produto],0)),"produto não cadastrado")</f>
        <v>FORA</v>
      </c>
      <c r="K8964" s="12">
        <f>tItens[[#This Row],[Qtd]]*tItens[[#This Row],[Vlr unit]]</f>
        <v>2480</v>
      </c>
      <c r="L8964" s="6">
        <f>IFERROR(IF(INDEX(tProdutos[Desconto homologado],MATCH(tItens[[#This Row],[Produto]],tProdutos[Produto],0))="",DescontoPadrao,INDEX(tProdutos[Desconto homologado],MATCH(tItens[[#This Row],[Produto]],tProdutos[Produto],0))),DescontoPadrao)</f>
        <v>0.35412234042553198</v>
      </c>
      <c r="M8964" s="12">
        <f>tItens[[#This Row],[Valor]]*(1-tItens[[#This Row],[Desconto]])</f>
        <v>1601.7765957446807</v>
      </c>
      <c r="N8964" t="str">
        <f>IFERROR(INDEX(tProdutos[Foco],MATCH(tItens[[#This Row],[Produto]],tProdutos[Produto],0)),"Não")</f>
        <v>Não</v>
      </c>
      <c r="O8964" t="str">
        <f>IFERROR(INDEX(tEditais[SRP],MATCH(tItens[[#This Row],[Edital]],tEditais[Edital],0)),"Não")</f>
        <v>Não</v>
      </c>
      <c r="P8964" s="4">
        <f>IF(COUNTIFS(INDEX(tItens[Edital],1):tItens[[#This Row],[Edital]],tItens[[#This Row],[Edital]],INDEX(tItens[Produto],1):tItens[[#This Row],[Produto]],tItens[[#This Row],[Produto]])=1,1,0)</f>
        <v>0</v>
      </c>
    </row>
    <row r="8965" spans="1:16" x14ac:dyDescent="0.25">
      <c r="A8965" t="s">
        <v>3069</v>
      </c>
      <c r="B8965">
        <v>175</v>
      </c>
      <c r="C8965" t="s">
        <v>11311</v>
      </c>
      <c r="D8965" t="s">
        <v>313</v>
      </c>
      <c r="E8965" s="13">
        <v>400</v>
      </c>
      <c r="F8965" s="12">
        <v>45.58</v>
      </c>
      <c r="G8965" t="str">
        <f>IFERROR(INDEX(tEditais[Órgão],MATCH(tItens[[#This Row],[Edital]],tEditais[Edital],0)),"")</f>
        <v>MUNICIPIO DE MARIAPOLIS</v>
      </c>
      <c r="H8965" t="str">
        <f>IFERROR(INDEX(tEditais[UF],MATCH(tItens[[#This Row],[Edital]],tEditais[Edital],0)),"")</f>
        <v>SP</v>
      </c>
      <c r="I8965" s="11">
        <f>IFERROR(INDEX(tEditais[Encerramento],MATCH(tItens[[#This Row],[Edital]],tEditais[Edital],0)),"")</f>
        <v>46311.347222222219</v>
      </c>
      <c r="J8965" t="str">
        <f>IFERROR(INDEX(tProdutos[Classe],MATCH(tItens[[#This Row],[Produto]],tProdutos[Produto],0)),"produto não cadastrado")</f>
        <v>FORA</v>
      </c>
      <c r="K8965" s="12">
        <f>tItens[[#This Row],[Qtd]]*tItens[[#This Row],[Vlr unit]]</f>
        <v>18232</v>
      </c>
      <c r="L8965" s="6">
        <f>IFERROR(IF(INDEX(tProdutos[Desconto homologado],MATCH(tItens[[#This Row],[Produto]],tProdutos[Produto],0))="",DescontoPadrao,INDEX(tProdutos[Desconto homologado],MATCH(tItens[[#This Row],[Produto]],tProdutos[Produto],0))),DescontoPadrao)</f>
        <v>0.35766373163696302</v>
      </c>
      <c r="M8965" s="12">
        <f>tItens[[#This Row],[Valor]]*(1-tItens[[#This Row],[Desconto]])</f>
        <v>11711.07484479489</v>
      </c>
      <c r="N8965" t="str">
        <f>IFERROR(INDEX(tProdutos[Foco],MATCH(tItens[[#This Row],[Produto]],tProdutos[Produto],0)),"Não")</f>
        <v>Não</v>
      </c>
      <c r="O8965" t="str">
        <f>IFERROR(INDEX(tEditais[SRP],MATCH(tItens[[#This Row],[Edital]],tEditais[Edital],0)),"Não")</f>
        <v>Não</v>
      </c>
      <c r="P8965" s="4">
        <f>IF(COUNTIFS(INDEX(tItens[Edital],1):tItens[[#This Row],[Edital]],tItens[[#This Row],[Edital]],INDEX(tItens[Produto],1):tItens[[#This Row],[Produto]],tItens[[#This Row],[Produto]])=1,1,0)</f>
        <v>1</v>
      </c>
    </row>
    <row r="8966" spans="1:16" x14ac:dyDescent="0.25">
      <c r="A8966" t="s">
        <v>3069</v>
      </c>
      <c r="B8966">
        <v>176</v>
      </c>
      <c r="C8966" t="s">
        <v>11312</v>
      </c>
      <c r="D8966" t="s">
        <v>313</v>
      </c>
      <c r="E8966" s="13">
        <v>800</v>
      </c>
      <c r="F8966" s="12">
        <v>45.58</v>
      </c>
      <c r="G8966" t="str">
        <f>IFERROR(INDEX(tEditais[Órgão],MATCH(tItens[[#This Row],[Edital]],tEditais[Edital],0)),"")</f>
        <v>MUNICIPIO DE MARIAPOLIS</v>
      </c>
      <c r="H8966" t="str">
        <f>IFERROR(INDEX(tEditais[UF],MATCH(tItens[[#This Row],[Edital]],tEditais[Edital],0)),"")</f>
        <v>SP</v>
      </c>
      <c r="I8966" s="11">
        <f>IFERROR(INDEX(tEditais[Encerramento],MATCH(tItens[[#This Row],[Edital]],tEditais[Edital],0)),"")</f>
        <v>46311.347222222219</v>
      </c>
      <c r="J8966" t="str">
        <f>IFERROR(INDEX(tProdutos[Classe],MATCH(tItens[[#This Row],[Produto]],tProdutos[Produto],0)),"produto não cadastrado")</f>
        <v>FORA</v>
      </c>
      <c r="K8966" s="12">
        <f>tItens[[#This Row],[Qtd]]*tItens[[#This Row],[Vlr unit]]</f>
        <v>36464</v>
      </c>
      <c r="L8966" s="6">
        <f>IFERROR(IF(INDEX(tProdutos[Desconto homologado],MATCH(tItens[[#This Row],[Produto]],tProdutos[Produto],0))="",DescontoPadrao,INDEX(tProdutos[Desconto homologado],MATCH(tItens[[#This Row],[Produto]],tProdutos[Produto],0))),DescontoPadrao)</f>
        <v>0.35766373163696302</v>
      </c>
      <c r="M8966" s="12">
        <f>tItens[[#This Row],[Valor]]*(1-tItens[[#This Row],[Desconto]])</f>
        <v>23422.14968958978</v>
      </c>
      <c r="N8966" t="str">
        <f>IFERROR(INDEX(tProdutos[Foco],MATCH(tItens[[#This Row],[Produto]],tProdutos[Produto],0)),"Não")</f>
        <v>Não</v>
      </c>
      <c r="O8966" t="str">
        <f>IFERROR(INDEX(tEditais[SRP],MATCH(tItens[[#This Row],[Edital]],tEditais[Edital],0)),"Não")</f>
        <v>Não</v>
      </c>
      <c r="P8966" s="4">
        <f>IF(COUNTIFS(INDEX(tItens[Edital],1):tItens[[#This Row],[Edital]],tItens[[#This Row],[Edital]],INDEX(tItens[Produto],1):tItens[[#This Row],[Produto]],tItens[[#This Row],[Produto]])=1,1,0)</f>
        <v>0</v>
      </c>
    </row>
    <row r="8967" spans="1:16" x14ac:dyDescent="0.25">
      <c r="A8967" t="s">
        <v>3069</v>
      </c>
      <c r="B8967">
        <v>177</v>
      </c>
      <c r="C8967" t="s">
        <v>11313</v>
      </c>
      <c r="D8967" t="s">
        <v>313</v>
      </c>
      <c r="E8967" s="13">
        <v>300</v>
      </c>
      <c r="F8967" s="12">
        <v>45.58</v>
      </c>
      <c r="G8967" t="str">
        <f>IFERROR(INDEX(tEditais[Órgão],MATCH(tItens[[#This Row],[Edital]],tEditais[Edital],0)),"")</f>
        <v>MUNICIPIO DE MARIAPOLIS</v>
      </c>
      <c r="H8967" t="str">
        <f>IFERROR(INDEX(tEditais[UF],MATCH(tItens[[#This Row],[Edital]],tEditais[Edital],0)),"")</f>
        <v>SP</v>
      </c>
      <c r="I8967" s="11">
        <f>IFERROR(INDEX(tEditais[Encerramento],MATCH(tItens[[#This Row],[Edital]],tEditais[Edital],0)),"")</f>
        <v>46311.347222222219</v>
      </c>
      <c r="J8967" t="str">
        <f>IFERROR(INDEX(tProdutos[Classe],MATCH(tItens[[#This Row],[Produto]],tProdutos[Produto],0)),"produto não cadastrado")</f>
        <v>FORA</v>
      </c>
      <c r="K8967" s="12">
        <f>tItens[[#This Row],[Qtd]]*tItens[[#This Row],[Vlr unit]]</f>
        <v>13674</v>
      </c>
      <c r="L8967" s="6">
        <f>IFERROR(IF(INDEX(tProdutos[Desconto homologado],MATCH(tItens[[#This Row],[Produto]],tProdutos[Produto],0))="",DescontoPadrao,INDEX(tProdutos[Desconto homologado],MATCH(tItens[[#This Row],[Produto]],tProdutos[Produto],0))),DescontoPadrao)</f>
        <v>0.35766373163696302</v>
      </c>
      <c r="M8967" s="12">
        <f>tItens[[#This Row],[Valor]]*(1-tItens[[#This Row],[Desconto]])</f>
        <v>8783.3061335961665</v>
      </c>
      <c r="N8967" t="str">
        <f>IFERROR(INDEX(tProdutos[Foco],MATCH(tItens[[#This Row],[Produto]],tProdutos[Produto],0)),"Não")</f>
        <v>Não</v>
      </c>
      <c r="O8967" t="str">
        <f>IFERROR(INDEX(tEditais[SRP],MATCH(tItens[[#This Row],[Edital]],tEditais[Edital],0)),"Não")</f>
        <v>Não</v>
      </c>
      <c r="P8967" s="4">
        <f>IF(COUNTIFS(INDEX(tItens[Edital],1):tItens[[#This Row],[Edital]],tItens[[#This Row],[Edital]],INDEX(tItens[Produto],1):tItens[[#This Row],[Produto]],tItens[[#This Row],[Produto]])=1,1,0)</f>
        <v>0</v>
      </c>
    </row>
    <row r="8968" spans="1:16" x14ac:dyDescent="0.25">
      <c r="A8968" t="s">
        <v>3069</v>
      </c>
      <c r="B8968">
        <v>182</v>
      </c>
      <c r="C8968" t="s">
        <v>11314</v>
      </c>
      <c r="D8968" t="s">
        <v>381</v>
      </c>
      <c r="E8968" s="13">
        <v>100</v>
      </c>
      <c r="F8968" s="12">
        <v>37.74</v>
      </c>
      <c r="G8968" t="str">
        <f>IFERROR(INDEX(tEditais[Órgão],MATCH(tItens[[#This Row],[Edital]],tEditais[Edital],0)),"")</f>
        <v>MUNICIPIO DE MARIAPOLIS</v>
      </c>
      <c r="H8968" t="str">
        <f>IFERROR(INDEX(tEditais[UF],MATCH(tItens[[#This Row],[Edital]],tEditais[Edital],0)),"")</f>
        <v>SP</v>
      </c>
      <c r="I8968" s="11">
        <f>IFERROR(INDEX(tEditais[Encerramento],MATCH(tItens[[#This Row],[Edital]],tEditais[Edital],0)),"")</f>
        <v>46311.347222222219</v>
      </c>
      <c r="J8968" t="str">
        <f>IFERROR(INDEX(tProdutos[Classe],MATCH(tItens[[#This Row],[Produto]],tProdutos[Produto],0)),"produto não cadastrado")</f>
        <v>FORA</v>
      </c>
      <c r="K8968" s="12">
        <f>tItens[[#This Row],[Qtd]]*tItens[[#This Row],[Vlr unit]]</f>
        <v>3774</v>
      </c>
      <c r="L8968" s="6">
        <f>IFERROR(IF(INDEX(tProdutos[Desconto homologado],MATCH(tItens[[#This Row],[Produto]],tProdutos[Produto],0))="",DescontoPadrao,INDEX(tProdutos[Desconto homologado],MATCH(tItens[[#This Row],[Produto]],tProdutos[Produto],0))),DescontoPadrao)</f>
        <v>0.41112828438949001</v>
      </c>
      <c r="M8968" s="12">
        <f>tItens[[#This Row],[Valor]]*(1-tItens[[#This Row],[Desconto]])</f>
        <v>2222.4018547140649</v>
      </c>
      <c r="N8968" t="str">
        <f>IFERROR(INDEX(tProdutos[Foco],MATCH(tItens[[#This Row],[Produto]],tProdutos[Produto],0)),"Não")</f>
        <v>Não</v>
      </c>
      <c r="O8968" t="str">
        <f>IFERROR(INDEX(tEditais[SRP],MATCH(tItens[[#This Row],[Edital]],tEditais[Edital],0)),"Não")</f>
        <v>Não</v>
      </c>
      <c r="P8968" s="4">
        <f>IF(COUNTIFS(INDEX(tItens[Edital],1):tItens[[#This Row],[Edital]],tItens[[#This Row],[Edital]],INDEX(tItens[Produto],1):tItens[[#This Row],[Produto]],tItens[[#This Row],[Produto]])=1,1,0)</f>
        <v>1</v>
      </c>
    </row>
    <row r="8969" spans="1:16" x14ac:dyDescent="0.25">
      <c r="A8969" t="s">
        <v>3069</v>
      </c>
      <c r="B8969">
        <v>183</v>
      </c>
      <c r="C8969" t="s">
        <v>11315</v>
      </c>
      <c r="D8969" t="s">
        <v>381</v>
      </c>
      <c r="E8969" s="13">
        <v>100</v>
      </c>
      <c r="F8969" s="12">
        <v>41.66</v>
      </c>
      <c r="G8969" t="str">
        <f>IFERROR(INDEX(tEditais[Órgão],MATCH(tItens[[#This Row],[Edital]],tEditais[Edital],0)),"")</f>
        <v>MUNICIPIO DE MARIAPOLIS</v>
      </c>
      <c r="H8969" t="str">
        <f>IFERROR(INDEX(tEditais[UF],MATCH(tItens[[#This Row],[Edital]],tEditais[Edital],0)),"")</f>
        <v>SP</v>
      </c>
      <c r="I8969" s="11">
        <f>IFERROR(INDEX(tEditais[Encerramento],MATCH(tItens[[#This Row],[Edital]],tEditais[Edital],0)),"")</f>
        <v>46311.347222222219</v>
      </c>
      <c r="J8969" t="str">
        <f>IFERROR(INDEX(tProdutos[Classe],MATCH(tItens[[#This Row],[Produto]],tProdutos[Produto],0)),"produto não cadastrado")</f>
        <v>FORA</v>
      </c>
      <c r="K8969" s="12">
        <f>tItens[[#This Row],[Qtd]]*tItens[[#This Row],[Vlr unit]]</f>
        <v>4166</v>
      </c>
      <c r="L8969" s="6">
        <f>IFERROR(IF(INDEX(tProdutos[Desconto homologado],MATCH(tItens[[#This Row],[Produto]],tProdutos[Produto],0))="",DescontoPadrao,INDEX(tProdutos[Desconto homologado],MATCH(tItens[[#This Row],[Produto]],tProdutos[Produto],0))),DescontoPadrao)</f>
        <v>0.41112828438949001</v>
      </c>
      <c r="M8969" s="12">
        <f>tItens[[#This Row],[Valor]]*(1-tItens[[#This Row],[Desconto]])</f>
        <v>2453.2395672333846</v>
      </c>
      <c r="N8969" t="str">
        <f>IFERROR(INDEX(tProdutos[Foco],MATCH(tItens[[#This Row],[Produto]],tProdutos[Produto],0)),"Não")</f>
        <v>Não</v>
      </c>
      <c r="O8969" t="str">
        <f>IFERROR(INDEX(tEditais[SRP],MATCH(tItens[[#This Row],[Edital]],tEditais[Edital],0)),"Não")</f>
        <v>Não</v>
      </c>
      <c r="P8969" s="4">
        <f>IF(COUNTIFS(INDEX(tItens[Edital],1):tItens[[#This Row],[Edital]],tItens[[#This Row],[Edital]],INDEX(tItens[Produto],1):tItens[[#This Row],[Produto]],tItens[[#This Row],[Produto]])=1,1,0)</f>
        <v>0</v>
      </c>
    </row>
    <row r="8970" spans="1:16" x14ac:dyDescent="0.25">
      <c r="A8970" t="s">
        <v>3069</v>
      </c>
      <c r="B8970">
        <v>184</v>
      </c>
      <c r="C8970" t="s">
        <v>11316</v>
      </c>
      <c r="D8970" t="s">
        <v>381</v>
      </c>
      <c r="E8970" s="13">
        <v>500</v>
      </c>
      <c r="F8970" s="12">
        <v>37.74</v>
      </c>
      <c r="G8970" t="str">
        <f>IFERROR(INDEX(tEditais[Órgão],MATCH(tItens[[#This Row],[Edital]],tEditais[Edital],0)),"")</f>
        <v>MUNICIPIO DE MARIAPOLIS</v>
      </c>
      <c r="H8970" t="str">
        <f>IFERROR(INDEX(tEditais[UF],MATCH(tItens[[#This Row],[Edital]],tEditais[Edital],0)),"")</f>
        <v>SP</v>
      </c>
      <c r="I8970" s="11">
        <f>IFERROR(INDEX(tEditais[Encerramento],MATCH(tItens[[#This Row],[Edital]],tEditais[Edital],0)),"")</f>
        <v>46311.347222222219</v>
      </c>
      <c r="J8970" t="str">
        <f>IFERROR(INDEX(tProdutos[Classe],MATCH(tItens[[#This Row],[Produto]],tProdutos[Produto],0)),"produto não cadastrado")</f>
        <v>FORA</v>
      </c>
      <c r="K8970" s="12">
        <f>tItens[[#This Row],[Qtd]]*tItens[[#This Row],[Vlr unit]]</f>
        <v>18870</v>
      </c>
      <c r="L8970" s="6">
        <f>IFERROR(IF(INDEX(tProdutos[Desconto homologado],MATCH(tItens[[#This Row],[Produto]],tProdutos[Produto],0))="",DescontoPadrao,INDEX(tProdutos[Desconto homologado],MATCH(tItens[[#This Row],[Produto]],tProdutos[Produto],0))),DescontoPadrao)</f>
        <v>0.41112828438949001</v>
      </c>
      <c r="M8970" s="12">
        <f>tItens[[#This Row],[Valor]]*(1-tItens[[#This Row],[Desconto]])</f>
        <v>11112.009273570324</v>
      </c>
      <c r="N8970" t="str">
        <f>IFERROR(INDEX(tProdutos[Foco],MATCH(tItens[[#This Row],[Produto]],tProdutos[Produto],0)),"Não")</f>
        <v>Não</v>
      </c>
      <c r="O8970" t="str">
        <f>IFERROR(INDEX(tEditais[SRP],MATCH(tItens[[#This Row],[Edital]],tEditais[Edital],0)),"Não")</f>
        <v>Não</v>
      </c>
      <c r="P8970" s="4">
        <f>IF(COUNTIFS(INDEX(tItens[Edital],1):tItens[[#This Row],[Edital]],tItens[[#This Row],[Edital]],INDEX(tItens[Produto],1):tItens[[#This Row],[Produto]],tItens[[#This Row],[Produto]])=1,1,0)</f>
        <v>0</v>
      </c>
    </row>
    <row r="8971" spans="1:16" x14ac:dyDescent="0.25">
      <c r="A8971" t="s">
        <v>3069</v>
      </c>
      <c r="B8971">
        <v>185</v>
      </c>
      <c r="C8971" t="s">
        <v>11317</v>
      </c>
      <c r="D8971" t="s">
        <v>381</v>
      </c>
      <c r="E8971" s="13">
        <v>150</v>
      </c>
      <c r="F8971" s="12">
        <v>37.74</v>
      </c>
      <c r="G8971" t="str">
        <f>IFERROR(INDEX(tEditais[Órgão],MATCH(tItens[[#This Row],[Edital]],tEditais[Edital],0)),"")</f>
        <v>MUNICIPIO DE MARIAPOLIS</v>
      </c>
      <c r="H8971" t="str">
        <f>IFERROR(INDEX(tEditais[UF],MATCH(tItens[[#This Row],[Edital]],tEditais[Edital],0)),"")</f>
        <v>SP</v>
      </c>
      <c r="I8971" s="11">
        <f>IFERROR(INDEX(tEditais[Encerramento],MATCH(tItens[[#This Row],[Edital]],tEditais[Edital],0)),"")</f>
        <v>46311.347222222219</v>
      </c>
      <c r="J8971" t="str">
        <f>IFERROR(INDEX(tProdutos[Classe],MATCH(tItens[[#This Row],[Produto]],tProdutos[Produto],0)),"produto não cadastrado")</f>
        <v>FORA</v>
      </c>
      <c r="K8971" s="12">
        <f>tItens[[#This Row],[Qtd]]*tItens[[#This Row],[Vlr unit]]</f>
        <v>5661</v>
      </c>
      <c r="L8971" s="6">
        <f>IFERROR(IF(INDEX(tProdutos[Desconto homologado],MATCH(tItens[[#This Row],[Produto]],tProdutos[Produto],0))="",DescontoPadrao,INDEX(tProdutos[Desconto homologado],MATCH(tItens[[#This Row],[Produto]],tProdutos[Produto],0))),DescontoPadrao)</f>
        <v>0.41112828438949001</v>
      </c>
      <c r="M8971" s="12">
        <f>tItens[[#This Row],[Valor]]*(1-tItens[[#This Row],[Desconto]])</f>
        <v>3333.602782071097</v>
      </c>
      <c r="N8971" t="str">
        <f>IFERROR(INDEX(tProdutos[Foco],MATCH(tItens[[#This Row],[Produto]],tProdutos[Produto],0)),"Não")</f>
        <v>Não</v>
      </c>
      <c r="O8971" t="str">
        <f>IFERROR(INDEX(tEditais[SRP],MATCH(tItens[[#This Row],[Edital]],tEditais[Edital],0)),"Não")</f>
        <v>Não</v>
      </c>
      <c r="P8971" s="4">
        <f>IF(COUNTIFS(INDEX(tItens[Edital],1):tItens[[#This Row],[Edital]],tItens[[#This Row],[Edital]],INDEX(tItens[Produto],1):tItens[[#This Row],[Produto]],tItens[[#This Row],[Produto]])=1,1,0)</f>
        <v>0</v>
      </c>
    </row>
    <row r="8972" spans="1:16" x14ac:dyDescent="0.25">
      <c r="A8972" t="s">
        <v>3069</v>
      </c>
      <c r="B8972">
        <v>187</v>
      </c>
      <c r="C8972" t="s">
        <v>11247</v>
      </c>
      <c r="D8972" t="s">
        <v>385</v>
      </c>
      <c r="E8972" s="13">
        <v>5000</v>
      </c>
      <c r="F8972" s="12">
        <v>28.6</v>
      </c>
      <c r="G8972" t="str">
        <f>IFERROR(INDEX(tEditais[Órgão],MATCH(tItens[[#This Row],[Edital]],tEditais[Edital],0)),"")</f>
        <v>MUNICIPIO DE MARIAPOLIS</v>
      </c>
      <c r="H8972" t="str">
        <f>IFERROR(INDEX(tEditais[UF],MATCH(tItens[[#This Row],[Edital]],tEditais[Edital],0)),"")</f>
        <v>SP</v>
      </c>
      <c r="I8972" s="11">
        <f>IFERROR(INDEX(tEditais[Encerramento],MATCH(tItens[[#This Row],[Edital]],tEditais[Edital],0)),"")</f>
        <v>46311.347222222219</v>
      </c>
      <c r="J8972" t="str">
        <f>IFERROR(INDEX(tProdutos[Classe],MATCH(tItens[[#This Row],[Produto]],tProdutos[Produto],0)),"produto não cadastrado")</f>
        <v>FORA</v>
      </c>
      <c r="K8972" s="12">
        <f>tItens[[#This Row],[Qtd]]*tItens[[#This Row],[Vlr unit]]</f>
        <v>143000</v>
      </c>
      <c r="L8972" s="6">
        <f>IFERROR(IF(INDEX(tProdutos[Desconto homologado],MATCH(tItens[[#This Row],[Produto]],tProdutos[Produto],0))="",DescontoPadrao,INDEX(tProdutos[Desconto homologado],MATCH(tItens[[#This Row],[Produto]],tProdutos[Produto],0))),DescontoPadrao)</f>
        <v>0.46969696969697</v>
      </c>
      <c r="M8972" s="12">
        <f>tItens[[#This Row],[Valor]]*(1-tItens[[#This Row],[Desconto]])</f>
        <v>75833.333333333299</v>
      </c>
      <c r="N8972" t="str">
        <f>IFERROR(INDEX(tProdutos[Foco],MATCH(tItens[[#This Row],[Produto]],tProdutos[Produto],0)),"Não")</f>
        <v>Não</v>
      </c>
      <c r="O8972" t="str">
        <f>IFERROR(INDEX(tEditais[SRP],MATCH(tItens[[#This Row],[Edital]],tEditais[Edital],0)),"Não")</f>
        <v>Não</v>
      </c>
      <c r="P8972" s="4">
        <f>IF(COUNTIFS(INDEX(tItens[Edital],1):tItens[[#This Row],[Edital]],tItens[[#This Row],[Edital]],INDEX(tItens[Produto],1):tItens[[#This Row],[Produto]],tItens[[#This Row],[Produto]])=1,1,0)</f>
        <v>0</v>
      </c>
    </row>
    <row r="8973" spans="1:16" x14ac:dyDescent="0.25">
      <c r="A8973" t="s">
        <v>3069</v>
      </c>
      <c r="B8973">
        <v>188</v>
      </c>
      <c r="C8973" t="s">
        <v>11318</v>
      </c>
      <c r="D8973" t="s">
        <v>257</v>
      </c>
      <c r="E8973" s="13">
        <v>50</v>
      </c>
      <c r="F8973" s="12">
        <v>32.65</v>
      </c>
      <c r="G8973" t="str">
        <f>IFERROR(INDEX(tEditais[Órgão],MATCH(tItens[[#This Row],[Edital]],tEditais[Edital],0)),"")</f>
        <v>MUNICIPIO DE MARIAPOLIS</v>
      </c>
      <c r="H8973" t="str">
        <f>IFERROR(INDEX(tEditais[UF],MATCH(tItens[[#This Row],[Edital]],tEditais[Edital],0)),"")</f>
        <v>SP</v>
      </c>
      <c r="I8973" s="11">
        <f>IFERROR(INDEX(tEditais[Encerramento],MATCH(tItens[[#This Row],[Edital]],tEditais[Edital],0)),"")</f>
        <v>46311.347222222219</v>
      </c>
      <c r="J8973" t="str">
        <f>IFERROR(INDEX(tProdutos[Classe],MATCH(tItens[[#This Row],[Produto]],tProdutos[Produto],0)),"produto não cadastrado")</f>
        <v>FORA</v>
      </c>
      <c r="K8973" s="12">
        <f>tItens[[#This Row],[Qtd]]*tItens[[#This Row],[Vlr unit]]</f>
        <v>1632.5</v>
      </c>
      <c r="L8973" s="6">
        <f>IFERROR(IF(INDEX(tProdutos[Desconto homologado],MATCH(tItens[[#This Row],[Produto]],tProdutos[Produto],0))="",DescontoPadrao,INDEX(tProdutos[Desconto homologado],MATCH(tItens[[#This Row],[Produto]],tProdutos[Produto],0))),DescontoPadrao)</f>
        <v>0.500812004991805</v>
      </c>
      <c r="M8973" s="12">
        <f>tItens[[#This Row],[Valor]]*(1-tItens[[#This Row],[Desconto]])</f>
        <v>814.92440185087833</v>
      </c>
      <c r="N8973" t="str">
        <f>IFERROR(INDEX(tProdutos[Foco],MATCH(tItens[[#This Row],[Produto]],tProdutos[Produto],0)),"Não")</f>
        <v>Não</v>
      </c>
      <c r="O8973" t="str">
        <f>IFERROR(INDEX(tEditais[SRP],MATCH(tItens[[#This Row],[Edital]],tEditais[Edital],0)),"Não")</f>
        <v>Não</v>
      </c>
      <c r="P8973" s="4">
        <f>IF(COUNTIFS(INDEX(tItens[Edital],1):tItens[[#This Row],[Edital]],tItens[[#This Row],[Edital]],INDEX(tItens[Produto],1):tItens[[#This Row],[Produto]],tItens[[#This Row],[Produto]])=1,1,0)</f>
        <v>1</v>
      </c>
    </row>
    <row r="8974" spans="1:16" x14ac:dyDescent="0.25">
      <c r="A8974" t="s">
        <v>3069</v>
      </c>
      <c r="B8974">
        <v>189</v>
      </c>
      <c r="C8974" t="s">
        <v>11319</v>
      </c>
      <c r="D8974" t="s">
        <v>249</v>
      </c>
      <c r="E8974" s="13">
        <v>50</v>
      </c>
      <c r="F8974" s="12">
        <v>32.65</v>
      </c>
      <c r="G8974" t="str">
        <f>IFERROR(INDEX(tEditais[Órgão],MATCH(tItens[[#This Row],[Edital]],tEditais[Edital],0)),"")</f>
        <v>MUNICIPIO DE MARIAPOLIS</v>
      </c>
      <c r="H8974" t="str">
        <f>IFERROR(INDEX(tEditais[UF],MATCH(tItens[[#This Row],[Edital]],tEditais[Edital],0)),"")</f>
        <v>SP</v>
      </c>
      <c r="I8974" s="11">
        <f>IFERROR(INDEX(tEditais[Encerramento],MATCH(tItens[[#This Row],[Edital]],tEditais[Edital],0)),"")</f>
        <v>46311.347222222219</v>
      </c>
      <c r="J8974" t="str">
        <f>IFERROR(INDEX(tProdutos[Classe],MATCH(tItens[[#This Row],[Produto]],tProdutos[Produto],0)),"produto não cadastrado")</f>
        <v>FORA</v>
      </c>
      <c r="K8974" s="12">
        <f>tItens[[#This Row],[Qtd]]*tItens[[#This Row],[Vlr unit]]</f>
        <v>1632.5</v>
      </c>
      <c r="L8974" s="6">
        <f>IFERROR(IF(INDEX(tProdutos[Desconto homologado],MATCH(tItens[[#This Row],[Produto]],tProdutos[Produto],0))="",DescontoPadrao,INDEX(tProdutos[Desconto homologado],MATCH(tItens[[#This Row],[Produto]],tProdutos[Produto],0))),DescontoPadrao)</f>
        <v>0.45399945399945402</v>
      </c>
      <c r="M8974" s="12">
        <f>tItens[[#This Row],[Valor]]*(1-tItens[[#This Row],[Desconto]])</f>
        <v>891.34589134589123</v>
      </c>
      <c r="N8974" t="str">
        <f>IFERROR(INDEX(tProdutos[Foco],MATCH(tItens[[#This Row],[Produto]],tProdutos[Produto],0)),"Não")</f>
        <v>Não</v>
      </c>
      <c r="O8974" t="str">
        <f>IFERROR(INDEX(tEditais[SRP],MATCH(tItens[[#This Row],[Edital]],tEditais[Edital],0)),"Não")</f>
        <v>Não</v>
      </c>
      <c r="P8974" s="4">
        <f>IF(COUNTIFS(INDEX(tItens[Edital],1):tItens[[#This Row],[Edital]],tItens[[#This Row],[Edital]],INDEX(tItens[Produto],1):tItens[[#This Row],[Produto]],tItens[[#This Row],[Produto]])=1,1,0)</f>
        <v>1</v>
      </c>
    </row>
    <row r="8975" spans="1:16" x14ac:dyDescent="0.25">
      <c r="A8975" t="s">
        <v>3069</v>
      </c>
      <c r="B8975">
        <v>202</v>
      </c>
      <c r="C8975" t="s">
        <v>11320</v>
      </c>
      <c r="D8975" t="s">
        <v>494</v>
      </c>
      <c r="E8975" s="13">
        <v>25</v>
      </c>
      <c r="F8975" s="12">
        <v>548.54999999999995</v>
      </c>
      <c r="G8975" t="str">
        <f>IFERROR(INDEX(tEditais[Órgão],MATCH(tItens[[#This Row],[Edital]],tEditais[Edital],0)),"")</f>
        <v>MUNICIPIO DE MARIAPOLIS</v>
      </c>
      <c r="H8975" t="str">
        <f>IFERROR(INDEX(tEditais[UF],MATCH(tItens[[#This Row],[Edital]],tEditais[Edital],0)),"")</f>
        <v>SP</v>
      </c>
      <c r="I8975" s="11">
        <f>IFERROR(INDEX(tEditais[Encerramento],MATCH(tItens[[#This Row],[Edital]],tEditais[Edital],0)),"")</f>
        <v>46311.347222222219</v>
      </c>
      <c r="J8975" t="str">
        <f>IFERROR(INDEX(tProdutos[Classe],MATCH(tItens[[#This Row],[Produto]],tProdutos[Produto],0)),"produto não cadastrado")</f>
        <v>FILA REBASE</v>
      </c>
      <c r="K8975" s="12">
        <f>tItens[[#This Row],[Qtd]]*tItens[[#This Row],[Vlr unit]]</f>
        <v>13713.749999999998</v>
      </c>
      <c r="L8975" s="6">
        <f>IFERROR(IF(INDEX(tProdutos[Desconto homologado],MATCH(tItens[[#This Row],[Produto]],tProdutos[Produto],0))="",DescontoPadrao,INDEX(tProdutos[Desconto homologado],MATCH(tItens[[#This Row],[Produto]],tProdutos[Produto],0))),DescontoPadrao)</f>
        <v>0.253736324829619</v>
      </c>
      <c r="M8975" s="12">
        <f>tItens[[#This Row],[Valor]]*(1-tItens[[#This Row],[Desconto]])</f>
        <v>10234.073475367812</v>
      </c>
      <c r="N8975" t="str">
        <f>IFERROR(INDEX(tProdutos[Foco],MATCH(tItens[[#This Row],[Produto]],tProdutos[Produto],0)),"Não")</f>
        <v>Não</v>
      </c>
      <c r="O8975" t="str">
        <f>IFERROR(INDEX(tEditais[SRP],MATCH(tItens[[#This Row],[Edital]],tEditais[Edital],0)),"Não")</f>
        <v>Não</v>
      </c>
      <c r="P8975" s="4">
        <f>IF(COUNTIFS(INDEX(tItens[Edital],1):tItens[[#This Row],[Edital]],tItens[[#This Row],[Edital]],INDEX(tItens[Produto],1):tItens[[#This Row],[Produto]],tItens[[#This Row],[Produto]])=1,1,0)</f>
        <v>1</v>
      </c>
    </row>
    <row r="8976" spans="1:16" x14ac:dyDescent="0.25">
      <c r="A8976" t="s">
        <v>3069</v>
      </c>
      <c r="B8976">
        <v>203</v>
      </c>
      <c r="C8976" t="s">
        <v>11321</v>
      </c>
      <c r="D8976" t="s">
        <v>494</v>
      </c>
      <c r="E8976" s="13">
        <v>35</v>
      </c>
      <c r="F8976" s="12">
        <v>156.72999999999999</v>
      </c>
      <c r="G8976" t="str">
        <f>IFERROR(INDEX(tEditais[Órgão],MATCH(tItens[[#This Row],[Edital]],tEditais[Edital],0)),"")</f>
        <v>MUNICIPIO DE MARIAPOLIS</v>
      </c>
      <c r="H8976" t="str">
        <f>IFERROR(INDEX(tEditais[UF],MATCH(tItens[[#This Row],[Edital]],tEditais[Edital],0)),"")</f>
        <v>SP</v>
      </c>
      <c r="I8976" s="11">
        <f>IFERROR(INDEX(tEditais[Encerramento],MATCH(tItens[[#This Row],[Edital]],tEditais[Edital],0)),"")</f>
        <v>46311.347222222219</v>
      </c>
      <c r="J8976" t="str">
        <f>IFERROR(INDEX(tProdutos[Classe],MATCH(tItens[[#This Row],[Produto]],tProdutos[Produto],0)),"produto não cadastrado")</f>
        <v>FILA REBASE</v>
      </c>
      <c r="K8976" s="12">
        <f>tItens[[#This Row],[Qtd]]*tItens[[#This Row],[Vlr unit]]</f>
        <v>5485.5499999999993</v>
      </c>
      <c r="L8976" s="6">
        <f>IFERROR(IF(INDEX(tProdutos[Desconto homologado],MATCH(tItens[[#This Row],[Produto]],tProdutos[Produto],0))="",DescontoPadrao,INDEX(tProdutos[Desconto homologado],MATCH(tItens[[#This Row],[Produto]],tProdutos[Produto],0))),DescontoPadrao)</f>
        <v>0.253736324829619</v>
      </c>
      <c r="M8976" s="12">
        <f>tItens[[#This Row],[Valor]]*(1-tItens[[#This Row],[Desconto]])</f>
        <v>4093.6667033308831</v>
      </c>
      <c r="N8976" t="str">
        <f>IFERROR(INDEX(tProdutos[Foco],MATCH(tItens[[#This Row],[Produto]],tProdutos[Produto],0)),"Não")</f>
        <v>Não</v>
      </c>
      <c r="O8976" t="str">
        <f>IFERROR(INDEX(tEditais[SRP],MATCH(tItens[[#This Row],[Edital]],tEditais[Edital],0)),"Não")</f>
        <v>Não</v>
      </c>
      <c r="P8976" s="4">
        <f>IF(COUNTIFS(INDEX(tItens[Edital],1):tItens[[#This Row],[Edital]],tItens[[#This Row],[Edital]],INDEX(tItens[Produto],1):tItens[[#This Row],[Produto]],tItens[[#This Row],[Produto]])=1,1,0)</f>
        <v>0</v>
      </c>
    </row>
    <row r="8977" spans="1:16" x14ac:dyDescent="0.25">
      <c r="A8977" t="s">
        <v>3069</v>
      </c>
      <c r="B8977">
        <v>204</v>
      </c>
      <c r="C8977" t="s">
        <v>11322</v>
      </c>
      <c r="D8977" t="s">
        <v>494</v>
      </c>
      <c r="E8977" s="13">
        <v>35</v>
      </c>
      <c r="F8977" s="12">
        <v>235.1</v>
      </c>
      <c r="G8977" t="str">
        <f>IFERROR(INDEX(tEditais[Órgão],MATCH(tItens[[#This Row],[Edital]],tEditais[Edital],0)),"")</f>
        <v>MUNICIPIO DE MARIAPOLIS</v>
      </c>
      <c r="H8977" t="str">
        <f>IFERROR(INDEX(tEditais[UF],MATCH(tItens[[#This Row],[Edital]],tEditais[Edital],0)),"")</f>
        <v>SP</v>
      </c>
      <c r="I8977" s="11">
        <f>IFERROR(INDEX(tEditais[Encerramento],MATCH(tItens[[#This Row],[Edital]],tEditais[Edital],0)),"")</f>
        <v>46311.347222222219</v>
      </c>
      <c r="J8977" t="str">
        <f>IFERROR(INDEX(tProdutos[Classe],MATCH(tItens[[#This Row],[Produto]],tProdutos[Produto],0)),"produto não cadastrado")</f>
        <v>FILA REBASE</v>
      </c>
      <c r="K8977" s="12">
        <f>tItens[[#This Row],[Qtd]]*tItens[[#This Row],[Vlr unit]]</f>
        <v>8228.5</v>
      </c>
      <c r="L8977" s="6">
        <f>IFERROR(IF(INDEX(tProdutos[Desconto homologado],MATCH(tItens[[#This Row],[Produto]],tProdutos[Produto],0))="",DescontoPadrao,INDEX(tProdutos[Desconto homologado],MATCH(tItens[[#This Row],[Produto]],tProdutos[Produto],0))),DescontoPadrao)</f>
        <v>0.253736324829619</v>
      </c>
      <c r="M8977" s="12">
        <f>tItens[[#This Row],[Valor]]*(1-tItens[[#This Row],[Desconto]])</f>
        <v>6140.6306511394805</v>
      </c>
      <c r="N8977" t="str">
        <f>IFERROR(INDEX(tProdutos[Foco],MATCH(tItens[[#This Row],[Produto]],tProdutos[Produto],0)),"Não")</f>
        <v>Não</v>
      </c>
      <c r="O8977" t="str">
        <f>IFERROR(INDEX(tEditais[SRP],MATCH(tItens[[#This Row],[Edital]],tEditais[Edital],0)),"Não")</f>
        <v>Não</v>
      </c>
      <c r="P8977" s="4">
        <f>IF(COUNTIFS(INDEX(tItens[Edital],1):tItens[[#This Row],[Edital]],tItens[[#This Row],[Edital]],INDEX(tItens[Produto],1):tItens[[#This Row],[Produto]],tItens[[#This Row],[Produto]])=1,1,0)</f>
        <v>0</v>
      </c>
    </row>
    <row r="8978" spans="1:16" x14ac:dyDescent="0.25">
      <c r="A8978" t="s">
        <v>3069</v>
      </c>
      <c r="B8978">
        <v>205</v>
      </c>
      <c r="C8978" t="s">
        <v>11323</v>
      </c>
      <c r="D8978" t="s">
        <v>494</v>
      </c>
      <c r="E8978" s="13">
        <v>35</v>
      </c>
      <c r="F8978" s="12">
        <v>313.45999999999998</v>
      </c>
      <c r="G8978" t="str">
        <f>IFERROR(INDEX(tEditais[Órgão],MATCH(tItens[[#This Row],[Edital]],tEditais[Edital],0)),"")</f>
        <v>MUNICIPIO DE MARIAPOLIS</v>
      </c>
      <c r="H8978" t="str">
        <f>IFERROR(INDEX(tEditais[UF],MATCH(tItens[[#This Row],[Edital]],tEditais[Edital],0)),"")</f>
        <v>SP</v>
      </c>
      <c r="I8978" s="11">
        <f>IFERROR(INDEX(tEditais[Encerramento],MATCH(tItens[[#This Row],[Edital]],tEditais[Edital],0)),"")</f>
        <v>46311.347222222219</v>
      </c>
      <c r="J8978" t="str">
        <f>IFERROR(INDEX(tProdutos[Classe],MATCH(tItens[[#This Row],[Produto]],tProdutos[Produto],0)),"produto não cadastrado")</f>
        <v>FILA REBASE</v>
      </c>
      <c r="K8978" s="12">
        <f>tItens[[#This Row],[Qtd]]*tItens[[#This Row],[Vlr unit]]</f>
        <v>10971.099999999999</v>
      </c>
      <c r="L8978" s="6">
        <f>IFERROR(IF(INDEX(tProdutos[Desconto homologado],MATCH(tItens[[#This Row],[Produto]],tProdutos[Produto],0))="",DescontoPadrao,INDEX(tProdutos[Desconto homologado],MATCH(tItens[[#This Row],[Produto]],tProdutos[Produto],0))),DescontoPadrao)</f>
        <v>0.253736324829619</v>
      </c>
      <c r="M8978" s="12">
        <f>tItens[[#This Row],[Valor]]*(1-tItens[[#This Row],[Desconto]])</f>
        <v>8187.3334066617663</v>
      </c>
      <c r="N8978" t="str">
        <f>IFERROR(INDEX(tProdutos[Foco],MATCH(tItens[[#This Row],[Produto]],tProdutos[Produto],0)),"Não")</f>
        <v>Não</v>
      </c>
      <c r="O8978" t="str">
        <f>IFERROR(INDEX(tEditais[SRP],MATCH(tItens[[#This Row],[Edital]],tEditais[Edital],0)),"Não")</f>
        <v>Não</v>
      </c>
      <c r="P8978" s="4">
        <f>IF(COUNTIFS(INDEX(tItens[Edital],1):tItens[[#This Row],[Edital]],tItens[[#This Row],[Edital]],INDEX(tItens[Produto],1):tItens[[#This Row],[Produto]],tItens[[#This Row],[Produto]])=1,1,0)</f>
        <v>0</v>
      </c>
    </row>
    <row r="8979" spans="1:16" x14ac:dyDescent="0.25">
      <c r="A8979" t="s">
        <v>3069</v>
      </c>
      <c r="B8979">
        <v>226</v>
      </c>
      <c r="C8979" t="s">
        <v>11324</v>
      </c>
      <c r="D8979" t="s">
        <v>694</v>
      </c>
      <c r="E8979" s="13">
        <v>10</v>
      </c>
      <c r="F8979" s="12">
        <v>248.16</v>
      </c>
      <c r="G8979" t="str">
        <f>IFERROR(INDEX(tEditais[Órgão],MATCH(tItens[[#This Row],[Edital]],tEditais[Edital],0)),"")</f>
        <v>MUNICIPIO DE MARIAPOLIS</v>
      </c>
      <c r="H8979" t="str">
        <f>IFERROR(INDEX(tEditais[UF],MATCH(tItens[[#This Row],[Edital]],tEditais[Edital],0)),"")</f>
        <v>SP</v>
      </c>
      <c r="I8979" s="11">
        <f>IFERROR(INDEX(tEditais[Encerramento],MATCH(tItens[[#This Row],[Edital]],tEditais[Edital],0)),"")</f>
        <v>46311.347222222219</v>
      </c>
      <c r="J8979" t="str">
        <f>IFERROR(INDEX(tProdutos[Classe],MATCH(tItens[[#This Row],[Produto]],tProdutos[Produto],0)),"produto não cadastrado")</f>
        <v>FILA REBASE</v>
      </c>
      <c r="K8979" s="12">
        <f>tItens[[#This Row],[Qtd]]*tItens[[#This Row],[Vlr unit]]</f>
        <v>2481.6</v>
      </c>
      <c r="L8979" s="6">
        <f>IFERROR(IF(INDEX(tProdutos[Desconto homologado],MATCH(tItens[[#This Row],[Produto]],tProdutos[Produto],0))="",DescontoPadrao,INDEX(tProdutos[Desconto homologado],MATCH(tItens[[#This Row],[Produto]],tProdutos[Produto],0))),DescontoPadrao)</f>
        <v>0.61577111781048699</v>
      </c>
      <c r="M8979" s="12">
        <f>tItens[[#This Row],[Valor]]*(1-tItens[[#This Row],[Desconto]])</f>
        <v>953.50239404149545</v>
      </c>
      <c r="N8979" t="str">
        <f>IFERROR(INDEX(tProdutos[Foco],MATCH(tItens[[#This Row],[Produto]],tProdutos[Produto],0)),"Não")</f>
        <v>Não</v>
      </c>
      <c r="O8979" t="str">
        <f>IFERROR(INDEX(tEditais[SRP],MATCH(tItens[[#This Row],[Edital]],tEditais[Edital],0)),"Não")</f>
        <v>Não</v>
      </c>
      <c r="P8979" s="4">
        <f>IF(COUNTIFS(INDEX(tItens[Edital],1):tItens[[#This Row],[Edital]],tItens[[#This Row],[Edital]],INDEX(tItens[Produto],1):tItens[[#This Row],[Produto]],tItens[[#This Row],[Produto]])=1,1,0)</f>
        <v>1</v>
      </c>
    </row>
    <row r="8980" spans="1:16" x14ac:dyDescent="0.25">
      <c r="A8980" t="s">
        <v>3069</v>
      </c>
      <c r="B8980">
        <v>229</v>
      </c>
      <c r="C8980" t="s">
        <v>11325</v>
      </c>
      <c r="D8980" t="s">
        <v>279</v>
      </c>
      <c r="E8980" s="13">
        <v>4000</v>
      </c>
      <c r="F8980" s="12">
        <v>2.48</v>
      </c>
      <c r="G8980" t="str">
        <f>IFERROR(INDEX(tEditais[Órgão],MATCH(tItens[[#This Row],[Edital]],tEditais[Edital],0)),"")</f>
        <v>MUNICIPIO DE MARIAPOLIS</v>
      </c>
      <c r="H8980" t="str">
        <f>IFERROR(INDEX(tEditais[UF],MATCH(tItens[[#This Row],[Edital]],tEditais[Edital],0)),"")</f>
        <v>SP</v>
      </c>
      <c r="I8980" s="11">
        <f>IFERROR(INDEX(tEditais[Encerramento],MATCH(tItens[[#This Row],[Edital]],tEditais[Edital],0)),"")</f>
        <v>46311.347222222219</v>
      </c>
      <c r="J8980" t="str">
        <f>IFERROR(INDEX(tProdutos[Classe],MATCH(tItens[[#This Row],[Produto]],tProdutos[Produto],0)),"produto não cadastrado")</f>
        <v>FORA</v>
      </c>
      <c r="K8980" s="12">
        <f>tItens[[#This Row],[Qtd]]*tItens[[#This Row],[Vlr unit]]</f>
        <v>9920</v>
      </c>
      <c r="L8980" s="6">
        <f>IFERROR(IF(INDEX(tProdutos[Desconto homologado],MATCH(tItens[[#This Row],[Produto]],tProdutos[Produto],0))="",DescontoPadrao,INDEX(tProdutos[Desconto homologado],MATCH(tItens[[#This Row],[Produto]],tProdutos[Produto],0))),DescontoPadrao)</f>
        <v>0.28909090909090901</v>
      </c>
      <c r="M8980" s="12">
        <f>tItens[[#This Row],[Valor]]*(1-tItens[[#This Row],[Desconto]])</f>
        <v>7052.2181818181816</v>
      </c>
      <c r="N8980" t="str">
        <f>IFERROR(INDEX(tProdutos[Foco],MATCH(tItens[[#This Row],[Produto]],tProdutos[Produto],0)),"Não")</f>
        <v>Não</v>
      </c>
      <c r="O8980" t="str">
        <f>IFERROR(INDEX(tEditais[SRP],MATCH(tItens[[#This Row],[Edital]],tEditais[Edital],0)),"Não")</f>
        <v>Não</v>
      </c>
      <c r="P8980" s="4">
        <f>IF(COUNTIFS(INDEX(tItens[Edital],1):tItens[[#This Row],[Edital]],tItens[[#This Row],[Edital]],INDEX(tItens[Produto],1):tItens[[#This Row],[Produto]],tItens[[#This Row],[Produto]])=1,1,0)</f>
        <v>1</v>
      </c>
    </row>
    <row r="8981" spans="1:16" x14ac:dyDescent="0.25">
      <c r="A8981" t="s">
        <v>3069</v>
      </c>
      <c r="B8981">
        <v>247</v>
      </c>
      <c r="C8981" t="s">
        <v>11326</v>
      </c>
      <c r="D8981" t="s">
        <v>275</v>
      </c>
      <c r="E8981" s="13">
        <v>500</v>
      </c>
      <c r="F8981" s="12">
        <v>62.69</v>
      </c>
      <c r="G8981" t="str">
        <f>IFERROR(INDEX(tEditais[Órgão],MATCH(tItens[[#This Row],[Edital]],tEditais[Edital],0)),"")</f>
        <v>MUNICIPIO DE MARIAPOLIS</v>
      </c>
      <c r="H8981" t="str">
        <f>IFERROR(INDEX(tEditais[UF],MATCH(tItens[[#This Row],[Edital]],tEditais[Edital],0)),"")</f>
        <v>SP</v>
      </c>
      <c r="I8981" s="11">
        <f>IFERROR(INDEX(tEditais[Encerramento],MATCH(tItens[[#This Row],[Edital]],tEditais[Edital],0)),"")</f>
        <v>46311.347222222219</v>
      </c>
      <c r="J8981" t="str">
        <f>IFERROR(INDEX(tProdutos[Classe],MATCH(tItens[[#This Row],[Produto]],tProdutos[Produto],0)),"produto não cadastrado")</f>
        <v>FORA</v>
      </c>
      <c r="K8981" s="12">
        <f>tItens[[#This Row],[Qtd]]*tItens[[#This Row],[Vlr unit]]</f>
        <v>31345</v>
      </c>
      <c r="L8981" s="6">
        <f>IFERROR(IF(INDEX(tProdutos[Desconto homologado],MATCH(tItens[[#This Row],[Produto]],tProdutos[Produto],0))="",DescontoPadrao,INDEX(tProdutos[Desconto homologado],MATCH(tItens[[#This Row],[Produto]],tProdutos[Produto],0))),DescontoPadrao)</f>
        <v>0.405797101449275</v>
      </c>
      <c r="M8981" s="12">
        <f>tItens[[#This Row],[Valor]]*(1-tItens[[#This Row],[Desconto]])</f>
        <v>18625.289855072479</v>
      </c>
      <c r="N8981" t="str">
        <f>IFERROR(INDEX(tProdutos[Foco],MATCH(tItens[[#This Row],[Produto]],tProdutos[Produto],0)),"Não")</f>
        <v>Não</v>
      </c>
      <c r="O8981" t="str">
        <f>IFERROR(INDEX(tEditais[SRP],MATCH(tItens[[#This Row],[Edital]],tEditais[Edital],0)),"Não")</f>
        <v>Não</v>
      </c>
      <c r="P8981" s="4">
        <f>IF(COUNTIFS(INDEX(tItens[Edital],1):tItens[[#This Row],[Edital]],tItens[[#This Row],[Edital]],INDEX(tItens[Produto],1):tItens[[#This Row],[Produto]],tItens[[#This Row],[Produto]])=1,1,0)</f>
        <v>1</v>
      </c>
    </row>
    <row r="8982" spans="1:16" x14ac:dyDescent="0.25">
      <c r="A8982" t="s">
        <v>3069</v>
      </c>
      <c r="B8982">
        <v>248</v>
      </c>
      <c r="C8982" t="s">
        <v>11327</v>
      </c>
      <c r="D8982" t="s">
        <v>281</v>
      </c>
      <c r="E8982" s="13">
        <v>200</v>
      </c>
      <c r="F8982" s="12">
        <v>71.83</v>
      </c>
      <c r="G8982" t="str">
        <f>IFERROR(INDEX(tEditais[Órgão],MATCH(tItens[[#This Row],[Edital]],tEditais[Edital],0)),"")</f>
        <v>MUNICIPIO DE MARIAPOLIS</v>
      </c>
      <c r="H8982" t="str">
        <f>IFERROR(INDEX(tEditais[UF],MATCH(tItens[[#This Row],[Edital]],tEditais[Edital],0)),"")</f>
        <v>SP</v>
      </c>
      <c r="I8982" s="11">
        <f>IFERROR(INDEX(tEditais[Encerramento],MATCH(tItens[[#This Row],[Edital]],tEditais[Edital],0)),"")</f>
        <v>46311.347222222219</v>
      </c>
      <c r="J8982" t="str">
        <f>IFERROR(INDEX(tProdutos[Classe],MATCH(tItens[[#This Row],[Produto]],tProdutos[Produto],0)),"produto não cadastrado")</f>
        <v>DISPUTADO</v>
      </c>
      <c r="K8982" s="12">
        <f>tItens[[#This Row],[Qtd]]*tItens[[#This Row],[Vlr unit]]</f>
        <v>14366</v>
      </c>
      <c r="L8982" s="6">
        <f>IFERROR(IF(INDEX(tProdutos[Desconto homologado],MATCH(tItens[[#This Row],[Produto]],tProdutos[Produto],0))="",DescontoPadrao,INDEX(tProdutos[Desconto homologado],MATCH(tItens[[#This Row],[Produto]],tProdutos[Produto],0))),DescontoPadrao)</f>
        <v>0.42461538461538501</v>
      </c>
      <c r="M8982" s="12">
        <f>tItens[[#This Row],[Valor]]*(1-tItens[[#This Row],[Desconto]])</f>
        <v>8265.9753846153781</v>
      </c>
      <c r="N8982" t="str">
        <f>IFERROR(INDEX(tProdutos[Foco],MATCH(tItens[[#This Row],[Produto]],tProdutos[Produto],0)),"Não")</f>
        <v>Não</v>
      </c>
      <c r="O8982" t="str">
        <f>IFERROR(INDEX(tEditais[SRP],MATCH(tItens[[#This Row],[Edital]],tEditais[Edital],0)),"Não")</f>
        <v>Não</v>
      </c>
      <c r="P8982" s="4">
        <f>IF(COUNTIFS(INDEX(tItens[Edital],1):tItens[[#This Row],[Edital]],tItens[[#This Row],[Edital]],INDEX(tItens[Produto],1):tItens[[#This Row],[Produto]],tItens[[#This Row],[Produto]])=1,1,0)</f>
        <v>1</v>
      </c>
    </row>
    <row r="8983" spans="1:16" x14ac:dyDescent="0.25">
      <c r="A8983" t="s">
        <v>3069</v>
      </c>
      <c r="B8983">
        <v>249</v>
      </c>
      <c r="C8983" t="s">
        <v>11328</v>
      </c>
      <c r="D8983" t="s">
        <v>289</v>
      </c>
      <c r="E8983" s="13">
        <v>110</v>
      </c>
      <c r="F8983" s="12">
        <v>90.12</v>
      </c>
      <c r="G8983" t="str">
        <f>IFERROR(INDEX(tEditais[Órgão],MATCH(tItens[[#This Row],[Edital]],tEditais[Edital],0)),"")</f>
        <v>MUNICIPIO DE MARIAPOLIS</v>
      </c>
      <c r="H8983" t="str">
        <f>IFERROR(INDEX(tEditais[UF],MATCH(tItens[[#This Row],[Edital]],tEditais[Edital],0)),"")</f>
        <v>SP</v>
      </c>
      <c r="I8983" s="11">
        <f>IFERROR(INDEX(tEditais[Encerramento],MATCH(tItens[[#This Row],[Edital]],tEditais[Edital],0)),"")</f>
        <v>46311.347222222219</v>
      </c>
      <c r="J8983" t="str">
        <f>IFERROR(INDEX(tProdutos[Classe],MATCH(tItens[[#This Row],[Produto]],tProdutos[Produto],0)),"produto não cadastrado")</f>
        <v>DISPUTADO</v>
      </c>
      <c r="K8983" s="12">
        <f>tItens[[#This Row],[Qtd]]*tItens[[#This Row],[Vlr unit]]</f>
        <v>9913.2000000000007</v>
      </c>
      <c r="L8983" s="6">
        <f>IFERROR(IF(INDEX(tProdutos[Desconto homologado],MATCH(tItens[[#This Row],[Produto]],tProdutos[Produto],0))="",DescontoPadrao,INDEX(tProdutos[Desconto homologado],MATCH(tItens[[#This Row],[Produto]],tProdutos[Produto],0))),DescontoPadrao)</f>
        <v>0.35849056603773599</v>
      </c>
      <c r="M8983" s="12">
        <f>tItens[[#This Row],[Valor]]*(1-tItens[[#This Row],[Desconto]])</f>
        <v>6359.4113207547161</v>
      </c>
      <c r="N8983" t="str">
        <f>IFERROR(INDEX(tProdutos[Foco],MATCH(tItens[[#This Row],[Produto]],tProdutos[Produto],0)),"Não")</f>
        <v>Não</v>
      </c>
      <c r="O8983" t="str">
        <f>IFERROR(INDEX(tEditais[SRP],MATCH(tItens[[#This Row],[Edital]],tEditais[Edital],0)),"Não")</f>
        <v>Não</v>
      </c>
      <c r="P8983" s="4">
        <f>IF(COUNTIFS(INDEX(tItens[Edital],1):tItens[[#This Row],[Edital]],tItens[[#This Row],[Edital]],INDEX(tItens[Produto],1):tItens[[#This Row],[Produto]],tItens[[#This Row],[Produto]])=1,1,0)</f>
        <v>1</v>
      </c>
    </row>
    <row r="8984" spans="1:16" x14ac:dyDescent="0.25">
      <c r="A8984" t="s">
        <v>3069</v>
      </c>
      <c r="B8984">
        <v>250</v>
      </c>
      <c r="C8984" t="s">
        <v>11329</v>
      </c>
      <c r="D8984" t="s">
        <v>283</v>
      </c>
      <c r="E8984" s="13">
        <v>250</v>
      </c>
      <c r="F8984" s="12">
        <v>62.69</v>
      </c>
      <c r="G8984" t="str">
        <f>IFERROR(INDEX(tEditais[Órgão],MATCH(tItens[[#This Row],[Edital]],tEditais[Edital],0)),"")</f>
        <v>MUNICIPIO DE MARIAPOLIS</v>
      </c>
      <c r="H8984" t="str">
        <f>IFERROR(INDEX(tEditais[UF],MATCH(tItens[[#This Row],[Edital]],tEditais[Edital],0)),"")</f>
        <v>SP</v>
      </c>
      <c r="I8984" s="11">
        <f>IFERROR(INDEX(tEditais[Encerramento],MATCH(tItens[[#This Row],[Edital]],tEditais[Edital],0)),"")</f>
        <v>46311.347222222219</v>
      </c>
      <c r="J8984" t="str">
        <f>IFERROR(INDEX(tProdutos[Classe],MATCH(tItens[[#This Row],[Produto]],tProdutos[Produto],0)),"produto não cadastrado")</f>
        <v>FORA</v>
      </c>
      <c r="K8984" s="12">
        <f>tItens[[#This Row],[Qtd]]*tItens[[#This Row],[Vlr unit]]</f>
        <v>15672.5</v>
      </c>
      <c r="L8984" s="6">
        <f>IFERROR(IF(INDEX(tProdutos[Desconto homologado],MATCH(tItens[[#This Row],[Produto]],tProdutos[Produto],0))="",DescontoPadrao,INDEX(tProdutos[Desconto homologado],MATCH(tItens[[#This Row],[Produto]],tProdutos[Produto],0))),DescontoPadrao)</f>
        <v>0.40540540540540498</v>
      </c>
      <c r="M8984" s="12">
        <f>tItens[[#This Row],[Valor]]*(1-tItens[[#This Row],[Desconto]])</f>
        <v>9318.7837837837887</v>
      </c>
      <c r="N8984" t="str">
        <f>IFERROR(INDEX(tProdutos[Foco],MATCH(tItens[[#This Row],[Produto]],tProdutos[Produto],0)),"Não")</f>
        <v>Não</v>
      </c>
      <c r="O8984" t="str">
        <f>IFERROR(INDEX(tEditais[SRP],MATCH(tItens[[#This Row],[Edital]],tEditais[Edital],0)),"Não")</f>
        <v>Não</v>
      </c>
      <c r="P8984" s="4">
        <f>IF(COUNTIFS(INDEX(tItens[Edital],1):tItens[[#This Row],[Edital]],tItens[[#This Row],[Edital]],INDEX(tItens[Produto],1):tItens[[#This Row],[Produto]],tItens[[#This Row],[Produto]])=1,1,0)</f>
        <v>1</v>
      </c>
    </row>
    <row r="8985" spans="1:16" x14ac:dyDescent="0.25">
      <c r="A8985" t="s">
        <v>3069</v>
      </c>
      <c r="B8985">
        <v>251</v>
      </c>
      <c r="C8985" t="s">
        <v>11330</v>
      </c>
      <c r="D8985" t="s">
        <v>265</v>
      </c>
      <c r="E8985" s="13">
        <v>250</v>
      </c>
      <c r="F8985" s="12">
        <v>64</v>
      </c>
      <c r="G8985" t="str">
        <f>IFERROR(INDEX(tEditais[Órgão],MATCH(tItens[[#This Row],[Edital]],tEditais[Edital],0)),"")</f>
        <v>MUNICIPIO DE MARIAPOLIS</v>
      </c>
      <c r="H8985" t="str">
        <f>IFERROR(INDEX(tEditais[UF],MATCH(tItens[[#This Row],[Edital]],tEditais[Edital],0)),"")</f>
        <v>SP</v>
      </c>
      <c r="I8985" s="11">
        <f>IFERROR(INDEX(tEditais[Encerramento],MATCH(tItens[[#This Row],[Edital]],tEditais[Edital],0)),"")</f>
        <v>46311.347222222219</v>
      </c>
      <c r="J8985" t="str">
        <f>IFERROR(INDEX(tProdutos[Classe],MATCH(tItens[[#This Row],[Produto]],tProdutos[Produto],0)),"produto não cadastrado")</f>
        <v>DISPUTADO</v>
      </c>
      <c r="K8985" s="12">
        <f>tItens[[#This Row],[Qtd]]*tItens[[#This Row],[Vlr unit]]</f>
        <v>16000</v>
      </c>
      <c r="L8985" s="6">
        <f>IFERROR(IF(INDEX(tProdutos[Desconto homologado],MATCH(tItens[[#This Row],[Produto]],tProdutos[Produto],0))="",DescontoPadrao,INDEX(tProdutos[Desconto homologado],MATCH(tItens[[#This Row],[Produto]],tProdutos[Produto],0))),DescontoPadrao)</f>
        <v>0.377587663709337</v>
      </c>
      <c r="M8985" s="12">
        <f>tItens[[#This Row],[Valor]]*(1-tItens[[#This Row],[Desconto]])</f>
        <v>9958.5973806506081</v>
      </c>
      <c r="N8985" t="str">
        <f>IFERROR(INDEX(tProdutos[Foco],MATCH(tItens[[#This Row],[Produto]],tProdutos[Produto],0)),"Não")</f>
        <v>Não</v>
      </c>
      <c r="O8985" t="str">
        <f>IFERROR(INDEX(tEditais[SRP],MATCH(tItens[[#This Row],[Edital]],tEditais[Edital],0)),"Não")</f>
        <v>Não</v>
      </c>
      <c r="P8985" s="4">
        <f>IF(COUNTIFS(INDEX(tItens[Edital],1):tItens[[#This Row],[Edital]],tItens[[#This Row],[Edital]],INDEX(tItens[Produto],1):tItens[[#This Row],[Produto]],tItens[[#This Row],[Produto]])=1,1,0)</f>
        <v>1</v>
      </c>
    </row>
    <row r="8986" spans="1:16" x14ac:dyDescent="0.25">
      <c r="A8986" t="s">
        <v>3069</v>
      </c>
      <c r="B8986">
        <v>252</v>
      </c>
      <c r="C8986" t="s">
        <v>11331</v>
      </c>
      <c r="D8986" t="s">
        <v>275</v>
      </c>
      <c r="E8986" s="13">
        <v>600</v>
      </c>
      <c r="F8986" s="12">
        <v>88.81</v>
      </c>
      <c r="G8986" t="str">
        <f>IFERROR(INDEX(tEditais[Órgão],MATCH(tItens[[#This Row],[Edital]],tEditais[Edital],0)),"")</f>
        <v>MUNICIPIO DE MARIAPOLIS</v>
      </c>
      <c r="H8986" t="str">
        <f>IFERROR(INDEX(tEditais[UF],MATCH(tItens[[#This Row],[Edital]],tEditais[Edital],0)),"")</f>
        <v>SP</v>
      </c>
      <c r="I8986" s="11">
        <f>IFERROR(INDEX(tEditais[Encerramento],MATCH(tItens[[#This Row],[Edital]],tEditais[Edital],0)),"")</f>
        <v>46311.347222222219</v>
      </c>
      <c r="J8986" t="str">
        <f>IFERROR(INDEX(tProdutos[Classe],MATCH(tItens[[#This Row],[Produto]],tProdutos[Produto],0)),"produto não cadastrado")</f>
        <v>FORA</v>
      </c>
      <c r="K8986" s="12">
        <f>tItens[[#This Row],[Qtd]]*tItens[[#This Row],[Vlr unit]]</f>
        <v>53286</v>
      </c>
      <c r="L8986" s="6">
        <f>IFERROR(IF(INDEX(tProdutos[Desconto homologado],MATCH(tItens[[#This Row],[Produto]],tProdutos[Produto],0))="",DescontoPadrao,INDEX(tProdutos[Desconto homologado],MATCH(tItens[[#This Row],[Produto]],tProdutos[Produto],0))),DescontoPadrao)</f>
        <v>0.405797101449275</v>
      </c>
      <c r="M8986" s="12">
        <f>tItens[[#This Row],[Valor]]*(1-tItens[[#This Row],[Desconto]])</f>
        <v>31662.695652173934</v>
      </c>
      <c r="N8986" t="str">
        <f>IFERROR(INDEX(tProdutos[Foco],MATCH(tItens[[#This Row],[Produto]],tProdutos[Produto],0)),"Não")</f>
        <v>Não</v>
      </c>
      <c r="O8986" t="str">
        <f>IFERROR(INDEX(tEditais[SRP],MATCH(tItens[[#This Row],[Edital]],tEditais[Edital],0)),"Não")</f>
        <v>Não</v>
      </c>
      <c r="P8986" s="4">
        <f>IF(COUNTIFS(INDEX(tItens[Edital],1):tItens[[#This Row],[Edital]],tItens[[#This Row],[Edital]],INDEX(tItens[Produto],1):tItens[[#This Row],[Produto]],tItens[[#This Row],[Produto]])=1,1,0)</f>
        <v>0</v>
      </c>
    </row>
    <row r="8987" spans="1:16" x14ac:dyDescent="0.25">
      <c r="A8987" t="s">
        <v>3069</v>
      </c>
      <c r="B8987">
        <v>279</v>
      </c>
      <c r="C8987" t="s">
        <v>11332</v>
      </c>
      <c r="D8987" t="s">
        <v>184</v>
      </c>
      <c r="E8987" s="13">
        <v>20</v>
      </c>
      <c r="F8987" s="12">
        <v>11.62</v>
      </c>
      <c r="G8987" t="str">
        <f>IFERROR(INDEX(tEditais[Órgão],MATCH(tItens[[#This Row],[Edital]],tEditais[Edital],0)),"")</f>
        <v>MUNICIPIO DE MARIAPOLIS</v>
      </c>
      <c r="H8987" t="str">
        <f>IFERROR(INDEX(tEditais[UF],MATCH(tItens[[#This Row],[Edital]],tEditais[Edital],0)),"")</f>
        <v>SP</v>
      </c>
      <c r="I8987" s="11">
        <f>IFERROR(INDEX(tEditais[Encerramento],MATCH(tItens[[#This Row],[Edital]],tEditais[Edital],0)),"")</f>
        <v>46311.347222222219</v>
      </c>
      <c r="J8987" t="str">
        <f>IFERROR(INDEX(tProdutos[Classe],MATCH(tItens[[#This Row],[Produto]],tProdutos[Produto],0)),"produto não cadastrado")</f>
        <v>FORA</v>
      </c>
      <c r="K8987" s="12">
        <f>tItens[[#This Row],[Qtd]]*tItens[[#This Row],[Vlr unit]]</f>
        <v>232.39999999999998</v>
      </c>
      <c r="L8987" s="6">
        <f>IFERROR(IF(INDEX(tProdutos[Desconto homologado],MATCH(tItens[[#This Row],[Produto]],tProdutos[Produto],0))="",DescontoPadrao,INDEX(tProdutos[Desconto homologado],MATCH(tItens[[#This Row],[Produto]],tProdutos[Produto],0))),DescontoPadrao)</f>
        <v>0.363567906332742</v>
      </c>
      <c r="M8987" s="12">
        <f>tItens[[#This Row],[Valor]]*(1-tItens[[#This Row],[Desconto]])</f>
        <v>147.90681856827075</v>
      </c>
      <c r="N8987" t="str">
        <f>IFERROR(INDEX(tProdutos[Foco],MATCH(tItens[[#This Row],[Produto]],tProdutos[Produto],0)),"Não")</f>
        <v>Não</v>
      </c>
      <c r="O8987" t="str">
        <f>IFERROR(INDEX(tEditais[SRP],MATCH(tItens[[#This Row],[Edital]],tEditais[Edital],0)),"Não")</f>
        <v>Não</v>
      </c>
      <c r="P8987" s="4">
        <f>IF(COUNTIFS(INDEX(tItens[Edital],1):tItens[[#This Row],[Edital]],tItens[[#This Row],[Edital]],INDEX(tItens[Produto],1):tItens[[#This Row],[Produto]],tItens[[#This Row],[Produto]])=1,1,0)</f>
        <v>1</v>
      </c>
    </row>
    <row r="8988" spans="1:16" x14ac:dyDescent="0.25">
      <c r="A8988" t="s">
        <v>3069</v>
      </c>
      <c r="B8988">
        <v>280</v>
      </c>
      <c r="C8988" t="s">
        <v>11333</v>
      </c>
      <c r="D8988" t="s">
        <v>184</v>
      </c>
      <c r="E8988" s="13">
        <v>10</v>
      </c>
      <c r="F8988" s="12">
        <v>11.62</v>
      </c>
      <c r="G8988" t="str">
        <f>IFERROR(INDEX(tEditais[Órgão],MATCH(tItens[[#This Row],[Edital]],tEditais[Edital],0)),"")</f>
        <v>MUNICIPIO DE MARIAPOLIS</v>
      </c>
      <c r="H8988" t="str">
        <f>IFERROR(INDEX(tEditais[UF],MATCH(tItens[[#This Row],[Edital]],tEditais[Edital],0)),"")</f>
        <v>SP</v>
      </c>
      <c r="I8988" s="11">
        <f>IFERROR(INDEX(tEditais[Encerramento],MATCH(tItens[[#This Row],[Edital]],tEditais[Edital],0)),"")</f>
        <v>46311.347222222219</v>
      </c>
      <c r="J8988" t="str">
        <f>IFERROR(INDEX(tProdutos[Classe],MATCH(tItens[[#This Row],[Produto]],tProdutos[Produto],0)),"produto não cadastrado")</f>
        <v>FORA</v>
      </c>
      <c r="K8988" s="12">
        <f>tItens[[#This Row],[Qtd]]*tItens[[#This Row],[Vlr unit]]</f>
        <v>116.19999999999999</v>
      </c>
      <c r="L8988" s="6">
        <f>IFERROR(IF(INDEX(tProdutos[Desconto homologado],MATCH(tItens[[#This Row],[Produto]],tProdutos[Produto],0))="",DescontoPadrao,INDEX(tProdutos[Desconto homologado],MATCH(tItens[[#This Row],[Produto]],tProdutos[Produto],0))),DescontoPadrao)</f>
        <v>0.363567906332742</v>
      </c>
      <c r="M8988" s="12">
        <f>tItens[[#This Row],[Valor]]*(1-tItens[[#This Row],[Desconto]])</f>
        <v>73.953409284135375</v>
      </c>
      <c r="N8988" t="str">
        <f>IFERROR(INDEX(tProdutos[Foco],MATCH(tItens[[#This Row],[Produto]],tProdutos[Produto],0)),"Não")</f>
        <v>Não</v>
      </c>
      <c r="O8988" t="str">
        <f>IFERROR(INDEX(tEditais[SRP],MATCH(tItens[[#This Row],[Edital]],tEditais[Edital],0)),"Não")</f>
        <v>Não</v>
      </c>
      <c r="P8988" s="4">
        <f>IF(COUNTIFS(INDEX(tItens[Edital],1):tItens[[#This Row],[Edital]],tItens[[#This Row],[Edital]],INDEX(tItens[Produto],1):tItens[[#This Row],[Produto]],tItens[[#This Row],[Produto]])=1,1,0)</f>
        <v>0</v>
      </c>
    </row>
    <row r="8989" spans="1:16" x14ac:dyDescent="0.25">
      <c r="A8989" t="s">
        <v>3069</v>
      </c>
      <c r="B8989">
        <v>281</v>
      </c>
      <c r="C8989" t="s">
        <v>11334</v>
      </c>
      <c r="D8989" t="s">
        <v>184</v>
      </c>
      <c r="E8989" s="13">
        <v>50</v>
      </c>
      <c r="F8989" s="12">
        <v>11.62</v>
      </c>
      <c r="G8989" t="str">
        <f>IFERROR(INDEX(tEditais[Órgão],MATCH(tItens[[#This Row],[Edital]],tEditais[Edital],0)),"")</f>
        <v>MUNICIPIO DE MARIAPOLIS</v>
      </c>
      <c r="H8989" t="str">
        <f>IFERROR(INDEX(tEditais[UF],MATCH(tItens[[#This Row],[Edital]],tEditais[Edital],0)),"")</f>
        <v>SP</v>
      </c>
      <c r="I8989" s="11">
        <f>IFERROR(INDEX(tEditais[Encerramento],MATCH(tItens[[#This Row],[Edital]],tEditais[Edital],0)),"")</f>
        <v>46311.347222222219</v>
      </c>
      <c r="J8989" t="str">
        <f>IFERROR(INDEX(tProdutos[Classe],MATCH(tItens[[#This Row],[Produto]],tProdutos[Produto],0)),"produto não cadastrado")</f>
        <v>FORA</v>
      </c>
      <c r="K8989" s="12">
        <f>tItens[[#This Row],[Qtd]]*tItens[[#This Row],[Vlr unit]]</f>
        <v>581</v>
      </c>
      <c r="L8989" s="6">
        <f>IFERROR(IF(INDEX(tProdutos[Desconto homologado],MATCH(tItens[[#This Row],[Produto]],tProdutos[Produto],0))="",DescontoPadrao,INDEX(tProdutos[Desconto homologado],MATCH(tItens[[#This Row],[Produto]],tProdutos[Produto],0))),DescontoPadrao)</f>
        <v>0.363567906332742</v>
      </c>
      <c r="M8989" s="12">
        <f>tItens[[#This Row],[Valor]]*(1-tItens[[#This Row],[Desconto]])</f>
        <v>369.76704642067693</v>
      </c>
      <c r="N8989" t="str">
        <f>IFERROR(INDEX(tProdutos[Foco],MATCH(tItens[[#This Row],[Produto]],tProdutos[Produto],0)),"Não")</f>
        <v>Não</v>
      </c>
      <c r="O8989" t="str">
        <f>IFERROR(INDEX(tEditais[SRP],MATCH(tItens[[#This Row],[Edital]],tEditais[Edital],0)),"Não")</f>
        <v>Não</v>
      </c>
      <c r="P8989" s="4">
        <f>IF(COUNTIFS(INDEX(tItens[Edital],1):tItens[[#This Row],[Edital]],tItens[[#This Row],[Edital]],INDEX(tItens[Produto],1):tItens[[#This Row],[Produto]],tItens[[#This Row],[Produto]])=1,1,0)</f>
        <v>0</v>
      </c>
    </row>
    <row r="8990" spans="1:16" x14ac:dyDescent="0.25">
      <c r="A8990" t="s">
        <v>3069</v>
      </c>
      <c r="B8990">
        <v>282</v>
      </c>
      <c r="C8990" t="s">
        <v>11335</v>
      </c>
      <c r="D8990" t="s">
        <v>184</v>
      </c>
      <c r="E8990" s="13">
        <v>25</v>
      </c>
      <c r="F8990" s="12">
        <v>11.62</v>
      </c>
      <c r="G8990" t="str">
        <f>IFERROR(INDEX(tEditais[Órgão],MATCH(tItens[[#This Row],[Edital]],tEditais[Edital],0)),"")</f>
        <v>MUNICIPIO DE MARIAPOLIS</v>
      </c>
      <c r="H8990" t="str">
        <f>IFERROR(INDEX(tEditais[UF],MATCH(tItens[[#This Row],[Edital]],tEditais[Edital],0)),"")</f>
        <v>SP</v>
      </c>
      <c r="I8990" s="11">
        <f>IFERROR(INDEX(tEditais[Encerramento],MATCH(tItens[[#This Row],[Edital]],tEditais[Edital],0)),"")</f>
        <v>46311.347222222219</v>
      </c>
      <c r="J8990" t="str">
        <f>IFERROR(INDEX(tProdutos[Classe],MATCH(tItens[[#This Row],[Produto]],tProdutos[Produto],0)),"produto não cadastrado")</f>
        <v>FORA</v>
      </c>
      <c r="K8990" s="12">
        <f>tItens[[#This Row],[Qtd]]*tItens[[#This Row],[Vlr unit]]</f>
        <v>290.5</v>
      </c>
      <c r="L8990" s="6">
        <f>IFERROR(IF(INDEX(tProdutos[Desconto homologado],MATCH(tItens[[#This Row],[Produto]],tProdutos[Produto],0))="",DescontoPadrao,INDEX(tProdutos[Desconto homologado],MATCH(tItens[[#This Row],[Produto]],tProdutos[Produto],0))),DescontoPadrao)</f>
        <v>0.363567906332742</v>
      </c>
      <c r="M8990" s="12">
        <f>tItens[[#This Row],[Valor]]*(1-tItens[[#This Row],[Desconto]])</f>
        <v>184.88352321033847</v>
      </c>
      <c r="N8990" t="str">
        <f>IFERROR(INDEX(tProdutos[Foco],MATCH(tItens[[#This Row],[Produto]],tProdutos[Produto],0)),"Não")</f>
        <v>Não</v>
      </c>
      <c r="O8990" t="str">
        <f>IFERROR(INDEX(tEditais[SRP],MATCH(tItens[[#This Row],[Edital]],tEditais[Edital],0)),"Não")</f>
        <v>Não</v>
      </c>
      <c r="P8990" s="4">
        <f>IF(COUNTIFS(INDEX(tItens[Edital],1):tItens[[#This Row],[Edital]],tItens[[#This Row],[Edital]],INDEX(tItens[Produto],1):tItens[[#This Row],[Produto]],tItens[[#This Row],[Produto]])=1,1,0)</f>
        <v>0</v>
      </c>
    </row>
    <row r="8991" spans="1:16" x14ac:dyDescent="0.25">
      <c r="A8991" t="s">
        <v>3069</v>
      </c>
      <c r="B8991">
        <v>283</v>
      </c>
      <c r="C8991" t="s">
        <v>11336</v>
      </c>
      <c r="D8991" t="s">
        <v>184</v>
      </c>
      <c r="E8991" s="13">
        <v>20</v>
      </c>
      <c r="F8991" s="12">
        <v>11.62</v>
      </c>
      <c r="G8991" t="str">
        <f>IFERROR(INDEX(tEditais[Órgão],MATCH(tItens[[#This Row],[Edital]],tEditais[Edital],0)),"")</f>
        <v>MUNICIPIO DE MARIAPOLIS</v>
      </c>
      <c r="H8991" t="str">
        <f>IFERROR(INDEX(tEditais[UF],MATCH(tItens[[#This Row],[Edital]],tEditais[Edital],0)),"")</f>
        <v>SP</v>
      </c>
      <c r="I8991" s="11">
        <f>IFERROR(INDEX(tEditais[Encerramento],MATCH(tItens[[#This Row],[Edital]],tEditais[Edital],0)),"")</f>
        <v>46311.347222222219</v>
      </c>
      <c r="J8991" t="str">
        <f>IFERROR(INDEX(tProdutos[Classe],MATCH(tItens[[#This Row],[Produto]],tProdutos[Produto],0)),"produto não cadastrado")</f>
        <v>FORA</v>
      </c>
      <c r="K8991" s="12">
        <f>tItens[[#This Row],[Qtd]]*tItens[[#This Row],[Vlr unit]]</f>
        <v>232.39999999999998</v>
      </c>
      <c r="L8991" s="6">
        <f>IFERROR(IF(INDEX(tProdutos[Desconto homologado],MATCH(tItens[[#This Row],[Produto]],tProdutos[Produto],0))="",DescontoPadrao,INDEX(tProdutos[Desconto homologado],MATCH(tItens[[#This Row],[Produto]],tProdutos[Produto],0))),DescontoPadrao)</f>
        <v>0.363567906332742</v>
      </c>
      <c r="M8991" s="12">
        <f>tItens[[#This Row],[Valor]]*(1-tItens[[#This Row],[Desconto]])</f>
        <v>147.90681856827075</v>
      </c>
      <c r="N8991" t="str">
        <f>IFERROR(INDEX(tProdutos[Foco],MATCH(tItens[[#This Row],[Produto]],tProdutos[Produto],0)),"Não")</f>
        <v>Não</v>
      </c>
      <c r="O8991" t="str">
        <f>IFERROR(INDEX(tEditais[SRP],MATCH(tItens[[#This Row],[Edital]],tEditais[Edital],0)),"Não")</f>
        <v>Não</v>
      </c>
      <c r="P8991" s="4">
        <f>IF(COUNTIFS(INDEX(tItens[Edital],1):tItens[[#This Row],[Edital]],tItens[[#This Row],[Edital]],INDEX(tItens[Produto],1):tItens[[#This Row],[Produto]],tItens[[#This Row],[Produto]])=1,1,0)</f>
        <v>0</v>
      </c>
    </row>
    <row r="8992" spans="1:16" x14ac:dyDescent="0.25">
      <c r="A8992" t="s">
        <v>3069</v>
      </c>
      <c r="B8992">
        <v>284</v>
      </c>
      <c r="C8992" t="s">
        <v>11337</v>
      </c>
      <c r="D8992" t="s">
        <v>184</v>
      </c>
      <c r="E8992" s="13">
        <v>20</v>
      </c>
      <c r="F8992" s="12">
        <v>11.62</v>
      </c>
      <c r="G8992" t="str">
        <f>IFERROR(INDEX(tEditais[Órgão],MATCH(tItens[[#This Row],[Edital]],tEditais[Edital],0)),"")</f>
        <v>MUNICIPIO DE MARIAPOLIS</v>
      </c>
      <c r="H8992" t="str">
        <f>IFERROR(INDEX(tEditais[UF],MATCH(tItens[[#This Row],[Edital]],tEditais[Edital],0)),"")</f>
        <v>SP</v>
      </c>
      <c r="I8992" s="11">
        <f>IFERROR(INDEX(tEditais[Encerramento],MATCH(tItens[[#This Row],[Edital]],tEditais[Edital],0)),"")</f>
        <v>46311.347222222219</v>
      </c>
      <c r="J8992" t="str">
        <f>IFERROR(INDEX(tProdutos[Classe],MATCH(tItens[[#This Row],[Produto]],tProdutos[Produto],0)),"produto não cadastrado")</f>
        <v>FORA</v>
      </c>
      <c r="K8992" s="12">
        <f>tItens[[#This Row],[Qtd]]*tItens[[#This Row],[Vlr unit]]</f>
        <v>232.39999999999998</v>
      </c>
      <c r="L8992" s="6">
        <f>IFERROR(IF(INDEX(tProdutos[Desconto homologado],MATCH(tItens[[#This Row],[Produto]],tProdutos[Produto],0))="",DescontoPadrao,INDEX(tProdutos[Desconto homologado],MATCH(tItens[[#This Row],[Produto]],tProdutos[Produto],0))),DescontoPadrao)</f>
        <v>0.363567906332742</v>
      </c>
      <c r="M8992" s="12">
        <f>tItens[[#This Row],[Valor]]*(1-tItens[[#This Row],[Desconto]])</f>
        <v>147.90681856827075</v>
      </c>
      <c r="N8992" t="str">
        <f>IFERROR(INDEX(tProdutos[Foco],MATCH(tItens[[#This Row],[Produto]],tProdutos[Produto],0)),"Não")</f>
        <v>Não</v>
      </c>
      <c r="O8992" t="str">
        <f>IFERROR(INDEX(tEditais[SRP],MATCH(tItens[[#This Row],[Edital]],tEditais[Edital],0)),"Não")</f>
        <v>Não</v>
      </c>
      <c r="P8992" s="4">
        <f>IF(COUNTIFS(INDEX(tItens[Edital],1):tItens[[#This Row],[Edital]],tItens[[#This Row],[Edital]],INDEX(tItens[Produto],1):tItens[[#This Row],[Produto]],tItens[[#This Row],[Produto]])=1,1,0)</f>
        <v>0</v>
      </c>
    </row>
    <row r="8993" spans="1:16" x14ac:dyDescent="0.25">
      <c r="A8993" t="s">
        <v>3069</v>
      </c>
      <c r="B8993">
        <v>285</v>
      </c>
      <c r="C8993" t="s">
        <v>11338</v>
      </c>
      <c r="D8993" t="s">
        <v>184</v>
      </c>
      <c r="E8993" s="13">
        <v>20</v>
      </c>
      <c r="F8993" s="12">
        <v>11.62</v>
      </c>
      <c r="G8993" t="str">
        <f>IFERROR(INDEX(tEditais[Órgão],MATCH(tItens[[#This Row],[Edital]],tEditais[Edital],0)),"")</f>
        <v>MUNICIPIO DE MARIAPOLIS</v>
      </c>
      <c r="H8993" t="str">
        <f>IFERROR(INDEX(tEditais[UF],MATCH(tItens[[#This Row],[Edital]],tEditais[Edital],0)),"")</f>
        <v>SP</v>
      </c>
      <c r="I8993" s="11">
        <f>IFERROR(INDEX(tEditais[Encerramento],MATCH(tItens[[#This Row],[Edital]],tEditais[Edital],0)),"")</f>
        <v>46311.347222222219</v>
      </c>
      <c r="J8993" t="str">
        <f>IFERROR(INDEX(tProdutos[Classe],MATCH(tItens[[#This Row],[Produto]],tProdutos[Produto],0)),"produto não cadastrado")</f>
        <v>FORA</v>
      </c>
      <c r="K8993" s="12">
        <f>tItens[[#This Row],[Qtd]]*tItens[[#This Row],[Vlr unit]]</f>
        <v>232.39999999999998</v>
      </c>
      <c r="L8993" s="6">
        <f>IFERROR(IF(INDEX(tProdutos[Desconto homologado],MATCH(tItens[[#This Row],[Produto]],tProdutos[Produto],0))="",DescontoPadrao,INDEX(tProdutos[Desconto homologado],MATCH(tItens[[#This Row],[Produto]],tProdutos[Produto],0))),DescontoPadrao)</f>
        <v>0.363567906332742</v>
      </c>
      <c r="M8993" s="12">
        <f>tItens[[#This Row],[Valor]]*(1-tItens[[#This Row],[Desconto]])</f>
        <v>147.90681856827075</v>
      </c>
      <c r="N8993" t="str">
        <f>IFERROR(INDEX(tProdutos[Foco],MATCH(tItens[[#This Row],[Produto]],tProdutos[Produto],0)),"Não")</f>
        <v>Não</v>
      </c>
      <c r="O8993" t="str">
        <f>IFERROR(INDEX(tEditais[SRP],MATCH(tItens[[#This Row],[Edital]],tEditais[Edital],0)),"Não")</f>
        <v>Não</v>
      </c>
      <c r="P8993" s="4">
        <f>IF(COUNTIFS(INDEX(tItens[Edital],1):tItens[[#This Row],[Edital]],tItens[[#This Row],[Edital]],INDEX(tItens[Produto],1):tItens[[#This Row],[Produto]],tItens[[#This Row],[Produto]])=1,1,0)</f>
        <v>0</v>
      </c>
    </row>
    <row r="8994" spans="1:16" x14ac:dyDescent="0.25">
      <c r="A8994" t="s">
        <v>3069</v>
      </c>
      <c r="B8994">
        <v>286</v>
      </c>
      <c r="C8994" t="s">
        <v>11339</v>
      </c>
      <c r="D8994" t="s">
        <v>184</v>
      </c>
      <c r="E8994" s="13">
        <v>30</v>
      </c>
      <c r="F8994" s="12">
        <v>11.62</v>
      </c>
      <c r="G8994" t="str">
        <f>IFERROR(INDEX(tEditais[Órgão],MATCH(tItens[[#This Row],[Edital]],tEditais[Edital],0)),"")</f>
        <v>MUNICIPIO DE MARIAPOLIS</v>
      </c>
      <c r="H8994" t="str">
        <f>IFERROR(INDEX(tEditais[UF],MATCH(tItens[[#This Row],[Edital]],tEditais[Edital],0)),"")</f>
        <v>SP</v>
      </c>
      <c r="I8994" s="11">
        <f>IFERROR(INDEX(tEditais[Encerramento],MATCH(tItens[[#This Row],[Edital]],tEditais[Edital],0)),"")</f>
        <v>46311.347222222219</v>
      </c>
      <c r="J8994" t="str">
        <f>IFERROR(INDEX(tProdutos[Classe],MATCH(tItens[[#This Row],[Produto]],tProdutos[Produto],0)),"produto não cadastrado")</f>
        <v>FORA</v>
      </c>
      <c r="K8994" s="12">
        <f>tItens[[#This Row],[Qtd]]*tItens[[#This Row],[Vlr unit]]</f>
        <v>348.59999999999997</v>
      </c>
      <c r="L8994" s="6">
        <f>IFERROR(IF(INDEX(tProdutos[Desconto homologado],MATCH(tItens[[#This Row],[Produto]],tProdutos[Produto],0))="",DescontoPadrao,INDEX(tProdutos[Desconto homologado],MATCH(tItens[[#This Row],[Produto]],tProdutos[Produto],0))),DescontoPadrao)</f>
        <v>0.363567906332742</v>
      </c>
      <c r="M8994" s="12">
        <f>tItens[[#This Row],[Valor]]*(1-tItens[[#This Row],[Desconto]])</f>
        <v>221.86022785240613</v>
      </c>
      <c r="N8994" t="str">
        <f>IFERROR(INDEX(tProdutos[Foco],MATCH(tItens[[#This Row],[Produto]],tProdutos[Produto],0)),"Não")</f>
        <v>Não</v>
      </c>
      <c r="O8994" t="str">
        <f>IFERROR(INDEX(tEditais[SRP],MATCH(tItens[[#This Row],[Edital]],tEditais[Edital],0)),"Não")</f>
        <v>Não</v>
      </c>
      <c r="P8994" s="4">
        <f>IF(COUNTIFS(INDEX(tItens[Edital],1):tItens[[#This Row],[Edital]],tItens[[#This Row],[Edital]],INDEX(tItens[Produto],1):tItens[[#This Row],[Produto]],tItens[[#This Row],[Produto]])=1,1,0)</f>
        <v>0</v>
      </c>
    </row>
    <row r="8995" spans="1:16" x14ac:dyDescent="0.25">
      <c r="A8995" t="s">
        <v>3069</v>
      </c>
      <c r="B8995">
        <v>294</v>
      </c>
      <c r="C8995" t="s">
        <v>11340</v>
      </c>
      <c r="D8995" t="s">
        <v>120</v>
      </c>
      <c r="E8995" s="13">
        <v>100</v>
      </c>
      <c r="F8995" s="12">
        <v>1.57</v>
      </c>
      <c r="G8995" t="str">
        <f>IFERROR(INDEX(tEditais[Órgão],MATCH(tItens[[#This Row],[Edital]],tEditais[Edital],0)),"")</f>
        <v>MUNICIPIO DE MARIAPOLIS</v>
      </c>
      <c r="H8995" t="str">
        <f>IFERROR(INDEX(tEditais[UF],MATCH(tItens[[#This Row],[Edital]],tEditais[Edital],0)),"")</f>
        <v>SP</v>
      </c>
      <c r="I8995" s="11">
        <f>IFERROR(INDEX(tEditais[Encerramento],MATCH(tItens[[#This Row],[Edital]],tEditais[Edital],0)),"")</f>
        <v>46311.347222222219</v>
      </c>
      <c r="J8995" t="str">
        <f>IFERROR(INDEX(tProdutos[Classe],MATCH(tItens[[#This Row],[Produto]],tProdutos[Produto],0)),"produto não cadastrado")</f>
        <v>DISPUTADO</v>
      </c>
      <c r="K8995" s="12">
        <f>tItens[[#This Row],[Qtd]]*tItens[[#This Row],[Vlr unit]]</f>
        <v>157</v>
      </c>
      <c r="L8995" s="6">
        <f>IFERROR(IF(INDEX(tProdutos[Desconto homologado],MATCH(tItens[[#This Row],[Produto]],tProdutos[Produto],0))="",DescontoPadrao,INDEX(tProdutos[Desconto homologado],MATCH(tItens[[#This Row],[Produto]],tProdutos[Produto],0))),DescontoPadrao)</f>
        <v>0.40909090909090901</v>
      </c>
      <c r="M8995" s="12">
        <f>tItens[[#This Row],[Valor]]*(1-tItens[[#This Row],[Desconto]])</f>
        <v>92.772727272727295</v>
      </c>
      <c r="N8995" t="str">
        <f>IFERROR(INDEX(tProdutos[Foco],MATCH(tItens[[#This Row],[Produto]],tProdutos[Produto],0)),"Não")</f>
        <v>Não</v>
      </c>
      <c r="O8995" t="str">
        <f>IFERROR(INDEX(tEditais[SRP],MATCH(tItens[[#This Row],[Edital]],tEditais[Edital],0)),"Não")</f>
        <v>Não</v>
      </c>
      <c r="P8995" s="4">
        <f>IF(COUNTIFS(INDEX(tItens[Edital],1):tItens[[#This Row],[Edital]],tItens[[#This Row],[Edital]],INDEX(tItens[Produto],1):tItens[[#This Row],[Produto]],tItens[[#This Row],[Produto]])=1,1,0)</f>
        <v>1</v>
      </c>
    </row>
    <row r="8996" spans="1:16" x14ac:dyDescent="0.25">
      <c r="A8996" t="s">
        <v>3069</v>
      </c>
      <c r="B8996">
        <v>295</v>
      </c>
      <c r="C8996" t="s">
        <v>11341</v>
      </c>
      <c r="D8996" t="s">
        <v>120</v>
      </c>
      <c r="E8996" s="13">
        <v>3000</v>
      </c>
      <c r="F8996" s="12">
        <v>1.57</v>
      </c>
      <c r="G8996" t="str">
        <f>IFERROR(INDEX(tEditais[Órgão],MATCH(tItens[[#This Row],[Edital]],tEditais[Edital],0)),"")</f>
        <v>MUNICIPIO DE MARIAPOLIS</v>
      </c>
      <c r="H8996" t="str">
        <f>IFERROR(INDEX(tEditais[UF],MATCH(tItens[[#This Row],[Edital]],tEditais[Edital],0)),"")</f>
        <v>SP</v>
      </c>
      <c r="I8996" s="11">
        <f>IFERROR(INDEX(tEditais[Encerramento],MATCH(tItens[[#This Row],[Edital]],tEditais[Edital],0)),"")</f>
        <v>46311.347222222219</v>
      </c>
      <c r="J8996" t="str">
        <f>IFERROR(INDEX(tProdutos[Classe],MATCH(tItens[[#This Row],[Produto]],tProdutos[Produto],0)),"produto não cadastrado")</f>
        <v>DISPUTADO</v>
      </c>
      <c r="K8996" s="12">
        <f>tItens[[#This Row],[Qtd]]*tItens[[#This Row],[Vlr unit]]</f>
        <v>4710</v>
      </c>
      <c r="L8996" s="6">
        <f>IFERROR(IF(INDEX(tProdutos[Desconto homologado],MATCH(tItens[[#This Row],[Produto]],tProdutos[Produto],0))="",DescontoPadrao,INDEX(tProdutos[Desconto homologado],MATCH(tItens[[#This Row],[Produto]],tProdutos[Produto],0))),DescontoPadrao)</f>
        <v>0.40909090909090901</v>
      </c>
      <c r="M8996" s="12">
        <f>tItens[[#This Row],[Valor]]*(1-tItens[[#This Row],[Desconto]])</f>
        <v>2783.1818181818189</v>
      </c>
      <c r="N8996" t="str">
        <f>IFERROR(INDEX(tProdutos[Foco],MATCH(tItens[[#This Row],[Produto]],tProdutos[Produto],0)),"Não")</f>
        <v>Não</v>
      </c>
      <c r="O8996" t="str">
        <f>IFERROR(INDEX(tEditais[SRP],MATCH(tItens[[#This Row],[Edital]],tEditais[Edital],0)),"Não")</f>
        <v>Não</v>
      </c>
      <c r="P8996" s="4">
        <f>IF(COUNTIFS(INDEX(tItens[Edital],1):tItens[[#This Row],[Edital]],tItens[[#This Row],[Edital]],INDEX(tItens[Produto],1):tItens[[#This Row],[Produto]],tItens[[#This Row],[Produto]])=1,1,0)</f>
        <v>0</v>
      </c>
    </row>
    <row r="8997" spans="1:16" x14ac:dyDescent="0.25">
      <c r="A8997" t="s">
        <v>3069</v>
      </c>
      <c r="B8997">
        <v>296</v>
      </c>
      <c r="C8997" t="s">
        <v>11342</v>
      </c>
      <c r="D8997" t="s">
        <v>120</v>
      </c>
      <c r="E8997" s="13">
        <v>3000</v>
      </c>
      <c r="F8997" s="12">
        <v>1.57</v>
      </c>
      <c r="G8997" t="str">
        <f>IFERROR(INDEX(tEditais[Órgão],MATCH(tItens[[#This Row],[Edital]],tEditais[Edital],0)),"")</f>
        <v>MUNICIPIO DE MARIAPOLIS</v>
      </c>
      <c r="H8997" t="str">
        <f>IFERROR(INDEX(tEditais[UF],MATCH(tItens[[#This Row],[Edital]],tEditais[Edital],0)),"")</f>
        <v>SP</v>
      </c>
      <c r="I8997" s="11">
        <f>IFERROR(INDEX(tEditais[Encerramento],MATCH(tItens[[#This Row],[Edital]],tEditais[Edital],0)),"")</f>
        <v>46311.347222222219</v>
      </c>
      <c r="J8997" t="str">
        <f>IFERROR(INDEX(tProdutos[Classe],MATCH(tItens[[#This Row],[Produto]],tProdutos[Produto],0)),"produto não cadastrado")</f>
        <v>DISPUTADO</v>
      </c>
      <c r="K8997" s="12">
        <f>tItens[[#This Row],[Qtd]]*tItens[[#This Row],[Vlr unit]]</f>
        <v>4710</v>
      </c>
      <c r="L8997" s="6">
        <f>IFERROR(IF(INDEX(tProdutos[Desconto homologado],MATCH(tItens[[#This Row],[Produto]],tProdutos[Produto],0))="",DescontoPadrao,INDEX(tProdutos[Desconto homologado],MATCH(tItens[[#This Row],[Produto]],tProdutos[Produto],0))),DescontoPadrao)</f>
        <v>0.40909090909090901</v>
      </c>
      <c r="M8997" s="12">
        <f>tItens[[#This Row],[Valor]]*(1-tItens[[#This Row],[Desconto]])</f>
        <v>2783.1818181818189</v>
      </c>
      <c r="N8997" t="str">
        <f>IFERROR(INDEX(tProdutos[Foco],MATCH(tItens[[#This Row],[Produto]],tProdutos[Produto],0)),"Não")</f>
        <v>Não</v>
      </c>
      <c r="O8997" t="str">
        <f>IFERROR(INDEX(tEditais[SRP],MATCH(tItens[[#This Row],[Edital]],tEditais[Edital],0)),"Não")</f>
        <v>Não</v>
      </c>
      <c r="P8997" s="4">
        <f>IF(COUNTIFS(INDEX(tItens[Edital],1):tItens[[#This Row],[Edital]],tItens[[#This Row],[Edital]],INDEX(tItens[Produto],1):tItens[[#This Row],[Produto]],tItens[[#This Row],[Produto]])=1,1,0)</f>
        <v>0</v>
      </c>
    </row>
    <row r="8998" spans="1:16" x14ac:dyDescent="0.25">
      <c r="A8998" t="s">
        <v>3069</v>
      </c>
      <c r="B8998">
        <v>297</v>
      </c>
      <c r="C8998" t="s">
        <v>11343</v>
      </c>
      <c r="D8998" t="s">
        <v>120</v>
      </c>
      <c r="E8998" s="13">
        <v>3000</v>
      </c>
      <c r="F8998" s="12">
        <v>1.57</v>
      </c>
      <c r="G8998" t="str">
        <f>IFERROR(INDEX(tEditais[Órgão],MATCH(tItens[[#This Row],[Edital]],tEditais[Edital],0)),"")</f>
        <v>MUNICIPIO DE MARIAPOLIS</v>
      </c>
      <c r="H8998" t="str">
        <f>IFERROR(INDEX(tEditais[UF],MATCH(tItens[[#This Row],[Edital]],tEditais[Edital],0)),"")</f>
        <v>SP</v>
      </c>
      <c r="I8998" s="11">
        <f>IFERROR(INDEX(tEditais[Encerramento],MATCH(tItens[[#This Row],[Edital]],tEditais[Edital],0)),"")</f>
        <v>46311.347222222219</v>
      </c>
      <c r="J8998" t="str">
        <f>IFERROR(INDEX(tProdutos[Classe],MATCH(tItens[[#This Row],[Produto]],tProdutos[Produto],0)),"produto não cadastrado")</f>
        <v>DISPUTADO</v>
      </c>
      <c r="K8998" s="12">
        <f>tItens[[#This Row],[Qtd]]*tItens[[#This Row],[Vlr unit]]</f>
        <v>4710</v>
      </c>
      <c r="L8998" s="6">
        <f>IFERROR(IF(INDEX(tProdutos[Desconto homologado],MATCH(tItens[[#This Row],[Produto]],tProdutos[Produto],0))="",DescontoPadrao,INDEX(tProdutos[Desconto homologado],MATCH(tItens[[#This Row],[Produto]],tProdutos[Produto],0))),DescontoPadrao)</f>
        <v>0.40909090909090901</v>
      </c>
      <c r="M8998" s="12">
        <f>tItens[[#This Row],[Valor]]*(1-tItens[[#This Row],[Desconto]])</f>
        <v>2783.1818181818189</v>
      </c>
      <c r="N8998" t="str">
        <f>IFERROR(INDEX(tProdutos[Foco],MATCH(tItens[[#This Row],[Produto]],tProdutos[Produto],0)),"Não")</f>
        <v>Não</v>
      </c>
      <c r="O8998" t="str">
        <f>IFERROR(INDEX(tEditais[SRP],MATCH(tItens[[#This Row],[Edital]],tEditais[Edital],0)),"Não")</f>
        <v>Não</v>
      </c>
      <c r="P8998" s="4">
        <f>IF(COUNTIFS(INDEX(tItens[Edital],1):tItens[[#This Row],[Edital]],tItens[[#This Row],[Edital]],INDEX(tItens[Produto],1):tItens[[#This Row],[Produto]],tItens[[#This Row],[Produto]])=1,1,0)</f>
        <v>0</v>
      </c>
    </row>
    <row r="8999" spans="1:16" x14ac:dyDescent="0.25">
      <c r="A8999" t="s">
        <v>3069</v>
      </c>
      <c r="B8999">
        <v>298</v>
      </c>
      <c r="C8999" t="s">
        <v>11344</v>
      </c>
      <c r="D8999" t="s">
        <v>120</v>
      </c>
      <c r="E8999" s="13">
        <v>100</v>
      </c>
      <c r="F8999" s="12">
        <v>1.57</v>
      </c>
      <c r="G8999" t="str">
        <f>IFERROR(INDEX(tEditais[Órgão],MATCH(tItens[[#This Row],[Edital]],tEditais[Edital],0)),"")</f>
        <v>MUNICIPIO DE MARIAPOLIS</v>
      </c>
      <c r="H8999" t="str">
        <f>IFERROR(INDEX(tEditais[UF],MATCH(tItens[[#This Row],[Edital]],tEditais[Edital],0)),"")</f>
        <v>SP</v>
      </c>
      <c r="I8999" s="11">
        <f>IFERROR(INDEX(tEditais[Encerramento],MATCH(tItens[[#This Row],[Edital]],tEditais[Edital],0)),"")</f>
        <v>46311.347222222219</v>
      </c>
      <c r="J8999" t="str">
        <f>IFERROR(INDEX(tProdutos[Classe],MATCH(tItens[[#This Row],[Produto]],tProdutos[Produto],0)),"produto não cadastrado")</f>
        <v>DISPUTADO</v>
      </c>
      <c r="K8999" s="12">
        <f>tItens[[#This Row],[Qtd]]*tItens[[#This Row],[Vlr unit]]</f>
        <v>157</v>
      </c>
      <c r="L8999" s="6">
        <f>IFERROR(IF(INDEX(tProdutos[Desconto homologado],MATCH(tItens[[#This Row],[Produto]],tProdutos[Produto],0))="",DescontoPadrao,INDEX(tProdutos[Desconto homologado],MATCH(tItens[[#This Row],[Produto]],tProdutos[Produto],0))),DescontoPadrao)</f>
        <v>0.40909090909090901</v>
      </c>
      <c r="M8999" s="12">
        <f>tItens[[#This Row],[Valor]]*(1-tItens[[#This Row],[Desconto]])</f>
        <v>92.772727272727295</v>
      </c>
      <c r="N8999" t="str">
        <f>IFERROR(INDEX(tProdutos[Foco],MATCH(tItens[[#This Row],[Produto]],tProdutos[Produto],0)),"Não")</f>
        <v>Não</v>
      </c>
      <c r="O8999" t="str">
        <f>IFERROR(INDEX(tEditais[SRP],MATCH(tItens[[#This Row],[Edital]],tEditais[Edital],0)),"Não")</f>
        <v>Não</v>
      </c>
      <c r="P8999" s="4">
        <f>IF(COUNTIFS(INDEX(tItens[Edital],1):tItens[[#This Row],[Edital]],tItens[[#This Row],[Edital]],INDEX(tItens[Produto],1):tItens[[#This Row],[Produto]],tItens[[#This Row],[Produto]])=1,1,0)</f>
        <v>0</v>
      </c>
    </row>
    <row r="9000" spans="1:16" x14ac:dyDescent="0.25">
      <c r="A9000" t="s">
        <v>3069</v>
      </c>
      <c r="B9000">
        <v>299</v>
      </c>
      <c r="C9000" t="s">
        <v>11345</v>
      </c>
      <c r="D9000" t="s">
        <v>120</v>
      </c>
      <c r="E9000" s="13">
        <v>1000</v>
      </c>
      <c r="F9000" s="12">
        <v>1.57</v>
      </c>
      <c r="G9000" t="str">
        <f>IFERROR(INDEX(tEditais[Órgão],MATCH(tItens[[#This Row],[Edital]],tEditais[Edital],0)),"")</f>
        <v>MUNICIPIO DE MARIAPOLIS</v>
      </c>
      <c r="H9000" t="str">
        <f>IFERROR(INDEX(tEditais[UF],MATCH(tItens[[#This Row],[Edital]],tEditais[Edital],0)),"")</f>
        <v>SP</v>
      </c>
      <c r="I9000" s="11">
        <f>IFERROR(INDEX(tEditais[Encerramento],MATCH(tItens[[#This Row],[Edital]],tEditais[Edital],0)),"")</f>
        <v>46311.347222222219</v>
      </c>
      <c r="J9000" t="str">
        <f>IFERROR(INDEX(tProdutos[Classe],MATCH(tItens[[#This Row],[Produto]],tProdutos[Produto],0)),"produto não cadastrado")</f>
        <v>DISPUTADO</v>
      </c>
      <c r="K9000" s="12">
        <f>tItens[[#This Row],[Qtd]]*tItens[[#This Row],[Vlr unit]]</f>
        <v>1570</v>
      </c>
      <c r="L9000" s="6">
        <f>IFERROR(IF(INDEX(tProdutos[Desconto homologado],MATCH(tItens[[#This Row],[Produto]],tProdutos[Produto],0))="",DescontoPadrao,INDEX(tProdutos[Desconto homologado],MATCH(tItens[[#This Row],[Produto]],tProdutos[Produto],0))),DescontoPadrao)</f>
        <v>0.40909090909090901</v>
      </c>
      <c r="M9000" s="12">
        <f>tItens[[#This Row],[Valor]]*(1-tItens[[#This Row],[Desconto]])</f>
        <v>927.72727272727298</v>
      </c>
      <c r="N9000" t="str">
        <f>IFERROR(INDEX(tProdutos[Foco],MATCH(tItens[[#This Row],[Produto]],tProdutos[Produto],0)),"Não")</f>
        <v>Não</v>
      </c>
      <c r="O9000" t="str">
        <f>IFERROR(INDEX(tEditais[SRP],MATCH(tItens[[#This Row],[Edital]],tEditais[Edital],0)),"Não")</f>
        <v>Não</v>
      </c>
      <c r="P9000" s="4">
        <f>IF(COUNTIFS(INDEX(tItens[Edital],1):tItens[[#This Row],[Edital]],tItens[[#This Row],[Edital]],INDEX(tItens[Produto],1):tItens[[#This Row],[Produto]],tItens[[#This Row],[Produto]])=1,1,0)</f>
        <v>0</v>
      </c>
    </row>
    <row r="9001" spans="1:16" x14ac:dyDescent="0.25">
      <c r="A9001" t="s">
        <v>3069</v>
      </c>
      <c r="B9001">
        <v>300</v>
      </c>
      <c r="C9001" t="s">
        <v>11346</v>
      </c>
      <c r="D9001" t="s">
        <v>120</v>
      </c>
      <c r="E9001" s="13">
        <v>100</v>
      </c>
      <c r="F9001" s="12">
        <v>1.57</v>
      </c>
      <c r="G9001" t="str">
        <f>IFERROR(INDEX(tEditais[Órgão],MATCH(tItens[[#This Row],[Edital]],tEditais[Edital],0)),"")</f>
        <v>MUNICIPIO DE MARIAPOLIS</v>
      </c>
      <c r="H9001" t="str">
        <f>IFERROR(INDEX(tEditais[UF],MATCH(tItens[[#This Row],[Edital]],tEditais[Edital],0)),"")</f>
        <v>SP</v>
      </c>
      <c r="I9001" s="11">
        <f>IFERROR(INDEX(tEditais[Encerramento],MATCH(tItens[[#This Row],[Edital]],tEditais[Edital],0)),"")</f>
        <v>46311.347222222219</v>
      </c>
      <c r="J9001" t="str">
        <f>IFERROR(INDEX(tProdutos[Classe],MATCH(tItens[[#This Row],[Produto]],tProdutos[Produto],0)),"produto não cadastrado")</f>
        <v>DISPUTADO</v>
      </c>
      <c r="K9001" s="12">
        <f>tItens[[#This Row],[Qtd]]*tItens[[#This Row],[Vlr unit]]</f>
        <v>157</v>
      </c>
      <c r="L9001" s="6">
        <f>IFERROR(IF(INDEX(tProdutos[Desconto homologado],MATCH(tItens[[#This Row],[Produto]],tProdutos[Produto],0))="",DescontoPadrao,INDEX(tProdutos[Desconto homologado],MATCH(tItens[[#This Row],[Produto]],tProdutos[Produto],0))),DescontoPadrao)</f>
        <v>0.40909090909090901</v>
      </c>
      <c r="M9001" s="12">
        <f>tItens[[#This Row],[Valor]]*(1-tItens[[#This Row],[Desconto]])</f>
        <v>92.772727272727295</v>
      </c>
      <c r="N9001" t="str">
        <f>IFERROR(INDEX(tProdutos[Foco],MATCH(tItens[[#This Row],[Produto]],tProdutos[Produto],0)),"Não")</f>
        <v>Não</v>
      </c>
      <c r="O9001" t="str">
        <f>IFERROR(INDEX(tEditais[SRP],MATCH(tItens[[#This Row],[Edital]],tEditais[Edital],0)),"Não")</f>
        <v>Não</v>
      </c>
      <c r="P9001" s="4">
        <f>IF(COUNTIFS(INDEX(tItens[Edital],1):tItens[[#This Row],[Edital]],tItens[[#This Row],[Edital]],INDEX(tItens[Produto],1):tItens[[#This Row],[Produto]],tItens[[#This Row],[Produto]])=1,1,0)</f>
        <v>0</v>
      </c>
    </row>
    <row r="9002" spans="1:16" x14ac:dyDescent="0.25">
      <c r="A9002" t="s">
        <v>3069</v>
      </c>
      <c r="B9002">
        <v>301</v>
      </c>
      <c r="C9002" t="s">
        <v>11347</v>
      </c>
      <c r="D9002" t="s">
        <v>120</v>
      </c>
      <c r="E9002" s="13">
        <v>100</v>
      </c>
      <c r="F9002" s="12">
        <v>1.57</v>
      </c>
      <c r="G9002" t="str">
        <f>IFERROR(INDEX(tEditais[Órgão],MATCH(tItens[[#This Row],[Edital]],tEditais[Edital],0)),"")</f>
        <v>MUNICIPIO DE MARIAPOLIS</v>
      </c>
      <c r="H9002" t="str">
        <f>IFERROR(INDEX(tEditais[UF],MATCH(tItens[[#This Row],[Edital]],tEditais[Edital],0)),"")</f>
        <v>SP</v>
      </c>
      <c r="I9002" s="11">
        <f>IFERROR(INDEX(tEditais[Encerramento],MATCH(tItens[[#This Row],[Edital]],tEditais[Edital],0)),"")</f>
        <v>46311.347222222219</v>
      </c>
      <c r="J9002" t="str">
        <f>IFERROR(INDEX(tProdutos[Classe],MATCH(tItens[[#This Row],[Produto]],tProdutos[Produto],0)),"produto não cadastrado")</f>
        <v>DISPUTADO</v>
      </c>
      <c r="K9002" s="12">
        <f>tItens[[#This Row],[Qtd]]*tItens[[#This Row],[Vlr unit]]</f>
        <v>157</v>
      </c>
      <c r="L9002" s="6">
        <f>IFERROR(IF(INDEX(tProdutos[Desconto homologado],MATCH(tItens[[#This Row],[Produto]],tProdutos[Produto],0))="",DescontoPadrao,INDEX(tProdutos[Desconto homologado],MATCH(tItens[[#This Row],[Produto]],tProdutos[Produto],0))),DescontoPadrao)</f>
        <v>0.40909090909090901</v>
      </c>
      <c r="M9002" s="12">
        <f>tItens[[#This Row],[Valor]]*(1-tItens[[#This Row],[Desconto]])</f>
        <v>92.772727272727295</v>
      </c>
      <c r="N9002" t="str">
        <f>IFERROR(INDEX(tProdutos[Foco],MATCH(tItens[[#This Row],[Produto]],tProdutos[Produto],0)),"Não")</f>
        <v>Não</v>
      </c>
      <c r="O9002" t="str">
        <f>IFERROR(INDEX(tEditais[SRP],MATCH(tItens[[#This Row],[Edital]],tEditais[Edital],0)),"Não")</f>
        <v>Não</v>
      </c>
      <c r="P9002" s="4">
        <f>IF(COUNTIFS(INDEX(tItens[Edital],1):tItens[[#This Row],[Edital]],tItens[[#This Row],[Edital]],INDEX(tItens[Produto],1):tItens[[#This Row],[Produto]],tItens[[#This Row],[Produto]])=1,1,0)</f>
        <v>0</v>
      </c>
    </row>
    <row r="9003" spans="1:16" x14ac:dyDescent="0.25">
      <c r="A9003" t="s">
        <v>3069</v>
      </c>
      <c r="B9003">
        <v>322</v>
      </c>
      <c r="C9003" t="s">
        <v>11348</v>
      </c>
      <c r="D9003" t="s">
        <v>114</v>
      </c>
      <c r="E9003" s="13">
        <v>4000</v>
      </c>
      <c r="F9003" s="12">
        <v>0.91</v>
      </c>
      <c r="G9003" t="str">
        <f>IFERROR(INDEX(tEditais[Órgão],MATCH(tItens[[#This Row],[Edital]],tEditais[Edital],0)),"")</f>
        <v>MUNICIPIO DE MARIAPOLIS</v>
      </c>
      <c r="H9003" t="str">
        <f>IFERROR(INDEX(tEditais[UF],MATCH(tItens[[#This Row],[Edital]],tEditais[Edital],0)),"")</f>
        <v>SP</v>
      </c>
      <c r="I9003" s="11">
        <f>IFERROR(INDEX(tEditais[Encerramento],MATCH(tItens[[#This Row],[Edital]],tEditais[Edital],0)),"")</f>
        <v>46311.347222222219</v>
      </c>
      <c r="J9003" t="str">
        <f>IFERROR(INDEX(tProdutos[Classe],MATCH(tItens[[#This Row],[Produto]],tProdutos[Produto],0)),"produto não cadastrado")</f>
        <v>DISPUTADO</v>
      </c>
      <c r="K9003" s="12">
        <f>tItens[[#This Row],[Qtd]]*tItens[[#This Row],[Vlr unit]]</f>
        <v>3640</v>
      </c>
      <c r="L9003" s="6">
        <f>IFERROR(IF(INDEX(tProdutos[Desconto homologado],MATCH(tItens[[#This Row],[Produto]],tProdutos[Produto],0))="",DescontoPadrao,INDEX(tProdutos[Desconto homologado],MATCH(tItens[[#This Row],[Produto]],tProdutos[Produto],0))),DescontoPadrao)</f>
        <v>0.24332656063896899</v>
      </c>
      <c r="M9003" s="12">
        <f>tItens[[#This Row],[Valor]]*(1-tItens[[#This Row],[Desconto]])</f>
        <v>2754.291319274153</v>
      </c>
      <c r="N9003" t="str">
        <f>IFERROR(INDEX(tProdutos[Foco],MATCH(tItens[[#This Row],[Produto]],tProdutos[Produto],0)),"Não")</f>
        <v>Não</v>
      </c>
      <c r="O9003" t="str">
        <f>IFERROR(INDEX(tEditais[SRP],MATCH(tItens[[#This Row],[Edital]],tEditais[Edital],0)),"Não")</f>
        <v>Não</v>
      </c>
      <c r="P9003" s="4">
        <f>IF(COUNTIFS(INDEX(tItens[Edital],1):tItens[[#This Row],[Edital]],tItens[[#This Row],[Edital]],INDEX(tItens[Produto],1):tItens[[#This Row],[Produto]],tItens[[#This Row],[Produto]])=1,1,0)</f>
        <v>1</v>
      </c>
    </row>
    <row r="9004" spans="1:16" x14ac:dyDescent="0.25">
      <c r="A9004" t="s">
        <v>3073</v>
      </c>
      <c r="B9004">
        <v>7</v>
      </c>
      <c r="C9004" t="s">
        <v>11349</v>
      </c>
      <c r="D9004" t="s">
        <v>215</v>
      </c>
      <c r="E9004" s="13">
        <v>20</v>
      </c>
      <c r="F9004" s="12">
        <v>400</v>
      </c>
      <c r="G9004" t="str">
        <f>IFERROR(INDEX(tEditais[Órgão],MATCH(tItens[[#This Row],[Edital]],tEditais[Edital],0)),"")</f>
        <v>MUNICIPIO DE SAO JOSE DO RIO PRETO</v>
      </c>
      <c r="H9004" t="str">
        <f>IFERROR(INDEX(tEditais[UF],MATCH(tItens[[#This Row],[Edital]],tEditais[Edital],0)),"")</f>
        <v>SP</v>
      </c>
      <c r="I9004" s="11">
        <f>IFERROR(INDEX(tEditais[Encerramento],MATCH(tItens[[#This Row],[Edital]],tEditais[Edital],0)),"")</f>
        <v>46311.354166666664</v>
      </c>
      <c r="J9004" t="str">
        <f>IFERROR(INDEX(tProdutos[Classe],MATCH(tItens[[#This Row],[Produto]],tProdutos[Produto],0)),"produto não cadastrado")</f>
        <v>FORA</v>
      </c>
      <c r="K9004" s="12">
        <f>tItens[[#This Row],[Qtd]]*tItens[[#This Row],[Vlr unit]]</f>
        <v>8000</v>
      </c>
      <c r="L9004" s="6">
        <f>IFERROR(IF(INDEX(tProdutos[Desconto homologado],MATCH(tItens[[#This Row],[Produto]],tProdutos[Produto],0))="",DescontoPadrao,INDEX(tProdutos[Desconto homologado],MATCH(tItens[[#This Row],[Produto]],tProdutos[Produto],0))),DescontoPadrao)</f>
        <v>0.27710245735301298</v>
      </c>
      <c r="M9004" s="12">
        <f>tItens[[#This Row],[Valor]]*(1-tItens[[#This Row],[Desconto]])</f>
        <v>5783.1803411758965</v>
      </c>
      <c r="N9004" t="str">
        <f>IFERROR(INDEX(tProdutos[Foco],MATCH(tItens[[#This Row],[Produto]],tProdutos[Produto],0)),"Não")</f>
        <v>Não</v>
      </c>
      <c r="O9004" t="str">
        <f>IFERROR(INDEX(tEditais[SRP],MATCH(tItens[[#This Row],[Edital]],tEditais[Edital],0)),"Não")</f>
        <v>Sim</v>
      </c>
      <c r="P9004" s="4">
        <f>IF(COUNTIFS(INDEX(tItens[Edital],1):tItens[[#This Row],[Edital]],tItens[[#This Row],[Edital]],INDEX(tItens[Produto],1):tItens[[#This Row],[Produto]],tItens[[#This Row],[Produto]])=1,1,0)</f>
        <v>1</v>
      </c>
    </row>
    <row r="9005" spans="1:16" x14ac:dyDescent="0.25">
      <c r="A9005" t="s">
        <v>3075</v>
      </c>
      <c r="B9005">
        <v>1</v>
      </c>
      <c r="C9005" t="s">
        <v>11350</v>
      </c>
      <c r="D9005" t="s">
        <v>415</v>
      </c>
      <c r="E9005" s="13">
        <v>24</v>
      </c>
      <c r="F9005" s="12">
        <v>1527.97</v>
      </c>
      <c r="G9005" t="str">
        <f>IFERROR(INDEX(tEditais[Órgão],MATCH(tItens[[#This Row],[Edital]],tEditais[Edital],0)),"")</f>
        <v>MUNICIPIO DE ITANHAEM</v>
      </c>
      <c r="H9005" t="str">
        <f>IFERROR(INDEX(tEditais[UF],MATCH(tItens[[#This Row],[Edital]],tEditais[Edital],0)),"")</f>
        <v>SP</v>
      </c>
      <c r="I9005" s="11">
        <f>IFERROR(INDEX(tEditais[Encerramento],MATCH(tItens[[#This Row],[Edital]],tEditais[Edital],0)),"")</f>
        <v>46311.354166666664</v>
      </c>
      <c r="J9005" t="str">
        <f>IFERROR(INDEX(tProdutos[Classe],MATCH(tItens[[#This Row],[Produto]],tProdutos[Produto],0)),"produto não cadastrado")</f>
        <v>FORA</v>
      </c>
      <c r="K9005" s="12">
        <f>tItens[[#This Row],[Qtd]]*tItens[[#This Row],[Vlr unit]]</f>
        <v>36671.279999999999</v>
      </c>
      <c r="L9005" s="6">
        <f>IFERROR(IF(INDEX(tProdutos[Desconto homologado],MATCH(tItens[[#This Row],[Produto]],tProdutos[Produto],0))="",DescontoPadrao,INDEX(tProdutos[Desconto homologado],MATCH(tItens[[#This Row],[Produto]],tProdutos[Produto],0))),DescontoPadrao)</f>
        <v>0.31793478260869601</v>
      </c>
      <c r="M9005" s="12">
        <f>tItens[[#This Row],[Valor]]*(1-tItens[[#This Row],[Desconto]])</f>
        <v>25012.204565217377</v>
      </c>
      <c r="N9005" t="str">
        <f>IFERROR(INDEX(tProdutos[Foco],MATCH(tItens[[#This Row],[Produto]],tProdutos[Produto],0)),"Não")</f>
        <v>Não</v>
      </c>
      <c r="O9005" t="str">
        <f>IFERROR(INDEX(tEditais[SRP],MATCH(tItens[[#This Row],[Edital]],tEditais[Edital],0)),"Não")</f>
        <v>Sim</v>
      </c>
      <c r="P9005" s="4">
        <f>IF(COUNTIFS(INDEX(tItens[Edital],1):tItens[[#This Row],[Edital]],tItens[[#This Row],[Edital]],INDEX(tItens[Produto],1):tItens[[#This Row],[Produto]],tItens[[#This Row],[Produto]])=1,1,0)</f>
        <v>1</v>
      </c>
    </row>
    <row r="9006" spans="1:16" x14ac:dyDescent="0.25">
      <c r="A9006" t="s">
        <v>3075</v>
      </c>
      <c r="B9006">
        <v>2</v>
      </c>
      <c r="C9006" t="s">
        <v>11351</v>
      </c>
      <c r="D9006" t="s">
        <v>415</v>
      </c>
      <c r="E9006" s="13">
        <v>24</v>
      </c>
      <c r="F9006" s="12">
        <v>1486.63</v>
      </c>
      <c r="G9006" t="str">
        <f>IFERROR(INDEX(tEditais[Órgão],MATCH(tItens[[#This Row],[Edital]],tEditais[Edital],0)),"")</f>
        <v>MUNICIPIO DE ITANHAEM</v>
      </c>
      <c r="H9006" t="str">
        <f>IFERROR(INDEX(tEditais[UF],MATCH(tItens[[#This Row],[Edital]],tEditais[Edital],0)),"")</f>
        <v>SP</v>
      </c>
      <c r="I9006" s="11">
        <f>IFERROR(INDEX(tEditais[Encerramento],MATCH(tItens[[#This Row],[Edital]],tEditais[Edital],0)),"")</f>
        <v>46311.354166666664</v>
      </c>
      <c r="J9006" t="str">
        <f>IFERROR(INDEX(tProdutos[Classe],MATCH(tItens[[#This Row],[Produto]],tProdutos[Produto],0)),"produto não cadastrado")</f>
        <v>FORA</v>
      </c>
      <c r="K9006" s="12">
        <f>tItens[[#This Row],[Qtd]]*tItens[[#This Row],[Vlr unit]]</f>
        <v>35679.120000000003</v>
      </c>
      <c r="L9006" s="6">
        <f>IFERROR(IF(INDEX(tProdutos[Desconto homologado],MATCH(tItens[[#This Row],[Produto]],tProdutos[Produto],0))="",DescontoPadrao,INDEX(tProdutos[Desconto homologado],MATCH(tItens[[#This Row],[Produto]],tProdutos[Produto],0))),DescontoPadrao)</f>
        <v>0.31793478260869601</v>
      </c>
      <c r="M9006" s="12">
        <f>tItens[[#This Row],[Valor]]*(1-tItens[[#This Row],[Desconto]])</f>
        <v>24335.486739130425</v>
      </c>
      <c r="N9006" t="str">
        <f>IFERROR(INDEX(tProdutos[Foco],MATCH(tItens[[#This Row],[Produto]],tProdutos[Produto],0)),"Não")</f>
        <v>Não</v>
      </c>
      <c r="O9006" t="str">
        <f>IFERROR(INDEX(tEditais[SRP],MATCH(tItens[[#This Row],[Edital]],tEditais[Edital],0)),"Não")</f>
        <v>Sim</v>
      </c>
      <c r="P9006" s="4">
        <f>IF(COUNTIFS(INDEX(tItens[Edital],1):tItens[[#This Row],[Edital]],tItens[[#This Row],[Edital]],INDEX(tItens[Produto],1):tItens[[#This Row],[Produto]],tItens[[#This Row],[Produto]])=1,1,0)</f>
        <v>0</v>
      </c>
    </row>
    <row r="9007" spans="1:16" x14ac:dyDescent="0.25">
      <c r="A9007" t="s">
        <v>3075</v>
      </c>
      <c r="B9007">
        <v>13</v>
      </c>
      <c r="C9007" t="s">
        <v>11352</v>
      </c>
      <c r="D9007" t="s">
        <v>90</v>
      </c>
      <c r="E9007" s="13">
        <v>10000</v>
      </c>
      <c r="F9007" s="12">
        <v>10.28</v>
      </c>
      <c r="G9007" t="str">
        <f>IFERROR(INDEX(tEditais[Órgão],MATCH(tItens[[#This Row],[Edital]],tEditais[Edital],0)),"")</f>
        <v>MUNICIPIO DE ITANHAEM</v>
      </c>
      <c r="H9007" t="str">
        <f>IFERROR(INDEX(tEditais[UF],MATCH(tItens[[#This Row],[Edital]],tEditais[Edital],0)),"")</f>
        <v>SP</v>
      </c>
      <c r="I9007" s="11">
        <f>IFERROR(INDEX(tEditais[Encerramento],MATCH(tItens[[#This Row],[Edital]],tEditais[Edital],0)),"")</f>
        <v>46311.354166666664</v>
      </c>
      <c r="J9007" t="str">
        <f>IFERROR(INDEX(tProdutos[Classe],MATCH(tItens[[#This Row],[Produto]],tProdutos[Produto],0)),"produto não cadastrado")</f>
        <v>DISPUTADO</v>
      </c>
      <c r="K9007" s="12">
        <f>tItens[[#This Row],[Qtd]]*tItens[[#This Row],[Vlr unit]]</f>
        <v>102800</v>
      </c>
      <c r="L9007" s="6">
        <f>IFERROR(IF(INDEX(tProdutos[Desconto homologado],MATCH(tItens[[#This Row],[Produto]],tProdutos[Produto],0))="",DescontoPadrao,INDEX(tProdutos[Desconto homologado],MATCH(tItens[[#This Row],[Produto]],tProdutos[Produto],0))),DescontoPadrao)</f>
        <v>0.25393823957010597</v>
      </c>
      <c r="M9007" s="12">
        <f>tItens[[#This Row],[Valor]]*(1-tItens[[#This Row],[Desconto]])</f>
        <v>76695.148972193099</v>
      </c>
      <c r="N9007" t="str">
        <f>IFERROR(INDEX(tProdutos[Foco],MATCH(tItens[[#This Row],[Produto]],tProdutos[Produto],0)),"Não")</f>
        <v>Não</v>
      </c>
      <c r="O9007" t="str">
        <f>IFERROR(INDEX(tEditais[SRP],MATCH(tItens[[#This Row],[Edital]],tEditais[Edital],0)),"Não")</f>
        <v>Sim</v>
      </c>
      <c r="P9007" s="4">
        <f>IF(COUNTIFS(INDEX(tItens[Edital],1):tItens[[#This Row],[Edital]],tItens[[#This Row],[Edital]],INDEX(tItens[Produto],1):tItens[[#This Row],[Produto]],tItens[[#This Row],[Produto]])=1,1,0)</f>
        <v>1</v>
      </c>
    </row>
    <row r="9008" spans="1:16" x14ac:dyDescent="0.25">
      <c r="A9008" t="s">
        <v>3075</v>
      </c>
      <c r="B9008">
        <v>14</v>
      </c>
      <c r="C9008" t="s">
        <v>11353</v>
      </c>
      <c r="D9008" t="s">
        <v>56</v>
      </c>
      <c r="E9008" s="13">
        <v>10000</v>
      </c>
      <c r="F9008" s="12">
        <v>0.33</v>
      </c>
      <c r="G9008" t="str">
        <f>IFERROR(INDEX(tEditais[Órgão],MATCH(tItens[[#This Row],[Edital]],tEditais[Edital],0)),"")</f>
        <v>MUNICIPIO DE ITANHAEM</v>
      </c>
      <c r="H9008" t="str">
        <f>IFERROR(INDEX(tEditais[UF],MATCH(tItens[[#This Row],[Edital]],tEditais[Edital],0)),"")</f>
        <v>SP</v>
      </c>
      <c r="I9008" s="11">
        <f>IFERROR(INDEX(tEditais[Encerramento],MATCH(tItens[[#This Row],[Edital]],tEditais[Edital],0)),"")</f>
        <v>46311.354166666664</v>
      </c>
      <c r="J9008" t="str">
        <f>IFERROR(INDEX(tProdutos[Classe],MATCH(tItens[[#This Row],[Produto]],tProdutos[Produto],0)),"produto não cadastrado")</f>
        <v>NÚCLEO</v>
      </c>
      <c r="K9008" s="12">
        <f>tItens[[#This Row],[Qtd]]*tItens[[#This Row],[Vlr unit]]</f>
        <v>3300</v>
      </c>
      <c r="L9008" s="6">
        <f>IFERROR(IF(INDEX(tProdutos[Desconto homologado],MATCH(tItens[[#This Row],[Produto]],tProdutos[Produto],0))="",DescontoPadrao,INDEX(tProdutos[Desconto homologado],MATCH(tItens[[#This Row],[Produto]],tProdutos[Produto],0))),DescontoPadrao)</f>
        <v>0.34</v>
      </c>
      <c r="M9008" s="12">
        <f>tItens[[#This Row],[Valor]]*(1-tItens[[#This Row],[Desconto]])</f>
        <v>2177.9999999999995</v>
      </c>
      <c r="N9008" t="str">
        <f>IFERROR(INDEX(tProdutos[Foco],MATCH(tItens[[#This Row],[Produto]],tProdutos[Produto],0)),"Não")</f>
        <v>Sim</v>
      </c>
      <c r="O9008" t="str">
        <f>IFERROR(INDEX(tEditais[SRP],MATCH(tItens[[#This Row],[Edital]],tEditais[Edital],0)),"Não")</f>
        <v>Sim</v>
      </c>
      <c r="P9008" s="4">
        <f>IF(COUNTIFS(INDEX(tItens[Edital],1):tItens[[#This Row],[Edital]],tItens[[#This Row],[Edital]],INDEX(tItens[Produto],1):tItens[[#This Row],[Produto]],tItens[[#This Row],[Produto]])=1,1,0)</f>
        <v>1</v>
      </c>
    </row>
    <row r="9009" spans="1:16" x14ac:dyDescent="0.25">
      <c r="A9009" t="s">
        <v>3075</v>
      </c>
      <c r="B9009">
        <v>15</v>
      </c>
      <c r="C9009" t="s">
        <v>11354</v>
      </c>
      <c r="D9009" t="s">
        <v>399</v>
      </c>
      <c r="E9009" s="13">
        <v>30</v>
      </c>
      <c r="F9009" s="12">
        <v>17.739999999999998</v>
      </c>
      <c r="G9009" t="str">
        <f>IFERROR(INDEX(tEditais[Órgão],MATCH(tItens[[#This Row],[Edital]],tEditais[Edital],0)),"")</f>
        <v>MUNICIPIO DE ITANHAEM</v>
      </c>
      <c r="H9009" t="str">
        <f>IFERROR(INDEX(tEditais[UF],MATCH(tItens[[#This Row],[Edital]],tEditais[Edital],0)),"")</f>
        <v>SP</v>
      </c>
      <c r="I9009" s="11">
        <f>IFERROR(INDEX(tEditais[Encerramento],MATCH(tItens[[#This Row],[Edital]],tEditais[Edital],0)),"")</f>
        <v>46311.354166666664</v>
      </c>
      <c r="J9009" t="str">
        <f>IFERROR(INDEX(tProdutos[Classe],MATCH(tItens[[#This Row],[Produto]],tProdutos[Produto],0)),"produto não cadastrado")</f>
        <v>FORA</v>
      </c>
      <c r="K9009" s="12">
        <f>tItens[[#This Row],[Qtd]]*tItens[[#This Row],[Vlr unit]]</f>
        <v>532.19999999999993</v>
      </c>
      <c r="L9009" s="6">
        <f>IFERROR(IF(INDEX(tProdutos[Desconto homologado],MATCH(tItens[[#This Row],[Produto]],tProdutos[Produto],0))="",DescontoPadrao,INDEX(tProdutos[Desconto homologado],MATCH(tItens[[#This Row],[Produto]],tProdutos[Produto],0))),DescontoPadrao)</f>
        <v>0.30009041591320101</v>
      </c>
      <c r="M9009" s="12">
        <f>tItens[[#This Row],[Valor]]*(1-tItens[[#This Row],[Desconto]])</f>
        <v>372.4918806509944</v>
      </c>
      <c r="N9009" t="str">
        <f>IFERROR(INDEX(tProdutos[Foco],MATCH(tItens[[#This Row],[Produto]],tProdutos[Produto],0)),"Não")</f>
        <v>Não</v>
      </c>
      <c r="O9009" t="str">
        <f>IFERROR(INDEX(tEditais[SRP],MATCH(tItens[[#This Row],[Edital]],tEditais[Edital],0)),"Não")</f>
        <v>Sim</v>
      </c>
      <c r="P9009" s="4">
        <f>IF(COUNTIFS(INDEX(tItens[Edital],1):tItens[[#This Row],[Edital]],tItens[[#This Row],[Edital]],INDEX(tItens[Produto],1):tItens[[#This Row],[Produto]],tItens[[#This Row],[Produto]])=1,1,0)</f>
        <v>1</v>
      </c>
    </row>
    <row r="9010" spans="1:16" x14ac:dyDescent="0.25">
      <c r="A9010" t="s">
        <v>3075</v>
      </c>
      <c r="B9010">
        <v>16</v>
      </c>
      <c r="C9010" t="s">
        <v>11355</v>
      </c>
      <c r="D9010" t="s">
        <v>399</v>
      </c>
      <c r="E9010" s="13">
        <v>30</v>
      </c>
      <c r="F9010" s="12">
        <v>9.6999999999999993</v>
      </c>
      <c r="G9010" t="str">
        <f>IFERROR(INDEX(tEditais[Órgão],MATCH(tItens[[#This Row],[Edital]],tEditais[Edital],0)),"")</f>
        <v>MUNICIPIO DE ITANHAEM</v>
      </c>
      <c r="H9010" t="str">
        <f>IFERROR(INDEX(tEditais[UF],MATCH(tItens[[#This Row],[Edital]],tEditais[Edital],0)),"")</f>
        <v>SP</v>
      </c>
      <c r="I9010" s="11">
        <f>IFERROR(INDEX(tEditais[Encerramento],MATCH(tItens[[#This Row],[Edital]],tEditais[Edital],0)),"")</f>
        <v>46311.354166666664</v>
      </c>
      <c r="J9010" t="str">
        <f>IFERROR(INDEX(tProdutos[Classe],MATCH(tItens[[#This Row],[Produto]],tProdutos[Produto],0)),"produto não cadastrado")</f>
        <v>FORA</v>
      </c>
      <c r="K9010" s="12">
        <f>tItens[[#This Row],[Qtd]]*tItens[[#This Row],[Vlr unit]]</f>
        <v>291</v>
      </c>
      <c r="L9010" s="6">
        <f>IFERROR(IF(INDEX(tProdutos[Desconto homologado],MATCH(tItens[[#This Row],[Produto]],tProdutos[Produto],0))="",DescontoPadrao,INDEX(tProdutos[Desconto homologado],MATCH(tItens[[#This Row],[Produto]],tProdutos[Produto],0))),DescontoPadrao)</f>
        <v>0.30009041591320101</v>
      </c>
      <c r="M9010" s="12">
        <f>tItens[[#This Row],[Valor]]*(1-tItens[[#This Row],[Desconto]])</f>
        <v>203.67368896925854</v>
      </c>
      <c r="N9010" t="str">
        <f>IFERROR(INDEX(tProdutos[Foco],MATCH(tItens[[#This Row],[Produto]],tProdutos[Produto],0)),"Não")</f>
        <v>Não</v>
      </c>
      <c r="O9010" t="str">
        <f>IFERROR(INDEX(tEditais[SRP],MATCH(tItens[[#This Row],[Edital]],tEditais[Edital],0)),"Não")</f>
        <v>Sim</v>
      </c>
      <c r="P9010" s="4">
        <f>IF(COUNTIFS(INDEX(tItens[Edital],1):tItens[[#This Row],[Edital]],tItens[[#This Row],[Edital]],INDEX(tItens[Produto],1):tItens[[#This Row],[Produto]],tItens[[#This Row],[Produto]])=1,1,0)</f>
        <v>0</v>
      </c>
    </row>
    <row r="9011" spans="1:16" x14ac:dyDescent="0.25">
      <c r="A9011" t="s">
        <v>3075</v>
      </c>
      <c r="B9011">
        <v>17</v>
      </c>
      <c r="C9011" t="s">
        <v>11356</v>
      </c>
      <c r="D9011" t="s">
        <v>399</v>
      </c>
      <c r="E9011" s="13">
        <v>30</v>
      </c>
      <c r="F9011" s="12">
        <v>17.079999999999998</v>
      </c>
      <c r="G9011" t="str">
        <f>IFERROR(INDEX(tEditais[Órgão],MATCH(tItens[[#This Row],[Edital]],tEditais[Edital],0)),"")</f>
        <v>MUNICIPIO DE ITANHAEM</v>
      </c>
      <c r="H9011" t="str">
        <f>IFERROR(INDEX(tEditais[UF],MATCH(tItens[[#This Row],[Edital]],tEditais[Edital],0)),"")</f>
        <v>SP</v>
      </c>
      <c r="I9011" s="11">
        <f>IFERROR(INDEX(tEditais[Encerramento],MATCH(tItens[[#This Row],[Edital]],tEditais[Edital],0)),"")</f>
        <v>46311.354166666664</v>
      </c>
      <c r="J9011" t="str">
        <f>IFERROR(INDEX(tProdutos[Classe],MATCH(tItens[[#This Row],[Produto]],tProdutos[Produto],0)),"produto não cadastrado")</f>
        <v>FORA</v>
      </c>
      <c r="K9011" s="12">
        <f>tItens[[#This Row],[Qtd]]*tItens[[#This Row],[Vlr unit]]</f>
        <v>512.4</v>
      </c>
      <c r="L9011" s="6">
        <f>IFERROR(IF(INDEX(tProdutos[Desconto homologado],MATCH(tItens[[#This Row],[Produto]],tProdutos[Produto],0))="",DescontoPadrao,INDEX(tProdutos[Desconto homologado],MATCH(tItens[[#This Row],[Produto]],tProdutos[Produto],0))),DescontoPadrao)</f>
        <v>0.30009041591320101</v>
      </c>
      <c r="M9011" s="12">
        <f>tItens[[#This Row],[Valor]]*(1-tItens[[#This Row],[Desconto]])</f>
        <v>358.63367088607583</v>
      </c>
      <c r="N9011" t="str">
        <f>IFERROR(INDEX(tProdutos[Foco],MATCH(tItens[[#This Row],[Produto]],tProdutos[Produto],0)),"Não")</f>
        <v>Não</v>
      </c>
      <c r="O9011" t="str">
        <f>IFERROR(INDEX(tEditais[SRP],MATCH(tItens[[#This Row],[Edital]],tEditais[Edital],0)),"Não")</f>
        <v>Sim</v>
      </c>
      <c r="P9011" s="4">
        <f>IF(COUNTIFS(INDEX(tItens[Edital],1):tItens[[#This Row],[Edital]],tItens[[#This Row],[Edital]],INDEX(tItens[Produto],1):tItens[[#This Row],[Produto]],tItens[[#This Row],[Produto]])=1,1,0)</f>
        <v>0</v>
      </c>
    </row>
    <row r="9012" spans="1:16" x14ac:dyDescent="0.25">
      <c r="A9012" t="s">
        <v>3077</v>
      </c>
      <c r="B9012">
        <v>26</v>
      </c>
      <c r="C9012" t="s">
        <v>11357</v>
      </c>
      <c r="D9012" t="s">
        <v>162</v>
      </c>
      <c r="E9012" s="13">
        <v>1500</v>
      </c>
      <c r="F9012" s="12">
        <v>0.85</v>
      </c>
      <c r="G9012" t="str">
        <f>IFERROR(INDEX(tEditais[Órgão],MATCH(tItens[[#This Row],[Edital]],tEditais[Edital],0)),"")</f>
        <v>MUNICIPIO DE ITATIBA</v>
      </c>
      <c r="H9012" t="str">
        <f>IFERROR(INDEX(tEditais[UF],MATCH(tItens[[#This Row],[Edital]],tEditais[Edital],0)),"")</f>
        <v>SP</v>
      </c>
      <c r="I9012" s="11">
        <f>IFERROR(INDEX(tEditais[Encerramento],MATCH(tItens[[#This Row],[Edital]],tEditais[Edital],0)),"")</f>
        <v>46311.368055555555</v>
      </c>
      <c r="J9012" t="str">
        <f>IFERROR(INDEX(tProdutos[Classe],MATCH(tItens[[#This Row],[Produto]],tProdutos[Produto],0)),"produto não cadastrado")</f>
        <v>DISPUTADO</v>
      </c>
      <c r="K9012" s="12">
        <f>tItens[[#This Row],[Qtd]]*tItens[[#This Row],[Vlr unit]]</f>
        <v>1275</v>
      </c>
      <c r="L9012" s="6">
        <f>IFERROR(IF(INDEX(tProdutos[Desconto homologado],MATCH(tItens[[#This Row],[Produto]],tProdutos[Produto],0))="",DescontoPadrao,INDEX(tProdutos[Desconto homologado],MATCH(tItens[[#This Row],[Produto]],tProdutos[Produto],0))),DescontoPadrao)</f>
        <v>0.41269841269841301</v>
      </c>
      <c r="M9012" s="12">
        <f>tItens[[#This Row],[Valor]]*(1-tItens[[#This Row],[Desconto]])</f>
        <v>748.8095238095234</v>
      </c>
      <c r="N9012" t="str">
        <f>IFERROR(INDEX(tProdutos[Foco],MATCH(tItens[[#This Row],[Produto]],tProdutos[Produto],0)),"Não")</f>
        <v>Não</v>
      </c>
      <c r="O9012" t="str">
        <f>IFERROR(INDEX(tEditais[SRP],MATCH(tItens[[#This Row],[Edital]],tEditais[Edital],0)),"Não")</f>
        <v>Sim</v>
      </c>
      <c r="P9012" s="4">
        <f>IF(COUNTIFS(INDEX(tItens[Edital],1):tItens[[#This Row],[Edital]],tItens[[#This Row],[Edital]],INDEX(tItens[Produto],1):tItens[[#This Row],[Produto]],tItens[[#This Row],[Produto]])=1,1,0)</f>
        <v>1</v>
      </c>
    </row>
    <row r="9013" spans="1:16" x14ac:dyDescent="0.25">
      <c r="A9013" t="s">
        <v>3077</v>
      </c>
      <c r="B9013">
        <v>34</v>
      </c>
      <c r="C9013" t="s">
        <v>11358</v>
      </c>
      <c r="D9013" t="s">
        <v>381</v>
      </c>
      <c r="E9013" s="13">
        <v>4500</v>
      </c>
      <c r="F9013" s="12">
        <v>14.39</v>
      </c>
      <c r="G9013" t="str">
        <f>IFERROR(INDEX(tEditais[Órgão],MATCH(tItens[[#This Row],[Edital]],tEditais[Edital],0)),"")</f>
        <v>MUNICIPIO DE ITATIBA</v>
      </c>
      <c r="H9013" t="str">
        <f>IFERROR(INDEX(tEditais[UF],MATCH(tItens[[#This Row],[Edital]],tEditais[Edital],0)),"")</f>
        <v>SP</v>
      </c>
      <c r="I9013" s="11">
        <f>IFERROR(INDEX(tEditais[Encerramento],MATCH(tItens[[#This Row],[Edital]],tEditais[Edital],0)),"")</f>
        <v>46311.368055555555</v>
      </c>
      <c r="J9013" t="str">
        <f>IFERROR(INDEX(tProdutos[Classe],MATCH(tItens[[#This Row],[Produto]],tProdutos[Produto],0)),"produto não cadastrado")</f>
        <v>FORA</v>
      </c>
      <c r="K9013" s="12">
        <f>tItens[[#This Row],[Qtd]]*tItens[[#This Row],[Vlr unit]]</f>
        <v>64755</v>
      </c>
      <c r="L9013" s="6">
        <f>IFERROR(IF(INDEX(tProdutos[Desconto homologado],MATCH(tItens[[#This Row],[Produto]],tProdutos[Produto],0))="",DescontoPadrao,INDEX(tProdutos[Desconto homologado],MATCH(tItens[[#This Row],[Produto]],tProdutos[Produto],0))),DescontoPadrao)</f>
        <v>0.41112828438949001</v>
      </c>
      <c r="M9013" s="12">
        <f>tItens[[#This Row],[Valor]]*(1-tItens[[#This Row],[Desconto]])</f>
        <v>38132.387944358576</v>
      </c>
      <c r="N9013" t="str">
        <f>IFERROR(INDEX(tProdutos[Foco],MATCH(tItens[[#This Row],[Produto]],tProdutos[Produto],0)),"Não")</f>
        <v>Não</v>
      </c>
      <c r="O9013" t="str">
        <f>IFERROR(INDEX(tEditais[SRP],MATCH(tItens[[#This Row],[Edital]],tEditais[Edital],0)),"Não")</f>
        <v>Sim</v>
      </c>
      <c r="P9013" s="4">
        <f>IF(COUNTIFS(INDEX(tItens[Edital],1):tItens[[#This Row],[Edital]],tItens[[#This Row],[Edital]],INDEX(tItens[Produto],1):tItens[[#This Row],[Produto]],tItens[[#This Row],[Produto]])=1,1,0)</f>
        <v>1</v>
      </c>
    </row>
    <row r="9014" spans="1:16" x14ac:dyDescent="0.25">
      <c r="A9014" t="s">
        <v>3077</v>
      </c>
      <c r="B9014">
        <v>35</v>
      </c>
      <c r="C9014" t="s">
        <v>11358</v>
      </c>
      <c r="D9014" t="s">
        <v>381</v>
      </c>
      <c r="E9014" s="13">
        <v>1500</v>
      </c>
      <c r="F9014" s="12">
        <v>14.39</v>
      </c>
      <c r="G9014" t="str">
        <f>IFERROR(INDEX(tEditais[Órgão],MATCH(tItens[[#This Row],[Edital]],tEditais[Edital],0)),"")</f>
        <v>MUNICIPIO DE ITATIBA</v>
      </c>
      <c r="H9014" t="str">
        <f>IFERROR(INDEX(tEditais[UF],MATCH(tItens[[#This Row],[Edital]],tEditais[Edital],0)),"")</f>
        <v>SP</v>
      </c>
      <c r="I9014" s="11">
        <f>IFERROR(INDEX(tEditais[Encerramento],MATCH(tItens[[#This Row],[Edital]],tEditais[Edital],0)),"")</f>
        <v>46311.368055555555</v>
      </c>
      <c r="J9014" t="str">
        <f>IFERROR(INDEX(tProdutos[Classe],MATCH(tItens[[#This Row],[Produto]],tProdutos[Produto],0)),"produto não cadastrado")</f>
        <v>FORA</v>
      </c>
      <c r="K9014" s="12">
        <f>tItens[[#This Row],[Qtd]]*tItens[[#This Row],[Vlr unit]]</f>
        <v>21585</v>
      </c>
      <c r="L9014" s="6">
        <f>IFERROR(IF(INDEX(tProdutos[Desconto homologado],MATCH(tItens[[#This Row],[Produto]],tProdutos[Produto],0))="",DescontoPadrao,INDEX(tProdutos[Desconto homologado],MATCH(tItens[[#This Row],[Produto]],tProdutos[Produto],0))),DescontoPadrao)</f>
        <v>0.41112828438949001</v>
      </c>
      <c r="M9014" s="12">
        <f>tItens[[#This Row],[Valor]]*(1-tItens[[#This Row],[Desconto]])</f>
        <v>12710.795981452859</v>
      </c>
      <c r="N9014" t="str">
        <f>IFERROR(INDEX(tProdutos[Foco],MATCH(tItens[[#This Row],[Produto]],tProdutos[Produto],0)),"Não")</f>
        <v>Não</v>
      </c>
      <c r="O9014" t="str">
        <f>IFERROR(INDEX(tEditais[SRP],MATCH(tItens[[#This Row],[Edital]],tEditais[Edital],0)),"Não")</f>
        <v>Sim</v>
      </c>
      <c r="P9014" s="4">
        <f>IF(COUNTIFS(INDEX(tItens[Edital],1):tItens[[#This Row],[Edital]],tItens[[#This Row],[Edital]],INDEX(tItens[Produto],1):tItens[[#This Row],[Produto]],tItens[[#This Row],[Produto]])=1,1,0)</f>
        <v>0</v>
      </c>
    </row>
    <row r="9015" spans="1:16" x14ac:dyDescent="0.25">
      <c r="A9015" t="s">
        <v>3077</v>
      </c>
      <c r="B9015">
        <v>37</v>
      </c>
      <c r="C9015" t="s">
        <v>11359</v>
      </c>
      <c r="D9015" t="s">
        <v>267</v>
      </c>
      <c r="E9015" s="13">
        <v>400</v>
      </c>
      <c r="F9015" s="12">
        <v>13.39</v>
      </c>
      <c r="G9015" t="str">
        <f>IFERROR(INDEX(tEditais[Órgão],MATCH(tItens[[#This Row],[Edital]],tEditais[Edital],0)),"")</f>
        <v>MUNICIPIO DE ITATIBA</v>
      </c>
      <c r="H9015" t="str">
        <f>IFERROR(INDEX(tEditais[UF],MATCH(tItens[[#This Row],[Edital]],tEditais[Edital],0)),"")</f>
        <v>SP</v>
      </c>
      <c r="I9015" s="11">
        <f>IFERROR(INDEX(tEditais[Encerramento],MATCH(tItens[[#This Row],[Edital]],tEditais[Edital],0)),"")</f>
        <v>46311.368055555555</v>
      </c>
      <c r="J9015" t="str">
        <f>IFERROR(INDEX(tProdutos[Classe],MATCH(tItens[[#This Row],[Produto]],tProdutos[Produto],0)),"produto não cadastrado")</f>
        <v>FORA</v>
      </c>
      <c r="K9015" s="12">
        <f>tItens[[#This Row],[Qtd]]*tItens[[#This Row],[Vlr unit]]</f>
        <v>5356</v>
      </c>
      <c r="L9015" s="6">
        <f>IFERROR(IF(INDEX(tProdutos[Desconto homologado],MATCH(tItens[[#This Row],[Produto]],tProdutos[Produto],0))="",DescontoPadrao,INDEX(tProdutos[Desconto homologado],MATCH(tItens[[#This Row],[Produto]],tProdutos[Produto],0))),DescontoPadrao)</f>
        <v>0.19963672657401599</v>
      </c>
      <c r="M9015" s="12">
        <f>tItens[[#This Row],[Valor]]*(1-tItens[[#This Row],[Desconto]])</f>
        <v>4286.7456924695707</v>
      </c>
      <c r="N9015" t="str">
        <f>IFERROR(INDEX(tProdutos[Foco],MATCH(tItens[[#This Row],[Produto]],tProdutos[Produto],0)),"Não")</f>
        <v>Não</v>
      </c>
      <c r="O9015" t="str">
        <f>IFERROR(INDEX(tEditais[SRP],MATCH(tItens[[#This Row],[Edital]],tEditais[Edital],0)),"Não")</f>
        <v>Sim</v>
      </c>
      <c r="P9015" s="4">
        <f>IF(COUNTIFS(INDEX(tItens[Edital],1):tItens[[#This Row],[Edital]],tItens[[#This Row],[Edital]],INDEX(tItens[Produto],1):tItens[[#This Row],[Produto]],tItens[[#This Row],[Produto]])=1,1,0)</f>
        <v>1</v>
      </c>
    </row>
    <row r="9016" spans="1:16" x14ac:dyDescent="0.25">
      <c r="A9016" t="s">
        <v>3077</v>
      </c>
      <c r="B9016">
        <v>38</v>
      </c>
      <c r="C9016" t="s">
        <v>11360</v>
      </c>
      <c r="D9016" t="s">
        <v>512</v>
      </c>
      <c r="E9016" s="13">
        <v>38</v>
      </c>
      <c r="F9016" s="12">
        <v>8.8000000000000007</v>
      </c>
      <c r="G9016" t="str">
        <f>IFERROR(INDEX(tEditais[Órgão],MATCH(tItens[[#This Row],[Edital]],tEditais[Edital],0)),"")</f>
        <v>MUNICIPIO DE ITATIBA</v>
      </c>
      <c r="H9016" t="str">
        <f>IFERROR(INDEX(tEditais[UF],MATCH(tItens[[#This Row],[Edital]],tEditais[Edital],0)),"")</f>
        <v>SP</v>
      </c>
      <c r="I9016" s="11">
        <f>IFERROR(INDEX(tEditais[Encerramento],MATCH(tItens[[#This Row],[Edital]],tEditais[Edital],0)),"")</f>
        <v>46311.368055555555</v>
      </c>
      <c r="J9016" t="str">
        <f>IFERROR(INDEX(tProdutos[Classe],MATCH(tItens[[#This Row],[Produto]],tProdutos[Produto],0)),"produto não cadastrado")</f>
        <v>FILA REBASE</v>
      </c>
      <c r="K9016" s="12">
        <f>tItens[[#This Row],[Qtd]]*tItens[[#This Row],[Vlr unit]]</f>
        <v>334.40000000000003</v>
      </c>
      <c r="L9016" s="6">
        <f>IFERROR(IF(INDEX(tProdutos[Desconto homologado],MATCH(tItens[[#This Row],[Produto]],tProdutos[Produto],0))="",DescontoPadrao,INDEX(tProdutos[Desconto homologado],MATCH(tItens[[#This Row],[Produto]],tProdutos[Produto],0))),DescontoPadrao)</f>
        <v>0.32579365079365102</v>
      </c>
      <c r="M9016" s="12">
        <f>tItens[[#This Row],[Valor]]*(1-tItens[[#This Row],[Desconto]])</f>
        <v>225.45460317460314</v>
      </c>
      <c r="N9016" t="str">
        <f>IFERROR(INDEX(tProdutos[Foco],MATCH(tItens[[#This Row],[Produto]],tProdutos[Produto],0)),"Não")</f>
        <v>Não</v>
      </c>
      <c r="O9016" t="str">
        <f>IFERROR(INDEX(tEditais[SRP],MATCH(tItens[[#This Row],[Edital]],tEditais[Edital],0)),"Não")</f>
        <v>Sim</v>
      </c>
      <c r="P9016" s="4">
        <f>IF(COUNTIFS(INDEX(tItens[Edital],1):tItens[[#This Row],[Edital]],tItens[[#This Row],[Edital]],INDEX(tItens[Produto],1):tItens[[#This Row],[Produto]],tItens[[#This Row],[Produto]])=1,1,0)</f>
        <v>1</v>
      </c>
    </row>
    <row r="9017" spans="1:16" x14ac:dyDescent="0.25">
      <c r="A9017" t="s">
        <v>3077</v>
      </c>
      <c r="B9017">
        <v>43</v>
      </c>
      <c r="C9017" t="s">
        <v>11361</v>
      </c>
      <c r="D9017" t="s">
        <v>377</v>
      </c>
      <c r="E9017" s="13">
        <v>150</v>
      </c>
      <c r="F9017" s="12">
        <v>21.47</v>
      </c>
      <c r="G9017" t="str">
        <f>IFERROR(INDEX(tEditais[Órgão],MATCH(tItens[[#This Row],[Edital]],tEditais[Edital],0)),"")</f>
        <v>MUNICIPIO DE ITATIBA</v>
      </c>
      <c r="H9017" t="str">
        <f>IFERROR(INDEX(tEditais[UF],MATCH(tItens[[#This Row],[Edital]],tEditais[Edital],0)),"")</f>
        <v>SP</v>
      </c>
      <c r="I9017" s="11">
        <f>IFERROR(INDEX(tEditais[Encerramento],MATCH(tItens[[#This Row],[Edital]],tEditais[Edital],0)),"")</f>
        <v>46311.368055555555</v>
      </c>
      <c r="J9017" t="str">
        <f>IFERROR(INDEX(tProdutos[Classe],MATCH(tItens[[#This Row],[Produto]],tProdutos[Produto],0)),"produto não cadastrado")</f>
        <v>FORA</v>
      </c>
      <c r="K9017" s="12">
        <f>tItens[[#This Row],[Qtd]]*tItens[[#This Row],[Vlr unit]]</f>
        <v>3220.5</v>
      </c>
      <c r="L9017" s="6">
        <f>IFERROR(IF(INDEX(tProdutos[Desconto homologado],MATCH(tItens[[#This Row],[Produto]],tProdutos[Produto],0))="",DescontoPadrao,INDEX(tProdutos[Desconto homologado],MATCH(tItens[[#This Row],[Produto]],tProdutos[Produto],0))),DescontoPadrao)</f>
        <v>0.29186603777106501</v>
      </c>
      <c r="M9017" s="12">
        <f>tItens[[#This Row],[Valor]]*(1-tItens[[#This Row],[Desconto]])</f>
        <v>2280.5454253582852</v>
      </c>
      <c r="N9017" t="str">
        <f>IFERROR(INDEX(tProdutos[Foco],MATCH(tItens[[#This Row],[Produto]],tProdutos[Produto],0)),"Não")</f>
        <v>Não</v>
      </c>
      <c r="O9017" t="str">
        <f>IFERROR(INDEX(tEditais[SRP],MATCH(tItens[[#This Row],[Edital]],tEditais[Edital],0)),"Não")</f>
        <v>Sim</v>
      </c>
      <c r="P9017" s="4">
        <f>IF(COUNTIFS(INDEX(tItens[Edital],1):tItens[[#This Row],[Edital]],tItens[[#This Row],[Edital]],INDEX(tItens[Produto],1):tItens[[#This Row],[Produto]],tItens[[#This Row],[Produto]])=1,1,0)</f>
        <v>1</v>
      </c>
    </row>
    <row r="9018" spans="1:16" x14ac:dyDescent="0.25">
      <c r="A9018" t="s">
        <v>3077</v>
      </c>
      <c r="B9018">
        <v>44</v>
      </c>
      <c r="C9018" t="s">
        <v>11362</v>
      </c>
      <c r="D9018" t="s">
        <v>209</v>
      </c>
      <c r="E9018" s="13">
        <v>100</v>
      </c>
      <c r="F9018" s="12">
        <v>6.92</v>
      </c>
      <c r="G9018" t="str">
        <f>IFERROR(INDEX(tEditais[Órgão],MATCH(tItens[[#This Row],[Edital]],tEditais[Edital],0)),"")</f>
        <v>MUNICIPIO DE ITATIBA</v>
      </c>
      <c r="H9018" t="str">
        <f>IFERROR(INDEX(tEditais[UF],MATCH(tItens[[#This Row],[Edital]],tEditais[Edital],0)),"")</f>
        <v>SP</v>
      </c>
      <c r="I9018" s="11">
        <f>IFERROR(INDEX(tEditais[Encerramento],MATCH(tItens[[#This Row],[Edital]],tEditais[Edital],0)),"")</f>
        <v>46311.368055555555</v>
      </c>
      <c r="J9018" t="str">
        <f>IFERROR(INDEX(tProdutos[Classe],MATCH(tItens[[#This Row],[Produto]],tProdutos[Produto],0)),"produto não cadastrado")</f>
        <v>FORA</v>
      </c>
      <c r="K9018" s="12">
        <f>tItens[[#This Row],[Qtd]]*tItens[[#This Row],[Vlr unit]]</f>
        <v>692</v>
      </c>
      <c r="L9018" s="6">
        <f>IFERROR(IF(INDEX(tProdutos[Desconto homologado],MATCH(tItens[[#This Row],[Produto]],tProdutos[Produto],0))="",DescontoPadrao,INDEX(tProdutos[Desconto homologado],MATCH(tItens[[#This Row],[Produto]],tProdutos[Produto],0))),DescontoPadrao)</f>
        <v>0.16442507504040599</v>
      </c>
      <c r="M9018" s="12">
        <f>tItens[[#This Row],[Valor]]*(1-tItens[[#This Row],[Desconto]])</f>
        <v>578.21784807203915</v>
      </c>
      <c r="N9018" t="str">
        <f>IFERROR(INDEX(tProdutos[Foco],MATCH(tItens[[#This Row],[Produto]],tProdutos[Produto],0)),"Não")</f>
        <v>Não</v>
      </c>
      <c r="O9018" t="str">
        <f>IFERROR(INDEX(tEditais[SRP],MATCH(tItens[[#This Row],[Edital]],tEditais[Edital],0)),"Não")</f>
        <v>Sim</v>
      </c>
      <c r="P9018" s="4">
        <f>IF(COUNTIFS(INDEX(tItens[Edital],1):tItens[[#This Row],[Edital]],tItens[[#This Row],[Edital]],INDEX(tItens[Produto],1):tItens[[#This Row],[Produto]],tItens[[#This Row],[Produto]])=1,1,0)</f>
        <v>1</v>
      </c>
    </row>
    <row r="9019" spans="1:16" x14ac:dyDescent="0.25">
      <c r="A9019" t="s">
        <v>3077</v>
      </c>
      <c r="B9019">
        <v>51</v>
      </c>
      <c r="C9019" t="s">
        <v>11363</v>
      </c>
      <c r="D9019" t="s">
        <v>225</v>
      </c>
      <c r="E9019" s="13">
        <v>200</v>
      </c>
      <c r="F9019" s="12">
        <v>2.27</v>
      </c>
      <c r="G9019" t="str">
        <f>IFERROR(INDEX(tEditais[Órgão],MATCH(tItens[[#This Row],[Edital]],tEditais[Edital],0)),"")</f>
        <v>MUNICIPIO DE ITATIBA</v>
      </c>
      <c r="H9019" t="str">
        <f>IFERROR(INDEX(tEditais[UF],MATCH(tItens[[#This Row],[Edital]],tEditais[Edital],0)),"")</f>
        <v>SP</v>
      </c>
      <c r="I9019" s="11">
        <f>IFERROR(INDEX(tEditais[Encerramento],MATCH(tItens[[#This Row],[Edital]],tEditais[Edital],0)),"")</f>
        <v>46311.368055555555</v>
      </c>
      <c r="J9019" t="str">
        <f>IFERROR(INDEX(tProdutos[Classe],MATCH(tItens[[#This Row],[Produto]],tProdutos[Produto],0)),"produto não cadastrado")</f>
        <v>FORA</v>
      </c>
      <c r="K9019" s="12">
        <f>tItens[[#This Row],[Qtd]]*tItens[[#This Row],[Vlr unit]]</f>
        <v>454</v>
      </c>
      <c r="L9019" s="6">
        <f>IFERROR(IF(INDEX(tProdutos[Desconto homologado],MATCH(tItens[[#This Row],[Produto]],tProdutos[Produto],0))="",DescontoPadrao,INDEX(tProdutos[Desconto homologado],MATCH(tItens[[#This Row],[Produto]],tProdutos[Produto],0))),DescontoPadrao)</f>
        <v>0.27745664739884401</v>
      </c>
      <c r="M9019" s="12">
        <f>tItens[[#This Row],[Valor]]*(1-tItens[[#This Row],[Desconto]])</f>
        <v>328.03468208092482</v>
      </c>
      <c r="N9019" t="str">
        <f>IFERROR(INDEX(tProdutos[Foco],MATCH(tItens[[#This Row],[Produto]],tProdutos[Produto],0)),"Não")</f>
        <v>Não</v>
      </c>
      <c r="O9019" t="str">
        <f>IFERROR(INDEX(tEditais[SRP],MATCH(tItens[[#This Row],[Edital]],tEditais[Edital],0)),"Não")</f>
        <v>Sim</v>
      </c>
      <c r="P9019" s="4">
        <f>IF(COUNTIFS(INDEX(tItens[Edital],1):tItens[[#This Row],[Edital]],tItens[[#This Row],[Edital]],INDEX(tItens[Produto],1):tItens[[#This Row],[Produto]],tItens[[#This Row],[Produto]])=1,1,0)</f>
        <v>1</v>
      </c>
    </row>
    <row r="9020" spans="1:16" x14ac:dyDescent="0.25">
      <c r="A9020" t="s">
        <v>3077</v>
      </c>
      <c r="B9020">
        <v>64</v>
      </c>
      <c r="C9020" t="s">
        <v>11364</v>
      </c>
      <c r="D9020" t="s">
        <v>156</v>
      </c>
      <c r="E9020" s="13">
        <v>15</v>
      </c>
      <c r="F9020" s="12">
        <v>105.47</v>
      </c>
      <c r="G9020" t="str">
        <f>IFERROR(INDEX(tEditais[Órgão],MATCH(tItens[[#This Row],[Edital]],tEditais[Edital],0)),"")</f>
        <v>MUNICIPIO DE ITATIBA</v>
      </c>
      <c r="H9020" t="str">
        <f>IFERROR(INDEX(tEditais[UF],MATCH(tItens[[#This Row],[Edital]],tEditais[Edital],0)),"")</f>
        <v>SP</v>
      </c>
      <c r="I9020" s="11">
        <f>IFERROR(INDEX(tEditais[Encerramento],MATCH(tItens[[#This Row],[Edital]],tEditais[Edital],0)),"")</f>
        <v>46311.368055555555</v>
      </c>
      <c r="J9020" t="str">
        <f>IFERROR(INDEX(tProdutos[Classe],MATCH(tItens[[#This Row],[Produto]],tProdutos[Produto],0)),"produto não cadastrado")</f>
        <v>DISPUTADO</v>
      </c>
      <c r="K9020" s="12">
        <f>tItens[[#This Row],[Qtd]]*tItens[[#This Row],[Vlr unit]]</f>
        <v>1582.05</v>
      </c>
      <c r="L9020" s="6">
        <f>IFERROR(IF(INDEX(tProdutos[Desconto homologado],MATCH(tItens[[#This Row],[Produto]],tProdutos[Produto],0))="",DescontoPadrao,INDEX(tProdutos[Desconto homologado],MATCH(tItens[[#This Row],[Produto]],tProdutos[Produto],0))),DescontoPadrao)</f>
        <v>0.27131852489802799</v>
      </c>
      <c r="M9020" s="12">
        <f>tItens[[#This Row],[Valor]]*(1-tItens[[#This Row],[Desconto]])</f>
        <v>1152.8105276850747</v>
      </c>
      <c r="N9020" t="str">
        <f>IFERROR(INDEX(tProdutos[Foco],MATCH(tItens[[#This Row],[Produto]],tProdutos[Produto],0)),"Não")</f>
        <v>Não</v>
      </c>
      <c r="O9020" t="str">
        <f>IFERROR(INDEX(tEditais[SRP],MATCH(tItens[[#This Row],[Edital]],tEditais[Edital],0)),"Não")</f>
        <v>Sim</v>
      </c>
      <c r="P9020" s="4">
        <f>IF(COUNTIFS(INDEX(tItens[Edital],1):tItens[[#This Row],[Edital]],tItens[[#This Row],[Edital]],INDEX(tItens[Produto],1):tItens[[#This Row],[Produto]],tItens[[#This Row],[Produto]])=1,1,0)</f>
        <v>1</v>
      </c>
    </row>
    <row r="9021" spans="1:16" x14ac:dyDescent="0.25">
      <c r="A9021" t="s">
        <v>3077</v>
      </c>
      <c r="B9021">
        <v>67</v>
      </c>
      <c r="C9021" t="s">
        <v>11365</v>
      </c>
      <c r="D9021" t="s">
        <v>56</v>
      </c>
      <c r="E9021" s="13">
        <v>4500</v>
      </c>
      <c r="F9021" s="12">
        <v>0.48</v>
      </c>
      <c r="G9021" t="str">
        <f>IFERROR(INDEX(tEditais[Órgão],MATCH(tItens[[#This Row],[Edital]],tEditais[Edital],0)),"")</f>
        <v>MUNICIPIO DE ITATIBA</v>
      </c>
      <c r="H9021" t="str">
        <f>IFERROR(INDEX(tEditais[UF],MATCH(tItens[[#This Row],[Edital]],tEditais[Edital],0)),"")</f>
        <v>SP</v>
      </c>
      <c r="I9021" s="11">
        <f>IFERROR(INDEX(tEditais[Encerramento],MATCH(tItens[[#This Row],[Edital]],tEditais[Edital],0)),"")</f>
        <v>46311.368055555555</v>
      </c>
      <c r="J9021" t="str">
        <f>IFERROR(INDEX(tProdutos[Classe],MATCH(tItens[[#This Row],[Produto]],tProdutos[Produto],0)),"produto não cadastrado")</f>
        <v>NÚCLEO</v>
      </c>
      <c r="K9021" s="12">
        <f>tItens[[#This Row],[Qtd]]*tItens[[#This Row],[Vlr unit]]</f>
        <v>2160</v>
      </c>
      <c r="L9021" s="6">
        <f>IFERROR(IF(INDEX(tProdutos[Desconto homologado],MATCH(tItens[[#This Row],[Produto]],tProdutos[Produto],0))="",DescontoPadrao,INDEX(tProdutos[Desconto homologado],MATCH(tItens[[#This Row],[Produto]],tProdutos[Produto],0))),DescontoPadrao)</f>
        <v>0.34</v>
      </c>
      <c r="M9021" s="12">
        <f>tItens[[#This Row],[Valor]]*(1-tItens[[#This Row],[Desconto]])</f>
        <v>1425.6</v>
      </c>
      <c r="N9021" t="str">
        <f>IFERROR(INDEX(tProdutos[Foco],MATCH(tItens[[#This Row],[Produto]],tProdutos[Produto],0)),"Não")</f>
        <v>Sim</v>
      </c>
      <c r="O9021" t="str">
        <f>IFERROR(INDEX(tEditais[SRP],MATCH(tItens[[#This Row],[Edital]],tEditais[Edital],0)),"Não")</f>
        <v>Sim</v>
      </c>
      <c r="P9021" s="4">
        <f>IF(COUNTIFS(INDEX(tItens[Edital],1):tItens[[#This Row],[Edital]],tItens[[#This Row],[Edital]],INDEX(tItens[Produto],1):tItens[[#This Row],[Produto]],tItens[[#This Row],[Produto]])=1,1,0)</f>
        <v>1</v>
      </c>
    </row>
    <row r="9022" spans="1:16" x14ac:dyDescent="0.25">
      <c r="A9022" t="s">
        <v>3077</v>
      </c>
      <c r="B9022">
        <v>70</v>
      </c>
      <c r="C9022" t="s">
        <v>11366</v>
      </c>
      <c r="D9022" t="s">
        <v>120</v>
      </c>
      <c r="E9022" s="13">
        <v>2000</v>
      </c>
      <c r="F9022" s="12">
        <v>0.7</v>
      </c>
      <c r="G9022" t="str">
        <f>IFERROR(INDEX(tEditais[Órgão],MATCH(tItens[[#This Row],[Edital]],tEditais[Edital],0)),"")</f>
        <v>MUNICIPIO DE ITATIBA</v>
      </c>
      <c r="H9022" t="str">
        <f>IFERROR(INDEX(tEditais[UF],MATCH(tItens[[#This Row],[Edital]],tEditais[Edital],0)),"")</f>
        <v>SP</v>
      </c>
      <c r="I9022" s="11">
        <f>IFERROR(INDEX(tEditais[Encerramento],MATCH(tItens[[#This Row],[Edital]],tEditais[Edital],0)),"")</f>
        <v>46311.368055555555</v>
      </c>
      <c r="J9022" t="str">
        <f>IFERROR(INDEX(tProdutos[Classe],MATCH(tItens[[#This Row],[Produto]],tProdutos[Produto],0)),"produto não cadastrado")</f>
        <v>DISPUTADO</v>
      </c>
      <c r="K9022" s="12">
        <f>tItens[[#This Row],[Qtd]]*tItens[[#This Row],[Vlr unit]]</f>
        <v>1400</v>
      </c>
      <c r="L9022" s="6">
        <f>IFERROR(IF(INDEX(tProdutos[Desconto homologado],MATCH(tItens[[#This Row],[Produto]],tProdutos[Produto],0))="",DescontoPadrao,INDEX(tProdutos[Desconto homologado],MATCH(tItens[[#This Row],[Produto]],tProdutos[Produto],0))),DescontoPadrao)</f>
        <v>0.40909090909090901</v>
      </c>
      <c r="M9022" s="12">
        <f>tItens[[#This Row],[Valor]]*(1-tItens[[#This Row],[Desconto]])</f>
        <v>827.27272727272748</v>
      </c>
      <c r="N9022" t="str">
        <f>IFERROR(INDEX(tProdutos[Foco],MATCH(tItens[[#This Row],[Produto]],tProdutos[Produto],0)),"Não")</f>
        <v>Não</v>
      </c>
      <c r="O9022" t="str">
        <f>IFERROR(INDEX(tEditais[SRP],MATCH(tItens[[#This Row],[Edital]],tEditais[Edital],0)),"Não")</f>
        <v>Sim</v>
      </c>
      <c r="P9022" s="4">
        <f>IF(COUNTIFS(INDEX(tItens[Edital],1):tItens[[#This Row],[Edital]],tItens[[#This Row],[Edital]],INDEX(tItens[Produto],1):tItens[[#This Row],[Produto]],tItens[[#This Row],[Produto]])=1,1,0)</f>
        <v>1</v>
      </c>
    </row>
    <row r="9023" spans="1:16" x14ac:dyDescent="0.25">
      <c r="A9023" t="s">
        <v>3077</v>
      </c>
      <c r="B9023">
        <v>73</v>
      </c>
      <c r="C9023" t="s">
        <v>11367</v>
      </c>
      <c r="D9023" t="s">
        <v>351</v>
      </c>
      <c r="E9023" s="13">
        <v>3500</v>
      </c>
      <c r="F9023" s="12">
        <v>9.09</v>
      </c>
      <c r="G9023" t="str">
        <f>IFERROR(INDEX(tEditais[Órgão],MATCH(tItens[[#This Row],[Edital]],tEditais[Edital],0)),"")</f>
        <v>MUNICIPIO DE ITATIBA</v>
      </c>
      <c r="H9023" t="str">
        <f>IFERROR(INDEX(tEditais[UF],MATCH(tItens[[#This Row],[Edital]],tEditais[Edital],0)),"")</f>
        <v>SP</v>
      </c>
      <c r="I9023" s="11">
        <f>IFERROR(INDEX(tEditais[Encerramento],MATCH(tItens[[#This Row],[Edital]],tEditais[Edital],0)),"")</f>
        <v>46311.368055555555</v>
      </c>
      <c r="J9023" t="str">
        <f>IFERROR(INDEX(tProdutos[Classe],MATCH(tItens[[#This Row],[Produto]],tProdutos[Produto],0)),"produto não cadastrado")</f>
        <v>FORA</v>
      </c>
      <c r="K9023" s="12">
        <f>tItens[[#This Row],[Qtd]]*tItens[[#This Row],[Vlr unit]]</f>
        <v>31815</v>
      </c>
      <c r="L9023" s="6">
        <f>IFERROR(IF(INDEX(tProdutos[Desconto homologado],MATCH(tItens[[#This Row],[Produto]],tProdutos[Produto],0))="",DescontoPadrao,INDEX(tProdutos[Desconto homologado],MATCH(tItens[[#This Row],[Produto]],tProdutos[Produto],0))),DescontoPadrao)</f>
        <v>0.33518005540166201</v>
      </c>
      <c r="M9023" s="12">
        <f>tItens[[#This Row],[Valor]]*(1-tItens[[#This Row],[Desconto]])</f>
        <v>21151.246537396124</v>
      </c>
      <c r="N9023" t="str">
        <f>IFERROR(INDEX(tProdutos[Foco],MATCH(tItens[[#This Row],[Produto]],tProdutos[Produto],0)),"Não")</f>
        <v>Não</v>
      </c>
      <c r="O9023" t="str">
        <f>IFERROR(INDEX(tEditais[SRP],MATCH(tItens[[#This Row],[Edital]],tEditais[Edital],0)),"Não")</f>
        <v>Sim</v>
      </c>
      <c r="P9023" s="4">
        <f>IF(COUNTIFS(INDEX(tItens[Edital],1):tItens[[#This Row],[Edital]],tItens[[#This Row],[Edital]],INDEX(tItens[Produto],1):tItens[[#This Row],[Produto]],tItens[[#This Row],[Produto]])=1,1,0)</f>
        <v>1</v>
      </c>
    </row>
    <row r="9024" spans="1:16" x14ac:dyDescent="0.25">
      <c r="A9024" t="s">
        <v>3077</v>
      </c>
      <c r="B9024">
        <v>80</v>
      </c>
      <c r="C9024" t="s">
        <v>11368</v>
      </c>
      <c r="D9024" t="s">
        <v>77</v>
      </c>
      <c r="E9024" s="13">
        <v>1800</v>
      </c>
      <c r="F9024" s="12">
        <v>2.17</v>
      </c>
      <c r="G9024" t="str">
        <f>IFERROR(INDEX(tEditais[Órgão],MATCH(tItens[[#This Row],[Edital]],tEditais[Edital],0)),"")</f>
        <v>MUNICIPIO DE ITATIBA</v>
      </c>
      <c r="H9024" t="str">
        <f>IFERROR(INDEX(tEditais[UF],MATCH(tItens[[#This Row],[Edital]],tEditais[Edital],0)),"")</f>
        <v>SP</v>
      </c>
      <c r="I9024" s="11">
        <f>IFERROR(INDEX(tEditais[Encerramento],MATCH(tItens[[#This Row],[Edital]],tEditais[Edital],0)),"")</f>
        <v>46311.368055555555</v>
      </c>
      <c r="J9024" t="str">
        <f>IFERROR(INDEX(tProdutos[Classe],MATCH(tItens[[#This Row],[Produto]],tProdutos[Produto],0)),"produto não cadastrado")</f>
        <v>DISPUTADO</v>
      </c>
      <c r="K9024" s="12">
        <f>tItens[[#This Row],[Qtd]]*tItens[[#This Row],[Vlr unit]]</f>
        <v>3906</v>
      </c>
      <c r="L9024" s="6">
        <f>IFERROR(IF(INDEX(tProdutos[Desconto homologado],MATCH(tItens[[#This Row],[Produto]],tProdutos[Produto],0))="",DescontoPadrao,INDEX(tProdutos[Desconto homologado],MATCH(tItens[[#This Row],[Produto]],tProdutos[Produto],0))),DescontoPadrao)</f>
        <v>0.33</v>
      </c>
      <c r="M9024" s="12">
        <f>tItens[[#This Row],[Valor]]*(1-tItens[[#This Row],[Desconto]])</f>
        <v>2617.0199999999995</v>
      </c>
      <c r="N9024" t="str">
        <f>IFERROR(INDEX(tProdutos[Foco],MATCH(tItens[[#This Row],[Produto]],tProdutos[Produto],0)),"Não")</f>
        <v>Sim</v>
      </c>
      <c r="O9024" t="str">
        <f>IFERROR(INDEX(tEditais[SRP],MATCH(tItens[[#This Row],[Edital]],tEditais[Edital],0)),"Não")</f>
        <v>Sim</v>
      </c>
      <c r="P9024" s="4">
        <f>IF(COUNTIFS(INDEX(tItens[Edital],1):tItens[[#This Row],[Edital]],tItens[[#This Row],[Edital]],INDEX(tItens[Produto],1):tItens[[#This Row],[Produto]],tItens[[#This Row],[Produto]])=1,1,0)</f>
        <v>1</v>
      </c>
    </row>
    <row r="9025" spans="1:16" x14ac:dyDescent="0.25">
      <c r="A9025" t="s">
        <v>3077</v>
      </c>
      <c r="B9025">
        <v>88</v>
      </c>
      <c r="C9025" t="s">
        <v>11369</v>
      </c>
      <c r="D9025" t="s">
        <v>110</v>
      </c>
      <c r="E9025" s="13">
        <v>20</v>
      </c>
      <c r="F9025" s="12">
        <v>1.02</v>
      </c>
      <c r="G9025" t="str">
        <f>IFERROR(INDEX(tEditais[Órgão],MATCH(tItens[[#This Row],[Edital]],tEditais[Edital],0)),"")</f>
        <v>MUNICIPIO DE ITATIBA</v>
      </c>
      <c r="H9025" t="str">
        <f>IFERROR(INDEX(tEditais[UF],MATCH(tItens[[#This Row],[Edital]],tEditais[Edital],0)),"")</f>
        <v>SP</v>
      </c>
      <c r="I9025" s="11">
        <f>IFERROR(INDEX(tEditais[Encerramento],MATCH(tItens[[#This Row],[Edital]],tEditais[Edital],0)),"")</f>
        <v>46311.368055555555</v>
      </c>
      <c r="J9025" t="str">
        <f>IFERROR(INDEX(tProdutos[Classe],MATCH(tItens[[#This Row],[Produto]],tProdutos[Produto],0)),"produto não cadastrado")</f>
        <v>NÚCLEO</v>
      </c>
      <c r="K9025" s="12">
        <f>tItens[[#This Row],[Qtd]]*tItens[[#This Row],[Vlr unit]]</f>
        <v>20.399999999999999</v>
      </c>
      <c r="L9025" s="6">
        <f>IFERROR(IF(INDEX(tProdutos[Desconto homologado],MATCH(tItens[[#This Row],[Produto]],tProdutos[Produto],0))="",DescontoPadrao,INDEX(tProdutos[Desconto homologado],MATCH(tItens[[#This Row],[Produto]],tProdutos[Produto],0))),DescontoPadrao)</f>
        <v>0.30410958904109597</v>
      </c>
      <c r="M9025" s="12">
        <f>tItens[[#This Row],[Valor]]*(1-tItens[[#This Row],[Desconto]])</f>
        <v>14.196164383561641</v>
      </c>
      <c r="N9025" t="str">
        <f>IFERROR(INDEX(tProdutos[Foco],MATCH(tItens[[#This Row],[Produto]],tProdutos[Produto],0)),"Não")</f>
        <v>Não</v>
      </c>
      <c r="O9025" t="str">
        <f>IFERROR(INDEX(tEditais[SRP],MATCH(tItens[[#This Row],[Edital]],tEditais[Edital],0)),"Não")</f>
        <v>Sim</v>
      </c>
      <c r="P9025" s="4">
        <f>IF(COUNTIFS(INDEX(tItens[Edital],1):tItens[[#This Row],[Edital]],tItens[[#This Row],[Edital]],INDEX(tItens[Produto],1):tItens[[#This Row],[Produto]],tItens[[#This Row],[Produto]])=1,1,0)</f>
        <v>1</v>
      </c>
    </row>
    <row r="9026" spans="1:16" x14ac:dyDescent="0.25">
      <c r="A9026" t="s">
        <v>3077</v>
      </c>
      <c r="B9026">
        <v>89</v>
      </c>
      <c r="C9026" t="s">
        <v>11370</v>
      </c>
      <c r="D9026" t="s">
        <v>184</v>
      </c>
      <c r="E9026" s="13">
        <v>100</v>
      </c>
      <c r="F9026" s="12">
        <v>3.06</v>
      </c>
      <c r="G9026" t="str">
        <f>IFERROR(INDEX(tEditais[Órgão],MATCH(tItens[[#This Row],[Edital]],tEditais[Edital],0)),"")</f>
        <v>MUNICIPIO DE ITATIBA</v>
      </c>
      <c r="H9026" t="str">
        <f>IFERROR(INDEX(tEditais[UF],MATCH(tItens[[#This Row],[Edital]],tEditais[Edital],0)),"")</f>
        <v>SP</v>
      </c>
      <c r="I9026" s="11">
        <f>IFERROR(INDEX(tEditais[Encerramento],MATCH(tItens[[#This Row],[Edital]],tEditais[Edital],0)),"")</f>
        <v>46311.368055555555</v>
      </c>
      <c r="J9026" t="str">
        <f>IFERROR(INDEX(tProdutos[Classe],MATCH(tItens[[#This Row],[Produto]],tProdutos[Produto],0)),"produto não cadastrado")</f>
        <v>FORA</v>
      </c>
      <c r="K9026" s="12">
        <f>tItens[[#This Row],[Qtd]]*tItens[[#This Row],[Vlr unit]]</f>
        <v>306</v>
      </c>
      <c r="L9026" s="6">
        <f>IFERROR(IF(INDEX(tProdutos[Desconto homologado],MATCH(tItens[[#This Row],[Produto]],tProdutos[Produto],0))="",DescontoPadrao,INDEX(tProdutos[Desconto homologado],MATCH(tItens[[#This Row],[Produto]],tProdutos[Produto],0))),DescontoPadrao)</f>
        <v>0.363567906332742</v>
      </c>
      <c r="M9026" s="12">
        <f>tItens[[#This Row],[Valor]]*(1-tItens[[#This Row],[Desconto]])</f>
        <v>194.74822066218096</v>
      </c>
      <c r="N9026" t="str">
        <f>IFERROR(INDEX(tProdutos[Foco],MATCH(tItens[[#This Row],[Produto]],tProdutos[Produto],0)),"Não")</f>
        <v>Não</v>
      </c>
      <c r="O9026" t="str">
        <f>IFERROR(INDEX(tEditais[SRP],MATCH(tItens[[#This Row],[Edital]],tEditais[Edital],0)),"Não")</f>
        <v>Sim</v>
      </c>
      <c r="P9026" s="4">
        <f>IF(COUNTIFS(INDEX(tItens[Edital],1):tItens[[#This Row],[Edital]],tItens[[#This Row],[Edital]],INDEX(tItens[Produto],1):tItens[[#This Row],[Produto]],tItens[[#This Row],[Produto]])=1,1,0)</f>
        <v>1</v>
      </c>
    </row>
    <row r="9027" spans="1:16" x14ac:dyDescent="0.25">
      <c r="A9027" t="s">
        <v>3077</v>
      </c>
      <c r="B9027">
        <v>94</v>
      </c>
      <c r="C9027" t="s">
        <v>11371</v>
      </c>
      <c r="D9027" t="s">
        <v>73</v>
      </c>
      <c r="E9027" s="13">
        <v>600</v>
      </c>
      <c r="F9027" s="12">
        <v>1.1599999999999999</v>
      </c>
      <c r="G9027" t="str">
        <f>IFERROR(INDEX(tEditais[Órgão],MATCH(tItens[[#This Row],[Edital]],tEditais[Edital],0)),"")</f>
        <v>MUNICIPIO DE ITATIBA</v>
      </c>
      <c r="H9027" t="str">
        <f>IFERROR(INDEX(tEditais[UF],MATCH(tItens[[#This Row],[Edital]],tEditais[Edital],0)),"")</f>
        <v>SP</v>
      </c>
      <c r="I9027" s="11">
        <f>IFERROR(INDEX(tEditais[Encerramento],MATCH(tItens[[#This Row],[Edital]],tEditais[Edital],0)),"")</f>
        <v>46311.368055555555</v>
      </c>
      <c r="J9027" t="str">
        <f>IFERROR(INDEX(tProdutos[Classe],MATCH(tItens[[#This Row],[Produto]],tProdutos[Produto],0)),"produto não cadastrado")</f>
        <v>NÚCLEO</v>
      </c>
      <c r="K9027" s="12">
        <f>tItens[[#This Row],[Qtd]]*tItens[[#This Row],[Vlr unit]]</f>
        <v>696</v>
      </c>
      <c r="L9027" s="6">
        <f>IFERROR(IF(INDEX(tProdutos[Desconto homologado],MATCH(tItens[[#This Row],[Produto]],tProdutos[Produto],0))="",DescontoPadrao,INDEX(tProdutos[Desconto homologado],MATCH(tItens[[#This Row],[Produto]],tProdutos[Produto],0))),DescontoPadrao)</f>
        <v>0.37</v>
      </c>
      <c r="M9027" s="12">
        <f>tItens[[#This Row],[Valor]]*(1-tItens[[#This Row],[Desconto]])</f>
        <v>438.48</v>
      </c>
      <c r="N9027" t="str">
        <f>IFERROR(INDEX(tProdutos[Foco],MATCH(tItens[[#This Row],[Produto]],tProdutos[Produto],0)),"Não")</f>
        <v>Sim</v>
      </c>
      <c r="O9027" t="str">
        <f>IFERROR(INDEX(tEditais[SRP],MATCH(tItens[[#This Row],[Edital]],tEditais[Edital],0)),"Não")</f>
        <v>Sim</v>
      </c>
      <c r="P9027" s="4">
        <f>IF(COUNTIFS(INDEX(tItens[Edital],1):tItens[[#This Row],[Edital]],tItens[[#This Row],[Edital]],INDEX(tItens[Produto],1):tItens[[#This Row],[Produto]],tItens[[#This Row],[Produto]])=1,1,0)</f>
        <v>1</v>
      </c>
    </row>
    <row r="9028" spans="1:16" x14ac:dyDescent="0.25">
      <c r="A9028" t="s">
        <v>3077</v>
      </c>
      <c r="B9028">
        <v>95</v>
      </c>
      <c r="C9028" t="s">
        <v>11372</v>
      </c>
      <c r="D9028" t="s">
        <v>193</v>
      </c>
      <c r="E9028" s="13">
        <v>3</v>
      </c>
      <c r="F9028" s="12">
        <v>135.77000000000001</v>
      </c>
      <c r="G9028" t="str">
        <f>IFERROR(INDEX(tEditais[Órgão],MATCH(tItens[[#This Row],[Edital]],tEditais[Edital],0)),"")</f>
        <v>MUNICIPIO DE ITATIBA</v>
      </c>
      <c r="H9028" t="str">
        <f>IFERROR(INDEX(tEditais[UF],MATCH(tItens[[#This Row],[Edital]],tEditais[Edital],0)),"")</f>
        <v>SP</v>
      </c>
      <c r="I9028" s="11">
        <f>IFERROR(INDEX(tEditais[Encerramento],MATCH(tItens[[#This Row],[Edital]],tEditais[Edital],0)),"")</f>
        <v>46311.368055555555</v>
      </c>
      <c r="J9028" t="str">
        <f>IFERROR(INDEX(tProdutos[Classe],MATCH(tItens[[#This Row],[Produto]],tProdutos[Produto],0)),"produto não cadastrado")</f>
        <v>DISPUTADO</v>
      </c>
      <c r="K9028" s="12">
        <f>tItens[[#This Row],[Qtd]]*tItens[[#This Row],[Vlr unit]]</f>
        <v>407.31000000000006</v>
      </c>
      <c r="L9028" s="6">
        <f>IFERROR(IF(INDEX(tProdutos[Desconto homologado],MATCH(tItens[[#This Row],[Produto]],tProdutos[Produto],0))="",DescontoPadrao,INDEX(tProdutos[Desconto homologado],MATCH(tItens[[#This Row],[Produto]],tProdutos[Produto],0))),DescontoPadrao)</f>
        <v>0.293849658314351</v>
      </c>
      <c r="M9028" s="12">
        <f>tItens[[#This Row],[Valor]]*(1-tItens[[#This Row],[Desconto]])</f>
        <v>287.6220956719817</v>
      </c>
      <c r="N9028" t="str">
        <f>IFERROR(INDEX(tProdutos[Foco],MATCH(tItens[[#This Row],[Produto]],tProdutos[Produto],0)),"Não")</f>
        <v>Não</v>
      </c>
      <c r="O9028" t="str">
        <f>IFERROR(INDEX(tEditais[SRP],MATCH(tItens[[#This Row],[Edital]],tEditais[Edital],0)),"Não")</f>
        <v>Sim</v>
      </c>
      <c r="P9028" s="4">
        <f>IF(COUNTIFS(INDEX(tItens[Edital],1):tItens[[#This Row],[Edital]],tItens[[#This Row],[Edital]],INDEX(tItens[Produto],1):tItens[[#This Row],[Produto]],tItens[[#This Row],[Produto]])=1,1,0)</f>
        <v>1</v>
      </c>
    </row>
    <row r="9029" spans="1:16" x14ac:dyDescent="0.25">
      <c r="A9029" t="s">
        <v>3077</v>
      </c>
      <c r="B9029">
        <v>96</v>
      </c>
      <c r="C9029" t="s">
        <v>11373</v>
      </c>
      <c r="D9029" t="s">
        <v>110</v>
      </c>
      <c r="E9029" s="13">
        <v>23</v>
      </c>
      <c r="F9029" s="12">
        <v>1.35</v>
      </c>
      <c r="G9029" t="str">
        <f>IFERROR(INDEX(tEditais[Órgão],MATCH(tItens[[#This Row],[Edital]],tEditais[Edital],0)),"")</f>
        <v>MUNICIPIO DE ITATIBA</v>
      </c>
      <c r="H9029" t="str">
        <f>IFERROR(INDEX(tEditais[UF],MATCH(tItens[[#This Row],[Edital]],tEditais[Edital],0)),"")</f>
        <v>SP</v>
      </c>
      <c r="I9029" s="11">
        <f>IFERROR(INDEX(tEditais[Encerramento],MATCH(tItens[[#This Row],[Edital]],tEditais[Edital],0)),"")</f>
        <v>46311.368055555555</v>
      </c>
      <c r="J9029" t="str">
        <f>IFERROR(INDEX(tProdutos[Classe],MATCH(tItens[[#This Row],[Produto]],tProdutos[Produto],0)),"produto não cadastrado")</f>
        <v>NÚCLEO</v>
      </c>
      <c r="K9029" s="12">
        <f>tItens[[#This Row],[Qtd]]*tItens[[#This Row],[Vlr unit]]</f>
        <v>31.05</v>
      </c>
      <c r="L9029" s="6">
        <f>IFERROR(IF(INDEX(tProdutos[Desconto homologado],MATCH(tItens[[#This Row],[Produto]],tProdutos[Produto],0))="",DescontoPadrao,INDEX(tProdutos[Desconto homologado],MATCH(tItens[[#This Row],[Produto]],tProdutos[Produto],0))),DescontoPadrao)</f>
        <v>0.30410958904109597</v>
      </c>
      <c r="M9029" s="12">
        <f>tItens[[#This Row],[Valor]]*(1-tItens[[#This Row],[Desconto]])</f>
        <v>21.60739726027397</v>
      </c>
      <c r="N9029" t="str">
        <f>IFERROR(INDEX(tProdutos[Foco],MATCH(tItens[[#This Row],[Produto]],tProdutos[Produto],0)),"Não")</f>
        <v>Não</v>
      </c>
      <c r="O9029" t="str">
        <f>IFERROR(INDEX(tEditais[SRP],MATCH(tItens[[#This Row],[Edital]],tEditais[Edital],0)),"Não")</f>
        <v>Sim</v>
      </c>
      <c r="P9029" s="4">
        <f>IF(COUNTIFS(INDEX(tItens[Edital],1):tItens[[#This Row],[Edital]],tItens[[#This Row],[Edital]],INDEX(tItens[Produto],1):tItens[[#This Row],[Produto]],tItens[[#This Row],[Produto]])=1,1,0)</f>
        <v>0</v>
      </c>
    </row>
    <row r="9030" spans="1:16" x14ac:dyDescent="0.25">
      <c r="A9030" t="s">
        <v>3077</v>
      </c>
      <c r="B9030">
        <v>98</v>
      </c>
      <c r="C9030" t="s">
        <v>11374</v>
      </c>
      <c r="D9030" t="s">
        <v>411</v>
      </c>
      <c r="E9030" s="13">
        <v>60</v>
      </c>
      <c r="F9030" s="12">
        <v>5.54</v>
      </c>
      <c r="G9030" t="str">
        <f>IFERROR(INDEX(tEditais[Órgão],MATCH(tItens[[#This Row],[Edital]],tEditais[Edital],0)),"")</f>
        <v>MUNICIPIO DE ITATIBA</v>
      </c>
      <c r="H9030" t="str">
        <f>IFERROR(INDEX(tEditais[UF],MATCH(tItens[[#This Row],[Edital]],tEditais[Edital],0)),"")</f>
        <v>SP</v>
      </c>
      <c r="I9030" s="11">
        <f>IFERROR(INDEX(tEditais[Encerramento],MATCH(tItens[[#This Row],[Edital]],tEditais[Edital],0)),"")</f>
        <v>46311.368055555555</v>
      </c>
      <c r="J9030" t="str">
        <f>IFERROR(INDEX(tProdutos[Classe],MATCH(tItens[[#This Row],[Produto]],tProdutos[Produto],0)),"produto não cadastrado")</f>
        <v>FORA</v>
      </c>
      <c r="K9030" s="12">
        <f>tItens[[#This Row],[Qtd]]*tItens[[#This Row],[Vlr unit]]</f>
        <v>332.4</v>
      </c>
      <c r="L9030" s="6">
        <f>IFERROR(IF(INDEX(tProdutos[Desconto homologado],MATCH(tItens[[#This Row],[Produto]],tProdutos[Produto],0))="",DescontoPadrao,INDEX(tProdutos[Desconto homologado],MATCH(tItens[[#This Row],[Produto]],tProdutos[Produto],0))),DescontoPadrao)</f>
        <v>0.50029835957199398</v>
      </c>
      <c r="M9030" s="12">
        <f>tItens[[#This Row],[Valor]]*(1-tItens[[#This Row],[Desconto]])</f>
        <v>166.10082527826918</v>
      </c>
      <c r="N9030" t="str">
        <f>IFERROR(INDEX(tProdutos[Foco],MATCH(tItens[[#This Row],[Produto]],tProdutos[Produto],0)),"Não")</f>
        <v>Não</v>
      </c>
      <c r="O9030" t="str">
        <f>IFERROR(INDEX(tEditais[SRP],MATCH(tItens[[#This Row],[Edital]],tEditais[Edital],0)),"Não")</f>
        <v>Sim</v>
      </c>
      <c r="P9030" s="4">
        <f>IF(COUNTIFS(INDEX(tItens[Edital],1):tItens[[#This Row],[Edital]],tItens[[#This Row],[Edital]],INDEX(tItens[Produto],1):tItens[[#This Row],[Produto]],tItens[[#This Row],[Produto]])=1,1,0)</f>
        <v>1</v>
      </c>
    </row>
    <row r="9031" spans="1:16" x14ac:dyDescent="0.25">
      <c r="A9031" t="s">
        <v>3077</v>
      </c>
      <c r="B9031">
        <v>101</v>
      </c>
      <c r="C9031" t="s">
        <v>11375</v>
      </c>
      <c r="D9031" t="s">
        <v>647</v>
      </c>
      <c r="E9031" s="13">
        <v>5</v>
      </c>
      <c r="F9031" s="12">
        <v>106.03</v>
      </c>
      <c r="G9031" t="str">
        <f>IFERROR(INDEX(tEditais[Órgão],MATCH(tItens[[#This Row],[Edital]],tEditais[Edital],0)),"")</f>
        <v>MUNICIPIO DE ITATIBA</v>
      </c>
      <c r="H9031" t="str">
        <f>IFERROR(INDEX(tEditais[UF],MATCH(tItens[[#This Row],[Edital]],tEditais[Edital],0)),"")</f>
        <v>SP</v>
      </c>
      <c r="I9031" s="11">
        <f>IFERROR(INDEX(tEditais[Encerramento],MATCH(tItens[[#This Row],[Edital]],tEditais[Edital],0)),"")</f>
        <v>46311.368055555555</v>
      </c>
      <c r="J9031" t="str">
        <f>IFERROR(INDEX(tProdutos[Classe],MATCH(tItens[[#This Row],[Produto]],tProdutos[Produto],0)),"produto não cadastrado")</f>
        <v>FILA REBASE</v>
      </c>
      <c r="K9031" s="12">
        <f>tItens[[#This Row],[Qtd]]*tItens[[#This Row],[Vlr unit]]</f>
        <v>530.15</v>
      </c>
      <c r="L9031" s="6">
        <f>IFERROR(IF(INDEX(tProdutos[Desconto homologado],MATCH(tItens[[#This Row],[Produto]],tProdutos[Produto],0))="",DescontoPadrao,INDEX(tProdutos[Desconto homologado],MATCH(tItens[[#This Row],[Produto]],tProdutos[Produto],0))),DescontoPadrao)</f>
        <v>0.130234325738454</v>
      </c>
      <c r="M9031" s="12">
        <f>tItens[[#This Row],[Valor]]*(1-tItens[[#This Row],[Desconto]])</f>
        <v>461.10627220975863</v>
      </c>
      <c r="N9031" t="str">
        <f>IFERROR(INDEX(tProdutos[Foco],MATCH(tItens[[#This Row],[Produto]],tProdutos[Produto],0)),"Não")</f>
        <v>Não</v>
      </c>
      <c r="O9031" t="str">
        <f>IFERROR(INDEX(tEditais[SRP],MATCH(tItens[[#This Row],[Edital]],tEditais[Edital],0)),"Não")</f>
        <v>Sim</v>
      </c>
      <c r="P9031" s="4">
        <f>IF(COUNTIFS(INDEX(tItens[Edital],1):tItens[[#This Row],[Edital]],tItens[[#This Row],[Edital]],INDEX(tItens[Produto],1):tItens[[#This Row],[Produto]],tItens[[#This Row],[Produto]])=1,1,0)</f>
        <v>1</v>
      </c>
    </row>
    <row r="9032" spans="1:16" x14ac:dyDescent="0.25">
      <c r="A9032" t="s">
        <v>3077</v>
      </c>
      <c r="B9032">
        <v>104</v>
      </c>
      <c r="C9032" t="s">
        <v>11376</v>
      </c>
      <c r="D9032" t="s">
        <v>136</v>
      </c>
      <c r="E9032" s="13">
        <v>25</v>
      </c>
      <c r="F9032" s="12">
        <v>10.050000000000001</v>
      </c>
      <c r="G9032" t="str">
        <f>IFERROR(INDEX(tEditais[Órgão],MATCH(tItens[[#This Row],[Edital]],tEditais[Edital],0)),"")</f>
        <v>MUNICIPIO DE ITATIBA</v>
      </c>
      <c r="H9032" t="str">
        <f>IFERROR(INDEX(tEditais[UF],MATCH(tItens[[#This Row],[Edital]],tEditais[Edital],0)),"")</f>
        <v>SP</v>
      </c>
      <c r="I9032" s="11">
        <f>IFERROR(INDEX(tEditais[Encerramento],MATCH(tItens[[#This Row],[Edital]],tEditais[Edital],0)),"")</f>
        <v>46311.368055555555</v>
      </c>
      <c r="J9032" t="str">
        <f>IFERROR(INDEX(tProdutos[Classe],MATCH(tItens[[#This Row],[Produto]],tProdutos[Produto],0)),"produto não cadastrado")</f>
        <v>DISPUTADO</v>
      </c>
      <c r="K9032" s="12">
        <f>tItens[[#This Row],[Qtd]]*tItens[[#This Row],[Vlr unit]]</f>
        <v>251.25000000000003</v>
      </c>
      <c r="L9032" s="6">
        <f>IFERROR(IF(INDEX(tProdutos[Desconto homologado],MATCH(tItens[[#This Row],[Produto]],tProdutos[Produto],0))="",DescontoPadrao,INDEX(tProdutos[Desconto homologado],MATCH(tItens[[#This Row],[Produto]],tProdutos[Produto],0))),DescontoPadrao)</f>
        <v>0.330646209370899</v>
      </c>
      <c r="M9032" s="12">
        <f>tItens[[#This Row],[Valor]]*(1-tItens[[#This Row],[Desconto]])</f>
        <v>168.17513989556164</v>
      </c>
      <c r="N9032" t="str">
        <f>IFERROR(INDEX(tProdutos[Foco],MATCH(tItens[[#This Row],[Produto]],tProdutos[Produto],0)),"Não")</f>
        <v>Não</v>
      </c>
      <c r="O9032" t="str">
        <f>IFERROR(INDEX(tEditais[SRP],MATCH(tItens[[#This Row],[Edital]],tEditais[Edital],0)),"Não")</f>
        <v>Sim</v>
      </c>
      <c r="P9032" s="4">
        <f>IF(COUNTIFS(INDEX(tItens[Edital],1):tItens[[#This Row],[Edital]],tItens[[#This Row],[Edital]],INDEX(tItens[Produto],1):tItens[[#This Row],[Produto]],tItens[[#This Row],[Produto]])=1,1,0)</f>
        <v>1</v>
      </c>
    </row>
    <row r="9033" spans="1:16" x14ac:dyDescent="0.25">
      <c r="A9033" t="s">
        <v>3077</v>
      </c>
      <c r="B9033">
        <v>107</v>
      </c>
      <c r="C9033" t="s">
        <v>11377</v>
      </c>
      <c r="D9033" t="s">
        <v>279</v>
      </c>
      <c r="E9033" s="13">
        <v>200</v>
      </c>
      <c r="F9033" s="12">
        <v>0.67</v>
      </c>
      <c r="G9033" t="str">
        <f>IFERROR(INDEX(tEditais[Órgão],MATCH(tItens[[#This Row],[Edital]],tEditais[Edital],0)),"")</f>
        <v>MUNICIPIO DE ITATIBA</v>
      </c>
      <c r="H9033" t="str">
        <f>IFERROR(INDEX(tEditais[UF],MATCH(tItens[[#This Row],[Edital]],tEditais[Edital],0)),"")</f>
        <v>SP</v>
      </c>
      <c r="I9033" s="11">
        <f>IFERROR(INDEX(tEditais[Encerramento],MATCH(tItens[[#This Row],[Edital]],tEditais[Edital],0)),"")</f>
        <v>46311.368055555555</v>
      </c>
      <c r="J9033" t="str">
        <f>IFERROR(INDEX(tProdutos[Classe],MATCH(tItens[[#This Row],[Produto]],tProdutos[Produto],0)),"produto não cadastrado")</f>
        <v>FORA</v>
      </c>
      <c r="K9033" s="12">
        <f>tItens[[#This Row],[Qtd]]*tItens[[#This Row],[Vlr unit]]</f>
        <v>134</v>
      </c>
      <c r="L9033" s="6">
        <f>IFERROR(IF(INDEX(tProdutos[Desconto homologado],MATCH(tItens[[#This Row],[Produto]],tProdutos[Produto],0))="",DescontoPadrao,INDEX(tProdutos[Desconto homologado],MATCH(tItens[[#This Row],[Produto]],tProdutos[Produto],0))),DescontoPadrao)</f>
        <v>0.28909090909090901</v>
      </c>
      <c r="M9033" s="12">
        <f>tItens[[#This Row],[Valor]]*(1-tItens[[#This Row],[Desconto]])</f>
        <v>95.261818181818185</v>
      </c>
      <c r="N9033" t="str">
        <f>IFERROR(INDEX(tProdutos[Foco],MATCH(tItens[[#This Row],[Produto]],tProdutos[Produto],0)),"Não")</f>
        <v>Não</v>
      </c>
      <c r="O9033" t="str">
        <f>IFERROR(INDEX(tEditais[SRP],MATCH(tItens[[#This Row],[Edital]],tEditais[Edital],0)),"Não")</f>
        <v>Sim</v>
      </c>
      <c r="P9033" s="4">
        <f>IF(COUNTIFS(INDEX(tItens[Edital],1):tItens[[#This Row],[Edital]],tItens[[#This Row],[Edital]],INDEX(tItens[Produto],1):tItens[[#This Row],[Produto]],tItens[[#This Row],[Produto]])=1,1,0)</f>
        <v>1</v>
      </c>
    </row>
    <row r="9034" spans="1:16" x14ac:dyDescent="0.25">
      <c r="A9034" t="s">
        <v>3077</v>
      </c>
      <c r="B9034">
        <v>112</v>
      </c>
      <c r="C9034" t="s">
        <v>11378</v>
      </c>
      <c r="D9034" t="s">
        <v>156</v>
      </c>
      <c r="E9034" s="13">
        <v>15</v>
      </c>
      <c r="F9034" s="12">
        <v>16.64</v>
      </c>
      <c r="G9034" t="str">
        <f>IFERROR(INDEX(tEditais[Órgão],MATCH(tItens[[#This Row],[Edital]],tEditais[Edital],0)),"")</f>
        <v>MUNICIPIO DE ITATIBA</v>
      </c>
      <c r="H9034" t="str">
        <f>IFERROR(INDEX(tEditais[UF],MATCH(tItens[[#This Row],[Edital]],tEditais[Edital],0)),"")</f>
        <v>SP</v>
      </c>
      <c r="I9034" s="11">
        <f>IFERROR(INDEX(tEditais[Encerramento],MATCH(tItens[[#This Row],[Edital]],tEditais[Edital],0)),"")</f>
        <v>46311.368055555555</v>
      </c>
      <c r="J9034" t="str">
        <f>IFERROR(INDEX(tProdutos[Classe],MATCH(tItens[[#This Row],[Produto]],tProdutos[Produto],0)),"produto não cadastrado")</f>
        <v>DISPUTADO</v>
      </c>
      <c r="K9034" s="12">
        <f>tItens[[#This Row],[Qtd]]*tItens[[#This Row],[Vlr unit]]</f>
        <v>249.60000000000002</v>
      </c>
      <c r="L9034" s="6">
        <f>IFERROR(IF(INDEX(tProdutos[Desconto homologado],MATCH(tItens[[#This Row],[Produto]],tProdutos[Produto],0))="",DescontoPadrao,INDEX(tProdutos[Desconto homologado],MATCH(tItens[[#This Row],[Produto]],tProdutos[Produto],0))),DescontoPadrao)</f>
        <v>0.27131852489802799</v>
      </c>
      <c r="M9034" s="12">
        <f>tItens[[#This Row],[Valor]]*(1-tItens[[#This Row],[Desconto]])</f>
        <v>181.87889618545222</v>
      </c>
      <c r="N9034" t="str">
        <f>IFERROR(INDEX(tProdutos[Foco],MATCH(tItens[[#This Row],[Produto]],tProdutos[Produto],0)),"Não")</f>
        <v>Não</v>
      </c>
      <c r="O9034" t="str">
        <f>IFERROR(INDEX(tEditais[SRP],MATCH(tItens[[#This Row],[Edital]],tEditais[Edital],0)),"Não")</f>
        <v>Sim</v>
      </c>
      <c r="P9034" s="4">
        <f>IF(COUNTIFS(INDEX(tItens[Edital],1):tItens[[#This Row],[Edital]],tItens[[#This Row],[Edital]],INDEX(tItens[Produto],1):tItens[[#This Row],[Produto]],tItens[[#This Row],[Produto]])=1,1,0)</f>
        <v>0</v>
      </c>
    </row>
    <row r="9035" spans="1:16" x14ac:dyDescent="0.25">
      <c r="A9035" t="s">
        <v>3081</v>
      </c>
      <c r="B9035">
        <v>3</v>
      </c>
      <c r="C9035" t="s">
        <v>11379</v>
      </c>
      <c r="D9035" t="s">
        <v>341</v>
      </c>
      <c r="E9035" s="13">
        <v>1000</v>
      </c>
      <c r="F9035" s="12">
        <v>0</v>
      </c>
      <c r="G9035" t="str">
        <f>IFERROR(INDEX(tEditais[Órgão],MATCH(tItens[[#This Row],[Edital]],tEditais[Edital],0)),"")</f>
        <v>MUNICIPIO DE SANTA BARBARA D'OESTE</v>
      </c>
      <c r="H9035" t="str">
        <f>IFERROR(INDEX(tEditais[UF],MATCH(tItens[[#This Row],[Edital]],tEditais[Edital],0)),"")</f>
        <v>SP</v>
      </c>
      <c r="I9035" s="11">
        <f>IFERROR(INDEX(tEditais[Encerramento],MATCH(tItens[[#This Row],[Edital]],tEditais[Edital],0)),"")</f>
        <v>46311.374305555553</v>
      </c>
      <c r="J9035" t="str">
        <f>IFERROR(INDEX(tProdutos[Classe],MATCH(tItens[[#This Row],[Produto]],tProdutos[Produto],0)),"produto não cadastrado")</f>
        <v>FORA</v>
      </c>
      <c r="K9035" s="12">
        <f>tItens[[#This Row],[Qtd]]*tItens[[#This Row],[Vlr unit]]</f>
        <v>0</v>
      </c>
      <c r="L9035" s="6">
        <f>IFERROR(IF(INDEX(tProdutos[Desconto homologado],MATCH(tItens[[#This Row],[Produto]],tProdutos[Produto],0))="",DescontoPadrao,INDEX(tProdutos[Desconto homologado],MATCH(tItens[[#This Row],[Produto]],tProdutos[Produto],0))),DescontoPadrao)</f>
        <v>0.46918578497525898</v>
      </c>
      <c r="M9035" s="12">
        <f>tItens[[#This Row],[Valor]]*(1-tItens[[#This Row],[Desconto]])</f>
        <v>0</v>
      </c>
      <c r="N9035" t="str">
        <f>IFERROR(INDEX(tProdutos[Foco],MATCH(tItens[[#This Row],[Produto]],tProdutos[Produto],0)),"Não")</f>
        <v>Não</v>
      </c>
      <c r="O9035" t="str">
        <f>IFERROR(INDEX(tEditais[SRP],MATCH(tItens[[#This Row],[Edital]],tEditais[Edital],0)),"Não")</f>
        <v>Sim</v>
      </c>
      <c r="P9035" s="4">
        <f>IF(COUNTIFS(INDEX(tItens[Edital],1):tItens[[#This Row],[Edital]],tItens[[#This Row],[Edital]],INDEX(tItens[Produto],1):tItens[[#This Row],[Produto]],tItens[[#This Row],[Produto]])=1,1,0)</f>
        <v>1</v>
      </c>
    </row>
    <row r="9036" spans="1:16" x14ac:dyDescent="0.25">
      <c r="A9036" t="s">
        <v>3081</v>
      </c>
      <c r="B9036">
        <v>4</v>
      </c>
      <c r="C9036" t="s">
        <v>11380</v>
      </c>
      <c r="D9036" t="s">
        <v>90</v>
      </c>
      <c r="E9036" s="13">
        <v>600</v>
      </c>
      <c r="F9036" s="12">
        <v>0</v>
      </c>
      <c r="G9036" t="str">
        <f>IFERROR(INDEX(tEditais[Órgão],MATCH(tItens[[#This Row],[Edital]],tEditais[Edital],0)),"")</f>
        <v>MUNICIPIO DE SANTA BARBARA D'OESTE</v>
      </c>
      <c r="H9036" t="str">
        <f>IFERROR(INDEX(tEditais[UF],MATCH(tItens[[#This Row],[Edital]],tEditais[Edital],0)),"")</f>
        <v>SP</v>
      </c>
      <c r="I9036" s="11">
        <f>IFERROR(INDEX(tEditais[Encerramento],MATCH(tItens[[#This Row],[Edital]],tEditais[Edital],0)),"")</f>
        <v>46311.374305555553</v>
      </c>
      <c r="J9036" t="str">
        <f>IFERROR(INDEX(tProdutos[Classe],MATCH(tItens[[#This Row],[Produto]],tProdutos[Produto],0)),"produto não cadastrado")</f>
        <v>DISPUTADO</v>
      </c>
      <c r="K9036" s="12">
        <f>tItens[[#This Row],[Qtd]]*tItens[[#This Row],[Vlr unit]]</f>
        <v>0</v>
      </c>
      <c r="L9036" s="6">
        <f>IFERROR(IF(INDEX(tProdutos[Desconto homologado],MATCH(tItens[[#This Row],[Produto]],tProdutos[Produto],0))="",DescontoPadrao,INDEX(tProdutos[Desconto homologado],MATCH(tItens[[#This Row],[Produto]],tProdutos[Produto],0))),DescontoPadrao)</f>
        <v>0.25393823957010597</v>
      </c>
      <c r="M9036" s="12">
        <f>tItens[[#This Row],[Valor]]*(1-tItens[[#This Row],[Desconto]])</f>
        <v>0</v>
      </c>
      <c r="N9036" t="str">
        <f>IFERROR(INDEX(tProdutos[Foco],MATCH(tItens[[#This Row],[Produto]],tProdutos[Produto],0)),"Não")</f>
        <v>Não</v>
      </c>
      <c r="O9036" t="str">
        <f>IFERROR(INDEX(tEditais[SRP],MATCH(tItens[[#This Row],[Edital]],tEditais[Edital],0)),"Não")</f>
        <v>Sim</v>
      </c>
      <c r="P9036" s="4">
        <f>IF(COUNTIFS(INDEX(tItens[Edital],1):tItens[[#This Row],[Edital]],tItens[[#This Row],[Edital]],INDEX(tItens[Produto],1):tItens[[#This Row],[Produto]],tItens[[#This Row],[Produto]])=1,1,0)</f>
        <v>1</v>
      </c>
    </row>
    <row r="9037" spans="1:16" x14ac:dyDescent="0.25">
      <c r="A9037" t="s">
        <v>3081</v>
      </c>
      <c r="B9037">
        <v>5</v>
      </c>
      <c r="C9037" t="s">
        <v>11381</v>
      </c>
      <c r="D9037" t="s">
        <v>77</v>
      </c>
      <c r="E9037" s="13">
        <v>100</v>
      </c>
      <c r="F9037" s="12">
        <v>0</v>
      </c>
      <c r="G9037" t="str">
        <f>IFERROR(INDEX(tEditais[Órgão],MATCH(tItens[[#This Row],[Edital]],tEditais[Edital],0)),"")</f>
        <v>MUNICIPIO DE SANTA BARBARA D'OESTE</v>
      </c>
      <c r="H9037" t="str">
        <f>IFERROR(INDEX(tEditais[UF],MATCH(tItens[[#This Row],[Edital]],tEditais[Edital],0)),"")</f>
        <v>SP</v>
      </c>
      <c r="I9037" s="11">
        <f>IFERROR(INDEX(tEditais[Encerramento],MATCH(tItens[[#This Row],[Edital]],tEditais[Edital],0)),"")</f>
        <v>46311.374305555553</v>
      </c>
      <c r="J9037" t="str">
        <f>IFERROR(INDEX(tProdutos[Classe],MATCH(tItens[[#This Row],[Produto]],tProdutos[Produto],0)),"produto não cadastrado")</f>
        <v>DISPUTADO</v>
      </c>
      <c r="K9037" s="12">
        <f>tItens[[#This Row],[Qtd]]*tItens[[#This Row],[Vlr unit]]</f>
        <v>0</v>
      </c>
      <c r="L9037" s="6">
        <f>IFERROR(IF(INDEX(tProdutos[Desconto homologado],MATCH(tItens[[#This Row],[Produto]],tProdutos[Produto],0))="",DescontoPadrao,INDEX(tProdutos[Desconto homologado],MATCH(tItens[[#This Row],[Produto]],tProdutos[Produto],0))),DescontoPadrao)</f>
        <v>0.33</v>
      </c>
      <c r="M9037" s="12">
        <f>tItens[[#This Row],[Valor]]*(1-tItens[[#This Row],[Desconto]])</f>
        <v>0</v>
      </c>
      <c r="N9037" t="str">
        <f>IFERROR(INDEX(tProdutos[Foco],MATCH(tItens[[#This Row],[Produto]],tProdutos[Produto],0)),"Não")</f>
        <v>Sim</v>
      </c>
      <c r="O9037" t="str">
        <f>IFERROR(INDEX(tEditais[SRP],MATCH(tItens[[#This Row],[Edital]],tEditais[Edital],0)),"Não")</f>
        <v>Sim</v>
      </c>
      <c r="P9037" s="4">
        <f>IF(COUNTIFS(INDEX(tItens[Edital],1):tItens[[#This Row],[Edital]],tItens[[#This Row],[Edital]],INDEX(tItens[Produto],1):tItens[[#This Row],[Produto]],tItens[[#This Row],[Produto]])=1,1,0)</f>
        <v>1</v>
      </c>
    </row>
    <row r="9038" spans="1:16" x14ac:dyDescent="0.25">
      <c r="A9038" t="s">
        <v>3081</v>
      </c>
      <c r="B9038">
        <v>8</v>
      </c>
      <c r="C9038" t="s">
        <v>11382</v>
      </c>
      <c r="D9038" t="s">
        <v>269</v>
      </c>
      <c r="E9038" s="13">
        <v>10</v>
      </c>
      <c r="F9038" s="12">
        <v>0</v>
      </c>
      <c r="G9038" t="str">
        <f>IFERROR(INDEX(tEditais[Órgão],MATCH(tItens[[#This Row],[Edital]],tEditais[Edital],0)),"")</f>
        <v>MUNICIPIO DE SANTA BARBARA D'OESTE</v>
      </c>
      <c r="H9038" t="str">
        <f>IFERROR(INDEX(tEditais[UF],MATCH(tItens[[#This Row],[Edital]],tEditais[Edital],0)),"")</f>
        <v>SP</v>
      </c>
      <c r="I9038" s="11">
        <f>IFERROR(INDEX(tEditais[Encerramento],MATCH(tItens[[#This Row],[Edital]],tEditais[Edital],0)),"")</f>
        <v>46311.374305555553</v>
      </c>
      <c r="J9038" t="str">
        <f>IFERROR(INDEX(tProdutos[Classe],MATCH(tItens[[#This Row],[Produto]],tProdutos[Produto],0)),"produto não cadastrado")</f>
        <v>FORA</v>
      </c>
      <c r="K9038" s="12">
        <f>tItens[[#This Row],[Qtd]]*tItens[[#This Row],[Vlr unit]]</f>
        <v>0</v>
      </c>
      <c r="L9038" s="6">
        <f>IFERROR(IF(INDEX(tProdutos[Desconto homologado],MATCH(tItens[[#This Row],[Produto]],tProdutos[Produto],0))="",DescontoPadrao,INDEX(tProdutos[Desconto homologado],MATCH(tItens[[#This Row],[Produto]],tProdutos[Produto],0))),DescontoPadrao)</f>
        <v>0.28935117103332197</v>
      </c>
      <c r="M9038" s="12">
        <f>tItens[[#This Row],[Valor]]*(1-tItens[[#This Row],[Desconto]])</f>
        <v>0</v>
      </c>
      <c r="N9038" t="str">
        <f>IFERROR(INDEX(tProdutos[Foco],MATCH(tItens[[#This Row],[Produto]],tProdutos[Produto],0)),"Não")</f>
        <v>Não</v>
      </c>
      <c r="O9038" t="str">
        <f>IFERROR(INDEX(tEditais[SRP],MATCH(tItens[[#This Row],[Edital]],tEditais[Edital],0)),"Não")</f>
        <v>Sim</v>
      </c>
      <c r="P9038" s="4">
        <f>IF(COUNTIFS(INDEX(tItens[Edital],1):tItens[[#This Row],[Edital]],tItens[[#This Row],[Edital]],INDEX(tItens[Produto],1):tItens[[#This Row],[Produto]],tItens[[#This Row],[Produto]])=1,1,0)</f>
        <v>1</v>
      </c>
    </row>
    <row r="9039" spans="1:16" x14ac:dyDescent="0.25">
      <c r="A9039" t="s">
        <v>3081</v>
      </c>
      <c r="B9039">
        <v>9</v>
      </c>
      <c r="C9039" t="s">
        <v>11383</v>
      </c>
      <c r="D9039" t="s">
        <v>321</v>
      </c>
      <c r="E9039" s="13">
        <v>60</v>
      </c>
      <c r="F9039" s="12">
        <v>0</v>
      </c>
      <c r="G9039" t="str">
        <f>IFERROR(INDEX(tEditais[Órgão],MATCH(tItens[[#This Row],[Edital]],tEditais[Edital],0)),"")</f>
        <v>MUNICIPIO DE SANTA BARBARA D'OESTE</v>
      </c>
      <c r="H9039" t="str">
        <f>IFERROR(INDEX(tEditais[UF],MATCH(tItens[[#This Row],[Edital]],tEditais[Edital],0)),"")</f>
        <v>SP</v>
      </c>
      <c r="I9039" s="11">
        <f>IFERROR(INDEX(tEditais[Encerramento],MATCH(tItens[[#This Row],[Edital]],tEditais[Edital],0)),"")</f>
        <v>46311.374305555553</v>
      </c>
      <c r="J9039" t="str">
        <f>IFERROR(INDEX(tProdutos[Classe],MATCH(tItens[[#This Row],[Produto]],tProdutos[Produto],0)),"produto não cadastrado")</f>
        <v>FORA</v>
      </c>
      <c r="K9039" s="12">
        <f>tItens[[#This Row],[Qtd]]*tItens[[#This Row],[Vlr unit]]</f>
        <v>0</v>
      </c>
      <c r="L9039" s="6">
        <f>IFERROR(IF(INDEX(tProdutos[Desconto homologado],MATCH(tItens[[#This Row],[Produto]],tProdutos[Produto],0))="",DescontoPadrao,INDEX(tProdutos[Desconto homologado],MATCH(tItens[[#This Row],[Produto]],tProdutos[Produto],0))),DescontoPadrao)</f>
        <v>0.380257510729614</v>
      </c>
      <c r="M9039" s="12">
        <f>tItens[[#This Row],[Valor]]*(1-tItens[[#This Row],[Desconto]])</f>
        <v>0</v>
      </c>
      <c r="N9039" t="str">
        <f>IFERROR(INDEX(tProdutos[Foco],MATCH(tItens[[#This Row],[Produto]],tProdutos[Produto],0)),"Não")</f>
        <v>Não</v>
      </c>
      <c r="O9039" t="str">
        <f>IFERROR(INDEX(tEditais[SRP],MATCH(tItens[[#This Row],[Edital]],tEditais[Edital],0)),"Não")</f>
        <v>Sim</v>
      </c>
      <c r="P9039" s="4">
        <f>IF(COUNTIFS(INDEX(tItens[Edital],1):tItens[[#This Row],[Edital]],tItens[[#This Row],[Edital]],INDEX(tItens[Produto],1):tItens[[#This Row],[Produto]],tItens[[#This Row],[Produto]])=1,1,0)</f>
        <v>1</v>
      </c>
    </row>
    <row r="9040" spans="1:16" x14ac:dyDescent="0.25">
      <c r="A9040" t="s">
        <v>3081</v>
      </c>
      <c r="B9040">
        <v>10</v>
      </c>
      <c r="C9040" t="s">
        <v>11384</v>
      </c>
      <c r="D9040" t="s">
        <v>321</v>
      </c>
      <c r="E9040" s="13">
        <v>60</v>
      </c>
      <c r="F9040" s="12">
        <v>0</v>
      </c>
      <c r="G9040" t="str">
        <f>IFERROR(INDEX(tEditais[Órgão],MATCH(tItens[[#This Row],[Edital]],tEditais[Edital],0)),"")</f>
        <v>MUNICIPIO DE SANTA BARBARA D'OESTE</v>
      </c>
      <c r="H9040" t="str">
        <f>IFERROR(INDEX(tEditais[UF],MATCH(tItens[[#This Row],[Edital]],tEditais[Edital],0)),"")</f>
        <v>SP</v>
      </c>
      <c r="I9040" s="11">
        <f>IFERROR(INDEX(tEditais[Encerramento],MATCH(tItens[[#This Row],[Edital]],tEditais[Edital],0)),"")</f>
        <v>46311.374305555553</v>
      </c>
      <c r="J9040" t="str">
        <f>IFERROR(INDEX(tProdutos[Classe],MATCH(tItens[[#This Row],[Produto]],tProdutos[Produto],0)),"produto não cadastrado")</f>
        <v>FORA</v>
      </c>
      <c r="K9040" s="12">
        <f>tItens[[#This Row],[Qtd]]*tItens[[#This Row],[Vlr unit]]</f>
        <v>0</v>
      </c>
      <c r="L9040" s="6">
        <f>IFERROR(IF(INDEX(tProdutos[Desconto homologado],MATCH(tItens[[#This Row],[Produto]],tProdutos[Produto],0))="",DescontoPadrao,INDEX(tProdutos[Desconto homologado],MATCH(tItens[[#This Row],[Produto]],tProdutos[Produto],0))),DescontoPadrao)</f>
        <v>0.380257510729614</v>
      </c>
      <c r="M9040" s="12">
        <f>tItens[[#This Row],[Valor]]*(1-tItens[[#This Row],[Desconto]])</f>
        <v>0</v>
      </c>
      <c r="N9040" t="str">
        <f>IFERROR(INDEX(tProdutos[Foco],MATCH(tItens[[#This Row],[Produto]],tProdutos[Produto],0)),"Não")</f>
        <v>Não</v>
      </c>
      <c r="O9040" t="str">
        <f>IFERROR(INDEX(tEditais[SRP],MATCH(tItens[[#This Row],[Edital]],tEditais[Edital],0)),"Não")</f>
        <v>Sim</v>
      </c>
      <c r="P9040" s="4">
        <f>IF(COUNTIFS(INDEX(tItens[Edital],1):tItens[[#This Row],[Edital]],tItens[[#This Row],[Edital]],INDEX(tItens[Produto],1):tItens[[#This Row],[Produto]],tItens[[#This Row],[Produto]])=1,1,0)</f>
        <v>0</v>
      </c>
    </row>
    <row r="9041" spans="1:16" x14ac:dyDescent="0.25">
      <c r="A9041" t="s">
        <v>3081</v>
      </c>
      <c r="B9041">
        <v>11</v>
      </c>
      <c r="C9041" t="s">
        <v>11385</v>
      </c>
      <c r="D9041" t="s">
        <v>461</v>
      </c>
      <c r="E9041" s="13">
        <v>60</v>
      </c>
      <c r="F9041" s="12">
        <v>0</v>
      </c>
      <c r="G9041" t="str">
        <f>IFERROR(INDEX(tEditais[Órgão],MATCH(tItens[[#This Row],[Edital]],tEditais[Edital],0)),"")</f>
        <v>MUNICIPIO DE SANTA BARBARA D'OESTE</v>
      </c>
      <c r="H9041" t="str">
        <f>IFERROR(INDEX(tEditais[UF],MATCH(tItens[[#This Row],[Edital]],tEditais[Edital],0)),"")</f>
        <v>SP</v>
      </c>
      <c r="I9041" s="11">
        <f>IFERROR(INDEX(tEditais[Encerramento],MATCH(tItens[[#This Row],[Edital]],tEditais[Edital],0)),"")</f>
        <v>46311.374305555553</v>
      </c>
      <c r="J9041" t="str">
        <f>IFERROR(INDEX(tProdutos[Classe],MATCH(tItens[[#This Row],[Produto]],tProdutos[Produto],0)),"produto não cadastrado")</f>
        <v>FILA REBASE</v>
      </c>
      <c r="K9041" s="12">
        <f>tItens[[#This Row],[Qtd]]*tItens[[#This Row],[Vlr unit]]</f>
        <v>0</v>
      </c>
      <c r="L9041" s="6">
        <f>IFERROR(IF(INDEX(tProdutos[Desconto homologado],MATCH(tItens[[#This Row],[Produto]],tProdutos[Produto],0))="",DescontoPadrao,INDEX(tProdutos[Desconto homologado],MATCH(tItens[[#This Row],[Produto]],tProdutos[Produto],0))),DescontoPadrao)</f>
        <v>0.44096385542168698</v>
      </c>
      <c r="M9041" s="12">
        <f>tItens[[#This Row],[Valor]]*(1-tItens[[#This Row],[Desconto]])</f>
        <v>0</v>
      </c>
      <c r="N9041" t="str">
        <f>IFERROR(INDEX(tProdutos[Foco],MATCH(tItens[[#This Row],[Produto]],tProdutos[Produto],0)),"Não")</f>
        <v>Não</v>
      </c>
      <c r="O9041" t="str">
        <f>IFERROR(INDEX(tEditais[SRP],MATCH(tItens[[#This Row],[Edital]],tEditais[Edital],0)),"Não")</f>
        <v>Sim</v>
      </c>
      <c r="P9041" s="4">
        <f>IF(COUNTIFS(INDEX(tItens[Edital],1):tItens[[#This Row],[Edital]],tItens[[#This Row],[Edital]],INDEX(tItens[Produto],1):tItens[[#This Row],[Produto]],tItens[[#This Row],[Produto]])=1,1,0)</f>
        <v>1</v>
      </c>
    </row>
    <row r="9042" spans="1:16" x14ac:dyDescent="0.25">
      <c r="A9042" t="s">
        <v>3081</v>
      </c>
      <c r="B9042">
        <v>12</v>
      </c>
      <c r="C9042" t="s">
        <v>11386</v>
      </c>
      <c r="D9042" t="s">
        <v>461</v>
      </c>
      <c r="E9042" s="13">
        <v>60</v>
      </c>
      <c r="F9042" s="12">
        <v>0</v>
      </c>
      <c r="G9042" t="str">
        <f>IFERROR(INDEX(tEditais[Órgão],MATCH(tItens[[#This Row],[Edital]],tEditais[Edital],0)),"")</f>
        <v>MUNICIPIO DE SANTA BARBARA D'OESTE</v>
      </c>
      <c r="H9042" t="str">
        <f>IFERROR(INDEX(tEditais[UF],MATCH(tItens[[#This Row],[Edital]],tEditais[Edital],0)),"")</f>
        <v>SP</v>
      </c>
      <c r="I9042" s="11">
        <f>IFERROR(INDEX(tEditais[Encerramento],MATCH(tItens[[#This Row],[Edital]],tEditais[Edital],0)),"")</f>
        <v>46311.374305555553</v>
      </c>
      <c r="J9042" t="str">
        <f>IFERROR(INDEX(tProdutos[Classe],MATCH(tItens[[#This Row],[Produto]],tProdutos[Produto],0)),"produto não cadastrado")</f>
        <v>FILA REBASE</v>
      </c>
      <c r="K9042" s="12">
        <f>tItens[[#This Row],[Qtd]]*tItens[[#This Row],[Vlr unit]]</f>
        <v>0</v>
      </c>
      <c r="L9042" s="6">
        <f>IFERROR(IF(INDEX(tProdutos[Desconto homologado],MATCH(tItens[[#This Row],[Produto]],tProdutos[Produto],0))="",DescontoPadrao,INDEX(tProdutos[Desconto homologado],MATCH(tItens[[#This Row],[Produto]],tProdutos[Produto],0))),DescontoPadrao)</f>
        <v>0.44096385542168698</v>
      </c>
      <c r="M9042" s="12">
        <f>tItens[[#This Row],[Valor]]*(1-tItens[[#This Row],[Desconto]])</f>
        <v>0</v>
      </c>
      <c r="N9042" t="str">
        <f>IFERROR(INDEX(tProdutos[Foco],MATCH(tItens[[#This Row],[Produto]],tProdutos[Produto],0)),"Não")</f>
        <v>Não</v>
      </c>
      <c r="O9042" t="str">
        <f>IFERROR(INDEX(tEditais[SRP],MATCH(tItens[[#This Row],[Edital]],tEditais[Edital],0)),"Não")</f>
        <v>Sim</v>
      </c>
      <c r="P9042" s="4">
        <f>IF(COUNTIFS(INDEX(tItens[Edital],1):tItens[[#This Row],[Edital]],tItens[[#This Row],[Edital]],INDEX(tItens[Produto],1):tItens[[#This Row],[Produto]],tItens[[#This Row],[Produto]])=1,1,0)</f>
        <v>0</v>
      </c>
    </row>
    <row r="9043" spans="1:16" x14ac:dyDescent="0.25">
      <c r="A9043" t="s">
        <v>3081</v>
      </c>
      <c r="B9043">
        <v>17</v>
      </c>
      <c r="C9043" t="s">
        <v>11387</v>
      </c>
      <c r="D9043" t="s">
        <v>315</v>
      </c>
      <c r="E9043" s="13">
        <v>1000</v>
      </c>
      <c r="F9043" s="12">
        <v>0</v>
      </c>
      <c r="G9043" t="str">
        <f>IFERROR(INDEX(tEditais[Órgão],MATCH(tItens[[#This Row],[Edital]],tEditais[Edital],0)),"")</f>
        <v>MUNICIPIO DE SANTA BARBARA D'OESTE</v>
      </c>
      <c r="H9043" t="str">
        <f>IFERROR(INDEX(tEditais[UF],MATCH(tItens[[#This Row],[Edital]],tEditais[Edital],0)),"")</f>
        <v>SP</v>
      </c>
      <c r="I9043" s="11">
        <f>IFERROR(INDEX(tEditais[Encerramento],MATCH(tItens[[#This Row],[Edital]],tEditais[Edital],0)),"")</f>
        <v>46311.374305555553</v>
      </c>
      <c r="J9043" t="str">
        <f>IFERROR(INDEX(tProdutos[Classe],MATCH(tItens[[#This Row],[Produto]],tProdutos[Produto],0)),"produto não cadastrado")</f>
        <v>FORA</v>
      </c>
      <c r="K9043" s="12">
        <f>tItens[[#This Row],[Qtd]]*tItens[[#This Row],[Vlr unit]]</f>
        <v>0</v>
      </c>
      <c r="L9043" s="6">
        <f>IFERROR(IF(INDEX(tProdutos[Desconto homologado],MATCH(tItens[[#This Row],[Produto]],tProdutos[Produto],0))="",DescontoPadrao,INDEX(tProdutos[Desconto homologado],MATCH(tItens[[#This Row],[Produto]],tProdutos[Produto],0))),DescontoPadrao)</f>
        <v>0.38432036097010702</v>
      </c>
      <c r="M9043" s="12">
        <f>tItens[[#This Row],[Valor]]*(1-tItens[[#This Row],[Desconto]])</f>
        <v>0</v>
      </c>
      <c r="N9043" t="str">
        <f>IFERROR(INDEX(tProdutos[Foco],MATCH(tItens[[#This Row],[Produto]],tProdutos[Produto],0)),"Não")</f>
        <v>Não</v>
      </c>
      <c r="O9043" t="str">
        <f>IFERROR(INDEX(tEditais[SRP],MATCH(tItens[[#This Row],[Edital]],tEditais[Edital],0)),"Não")</f>
        <v>Sim</v>
      </c>
      <c r="P9043" s="4">
        <f>IF(COUNTIFS(INDEX(tItens[Edital],1):tItens[[#This Row],[Edital]],tItens[[#This Row],[Edital]],INDEX(tItens[Produto],1):tItens[[#This Row],[Produto]],tItens[[#This Row],[Produto]])=1,1,0)</f>
        <v>1</v>
      </c>
    </row>
    <row r="9044" spans="1:16" x14ac:dyDescent="0.25">
      <c r="A9044" t="s">
        <v>3081</v>
      </c>
      <c r="B9044">
        <v>18</v>
      </c>
      <c r="C9044" t="s">
        <v>11388</v>
      </c>
      <c r="D9044" t="s">
        <v>315</v>
      </c>
      <c r="E9044" s="13">
        <v>1000</v>
      </c>
      <c r="F9044" s="12">
        <v>0</v>
      </c>
      <c r="G9044" t="str">
        <f>IFERROR(INDEX(tEditais[Órgão],MATCH(tItens[[#This Row],[Edital]],tEditais[Edital],0)),"")</f>
        <v>MUNICIPIO DE SANTA BARBARA D'OESTE</v>
      </c>
      <c r="H9044" t="str">
        <f>IFERROR(INDEX(tEditais[UF],MATCH(tItens[[#This Row],[Edital]],tEditais[Edital],0)),"")</f>
        <v>SP</v>
      </c>
      <c r="I9044" s="11">
        <f>IFERROR(INDEX(tEditais[Encerramento],MATCH(tItens[[#This Row],[Edital]],tEditais[Edital],0)),"")</f>
        <v>46311.374305555553</v>
      </c>
      <c r="J9044" t="str">
        <f>IFERROR(INDEX(tProdutos[Classe],MATCH(tItens[[#This Row],[Produto]],tProdutos[Produto],0)),"produto não cadastrado")</f>
        <v>FORA</v>
      </c>
      <c r="K9044" s="12">
        <f>tItens[[#This Row],[Qtd]]*tItens[[#This Row],[Vlr unit]]</f>
        <v>0</v>
      </c>
      <c r="L9044" s="6">
        <f>IFERROR(IF(INDEX(tProdutos[Desconto homologado],MATCH(tItens[[#This Row],[Produto]],tProdutos[Produto],0))="",DescontoPadrao,INDEX(tProdutos[Desconto homologado],MATCH(tItens[[#This Row],[Produto]],tProdutos[Produto],0))),DescontoPadrao)</f>
        <v>0.38432036097010702</v>
      </c>
      <c r="M9044" s="12">
        <f>tItens[[#This Row],[Valor]]*(1-tItens[[#This Row],[Desconto]])</f>
        <v>0</v>
      </c>
      <c r="N9044" t="str">
        <f>IFERROR(INDEX(tProdutos[Foco],MATCH(tItens[[#This Row],[Produto]],tProdutos[Produto],0)),"Não")</f>
        <v>Não</v>
      </c>
      <c r="O9044" t="str">
        <f>IFERROR(INDEX(tEditais[SRP],MATCH(tItens[[#This Row],[Edital]],tEditais[Edital],0)),"Não")</f>
        <v>Sim</v>
      </c>
      <c r="P9044" s="4">
        <f>IF(COUNTIFS(INDEX(tItens[Edital],1):tItens[[#This Row],[Edital]],tItens[[#This Row],[Edital]],INDEX(tItens[Produto],1):tItens[[#This Row],[Produto]],tItens[[#This Row],[Produto]])=1,1,0)</f>
        <v>0</v>
      </c>
    </row>
    <row r="9045" spans="1:16" x14ac:dyDescent="0.25">
      <c r="A9045" t="s">
        <v>3081</v>
      </c>
      <c r="B9045">
        <v>19</v>
      </c>
      <c r="C9045" t="s">
        <v>11389</v>
      </c>
      <c r="D9045" t="s">
        <v>315</v>
      </c>
      <c r="E9045" s="13">
        <v>500</v>
      </c>
      <c r="F9045" s="12">
        <v>0</v>
      </c>
      <c r="G9045" t="str">
        <f>IFERROR(INDEX(tEditais[Órgão],MATCH(tItens[[#This Row],[Edital]],tEditais[Edital],0)),"")</f>
        <v>MUNICIPIO DE SANTA BARBARA D'OESTE</v>
      </c>
      <c r="H9045" t="str">
        <f>IFERROR(INDEX(tEditais[UF],MATCH(tItens[[#This Row],[Edital]],tEditais[Edital],0)),"")</f>
        <v>SP</v>
      </c>
      <c r="I9045" s="11">
        <f>IFERROR(INDEX(tEditais[Encerramento],MATCH(tItens[[#This Row],[Edital]],tEditais[Edital],0)),"")</f>
        <v>46311.374305555553</v>
      </c>
      <c r="J9045" t="str">
        <f>IFERROR(INDEX(tProdutos[Classe],MATCH(tItens[[#This Row],[Produto]],tProdutos[Produto],0)),"produto não cadastrado")</f>
        <v>FORA</v>
      </c>
      <c r="K9045" s="12">
        <f>tItens[[#This Row],[Qtd]]*tItens[[#This Row],[Vlr unit]]</f>
        <v>0</v>
      </c>
      <c r="L9045" s="6">
        <f>IFERROR(IF(INDEX(tProdutos[Desconto homologado],MATCH(tItens[[#This Row],[Produto]],tProdutos[Produto],0))="",DescontoPadrao,INDEX(tProdutos[Desconto homologado],MATCH(tItens[[#This Row],[Produto]],tProdutos[Produto],0))),DescontoPadrao)</f>
        <v>0.38432036097010702</v>
      </c>
      <c r="M9045" s="12">
        <f>tItens[[#This Row],[Valor]]*(1-tItens[[#This Row],[Desconto]])</f>
        <v>0</v>
      </c>
      <c r="N9045" t="str">
        <f>IFERROR(INDEX(tProdutos[Foco],MATCH(tItens[[#This Row],[Produto]],tProdutos[Produto],0)),"Não")</f>
        <v>Não</v>
      </c>
      <c r="O9045" t="str">
        <f>IFERROR(INDEX(tEditais[SRP],MATCH(tItens[[#This Row],[Edital]],tEditais[Edital],0)),"Não")</f>
        <v>Sim</v>
      </c>
      <c r="P9045" s="4">
        <f>IF(COUNTIFS(INDEX(tItens[Edital],1):tItens[[#This Row],[Edital]],tItens[[#This Row],[Edital]],INDEX(tItens[Produto],1):tItens[[#This Row],[Produto]],tItens[[#This Row],[Produto]])=1,1,0)</f>
        <v>0</v>
      </c>
    </row>
    <row r="9046" spans="1:16" x14ac:dyDescent="0.25">
      <c r="A9046" t="s">
        <v>3081</v>
      </c>
      <c r="B9046">
        <v>21</v>
      </c>
      <c r="C9046" t="s">
        <v>11390</v>
      </c>
      <c r="D9046" t="s">
        <v>343</v>
      </c>
      <c r="E9046" s="13">
        <v>100</v>
      </c>
      <c r="F9046" s="12">
        <v>0</v>
      </c>
      <c r="G9046" t="str">
        <f>IFERROR(INDEX(tEditais[Órgão],MATCH(tItens[[#This Row],[Edital]],tEditais[Edital],0)),"")</f>
        <v>MUNICIPIO DE SANTA BARBARA D'OESTE</v>
      </c>
      <c r="H9046" t="str">
        <f>IFERROR(INDEX(tEditais[UF],MATCH(tItens[[#This Row],[Edital]],tEditais[Edital],0)),"")</f>
        <v>SP</v>
      </c>
      <c r="I9046" s="11">
        <f>IFERROR(INDEX(tEditais[Encerramento],MATCH(tItens[[#This Row],[Edital]],tEditais[Edital],0)),"")</f>
        <v>46311.374305555553</v>
      </c>
      <c r="J9046" t="str">
        <f>IFERROR(INDEX(tProdutos[Classe],MATCH(tItens[[#This Row],[Produto]],tProdutos[Produto],0)),"produto não cadastrado")</f>
        <v>FORA</v>
      </c>
      <c r="K9046" s="12">
        <f>tItens[[#This Row],[Qtd]]*tItens[[#This Row],[Vlr unit]]</f>
        <v>0</v>
      </c>
      <c r="L9046" s="6">
        <f>IFERROR(IF(INDEX(tProdutos[Desconto homologado],MATCH(tItens[[#This Row],[Produto]],tProdutos[Produto],0))="",DescontoPadrao,INDEX(tProdutos[Desconto homologado],MATCH(tItens[[#This Row],[Produto]],tProdutos[Produto],0))),DescontoPadrao)</f>
        <v>0.35412234042553198</v>
      </c>
      <c r="M9046" s="12">
        <f>tItens[[#This Row],[Valor]]*(1-tItens[[#This Row],[Desconto]])</f>
        <v>0</v>
      </c>
      <c r="N9046" t="str">
        <f>IFERROR(INDEX(tProdutos[Foco],MATCH(tItens[[#This Row],[Produto]],tProdutos[Produto],0)),"Não")</f>
        <v>Não</v>
      </c>
      <c r="O9046" t="str">
        <f>IFERROR(INDEX(tEditais[SRP],MATCH(tItens[[#This Row],[Edital]],tEditais[Edital],0)),"Não")</f>
        <v>Sim</v>
      </c>
      <c r="P9046" s="4">
        <f>IF(COUNTIFS(INDEX(tItens[Edital],1):tItens[[#This Row],[Edital]],tItens[[#This Row],[Edital]],INDEX(tItens[Produto],1):tItens[[#This Row],[Produto]],tItens[[#This Row],[Produto]])=1,1,0)</f>
        <v>1</v>
      </c>
    </row>
    <row r="9047" spans="1:16" x14ac:dyDescent="0.25">
      <c r="A9047" t="s">
        <v>3081</v>
      </c>
      <c r="B9047">
        <v>22</v>
      </c>
      <c r="C9047" t="s">
        <v>11391</v>
      </c>
      <c r="D9047" t="s">
        <v>343</v>
      </c>
      <c r="E9047" s="13">
        <v>100</v>
      </c>
      <c r="F9047" s="12">
        <v>0</v>
      </c>
      <c r="G9047" t="str">
        <f>IFERROR(INDEX(tEditais[Órgão],MATCH(tItens[[#This Row],[Edital]],tEditais[Edital],0)),"")</f>
        <v>MUNICIPIO DE SANTA BARBARA D'OESTE</v>
      </c>
      <c r="H9047" t="str">
        <f>IFERROR(INDEX(tEditais[UF],MATCH(tItens[[#This Row],[Edital]],tEditais[Edital],0)),"")</f>
        <v>SP</v>
      </c>
      <c r="I9047" s="11">
        <f>IFERROR(INDEX(tEditais[Encerramento],MATCH(tItens[[#This Row],[Edital]],tEditais[Edital],0)),"")</f>
        <v>46311.374305555553</v>
      </c>
      <c r="J9047" t="str">
        <f>IFERROR(INDEX(tProdutos[Classe],MATCH(tItens[[#This Row],[Produto]],tProdutos[Produto],0)),"produto não cadastrado")</f>
        <v>FORA</v>
      </c>
      <c r="K9047" s="12">
        <f>tItens[[#This Row],[Qtd]]*tItens[[#This Row],[Vlr unit]]</f>
        <v>0</v>
      </c>
      <c r="L9047" s="6">
        <f>IFERROR(IF(INDEX(tProdutos[Desconto homologado],MATCH(tItens[[#This Row],[Produto]],tProdutos[Produto],0))="",DescontoPadrao,INDEX(tProdutos[Desconto homologado],MATCH(tItens[[#This Row],[Produto]],tProdutos[Produto],0))),DescontoPadrao)</f>
        <v>0.35412234042553198</v>
      </c>
      <c r="M9047" s="12">
        <f>tItens[[#This Row],[Valor]]*(1-tItens[[#This Row],[Desconto]])</f>
        <v>0</v>
      </c>
      <c r="N9047" t="str">
        <f>IFERROR(INDEX(tProdutos[Foco],MATCH(tItens[[#This Row],[Produto]],tProdutos[Produto],0)),"Não")</f>
        <v>Não</v>
      </c>
      <c r="O9047" t="str">
        <f>IFERROR(INDEX(tEditais[SRP],MATCH(tItens[[#This Row],[Edital]],tEditais[Edital],0)),"Não")</f>
        <v>Sim</v>
      </c>
      <c r="P9047" s="4">
        <f>IF(COUNTIFS(INDEX(tItens[Edital],1):tItens[[#This Row],[Edital]],tItens[[#This Row],[Edital]],INDEX(tItens[Produto],1):tItens[[#This Row],[Produto]],tItens[[#This Row],[Produto]])=1,1,0)</f>
        <v>0</v>
      </c>
    </row>
    <row r="9048" spans="1:16" x14ac:dyDescent="0.25">
      <c r="A9048" t="s">
        <v>3081</v>
      </c>
      <c r="B9048">
        <v>23</v>
      </c>
      <c r="C9048" t="s">
        <v>11392</v>
      </c>
      <c r="D9048" t="s">
        <v>343</v>
      </c>
      <c r="E9048" s="13">
        <v>100</v>
      </c>
      <c r="F9048" s="12">
        <v>0</v>
      </c>
      <c r="G9048" t="str">
        <f>IFERROR(INDEX(tEditais[Órgão],MATCH(tItens[[#This Row],[Edital]],tEditais[Edital],0)),"")</f>
        <v>MUNICIPIO DE SANTA BARBARA D'OESTE</v>
      </c>
      <c r="H9048" t="str">
        <f>IFERROR(INDEX(tEditais[UF],MATCH(tItens[[#This Row],[Edital]],tEditais[Edital],0)),"")</f>
        <v>SP</v>
      </c>
      <c r="I9048" s="11">
        <f>IFERROR(INDEX(tEditais[Encerramento],MATCH(tItens[[#This Row],[Edital]],tEditais[Edital],0)),"")</f>
        <v>46311.374305555553</v>
      </c>
      <c r="J9048" t="str">
        <f>IFERROR(INDEX(tProdutos[Classe],MATCH(tItens[[#This Row],[Produto]],tProdutos[Produto],0)),"produto não cadastrado")</f>
        <v>FORA</v>
      </c>
      <c r="K9048" s="12">
        <f>tItens[[#This Row],[Qtd]]*tItens[[#This Row],[Vlr unit]]</f>
        <v>0</v>
      </c>
      <c r="L9048" s="6">
        <f>IFERROR(IF(INDEX(tProdutos[Desconto homologado],MATCH(tItens[[#This Row],[Produto]],tProdutos[Produto],0))="",DescontoPadrao,INDEX(tProdutos[Desconto homologado],MATCH(tItens[[#This Row],[Produto]],tProdutos[Produto],0))),DescontoPadrao)</f>
        <v>0.35412234042553198</v>
      </c>
      <c r="M9048" s="12">
        <f>tItens[[#This Row],[Valor]]*(1-tItens[[#This Row],[Desconto]])</f>
        <v>0</v>
      </c>
      <c r="N9048" t="str">
        <f>IFERROR(INDEX(tProdutos[Foco],MATCH(tItens[[#This Row],[Produto]],tProdutos[Produto],0)),"Não")</f>
        <v>Não</v>
      </c>
      <c r="O9048" t="str">
        <f>IFERROR(INDEX(tEditais[SRP],MATCH(tItens[[#This Row],[Edital]],tEditais[Edital],0)),"Não")</f>
        <v>Sim</v>
      </c>
      <c r="P9048" s="4">
        <f>IF(COUNTIFS(INDEX(tItens[Edital],1):tItens[[#This Row],[Edital]],tItens[[#This Row],[Edital]],INDEX(tItens[Produto],1):tItens[[#This Row],[Produto]],tItens[[#This Row],[Produto]])=1,1,0)</f>
        <v>0</v>
      </c>
    </row>
    <row r="9049" spans="1:16" x14ac:dyDescent="0.25">
      <c r="A9049" t="s">
        <v>3081</v>
      </c>
      <c r="B9049">
        <v>24</v>
      </c>
      <c r="C9049" t="s">
        <v>11393</v>
      </c>
      <c r="D9049" t="s">
        <v>343</v>
      </c>
      <c r="E9049" s="13">
        <v>100</v>
      </c>
      <c r="F9049" s="12">
        <v>0</v>
      </c>
      <c r="G9049" t="str">
        <f>IFERROR(INDEX(tEditais[Órgão],MATCH(tItens[[#This Row],[Edital]],tEditais[Edital],0)),"")</f>
        <v>MUNICIPIO DE SANTA BARBARA D'OESTE</v>
      </c>
      <c r="H9049" t="str">
        <f>IFERROR(INDEX(tEditais[UF],MATCH(tItens[[#This Row],[Edital]],tEditais[Edital],0)),"")</f>
        <v>SP</v>
      </c>
      <c r="I9049" s="11">
        <f>IFERROR(INDEX(tEditais[Encerramento],MATCH(tItens[[#This Row],[Edital]],tEditais[Edital],0)),"")</f>
        <v>46311.374305555553</v>
      </c>
      <c r="J9049" t="str">
        <f>IFERROR(INDEX(tProdutos[Classe],MATCH(tItens[[#This Row],[Produto]],tProdutos[Produto],0)),"produto não cadastrado")</f>
        <v>FORA</v>
      </c>
      <c r="K9049" s="12">
        <f>tItens[[#This Row],[Qtd]]*tItens[[#This Row],[Vlr unit]]</f>
        <v>0</v>
      </c>
      <c r="L9049" s="6">
        <f>IFERROR(IF(INDEX(tProdutos[Desconto homologado],MATCH(tItens[[#This Row],[Produto]],tProdutos[Produto],0))="",DescontoPadrao,INDEX(tProdutos[Desconto homologado],MATCH(tItens[[#This Row],[Produto]],tProdutos[Produto],0))),DescontoPadrao)</f>
        <v>0.35412234042553198</v>
      </c>
      <c r="M9049" s="12">
        <f>tItens[[#This Row],[Valor]]*(1-tItens[[#This Row],[Desconto]])</f>
        <v>0</v>
      </c>
      <c r="N9049" t="str">
        <f>IFERROR(INDEX(tProdutos[Foco],MATCH(tItens[[#This Row],[Produto]],tProdutos[Produto],0)),"Não")</f>
        <v>Não</v>
      </c>
      <c r="O9049" t="str">
        <f>IFERROR(INDEX(tEditais[SRP],MATCH(tItens[[#This Row],[Edital]],tEditais[Edital],0)),"Não")</f>
        <v>Sim</v>
      </c>
      <c r="P9049" s="4">
        <f>IF(COUNTIFS(INDEX(tItens[Edital],1):tItens[[#This Row],[Edital]],tItens[[#This Row],[Edital]],INDEX(tItens[Produto],1):tItens[[#This Row],[Produto]],tItens[[#This Row],[Produto]])=1,1,0)</f>
        <v>0</v>
      </c>
    </row>
    <row r="9050" spans="1:16" x14ac:dyDescent="0.25">
      <c r="A9050" t="s">
        <v>3081</v>
      </c>
      <c r="B9050">
        <v>28</v>
      </c>
      <c r="C9050" t="s">
        <v>11394</v>
      </c>
      <c r="D9050" t="s">
        <v>379</v>
      </c>
      <c r="E9050" s="13">
        <v>500</v>
      </c>
      <c r="F9050" s="12">
        <v>0</v>
      </c>
      <c r="G9050" t="str">
        <f>IFERROR(INDEX(tEditais[Órgão],MATCH(tItens[[#This Row],[Edital]],tEditais[Edital],0)),"")</f>
        <v>MUNICIPIO DE SANTA BARBARA D'OESTE</v>
      </c>
      <c r="H9050" t="str">
        <f>IFERROR(INDEX(tEditais[UF],MATCH(tItens[[#This Row],[Edital]],tEditais[Edital],0)),"")</f>
        <v>SP</v>
      </c>
      <c r="I9050" s="11">
        <f>IFERROR(INDEX(tEditais[Encerramento],MATCH(tItens[[#This Row],[Edital]],tEditais[Edital],0)),"")</f>
        <v>46311.374305555553</v>
      </c>
      <c r="J9050" t="str">
        <f>IFERROR(INDEX(tProdutos[Classe],MATCH(tItens[[#This Row],[Produto]],tProdutos[Produto],0)),"produto não cadastrado")</f>
        <v>FORA</v>
      </c>
      <c r="K9050" s="12">
        <f>tItens[[#This Row],[Qtd]]*tItens[[#This Row],[Vlr unit]]</f>
        <v>0</v>
      </c>
      <c r="L9050" s="6">
        <f>IFERROR(IF(INDEX(tProdutos[Desconto homologado],MATCH(tItens[[#This Row],[Produto]],tProdutos[Produto],0))="",DescontoPadrao,INDEX(tProdutos[Desconto homologado],MATCH(tItens[[#This Row],[Produto]],tProdutos[Produto],0))),DescontoPadrao)</f>
        <v>0.49504950495049499</v>
      </c>
      <c r="M9050" s="12">
        <f>tItens[[#This Row],[Valor]]*(1-tItens[[#This Row],[Desconto]])</f>
        <v>0</v>
      </c>
      <c r="N9050" t="str">
        <f>IFERROR(INDEX(tProdutos[Foco],MATCH(tItens[[#This Row],[Produto]],tProdutos[Produto],0)),"Não")</f>
        <v>Não</v>
      </c>
      <c r="O9050" t="str">
        <f>IFERROR(INDEX(tEditais[SRP],MATCH(tItens[[#This Row],[Edital]],tEditais[Edital],0)),"Não")</f>
        <v>Sim</v>
      </c>
      <c r="P9050" s="4">
        <f>IF(COUNTIFS(INDEX(tItens[Edital],1):tItens[[#This Row],[Edital]],tItens[[#This Row],[Edital]],INDEX(tItens[Produto],1):tItens[[#This Row],[Produto]],tItens[[#This Row],[Produto]])=1,1,0)</f>
        <v>1</v>
      </c>
    </row>
    <row r="9051" spans="1:16" x14ac:dyDescent="0.25">
      <c r="A9051" t="s">
        <v>3081</v>
      </c>
      <c r="B9051">
        <v>29</v>
      </c>
      <c r="C9051" t="s">
        <v>11395</v>
      </c>
      <c r="D9051" t="s">
        <v>247</v>
      </c>
      <c r="E9051" s="13">
        <v>2200</v>
      </c>
      <c r="F9051" s="12">
        <v>0</v>
      </c>
      <c r="G9051" t="str">
        <f>IFERROR(INDEX(tEditais[Órgão],MATCH(tItens[[#This Row],[Edital]],tEditais[Edital],0)),"")</f>
        <v>MUNICIPIO DE SANTA BARBARA D'OESTE</v>
      </c>
      <c r="H9051" t="str">
        <f>IFERROR(INDEX(tEditais[UF],MATCH(tItens[[#This Row],[Edital]],tEditais[Edital],0)),"")</f>
        <v>SP</v>
      </c>
      <c r="I9051" s="11">
        <f>IFERROR(INDEX(tEditais[Encerramento],MATCH(tItens[[#This Row],[Edital]],tEditais[Edital],0)),"")</f>
        <v>46311.374305555553</v>
      </c>
      <c r="J9051" t="str">
        <f>IFERROR(INDEX(tProdutos[Classe],MATCH(tItens[[#This Row],[Produto]],tProdutos[Produto],0)),"produto não cadastrado")</f>
        <v>FORA</v>
      </c>
      <c r="K9051" s="12">
        <f>tItens[[#This Row],[Qtd]]*tItens[[#This Row],[Vlr unit]]</f>
        <v>0</v>
      </c>
      <c r="L9051" s="6">
        <f>IFERROR(IF(INDEX(tProdutos[Desconto homologado],MATCH(tItens[[#This Row],[Produto]],tProdutos[Produto],0))="",DescontoPadrao,INDEX(tProdutos[Desconto homologado],MATCH(tItens[[#This Row],[Produto]],tProdutos[Produto],0))),DescontoPadrao)</f>
        <v>0.27353256199762999</v>
      </c>
      <c r="M9051" s="12">
        <f>tItens[[#This Row],[Valor]]*(1-tItens[[#This Row],[Desconto]])</f>
        <v>0</v>
      </c>
      <c r="N9051" t="str">
        <f>IFERROR(INDEX(tProdutos[Foco],MATCH(tItens[[#This Row],[Produto]],tProdutos[Produto],0)),"Não")</f>
        <v>Não</v>
      </c>
      <c r="O9051" t="str">
        <f>IFERROR(INDEX(tEditais[SRP],MATCH(tItens[[#This Row],[Edital]],tEditais[Edital],0)),"Não")</f>
        <v>Sim</v>
      </c>
      <c r="P9051" s="4">
        <f>IF(COUNTIFS(INDEX(tItens[Edital],1):tItens[[#This Row],[Edital]],tItens[[#This Row],[Edital]],INDEX(tItens[Produto],1):tItens[[#This Row],[Produto]],tItens[[#This Row],[Produto]])=1,1,0)</f>
        <v>1</v>
      </c>
    </row>
    <row r="9052" spans="1:16" x14ac:dyDescent="0.25">
      <c r="A9052" t="s">
        <v>3081</v>
      </c>
      <c r="B9052">
        <v>30</v>
      </c>
      <c r="C9052" t="s">
        <v>11396</v>
      </c>
      <c r="D9052" t="s">
        <v>287</v>
      </c>
      <c r="E9052" s="13">
        <v>2500</v>
      </c>
      <c r="F9052" s="12">
        <v>0</v>
      </c>
      <c r="G9052" t="str">
        <f>IFERROR(INDEX(tEditais[Órgão],MATCH(tItens[[#This Row],[Edital]],tEditais[Edital],0)),"")</f>
        <v>MUNICIPIO DE SANTA BARBARA D'OESTE</v>
      </c>
      <c r="H9052" t="str">
        <f>IFERROR(INDEX(tEditais[UF],MATCH(tItens[[#This Row],[Edital]],tEditais[Edital],0)),"")</f>
        <v>SP</v>
      </c>
      <c r="I9052" s="11">
        <f>IFERROR(INDEX(tEditais[Encerramento],MATCH(tItens[[#This Row],[Edital]],tEditais[Edital],0)),"")</f>
        <v>46311.374305555553</v>
      </c>
      <c r="J9052" t="str">
        <f>IFERROR(INDEX(tProdutos[Classe],MATCH(tItens[[#This Row],[Produto]],tProdutos[Produto],0)),"produto não cadastrado")</f>
        <v>FORA</v>
      </c>
      <c r="K9052" s="12">
        <f>tItens[[#This Row],[Qtd]]*tItens[[#This Row],[Vlr unit]]</f>
        <v>0</v>
      </c>
      <c r="L9052" s="6">
        <f>IFERROR(IF(INDEX(tProdutos[Desconto homologado],MATCH(tItens[[#This Row],[Produto]],tProdutos[Produto],0))="",DescontoPadrao,INDEX(tProdutos[Desconto homologado],MATCH(tItens[[#This Row],[Produto]],tProdutos[Produto],0))),DescontoPadrao)</f>
        <v>0.46344491178876002</v>
      </c>
      <c r="M9052" s="12">
        <f>tItens[[#This Row],[Valor]]*(1-tItens[[#This Row],[Desconto]])</f>
        <v>0</v>
      </c>
      <c r="N9052" t="str">
        <f>IFERROR(INDEX(tProdutos[Foco],MATCH(tItens[[#This Row],[Produto]],tProdutos[Produto],0)),"Não")</f>
        <v>Não</v>
      </c>
      <c r="O9052" t="str">
        <f>IFERROR(INDEX(tEditais[SRP],MATCH(tItens[[#This Row],[Edital]],tEditais[Edital],0)),"Não")</f>
        <v>Sim</v>
      </c>
      <c r="P9052" s="4">
        <f>IF(COUNTIFS(INDEX(tItens[Edital],1):tItens[[#This Row],[Edital]],tItens[[#This Row],[Edital]],INDEX(tItens[Produto],1):tItens[[#This Row],[Produto]],tItens[[#This Row],[Produto]])=1,1,0)</f>
        <v>1</v>
      </c>
    </row>
    <row r="9053" spans="1:16" x14ac:dyDescent="0.25">
      <c r="A9053" t="s">
        <v>3081</v>
      </c>
      <c r="B9053">
        <v>31</v>
      </c>
      <c r="C9053" t="s">
        <v>11397</v>
      </c>
      <c r="D9053" t="s">
        <v>311</v>
      </c>
      <c r="E9053" s="13">
        <v>20</v>
      </c>
      <c r="F9053" s="12">
        <v>0</v>
      </c>
      <c r="G9053" t="str">
        <f>IFERROR(INDEX(tEditais[Órgão],MATCH(tItens[[#This Row],[Edital]],tEditais[Edital],0)),"")</f>
        <v>MUNICIPIO DE SANTA BARBARA D'OESTE</v>
      </c>
      <c r="H9053" t="str">
        <f>IFERROR(INDEX(tEditais[UF],MATCH(tItens[[#This Row],[Edital]],tEditais[Edital],0)),"")</f>
        <v>SP</v>
      </c>
      <c r="I9053" s="11">
        <f>IFERROR(INDEX(tEditais[Encerramento],MATCH(tItens[[#This Row],[Edital]],tEditais[Edital],0)),"")</f>
        <v>46311.374305555553</v>
      </c>
      <c r="J9053" t="str">
        <f>IFERROR(INDEX(tProdutos[Classe],MATCH(tItens[[#This Row],[Produto]],tProdutos[Produto],0)),"produto não cadastrado")</f>
        <v>FORA</v>
      </c>
      <c r="K9053" s="12">
        <f>tItens[[#This Row],[Qtd]]*tItens[[#This Row],[Vlr unit]]</f>
        <v>0</v>
      </c>
      <c r="L9053" s="6">
        <f>IFERROR(IF(INDEX(tProdutos[Desconto homologado],MATCH(tItens[[#This Row],[Produto]],tProdutos[Produto],0))="",DescontoPadrao,INDEX(tProdutos[Desconto homologado],MATCH(tItens[[#This Row],[Produto]],tProdutos[Produto],0))),DescontoPadrao)</f>
        <v>0.29046182846371399</v>
      </c>
      <c r="M9053" s="12">
        <f>tItens[[#This Row],[Valor]]*(1-tItens[[#This Row],[Desconto]])</f>
        <v>0</v>
      </c>
      <c r="N9053" t="str">
        <f>IFERROR(INDEX(tProdutos[Foco],MATCH(tItens[[#This Row],[Produto]],tProdutos[Produto],0)),"Não")</f>
        <v>Não</v>
      </c>
      <c r="O9053" t="str">
        <f>IFERROR(INDEX(tEditais[SRP],MATCH(tItens[[#This Row],[Edital]],tEditais[Edital],0)),"Não")</f>
        <v>Sim</v>
      </c>
      <c r="P9053" s="4">
        <f>IF(COUNTIFS(INDEX(tItens[Edital],1):tItens[[#This Row],[Edital]],tItens[[#This Row],[Edital]],INDEX(tItens[Produto],1):tItens[[#This Row],[Produto]],tItens[[#This Row],[Produto]])=1,1,0)</f>
        <v>1</v>
      </c>
    </row>
    <row r="9054" spans="1:16" x14ac:dyDescent="0.25">
      <c r="A9054" t="s">
        <v>3081</v>
      </c>
      <c r="B9054">
        <v>32</v>
      </c>
      <c r="C9054" t="s">
        <v>11398</v>
      </c>
      <c r="D9054" t="s">
        <v>333</v>
      </c>
      <c r="E9054" s="13">
        <v>2000</v>
      </c>
      <c r="F9054" s="12">
        <v>0</v>
      </c>
      <c r="G9054" t="str">
        <f>IFERROR(INDEX(tEditais[Órgão],MATCH(tItens[[#This Row],[Edital]],tEditais[Edital],0)),"")</f>
        <v>MUNICIPIO DE SANTA BARBARA D'OESTE</v>
      </c>
      <c r="H9054" t="str">
        <f>IFERROR(INDEX(tEditais[UF],MATCH(tItens[[#This Row],[Edital]],tEditais[Edital],0)),"")</f>
        <v>SP</v>
      </c>
      <c r="I9054" s="11">
        <f>IFERROR(INDEX(tEditais[Encerramento],MATCH(tItens[[#This Row],[Edital]],tEditais[Edital],0)),"")</f>
        <v>46311.374305555553</v>
      </c>
      <c r="J9054" t="str">
        <f>IFERROR(INDEX(tProdutos[Classe],MATCH(tItens[[#This Row],[Produto]],tProdutos[Produto],0)),"produto não cadastrado")</f>
        <v>FORA</v>
      </c>
      <c r="K9054" s="12">
        <f>tItens[[#This Row],[Qtd]]*tItens[[#This Row],[Vlr unit]]</f>
        <v>0</v>
      </c>
      <c r="L9054" s="6">
        <f>IFERROR(IF(INDEX(tProdutos[Desconto homologado],MATCH(tItens[[#This Row],[Produto]],tProdutos[Produto],0))="",DescontoPadrao,INDEX(tProdutos[Desconto homologado],MATCH(tItens[[#This Row],[Produto]],tProdutos[Produto],0))),DescontoPadrao)</f>
        <v>0.48951048951048998</v>
      </c>
      <c r="M9054" s="12">
        <f>tItens[[#This Row],[Valor]]*(1-tItens[[#This Row],[Desconto]])</f>
        <v>0</v>
      </c>
      <c r="N9054" t="str">
        <f>IFERROR(INDEX(tProdutos[Foco],MATCH(tItens[[#This Row],[Produto]],tProdutos[Produto],0)),"Não")</f>
        <v>Não</v>
      </c>
      <c r="O9054" t="str">
        <f>IFERROR(INDEX(tEditais[SRP],MATCH(tItens[[#This Row],[Edital]],tEditais[Edital],0)),"Não")</f>
        <v>Sim</v>
      </c>
      <c r="P9054" s="4">
        <f>IF(COUNTIFS(INDEX(tItens[Edital],1):tItens[[#This Row],[Edital]],tItens[[#This Row],[Edital]],INDEX(tItens[Produto],1):tItens[[#This Row],[Produto]],tItens[[#This Row],[Produto]])=1,1,0)</f>
        <v>1</v>
      </c>
    </row>
    <row r="9055" spans="1:16" x14ac:dyDescent="0.25">
      <c r="A9055" t="s">
        <v>3081</v>
      </c>
      <c r="B9055">
        <v>33</v>
      </c>
      <c r="C9055" t="s">
        <v>11399</v>
      </c>
      <c r="D9055" t="s">
        <v>187</v>
      </c>
      <c r="E9055" s="13">
        <v>500</v>
      </c>
      <c r="F9055" s="12">
        <v>0</v>
      </c>
      <c r="G9055" t="str">
        <f>IFERROR(INDEX(tEditais[Órgão],MATCH(tItens[[#This Row],[Edital]],tEditais[Edital],0)),"")</f>
        <v>MUNICIPIO DE SANTA BARBARA D'OESTE</v>
      </c>
      <c r="H9055" t="str">
        <f>IFERROR(INDEX(tEditais[UF],MATCH(tItens[[#This Row],[Edital]],tEditais[Edital],0)),"")</f>
        <v>SP</v>
      </c>
      <c r="I9055" s="11">
        <f>IFERROR(INDEX(tEditais[Encerramento],MATCH(tItens[[#This Row],[Edital]],tEditais[Edital],0)),"")</f>
        <v>46311.374305555553</v>
      </c>
      <c r="J9055" t="str">
        <f>IFERROR(INDEX(tProdutos[Classe],MATCH(tItens[[#This Row],[Produto]],tProdutos[Produto],0)),"produto não cadastrado")</f>
        <v>DISPUTADO</v>
      </c>
      <c r="K9055" s="12">
        <f>tItens[[#This Row],[Qtd]]*tItens[[#This Row],[Vlr unit]]</f>
        <v>0</v>
      </c>
      <c r="L9055" s="6">
        <f>IFERROR(IF(INDEX(tProdutos[Desconto homologado],MATCH(tItens[[#This Row],[Produto]],tProdutos[Produto],0))="",DescontoPadrao,INDEX(tProdutos[Desconto homologado],MATCH(tItens[[#This Row],[Produto]],tProdutos[Produto],0))),DescontoPadrao)</f>
        <v>0.44298820445609399</v>
      </c>
      <c r="M9055" s="12">
        <f>tItens[[#This Row],[Valor]]*(1-tItens[[#This Row],[Desconto]])</f>
        <v>0</v>
      </c>
      <c r="N9055" t="str">
        <f>IFERROR(INDEX(tProdutos[Foco],MATCH(tItens[[#This Row],[Produto]],tProdutos[Produto],0)),"Não")</f>
        <v>Não</v>
      </c>
      <c r="O9055" t="str">
        <f>IFERROR(INDEX(tEditais[SRP],MATCH(tItens[[#This Row],[Edital]],tEditais[Edital],0)),"Não")</f>
        <v>Sim</v>
      </c>
      <c r="P9055" s="4">
        <f>IF(COUNTIFS(INDEX(tItens[Edital],1):tItens[[#This Row],[Edital]],tItens[[#This Row],[Edital]],INDEX(tItens[Produto],1):tItens[[#This Row],[Produto]],tItens[[#This Row],[Produto]])=1,1,0)</f>
        <v>1</v>
      </c>
    </row>
    <row r="9056" spans="1:16" x14ac:dyDescent="0.25">
      <c r="A9056" t="s">
        <v>3081</v>
      </c>
      <c r="B9056">
        <v>35</v>
      </c>
      <c r="C9056" t="s">
        <v>11400</v>
      </c>
      <c r="D9056" t="s">
        <v>56</v>
      </c>
      <c r="E9056" s="13">
        <v>200</v>
      </c>
      <c r="F9056" s="12">
        <v>0</v>
      </c>
      <c r="G9056" t="str">
        <f>IFERROR(INDEX(tEditais[Órgão],MATCH(tItens[[#This Row],[Edital]],tEditais[Edital],0)),"")</f>
        <v>MUNICIPIO DE SANTA BARBARA D'OESTE</v>
      </c>
      <c r="H9056" t="str">
        <f>IFERROR(INDEX(tEditais[UF],MATCH(tItens[[#This Row],[Edital]],tEditais[Edital],0)),"")</f>
        <v>SP</v>
      </c>
      <c r="I9056" s="11">
        <f>IFERROR(INDEX(tEditais[Encerramento],MATCH(tItens[[#This Row],[Edital]],tEditais[Edital],0)),"")</f>
        <v>46311.374305555553</v>
      </c>
      <c r="J9056" t="str">
        <f>IFERROR(INDEX(tProdutos[Classe],MATCH(tItens[[#This Row],[Produto]],tProdutos[Produto],0)),"produto não cadastrado")</f>
        <v>NÚCLEO</v>
      </c>
      <c r="K9056" s="12">
        <f>tItens[[#This Row],[Qtd]]*tItens[[#This Row],[Vlr unit]]</f>
        <v>0</v>
      </c>
      <c r="L9056" s="6">
        <f>IFERROR(IF(INDEX(tProdutos[Desconto homologado],MATCH(tItens[[#This Row],[Produto]],tProdutos[Produto],0))="",DescontoPadrao,INDEX(tProdutos[Desconto homologado],MATCH(tItens[[#This Row],[Produto]],tProdutos[Produto],0))),DescontoPadrao)</f>
        <v>0.34</v>
      </c>
      <c r="M9056" s="12">
        <f>tItens[[#This Row],[Valor]]*(1-tItens[[#This Row],[Desconto]])</f>
        <v>0</v>
      </c>
      <c r="N9056" t="str">
        <f>IFERROR(INDEX(tProdutos[Foco],MATCH(tItens[[#This Row],[Produto]],tProdutos[Produto],0)),"Não")</f>
        <v>Sim</v>
      </c>
      <c r="O9056" t="str">
        <f>IFERROR(INDEX(tEditais[SRP],MATCH(tItens[[#This Row],[Edital]],tEditais[Edital],0)),"Não")</f>
        <v>Sim</v>
      </c>
      <c r="P9056" s="4">
        <f>IF(COUNTIFS(INDEX(tItens[Edital],1):tItens[[#This Row],[Edital]],tItens[[#This Row],[Edital]],INDEX(tItens[Produto],1):tItens[[#This Row],[Produto]],tItens[[#This Row],[Produto]])=1,1,0)</f>
        <v>1</v>
      </c>
    </row>
    <row r="9057" spans="1:16" x14ac:dyDescent="0.25">
      <c r="A9057" t="s">
        <v>3081</v>
      </c>
      <c r="B9057">
        <v>37</v>
      </c>
      <c r="C9057" t="s">
        <v>11401</v>
      </c>
      <c r="D9057" t="s">
        <v>385</v>
      </c>
      <c r="E9057" s="13">
        <v>2000</v>
      </c>
      <c r="F9057" s="12">
        <v>0</v>
      </c>
      <c r="G9057" t="str">
        <f>IFERROR(INDEX(tEditais[Órgão],MATCH(tItens[[#This Row],[Edital]],tEditais[Edital],0)),"")</f>
        <v>MUNICIPIO DE SANTA BARBARA D'OESTE</v>
      </c>
      <c r="H9057" t="str">
        <f>IFERROR(INDEX(tEditais[UF],MATCH(tItens[[#This Row],[Edital]],tEditais[Edital],0)),"")</f>
        <v>SP</v>
      </c>
      <c r="I9057" s="11">
        <f>IFERROR(INDEX(tEditais[Encerramento],MATCH(tItens[[#This Row],[Edital]],tEditais[Edital],0)),"")</f>
        <v>46311.374305555553</v>
      </c>
      <c r="J9057" t="str">
        <f>IFERROR(INDEX(tProdutos[Classe],MATCH(tItens[[#This Row],[Produto]],tProdutos[Produto],0)),"produto não cadastrado")</f>
        <v>FORA</v>
      </c>
      <c r="K9057" s="12">
        <f>tItens[[#This Row],[Qtd]]*tItens[[#This Row],[Vlr unit]]</f>
        <v>0</v>
      </c>
      <c r="L9057" s="6">
        <f>IFERROR(IF(INDEX(tProdutos[Desconto homologado],MATCH(tItens[[#This Row],[Produto]],tProdutos[Produto],0))="",DescontoPadrao,INDEX(tProdutos[Desconto homologado],MATCH(tItens[[#This Row],[Produto]],tProdutos[Produto],0))),DescontoPadrao)</f>
        <v>0.46969696969697</v>
      </c>
      <c r="M9057" s="12">
        <f>tItens[[#This Row],[Valor]]*(1-tItens[[#This Row],[Desconto]])</f>
        <v>0</v>
      </c>
      <c r="N9057" t="str">
        <f>IFERROR(INDEX(tProdutos[Foco],MATCH(tItens[[#This Row],[Produto]],tProdutos[Produto],0)),"Não")</f>
        <v>Não</v>
      </c>
      <c r="O9057" t="str">
        <f>IFERROR(INDEX(tEditais[SRP],MATCH(tItens[[#This Row],[Edital]],tEditais[Edital],0)),"Não")</f>
        <v>Sim</v>
      </c>
      <c r="P9057" s="4">
        <f>IF(COUNTIFS(INDEX(tItens[Edital],1):tItens[[#This Row],[Edital]],tItens[[#This Row],[Edital]],INDEX(tItens[Produto],1):tItens[[#This Row],[Produto]],tItens[[#This Row],[Produto]])=1,1,0)</f>
        <v>1</v>
      </c>
    </row>
    <row r="9058" spans="1:16" x14ac:dyDescent="0.25">
      <c r="A9058" t="s">
        <v>3081</v>
      </c>
      <c r="B9058">
        <v>39</v>
      </c>
      <c r="C9058" t="s">
        <v>11402</v>
      </c>
      <c r="D9058" t="s">
        <v>283</v>
      </c>
      <c r="E9058" s="13">
        <v>30000</v>
      </c>
      <c r="F9058" s="12">
        <v>0</v>
      </c>
      <c r="G9058" t="str">
        <f>IFERROR(INDEX(tEditais[Órgão],MATCH(tItens[[#This Row],[Edital]],tEditais[Edital],0)),"")</f>
        <v>MUNICIPIO DE SANTA BARBARA D'OESTE</v>
      </c>
      <c r="H9058" t="str">
        <f>IFERROR(INDEX(tEditais[UF],MATCH(tItens[[#This Row],[Edital]],tEditais[Edital],0)),"")</f>
        <v>SP</v>
      </c>
      <c r="I9058" s="11">
        <f>IFERROR(INDEX(tEditais[Encerramento],MATCH(tItens[[#This Row],[Edital]],tEditais[Edital],0)),"")</f>
        <v>46311.374305555553</v>
      </c>
      <c r="J9058" t="str">
        <f>IFERROR(INDEX(tProdutos[Classe],MATCH(tItens[[#This Row],[Produto]],tProdutos[Produto],0)),"produto não cadastrado")</f>
        <v>FORA</v>
      </c>
      <c r="K9058" s="12">
        <f>tItens[[#This Row],[Qtd]]*tItens[[#This Row],[Vlr unit]]</f>
        <v>0</v>
      </c>
      <c r="L9058" s="6">
        <f>IFERROR(IF(INDEX(tProdutos[Desconto homologado],MATCH(tItens[[#This Row],[Produto]],tProdutos[Produto],0))="",DescontoPadrao,INDEX(tProdutos[Desconto homologado],MATCH(tItens[[#This Row],[Produto]],tProdutos[Produto],0))),DescontoPadrao)</f>
        <v>0.40540540540540498</v>
      </c>
      <c r="M9058" s="12">
        <f>tItens[[#This Row],[Valor]]*(1-tItens[[#This Row],[Desconto]])</f>
        <v>0</v>
      </c>
      <c r="N9058" t="str">
        <f>IFERROR(INDEX(tProdutos[Foco],MATCH(tItens[[#This Row],[Produto]],tProdutos[Produto],0)),"Não")</f>
        <v>Não</v>
      </c>
      <c r="O9058" t="str">
        <f>IFERROR(INDEX(tEditais[SRP],MATCH(tItens[[#This Row],[Edital]],tEditais[Edital],0)),"Não")</f>
        <v>Sim</v>
      </c>
      <c r="P9058" s="4">
        <f>IF(COUNTIFS(INDEX(tItens[Edital],1):tItens[[#This Row],[Edital]],tItens[[#This Row],[Edital]],INDEX(tItens[Produto],1):tItens[[#This Row],[Produto]],tItens[[#This Row],[Produto]])=1,1,0)</f>
        <v>1</v>
      </c>
    </row>
    <row r="9059" spans="1:16" x14ac:dyDescent="0.25">
      <c r="A9059" t="s">
        <v>3081</v>
      </c>
      <c r="B9059">
        <v>40</v>
      </c>
      <c r="C9059" t="s">
        <v>11403</v>
      </c>
      <c r="D9059" t="s">
        <v>265</v>
      </c>
      <c r="E9059" s="13">
        <v>10000</v>
      </c>
      <c r="F9059" s="12">
        <v>0</v>
      </c>
      <c r="G9059" t="str">
        <f>IFERROR(INDEX(tEditais[Órgão],MATCH(tItens[[#This Row],[Edital]],tEditais[Edital],0)),"")</f>
        <v>MUNICIPIO DE SANTA BARBARA D'OESTE</v>
      </c>
      <c r="H9059" t="str">
        <f>IFERROR(INDEX(tEditais[UF],MATCH(tItens[[#This Row],[Edital]],tEditais[Edital],0)),"")</f>
        <v>SP</v>
      </c>
      <c r="I9059" s="11">
        <f>IFERROR(INDEX(tEditais[Encerramento],MATCH(tItens[[#This Row],[Edital]],tEditais[Edital],0)),"")</f>
        <v>46311.374305555553</v>
      </c>
      <c r="J9059" t="str">
        <f>IFERROR(INDEX(tProdutos[Classe],MATCH(tItens[[#This Row],[Produto]],tProdutos[Produto],0)),"produto não cadastrado")</f>
        <v>DISPUTADO</v>
      </c>
      <c r="K9059" s="12">
        <f>tItens[[#This Row],[Qtd]]*tItens[[#This Row],[Vlr unit]]</f>
        <v>0</v>
      </c>
      <c r="L9059" s="6">
        <f>IFERROR(IF(INDEX(tProdutos[Desconto homologado],MATCH(tItens[[#This Row],[Produto]],tProdutos[Produto],0))="",DescontoPadrao,INDEX(tProdutos[Desconto homologado],MATCH(tItens[[#This Row],[Produto]],tProdutos[Produto],0))),DescontoPadrao)</f>
        <v>0.377587663709337</v>
      </c>
      <c r="M9059" s="12">
        <f>tItens[[#This Row],[Valor]]*(1-tItens[[#This Row],[Desconto]])</f>
        <v>0</v>
      </c>
      <c r="N9059" t="str">
        <f>IFERROR(INDEX(tProdutos[Foco],MATCH(tItens[[#This Row],[Produto]],tProdutos[Produto],0)),"Não")</f>
        <v>Não</v>
      </c>
      <c r="O9059" t="str">
        <f>IFERROR(INDEX(tEditais[SRP],MATCH(tItens[[#This Row],[Edital]],tEditais[Edital],0)),"Não")</f>
        <v>Sim</v>
      </c>
      <c r="P9059" s="4">
        <f>IF(COUNTIFS(INDEX(tItens[Edital],1):tItens[[#This Row],[Edital]],tItens[[#This Row],[Edital]],INDEX(tItens[Produto],1):tItens[[#This Row],[Produto]],tItens[[#This Row],[Produto]])=1,1,0)</f>
        <v>1</v>
      </c>
    </row>
    <row r="9060" spans="1:16" x14ac:dyDescent="0.25">
      <c r="A9060" t="s">
        <v>3081</v>
      </c>
      <c r="B9060">
        <v>41</v>
      </c>
      <c r="C9060" t="s">
        <v>11404</v>
      </c>
      <c r="D9060" t="s">
        <v>281</v>
      </c>
      <c r="E9060" s="13">
        <v>1000</v>
      </c>
      <c r="F9060" s="12">
        <v>0</v>
      </c>
      <c r="G9060" t="str">
        <f>IFERROR(INDEX(tEditais[Órgão],MATCH(tItens[[#This Row],[Edital]],tEditais[Edital],0)),"")</f>
        <v>MUNICIPIO DE SANTA BARBARA D'OESTE</v>
      </c>
      <c r="H9060" t="str">
        <f>IFERROR(INDEX(tEditais[UF],MATCH(tItens[[#This Row],[Edital]],tEditais[Edital],0)),"")</f>
        <v>SP</v>
      </c>
      <c r="I9060" s="11">
        <f>IFERROR(INDEX(tEditais[Encerramento],MATCH(tItens[[#This Row],[Edital]],tEditais[Edital],0)),"")</f>
        <v>46311.374305555553</v>
      </c>
      <c r="J9060" t="str">
        <f>IFERROR(INDEX(tProdutos[Classe],MATCH(tItens[[#This Row],[Produto]],tProdutos[Produto],0)),"produto não cadastrado")</f>
        <v>DISPUTADO</v>
      </c>
      <c r="K9060" s="12">
        <f>tItens[[#This Row],[Qtd]]*tItens[[#This Row],[Vlr unit]]</f>
        <v>0</v>
      </c>
      <c r="L9060" s="6">
        <f>IFERROR(IF(INDEX(tProdutos[Desconto homologado],MATCH(tItens[[#This Row],[Produto]],tProdutos[Produto],0))="",DescontoPadrao,INDEX(tProdutos[Desconto homologado],MATCH(tItens[[#This Row],[Produto]],tProdutos[Produto],0))),DescontoPadrao)</f>
        <v>0.42461538461538501</v>
      </c>
      <c r="M9060" s="12">
        <f>tItens[[#This Row],[Valor]]*(1-tItens[[#This Row],[Desconto]])</f>
        <v>0</v>
      </c>
      <c r="N9060" t="str">
        <f>IFERROR(INDEX(tProdutos[Foco],MATCH(tItens[[#This Row],[Produto]],tProdutos[Produto],0)),"Não")</f>
        <v>Não</v>
      </c>
      <c r="O9060" t="str">
        <f>IFERROR(INDEX(tEditais[SRP],MATCH(tItens[[#This Row],[Edital]],tEditais[Edital],0)),"Não")</f>
        <v>Sim</v>
      </c>
      <c r="P9060" s="4">
        <f>IF(COUNTIFS(INDEX(tItens[Edital],1):tItens[[#This Row],[Edital]],tItens[[#This Row],[Edital]],INDEX(tItens[Produto],1):tItens[[#This Row],[Produto]],tItens[[#This Row],[Produto]])=1,1,0)</f>
        <v>1</v>
      </c>
    </row>
    <row r="9061" spans="1:16" x14ac:dyDescent="0.25">
      <c r="A9061" t="s">
        <v>3081</v>
      </c>
      <c r="B9061">
        <v>42</v>
      </c>
      <c r="C9061" t="s">
        <v>11405</v>
      </c>
      <c r="D9061" t="s">
        <v>289</v>
      </c>
      <c r="E9061" s="13">
        <v>100</v>
      </c>
      <c r="F9061" s="12">
        <v>0</v>
      </c>
      <c r="G9061" t="str">
        <f>IFERROR(INDEX(tEditais[Órgão],MATCH(tItens[[#This Row],[Edital]],tEditais[Edital],0)),"")</f>
        <v>MUNICIPIO DE SANTA BARBARA D'OESTE</v>
      </c>
      <c r="H9061" t="str">
        <f>IFERROR(INDEX(tEditais[UF],MATCH(tItens[[#This Row],[Edital]],tEditais[Edital],0)),"")</f>
        <v>SP</v>
      </c>
      <c r="I9061" s="11">
        <f>IFERROR(INDEX(tEditais[Encerramento],MATCH(tItens[[#This Row],[Edital]],tEditais[Edital],0)),"")</f>
        <v>46311.374305555553</v>
      </c>
      <c r="J9061" t="str">
        <f>IFERROR(INDEX(tProdutos[Classe],MATCH(tItens[[#This Row],[Produto]],tProdutos[Produto],0)),"produto não cadastrado")</f>
        <v>DISPUTADO</v>
      </c>
      <c r="K9061" s="12">
        <f>tItens[[#This Row],[Qtd]]*tItens[[#This Row],[Vlr unit]]</f>
        <v>0</v>
      </c>
      <c r="L9061" s="6">
        <f>IFERROR(IF(INDEX(tProdutos[Desconto homologado],MATCH(tItens[[#This Row],[Produto]],tProdutos[Produto],0))="",DescontoPadrao,INDEX(tProdutos[Desconto homologado],MATCH(tItens[[#This Row],[Produto]],tProdutos[Produto],0))),DescontoPadrao)</f>
        <v>0.35849056603773599</v>
      </c>
      <c r="M9061" s="12">
        <f>tItens[[#This Row],[Valor]]*(1-tItens[[#This Row],[Desconto]])</f>
        <v>0</v>
      </c>
      <c r="N9061" t="str">
        <f>IFERROR(INDEX(tProdutos[Foco],MATCH(tItens[[#This Row],[Produto]],tProdutos[Produto],0)),"Não")</f>
        <v>Não</v>
      </c>
      <c r="O9061" t="str">
        <f>IFERROR(INDEX(tEditais[SRP],MATCH(tItens[[#This Row],[Edital]],tEditais[Edital],0)),"Não")</f>
        <v>Sim</v>
      </c>
      <c r="P9061" s="4">
        <f>IF(COUNTIFS(INDEX(tItens[Edital],1):tItens[[#This Row],[Edital]],tItens[[#This Row],[Edital]],INDEX(tItens[Produto],1):tItens[[#This Row],[Produto]],tItens[[#This Row],[Produto]])=1,1,0)</f>
        <v>1</v>
      </c>
    </row>
    <row r="9062" spans="1:16" x14ac:dyDescent="0.25">
      <c r="A9062" t="s">
        <v>3081</v>
      </c>
      <c r="B9062">
        <v>43</v>
      </c>
      <c r="C9062" t="s">
        <v>11406</v>
      </c>
      <c r="D9062" t="s">
        <v>120</v>
      </c>
      <c r="E9062" s="13">
        <v>100</v>
      </c>
      <c r="F9062" s="12">
        <v>0</v>
      </c>
      <c r="G9062" t="str">
        <f>IFERROR(INDEX(tEditais[Órgão],MATCH(tItens[[#This Row],[Edital]],tEditais[Edital],0)),"")</f>
        <v>MUNICIPIO DE SANTA BARBARA D'OESTE</v>
      </c>
      <c r="H9062" t="str">
        <f>IFERROR(INDEX(tEditais[UF],MATCH(tItens[[#This Row],[Edital]],tEditais[Edital],0)),"")</f>
        <v>SP</v>
      </c>
      <c r="I9062" s="11">
        <f>IFERROR(INDEX(tEditais[Encerramento],MATCH(tItens[[#This Row],[Edital]],tEditais[Edital],0)),"")</f>
        <v>46311.374305555553</v>
      </c>
      <c r="J9062" t="str">
        <f>IFERROR(INDEX(tProdutos[Classe],MATCH(tItens[[#This Row],[Produto]],tProdutos[Produto],0)),"produto não cadastrado")</f>
        <v>DISPUTADO</v>
      </c>
      <c r="K9062" s="12">
        <f>tItens[[#This Row],[Qtd]]*tItens[[#This Row],[Vlr unit]]</f>
        <v>0</v>
      </c>
      <c r="L9062" s="6">
        <f>IFERROR(IF(INDEX(tProdutos[Desconto homologado],MATCH(tItens[[#This Row],[Produto]],tProdutos[Produto],0))="",DescontoPadrao,INDEX(tProdutos[Desconto homologado],MATCH(tItens[[#This Row],[Produto]],tProdutos[Produto],0))),DescontoPadrao)</f>
        <v>0.40909090909090901</v>
      </c>
      <c r="M9062" s="12">
        <f>tItens[[#This Row],[Valor]]*(1-tItens[[#This Row],[Desconto]])</f>
        <v>0</v>
      </c>
      <c r="N9062" t="str">
        <f>IFERROR(INDEX(tProdutos[Foco],MATCH(tItens[[#This Row],[Produto]],tProdutos[Produto],0)),"Não")</f>
        <v>Não</v>
      </c>
      <c r="O9062" t="str">
        <f>IFERROR(INDEX(tEditais[SRP],MATCH(tItens[[#This Row],[Edital]],tEditais[Edital],0)),"Não")</f>
        <v>Sim</v>
      </c>
      <c r="P9062" s="4">
        <f>IF(COUNTIFS(INDEX(tItens[Edital],1):tItens[[#This Row],[Edital]],tItens[[#This Row],[Edital]],INDEX(tItens[Produto],1):tItens[[#This Row],[Produto]],tItens[[#This Row],[Produto]])=1,1,0)</f>
        <v>1</v>
      </c>
    </row>
    <row r="9063" spans="1:16" x14ac:dyDescent="0.25">
      <c r="A9063" t="s">
        <v>3081</v>
      </c>
      <c r="B9063">
        <v>44</v>
      </c>
      <c r="C9063" t="s">
        <v>11407</v>
      </c>
      <c r="D9063" t="s">
        <v>120</v>
      </c>
      <c r="E9063" s="13">
        <v>100</v>
      </c>
      <c r="F9063" s="12">
        <v>0</v>
      </c>
      <c r="G9063" t="str">
        <f>IFERROR(INDEX(tEditais[Órgão],MATCH(tItens[[#This Row],[Edital]],tEditais[Edital],0)),"")</f>
        <v>MUNICIPIO DE SANTA BARBARA D'OESTE</v>
      </c>
      <c r="H9063" t="str">
        <f>IFERROR(INDEX(tEditais[UF],MATCH(tItens[[#This Row],[Edital]],tEditais[Edital],0)),"")</f>
        <v>SP</v>
      </c>
      <c r="I9063" s="11">
        <f>IFERROR(INDEX(tEditais[Encerramento],MATCH(tItens[[#This Row],[Edital]],tEditais[Edital],0)),"")</f>
        <v>46311.374305555553</v>
      </c>
      <c r="J9063" t="str">
        <f>IFERROR(INDEX(tProdutos[Classe],MATCH(tItens[[#This Row],[Produto]],tProdutos[Produto],0)),"produto não cadastrado")</f>
        <v>DISPUTADO</v>
      </c>
      <c r="K9063" s="12">
        <f>tItens[[#This Row],[Qtd]]*tItens[[#This Row],[Vlr unit]]</f>
        <v>0</v>
      </c>
      <c r="L9063" s="6">
        <f>IFERROR(IF(INDEX(tProdutos[Desconto homologado],MATCH(tItens[[#This Row],[Produto]],tProdutos[Produto],0))="",DescontoPadrao,INDEX(tProdutos[Desconto homologado],MATCH(tItens[[#This Row],[Produto]],tProdutos[Produto],0))),DescontoPadrao)</f>
        <v>0.40909090909090901</v>
      </c>
      <c r="M9063" s="12">
        <f>tItens[[#This Row],[Valor]]*(1-tItens[[#This Row],[Desconto]])</f>
        <v>0</v>
      </c>
      <c r="N9063" t="str">
        <f>IFERROR(INDEX(tProdutos[Foco],MATCH(tItens[[#This Row],[Produto]],tProdutos[Produto],0)),"Não")</f>
        <v>Não</v>
      </c>
      <c r="O9063" t="str">
        <f>IFERROR(INDEX(tEditais[SRP],MATCH(tItens[[#This Row],[Edital]],tEditais[Edital],0)),"Não")</f>
        <v>Sim</v>
      </c>
      <c r="P9063" s="4">
        <f>IF(COUNTIFS(INDEX(tItens[Edital],1):tItens[[#This Row],[Edital]],tItens[[#This Row],[Edital]],INDEX(tItens[Produto],1):tItens[[#This Row],[Produto]],tItens[[#This Row],[Produto]])=1,1,0)</f>
        <v>0</v>
      </c>
    </row>
    <row r="9064" spans="1:16" x14ac:dyDescent="0.25">
      <c r="A9064" t="s">
        <v>3081</v>
      </c>
      <c r="B9064">
        <v>45</v>
      </c>
      <c r="C9064" t="s">
        <v>11408</v>
      </c>
      <c r="D9064" t="s">
        <v>120</v>
      </c>
      <c r="E9064" s="13">
        <v>300</v>
      </c>
      <c r="F9064" s="12">
        <v>0</v>
      </c>
      <c r="G9064" t="str">
        <f>IFERROR(INDEX(tEditais[Órgão],MATCH(tItens[[#This Row],[Edital]],tEditais[Edital],0)),"")</f>
        <v>MUNICIPIO DE SANTA BARBARA D'OESTE</v>
      </c>
      <c r="H9064" t="str">
        <f>IFERROR(INDEX(tEditais[UF],MATCH(tItens[[#This Row],[Edital]],tEditais[Edital],0)),"")</f>
        <v>SP</v>
      </c>
      <c r="I9064" s="11">
        <f>IFERROR(INDEX(tEditais[Encerramento],MATCH(tItens[[#This Row],[Edital]],tEditais[Edital],0)),"")</f>
        <v>46311.374305555553</v>
      </c>
      <c r="J9064" t="str">
        <f>IFERROR(INDEX(tProdutos[Classe],MATCH(tItens[[#This Row],[Produto]],tProdutos[Produto],0)),"produto não cadastrado")</f>
        <v>DISPUTADO</v>
      </c>
      <c r="K9064" s="12">
        <f>tItens[[#This Row],[Qtd]]*tItens[[#This Row],[Vlr unit]]</f>
        <v>0</v>
      </c>
      <c r="L9064" s="6">
        <f>IFERROR(IF(INDEX(tProdutos[Desconto homologado],MATCH(tItens[[#This Row],[Produto]],tProdutos[Produto],0))="",DescontoPadrao,INDEX(tProdutos[Desconto homologado],MATCH(tItens[[#This Row],[Produto]],tProdutos[Produto],0))),DescontoPadrao)</f>
        <v>0.40909090909090901</v>
      </c>
      <c r="M9064" s="12">
        <f>tItens[[#This Row],[Valor]]*(1-tItens[[#This Row],[Desconto]])</f>
        <v>0</v>
      </c>
      <c r="N9064" t="str">
        <f>IFERROR(INDEX(tProdutos[Foco],MATCH(tItens[[#This Row],[Produto]],tProdutos[Produto],0)),"Não")</f>
        <v>Não</v>
      </c>
      <c r="O9064" t="str">
        <f>IFERROR(INDEX(tEditais[SRP],MATCH(tItens[[#This Row],[Edital]],tEditais[Edital],0)),"Não")</f>
        <v>Sim</v>
      </c>
      <c r="P9064" s="4">
        <f>IF(COUNTIFS(INDEX(tItens[Edital],1):tItens[[#This Row],[Edital]],tItens[[#This Row],[Edital]],INDEX(tItens[Produto],1):tItens[[#This Row],[Produto]],tItens[[#This Row],[Produto]])=1,1,0)</f>
        <v>0</v>
      </c>
    </row>
    <row r="9065" spans="1:16" x14ac:dyDescent="0.25">
      <c r="A9065" t="s">
        <v>3081</v>
      </c>
      <c r="B9065">
        <v>46</v>
      </c>
      <c r="C9065" t="s">
        <v>11409</v>
      </c>
      <c r="D9065" t="s">
        <v>120</v>
      </c>
      <c r="E9065" s="13">
        <v>200</v>
      </c>
      <c r="F9065" s="12">
        <v>0</v>
      </c>
      <c r="G9065" t="str">
        <f>IFERROR(INDEX(tEditais[Órgão],MATCH(tItens[[#This Row],[Edital]],tEditais[Edital],0)),"")</f>
        <v>MUNICIPIO DE SANTA BARBARA D'OESTE</v>
      </c>
      <c r="H9065" t="str">
        <f>IFERROR(INDEX(tEditais[UF],MATCH(tItens[[#This Row],[Edital]],tEditais[Edital],0)),"")</f>
        <v>SP</v>
      </c>
      <c r="I9065" s="11">
        <f>IFERROR(INDEX(tEditais[Encerramento],MATCH(tItens[[#This Row],[Edital]],tEditais[Edital],0)),"")</f>
        <v>46311.374305555553</v>
      </c>
      <c r="J9065" t="str">
        <f>IFERROR(INDEX(tProdutos[Classe],MATCH(tItens[[#This Row],[Produto]],tProdutos[Produto],0)),"produto não cadastrado")</f>
        <v>DISPUTADO</v>
      </c>
      <c r="K9065" s="12">
        <f>tItens[[#This Row],[Qtd]]*tItens[[#This Row],[Vlr unit]]</f>
        <v>0</v>
      </c>
      <c r="L9065" s="6">
        <f>IFERROR(IF(INDEX(tProdutos[Desconto homologado],MATCH(tItens[[#This Row],[Produto]],tProdutos[Produto],0))="",DescontoPadrao,INDEX(tProdutos[Desconto homologado],MATCH(tItens[[#This Row],[Produto]],tProdutos[Produto],0))),DescontoPadrao)</f>
        <v>0.40909090909090901</v>
      </c>
      <c r="M9065" s="12">
        <f>tItens[[#This Row],[Valor]]*(1-tItens[[#This Row],[Desconto]])</f>
        <v>0</v>
      </c>
      <c r="N9065" t="str">
        <f>IFERROR(INDEX(tProdutos[Foco],MATCH(tItens[[#This Row],[Produto]],tProdutos[Produto],0)),"Não")</f>
        <v>Não</v>
      </c>
      <c r="O9065" t="str">
        <f>IFERROR(INDEX(tEditais[SRP],MATCH(tItens[[#This Row],[Edital]],tEditais[Edital],0)),"Não")</f>
        <v>Sim</v>
      </c>
      <c r="P9065" s="4">
        <f>IF(COUNTIFS(INDEX(tItens[Edital],1):tItens[[#This Row],[Edital]],tItens[[#This Row],[Edital]],INDEX(tItens[Produto],1):tItens[[#This Row],[Produto]],tItens[[#This Row],[Produto]])=1,1,0)</f>
        <v>0</v>
      </c>
    </row>
    <row r="9066" spans="1:16" x14ac:dyDescent="0.25">
      <c r="A9066" t="s">
        <v>3081</v>
      </c>
      <c r="B9066">
        <v>47</v>
      </c>
      <c r="C9066" t="s">
        <v>11410</v>
      </c>
      <c r="D9066" t="s">
        <v>120</v>
      </c>
      <c r="E9066" s="13">
        <v>300</v>
      </c>
      <c r="F9066" s="12">
        <v>0</v>
      </c>
      <c r="G9066" t="str">
        <f>IFERROR(INDEX(tEditais[Órgão],MATCH(tItens[[#This Row],[Edital]],tEditais[Edital],0)),"")</f>
        <v>MUNICIPIO DE SANTA BARBARA D'OESTE</v>
      </c>
      <c r="H9066" t="str">
        <f>IFERROR(INDEX(tEditais[UF],MATCH(tItens[[#This Row],[Edital]],tEditais[Edital],0)),"")</f>
        <v>SP</v>
      </c>
      <c r="I9066" s="11">
        <f>IFERROR(INDEX(tEditais[Encerramento],MATCH(tItens[[#This Row],[Edital]],tEditais[Edital],0)),"")</f>
        <v>46311.374305555553</v>
      </c>
      <c r="J9066" t="str">
        <f>IFERROR(INDEX(tProdutos[Classe],MATCH(tItens[[#This Row],[Produto]],tProdutos[Produto],0)),"produto não cadastrado")</f>
        <v>DISPUTADO</v>
      </c>
      <c r="K9066" s="12">
        <f>tItens[[#This Row],[Qtd]]*tItens[[#This Row],[Vlr unit]]</f>
        <v>0</v>
      </c>
      <c r="L9066" s="6">
        <f>IFERROR(IF(INDEX(tProdutos[Desconto homologado],MATCH(tItens[[#This Row],[Produto]],tProdutos[Produto],0))="",DescontoPadrao,INDEX(tProdutos[Desconto homologado],MATCH(tItens[[#This Row],[Produto]],tProdutos[Produto],0))),DescontoPadrao)</f>
        <v>0.40909090909090901</v>
      </c>
      <c r="M9066" s="12">
        <f>tItens[[#This Row],[Valor]]*(1-tItens[[#This Row],[Desconto]])</f>
        <v>0</v>
      </c>
      <c r="N9066" t="str">
        <f>IFERROR(INDEX(tProdutos[Foco],MATCH(tItens[[#This Row],[Produto]],tProdutos[Produto],0)),"Não")</f>
        <v>Não</v>
      </c>
      <c r="O9066" t="str">
        <f>IFERROR(INDEX(tEditais[SRP],MATCH(tItens[[#This Row],[Edital]],tEditais[Edital],0)),"Não")</f>
        <v>Sim</v>
      </c>
      <c r="P9066" s="4">
        <f>IF(COUNTIFS(INDEX(tItens[Edital],1):tItens[[#This Row],[Edital]],tItens[[#This Row],[Edital]],INDEX(tItens[Produto],1):tItens[[#This Row],[Produto]],tItens[[#This Row],[Produto]])=1,1,0)</f>
        <v>0</v>
      </c>
    </row>
    <row r="9067" spans="1:16" x14ac:dyDescent="0.25">
      <c r="A9067" t="s">
        <v>3081</v>
      </c>
      <c r="B9067">
        <v>48</v>
      </c>
      <c r="C9067" t="s">
        <v>11411</v>
      </c>
      <c r="D9067" t="s">
        <v>114</v>
      </c>
      <c r="E9067" s="13">
        <v>500</v>
      </c>
      <c r="F9067" s="12">
        <v>0</v>
      </c>
      <c r="G9067" t="str">
        <f>IFERROR(INDEX(tEditais[Órgão],MATCH(tItens[[#This Row],[Edital]],tEditais[Edital],0)),"")</f>
        <v>MUNICIPIO DE SANTA BARBARA D'OESTE</v>
      </c>
      <c r="H9067" t="str">
        <f>IFERROR(INDEX(tEditais[UF],MATCH(tItens[[#This Row],[Edital]],tEditais[Edital],0)),"")</f>
        <v>SP</v>
      </c>
      <c r="I9067" s="11">
        <f>IFERROR(INDEX(tEditais[Encerramento],MATCH(tItens[[#This Row],[Edital]],tEditais[Edital],0)),"")</f>
        <v>46311.374305555553</v>
      </c>
      <c r="J9067" t="str">
        <f>IFERROR(INDEX(tProdutos[Classe],MATCH(tItens[[#This Row],[Produto]],tProdutos[Produto],0)),"produto não cadastrado")</f>
        <v>DISPUTADO</v>
      </c>
      <c r="K9067" s="12">
        <f>tItens[[#This Row],[Qtd]]*tItens[[#This Row],[Vlr unit]]</f>
        <v>0</v>
      </c>
      <c r="L9067" s="6">
        <f>IFERROR(IF(INDEX(tProdutos[Desconto homologado],MATCH(tItens[[#This Row],[Produto]],tProdutos[Produto],0))="",DescontoPadrao,INDEX(tProdutos[Desconto homologado],MATCH(tItens[[#This Row],[Produto]],tProdutos[Produto],0))),DescontoPadrao)</f>
        <v>0.24332656063896899</v>
      </c>
      <c r="M9067" s="12">
        <f>tItens[[#This Row],[Valor]]*(1-tItens[[#This Row],[Desconto]])</f>
        <v>0</v>
      </c>
      <c r="N9067" t="str">
        <f>IFERROR(INDEX(tProdutos[Foco],MATCH(tItens[[#This Row],[Produto]],tProdutos[Produto],0)),"Não")</f>
        <v>Não</v>
      </c>
      <c r="O9067" t="str">
        <f>IFERROR(INDEX(tEditais[SRP],MATCH(tItens[[#This Row],[Edital]],tEditais[Edital],0)),"Não")</f>
        <v>Sim</v>
      </c>
      <c r="P9067" s="4">
        <f>IF(COUNTIFS(INDEX(tItens[Edital],1):tItens[[#This Row],[Edital]],tItens[[#This Row],[Edital]],INDEX(tItens[Produto],1):tItens[[#This Row],[Produto]],tItens[[#This Row],[Produto]])=1,1,0)</f>
        <v>1</v>
      </c>
    </row>
    <row r="9068" spans="1:16" x14ac:dyDescent="0.25">
      <c r="A9068" t="s">
        <v>3081</v>
      </c>
      <c r="B9068">
        <v>52</v>
      </c>
      <c r="C9068" t="s">
        <v>11412</v>
      </c>
      <c r="D9068" t="s">
        <v>351</v>
      </c>
      <c r="E9068" s="13">
        <v>2200</v>
      </c>
      <c r="F9068" s="12">
        <v>0</v>
      </c>
      <c r="G9068" t="str">
        <f>IFERROR(INDEX(tEditais[Órgão],MATCH(tItens[[#This Row],[Edital]],tEditais[Edital],0)),"")</f>
        <v>MUNICIPIO DE SANTA BARBARA D'OESTE</v>
      </c>
      <c r="H9068" t="str">
        <f>IFERROR(INDEX(tEditais[UF],MATCH(tItens[[#This Row],[Edital]],tEditais[Edital],0)),"")</f>
        <v>SP</v>
      </c>
      <c r="I9068" s="11">
        <f>IFERROR(INDEX(tEditais[Encerramento],MATCH(tItens[[#This Row],[Edital]],tEditais[Edital],0)),"")</f>
        <v>46311.374305555553</v>
      </c>
      <c r="J9068" t="str">
        <f>IFERROR(INDEX(tProdutos[Classe],MATCH(tItens[[#This Row],[Produto]],tProdutos[Produto],0)),"produto não cadastrado")</f>
        <v>FORA</v>
      </c>
      <c r="K9068" s="12">
        <f>tItens[[#This Row],[Qtd]]*tItens[[#This Row],[Vlr unit]]</f>
        <v>0</v>
      </c>
      <c r="L9068" s="6">
        <f>IFERROR(IF(INDEX(tProdutos[Desconto homologado],MATCH(tItens[[#This Row],[Produto]],tProdutos[Produto],0))="",DescontoPadrao,INDEX(tProdutos[Desconto homologado],MATCH(tItens[[#This Row],[Produto]],tProdutos[Produto],0))),DescontoPadrao)</f>
        <v>0.33518005540166201</v>
      </c>
      <c r="M9068" s="12">
        <f>tItens[[#This Row],[Valor]]*(1-tItens[[#This Row],[Desconto]])</f>
        <v>0</v>
      </c>
      <c r="N9068" t="str">
        <f>IFERROR(INDEX(tProdutos[Foco],MATCH(tItens[[#This Row],[Produto]],tProdutos[Produto],0)),"Não")</f>
        <v>Não</v>
      </c>
      <c r="O9068" t="str">
        <f>IFERROR(INDEX(tEditais[SRP],MATCH(tItens[[#This Row],[Edital]],tEditais[Edital],0)),"Não")</f>
        <v>Sim</v>
      </c>
      <c r="P9068" s="4">
        <f>IF(COUNTIFS(INDEX(tItens[Edital],1):tItens[[#This Row],[Edital]],tItens[[#This Row],[Edital]],INDEX(tItens[Produto],1):tItens[[#This Row],[Produto]],tItens[[#This Row],[Produto]])=1,1,0)</f>
        <v>1</v>
      </c>
    </row>
    <row r="9069" spans="1:16" x14ac:dyDescent="0.25">
      <c r="A9069" t="s">
        <v>3081</v>
      </c>
      <c r="B9069">
        <v>53</v>
      </c>
      <c r="C9069" t="s">
        <v>11413</v>
      </c>
      <c r="D9069" t="s">
        <v>351</v>
      </c>
      <c r="E9069" s="13">
        <v>1500</v>
      </c>
      <c r="F9069" s="12">
        <v>0</v>
      </c>
      <c r="G9069" t="str">
        <f>IFERROR(INDEX(tEditais[Órgão],MATCH(tItens[[#This Row],[Edital]],tEditais[Edital],0)),"")</f>
        <v>MUNICIPIO DE SANTA BARBARA D'OESTE</v>
      </c>
      <c r="H9069" t="str">
        <f>IFERROR(INDEX(tEditais[UF],MATCH(tItens[[#This Row],[Edital]],tEditais[Edital],0)),"")</f>
        <v>SP</v>
      </c>
      <c r="I9069" s="11">
        <f>IFERROR(INDEX(tEditais[Encerramento],MATCH(tItens[[#This Row],[Edital]],tEditais[Edital],0)),"")</f>
        <v>46311.374305555553</v>
      </c>
      <c r="J9069" t="str">
        <f>IFERROR(INDEX(tProdutos[Classe],MATCH(tItens[[#This Row],[Produto]],tProdutos[Produto],0)),"produto não cadastrado")</f>
        <v>FORA</v>
      </c>
      <c r="K9069" s="12">
        <f>tItens[[#This Row],[Qtd]]*tItens[[#This Row],[Vlr unit]]</f>
        <v>0</v>
      </c>
      <c r="L9069" s="6">
        <f>IFERROR(IF(INDEX(tProdutos[Desconto homologado],MATCH(tItens[[#This Row],[Produto]],tProdutos[Produto],0))="",DescontoPadrao,INDEX(tProdutos[Desconto homologado],MATCH(tItens[[#This Row],[Produto]],tProdutos[Produto],0))),DescontoPadrao)</f>
        <v>0.33518005540166201</v>
      </c>
      <c r="M9069" s="12">
        <f>tItens[[#This Row],[Valor]]*(1-tItens[[#This Row],[Desconto]])</f>
        <v>0</v>
      </c>
      <c r="N9069" t="str">
        <f>IFERROR(INDEX(tProdutos[Foco],MATCH(tItens[[#This Row],[Produto]],tProdutos[Produto],0)),"Não")</f>
        <v>Não</v>
      </c>
      <c r="O9069" t="str">
        <f>IFERROR(INDEX(tEditais[SRP],MATCH(tItens[[#This Row],[Edital]],tEditais[Edital],0)),"Não")</f>
        <v>Sim</v>
      </c>
      <c r="P9069" s="4">
        <f>IF(COUNTIFS(INDEX(tItens[Edital],1):tItens[[#This Row],[Edital]],tItens[[#This Row],[Edital]],INDEX(tItens[Produto],1):tItens[[#This Row],[Produto]],tItens[[#This Row],[Produto]])=1,1,0)</f>
        <v>0</v>
      </c>
    </row>
    <row r="9070" spans="1:16" x14ac:dyDescent="0.25">
      <c r="A9070" t="s">
        <v>3081</v>
      </c>
      <c r="B9070">
        <v>61</v>
      </c>
      <c r="C9070" t="s">
        <v>11414</v>
      </c>
      <c r="D9070" t="s">
        <v>311</v>
      </c>
      <c r="E9070" s="13">
        <v>10</v>
      </c>
      <c r="F9070" s="12">
        <v>0</v>
      </c>
      <c r="G9070" t="str">
        <f>IFERROR(INDEX(tEditais[Órgão],MATCH(tItens[[#This Row],[Edital]],tEditais[Edital],0)),"")</f>
        <v>MUNICIPIO DE SANTA BARBARA D'OESTE</v>
      </c>
      <c r="H9070" t="str">
        <f>IFERROR(INDEX(tEditais[UF],MATCH(tItens[[#This Row],[Edital]],tEditais[Edital],0)),"")</f>
        <v>SP</v>
      </c>
      <c r="I9070" s="11">
        <f>IFERROR(INDEX(tEditais[Encerramento],MATCH(tItens[[#This Row],[Edital]],tEditais[Edital],0)),"")</f>
        <v>46311.374305555553</v>
      </c>
      <c r="J9070" t="str">
        <f>IFERROR(INDEX(tProdutos[Classe],MATCH(tItens[[#This Row],[Produto]],tProdutos[Produto],0)),"produto não cadastrado")</f>
        <v>FORA</v>
      </c>
      <c r="K9070" s="12">
        <f>tItens[[#This Row],[Qtd]]*tItens[[#This Row],[Vlr unit]]</f>
        <v>0</v>
      </c>
      <c r="L9070" s="6">
        <f>IFERROR(IF(INDEX(tProdutos[Desconto homologado],MATCH(tItens[[#This Row],[Produto]],tProdutos[Produto],0))="",DescontoPadrao,INDEX(tProdutos[Desconto homologado],MATCH(tItens[[#This Row],[Produto]],tProdutos[Produto],0))),DescontoPadrao)</f>
        <v>0.29046182846371399</v>
      </c>
      <c r="M9070" s="12">
        <f>tItens[[#This Row],[Valor]]*(1-tItens[[#This Row],[Desconto]])</f>
        <v>0</v>
      </c>
      <c r="N9070" t="str">
        <f>IFERROR(INDEX(tProdutos[Foco],MATCH(tItens[[#This Row],[Produto]],tProdutos[Produto],0)),"Não")</f>
        <v>Não</v>
      </c>
      <c r="O9070" t="str">
        <f>IFERROR(INDEX(tEditais[SRP],MATCH(tItens[[#This Row],[Edital]],tEditais[Edital],0)),"Não")</f>
        <v>Sim</v>
      </c>
      <c r="P9070" s="4">
        <f>IF(COUNTIFS(INDEX(tItens[Edital],1):tItens[[#This Row],[Edital]],tItens[[#This Row],[Edital]],INDEX(tItens[Produto],1):tItens[[#This Row],[Produto]],tItens[[#This Row],[Produto]])=1,1,0)</f>
        <v>0</v>
      </c>
    </row>
    <row r="9071" spans="1:16" x14ac:dyDescent="0.25">
      <c r="A9071" t="s">
        <v>3081</v>
      </c>
      <c r="B9071">
        <v>62</v>
      </c>
      <c r="C9071" t="s">
        <v>11415</v>
      </c>
      <c r="D9071" t="s">
        <v>409</v>
      </c>
      <c r="E9071" s="13">
        <v>100</v>
      </c>
      <c r="F9071" s="12">
        <v>0</v>
      </c>
      <c r="G9071" t="str">
        <f>IFERROR(INDEX(tEditais[Órgão],MATCH(tItens[[#This Row],[Edital]],tEditais[Edital],0)),"")</f>
        <v>MUNICIPIO DE SANTA BARBARA D'OESTE</v>
      </c>
      <c r="H9071" t="str">
        <f>IFERROR(INDEX(tEditais[UF],MATCH(tItens[[#This Row],[Edital]],tEditais[Edital],0)),"")</f>
        <v>SP</v>
      </c>
      <c r="I9071" s="11">
        <f>IFERROR(INDEX(tEditais[Encerramento],MATCH(tItens[[#This Row],[Edital]],tEditais[Edital],0)),"")</f>
        <v>46311.374305555553</v>
      </c>
      <c r="J9071" t="str">
        <f>IFERROR(INDEX(tProdutos[Classe],MATCH(tItens[[#This Row],[Produto]],tProdutos[Produto],0)),"produto não cadastrado")</f>
        <v>FORA</v>
      </c>
      <c r="K9071" s="12">
        <f>tItens[[#This Row],[Qtd]]*tItens[[#This Row],[Vlr unit]]</f>
        <v>0</v>
      </c>
      <c r="L9071" s="6">
        <f>IFERROR(IF(INDEX(tProdutos[Desconto homologado],MATCH(tItens[[#This Row],[Produto]],tProdutos[Produto],0))="",DescontoPadrao,INDEX(tProdutos[Desconto homologado],MATCH(tItens[[#This Row],[Produto]],tProdutos[Produto],0))),DescontoPadrao)</f>
        <v>0.24924924924924899</v>
      </c>
      <c r="M9071" s="12">
        <f>tItens[[#This Row],[Valor]]*(1-tItens[[#This Row],[Desconto]])</f>
        <v>0</v>
      </c>
      <c r="N9071" t="str">
        <f>IFERROR(INDEX(tProdutos[Foco],MATCH(tItens[[#This Row],[Produto]],tProdutos[Produto],0)),"Não")</f>
        <v>Não</v>
      </c>
      <c r="O9071" t="str">
        <f>IFERROR(INDEX(tEditais[SRP],MATCH(tItens[[#This Row],[Edital]],tEditais[Edital],0)),"Não")</f>
        <v>Sim</v>
      </c>
      <c r="P9071" s="4">
        <f>IF(COUNTIFS(INDEX(tItens[Edital],1):tItens[[#This Row],[Edital]],tItens[[#This Row],[Edital]],INDEX(tItens[Produto],1):tItens[[#This Row],[Produto]],tItens[[#This Row],[Produto]])=1,1,0)</f>
        <v>1</v>
      </c>
    </row>
    <row r="9072" spans="1:16" x14ac:dyDescent="0.25">
      <c r="A9072" t="s">
        <v>3081</v>
      </c>
      <c r="B9072">
        <v>66</v>
      </c>
      <c r="C9072" t="s">
        <v>11416</v>
      </c>
      <c r="D9072" t="s">
        <v>102</v>
      </c>
      <c r="E9072" s="13">
        <v>10</v>
      </c>
      <c r="F9072" s="12">
        <v>0</v>
      </c>
      <c r="G9072" t="str">
        <f>IFERROR(INDEX(tEditais[Órgão],MATCH(tItens[[#This Row],[Edital]],tEditais[Edital],0)),"")</f>
        <v>MUNICIPIO DE SANTA BARBARA D'OESTE</v>
      </c>
      <c r="H9072" t="str">
        <f>IFERROR(INDEX(tEditais[UF],MATCH(tItens[[#This Row],[Edital]],tEditais[Edital],0)),"")</f>
        <v>SP</v>
      </c>
      <c r="I9072" s="11">
        <f>IFERROR(INDEX(tEditais[Encerramento],MATCH(tItens[[#This Row],[Edital]],tEditais[Edital],0)),"")</f>
        <v>46311.374305555553</v>
      </c>
      <c r="J9072" t="str">
        <f>IFERROR(INDEX(tProdutos[Classe],MATCH(tItens[[#This Row],[Produto]],tProdutos[Produto],0)),"produto não cadastrado")</f>
        <v>DISPUTADO</v>
      </c>
      <c r="K9072" s="12">
        <f>tItens[[#This Row],[Qtd]]*tItens[[#This Row],[Vlr unit]]</f>
        <v>0</v>
      </c>
      <c r="L9072" s="6">
        <f>IFERROR(IF(INDEX(tProdutos[Desconto homologado],MATCH(tItens[[#This Row],[Produto]],tProdutos[Produto],0))="",DescontoPadrao,INDEX(tProdutos[Desconto homologado],MATCH(tItens[[#This Row],[Produto]],tProdutos[Produto],0))),DescontoPadrao)</f>
        <v>0.38053097345132803</v>
      </c>
      <c r="M9072" s="12">
        <f>tItens[[#This Row],[Valor]]*(1-tItens[[#This Row],[Desconto]])</f>
        <v>0</v>
      </c>
      <c r="N9072" t="str">
        <f>IFERROR(INDEX(tProdutos[Foco],MATCH(tItens[[#This Row],[Produto]],tProdutos[Produto],0)),"Não")</f>
        <v>Não</v>
      </c>
      <c r="O9072" t="str">
        <f>IFERROR(INDEX(tEditais[SRP],MATCH(tItens[[#This Row],[Edital]],tEditais[Edital],0)),"Não")</f>
        <v>Sim</v>
      </c>
      <c r="P9072" s="4">
        <f>IF(COUNTIFS(INDEX(tItens[Edital],1):tItens[[#This Row],[Edital]],tItens[[#This Row],[Edital]],INDEX(tItens[Produto],1):tItens[[#This Row],[Produto]],tItens[[#This Row],[Produto]])=1,1,0)</f>
        <v>1</v>
      </c>
    </row>
    <row r="9073" spans="1:16" x14ac:dyDescent="0.25">
      <c r="A9073" t="s">
        <v>3081</v>
      </c>
      <c r="B9073">
        <v>67</v>
      </c>
      <c r="C9073" t="s">
        <v>11417</v>
      </c>
      <c r="D9073" t="s">
        <v>120</v>
      </c>
      <c r="E9073" s="13">
        <v>800</v>
      </c>
      <c r="F9073" s="12">
        <v>0</v>
      </c>
      <c r="G9073" t="str">
        <f>IFERROR(INDEX(tEditais[Órgão],MATCH(tItens[[#This Row],[Edital]],tEditais[Edital],0)),"")</f>
        <v>MUNICIPIO DE SANTA BARBARA D'OESTE</v>
      </c>
      <c r="H9073" t="str">
        <f>IFERROR(INDEX(tEditais[UF],MATCH(tItens[[#This Row],[Edital]],tEditais[Edital],0)),"")</f>
        <v>SP</v>
      </c>
      <c r="I9073" s="11">
        <f>IFERROR(INDEX(tEditais[Encerramento],MATCH(tItens[[#This Row],[Edital]],tEditais[Edital],0)),"")</f>
        <v>46311.374305555553</v>
      </c>
      <c r="J9073" t="str">
        <f>IFERROR(INDEX(tProdutos[Classe],MATCH(tItens[[#This Row],[Produto]],tProdutos[Produto],0)),"produto não cadastrado")</f>
        <v>DISPUTADO</v>
      </c>
      <c r="K9073" s="12">
        <f>tItens[[#This Row],[Qtd]]*tItens[[#This Row],[Vlr unit]]</f>
        <v>0</v>
      </c>
      <c r="L9073" s="6">
        <f>IFERROR(IF(INDEX(tProdutos[Desconto homologado],MATCH(tItens[[#This Row],[Produto]],tProdutos[Produto],0))="",DescontoPadrao,INDEX(tProdutos[Desconto homologado],MATCH(tItens[[#This Row],[Produto]],tProdutos[Produto],0))),DescontoPadrao)</f>
        <v>0.40909090909090901</v>
      </c>
      <c r="M9073" s="12">
        <f>tItens[[#This Row],[Valor]]*(1-tItens[[#This Row],[Desconto]])</f>
        <v>0</v>
      </c>
      <c r="N9073" t="str">
        <f>IFERROR(INDEX(tProdutos[Foco],MATCH(tItens[[#This Row],[Produto]],tProdutos[Produto],0)),"Não")</f>
        <v>Não</v>
      </c>
      <c r="O9073" t="str">
        <f>IFERROR(INDEX(tEditais[SRP],MATCH(tItens[[#This Row],[Edital]],tEditais[Edital],0)),"Não")</f>
        <v>Sim</v>
      </c>
      <c r="P9073" s="4">
        <f>IF(COUNTIFS(INDEX(tItens[Edital],1):tItens[[#This Row],[Edital]],tItens[[#This Row],[Edital]],INDEX(tItens[Produto],1):tItens[[#This Row],[Produto]],tItens[[#This Row],[Produto]])=1,1,0)</f>
        <v>0</v>
      </c>
    </row>
    <row r="9074" spans="1:16" x14ac:dyDescent="0.25">
      <c r="A9074" t="s">
        <v>3083</v>
      </c>
      <c r="B9074">
        <v>12</v>
      </c>
      <c r="C9074" t="s">
        <v>11418</v>
      </c>
      <c r="D9074" t="s">
        <v>132</v>
      </c>
      <c r="E9074" s="13">
        <v>400</v>
      </c>
      <c r="F9074" s="12">
        <v>25.19</v>
      </c>
      <c r="G9074" t="str">
        <f>IFERROR(INDEX(tEditais[Órgão],MATCH(tItens[[#This Row],[Edital]],tEditais[Edital],0)),"")</f>
        <v>MUNICIPIO DE GLICERIO</v>
      </c>
      <c r="H9074" t="str">
        <f>IFERROR(INDEX(tEditais[UF],MATCH(tItens[[#This Row],[Edital]],tEditais[Edital],0)),"")</f>
        <v>SP</v>
      </c>
      <c r="I9074" s="11">
        <f>IFERROR(INDEX(tEditais[Encerramento],MATCH(tItens[[#This Row],[Edital]],tEditais[Edital],0)),"")</f>
        <v>46311.374305555553</v>
      </c>
      <c r="J9074" t="str">
        <f>IFERROR(INDEX(tProdutos[Classe],MATCH(tItens[[#This Row],[Produto]],tProdutos[Produto],0)),"produto não cadastrado")</f>
        <v>NÚCLEO</v>
      </c>
      <c r="K9074" s="12">
        <f>tItens[[#This Row],[Qtd]]*tItens[[#This Row],[Vlr unit]]</f>
        <v>10076</v>
      </c>
      <c r="L9074" s="6">
        <f>IFERROR(IF(INDEX(tProdutos[Desconto homologado],MATCH(tItens[[#This Row],[Produto]],tProdutos[Produto],0))="",DescontoPadrao,INDEX(tProdutos[Desconto homologado],MATCH(tItens[[#This Row],[Produto]],tProdutos[Produto],0))),DescontoPadrao)</f>
        <v>0.27</v>
      </c>
      <c r="M9074" s="12">
        <f>tItens[[#This Row],[Valor]]*(1-tItens[[#This Row],[Desconto]])</f>
        <v>7355.48</v>
      </c>
      <c r="N9074" t="str">
        <f>IFERROR(INDEX(tProdutos[Foco],MATCH(tItens[[#This Row],[Produto]],tProdutos[Produto],0)),"Não")</f>
        <v>Sim</v>
      </c>
      <c r="O9074" t="str">
        <f>IFERROR(INDEX(tEditais[SRP],MATCH(tItens[[#This Row],[Edital]],tEditais[Edital],0)),"Não")</f>
        <v>Não</v>
      </c>
      <c r="P9074" s="4">
        <f>IF(COUNTIFS(INDEX(tItens[Edital],1):tItens[[#This Row],[Edital]],tItens[[#This Row],[Edital]],INDEX(tItens[Produto],1):tItens[[#This Row],[Produto]],tItens[[#This Row],[Produto]])=1,1,0)</f>
        <v>1</v>
      </c>
    </row>
    <row r="9075" spans="1:16" x14ac:dyDescent="0.25">
      <c r="A9075" t="s">
        <v>3083</v>
      </c>
      <c r="B9075">
        <v>13</v>
      </c>
      <c r="C9075" t="s">
        <v>11419</v>
      </c>
      <c r="D9075" t="s">
        <v>132</v>
      </c>
      <c r="E9075" s="13">
        <v>400</v>
      </c>
      <c r="F9075" s="12">
        <v>25.44</v>
      </c>
      <c r="G9075" t="str">
        <f>IFERROR(INDEX(tEditais[Órgão],MATCH(tItens[[#This Row],[Edital]],tEditais[Edital],0)),"")</f>
        <v>MUNICIPIO DE GLICERIO</v>
      </c>
      <c r="H9075" t="str">
        <f>IFERROR(INDEX(tEditais[UF],MATCH(tItens[[#This Row],[Edital]],tEditais[Edital],0)),"")</f>
        <v>SP</v>
      </c>
      <c r="I9075" s="11">
        <f>IFERROR(INDEX(tEditais[Encerramento],MATCH(tItens[[#This Row],[Edital]],tEditais[Edital],0)),"")</f>
        <v>46311.374305555553</v>
      </c>
      <c r="J9075" t="str">
        <f>IFERROR(INDEX(tProdutos[Classe],MATCH(tItens[[#This Row],[Produto]],tProdutos[Produto],0)),"produto não cadastrado")</f>
        <v>NÚCLEO</v>
      </c>
      <c r="K9075" s="12">
        <f>tItens[[#This Row],[Qtd]]*tItens[[#This Row],[Vlr unit]]</f>
        <v>10176</v>
      </c>
      <c r="L9075" s="6">
        <f>IFERROR(IF(INDEX(tProdutos[Desconto homologado],MATCH(tItens[[#This Row],[Produto]],tProdutos[Produto],0))="",DescontoPadrao,INDEX(tProdutos[Desconto homologado],MATCH(tItens[[#This Row],[Produto]],tProdutos[Produto],0))),DescontoPadrao)</f>
        <v>0.27</v>
      </c>
      <c r="M9075" s="12">
        <f>tItens[[#This Row],[Valor]]*(1-tItens[[#This Row],[Desconto]])</f>
        <v>7428.48</v>
      </c>
      <c r="N9075" t="str">
        <f>IFERROR(INDEX(tProdutos[Foco],MATCH(tItens[[#This Row],[Produto]],tProdutos[Produto],0)),"Não")</f>
        <v>Sim</v>
      </c>
      <c r="O9075" t="str">
        <f>IFERROR(INDEX(tEditais[SRP],MATCH(tItens[[#This Row],[Edital]],tEditais[Edital],0)),"Não")</f>
        <v>Não</v>
      </c>
      <c r="P9075" s="4">
        <f>IF(COUNTIFS(INDEX(tItens[Edital],1):tItens[[#This Row],[Edital]],tItens[[#This Row],[Edital]],INDEX(tItens[Produto],1):tItens[[#This Row],[Produto]],tItens[[#This Row],[Produto]])=1,1,0)</f>
        <v>0</v>
      </c>
    </row>
    <row r="9076" spans="1:16" x14ac:dyDescent="0.25">
      <c r="A9076" t="s">
        <v>3083</v>
      </c>
      <c r="B9076">
        <v>17</v>
      </c>
      <c r="C9076" t="s">
        <v>11420</v>
      </c>
      <c r="D9076" t="s">
        <v>86</v>
      </c>
      <c r="E9076" s="13">
        <v>100</v>
      </c>
      <c r="F9076" s="12">
        <v>16.66</v>
      </c>
      <c r="G9076" t="str">
        <f>IFERROR(INDEX(tEditais[Órgão],MATCH(tItens[[#This Row],[Edital]],tEditais[Edital],0)),"")</f>
        <v>MUNICIPIO DE GLICERIO</v>
      </c>
      <c r="H9076" t="str">
        <f>IFERROR(INDEX(tEditais[UF],MATCH(tItens[[#This Row],[Edital]],tEditais[Edital],0)),"")</f>
        <v>SP</v>
      </c>
      <c r="I9076" s="11">
        <f>IFERROR(INDEX(tEditais[Encerramento],MATCH(tItens[[#This Row],[Edital]],tEditais[Edital],0)),"")</f>
        <v>46311.374305555553</v>
      </c>
      <c r="J9076" t="str">
        <f>IFERROR(INDEX(tProdutos[Classe],MATCH(tItens[[#This Row],[Produto]],tProdutos[Produto],0)),"produto não cadastrado")</f>
        <v>NÚCLEO</v>
      </c>
      <c r="K9076" s="12">
        <f>tItens[[#This Row],[Qtd]]*tItens[[#This Row],[Vlr unit]]</f>
        <v>1666</v>
      </c>
      <c r="L9076" s="6">
        <f>IFERROR(IF(INDEX(tProdutos[Desconto homologado],MATCH(tItens[[#This Row],[Produto]],tProdutos[Produto],0))="",DescontoPadrao,INDEX(tProdutos[Desconto homologado],MATCH(tItens[[#This Row],[Produto]],tProdutos[Produto],0))),DescontoPadrao)</f>
        <v>0.20202020202020199</v>
      </c>
      <c r="M9076" s="12">
        <f>tItens[[#This Row],[Valor]]*(1-tItens[[#This Row],[Desconto]])</f>
        <v>1329.4343434343434</v>
      </c>
      <c r="N9076" t="str">
        <f>IFERROR(INDEX(tProdutos[Foco],MATCH(tItens[[#This Row],[Produto]],tProdutos[Produto],0)),"Não")</f>
        <v>Não</v>
      </c>
      <c r="O9076" t="str">
        <f>IFERROR(INDEX(tEditais[SRP],MATCH(tItens[[#This Row],[Edital]],tEditais[Edital],0)),"Não")</f>
        <v>Não</v>
      </c>
      <c r="P9076" s="4">
        <f>IF(COUNTIFS(INDEX(tItens[Edital],1):tItens[[#This Row],[Edital]],tItens[[#This Row],[Edital]],INDEX(tItens[Produto],1):tItens[[#This Row],[Produto]],tItens[[#This Row],[Produto]])=1,1,0)</f>
        <v>1</v>
      </c>
    </row>
    <row r="9077" spans="1:16" x14ac:dyDescent="0.25">
      <c r="A9077" t="s">
        <v>3083</v>
      </c>
      <c r="B9077">
        <v>66</v>
      </c>
      <c r="C9077" t="s">
        <v>11421</v>
      </c>
      <c r="D9077" t="s">
        <v>409</v>
      </c>
      <c r="E9077" s="13">
        <v>100</v>
      </c>
      <c r="F9077" s="12">
        <v>14.59</v>
      </c>
      <c r="G9077" t="str">
        <f>IFERROR(INDEX(tEditais[Órgão],MATCH(tItens[[#This Row],[Edital]],tEditais[Edital],0)),"")</f>
        <v>MUNICIPIO DE GLICERIO</v>
      </c>
      <c r="H9077" t="str">
        <f>IFERROR(INDEX(tEditais[UF],MATCH(tItens[[#This Row],[Edital]],tEditais[Edital],0)),"")</f>
        <v>SP</v>
      </c>
      <c r="I9077" s="11">
        <f>IFERROR(INDEX(tEditais[Encerramento],MATCH(tItens[[#This Row],[Edital]],tEditais[Edital],0)),"")</f>
        <v>46311.374305555553</v>
      </c>
      <c r="J9077" t="str">
        <f>IFERROR(INDEX(tProdutos[Classe],MATCH(tItens[[#This Row],[Produto]],tProdutos[Produto],0)),"produto não cadastrado")</f>
        <v>FORA</v>
      </c>
      <c r="K9077" s="12">
        <f>tItens[[#This Row],[Qtd]]*tItens[[#This Row],[Vlr unit]]</f>
        <v>1459</v>
      </c>
      <c r="L9077" s="6">
        <f>IFERROR(IF(INDEX(tProdutos[Desconto homologado],MATCH(tItens[[#This Row],[Produto]],tProdutos[Produto],0))="",DescontoPadrao,INDEX(tProdutos[Desconto homologado],MATCH(tItens[[#This Row],[Produto]],tProdutos[Produto],0))),DescontoPadrao)</f>
        <v>0.24924924924924899</v>
      </c>
      <c r="M9077" s="12">
        <f>tItens[[#This Row],[Valor]]*(1-tItens[[#This Row],[Desconto]])</f>
        <v>1095.3453453453458</v>
      </c>
      <c r="N9077" t="str">
        <f>IFERROR(INDEX(tProdutos[Foco],MATCH(tItens[[#This Row],[Produto]],tProdutos[Produto],0)),"Não")</f>
        <v>Não</v>
      </c>
      <c r="O9077" t="str">
        <f>IFERROR(INDEX(tEditais[SRP],MATCH(tItens[[#This Row],[Edital]],tEditais[Edital],0)),"Não")</f>
        <v>Não</v>
      </c>
      <c r="P9077" s="4">
        <f>IF(COUNTIFS(INDEX(tItens[Edital],1):tItens[[#This Row],[Edital]],tItens[[#This Row],[Edital]],INDEX(tItens[Produto],1):tItens[[#This Row],[Produto]],tItens[[#This Row],[Produto]])=1,1,0)</f>
        <v>1</v>
      </c>
    </row>
    <row r="9078" spans="1:16" x14ac:dyDescent="0.25">
      <c r="A9078" t="s">
        <v>3083</v>
      </c>
      <c r="B9078">
        <v>89</v>
      </c>
      <c r="C9078" t="s">
        <v>11422</v>
      </c>
      <c r="D9078" t="s">
        <v>638</v>
      </c>
      <c r="E9078" s="13">
        <v>30</v>
      </c>
      <c r="F9078" s="12">
        <v>23.81</v>
      </c>
      <c r="G9078" t="str">
        <f>IFERROR(INDEX(tEditais[Órgão],MATCH(tItens[[#This Row],[Edital]],tEditais[Edital],0)),"")</f>
        <v>MUNICIPIO DE GLICERIO</v>
      </c>
      <c r="H9078" t="str">
        <f>IFERROR(INDEX(tEditais[UF],MATCH(tItens[[#This Row],[Edital]],tEditais[Edital],0)),"")</f>
        <v>SP</v>
      </c>
      <c r="I9078" s="11">
        <f>IFERROR(INDEX(tEditais[Encerramento],MATCH(tItens[[#This Row],[Edital]],tEditais[Edital],0)),"")</f>
        <v>46311.374305555553</v>
      </c>
      <c r="J9078" t="str">
        <f>IFERROR(INDEX(tProdutos[Classe],MATCH(tItens[[#This Row],[Produto]],tProdutos[Produto],0)),"produto não cadastrado")</f>
        <v>FILA REBASE</v>
      </c>
      <c r="K9078" s="12">
        <f>tItens[[#This Row],[Qtd]]*tItens[[#This Row],[Vlr unit]]</f>
        <v>714.3</v>
      </c>
      <c r="L9078" s="6">
        <f>IFERROR(IF(INDEX(tProdutos[Desconto homologado],MATCH(tItens[[#This Row],[Produto]],tProdutos[Produto],0))="",DescontoPadrao,INDEX(tProdutos[Desconto homologado],MATCH(tItens[[#This Row],[Produto]],tProdutos[Produto],0))),DescontoPadrao)</f>
        <v>0.487179487179487</v>
      </c>
      <c r="M9078" s="12">
        <f>tItens[[#This Row],[Valor]]*(1-tItens[[#This Row],[Desconto]])</f>
        <v>366.30769230769243</v>
      </c>
      <c r="N9078" t="str">
        <f>IFERROR(INDEX(tProdutos[Foco],MATCH(tItens[[#This Row],[Produto]],tProdutos[Produto],0)),"Não")</f>
        <v>Não</v>
      </c>
      <c r="O9078" t="str">
        <f>IFERROR(INDEX(tEditais[SRP],MATCH(tItens[[#This Row],[Edital]],tEditais[Edital],0)),"Não")</f>
        <v>Não</v>
      </c>
      <c r="P9078" s="4">
        <f>IF(COUNTIFS(INDEX(tItens[Edital],1):tItens[[#This Row],[Edital]],tItens[[#This Row],[Edital]],INDEX(tItens[Produto],1):tItens[[#This Row],[Produto]],tItens[[#This Row],[Produto]])=1,1,0)</f>
        <v>1</v>
      </c>
    </row>
    <row r="9079" spans="1:16" x14ac:dyDescent="0.25">
      <c r="A9079" t="s">
        <v>3083</v>
      </c>
      <c r="B9079">
        <v>124</v>
      </c>
      <c r="C9079" t="s">
        <v>11423</v>
      </c>
      <c r="D9079" t="s">
        <v>56</v>
      </c>
      <c r="E9079" s="13">
        <v>30</v>
      </c>
      <c r="F9079" s="12">
        <v>27.27</v>
      </c>
      <c r="G9079" t="str">
        <f>IFERROR(INDEX(tEditais[Órgão],MATCH(tItens[[#This Row],[Edital]],tEditais[Edital],0)),"")</f>
        <v>MUNICIPIO DE GLICERIO</v>
      </c>
      <c r="H9079" t="str">
        <f>IFERROR(INDEX(tEditais[UF],MATCH(tItens[[#This Row],[Edital]],tEditais[Edital],0)),"")</f>
        <v>SP</v>
      </c>
      <c r="I9079" s="11">
        <f>IFERROR(INDEX(tEditais[Encerramento],MATCH(tItens[[#This Row],[Edital]],tEditais[Edital],0)),"")</f>
        <v>46311.374305555553</v>
      </c>
      <c r="J9079" t="str">
        <f>IFERROR(INDEX(tProdutos[Classe],MATCH(tItens[[#This Row],[Produto]],tProdutos[Produto],0)),"produto não cadastrado")</f>
        <v>NÚCLEO</v>
      </c>
      <c r="K9079" s="12">
        <f>tItens[[#This Row],[Qtd]]*tItens[[#This Row],[Vlr unit]]</f>
        <v>818.1</v>
      </c>
      <c r="L9079" s="6">
        <f>IFERROR(IF(INDEX(tProdutos[Desconto homologado],MATCH(tItens[[#This Row],[Produto]],tProdutos[Produto],0))="",DescontoPadrao,INDEX(tProdutos[Desconto homologado],MATCH(tItens[[#This Row],[Produto]],tProdutos[Produto],0))),DescontoPadrao)</f>
        <v>0.34</v>
      </c>
      <c r="M9079" s="12">
        <f>tItens[[#This Row],[Valor]]*(1-tItens[[#This Row],[Desconto]])</f>
        <v>539.94599999999991</v>
      </c>
      <c r="N9079" t="str">
        <f>IFERROR(INDEX(tProdutos[Foco],MATCH(tItens[[#This Row],[Produto]],tProdutos[Produto],0)),"Não")</f>
        <v>Sim</v>
      </c>
      <c r="O9079" t="str">
        <f>IFERROR(INDEX(tEditais[SRP],MATCH(tItens[[#This Row],[Edital]],tEditais[Edital],0)),"Não")</f>
        <v>Não</v>
      </c>
      <c r="P9079" s="4">
        <f>IF(COUNTIFS(INDEX(tItens[Edital],1):tItens[[#This Row],[Edital]],tItens[[#This Row],[Edital]],INDEX(tItens[Produto],1):tItens[[#This Row],[Produto]],tItens[[#This Row],[Produto]])=1,1,0)</f>
        <v>1</v>
      </c>
    </row>
    <row r="9080" spans="1:16" x14ac:dyDescent="0.25">
      <c r="A9080" t="s">
        <v>3083</v>
      </c>
      <c r="B9080">
        <v>183</v>
      </c>
      <c r="C9080" t="s">
        <v>11424</v>
      </c>
      <c r="D9080" t="s">
        <v>114</v>
      </c>
      <c r="E9080" s="13">
        <v>100</v>
      </c>
      <c r="F9080" s="12">
        <v>5.98</v>
      </c>
      <c r="G9080" t="str">
        <f>IFERROR(INDEX(tEditais[Órgão],MATCH(tItens[[#This Row],[Edital]],tEditais[Edital],0)),"")</f>
        <v>MUNICIPIO DE GLICERIO</v>
      </c>
      <c r="H9080" t="str">
        <f>IFERROR(INDEX(tEditais[UF],MATCH(tItens[[#This Row],[Edital]],tEditais[Edital],0)),"")</f>
        <v>SP</v>
      </c>
      <c r="I9080" s="11">
        <f>IFERROR(INDEX(tEditais[Encerramento],MATCH(tItens[[#This Row],[Edital]],tEditais[Edital],0)),"")</f>
        <v>46311.374305555553</v>
      </c>
      <c r="J9080" t="str">
        <f>IFERROR(INDEX(tProdutos[Classe],MATCH(tItens[[#This Row],[Produto]],tProdutos[Produto],0)),"produto não cadastrado")</f>
        <v>DISPUTADO</v>
      </c>
      <c r="K9080" s="12">
        <f>tItens[[#This Row],[Qtd]]*tItens[[#This Row],[Vlr unit]]</f>
        <v>598</v>
      </c>
      <c r="L9080" s="6">
        <f>IFERROR(IF(INDEX(tProdutos[Desconto homologado],MATCH(tItens[[#This Row],[Produto]],tProdutos[Produto],0))="",DescontoPadrao,INDEX(tProdutos[Desconto homologado],MATCH(tItens[[#This Row],[Produto]],tProdutos[Produto],0))),DescontoPadrao)</f>
        <v>0.24332656063896899</v>
      </c>
      <c r="M9080" s="12">
        <f>tItens[[#This Row],[Valor]]*(1-tItens[[#This Row],[Desconto]])</f>
        <v>452.49071673789655</v>
      </c>
      <c r="N9080" t="str">
        <f>IFERROR(INDEX(tProdutos[Foco],MATCH(tItens[[#This Row],[Produto]],tProdutos[Produto],0)),"Não")</f>
        <v>Não</v>
      </c>
      <c r="O9080" t="str">
        <f>IFERROR(INDEX(tEditais[SRP],MATCH(tItens[[#This Row],[Edital]],tEditais[Edital],0)),"Não")</f>
        <v>Não</v>
      </c>
      <c r="P9080" s="4">
        <f>IF(COUNTIFS(INDEX(tItens[Edital],1):tItens[[#This Row],[Edital]],tItens[[#This Row],[Edital]],INDEX(tItens[Produto],1):tItens[[#This Row],[Produto]],tItens[[#This Row],[Produto]])=1,1,0)</f>
        <v>1</v>
      </c>
    </row>
    <row r="9081" spans="1:16" x14ac:dyDescent="0.25">
      <c r="A9081" t="s">
        <v>3083</v>
      </c>
      <c r="B9081">
        <v>195</v>
      </c>
      <c r="C9081" t="s">
        <v>11425</v>
      </c>
      <c r="D9081" t="s">
        <v>383</v>
      </c>
      <c r="E9081" s="13">
        <v>1000</v>
      </c>
      <c r="F9081" s="12">
        <v>0.67</v>
      </c>
      <c r="G9081" t="str">
        <f>IFERROR(INDEX(tEditais[Órgão],MATCH(tItens[[#This Row],[Edital]],tEditais[Edital],0)),"")</f>
        <v>MUNICIPIO DE GLICERIO</v>
      </c>
      <c r="H9081" t="str">
        <f>IFERROR(INDEX(tEditais[UF],MATCH(tItens[[#This Row],[Edital]],tEditais[Edital],0)),"")</f>
        <v>SP</v>
      </c>
      <c r="I9081" s="11">
        <f>IFERROR(INDEX(tEditais[Encerramento],MATCH(tItens[[#This Row],[Edital]],tEditais[Edital],0)),"")</f>
        <v>46311.374305555553</v>
      </c>
      <c r="J9081" t="str">
        <f>IFERROR(INDEX(tProdutos[Classe],MATCH(tItens[[#This Row],[Produto]],tProdutos[Produto],0)),"produto não cadastrado")</f>
        <v>FORA</v>
      </c>
      <c r="K9081" s="12">
        <f>tItens[[#This Row],[Qtd]]*tItens[[#This Row],[Vlr unit]]</f>
        <v>670</v>
      </c>
      <c r="L9081" s="6">
        <f>IFERROR(IF(INDEX(tProdutos[Desconto homologado],MATCH(tItens[[#This Row],[Produto]],tProdutos[Produto],0))="",DescontoPadrao,INDEX(tProdutos[Desconto homologado],MATCH(tItens[[#This Row],[Produto]],tProdutos[Produto],0))),DescontoPadrao)</f>
        <v>0.48749999999999999</v>
      </c>
      <c r="M9081" s="12">
        <f>tItens[[#This Row],[Valor]]*(1-tItens[[#This Row],[Desconto]])</f>
        <v>343.37499999999994</v>
      </c>
      <c r="N9081" t="str">
        <f>IFERROR(INDEX(tProdutos[Foco],MATCH(tItens[[#This Row],[Produto]],tProdutos[Produto],0)),"Não")</f>
        <v>Não</v>
      </c>
      <c r="O9081" t="str">
        <f>IFERROR(INDEX(tEditais[SRP],MATCH(tItens[[#This Row],[Edital]],tEditais[Edital],0)),"Não")</f>
        <v>Não</v>
      </c>
      <c r="P9081" s="4">
        <f>IF(COUNTIFS(INDEX(tItens[Edital],1):tItens[[#This Row],[Edital]],tItens[[#This Row],[Edital]],INDEX(tItens[Produto],1):tItens[[#This Row],[Produto]],tItens[[#This Row],[Produto]])=1,1,0)</f>
        <v>1</v>
      </c>
    </row>
    <row r="9082" spans="1:16" x14ac:dyDescent="0.25">
      <c r="A9082" t="s">
        <v>3083</v>
      </c>
      <c r="B9082">
        <v>199</v>
      </c>
      <c r="C9082" t="s">
        <v>5751</v>
      </c>
      <c r="D9082" t="s">
        <v>142</v>
      </c>
      <c r="E9082" s="13">
        <v>200</v>
      </c>
      <c r="F9082" s="12">
        <v>4.68</v>
      </c>
      <c r="G9082" t="str">
        <f>IFERROR(INDEX(tEditais[Órgão],MATCH(tItens[[#This Row],[Edital]],tEditais[Edital],0)),"")</f>
        <v>MUNICIPIO DE GLICERIO</v>
      </c>
      <c r="H9082" t="str">
        <f>IFERROR(INDEX(tEditais[UF],MATCH(tItens[[#This Row],[Edital]],tEditais[Edital],0)),"")</f>
        <v>SP</v>
      </c>
      <c r="I9082" s="11">
        <f>IFERROR(INDEX(tEditais[Encerramento],MATCH(tItens[[#This Row],[Edital]],tEditais[Edital],0)),"")</f>
        <v>46311.374305555553</v>
      </c>
      <c r="J9082" t="str">
        <f>IFERROR(INDEX(tProdutos[Classe],MATCH(tItens[[#This Row],[Produto]],tProdutos[Produto],0)),"produto não cadastrado")</f>
        <v>DISPUTADO</v>
      </c>
      <c r="K9082" s="12">
        <f>tItens[[#This Row],[Qtd]]*tItens[[#This Row],[Vlr unit]]</f>
        <v>936</v>
      </c>
      <c r="L9082" s="6">
        <f>IFERROR(IF(INDEX(tProdutos[Desconto homologado],MATCH(tItens[[#This Row],[Produto]],tProdutos[Produto],0))="",DescontoPadrao,INDEX(tProdutos[Desconto homologado],MATCH(tItens[[#This Row],[Produto]],tProdutos[Produto],0))),DescontoPadrao)</f>
        <v>0.37093619495691699</v>
      </c>
      <c r="M9082" s="12">
        <f>tItens[[#This Row],[Valor]]*(1-tItens[[#This Row],[Desconto]])</f>
        <v>588.80372152032567</v>
      </c>
      <c r="N9082" t="str">
        <f>IFERROR(INDEX(tProdutos[Foco],MATCH(tItens[[#This Row],[Produto]],tProdutos[Produto],0)),"Não")</f>
        <v>Não</v>
      </c>
      <c r="O9082" t="str">
        <f>IFERROR(INDEX(tEditais[SRP],MATCH(tItens[[#This Row],[Edital]],tEditais[Edital],0)),"Não")</f>
        <v>Não</v>
      </c>
      <c r="P9082" s="4">
        <f>IF(COUNTIFS(INDEX(tItens[Edital],1):tItens[[#This Row],[Edital]],tItens[[#This Row],[Edital]],INDEX(tItens[Produto],1):tItens[[#This Row],[Produto]],tItens[[#This Row],[Produto]])=1,1,0)</f>
        <v>1</v>
      </c>
    </row>
    <row r="9083" spans="1:16" x14ac:dyDescent="0.25">
      <c r="A9083" t="s">
        <v>3083</v>
      </c>
      <c r="B9083">
        <v>200</v>
      </c>
      <c r="C9083" t="s">
        <v>11426</v>
      </c>
      <c r="D9083" t="s">
        <v>411</v>
      </c>
      <c r="E9083" s="13">
        <v>200</v>
      </c>
      <c r="F9083" s="12">
        <v>23.66</v>
      </c>
      <c r="G9083" t="str">
        <f>IFERROR(INDEX(tEditais[Órgão],MATCH(tItens[[#This Row],[Edital]],tEditais[Edital],0)),"")</f>
        <v>MUNICIPIO DE GLICERIO</v>
      </c>
      <c r="H9083" t="str">
        <f>IFERROR(INDEX(tEditais[UF],MATCH(tItens[[#This Row],[Edital]],tEditais[Edital],0)),"")</f>
        <v>SP</v>
      </c>
      <c r="I9083" s="11">
        <f>IFERROR(INDEX(tEditais[Encerramento],MATCH(tItens[[#This Row],[Edital]],tEditais[Edital],0)),"")</f>
        <v>46311.374305555553</v>
      </c>
      <c r="J9083" t="str">
        <f>IFERROR(INDEX(tProdutos[Classe],MATCH(tItens[[#This Row],[Produto]],tProdutos[Produto],0)),"produto não cadastrado")</f>
        <v>FORA</v>
      </c>
      <c r="K9083" s="12">
        <f>tItens[[#This Row],[Qtd]]*tItens[[#This Row],[Vlr unit]]</f>
        <v>4732</v>
      </c>
      <c r="L9083" s="6">
        <f>IFERROR(IF(INDEX(tProdutos[Desconto homologado],MATCH(tItens[[#This Row],[Produto]],tProdutos[Produto],0))="",DescontoPadrao,INDEX(tProdutos[Desconto homologado],MATCH(tItens[[#This Row],[Produto]],tProdutos[Produto],0))),DescontoPadrao)</f>
        <v>0.50029835957199398</v>
      </c>
      <c r="M9083" s="12">
        <f>tItens[[#This Row],[Valor]]*(1-tItens[[#This Row],[Desconto]])</f>
        <v>2364.5881625053244</v>
      </c>
      <c r="N9083" t="str">
        <f>IFERROR(INDEX(tProdutos[Foco],MATCH(tItens[[#This Row],[Produto]],tProdutos[Produto],0)),"Não")</f>
        <v>Não</v>
      </c>
      <c r="O9083" t="str">
        <f>IFERROR(INDEX(tEditais[SRP],MATCH(tItens[[#This Row],[Edital]],tEditais[Edital],0)),"Não")</f>
        <v>Não</v>
      </c>
      <c r="P9083" s="4">
        <f>IF(COUNTIFS(INDEX(tItens[Edital],1):tItens[[#This Row],[Edital]],tItens[[#This Row],[Edital]],INDEX(tItens[Produto],1):tItens[[#This Row],[Produto]],tItens[[#This Row],[Produto]])=1,1,0)</f>
        <v>1</v>
      </c>
    </row>
    <row r="9084" spans="1:16" x14ac:dyDescent="0.25">
      <c r="A9084" t="s">
        <v>3083</v>
      </c>
      <c r="B9084">
        <v>201</v>
      </c>
      <c r="C9084" t="s">
        <v>11427</v>
      </c>
      <c r="D9084" t="s">
        <v>313</v>
      </c>
      <c r="E9084" s="13">
        <v>200</v>
      </c>
      <c r="F9084" s="12">
        <v>20.329999999999998</v>
      </c>
      <c r="G9084" t="str">
        <f>IFERROR(INDEX(tEditais[Órgão],MATCH(tItens[[#This Row],[Edital]],tEditais[Edital],0)),"")</f>
        <v>MUNICIPIO DE GLICERIO</v>
      </c>
      <c r="H9084" t="str">
        <f>IFERROR(INDEX(tEditais[UF],MATCH(tItens[[#This Row],[Edital]],tEditais[Edital],0)),"")</f>
        <v>SP</v>
      </c>
      <c r="I9084" s="11">
        <f>IFERROR(INDEX(tEditais[Encerramento],MATCH(tItens[[#This Row],[Edital]],tEditais[Edital],0)),"")</f>
        <v>46311.374305555553</v>
      </c>
      <c r="J9084" t="str">
        <f>IFERROR(INDEX(tProdutos[Classe],MATCH(tItens[[#This Row],[Produto]],tProdutos[Produto],0)),"produto não cadastrado")</f>
        <v>FORA</v>
      </c>
      <c r="K9084" s="12">
        <f>tItens[[#This Row],[Qtd]]*tItens[[#This Row],[Vlr unit]]</f>
        <v>4065.9999999999995</v>
      </c>
      <c r="L9084" s="6">
        <f>IFERROR(IF(INDEX(tProdutos[Desconto homologado],MATCH(tItens[[#This Row],[Produto]],tProdutos[Produto],0))="",DescontoPadrao,INDEX(tProdutos[Desconto homologado],MATCH(tItens[[#This Row],[Produto]],tProdutos[Produto],0))),DescontoPadrao)</f>
        <v>0.35766373163696302</v>
      </c>
      <c r="M9084" s="12">
        <f>tItens[[#This Row],[Valor]]*(1-tItens[[#This Row],[Desconto]])</f>
        <v>2611.7392671641078</v>
      </c>
      <c r="N9084" t="str">
        <f>IFERROR(INDEX(tProdutos[Foco],MATCH(tItens[[#This Row],[Produto]],tProdutos[Produto],0)),"Não")</f>
        <v>Não</v>
      </c>
      <c r="O9084" t="str">
        <f>IFERROR(INDEX(tEditais[SRP],MATCH(tItens[[#This Row],[Edital]],tEditais[Edital],0)),"Não")</f>
        <v>Não</v>
      </c>
      <c r="P9084" s="4">
        <f>IF(COUNTIFS(INDEX(tItens[Edital],1):tItens[[#This Row],[Edital]],tItens[[#This Row],[Edital]],INDEX(tItens[Produto],1):tItens[[#This Row],[Produto]],tItens[[#This Row],[Produto]])=1,1,0)</f>
        <v>1</v>
      </c>
    </row>
    <row r="9085" spans="1:16" x14ac:dyDescent="0.25">
      <c r="A9085" t="s">
        <v>3083</v>
      </c>
      <c r="B9085">
        <v>202</v>
      </c>
      <c r="C9085" t="s">
        <v>11428</v>
      </c>
      <c r="D9085" t="s">
        <v>313</v>
      </c>
      <c r="E9085" s="13">
        <v>200</v>
      </c>
      <c r="F9085" s="12">
        <v>18.760000000000002</v>
      </c>
      <c r="G9085" t="str">
        <f>IFERROR(INDEX(tEditais[Órgão],MATCH(tItens[[#This Row],[Edital]],tEditais[Edital],0)),"")</f>
        <v>MUNICIPIO DE GLICERIO</v>
      </c>
      <c r="H9085" t="str">
        <f>IFERROR(INDEX(tEditais[UF],MATCH(tItens[[#This Row],[Edital]],tEditais[Edital],0)),"")</f>
        <v>SP</v>
      </c>
      <c r="I9085" s="11">
        <f>IFERROR(INDEX(tEditais[Encerramento],MATCH(tItens[[#This Row],[Edital]],tEditais[Edital],0)),"")</f>
        <v>46311.374305555553</v>
      </c>
      <c r="J9085" t="str">
        <f>IFERROR(INDEX(tProdutos[Classe],MATCH(tItens[[#This Row],[Produto]],tProdutos[Produto],0)),"produto não cadastrado")</f>
        <v>FORA</v>
      </c>
      <c r="K9085" s="12">
        <f>tItens[[#This Row],[Qtd]]*tItens[[#This Row],[Vlr unit]]</f>
        <v>3752.0000000000005</v>
      </c>
      <c r="L9085" s="6">
        <f>IFERROR(IF(INDEX(tProdutos[Desconto homologado],MATCH(tItens[[#This Row],[Produto]],tProdutos[Produto],0))="",DescontoPadrao,INDEX(tProdutos[Desconto homologado],MATCH(tItens[[#This Row],[Produto]],tProdutos[Produto],0))),DescontoPadrao)</f>
        <v>0.35766373163696302</v>
      </c>
      <c r="M9085" s="12">
        <f>tItens[[#This Row],[Valor]]*(1-tItens[[#This Row],[Desconto]])</f>
        <v>2410.0456788981146</v>
      </c>
      <c r="N9085" t="str">
        <f>IFERROR(INDEX(tProdutos[Foco],MATCH(tItens[[#This Row],[Produto]],tProdutos[Produto],0)),"Não")</f>
        <v>Não</v>
      </c>
      <c r="O9085" t="str">
        <f>IFERROR(INDEX(tEditais[SRP],MATCH(tItens[[#This Row],[Edital]],tEditais[Edital],0)),"Não")</f>
        <v>Não</v>
      </c>
      <c r="P9085" s="4">
        <f>IF(COUNTIFS(INDEX(tItens[Edital],1):tItens[[#This Row],[Edital]],tItens[[#This Row],[Edital]],INDEX(tItens[Produto],1):tItens[[#This Row],[Produto]],tItens[[#This Row],[Produto]])=1,1,0)</f>
        <v>0</v>
      </c>
    </row>
    <row r="9086" spans="1:16" x14ac:dyDescent="0.25">
      <c r="A9086" t="s">
        <v>3083</v>
      </c>
      <c r="B9086">
        <v>203</v>
      </c>
      <c r="C9086" t="s">
        <v>11429</v>
      </c>
      <c r="D9086" t="s">
        <v>313</v>
      </c>
      <c r="E9086" s="13">
        <v>200</v>
      </c>
      <c r="F9086" s="12">
        <v>19.22</v>
      </c>
      <c r="G9086" t="str">
        <f>IFERROR(INDEX(tEditais[Órgão],MATCH(tItens[[#This Row],[Edital]],tEditais[Edital],0)),"")</f>
        <v>MUNICIPIO DE GLICERIO</v>
      </c>
      <c r="H9086" t="str">
        <f>IFERROR(INDEX(tEditais[UF],MATCH(tItens[[#This Row],[Edital]],tEditais[Edital],0)),"")</f>
        <v>SP</v>
      </c>
      <c r="I9086" s="11">
        <f>IFERROR(INDEX(tEditais[Encerramento],MATCH(tItens[[#This Row],[Edital]],tEditais[Edital],0)),"")</f>
        <v>46311.374305555553</v>
      </c>
      <c r="J9086" t="str">
        <f>IFERROR(INDEX(tProdutos[Classe],MATCH(tItens[[#This Row],[Produto]],tProdutos[Produto],0)),"produto não cadastrado")</f>
        <v>FORA</v>
      </c>
      <c r="K9086" s="12">
        <f>tItens[[#This Row],[Qtd]]*tItens[[#This Row],[Vlr unit]]</f>
        <v>3844</v>
      </c>
      <c r="L9086" s="6">
        <f>IFERROR(IF(INDEX(tProdutos[Desconto homologado],MATCH(tItens[[#This Row],[Produto]],tProdutos[Produto],0))="",DescontoPadrao,INDEX(tProdutos[Desconto homologado],MATCH(tItens[[#This Row],[Produto]],tProdutos[Produto],0))),DescontoPadrao)</f>
        <v>0.35766373163696302</v>
      </c>
      <c r="M9086" s="12">
        <f>tItens[[#This Row],[Valor]]*(1-tItens[[#This Row],[Desconto]])</f>
        <v>2469.1406155875138</v>
      </c>
      <c r="N9086" t="str">
        <f>IFERROR(INDEX(tProdutos[Foco],MATCH(tItens[[#This Row],[Produto]],tProdutos[Produto],0)),"Não")</f>
        <v>Não</v>
      </c>
      <c r="O9086" t="str">
        <f>IFERROR(INDEX(tEditais[SRP],MATCH(tItens[[#This Row],[Edital]],tEditais[Edital],0)),"Não")</f>
        <v>Não</v>
      </c>
      <c r="P9086" s="4">
        <f>IF(COUNTIFS(INDEX(tItens[Edital],1):tItens[[#This Row],[Edital]],tItens[[#This Row],[Edital]],INDEX(tItens[Produto],1):tItens[[#This Row],[Produto]],tItens[[#This Row],[Produto]])=1,1,0)</f>
        <v>0</v>
      </c>
    </row>
    <row r="9087" spans="1:16" x14ac:dyDescent="0.25">
      <c r="A9087" t="s">
        <v>3083</v>
      </c>
      <c r="B9087">
        <v>204</v>
      </c>
      <c r="C9087" t="s">
        <v>11430</v>
      </c>
      <c r="D9087" t="s">
        <v>313</v>
      </c>
      <c r="E9087" s="13">
        <v>200</v>
      </c>
      <c r="F9087" s="12">
        <v>17.510000000000002</v>
      </c>
      <c r="G9087" t="str">
        <f>IFERROR(INDEX(tEditais[Órgão],MATCH(tItens[[#This Row],[Edital]],tEditais[Edital],0)),"")</f>
        <v>MUNICIPIO DE GLICERIO</v>
      </c>
      <c r="H9087" t="str">
        <f>IFERROR(INDEX(tEditais[UF],MATCH(tItens[[#This Row],[Edital]],tEditais[Edital],0)),"")</f>
        <v>SP</v>
      </c>
      <c r="I9087" s="11">
        <f>IFERROR(INDEX(tEditais[Encerramento],MATCH(tItens[[#This Row],[Edital]],tEditais[Edital],0)),"")</f>
        <v>46311.374305555553</v>
      </c>
      <c r="J9087" t="str">
        <f>IFERROR(INDEX(tProdutos[Classe],MATCH(tItens[[#This Row],[Produto]],tProdutos[Produto],0)),"produto não cadastrado")</f>
        <v>FORA</v>
      </c>
      <c r="K9087" s="12">
        <f>tItens[[#This Row],[Qtd]]*tItens[[#This Row],[Vlr unit]]</f>
        <v>3502.0000000000005</v>
      </c>
      <c r="L9087" s="6">
        <f>IFERROR(IF(INDEX(tProdutos[Desconto homologado],MATCH(tItens[[#This Row],[Produto]],tProdutos[Produto],0))="",DescontoPadrao,INDEX(tProdutos[Desconto homologado],MATCH(tItens[[#This Row],[Produto]],tProdutos[Produto],0))),DescontoPadrao)</f>
        <v>0.35766373163696302</v>
      </c>
      <c r="M9087" s="12">
        <f>tItens[[#This Row],[Valor]]*(1-tItens[[#This Row],[Desconto]])</f>
        <v>2249.4616118073554</v>
      </c>
      <c r="N9087" t="str">
        <f>IFERROR(INDEX(tProdutos[Foco],MATCH(tItens[[#This Row],[Produto]],tProdutos[Produto],0)),"Não")</f>
        <v>Não</v>
      </c>
      <c r="O9087" t="str">
        <f>IFERROR(INDEX(tEditais[SRP],MATCH(tItens[[#This Row],[Edital]],tEditais[Edital],0)),"Não")</f>
        <v>Não</v>
      </c>
      <c r="P9087" s="4">
        <f>IF(COUNTIFS(INDEX(tItens[Edital],1):tItens[[#This Row],[Edital]],tItens[[#This Row],[Edital]],INDEX(tItens[Produto],1):tItens[[#This Row],[Produto]],tItens[[#This Row],[Produto]])=1,1,0)</f>
        <v>0</v>
      </c>
    </row>
    <row r="9088" spans="1:16" x14ac:dyDescent="0.25">
      <c r="A9088" t="s">
        <v>3083</v>
      </c>
      <c r="B9088">
        <v>205</v>
      </c>
      <c r="C9088" t="s">
        <v>11431</v>
      </c>
      <c r="D9088" t="s">
        <v>377</v>
      </c>
      <c r="E9088" s="13">
        <v>200</v>
      </c>
      <c r="F9088" s="12">
        <v>18.86</v>
      </c>
      <c r="G9088" t="str">
        <f>IFERROR(INDEX(tEditais[Órgão],MATCH(tItens[[#This Row],[Edital]],tEditais[Edital],0)),"")</f>
        <v>MUNICIPIO DE GLICERIO</v>
      </c>
      <c r="H9088" t="str">
        <f>IFERROR(INDEX(tEditais[UF],MATCH(tItens[[#This Row],[Edital]],tEditais[Edital],0)),"")</f>
        <v>SP</v>
      </c>
      <c r="I9088" s="11">
        <f>IFERROR(INDEX(tEditais[Encerramento],MATCH(tItens[[#This Row],[Edital]],tEditais[Edital],0)),"")</f>
        <v>46311.374305555553</v>
      </c>
      <c r="J9088" t="str">
        <f>IFERROR(INDEX(tProdutos[Classe],MATCH(tItens[[#This Row],[Produto]],tProdutos[Produto],0)),"produto não cadastrado")</f>
        <v>FORA</v>
      </c>
      <c r="K9088" s="12">
        <f>tItens[[#This Row],[Qtd]]*tItens[[#This Row],[Vlr unit]]</f>
        <v>3772</v>
      </c>
      <c r="L9088" s="6">
        <f>IFERROR(IF(INDEX(tProdutos[Desconto homologado],MATCH(tItens[[#This Row],[Produto]],tProdutos[Produto],0))="",DescontoPadrao,INDEX(tProdutos[Desconto homologado],MATCH(tItens[[#This Row],[Produto]],tProdutos[Produto],0))),DescontoPadrao)</f>
        <v>0.29186603777106501</v>
      </c>
      <c r="M9088" s="12">
        <f>tItens[[#This Row],[Valor]]*(1-tItens[[#This Row],[Desconto]])</f>
        <v>2671.0813055275426</v>
      </c>
      <c r="N9088" t="str">
        <f>IFERROR(INDEX(tProdutos[Foco],MATCH(tItens[[#This Row],[Produto]],tProdutos[Produto],0)),"Não")</f>
        <v>Não</v>
      </c>
      <c r="O9088" t="str">
        <f>IFERROR(INDEX(tEditais[SRP],MATCH(tItens[[#This Row],[Edital]],tEditais[Edital],0)),"Não")</f>
        <v>Não</v>
      </c>
      <c r="P9088" s="4">
        <f>IF(COUNTIFS(INDEX(tItens[Edital],1):tItens[[#This Row],[Edital]],tItens[[#This Row],[Edital]],INDEX(tItens[Produto],1):tItens[[#This Row],[Produto]],tItens[[#This Row],[Produto]])=1,1,0)</f>
        <v>1</v>
      </c>
    </row>
    <row r="9089" spans="1:16" x14ac:dyDescent="0.25">
      <c r="A9089" t="s">
        <v>3083</v>
      </c>
      <c r="B9089">
        <v>206</v>
      </c>
      <c r="C9089" t="s">
        <v>11432</v>
      </c>
      <c r="D9089" t="s">
        <v>377</v>
      </c>
      <c r="E9089" s="13">
        <v>200</v>
      </c>
      <c r="F9089" s="12">
        <v>18.760000000000002</v>
      </c>
      <c r="G9089" t="str">
        <f>IFERROR(INDEX(tEditais[Órgão],MATCH(tItens[[#This Row],[Edital]],tEditais[Edital],0)),"")</f>
        <v>MUNICIPIO DE GLICERIO</v>
      </c>
      <c r="H9089" t="str">
        <f>IFERROR(INDEX(tEditais[UF],MATCH(tItens[[#This Row],[Edital]],tEditais[Edital],0)),"")</f>
        <v>SP</v>
      </c>
      <c r="I9089" s="11">
        <f>IFERROR(INDEX(tEditais[Encerramento],MATCH(tItens[[#This Row],[Edital]],tEditais[Edital],0)),"")</f>
        <v>46311.374305555553</v>
      </c>
      <c r="J9089" t="str">
        <f>IFERROR(INDEX(tProdutos[Classe],MATCH(tItens[[#This Row],[Produto]],tProdutos[Produto],0)),"produto não cadastrado")</f>
        <v>FORA</v>
      </c>
      <c r="K9089" s="12">
        <f>tItens[[#This Row],[Qtd]]*tItens[[#This Row],[Vlr unit]]</f>
        <v>3752.0000000000005</v>
      </c>
      <c r="L9089" s="6">
        <f>IFERROR(IF(INDEX(tProdutos[Desconto homologado],MATCH(tItens[[#This Row],[Produto]],tProdutos[Produto],0))="",DescontoPadrao,INDEX(tProdutos[Desconto homologado],MATCH(tItens[[#This Row],[Produto]],tProdutos[Produto],0))),DescontoPadrao)</f>
        <v>0.29186603777106501</v>
      </c>
      <c r="M9089" s="12">
        <f>tItens[[#This Row],[Valor]]*(1-tItens[[#This Row],[Desconto]])</f>
        <v>2656.9186262829644</v>
      </c>
      <c r="N9089" t="str">
        <f>IFERROR(INDEX(tProdutos[Foco],MATCH(tItens[[#This Row],[Produto]],tProdutos[Produto],0)),"Não")</f>
        <v>Não</v>
      </c>
      <c r="O9089" t="str">
        <f>IFERROR(INDEX(tEditais[SRP],MATCH(tItens[[#This Row],[Edital]],tEditais[Edital],0)),"Não")</f>
        <v>Não</v>
      </c>
      <c r="P9089" s="4">
        <f>IF(COUNTIFS(INDEX(tItens[Edital],1):tItens[[#This Row],[Edital]],tItens[[#This Row],[Edital]],INDEX(tItens[Produto],1):tItens[[#This Row],[Produto]],tItens[[#This Row],[Produto]])=1,1,0)</f>
        <v>0</v>
      </c>
    </row>
    <row r="9090" spans="1:16" x14ac:dyDescent="0.25">
      <c r="A9090" t="s">
        <v>3083</v>
      </c>
      <c r="B9090">
        <v>208</v>
      </c>
      <c r="C9090" t="s">
        <v>11433</v>
      </c>
      <c r="D9090" t="s">
        <v>494</v>
      </c>
      <c r="E9090" s="13">
        <v>100</v>
      </c>
      <c r="F9090" s="12">
        <v>64.930000000000007</v>
      </c>
      <c r="G9090" t="str">
        <f>IFERROR(INDEX(tEditais[Órgão],MATCH(tItens[[#This Row],[Edital]],tEditais[Edital],0)),"")</f>
        <v>MUNICIPIO DE GLICERIO</v>
      </c>
      <c r="H9090" t="str">
        <f>IFERROR(INDEX(tEditais[UF],MATCH(tItens[[#This Row],[Edital]],tEditais[Edital],0)),"")</f>
        <v>SP</v>
      </c>
      <c r="I9090" s="11">
        <f>IFERROR(INDEX(tEditais[Encerramento],MATCH(tItens[[#This Row],[Edital]],tEditais[Edital],0)),"")</f>
        <v>46311.374305555553</v>
      </c>
      <c r="J9090" t="str">
        <f>IFERROR(INDEX(tProdutos[Classe],MATCH(tItens[[#This Row],[Produto]],tProdutos[Produto],0)),"produto não cadastrado")</f>
        <v>FILA REBASE</v>
      </c>
      <c r="K9090" s="12">
        <f>tItens[[#This Row],[Qtd]]*tItens[[#This Row],[Vlr unit]]</f>
        <v>6493.0000000000009</v>
      </c>
      <c r="L9090" s="6">
        <f>IFERROR(IF(INDEX(tProdutos[Desconto homologado],MATCH(tItens[[#This Row],[Produto]],tProdutos[Produto],0))="",DescontoPadrao,INDEX(tProdutos[Desconto homologado],MATCH(tItens[[#This Row],[Produto]],tProdutos[Produto],0))),DescontoPadrao)</f>
        <v>0.253736324829619</v>
      </c>
      <c r="M9090" s="12">
        <f>tItens[[#This Row],[Valor]]*(1-tItens[[#This Row],[Desconto]])</f>
        <v>4845.4900428812853</v>
      </c>
      <c r="N9090" t="str">
        <f>IFERROR(INDEX(tProdutos[Foco],MATCH(tItens[[#This Row],[Produto]],tProdutos[Produto],0)),"Não")</f>
        <v>Não</v>
      </c>
      <c r="O9090" t="str">
        <f>IFERROR(INDEX(tEditais[SRP],MATCH(tItens[[#This Row],[Edital]],tEditais[Edital],0)),"Não")</f>
        <v>Não</v>
      </c>
      <c r="P9090" s="4">
        <f>IF(COUNTIFS(INDEX(tItens[Edital],1):tItens[[#This Row],[Edital]],tItens[[#This Row],[Edital]],INDEX(tItens[Produto],1):tItens[[#This Row],[Produto]],tItens[[#This Row],[Produto]])=1,1,0)</f>
        <v>1</v>
      </c>
    </row>
    <row r="9091" spans="1:16" x14ac:dyDescent="0.25">
      <c r="A9091" t="s">
        <v>3083</v>
      </c>
      <c r="B9091">
        <v>209</v>
      </c>
      <c r="C9091" t="s">
        <v>11434</v>
      </c>
      <c r="D9091" t="s">
        <v>494</v>
      </c>
      <c r="E9091" s="13">
        <v>100</v>
      </c>
      <c r="F9091" s="12">
        <v>25.58</v>
      </c>
      <c r="G9091" t="str">
        <f>IFERROR(INDEX(tEditais[Órgão],MATCH(tItens[[#This Row],[Edital]],tEditais[Edital],0)),"")</f>
        <v>MUNICIPIO DE GLICERIO</v>
      </c>
      <c r="H9091" t="str">
        <f>IFERROR(INDEX(tEditais[UF],MATCH(tItens[[#This Row],[Edital]],tEditais[Edital],0)),"")</f>
        <v>SP</v>
      </c>
      <c r="I9091" s="11">
        <f>IFERROR(INDEX(tEditais[Encerramento],MATCH(tItens[[#This Row],[Edital]],tEditais[Edital],0)),"")</f>
        <v>46311.374305555553</v>
      </c>
      <c r="J9091" t="str">
        <f>IFERROR(INDEX(tProdutos[Classe],MATCH(tItens[[#This Row],[Produto]],tProdutos[Produto],0)),"produto não cadastrado")</f>
        <v>FILA REBASE</v>
      </c>
      <c r="K9091" s="12">
        <f>tItens[[#This Row],[Qtd]]*tItens[[#This Row],[Vlr unit]]</f>
        <v>2558</v>
      </c>
      <c r="L9091" s="6">
        <f>IFERROR(IF(INDEX(tProdutos[Desconto homologado],MATCH(tItens[[#This Row],[Produto]],tProdutos[Produto],0))="",DescontoPadrao,INDEX(tProdutos[Desconto homologado],MATCH(tItens[[#This Row],[Produto]],tProdutos[Produto],0))),DescontoPadrao)</f>
        <v>0.253736324829619</v>
      </c>
      <c r="M9091" s="12">
        <f>tItens[[#This Row],[Valor]]*(1-tItens[[#This Row],[Desconto]])</f>
        <v>1908.9424810858347</v>
      </c>
      <c r="N9091" t="str">
        <f>IFERROR(INDEX(tProdutos[Foco],MATCH(tItens[[#This Row],[Produto]],tProdutos[Produto],0)),"Não")</f>
        <v>Não</v>
      </c>
      <c r="O9091" t="str">
        <f>IFERROR(INDEX(tEditais[SRP],MATCH(tItens[[#This Row],[Edital]],tEditais[Edital],0)),"Não")</f>
        <v>Não</v>
      </c>
      <c r="P9091" s="4">
        <f>IF(COUNTIFS(INDEX(tItens[Edital],1):tItens[[#This Row],[Edital]],tItens[[#This Row],[Edital]],INDEX(tItens[Produto],1):tItens[[#This Row],[Produto]],tItens[[#This Row],[Produto]])=1,1,0)</f>
        <v>0</v>
      </c>
    </row>
    <row r="9092" spans="1:16" x14ac:dyDescent="0.25">
      <c r="A9092" t="s">
        <v>3083</v>
      </c>
      <c r="B9092">
        <v>210</v>
      </c>
      <c r="C9092" t="s">
        <v>11435</v>
      </c>
      <c r="D9092" t="s">
        <v>494</v>
      </c>
      <c r="E9092" s="13">
        <v>50</v>
      </c>
      <c r="F9092" s="12">
        <v>94.3</v>
      </c>
      <c r="G9092" t="str">
        <f>IFERROR(INDEX(tEditais[Órgão],MATCH(tItens[[#This Row],[Edital]],tEditais[Edital],0)),"")</f>
        <v>MUNICIPIO DE GLICERIO</v>
      </c>
      <c r="H9092" t="str">
        <f>IFERROR(INDEX(tEditais[UF],MATCH(tItens[[#This Row],[Edital]],tEditais[Edital],0)),"")</f>
        <v>SP</v>
      </c>
      <c r="I9092" s="11">
        <f>IFERROR(INDEX(tEditais[Encerramento],MATCH(tItens[[#This Row],[Edital]],tEditais[Edital],0)),"")</f>
        <v>46311.374305555553</v>
      </c>
      <c r="J9092" t="str">
        <f>IFERROR(INDEX(tProdutos[Classe],MATCH(tItens[[#This Row],[Produto]],tProdutos[Produto],0)),"produto não cadastrado")</f>
        <v>FILA REBASE</v>
      </c>
      <c r="K9092" s="12">
        <f>tItens[[#This Row],[Qtd]]*tItens[[#This Row],[Vlr unit]]</f>
        <v>4715</v>
      </c>
      <c r="L9092" s="6">
        <f>IFERROR(IF(INDEX(tProdutos[Desconto homologado],MATCH(tItens[[#This Row],[Produto]],tProdutos[Produto],0))="",DescontoPadrao,INDEX(tProdutos[Desconto homologado],MATCH(tItens[[#This Row],[Produto]],tProdutos[Produto],0))),DescontoPadrao)</f>
        <v>0.253736324829619</v>
      </c>
      <c r="M9092" s="12">
        <f>tItens[[#This Row],[Valor]]*(1-tItens[[#This Row],[Desconto]])</f>
        <v>3518.6332284283467</v>
      </c>
      <c r="N9092" t="str">
        <f>IFERROR(INDEX(tProdutos[Foco],MATCH(tItens[[#This Row],[Produto]],tProdutos[Produto],0)),"Não")</f>
        <v>Não</v>
      </c>
      <c r="O9092" t="str">
        <f>IFERROR(INDEX(tEditais[SRP],MATCH(tItens[[#This Row],[Edital]],tEditais[Edital],0)),"Não")</f>
        <v>Não</v>
      </c>
      <c r="P9092" s="4">
        <f>IF(COUNTIFS(INDEX(tItens[Edital],1):tItens[[#This Row],[Edital]],tItens[[#This Row],[Edital]],INDEX(tItens[Produto],1):tItens[[#This Row],[Produto]],tItens[[#This Row],[Produto]])=1,1,0)</f>
        <v>0</v>
      </c>
    </row>
    <row r="9093" spans="1:16" x14ac:dyDescent="0.25">
      <c r="A9093" t="s">
        <v>3087</v>
      </c>
      <c r="B9093">
        <v>6</v>
      </c>
      <c r="C9093" t="s">
        <v>7761</v>
      </c>
      <c r="D9093" t="s">
        <v>339</v>
      </c>
      <c r="E9093" s="13">
        <v>900</v>
      </c>
      <c r="F9093" s="12">
        <v>0</v>
      </c>
      <c r="G9093" t="str">
        <f>IFERROR(INDEX(tEditais[Órgão],MATCH(tItens[[#This Row],[Edital]],tEditais[Edital],0)),"")</f>
        <v>SECRETARIA DE ESTADO DA SAUDE</v>
      </c>
      <c r="H9093" t="str">
        <f>IFERROR(INDEX(tEditais[UF],MATCH(tItens[[#This Row],[Edital]],tEditais[Edital],0)),"")</f>
        <v>SP</v>
      </c>
      <c r="I9093" s="11">
        <f>IFERROR(INDEX(tEditais[Encerramento],MATCH(tItens[[#This Row],[Edital]],tEditais[Edital],0)),"")</f>
        <v>46311.375</v>
      </c>
      <c r="J9093" t="str">
        <f>IFERROR(INDEX(tProdutos[Classe],MATCH(tItens[[#This Row],[Produto]],tProdutos[Produto],0)),"produto não cadastrado")</f>
        <v>FORA</v>
      </c>
      <c r="K9093" s="12">
        <f>tItens[[#This Row],[Qtd]]*tItens[[#This Row],[Vlr unit]]</f>
        <v>0</v>
      </c>
      <c r="L9093" s="6">
        <f>IFERROR(IF(INDEX(tProdutos[Desconto homologado],MATCH(tItens[[#This Row],[Produto]],tProdutos[Produto],0))="",DescontoPadrao,INDEX(tProdutos[Desconto homologado],MATCH(tItens[[#This Row],[Produto]],tProdutos[Produto],0))),DescontoPadrao)</f>
        <v>0.35388629091804102</v>
      </c>
      <c r="M9093" s="12">
        <f>tItens[[#This Row],[Valor]]*(1-tItens[[#This Row],[Desconto]])</f>
        <v>0</v>
      </c>
      <c r="N9093" t="str">
        <f>IFERROR(INDEX(tProdutos[Foco],MATCH(tItens[[#This Row],[Produto]],tProdutos[Produto],0)),"Não")</f>
        <v>Não</v>
      </c>
      <c r="O9093" t="str">
        <f>IFERROR(INDEX(tEditais[SRP],MATCH(tItens[[#This Row],[Edital]],tEditais[Edital],0)),"Não")</f>
        <v>Não</v>
      </c>
      <c r="P9093" s="4">
        <f>IF(COUNTIFS(INDEX(tItens[Edital],1):tItens[[#This Row],[Edital]],tItens[[#This Row],[Edital]],INDEX(tItens[Produto],1):tItens[[#This Row],[Produto]],tItens[[#This Row],[Produto]])=1,1,0)</f>
        <v>1</v>
      </c>
    </row>
    <row r="9094" spans="1:16" x14ac:dyDescent="0.25">
      <c r="A9094" t="s">
        <v>3089</v>
      </c>
      <c r="B9094">
        <v>3</v>
      </c>
      <c r="C9094" t="s">
        <v>11436</v>
      </c>
      <c r="D9094" t="s">
        <v>309</v>
      </c>
      <c r="E9094" s="13">
        <v>120</v>
      </c>
      <c r="F9094" s="12">
        <v>57.92</v>
      </c>
      <c r="G9094" t="str">
        <f>IFERROR(INDEX(tEditais[Órgão],MATCH(tItens[[#This Row],[Edital]],tEditais[Edital],0)),"")</f>
        <v>MUNICIPIO DE ILHABELA</v>
      </c>
      <c r="H9094" t="str">
        <f>IFERROR(INDEX(tEditais[UF],MATCH(tItens[[#This Row],[Edital]],tEditais[Edital],0)),"")</f>
        <v>SP</v>
      </c>
      <c r="I9094" s="11">
        <f>IFERROR(INDEX(tEditais[Encerramento],MATCH(tItens[[#This Row],[Edital]],tEditais[Edital],0)),"")</f>
        <v>46311.375</v>
      </c>
      <c r="J9094" t="str">
        <f>IFERROR(INDEX(tProdutos[Classe],MATCH(tItens[[#This Row],[Produto]],tProdutos[Produto],0)),"produto não cadastrado")</f>
        <v>DISPUTADO</v>
      </c>
      <c r="K9094" s="12">
        <f>tItens[[#This Row],[Qtd]]*tItens[[#This Row],[Vlr unit]]</f>
        <v>6950.4000000000005</v>
      </c>
      <c r="L9094" s="6">
        <f>IFERROR(IF(INDEX(tProdutos[Desconto homologado],MATCH(tItens[[#This Row],[Produto]],tProdutos[Produto],0))="",DescontoPadrao,INDEX(tProdutos[Desconto homologado],MATCH(tItens[[#This Row],[Produto]],tProdutos[Produto],0))),DescontoPadrao)</f>
        <v>0.329229323455968</v>
      </c>
      <c r="M9094" s="12">
        <f>tItens[[#This Row],[Valor]]*(1-tItens[[#This Row],[Desconto]])</f>
        <v>4662.1245102516405</v>
      </c>
      <c r="N9094" t="str">
        <f>IFERROR(INDEX(tProdutos[Foco],MATCH(tItens[[#This Row],[Produto]],tProdutos[Produto],0)),"Não")</f>
        <v>Não</v>
      </c>
      <c r="O9094" t="str">
        <f>IFERROR(INDEX(tEditais[SRP],MATCH(tItens[[#This Row],[Edital]],tEditais[Edital],0)),"Não")</f>
        <v>Sim</v>
      </c>
      <c r="P9094" s="4">
        <f>IF(COUNTIFS(INDEX(tItens[Edital],1):tItens[[#This Row],[Edital]],tItens[[#This Row],[Edital]],INDEX(tItens[Produto],1):tItens[[#This Row],[Produto]],tItens[[#This Row],[Produto]])=1,1,0)</f>
        <v>1</v>
      </c>
    </row>
    <row r="9095" spans="1:16" x14ac:dyDescent="0.25">
      <c r="A9095" t="s">
        <v>3089</v>
      </c>
      <c r="B9095">
        <v>4</v>
      </c>
      <c r="C9095" t="s">
        <v>11437</v>
      </c>
      <c r="D9095" t="s">
        <v>309</v>
      </c>
      <c r="E9095" s="13">
        <v>120</v>
      </c>
      <c r="F9095" s="12">
        <v>88.98</v>
      </c>
      <c r="G9095" t="str">
        <f>IFERROR(INDEX(tEditais[Órgão],MATCH(tItens[[#This Row],[Edital]],tEditais[Edital],0)),"")</f>
        <v>MUNICIPIO DE ILHABELA</v>
      </c>
      <c r="H9095" t="str">
        <f>IFERROR(INDEX(tEditais[UF],MATCH(tItens[[#This Row],[Edital]],tEditais[Edital],0)),"")</f>
        <v>SP</v>
      </c>
      <c r="I9095" s="11">
        <f>IFERROR(INDEX(tEditais[Encerramento],MATCH(tItens[[#This Row],[Edital]],tEditais[Edital],0)),"")</f>
        <v>46311.375</v>
      </c>
      <c r="J9095" t="str">
        <f>IFERROR(INDEX(tProdutos[Classe],MATCH(tItens[[#This Row],[Produto]],tProdutos[Produto],0)),"produto não cadastrado")</f>
        <v>DISPUTADO</v>
      </c>
      <c r="K9095" s="12">
        <f>tItens[[#This Row],[Qtd]]*tItens[[#This Row],[Vlr unit]]</f>
        <v>10677.6</v>
      </c>
      <c r="L9095" s="6">
        <f>IFERROR(IF(INDEX(tProdutos[Desconto homologado],MATCH(tItens[[#This Row],[Produto]],tProdutos[Produto],0))="",DescontoPadrao,INDEX(tProdutos[Desconto homologado],MATCH(tItens[[#This Row],[Produto]],tProdutos[Produto],0))),DescontoPadrao)</f>
        <v>0.329229323455968</v>
      </c>
      <c r="M9095" s="12">
        <f>tItens[[#This Row],[Valor]]*(1-tItens[[#This Row],[Desconto]])</f>
        <v>7162.2209758665567</v>
      </c>
      <c r="N9095" t="str">
        <f>IFERROR(INDEX(tProdutos[Foco],MATCH(tItens[[#This Row],[Produto]],tProdutos[Produto],0)),"Não")</f>
        <v>Não</v>
      </c>
      <c r="O9095" t="str">
        <f>IFERROR(INDEX(tEditais[SRP],MATCH(tItens[[#This Row],[Edital]],tEditais[Edital],0)),"Não")</f>
        <v>Sim</v>
      </c>
      <c r="P9095" s="4">
        <f>IF(COUNTIFS(INDEX(tItens[Edital],1):tItens[[#This Row],[Edital]],tItens[[#This Row],[Edital]],INDEX(tItens[Produto],1):tItens[[#This Row],[Produto]],tItens[[#This Row],[Produto]])=1,1,0)</f>
        <v>0</v>
      </c>
    </row>
    <row r="9096" spans="1:16" x14ac:dyDescent="0.25">
      <c r="A9096" t="s">
        <v>3091</v>
      </c>
      <c r="B9096">
        <v>9</v>
      </c>
      <c r="C9096" t="s">
        <v>11438</v>
      </c>
      <c r="D9096" t="s">
        <v>339</v>
      </c>
      <c r="E9096" s="13">
        <v>689190</v>
      </c>
      <c r="F9096" s="12">
        <v>0.71</v>
      </c>
      <c r="G9096" t="str">
        <f>IFERROR(INDEX(tEditais[Órgão],MATCH(tItens[[#This Row],[Edital]],tEditais[Edital],0)),"")</f>
        <v>MUNICIPIO DE GUARULHOS</v>
      </c>
      <c r="H9096" t="str">
        <f>IFERROR(INDEX(tEditais[UF],MATCH(tItens[[#This Row],[Edital]],tEditais[Edital],0)),"")</f>
        <v>SP</v>
      </c>
      <c r="I9096" s="11">
        <f>IFERROR(INDEX(tEditais[Encerramento],MATCH(tItens[[#This Row],[Edital]],tEditais[Edital],0)),"")</f>
        <v>46311.375</v>
      </c>
      <c r="J9096" t="str">
        <f>IFERROR(INDEX(tProdutos[Classe],MATCH(tItens[[#This Row],[Produto]],tProdutos[Produto],0)),"produto não cadastrado")</f>
        <v>FORA</v>
      </c>
      <c r="K9096" s="12">
        <f>tItens[[#This Row],[Qtd]]*tItens[[#This Row],[Vlr unit]]</f>
        <v>489324.89999999997</v>
      </c>
      <c r="L9096" s="6">
        <f>IFERROR(IF(INDEX(tProdutos[Desconto homologado],MATCH(tItens[[#This Row],[Produto]],tProdutos[Produto],0))="",DescontoPadrao,INDEX(tProdutos[Desconto homologado],MATCH(tItens[[#This Row],[Produto]],tProdutos[Produto],0))),DescontoPadrao)</f>
        <v>0.35388629091804102</v>
      </c>
      <c r="M9096" s="12">
        <f>tItens[[#This Row],[Valor]]*(1-tItens[[#This Row],[Desconto]])</f>
        <v>316159.52608515864</v>
      </c>
      <c r="N9096" t="str">
        <f>IFERROR(INDEX(tProdutos[Foco],MATCH(tItens[[#This Row],[Produto]],tProdutos[Produto],0)),"Não")</f>
        <v>Não</v>
      </c>
      <c r="O9096" t="str">
        <f>IFERROR(INDEX(tEditais[SRP],MATCH(tItens[[#This Row],[Edital]],tEditais[Edital],0)),"Não")</f>
        <v>Sim</v>
      </c>
      <c r="P9096" s="4">
        <f>IF(COUNTIFS(INDEX(tItens[Edital],1):tItens[[#This Row],[Edital]],tItens[[#This Row],[Edital]],INDEX(tItens[Produto],1):tItens[[#This Row],[Produto]],tItens[[#This Row],[Produto]])=1,1,0)</f>
        <v>1</v>
      </c>
    </row>
    <row r="9097" spans="1:16" x14ac:dyDescent="0.25">
      <c r="A9097" t="s">
        <v>3091</v>
      </c>
      <c r="B9097">
        <v>10</v>
      </c>
      <c r="C9097" t="s">
        <v>11439</v>
      </c>
      <c r="D9097" t="s">
        <v>339</v>
      </c>
      <c r="E9097" s="13">
        <v>333840</v>
      </c>
      <c r="F9097" s="12">
        <v>0.56000000000000005</v>
      </c>
      <c r="G9097" t="str">
        <f>IFERROR(INDEX(tEditais[Órgão],MATCH(tItens[[#This Row],[Edital]],tEditais[Edital],0)),"")</f>
        <v>MUNICIPIO DE GUARULHOS</v>
      </c>
      <c r="H9097" t="str">
        <f>IFERROR(INDEX(tEditais[UF],MATCH(tItens[[#This Row],[Edital]],tEditais[Edital],0)),"")</f>
        <v>SP</v>
      </c>
      <c r="I9097" s="11">
        <f>IFERROR(INDEX(tEditais[Encerramento],MATCH(tItens[[#This Row],[Edital]],tEditais[Edital],0)),"")</f>
        <v>46311.375</v>
      </c>
      <c r="J9097" t="str">
        <f>IFERROR(INDEX(tProdutos[Classe],MATCH(tItens[[#This Row],[Produto]],tProdutos[Produto],0)),"produto não cadastrado")</f>
        <v>FORA</v>
      </c>
      <c r="K9097" s="12">
        <f>tItens[[#This Row],[Qtd]]*tItens[[#This Row],[Vlr unit]]</f>
        <v>186950.40000000002</v>
      </c>
      <c r="L9097" s="6">
        <f>IFERROR(IF(INDEX(tProdutos[Desconto homologado],MATCH(tItens[[#This Row],[Produto]],tProdutos[Produto],0))="",DescontoPadrao,INDEX(tProdutos[Desconto homologado],MATCH(tItens[[#This Row],[Produto]],tProdutos[Produto],0))),DescontoPadrao)</f>
        <v>0.35388629091804102</v>
      </c>
      <c r="M9097" s="12">
        <f>tItens[[#This Row],[Valor]]*(1-tItens[[#This Row],[Desconto]])</f>
        <v>120791.21635835587</v>
      </c>
      <c r="N9097" t="str">
        <f>IFERROR(INDEX(tProdutos[Foco],MATCH(tItens[[#This Row],[Produto]],tProdutos[Produto],0)),"Não")</f>
        <v>Não</v>
      </c>
      <c r="O9097" t="str">
        <f>IFERROR(INDEX(tEditais[SRP],MATCH(tItens[[#This Row],[Edital]],tEditais[Edital],0)),"Não")</f>
        <v>Sim</v>
      </c>
      <c r="P9097" s="4">
        <f>IF(COUNTIFS(INDEX(tItens[Edital],1):tItens[[#This Row],[Edital]],tItens[[#This Row],[Edital]],INDEX(tItens[Produto],1):tItens[[#This Row],[Produto]],tItens[[#This Row],[Produto]])=1,1,0)</f>
        <v>0</v>
      </c>
    </row>
    <row r="9098" spans="1:16" x14ac:dyDescent="0.25">
      <c r="A9098" t="s">
        <v>3091</v>
      </c>
      <c r="B9098">
        <v>11</v>
      </c>
      <c r="C9098" t="s">
        <v>11440</v>
      </c>
      <c r="D9098" t="s">
        <v>339</v>
      </c>
      <c r="E9098" s="13">
        <v>405400</v>
      </c>
      <c r="F9098" s="12">
        <v>0.49</v>
      </c>
      <c r="G9098" t="str">
        <f>IFERROR(INDEX(tEditais[Órgão],MATCH(tItens[[#This Row],[Edital]],tEditais[Edital],0)),"")</f>
        <v>MUNICIPIO DE GUARULHOS</v>
      </c>
      <c r="H9098" t="str">
        <f>IFERROR(INDEX(tEditais[UF],MATCH(tItens[[#This Row],[Edital]],tEditais[Edital],0)),"")</f>
        <v>SP</v>
      </c>
      <c r="I9098" s="11">
        <f>IFERROR(INDEX(tEditais[Encerramento],MATCH(tItens[[#This Row],[Edital]],tEditais[Edital],0)),"")</f>
        <v>46311.375</v>
      </c>
      <c r="J9098" t="str">
        <f>IFERROR(INDEX(tProdutos[Classe],MATCH(tItens[[#This Row],[Produto]],tProdutos[Produto],0)),"produto não cadastrado")</f>
        <v>FORA</v>
      </c>
      <c r="K9098" s="12">
        <f>tItens[[#This Row],[Qtd]]*tItens[[#This Row],[Vlr unit]]</f>
        <v>198646</v>
      </c>
      <c r="L9098" s="6">
        <f>IFERROR(IF(INDEX(tProdutos[Desconto homologado],MATCH(tItens[[#This Row],[Produto]],tProdutos[Produto],0))="",DescontoPadrao,INDEX(tProdutos[Desconto homologado],MATCH(tItens[[#This Row],[Produto]],tProdutos[Produto],0))),DescontoPadrao)</f>
        <v>0.35388629091804102</v>
      </c>
      <c r="M9098" s="12">
        <f>tItens[[#This Row],[Valor]]*(1-tItens[[#This Row],[Desconto]])</f>
        <v>128347.90385429483</v>
      </c>
      <c r="N9098" t="str">
        <f>IFERROR(INDEX(tProdutos[Foco],MATCH(tItens[[#This Row],[Produto]],tProdutos[Produto],0)),"Não")</f>
        <v>Não</v>
      </c>
      <c r="O9098" t="str">
        <f>IFERROR(INDEX(tEditais[SRP],MATCH(tItens[[#This Row],[Edital]],tEditais[Edital],0)),"Não")</f>
        <v>Sim</v>
      </c>
      <c r="P9098" s="4">
        <f>IF(COUNTIFS(INDEX(tItens[Edital],1):tItens[[#This Row],[Edital]],tItens[[#This Row],[Edital]],INDEX(tItens[Produto],1):tItens[[#This Row],[Produto]],tItens[[#This Row],[Produto]])=1,1,0)</f>
        <v>0</v>
      </c>
    </row>
    <row r="9099" spans="1:16" x14ac:dyDescent="0.25">
      <c r="A9099" t="s">
        <v>3091</v>
      </c>
      <c r="B9099">
        <v>12</v>
      </c>
      <c r="C9099" t="s">
        <v>11441</v>
      </c>
      <c r="D9099" t="s">
        <v>339</v>
      </c>
      <c r="E9099" s="13">
        <v>102412</v>
      </c>
      <c r="F9099" s="12">
        <v>0.53</v>
      </c>
      <c r="G9099" t="str">
        <f>IFERROR(INDEX(tEditais[Órgão],MATCH(tItens[[#This Row],[Edital]],tEditais[Edital],0)),"")</f>
        <v>MUNICIPIO DE GUARULHOS</v>
      </c>
      <c r="H9099" t="str">
        <f>IFERROR(INDEX(tEditais[UF],MATCH(tItens[[#This Row],[Edital]],tEditais[Edital],0)),"")</f>
        <v>SP</v>
      </c>
      <c r="I9099" s="11">
        <f>IFERROR(INDEX(tEditais[Encerramento],MATCH(tItens[[#This Row],[Edital]],tEditais[Edital],0)),"")</f>
        <v>46311.375</v>
      </c>
      <c r="J9099" t="str">
        <f>IFERROR(INDEX(tProdutos[Classe],MATCH(tItens[[#This Row],[Produto]],tProdutos[Produto],0)),"produto não cadastrado")</f>
        <v>FORA</v>
      </c>
      <c r="K9099" s="12">
        <f>tItens[[#This Row],[Qtd]]*tItens[[#This Row],[Vlr unit]]</f>
        <v>54278.36</v>
      </c>
      <c r="L9099" s="6">
        <f>IFERROR(IF(INDEX(tProdutos[Desconto homologado],MATCH(tItens[[#This Row],[Produto]],tProdutos[Produto],0))="",DescontoPadrao,INDEX(tProdutos[Desconto homologado],MATCH(tItens[[#This Row],[Produto]],tProdutos[Produto],0))),DescontoPadrao)</f>
        <v>0.35388629091804102</v>
      </c>
      <c r="M9099" s="12">
        <f>tItens[[#This Row],[Valor]]*(1-tItens[[#This Row],[Desconto]])</f>
        <v>35069.992502485838</v>
      </c>
      <c r="N9099" t="str">
        <f>IFERROR(INDEX(tProdutos[Foco],MATCH(tItens[[#This Row],[Produto]],tProdutos[Produto],0)),"Não")</f>
        <v>Não</v>
      </c>
      <c r="O9099" t="str">
        <f>IFERROR(INDEX(tEditais[SRP],MATCH(tItens[[#This Row],[Edital]],tEditais[Edital],0)),"Não")</f>
        <v>Sim</v>
      </c>
      <c r="P9099" s="4">
        <f>IF(COUNTIFS(INDEX(tItens[Edital],1):tItens[[#This Row],[Edital]],tItens[[#This Row],[Edital]],INDEX(tItens[Produto],1):tItens[[#This Row],[Produto]],tItens[[#This Row],[Produto]])=1,1,0)</f>
        <v>0</v>
      </c>
    </row>
    <row r="9100" spans="1:16" x14ac:dyDescent="0.25">
      <c r="A9100" t="s">
        <v>3095</v>
      </c>
      <c r="B9100">
        <v>3</v>
      </c>
      <c r="C9100" t="s">
        <v>4184</v>
      </c>
      <c r="D9100" t="s">
        <v>277</v>
      </c>
      <c r="E9100" s="13">
        <v>2400</v>
      </c>
      <c r="F9100" s="12">
        <v>0</v>
      </c>
      <c r="G9100" t="str">
        <f>IFERROR(INDEX(tEditais[Órgão],MATCH(tItens[[#This Row],[Edital]],tEditais[Edital],0)),"")</f>
        <v>SECRETARIA DE ESTADO DA SAUDE</v>
      </c>
      <c r="H9100" t="str">
        <f>IFERROR(INDEX(tEditais[UF],MATCH(tItens[[#This Row],[Edital]],tEditais[Edital],0)),"")</f>
        <v>SP</v>
      </c>
      <c r="I9100" s="11">
        <f>IFERROR(INDEX(tEditais[Encerramento],MATCH(tItens[[#This Row],[Edital]],tEditais[Edital],0)),"")</f>
        <v>46311.375</v>
      </c>
      <c r="J9100" t="str">
        <f>IFERROR(INDEX(tProdutos[Classe],MATCH(tItens[[#This Row],[Produto]],tProdutos[Produto],0)),"produto não cadastrado")</f>
        <v>DISPUTADO</v>
      </c>
      <c r="K9100" s="12">
        <f>tItens[[#This Row],[Qtd]]*tItens[[#This Row],[Vlr unit]]</f>
        <v>0</v>
      </c>
      <c r="L9100" s="6">
        <f>IFERROR(IF(INDEX(tProdutos[Desconto homologado],MATCH(tItens[[#This Row],[Produto]],tProdutos[Produto],0))="",DescontoPadrao,INDEX(tProdutos[Desconto homologado],MATCH(tItens[[#This Row],[Produto]],tProdutos[Produto],0))),DescontoPadrao)</f>
        <v>0.50460666194188497</v>
      </c>
      <c r="M9100" s="12">
        <f>tItens[[#This Row],[Valor]]*(1-tItens[[#This Row],[Desconto]])</f>
        <v>0</v>
      </c>
      <c r="N9100" t="str">
        <f>IFERROR(INDEX(tProdutos[Foco],MATCH(tItens[[#This Row],[Produto]],tProdutos[Produto],0)),"Não")</f>
        <v>Não</v>
      </c>
      <c r="O9100" t="str">
        <f>IFERROR(INDEX(tEditais[SRP],MATCH(tItens[[#This Row],[Edital]],tEditais[Edital],0)),"Não")</f>
        <v>Não</v>
      </c>
      <c r="P9100" s="4">
        <f>IF(COUNTIFS(INDEX(tItens[Edital],1):tItens[[#This Row],[Edital]],tItens[[#This Row],[Edital]],INDEX(tItens[Produto],1):tItens[[#This Row],[Produto]],tItens[[#This Row],[Produto]])=1,1,0)</f>
        <v>1</v>
      </c>
    </row>
    <row r="9101" spans="1:16" x14ac:dyDescent="0.25">
      <c r="A9101" t="s">
        <v>3098</v>
      </c>
      <c r="B9101">
        <v>2</v>
      </c>
      <c r="C9101" t="s">
        <v>11442</v>
      </c>
      <c r="D9101" t="s">
        <v>160</v>
      </c>
      <c r="E9101" s="13">
        <v>130</v>
      </c>
      <c r="F9101" s="12">
        <v>10.36</v>
      </c>
      <c r="G9101" t="str">
        <f>IFERROR(INDEX(tEditais[Órgão],MATCH(tItens[[#This Row],[Edital]],tEditais[Edital],0)),"")</f>
        <v>MUNICIPIO DE BARRETOS</v>
      </c>
      <c r="H9101" t="str">
        <f>IFERROR(INDEX(tEditais[UF],MATCH(tItens[[#This Row],[Edital]],tEditais[Edital],0)),"")</f>
        <v>SP</v>
      </c>
      <c r="I9101" s="11">
        <f>IFERROR(INDEX(tEditais[Encerramento],MATCH(tItens[[#This Row],[Edital]],tEditais[Edital],0)),"")</f>
        <v>46311.375</v>
      </c>
      <c r="J9101" t="str">
        <f>IFERROR(INDEX(tProdutos[Classe],MATCH(tItens[[#This Row],[Produto]],tProdutos[Produto],0)),"produto não cadastrado")</f>
        <v>DISPUTADO</v>
      </c>
      <c r="K9101" s="12">
        <f>tItens[[#This Row],[Qtd]]*tItens[[#This Row],[Vlr unit]]</f>
        <v>1346.8</v>
      </c>
      <c r="L9101" s="6">
        <f>IFERROR(IF(INDEX(tProdutos[Desconto homologado],MATCH(tItens[[#This Row],[Produto]],tProdutos[Produto],0))="",DescontoPadrao,INDEX(tProdutos[Desconto homologado],MATCH(tItens[[#This Row],[Produto]],tProdutos[Produto],0))),DescontoPadrao)</f>
        <v>0.28000000000000003</v>
      </c>
      <c r="M9101" s="12">
        <f>tItens[[#This Row],[Valor]]*(1-tItens[[#This Row],[Desconto]])</f>
        <v>969.69599999999991</v>
      </c>
      <c r="N9101" t="str">
        <f>IFERROR(INDEX(tProdutos[Foco],MATCH(tItens[[#This Row],[Produto]],tProdutos[Produto],0)),"Não")</f>
        <v>Sim</v>
      </c>
      <c r="O9101" t="str">
        <f>IFERROR(INDEX(tEditais[SRP],MATCH(tItens[[#This Row],[Edital]],tEditais[Edital],0)),"Não")</f>
        <v>Não</v>
      </c>
      <c r="P9101" s="4">
        <f>IF(COUNTIFS(INDEX(tItens[Edital],1):tItens[[#This Row],[Edital]],tItens[[#This Row],[Edital]],INDEX(tItens[Produto],1):tItens[[#This Row],[Produto]],tItens[[#This Row],[Produto]])=1,1,0)</f>
        <v>1</v>
      </c>
    </row>
    <row r="9102" spans="1:16" x14ac:dyDescent="0.25">
      <c r="A9102" t="s">
        <v>3098</v>
      </c>
      <c r="B9102">
        <v>3</v>
      </c>
      <c r="C9102" t="s">
        <v>11443</v>
      </c>
      <c r="D9102" t="s">
        <v>409</v>
      </c>
      <c r="E9102" s="13">
        <v>130</v>
      </c>
      <c r="F9102" s="12">
        <v>8.1999999999999993</v>
      </c>
      <c r="G9102" t="str">
        <f>IFERROR(INDEX(tEditais[Órgão],MATCH(tItens[[#This Row],[Edital]],tEditais[Edital],0)),"")</f>
        <v>MUNICIPIO DE BARRETOS</v>
      </c>
      <c r="H9102" t="str">
        <f>IFERROR(INDEX(tEditais[UF],MATCH(tItens[[#This Row],[Edital]],tEditais[Edital],0)),"")</f>
        <v>SP</v>
      </c>
      <c r="I9102" s="11">
        <f>IFERROR(INDEX(tEditais[Encerramento],MATCH(tItens[[#This Row],[Edital]],tEditais[Edital],0)),"")</f>
        <v>46311.375</v>
      </c>
      <c r="J9102" t="str">
        <f>IFERROR(INDEX(tProdutos[Classe],MATCH(tItens[[#This Row],[Produto]],tProdutos[Produto],0)),"produto não cadastrado")</f>
        <v>FORA</v>
      </c>
      <c r="K9102" s="12">
        <f>tItens[[#This Row],[Qtd]]*tItens[[#This Row],[Vlr unit]]</f>
        <v>1066</v>
      </c>
      <c r="L9102" s="6">
        <f>IFERROR(IF(INDEX(tProdutos[Desconto homologado],MATCH(tItens[[#This Row],[Produto]],tProdutos[Produto],0))="",DescontoPadrao,INDEX(tProdutos[Desconto homologado],MATCH(tItens[[#This Row],[Produto]],tProdutos[Produto],0))),DescontoPadrao)</f>
        <v>0.24924924924924899</v>
      </c>
      <c r="M9102" s="12">
        <f>tItens[[#This Row],[Valor]]*(1-tItens[[#This Row],[Desconto]])</f>
        <v>800.30030030030059</v>
      </c>
      <c r="N9102" t="str">
        <f>IFERROR(INDEX(tProdutos[Foco],MATCH(tItens[[#This Row],[Produto]],tProdutos[Produto],0)),"Não")</f>
        <v>Não</v>
      </c>
      <c r="O9102" t="str">
        <f>IFERROR(INDEX(tEditais[SRP],MATCH(tItens[[#This Row],[Edital]],tEditais[Edital],0)),"Não")</f>
        <v>Não</v>
      </c>
      <c r="P9102" s="4">
        <f>IF(COUNTIFS(INDEX(tItens[Edital],1):tItens[[#This Row],[Edital]],tItens[[#This Row],[Edital]],INDEX(tItens[Produto],1):tItens[[#This Row],[Produto]],tItens[[#This Row],[Produto]])=1,1,0)</f>
        <v>1</v>
      </c>
    </row>
    <row r="9103" spans="1:16" x14ac:dyDescent="0.25">
      <c r="A9103" t="s">
        <v>3098</v>
      </c>
      <c r="B9103">
        <v>4</v>
      </c>
      <c r="C9103" t="s">
        <v>11444</v>
      </c>
      <c r="D9103" t="s">
        <v>343</v>
      </c>
      <c r="E9103" s="13">
        <v>100</v>
      </c>
      <c r="F9103" s="12">
        <v>3.43</v>
      </c>
      <c r="G9103" t="str">
        <f>IFERROR(INDEX(tEditais[Órgão],MATCH(tItens[[#This Row],[Edital]],tEditais[Edital],0)),"")</f>
        <v>MUNICIPIO DE BARRETOS</v>
      </c>
      <c r="H9103" t="str">
        <f>IFERROR(INDEX(tEditais[UF],MATCH(tItens[[#This Row],[Edital]],tEditais[Edital],0)),"")</f>
        <v>SP</v>
      </c>
      <c r="I9103" s="11">
        <f>IFERROR(INDEX(tEditais[Encerramento],MATCH(tItens[[#This Row],[Edital]],tEditais[Edital],0)),"")</f>
        <v>46311.375</v>
      </c>
      <c r="J9103" t="str">
        <f>IFERROR(INDEX(tProdutos[Classe],MATCH(tItens[[#This Row],[Produto]],tProdutos[Produto],0)),"produto não cadastrado")</f>
        <v>FORA</v>
      </c>
      <c r="K9103" s="12">
        <f>tItens[[#This Row],[Qtd]]*tItens[[#This Row],[Vlr unit]]</f>
        <v>343</v>
      </c>
      <c r="L9103" s="6">
        <f>IFERROR(IF(INDEX(tProdutos[Desconto homologado],MATCH(tItens[[#This Row],[Produto]],tProdutos[Produto],0))="",DescontoPadrao,INDEX(tProdutos[Desconto homologado],MATCH(tItens[[#This Row],[Produto]],tProdutos[Produto],0))),DescontoPadrao)</f>
        <v>0.35412234042553198</v>
      </c>
      <c r="M9103" s="12">
        <f>tItens[[#This Row],[Valor]]*(1-tItens[[#This Row],[Desconto]])</f>
        <v>221.53603723404251</v>
      </c>
      <c r="N9103" t="str">
        <f>IFERROR(INDEX(tProdutos[Foco],MATCH(tItens[[#This Row],[Produto]],tProdutos[Produto],0)),"Não")</f>
        <v>Não</v>
      </c>
      <c r="O9103" t="str">
        <f>IFERROR(INDEX(tEditais[SRP],MATCH(tItens[[#This Row],[Edital]],tEditais[Edital],0)),"Não")</f>
        <v>Não</v>
      </c>
      <c r="P9103" s="4">
        <f>IF(COUNTIFS(INDEX(tItens[Edital],1):tItens[[#This Row],[Edital]],tItens[[#This Row],[Edital]],INDEX(tItens[Produto],1):tItens[[#This Row],[Produto]],tItens[[#This Row],[Produto]])=1,1,0)</f>
        <v>1</v>
      </c>
    </row>
    <row r="9104" spans="1:16" x14ac:dyDescent="0.25">
      <c r="A9104" t="s">
        <v>3098</v>
      </c>
      <c r="B9104">
        <v>5</v>
      </c>
      <c r="C9104" t="s">
        <v>11445</v>
      </c>
      <c r="D9104" t="s">
        <v>343</v>
      </c>
      <c r="E9104" s="13">
        <v>360</v>
      </c>
      <c r="F9104" s="12">
        <v>1.39</v>
      </c>
      <c r="G9104" t="str">
        <f>IFERROR(INDEX(tEditais[Órgão],MATCH(tItens[[#This Row],[Edital]],tEditais[Edital],0)),"")</f>
        <v>MUNICIPIO DE BARRETOS</v>
      </c>
      <c r="H9104" t="str">
        <f>IFERROR(INDEX(tEditais[UF],MATCH(tItens[[#This Row],[Edital]],tEditais[Edital],0)),"")</f>
        <v>SP</v>
      </c>
      <c r="I9104" s="11">
        <f>IFERROR(INDEX(tEditais[Encerramento],MATCH(tItens[[#This Row],[Edital]],tEditais[Edital],0)),"")</f>
        <v>46311.375</v>
      </c>
      <c r="J9104" t="str">
        <f>IFERROR(INDEX(tProdutos[Classe],MATCH(tItens[[#This Row],[Produto]],tProdutos[Produto],0)),"produto não cadastrado")</f>
        <v>FORA</v>
      </c>
      <c r="K9104" s="12">
        <f>tItens[[#This Row],[Qtd]]*tItens[[#This Row],[Vlr unit]]</f>
        <v>500.4</v>
      </c>
      <c r="L9104" s="6">
        <f>IFERROR(IF(INDEX(tProdutos[Desconto homologado],MATCH(tItens[[#This Row],[Produto]],tProdutos[Produto],0))="",DescontoPadrao,INDEX(tProdutos[Desconto homologado],MATCH(tItens[[#This Row],[Produto]],tProdutos[Produto],0))),DescontoPadrao)</f>
        <v>0.35412234042553198</v>
      </c>
      <c r="M9104" s="12">
        <f>tItens[[#This Row],[Valor]]*(1-tItens[[#This Row],[Desconto]])</f>
        <v>323.19718085106376</v>
      </c>
      <c r="N9104" t="str">
        <f>IFERROR(INDEX(tProdutos[Foco],MATCH(tItens[[#This Row],[Produto]],tProdutos[Produto],0)),"Não")</f>
        <v>Não</v>
      </c>
      <c r="O9104" t="str">
        <f>IFERROR(INDEX(tEditais[SRP],MATCH(tItens[[#This Row],[Edital]],tEditais[Edital],0)),"Não")</f>
        <v>Não</v>
      </c>
      <c r="P9104" s="4">
        <f>IF(COUNTIFS(INDEX(tItens[Edital],1):tItens[[#This Row],[Edital]],tItens[[#This Row],[Edital]],INDEX(tItens[Produto],1):tItens[[#This Row],[Produto]],tItens[[#This Row],[Produto]])=1,1,0)</f>
        <v>0</v>
      </c>
    </row>
    <row r="9105" spans="1:16" x14ac:dyDescent="0.25">
      <c r="A9105" t="s">
        <v>3098</v>
      </c>
      <c r="B9105">
        <v>6</v>
      </c>
      <c r="C9105" t="s">
        <v>11446</v>
      </c>
      <c r="D9105" t="s">
        <v>385</v>
      </c>
      <c r="E9105" s="13">
        <v>4</v>
      </c>
      <c r="F9105" s="12">
        <v>12.39</v>
      </c>
      <c r="G9105" t="str">
        <f>IFERROR(INDEX(tEditais[Órgão],MATCH(tItens[[#This Row],[Edital]],tEditais[Edital],0)),"")</f>
        <v>MUNICIPIO DE BARRETOS</v>
      </c>
      <c r="H9105" t="str">
        <f>IFERROR(INDEX(tEditais[UF],MATCH(tItens[[#This Row],[Edital]],tEditais[Edital],0)),"")</f>
        <v>SP</v>
      </c>
      <c r="I9105" s="11">
        <f>IFERROR(INDEX(tEditais[Encerramento],MATCH(tItens[[#This Row],[Edital]],tEditais[Edital],0)),"")</f>
        <v>46311.375</v>
      </c>
      <c r="J9105" t="str">
        <f>IFERROR(INDEX(tProdutos[Classe],MATCH(tItens[[#This Row],[Produto]],tProdutos[Produto],0)),"produto não cadastrado")</f>
        <v>FORA</v>
      </c>
      <c r="K9105" s="12">
        <f>tItens[[#This Row],[Qtd]]*tItens[[#This Row],[Vlr unit]]</f>
        <v>49.56</v>
      </c>
      <c r="L9105" s="6">
        <f>IFERROR(IF(INDEX(tProdutos[Desconto homologado],MATCH(tItens[[#This Row],[Produto]],tProdutos[Produto],0))="",DescontoPadrao,INDEX(tProdutos[Desconto homologado],MATCH(tItens[[#This Row],[Produto]],tProdutos[Produto],0))),DescontoPadrao)</f>
        <v>0.46969696969697</v>
      </c>
      <c r="M9105" s="12">
        <f>tItens[[#This Row],[Valor]]*(1-tItens[[#This Row],[Desconto]])</f>
        <v>26.281818181818171</v>
      </c>
      <c r="N9105" t="str">
        <f>IFERROR(INDEX(tProdutos[Foco],MATCH(tItens[[#This Row],[Produto]],tProdutos[Produto],0)),"Não")</f>
        <v>Não</v>
      </c>
      <c r="O9105" t="str">
        <f>IFERROR(INDEX(tEditais[SRP],MATCH(tItens[[#This Row],[Edital]],tEditais[Edital],0)),"Não")</f>
        <v>Não</v>
      </c>
      <c r="P9105" s="4">
        <f>IF(COUNTIFS(INDEX(tItens[Edital],1):tItens[[#This Row],[Edital]],tItens[[#This Row],[Edital]],INDEX(tItens[Produto],1):tItens[[#This Row],[Produto]],tItens[[#This Row],[Produto]])=1,1,0)</f>
        <v>1</v>
      </c>
    </row>
    <row r="9106" spans="1:16" x14ac:dyDescent="0.25">
      <c r="A9106" t="s">
        <v>3098</v>
      </c>
      <c r="B9106">
        <v>7</v>
      </c>
      <c r="C9106" t="s">
        <v>11447</v>
      </c>
      <c r="D9106" t="s">
        <v>114</v>
      </c>
      <c r="E9106" s="13">
        <v>2</v>
      </c>
      <c r="F9106" s="12">
        <v>15.5</v>
      </c>
      <c r="G9106" t="str">
        <f>IFERROR(INDEX(tEditais[Órgão],MATCH(tItens[[#This Row],[Edital]],tEditais[Edital],0)),"")</f>
        <v>MUNICIPIO DE BARRETOS</v>
      </c>
      <c r="H9106" t="str">
        <f>IFERROR(INDEX(tEditais[UF],MATCH(tItens[[#This Row],[Edital]],tEditais[Edital],0)),"")</f>
        <v>SP</v>
      </c>
      <c r="I9106" s="11">
        <f>IFERROR(INDEX(tEditais[Encerramento],MATCH(tItens[[#This Row],[Edital]],tEditais[Edital],0)),"")</f>
        <v>46311.375</v>
      </c>
      <c r="J9106" t="str">
        <f>IFERROR(INDEX(tProdutos[Classe],MATCH(tItens[[#This Row],[Produto]],tProdutos[Produto],0)),"produto não cadastrado")</f>
        <v>DISPUTADO</v>
      </c>
      <c r="K9106" s="12">
        <f>tItens[[#This Row],[Qtd]]*tItens[[#This Row],[Vlr unit]]</f>
        <v>31</v>
      </c>
      <c r="L9106" s="6">
        <f>IFERROR(IF(INDEX(tProdutos[Desconto homologado],MATCH(tItens[[#This Row],[Produto]],tProdutos[Produto],0))="",DescontoPadrao,INDEX(tProdutos[Desconto homologado],MATCH(tItens[[#This Row],[Produto]],tProdutos[Produto],0))),DescontoPadrao)</f>
        <v>0.24332656063896899</v>
      </c>
      <c r="M9106" s="12">
        <f>tItens[[#This Row],[Valor]]*(1-tItens[[#This Row],[Desconto]])</f>
        <v>23.456876620191963</v>
      </c>
      <c r="N9106" t="str">
        <f>IFERROR(INDEX(tProdutos[Foco],MATCH(tItens[[#This Row],[Produto]],tProdutos[Produto],0)),"Não")</f>
        <v>Não</v>
      </c>
      <c r="O9106" t="str">
        <f>IFERROR(INDEX(tEditais[SRP],MATCH(tItens[[#This Row],[Edital]],tEditais[Edital],0)),"Não")</f>
        <v>Não</v>
      </c>
      <c r="P9106" s="4">
        <f>IF(COUNTIFS(INDEX(tItens[Edital],1):tItens[[#This Row],[Edital]],tItens[[#This Row],[Edital]],INDEX(tItens[Produto],1):tItens[[#This Row],[Produto]],tItens[[#This Row],[Produto]])=1,1,0)</f>
        <v>1</v>
      </c>
    </row>
    <row r="9107" spans="1:16" x14ac:dyDescent="0.25">
      <c r="A9107" t="s">
        <v>3103</v>
      </c>
      <c r="B9107">
        <v>2</v>
      </c>
      <c r="C9107" t="s">
        <v>7394</v>
      </c>
      <c r="D9107" t="s">
        <v>69</v>
      </c>
      <c r="E9107" s="13">
        <v>780</v>
      </c>
      <c r="F9107" s="12">
        <v>0</v>
      </c>
      <c r="G9107" t="str">
        <f>IFERROR(INDEX(tEditais[Órgão],MATCH(tItens[[#This Row],[Edital]],tEditais[Edital],0)),"")</f>
        <v>SECRETARIA DE ESTADO DA SAUDE</v>
      </c>
      <c r="H9107" t="str">
        <f>IFERROR(INDEX(tEditais[UF],MATCH(tItens[[#This Row],[Edital]],tEditais[Edital],0)),"")</f>
        <v>SP</v>
      </c>
      <c r="I9107" s="11">
        <f>IFERROR(INDEX(tEditais[Encerramento],MATCH(tItens[[#This Row],[Edital]],tEditais[Edital],0)),"")</f>
        <v>46311.375</v>
      </c>
      <c r="J9107" t="str">
        <f>IFERROR(INDEX(tProdutos[Classe],MATCH(tItens[[#This Row],[Produto]],tProdutos[Produto],0)),"produto não cadastrado")</f>
        <v>NÚCLEO</v>
      </c>
      <c r="K9107" s="12">
        <f>tItens[[#This Row],[Qtd]]*tItens[[#This Row],[Vlr unit]]</f>
        <v>0</v>
      </c>
      <c r="L9107" s="6">
        <f>IFERROR(IF(INDEX(tProdutos[Desconto homologado],MATCH(tItens[[#This Row],[Produto]],tProdutos[Produto],0))="",DescontoPadrao,INDEX(tProdutos[Desconto homologado],MATCH(tItens[[#This Row],[Produto]],tProdutos[Produto],0))),DescontoPadrao)</f>
        <v>0.38829259638568803</v>
      </c>
      <c r="M9107" s="12">
        <f>tItens[[#This Row],[Valor]]*(1-tItens[[#This Row],[Desconto]])</f>
        <v>0</v>
      </c>
      <c r="N9107" t="str">
        <f>IFERROR(INDEX(tProdutos[Foco],MATCH(tItens[[#This Row],[Produto]],tProdutos[Produto],0)),"Não")</f>
        <v>Não</v>
      </c>
      <c r="O9107" t="str">
        <f>IFERROR(INDEX(tEditais[SRP],MATCH(tItens[[#This Row],[Edital]],tEditais[Edital],0)),"Não")</f>
        <v>Não</v>
      </c>
      <c r="P9107" s="4">
        <f>IF(COUNTIFS(INDEX(tItens[Edital],1):tItens[[#This Row],[Edital]],tItens[[#This Row],[Edital]],INDEX(tItens[Produto],1):tItens[[#This Row],[Produto]],tItens[[#This Row],[Produto]])=1,1,0)</f>
        <v>1</v>
      </c>
    </row>
    <row r="9108" spans="1:16" x14ac:dyDescent="0.25">
      <c r="A9108" t="s">
        <v>3107</v>
      </c>
      <c r="B9108">
        <v>3</v>
      </c>
      <c r="C9108" t="s">
        <v>11448</v>
      </c>
      <c r="D9108" t="s">
        <v>299</v>
      </c>
      <c r="E9108" s="13">
        <v>1200</v>
      </c>
      <c r="F9108" s="12">
        <v>0</v>
      </c>
      <c r="G9108" t="str">
        <f>IFERROR(INDEX(tEditais[Órgão],MATCH(tItens[[#This Row],[Edital]],tEditais[Edital],0)),"")</f>
        <v>SECRETARIA DE ESTADO DA SAUDE</v>
      </c>
      <c r="H9108" t="str">
        <f>IFERROR(INDEX(tEditais[UF],MATCH(tItens[[#This Row],[Edital]],tEditais[Edital],0)),"")</f>
        <v>SP</v>
      </c>
      <c r="I9108" s="11">
        <f>IFERROR(INDEX(tEditais[Encerramento],MATCH(tItens[[#This Row],[Edital]],tEditais[Edital],0)),"")</f>
        <v>46311.375</v>
      </c>
      <c r="J9108" t="str">
        <f>IFERROR(INDEX(tProdutos[Classe],MATCH(tItens[[#This Row],[Produto]],tProdutos[Produto],0)),"produto não cadastrado")</f>
        <v>FORA</v>
      </c>
      <c r="K9108" s="12">
        <f>tItens[[#This Row],[Qtd]]*tItens[[#This Row],[Vlr unit]]</f>
        <v>0</v>
      </c>
      <c r="L9108" s="6">
        <f>IFERROR(IF(INDEX(tProdutos[Desconto homologado],MATCH(tItens[[#This Row],[Produto]],tProdutos[Produto],0))="",DescontoPadrao,INDEX(tProdutos[Desconto homologado],MATCH(tItens[[#This Row],[Produto]],tProdutos[Produto],0))),DescontoPadrao)</f>
        <v>0.42211465163381601</v>
      </c>
      <c r="M9108" s="12">
        <f>tItens[[#This Row],[Valor]]*(1-tItens[[#This Row],[Desconto]])</f>
        <v>0</v>
      </c>
      <c r="N9108" t="str">
        <f>IFERROR(INDEX(tProdutos[Foco],MATCH(tItens[[#This Row],[Produto]],tProdutos[Produto],0)),"Não")</f>
        <v>Não</v>
      </c>
      <c r="O9108" t="str">
        <f>IFERROR(INDEX(tEditais[SRP],MATCH(tItens[[#This Row],[Edital]],tEditais[Edital],0)),"Não")</f>
        <v>Não</v>
      </c>
      <c r="P9108" s="4">
        <f>IF(COUNTIFS(INDEX(tItens[Edital],1):tItens[[#This Row],[Edital]],tItens[[#This Row],[Edital]],INDEX(tItens[Produto],1):tItens[[#This Row],[Produto]],tItens[[#This Row],[Produto]])=1,1,0)</f>
        <v>1</v>
      </c>
    </row>
    <row r="9109" spans="1:16" x14ac:dyDescent="0.25">
      <c r="A9109" t="s">
        <v>3107</v>
      </c>
      <c r="B9109">
        <v>4</v>
      </c>
      <c r="C9109" t="s">
        <v>11449</v>
      </c>
      <c r="D9109" t="s">
        <v>229</v>
      </c>
      <c r="E9109" s="13">
        <v>270</v>
      </c>
      <c r="F9109" s="12">
        <v>0</v>
      </c>
      <c r="G9109" t="str">
        <f>IFERROR(INDEX(tEditais[Órgão],MATCH(tItens[[#This Row],[Edital]],tEditais[Edital],0)),"")</f>
        <v>SECRETARIA DE ESTADO DA SAUDE</v>
      </c>
      <c r="H9109" t="str">
        <f>IFERROR(INDEX(tEditais[UF],MATCH(tItens[[#This Row],[Edital]],tEditais[Edital],0)),"")</f>
        <v>SP</v>
      </c>
      <c r="I9109" s="11">
        <f>IFERROR(INDEX(tEditais[Encerramento],MATCH(tItens[[#This Row],[Edital]],tEditais[Edital],0)),"")</f>
        <v>46311.375</v>
      </c>
      <c r="J9109" t="str">
        <f>IFERROR(INDEX(tProdutos[Classe],MATCH(tItens[[#This Row],[Produto]],tProdutos[Produto],0)),"produto não cadastrado")</f>
        <v>FORA</v>
      </c>
      <c r="K9109" s="12">
        <f>tItens[[#This Row],[Qtd]]*tItens[[#This Row],[Vlr unit]]</f>
        <v>0</v>
      </c>
      <c r="L9109" s="6">
        <f>IFERROR(IF(INDEX(tProdutos[Desconto homologado],MATCH(tItens[[#This Row],[Produto]],tProdutos[Produto],0))="",DescontoPadrao,INDEX(tProdutos[Desconto homologado],MATCH(tItens[[#This Row],[Produto]],tProdutos[Produto],0))),DescontoPadrao)</f>
        <v>0.33093491191658198</v>
      </c>
      <c r="M9109" s="12">
        <f>tItens[[#This Row],[Valor]]*(1-tItens[[#This Row],[Desconto]])</f>
        <v>0</v>
      </c>
      <c r="N9109" t="str">
        <f>IFERROR(INDEX(tProdutos[Foco],MATCH(tItens[[#This Row],[Produto]],tProdutos[Produto],0)),"Não")</f>
        <v>Não</v>
      </c>
      <c r="O9109" t="str">
        <f>IFERROR(INDEX(tEditais[SRP],MATCH(tItens[[#This Row],[Edital]],tEditais[Edital],0)),"Não")</f>
        <v>Não</v>
      </c>
      <c r="P9109" s="4">
        <f>IF(COUNTIFS(INDEX(tItens[Edital],1):tItens[[#This Row],[Edital]],tItens[[#This Row],[Edital]],INDEX(tItens[Produto],1):tItens[[#This Row],[Produto]],tItens[[#This Row],[Produto]])=1,1,0)</f>
        <v>1</v>
      </c>
    </row>
    <row r="9110" spans="1:16" x14ac:dyDescent="0.25">
      <c r="A9110" t="s">
        <v>3107</v>
      </c>
      <c r="B9110">
        <v>5</v>
      </c>
      <c r="C9110" t="s">
        <v>11450</v>
      </c>
      <c r="D9110" t="s">
        <v>229</v>
      </c>
      <c r="E9110" s="13">
        <v>360</v>
      </c>
      <c r="F9110" s="12">
        <v>0</v>
      </c>
      <c r="G9110" t="str">
        <f>IFERROR(INDEX(tEditais[Órgão],MATCH(tItens[[#This Row],[Edital]],tEditais[Edital],0)),"")</f>
        <v>SECRETARIA DE ESTADO DA SAUDE</v>
      </c>
      <c r="H9110" t="str">
        <f>IFERROR(INDEX(tEditais[UF],MATCH(tItens[[#This Row],[Edital]],tEditais[Edital],0)),"")</f>
        <v>SP</v>
      </c>
      <c r="I9110" s="11">
        <f>IFERROR(INDEX(tEditais[Encerramento],MATCH(tItens[[#This Row],[Edital]],tEditais[Edital],0)),"")</f>
        <v>46311.375</v>
      </c>
      <c r="J9110" t="str">
        <f>IFERROR(INDEX(tProdutos[Classe],MATCH(tItens[[#This Row],[Produto]],tProdutos[Produto],0)),"produto não cadastrado")</f>
        <v>FORA</v>
      </c>
      <c r="K9110" s="12">
        <f>tItens[[#This Row],[Qtd]]*tItens[[#This Row],[Vlr unit]]</f>
        <v>0</v>
      </c>
      <c r="L9110" s="6">
        <f>IFERROR(IF(INDEX(tProdutos[Desconto homologado],MATCH(tItens[[#This Row],[Produto]],tProdutos[Produto],0))="",DescontoPadrao,INDEX(tProdutos[Desconto homologado],MATCH(tItens[[#This Row],[Produto]],tProdutos[Produto],0))),DescontoPadrao)</f>
        <v>0.33093491191658198</v>
      </c>
      <c r="M9110" s="12">
        <f>tItens[[#This Row],[Valor]]*(1-tItens[[#This Row],[Desconto]])</f>
        <v>0</v>
      </c>
      <c r="N9110" t="str">
        <f>IFERROR(INDEX(tProdutos[Foco],MATCH(tItens[[#This Row],[Produto]],tProdutos[Produto],0)),"Não")</f>
        <v>Não</v>
      </c>
      <c r="O9110" t="str">
        <f>IFERROR(INDEX(tEditais[SRP],MATCH(tItens[[#This Row],[Edital]],tEditais[Edital],0)),"Não")</f>
        <v>Não</v>
      </c>
      <c r="P9110" s="4">
        <f>IF(COUNTIFS(INDEX(tItens[Edital],1):tItens[[#This Row],[Edital]],tItens[[#This Row],[Edital]],INDEX(tItens[Produto],1):tItens[[#This Row],[Produto]],tItens[[#This Row],[Produto]])=1,1,0)</f>
        <v>0</v>
      </c>
    </row>
    <row r="9111" spans="1:16" x14ac:dyDescent="0.25">
      <c r="A9111" t="s">
        <v>3110</v>
      </c>
      <c r="B9111">
        <v>7</v>
      </c>
      <c r="C9111" t="s">
        <v>11451</v>
      </c>
      <c r="D9111" t="s">
        <v>299</v>
      </c>
      <c r="E9111" s="13">
        <v>3806</v>
      </c>
      <c r="F9111" s="12">
        <v>0</v>
      </c>
      <c r="G9111" t="str">
        <f>IFERROR(INDEX(tEditais[Órgão],MATCH(tItens[[#This Row],[Edital]],tEditais[Edital],0)),"")</f>
        <v>HOSPITAL DAS CLINICAS DA FACULDADE DE MEDICINA DE RPUSP</v>
      </c>
      <c r="H9111" t="str">
        <f>IFERROR(INDEX(tEditais[UF],MATCH(tItens[[#This Row],[Edital]],tEditais[Edital],0)),"")</f>
        <v>SP</v>
      </c>
      <c r="I9111" s="11">
        <f>IFERROR(INDEX(tEditais[Encerramento],MATCH(tItens[[#This Row],[Edital]],tEditais[Edital],0)),"")</f>
        <v>46311.375</v>
      </c>
      <c r="J9111" t="str">
        <f>IFERROR(INDEX(tProdutos[Classe],MATCH(tItens[[#This Row],[Produto]],tProdutos[Produto],0)),"produto não cadastrado")</f>
        <v>FORA</v>
      </c>
      <c r="K9111" s="12">
        <f>tItens[[#This Row],[Qtd]]*tItens[[#This Row],[Vlr unit]]</f>
        <v>0</v>
      </c>
      <c r="L9111" s="6">
        <f>IFERROR(IF(INDEX(tProdutos[Desconto homologado],MATCH(tItens[[#This Row],[Produto]],tProdutos[Produto],0))="",DescontoPadrao,INDEX(tProdutos[Desconto homologado],MATCH(tItens[[#This Row],[Produto]],tProdutos[Produto],0))),DescontoPadrao)</f>
        <v>0.42211465163381601</v>
      </c>
      <c r="M9111" s="12">
        <f>tItens[[#This Row],[Valor]]*(1-tItens[[#This Row],[Desconto]])</f>
        <v>0</v>
      </c>
      <c r="N9111" t="str">
        <f>IFERROR(INDEX(tProdutos[Foco],MATCH(tItens[[#This Row],[Produto]],tProdutos[Produto],0)),"Não")</f>
        <v>Não</v>
      </c>
      <c r="O9111" t="str">
        <f>IFERROR(INDEX(tEditais[SRP],MATCH(tItens[[#This Row],[Edital]],tEditais[Edital],0)),"Não")</f>
        <v>Sim</v>
      </c>
      <c r="P9111" s="4">
        <f>IF(COUNTIFS(INDEX(tItens[Edital],1):tItens[[#This Row],[Edital]],tItens[[#This Row],[Edital]],INDEX(tItens[Produto],1):tItens[[#This Row],[Produto]],tItens[[#This Row],[Produto]])=1,1,0)</f>
        <v>1</v>
      </c>
    </row>
    <row r="9112" spans="1:16" x14ac:dyDescent="0.25">
      <c r="A9112" t="s">
        <v>3113</v>
      </c>
      <c r="B9112">
        <v>1</v>
      </c>
      <c r="C9112" t="s">
        <v>11452</v>
      </c>
      <c r="D9112" t="s">
        <v>245</v>
      </c>
      <c r="E9112" s="13">
        <v>100</v>
      </c>
      <c r="F9112" s="12">
        <v>171.01</v>
      </c>
      <c r="G9112" t="str">
        <f>IFERROR(INDEX(tEditais[Órgão],MATCH(tItens[[#This Row],[Edital]],tEditais[Edital],0)),"")</f>
        <v>SECRETARIA DE ESTADO DA SAUDE</v>
      </c>
      <c r="H9112" t="str">
        <f>IFERROR(INDEX(tEditais[UF],MATCH(tItens[[#This Row],[Edital]],tEditais[Edital],0)),"")</f>
        <v>SP</v>
      </c>
      <c r="I9112" s="11">
        <f>IFERROR(INDEX(tEditais[Encerramento],MATCH(tItens[[#This Row],[Edital]],tEditais[Edital],0)),"")</f>
        <v>46311.375</v>
      </c>
      <c r="J9112" t="str">
        <f>IFERROR(INDEX(tProdutos[Classe],MATCH(tItens[[#This Row],[Produto]],tProdutos[Produto],0)),"produto não cadastrado")</f>
        <v>FORA</v>
      </c>
      <c r="K9112" s="12">
        <f>tItens[[#This Row],[Qtd]]*tItens[[#This Row],[Vlr unit]]</f>
        <v>17101</v>
      </c>
      <c r="L9112" s="6">
        <f>IFERROR(IF(INDEX(tProdutos[Desconto homologado],MATCH(tItens[[#This Row],[Produto]],tProdutos[Produto],0))="",DescontoPadrao,INDEX(tProdutos[Desconto homologado],MATCH(tItens[[#This Row],[Produto]],tProdutos[Produto],0))),DescontoPadrao)</f>
        <v>0.34516963542284401</v>
      </c>
      <c r="M9112" s="12">
        <f>tItens[[#This Row],[Valor]]*(1-tItens[[#This Row],[Desconto]])</f>
        <v>11198.254064633946</v>
      </c>
      <c r="N9112" t="str">
        <f>IFERROR(INDEX(tProdutos[Foco],MATCH(tItens[[#This Row],[Produto]],tProdutos[Produto],0)),"Não")</f>
        <v>Não</v>
      </c>
      <c r="O9112" t="str">
        <f>IFERROR(INDEX(tEditais[SRP],MATCH(tItens[[#This Row],[Edital]],tEditais[Edital],0)),"Não")</f>
        <v>Não</v>
      </c>
      <c r="P9112" s="4">
        <f>IF(COUNTIFS(INDEX(tItens[Edital],1):tItens[[#This Row],[Edital]],tItens[[#This Row],[Edital]],INDEX(tItens[Produto],1):tItens[[#This Row],[Produto]],tItens[[#This Row],[Produto]])=1,1,0)</f>
        <v>1</v>
      </c>
    </row>
    <row r="9113" spans="1:16" x14ac:dyDescent="0.25">
      <c r="A9113" t="s">
        <v>3113</v>
      </c>
      <c r="B9113">
        <v>4</v>
      </c>
      <c r="C9113" t="s">
        <v>10408</v>
      </c>
      <c r="D9113" t="s">
        <v>253</v>
      </c>
      <c r="E9113" s="13">
        <v>100</v>
      </c>
      <c r="F9113" s="12">
        <v>3.03</v>
      </c>
      <c r="G9113" t="str">
        <f>IFERROR(INDEX(tEditais[Órgão],MATCH(tItens[[#This Row],[Edital]],tEditais[Edital],0)),"")</f>
        <v>SECRETARIA DE ESTADO DA SAUDE</v>
      </c>
      <c r="H9113" t="str">
        <f>IFERROR(INDEX(tEditais[UF],MATCH(tItens[[#This Row],[Edital]],tEditais[Edital],0)),"")</f>
        <v>SP</v>
      </c>
      <c r="I9113" s="11">
        <f>IFERROR(INDEX(tEditais[Encerramento],MATCH(tItens[[#This Row],[Edital]],tEditais[Edital],0)),"")</f>
        <v>46311.375</v>
      </c>
      <c r="J9113" t="str">
        <f>IFERROR(INDEX(tProdutos[Classe],MATCH(tItens[[#This Row],[Produto]],tProdutos[Produto],0)),"produto não cadastrado")</f>
        <v>FORA</v>
      </c>
      <c r="K9113" s="12">
        <f>tItens[[#This Row],[Qtd]]*tItens[[#This Row],[Vlr unit]]</f>
        <v>303</v>
      </c>
      <c r="L9113" s="6">
        <f>IFERROR(IF(INDEX(tProdutos[Desconto homologado],MATCH(tItens[[#This Row],[Produto]],tProdutos[Produto],0))="",DescontoPadrao,INDEX(tProdutos[Desconto homologado],MATCH(tItens[[#This Row],[Produto]],tProdutos[Produto],0))),DescontoPadrao)</f>
        <v>0.31735159817351599</v>
      </c>
      <c r="M9113" s="12">
        <f>tItens[[#This Row],[Valor]]*(1-tItens[[#This Row],[Desconto]])</f>
        <v>206.84246575342465</v>
      </c>
      <c r="N9113" t="str">
        <f>IFERROR(INDEX(tProdutos[Foco],MATCH(tItens[[#This Row],[Produto]],tProdutos[Produto],0)),"Não")</f>
        <v>Não</v>
      </c>
      <c r="O9113" t="str">
        <f>IFERROR(INDEX(tEditais[SRP],MATCH(tItens[[#This Row],[Edital]],tEditais[Edital],0)),"Não")</f>
        <v>Não</v>
      </c>
      <c r="P9113" s="4">
        <f>IF(COUNTIFS(INDEX(tItens[Edital],1):tItens[[#This Row],[Edital]],tItens[[#This Row],[Edital]],INDEX(tItens[Produto],1):tItens[[#This Row],[Produto]],tItens[[#This Row],[Produto]])=1,1,0)</f>
        <v>1</v>
      </c>
    </row>
    <row r="9114" spans="1:16" x14ac:dyDescent="0.25">
      <c r="A9114" t="s">
        <v>3113</v>
      </c>
      <c r="B9114">
        <v>5</v>
      </c>
      <c r="C9114" t="s">
        <v>8634</v>
      </c>
      <c r="D9114" t="s">
        <v>110</v>
      </c>
      <c r="E9114" s="13">
        <v>100</v>
      </c>
      <c r="F9114" s="12">
        <v>0.69</v>
      </c>
      <c r="G9114" t="str">
        <f>IFERROR(INDEX(tEditais[Órgão],MATCH(tItens[[#This Row],[Edital]],tEditais[Edital],0)),"")</f>
        <v>SECRETARIA DE ESTADO DA SAUDE</v>
      </c>
      <c r="H9114" t="str">
        <f>IFERROR(INDEX(tEditais[UF],MATCH(tItens[[#This Row],[Edital]],tEditais[Edital],0)),"")</f>
        <v>SP</v>
      </c>
      <c r="I9114" s="11">
        <f>IFERROR(INDEX(tEditais[Encerramento],MATCH(tItens[[#This Row],[Edital]],tEditais[Edital],0)),"")</f>
        <v>46311.375</v>
      </c>
      <c r="J9114" t="str">
        <f>IFERROR(INDEX(tProdutos[Classe],MATCH(tItens[[#This Row],[Produto]],tProdutos[Produto],0)),"produto não cadastrado")</f>
        <v>NÚCLEO</v>
      </c>
      <c r="K9114" s="12">
        <f>tItens[[#This Row],[Qtd]]*tItens[[#This Row],[Vlr unit]]</f>
        <v>69</v>
      </c>
      <c r="L9114" s="6">
        <f>IFERROR(IF(INDEX(tProdutos[Desconto homologado],MATCH(tItens[[#This Row],[Produto]],tProdutos[Produto],0))="",DescontoPadrao,INDEX(tProdutos[Desconto homologado],MATCH(tItens[[#This Row],[Produto]],tProdutos[Produto],0))),DescontoPadrao)</f>
        <v>0.30410958904109597</v>
      </c>
      <c r="M9114" s="12">
        <f>tItens[[#This Row],[Valor]]*(1-tItens[[#This Row],[Desconto]])</f>
        <v>48.016438356164379</v>
      </c>
      <c r="N9114" t="str">
        <f>IFERROR(INDEX(tProdutos[Foco],MATCH(tItens[[#This Row],[Produto]],tProdutos[Produto],0)),"Não")</f>
        <v>Não</v>
      </c>
      <c r="O9114" t="str">
        <f>IFERROR(INDEX(tEditais[SRP],MATCH(tItens[[#This Row],[Edital]],tEditais[Edital],0)),"Não")</f>
        <v>Não</v>
      </c>
      <c r="P9114" s="4">
        <f>IF(COUNTIFS(INDEX(tItens[Edital],1):tItens[[#This Row],[Edital]],tItens[[#This Row],[Edital]],INDEX(tItens[Produto],1):tItens[[#This Row],[Produto]],tItens[[#This Row],[Produto]])=1,1,0)</f>
        <v>1</v>
      </c>
    </row>
    <row r="9115" spans="1:16" x14ac:dyDescent="0.25">
      <c r="A9115" t="s">
        <v>3113</v>
      </c>
      <c r="B9115">
        <v>6</v>
      </c>
      <c r="C9115" t="s">
        <v>11453</v>
      </c>
      <c r="D9115" t="s">
        <v>180</v>
      </c>
      <c r="E9115" s="13">
        <v>2500</v>
      </c>
      <c r="F9115" s="12">
        <v>1.97</v>
      </c>
      <c r="G9115" t="str">
        <f>IFERROR(INDEX(tEditais[Órgão],MATCH(tItens[[#This Row],[Edital]],tEditais[Edital],0)),"")</f>
        <v>SECRETARIA DE ESTADO DA SAUDE</v>
      </c>
      <c r="H9115" t="str">
        <f>IFERROR(INDEX(tEditais[UF],MATCH(tItens[[#This Row],[Edital]],tEditais[Edital],0)),"")</f>
        <v>SP</v>
      </c>
      <c r="I9115" s="11">
        <f>IFERROR(INDEX(tEditais[Encerramento],MATCH(tItens[[#This Row],[Edital]],tEditais[Edital],0)),"")</f>
        <v>46311.375</v>
      </c>
      <c r="J9115" t="str">
        <f>IFERROR(INDEX(tProdutos[Classe],MATCH(tItens[[#This Row],[Produto]],tProdutos[Produto],0)),"produto não cadastrado")</f>
        <v>DISPUTADO</v>
      </c>
      <c r="K9115" s="12">
        <f>tItens[[#This Row],[Qtd]]*tItens[[#This Row],[Vlr unit]]</f>
        <v>4925</v>
      </c>
      <c r="L9115" s="6">
        <f>IFERROR(IF(INDEX(tProdutos[Desconto homologado],MATCH(tItens[[#This Row],[Produto]],tProdutos[Produto],0))="",DescontoPadrao,INDEX(tProdutos[Desconto homologado],MATCH(tItens[[#This Row],[Produto]],tProdutos[Produto],0))),DescontoPadrao)</f>
        <v>0.33333333333333298</v>
      </c>
      <c r="M9115" s="12">
        <f>tItens[[#This Row],[Valor]]*(1-tItens[[#This Row],[Desconto]])</f>
        <v>3283.3333333333348</v>
      </c>
      <c r="N9115" t="str">
        <f>IFERROR(INDEX(tProdutos[Foco],MATCH(tItens[[#This Row],[Produto]],tProdutos[Produto],0)),"Não")</f>
        <v>Não</v>
      </c>
      <c r="O9115" t="str">
        <f>IFERROR(INDEX(tEditais[SRP],MATCH(tItens[[#This Row],[Edital]],tEditais[Edital],0)),"Não")</f>
        <v>Não</v>
      </c>
      <c r="P9115" s="4">
        <f>IF(COUNTIFS(INDEX(tItens[Edital],1):tItens[[#This Row],[Edital]],tItens[[#This Row],[Edital]],INDEX(tItens[Produto],1):tItens[[#This Row],[Produto]],tItens[[#This Row],[Produto]])=1,1,0)</f>
        <v>1</v>
      </c>
    </row>
    <row r="9116" spans="1:16" x14ac:dyDescent="0.25">
      <c r="A9116" t="s">
        <v>3116</v>
      </c>
      <c r="B9116">
        <v>7</v>
      </c>
      <c r="C9116" t="s">
        <v>4024</v>
      </c>
      <c r="D9116" t="s">
        <v>98</v>
      </c>
      <c r="E9116" s="13">
        <v>200</v>
      </c>
      <c r="F9116" s="12">
        <v>3.1</v>
      </c>
      <c r="G9116" t="str">
        <f>IFERROR(INDEX(tEditais[Órgão],MATCH(tItens[[#This Row],[Edital]],tEditais[Edital],0)),"")</f>
        <v>SAO PAULO SECRETARIA DA SEGURANCA PUBLICA</v>
      </c>
      <c r="H9116" t="str">
        <f>IFERROR(INDEX(tEditais[UF],MATCH(tItens[[#This Row],[Edital]],tEditais[Edital],0)),"")</f>
        <v>SP</v>
      </c>
      <c r="I9116" s="11">
        <f>IFERROR(INDEX(tEditais[Encerramento],MATCH(tItens[[#This Row],[Edital]],tEditais[Edital],0)),"")</f>
        <v>46311.375</v>
      </c>
      <c r="J9116" t="str">
        <f>IFERROR(INDEX(tProdutos[Classe],MATCH(tItens[[#This Row],[Produto]],tProdutos[Produto],0)),"produto não cadastrado")</f>
        <v>NÚCLEO</v>
      </c>
      <c r="K9116" s="12">
        <f>tItens[[#This Row],[Qtd]]*tItens[[#This Row],[Vlr unit]]</f>
        <v>620</v>
      </c>
      <c r="L9116" s="6">
        <f>IFERROR(IF(INDEX(tProdutos[Desconto homologado],MATCH(tItens[[#This Row],[Produto]],tProdutos[Produto],0))="",DescontoPadrao,INDEX(tProdutos[Desconto homologado],MATCH(tItens[[#This Row],[Produto]],tProdutos[Produto],0))),DescontoPadrao)</f>
        <v>0.39</v>
      </c>
      <c r="M9116" s="12">
        <f>tItens[[#This Row],[Valor]]*(1-tItens[[#This Row],[Desconto]])</f>
        <v>378.2</v>
      </c>
      <c r="N9116" t="str">
        <f>IFERROR(INDEX(tProdutos[Foco],MATCH(tItens[[#This Row],[Produto]],tProdutos[Produto],0)),"Não")</f>
        <v>Sim</v>
      </c>
      <c r="O9116" t="str">
        <f>IFERROR(INDEX(tEditais[SRP],MATCH(tItens[[#This Row],[Edital]],tEditais[Edital],0)),"Não")</f>
        <v>Sim</v>
      </c>
      <c r="P9116" s="4">
        <f>IF(COUNTIFS(INDEX(tItens[Edital],1):tItens[[#This Row],[Edital]],tItens[[#This Row],[Edital]],INDEX(tItens[Produto],1):tItens[[#This Row],[Produto]],tItens[[#This Row],[Produto]])=1,1,0)</f>
        <v>1</v>
      </c>
    </row>
    <row r="9117" spans="1:16" x14ac:dyDescent="0.25">
      <c r="A9117" t="s">
        <v>3116</v>
      </c>
      <c r="B9117">
        <v>16</v>
      </c>
      <c r="C9117" t="s">
        <v>11454</v>
      </c>
      <c r="D9117" t="s">
        <v>347</v>
      </c>
      <c r="E9117" s="13">
        <v>210</v>
      </c>
      <c r="F9117" s="12">
        <v>80</v>
      </c>
      <c r="G9117" t="str">
        <f>IFERROR(INDEX(tEditais[Órgão],MATCH(tItens[[#This Row],[Edital]],tEditais[Edital],0)),"")</f>
        <v>SAO PAULO SECRETARIA DA SEGURANCA PUBLICA</v>
      </c>
      <c r="H9117" t="str">
        <f>IFERROR(INDEX(tEditais[UF],MATCH(tItens[[#This Row],[Edital]],tEditais[Edital],0)),"")</f>
        <v>SP</v>
      </c>
      <c r="I9117" s="11">
        <f>IFERROR(INDEX(tEditais[Encerramento],MATCH(tItens[[#This Row],[Edital]],tEditais[Edital],0)),"")</f>
        <v>46311.375</v>
      </c>
      <c r="J9117" t="str">
        <f>IFERROR(INDEX(tProdutos[Classe],MATCH(tItens[[#This Row],[Produto]],tProdutos[Produto],0)),"produto não cadastrado")</f>
        <v>FORA</v>
      </c>
      <c r="K9117" s="12">
        <f>tItens[[#This Row],[Qtd]]*tItens[[#This Row],[Vlr unit]]</f>
        <v>16800</v>
      </c>
      <c r="L9117" s="6">
        <f>IFERROR(IF(INDEX(tProdutos[Desconto homologado],MATCH(tItens[[#This Row],[Produto]],tProdutos[Produto],0))="",DescontoPadrao,INDEX(tProdutos[Desconto homologado],MATCH(tItens[[#This Row],[Produto]],tProdutos[Produto],0))),DescontoPadrao)</f>
        <v>0.26356465005931201</v>
      </c>
      <c r="M9117" s="12">
        <f>tItens[[#This Row],[Valor]]*(1-tItens[[#This Row],[Desconto]])</f>
        <v>12372.113879003557</v>
      </c>
      <c r="N9117" t="str">
        <f>IFERROR(INDEX(tProdutos[Foco],MATCH(tItens[[#This Row],[Produto]],tProdutos[Produto],0)),"Não")</f>
        <v>Não</v>
      </c>
      <c r="O9117" t="str">
        <f>IFERROR(INDEX(tEditais[SRP],MATCH(tItens[[#This Row],[Edital]],tEditais[Edital],0)),"Não")</f>
        <v>Sim</v>
      </c>
      <c r="P9117" s="4">
        <f>IF(COUNTIFS(INDEX(tItens[Edital],1):tItens[[#This Row],[Edital]],tItens[[#This Row],[Edital]],INDEX(tItens[Produto],1):tItens[[#This Row],[Produto]],tItens[[#This Row],[Produto]])=1,1,0)</f>
        <v>1</v>
      </c>
    </row>
    <row r="9118" spans="1:16" x14ac:dyDescent="0.25">
      <c r="A9118" t="s">
        <v>3116</v>
      </c>
      <c r="B9118">
        <v>17</v>
      </c>
      <c r="C9118" t="s">
        <v>11082</v>
      </c>
      <c r="D9118" t="s">
        <v>347</v>
      </c>
      <c r="E9118" s="13">
        <v>150</v>
      </c>
      <c r="F9118" s="12">
        <v>2.87</v>
      </c>
      <c r="G9118" t="str">
        <f>IFERROR(INDEX(tEditais[Órgão],MATCH(tItens[[#This Row],[Edital]],tEditais[Edital],0)),"")</f>
        <v>SAO PAULO SECRETARIA DA SEGURANCA PUBLICA</v>
      </c>
      <c r="H9118" t="str">
        <f>IFERROR(INDEX(tEditais[UF],MATCH(tItens[[#This Row],[Edital]],tEditais[Edital],0)),"")</f>
        <v>SP</v>
      </c>
      <c r="I9118" s="11">
        <f>IFERROR(INDEX(tEditais[Encerramento],MATCH(tItens[[#This Row],[Edital]],tEditais[Edital],0)),"")</f>
        <v>46311.375</v>
      </c>
      <c r="J9118" t="str">
        <f>IFERROR(INDEX(tProdutos[Classe],MATCH(tItens[[#This Row],[Produto]],tProdutos[Produto],0)),"produto não cadastrado")</f>
        <v>FORA</v>
      </c>
      <c r="K9118" s="12">
        <f>tItens[[#This Row],[Qtd]]*tItens[[#This Row],[Vlr unit]]</f>
        <v>430.5</v>
      </c>
      <c r="L9118" s="6">
        <f>IFERROR(IF(INDEX(tProdutos[Desconto homologado],MATCH(tItens[[#This Row],[Produto]],tProdutos[Produto],0))="",DescontoPadrao,INDEX(tProdutos[Desconto homologado],MATCH(tItens[[#This Row],[Produto]],tProdutos[Produto],0))),DescontoPadrao)</f>
        <v>0.26356465005931201</v>
      </c>
      <c r="M9118" s="12">
        <f>tItens[[#This Row],[Valor]]*(1-tItens[[#This Row],[Desconto]])</f>
        <v>317.03541814946618</v>
      </c>
      <c r="N9118" t="str">
        <f>IFERROR(INDEX(tProdutos[Foco],MATCH(tItens[[#This Row],[Produto]],tProdutos[Produto],0)),"Não")</f>
        <v>Não</v>
      </c>
      <c r="O9118" t="str">
        <f>IFERROR(INDEX(tEditais[SRP],MATCH(tItens[[#This Row],[Edital]],tEditais[Edital],0)),"Não")</f>
        <v>Sim</v>
      </c>
      <c r="P9118" s="4">
        <f>IF(COUNTIFS(INDEX(tItens[Edital],1):tItens[[#This Row],[Edital]],tItens[[#This Row],[Edital]],INDEX(tItens[Produto],1):tItens[[#This Row],[Produto]],tItens[[#This Row],[Produto]])=1,1,0)</f>
        <v>0</v>
      </c>
    </row>
    <row r="9119" spans="1:16" x14ac:dyDescent="0.25">
      <c r="A9119" t="s">
        <v>3116</v>
      </c>
      <c r="B9119">
        <v>21</v>
      </c>
      <c r="C9119" t="s">
        <v>4154</v>
      </c>
      <c r="D9119" t="s">
        <v>77</v>
      </c>
      <c r="E9119" s="13">
        <v>800</v>
      </c>
      <c r="F9119" s="12">
        <v>2.35</v>
      </c>
      <c r="G9119" t="str">
        <f>IFERROR(INDEX(tEditais[Órgão],MATCH(tItens[[#This Row],[Edital]],tEditais[Edital],0)),"")</f>
        <v>SAO PAULO SECRETARIA DA SEGURANCA PUBLICA</v>
      </c>
      <c r="H9119" t="str">
        <f>IFERROR(INDEX(tEditais[UF],MATCH(tItens[[#This Row],[Edital]],tEditais[Edital],0)),"")</f>
        <v>SP</v>
      </c>
      <c r="I9119" s="11">
        <f>IFERROR(INDEX(tEditais[Encerramento],MATCH(tItens[[#This Row],[Edital]],tEditais[Edital],0)),"")</f>
        <v>46311.375</v>
      </c>
      <c r="J9119" t="str">
        <f>IFERROR(INDEX(tProdutos[Classe],MATCH(tItens[[#This Row],[Produto]],tProdutos[Produto],0)),"produto não cadastrado")</f>
        <v>DISPUTADO</v>
      </c>
      <c r="K9119" s="12">
        <f>tItens[[#This Row],[Qtd]]*tItens[[#This Row],[Vlr unit]]</f>
        <v>1880</v>
      </c>
      <c r="L9119" s="6">
        <f>IFERROR(IF(INDEX(tProdutos[Desconto homologado],MATCH(tItens[[#This Row],[Produto]],tProdutos[Produto],0))="",DescontoPadrao,INDEX(tProdutos[Desconto homologado],MATCH(tItens[[#This Row],[Produto]],tProdutos[Produto],0))),DescontoPadrao)</f>
        <v>0.33</v>
      </c>
      <c r="M9119" s="12">
        <f>tItens[[#This Row],[Valor]]*(1-tItens[[#This Row],[Desconto]])</f>
        <v>1259.5999999999999</v>
      </c>
      <c r="N9119" t="str">
        <f>IFERROR(INDEX(tProdutos[Foco],MATCH(tItens[[#This Row],[Produto]],tProdutos[Produto],0)),"Não")</f>
        <v>Sim</v>
      </c>
      <c r="O9119" t="str">
        <f>IFERROR(INDEX(tEditais[SRP],MATCH(tItens[[#This Row],[Edital]],tEditais[Edital],0)),"Não")</f>
        <v>Sim</v>
      </c>
      <c r="P9119" s="4">
        <f>IF(COUNTIFS(INDEX(tItens[Edital],1):tItens[[#This Row],[Edital]],tItens[[#This Row],[Edital]],INDEX(tItens[Produto],1):tItens[[#This Row],[Produto]],tItens[[#This Row],[Produto]])=1,1,0)</f>
        <v>1</v>
      </c>
    </row>
    <row r="9120" spans="1:16" x14ac:dyDescent="0.25">
      <c r="A9120" t="s">
        <v>3116</v>
      </c>
      <c r="B9120">
        <v>39</v>
      </c>
      <c r="C9120" t="s">
        <v>11455</v>
      </c>
      <c r="D9120" t="s">
        <v>82</v>
      </c>
      <c r="E9120" s="13">
        <v>150000</v>
      </c>
      <c r="F9120" s="12">
        <v>0.12</v>
      </c>
      <c r="G9120" t="str">
        <f>IFERROR(INDEX(tEditais[Órgão],MATCH(tItens[[#This Row],[Edital]],tEditais[Edital],0)),"")</f>
        <v>SAO PAULO SECRETARIA DA SEGURANCA PUBLICA</v>
      </c>
      <c r="H9120" t="str">
        <f>IFERROR(INDEX(tEditais[UF],MATCH(tItens[[#This Row],[Edital]],tEditais[Edital],0)),"")</f>
        <v>SP</v>
      </c>
      <c r="I9120" s="11">
        <f>IFERROR(INDEX(tEditais[Encerramento],MATCH(tItens[[#This Row],[Edital]],tEditais[Edital],0)),"")</f>
        <v>46311.375</v>
      </c>
      <c r="J9120" t="str">
        <f>IFERROR(INDEX(tProdutos[Classe],MATCH(tItens[[#This Row],[Produto]],tProdutos[Produto],0)),"produto não cadastrado")</f>
        <v>NÚCLEO</v>
      </c>
      <c r="K9120" s="12">
        <f>tItens[[#This Row],[Qtd]]*tItens[[#This Row],[Vlr unit]]</f>
        <v>18000</v>
      </c>
      <c r="L9120" s="6">
        <f>IFERROR(IF(INDEX(tProdutos[Desconto homologado],MATCH(tItens[[#This Row],[Produto]],tProdutos[Produto],0))="",DescontoPadrao,INDEX(tProdutos[Desconto homologado],MATCH(tItens[[#This Row],[Produto]],tProdutos[Produto],0))),DescontoPadrao)</f>
        <v>0.40487090276506099</v>
      </c>
      <c r="M9120" s="12">
        <f>tItens[[#This Row],[Valor]]*(1-tItens[[#This Row],[Desconto]])</f>
        <v>10712.323750228903</v>
      </c>
      <c r="N9120" t="str">
        <f>IFERROR(INDEX(tProdutos[Foco],MATCH(tItens[[#This Row],[Produto]],tProdutos[Produto],0)),"Não")</f>
        <v>Não</v>
      </c>
      <c r="O9120" t="str">
        <f>IFERROR(INDEX(tEditais[SRP],MATCH(tItens[[#This Row],[Edital]],tEditais[Edital],0)),"Não")</f>
        <v>Sim</v>
      </c>
      <c r="P9120" s="4">
        <f>IF(COUNTIFS(INDEX(tItens[Edital],1):tItens[[#This Row],[Edital]],tItens[[#This Row],[Edital]],INDEX(tItens[Produto],1):tItens[[#This Row],[Produto]],tItens[[#This Row],[Produto]])=1,1,0)</f>
        <v>1</v>
      </c>
    </row>
    <row r="9121" spans="1:16" x14ac:dyDescent="0.25">
      <c r="A9121" t="s">
        <v>3119</v>
      </c>
      <c r="B9121">
        <v>3</v>
      </c>
      <c r="C9121" t="s">
        <v>11456</v>
      </c>
      <c r="D9121" t="s">
        <v>461</v>
      </c>
      <c r="E9121" s="13">
        <v>790</v>
      </c>
      <c r="F9121" s="12">
        <v>0</v>
      </c>
      <c r="G9121" t="str">
        <f>IFERROR(INDEX(tEditais[Órgão],MATCH(tItens[[#This Row],[Edital]],tEditais[Edital],0)),"")</f>
        <v>SECRETARIA DE ESTADO DA SAUDE</v>
      </c>
      <c r="H9121" t="str">
        <f>IFERROR(INDEX(tEditais[UF],MATCH(tItens[[#This Row],[Edital]],tEditais[Edital],0)),"")</f>
        <v>SP</v>
      </c>
      <c r="I9121" s="11">
        <f>IFERROR(INDEX(tEditais[Encerramento],MATCH(tItens[[#This Row],[Edital]],tEditais[Edital],0)),"")</f>
        <v>46311.375</v>
      </c>
      <c r="J9121" t="str">
        <f>IFERROR(INDEX(tProdutos[Classe],MATCH(tItens[[#This Row],[Produto]],tProdutos[Produto],0)),"produto não cadastrado")</f>
        <v>FILA REBASE</v>
      </c>
      <c r="K9121" s="12">
        <f>tItens[[#This Row],[Qtd]]*tItens[[#This Row],[Vlr unit]]</f>
        <v>0</v>
      </c>
      <c r="L9121" s="6">
        <f>IFERROR(IF(INDEX(tProdutos[Desconto homologado],MATCH(tItens[[#This Row],[Produto]],tProdutos[Produto],0))="",DescontoPadrao,INDEX(tProdutos[Desconto homologado],MATCH(tItens[[#This Row],[Produto]],tProdutos[Produto],0))),DescontoPadrao)</f>
        <v>0.44096385542168698</v>
      </c>
      <c r="M9121" s="12">
        <f>tItens[[#This Row],[Valor]]*(1-tItens[[#This Row],[Desconto]])</f>
        <v>0</v>
      </c>
      <c r="N9121" t="str">
        <f>IFERROR(INDEX(tProdutos[Foco],MATCH(tItens[[#This Row],[Produto]],tProdutos[Produto],0)),"Não")</f>
        <v>Não</v>
      </c>
      <c r="O9121" t="str">
        <f>IFERROR(INDEX(tEditais[SRP],MATCH(tItens[[#This Row],[Edital]],tEditais[Edital],0)),"Não")</f>
        <v>Não</v>
      </c>
      <c r="P9121" s="4">
        <f>IF(COUNTIFS(INDEX(tItens[Edital],1):tItens[[#This Row],[Edital]],tItens[[#This Row],[Edital]],INDEX(tItens[Produto],1):tItens[[#This Row],[Produto]],tItens[[#This Row],[Produto]])=1,1,0)</f>
        <v>1</v>
      </c>
    </row>
    <row r="9122" spans="1:16" x14ac:dyDescent="0.25">
      <c r="A9122" t="s">
        <v>3122</v>
      </c>
      <c r="B9122">
        <v>3</v>
      </c>
      <c r="C9122" t="s">
        <v>11457</v>
      </c>
      <c r="D9122" t="s">
        <v>315</v>
      </c>
      <c r="E9122" s="13">
        <v>1500</v>
      </c>
      <c r="F9122" s="12">
        <v>7.66</v>
      </c>
      <c r="G9122" t="str">
        <f>IFERROR(INDEX(tEditais[Órgão],MATCH(tItens[[#This Row],[Edital]],tEditais[Edital],0)),"")</f>
        <v>MUNICIPIO DE OSVALDO CRUZ</v>
      </c>
      <c r="H9122" t="str">
        <f>IFERROR(INDEX(tEditais[UF],MATCH(tItens[[#This Row],[Edital]],tEditais[Edital],0)),"")</f>
        <v>SP</v>
      </c>
      <c r="I9122" s="11">
        <f>IFERROR(INDEX(tEditais[Encerramento],MATCH(tItens[[#This Row],[Edital]],tEditais[Edital],0)),"")</f>
        <v>46311.375</v>
      </c>
      <c r="J9122" t="str">
        <f>IFERROR(INDEX(tProdutos[Classe],MATCH(tItens[[#This Row],[Produto]],tProdutos[Produto],0)),"produto não cadastrado")</f>
        <v>FORA</v>
      </c>
      <c r="K9122" s="12">
        <f>tItens[[#This Row],[Qtd]]*tItens[[#This Row],[Vlr unit]]</f>
        <v>11490</v>
      </c>
      <c r="L9122" s="6">
        <f>IFERROR(IF(INDEX(tProdutos[Desconto homologado],MATCH(tItens[[#This Row],[Produto]],tProdutos[Produto],0))="",DescontoPadrao,INDEX(tProdutos[Desconto homologado],MATCH(tItens[[#This Row],[Produto]],tProdutos[Produto],0))),DescontoPadrao)</f>
        <v>0.38432036097010702</v>
      </c>
      <c r="M9122" s="12">
        <f>tItens[[#This Row],[Valor]]*(1-tItens[[#This Row],[Desconto]])</f>
        <v>7074.1590524534704</v>
      </c>
      <c r="N9122" t="str">
        <f>IFERROR(INDEX(tProdutos[Foco],MATCH(tItens[[#This Row],[Produto]],tProdutos[Produto],0)),"Não")</f>
        <v>Não</v>
      </c>
      <c r="O9122" t="str">
        <f>IFERROR(INDEX(tEditais[SRP],MATCH(tItens[[#This Row],[Edital]],tEditais[Edital],0)),"Não")</f>
        <v>Sim</v>
      </c>
      <c r="P9122" s="4">
        <f>IF(COUNTIFS(INDEX(tItens[Edital],1):tItens[[#This Row],[Edital]],tItens[[#This Row],[Edital]],INDEX(tItens[Produto],1):tItens[[#This Row],[Produto]],tItens[[#This Row],[Produto]])=1,1,0)</f>
        <v>1</v>
      </c>
    </row>
    <row r="9123" spans="1:16" x14ac:dyDescent="0.25">
      <c r="A9123" t="s">
        <v>3122</v>
      </c>
      <c r="B9123">
        <v>4</v>
      </c>
      <c r="C9123" t="s">
        <v>11458</v>
      </c>
      <c r="D9123" t="s">
        <v>315</v>
      </c>
      <c r="E9123" s="13">
        <v>200</v>
      </c>
      <c r="F9123" s="12">
        <v>10.199999999999999</v>
      </c>
      <c r="G9123" t="str">
        <f>IFERROR(INDEX(tEditais[Órgão],MATCH(tItens[[#This Row],[Edital]],tEditais[Edital],0)),"")</f>
        <v>MUNICIPIO DE OSVALDO CRUZ</v>
      </c>
      <c r="H9123" t="str">
        <f>IFERROR(INDEX(tEditais[UF],MATCH(tItens[[#This Row],[Edital]],tEditais[Edital],0)),"")</f>
        <v>SP</v>
      </c>
      <c r="I9123" s="11">
        <f>IFERROR(INDEX(tEditais[Encerramento],MATCH(tItens[[#This Row],[Edital]],tEditais[Edital],0)),"")</f>
        <v>46311.375</v>
      </c>
      <c r="J9123" t="str">
        <f>IFERROR(INDEX(tProdutos[Classe],MATCH(tItens[[#This Row],[Produto]],tProdutos[Produto],0)),"produto não cadastrado")</f>
        <v>FORA</v>
      </c>
      <c r="K9123" s="12">
        <f>tItens[[#This Row],[Qtd]]*tItens[[#This Row],[Vlr unit]]</f>
        <v>2039.9999999999998</v>
      </c>
      <c r="L9123" s="6">
        <f>IFERROR(IF(INDEX(tProdutos[Desconto homologado],MATCH(tItens[[#This Row],[Produto]],tProdutos[Produto],0))="",DescontoPadrao,INDEX(tProdutos[Desconto homologado],MATCH(tItens[[#This Row],[Produto]],tProdutos[Produto],0))),DescontoPadrao)</f>
        <v>0.38432036097010702</v>
      </c>
      <c r="M9123" s="12">
        <f>tItens[[#This Row],[Valor]]*(1-tItens[[#This Row],[Desconto]])</f>
        <v>1255.9864636209816</v>
      </c>
      <c r="N9123" t="str">
        <f>IFERROR(INDEX(tProdutos[Foco],MATCH(tItens[[#This Row],[Produto]],tProdutos[Produto],0)),"Não")</f>
        <v>Não</v>
      </c>
      <c r="O9123" t="str">
        <f>IFERROR(INDEX(tEditais[SRP],MATCH(tItens[[#This Row],[Edital]],tEditais[Edital],0)),"Não")</f>
        <v>Sim</v>
      </c>
      <c r="P9123" s="4">
        <f>IF(COUNTIFS(INDEX(tItens[Edital],1):tItens[[#This Row],[Edital]],tItens[[#This Row],[Edital]],INDEX(tItens[Produto],1):tItens[[#This Row],[Produto]],tItens[[#This Row],[Produto]])=1,1,0)</f>
        <v>0</v>
      </c>
    </row>
    <row r="9124" spans="1:16" x14ac:dyDescent="0.25">
      <c r="A9124" t="s">
        <v>3122</v>
      </c>
      <c r="B9124">
        <v>5</v>
      </c>
      <c r="C9124" t="s">
        <v>11459</v>
      </c>
      <c r="D9124" t="s">
        <v>315</v>
      </c>
      <c r="E9124" s="13">
        <v>350</v>
      </c>
      <c r="F9124" s="12">
        <v>17.27</v>
      </c>
      <c r="G9124" t="str">
        <f>IFERROR(INDEX(tEditais[Órgão],MATCH(tItens[[#This Row],[Edital]],tEditais[Edital],0)),"")</f>
        <v>MUNICIPIO DE OSVALDO CRUZ</v>
      </c>
      <c r="H9124" t="str">
        <f>IFERROR(INDEX(tEditais[UF],MATCH(tItens[[#This Row],[Edital]],tEditais[Edital],0)),"")</f>
        <v>SP</v>
      </c>
      <c r="I9124" s="11">
        <f>IFERROR(INDEX(tEditais[Encerramento],MATCH(tItens[[#This Row],[Edital]],tEditais[Edital],0)),"")</f>
        <v>46311.375</v>
      </c>
      <c r="J9124" t="str">
        <f>IFERROR(INDEX(tProdutos[Classe],MATCH(tItens[[#This Row],[Produto]],tProdutos[Produto],0)),"produto não cadastrado")</f>
        <v>FORA</v>
      </c>
      <c r="K9124" s="12">
        <f>tItens[[#This Row],[Qtd]]*tItens[[#This Row],[Vlr unit]]</f>
        <v>6044.5</v>
      </c>
      <c r="L9124" s="6">
        <f>IFERROR(IF(INDEX(tProdutos[Desconto homologado],MATCH(tItens[[#This Row],[Produto]],tProdutos[Produto],0))="",DescontoPadrao,INDEX(tProdutos[Desconto homologado],MATCH(tItens[[#This Row],[Produto]],tProdutos[Produto],0))),DescontoPadrao)</f>
        <v>0.38432036097010702</v>
      </c>
      <c r="M9124" s="12">
        <f>tItens[[#This Row],[Valor]]*(1-tItens[[#This Row],[Desconto]])</f>
        <v>3721.475578116188</v>
      </c>
      <c r="N9124" t="str">
        <f>IFERROR(INDEX(tProdutos[Foco],MATCH(tItens[[#This Row],[Produto]],tProdutos[Produto],0)),"Não")</f>
        <v>Não</v>
      </c>
      <c r="O9124" t="str">
        <f>IFERROR(INDEX(tEditais[SRP],MATCH(tItens[[#This Row],[Edital]],tEditais[Edital],0)),"Não")</f>
        <v>Sim</v>
      </c>
      <c r="P9124" s="4">
        <f>IF(COUNTIFS(INDEX(tItens[Edital],1):tItens[[#This Row],[Edital]],tItens[[#This Row],[Edital]],INDEX(tItens[Produto],1):tItens[[#This Row],[Produto]],tItens[[#This Row],[Produto]])=1,1,0)</f>
        <v>0</v>
      </c>
    </row>
    <row r="9125" spans="1:16" x14ac:dyDescent="0.25">
      <c r="A9125" t="s">
        <v>3122</v>
      </c>
      <c r="B9125">
        <v>6</v>
      </c>
      <c r="C9125" t="s">
        <v>11460</v>
      </c>
      <c r="D9125" t="s">
        <v>315</v>
      </c>
      <c r="E9125" s="13">
        <v>500</v>
      </c>
      <c r="F9125" s="12">
        <v>16.309999999999999</v>
      </c>
      <c r="G9125" t="str">
        <f>IFERROR(INDEX(tEditais[Órgão],MATCH(tItens[[#This Row],[Edital]],tEditais[Edital],0)),"")</f>
        <v>MUNICIPIO DE OSVALDO CRUZ</v>
      </c>
      <c r="H9125" t="str">
        <f>IFERROR(INDEX(tEditais[UF],MATCH(tItens[[#This Row],[Edital]],tEditais[Edital],0)),"")</f>
        <v>SP</v>
      </c>
      <c r="I9125" s="11">
        <f>IFERROR(INDEX(tEditais[Encerramento],MATCH(tItens[[#This Row],[Edital]],tEditais[Edital],0)),"")</f>
        <v>46311.375</v>
      </c>
      <c r="J9125" t="str">
        <f>IFERROR(INDEX(tProdutos[Classe],MATCH(tItens[[#This Row],[Produto]],tProdutos[Produto],0)),"produto não cadastrado")</f>
        <v>FORA</v>
      </c>
      <c r="K9125" s="12">
        <f>tItens[[#This Row],[Qtd]]*tItens[[#This Row],[Vlr unit]]</f>
        <v>8154.9999999999991</v>
      </c>
      <c r="L9125" s="6">
        <f>IFERROR(IF(INDEX(tProdutos[Desconto homologado],MATCH(tItens[[#This Row],[Produto]],tProdutos[Produto],0))="",DescontoPadrao,INDEX(tProdutos[Desconto homologado],MATCH(tItens[[#This Row],[Produto]],tProdutos[Produto],0))),DescontoPadrao)</f>
        <v>0.38432036097010702</v>
      </c>
      <c r="M9125" s="12">
        <f>tItens[[#This Row],[Valor]]*(1-tItens[[#This Row],[Desconto]])</f>
        <v>5020.8674562887763</v>
      </c>
      <c r="N9125" t="str">
        <f>IFERROR(INDEX(tProdutos[Foco],MATCH(tItens[[#This Row],[Produto]],tProdutos[Produto],0)),"Não")</f>
        <v>Não</v>
      </c>
      <c r="O9125" t="str">
        <f>IFERROR(INDEX(tEditais[SRP],MATCH(tItens[[#This Row],[Edital]],tEditais[Edital],0)),"Não")</f>
        <v>Sim</v>
      </c>
      <c r="P9125" s="4">
        <f>IF(COUNTIFS(INDEX(tItens[Edital],1):tItens[[#This Row],[Edital]],tItens[[#This Row],[Edital]],INDEX(tItens[Produto],1):tItens[[#This Row],[Produto]],tItens[[#This Row],[Produto]])=1,1,0)</f>
        <v>0</v>
      </c>
    </row>
    <row r="9126" spans="1:16" x14ac:dyDescent="0.25">
      <c r="A9126" t="s">
        <v>3122</v>
      </c>
      <c r="B9126">
        <v>7</v>
      </c>
      <c r="C9126" t="s">
        <v>11461</v>
      </c>
      <c r="D9126" t="s">
        <v>315</v>
      </c>
      <c r="E9126" s="13">
        <v>500</v>
      </c>
      <c r="F9126" s="12">
        <v>10.59</v>
      </c>
      <c r="G9126" t="str">
        <f>IFERROR(INDEX(tEditais[Órgão],MATCH(tItens[[#This Row],[Edital]],tEditais[Edital],0)),"")</f>
        <v>MUNICIPIO DE OSVALDO CRUZ</v>
      </c>
      <c r="H9126" t="str">
        <f>IFERROR(INDEX(tEditais[UF],MATCH(tItens[[#This Row],[Edital]],tEditais[Edital],0)),"")</f>
        <v>SP</v>
      </c>
      <c r="I9126" s="11">
        <f>IFERROR(INDEX(tEditais[Encerramento],MATCH(tItens[[#This Row],[Edital]],tEditais[Edital],0)),"")</f>
        <v>46311.375</v>
      </c>
      <c r="J9126" t="str">
        <f>IFERROR(INDEX(tProdutos[Classe],MATCH(tItens[[#This Row],[Produto]],tProdutos[Produto],0)),"produto não cadastrado")</f>
        <v>FORA</v>
      </c>
      <c r="K9126" s="12">
        <f>tItens[[#This Row],[Qtd]]*tItens[[#This Row],[Vlr unit]]</f>
        <v>5295</v>
      </c>
      <c r="L9126" s="6">
        <f>IFERROR(IF(INDEX(tProdutos[Desconto homologado],MATCH(tItens[[#This Row],[Produto]],tProdutos[Produto],0))="",DescontoPadrao,INDEX(tProdutos[Desconto homologado],MATCH(tItens[[#This Row],[Produto]],tProdutos[Produto],0))),DescontoPadrao)</f>
        <v>0.38432036097010702</v>
      </c>
      <c r="M9126" s="12">
        <f>tItens[[#This Row],[Valor]]*(1-tItens[[#This Row],[Desconto]])</f>
        <v>3260.0236886632833</v>
      </c>
      <c r="N9126" t="str">
        <f>IFERROR(INDEX(tProdutos[Foco],MATCH(tItens[[#This Row],[Produto]],tProdutos[Produto],0)),"Não")</f>
        <v>Não</v>
      </c>
      <c r="O9126" t="str">
        <f>IFERROR(INDEX(tEditais[SRP],MATCH(tItens[[#This Row],[Edital]],tEditais[Edital],0)),"Não")</f>
        <v>Sim</v>
      </c>
      <c r="P9126" s="4">
        <f>IF(COUNTIFS(INDEX(tItens[Edital],1):tItens[[#This Row],[Edital]],tItens[[#This Row],[Edital]],INDEX(tItens[Produto],1):tItens[[#This Row],[Produto]],tItens[[#This Row],[Produto]])=1,1,0)</f>
        <v>0</v>
      </c>
    </row>
    <row r="9127" spans="1:16" x14ac:dyDescent="0.25">
      <c r="A9127" t="s">
        <v>3122</v>
      </c>
      <c r="B9127">
        <v>8</v>
      </c>
      <c r="C9127" t="s">
        <v>11462</v>
      </c>
      <c r="D9127" t="s">
        <v>315</v>
      </c>
      <c r="E9127" s="13">
        <v>400</v>
      </c>
      <c r="F9127" s="12">
        <v>9.85</v>
      </c>
      <c r="G9127" t="str">
        <f>IFERROR(INDEX(tEditais[Órgão],MATCH(tItens[[#This Row],[Edital]],tEditais[Edital],0)),"")</f>
        <v>MUNICIPIO DE OSVALDO CRUZ</v>
      </c>
      <c r="H9127" t="str">
        <f>IFERROR(INDEX(tEditais[UF],MATCH(tItens[[#This Row],[Edital]],tEditais[Edital],0)),"")</f>
        <v>SP</v>
      </c>
      <c r="I9127" s="11">
        <f>IFERROR(INDEX(tEditais[Encerramento],MATCH(tItens[[#This Row],[Edital]],tEditais[Edital],0)),"")</f>
        <v>46311.375</v>
      </c>
      <c r="J9127" t="str">
        <f>IFERROR(INDEX(tProdutos[Classe],MATCH(tItens[[#This Row],[Produto]],tProdutos[Produto],0)),"produto não cadastrado")</f>
        <v>FORA</v>
      </c>
      <c r="K9127" s="12">
        <f>tItens[[#This Row],[Qtd]]*tItens[[#This Row],[Vlr unit]]</f>
        <v>3940</v>
      </c>
      <c r="L9127" s="6">
        <f>IFERROR(IF(INDEX(tProdutos[Desconto homologado],MATCH(tItens[[#This Row],[Produto]],tProdutos[Produto],0))="",DescontoPadrao,INDEX(tProdutos[Desconto homologado],MATCH(tItens[[#This Row],[Produto]],tProdutos[Produto],0))),DescontoPadrao)</f>
        <v>0.38432036097010702</v>
      </c>
      <c r="M9127" s="12">
        <f>tItens[[#This Row],[Valor]]*(1-tItens[[#This Row],[Desconto]])</f>
        <v>2425.7777777777783</v>
      </c>
      <c r="N9127" t="str">
        <f>IFERROR(INDEX(tProdutos[Foco],MATCH(tItens[[#This Row],[Produto]],tProdutos[Produto],0)),"Não")</f>
        <v>Não</v>
      </c>
      <c r="O9127" t="str">
        <f>IFERROR(INDEX(tEditais[SRP],MATCH(tItens[[#This Row],[Edital]],tEditais[Edital],0)),"Não")</f>
        <v>Sim</v>
      </c>
      <c r="P9127" s="4">
        <f>IF(COUNTIFS(INDEX(tItens[Edital],1):tItens[[#This Row],[Edital]],tItens[[#This Row],[Edital]],INDEX(tItens[Produto],1):tItens[[#This Row],[Produto]],tItens[[#This Row],[Produto]])=1,1,0)</f>
        <v>0</v>
      </c>
    </row>
    <row r="9128" spans="1:16" x14ac:dyDescent="0.25">
      <c r="A9128" t="s">
        <v>3122</v>
      </c>
      <c r="B9128">
        <v>9</v>
      </c>
      <c r="C9128" t="s">
        <v>11463</v>
      </c>
      <c r="D9128" t="s">
        <v>315</v>
      </c>
      <c r="E9128" s="13">
        <v>1800</v>
      </c>
      <c r="F9128" s="12">
        <v>7.68</v>
      </c>
      <c r="G9128" t="str">
        <f>IFERROR(INDEX(tEditais[Órgão],MATCH(tItens[[#This Row],[Edital]],tEditais[Edital],0)),"")</f>
        <v>MUNICIPIO DE OSVALDO CRUZ</v>
      </c>
      <c r="H9128" t="str">
        <f>IFERROR(INDEX(tEditais[UF],MATCH(tItens[[#This Row],[Edital]],tEditais[Edital],0)),"")</f>
        <v>SP</v>
      </c>
      <c r="I9128" s="11">
        <f>IFERROR(INDEX(tEditais[Encerramento],MATCH(tItens[[#This Row],[Edital]],tEditais[Edital],0)),"")</f>
        <v>46311.375</v>
      </c>
      <c r="J9128" t="str">
        <f>IFERROR(INDEX(tProdutos[Classe],MATCH(tItens[[#This Row],[Produto]],tProdutos[Produto],0)),"produto não cadastrado")</f>
        <v>FORA</v>
      </c>
      <c r="K9128" s="12">
        <f>tItens[[#This Row],[Qtd]]*tItens[[#This Row],[Vlr unit]]</f>
        <v>13824</v>
      </c>
      <c r="L9128" s="6">
        <f>IFERROR(IF(INDEX(tProdutos[Desconto homologado],MATCH(tItens[[#This Row],[Produto]],tProdutos[Produto],0))="",DescontoPadrao,INDEX(tProdutos[Desconto homologado],MATCH(tItens[[#This Row],[Produto]],tProdutos[Produto],0))),DescontoPadrao)</f>
        <v>0.38432036097010702</v>
      </c>
      <c r="M9128" s="12">
        <f>tItens[[#This Row],[Valor]]*(1-tItens[[#This Row],[Desconto]])</f>
        <v>8511.1553299492407</v>
      </c>
      <c r="N9128" t="str">
        <f>IFERROR(INDEX(tProdutos[Foco],MATCH(tItens[[#This Row],[Produto]],tProdutos[Produto],0)),"Não")</f>
        <v>Não</v>
      </c>
      <c r="O9128" t="str">
        <f>IFERROR(INDEX(tEditais[SRP],MATCH(tItens[[#This Row],[Edital]],tEditais[Edital],0)),"Não")</f>
        <v>Sim</v>
      </c>
      <c r="P9128" s="4">
        <f>IF(COUNTIFS(INDEX(tItens[Edital],1):tItens[[#This Row],[Edital]],tItens[[#This Row],[Edital]],INDEX(tItens[Produto],1):tItens[[#This Row],[Produto]],tItens[[#This Row],[Produto]])=1,1,0)</f>
        <v>0</v>
      </c>
    </row>
    <row r="9129" spans="1:16" x14ac:dyDescent="0.25">
      <c r="A9129" t="s">
        <v>3122</v>
      </c>
      <c r="B9129">
        <v>10</v>
      </c>
      <c r="C9129" t="s">
        <v>11463</v>
      </c>
      <c r="D9129" t="s">
        <v>315</v>
      </c>
      <c r="E9129" s="13">
        <v>200</v>
      </c>
      <c r="F9129" s="12">
        <v>7.68</v>
      </c>
      <c r="G9129" t="str">
        <f>IFERROR(INDEX(tEditais[Órgão],MATCH(tItens[[#This Row],[Edital]],tEditais[Edital],0)),"")</f>
        <v>MUNICIPIO DE OSVALDO CRUZ</v>
      </c>
      <c r="H9129" t="str">
        <f>IFERROR(INDEX(tEditais[UF],MATCH(tItens[[#This Row],[Edital]],tEditais[Edital],0)),"")</f>
        <v>SP</v>
      </c>
      <c r="I9129" s="11">
        <f>IFERROR(INDEX(tEditais[Encerramento],MATCH(tItens[[#This Row],[Edital]],tEditais[Edital],0)),"")</f>
        <v>46311.375</v>
      </c>
      <c r="J9129" t="str">
        <f>IFERROR(INDEX(tProdutos[Classe],MATCH(tItens[[#This Row],[Produto]],tProdutos[Produto],0)),"produto não cadastrado")</f>
        <v>FORA</v>
      </c>
      <c r="K9129" s="12">
        <f>tItens[[#This Row],[Qtd]]*tItens[[#This Row],[Vlr unit]]</f>
        <v>1536</v>
      </c>
      <c r="L9129" s="6">
        <f>IFERROR(IF(INDEX(tProdutos[Desconto homologado],MATCH(tItens[[#This Row],[Produto]],tProdutos[Produto],0))="",DescontoPadrao,INDEX(tProdutos[Desconto homologado],MATCH(tItens[[#This Row],[Produto]],tProdutos[Produto],0))),DescontoPadrao)</f>
        <v>0.38432036097010702</v>
      </c>
      <c r="M9129" s="12">
        <f>tItens[[#This Row],[Valor]]*(1-tItens[[#This Row],[Desconto]])</f>
        <v>945.68392554991556</v>
      </c>
      <c r="N9129" t="str">
        <f>IFERROR(INDEX(tProdutos[Foco],MATCH(tItens[[#This Row],[Produto]],tProdutos[Produto],0)),"Não")</f>
        <v>Não</v>
      </c>
      <c r="O9129" t="str">
        <f>IFERROR(INDEX(tEditais[SRP],MATCH(tItens[[#This Row],[Edital]],tEditais[Edital],0)),"Não")</f>
        <v>Sim</v>
      </c>
      <c r="P9129" s="4">
        <f>IF(COUNTIFS(INDEX(tItens[Edital],1):tItens[[#This Row],[Edital]],tItens[[#This Row],[Edital]],INDEX(tItens[Produto],1):tItens[[#This Row],[Produto]],tItens[[#This Row],[Produto]])=1,1,0)</f>
        <v>0</v>
      </c>
    </row>
    <row r="9130" spans="1:16" x14ac:dyDescent="0.25">
      <c r="A9130" t="s">
        <v>3122</v>
      </c>
      <c r="B9130">
        <v>11</v>
      </c>
      <c r="C9130" t="s">
        <v>11464</v>
      </c>
      <c r="D9130" t="s">
        <v>315</v>
      </c>
      <c r="E9130" s="13">
        <v>500</v>
      </c>
      <c r="F9130" s="12">
        <v>10.95</v>
      </c>
      <c r="G9130" t="str">
        <f>IFERROR(INDEX(tEditais[Órgão],MATCH(tItens[[#This Row],[Edital]],tEditais[Edital],0)),"")</f>
        <v>MUNICIPIO DE OSVALDO CRUZ</v>
      </c>
      <c r="H9130" t="str">
        <f>IFERROR(INDEX(tEditais[UF],MATCH(tItens[[#This Row],[Edital]],tEditais[Edital],0)),"")</f>
        <v>SP</v>
      </c>
      <c r="I9130" s="11">
        <f>IFERROR(INDEX(tEditais[Encerramento],MATCH(tItens[[#This Row],[Edital]],tEditais[Edital],0)),"")</f>
        <v>46311.375</v>
      </c>
      <c r="J9130" t="str">
        <f>IFERROR(INDEX(tProdutos[Classe],MATCH(tItens[[#This Row],[Produto]],tProdutos[Produto],0)),"produto não cadastrado")</f>
        <v>FORA</v>
      </c>
      <c r="K9130" s="12">
        <f>tItens[[#This Row],[Qtd]]*tItens[[#This Row],[Vlr unit]]</f>
        <v>5475</v>
      </c>
      <c r="L9130" s="6">
        <f>IFERROR(IF(INDEX(tProdutos[Desconto homologado],MATCH(tItens[[#This Row],[Produto]],tProdutos[Produto],0))="",DescontoPadrao,INDEX(tProdutos[Desconto homologado],MATCH(tItens[[#This Row],[Produto]],tProdutos[Produto],0))),DescontoPadrao)</f>
        <v>0.38432036097010702</v>
      </c>
      <c r="M9130" s="12">
        <f>tItens[[#This Row],[Valor]]*(1-tItens[[#This Row],[Desconto]])</f>
        <v>3370.846023688664</v>
      </c>
      <c r="N9130" t="str">
        <f>IFERROR(INDEX(tProdutos[Foco],MATCH(tItens[[#This Row],[Produto]],tProdutos[Produto],0)),"Não")</f>
        <v>Não</v>
      </c>
      <c r="O9130" t="str">
        <f>IFERROR(INDEX(tEditais[SRP],MATCH(tItens[[#This Row],[Edital]],tEditais[Edital],0)),"Não")</f>
        <v>Sim</v>
      </c>
      <c r="P9130" s="4">
        <f>IF(COUNTIFS(INDEX(tItens[Edital],1):tItens[[#This Row],[Edital]],tItens[[#This Row],[Edital]],INDEX(tItens[Produto],1):tItens[[#This Row],[Produto]],tItens[[#This Row],[Produto]])=1,1,0)</f>
        <v>0</v>
      </c>
    </row>
    <row r="9131" spans="1:16" x14ac:dyDescent="0.25">
      <c r="A9131" t="s">
        <v>3122</v>
      </c>
      <c r="B9131">
        <v>18</v>
      </c>
      <c r="C9131" t="s">
        <v>11465</v>
      </c>
      <c r="D9131" t="s">
        <v>351</v>
      </c>
      <c r="E9131" s="13">
        <v>300</v>
      </c>
      <c r="F9131" s="12">
        <v>8.1</v>
      </c>
      <c r="G9131" t="str">
        <f>IFERROR(INDEX(tEditais[Órgão],MATCH(tItens[[#This Row],[Edital]],tEditais[Edital],0)),"")</f>
        <v>MUNICIPIO DE OSVALDO CRUZ</v>
      </c>
      <c r="H9131" t="str">
        <f>IFERROR(INDEX(tEditais[UF],MATCH(tItens[[#This Row],[Edital]],tEditais[Edital],0)),"")</f>
        <v>SP</v>
      </c>
      <c r="I9131" s="11">
        <f>IFERROR(INDEX(tEditais[Encerramento],MATCH(tItens[[#This Row],[Edital]],tEditais[Edital],0)),"")</f>
        <v>46311.375</v>
      </c>
      <c r="J9131" t="str">
        <f>IFERROR(INDEX(tProdutos[Classe],MATCH(tItens[[#This Row],[Produto]],tProdutos[Produto],0)),"produto não cadastrado")</f>
        <v>FORA</v>
      </c>
      <c r="K9131" s="12">
        <f>tItens[[#This Row],[Qtd]]*tItens[[#This Row],[Vlr unit]]</f>
        <v>2430</v>
      </c>
      <c r="L9131" s="6">
        <f>IFERROR(IF(INDEX(tProdutos[Desconto homologado],MATCH(tItens[[#This Row],[Produto]],tProdutos[Produto],0))="",DescontoPadrao,INDEX(tProdutos[Desconto homologado],MATCH(tItens[[#This Row],[Produto]],tProdutos[Produto],0))),DescontoPadrao)</f>
        <v>0.33518005540166201</v>
      </c>
      <c r="M9131" s="12">
        <f>tItens[[#This Row],[Valor]]*(1-tItens[[#This Row],[Desconto]])</f>
        <v>1615.5124653739615</v>
      </c>
      <c r="N9131" t="str">
        <f>IFERROR(INDEX(tProdutos[Foco],MATCH(tItens[[#This Row],[Produto]],tProdutos[Produto],0)),"Não")</f>
        <v>Não</v>
      </c>
      <c r="O9131" t="str">
        <f>IFERROR(INDEX(tEditais[SRP],MATCH(tItens[[#This Row],[Edital]],tEditais[Edital],0)),"Não")</f>
        <v>Sim</v>
      </c>
      <c r="P9131" s="4">
        <f>IF(COUNTIFS(INDEX(tItens[Edital],1):tItens[[#This Row],[Edital]],tItens[[#This Row],[Edital]],INDEX(tItens[Produto],1):tItens[[#This Row],[Produto]],tItens[[#This Row],[Produto]])=1,1,0)</f>
        <v>1</v>
      </c>
    </row>
    <row r="9132" spans="1:16" x14ac:dyDescent="0.25">
      <c r="A9132" t="s">
        <v>3122</v>
      </c>
      <c r="B9132">
        <v>19</v>
      </c>
      <c r="C9132" t="s">
        <v>11466</v>
      </c>
      <c r="D9132" t="s">
        <v>351</v>
      </c>
      <c r="E9132" s="13">
        <v>1800</v>
      </c>
      <c r="F9132" s="12">
        <v>10.93</v>
      </c>
      <c r="G9132" t="str">
        <f>IFERROR(INDEX(tEditais[Órgão],MATCH(tItens[[#This Row],[Edital]],tEditais[Edital],0)),"")</f>
        <v>MUNICIPIO DE OSVALDO CRUZ</v>
      </c>
      <c r="H9132" t="str">
        <f>IFERROR(INDEX(tEditais[UF],MATCH(tItens[[#This Row],[Edital]],tEditais[Edital],0)),"")</f>
        <v>SP</v>
      </c>
      <c r="I9132" s="11">
        <f>IFERROR(INDEX(tEditais[Encerramento],MATCH(tItens[[#This Row],[Edital]],tEditais[Edital],0)),"")</f>
        <v>46311.375</v>
      </c>
      <c r="J9132" t="str">
        <f>IFERROR(INDEX(tProdutos[Classe],MATCH(tItens[[#This Row],[Produto]],tProdutos[Produto],0)),"produto não cadastrado")</f>
        <v>FORA</v>
      </c>
      <c r="K9132" s="12">
        <f>tItens[[#This Row],[Qtd]]*tItens[[#This Row],[Vlr unit]]</f>
        <v>19674</v>
      </c>
      <c r="L9132" s="6">
        <f>IFERROR(IF(INDEX(tProdutos[Desconto homologado],MATCH(tItens[[#This Row],[Produto]],tProdutos[Produto],0))="",DescontoPadrao,INDEX(tProdutos[Desconto homologado],MATCH(tItens[[#This Row],[Produto]],tProdutos[Produto],0))),DescontoPadrao)</f>
        <v>0.33518005540166201</v>
      </c>
      <c r="M9132" s="12">
        <f>tItens[[#This Row],[Valor]]*(1-tItens[[#This Row],[Desconto]])</f>
        <v>13079.667590027702</v>
      </c>
      <c r="N9132" t="str">
        <f>IFERROR(INDEX(tProdutos[Foco],MATCH(tItens[[#This Row],[Produto]],tProdutos[Produto],0)),"Não")</f>
        <v>Não</v>
      </c>
      <c r="O9132" t="str">
        <f>IFERROR(INDEX(tEditais[SRP],MATCH(tItens[[#This Row],[Edital]],tEditais[Edital],0)),"Não")</f>
        <v>Sim</v>
      </c>
      <c r="P9132" s="4">
        <f>IF(COUNTIFS(INDEX(tItens[Edital],1):tItens[[#This Row],[Edital]],tItens[[#This Row],[Edital]],INDEX(tItens[Produto],1):tItens[[#This Row],[Produto]],tItens[[#This Row],[Produto]])=1,1,0)</f>
        <v>0</v>
      </c>
    </row>
    <row r="9133" spans="1:16" x14ac:dyDescent="0.25">
      <c r="A9133" t="s">
        <v>3122</v>
      </c>
      <c r="B9133">
        <v>20</v>
      </c>
      <c r="C9133" t="s">
        <v>11466</v>
      </c>
      <c r="D9133" t="s">
        <v>351</v>
      </c>
      <c r="E9133" s="13">
        <v>200</v>
      </c>
      <c r="F9133" s="12">
        <v>10.93</v>
      </c>
      <c r="G9133" t="str">
        <f>IFERROR(INDEX(tEditais[Órgão],MATCH(tItens[[#This Row],[Edital]],tEditais[Edital],0)),"")</f>
        <v>MUNICIPIO DE OSVALDO CRUZ</v>
      </c>
      <c r="H9133" t="str">
        <f>IFERROR(INDEX(tEditais[UF],MATCH(tItens[[#This Row],[Edital]],tEditais[Edital],0)),"")</f>
        <v>SP</v>
      </c>
      <c r="I9133" s="11">
        <f>IFERROR(INDEX(tEditais[Encerramento],MATCH(tItens[[#This Row],[Edital]],tEditais[Edital],0)),"")</f>
        <v>46311.375</v>
      </c>
      <c r="J9133" t="str">
        <f>IFERROR(INDEX(tProdutos[Classe],MATCH(tItens[[#This Row],[Produto]],tProdutos[Produto],0)),"produto não cadastrado")</f>
        <v>FORA</v>
      </c>
      <c r="K9133" s="12">
        <f>tItens[[#This Row],[Qtd]]*tItens[[#This Row],[Vlr unit]]</f>
        <v>2186</v>
      </c>
      <c r="L9133" s="6">
        <f>IFERROR(IF(INDEX(tProdutos[Desconto homologado],MATCH(tItens[[#This Row],[Produto]],tProdutos[Produto],0))="",DescontoPadrao,INDEX(tProdutos[Desconto homologado],MATCH(tItens[[#This Row],[Produto]],tProdutos[Produto],0))),DescontoPadrao)</f>
        <v>0.33518005540166201</v>
      </c>
      <c r="M9133" s="12">
        <f>tItens[[#This Row],[Valor]]*(1-tItens[[#This Row],[Desconto]])</f>
        <v>1453.2963988919669</v>
      </c>
      <c r="N9133" t="str">
        <f>IFERROR(INDEX(tProdutos[Foco],MATCH(tItens[[#This Row],[Produto]],tProdutos[Produto],0)),"Não")</f>
        <v>Não</v>
      </c>
      <c r="O9133" t="str">
        <f>IFERROR(INDEX(tEditais[SRP],MATCH(tItens[[#This Row],[Edital]],tEditais[Edital],0)),"Não")</f>
        <v>Sim</v>
      </c>
      <c r="P9133" s="4">
        <f>IF(COUNTIFS(INDEX(tItens[Edital],1):tItens[[#This Row],[Edital]],tItens[[#This Row],[Edital]],INDEX(tItens[Produto],1):tItens[[#This Row],[Produto]],tItens[[#This Row],[Produto]])=1,1,0)</f>
        <v>0</v>
      </c>
    </row>
    <row r="9134" spans="1:16" x14ac:dyDescent="0.25">
      <c r="A9134" t="s">
        <v>3122</v>
      </c>
      <c r="B9134">
        <v>21</v>
      </c>
      <c r="C9134" t="s">
        <v>11467</v>
      </c>
      <c r="D9134" t="s">
        <v>351</v>
      </c>
      <c r="E9134" s="13">
        <v>2250</v>
      </c>
      <c r="F9134" s="12">
        <v>26.01</v>
      </c>
      <c r="G9134" t="str">
        <f>IFERROR(INDEX(tEditais[Órgão],MATCH(tItens[[#This Row],[Edital]],tEditais[Edital],0)),"")</f>
        <v>MUNICIPIO DE OSVALDO CRUZ</v>
      </c>
      <c r="H9134" t="str">
        <f>IFERROR(INDEX(tEditais[UF],MATCH(tItens[[#This Row],[Edital]],tEditais[Edital],0)),"")</f>
        <v>SP</v>
      </c>
      <c r="I9134" s="11">
        <f>IFERROR(INDEX(tEditais[Encerramento],MATCH(tItens[[#This Row],[Edital]],tEditais[Edital],0)),"")</f>
        <v>46311.375</v>
      </c>
      <c r="J9134" t="str">
        <f>IFERROR(INDEX(tProdutos[Classe],MATCH(tItens[[#This Row],[Produto]],tProdutos[Produto],0)),"produto não cadastrado")</f>
        <v>FORA</v>
      </c>
      <c r="K9134" s="12">
        <f>tItens[[#This Row],[Qtd]]*tItens[[#This Row],[Vlr unit]]</f>
        <v>58522.5</v>
      </c>
      <c r="L9134" s="6">
        <f>IFERROR(IF(INDEX(tProdutos[Desconto homologado],MATCH(tItens[[#This Row],[Produto]],tProdutos[Produto],0))="",DescontoPadrao,INDEX(tProdutos[Desconto homologado],MATCH(tItens[[#This Row],[Produto]],tProdutos[Produto],0))),DescontoPadrao)</f>
        <v>0.33518005540166201</v>
      </c>
      <c r="M9134" s="12">
        <f>tItens[[#This Row],[Valor]]*(1-tItens[[#This Row],[Desconto]])</f>
        <v>38906.925207756241</v>
      </c>
      <c r="N9134" t="str">
        <f>IFERROR(INDEX(tProdutos[Foco],MATCH(tItens[[#This Row],[Produto]],tProdutos[Produto],0)),"Não")</f>
        <v>Não</v>
      </c>
      <c r="O9134" t="str">
        <f>IFERROR(INDEX(tEditais[SRP],MATCH(tItens[[#This Row],[Edital]],tEditais[Edital],0)),"Não")</f>
        <v>Sim</v>
      </c>
      <c r="P9134" s="4">
        <f>IF(COUNTIFS(INDEX(tItens[Edital],1):tItens[[#This Row],[Edital]],tItens[[#This Row],[Edital]],INDEX(tItens[Produto],1):tItens[[#This Row],[Produto]],tItens[[#This Row],[Produto]])=1,1,0)</f>
        <v>0</v>
      </c>
    </row>
    <row r="9135" spans="1:16" x14ac:dyDescent="0.25">
      <c r="A9135" t="s">
        <v>3122</v>
      </c>
      <c r="B9135">
        <v>22</v>
      </c>
      <c r="C9135" t="s">
        <v>11467</v>
      </c>
      <c r="D9135" t="s">
        <v>351</v>
      </c>
      <c r="E9135" s="13">
        <v>250</v>
      </c>
      <c r="F9135" s="12">
        <v>26.01</v>
      </c>
      <c r="G9135" t="str">
        <f>IFERROR(INDEX(tEditais[Órgão],MATCH(tItens[[#This Row],[Edital]],tEditais[Edital],0)),"")</f>
        <v>MUNICIPIO DE OSVALDO CRUZ</v>
      </c>
      <c r="H9135" t="str">
        <f>IFERROR(INDEX(tEditais[UF],MATCH(tItens[[#This Row],[Edital]],tEditais[Edital],0)),"")</f>
        <v>SP</v>
      </c>
      <c r="I9135" s="11">
        <f>IFERROR(INDEX(tEditais[Encerramento],MATCH(tItens[[#This Row],[Edital]],tEditais[Edital],0)),"")</f>
        <v>46311.375</v>
      </c>
      <c r="J9135" t="str">
        <f>IFERROR(INDEX(tProdutos[Classe],MATCH(tItens[[#This Row],[Produto]],tProdutos[Produto],0)),"produto não cadastrado")</f>
        <v>FORA</v>
      </c>
      <c r="K9135" s="12">
        <f>tItens[[#This Row],[Qtd]]*tItens[[#This Row],[Vlr unit]]</f>
        <v>6502.5</v>
      </c>
      <c r="L9135" s="6">
        <f>IFERROR(IF(INDEX(tProdutos[Desconto homologado],MATCH(tItens[[#This Row],[Produto]],tProdutos[Produto],0))="",DescontoPadrao,INDEX(tProdutos[Desconto homologado],MATCH(tItens[[#This Row],[Produto]],tProdutos[Produto],0))),DescontoPadrao)</f>
        <v>0.33518005540166201</v>
      </c>
      <c r="M9135" s="12">
        <f>tItens[[#This Row],[Valor]]*(1-tItens[[#This Row],[Desconto]])</f>
        <v>4322.9916897506928</v>
      </c>
      <c r="N9135" t="str">
        <f>IFERROR(INDEX(tProdutos[Foco],MATCH(tItens[[#This Row],[Produto]],tProdutos[Produto],0)),"Não")</f>
        <v>Não</v>
      </c>
      <c r="O9135" t="str">
        <f>IFERROR(INDEX(tEditais[SRP],MATCH(tItens[[#This Row],[Edital]],tEditais[Edital],0)),"Não")</f>
        <v>Sim</v>
      </c>
      <c r="P9135" s="4">
        <f>IF(COUNTIFS(INDEX(tItens[Edital],1):tItens[[#This Row],[Edital]],tItens[[#This Row],[Edital]],INDEX(tItens[Produto],1):tItens[[#This Row],[Produto]],tItens[[#This Row],[Produto]])=1,1,0)</f>
        <v>0</v>
      </c>
    </row>
    <row r="9136" spans="1:16" x14ac:dyDescent="0.25">
      <c r="A9136" t="s">
        <v>3122</v>
      </c>
      <c r="B9136">
        <v>23</v>
      </c>
      <c r="C9136" t="s">
        <v>11468</v>
      </c>
      <c r="D9136" t="s">
        <v>351</v>
      </c>
      <c r="E9136" s="13">
        <v>2250</v>
      </c>
      <c r="F9136" s="12">
        <v>19.25</v>
      </c>
      <c r="G9136" t="str">
        <f>IFERROR(INDEX(tEditais[Órgão],MATCH(tItens[[#This Row],[Edital]],tEditais[Edital],0)),"")</f>
        <v>MUNICIPIO DE OSVALDO CRUZ</v>
      </c>
      <c r="H9136" t="str">
        <f>IFERROR(INDEX(tEditais[UF],MATCH(tItens[[#This Row],[Edital]],tEditais[Edital],0)),"")</f>
        <v>SP</v>
      </c>
      <c r="I9136" s="11">
        <f>IFERROR(INDEX(tEditais[Encerramento],MATCH(tItens[[#This Row],[Edital]],tEditais[Edital],0)),"")</f>
        <v>46311.375</v>
      </c>
      <c r="J9136" t="str">
        <f>IFERROR(INDEX(tProdutos[Classe],MATCH(tItens[[#This Row],[Produto]],tProdutos[Produto],0)),"produto não cadastrado")</f>
        <v>FORA</v>
      </c>
      <c r="K9136" s="12">
        <f>tItens[[#This Row],[Qtd]]*tItens[[#This Row],[Vlr unit]]</f>
        <v>43312.5</v>
      </c>
      <c r="L9136" s="6">
        <f>IFERROR(IF(INDEX(tProdutos[Desconto homologado],MATCH(tItens[[#This Row],[Produto]],tProdutos[Produto],0))="",DescontoPadrao,INDEX(tProdutos[Desconto homologado],MATCH(tItens[[#This Row],[Produto]],tProdutos[Produto],0))),DescontoPadrao)</f>
        <v>0.33518005540166201</v>
      </c>
      <c r="M9136" s="12">
        <f>tItens[[#This Row],[Valor]]*(1-tItens[[#This Row],[Desconto]])</f>
        <v>28795.013850415515</v>
      </c>
      <c r="N9136" t="str">
        <f>IFERROR(INDEX(tProdutos[Foco],MATCH(tItens[[#This Row],[Produto]],tProdutos[Produto],0)),"Não")</f>
        <v>Não</v>
      </c>
      <c r="O9136" t="str">
        <f>IFERROR(INDEX(tEditais[SRP],MATCH(tItens[[#This Row],[Edital]],tEditais[Edital],0)),"Não")</f>
        <v>Sim</v>
      </c>
      <c r="P9136" s="4">
        <f>IF(COUNTIFS(INDEX(tItens[Edital],1):tItens[[#This Row],[Edital]],tItens[[#This Row],[Edital]],INDEX(tItens[Produto],1):tItens[[#This Row],[Produto]],tItens[[#This Row],[Produto]])=1,1,0)</f>
        <v>0</v>
      </c>
    </row>
    <row r="9137" spans="1:16" x14ac:dyDescent="0.25">
      <c r="A9137" t="s">
        <v>3122</v>
      </c>
      <c r="B9137">
        <v>24</v>
      </c>
      <c r="C9137" t="s">
        <v>11468</v>
      </c>
      <c r="D9137" t="s">
        <v>351</v>
      </c>
      <c r="E9137" s="13">
        <v>250</v>
      </c>
      <c r="F9137" s="12">
        <v>19.25</v>
      </c>
      <c r="G9137" t="str">
        <f>IFERROR(INDEX(tEditais[Órgão],MATCH(tItens[[#This Row],[Edital]],tEditais[Edital],0)),"")</f>
        <v>MUNICIPIO DE OSVALDO CRUZ</v>
      </c>
      <c r="H9137" t="str">
        <f>IFERROR(INDEX(tEditais[UF],MATCH(tItens[[#This Row],[Edital]],tEditais[Edital],0)),"")</f>
        <v>SP</v>
      </c>
      <c r="I9137" s="11">
        <f>IFERROR(INDEX(tEditais[Encerramento],MATCH(tItens[[#This Row],[Edital]],tEditais[Edital],0)),"")</f>
        <v>46311.375</v>
      </c>
      <c r="J9137" t="str">
        <f>IFERROR(INDEX(tProdutos[Classe],MATCH(tItens[[#This Row],[Produto]],tProdutos[Produto],0)),"produto não cadastrado")</f>
        <v>FORA</v>
      </c>
      <c r="K9137" s="12">
        <f>tItens[[#This Row],[Qtd]]*tItens[[#This Row],[Vlr unit]]</f>
        <v>4812.5</v>
      </c>
      <c r="L9137" s="6">
        <f>IFERROR(IF(INDEX(tProdutos[Desconto homologado],MATCH(tItens[[#This Row],[Produto]],tProdutos[Produto],0))="",DescontoPadrao,INDEX(tProdutos[Desconto homologado],MATCH(tItens[[#This Row],[Produto]],tProdutos[Produto],0))),DescontoPadrao)</f>
        <v>0.33518005540166201</v>
      </c>
      <c r="M9137" s="12">
        <f>tItens[[#This Row],[Valor]]*(1-tItens[[#This Row],[Desconto]])</f>
        <v>3199.4459833795017</v>
      </c>
      <c r="N9137" t="str">
        <f>IFERROR(INDEX(tProdutos[Foco],MATCH(tItens[[#This Row],[Produto]],tProdutos[Produto],0)),"Não")</f>
        <v>Não</v>
      </c>
      <c r="O9137" t="str">
        <f>IFERROR(INDEX(tEditais[SRP],MATCH(tItens[[#This Row],[Edital]],tEditais[Edital],0)),"Não")</f>
        <v>Sim</v>
      </c>
      <c r="P9137" s="4">
        <f>IF(COUNTIFS(INDEX(tItens[Edital],1):tItens[[#This Row],[Edital]],tItens[[#This Row],[Edital]],INDEX(tItens[Produto],1):tItens[[#This Row],[Produto]],tItens[[#This Row],[Produto]])=1,1,0)</f>
        <v>0</v>
      </c>
    </row>
    <row r="9138" spans="1:16" x14ac:dyDescent="0.25">
      <c r="A9138" t="s">
        <v>3122</v>
      </c>
      <c r="B9138">
        <v>25</v>
      </c>
      <c r="C9138" t="s">
        <v>11469</v>
      </c>
      <c r="D9138" t="s">
        <v>351</v>
      </c>
      <c r="E9138" s="13">
        <v>1350</v>
      </c>
      <c r="F9138" s="12">
        <v>25.2</v>
      </c>
      <c r="G9138" t="str">
        <f>IFERROR(INDEX(tEditais[Órgão],MATCH(tItens[[#This Row],[Edital]],tEditais[Edital],0)),"")</f>
        <v>MUNICIPIO DE OSVALDO CRUZ</v>
      </c>
      <c r="H9138" t="str">
        <f>IFERROR(INDEX(tEditais[UF],MATCH(tItens[[#This Row],[Edital]],tEditais[Edital],0)),"")</f>
        <v>SP</v>
      </c>
      <c r="I9138" s="11">
        <f>IFERROR(INDEX(tEditais[Encerramento],MATCH(tItens[[#This Row],[Edital]],tEditais[Edital],0)),"")</f>
        <v>46311.375</v>
      </c>
      <c r="J9138" t="str">
        <f>IFERROR(INDEX(tProdutos[Classe],MATCH(tItens[[#This Row],[Produto]],tProdutos[Produto],0)),"produto não cadastrado")</f>
        <v>FORA</v>
      </c>
      <c r="K9138" s="12">
        <f>tItens[[#This Row],[Qtd]]*tItens[[#This Row],[Vlr unit]]</f>
        <v>34020</v>
      </c>
      <c r="L9138" s="6">
        <f>IFERROR(IF(INDEX(tProdutos[Desconto homologado],MATCH(tItens[[#This Row],[Produto]],tProdutos[Produto],0))="",DescontoPadrao,INDEX(tProdutos[Desconto homologado],MATCH(tItens[[#This Row],[Produto]],tProdutos[Produto],0))),DescontoPadrao)</f>
        <v>0.33518005540166201</v>
      </c>
      <c r="M9138" s="12">
        <f>tItens[[#This Row],[Valor]]*(1-tItens[[#This Row],[Desconto]])</f>
        <v>22617.17451523546</v>
      </c>
      <c r="N9138" t="str">
        <f>IFERROR(INDEX(tProdutos[Foco],MATCH(tItens[[#This Row],[Produto]],tProdutos[Produto],0)),"Não")</f>
        <v>Não</v>
      </c>
      <c r="O9138" t="str">
        <f>IFERROR(INDEX(tEditais[SRP],MATCH(tItens[[#This Row],[Edital]],tEditais[Edital],0)),"Não")</f>
        <v>Sim</v>
      </c>
      <c r="P9138" s="4">
        <f>IF(COUNTIFS(INDEX(tItens[Edital],1):tItens[[#This Row],[Edital]],tItens[[#This Row],[Edital]],INDEX(tItens[Produto],1):tItens[[#This Row],[Produto]],tItens[[#This Row],[Produto]])=1,1,0)</f>
        <v>0</v>
      </c>
    </row>
    <row r="9139" spans="1:16" x14ac:dyDescent="0.25">
      <c r="A9139" t="s">
        <v>3122</v>
      </c>
      <c r="B9139">
        <v>26</v>
      </c>
      <c r="C9139" t="s">
        <v>11469</v>
      </c>
      <c r="D9139" t="s">
        <v>351</v>
      </c>
      <c r="E9139" s="13">
        <v>150</v>
      </c>
      <c r="F9139" s="12">
        <v>25.2</v>
      </c>
      <c r="G9139" t="str">
        <f>IFERROR(INDEX(tEditais[Órgão],MATCH(tItens[[#This Row],[Edital]],tEditais[Edital],0)),"")</f>
        <v>MUNICIPIO DE OSVALDO CRUZ</v>
      </c>
      <c r="H9139" t="str">
        <f>IFERROR(INDEX(tEditais[UF],MATCH(tItens[[#This Row],[Edital]],tEditais[Edital],0)),"")</f>
        <v>SP</v>
      </c>
      <c r="I9139" s="11">
        <f>IFERROR(INDEX(tEditais[Encerramento],MATCH(tItens[[#This Row],[Edital]],tEditais[Edital],0)),"")</f>
        <v>46311.375</v>
      </c>
      <c r="J9139" t="str">
        <f>IFERROR(INDEX(tProdutos[Classe],MATCH(tItens[[#This Row],[Produto]],tProdutos[Produto],0)),"produto não cadastrado")</f>
        <v>FORA</v>
      </c>
      <c r="K9139" s="12">
        <f>tItens[[#This Row],[Qtd]]*tItens[[#This Row],[Vlr unit]]</f>
        <v>3780</v>
      </c>
      <c r="L9139" s="6">
        <f>IFERROR(IF(INDEX(tProdutos[Desconto homologado],MATCH(tItens[[#This Row],[Produto]],tProdutos[Produto],0))="",DescontoPadrao,INDEX(tProdutos[Desconto homologado],MATCH(tItens[[#This Row],[Produto]],tProdutos[Produto],0))),DescontoPadrao)</f>
        <v>0.33518005540166201</v>
      </c>
      <c r="M9139" s="12">
        <f>tItens[[#This Row],[Valor]]*(1-tItens[[#This Row],[Desconto]])</f>
        <v>2513.0193905817177</v>
      </c>
      <c r="N9139" t="str">
        <f>IFERROR(INDEX(tProdutos[Foco],MATCH(tItens[[#This Row],[Produto]],tProdutos[Produto],0)),"Não")</f>
        <v>Não</v>
      </c>
      <c r="O9139" t="str">
        <f>IFERROR(INDEX(tEditais[SRP],MATCH(tItens[[#This Row],[Edital]],tEditais[Edital],0)),"Não")</f>
        <v>Sim</v>
      </c>
      <c r="P9139" s="4">
        <f>IF(COUNTIFS(INDEX(tItens[Edital],1):tItens[[#This Row],[Edital]],tItens[[#This Row],[Edital]],INDEX(tItens[Produto],1):tItens[[#This Row],[Produto]],tItens[[#This Row],[Produto]])=1,1,0)</f>
        <v>0</v>
      </c>
    </row>
    <row r="9140" spans="1:16" x14ac:dyDescent="0.25">
      <c r="A9140" t="s">
        <v>3122</v>
      </c>
      <c r="B9140">
        <v>30</v>
      </c>
      <c r="C9140" t="s">
        <v>11470</v>
      </c>
      <c r="D9140" t="s">
        <v>124</v>
      </c>
      <c r="E9140" s="13">
        <v>100</v>
      </c>
      <c r="F9140" s="12">
        <v>16.97</v>
      </c>
      <c r="G9140" t="str">
        <f>IFERROR(INDEX(tEditais[Órgão],MATCH(tItens[[#This Row],[Edital]],tEditais[Edital],0)),"")</f>
        <v>MUNICIPIO DE OSVALDO CRUZ</v>
      </c>
      <c r="H9140" t="str">
        <f>IFERROR(INDEX(tEditais[UF],MATCH(tItens[[#This Row],[Edital]],tEditais[Edital],0)),"")</f>
        <v>SP</v>
      </c>
      <c r="I9140" s="11">
        <f>IFERROR(INDEX(tEditais[Encerramento],MATCH(tItens[[#This Row],[Edital]],tEditais[Edital],0)),"")</f>
        <v>46311.375</v>
      </c>
      <c r="J9140" t="str">
        <f>IFERROR(INDEX(tProdutos[Classe],MATCH(tItens[[#This Row],[Produto]],tProdutos[Produto],0)),"produto não cadastrado")</f>
        <v>DISPUTADO</v>
      </c>
      <c r="K9140" s="12">
        <f>tItens[[#This Row],[Qtd]]*tItens[[#This Row],[Vlr unit]]</f>
        <v>1697</v>
      </c>
      <c r="L9140" s="6">
        <f>IFERROR(IF(INDEX(tProdutos[Desconto homologado],MATCH(tItens[[#This Row],[Produto]],tProdutos[Produto],0))="",DescontoPadrao,INDEX(tProdutos[Desconto homologado],MATCH(tItens[[#This Row],[Produto]],tProdutos[Produto],0))),DescontoPadrao)</f>
        <v>0.34</v>
      </c>
      <c r="M9140" s="12">
        <f>tItens[[#This Row],[Valor]]*(1-tItens[[#This Row],[Desconto]])</f>
        <v>1120.0199999999998</v>
      </c>
      <c r="N9140" t="str">
        <f>IFERROR(INDEX(tProdutos[Foco],MATCH(tItens[[#This Row],[Produto]],tProdutos[Produto],0)),"Não")</f>
        <v>Sim</v>
      </c>
      <c r="O9140" t="str">
        <f>IFERROR(INDEX(tEditais[SRP],MATCH(tItens[[#This Row],[Edital]],tEditais[Edital],0)),"Não")</f>
        <v>Sim</v>
      </c>
      <c r="P9140" s="4">
        <f>IF(COUNTIFS(INDEX(tItens[Edital],1):tItens[[#This Row],[Edital]],tItens[[#This Row],[Edital]],INDEX(tItens[Produto],1):tItens[[#This Row],[Produto]],tItens[[#This Row],[Produto]])=1,1,0)</f>
        <v>1</v>
      </c>
    </row>
    <row r="9141" spans="1:16" x14ac:dyDescent="0.25">
      <c r="A9141" t="s">
        <v>3122</v>
      </c>
      <c r="B9141">
        <v>31</v>
      </c>
      <c r="C9141" t="s">
        <v>11471</v>
      </c>
      <c r="D9141" t="s">
        <v>124</v>
      </c>
      <c r="E9141" s="13">
        <v>100</v>
      </c>
      <c r="F9141" s="12">
        <v>23.72</v>
      </c>
      <c r="G9141" t="str">
        <f>IFERROR(INDEX(tEditais[Órgão],MATCH(tItens[[#This Row],[Edital]],tEditais[Edital],0)),"")</f>
        <v>MUNICIPIO DE OSVALDO CRUZ</v>
      </c>
      <c r="H9141" t="str">
        <f>IFERROR(INDEX(tEditais[UF],MATCH(tItens[[#This Row],[Edital]],tEditais[Edital],0)),"")</f>
        <v>SP</v>
      </c>
      <c r="I9141" s="11">
        <f>IFERROR(INDEX(tEditais[Encerramento],MATCH(tItens[[#This Row],[Edital]],tEditais[Edital],0)),"")</f>
        <v>46311.375</v>
      </c>
      <c r="J9141" t="str">
        <f>IFERROR(INDEX(tProdutos[Classe],MATCH(tItens[[#This Row],[Produto]],tProdutos[Produto],0)),"produto não cadastrado")</f>
        <v>DISPUTADO</v>
      </c>
      <c r="K9141" s="12">
        <f>tItens[[#This Row],[Qtd]]*tItens[[#This Row],[Vlr unit]]</f>
        <v>2372</v>
      </c>
      <c r="L9141" s="6">
        <f>IFERROR(IF(INDEX(tProdutos[Desconto homologado],MATCH(tItens[[#This Row],[Produto]],tProdutos[Produto],0))="",DescontoPadrao,INDEX(tProdutos[Desconto homologado],MATCH(tItens[[#This Row],[Produto]],tProdutos[Produto],0))),DescontoPadrao)</f>
        <v>0.34</v>
      </c>
      <c r="M9141" s="12">
        <f>tItens[[#This Row],[Valor]]*(1-tItens[[#This Row],[Desconto]])</f>
        <v>1565.5199999999998</v>
      </c>
      <c r="N9141" t="str">
        <f>IFERROR(INDEX(tProdutos[Foco],MATCH(tItens[[#This Row],[Produto]],tProdutos[Produto],0)),"Não")</f>
        <v>Sim</v>
      </c>
      <c r="O9141" t="str">
        <f>IFERROR(INDEX(tEditais[SRP],MATCH(tItens[[#This Row],[Edital]],tEditais[Edital],0)),"Não")</f>
        <v>Sim</v>
      </c>
      <c r="P9141" s="4">
        <f>IF(COUNTIFS(INDEX(tItens[Edital],1):tItens[[#This Row],[Edital]],tItens[[#This Row],[Edital]],INDEX(tItens[Produto],1):tItens[[#This Row],[Produto]],tItens[[#This Row],[Produto]])=1,1,0)</f>
        <v>0</v>
      </c>
    </row>
    <row r="9142" spans="1:16" x14ac:dyDescent="0.25">
      <c r="A9142" t="s">
        <v>3122</v>
      </c>
      <c r="B9142">
        <v>33</v>
      </c>
      <c r="C9142" t="s">
        <v>11472</v>
      </c>
      <c r="D9142" t="s">
        <v>423</v>
      </c>
      <c r="E9142" s="13">
        <v>10</v>
      </c>
      <c r="F9142" s="12">
        <v>7.33</v>
      </c>
      <c r="G9142" t="str">
        <f>IFERROR(INDEX(tEditais[Órgão],MATCH(tItens[[#This Row],[Edital]],tEditais[Edital],0)),"")</f>
        <v>MUNICIPIO DE OSVALDO CRUZ</v>
      </c>
      <c r="H9142" t="str">
        <f>IFERROR(INDEX(tEditais[UF],MATCH(tItens[[#This Row],[Edital]],tEditais[Edital],0)),"")</f>
        <v>SP</v>
      </c>
      <c r="I9142" s="11">
        <f>IFERROR(INDEX(tEditais[Encerramento],MATCH(tItens[[#This Row],[Edital]],tEditais[Edital],0)),"")</f>
        <v>46311.375</v>
      </c>
      <c r="J9142" t="str">
        <f>IFERROR(INDEX(tProdutos[Classe],MATCH(tItens[[#This Row],[Produto]],tProdutos[Produto],0)),"produto não cadastrado")</f>
        <v>FORA</v>
      </c>
      <c r="K9142" s="12">
        <f>tItens[[#This Row],[Qtd]]*tItens[[#This Row],[Vlr unit]]</f>
        <v>73.3</v>
      </c>
      <c r="L9142" s="6">
        <f>IFERROR(IF(INDEX(tProdutos[Desconto homologado],MATCH(tItens[[#This Row],[Produto]],tProdutos[Produto],0))="",DescontoPadrao,INDEX(tProdutos[Desconto homologado],MATCH(tItens[[#This Row],[Produto]],tProdutos[Produto],0))),DescontoPadrao)</f>
        <v>0.38271604938271597</v>
      </c>
      <c r="M9142" s="12">
        <f>tItens[[#This Row],[Valor]]*(1-tItens[[#This Row],[Desconto]])</f>
        <v>45.246913580246918</v>
      </c>
      <c r="N9142" t="str">
        <f>IFERROR(INDEX(tProdutos[Foco],MATCH(tItens[[#This Row],[Produto]],tProdutos[Produto],0)),"Não")</f>
        <v>Não</v>
      </c>
      <c r="O9142" t="str">
        <f>IFERROR(INDEX(tEditais[SRP],MATCH(tItens[[#This Row],[Edital]],tEditais[Edital],0)),"Não")</f>
        <v>Sim</v>
      </c>
      <c r="P9142" s="4">
        <f>IF(COUNTIFS(INDEX(tItens[Edital],1):tItens[[#This Row],[Edital]],tItens[[#This Row],[Edital]],INDEX(tItens[Produto],1):tItens[[#This Row],[Produto]],tItens[[#This Row],[Produto]])=1,1,0)</f>
        <v>1</v>
      </c>
    </row>
    <row r="9143" spans="1:16" x14ac:dyDescent="0.25">
      <c r="A9143" t="s">
        <v>3122</v>
      </c>
      <c r="B9143">
        <v>34</v>
      </c>
      <c r="C9143" t="s">
        <v>11473</v>
      </c>
      <c r="D9143" t="s">
        <v>421</v>
      </c>
      <c r="E9143" s="13">
        <v>10</v>
      </c>
      <c r="F9143" s="12">
        <v>21.76</v>
      </c>
      <c r="G9143" t="str">
        <f>IFERROR(INDEX(tEditais[Órgão],MATCH(tItens[[#This Row],[Edital]],tEditais[Edital],0)),"")</f>
        <v>MUNICIPIO DE OSVALDO CRUZ</v>
      </c>
      <c r="H9143" t="str">
        <f>IFERROR(INDEX(tEditais[UF],MATCH(tItens[[#This Row],[Edital]],tEditais[Edital],0)),"")</f>
        <v>SP</v>
      </c>
      <c r="I9143" s="11">
        <f>IFERROR(INDEX(tEditais[Encerramento],MATCH(tItens[[#This Row],[Edital]],tEditais[Edital],0)),"")</f>
        <v>46311.375</v>
      </c>
      <c r="J9143" t="str">
        <f>IFERROR(INDEX(tProdutos[Classe],MATCH(tItens[[#This Row],[Produto]],tProdutos[Produto],0)),"produto não cadastrado")</f>
        <v>FORA</v>
      </c>
      <c r="K9143" s="12">
        <f>tItens[[#This Row],[Qtd]]*tItens[[#This Row],[Vlr unit]]</f>
        <v>217.60000000000002</v>
      </c>
      <c r="L9143" s="6">
        <f>IFERROR(IF(INDEX(tProdutos[Desconto homologado],MATCH(tItens[[#This Row],[Produto]],tProdutos[Produto],0))="",DescontoPadrao,INDEX(tProdutos[Desconto homologado],MATCH(tItens[[#This Row],[Produto]],tProdutos[Produto],0))),DescontoPadrao)</f>
        <v>0.43</v>
      </c>
      <c r="M9143" s="12">
        <f>tItens[[#This Row],[Valor]]*(1-tItens[[#This Row],[Desconto]])</f>
        <v>124.03200000000002</v>
      </c>
      <c r="N9143" t="str">
        <f>IFERROR(INDEX(tProdutos[Foco],MATCH(tItens[[#This Row],[Produto]],tProdutos[Produto],0)),"Não")</f>
        <v>Sim</v>
      </c>
      <c r="O9143" t="str">
        <f>IFERROR(INDEX(tEditais[SRP],MATCH(tItens[[#This Row],[Edital]],tEditais[Edital],0)),"Não")</f>
        <v>Sim</v>
      </c>
      <c r="P9143" s="4">
        <f>IF(COUNTIFS(INDEX(tItens[Edital],1):tItens[[#This Row],[Edital]],tItens[[#This Row],[Edital]],INDEX(tItens[Produto],1):tItens[[#This Row],[Produto]],tItens[[#This Row],[Produto]])=1,1,0)</f>
        <v>1</v>
      </c>
    </row>
    <row r="9144" spans="1:16" x14ac:dyDescent="0.25">
      <c r="A9144" t="s">
        <v>3122</v>
      </c>
      <c r="B9144">
        <v>35</v>
      </c>
      <c r="C9144" t="s">
        <v>11474</v>
      </c>
      <c r="D9144" t="s">
        <v>419</v>
      </c>
      <c r="E9144" s="13">
        <v>50</v>
      </c>
      <c r="F9144" s="12">
        <v>2.5099999999999998</v>
      </c>
      <c r="G9144" t="str">
        <f>IFERROR(INDEX(tEditais[Órgão],MATCH(tItens[[#This Row],[Edital]],tEditais[Edital],0)),"")</f>
        <v>MUNICIPIO DE OSVALDO CRUZ</v>
      </c>
      <c r="H9144" t="str">
        <f>IFERROR(INDEX(tEditais[UF],MATCH(tItens[[#This Row],[Edital]],tEditais[Edital],0)),"")</f>
        <v>SP</v>
      </c>
      <c r="I9144" s="11">
        <f>IFERROR(INDEX(tEditais[Encerramento],MATCH(tItens[[#This Row],[Edital]],tEditais[Edital],0)),"")</f>
        <v>46311.375</v>
      </c>
      <c r="J9144" t="str">
        <f>IFERROR(INDEX(tProdutos[Classe],MATCH(tItens[[#This Row],[Produto]],tProdutos[Produto],0)),"produto não cadastrado")</f>
        <v>FORA</v>
      </c>
      <c r="K9144" s="12">
        <f>tItens[[#This Row],[Qtd]]*tItens[[#This Row],[Vlr unit]]</f>
        <v>125.49999999999999</v>
      </c>
      <c r="L9144" s="6">
        <f>IFERROR(IF(INDEX(tProdutos[Desconto homologado],MATCH(tItens[[#This Row],[Produto]],tProdutos[Produto],0))="",DescontoPadrao,INDEX(tProdutos[Desconto homologado],MATCH(tItens[[#This Row],[Produto]],tProdutos[Produto],0))),DescontoPadrao)</f>
        <v>0.26185567010309302</v>
      </c>
      <c r="M9144" s="12">
        <f>tItens[[#This Row],[Valor]]*(1-tItens[[#This Row],[Desconto]])</f>
        <v>92.637113402061829</v>
      </c>
      <c r="N9144" t="str">
        <f>IFERROR(INDEX(tProdutos[Foco],MATCH(tItens[[#This Row],[Produto]],tProdutos[Produto],0)),"Não")</f>
        <v>Não</v>
      </c>
      <c r="O9144" t="str">
        <f>IFERROR(INDEX(tEditais[SRP],MATCH(tItens[[#This Row],[Edital]],tEditais[Edital],0)),"Não")</f>
        <v>Sim</v>
      </c>
      <c r="P9144" s="4">
        <f>IF(COUNTIFS(INDEX(tItens[Edital],1):tItens[[#This Row],[Edital]],tItens[[#This Row],[Edital]],INDEX(tItens[Produto],1):tItens[[#This Row],[Produto]],tItens[[#This Row],[Produto]])=1,1,0)</f>
        <v>1</v>
      </c>
    </row>
    <row r="9145" spans="1:16" x14ac:dyDescent="0.25">
      <c r="A9145" t="s">
        <v>3122</v>
      </c>
      <c r="B9145">
        <v>36</v>
      </c>
      <c r="C9145" t="s">
        <v>11475</v>
      </c>
      <c r="D9145" t="s">
        <v>409</v>
      </c>
      <c r="E9145" s="13">
        <v>50</v>
      </c>
      <c r="F9145" s="12">
        <v>3.68</v>
      </c>
      <c r="G9145" t="str">
        <f>IFERROR(INDEX(tEditais[Órgão],MATCH(tItens[[#This Row],[Edital]],tEditais[Edital],0)),"")</f>
        <v>MUNICIPIO DE OSVALDO CRUZ</v>
      </c>
      <c r="H9145" t="str">
        <f>IFERROR(INDEX(tEditais[UF],MATCH(tItens[[#This Row],[Edital]],tEditais[Edital],0)),"")</f>
        <v>SP</v>
      </c>
      <c r="I9145" s="11">
        <f>IFERROR(INDEX(tEditais[Encerramento],MATCH(tItens[[#This Row],[Edital]],tEditais[Edital],0)),"")</f>
        <v>46311.375</v>
      </c>
      <c r="J9145" t="str">
        <f>IFERROR(INDEX(tProdutos[Classe],MATCH(tItens[[#This Row],[Produto]],tProdutos[Produto],0)),"produto não cadastrado")</f>
        <v>FORA</v>
      </c>
      <c r="K9145" s="12">
        <f>tItens[[#This Row],[Qtd]]*tItens[[#This Row],[Vlr unit]]</f>
        <v>184</v>
      </c>
      <c r="L9145" s="6">
        <f>IFERROR(IF(INDEX(tProdutos[Desconto homologado],MATCH(tItens[[#This Row],[Produto]],tProdutos[Produto],0))="",DescontoPadrao,INDEX(tProdutos[Desconto homologado],MATCH(tItens[[#This Row],[Produto]],tProdutos[Produto],0))),DescontoPadrao)</f>
        <v>0.24924924924924899</v>
      </c>
      <c r="M9145" s="12">
        <f>tItens[[#This Row],[Valor]]*(1-tItens[[#This Row],[Desconto]])</f>
        <v>138.1381381381382</v>
      </c>
      <c r="N9145" t="str">
        <f>IFERROR(INDEX(tProdutos[Foco],MATCH(tItens[[#This Row],[Produto]],tProdutos[Produto],0)),"Não")</f>
        <v>Não</v>
      </c>
      <c r="O9145" t="str">
        <f>IFERROR(INDEX(tEditais[SRP],MATCH(tItens[[#This Row],[Edital]],tEditais[Edital],0)),"Não")</f>
        <v>Sim</v>
      </c>
      <c r="P9145" s="4">
        <f>IF(COUNTIFS(INDEX(tItens[Edital],1):tItens[[#This Row],[Edital]],tItens[[#This Row],[Edital]],INDEX(tItens[Produto],1):tItens[[#This Row],[Produto]],tItens[[#This Row],[Produto]])=1,1,0)</f>
        <v>1</v>
      </c>
    </row>
    <row r="9146" spans="1:16" x14ac:dyDescent="0.25">
      <c r="A9146" t="s">
        <v>3122</v>
      </c>
      <c r="B9146">
        <v>40</v>
      </c>
      <c r="C9146" t="s">
        <v>11476</v>
      </c>
      <c r="D9146" t="s">
        <v>73</v>
      </c>
      <c r="E9146" s="13">
        <v>200</v>
      </c>
      <c r="F9146" s="12">
        <v>0.91</v>
      </c>
      <c r="G9146" t="str">
        <f>IFERROR(INDEX(tEditais[Órgão],MATCH(tItens[[#This Row],[Edital]],tEditais[Edital],0)),"")</f>
        <v>MUNICIPIO DE OSVALDO CRUZ</v>
      </c>
      <c r="H9146" t="str">
        <f>IFERROR(INDEX(tEditais[UF],MATCH(tItens[[#This Row],[Edital]],tEditais[Edital],0)),"")</f>
        <v>SP</v>
      </c>
      <c r="I9146" s="11">
        <f>IFERROR(INDEX(tEditais[Encerramento],MATCH(tItens[[#This Row],[Edital]],tEditais[Edital],0)),"")</f>
        <v>46311.375</v>
      </c>
      <c r="J9146" t="str">
        <f>IFERROR(INDEX(tProdutos[Classe],MATCH(tItens[[#This Row],[Produto]],tProdutos[Produto],0)),"produto não cadastrado")</f>
        <v>NÚCLEO</v>
      </c>
      <c r="K9146" s="12">
        <f>tItens[[#This Row],[Qtd]]*tItens[[#This Row],[Vlr unit]]</f>
        <v>182</v>
      </c>
      <c r="L9146" s="6">
        <f>IFERROR(IF(INDEX(tProdutos[Desconto homologado],MATCH(tItens[[#This Row],[Produto]],tProdutos[Produto],0))="",DescontoPadrao,INDEX(tProdutos[Desconto homologado],MATCH(tItens[[#This Row],[Produto]],tProdutos[Produto],0))),DescontoPadrao)</f>
        <v>0.37</v>
      </c>
      <c r="M9146" s="12">
        <f>tItens[[#This Row],[Valor]]*(1-tItens[[#This Row],[Desconto]])</f>
        <v>114.66</v>
      </c>
      <c r="N9146" t="str">
        <f>IFERROR(INDEX(tProdutos[Foco],MATCH(tItens[[#This Row],[Produto]],tProdutos[Produto],0)),"Não")</f>
        <v>Sim</v>
      </c>
      <c r="O9146" t="str">
        <f>IFERROR(INDEX(tEditais[SRP],MATCH(tItens[[#This Row],[Edital]],tEditais[Edital],0)),"Não")</f>
        <v>Sim</v>
      </c>
      <c r="P9146" s="4">
        <f>IF(COUNTIFS(INDEX(tItens[Edital],1):tItens[[#This Row],[Edital]],tItens[[#This Row],[Edital]],INDEX(tItens[Produto],1):tItens[[#This Row],[Produto]],tItens[[#This Row],[Produto]])=1,1,0)</f>
        <v>1</v>
      </c>
    </row>
    <row r="9147" spans="1:16" x14ac:dyDescent="0.25">
      <c r="A9147" t="s">
        <v>3122</v>
      </c>
      <c r="B9147">
        <v>54</v>
      </c>
      <c r="C9147" t="s">
        <v>11477</v>
      </c>
      <c r="D9147" t="s">
        <v>279</v>
      </c>
      <c r="E9147" s="13">
        <v>100</v>
      </c>
      <c r="F9147" s="12">
        <v>12.52</v>
      </c>
      <c r="G9147" t="str">
        <f>IFERROR(INDEX(tEditais[Órgão],MATCH(tItens[[#This Row],[Edital]],tEditais[Edital],0)),"")</f>
        <v>MUNICIPIO DE OSVALDO CRUZ</v>
      </c>
      <c r="H9147" t="str">
        <f>IFERROR(INDEX(tEditais[UF],MATCH(tItens[[#This Row],[Edital]],tEditais[Edital],0)),"")</f>
        <v>SP</v>
      </c>
      <c r="I9147" s="11">
        <f>IFERROR(INDEX(tEditais[Encerramento],MATCH(tItens[[#This Row],[Edital]],tEditais[Edital],0)),"")</f>
        <v>46311.375</v>
      </c>
      <c r="J9147" t="str">
        <f>IFERROR(INDEX(tProdutos[Classe],MATCH(tItens[[#This Row],[Produto]],tProdutos[Produto],0)),"produto não cadastrado")</f>
        <v>FORA</v>
      </c>
      <c r="K9147" s="12">
        <f>tItens[[#This Row],[Qtd]]*tItens[[#This Row],[Vlr unit]]</f>
        <v>1252</v>
      </c>
      <c r="L9147" s="6">
        <f>IFERROR(IF(INDEX(tProdutos[Desconto homologado],MATCH(tItens[[#This Row],[Produto]],tProdutos[Produto],0))="",DescontoPadrao,INDEX(tProdutos[Desconto homologado],MATCH(tItens[[#This Row],[Produto]],tProdutos[Produto],0))),DescontoPadrao)</f>
        <v>0.28909090909090901</v>
      </c>
      <c r="M9147" s="12">
        <f>tItens[[#This Row],[Valor]]*(1-tItens[[#This Row],[Desconto]])</f>
        <v>890.05818181818188</v>
      </c>
      <c r="N9147" t="str">
        <f>IFERROR(INDEX(tProdutos[Foco],MATCH(tItens[[#This Row],[Produto]],tProdutos[Produto],0)),"Não")</f>
        <v>Não</v>
      </c>
      <c r="O9147" t="str">
        <f>IFERROR(INDEX(tEditais[SRP],MATCH(tItens[[#This Row],[Edital]],tEditais[Edital],0)),"Não")</f>
        <v>Sim</v>
      </c>
      <c r="P9147" s="4">
        <f>IF(COUNTIFS(INDEX(tItens[Edital],1):tItens[[#This Row],[Edital]],tItens[[#This Row],[Edital]],INDEX(tItens[Produto],1):tItens[[#This Row],[Produto]],tItens[[#This Row],[Produto]])=1,1,0)</f>
        <v>1</v>
      </c>
    </row>
    <row r="9148" spans="1:16" x14ac:dyDescent="0.25">
      <c r="A9148" t="s">
        <v>3122</v>
      </c>
      <c r="B9148">
        <v>55</v>
      </c>
      <c r="C9148" t="s">
        <v>11478</v>
      </c>
      <c r="D9148" t="s">
        <v>80</v>
      </c>
      <c r="E9148" s="13">
        <v>50</v>
      </c>
      <c r="F9148" s="12">
        <v>4.3</v>
      </c>
      <c r="G9148" t="str">
        <f>IFERROR(INDEX(tEditais[Órgão],MATCH(tItens[[#This Row],[Edital]],tEditais[Edital],0)),"")</f>
        <v>MUNICIPIO DE OSVALDO CRUZ</v>
      </c>
      <c r="H9148" t="str">
        <f>IFERROR(INDEX(tEditais[UF],MATCH(tItens[[#This Row],[Edital]],tEditais[Edital],0)),"")</f>
        <v>SP</v>
      </c>
      <c r="I9148" s="11">
        <f>IFERROR(INDEX(tEditais[Encerramento],MATCH(tItens[[#This Row],[Edital]],tEditais[Edital],0)),"")</f>
        <v>46311.375</v>
      </c>
      <c r="J9148" t="str">
        <f>IFERROR(INDEX(tProdutos[Classe],MATCH(tItens[[#This Row],[Produto]],tProdutos[Produto],0)),"produto não cadastrado")</f>
        <v>NÚCLEO</v>
      </c>
      <c r="K9148" s="12">
        <f>tItens[[#This Row],[Qtd]]*tItens[[#This Row],[Vlr unit]]</f>
        <v>215</v>
      </c>
      <c r="L9148" s="6">
        <f>IFERROR(IF(INDEX(tProdutos[Desconto homologado],MATCH(tItens[[#This Row],[Produto]],tProdutos[Produto],0))="",DescontoPadrao,INDEX(tProdutos[Desconto homologado],MATCH(tItens[[#This Row],[Produto]],tProdutos[Produto],0))),DescontoPadrao)</f>
        <v>0.33</v>
      </c>
      <c r="M9148" s="12">
        <f>tItens[[#This Row],[Valor]]*(1-tItens[[#This Row],[Desconto]])</f>
        <v>144.04999999999998</v>
      </c>
      <c r="N9148" t="str">
        <f>IFERROR(INDEX(tProdutos[Foco],MATCH(tItens[[#This Row],[Produto]],tProdutos[Produto],0)),"Não")</f>
        <v>Sim</v>
      </c>
      <c r="O9148" t="str">
        <f>IFERROR(INDEX(tEditais[SRP],MATCH(tItens[[#This Row],[Edital]],tEditais[Edital],0)),"Não")</f>
        <v>Sim</v>
      </c>
      <c r="P9148" s="4">
        <f>IF(COUNTIFS(INDEX(tItens[Edital],1):tItens[[#This Row],[Edital]],tItens[[#This Row],[Edital]],INDEX(tItens[Produto],1):tItens[[#This Row],[Produto]],tItens[[#This Row],[Produto]])=1,1,0)</f>
        <v>1</v>
      </c>
    </row>
    <row r="9149" spans="1:16" x14ac:dyDescent="0.25">
      <c r="A9149" t="s">
        <v>3122</v>
      </c>
      <c r="B9149">
        <v>56</v>
      </c>
      <c r="C9149" t="s">
        <v>11479</v>
      </c>
      <c r="D9149" t="s">
        <v>80</v>
      </c>
      <c r="E9149" s="13">
        <v>50</v>
      </c>
      <c r="F9149" s="12">
        <v>7.65</v>
      </c>
      <c r="G9149" t="str">
        <f>IFERROR(INDEX(tEditais[Órgão],MATCH(tItens[[#This Row],[Edital]],tEditais[Edital],0)),"")</f>
        <v>MUNICIPIO DE OSVALDO CRUZ</v>
      </c>
      <c r="H9149" t="str">
        <f>IFERROR(INDEX(tEditais[UF],MATCH(tItens[[#This Row],[Edital]],tEditais[Edital],0)),"")</f>
        <v>SP</v>
      </c>
      <c r="I9149" s="11">
        <f>IFERROR(INDEX(tEditais[Encerramento],MATCH(tItens[[#This Row],[Edital]],tEditais[Edital],0)),"")</f>
        <v>46311.375</v>
      </c>
      <c r="J9149" t="str">
        <f>IFERROR(INDEX(tProdutos[Classe],MATCH(tItens[[#This Row],[Produto]],tProdutos[Produto],0)),"produto não cadastrado")</f>
        <v>NÚCLEO</v>
      </c>
      <c r="K9149" s="12">
        <f>tItens[[#This Row],[Qtd]]*tItens[[#This Row],[Vlr unit]]</f>
        <v>382.5</v>
      </c>
      <c r="L9149" s="6">
        <f>IFERROR(IF(INDEX(tProdutos[Desconto homologado],MATCH(tItens[[#This Row],[Produto]],tProdutos[Produto],0))="",DescontoPadrao,INDEX(tProdutos[Desconto homologado],MATCH(tItens[[#This Row],[Produto]],tProdutos[Produto],0))),DescontoPadrao)</f>
        <v>0.33</v>
      </c>
      <c r="M9149" s="12">
        <f>tItens[[#This Row],[Valor]]*(1-tItens[[#This Row],[Desconto]])</f>
        <v>256.27499999999998</v>
      </c>
      <c r="N9149" t="str">
        <f>IFERROR(INDEX(tProdutos[Foco],MATCH(tItens[[#This Row],[Produto]],tProdutos[Produto],0)),"Não")</f>
        <v>Sim</v>
      </c>
      <c r="O9149" t="str">
        <f>IFERROR(INDEX(tEditais[SRP],MATCH(tItens[[#This Row],[Edital]],tEditais[Edital],0)),"Não")</f>
        <v>Sim</v>
      </c>
      <c r="P9149" s="4">
        <f>IF(COUNTIFS(INDEX(tItens[Edital],1):tItens[[#This Row],[Edital]],tItens[[#This Row],[Edital]],INDEX(tItens[Produto],1):tItens[[#This Row],[Produto]],tItens[[#This Row],[Produto]])=1,1,0)</f>
        <v>0</v>
      </c>
    </row>
    <row r="9150" spans="1:16" x14ac:dyDescent="0.25">
      <c r="A9150" t="s">
        <v>3122</v>
      </c>
      <c r="B9150">
        <v>57</v>
      </c>
      <c r="C9150" t="s">
        <v>11480</v>
      </c>
      <c r="D9150" t="s">
        <v>279</v>
      </c>
      <c r="E9150" s="13">
        <v>800</v>
      </c>
      <c r="F9150" s="12">
        <v>3.46</v>
      </c>
      <c r="G9150" t="str">
        <f>IFERROR(INDEX(tEditais[Órgão],MATCH(tItens[[#This Row],[Edital]],tEditais[Edital],0)),"")</f>
        <v>MUNICIPIO DE OSVALDO CRUZ</v>
      </c>
      <c r="H9150" t="str">
        <f>IFERROR(INDEX(tEditais[UF],MATCH(tItens[[#This Row],[Edital]],tEditais[Edital],0)),"")</f>
        <v>SP</v>
      </c>
      <c r="I9150" s="11">
        <f>IFERROR(INDEX(tEditais[Encerramento],MATCH(tItens[[#This Row],[Edital]],tEditais[Edital],0)),"")</f>
        <v>46311.375</v>
      </c>
      <c r="J9150" t="str">
        <f>IFERROR(INDEX(tProdutos[Classe],MATCH(tItens[[#This Row],[Produto]],tProdutos[Produto],0)),"produto não cadastrado")</f>
        <v>FORA</v>
      </c>
      <c r="K9150" s="12">
        <f>tItens[[#This Row],[Qtd]]*tItens[[#This Row],[Vlr unit]]</f>
        <v>2768</v>
      </c>
      <c r="L9150" s="6">
        <f>IFERROR(IF(INDEX(tProdutos[Desconto homologado],MATCH(tItens[[#This Row],[Produto]],tProdutos[Produto],0))="",DescontoPadrao,INDEX(tProdutos[Desconto homologado],MATCH(tItens[[#This Row],[Produto]],tProdutos[Produto],0))),DescontoPadrao)</f>
        <v>0.28909090909090901</v>
      </c>
      <c r="M9150" s="12">
        <f>tItens[[#This Row],[Valor]]*(1-tItens[[#This Row],[Desconto]])</f>
        <v>1967.7963636363638</v>
      </c>
      <c r="N9150" t="str">
        <f>IFERROR(INDEX(tProdutos[Foco],MATCH(tItens[[#This Row],[Produto]],tProdutos[Produto],0)),"Não")</f>
        <v>Não</v>
      </c>
      <c r="O9150" t="str">
        <f>IFERROR(INDEX(tEditais[SRP],MATCH(tItens[[#This Row],[Edital]],tEditais[Edital],0)),"Não")</f>
        <v>Sim</v>
      </c>
      <c r="P9150" s="4">
        <f>IF(COUNTIFS(INDEX(tItens[Edital],1):tItens[[#This Row],[Edital]],tItens[[#This Row],[Edital]],INDEX(tItens[Produto],1):tItens[[#This Row],[Produto]],tItens[[#This Row],[Produto]])=1,1,0)</f>
        <v>0</v>
      </c>
    </row>
    <row r="9151" spans="1:16" x14ac:dyDescent="0.25">
      <c r="A9151" t="s">
        <v>3122</v>
      </c>
      <c r="B9151">
        <v>59</v>
      </c>
      <c r="C9151" t="s">
        <v>11481</v>
      </c>
      <c r="D9151" t="s">
        <v>371</v>
      </c>
      <c r="E9151" s="13">
        <v>500</v>
      </c>
      <c r="F9151" s="12">
        <v>47.98</v>
      </c>
      <c r="G9151" t="str">
        <f>IFERROR(INDEX(tEditais[Órgão],MATCH(tItens[[#This Row],[Edital]],tEditais[Edital],0)),"")</f>
        <v>MUNICIPIO DE OSVALDO CRUZ</v>
      </c>
      <c r="H9151" t="str">
        <f>IFERROR(INDEX(tEditais[UF],MATCH(tItens[[#This Row],[Edital]],tEditais[Edital],0)),"")</f>
        <v>SP</v>
      </c>
      <c r="I9151" s="11">
        <f>IFERROR(INDEX(tEditais[Encerramento],MATCH(tItens[[#This Row],[Edital]],tEditais[Edital],0)),"")</f>
        <v>46311.375</v>
      </c>
      <c r="J9151" t="str">
        <f>IFERROR(INDEX(tProdutos[Classe],MATCH(tItens[[#This Row],[Produto]],tProdutos[Produto],0)),"produto não cadastrado")</f>
        <v>FORA</v>
      </c>
      <c r="K9151" s="12">
        <f>tItens[[#This Row],[Qtd]]*tItens[[#This Row],[Vlr unit]]</f>
        <v>23990</v>
      </c>
      <c r="L9151" s="6">
        <f>IFERROR(IF(INDEX(tProdutos[Desconto homologado],MATCH(tItens[[#This Row],[Produto]],tProdutos[Produto],0))="",DescontoPadrao,INDEX(tProdutos[Desconto homologado],MATCH(tItens[[#This Row],[Produto]],tProdutos[Produto],0))),DescontoPadrao)</f>
        <v>0.217826086956522</v>
      </c>
      <c r="M9151" s="12">
        <f>tItens[[#This Row],[Valor]]*(1-tItens[[#This Row],[Desconto]])</f>
        <v>18764.352173913037</v>
      </c>
      <c r="N9151" t="str">
        <f>IFERROR(INDEX(tProdutos[Foco],MATCH(tItens[[#This Row],[Produto]],tProdutos[Produto],0)),"Não")</f>
        <v>Não</v>
      </c>
      <c r="O9151" t="str">
        <f>IFERROR(INDEX(tEditais[SRP],MATCH(tItens[[#This Row],[Edital]],tEditais[Edital],0)),"Não")</f>
        <v>Sim</v>
      </c>
      <c r="P9151" s="4">
        <f>IF(COUNTIFS(INDEX(tItens[Edital],1):tItens[[#This Row],[Edital]],tItens[[#This Row],[Edital]],INDEX(tItens[Produto],1):tItens[[#This Row],[Produto]],tItens[[#This Row],[Produto]])=1,1,0)</f>
        <v>1</v>
      </c>
    </row>
    <row r="9152" spans="1:16" x14ac:dyDescent="0.25">
      <c r="A9152" t="s">
        <v>3122</v>
      </c>
      <c r="B9152">
        <v>60</v>
      </c>
      <c r="C9152" t="s">
        <v>11482</v>
      </c>
      <c r="D9152" t="s">
        <v>383</v>
      </c>
      <c r="E9152" s="13">
        <v>306000</v>
      </c>
      <c r="F9152" s="12">
        <v>1.37</v>
      </c>
      <c r="G9152" t="str">
        <f>IFERROR(INDEX(tEditais[Órgão],MATCH(tItens[[#This Row],[Edital]],tEditais[Edital],0)),"")</f>
        <v>MUNICIPIO DE OSVALDO CRUZ</v>
      </c>
      <c r="H9152" t="str">
        <f>IFERROR(INDEX(tEditais[UF],MATCH(tItens[[#This Row],[Edital]],tEditais[Edital],0)),"")</f>
        <v>SP</v>
      </c>
      <c r="I9152" s="11">
        <f>IFERROR(INDEX(tEditais[Encerramento],MATCH(tItens[[#This Row],[Edital]],tEditais[Edital],0)),"")</f>
        <v>46311.375</v>
      </c>
      <c r="J9152" t="str">
        <f>IFERROR(INDEX(tProdutos[Classe],MATCH(tItens[[#This Row],[Produto]],tProdutos[Produto],0)),"produto não cadastrado")</f>
        <v>FORA</v>
      </c>
      <c r="K9152" s="12">
        <f>tItens[[#This Row],[Qtd]]*tItens[[#This Row],[Vlr unit]]</f>
        <v>419220.00000000006</v>
      </c>
      <c r="L9152" s="6">
        <f>IFERROR(IF(INDEX(tProdutos[Desconto homologado],MATCH(tItens[[#This Row],[Produto]],tProdutos[Produto],0))="",DescontoPadrao,INDEX(tProdutos[Desconto homologado],MATCH(tItens[[#This Row],[Produto]],tProdutos[Produto],0))),DescontoPadrao)</f>
        <v>0.48749999999999999</v>
      </c>
      <c r="M9152" s="12">
        <f>tItens[[#This Row],[Valor]]*(1-tItens[[#This Row],[Desconto]])</f>
        <v>214850.25</v>
      </c>
      <c r="N9152" t="str">
        <f>IFERROR(INDEX(tProdutos[Foco],MATCH(tItens[[#This Row],[Produto]],tProdutos[Produto],0)),"Não")</f>
        <v>Não</v>
      </c>
      <c r="O9152" t="str">
        <f>IFERROR(INDEX(tEditais[SRP],MATCH(tItens[[#This Row],[Edital]],tEditais[Edital],0)),"Não")</f>
        <v>Sim</v>
      </c>
      <c r="P9152" s="4">
        <f>IF(COUNTIFS(INDEX(tItens[Edital],1):tItens[[#This Row],[Edital]],tItens[[#This Row],[Edital]],INDEX(tItens[Produto],1):tItens[[#This Row],[Produto]],tItens[[#This Row],[Produto]])=1,1,0)</f>
        <v>1</v>
      </c>
    </row>
    <row r="9153" spans="1:16" x14ac:dyDescent="0.25">
      <c r="A9153" t="s">
        <v>3122</v>
      </c>
      <c r="B9153">
        <v>61</v>
      </c>
      <c r="C9153" t="s">
        <v>11482</v>
      </c>
      <c r="D9153" t="s">
        <v>383</v>
      </c>
      <c r="E9153" s="13">
        <v>34000</v>
      </c>
      <c r="F9153" s="12">
        <v>1.37</v>
      </c>
      <c r="G9153" t="str">
        <f>IFERROR(INDEX(tEditais[Órgão],MATCH(tItens[[#This Row],[Edital]],tEditais[Edital],0)),"")</f>
        <v>MUNICIPIO DE OSVALDO CRUZ</v>
      </c>
      <c r="H9153" t="str">
        <f>IFERROR(INDEX(tEditais[UF],MATCH(tItens[[#This Row],[Edital]],tEditais[Edital],0)),"")</f>
        <v>SP</v>
      </c>
      <c r="I9153" s="11">
        <f>IFERROR(INDEX(tEditais[Encerramento],MATCH(tItens[[#This Row],[Edital]],tEditais[Edital],0)),"")</f>
        <v>46311.375</v>
      </c>
      <c r="J9153" t="str">
        <f>IFERROR(INDEX(tProdutos[Classe],MATCH(tItens[[#This Row],[Produto]],tProdutos[Produto],0)),"produto não cadastrado")</f>
        <v>FORA</v>
      </c>
      <c r="K9153" s="12">
        <f>tItens[[#This Row],[Qtd]]*tItens[[#This Row],[Vlr unit]]</f>
        <v>46580</v>
      </c>
      <c r="L9153" s="6">
        <f>IFERROR(IF(INDEX(tProdutos[Desconto homologado],MATCH(tItens[[#This Row],[Produto]],tProdutos[Produto],0))="",DescontoPadrao,INDEX(tProdutos[Desconto homologado],MATCH(tItens[[#This Row],[Produto]],tProdutos[Produto],0))),DescontoPadrao)</f>
        <v>0.48749999999999999</v>
      </c>
      <c r="M9153" s="12">
        <f>tItens[[#This Row],[Valor]]*(1-tItens[[#This Row],[Desconto]])</f>
        <v>23872.249999999996</v>
      </c>
      <c r="N9153" t="str">
        <f>IFERROR(INDEX(tProdutos[Foco],MATCH(tItens[[#This Row],[Produto]],tProdutos[Produto],0)),"Não")</f>
        <v>Não</v>
      </c>
      <c r="O9153" t="str">
        <f>IFERROR(INDEX(tEditais[SRP],MATCH(tItens[[#This Row],[Edital]],tEditais[Edital],0)),"Não")</f>
        <v>Sim</v>
      </c>
      <c r="P9153" s="4">
        <f>IF(COUNTIFS(INDEX(tItens[Edital],1):tItens[[#This Row],[Edital]],tItens[[#This Row],[Edital]],INDEX(tItens[Produto],1):tItens[[#This Row],[Produto]],tItens[[#This Row],[Produto]])=1,1,0)</f>
        <v>0</v>
      </c>
    </row>
    <row r="9154" spans="1:16" x14ac:dyDescent="0.25">
      <c r="A9154" t="s">
        <v>3122</v>
      </c>
      <c r="B9154">
        <v>66</v>
      </c>
      <c r="C9154" t="s">
        <v>11483</v>
      </c>
      <c r="D9154" t="s">
        <v>144</v>
      </c>
      <c r="E9154" s="13">
        <v>1800</v>
      </c>
      <c r="F9154" s="12">
        <v>131.85</v>
      </c>
      <c r="G9154" t="str">
        <f>IFERROR(INDEX(tEditais[Órgão],MATCH(tItens[[#This Row],[Edital]],tEditais[Edital],0)),"")</f>
        <v>MUNICIPIO DE OSVALDO CRUZ</v>
      </c>
      <c r="H9154" t="str">
        <f>IFERROR(INDEX(tEditais[UF],MATCH(tItens[[#This Row],[Edital]],tEditais[Edital],0)),"")</f>
        <v>SP</v>
      </c>
      <c r="I9154" s="11">
        <f>IFERROR(INDEX(tEditais[Encerramento],MATCH(tItens[[#This Row],[Edital]],tEditais[Edital],0)),"")</f>
        <v>46311.375</v>
      </c>
      <c r="J9154" t="str">
        <f>IFERROR(INDEX(tProdutos[Classe],MATCH(tItens[[#This Row],[Produto]],tProdutos[Produto],0)),"produto não cadastrado")</f>
        <v>DISPUTADO</v>
      </c>
      <c r="K9154" s="12">
        <f>tItens[[#This Row],[Qtd]]*tItens[[#This Row],[Vlr unit]]</f>
        <v>237330</v>
      </c>
      <c r="L9154" s="6">
        <f>IFERROR(IF(INDEX(tProdutos[Desconto homologado],MATCH(tItens[[#This Row],[Produto]],tProdutos[Produto],0))="",DescontoPadrao,INDEX(tProdutos[Desconto homologado],MATCH(tItens[[#This Row],[Produto]],tProdutos[Produto],0))),DescontoPadrao)</f>
        <v>0.371428571428571</v>
      </c>
      <c r="M9154" s="12">
        <f>tItens[[#This Row],[Valor]]*(1-tItens[[#This Row],[Desconto]])</f>
        <v>149178.85714285725</v>
      </c>
      <c r="N9154" t="str">
        <f>IFERROR(INDEX(tProdutos[Foco],MATCH(tItens[[#This Row],[Produto]],tProdutos[Produto],0)),"Não")</f>
        <v>Não</v>
      </c>
      <c r="O9154" t="str">
        <f>IFERROR(INDEX(tEditais[SRP],MATCH(tItens[[#This Row],[Edital]],tEditais[Edital],0)),"Não")</f>
        <v>Sim</v>
      </c>
      <c r="P9154" s="4">
        <f>IF(COUNTIFS(INDEX(tItens[Edital],1):tItens[[#This Row],[Edital]],tItens[[#This Row],[Edital]],INDEX(tItens[Produto],1):tItens[[#This Row],[Produto]],tItens[[#This Row],[Produto]])=1,1,0)</f>
        <v>1</v>
      </c>
    </row>
    <row r="9155" spans="1:16" x14ac:dyDescent="0.25">
      <c r="A9155" t="s">
        <v>3122</v>
      </c>
      <c r="B9155">
        <v>67</v>
      </c>
      <c r="C9155" t="s">
        <v>11483</v>
      </c>
      <c r="D9155" t="s">
        <v>144</v>
      </c>
      <c r="E9155" s="13">
        <v>200</v>
      </c>
      <c r="F9155" s="12">
        <v>131.85</v>
      </c>
      <c r="G9155" t="str">
        <f>IFERROR(INDEX(tEditais[Órgão],MATCH(tItens[[#This Row],[Edital]],tEditais[Edital],0)),"")</f>
        <v>MUNICIPIO DE OSVALDO CRUZ</v>
      </c>
      <c r="H9155" t="str">
        <f>IFERROR(INDEX(tEditais[UF],MATCH(tItens[[#This Row],[Edital]],tEditais[Edital],0)),"")</f>
        <v>SP</v>
      </c>
      <c r="I9155" s="11">
        <f>IFERROR(INDEX(tEditais[Encerramento],MATCH(tItens[[#This Row],[Edital]],tEditais[Edital],0)),"")</f>
        <v>46311.375</v>
      </c>
      <c r="J9155" t="str">
        <f>IFERROR(INDEX(tProdutos[Classe],MATCH(tItens[[#This Row],[Produto]],tProdutos[Produto],0)),"produto não cadastrado")</f>
        <v>DISPUTADO</v>
      </c>
      <c r="K9155" s="12">
        <f>tItens[[#This Row],[Qtd]]*tItens[[#This Row],[Vlr unit]]</f>
        <v>26370</v>
      </c>
      <c r="L9155" s="6">
        <f>IFERROR(IF(INDEX(tProdutos[Desconto homologado],MATCH(tItens[[#This Row],[Produto]],tProdutos[Produto],0))="",DescontoPadrao,INDEX(tProdutos[Desconto homologado],MATCH(tItens[[#This Row],[Produto]],tProdutos[Produto],0))),DescontoPadrao)</f>
        <v>0.371428571428571</v>
      </c>
      <c r="M9155" s="12">
        <f>tItens[[#This Row],[Valor]]*(1-tItens[[#This Row],[Desconto]])</f>
        <v>16575.428571428583</v>
      </c>
      <c r="N9155" t="str">
        <f>IFERROR(INDEX(tProdutos[Foco],MATCH(tItens[[#This Row],[Produto]],tProdutos[Produto],0)),"Não")</f>
        <v>Não</v>
      </c>
      <c r="O9155" t="str">
        <f>IFERROR(INDEX(tEditais[SRP],MATCH(tItens[[#This Row],[Edital]],tEditais[Edital],0)),"Não")</f>
        <v>Sim</v>
      </c>
      <c r="P9155" s="4">
        <f>IF(COUNTIFS(INDEX(tItens[Edital],1):tItens[[#This Row],[Edital]],tItens[[#This Row],[Edital]],INDEX(tItens[Produto],1):tItens[[#This Row],[Produto]],tItens[[#This Row],[Produto]])=1,1,0)</f>
        <v>0</v>
      </c>
    </row>
    <row r="9156" spans="1:16" x14ac:dyDescent="0.25">
      <c r="A9156" t="s">
        <v>3122</v>
      </c>
      <c r="B9156">
        <v>68</v>
      </c>
      <c r="C9156" t="s">
        <v>11484</v>
      </c>
      <c r="D9156" t="s">
        <v>144</v>
      </c>
      <c r="E9156" s="13">
        <v>4500</v>
      </c>
      <c r="F9156" s="12">
        <v>18.309999999999999</v>
      </c>
      <c r="G9156" t="str">
        <f>IFERROR(INDEX(tEditais[Órgão],MATCH(tItens[[#This Row],[Edital]],tEditais[Edital],0)),"")</f>
        <v>MUNICIPIO DE OSVALDO CRUZ</v>
      </c>
      <c r="H9156" t="str">
        <f>IFERROR(INDEX(tEditais[UF],MATCH(tItens[[#This Row],[Edital]],tEditais[Edital],0)),"")</f>
        <v>SP</v>
      </c>
      <c r="I9156" s="11">
        <f>IFERROR(INDEX(tEditais[Encerramento],MATCH(tItens[[#This Row],[Edital]],tEditais[Edital],0)),"")</f>
        <v>46311.375</v>
      </c>
      <c r="J9156" t="str">
        <f>IFERROR(INDEX(tProdutos[Classe],MATCH(tItens[[#This Row],[Produto]],tProdutos[Produto],0)),"produto não cadastrado")</f>
        <v>DISPUTADO</v>
      </c>
      <c r="K9156" s="12">
        <f>tItens[[#This Row],[Qtd]]*tItens[[#This Row],[Vlr unit]]</f>
        <v>82395</v>
      </c>
      <c r="L9156" s="6">
        <f>IFERROR(IF(INDEX(tProdutos[Desconto homologado],MATCH(tItens[[#This Row],[Produto]],tProdutos[Produto],0))="",DescontoPadrao,INDEX(tProdutos[Desconto homologado],MATCH(tItens[[#This Row],[Produto]],tProdutos[Produto],0))),DescontoPadrao)</f>
        <v>0.371428571428571</v>
      </c>
      <c r="M9156" s="12">
        <f>tItens[[#This Row],[Valor]]*(1-tItens[[#This Row],[Desconto]])</f>
        <v>51791.142857142891</v>
      </c>
      <c r="N9156" t="str">
        <f>IFERROR(INDEX(tProdutos[Foco],MATCH(tItens[[#This Row],[Produto]],tProdutos[Produto],0)),"Não")</f>
        <v>Não</v>
      </c>
      <c r="O9156" t="str">
        <f>IFERROR(INDEX(tEditais[SRP],MATCH(tItens[[#This Row],[Edital]],tEditais[Edital],0)),"Não")</f>
        <v>Sim</v>
      </c>
      <c r="P9156" s="4">
        <f>IF(COUNTIFS(INDEX(tItens[Edital],1):tItens[[#This Row],[Edital]],tItens[[#This Row],[Edital]],INDEX(tItens[Produto],1):tItens[[#This Row],[Produto]],tItens[[#This Row],[Produto]])=1,1,0)</f>
        <v>0</v>
      </c>
    </row>
    <row r="9157" spans="1:16" x14ac:dyDescent="0.25">
      <c r="A9157" t="s">
        <v>3122</v>
      </c>
      <c r="B9157">
        <v>69</v>
      </c>
      <c r="C9157" t="s">
        <v>11484</v>
      </c>
      <c r="D9157" t="s">
        <v>144</v>
      </c>
      <c r="E9157" s="13">
        <v>500</v>
      </c>
      <c r="F9157" s="12">
        <v>18.309999999999999</v>
      </c>
      <c r="G9157" t="str">
        <f>IFERROR(INDEX(tEditais[Órgão],MATCH(tItens[[#This Row],[Edital]],tEditais[Edital],0)),"")</f>
        <v>MUNICIPIO DE OSVALDO CRUZ</v>
      </c>
      <c r="H9157" t="str">
        <f>IFERROR(INDEX(tEditais[UF],MATCH(tItens[[#This Row],[Edital]],tEditais[Edital],0)),"")</f>
        <v>SP</v>
      </c>
      <c r="I9157" s="11">
        <f>IFERROR(INDEX(tEditais[Encerramento],MATCH(tItens[[#This Row],[Edital]],tEditais[Edital],0)),"")</f>
        <v>46311.375</v>
      </c>
      <c r="J9157" t="str">
        <f>IFERROR(INDEX(tProdutos[Classe],MATCH(tItens[[#This Row],[Produto]],tProdutos[Produto],0)),"produto não cadastrado")</f>
        <v>DISPUTADO</v>
      </c>
      <c r="K9157" s="12">
        <f>tItens[[#This Row],[Qtd]]*tItens[[#This Row],[Vlr unit]]</f>
        <v>9155</v>
      </c>
      <c r="L9157" s="6">
        <f>IFERROR(IF(INDEX(tProdutos[Desconto homologado],MATCH(tItens[[#This Row],[Produto]],tProdutos[Produto],0))="",DescontoPadrao,INDEX(tProdutos[Desconto homologado],MATCH(tItens[[#This Row],[Produto]],tProdutos[Produto],0))),DescontoPadrao)</f>
        <v>0.371428571428571</v>
      </c>
      <c r="M9157" s="12">
        <f>tItens[[#This Row],[Valor]]*(1-tItens[[#This Row],[Desconto]])</f>
        <v>5754.5714285714321</v>
      </c>
      <c r="N9157" t="str">
        <f>IFERROR(INDEX(tProdutos[Foco],MATCH(tItens[[#This Row],[Produto]],tProdutos[Produto],0)),"Não")</f>
        <v>Não</v>
      </c>
      <c r="O9157" t="str">
        <f>IFERROR(INDEX(tEditais[SRP],MATCH(tItens[[#This Row],[Edital]],tEditais[Edital],0)),"Não")</f>
        <v>Sim</v>
      </c>
      <c r="P9157" s="4">
        <f>IF(COUNTIFS(INDEX(tItens[Edital],1):tItens[[#This Row],[Edital]],tItens[[#This Row],[Edital]],INDEX(tItens[Produto],1):tItens[[#This Row],[Produto]],tItens[[#This Row],[Produto]])=1,1,0)</f>
        <v>0</v>
      </c>
    </row>
    <row r="9158" spans="1:16" x14ac:dyDescent="0.25">
      <c r="A9158" t="s">
        <v>3122</v>
      </c>
      <c r="B9158">
        <v>71</v>
      </c>
      <c r="C9158" t="s">
        <v>11485</v>
      </c>
      <c r="D9158" t="s">
        <v>299</v>
      </c>
      <c r="E9158" s="13">
        <v>700</v>
      </c>
      <c r="F9158" s="12">
        <v>10.81</v>
      </c>
      <c r="G9158" t="str">
        <f>IFERROR(INDEX(tEditais[Órgão],MATCH(tItens[[#This Row],[Edital]],tEditais[Edital],0)),"")</f>
        <v>MUNICIPIO DE OSVALDO CRUZ</v>
      </c>
      <c r="H9158" t="str">
        <f>IFERROR(INDEX(tEditais[UF],MATCH(tItens[[#This Row],[Edital]],tEditais[Edital],0)),"")</f>
        <v>SP</v>
      </c>
      <c r="I9158" s="11">
        <f>IFERROR(INDEX(tEditais[Encerramento],MATCH(tItens[[#This Row],[Edital]],tEditais[Edital],0)),"")</f>
        <v>46311.375</v>
      </c>
      <c r="J9158" t="str">
        <f>IFERROR(INDEX(tProdutos[Classe],MATCH(tItens[[#This Row],[Produto]],tProdutos[Produto],0)),"produto não cadastrado")</f>
        <v>FORA</v>
      </c>
      <c r="K9158" s="12">
        <f>tItens[[#This Row],[Qtd]]*tItens[[#This Row],[Vlr unit]]</f>
        <v>7567</v>
      </c>
      <c r="L9158" s="6">
        <f>IFERROR(IF(INDEX(tProdutos[Desconto homologado],MATCH(tItens[[#This Row],[Produto]],tProdutos[Produto],0))="",DescontoPadrao,INDEX(tProdutos[Desconto homologado],MATCH(tItens[[#This Row],[Produto]],tProdutos[Produto],0))),DescontoPadrao)</f>
        <v>0.42211465163381601</v>
      </c>
      <c r="M9158" s="12">
        <f>tItens[[#This Row],[Valor]]*(1-tItens[[#This Row],[Desconto]])</f>
        <v>4372.8584310869146</v>
      </c>
      <c r="N9158" t="str">
        <f>IFERROR(INDEX(tProdutos[Foco],MATCH(tItens[[#This Row],[Produto]],tProdutos[Produto],0)),"Não")</f>
        <v>Não</v>
      </c>
      <c r="O9158" t="str">
        <f>IFERROR(INDEX(tEditais[SRP],MATCH(tItens[[#This Row],[Edital]],tEditais[Edital],0)),"Não")</f>
        <v>Sim</v>
      </c>
      <c r="P9158" s="4">
        <f>IF(COUNTIFS(INDEX(tItens[Edital],1):tItens[[#This Row],[Edital]],tItens[[#This Row],[Edital]],INDEX(tItens[Produto],1):tItens[[#This Row],[Produto]],tItens[[#This Row],[Produto]])=1,1,0)</f>
        <v>1</v>
      </c>
    </row>
    <row r="9159" spans="1:16" x14ac:dyDescent="0.25">
      <c r="A9159" t="s">
        <v>3122</v>
      </c>
      <c r="B9159">
        <v>73</v>
      </c>
      <c r="C9159" t="s">
        <v>11486</v>
      </c>
      <c r="D9159" t="s">
        <v>331</v>
      </c>
      <c r="E9159" s="13">
        <v>2500</v>
      </c>
      <c r="F9159" s="12">
        <v>2.14</v>
      </c>
      <c r="G9159" t="str">
        <f>IFERROR(INDEX(tEditais[Órgão],MATCH(tItens[[#This Row],[Edital]],tEditais[Edital],0)),"")</f>
        <v>MUNICIPIO DE OSVALDO CRUZ</v>
      </c>
      <c r="H9159" t="str">
        <f>IFERROR(INDEX(tEditais[UF],MATCH(tItens[[#This Row],[Edital]],tEditais[Edital],0)),"")</f>
        <v>SP</v>
      </c>
      <c r="I9159" s="11">
        <f>IFERROR(INDEX(tEditais[Encerramento],MATCH(tItens[[#This Row],[Edital]],tEditais[Edital],0)),"")</f>
        <v>46311.375</v>
      </c>
      <c r="J9159" t="str">
        <f>IFERROR(INDEX(tProdutos[Classe],MATCH(tItens[[#This Row],[Produto]],tProdutos[Produto],0)),"produto não cadastrado")</f>
        <v>FORA</v>
      </c>
      <c r="K9159" s="12">
        <f>tItens[[#This Row],[Qtd]]*tItens[[#This Row],[Vlr unit]]</f>
        <v>5350</v>
      </c>
      <c r="L9159" s="6">
        <f>IFERROR(IF(INDEX(tProdutos[Desconto homologado],MATCH(tItens[[#This Row],[Produto]],tProdutos[Produto],0))="",DescontoPadrao,INDEX(tProdutos[Desconto homologado],MATCH(tItens[[#This Row],[Produto]],tProdutos[Produto],0))),DescontoPadrao)</f>
        <v>0.45927812223206399</v>
      </c>
      <c r="M9159" s="12">
        <f>tItens[[#This Row],[Valor]]*(1-tItens[[#This Row],[Desconto]])</f>
        <v>2892.8620460584575</v>
      </c>
      <c r="N9159" t="str">
        <f>IFERROR(INDEX(tProdutos[Foco],MATCH(tItens[[#This Row],[Produto]],tProdutos[Produto],0)),"Não")</f>
        <v>Não</v>
      </c>
      <c r="O9159" t="str">
        <f>IFERROR(INDEX(tEditais[SRP],MATCH(tItens[[#This Row],[Edital]],tEditais[Edital],0)),"Não")</f>
        <v>Sim</v>
      </c>
      <c r="P9159" s="4">
        <f>IF(COUNTIFS(INDEX(tItens[Edital],1):tItens[[#This Row],[Edital]],tItens[[#This Row],[Edital]],INDEX(tItens[Produto],1):tItens[[#This Row],[Produto]],tItens[[#This Row],[Produto]])=1,1,0)</f>
        <v>1</v>
      </c>
    </row>
    <row r="9160" spans="1:16" x14ac:dyDescent="0.25">
      <c r="A9160" t="s">
        <v>3122</v>
      </c>
      <c r="B9160">
        <v>79</v>
      </c>
      <c r="C9160" t="s">
        <v>11487</v>
      </c>
      <c r="D9160" t="s">
        <v>90</v>
      </c>
      <c r="E9160" s="13">
        <v>900</v>
      </c>
      <c r="F9160" s="12">
        <v>18.899999999999999</v>
      </c>
      <c r="G9160" t="str">
        <f>IFERROR(INDEX(tEditais[Órgão],MATCH(tItens[[#This Row],[Edital]],tEditais[Edital],0)),"")</f>
        <v>MUNICIPIO DE OSVALDO CRUZ</v>
      </c>
      <c r="H9160" t="str">
        <f>IFERROR(INDEX(tEditais[UF],MATCH(tItens[[#This Row],[Edital]],tEditais[Edital],0)),"")</f>
        <v>SP</v>
      </c>
      <c r="I9160" s="11">
        <f>IFERROR(INDEX(tEditais[Encerramento],MATCH(tItens[[#This Row],[Edital]],tEditais[Edital],0)),"")</f>
        <v>46311.375</v>
      </c>
      <c r="J9160" t="str">
        <f>IFERROR(INDEX(tProdutos[Classe],MATCH(tItens[[#This Row],[Produto]],tProdutos[Produto],0)),"produto não cadastrado")</f>
        <v>DISPUTADO</v>
      </c>
      <c r="K9160" s="12">
        <f>tItens[[#This Row],[Qtd]]*tItens[[#This Row],[Vlr unit]]</f>
        <v>17010</v>
      </c>
      <c r="L9160" s="6">
        <f>IFERROR(IF(INDEX(tProdutos[Desconto homologado],MATCH(tItens[[#This Row],[Produto]],tProdutos[Produto],0))="",DescontoPadrao,INDEX(tProdutos[Desconto homologado],MATCH(tItens[[#This Row],[Produto]],tProdutos[Produto],0))),DescontoPadrao)</f>
        <v>0.25393823957010597</v>
      </c>
      <c r="M9160" s="12">
        <f>tItens[[#This Row],[Valor]]*(1-tItens[[#This Row],[Desconto]])</f>
        <v>12690.510544912497</v>
      </c>
      <c r="N9160" t="str">
        <f>IFERROR(INDEX(tProdutos[Foco],MATCH(tItens[[#This Row],[Produto]],tProdutos[Produto],0)),"Não")</f>
        <v>Não</v>
      </c>
      <c r="O9160" t="str">
        <f>IFERROR(INDEX(tEditais[SRP],MATCH(tItens[[#This Row],[Edital]],tEditais[Edital],0)),"Não")</f>
        <v>Sim</v>
      </c>
      <c r="P9160" s="4">
        <f>IF(COUNTIFS(INDEX(tItens[Edital],1):tItens[[#This Row],[Edital]],tItens[[#This Row],[Edital]],INDEX(tItens[Produto],1):tItens[[#This Row],[Produto]],tItens[[#This Row],[Produto]])=1,1,0)</f>
        <v>1</v>
      </c>
    </row>
    <row r="9161" spans="1:16" x14ac:dyDescent="0.25">
      <c r="A9161" t="s">
        <v>3122</v>
      </c>
      <c r="B9161">
        <v>80</v>
      </c>
      <c r="C9161" t="s">
        <v>11487</v>
      </c>
      <c r="D9161" t="s">
        <v>90</v>
      </c>
      <c r="E9161" s="13">
        <v>100</v>
      </c>
      <c r="F9161" s="12">
        <v>18.899999999999999</v>
      </c>
      <c r="G9161" t="str">
        <f>IFERROR(INDEX(tEditais[Órgão],MATCH(tItens[[#This Row],[Edital]],tEditais[Edital],0)),"")</f>
        <v>MUNICIPIO DE OSVALDO CRUZ</v>
      </c>
      <c r="H9161" t="str">
        <f>IFERROR(INDEX(tEditais[UF],MATCH(tItens[[#This Row],[Edital]],tEditais[Edital],0)),"")</f>
        <v>SP</v>
      </c>
      <c r="I9161" s="11">
        <f>IFERROR(INDEX(tEditais[Encerramento],MATCH(tItens[[#This Row],[Edital]],tEditais[Edital],0)),"")</f>
        <v>46311.375</v>
      </c>
      <c r="J9161" t="str">
        <f>IFERROR(INDEX(tProdutos[Classe],MATCH(tItens[[#This Row],[Produto]],tProdutos[Produto],0)),"produto não cadastrado")</f>
        <v>DISPUTADO</v>
      </c>
      <c r="K9161" s="12">
        <f>tItens[[#This Row],[Qtd]]*tItens[[#This Row],[Vlr unit]]</f>
        <v>1889.9999999999998</v>
      </c>
      <c r="L9161" s="6">
        <f>IFERROR(IF(INDEX(tProdutos[Desconto homologado],MATCH(tItens[[#This Row],[Produto]],tProdutos[Produto],0))="",DescontoPadrao,INDEX(tProdutos[Desconto homologado],MATCH(tItens[[#This Row],[Produto]],tProdutos[Produto],0))),DescontoPadrao)</f>
        <v>0.25393823957010597</v>
      </c>
      <c r="M9161" s="12">
        <f>tItens[[#This Row],[Valor]]*(1-tItens[[#This Row],[Desconto]])</f>
        <v>1410.0567272124995</v>
      </c>
      <c r="N9161" t="str">
        <f>IFERROR(INDEX(tProdutos[Foco],MATCH(tItens[[#This Row],[Produto]],tProdutos[Produto],0)),"Não")</f>
        <v>Não</v>
      </c>
      <c r="O9161" t="str">
        <f>IFERROR(INDEX(tEditais[SRP],MATCH(tItens[[#This Row],[Edital]],tEditais[Edital],0)),"Não")</f>
        <v>Sim</v>
      </c>
      <c r="P9161" s="4">
        <f>IF(COUNTIFS(INDEX(tItens[Edital],1):tItens[[#This Row],[Edital]],tItens[[#This Row],[Edital]],INDEX(tItens[Produto],1):tItens[[#This Row],[Produto]],tItens[[#This Row],[Produto]])=1,1,0)</f>
        <v>0</v>
      </c>
    </row>
    <row r="9162" spans="1:16" x14ac:dyDescent="0.25">
      <c r="A9162" t="s">
        <v>3122</v>
      </c>
      <c r="B9162">
        <v>81</v>
      </c>
      <c r="C9162" t="s">
        <v>11488</v>
      </c>
      <c r="D9162" t="s">
        <v>233</v>
      </c>
      <c r="E9162" s="13">
        <v>50</v>
      </c>
      <c r="F9162" s="12">
        <v>21.18</v>
      </c>
      <c r="G9162" t="str">
        <f>IFERROR(INDEX(tEditais[Órgão],MATCH(tItens[[#This Row],[Edital]],tEditais[Edital],0)),"")</f>
        <v>MUNICIPIO DE OSVALDO CRUZ</v>
      </c>
      <c r="H9162" t="str">
        <f>IFERROR(INDEX(tEditais[UF],MATCH(tItens[[#This Row],[Edital]],tEditais[Edital],0)),"")</f>
        <v>SP</v>
      </c>
      <c r="I9162" s="11">
        <f>IFERROR(INDEX(tEditais[Encerramento],MATCH(tItens[[#This Row],[Edital]],tEditais[Edital],0)),"")</f>
        <v>46311.375</v>
      </c>
      <c r="J9162" t="str">
        <f>IFERROR(INDEX(tProdutos[Classe],MATCH(tItens[[#This Row],[Produto]],tProdutos[Produto],0)),"produto não cadastrado")</f>
        <v>FORA</v>
      </c>
      <c r="K9162" s="12">
        <f>tItens[[#This Row],[Qtd]]*tItens[[#This Row],[Vlr unit]]</f>
        <v>1059</v>
      </c>
      <c r="L9162" s="6">
        <f>IFERROR(IF(INDEX(tProdutos[Desconto homologado],MATCH(tItens[[#This Row],[Produto]],tProdutos[Produto],0))="",DescontoPadrao,INDEX(tProdutos[Desconto homologado],MATCH(tItens[[#This Row],[Produto]],tProdutos[Produto],0))),DescontoPadrao)</f>
        <v>0.246270084162204</v>
      </c>
      <c r="M9162" s="12">
        <f>tItens[[#This Row],[Valor]]*(1-tItens[[#This Row],[Desconto]])</f>
        <v>798.19998087222598</v>
      </c>
      <c r="N9162" t="str">
        <f>IFERROR(INDEX(tProdutos[Foco],MATCH(tItens[[#This Row],[Produto]],tProdutos[Produto],0)),"Não")</f>
        <v>Não</v>
      </c>
      <c r="O9162" t="str">
        <f>IFERROR(INDEX(tEditais[SRP],MATCH(tItens[[#This Row],[Edital]],tEditais[Edital],0)),"Não")</f>
        <v>Sim</v>
      </c>
      <c r="P9162" s="4">
        <f>IF(COUNTIFS(INDEX(tItens[Edital],1):tItens[[#This Row],[Edital]],tItens[[#This Row],[Edital]],INDEX(tItens[Produto],1):tItens[[#This Row],[Produto]],tItens[[#This Row],[Produto]])=1,1,0)</f>
        <v>1</v>
      </c>
    </row>
    <row r="9163" spans="1:16" x14ac:dyDescent="0.25">
      <c r="A9163" t="s">
        <v>3122</v>
      </c>
      <c r="B9163">
        <v>82</v>
      </c>
      <c r="C9163" t="s">
        <v>11489</v>
      </c>
      <c r="D9163" t="s">
        <v>75</v>
      </c>
      <c r="E9163" s="13">
        <v>800</v>
      </c>
      <c r="F9163" s="12">
        <v>1.68</v>
      </c>
      <c r="G9163" t="str">
        <f>IFERROR(INDEX(tEditais[Órgão],MATCH(tItens[[#This Row],[Edital]],tEditais[Edital],0)),"")</f>
        <v>MUNICIPIO DE OSVALDO CRUZ</v>
      </c>
      <c r="H9163" t="str">
        <f>IFERROR(INDEX(tEditais[UF],MATCH(tItens[[#This Row],[Edital]],tEditais[Edital],0)),"")</f>
        <v>SP</v>
      </c>
      <c r="I9163" s="11">
        <f>IFERROR(INDEX(tEditais[Encerramento],MATCH(tItens[[#This Row],[Edital]],tEditais[Edital],0)),"")</f>
        <v>46311.375</v>
      </c>
      <c r="J9163" t="str">
        <f>IFERROR(INDEX(tProdutos[Classe],MATCH(tItens[[#This Row],[Produto]],tProdutos[Produto],0)),"produto não cadastrado")</f>
        <v>NÚCLEO</v>
      </c>
      <c r="K9163" s="12">
        <f>tItens[[#This Row],[Qtd]]*tItens[[#This Row],[Vlr unit]]</f>
        <v>1344</v>
      </c>
      <c r="L9163" s="6">
        <f>IFERROR(IF(INDEX(tProdutos[Desconto homologado],MATCH(tItens[[#This Row],[Produto]],tProdutos[Produto],0))="",DescontoPadrao,INDEX(tProdutos[Desconto homologado],MATCH(tItens[[#This Row],[Produto]],tProdutos[Produto],0))),DescontoPadrao)</f>
        <v>0.26</v>
      </c>
      <c r="M9163" s="12">
        <f>tItens[[#This Row],[Valor]]*(1-tItens[[#This Row],[Desconto]])</f>
        <v>994.56</v>
      </c>
      <c r="N9163" t="str">
        <f>IFERROR(INDEX(tProdutos[Foco],MATCH(tItens[[#This Row],[Produto]],tProdutos[Produto],0)),"Não")</f>
        <v>Sim</v>
      </c>
      <c r="O9163" t="str">
        <f>IFERROR(INDEX(tEditais[SRP],MATCH(tItens[[#This Row],[Edital]],tEditais[Edital],0)),"Não")</f>
        <v>Sim</v>
      </c>
      <c r="P9163" s="4">
        <f>IF(COUNTIFS(INDEX(tItens[Edital],1):tItens[[#This Row],[Edital]],tItens[[#This Row],[Edital]],INDEX(tItens[Produto],1):tItens[[#This Row],[Produto]],tItens[[#This Row],[Produto]])=1,1,0)</f>
        <v>1</v>
      </c>
    </row>
    <row r="9164" spans="1:16" x14ac:dyDescent="0.25">
      <c r="A9164" t="s">
        <v>3122</v>
      </c>
      <c r="B9164">
        <v>83</v>
      </c>
      <c r="C9164" t="s">
        <v>11490</v>
      </c>
      <c r="D9164" t="s">
        <v>75</v>
      </c>
      <c r="E9164" s="13">
        <v>2000</v>
      </c>
      <c r="F9164" s="12">
        <v>1.93</v>
      </c>
      <c r="G9164" t="str">
        <f>IFERROR(INDEX(tEditais[Órgão],MATCH(tItens[[#This Row],[Edital]],tEditais[Edital],0)),"")</f>
        <v>MUNICIPIO DE OSVALDO CRUZ</v>
      </c>
      <c r="H9164" t="str">
        <f>IFERROR(INDEX(tEditais[UF],MATCH(tItens[[#This Row],[Edital]],tEditais[Edital],0)),"")</f>
        <v>SP</v>
      </c>
      <c r="I9164" s="11">
        <f>IFERROR(INDEX(tEditais[Encerramento],MATCH(tItens[[#This Row],[Edital]],tEditais[Edital],0)),"")</f>
        <v>46311.375</v>
      </c>
      <c r="J9164" t="str">
        <f>IFERROR(INDEX(tProdutos[Classe],MATCH(tItens[[#This Row],[Produto]],tProdutos[Produto],0)),"produto não cadastrado")</f>
        <v>NÚCLEO</v>
      </c>
      <c r="K9164" s="12">
        <f>tItens[[#This Row],[Qtd]]*tItens[[#This Row],[Vlr unit]]</f>
        <v>3860</v>
      </c>
      <c r="L9164" s="6">
        <f>IFERROR(IF(INDEX(tProdutos[Desconto homologado],MATCH(tItens[[#This Row],[Produto]],tProdutos[Produto],0))="",DescontoPadrao,INDEX(tProdutos[Desconto homologado],MATCH(tItens[[#This Row],[Produto]],tProdutos[Produto],0))),DescontoPadrao)</f>
        <v>0.26</v>
      </c>
      <c r="M9164" s="12">
        <f>tItens[[#This Row],[Valor]]*(1-tItens[[#This Row],[Desconto]])</f>
        <v>2856.4</v>
      </c>
      <c r="N9164" t="str">
        <f>IFERROR(INDEX(tProdutos[Foco],MATCH(tItens[[#This Row],[Produto]],tProdutos[Produto],0)),"Não")</f>
        <v>Sim</v>
      </c>
      <c r="O9164" t="str">
        <f>IFERROR(INDEX(tEditais[SRP],MATCH(tItens[[#This Row],[Edital]],tEditais[Edital],0)),"Não")</f>
        <v>Sim</v>
      </c>
      <c r="P9164" s="4">
        <f>IF(COUNTIFS(INDEX(tItens[Edital],1):tItens[[#This Row],[Edital]],tItens[[#This Row],[Edital]],INDEX(tItens[Produto],1):tItens[[#This Row],[Produto]],tItens[[#This Row],[Produto]])=1,1,0)</f>
        <v>0</v>
      </c>
    </row>
    <row r="9165" spans="1:16" x14ac:dyDescent="0.25">
      <c r="A9165" t="s">
        <v>3122</v>
      </c>
      <c r="B9165">
        <v>84</v>
      </c>
      <c r="C9165" t="s">
        <v>11491</v>
      </c>
      <c r="D9165" t="s">
        <v>75</v>
      </c>
      <c r="E9165" s="13">
        <v>800</v>
      </c>
      <c r="F9165" s="12">
        <v>3.06</v>
      </c>
      <c r="G9165" t="str">
        <f>IFERROR(INDEX(tEditais[Órgão],MATCH(tItens[[#This Row],[Edital]],tEditais[Edital],0)),"")</f>
        <v>MUNICIPIO DE OSVALDO CRUZ</v>
      </c>
      <c r="H9165" t="str">
        <f>IFERROR(INDEX(tEditais[UF],MATCH(tItens[[#This Row],[Edital]],tEditais[Edital],0)),"")</f>
        <v>SP</v>
      </c>
      <c r="I9165" s="11">
        <f>IFERROR(INDEX(tEditais[Encerramento],MATCH(tItens[[#This Row],[Edital]],tEditais[Edital],0)),"")</f>
        <v>46311.375</v>
      </c>
      <c r="J9165" t="str">
        <f>IFERROR(INDEX(tProdutos[Classe],MATCH(tItens[[#This Row],[Produto]],tProdutos[Produto],0)),"produto não cadastrado")</f>
        <v>NÚCLEO</v>
      </c>
      <c r="K9165" s="12">
        <f>tItens[[#This Row],[Qtd]]*tItens[[#This Row],[Vlr unit]]</f>
        <v>2448</v>
      </c>
      <c r="L9165" s="6">
        <f>IFERROR(IF(INDEX(tProdutos[Desconto homologado],MATCH(tItens[[#This Row],[Produto]],tProdutos[Produto],0))="",DescontoPadrao,INDEX(tProdutos[Desconto homologado],MATCH(tItens[[#This Row],[Produto]],tProdutos[Produto],0))),DescontoPadrao)</f>
        <v>0.26</v>
      </c>
      <c r="M9165" s="12">
        <f>tItens[[#This Row],[Valor]]*(1-tItens[[#This Row],[Desconto]])</f>
        <v>1811.52</v>
      </c>
      <c r="N9165" t="str">
        <f>IFERROR(INDEX(tProdutos[Foco],MATCH(tItens[[#This Row],[Produto]],tProdutos[Produto],0)),"Não")</f>
        <v>Sim</v>
      </c>
      <c r="O9165" t="str">
        <f>IFERROR(INDEX(tEditais[SRP],MATCH(tItens[[#This Row],[Edital]],tEditais[Edital],0)),"Não")</f>
        <v>Sim</v>
      </c>
      <c r="P9165" s="4">
        <f>IF(COUNTIFS(INDEX(tItens[Edital],1):tItens[[#This Row],[Edital]],tItens[[#This Row],[Edital]],INDEX(tItens[Produto],1):tItens[[#This Row],[Produto]],tItens[[#This Row],[Produto]])=1,1,0)</f>
        <v>0</v>
      </c>
    </row>
    <row r="9166" spans="1:16" x14ac:dyDescent="0.25">
      <c r="A9166" t="s">
        <v>3122</v>
      </c>
      <c r="B9166">
        <v>90</v>
      </c>
      <c r="C9166" t="s">
        <v>11492</v>
      </c>
      <c r="D9166" t="s">
        <v>77</v>
      </c>
      <c r="E9166" s="13">
        <v>2000</v>
      </c>
      <c r="F9166" s="12">
        <v>4.45</v>
      </c>
      <c r="G9166" t="str">
        <f>IFERROR(INDEX(tEditais[Órgão],MATCH(tItens[[#This Row],[Edital]],tEditais[Edital],0)),"")</f>
        <v>MUNICIPIO DE OSVALDO CRUZ</v>
      </c>
      <c r="H9166" t="str">
        <f>IFERROR(INDEX(tEditais[UF],MATCH(tItens[[#This Row],[Edital]],tEditais[Edital],0)),"")</f>
        <v>SP</v>
      </c>
      <c r="I9166" s="11">
        <f>IFERROR(INDEX(tEditais[Encerramento],MATCH(tItens[[#This Row],[Edital]],tEditais[Edital],0)),"")</f>
        <v>46311.375</v>
      </c>
      <c r="J9166" t="str">
        <f>IFERROR(INDEX(tProdutos[Classe],MATCH(tItens[[#This Row],[Produto]],tProdutos[Produto],0)),"produto não cadastrado")</f>
        <v>DISPUTADO</v>
      </c>
      <c r="K9166" s="12">
        <f>tItens[[#This Row],[Qtd]]*tItens[[#This Row],[Vlr unit]]</f>
        <v>8900</v>
      </c>
      <c r="L9166" s="6">
        <f>IFERROR(IF(INDEX(tProdutos[Desconto homologado],MATCH(tItens[[#This Row],[Produto]],tProdutos[Produto],0))="",DescontoPadrao,INDEX(tProdutos[Desconto homologado],MATCH(tItens[[#This Row],[Produto]],tProdutos[Produto],0))),DescontoPadrao)</f>
        <v>0.33</v>
      </c>
      <c r="M9166" s="12">
        <f>tItens[[#This Row],[Valor]]*(1-tItens[[#This Row],[Desconto]])</f>
        <v>5962.9999999999991</v>
      </c>
      <c r="N9166" t="str">
        <f>IFERROR(INDEX(tProdutos[Foco],MATCH(tItens[[#This Row],[Produto]],tProdutos[Produto],0)),"Não")</f>
        <v>Sim</v>
      </c>
      <c r="O9166" t="str">
        <f>IFERROR(INDEX(tEditais[SRP],MATCH(tItens[[#This Row],[Edital]],tEditais[Edital],0)),"Não")</f>
        <v>Sim</v>
      </c>
      <c r="P9166" s="4">
        <f>IF(COUNTIFS(INDEX(tItens[Edital],1):tItens[[#This Row],[Edital]],tItens[[#This Row],[Edital]],INDEX(tItens[Produto],1):tItens[[#This Row],[Produto]],tItens[[#This Row],[Produto]])=1,1,0)</f>
        <v>1</v>
      </c>
    </row>
    <row r="9167" spans="1:16" x14ac:dyDescent="0.25">
      <c r="A9167" t="s">
        <v>3122</v>
      </c>
      <c r="B9167">
        <v>94</v>
      </c>
      <c r="C9167" t="s">
        <v>11493</v>
      </c>
      <c r="D9167" t="s">
        <v>130</v>
      </c>
      <c r="E9167" s="13">
        <v>15</v>
      </c>
      <c r="F9167" s="12">
        <v>67.849999999999994</v>
      </c>
      <c r="G9167" t="str">
        <f>IFERROR(INDEX(tEditais[Órgão],MATCH(tItens[[#This Row],[Edital]],tEditais[Edital],0)),"")</f>
        <v>MUNICIPIO DE OSVALDO CRUZ</v>
      </c>
      <c r="H9167" t="str">
        <f>IFERROR(INDEX(tEditais[UF],MATCH(tItens[[#This Row],[Edital]],tEditais[Edital],0)),"")</f>
        <v>SP</v>
      </c>
      <c r="I9167" s="11">
        <f>IFERROR(INDEX(tEditais[Encerramento],MATCH(tItens[[#This Row],[Edital]],tEditais[Edital],0)),"")</f>
        <v>46311.375</v>
      </c>
      <c r="J9167" t="str">
        <f>IFERROR(INDEX(tProdutos[Classe],MATCH(tItens[[#This Row],[Produto]],tProdutos[Produto],0)),"produto não cadastrado")</f>
        <v>DISPUTADO</v>
      </c>
      <c r="K9167" s="12">
        <f>tItens[[#This Row],[Qtd]]*tItens[[#This Row],[Vlr unit]]</f>
        <v>1017.7499999999999</v>
      </c>
      <c r="L9167" s="6">
        <f>IFERROR(IF(INDEX(tProdutos[Desconto homologado],MATCH(tItens[[#This Row],[Produto]],tProdutos[Produto],0))="",DescontoPadrao,INDEX(tProdutos[Desconto homologado],MATCH(tItens[[#This Row],[Produto]],tProdutos[Produto],0))),DescontoPadrao)</f>
        <v>0.32</v>
      </c>
      <c r="M9167" s="12">
        <f>tItens[[#This Row],[Valor]]*(1-tItens[[#This Row],[Desconto]])</f>
        <v>692.06999999999982</v>
      </c>
      <c r="N9167" t="str">
        <f>IFERROR(INDEX(tProdutos[Foco],MATCH(tItens[[#This Row],[Produto]],tProdutos[Produto],0)),"Não")</f>
        <v>Sim</v>
      </c>
      <c r="O9167" t="str">
        <f>IFERROR(INDEX(tEditais[SRP],MATCH(tItens[[#This Row],[Edital]],tEditais[Edital],0)),"Não")</f>
        <v>Sim</v>
      </c>
      <c r="P9167" s="4">
        <f>IF(COUNTIFS(INDEX(tItens[Edital],1):tItens[[#This Row],[Edital]],tItens[[#This Row],[Edital]],INDEX(tItens[Produto],1):tItens[[#This Row],[Produto]],tItens[[#This Row],[Produto]])=1,1,0)</f>
        <v>1</v>
      </c>
    </row>
    <row r="9168" spans="1:16" x14ac:dyDescent="0.25">
      <c r="A9168" t="s">
        <v>3122</v>
      </c>
      <c r="B9168">
        <v>96</v>
      </c>
      <c r="C9168" t="s">
        <v>11494</v>
      </c>
      <c r="D9168" t="s">
        <v>509</v>
      </c>
      <c r="E9168" s="13">
        <v>50</v>
      </c>
      <c r="F9168" s="12">
        <v>10.57</v>
      </c>
      <c r="G9168" t="str">
        <f>IFERROR(INDEX(tEditais[Órgão],MATCH(tItens[[#This Row],[Edital]],tEditais[Edital],0)),"")</f>
        <v>MUNICIPIO DE OSVALDO CRUZ</v>
      </c>
      <c r="H9168" t="str">
        <f>IFERROR(INDEX(tEditais[UF],MATCH(tItens[[#This Row],[Edital]],tEditais[Edital],0)),"")</f>
        <v>SP</v>
      </c>
      <c r="I9168" s="11">
        <f>IFERROR(INDEX(tEditais[Encerramento],MATCH(tItens[[#This Row],[Edital]],tEditais[Edital],0)),"")</f>
        <v>46311.375</v>
      </c>
      <c r="J9168" t="str">
        <f>IFERROR(INDEX(tProdutos[Classe],MATCH(tItens[[#This Row],[Produto]],tProdutos[Produto],0)),"produto não cadastrado")</f>
        <v>FILA REBASE</v>
      </c>
      <c r="K9168" s="12">
        <f>tItens[[#This Row],[Qtd]]*tItens[[#This Row],[Vlr unit]]</f>
        <v>528.5</v>
      </c>
      <c r="L9168" s="6">
        <f>IFERROR(IF(INDEX(tProdutos[Desconto homologado],MATCH(tItens[[#This Row],[Produto]],tProdutos[Produto],0))="",DescontoPadrao,INDEX(tProdutos[Desconto homologado],MATCH(tItens[[#This Row],[Produto]],tProdutos[Produto],0))),DescontoPadrao)</f>
        <v>0.54086317722681398</v>
      </c>
      <c r="M9168" s="12">
        <f>tItens[[#This Row],[Valor]]*(1-tItens[[#This Row],[Desconto]])</f>
        <v>242.6538108356288</v>
      </c>
      <c r="N9168" t="str">
        <f>IFERROR(INDEX(tProdutos[Foco],MATCH(tItens[[#This Row],[Produto]],tProdutos[Produto],0)),"Não")</f>
        <v>Não</v>
      </c>
      <c r="O9168" t="str">
        <f>IFERROR(INDEX(tEditais[SRP],MATCH(tItens[[#This Row],[Edital]],tEditais[Edital],0)),"Não")</f>
        <v>Sim</v>
      </c>
      <c r="P9168" s="4">
        <f>IF(COUNTIFS(INDEX(tItens[Edital],1):tItens[[#This Row],[Edital]],tItens[[#This Row],[Edital]],INDEX(tItens[Produto],1):tItens[[#This Row],[Produto]],tItens[[#This Row],[Produto]])=1,1,0)</f>
        <v>1</v>
      </c>
    </row>
    <row r="9169" spans="1:16" x14ac:dyDescent="0.25">
      <c r="A9169" t="s">
        <v>3122</v>
      </c>
      <c r="B9169">
        <v>102</v>
      </c>
      <c r="C9169" t="s">
        <v>11495</v>
      </c>
      <c r="D9169" t="s">
        <v>156</v>
      </c>
      <c r="E9169" s="13">
        <v>20</v>
      </c>
      <c r="F9169" s="12">
        <v>24.4</v>
      </c>
      <c r="G9169" t="str">
        <f>IFERROR(INDEX(tEditais[Órgão],MATCH(tItens[[#This Row],[Edital]],tEditais[Edital],0)),"")</f>
        <v>MUNICIPIO DE OSVALDO CRUZ</v>
      </c>
      <c r="H9169" t="str">
        <f>IFERROR(INDEX(tEditais[UF],MATCH(tItens[[#This Row],[Edital]],tEditais[Edital],0)),"")</f>
        <v>SP</v>
      </c>
      <c r="I9169" s="11">
        <f>IFERROR(INDEX(tEditais[Encerramento],MATCH(tItens[[#This Row],[Edital]],tEditais[Edital],0)),"")</f>
        <v>46311.375</v>
      </c>
      <c r="J9169" t="str">
        <f>IFERROR(INDEX(tProdutos[Classe],MATCH(tItens[[#This Row],[Produto]],tProdutos[Produto],0)),"produto não cadastrado")</f>
        <v>DISPUTADO</v>
      </c>
      <c r="K9169" s="12">
        <f>tItens[[#This Row],[Qtd]]*tItens[[#This Row],[Vlr unit]]</f>
        <v>488</v>
      </c>
      <c r="L9169" s="6">
        <f>IFERROR(IF(INDEX(tProdutos[Desconto homologado],MATCH(tItens[[#This Row],[Produto]],tProdutos[Produto],0))="",DescontoPadrao,INDEX(tProdutos[Desconto homologado],MATCH(tItens[[#This Row],[Produto]],tProdutos[Produto],0))),DescontoPadrao)</f>
        <v>0.27131852489802799</v>
      </c>
      <c r="M9169" s="12">
        <f>tItens[[#This Row],[Valor]]*(1-tItens[[#This Row],[Desconto]])</f>
        <v>355.59655984976234</v>
      </c>
      <c r="N9169" t="str">
        <f>IFERROR(INDEX(tProdutos[Foco],MATCH(tItens[[#This Row],[Produto]],tProdutos[Produto],0)),"Não")</f>
        <v>Não</v>
      </c>
      <c r="O9169" t="str">
        <f>IFERROR(INDEX(tEditais[SRP],MATCH(tItens[[#This Row],[Edital]],tEditais[Edital],0)),"Não")</f>
        <v>Sim</v>
      </c>
      <c r="P9169" s="4">
        <f>IF(COUNTIFS(INDEX(tItens[Edital],1):tItens[[#This Row],[Edital]],tItens[[#This Row],[Edital]],INDEX(tItens[Produto],1):tItens[[#This Row],[Produto]],tItens[[#This Row],[Produto]])=1,1,0)</f>
        <v>1</v>
      </c>
    </row>
    <row r="9170" spans="1:16" x14ac:dyDescent="0.25">
      <c r="A9170" t="s">
        <v>3122</v>
      </c>
      <c r="B9170">
        <v>103</v>
      </c>
      <c r="C9170" t="s">
        <v>11496</v>
      </c>
      <c r="D9170" t="s">
        <v>512</v>
      </c>
      <c r="E9170" s="13">
        <v>30</v>
      </c>
      <c r="F9170" s="12">
        <v>6.57</v>
      </c>
      <c r="G9170" t="str">
        <f>IFERROR(INDEX(tEditais[Órgão],MATCH(tItens[[#This Row],[Edital]],tEditais[Edital],0)),"")</f>
        <v>MUNICIPIO DE OSVALDO CRUZ</v>
      </c>
      <c r="H9170" t="str">
        <f>IFERROR(INDEX(tEditais[UF],MATCH(tItens[[#This Row],[Edital]],tEditais[Edital],0)),"")</f>
        <v>SP</v>
      </c>
      <c r="I9170" s="11">
        <f>IFERROR(INDEX(tEditais[Encerramento],MATCH(tItens[[#This Row],[Edital]],tEditais[Edital],0)),"")</f>
        <v>46311.375</v>
      </c>
      <c r="J9170" t="str">
        <f>IFERROR(INDEX(tProdutos[Classe],MATCH(tItens[[#This Row],[Produto]],tProdutos[Produto],0)),"produto não cadastrado")</f>
        <v>FILA REBASE</v>
      </c>
      <c r="K9170" s="12">
        <f>tItens[[#This Row],[Qtd]]*tItens[[#This Row],[Vlr unit]]</f>
        <v>197.10000000000002</v>
      </c>
      <c r="L9170" s="6">
        <f>IFERROR(IF(INDEX(tProdutos[Desconto homologado],MATCH(tItens[[#This Row],[Produto]],tProdutos[Produto],0))="",DescontoPadrao,INDEX(tProdutos[Desconto homologado],MATCH(tItens[[#This Row],[Produto]],tProdutos[Produto],0))),DescontoPadrao)</f>
        <v>0.32579365079365102</v>
      </c>
      <c r="M9170" s="12">
        <f>tItens[[#This Row],[Valor]]*(1-tItens[[#This Row],[Desconto]])</f>
        <v>132.8860714285714</v>
      </c>
      <c r="N9170" t="str">
        <f>IFERROR(INDEX(tProdutos[Foco],MATCH(tItens[[#This Row],[Produto]],tProdutos[Produto],0)),"Não")</f>
        <v>Não</v>
      </c>
      <c r="O9170" t="str">
        <f>IFERROR(INDEX(tEditais[SRP],MATCH(tItens[[#This Row],[Edital]],tEditais[Edital],0)),"Não")</f>
        <v>Sim</v>
      </c>
      <c r="P9170" s="4">
        <f>IF(COUNTIFS(INDEX(tItens[Edital],1):tItens[[#This Row],[Edital]],tItens[[#This Row],[Edital]],INDEX(tItens[Produto],1):tItens[[#This Row],[Produto]],tItens[[#This Row],[Produto]])=1,1,0)</f>
        <v>1</v>
      </c>
    </row>
    <row r="9171" spans="1:16" x14ac:dyDescent="0.25">
      <c r="A9171" t="s">
        <v>3122</v>
      </c>
      <c r="B9171">
        <v>104</v>
      </c>
      <c r="C9171" t="s">
        <v>11497</v>
      </c>
      <c r="D9171" t="s">
        <v>512</v>
      </c>
      <c r="E9171" s="13">
        <v>50</v>
      </c>
      <c r="F9171" s="12">
        <v>9.09</v>
      </c>
      <c r="G9171" t="str">
        <f>IFERROR(INDEX(tEditais[Órgão],MATCH(tItens[[#This Row],[Edital]],tEditais[Edital],0)),"")</f>
        <v>MUNICIPIO DE OSVALDO CRUZ</v>
      </c>
      <c r="H9171" t="str">
        <f>IFERROR(INDEX(tEditais[UF],MATCH(tItens[[#This Row],[Edital]],tEditais[Edital],0)),"")</f>
        <v>SP</v>
      </c>
      <c r="I9171" s="11">
        <f>IFERROR(INDEX(tEditais[Encerramento],MATCH(tItens[[#This Row],[Edital]],tEditais[Edital],0)),"")</f>
        <v>46311.375</v>
      </c>
      <c r="J9171" t="str">
        <f>IFERROR(INDEX(tProdutos[Classe],MATCH(tItens[[#This Row],[Produto]],tProdutos[Produto],0)),"produto não cadastrado")</f>
        <v>FILA REBASE</v>
      </c>
      <c r="K9171" s="12">
        <f>tItens[[#This Row],[Qtd]]*tItens[[#This Row],[Vlr unit]]</f>
        <v>454.5</v>
      </c>
      <c r="L9171" s="6">
        <f>IFERROR(IF(INDEX(tProdutos[Desconto homologado],MATCH(tItens[[#This Row],[Produto]],tProdutos[Produto],0))="",DescontoPadrao,INDEX(tProdutos[Desconto homologado],MATCH(tItens[[#This Row],[Produto]],tProdutos[Produto],0))),DescontoPadrao)</f>
        <v>0.32579365079365102</v>
      </c>
      <c r="M9171" s="12">
        <f>tItens[[#This Row],[Valor]]*(1-tItens[[#This Row],[Desconto]])</f>
        <v>306.42678571428564</v>
      </c>
      <c r="N9171" t="str">
        <f>IFERROR(INDEX(tProdutos[Foco],MATCH(tItens[[#This Row],[Produto]],tProdutos[Produto],0)),"Não")</f>
        <v>Não</v>
      </c>
      <c r="O9171" t="str">
        <f>IFERROR(INDEX(tEditais[SRP],MATCH(tItens[[#This Row],[Edital]],tEditais[Edital],0)),"Não")</f>
        <v>Sim</v>
      </c>
      <c r="P9171" s="4">
        <f>IF(COUNTIFS(INDEX(tItens[Edital],1):tItens[[#This Row],[Edital]],tItens[[#This Row],[Edital]],INDEX(tItens[Produto],1):tItens[[#This Row],[Produto]],tItens[[#This Row],[Produto]])=1,1,0)</f>
        <v>0</v>
      </c>
    </row>
    <row r="9172" spans="1:16" x14ac:dyDescent="0.25">
      <c r="A9172" t="s">
        <v>3122</v>
      </c>
      <c r="B9172">
        <v>105</v>
      </c>
      <c r="C9172" t="s">
        <v>11498</v>
      </c>
      <c r="D9172" t="s">
        <v>467</v>
      </c>
      <c r="E9172" s="13">
        <v>30</v>
      </c>
      <c r="F9172" s="12">
        <v>43.75</v>
      </c>
      <c r="G9172" t="str">
        <f>IFERROR(INDEX(tEditais[Órgão],MATCH(tItens[[#This Row],[Edital]],tEditais[Edital],0)),"")</f>
        <v>MUNICIPIO DE OSVALDO CRUZ</v>
      </c>
      <c r="H9172" t="str">
        <f>IFERROR(INDEX(tEditais[UF],MATCH(tItens[[#This Row],[Edital]],tEditais[Edital],0)),"")</f>
        <v>SP</v>
      </c>
      <c r="I9172" s="11">
        <f>IFERROR(INDEX(tEditais[Encerramento],MATCH(tItens[[#This Row],[Edital]],tEditais[Edital],0)),"")</f>
        <v>46311.375</v>
      </c>
      <c r="J9172" t="str">
        <f>IFERROR(INDEX(tProdutos[Classe],MATCH(tItens[[#This Row],[Produto]],tProdutos[Produto],0)),"produto não cadastrado")</f>
        <v>FILA REBASE</v>
      </c>
      <c r="K9172" s="12">
        <f>tItens[[#This Row],[Qtd]]*tItens[[#This Row],[Vlr unit]]</f>
        <v>1312.5</v>
      </c>
      <c r="L9172" s="6">
        <f>IFERROR(IF(INDEX(tProdutos[Desconto homologado],MATCH(tItens[[#This Row],[Produto]],tProdutos[Produto],0))="",DescontoPadrao,INDEX(tProdutos[Desconto homologado],MATCH(tItens[[#This Row],[Produto]],tProdutos[Produto],0))),DescontoPadrao)</f>
        <v>0.25007144898542499</v>
      </c>
      <c r="M9172" s="12">
        <f>tItens[[#This Row],[Valor]]*(1-tItens[[#This Row],[Desconto]])</f>
        <v>984.28122320662965</v>
      </c>
      <c r="N9172" t="str">
        <f>IFERROR(INDEX(tProdutos[Foco],MATCH(tItens[[#This Row],[Produto]],tProdutos[Produto],0)),"Não")</f>
        <v>Não</v>
      </c>
      <c r="O9172" t="str">
        <f>IFERROR(INDEX(tEditais[SRP],MATCH(tItens[[#This Row],[Edital]],tEditais[Edital],0)),"Não")</f>
        <v>Sim</v>
      </c>
      <c r="P9172" s="4">
        <f>IF(COUNTIFS(INDEX(tItens[Edital],1):tItens[[#This Row],[Edital]],tItens[[#This Row],[Edital]],INDEX(tItens[Produto],1):tItens[[#This Row],[Produto]],tItens[[#This Row],[Produto]])=1,1,0)</f>
        <v>1</v>
      </c>
    </row>
    <row r="9173" spans="1:16" x14ac:dyDescent="0.25">
      <c r="A9173" t="s">
        <v>3122</v>
      </c>
      <c r="B9173">
        <v>109</v>
      </c>
      <c r="C9173" t="s">
        <v>11499</v>
      </c>
      <c r="D9173" t="s">
        <v>411</v>
      </c>
      <c r="E9173" s="13">
        <v>100</v>
      </c>
      <c r="F9173" s="12">
        <v>23.14</v>
      </c>
      <c r="G9173" t="str">
        <f>IFERROR(INDEX(tEditais[Órgão],MATCH(tItens[[#This Row],[Edital]],tEditais[Edital],0)),"")</f>
        <v>MUNICIPIO DE OSVALDO CRUZ</v>
      </c>
      <c r="H9173" t="str">
        <f>IFERROR(INDEX(tEditais[UF],MATCH(tItens[[#This Row],[Edital]],tEditais[Edital],0)),"")</f>
        <v>SP</v>
      </c>
      <c r="I9173" s="11">
        <f>IFERROR(INDEX(tEditais[Encerramento],MATCH(tItens[[#This Row],[Edital]],tEditais[Edital],0)),"")</f>
        <v>46311.375</v>
      </c>
      <c r="J9173" t="str">
        <f>IFERROR(INDEX(tProdutos[Classe],MATCH(tItens[[#This Row],[Produto]],tProdutos[Produto],0)),"produto não cadastrado")</f>
        <v>FORA</v>
      </c>
      <c r="K9173" s="12">
        <f>tItens[[#This Row],[Qtd]]*tItens[[#This Row],[Vlr unit]]</f>
        <v>2314</v>
      </c>
      <c r="L9173" s="6">
        <f>IFERROR(IF(INDEX(tProdutos[Desconto homologado],MATCH(tItens[[#This Row],[Produto]],tProdutos[Produto],0))="",DescontoPadrao,INDEX(tProdutos[Desconto homologado],MATCH(tItens[[#This Row],[Produto]],tProdutos[Produto],0))),DescontoPadrao)</f>
        <v>0.50029835957199398</v>
      </c>
      <c r="M9173" s="12">
        <f>tItens[[#This Row],[Valor]]*(1-tItens[[#This Row],[Desconto]])</f>
        <v>1156.309595950406</v>
      </c>
      <c r="N9173" t="str">
        <f>IFERROR(INDEX(tProdutos[Foco],MATCH(tItens[[#This Row],[Produto]],tProdutos[Produto],0)),"Não")</f>
        <v>Não</v>
      </c>
      <c r="O9173" t="str">
        <f>IFERROR(INDEX(tEditais[SRP],MATCH(tItens[[#This Row],[Edital]],tEditais[Edital],0)),"Não")</f>
        <v>Sim</v>
      </c>
      <c r="P9173" s="4">
        <f>IF(COUNTIFS(INDEX(tItens[Edital],1):tItens[[#This Row],[Edital]],tItens[[#This Row],[Edital]],INDEX(tItens[Produto],1):tItens[[#This Row],[Produto]],tItens[[#This Row],[Produto]])=1,1,0)</f>
        <v>1</v>
      </c>
    </row>
    <row r="9174" spans="1:16" x14ac:dyDescent="0.25">
      <c r="A9174" t="s">
        <v>3122</v>
      </c>
      <c r="B9174">
        <v>113</v>
      </c>
      <c r="C9174" t="s">
        <v>11500</v>
      </c>
      <c r="D9174" t="s">
        <v>56</v>
      </c>
      <c r="E9174" s="13">
        <v>10</v>
      </c>
      <c r="F9174" s="12">
        <v>48.3</v>
      </c>
      <c r="G9174" t="str">
        <f>IFERROR(INDEX(tEditais[Órgão],MATCH(tItens[[#This Row],[Edital]],tEditais[Edital],0)),"")</f>
        <v>MUNICIPIO DE OSVALDO CRUZ</v>
      </c>
      <c r="H9174" t="str">
        <f>IFERROR(INDEX(tEditais[UF],MATCH(tItens[[#This Row],[Edital]],tEditais[Edital],0)),"")</f>
        <v>SP</v>
      </c>
      <c r="I9174" s="11">
        <f>IFERROR(INDEX(tEditais[Encerramento],MATCH(tItens[[#This Row],[Edital]],tEditais[Edital],0)),"")</f>
        <v>46311.375</v>
      </c>
      <c r="J9174" t="str">
        <f>IFERROR(INDEX(tProdutos[Classe],MATCH(tItens[[#This Row],[Produto]],tProdutos[Produto],0)),"produto não cadastrado")</f>
        <v>NÚCLEO</v>
      </c>
      <c r="K9174" s="12">
        <f>tItens[[#This Row],[Qtd]]*tItens[[#This Row],[Vlr unit]]</f>
        <v>483</v>
      </c>
      <c r="L9174" s="6">
        <f>IFERROR(IF(INDEX(tProdutos[Desconto homologado],MATCH(tItens[[#This Row],[Produto]],tProdutos[Produto],0))="",DescontoPadrao,INDEX(tProdutos[Desconto homologado],MATCH(tItens[[#This Row],[Produto]],tProdutos[Produto],0))),DescontoPadrao)</f>
        <v>0.34</v>
      </c>
      <c r="M9174" s="12">
        <f>tItens[[#This Row],[Valor]]*(1-tItens[[#This Row],[Desconto]])</f>
        <v>318.77999999999997</v>
      </c>
      <c r="N9174" t="str">
        <f>IFERROR(INDEX(tProdutos[Foco],MATCH(tItens[[#This Row],[Produto]],tProdutos[Produto],0)),"Não")</f>
        <v>Sim</v>
      </c>
      <c r="O9174" t="str">
        <f>IFERROR(INDEX(tEditais[SRP],MATCH(tItens[[#This Row],[Edital]],tEditais[Edital],0)),"Não")</f>
        <v>Sim</v>
      </c>
      <c r="P9174" s="4">
        <f>IF(COUNTIFS(INDEX(tItens[Edital],1):tItens[[#This Row],[Edital]],tItens[[#This Row],[Edital]],INDEX(tItens[Produto],1):tItens[[#This Row],[Produto]],tItens[[#This Row],[Produto]])=1,1,0)</f>
        <v>1</v>
      </c>
    </row>
    <row r="9175" spans="1:16" x14ac:dyDescent="0.25">
      <c r="A9175" t="s">
        <v>3122</v>
      </c>
      <c r="B9175">
        <v>114</v>
      </c>
      <c r="C9175" t="s">
        <v>11501</v>
      </c>
      <c r="D9175" t="s">
        <v>56</v>
      </c>
      <c r="E9175" s="13">
        <v>10</v>
      </c>
      <c r="F9175" s="12">
        <v>23.9</v>
      </c>
      <c r="G9175" t="str">
        <f>IFERROR(INDEX(tEditais[Órgão],MATCH(tItens[[#This Row],[Edital]],tEditais[Edital],0)),"")</f>
        <v>MUNICIPIO DE OSVALDO CRUZ</v>
      </c>
      <c r="H9175" t="str">
        <f>IFERROR(INDEX(tEditais[UF],MATCH(tItens[[#This Row],[Edital]],tEditais[Edital],0)),"")</f>
        <v>SP</v>
      </c>
      <c r="I9175" s="11">
        <f>IFERROR(INDEX(tEditais[Encerramento],MATCH(tItens[[#This Row],[Edital]],tEditais[Edital],0)),"")</f>
        <v>46311.375</v>
      </c>
      <c r="J9175" t="str">
        <f>IFERROR(INDEX(tProdutos[Classe],MATCH(tItens[[#This Row],[Produto]],tProdutos[Produto],0)),"produto não cadastrado")</f>
        <v>NÚCLEO</v>
      </c>
      <c r="K9175" s="12">
        <f>tItens[[#This Row],[Qtd]]*tItens[[#This Row],[Vlr unit]]</f>
        <v>239</v>
      </c>
      <c r="L9175" s="6">
        <f>IFERROR(IF(INDEX(tProdutos[Desconto homologado],MATCH(tItens[[#This Row],[Produto]],tProdutos[Produto],0))="",DescontoPadrao,INDEX(tProdutos[Desconto homologado],MATCH(tItens[[#This Row],[Produto]],tProdutos[Produto],0))),DescontoPadrao)</f>
        <v>0.34</v>
      </c>
      <c r="M9175" s="12">
        <f>tItens[[#This Row],[Valor]]*(1-tItens[[#This Row],[Desconto]])</f>
        <v>157.73999999999998</v>
      </c>
      <c r="N9175" t="str">
        <f>IFERROR(INDEX(tProdutos[Foco],MATCH(tItens[[#This Row],[Produto]],tProdutos[Produto],0)),"Não")</f>
        <v>Sim</v>
      </c>
      <c r="O9175" t="str">
        <f>IFERROR(INDEX(tEditais[SRP],MATCH(tItens[[#This Row],[Edital]],tEditais[Edital],0)),"Não")</f>
        <v>Sim</v>
      </c>
      <c r="P9175" s="4">
        <f>IF(COUNTIFS(INDEX(tItens[Edital],1):tItens[[#This Row],[Edital]],tItens[[#This Row],[Edital]],INDEX(tItens[Produto],1):tItens[[#This Row],[Produto]],tItens[[#This Row],[Produto]])=1,1,0)</f>
        <v>0</v>
      </c>
    </row>
    <row r="9176" spans="1:16" x14ac:dyDescent="0.25">
      <c r="A9176" t="s">
        <v>3122</v>
      </c>
      <c r="B9176">
        <v>115</v>
      </c>
      <c r="C9176" t="s">
        <v>11502</v>
      </c>
      <c r="D9176" t="s">
        <v>56</v>
      </c>
      <c r="E9176" s="13">
        <v>10</v>
      </c>
      <c r="F9176" s="12">
        <v>41.59</v>
      </c>
      <c r="G9176" t="str">
        <f>IFERROR(INDEX(tEditais[Órgão],MATCH(tItens[[#This Row],[Edital]],tEditais[Edital],0)),"")</f>
        <v>MUNICIPIO DE OSVALDO CRUZ</v>
      </c>
      <c r="H9176" t="str">
        <f>IFERROR(INDEX(tEditais[UF],MATCH(tItens[[#This Row],[Edital]],tEditais[Edital],0)),"")</f>
        <v>SP</v>
      </c>
      <c r="I9176" s="11">
        <f>IFERROR(INDEX(tEditais[Encerramento],MATCH(tItens[[#This Row],[Edital]],tEditais[Edital],0)),"")</f>
        <v>46311.375</v>
      </c>
      <c r="J9176" t="str">
        <f>IFERROR(INDEX(tProdutos[Classe],MATCH(tItens[[#This Row],[Produto]],tProdutos[Produto],0)),"produto não cadastrado")</f>
        <v>NÚCLEO</v>
      </c>
      <c r="K9176" s="12">
        <f>tItens[[#This Row],[Qtd]]*tItens[[#This Row],[Vlr unit]]</f>
        <v>415.90000000000003</v>
      </c>
      <c r="L9176" s="6">
        <f>IFERROR(IF(INDEX(tProdutos[Desconto homologado],MATCH(tItens[[#This Row],[Produto]],tProdutos[Produto],0))="",DescontoPadrao,INDEX(tProdutos[Desconto homologado],MATCH(tItens[[#This Row],[Produto]],tProdutos[Produto],0))),DescontoPadrao)</f>
        <v>0.34</v>
      </c>
      <c r="M9176" s="12">
        <f>tItens[[#This Row],[Valor]]*(1-tItens[[#This Row],[Desconto]])</f>
        <v>274.49399999999997</v>
      </c>
      <c r="N9176" t="str">
        <f>IFERROR(INDEX(tProdutos[Foco],MATCH(tItens[[#This Row],[Produto]],tProdutos[Produto],0)),"Não")</f>
        <v>Sim</v>
      </c>
      <c r="O9176" t="str">
        <f>IFERROR(INDEX(tEditais[SRP],MATCH(tItens[[#This Row],[Edital]],tEditais[Edital],0)),"Não")</f>
        <v>Sim</v>
      </c>
      <c r="P9176" s="4">
        <f>IF(COUNTIFS(INDEX(tItens[Edital],1):tItens[[#This Row],[Edital]],tItens[[#This Row],[Edital]],INDEX(tItens[Produto],1):tItens[[#This Row],[Produto]],tItens[[#This Row],[Produto]])=1,1,0)</f>
        <v>0</v>
      </c>
    </row>
    <row r="9177" spans="1:16" x14ac:dyDescent="0.25">
      <c r="A9177" t="s">
        <v>3122</v>
      </c>
      <c r="B9177">
        <v>117</v>
      </c>
      <c r="C9177" t="s">
        <v>11503</v>
      </c>
      <c r="D9177" t="s">
        <v>343</v>
      </c>
      <c r="E9177" s="13">
        <v>250</v>
      </c>
      <c r="F9177" s="12">
        <v>2.4500000000000002</v>
      </c>
      <c r="G9177" t="str">
        <f>IFERROR(INDEX(tEditais[Órgão],MATCH(tItens[[#This Row],[Edital]],tEditais[Edital],0)),"")</f>
        <v>MUNICIPIO DE OSVALDO CRUZ</v>
      </c>
      <c r="H9177" t="str">
        <f>IFERROR(INDEX(tEditais[UF],MATCH(tItens[[#This Row],[Edital]],tEditais[Edital],0)),"")</f>
        <v>SP</v>
      </c>
      <c r="I9177" s="11">
        <f>IFERROR(INDEX(tEditais[Encerramento],MATCH(tItens[[#This Row],[Edital]],tEditais[Edital],0)),"")</f>
        <v>46311.375</v>
      </c>
      <c r="J9177" t="str">
        <f>IFERROR(INDEX(tProdutos[Classe],MATCH(tItens[[#This Row],[Produto]],tProdutos[Produto],0)),"produto não cadastrado")</f>
        <v>FORA</v>
      </c>
      <c r="K9177" s="12">
        <f>tItens[[#This Row],[Qtd]]*tItens[[#This Row],[Vlr unit]]</f>
        <v>612.5</v>
      </c>
      <c r="L9177" s="6">
        <f>IFERROR(IF(INDEX(tProdutos[Desconto homologado],MATCH(tItens[[#This Row],[Produto]],tProdutos[Produto],0))="",DescontoPadrao,INDEX(tProdutos[Desconto homologado],MATCH(tItens[[#This Row],[Produto]],tProdutos[Produto],0))),DescontoPadrao)</f>
        <v>0.35412234042553198</v>
      </c>
      <c r="M9177" s="12">
        <f>tItens[[#This Row],[Valor]]*(1-tItens[[#This Row],[Desconto]])</f>
        <v>395.60006648936161</v>
      </c>
      <c r="N9177" t="str">
        <f>IFERROR(INDEX(tProdutos[Foco],MATCH(tItens[[#This Row],[Produto]],tProdutos[Produto],0)),"Não")</f>
        <v>Não</v>
      </c>
      <c r="O9177" t="str">
        <f>IFERROR(INDEX(tEditais[SRP],MATCH(tItens[[#This Row],[Edital]],tEditais[Edital],0)),"Não")</f>
        <v>Sim</v>
      </c>
      <c r="P9177" s="4">
        <f>IF(COUNTIFS(INDEX(tItens[Edital],1):tItens[[#This Row],[Edital]],tItens[[#This Row],[Edital]],INDEX(tItens[Produto],1):tItens[[#This Row],[Produto]],tItens[[#This Row],[Produto]])=1,1,0)</f>
        <v>1</v>
      </c>
    </row>
    <row r="9178" spans="1:16" x14ac:dyDescent="0.25">
      <c r="A9178" t="s">
        <v>3122</v>
      </c>
      <c r="B9178">
        <v>118</v>
      </c>
      <c r="C9178" t="s">
        <v>11504</v>
      </c>
      <c r="D9178" t="s">
        <v>343</v>
      </c>
      <c r="E9178" s="13">
        <v>250</v>
      </c>
      <c r="F9178" s="12">
        <v>2.1800000000000002</v>
      </c>
      <c r="G9178" t="str">
        <f>IFERROR(INDEX(tEditais[Órgão],MATCH(tItens[[#This Row],[Edital]],tEditais[Edital],0)),"")</f>
        <v>MUNICIPIO DE OSVALDO CRUZ</v>
      </c>
      <c r="H9178" t="str">
        <f>IFERROR(INDEX(tEditais[UF],MATCH(tItens[[#This Row],[Edital]],tEditais[Edital],0)),"")</f>
        <v>SP</v>
      </c>
      <c r="I9178" s="11">
        <f>IFERROR(INDEX(tEditais[Encerramento],MATCH(tItens[[#This Row],[Edital]],tEditais[Edital],0)),"")</f>
        <v>46311.375</v>
      </c>
      <c r="J9178" t="str">
        <f>IFERROR(INDEX(tProdutos[Classe],MATCH(tItens[[#This Row],[Produto]],tProdutos[Produto],0)),"produto não cadastrado")</f>
        <v>FORA</v>
      </c>
      <c r="K9178" s="12">
        <f>tItens[[#This Row],[Qtd]]*tItens[[#This Row],[Vlr unit]]</f>
        <v>545</v>
      </c>
      <c r="L9178" s="6">
        <f>IFERROR(IF(INDEX(tProdutos[Desconto homologado],MATCH(tItens[[#This Row],[Produto]],tProdutos[Produto],0))="",DescontoPadrao,INDEX(tProdutos[Desconto homologado],MATCH(tItens[[#This Row],[Produto]],tProdutos[Produto],0))),DescontoPadrao)</f>
        <v>0.35412234042553198</v>
      </c>
      <c r="M9178" s="12">
        <f>tItens[[#This Row],[Valor]]*(1-tItens[[#This Row],[Desconto]])</f>
        <v>352.00332446808505</v>
      </c>
      <c r="N9178" t="str">
        <f>IFERROR(INDEX(tProdutos[Foco],MATCH(tItens[[#This Row],[Produto]],tProdutos[Produto],0)),"Não")</f>
        <v>Não</v>
      </c>
      <c r="O9178" t="str">
        <f>IFERROR(INDEX(tEditais[SRP],MATCH(tItens[[#This Row],[Edital]],tEditais[Edital],0)),"Não")</f>
        <v>Sim</v>
      </c>
      <c r="P9178" s="4">
        <f>IF(COUNTIFS(INDEX(tItens[Edital],1):tItens[[#This Row],[Edital]],tItens[[#This Row],[Edital]],INDEX(tItens[Produto],1):tItens[[#This Row],[Produto]],tItens[[#This Row],[Produto]])=1,1,0)</f>
        <v>0</v>
      </c>
    </row>
    <row r="9179" spans="1:16" x14ac:dyDescent="0.25">
      <c r="A9179" t="s">
        <v>3122</v>
      </c>
      <c r="B9179">
        <v>119</v>
      </c>
      <c r="C9179" t="s">
        <v>11505</v>
      </c>
      <c r="D9179" t="s">
        <v>343</v>
      </c>
      <c r="E9179" s="13">
        <v>350</v>
      </c>
      <c r="F9179" s="12">
        <v>2.16</v>
      </c>
      <c r="G9179" t="str">
        <f>IFERROR(INDEX(tEditais[Órgão],MATCH(tItens[[#This Row],[Edital]],tEditais[Edital],0)),"")</f>
        <v>MUNICIPIO DE OSVALDO CRUZ</v>
      </c>
      <c r="H9179" t="str">
        <f>IFERROR(INDEX(tEditais[UF],MATCH(tItens[[#This Row],[Edital]],tEditais[Edital],0)),"")</f>
        <v>SP</v>
      </c>
      <c r="I9179" s="11">
        <f>IFERROR(INDEX(tEditais[Encerramento],MATCH(tItens[[#This Row],[Edital]],tEditais[Edital],0)),"")</f>
        <v>46311.375</v>
      </c>
      <c r="J9179" t="str">
        <f>IFERROR(INDEX(tProdutos[Classe],MATCH(tItens[[#This Row],[Produto]],tProdutos[Produto],0)),"produto não cadastrado")</f>
        <v>FORA</v>
      </c>
      <c r="K9179" s="12">
        <f>tItens[[#This Row],[Qtd]]*tItens[[#This Row],[Vlr unit]]</f>
        <v>756</v>
      </c>
      <c r="L9179" s="6">
        <f>IFERROR(IF(INDEX(tProdutos[Desconto homologado],MATCH(tItens[[#This Row],[Produto]],tProdutos[Produto],0))="",DescontoPadrao,INDEX(tProdutos[Desconto homologado],MATCH(tItens[[#This Row],[Produto]],tProdutos[Produto],0))),DescontoPadrao)</f>
        <v>0.35412234042553198</v>
      </c>
      <c r="M9179" s="12">
        <f>tItens[[#This Row],[Valor]]*(1-tItens[[#This Row],[Desconto]])</f>
        <v>488.2835106382978</v>
      </c>
      <c r="N9179" t="str">
        <f>IFERROR(INDEX(tProdutos[Foco],MATCH(tItens[[#This Row],[Produto]],tProdutos[Produto],0)),"Não")</f>
        <v>Não</v>
      </c>
      <c r="O9179" t="str">
        <f>IFERROR(INDEX(tEditais[SRP],MATCH(tItens[[#This Row],[Edital]],tEditais[Edital],0)),"Não")</f>
        <v>Sim</v>
      </c>
      <c r="P9179" s="4">
        <f>IF(COUNTIFS(INDEX(tItens[Edital],1):tItens[[#This Row],[Edital]],tItens[[#This Row],[Edital]],INDEX(tItens[Produto],1):tItens[[#This Row],[Produto]],tItens[[#This Row],[Produto]])=1,1,0)</f>
        <v>0</v>
      </c>
    </row>
    <row r="9180" spans="1:16" x14ac:dyDescent="0.25">
      <c r="A9180" t="s">
        <v>3122</v>
      </c>
      <c r="B9180">
        <v>120</v>
      </c>
      <c r="C9180" t="s">
        <v>11506</v>
      </c>
      <c r="D9180" t="s">
        <v>343</v>
      </c>
      <c r="E9180" s="13">
        <v>350</v>
      </c>
      <c r="F9180" s="12">
        <v>3.76</v>
      </c>
      <c r="G9180" t="str">
        <f>IFERROR(INDEX(tEditais[Órgão],MATCH(tItens[[#This Row],[Edital]],tEditais[Edital],0)),"")</f>
        <v>MUNICIPIO DE OSVALDO CRUZ</v>
      </c>
      <c r="H9180" t="str">
        <f>IFERROR(INDEX(tEditais[UF],MATCH(tItens[[#This Row],[Edital]],tEditais[Edital],0)),"")</f>
        <v>SP</v>
      </c>
      <c r="I9180" s="11">
        <f>IFERROR(INDEX(tEditais[Encerramento],MATCH(tItens[[#This Row],[Edital]],tEditais[Edital],0)),"")</f>
        <v>46311.375</v>
      </c>
      <c r="J9180" t="str">
        <f>IFERROR(INDEX(tProdutos[Classe],MATCH(tItens[[#This Row],[Produto]],tProdutos[Produto],0)),"produto não cadastrado")</f>
        <v>FORA</v>
      </c>
      <c r="K9180" s="12">
        <f>tItens[[#This Row],[Qtd]]*tItens[[#This Row],[Vlr unit]]</f>
        <v>1316</v>
      </c>
      <c r="L9180" s="6">
        <f>IFERROR(IF(INDEX(tProdutos[Desconto homologado],MATCH(tItens[[#This Row],[Produto]],tProdutos[Produto],0))="",DescontoPadrao,INDEX(tProdutos[Desconto homologado],MATCH(tItens[[#This Row],[Produto]],tProdutos[Produto],0))),DescontoPadrao)</f>
        <v>0.35412234042553198</v>
      </c>
      <c r="M9180" s="12">
        <f>tItens[[#This Row],[Valor]]*(1-tItens[[#This Row],[Desconto]])</f>
        <v>849.9749999999998</v>
      </c>
      <c r="N9180" t="str">
        <f>IFERROR(INDEX(tProdutos[Foco],MATCH(tItens[[#This Row],[Produto]],tProdutos[Produto],0)),"Não")</f>
        <v>Não</v>
      </c>
      <c r="O9180" t="str">
        <f>IFERROR(INDEX(tEditais[SRP],MATCH(tItens[[#This Row],[Edital]],tEditais[Edital],0)),"Não")</f>
        <v>Sim</v>
      </c>
      <c r="P9180" s="4">
        <f>IF(COUNTIFS(INDEX(tItens[Edital],1):tItens[[#This Row],[Edital]],tItens[[#This Row],[Edital]],INDEX(tItens[Produto],1):tItens[[#This Row],[Produto]],tItens[[#This Row],[Produto]])=1,1,0)</f>
        <v>0</v>
      </c>
    </row>
    <row r="9181" spans="1:16" x14ac:dyDescent="0.25">
      <c r="A9181" t="s">
        <v>3122</v>
      </c>
      <c r="B9181">
        <v>121</v>
      </c>
      <c r="C9181" t="s">
        <v>11507</v>
      </c>
      <c r="D9181" t="s">
        <v>343</v>
      </c>
      <c r="E9181" s="13">
        <v>200</v>
      </c>
      <c r="F9181" s="12">
        <v>3.14</v>
      </c>
      <c r="G9181" t="str">
        <f>IFERROR(INDEX(tEditais[Órgão],MATCH(tItens[[#This Row],[Edital]],tEditais[Edital],0)),"")</f>
        <v>MUNICIPIO DE OSVALDO CRUZ</v>
      </c>
      <c r="H9181" t="str">
        <f>IFERROR(INDEX(tEditais[UF],MATCH(tItens[[#This Row],[Edital]],tEditais[Edital],0)),"")</f>
        <v>SP</v>
      </c>
      <c r="I9181" s="11">
        <f>IFERROR(INDEX(tEditais[Encerramento],MATCH(tItens[[#This Row],[Edital]],tEditais[Edital],0)),"")</f>
        <v>46311.375</v>
      </c>
      <c r="J9181" t="str">
        <f>IFERROR(INDEX(tProdutos[Classe],MATCH(tItens[[#This Row],[Produto]],tProdutos[Produto],0)),"produto não cadastrado")</f>
        <v>FORA</v>
      </c>
      <c r="K9181" s="12">
        <f>tItens[[#This Row],[Qtd]]*tItens[[#This Row],[Vlr unit]]</f>
        <v>628</v>
      </c>
      <c r="L9181" s="6">
        <f>IFERROR(IF(INDEX(tProdutos[Desconto homologado],MATCH(tItens[[#This Row],[Produto]],tProdutos[Produto],0))="",DescontoPadrao,INDEX(tProdutos[Desconto homologado],MATCH(tItens[[#This Row],[Produto]],tProdutos[Produto],0))),DescontoPadrao)</f>
        <v>0.35412234042553198</v>
      </c>
      <c r="M9181" s="12">
        <f>tItens[[#This Row],[Valor]]*(1-tItens[[#This Row],[Desconto]])</f>
        <v>405.6111702127659</v>
      </c>
      <c r="N9181" t="str">
        <f>IFERROR(INDEX(tProdutos[Foco],MATCH(tItens[[#This Row],[Produto]],tProdutos[Produto],0)),"Não")</f>
        <v>Não</v>
      </c>
      <c r="O9181" t="str">
        <f>IFERROR(INDEX(tEditais[SRP],MATCH(tItens[[#This Row],[Edital]],tEditais[Edital],0)),"Não")</f>
        <v>Sim</v>
      </c>
      <c r="P9181" s="4">
        <f>IF(COUNTIFS(INDEX(tItens[Edital],1):tItens[[#This Row],[Edital]],tItens[[#This Row],[Edital]],INDEX(tItens[Produto],1):tItens[[#This Row],[Produto]],tItens[[#This Row],[Produto]])=1,1,0)</f>
        <v>0</v>
      </c>
    </row>
    <row r="9182" spans="1:16" x14ac:dyDescent="0.25">
      <c r="A9182" t="s">
        <v>3122</v>
      </c>
      <c r="B9182">
        <v>134</v>
      </c>
      <c r="C9182" t="s">
        <v>11508</v>
      </c>
      <c r="D9182" t="s">
        <v>494</v>
      </c>
      <c r="E9182" s="13">
        <v>20</v>
      </c>
      <c r="F9182" s="12">
        <v>33.46</v>
      </c>
      <c r="G9182" t="str">
        <f>IFERROR(INDEX(tEditais[Órgão],MATCH(tItens[[#This Row],[Edital]],tEditais[Edital],0)),"")</f>
        <v>MUNICIPIO DE OSVALDO CRUZ</v>
      </c>
      <c r="H9182" t="str">
        <f>IFERROR(INDEX(tEditais[UF],MATCH(tItens[[#This Row],[Edital]],tEditais[Edital],0)),"")</f>
        <v>SP</v>
      </c>
      <c r="I9182" s="11">
        <f>IFERROR(INDEX(tEditais[Encerramento],MATCH(tItens[[#This Row],[Edital]],tEditais[Edital],0)),"")</f>
        <v>46311.375</v>
      </c>
      <c r="J9182" t="str">
        <f>IFERROR(INDEX(tProdutos[Classe],MATCH(tItens[[#This Row],[Produto]],tProdutos[Produto],0)),"produto não cadastrado")</f>
        <v>FILA REBASE</v>
      </c>
      <c r="K9182" s="12">
        <f>tItens[[#This Row],[Qtd]]*tItens[[#This Row],[Vlr unit]]</f>
        <v>669.2</v>
      </c>
      <c r="L9182" s="6">
        <f>IFERROR(IF(INDEX(tProdutos[Desconto homologado],MATCH(tItens[[#This Row],[Produto]],tProdutos[Produto],0))="",DescontoPadrao,INDEX(tProdutos[Desconto homologado],MATCH(tItens[[#This Row],[Produto]],tProdutos[Produto],0))),DescontoPadrao)</f>
        <v>0.253736324829619</v>
      </c>
      <c r="M9182" s="12">
        <f>tItens[[#This Row],[Valor]]*(1-tItens[[#This Row],[Desconto]])</f>
        <v>499.39965142401905</v>
      </c>
      <c r="N9182" t="str">
        <f>IFERROR(INDEX(tProdutos[Foco],MATCH(tItens[[#This Row],[Produto]],tProdutos[Produto],0)),"Não")</f>
        <v>Não</v>
      </c>
      <c r="O9182" t="str">
        <f>IFERROR(INDEX(tEditais[SRP],MATCH(tItens[[#This Row],[Edital]],tEditais[Edital],0)),"Não")</f>
        <v>Sim</v>
      </c>
      <c r="P9182" s="4">
        <f>IF(COUNTIFS(INDEX(tItens[Edital],1):tItens[[#This Row],[Edital]],tItens[[#This Row],[Edital]],INDEX(tItens[Produto],1):tItens[[#This Row],[Produto]],tItens[[#This Row],[Produto]])=1,1,0)</f>
        <v>1</v>
      </c>
    </row>
    <row r="9183" spans="1:16" x14ac:dyDescent="0.25">
      <c r="A9183" t="s">
        <v>3122</v>
      </c>
      <c r="B9183">
        <v>135</v>
      </c>
      <c r="C9183" t="s">
        <v>11509</v>
      </c>
      <c r="D9183" t="s">
        <v>494</v>
      </c>
      <c r="E9183" s="13">
        <v>20</v>
      </c>
      <c r="F9183" s="12">
        <v>51.52</v>
      </c>
      <c r="G9183" t="str">
        <f>IFERROR(INDEX(tEditais[Órgão],MATCH(tItens[[#This Row],[Edital]],tEditais[Edital],0)),"")</f>
        <v>MUNICIPIO DE OSVALDO CRUZ</v>
      </c>
      <c r="H9183" t="str">
        <f>IFERROR(INDEX(tEditais[UF],MATCH(tItens[[#This Row],[Edital]],tEditais[Edital],0)),"")</f>
        <v>SP</v>
      </c>
      <c r="I9183" s="11">
        <f>IFERROR(INDEX(tEditais[Encerramento],MATCH(tItens[[#This Row],[Edital]],tEditais[Edital],0)),"")</f>
        <v>46311.375</v>
      </c>
      <c r="J9183" t="str">
        <f>IFERROR(INDEX(tProdutos[Classe],MATCH(tItens[[#This Row],[Produto]],tProdutos[Produto],0)),"produto não cadastrado")</f>
        <v>FILA REBASE</v>
      </c>
      <c r="K9183" s="12">
        <f>tItens[[#This Row],[Qtd]]*tItens[[#This Row],[Vlr unit]]</f>
        <v>1030.4000000000001</v>
      </c>
      <c r="L9183" s="6">
        <f>IFERROR(IF(INDEX(tProdutos[Desconto homologado],MATCH(tItens[[#This Row],[Produto]],tProdutos[Produto],0))="",DescontoPadrao,INDEX(tProdutos[Desconto homologado],MATCH(tItens[[#This Row],[Produto]],tProdutos[Produto],0))),DescontoPadrao)</f>
        <v>0.253736324829619</v>
      </c>
      <c r="M9183" s="12">
        <f>tItens[[#This Row],[Valor]]*(1-tItens[[#This Row],[Desconto]])</f>
        <v>768.95009089556072</v>
      </c>
      <c r="N9183" t="str">
        <f>IFERROR(INDEX(tProdutos[Foco],MATCH(tItens[[#This Row],[Produto]],tProdutos[Produto],0)),"Não")</f>
        <v>Não</v>
      </c>
      <c r="O9183" t="str">
        <f>IFERROR(INDEX(tEditais[SRP],MATCH(tItens[[#This Row],[Edital]],tEditais[Edital],0)),"Não")</f>
        <v>Sim</v>
      </c>
      <c r="P9183" s="4">
        <f>IF(COUNTIFS(INDEX(tItens[Edital],1):tItens[[#This Row],[Edital]],tItens[[#This Row],[Edital]],INDEX(tItens[Produto],1):tItens[[#This Row],[Produto]],tItens[[#This Row],[Produto]])=1,1,0)</f>
        <v>0</v>
      </c>
    </row>
    <row r="9184" spans="1:16" x14ac:dyDescent="0.25">
      <c r="A9184" t="s">
        <v>3122</v>
      </c>
      <c r="B9184">
        <v>136</v>
      </c>
      <c r="C9184" t="s">
        <v>11510</v>
      </c>
      <c r="D9184" t="s">
        <v>494</v>
      </c>
      <c r="E9184" s="13">
        <v>20</v>
      </c>
      <c r="F9184" s="12">
        <v>104.1</v>
      </c>
      <c r="G9184" t="str">
        <f>IFERROR(INDEX(tEditais[Órgão],MATCH(tItens[[#This Row],[Edital]],tEditais[Edital],0)),"")</f>
        <v>MUNICIPIO DE OSVALDO CRUZ</v>
      </c>
      <c r="H9184" t="str">
        <f>IFERROR(INDEX(tEditais[UF],MATCH(tItens[[#This Row],[Edital]],tEditais[Edital],0)),"")</f>
        <v>SP</v>
      </c>
      <c r="I9184" s="11">
        <f>IFERROR(INDEX(tEditais[Encerramento],MATCH(tItens[[#This Row],[Edital]],tEditais[Edital],0)),"")</f>
        <v>46311.375</v>
      </c>
      <c r="J9184" t="str">
        <f>IFERROR(INDEX(tProdutos[Classe],MATCH(tItens[[#This Row],[Produto]],tProdutos[Produto],0)),"produto não cadastrado")</f>
        <v>FILA REBASE</v>
      </c>
      <c r="K9184" s="12">
        <f>tItens[[#This Row],[Qtd]]*tItens[[#This Row],[Vlr unit]]</f>
        <v>2082</v>
      </c>
      <c r="L9184" s="6">
        <f>IFERROR(IF(INDEX(tProdutos[Desconto homologado],MATCH(tItens[[#This Row],[Produto]],tProdutos[Produto],0))="",DescontoPadrao,INDEX(tProdutos[Desconto homologado],MATCH(tItens[[#This Row],[Produto]],tProdutos[Produto],0))),DescontoPadrao)</f>
        <v>0.253736324829619</v>
      </c>
      <c r="M9184" s="12">
        <f>tItens[[#This Row],[Valor]]*(1-tItens[[#This Row],[Desconto]])</f>
        <v>1553.7209717047333</v>
      </c>
      <c r="N9184" t="str">
        <f>IFERROR(INDEX(tProdutos[Foco],MATCH(tItens[[#This Row],[Produto]],tProdutos[Produto],0)),"Não")</f>
        <v>Não</v>
      </c>
      <c r="O9184" t="str">
        <f>IFERROR(INDEX(tEditais[SRP],MATCH(tItens[[#This Row],[Edital]],tEditais[Edital],0)),"Não")</f>
        <v>Sim</v>
      </c>
      <c r="P9184" s="4">
        <f>IF(COUNTIFS(INDEX(tItens[Edital],1):tItens[[#This Row],[Edital]],tItens[[#This Row],[Edital]],INDEX(tItens[Produto],1):tItens[[#This Row],[Produto]],tItens[[#This Row],[Produto]])=1,1,0)</f>
        <v>0</v>
      </c>
    </row>
    <row r="9185" spans="1:16" x14ac:dyDescent="0.25">
      <c r="A9185" t="s">
        <v>3122</v>
      </c>
      <c r="B9185">
        <v>137</v>
      </c>
      <c r="C9185" t="s">
        <v>11511</v>
      </c>
      <c r="D9185" t="s">
        <v>267</v>
      </c>
      <c r="E9185" s="13">
        <v>1200</v>
      </c>
      <c r="F9185" s="12">
        <v>23.26</v>
      </c>
      <c r="G9185" t="str">
        <f>IFERROR(INDEX(tEditais[Órgão],MATCH(tItens[[#This Row],[Edital]],tEditais[Edital],0)),"")</f>
        <v>MUNICIPIO DE OSVALDO CRUZ</v>
      </c>
      <c r="H9185" t="str">
        <f>IFERROR(INDEX(tEditais[UF],MATCH(tItens[[#This Row],[Edital]],tEditais[Edital],0)),"")</f>
        <v>SP</v>
      </c>
      <c r="I9185" s="11">
        <f>IFERROR(INDEX(tEditais[Encerramento],MATCH(tItens[[#This Row],[Edital]],tEditais[Edital],0)),"")</f>
        <v>46311.375</v>
      </c>
      <c r="J9185" t="str">
        <f>IFERROR(INDEX(tProdutos[Classe],MATCH(tItens[[#This Row],[Produto]],tProdutos[Produto],0)),"produto não cadastrado")</f>
        <v>FORA</v>
      </c>
      <c r="K9185" s="12">
        <f>tItens[[#This Row],[Qtd]]*tItens[[#This Row],[Vlr unit]]</f>
        <v>27912.000000000004</v>
      </c>
      <c r="L9185" s="6">
        <f>IFERROR(IF(INDEX(tProdutos[Desconto homologado],MATCH(tItens[[#This Row],[Produto]],tProdutos[Produto],0))="",DescontoPadrao,INDEX(tProdutos[Desconto homologado],MATCH(tItens[[#This Row],[Produto]],tProdutos[Produto],0))),DescontoPadrao)</f>
        <v>0.19963672657401599</v>
      </c>
      <c r="M9185" s="12">
        <f>tItens[[#This Row],[Valor]]*(1-tItens[[#This Row],[Desconto]])</f>
        <v>22339.739687866069</v>
      </c>
      <c r="N9185" t="str">
        <f>IFERROR(INDEX(tProdutos[Foco],MATCH(tItens[[#This Row],[Produto]],tProdutos[Produto],0)),"Não")</f>
        <v>Não</v>
      </c>
      <c r="O9185" t="str">
        <f>IFERROR(INDEX(tEditais[SRP],MATCH(tItens[[#This Row],[Edital]],tEditais[Edital],0)),"Não")</f>
        <v>Sim</v>
      </c>
      <c r="P9185" s="4">
        <f>IF(COUNTIFS(INDEX(tItens[Edital],1):tItens[[#This Row],[Edital]],tItens[[#This Row],[Edital]],INDEX(tItens[Produto],1):tItens[[#This Row],[Produto]],tItens[[#This Row],[Produto]])=1,1,0)</f>
        <v>1</v>
      </c>
    </row>
    <row r="9186" spans="1:16" x14ac:dyDescent="0.25">
      <c r="A9186" t="s">
        <v>3122</v>
      </c>
      <c r="B9186">
        <v>147</v>
      </c>
      <c r="C9186" t="s">
        <v>11512</v>
      </c>
      <c r="D9186" t="s">
        <v>281</v>
      </c>
      <c r="E9186" s="13">
        <v>10900</v>
      </c>
      <c r="F9186" s="12">
        <v>0.23</v>
      </c>
      <c r="G9186" t="str">
        <f>IFERROR(INDEX(tEditais[Órgão],MATCH(tItens[[#This Row],[Edital]],tEditais[Edital],0)),"")</f>
        <v>MUNICIPIO DE OSVALDO CRUZ</v>
      </c>
      <c r="H9186" t="str">
        <f>IFERROR(INDEX(tEditais[UF],MATCH(tItens[[#This Row],[Edital]],tEditais[Edital],0)),"")</f>
        <v>SP</v>
      </c>
      <c r="I9186" s="11">
        <f>IFERROR(INDEX(tEditais[Encerramento],MATCH(tItens[[#This Row],[Edital]],tEditais[Edital],0)),"")</f>
        <v>46311.375</v>
      </c>
      <c r="J9186" t="str">
        <f>IFERROR(INDEX(tProdutos[Classe],MATCH(tItens[[#This Row],[Produto]],tProdutos[Produto],0)),"produto não cadastrado")</f>
        <v>DISPUTADO</v>
      </c>
      <c r="K9186" s="12">
        <f>tItens[[#This Row],[Qtd]]*tItens[[#This Row],[Vlr unit]]</f>
        <v>2507</v>
      </c>
      <c r="L9186" s="6">
        <f>IFERROR(IF(INDEX(tProdutos[Desconto homologado],MATCH(tItens[[#This Row],[Produto]],tProdutos[Produto],0))="",DescontoPadrao,INDEX(tProdutos[Desconto homologado],MATCH(tItens[[#This Row],[Produto]],tProdutos[Produto],0))),DescontoPadrao)</f>
        <v>0.42461538461538501</v>
      </c>
      <c r="M9186" s="12">
        <f>tItens[[#This Row],[Valor]]*(1-tItens[[#This Row],[Desconto]])</f>
        <v>1442.4892307692296</v>
      </c>
      <c r="N9186" t="str">
        <f>IFERROR(INDEX(tProdutos[Foco],MATCH(tItens[[#This Row],[Produto]],tProdutos[Produto],0)),"Não")</f>
        <v>Não</v>
      </c>
      <c r="O9186" t="str">
        <f>IFERROR(INDEX(tEditais[SRP],MATCH(tItens[[#This Row],[Edital]],tEditais[Edital],0)),"Não")</f>
        <v>Sim</v>
      </c>
      <c r="P9186" s="4">
        <f>IF(COUNTIFS(INDEX(tItens[Edital],1):tItens[[#This Row],[Edital]],tItens[[#This Row],[Edital]],INDEX(tItens[Produto],1):tItens[[#This Row],[Produto]],tItens[[#This Row],[Produto]])=1,1,0)</f>
        <v>1</v>
      </c>
    </row>
    <row r="9187" spans="1:16" x14ac:dyDescent="0.25">
      <c r="A9187" t="s">
        <v>3122</v>
      </c>
      <c r="B9187">
        <v>148</v>
      </c>
      <c r="C9187" t="s">
        <v>11513</v>
      </c>
      <c r="D9187" t="s">
        <v>289</v>
      </c>
      <c r="E9187" s="13">
        <v>2900</v>
      </c>
      <c r="F9187" s="12">
        <v>0.34</v>
      </c>
      <c r="G9187" t="str">
        <f>IFERROR(INDEX(tEditais[Órgão],MATCH(tItens[[#This Row],[Edital]],tEditais[Edital],0)),"")</f>
        <v>MUNICIPIO DE OSVALDO CRUZ</v>
      </c>
      <c r="H9187" t="str">
        <f>IFERROR(INDEX(tEditais[UF],MATCH(tItens[[#This Row],[Edital]],tEditais[Edital],0)),"")</f>
        <v>SP</v>
      </c>
      <c r="I9187" s="11">
        <f>IFERROR(INDEX(tEditais[Encerramento],MATCH(tItens[[#This Row],[Edital]],tEditais[Edital],0)),"")</f>
        <v>46311.375</v>
      </c>
      <c r="J9187" t="str">
        <f>IFERROR(INDEX(tProdutos[Classe],MATCH(tItens[[#This Row],[Produto]],tProdutos[Produto],0)),"produto não cadastrado")</f>
        <v>DISPUTADO</v>
      </c>
      <c r="K9187" s="12">
        <f>tItens[[#This Row],[Qtd]]*tItens[[#This Row],[Vlr unit]]</f>
        <v>986.00000000000011</v>
      </c>
      <c r="L9187" s="6">
        <f>IFERROR(IF(INDEX(tProdutos[Desconto homologado],MATCH(tItens[[#This Row],[Produto]],tProdutos[Produto],0))="",DescontoPadrao,INDEX(tProdutos[Desconto homologado],MATCH(tItens[[#This Row],[Produto]],tProdutos[Produto],0))),DescontoPadrao)</f>
        <v>0.35849056603773599</v>
      </c>
      <c r="M9187" s="12">
        <f>tItens[[#This Row],[Valor]]*(1-tItens[[#This Row],[Desconto]])</f>
        <v>632.52830188679241</v>
      </c>
      <c r="N9187" t="str">
        <f>IFERROR(INDEX(tProdutos[Foco],MATCH(tItens[[#This Row],[Produto]],tProdutos[Produto],0)),"Não")</f>
        <v>Não</v>
      </c>
      <c r="O9187" t="str">
        <f>IFERROR(INDEX(tEditais[SRP],MATCH(tItens[[#This Row],[Edital]],tEditais[Edital],0)),"Não")</f>
        <v>Sim</v>
      </c>
      <c r="P9187" s="4">
        <f>IF(COUNTIFS(INDEX(tItens[Edital],1):tItens[[#This Row],[Edital]],tItens[[#This Row],[Edital]],INDEX(tItens[Produto],1):tItens[[#This Row],[Produto]],tItens[[#This Row],[Produto]])=1,1,0)</f>
        <v>1</v>
      </c>
    </row>
    <row r="9188" spans="1:16" x14ac:dyDescent="0.25">
      <c r="A9188" t="s">
        <v>3122</v>
      </c>
      <c r="B9188">
        <v>149</v>
      </c>
      <c r="C9188" t="s">
        <v>11514</v>
      </c>
      <c r="D9188" t="s">
        <v>283</v>
      </c>
      <c r="E9188" s="13">
        <v>9000</v>
      </c>
      <c r="F9188" s="12">
        <v>0.23</v>
      </c>
      <c r="G9188" t="str">
        <f>IFERROR(INDEX(tEditais[Órgão],MATCH(tItens[[#This Row],[Edital]],tEditais[Edital],0)),"")</f>
        <v>MUNICIPIO DE OSVALDO CRUZ</v>
      </c>
      <c r="H9188" t="str">
        <f>IFERROR(INDEX(tEditais[UF],MATCH(tItens[[#This Row],[Edital]],tEditais[Edital],0)),"")</f>
        <v>SP</v>
      </c>
      <c r="I9188" s="11">
        <f>IFERROR(INDEX(tEditais[Encerramento],MATCH(tItens[[#This Row],[Edital]],tEditais[Edital],0)),"")</f>
        <v>46311.375</v>
      </c>
      <c r="J9188" t="str">
        <f>IFERROR(INDEX(tProdutos[Classe],MATCH(tItens[[#This Row],[Produto]],tProdutos[Produto],0)),"produto não cadastrado")</f>
        <v>FORA</v>
      </c>
      <c r="K9188" s="12">
        <f>tItens[[#This Row],[Qtd]]*tItens[[#This Row],[Vlr unit]]</f>
        <v>2070</v>
      </c>
      <c r="L9188" s="6">
        <f>IFERROR(IF(INDEX(tProdutos[Desconto homologado],MATCH(tItens[[#This Row],[Produto]],tProdutos[Produto],0))="",DescontoPadrao,INDEX(tProdutos[Desconto homologado],MATCH(tItens[[#This Row],[Produto]],tProdutos[Produto],0))),DescontoPadrao)</f>
        <v>0.40540540540540498</v>
      </c>
      <c r="M9188" s="12">
        <f>tItens[[#This Row],[Valor]]*(1-tItens[[#This Row],[Desconto]])</f>
        <v>1230.8108108108115</v>
      </c>
      <c r="N9188" t="str">
        <f>IFERROR(INDEX(tProdutos[Foco],MATCH(tItens[[#This Row],[Produto]],tProdutos[Produto],0)),"Não")</f>
        <v>Não</v>
      </c>
      <c r="O9188" t="str">
        <f>IFERROR(INDEX(tEditais[SRP],MATCH(tItens[[#This Row],[Edital]],tEditais[Edital],0)),"Não")</f>
        <v>Sim</v>
      </c>
      <c r="P9188" s="4">
        <f>IF(COUNTIFS(INDEX(tItens[Edital],1):tItens[[#This Row],[Edital]],tItens[[#This Row],[Edital]],INDEX(tItens[Produto],1):tItens[[#This Row],[Produto]],tItens[[#This Row],[Produto]])=1,1,0)</f>
        <v>1</v>
      </c>
    </row>
    <row r="9189" spans="1:16" x14ac:dyDescent="0.25">
      <c r="A9189" t="s">
        <v>3122</v>
      </c>
      <c r="B9189">
        <v>150</v>
      </c>
      <c r="C9189" t="s">
        <v>11515</v>
      </c>
      <c r="D9189" t="s">
        <v>265</v>
      </c>
      <c r="E9189" s="13">
        <v>6500</v>
      </c>
      <c r="F9189" s="12">
        <v>1.19</v>
      </c>
      <c r="G9189" t="str">
        <f>IFERROR(INDEX(tEditais[Órgão],MATCH(tItens[[#This Row],[Edital]],tEditais[Edital],0)),"")</f>
        <v>MUNICIPIO DE OSVALDO CRUZ</v>
      </c>
      <c r="H9189" t="str">
        <f>IFERROR(INDEX(tEditais[UF],MATCH(tItens[[#This Row],[Edital]],tEditais[Edital],0)),"")</f>
        <v>SP</v>
      </c>
      <c r="I9189" s="11">
        <f>IFERROR(INDEX(tEditais[Encerramento],MATCH(tItens[[#This Row],[Edital]],tEditais[Edital],0)),"")</f>
        <v>46311.375</v>
      </c>
      <c r="J9189" t="str">
        <f>IFERROR(INDEX(tProdutos[Classe],MATCH(tItens[[#This Row],[Produto]],tProdutos[Produto],0)),"produto não cadastrado")</f>
        <v>DISPUTADO</v>
      </c>
      <c r="K9189" s="12">
        <f>tItens[[#This Row],[Qtd]]*tItens[[#This Row],[Vlr unit]]</f>
        <v>7735</v>
      </c>
      <c r="L9189" s="6">
        <f>IFERROR(IF(INDEX(tProdutos[Desconto homologado],MATCH(tItens[[#This Row],[Produto]],tProdutos[Produto],0))="",DescontoPadrao,INDEX(tProdutos[Desconto homologado],MATCH(tItens[[#This Row],[Produto]],tProdutos[Produto],0))),DescontoPadrao)</f>
        <v>0.377587663709337</v>
      </c>
      <c r="M9189" s="12">
        <f>tItens[[#This Row],[Valor]]*(1-tItens[[#This Row],[Desconto]])</f>
        <v>4814.3594212082789</v>
      </c>
      <c r="N9189" t="str">
        <f>IFERROR(INDEX(tProdutos[Foco],MATCH(tItens[[#This Row],[Produto]],tProdutos[Produto],0)),"Não")</f>
        <v>Não</v>
      </c>
      <c r="O9189" t="str">
        <f>IFERROR(INDEX(tEditais[SRP],MATCH(tItens[[#This Row],[Edital]],tEditais[Edital],0)),"Não")</f>
        <v>Sim</v>
      </c>
      <c r="P9189" s="4">
        <f>IF(COUNTIFS(INDEX(tItens[Edital],1):tItens[[#This Row],[Edital]],tItens[[#This Row],[Edital]],INDEX(tItens[Produto],1):tItens[[#This Row],[Produto]],tItens[[#This Row],[Produto]])=1,1,0)</f>
        <v>1</v>
      </c>
    </row>
    <row r="9190" spans="1:16" x14ac:dyDescent="0.25">
      <c r="A9190" t="s">
        <v>3122</v>
      </c>
      <c r="B9190">
        <v>156</v>
      </c>
      <c r="C9190" t="s">
        <v>11516</v>
      </c>
      <c r="D9190" t="s">
        <v>184</v>
      </c>
      <c r="E9190" s="13">
        <v>50</v>
      </c>
      <c r="F9190" s="12">
        <v>4.58</v>
      </c>
      <c r="G9190" t="str">
        <f>IFERROR(INDEX(tEditais[Órgão],MATCH(tItens[[#This Row],[Edital]],tEditais[Edital],0)),"")</f>
        <v>MUNICIPIO DE OSVALDO CRUZ</v>
      </c>
      <c r="H9190" t="str">
        <f>IFERROR(INDEX(tEditais[UF],MATCH(tItens[[#This Row],[Edital]],tEditais[Edital],0)),"")</f>
        <v>SP</v>
      </c>
      <c r="I9190" s="11">
        <f>IFERROR(INDEX(tEditais[Encerramento],MATCH(tItens[[#This Row],[Edital]],tEditais[Edital],0)),"")</f>
        <v>46311.375</v>
      </c>
      <c r="J9190" t="str">
        <f>IFERROR(INDEX(tProdutos[Classe],MATCH(tItens[[#This Row],[Produto]],tProdutos[Produto],0)),"produto não cadastrado")</f>
        <v>FORA</v>
      </c>
      <c r="K9190" s="12">
        <f>tItens[[#This Row],[Qtd]]*tItens[[#This Row],[Vlr unit]]</f>
        <v>229</v>
      </c>
      <c r="L9190" s="6">
        <f>IFERROR(IF(INDEX(tProdutos[Desconto homologado],MATCH(tItens[[#This Row],[Produto]],tProdutos[Produto],0))="",DescontoPadrao,INDEX(tProdutos[Desconto homologado],MATCH(tItens[[#This Row],[Produto]],tProdutos[Produto],0))),DescontoPadrao)</f>
        <v>0.363567906332742</v>
      </c>
      <c r="M9190" s="12">
        <f>tItens[[#This Row],[Valor]]*(1-tItens[[#This Row],[Desconto]])</f>
        <v>145.7429494498021</v>
      </c>
      <c r="N9190" t="str">
        <f>IFERROR(INDEX(tProdutos[Foco],MATCH(tItens[[#This Row],[Produto]],tProdutos[Produto],0)),"Não")</f>
        <v>Não</v>
      </c>
      <c r="O9190" t="str">
        <f>IFERROR(INDEX(tEditais[SRP],MATCH(tItens[[#This Row],[Edital]],tEditais[Edital],0)),"Não")</f>
        <v>Sim</v>
      </c>
      <c r="P9190" s="4">
        <f>IF(COUNTIFS(INDEX(tItens[Edital],1):tItens[[#This Row],[Edital]],tItens[[#This Row],[Edital]],INDEX(tItens[Produto],1):tItens[[#This Row],[Produto]],tItens[[#This Row],[Produto]])=1,1,0)</f>
        <v>1</v>
      </c>
    </row>
    <row r="9191" spans="1:16" x14ac:dyDescent="0.25">
      <c r="A9191" t="s">
        <v>3122</v>
      </c>
      <c r="B9191">
        <v>157</v>
      </c>
      <c r="C9191" t="s">
        <v>11517</v>
      </c>
      <c r="D9191" t="s">
        <v>184</v>
      </c>
      <c r="E9191" s="13">
        <v>50</v>
      </c>
      <c r="F9191" s="12">
        <v>2.79</v>
      </c>
      <c r="G9191" t="str">
        <f>IFERROR(INDEX(tEditais[Órgão],MATCH(tItens[[#This Row],[Edital]],tEditais[Edital],0)),"")</f>
        <v>MUNICIPIO DE OSVALDO CRUZ</v>
      </c>
      <c r="H9191" t="str">
        <f>IFERROR(INDEX(tEditais[UF],MATCH(tItens[[#This Row],[Edital]],tEditais[Edital],0)),"")</f>
        <v>SP</v>
      </c>
      <c r="I9191" s="11">
        <f>IFERROR(INDEX(tEditais[Encerramento],MATCH(tItens[[#This Row],[Edital]],tEditais[Edital],0)),"")</f>
        <v>46311.375</v>
      </c>
      <c r="J9191" t="str">
        <f>IFERROR(INDEX(tProdutos[Classe],MATCH(tItens[[#This Row],[Produto]],tProdutos[Produto],0)),"produto não cadastrado")</f>
        <v>FORA</v>
      </c>
      <c r="K9191" s="12">
        <f>tItens[[#This Row],[Qtd]]*tItens[[#This Row],[Vlr unit]]</f>
        <v>139.5</v>
      </c>
      <c r="L9191" s="6">
        <f>IFERROR(IF(INDEX(tProdutos[Desconto homologado],MATCH(tItens[[#This Row],[Produto]],tProdutos[Produto],0))="",DescontoPadrao,INDEX(tProdutos[Desconto homologado],MATCH(tItens[[#This Row],[Produto]],tProdutos[Produto],0))),DescontoPadrao)</f>
        <v>0.363567906332742</v>
      </c>
      <c r="M9191" s="12">
        <f>tItens[[#This Row],[Valor]]*(1-tItens[[#This Row],[Desconto]])</f>
        <v>88.782277066582495</v>
      </c>
      <c r="N9191" t="str">
        <f>IFERROR(INDEX(tProdutos[Foco],MATCH(tItens[[#This Row],[Produto]],tProdutos[Produto],0)),"Não")</f>
        <v>Não</v>
      </c>
      <c r="O9191" t="str">
        <f>IFERROR(INDEX(tEditais[SRP],MATCH(tItens[[#This Row],[Edital]],tEditais[Edital],0)),"Não")</f>
        <v>Sim</v>
      </c>
      <c r="P9191" s="4">
        <f>IF(COUNTIFS(INDEX(tItens[Edital],1):tItens[[#This Row],[Edital]],tItens[[#This Row],[Edital]],INDEX(tItens[Produto],1):tItens[[#This Row],[Produto]],tItens[[#This Row],[Produto]])=1,1,0)</f>
        <v>0</v>
      </c>
    </row>
    <row r="9192" spans="1:16" x14ac:dyDescent="0.25">
      <c r="A9192" t="s">
        <v>3122</v>
      </c>
      <c r="B9192">
        <v>158</v>
      </c>
      <c r="C9192" t="s">
        <v>11518</v>
      </c>
      <c r="D9192" t="s">
        <v>184</v>
      </c>
      <c r="E9192" s="13">
        <v>120</v>
      </c>
      <c r="F9192" s="12">
        <v>3.01</v>
      </c>
      <c r="G9192" t="str">
        <f>IFERROR(INDEX(tEditais[Órgão],MATCH(tItens[[#This Row],[Edital]],tEditais[Edital],0)),"")</f>
        <v>MUNICIPIO DE OSVALDO CRUZ</v>
      </c>
      <c r="H9192" t="str">
        <f>IFERROR(INDEX(tEditais[UF],MATCH(tItens[[#This Row],[Edital]],tEditais[Edital],0)),"")</f>
        <v>SP</v>
      </c>
      <c r="I9192" s="11">
        <f>IFERROR(INDEX(tEditais[Encerramento],MATCH(tItens[[#This Row],[Edital]],tEditais[Edital],0)),"")</f>
        <v>46311.375</v>
      </c>
      <c r="J9192" t="str">
        <f>IFERROR(INDEX(tProdutos[Classe],MATCH(tItens[[#This Row],[Produto]],tProdutos[Produto],0)),"produto não cadastrado")</f>
        <v>FORA</v>
      </c>
      <c r="K9192" s="12">
        <f>tItens[[#This Row],[Qtd]]*tItens[[#This Row],[Vlr unit]]</f>
        <v>361.2</v>
      </c>
      <c r="L9192" s="6">
        <f>IFERROR(IF(INDEX(tProdutos[Desconto homologado],MATCH(tItens[[#This Row],[Produto]],tProdutos[Produto],0))="",DescontoPadrao,INDEX(tProdutos[Desconto homologado],MATCH(tItens[[#This Row],[Produto]],tProdutos[Produto],0))),DescontoPadrao)</f>
        <v>0.363567906332742</v>
      </c>
      <c r="M9192" s="12">
        <f>tItens[[#This Row],[Valor]]*(1-tItens[[#This Row],[Desconto]])</f>
        <v>229.8792722326136</v>
      </c>
      <c r="N9192" t="str">
        <f>IFERROR(INDEX(tProdutos[Foco],MATCH(tItens[[#This Row],[Produto]],tProdutos[Produto],0)),"Não")</f>
        <v>Não</v>
      </c>
      <c r="O9192" t="str">
        <f>IFERROR(INDEX(tEditais[SRP],MATCH(tItens[[#This Row],[Edital]],tEditais[Edital],0)),"Não")</f>
        <v>Sim</v>
      </c>
      <c r="P9192" s="4">
        <f>IF(COUNTIFS(INDEX(tItens[Edital],1):tItens[[#This Row],[Edital]],tItens[[#This Row],[Edital]],INDEX(tItens[Produto],1):tItens[[#This Row],[Produto]],tItens[[#This Row],[Produto]])=1,1,0)</f>
        <v>0</v>
      </c>
    </row>
    <row r="9193" spans="1:16" x14ac:dyDescent="0.25">
      <c r="A9193" t="s">
        <v>3122</v>
      </c>
      <c r="B9193">
        <v>159</v>
      </c>
      <c r="C9193" t="s">
        <v>11519</v>
      </c>
      <c r="D9193" t="s">
        <v>184</v>
      </c>
      <c r="E9193" s="13">
        <v>200</v>
      </c>
      <c r="F9193" s="12">
        <v>3.15</v>
      </c>
      <c r="G9193" t="str">
        <f>IFERROR(INDEX(tEditais[Órgão],MATCH(tItens[[#This Row],[Edital]],tEditais[Edital],0)),"")</f>
        <v>MUNICIPIO DE OSVALDO CRUZ</v>
      </c>
      <c r="H9193" t="str">
        <f>IFERROR(INDEX(tEditais[UF],MATCH(tItens[[#This Row],[Edital]],tEditais[Edital],0)),"")</f>
        <v>SP</v>
      </c>
      <c r="I9193" s="11">
        <f>IFERROR(INDEX(tEditais[Encerramento],MATCH(tItens[[#This Row],[Edital]],tEditais[Edital],0)),"")</f>
        <v>46311.375</v>
      </c>
      <c r="J9193" t="str">
        <f>IFERROR(INDEX(tProdutos[Classe],MATCH(tItens[[#This Row],[Produto]],tProdutos[Produto],0)),"produto não cadastrado")</f>
        <v>FORA</v>
      </c>
      <c r="K9193" s="12">
        <f>tItens[[#This Row],[Qtd]]*tItens[[#This Row],[Vlr unit]]</f>
        <v>630</v>
      </c>
      <c r="L9193" s="6">
        <f>IFERROR(IF(INDEX(tProdutos[Desconto homologado],MATCH(tItens[[#This Row],[Produto]],tProdutos[Produto],0))="",DescontoPadrao,INDEX(tProdutos[Desconto homologado],MATCH(tItens[[#This Row],[Produto]],tProdutos[Produto],0))),DescontoPadrao)</f>
        <v>0.363567906332742</v>
      </c>
      <c r="M9193" s="12">
        <f>tItens[[#This Row],[Valor]]*(1-tItens[[#This Row],[Desconto]])</f>
        <v>400.95221901037257</v>
      </c>
      <c r="N9193" t="str">
        <f>IFERROR(INDEX(tProdutos[Foco],MATCH(tItens[[#This Row],[Produto]],tProdutos[Produto],0)),"Não")</f>
        <v>Não</v>
      </c>
      <c r="O9193" t="str">
        <f>IFERROR(INDEX(tEditais[SRP],MATCH(tItens[[#This Row],[Edital]],tEditais[Edital],0)),"Não")</f>
        <v>Sim</v>
      </c>
      <c r="P9193" s="4">
        <f>IF(COUNTIFS(INDEX(tItens[Edital],1):tItens[[#This Row],[Edital]],tItens[[#This Row],[Edital]],INDEX(tItens[Produto],1):tItens[[#This Row],[Produto]],tItens[[#This Row],[Produto]])=1,1,0)</f>
        <v>0</v>
      </c>
    </row>
    <row r="9194" spans="1:16" x14ac:dyDescent="0.25">
      <c r="A9194" t="s">
        <v>3122</v>
      </c>
      <c r="B9194">
        <v>160</v>
      </c>
      <c r="C9194" t="s">
        <v>11520</v>
      </c>
      <c r="D9194" t="s">
        <v>184</v>
      </c>
      <c r="E9194" s="13">
        <v>100</v>
      </c>
      <c r="F9194" s="12">
        <v>3.24</v>
      </c>
      <c r="G9194" t="str">
        <f>IFERROR(INDEX(tEditais[Órgão],MATCH(tItens[[#This Row],[Edital]],tEditais[Edital],0)),"")</f>
        <v>MUNICIPIO DE OSVALDO CRUZ</v>
      </c>
      <c r="H9194" t="str">
        <f>IFERROR(INDEX(tEditais[UF],MATCH(tItens[[#This Row],[Edital]],tEditais[Edital],0)),"")</f>
        <v>SP</v>
      </c>
      <c r="I9194" s="11">
        <f>IFERROR(INDEX(tEditais[Encerramento],MATCH(tItens[[#This Row],[Edital]],tEditais[Edital],0)),"")</f>
        <v>46311.375</v>
      </c>
      <c r="J9194" t="str">
        <f>IFERROR(INDEX(tProdutos[Classe],MATCH(tItens[[#This Row],[Produto]],tProdutos[Produto],0)),"produto não cadastrado")</f>
        <v>FORA</v>
      </c>
      <c r="K9194" s="12">
        <f>tItens[[#This Row],[Qtd]]*tItens[[#This Row],[Vlr unit]]</f>
        <v>324</v>
      </c>
      <c r="L9194" s="6">
        <f>IFERROR(IF(INDEX(tProdutos[Desconto homologado],MATCH(tItens[[#This Row],[Produto]],tProdutos[Produto],0))="",DescontoPadrao,INDEX(tProdutos[Desconto homologado],MATCH(tItens[[#This Row],[Produto]],tProdutos[Produto],0))),DescontoPadrao)</f>
        <v>0.363567906332742</v>
      </c>
      <c r="M9194" s="12">
        <f>tItens[[#This Row],[Valor]]*(1-tItens[[#This Row],[Desconto]])</f>
        <v>206.20399834819162</v>
      </c>
      <c r="N9194" t="str">
        <f>IFERROR(INDEX(tProdutos[Foco],MATCH(tItens[[#This Row],[Produto]],tProdutos[Produto],0)),"Não")</f>
        <v>Não</v>
      </c>
      <c r="O9194" t="str">
        <f>IFERROR(INDEX(tEditais[SRP],MATCH(tItens[[#This Row],[Edital]],tEditais[Edital],0)),"Não")</f>
        <v>Sim</v>
      </c>
      <c r="P9194" s="4">
        <f>IF(COUNTIFS(INDEX(tItens[Edital],1):tItens[[#This Row],[Edital]],tItens[[#This Row],[Edital]],INDEX(tItens[Produto],1):tItens[[#This Row],[Produto]],tItens[[#This Row],[Produto]])=1,1,0)</f>
        <v>0</v>
      </c>
    </row>
    <row r="9195" spans="1:16" x14ac:dyDescent="0.25">
      <c r="A9195" t="s">
        <v>3122</v>
      </c>
      <c r="B9195">
        <v>161</v>
      </c>
      <c r="C9195" t="s">
        <v>11521</v>
      </c>
      <c r="D9195" t="s">
        <v>164</v>
      </c>
      <c r="E9195" s="13">
        <v>30</v>
      </c>
      <c r="F9195" s="12">
        <v>8.09</v>
      </c>
      <c r="G9195" t="str">
        <f>IFERROR(INDEX(tEditais[Órgão],MATCH(tItens[[#This Row],[Edital]],tEditais[Edital],0)),"")</f>
        <v>MUNICIPIO DE OSVALDO CRUZ</v>
      </c>
      <c r="H9195" t="str">
        <f>IFERROR(INDEX(tEditais[UF],MATCH(tItens[[#This Row],[Edital]],tEditais[Edital],0)),"")</f>
        <v>SP</v>
      </c>
      <c r="I9195" s="11">
        <f>IFERROR(INDEX(tEditais[Encerramento],MATCH(tItens[[#This Row],[Edital]],tEditais[Edital],0)),"")</f>
        <v>46311.375</v>
      </c>
      <c r="J9195" t="str">
        <f>IFERROR(INDEX(tProdutos[Classe],MATCH(tItens[[#This Row],[Produto]],tProdutos[Produto],0)),"produto não cadastrado")</f>
        <v>DISPUTADO</v>
      </c>
      <c r="K9195" s="12">
        <f>tItens[[#This Row],[Qtd]]*tItens[[#This Row],[Vlr unit]]</f>
        <v>242.7</v>
      </c>
      <c r="L9195" s="6">
        <f>IFERROR(IF(INDEX(tProdutos[Desconto homologado],MATCH(tItens[[#This Row],[Produto]],tProdutos[Produto],0))="",DescontoPadrao,INDEX(tProdutos[Desconto homologado],MATCH(tItens[[#This Row],[Produto]],tProdutos[Produto],0))),DescontoPadrao)</f>
        <v>0.445300462249615</v>
      </c>
      <c r="M9195" s="12">
        <f>tItens[[#This Row],[Valor]]*(1-tItens[[#This Row],[Desconto]])</f>
        <v>134.62557781201841</v>
      </c>
      <c r="N9195" t="str">
        <f>IFERROR(INDEX(tProdutos[Foco],MATCH(tItens[[#This Row],[Produto]],tProdutos[Produto],0)),"Não")</f>
        <v>Não</v>
      </c>
      <c r="O9195" t="str">
        <f>IFERROR(INDEX(tEditais[SRP],MATCH(tItens[[#This Row],[Edital]],tEditais[Edital],0)),"Não")</f>
        <v>Sim</v>
      </c>
      <c r="P9195" s="4">
        <f>IF(COUNTIFS(INDEX(tItens[Edital],1):tItens[[#This Row],[Edital]],tItens[[#This Row],[Edital]],INDEX(tItens[Produto],1):tItens[[#This Row],[Produto]],tItens[[#This Row],[Produto]])=1,1,0)</f>
        <v>1</v>
      </c>
    </row>
    <row r="9196" spans="1:16" x14ac:dyDescent="0.25">
      <c r="A9196" t="s">
        <v>3122</v>
      </c>
      <c r="B9196">
        <v>162</v>
      </c>
      <c r="C9196" t="s">
        <v>11522</v>
      </c>
      <c r="D9196" t="s">
        <v>120</v>
      </c>
      <c r="E9196" s="13">
        <v>2000</v>
      </c>
      <c r="F9196" s="12">
        <v>0.55000000000000004</v>
      </c>
      <c r="G9196" t="str">
        <f>IFERROR(INDEX(tEditais[Órgão],MATCH(tItens[[#This Row],[Edital]],tEditais[Edital],0)),"")</f>
        <v>MUNICIPIO DE OSVALDO CRUZ</v>
      </c>
      <c r="H9196" t="str">
        <f>IFERROR(INDEX(tEditais[UF],MATCH(tItens[[#This Row],[Edital]],tEditais[Edital],0)),"")</f>
        <v>SP</v>
      </c>
      <c r="I9196" s="11">
        <f>IFERROR(INDEX(tEditais[Encerramento],MATCH(tItens[[#This Row],[Edital]],tEditais[Edital],0)),"")</f>
        <v>46311.375</v>
      </c>
      <c r="J9196" t="str">
        <f>IFERROR(INDEX(tProdutos[Classe],MATCH(tItens[[#This Row],[Produto]],tProdutos[Produto],0)),"produto não cadastrado")</f>
        <v>DISPUTADO</v>
      </c>
      <c r="K9196" s="12">
        <f>tItens[[#This Row],[Qtd]]*tItens[[#This Row],[Vlr unit]]</f>
        <v>1100</v>
      </c>
      <c r="L9196" s="6">
        <f>IFERROR(IF(INDEX(tProdutos[Desconto homologado],MATCH(tItens[[#This Row],[Produto]],tProdutos[Produto],0))="",DescontoPadrao,INDEX(tProdutos[Desconto homologado],MATCH(tItens[[#This Row],[Produto]],tProdutos[Produto],0))),DescontoPadrao)</f>
        <v>0.40909090909090901</v>
      </c>
      <c r="M9196" s="12">
        <f>tItens[[#This Row],[Valor]]*(1-tItens[[#This Row],[Desconto]])</f>
        <v>650.00000000000011</v>
      </c>
      <c r="N9196" t="str">
        <f>IFERROR(INDEX(tProdutos[Foco],MATCH(tItens[[#This Row],[Produto]],tProdutos[Produto],0)),"Não")</f>
        <v>Não</v>
      </c>
      <c r="O9196" t="str">
        <f>IFERROR(INDEX(tEditais[SRP],MATCH(tItens[[#This Row],[Edital]],tEditais[Edital],0)),"Não")</f>
        <v>Sim</v>
      </c>
      <c r="P9196" s="4">
        <f>IF(COUNTIFS(INDEX(tItens[Edital],1):tItens[[#This Row],[Edital]],tItens[[#This Row],[Edital]],INDEX(tItens[Produto],1):tItens[[#This Row],[Produto]],tItens[[#This Row],[Produto]])=1,1,0)</f>
        <v>1</v>
      </c>
    </row>
    <row r="9197" spans="1:16" x14ac:dyDescent="0.25">
      <c r="A9197" t="s">
        <v>3122</v>
      </c>
      <c r="B9197">
        <v>163</v>
      </c>
      <c r="C9197" t="s">
        <v>11523</v>
      </c>
      <c r="D9197" t="s">
        <v>120</v>
      </c>
      <c r="E9197" s="13">
        <v>1000</v>
      </c>
      <c r="F9197" s="12">
        <v>0.54</v>
      </c>
      <c r="G9197" t="str">
        <f>IFERROR(INDEX(tEditais[Órgão],MATCH(tItens[[#This Row],[Edital]],tEditais[Edital],0)),"")</f>
        <v>MUNICIPIO DE OSVALDO CRUZ</v>
      </c>
      <c r="H9197" t="str">
        <f>IFERROR(INDEX(tEditais[UF],MATCH(tItens[[#This Row],[Edital]],tEditais[Edital],0)),"")</f>
        <v>SP</v>
      </c>
      <c r="I9197" s="11">
        <f>IFERROR(INDEX(tEditais[Encerramento],MATCH(tItens[[#This Row],[Edital]],tEditais[Edital],0)),"")</f>
        <v>46311.375</v>
      </c>
      <c r="J9197" t="str">
        <f>IFERROR(INDEX(tProdutos[Classe],MATCH(tItens[[#This Row],[Produto]],tProdutos[Produto],0)),"produto não cadastrado")</f>
        <v>DISPUTADO</v>
      </c>
      <c r="K9197" s="12">
        <f>tItens[[#This Row],[Qtd]]*tItens[[#This Row],[Vlr unit]]</f>
        <v>540</v>
      </c>
      <c r="L9197" s="6">
        <f>IFERROR(IF(INDEX(tProdutos[Desconto homologado],MATCH(tItens[[#This Row],[Produto]],tProdutos[Produto],0))="",DescontoPadrao,INDEX(tProdutos[Desconto homologado],MATCH(tItens[[#This Row],[Produto]],tProdutos[Produto],0))),DescontoPadrao)</f>
        <v>0.40909090909090901</v>
      </c>
      <c r="M9197" s="12">
        <f>tItens[[#This Row],[Valor]]*(1-tItens[[#This Row],[Desconto]])</f>
        <v>319.09090909090918</v>
      </c>
      <c r="N9197" t="str">
        <f>IFERROR(INDEX(tProdutos[Foco],MATCH(tItens[[#This Row],[Produto]],tProdutos[Produto],0)),"Não")</f>
        <v>Não</v>
      </c>
      <c r="O9197" t="str">
        <f>IFERROR(INDEX(tEditais[SRP],MATCH(tItens[[#This Row],[Edital]],tEditais[Edital],0)),"Não")</f>
        <v>Sim</v>
      </c>
      <c r="P9197" s="4">
        <f>IF(COUNTIFS(INDEX(tItens[Edital],1):tItens[[#This Row],[Edital]],tItens[[#This Row],[Edital]],INDEX(tItens[Produto],1):tItens[[#This Row],[Produto]],tItens[[#This Row],[Produto]])=1,1,0)</f>
        <v>0</v>
      </c>
    </row>
    <row r="9198" spans="1:16" x14ac:dyDescent="0.25">
      <c r="A9198" t="s">
        <v>3122</v>
      </c>
      <c r="B9198">
        <v>164</v>
      </c>
      <c r="C9198" t="s">
        <v>11524</v>
      </c>
      <c r="D9198" t="s">
        <v>120</v>
      </c>
      <c r="E9198" s="13">
        <v>3000</v>
      </c>
      <c r="F9198" s="12">
        <v>0.54</v>
      </c>
      <c r="G9198" t="str">
        <f>IFERROR(INDEX(tEditais[Órgão],MATCH(tItens[[#This Row],[Edital]],tEditais[Edital],0)),"")</f>
        <v>MUNICIPIO DE OSVALDO CRUZ</v>
      </c>
      <c r="H9198" t="str">
        <f>IFERROR(INDEX(tEditais[UF],MATCH(tItens[[#This Row],[Edital]],tEditais[Edital],0)),"")</f>
        <v>SP</v>
      </c>
      <c r="I9198" s="11">
        <f>IFERROR(INDEX(tEditais[Encerramento],MATCH(tItens[[#This Row],[Edital]],tEditais[Edital],0)),"")</f>
        <v>46311.375</v>
      </c>
      <c r="J9198" t="str">
        <f>IFERROR(INDEX(tProdutos[Classe],MATCH(tItens[[#This Row],[Produto]],tProdutos[Produto],0)),"produto não cadastrado")</f>
        <v>DISPUTADO</v>
      </c>
      <c r="K9198" s="12">
        <f>tItens[[#This Row],[Qtd]]*tItens[[#This Row],[Vlr unit]]</f>
        <v>1620</v>
      </c>
      <c r="L9198" s="6">
        <f>IFERROR(IF(INDEX(tProdutos[Desconto homologado],MATCH(tItens[[#This Row],[Produto]],tProdutos[Produto],0))="",DescontoPadrao,INDEX(tProdutos[Desconto homologado],MATCH(tItens[[#This Row],[Produto]],tProdutos[Produto],0))),DescontoPadrao)</f>
        <v>0.40909090909090901</v>
      </c>
      <c r="M9198" s="12">
        <f>tItens[[#This Row],[Valor]]*(1-tItens[[#This Row],[Desconto]])</f>
        <v>957.27272727272748</v>
      </c>
      <c r="N9198" t="str">
        <f>IFERROR(INDEX(tProdutos[Foco],MATCH(tItens[[#This Row],[Produto]],tProdutos[Produto],0)),"Não")</f>
        <v>Não</v>
      </c>
      <c r="O9198" t="str">
        <f>IFERROR(INDEX(tEditais[SRP],MATCH(tItens[[#This Row],[Edital]],tEditais[Edital],0)),"Não")</f>
        <v>Sim</v>
      </c>
      <c r="P9198" s="4">
        <f>IF(COUNTIFS(INDEX(tItens[Edital],1):tItens[[#This Row],[Edital]],tItens[[#This Row],[Edital]],INDEX(tItens[Produto],1):tItens[[#This Row],[Produto]],tItens[[#This Row],[Produto]])=1,1,0)</f>
        <v>0</v>
      </c>
    </row>
    <row r="9199" spans="1:16" x14ac:dyDescent="0.25">
      <c r="A9199" t="s">
        <v>3122</v>
      </c>
      <c r="B9199">
        <v>165</v>
      </c>
      <c r="C9199" t="s">
        <v>11525</v>
      </c>
      <c r="D9199" t="s">
        <v>120</v>
      </c>
      <c r="E9199" s="13">
        <v>100</v>
      </c>
      <c r="F9199" s="12">
        <v>0.81</v>
      </c>
      <c r="G9199" t="str">
        <f>IFERROR(INDEX(tEditais[Órgão],MATCH(tItens[[#This Row],[Edital]],tEditais[Edital],0)),"")</f>
        <v>MUNICIPIO DE OSVALDO CRUZ</v>
      </c>
      <c r="H9199" t="str">
        <f>IFERROR(INDEX(tEditais[UF],MATCH(tItens[[#This Row],[Edital]],tEditais[Edital],0)),"")</f>
        <v>SP</v>
      </c>
      <c r="I9199" s="11">
        <f>IFERROR(INDEX(tEditais[Encerramento],MATCH(tItens[[#This Row],[Edital]],tEditais[Edital],0)),"")</f>
        <v>46311.375</v>
      </c>
      <c r="J9199" t="str">
        <f>IFERROR(INDEX(tProdutos[Classe],MATCH(tItens[[#This Row],[Produto]],tProdutos[Produto],0)),"produto não cadastrado")</f>
        <v>DISPUTADO</v>
      </c>
      <c r="K9199" s="12">
        <f>tItens[[#This Row],[Qtd]]*tItens[[#This Row],[Vlr unit]]</f>
        <v>81</v>
      </c>
      <c r="L9199" s="6">
        <f>IFERROR(IF(INDEX(tProdutos[Desconto homologado],MATCH(tItens[[#This Row],[Produto]],tProdutos[Produto],0))="",DescontoPadrao,INDEX(tProdutos[Desconto homologado],MATCH(tItens[[#This Row],[Produto]],tProdutos[Produto],0))),DescontoPadrao)</f>
        <v>0.40909090909090901</v>
      </c>
      <c r="M9199" s="12">
        <f>tItens[[#This Row],[Valor]]*(1-tItens[[#This Row],[Desconto]])</f>
        <v>47.863636363636374</v>
      </c>
      <c r="N9199" t="str">
        <f>IFERROR(INDEX(tProdutos[Foco],MATCH(tItens[[#This Row],[Produto]],tProdutos[Produto],0)),"Não")</f>
        <v>Não</v>
      </c>
      <c r="O9199" t="str">
        <f>IFERROR(INDEX(tEditais[SRP],MATCH(tItens[[#This Row],[Edital]],tEditais[Edital],0)),"Não")</f>
        <v>Sim</v>
      </c>
      <c r="P9199" s="4">
        <f>IF(COUNTIFS(INDEX(tItens[Edital],1):tItens[[#This Row],[Edital]],tItens[[#This Row],[Edital]],INDEX(tItens[Produto],1):tItens[[#This Row],[Produto]],tItens[[#This Row],[Produto]])=1,1,0)</f>
        <v>0</v>
      </c>
    </row>
    <row r="9200" spans="1:16" x14ac:dyDescent="0.25">
      <c r="A9200" t="s">
        <v>3122</v>
      </c>
      <c r="B9200">
        <v>167</v>
      </c>
      <c r="C9200" t="s">
        <v>11526</v>
      </c>
      <c r="D9200" t="s">
        <v>506</v>
      </c>
      <c r="E9200" s="13">
        <v>1800</v>
      </c>
      <c r="F9200" s="12">
        <v>36.75</v>
      </c>
      <c r="G9200" t="str">
        <f>IFERROR(INDEX(tEditais[Órgão],MATCH(tItens[[#This Row],[Edital]],tEditais[Edital],0)),"")</f>
        <v>MUNICIPIO DE OSVALDO CRUZ</v>
      </c>
      <c r="H9200" t="str">
        <f>IFERROR(INDEX(tEditais[UF],MATCH(tItens[[#This Row],[Edital]],tEditais[Edital],0)),"")</f>
        <v>SP</v>
      </c>
      <c r="I9200" s="11">
        <f>IFERROR(INDEX(tEditais[Encerramento],MATCH(tItens[[#This Row],[Edital]],tEditais[Edital],0)),"")</f>
        <v>46311.375</v>
      </c>
      <c r="J9200" t="str">
        <f>IFERROR(INDEX(tProdutos[Classe],MATCH(tItens[[#This Row],[Produto]],tProdutos[Produto],0)),"produto não cadastrado")</f>
        <v>FILA REBASE</v>
      </c>
      <c r="K9200" s="12">
        <f>tItens[[#This Row],[Qtd]]*tItens[[#This Row],[Vlr unit]]</f>
        <v>66150</v>
      </c>
      <c r="L9200" s="6">
        <f>IFERROR(IF(INDEX(tProdutos[Desconto homologado],MATCH(tItens[[#This Row],[Produto]],tProdutos[Produto],0))="",DescontoPadrao,INDEX(tProdutos[Desconto homologado],MATCH(tItens[[#This Row],[Produto]],tProdutos[Produto],0))),DescontoPadrao)</f>
        <v>0.36894008590895599</v>
      </c>
      <c r="M9200" s="12">
        <f>tItens[[#This Row],[Valor]]*(1-tItens[[#This Row],[Desconto]])</f>
        <v>41744.613317122559</v>
      </c>
      <c r="N9200" t="str">
        <f>IFERROR(INDEX(tProdutos[Foco],MATCH(tItens[[#This Row],[Produto]],tProdutos[Produto],0)),"Não")</f>
        <v>Não</v>
      </c>
      <c r="O9200" t="str">
        <f>IFERROR(INDEX(tEditais[SRP],MATCH(tItens[[#This Row],[Edital]],tEditais[Edital],0)),"Não")</f>
        <v>Sim</v>
      </c>
      <c r="P9200" s="4">
        <f>IF(COUNTIFS(INDEX(tItens[Edital],1):tItens[[#This Row],[Edital]],tItens[[#This Row],[Edital]],INDEX(tItens[Produto],1):tItens[[#This Row],[Produto]],tItens[[#This Row],[Produto]])=1,1,0)</f>
        <v>1</v>
      </c>
    </row>
    <row r="9201" spans="1:16" x14ac:dyDescent="0.25">
      <c r="A9201" t="s">
        <v>3122</v>
      </c>
      <c r="B9201">
        <v>168</v>
      </c>
      <c r="C9201" t="s">
        <v>11526</v>
      </c>
      <c r="D9201" t="s">
        <v>506</v>
      </c>
      <c r="E9201" s="13">
        <v>200</v>
      </c>
      <c r="F9201" s="12">
        <v>36.75</v>
      </c>
      <c r="G9201" t="str">
        <f>IFERROR(INDEX(tEditais[Órgão],MATCH(tItens[[#This Row],[Edital]],tEditais[Edital],0)),"")</f>
        <v>MUNICIPIO DE OSVALDO CRUZ</v>
      </c>
      <c r="H9201" t="str">
        <f>IFERROR(INDEX(tEditais[UF],MATCH(tItens[[#This Row],[Edital]],tEditais[Edital],0)),"")</f>
        <v>SP</v>
      </c>
      <c r="I9201" s="11">
        <f>IFERROR(INDEX(tEditais[Encerramento],MATCH(tItens[[#This Row],[Edital]],tEditais[Edital],0)),"")</f>
        <v>46311.375</v>
      </c>
      <c r="J9201" t="str">
        <f>IFERROR(INDEX(tProdutos[Classe],MATCH(tItens[[#This Row],[Produto]],tProdutos[Produto],0)),"produto não cadastrado")</f>
        <v>FILA REBASE</v>
      </c>
      <c r="K9201" s="12">
        <f>tItens[[#This Row],[Qtd]]*tItens[[#This Row],[Vlr unit]]</f>
        <v>7350</v>
      </c>
      <c r="L9201" s="6">
        <f>IFERROR(IF(INDEX(tProdutos[Desconto homologado],MATCH(tItens[[#This Row],[Produto]],tProdutos[Produto],0))="",DescontoPadrao,INDEX(tProdutos[Desconto homologado],MATCH(tItens[[#This Row],[Produto]],tProdutos[Produto],0))),DescontoPadrao)</f>
        <v>0.36894008590895599</v>
      </c>
      <c r="M9201" s="12">
        <f>tItens[[#This Row],[Valor]]*(1-tItens[[#This Row],[Desconto]])</f>
        <v>4638.2903685691736</v>
      </c>
      <c r="N9201" t="str">
        <f>IFERROR(INDEX(tProdutos[Foco],MATCH(tItens[[#This Row],[Produto]],tProdutos[Produto],0)),"Não")</f>
        <v>Não</v>
      </c>
      <c r="O9201" t="str">
        <f>IFERROR(INDEX(tEditais[SRP],MATCH(tItens[[#This Row],[Edital]],tEditais[Edital],0)),"Não")</f>
        <v>Sim</v>
      </c>
      <c r="P9201" s="4">
        <f>IF(COUNTIFS(INDEX(tItens[Edital],1):tItens[[#This Row],[Edital]],tItens[[#This Row],[Edital]],INDEX(tItens[Produto],1):tItens[[#This Row],[Produto]],tItens[[#This Row],[Produto]])=1,1,0)</f>
        <v>0</v>
      </c>
    </row>
    <row r="9202" spans="1:16" x14ac:dyDescent="0.25">
      <c r="A9202" t="s">
        <v>3126</v>
      </c>
      <c r="B9202">
        <v>2299212</v>
      </c>
      <c r="C9202" t="s">
        <v>11527</v>
      </c>
      <c r="D9202" t="s">
        <v>225</v>
      </c>
      <c r="E9202" s="13">
        <v>18</v>
      </c>
      <c r="F9202" s="12">
        <v>16.53</v>
      </c>
      <c r="G9202" t="str">
        <f>IFERROR(INDEX(tEditais[Órgão],MATCH(tItens[[#This Row],[Edital]],tEditais[Edital],0)),"")</f>
        <v>UNIVERSIDADE DE TAUBATE</v>
      </c>
      <c r="H9202" t="str">
        <f>IFERROR(INDEX(tEditais[UF],MATCH(tItens[[#This Row],[Edital]],tEditais[Edital],0)),"")</f>
        <v>SP</v>
      </c>
      <c r="I9202" s="11">
        <f>IFERROR(INDEX(tEditais[Encerramento],MATCH(tItens[[#This Row],[Edital]],tEditais[Edital],0)),"")</f>
        <v>46311.395833333336</v>
      </c>
      <c r="J9202" t="str">
        <f>IFERROR(INDEX(tProdutos[Classe],MATCH(tItens[[#This Row],[Produto]],tProdutos[Produto],0)),"produto não cadastrado")</f>
        <v>FORA</v>
      </c>
      <c r="K9202" s="12">
        <f>tItens[[#This Row],[Qtd]]*tItens[[#This Row],[Vlr unit]]</f>
        <v>297.54000000000002</v>
      </c>
      <c r="L9202" s="6">
        <f>IFERROR(IF(INDEX(tProdutos[Desconto homologado],MATCH(tItens[[#This Row],[Produto]],tProdutos[Produto],0))="",DescontoPadrao,INDEX(tProdutos[Desconto homologado],MATCH(tItens[[#This Row],[Produto]],tProdutos[Produto],0))),DescontoPadrao)</f>
        <v>0.27745664739884401</v>
      </c>
      <c r="M9202" s="12">
        <f>tItens[[#This Row],[Valor]]*(1-tItens[[#This Row],[Desconto]])</f>
        <v>214.98554913294797</v>
      </c>
      <c r="N9202" t="str">
        <f>IFERROR(INDEX(tProdutos[Foco],MATCH(tItens[[#This Row],[Produto]],tProdutos[Produto],0)),"Não")</f>
        <v>Não</v>
      </c>
      <c r="O9202" t="str">
        <f>IFERROR(INDEX(tEditais[SRP],MATCH(tItens[[#This Row],[Edital]],tEditais[Edital],0)),"Não")</f>
        <v>Não</v>
      </c>
      <c r="P9202" s="4">
        <f>IF(COUNTIFS(INDEX(tItens[Edital],1):tItens[[#This Row],[Edital]],tItens[[#This Row],[Edital]],INDEX(tItens[Produto],1):tItens[[#This Row],[Produto]],tItens[[#This Row],[Produto]])=1,1,0)</f>
        <v>1</v>
      </c>
    </row>
    <row r="9203" spans="1:16" x14ac:dyDescent="0.25">
      <c r="A9203" t="s">
        <v>3126</v>
      </c>
      <c r="B9203">
        <v>2299253</v>
      </c>
      <c r="C9203" t="s">
        <v>11528</v>
      </c>
      <c r="D9203" t="s">
        <v>225</v>
      </c>
      <c r="E9203" s="13">
        <v>100</v>
      </c>
      <c r="F9203" s="12">
        <v>25.9</v>
      </c>
      <c r="G9203" t="str">
        <f>IFERROR(INDEX(tEditais[Órgão],MATCH(tItens[[#This Row],[Edital]],tEditais[Edital],0)),"")</f>
        <v>UNIVERSIDADE DE TAUBATE</v>
      </c>
      <c r="H9203" t="str">
        <f>IFERROR(INDEX(tEditais[UF],MATCH(tItens[[#This Row],[Edital]],tEditais[Edital],0)),"")</f>
        <v>SP</v>
      </c>
      <c r="I9203" s="11">
        <f>IFERROR(INDEX(tEditais[Encerramento],MATCH(tItens[[#This Row],[Edital]],tEditais[Edital],0)),"")</f>
        <v>46311.395833333336</v>
      </c>
      <c r="J9203" t="str">
        <f>IFERROR(INDEX(tProdutos[Classe],MATCH(tItens[[#This Row],[Produto]],tProdutos[Produto],0)),"produto não cadastrado")</f>
        <v>FORA</v>
      </c>
      <c r="K9203" s="12">
        <f>tItens[[#This Row],[Qtd]]*tItens[[#This Row],[Vlr unit]]</f>
        <v>2590</v>
      </c>
      <c r="L9203" s="6">
        <f>IFERROR(IF(INDEX(tProdutos[Desconto homologado],MATCH(tItens[[#This Row],[Produto]],tProdutos[Produto],0))="",DescontoPadrao,INDEX(tProdutos[Desconto homologado],MATCH(tItens[[#This Row],[Produto]],tProdutos[Produto],0))),DescontoPadrao)</f>
        <v>0.27745664739884401</v>
      </c>
      <c r="M9203" s="12">
        <f>tItens[[#This Row],[Valor]]*(1-tItens[[#This Row],[Desconto]])</f>
        <v>1871.3872832369941</v>
      </c>
      <c r="N9203" t="str">
        <f>IFERROR(INDEX(tProdutos[Foco],MATCH(tItens[[#This Row],[Produto]],tProdutos[Produto],0)),"Não")</f>
        <v>Não</v>
      </c>
      <c r="O9203" t="str">
        <f>IFERROR(INDEX(tEditais[SRP],MATCH(tItens[[#This Row],[Edital]],tEditais[Edital],0)),"Não")</f>
        <v>Não</v>
      </c>
      <c r="P9203" s="4">
        <f>IF(COUNTIFS(INDEX(tItens[Edital],1):tItens[[#This Row],[Edital]],tItens[[#This Row],[Edital]],INDEX(tItens[Produto],1):tItens[[#This Row],[Produto]],tItens[[#This Row],[Produto]])=1,1,0)</f>
        <v>0</v>
      </c>
    </row>
    <row r="9204" spans="1:16" x14ac:dyDescent="0.25">
      <c r="A9204" t="s">
        <v>3126</v>
      </c>
      <c r="B9204">
        <v>2299282</v>
      </c>
      <c r="C9204" t="s">
        <v>11528</v>
      </c>
      <c r="D9204" t="s">
        <v>225</v>
      </c>
      <c r="E9204" s="13">
        <v>3</v>
      </c>
      <c r="F9204" s="12">
        <v>34.97</v>
      </c>
      <c r="G9204" t="str">
        <f>IFERROR(INDEX(tEditais[Órgão],MATCH(tItens[[#This Row],[Edital]],tEditais[Edital],0)),"")</f>
        <v>UNIVERSIDADE DE TAUBATE</v>
      </c>
      <c r="H9204" t="str">
        <f>IFERROR(INDEX(tEditais[UF],MATCH(tItens[[#This Row],[Edital]],tEditais[Edital],0)),"")</f>
        <v>SP</v>
      </c>
      <c r="I9204" s="11">
        <f>IFERROR(INDEX(tEditais[Encerramento],MATCH(tItens[[#This Row],[Edital]],tEditais[Edital],0)),"")</f>
        <v>46311.395833333336</v>
      </c>
      <c r="J9204" t="str">
        <f>IFERROR(INDEX(tProdutos[Classe],MATCH(tItens[[#This Row],[Produto]],tProdutos[Produto],0)),"produto não cadastrado")</f>
        <v>FORA</v>
      </c>
      <c r="K9204" s="12">
        <f>tItens[[#This Row],[Qtd]]*tItens[[#This Row],[Vlr unit]]</f>
        <v>104.91</v>
      </c>
      <c r="L9204" s="6">
        <f>IFERROR(IF(INDEX(tProdutos[Desconto homologado],MATCH(tItens[[#This Row],[Produto]],tProdutos[Produto],0))="",DescontoPadrao,INDEX(tProdutos[Desconto homologado],MATCH(tItens[[#This Row],[Produto]],tProdutos[Produto],0))),DescontoPadrao)</f>
        <v>0.27745664739884401</v>
      </c>
      <c r="M9204" s="12">
        <f>tItens[[#This Row],[Valor]]*(1-tItens[[#This Row],[Desconto]])</f>
        <v>75.802023121387279</v>
      </c>
      <c r="N9204" t="str">
        <f>IFERROR(INDEX(tProdutos[Foco],MATCH(tItens[[#This Row],[Produto]],tProdutos[Produto],0)),"Não")</f>
        <v>Não</v>
      </c>
      <c r="O9204" t="str">
        <f>IFERROR(INDEX(tEditais[SRP],MATCH(tItens[[#This Row],[Edital]],tEditais[Edital],0)),"Não")</f>
        <v>Não</v>
      </c>
      <c r="P9204" s="4">
        <f>IF(COUNTIFS(INDEX(tItens[Edital],1):tItens[[#This Row],[Edital]],tItens[[#This Row],[Edital]],INDEX(tItens[Produto],1):tItens[[#This Row],[Produto]],tItens[[#This Row],[Produto]])=1,1,0)</f>
        <v>0</v>
      </c>
    </row>
    <row r="9205" spans="1:16" x14ac:dyDescent="0.25">
      <c r="A9205" t="s">
        <v>3126</v>
      </c>
      <c r="B9205">
        <v>2299283</v>
      </c>
      <c r="C9205" t="s">
        <v>11529</v>
      </c>
      <c r="D9205" t="s">
        <v>225</v>
      </c>
      <c r="E9205" s="13">
        <v>3</v>
      </c>
      <c r="F9205" s="12">
        <v>35.979999999999997</v>
      </c>
      <c r="G9205" t="str">
        <f>IFERROR(INDEX(tEditais[Órgão],MATCH(tItens[[#This Row],[Edital]],tEditais[Edital],0)),"")</f>
        <v>UNIVERSIDADE DE TAUBATE</v>
      </c>
      <c r="H9205" t="str">
        <f>IFERROR(INDEX(tEditais[UF],MATCH(tItens[[#This Row],[Edital]],tEditais[Edital],0)),"")</f>
        <v>SP</v>
      </c>
      <c r="I9205" s="11">
        <f>IFERROR(INDEX(tEditais[Encerramento],MATCH(tItens[[#This Row],[Edital]],tEditais[Edital],0)),"")</f>
        <v>46311.395833333336</v>
      </c>
      <c r="J9205" t="str">
        <f>IFERROR(INDEX(tProdutos[Classe],MATCH(tItens[[#This Row],[Produto]],tProdutos[Produto],0)),"produto não cadastrado")</f>
        <v>FORA</v>
      </c>
      <c r="K9205" s="12">
        <f>tItens[[#This Row],[Qtd]]*tItens[[#This Row],[Vlr unit]]</f>
        <v>107.94</v>
      </c>
      <c r="L9205" s="6">
        <f>IFERROR(IF(INDEX(tProdutos[Desconto homologado],MATCH(tItens[[#This Row],[Produto]],tProdutos[Produto],0))="",DescontoPadrao,INDEX(tProdutos[Desconto homologado],MATCH(tItens[[#This Row],[Produto]],tProdutos[Produto],0))),DescontoPadrao)</f>
        <v>0.27745664739884401</v>
      </c>
      <c r="M9205" s="12">
        <f>tItens[[#This Row],[Valor]]*(1-tItens[[#This Row],[Desconto]])</f>
        <v>77.99132947976878</v>
      </c>
      <c r="N9205" t="str">
        <f>IFERROR(INDEX(tProdutos[Foco],MATCH(tItens[[#This Row],[Produto]],tProdutos[Produto],0)),"Não")</f>
        <v>Não</v>
      </c>
      <c r="O9205" t="str">
        <f>IFERROR(INDEX(tEditais[SRP],MATCH(tItens[[#This Row],[Edital]],tEditais[Edital],0)),"Não")</f>
        <v>Não</v>
      </c>
      <c r="P9205" s="4">
        <f>IF(COUNTIFS(INDEX(tItens[Edital],1):tItens[[#This Row],[Edital]],tItens[[#This Row],[Edital]],INDEX(tItens[Produto],1):tItens[[#This Row],[Produto]],tItens[[#This Row],[Produto]])=1,1,0)</f>
        <v>0</v>
      </c>
    </row>
    <row r="9206" spans="1:16" x14ac:dyDescent="0.25">
      <c r="A9206" t="s">
        <v>3126</v>
      </c>
      <c r="B9206">
        <v>2299339</v>
      </c>
      <c r="C9206" t="s">
        <v>11530</v>
      </c>
      <c r="D9206" t="s">
        <v>417</v>
      </c>
      <c r="E9206" s="13">
        <v>3</v>
      </c>
      <c r="F9206" s="12">
        <v>1744.31</v>
      </c>
      <c r="G9206" t="str">
        <f>IFERROR(INDEX(tEditais[Órgão],MATCH(tItens[[#This Row],[Edital]],tEditais[Edital],0)),"")</f>
        <v>UNIVERSIDADE DE TAUBATE</v>
      </c>
      <c r="H9206" t="str">
        <f>IFERROR(INDEX(tEditais[UF],MATCH(tItens[[#This Row],[Edital]],tEditais[Edital],0)),"")</f>
        <v>SP</v>
      </c>
      <c r="I9206" s="11">
        <f>IFERROR(INDEX(tEditais[Encerramento],MATCH(tItens[[#This Row],[Edital]],tEditais[Edital],0)),"")</f>
        <v>46311.395833333336</v>
      </c>
      <c r="J9206" t="str">
        <f>IFERROR(INDEX(tProdutos[Classe],MATCH(tItens[[#This Row],[Produto]],tProdutos[Produto],0)),"produto não cadastrado")</f>
        <v>FORA</v>
      </c>
      <c r="K9206" s="12">
        <f>tItens[[#This Row],[Qtd]]*tItens[[#This Row],[Vlr unit]]</f>
        <v>5232.93</v>
      </c>
      <c r="L9206" s="6">
        <f>IFERROR(IF(INDEX(tProdutos[Desconto homologado],MATCH(tItens[[#This Row],[Produto]],tProdutos[Produto],0))="",DescontoPadrao,INDEX(tProdutos[Desconto homologado],MATCH(tItens[[#This Row],[Produto]],tProdutos[Produto],0))),DescontoPadrao)</f>
        <v>0.27842432580405202</v>
      </c>
      <c r="M9206" s="12">
        <f>tItens[[#This Row],[Valor]]*(1-tItens[[#This Row],[Desconto]])</f>
        <v>3775.9549927702024</v>
      </c>
      <c r="N9206" t="str">
        <f>IFERROR(INDEX(tProdutos[Foco],MATCH(tItens[[#This Row],[Produto]],tProdutos[Produto],0)),"Não")</f>
        <v>Não</v>
      </c>
      <c r="O9206" t="str">
        <f>IFERROR(INDEX(tEditais[SRP],MATCH(tItens[[#This Row],[Edital]],tEditais[Edital],0)),"Não")</f>
        <v>Não</v>
      </c>
      <c r="P9206" s="4">
        <f>IF(COUNTIFS(INDEX(tItens[Edital],1):tItens[[#This Row],[Edital]],tItens[[#This Row],[Edital]],INDEX(tItens[Produto],1):tItens[[#This Row],[Produto]],tItens[[#This Row],[Produto]])=1,1,0)</f>
        <v>1</v>
      </c>
    </row>
    <row r="9207" spans="1:16" x14ac:dyDescent="0.25">
      <c r="A9207" t="s">
        <v>3129</v>
      </c>
      <c r="B9207">
        <v>2296013</v>
      </c>
      <c r="C9207" t="s">
        <v>11531</v>
      </c>
      <c r="D9207" t="s">
        <v>417</v>
      </c>
      <c r="E9207" s="13">
        <v>2</v>
      </c>
      <c r="F9207" s="12">
        <v>780</v>
      </c>
      <c r="G9207" t="str">
        <f>IFERROR(INDEX(tEditais[Órgão],MATCH(tItens[[#This Row],[Edital]],tEditais[Edital],0)),"")</f>
        <v>MUNICIPIO DE ITAPETININGA</v>
      </c>
      <c r="H9207" t="str">
        <f>IFERROR(INDEX(tEditais[UF],MATCH(tItens[[#This Row],[Edital]],tEditais[Edital],0)),"")</f>
        <v>SP</v>
      </c>
      <c r="I9207" s="11">
        <f>IFERROR(INDEX(tEditais[Encerramento],MATCH(tItens[[#This Row],[Edital]],tEditais[Edital],0)),"")</f>
        <v>46311.415972222225</v>
      </c>
      <c r="J9207" t="str">
        <f>IFERROR(INDEX(tProdutos[Classe],MATCH(tItens[[#This Row],[Produto]],tProdutos[Produto],0)),"produto não cadastrado")</f>
        <v>FORA</v>
      </c>
      <c r="K9207" s="12">
        <f>tItens[[#This Row],[Qtd]]*tItens[[#This Row],[Vlr unit]]</f>
        <v>1560</v>
      </c>
      <c r="L9207" s="6">
        <f>IFERROR(IF(INDEX(tProdutos[Desconto homologado],MATCH(tItens[[#This Row],[Produto]],tProdutos[Produto],0))="",DescontoPadrao,INDEX(tProdutos[Desconto homologado],MATCH(tItens[[#This Row],[Produto]],tProdutos[Produto],0))),DescontoPadrao)</f>
        <v>0.27842432580405202</v>
      </c>
      <c r="M9207" s="12">
        <f>tItens[[#This Row],[Valor]]*(1-tItens[[#This Row],[Desconto]])</f>
        <v>1125.6580517456789</v>
      </c>
      <c r="N9207" t="str">
        <f>IFERROR(INDEX(tProdutos[Foco],MATCH(tItens[[#This Row],[Produto]],tProdutos[Produto],0)),"Não")</f>
        <v>Não</v>
      </c>
      <c r="O9207" t="str">
        <f>IFERROR(INDEX(tEditais[SRP],MATCH(tItens[[#This Row],[Edital]],tEditais[Edital],0)),"Não")</f>
        <v>Sim</v>
      </c>
      <c r="P9207" s="4">
        <f>IF(COUNTIFS(INDEX(tItens[Edital],1):tItens[[#This Row],[Edital]],tItens[[#This Row],[Edital]],INDEX(tItens[Produto],1):tItens[[#This Row],[Produto]],tItens[[#This Row],[Produto]])=1,1,0)</f>
        <v>1</v>
      </c>
    </row>
    <row r="9208" spans="1:16" x14ac:dyDescent="0.25">
      <c r="A9208" t="s">
        <v>3134</v>
      </c>
      <c r="B9208">
        <v>4</v>
      </c>
      <c r="C9208" t="s">
        <v>11532</v>
      </c>
      <c r="D9208" t="s">
        <v>578</v>
      </c>
      <c r="E9208" s="13">
        <v>2</v>
      </c>
      <c r="F9208" s="12">
        <v>0</v>
      </c>
      <c r="G9208" t="str">
        <f>IFERROR(INDEX(tEditais[Órgão],MATCH(tItens[[#This Row],[Edital]],tEditais[Edital],0)),"")</f>
        <v>FUNDO MUNICIPAL DE SAUDE - FMS</v>
      </c>
      <c r="H9208" t="str">
        <f>IFERROR(INDEX(tEditais[UF],MATCH(tItens[[#This Row],[Edital]],tEditais[Edital],0)),"")</f>
        <v>SP</v>
      </c>
      <c r="I9208" s="11">
        <f>IFERROR(INDEX(tEditais[Encerramento],MATCH(tItens[[#This Row],[Edital]],tEditais[Edital],0)),"")</f>
        <v>46311.416666666664</v>
      </c>
      <c r="J9208" t="str">
        <f>IFERROR(INDEX(tProdutos[Classe],MATCH(tItens[[#This Row],[Produto]],tProdutos[Produto],0)),"produto não cadastrado")</f>
        <v>FILA REBASE</v>
      </c>
      <c r="K9208" s="12">
        <f>tItens[[#This Row],[Qtd]]*tItens[[#This Row],[Vlr unit]]</f>
        <v>0</v>
      </c>
      <c r="L9208" s="6">
        <f>IFERROR(IF(INDEX(tProdutos[Desconto homologado],MATCH(tItens[[#This Row],[Produto]],tProdutos[Produto],0))="",DescontoPadrao,INDEX(tProdutos[Desconto homologado],MATCH(tItens[[#This Row],[Produto]],tProdutos[Produto],0))),DescontoPadrao)</f>
        <v>0.36014625228519198</v>
      </c>
      <c r="M9208" s="12">
        <f>tItens[[#This Row],[Valor]]*(1-tItens[[#This Row],[Desconto]])</f>
        <v>0</v>
      </c>
      <c r="N9208" t="str">
        <f>IFERROR(INDEX(tProdutos[Foco],MATCH(tItens[[#This Row],[Produto]],tProdutos[Produto],0)),"Não")</f>
        <v>Não</v>
      </c>
      <c r="O9208" t="str">
        <f>IFERROR(INDEX(tEditais[SRP],MATCH(tItens[[#This Row],[Edital]],tEditais[Edital],0)),"Não")</f>
        <v>Não</v>
      </c>
      <c r="P9208" s="4">
        <f>IF(COUNTIFS(INDEX(tItens[Edital],1):tItens[[#This Row],[Edital]],tItens[[#This Row],[Edital]],INDEX(tItens[Produto],1):tItens[[#This Row],[Produto]],tItens[[#This Row],[Produto]])=1,1,0)</f>
        <v>1</v>
      </c>
    </row>
    <row r="9209" spans="1:16" x14ac:dyDescent="0.25">
      <c r="A9209" t="s">
        <v>3137</v>
      </c>
      <c r="B9209">
        <v>1</v>
      </c>
      <c r="C9209" t="s">
        <v>5488</v>
      </c>
      <c r="D9209" t="s">
        <v>566</v>
      </c>
      <c r="E9209" s="13">
        <v>41</v>
      </c>
      <c r="F9209" s="12">
        <v>0</v>
      </c>
      <c r="G9209" t="str">
        <f>IFERROR(INDEX(tEditais[Órgão],MATCH(tItens[[#This Row],[Edital]],tEditais[Edital],0)),"")</f>
        <v>SECRETARIA DE ESTADO DA SAUDE</v>
      </c>
      <c r="H9209" t="str">
        <f>IFERROR(INDEX(tEditais[UF],MATCH(tItens[[#This Row],[Edital]],tEditais[Edital],0)),"")</f>
        <v>SP</v>
      </c>
      <c r="I9209" s="11">
        <f>IFERROR(INDEX(tEditais[Encerramento],MATCH(tItens[[#This Row],[Edital]],tEditais[Edital],0)),"")</f>
        <v>46311.416666666664</v>
      </c>
      <c r="J9209" t="str">
        <f>IFERROR(INDEX(tProdutos[Classe],MATCH(tItens[[#This Row],[Produto]],tProdutos[Produto],0)),"produto não cadastrado")</f>
        <v>FILA REBASE</v>
      </c>
      <c r="K9209" s="12">
        <f>tItens[[#This Row],[Qtd]]*tItens[[#This Row],[Vlr unit]]</f>
        <v>0</v>
      </c>
      <c r="L9209" s="6">
        <f>IFERROR(IF(INDEX(tProdutos[Desconto homologado],MATCH(tItens[[#This Row],[Produto]],tProdutos[Produto],0))="",DescontoPadrao,INDEX(tProdutos[Desconto homologado],MATCH(tItens[[#This Row],[Produto]],tProdutos[Produto],0))),DescontoPadrao)</f>
        <v>0.1816062551698</v>
      </c>
      <c r="M9209" s="12">
        <f>tItens[[#This Row],[Valor]]*(1-tItens[[#This Row],[Desconto]])</f>
        <v>0</v>
      </c>
      <c r="N9209" t="str">
        <f>IFERROR(INDEX(tProdutos[Foco],MATCH(tItens[[#This Row],[Produto]],tProdutos[Produto],0)),"Não")</f>
        <v>Não</v>
      </c>
      <c r="O9209" t="str">
        <f>IFERROR(INDEX(tEditais[SRP],MATCH(tItens[[#This Row],[Edital]],tEditais[Edital],0)),"Não")</f>
        <v>Não</v>
      </c>
      <c r="P9209" s="4">
        <f>IF(COUNTIFS(INDEX(tItens[Edital],1):tItens[[#This Row],[Edital]],tItens[[#This Row],[Edital]],INDEX(tItens[Produto],1):tItens[[#This Row],[Produto]],tItens[[#This Row],[Produto]])=1,1,0)</f>
        <v>1</v>
      </c>
    </row>
    <row r="9210" spans="1:16" x14ac:dyDescent="0.25">
      <c r="A9210" t="s">
        <v>3140</v>
      </c>
      <c r="B9210">
        <v>1</v>
      </c>
      <c r="C9210" t="s">
        <v>11533</v>
      </c>
      <c r="D9210" t="s">
        <v>375</v>
      </c>
      <c r="E9210" s="13">
        <v>864</v>
      </c>
      <c r="F9210" s="12">
        <v>0</v>
      </c>
      <c r="G9210" t="str">
        <f>IFERROR(INDEX(tEditais[Órgão],MATCH(tItens[[#This Row],[Edital]],tEditais[Edital],0)),"")</f>
        <v>SECRETARIA DE ESTADO DA SAUDE</v>
      </c>
      <c r="H9210" t="str">
        <f>IFERROR(INDEX(tEditais[UF],MATCH(tItens[[#This Row],[Edital]],tEditais[Edital],0)),"")</f>
        <v>SP</v>
      </c>
      <c r="I9210" s="11">
        <f>IFERROR(INDEX(tEditais[Encerramento],MATCH(tItens[[#This Row],[Edital]],tEditais[Edital],0)),"")</f>
        <v>46314.333333333336</v>
      </c>
      <c r="J9210" t="str">
        <f>IFERROR(INDEX(tProdutos[Classe],MATCH(tItens[[#This Row],[Produto]],tProdutos[Produto],0)),"produto não cadastrado")</f>
        <v>FORA</v>
      </c>
      <c r="K9210" s="12">
        <f>tItens[[#This Row],[Qtd]]*tItens[[#This Row],[Vlr unit]]</f>
        <v>0</v>
      </c>
      <c r="L9210" s="6">
        <f>IFERROR(IF(INDEX(tProdutos[Desconto homologado],MATCH(tItens[[#This Row],[Produto]],tProdutos[Produto],0))="",DescontoPadrao,INDEX(tProdutos[Desconto homologado],MATCH(tItens[[#This Row],[Produto]],tProdutos[Produto],0))),DescontoPadrao)</f>
        <v>0.25005895299481201</v>
      </c>
      <c r="M9210" s="12">
        <f>tItens[[#This Row],[Valor]]*(1-tItens[[#This Row],[Desconto]])</f>
        <v>0</v>
      </c>
      <c r="N9210" t="str">
        <f>IFERROR(INDEX(tProdutos[Foco],MATCH(tItens[[#This Row],[Produto]],tProdutos[Produto],0)),"Não")</f>
        <v>Não</v>
      </c>
      <c r="O9210" t="str">
        <f>IFERROR(INDEX(tEditais[SRP],MATCH(tItens[[#This Row],[Edital]],tEditais[Edital],0)),"Não")</f>
        <v>Não</v>
      </c>
      <c r="P9210" s="4">
        <f>IF(COUNTIFS(INDEX(tItens[Edital],1):tItens[[#This Row],[Edital]],tItens[[#This Row],[Edital]],INDEX(tItens[Produto],1):tItens[[#This Row],[Produto]],tItens[[#This Row],[Produto]])=1,1,0)</f>
        <v>1</v>
      </c>
    </row>
    <row r="9211" spans="1:16" x14ac:dyDescent="0.25">
      <c r="A9211" t="s">
        <v>3140</v>
      </c>
      <c r="B9211">
        <v>2</v>
      </c>
      <c r="C9211" t="s">
        <v>11534</v>
      </c>
      <c r="D9211" t="s">
        <v>375</v>
      </c>
      <c r="E9211" s="13">
        <v>1008</v>
      </c>
      <c r="F9211" s="12">
        <v>0</v>
      </c>
      <c r="G9211" t="str">
        <f>IFERROR(INDEX(tEditais[Órgão],MATCH(tItens[[#This Row],[Edital]],tEditais[Edital],0)),"")</f>
        <v>SECRETARIA DE ESTADO DA SAUDE</v>
      </c>
      <c r="H9211" t="str">
        <f>IFERROR(INDEX(tEditais[UF],MATCH(tItens[[#This Row],[Edital]],tEditais[Edital],0)),"")</f>
        <v>SP</v>
      </c>
      <c r="I9211" s="11">
        <f>IFERROR(INDEX(tEditais[Encerramento],MATCH(tItens[[#This Row],[Edital]],tEditais[Edital],0)),"")</f>
        <v>46314.333333333336</v>
      </c>
      <c r="J9211" t="str">
        <f>IFERROR(INDEX(tProdutos[Classe],MATCH(tItens[[#This Row],[Produto]],tProdutos[Produto],0)),"produto não cadastrado")</f>
        <v>FORA</v>
      </c>
      <c r="K9211" s="12">
        <f>tItens[[#This Row],[Qtd]]*tItens[[#This Row],[Vlr unit]]</f>
        <v>0</v>
      </c>
      <c r="L9211" s="6">
        <f>IFERROR(IF(INDEX(tProdutos[Desconto homologado],MATCH(tItens[[#This Row],[Produto]],tProdutos[Produto],0))="",DescontoPadrao,INDEX(tProdutos[Desconto homologado],MATCH(tItens[[#This Row],[Produto]],tProdutos[Produto],0))),DescontoPadrao)</f>
        <v>0.25005895299481201</v>
      </c>
      <c r="M9211" s="12">
        <f>tItens[[#This Row],[Valor]]*(1-tItens[[#This Row],[Desconto]])</f>
        <v>0</v>
      </c>
      <c r="N9211" t="str">
        <f>IFERROR(INDEX(tProdutos[Foco],MATCH(tItens[[#This Row],[Produto]],tProdutos[Produto],0)),"Não")</f>
        <v>Não</v>
      </c>
      <c r="O9211" t="str">
        <f>IFERROR(INDEX(tEditais[SRP],MATCH(tItens[[#This Row],[Edital]],tEditais[Edital],0)),"Não")</f>
        <v>Não</v>
      </c>
      <c r="P9211" s="4">
        <f>IF(COUNTIFS(INDEX(tItens[Edital],1):tItens[[#This Row],[Edital]],tItens[[#This Row],[Edital]],INDEX(tItens[Produto],1):tItens[[#This Row],[Produto]],tItens[[#This Row],[Produto]])=1,1,0)</f>
        <v>0</v>
      </c>
    </row>
    <row r="9212" spans="1:16" x14ac:dyDescent="0.25">
      <c r="A9212" t="s">
        <v>3140</v>
      </c>
      <c r="B9212">
        <v>4</v>
      </c>
      <c r="C9212" t="s">
        <v>11535</v>
      </c>
      <c r="D9212" t="s">
        <v>461</v>
      </c>
      <c r="E9212" s="13">
        <v>672</v>
      </c>
      <c r="F9212" s="12">
        <v>0</v>
      </c>
      <c r="G9212" t="str">
        <f>IFERROR(INDEX(tEditais[Órgão],MATCH(tItens[[#This Row],[Edital]],tEditais[Edital],0)),"")</f>
        <v>SECRETARIA DE ESTADO DA SAUDE</v>
      </c>
      <c r="H9212" t="str">
        <f>IFERROR(INDEX(tEditais[UF],MATCH(tItens[[#This Row],[Edital]],tEditais[Edital],0)),"")</f>
        <v>SP</v>
      </c>
      <c r="I9212" s="11">
        <f>IFERROR(INDEX(tEditais[Encerramento],MATCH(tItens[[#This Row],[Edital]],tEditais[Edital],0)),"")</f>
        <v>46314.333333333336</v>
      </c>
      <c r="J9212" t="str">
        <f>IFERROR(INDEX(tProdutos[Classe],MATCH(tItens[[#This Row],[Produto]],tProdutos[Produto],0)),"produto não cadastrado")</f>
        <v>FILA REBASE</v>
      </c>
      <c r="K9212" s="12">
        <f>tItens[[#This Row],[Qtd]]*tItens[[#This Row],[Vlr unit]]</f>
        <v>0</v>
      </c>
      <c r="L9212" s="6">
        <f>IFERROR(IF(INDEX(tProdutos[Desconto homologado],MATCH(tItens[[#This Row],[Produto]],tProdutos[Produto],0))="",DescontoPadrao,INDEX(tProdutos[Desconto homologado],MATCH(tItens[[#This Row],[Produto]],tProdutos[Produto],0))),DescontoPadrao)</f>
        <v>0.44096385542168698</v>
      </c>
      <c r="M9212" s="12">
        <f>tItens[[#This Row],[Valor]]*(1-tItens[[#This Row],[Desconto]])</f>
        <v>0</v>
      </c>
      <c r="N9212" t="str">
        <f>IFERROR(INDEX(tProdutos[Foco],MATCH(tItens[[#This Row],[Produto]],tProdutos[Produto],0)),"Não")</f>
        <v>Não</v>
      </c>
      <c r="O9212" t="str">
        <f>IFERROR(INDEX(tEditais[SRP],MATCH(tItens[[#This Row],[Edital]],tEditais[Edital],0)),"Não")</f>
        <v>Não</v>
      </c>
      <c r="P9212" s="4">
        <f>IF(COUNTIFS(INDEX(tItens[Edital],1):tItens[[#This Row],[Edital]],tItens[[#This Row],[Edital]],INDEX(tItens[Produto],1):tItens[[#This Row],[Produto]],tItens[[#This Row],[Produto]])=1,1,0)</f>
        <v>1</v>
      </c>
    </row>
    <row r="9213" spans="1:16" x14ac:dyDescent="0.25">
      <c r="A9213" t="s">
        <v>3140</v>
      </c>
      <c r="B9213">
        <v>6</v>
      </c>
      <c r="C9213" t="s">
        <v>5880</v>
      </c>
      <c r="D9213" t="s">
        <v>347</v>
      </c>
      <c r="E9213" s="13">
        <v>20</v>
      </c>
      <c r="F9213" s="12">
        <v>0</v>
      </c>
      <c r="G9213" t="str">
        <f>IFERROR(INDEX(tEditais[Órgão],MATCH(tItens[[#This Row],[Edital]],tEditais[Edital],0)),"")</f>
        <v>SECRETARIA DE ESTADO DA SAUDE</v>
      </c>
      <c r="H9213" t="str">
        <f>IFERROR(INDEX(tEditais[UF],MATCH(tItens[[#This Row],[Edital]],tEditais[Edital],0)),"")</f>
        <v>SP</v>
      </c>
      <c r="I9213" s="11">
        <f>IFERROR(INDEX(tEditais[Encerramento],MATCH(tItens[[#This Row],[Edital]],tEditais[Edital],0)),"")</f>
        <v>46314.333333333336</v>
      </c>
      <c r="J9213" t="str">
        <f>IFERROR(INDEX(tProdutos[Classe],MATCH(tItens[[#This Row],[Produto]],tProdutos[Produto],0)),"produto não cadastrado")</f>
        <v>FORA</v>
      </c>
      <c r="K9213" s="12">
        <f>tItens[[#This Row],[Qtd]]*tItens[[#This Row],[Vlr unit]]</f>
        <v>0</v>
      </c>
      <c r="L9213" s="6">
        <f>IFERROR(IF(INDEX(tProdutos[Desconto homologado],MATCH(tItens[[#This Row],[Produto]],tProdutos[Produto],0))="",DescontoPadrao,INDEX(tProdutos[Desconto homologado],MATCH(tItens[[#This Row],[Produto]],tProdutos[Produto],0))),DescontoPadrao)</f>
        <v>0.26356465005931201</v>
      </c>
      <c r="M9213" s="12">
        <f>tItens[[#This Row],[Valor]]*(1-tItens[[#This Row],[Desconto]])</f>
        <v>0</v>
      </c>
      <c r="N9213" t="str">
        <f>IFERROR(INDEX(tProdutos[Foco],MATCH(tItens[[#This Row],[Produto]],tProdutos[Produto],0)),"Não")</f>
        <v>Não</v>
      </c>
      <c r="O9213" t="str">
        <f>IFERROR(INDEX(tEditais[SRP],MATCH(tItens[[#This Row],[Edital]],tEditais[Edital],0)),"Não")</f>
        <v>Não</v>
      </c>
      <c r="P9213" s="4">
        <f>IF(COUNTIFS(INDEX(tItens[Edital],1):tItens[[#This Row],[Edital]],tItens[[#This Row],[Edital]],INDEX(tItens[Produto],1):tItens[[#This Row],[Produto]],tItens[[#This Row],[Produto]])=1,1,0)</f>
        <v>1</v>
      </c>
    </row>
    <row r="9214" spans="1:16" x14ac:dyDescent="0.25">
      <c r="A9214" t="s">
        <v>3140</v>
      </c>
      <c r="B9214">
        <v>7</v>
      </c>
      <c r="C9214" t="s">
        <v>11536</v>
      </c>
      <c r="D9214" t="s">
        <v>229</v>
      </c>
      <c r="E9214" s="13">
        <v>100</v>
      </c>
      <c r="F9214" s="12">
        <v>0</v>
      </c>
      <c r="G9214" t="str">
        <f>IFERROR(INDEX(tEditais[Órgão],MATCH(tItens[[#This Row],[Edital]],tEditais[Edital],0)),"")</f>
        <v>SECRETARIA DE ESTADO DA SAUDE</v>
      </c>
      <c r="H9214" t="str">
        <f>IFERROR(INDEX(tEditais[UF],MATCH(tItens[[#This Row],[Edital]],tEditais[Edital],0)),"")</f>
        <v>SP</v>
      </c>
      <c r="I9214" s="11">
        <f>IFERROR(INDEX(tEditais[Encerramento],MATCH(tItens[[#This Row],[Edital]],tEditais[Edital],0)),"")</f>
        <v>46314.333333333336</v>
      </c>
      <c r="J9214" t="str">
        <f>IFERROR(INDEX(tProdutos[Classe],MATCH(tItens[[#This Row],[Produto]],tProdutos[Produto],0)),"produto não cadastrado")</f>
        <v>FORA</v>
      </c>
      <c r="K9214" s="12">
        <f>tItens[[#This Row],[Qtd]]*tItens[[#This Row],[Vlr unit]]</f>
        <v>0</v>
      </c>
      <c r="L9214" s="6">
        <f>IFERROR(IF(INDEX(tProdutos[Desconto homologado],MATCH(tItens[[#This Row],[Produto]],tProdutos[Produto],0))="",DescontoPadrao,INDEX(tProdutos[Desconto homologado],MATCH(tItens[[#This Row],[Produto]],tProdutos[Produto],0))),DescontoPadrao)</f>
        <v>0.33093491191658198</v>
      </c>
      <c r="M9214" s="12">
        <f>tItens[[#This Row],[Valor]]*(1-tItens[[#This Row],[Desconto]])</f>
        <v>0</v>
      </c>
      <c r="N9214" t="str">
        <f>IFERROR(INDEX(tProdutos[Foco],MATCH(tItens[[#This Row],[Produto]],tProdutos[Produto],0)),"Não")</f>
        <v>Não</v>
      </c>
      <c r="O9214" t="str">
        <f>IFERROR(INDEX(tEditais[SRP],MATCH(tItens[[#This Row],[Edital]],tEditais[Edital],0)),"Não")</f>
        <v>Não</v>
      </c>
      <c r="P9214" s="4">
        <f>IF(COUNTIFS(INDEX(tItens[Edital],1):tItens[[#This Row],[Edital]],tItens[[#This Row],[Edital]],INDEX(tItens[Produto],1):tItens[[#This Row],[Produto]],tItens[[#This Row],[Produto]])=1,1,0)</f>
        <v>1</v>
      </c>
    </row>
    <row r="9215" spans="1:16" x14ac:dyDescent="0.25">
      <c r="A9215" t="s">
        <v>3143</v>
      </c>
      <c r="B9215">
        <v>283</v>
      </c>
      <c r="C9215" t="s">
        <v>6972</v>
      </c>
      <c r="D9215" t="s">
        <v>311</v>
      </c>
      <c r="E9215" s="13">
        <v>300</v>
      </c>
      <c r="F9215" s="12">
        <v>8.98</v>
      </c>
      <c r="G9215" t="str">
        <f>IFERROR(INDEX(tEditais[Órgão],MATCH(tItens[[#This Row],[Edital]],tEditais[Edital],0)),"")</f>
        <v>COMANDO DA AERONAUTICA</v>
      </c>
      <c r="H9215" t="str">
        <f>IFERROR(INDEX(tEditais[UF],MATCH(tItens[[#This Row],[Edital]],tEditais[Edital],0)),"")</f>
        <v>SP</v>
      </c>
      <c r="I9215" s="11">
        <f>IFERROR(INDEX(tEditais[Encerramento],MATCH(tItens[[#This Row],[Edital]],tEditais[Edital],0)),"")</f>
        <v>46314.333333333336</v>
      </c>
      <c r="J9215" t="str">
        <f>IFERROR(INDEX(tProdutos[Classe],MATCH(tItens[[#This Row],[Produto]],tProdutos[Produto],0)),"produto não cadastrado")</f>
        <v>FORA</v>
      </c>
      <c r="K9215" s="12">
        <f>tItens[[#This Row],[Qtd]]*tItens[[#This Row],[Vlr unit]]</f>
        <v>2694</v>
      </c>
      <c r="L9215" s="6">
        <f>IFERROR(IF(INDEX(tProdutos[Desconto homologado],MATCH(tItens[[#This Row],[Produto]],tProdutos[Produto],0))="",DescontoPadrao,INDEX(tProdutos[Desconto homologado],MATCH(tItens[[#This Row],[Produto]],tProdutos[Produto],0))),DescontoPadrao)</f>
        <v>0.29046182846371399</v>
      </c>
      <c r="M9215" s="12">
        <f>tItens[[#This Row],[Valor]]*(1-tItens[[#This Row],[Desconto]])</f>
        <v>1911.4958341187546</v>
      </c>
      <c r="N9215" t="str">
        <f>IFERROR(INDEX(tProdutos[Foco],MATCH(tItens[[#This Row],[Produto]],tProdutos[Produto],0)),"Não")</f>
        <v>Não</v>
      </c>
      <c r="O9215" t="str">
        <f>IFERROR(INDEX(tEditais[SRP],MATCH(tItens[[#This Row],[Edital]],tEditais[Edital],0)),"Não")</f>
        <v>Não</v>
      </c>
      <c r="P9215" s="4">
        <f>IF(COUNTIFS(INDEX(tItens[Edital],1):tItens[[#This Row],[Edital]],tItens[[#This Row],[Edital]],INDEX(tItens[Produto],1):tItens[[#This Row],[Produto]],tItens[[#This Row],[Produto]])=1,1,0)</f>
        <v>1</v>
      </c>
    </row>
    <row r="9216" spans="1:16" x14ac:dyDescent="0.25">
      <c r="A9216" t="s">
        <v>3143</v>
      </c>
      <c r="B9216">
        <v>284</v>
      </c>
      <c r="C9216" t="s">
        <v>8583</v>
      </c>
      <c r="D9216" t="s">
        <v>209</v>
      </c>
      <c r="E9216" s="13">
        <v>300</v>
      </c>
      <c r="F9216" s="12">
        <v>7.4</v>
      </c>
      <c r="G9216" t="str">
        <f>IFERROR(INDEX(tEditais[Órgão],MATCH(tItens[[#This Row],[Edital]],tEditais[Edital],0)),"")</f>
        <v>COMANDO DA AERONAUTICA</v>
      </c>
      <c r="H9216" t="str">
        <f>IFERROR(INDEX(tEditais[UF],MATCH(tItens[[#This Row],[Edital]],tEditais[Edital],0)),"")</f>
        <v>SP</v>
      </c>
      <c r="I9216" s="11">
        <f>IFERROR(INDEX(tEditais[Encerramento],MATCH(tItens[[#This Row],[Edital]],tEditais[Edital],0)),"")</f>
        <v>46314.333333333336</v>
      </c>
      <c r="J9216" t="str">
        <f>IFERROR(INDEX(tProdutos[Classe],MATCH(tItens[[#This Row],[Produto]],tProdutos[Produto],0)),"produto não cadastrado")</f>
        <v>FORA</v>
      </c>
      <c r="K9216" s="12">
        <f>tItens[[#This Row],[Qtd]]*tItens[[#This Row],[Vlr unit]]</f>
        <v>2220</v>
      </c>
      <c r="L9216" s="6">
        <f>IFERROR(IF(INDEX(tProdutos[Desconto homologado],MATCH(tItens[[#This Row],[Produto]],tProdutos[Produto],0))="",DescontoPadrao,INDEX(tProdutos[Desconto homologado],MATCH(tItens[[#This Row],[Produto]],tProdutos[Produto],0))),DescontoPadrao)</f>
        <v>0.16442507504040599</v>
      </c>
      <c r="M9216" s="12">
        <f>tItens[[#This Row],[Valor]]*(1-tItens[[#This Row],[Desconto]])</f>
        <v>1854.9763334102988</v>
      </c>
      <c r="N9216" t="str">
        <f>IFERROR(INDEX(tProdutos[Foco],MATCH(tItens[[#This Row],[Produto]],tProdutos[Produto],0)),"Não")</f>
        <v>Não</v>
      </c>
      <c r="O9216" t="str">
        <f>IFERROR(INDEX(tEditais[SRP],MATCH(tItens[[#This Row],[Edital]],tEditais[Edital],0)),"Não")</f>
        <v>Não</v>
      </c>
      <c r="P9216" s="4">
        <f>IF(COUNTIFS(INDEX(tItens[Edital],1):tItens[[#This Row],[Edital]],tItens[[#This Row],[Edital]],INDEX(tItens[Produto],1):tItens[[#This Row],[Produto]],tItens[[#This Row],[Produto]])=1,1,0)</f>
        <v>1</v>
      </c>
    </row>
    <row r="9217" spans="1:16" x14ac:dyDescent="0.25">
      <c r="A9217" t="s">
        <v>3146</v>
      </c>
      <c r="B9217">
        <v>2</v>
      </c>
      <c r="C9217" t="s">
        <v>11537</v>
      </c>
      <c r="D9217" t="s">
        <v>375</v>
      </c>
      <c r="E9217" s="13">
        <v>2400</v>
      </c>
      <c r="F9217" s="12">
        <v>0</v>
      </c>
      <c r="G9217" t="str">
        <f>IFERROR(INDEX(tEditais[Órgão],MATCH(tItens[[#This Row],[Edital]],tEditais[Edital],0)),"")</f>
        <v>SECRETARIA DE ESTADO DA SAUDE</v>
      </c>
      <c r="H9217" t="str">
        <f>IFERROR(INDEX(tEditais[UF],MATCH(tItens[[#This Row],[Edital]],tEditais[Edital],0)),"")</f>
        <v>SP</v>
      </c>
      <c r="I9217" s="11">
        <f>IFERROR(INDEX(tEditais[Encerramento],MATCH(tItens[[#This Row],[Edital]],tEditais[Edital],0)),"")</f>
        <v>46314.333333333336</v>
      </c>
      <c r="J9217" t="str">
        <f>IFERROR(INDEX(tProdutos[Classe],MATCH(tItens[[#This Row],[Produto]],tProdutos[Produto],0)),"produto não cadastrado")</f>
        <v>FORA</v>
      </c>
      <c r="K9217" s="12">
        <f>tItens[[#This Row],[Qtd]]*tItens[[#This Row],[Vlr unit]]</f>
        <v>0</v>
      </c>
      <c r="L9217" s="6">
        <f>IFERROR(IF(INDEX(tProdutos[Desconto homologado],MATCH(tItens[[#This Row],[Produto]],tProdutos[Produto],0))="",DescontoPadrao,INDEX(tProdutos[Desconto homologado],MATCH(tItens[[#This Row],[Produto]],tProdutos[Produto],0))),DescontoPadrao)</f>
        <v>0.25005895299481201</v>
      </c>
      <c r="M9217" s="12">
        <f>tItens[[#This Row],[Valor]]*(1-tItens[[#This Row],[Desconto]])</f>
        <v>0</v>
      </c>
      <c r="N9217" t="str">
        <f>IFERROR(INDEX(tProdutos[Foco],MATCH(tItens[[#This Row],[Produto]],tProdutos[Produto],0)),"Não")</f>
        <v>Não</v>
      </c>
      <c r="O9217" t="str">
        <f>IFERROR(INDEX(tEditais[SRP],MATCH(tItens[[#This Row],[Edital]],tEditais[Edital],0)),"Não")</f>
        <v>Não</v>
      </c>
      <c r="P9217" s="4">
        <f>IF(COUNTIFS(INDEX(tItens[Edital],1):tItens[[#This Row],[Edital]],tItens[[#This Row],[Edital]],INDEX(tItens[Produto],1):tItens[[#This Row],[Produto]],tItens[[#This Row],[Produto]])=1,1,0)</f>
        <v>1</v>
      </c>
    </row>
    <row r="9218" spans="1:16" x14ac:dyDescent="0.25">
      <c r="A9218" t="s">
        <v>3146</v>
      </c>
      <c r="B9218">
        <v>3</v>
      </c>
      <c r="C9218" t="s">
        <v>11538</v>
      </c>
      <c r="D9218" t="s">
        <v>375</v>
      </c>
      <c r="E9218" s="13">
        <v>240</v>
      </c>
      <c r="F9218" s="12">
        <v>0</v>
      </c>
      <c r="G9218" t="str">
        <f>IFERROR(INDEX(tEditais[Órgão],MATCH(tItens[[#This Row],[Edital]],tEditais[Edital],0)),"")</f>
        <v>SECRETARIA DE ESTADO DA SAUDE</v>
      </c>
      <c r="H9218" t="str">
        <f>IFERROR(INDEX(tEditais[UF],MATCH(tItens[[#This Row],[Edital]],tEditais[Edital],0)),"")</f>
        <v>SP</v>
      </c>
      <c r="I9218" s="11">
        <f>IFERROR(INDEX(tEditais[Encerramento],MATCH(tItens[[#This Row],[Edital]],tEditais[Edital],0)),"")</f>
        <v>46314.333333333336</v>
      </c>
      <c r="J9218" t="str">
        <f>IFERROR(INDEX(tProdutos[Classe],MATCH(tItens[[#This Row],[Produto]],tProdutos[Produto],0)),"produto não cadastrado")</f>
        <v>FORA</v>
      </c>
      <c r="K9218" s="12">
        <f>tItens[[#This Row],[Qtd]]*tItens[[#This Row],[Vlr unit]]</f>
        <v>0</v>
      </c>
      <c r="L9218" s="6">
        <f>IFERROR(IF(INDEX(tProdutos[Desconto homologado],MATCH(tItens[[#This Row],[Produto]],tProdutos[Produto],0))="",DescontoPadrao,INDEX(tProdutos[Desconto homologado],MATCH(tItens[[#This Row],[Produto]],tProdutos[Produto],0))),DescontoPadrao)</f>
        <v>0.25005895299481201</v>
      </c>
      <c r="M9218" s="12">
        <f>tItens[[#This Row],[Valor]]*(1-tItens[[#This Row],[Desconto]])</f>
        <v>0</v>
      </c>
      <c r="N9218" t="str">
        <f>IFERROR(INDEX(tProdutos[Foco],MATCH(tItens[[#This Row],[Produto]],tProdutos[Produto],0)),"Não")</f>
        <v>Não</v>
      </c>
      <c r="O9218" t="str">
        <f>IFERROR(INDEX(tEditais[SRP],MATCH(tItens[[#This Row],[Edital]],tEditais[Edital],0)),"Não")</f>
        <v>Não</v>
      </c>
      <c r="P9218" s="4">
        <f>IF(COUNTIFS(INDEX(tItens[Edital],1):tItens[[#This Row],[Edital]],tItens[[#This Row],[Edital]],INDEX(tItens[Produto],1):tItens[[#This Row],[Produto]],tItens[[#This Row],[Produto]])=1,1,0)</f>
        <v>0</v>
      </c>
    </row>
    <row r="9219" spans="1:16" x14ac:dyDescent="0.25">
      <c r="A9219" t="s">
        <v>3149</v>
      </c>
      <c r="B9219">
        <v>1</v>
      </c>
      <c r="C9219" t="s">
        <v>11451</v>
      </c>
      <c r="D9219" t="s">
        <v>299</v>
      </c>
      <c r="E9219" s="13">
        <v>360</v>
      </c>
      <c r="F9219" s="12">
        <v>0</v>
      </c>
      <c r="G9219" t="str">
        <f>IFERROR(INDEX(tEditais[Órgão],MATCH(tItens[[#This Row],[Edital]],tEditais[Edital],0)),"")</f>
        <v>SECRETARIA DE ESTADO DA SAUDE</v>
      </c>
      <c r="H9219" t="str">
        <f>IFERROR(INDEX(tEditais[UF],MATCH(tItens[[#This Row],[Edital]],tEditais[Edital],0)),"")</f>
        <v>SP</v>
      </c>
      <c r="I9219" s="11">
        <f>IFERROR(INDEX(tEditais[Encerramento],MATCH(tItens[[#This Row],[Edital]],tEditais[Edital],0)),"")</f>
        <v>46314.333333333336</v>
      </c>
      <c r="J9219" t="str">
        <f>IFERROR(INDEX(tProdutos[Classe],MATCH(tItens[[#This Row],[Produto]],tProdutos[Produto],0)),"produto não cadastrado")</f>
        <v>FORA</v>
      </c>
      <c r="K9219" s="12">
        <f>tItens[[#This Row],[Qtd]]*tItens[[#This Row],[Vlr unit]]</f>
        <v>0</v>
      </c>
      <c r="L9219" s="6">
        <f>IFERROR(IF(INDEX(tProdutos[Desconto homologado],MATCH(tItens[[#This Row],[Produto]],tProdutos[Produto],0))="",DescontoPadrao,INDEX(tProdutos[Desconto homologado],MATCH(tItens[[#This Row],[Produto]],tProdutos[Produto],0))),DescontoPadrao)</f>
        <v>0.42211465163381601</v>
      </c>
      <c r="M9219" s="12">
        <f>tItens[[#This Row],[Valor]]*(1-tItens[[#This Row],[Desconto]])</f>
        <v>0</v>
      </c>
      <c r="N9219" t="str">
        <f>IFERROR(INDEX(tProdutos[Foco],MATCH(tItens[[#This Row],[Produto]],tProdutos[Produto],0)),"Não")</f>
        <v>Não</v>
      </c>
      <c r="O9219" t="str">
        <f>IFERROR(INDEX(tEditais[SRP],MATCH(tItens[[#This Row],[Edital]],tEditais[Edital],0)),"Não")</f>
        <v>Não</v>
      </c>
      <c r="P9219" s="4">
        <f>IF(COUNTIFS(INDEX(tItens[Edital],1):tItens[[#This Row],[Edital]],tItens[[#This Row],[Edital]],INDEX(tItens[Produto],1):tItens[[#This Row],[Produto]],tItens[[#This Row],[Produto]])=1,1,0)</f>
        <v>1</v>
      </c>
    </row>
    <row r="9220" spans="1:16" x14ac:dyDescent="0.25">
      <c r="A9220" t="s">
        <v>3152</v>
      </c>
      <c r="B9220">
        <v>6</v>
      </c>
      <c r="C9220" t="s">
        <v>11539</v>
      </c>
      <c r="D9220" t="s">
        <v>75</v>
      </c>
      <c r="E9220" s="13">
        <v>12000</v>
      </c>
      <c r="F9220" s="12">
        <v>4.04</v>
      </c>
      <c r="G9220" t="str">
        <f>IFERROR(INDEX(tEditais[Órgão],MATCH(tItens[[#This Row],[Edital]],tEditais[Edital],0)),"")</f>
        <v>MUNICIPIO DE BIRIGUI</v>
      </c>
      <c r="H9220" t="str">
        <f>IFERROR(INDEX(tEditais[UF],MATCH(tItens[[#This Row],[Edital]],tEditais[Edital],0)),"")</f>
        <v>SP</v>
      </c>
      <c r="I9220" s="11">
        <f>IFERROR(INDEX(tEditais[Encerramento],MATCH(tItens[[#This Row],[Edital]],tEditais[Edital],0)),"")</f>
        <v>46314.333333333336</v>
      </c>
      <c r="J9220" t="str">
        <f>IFERROR(INDEX(tProdutos[Classe],MATCH(tItens[[#This Row],[Produto]],tProdutos[Produto],0)),"produto não cadastrado")</f>
        <v>NÚCLEO</v>
      </c>
      <c r="K9220" s="12">
        <f>tItens[[#This Row],[Qtd]]*tItens[[#This Row],[Vlr unit]]</f>
        <v>48480</v>
      </c>
      <c r="L9220" s="6">
        <f>IFERROR(IF(INDEX(tProdutos[Desconto homologado],MATCH(tItens[[#This Row],[Produto]],tProdutos[Produto],0))="",DescontoPadrao,INDEX(tProdutos[Desconto homologado],MATCH(tItens[[#This Row],[Produto]],tProdutos[Produto],0))),DescontoPadrao)</f>
        <v>0.26</v>
      </c>
      <c r="M9220" s="12">
        <f>tItens[[#This Row],[Valor]]*(1-tItens[[#This Row],[Desconto]])</f>
        <v>35875.199999999997</v>
      </c>
      <c r="N9220" t="str">
        <f>IFERROR(INDEX(tProdutos[Foco],MATCH(tItens[[#This Row],[Produto]],tProdutos[Produto],0)),"Não")</f>
        <v>Sim</v>
      </c>
      <c r="O9220" t="str">
        <f>IFERROR(INDEX(tEditais[SRP],MATCH(tItens[[#This Row],[Edital]],tEditais[Edital],0)),"Não")</f>
        <v>Sim</v>
      </c>
      <c r="P9220" s="4">
        <f>IF(COUNTIFS(INDEX(tItens[Edital],1):tItens[[#This Row],[Edital]],tItens[[#This Row],[Edital]],INDEX(tItens[Produto],1):tItens[[#This Row],[Produto]],tItens[[#This Row],[Produto]])=1,1,0)</f>
        <v>1</v>
      </c>
    </row>
    <row r="9221" spans="1:16" x14ac:dyDescent="0.25">
      <c r="A9221" t="s">
        <v>3152</v>
      </c>
      <c r="B9221">
        <v>10</v>
      </c>
      <c r="C9221" t="s">
        <v>11540</v>
      </c>
      <c r="D9221" t="s">
        <v>297</v>
      </c>
      <c r="E9221" s="13">
        <v>200</v>
      </c>
      <c r="F9221" s="12">
        <v>19.079999999999998</v>
      </c>
      <c r="G9221" t="str">
        <f>IFERROR(INDEX(tEditais[Órgão],MATCH(tItens[[#This Row],[Edital]],tEditais[Edital],0)),"")</f>
        <v>MUNICIPIO DE BIRIGUI</v>
      </c>
      <c r="H9221" t="str">
        <f>IFERROR(INDEX(tEditais[UF],MATCH(tItens[[#This Row],[Edital]],tEditais[Edital],0)),"")</f>
        <v>SP</v>
      </c>
      <c r="I9221" s="11">
        <f>IFERROR(INDEX(tEditais[Encerramento],MATCH(tItens[[#This Row],[Edital]],tEditais[Edital],0)),"")</f>
        <v>46314.333333333336</v>
      </c>
      <c r="J9221" t="str">
        <f>IFERROR(INDEX(tProdutos[Classe],MATCH(tItens[[#This Row],[Produto]],tProdutos[Produto],0)),"produto não cadastrado")</f>
        <v>FORA</v>
      </c>
      <c r="K9221" s="12">
        <f>tItens[[#This Row],[Qtd]]*tItens[[#This Row],[Vlr unit]]</f>
        <v>3815.9999999999995</v>
      </c>
      <c r="L9221" s="6">
        <f>IFERROR(IF(INDEX(tProdutos[Desconto homologado],MATCH(tItens[[#This Row],[Produto]],tProdutos[Produto],0))="",DescontoPadrao,INDEX(tProdutos[Desconto homologado],MATCH(tItens[[#This Row],[Produto]],tProdutos[Produto],0))),DescontoPadrao)</f>
        <v>0.249544626593807</v>
      </c>
      <c r="M9221" s="12">
        <f>tItens[[#This Row],[Valor]]*(1-tItens[[#This Row],[Desconto]])</f>
        <v>2863.7377049180318</v>
      </c>
      <c r="N9221" t="str">
        <f>IFERROR(INDEX(tProdutos[Foco],MATCH(tItens[[#This Row],[Produto]],tProdutos[Produto],0)),"Não")</f>
        <v>Não</v>
      </c>
      <c r="O9221" t="str">
        <f>IFERROR(INDEX(tEditais[SRP],MATCH(tItens[[#This Row],[Edital]],tEditais[Edital],0)),"Não")</f>
        <v>Sim</v>
      </c>
      <c r="P9221" s="4">
        <f>IF(COUNTIFS(INDEX(tItens[Edital],1):tItens[[#This Row],[Edital]],tItens[[#This Row],[Edital]],INDEX(tItens[Produto],1):tItens[[#This Row],[Produto]],tItens[[#This Row],[Produto]])=1,1,0)</f>
        <v>1</v>
      </c>
    </row>
    <row r="9222" spans="1:16" x14ac:dyDescent="0.25">
      <c r="A9222" t="s">
        <v>3152</v>
      </c>
      <c r="B9222">
        <v>11</v>
      </c>
      <c r="C9222" t="s">
        <v>11541</v>
      </c>
      <c r="D9222" t="s">
        <v>363</v>
      </c>
      <c r="E9222" s="13">
        <v>200</v>
      </c>
      <c r="F9222" s="12">
        <v>14.63</v>
      </c>
      <c r="G9222" t="str">
        <f>IFERROR(INDEX(tEditais[Órgão],MATCH(tItens[[#This Row],[Edital]],tEditais[Edital],0)),"")</f>
        <v>MUNICIPIO DE BIRIGUI</v>
      </c>
      <c r="H9222" t="str">
        <f>IFERROR(INDEX(tEditais[UF],MATCH(tItens[[#This Row],[Edital]],tEditais[Edital],0)),"")</f>
        <v>SP</v>
      </c>
      <c r="I9222" s="11">
        <f>IFERROR(INDEX(tEditais[Encerramento],MATCH(tItens[[#This Row],[Edital]],tEditais[Edital],0)),"")</f>
        <v>46314.333333333336</v>
      </c>
      <c r="J9222" t="str">
        <f>IFERROR(INDEX(tProdutos[Classe],MATCH(tItens[[#This Row],[Produto]],tProdutos[Produto],0)),"produto não cadastrado")</f>
        <v>FORA</v>
      </c>
      <c r="K9222" s="12">
        <f>tItens[[#This Row],[Qtd]]*tItens[[#This Row],[Vlr unit]]</f>
        <v>2926</v>
      </c>
      <c r="L9222" s="6">
        <f>IFERROR(IF(INDEX(tProdutos[Desconto homologado],MATCH(tItens[[#This Row],[Produto]],tProdutos[Produto],0))="",DescontoPadrao,INDEX(tProdutos[Desconto homologado],MATCH(tItens[[#This Row],[Produto]],tProdutos[Produto],0))),DescontoPadrao)</f>
        <v>0.36454545454545501</v>
      </c>
      <c r="M9222" s="12">
        <f>tItens[[#This Row],[Valor]]*(1-tItens[[#This Row],[Desconto]])</f>
        <v>1859.3399999999988</v>
      </c>
      <c r="N9222" t="str">
        <f>IFERROR(INDEX(tProdutos[Foco],MATCH(tItens[[#This Row],[Produto]],tProdutos[Produto],0)),"Não")</f>
        <v>Não</v>
      </c>
      <c r="O9222" t="str">
        <f>IFERROR(INDEX(tEditais[SRP],MATCH(tItens[[#This Row],[Edital]],tEditais[Edital],0)),"Não")</f>
        <v>Sim</v>
      </c>
      <c r="P9222" s="4">
        <f>IF(COUNTIFS(INDEX(tItens[Edital],1):tItens[[#This Row],[Edital]],tItens[[#This Row],[Edital]],INDEX(tItens[Produto],1):tItens[[#This Row],[Produto]],tItens[[#This Row],[Produto]])=1,1,0)</f>
        <v>1</v>
      </c>
    </row>
    <row r="9223" spans="1:16" x14ac:dyDescent="0.25">
      <c r="A9223" t="s">
        <v>3152</v>
      </c>
      <c r="B9223">
        <v>15</v>
      </c>
      <c r="C9223" t="s">
        <v>11542</v>
      </c>
      <c r="D9223" t="s">
        <v>126</v>
      </c>
      <c r="E9223" s="13">
        <v>200</v>
      </c>
      <c r="F9223" s="12">
        <v>11.44</v>
      </c>
      <c r="G9223" t="str">
        <f>IFERROR(INDEX(tEditais[Órgão],MATCH(tItens[[#This Row],[Edital]],tEditais[Edital],0)),"")</f>
        <v>MUNICIPIO DE BIRIGUI</v>
      </c>
      <c r="H9223" t="str">
        <f>IFERROR(INDEX(tEditais[UF],MATCH(tItens[[#This Row],[Edital]],tEditais[Edital],0)),"")</f>
        <v>SP</v>
      </c>
      <c r="I9223" s="11">
        <f>IFERROR(INDEX(tEditais[Encerramento],MATCH(tItens[[#This Row],[Edital]],tEditais[Edital],0)),"")</f>
        <v>46314.333333333336</v>
      </c>
      <c r="J9223" t="str">
        <f>IFERROR(INDEX(tProdutos[Classe],MATCH(tItens[[#This Row],[Produto]],tProdutos[Produto],0)),"produto não cadastrado")</f>
        <v>DISPUTADO</v>
      </c>
      <c r="K9223" s="12">
        <f>tItens[[#This Row],[Qtd]]*tItens[[#This Row],[Vlr unit]]</f>
        <v>2288</v>
      </c>
      <c r="L9223" s="6">
        <f>IFERROR(IF(INDEX(tProdutos[Desconto homologado],MATCH(tItens[[#This Row],[Produto]],tProdutos[Produto],0))="",DescontoPadrao,INDEX(tProdutos[Desconto homologado],MATCH(tItens[[#This Row],[Produto]],tProdutos[Produto],0))),DescontoPadrao)</f>
        <v>0.21</v>
      </c>
      <c r="M9223" s="12">
        <f>tItens[[#This Row],[Valor]]*(1-tItens[[#This Row],[Desconto]])</f>
        <v>1807.52</v>
      </c>
      <c r="N9223" t="str">
        <f>IFERROR(INDEX(tProdutos[Foco],MATCH(tItens[[#This Row],[Produto]],tProdutos[Produto],0)),"Não")</f>
        <v>Sim</v>
      </c>
      <c r="O9223" t="str">
        <f>IFERROR(INDEX(tEditais[SRP],MATCH(tItens[[#This Row],[Edital]],tEditais[Edital],0)),"Não")</f>
        <v>Sim</v>
      </c>
      <c r="P9223" s="4">
        <f>IF(COUNTIFS(INDEX(tItens[Edital],1):tItens[[#This Row],[Edital]],tItens[[#This Row],[Edital]],INDEX(tItens[Produto],1):tItens[[#This Row],[Produto]],tItens[[#This Row],[Produto]])=1,1,0)</f>
        <v>1</v>
      </c>
    </row>
    <row r="9224" spans="1:16" x14ac:dyDescent="0.25">
      <c r="A9224" t="s">
        <v>3152</v>
      </c>
      <c r="B9224">
        <v>19</v>
      </c>
      <c r="C9224" t="s">
        <v>11543</v>
      </c>
      <c r="D9224" t="s">
        <v>221</v>
      </c>
      <c r="E9224" s="13">
        <v>3000</v>
      </c>
      <c r="F9224" s="12">
        <v>2.2000000000000002</v>
      </c>
      <c r="G9224" t="str">
        <f>IFERROR(INDEX(tEditais[Órgão],MATCH(tItens[[#This Row],[Edital]],tEditais[Edital],0)),"")</f>
        <v>MUNICIPIO DE BIRIGUI</v>
      </c>
      <c r="H9224" t="str">
        <f>IFERROR(INDEX(tEditais[UF],MATCH(tItens[[#This Row],[Edital]],tEditais[Edital],0)),"")</f>
        <v>SP</v>
      </c>
      <c r="I9224" s="11">
        <f>IFERROR(INDEX(tEditais[Encerramento],MATCH(tItens[[#This Row],[Edital]],tEditais[Edital],0)),"")</f>
        <v>46314.333333333336</v>
      </c>
      <c r="J9224" t="str">
        <f>IFERROR(INDEX(tProdutos[Classe],MATCH(tItens[[#This Row],[Produto]],tProdutos[Produto],0)),"produto não cadastrado")</f>
        <v>FORA</v>
      </c>
      <c r="K9224" s="12">
        <f>tItens[[#This Row],[Qtd]]*tItens[[#This Row],[Vlr unit]]</f>
        <v>6600.0000000000009</v>
      </c>
      <c r="L9224" s="6">
        <f>IFERROR(IF(INDEX(tProdutos[Desconto homologado],MATCH(tItens[[#This Row],[Produto]],tProdutos[Produto],0))="",DescontoPadrao,INDEX(tProdutos[Desconto homologado],MATCH(tItens[[#This Row],[Produto]],tProdutos[Produto],0))),DescontoPadrao)</f>
        <v>0.35408560311283999</v>
      </c>
      <c r="M9224" s="12">
        <f>tItens[[#This Row],[Valor]]*(1-tItens[[#This Row],[Desconto]])</f>
        <v>4263.0350194552566</v>
      </c>
      <c r="N9224" t="str">
        <f>IFERROR(INDEX(tProdutos[Foco],MATCH(tItens[[#This Row],[Produto]],tProdutos[Produto],0)),"Não")</f>
        <v>Não</v>
      </c>
      <c r="O9224" t="str">
        <f>IFERROR(INDEX(tEditais[SRP],MATCH(tItens[[#This Row],[Edital]],tEditais[Edital],0)),"Não")</f>
        <v>Sim</v>
      </c>
      <c r="P9224" s="4">
        <f>IF(COUNTIFS(INDEX(tItens[Edital],1):tItens[[#This Row],[Edital]],tItens[[#This Row],[Edital]],INDEX(tItens[Produto],1):tItens[[#This Row],[Produto]],tItens[[#This Row],[Produto]])=1,1,0)</f>
        <v>1</v>
      </c>
    </row>
    <row r="9225" spans="1:16" x14ac:dyDescent="0.25">
      <c r="A9225" t="s">
        <v>3152</v>
      </c>
      <c r="B9225">
        <v>20</v>
      </c>
      <c r="C9225" t="s">
        <v>11544</v>
      </c>
      <c r="D9225" t="s">
        <v>221</v>
      </c>
      <c r="E9225" s="13">
        <v>3000</v>
      </c>
      <c r="F9225" s="12">
        <v>1.94</v>
      </c>
      <c r="G9225" t="str">
        <f>IFERROR(INDEX(tEditais[Órgão],MATCH(tItens[[#This Row],[Edital]],tEditais[Edital],0)),"")</f>
        <v>MUNICIPIO DE BIRIGUI</v>
      </c>
      <c r="H9225" t="str">
        <f>IFERROR(INDEX(tEditais[UF],MATCH(tItens[[#This Row],[Edital]],tEditais[Edital],0)),"")</f>
        <v>SP</v>
      </c>
      <c r="I9225" s="11">
        <f>IFERROR(INDEX(tEditais[Encerramento],MATCH(tItens[[#This Row],[Edital]],tEditais[Edital],0)),"")</f>
        <v>46314.333333333336</v>
      </c>
      <c r="J9225" t="str">
        <f>IFERROR(INDEX(tProdutos[Classe],MATCH(tItens[[#This Row],[Produto]],tProdutos[Produto],0)),"produto não cadastrado")</f>
        <v>FORA</v>
      </c>
      <c r="K9225" s="12">
        <f>tItens[[#This Row],[Qtd]]*tItens[[#This Row],[Vlr unit]]</f>
        <v>5820</v>
      </c>
      <c r="L9225" s="6">
        <f>IFERROR(IF(INDEX(tProdutos[Desconto homologado],MATCH(tItens[[#This Row],[Produto]],tProdutos[Produto],0))="",DescontoPadrao,INDEX(tProdutos[Desconto homologado],MATCH(tItens[[#This Row],[Produto]],tProdutos[Produto],0))),DescontoPadrao)</f>
        <v>0.35408560311283999</v>
      </c>
      <c r="M9225" s="12">
        <f>tItens[[#This Row],[Valor]]*(1-tItens[[#This Row],[Desconto]])</f>
        <v>3759.2217898832714</v>
      </c>
      <c r="N9225" t="str">
        <f>IFERROR(INDEX(tProdutos[Foco],MATCH(tItens[[#This Row],[Produto]],tProdutos[Produto],0)),"Não")</f>
        <v>Não</v>
      </c>
      <c r="O9225" t="str">
        <f>IFERROR(INDEX(tEditais[SRP],MATCH(tItens[[#This Row],[Edital]],tEditais[Edital],0)),"Não")</f>
        <v>Sim</v>
      </c>
      <c r="P9225" s="4">
        <f>IF(COUNTIFS(INDEX(tItens[Edital],1):tItens[[#This Row],[Edital]],tItens[[#This Row],[Edital]],INDEX(tItens[Produto],1):tItens[[#This Row],[Produto]],tItens[[#This Row],[Produto]])=1,1,0)</f>
        <v>0</v>
      </c>
    </row>
    <row r="9226" spans="1:16" x14ac:dyDescent="0.25">
      <c r="A9226" t="s">
        <v>3152</v>
      </c>
      <c r="B9226">
        <v>23</v>
      </c>
      <c r="C9226" t="s">
        <v>11545</v>
      </c>
      <c r="D9226" t="s">
        <v>341</v>
      </c>
      <c r="E9226" s="13">
        <v>300</v>
      </c>
      <c r="F9226" s="12">
        <v>37.92</v>
      </c>
      <c r="G9226" t="str">
        <f>IFERROR(INDEX(tEditais[Órgão],MATCH(tItens[[#This Row],[Edital]],tEditais[Edital],0)),"")</f>
        <v>MUNICIPIO DE BIRIGUI</v>
      </c>
      <c r="H9226" t="str">
        <f>IFERROR(INDEX(tEditais[UF],MATCH(tItens[[#This Row],[Edital]],tEditais[Edital],0)),"")</f>
        <v>SP</v>
      </c>
      <c r="I9226" s="11">
        <f>IFERROR(INDEX(tEditais[Encerramento],MATCH(tItens[[#This Row],[Edital]],tEditais[Edital],0)),"")</f>
        <v>46314.333333333336</v>
      </c>
      <c r="J9226" t="str">
        <f>IFERROR(INDEX(tProdutos[Classe],MATCH(tItens[[#This Row],[Produto]],tProdutos[Produto],0)),"produto não cadastrado")</f>
        <v>FORA</v>
      </c>
      <c r="K9226" s="12">
        <f>tItens[[#This Row],[Qtd]]*tItens[[#This Row],[Vlr unit]]</f>
        <v>11376</v>
      </c>
      <c r="L9226" s="6">
        <f>IFERROR(IF(INDEX(tProdutos[Desconto homologado],MATCH(tItens[[#This Row],[Produto]],tProdutos[Produto],0))="",DescontoPadrao,INDEX(tProdutos[Desconto homologado],MATCH(tItens[[#This Row],[Produto]],tProdutos[Produto],0))),DescontoPadrao)</f>
        <v>0.46918578497525898</v>
      </c>
      <c r="M9226" s="12">
        <f>tItens[[#This Row],[Valor]]*(1-tItens[[#This Row],[Desconto]])</f>
        <v>6038.5425101214541</v>
      </c>
      <c r="N9226" t="str">
        <f>IFERROR(INDEX(tProdutos[Foco],MATCH(tItens[[#This Row],[Produto]],tProdutos[Produto],0)),"Não")</f>
        <v>Não</v>
      </c>
      <c r="O9226" t="str">
        <f>IFERROR(INDEX(tEditais[SRP],MATCH(tItens[[#This Row],[Edital]],tEditais[Edital],0)),"Não")</f>
        <v>Sim</v>
      </c>
      <c r="P9226" s="4">
        <f>IF(COUNTIFS(INDEX(tItens[Edital],1):tItens[[#This Row],[Edital]],tItens[[#This Row],[Edital]],INDEX(tItens[Produto],1):tItens[[#This Row],[Produto]],tItens[[#This Row],[Produto]])=1,1,0)</f>
        <v>1</v>
      </c>
    </row>
    <row r="9227" spans="1:16" x14ac:dyDescent="0.25">
      <c r="A9227" t="s">
        <v>3152</v>
      </c>
      <c r="B9227">
        <v>24</v>
      </c>
      <c r="C9227" t="s">
        <v>11546</v>
      </c>
      <c r="D9227" t="s">
        <v>279</v>
      </c>
      <c r="E9227" s="13">
        <v>200</v>
      </c>
      <c r="F9227" s="12">
        <v>40.81</v>
      </c>
      <c r="G9227" t="str">
        <f>IFERROR(INDEX(tEditais[Órgão],MATCH(tItens[[#This Row],[Edital]],tEditais[Edital],0)),"")</f>
        <v>MUNICIPIO DE BIRIGUI</v>
      </c>
      <c r="H9227" t="str">
        <f>IFERROR(INDEX(tEditais[UF],MATCH(tItens[[#This Row],[Edital]],tEditais[Edital],0)),"")</f>
        <v>SP</v>
      </c>
      <c r="I9227" s="11">
        <f>IFERROR(INDEX(tEditais[Encerramento],MATCH(tItens[[#This Row],[Edital]],tEditais[Edital],0)),"")</f>
        <v>46314.333333333336</v>
      </c>
      <c r="J9227" t="str">
        <f>IFERROR(INDEX(tProdutos[Classe],MATCH(tItens[[#This Row],[Produto]],tProdutos[Produto],0)),"produto não cadastrado")</f>
        <v>FORA</v>
      </c>
      <c r="K9227" s="12">
        <f>tItens[[#This Row],[Qtd]]*tItens[[#This Row],[Vlr unit]]</f>
        <v>8162</v>
      </c>
      <c r="L9227" s="6">
        <f>IFERROR(IF(INDEX(tProdutos[Desconto homologado],MATCH(tItens[[#This Row],[Produto]],tProdutos[Produto],0))="",DescontoPadrao,INDEX(tProdutos[Desconto homologado],MATCH(tItens[[#This Row],[Produto]],tProdutos[Produto],0))),DescontoPadrao)</f>
        <v>0.28909090909090901</v>
      </c>
      <c r="M9227" s="12">
        <f>tItens[[#This Row],[Valor]]*(1-tItens[[#This Row],[Desconto]])</f>
        <v>5802.4400000000005</v>
      </c>
      <c r="N9227" t="str">
        <f>IFERROR(INDEX(tProdutos[Foco],MATCH(tItens[[#This Row],[Produto]],tProdutos[Produto],0)),"Não")</f>
        <v>Não</v>
      </c>
      <c r="O9227" t="str">
        <f>IFERROR(INDEX(tEditais[SRP],MATCH(tItens[[#This Row],[Edital]],tEditais[Edital],0)),"Não")</f>
        <v>Sim</v>
      </c>
      <c r="P9227" s="4">
        <f>IF(COUNTIFS(INDEX(tItens[Edital],1):tItens[[#This Row],[Edital]],tItens[[#This Row],[Edital]],INDEX(tItens[Produto],1):tItens[[#This Row],[Produto]],tItens[[#This Row],[Produto]])=1,1,0)</f>
        <v>1</v>
      </c>
    </row>
    <row r="9228" spans="1:16" x14ac:dyDescent="0.25">
      <c r="A9228" t="s">
        <v>3152</v>
      </c>
      <c r="B9228">
        <v>25</v>
      </c>
      <c r="C9228" t="s">
        <v>11547</v>
      </c>
      <c r="D9228" t="s">
        <v>275</v>
      </c>
      <c r="E9228" s="13">
        <v>262500</v>
      </c>
      <c r="F9228" s="12">
        <v>3.46</v>
      </c>
      <c r="G9228" t="str">
        <f>IFERROR(INDEX(tEditais[Órgão],MATCH(tItens[[#This Row],[Edital]],tEditais[Edital],0)),"")</f>
        <v>MUNICIPIO DE BIRIGUI</v>
      </c>
      <c r="H9228" t="str">
        <f>IFERROR(INDEX(tEditais[UF],MATCH(tItens[[#This Row],[Edital]],tEditais[Edital],0)),"")</f>
        <v>SP</v>
      </c>
      <c r="I9228" s="11">
        <f>IFERROR(INDEX(tEditais[Encerramento],MATCH(tItens[[#This Row],[Edital]],tEditais[Edital],0)),"")</f>
        <v>46314.333333333336</v>
      </c>
      <c r="J9228" t="str">
        <f>IFERROR(INDEX(tProdutos[Classe],MATCH(tItens[[#This Row],[Produto]],tProdutos[Produto],0)),"produto não cadastrado")</f>
        <v>FORA</v>
      </c>
      <c r="K9228" s="12">
        <f>tItens[[#This Row],[Qtd]]*tItens[[#This Row],[Vlr unit]]</f>
        <v>908250</v>
      </c>
      <c r="L9228" s="6">
        <f>IFERROR(IF(INDEX(tProdutos[Desconto homologado],MATCH(tItens[[#This Row],[Produto]],tProdutos[Produto],0))="",DescontoPadrao,INDEX(tProdutos[Desconto homologado],MATCH(tItens[[#This Row],[Produto]],tProdutos[Produto],0))),DescontoPadrao)</f>
        <v>0.405797101449275</v>
      </c>
      <c r="M9228" s="12">
        <f>tItens[[#This Row],[Valor]]*(1-tItens[[#This Row],[Desconto]])</f>
        <v>539684.78260869603</v>
      </c>
      <c r="N9228" t="str">
        <f>IFERROR(INDEX(tProdutos[Foco],MATCH(tItens[[#This Row],[Produto]],tProdutos[Produto],0)),"Não")</f>
        <v>Não</v>
      </c>
      <c r="O9228" t="str">
        <f>IFERROR(INDEX(tEditais[SRP],MATCH(tItens[[#This Row],[Edital]],tEditais[Edital],0)),"Não")</f>
        <v>Sim</v>
      </c>
      <c r="P9228" s="4">
        <f>IF(COUNTIFS(INDEX(tItens[Edital],1):tItens[[#This Row],[Edital]],tItens[[#This Row],[Edital]],INDEX(tItens[Produto],1):tItens[[#This Row],[Produto]],tItens[[#This Row],[Produto]])=1,1,0)</f>
        <v>1</v>
      </c>
    </row>
    <row r="9229" spans="1:16" x14ac:dyDescent="0.25">
      <c r="A9229" t="s">
        <v>3152</v>
      </c>
      <c r="B9229">
        <v>26</v>
      </c>
      <c r="C9229" t="s">
        <v>11548</v>
      </c>
      <c r="D9229" t="s">
        <v>275</v>
      </c>
      <c r="E9229" s="13">
        <v>87500</v>
      </c>
      <c r="F9229" s="12">
        <v>3.46</v>
      </c>
      <c r="G9229" t="str">
        <f>IFERROR(INDEX(tEditais[Órgão],MATCH(tItens[[#This Row],[Edital]],tEditais[Edital],0)),"")</f>
        <v>MUNICIPIO DE BIRIGUI</v>
      </c>
      <c r="H9229" t="str">
        <f>IFERROR(INDEX(tEditais[UF],MATCH(tItens[[#This Row],[Edital]],tEditais[Edital],0)),"")</f>
        <v>SP</v>
      </c>
      <c r="I9229" s="11">
        <f>IFERROR(INDEX(tEditais[Encerramento],MATCH(tItens[[#This Row],[Edital]],tEditais[Edital],0)),"")</f>
        <v>46314.333333333336</v>
      </c>
      <c r="J9229" t="str">
        <f>IFERROR(INDEX(tProdutos[Classe],MATCH(tItens[[#This Row],[Produto]],tProdutos[Produto],0)),"produto não cadastrado")</f>
        <v>FORA</v>
      </c>
      <c r="K9229" s="12">
        <f>tItens[[#This Row],[Qtd]]*tItens[[#This Row],[Vlr unit]]</f>
        <v>302750</v>
      </c>
      <c r="L9229" s="6">
        <f>IFERROR(IF(INDEX(tProdutos[Desconto homologado],MATCH(tItens[[#This Row],[Produto]],tProdutos[Produto],0))="",DescontoPadrao,INDEX(tProdutos[Desconto homologado],MATCH(tItens[[#This Row],[Produto]],tProdutos[Produto],0))),DescontoPadrao)</f>
        <v>0.405797101449275</v>
      </c>
      <c r="M9229" s="12">
        <f>tItens[[#This Row],[Valor]]*(1-tItens[[#This Row],[Desconto]])</f>
        <v>179894.92753623202</v>
      </c>
      <c r="N9229" t="str">
        <f>IFERROR(INDEX(tProdutos[Foco],MATCH(tItens[[#This Row],[Produto]],tProdutos[Produto],0)),"Não")</f>
        <v>Não</v>
      </c>
      <c r="O9229" t="str">
        <f>IFERROR(INDEX(tEditais[SRP],MATCH(tItens[[#This Row],[Edital]],tEditais[Edital],0)),"Não")</f>
        <v>Sim</v>
      </c>
      <c r="P9229" s="4">
        <f>IF(COUNTIFS(INDEX(tItens[Edital],1):tItens[[#This Row],[Edital]],tItens[[#This Row],[Edital]],INDEX(tItens[Produto],1):tItens[[#This Row],[Produto]],tItens[[#This Row],[Produto]])=1,1,0)</f>
        <v>0</v>
      </c>
    </row>
    <row r="9230" spans="1:16" x14ac:dyDescent="0.25">
      <c r="A9230" t="s">
        <v>3152</v>
      </c>
      <c r="B9230">
        <v>31</v>
      </c>
      <c r="C9230" t="s">
        <v>11549</v>
      </c>
      <c r="D9230" t="s">
        <v>281</v>
      </c>
      <c r="E9230" s="13">
        <v>25000</v>
      </c>
      <c r="F9230" s="12">
        <v>1.02</v>
      </c>
      <c r="G9230" t="str">
        <f>IFERROR(INDEX(tEditais[Órgão],MATCH(tItens[[#This Row],[Edital]],tEditais[Edital],0)),"")</f>
        <v>MUNICIPIO DE BIRIGUI</v>
      </c>
      <c r="H9230" t="str">
        <f>IFERROR(INDEX(tEditais[UF],MATCH(tItens[[#This Row],[Edital]],tEditais[Edital],0)),"")</f>
        <v>SP</v>
      </c>
      <c r="I9230" s="11">
        <f>IFERROR(INDEX(tEditais[Encerramento],MATCH(tItens[[#This Row],[Edital]],tEditais[Edital],0)),"")</f>
        <v>46314.333333333336</v>
      </c>
      <c r="J9230" t="str">
        <f>IFERROR(INDEX(tProdutos[Classe],MATCH(tItens[[#This Row],[Produto]],tProdutos[Produto],0)),"produto não cadastrado")</f>
        <v>DISPUTADO</v>
      </c>
      <c r="K9230" s="12">
        <f>tItens[[#This Row],[Qtd]]*tItens[[#This Row],[Vlr unit]]</f>
        <v>25500</v>
      </c>
      <c r="L9230" s="6">
        <f>IFERROR(IF(INDEX(tProdutos[Desconto homologado],MATCH(tItens[[#This Row],[Produto]],tProdutos[Produto],0))="",DescontoPadrao,INDEX(tProdutos[Desconto homologado],MATCH(tItens[[#This Row],[Produto]],tProdutos[Produto],0))),DescontoPadrao)</f>
        <v>0.42461538461538501</v>
      </c>
      <c r="M9230" s="12">
        <f>tItens[[#This Row],[Valor]]*(1-tItens[[#This Row],[Desconto]])</f>
        <v>14672.307692307681</v>
      </c>
      <c r="N9230" t="str">
        <f>IFERROR(INDEX(tProdutos[Foco],MATCH(tItens[[#This Row],[Produto]],tProdutos[Produto],0)),"Não")</f>
        <v>Não</v>
      </c>
      <c r="O9230" t="str">
        <f>IFERROR(INDEX(tEditais[SRP],MATCH(tItens[[#This Row],[Edital]],tEditais[Edital],0)),"Não")</f>
        <v>Sim</v>
      </c>
      <c r="P9230" s="4">
        <f>IF(COUNTIFS(INDEX(tItens[Edital],1):tItens[[#This Row],[Edital]],tItens[[#This Row],[Edital]],INDEX(tItens[Produto],1):tItens[[#This Row],[Produto]],tItens[[#This Row],[Produto]])=1,1,0)</f>
        <v>1</v>
      </c>
    </row>
    <row r="9231" spans="1:16" x14ac:dyDescent="0.25">
      <c r="A9231" t="s">
        <v>3152</v>
      </c>
      <c r="B9231">
        <v>32</v>
      </c>
      <c r="C9231" t="s">
        <v>11550</v>
      </c>
      <c r="D9231" t="s">
        <v>289</v>
      </c>
      <c r="E9231" s="13">
        <v>25000</v>
      </c>
      <c r="F9231" s="12">
        <v>1.03</v>
      </c>
      <c r="G9231" t="str">
        <f>IFERROR(INDEX(tEditais[Órgão],MATCH(tItens[[#This Row],[Edital]],tEditais[Edital],0)),"")</f>
        <v>MUNICIPIO DE BIRIGUI</v>
      </c>
      <c r="H9231" t="str">
        <f>IFERROR(INDEX(tEditais[UF],MATCH(tItens[[#This Row],[Edital]],tEditais[Edital],0)),"")</f>
        <v>SP</v>
      </c>
      <c r="I9231" s="11">
        <f>IFERROR(INDEX(tEditais[Encerramento],MATCH(tItens[[#This Row],[Edital]],tEditais[Edital],0)),"")</f>
        <v>46314.333333333336</v>
      </c>
      <c r="J9231" t="str">
        <f>IFERROR(INDEX(tProdutos[Classe],MATCH(tItens[[#This Row],[Produto]],tProdutos[Produto],0)),"produto não cadastrado")</f>
        <v>DISPUTADO</v>
      </c>
      <c r="K9231" s="12">
        <f>tItens[[#This Row],[Qtd]]*tItens[[#This Row],[Vlr unit]]</f>
        <v>25750</v>
      </c>
      <c r="L9231" s="6">
        <f>IFERROR(IF(INDEX(tProdutos[Desconto homologado],MATCH(tItens[[#This Row],[Produto]],tProdutos[Produto],0))="",DescontoPadrao,INDEX(tProdutos[Desconto homologado],MATCH(tItens[[#This Row],[Produto]],tProdutos[Produto],0))),DescontoPadrao)</f>
        <v>0.35849056603773599</v>
      </c>
      <c r="M9231" s="12">
        <f>tItens[[#This Row],[Valor]]*(1-tItens[[#This Row],[Desconto]])</f>
        <v>16518.867924528298</v>
      </c>
      <c r="N9231" t="str">
        <f>IFERROR(INDEX(tProdutos[Foco],MATCH(tItens[[#This Row],[Produto]],tProdutos[Produto],0)),"Não")</f>
        <v>Não</v>
      </c>
      <c r="O9231" t="str">
        <f>IFERROR(INDEX(tEditais[SRP],MATCH(tItens[[#This Row],[Edital]],tEditais[Edital],0)),"Não")</f>
        <v>Sim</v>
      </c>
      <c r="P9231" s="4">
        <f>IF(COUNTIFS(INDEX(tItens[Edital],1):tItens[[#This Row],[Edital]],tItens[[#This Row],[Edital]],INDEX(tItens[Produto],1):tItens[[#This Row],[Produto]],tItens[[#This Row],[Produto]])=1,1,0)</f>
        <v>1</v>
      </c>
    </row>
    <row r="9232" spans="1:16" x14ac:dyDescent="0.25">
      <c r="A9232" t="s">
        <v>3152</v>
      </c>
      <c r="B9232">
        <v>46</v>
      </c>
      <c r="C9232" t="s">
        <v>11551</v>
      </c>
      <c r="D9232" t="s">
        <v>383</v>
      </c>
      <c r="E9232" s="13">
        <v>60000</v>
      </c>
      <c r="F9232" s="12">
        <v>0.98</v>
      </c>
      <c r="G9232" t="str">
        <f>IFERROR(INDEX(tEditais[Órgão],MATCH(tItens[[#This Row],[Edital]],tEditais[Edital],0)),"")</f>
        <v>MUNICIPIO DE BIRIGUI</v>
      </c>
      <c r="H9232" t="str">
        <f>IFERROR(INDEX(tEditais[UF],MATCH(tItens[[#This Row],[Edital]],tEditais[Edital],0)),"")</f>
        <v>SP</v>
      </c>
      <c r="I9232" s="11">
        <f>IFERROR(INDEX(tEditais[Encerramento],MATCH(tItens[[#This Row],[Edital]],tEditais[Edital],0)),"")</f>
        <v>46314.333333333336</v>
      </c>
      <c r="J9232" t="str">
        <f>IFERROR(INDEX(tProdutos[Classe],MATCH(tItens[[#This Row],[Produto]],tProdutos[Produto],0)),"produto não cadastrado")</f>
        <v>FORA</v>
      </c>
      <c r="K9232" s="12">
        <f>tItens[[#This Row],[Qtd]]*tItens[[#This Row],[Vlr unit]]</f>
        <v>58800</v>
      </c>
      <c r="L9232" s="6">
        <f>IFERROR(IF(INDEX(tProdutos[Desconto homologado],MATCH(tItens[[#This Row],[Produto]],tProdutos[Produto],0))="",DescontoPadrao,INDEX(tProdutos[Desconto homologado],MATCH(tItens[[#This Row],[Produto]],tProdutos[Produto],0))),DescontoPadrao)</f>
        <v>0.48749999999999999</v>
      </c>
      <c r="M9232" s="12">
        <f>tItens[[#This Row],[Valor]]*(1-tItens[[#This Row],[Desconto]])</f>
        <v>30134.999999999996</v>
      </c>
      <c r="N9232" t="str">
        <f>IFERROR(INDEX(tProdutos[Foco],MATCH(tItens[[#This Row],[Produto]],tProdutos[Produto],0)),"Não")</f>
        <v>Não</v>
      </c>
      <c r="O9232" t="str">
        <f>IFERROR(INDEX(tEditais[SRP],MATCH(tItens[[#This Row],[Edital]],tEditais[Edital],0)),"Não")</f>
        <v>Sim</v>
      </c>
      <c r="P9232" s="4">
        <f>IF(COUNTIFS(INDEX(tItens[Edital],1):tItens[[#This Row],[Edital]],tItens[[#This Row],[Edital]],INDEX(tItens[Produto],1):tItens[[#This Row],[Produto]],tItens[[#This Row],[Produto]])=1,1,0)</f>
        <v>1</v>
      </c>
    </row>
    <row r="9233" spans="1:16" x14ac:dyDescent="0.25">
      <c r="A9233" t="s">
        <v>3152</v>
      </c>
      <c r="B9233">
        <v>48</v>
      </c>
      <c r="C9233" t="s">
        <v>11552</v>
      </c>
      <c r="D9233" t="s">
        <v>176</v>
      </c>
      <c r="E9233" s="13">
        <v>25</v>
      </c>
      <c r="F9233" s="12">
        <v>110.72</v>
      </c>
      <c r="G9233" t="str">
        <f>IFERROR(INDEX(tEditais[Órgão],MATCH(tItens[[#This Row],[Edital]],tEditais[Edital],0)),"")</f>
        <v>MUNICIPIO DE BIRIGUI</v>
      </c>
      <c r="H9233" t="str">
        <f>IFERROR(INDEX(tEditais[UF],MATCH(tItens[[#This Row],[Edital]],tEditais[Edital],0)),"")</f>
        <v>SP</v>
      </c>
      <c r="I9233" s="11">
        <f>IFERROR(INDEX(tEditais[Encerramento],MATCH(tItens[[#This Row],[Edital]],tEditais[Edital],0)),"")</f>
        <v>46314.333333333336</v>
      </c>
      <c r="J9233" t="str">
        <f>IFERROR(INDEX(tProdutos[Classe],MATCH(tItens[[#This Row],[Produto]],tProdutos[Produto],0)),"produto não cadastrado")</f>
        <v>DISPUTADO</v>
      </c>
      <c r="K9233" s="12">
        <f>tItens[[#This Row],[Qtd]]*tItens[[#This Row],[Vlr unit]]</f>
        <v>2768</v>
      </c>
      <c r="L9233" s="6">
        <f>IFERROR(IF(INDEX(tProdutos[Desconto homologado],MATCH(tItens[[#This Row],[Produto]],tProdutos[Produto],0))="",DescontoPadrao,INDEX(tProdutos[Desconto homologado],MATCH(tItens[[#This Row],[Produto]],tProdutos[Produto],0))),DescontoPadrao)</f>
        <v>0.39921530161843999</v>
      </c>
      <c r="M9233" s="12">
        <f>tItens[[#This Row],[Valor]]*(1-tItens[[#This Row],[Desconto]])</f>
        <v>1662.9720451201581</v>
      </c>
      <c r="N9233" t="str">
        <f>IFERROR(INDEX(tProdutos[Foco],MATCH(tItens[[#This Row],[Produto]],tProdutos[Produto],0)),"Não")</f>
        <v>Não</v>
      </c>
      <c r="O9233" t="str">
        <f>IFERROR(INDEX(tEditais[SRP],MATCH(tItens[[#This Row],[Edital]],tEditais[Edital],0)),"Não")</f>
        <v>Sim</v>
      </c>
      <c r="P9233" s="4">
        <f>IF(COUNTIFS(INDEX(tItens[Edital],1):tItens[[#This Row],[Edital]],tItens[[#This Row],[Edital]],INDEX(tItens[Produto],1):tItens[[#This Row],[Produto]],tItens[[#This Row],[Produto]])=1,1,0)</f>
        <v>1</v>
      </c>
    </row>
    <row r="9234" spans="1:16" x14ac:dyDescent="0.25">
      <c r="A9234" t="s">
        <v>3152</v>
      </c>
      <c r="B9234">
        <v>50</v>
      </c>
      <c r="C9234" t="s">
        <v>11553</v>
      </c>
      <c r="D9234" t="s">
        <v>512</v>
      </c>
      <c r="E9234" s="13">
        <v>150</v>
      </c>
      <c r="F9234" s="12">
        <v>31.87</v>
      </c>
      <c r="G9234" t="str">
        <f>IFERROR(INDEX(tEditais[Órgão],MATCH(tItens[[#This Row],[Edital]],tEditais[Edital],0)),"")</f>
        <v>MUNICIPIO DE BIRIGUI</v>
      </c>
      <c r="H9234" t="str">
        <f>IFERROR(INDEX(tEditais[UF],MATCH(tItens[[#This Row],[Edital]],tEditais[Edital],0)),"")</f>
        <v>SP</v>
      </c>
      <c r="I9234" s="11">
        <f>IFERROR(INDEX(tEditais[Encerramento],MATCH(tItens[[#This Row],[Edital]],tEditais[Edital],0)),"")</f>
        <v>46314.333333333336</v>
      </c>
      <c r="J9234" t="str">
        <f>IFERROR(INDEX(tProdutos[Classe],MATCH(tItens[[#This Row],[Produto]],tProdutos[Produto],0)),"produto não cadastrado")</f>
        <v>FILA REBASE</v>
      </c>
      <c r="K9234" s="12">
        <f>tItens[[#This Row],[Qtd]]*tItens[[#This Row],[Vlr unit]]</f>
        <v>4780.5</v>
      </c>
      <c r="L9234" s="6">
        <f>IFERROR(IF(INDEX(tProdutos[Desconto homologado],MATCH(tItens[[#This Row],[Produto]],tProdutos[Produto],0))="",DescontoPadrao,INDEX(tProdutos[Desconto homologado],MATCH(tItens[[#This Row],[Produto]],tProdutos[Produto],0))),DescontoPadrao)</f>
        <v>0.32579365079365102</v>
      </c>
      <c r="M9234" s="12">
        <f>tItens[[#This Row],[Valor]]*(1-tItens[[#This Row],[Desconto]])</f>
        <v>3223.0434523809517</v>
      </c>
      <c r="N9234" t="str">
        <f>IFERROR(INDEX(tProdutos[Foco],MATCH(tItens[[#This Row],[Produto]],tProdutos[Produto],0)),"Não")</f>
        <v>Não</v>
      </c>
      <c r="O9234" t="str">
        <f>IFERROR(INDEX(tEditais[SRP],MATCH(tItens[[#This Row],[Edital]],tEditais[Edital],0)),"Não")</f>
        <v>Sim</v>
      </c>
      <c r="P9234" s="4">
        <f>IF(COUNTIFS(INDEX(tItens[Edital],1):tItens[[#This Row],[Edital]],tItens[[#This Row],[Edital]],INDEX(tItens[Produto],1):tItens[[#This Row],[Produto]],tItens[[#This Row],[Produto]])=1,1,0)</f>
        <v>1</v>
      </c>
    </row>
    <row r="9235" spans="1:16" x14ac:dyDescent="0.25">
      <c r="A9235" t="s">
        <v>3157</v>
      </c>
      <c r="B9235">
        <v>8</v>
      </c>
      <c r="C9235" t="s">
        <v>11554</v>
      </c>
      <c r="D9235" t="s">
        <v>423</v>
      </c>
      <c r="E9235" s="13">
        <v>60</v>
      </c>
      <c r="F9235" s="12">
        <v>6.57</v>
      </c>
      <c r="G9235" t="str">
        <f>IFERROR(INDEX(tEditais[Órgão],MATCH(tItens[[#This Row],[Edital]],tEditais[Edital],0)),"")</f>
        <v>MUNICIPIO DE LEME</v>
      </c>
      <c r="H9235" t="str">
        <f>IFERROR(INDEX(tEditais[UF],MATCH(tItens[[#This Row],[Edital]],tEditais[Edital],0)),"")</f>
        <v>SP</v>
      </c>
      <c r="I9235" s="11">
        <f>IFERROR(INDEX(tEditais[Encerramento],MATCH(tItens[[#This Row],[Edital]],tEditais[Edital],0)),"")</f>
        <v>46314.333333333336</v>
      </c>
      <c r="J9235" t="str">
        <f>IFERROR(INDEX(tProdutos[Classe],MATCH(tItens[[#This Row],[Produto]],tProdutos[Produto],0)),"produto não cadastrado")</f>
        <v>FORA</v>
      </c>
      <c r="K9235" s="12">
        <f>tItens[[#This Row],[Qtd]]*tItens[[#This Row],[Vlr unit]]</f>
        <v>394.20000000000005</v>
      </c>
      <c r="L9235" s="6">
        <f>IFERROR(IF(INDEX(tProdutos[Desconto homologado],MATCH(tItens[[#This Row],[Produto]],tProdutos[Produto],0))="",DescontoPadrao,INDEX(tProdutos[Desconto homologado],MATCH(tItens[[#This Row],[Produto]],tProdutos[Produto],0))),DescontoPadrao)</f>
        <v>0.38271604938271597</v>
      </c>
      <c r="M9235" s="12">
        <f>tItens[[#This Row],[Valor]]*(1-tItens[[#This Row],[Desconto]])</f>
        <v>243.3333333333334</v>
      </c>
      <c r="N9235" t="str">
        <f>IFERROR(INDEX(tProdutos[Foco],MATCH(tItens[[#This Row],[Produto]],tProdutos[Produto],0)),"Não")</f>
        <v>Não</v>
      </c>
      <c r="O9235" t="str">
        <f>IFERROR(INDEX(tEditais[SRP],MATCH(tItens[[#This Row],[Edital]],tEditais[Edital],0)),"Não")</f>
        <v>Sim</v>
      </c>
      <c r="P9235" s="4">
        <f>IF(COUNTIFS(INDEX(tItens[Edital],1):tItens[[#This Row],[Edital]],tItens[[#This Row],[Edital]],INDEX(tItens[Produto],1):tItens[[#This Row],[Produto]],tItens[[#This Row],[Produto]])=1,1,0)</f>
        <v>1</v>
      </c>
    </row>
    <row r="9236" spans="1:16" x14ac:dyDescent="0.25">
      <c r="A9236" t="s">
        <v>3157</v>
      </c>
      <c r="B9236">
        <v>9</v>
      </c>
      <c r="C9236" t="s">
        <v>11555</v>
      </c>
      <c r="D9236" t="s">
        <v>421</v>
      </c>
      <c r="E9236" s="13">
        <v>40</v>
      </c>
      <c r="F9236" s="12">
        <v>9.4</v>
      </c>
      <c r="G9236" t="str">
        <f>IFERROR(INDEX(tEditais[Órgão],MATCH(tItens[[#This Row],[Edital]],tEditais[Edital],0)),"")</f>
        <v>MUNICIPIO DE LEME</v>
      </c>
      <c r="H9236" t="str">
        <f>IFERROR(INDEX(tEditais[UF],MATCH(tItens[[#This Row],[Edital]],tEditais[Edital],0)),"")</f>
        <v>SP</v>
      </c>
      <c r="I9236" s="11">
        <f>IFERROR(INDEX(tEditais[Encerramento],MATCH(tItens[[#This Row],[Edital]],tEditais[Edital],0)),"")</f>
        <v>46314.333333333336</v>
      </c>
      <c r="J9236" t="str">
        <f>IFERROR(INDEX(tProdutos[Classe],MATCH(tItens[[#This Row],[Produto]],tProdutos[Produto],0)),"produto não cadastrado")</f>
        <v>FORA</v>
      </c>
      <c r="K9236" s="12">
        <f>tItens[[#This Row],[Qtd]]*tItens[[#This Row],[Vlr unit]]</f>
        <v>376</v>
      </c>
      <c r="L9236" s="6">
        <f>IFERROR(IF(INDEX(tProdutos[Desconto homologado],MATCH(tItens[[#This Row],[Produto]],tProdutos[Produto],0))="",DescontoPadrao,INDEX(tProdutos[Desconto homologado],MATCH(tItens[[#This Row],[Produto]],tProdutos[Produto],0))),DescontoPadrao)</f>
        <v>0.43</v>
      </c>
      <c r="M9236" s="12">
        <f>tItens[[#This Row],[Valor]]*(1-tItens[[#This Row],[Desconto]])</f>
        <v>214.32000000000002</v>
      </c>
      <c r="N9236" t="str">
        <f>IFERROR(INDEX(tProdutos[Foco],MATCH(tItens[[#This Row],[Produto]],tProdutos[Produto],0)),"Não")</f>
        <v>Sim</v>
      </c>
      <c r="O9236" t="str">
        <f>IFERROR(INDEX(tEditais[SRP],MATCH(tItens[[#This Row],[Edital]],tEditais[Edital],0)),"Não")</f>
        <v>Sim</v>
      </c>
      <c r="P9236" s="4">
        <f>IF(COUNTIFS(INDEX(tItens[Edital],1):tItens[[#This Row],[Edital]],tItens[[#This Row],[Edital]],INDEX(tItens[Produto],1):tItens[[#This Row],[Produto]],tItens[[#This Row],[Produto]])=1,1,0)</f>
        <v>1</v>
      </c>
    </row>
    <row r="9237" spans="1:16" x14ac:dyDescent="0.25">
      <c r="A9237" t="s">
        <v>3157</v>
      </c>
      <c r="B9237">
        <v>12</v>
      </c>
      <c r="C9237" t="s">
        <v>11556</v>
      </c>
      <c r="D9237" t="s">
        <v>641</v>
      </c>
      <c r="E9237" s="13">
        <v>80</v>
      </c>
      <c r="F9237" s="12">
        <v>54.91</v>
      </c>
      <c r="G9237" t="str">
        <f>IFERROR(INDEX(tEditais[Órgão],MATCH(tItens[[#This Row],[Edital]],tEditais[Edital],0)),"")</f>
        <v>MUNICIPIO DE LEME</v>
      </c>
      <c r="H9237" t="str">
        <f>IFERROR(INDEX(tEditais[UF],MATCH(tItens[[#This Row],[Edital]],tEditais[Edital],0)),"")</f>
        <v>SP</v>
      </c>
      <c r="I9237" s="11">
        <f>IFERROR(INDEX(tEditais[Encerramento],MATCH(tItens[[#This Row],[Edital]],tEditais[Edital],0)),"")</f>
        <v>46314.333333333336</v>
      </c>
      <c r="J9237" t="str">
        <f>IFERROR(INDEX(tProdutos[Classe],MATCH(tItens[[#This Row],[Produto]],tProdutos[Produto],0)),"produto não cadastrado")</f>
        <v>FILA REBASE</v>
      </c>
      <c r="K9237" s="12">
        <f>tItens[[#This Row],[Qtd]]*tItens[[#This Row],[Vlr unit]]</f>
        <v>4392.7999999999993</v>
      </c>
      <c r="L9237" s="6">
        <f>IFERROR(IF(INDEX(tProdutos[Desconto homologado],MATCH(tItens[[#This Row],[Produto]],tProdutos[Produto],0))="",DescontoPadrao,INDEX(tProdutos[Desconto homologado],MATCH(tItens[[#This Row],[Produto]],tProdutos[Produto],0))),DescontoPadrao)</f>
        <v>0.3</v>
      </c>
      <c r="M9237" s="12">
        <f>tItens[[#This Row],[Valor]]*(1-tItens[[#This Row],[Desconto]])</f>
        <v>3074.9599999999991</v>
      </c>
      <c r="N9237" t="str">
        <f>IFERROR(INDEX(tProdutos[Foco],MATCH(tItens[[#This Row],[Produto]],tProdutos[Produto],0)),"Não")</f>
        <v>Não</v>
      </c>
      <c r="O9237" t="str">
        <f>IFERROR(INDEX(tEditais[SRP],MATCH(tItens[[#This Row],[Edital]],tEditais[Edital],0)),"Não")</f>
        <v>Sim</v>
      </c>
      <c r="P9237" s="4">
        <f>IF(COUNTIFS(INDEX(tItens[Edital],1):tItens[[#This Row],[Edital]],tItens[[#This Row],[Edital]],INDEX(tItens[Produto],1):tItens[[#This Row],[Produto]],tItens[[#This Row],[Produto]])=1,1,0)</f>
        <v>1</v>
      </c>
    </row>
    <row r="9238" spans="1:16" x14ac:dyDescent="0.25">
      <c r="A9238" t="s">
        <v>3157</v>
      </c>
      <c r="B9238">
        <v>13</v>
      </c>
      <c r="C9238" t="s">
        <v>11557</v>
      </c>
      <c r="D9238" t="s">
        <v>641</v>
      </c>
      <c r="E9238" s="13">
        <v>80</v>
      </c>
      <c r="F9238" s="12">
        <v>25.02</v>
      </c>
      <c r="G9238" t="str">
        <f>IFERROR(INDEX(tEditais[Órgão],MATCH(tItens[[#This Row],[Edital]],tEditais[Edital],0)),"")</f>
        <v>MUNICIPIO DE LEME</v>
      </c>
      <c r="H9238" t="str">
        <f>IFERROR(INDEX(tEditais[UF],MATCH(tItens[[#This Row],[Edital]],tEditais[Edital],0)),"")</f>
        <v>SP</v>
      </c>
      <c r="I9238" s="11">
        <f>IFERROR(INDEX(tEditais[Encerramento],MATCH(tItens[[#This Row],[Edital]],tEditais[Edital],0)),"")</f>
        <v>46314.333333333336</v>
      </c>
      <c r="J9238" t="str">
        <f>IFERROR(INDEX(tProdutos[Classe],MATCH(tItens[[#This Row],[Produto]],tProdutos[Produto],0)),"produto não cadastrado")</f>
        <v>FILA REBASE</v>
      </c>
      <c r="K9238" s="12">
        <f>tItens[[#This Row],[Qtd]]*tItens[[#This Row],[Vlr unit]]</f>
        <v>2001.6</v>
      </c>
      <c r="L9238" s="6">
        <f>IFERROR(IF(INDEX(tProdutos[Desconto homologado],MATCH(tItens[[#This Row],[Produto]],tProdutos[Produto],0))="",DescontoPadrao,INDEX(tProdutos[Desconto homologado],MATCH(tItens[[#This Row],[Produto]],tProdutos[Produto],0))),DescontoPadrao)</f>
        <v>0.3</v>
      </c>
      <c r="M9238" s="12">
        <f>tItens[[#This Row],[Valor]]*(1-tItens[[#This Row],[Desconto]])</f>
        <v>1401.12</v>
      </c>
      <c r="N9238" t="str">
        <f>IFERROR(INDEX(tProdutos[Foco],MATCH(tItens[[#This Row],[Produto]],tProdutos[Produto],0)),"Não")</f>
        <v>Não</v>
      </c>
      <c r="O9238" t="str">
        <f>IFERROR(INDEX(tEditais[SRP],MATCH(tItens[[#This Row],[Edital]],tEditais[Edital],0)),"Não")</f>
        <v>Sim</v>
      </c>
      <c r="P9238" s="4">
        <f>IF(COUNTIFS(INDEX(tItens[Edital],1):tItens[[#This Row],[Edital]],tItens[[#This Row],[Edital]],INDEX(tItens[Produto],1):tItens[[#This Row],[Produto]],tItens[[#This Row],[Produto]])=1,1,0)</f>
        <v>0</v>
      </c>
    </row>
    <row r="9239" spans="1:16" x14ac:dyDescent="0.25">
      <c r="A9239" t="s">
        <v>3157</v>
      </c>
      <c r="B9239">
        <v>20</v>
      </c>
      <c r="C9239" t="s">
        <v>11558</v>
      </c>
      <c r="D9239" t="s">
        <v>638</v>
      </c>
      <c r="E9239" s="13">
        <v>120</v>
      </c>
      <c r="F9239" s="12">
        <v>24.66</v>
      </c>
      <c r="G9239" t="str">
        <f>IFERROR(INDEX(tEditais[Órgão],MATCH(tItens[[#This Row],[Edital]],tEditais[Edital],0)),"")</f>
        <v>MUNICIPIO DE LEME</v>
      </c>
      <c r="H9239" t="str">
        <f>IFERROR(INDEX(tEditais[UF],MATCH(tItens[[#This Row],[Edital]],tEditais[Edital],0)),"")</f>
        <v>SP</v>
      </c>
      <c r="I9239" s="11">
        <f>IFERROR(INDEX(tEditais[Encerramento],MATCH(tItens[[#This Row],[Edital]],tEditais[Edital],0)),"")</f>
        <v>46314.333333333336</v>
      </c>
      <c r="J9239" t="str">
        <f>IFERROR(INDEX(tProdutos[Classe],MATCH(tItens[[#This Row],[Produto]],tProdutos[Produto],0)),"produto não cadastrado")</f>
        <v>FILA REBASE</v>
      </c>
      <c r="K9239" s="12">
        <f>tItens[[#This Row],[Qtd]]*tItens[[#This Row],[Vlr unit]]</f>
        <v>2959.2</v>
      </c>
      <c r="L9239" s="6">
        <f>IFERROR(IF(INDEX(tProdutos[Desconto homologado],MATCH(tItens[[#This Row],[Produto]],tProdutos[Produto],0))="",DescontoPadrao,INDEX(tProdutos[Desconto homologado],MATCH(tItens[[#This Row],[Produto]],tProdutos[Produto],0))),DescontoPadrao)</f>
        <v>0.487179487179487</v>
      </c>
      <c r="M9239" s="12">
        <f>tItens[[#This Row],[Valor]]*(1-tItens[[#This Row],[Desconto]])</f>
        <v>1517.5384615384619</v>
      </c>
      <c r="N9239" t="str">
        <f>IFERROR(INDEX(tProdutos[Foco],MATCH(tItens[[#This Row],[Produto]],tProdutos[Produto],0)),"Não")</f>
        <v>Não</v>
      </c>
      <c r="O9239" t="str">
        <f>IFERROR(INDEX(tEditais[SRP],MATCH(tItens[[#This Row],[Edital]],tEditais[Edital],0)),"Não")</f>
        <v>Sim</v>
      </c>
      <c r="P9239" s="4">
        <f>IF(COUNTIFS(INDEX(tItens[Edital],1):tItens[[#This Row],[Edital]],tItens[[#This Row],[Edital]],INDEX(tItens[Produto],1):tItens[[#This Row],[Produto]],tItens[[#This Row],[Produto]])=1,1,0)</f>
        <v>1</v>
      </c>
    </row>
    <row r="9240" spans="1:16" x14ac:dyDescent="0.25">
      <c r="A9240" t="s">
        <v>3157</v>
      </c>
      <c r="B9240">
        <v>62</v>
      </c>
      <c r="C9240" t="s">
        <v>11559</v>
      </c>
      <c r="D9240" t="s">
        <v>241</v>
      </c>
      <c r="E9240" s="13">
        <v>100</v>
      </c>
      <c r="F9240" s="12">
        <v>1.1100000000000001</v>
      </c>
      <c r="G9240" t="str">
        <f>IFERROR(INDEX(tEditais[Órgão],MATCH(tItens[[#This Row],[Edital]],tEditais[Edital],0)),"")</f>
        <v>MUNICIPIO DE LEME</v>
      </c>
      <c r="H9240" t="str">
        <f>IFERROR(INDEX(tEditais[UF],MATCH(tItens[[#This Row],[Edital]],tEditais[Edital],0)),"")</f>
        <v>SP</v>
      </c>
      <c r="I9240" s="11">
        <f>IFERROR(INDEX(tEditais[Encerramento],MATCH(tItens[[#This Row],[Edital]],tEditais[Edital],0)),"")</f>
        <v>46314.333333333336</v>
      </c>
      <c r="J9240" t="str">
        <f>IFERROR(INDEX(tProdutos[Classe],MATCH(tItens[[#This Row],[Produto]],tProdutos[Produto],0)),"produto não cadastrado")</f>
        <v>DISPUTADO</v>
      </c>
      <c r="K9240" s="12">
        <f>tItens[[#This Row],[Qtd]]*tItens[[#This Row],[Vlr unit]]</f>
        <v>111.00000000000001</v>
      </c>
      <c r="L9240" s="6">
        <f>IFERROR(IF(INDEX(tProdutos[Desconto homologado],MATCH(tItens[[#This Row],[Produto]],tProdutos[Produto],0))="",DescontoPadrao,INDEX(tProdutos[Desconto homologado],MATCH(tItens[[#This Row],[Produto]],tProdutos[Produto],0))),DescontoPadrao)</f>
        <v>0.36881329157903497</v>
      </c>
      <c r="M9240" s="12">
        <f>tItens[[#This Row],[Valor]]*(1-tItens[[#This Row],[Desconto]])</f>
        <v>70.061724634727128</v>
      </c>
      <c r="N9240" t="str">
        <f>IFERROR(INDEX(tProdutos[Foco],MATCH(tItens[[#This Row],[Produto]],tProdutos[Produto],0)),"Não")</f>
        <v>Não</v>
      </c>
      <c r="O9240" t="str">
        <f>IFERROR(INDEX(tEditais[SRP],MATCH(tItens[[#This Row],[Edital]],tEditais[Edital],0)),"Não")</f>
        <v>Sim</v>
      </c>
      <c r="P9240" s="4">
        <f>IF(COUNTIFS(INDEX(tItens[Edital],1):tItens[[#This Row],[Edital]],tItens[[#This Row],[Edital]],INDEX(tItens[Produto],1):tItens[[#This Row],[Produto]],tItens[[#This Row],[Produto]])=1,1,0)</f>
        <v>1</v>
      </c>
    </row>
    <row r="9241" spans="1:16" x14ac:dyDescent="0.25">
      <c r="A9241" t="s">
        <v>3161</v>
      </c>
      <c r="B9241">
        <v>14</v>
      </c>
      <c r="C9241" t="s">
        <v>11560</v>
      </c>
      <c r="D9241" t="s">
        <v>578</v>
      </c>
      <c r="E9241" s="13">
        <v>2</v>
      </c>
      <c r="F9241" s="12">
        <v>2880.66</v>
      </c>
      <c r="G9241" t="str">
        <f>IFERROR(INDEX(tEditais[Órgão],MATCH(tItens[[#This Row],[Edital]],tEditais[Edital],0)),"")</f>
        <v>MUNICIPIO DE ORLANDIA</v>
      </c>
      <c r="H9241" t="str">
        <f>IFERROR(INDEX(tEditais[UF],MATCH(tItens[[#This Row],[Edital]],tEditais[Edital],0)),"")</f>
        <v>SP</v>
      </c>
      <c r="I9241" s="11">
        <f>IFERROR(INDEX(tEditais[Encerramento],MATCH(tItens[[#This Row],[Edital]],tEditais[Edital],0)),"")</f>
        <v>46314.333333333336</v>
      </c>
      <c r="J9241" t="str">
        <f>IFERROR(INDEX(tProdutos[Classe],MATCH(tItens[[#This Row],[Produto]],tProdutos[Produto],0)),"produto não cadastrado")</f>
        <v>FILA REBASE</v>
      </c>
      <c r="K9241" s="12">
        <f>tItens[[#This Row],[Qtd]]*tItens[[#This Row],[Vlr unit]]</f>
        <v>5761.32</v>
      </c>
      <c r="L9241" s="6">
        <f>IFERROR(IF(INDEX(tProdutos[Desconto homologado],MATCH(tItens[[#This Row],[Produto]],tProdutos[Produto],0))="",DescontoPadrao,INDEX(tProdutos[Desconto homologado],MATCH(tItens[[#This Row],[Produto]],tProdutos[Produto],0))),DescontoPadrao)</f>
        <v>0.36014625228519198</v>
      </c>
      <c r="M9241" s="12">
        <f>tItens[[#This Row],[Valor]]*(1-tItens[[#This Row],[Desconto]])</f>
        <v>3686.4021937842776</v>
      </c>
      <c r="N9241" t="str">
        <f>IFERROR(INDEX(tProdutos[Foco],MATCH(tItens[[#This Row],[Produto]],tProdutos[Produto],0)),"Não")</f>
        <v>Não</v>
      </c>
      <c r="O9241" t="str">
        <f>IFERROR(INDEX(tEditais[SRP],MATCH(tItens[[#This Row],[Edital]],tEditais[Edital],0)),"Não")</f>
        <v>Não</v>
      </c>
      <c r="P9241" s="4">
        <f>IF(COUNTIFS(INDEX(tItens[Edital],1):tItens[[#This Row],[Edital]],tItens[[#This Row],[Edital]],INDEX(tItens[Produto],1):tItens[[#This Row],[Produto]],tItens[[#This Row],[Produto]])=1,1,0)</f>
        <v>1</v>
      </c>
    </row>
    <row r="9242" spans="1:16" x14ac:dyDescent="0.25">
      <c r="A9242" t="s">
        <v>3166</v>
      </c>
      <c r="B9242">
        <v>1</v>
      </c>
      <c r="C9242" t="s">
        <v>9198</v>
      </c>
      <c r="D9242" t="s">
        <v>253</v>
      </c>
      <c r="E9242" s="13">
        <v>90</v>
      </c>
      <c r="F9242" s="12">
        <v>0</v>
      </c>
      <c r="G9242" t="str">
        <f>IFERROR(INDEX(tEditais[Órgão],MATCH(tItens[[#This Row],[Edital]],tEditais[Edital],0)),"")</f>
        <v>SECRETARIA DE ESTADO DA SAUDE</v>
      </c>
      <c r="H9242" t="str">
        <f>IFERROR(INDEX(tEditais[UF],MATCH(tItens[[#This Row],[Edital]],tEditais[Edital],0)),"")</f>
        <v>SP</v>
      </c>
      <c r="I9242" s="11">
        <f>IFERROR(INDEX(tEditais[Encerramento],MATCH(tItens[[#This Row],[Edital]],tEditais[Edital],0)),"")</f>
        <v>46314.333333333336</v>
      </c>
      <c r="J9242" t="str">
        <f>IFERROR(INDEX(tProdutos[Classe],MATCH(tItens[[#This Row],[Produto]],tProdutos[Produto],0)),"produto não cadastrado")</f>
        <v>FORA</v>
      </c>
      <c r="K9242" s="12">
        <f>tItens[[#This Row],[Qtd]]*tItens[[#This Row],[Vlr unit]]</f>
        <v>0</v>
      </c>
      <c r="L9242" s="6">
        <f>IFERROR(IF(INDEX(tProdutos[Desconto homologado],MATCH(tItens[[#This Row],[Produto]],tProdutos[Produto],0))="",DescontoPadrao,INDEX(tProdutos[Desconto homologado],MATCH(tItens[[#This Row],[Produto]],tProdutos[Produto],0))),DescontoPadrao)</f>
        <v>0.31735159817351599</v>
      </c>
      <c r="M9242" s="12">
        <f>tItens[[#This Row],[Valor]]*(1-tItens[[#This Row],[Desconto]])</f>
        <v>0</v>
      </c>
      <c r="N9242" t="str">
        <f>IFERROR(INDEX(tProdutos[Foco],MATCH(tItens[[#This Row],[Produto]],tProdutos[Produto],0)),"Não")</f>
        <v>Não</v>
      </c>
      <c r="O9242" t="str">
        <f>IFERROR(INDEX(tEditais[SRP],MATCH(tItens[[#This Row],[Edital]],tEditais[Edital],0)),"Não")</f>
        <v>Não</v>
      </c>
      <c r="P9242" s="4">
        <f>IF(COUNTIFS(INDEX(tItens[Edital],1):tItens[[#This Row],[Edital]],tItens[[#This Row],[Edital]],INDEX(tItens[Produto],1):tItens[[#This Row],[Produto]],tItens[[#This Row],[Produto]])=1,1,0)</f>
        <v>1</v>
      </c>
    </row>
    <row r="9243" spans="1:16" x14ac:dyDescent="0.25">
      <c r="A9243" t="s">
        <v>3166</v>
      </c>
      <c r="B9243">
        <v>3</v>
      </c>
      <c r="C9243" t="s">
        <v>11561</v>
      </c>
      <c r="D9243" t="s">
        <v>120</v>
      </c>
      <c r="E9243" s="13">
        <v>90</v>
      </c>
      <c r="F9243" s="12">
        <v>0</v>
      </c>
      <c r="G9243" t="str">
        <f>IFERROR(INDEX(tEditais[Órgão],MATCH(tItens[[#This Row],[Edital]],tEditais[Edital],0)),"")</f>
        <v>SECRETARIA DE ESTADO DA SAUDE</v>
      </c>
      <c r="H9243" t="str">
        <f>IFERROR(INDEX(tEditais[UF],MATCH(tItens[[#This Row],[Edital]],tEditais[Edital],0)),"")</f>
        <v>SP</v>
      </c>
      <c r="I9243" s="11">
        <f>IFERROR(INDEX(tEditais[Encerramento],MATCH(tItens[[#This Row],[Edital]],tEditais[Edital],0)),"")</f>
        <v>46314.333333333336</v>
      </c>
      <c r="J9243" t="str">
        <f>IFERROR(INDEX(tProdutos[Classe],MATCH(tItens[[#This Row],[Produto]],tProdutos[Produto],0)),"produto não cadastrado")</f>
        <v>DISPUTADO</v>
      </c>
      <c r="K9243" s="12">
        <f>tItens[[#This Row],[Qtd]]*tItens[[#This Row],[Vlr unit]]</f>
        <v>0</v>
      </c>
      <c r="L9243" s="6">
        <f>IFERROR(IF(INDEX(tProdutos[Desconto homologado],MATCH(tItens[[#This Row],[Produto]],tProdutos[Produto],0))="",DescontoPadrao,INDEX(tProdutos[Desconto homologado],MATCH(tItens[[#This Row],[Produto]],tProdutos[Produto],0))),DescontoPadrao)</f>
        <v>0.40909090909090901</v>
      </c>
      <c r="M9243" s="12">
        <f>tItens[[#This Row],[Valor]]*(1-tItens[[#This Row],[Desconto]])</f>
        <v>0</v>
      </c>
      <c r="N9243" t="str">
        <f>IFERROR(INDEX(tProdutos[Foco],MATCH(tItens[[#This Row],[Produto]],tProdutos[Produto],0)),"Não")</f>
        <v>Não</v>
      </c>
      <c r="O9243" t="str">
        <f>IFERROR(INDEX(tEditais[SRP],MATCH(tItens[[#This Row],[Edital]],tEditais[Edital],0)),"Não")</f>
        <v>Não</v>
      </c>
      <c r="P9243" s="4">
        <f>IF(COUNTIFS(INDEX(tItens[Edital],1):tItens[[#This Row],[Edital]],tItens[[#This Row],[Edital]],INDEX(tItens[Produto],1):tItens[[#This Row],[Produto]],tItens[[#This Row],[Produto]])=1,1,0)</f>
        <v>1</v>
      </c>
    </row>
    <row r="9244" spans="1:16" x14ac:dyDescent="0.25">
      <c r="A9244" t="s">
        <v>3166</v>
      </c>
      <c r="B9244">
        <v>4</v>
      </c>
      <c r="C9244" t="s">
        <v>11562</v>
      </c>
      <c r="D9244" t="s">
        <v>120</v>
      </c>
      <c r="E9244" s="13">
        <v>90</v>
      </c>
      <c r="F9244" s="12">
        <v>0</v>
      </c>
      <c r="G9244" t="str">
        <f>IFERROR(INDEX(tEditais[Órgão],MATCH(tItens[[#This Row],[Edital]],tEditais[Edital],0)),"")</f>
        <v>SECRETARIA DE ESTADO DA SAUDE</v>
      </c>
      <c r="H9244" t="str">
        <f>IFERROR(INDEX(tEditais[UF],MATCH(tItens[[#This Row],[Edital]],tEditais[Edital],0)),"")</f>
        <v>SP</v>
      </c>
      <c r="I9244" s="11">
        <f>IFERROR(INDEX(tEditais[Encerramento],MATCH(tItens[[#This Row],[Edital]],tEditais[Edital],0)),"")</f>
        <v>46314.333333333336</v>
      </c>
      <c r="J9244" t="str">
        <f>IFERROR(INDEX(tProdutos[Classe],MATCH(tItens[[#This Row],[Produto]],tProdutos[Produto],0)),"produto não cadastrado")</f>
        <v>DISPUTADO</v>
      </c>
      <c r="K9244" s="12">
        <f>tItens[[#This Row],[Qtd]]*tItens[[#This Row],[Vlr unit]]</f>
        <v>0</v>
      </c>
      <c r="L9244" s="6">
        <f>IFERROR(IF(INDEX(tProdutos[Desconto homologado],MATCH(tItens[[#This Row],[Produto]],tProdutos[Produto],0))="",DescontoPadrao,INDEX(tProdutos[Desconto homologado],MATCH(tItens[[#This Row],[Produto]],tProdutos[Produto],0))),DescontoPadrao)</f>
        <v>0.40909090909090901</v>
      </c>
      <c r="M9244" s="12">
        <f>tItens[[#This Row],[Valor]]*(1-tItens[[#This Row],[Desconto]])</f>
        <v>0</v>
      </c>
      <c r="N9244" t="str">
        <f>IFERROR(INDEX(tProdutos[Foco],MATCH(tItens[[#This Row],[Produto]],tProdutos[Produto],0)),"Não")</f>
        <v>Não</v>
      </c>
      <c r="O9244" t="str">
        <f>IFERROR(INDEX(tEditais[SRP],MATCH(tItens[[#This Row],[Edital]],tEditais[Edital],0)),"Não")</f>
        <v>Não</v>
      </c>
      <c r="P9244" s="4">
        <f>IF(COUNTIFS(INDEX(tItens[Edital],1):tItens[[#This Row],[Edital]],tItens[[#This Row],[Edital]],INDEX(tItens[Produto],1):tItens[[#This Row],[Produto]],tItens[[#This Row],[Produto]])=1,1,0)</f>
        <v>0</v>
      </c>
    </row>
    <row r="9245" spans="1:16" x14ac:dyDescent="0.25">
      <c r="A9245" t="s">
        <v>3169</v>
      </c>
      <c r="B9245">
        <v>2</v>
      </c>
      <c r="C9245" t="s">
        <v>3240</v>
      </c>
      <c r="D9245" t="s">
        <v>114</v>
      </c>
      <c r="E9245" s="13">
        <v>1</v>
      </c>
      <c r="F9245" s="12">
        <v>11.92</v>
      </c>
      <c r="G9245" t="str">
        <f>IFERROR(INDEX(tEditais[Órgão],MATCH(tItens[[#This Row],[Edital]],tEditais[Edital],0)),"")</f>
        <v>SAO PAULO SECRETARIA DA SEGURANCA PUBLICA</v>
      </c>
      <c r="H9245" t="str">
        <f>IFERROR(INDEX(tEditais[UF],MATCH(tItens[[#This Row],[Edital]],tEditais[Edital],0)),"")</f>
        <v>SP</v>
      </c>
      <c r="I9245" s="11">
        <f>IFERROR(INDEX(tEditais[Encerramento],MATCH(tItens[[#This Row],[Edital]],tEditais[Edital],0)),"")</f>
        <v>46314.333333333336</v>
      </c>
      <c r="J9245" t="str">
        <f>IFERROR(INDEX(tProdutos[Classe],MATCH(tItens[[#This Row],[Produto]],tProdutos[Produto],0)),"produto não cadastrado")</f>
        <v>DISPUTADO</v>
      </c>
      <c r="K9245" s="12">
        <f>tItens[[#This Row],[Qtd]]*tItens[[#This Row],[Vlr unit]]</f>
        <v>11.92</v>
      </c>
      <c r="L9245" s="6">
        <f>IFERROR(IF(INDEX(tProdutos[Desconto homologado],MATCH(tItens[[#This Row],[Produto]],tProdutos[Produto],0))="",DescontoPadrao,INDEX(tProdutos[Desconto homologado],MATCH(tItens[[#This Row],[Produto]],tProdutos[Produto],0))),DescontoPadrao)</f>
        <v>0.24332656063896899</v>
      </c>
      <c r="M9245" s="12">
        <f>tItens[[#This Row],[Valor]]*(1-tItens[[#This Row],[Desconto]])</f>
        <v>9.0195473971834907</v>
      </c>
      <c r="N9245" t="str">
        <f>IFERROR(INDEX(tProdutos[Foco],MATCH(tItens[[#This Row],[Produto]],tProdutos[Produto],0)),"Não")</f>
        <v>Não</v>
      </c>
      <c r="O9245" t="str">
        <f>IFERROR(INDEX(tEditais[SRP],MATCH(tItens[[#This Row],[Edital]],tEditais[Edital],0)),"Não")</f>
        <v>Não</v>
      </c>
      <c r="P9245" s="4">
        <f>IF(COUNTIFS(INDEX(tItens[Edital],1):tItens[[#This Row],[Edital]],tItens[[#This Row],[Edital]],INDEX(tItens[Produto],1):tItens[[#This Row],[Produto]],tItens[[#This Row],[Produto]])=1,1,0)</f>
        <v>1</v>
      </c>
    </row>
    <row r="9246" spans="1:16" x14ac:dyDescent="0.25">
      <c r="A9246" t="s">
        <v>3169</v>
      </c>
      <c r="B9246">
        <v>5</v>
      </c>
      <c r="C9246" t="s">
        <v>11563</v>
      </c>
      <c r="D9246" t="s">
        <v>387</v>
      </c>
      <c r="E9246" s="13">
        <v>1</v>
      </c>
      <c r="F9246" s="12">
        <v>58.24</v>
      </c>
      <c r="G9246" t="str">
        <f>IFERROR(INDEX(tEditais[Órgão],MATCH(tItens[[#This Row],[Edital]],tEditais[Edital],0)),"")</f>
        <v>SAO PAULO SECRETARIA DA SEGURANCA PUBLICA</v>
      </c>
      <c r="H9246" t="str">
        <f>IFERROR(INDEX(tEditais[UF],MATCH(tItens[[#This Row],[Edital]],tEditais[Edital],0)),"")</f>
        <v>SP</v>
      </c>
      <c r="I9246" s="11">
        <f>IFERROR(INDEX(tEditais[Encerramento],MATCH(tItens[[#This Row],[Edital]],tEditais[Edital],0)),"")</f>
        <v>46314.333333333336</v>
      </c>
      <c r="J9246" t="str">
        <f>IFERROR(INDEX(tProdutos[Classe],MATCH(tItens[[#This Row],[Produto]],tProdutos[Produto],0)),"produto não cadastrado")</f>
        <v>FORA</v>
      </c>
      <c r="K9246" s="12">
        <f>tItens[[#This Row],[Qtd]]*tItens[[#This Row],[Vlr unit]]</f>
        <v>58.24</v>
      </c>
      <c r="L9246" s="6">
        <f>IFERROR(IF(INDEX(tProdutos[Desconto homologado],MATCH(tItens[[#This Row],[Produto]],tProdutos[Produto],0))="",DescontoPadrao,INDEX(tProdutos[Desconto homologado],MATCH(tItens[[#This Row],[Produto]],tProdutos[Produto],0))),DescontoPadrao)</f>
        <v>0.30458221024258803</v>
      </c>
      <c r="M9246" s="12">
        <f>tItens[[#This Row],[Valor]]*(1-tItens[[#This Row],[Desconto]])</f>
        <v>40.501132075471673</v>
      </c>
      <c r="N9246" t="str">
        <f>IFERROR(INDEX(tProdutos[Foco],MATCH(tItens[[#This Row],[Produto]],tProdutos[Produto],0)),"Não")</f>
        <v>Não</v>
      </c>
      <c r="O9246" t="str">
        <f>IFERROR(INDEX(tEditais[SRP],MATCH(tItens[[#This Row],[Edital]],tEditais[Edital],0)),"Não")</f>
        <v>Não</v>
      </c>
      <c r="P9246" s="4">
        <f>IF(COUNTIFS(INDEX(tItens[Edital],1):tItens[[#This Row],[Edital]],tItens[[#This Row],[Edital]],INDEX(tItens[Produto],1):tItens[[#This Row],[Produto]],tItens[[#This Row],[Produto]])=1,1,0)</f>
        <v>1</v>
      </c>
    </row>
    <row r="9247" spans="1:16" x14ac:dyDescent="0.25">
      <c r="A9247" t="s">
        <v>3169</v>
      </c>
      <c r="B9247">
        <v>7</v>
      </c>
      <c r="C9247" t="s">
        <v>7238</v>
      </c>
      <c r="D9247" t="s">
        <v>313</v>
      </c>
      <c r="E9247" s="13">
        <v>1</v>
      </c>
      <c r="F9247" s="12">
        <v>23.54</v>
      </c>
      <c r="G9247" t="str">
        <f>IFERROR(INDEX(tEditais[Órgão],MATCH(tItens[[#This Row],[Edital]],tEditais[Edital],0)),"")</f>
        <v>SAO PAULO SECRETARIA DA SEGURANCA PUBLICA</v>
      </c>
      <c r="H9247" t="str">
        <f>IFERROR(INDEX(tEditais[UF],MATCH(tItens[[#This Row],[Edital]],tEditais[Edital],0)),"")</f>
        <v>SP</v>
      </c>
      <c r="I9247" s="11">
        <f>IFERROR(INDEX(tEditais[Encerramento],MATCH(tItens[[#This Row],[Edital]],tEditais[Edital],0)),"")</f>
        <v>46314.333333333336</v>
      </c>
      <c r="J9247" t="str">
        <f>IFERROR(INDEX(tProdutos[Classe],MATCH(tItens[[#This Row],[Produto]],tProdutos[Produto],0)),"produto não cadastrado")</f>
        <v>FORA</v>
      </c>
      <c r="K9247" s="12">
        <f>tItens[[#This Row],[Qtd]]*tItens[[#This Row],[Vlr unit]]</f>
        <v>23.54</v>
      </c>
      <c r="L9247" s="6">
        <f>IFERROR(IF(INDEX(tProdutos[Desconto homologado],MATCH(tItens[[#This Row],[Produto]],tProdutos[Produto],0))="",DescontoPadrao,INDEX(tProdutos[Desconto homologado],MATCH(tItens[[#This Row],[Produto]],tProdutos[Produto],0))),DescontoPadrao)</f>
        <v>0.35766373163696302</v>
      </c>
      <c r="M9247" s="12">
        <f>tItens[[#This Row],[Valor]]*(1-tItens[[#This Row],[Desconto]])</f>
        <v>15.120595757265889</v>
      </c>
      <c r="N9247" t="str">
        <f>IFERROR(INDEX(tProdutos[Foco],MATCH(tItens[[#This Row],[Produto]],tProdutos[Produto],0)),"Não")</f>
        <v>Não</v>
      </c>
      <c r="O9247" t="str">
        <f>IFERROR(INDEX(tEditais[SRP],MATCH(tItens[[#This Row],[Edital]],tEditais[Edital],0)),"Não")</f>
        <v>Não</v>
      </c>
      <c r="P9247" s="4">
        <f>IF(COUNTIFS(INDEX(tItens[Edital],1):tItens[[#This Row],[Edital]],tItens[[#This Row],[Edital]],INDEX(tItens[Produto],1):tItens[[#This Row],[Produto]],tItens[[#This Row],[Produto]])=1,1,0)</f>
        <v>1</v>
      </c>
    </row>
    <row r="9248" spans="1:16" x14ac:dyDescent="0.25">
      <c r="A9248" t="s">
        <v>3169</v>
      </c>
      <c r="B9248">
        <v>29</v>
      </c>
      <c r="C9248" t="s">
        <v>11564</v>
      </c>
      <c r="D9248" t="s">
        <v>423</v>
      </c>
      <c r="E9248" s="13">
        <v>1</v>
      </c>
      <c r="F9248" s="12">
        <v>35.340000000000003</v>
      </c>
      <c r="G9248" t="str">
        <f>IFERROR(INDEX(tEditais[Órgão],MATCH(tItens[[#This Row],[Edital]],tEditais[Edital],0)),"")</f>
        <v>SAO PAULO SECRETARIA DA SEGURANCA PUBLICA</v>
      </c>
      <c r="H9248" t="str">
        <f>IFERROR(INDEX(tEditais[UF],MATCH(tItens[[#This Row],[Edital]],tEditais[Edital],0)),"")</f>
        <v>SP</v>
      </c>
      <c r="I9248" s="11">
        <f>IFERROR(INDEX(tEditais[Encerramento],MATCH(tItens[[#This Row],[Edital]],tEditais[Edital],0)),"")</f>
        <v>46314.333333333336</v>
      </c>
      <c r="J9248" t="str">
        <f>IFERROR(INDEX(tProdutos[Classe],MATCH(tItens[[#This Row],[Produto]],tProdutos[Produto],0)),"produto não cadastrado")</f>
        <v>FORA</v>
      </c>
      <c r="K9248" s="12">
        <f>tItens[[#This Row],[Qtd]]*tItens[[#This Row],[Vlr unit]]</f>
        <v>35.340000000000003</v>
      </c>
      <c r="L9248" s="6">
        <f>IFERROR(IF(INDEX(tProdutos[Desconto homologado],MATCH(tItens[[#This Row],[Produto]],tProdutos[Produto],0))="",DescontoPadrao,INDEX(tProdutos[Desconto homologado],MATCH(tItens[[#This Row],[Produto]],tProdutos[Produto],0))),DescontoPadrao)</f>
        <v>0.38271604938271597</v>
      </c>
      <c r="M9248" s="12">
        <f>tItens[[#This Row],[Valor]]*(1-tItens[[#This Row],[Desconto]])</f>
        <v>21.81481481481482</v>
      </c>
      <c r="N9248" t="str">
        <f>IFERROR(INDEX(tProdutos[Foco],MATCH(tItens[[#This Row],[Produto]],tProdutos[Produto],0)),"Não")</f>
        <v>Não</v>
      </c>
      <c r="O9248" t="str">
        <f>IFERROR(INDEX(tEditais[SRP],MATCH(tItens[[#This Row],[Edital]],tEditais[Edital],0)),"Não")</f>
        <v>Não</v>
      </c>
      <c r="P9248" s="4">
        <f>IF(COUNTIFS(INDEX(tItens[Edital],1):tItens[[#This Row],[Edital]],tItens[[#This Row],[Edital]],INDEX(tItens[Produto],1):tItens[[#This Row],[Produto]],tItens[[#This Row],[Produto]])=1,1,0)</f>
        <v>1</v>
      </c>
    </row>
    <row r="9249" spans="1:16" x14ac:dyDescent="0.25">
      <c r="A9249" t="s">
        <v>3169</v>
      </c>
      <c r="B9249">
        <v>33</v>
      </c>
      <c r="C9249" t="s">
        <v>7911</v>
      </c>
      <c r="D9249" t="s">
        <v>461</v>
      </c>
      <c r="E9249" s="13">
        <v>1</v>
      </c>
      <c r="F9249" s="12">
        <v>69.790000000000006</v>
      </c>
      <c r="G9249" t="str">
        <f>IFERROR(INDEX(tEditais[Órgão],MATCH(tItens[[#This Row],[Edital]],tEditais[Edital],0)),"")</f>
        <v>SAO PAULO SECRETARIA DA SEGURANCA PUBLICA</v>
      </c>
      <c r="H9249" t="str">
        <f>IFERROR(INDEX(tEditais[UF],MATCH(tItens[[#This Row],[Edital]],tEditais[Edital],0)),"")</f>
        <v>SP</v>
      </c>
      <c r="I9249" s="11">
        <f>IFERROR(INDEX(tEditais[Encerramento],MATCH(tItens[[#This Row],[Edital]],tEditais[Edital],0)),"")</f>
        <v>46314.333333333336</v>
      </c>
      <c r="J9249" t="str">
        <f>IFERROR(INDEX(tProdutos[Classe],MATCH(tItens[[#This Row],[Produto]],tProdutos[Produto],0)),"produto não cadastrado")</f>
        <v>FILA REBASE</v>
      </c>
      <c r="K9249" s="12">
        <f>tItens[[#This Row],[Qtd]]*tItens[[#This Row],[Vlr unit]]</f>
        <v>69.790000000000006</v>
      </c>
      <c r="L9249" s="6">
        <f>IFERROR(IF(INDEX(tProdutos[Desconto homologado],MATCH(tItens[[#This Row],[Produto]],tProdutos[Produto],0))="",DescontoPadrao,INDEX(tProdutos[Desconto homologado],MATCH(tItens[[#This Row],[Produto]],tProdutos[Produto],0))),DescontoPadrao)</f>
        <v>0.44096385542168698</v>
      </c>
      <c r="M9249" s="12">
        <f>tItens[[#This Row],[Valor]]*(1-tItens[[#This Row],[Desconto]])</f>
        <v>39.015132530120468</v>
      </c>
      <c r="N9249" t="str">
        <f>IFERROR(INDEX(tProdutos[Foco],MATCH(tItens[[#This Row],[Produto]],tProdutos[Produto],0)),"Não")</f>
        <v>Não</v>
      </c>
      <c r="O9249" t="str">
        <f>IFERROR(INDEX(tEditais[SRP],MATCH(tItens[[#This Row],[Edital]],tEditais[Edital],0)),"Não")</f>
        <v>Não</v>
      </c>
      <c r="P9249" s="4">
        <f>IF(COUNTIFS(INDEX(tItens[Edital],1):tItens[[#This Row],[Edital]],tItens[[#This Row],[Edital]],INDEX(tItens[Produto],1):tItens[[#This Row],[Produto]],tItens[[#This Row],[Produto]])=1,1,0)</f>
        <v>1</v>
      </c>
    </row>
    <row r="9250" spans="1:16" x14ac:dyDescent="0.25">
      <c r="A9250" t="s">
        <v>3169</v>
      </c>
      <c r="B9250">
        <v>37</v>
      </c>
      <c r="C9250" t="s">
        <v>11565</v>
      </c>
      <c r="D9250" t="s">
        <v>413</v>
      </c>
      <c r="E9250" s="13">
        <v>15</v>
      </c>
      <c r="F9250" s="12">
        <v>91.58</v>
      </c>
      <c r="G9250" t="str">
        <f>IFERROR(INDEX(tEditais[Órgão],MATCH(tItens[[#This Row],[Edital]],tEditais[Edital],0)),"")</f>
        <v>SAO PAULO SECRETARIA DA SEGURANCA PUBLICA</v>
      </c>
      <c r="H9250" t="str">
        <f>IFERROR(INDEX(tEditais[UF],MATCH(tItens[[#This Row],[Edital]],tEditais[Edital],0)),"")</f>
        <v>SP</v>
      </c>
      <c r="I9250" s="11">
        <f>IFERROR(INDEX(tEditais[Encerramento],MATCH(tItens[[#This Row],[Edital]],tEditais[Edital],0)),"")</f>
        <v>46314.333333333336</v>
      </c>
      <c r="J9250" t="str">
        <f>IFERROR(INDEX(tProdutos[Classe],MATCH(tItens[[#This Row],[Produto]],tProdutos[Produto],0)),"produto não cadastrado")</f>
        <v>FORA</v>
      </c>
      <c r="K9250" s="12">
        <f>tItens[[#This Row],[Qtd]]*tItens[[#This Row],[Vlr unit]]</f>
        <v>1373.7</v>
      </c>
      <c r="L9250" s="6">
        <f>IFERROR(IF(INDEX(tProdutos[Desconto homologado],MATCH(tItens[[#This Row],[Produto]],tProdutos[Produto],0))="",DescontoPadrao,INDEX(tProdutos[Desconto homologado],MATCH(tItens[[#This Row],[Produto]],tProdutos[Produto],0))),DescontoPadrao)</f>
        <v>0.477732793522267</v>
      </c>
      <c r="M9250" s="12">
        <f>tItens[[#This Row],[Valor]]*(1-tItens[[#This Row],[Desconto]])</f>
        <v>717.43846153846175</v>
      </c>
      <c r="N9250" t="str">
        <f>IFERROR(INDEX(tProdutos[Foco],MATCH(tItens[[#This Row],[Produto]],tProdutos[Produto],0)),"Não")</f>
        <v>Não</v>
      </c>
      <c r="O9250" t="str">
        <f>IFERROR(INDEX(tEditais[SRP],MATCH(tItens[[#This Row],[Edital]],tEditais[Edital],0)),"Não")</f>
        <v>Não</v>
      </c>
      <c r="P9250" s="4">
        <f>IF(COUNTIFS(INDEX(tItens[Edital],1):tItens[[#This Row],[Edital]],tItens[[#This Row],[Edital]],INDEX(tItens[Produto],1):tItens[[#This Row],[Produto]],tItens[[#This Row],[Produto]])=1,1,0)</f>
        <v>1</v>
      </c>
    </row>
    <row r="9251" spans="1:16" x14ac:dyDescent="0.25">
      <c r="A9251" t="s">
        <v>3172</v>
      </c>
      <c r="B9251">
        <v>1</v>
      </c>
      <c r="C9251" t="s">
        <v>11566</v>
      </c>
      <c r="D9251" t="s">
        <v>339</v>
      </c>
      <c r="E9251" s="13">
        <v>4500</v>
      </c>
      <c r="F9251" s="12">
        <v>1.86</v>
      </c>
      <c r="G9251" t="str">
        <f>IFERROR(INDEX(tEditais[Órgão],MATCH(tItens[[#This Row],[Edital]],tEditais[Edital],0)),"")</f>
        <v>MUNICIPIO DE ARARAS</v>
      </c>
      <c r="H9251" t="str">
        <f>IFERROR(INDEX(tEditais[UF],MATCH(tItens[[#This Row],[Edital]],tEditais[Edital],0)),"")</f>
        <v>SP</v>
      </c>
      <c r="I9251" s="11">
        <f>IFERROR(INDEX(tEditais[Encerramento],MATCH(tItens[[#This Row],[Edital]],tEditais[Edital],0)),"")</f>
        <v>46314.333333333336</v>
      </c>
      <c r="J9251" t="str">
        <f>IFERROR(INDEX(tProdutos[Classe],MATCH(tItens[[#This Row],[Produto]],tProdutos[Produto],0)),"produto não cadastrado")</f>
        <v>FORA</v>
      </c>
      <c r="K9251" s="12">
        <f>tItens[[#This Row],[Qtd]]*tItens[[#This Row],[Vlr unit]]</f>
        <v>8370</v>
      </c>
      <c r="L9251" s="6">
        <f>IFERROR(IF(INDEX(tProdutos[Desconto homologado],MATCH(tItens[[#This Row],[Produto]],tProdutos[Produto],0))="",DescontoPadrao,INDEX(tProdutos[Desconto homologado],MATCH(tItens[[#This Row],[Produto]],tProdutos[Produto],0))),DescontoPadrao)</f>
        <v>0.35388629091804102</v>
      </c>
      <c r="M9251" s="12">
        <f>tItens[[#This Row],[Valor]]*(1-tItens[[#This Row],[Desconto]])</f>
        <v>5407.9717450159969</v>
      </c>
      <c r="N9251" t="str">
        <f>IFERROR(INDEX(tProdutos[Foco],MATCH(tItens[[#This Row],[Produto]],tProdutos[Produto],0)),"Não")</f>
        <v>Não</v>
      </c>
      <c r="O9251" t="str">
        <f>IFERROR(INDEX(tEditais[SRP],MATCH(tItens[[#This Row],[Edital]],tEditais[Edital],0)),"Não")</f>
        <v>Não</v>
      </c>
      <c r="P9251" s="4">
        <f>IF(COUNTIFS(INDEX(tItens[Edital],1):tItens[[#This Row],[Edital]],tItens[[#This Row],[Edital]],INDEX(tItens[Produto],1):tItens[[#This Row],[Produto]],tItens[[#This Row],[Produto]])=1,1,0)</f>
        <v>1</v>
      </c>
    </row>
    <row r="9252" spans="1:16" x14ac:dyDescent="0.25">
      <c r="A9252" t="s">
        <v>3172</v>
      </c>
      <c r="B9252">
        <v>2</v>
      </c>
      <c r="C9252" t="s">
        <v>11567</v>
      </c>
      <c r="D9252" t="s">
        <v>345</v>
      </c>
      <c r="E9252" s="13">
        <v>6000</v>
      </c>
      <c r="F9252" s="12">
        <v>3.76</v>
      </c>
      <c r="G9252" t="str">
        <f>IFERROR(INDEX(tEditais[Órgão],MATCH(tItens[[#This Row],[Edital]],tEditais[Edital],0)),"")</f>
        <v>MUNICIPIO DE ARARAS</v>
      </c>
      <c r="H9252" t="str">
        <f>IFERROR(INDEX(tEditais[UF],MATCH(tItens[[#This Row],[Edital]],tEditais[Edital],0)),"")</f>
        <v>SP</v>
      </c>
      <c r="I9252" s="11">
        <f>IFERROR(INDEX(tEditais[Encerramento],MATCH(tItens[[#This Row],[Edital]],tEditais[Edital],0)),"")</f>
        <v>46314.333333333336</v>
      </c>
      <c r="J9252" t="str">
        <f>IFERROR(INDEX(tProdutos[Classe],MATCH(tItens[[#This Row],[Produto]],tProdutos[Produto],0)),"produto não cadastrado")</f>
        <v>FORA</v>
      </c>
      <c r="K9252" s="12">
        <f>tItens[[#This Row],[Qtd]]*tItens[[#This Row],[Vlr unit]]</f>
        <v>22560</v>
      </c>
      <c r="L9252" s="6">
        <f>IFERROR(IF(INDEX(tProdutos[Desconto homologado],MATCH(tItens[[#This Row],[Produto]],tProdutos[Produto],0))="",DescontoPadrao,INDEX(tProdutos[Desconto homologado],MATCH(tItens[[#This Row],[Produto]],tProdutos[Produto],0))),DescontoPadrao)</f>
        <v>0.412394275616498</v>
      </c>
      <c r="M9252" s="12">
        <f>tItens[[#This Row],[Valor]]*(1-tItens[[#This Row],[Desconto]])</f>
        <v>13256.385142091805</v>
      </c>
      <c r="N9252" t="str">
        <f>IFERROR(INDEX(tProdutos[Foco],MATCH(tItens[[#This Row],[Produto]],tProdutos[Produto],0)),"Não")</f>
        <v>Não</v>
      </c>
      <c r="O9252" t="str">
        <f>IFERROR(INDEX(tEditais[SRP],MATCH(tItens[[#This Row],[Edital]],tEditais[Edital],0)),"Não")</f>
        <v>Não</v>
      </c>
      <c r="P9252" s="4">
        <f>IF(COUNTIFS(INDEX(tItens[Edital],1):tItens[[#This Row],[Edital]],tItens[[#This Row],[Edital]],INDEX(tItens[Produto],1):tItens[[#This Row],[Produto]],tItens[[#This Row],[Produto]])=1,1,0)</f>
        <v>1</v>
      </c>
    </row>
    <row r="9253" spans="1:16" x14ac:dyDescent="0.25">
      <c r="A9253" t="s">
        <v>3172</v>
      </c>
      <c r="B9253">
        <v>3</v>
      </c>
      <c r="C9253" t="s">
        <v>11568</v>
      </c>
      <c r="D9253" t="s">
        <v>345</v>
      </c>
      <c r="E9253" s="13">
        <v>4500</v>
      </c>
      <c r="F9253" s="12">
        <v>3.61</v>
      </c>
      <c r="G9253" t="str">
        <f>IFERROR(INDEX(tEditais[Órgão],MATCH(tItens[[#This Row],[Edital]],tEditais[Edital],0)),"")</f>
        <v>MUNICIPIO DE ARARAS</v>
      </c>
      <c r="H9253" t="str">
        <f>IFERROR(INDEX(tEditais[UF],MATCH(tItens[[#This Row],[Edital]],tEditais[Edital],0)),"")</f>
        <v>SP</v>
      </c>
      <c r="I9253" s="11">
        <f>IFERROR(INDEX(tEditais[Encerramento],MATCH(tItens[[#This Row],[Edital]],tEditais[Edital],0)),"")</f>
        <v>46314.333333333336</v>
      </c>
      <c r="J9253" t="str">
        <f>IFERROR(INDEX(tProdutos[Classe],MATCH(tItens[[#This Row],[Produto]],tProdutos[Produto],0)),"produto não cadastrado")</f>
        <v>FORA</v>
      </c>
      <c r="K9253" s="12">
        <f>tItens[[#This Row],[Qtd]]*tItens[[#This Row],[Vlr unit]]</f>
        <v>16245</v>
      </c>
      <c r="L9253" s="6">
        <f>IFERROR(IF(INDEX(tProdutos[Desconto homologado],MATCH(tItens[[#This Row],[Produto]],tProdutos[Produto],0))="",DescontoPadrao,INDEX(tProdutos[Desconto homologado],MATCH(tItens[[#This Row],[Produto]],tProdutos[Produto],0))),DescontoPadrao)</f>
        <v>0.412394275616498</v>
      </c>
      <c r="M9253" s="12">
        <f>tItens[[#This Row],[Valor]]*(1-tItens[[#This Row],[Desconto]])</f>
        <v>9545.6549926099906</v>
      </c>
      <c r="N9253" t="str">
        <f>IFERROR(INDEX(tProdutos[Foco],MATCH(tItens[[#This Row],[Produto]],tProdutos[Produto],0)),"Não")</f>
        <v>Não</v>
      </c>
      <c r="O9253" t="str">
        <f>IFERROR(INDEX(tEditais[SRP],MATCH(tItens[[#This Row],[Edital]],tEditais[Edital],0)),"Não")</f>
        <v>Não</v>
      </c>
      <c r="P9253" s="4">
        <f>IF(COUNTIFS(INDEX(tItens[Edital],1):tItens[[#This Row],[Edital]],tItens[[#This Row],[Edital]],INDEX(tItens[Produto],1):tItens[[#This Row],[Produto]],tItens[[#This Row],[Produto]])=1,1,0)</f>
        <v>0</v>
      </c>
    </row>
    <row r="9254" spans="1:16" x14ac:dyDescent="0.25">
      <c r="A9254" t="s">
        <v>3172</v>
      </c>
      <c r="B9254">
        <v>4</v>
      </c>
      <c r="C9254" t="s">
        <v>11569</v>
      </c>
      <c r="D9254" t="s">
        <v>345</v>
      </c>
      <c r="E9254" s="13">
        <v>4500</v>
      </c>
      <c r="F9254" s="12">
        <v>3.94</v>
      </c>
      <c r="G9254" t="str">
        <f>IFERROR(INDEX(tEditais[Órgão],MATCH(tItens[[#This Row],[Edital]],tEditais[Edital],0)),"")</f>
        <v>MUNICIPIO DE ARARAS</v>
      </c>
      <c r="H9254" t="str">
        <f>IFERROR(INDEX(tEditais[UF],MATCH(tItens[[#This Row],[Edital]],tEditais[Edital],0)),"")</f>
        <v>SP</v>
      </c>
      <c r="I9254" s="11">
        <f>IFERROR(INDEX(tEditais[Encerramento],MATCH(tItens[[#This Row],[Edital]],tEditais[Edital],0)),"")</f>
        <v>46314.333333333336</v>
      </c>
      <c r="J9254" t="str">
        <f>IFERROR(INDEX(tProdutos[Classe],MATCH(tItens[[#This Row],[Produto]],tProdutos[Produto],0)),"produto não cadastrado")</f>
        <v>FORA</v>
      </c>
      <c r="K9254" s="12">
        <f>tItens[[#This Row],[Qtd]]*tItens[[#This Row],[Vlr unit]]</f>
        <v>17730</v>
      </c>
      <c r="L9254" s="6">
        <f>IFERROR(IF(INDEX(tProdutos[Desconto homologado],MATCH(tItens[[#This Row],[Produto]],tProdutos[Produto],0))="",DescontoPadrao,INDEX(tProdutos[Desconto homologado],MATCH(tItens[[#This Row],[Produto]],tProdutos[Produto],0))),DescontoPadrao)</f>
        <v>0.412394275616498</v>
      </c>
      <c r="M9254" s="12">
        <f>tItens[[#This Row],[Valor]]*(1-tItens[[#This Row],[Desconto]])</f>
        <v>10418.24949331949</v>
      </c>
      <c r="N9254" t="str">
        <f>IFERROR(INDEX(tProdutos[Foco],MATCH(tItens[[#This Row],[Produto]],tProdutos[Produto],0)),"Não")</f>
        <v>Não</v>
      </c>
      <c r="O9254" t="str">
        <f>IFERROR(INDEX(tEditais[SRP],MATCH(tItens[[#This Row],[Edital]],tEditais[Edital],0)),"Não")</f>
        <v>Não</v>
      </c>
      <c r="P9254" s="4">
        <f>IF(COUNTIFS(INDEX(tItens[Edital],1):tItens[[#This Row],[Edital]],tItens[[#This Row],[Edital]],INDEX(tItens[Produto],1):tItens[[#This Row],[Produto]],tItens[[#This Row],[Produto]])=1,1,0)</f>
        <v>0</v>
      </c>
    </row>
    <row r="9255" spans="1:16" x14ac:dyDescent="0.25">
      <c r="A9255" t="s">
        <v>3174</v>
      </c>
      <c r="B9255">
        <v>1</v>
      </c>
      <c r="C9255" t="s">
        <v>11570</v>
      </c>
      <c r="D9255" t="s">
        <v>277</v>
      </c>
      <c r="E9255" s="13">
        <v>1000</v>
      </c>
      <c r="F9255" s="12">
        <v>17.78</v>
      </c>
      <c r="G9255" t="str">
        <f>IFERROR(INDEX(tEditais[Órgão],MATCH(tItens[[#This Row],[Edital]],tEditais[Edital],0)),"")</f>
        <v>MUNICIPIO DE QUATA</v>
      </c>
      <c r="H9255" t="str">
        <f>IFERROR(INDEX(tEditais[UF],MATCH(tItens[[#This Row],[Edital]],tEditais[Edital],0)),"")</f>
        <v>SP</v>
      </c>
      <c r="I9255" s="11">
        <f>IFERROR(INDEX(tEditais[Encerramento],MATCH(tItens[[#This Row],[Edital]],tEditais[Edital],0)),"")</f>
        <v>46314.374305555553</v>
      </c>
      <c r="J9255" t="str">
        <f>IFERROR(INDEX(tProdutos[Classe],MATCH(tItens[[#This Row],[Produto]],tProdutos[Produto],0)),"produto não cadastrado")</f>
        <v>DISPUTADO</v>
      </c>
      <c r="K9255" s="12">
        <f>tItens[[#This Row],[Qtd]]*tItens[[#This Row],[Vlr unit]]</f>
        <v>17780</v>
      </c>
      <c r="L9255" s="6">
        <f>IFERROR(IF(INDEX(tProdutos[Desconto homologado],MATCH(tItens[[#This Row],[Produto]],tProdutos[Produto],0))="",DescontoPadrao,INDEX(tProdutos[Desconto homologado],MATCH(tItens[[#This Row],[Produto]],tProdutos[Produto],0))),DescontoPadrao)</f>
        <v>0.50460666194188497</v>
      </c>
      <c r="M9255" s="12">
        <f>tItens[[#This Row],[Valor]]*(1-tItens[[#This Row],[Desconto]])</f>
        <v>8808.0935506732858</v>
      </c>
      <c r="N9255" t="str">
        <f>IFERROR(INDEX(tProdutos[Foco],MATCH(tItens[[#This Row],[Produto]],tProdutos[Produto],0)),"Não")</f>
        <v>Não</v>
      </c>
      <c r="O9255" t="str">
        <f>IFERROR(INDEX(tEditais[SRP],MATCH(tItens[[#This Row],[Edital]],tEditais[Edital],0)),"Não")</f>
        <v>Sim</v>
      </c>
      <c r="P9255" s="4">
        <f>IF(COUNTIFS(INDEX(tItens[Edital],1):tItens[[#This Row],[Edital]],tItens[[#This Row],[Edital]],INDEX(tItens[Produto],1):tItens[[#This Row],[Produto]],tItens[[#This Row],[Produto]])=1,1,0)</f>
        <v>1</v>
      </c>
    </row>
    <row r="9256" spans="1:16" x14ac:dyDescent="0.25">
      <c r="A9256" t="s">
        <v>3178</v>
      </c>
      <c r="B9256">
        <v>2</v>
      </c>
      <c r="C9256" t="s">
        <v>7377</v>
      </c>
      <c r="D9256" t="s">
        <v>229</v>
      </c>
      <c r="E9256" s="13">
        <v>50</v>
      </c>
      <c r="F9256" s="12">
        <v>0</v>
      </c>
      <c r="G9256" t="str">
        <f>IFERROR(INDEX(tEditais[Órgão],MATCH(tItens[[#This Row],[Edital]],tEditais[Edital],0)),"")</f>
        <v>SECRETARIA DE ESTADO DA SAUDE</v>
      </c>
      <c r="H9256" t="str">
        <f>IFERROR(INDEX(tEditais[UF],MATCH(tItens[[#This Row],[Edital]],tEditais[Edital],0)),"")</f>
        <v>SP</v>
      </c>
      <c r="I9256" s="11">
        <f>IFERROR(INDEX(tEditais[Encerramento],MATCH(tItens[[#This Row],[Edital]],tEditais[Edital],0)),"")</f>
        <v>46314.374305555553</v>
      </c>
      <c r="J9256" t="str">
        <f>IFERROR(INDEX(tProdutos[Classe],MATCH(tItens[[#This Row],[Produto]],tProdutos[Produto],0)),"produto não cadastrado")</f>
        <v>FORA</v>
      </c>
      <c r="K9256" s="12">
        <f>tItens[[#This Row],[Qtd]]*tItens[[#This Row],[Vlr unit]]</f>
        <v>0</v>
      </c>
      <c r="L9256" s="6">
        <f>IFERROR(IF(INDEX(tProdutos[Desconto homologado],MATCH(tItens[[#This Row],[Produto]],tProdutos[Produto],0))="",DescontoPadrao,INDEX(tProdutos[Desconto homologado],MATCH(tItens[[#This Row],[Produto]],tProdutos[Produto],0))),DescontoPadrao)</f>
        <v>0.33093491191658198</v>
      </c>
      <c r="M9256" s="12">
        <f>tItens[[#This Row],[Valor]]*(1-tItens[[#This Row],[Desconto]])</f>
        <v>0</v>
      </c>
      <c r="N9256" t="str">
        <f>IFERROR(INDEX(tProdutos[Foco],MATCH(tItens[[#This Row],[Produto]],tProdutos[Produto],0)),"Não")</f>
        <v>Não</v>
      </c>
      <c r="O9256" t="str">
        <f>IFERROR(INDEX(tEditais[SRP],MATCH(tItens[[#This Row],[Edital]],tEditais[Edital],0)),"Não")</f>
        <v>Não</v>
      </c>
      <c r="P9256" s="4">
        <f>IF(COUNTIFS(INDEX(tItens[Edital],1):tItens[[#This Row],[Edital]],tItens[[#This Row],[Edital]],INDEX(tItens[Produto],1):tItens[[#This Row],[Produto]],tItens[[#This Row],[Produto]])=1,1,0)</f>
        <v>1</v>
      </c>
    </row>
    <row r="9257" spans="1:16" x14ac:dyDescent="0.25">
      <c r="A9257" t="s">
        <v>3181</v>
      </c>
      <c r="B9257">
        <v>1</v>
      </c>
      <c r="C9257" t="s">
        <v>11571</v>
      </c>
      <c r="D9257" t="s">
        <v>229</v>
      </c>
      <c r="E9257" s="13">
        <v>2000</v>
      </c>
      <c r="F9257" s="12">
        <v>0</v>
      </c>
      <c r="G9257" t="str">
        <f>IFERROR(INDEX(tEditais[Órgão],MATCH(tItens[[#This Row],[Edital]],tEditais[Edital],0)),"")</f>
        <v>SECRETARIA DE ESTADO DA SAUDE</v>
      </c>
      <c r="H9257" t="str">
        <f>IFERROR(INDEX(tEditais[UF],MATCH(tItens[[#This Row],[Edital]],tEditais[Edital],0)),"")</f>
        <v>SP</v>
      </c>
      <c r="I9257" s="11">
        <f>IFERROR(INDEX(tEditais[Encerramento],MATCH(tItens[[#This Row],[Edital]],tEditais[Edital],0)),"")</f>
        <v>46314.375</v>
      </c>
      <c r="J9257" t="str">
        <f>IFERROR(INDEX(tProdutos[Classe],MATCH(tItens[[#This Row],[Produto]],tProdutos[Produto],0)),"produto não cadastrado")</f>
        <v>FORA</v>
      </c>
      <c r="K9257" s="12">
        <f>tItens[[#This Row],[Qtd]]*tItens[[#This Row],[Vlr unit]]</f>
        <v>0</v>
      </c>
      <c r="L9257" s="6">
        <f>IFERROR(IF(INDEX(tProdutos[Desconto homologado],MATCH(tItens[[#This Row],[Produto]],tProdutos[Produto],0))="",DescontoPadrao,INDEX(tProdutos[Desconto homologado],MATCH(tItens[[#This Row],[Produto]],tProdutos[Produto],0))),DescontoPadrao)</f>
        <v>0.33093491191658198</v>
      </c>
      <c r="M9257" s="12">
        <f>tItens[[#This Row],[Valor]]*(1-tItens[[#This Row],[Desconto]])</f>
        <v>0</v>
      </c>
      <c r="N9257" t="str">
        <f>IFERROR(INDEX(tProdutos[Foco],MATCH(tItens[[#This Row],[Produto]],tProdutos[Produto],0)),"Não")</f>
        <v>Não</v>
      </c>
      <c r="O9257" t="str">
        <f>IFERROR(INDEX(tEditais[SRP],MATCH(tItens[[#This Row],[Edital]],tEditais[Edital],0)),"Não")</f>
        <v>Não</v>
      </c>
      <c r="P9257" s="4">
        <f>IF(COUNTIFS(INDEX(tItens[Edital],1):tItens[[#This Row],[Edital]],tItens[[#This Row],[Edital]],INDEX(tItens[Produto],1):tItens[[#This Row],[Produto]],tItens[[#This Row],[Produto]])=1,1,0)</f>
        <v>1</v>
      </c>
    </row>
    <row r="9258" spans="1:16" x14ac:dyDescent="0.25">
      <c r="A9258" t="s">
        <v>3184</v>
      </c>
      <c r="B9258">
        <v>1</v>
      </c>
      <c r="C9258" t="s">
        <v>10866</v>
      </c>
      <c r="D9258" t="s">
        <v>461</v>
      </c>
      <c r="E9258" s="13">
        <v>5550</v>
      </c>
      <c r="F9258" s="12">
        <v>0</v>
      </c>
      <c r="G9258" t="str">
        <f>IFERROR(INDEX(tEditais[Órgão],MATCH(tItens[[#This Row],[Edital]],tEditais[Edital],0)),"")</f>
        <v>HOSPITAL DAS CLINICAS DA FACULDADE DE MEDICINA DE RPUSP</v>
      </c>
      <c r="H9258" t="str">
        <f>IFERROR(INDEX(tEditais[UF],MATCH(tItens[[#This Row],[Edital]],tEditais[Edital],0)),"")</f>
        <v>SP</v>
      </c>
      <c r="I9258" s="11">
        <f>IFERROR(INDEX(tEditais[Encerramento],MATCH(tItens[[#This Row],[Edital]],tEditais[Edital],0)),"")</f>
        <v>46314.375</v>
      </c>
      <c r="J9258" t="str">
        <f>IFERROR(INDEX(tProdutos[Classe],MATCH(tItens[[#This Row],[Produto]],tProdutos[Produto],0)),"produto não cadastrado")</f>
        <v>FILA REBASE</v>
      </c>
      <c r="K9258" s="12">
        <f>tItens[[#This Row],[Qtd]]*tItens[[#This Row],[Vlr unit]]</f>
        <v>0</v>
      </c>
      <c r="L9258" s="6">
        <f>IFERROR(IF(INDEX(tProdutos[Desconto homologado],MATCH(tItens[[#This Row],[Produto]],tProdutos[Produto],0))="",DescontoPadrao,INDEX(tProdutos[Desconto homologado],MATCH(tItens[[#This Row],[Produto]],tProdutos[Produto],0))),DescontoPadrao)</f>
        <v>0.44096385542168698</v>
      </c>
      <c r="M9258" s="12">
        <f>tItens[[#This Row],[Valor]]*(1-tItens[[#This Row],[Desconto]])</f>
        <v>0</v>
      </c>
      <c r="N9258" t="str">
        <f>IFERROR(INDEX(tProdutos[Foco],MATCH(tItens[[#This Row],[Produto]],tProdutos[Produto],0)),"Não")</f>
        <v>Não</v>
      </c>
      <c r="O9258" t="str">
        <f>IFERROR(INDEX(tEditais[SRP],MATCH(tItens[[#This Row],[Edital]],tEditais[Edital],0)),"Não")</f>
        <v>Sim</v>
      </c>
      <c r="P9258" s="4">
        <f>IF(COUNTIFS(INDEX(tItens[Edital],1):tItens[[#This Row],[Edital]],tItens[[#This Row],[Edital]],INDEX(tItens[Produto],1):tItens[[#This Row],[Produto]],tItens[[#This Row],[Produto]])=1,1,0)</f>
        <v>1</v>
      </c>
    </row>
    <row r="9259" spans="1:16" x14ac:dyDescent="0.25">
      <c r="A9259" t="s">
        <v>3184</v>
      </c>
      <c r="B9259">
        <v>2</v>
      </c>
      <c r="C9259" t="s">
        <v>11572</v>
      </c>
      <c r="D9259" t="s">
        <v>375</v>
      </c>
      <c r="E9259" s="13">
        <v>630</v>
      </c>
      <c r="F9259" s="12">
        <v>0</v>
      </c>
      <c r="G9259" t="str">
        <f>IFERROR(INDEX(tEditais[Órgão],MATCH(tItens[[#This Row],[Edital]],tEditais[Edital],0)),"")</f>
        <v>HOSPITAL DAS CLINICAS DA FACULDADE DE MEDICINA DE RPUSP</v>
      </c>
      <c r="H9259" t="str">
        <f>IFERROR(INDEX(tEditais[UF],MATCH(tItens[[#This Row],[Edital]],tEditais[Edital],0)),"")</f>
        <v>SP</v>
      </c>
      <c r="I9259" s="11">
        <f>IFERROR(INDEX(tEditais[Encerramento],MATCH(tItens[[#This Row],[Edital]],tEditais[Edital],0)),"")</f>
        <v>46314.375</v>
      </c>
      <c r="J9259" t="str">
        <f>IFERROR(INDEX(tProdutos[Classe],MATCH(tItens[[#This Row],[Produto]],tProdutos[Produto],0)),"produto não cadastrado")</f>
        <v>FORA</v>
      </c>
      <c r="K9259" s="12">
        <f>tItens[[#This Row],[Qtd]]*tItens[[#This Row],[Vlr unit]]</f>
        <v>0</v>
      </c>
      <c r="L9259" s="6">
        <f>IFERROR(IF(INDEX(tProdutos[Desconto homologado],MATCH(tItens[[#This Row],[Produto]],tProdutos[Produto],0))="",DescontoPadrao,INDEX(tProdutos[Desconto homologado],MATCH(tItens[[#This Row],[Produto]],tProdutos[Produto],0))),DescontoPadrao)</f>
        <v>0.25005895299481201</v>
      </c>
      <c r="M9259" s="12">
        <f>tItens[[#This Row],[Valor]]*(1-tItens[[#This Row],[Desconto]])</f>
        <v>0</v>
      </c>
      <c r="N9259" t="str">
        <f>IFERROR(INDEX(tProdutos[Foco],MATCH(tItens[[#This Row],[Produto]],tProdutos[Produto],0)),"Não")</f>
        <v>Não</v>
      </c>
      <c r="O9259" t="str">
        <f>IFERROR(INDEX(tEditais[SRP],MATCH(tItens[[#This Row],[Edital]],tEditais[Edital],0)),"Não")</f>
        <v>Sim</v>
      </c>
      <c r="P9259" s="4">
        <f>IF(COUNTIFS(INDEX(tItens[Edital],1):tItens[[#This Row],[Edital]],tItens[[#This Row],[Edital]],INDEX(tItens[Produto],1):tItens[[#This Row],[Produto]],tItens[[#This Row],[Produto]])=1,1,0)</f>
        <v>1</v>
      </c>
    </row>
    <row r="9260" spans="1:16" x14ac:dyDescent="0.25">
      <c r="A9260" t="s">
        <v>3187</v>
      </c>
      <c r="B9260">
        <v>3</v>
      </c>
      <c r="C9260" t="s">
        <v>11564</v>
      </c>
      <c r="D9260" t="s">
        <v>423</v>
      </c>
      <c r="E9260" s="13">
        <v>264</v>
      </c>
      <c r="F9260" s="12">
        <v>21.5</v>
      </c>
      <c r="G9260" t="str">
        <f>IFERROR(INDEX(tEditais[Órgão],MATCH(tItens[[#This Row],[Edital]],tEditais[Edital],0)),"")</f>
        <v>MUNICIPIO DE BOTUCATU</v>
      </c>
      <c r="H9260" t="str">
        <f>IFERROR(INDEX(tEditais[UF],MATCH(tItens[[#This Row],[Edital]],tEditais[Edital],0)),"")</f>
        <v>SP</v>
      </c>
      <c r="I9260" s="11">
        <f>IFERROR(INDEX(tEditais[Encerramento],MATCH(tItens[[#This Row],[Edital]],tEditais[Edital],0)),"")</f>
        <v>46314.375</v>
      </c>
      <c r="J9260" t="str">
        <f>IFERROR(INDEX(tProdutos[Classe],MATCH(tItens[[#This Row],[Produto]],tProdutos[Produto],0)),"produto não cadastrado")</f>
        <v>FORA</v>
      </c>
      <c r="K9260" s="12">
        <f>tItens[[#This Row],[Qtd]]*tItens[[#This Row],[Vlr unit]]</f>
        <v>5676</v>
      </c>
      <c r="L9260" s="6">
        <f>IFERROR(IF(INDEX(tProdutos[Desconto homologado],MATCH(tItens[[#This Row],[Produto]],tProdutos[Produto],0))="",DescontoPadrao,INDEX(tProdutos[Desconto homologado],MATCH(tItens[[#This Row],[Produto]],tProdutos[Produto],0))),DescontoPadrao)</f>
        <v>0.38271604938271597</v>
      </c>
      <c r="M9260" s="12">
        <f>tItens[[#This Row],[Valor]]*(1-tItens[[#This Row],[Desconto]])</f>
        <v>3503.7037037037039</v>
      </c>
      <c r="N9260" t="str">
        <f>IFERROR(INDEX(tProdutos[Foco],MATCH(tItens[[#This Row],[Produto]],tProdutos[Produto],0)),"Não")</f>
        <v>Não</v>
      </c>
      <c r="O9260" t="str">
        <f>IFERROR(INDEX(tEditais[SRP],MATCH(tItens[[#This Row],[Edital]],tEditais[Edital],0)),"Não")</f>
        <v>Sim</v>
      </c>
      <c r="P9260" s="4">
        <f>IF(COUNTIFS(INDEX(tItens[Edital],1):tItens[[#This Row],[Edital]],tItens[[#This Row],[Edital]],INDEX(tItens[Produto],1):tItens[[#This Row],[Produto]],tItens[[#This Row],[Produto]])=1,1,0)</f>
        <v>1</v>
      </c>
    </row>
    <row r="9261" spans="1:16" x14ac:dyDescent="0.25">
      <c r="A9261" t="s">
        <v>3187</v>
      </c>
      <c r="B9261">
        <v>4</v>
      </c>
      <c r="C9261" t="s">
        <v>11573</v>
      </c>
      <c r="D9261" t="s">
        <v>421</v>
      </c>
      <c r="E9261" s="13">
        <v>150</v>
      </c>
      <c r="F9261" s="12">
        <v>20.350000000000001</v>
      </c>
      <c r="G9261" t="str">
        <f>IFERROR(INDEX(tEditais[Órgão],MATCH(tItens[[#This Row],[Edital]],tEditais[Edital],0)),"")</f>
        <v>MUNICIPIO DE BOTUCATU</v>
      </c>
      <c r="H9261" t="str">
        <f>IFERROR(INDEX(tEditais[UF],MATCH(tItens[[#This Row],[Edital]],tEditais[Edital],0)),"")</f>
        <v>SP</v>
      </c>
      <c r="I9261" s="11">
        <f>IFERROR(INDEX(tEditais[Encerramento],MATCH(tItens[[#This Row],[Edital]],tEditais[Edital],0)),"")</f>
        <v>46314.375</v>
      </c>
      <c r="J9261" t="str">
        <f>IFERROR(INDEX(tProdutos[Classe],MATCH(tItens[[#This Row],[Produto]],tProdutos[Produto],0)),"produto não cadastrado")</f>
        <v>FORA</v>
      </c>
      <c r="K9261" s="12">
        <f>tItens[[#This Row],[Qtd]]*tItens[[#This Row],[Vlr unit]]</f>
        <v>3052.5</v>
      </c>
      <c r="L9261" s="6">
        <f>IFERROR(IF(INDEX(tProdutos[Desconto homologado],MATCH(tItens[[#This Row],[Produto]],tProdutos[Produto],0))="",DescontoPadrao,INDEX(tProdutos[Desconto homologado],MATCH(tItens[[#This Row],[Produto]],tProdutos[Produto],0))),DescontoPadrao)</f>
        <v>0.43</v>
      </c>
      <c r="M9261" s="12">
        <f>tItens[[#This Row],[Valor]]*(1-tItens[[#This Row],[Desconto]])</f>
        <v>1739.9250000000002</v>
      </c>
      <c r="N9261" t="str">
        <f>IFERROR(INDEX(tProdutos[Foco],MATCH(tItens[[#This Row],[Produto]],tProdutos[Produto],0)),"Não")</f>
        <v>Sim</v>
      </c>
      <c r="O9261" t="str">
        <f>IFERROR(INDEX(tEditais[SRP],MATCH(tItens[[#This Row],[Edital]],tEditais[Edital],0)),"Não")</f>
        <v>Sim</v>
      </c>
      <c r="P9261" s="4">
        <f>IF(COUNTIFS(INDEX(tItens[Edital],1):tItens[[#This Row],[Edital]],tItens[[#This Row],[Edital]],INDEX(tItens[Produto],1):tItens[[#This Row],[Produto]],tItens[[#This Row],[Produto]])=1,1,0)</f>
        <v>1</v>
      </c>
    </row>
    <row r="9262" spans="1:16" x14ac:dyDescent="0.25">
      <c r="A9262" t="s">
        <v>3187</v>
      </c>
      <c r="B9262">
        <v>6</v>
      </c>
      <c r="C9262" t="s">
        <v>11574</v>
      </c>
      <c r="D9262" t="s">
        <v>641</v>
      </c>
      <c r="E9262" s="13">
        <v>170</v>
      </c>
      <c r="F9262" s="12">
        <v>45.35</v>
      </c>
      <c r="G9262" t="str">
        <f>IFERROR(INDEX(tEditais[Órgão],MATCH(tItens[[#This Row],[Edital]],tEditais[Edital],0)),"")</f>
        <v>MUNICIPIO DE BOTUCATU</v>
      </c>
      <c r="H9262" t="str">
        <f>IFERROR(INDEX(tEditais[UF],MATCH(tItens[[#This Row],[Edital]],tEditais[Edital],0)),"")</f>
        <v>SP</v>
      </c>
      <c r="I9262" s="11">
        <f>IFERROR(INDEX(tEditais[Encerramento],MATCH(tItens[[#This Row],[Edital]],tEditais[Edital],0)),"")</f>
        <v>46314.375</v>
      </c>
      <c r="J9262" t="str">
        <f>IFERROR(INDEX(tProdutos[Classe],MATCH(tItens[[#This Row],[Produto]],tProdutos[Produto],0)),"produto não cadastrado")</f>
        <v>FILA REBASE</v>
      </c>
      <c r="K9262" s="12">
        <f>tItens[[#This Row],[Qtd]]*tItens[[#This Row],[Vlr unit]]</f>
        <v>7709.5</v>
      </c>
      <c r="L9262" s="6">
        <f>IFERROR(IF(INDEX(tProdutos[Desconto homologado],MATCH(tItens[[#This Row],[Produto]],tProdutos[Produto],0))="",DescontoPadrao,INDEX(tProdutos[Desconto homologado],MATCH(tItens[[#This Row],[Produto]],tProdutos[Produto],0))),DescontoPadrao)</f>
        <v>0.3</v>
      </c>
      <c r="M9262" s="12">
        <f>tItens[[#This Row],[Valor]]*(1-tItens[[#This Row],[Desconto]])</f>
        <v>5396.65</v>
      </c>
      <c r="N9262" t="str">
        <f>IFERROR(INDEX(tProdutos[Foco],MATCH(tItens[[#This Row],[Produto]],tProdutos[Produto],0)),"Não")</f>
        <v>Não</v>
      </c>
      <c r="O9262" t="str">
        <f>IFERROR(INDEX(tEditais[SRP],MATCH(tItens[[#This Row],[Edital]],tEditais[Edital],0)),"Não")</f>
        <v>Sim</v>
      </c>
      <c r="P9262" s="4">
        <f>IF(COUNTIFS(INDEX(tItens[Edital],1):tItens[[#This Row],[Edital]],tItens[[#This Row],[Edital]],INDEX(tItens[Produto],1):tItens[[#This Row],[Produto]],tItens[[#This Row],[Produto]])=1,1,0)</f>
        <v>1</v>
      </c>
    </row>
    <row r="9263" spans="1:16" x14ac:dyDescent="0.25">
      <c r="A9263" t="s">
        <v>3191</v>
      </c>
      <c r="B9263">
        <v>7</v>
      </c>
      <c r="C9263" t="s">
        <v>4225</v>
      </c>
      <c r="D9263" t="s">
        <v>140</v>
      </c>
      <c r="E9263" s="13">
        <v>248</v>
      </c>
      <c r="F9263" s="12">
        <v>0</v>
      </c>
      <c r="G9263" t="str">
        <f>IFERROR(INDEX(tEditais[Órgão],MATCH(tItens[[#This Row],[Edital]],tEditais[Edital],0)),"")</f>
        <v>SECRETARIA DE ESTADO DA SAUDE</v>
      </c>
      <c r="H9263" t="str">
        <f>IFERROR(INDEX(tEditais[UF],MATCH(tItens[[#This Row],[Edital]],tEditais[Edital],0)),"")</f>
        <v>SP</v>
      </c>
      <c r="I9263" s="11">
        <f>IFERROR(INDEX(tEditais[Encerramento],MATCH(tItens[[#This Row],[Edital]],tEditais[Edital],0)),"")</f>
        <v>46314.375</v>
      </c>
      <c r="J9263" t="str">
        <f>IFERROR(INDEX(tProdutos[Classe],MATCH(tItens[[#This Row],[Produto]],tProdutos[Produto],0)),"produto não cadastrado")</f>
        <v>DISPUTADO</v>
      </c>
      <c r="K9263" s="12">
        <f>tItens[[#This Row],[Qtd]]*tItens[[#This Row],[Vlr unit]]</f>
        <v>0</v>
      </c>
      <c r="L9263" s="6">
        <f>IFERROR(IF(INDEX(tProdutos[Desconto homologado],MATCH(tItens[[#This Row],[Produto]],tProdutos[Produto],0))="",DescontoPadrao,INDEX(tProdutos[Desconto homologado],MATCH(tItens[[#This Row],[Produto]],tProdutos[Produto],0))),DescontoPadrao)</f>
        <v>0.48560177208958899</v>
      </c>
      <c r="M9263" s="12">
        <f>tItens[[#This Row],[Valor]]*(1-tItens[[#This Row],[Desconto]])</f>
        <v>0</v>
      </c>
      <c r="N9263" t="str">
        <f>IFERROR(INDEX(tProdutos[Foco],MATCH(tItens[[#This Row],[Produto]],tProdutos[Produto],0)),"Não")</f>
        <v>Não</v>
      </c>
      <c r="O9263" t="str">
        <f>IFERROR(INDEX(tEditais[SRP],MATCH(tItens[[#This Row],[Edital]],tEditais[Edital],0)),"Não")</f>
        <v>Não</v>
      </c>
      <c r="P9263" s="4">
        <f>IF(COUNTIFS(INDEX(tItens[Edital],1):tItens[[#This Row],[Edital]],tItens[[#This Row],[Edital]],INDEX(tItens[Produto],1):tItens[[#This Row],[Produto]],tItens[[#This Row],[Produto]])=1,1,0)</f>
        <v>1</v>
      </c>
    </row>
    <row r="9264" spans="1:16" x14ac:dyDescent="0.25">
      <c r="A9264" t="s">
        <v>3191</v>
      </c>
      <c r="B9264">
        <v>9</v>
      </c>
      <c r="C9264" t="s">
        <v>9411</v>
      </c>
      <c r="D9264" t="s">
        <v>144</v>
      </c>
      <c r="E9264" s="13">
        <v>200</v>
      </c>
      <c r="F9264" s="12">
        <v>0</v>
      </c>
      <c r="G9264" t="str">
        <f>IFERROR(INDEX(tEditais[Órgão],MATCH(tItens[[#This Row],[Edital]],tEditais[Edital],0)),"")</f>
        <v>SECRETARIA DE ESTADO DA SAUDE</v>
      </c>
      <c r="H9264" t="str">
        <f>IFERROR(INDEX(tEditais[UF],MATCH(tItens[[#This Row],[Edital]],tEditais[Edital],0)),"")</f>
        <v>SP</v>
      </c>
      <c r="I9264" s="11">
        <f>IFERROR(INDEX(tEditais[Encerramento],MATCH(tItens[[#This Row],[Edital]],tEditais[Edital],0)),"")</f>
        <v>46314.375</v>
      </c>
      <c r="J9264" t="str">
        <f>IFERROR(INDEX(tProdutos[Classe],MATCH(tItens[[#This Row],[Produto]],tProdutos[Produto],0)),"produto não cadastrado")</f>
        <v>DISPUTADO</v>
      </c>
      <c r="K9264" s="12">
        <f>tItens[[#This Row],[Qtd]]*tItens[[#This Row],[Vlr unit]]</f>
        <v>0</v>
      </c>
      <c r="L9264" s="6">
        <f>IFERROR(IF(INDEX(tProdutos[Desconto homologado],MATCH(tItens[[#This Row],[Produto]],tProdutos[Produto],0))="",DescontoPadrao,INDEX(tProdutos[Desconto homologado],MATCH(tItens[[#This Row],[Produto]],tProdutos[Produto],0))),DescontoPadrao)</f>
        <v>0.371428571428571</v>
      </c>
      <c r="M9264" s="12">
        <f>tItens[[#This Row],[Valor]]*(1-tItens[[#This Row],[Desconto]])</f>
        <v>0</v>
      </c>
      <c r="N9264" t="str">
        <f>IFERROR(INDEX(tProdutos[Foco],MATCH(tItens[[#This Row],[Produto]],tProdutos[Produto],0)),"Não")</f>
        <v>Não</v>
      </c>
      <c r="O9264" t="str">
        <f>IFERROR(INDEX(tEditais[SRP],MATCH(tItens[[#This Row],[Edital]],tEditais[Edital],0)),"Não")</f>
        <v>Não</v>
      </c>
      <c r="P9264" s="4">
        <f>IF(COUNTIFS(INDEX(tItens[Edital],1):tItens[[#This Row],[Edital]],tItens[[#This Row],[Edital]],INDEX(tItens[Produto],1):tItens[[#This Row],[Produto]],tItens[[#This Row],[Produto]])=1,1,0)</f>
        <v>1</v>
      </c>
    </row>
    <row r="9265" spans="1:16" x14ac:dyDescent="0.25">
      <c r="A9265" t="s">
        <v>3191</v>
      </c>
      <c r="B9265">
        <v>11</v>
      </c>
      <c r="C9265" t="s">
        <v>11575</v>
      </c>
      <c r="D9265" t="s">
        <v>461</v>
      </c>
      <c r="E9265" s="13">
        <v>312</v>
      </c>
      <c r="F9265" s="12">
        <v>0</v>
      </c>
      <c r="G9265" t="str">
        <f>IFERROR(INDEX(tEditais[Órgão],MATCH(tItens[[#This Row],[Edital]],tEditais[Edital],0)),"")</f>
        <v>SECRETARIA DE ESTADO DA SAUDE</v>
      </c>
      <c r="H9265" t="str">
        <f>IFERROR(INDEX(tEditais[UF],MATCH(tItens[[#This Row],[Edital]],tEditais[Edital],0)),"")</f>
        <v>SP</v>
      </c>
      <c r="I9265" s="11">
        <f>IFERROR(INDEX(tEditais[Encerramento],MATCH(tItens[[#This Row],[Edital]],tEditais[Edital],0)),"")</f>
        <v>46314.375</v>
      </c>
      <c r="J9265" t="str">
        <f>IFERROR(INDEX(tProdutos[Classe],MATCH(tItens[[#This Row],[Produto]],tProdutos[Produto],0)),"produto não cadastrado")</f>
        <v>FILA REBASE</v>
      </c>
      <c r="K9265" s="12">
        <f>tItens[[#This Row],[Qtd]]*tItens[[#This Row],[Vlr unit]]</f>
        <v>0</v>
      </c>
      <c r="L9265" s="6">
        <f>IFERROR(IF(INDEX(tProdutos[Desconto homologado],MATCH(tItens[[#This Row],[Produto]],tProdutos[Produto],0))="",DescontoPadrao,INDEX(tProdutos[Desconto homologado],MATCH(tItens[[#This Row],[Produto]],tProdutos[Produto],0))),DescontoPadrao)</f>
        <v>0.44096385542168698</v>
      </c>
      <c r="M9265" s="12">
        <f>tItens[[#This Row],[Valor]]*(1-tItens[[#This Row],[Desconto]])</f>
        <v>0</v>
      </c>
      <c r="N9265" t="str">
        <f>IFERROR(INDEX(tProdutos[Foco],MATCH(tItens[[#This Row],[Produto]],tProdutos[Produto],0)),"Não")</f>
        <v>Não</v>
      </c>
      <c r="O9265" t="str">
        <f>IFERROR(INDEX(tEditais[SRP],MATCH(tItens[[#This Row],[Edital]],tEditais[Edital],0)),"Não")</f>
        <v>Não</v>
      </c>
      <c r="P9265" s="4">
        <f>IF(COUNTIFS(INDEX(tItens[Edital],1):tItens[[#This Row],[Edital]],tItens[[#This Row],[Edital]],INDEX(tItens[Produto],1):tItens[[#This Row],[Produto]],tItens[[#This Row],[Produto]])=1,1,0)</f>
        <v>1</v>
      </c>
    </row>
    <row r="9266" spans="1:16" x14ac:dyDescent="0.25">
      <c r="A9266" t="s">
        <v>3191</v>
      </c>
      <c r="B9266">
        <v>12</v>
      </c>
      <c r="C9266" t="s">
        <v>11576</v>
      </c>
      <c r="D9266" t="s">
        <v>461</v>
      </c>
      <c r="E9266" s="13">
        <v>1620</v>
      </c>
      <c r="F9266" s="12">
        <v>0</v>
      </c>
      <c r="G9266" t="str">
        <f>IFERROR(INDEX(tEditais[Órgão],MATCH(tItens[[#This Row],[Edital]],tEditais[Edital],0)),"")</f>
        <v>SECRETARIA DE ESTADO DA SAUDE</v>
      </c>
      <c r="H9266" t="str">
        <f>IFERROR(INDEX(tEditais[UF],MATCH(tItens[[#This Row],[Edital]],tEditais[Edital],0)),"")</f>
        <v>SP</v>
      </c>
      <c r="I9266" s="11">
        <f>IFERROR(INDEX(tEditais[Encerramento],MATCH(tItens[[#This Row],[Edital]],tEditais[Edital],0)),"")</f>
        <v>46314.375</v>
      </c>
      <c r="J9266" t="str">
        <f>IFERROR(INDEX(tProdutos[Classe],MATCH(tItens[[#This Row],[Produto]],tProdutos[Produto],0)),"produto não cadastrado")</f>
        <v>FILA REBASE</v>
      </c>
      <c r="K9266" s="12">
        <f>tItens[[#This Row],[Qtd]]*tItens[[#This Row],[Vlr unit]]</f>
        <v>0</v>
      </c>
      <c r="L9266" s="6">
        <f>IFERROR(IF(INDEX(tProdutos[Desconto homologado],MATCH(tItens[[#This Row],[Produto]],tProdutos[Produto],0))="",DescontoPadrao,INDEX(tProdutos[Desconto homologado],MATCH(tItens[[#This Row],[Produto]],tProdutos[Produto],0))),DescontoPadrao)</f>
        <v>0.44096385542168698</v>
      </c>
      <c r="M9266" s="12">
        <f>tItens[[#This Row],[Valor]]*(1-tItens[[#This Row],[Desconto]])</f>
        <v>0</v>
      </c>
      <c r="N9266" t="str">
        <f>IFERROR(INDEX(tProdutos[Foco],MATCH(tItens[[#This Row],[Produto]],tProdutos[Produto],0)),"Não")</f>
        <v>Não</v>
      </c>
      <c r="O9266" t="str">
        <f>IFERROR(INDEX(tEditais[SRP],MATCH(tItens[[#This Row],[Edital]],tEditais[Edital],0)),"Não")</f>
        <v>Não</v>
      </c>
      <c r="P9266" s="4">
        <f>IF(COUNTIFS(INDEX(tItens[Edital],1):tItens[[#This Row],[Edital]],tItens[[#This Row],[Edital]],INDEX(tItens[Produto],1):tItens[[#This Row],[Produto]],tItens[[#This Row],[Produto]])=1,1,0)</f>
        <v>0</v>
      </c>
    </row>
    <row r="9267" spans="1:16" x14ac:dyDescent="0.25">
      <c r="A9267" t="s">
        <v>3191</v>
      </c>
      <c r="B9267">
        <v>13</v>
      </c>
      <c r="C9267" t="s">
        <v>11577</v>
      </c>
      <c r="D9267" t="s">
        <v>375</v>
      </c>
      <c r="E9267" s="13">
        <v>144</v>
      </c>
      <c r="F9267" s="12">
        <v>0</v>
      </c>
      <c r="G9267" t="str">
        <f>IFERROR(INDEX(tEditais[Órgão],MATCH(tItens[[#This Row],[Edital]],tEditais[Edital],0)),"")</f>
        <v>SECRETARIA DE ESTADO DA SAUDE</v>
      </c>
      <c r="H9267" t="str">
        <f>IFERROR(INDEX(tEditais[UF],MATCH(tItens[[#This Row],[Edital]],tEditais[Edital],0)),"")</f>
        <v>SP</v>
      </c>
      <c r="I9267" s="11">
        <f>IFERROR(INDEX(tEditais[Encerramento],MATCH(tItens[[#This Row],[Edital]],tEditais[Edital],0)),"")</f>
        <v>46314.375</v>
      </c>
      <c r="J9267" t="str">
        <f>IFERROR(INDEX(tProdutos[Classe],MATCH(tItens[[#This Row],[Produto]],tProdutos[Produto],0)),"produto não cadastrado")</f>
        <v>FORA</v>
      </c>
      <c r="K9267" s="12">
        <f>tItens[[#This Row],[Qtd]]*tItens[[#This Row],[Vlr unit]]</f>
        <v>0</v>
      </c>
      <c r="L9267" s="6">
        <f>IFERROR(IF(INDEX(tProdutos[Desconto homologado],MATCH(tItens[[#This Row],[Produto]],tProdutos[Produto],0))="",DescontoPadrao,INDEX(tProdutos[Desconto homologado],MATCH(tItens[[#This Row],[Produto]],tProdutos[Produto],0))),DescontoPadrao)</f>
        <v>0.25005895299481201</v>
      </c>
      <c r="M9267" s="12">
        <f>tItens[[#This Row],[Valor]]*(1-tItens[[#This Row],[Desconto]])</f>
        <v>0</v>
      </c>
      <c r="N9267" t="str">
        <f>IFERROR(INDEX(tProdutos[Foco],MATCH(tItens[[#This Row],[Produto]],tProdutos[Produto],0)),"Não")</f>
        <v>Não</v>
      </c>
      <c r="O9267" t="str">
        <f>IFERROR(INDEX(tEditais[SRP],MATCH(tItens[[#This Row],[Edital]],tEditais[Edital],0)),"Não")</f>
        <v>Não</v>
      </c>
      <c r="P9267" s="4">
        <f>IF(COUNTIFS(INDEX(tItens[Edital],1):tItens[[#This Row],[Edital]],tItens[[#This Row],[Edital]],INDEX(tItens[Produto],1):tItens[[#This Row],[Produto]],tItens[[#This Row],[Produto]])=1,1,0)</f>
        <v>1</v>
      </c>
    </row>
    <row r="9268" spans="1:16" x14ac:dyDescent="0.25">
      <c r="A9268" t="s">
        <v>3191</v>
      </c>
      <c r="B9268">
        <v>23</v>
      </c>
      <c r="C9268" t="s">
        <v>11578</v>
      </c>
      <c r="D9268" t="s">
        <v>461</v>
      </c>
      <c r="E9268" s="13">
        <v>48</v>
      </c>
      <c r="F9268" s="12">
        <v>0</v>
      </c>
      <c r="G9268" t="str">
        <f>IFERROR(INDEX(tEditais[Órgão],MATCH(tItens[[#This Row],[Edital]],tEditais[Edital],0)),"")</f>
        <v>SECRETARIA DE ESTADO DA SAUDE</v>
      </c>
      <c r="H9268" t="str">
        <f>IFERROR(INDEX(tEditais[UF],MATCH(tItens[[#This Row],[Edital]],tEditais[Edital],0)),"")</f>
        <v>SP</v>
      </c>
      <c r="I9268" s="11">
        <f>IFERROR(INDEX(tEditais[Encerramento],MATCH(tItens[[#This Row],[Edital]],tEditais[Edital],0)),"")</f>
        <v>46314.375</v>
      </c>
      <c r="J9268" t="str">
        <f>IFERROR(INDEX(tProdutos[Classe],MATCH(tItens[[#This Row],[Produto]],tProdutos[Produto],0)),"produto não cadastrado")</f>
        <v>FILA REBASE</v>
      </c>
      <c r="K9268" s="12">
        <f>tItens[[#This Row],[Qtd]]*tItens[[#This Row],[Vlr unit]]</f>
        <v>0</v>
      </c>
      <c r="L9268" s="6">
        <f>IFERROR(IF(INDEX(tProdutos[Desconto homologado],MATCH(tItens[[#This Row],[Produto]],tProdutos[Produto],0))="",DescontoPadrao,INDEX(tProdutos[Desconto homologado],MATCH(tItens[[#This Row],[Produto]],tProdutos[Produto],0))),DescontoPadrao)</f>
        <v>0.44096385542168698</v>
      </c>
      <c r="M9268" s="12">
        <f>tItens[[#This Row],[Valor]]*(1-tItens[[#This Row],[Desconto]])</f>
        <v>0</v>
      </c>
      <c r="N9268" t="str">
        <f>IFERROR(INDEX(tProdutos[Foco],MATCH(tItens[[#This Row],[Produto]],tProdutos[Produto],0)),"Não")</f>
        <v>Não</v>
      </c>
      <c r="O9268" t="str">
        <f>IFERROR(INDEX(tEditais[SRP],MATCH(tItens[[#This Row],[Edital]],tEditais[Edital],0)),"Não")</f>
        <v>Não</v>
      </c>
      <c r="P9268" s="4">
        <f>IF(COUNTIFS(INDEX(tItens[Edital],1):tItens[[#This Row],[Edital]],tItens[[#This Row],[Edital]],INDEX(tItens[Produto],1):tItens[[#This Row],[Produto]],tItens[[#This Row],[Produto]])=1,1,0)</f>
        <v>0</v>
      </c>
    </row>
    <row r="9269" spans="1:16" x14ac:dyDescent="0.25">
      <c r="A9269" t="s">
        <v>3191</v>
      </c>
      <c r="B9269">
        <v>24</v>
      </c>
      <c r="C9269" t="s">
        <v>10066</v>
      </c>
      <c r="D9269" t="s">
        <v>461</v>
      </c>
      <c r="E9269" s="13">
        <v>48</v>
      </c>
      <c r="F9269" s="12">
        <v>0</v>
      </c>
      <c r="G9269" t="str">
        <f>IFERROR(INDEX(tEditais[Órgão],MATCH(tItens[[#This Row],[Edital]],tEditais[Edital],0)),"")</f>
        <v>SECRETARIA DE ESTADO DA SAUDE</v>
      </c>
      <c r="H9269" t="str">
        <f>IFERROR(INDEX(tEditais[UF],MATCH(tItens[[#This Row],[Edital]],tEditais[Edital],0)),"")</f>
        <v>SP</v>
      </c>
      <c r="I9269" s="11">
        <f>IFERROR(INDEX(tEditais[Encerramento],MATCH(tItens[[#This Row],[Edital]],tEditais[Edital],0)),"")</f>
        <v>46314.375</v>
      </c>
      <c r="J9269" t="str">
        <f>IFERROR(INDEX(tProdutos[Classe],MATCH(tItens[[#This Row],[Produto]],tProdutos[Produto],0)),"produto não cadastrado")</f>
        <v>FILA REBASE</v>
      </c>
      <c r="K9269" s="12">
        <f>tItens[[#This Row],[Qtd]]*tItens[[#This Row],[Vlr unit]]</f>
        <v>0</v>
      </c>
      <c r="L9269" s="6">
        <f>IFERROR(IF(INDEX(tProdutos[Desconto homologado],MATCH(tItens[[#This Row],[Produto]],tProdutos[Produto],0))="",DescontoPadrao,INDEX(tProdutos[Desconto homologado],MATCH(tItens[[#This Row],[Produto]],tProdutos[Produto],0))),DescontoPadrao)</f>
        <v>0.44096385542168698</v>
      </c>
      <c r="M9269" s="12">
        <f>tItens[[#This Row],[Valor]]*(1-tItens[[#This Row],[Desconto]])</f>
        <v>0</v>
      </c>
      <c r="N9269" t="str">
        <f>IFERROR(INDEX(tProdutos[Foco],MATCH(tItens[[#This Row],[Produto]],tProdutos[Produto],0)),"Não")</f>
        <v>Não</v>
      </c>
      <c r="O9269" t="str">
        <f>IFERROR(INDEX(tEditais[SRP],MATCH(tItens[[#This Row],[Edital]],tEditais[Edital],0)),"Não")</f>
        <v>Não</v>
      </c>
      <c r="P9269" s="4">
        <f>IF(COUNTIFS(INDEX(tItens[Edital],1):tItens[[#This Row],[Edital]],tItens[[#This Row],[Edital]],INDEX(tItens[Produto],1):tItens[[#This Row],[Produto]],tItens[[#This Row],[Produto]])=1,1,0)</f>
        <v>0</v>
      </c>
    </row>
    <row r="9270" spans="1:16" x14ac:dyDescent="0.25">
      <c r="A9270" t="s">
        <v>3191</v>
      </c>
      <c r="B9270">
        <v>25</v>
      </c>
      <c r="C9270" t="s">
        <v>11579</v>
      </c>
      <c r="D9270" t="s">
        <v>461</v>
      </c>
      <c r="E9270" s="13">
        <v>48</v>
      </c>
      <c r="F9270" s="12">
        <v>0</v>
      </c>
      <c r="G9270" t="str">
        <f>IFERROR(INDEX(tEditais[Órgão],MATCH(tItens[[#This Row],[Edital]],tEditais[Edital],0)),"")</f>
        <v>SECRETARIA DE ESTADO DA SAUDE</v>
      </c>
      <c r="H9270" t="str">
        <f>IFERROR(INDEX(tEditais[UF],MATCH(tItens[[#This Row],[Edital]],tEditais[Edital],0)),"")</f>
        <v>SP</v>
      </c>
      <c r="I9270" s="11">
        <f>IFERROR(INDEX(tEditais[Encerramento],MATCH(tItens[[#This Row],[Edital]],tEditais[Edital],0)),"")</f>
        <v>46314.375</v>
      </c>
      <c r="J9270" t="str">
        <f>IFERROR(INDEX(tProdutos[Classe],MATCH(tItens[[#This Row],[Produto]],tProdutos[Produto],0)),"produto não cadastrado")</f>
        <v>FILA REBASE</v>
      </c>
      <c r="K9270" s="12">
        <f>tItens[[#This Row],[Qtd]]*tItens[[#This Row],[Vlr unit]]</f>
        <v>0</v>
      </c>
      <c r="L9270" s="6">
        <f>IFERROR(IF(INDEX(tProdutos[Desconto homologado],MATCH(tItens[[#This Row],[Produto]],tProdutos[Produto],0))="",DescontoPadrao,INDEX(tProdutos[Desconto homologado],MATCH(tItens[[#This Row],[Produto]],tProdutos[Produto],0))),DescontoPadrao)</f>
        <v>0.44096385542168698</v>
      </c>
      <c r="M9270" s="12">
        <f>tItens[[#This Row],[Valor]]*(1-tItens[[#This Row],[Desconto]])</f>
        <v>0</v>
      </c>
      <c r="N9270" t="str">
        <f>IFERROR(INDEX(tProdutos[Foco],MATCH(tItens[[#This Row],[Produto]],tProdutos[Produto],0)),"Não")</f>
        <v>Não</v>
      </c>
      <c r="O9270" t="str">
        <f>IFERROR(INDEX(tEditais[SRP],MATCH(tItens[[#This Row],[Edital]],tEditais[Edital],0)),"Não")</f>
        <v>Não</v>
      </c>
      <c r="P9270" s="4">
        <f>IF(COUNTIFS(INDEX(tItens[Edital],1):tItens[[#This Row],[Edital]],tItens[[#This Row],[Edital]],INDEX(tItens[Produto],1):tItens[[#This Row],[Produto]],tItens[[#This Row],[Produto]])=1,1,0)</f>
        <v>0</v>
      </c>
    </row>
    <row r="9271" spans="1:16" x14ac:dyDescent="0.25">
      <c r="A9271" t="s">
        <v>3194</v>
      </c>
      <c r="B9271">
        <v>7</v>
      </c>
      <c r="C9271" t="s">
        <v>8588</v>
      </c>
      <c r="D9271" t="s">
        <v>77</v>
      </c>
      <c r="E9271" s="13">
        <v>20</v>
      </c>
      <c r="F9271" s="12">
        <v>40.17</v>
      </c>
      <c r="G9271" t="str">
        <f>IFERROR(INDEX(tEditais[Órgão],MATCH(tItens[[#This Row],[Edital]],tEditais[Edital],0)),"")</f>
        <v>SAO PAULO SECRETARIA DA SEGURANCA PUBLICA</v>
      </c>
      <c r="H9271" t="str">
        <f>IFERROR(INDEX(tEditais[UF],MATCH(tItens[[#This Row],[Edital]],tEditais[Edital],0)),"")</f>
        <v>SP</v>
      </c>
      <c r="I9271" s="11">
        <f>IFERROR(INDEX(tEditais[Encerramento],MATCH(tItens[[#This Row],[Edital]],tEditais[Edital],0)),"")</f>
        <v>46314.375</v>
      </c>
      <c r="J9271" t="str">
        <f>IFERROR(INDEX(tProdutos[Classe],MATCH(tItens[[#This Row],[Produto]],tProdutos[Produto],0)),"produto não cadastrado")</f>
        <v>DISPUTADO</v>
      </c>
      <c r="K9271" s="12">
        <f>tItens[[#This Row],[Qtd]]*tItens[[#This Row],[Vlr unit]]</f>
        <v>803.40000000000009</v>
      </c>
      <c r="L9271" s="6">
        <f>IFERROR(IF(INDEX(tProdutos[Desconto homologado],MATCH(tItens[[#This Row],[Produto]],tProdutos[Produto],0))="",DescontoPadrao,INDEX(tProdutos[Desconto homologado],MATCH(tItens[[#This Row],[Produto]],tProdutos[Produto],0))),DescontoPadrao)</f>
        <v>0.33</v>
      </c>
      <c r="M9271" s="12">
        <f>tItens[[#This Row],[Valor]]*(1-tItens[[#This Row],[Desconto]])</f>
        <v>538.27800000000002</v>
      </c>
      <c r="N9271" t="str">
        <f>IFERROR(INDEX(tProdutos[Foco],MATCH(tItens[[#This Row],[Produto]],tProdutos[Produto],0)),"Não")</f>
        <v>Sim</v>
      </c>
      <c r="O9271" t="str">
        <f>IFERROR(INDEX(tEditais[SRP],MATCH(tItens[[#This Row],[Edital]],tEditais[Edital],0)),"Não")</f>
        <v>Não</v>
      </c>
      <c r="P9271" s="4">
        <f>IF(COUNTIFS(INDEX(tItens[Edital],1):tItens[[#This Row],[Edital]],tItens[[#This Row],[Edital]],INDEX(tItens[Produto],1):tItens[[#This Row],[Produto]],tItens[[#This Row],[Produto]])=1,1,0)</f>
        <v>1</v>
      </c>
    </row>
    <row r="9272" spans="1:16" x14ac:dyDescent="0.25">
      <c r="A9272" t="s">
        <v>3194</v>
      </c>
      <c r="B9272">
        <v>17</v>
      </c>
      <c r="C9272" t="s">
        <v>10001</v>
      </c>
      <c r="D9272" t="s">
        <v>313</v>
      </c>
      <c r="E9272" s="13">
        <v>20</v>
      </c>
      <c r="F9272" s="12">
        <v>33.01</v>
      </c>
      <c r="G9272" t="str">
        <f>IFERROR(INDEX(tEditais[Órgão],MATCH(tItens[[#This Row],[Edital]],tEditais[Edital],0)),"")</f>
        <v>SAO PAULO SECRETARIA DA SEGURANCA PUBLICA</v>
      </c>
      <c r="H9272" t="str">
        <f>IFERROR(INDEX(tEditais[UF],MATCH(tItens[[#This Row],[Edital]],tEditais[Edital],0)),"")</f>
        <v>SP</v>
      </c>
      <c r="I9272" s="11">
        <f>IFERROR(INDEX(tEditais[Encerramento],MATCH(tItens[[#This Row],[Edital]],tEditais[Edital],0)),"")</f>
        <v>46314.375</v>
      </c>
      <c r="J9272" t="str">
        <f>IFERROR(INDEX(tProdutos[Classe],MATCH(tItens[[#This Row],[Produto]],tProdutos[Produto],0)),"produto não cadastrado")</f>
        <v>FORA</v>
      </c>
      <c r="K9272" s="12">
        <f>tItens[[#This Row],[Qtd]]*tItens[[#This Row],[Vlr unit]]</f>
        <v>660.19999999999993</v>
      </c>
      <c r="L9272" s="6">
        <f>IFERROR(IF(INDEX(tProdutos[Desconto homologado],MATCH(tItens[[#This Row],[Produto]],tProdutos[Produto],0))="",DescontoPadrao,INDEX(tProdutos[Desconto homologado],MATCH(tItens[[#This Row],[Produto]],tProdutos[Produto],0))),DescontoPadrao)</f>
        <v>0.35766373163696302</v>
      </c>
      <c r="M9272" s="12">
        <f>tItens[[#This Row],[Valor]]*(1-tItens[[#This Row],[Desconto]])</f>
        <v>424.07040437327692</v>
      </c>
      <c r="N9272" t="str">
        <f>IFERROR(INDEX(tProdutos[Foco],MATCH(tItens[[#This Row],[Produto]],tProdutos[Produto],0)),"Não")</f>
        <v>Não</v>
      </c>
      <c r="O9272" t="str">
        <f>IFERROR(INDEX(tEditais[SRP],MATCH(tItens[[#This Row],[Edital]],tEditais[Edital],0)),"Não")</f>
        <v>Não</v>
      </c>
      <c r="P9272" s="4">
        <f>IF(COUNTIFS(INDEX(tItens[Edital],1):tItens[[#This Row],[Edital]],tItens[[#This Row],[Edital]],INDEX(tItens[Produto],1):tItens[[#This Row],[Produto]],tItens[[#This Row],[Produto]])=1,1,0)</f>
        <v>1</v>
      </c>
    </row>
    <row r="9273" spans="1:16" x14ac:dyDescent="0.25">
      <c r="A9273" t="s">
        <v>3194</v>
      </c>
      <c r="B9273">
        <v>18</v>
      </c>
      <c r="C9273" t="s">
        <v>6389</v>
      </c>
      <c r="D9273" t="s">
        <v>313</v>
      </c>
      <c r="E9273" s="13">
        <v>30</v>
      </c>
      <c r="F9273" s="12">
        <v>33.01</v>
      </c>
      <c r="G9273" t="str">
        <f>IFERROR(INDEX(tEditais[Órgão],MATCH(tItens[[#This Row],[Edital]],tEditais[Edital],0)),"")</f>
        <v>SAO PAULO SECRETARIA DA SEGURANCA PUBLICA</v>
      </c>
      <c r="H9273" t="str">
        <f>IFERROR(INDEX(tEditais[UF],MATCH(tItens[[#This Row],[Edital]],tEditais[Edital],0)),"")</f>
        <v>SP</v>
      </c>
      <c r="I9273" s="11">
        <f>IFERROR(INDEX(tEditais[Encerramento],MATCH(tItens[[#This Row],[Edital]],tEditais[Edital],0)),"")</f>
        <v>46314.375</v>
      </c>
      <c r="J9273" t="str">
        <f>IFERROR(INDEX(tProdutos[Classe],MATCH(tItens[[#This Row],[Produto]],tProdutos[Produto],0)),"produto não cadastrado")</f>
        <v>FORA</v>
      </c>
      <c r="K9273" s="12">
        <f>tItens[[#This Row],[Qtd]]*tItens[[#This Row],[Vlr unit]]</f>
        <v>990.3</v>
      </c>
      <c r="L9273" s="6">
        <f>IFERROR(IF(INDEX(tProdutos[Desconto homologado],MATCH(tItens[[#This Row],[Produto]],tProdutos[Produto],0))="",DescontoPadrao,INDEX(tProdutos[Desconto homologado],MATCH(tItens[[#This Row],[Produto]],tProdutos[Produto],0))),DescontoPadrao)</f>
        <v>0.35766373163696302</v>
      </c>
      <c r="M9273" s="12">
        <f>tItens[[#This Row],[Valor]]*(1-tItens[[#This Row],[Desconto]])</f>
        <v>636.10560655991549</v>
      </c>
      <c r="N9273" t="str">
        <f>IFERROR(INDEX(tProdutos[Foco],MATCH(tItens[[#This Row],[Produto]],tProdutos[Produto],0)),"Não")</f>
        <v>Não</v>
      </c>
      <c r="O9273" t="str">
        <f>IFERROR(INDEX(tEditais[SRP],MATCH(tItens[[#This Row],[Edital]],tEditais[Edital],0)),"Não")</f>
        <v>Não</v>
      </c>
      <c r="P9273" s="4">
        <f>IF(COUNTIFS(INDEX(tItens[Edital],1):tItens[[#This Row],[Edital]],tItens[[#This Row],[Edital]],INDEX(tItens[Produto],1):tItens[[#This Row],[Produto]],tItens[[#This Row],[Produto]])=1,1,0)</f>
        <v>0</v>
      </c>
    </row>
    <row r="9274" spans="1:16" x14ac:dyDescent="0.25">
      <c r="A9274" t="s">
        <v>3194</v>
      </c>
      <c r="B9274">
        <v>19</v>
      </c>
      <c r="C9274" t="s">
        <v>6970</v>
      </c>
      <c r="D9274" t="s">
        <v>313</v>
      </c>
      <c r="E9274" s="13">
        <v>30</v>
      </c>
      <c r="F9274" s="12">
        <v>35.15</v>
      </c>
      <c r="G9274" t="str">
        <f>IFERROR(INDEX(tEditais[Órgão],MATCH(tItens[[#This Row],[Edital]],tEditais[Edital],0)),"")</f>
        <v>SAO PAULO SECRETARIA DA SEGURANCA PUBLICA</v>
      </c>
      <c r="H9274" t="str">
        <f>IFERROR(INDEX(tEditais[UF],MATCH(tItens[[#This Row],[Edital]],tEditais[Edital],0)),"")</f>
        <v>SP</v>
      </c>
      <c r="I9274" s="11">
        <f>IFERROR(INDEX(tEditais[Encerramento],MATCH(tItens[[#This Row],[Edital]],tEditais[Edital],0)),"")</f>
        <v>46314.375</v>
      </c>
      <c r="J9274" t="str">
        <f>IFERROR(INDEX(tProdutos[Classe],MATCH(tItens[[#This Row],[Produto]],tProdutos[Produto],0)),"produto não cadastrado")</f>
        <v>FORA</v>
      </c>
      <c r="K9274" s="12">
        <f>tItens[[#This Row],[Qtd]]*tItens[[#This Row],[Vlr unit]]</f>
        <v>1054.5</v>
      </c>
      <c r="L9274" s="6">
        <f>IFERROR(IF(INDEX(tProdutos[Desconto homologado],MATCH(tItens[[#This Row],[Produto]],tProdutos[Produto],0))="",DescontoPadrao,INDEX(tProdutos[Desconto homologado],MATCH(tItens[[#This Row],[Produto]],tProdutos[Produto],0))),DescontoPadrao)</f>
        <v>0.35766373163696302</v>
      </c>
      <c r="M9274" s="12">
        <f>tItens[[#This Row],[Valor]]*(1-tItens[[#This Row],[Desconto]])</f>
        <v>677.34359498882247</v>
      </c>
      <c r="N9274" t="str">
        <f>IFERROR(INDEX(tProdutos[Foco],MATCH(tItens[[#This Row],[Produto]],tProdutos[Produto],0)),"Não")</f>
        <v>Não</v>
      </c>
      <c r="O9274" t="str">
        <f>IFERROR(INDEX(tEditais[SRP],MATCH(tItens[[#This Row],[Edital]],tEditais[Edital],0)),"Não")</f>
        <v>Não</v>
      </c>
      <c r="P9274" s="4">
        <f>IF(COUNTIFS(INDEX(tItens[Edital],1):tItens[[#This Row],[Edital]],tItens[[#This Row],[Edital]],INDEX(tItens[Produto],1):tItens[[#This Row],[Produto]],tItens[[#This Row],[Produto]])=1,1,0)</f>
        <v>0</v>
      </c>
    </row>
    <row r="9275" spans="1:16" x14ac:dyDescent="0.25">
      <c r="A9275" t="s">
        <v>3194</v>
      </c>
      <c r="B9275">
        <v>21</v>
      </c>
      <c r="C9275" t="s">
        <v>3240</v>
      </c>
      <c r="D9275" t="s">
        <v>114</v>
      </c>
      <c r="E9275" s="13">
        <v>2</v>
      </c>
      <c r="F9275" s="12">
        <v>14.59</v>
      </c>
      <c r="G9275" t="str">
        <f>IFERROR(INDEX(tEditais[Órgão],MATCH(tItens[[#This Row],[Edital]],tEditais[Edital],0)),"")</f>
        <v>SAO PAULO SECRETARIA DA SEGURANCA PUBLICA</v>
      </c>
      <c r="H9275" t="str">
        <f>IFERROR(INDEX(tEditais[UF],MATCH(tItens[[#This Row],[Edital]],tEditais[Edital],0)),"")</f>
        <v>SP</v>
      </c>
      <c r="I9275" s="11">
        <f>IFERROR(INDEX(tEditais[Encerramento],MATCH(tItens[[#This Row],[Edital]],tEditais[Edital],0)),"")</f>
        <v>46314.375</v>
      </c>
      <c r="J9275" t="str">
        <f>IFERROR(INDEX(tProdutos[Classe],MATCH(tItens[[#This Row],[Produto]],tProdutos[Produto],0)),"produto não cadastrado")</f>
        <v>DISPUTADO</v>
      </c>
      <c r="K9275" s="12">
        <f>tItens[[#This Row],[Qtd]]*tItens[[#This Row],[Vlr unit]]</f>
        <v>29.18</v>
      </c>
      <c r="L9275" s="6">
        <f>IFERROR(IF(INDEX(tProdutos[Desconto homologado],MATCH(tItens[[#This Row],[Produto]],tProdutos[Produto],0))="",DescontoPadrao,INDEX(tProdutos[Desconto homologado],MATCH(tItens[[#This Row],[Produto]],tProdutos[Produto],0))),DescontoPadrao)</f>
        <v>0.24332656063896899</v>
      </c>
      <c r="M9275" s="12">
        <f>tItens[[#This Row],[Valor]]*(1-tItens[[#This Row],[Desconto]])</f>
        <v>22.079730960554887</v>
      </c>
      <c r="N9275" t="str">
        <f>IFERROR(INDEX(tProdutos[Foco],MATCH(tItens[[#This Row],[Produto]],tProdutos[Produto],0)),"Não")</f>
        <v>Não</v>
      </c>
      <c r="O9275" t="str">
        <f>IFERROR(INDEX(tEditais[SRP],MATCH(tItens[[#This Row],[Edital]],tEditais[Edital],0)),"Não")</f>
        <v>Não</v>
      </c>
      <c r="P9275" s="4">
        <f>IF(COUNTIFS(INDEX(tItens[Edital],1):tItens[[#This Row],[Edital]],tItens[[#This Row],[Edital]],INDEX(tItens[Produto],1):tItens[[#This Row],[Produto]],tItens[[#This Row],[Produto]])=1,1,0)</f>
        <v>1</v>
      </c>
    </row>
    <row r="9276" spans="1:16" x14ac:dyDescent="0.25">
      <c r="A9276" t="s">
        <v>3194</v>
      </c>
      <c r="B9276">
        <v>22</v>
      </c>
      <c r="C9276" t="s">
        <v>6969</v>
      </c>
      <c r="D9276" t="s">
        <v>413</v>
      </c>
      <c r="E9276" s="13">
        <v>1</v>
      </c>
      <c r="F9276" s="12">
        <v>155.33000000000001</v>
      </c>
      <c r="G9276" t="str">
        <f>IFERROR(INDEX(tEditais[Órgão],MATCH(tItens[[#This Row],[Edital]],tEditais[Edital],0)),"")</f>
        <v>SAO PAULO SECRETARIA DA SEGURANCA PUBLICA</v>
      </c>
      <c r="H9276" t="str">
        <f>IFERROR(INDEX(tEditais[UF],MATCH(tItens[[#This Row],[Edital]],tEditais[Edital],0)),"")</f>
        <v>SP</v>
      </c>
      <c r="I9276" s="11">
        <f>IFERROR(INDEX(tEditais[Encerramento],MATCH(tItens[[#This Row],[Edital]],tEditais[Edital],0)),"")</f>
        <v>46314.375</v>
      </c>
      <c r="J9276" t="str">
        <f>IFERROR(INDEX(tProdutos[Classe],MATCH(tItens[[#This Row],[Produto]],tProdutos[Produto],0)),"produto não cadastrado")</f>
        <v>FORA</v>
      </c>
      <c r="K9276" s="12">
        <f>tItens[[#This Row],[Qtd]]*tItens[[#This Row],[Vlr unit]]</f>
        <v>155.33000000000001</v>
      </c>
      <c r="L9276" s="6">
        <f>IFERROR(IF(INDEX(tProdutos[Desconto homologado],MATCH(tItens[[#This Row],[Produto]],tProdutos[Produto],0))="",DescontoPadrao,INDEX(tProdutos[Desconto homologado],MATCH(tItens[[#This Row],[Produto]],tProdutos[Produto],0))),DescontoPadrao)</f>
        <v>0.477732793522267</v>
      </c>
      <c r="M9276" s="12">
        <f>tItens[[#This Row],[Valor]]*(1-tItens[[#This Row],[Desconto]])</f>
        <v>81.123765182186261</v>
      </c>
      <c r="N9276" t="str">
        <f>IFERROR(INDEX(tProdutos[Foco],MATCH(tItens[[#This Row],[Produto]],tProdutos[Produto],0)),"Não")</f>
        <v>Não</v>
      </c>
      <c r="O9276" t="str">
        <f>IFERROR(INDEX(tEditais[SRP],MATCH(tItens[[#This Row],[Edital]],tEditais[Edital],0)),"Não")</f>
        <v>Não</v>
      </c>
      <c r="P9276" s="4">
        <f>IF(COUNTIFS(INDEX(tItens[Edital],1):tItens[[#This Row],[Edital]],tItens[[#This Row],[Edital]],INDEX(tItens[Produto],1):tItens[[#This Row],[Produto]],tItens[[#This Row],[Produto]])=1,1,0)</f>
        <v>1</v>
      </c>
    </row>
    <row r="9277" spans="1:16" x14ac:dyDescent="0.25">
      <c r="A9277" t="s">
        <v>3194</v>
      </c>
      <c r="B9277">
        <v>24</v>
      </c>
      <c r="C9277" t="s">
        <v>7765</v>
      </c>
      <c r="D9277" t="s">
        <v>56</v>
      </c>
      <c r="E9277" s="13">
        <v>1</v>
      </c>
      <c r="F9277" s="12">
        <v>46.35</v>
      </c>
      <c r="G9277" t="str">
        <f>IFERROR(INDEX(tEditais[Órgão],MATCH(tItens[[#This Row],[Edital]],tEditais[Edital],0)),"")</f>
        <v>SAO PAULO SECRETARIA DA SEGURANCA PUBLICA</v>
      </c>
      <c r="H9277" t="str">
        <f>IFERROR(INDEX(tEditais[UF],MATCH(tItens[[#This Row],[Edital]],tEditais[Edital],0)),"")</f>
        <v>SP</v>
      </c>
      <c r="I9277" s="11">
        <f>IFERROR(INDEX(tEditais[Encerramento],MATCH(tItens[[#This Row],[Edital]],tEditais[Edital],0)),"")</f>
        <v>46314.375</v>
      </c>
      <c r="J9277" t="str">
        <f>IFERROR(INDEX(tProdutos[Classe],MATCH(tItens[[#This Row],[Produto]],tProdutos[Produto],0)),"produto não cadastrado")</f>
        <v>NÚCLEO</v>
      </c>
      <c r="K9277" s="12">
        <f>tItens[[#This Row],[Qtd]]*tItens[[#This Row],[Vlr unit]]</f>
        <v>46.35</v>
      </c>
      <c r="L9277" s="6">
        <f>IFERROR(IF(INDEX(tProdutos[Desconto homologado],MATCH(tItens[[#This Row],[Produto]],tProdutos[Produto],0))="",DescontoPadrao,INDEX(tProdutos[Desconto homologado],MATCH(tItens[[#This Row],[Produto]],tProdutos[Produto],0))),DescontoPadrao)</f>
        <v>0.34</v>
      </c>
      <c r="M9277" s="12">
        <f>tItens[[#This Row],[Valor]]*(1-tItens[[#This Row],[Desconto]])</f>
        <v>30.590999999999998</v>
      </c>
      <c r="N9277" t="str">
        <f>IFERROR(INDEX(tProdutos[Foco],MATCH(tItens[[#This Row],[Produto]],tProdutos[Produto],0)),"Não")</f>
        <v>Sim</v>
      </c>
      <c r="O9277" t="str">
        <f>IFERROR(INDEX(tEditais[SRP],MATCH(tItens[[#This Row],[Edital]],tEditais[Edital],0)),"Não")</f>
        <v>Não</v>
      </c>
      <c r="P9277" s="4">
        <f>IF(COUNTIFS(INDEX(tItens[Edital],1):tItens[[#This Row],[Edital]],tItens[[#This Row],[Edital]],INDEX(tItens[Produto],1):tItens[[#This Row],[Produto]],tItens[[#This Row],[Produto]])=1,1,0)</f>
        <v>1</v>
      </c>
    </row>
    <row r="9278" spans="1:16" x14ac:dyDescent="0.25">
      <c r="A9278" t="s">
        <v>3194</v>
      </c>
      <c r="B9278">
        <v>31</v>
      </c>
      <c r="C9278" t="s">
        <v>11580</v>
      </c>
      <c r="D9278" t="s">
        <v>176</v>
      </c>
      <c r="E9278" s="13">
        <v>8</v>
      </c>
      <c r="F9278" s="12">
        <v>178.16</v>
      </c>
      <c r="G9278" t="str">
        <f>IFERROR(INDEX(tEditais[Órgão],MATCH(tItens[[#This Row],[Edital]],tEditais[Edital],0)),"")</f>
        <v>SAO PAULO SECRETARIA DA SEGURANCA PUBLICA</v>
      </c>
      <c r="H9278" t="str">
        <f>IFERROR(INDEX(tEditais[UF],MATCH(tItens[[#This Row],[Edital]],tEditais[Edital],0)),"")</f>
        <v>SP</v>
      </c>
      <c r="I9278" s="11">
        <f>IFERROR(INDEX(tEditais[Encerramento],MATCH(tItens[[#This Row],[Edital]],tEditais[Edital],0)),"")</f>
        <v>46314.375</v>
      </c>
      <c r="J9278" t="str">
        <f>IFERROR(INDEX(tProdutos[Classe],MATCH(tItens[[#This Row],[Produto]],tProdutos[Produto],0)),"produto não cadastrado")</f>
        <v>DISPUTADO</v>
      </c>
      <c r="K9278" s="12">
        <f>tItens[[#This Row],[Qtd]]*tItens[[#This Row],[Vlr unit]]</f>
        <v>1425.28</v>
      </c>
      <c r="L9278" s="6">
        <f>IFERROR(IF(INDEX(tProdutos[Desconto homologado],MATCH(tItens[[#This Row],[Produto]],tProdutos[Produto],0))="",DescontoPadrao,INDEX(tProdutos[Desconto homologado],MATCH(tItens[[#This Row],[Produto]],tProdutos[Produto],0))),DescontoPadrao)</f>
        <v>0.39921530161843999</v>
      </c>
      <c r="M9278" s="12">
        <f>tItens[[#This Row],[Valor]]*(1-tItens[[#This Row],[Desconto]])</f>
        <v>856.28641490926987</v>
      </c>
      <c r="N9278" t="str">
        <f>IFERROR(INDEX(tProdutos[Foco],MATCH(tItens[[#This Row],[Produto]],tProdutos[Produto],0)),"Não")</f>
        <v>Não</v>
      </c>
      <c r="O9278" t="str">
        <f>IFERROR(INDEX(tEditais[SRP],MATCH(tItens[[#This Row],[Edital]],tEditais[Edital],0)),"Não")</f>
        <v>Não</v>
      </c>
      <c r="P9278" s="4">
        <f>IF(COUNTIFS(INDEX(tItens[Edital],1):tItens[[#This Row],[Edital]],tItens[[#This Row],[Edital]],INDEX(tItens[Produto],1):tItens[[#This Row],[Produto]],tItens[[#This Row],[Produto]])=1,1,0)</f>
        <v>1</v>
      </c>
    </row>
    <row r="9279" spans="1:16" x14ac:dyDescent="0.25">
      <c r="A9279" t="s">
        <v>3194</v>
      </c>
      <c r="B9279">
        <v>35</v>
      </c>
      <c r="C9279" t="s">
        <v>11581</v>
      </c>
      <c r="D9279" t="s">
        <v>160</v>
      </c>
      <c r="E9279" s="13">
        <v>100</v>
      </c>
      <c r="F9279" s="12">
        <v>11.41</v>
      </c>
      <c r="G9279" t="str">
        <f>IFERROR(INDEX(tEditais[Órgão],MATCH(tItens[[#This Row],[Edital]],tEditais[Edital],0)),"")</f>
        <v>SAO PAULO SECRETARIA DA SEGURANCA PUBLICA</v>
      </c>
      <c r="H9279" t="str">
        <f>IFERROR(INDEX(tEditais[UF],MATCH(tItens[[#This Row],[Edital]],tEditais[Edital],0)),"")</f>
        <v>SP</v>
      </c>
      <c r="I9279" s="11">
        <f>IFERROR(INDEX(tEditais[Encerramento],MATCH(tItens[[#This Row],[Edital]],tEditais[Edital],0)),"")</f>
        <v>46314.375</v>
      </c>
      <c r="J9279" t="str">
        <f>IFERROR(INDEX(tProdutos[Classe],MATCH(tItens[[#This Row],[Produto]],tProdutos[Produto],0)),"produto não cadastrado")</f>
        <v>DISPUTADO</v>
      </c>
      <c r="K9279" s="12">
        <f>tItens[[#This Row],[Qtd]]*tItens[[#This Row],[Vlr unit]]</f>
        <v>1141</v>
      </c>
      <c r="L9279" s="6">
        <f>IFERROR(IF(INDEX(tProdutos[Desconto homologado],MATCH(tItens[[#This Row],[Produto]],tProdutos[Produto],0))="",DescontoPadrao,INDEX(tProdutos[Desconto homologado],MATCH(tItens[[#This Row],[Produto]],tProdutos[Produto],0))),DescontoPadrao)</f>
        <v>0.28000000000000003</v>
      </c>
      <c r="M9279" s="12">
        <f>tItens[[#This Row],[Valor]]*(1-tItens[[#This Row],[Desconto]])</f>
        <v>821.52</v>
      </c>
      <c r="N9279" t="str">
        <f>IFERROR(INDEX(tProdutos[Foco],MATCH(tItens[[#This Row],[Produto]],tProdutos[Produto],0)),"Não")</f>
        <v>Sim</v>
      </c>
      <c r="O9279" t="str">
        <f>IFERROR(INDEX(tEditais[SRP],MATCH(tItens[[#This Row],[Edital]],tEditais[Edital],0)),"Não")</f>
        <v>Não</v>
      </c>
      <c r="P9279" s="4">
        <f>IF(COUNTIFS(INDEX(tItens[Edital],1):tItens[[#This Row],[Edital]],tItens[[#This Row],[Edital]],INDEX(tItens[Produto],1):tItens[[#This Row],[Produto]],tItens[[#This Row],[Produto]])=1,1,0)</f>
        <v>1</v>
      </c>
    </row>
    <row r="9280" spans="1:16" x14ac:dyDescent="0.25">
      <c r="A9280" t="s">
        <v>3194</v>
      </c>
      <c r="B9280">
        <v>36</v>
      </c>
      <c r="C9280" t="s">
        <v>11582</v>
      </c>
      <c r="D9280" t="s">
        <v>409</v>
      </c>
      <c r="E9280" s="13">
        <v>100</v>
      </c>
      <c r="F9280" s="12">
        <v>51.73</v>
      </c>
      <c r="G9280" t="str">
        <f>IFERROR(INDEX(tEditais[Órgão],MATCH(tItens[[#This Row],[Edital]],tEditais[Edital],0)),"")</f>
        <v>SAO PAULO SECRETARIA DA SEGURANCA PUBLICA</v>
      </c>
      <c r="H9280" t="str">
        <f>IFERROR(INDEX(tEditais[UF],MATCH(tItens[[#This Row],[Edital]],tEditais[Edital],0)),"")</f>
        <v>SP</v>
      </c>
      <c r="I9280" s="11">
        <f>IFERROR(INDEX(tEditais[Encerramento],MATCH(tItens[[#This Row],[Edital]],tEditais[Edital],0)),"")</f>
        <v>46314.375</v>
      </c>
      <c r="J9280" t="str">
        <f>IFERROR(INDEX(tProdutos[Classe],MATCH(tItens[[#This Row],[Produto]],tProdutos[Produto],0)),"produto não cadastrado")</f>
        <v>FORA</v>
      </c>
      <c r="K9280" s="12">
        <f>tItens[[#This Row],[Qtd]]*tItens[[#This Row],[Vlr unit]]</f>
        <v>5173</v>
      </c>
      <c r="L9280" s="6">
        <f>IFERROR(IF(INDEX(tProdutos[Desconto homologado],MATCH(tItens[[#This Row],[Produto]],tProdutos[Produto],0))="",DescontoPadrao,INDEX(tProdutos[Desconto homologado],MATCH(tItens[[#This Row],[Produto]],tProdutos[Produto],0))),DescontoPadrao)</f>
        <v>0.24924924924924899</v>
      </c>
      <c r="M9280" s="12">
        <f>tItens[[#This Row],[Valor]]*(1-tItens[[#This Row],[Desconto]])</f>
        <v>3883.6336336336353</v>
      </c>
      <c r="N9280" t="str">
        <f>IFERROR(INDEX(tProdutos[Foco],MATCH(tItens[[#This Row],[Produto]],tProdutos[Produto],0)),"Não")</f>
        <v>Não</v>
      </c>
      <c r="O9280" t="str">
        <f>IFERROR(INDEX(tEditais[SRP],MATCH(tItens[[#This Row],[Edital]],tEditais[Edital],0)),"Não")</f>
        <v>Não</v>
      </c>
      <c r="P9280" s="4">
        <f>IF(COUNTIFS(INDEX(tItens[Edital],1):tItens[[#This Row],[Edital]],tItens[[#This Row],[Edital]],INDEX(tItens[Produto],1):tItens[[#This Row],[Produto]],tItens[[#This Row],[Produto]])=1,1,0)</f>
        <v>1</v>
      </c>
    </row>
    <row r="9281" spans="1:16" x14ac:dyDescent="0.25">
      <c r="A9281" t="s">
        <v>3197</v>
      </c>
      <c r="B9281">
        <v>2287874</v>
      </c>
      <c r="C9281" t="s">
        <v>11583</v>
      </c>
      <c r="D9281" t="s">
        <v>351</v>
      </c>
      <c r="E9281" s="13">
        <v>1000</v>
      </c>
      <c r="F9281" s="12">
        <v>1.1399999999999999</v>
      </c>
      <c r="G9281" t="str">
        <f>IFERROR(INDEX(tEditais[Órgão],MATCH(tItens[[#This Row],[Edital]],tEditais[Edital],0)),"")</f>
        <v>UNIVERSIDADE DE TAUBATE</v>
      </c>
      <c r="H9281" t="str">
        <f>IFERROR(INDEX(tEditais[UF],MATCH(tItens[[#This Row],[Edital]],tEditais[Edital],0)),"")</f>
        <v>SP</v>
      </c>
      <c r="I9281" s="11">
        <f>IFERROR(INDEX(tEditais[Encerramento],MATCH(tItens[[#This Row],[Edital]],tEditais[Edital],0)),"")</f>
        <v>46314.395833333336</v>
      </c>
      <c r="J9281" t="str">
        <f>IFERROR(INDEX(tProdutos[Classe],MATCH(tItens[[#This Row],[Produto]],tProdutos[Produto],0)),"produto não cadastrado")</f>
        <v>FORA</v>
      </c>
      <c r="K9281" s="12">
        <f>tItens[[#This Row],[Qtd]]*tItens[[#This Row],[Vlr unit]]</f>
        <v>1140</v>
      </c>
      <c r="L9281" s="6">
        <f>IFERROR(IF(INDEX(tProdutos[Desconto homologado],MATCH(tItens[[#This Row],[Produto]],tProdutos[Produto],0))="",DescontoPadrao,INDEX(tProdutos[Desconto homologado],MATCH(tItens[[#This Row],[Produto]],tProdutos[Produto],0))),DescontoPadrao)</f>
        <v>0.33518005540166201</v>
      </c>
      <c r="M9281" s="12">
        <f>tItens[[#This Row],[Valor]]*(1-tItens[[#This Row],[Desconto]])</f>
        <v>757.89473684210532</v>
      </c>
      <c r="N9281" t="str">
        <f>IFERROR(INDEX(tProdutos[Foco],MATCH(tItens[[#This Row],[Produto]],tProdutos[Produto],0)),"Não")</f>
        <v>Não</v>
      </c>
      <c r="O9281" t="str">
        <f>IFERROR(INDEX(tEditais[SRP],MATCH(tItens[[#This Row],[Edital]],tEditais[Edital],0)),"Não")</f>
        <v>Não</v>
      </c>
      <c r="P9281" s="4">
        <f>IF(COUNTIFS(INDEX(tItens[Edital],1):tItens[[#This Row],[Edital]],tItens[[#This Row],[Edital]],INDEX(tItens[Produto],1):tItens[[#This Row],[Produto]],tItens[[#This Row],[Produto]])=1,1,0)</f>
        <v>1</v>
      </c>
    </row>
    <row r="9282" spans="1:16" x14ac:dyDescent="0.25">
      <c r="A9282" t="s">
        <v>3197</v>
      </c>
      <c r="B9282">
        <v>2287875</v>
      </c>
      <c r="C9282" t="s">
        <v>11584</v>
      </c>
      <c r="D9282" t="s">
        <v>351</v>
      </c>
      <c r="E9282" s="13">
        <v>1000</v>
      </c>
      <c r="F9282" s="12">
        <v>0.67</v>
      </c>
      <c r="G9282" t="str">
        <f>IFERROR(INDEX(tEditais[Órgão],MATCH(tItens[[#This Row],[Edital]],tEditais[Edital],0)),"")</f>
        <v>UNIVERSIDADE DE TAUBATE</v>
      </c>
      <c r="H9282" t="str">
        <f>IFERROR(INDEX(tEditais[UF],MATCH(tItens[[#This Row],[Edital]],tEditais[Edital],0)),"")</f>
        <v>SP</v>
      </c>
      <c r="I9282" s="11">
        <f>IFERROR(INDEX(tEditais[Encerramento],MATCH(tItens[[#This Row],[Edital]],tEditais[Edital],0)),"")</f>
        <v>46314.395833333336</v>
      </c>
      <c r="J9282" t="str">
        <f>IFERROR(INDEX(tProdutos[Classe],MATCH(tItens[[#This Row],[Produto]],tProdutos[Produto],0)),"produto não cadastrado")</f>
        <v>FORA</v>
      </c>
      <c r="K9282" s="12">
        <f>tItens[[#This Row],[Qtd]]*tItens[[#This Row],[Vlr unit]]</f>
        <v>670</v>
      </c>
      <c r="L9282" s="6">
        <f>IFERROR(IF(INDEX(tProdutos[Desconto homologado],MATCH(tItens[[#This Row],[Produto]],tProdutos[Produto],0))="",DescontoPadrao,INDEX(tProdutos[Desconto homologado],MATCH(tItens[[#This Row],[Produto]],tProdutos[Produto],0))),DescontoPadrao)</f>
        <v>0.33518005540166201</v>
      </c>
      <c r="M9282" s="12">
        <f>tItens[[#This Row],[Valor]]*(1-tItens[[#This Row],[Desconto]])</f>
        <v>445.42936288088652</v>
      </c>
      <c r="N9282" t="str">
        <f>IFERROR(INDEX(tProdutos[Foco],MATCH(tItens[[#This Row],[Produto]],tProdutos[Produto],0)),"Não")</f>
        <v>Não</v>
      </c>
      <c r="O9282" t="str">
        <f>IFERROR(INDEX(tEditais[SRP],MATCH(tItens[[#This Row],[Edital]],tEditais[Edital],0)),"Não")</f>
        <v>Não</v>
      </c>
      <c r="P9282" s="4">
        <f>IF(COUNTIFS(INDEX(tItens[Edital],1):tItens[[#This Row],[Edital]],tItens[[#This Row],[Edital]],INDEX(tItens[Produto],1):tItens[[#This Row],[Produto]],tItens[[#This Row],[Produto]])=1,1,0)</f>
        <v>0</v>
      </c>
    </row>
    <row r="9283" spans="1:16" x14ac:dyDescent="0.25">
      <c r="A9283" t="s">
        <v>3197</v>
      </c>
      <c r="B9283">
        <v>2287878</v>
      </c>
      <c r="C9283" t="s">
        <v>8153</v>
      </c>
      <c r="D9283" t="s">
        <v>90</v>
      </c>
      <c r="E9283" s="13">
        <v>33</v>
      </c>
      <c r="F9283" s="12">
        <v>12</v>
      </c>
      <c r="G9283" t="str">
        <f>IFERROR(INDEX(tEditais[Órgão],MATCH(tItens[[#This Row],[Edital]],tEditais[Edital],0)),"")</f>
        <v>UNIVERSIDADE DE TAUBATE</v>
      </c>
      <c r="H9283" t="str">
        <f>IFERROR(INDEX(tEditais[UF],MATCH(tItens[[#This Row],[Edital]],tEditais[Edital],0)),"")</f>
        <v>SP</v>
      </c>
      <c r="I9283" s="11">
        <f>IFERROR(INDEX(tEditais[Encerramento],MATCH(tItens[[#This Row],[Edital]],tEditais[Edital],0)),"")</f>
        <v>46314.395833333336</v>
      </c>
      <c r="J9283" t="str">
        <f>IFERROR(INDEX(tProdutos[Classe],MATCH(tItens[[#This Row],[Produto]],tProdutos[Produto],0)),"produto não cadastrado")</f>
        <v>DISPUTADO</v>
      </c>
      <c r="K9283" s="12">
        <f>tItens[[#This Row],[Qtd]]*tItens[[#This Row],[Vlr unit]]</f>
        <v>396</v>
      </c>
      <c r="L9283" s="6">
        <f>IFERROR(IF(INDEX(tProdutos[Desconto homologado],MATCH(tItens[[#This Row],[Produto]],tProdutos[Produto],0))="",DescontoPadrao,INDEX(tProdutos[Desconto homologado],MATCH(tItens[[#This Row],[Produto]],tProdutos[Produto],0))),DescontoPadrao)</f>
        <v>0.25393823957010597</v>
      </c>
      <c r="M9283" s="12">
        <f>tItens[[#This Row],[Valor]]*(1-tItens[[#This Row],[Desconto]])</f>
        <v>295.44045713023803</v>
      </c>
      <c r="N9283" t="str">
        <f>IFERROR(INDEX(tProdutos[Foco],MATCH(tItens[[#This Row],[Produto]],tProdutos[Produto],0)),"Não")</f>
        <v>Não</v>
      </c>
      <c r="O9283" t="str">
        <f>IFERROR(INDEX(tEditais[SRP],MATCH(tItens[[#This Row],[Edital]],tEditais[Edital],0)),"Não")</f>
        <v>Não</v>
      </c>
      <c r="P9283" s="4">
        <f>IF(COUNTIFS(INDEX(tItens[Edital],1):tItens[[#This Row],[Edital]],tItens[[#This Row],[Edital]],INDEX(tItens[Produto],1):tItens[[#This Row],[Produto]],tItens[[#This Row],[Produto]])=1,1,0)</f>
        <v>1</v>
      </c>
    </row>
    <row r="9284" spans="1:16" x14ac:dyDescent="0.25">
      <c r="A9284" t="s">
        <v>3197</v>
      </c>
      <c r="B9284">
        <v>2287884</v>
      </c>
      <c r="C9284" t="s">
        <v>11585</v>
      </c>
      <c r="D9284" t="s">
        <v>341</v>
      </c>
      <c r="E9284" s="13">
        <v>102</v>
      </c>
      <c r="F9284" s="12">
        <v>29.4</v>
      </c>
      <c r="G9284" t="str">
        <f>IFERROR(INDEX(tEditais[Órgão],MATCH(tItens[[#This Row],[Edital]],tEditais[Edital],0)),"")</f>
        <v>UNIVERSIDADE DE TAUBATE</v>
      </c>
      <c r="H9284" t="str">
        <f>IFERROR(INDEX(tEditais[UF],MATCH(tItens[[#This Row],[Edital]],tEditais[Edital],0)),"")</f>
        <v>SP</v>
      </c>
      <c r="I9284" s="11">
        <f>IFERROR(INDEX(tEditais[Encerramento],MATCH(tItens[[#This Row],[Edital]],tEditais[Edital],0)),"")</f>
        <v>46314.395833333336</v>
      </c>
      <c r="J9284" t="str">
        <f>IFERROR(INDEX(tProdutos[Classe],MATCH(tItens[[#This Row],[Produto]],tProdutos[Produto],0)),"produto não cadastrado")</f>
        <v>FORA</v>
      </c>
      <c r="K9284" s="12">
        <f>tItens[[#This Row],[Qtd]]*tItens[[#This Row],[Vlr unit]]</f>
        <v>2998.7999999999997</v>
      </c>
      <c r="L9284" s="6">
        <f>IFERROR(IF(INDEX(tProdutos[Desconto homologado],MATCH(tItens[[#This Row],[Produto]],tProdutos[Produto],0))="",DescontoPadrao,INDEX(tProdutos[Desconto homologado],MATCH(tItens[[#This Row],[Produto]],tProdutos[Produto],0))),DescontoPadrao)</f>
        <v>0.46918578497525898</v>
      </c>
      <c r="M9284" s="12">
        <f>tItens[[#This Row],[Valor]]*(1-tItens[[#This Row],[Desconto]])</f>
        <v>1591.8056680161933</v>
      </c>
      <c r="N9284" t="str">
        <f>IFERROR(INDEX(tProdutos[Foco],MATCH(tItens[[#This Row],[Produto]],tProdutos[Produto],0)),"Não")</f>
        <v>Não</v>
      </c>
      <c r="O9284" t="str">
        <f>IFERROR(INDEX(tEditais[SRP],MATCH(tItens[[#This Row],[Edital]],tEditais[Edital],0)),"Não")</f>
        <v>Não</v>
      </c>
      <c r="P9284" s="4">
        <f>IF(COUNTIFS(INDEX(tItens[Edital],1):tItens[[#This Row],[Edital]],tItens[[#This Row],[Edital]],INDEX(tItens[Produto],1):tItens[[#This Row],[Produto]],tItens[[#This Row],[Produto]])=1,1,0)</f>
        <v>1</v>
      </c>
    </row>
    <row r="9285" spans="1:16" x14ac:dyDescent="0.25">
      <c r="A9285" t="s">
        <v>3197</v>
      </c>
      <c r="B9285">
        <v>2287885</v>
      </c>
      <c r="C9285" t="s">
        <v>11586</v>
      </c>
      <c r="D9285" t="s">
        <v>56</v>
      </c>
      <c r="E9285" s="13">
        <v>12</v>
      </c>
      <c r="F9285" s="12">
        <v>45</v>
      </c>
      <c r="G9285" t="str">
        <f>IFERROR(INDEX(tEditais[Órgão],MATCH(tItens[[#This Row],[Edital]],tEditais[Edital],0)),"")</f>
        <v>UNIVERSIDADE DE TAUBATE</v>
      </c>
      <c r="H9285" t="str">
        <f>IFERROR(INDEX(tEditais[UF],MATCH(tItens[[#This Row],[Edital]],tEditais[Edital],0)),"")</f>
        <v>SP</v>
      </c>
      <c r="I9285" s="11">
        <f>IFERROR(INDEX(tEditais[Encerramento],MATCH(tItens[[#This Row],[Edital]],tEditais[Edital],0)),"")</f>
        <v>46314.395833333336</v>
      </c>
      <c r="J9285" t="str">
        <f>IFERROR(INDEX(tProdutos[Classe],MATCH(tItens[[#This Row],[Produto]],tProdutos[Produto],0)),"produto não cadastrado")</f>
        <v>NÚCLEO</v>
      </c>
      <c r="K9285" s="12">
        <f>tItens[[#This Row],[Qtd]]*tItens[[#This Row],[Vlr unit]]</f>
        <v>540</v>
      </c>
      <c r="L9285" s="6">
        <f>IFERROR(IF(INDEX(tProdutos[Desconto homologado],MATCH(tItens[[#This Row],[Produto]],tProdutos[Produto],0))="",DescontoPadrao,INDEX(tProdutos[Desconto homologado],MATCH(tItens[[#This Row],[Produto]],tProdutos[Produto],0))),DescontoPadrao)</f>
        <v>0.34</v>
      </c>
      <c r="M9285" s="12">
        <f>tItens[[#This Row],[Valor]]*(1-tItens[[#This Row],[Desconto]])</f>
        <v>356.4</v>
      </c>
      <c r="N9285" t="str">
        <f>IFERROR(INDEX(tProdutos[Foco],MATCH(tItens[[#This Row],[Produto]],tProdutos[Produto],0)),"Não")</f>
        <v>Sim</v>
      </c>
      <c r="O9285" t="str">
        <f>IFERROR(INDEX(tEditais[SRP],MATCH(tItens[[#This Row],[Edital]],tEditais[Edital],0)),"Não")</f>
        <v>Não</v>
      </c>
      <c r="P9285" s="4">
        <f>IF(COUNTIFS(INDEX(tItens[Edital],1):tItens[[#This Row],[Edital]],tItens[[#This Row],[Edital]],INDEX(tItens[Produto],1):tItens[[#This Row],[Produto]],tItens[[#This Row],[Produto]])=1,1,0)</f>
        <v>1</v>
      </c>
    </row>
    <row r="9286" spans="1:16" x14ac:dyDescent="0.25">
      <c r="A9286" t="s">
        <v>3197</v>
      </c>
      <c r="B9286">
        <v>2287887</v>
      </c>
      <c r="C9286" t="s">
        <v>11587</v>
      </c>
      <c r="D9286" t="s">
        <v>385</v>
      </c>
      <c r="E9286" s="13">
        <v>60</v>
      </c>
      <c r="F9286" s="12">
        <v>9.15</v>
      </c>
      <c r="G9286" t="str">
        <f>IFERROR(INDEX(tEditais[Órgão],MATCH(tItens[[#This Row],[Edital]],tEditais[Edital],0)),"")</f>
        <v>UNIVERSIDADE DE TAUBATE</v>
      </c>
      <c r="H9286" t="str">
        <f>IFERROR(INDEX(tEditais[UF],MATCH(tItens[[#This Row],[Edital]],tEditais[Edital],0)),"")</f>
        <v>SP</v>
      </c>
      <c r="I9286" s="11">
        <f>IFERROR(INDEX(tEditais[Encerramento],MATCH(tItens[[#This Row],[Edital]],tEditais[Edital],0)),"")</f>
        <v>46314.395833333336</v>
      </c>
      <c r="J9286" t="str">
        <f>IFERROR(INDEX(tProdutos[Classe],MATCH(tItens[[#This Row],[Produto]],tProdutos[Produto],0)),"produto não cadastrado")</f>
        <v>FORA</v>
      </c>
      <c r="K9286" s="12">
        <f>tItens[[#This Row],[Qtd]]*tItens[[#This Row],[Vlr unit]]</f>
        <v>549</v>
      </c>
      <c r="L9286" s="6">
        <f>IFERROR(IF(INDEX(tProdutos[Desconto homologado],MATCH(tItens[[#This Row],[Produto]],tProdutos[Produto],0))="",DescontoPadrao,INDEX(tProdutos[Desconto homologado],MATCH(tItens[[#This Row],[Produto]],tProdutos[Produto],0))),DescontoPadrao)</f>
        <v>0.46969696969697</v>
      </c>
      <c r="M9286" s="12">
        <f>tItens[[#This Row],[Valor]]*(1-tItens[[#This Row],[Desconto]])</f>
        <v>291.13636363636351</v>
      </c>
      <c r="N9286" t="str">
        <f>IFERROR(INDEX(tProdutos[Foco],MATCH(tItens[[#This Row],[Produto]],tProdutos[Produto],0)),"Não")</f>
        <v>Não</v>
      </c>
      <c r="O9286" t="str">
        <f>IFERROR(INDEX(tEditais[SRP],MATCH(tItens[[#This Row],[Edital]],tEditais[Edital],0)),"Não")</f>
        <v>Não</v>
      </c>
      <c r="P9286" s="4">
        <f>IF(COUNTIFS(INDEX(tItens[Edital],1):tItens[[#This Row],[Edital]],tItens[[#This Row],[Edital]],INDEX(tItens[Produto],1):tItens[[#This Row],[Produto]],tItens[[#This Row],[Produto]])=1,1,0)</f>
        <v>1</v>
      </c>
    </row>
    <row r="9287" spans="1:16" x14ac:dyDescent="0.25">
      <c r="A9287" t="s">
        <v>3197</v>
      </c>
      <c r="B9287">
        <v>2287888</v>
      </c>
      <c r="C9287" t="s">
        <v>11588</v>
      </c>
      <c r="D9287" t="s">
        <v>494</v>
      </c>
      <c r="E9287" s="13">
        <v>10</v>
      </c>
      <c r="F9287" s="12">
        <v>123.49</v>
      </c>
      <c r="G9287" t="str">
        <f>IFERROR(INDEX(tEditais[Órgão],MATCH(tItens[[#This Row],[Edital]],tEditais[Edital],0)),"")</f>
        <v>UNIVERSIDADE DE TAUBATE</v>
      </c>
      <c r="H9287" t="str">
        <f>IFERROR(INDEX(tEditais[UF],MATCH(tItens[[#This Row],[Edital]],tEditais[Edital],0)),"")</f>
        <v>SP</v>
      </c>
      <c r="I9287" s="11">
        <f>IFERROR(INDEX(tEditais[Encerramento],MATCH(tItens[[#This Row],[Edital]],tEditais[Edital],0)),"")</f>
        <v>46314.395833333336</v>
      </c>
      <c r="J9287" t="str">
        <f>IFERROR(INDEX(tProdutos[Classe],MATCH(tItens[[#This Row],[Produto]],tProdutos[Produto],0)),"produto não cadastrado")</f>
        <v>FILA REBASE</v>
      </c>
      <c r="K9287" s="12">
        <f>tItens[[#This Row],[Qtd]]*tItens[[#This Row],[Vlr unit]]</f>
        <v>1234.8999999999999</v>
      </c>
      <c r="L9287" s="6">
        <f>IFERROR(IF(INDEX(tProdutos[Desconto homologado],MATCH(tItens[[#This Row],[Produto]],tProdutos[Produto],0))="",DescontoPadrao,INDEX(tProdutos[Desconto homologado],MATCH(tItens[[#This Row],[Produto]],tProdutos[Produto],0))),DescontoPadrao)</f>
        <v>0.253736324829619</v>
      </c>
      <c r="M9287" s="12">
        <f>tItens[[#This Row],[Valor]]*(1-tItens[[#This Row],[Desconto]])</f>
        <v>921.56101246790342</v>
      </c>
      <c r="N9287" t="str">
        <f>IFERROR(INDEX(tProdutos[Foco],MATCH(tItens[[#This Row],[Produto]],tProdutos[Produto],0)),"Não")</f>
        <v>Não</v>
      </c>
      <c r="O9287" t="str">
        <f>IFERROR(INDEX(tEditais[SRP],MATCH(tItens[[#This Row],[Edital]],tEditais[Edital],0)),"Não")</f>
        <v>Não</v>
      </c>
      <c r="P9287" s="4">
        <f>IF(COUNTIFS(INDEX(tItens[Edital],1):tItens[[#This Row],[Edital]],tItens[[#This Row],[Edital]],INDEX(tItens[Produto],1):tItens[[#This Row],[Produto]],tItens[[#This Row],[Produto]])=1,1,0)</f>
        <v>1</v>
      </c>
    </row>
    <row r="9288" spans="1:16" x14ac:dyDescent="0.25">
      <c r="A9288" t="s">
        <v>3197</v>
      </c>
      <c r="B9288">
        <v>2287892</v>
      </c>
      <c r="C9288" t="s">
        <v>11589</v>
      </c>
      <c r="D9288" t="s">
        <v>114</v>
      </c>
      <c r="E9288" s="13">
        <v>43</v>
      </c>
      <c r="F9288" s="12">
        <v>9</v>
      </c>
      <c r="G9288" t="str">
        <f>IFERROR(INDEX(tEditais[Órgão],MATCH(tItens[[#This Row],[Edital]],tEditais[Edital],0)),"")</f>
        <v>UNIVERSIDADE DE TAUBATE</v>
      </c>
      <c r="H9288" t="str">
        <f>IFERROR(INDEX(tEditais[UF],MATCH(tItens[[#This Row],[Edital]],tEditais[Edital],0)),"")</f>
        <v>SP</v>
      </c>
      <c r="I9288" s="11">
        <f>IFERROR(INDEX(tEditais[Encerramento],MATCH(tItens[[#This Row],[Edital]],tEditais[Edital],0)),"")</f>
        <v>46314.395833333336</v>
      </c>
      <c r="J9288" t="str">
        <f>IFERROR(INDEX(tProdutos[Classe],MATCH(tItens[[#This Row],[Produto]],tProdutos[Produto],0)),"produto não cadastrado")</f>
        <v>DISPUTADO</v>
      </c>
      <c r="K9288" s="12">
        <f>tItens[[#This Row],[Qtd]]*tItens[[#This Row],[Vlr unit]]</f>
        <v>387</v>
      </c>
      <c r="L9288" s="6">
        <f>IFERROR(IF(INDEX(tProdutos[Desconto homologado],MATCH(tItens[[#This Row],[Produto]],tProdutos[Produto],0))="",DescontoPadrao,INDEX(tProdutos[Desconto homologado],MATCH(tItens[[#This Row],[Produto]],tProdutos[Produto],0))),DescontoPadrao)</f>
        <v>0.24332656063896899</v>
      </c>
      <c r="M9288" s="12">
        <f>tItens[[#This Row],[Valor]]*(1-tItens[[#This Row],[Desconto]])</f>
        <v>292.83262103271903</v>
      </c>
      <c r="N9288" t="str">
        <f>IFERROR(INDEX(tProdutos[Foco],MATCH(tItens[[#This Row],[Produto]],tProdutos[Produto],0)),"Não")</f>
        <v>Não</v>
      </c>
      <c r="O9288" t="str">
        <f>IFERROR(INDEX(tEditais[SRP],MATCH(tItens[[#This Row],[Edital]],tEditais[Edital],0)),"Não")</f>
        <v>Não</v>
      </c>
      <c r="P9288" s="4">
        <f>IF(COUNTIFS(INDEX(tItens[Edital],1):tItens[[#This Row],[Edital]],tItens[[#This Row],[Edital]],INDEX(tItens[Produto],1):tItens[[#This Row],[Produto]],tItens[[#This Row],[Produto]])=1,1,0)</f>
        <v>1</v>
      </c>
    </row>
    <row r="9289" spans="1:16" x14ac:dyDescent="0.25">
      <c r="A9289" t="s">
        <v>3197</v>
      </c>
      <c r="B9289">
        <v>2287893</v>
      </c>
      <c r="C9289" t="s">
        <v>11590</v>
      </c>
      <c r="D9289" t="s">
        <v>343</v>
      </c>
      <c r="E9289" s="13">
        <v>510</v>
      </c>
      <c r="F9289" s="12">
        <v>2.95</v>
      </c>
      <c r="G9289" t="str">
        <f>IFERROR(INDEX(tEditais[Órgão],MATCH(tItens[[#This Row],[Edital]],tEditais[Edital],0)),"")</f>
        <v>UNIVERSIDADE DE TAUBATE</v>
      </c>
      <c r="H9289" t="str">
        <f>IFERROR(INDEX(tEditais[UF],MATCH(tItens[[#This Row],[Edital]],tEditais[Edital],0)),"")</f>
        <v>SP</v>
      </c>
      <c r="I9289" s="11">
        <f>IFERROR(INDEX(tEditais[Encerramento],MATCH(tItens[[#This Row],[Edital]],tEditais[Edital],0)),"")</f>
        <v>46314.395833333336</v>
      </c>
      <c r="J9289" t="str">
        <f>IFERROR(INDEX(tProdutos[Classe],MATCH(tItens[[#This Row],[Produto]],tProdutos[Produto],0)),"produto não cadastrado")</f>
        <v>FORA</v>
      </c>
      <c r="K9289" s="12">
        <f>tItens[[#This Row],[Qtd]]*tItens[[#This Row],[Vlr unit]]</f>
        <v>1504.5</v>
      </c>
      <c r="L9289" s="6">
        <f>IFERROR(IF(INDEX(tProdutos[Desconto homologado],MATCH(tItens[[#This Row],[Produto]],tProdutos[Produto],0))="",DescontoPadrao,INDEX(tProdutos[Desconto homologado],MATCH(tItens[[#This Row],[Produto]],tProdutos[Produto],0))),DescontoPadrao)</f>
        <v>0.35412234042553198</v>
      </c>
      <c r="M9289" s="12">
        <f>tItens[[#This Row],[Valor]]*(1-tItens[[#This Row],[Desconto]])</f>
        <v>971.72293882978704</v>
      </c>
      <c r="N9289" t="str">
        <f>IFERROR(INDEX(tProdutos[Foco],MATCH(tItens[[#This Row],[Produto]],tProdutos[Produto],0)),"Não")</f>
        <v>Não</v>
      </c>
      <c r="O9289" t="str">
        <f>IFERROR(INDEX(tEditais[SRP],MATCH(tItens[[#This Row],[Edital]],tEditais[Edital],0)),"Não")</f>
        <v>Não</v>
      </c>
      <c r="P9289" s="4">
        <f>IF(COUNTIFS(INDEX(tItens[Edital],1):tItens[[#This Row],[Edital]],tItens[[#This Row],[Edital]],INDEX(tItens[Produto],1):tItens[[#This Row],[Produto]],tItens[[#This Row],[Produto]])=1,1,0)</f>
        <v>1</v>
      </c>
    </row>
    <row r="9290" spans="1:16" x14ac:dyDescent="0.25">
      <c r="A9290" t="s">
        <v>3197</v>
      </c>
      <c r="B9290">
        <v>2287894</v>
      </c>
      <c r="C9290" t="s">
        <v>11591</v>
      </c>
      <c r="D9290" t="s">
        <v>343</v>
      </c>
      <c r="E9290" s="13">
        <v>930</v>
      </c>
      <c r="F9290" s="12">
        <v>3</v>
      </c>
      <c r="G9290" t="str">
        <f>IFERROR(INDEX(tEditais[Órgão],MATCH(tItens[[#This Row],[Edital]],tEditais[Edital],0)),"")</f>
        <v>UNIVERSIDADE DE TAUBATE</v>
      </c>
      <c r="H9290" t="str">
        <f>IFERROR(INDEX(tEditais[UF],MATCH(tItens[[#This Row],[Edital]],tEditais[Edital],0)),"")</f>
        <v>SP</v>
      </c>
      <c r="I9290" s="11">
        <f>IFERROR(INDEX(tEditais[Encerramento],MATCH(tItens[[#This Row],[Edital]],tEditais[Edital],0)),"")</f>
        <v>46314.395833333336</v>
      </c>
      <c r="J9290" t="str">
        <f>IFERROR(INDEX(tProdutos[Classe],MATCH(tItens[[#This Row],[Produto]],tProdutos[Produto],0)),"produto não cadastrado")</f>
        <v>FORA</v>
      </c>
      <c r="K9290" s="12">
        <f>tItens[[#This Row],[Qtd]]*tItens[[#This Row],[Vlr unit]]</f>
        <v>2790</v>
      </c>
      <c r="L9290" s="6">
        <f>IFERROR(IF(INDEX(tProdutos[Desconto homologado],MATCH(tItens[[#This Row],[Produto]],tProdutos[Produto],0))="",DescontoPadrao,INDEX(tProdutos[Desconto homologado],MATCH(tItens[[#This Row],[Produto]],tProdutos[Produto],0))),DescontoPadrao)</f>
        <v>0.35412234042553198</v>
      </c>
      <c r="M9290" s="12">
        <f>tItens[[#This Row],[Valor]]*(1-tItens[[#This Row],[Desconto]])</f>
        <v>1801.9986702127655</v>
      </c>
      <c r="N9290" t="str">
        <f>IFERROR(INDEX(tProdutos[Foco],MATCH(tItens[[#This Row],[Produto]],tProdutos[Produto],0)),"Não")</f>
        <v>Não</v>
      </c>
      <c r="O9290" t="str">
        <f>IFERROR(INDEX(tEditais[SRP],MATCH(tItens[[#This Row],[Edital]],tEditais[Edital],0)),"Não")</f>
        <v>Não</v>
      </c>
      <c r="P9290" s="4">
        <f>IF(COUNTIFS(INDEX(tItens[Edital],1):tItens[[#This Row],[Edital]],tItens[[#This Row],[Edital]],INDEX(tItens[Produto],1):tItens[[#This Row],[Produto]],tItens[[#This Row],[Produto]])=1,1,0)</f>
        <v>0</v>
      </c>
    </row>
    <row r="9291" spans="1:16" x14ac:dyDescent="0.25">
      <c r="A9291" t="s">
        <v>3197</v>
      </c>
      <c r="B9291">
        <v>2287895</v>
      </c>
      <c r="C9291" t="s">
        <v>11592</v>
      </c>
      <c r="D9291" t="s">
        <v>343</v>
      </c>
      <c r="E9291" s="13">
        <v>930</v>
      </c>
      <c r="F9291" s="12">
        <v>3</v>
      </c>
      <c r="G9291" t="str">
        <f>IFERROR(INDEX(tEditais[Órgão],MATCH(tItens[[#This Row],[Edital]],tEditais[Edital],0)),"")</f>
        <v>UNIVERSIDADE DE TAUBATE</v>
      </c>
      <c r="H9291" t="str">
        <f>IFERROR(INDEX(tEditais[UF],MATCH(tItens[[#This Row],[Edital]],tEditais[Edital],0)),"")</f>
        <v>SP</v>
      </c>
      <c r="I9291" s="11">
        <f>IFERROR(INDEX(tEditais[Encerramento],MATCH(tItens[[#This Row],[Edital]],tEditais[Edital],0)),"")</f>
        <v>46314.395833333336</v>
      </c>
      <c r="J9291" t="str">
        <f>IFERROR(INDEX(tProdutos[Classe],MATCH(tItens[[#This Row],[Produto]],tProdutos[Produto],0)),"produto não cadastrado")</f>
        <v>FORA</v>
      </c>
      <c r="K9291" s="12">
        <f>tItens[[#This Row],[Qtd]]*tItens[[#This Row],[Vlr unit]]</f>
        <v>2790</v>
      </c>
      <c r="L9291" s="6">
        <f>IFERROR(IF(INDEX(tProdutos[Desconto homologado],MATCH(tItens[[#This Row],[Produto]],tProdutos[Produto],0))="",DescontoPadrao,INDEX(tProdutos[Desconto homologado],MATCH(tItens[[#This Row],[Produto]],tProdutos[Produto],0))),DescontoPadrao)</f>
        <v>0.35412234042553198</v>
      </c>
      <c r="M9291" s="12">
        <f>tItens[[#This Row],[Valor]]*(1-tItens[[#This Row],[Desconto]])</f>
        <v>1801.9986702127655</v>
      </c>
      <c r="N9291" t="str">
        <f>IFERROR(INDEX(tProdutos[Foco],MATCH(tItens[[#This Row],[Produto]],tProdutos[Produto],0)),"Não")</f>
        <v>Não</v>
      </c>
      <c r="O9291" t="str">
        <f>IFERROR(INDEX(tEditais[SRP],MATCH(tItens[[#This Row],[Edital]],tEditais[Edital],0)),"Não")</f>
        <v>Não</v>
      </c>
      <c r="P9291" s="4">
        <f>IF(COUNTIFS(INDEX(tItens[Edital],1):tItens[[#This Row],[Edital]],tItens[[#This Row],[Edital]],INDEX(tItens[Produto],1):tItens[[#This Row],[Produto]],tItens[[#This Row],[Produto]])=1,1,0)</f>
        <v>0</v>
      </c>
    </row>
    <row r="9292" spans="1:16" x14ac:dyDescent="0.25">
      <c r="A9292" t="s">
        <v>3197</v>
      </c>
      <c r="B9292">
        <v>2287897</v>
      </c>
      <c r="C9292" t="s">
        <v>11593</v>
      </c>
      <c r="D9292" t="s">
        <v>279</v>
      </c>
      <c r="E9292" s="13">
        <v>1</v>
      </c>
      <c r="F9292" s="12">
        <v>65</v>
      </c>
      <c r="G9292" t="str">
        <f>IFERROR(INDEX(tEditais[Órgão],MATCH(tItens[[#This Row],[Edital]],tEditais[Edital],0)),"")</f>
        <v>UNIVERSIDADE DE TAUBATE</v>
      </c>
      <c r="H9292" t="str">
        <f>IFERROR(INDEX(tEditais[UF],MATCH(tItens[[#This Row],[Edital]],tEditais[Edital],0)),"")</f>
        <v>SP</v>
      </c>
      <c r="I9292" s="11">
        <f>IFERROR(INDEX(tEditais[Encerramento],MATCH(tItens[[#This Row],[Edital]],tEditais[Edital],0)),"")</f>
        <v>46314.395833333336</v>
      </c>
      <c r="J9292" t="str">
        <f>IFERROR(INDEX(tProdutos[Classe],MATCH(tItens[[#This Row],[Produto]],tProdutos[Produto],0)),"produto não cadastrado")</f>
        <v>FORA</v>
      </c>
      <c r="K9292" s="12">
        <f>tItens[[#This Row],[Qtd]]*tItens[[#This Row],[Vlr unit]]</f>
        <v>65</v>
      </c>
      <c r="L9292" s="6">
        <f>IFERROR(IF(INDEX(tProdutos[Desconto homologado],MATCH(tItens[[#This Row],[Produto]],tProdutos[Produto],0))="",DescontoPadrao,INDEX(tProdutos[Desconto homologado],MATCH(tItens[[#This Row],[Produto]],tProdutos[Produto],0))),DescontoPadrao)</f>
        <v>0.28909090909090901</v>
      </c>
      <c r="M9292" s="12">
        <f>tItens[[#This Row],[Valor]]*(1-tItens[[#This Row],[Desconto]])</f>
        <v>46.209090909090911</v>
      </c>
      <c r="N9292" t="str">
        <f>IFERROR(INDEX(tProdutos[Foco],MATCH(tItens[[#This Row],[Produto]],tProdutos[Produto],0)),"Não")</f>
        <v>Não</v>
      </c>
      <c r="O9292" t="str">
        <f>IFERROR(INDEX(tEditais[SRP],MATCH(tItens[[#This Row],[Edital]],tEditais[Edital],0)),"Não")</f>
        <v>Não</v>
      </c>
      <c r="P9292" s="4">
        <f>IF(COUNTIFS(INDEX(tItens[Edital],1):tItens[[#This Row],[Edital]],tItens[[#This Row],[Edital]],INDEX(tItens[Produto],1):tItens[[#This Row],[Produto]],tItens[[#This Row],[Produto]])=1,1,0)</f>
        <v>1</v>
      </c>
    </row>
    <row r="9293" spans="1:16" x14ac:dyDescent="0.25">
      <c r="A9293" t="s">
        <v>3197</v>
      </c>
      <c r="B9293">
        <v>2287898</v>
      </c>
      <c r="C9293" t="s">
        <v>11594</v>
      </c>
      <c r="D9293" t="s">
        <v>279</v>
      </c>
      <c r="E9293" s="13">
        <v>2</v>
      </c>
      <c r="F9293" s="12">
        <v>65</v>
      </c>
      <c r="G9293" t="str">
        <f>IFERROR(INDEX(tEditais[Órgão],MATCH(tItens[[#This Row],[Edital]],tEditais[Edital],0)),"")</f>
        <v>UNIVERSIDADE DE TAUBATE</v>
      </c>
      <c r="H9293" t="str">
        <f>IFERROR(INDEX(tEditais[UF],MATCH(tItens[[#This Row],[Edital]],tEditais[Edital],0)),"")</f>
        <v>SP</v>
      </c>
      <c r="I9293" s="11">
        <f>IFERROR(INDEX(tEditais[Encerramento],MATCH(tItens[[#This Row],[Edital]],tEditais[Edital],0)),"")</f>
        <v>46314.395833333336</v>
      </c>
      <c r="J9293" t="str">
        <f>IFERROR(INDEX(tProdutos[Classe],MATCH(tItens[[#This Row],[Produto]],tProdutos[Produto],0)),"produto não cadastrado")</f>
        <v>FORA</v>
      </c>
      <c r="K9293" s="12">
        <f>tItens[[#This Row],[Qtd]]*tItens[[#This Row],[Vlr unit]]</f>
        <v>130</v>
      </c>
      <c r="L9293" s="6">
        <f>IFERROR(IF(INDEX(tProdutos[Desconto homologado],MATCH(tItens[[#This Row],[Produto]],tProdutos[Produto],0))="",DescontoPadrao,INDEX(tProdutos[Desconto homologado],MATCH(tItens[[#This Row],[Produto]],tProdutos[Produto],0))),DescontoPadrao)</f>
        <v>0.28909090909090901</v>
      </c>
      <c r="M9293" s="12">
        <f>tItens[[#This Row],[Valor]]*(1-tItens[[#This Row],[Desconto]])</f>
        <v>92.418181818181822</v>
      </c>
      <c r="N9293" t="str">
        <f>IFERROR(INDEX(tProdutos[Foco],MATCH(tItens[[#This Row],[Produto]],tProdutos[Produto],0)),"Não")</f>
        <v>Não</v>
      </c>
      <c r="O9293" t="str">
        <f>IFERROR(INDEX(tEditais[SRP],MATCH(tItens[[#This Row],[Edital]],tEditais[Edital],0)),"Não")</f>
        <v>Não</v>
      </c>
      <c r="P9293" s="4">
        <f>IF(COUNTIFS(INDEX(tItens[Edital],1):tItens[[#This Row],[Edital]],tItens[[#This Row],[Edital]],INDEX(tItens[Produto],1):tItens[[#This Row],[Produto]],tItens[[#This Row],[Produto]])=1,1,0)</f>
        <v>0</v>
      </c>
    </row>
    <row r="9294" spans="1:16" x14ac:dyDescent="0.25">
      <c r="A9294" t="s">
        <v>3197</v>
      </c>
      <c r="B9294">
        <v>2287900</v>
      </c>
      <c r="C9294" t="s">
        <v>11595</v>
      </c>
      <c r="D9294" t="s">
        <v>277</v>
      </c>
      <c r="E9294" s="13">
        <v>34</v>
      </c>
      <c r="F9294" s="12">
        <v>59.9</v>
      </c>
      <c r="G9294" t="str">
        <f>IFERROR(INDEX(tEditais[Órgão],MATCH(tItens[[#This Row],[Edital]],tEditais[Edital],0)),"")</f>
        <v>UNIVERSIDADE DE TAUBATE</v>
      </c>
      <c r="H9294" t="str">
        <f>IFERROR(INDEX(tEditais[UF],MATCH(tItens[[#This Row],[Edital]],tEditais[Edital],0)),"")</f>
        <v>SP</v>
      </c>
      <c r="I9294" s="11">
        <f>IFERROR(INDEX(tEditais[Encerramento],MATCH(tItens[[#This Row],[Edital]],tEditais[Edital],0)),"")</f>
        <v>46314.395833333336</v>
      </c>
      <c r="J9294" t="str">
        <f>IFERROR(INDEX(tProdutos[Classe],MATCH(tItens[[#This Row],[Produto]],tProdutos[Produto],0)),"produto não cadastrado")</f>
        <v>DISPUTADO</v>
      </c>
      <c r="K9294" s="12">
        <f>tItens[[#This Row],[Qtd]]*tItens[[#This Row],[Vlr unit]]</f>
        <v>2036.6</v>
      </c>
      <c r="L9294" s="6">
        <f>IFERROR(IF(INDEX(tProdutos[Desconto homologado],MATCH(tItens[[#This Row],[Produto]],tProdutos[Produto],0))="",DescontoPadrao,INDEX(tProdutos[Desconto homologado],MATCH(tItens[[#This Row],[Produto]],tProdutos[Produto],0))),DescontoPadrao)</f>
        <v>0.50460666194188497</v>
      </c>
      <c r="M9294" s="12">
        <f>tItens[[#This Row],[Valor]]*(1-tItens[[#This Row],[Desconto]])</f>
        <v>1008.9180722891571</v>
      </c>
      <c r="N9294" t="str">
        <f>IFERROR(INDEX(tProdutos[Foco],MATCH(tItens[[#This Row],[Produto]],tProdutos[Produto],0)),"Não")</f>
        <v>Não</v>
      </c>
      <c r="O9294" t="str">
        <f>IFERROR(INDEX(tEditais[SRP],MATCH(tItens[[#This Row],[Edital]],tEditais[Edital],0)),"Não")</f>
        <v>Não</v>
      </c>
      <c r="P9294" s="4">
        <f>IF(COUNTIFS(INDEX(tItens[Edital],1):tItens[[#This Row],[Edital]],tItens[[#This Row],[Edital]],INDEX(tItens[Produto],1):tItens[[#This Row],[Produto]],tItens[[#This Row],[Produto]])=1,1,0)</f>
        <v>1</v>
      </c>
    </row>
    <row r="9295" spans="1:16" x14ac:dyDescent="0.25">
      <c r="A9295" t="s">
        <v>3197</v>
      </c>
      <c r="B9295">
        <v>2287903</v>
      </c>
      <c r="C9295" t="s">
        <v>11596</v>
      </c>
      <c r="D9295" t="s">
        <v>423</v>
      </c>
      <c r="E9295" s="13">
        <v>24</v>
      </c>
      <c r="F9295" s="12">
        <v>52</v>
      </c>
      <c r="G9295" t="str">
        <f>IFERROR(INDEX(tEditais[Órgão],MATCH(tItens[[#This Row],[Edital]],tEditais[Edital],0)),"")</f>
        <v>UNIVERSIDADE DE TAUBATE</v>
      </c>
      <c r="H9295" t="str">
        <f>IFERROR(INDEX(tEditais[UF],MATCH(tItens[[#This Row],[Edital]],tEditais[Edital],0)),"")</f>
        <v>SP</v>
      </c>
      <c r="I9295" s="11">
        <f>IFERROR(INDEX(tEditais[Encerramento],MATCH(tItens[[#This Row],[Edital]],tEditais[Edital],0)),"")</f>
        <v>46314.395833333336</v>
      </c>
      <c r="J9295" t="str">
        <f>IFERROR(INDEX(tProdutos[Classe],MATCH(tItens[[#This Row],[Produto]],tProdutos[Produto],0)),"produto não cadastrado")</f>
        <v>FORA</v>
      </c>
      <c r="K9295" s="12">
        <f>tItens[[#This Row],[Qtd]]*tItens[[#This Row],[Vlr unit]]</f>
        <v>1248</v>
      </c>
      <c r="L9295" s="6">
        <f>IFERROR(IF(INDEX(tProdutos[Desconto homologado],MATCH(tItens[[#This Row],[Produto]],tProdutos[Produto],0))="",DescontoPadrao,INDEX(tProdutos[Desconto homologado],MATCH(tItens[[#This Row],[Produto]],tProdutos[Produto],0))),DescontoPadrao)</f>
        <v>0.38271604938271597</v>
      </c>
      <c r="M9295" s="12">
        <f>tItens[[#This Row],[Valor]]*(1-tItens[[#This Row],[Desconto]])</f>
        <v>770.37037037037044</v>
      </c>
      <c r="N9295" t="str">
        <f>IFERROR(INDEX(tProdutos[Foco],MATCH(tItens[[#This Row],[Produto]],tProdutos[Produto],0)),"Não")</f>
        <v>Não</v>
      </c>
      <c r="O9295" t="str">
        <f>IFERROR(INDEX(tEditais[SRP],MATCH(tItens[[#This Row],[Edital]],tEditais[Edital],0)),"Não")</f>
        <v>Não</v>
      </c>
      <c r="P9295" s="4">
        <f>IF(COUNTIFS(INDEX(tItens[Edital],1):tItens[[#This Row],[Edital]],tItens[[#This Row],[Edital]],INDEX(tItens[Produto],1):tItens[[#This Row],[Produto]],tItens[[#This Row],[Produto]])=1,1,0)</f>
        <v>1</v>
      </c>
    </row>
    <row r="9296" spans="1:16" x14ac:dyDescent="0.25">
      <c r="A9296" t="s">
        <v>3197</v>
      </c>
      <c r="B9296">
        <v>2287910</v>
      </c>
      <c r="C9296" t="s">
        <v>11597</v>
      </c>
      <c r="D9296" t="s">
        <v>56</v>
      </c>
      <c r="E9296" s="13">
        <v>6</v>
      </c>
      <c r="F9296" s="12">
        <v>24.8</v>
      </c>
      <c r="G9296" t="str">
        <f>IFERROR(INDEX(tEditais[Órgão],MATCH(tItens[[#This Row],[Edital]],tEditais[Edital],0)),"")</f>
        <v>UNIVERSIDADE DE TAUBATE</v>
      </c>
      <c r="H9296" t="str">
        <f>IFERROR(INDEX(tEditais[UF],MATCH(tItens[[#This Row],[Edital]],tEditais[Edital],0)),"")</f>
        <v>SP</v>
      </c>
      <c r="I9296" s="11">
        <f>IFERROR(INDEX(tEditais[Encerramento],MATCH(tItens[[#This Row],[Edital]],tEditais[Edital],0)),"")</f>
        <v>46314.395833333336</v>
      </c>
      <c r="J9296" t="str">
        <f>IFERROR(INDEX(tProdutos[Classe],MATCH(tItens[[#This Row],[Produto]],tProdutos[Produto],0)),"produto não cadastrado")</f>
        <v>NÚCLEO</v>
      </c>
      <c r="K9296" s="12">
        <f>tItens[[#This Row],[Qtd]]*tItens[[#This Row],[Vlr unit]]</f>
        <v>148.80000000000001</v>
      </c>
      <c r="L9296" s="6">
        <f>IFERROR(IF(INDEX(tProdutos[Desconto homologado],MATCH(tItens[[#This Row],[Produto]],tProdutos[Produto],0))="",DescontoPadrao,INDEX(tProdutos[Desconto homologado],MATCH(tItens[[#This Row],[Produto]],tProdutos[Produto],0))),DescontoPadrao)</f>
        <v>0.34</v>
      </c>
      <c r="M9296" s="12">
        <f>tItens[[#This Row],[Valor]]*(1-tItens[[#This Row],[Desconto]])</f>
        <v>98.207999999999998</v>
      </c>
      <c r="N9296" t="str">
        <f>IFERROR(INDEX(tProdutos[Foco],MATCH(tItens[[#This Row],[Produto]],tProdutos[Produto],0)),"Não")</f>
        <v>Sim</v>
      </c>
      <c r="O9296" t="str">
        <f>IFERROR(INDEX(tEditais[SRP],MATCH(tItens[[#This Row],[Edital]],tEditais[Edital],0)),"Não")</f>
        <v>Não</v>
      </c>
      <c r="P9296" s="4">
        <f>IF(COUNTIFS(INDEX(tItens[Edital],1):tItens[[#This Row],[Edital]],tItens[[#This Row],[Edital]],INDEX(tItens[Produto],1):tItens[[#This Row],[Produto]],tItens[[#This Row],[Produto]])=1,1,0)</f>
        <v>0</v>
      </c>
    </row>
    <row r="9297" spans="1:16" x14ac:dyDescent="0.25">
      <c r="A9297" t="s">
        <v>3197</v>
      </c>
      <c r="B9297">
        <v>2287911</v>
      </c>
      <c r="C9297" t="s">
        <v>11598</v>
      </c>
      <c r="D9297" t="s">
        <v>56</v>
      </c>
      <c r="E9297" s="13">
        <v>14</v>
      </c>
      <c r="F9297" s="12">
        <v>42</v>
      </c>
      <c r="G9297" t="str">
        <f>IFERROR(INDEX(tEditais[Órgão],MATCH(tItens[[#This Row],[Edital]],tEditais[Edital],0)),"")</f>
        <v>UNIVERSIDADE DE TAUBATE</v>
      </c>
      <c r="H9297" t="str">
        <f>IFERROR(INDEX(tEditais[UF],MATCH(tItens[[#This Row],[Edital]],tEditais[Edital],0)),"")</f>
        <v>SP</v>
      </c>
      <c r="I9297" s="11">
        <f>IFERROR(INDEX(tEditais[Encerramento],MATCH(tItens[[#This Row],[Edital]],tEditais[Edital],0)),"")</f>
        <v>46314.395833333336</v>
      </c>
      <c r="J9297" t="str">
        <f>IFERROR(INDEX(tProdutos[Classe],MATCH(tItens[[#This Row],[Produto]],tProdutos[Produto],0)),"produto não cadastrado")</f>
        <v>NÚCLEO</v>
      </c>
      <c r="K9297" s="12">
        <f>tItens[[#This Row],[Qtd]]*tItens[[#This Row],[Vlr unit]]</f>
        <v>588</v>
      </c>
      <c r="L9297" s="6">
        <f>IFERROR(IF(INDEX(tProdutos[Desconto homologado],MATCH(tItens[[#This Row],[Produto]],tProdutos[Produto],0))="",DescontoPadrao,INDEX(tProdutos[Desconto homologado],MATCH(tItens[[#This Row],[Produto]],tProdutos[Produto],0))),DescontoPadrao)</f>
        <v>0.34</v>
      </c>
      <c r="M9297" s="12">
        <f>tItens[[#This Row],[Valor]]*(1-tItens[[#This Row],[Desconto]])</f>
        <v>388.07999999999993</v>
      </c>
      <c r="N9297" t="str">
        <f>IFERROR(INDEX(tProdutos[Foco],MATCH(tItens[[#This Row],[Produto]],tProdutos[Produto],0)),"Não")</f>
        <v>Sim</v>
      </c>
      <c r="O9297" t="str">
        <f>IFERROR(INDEX(tEditais[SRP],MATCH(tItens[[#This Row],[Edital]],tEditais[Edital],0)),"Não")</f>
        <v>Não</v>
      </c>
      <c r="P9297" s="4">
        <f>IF(COUNTIFS(INDEX(tItens[Edital],1):tItens[[#This Row],[Edital]],tItens[[#This Row],[Edital]],INDEX(tItens[Produto],1):tItens[[#This Row],[Produto]],tItens[[#This Row],[Produto]])=1,1,0)</f>
        <v>0</v>
      </c>
    </row>
    <row r="9298" spans="1:16" x14ac:dyDescent="0.25">
      <c r="A9298" t="s">
        <v>3197</v>
      </c>
      <c r="B9298">
        <v>2287912</v>
      </c>
      <c r="C9298" t="s">
        <v>11599</v>
      </c>
      <c r="D9298" t="s">
        <v>56</v>
      </c>
      <c r="E9298" s="13">
        <v>6</v>
      </c>
      <c r="F9298" s="12">
        <v>50.97</v>
      </c>
      <c r="G9298" t="str">
        <f>IFERROR(INDEX(tEditais[Órgão],MATCH(tItens[[#This Row],[Edital]],tEditais[Edital],0)),"")</f>
        <v>UNIVERSIDADE DE TAUBATE</v>
      </c>
      <c r="H9298" t="str">
        <f>IFERROR(INDEX(tEditais[UF],MATCH(tItens[[#This Row],[Edital]],tEditais[Edital],0)),"")</f>
        <v>SP</v>
      </c>
      <c r="I9298" s="11">
        <f>IFERROR(INDEX(tEditais[Encerramento],MATCH(tItens[[#This Row],[Edital]],tEditais[Edital],0)),"")</f>
        <v>46314.395833333336</v>
      </c>
      <c r="J9298" t="str">
        <f>IFERROR(INDEX(tProdutos[Classe],MATCH(tItens[[#This Row],[Produto]],tProdutos[Produto],0)),"produto não cadastrado")</f>
        <v>NÚCLEO</v>
      </c>
      <c r="K9298" s="12">
        <f>tItens[[#This Row],[Qtd]]*tItens[[#This Row],[Vlr unit]]</f>
        <v>305.82</v>
      </c>
      <c r="L9298" s="6">
        <f>IFERROR(IF(INDEX(tProdutos[Desconto homologado],MATCH(tItens[[#This Row],[Produto]],tProdutos[Produto],0))="",DescontoPadrao,INDEX(tProdutos[Desconto homologado],MATCH(tItens[[#This Row],[Produto]],tProdutos[Produto],0))),DescontoPadrao)</f>
        <v>0.34</v>
      </c>
      <c r="M9298" s="12">
        <f>tItens[[#This Row],[Valor]]*(1-tItens[[#This Row],[Desconto]])</f>
        <v>201.84119999999996</v>
      </c>
      <c r="N9298" t="str">
        <f>IFERROR(INDEX(tProdutos[Foco],MATCH(tItens[[#This Row],[Produto]],tProdutos[Produto],0)),"Não")</f>
        <v>Sim</v>
      </c>
      <c r="O9298" t="str">
        <f>IFERROR(INDEX(tEditais[SRP],MATCH(tItens[[#This Row],[Edital]],tEditais[Edital],0)),"Não")</f>
        <v>Não</v>
      </c>
      <c r="P9298" s="4">
        <f>IF(COUNTIFS(INDEX(tItens[Edital],1):tItens[[#This Row],[Edital]],tItens[[#This Row],[Edital]],INDEX(tItens[Produto],1):tItens[[#This Row],[Produto]],tItens[[#This Row],[Produto]])=1,1,0)</f>
        <v>0</v>
      </c>
    </row>
    <row r="9299" spans="1:16" x14ac:dyDescent="0.25">
      <c r="A9299" t="s">
        <v>3197</v>
      </c>
      <c r="B9299">
        <v>2287913</v>
      </c>
      <c r="C9299" t="s">
        <v>11600</v>
      </c>
      <c r="D9299" t="s">
        <v>317</v>
      </c>
      <c r="E9299" s="13">
        <v>20</v>
      </c>
      <c r="F9299" s="12">
        <v>1.4</v>
      </c>
      <c r="G9299" t="str">
        <f>IFERROR(INDEX(tEditais[Órgão],MATCH(tItens[[#This Row],[Edital]],tEditais[Edital],0)),"")</f>
        <v>UNIVERSIDADE DE TAUBATE</v>
      </c>
      <c r="H9299" t="str">
        <f>IFERROR(INDEX(tEditais[UF],MATCH(tItens[[#This Row],[Edital]],tEditais[Edital],0)),"")</f>
        <v>SP</v>
      </c>
      <c r="I9299" s="11">
        <f>IFERROR(INDEX(tEditais[Encerramento],MATCH(tItens[[#This Row],[Edital]],tEditais[Edital],0)),"")</f>
        <v>46314.395833333336</v>
      </c>
      <c r="J9299" t="str">
        <f>IFERROR(INDEX(tProdutos[Classe],MATCH(tItens[[#This Row],[Produto]],tProdutos[Produto],0)),"produto não cadastrado")</f>
        <v>FORA</v>
      </c>
      <c r="K9299" s="12">
        <f>tItens[[#This Row],[Qtd]]*tItens[[#This Row],[Vlr unit]]</f>
        <v>28</v>
      </c>
      <c r="L9299" s="6">
        <f>IFERROR(IF(INDEX(tProdutos[Desconto homologado],MATCH(tItens[[#This Row],[Produto]],tProdutos[Produto],0))="",DescontoPadrao,INDEX(tProdutos[Desconto homologado],MATCH(tItens[[#This Row],[Produto]],tProdutos[Produto],0))),DescontoPadrao)</f>
        <v>0.5</v>
      </c>
      <c r="M9299" s="12">
        <f>tItens[[#This Row],[Valor]]*(1-tItens[[#This Row],[Desconto]])</f>
        <v>14</v>
      </c>
      <c r="N9299" t="str">
        <f>IFERROR(INDEX(tProdutos[Foco],MATCH(tItens[[#This Row],[Produto]],tProdutos[Produto],0)),"Não")</f>
        <v>Não</v>
      </c>
      <c r="O9299" t="str">
        <f>IFERROR(INDEX(tEditais[SRP],MATCH(tItens[[#This Row],[Edital]],tEditais[Edital],0)),"Não")</f>
        <v>Não</v>
      </c>
      <c r="P9299" s="4">
        <f>IF(COUNTIFS(INDEX(tItens[Edital],1):tItens[[#This Row],[Edital]],tItens[[#This Row],[Edital]],INDEX(tItens[Produto],1):tItens[[#This Row],[Produto]],tItens[[#This Row],[Produto]])=1,1,0)</f>
        <v>1</v>
      </c>
    </row>
    <row r="9300" spans="1:16" x14ac:dyDescent="0.25">
      <c r="A9300" t="s">
        <v>3197</v>
      </c>
      <c r="B9300">
        <v>2287918</v>
      </c>
      <c r="C9300" t="s">
        <v>11601</v>
      </c>
      <c r="D9300" t="s">
        <v>494</v>
      </c>
      <c r="E9300" s="13">
        <v>1</v>
      </c>
      <c r="F9300" s="12">
        <v>121.52</v>
      </c>
      <c r="G9300" t="str">
        <f>IFERROR(INDEX(tEditais[Órgão],MATCH(tItens[[#This Row],[Edital]],tEditais[Edital],0)),"")</f>
        <v>UNIVERSIDADE DE TAUBATE</v>
      </c>
      <c r="H9300" t="str">
        <f>IFERROR(INDEX(tEditais[UF],MATCH(tItens[[#This Row],[Edital]],tEditais[Edital],0)),"")</f>
        <v>SP</v>
      </c>
      <c r="I9300" s="11">
        <f>IFERROR(INDEX(tEditais[Encerramento],MATCH(tItens[[#This Row],[Edital]],tEditais[Edital],0)),"")</f>
        <v>46314.395833333336</v>
      </c>
      <c r="J9300" t="str">
        <f>IFERROR(INDEX(tProdutos[Classe],MATCH(tItens[[#This Row],[Produto]],tProdutos[Produto],0)),"produto não cadastrado")</f>
        <v>FILA REBASE</v>
      </c>
      <c r="K9300" s="12">
        <f>tItens[[#This Row],[Qtd]]*tItens[[#This Row],[Vlr unit]]</f>
        <v>121.52</v>
      </c>
      <c r="L9300" s="6">
        <f>IFERROR(IF(INDEX(tProdutos[Desconto homologado],MATCH(tItens[[#This Row],[Produto]],tProdutos[Produto],0))="",DescontoPadrao,INDEX(tProdutos[Desconto homologado],MATCH(tItens[[#This Row],[Produto]],tProdutos[Produto],0))),DescontoPadrao)</f>
        <v>0.253736324829619</v>
      </c>
      <c r="M9300" s="12">
        <f>tItens[[#This Row],[Valor]]*(1-tItens[[#This Row],[Desconto]])</f>
        <v>90.685961806704697</v>
      </c>
      <c r="N9300" t="str">
        <f>IFERROR(INDEX(tProdutos[Foco],MATCH(tItens[[#This Row],[Produto]],tProdutos[Produto],0)),"Não")</f>
        <v>Não</v>
      </c>
      <c r="O9300" t="str">
        <f>IFERROR(INDEX(tEditais[SRP],MATCH(tItens[[#This Row],[Edital]],tEditais[Edital],0)),"Não")</f>
        <v>Não</v>
      </c>
      <c r="P9300" s="4">
        <f>IF(COUNTIFS(INDEX(tItens[Edital],1):tItens[[#This Row],[Edital]],tItens[[#This Row],[Edital]],INDEX(tItens[Produto],1):tItens[[#This Row],[Produto]],tItens[[#This Row],[Produto]])=1,1,0)</f>
        <v>0</v>
      </c>
    </row>
    <row r="9301" spans="1:16" x14ac:dyDescent="0.25">
      <c r="A9301" t="s">
        <v>3197</v>
      </c>
      <c r="B9301">
        <v>2287919</v>
      </c>
      <c r="C9301" t="s">
        <v>11602</v>
      </c>
      <c r="D9301" t="s">
        <v>160</v>
      </c>
      <c r="E9301" s="13">
        <v>20</v>
      </c>
      <c r="F9301" s="12">
        <v>72</v>
      </c>
      <c r="G9301" t="str">
        <f>IFERROR(INDEX(tEditais[Órgão],MATCH(tItens[[#This Row],[Edital]],tEditais[Edital],0)),"")</f>
        <v>UNIVERSIDADE DE TAUBATE</v>
      </c>
      <c r="H9301" t="str">
        <f>IFERROR(INDEX(tEditais[UF],MATCH(tItens[[#This Row],[Edital]],tEditais[Edital],0)),"")</f>
        <v>SP</v>
      </c>
      <c r="I9301" s="11">
        <f>IFERROR(INDEX(tEditais[Encerramento],MATCH(tItens[[#This Row],[Edital]],tEditais[Edital],0)),"")</f>
        <v>46314.395833333336</v>
      </c>
      <c r="J9301" t="str">
        <f>IFERROR(INDEX(tProdutos[Classe],MATCH(tItens[[#This Row],[Produto]],tProdutos[Produto],0)),"produto não cadastrado")</f>
        <v>DISPUTADO</v>
      </c>
      <c r="K9301" s="12">
        <f>tItens[[#This Row],[Qtd]]*tItens[[#This Row],[Vlr unit]]</f>
        <v>1440</v>
      </c>
      <c r="L9301" s="6">
        <f>IFERROR(IF(INDEX(tProdutos[Desconto homologado],MATCH(tItens[[#This Row],[Produto]],tProdutos[Produto],0))="",DescontoPadrao,INDEX(tProdutos[Desconto homologado],MATCH(tItens[[#This Row],[Produto]],tProdutos[Produto],0))),DescontoPadrao)</f>
        <v>0.28000000000000003</v>
      </c>
      <c r="M9301" s="12">
        <f>tItens[[#This Row],[Valor]]*(1-tItens[[#This Row],[Desconto]])</f>
        <v>1036.8</v>
      </c>
      <c r="N9301" t="str">
        <f>IFERROR(INDEX(tProdutos[Foco],MATCH(tItens[[#This Row],[Produto]],tProdutos[Produto],0)),"Não")</f>
        <v>Sim</v>
      </c>
      <c r="O9301" t="str">
        <f>IFERROR(INDEX(tEditais[SRP],MATCH(tItens[[#This Row],[Edital]],tEditais[Edital],0)),"Não")</f>
        <v>Não</v>
      </c>
      <c r="P9301" s="4">
        <f>IF(COUNTIFS(INDEX(tItens[Edital],1):tItens[[#This Row],[Edital]],tItens[[#This Row],[Edital]],INDEX(tItens[Produto],1):tItens[[#This Row],[Produto]],tItens[[#This Row],[Produto]])=1,1,0)</f>
        <v>1</v>
      </c>
    </row>
    <row r="9302" spans="1:16" x14ac:dyDescent="0.25">
      <c r="A9302" t="s">
        <v>3197</v>
      </c>
      <c r="B9302">
        <v>2287926</v>
      </c>
      <c r="C9302" t="s">
        <v>11603</v>
      </c>
      <c r="D9302" t="s">
        <v>383</v>
      </c>
      <c r="E9302" s="13">
        <v>45</v>
      </c>
      <c r="F9302" s="12">
        <v>2.33</v>
      </c>
      <c r="G9302" t="str">
        <f>IFERROR(INDEX(tEditais[Órgão],MATCH(tItens[[#This Row],[Edital]],tEditais[Edital],0)),"")</f>
        <v>UNIVERSIDADE DE TAUBATE</v>
      </c>
      <c r="H9302" t="str">
        <f>IFERROR(INDEX(tEditais[UF],MATCH(tItens[[#This Row],[Edital]],tEditais[Edital],0)),"")</f>
        <v>SP</v>
      </c>
      <c r="I9302" s="11">
        <f>IFERROR(INDEX(tEditais[Encerramento],MATCH(tItens[[#This Row],[Edital]],tEditais[Edital],0)),"")</f>
        <v>46314.395833333336</v>
      </c>
      <c r="J9302" t="str">
        <f>IFERROR(INDEX(tProdutos[Classe],MATCH(tItens[[#This Row],[Produto]],tProdutos[Produto],0)),"produto não cadastrado")</f>
        <v>FORA</v>
      </c>
      <c r="K9302" s="12">
        <f>tItens[[#This Row],[Qtd]]*tItens[[#This Row],[Vlr unit]]</f>
        <v>104.85000000000001</v>
      </c>
      <c r="L9302" s="6">
        <f>IFERROR(IF(INDEX(tProdutos[Desconto homologado],MATCH(tItens[[#This Row],[Produto]],tProdutos[Produto],0))="",DescontoPadrao,INDEX(tProdutos[Desconto homologado],MATCH(tItens[[#This Row],[Produto]],tProdutos[Produto],0))),DescontoPadrao)</f>
        <v>0.48749999999999999</v>
      </c>
      <c r="M9302" s="12">
        <f>tItens[[#This Row],[Valor]]*(1-tItens[[#This Row],[Desconto]])</f>
        <v>53.735624999999999</v>
      </c>
      <c r="N9302" t="str">
        <f>IFERROR(INDEX(tProdutos[Foco],MATCH(tItens[[#This Row],[Produto]],tProdutos[Produto],0)),"Não")</f>
        <v>Não</v>
      </c>
      <c r="O9302" t="str">
        <f>IFERROR(INDEX(tEditais[SRP],MATCH(tItens[[#This Row],[Edital]],tEditais[Edital],0)),"Não")</f>
        <v>Não</v>
      </c>
      <c r="P9302" s="4">
        <f>IF(COUNTIFS(INDEX(tItens[Edital],1):tItens[[#This Row],[Edital]],tItens[[#This Row],[Edital]],INDEX(tItens[Produto],1):tItens[[#This Row],[Produto]],tItens[[#This Row],[Produto]])=1,1,0)</f>
        <v>1</v>
      </c>
    </row>
    <row r="9303" spans="1:16" x14ac:dyDescent="0.25">
      <c r="A9303" t="s">
        <v>3197</v>
      </c>
      <c r="B9303">
        <v>2287927</v>
      </c>
      <c r="C9303" t="s">
        <v>11604</v>
      </c>
      <c r="D9303" t="s">
        <v>60</v>
      </c>
      <c r="E9303" s="13">
        <v>100</v>
      </c>
      <c r="F9303" s="12">
        <v>0.52</v>
      </c>
      <c r="G9303" t="str">
        <f>IFERROR(INDEX(tEditais[Órgão],MATCH(tItens[[#This Row],[Edital]],tEditais[Edital],0)),"")</f>
        <v>UNIVERSIDADE DE TAUBATE</v>
      </c>
      <c r="H9303" t="str">
        <f>IFERROR(INDEX(tEditais[UF],MATCH(tItens[[#This Row],[Edital]],tEditais[Edital],0)),"")</f>
        <v>SP</v>
      </c>
      <c r="I9303" s="11">
        <f>IFERROR(INDEX(tEditais[Encerramento],MATCH(tItens[[#This Row],[Edital]],tEditais[Edital],0)),"")</f>
        <v>46314.395833333336</v>
      </c>
      <c r="J9303" t="str">
        <f>IFERROR(INDEX(tProdutos[Classe],MATCH(tItens[[#This Row],[Produto]],tProdutos[Produto],0)),"produto não cadastrado")</f>
        <v>NÚCLEO</v>
      </c>
      <c r="K9303" s="12">
        <f>tItens[[#This Row],[Qtd]]*tItens[[#This Row],[Vlr unit]]</f>
        <v>52</v>
      </c>
      <c r="L9303" s="6">
        <f>IFERROR(IF(INDEX(tProdutos[Desconto homologado],MATCH(tItens[[#This Row],[Produto]],tProdutos[Produto],0))="",DescontoPadrao,INDEX(tProdutos[Desconto homologado],MATCH(tItens[[#This Row],[Produto]],tProdutos[Produto],0))),DescontoPadrao)</f>
        <v>0.23</v>
      </c>
      <c r="M9303" s="12">
        <f>tItens[[#This Row],[Valor]]*(1-tItens[[#This Row],[Desconto]])</f>
        <v>40.04</v>
      </c>
      <c r="N9303" t="str">
        <f>IFERROR(INDEX(tProdutos[Foco],MATCH(tItens[[#This Row],[Produto]],tProdutos[Produto],0)),"Não")</f>
        <v>Sim</v>
      </c>
      <c r="O9303" t="str">
        <f>IFERROR(INDEX(tEditais[SRP],MATCH(tItens[[#This Row],[Edital]],tEditais[Edital],0)),"Não")</f>
        <v>Não</v>
      </c>
      <c r="P9303" s="4">
        <f>IF(COUNTIFS(INDEX(tItens[Edital],1):tItens[[#This Row],[Edital]],tItens[[#This Row],[Edital]],INDEX(tItens[Produto],1):tItens[[#This Row],[Produto]],tItens[[#This Row],[Produto]])=1,1,0)</f>
        <v>1</v>
      </c>
    </row>
    <row r="9304" spans="1:16" x14ac:dyDescent="0.25">
      <c r="A9304" t="s">
        <v>3197</v>
      </c>
      <c r="B9304">
        <v>2287929</v>
      </c>
      <c r="C9304" t="s">
        <v>11605</v>
      </c>
      <c r="D9304" t="s">
        <v>283</v>
      </c>
      <c r="E9304" s="13">
        <v>10</v>
      </c>
      <c r="F9304" s="12">
        <v>56</v>
      </c>
      <c r="G9304" t="str">
        <f>IFERROR(INDEX(tEditais[Órgão],MATCH(tItens[[#This Row],[Edital]],tEditais[Edital],0)),"")</f>
        <v>UNIVERSIDADE DE TAUBATE</v>
      </c>
      <c r="H9304" t="str">
        <f>IFERROR(INDEX(tEditais[UF],MATCH(tItens[[#This Row],[Edital]],tEditais[Edital],0)),"")</f>
        <v>SP</v>
      </c>
      <c r="I9304" s="11">
        <f>IFERROR(INDEX(tEditais[Encerramento],MATCH(tItens[[#This Row],[Edital]],tEditais[Edital],0)),"")</f>
        <v>46314.395833333336</v>
      </c>
      <c r="J9304" t="str">
        <f>IFERROR(INDEX(tProdutos[Classe],MATCH(tItens[[#This Row],[Produto]],tProdutos[Produto],0)),"produto não cadastrado")</f>
        <v>FORA</v>
      </c>
      <c r="K9304" s="12">
        <f>tItens[[#This Row],[Qtd]]*tItens[[#This Row],[Vlr unit]]</f>
        <v>560</v>
      </c>
      <c r="L9304" s="6">
        <f>IFERROR(IF(INDEX(tProdutos[Desconto homologado],MATCH(tItens[[#This Row],[Produto]],tProdutos[Produto],0))="",DescontoPadrao,INDEX(tProdutos[Desconto homologado],MATCH(tItens[[#This Row],[Produto]],tProdutos[Produto],0))),DescontoPadrao)</f>
        <v>0.40540540540540498</v>
      </c>
      <c r="M9304" s="12">
        <f>tItens[[#This Row],[Valor]]*(1-tItens[[#This Row],[Desconto]])</f>
        <v>332.9729729729732</v>
      </c>
      <c r="N9304" t="str">
        <f>IFERROR(INDEX(tProdutos[Foco],MATCH(tItens[[#This Row],[Produto]],tProdutos[Produto],0)),"Não")</f>
        <v>Não</v>
      </c>
      <c r="O9304" t="str">
        <f>IFERROR(INDEX(tEditais[SRP],MATCH(tItens[[#This Row],[Edital]],tEditais[Edital],0)),"Não")</f>
        <v>Não</v>
      </c>
      <c r="P9304" s="4">
        <f>IF(COUNTIFS(INDEX(tItens[Edital],1):tItens[[#This Row],[Edital]],tItens[[#This Row],[Edital]],INDEX(tItens[Produto],1):tItens[[#This Row],[Produto]],tItens[[#This Row],[Produto]])=1,1,0)</f>
        <v>1</v>
      </c>
    </row>
    <row r="9305" spans="1:16" x14ac:dyDescent="0.25">
      <c r="A9305" t="s">
        <v>3197</v>
      </c>
      <c r="B9305">
        <v>2287931</v>
      </c>
      <c r="C9305" t="s">
        <v>11606</v>
      </c>
      <c r="D9305" t="s">
        <v>281</v>
      </c>
      <c r="E9305" s="13">
        <v>26</v>
      </c>
      <c r="F9305" s="12">
        <v>52</v>
      </c>
      <c r="G9305" t="str">
        <f>IFERROR(INDEX(tEditais[Órgão],MATCH(tItens[[#This Row],[Edital]],tEditais[Edital],0)),"")</f>
        <v>UNIVERSIDADE DE TAUBATE</v>
      </c>
      <c r="H9305" t="str">
        <f>IFERROR(INDEX(tEditais[UF],MATCH(tItens[[#This Row],[Edital]],tEditais[Edital],0)),"")</f>
        <v>SP</v>
      </c>
      <c r="I9305" s="11">
        <f>IFERROR(INDEX(tEditais[Encerramento],MATCH(tItens[[#This Row],[Edital]],tEditais[Edital],0)),"")</f>
        <v>46314.395833333336</v>
      </c>
      <c r="J9305" t="str">
        <f>IFERROR(INDEX(tProdutos[Classe],MATCH(tItens[[#This Row],[Produto]],tProdutos[Produto],0)),"produto não cadastrado")</f>
        <v>DISPUTADO</v>
      </c>
      <c r="K9305" s="12">
        <f>tItens[[#This Row],[Qtd]]*tItens[[#This Row],[Vlr unit]]</f>
        <v>1352</v>
      </c>
      <c r="L9305" s="6">
        <f>IFERROR(IF(INDEX(tProdutos[Desconto homologado],MATCH(tItens[[#This Row],[Produto]],tProdutos[Produto],0))="",DescontoPadrao,INDEX(tProdutos[Desconto homologado],MATCH(tItens[[#This Row],[Produto]],tProdutos[Produto],0))),DescontoPadrao)</f>
        <v>0.42461538461538501</v>
      </c>
      <c r="M9305" s="12">
        <f>tItens[[#This Row],[Valor]]*(1-tItens[[#This Row],[Desconto]])</f>
        <v>777.91999999999939</v>
      </c>
      <c r="N9305" t="str">
        <f>IFERROR(INDEX(tProdutos[Foco],MATCH(tItens[[#This Row],[Produto]],tProdutos[Produto],0)),"Não")</f>
        <v>Não</v>
      </c>
      <c r="O9305" t="str">
        <f>IFERROR(INDEX(tEditais[SRP],MATCH(tItens[[#This Row],[Edital]],tEditais[Edital],0)),"Não")</f>
        <v>Não</v>
      </c>
      <c r="P9305" s="4">
        <f>IF(COUNTIFS(INDEX(tItens[Edital],1):tItens[[#This Row],[Edital]],tItens[[#This Row],[Edital]],INDEX(tItens[Produto],1):tItens[[#This Row],[Produto]],tItens[[#This Row],[Produto]])=1,1,0)</f>
        <v>1</v>
      </c>
    </row>
    <row r="9306" spans="1:16" x14ac:dyDescent="0.25">
      <c r="A9306" t="s">
        <v>3197</v>
      </c>
      <c r="B9306">
        <v>2287932</v>
      </c>
      <c r="C9306" t="s">
        <v>11607</v>
      </c>
      <c r="D9306" t="s">
        <v>289</v>
      </c>
      <c r="E9306" s="13">
        <v>18</v>
      </c>
      <c r="F9306" s="12">
        <v>33.1</v>
      </c>
      <c r="G9306" t="str">
        <f>IFERROR(INDEX(tEditais[Órgão],MATCH(tItens[[#This Row],[Edital]],tEditais[Edital],0)),"")</f>
        <v>UNIVERSIDADE DE TAUBATE</v>
      </c>
      <c r="H9306" t="str">
        <f>IFERROR(INDEX(tEditais[UF],MATCH(tItens[[#This Row],[Edital]],tEditais[Edital],0)),"")</f>
        <v>SP</v>
      </c>
      <c r="I9306" s="11">
        <f>IFERROR(INDEX(tEditais[Encerramento],MATCH(tItens[[#This Row],[Edital]],tEditais[Edital],0)),"")</f>
        <v>46314.395833333336</v>
      </c>
      <c r="J9306" t="str">
        <f>IFERROR(INDEX(tProdutos[Classe],MATCH(tItens[[#This Row],[Produto]],tProdutos[Produto],0)),"produto não cadastrado")</f>
        <v>DISPUTADO</v>
      </c>
      <c r="K9306" s="12">
        <f>tItens[[#This Row],[Qtd]]*tItens[[#This Row],[Vlr unit]]</f>
        <v>595.80000000000007</v>
      </c>
      <c r="L9306" s="6">
        <f>IFERROR(IF(INDEX(tProdutos[Desconto homologado],MATCH(tItens[[#This Row],[Produto]],tProdutos[Produto],0))="",DescontoPadrao,INDEX(tProdutos[Desconto homologado],MATCH(tItens[[#This Row],[Produto]],tProdutos[Produto],0))),DescontoPadrao)</f>
        <v>0.35849056603773599</v>
      </c>
      <c r="M9306" s="12">
        <f>tItens[[#This Row],[Valor]]*(1-tItens[[#This Row],[Desconto]])</f>
        <v>382.21132075471695</v>
      </c>
      <c r="N9306" t="str">
        <f>IFERROR(INDEX(tProdutos[Foco],MATCH(tItens[[#This Row],[Produto]],tProdutos[Produto],0)),"Não")</f>
        <v>Não</v>
      </c>
      <c r="O9306" t="str">
        <f>IFERROR(INDEX(tEditais[SRP],MATCH(tItens[[#This Row],[Edital]],tEditais[Edital],0)),"Não")</f>
        <v>Não</v>
      </c>
      <c r="P9306" s="4">
        <f>IF(COUNTIFS(INDEX(tItens[Edital],1):tItens[[#This Row],[Edital]],tItens[[#This Row],[Edital]],INDEX(tItens[Produto],1):tItens[[#This Row],[Produto]],tItens[[#This Row],[Produto]])=1,1,0)</f>
        <v>1</v>
      </c>
    </row>
    <row r="9307" spans="1:16" x14ac:dyDescent="0.25">
      <c r="A9307" t="s">
        <v>3197</v>
      </c>
      <c r="B9307">
        <v>2287935</v>
      </c>
      <c r="C9307" t="s">
        <v>11608</v>
      </c>
      <c r="D9307" t="s">
        <v>343</v>
      </c>
      <c r="E9307" s="13">
        <v>100</v>
      </c>
      <c r="F9307" s="12">
        <v>3.8</v>
      </c>
      <c r="G9307" t="str">
        <f>IFERROR(INDEX(tEditais[Órgão],MATCH(tItens[[#This Row],[Edital]],tEditais[Edital],0)),"")</f>
        <v>UNIVERSIDADE DE TAUBATE</v>
      </c>
      <c r="H9307" t="str">
        <f>IFERROR(INDEX(tEditais[UF],MATCH(tItens[[#This Row],[Edital]],tEditais[Edital],0)),"")</f>
        <v>SP</v>
      </c>
      <c r="I9307" s="11">
        <f>IFERROR(INDEX(tEditais[Encerramento],MATCH(tItens[[#This Row],[Edital]],tEditais[Edital],0)),"")</f>
        <v>46314.395833333336</v>
      </c>
      <c r="J9307" t="str">
        <f>IFERROR(INDEX(tProdutos[Classe],MATCH(tItens[[#This Row],[Produto]],tProdutos[Produto],0)),"produto não cadastrado")</f>
        <v>FORA</v>
      </c>
      <c r="K9307" s="12">
        <f>tItens[[#This Row],[Qtd]]*tItens[[#This Row],[Vlr unit]]</f>
        <v>380</v>
      </c>
      <c r="L9307" s="6">
        <f>IFERROR(IF(INDEX(tProdutos[Desconto homologado],MATCH(tItens[[#This Row],[Produto]],tProdutos[Produto],0))="",DescontoPadrao,INDEX(tProdutos[Desconto homologado],MATCH(tItens[[#This Row],[Produto]],tProdutos[Produto],0))),DescontoPadrao)</f>
        <v>0.35412234042553198</v>
      </c>
      <c r="M9307" s="12">
        <f>tItens[[#This Row],[Valor]]*(1-tItens[[#This Row],[Desconto]])</f>
        <v>245.43351063829783</v>
      </c>
      <c r="N9307" t="str">
        <f>IFERROR(INDEX(tProdutos[Foco],MATCH(tItens[[#This Row],[Produto]],tProdutos[Produto],0)),"Não")</f>
        <v>Não</v>
      </c>
      <c r="O9307" t="str">
        <f>IFERROR(INDEX(tEditais[SRP],MATCH(tItens[[#This Row],[Edital]],tEditais[Edital],0)),"Não")</f>
        <v>Não</v>
      </c>
      <c r="P9307" s="4">
        <f>IF(COUNTIFS(INDEX(tItens[Edital],1):tItens[[#This Row],[Edital]],tItens[[#This Row],[Edital]],INDEX(tItens[Produto],1):tItens[[#This Row],[Produto]],tItens[[#This Row],[Produto]])=1,1,0)</f>
        <v>0</v>
      </c>
    </row>
    <row r="9308" spans="1:16" x14ac:dyDescent="0.25">
      <c r="A9308" t="s">
        <v>3197</v>
      </c>
      <c r="B9308">
        <v>2287948</v>
      </c>
      <c r="C9308" t="s">
        <v>11609</v>
      </c>
      <c r="D9308" t="s">
        <v>56</v>
      </c>
      <c r="E9308" s="13">
        <v>5</v>
      </c>
      <c r="F9308" s="12">
        <v>45</v>
      </c>
      <c r="G9308" t="str">
        <f>IFERROR(INDEX(tEditais[Órgão],MATCH(tItens[[#This Row],[Edital]],tEditais[Edital],0)),"")</f>
        <v>UNIVERSIDADE DE TAUBATE</v>
      </c>
      <c r="H9308" t="str">
        <f>IFERROR(INDEX(tEditais[UF],MATCH(tItens[[#This Row],[Edital]],tEditais[Edital],0)),"")</f>
        <v>SP</v>
      </c>
      <c r="I9308" s="11">
        <f>IFERROR(INDEX(tEditais[Encerramento],MATCH(tItens[[#This Row],[Edital]],tEditais[Edital],0)),"")</f>
        <v>46314.395833333336</v>
      </c>
      <c r="J9308" t="str">
        <f>IFERROR(INDEX(tProdutos[Classe],MATCH(tItens[[#This Row],[Produto]],tProdutos[Produto],0)),"produto não cadastrado")</f>
        <v>NÚCLEO</v>
      </c>
      <c r="K9308" s="12">
        <f>tItens[[#This Row],[Qtd]]*tItens[[#This Row],[Vlr unit]]</f>
        <v>225</v>
      </c>
      <c r="L9308" s="6">
        <f>IFERROR(IF(INDEX(tProdutos[Desconto homologado],MATCH(tItens[[#This Row],[Produto]],tProdutos[Produto],0))="",DescontoPadrao,INDEX(tProdutos[Desconto homologado],MATCH(tItens[[#This Row],[Produto]],tProdutos[Produto],0))),DescontoPadrao)</f>
        <v>0.34</v>
      </c>
      <c r="M9308" s="12">
        <f>tItens[[#This Row],[Valor]]*(1-tItens[[#This Row],[Desconto]])</f>
        <v>148.49999999999997</v>
      </c>
      <c r="N9308" t="str">
        <f>IFERROR(INDEX(tProdutos[Foco],MATCH(tItens[[#This Row],[Produto]],tProdutos[Produto],0)),"Não")</f>
        <v>Sim</v>
      </c>
      <c r="O9308" t="str">
        <f>IFERROR(INDEX(tEditais[SRP],MATCH(tItens[[#This Row],[Edital]],tEditais[Edital],0)),"Não")</f>
        <v>Não</v>
      </c>
      <c r="P9308" s="4">
        <f>IF(COUNTIFS(INDEX(tItens[Edital],1):tItens[[#This Row],[Edital]],tItens[[#This Row],[Edital]],INDEX(tItens[Produto],1):tItens[[#This Row],[Produto]],tItens[[#This Row],[Produto]])=1,1,0)</f>
        <v>0</v>
      </c>
    </row>
    <row r="9309" spans="1:16" x14ac:dyDescent="0.25">
      <c r="A9309" t="s">
        <v>3197</v>
      </c>
      <c r="B9309">
        <v>2287949</v>
      </c>
      <c r="C9309" t="s">
        <v>11610</v>
      </c>
      <c r="D9309" t="s">
        <v>351</v>
      </c>
      <c r="E9309" s="13">
        <v>30</v>
      </c>
      <c r="F9309" s="12">
        <v>4.5</v>
      </c>
      <c r="G9309" t="str">
        <f>IFERROR(INDEX(tEditais[Órgão],MATCH(tItens[[#This Row],[Edital]],tEditais[Edital],0)),"")</f>
        <v>UNIVERSIDADE DE TAUBATE</v>
      </c>
      <c r="H9309" t="str">
        <f>IFERROR(INDEX(tEditais[UF],MATCH(tItens[[#This Row],[Edital]],tEditais[Edital],0)),"")</f>
        <v>SP</v>
      </c>
      <c r="I9309" s="11">
        <f>IFERROR(INDEX(tEditais[Encerramento],MATCH(tItens[[#This Row],[Edital]],tEditais[Edital],0)),"")</f>
        <v>46314.395833333336</v>
      </c>
      <c r="J9309" t="str">
        <f>IFERROR(INDEX(tProdutos[Classe],MATCH(tItens[[#This Row],[Produto]],tProdutos[Produto],0)),"produto não cadastrado")</f>
        <v>FORA</v>
      </c>
      <c r="K9309" s="12">
        <f>tItens[[#This Row],[Qtd]]*tItens[[#This Row],[Vlr unit]]</f>
        <v>135</v>
      </c>
      <c r="L9309" s="6">
        <f>IFERROR(IF(INDEX(tProdutos[Desconto homologado],MATCH(tItens[[#This Row],[Produto]],tProdutos[Produto],0))="",DescontoPadrao,INDEX(tProdutos[Desconto homologado],MATCH(tItens[[#This Row],[Produto]],tProdutos[Produto],0))),DescontoPadrao)</f>
        <v>0.33518005540166201</v>
      </c>
      <c r="M9309" s="12">
        <f>tItens[[#This Row],[Valor]]*(1-tItens[[#This Row],[Desconto]])</f>
        <v>89.75069252077563</v>
      </c>
      <c r="N9309" t="str">
        <f>IFERROR(INDEX(tProdutos[Foco],MATCH(tItens[[#This Row],[Produto]],tProdutos[Produto],0)),"Não")</f>
        <v>Não</v>
      </c>
      <c r="O9309" t="str">
        <f>IFERROR(INDEX(tEditais[SRP],MATCH(tItens[[#This Row],[Edital]],tEditais[Edital],0)),"Não")</f>
        <v>Não</v>
      </c>
      <c r="P9309" s="4">
        <f>IF(COUNTIFS(INDEX(tItens[Edital],1):tItens[[#This Row],[Edital]],tItens[[#This Row],[Edital]],INDEX(tItens[Produto],1):tItens[[#This Row],[Produto]],tItens[[#This Row],[Produto]])=1,1,0)</f>
        <v>0</v>
      </c>
    </row>
    <row r="9310" spans="1:16" x14ac:dyDescent="0.25">
      <c r="A9310" t="s">
        <v>3197</v>
      </c>
      <c r="B9310">
        <v>2287950</v>
      </c>
      <c r="C9310" t="s">
        <v>11611</v>
      </c>
      <c r="D9310" t="s">
        <v>160</v>
      </c>
      <c r="E9310" s="13">
        <v>16</v>
      </c>
      <c r="F9310" s="12">
        <v>4.09</v>
      </c>
      <c r="G9310" t="str">
        <f>IFERROR(INDEX(tEditais[Órgão],MATCH(tItens[[#This Row],[Edital]],tEditais[Edital],0)),"")</f>
        <v>UNIVERSIDADE DE TAUBATE</v>
      </c>
      <c r="H9310" t="str">
        <f>IFERROR(INDEX(tEditais[UF],MATCH(tItens[[#This Row],[Edital]],tEditais[Edital],0)),"")</f>
        <v>SP</v>
      </c>
      <c r="I9310" s="11">
        <f>IFERROR(INDEX(tEditais[Encerramento],MATCH(tItens[[#This Row],[Edital]],tEditais[Edital],0)),"")</f>
        <v>46314.395833333336</v>
      </c>
      <c r="J9310" t="str">
        <f>IFERROR(INDEX(tProdutos[Classe],MATCH(tItens[[#This Row],[Produto]],tProdutos[Produto],0)),"produto não cadastrado")</f>
        <v>DISPUTADO</v>
      </c>
      <c r="K9310" s="12">
        <f>tItens[[#This Row],[Qtd]]*tItens[[#This Row],[Vlr unit]]</f>
        <v>65.44</v>
      </c>
      <c r="L9310" s="6">
        <f>IFERROR(IF(INDEX(tProdutos[Desconto homologado],MATCH(tItens[[#This Row],[Produto]],tProdutos[Produto],0))="",DescontoPadrao,INDEX(tProdutos[Desconto homologado],MATCH(tItens[[#This Row],[Produto]],tProdutos[Produto],0))),DescontoPadrao)</f>
        <v>0.28000000000000003</v>
      </c>
      <c r="M9310" s="12">
        <f>tItens[[#This Row],[Valor]]*(1-tItens[[#This Row],[Desconto]])</f>
        <v>47.116799999999998</v>
      </c>
      <c r="N9310" t="str">
        <f>IFERROR(INDEX(tProdutos[Foco],MATCH(tItens[[#This Row],[Produto]],tProdutos[Produto],0)),"Não")</f>
        <v>Sim</v>
      </c>
      <c r="O9310" t="str">
        <f>IFERROR(INDEX(tEditais[SRP],MATCH(tItens[[#This Row],[Edital]],tEditais[Edital],0)),"Não")</f>
        <v>Não</v>
      </c>
      <c r="P9310" s="4">
        <f>IF(COUNTIFS(INDEX(tItens[Edital],1):tItens[[#This Row],[Edital]],tItens[[#This Row],[Edital]],INDEX(tItens[Produto],1):tItens[[#This Row],[Produto]],tItens[[#This Row],[Produto]])=1,1,0)</f>
        <v>0</v>
      </c>
    </row>
    <row r="9311" spans="1:16" x14ac:dyDescent="0.25">
      <c r="A9311" t="s">
        <v>3197</v>
      </c>
      <c r="B9311">
        <v>2287952</v>
      </c>
      <c r="C9311" t="s">
        <v>11612</v>
      </c>
      <c r="D9311" t="s">
        <v>160</v>
      </c>
      <c r="E9311" s="13">
        <v>100</v>
      </c>
      <c r="F9311" s="12">
        <v>6</v>
      </c>
      <c r="G9311" t="str">
        <f>IFERROR(INDEX(tEditais[Órgão],MATCH(tItens[[#This Row],[Edital]],tEditais[Edital],0)),"")</f>
        <v>UNIVERSIDADE DE TAUBATE</v>
      </c>
      <c r="H9311" t="str">
        <f>IFERROR(INDEX(tEditais[UF],MATCH(tItens[[#This Row],[Edital]],tEditais[Edital],0)),"")</f>
        <v>SP</v>
      </c>
      <c r="I9311" s="11">
        <f>IFERROR(INDEX(tEditais[Encerramento],MATCH(tItens[[#This Row],[Edital]],tEditais[Edital],0)),"")</f>
        <v>46314.395833333336</v>
      </c>
      <c r="J9311" t="str">
        <f>IFERROR(INDEX(tProdutos[Classe],MATCH(tItens[[#This Row],[Produto]],tProdutos[Produto],0)),"produto não cadastrado")</f>
        <v>DISPUTADO</v>
      </c>
      <c r="K9311" s="12">
        <f>tItens[[#This Row],[Qtd]]*tItens[[#This Row],[Vlr unit]]</f>
        <v>600</v>
      </c>
      <c r="L9311" s="6">
        <f>IFERROR(IF(INDEX(tProdutos[Desconto homologado],MATCH(tItens[[#This Row],[Produto]],tProdutos[Produto],0))="",DescontoPadrao,INDEX(tProdutos[Desconto homologado],MATCH(tItens[[#This Row],[Produto]],tProdutos[Produto],0))),DescontoPadrao)</f>
        <v>0.28000000000000003</v>
      </c>
      <c r="M9311" s="12">
        <f>tItens[[#This Row],[Valor]]*(1-tItens[[#This Row],[Desconto]])</f>
        <v>432</v>
      </c>
      <c r="N9311" t="str">
        <f>IFERROR(INDEX(tProdutos[Foco],MATCH(tItens[[#This Row],[Produto]],tProdutos[Produto],0)),"Não")</f>
        <v>Sim</v>
      </c>
      <c r="O9311" t="str">
        <f>IFERROR(INDEX(tEditais[SRP],MATCH(tItens[[#This Row],[Edital]],tEditais[Edital],0)),"Não")</f>
        <v>Não</v>
      </c>
      <c r="P9311" s="4">
        <f>IF(COUNTIFS(INDEX(tItens[Edital],1):tItens[[#This Row],[Edital]],tItens[[#This Row],[Edital]],INDEX(tItens[Produto],1):tItens[[#This Row],[Produto]],tItens[[#This Row],[Produto]])=1,1,0)</f>
        <v>0</v>
      </c>
    </row>
    <row r="9312" spans="1:16" x14ac:dyDescent="0.25">
      <c r="A9312" t="s">
        <v>3197</v>
      </c>
      <c r="B9312">
        <v>2287955</v>
      </c>
      <c r="C9312" t="s">
        <v>11613</v>
      </c>
      <c r="D9312" t="s">
        <v>333</v>
      </c>
      <c r="E9312" s="13">
        <v>310</v>
      </c>
      <c r="F9312" s="12">
        <v>0.73</v>
      </c>
      <c r="G9312" t="str">
        <f>IFERROR(INDEX(tEditais[Órgão],MATCH(tItens[[#This Row],[Edital]],tEditais[Edital],0)),"")</f>
        <v>UNIVERSIDADE DE TAUBATE</v>
      </c>
      <c r="H9312" t="str">
        <f>IFERROR(INDEX(tEditais[UF],MATCH(tItens[[#This Row],[Edital]],tEditais[Edital],0)),"")</f>
        <v>SP</v>
      </c>
      <c r="I9312" s="11">
        <f>IFERROR(INDEX(tEditais[Encerramento],MATCH(tItens[[#This Row],[Edital]],tEditais[Edital],0)),"")</f>
        <v>46314.395833333336</v>
      </c>
      <c r="J9312" t="str">
        <f>IFERROR(INDEX(tProdutos[Classe],MATCH(tItens[[#This Row],[Produto]],tProdutos[Produto],0)),"produto não cadastrado")</f>
        <v>FORA</v>
      </c>
      <c r="K9312" s="12">
        <f>tItens[[#This Row],[Qtd]]*tItens[[#This Row],[Vlr unit]]</f>
        <v>226.29999999999998</v>
      </c>
      <c r="L9312" s="6">
        <f>IFERROR(IF(INDEX(tProdutos[Desconto homologado],MATCH(tItens[[#This Row],[Produto]],tProdutos[Produto],0))="",DescontoPadrao,INDEX(tProdutos[Desconto homologado],MATCH(tItens[[#This Row],[Produto]],tProdutos[Produto],0))),DescontoPadrao)</f>
        <v>0.48951048951048998</v>
      </c>
      <c r="M9312" s="12">
        <f>tItens[[#This Row],[Valor]]*(1-tItens[[#This Row],[Desconto]])</f>
        <v>115.5237762237761</v>
      </c>
      <c r="N9312" t="str">
        <f>IFERROR(INDEX(tProdutos[Foco],MATCH(tItens[[#This Row],[Produto]],tProdutos[Produto],0)),"Não")</f>
        <v>Não</v>
      </c>
      <c r="O9312" t="str">
        <f>IFERROR(INDEX(tEditais[SRP],MATCH(tItens[[#This Row],[Edital]],tEditais[Edital],0)),"Não")</f>
        <v>Não</v>
      </c>
      <c r="P9312" s="4">
        <f>IF(COUNTIFS(INDEX(tItens[Edital],1):tItens[[#This Row],[Edital]],tItens[[#This Row],[Edital]],INDEX(tItens[Produto],1):tItens[[#This Row],[Produto]],tItens[[#This Row],[Produto]])=1,1,0)</f>
        <v>1</v>
      </c>
    </row>
    <row r="9313" spans="1:16" x14ac:dyDescent="0.25">
      <c r="A9313" t="s">
        <v>3197</v>
      </c>
      <c r="B9313">
        <v>2287956</v>
      </c>
      <c r="C9313" t="s">
        <v>11614</v>
      </c>
      <c r="D9313" t="s">
        <v>102</v>
      </c>
      <c r="E9313" s="13">
        <v>20</v>
      </c>
      <c r="F9313" s="12">
        <v>5.76</v>
      </c>
      <c r="G9313" t="str">
        <f>IFERROR(INDEX(tEditais[Órgão],MATCH(tItens[[#This Row],[Edital]],tEditais[Edital],0)),"")</f>
        <v>UNIVERSIDADE DE TAUBATE</v>
      </c>
      <c r="H9313" t="str">
        <f>IFERROR(INDEX(tEditais[UF],MATCH(tItens[[#This Row],[Edital]],tEditais[Edital],0)),"")</f>
        <v>SP</v>
      </c>
      <c r="I9313" s="11">
        <f>IFERROR(INDEX(tEditais[Encerramento],MATCH(tItens[[#This Row],[Edital]],tEditais[Edital],0)),"")</f>
        <v>46314.395833333336</v>
      </c>
      <c r="J9313" t="str">
        <f>IFERROR(INDEX(tProdutos[Classe],MATCH(tItens[[#This Row],[Produto]],tProdutos[Produto],0)),"produto não cadastrado")</f>
        <v>DISPUTADO</v>
      </c>
      <c r="K9313" s="12">
        <f>tItens[[#This Row],[Qtd]]*tItens[[#This Row],[Vlr unit]]</f>
        <v>115.19999999999999</v>
      </c>
      <c r="L9313" s="6">
        <f>IFERROR(IF(INDEX(tProdutos[Desconto homologado],MATCH(tItens[[#This Row],[Produto]],tProdutos[Produto],0))="",DescontoPadrao,INDEX(tProdutos[Desconto homologado],MATCH(tItens[[#This Row],[Produto]],tProdutos[Produto],0))),DescontoPadrao)</f>
        <v>0.38053097345132803</v>
      </c>
      <c r="M9313" s="12">
        <f>tItens[[#This Row],[Valor]]*(1-tItens[[#This Row],[Desconto]])</f>
        <v>71.362831858407006</v>
      </c>
      <c r="N9313" t="str">
        <f>IFERROR(INDEX(tProdutos[Foco],MATCH(tItens[[#This Row],[Produto]],tProdutos[Produto],0)),"Não")</f>
        <v>Não</v>
      </c>
      <c r="O9313" t="str">
        <f>IFERROR(INDEX(tEditais[SRP],MATCH(tItens[[#This Row],[Edital]],tEditais[Edital],0)),"Não")</f>
        <v>Não</v>
      </c>
      <c r="P9313" s="4">
        <f>IF(COUNTIFS(INDEX(tItens[Edital],1):tItens[[#This Row],[Edital]],tItens[[#This Row],[Edital]],INDEX(tItens[Produto],1):tItens[[#This Row],[Produto]],tItens[[#This Row],[Produto]])=1,1,0)</f>
        <v>1</v>
      </c>
    </row>
    <row r="9314" spans="1:16" x14ac:dyDescent="0.25">
      <c r="A9314" t="s">
        <v>3197</v>
      </c>
      <c r="B9314">
        <v>2287957</v>
      </c>
      <c r="C9314" t="s">
        <v>11615</v>
      </c>
      <c r="D9314" t="s">
        <v>401</v>
      </c>
      <c r="E9314" s="13">
        <v>150</v>
      </c>
      <c r="F9314" s="12">
        <v>1.89</v>
      </c>
      <c r="G9314" t="str">
        <f>IFERROR(INDEX(tEditais[Órgão],MATCH(tItens[[#This Row],[Edital]],tEditais[Edital],0)),"")</f>
        <v>UNIVERSIDADE DE TAUBATE</v>
      </c>
      <c r="H9314" t="str">
        <f>IFERROR(INDEX(tEditais[UF],MATCH(tItens[[#This Row],[Edital]],tEditais[Edital],0)),"")</f>
        <v>SP</v>
      </c>
      <c r="I9314" s="11">
        <f>IFERROR(INDEX(tEditais[Encerramento],MATCH(tItens[[#This Row],[Edital]],tEditais[Edital],0)),"")</f>
        <v>46314.395833333336</v>
      </c>
      <c r="J9314" t="str">
        <f>IFERROR(INDEX(tProdutos[Classe],MATCH(tItens[[#This Row],[Produto]],tProdutos[Produto],0)),"produto não cadastrado")</f>
        <v>FORA</v>
      </c>
      <c r="K9314" s="12">
        <f>tItens[[#This Row],[Qtd]]*tItens[[#This Row],[Vlr unit]]</f>
        <v>283.5</v>
      </c>
      <c r="L9314" s="6">
        <f>IFERROR(IF(INDEX(tProdutos[Desconto homologado],MATCH(tItens[[#This Row],[Produto]],tProdutos[Produto],0))="",DescontoPadrao,INDEX(tProdutos[Desconto homologado],MATCH(tItens[[#This Row],[Produto]],tProdutos[Produto],0))),DescontoPadrao)</f>
        <v>0.38211382113821102</v>
      </c>
      <c r="M9314" s="12">
        <f>tItens[[#This Row],[Valor]]*(1-tItens[[#This Row],[Desconto]])</f>
        <v>175.17073170731717</v>
      </c>
      <c r="N9314" t="str">
        <f>IFERROR(INDEX(tProdutos[Foco],MATCH(tItens[[#This Row],[Produto]],tProdutos[Produto],0)),"Não")</f>
        <v>Não</v>
      </c>
      <c r="O9314" t="str">
        <f>IFERROR(INDEX(tEditais[SRP],MATCH(tItens[[#This Row],[Edital]],tEditais[Edital],0)),"Não")</f>
        <v>Não</v>
      </c>
      <c r="P9314" s="4">
        <f>IF(COUNTIFS(INDEX(tItens[Edital],1):tItens[[#This Row],[Edital]],tItens[[#This Row],[Edital]],INDEX(tItens[Produto],1):tItens[[#This Row],[Produto]],tItens[[#This Row],[Produto]])=1,1,0)</f>
        <v>1</v>
      </c>
    </row>
    <row r="9315" spans="1:16" x14ac:dyDescent="0.25">
      <c r="A9315" t="s">
        <v>3197</v>
      </c>
      <c r="B9315">
        <v>2287958</v>
      </c>
      <c r="C9315" t="s">
        <v>11616</v>
      </c>
      <c r="D9315" t="s">
        <v>401</v>
      </c>
      <c r="E9315" s="13">
        <v>220</v>
      </c>
      <c r="F9315" s="12">
        <v>3.01</v>
      </c>
      <c r="G9315" t="str">
        <f>IFERROR(INDEX(tEditais[Órgão],MATCH(tItens[[#This Row],[Edital]],tEditais[Edital],0)),"")</f>
        <v>UNIVERSIDADE DE TAUBATE</v>
      </c>
      <c r="H9315" t="str">
        <f>IFERROR(INDEX(tEditais[UF],MATCH(tItens[[#This Row],[Edital]],tEditais[Edital],0)),"")</f>
        <v>SP</v>
      </c>
      <c r="I9315" s="11">
        <f>IFERROR(INDEX(tEditais[Encerramento],MATCH(tItens[[#This Row],[Edital]],tEditais[Edital],0)),"")</f>
        <v>46314.395833333336</v>
      </c>
      <c r="J9315" t="str">
        <f>IFERROR(INDEX(tProdutos[Classe],MATCH(tItens[[#This Row],[Produto]],tProdutos[Produto],0)),"produto não cadastrado")</f>
        <v>FORA</v>
      </c>
      <c r="K9315" s="12">
        <f>tItens[[#This Row],[Qtd]]*tItens[[#This Row],[Vlr unit]]</f>
        <v>662.19999999999993</v>
      </c>
      <c r="L9315" s="6">
        <f>IFERROR(IF(INDEX(tProdutos[Desconto homologado],MATCH(tItens[[#This Row],[Produto]],tProdutos[Produto],0))="",DescontoPadrao,INDEX(tProdutos[Desconto homologado],MATCH(tItens[[#This Row],[Produto]],tProdutos[Produto],0))),DescontoPadrao)</f>
        <v>0.38211382113821102</v>
      </c>
      <c r="M9315" s="12">
        <f>tItens[[#This Row],[Valor]]*(1-tItens[[#This Row],[Desconto]])</f>
        <v>409.16422764227661</v>
      </c>
      <c r="N9315" t="str">
        <f>IFERROR(INDEX(tProdutos[Foco],MATCH(tItens[[#This Row],[Produto]],tProdutos[Produto],0)),"Não")</f>
        <v>Não</v>
      </c>
      <c r="O9315" t="str">
        <f>IFERROR(INDEX(tEditais[SRP],MATCH(tItens[[#This Row],[Edital]],tEditais[Edital],0)),"Não")</f>
        <v>Não</v>
      </c>
      <c r="P9315" s="4">
        <f>IF(COUNTIFS(INDEX(tItens[Edital],1):tItens[[#This Row],[Edital]],tItens[[#This Row],[Edital]],INDEX(tItens[Produto],1):tItens[[#This Row],[Produto]],tItens[[#This Row],[Produto]])=1,1,0)</f>
        <v>0</v>
      </c>
    </row>
    <row r="9316" spans="1:16" x14ac:dyDescent="0.25">
      <c r="A9316" t="s">
        <v>3197</v>
      </c>
      <c r="B9316">
        <v>2287965</v>
      </c>
      <c r="C9316" t="s">
        <v>11597</v>
      </c>
      <c r="D9316" t="s">
        <v>56</v>
      </c>
      <c r="E9316" s="13">
        <v>300</v>
      </c>
      <c r="F9316" s="12">
        <v>0.95</v>
      </c>
      <c r="G9316" t="str">
        <f>IFERROR(INDEX(tEditais[Órgão],MATCH(tItens[[#This Row],[Edital]],tEditais[Edital],0)),"")</f>
        <v>UNIVERSIDADE DE TAUBATE</v>
      </c>
      <c r="H9316" t="str">
        <f>IFERROR(INDEX(tEditais[UF],MATCH(tItens[[#This Row],[Edital]],tEditais[Edital],0)),"")</f>
        <v>SP</v>
      </c>
      <c r="I9316" s="11">
        <f>IFERROR(INDEX(tEditais[Encerramento],MATCH(tItens[[#This Row],[Edital]],tEditais[Edital],0)),"")</f>
        <v>46314.395833333336</v>
      </c>
      <c r="J9316" t="str">
        <f>IFERROR(INDEX(tProdutos[Classe],MATCH(tItens[[#This Row],[Produto]],tProdutos[Produto],0)),"produto não cadastrado")</f>
        <v>NÚCLEO</v>
      </c>
      <c r="K9316" s="12">
        <f>tItens[[#This Row],[Qtd]]*tItens[[#This Row],[Vlr unit]]</f>
        <v>285</v>
      </c>
      <c r="L9316" s="6">
        <f>IFERROR(IF(INDEX(tProdutos[Desconto homologado],MATCH(tItens[[#This Row],[Produto]],tProdutos[Produto],0))="",DescontoPadrao,INDEX(tProdutos[Desconto homologado],MATCH(tItens[[#This Row],[Produto]],tProdutos[Produto],0))),DescontoPadrao)</f>
        <v>0.34</v>
      </c>
      <c r="M9316" s="12">
        <f>tItens[[#This Row],[Valor]]*(1-tItens[[#This Row],[Desconto]])</f>
        <v>188.09999999999997</v>
      </c>
      <c r="N9316" t="str">
        <f>IFERROR(INDEX(tProdutos[Foco],MATCH(tItens[[#This Row],[Produto]],tProdutos[Produto],0)),"Não")</f>
        <v>Sim</v>
      </c>
      <c r="O9316" t="str">
        <f>IFERROR(INDEX(tEditais[SRP],MATCH(tItens[[#This Row],[Edital]],tEditais[Edital],0)),"Não")</f>
        <v>Não</v>
      </c>
      <c r="P9316" s="4">
        <f>IF(COUNTIFS(INDEX(tItens[Edital],1):tItens[[#This Row],[Edital]],tItens[[#This Row],[Edital]],INDEX(tItens[Produto],1):tItens[[#This Row],[Produto]],tItens[[#This Row],[Produto]])=1,1,0)</f>
        <v>0</v>
      </c>
    </row>
    <row r="9317" spans="1:16" x14ac:dyDescent="0.25">
      <c r="A9317" t="s">
        <v>3197</v>
      </c>
      <c r="B9317">
        <v>2287966</v>
      </c>
      <c r="C9317" t="s">
        <v>11617</v>
      </c>
      <c r="D9317" t="s">
        <v>56</v>
      </c>
      <c r="E9317" s="13">
        <v>5</v>
      </c>
      <c r="F9317" s="12">
        <v>21.49</v>
      </c>
      <c r="G9317" t="str">
        <f>IFERROR(INDEX(tEditais[Órgão],MATCH(tItens[[#This Row],[Edital]],tEditais[Edital],0)),"")</f>
        <v>UNIVERSIDADE DE TAUBATE</v>
      </c>
      <c r="H9317" t="str">
        <f>IFERROR(INDEX(tEditais[UF],MATCH(tItens[[#This Row],[Edital]],tEditais[Edital],0)),"")</f>
        <v>SP</v>
      </c>
      <c r="I9317" s="11">
        <f>IFERROR(INDEX(tEditais[Encerramento],MATCH(tItens[[#This Row],[Edital]],tEditais[Edital],0)),"")</f>
        <v>46314.395833333336</v>
      </c>
      <c r="J9317" t="str">
        <f>IFERROR(INDEX(tProdutos[Classe],MATCH(tItens[[#This Row],[Produto]],tProdutos[Produto],0)),"produto não cadastrado")</f>
        <v>NÚCLEO</v>
      </c>
      <c r="K9317" s="12">
        <f>tItens[[#This Row],[Qtd]]*tItens[[#This Row],[Vlr unit]]</f>
        <v>107.44999999999999</v>
      </c>
      <c r="L9317" s="6">
        <f>IFERROR(IF(INDEX(tProdutos[Desconto homologado],MATCH(tItens[[#This Row],[Produto]],tProdutos[Produto],0))="",DescontoPadrao,INDEX(tProdutos[Desconto homologado],MATCH(tItens[[#This Row],[Produto]],tProdutos[Produto],0))),DescontoPadrao)</f>
        <v>0.34</v>
      </c>
      <c r="M9317" s="12">
        <f>tItens[[#This Row],[Valor]]*(1-tItens[[#This Row],[Desconto]])</f>
        <v>70.916999999999987</v>
      </c>
      <c r="N9317" t="str">
        <f>IFERROR(INDEX(tProdutos[Foco],MATCH(tItens[[#This Row],[Produto]],tProdutos[Produto],0)),"Não")</f>
        <v>Sim</v>
      </c>
      <c r="O9317" t="str">
        <f>IFERROR(INDEX(tEditais[SRP],MATCH(tItens[[#This Row],[Edital]],tEditais[Edital],0)),"Não")</f>
        <v>Não</v>
      </c>
      <c r="P9317" s="4">
        <f>IF(COUNTIFS(INDEX(tItens[Edital],1):tItens[[#This Row],[Edital]],tItens[[#This Row],[Edital]],INDEX(tItens[Produto],1):tItens[[#This Row],[Produto]],tItens[[#This Row],[Produto]])=1,1,0)</f>
        <v>0</v>
      </c>
    </row>
    <row r="9318" spans="1:16" x14ac:dyDescent="0.25">
      <c r="A9318" t="s">
        <v>3197</v>
      </c>
      <c r="B9318">
        <v>2287969</v>
      </c>
      <c r="C9318" t="s">
        <v>11618</v>
      </c>
      <c r="D9318" t="s">
        <v>281</v>
      </c>
      <c r="E9318" s="13">
        <v>7</v>
      </c>
      <c r="F9318" s="12">
        <v>24.66</v>
      </c>
      <c r="G9318" t="str">
        <f>IFERROR(INDEX(tEditais[Órgão],MATCH(tItens[[#This Row],[Edital]],tEditais[Edital],0)),"")</f>
        <v>UNIVERSIDADE DE TAUBATE</v>
      </c>
      <c r="H9318" t="str">
        <f>IFERROR(INDEX(tEditais[UF],MATCH(tItens[[#This Row],[Edital]],tEditais[Edital],0)),"")</f>
        <v>SP</v>
      </c>
      <c r="I9318" s="11">
        <f>IFERROR(INDEX(tEditais[Encerramento],MATCH(tItens[[#This Row],[Edital]],tEditais[Edital],0)),"")</f>
        <v>46314.395833333336</v>
      </c>
      <c r="J9318" t="str">
        <f>IFERROR(INDEX(tProdutos[Classe],MATCH(tItens[[#This Row],[Produto]],tProdutos[Produto],0)),"produto não cadastrado")</f>
        <v>DISPUTADO</v>
      </c>
      <c r="K9318" s="12">
        <f>tItens[[#This Row],[Qtd]]*tItens[[#This Row],[Vlr unit]]</f>
        <v>172.62</v>
      </c>
      <c r="L9318" s="6">
        <f>IFERROR(IF(INDEX(tProdutos[Desconto homologado],MATCH(tItens[[#This Row],[Produto]],tProdutos[Produto],0))="",DescontoPadrao,INDEX(tProdutos[Desconto homologado],MATCH(tItens[[#This Row],[Produto]],tProdutos[Produto],0))),DescontoPadrao)</f>
        <v>0.42461538461538501</v>
      </c>
      <c r="M9318" s="12">
        <f>tItens[[#This Row],[Valor]]*(1-tItens[[#This Row],[Desconto]])</f>
        <v>99.322892307692229</v>
      </c>
      <c r="N9318" t="str">
        <f>IFERROR(INDEX(tProdutos[Foco],MATCH(tItens[[#This Row],[Produto]],tProdutos[Produto],0)),"Não")</f>
        <v>Não</v>
      </c>
      <c r="O9318" t="str">
        <f>IFERROR(INDEX(tEditais[SRP],MATCH(tItens[[#This Row],[Edital]],tEditais[Edital],0)),"Não")</f>
        <v>Não</v>
      </c>
      <c r="P9318" s="4">
        <f>IF(COUNTIFS(INDEX(tItens[Edital],1):tItens[[#This Row],[Edital]],tItens[[#This Row],[Edital]],INDEX(tItens[Produto],1):tItens[[#This Row],[Produto]],tItens[[#This Row],[Produto]])=1,1,0)</f>
        <v>0</v>
      </c>
    </row>
    <row r="9319" spans="1:16" x14ac:dyDescent="0.25">
      <c r="A9319" t="s">
        <v>3197</v>
      </c>
      <c r="B9319">
        <v>2287972</v>
      </c>
      <c r="C9319" t="s">
        <v>11607</v>
      </c>
      <c r="D9319" t="s">
        <v>289</v>
      </c>
      <c r="E9319" s="13">
        <v>550</v>
      </c>
      <c r="F9319" s="12">
        <v>1.88</v>
      </c>
      <c r="G9319" t="str">
        <f>IFERROR(INDEX(tEditais[Órgão],MATCH(tItens[[#This Row],[Edital]],tEditais[Edital],0)),"")</f>
        <v>UNIVERSIDADE DE TAUBATE</v>
      </c>
      <c r="H9319" t="str">
        <f>IFERROR(INDEX(tEditais[UF],MATCH(tItens[[#This Row],[Edital]],tEditais[Edital],0)),"")</f>
        <v>SP</v>
      </c>
      <c r="I9319" s="11">
        <f>IFERROR(INDEX(tEditais[Encerramento],MATCH(tItens[[#This Row],[Edital]],tEditais[Edital],0)),"")</f>
        <v>46314.395833333336</v>
      </c>
      <c r="J9319" t="str">
        <f>IFERROR(INDEX(tProdutos[Classe],MATCH(tItens[[#This Row],[Produto]],tProdutos[Produto],0)),"produto não cadastrado")</f>
        <v>DISPUTADO</v>
      </c>
      <c r="K9319" s="12">
        <f>tItens[[#This Row],[Qtd]]*tItens[[#This Row],[Vlr unit]]</f>
        <v>1034</v>
      </c>
      <c r="L9319" s="6">
        <f>IFERROR(IF(INDEX(tProdutos[Desconto homologado],MATCH(tItens[[#This Row],[Produto]],tProdutos[Produto],0))="",DescontoPadrao,INDEX(tProdutos[Desconto homologado],MATCH(tItens[[#This Row],[Produto]],tProdutos[Produto],0))),DescontoPadrao)</f>
        <v>0.35849056603773599</v>
      </c>
      <c r="M9319" s="12">
        <f>tItens[[#This Row],[Valor]]*(1-tItens[[#This Row],[Desconto]])</f>
        <v>663.32075471698101</v>
      </c>
      <c r="N9319" t="str">
        <f>IFERROR(INDEX(tProdutos[Foco],MATCH(tItens[[#This Row],[Produto]],tProdutos[Produto],0)),"Não")</f>
        <v>Não</v>
      </c>
      <c r="O9319" t="str">
        <f>IFERROR(INDEX(tEditais[SRP],MATCH(tItens[[#This Row],[Edital]],tEditais[Edital],0)),"Não")</f>
        <v>Não</v>
      </c>
      <c r="P9319" s="4">
        <f>IF(COUNTIFS(INDEX(tItens[Edital],1):tItens[[#This Row],[Edital]],tItens[[#This Row],[Edital]],INDEX(tItens[Produto],1):tItens[[#This Row],[Produto]],tItens[[#This Row],[Produto]])=1,1,0)</f>
        <v>0</v>
      </c>
    </row>
    <row r="9320" spans="1:16" x14ac:dyDescent="0.25">
      <c r="A9320" t="s">
        <v>3197</v>
      </c>
      <c r="B9320">
        <v>2287974</v>
      </c>
      <c r="C9320" t="s">
        <v>11619</v>
      </c>
      <c r="D9320" t="s">
        <v>265</v>
      </c>
      <c r="E9320" s="13">
        <v>6</v>
      </c>
      <c r="F9320" s="12">
        <v>38</v>
      </c>
      <c r="G9320" t="str">
        <f>IFERROR(INDEX(tEditais[Órgão],MATCH(tItens[[#This Row],[Edital]],tEditais[Edital],0)),"")</f>
        <v>UNIVERSIDADE DE TAUBATE</v>
      </c>
      <c r="H9320" t="str">
        <f>IFERROR(INDEX(tEditais[UF],MATCH(tItens[[#This Row],[Edital]],tEditais[Edital],0)),"")</f>
        <v>SP</v>
      </c>
      <c r="I9320" s="11">
        <f>IFERROR(INDEX(tEditais[Encerramento],MATCH(tItens[[#This Row],[Edital]],tEditais[Edital],0)),"")</f>
        <v>46314.395833333336</v>
      </c>
      <c r="J9320" t="str">
        <f>IFERROR(INDEX(tProdutos[Classe],MATCH(tItens[[#This Row],[Produto]],tProdutos[Produto],0)),"produto não cadastrado")</f>
        <v>DISPUTADO</v>
      </c>
      <c r="K9320" s="12">
        <f>tItens[[#This Row],[Qtd]]*tItens[[#This Row],[Vlr unit]]</f>
        <v>228</v>
      </c>
      <c r="L9320" s="6">
        <f>IFERROR(IF(INDEX(tProdutos[Desconto homologado],MATCH(tItens[[#This Row],[Produto]],tProdutos[Produto],0))="",DescontoPadrao,INDEX(tProdutos[Desconto homologado],MATCH(tItens[[#This Row],[Produto]],tProdutos[Produto],0))),DescontoPadrao)</f>
        <v>0.377587663709337</v>
      </c>
      <c r="M9320" s="12">
        <f>tItens[[#This Row],[Valor]]*(1-tItens[[#This Row],[Desconto]])</f>
        <v>141.91001267427117</v>
      </c>
      <c r="N9320" t="str">
        <f>IFERROR(INDEX(tProdutos[Foco],MATCH(tItens[[#This Row],[Produto]],tProdutos[Produto],0)),"Não")</f>
        <v>Não</v>
      </c>
      <c r="O9320" t="str">
        <f>IFERROR(INDEX(tEditais[SRP],MATCH(tItens[[#This Row],[Edital]],tEditais[Edital],0)),"Não")</f>
        <v>Não</v>
      </c>
      <c r="P9320" s="4">
        <f>IF(COUNTIFS(INDEX(tItens[Edital],1):tItens[[#This Row],[Edital]],tItens[[#This Row],[Edital]],INDEX(tItens[Produto],1):tItens[[#This Row],[Produto]],tItens[[#This Row],[Produto]])=1,1,0)</f>
        <v>1</v>
      </c>
    </row>
    <row r="9321" spans="1:16" x14ac:dyDescent="0.25">
      <c r="A9321" t="s">
        <v>3197</v>
      </c>
      <c r="B9321">
        <v>2287989</v>
      </c>
      <c r="C9321" t="s">
        <v>11620</v>
      </c>
      <c r="D9321" t="s">
        <v>120</v>
      </c>
      <c r="E9321" s="13">
        <v>200</v>
      </c>
      <c r="F9321" s="12">
        <v>0.66</v>
      </c>
      <c r="G9321" t="str">
        <f>IFERROR(INDEX(tEditais[Órgão],MATCH(tItens[[#This Row],[Edital]],tEditais[Edital],0)),"")</f>
        <v>UNIVERSIDADE DE TAUBATE</v>
      </c>
      <c r="H9321" t="str">
        <f>IFERROR(INDEX(tEditais[UF],MATCH(tItens[[#This Row],[Edital]],tEditais[Edital],0)),"")</f>
        <v>SP</v>
      </c>
      <c r="I9321" s="11">
        <f>IFERROR(INDEX(tEditais[Encerramento],MATCH(tItens[[#This Row],[Edital]],tEditais[Edital],0)),"")</f>
        <v>46314.395833333336</v>
      </c>
      <c r="J9321" t="str">
        <f>IFERROR(INDEX(tProdutos[Classe],MATCH(tItens[[#This Row],[Produto]],tProdutos[Produto],0)),"produto não cadastrado")</f>
        <v>DISPUTADO</v>
      </c>
      <c r="K9321" s="12">
        <f>tItens[[#This Row],[Qtd]]*tItens[[#This Row],[Vlr unit]]</f>
        <v>132</v>
      </c>
      <c r="L9321" s="6">
        <f>IFERROR(IF(INDEX(tProdutos[Desconto homologado],MATCH(tItens[[#This Row],[Produto]],tProdutos[Produto],0))="",DescontoPadrao,INDEX(tProdutos[Desconto homologado],MATCH(tItens[[#This Row],[Produto]],tProdutos[Produto],0))),DescontoPadrao)</f>
        <v>0.40909090909090901</v>
      </c>
      <c r="M9321" s="12">
        <f>tItens[[#This Row],[Valor]]*(1-tItens[[#This Row],[Desconto]])</f>
        <v>78.000000000000014</v>
      </c>
      <c r="N9321" t="str">
        <f>IFERROR(INDEX(tProdutos[Foco],MATCH(tItens[[#This Row],[Produto]],tProdutos[Produto],0)),"Não")</f>
        <v>Não</v>
      </c>
      <c r="O9321" t="str">
        <f>IFERROR(INDEX(tEditais[SRP],MATCH(tItens[[#This Row],[Edital]],tEditais[Edital],0)),"Não")</f>
        <v>Não</v>
      </c>
      <c r="P9321" s="4">
        <f>IF(COUNTIFS(INDEX(tItens[Edital],1):tItens[[#This Row],[Edital]],tItens[[#This Row],[Edital]],INDEX(tItens[Produto],1):tItens[[#This Row],[Produto]],tItens[[#This Row],[Produto]])=1,1,0)</f>
        <v>1</v>
      </c>
    </row>
    <row r="9322" spans="1:16" x14ac:dyDescent="0.25">
      <c r="A9322" t="s">
        <v>3197</v>
      </c>
      <c r="B9322">
        <v>2287990</v>
      </c>
      <c r="C9322" t="s">
        <v>11621</v>
      </c>
      <c r="D9322" t="s">
        <v>120</v>
      </c>
      <c r="E9322" s="13">
        <v>380</v>
      </c>
      <c r="F9322" s="12">
        <v>0.48</v>
      </c>
      <c r="G9322" t="str">
        <f>IFERROR(INDEX(tEditais[Órgão],MATCH(tItens[[#This Row],[Edital]],tEditais[Edital],0)),"")</f>
        <v>UNIVERSIDADE DE TAUBATE</v>
      </c>
      <c r="H9322" t="str">
        <f>IFERROR(INDEX(tEditais[UF],MATCH(tItens[[#This Row],[Edital]],tEditais[Edital],0)),"")</f>
        <v>SP</v>
      </c>
      <c r="I9322" s="11">
        <f>IFERROR(INDEX(tEditais[Encerramento],MATCH(tItens[[#This Row],[Edital]],tEditais[Edital],0)),"")</f>
        <v>46314.395833333336</v>
      </c>
      <c r="J9322" t="str">
        <f>IFERROR(INDEX(tProdutos[Classe],MATCH(tItens[[#This Row],[Produto]],tProdutos[Produto],0)),"produto não cadastrado")</f>
        <v>DISPUTADO</v>
      </c>
      <c r="K9322" s="12">
        <f>tItens[[#This Row],[Qtd]]*tItens[[#This Row],[Vlr unit]]</f>
        <v>182.4</v>
      </c>
      <c r="L9322" s="6">
        <f>IFERROR(IF(INDEX(tProdutos[Desconto homologado],MATCH(tItens[[#This Row],[Produto]],tProdutos[Produto],0))="",DescontoPadrao,INDEX(tProdutos[Desconto homologado],MATCH(tItens[[#This Row],[Produto]],tProdutos[Produto],0))),DescontoPadrao)</f>
        <v>0.40909090909090901</v>
      </c>
      <c r="M9322" s="12">
        <f>tItens[[#This Row],[Valor]]*(1-tItens[[#This Row],[Desconto]])</f>
        <v>107.78181818181821</v>
      </c>
      <c r="N9322" t="str">
        <f>IFERROR(INDEX(tProdutos[Foco],MATCH(tItens[[#This Row],[Produto]],tProdutos[Produto],0)),"Não")</f>
        <v>Não</v>
      </c>
      <c r="O9322" t="str">
        <f>IFERROR(INDEX(tEditais[SRP],MATCH(tItens[[#This Row],[Edital]],tEditais[Edital],0)),"Não")</f>
        <v>Não</v>
      </c>
      <c r="P9322" s="4">
        <f>IF(COUNTIFS(INDEX(tItens[Edital],1):tItens[[#This Row],[Edital]],tItens[[#This Row],[Edital]],INDEX(tItens[Produto],1):tItens[[#This Row],[Produto]],tItens[[#This Row],[Produto]])=1,1,0)</f>
        <v>0</v>
      </c>
    </row>
    <row r="9323" spans="1:16" x14ac:dyDescent="0.25">
      <c r="A9323" t="s">
        <v>3197</v>
      </c>
      <c r="B9323">
        <v>2287992</v>
      </c>
      <c r="C9323" t="s">
        <v>5566</v>
      </c>
      <c r="D9323" t="s">
        <v>120</v>
      </c>
      <c r="E9323" s="13">
        <v>100</v>
      </c>
      <c r="F9323" s="12">
        <v>1.58</v>
      </c>
      <c r="G9323" t="str">
        <f>IFERROR(INDEX(tEditais[Órgão],MATCH(tItens[[#This Row],[Edital]],tEditais[Edital],0)),"")</f>
        <v>UNIVERSIDADE DE TAUBATE</v>
      </c>
      <c r="H9323" t="str">
        <f>IFERROR(INDEX(tEditais[UF],MATCH(tItens[[#This Row],[Edital]],tEditais[Edital],0)),"")</f>
        <v>SP</v>
      </c>
      <c r="I9323" s="11">
        <f>IFERROR(INDEX(tEditais[Encerramento],MATCH(tItens[[#This Row],[Edital]],tEditais[Edital],0)),"")</f>
        <v>46314.395833333336</v>
      </c>
      <c r="J9323" t="str">
        <f>IFERROR(INDEX(tProdutos[Classe],MATCH(tItens[[#This Row],[Produto]],tProdutos[Produto],0)),"produto não cadastrado")</f>
        <v>DISPUTADO</v>
      </c>
      <c r="K9323" s="12">
        <f>tItens[[#This Row],[Qtd]]*tItens[[#This Row],[Vlr unit]]</f>
        <v>158</v>
      </c>
      <c r="L9323" s="6">
        <f>IFERROR(IF(INDEX(tProdutos[Desconto homologado],MATCH(tItens[[#This Row],[Produto]],tProdutos[Produto],0))="",DescontoPadrao,INDEX(tProdutos[Desconto homologado],MATCH(tItens[[#This Row],[Produto]],tProdutos[Produto],0))),DescontoPadrao)</f>
        <v>0.40909090909090901</v>
      </c>
      <c r="M9323" s="12">
        <f>tItens[[#This Row],[Valor]]*(1-tItens[[#This Row],[Desconto]])</f>
        <v>93.363636363636388</v>
      </c>
      <c r="N9323" t="str">
        <f>IFERROR(INDEX(tProdutos[Foco],MATCH(tItens[[#This Row],[Produto]],tProdutos[Produto],0)),"Não")</f>
        <v>Não</v>
      </c>
      <c r="O9323" t="str">
        <f>IFERROR(INDEX(tEditais[SRP],MATCH(tItens[[#This Row],[Edital]],tEditais[Edital],0)),"Não")</f>
        <v>Não</v>
      </c>
      <c r="P9323" s="4">
        <f>IF(COUNTIFS(INDEX(tItens[Edital],1):tItens[[#This Row],[Edital]],tItens[[#This Row],[Edital]],INDEX(tItens[Produto],1):tItens[[#This Row],[Produto]],tItens[[#This Row],[Produto]])=1,1,0)</f>
        <v>0</v>
      </c>
    </row>
    <row r="9324" spans="1:16" x14ac:dyDescent="0.25">
      <c r="A9324" t="s">
        <v>3197</v>
      </c>
      <c r="B9324">
        <v>2287993</v>
      </c>
      <c r="C9324" t="s">
        <v>11622</v>
      </c>
      <c r="D9324" t="s">
        <v>110</v>
      </c>
      <c r="E9324" s="13">
        <v>102</v>
      </c>
      <c r="F9324" s="12">
        <v>0.62</v>
      </c>
      <c r="G9324" t="str">
        <f>IFERROR(INDEX(tEditais[Órgão],MATCH(tItens[[#This Row],[Edital]],tEditais[Edital],0)),"")</f>
        <v>UNIVERSIDADE DE TAUBATE</v>
      </c>
      <c r="H9324" t="str">
        <f>IFERROR(INDEX(tEditais[UF],MATCH(tItens[[#This Row],[Edital]],tEditais[Edital],0)),"")</f>
        <v>SP</v>
      </c>
      <c r="I9324" s="11">
        <f>IFERROR(INDEX(tEditais[Encerramento],MATCH(tItens[[#This Row],[Edital]],tEditais[Edital],0)),"")</f>
        <v>46314.395833333336</v>
      </c>
      <c r="J9324" t="str">
        <f>IFERROR(INDEX(tProdutos[Classe],MATCH(tItens[[#This Row],[Produto]],tProdutos[Produto],0)),"produto não cadastrado")</f>
        <v>NÚCLEO</v>
      </c>
      <c r="K9324" s="12">
        <f>tItens[[#This Row],[Qtd]]*tItens[[#This Row],[Vlr unit]]</f>
        <v>63.24</v>
      </c>
      <c r="L9324" s="6">
        <f>IFERROR(IF(INDEX(tProdutos[Desconto homologado],MATCH(tItens[[#This Row],[Produto]],tProdutos[Produto],0))="",DescontoPadrao,INDEX(tProdutos[Desconto homologado],MATCH(tItens[[#This Row],[Produto]],tProdutos[Produto],0))),DescontoPadrao)</f>
        <v>0.30410958904109597</v>
      </c>
      <c r="M9324" s="12">
        <f>tItens[[#This Row],[Valor]]*(1-tItens[[#This Row],[Desconto]])</f>
        <v>44.008109589041091</v>
      </c>
      <c r="N9324" t="str">
        <f>IFERROR(INDEX(tProdutos[Foco],MATCH(tItens[[#This Row],[Produto]],tProdutos[Produto],0)),"Não")</f>
        <v>Não</v>
      </c>
      <c r="O9324" t="str">
        <f>IFERROR(INDEX(tEditais[SRP],MATCH(tItens[[#This Row],[Edital]],tEditais[Edital],0)),"Não")</f>
        <v>Não</v>
      </c>
      <c r="P9324" s="4">
        <f>IF(COUNTIFS(INDEX(tItens[Edital],1):tItens[[#This Row],[Edital]],tItens[[#This Row],[Edital]],INDEX(tItens[Produto],1):tItens[[#This Row],[Produto]],tItens[[#This Row],[Produto]])=1,1,0)</f>
        <v>1</v>
      </c>
    </row>
    <row r="9325" spans="1:16" x14ac:dyDescent="0.25">
      <c r="A9325" t="s">
        <v>3197</v>
      </c>
      <c r="B9325">
        <v>2287994</v>
      </c>
      <c r="C9325" t="s">
        <v>11623</v>
      </c>
      <c r="D9325" t="s">
        <v>110</v>
      </c>
      <c r="E9325" s="13">
        <v>100</v>
      </c>
      <c r="F9325" s="12">
        <v>1.1000000000000001</v>
      </c>
      <c r="G9325" t="str">
        <f>IFERROR(INDEX(tEditais[Órgão],MATCH(tItens[[#This Row],[Edital]],tEditais[Edital],0)),"")</f>
        <v>UNIVERSIDADE DE TAUBATE</v>
      </c>
      <c r="H9325" t="str">
        <f>IFERROR(INDEX(tEditais[UF],MATCH(tItens[[#This Row],[Edital]],tEditais[Edital],0)),"")</f>
        <v>SP</v>
      </c>
      <c r="I9325" s="11">
        <f>IFERROR(INDEX(tEditais[Encerramento],MATCH(tItens[[#This Row],[Edital]],tEditais[Edital],0)),"")</f>
        <v>46314.395833333336</v>
      </c>
      <c r="J9325" t="str">
        <f>IFERROR(INDEX(tProdutos[Classe],MATCH(tItens[[#This Row],[Produto]],tProdutos[Produto],0)),"produto não cadastrado")</f>
        <v>NÚCLEO</v>
      </c>
      <c r="K9325" s="12">
        <f>tItens[[#This Row],[Qtd]]*tItens[[#This Row],[Vlr unit]]</f>
        <v>110.00000000000001</v>
      </c>
      <c r="L9325" s="6">
        <f>IFERROR(IF(INDEX(tProdutos[Desconto homologado],MATCH(tItens[[#This Row],[Produto]],tProdutos[Produto],0))="",DescontoPadrao,INDEX(tProdutos[Desconto homologado],MATCH(tItens[[#This Row],[Produto]],tProdutos[Produto],0))),DescontoPadrao)</f>
        <v>0.30410958904109597</v>
      </c>
      <c r="M9325" s="12">
        <f>tItens[[#This Row],[Valor]]*(1-tItens[[#This Row],[Desconto]])</f>
        <v>76.547945205479451</v>
      </c>
      <c r="N9325" t="str">
        <f>IFERROR(INDEX(tProdutos[Foco],MATCH(tItens[[#This Row],[Produto]],tProdutos[Produto],0)),"Não")</f>
        <v>Não</v>
      </c>
      <c r="O9325" t="str">
        <f>IFERROR(INDEX(tEditais[SRP],MATCH(tItens[[#This Row],[Edital]],tEditais[Edital],0)),"Não")</f>
        <v>Não</v>
      </c>
      <c r="P9325" s="4">
        <f>IF(COUNTIFS(INDEX(tItens[Edital],1):tItens[[#This Row],[Edital]],tItens[[#This Row],[Edital]],INDEX(tItens[Produto],1):tItens[[#This Row],[Produto]],tItens[[#This Row],[Produto]])=1,1,0)</f>
        <v>0</v>
      </c>
    </row>
    <row r="9326" spans="1:16" x14ac:dyDescent="0.25">
      <c r="A9326" t="s">
        <v>3197</v>
      </c>
      <c r="B9326">
        <v>2287995</v>
      </c>
      <c r="C9326" t="s">
        <v>11624</v>
      </c>
      <c r="D9326" t="s">
        <v>120</v>
      </c>
      <c r="E9326" s="13">
        <v>200</v>
      </c>
      <c r="F9326" s="12">
        <v>1.18</v>
      </c>
      <c r="G9326" t="str">
        <f>IFERROR(INDEX(tEditais[Órgão],MATCH(tItens[[#This Row],[Edital]],tEditais[Edital],0)),"")</f>
        <v>UNIVERSIDADE DE TAUBATE</v>
      </c>
      <c r="H9326" t="str">
        <f>IFERROR(INDEX(tEditais[UF],MATCH(tItens[[#This Row],[Edital]],tEditais[Edital],0)),"")</f>
        <v>SP</v>
      </c>
      <c r="I9326" s="11">
        <f>IFERROR(INDEX(tEditais[Encerramento],MATCH(tItens[[#This Row],[Edital]],tEditais[Edital],0)),"")</f>
        <v>46314.395833333336</v>
      </c>
      <c r="J9326" t="str">
        <f>IFERROR(INDEX(tProdutos[Classe],MATCH(tItens[[#This Row],[Produto]],tProdutos[Produto],0)),"produto não cadastrado")</f>
        <v>DISPUTADO</v>
      </c>
      <c r="K9326" s="12">
        <f>tItens[[#This Row],[Qtd]]*tItens[[#This Row],[Vlr unit]]</f>
        <v>236</v>
      </c>
      <c r="L9326" s="6">
        <f>IFERROR(IF(INDEX(tProdutos[Desconto homologado],MATCH(tItens[[#This Row],[Produto]],tProdutos[Produto],0))="",DescontoPadrao,INDEX(tProdutos[Desconto homologado],MATCH(tItens[[#This Row],[Produto]],tProdutos[Produto],0))),DescontoPadrao)</f>
        <v>0.40909090909090901</v>
      </c>
      <c r="M9326" s="12">
        <f>tItens[[#This Row],[Valor]]*(1-tItens[[#This Row],[Desconto]])</f>
        <v>139.4545454545455</v>
      </c>
      <c r="N9326" t="str">
        <f>IFERROR(INDEX(tProdutos[Foco],MATCH(tItens[[#This Row],[Produto]],tProdutos[Produto],0)),"Não")</f>
        <v>Não</v>
      </c>
      <c r="O9326" t="str">
        <f>IFERROR(INDEX(tEditais[SRP],MATCH(tItens[[#This Row],[Edital]],tEditais[Edital],0)),"Não")</f>
        <v>Não</v>
      </c>
      <c r="P9326" s="4">
        <f>IF(COUNTIFS(INDEX(tItens[Edital],1):tItens[[#This Row],[Edital]],tItens[[#This Row],[Edital]],INDEX(tItens[Produto],1):tItens[[#This Row],[Produto]],tItens[[#This Row],[Produto]])=1,1,0)</f>
        <v>0</v>
      </c>
    </row>
    <row r="9327" spans="1:16" x14ac:dyDescent="0.25">
      <c r="A9327" t="s">
        <v>3197</v>
      </c>
      <c r="B9327">
        <v>2288002</v>
      </c>
      <c r="C9327" t="s">
        <v>11625</v>
      </c>
      <c r="D9327" t="s">
        <v>158</v>
      </c>
      <c r="E9327" s="13">
        <v>150</v>
      </c>
      <c r="F9327" s="12">
        <v>0.44</v>
      </c>
      <c r="G9327" t="str">
        <f>IFERROR(INDEX(tEditais[Órgão],MATCH(tItens[[#This Row],[Edital]],tEditais[Edital],0)),"")</f>
        <v>UNIVERSIDADE DE TAUBATE</v>
      </c>
      <c r="H9327" t="str">
        <f>IFERROR(INDEX(tEditais[UF],MATCH(tItens[[#This Row],[Edital]],tEditais[Edital],0)),"")</f>
        <v>SP</v>
      </c>
      <c r="I9327" s="11">
        <f>IFERROR(INDEX(tEditais[Encerramento],MATCH(tItens[[#This Row],[Edital]],tEditais[Edital],0)),"")</f>
        <v>46314.395833333336</v>
      </c>
      <c r="J9327" t="str">
        <f>IFERROR(INDEX(tProdutos[Classe],MATCH(tItens[[#This Row],[Produto]],tProdutos[Produto],0)),"produto não cadastrado")</f>
        <v>DISPUTADO</v>
      </c>
      <c r="K9327" s="12">
        <f>tItens[[#This Row],[Qtd]]*tItens[[#This Row],[Vlr unit]]</f>
        <v>66</v>
      </c>
      <c r="L9327" s="6">
        <f>IFERROR(IF(INDEX(tProdutos[Desconto homologado],MATCH(tItens[[#This Row],[Produto]],tProdutos[Produto],0))="",DescontoPadrao,INDEX(tProdutos[Desconto homologado],MATCH(tItens[[#This Row],[Produto]],tProdutos[Produto],0))),DescontoPadrao)</f>
        <v>0.26086956521739102</v>
      </c>
      <c r="M9327" s="12">
        <f>tItens[[#This Row],[Valor]]*(1-tItens[[#This Row],[Desconto]])</f>
        <v>48.782608695652193</v>
      </c>
      <c r="N9327" t="str">
        <f>IFERROR(INDEX(tProdutos[Foco],MATCH(tItens[[#This Row],[Produto]],tProdutos[Produto],0)),"Não")</f>
        <v>Não</v>
      </c>
      <c r="O9327" t="str">
        <f>IFERROR(INDEX(tEditais[SRP],MATCH(tItens[[#This Row],[Edital]],tEditais[Edital],0)),"Não")</f>
        <v>Não</v>
      </c>
      <c r="P9327" s="4">
        <f>IF(COUNTIFS(INDEX(tItens[Edital],1):tItens[[#This Row],[Edital]],tItens[[#This Row],[Edital]],INDEX(tItens[Produto],1):tItens[[#This Row],[Produto]],tItens[[#This Row],[Produto]])=1,1,0)</f>
        <v>1</v>
      </c>
    </row>
    <row r="9328" spans="1:16" x14ac:dyDescent="0.25">
      <c r="A9328" t="s">
        <v>3197</v>
      </c>
      <c r="B9328">
        <v>2288003</v>
      </c>
      <c r="C9328" t="s">
        <v>11626</v>
      </c>
      <c r="D9328" t="s">
        <v>311</v>
      </c>
      <c r="E9328" s="13">
        <v>5</v>
      </c>
      <c r="F9328" s="12">
        <v>36</v>
      </c>
      <c r="G9328" t="str">
        <f>IFERROR(INDEX(tEditais[Órgão],MATCH(tItens[[#This Row],[Edital]],tEditais[Edital],0)),"")</f>
        <v>UNIVERSIDADE DE TAUBATE</v>
      </c>
      <c r="H9328" t="str">
        <f>IFERROR(INDEX(tEditais[UF],MATCH(tItens[[#This Row],[Edital]],tEditais[Edital],0)),"")</f>
        <v>SP</v>
      </c>
      <c r="I9328" s="11">
        <f>IFERROR(INDEX(tEditais[Encerramento],MATCH(tItens[[#This Row],[Edital]],tEditais[Edital],0)),"")</f>
        <v>46314.395833333336</v>
      </c>
      <c r="J9328" t="str">
        <f>IFERROR(INDEX(tProdutos[Classe],MATCH(tItens[[#This Row],[Produto]],tProdutos[Produto],0)),"produto não cadastrado")</f>
        <v>FORA</v>
      </c>
      <c r="K9328" s="12">
        <f>tItens[[#This Row],[Qtd]]*tItens[[#This Row],[Vlr unit]]</f>
        <v>180</v>
      </c>
      <c r="L9328" s="6">
        <f>IFERROR(IF(INDEX(tProdutos[Desconto homologado],MATCH(tItens[[#This Row],[Produto]],tProdutos[Produto],0))="",DescontoPadrao,INDEX(tProdutos[Desconto homologado],MATCH(tItens[[#This Row],[Produto]],tProdutos[Produto],0))),DescontoPadrao)</f>
        <v>0.29046182846371399</v>
      </c>
      <c r="M9328" s="12">
        <f>tItens[[#This Row],[Valor]]*(1-tItens[[#This Row],[Desconto]])</f>
        <v>127.71687087653149</v>
      </c>
      <c r="N9328" t="str">
        <f>IFERROR(INDEX(tProdutos[Foco],MATCH(tItens[[#This Row],[Produto]],tProdutos[Produto],0)),"Não")</f>
        <v>Não</v>
      </c>
      <c r="O9328" t="str">
        <f>IFERROR(INDEX(tEditais[SRP],MATCH(tItens[[#This Row],[Edital]],tEditais[Edital],0)),"Não")</f>
        <v>Não</v>
      </c>
      <c r="P9328" s="4">
        <f>IF(COUNTIFS(INDEX(tItens[Edital],1):tItens[[#This Row],[Edital]],tItens[[#This Row],[Edital]],INDEX(tItens[Produto],1):tItens[[#This Row],[Produto]],tItens[[#This Row],[Produto]])=1,1,0)</f>
        <v>1</v>
      </c>
    </row>
    <row r="9329" spans="1:16" x14ac:dyDescent="0.25">
      <c r="A9329" t="s">
        <v>3197</v>
      </c>
      <c r="B9329">
        <v>2288017</v>
      </c>
      <c r="C9329" t="s">
        <v>11627</v>
      </c>
      <c r="D9329" t="s">
        <v>136</v>
      </c>
      <c r="E9329" s="13">
        <v>20</v>
      </c>
      <c r="F9329" s="12">
        <v>7.29</v>
      </c>
      <c r="G9329" t="str">
        <f>IFERROR(INDEX(tEditais[Órgão],MATCH(tItens[[#This Row],[Edital]],tEditais[Edital],0)),"")</f>
        <v>UNIVERSIDADE DE TAUBATE</v>
      </c>
      <c r="H9329" t="str">
        <f>IFERROR(INDEX(tEditais[UF],MATCH(tItens[[#This Row],[Edital]],tEditais[Edital],0)),"")</f>
        <v>SP</v>
      </c>
      <c r="I9329" s="11">
        <f>IFERROR(INDEX(tEditais[Encerramento],MATCH(tItens[[#This Row],[Edital]],tEditais[Edital],0)),"")</f>
        <v>46314.395833333336</v>
      </c>
      <c r="J9329" t="str">
        <f>IFERROR(INDEX(tProdutos[Classe],MATCH(tItens[[#This Row],[Produto]],tProdutos[Produto],0)),"produto não cadastrado")</f>
        <v>DISPUTADO</v>
      </c>
      <c r="K9329" s="12">
        <f>tItens[[#This Row],[Qtd]]*tItens[[#This Row],[Vlr unit]]</f>
        <v>145.80000000000001</v>
      </c>
      <c r="L9329" s="6">
        <f>IFERROR(IF(INDEX(tProdutos[Desconto homologado],MATCH(tItens[[#This Row],[Produto]],tProdutos[Produto],0))="",DescontoPadrao,INDEX(tProdutos[Desconto homologado],MATCH(tItens[[#This Row],[Produto]],tProdutos[Produto],0))),DescontoPadrao)</f>
        <v>0.330646209370899</v>
      </c>
      <c r="M9329" s="12">
        <f>tItens[[#This Row],[Valor]]*(1-tItens[[#This Row],[Desconto]])</f>
        <v>97.591782673722932</v>
      </c>
      <c r="N9329" t="str">
        <f>IFERROR(INDEX(tProdutos[Foco],MATCH(tItens[[#This Row],[Produto]],tProdutos[Produto],0)),"Não")</f>
        <v>Não</v>
      </c>
      <c r="O9329" t="str">
        <f>IFERROR(INDEX(tEditais[SRP],MATCH(tItens[[#This Row],[Edital]],tEditais[Edital],0)),"Não")</f>
        <v>Não</v>
      </c>
      <c r="P9329" s="4">
        <f>IF(COUNTIFS(INDEX(tItens[Edital],1):tItens[[#This Row],[Edital]],tItens[[#This Row],[Edital]],INDEX(tItens[Produto],1):tItens[[#This Row],[Produto]],tItens[[#This Row],[Produto]])=1,1,0)</f>
        <v>1</v>
      </c>
    </row>
    <row r="9330" spans="1:16" x14ac:dyDescent="0.25">
      <c r="A9330" t="s">
        <v>3197</v>
      </c>
      <c r="B9330">
        <v>2288018</v>
      </c>
      <c r="C9330" t="s">
        <v>11628</v>
      </c>
      <c r="D9330" t="s">
        <v>136</v>
      </c>
      <c r="E9330" s="13">
        <v>20</v>
      </c>
      <c r="F9330" s="12">
        <v>8.8000000000000007</v>
      </c>
      <c r="G9330" t="str">
        <f>IFERROR(INDEX(tEditais[Órgão],MATCH(tItens[[#This Row],[Edital]],tEditais[Edital],0)),"")</f>
        <v>UNIVERSIDADE DE TAUBATE</v>
      </c>
      <c r="H9330" t="str">
        <f>IFERROR(INDEX(tEditais[UF],MATCH(tItens[[#This Row],[Edital]],tEditais[Edital],0)),"")</f>
        <v>SP</v>
      </c>
      <c r="I9330" s="11">
        <f>IFERROR(INDEX(tEditais[Encerramento],MATCH(tItens[[#This Row],[Edital]],tEditais[Edital],0)),"")</f>
        <v>46314.395833333336</v>
      </c>
      <c r="J9330" t="str">
        <f>IFERROR(INDEX(tProdutos[Classe],MATCH(tItens[[#This Row],[Produto]],tProdutos[Produto],0)),"produto não cadastrado")</f>
        <v>DISPUTADO</v>
      </c>
      <c r="K9330" s="12">
        <f>tItens[[#This Row],[Qtd]]*tItens[[#This Row],[Vlr unit]]</f>
        <v>176</v>
      </c>
      <c r="L9330" s="6">
        <f>IFERROR(IF(INDEX(tProdutos[Desconto homologado],MATCH(tItens[[#This Row],[Produto]],tProdutos[Produto],0))="",DescontoPadrao,INDEX(tProdutos[Desconto homologado],MATCH(tItens[[#This Row],[Produto]],tProdutos[Produto],0))),DescontoPadrao)</f>
        <v>0.330646209370899</v>
      </c>
      <c r="M9330" s="12">
        <f>tItens[[#This Row],[Valor]]*(1-tItens[[#This Row],[Desconto]])</f>
        <v>117.80626715072177</v>
      </c>
      <c r="N9330" t="str">
        <f>IFERROR(INDEX(tProdutos[Foco],MATCH(tItens[[#This Row],[Produto]],tProdutos[Produto],0)),"Não")</f>
        <v>Não</v>
      </c>
      <c r="O9330" t="str">
        <f>IFERROR(INDEX(tEditais[SRP],MATCH(tItens[[#This Row],[Edital]],tEditais[Edital],0)),"Não")</f>
        <v>Não</v>
      </c>
      <c r="P9330" s="4">
        <f>IF(COUNTIFS(INDEX(tItens[Edital],1):tItens[[#This Row],[Edital]],tItens[[#This Row],[Edital]],INDEX(tItens[Produto],1):tItens[[#This Row],[Produto]],tItens[[#This Row],[Produto]])=1,1,0)</f>
        <v>0</v>
      </c>
    </row>
    <row r="9331" spans="1:16" x14ac:dyDescent="0.25">
      <c r="A9331" t="s">
        <v>3197</v>
      </c>
      <c r="B9331">
        <v>2288022</v>
      </c>
      <c r="C9331" t="s">
        <v>11629</v>
      </c>
      <c r="D9331" t="s">
        <v>279</v>
      </c>
      <c r="E9331" s="13">
        <v>168</v>
      </c>
      <c r="F9331" s="12">
        <v>1.1000000000000001</v>
      </c>
      <c r="G9331" t="str">
        <f>IFERROR(INDEX(tEditais[Órgão],MATCH(tItens[[#This Row],[Edital]],tEditais[Edital],0)),"")</f>
        <v>UNIVERSIDADE DE TAUBATE</v>
      </c>
      <c r="H9331" t="str">
        <f>IFERROR(INDEX(tEditais[UF],MATCH(tItens[[#This Row],[Edital]],tEditais[Edital],0)),"")</f>
        <v>SP</v>
      </c>
      <c r="I9331" s="11">
        <f>IFERROR(INDEX(tEditais[Encerramento],MATCH(tItens[[#This Row],[Edital]],tEditais[Edital],0)),"")</f>
        <v>46314.395833333336</v>
      </c>
      <c r="J9331" t="str">
        <f>IFERROR(INDEX(tProdutos[Classe],MATCH(tItens[[#This Row],[Produto]],tProdutos[Produto],0)),"produto não cadastrado")</f>
        <v>FORA</v>
      </c>
      <c r="K9331" s="12">
        <f>tItens[[#This Row],[Qtd]]*tItens[[#This Row],[Vlr unit]]</f>
        <v>184.8</v>
      </c>
      <c r="L9331" s="6">
        <f>IFERROR(IF(INDEX(tProdutos[Desconto homologado],MATCH(tItens[[#This Row],[Produto]],tProdutos[Produto],0))="",DescontoPadrao,INDEX(tProdutos[Desconto homologado],MATCH(tItens[[#This Row],[Produto]],tProdutos[Produto],0))),DescontoPadrao)</f>
        <v>0.28909090909090901</v>
      </c>
      <c r="M9331" s="12">
        <f>tItens[[#This Row],[Valor]]*(1-tItens[[#This Row],[Desconto]])</f>
        <v>131.376</v>
      </c>
      <c r="N9331" t="str">
        <f>IFERROR(INDEX(tProdutos[Foco],MATCH(tItens[[#This Row],[Produto]],tProdutos[Produto],0)),"Não")</f>
        <v>Não</v>
      </c>
      <c r="O9331" t="str">
        <f>IFERROR(INDEX(tEditais[SRP],MATCH(tItens[[#This Row],[Edital]],tEditais[Edital],0)),"Não")</f>
        <v>Não</v>
      </c>
      <c r="P9331" s="4">
        <f>IF(COUNTIFS(INDEX(tItens[Edital],1):tItens[[#This Row],[Edital]],tItens[[#This Row],[Edital]],INDEX(tItens[Produto],1):tItens[[#This Row],[Produto]],tItens[[#This Row],[Produto]])=1,1,0)</f>
        <v>0</v>
      </c>
    </row>
    <row r="9332" spans="1:16" x14ac:dyDescent="0.25">
      <c r="A9332" t="s">
        <v>3197</v>
      </c>
      <c r="B9332">
        <v>2288025</v>
      </c>
      <c r="C9332" t="s">
        <v>11630</v>
      </c>
      <c r="D9332" t="s">
        <v>281</v>
      </c>
      <c r="E9332" s="13">
        <v>2</v>
      </c>
      <c r="F9332" s="12">
        <v>23.9</v>
      </c>
      <c r="G9332" t="str">
        <f>IFERROR(INDEX(tEditais[Órgão],MATCH(tItens[[#This Row],[Edital]],tEditais[Edital],0)),"")</f>
        <v>UNIVERSIDADE DE TAUBATE</v>
      </c>
      <c r="H9332" t="str">
        <f>IFERROR(INDEX(tEditais[UF],MATCH(tItens[[#This Row],[Edital]],tEditais[Edital],0)),"")</f>
        <v>SP</v>
      </c>
      <c r="I9332" s="11">
        <f>IFERROR(INDEX(tEditais[Encerramento],MATCH(tItens[[#This Row],[Edital]],tEditais[Edital],0)),"")</f>
        <v>46314.395833333336</v>
      </c>
      <c r="J9332" t="str">
        <f>IFERROR(INDEX(tProdutos[Classe],MATCH(tItens[[#This Row],[Produto]],tProdutos[Produto],0)),"produto não cadastrado")</f>
        <v>DISPUTADO</v>
      </c>
      <c r="K9332" s="12">
        <f>tItens[[#This Row],[Qtd]]*tItens[[#This Row],[Vlr unit]]</f>
        <v>47.8</v>
      </c>
      <c r="L9332" s="6">
        <f>IFERROR(IF(INDEX(tProdutos[Desconto homologado],MATCH(tItens[[#This Row],[Produto]],tProdutos[Produto],0))="",DescontoPadrao,INDEX(tProdutos[Desconto homologado],MATCH(tItens[[#This Row],[Produto]],tProdutos[Produto],0))),DescontoPadrao)</f>
        <v>0.42461538461538501</v>
      </c>
      <c r="M9332" s="12">
        <f>tItens[[#This Row],[Valor]]*(1-tItens[[#This Row],[Desconto]])</f>
        <v>27.503384615384594</v>
      </c>
      <c r="N9332" t="str">
        <f>IFERROR(INDEX(tProdutos[Foco],MATCH(tItens[[#This Row],[Produto]],tProdutos[Produto],0)),"Não")</f>
        <v>Não</v>
      </c>
      <c r="O9332" t="str">
        <f>IFERROR(INDEX(tEditais[SRP],MATCH(tItens[[#This Row],[Edital]],tEditais[Edital],0)),"Não")</f>
        <v>Não</v>
      </c>
      <c r="P9332" s="4">
        <f>IF(COUNTIFS(INDEX(tItens[Edital],1):tItens[[#This Row],[Edital]],tItens[[#This Row],[Edital]],INDEX(tItens[Produto],1):tItens[[#This Row],[Produto]],tItens[[#This Row],[Produto]])=1,1,0)</f>
        <v>0</v>
      </c>
    </row>
    <row r="9333" spans="1:16" x14ac:dyDescent="0.25">
      <c r="A9333" t="s">
        <v>3197</v>
      </c>
      <c r="B9333">
        <v>2288026</v>
      </c>
      <c r="C9333" t="s">
        <v>11631</v>
      </c>
      <c r="D9333" t="s">
        <v>265</v>
      </c>
      <c r="E9333" s="13">
        <v>2</v>
      </c>
      <c r="F9333" s="12">
        <v>35.799999999999997</v>
      </c>
      <c r="G9333" t="str">
        <f>IFERROR(INDEX(tEditais[Órgão],MATCH(tItens[[#This Row],[Edital]],tEditais[Edital],0)),"")</f>
        <v>UNIVERSIDADE DE TAUBATE</v>
      </c>
      <c r="H9333" t="str">
        <f>IFERROR(INDEX(tEditais[UF],MATCH(tItens[[#This Row],[Edital]],tEditais[Edital],0)),"")</f>
        <v>SP</v>
      </c>
      <c r="I9333" s="11">
        <f>IFERROR(INDEX(tEditais[Encerramento],MATCH(tItens[[#This Row],[Edital]],tEditais[Edital],0)),"")</f>
        <v>46314.395833333336</v>
      </c>
      <c r="J9333" t="str">
        <f>IFERROR(INDEX(tProdutos[Classe],MATCH(tItens[[#This Row],[Produto]],tProdutos[Produto],0)),"produto não cadastrado")</f>
        <v>DISPUTADO</v>
      </c>
      <c r="K9333" s="12">
        <f>tItens[[#This Row],[Qtd]]*tItens[[#This Row],[Vlr unit]]</f>
        <v>71.599999999999994</v>
      </c>
      <c r="L9333" s="6">
        <f>IFERROR(IF(INDEX(tProdutos[Desconto homologado],MATCH(tItens[[#This Row],[Produto]],tProdutos[Produto],0))="",DescontoPadrao,INDEX(tProdutos[Desconto homologado],MATCH(tItens[[#This Row],[Produto]],tProdutos[Produto],0))),DescontoPadrao)</f>
        <v>0.377587663709337</v>
      </c>
      <c r="M9333" s="12">
        <f>tItens[[#This Row],[Valor]]*(1-tItens[[#This Row],[Desconto]])</f>
        <v>44.564723278411471</v>
      </c>
      <c r="N9333" t="str">
        <f>IFERROR(INDEX(tProdutos[Foco],MATCH(tItens[[#This Row],[Produto]],tProdutos[Produto],0)),"Não")</f>
        <v>Não</v>
      </c>
      <c r="O9333" t="str">
        <f>IFERROR(INDEX(tEditais[SRP],MATCH(tItens[[#This Row],[Edital]],tEditais[Edital],0)),"Não")</f>
        <v>Não</v>
      </c>
      <c r="P9333" s="4">
        <f>IF(COUNTIFS(INDEX(tItens[Edital],1):tItens[[#This Row],[Edital]],tItens[[#This Row],[Edital]],INDEX(tItens[Produto],1):tItens[[#This Row],[Produto]],tItens[[#This Row],[Produto]])=1,1,0)</f>
        <v>0</v>
      </c>
    </row>
    <row r="9334" spans="1:16" x14ac:dyDescent="0.25">
      <c r="A9334" t="s">
        <v>3197</v>
      </c>
      <c r="B9334">
        <v>2288027</v>
      </c>
      <c r="C9334" t="s">
        <v>11632</v>
      </c>
      <c r="D9334" t="s">
        <v>349</v>
      </c>
      <c r="E9334" s="13">
        <v>4</v>
      </c>
      <c r="F9334" s="12">
        <v>37.06</v>
      </c>
      <c r="G9334" t="str">
        <f>IFERROR(INDEX(tEditais[Órgão],MATCH(tItens[[#This Row],[Edital]],tEditais[Edital],0)),"")</f>
        <v>UNIVERSIDADE DE TAUBATE</v>
      </c>
      <c r="H9334" t="str">
        <f>IFERROR(INDEX(tEditais[UF],MATCH(tItens[[#This Row],[Edital]],tEditais[Edital],0)),"")</f>
        <v>SP</v>
      </c>
      <c r="I9334" s="11">
        <f>IFERROR(INDEX(tEditais[Encerramento],MATCH(tItens[[#This Row],[Edital]],tEditais[Edital],0)),"")</f>
        <v>46314.395833333336</v>
      </c>
      <c r="J9334" t="str">
        <f>IFERROR(INDEX(tProdutos[Classe],MATCH(tItens[[#This Row],[Produto]],tProdutos[Produto],0)),"produto não cadastrado")</f>
        <v>FORA</v>
      </c>
      <c r="K9334" s="12">
        <f>tItens[[#This Row],[Qtd]]*tItens[[#This Row],[Vlr unit]]</f>
        <v>148.24</v>
      </c>
      <c r="L9334" s="6">
        <f>IFERROR(IF(INDEX(tProdutos[Desconto homologado],MATCH(tItens[[#This Row],[Produto]],tProdutos[Produto],0))="",DescontoPadrao,INDEX(tProdutos[Desconto homologado],MATCH(tItens[[#This Row],[Produto]],tProdutos[Produto],0))),DescontoPadrao)</f>
        <v>0.38826228254635797</v>
      </c>
      <c r="M9334" s="12">
        <f>tItens[[#This Row],[Valor]]*(1-tItens[[#This Row],[Desconto]])</f>
        <v>90.683999235327903</v>
      </c>
      <c r="N9334" t="str">
        <f>IFERROR(INDEX(tProdutos[Foco],MATCH(tItens[[#This Row],[Produto]],tProdutos[Produto],0)),"Não")</f>
        <v>Não</v>
      </c>
      <c r="O9334" t="str">
        <f>IFERROR(INDEX(tEditais[SRP],MATCH(tItens[[#This Row],[Edital]],tEditais[Edital],0)),"Não")</f>
        <v>Não</v>
      </c>
      <c r="P9334" s="4">
        <f>IF(COUNTIFS(INDEX(tItens[Edital],1):tItens[[#This Row],[Edital]],tItens[[#This Row],[Edital]],INDEX(tItens[Produto],1):tItens[[#This Row],[Produto]],tItens[[#This Row],[Produto]])=1,1,0)</f>
        <v>1</v>
      </c>
    </row>
    <row r="9335" spans="1:16" x14ac:dyDescent="0.25">
      <c r="A9335" t="s">
        <v>3197</v>
      </c>
      <c r="B9335">
        <v>2288034</v>
      </c>
      <c r="C9335" t="s">
        <v>11633</v>
      </c>
      <c r="D9335" t="s">
        <v>269</v>
      </c>
      <c r="E9335" s="13">
        <v>10</v>
      </c>
      <c r="F9335" s="12">
        <v>87.99</v>
      </c>
      <c r="G9335" t="str">
        <f>IFERROR(INDEX(tEditais[Órgão],MATCH(tItens[[#This Row],[Edital]],tEditais[Edital],0)),"")</f>
        <v>UNIVERSIDADE DE TAUBATE</v>
      </c>
      <c r="H9335" t="str">
        <f>IFERROR(INDEX(tEditais[UF],MATCH(tItens[[#This Row],[Edital]],tEditais[Edital],0)),"")</f>
        <v>SP</v>
      </c>
      <c r="I9335" s="11">
        <f>IFERROR(INDEX(tEditais[Encerramento],MATCH(tItens[[#This Row],[Edital]],tEditais[Edital],0)),"")</f>
        <v>46314.395833333336</v>
      </c>
      <c r="J9335" t="str">
        <f>IFERROR(INDEX(tProdutos[Classe],MATCH(tItens[[#This Row],[Produto]],tProdutos[Produto],0)),"produto não cadastrado")</f>
        <v>FORA</v>
      </c>
      <c r="K9335" s="12">
        <f>tItens[[#This Row],[Qtd]]*tItens[[#This Row],[Vlr unit]]</f>
        <v>879.9</v>
      </c>
      <c r="L9335" s="6">
        <f>IFERROR(IF(INDEX(tProdutos[Desconto homologado],MATCH(tItens[[#This Row],[Produto]],tProdutos[Produto],0))="",DescontoPadrao,INDEX(tProdutos[Desconto homologado],MATCH(tItens[[#This Row],[Produto]],tProdutos[Produto],0))),DescontoPadrao)</f>
        <v>0.28935117103332197</v>
      </c>
      <c r="M9335" s="12">
        <f>tItens[[#This Row],[Valor]]*(1-tItens[[#This Row],[Desconto]])</f>
        <v>625.29990460777992</v>
      </c>
      <c r="N9335" t="str">
        <f>IFERROR(INDEX(tProdutos[Foco],MATCH(tItens[[#This Row],[Produto]],tProdutos[Produto],0)),"Não")</f>
        <v>Não</v>
      </c>
      <c r="O9335" t="str">
        <f>IFERROR(INDEX(tEditais[SRP],MATCH(tItens[[#This Row],[Edital]],tEditais[Edital],0)),"Não")</f>
        <v>Não</v>
      </c>
      <c r="P9335" s="4">
        <f>IF(COUNTIFS(INDEX(tItens[Edital],1):tItens[[#This Row],[Edital]],tItens[[#This Row],[Edital]],INDEX(tItens[Produto],1):tItens[[#This Row],[Produto]],tItens[[#This Row],[Produto]])=1,1,0)</f>
        <v>1</v>
      </c>
    </row>
    <row r="9336" spans="1:16" x14ac:dyDescent="0.25">
      <c r="A9336" t="s">
        <v>3197</v>
      </c>
      <c r="B9336">
        <v>2288035</v>
      </c>
      <c r="C9336" t="s">
        <v>11634</v>
      </c>
      <c r="D9336" t="s">
        <v>269</v>
      </c>
      <c r="E9336" s="13">
        <v>10</v>
      </c>
      <c r="F9336" s="12">
        <v>62.99</v>
      </c>
      <c r="G9336" t="str">
        <f>IFERROR(INDEX(tEditais[Órgão],MATCH(tItens[[#This Row],[Edital]],tEditais[Edital],0)),"")</f>
        <v>UNIVERSIDADE DE TAUBATE</v>
      </c>
      <c r="H9336" t="str">
        <f>IFERROR(INDEX(tEditais[UF],MATCH(tItens[[#This Row],[Edital]],tEditais[Edital],0)),"")</f>
        <v>SP</v>
      </c>
      <c r="I9336" s="11">
        <f>IFERROR(INDEX(tEditais[Encerramento],MATCH(tItens[[#This Row],[Edital]],tEditais[Edital],0)),"")</f>
        <v>46314.395833333336</v>
      </c>
      <c r="J9336" t="str">
        <f>IFERROR(INDEX(tProdutos[Classe],MATCH(tItens[[#This Row],[Produto]],tProdutos[Produto],0)),"produto não cadastrado")</f>
        <v>FORA</v>
      </c>
      <c r="K9336" s="12">
        <f>tItens[[#This Row],[Qtd]]*tItens[[#This Row],[Vlr unit]]</f>
        <v>629.9</v>
      </c>
      <c r="L9336" s="6">
        <f>IFERROR(IF(INDEX(tProdutos[Desconto homologado],MATCH(tItens[[#This Row],[Produto]],tProdutos[Produto],0))="",DescontoPadrao,INDEX(tProdutos[Desconto homologado],MATCH(tItens[[#This Row],[Produto]],tProdutos[Produto],0))),DescontoPadrao)</f>
        <v>0.28935117103332197</v>
      </c>
      <c r="M9336" s="12">
        <f>tItens[[#This Row],[Valor]]*(1-tItens[[#This Row],[Desconto]])</f>
        <v>447.63769736611044</v>
      </c>
      <c r="N9336" t="str">
        <f>IFERROR(INDEX(tProdutos[Foco],MATCH(tItens[[#This Row],[Produto]],tProdutos[Produto],0)),"Não")</f>
        <v>Não</v>
      </c>
      <c r="O9336" t="str">
        <f>IFERROR(INDEX(tEditais[SRP],MATCH(tItens[[#This Row],[Edital]],tEditais[Edital],0)),"Não")</f>
        <v>Não</v>
      </c>
      <c r="P9336" s="4">
        <f>IF(COUNTIFS(INDEX(tItens[Edital],1):tItens[[#This Row],[Edital]],tItens[[#This Row],[Edital]],INDEX(tItens[Produto],1):tItens[[#This Row],[Produto]],tItens[[#This Row],[Produto]])=1,1,0)</f>
        <v>0</v>
      </c>
    </row>
    <row r="9337" spans="1:16" x14ac:dyDescent="0.25">
      <c r="A9337" t="s">
        <v>3197</v>
      </c>
      <c r="B9337">
        <v>2288036</v>
      </c>
      <c r="C9337" t="s">
        <v>11635</v>
      </c>
      <c r="D9337" t="s">
        <v>494</v>
      </c>
      <c r="E9337" s="13">
        <v>5</v>
      </c>
      <c r="F9337" s="12">
        <v>233.75</v>
      </c>
      <c r="G9337" t="str">
        <f>IFERROR(INDEX(tEditais[Órgão],MATCH(tItens[[#This Row],[Edital]],tEditais[Edital],0)),"")</f>
        <v>UNIVERSIDADE DE TAUBATE</v>
      </c>
      <c r="H9337" t="str">
        <f>IFERROR(INDEX(tEditais[UF],MATCH(tItens[[#This Row],[Edital]],tEditais[Edital],0)),"")</f>
        <v>SP</v>
      </c>
      <c r="I9337" s="11">
        <f>IFERROR(INDEX(tEditais[Encerramento],MATCH(tItens[[#This Row],[Edital]],tEditais[Edital],0)),"")</f>
        <v>46314.395833333336</v>
      </c>
      <c r="J9337" t="str">
        <f>IFERROR(INDEX(tProdutos[Classe],MATCH(tItens[[#This Row],[Produto]],tProdutos[Produto],0)),"produto não cadastrado")</f>
        <v>FILA REBASE</v>
      </c>
      <c r="K9337" s="12">
        <f>tItens[[#This Row],[Qtd]]*tItens[[#This Row],[Vlr unit]]</f>
        <v>1168.75</v>
      </c>
      <c r="L9337" s="6">
        <f>IFERROR(IF(INDEX(tProdutos[Desconto homologado],MATCH(tItens[[#This Row],[Produto]],tProdutos[Produto],0))="",DescontoPadrao,INDEX(tProdutos[Desconto homologado],MATCH(tItens[[#This Row],[Produto]],tProdutos[Produto],0))),DescontoPadrao)</f>
        <v>0.253736324829619</v>
      </c>
      <c r="M9337" s="12">
        <f>tItens[[#This Row],[Valor]]*(1-tItens[[#This Row],[Desconto]])</f>
        <v>872.19567035538284</v>
      </c>
      <c r="N9337" t="str">
        <f>IFERROR(INDEX(tProdutos[Foco],MATCH(tItens[[#This Row],[Produto]],tProdutos[Produto],0)),"Não")</f>
        <v>Não</v>
      </c>
      <c r="O9337" t="str">
        <f>IFERROR(INDEX(tEditais[SRP],MATCH(tItens[[#This Row],[Edital]],tEditais[Edital],0)),"Não")</f>
        <v>Não</v>
      </c>
      <c r="P9337" s="4">
        <f>IF(COUNTIFS(INDEX(tItens[Edital],1):tItens[[#This Row],[Edital]],tItens[[#This Row],[Edital]],INDEX(tItens[Produto],1):tItens[[#This Row],[Produto]],tItens[[#This Row],[Produto]])=1,1,0)</f>
        <v>0</v>
      </c>
    </row>
    <row r="9338" spans="1:16" x14ac:dyDescent="0.25">
      <c r="A9338" t="s">
        <v>3197</v>
      </c>
      <c r="B9338">
        <v>2288043</v>
      </c>
      <c r="C9338" t="s">
        <v>11636</v>
      </c>
      <c r="D9338" t="s">
        <v>343</v>
      </c>
      <c r="E9338" s="13">
        <v>550</v>
      </c>
      <c r="F9338" s="12">
        <v>2.65</v>
      </c>
      <c r="G9338" t="str">
        <f>IFERROR(INDEX(tEditais[Órgão],MATCH(tItens[[#This Row],[Edital]],tEditais[Edital],0)),"")</f>
        <v>UNIVERSIDADE DE TAUBATE</v>
      </c>
      <c r="H9338" t="str">
        <f>IFERROR(INDEX(tEditais[UF],MATCH(tItens[[#This Row],[Edital]],tEditais[Edital],0)),"")</f>
        <v>SP</v>
      </c>
      <c r="I9338" s="11">
        <f>IFERROR(INDEX(tEditais[Encerramento],MATCH(tItens[[#This Row],[Edital]],tEditais[Edital],0)),"")</f>
        <v>46314.395833333336</v>
      </c>
      <c r="J9338" t="str">
        <f>IFERROR(INDEX(tProdutos[Classe],MATCH(tItens[[#This Row],[Produto]],tProdutos[Produto],0)),"produto não cadastrado")</f>
        <v>FORA</v>
      </c>
      <c r="K9338" s="12">
        <f>tItens[[#This Row],[Qtd]]*tItens[[#This Row],[Vlr unit]]</f>
        <v>1457.5</v>
      </c>
      <c r="L9338" s="6">
        <f>IFERROR(IF(INDEX(tProdutos[Desconto homologado],MATCH(tItens[[#This Row],[Produto]],tProdutos[Produto],0))="",DescontoPadrao,INDEX(tProdutos[Desconto homologado],MATCH(tItens[[#This Row],[Produto]],tProdutos[Produto],0))),DescontoPadrao)</f>
        <v>0.35412234042553198</v>
      </c>
      <c r="M9338" s="12">
        <f>tItens[[#This Row],[Valor]]*(1-tItens[[#This Row],[Desconto]])</f>
        <v>941.36668882978711</v>
      </c>
      <c r="N9338" t="str">
        <f>IFERROR(INDEX(tProdutos[Foco],MATCH(tItens[[#This Row],[Produto]],tProdutos[Produto],0)),"Não")</f>
        <v>Não</v>
      </c>
      <c r="O9338" t="str">
        <f>IFERROR(INDEX(tEditais[SRP],MATCH(tItens[[#This Row],[Edital]],tEditais[Edital],0)),"Não")</f>
        <v>Não</v>
      </c>
      <c r="P9338" s="4">
        <f>IF(COUNTIFS(INDEX(tItens[Edital],1):tItens[[#This Row],[Edital]],tItens[[#This Row],[Edital]],INDEX(tItens[Produto],1):tItens[[#This Row],[Produto]],tItens[[#This Row],[Produto]])=1,1,0)</f>
        <v>0</v>
      </c>
    </row>
    <row r="9339" spans="1:16" x14ac:dyDescent="0.25">
      <c r="A9339" t="s">
        <v>3197</v>
      </c>
      <c r="B9339">
        <v>2288044</v>
      </c>
      <c r="C9339" t="s">
        <v>11637</v>
      </c>
      <c r="D9339" t="s">
        <v>343</v>
      </c>
      <c r="E9339" s="13">
        <v>300</v>
      </c>
      <c r="F9339" s="12">
        <v>2.85</v>
      </c>
      <c r="G9339" t="str">
        <f>IFERROR(INDEX(tEditais[Órgão],MATCH(tItens[[#This Row],[Edital]],tEditais[Edital],0)),"")</f>
        <v>UNIVERSIDADE DE TAUBATE</v>
      </c>
      <c r="H9339" t="str">
        <f>IFERROR(INDEX(tEditais[UF],MATCH(tItens[[#This Row],[Edital]],tEditais[Edital],0)),"")</f>
        <v>SP</v>
      </c>
      <c r="I9339" s="11">
        <f>IFERROR(INDEX(tEditais[Encerramento],MATCH(tItens[[#This Row],[Edital]],tEditais[Edital],0)),"")</f>
        <v>46314.395833333336</v>
      </c>
      <c r="J9339" t="str">
        <f>IFERROR(INDEX(tProdutos[Classe],MATCH(tItens[[#This Row],[Produto]],tProdutos[Produto],0)),"produto não cadastrado")</f>
        <v>FORA</v>
      </c>
      <c r="K9339" s="12">
        <f>tItens[[#This Row],[Qtd]]*tItens[[#This Row],[Vlr unit]]</f>
        <v>855</v>
      </c>
      <c r="L9339" s="6">
        <f>IFERROR(IF(INDEX(tProdutos[Desconto homologado],MATCH(tItens[[#This Row],[Produto]],tProdutos[Produto],0))="",DescontoPadrao,INDEX(tProdutos[Desconto homologado],MATCH(tItens[[#This Row],[Produto]],tProdutos[Produto],0))),DescontoPadrao)</f>
        <v>0.35412234042553198</v>
      </c>
      <c r="M9339" s="12">
        <f>tItens[[#This Row],[Valor]]*(1-tItens[[#This Row],[Desconto]])</f>
        <v>552.22539893617011</v>
      </c>
      <c r="N9339" t="str">
        <f>IFERROR(INDEX(tProdutos[Foco],MATCH(tItens[[#This Row],[Produto]],tProdutos[Produto],0)),"Não")</f>
        <v>Não</v>
      </c>
      <c r="O9339" t="str">
        <f>IFERROR(INDEX(tEditais[SRP],MATCH(tItens[[#This Row],[Edital]],tEditais[Edital],0)),"Não")</f>
        <v>Não</v>
      </c>
      <c r="P9339" s="4">
        <f>IF(COUNTIFS(INDEX(tItens[Edital],1):tItens[[#This Row],[Edital]],tItens[[#This Row],[Edital]],INDEX(tItens[Produto],1):tItens[[#This Row],[Produto]],tItens[[#This Row],[Produto]])=1,1,0)</f>
        <v>0</v>
      </c>
    </row>
    <row r="9340" spans="1:16" x14ac:dyDescent="0.25">
      <c r="A9340" t="s">
        <v>3197</v>
      </c>
      <c r="B9340">
        <v>2288062</v>
      </c>
      <c r="C9340" t="s">
        <v>11638</v>
      </c>
      <c r="D9340" t="s">
        <v>201</v>
      </c>
      <c r="E9340" s="13">
        <v>2</v>
      </c>
      <c r="F9340" s="12">
        <v>60</v>
      </c>
      <c r="G9340" t="str">
        <f>IFERROR(INDEX(tEditais[Órgão],MATCH(tItens[[#This Row],[Edital]],tEditais[Edital],0)),"")</f>
        <v>UNIVERSIDADE DE TAUBATE</v>
      </c>
      <c r="H9340" t="str">
        <f>IFERROR(INDEX(tEditais[UF],MATCH(tItens[[#This Row],[Edital]],tEditais[Edital],0)),"")</f>
        <v>SP</v>
      </c>
      <c r="I9340" s="11">
        <f>IFERROR(INDEX(tEditais[Encerramento],MATCH(tItens[[#This Row],[Edital]],tEditais[Edital],0)),"")</f>
        <v>46314.395833333336</v>
      </c>
      <c r="J9340" t="str">
        <f>IFERROR(INDEX(tProdutos[Classe],MATCH(tItens[[#This Row],[Produto]],tProdutos[Produto],0)),"produto não cadastrado")</f>
        <v>DISPUTADO</v>
      </c>
      <c r="K9340" s="12">
        <f>tItens[[#This Row],[Qtd]]*tItens[[#This Row],[Vlr unit]]</f>
        <v>120</v>
      </c>
      <c r="L9340" s="6">
        <f>IFERROR(IF(INDEX(tProdutos[Desconto homologado],MATCH(tItens[[#This Row],[Produto]],tProdutos[Produto],0))="",DescontoPadrao,INDEX(tProdutos[Desconto homologado],MATCH(tItens[[#This Row],[Produto]],tProdutos[Produto],0))),DescontoPadrao)</f>
        <v>0.27203065134099602</v>
      </c>
      <c r="M9340" s="12">
        <f>tItens[[#This Row],[Valor]]*(1-tItens[[#This Row],[Desconto]])</f>
        <v>87.356321839080479</v>
      </c>
      <c r="N9340" t="str">
        <f>IFERROR(INDEX(tProdutos[Foco],MATCH(tItens[[#This Row],[Produto]],tProdutos[Produto],0)),"Não")</f>
        <v>Não</v>
      </c>
      <c r="O9340" t="str">
        <f>IFERROR(INDEX(tEditais[SRP],MATCH(tItens[[#This Row],[Edital]],tEditais[Edital],0)),"Não")</f>
        <v>Não</v>
      </c>
      <c r="P9340" s="4">
        <f>IF(COUNTIFS(INDEX(tItens[Edital],1):tItens[[#This Row],[Edital]],tItens[[#This Row],[Edital]],INDEX(tItens[Produto],1):tItens[[#This Row],[Produto]],tItens[[#This Row],[Produto]])=1,1,0)</f>
        <v>1</v>
      </c>
    </row>
    <row r="9341" spans="1:16" x14ac:dyDescent="0.25">
      <c r="A9341" t="s">
        <v>3197</v>
      </c>
      <c r="B9341">
        <v>2288063</v>
      </c>
      <c r="C9341" t="s">
        <v>11639</v>
      </c>
      <c r="D9341" t="s">
        <v>201</v>
      </c>
      <c r="E9341" s="13">
        <v>100</v>
      </c>
      <c r="F9341" s="12">
        <v>1.1000000000000001</v>
      </c>
      <c r="G9341" t="str">
        <f>IFERROR(INDEX(tEditais[Órgão],MATCH(tItens[[#This Row],[Edital]],tEditais[Edital],0)),"")</f>
        <v>UNIVERSIDADE DE TAUBATE</v>
      </c>
      <c r="H9341" t="str">
        <f>IFERROR(INDEX(tEditais[UF],MATCH(tItens[[#This Row],[Edital]],tEditais[Edital],0)),"")</f>
        <v>SP</v>
      </c>
      <c r="I9341" s="11">
        <f>IFERROR(INDEX(tEditais[Encerramento],MATCH(tItens[[#This Row],[Edital]],tEditais[Edital],0)),"")</f>
        <v>46314.395833333336</v>
      </c>
      <c r="J9341" t="str">
        <f>IFERROR(INDEX(tProdutos[Classe],MATCH(tItens[[#This Row],[Produto]],tProdutos[Produto],0)),"produto não cadastrado")</f>
        <v>DISPUTADO</v>
      </c>
      <c r="K9341" s="12">
        <f>tItens[[#This Row],[Qtd]]*tItens[[#This Row],[Vlr unit]]</f>
        <v>110.00000000000001</v>
      </c>
      <c r="L9341" s="6">
        <f>IFERROR(IF(INDEX(tProdutos[Desconto homologado],MATCH(tItens[[#This Row],[Produto]],tProdutos[Produto],0))="",DescontoPadrao,INDEX(tProdutos[Desconto homologado],MATCH(tItens[[#This Row],[Produto]],tProdutos[Produto],0))),DescontoPadrao)</f>
        <v>0.27203065134099602</v>
      </c>
      <c r="M9341" s="12">
        <f>tItens[[#This Row],[Valor]]*(1-tItens[[#This Row],[Desconto]])</f>
        <v>80.076628352490445</v>
      </c>
      <c r="N9341" t="str">
        <f>IFERROR(INDEX(tProdutos[Foco],MATCH(tItens[[#This Row],[Produto]],tProdutos[Produto],0)),"Não")</f>
        <v>Não</v>
      </c>
      <c r="O9341" t="str">
        <f>IFERROR(INDEX(tEditais[SRP],MATCH(tItens[[#This Row],[Edital]],tEditais[Edital],0)),"Não")</f>
        <v>Não</v>
      </c>
      <c r="P9341" s="4">
        <f>IF(COUNTIFS(INDEX(tItens[Edital],1):tItens[[#This Row],[Edital]],tItens[[#This Row],[Edital]],INDEX(tItens[Produto],1):tItens[[#This Row],[Produto]],tItens[[#This Row],[Produto]])=1,1,0)</f>
        <v>0</v>
      </c>
    </row>
    <row r="9342" spans="1:16" x14ac:dyDescent="0.25">
      <c r="A9342" t="s">
        <v>3197</v>
      </c>
      <c r="B9342">
        <v>2288068</v>
      </c>
      <c r="C9342" t="s">
        <v>11640</v>
      </c>
      <c r="D9342" t="s">
        <v>351</v>
      </c>
      <c r="E9342" s="13">
        <v>480</v>
      </c>
      <c r="F9342" s="12">
        <v>0.51</v>
      </c>
      <c r="G9342" t="str">
        <f>IFERROR(INDEX(tEditais[Órgão],MATCH(tItens[[#This Row],[Edital]],tEditais[Edital],0)),"")</f>
        <v>UNIVERSIDADE DE TAUBATE</v>
      </c>
      <c r="H9342" t="str">
        <f>IFERROR(INDEX(tEditais[UF],MATCH(tItens[[#This Row],[Edital]],tEditais[Edital],0)),"")</f>
        <v>SP</v>
      </c>
      <c r="I9342" s="11">
        <f>IFERROR(INDEX(tEditais[Encerramento],MATCH(tItens[[#This Row],[Edital]],tEditais[Edital],0)),"")</f>
        <v>46314.395833333336</v>
      </c>
      <c r="J9342" t="str">
        <f>IFERROR(INDEX(tProdutos[Classe],MATCH(tItens[[#This Row],[Produto]],tProdutos[Produto],0)),"produto não cadastrado")</f>
        <v>FORA</v>
      </c>
      <c r="K9342" s="12">
        <f>tItens[[#This Row],[Qtd]]*tItens[[#This Row],[Vlr unit]]</f>
        <v>244.8</v>
      </c>
      <c r="L9342" s="6">
        <f>IFERROR(IF(INDEX(tProdutos[Desconto homologado],MATCH(tItens[[#This Row],[Produto]],tProdutos[Produto],0))="",DescontoPadrao,INDEX(tProdutos[Desconto homologado],MATCH(tItens[[#This Row],[Produto]],tProdutos[Produto],0))),DescontoPadrao)</f>
        <v>0.33518005540166201</v>
      </c>
      <c r="M9342" s="12">
        <f>tItens[[#This Row],[Valor]]*(1-tItens[[#This Row],[Desconto]])</f>
        <v>162.74792243767317</v>
      </c>
      <c r="N9342" t="str">
        <f>IFERROR(INDEX(tProdutos[Foco],MATCH(tItens[[#This Row],[Produto]],tProdutos[Produto],0)),"Não")</f>
        <v>Não</v>
      </c>
      <c r="O9342" t="str">
        <f>IFERROR(INDEX(tEditais[SRP],MATCH(tItens[[#This Row],[Edital]],tEditais[Edital],0)),"Não")</f>
        <v>Não</v>
      </c>
      <c r="P9342" s="4">
        <f>IF(COUNTIFS(INDEX(tItens[Edital],1):tItens[[#This Row],[Edital]],tItens[[#This Row],[Edital]],INDEX(tItens[Produto],1):tItens[[#This Row],[Produto]],tItens[[#This Row],[Produto]])=1,1,0)</f>
        <v>0</v>
      </c>
    </row>
    <row r="9343" spans="1:16" x14ac:dyDescent="0.25">
      <c r="A9343" t="s">
        <v>3197</v>
      </c>
      <c r="B9343">
        <v>2288069</v>
      </c>
      <c r="C9343" t="s">
        <v>11641</v>
      </c>
      <c r="D9343" t="s">
        <v>351</v>
      </c>
      <c r="E9343" s="13">
        <v>480</v>
      </c>
      <c r="F9343" s="12">
        <v>4.46</v>
      </c>
      <c r="G9343" t="str">
        <f>IFERROR(INDEX(tEditais[Órgão],MATCH(tItens[[#This Row],[Edital]],tEditais[Edital],0)),"")</f>
        <v>UNIVERSIDADE DE TAUBATE</v>
      </c>
      <c r="H9343" t="str">
        <f>IFERROR(INDEX(tEditais[UF],MATCH(tItens[[#This Row],[Edital]],tEditais[Edital],0)),"")</f>
        <v>SP</v>
      </c>
      <c r="I9343" s="11">
        <f>IFERROR(INDEX(tEditais[Encerramento],MATCH(tItens[[#This Row],[Edital]],tEditais[Edital],0)),"")</f>
        <v>46314.395833333336</v>
      </c>
      <c r="J9343" t="str">
        <f>IFERROR(INDEX(tProdutos[Classe],MATCH(tItens[[#This Row],[Produto]],tProdutos[Produto],0)),"produto não cadastrado")</f>
        <v>FORA</v>
      </c>
      <c r="K9343" s="12">
        <f>tItens[[#This Row],[Qtd]]*tItens[[#This Row],[Vlr unit]]</f>
        <v>2140.8000000000002</v>
      </c>
      <c r="L9343" s="6">
        <f>IFERROR(IF(INDEX(tProdutos[Desconto homologado],MATCH(tItens[[#This Row],[Produto]],tProdutos[Produto],0))="",DescontoPadrao,INDEX(tProdutos[Desconto homologado],MATCH(tItens[[#This Row],[Produto]],tProdutos[Produto],0))),DescontoPadrao)</f>
        <v>0.33518005540166201</v>
      </c>
      <c r="M9343" s="12">
        <f>tItens[[#This Row],[Valor]]*(1-tItens[[#This Row],[Desconto]])</f>
        <v>1423.2465373961222</v>
      </c>
      <c r="N9343" t="str">
        <f>IFERROR(INDEX(tProdutos[Foco],MATCH(tItens[[#This Row],[Produto]],tProdutos[Produto],0)),"Não")</f>
        <v>Não</v>
      </c>
      <c r="O9343" t="str">
        <f>IFERROR(INDEX(tEditais[SRP],MATCH(tItens[[#This Row],[Edital]],tEditais[Edital],0)),"Não")</f>
        <v>Não</v>
      </c>
      <c r="P9343" s="4">
        <f>IF(COUNTIFS(INDEX(tItens[Edital],1):tItens[[#This Row],[Edital]],tItens[[#This Row],[Edital]],INDEX(tItens[Produto],1):tItens[[#This Row],[Produto]],tItens[[#This Row],[Produto]])=1,1,0)</f>
        <v>0</v>
      </c>
    </row>
    <row r="9344" spans="1:16" x14ac:dyDescent="0.25">
      <c r="A9344" t="s">
        <v>3197</v>
      </c>
      <c r="B9344">
        <v>2288070</v>
      </c>
      <c r="C9344" t="s">
        <v>11610</v>
      </c>
      <c r="D9344" t="s">
        <v>351</v>
      </c>
      <c r="E9344" s="13">
        <v>40</v>
      </c>
      <c r="F9344" s="12">
        <v>18.7</v>
      </c>
      <c r="G9344" t="str">
        <f>IFERROR(INDEX(tEditais[Órgão],MATCH(tItens[[#This Row],[Edital]],tEditais[Edital],0)),"")</f>
        <v>UNIVERSIDADE DE TAUBATE</v>
      </c>
      <c r="H9344" t="str">
        <f>IFERROR(INDEX(tEditais[UF],MATCH(tItens[[#This Row],[Edital]],tEditais[Edital],0)),"")</f>
        <v>SP</v>
      </c>
      <c r="I9344" s="11">
        <f>IFERROR(INDEX(tEditais[Encerramento],MATCH(tItens[[#This Row],[Edital]],tEditais[Edital],0)),"")</f>
        <v>46314.395833333336</v>
      </c>
      <c r="J9344" t="str">
        <f>IFERROR(INDEX(tProdutos[Classe],MATCH(tItens[[#This Row],[Produto]],tProdutos[Produto],0)),"produto não cadastrado")</f>
        <v>FORA</v>
      </c>
      <c r="K9344" s="12">
        <f>tItens[[#This Row],[Qtd]]*tItens[[#This Row],[Vlr unit]]</f>
        <v>748</v>
      </c>
      <c r="L9344" s="6">
        <f>IFERROR(IF(INDEX(tProdutos[Desconto homologado],MATCH(tItens[[#This Row],[Produto]],tProdutos[Produto],0))="",DescontoPadrao,INDEX(tProdutos[Desconto homologado],MATCH(tItens[[#This Row],[Produto]],tProdutos[Produto],0))),DescontoPadrao)</f>
        <v>0.33518005540166201</v>
      </c>
      <c r="M9344" s="12">
        <f>tItens[[#This Row],[Valor]]*(1-tItens[[#This Row],[Desconto]])</f>
        <v>497.28531855955686</v>
      </c>
      <c r="N9344" t="str">
        <f>IFERROR(INDEX(tProdutos[Foco],MATCH(tItens[[#This Row],[Produto]],tProdutos[Produto],0)),"Não")</f>
        <v>Não</v>
      </c>
      <c r="O9344" t="str">
        <f>IFERROR(INDEX(tEditais[SRP],MATCH(tItens[[#This Row],[Edital]],tEditais[Edital],0)),"Não")</f>
        <v>Não</v>
      </c>
      <c r="P9344" s="4">
        <f>IF(COUNTIFS(INDEX(tItens[Edital],1):tItens[[#This Row],[Edital]],tItens[[#This Row],[Edital]],INDEX(tItens[Produto],1):tItens[[#This Row],[Produto]],tItens[[#This Row],[Produto]])=1,1,0)</f>
        <v>0</v>
      </c>
    </row>
    <row r="9345" spans="1:16" x14ac:dyDescent="0.25">
      <c r="A9345" t="s">
        <v>3197</v>
      </c>
      <c r="B9345">
        <v>2288075</v>
      </c>
      <c r="C9345" t="s">
        <v>11642</v>
      </c>
      <c r="D9345" t="s">
        <v>132</v>
      </c>
      <c r="E9345" s="13">
        <v>700</v>
      </c>
      <c r="F9345" s="12">
        <v>31.63</v>
      </c>
      <c r="G9345" t="str">
        <f>IFERROR(INDEX(tEditais[Órgão],MATCH(tItens[[#This Row],[Edital]],tEditais[Edital],0)),"")</f>
        <v>UNIVERSIDADE DE TAUBATE</v>
      </c>
      <c r="H9345" t="str">
        <f>IFERROR(INDEX(tEditais[UF],MATCH(tItens[[#This Row],[Edital]],tEditais[Edital],0)),"")</f>
        <v>SP</v>
      </c>
      <c r="I9345" s="11">
        <f>IFERROR(INDEX(tEditais[Encerramento],MATCH(tItens[[#This Row],[Edital]],tEditais[Edital],0)),"")</f>
        <v>46314.395833333336</v>
      </c>
      <c r="J9345" t="str">
        <f>IFERROR(INDEX(tProdutos[Classe],MATCH(tItens[[#This Row],[Produto]],tProdutos[Produto],0)),"produto não cadastrado")</f>
        <v>NÚCLEO</v>
      </c>
      <c r="K9345" s="12">
        <f>tItens[[#This Row],[Qtd]]*tItens[[#This Row],[Vlr unit]]</f>
        <v>22141</v>
      </c>
      <c r="L9345" s="6">
        <f>IFERROR(IF(INDEX(tProdutos[Desconto homologado],MATCH(tItens[[#This Row],[Produto]],tProdutos[Produto],0))="",DescontoPadrao,INDEX(tProdutos[Desconto homologado],MATCH(tItens[[#This Row],[Produto]],tProdutos[Produto],0))),DescontoPadrao)</f>
        <v>0.27</v>
      </c>
      <c r="M9345" s="12">
        <f>tItens[[#This Row],[Valor]]*(1-tItens[[#This Row],[Desconto]])</f>
        <v>16162.93</v>
      </c>
      <c r="N9345" t="str">
        <f>IFERROR(INDEX(tProdutos[Foco],MATCH(tItens[[#This Row],[Produto]],tProdutos[Produto],0)),"Não")</f>
        <v>Sim</v>
      </c>
      <c r="O9345" t="str">
        <f>IFERROR(INDEX(tEditais[SRP],MATCH(tItens[[#This Row],[Edital]],tEditais[Edital],0)),"Não")</f>
        <v>Não</v>
      </c>
      <c r="P9345" s="4">
        <f>IF(COUNTIFS(INDEX(tItens[Edital],1):tItens[[#This Row],[Edital]],tItens[[#This Row],[Edital]],INDEX(tItens[Produto],1):tItens[[#This Row],[Produto]],tItens[[#This Row],[Produto]])=1,1,0)</f>
        <v>1</v>
      </c>
    </row>
    <row r="9346" spans="1:16" x14ac:dyDescent="0.25">
      <c r="A9346" t="s">
        <v>3197</v>
      </c>
      <c r="B9346">
        <v>2288081</v>
      </c>
      <c r="C9346" t="s">
        <v>11643</v>
      </c>
      <c r="D9346" t="s">
        <v>73</v>
      </c>
      <c r="E9346" s="13">
        <v>20</v>
      </c>
      <c r="F9346" s="12">
        <v>2.4</v>
      </c>
      <c r="G9346" t="str">
        <f>IFERROR(INDEX(tEditais[Órgão],MATCH(tItens[[#This Row],[Edital]],tEditais[Edital],0)),"")</f>
        <v>UNIVERSIDADE DE TAUBATE</v>
      </c>
      <c r="H9346" t="str">
        <f>IFERROR(INDEX(tEditais[UF],MATCH(tItens[[#This Row],[Edital]],tEditais[Edital],0)),"")</f>
        <v>SP</v>
      </c>
      <c r="I9346" s="11">
        <f>IFERROR(INDEX(tEditais[Encerramento],MATCH(tItens[[#This Row],[Edital]],tEditais[Edital],0)),"")</f>
        <v>46314.395833333336</v>
      </c>
      <c r="J9346" t="str">
        <f>IFERROR(INDEX(tProdutos[Classe],MATCH(tItens[[#This Row],[Produto]],tProdutos[Produto],0)),"produto não cadastrado")</f>
        <v>NÚCLEO</v>
      </c>
      <c r="K9346" s="12">
        <f>tItens[[#This Row],[Qtd]]*tItens[[#This Row],[Vlr unit]]</f>
        <v>48</v>
      </c>
      <c r="L9346" s="6">
        <f>IFERROR(IF(INDEX(tProdutos[Desconto homologado],MATCH(tItens[[#This Row],[Produto]],tProdutos[Produto],0))="",DescontoPadrao,INDEX(tProdutos[Desconto homologado],MATCH(tItens[[#This Row],[Produto]],tProdutos[Produto],0))),DescontoPadrao)</f>
        <v>0.37</v>
      </c>
      <c r="M9346" s="12">
        <f>tItens[[#This Row],[Valor]]*(1-tItens[[#This Row],[Desconto]])</f>
        <v>30.240000000000002</v>
      </c>
      <c r="N9346" t="str">
        <f>IFERROR(INDEX(tProdutos[Foco],MATCH(tItens[[#This Row],[Produto]],tProdutos[Produto],0)),"Não")</f>
        <v>Sim</v>
      </c>
      <c r="O9346" t="str">
        <f>IFERROR(INDEX(tEditais[SRP],MATCH(tItens[[#This Row],[Edital]],tEditais[Edital],0)),"Não")</f>
        <v>Não</v>
      </c>
      <c r="P9346" s="4">
        <f>IF(COUNTIFS(INDEX(tItens[Edital],1):tItens[[#This Row],[Edital]],tItens[[#This Row],[Edital]],INDEX(tItens[Produto],1):tItens[[#This Row],[Produto]],tItens[[#This Row],[Produto]])=1,1,0)</f>
        <v>1</v>
      </c>
    </row>
    <row r="9347" spans="1:16" x14ac:dyDescent="0.25">
      <c r="A9347" t="s">
        <v>3197</v>
      </c>
      <c r="B9347">
        <v>2288082</v>
      </c>
      <c r="C9347" t="s">
        <v>11644</v>
      </c>
      <c r="D9347" t="s">
        <v>73</v>
      </c>
      <c r="E9347" s="13">
        <v>20</v>
      </c>
      <c r="F9347" s="12">
        <v>2</v>
      </c>
      <c r="G9347" t="str">
        <f>IFERROR(INDEX(tEditais[Órgão],MATCH(tItens[[#This Row],[Edital]],tEditais[Edital],0)),"")</f>
        <v>UNIVERSIDADE DE TAUBATE</v>
      </c>
      <c r="H9347" t="str">
        <f>IFERROR(INDEX(tEditais[UF],MATCH(tItens[[#This Row],[Edital]],tEditais[Edital],0)),"")</f>
        <v>SP</v>
      </c>
      <c r="I9347" s="11">
        <f>IFERROR(INDEX(tEditais[Encerramento],MATCH(tItens[[#This Row],[Edital]],tEditais[Edital],0)),"")</f>
        <v>46314.395833333336</v>
      </c>
      <c r="J9347" t="str">
        <f>IFERROR(INDEX(tProdutos[Classe],MATCH(tItens[[#This Row],[Produto]],tProdutos[Produto],0)),"produto não cadastrado")</f>
        <v>NÚCLEO</v>
      </c>
      <c r="K9347" s="12">
        <f>tItens[[#This Row],[Qtd]]*tItens[[#This Row],[Vlr unit]]</f>
        <v>40</v>
      </c>
      <c r="L9347" s="6">
        <f>IFERROR(IF(INDEX(tProdutos[Desconto homologado],MATCH(tItens[[#This Row],[Produto]],tProdutos[Produto],0))="",DescontoPadrao,INDEX(tProdutos[Desconto homologado],MATCH(tItens[[#This Row],[Produto]],tProdutos[Produto],0))),DescontoPadrao)</f>
        <v>0.37</v>
      </c>
      <c r="M9347" s="12">
        <f>tItens[[#This Row],[Valor]]*(1-tItens[[#This Row],[Desconto]])</f>
        <v>25.2</v>
      </c>
      <c r="N9347" t="str">
        <f>IFERROR(INDEX(tProdutos[Foco],MATCH(tItens[[#This Row],[Produto]],tProdutos[Produto],0)),"Não")</f>
        <v>Sim</v>
      </c>
      <c r="O9347" t="str">
        <f>IFERROR(INDEX(tEditais[SRP],MATCH(tItens[[#This Row],[Edital]],tEditais[Edital],0)),"Não")</f>
        <v>Não</v>
      </c>
      <c r="P9347" s="4">
        <f>IF(COUNTIFS(INDEX(tItens[Edital],1):tItens[[#This Row],[Edital]],tItens[[#This Row],[Edital]],INDEX(tItens[Produto],1):tItens[[#This Row],[Produto]],tItens[[#This Row],[Produto]])=1,1,0)</f>
        <v>0</v>
      </c>
    </row>
    <row r="9348" spans="1:16" x14ac:dyDescent="0.25">
      <c r="A9348" t="s">
        <v>3197</v>
      </c>
      <c r="B9348">
        <v>2288083</v>
      </c>
      <c r="C9348" t="s">
        <v>11645</v>
      </c>
      <c r="D9348" t="s">
        <v>279</v>
      </c>
      <c r="E9348" s="13">
        <v>5</v>
      </c>
      <c r="F9348" s="12">
        <v>7.29</v>
      </c>
      <c r="G9348" t="str">
        <f>IFERROR(INDEX(tEditais[Órgão],MATCH(tItens[[#This Row],[Edital]],tEditais[Edital],0)),"")</f>
        <v>UNIVERSIDADE DE TAUBATE</v>
      </c>
      <c r="H9348" t="str">
        <f>IFERROR(INDEX(tEditais[UF],MATCH(tItens[[#This Row],[Edital]],tEditais[Edital],0)),"")</f>
        <v>SP</v>
      </c>
      <c r="I9348" s="11">
        <f>IFERROR(INDEX(tEditais[Encerramento],MATCH(tItens[[#This Row],[Edital]],tEditais[Edital],0)),"")</f>
        <v>46314.395833333336</v>
      </c>
      <c r="J9348" t="str">
        <f>IFERROR(INDEX(tProdutos[Classe],MATCH(tItens[[#This Row],[Produto]],tProdutos[Produto],0)),"produto não cadastrado")</f>
        <v>FORA</v>
      </c>
      <c r="K9348" s="12">
        <f>tItens[[#This Row],[Qtd]]*tItens[[#This Row],[Vlr unit]]</f>
        <v>36.450000000000003</v>
      </c>
      <c r="L9348" s="6">
        <f>IFERROR(IF(INDEX(tProdutos[Desconto homologado],MATCH(tItens[[#This Row],[Produto]],tProdutos[Produto],0))="",DescontoPadrao,INDEX(tProdutos[Desconto homologado],MATCH(tItens[[#This Row],[Produto]],tProdutos[Produto],0))),DescontoPadrao)</f>
        <v>0.28909090909090901</v>
      </c>
      <c r="M9348" s="12">
        <f>tItens[[#This Row],[Valor]]*(1-tItens[[#This Row],[Desconto]])</f>
        <v>25.912636363636366</v>
      </c>
      <c r="N9348" t="str">
        <f>IFERROR(INDEX(tProdutos[Foco],MATCH(tItens[[#This Row],[Produto]],tProdutos[Produto],0)),"Não")</f>
        <v>Não</v>
      </c>
      <c r="O9348" t="str">
        <f>IFERROR(INDEX(tEditais[SRP],MATCH(tItens[[#This Row],[Edital]],tEditais[Edital],0)),"Não")</f>
        <v>Não</v>
      </c>
      <c r="P9348" s="4">
        <f>IF(COUNTIFS(INDEX(tItens[Edital],1):tItens[[#This Row],[Edital]],tItens[[#This Row],[Edital]],INDEX(tItens[Produto],1):tItens[[#This Row],[Produto]],tItens[[#This Row],[Produto]])=1,1,0)</f>
        <v>0</v>
      </c>
    </row>
    <row r="9349" spans="1:16" x14ac:dyDescent="0.25">
      <c r="A9349" t="s">
        <v>3197</v>
      </c>
      <c r="B9349">
        <v>2288088</v>
      </c>
      <c r="C9349" t="s">
        <v>11646</v>
      </c>
      <c r="D9349" t="s">
        <v>229</v>
      </c>
      <c r="E9349" s="13">
        <v>40</v>
      </c>
      <c r="F9349" s="12">
        <v>6.19</v>
      </c>
      <c r="G9349" t="str">
        <f>IFERROR(INDEX(tEditais[Órgão],MATCH(tItens[[#This Row],[Edital]],tEditais[Edital],0)),"")</f>
        <v>UNIVERSIDADE DE TAUBATE</v>
      </c>
      <c r="H9349" t="str">
        <f>IFERROR(INDEX(tEditais[UF],MATCH(tItens[[#This Row],[Edital]],tEditais[Edital],0)),"")</f>
        <v>SP</v>
      </c>
      <c r="I9349" s="11">
        <f>IFERROR(INDEX(tEditais[Encerramento],MATCH(tItens[[#This Row],[Edital]],tEditais[Edital],0)),"")</f>
        <v>46314.395833333336</v>
      </c>
      <c r="J9349" t="str">
        <f>IFERROR(INDEX(tProdutos[Classe],MATCH(tItens[[#This Row],[Produto]],tProdutos[Produto],0)),"produto não cadastrado")</f>
        <v>FORA</v>
      </c>
      <c r="K9349" s="12">
        <f>tItens[[#This Row],[Qtd]]*tItens[[#This Row],[Vlr unit]]</f>
        <v>247.60000000000002</v>
      </c>
      <c r="L9349" s="6">
        <f>IFERROR(IF(INDEX(tProdutos[Desconto homologado],MATCH(tItens[[#This Row],[Produto]],tProdutos[Produto],0))="",DescontoPadrao,INDEX(tProdutos[Desconto homologado],MATCH(tItens[[#This Row],[Produto]],tProdutos[Produto],0))),DescontoPadrao)</f>
        <v>0.33093491191658198</v>
      </c>
      <c r="M9349" s="12">
        <f>tItens[[#This Row],[Valor]]*(1-tItens[[#This Row],[Desconto]])</f>
        <v>165.66051580945432</v>
      </c>
      <c r="N9349" t="str">
        <f>IFERROR(INDEX(tProdutos[Foco],MATCH(tItens[[#This Row],[Produto]],tProdutos[Produto],0)),"Não")</f>
        <v>Não</v>
      </c>
      <c r="O9349" t="str">
        <f>IFERROR(INDEX(tEditais[SRP],MATCH(tItens[[#This Row],[Edital]],tEditais[Edital],0)),"Não")</f>
        <v>Não</v>
      </c>
      <c r="P9349" s="4">
        <f>IF(COUNTIFS(INDEX(tItens[Edital],1):tItens[[#This Row],[Edital]],tItens[[#This Row],[Edital]],INDEX(tItens[Produto],1):tItens[[#This Row],[Produto]],tItens[[#This Row],[Produto]])=1,1,0)</f>
        <v>1</v>
      </c>
    </row>
    <row r="9350" spans="1:16" x14ac:dyDescent="0.25">
      <c r="A9350" t="s">
        <v>3197</v>
      </c>
      <c r="B9350">
        <v>2288097</v>
      </c>
      <c r="C9350" t="s">
        <v>11647</v>
      </c>
      <c r="D9350" t="s">
        <v>191</v>
      </c>
      <c r="E9350" s="13">
        <v>55</v>
      </c>
      <c r="F9350" s="12">
        <v>150.13</v>
      </c>
      <c r="G9350" t="str">
        <f>IFERROR(INDEX(tEditais[Órgão],MATCH(tItens[[#This Row],[Edital]],tEditais[Edital],0)),"")</f>
        <v>UNIVERSIDADE DE TAUBATE</v>
      </c>
      <c r="H9350" t="str">
        <f>IFERROR(INDEX(tEditais[UF],MATCH(tItens[[#This Row],[Edital]],tEditais[Edital],0)),"")</f>
        <v>SP</v>
      </c>
      <c r="I9350" s="11">
        <f>IFERROR(INDEX(tEditais[Encerramento],MATCH(tItens[[#This Row],[Edital]],tEditais[Edital],0)),"")</f>
        <v>46314.395833333336</v>
      </c>
      <c r="J9350" t="str">
        <f>IFERROR(INDEX(tProdutos[Classe],MATCH(tItens[[#This Row],[Produto]],tProdutos[Produto],0)),"produto não cadastrado")</f>
        <v>DISPUTADO</v>
      </c>
      <c r="K9350" s="12">
        <f>tItens[[#This Row],[Qtd]]*tItens[[#This Row],[Vlr unit]]</f>
        <v>8257.15</v>
      </c>
      <c r="L9350" s="6">
        <f>IFERROR(IF(INDEX(tProdutos[Desconto homologado],MATCH(tItens[[#This Row],[Produto]],tProdutos[Produto],0))="",DescontoPadrao,INDEX(tProdutos[Desconto homologado],MATCH(tItens[[#This Row],[Produto]],tProdutos[Produto],0))),DescontoPadrao)</f>
        <v>0.374129526462396</v>
      </c>
      <c r="M9350" s="12">
        <f>tItens[[#This Row],[Valor]]*(1-tItens[[#This Row],[Desconto]])</f>
        <v>5167.9063805710266</v>
      </c>
      <c r="N9350" t="str">
        <f>IFERROR(INDEX(tProdutos[Foco],MATCH(tItens[[#This Row],[Produto]],tProdutos[Produto],0)),"Não")</f>
        <v>Não</v>
      </c>
      <c r="O9350" t="str">
        <f>IFERROR(INDEX(tEditais[SRP],MATCH(tItens[[#This Row],[Edital]],tEditais[Edital],0)),"Não")</f>
        <v>Não</v>
      </c>
      <c r="P9350" s="4">
        <f>IF(COUNTIFS(INDEX(tItens[Edital],1):tItens[[#This Row],[Edital]],tItens[[#This Row],[Edital]],INDEX(tItens[Produto],1):tItens[[#This Row],[Produto]],tItens[[#This Row],[Produto]])=1,1,0)</f>
        <v>1</v>
      </c>
    </row>
    <row r="9351" spans="1:16" x14ac:dyDescent="0.25">
      <c r="A9351" t="s">
        <v>3197</v>
      </c>
      <c r="B9351">
        <v>2288098</v>
      </c>
      <c r="C9351" t="s">
        <v>11648</v>
      </c>
      <c r="D9351" t="s">
        <v>267</v>
      </c>
      <c r="E9351" s="13">
        <v>155</v>
      </c>
      <c r="F9351" s="12">
        <v>14.2</v>
      </c>
      <c r="G9351" t="str">
        <f>IFERROR(INDEX(tEditais[Órgão],MATCH(tItens[[#This Row],[Edital]],tEditais[Edital],0)),"")</f>
        <v>UNIVERSIDADE DE TAUBATE</v>
      </c>
      <c r="H9351" t="str">
        <f>IFERROR(INDEX(tEditais[UF],MATCH(tItens[[#This Row],[Edital]],tEditais[Edital],0)),"")</f>
        <v>SP</v>
      </c>
      <c r="I9351" s="11">
        <f>IFERROR(INDEX(tEditais[Encerramento],MATCH(tItens[[#This Row],[Edital]],tEditais[Edital],0)),"")</f>
        <v>46314.395833333336</v>
      </c>
      <c r="J9351" t="str">
        <f>IFERROR(INDEX(tProdutos[Classe],MATCH(tItens[[#This Row],[Produto]],tProdutos[Produto],0)),"produto não cadastrado")</f>
        <v>FORA</v>
      </c>
      <c r="K9351" s="12">
        <f>tItens[[#This Row],[Qtd]]*tItens[[#This Row],[Vlr unit]]</f>
        <v>2201</v>
      </c>
      <c r="L9351" s="6">
        <f>IFERROR(IF(INDEX(tProdutos[Desconto homologado],MATCH(tItens[[#This Row],[Produto]],tProdutos[Produto],0))="",DescontoPadrao,INDEX(tProdutos[Desconto homologado],MATCH(tItens[[#This Row],[Produto]],tProdutos[Produto],0))),DescontoPadrao)</f>
        <v>0.19963672657401599</v>
      </c>
      <c r="M9351" s="12">
        <f>tItens[[#This Row],[Valor]]*(1-tItens[[#This Row],[Desconto]])</f>
        <v>1761.5995648105909</v>
      </c>
      <c r="N9351" t="str">
        <f>IFERROR(INDEX(tProdutos[Foco],MATCH(tItens[[#This Row],[Produto]],tProdutos[Produto],0)),"Não")</f>
        <v>Não</v>
      </c>
      <c r="O9351" t="str">
        <f>IFERROR(INDEX(tEditais[SRP],MATCH(tItens[[#This Row],[Edital]],tEditais[Edital],0)),"Não")</f>
        <v>Não</v>
      </c>
      <c r="P9351" s="4">
        <f>IF(COUNTIFS(INDEX(tItens[Edital],1):tItens[[#This Row],[Edital]],tItens[[#This Row],[Edital]],INDEX(tItens[Produto],1):tItens[[#This Row],[Produto]],tItens[[#This Row],[Produto]])=1,1,0)</f>
        <v>1</v>
      </c>
    </row>
    <row r="9352" spans="1:16" x14ac:dyDescent="0.25">
      <c r="A9352" t="s">
        <v>3197</v>
      </c>
      <c r="B9352">
        <v>2288102</v>
      </c>
      <c r="C9352" t="s">
        <v>11649</v>
      </c>
      <c r="D9352" t="s">
        <v>257</v>
      </c>
      <c r="E9352" s="13">
        <v>22</v>
      </c>
      <c r="F9352" s="12">
        <v>41</v>
      </c>
      <c r="G9352" t="str">
        <f>IFERROR(INDEX(tEditais[Órgão],MATCH(tItens[[#This Row],[Edital]],tEditais[Edital],0)),"")</f>
        <v>UNIVERSIDADE DE TAUBATE</v>
      </c>
      <c r="H9352" t="str">
        <f>IFERROR(INDEX(tEditais[UF],MATCH(tItens[[#This Row],[Edital]],tEditais[Edital],0)),"")</f>
        <v>SP</v>
      </c>
      <c r="I9352" s="11">
        <f>IFERROR(INDEX(tEditais[Encerramento],MATCH(tItens[[#This Row],[Edital]],tEditais[Edital],0)),"")</f>
        <v>46314.395833333336</v>
      </c>
      <c r="J9352" t="str">
        <f>IFERROR(INDEX(tProdutos[Classe],MATCH(tItens[[#This Row],[Produto]],tProdutos[Produto],0)),"produto não cadastrado")</f>
        <v>FORA</v>
      </c>
      <c r="K9352" s="12">
        <f>tItens[[#This Row],[Qtd]]*tItens[[#This Row],[Vlr unit]]</f>
        <v>902</v>
      </c>
      <c r="L9352" s="6">
        <f>IFERROR(IF(INDEX(tProdutos[Desconto homologado],MATCH(tItens[[#This Row],[Produto]],tProdutos[Produto],0))="",DescontoPadrao,INDEX(tProdutos[Desconto homologado],MATCH(tItens[[#This Row],[Produto]],tProdutos[Produto],0))),DescontoPadrao)</f>
        <v>0.500812004991805</v>
      </c>
      <c r="M9352" s="12">
        <f>tItens[[#This Row],[Valor]]*(1-tItens[[#This Row],[Desconto]])</f>
        <v>450.26757149739188</v>
      </c>
      <c r="N9352" t="str">
        <f>IFERROR(INDEX(tProdutos[Foco],MATCH(tItens[[#This Row],[Produto]],tProdutos[Produto],0)),"Não")</f>
        <v>Não</v>
      </c>
      <c r="O9352" t="str">
        <f>IFERROR(INDEX(tEditais[SRP],MATCH(tItens[[#This Row],[Edital]],tEditais[Edital],0)),"Não")</f>
        <v>Não</v>
      </c>
      <c r="P9352" s="4">
        <f>IF(COUNTIFS(INDEX(tItens[Edital],1):tItens[[#This Row],[Edital]],tItens[[#This Row],[Edital]],INDEX(tItens[Produto],1):tItens[[#This Row],[Produto]],tItens[[#This Row],[Produto]])=1,1,0)</f>
        <v>1</v>
      </c>
    </row>
    <row r="9353" spans="1:16" x14ac:dyDescent="0.25">
      <c r="A9353" t="s">
        <v>3197</v>
      </c>
      <c r="B9353">
        <v>2288103</v>
      </c>
      <c r="C9353" t="s">
        <v>11650</v>
      </c>
      <c r="D9353" t="s">
        <v>170</v>
      </c>
      <c r="E9353" s="13">
        <v>27</v>
      </c>
      <c r="F9353" s="12">
        <v>119</v>
      </c>
      <c r="G9353" t="str">
        <f>IFERROR(INDEX(tEditais[Órgão],MATCH(tItens[[#This Row],[Edital]],tEditais[Edital],0)),"")</f>
        <v>UNIVERSIDADE DE TAUBATE</v>
      </c>
      <c r="H9353" t="str">
        <f>IFERROR(INDEX(tEditais[UF],MATCH(tItens[[#This Row],[Edital]],tEditais[Edital],0)),"")</f>
        <v>SP</v>
      </c>
      <c r="I9353" s="11">
        <f>IFERROR(INDEX(tEditais[Encerramento],MATCH(tItens[[#This Row],[Edital]],tEditais[Edital],0)),"")</f>
        <v>46314.395833333336</v>
      </c>
      <c r="J9353" t="str">
        <f>IFERROR(INDEX(tProdutos[Classe],MATCH(tItens[[#This Row],[Produto]],tProdutos[Produto],0)),"produto não cadastrado")</f>
        <v>DISPUTADO</v>
      </c>
      <c r="K9353" s="12">
        <f>tItens[[#This Row],[Qtd]]*tItens[[#This Row],[Vlr unit]]</f>
        <v>3213</v>
      </c>
      <c r="L9353" s="6">
        <f>IFERROR(IF(INDEX(tProdutos[Desconto homologado],MATCH(tItens[[#This Row],[Produto]],tProdutos[Produto],0))="",DescontoPadrao,INDEX(tProdutos[Desconto homologado],MATCH(tItens[[#This Row],[Produto]],tProdutos[Produto],0))),DescontoPadrao)</f>
        <v>0.36</v>
      </c>
      <c r="M9353" s="12">
        <f>tItens[[#This Row],[Valor]]*(1-tItens[[#This Row],[Desconto]])</f>
        <v>2056.3200000000002</v>
      </c>
      <c r="N9353" t="str">
        <f>IFERROR(INDEX(tProdutos[Foco],MATCH(tItens[[#This Row],[Produto]],tProdutos[Produto],0)),"Não")</f>
        <v>Sim</v>
      </c>
      <c r="O9353" t="str">
        <f>IFERROR(INDEX(tEditais[SRP],MATCH(tItens[[#This Row],[Edital]],tEditais[Edital],0)),"Não")</f>
        <v>Não</v>
      </c>
      <c r="P9353" s="4">
        <f>IF(COUNTIFS(INDEX(tItens[Edital],1):tItens[[#This Row],[Edital]],tItens[[#This Row],[Edital]],INDEX(tItens[Produto],1):tItens[[#This Row],[Produto]],tItens[[#This Row],[Produto]])=1,1,0)</f>
        <v>1</v>
      </c>
    </row>
    <row r="9354" spans="1:16" x14ac:dyDescent="0.25">
      <c r="A9354" t="s">
        <v>3197</v>
      </c>
      <c r="B9354">
        <v>2288104</v>
      </c>
      <c r="C9354" t="s">
        <v>11651</v>
      </c>
      <c r="D9354" t="s">
        <v>170</v>
      </c>
      <c r="E9354" s="13">
        <v>67</v>
      </c>
      <c r="F9354" s="12">
        <v>198.91</v>
      </c>
      <c r="G9354" t="str">
        <f>IFERROR(INDEX(tEditais[Órgão],MATCH(tItens[[#This Row],[Edital]],tEditais[Edital],0)),"")</f>
        <v>UNIVERSIDADE DE TAUBATE</v>
      </c>
      <c r="H9354" t="str">
        <f>IFERROR(INDEX(tEditais[UF],MATCH(tItens[[#This Row],[Edital]],tEditais[Edital],0)),"")</f>
        <v>SP</v>
      </c>
      <c r="I9354" s="11">
        <f>IFERROR(INDEX(tEditais[Encerramento],MATCH(tItens[[#This Row],[Edital]],tEditais[Edital],0)),"")</f>
        <v>46314.395833333336</v>
      </c>
      <c r="J9354" t="str">
        <f>IFERROR(INDEX(tProdutos[Classe],MATCH(tItens[[#This Row],[Produto]],tProdutos[Produto],0)),"produto não cadastrado")</f>
        <v>DISPUTADO</v>
      </c>
      <c r="K9354" s="12">
        <f>tItens[[#This Row],[Qtd]]*tItens[[#This Row],[Vlr unit]]</f>
        <v>13326.97</v>
      </c>
      <c r="L9354" s="6">
        <f>IFERROR(IF(INDEX(tProdutos[Desconto homologado],MATCH(tItens[[#This Row],[Produto]],tProdutos[Produto],0))="",DescontoPadrao,INDEX(tProdutos[Desconto homologado],MATCH(tItens[[#This Row],[Produto]],tProdutos[Produto],0))),DescontoPadrao)</f>
        <v>0.36</v>
      </c>
      <c r="M9354" s="12">
        <f>tItens[[#This Row],[Valor]]*(1-tItens[[#This Row],[Desconto]])</f>
        <v>8529.2608</v>
      </c>
      <c r="N9354" t="str">
        <f>IFERROR(INDEX(tProdutos[Foco],MATCH(tItens[[#This Row],[Produto]],tProdutos[Produto],0)),"Não")</f>
        <v>Sim</v>
      </c>
      <c r="O9354" t="str">
        <f>IFERROR(INDEX(tEditais[SRP],MATCH(tItens[[#This Row],[Edital]],tEditais[Edital],0)),"Não")</f>
        <v>Não</v>
      </c>
      <c r="P9354" s="4">
        <f>IF(COUNTIFS(INDEX(tItens[Edital],1):tItens[[#This Row],[Edital]],tItens[[#This Row],[Edital]],INDEX(tItens[Produto],1):tItens[[#This Row],[Produto]],tItens[[#This Row],[Produto]])=1,1,0)</f>
        <v>0</v>
      </c>
    </row>
    <row r="9355" spans="1:16" x14ac:dyDescent="0.25">
      <c r="A9355" t="s">
        <v>3197</v>
      </c>
      <c r="B9355">
        <v>2288105</v>
      </c>
      <c r="C9355" t="s">
        <v>11652</v>
      </c>
      <c r="D9355" t="s">
        <v>170</v>
      </c>
      <c r="E9355" s="13">
        <v>11</v>
      </c>
      <c r="F9355" s="12">
        <v>46.49</v>
      </c>
      <c r="G9355" t="str">
        <f>IFERROR(INDEX(tEditais[Órgão],MATCH(tItens[[#This Row],[Edital]],tEditais[Edital],0)),"")</f>
        <v>UNIVERSIDADE DE TAUBATE</v>
      </c>
      <c r="H9355" t="str">
        <f>IFERROR(INDEX(tEditais[UF],MATCH(tItens[[#This Row],[Edital]],tEditais[Edital],0)),"")</f>
        <v>SP</v>
      </c>
      <c r="I9355" s="11">
        <f>IFERROR(INDEX(tEditais[Encerramento],MATCH(tItens[[#This Row],[Edital]],tEditais[Edital],0)),"")</f>
        <v>46314.395833333336</v>
      </c>
      <c r="J9355" t="str">
        <f>IFERROR(INDEX(tProdutos[Classe],MATCH(tItens[[#This Row],[Produto]],tProdutos[Produto],0)),"produto não cadastrado")</f>
        <v>DISPUTADO</v>
      </c>
      <c r="K9355" s="12">
        <f>tItens[[#This Row],[Qtd]]*tItens[[#This Row],[Vlr unit]]</f>
        <v>511.39000000000004</v>
      </c>
      <c r="L9355" s="6">
        <f>IFERROR(IF(INDEX(tProdutos[Desconto homologado],MATCH(tItens[[#This Row],[Produto]],tProdutos[Produto],0))="",DescontoPadrao,INDEX(tProdutos[Desconto homologado],MATCH(tItens[[#This Row],[Produto]],tProdutos[Produto],0))),DescontoPadrao)</f>
        <v>0.36</v>
      </c>
      <c r="M9355" s="12">
        <f>tItens[[#This Row],[Valor]]*(1-tItens[[#This Row],[Desconto]])</f>
        <v>327.28960000000001</v>
      </c>
      <c r="N9355" t="str">
        <f>IFERROR(INDEX(tProdutos[Foco],MATCH(tItens[[#This Row],[Produto]],tProdutos[Produto],0)),"Não")</f>
        <v>Sim</v>
      </c>
      <c r="O9355" t="str">
        <f>IFERROR(INDEX(tEditais[SRP],MATCH(tItens[[#This Row],[Edital]],tEditais[Edital],0)),"Não")</f>
        <v>Não</v>
      </c>
      <c r="P9355" s="4">
        <f>IF(COUNTIFS(INDEX(tItens[Edital],1):tItens[[#This Row],[Edital]],tItens[[#This Row],[Edital]],INDEX(tItens[Produto],1):tItens[[#This Row],[Produto]],tItens[[#This Row],[Produto]])=1,1,0)</f>
        <v>0</v>
      </c>
    </row>
    <row r="9356" spans="1:16" x14ac:dyDescent="0.25">
      <c r="A9356" t="s">
        <v>3197</v>
      </c>
      <c r="B9356">
        <v>2288106</v>
      </c>
      <c r="C9356" t="s">
        <v>11653</v>
      </c>
      <c r="D9356" t="s">
        <v>170</v>
      </c>
      <c r="E9356" s="13">
        <v>8</v>
      </c>
      <c r="F9356" s="12">
        <v>210</v>
      </c>
      <c r="G9356" t="str">
        <f>IFERROR(INDEX(tEditais[Órgão],MATCH(tItens[[#This Row],[Edital]],tEditais[Edital],0)),"")</f>
        <v>UNIVERSIDADE DE TAUBATE</v>
      </c>
      <c r="H9356" t="str">
        <f>IFERROR(INDEX(tEditais[UF],MATCH(tItens[[#This Row],[Edital]],tEditais[Edital],0)),"")</f>
        <v>SP</v>
      </c>
      <c r="I9356" s="11">
        <f>IFERROR(INDEX(tEditais[Encerramento],MATCH(tItens[[#This Row],[Edital]],tEditais[Edital],0)),"")</f>
        <v>46314.395833333336</v>
      </c>
      <c r="J9356" t="str">
        <f>IFERROR(INDEX(tProdutos[Classe],MATCH(tItens[[#This Row],[Produto]],tProdutos[Produto],0)),"produto não cadastrado")</f>
        <v>DISPUTADO</v>
      </c>
      <c r="K9356" s="12">
        <f>tItens[[#This Row],[Qtd]]*tItens[[#This Row],[Vlr unit]]</f>
        <v>1680</v>
      </c>
      <c r="L9356" s="6">
        <f>IFERROR(IF(INDEX(tProdutos[Desconto homologado],MATCH(tItens[[#This Row],[Produto]],tProdutos[Produto],0))="",DescontoPadrao,INDEX(tProdutos[Desconto homologado],MATCH(tItens[[#This Row],[Produto]],tProdutos[Produto],0))),DescontoPadrao)</f>
        <v>0.36</v>
      </c>
      <c r="M9356" s="12">
        <f>tItens[[#This Row],[Valor]]*(1-tItens[[#This Row],[Desconto]])</f>
        <v>1075.2</v>
      </c>
      <c r="N9356" t="str">
        <f>IFERROR(INDEX(tProdutos[Foco],MATCH(tItens[[#This Row],[Produto]],tProdutos[Produto],0)),"Não")</f>
        <v>Sim</v>
      </c>
      <c r="O9356" t="str">
        <f>IFERROR(INDEX(tEditais[SRP],MATCH(tItens[[#This Row],[Edital]],tEditais[Edital],0)),"Não")</f>
        <v>Não</v>
      </c>
      <c r="P9356" s="4">
        <f>IF(COUNTIFS(INDEX(tItens[Edital],1):tItens[[#This Row],[Edital]],tItens[[#This Row],[Edital]],INDEX(tItens[Produto],1):tItens[[#This Row],[Produto]],tItens[[#This Row],[Produto]])=1,1,0)</f>
        <v>0</v>
      </c>
    </row>
    <row r="9357" spans="1:16" x14ac:dyDescent="0.25">
      <c r="A9357" t="s">
        <v>3197</v>
      </c>
      <c r="B9357">
        <v>2288107</v>
      </c>
      <c r="C9357" t="s">
        <v>11654</v>
      </c>
      <c r="D9357" t="s">
        <v>170</v>
      </c>
      <c r="E9357" s="13">
        <v>10</v>
      </c>
      <c r="F9357" s="12">
        <v>130.80000000000001</v>
      </c>
      <c r="G9357" t="str">
        <f>IFERROR(INDEX(tEditais[Órgão],MATCH(tItens[[#This Row],[Edital]],tEditais[Edital],0)),"")</f>
        <v>UNIVERSIDADE DE TAUBATE</v>
      </c>
      <c r="H9357" t="str">
        <f>IFERROR(INDEX(tEditais[UF],MATCH(tItens[[#This Row],[Edital]],tEditais[Edital],0)),"")</f>
        <v>SP</v>
      </c>
      <c r="I9357" s="11">
        <f>IFERROR(INDEX(tEditais[Encerramento],MATCH(tItens[[#This Row],[Edital]],tEditais[Edital],0)),"")</f>
        <v>46314.395833333336</v>
      </c>
      <c r="J9357" t="str">
        <f>IFERROR(INDEX(tProdutos[Classe],MATCH(tItens[[#This Row],[Produto]],tProdutos[Produto],0)),"produto não cadastrado")</f>
        <v>DISPUTADO</v>
      </c>
      <c r="K9357" s="12">
        <f>tItens[[#This Row],[Qtd]]*tItens[[#This Row],[Vlr unit]]</f>
        <v>1308</v>
      </c>
      <c r="L9357" s="6">
        <f>IFERROR(IF(INDEX(tProdutos[Desconto homologado],MATCH(tItens[[#This Row],[Produto]],tProdutos[Produto],0))="",DescontoPadrao,INDEX(tProdutos[Desconto homologado],MATCH(tItens[[#This Row],[Produto]],tProdutos[Produto],0))),DescontoPadrao)</f>
        <v>0.36</v>
      </c>
      <c r="M9357" s="12">
        <f>tItens[[#This Row],[Valor]]*(1-tItens[[#This Row],[Desconto]])</f>
        <v>837.12</v>
      </c>
      <c r="N9357" t="str">
        <f>IFERROR(INDEX(tProdutos[Foco],MATCH(tItens[[#This Row],[Produto]],tProdutos[Produto],0)),"Não")</f>
        <v>Sim</v>
      </c>
      <c r="O9357" t="str">
        <f>IFERROR(INDEX(tEditais[SRP],MATCH(tItens[[#This Row],[Edital]],tEditais[Edital],0)),"Não")</f>
        <v>Não</v>
      </c>
      <c r="P9357" s="4">
        <f>IF(COUNTIFS(INDEX(tItens[Edital],1):tItens[[#This Row],[Edital]],tItens[[#This Row],[Edital]],INDEX(tItens[Produto],1):tItens[[#This Row],[Produto]],tItens[[#This Row],[Produto]])=1,1,0)</f>
        <v>0</v>
      </c>
    </row>
    <row r="9358" spans="1:16" x14ac:dyDescent="0.25">
      <c r="A9358" t="s">
        <v>3197</v>
      </c>
      <c r="B9358">
        <v>2288108</v>
      </c>
      <c r="C9358" t="s">
        <v>11655</v>
      </c>
      <c r="D9358" t="s">
        <v>170</v>
      </c>
      <c r="E9358" s="13">
        <v>8</v>
      </c>
      <c r="F9358" s="12">
        <v>209.97</v>
      </c>
      <c r="G9358" t="str">
        <f>IFERROR(INDEX(tEditais[Órgão],MATCH(tItens[[#This Row],[Edital]],tEditais[Edital],0)),"")</f>
        <v>UNIVERSIDADE DE TAUBATE</v>
      </c>
      <c r="H9358" t="str">
        <f>IFERROR(INDEX(tEditais[UF],MATCH(tItens[[#This Row],[Edital]],tEditais[Edital],0)),"")</f>
        <v>SP</v>
      </c>
      <c r="I9358" s="11">
        <f>IFERROR(INDEX(tEditais[Encerramento],MATCH(tItens[[#This Row],[Edital]],tEditais[Edital],0)),"")</f>
        <v>46314.395833333336</v>
      </c>
      <c r="J9358" t="str">
        <f>IFERROR(INDEX(tProdutos[Classe],MATCH(tItens[[#This Row],[Produto]],tProdutos[Produto],0)),"produto não cadastrado")</f>
        <v>DISPUTADO</v>
      </c>
      <c r="K9358" s="12">
        <f>tItens[[#This Row],[Qtd]]*tItens[[#This Row],[Vlr unit]]</f>
        <v>1679.76</v>
      </c>
      <c r="L9358" s="6">
        <f>IFERROR(IF(INDEX(tProdutos[Desconto homologado],MATCH(tItens[[#This Row],[Produto]],tProdutos[Produto],0))="",DescontoPadrao,INDEX(tProdutos[Desconto homologado],MATCH(tItens[[#This Row],[Produto]],tProdutos[Produto],0))),DescontoPadrao)</f>
        <v>0.36</v>
      </c>
      <c r="M9358" s="12">
        <f>tItens[[#This Row],[Valor]]*(1-tItens[[#This Row],[Desconto]])</f>
        <v>1075.0463999999999</v>
      </c>
      <c r="N9358" t="str">
        <f>IFERROR(INDEX(tProdutos[Foco],MATCH(tItens[[#This Row],[Produto]],tProdutos[Produto],0)),"Não")</f>
        <v>Sim</v>
      </c>
      <c r="O9358" t="str">
        <f>IFERROR(INDEX(tEditais[SRP],MATCH(tItens[[#This Row],[Edital]],tEditais[Edital],0)),"Não")</f>
        <v>Não</v>
      </c>
      <c r="P9358" s="4">
        <f>IF(COUNTIFS(INDEX(tItens[Edital],1):tItens[[#This Row],[Edital]],tItens[[#This Row],[Edital]],INDEX(tItens[Produto],1):tItens[[#This Row],[Produto]],tItens[[#This Row],[Produto]])=1,1,0)</f>
        <v>0</v>
      </c>
    </row>
    <row r="9359" spans="1:16" x14ac:dyDescent="0.25">
      <c r="A9359" t="s">
        <v>3197</v>
      </c>
      <c r="B9359">
        <v>2288109</v>
      </c>
      <c r="C9359" t="s">
        <v>11656</v>
      </c>
      <c r="D9359" t="s">
        <v>170</v>
      </c>
      <c r="E9359" s="13">
        <v>27</v>
      </c>
      <c r="F9359" s="12">
        <v>152.84</v>
      </c>
      <c r="G9359" t="str">
        <f>IFERROR(INDEX(tEditais[Órgão],MATCH(tItens[[#This Row],[Edital]],tEditais[Edital],0)),"")</f>
        <v>UNIVERSIDADE DE TAUBATE</v>
      </c>
      <c r="H9359" t="str">
        <f>IFERROR(INDEX(tEditais[UF],MATCH(tItens[[#This Row],[Edital]],tEditais[Edital],0)),"")</f>
        <v>SP</v>
      </c>
      <c r="I9359" s="11">
        <f>IFERROR(INDEX(tEditais[Encerramento],MATCH(tItens[[#This Row],[Edital]],tEditais[Edital],0)),"")</f>
        <v>46314.395833333336</v>
      </c>
      <c r="J9359" t="str">
        <f>IFERROR(INDEX(tProdutos[Classe],MATCH(tItens[[#This Row],[Produto]],tProdutos[Produto],0)),"produto não cadastrado")</f>
        <v>DISPUTADO</v>
      </c>
      <c r="K9359" s="12">
        <f>tItens[[#This Row],[Qtd]]*tItens[[#This Row],[Vlr unit]]</f>
        <v>4126.68</v>
      </c>
      <c r="L9359" s="6">
        <f>IFERROR(IF(INDEX(tProdutos[Desconto homologado],MATCH(tItens[[#This Row],[Produto]],tProdutos[Produto],0))="",DescontoPadrao,INDEX(tProdutos[Desconto homologado],MATCH(tItens[[#This Row],[Produto]],tProdutos[Produto],0))),DescontoPadrao)</f>
        <v>0.36</v>
      </c>
      <c r="M9359" s="12">
        <f>tItens[[#This Row],[Valor]]*(1-tItens[[#This Row],[Desconto]])</f>
        <v>2641.0752000000002</v>
      </c>
      <c r="N9359" t="str">
        <f>IFERROR(INDEX(tProdutos[Foco],MATCH(tItens[[#This Row],[Produto]],tProdutos[Produto],0)),"Não")</f>
        <v>Sim</v>
      </c>
      <c r="O9359" t="str">
        <f>IFERROR(INDEX(tEditais[SRP],MATCH(tItens[[#This Row],[Edital]],tEditais[Edital],0)),"Não")</f>
        <v>Não</v>
      </c>
      <c r="P9359" s="4">
        <f>IF(COUNTIFS(INDEX(tItens[Edital],1):tItens[[#This Row],[Edital]],tItens[[#This Row],[Edital]],INDEX(tItens[Produto],1):tItens[[#This Row],[Produto]],tItens[[#This Row],[Produto]])=1,1,0)</f>
        <v>0</v>
      </c>
    </row>
    <row r="9360" spans="1:16" x14ac:dyDescent="0.25">
      <c r="A9360" t="s">
        <v>3197</v>
      </c>
      <c r="B9360">
        <v>2288113</v>
      </c>
      <c r="C9360" t="s">
        <v>11657</v>
      </c>
      <c r="D9360" t="s">
        <v>694</v>
      </c>
      <c r="E9360" s="13">
        <v>2</v>
      </c>
      <c r="F9360" s="12">
        <v>180</v>
      </c>
      <c r="G9360" t="str">
        <f>IFERROR(INDEX(tEditais[Órgão],MATCH(tItens[[#This Row],[Edital]],tEditais[Edital],0)),"")</f>
        <v>UNIVERSIDADE DE TAUBATE</v>
      </c>
      <c r="H9360" t="str">
        <f>IFERROR(INDEX(tEditais[UF],MATCH(tItens[[#This Row],[Edital]],tEditais[Edital],0)),"")</f>
        <v>SP</v>
      </c>
      <c r="I9360" s="11">
        <f>IFERROR(INDEX(tEditais[Encerramento],MATCH(tItens[[#This Row],[Edital]],tEditais[Edital],0)),"")</f>
        <v>46314.395833333336</v>
      </c>
      <c r="J9360" t="str">
        <f>IFERROR(INDEX(tProdutos[Classe],MATCH(tItens[[#This Row],[Produto]],tProdutos[Produto],0)),"produto não cadastrado")</f>
        <v>FILA REBASE</v>
      </c>
      <c r="K9360" s="12">
        <f>tItens[[#This Row],[Qtd]]*tItens[[#This Row],[Vlr unit]]</f>
        <v>360</v>
      </c>
      <c r="L9360" s="6">
        <f>IFERROR(IF(INDEX(tProdutos[Desconto homologado],MATCH(tItens[[#This Row],[Produto]],tProdutos[Produto],0))="",DescontoPadrao,INDEX(tProdutos[Desconto homologado],MATCH(tItens[[#This Row],[Produto]],tProdutos[Produto],0))),DescontoPadrao)</f>
        <v>0.61577111781048699</v>
      </c>
      <c r="M9360" s="12">
        <f>tItens[[#This Row],[Valor]]*(1-tItens[[#This Row],[Desconto]])</f>
        <v>138.32239758822467</v>
      </c>
      <c r="N9360" t="str">
        <f>IFERROR(INDEX(tProdutos[Foco],MATCH(tItens[[#This Row],[Produto]],tProdutos[Produto],0)),"Não")</f>
        <v>Não</v>
      </c>
      <c r="O9360" t="str">
        <f>IFERROR(INDEX(tEditais[SRP],MATCH(tItens[[#This Row],[Edital]],tEditais[Edital],0)),"Não")</f>
        <v>Não</v>
      </c>
      <c r="P9360" s="4">
        <f>IF(COUNTIFS(INDEX(tItens[Edital],1):tItens[[#This Row],[Edital]],tItens[[#This Row],[Edital]],INDEX(tItens[Produto],1):tItens[[#This Row],[Produto]],tItens[[#This Row],[Produto]])=1,1,0)</f>
        <v>1</v>
      </c>
    </row>
    <row r="9361" spans="1:16" x14ac:dyDescent="0.25">
      <c r="A9361" t="s">
        <v>3197</v>
      </c>
      <c r="B9361">
        <v>2288130</v>
      </c>
      <c r="C9361" t="s">
        <v>11658</v>
      </c>
      <c r="D9361" t="s">
        <v>120</v>
      </c>
      <c r="E9361" s="13">
        <v>80</v>
      </c>
      <c r="F9361" s="12">
        <v>1.1000000000000001</v>
      </c>
      <c r="G9361" t="str">
        <f>IFERROR(INDEX(tEditais[Órgão],MATCH(tItens[[#This Row],[Edital]],tEditais[Edital],0)),"")</f>
        <v>UNIVERSIDADE DE TAUBATE</v>
      </c>
      <c r="H9361" t="str">
        <f>IFERROR(INDEX(tEditais[UF],MATCH(tItens[[#This Row],[Edital]],tEditais[Edital],0)),"")</f>
        <v>SP</v>
      </c>
      <c r="I9361" s="11">
        <f>IFERROR(INDEX(tEditais[Encerramento],MATCH(tItens[[#This Row],[Edital]],tEditais[Edital],0)),"")</f>
        <v>46314.395833333336</v>
      </c>
      <c r="J9361" t="str">
        <f>IFERROR(INDEX(tProdutos[Classe],MATCH(tItens[[#This Row],[Produto]],tProdutos[Produto],0)),"produto não cadastrado")</f>
        <v>DISPUTADO</v>
      </c>
      <c r="K9361" s="12">
        <f>tItens[[#This Row],[Qtd]]*tItens[[#This Row],[Vlr unit]]</f>
        <v>88</v>
      </c>
      <c r="L9361" s="6">
        <f>IFERROR(IF(INDEX(tProdutos[Desconto homologado],MATCH(tItens[[#This Row],[Produto]],tProdutos[Produto],0))="",DescontoPadrao,INDEX(tProdutos[Desconto homologado],MATCH(tItens[[#This Row],[Produto]],tProdutos[Produto],0))),DescontoPadrao)</f>
        <v>0.40909090909090901</v>
      </c>
      <c r="M9361" s="12">
        <f>tItens[[#This Row],[Valor]]*(1-tItens[[#This Row],[Desconto]])</f>
        <v>52.000000000000014</v>
      </c>
      <c r="N9361" t="str">
        <f>IFERROR(INDEX(tProdutos[Foco],MATCH(tItens[[#This Row],[Produto]],tProdutos[Produto],0)),"Não")</f>
        <v>Não</v>
      </c>
      <c r="O9361" t="str">
        <f>IFERROR(INDEX(tEditais[SRP],MATCH(tItens[[#This Row],[Edital]],tEditais[Edital],0)),"Não")</f>
        <v>Não</v>
      </c>
      <c r="P9361" s="4">
        <f>IF(COUNTIFS(INDEX(tItens[Edital],1):tItens[[#This Row],[Edital]],tItens[[#This Row],[Edital]],INDEX(tItens[Produto],1):tItens[[#This Row],[Produto]],tItens[[#This Row],[Produto]])=1,1,0)</f>
        <v>0</v>
      </c>
    </row>
    <row r="9362" spans="1:16" x14ac:dyDescent="0.25">
      <c r="A9362" t="s">
        <v>3197</v>
      </c>
      <c r="B9362">
        <v>2288131</v>
      </c>
      <c r="C9362" t="s">
        <v>11659</v>
      </c>
      <c r="D9362" t="s">
        <v>120</v>
      </c>
      <c r="E9362" s="13">
        <v>50</v>
      </c>
      <c r="F9362" s="12">
        <v>1.22</v>
      </c>
      <c r="G9362" t="str">
        <f>IFERROR(INDEX(tEditais[Órgão],MATCH(tItens[[#This Row],[Edital]],tEditais[Edital],0)),"")</f>
        <v>UNIVERSIDADE DE TAUBATE</v>
      </c>
      <c r="H9362" t="str">
        <f>IFERROR(INDEX(tEditais[UF],MATCH(tItens[[#This Row],[Edital]],tEditais[Edital],0)),"")</f>
        <v>SP</v>
      </c>
      <c r="I9362" s="11">
        <f>IFERROR(INDEX(tEditais[Encerramento],MATCH(tItens[[#This Row],[Edital]],tEditais[Edital],0)),"")</f>
        <v>46314.395833333336</v>
      </c>
      <c r="J9362" t="str">
        <f>IFERROR(INDEX(tProdutos[Classe],MATCH(tItens[[#This Row],[Produto]],tProdutos[Produto],0)),"produto não cadastrado")</f>
        <v>DISPUTADO</v>
      </c>
      <c r="K9362" s="12">
        <f>tItens[[#This Row],[Qtd]]*tItens[[#This Row],[Vlr unit]]</f>
        <v>61</v>
      </c>
      <c r="L9362" s="6">
        <f>IFERROR(IF(INDEX(tProdutos[Desconto homologado],MATCH(tItens[[#This Row],[Produto]],tProdutos[Produto],0))="",DescontoPadrao,INDEX(tProdutos[Desconto homologado],MATCH(tItens[[#This Row],[Produto]],tProdutos[Produto],0))),DescontoPadrao)</f>
        <v>0.40909090909090901</v>
      </c>
      <c r="M9362" s="12">
        <f>tItens[[#This Row],[Valor]]*(1-tItens[[#This Row],[Desconto]])</f>
        <v>36.045454545454554</v>
      </c>
      <c r="N9362" t="str">
        <f>IFERROR(INDEX(tProdutos[Foco],MATCH(tItens[[#This Row],[Produto]],tProdutos[Produto],0)),"Não")</f>
        <v>Não</v>
      </c>
      <c r="O9362" t="str">
        <f>IFERROR(INDEX(tEditais[SRP],MATCH(tItens[[#This Row],[Edital]],tEditais[Edital],0)),"Não")</f>
        <v>Não</v>
      </c>
      <c r="P9362" s="4">
        <f>IF(COUNTIFS(INDEX(tItens[Edital],1):tItens[[#This Row],[Edital]],tItens[[#This Row],[Edital]],INDEX(tItens[Produto],1):tItens[[#This Row],[Produto]],tItens[[#This Row],[Produto]])=1,1,0)</f>
        <v>0</v>
      </c>
    </row>
    <row r="9363" spans="1:16" x14ac:dyDescent="0.25">
      <c r="A9363" t="s">
        <v>3197</v>
      </c>
      <c r="B9363">
        <v>2288140</v>
      </c>
      <c r="C9363" t="s">
        <v>11660</v>
      </c>
      <c r="D9363" t="s">
        <v>375</v>
      </c>
      <c r="E9363" s="13">
        <v>60</v>
      </c>
      <c r="F9363" s="12">
        <v>224.57</v>
      </c>
      <c r="G9363" t="str">
        <f>IFERROR(INDEX(tEditais[Órgão],MATCH(tItens[[#This Row],[Edital]],tEditais[Edital],0)),"")</f>
        <v>UNIVERSIDADE DE TAUBATE</v>
      </c>
      <c r="H9363" t="str">
        <f>IFERROR(INDEX(tEditais[UF],MATCH(tItens[[#This Row],[Edital]],tEditais[Edital],0)),"")</f>
        <v>SP</v>
      </c>
      <c r="I9363" s="11">
        <f>IFERROR(INDEX(tEditais[Encerramento],MATCH(tItens[[#This Row],[Edital]],tEditais[Edital],0)),"")</f>
        <v>46314.395833333336</v>
      </c>
      <c r="J9363" t="str">
        <f>IFERROR(INDEX(tProdutos[Classe],MATCH(tItens[[#This Row],[Produto]],tProdutos[Produto],0)),"produto não cadastrado")</f>
        <v>FORA</v>
      </c>
      <c r="K9363" s="12">
        <f>tItens[[#This Row],[Qtd]]*tItens[[#This Row],[Vlr unit]]</f>
        <v>13474.199999999999</v>
      </c>
      <c r="L9363" s="6">
        <f>IFERROR(IF(INDEX(tProdutos[Desconto homologado],MATCH(tItens[[#This Row],[Produto]],tProdutos[Produto],0))="",DescontoPadrao,INDEX(tProdutos[Desconto homologado],MATCH(tItens[[#This Row],[Produto]],tProdutos[Produto],0))),DescontoPadrao)</f>
        <v>0.25005895299481201</v>
      </c>
      <c r="M9363" s="12">
        <f>tItens[[#This Row],[Valor]]*(1-tItens[[#This Row],[Desconto]])</f>
        <v>10104.855655557303</v>
      </c>
      <c r="N9363" t="str">
        <f>IFERROR(INDEX(tProdutos[Foco],MATCH(tItens[[#This Row],[Produto]],tProdutos[Produto],0)),"Não")</f>
        <v>Não</v>
      </c>
      <c r="O9363" t="str">
        <f>IFERROR(INDEX(tEditais[SRP],MATCH(tItens[[#This Row],[Edital]],tEditais[Edital],0)),"Não")</f>
        <v>Não</v>
      </c>
      <c r="P9363" s="4">
        <f>IF(COUNTIFS(INDEX(tItens[Edital],1):tItens[[#This Row],[Edital]],tItens[[#This Row],[Edital]],INDEX(tItens[Produto],1):tItens[[#This Row],[Produto]],tItens[[#This Row],[Produto]])=1,1,0)</f>
        <v>1</v>
      </c>
    </row>
    <row r="9364" spans="1:16" x14ac:dyDescent="0.25">
      <c r="A9364" t="s">
        <v>3197</v>
      </c>
      <c r="B9364">
        <v>2288150</v>
      </c>
      <c r="C9364" t="s">
        <v>11661</v>
      </c>
      <c r="D9364" t="s">
        <v>461</v>
      </c>
      <c r="E9364" s="13">
        <v>100</v>
      </c>
      <c r="F9364" s="12">
        <v>48.72</v>
      </c>
      <c r="G9364" t="str">
        <f>IFERROR(INDEX(tEditais[Órgão],MATCH(tItens[[#This Row],[Edital]],tEditais[Edital],0)),"")</f>
        <v>UNIVERSIDADE DE TAUBATE</v>
      </c>
      <c r="H9364" t="str">
        <f>IFERROR(INDEX(tEditais[UF],MATCH(tItens[[#This Row],[Edital]],tEditais[Edital],0)),"")</f>
        <v>SP</v>
      </c>
      <c r="I9364" s="11">
        <f>IFERROR(INDEX(tEditais[Encerramento],MATCH(tItens[[#This Row],[Edital]],tEditais[Edital],0)),"")</f>
        <v>46314.395833333336</v>
      </c>
      <c r="J9364" t="str">
        <f>IFERROR(INDEX(tProdutos[Classe],MATCH(tItens[[#This Row],[Produto]],tProdutos[Produto],0)),"produto não cadastrado")</f>
        <v>FILA REBASE</v>
      </c>
      <c r="K9364" s="12">
        <f>tItens[[#This Row],[Qtd]]*tItens[[#This Row],[Vlr unit]]</f>
        <v>4872</v>
      </c>
      <c r="L9364" s="6">
        <f>IFERROR(IF(INDEX(tProdutos[Desconto homologado],MATCH(tItens[[#This Row],[Produto]],tProdutos[Produto],0))="",DescontoPadrao,INDEX(tProdutos[Desconto homologado],MATCH(tItens[[#This Row],[Produto]],tProdutos[Produto],0))),DescontoPadrao)</f>
        <v>0.44096385542168698</v>
      </c>
      <c r="M9364" s="12">
        <f>tItens[[#This Row],[Valor]]*(1-tItens[[#This Row],[Desconto]])</f>
        <v>2723.6240963855407</v>
      </c>
      <c r="N9364" t="str">
        <f>IFERROR(INDEX(tProdutos[Foco],MATCH(tItens[[#This Row],[Produto]],tProdutos[Produto],0)),"Não")</f>
        <v>Não</v>
      </c>
      <c r="O9364" t="str">
        <f>IFERROR(INDEX(tEditais[SRP],MATCH(tItens[[#This Row],[Edital]],tEditais[Edital],0)),"Não")</f>
        <v>Não</v>
      </c>
      <c r="P9364" s="4">
        <f>IF(COUNTIFS(INDEX(tItens[Edital],1):tItens[[#This Row],[Edital]],tItens[[#This Row],[Edital]],INDEX(tItens[Produto],1):tItens[[#This Row],[Produto]],tItens[[#This Row],[Produto]])=1,1,0)</f>
        <v>1</v>
      </c>
    </row>
    <row r="9365" spans="1:16" x14ac:dyDescent="0.25">
      <c r="A9365" t="s">
        <v>3197</v>
      </c>
      <c r="B9365">
        <v>2288152</v>
      </c>
      <c r="C9365" t="s">
        <v>11662</v>
      </c>
      <c r="D9365" t="s">
        <v>56</v>
      </c>
      <c r="E9365" s="13">
        <v>6</v>
      </c>
      <c r="F9365" s="12">
        <v>40</v>
      </c>
      <c r="G9365" t="str">
        <f>IFERROR(INDEX(tEditais[Órgão],MATCH(tItens[[#This Row],[Edital]],tEditais[Edital],0)),"")</f>
        <v>UNIVERSIDADE DE TAUBATE</v>
      </c>
      <c r="H9365" t="str">
        <f>IFERROR(INDEX(tEditais[UF],MATCH(tItens[[#This Row],[Edital]],tEditais[Edital],0)),"")</f>
        <v>SP</v>
      </c>
      <c r="I9365" s="11">
        <f>IFERROR(INDEX(tEditais[Encerramento],MATCH(tItens[[#This Row],[Edital]],tEditais[Edital],0)),"")</f>
        <v>46314.395833333336</v>
      </c>
      <c r="J9365" t="str">
        <f>IFERROR(INDEX(tProdutos[Classe],MATCH(tItens[[#This Row],[Produto]],tProdutos[Produto],0)),"produto não cadastrado")</f>
        <v>NÚCLEO</v>
      </c>
      <c r="K9365" s="12">
        <f>tItens[[#This Row],[Qtd]]*tItens[[#This Row],[Vlr unit]]</f>
        <v>240</v>
      </c>
      <c r="L9365" s="6">
        <f>IFERROR(IF(INDEX(tProdutos[Desconto homologado],MATCH(tItens[[#This Row],[Produto]],tProdutos[Produto],0))="",DescontoPadrao,INDEX(tProdutos[Desconto homologado],MATCH(tItens[[#This Row],[Produto]],tProdutos[Produto],0))),DescontoPadrao)</f>
        <v>0.34</v>
      </c>
      <c r="M9365" s="12">
        <f>tItens[[#This Row],[Valor]]*(1-tItens[[#This Row],[Desconto]])</f>
        <v>158.39999999999998</v>
      </c>
      <c r="N9365" t="str">
        <f>IFERROR(INDEX(tProdutos[Foco],MATCH(tItens[[#This Row],[Produto]],tProdutos[Produto],0)),"Não")</f>
        <v>Sim</v>
      </c>
      <c r="O9365" t="str">
        <f>IFERROR(INDEX(tEditais[SRP],MATCH(tItens[[#This Row],[Edital]],tEditais[Edital],0)),"Não")</f>
        <v>Não</v>
      </c>
      <c r="P9365" s="4">
        <f>IF(COUNTIFS(INDEX(tItens[Edital],1):tItens[[#This Row],[Edital]],tItens[[#This Row],[Edital]],INDEX(tItens[Produto],1):tItens[[#This Row],[Produto]],tItens[[#This Row],[Produto]])=1,1,0)</f>
        <v>0</v>
      </c>
    </row>
    <row r="9366" spans="1:16" x14ac:dyDescent="0.25">
      <c r="A9366" t="s">
        <v>3197</v>
      </c>
      <c r="B9366">
        <v>2288159</v>
      </c>
      <c r="C9366" t="s">
        <v>11663</v>
      </c>
      <c r="D9366" t="s">
        <v>281</v>
      </c>
      <c r="E9366" s="13">
        <v>100</v>
      </c>
      <c r="F9366" s="12">
        <v>8.3800000000000008</v>
      </c>
      <c r="G9366" t="str">
        <f>IFERROR(INDEX(tEditais[Órgão],MATCH(tItens[[#This Row],[Edital]],tEditais[Edital],0)),"")</f>
        <v>UNIVERSIDADE DE TAUBATE</v>
      </c>
      <c r="H9366" t="str">
        <f>IFERROR(INDEX(tEditais[UF],MATCH(tItens[[#This Row],[Edital]],tEditais[Edital],0)),"")</f>
        <v>SP</v>
      </c>
      <c r="I9366" s="11">
        <f>IFERROR(INDEX(tEditais[Encerramento],MATCH(tItens[[#This Row],[Edital]],tEditais[Edital],0)),"")</f>
        <v>46314.395833333336</v>
      </c>
      <c r="J9366" t="str">
        <f>IFERROR(INDEX(tProdutos[Classe],MATCH(tItens[[#This Row],[Produto]],tProdutos[Produto],0)),"produto não cadastrado")</f>
        <v>DISPUTADO</v>
      </c>
      <c r="K9366" s="12">
        <f>tItens[[#This Row],[Qtd]]*tItens[[#This Row],[Vlr unit]]</f>
        <v>838.00000000000011</v>
      </c>
      <c r="L9366" s="6">
        <f>IFERROR(IF(INDEX(tProdutos[Desconto homologado],MATCH(tItens[[#This Row],[Produto]],tProdutos[Produto],0))="",DescontoPadrao,INDEX(tProdutos[Desconto homologado],MATCH(tItens[[#This Row],[Produto]],tProdutos[Produto],0))),DescontoPadrao)</f>
        <v>0.42461538461538501</v>
      </c>
      <c r="M9366" s="12">
        <f>tItens[[#This Row],[Valor]]*(1-tItens[[#This Row],[Desconto]])</f>
        <v>482.17230769230736</v>
      </c>
      <c r="N9366" t="str">
        <f>IFERROR(INDEX(tProdutos[Foco],MATCH(tItens[[#This Row],[Produto]],tProdutos[Produto],0)),"Não")</f>
        <v>Não</v>
      </c>
      <c r="O9366" t="str">
        <f>IFERROR(INDEX(tEditais[SRP],MATCH(tItens[[#This Row],[Edital]],tEditais[Edital],0)),"Não")</f>
        <v>Não</v>
      </c>
      <c r="P9366" s="4">
        <f>IF(COUNTIFS(INDEX(tItens[Edital],1):tItens[[#This Row],[Edital]],tItens[[#This Row],[Edital]],INDEX(tItens[Produto],1):tItens[[#This Row],[Produto]],tItens[[#This Row],[Produto]])=1,1,0)</f>
        <v>0</v>
      </c>
    </row>
    <row r="9367" spans="1:16" x14ac:dyDescent="0.25">
      <c r="A9367" t="s">
        <v>3197</v>
      </c>
      <c r="B9367">
        <v>2288162</v>
      </c>
      <c r="C9367" t="s">
        <v>11605</v>
      </c>
      <c r="D9367" t="s">
        <v>283</v>
      </c>
      <c r="E9367" s="13">
        <v>100</v>
      </c>
      <c r="F9367" s="12">
        <v>0.56000000000000005</v>
      </c>
      <c r="G9367" t="str">
        <f>IFERROR(INDEX(tEditais[Órgão],MATCH(tItens[[#This Row],[Edital]],tEditais[Edital],0)),"")</f>
        <v>UNIVERSIDADE DE TAUBATE</v>
      </c>
      <c r="H9367" t="str">
        <f>IFERROR(INDEX(tEditais[UF],MATCH(tItens[[#This Row],[Edital]],tEditais[Edital],0)),"")</f>
        <v>SP</v>
      </c>
      <c r="I9367" s="11">
        <f>IFERROR(INDEX(tEditais[Encerramento],MATCH(tItens[[#This Row],[Edital]],tEditais[Edital],0)),"")</f>
        <v>46314.395833333336</v>
      </c>
      <c r="J9367" t="str">
        <f>IFERROR(INDEX(tProdutos[Classe],MATCH(tItens[[#This Row],[Produto]],tProdutos[Produto],0)),"produto não cadastrado")</f>
        <v>FORA</v>
      </c>
      <c r="K9367" s="12">
        <f>tItens[[#This Row],[Qtd]]*tItens[[#This Row],[Vlr unit]]</f>
        <v>56.000000000000007</v>
      </c>
      <c r="L9367" s="6">
        <f>IFERROR(IF(INDEX(tProdutos[Desconto homologado],MATCH(tItens[[#This Row],[Produto]],tProdutos[Produto],0))="",DescontoPadrao,INDEX(tProdutos[Desconto homologado],MATCH(tItens[[#This Row],[Produto]],tProdutos[Produto],0))),DescontoPadrao)</f>
        <v>0.40540540540540498</v>
      </c>
      <c r="M9367" s="12">
        <f>tItens[[#This Row],[Valor]]*(1-tItens[[#This Row],[Desconto]])</f>
        <v>33.29729729729732</v>
      </c>
      <c r="N9367" t="str">
        <f>IFERROR(INDEX(tProdutos[Foco],MATCH(tItens[[#This Row],[Produto]],tProdutos[Produto],0)),"Não")</f>
        <v>Não</v>
      </c>
      <c r="O9367" t="str">
        <f>IFERROR(INDEX(tEditais[SRP],MATCH(tItens[[#This Row],[Edital]],tEditais[Edital],0)),"Não")</f>
        <v>Não</v>
      </c>
      <c r="P9367" s="4">
        <f>IF(COUNTIFS(INDEX(tItens[Edital],1):tItens[[#This Row],[Edital]],tItens[[#This Row],[Edital]],INDEX(tItens[Produto],1):tItens[[#This Row],[Produto]],tItens[[#This Row],[Produto]])=1,1,0)</f>
        <v>0</v>
      </c>
    </row>
    <row r="9368" spans="1:16" x14ac:dyDescent="0.25">
      <c r="A9368" t="s">
        <v>3197</v>
      </c>
      <c r="B9368">
        <v>2288170</v>
      </c>
      <c r="C9368" t="s">
        <v>11634</v>
      </c>
      <c r="D9368" t="s">
        <v>269</v>
      </c>
      <c r="E9368" s="13">
        <v>10</v>
      </c>
      <c r="F9368" s="12">
        <v>30.29</v>
      </c>
      <c r="G9368" t="str">
        <f>IFERROR(INDEX(tEditais[Órgão],MATCH(tItens[[#This Row],[Edital]],tEditais[Edital],0)),"")</f>
        <v>UNIVERSIDADE DE TAUBATE</v>
      </c>
      <c r="H9368" t="str">
        <f>IFERROR(INDEX(tEditais[UF],MATCH(tItens[[#This Row],[Edital]],tEditais[Edital],0)),"")</f>
        <v>SP</v>
      </c>
      <c r="I9368" s="11">
        <f>IFERROR(INDEX(tEditais[Encerramento],MATCH(tItens[[#This Row],[Edital]],tEditais[Edital],0)),"")</f>
        <v>46314.395833333336</v>
      </c>
      <c r="J9368" t="str">
        <f>IFERROR(INDEX(tProdutos[Classe],MATCH(tItens[[#This Row],[Produto]],tProdutos[Produto],0)),"produto não cadastrado")</f>
        <v>FORA</v>
      </c>
      <c r="K9368" s="12">
        <f>tItens[[#This Row],[Qtd]]*tItens[[#This Row],[Vlr unit]]</f>
        <v>302.89999999999998</v>
      </c>
      <c r="L9368" s="6">
        <f>IFERROR(IF(INDEX(tProdutos[Desconto homologado],MATCH(tItens[[#This Row],[Produto]],tProdutos[Produto],0))="",DescontoPadrao,INDEX(tProdutos[Desconto homologado],MATCH(tItens[[#This Row],[Produto]],tProdutos[Produto],0))),DescontoPadrao)</f>
        <v>0.28935117103332197</v>
      </c>
      <c r="M9368" s="12">
        <f>tItens[[#This Row],[Valor]]*(1-tItens[[#This Row],[Desconto]])</f>
        <v>215.25553029400675</v>
      </c>
      <c r="N9368" t="str">
        <f>IFERROR(INDEX(tProdutos[Foco],MATCH(tItens[[#This Row],[Produto]],tProdutos[Produto],0)),"Não")</f>
        <v>Não</v>
      </c>
      <c r="O9368" t="str">
        <f>IFERROR(INDEX(tEditais[SRP],MATCH(tItens[[#This Row],[Edital]],tEditais[Edital],0)),"Não")</f>
        <v>Não</v>
      </c>
      <c r="P9368" s="4">
        <f>IF(COUNTIFS(INDEX(tItens[Edital],1):tItens[[#This Row],[Edital]],tItens[[#This Row],[Edital]],INDEX(tItens[Produto],1):tItens[[#This Row],[Produto]],tItens[[#This Row],[Produto]])=1,1,0)</f>
        <v>0</v>
      </c>
    </row>
    <row r="9369" spans="1:16" x14ac:dyDescent="0.25">
      <c r="A9369" t="s">
        <v>3197</v>
      </c>
      <c r="B9369">
        <v>2288172</v>
      </c>
      <c r="C9369" t="s">
        <v>11664</v>
      </c>
      <c r="D9369" t="s">
        <v>345</v>
      </c>
      <c r="E9369" s="13">
        <v>2</v>
      </c>
      <c r="F9369" s="12">
        <v>1.44</v>
      </c>
      <c r="G9369" t="str">
        <f>IFERROR(INDEX(tEditais[Órgão],MATCH(tItens[[#This Row],[Edital]],tEditais[Edital],0)),"")</f>
        <v>UNIVERSIDADE DE TAUBATE</v>
      </c>
      <c r="H9369" t="str">
        <f>IFERROR(INDEX(tEditais[UF],MATCH(tItens[[#This Row],[Edital]],tEditais[Edital],0)),"")</f>
        <v>SP</v>
      </c>
      <c r="I9369" s="11">
        <f>IFERROR(INDEX(tEditais[Encerramento],MATCH(tItens[[#This Row],[Edital]],tEditais[Edital],0)),"")</f>
        <v>46314.395833333336</v>
      </c>
      <c r="J9369" t="str">
        <f>IFERROR(INDEX(tProdutos[Classe],MATCH(tItens[[#This Row],[Produto]],tProdutos[Produto],0)),"produto não cadastrado")</f>
        <v>FORA</v>
      </c>
      <c r="K9369" s="12">
        <f>tItens[[#This Row],[Qtd]]*tItens[[#This Row],[Vlr unit]]</f>
        <v>2.88</v>
      </c>
      <c r="L9369" s="6">
        <f>IFERROR(IF(INDEX(tProdutos[Desconto homologado],MATCH(tItens[[#This Row],[Produto]],tProdutos[Produto],0))="",DescontoPadrao,INDEX(tProdutos[Desconto homologado],MATCH(tItens[[#This Row],[Produto]],tProdutos[Produto],0))),DescontoPadrao)</f>
        <v>0.412394275616498</v>
      </c>
      <c r="M9369" s="12">
        <f>tItens[[#This Row],[Valor]]*(1-tItens[[#This Row],[Desconto]])</f>
        <v>1.6923044862244858</v>
      </c>
      <c r="N9369" t="str">
        <f>IFERROR(INDEX(tProdutos[Foco],MATCH(tItens[[#This Row],[Produto]],tProdutos[Produto],0)),"Não")</f>
        <v>Não</v>
      </c>
      <c r="O9369" t="str">
        <f>IFERROR(INDEX(tEditais[SRP],MATCH(tItens[[#This Row],[Edital]],tEditais[Edital],0)),"Não")</f>
        <v>Não</v>
      </c>
      <c r="P9369" s="4">
        <f>IF(COUNTIFS(INDEX(tItens[Edital],1):tItens[[#This Row],[Edital]],tItens[[#This Row],[Edital]],INDEX(tItens[Produto],1):tItens[[#This Row],[Produto]],tItens[[#This Row],[Produto]])=1,1,0)</f>
        <v>1</v>
      </c>
    </row>
    <row r="9370" spans="1:16" x14ac:dyDescent="0.25">
      <c r="A9370" t="s">
        <v>3197</v>
      </c>
      <c r="B9370">
        <v>2288175</v>
      </c>
      <c r="C9370" t="s">
        <v>11665</v>
      </c>
      <c r="D9370" t="s">
        <v>339</v>
      </c>
      <c r="E9370" s="13">
        <v>140</v>
      </c>
      <c r="F9370" s="12">
        <v>1.59</v>
      </c>
      <c r="G9370" t="str">
        <f>IFERROR(INDEX(tEditais[Órgão],MATCH(tItens[[#This Row],[Edital]],tEditais[Edital],0)),"")</f>
        <v>UNIVERSIDADE DE TAUBATE</v>
      </c>
      <c r="H9370" t="str">
        <f>IFERROR(INDEX(tEditais[UF],MATCH(tItens[[#This Row],[Edital]],tEditais[Edital],0)),"")</f>
        <v>SP</v>
      </c>
      <c r="I9370" s="11">
        <f>IFERROR(INDEX(tEditais[Encerramento],MATCH(tItens[[#This Row],[Edital]],tEditais[Edital],0)),"")</f>
        <v>46314.395833333336</v>
      </c>
      <c r="J9370" t="str">
        <f>IFERROR(INDEX(tProdutos[Classe],MATCH(tItens[[#This Row],[Produto]],tProdutos[Produto],0)),"produto não cadastrado")</f>
        <v>FORA</v>
      </c>
      <c r="K9370" s="12">
        <f>tItens[[#This Row],[Qtd]]*tItens[[#This Row],[Vlr unit]]</f>
        <v>222.60000000000002</v>
      </c>
      <c r="L9370" s="6">
        <f>IFERROR(IF(INDEX(tProdutos[Desconto homologado],MATCH(tItens[[#This Row],[Produto]],tProdutos[Produto],0))="",DescontoPadrao,INDEX(tProdutos[Desconto homologado],MATCH(tItens[[#This Row],[Produto]],tProdutos[Produto],0))),DescontoPadrao)</f>
        <v>0.35388629091804102</v>
      </c>
      <c r="M9370" s="12">
        <f>tItens[[#This Row],[Valor]]*(1-tItens[[#This Row],[Desconto]])</f>
        <v>143.82491164164409</v>
      </c>
      <c r="N9370" t="str">
        <f>IFERROR(INDEX(tProdutos[Foco],MATCH(tItens[[#This Row],[Produto]],tProdutos[Produto],0)),"Não")</f>
        <v>Não</v>
      </c>
      <c r="O9370" t="str">
        <f>IFERROR(INDEX(tEditais[SRP],MATCH(tItens[[#This Row],[Edital]],tEditais[Edital],0)),"Não")</f>
        <v>Não</v>
      </c>
      <c r="P9370" s="4">
        <f>IF(COUNTIFS(INDEX(tItens[Edital],1):tItens[[#This Row],[Edital]],tItens[[#This Row],[Edital]],INDEX(tItens[Produto],1):tItens[[#This Row],[Produto]],tItens[[#This Row],[Produto]])=1,1,0)</f>
        <v>1</v>
      </c>
    </row>
    <row r="9371" spans="1:16" x14ac:dyDescent="0.25">
      <c r="A9371" t="s">
        <v>3197</v>
      </c>
      <c r="B9371">
        <v>2288182</v>
      </c>
      <c r="C9371" t="s">
        <v>11666</v>
      </c>
      <c r="D9371" t="s">
        <v>160</v>
      </c>
      <c r="E9371" s="13">
        <v>15</v>
      </c>
      <c r="F9371" s="12">
        <v>13.5</v>
      </c>
      <c r="G9371" t="str">
        <f>IFERROR(INDEX(tEditais[Órgão],MATCH(tItens[[#This Row],[Edital]],tEditais[Edital],0)),"")</f>
        <v>UNIVERSIDADE DE TAUBATE</v>
      </c>
      <c r="H9371" t="str">
        <f>IFERROR(INDEX(tEditais[UF],MATCH(tItens[[#This Row],[Edital]],tEditais[Edital],0)),"")</f>
        <v>SP</v>
      </c>
      <c r="I9371" s="11">
        <f>IFERROR(INDEX(tEditais[Encerramento],MATCH(tItens[[#This Row],[Edital]],tEditais[Edital],0)),"")</f>
        <v>46314.395833333336</v>
      </c>
      <c r="J9371" t="str">
        <f>IFERROR(INDEX(tProdutos[Classe],MATCH(tItens[[#This Row],[Produto]],tProdutos[Produto],0)),"produto não cadastrado")</f>
        <v>DISPUTADO</v>
      </c>
      <c r="K9371" s="12">
        <f>tItens[[#This Row],[Qtd]]*tItens[[#This Row],[Vlr unit]]</f>
        <v>202.5</v>
      </c>
      <c r="L9371" s="6">
        <f>IFERROR(IF(INDEX(tProdutos[Desconto homologado],MATCH(tItens[[#This Row],[Produto]],tProdutos[Produto],0))="",DescontoPadrao,INDEX(tProdutos[Desconto homologado],MATCH(tItens[[#This Row],[Produto]],tProdutos[Produto],0))),DescontoPadrao)</f>
        <v>0.28000000000000003</v>
      </c>
      <c r="M9371" s="12">
        <f>tItens[[#This Row],[Valor]]*(1-tItens[[#This Row],[Desconto]])</f>
        <v>145.79999999999998</v>
      </c>
      <c r="N9371" t="str">
        <f>IFERROR(INDEX(tProdutos[Foco],MATCH(tItens[[#This Row],[Produto]],tProdutos[Produto],0)),"Não")</f>
        <v>Sim</v>
      </c>
      <c r="O9371" t="str">
        <f>IFERROR(INDEX(tEditais[SRP],MATCH(tItens[[#This Row],[Edital]],tEditais[Edital],0)),"Não")</f>
        <v>Não</v>
      </c>
      <c r="P9371" s="4">
        <f>IF(COUNTIFS(INDEX(tItens[Edital],1):tItens[[#This Row],[Edital]],tItens[[#This Row],[Edital]],INDEX(tItens[Produto],1):tItens[[#This Row],[Produto]],tItens[[#This Row],[Produto]])=1,1,0)</f>
        <v>0</v>
      </c>
    </row>
    <row r="9372" spans="1:16" x14ac:dyDescent="0.25">
      <c r="A9372" t="s">
        <v>3197</v>
      </c>
      <c r="B9372">
        <v>2288185</v>
      </c>
      <c r="C9372" t="s">
        <v>11667</v>
      </c>
      <c r="D9372" t="s">
        <v>551</v>
      </c>
      <c r="E9372" s="13">
        <v>5</v>
      </c>
      <c r="F9372" s="12">
        <v>26</v>
      </c>
      <c r="G9372" t="str">
        <f>IFERROR(INDEX(tEditais[Órgão],MATCH(tItens[[#This Row],[Edital]],tEditais[Edital],0)),"")</f>
        <v>UNIVERSIDADE DE TAUBATE</v>
      </c>
      <c r="H9372" t="str">
        <f>IFERROR(INDEX(tEditais[UF],MATCH(tItens[[#This Row],[Edital]],tEditais[Edital],0)),"")</f>
        <v>SP</v>
      </c>
      <c r="I9372" s="11">
        <f>IFERROR(INDEX(tEditais[Encerramento],MATCH(tItens[[#This Row],[Edital]],tEditais[Edital],0)),"")</f>
        <v>46314.395833333336</v>
      </c>
      <c r="J9372" t="str">
        <f>IFERROR(INDEX(tProdutos[Classe],MATCH(tItens[[#This Row],[Produto]],tProdutos[Produto],0)),"produto não cadastrado")</f>
        <v>FILA REBASE</v>
      </c>
      <c r="K9372" s="12">
        <f>tItens[[#This Row],[Qtd]]*tItens[[#This Row],[Vlr unit]]</f>
        <v>130</v>
      </c>
      <c r="L9372" s="6">
        <f>IFERROR(IF(INDEX(tProdutos[Desconto homologado],MATCH(tItens[[#This Row],[Produto]],tProdutos[Produto],0))="",DescontoPadrao,INDEX(tProdutos[Desconto homologado],MATCH(tItens[[#This Row],[Produto]],tProdutos[Produto],0))),DescontoPadrao)</f>
        <v>0.71401513972830499</v>
      </c>
      <c r="M9372" s="12">
        <f>tItens[[#This Row],[Valor]]*(1-tItens[[#This Row],[Desconto]])</f>
        <v>37.178031835320354</v>
      </c>
      <c r="N9372" t="str">
        <f>IFERROR(INDEX(tProdutos[Foco],MATCH(tItens[[#This Row],[Produto]],tProdutos[Produto],0)),"Não")</f>
        <v>Não</v>
      </c>
      <c r="O9372" t="str">
        <f>IFERROR(INDEX(tEditais[SRP],MATCH(tItens[[#This Row],[Edital]],tEditais[Edital],0)),"Não")</f>
        <v>Não</v>
      </c>
      <c r="P9372" s="4">
        <f>IF(COUNTIFS(INDEX(tItens[Edital],1):tItens[[#This Row],[Edital]],tItens[[#This Row],[Edital]],INDEX(tItens[Produto],1):tItens[[#This Row],[Produto]],tItens[[#This Row],[Produto]])=1,1,0)</f>
        <v>1</v>
      </c>
    </row>
    <row r="9373" spans="1:16" x14ac:dyDescent="0.25">
      <c r="A9373" t="s">
        <v>3197</v>
      </c>
      <c r="B9373">
        <v>2288192</v>
      </c>
      <c r="C9373" t="s">
        <v>11594</v>
      </c>
      <c r="D9373" t="s">
        <v>279</v>
      </c>
      <c r="E9373" s="13">
        <v>120</v>
      </c>
      <c r="F9373" s="12">
        <v>0.45</v>
      </c>
      <c r="G9373" t="str">
        <f>IFERROR(INDEX(tEditais[Órgão],MATCH(tItens[[#This Row],[Edital]],tEditais[Edital],0)),"")</f>
        <v>UNIVERSIDADE DE TAUBATE</v>
      </c>
      <c r="H9373" t="str">
        <f>IFERROR(INDEX(tEditais[UF],MATCH(tItens[[#This Row],[Edital]],tEditais[Edital],0)),"")</f>
        <v>SP</v>
      </c>
      <c r="I9373" s="11">
        <f>IFERROR(INDEX(tEditais[Encerramento],MATCH(tItens[[#This Row],[Edital]],tEditais[Edital],0)),"")</f>
        <v>46314.395833333336</v>
      </c>
      <c r="J9373" t="str">
        <f>IFERROR(INDEX(tProdutos[Classe],MATCH(tItens[[#This Row],[Produto]],tProdutos[Produto],0)),"produto não cadastrado")</f>
        <v>FORA</v>
      </c>
      <c r="K9373" s="12">
        <f>tItens[[#This Row],[Qtd]]*tItens[[#This Row],[Vlr unit]]</f>
        <v>54</v>
      </c>
      <c r="L9373" s="6">
        <f>IFERROR(IF(INDEX(tProdutos[Desconto homologado],MATCH(tItens[[#This Row],[Produto]],tProdutos[Produto],0))="",DescontoPadrao,INDEX(tProdutos[Desconto homologado],MATCH(tItens[[#This Row],[Produto]],tProdutos[Produto],0))),DescontoPadrao)</f>
        <v>0.28909090909090901</v>
      </c>
      <c r="M9373" s="12">
        <f>tItens[[#This Row],[Valor]]*(1-tItens[[#This Row],[Desconto]])</f>
        <v>38.38909090909091</v>
      </c>
      <c r="N9373" t="str">
        <f>IFERROR(INDEX(tProdutos[Foco],MATCH(tItens[[#This Row],[Produto]],tProdutos[Produto],0)),"Não")</f>
        <v>Não</v>
      </c>
      <c r="O9373" t="str">
        <f>IFERROR(INDEX(tEditais[SRP],MATCH(tItens[[#This Row],[Edital]],tEditais[Edital],0)),"Não")</f>
        <v>Não</v>
      </c>
      <c r="P9373" s="4">
        <f>IF(COUNTIFS(INDEX(tItens[Edital],1):tItens[[#This Row],[Edital]],tItens[[#This Row],[Edital]],INDEX(tItens[Produto],1):tItens[[#This Row],[Produto]],tItens[[#This Row],[Produto]])=1,1,0)</f>
        <v>0</v>
      </c>
    </row>
    <row r="9374" spans="1:16" x14ac:dyDescent="0.25">
      <c r="A9374" t="s">
        <v>3197</v>
      </c>
      <c r="B9374">
        <v>2288193</v>
      </c>
      <c r="C9374" t="s">
        <v>11668</v>
      </c>
      <c r="D9374" t="s">
        <v>279</v>
      </c>
      <c r="E9374" s="13">
        <v>10</v>
      </c>
      <c r="F9374" s="12">
        <v>4.3</v>
      </c>
      <c r="G9374" t="str">
        <f>IFERROR(INDEX(tEditais[Órgão],MATCH(tItens[[#This Row],[Edital]],tEditais[Edital],0)),"")</f>
        <v>UNIVERSIDADE DE TAUBATE</v>
      </c>
      <c r="H9374" t="str">
        <f>IFERROR(INDEX(tEditais[UF],MATCH(tItens[[#This Row],[Edital]],tEditais[Edital],0)),"")</f>
        <v>SP</v>
      </c>
      <c r="I9374" s="11">
        <f>IFERROR(INDEX(tEditais[Encerramento],MATCH(tItens[[#This Row],[Edital]],tEditais[Edital],0)),"")</f>
        <v>46314.395833333336</v>
      </c>
      <c r="J9374" t="str">
        <f>IFERROR(INDEX(tProdutos[Classe],MATCH(tItens[[#This Row],[Produto]],tProdutos[Produto],0)),"produto não cadastrado")</f>
        <v>FORA</v>
      </c>
      <c r="K9374" s="12">
        <f>tItens[[#This Row],[Qtd]]*tItens[[#This Row],[Vlr unit]]</f>
        <v>43</v>
      </c>
      <c r="L9374" s="6">
        <f>IFERROR(IF(INDEX(tProdutos[Desconto homologado],MATCH(tItens[[#This Row],[Produto]],tProdutos[Produto],0))="",DescontoPadrao,INDEX(tProdutos[Desconto homologado],MATCH(tItens[[#This Row],[Produto]],tProdutos[Produto],0))),DescontoPadrao)</f>
        <v>0.28909090909090901</v>
      </c>
      <c r="M9374" s="12">
        <f>tItens[[#This Row],[Valor]]*(1-tItens[[#This Row],[Desconto]])</f>
        <v>30.56909090909091</v>
      </c>
      <c r="N9374" t="str">
        <f>IFERROR(INDEX(tProdutos[Foco],MATCH(tItens[[#This Row],[Produto]],tProdutos[Produto],0)),"Não")</f>
        <v>Não</v>
      </c>
      <c r="O9374" t="str">
        <f>IFERROR(INDEX(tEditais[SRP],MATCH(tItens[[#This Row],[Edital]],tEditais[Edital],0)),"Não")</f>
        <v>Não</v>
      </c>
      <c r="P9374" s="4">
        <f>IF(COUNTIFS(INDEX(tItens[Edital],1):tItens[[#This Row],[Edital]],tItens[[#This Row],[Edital]],INDEX(tItens[Produto],1):tItens[[#This Row],[Produto]],tItens[[#This Row],[Produto]])=1,1,0)</f>
        <v>0</v>
      </c>
    </row>
    <row r="9375" spans="1:16" x14ac:dyDescent="0.25">
      <c r="A9375" t="s">
        <v>3197</v>
      </c>
      <c r="B9375">
        <v>2288195</v>
      </c>
      <c r="C9375" t="s">
        <v>11669</v>
      </c>
      <c r="D9375" t="s">
        <v>641</v>
      </c>
      <c r="E9375" s="13">
        <v>4</v>
      </c>
      <c r="F9375" s="12">
        <v>50.9</v>
      </c>
      <c r="G9375" t="str">
        <f>IFERROR(INDEX(tEditais[Órgão],MATCH(tItens[[#This Row],[Edital]],tEditais[Edital],0)),"")</f>
        <v>UNIVERSIDADE DE TAUBATE</v>
      </c>
      <c r="H9375" t="str">
        <f>IFERROR(INDEX(tEditais[UF],MATCH(tItens[[#This Row],[Edital]],tEditais[Edital],0)),"")</f>
        <v>SP</v>
      </c>
      <c r="I9375" s="11">
        <f>IFERROR(INDEX(tEditais[Encerramento],MATCH(tItens[[#This Row],[Edital]],tEditais[Edital],0)),"")</f>
        <v>46314.395833333336</v>
      </c>
      <c r="J9375" t="str">
        <f>IFERROR(INDEX(tProdutos[Classe],MATCH(tItens[[#This Row],[Produto]],tProdutos[Produto],0)),"produto não cadastrado")</f>
        <v>FILA REBASE</v>
      </c>
      <c r="K9375" s="12">
        <f>tItens[[#This Row],[Qtd]]*tItens[[#This Row],[Vlr unit]]</f>
        <v>203.6</v>
      </c>
      <c r="L9375" s="6">
        <f>IFERROR(IF(INDEX(tProdutos[Desconto homologado],MATCH(tItens[[#This Row],[Produto]],tProdutos[Produto],0))="",DescontoPadrao,INDEX(tProdutos[Desconto homologado],MATCH(tItens[[#This Row],[Produto]],tProdutos[Produto],0))),DescontoPadrao)</f>
        <v>0.3</v>
      </c>
      <c r="M9375" s="12">
        <f>tItens[[#This Row],[Valor]]*(1-tItens[[#This Row],[Desconto]])</f>
        <v>142.51999999999998</v>
      </c>
      <c r="N9375" t="str">
        <f>IFERROR(INDEX(tProdutos[Foco],MATCH(tItens[[#This Row],[Produto]],tProdutos[Produto],0)),"Não")</f>
        <v>Não</v>
      </c>
      <c r="O9375" t="str">
        <f>IFERROR(INDEX(tEditais[SRP],MATCH(tItens[[#This Row],[Edital]],tEditais[Edital],0)),"Não")</f>
        <v>Não</v>
      </c>
      <c r="P9375" s="4">
        <f>IF(COUNTIFS(INDEX(tItens[Edital],1):tItens[[#This Row],[Edital]],tItens[[#This Row],[Edital]],INDEX(tItens[Produto],1):tItens[[#This Row],[Produto]],tItens[[#This Row],[Produto]])=1,1,0)</f>
        <v>1</v>
      </c>
    </row>
    <row r="9376" spans="1:16" x14ac:dyDescent="0.25">
      <c r="A9376" t="s">
        <v>3197</v>
      </c>
      <c r="B9376">
        <v>2288203</v>
      </c>
      <c r="C9376" t="s">
        <v>11670</v>
      </c>
      <c r="D9376" t="s">
        <v>512</v>
      </c>
      <c r="E9376" s="13">
        <v>2</v>
      </c>
      <c r="F9376" s="12">
        <v>51.48</v>
      </c>
      <c r="G9376" t="str">
        <f>IFERROR(INDEX(tEditais[Órgão],MATCH(tItens[[#This Row],[Edital]],tEditais[Edital],0)),"")</f>
        <v>UNIVERSIDADE DE TAUBATE</v>
      </c>
      <c r="H9376" t="str">
        <f>IFERROR(INDEX(tEditais[UF],MATCH(tItens[[#This Row],[Edital]],tEditais[Edital],0)),"")</f>
        <v>SP</v>
      </c>
      <c r="I9376" s="11">
        <f>IFERROR(INDEX(tEditais[Encerramento],MATCH(tItens[[#This Row],[Edital]],tEditais[Edital],0)),"")</f>
        <v>46314.395833333336</v>
      </c>
      <c r="J9376" t="str">
        <f>IFERROR(INDEX(tProdutos[Classe],MATCH(tItens[[#This Row],[Produto]],tProdutos[Produto],0)),"produto não cadastrado")</f>
        <v>FILA REBASE</v>
      </c>
      <c r="K9376" s="12">
        <f>tItens[[#This Row],[Qtd]]*tItens[[#This Row],[Vlr unit]]</f>
        <v>102.96</v>
      </c>
      <c r="L9376" s="6">
        <f>IFERROR(IF(INDEX(tProdutos[Desconto homologado],MATCH(tItens[[#This Row],[Produto]],tProdutos[Produto],0))="",DescontoPadrao,INDEX(tProdutos[Desconto homologado],MATCH(tItens[[#This Row],[Produto]],tProdutos[Produto],0))),DescontoPadrao)</f>
        <v>0.32579365079365102</v>
      </c>
      <c r="M9376" s="12">
        <f>tItens[[#This Row],[Valor]]*(1-tItens[[#This Row],[Desconto]])</f>
        <v>69.416285714285692</v>
      </c>
      <c r="N9376" t="str">
        <f>IFERROR(INDEX(tProdutos[Foco],MATCH(tItens[[#This Row],[Produto]],tProdutos[Produto],0)),"Não")</f>
        <v>Não</v>
      </c>
      <c r="O9376" t="str">
        <f>IFERROR(INDEX(tEditais[SRP],MATCH(tItens[[#This Row],[Edital]],tEditais[Edital],0)),"Não")</f>
        <v>Não</v>
      </c>
      <c r="P9376" s="4">
        <f>IF(COUNTIFS(INDEX(tItens[Edital],1):tItens[[#This Row],[Edital]],tItens[[#This Row],[Edital]],INDEX(tItens[Produto],1):tItens[[#This Row],[Produto]],tItens[[#This Row],[Produto]])=1,1,0)</f>
        <v>1</v>
      </c>
    </row>
    <row r="9377" spans="1:16" x14ac:dyDescent="0.25">
      <c r="A9377" t="s">
        <v>3197</v>
      </c>
      <c r="B9377">
        <v>2288205</v>
      </c>
      <c r="C9377" t="s">
        <v>11671</v>
      </c>
      <c r="D9377" t="s">
        <v>56</v>
      </c>
      <c r="E9377" s="13">
        <v>5</v>
      </c>
      <c r="F9377" s="12">
        <v>36</v>
      </c>
      <c r="G9377" t="str">
        <f>IFERROR(INDEX(tEditais[Órgão],MATCH(tItens[[#This Row],[Edital]],tEditais[Edital],0)),"")</f>
        <v>UNIVERSIDADE DE TAUBATE</v>
      </c>
      <c r="H9377" t="str">
        <f>IFERROR(INDEX(tEditais[UF],MATCH(tItens[[#This Row],[Edital]],tEditais[Edital],0)),"")</f>
        <v>SP</v>
      </c>
      <c r="I9377" s="11">
        <f>IFERROR(INDEX(tEditais[Encerramento],MATCH(tItens[[#This Row],[Edital]],tEditais[Edital],0)),"")</f>
        <v>46314.395833333336</v>
      </c>
      <c r="J9377" t="str">
        <f>IFERROR(INDEX(tProdutos[Classe],MATCH(tItens[[#This Row],[Produto]],tProdutos[Produto],0)),"produto não cadastrado")</f>
        <v>NÚCLEO</v>
      </c>
      <c r="K9377" s="12">
        <f>tItens[[#This Row],[Qtd]]*tItens[[#This Row],[Vlr unit]]</f>
        <v>180</v>
      </c>
      <c r="L9377" s="6">
        <f>IFERROR(IF(INDEX(tProdutos[Desconto homologado],MATCH(tItens[[#This Row],[Produto]],tProdutos[Produto],0))="",DescontoPadrao,INDEX(tProdutos[Desconto homologado],MATCH(tItens[[#This Row],[Produto]],tProdutos[Produto],0))),DescontoPadrao)</f>
        <v>0.34</v>
      </c>
      <c r="M9377" s="12">
        <f>tItens[[#This Row],[Valor]]*(1-tItens[[#This Row],[Desconto]])</f>
        <v>118.79999999999998</v>
      </c>
      <c r="N9377" t="str">
        <f>IFERROR(INDEX(tProdutos[Foco],MATCH(tItens[[#This Row],[Produto]],tProdutos[Produto],0)),"Não")</f>
        <v>Sim</v>
      </c>
      <c r="O9377" t="str">
        <f>IFERROR(INDEX(tEditais[SRP],MATCH(tItens[[#This Row],[Edital]],tEditais[Edital],0)),"Não")</f>
        <v>Não</v>
      </c>
      <c r="P9377" s="4">
        <f>IF(COUNTIFS(INDEX(tItens[Edital],1):tItens[[#This Row],[Edital]],tItens[[#This Row],[Edital]],INDEX(tItens[Produto],1):tItens[[#This Row],[Produto]],tItens[[#This Row],[Produto]])=1,1,0)</f>
        <v>0</v>
      </c>
    </row>
    <row r="9378" spans="1:16" x14ac:dyDescent="0.25">
      <c r="A9378" t="s">
        <v>3197</v>
      </c>
      <c r="B9378">
        <v>2288208</v>
      </c>
      <c r="C9378" t="s">
        <v>11672</v>
      </c>
      <c r="D9378" t="s">
        <v>249</v>
      </c>
      <c r="E9378" s="13">
        <v>2</v>
      </c>
      <c r="F9378" s="12">
        <v>18</v>
      </c>
      <c r="G9378" t="str">
        <f>IFERROR(INDEX(tEditais[Órgão],MATCH(tItens[[#This Row],[Edital]],tEditais[Edital],0)),"")</f>
        <v>UNIVERSIDADE DE TAUBATE</v>
      </c>
      <c r="H9378" t="str">
        <f>IFERROR(INDEX(tEditais[UF],MATCH(tItens[[#This Row],[Edital]],tEditais[Edital],0)),"")</f>
        <v>SP</v>
      </c>
      <c r="I9378" s="11">
        <f>IFERROR(INDEX(tEditais[Encerramento],MATCH(tItens[[#This Row],[Edital]],tEditais[Edital],0)),"")</f>
        <v>46314.395833333336</v>
      </c>
      <c r="J9378" t="str">
        <f>IFERROR(INDEX(tProdutos[Classe],MATCH(tItens[[#This Row],[Produto]],tProdutos[Produto],0)),"produto não cadastrado")</f>
        <v>FORA</v>
      </c>
      <c r="K9378" s="12">
        <f>tItens[[#This Row],[Qtd]]*tItens[[#This Row],[Vlr unit]]</f>
        <v>36</v>
      </c>
      <c r="L9378" s="6">
        <f>IFERROR(IF(INDEX(tProdutos[Desconto homologado],MATCH(tItens[[#This Row],[Produto]],tProdutos[Produto],0))="",DescontoPadrao,INDEX(tProdutos[Desconto homologado],MATCH(tItens[[#This Row],[Produto]],tProdutos[Produto],0))),DescontoPadrao)</f>
        <v>0.45399945399945402</v>
      </c>
      <c r="M9378" s="12">
        <f>tItens[[#This Row],[Valor]]*(1-tItens[[#This Row],[Desconto]])</f>
        <v>19.656019656019652</v>
      </c>
      <c r="N9378" t="str">
        <f>IFERROR(INDEX(tProdutos[Foco],MATCH(tItens[[#This Row],[Produto]],tProdutos[Produto],0)),"Não")</f>
        <v>Não</v>
      </c>
      <c r="O9378" t="str">
        <f>IFERROR(INDEX(tEditais[SRP],MATCH(tItens[[#This Row],[Edital]],tEditais[Edital],0)),"Não")</f>
        <v>Não</v>
      </c>
      <c r="P9378" s="4">
        <f>IF(COUNTIFS(INDEX(tItens[Edital],1):tItens[[#This Row],[Edital]],tItens[[#This Row],[Edital]],INDEX(tItens[Produto],1):tItens[[#This Row],[Produto]],tItens[[#This Row],[Produto]])=1,1,0)</f>
        <v>1</v>
      </c>
    </row>
    <row r="9379" spans="1:16" x14ac:dyDescent="0.25">
      <c r="A9379" t="s">
        <v>3197</v>
      </c>
      <c r="B9379">
        <v>2288209</v>
      </c>
      <c r="C9379" t="s">
        <v>11673</v>
      </c>
      <c r="D9379" t="s">
        <v>399</v>
      </c>
      <c r="E9379" s="13">
        <v>2</v>
      </c>
      <c r="F9379" s="12">
        <v>30.72</v>
      </c>
      <c r="G9379" t="str">
        <f>IFERROR(INDEX(tEditais[Órgão],MATCH(tItens[[#This Row],[Edital]],tEditais[Edital],0)),"")</f>
        <v>UNIVERSIDADE DE TAUBATE</v>
      </c>
      <c r="H9379" t="str">
        <f>IFERROR(INDEX(tEditais[UF],MATCH(tItens[[#This Row],[Edital]],tEditais[Edital],0)),"")</f>
        <v>SP</v>
      </c>
      <c r="I9379" s="11">
        <f>IFERROR(INDEX(tEditais[Encerramento],MATCH(tItens[[#This Row],[Edital]],tEditais[Edital],0)),"")</f>
        <v>46314.395833333336</v>
      </c>
      <c r="J9379" t="str">
        <f>IFERROR(INDEX(tProdutos[Classe],MATCH(tItens[[#This Row],[Produto]],tProdutos[Produto],0)),"produto não cadastrado")</f>
        <v>FORA</v>
      </c>
      <c r="K9379" s="12">
        <f>tItens[[#This Row],[Qtd]]*tItens[[#This Row],[Vlr unit]]</f>
        <v>61.44</v>
      </c>
      <c r="L9379" s="6">
        <f>IFERROR(IF(INDEX(tProdutos[Desconto homologado],MATCH(tItens[[#This Row],[Produto]],tProdutos[Produto],0))="",DescontoPadrao,INDEX(tProdutos[Desconto homologado],MATCH(tItens[[#This Row],[Produto]],tProdutos[Produto],0))),DescontoPadrao)</f>
        <v>0.30009041591320101</v>
      </c>
      <c r="M9379" s="12">
        <f>tItens[[#This Row],[Valor]]*(1-tItens[[#This Row],[Desconto]])</f>
        <v>43.002444846292931</v>
      </c>
      <c r="N9379" t="str">
        <f>IFERROR(INDEX(tProdutos[Foco],MATCH(tItens[[#This Row],[Produto]],tProdutos[Produto],0)),"Não")</f>
        <v>Não</v>
      </c>
      <c r="O9379" t="str">
        <f>IFERROR(INDEX(tEditais[SRP],MATCH(tItens[[#This Row],[Edital]],tEditais[Edital],0)),"Não")</f>
        <v>Não</v>
      </c>
      <c r="P9379" s="4">
        <f>IF(COUNTIFS(INDEX(tItens[Edital],1):tItens[[#This Row],[Edital]],tItens[[#This Row],[Edital]],INDEX(tItens[Produto],1):tItens[[#This Row],[Produto]],tItens[[#This Row],[Produto]])=1,1,0)</f>
        <v>1</v>
      </c>
    </row>
    <row r="9380" spans="1:16" x14ac:dyDescent="0.25">
      <c r="A9380" t="s">
        <v>3197</v>
      </c>
      <c r="B9380">
        <v>2288210</v>
      </c>
      <c r="C9380" t="s">
        <v>11674</v>
      </c>
      <c r="D9380" t="s">
        <v>494</v>
      </c>
      <c r="E9380" s="13">
        <v>2</v>
      </c>
      <c r="F9380" s="12">
        <v>27.1</v>
      </c>
      <c r="G9380" t="str">
        <f>IFERROR(INDEX(tEditais[Órgão],MATCH(tItens[[#This Row],[Edital]],tEditais[Edital],0)),"")</f>
        <v>UNIVERSIDADE DE TAUBATE</v>
      </c>
      <c r="H9380" t="str">
        <f>IFERROR(INDEX(tEditais[UF],MATCH(tItens[[#This Row],[Edital]],tEditais[Edital],0)),"")</f>
        <v>SP</v>
      </c>
      <c r="I9380" s="11">
        <f>IFERROR(INDEX(tEditais[Encerramento],MATCH(tItens[[#This Row],[Edital]],tEditais[Edital],0)),"")</f>
        <v>46314.395833333336</v>
      </c>
      <c r="J9380" t="str">
        <f>IFERROR(INDEX(tProdutos[Classe],MATCH(tItens[[#This Row],[Produto]],tProdutos[Produto],0)),"produto não cadastrado")</f>
        <v>FILA REBASE</v>
      </c>
      <c r="K9380" s="12">
        <f>tItens[[#This Row],[Qtd]]*tItens[[#This Row],[Vlr unit]]</f>
        <v>54.2</v>
      </c>
      <c r="L9380" s="6">
        <f>IFERROR(IF(INDEX(tProdutos[Desconto homologado],MATCH(tItens[[#This Row],[Produto]],tProdutos[Produto],0))="",DescontoPadrao,INDEX(tProdutos[Desconto homologado],MATCH(tItens[[#This Row],[Produto]],tProdutos[Produto],0))),DescontoPadrao)</f>
        <v>0.253736324829619</v>
      </c>
      <c r="M9380" s="12">
        <f>tItens[[#This Row],[Valor]]*(1-tItens[[#This Row],[Desconto]])</f>
        <v>40.447491194234658</v>
      </c>
      <c r="N9380" t="str">
        <f>IFERROR(INDEX(tProdutos[Foco],MATCH(tItens[[#This Row],[Produto]],tProdutos[Produto],0)),"Não")</f>
        <v>Não</v>
      </c>
      <c r="O9380" t="str">
        <f>IFERROR(INDEX(tEditais[SRP],MATCH(tItens[[#This Row],[Edital]],tEditais[Edital],0)),"Não")</f>
        <v>Não</v>
      </c>
      <c r="P9380" s="4">
        <f>IF(COUNTIFS(INDEX(tItens[Edital],1):tItens[[#This Row],[Edital]],tItens[[#This Row],[Edital]],INDEX(tItens[Produto],1):tItens[[#This Row],[Produto]],tItens[[#This Row],[Produto]])=1,1,0)</f>
        <v>0</v>
      </c>
    </row>
    <row r="9381" spans="1:16" x14ac:dyDescent="0.25">
      <c r="A9381" t="s">
        <v>3197</v>
      </c>
      <c r="B9381">
        <v>2288227</v>
      </c>
      <c r="C9381" t="s">
        <v>11675</v>
      </c>
      <c r="D9381" t="s">
        <v>327</v>
      </c>
      <c r="E9381" s="13">
        <v>5</v>
      </c>
      <c r="F9381" s="12">
        <v>15.39</v>
      </c>
      <c r="G9381" t="str">
        <f>IFERROR(INDEX(tEditais[Órgão],MATCH(tItens[[#This Row],[Edital]],tEditais[Edital],0)),"")</f>
        <v>UNIVERSIDADE DE TAUBATE</v>
      </c>
      <c r="H9381" t="str">
        <f>IFERROR(INDEX(tEditais[UF],MATCH(tItens[[#This Row],[Edital]],tEditais[Edital],0)),"")</f>
        <v>SP</v>
      </c>
      <c r="I9381" s="11">
        <f>IFERROR(INDEX(tEditais[Encerramento],MATCH(tItens[[#This Row],[Edital]],tEditais[Edital],0)),"")</f>
        <v>46314.395833333336</v>
      </c>
      <c r="J9381" t="str">
        <f>IFERROR(INDEX(tProdutos[Classe],MATCH(tItens[[#This Row],[Produto]],tProdutos[Produto],0)),"produto não cadastrado")</f>
        <v>FORA</v>
      </c>
      <c r="K9381" s="12">
        <f>tItens[[#This Row],[Qtd]]*tItens[[#This Row],[Vlr unit]]</f>
        <v>76.95</v>
      </c>
      <c r="L9381" s="6">
        <f>IFERROR(IF(INDEX(tProdutos[Desconto homologado],MATCH(tItens[[#This Row],[Produto]],tProdutos[Produto],0))="",DescontoPadrao,INDEX(tProdutos[Desconto homologado],MATCH(tItens[[#This Row],[Produto]],tProdutos[Produto],0))),DescontoPadrao)</f>
        <v>0.49969483918783197</v>
      </c>
      <c r="M9381" s="12">
        <f>tItens[[#This Row],[Valor]]*(1-tItens[[#This Row],[Desconto]])</f>
        <v>38.498482124496334</v>
      </c>
      <c r="N9381" t="str">
        <f>IFERROR(INDEX(tProdutos[Foco],MATCH(tItens[[#This Row],[Produto]],tProdutos[Produto],0)),"Não")</f>
        <v>Não</v>
      </c>
      <c r="O9381" t="str">
        <f>IFERROR(INDEX(tEditais[SRP],MATCH(tItens[[#This Row],[Edital]],tEditais[Edital],0)),"Não")</f>
        <v>Não</v>
      </c>
      <c r="P9381" s="4">
        <f>IF(COUNTIFS(INDEX(tItens[Edital],1):tItens[[#This Row],[Edital]],tItens[[#This Row],[Edital]],INDEX(tItens[Produto],1):tItens[[#This Row],[Produto]],tItens[[#This Row],[Produto]])=1,1,0)</f>
        <v>1</v>
      </c>
    </row>
    <row r="9382" spans="1:16" x14ac:dyDescent="0.25">
      <c r="A9382" t="s">
        <v>3197</v>
      </c>
      <c r="B9382">
        <v>2288229</v>
      </c>
      <c r="C9382" t="s">
        <v>11676</v>
      </c>
      <c r="D9382" t="s">
        <v>694</v>
      </c>
      <c r="E9382" s="13">
        <v>2</v>
      </c>
      <c r="F9382" s="12">
        <v>155</v>
      </c>
      <c r="G9382" t="str">
        <f>IFERROR(INDEX(tEditais[Órgão],MATCH(tItens[[#This Row],[Edital]],tEditais[Edital],0)),"")</f>
        <v>UNIVERSIDADE DE TAUBATE</v>
      </c>
      <c r="H9382" t="str">
        <f>IFERROR(INDEX(tEditais[UF],MATCH(tItens[[#This Row],[Edital]],tEditais[Edital],0)),"")</f>
        <v>SP</v>
      </c>
      <c r="I9382" s="11">
        <f>IFERROR(INDEX(tEditais[Encerramento],MATCH(tItens[[#This Row],[Edital]],tEditais[Edital],0)),"")</f>
        <v>46314.395833333336</v>
      </c>
      <c r="J9382" t="str">
        <f>IFERROR(INDEX(tProdutos[Classe],MATCH(tItens[[#This Row],[Produto]],tProdutos[Produto],0)),"produto não cadastrado")</f>
        <v>FILA REBASE</v>
      </c>
      <c r="K9382" s="12">
        <f>tItens[[#This Row],[Qtd]]*tItens[[#This Row],[Vlr unit]]</f>
        <v>310</v>
      </c>
      <c r="L9382" s="6">
        <f>IFERROR(IF(INDEX(tProdutos[Desconto homologado],MATCH(tItens[[#This Row],[Produto]],tProdutos[Produto],0))="",DescontoPadrao,INDEX(tProdutos[Desconto homologado],MATCH(tItens[[#This Row],[Produto]],tProdutos[Produto],0))),DescontoPadrao)</f>
        <v>0.61577111781048699</v>
      </c>
      <c r="M9382" s="12">
        <f>tItens[[#This Row],[Valor]]*(1-tItens[[#This Row],[Desconto]])</f>
        <v>119.11095347874904</v>
      </c>
      <c r="N9382" t="str">
        <f>IFERROR(INDEX(tProdutos[Foco],MATCH(tItens[[#This Row],[Produto]],tProdutos[Produto],0)),"Não")</f>
        <v>Não</v>
      </c>
      <c r="O9382" t="str">
        <f>IFERROR(INDEX(tEditais[SRP],MATCH(tItens[[#This Row],[Edital]],tEditais[Edital],0)),"Não")</f>
        <v>Não</v>
      </c>
      <c r="P9382" s="4">
        <f>IF(COUNTIFS(INDEX(tItens[Edital],1):tItens[[#This Row],[Edital]],tItens[[#This Row],[Edital]],INDEX(tItens[Produto],1):tItens[[#This Row],[Produto]],tItens[[#This Row],[Produto]])=1,1,0)</f>
        <v>0</v>
      </c>
    </row>
    <row r="9383" spans="1:16" x14ac:dyDescent="0.25">
      <c r="A9383" t="s">
        <v>3197</v>
      </c>
      <c r="B9383">
        <v>2288232</v>
      </c>
      <c r="C9383" t="s">
        <v>11677</v>
      </c>
      <c r="D9383" t="s">
        <v>110</v>
      </c>
      <c r="E9383" s="13">
        <v>2</v>
      </c>
      <c r="F9383" s="12">
        <v>1.57</v>
      </c>
      <c r="G9383" t="str">
        <f>IFERROR(INDEX(tEditais[Órgão],MATCH(tItens[[#This Row],[Edital]],tEditais[Edital],0)),"")</f>
        <v>UNIVERSIDADE DE TAUBATE</v>
      </c>
      <c r="H9383" t="str">
        <f>IFERROR(INDEX(tEditais[UF],MATCH(tItens[[#This Row],[Edital]],tEditais[Edital],0)),"")</f>
        <v>SP</v>
      </c>
      <c r="I9383" s="11">
        <f>IFERROR(INDEX(tEditais[Encerramento],MATCH(tItens[[#This Row],[Edital]],tEditais[Edital],0)),"")</f>
        <v>46314.395833333336</v>
      </c>
      <c r="J9383" t="str">
        <f>IFERROR(INDEX(tProdutos[Classe],MATCH(tItens[[#This Row],[Produto]],tProdutos[Produto],0)),"produto não cadastrado")</f>
        <v>NÚCLEO</v>
      </c>
      <c r="K9383" s="12">
        <f>tItens[[#This Row],[Qtd]]*tItens[[#This Row],[Vlr unit]]</f>
        <v>3.14</v>
      </c>
      <c r="L9383" s="6">
        <f>IFERROR(IF(INDEX(tProdutos[Desconto homologado],MATCH(tItens[[#This Row],[Produto]],tProdutos[Produto],0))="",DescontoPadrao,INDEX(tProdutos[Desconto homologado],MATCH(tItens[[#This Row],[Produto]],tProdutos[Produto],0))),DescontoPadrao)</f>
        <v>0.30410958904109597</v>
      </c>
      <c r="M9383" s="12">
        <f>tItens[[#This Row],[Valor]]*(1-tItens[[#This Row],[Desconto]])</f>
        <v>2.1850958904109588</v>
      </c>
      <c r="N9383" t="str">
        <f>IFERROR(INDEX(tProdutos[Foco],MATCH(tItens[[#This Row],[Produto]],tProdutos[Produto],0)),"Não")</f>
        <v>Não</v>
      </c>
      <c r="O9383" t="str">
        <f>IFERROR(INDEX(tEditais[SRP],MATCH(tItens[[#This Row],[Edital]],tEditais[Edital],0)),"Não")</f>
        <v>Não</v>
      </c>
      <c r="P9383" s="4">
        <f>IF(COUNTIFS(INDEX(tItens[Edital],1):tItens[[#This Row],[Edital]],tItens[[#This Row],[Edital]],INDEX(tItens[Produto],1):tItens[[#This Row],[Produto]],tItens[[#This Row],[Produto]])=1,1,0)</f>
        <v>0</v>
      </c>
    </row>
    <row r="9384" spans="1:16" x14ac:dyDescent="0.25">
      <c r="A9384" t="s">
        <v>3197</v>
      </c>
      <c r="B9384">
        <v>2288233</v>
      </c>
      <c r="C9384" t="s">
        <v>11678</v>
      </c>
      <c r="D9384" t="s">
        <v>110</v>
      </c>
      <c r="E9384" s="13">
        <v>2</v>
      </c>
      <c r="F9384" s="12">
        <v>1.35</v>
      </c>
      <c r="G9384" t="str">
        <f>IFERROR(INDEX(tEditais[Órgão],MATCH(tItens[[#This Row],[Edital]],tEditais[Edital],0)),"")</f>
        <v>UNIVERSIDADE DE TAUBATE</v>
      </c>
      <c r="H9384" t="str">
        <f>IFERROR(INDEX(tEditais[UF],MATCH(tItens[[#This Row],[Edital]],tEditais[Edital],0)),"")</f>
        <v>SP</v>
      </c>
      <c r="I9384" s="11">
        <f>IFERROR(INDEX(tEditais[Encerramento],MATCH(tItens[[#This Row],[Edital]],tEditais[Edital],0)),"")</f>
        <v>46314.395833333336</v>
      </c>
      <c r="J9384" t="str">
        <f>IFERROR(INDEX(tProdutos[Classe],MATCH(tItens[[#This Row],[Produto]],tProdutos[Produto],0)),"produto não cadastrado")</f>
        <v>NÚCLEO</v>
      </c>
      <c r="K9384" s="12">
        <f>tItens[[#This Row],[Qtd]]*tItens[[#This Row],[Vlr unit]]</f>
        <v>2.7</v>
      </c>
      <c r="L9384" s="6">
        <f>IFERROR(IF(INDEX(tProdutos[Desconto homologado],MATCH(tItens[[#This Row],[Produto]],tProdutos[Produto],0))="",DescontoPadrao,INDEX(tProdutos[Desconto homologado],MATCH(tItens[[#This Row],[Produto]],tProdutos[Produto],0))),DescontoPadrao)</f>
        <v>0.30410958904109597</v>
      </c>
      <c r="M9384" s="12">
        <f>tItens[[#This Row],[Valor]]*(1-tItens[[#This Row],[Desconto]])</f>
        <v>1.8789041095890411</v>
      </c>
      <c r="N9384" t="str">
        <f>IFERROR(INDEX(tProdutos[Foco],MATCH(tItens[[#This Row],[Produto]],tProdutos[Produto],0)),"Não")</f>
        <v>Não</v>
      </c>
      <c r="O9384" t="str">
        <f>IFERROR(INDEX(tEditais[SRP],MATCH(tItens[[#This Row],[Edital]],tEditais[Edital],0)),"Não")</f>
        <v>Não</v>
      </c>
      <c r="P9384" s="4">
        <f>IF(COUNTIFS(INDEX(tItens[Edital],1):tItens[[#This Row],[Edital]],tItens[[#This Row],[Edital]],INDEX(tItens[Produto],1):tItens[[#This Row],[Produto]],tItens[[#This Row],[Produto]])=1,1,0)</f>
        <v>0</v>
      </c>
    </row>
    <row r="9385" spans="1:16" x14ac:dyDescent="0.25">
      <c r="A9385" t="s">
        <v>3200</v>
      </c>
      <c r="B9385">
        <v>1</v>
      </c>
      <c r="C9385" t="s">
        <v>11679</v>
      </c>
      <c r="D9385" t="s">
        <v>299</v>
      </c>
      <c r="E9385" s="13">
        <v>20</v>
      </c>
      <c r="F9385" s="12">
        <v>1006.08</v>
      </c>
      <c r="G9385" t="str">
        <f>IFERROR(INDEX(tEditais[Órgão],MATCH(tItens[[#This Row],[Edital]],tEditais[Edital],0)),"")</f>
        <v>MUNICIPIO DE OSASCO</v>
      </c>
      <c r="H9385" t="str">
        <f>IFERROR(INDEX(tEditais[UF],MATCH(tItens[[#This Row],[Edital]],tEditais[Edital],0)),"")</f>
        <v>SP</v>
      </c>
      <c r="I9385" s="11">
        <f>IFERROR(INDEX(tEditais[Encerramento],MATCH(tItens[[#This Row],[Edital]],tEditais[Edital],0)),"")</f>
        <v>46314.416666666664</v>
      </c>
      <c r="J9385" t="str">
        <f>IFERROR(INDEX(tProdutos[Classe],MATCH(tItens[[#This Row],[Produto]],tProdutos[Produto],0)),"produto não cadastrado")</f>
        <v>FORA</v>
      </c>
      <c r="K9385" s="12">
        <f>tItens[[#This Row],[Qtd]]*tItens[[#This Row],[Vlr unit]]</f>
        <v>20121.600000000002</v>
      </c>
      <c r="L9385" s="6">
        <f>IFERROR(IF(INDEX(tProdutos[Desconto homologado],MATCH(tItens[[#This Row],[Produto]],tProdutos[Produto],0))="",DescontoPadrao,INDEX(tProdutos[Desconto homologado],MATCH(tItens[[#This Row],[Produto]],tProdutos[Produto],0))),DescontoPadrao)</f>
        <v>0.42211465163381601</v>
      </c>
      <c r="M9385" s="12">
        <f>tItens[[#This Row],[Valor]]*(1-tItens[[#This Row],[Desconto]])</f>
        <v>11627.97782568501</v>
      </c>
      <c r="N9385" t="str">
        <f>IFERROR(INDEX(tProdutos[Foco],MATCH(tItens[[#This Row],[Produto]],tProdutos[Produto],0)),"Não")</f>
        <v>Não</v>
      </c>
      <c r="O9385" t="str">
        <f>IFERROR(INDEX(tEditais[SRP],MATCH(tItens[[#This Row],[Edital]],tEditais[Edital],0)),"Não")</f>
        <v>Sim</v>
      </c>
      <c r="P9385" s="4">
        <f>IF(COUNTIFS(INDEX(tItens[Edital],1):tItens[[#This Row],[Edital]],tItens[[#This Row],[Edital]],INDEX(tItens[Produto],1):tItens[[#This Row],[Produto]],tItens[[#This Row],[Produto]])=1,1,0)</f>
        <v>1</v>
      </c>
    </row>
    <row r="9386" spans="1:16" x14ac:dyDescent="0.25">
      <c r="A9386" t="s">
        <v>3204</v>
      </c>
      <c r="B9386">
        <v>1</v>
      </c>
      <c r="C9386" t="s">
        <v>11680</v>
      </c>
      <c r="D9386" t="s">
        <v>566</v>
      </c>
      <c r="E9386" s="13">
        <v>2</v>
      </c>
      <c r="F9386" s="12">
        <v>465.81</v>
      </c>
      <c r="G9386" t="str">
        <f>IFERROR(INDEX(tEditais[Órgão],MATCH(tItens[[#This Row],[Edital]],tEditais[Edital],0)),"")</f>
        <v>MUNICIPIO DE RESTINGA</v>
      </c>
      <c r="H9386" t="str">
        <f>IFERROR(INDEX(tEditais[UF],MATCH(tItens[[#This Row],[Edital]],tEditais[Edital],0)),"")</f>
        <v>SP</v>
      </c>
      <c r="I9386" s="11">
        <f>IFERROR(INDEX(tEditais[Encerramento],MATCH(tItens[[#This Row],[Edital]],tEditais[Edital],0)),"")</f>
        <v>46314.520833333336</v>
      </c>
      <c r="J9386" t="str">
        <f>IFERROR(INDEX(tProdutos[Classe],MATCH(tItens[[#This Row],[Produto]],tProdutos[Produto],0)),"produto não cadastrado")</f>
        <v>FILA REBASE</v>
      </c>
      <c r="K9386" s="12">
        <f>tItens[[#This Row],[Qtd]]*tItens[[#This Row],[Vlr unit]]</f>
        <v>931.62</v>
      </c>
      <c r="L9386" s="6">
        <f>IFERROR(IF(INDEX(tProdutos[Desconto homologado],MATCH(tItens[[#This Row],[Produto]],tProdutos[Produto],0))="",DescontoPadrao,INDEX(tProdutos[Desconto homologado],MATCH(tItens[[#This Row],[Produto]],tProdutos[Produto],0))),DescontoPadrao)</f>
        <v>0.1816062551698</v>
      </c>
      <c r="M9386" s="12">
        <f>tItens[[#This Row],[Valor]]*(1-tItens[[#This Row],[Desconto]])</f>
        <v>762.43198055871096</v>
      </c>
      <c r="N9386" t="str">
        <f>IFERROR(INDEX(tProdutos[Foco],MATCH(tItens[[#This Row],[Produto]],tProdutos[Produto],0)),"Não")</f>
        <v>Não</v>
      </c>
      <c r="O9386" t="str">
        <f>IFERROR(INDEX(tEditais[SRP],MATCH(tItens[[#This Row],[Edital]],tEditais[Edital],0)),"Não")</f>
        <v>Sim</v>
      </c>
      <c r="P9386" s="4">
        <f>IF(COUNTIFS(INDEX(tItens[Edital],1):tItens[[#This Row],[Edital]],tItens[[#This Row],[Edital]],INDEX(tItens[Produto],1):tItens[[#This Row],[Produto]],tItens[[#This Row],[Produto]])=1,1,0)</f>
        <v>1</v>
      </c>
    </row>
    <row r="9387" spans="1:16" x14ac:dyDescent="0.25">
      <c r="A9387" t="s">
        <v>3204</v>
      </c>
      <c r="B9387">
        <v>2</v>
      </c>
      <c r="C9387" t="s">
        <v>11681</v>
      </c>
      <c r="D9387" t="s">
        <v>136</v>
      </c>
      <c r="E9387" s="13">
        <v>10</v>
      </c>
      <c r="F9387" s="12">
        <v>13.93</v>
      </c>
      <c r="G9387" t="str">
        <f>IFERROR(INDEX(tEditais[Órgão],MATCH(tItens[[#This Row],[Edital]],tEditais[Edital],0)),"")</f>
        <v>MUNICIPIO DE RESTINGA</v>
      </c>
      <c r="H9387" t="str">
        <f>IFERROR(INDEX(tEditais[UF],MATCH(tItens[[#This Row],[Edital]],tEditais[Edital],0)),"")</f>
        <v>SP</v>
      </c>
      <c r="I9387" s="11">
        <f>IFERROR(INDEX(tEditais[Encerramento],MATCH(tItens[[#This Row],[Edital]],tEditais[Edital],0)),"")</f>
        <v>46314.520833333336</v>
      </c>
      <c r="J9387" t="str">
        <f>IFERROR(INDEX(tProdutos[Classe],MATCH(tItens[[#This Row],[Produto]],tProdutos[Produto],0)),"produto não cadastrado")</f>
        <v>DISPUTADO</v>
      </c>
      <c r="K9387" s="12">
        <f>tItens[[#This Row],[Qtd]]*tItens[[#This Row],[Vlr unit]]</f>
        <v>139.30000000000001</v>
      </c>
      <c r="L9387" s="6">
        <f>IFERROR(IF(INDEX(tProdutos[Desconto homologado],MATCH(tItens[[#This Row],[Produto]],tProdutos[Produto],0))="",DescontoPadrao,INDEX(tProdutos[Desconto homologado],MATCH(tItens[[#This Row],[Produto]],tProdutos[Produto],0))),DescontoPadrao)</f>
        <v>0.330646209370899</v>
      </c>
      <c r="M9387" s="12">
        <f>tItens[[#This Row],[Valor]]*(1-tItens[[#This Row],[Desconto]])</f>
        <v>93.240983034633771</v>
      </c>
      <c r="N9387" t="str">
        <f>IFERROR(INDEX(tProdutos[Foco],MATCH(tItens[[#This Row],[Produto]],tProdutos[Produto],0)),"Não")</f>
        <v>Não</v>
      </c>
      <c r="O9387" t="str">
        <f>IFERROR(INDEX(tEditais[SRP],MATCH(tItens[[#This Row],[Edital]],tEditais[Edital],0)),"Não")</f>
        <v>Sim</v>
      </c>
      <c r="P9387" s="4">
        <f>IF(COUNTIFS(INDEX(tItens[Edital],1):tItens[[#This Row],[Edital]],tItens[[#This Row],[Edital]],INDEX(tItens[Produto],1):tItens[[#This Row],[Produto]],tItens[[#This Row],[Produto]])=1,1,0)</f>
        <v>1</v>
      </c>
    </row>
    <row r="9388" spans="1:16" x14ac:dyDescent="0.25">
      <c r="A9388" t="s">
        <v>3204</v>
      </c>
      <c r="B9388">
        <v>6</v>
      </c>
      <c r="C9388" t="s">
        <v>11682</v>
      </c>
      <c r="D9388" t="s">
        <v>377</v>
      </c>
      <c r="E9388" s="13">
        <v>200</v>
      </c>
      <c r="F9388" s="12">
        <v>18.11</v>
      </c>
      <c r="G9388" t="str">
        <f>IFERROR(INDEX(tEditais[Órgão],MATCH(tItens[[#This Row],[Edital]],tEditais[Edital],0)),"")</f>
        <v>MUNICIPIO DE RESTINGA</v>
      </c>
      <c r="H9388" t="str">
        <f>IFERROR(INDEX(tEditais[UF],MATCH(tItens[[#This Row],[Edital]],tEditais[Edital],0)),"")</f>
        <v>SP</v>
      </c>
      <c r="I9388" s="11">
        <f>IFERROR(INDEX(tEditais[Encerramento],MATCH(tItens[[#This Row],[Edital]],tEditais[Edital],0)),"")</f>
        <v>46314.520833333336</v>
      </c>
      <c r="J9388" t="str">
        <f>IFERROR(INDEX(tProdutos[Classe],MATCH(tItens[[#This Row],[Produto]],tProdutos[Produto],0)),"produto não cadastrado")</f>
        <v>FORA</v>
      </c>
      <c r="K9388" s="12">
        <f>tItens[[#This Row],[Qtd]]*tItens[[#This Row],[Vlr unit]]</f>
        <v>3622</v>
      </c>
      <c r="L9388" s="6">
        <f>IFERROR(IF(INDEX(tProdutos[Desconto homologado],MATCH(tItens[[#This Row],[Produto]],tProdutos[Produto],0))="",DescontoPadrao,INDEX(tProdutos[Desconto homologado],MATCH(tItens[[#This Row],[Produto]],tProdutos[Produto],0))),DescontoPadrao)</f>
        <v>0.29186603777106501</v>
      </c>
      <c r="M9388" s="12">
        <f>tItens[[#This Row],[Valor]]*(1-tItens[[#This Row],[Desconto]])</f>
        <v>2564.8612111932025</v>
      </c>
      <c r="N9388" t="str">
        <f>IFERROR(INDEX(tProdutos[Foco],MATCH(tItens[[#This Row],[Produto]],tProdutos[Produto],0)),"Não")</f>
        <v>Não</v>
      </c>
      <c r="O9388" t="str">
        <f>IFERROR(INDEX(tEditais[SRP],MATCH(tItens[[#This Row],[Edital]],tEditais[Edital],0)),"Não")</f>
        <v>Sim</v>
      </c>
      <c r="P9388" s="4">
        <f>IF(COUNTIFS(INDEX(tItens[Edital],1):tItens[[#This Row],[Edital]],tItens[[#This Row],[Edital]],INDEX(tItens[Produto],1):tItens[[#This Row],[Produto]],tItens[[#This Row],[Produto]])=1,1,0)</f>
        <v>1</v>
      </c>
    </row>
    <row r="9389" spans="1:16" x14ac:dyDescent="0.25">
      <c r="A9389" t="s">
        <v>3204</v>
      </c>
      <c r="B9389">
        <v>7</v>
      </c>
      <c r="C9389" t="s">
        <v>11683</v>
      </c>
      <c r="D9389" t="s">
        <v>377</v>
      </c>
      <c r="E9389" s="13">
        <v>300</v>
      </c>
      <c r="F9389" s="12">
        <v>18.23</v>
      </c>
      <c r="G9389" t="str">
        <f>IFERROR(INDEX(tEditais[Órgão],MATCH(tItens[[#This Row],[Edital]],tEditais[Edital],0)),"")</f>
        <v>MUNICIPIO DE RESTINGA</v>
      </c>
      <c r="H9389" t="str">
        <f>IFERROR(INDEX(tEditais[UF],MATCH(tItens[[#This Row],[Edital]],tEditais[Edital],0)),"")</f>
        <v>SP</v>
      </c>
      <c r="I9389" s="11">
        <f>IFERROR(INDEX(tEditais[Encerramento],MATCH(tItens[[#This Row],[Edital]],tEditais[Edital],0)),"")</f>
        <v>46314.520833333336</v>
      </c>
      <c r="J9389" t="str">
        <f>IFERROR(INDEX(tProdutos[Classe],MATCH(tItens[[#This Row],[Produto]],tProdutos[Produto],0)),"produto não cadastrado")</f>
        <v>FORA</v>
      </c>
      <c r="K9389" s="12">
        <f>tItens[[#This Row],[Qtd]]*tItens[[#This Row],[Vlr unit]]</f>
        <v>5469</v>
      </c>
      <c r="L9389" s="6">
        <f>IFERROR(IF(INDEX(tProdutos[Desconto homologado],MATCH(tItens[[#This Row],[Produto]],tProdutos[Produto],0))="",DescontoPadrao,INDEX(tProdutos[Desconto homologado],MATCH(tItens[[#This Row],[Produto]],tProdutos[Produto],0))),DescontoPadrao)</f>
        <v>0.29186603777106501</v>
      </c>
      <c r="M9389" s="12">
        <f>tItens[[#This Row],[Valor]]*(1-tItens[[#This Row],[Desconto]])</f>
        <v>3872.7846394300454</v>
      </c>
      <c r="N9389" t="str">
        <f>IFERROR(INDEX(tProdutos[Foco],MATCH(tItens[[#This Row],[Produto]],tProdutos[Produto],0)),"Não")</f>
        <v>Não</v>
      </c>
      <c r="O9389" t="str">
        <f>IFERROR(INDEX(tEditais[SRP],MATCH(tItens[[#This Row],[Edital]],tEditais[Edital],0)),"Não")</f>
        <v>Sim</v>
      </c>
      <c r="P9389" s="4">
        <f>IF(COUNTIFS(INDEX(tItens[Edital],1):tItens[[#This Row],[Edital]],tItens[[#This Row],[Edital]],INDEX(tItens[Produto],1):tItens[[#This Row],[Produto]],tItens[[#This Row],[Produto]])=1,1,0)</f>
        <v>0</v>
      </c>
    </row>
    <row r="9390" spans="1:16" x14ac:dyDescent="0.25">
      <c r="A9390" t="s">
        <v>3204</v>
      </c>
      <c r="B9390">
        <v>8</v>
      </c>
      <c r="C9390" t="s">
        <v>11684</v>
      </c>
      <c r="D9390" t="s">
        <v>377</v>
      </c>
      <c r="E9390" s="13">
        <v>300</v>
      </c>
      <c r="F9390" s="12">
        <v>20.399999999999999</v>
      </c>
      <c r="G9390" t="str">
        <f>IFERROR(INDEX(tEditais[Órgão],MATCH(tItens[[#This Row],[Edital]],tEditais[Edital],0)),"")</f>
        <v>MUNICIPIO DE RESTINGA</v>
      </c>
      <c r="H9390" t="str">
        <f>IFERROR(INDEX(tEditais[UF],MATCH(tItens[[#This Row],[Edital]],tEditais[Edital],0)),"")</f>
        <v>SP</v>
      </c>
      <c r="I9390" s="11">
        <f>IFERROR(INDEX(tEditais[Encerramento],MATCH(tItens[[#This Row],[Edital]],tEditais[Edital],0)),"")</f>
        <v>46314.520833333336</v>
      </c>
      <c r="J9390" t="str">
        <f>IFERROR(INDEX(tProdutos[Classe],MATCH(tItens[[#This Row],[Produto]],tProdutos[Produto],0)),"produto não cadastrado")</f>
        <v>FORA</v>
      </c>
      <c r="K9390" s="12">
        <f>tItens[[#This Row],[Qtd]]*tItens[[#This Row],[Vlr unit]]</f>
        <v>6120</v>
      </c>
      <c r="L9390" s="6">
        <f>IFERROR(IF(INDEX(tProdutos[Desconto homologado],MATCH(tItens[[#This Row],[Produto]],tProdutos[Produto],0))="",DescontoPadrao,INDEX(tProdutos[Desconto homologado],MATCH(tItens[[#This Row],[Produto]],tProdutos[Produto],0))),DescontoPadrao)</f>
        <v>0.29186603777106501</v>
      </c>
      <c r="M9390" s="12">
        <f>tItens[[#This Row],[Valor]]*(1-tItens[[#This Row],[Desconto]])</f>
        <v>4333.7798488410817</v>
      </c>
      <c r="N9390" t="str">
        <f>IFERROR(INDEX(tProdutos[Foco],MATCH(tItens[[#This Row],[Produto]],tProdutos[Produto],0)),"Não")</f>
        <v>Não</v>
      </c>
      <c r="O9390" t="str">
        <f>IFERROR(INDEX(tEditais[SRP],MATCH(tItens[[#This Row],[Edital]],tEditais[Edital],0)),"Não")</f>
        <v>Sim</v>
      </c>
      <c r="P9390" s="4">
        <f>IF(COUNTIFS(INDEX(tItens[Edital],1):tItens[[#This Row],[Edital]],tItens[[#This Row],[Edital]],INDEX(tItens[Produto],1):tItens[[#This Row],[Produto]],tItens[[#This Row],[Produto]])=1,1,0)</f>
        <v>0</v>
      </c>
    </row>
    <row r="9391" spans="1:16" x14ac:dyDescent="0.25">
      <c r="A9391" t="s">
        <v>3204</v>
      </c>
      <c r="B9391">
        <v>9</v>
      </c>
      <c r="C9391" t="s">
        <v>11685</v>
      </c>
      <c r="D9391" t="s">
        <v>377</v>
      </c>
      <c r="E9391" s="13">
        <v>200</v>
      </c>
      <c r="F9391" s="12">
        <v>25.9</v>
      </c>
      <c r="G9391" t="str">
        <f>IFERROR(INDEX(tEditais[Órgão],MATCH(tItens[[#This Row],[Edital]],tEditais[Edital],0)),"")</f>
        <v>MUNICIPIO DE RESTINGA</v>
      </c>
      <c r="H9391" t="str">
        <f>IFERROR(INDEX(tEditais[UF],MATCH(tItens[[#This Row],[Edital]],tEditais[Edital],0)),"")</f>
        <v>SP</v>
      </c>
      <c r="I9391" s="11">
        <f>IFERROR(INDEX(tEditais[Encerramento],MATCH(tItens[[#This Row],[Edital]],tEditais[Edital],0)),"")</f>
        <v>46314.520833333336</v>
      </c>
      <c r="J9391" t="str">
        <f>IFERROR(INDEX(tProdutos[Classe],MATCH(tItens[[#This Row],[Produto]],tProdutos[Produto],0)),"produto não cadastrado")</f>
        <v>FORA</v>
      </c>
      <c r="K9391" s="12">
        <f>tItens[[#This Row],[Qtd]]*tItens[[#This Row],[Vlr unit]]</f>
        <v>5180</v>
      </c>
      <c r="L9391" s="6">
        <f>IFERROR(IF(INDEX(tProdutos[Desconto homologado],MATCH(tItens[[#This Row],[Produto]],tProdutos[Produto],0))="",DescontoPadrao,INDEX(tProdutos[Desconto homologado],MATCH(tItens[[#This Row],[Produto]],tProdutos[Produto],0))),DescontoPadrao)</f>
        <v>0.29186603777106501</v>
      </c>
      <c r="M9391" s="12">
        <f>tItens[[#This Row],[Valor]]*(1-tItens[[#This Row],[Desconto]])</f>
        <v>3668.1339243458833</v>
      </c>
      <c r="N9391" t="str">
        <f>IFERROR(INDEX(tProdutos[Foco],MATCH(tItens[[#This Row],[Produto]],tProdutos[Produto],0)),"Não")</f>
        <v>Não</v>
      </c>
      <c r="O9391" t="str">
        <f>IFERROR(INDEX(tEditais[SRP],MATCH(tItens[[#This Row],[Edital]],tEditais[Edital],0)),"Não")</f>
        <v>Sim</v>
      </c>
      <c r="P9391" s="4">
        <f>IF(COUNTIFS(INDEX(tItens[Edital],1):tItens[[#This Row],[Edital]],tItens[[#This Row],[Edital]],INDEX(tItens[Produto],1):tItens[[#This Row],[Produto]],tItens[[#This Row],[Produto]])=1,1,0)</f>
        <v>0</v>
      </c>
    </row>
    <row r="9392" spans="1:16" x14ac:dyDescent="0.25">
      <c r="A9392" t="s">
        <v>3204</v>
      </c>
      <c r="B9392">
        <v>10</v>
      </c>
      <c r="C9392" t="s">
        <v>11686</v>
      </c>
      <c r="D9392" t="s">
        <v>313</v>
      </c>
      <c r="E9392" s="13">
        <v>200</v>
      </c>
      <c r="F9392" s="12">
        <v>19.95</v>
      </c>
      <c r="G9392" t="str">
        <f>IFERROR(INDEX(tEditais[Órgão],MATCH(tItens[[#This Row],[Edital]],tEditais[Edital],0)),"")</f>
        <v>MUNICIPIO DE RESTINGA</v>
      </c>
      <c r="H9392" t="str">
        <f>IFERROR(INDEX(tEditais[UF],MATCH(tItens[[#This Row],[Edital]],tEditais[Edital],0)),"")</f>
        <v>SP</v>
      </c>
      <c r="I9392" s="11">
        <f>IFERROR(INDEX(tEditais[Encerramento],MATCH(tItens[[#This Row],[Edital]],tEditais[Edital],0)),"")</f>
        <v>46314.520833333336</v>
      </c>
      <c r="J9392" t="str">
        <f>IFERROR(INDEX(tProdutos[Classe],MATCH(tItens[[#This Row],[Produto]],tProdutos[Produto],0)),"produto não cadastrado")</f>
        <v>FORA</v>
      </c>
      <c r="K9392" s="12">
        <f>tItens[[#This Row],[Qtd]]*tItens[[#This Row],[Vlr unit]]</f>
        <v>3990</v>
      </c>
      <c r="L9392" s="6">
        <f>IFERROR(IF(INDEX(tProdutos[Desconto homologado],MATCH(tItens[[#This Row],[Produto]],tProdutos[Produto],0))="",DescontoPadrao,INDEX(tProdutos[Desconto homologado],MATCH(tItens[[#This Row],[Produto]],tProdutos[Produto],0))),DescontoPadrao)</f>
        <v>0.35766373163696302</v>
      </c>
      <c r="M9392" s="12">
        <f>tItens[[#This Row],[Valor]]*(1-tItens[[#This Row],[Desconto]])</f>
        <v>2562.9217107685172</v>
      </c>
      <c r="N9392" t="str">
        <f>IFERROR(INDEX(tProdutos[Foco],MATCH(tItens[[#This Row],[Produto]],tProdutos[Produto],0)),"Não")</f>
        <v>Não</v>
      </c>
      <c r="O9392" t="str">
        <f>IFERROR(INDEX(tEditais[SRP],MATCH(tItens[[#This Row],[Edital]],tEditais[Edital],0)),"Não")</f>
        <v>Sim</v>
      </c>
      <c r="P9392" s="4">
        <f>IF(COUNTIFS(INDEX(tItens[Edital],1):tItens[[#This Row],[Edital]],tItens[[#This Row],[Edital]],INDEX(tItens[Produto],1):tItens[[#This Row],[Produto]],tItens[[#This Row],[Produto]])=1,1,0)</f>
        <v>1</v>
      </c>
    </row>
    <row r="9393" spans="1:16" x14ac:dyDescent="0.25">
      <c r="A9393" t="s">
        <v>3204</v>
      </c>
      <c r="B9393">
        <v>11</v>
      </c>
      <c r="C9393" t="s">
        <v>11687</v>
      </c>
      <c r="D9393" t="s">
        <v>313</v>
      </c>
      <c r="E9393" s="13">
        <v>300</v>
      </c>
      <c r="F9393" s="12">
        <v>20.98</v>
      </c>
      <c r="G9393" t="str">
        <f>IFERROR(INDEX(tEditais[Órgão],MATCH(tItens[[#This Row],[Edital]],tEditais[Edital],0)),"")</f>
        <v>MUNICIPIO DE RESTINGA</v>
      </c>
      <c r="H9393" t="str">
        <f>IFERROR(INDEX(tEditais[UF],MATCH(tItens[[#This Row],[Edital]],tEditais[Edital],0)),"")</f>
        <v>SP</v>
      </c>
      <c r="I9393" s="11">
        <f>IFERROR(INDEX(tEditais[Encerramento],MATCH(tItens[[#This Row],[Edital]],tEditais[Edital],0)),"")</f>
        <v>46314.520833333336</v>
      </c>
      <c r="J9393" t="str">
        <f>IFERROR(INDEX(tProdutos[Classe],MATCH(tItens[[#This Row],[Produto]],tProdutos[Produto],0)),"produto não cadastrado")</f>
        <v>FORA</v>
      </c>
      <c r="K9393" s="12">
        <f>tItens[[#This Row],[Qtd]]*tItens[[#This Row],[Vlr unit]]</f>
        <v>6294</v>
      </c>
      <c r="L9393" s="6">
        <f>IFERROR(IF(INDEX(tProdutos[Desconto homologado],MATCH(tItens[[#This Row],[Produto]],tProdutos[Produto],0))="",DescontoPadrao,INDEX(tProdutos[Desconto homologado],MATCH(tItens[[#This Row],[Produto]],tProdutos[Produto],0))),DescontoPadrao)</f>
        <v>0.35766373163696302</v>
      </c>
      <c r="M9393" s="12">
        <f>tItens[[#This Row],[Valor]]*(1-tItens[[#This Row],[Desconto]])</f>
        <v>4042.8644730769543</v>
      </c>
      <c r="N9393" t="str">
        <f>IFERROR(INDEX(tProdutos[Foco],MATCH(tItens[[#This Row],[Produto]],tProdutos[Produto],0)),"Não")</f>
        <v>Não</v>
      </c>
      <c r="O9393" t="str">
        <f>IFERROR(INDEX(tEditais[SRP],MATCH(tItens[[#This Row],[Edital]],tEditais[Edital],0)),"Não")</f>
        <v>Sim</v>
      </c>
      <c r="P9393" s="4">
        <f>IF(COUNTIFS(INDEX(tItens[Edital],1):tItens[[#This Row],[Edital]],tItens[[#This Row],[Edital]],INDEX(tItens[Produto],1):tItens[[#This Row],[Produto]],tItens[[#This Row],[Produto]])=1,1,0)</f>
        <v>0</v>
      </c>
    </row>
    <row r="9394" spans="1:16" x14ac:dyDescent="0.25">
      <c r="A9394" t="s">
        <v>3204</v>
      </c>
      <c r="B9394">
        <v>12</v>
      </c>
      <c r="C9394" t="s">
        <v>11688</v>
      </c>
      <c r="D9394" t="s">
        <v>313</v>
      </c>
      <c r="E9394" s="13">
        <v>300</v>
      </c>
      <c r="F9394" s="12">
        <v>17.3</v>
      </c>
      <c r="G9394" t="str">
        <f>IFERROR(INDEX(tEditais[Órgão],MATCH(tItens[[#This Row],[Edital]],tEditais[Edital],0)),"")</f>
        <v>MUNICIPIO DE RESTINGA</v>
      </c>
      <c r="H9394" t="str">
        <f>IFERROR(INDEX(tEditais[UF],MATCH(tItens[[#This Row],[Edital]],tEditais[Edital],0)),"")</f>
        <v>SP</v>
      </c>
      <c r="I9394" s="11">
        <f>IFERROR(INDEX(tEditais[Encerramento],MATCH(tItens[[#This Row],[Edital]],tEditais[Edital],0)),"")</f>
        <v>46314.520833333336</v>
      </c>
      <c r="J9394" t="str">
        <f>IFERROR(INDEX(tProdutos[Classe],MATCH(tItens[[#This Row],[Produto]],tProdutos[Produto],0)),"produto não cadastrado")</f>
        <v>FORA</v>
      </c>
      <c r="K9394" s="12">
        <f>tItens[[#This Row],[Qtd]]*tItens[[#This Row],[Vlr unit]]</f>
        <v>5190</v>
      </c>
      <c r="L9394" s="6">
        <f>IFERROR(IF(INDEX(tProdutos[Desconto homologado],MATCH(tItens[[#This Row],[Produto]],tProdutos[Produto],0))="",DescontoPadrao,INDEX(tProdutos[Desconto homologado],MATCH(tItens[[#This Row],[Produto]],tProdutos[Produto],0))),DescontoPadrao)</f>
        <v>0.35766373163696302</v>
      </c>
      <c r="M9394" s="12">
        <f>tItens[[#This Row],[Valor]]*(1-tItens[[#This Row],[Desconto]])</f>
        <v>3333.7252328041618</v>
      </c>
      <c r="N9394" t="str">
        <f>IFERROR(INDEX(tProdutos[Foco],MATCH(tItens[[#This Row],[Produto]],tProdutos[Produto],0)),"Não")</f>
        <v>Não</v>
      </c>
      <c r="O9394" t="str">
        <f>IFERROR(INDEX(tEditais[SRP],MATCH(tItens[[#This Row],[Edital]],tEditais[Edital],0)),"Não")</f>
        <v>Sim</v>
      </c>
      <c r="P9394" s="4">
        <f>IF(COUNTIFS(INDEX(tItens[Edital],1):tItens[[#This Row],[Edital]],tItens[[#This Row],[Edital]],INDEX(tItens[Produto],1):tItens[[#This Row],[Produto]],tItens[[#This Row],[Produto]])=1,1,0)</f>
        <v>0</v>
      </c>
    </row>
    <row r="9395" spans="1:16" x14ac:dyDescent="0.25">
      <c r="A9395" t="s">
        <v>3204</v>
      </c>
      <c r="B9395">
        <v>13</v>
      </c>
      <c r="C9395" t="s">
        <v>11689</v>
      </c>
      <c r="D9395" t="s">
        <v>313</v>
      </c>
      <c r="E9395" s="13">
        <v>200</v>
      </c>
      <c r="F9395" s="12">
        <v>19.5</v>
      </c>
      <c r="G9395" t="str">
        <f>IFERROR(INDEX(tEditais[Órgão],MATCH(tItens[[#This Row],[Edital]],tEditais[Edital],0)),"")</f>
        <v>MUNICIPIO DE RESTINGA</v>
      </c>
      <c r="H9395" t="str">
        <f>IFERROR(INDEX(tEditais[UF],MATCH(tItens[[#This Row],[Edital]],tEditais[Edital],0)),"")</f>
        <v>SP</v>
      </c>
      <c r="I9395" s="11">
        <f>IFERROR(INDEX(tEditais[Encerramento],MATCH(tItens[[#This Row],[Edital]],tEditais[Edital],0)),"")</f>
        <v>46314.520833333336</v>
      </c>
      <c r="J9395" t="str">
        <f>IFERROR(INDEX(tProdutos[Classe],MATCH(tItens[[#This Row],[Produto]],tProdutos[Produto],0)),"produto não cadastrado")</f>
        <v>FORA</v>
      </c>
      <c r="K9395" s="12">
        <f>tItens[[#This Row],[Qtd]]*tItens[[#This Row],[Vlr unit]]</f>
        <v>3900</v>
      </c>
      <c r="L9395" s="6">
        <f>IFERROR(IF(INDEX(tProdutos[Desconto homologado],MATCH(tItens[[#This Row],[Produto]],tProdutos[Produto],0))="",DescontoPadrao,INDEX(tProdutos[Desconto homologado],MATCH(tItens[[#This Row],[Produto]],tProdutos[Produto],0))),DescontoPadrao)</f>
        <v>0.35766373163696302</v>
      </c>
      <c r="M9395" s="12">
        <f>tItens[[#This Row],[Valor]]*(1-tItens[[#This Row],[Desconto]])</f>
        <v>2505.1114466158442</v>
      </c>
      <c r="N9395" t="str">
        <f>IFERROR(INDEX(tProdutos[Foco],MATCH(tItens[[#This Row],[Produto]],tProdutos[Produto],0)),"Não")</f>
        <v>Não</v>
      </c>
      <c r="O9395" t="str">
        <f>IFERROR(INDEX(tEditais[SRP],MATCH(tItens[[#This Row],[Edital]],tEditais[Edital],0)),"Não")</f>
        <v>Sim</v>
      </c>
      <c r="P9395" s="4">
        <f>IF(COUNTIFS(INDEX(tItens[Edital],1):tItens[[#This Row],[Edital]],tItens[[#This Row],[Edital]],INDEX(tItens[Produto],1):tItens[[#This Row],[Produto]],tItens[[#This Row],[Produto]])=1,1,0)</f>
        <v>0</v>
      </c>
    </row>
    <row r="9396" spans="1:16" x14ac:dyDescent="0.25">
      <c r="A9396" t="s">
        <v>3204</v>
      </c>
      <c r="B9396">
        <v>16</v>
      </c>
      <c r="C9396" t="s">
        <v>11690</v>
      </c>
      <c r="D9396" t="s">
        <v>229</v>
      </c>
      <c r="E9396" s="13">
        <v>100</v>
      </c>
      <c r="F9396" s="12">
        <v>12.64</v>
      </c>
      <c r="G9396" t="str">
        <f>IFERROR(INDEX(tEditais[Órgão],MATCH(tItens[[#This Row],[Edital]],tEditais[Edital],0)),"")</f>
        <v>MUNICIPIO DE RESTINGA</v>
      </c>
      <c r="H9396" t="str">
        <f>IFERROR(INDEX(tEditais[UF],MATCH(tItens[[#This Row],[Edital]],tEditais[Edital],0)),"")</f>
        <v>SP</v>
      </c>
      <c r="I9396" s="11">
        <f>IFERROR(INDEX(tEditais[Encerramento],MATCH(tItens[[#This Row],[Edital]],tEditais[Edital],0)),"")</f>
        <v>46314.520833333336</v>
      </c>
      <c r="J9396" t="str">
        <f>IFERROR(INDEX(tProdutos[Classe],MATCH(tItens[[#This Row],[Produto]],tProdutos[Produto],0)),"produto não cadastrado")</f>
        <v>FORA</v>
      </c>
      <c r="K9396" s="12">
        <f>tItens[[#This Row],[Qtd]]*tItens[[#This Row],[Vlr unit]]</f>
        <v>1264</v>
      </c>
      <c r="L9396" s="6">
        <f>IFERROR(IF(INDEX(tProdutos[Desconto homologado],MATCH(tItens[[#This Row],[Produto]],tProdutos[Produto],0))="",DescontoPadrao,INDEX(tProdutos[Desconto homologado],MATCH(tItens[[#This Row],[Produto]],tProdutos[Produto],0))),DescontoPadrao)</f>
        <v>0.33093491191658198</v>
      </c>
      <c r="M9396" s="12">
        <f>tItens[[#This Row],[Valor]]*(1-tItens[[#This Row],[Desconto]])</f>
        <v>845.69827133744036</v>
      </c>
      <c r="N9396" t="str">
        <f>IFERROR(INDEX(tProdutos[Foco],MATCH(tItens[[#This Row],[Produto]],tProdutos[Produto],0)),"Não")</f>
        <v>Não</v>
      </c>
      <c r="O9396" t="str">
        <f>IFERROR(INDEX(tEditais[SRP],MATCH(tItens[[#This Row],[Edital]],tEditais[Edital],0)),"Não")</f>
        <v>Sim</v>
      </c>
      <c r="P9396" s="4">
        <f>IF(COUNTIFS(INDEX(tItens[Edital],1):tItens[[#This Row],[Edital]],tItens[[#This Row],[Edital]],INDEX(tItens[Produto],1):tItens[[#This Row],[Produto]],tItens[[#This Row],[Produto]])=1,1,0)</f>
        <v>1</v>
      </c>
    </row>
    <row r="9397" spans="1:16" x14ac:dyDescent="0.25">
      <c r="A9397" t="s">
        <v>3208</v>
      </c>
      <c r="B9397">
        <v>1</v>
      </c>
      <c r="C9397" t="s">
        <v>11691</v>
      </c>
      <c r="D9397" t="s">
        <v>345</v>
      </c>
      <c r="E9397" s="13">
        <v>49000</v>
      </c>
      <c r="F9397" s="12">
        <v>1.46</v>
      </c>
      <c r="G9397" t="str">
        <f>IFERROR(INDEX(tEditais[Órgão],MATCH(tItens[[#This Row],[Edital]],tEditais[Edital],0)),"")</f>
        <v>MUNICIPIO DE PIRASSUNUNGA</v>
      </c>
      <c r="H9397" t="str">
        <f>IFERROR(INDEX(tEditais[UF],MATCH(tItens[[#This Row],[Edital]],tEditais[Edital],0)),"")</f>
        <v>SP</v>
      </c>
      <c r="I9397" s="11">
        <f>IFERROR(INDEX(tEditais[Encerramento],MATCH(tItens[[#This Row],[Edital]],tEditais[Edital],0)),"")</f>
        <v>46314.583333333336</v>
      </c>
      <c r="J9397" t="str">
        <f>IFERROR(INDEX(tProdutos[Classe],MATCH(tItens[[#This Row],[Produto]],tProdutos[Produto],0)),"produto não cadastrado")</f>
        <v>FORA</v>
      </c>
      <c r="K9397" s="12">
        <f>tItens[[#This Row],[Qtd]]*tItens[[#This Row],[Vlr unit]]</f>
        <v>71540</v>
      </c>
      <c r="L9397" s="6">
        <f>IFERROR(IF(INDEX(tProdutos[Desconto homologado],MATCH(tItens[[#This Row],[Produto]],tProdutos[Produto],0))="",DescontoPadrao,INDEX(tProdutos[Desconto homologado],MATCH(tItens[[#This Row],[Produto]],tProdutos[Produto],0))),DescontoPadrao)</f>
        <v>0.412394275616498</v>
      </c>
      <c r="M9397" s="12">
        <f>tItens[[#This Row],[Valor]]*(1-tItens[[#This Row],[Desconto]])</f>
        <v>42037.313522395736</v>
      </c>
      <c r="N9397" t="str">
        <f>IFERROR(INDEX(tProdutos[Foco],MATCH(tItens[[#This Row],[Produto]],tProdutos[Produto],0)),"Não")</f>
        <v>Não</v>
      </c>
      <c r="O9397" t="str">
        <f>IFERROR(INDEX(tEditais[SRP],MATCH(tItens[[#This Row],[Edital]],tEditais[Edital],0)),"Não")</f>
        <v>Sim</v>
      </c>
      <c r="P9397" s="4">
        <f>IF(COUNTIFS(INDEX(tItens[Edital],1):tItens[[#This Row],[Edital]],tItens[[#This Row],[Edital]],INDEX(tItens[Produto],1):tItens[[#This Row],[Produto]],tItens[[#This Row],[Produto]])=1,1,0)</f>
        <v>1</v>
      </c>
    </row>
    <row r="9398" spans="1:16" x14ac:dyDescent="0.25">
      <c r="A9398" t="s">
        <v>3208</v>
      </c>
      <c r="B9398">
        <v>2</v>
      </c>
      <c r="C9398" t="s">
        <v>11692</v>
      </c>
      <c r="D9398" t="s">
        <v>345</v>
      </c>
      <c r="E9398" s="13">
        <v>10000</v>
      </c>
      <c r="F9398" s="12">
        <v>1.21</v>
      </c>
      <c r="G9398" t="str">
        <f>IFERROR(INDEX(tEditais[Órgão],MATCH(tItens[[#This Row],[Edital]],tEditais[Edital],0)),"")</f>
        <v>MUNICIPIO DE PIRASSUNUNGA</v>
      </c>
      <c r="H9398" t="str">
        <f>IFERROR(INDEX(tEditais[UF],MATCH(tItens[[#This Row],[Edital]],tEditais[Edital],0)),"")</f>
        <v>SP</v>
      </c>
      <c r="I9398" s="11">
        <f>IFERROR(INDEX(tEditais[Encerramento],MATCH(tItens[[#This Row],[Edital]],tEditais[Edital],0)),"")</f>
        <v>46314.583333333336</v>
      </c>
      <c r="J9398" t="str">
        <f>IFERROR(INDEX(tProdutos[Classe],MATCH(tItens[[#This Row],[Produto]],tProdutos[Produto],0)),"produto não cadastrado")</f>
        <v>FORA</v>
      </c>
      <c r="K9398" s="12">
        <f>tItens[[#This Row],[Qtd]]*tItens[[#This Row],[Vlr unit]]</f>
        <v>12100</v>
      </c>
      <c r="L9398" s="6">
        <f>IFERROR(IF(INDEX(tProdutos[Desconto homologado],MATCH(tItens[[#This Row],[Produto]],tProdutos[Produto],0))="",DescontoPadrao,INDEX(tProdutos[Desconto homologado],MATCH(tItens[[#This Row],[Produto]],tProdutos[Produto],0))),DescontoPadrao)</f>
        <v>0.412394275616498</v>
      </c>
      <c r="M9398" s="12">
        <f>tItens[[#This Row],[Valor]]*(1-tItens[[#This Row],[Desconto]])</f>
        <v>7110.0292650403744</v>
      </c>
      <c r="N9398" t="str">
        <f>IFERROR(INDEX(tProdutos[Foco],MATCH(tItens[[#This Row],[Produto]],tProdutos[Produto],0)),"Não")</f>
        <v>Não</v>
      </c>
      <c r="O9398" t="str">
        <f>IFERROR(INDEX(tEditais[SRP],MATCH(tItens[[#This Row],[Edital]],tEditais[Edital],0)),"Não")</f>
        <v>Sim</v>
      </c>
      <c r="P9398" s="4">
        <f>IF(COUNTIFS(INDEX(tItens[Edital],1):tItens[[#This Row],[Edital]],tItens[[#This Row],[Edital]],INDEX(tItens[Produto],1):tItens[[#This Row],[Produto]],tItens[[#This Row],[Produto]])=1,1,0)</f>
        <v>0</v>
      </c>
    </row>
    <row r="9399" spans="1:16" x14ac:dyDescent="0.25">
      <c r="A9399" t="s">
        <v>3208</v>
      </c>
      <c r="B9399">
        <v>3</v>
      </c>
      <c r="C9399" t="s">
        <v>11693</v>
      </c>
      <c r="D9399" t="s">
        <v>345</v>
      </c>
      <c r="E9399" s="13">
        <v>48000</v>
      </c>
      <c r="F9399" s="12">
        <v>1.35</v>
      </c>
      <c r="G9399" t="str">
        <f>IFERROR(INDEX(tEditais[Órgão],MATCH(tItens[[#This Row],[Edital]],tEditais[Edital],0)),"")</f>
        <v>MUNICIPIO DE PIRASSUNUNGA</v>
      </c>
      <c r="H9399" t="str">
        <f>IFERROR(INDEX(tEditais[UF],MATCH(tItens[[#This Row],[Edital]],tEditais[Edital],0)),"")</f>
        <v>SP</v>
      </c>
      <c r="I9399" s="11">
        <f>IFERROR(INDEX(tEditais[Encerramento],MATCH(tItens[[#This Row],[Edital]],tEditais[Edital],0)),"")</f>
        <v>46314.583333333336</v>
      </c>
      <c r="J9399" t="str">
        <f>IFERROR(INDEX(tProdutos[Classe],MATCH(tItens[[#This Row],[Produto]],tProdutos[Produto],0)),"produto não cadastrado")</f>
        <v>FORA</v>
      </c>
      <c r="K9399" s="12">
        <f>tItens[[#This Row],[Qtd]]*tItens[[#This Row],[Vlr unit]]</f>
        <v>64800.000000000007</v>
      </c>
      <c r="L9399" s="6">
        <f>IFERROR(IF(INDEX(tProdutos[Desconto homologado],MATCH(tItens[[#This Row],[Produto]],tProdutos[Produto],0))="",DescontoPadrao,INDEX(tProdutos[Desconto homologado],MATCH(tItens[[#This Row],[Produto]],tProdutos[Produto],0))),DescontoPadrao)</f>
        <v>0.412394275616498</v>
      </c>
      <c r="M9399" s="12">
        <f>tItens[[#This Row],[Valor]]*(1-tItens[[#This Row],[Desconto]])</f>
        <v>38076.850940050936</v>
      </c>
      <c r="N9399" t="str">
        <f>IFERROR(INDEX(tProdutos[Foco],MATCH(tItens[[#This Row],[Produto]],tProdutos[Produto],0)),"Não")</f>
        <v>Não</v>
      </c>
      <c r="O9399" t="str">
        <f>IFERROR(INDEX(tEditais[SRP],MATCH(tItens[[#This Row],[Edital]],tEditais[Edital],0)),"Não")</f>
        <v>Sim</v>
      </c>
      <c r="P9399" s="4">
        <f>IF(COUNTIFS(INDEX(tItens[Edital],1):tItens[[#This Row],[Edital]],tItens[[#This Row],[Edital]],INDEX(tItens[Produto],1):tItens[[#This Row],[Produto]],tItens[[#This Row],[Produto]])=1,1,0)</f>
        <v>0</v>
      </c>
    </row>
    <row r="9400" spans="1:16" x14ac:dyDescent="0.25">
      <c r="A9400" t="s">
        <v>3208</v>
      </c>
      <c r="B9400">
        <v>4</v>
      </c>
      <c r="C9400" t="s">
        <v>11694</v>
      </c>
      <c r="D9400" t="s">
        <v>339</v>
      </c>
      <c r="E9400" s="13">
        <v>40000</v>
      </c>
      <c r="F9400" s="12">
        <v>0.72</v>
      </c>
      <c r="G9400" t="str">
        <f>IFERROR(INDEX(tEditais[Órgão],MATCH(tItens[[#This Row],[Edital]],tEditais[Edital],0)),"")</f>
        <v>MUNICIPIO DE PIRASSUNUNGA</v>
      </c>
      <c r="H9400" t="str">
        <f>IFERROR(INDEX(tEditais[UF],MATCH(tItens[[#This Row],[Edital]],tEditais[Edital],0)),"")</f>
        <v>SP</v>
      </c>
      <c r="I9400" s="11">
        <f>IFERROR(INDEX(tEditais[Encerramento],MATCH(tItens[[#This Row],[Edital]],tEditais[Edital],0)),"")</f>
        <v>46314.583333333336</v>
      </c>
      <c r="J9400" t="str">
        <f>IFERROR(INDEX(tProdutos[Classe],MATCH(tItens[[#This Row],[Produto]],tProdutos[Produto],0)),"produto não cadastrado")</f>
        <v>FORA</v>
      </c>
      <c r="K9400" s="12">
        <f>tItens[[#This Row],[Qtd]]*tItens[[#This Row],[Vlr unit]]</f>
        <v>28800</v>
      </c>
      <c r="L9400" s="6">
        <f>IFERROR(IF(INDEX(tProdutos[Desconto homologado],MATCH(tItens[[#This Row],[Produto]],tProdutos[Produto],0))="",DescontoPadrao,INDEX(tProdutos[Desconto homologado],MATCH(tItens[[#This Row],[Produto]],tProdutos[Produto],0))),DescontoPadrao)</f>
        <v>0.35388629091804102</v>
      </c>
      <c r="M9400" s="12">
        <f>tItens[[#This Row],[Valor]]*(1-tItens[[#This Row],[Desconto]])</f>
        <v>18608.074821560418</v>
      </c>
      <c r="N9400" t="str">
        <f>IFERROR(INDEX(tProdutos[Foco],MATCH(tItens[[#This Row],[Produto]],tProdutos[Produto],0)),"Não")</f>
        <v>Não</v>
      </c>
      <c r="O9400" t="str">
        <f>IFERROR(INDEX(tEditais[SRP],MATCH(tItens[[#This Row],[Edital]],tEditais[Edital],0)),"Não")</f>
        <v>Sim</v>
      </c>
      <c r="P9400" s="4">
        <f>IF(COUNTIFS(INDEX(tItens[Edital],1):tItens[[#This Row],[Edital]],tItens[[#This Row],[Edital]],INDEX(tItens[Produto],1):tItens[[#This Row],[Produto]],tItens[[#This Row],[Produto]])=1,1,0)</f>
        <v>1</v>
      </c>
    </row>
    <row r="9401" spans="1:16" x14ac:dyDescent="0.25">
      <c r="A9401" t="s">
        <v>3208</v>
      </c>
      <c r="B9401">
        <v>5</v>
      </c>
      <c r="C9401" t="s">
        <v>11695</v>
      </c>
      <c r="D9401" t="s">
        <v>339</v>
      </c>
      <c r="E9401" s="13">
        <v>7000</v>
      </c>
      <c r="F9401" s="12">
        <v>0.78</v>
      </c>
      <c r="G9401" t="str">
        <f>IFERROR(INDEX(tEditais[Órgão],MATCH(tItens[[#This Row],[Edital]],tEditais[Edital],0)),"")</f>
        <v>MUNICIPIO DE PIRASSUNUNGA</v>
      </c>
      <c r="H9401" t="str">
        <f>IFERROR(INDEX(tEditais[UF],MATCH(tItens[[#This Row],[Edital]],tEditais[Edital],0)),"")</f>
        <v>SP</v>
      </c>
      <c r="I9401" s="11">
        <f>IFERROR(INDEX(tEditais[Encerramento],MATCH(tItens[[#This Row],[Edital]],tEditais[Edital],0)),"")</f>
        <v>46314.583333333336</v>
      </c>
      <c r="J9401" t="str">
        <f>IFERROR(INDEX(tProdutos[Classe],MATCH(tItens[[#This Row],[Produto]],tProdutos[Produto],0)),"produto não cadastrado")</f>
        <v>FORA</v>
      </c>
      <c r="K9401" s="12">
        <f>tItens[[#This Row],[Qtd]]*tItens[[#This Row],[Vlr unit]]</f>
        <v>5460</v>
      </c>
      <c r="L9401" s="6">
        <f>IFERROR(IF(INDEX(tProdutos[Desconto homologado],MATCH(tItens[[#This Row],[Produto]],tProdutos[Produto],0))="",DescontoPadrao,INDEX(tProdutos[Desconto homologado],MATCH(tItens[[#This Row],[Produto]],tProdutos[Produto],0))),DescontoPadrao)</f>
        <v>0.35388629091804102</v>
      </c>
      <c r="M9401" s="12">
        <f>tItens[[#This Row],[Valor]]*(1-tItens[[#This Row],[Desconto]])</f>
        <v>3527.7808515874958</v>
      </c>
      <c r="N9401" t="str">
        <f>IFERROR(INDEX(tProdutos[Foco],MATCH(tItens[[#This Row],[Produto]],tProdutos[Produto],0)),"Não")</f>
        <v>Não</v>
      </c>
      <c r="O9401" t="str">
        <f>IFERROR(INDEX(tEditais[SRP],MATCH(tItens[[#This Row],[Edital]],tEditais[Edital],0)),"Não")</f>
        <v>Sim</v>
      </c>
      <c r="P9401" s="4">
        <f>IF(COUNTIFS(INDEX(tItens[Edital],1):tItens[[#This Row],[Edital]],tItens[[#This Row],[Edital]],INDEX(tItens[Produto],1):tItens[[#This Row],[Produto]],tItens[[#This Row],[Produto]])=1,1,0)</f>
        <v>0</v>
      </c>
    </row>
    <row r="9402" spans="1:16" x14ac:dyDescent="0.25">
      <c r="A9402" t="s">
        <v>3208</v>
      </c>
      <c r="B9402">
        <v>6</v>
      </c>
      <c r="C9402" t="s">
        <v>11696</v>
      </c>
      <c r="D9402" t="s">
        <v>339</v>
      </c>
      <c r="E9402" s="13">
        <v>3000</v>
      </c>
      <c r="F9402" s="12">
        <v>0.68</v>
      </c>
      <c r="G9402" t="str">
        <f>IFERROR(INDEX(tEditais[Órgão],MATCH(tItens[[#This Row],[Edital]],tEditais[Edital],0)),"")</f>
        <v>MUNICIPIO DE PIRASSUNUNGA</v>
      </c>
      <c r="H9402" t="str">
        <f>IFERROR(INDEX(tEditais[UF],MATCH(tItens[[#This Row],[Edital]],tEditais[Edital],0)),"")</f>
        <v>SP</v>
      </c>
      <c r="I9402" s="11">
        <f>IFERROR(INDEX(tEditais[Encerramento],MATCH(tItens[[#This Row],[Edital]],tEditais[Edital],0)),"")</f>
        <v>46314.583333333336</v>
      </c>
      <c r="J9402" t="str">
        <f>IFERROR(INDEX(tProdutos[Classe],MATCH(tItens[[#This Row],[Produto]],tProdutos[Produto],0)),"produto não cadastrado")</f>
        <v>FORA</v>
      </c>
      <c r="K9402" s="12">
        <f>tItens[[#This Row],[Qtd]]*tItens[[#This Row],[Vlr unit]]</f>
        <v>2040.0000000000002</v>
      </c>
      <c r="L9402" s="6">
        <f>IFERROR(IF(INDEX(tProdutos[Desconto homologado],MATCH(tItens[[#This Row],[Produto]],tProdutos[Produto],0))="",DescontoPadrao,INDEX(tProdutos[Desconto homologado],MATCH(tItens[[#This Row],[Produto]],tProdutos[Produto],0))),DescontoPadrao)</f>
        <v>0.35388629091804102</v>
      </c>
      <c r="M9402" s="12">
        <f>tItens[[#This Row],[Valor]]*(1-tItens[[#This Row],[Desconto]])</f>
        <v>1318.0719665271965</v>
      </c>
      <c r="N9402" t="str">
        <f>IFERROR(INDEX(tProdutos[Foco],MATCH(tItens[[#This Row],[Produto]],tProdutos[Produto],0)),"Não")</f>
        <v>Não</v>
      </c>
      <c r="O9402" t="str">
        <f>IFERROR(INDEX(tEditais[SRP],MATCH(tItens[[#This Row],[Edital]],tEditais[Edital],0)),"Não")</f>
        <v>Sim</v>
      </c>
      <c r="P9402" s="4">
        <f>IF(COUNTIFS(INDEX(tItens[Edital],1):tItens[[#This Row],[Edital]],tItens[[#This Row],[Edital]],INDEX(tItens[Produto],1):tItens[[#This Row],[Produto]],tItens[[#This Row],[Produto]])=1,1,0)</f>
        <v>0</v>
      </c>
    </row>
    <row r="9403" spans="1:16" x14ac:dyDescent="0.25">
      <c r="A9403" t="s">
        <v>3211</v>
      </c>
      <c r="B9403">
        <v>7</v>
      </c>
      <c r="C9403" t="s">
        <v>6307</v>
      </c>
      <c r="D9403" t="s">
        <v>347</v>
      </c>
      <c r="E9403" s="13">
        <v>278</v>
      </c>
      <c r="F9403" s="12">
        <v>0</v>
      </c>
      <c r="G9403" t="str">
        <f>IFERROR(INDEX(tEditais[Órgão],MATCH(tItens[[#This Row],[Edital]],tEditais[Edital],0)),"")</f>
        <v>SECRETARIA DA SAUDE</v>
      </c>
      <c r="H9403" t="str">
        <f>IFERROR(INDEX(tEditais[UF],MATCH(tItens[[#This Row],[Edital]],tEditais[Edital],0)),"")</f>
        <v>TO</v>
      </c>
      <c r="I9403" s="11">
        <f>IFERROR(INDEX(tEditais[Encerramento],MATCH(tItens[[#This Row],[Edital]],tEditais[Edital],0)),"")</f>
        <v>46308.354166666664</v>
      </c>
      <c r="J9403" t="str">
        <f>IFERROR(INDEX(tProdutos[Classe],MATCH(tItens[[#This Row],[Produto]],tProdutos[Produto],0)),"produto não cadastrado")</f>
        <v>FORA</v>
      </c>
      <c r="K9403" s="12">
        <f>tItens[[#This Row],[Qtd]]*tItens[[#This Row],[Vlr unit]]</f>
        <v>0</v>
      </c>
      <c r="L9403" s="6">
        <f>IFERROR(IF(INDEX(tProdutos[Desconto homologado],MATCH(tItens[[#This Row],[Produto]],tProdutos[Produto],0))="",DescontoPadrao,INDEX(tProdutos[Desconto homologado],MATCH(tItens[[#This Row],[Produto]],tProdutos[Produto],0))),DescontoPadrao)</f>
        <v>0.26356465005931201</v>
      </c>
      <c r="M9403" s="12">
        <f>tItens[[#This Row],[Valor]]*(1-tItens[[#This Row],[Desconto]])</f>
        <v>0</v>
      </c>
      <c r="N9403" t="str">
        <f>IFERROR(INDEX(tProdutos[Foco],MATCH(tItens[[#This Row],[Produto]],tProdutos[Produto],0)),"Não")</f>
        <v>Não</v>
      </c>
      <c r="O9403" t="str">
        <f>IFERROR(INDEX(tEditais[SRP],MATCH(tItens[[#This Row],[Edital]],tEditais[Edital],0)),"Não")</f>
        <v>Não</v>
      </c>
      <c r="P9403" s="4">
        <f>IF(COUNTIFS(INDEX(tItens[Edital],1):tItens[[#This Row],[Edital]],tItens[[#This Row],[Edital]],INDEX(tItens[Produto],1):tItens[[#This Row],[Produto]],tItens[[#This Row],[Produto]])=1,1,0)</f>
        <v>1</v>
      </c>
    </row>
    <row r="9404" spans="1:16" x14ac:dyDescent="0.25">
      <c r="A9404" t="s">
        <v>3217</v>
      </c>
      <c r="B9404">
        <v>7</v>
      </c>
      <c r="C9404" t="s">
        <v>11697</v>
      </c>
      <c r="D9404" t="s">
        <v>267</v>
      </c>
      <c r="E9404" s="13">
        <v>250</v>
      </c>
      <c r="F9404" s="12">
        <v>57.95</v>
      </c>
      <c r="G9404" t="str">
        <f>IFERROR(INDEX(tEditais[Órgão],MATCH(tItens[[#This Row],[Edital]],tEditais[Edital],0)),"")</f>
        <v>MUNICIPIO DE FORMOSO DO ARAGUAIA</v>
      </c>
      <c r="H9404" t="str">
        <f>IFERROR(INDEX(tEditais[UF],MATCH(tItens[[#This Row],[Edital]],tEditais[Edital],0)),"")</f>
        <v>TO</v>
      </c>
      <c r="I9404" s="11">
        <f>IFERROR(INDEX(tEditais[Encerramento],MATCH(tItens[[#This Row],[Edital]],tEditais[Edital],0)),"")</f>
        <v>46311.333333333336</v>
      </c>
      <c r="J9404" t="str">
        <f>IFERROR(INDEX(tProdutos[Classe],MATCH(tItens[[#This Row],[Produto]],tProdutos[Produto],0)),"produto não cadastrado")</f>
        <v>FORA</v>
      </c>
      <c r="K9404" s="12">
        <f>tItens[[#This Row],[Qtd]]*tItens[[#This Row],[Vlr unit]]</f>
        <v>14487.5</v>
      </c>
      <c r="L9404" s="6">
        <f>IFERROR(IF(INDEX(tProdutos[Desconto homologado],MATCH(tItens[[#This Row],[Produto]],tProdutos[Produto],0))="",DescontoPadrao,INDEX(tProdutos[Desconto homologado],MATCH(tItens[[#This Row],[Produto]],tProdutos[Produto],0))),DescontoPadrao)</f>
        <v>0.19963672657401599</v>
      </c>
      <c r="M9404" s="12">
        <f>tItens[[#This Row],[Valor]]*(1-tItens[[#This Row],[Desconto]])</f>
        <v>11595.262923758943</v>
      </c>
      <c r="N9404" t="str">
        <f>IFERROR(INDEX(tProdutos[Foco],MATCH(tItens[[#This Row],[Produto]],tProdutos[Produto],0)),"Não")</f>
        <v>Não</v>
      </c>
      <c r="O9404" t="str">
        <f>IFERROR(INDEX(tEditais[SRP],MATCH(tItens[[#This Row],[Edital]],tEditais[Edital],0)),"Não")</f>
        <v>Não</v>
      </c>
      <c r="P9404" s="4">
        <f>IF(COUNTIFS(INDEX(tItens[Edital],1):tItens[[#This Row],[Edital]],tItens[[#This Row],[Edital]],INDEX(tItens[Produto],1):tItens[[#This Row],[Produto]],tItens[[#This Row],[Produto]])=1,1,0)</f>
        <v>1</v>
      </c>
    </row>
    <row r="9405" spans="1:16" x14ac:dyDescent="0.25">
      <c r="A9405" t="s">
        <v>3217</v>
      </c>
      <c r="B9405">
        <v>8</v>
      </c>
      <c r="C9405" t="s">
        <v>11698</v>
      </c>
      <c r="D9405" t="s">
        <v>267</v>
      </c>
      <c r="E9405" s="13">
        <v>80</v>
      </c>
      <c r="F9405" s="12">
        <v>59.45</v>
      </c>
      <c r="G9405" t="str">
        <f>IFERROR(INDEX(tEditais[Órgão],MATCH(tItens[[#This Row],[Edital]],tEditais[Edital],0)),"")</f>
        <v>MUNICIPIO DE FORMOSO DO ARAGUAIA</v>
      </c>
      <c r="H9405" t="str">
        <f>IFERROR(INDEX(tEditais[UF],MATCH(tItens[[#This Row],[Edital]],tEditais[Edital],0)),"")</f>
        <v>TO</v>
      </c>
      <c r="I9405" s="11">
        <f>IFERROR(INDEX(tEditais[Encerramento],MATCH(tItens[[#This Row],[Edital]],tEditais[Edital],0)),"")</f>
        <v>46311.333333333336</v>
      </c>
      <c r="J9405" t="str">
        <f>IFERROR(INDEX(tProdutos[Classe],MATCH(tItens[[#This Row],[Produto]],tProdutos[Produto],0)),"produto não cadastrado")</f>
        <v>FORA</v>
      </c>
      <c r="K9405" s="12">
        <f>tItens[[#This Row],[Qtd]]*tItens[[#This Row],[Vlr unit]]</f>
        <v>4756</v>
      </c>
      <c r="L9405" s="6">
        <f>IFERROR(IF(INDEX(tProdutos[Desconto homologado],MATCH(tItens[[#This Row],[Produto]],tProdutos[Produto],0))="",DescontoPadrao,INDEX(tProdutos[Desconto homologado],MATCH(tItens[[#This Row],[Produto]],tProdutos[Produto],0))),DescontoPadrao)</f>
        <v>0.19963672657401599</v>
      </c>
      <c r="M9405" s="12">
        <f>tItens[[#This Row],[Valor]]*(1-tItens[[#This Row],[Desconto]])</f>
        <v>3806.5277284139802</v>
      </c>
      <c r="N9405" t="str">
        <f>IFERROR(INDEX(tProdutos[Foco],MATCH(tItens[[#This Row],[Produto]],tProdutos[Produto],0)),"Não")</f>
        <v>Não</v>
      </c>
      <c r="O9405" t="str">
        <f>IFERROR(INDEX(tEditais[SRP],MATCH(tItens[[#This Row],[Edital]],tEditais[Edital],0)),"Não")</f>
        <v>Não</v>
      </c>
      <c r="P9405" s="4">
        <f>IF(COUNTIFS(INDEX(tItens[Edital],1):tItens[[#This Row],[Edital]],tItens[[#This Row],[Edital]],INDEX(tItens[Produto],1):tItens[[#This Row],[Produto]],tItens[[#This Row],[Produto]])=1,1,0)</f>
        <v>0</v>
      </c>
    </row>
    <row r="9406" spans="1:16" x14ac:dyDescent="0.25">
      <c r="A9406" t="s">
        <v>3217</v>
      </c>
      <c r="B9406">
        <v>9</v>
      </c>
      <c r="C9406" t="s">
        <v>11699</v>
      </c>
      <c r="D9406" t="s">
        <v>267</v>
      </c>
      <c r="E9406" s="13">
        <v>80</v>
      </c>
      <c r="F9406" s="12">
        <v>52.25</v>
      </c>
      <c r="G9406" t="str">
        <f>IFERROR(INDEX(tEditais[Órgão],MATCH(tItens[[#This Row],[Edital]],tEditais[Edital],0)),"")</f>
        <v>MUNICIPIO DE FORMOSO DO ARAGUAIA</v>
      </c>
      <c r="H9406" t="str">
        <f>IFERROR(INDEX(tEditais[UF],MATCH(tItens[[#This Row],[Edital]],tEditais[Edital],0)),"")</f>
        <v>TO</v>
      </c>
      <c r="I9406" s="11">
        <f>IFERROR(INDEX(tEditais[Encerramento],MATCH(tItens[[#This Row],[Edital]],tEditais[Edital],0)),"")</f>
        <v>46311.333333333336</v>
      </c>
      <c r="J9406" t="str">
        <f>IFERROR(INDEX(tProdutos[Classe],MATCH(tItens[[#This Row],[Produto]],tProdutos[Produto],0)),"produto não cadastrado")</f>
        <v>FORA</v>
      </c>
      <c r="K9406" s="12">
        <f>tItens[[#This Row],[Qtd]]*tItens[[#This Row],[Vlr unit]]</f>
        <v>4180</v>
      </c>
      <c r="L9406" s="6">
        <f>IFERROR(IF(INDEX(tProdutos[Desconto homologado],MATCH(tItens[[#This Row],[Produto]],tProdutos[Produto],0))="",DescontoPadrao,INDEX(tProdutos[Desconto homologado],MATCH(tItens[[#This Row],[Produto]],tProdutos[Produto],0))),DescontoPadrao)</f>
        <v>0.19963672657401599</v>
      </c>
      <c r="M9406" s="12">
        <f>tItens[[#This Row],[Valor]]*(1-tItens[[#This Row],[Desconto]])</f>
        <v>3345.5184829206132</v>
      </c>
      <c r="N9406" t="str">
        <f>IFERROR(INDEX(tProdutos[Foco],MATCH(tItens[[#This Row],[Produto]],tProdutos[Produto],0)),"Não")</f>
        <v>Não</v>
      </c>
      <c r="O9406" t="str">
        <f>IFERROR(INDEX(tEditais[SRP],MATCH(tItens[[#This Row],[Edital]],tEditais[Edital],0)),"Não")</f>
        <v>Não</v>
      </c>
      <c r="P9406" s="4">
        <f>IF(COUNTIFS(INDEX(tItens[Edital],1):tItens[[#This Row],[Edital]],tItens[[#This Row],[Edital]],INDEX(tItens[Produto],1):tItens[[#This Row],[Produto]],tItens[[#This Row],[Produto]])=1,1,0)</f>
        <v>0</v>
      </c>
    </row>
    <row r="9407" spans="1:16" x14ac:dyDescent="0.25">
      <c r="A9407" t="s">
        <v>3217</v>
      </c>
      <c r="B9407">
        <v>11</v>
      </c>
      <c r="C9407" t="s">
        <v>11700</v>
      </c>
      <c r="D9407" t="s">
        <v>393</v>
      </c>
      <c r="E9407" s="13">
        <v>100</v>
      </c>
      <c r="F9407" s="12">
        <v>16.88</v>
      </c>
      <c r="G9407" t="str">
        <f>IFERROR(INDEX(tEditais[Órgão],MATCH(tItens[[#This Row],[Edital]],tEditais[Edital],0)),"")</f>
        <v>MUNICIPIO DE FORMOSO DO ARAGUAIA</v>
      </c>
      <c r="H9407" t="str">
        <f>IFERROR(INDEX(tEditais[UF],MATCH(tItens[[#This Row],[Edital]],tEditais[Edital],0)),"")</f>
        <v>TO</v>
      </c>
      <c r="I9407" s="11">
        <f>IFERROR(INDEX(tEditais[Encerramento],MATCH(tItens[[#This Row],[Edital]],tEditais[Edital],0)),"")</f>
        <v>46311.333333333336</v>
      </c>
      <c r="J9407" t="str">
        <f>IFERROR(INDEX(tProdutos[Classe],MATCH(tItens[[#This Row],[Produto]],tProdutos[Produto],0)),"produto não cadastrado")</f>
        <v>FORA</v>
      </c>
      <c r="K9407" s="12">
        <f>tItens[[#This Row],[Qtd]]*tItens[[#This Row],[Vlr unit]]</f>
        <v>1688</v>
      </c>
      <c r="L9407" s="6">
        <f>IFERROR(IF(INDEX(tProdutos[Desconto homologado],MATCH(tItens[[#This Row],[Produto]],tProdutos[Produto],0))="",DescontoPadrao,INDEX(tProdutos[Desconto homologado],MATCH(tItens[[#This Row],[Produto]],tProdutos[Produto],0))),DescontoPadrao)</f>
        <v>0.286445012787724</v>
      </c>
      <c r="M9407" s="12">
        <f>tItens[[#This Row],[Valor]]*(1-tItens[[#This Row],[Desconto]])</f>
        <v>1204.4808184143219</v>
      </c>
      <c r="N9407" t="str">
        <f>IFERROR(INDEX(tProdutos[Foco],MATCH(tItens[[#This Row],[Produto]],tProdutos[Produto],0)),"Não")</f>
        <v>Não</v>
      </c>
      <c r="O9407" t="str">
        <f>IFERROR(INDEX(tEditais[SRP],MATCH(tItens[[#This Row],[Edital]],tEditais[Edital],0)),"Não")</f>
        <v>Não</v>
      </c>
      <c r="P9407" s="4">
        <f>IF(COUNTIFS(INDEX(tItens[Edital],1):tItens[[#This Row],[Edital]],tItens[[#This Row],[Edital]],INDEX(tItens[Produto],1):tItens[[#This Row],[Produto]],tItens[[#This Row],[Produto]])=1,1,0)</f>
        <v>1</v>
      </c>
    </row>
    <row r="9408" spans="1:16" x14ac:dyDescent="0.25">
      <c r="A9408" t="s">
        <v>3217</v>
      </c>
      <c r="B9408">
        <v>12</v>
      </c>
      <c r="C9408" t="s">
        <v>11701</v>
      </c>
      <c r="D9408" t="s">
        <v>267</v>
      </c>
      <c r="E9408" s="13">
        <v>40</v>
      </c>
      <c r="F9408" s="12">
        <v>51.67</v>
      </c>
      <c r="G9408" t="str">
        <f>IFERROR(INDEX(tEditais[Órgão],MATCH(tItens[[#This Row],[Edital]],tEditais[Edital],0)),"")</f>
        <v>MUNICIPIO DE FORMOSO DO ARAGUAIA</v>
      </c>
      <c r="H9408" t="str">
        <f>IFERROR(INDEX(tEditais[UF],MATCH(tItens[[#This Row],[Edital]],tEditais[Edital],0)),"")</f>
        <v>TO</v>
      </c>
      <c r="I9408" s="11">
        <f>IFERROR(INDEX(tEditais[Encerramento],MATCH(tItens[[#This Row],[Edital]],tEditais[Edital],0)),"")</f>
        <v>46311.333333333336</v>
      </c>
      <c r="J9408" t="str">
        <f>IFERROR(INDEX(tProdutos[Classe],MATCH(tItens[[#This Row],[Produto]],tProdutos[Produto],0)),"produto não cadastrado")</f>
        <v>FORA</v>
      </c>
      <c r="K9408" s="12">
        <f>tItens[[#This Row],[Qtd]]*tItens[[#This Row],[Vlr unit]]</f>
        <v>2066.8000000000002</v>
      </c>
      <c r="L9408" s="6">
        <f>IFERROR(IF(INDEX(tProdutos[Desconto homologado],MATCH(tItens[[#This Row],[Produto]],tProdutos[Produto],0))="",DescontoPadrao,INDEX(tProdutos[Desconto homologado],MATCH(tItens[[#This Row],[Produto]],tProdutos[Produto],0))),DescontoPadrao)</f>
        <v>0.19963672657401599</v>
      </c>
      <c r="M9408" s="12">
        <f>tItens[[#This Row],[Valor]]*(1-tItens[[#This Row],[Desconto]])</f>
        <v>1654.1908135168239</v>
      </c>
      <c r="N9408" t="str">
        <f>IFERROR(INDEX(tProdutos[Foco],MATCH(tItens[[#This Row],[Produto]],tProdutos[Produto],0)),"Não")</f>
        <v>Não</v>
      </c>
      <c r="O9408" t="str">
        <f>IFERROR(INDEX(tEditais[SRP],MATCH(tItens[[#This Row],[Edital]],tEditais[Edital],0)),"Não")</f>
        <v>Não</v>
      </c>
      <c r="P9408" s="4">
        <f>IF(COUNTIFS(INDEX(tItens[Edital],1):tItens[[#This Row],[Edital]],tItens[[#This Row],[Edital]],INDEX(tItens[Produto],1):tItens[[#This Row],[Produto]],tItens[[#This Row],[Produto]])=1,1,0)</f>
        <v>0</v>
      </c>
    </row>
    <row r="9409" spans="1:16" x14ac:dyDescent="0.25">
      <c r="A9409" t="s">
        <v>3222</v>
      </c>
      <c r="B9409">
        <v>8070548</v>
      </c>
      <c r="C9409" t="s">
        <v>11702</v>
      </c>
      <c r="D9409" t="s">
        <v>56</v>
      </c>
      <c r="E9409" s="13">
        <v>3</v>
      </c>
      <c r="F9409" s="12">
        <v>53.28</v>
      </c>
      <c r="G9409" t="str">
        <f>IFERROR(INDEX(tEditais[Órgão],MATCH(tItens[[#This Row],[Edital]],tEditais[Edital],0)),"")</f>
        <v>FUNDO MUNICIPAL DE SAUDE DE BARROLANDIA - TO</v>
      </c>
      <c r="H9409" t="str">
        <f>IFERROR(INDEX(tEditais[UF],MATCH(tItens[[#This Row],[Edital]],tEditais[Edital],0)),"")</f>
        <v>TO</v>
      </c>
      <c r="I9409" s="11">
        <f>IFERROR(INDEX(tEditais[Encerramento],MATCH(tItens[[#This Row],[Edital]],tEditais[Edital],0)),"")</f>
        <v>46314.333333333336</v>
      </c>
      <c r="J9409" t="str">
        <f>IFERROR(INDEX(tProdutos[Classe],MATCH(tItens[[#This Row],[Produto]],tProdutos[Produto],0)),"produto não cadastrado")</f>
        <v>NÚCLEO</v>
      </c>
      <c r="K9409" s="12">
        <f>tItens[[#This Row],[Qtd]]*tItens[[#This Row],[Vlr unit]]</f>
        <v>159.84</v>
      </c>
      <c r="L9409" s="6">
        <f>IFERROR(IF(INDEX(tProdutos[Desconto homologado],MATCH(tItens[[#This Row],[Produto]],tProdutos[Produto],0))="",DescontoPadrao,INDEX(tProdutos[Desconto homologado],MATCH(tItens[[#This Row],[Produto]],tProdutos[Produto],0))),DescontoPadrao)</f>
        <v>0.34</v>
      </c>
      <c r="M9409" s="12">
        <f>tItens[[#This Row],[Valor]]*(1-tItens[[#This Row],[Desconto]])</f>
        <v>105.49439999999998</v>
      </c>
      <c r="N9409" t="str">
        <f>IFERROR(INDEX(tProdutos[Foco],MATCH(tItens[[#This Row],[Produto]],tProdutos[Produto],0)),"Não")</f>
        <v>Sim</v>
      </c>
      <c r="O9409" t="str">
        <f>IFERROR(INDEX(tEditais[SRP],MATCH(tItens[[#This Row],[Edital]],tEditais[Edital],0)),"Não")</f>
        <v>Não</v>
      </c>
      <c r="P9409" s="4">
        <f>IF(COUNTIFS(INDEX(tItens[Edital],1):tItens[[#This Row],[Edital]],tItens[[#This Row],[Edital]],INDEX(tItens[Produto],1):tItens[[#This Row],[Produto]],tItens[[#This Row],[Produto]])=1,1,0)</f>
        <v>1</v>
      </c>
    </row>
    <row r="9410" spans="1:16" x14ac:dyDescent="0.25">
      <c r="A9410" t="s">
        <v>3227</v>
      </c>
      <c r="B9410">
        <v>19</v>
      </c>
      <c r="C9410" t="s">
        <v>11703</v>
      </c>
      <c r="D9410" t="s">
        <v>309</v>
      </c>
      <c r="E9410" s="13">
        <v>1000</v>
      </c>
      <c r="F9410" s="12">
        <v>12.61</v>
      </c>
      <c r="G9410" t="str">
        <f>IFERROR(INDEX(tEditais[Órgão],MATCH(tItens[[#This Row],[Edital]],tEditais[Edital],0)),"")</f>
        <v>FUNDO MUNICIPAL DE SAUDE DE PEDRO AFONSO</v>
      </c>
      <c r="H9410" t="str">
        <f>IFERROR(INDEX(tEditais[UF],MATCH(tItens[[#This Row],[Edital]],tEditais[Edital],0)),"")</f>
        <v>TO</v>
      </c>
      <c r="I9410" s="11">
        <f>IFERROR(INDEX(tEditais[Encerramento],MATCH(tItens[[#This Row],[Edital]],tEditais[Edital],0)),"")</f>
        <v>46314.999305555553</v>
      </c>
      <c r="J9410" t="str">
        <f>IFERROR(INDEX(tProdutos[Classe],MATCH(tItens[[#This Row],[Produto]],tProdutos[Produto],0)),"produto não cadastrado")</f>
        <v>DISPUTADO</v>
      </c>
      <c r="K9410" s="12">
        <f>tItens[[#This Row],[Qtd]]*tItens[[#This Row],[Vlr unit]]</f>
        <v>12610</v>
      </c>
      <c r="L9410" s="6">
        <f>IFERROR(IF(INDEX(tProdutos[Desconto homologado],MATCH(tItens[[#This Row],[Produto]],tProdutos[Produto],0))="",DescontoPadrao,INDEX(tProdutos[Desconto homologado],MATCH(tItens[[#This Row],[Produto]],tProdutos[Produto],0))),DescontoPadrao)</f>
        <v>0.329229323455968</v>
      </c>
      <c r="M9410" s="12">
        <f>tItens[[#This Row],[Valor]]*(1-tItens[[#This Row],[Desconto]])</f>
        <v>8458.4182312202429</v>
      </c>
      <c r="N9410" t="str">
        <f>IFERROR(INDEX(tProdutos[Foco],MATCH(tItens[[#This Row],[Produto]],tProdutos[Produto],0)),"Não")</f>
        <v>Não</v>
      </c>
      <c r="O9410" t="str">
        <f>IFERROR(INDEX(tEditais[SRP],MATCH(tItens[[#This Row],[Edital]],tEditais[Edital],0)),"Não")</f>
        <v>Sim</v>
      </c>
      <c r="P9410" s="4">
        <f>IF(COUNTIFS(INDEX(tItens[Edital],1):tItens[[#This Row],[Edital]],tItens[[#This Row],[Edital]],INDEX(tItens[Produto],1):tItens[[#This Row],[Produto]],tItens[[#This Row],[Produto]])=1,1,0)</f>
        <v>1</v>
      </c>
    </row>
    <row r="9411" spans="1:16" x14ac:dyDescent="0.25">
      <c r="A9411" t="s">
        <v>3227</v>
      </c>
      <c r="B9411">
        <v>20</v>
      </c>
      <c r="C9411" t="s">
        <v>11704</v>
      </c>
      <c r="D9411" t="s">
        <v>309</v>
      </c>
      <c r="E9411" s="13">
        <v>1000</v>
      </c>
      <c r="F9411" s="12">
        <v>13.33</v>
      </c>
      <c r="G9411" t="str">
        <f>IFERROR(INDEX(tEditais[Órgão],MATCH(tItens[[#This Row],[Edital]],tEditais[Edital],0)),"")</f>
        <v>FUNDO MUNICIPAL DE SAUDE DE PEDRO AFONSO</v>
      </c>
      <c r="H9411" t="str">
        <f>IFERROR(INDEX(tEditais[UF],MATCH(tItens[[#This Row],[Edital]],tEditais[Edital],0)),"")</f>
        <v>TO</v>
      </c>
      <c r="I9411" s="11">
        <f>IFERROR(INDEX(tEditais[Encerramento],MATCH(tItens[[#This Row],[Edital]],tEditais[Edital],0)),"")</f>
        <v>46314.999305555553</v>
      </c>
      <c r="J9411" t="str">
        <f>IFERROR(INDEX(tProdutos[Classe],MATCH(tItens[[#This Row],[Produto]],tProdutos[Produto],0)),"produto não cadastrado")</f>
        <v>DISPUTADO</v>
      </c>
      <c r="K9411" s="12">
        <f>tItens[[#This Row],[Qtd]]*tItens[[#This Row],[Vlr unit]]</f>
        <v>13330</v>
      </c>
      <c r="L9411" s="6">
        <f>IFERROR(IF(INDEX(tProdutos[Desconto homologado],MATCH(tItens[[#This Row],[Produto]],tProdutos[Produto],0))="",DescontoPadrao,INDEX(tProdutos[Desconto homologado],MATCH(tItens[[#This Row],[Produto]],tProdutos[Produto],0))),DescontoPadrao)</f>
        <v>0.329229323455968</v>
      </c>
      <c r="M9411" s="12">
        <f>tItens[[#This Row],[Valor]]*(1-tItens[[#This Row],[Desconto]])</f>
        <v>8941.3731183319469</v>
      </c>
      <c r="N9411" t="str">
        <f>IFERROR(INDEX(tProdutos[Foco],MATCH(tItens[[#This Row],[Produto]],tProdutos[Produto],0)),"Não")</f>
        <v>Não</v>
      </c>
      <c r="O9411" t="str">
        <f>IFERROR(INDEX(tEditais[SRP],MATCH(tItens[[#This Row],[Edital]],tEditais[Edital],0)),"Não")</f>
        <v>Sim</v>
      </c>
      <c r="P9411" s="4">
        <f>IF(COUNTIFS(INDEX(tItens[Edital],1):tItens[[#This Row],[Edital]],tItens[[#This Row],[Edital]],INDEX(tItens[Produto],1):tItens[[#This Row],[Produto]],tItens[[#This Row],[Produto]])=1,1,0)</f>
        <v>0</v>
      </c>
    </row>
    <row r="9412" spans="1:16" x14ac:dyDescent="0.25">
      <c r="A9412" t="s">
        <v>3227</v>
      </c>
      <c r="B9412">
        <v>21</v>
      </c>
      <c r="C9412" t="s">
        <v>11705</v>
      </c>
      <c r="D9412" t="s">
        <v>309</v>
      </c>
      <c r="E9412" s="13">
        <v>1500</v>
      </c>
      <c r="F9412" s="12">
        <v>28.61</v>
      </c>
      <c r="G9412" t="str">
        <f>IFERROR(INDEX(tEditais[Órgão],MATCH(tItens[[#This Row],[Edital]],tEditais[Edital],0)),"")</f>
        <v>FUNDO MUNICIPAL DE SAUDE DE PEDRO AFONSO</v>
      </c>
      <c r="H9412" t="str">
        <f>IFERROR(INDEX(tEditais[UF],MATCH(tItens[[#This Row],[Edital]],tEditais[Edital],0)),"")</f>
        <v>TO</v>
      </c>
      <c r="I9412" s="11">
        <f>IFERROR(INDEX(tEditais[Encerramento],MATCH(tItens[[#This Row],[Edital]],tEditais[Edital],0)),"")</f>
        <v>46314.999305555553</v>
      </c>
      <c r="J9412" t="str">
        <f>IFERROR(INDEX(tProdutos[Classe],MATCH(tItens[[#This Row],[Produto]],tProdutos[Produto],0)),"produto não cadastrado")</f>
        <v>DISPUTADO</v>
      </c>
      <c r="K9412" s="12">
        <f>tItens[[#This Row],[Qtd]]*tItens[[#This Row],[Vlr unit]]</f>
        <v>42915</v>
      </c>
      <c r="L9412" s="6">
        <f>IFERROR(IF(INDEX(tProdutos[Desconto homologado],MATCH(tItens[[#This Row],[Produto]],tProdutos[Produto],0))="",DescontoPadrao,INDEX(tProdutos[Desconto homologado],MATCH(tItens[[#This Row],[Produto]],tProdutos[Produto],0))),DescontoPadrao)</f>
        <v>0.329229323455968</v>
      </c>
      <c r="M9412" s="12">
        <f>tItens[[#This Row],[Valor]]*(1-tItens[[#This Row],[Desconto]])</f>
        <v>28786.123583887133</v>
      </c>
      <c r="N9412" t="str">
        <f>IFERROR(INDEX(tProdutos[Foco],MATCH(tItens[[#This Row],[Produto]],tProdutos[Produto],0)),"Não")</f>
        <v>Não</v>
      </c>
      <c r="O9412" t="str">
        <f>IFERROR(INDEX(tEditais[SRP],MATCH(tItens[[#This Row],[Edital]],tEditais[Edital],0)),"Não")</f>
        <v>Sim</v>
      </c>
      <c r="P9412" s="4">
        <f>IF(COUNTIFS(INDEX(tItens[Edital],1):tItens[[#This Row],[Edital]],tItens[[#This Row],[Edital]],INDEX(tItens[Produto],1):tItens[[#This Row],[Produto]],tItens[[#This Row],[Produto]])=1,1,0)</f>
        <v>0</v>
      </c>
    </row>
    <row r="9413" spans="1:16" x14ac:dyDescent="0.25">
      <c r="A9413" t="s">
        <v>3227</v>
      </c>
      <c r="B9413">
        <v>22</v>
      </c>
      <c r="C9413" t="s">
        <v>11706</v>
      </c>
      <c r="D9413" t="s">
        <v>569</v>
      </c>
      <c r="E9413" s="13">
        <v>20</v>
      </c>
      <c r="F9413" s="12">
        <v>198.33</v>
      </c>
      <c r="G9413" t="str">
        <f>IFERROR(INDEX(tEditais[Órgão],MATCH(tItens[[#This Row],[Edital]],tEditais[Edital],0)),"")</f>
        <v>FUNDO MUNICIPAL DE SAUDE DE PEDRO AFONSO</v>
      </c>
      <c r="H9413" t="str">
        <f>IFERROR(INDEX(tEditais[UF],MATCH(tItens[[#This Row],[Edital]],tEditais[Edital],0)),"")</f>
        <v>TO</v>
      </c>
      <c r="I9413" s="11">
        <f>IFERROR(INDEX(tEditais[Encerramento],MATCH(tItens[[#This Row],[Edital]],tEditais[Edital],0)),"")</f>
        <v>46314.999305555553</v>
      </c>
      <c r="J9413" t="str">
        <f>IFERROR(INDEX(tProdutos[Classe],MATCH(tItens[[#This Row],[Produto]],tProdutos[Produto],0)),"produto não cadastrado")</f>
        <v>FILA REBASE</v>
      </c>
      <c r="K9413" s="12">
        <f>tItens[[#This Row],[Qtd]]*tItens[[#This Row],[Vlr unit]]</f>
        <v>3966.6000000000004</v>
      </c>
      <c r="L9413" s="6">
        <f>IFERROR(IF(INDEX(tProdutos[Desconto homologado],MATCH(tItens[[#This Row],[Produto]],tProdutos[Produto],0))="",DescontoPadrao,INDEX(tProdutos[Desconto homologado],MATCH(tItens[[#This Row],[Produto]],tProdutos[Produto],0))),DescontoPadrao)</f>
        <v>0.3</v>
      </c>
      <c r="M9413" s="12">
        <f>tItens[[#This Row],[Valor]]*(1-tItens[[#This Row],[Desconto]])</f>
        <v>2776.62</v>
      </c>
      <c r="N9413" t="str">
        <f>IFERROR(INDEX(tProdutos[Foco],MATCH(tItens[[#This Row],[Produto]],tProdutos[Produto],0)),"Não")</f>
        <v>Não</v>
      </c>
      <c r="O9413" t="str">
        <f>IFERROR(INDEX(tEditais[SRP],MATCH(tItens[[#This Row],[Edital]],tEditais[Edital],0)),"Não")</f>
        <v>Sim</v>
      </c>
      <c r="P9413" s="4">
        <f>IF(COUNTIFS(INDEX(tItens[Edital],1):tItens[[#This Row],[Edital]],tItens[[#This Row],[Edital]],INDEX(tItens[Produto],1):tItens[[#This Row],[Produto]],tItens[[#This Row],[Produto]])=1,1,0)</f>
        <v>1</v>
      </c>
    </row>
    <row r="9414" spans="1:16" x14ac:dyDescent="0.25">
      <c r="A9414" t="s">
        <v>3227</v>
      </c>
      <c r="B9414">
        <v>25</v>
      </c>
      <c r="C9414" t="s">
        <v>11707</v>
      </c>
      <c r="D9414" t="s">
        <v>62</v>
      </c>
      <c r="E9414" s="13">
        <v>200</v>
      </c>
      <c r="F9414" s="12">
        <v>7.16</v>
      </c>
      <c r="G9414" t="str">
        <f>IFERROR(INDEX(tEditais[Órgão],MATCH(tItens[[#This Row],[Edital]],tEditais[Edital],0)),"")</f>
        <v>FUNDO MUNICIPAL DE SAUDE DE PEDRO AFONSO</v>
      </c>
      <c r="H9414" t="str">
        <f>IFERROR(INDEX(tEditais[UF],MATCH(tItens[[#This Row],[Edital]],tEditais[Edital],0)),"")</f>
        <v>TO</v>
      </c>
      <c r="I9414" s="11">
        <f>IFERROR(INDEX(tEditais[Encerramento],MATCH(tItens[[#This Row],[Edital]],tEditais[Edital],0)),"")</f>
        <v>46314.999305555553</v>
      </c>
      <c r="J9414" t="str">
        <f>IFERROR(INDEX(tProdutos[Classe],MATCH(tItens[[#This Row],[Produto]],tProdutos[Produto],0)),"produto não cadastrado")</f>
        <v>NÚCLEO</v>
      </c>
      <c r="K9414" s="12">
        <f>tItens[[#This Row],[Qtd]]*tItens[[#This Row],[Vlr unit]]</f>
        <v>1432</v>
      </c>
      <c r="L9414" s="6">
        <f>IFERROR(IF(INDEX(tProdutos[Desconto homologado],MATCH(tItens[[#This Row],[Produto]],tProdutos[Produto],0))="",DescontoPadrao,INDEX(tProdutos[Desconto homologado],MATCH(tItens[[#This Row],[Produto]],tProdutos[Produto],0))),DescontoPadrao)</f>
        <v>0.3</v>
      </c>
      <c r="M9414" s="12">
        <f>tItens[[#This Row],[Valor]]*(1-tItens[[#This Row],[Desconto]])</f>
        <v>1002.4</v>
      </c>
      <c r="N9414" t="str">
        <f>IFERROR(INDEX(tProdutos[Foco],MATCH(tItens[[#This Row],[Produto]],tProdutos[Produto],0)),"Não")</f>
        <v>Sim</v>
      </c>
      <c r="O9414" t="str">
        <f>IFERROR(INDEX(tEditais[SRP],MATCH(tItens[[#This Row],[Edital]],tEditais[Edital],0)),"Não")</f>
        <v>Sim</v>
      </c>
      <c r="P9414" s="4">
        <f>IF(COUNTIFS(INDEX(tItens[Edital],1):tItens[[#This Row],[Edital]],tItens[[#This Row],[Edital]],INDEX(tItens[Produto],1):tItens[[#This Row],[Produto]],tItens[[#This Row],[Produto]])=1,1,0)</f>
        <v>1</v>
      </c>
    </row>
    <row r="9415" spans="1:16" x14ac:dyDescent="0.25">
      <c r="A9415" t="s">
        <v>3227</v>
      </c>
      <c r="B9415">
        <v>26</v>
      </c>
      <c r="C9415" t="s">
        <v>11708</v>
      </c>
      <c r="D9415" t="s">
        <v>124</v>
      </c>
      <c r="E9415" s="13">
        <v>1000</v>
      </c>
      <c r="F9415" s="12">
        <v>55.25</v>
      </c>
      <c r="G9415" t="str">
        <f>IFERROR(INDEX(tEditais[Órgão],MATCH(tItens[[#This Row],[Edital]],tEditais[Edital],0)),"")</f>
        <v>FUNDO MUNICIPAL DE SAUDE DE PEDRO AFONSO</v>
      </c>
      <c r="H9415" t="str">
        <f>IFERROR(INDEX(tEditais[UF],MATCH(tItens[[#This Row],[Edital]],tEditais[Edital],0)),"")</f>
        <v>TO</v>
      </c>
      <c r="I9415" s="11">
        <f>IFERROR(INDEX(tEditais[Encerramento],MATCH(tItens[[#This Row],[Edital]],tEditais[Edital],0)),"")</f>
        <v>46314.999305555553</v>
      </c>
      <c r="J9415" t="str">
        <f>IFERROR(INDEX(tProdutos[Classe],MATCH(tItens[[#This Row],[Produto]],tProdutos[Produto],0)),"produto não cadastrado")</f>
        <v>DISPUTADO</v>
      </c>
      <c r="K9415" s="12">
        <f>tItens[[#This Row],[Qtd]]*tItens[[#This Row],[Vlr unit]]</f>
        <v>55250</v>
      </c>
      <c r="L9415" s="6">
        <f>IFERROR(IF(INDEX(tProdutos[Desconto homologado],MATCH(tItens[[#This Row],[Produto]],tProdutos[Produto],0))="",DescontoPadrao,INDEX(tProdutos[Desconto homologado],MATCH(tItens[[#This Row],[Produto]],tProdutos[Produto],0))),DescontoPadrao)</f>
        <v>0.34</v>
      </c>
      <c r="M9415" s="12">
        <f>tItens[[#This Row],[Valor]]*(1-tItens[[#This Row],[Desconto]])</f>
        <v>36464.999999999993</v>
      </c>
      <c r="N9415" t="str">
        <f>IFERROR(INDEX(tProdutos[Foco],MATCH(tItens[[#This Row],[Produto]],tProdutos[Produto],0)),"Não")</f>
        <v>Sim</v>
      </c>
      <c r="O9415" t="str">
        <f>IFERROR(INDEX(tEditais[SRP],MATCH(tItens[[#This Row],[Edital]],tEditais[Edital],0)),"Não")</f>
        <v>Sim</v>
      </c>
      <c r="P9415" s="4">
        <f>IF(COUNTIFS(INDEX(tItens[Edital],1):tItens[[#This Row],[Edital]],tItens[[#This Row],[Edital]],INDEX(tItens[Produto],1):tItens[[#This Row],[Produto]],tItens[[#This Row],[Produto]])=1,1,0)</f>
        <v>1</v>
      </c>
    </row>
    <row r="9416" spans="1:16" x14ac:dyDescent="0.25">
      <c r="A9416" t="s">
        <v>3227</v>
      </c>
      <c r="B9416">
        <v>38</v>
      </c>
      <c r="C9416" t="s">
        <v>11709</v>
      </c>
      <c r="D9416" t="s">
        <v>611</v>
      </c>
      <c r="E9416" s="13">
        <v>20</v>
      </c>
      <c r="F9416" s="12">
        <v>341.97</v>
      </c>
      <c r="G9416" t="str">
        <f>IFERROR(INDEX(tEditais[Órgão],MATCH(tItens[[#This Row],[Edital]],tEditais[Edital],0)),"")</f>
        <v>FUNDO MUNICIPAL DE SAUDE DE PEDRO AFONSO</v>
      </c>
      <c r="H9416" t="str">
        <f>IFERROR(INDEX(tEditais[UF],MATCH(tItens[[#This Row],[Edital]],tEditais[Edital],0)),"")</f>
        <v>TO</v>
      </c>
      <c r="I9416" s="11">
        <f>IFERROR(INDEX(tEditais[Encerramento],MATCH(tItens[[#This Row],[Edital]],tEditais[Edital],0)),"")</f>
        <v>46314.999305555553</v>
      </c>
      <c r="J9416" t="str">
        <f>IFERROR(INDEX(tProdutos[Classe],MATCH(tItens[[#This Row],[Produto]],tProdutos[Produto],0)),"produto não cadastrado")</f>
        <v>FILA REBASE</v>
      </c>
      <c r="K9416" s="12">
        <f>tItens[[#This Row],[Qtd]]*tItens[[#This Row],[Vlr unit]]</f>
        <v>6839.4000000000005</v>
      </c>
      <c r="L9416" s="6">
        <f>IFERROR(IF(INDEX(tProdutos[Desconto homologado],MATCH(tItens[[#This Row],[Produto]],tProdutos[Produto],0))="",DescontoPadrao,INDEX(tProdutos[Desconto homologado],MATCH(tItens[[#This Row],[Produto]],tProdutos[Produto],0))),DescontoPadrao)</f>
        <v>0.3</v>
      </c>
      <c r="M9416" s="12">
        <f>tItens[[#This Row],[Valor]]*(1-tItens[[#This Row],[Desconto]])</f>
        <v>4787.58</v>
      </c>
      <c r="N9416" t="str">
        <f>IFERROR(INDEX(tProdutos[Foco],MATCH(tItens[[#This Row],[Produto]],tProdutos[Produto],0)),"Não")</f>
        <v>Não</v>
      </c>
      <c r="O9416" t="str">
        <f>IFERROR(INDEX(tEditais[SRP],MATCH(tItens[[#This Row],[Edital]],tEditais[Edital],0)),"Não")</f>
        <v>Sim</v>
      </c>
      <c r="P9416" s="4">
        <f>IF(COUNTIFS(INDEX(tItens[Edital],1):tItens[[#This Row],[Edital]],tItens[[#This Row],[Edital]],INDEX(tItens[Produto],1):tItens[[#This Row],[Produto]],tItens[[#This Row],[Produto]])=1,1,0)</f>
        <v>1</v>
      </c>
    </row>
    <row r="9417" spans="1:16" x14ac:dyDescent="0.25">
      <c r="A9417" t="s">
        <v>3227</v>
      </c>
      <c r="B9417">
        <v>45</v>
      </c>
      <c r="C9417" t="s">
        <v>11710</v>
      </c>
      <c r="D9417" t="s">
        <v>333</v>
      </c>
      <c r="E9417" s="13">
        <v>500</v>
      </c>
      <c r="F9417" s="12">
        <v>1.22</v>
      </c>
      <c r="G9417" t="str">
        <f>IFERROR(INDEX(tEditais[Órgão],MATCH(tItens[[#This Row],[Edital]],tEditais[Edital],0)),"")</f>
        <v>FUNDO MUNICIPAL DE SAUDE DE PEDRO AFONSO</v>
      </c>
      <c r="H9417" t="str">
        <f>IFERROR(INDEX(tEditais[UF],MATCH(tItens[[#This Row],[Edital]],tEditais[Edital],0)),"")</f>
        <v>TO</v>
      </c>
      <c r="I9417" s="11">
        <f>IFERROR(INDEX(tEditais[Encerramento],MATCH(tItens[[#This Row],[Edital]],tEditais[Edital],0)),"")</f>
        <v>46314.999305555553</v>
      </c>
      <c r="J9417" t="str">
        <f>IFERROR(INDEX(tProdutos[Classe],MATCH(tItens[[#This Row],[Produto]],tProdutos[Produto],0)),"produto não cadastrado")</f>
        <v>FORA</v>
      </c>
      <c r="K9417" s="12">
        <f>tItens[[#This Row],[Qtd]]*tItens[[#This Row],[Vlr unit]]</f>
        <v>610</v>
      </c>
      <c r="L9417" s="6">
        <f>IFERROR(IF(INDEX(tProdutos[Desconto homologado],MATCH(tItens[[#This Row],[Produto]],tProdutos[Produto],0))="",DescontoPadrao,INDEX(tProdutos[Desconto homologado],MATCH(tItens[[#This Row],[Produto]],tProdutos[Produto],0))),DescontoPadrao)</f>
        <v>0.48951048951048998</v>
      </c>
      <c r="M9417" s="12">
        <f>tItens[[#This Row],[Valor]]*(1-tItens[[#This Row],[Desconto]])</f>
        <v>311.3986013986011</v>
      </c>
      <c r="N9417" t="str">
        <f>IFERROR(INDEX(tProdutos[Foco],MATCH(tItens[[#This Row],[Produto]],tProdutos[Produto],0)),"Não")</f>
        <v>Não</v>
      </c>
      <c r="O9417" t="str">
        <f>IFERROR(INDEX(tEditais[SRP],MATCH(tItens[[#This Row],[Edital]],tEditais[Edital],0)),"Não")</f>
        <v>Sim</v>
      </c>
      <c r="P9417" s="4">
        <f>IF(COUNTIFS(INDEX(tItens[Edital],1):tItens[[#This Row],[Edital]],tItens[[#This Row],[Edital]],INDEX(tItens[Produto],1):tItens[[#This Row],[Produto]],tItens[[#This Row],[Produto]])=1,1,0)</f>
        <v>1</v>
      </c>
    </row>
    <row r="9418" spans="1:16" x14ac:dyDescent="0.25">
      <c r="A9418" t="s">
        <v>3227</v>
      </c>
      <c r="B9418">
        <v>46</v>
      </c>
      <c r="C9418" t="s">
        <v>11711</v>
      </c>
      <c r="D9418" t="s">
        <v>90</v>
      </c>
      <c r="E9418" s="13">
        <v>800</v>
      </c>
      <c r="F9418" s="12">
        <v>19.23</v>
      </c>
      <c r="G9418" t="str">
        <f>IFERROR(INDEX(tEditais[Órgão],MATCH(tItens[[#This Row],[Edital]],tEditais[Edital],0)),"")</f>
        <v>FUNDO MUNICIPAL DE SAUDE DE PEDRO AFONSO</v>
      </c>
      <c r="H9418" t="str">
        <f>IFERROR(INDEX(tEditais[UF],MATCH(tItens[[#This Row],[Edital]],tEditais[Edital],0)),"")</f>
        <v>TO</v>
      </c>
      <c r="I9418" s="11">
        <f>IFERROR(INDEX(tEditais[Encerramento],MATCH(tItens[[#This Row],[Edital]],tEditais[Edital],0)),"")</f>
        <v>46314.999305555553</v>
      </c>
      <c r="J9418" t="str">
        <f>IFERROR(INDEX(tProdutos[Classe],MATCH(tItens[[#This Row],[Produto]],tProdutos[Produto],0)),"produto não cadastrado")</f>
        <v>DISPUTADO</v>
      </c>
      <c r="K9418" s="12">
        <f>tItens[[#This Row],[Qtd]]*tItens[[#This Row],[Vlr unit]]</f>
        <v>15384</v>
      </c>
      <c r="L9418" s="6">
        <f>IFERROR(IF(INDEX(tProdutos[Desconto homologado],MATCH(tItens[[#This Row],[Produto]],tProdutos[Produto],0))="",DescontoPadrao,INDEX(tProdutos[Desconto homologado],MATCH(tItens[[#This Row],[Produto]],tProdutos[Produto],0))),DescontoPadrao)</f>
        <v>0.25393823957010597</v>
      </c>
      <c r="M9418" s="12">
        <f>tItens[[#This Row],[Valor]]*(1-tItens[[#This Row],[Desconto]])</f>
        <v>11477.414122453491</v>
      </c>
      <c r="N9418" t="str">
        <f>IFERROR(INDEX(tProdutos[Foco],MATCH(tItens[[#This Row],[Produto]],tProdutos[Produto],0)),"Não")</f>
        <v>Não</v>
      </c>
      <c r="O9418" t="str">
        <f>IFERROR(INDEX(tEditais[SRP],MATCH(tItens[[#This Row],[Edital]],tEditais[Edital],0)),"Não")</f>
        <v>Sim</v>
      </c>
      <c r="P9418" s="4">
        <f>IF(COUNTIFS(INDEX(tItens[Edital],1):tItens[[#This Row],[Edital]],tItens[[#This Row],[Edital]],INDEX(tItens[Produto],1):tItens[[#This Row],[Produto]],tItens[[#This Row],[Produto]])=1,1,0)</f>
        <v>1</v>
      </c>
    </row>
    <row r="9419" spans="1:16" x14ac:dyDescent="0.25">
      <c r="A9419" t="s">
        <v>3227</v>
      </c>
      <c r="B9419">
        <v>47</v>
      </c>
      <c r="C9419" t="s">
        <v>11712</v>
      </c>
      <c r="D9419" t="s">
        <v>233</v>
      </c>
      <c r="E9419" s="13">
        <v>200</v>
      </c>
      <c r="F9419" s="12">
        <v>32.119999999999997</v>
      </c>
      <c r="G9419" t="str">
        <f>IFERROR(INDEX(tEditais[Órgão],MATCH(tItens[[#This Row],[Edital]],tEditais[Edital],0)),"")</f>
        <v>FUNDO MUNICIPAL DE SAUDE DE PEDRO AFONSO</v>
      </c>
      <c r="H9419" t="str">
        <f>IFERROR(INDEX(tEditais[UF],MATCH(tItens[[#This Row],[Edital]],tEditais[Edital],0)),"")</f>
        <v>TO</v>
      </c>
      <c r="I9419" s="11">
        <f>IFERROR(INDEX(tEditais[Encerramento],MATCH(tItens[[#This Row],[Edital]],tEditais[Edital],0)),"")</f>
        <v>46314.999305555553</v>
      </c>
      <c r="J9419" t="str">
        <f>IFERROR(INDEX(tProdutos[Classe],MATCH(tItens[[#This Row],[Produto]],tProdutos[Produto],0)),"produto não cadastrado")</f>
        <v>FORA</v>
      </c>
      <c r="K9419" s="12">
        <f>tItens[[#This Row],[Qtd]]*tItens[[#This Row],[Vlr unit]]</f>
        <v>6423.9999999999991</v>
      </c>
      <c r="L9419" s="6">
        <f>IFERROR(IF(INDEX(tProdutos[Desconto homologado],MATCH(tItens[[#This Row],[Produto]],tProdutos[Produto],0))="",DescontoPadrao,INDEX(tProdutos[Desconto homologado],MATCH(tItens[[#This Row],[Produto]],tProdutos[Produto],0))),DescontoPadrao)</f>
        <v>0.246270084162204</v>
      </c>
      <c r="M9419" s="12">
        <f>tItens[[#This Row],[Valor]]*(1-tItens[[#This Row],[Desconto]])</f>
        <v>4841.9609793420013</v>
      </c>
      <c r="N9419" t="str">
        <f>IFERROR(INDEX(tProdutos[Foco],MATCH(tItens[[#This Row],[Produto]],tProdutos[Produto],0)),"Não")</f>
        <v>Não</v>
      </c>
      <c r="O9419" t="str">
        <f>IFERROR(INDEX(tEditais[SRP],MATCH(tItens[[#This Row],[Edital]],tEditais[Edital],0)),"Não")</f>
        <v>Sim</v>
      </c>
      <c r="P9419" s="4">
        <f>IF(COUNTIFS(INDEX(tItens[Edital],1):tItens[[#This Row],[Edital]],tItens[[#This Row],[Edital]],INDEX(tItens[Produto],1):tItens[[#This Row],[Produto]],tItens[[#This Row],[Produto]])=1,1,0)</f>
        <v>1</v>
      </c>
    </row>
    <row r="9420" spans="1:16" x14ac:dyDescent="0.25">
      <c r="A9420" t="s">
        <v>3227</v>
      </c>
      <c r="B9420">
        <v>56</v>
      </c>
      <c r="C9420" t="s">
        <v>11713</v>
      </c>
      <c r="D9420" t="s">
        <v>142</v>
      </c>
      <c r="E9420" s="13">
        <v>300</v>
      </c>
      <c r="F9420" s="12">
        <v>13.45</v>
      </c>
      <c r="G9420" t="str">
        <f>IFERROR(INDEX(tEditais[Órgão],MATCH(tItens[[#This Row],[Edital]],tEditais[Edital],0)),"")</f>
        <v>FUNDO MUNICIPAL DE SAUDE DE PEDRO AFONSO</v>
      </c>
      <c r="H9420" t="str">
        <f>IFERROR(INDEX(tEditais[UF],MATCH(tItens[[#This Row],[Edital]],tEditais[Edital],0)),"")</f>
        <v>TO</v>
      </c>
      <c r="I9420" s="11">
        <f>IFERROR(INDEX(tEditais[Encerramento],MATCH(tItens[[#This Row],[Edital]],tEditais[Edital],0)),"")</f>
        <v>46314.999305555553</v>
      </c>
      <c r="J9420" t="str">
        <f>IFERROR(INDEX(tProdutos[Classe],MATCH(tItens[[#This Row],[Produto]],tProdutos[Produto],0)),"produto não cadastrado")</f>
        <v>DISPUTADO</v>
      </c>
      <c r="K9420" s="12">
        <f>tItens[[#This Row],[Qtd]]*tItens[[#This Row],[Vlr unit]]</f>
        <v>4035</v>
      </c>
      <c r="L9420" s="6">
        <f>IFERROR(IF(INDEX(tProdutos[Desconto homologado],MATCH(tItens[[#This Row],[Produto]],tProdutos[Produto],0))="",DescontoPadrao,INDEX(tProdutos[Desconto homologado],MATCH(tItens[[#This Row],[Produto]],tProdutos[Produto],0))),DescontoPadrao)</f>
        <v>0.37093619495691699</v>
      </c>
      <c r="M9420" s="12">
        <f>tItens[[#This Row],[Valor]]*(1-tItens[[#This Row],[Desconto]])</f>
        <v>2538.2724533488399</v>
      </c>
      <c r="N9420" t="str">
        <f>IFERROR(INDEX(tProdutos[Foco],MATCH(tItens[[#This Row],[Produto]],tProdutos[Produto],0)),"Não")</f>
        <v>Não</v>
      </c>
      <c r="O9420" t="str">
        <f>IFERROR(INDEX(tEditais[SRP],MATCH(tItens[[#This Row],[Edital]],tEditais[Edital],0)),"Não")</f>
        <v>Sim</v>
      </c>
      <c r="P9420" s="4">
        <f>IF(COUNTIFS(INDEX(tItens[Edital],1):tItens[[#This Row],[Edital]],tItens[[#This Row],[Edital]],INDEX(tItens[Produto],1):tItens[[#This Row],[Produto]],tItens[[#This Row],[Produto]])=1,1,0)</f>
        <v>1</v>
      </c>
    </row>
    <row r="9421" spans="1:16" x14ac:dyDescent="0.25">
      <c r="A9421" t="s">
        <v>3227</v>
      </c>
      <c r="B9421">
        <v>59</v>
      </c>
      <c r="C9421" t="s">
        <v>11714</v>
      </c>
      <c r="D9421" t="s">
        <v>512</v>
      </c>
      <c r="E9421" s="13">
        <v>50</v>
      </c>
      <c r="F9421" s="12">
        <v>5.6</v>
      </c>
      <c r="G9421" t="str">
        <f>IFERROR(INDEX(tEditais[Órgão],MATCH(tItens[[#This Row],[Edital]],tEditais[Edital],0)),"")</f>
        <v>FUNDO MUNICIPAL DE SAUDE DE PEDRO AFONSO</v>
      </c>
      <c r="H9421" t="str">
        <f>IFERROR(INDEX(tEditais[UF],MATCH(tItens[[#This Row],[Edital]],tEditais[Edital],0)),"")</f>
        <v>TO</v>
      </c>
      <c r="I9421" s="11">
        <f>IFERROR(INDEX(tEditais[Encerramento],MATCH(tItens[[#This Row],[Edital]],tEditais[Edital],0)),"")</f>
        <v>46314.999305555553</v>
      </c>
      <c r="J9421" t="str">
        <f>IFERROR(INDEX(tProdutos[Classe],MATCH(tItens[[#This Row],[Produto]],tProdutos[Produto],0)),"produto não cadastrado")</f>
        <v>FILA REBASE</v>
      </c>
      <c r="K9421" s="12">
        <f>tItens[[#This Row],[Qtd]]*tItens[[#This Row],[Vlr unit]]</f>
        <v>280</v>
      </c>
      <c r="L9421" s="6">
        <f>IFERROR(IF(INDEX(tProdutos[Desconto homologado],MATCH(tItens[[#This Row],[Produto]],tProdutos[Produto],0))="",DescontoPadrao,INDEX(tProdutos[Desconto homologado],MATCH(tItens[[#This Row],[Produto]],tProdutos[Produto],0))),DescontoPadrao)</f>
        <v>0.32579365079365102</v>
      </c>
      <c r="M9421" s="12">
        <f>tItens[[#This Row],[Valor]]*(1-tItens[[#This Row],[Desconto]])</f>
        <v>188.77777777777771</v>
      </c>
      <c r="N9421" t="str">
        <f>IFERROR(INDEX(tProdutos[Foco],MATCH(tItens[[#This Row],[Produto]],tProdutos[Produto],0)),"Não")</f>
        <v>Não</v>
      </c>
      <c r="O9421" t="str">
        <f>IFERROR(INDEX(tEditais[SRP],MATCH(tItens[[#This Row],[Edital]],tEditais[Edital],0)),"Não")</f>
        <v>Sim</v>
      </c>
      <c r="P9421" s="4">
        <f>IF(COUNTIFS(INDEX(tItens[Edital],1):tItens[[#This Row],[Edital]],tItens[[#This Row],[Edital]],INDEX(tItens[Produto],1):tItens[[#This Row],[Produto]],tItens[[#This Row],[Produto]])=1,1,0)</f>
        <v>1</v>
      </c>
    </row>
    <row r="9422" spans="1:16" x14ac:dyDescent="0.25">
      <c r="A9422" t="s">
        <v>3227</v>
      </c>
      <c r="B9422">
        <v>62</v>
      </c>
      <c r="C9422" t="s">
        <v>11715</v>
      </c>
      <c r="D9422" t="s">
        <v>467</v>
      </c>
      <c r="E9422" s="13">
        <v>200</v>
      </c>
      <c r="F9422" s="12">
        <v>25.71</v>
      </c>
      <c r="G9422" t="str">
        <f>IFERROR(INDEX(tEditais[Órgão],MATCH(tItens[[#This Row],[Edital]],tEditais[Edital],0)),"")</f>
        <v>FUNDO MUNICIPAL DE SAUDE DE PEDRO AFONSO</v>
      </c>
      <c r="H9422" t="str">
        <f>IFERROR(INDEX(tEditais[UF],MATCH(tItens[[#This Row],[Edital]],tEditais[Edital],0)),"")</f>
        <v>TO</v>
      </c>
      <c r="I9422" s="11">
        <f>IFERROR(INDEX(tEditais[Encerramento],MATCH(tItens[[#This Row],[Edital]],tEditais[Edital],0)),"")</f>
        <v>46314.999305555553</v>
      </c>
      <c r="J9422" t="str">
        <f>IFERROR(INDEX(tProdutos[Classe],MATCH(tItens[[#This Row],[Produto]],tProdutos[Produto],0)),"produto não cadastrado")</f>
        <v>FILA REBASE</v>
      </c>
      <c r="K9422" s="12">
        <f>tItens[[#This Row],[Qtd]]*tItens[[#This Row],[Vlr unit]]</f>
        <v>5142</v>
      </c>
      <c r="L9422" s="6">
        <f>IFERROR(IF(INDEX(tProdutos[Desconto homologado],MATCH(tItens[[#This Row],[Produto]],tProdutos[Produto],0))="",DescontoPadrao,INDEX(tProdutos[Desconto homologado],MATCH(tItens[[#This Row],[Produto]],tProdutos[Produto],0))),DescontoPadrao)</f>
        <v>0.25007144898542499</v>
      </c>
      <c r="M9422" s="12">
        <f>tItens[[#This Row],[Valor]]*(1-tItens[[#This Row],[Desconto]])</f>
        <v>3856.1326093169446</v>
      </c>
      <c r="N9422" t="str">
        <f>IFERROR(INDEX(tProdutos[Foco],MATCH(tItens[[#This Row],[Produto]],tProdutos[Produto],0)),"Não")</f>
        <v>Não</v>
      </c>
      <c r="O9422" t="str">
        <f>IFERROR(INDEX(tEditais[SRP],MATCH(tItens[[#This Row],[Edital]],tEditais[Edital],0)),"Não")</f>
        <v>Sim</v>
      </c>
      <c r="P9422" s="4">
        <f>IF(COUNTIFS(INDEX(tItens[Edital],1):tItens[[#This Row],[Edital]],tItens[[#This Row],[Edital]],INDEX(tItens[Produto],1):tItens[[#This Row],[Produto]],tItens[[#This Row],[Produto]])=1,1,0)</f>
        <v>1</v>
      </c>
    </row>
    <row r="9423" spans="1:16" x14ac:dyDescent="0.25">
      <c r="A9423" t="s">
        <v>3227</v>
      </c>
      <c r="B9423">
        <v>68</v>
      </c>
      <c r="C9423" t="s">
        <v>11716</v>
      </c>
      <c r="D9423" t="s">
        <v>134</v>
      </c>
      <c r="E9423" s="13">
        <v>2000</v>
      </c>
      <c r="F9423" s="12">
        <v>29.28</v>
      </c>
      <c r="G9423" t="str">
        <f>IFERROR(INDEX(tEditais[Órgão],MATCH(tItens[[#This Row],[Edital]],tEditais[Edital],0)),"")</f>
        <v>FUNDO MUNICIPAL DE SAUDE DE PEDRO AFONSO</v>
      </c>
      <c r="H9423" t="str">
        <f>IFERROR(INDEX(tEditais[UF],MATCH(tItens[[#This Row],[Edital]],tEditais[Edital],0)),"")</f>
        <v>TO</v>
      </c>
      <c r="I9423" s="11">
        <f>IFERROR(INDEX(tEditais[Encerramento],MATCH(tItens[[#This Row],[Edital]],tEditais[Edital],0)),"")</f>
        <v>46314.999305555553</v>
      </c>
      <c r="J9423" t="str">
        <f>IFERROR(INDEX(tProdutos[Classe],MATCH(tItens[[#This Row],[Produto]],tProdutos[Produto],0)),"produto não cadastrado")</f>
        <v>DISPUTADO</v>
      </c>
      <c r="K9423" s="12">
        <f>tItens[[#This Row],[Qtd]]*tItens[[#This Row],[Vlr unit]]</f>
        <v>58560</v>
      </c>
      <c r="L9423" s="6">
        <f>IFERROR(IF(INDEX(tProdutos[Desconto homologado],MATCH(tItens[[#This Row],[Produto]],tProdutos[Produto],0))="",DescontoPadrao,INDEX(tProdutos[Desconto homologado],MATCH(tItens[[#This Row],[Produto]],tProdutos[Produto],0))),DescontoPadrao)</f>
        <v>0.38</v>
      </c>
      <c r="M9423" s="12">
        <f>tItens[[#This Row],[Valor]]*(1-tItens[[#This Row],[Desconto]])</f>
        <v>36307.199999999997</v>
      </c>
      <c r="N9423" t="str">
        <f>IFERROR(INDEX(tProdutos[Foco],MATCH(tItens[[#This Row],[Produto]],tProdutos[Produto],0)),"Não")</f>
        <v>Sim</v>
      </c>
      <c r="O9423" t="str">
        <f>IFERROR(INDEX(tEditais[SRP],MATCH(tItens[[#This Row],[Edital]],tEditais[Edital],0)),"Não")</f>
        <v>Sim</v>
      </c>
      <c r="P9423" s="4">
        <f>IF(COUNTIFS(INDEX(tItens[Edital],1):tItens[[#This Row],[Edital]],tItens[[#This Row],[Edital]],INDEX(tItens[Produto],1):tItens[[#This Row],[Produto]],tItens[[#This Row],[Produto]])=1,1,0)</f>
        <v>1</v>
      </c>
    </row>
    <row r="9424" spans="1:16" x14ac:dyDescent="0.25">
      <c r="A9424" t="s">
        <v>3227</v>
      </c>
      <c r="B9424">
        <v>69</v>
      </c>
      <c r="C9424" t="s">
        <v>11717</v>
      </c>
      <c r="D9424" t="s">
        <v>134</v>
      </c>
      <c r="E9424" s="13">
        <v>2000</v>
      </c>
      <c r="F9424" s="12">
        <v>29.28</v>
      </c>
      <c r="G9424" t="str">
        <f>IFERROR(INDEX(tEditais[Órgão],MATCH(tItens[[#This Row],[Edital]],tEditais[Edital],0)),"")</f>
        <v>FUNDO MUNICIPAL DE SAUDE DE PEDRO AFONSO</v>
      </c>
      <c r="H9424" t="str">
        <f>IFERROR(INDEX(tEditais[UF],MATCH(tItens[[#This Row],[Edital]],tEditais[Edital],0)),"")</f>
        <v>TO</v>
      </c>
      <c r="I9424" s="11">
        <f>IFERROR(INDEX(tEditais[Encerramento],MATCH(tItens[[#This Row],[Edital]],tEditais[Edital],0)),"")</f>
        <v>46314.999305555553</v>
      </c>
      <c r="J9424" t="str">
        <f>IFERROR(INDEX(tProdutos[Classe],MATCH(tItens[[#This Row],[Produto]],tProdutos[Produto],0)),"produto não cadastrado")</f>
        <v>DISPUTADO</v>
      </c>
      <c r="K9424" s="12">
        <f>tItens[[#This Row],[Qtd]]*tItens[[#This Row],[Vlr unit]]</f>
        <v>58560</v>
      </c>
      <c r="L9424" s="6">
        <f>IFERROR(IF(INDEX(tProdutos[Desconto homologado],MATCH(tItens[[#This Row],[Produto]],tProdutos[Produto],0))="",DescontoPadrao,INDEX(tProdutos[Desconto homologado],MATCH(tItens[[#This Row],[Produto]],tProdutos[Produto],0))),DescontoPadrao)</f>
        <v>0.38</v>
      </c>
      <c r="M9424" s="12">
        <f>tItens[[#This Row],[Valor]]*(1-tItens[[#This Row],[Desconto]])</f>
        <v>36307.199999999997</v>
      </c>
      <c r="N9424" t="str">
        <f>IFERROR(INDEX(tProdutos[Foco],MATCH(tItens[[#This Row],[Produto]],tProdutos[Produto],0)),"Não")</f>
        <v>Sim</v>
      </c>
      <c r="O9424" t="str">
        <f>IFERROR(INDEX(tEditais[SRP],MATCH(tItens[[#This Row],[Edital]],tEditais[Edital],0)),"Não")</f>
        <v>Sim</v>
      </c>
      <c r="P9424" s="4">
        <f>IF(COUNTIFS(INDEX(tItens[Edital],1):tItens[[#This Row],[Edital]],tItens[[#This Row],[Edital]],INDEX(tItens[Produto],1):tItens[[#This Row],[Produto]],tItens[[#This Row],[Produto]])=1,1,0)</f>
        <v>0</v>
      </c>
    </row>
    <row r="9425" spans="1:16" x14ac:dyDescent="0.25">
      <c r="A9425" t="s">
        <v>3227</v>
      </c>
      <c r="B9425">
        <v>70</v>
      </c>
      <c r="C9425" t="s">
        <v>11718</v>
      </c>
      <c r="D9425" t="s">
        <v>134</v>
      </c>
      <c r="E9425" s="13">
        <v>2000</v>
      </c>
      <c r="F9425" s="12">
        <v>29.28</v>
      </c>
      <c r="G9425" t="str">
        <f>IFERROR(INDEX(tEditais[Órgão],MATCH(tItens[[#This Row],[Edital]],tEditais[Edital],0)),"")</f>
        <v>FUNDO MUNICIPAL DE SAUDE DE PEDRO AFONSO</v>
      </c>
      <c r="H9425" t="str">
        <f>IFERROR(INDEX(tEditais[UF],MATCH(tItens[[#This Row],[Edital]],tEditais[Edital],0)),"")</f>
        <v>TO</v>
      </c>
      <c r="I9425" s="11">
        <f>IFERROR(INDEX(tEditais[Encerramento],MATCH(tItens[[#This Row],[Edital]],tEditais[Edital],0)),"")</f>
        <v>46314.999305555553</v>
      </c>
      <c r="J9425" t="str">
        <f>IFERROR(INDEX(tProdutos[Classe],MATCH(tItens[[#This Row],[Produto]],tProdutos[Produto],0)),"produto não cadastrado")</f>
        <v>DISPUTADO</v>
      </c>
      <c r="K9425" s="12">
        <f>tItens[[#This Row],[Qtd]]*tItens[[#This Row],[Vlr unit]]</f>
        <v>58560</v>
      </c>
      <c r="L9425" s="6">
        <f>IFERROR(IF(INDEX(tProdutos[Desconto homologado],MATCH(tItens[[#This Row],[Produto]],tProdutos[Produto],0))="",DescontoPadrao,INDEX(tProdutos[Desconto homologado],MATCH(tItens[[#This Row],[Produto]],tProdutos[Produto],0))),DescontoPadrao)</f>
        <v>0.38</v>
      </c>
      <c r="M9425" s="12">
        <f>tItens[[#This Row],[Valor]]*(1-tItens[[#This Row],[Desconto]])</f>
        <v>36307.199999999997</v>
      </c>
      <c r="N9425" t="str">
        <f>IFERROR(INDEX(tProdutos[Foco],MATCH(tItens[[#This Row],[Produto]],tProdutos[Produto],0)),"Não")</f>
        <v>Sim</v>
      </c>
      <c r="O9425" t="str">
        <f>IFERROR(INDEX(tEditais[SRP],MATCH(tItens[[#This Row],[Edital]],tEditais[Edital],0)),"Não")</f>
        <v>Sim</v>
      </c>
      <c r="P9425" s="4">
        <f>IF(COUNTIFS(INDEX(tItens[Edital],1):tItens[[#This Row],[Edital]],tItens[[#This Row],[Edital]],INDEX(tItens[Produto],1):tItens[[#This Row],[Produto]],tItens[[#This Row],[Produto]])=1,1,0)</f>
        <v>0</v>
      </c>
    </row>
    <row r="9426" spans="1:16" x14ac:dyDescent="0.25">
      <c r="A9426" t="s">
        <v>3227</v>
      </c>
      <c r="B9426">
        <v>71</v>
      </c>
      <c r="C9426" t="s">
        <v>11719</v>
      </c>
      <c r="D9426" t="s">
        <v>56</v>
      </c>
      <c r="E9426" s="13">
        <v>100</v>
      </c>
      <c r="F9426" s="12">
        <v>48.81</v>
      </c>
      <c r="G9426" t="str">
        <f>IFERROR(INDEX(tEditais[Órgão],MATCH(tItens[[#This Row],[Edital]],tEditais[Edital],0)),"")</f>
        <v>FUNDO MUNICIPAL DE SAUDE DE PEDRO AFONSO</v>
      </c>
      <c r="H9426" t="str">
        <f>IFERROR(INDEX(tEditais[UF],MATCH(tItens[[#This Row],[Edital]],tEditais[Edital],0)),"")</f>
        <v>TO</v>
      </c>
      <c r="I9426" s="11">
        <f>IFERROR(INDEX(tEditais[Encerramento],MATCH(tItens[[#This Row],[Edital]],tEditais[Edital],0)),"")</f>
        <v>46314.999305555553</v>
      </c>
      <c r="J9426" t="str">
        <f>IFERROR(INDEX(tProdutos[Classe],MATCH(tItens[[#This Row],[Produto]],tProdutos[Produto],0)),"produto não cadastrado")</f>
        <v>NÚCLEO</v>
      </c>
      <c r="K9426" s="12">
        <f>tItens[[#This Row],[Qtd]]*tItens[[#This Row],[Vlr unit]]</f>
        <v>4881</v>
      </c>
      <c r="L9426" s="6">
        <f>IFERROR(IF(INDEX(tProdutos[Desconto homologado],MATCH(tItens[[#This Row],[Produto]],tProdutos[Produto],0))="",DescontoPadrao,INDEX(tProdutos[Desconto homologado],MATCH(tItens[[#This Row],[Produto]],tProdutos[Produto],0))),DescontoPadrao)</f>
        <v>0.34</v>
      </c>
      <c r="M9426" s="12">
        <f>tItens[[#This Row],[Valor]]*(1-tItens[[#This Row],[Desconto]])</f>
        <v>3221.4599999999996</v>
      </c>
      <c r="N9426" t="str">
        <f>IFERROR(INDEX(tProdutos[Foco],MATCH(tItens[[#This Row],[Produto]],tProdutos[Produto],0)),"Não")</f>
        <v>Sim</v>
      </c>
      <c r="O9426" t="str">
        <f>IFERROR(INDEX(tEditais[SRP],MATCH(tItens[[#This Row],[Edital]],tEditais[Edital],0)),"Não")</f>
        <v>Sim</v>
      </c>
      <c r="P9426" s="4">
        <f>IF(COUNTIFS(INDEX(tItens[Edital],1):tItens[[#This Row],[Edital]],tItens[[#This Row],[Edital]],INDEX(tItens[Produto],1):tItens[[#This Row],[Produto]],tItens[[#This Row],[Produto]])=1,1,0)</f>
        <v>1</v>
      </c>
    </row>
    <row r="9427" spans="1:16" x14ac:dyDescent="0.25">
      <c r="A9427" t="s">
        <v>3227</v>
      </c>
      <c r="B9427">
        <v>72</v>
      </c>
      <c r="C9427" t="s">
        <v>11720</v>
      </c>
      <c r="D9427" t="s">
        <v>56</v>
      </c>
      <c r="E9427" s="13">
        <v>100</v>
      </c>
      <c r="F9427" s="12">
        <v>49</v>
      </c>
      <c r="G9427" t="str">
        <f>IFERROR(INDEX(tEditais[Órgão],MATCH(tItens[[#This Row],[Edital]],tEditais[Edital],0)),"")</f>
        <v>FUNDO MUNICIPAL DE SAUDE DE PEDRO AFONSO</v>
      </c>
      <c r="H9427" t="str">
        <f>IFERROR(INDEX(tEditais[UF],MATCH(tItens[[#This Row],[Edital]],tEditais[Edital],0)),"")</f>
        <v>TO</v>
      </c>
      <c r="I9427" s="11">
        <f>IFERROR(INDEX(tEditais[Encerramento],MATCH(tItens[[#This Row],[Edital]],tEditais[Edital],0)),"")</f>
        <v>46314.999305555553</v>
      </c>
      <c r="J9427" t="str">
        <f>IFERROR(INDEX(tProdutos[Classe],MATCH(tItens[[#This Row],[Produto]],tProdutos[Produto],0)),"produto não cadastrado")</f>
        <v>NÚCLEO</v>
      </c>
      <c r="K9427" s="12">
        <f>tItens[[#This Row],[Qtd]]*tItens[[#This Row],[Vlr unit]]</f>
        <v>4900</v>
      </c>
      <c r="L9427" s="6">
        <f>IFERROR(IF(INDEX(tProdutos[Desconto homologado],MATCH(tItens[[#This Row],[Produto]],tProdutos[Produto],0))="",DescontoPadrao,INDEX(tProdutos[Desconto homologado],MATCH(tItens[[#This Row],[Produto]],tProdutos[Produto],0))),DescontoPadrao)</f>
        <v>0.34</v>
      </c>
      <c r="M9427" s="12">
        <f>tItens[[#This Row],[Valor]]*(1-tItens[[#This Row],[Desconto]])</f>
        <v>3233.9999999999995</v>
      </c>
      <c r="N9427" t="str">
        <f>IFERROR(INDEX(tProdutos[Foco],MATCH(tItens[[#This Row],[Produto]],tProdutos[Produto],0)),"Não")</f>
        <v>Sim</v>
      </c>
      <c r="O9427" t="str">
        <f>IFERROR(INDEX(tEditais[SRP],MATCH(tItens[[#This Row],[Edital]],tEditais[Edital],0)),"Não")</f>
        <v>Sim</v>
      </c>
      <c r="P9427" s="4">
        <f>IF(COUNTIFS(INDEX(tItens[Edital],1):tItens[[#This Row],[Edital]],tItens[[#This Row],[Edital]],INDEX(tItens[Produto],1):tItens[[#This Row],[Produto]],tItens[[#This Row],[Produto]])=1,1,0)</f>
        <v>0</v>
      </c>
    </row>
    <row r="9428" spans="1:16" x14ac:dyDescent="0.25">
      <c r="A9428" t="s">
        <v>3227</v>
      </c>
      <c r="B9428">
        <v>73</v>
      </c>
      <c r="C9428" t="s">
        <v>11721</v>
      </c>
      <c r="D9428" t="s">
        <v>56</v>
      </c>
      <c r="E9428" s="13">
        <v>100</v>
      </c>
      <c r="F9428" s="12">
        <v>47.75</v>
      </c>
      <c r="G9428" t="str">
        <f>IFERROR(INDEX(tEditais[Órgão],MATCH(tItens[[#This Row],[Edital]],tEditais[Edital],0)),"")</f>
        <v>FUNDO MUNICIPAL DE SAUDE DE PEDRO AFONSO</v>
      </c>
      <c r="H9428" t="str">
        <f>IFERROR(INDEX(tEditais[UF],MATCH(tItens[[#This Row],[Edital]],tEditais[Edital],0)),"")</f>
        <v>TO</v>
      </c>
      <c r="I9428" s="11">
        <f>IFERROR(INDEX(tEditais[Encerramento],MATCH(tItens[[#This Row],[Edital]],tEditais[Edital],0)),"")</f>
        <v>46314.999305555553</v>
      </c>
      <c r="J9428" t="str">
        <f>IFERROR(INDEX(tProdutos[Classe],MATCH(tItens[[#This Row],[Produto]],tProdutos[Produto],0)),"produto não cadastrado")</f>
        <v>NÚCLEO</v>
      </c>
      <c r="K9428" s="12">
        <f>tItens[[#This Row],[Qtd]]*tItens[[#This Row],[Vlr unit]]</f>
        <v>4775</v>
      </c>
      <c r="L9428" s="6">
        <f>IFERROR(IF(INDEX(tProdutos[Desconto homologado],MATCH(tItens[[#This Row],[Produto]],tProdutos[Produto],0))="",DescontoPadrao,INDEX(tProdutos[Desconto homologado],MATCH(tItens[[#This Row],[Produto]],tProdutos[Produto],0))),DescontoPadrao)</f>
        <v>0.34</v>
      </c>
      <c r="M9428" s="12">
        <f>tItens[[#This Row],[Valor]]*(1-tItens[[#This Row],[Desconto]])</f>
        <v>3151.4999999999995</v>
      </c>
      <c r="N9428" t="str">
        <f>IFERROR(INDEX(tProdutos[Foco],MATCH(tItens[[#This Row],[Produto]],tProdutos[Produto],0)),"Não")</f>
        <v>Sim</v>
      </c>
      <c r="O9428" t="str">
        <f>IFERROR(INDEX(tEditais[SRP],MATCH(tItens[[#This Row],[Edital]],tEditais[Edital],0)),"Não")</f>
        <v>Sim</v>
      </c>
      <c r="P9428" s="4">
        <f>IF(COUNTIFS(INDEX(tItens[Edital],1):tItens[[#This Row],[Edital]],tItens[[#This Row],[Edital]],INDEX(tItens[Produto],1):tItens[[#This Row],[Produto]],tItens[[#This Row],[Produto]])=1,1,0)</f>
        <v>0</v>
      </c>
    </row>
    <row r="9429" spans="1:16" x14ac:dyDescent="0.25">
      <c r="A9429" t="s">
        <v>3227</v>
      </c>
      <c r="B9429">
        <v>75</v>
      </c>
      <c r="C9429" t="s">
        <v>11722</v>
      </c>
      <c r="D9429" t="s">
        <v>277</v>
      </c>
      <c r="E9429" s="13">
        <v>150</v>
      </c>
      <c r="F9429" s="12">
        <v>30.4</v>
      </c>
      <c r="G9429" t="str">
        <f>IFERROR(INDEX(tEditais[Órgão],MATCH(tItens[[#This Row],[Edital]],tEditais[Edital],0)),"")</f>
        <v>FUNDO MUNICIPAL DE SAUDE DE PEDRO AFONSO</v>
      </c>
      <c r="H9429" t="str">
        <f>IFERROR(INDEX(tEditais[UF],MATCH(tItens[[#This Row],[Edital]],tEditais[Edital],0)),"")</f>
        <v>TO</v>
      </c>
      <c r="I9429" s="11">
        <f>IFERROR(INDEX(tEditais[Encerramento],MATCH(tItens[[#This Row],[Edital]],tEditais[Edital],0)),"")</f>
        <v>46314.999305555553</v>
      </c>
      <c r="J9429" t="str">
        <f>IFERROR(INDEX(tProdutos[Classe],MATCH(tItens[[#This Row],[Produto]],tProdutos[Produto],0)),"produto não cadastrado")</f>
        <v>DISPUTADO</v>
      </c>
      <c r="K9429" s="12">
        <f>tItens[[#This Row],[Qtd]]*tItens[[#This Row],[Vlr unit]]</f>
        <v>4560</v>
      </c>
      <c r="L9429" s="6">
        <f>IFERROR(IF(INDEX(tProdutos[Desconto homologado],MATCH(tItens[[#This Row],[Produto]],tProdutos[Produto],0))="",DescontoPadrao,INDEX(tProdutos[Desconto homologado],MATCH(tItens[[#This Row],[Produto]],tProdutos[Produto],0))),DescontoPadrao)</f>
        <v>0.50460666194188497</v>
      </c>
      <c r="M9429" s="12">
        <f>tItens[[#This Row],[Valor]]*(1-tItens[[#This Row],[Desconto]])</f>
        <v>2258.9936215450043</v>
      </c>
      <c r="N9429" t="str">
        <f>IFERROR(INDEX(tProdutos[Foco],MATCH(tItens[[#This Row],[Produto]],tProdutos[Produto],0)),"Não")</f>
        <v>Não</v>
      </c>
      <c r="O9429" t="str">
        <f>IFERROR(INDEX(tEditais[SRP],MATCH(tItens[[#This Row],[Edital]],tEditais[Edital],0)),"Não")</f>
        <v>Sim</v>
      </c>
      <c r="P9429" s="4">
        <f>IF(COUNTIFS(INDEX(tItens[Edital],1):tItens[[#This Row],[Edital]],tItens[[#This Row],[Edital]],INDEX(tItens[Produto],1):tItens[[#This Row],[Produto]],tItens[[#This Row],[Produto]])=1,1,0)</f>
        <v>1</v>
      </c>
    </row>
    <row r="9430" spans="1:16" x14ac:dyDescent="0.25">
      <c r="A9430" t="s">
        <v>3227</v>
      </c>
      <c r="B9430">
        <v>77</v>
      </c>
      <c r="C9430" t="s">
        <v>11723</v>
      </c>
      <c r="D9430" t="s">
        <v>267</v>
      </c>
      <c r="E9430" s="13">
        <v>250</v>
      </c>
      <c r="F9430" s="12">
        <v>22.25</v>
      </c>
      <c r="G9430" t="str">
        <f>IFERROR(INDEX(tEditais[Órgão],MATCH(tItens[[#This Row],[Edital]],tEditais[Edital],0)),"")</f>
        <v>FUNDO MUNICIPAL DE SAUDE DE PEDRO AFONSO</v>
      </c>
      <c r="H9430" t="str">
        <f>IFERROR(INDEX(tEditais[UF],MATCH(tItens[[#This Row],[Edital]],tEditais[Edital],0)),"")</f>
        <v>TO</v>
      </c>
      <c r="I9430" s="11">
        <f>IFERROR(INDEX(tEditais[Encerramento],MATCH(tItens[[#This Row],[Edital]],tEditais[Edital],0)),"")</f>
        <v>46314.999305555553</v>
      </c>
      <c r="J9430" t="str">
        <f>IFERROR(INDEX(tProdutos[Classe],MATCH(tItens[[#This Row],[Produto]],tProdutos[Produto],0)),"produto não cadastrado")</f>
        <v>FORA</v>
      </c>
      <c r="K9430" s="12">
        <f>tItens[[#This Row],[Qtd]]*tItens[[#This Row],[Vlr unit]]</f>
        <v>5562.5</v>
      </c>
      <c r="L9430" s="6">
        <f>IFERROR(IF(INDEX(tProdutos[Desconto homologado],MATCH(tItens[[#This Row],[Produto]],tProdutos[Produto],0))="",DescontoPadrao,INDEX(tProdutos[Desconto homologado],MATCH(tItens[[#This Row],[Produto]],tProdutos[Produto],0))),DescontoPadrao)</f>
        <v>0.19963672657401599</v>
      </c>
      <c r="M9430" s="12">
        <f>tItens[[#This Row],[Valor]]*(1-tItens[[#This Row],[Desconto]])</f>
        <v>4452.0207084320364</v>
      </c>
      <c r="N9430" t="str">
        <f>IFERROR(INDEX(tProdutos[Foco],MATCH(tItens[[#This Row],[Produto]],tProdutos[Produto],0)),"Não")</f>
        <v>Não</v>
      </c>
      <c r="O9430" t="str">
        <f>IFERROR(INDEX(tEditais[SRP],MATCH(tItens[[#This Row],[Edital]],tEditais[Edital],0)),"Não")</f>
        <v>Sim</v>
      </c>
      <c r="P9430" s="4">
        <f>IF(COUNTIFS(INDEX(tItens[Edital],1):tItens[[#This Row],[Edital]],tItens[[#This Row],[Edital]],INDEX(tItens[Produto],1):tItens[[#This Row],[Produto]],tItens[[#This Row],[Produto]])=1,1,0)</f>
        <v>1</v>
      </c>
    </row>
    <row r="9431" spans="1:16" x14ac:dyDescent="0.25">
      <c r="A9431" t="s">
        <v>3227</v>
      </c>
      <c r="B9431">
        <v>78</v>
      </c>
      <c r="C9431" t="s">
        <v>11724</v>
      </c>
      <c r="D9431" t="s">
        <v>267</v>
      </c>
      <c r="E9431" s="13">
        <v>400</v>
      </c>
      <c r="F9431" s="12">
        <v>23.7</v>
      </c>
      <c r="G9431" t="str">
        <f>IFERROR(INDEX(tEditais[Órgão],MATCH(tItens[[#This Row],[Edital]],tEditais[Edital],0)),"")</f>
        <v>FUNDO MUNICIPAL DE SAUDE DE PEDRO AFONSO</v>
      </c>
      <c r="H9431" t="str">
        <f>IFERROR(INDEX(tEditais[UF],MATCH(tItens[[#This Row],[Edital]],tEditais[Edital],0)),"")</f>
        <v>TO</v>
      </c>
      <c r="I9431" s="11">
        <f>IFERROR(INDEX(tEditais[Encerramento],MATCH(tItens[[#This Row],[Edital]],tEditais[Edital],0)),"")</f>
        <v>46314.999305555553</v>
      </c>
      <c r="J9431" t="str">
        <f>IFERROR(INDEX(tProdutos[Classe],MATCH(tItens[[#This Row],[Produto]],tProdutos[Produto],0)),"produto não cadastrado")</f>
        <v>FORA</v>
      </c>
      <c r="K9431" s="12">
        <f>tItens[[#This Row],[Qtd]]*tItens[[#This Row],[Vlr unit]]</f>
        <v>9480</v>
      </c>
      <c r="L9431" s="6">
        <f>IFERROR(IF(INDEX(tProdutos[Desconto homologado],MATCH(tItens[[#This Row],[Produto]],tProdutos[Produto],0))="",DescontoPadrao,INDEX(tProdutos[Desconto homologado],MATCH(tItens[[#This Row],[Produto]],tProdutos[Produto],0))),DescontoPadrao)</f>
        <v>0.19963672657401599</v>
      </c>
      <c r="M9431" s="12">
        <f>tItens[[#This Row],[Valor]]*(1-tItens[[#This Row],[Desconto]])</f>
        <v>7587.4438320783283</v>
      </c>
      <c r="N9431" t="str">
        <f>IFERROR(INDEX(tProdutos[Foco],MATCH(tItens[[#This Row],[Produto]],tProdutos[Produto],0)),"Não")</f>
        <v>Não</v>
      </c>
      <c r="O9431" t="str">
        <f>IFERROR(INDEX(tEditais[SRP],MATCH(tItens[[#This Row],[Edital]],tEditais[Edital],0)),"Não")</f>
        <v>Sim</v>
      </c>
      <c r="P9431" s="4">
        <f>IF(COUNTIFS(INDEX(tItens[Edital],1):tItens[[#This Row],[Edital]],tItens[[#This Row],[Edital]],INDEX(tItens[Produto],1):tItens[[#This Row],[Produto]],tItens[[#This Row],[Produto]])=1,1,0)</f>
        <v>0</v>
      </c>
    </row>
    <row r="9432" spans="1:16" x14ac:dyDescent="0.25">
      <c r="A9432" t="s">
        <v>3227</v>
      </c>
      <c r="B9432">
        <v>79</v>
      </c>
      <c r="C9432" t="s">
        <v>11725</v>
      </c>
      <c r="D9432" t="s">
        <v>313</v>
      </c>
      <c r="E9432" s="13">
        <v>200</v>
      </c>
      <c r="F9432" s="12">
        <v>36.32</v>
      </c>
      <c r="G9432" t="str">
        <f>IFERROR(INDEX(tEditais[Órgão],MATCH(tItens[[#This Row],[Edital]],tEditais[Edital],0)),"")</f>
        <v>FUNDO MUNICIPAL DE SAUDE DE PEDRO AFONSO</v>
      </c>
      <c r="H9432" t="str">
        <f>IFERROR(INDEX(tEditais[UF],MATCH(tItens[[#This Row],[Edital]],tEditais[Edital],0)),"")</f>
        <v>TO</v>
      </c>
      <c r="I9432" s="11">
        <f>IFERROR(INDEX(tEditais[Encerramento],MATCH(tItens[[#This Row],[Edital]],tEditais[Edital],0)),"")</f>
        <v>46314.999305555553</v>
      </c>
      <c r="J9432" t="str">
        <f>IFERROR(INDEX(tProdutos[Classe],MATCH(tItens[[#This Row],[Produto]],tProdutos[Produto],0)),"produto não cadastrado")</f>
        <v>FORA</v>
      </c>
      <c r="K9432" s="12">
        <f>tItens[[#This Row],[Qtd]]*tItens[[#This Row],[Vlr unit]]</f>
        <v>7264</v>
      </c>
      <c r="L9432" s="6">
        <f>IFERROR(IF(INDEX(tProdutos[Desconto homologado],MATCH(tItens[[#This Row],[Produto]],tProdutos[Produto],0))="",DescontoPadrao,INDEX(tProdutos[Desconto homologado],MATCH(tItens[[#This Row],[Produto]],tProdutos[Produto],0))),DescontoPadrao)</f>
        <v>0.35766373163696302</v>
      </c>
      <c r="M9432" s="12">
        <f>tItens[[#This Row],[Valor]]*(1-tItens[[#This Row],[Desconto]])</f>
        <v>4665.9306533891004</v>
      </c>
      <c r="N9432" t="str">
        <f>IFERROR(INDEX(tProdutos[Foco],MATCH(tItens[[#This Row],[Produto]],tProdutos[Produto],0)),"Não")</f>
        <v>Não</v>
      </c>
      <c r="O9432" t="str">
        <f>IFERROR(INDEX(tEditais[SRP],MATCH(tItens[[#This Row],[Edital]],tEditais[Edital],0)),"Não")</f>
        <v>Sim</v>
      </c>
      <c r="P9432" s="4">
        <f>IF(COUNTIFS(INDEX(tItens[Edital],1):tItens[[#This Row],[Edital]],tItens[[#This Row],[Edital]],INDEX(tItens[Produto],1):tItens[[#This Row],[Produto]],tItens[[#This Row],[Produto]])=1,1,0)</f>
        <v>1</v>
      </c>
    </row>
    <row r="9433" spans="1:16" x14ac:dyDescent="0.25">
      <c r="A9433" t="s">
        <v>3227</v>
      </c>
      <c r="B9433">
        <v>80</v>
      </c>
      <c r="C9433" t="s">
        <v>11726</v>
      </c>
      <c r="D9433" t="s">
        <v>313</v>
      </c>
      <c r="E9433" s="13">
        <v>400</v>
      </c>
      <c r="F9433" s="12">
        <v>32.9</v>
      </c>
      <c r="G9433" t="str">
        <f>IFERROR(INDEX(tEditais[Órgão],MATCH(tItens[[#This Row],[Edital]],tEditais[Edital],0)),"")</f>
        <v>FUNDO MUNICIPAL DE SAUDE DE PEDRO AFONSO</v>
      </c>
      <c r="H9433" t="str">
        <f>IFERROR(INDEX(tEditais[UF],MATCH(tItens[[#This Row],[Edital]],tEditais[Edital],0)),"")</f>
        <v>TO</v>
      </c>
      <c r="I9433" s="11">
        <f>IFERROR(INDEX(tEditais[Encerramento],MATCH(tItens[[#This Row],[Edital]],tEditais[Edital],0)),"")</f>
        <v>46314.999305555553</v>
      </c>
      <c r="J9433" t="str">
        <f>IFERROR(INDEX(tProdutos[Classe],MATCH(tItens[[#This Row],[Produto]],tProdutos[Produto],0)),"produto não cadastrado")</f>
        <v>FORA</v>
      </c>
      <c r="K9433" s="12">
        <f>tItens[[#This Row],[Qtd]]*tItens[[#This Row],[Vlr unit]]</f>
        <v>13160</v>
      </c>
      <c r="L9433" s="6">
        <f>IFERROR(IF(INDEX(tProdutos[Desconto homologado],MATCH(tItens[[#This Row],[Produto]],tProdutos[Produto],0))="",DescontoPadrao,INDEX(tProdutos[Desconto homologado],MATCH(tItens[[#This Row],[Produto]],tProdutos[Produto],0))),DescontoPadrao)</f>
        <v>0.35766373163696302</v>
      </c>
      <c r="M9433" s="12">
        <f>tItens[[#This Row],[Valor]]*(1-tItens[[#This Row],[Desconto]])</f>
        <v>8453.1452916575654</v>
      </c>
      <c r="N9433" t="str">
        <f>IFERROR(INDEX(tProdutos[Foco],MATCH(tItens[[#This Row],[Produto]],tProdutos[Produto],0)),"Não")</f>
        <v>Não</v>
      </c>
      <c r="O9433" t="str">
        <f>IFERROR(INDEX(tEditais[SRP],MATCH(tItens[[#This Row],[Edital]],tEditais[Edital],0)),"Não")</f>
        <v>Sim</v>
      </c>
      <c r="P9433" s="4">
        <f>IF(COUNTIFS(INDEX(tItens[Edital],1):tItens[[#This Row],[Edital]],tItens[[#This Row],[Edital]],INDEX(tItens[Produto],1):tItens[[#This Row],[Produto]],tItens[[#This Row],[Produto]])=1,1,0)</f>
        <v>0</v>
      </c>
    </row>
    <row r="9434" spans="1:16" x14ac:dyDescent="0.25">
      <c r="A9434" t="s">
        <v>3227</v>
      </c>
      <c r="B9434">
        <v>81</v>
      </c>
      <c r="C9434" t="s">
        <v>11727</v>
      </c>
      <c r="D9434" t="s">
        <v>313</v>
      </c>
      <c r="E9434" s="13">
        <v>600</v>
      </c>
      <c r="F9434" s="12">
        <v>37.65</v>
      </c>
      <c r="G9434" t="str">
        <f>IFERROR(INDEX(tEditais[Órgão],MATCH(tItens[[#This Row],[Edital]],tEditais[Edital],0)),"")</f>
        <v>FUNDO MUNICIPAL DE SAUDE DE PEDRO AFONSO</v>
      </c>
      <c r="H9434" t="str">
        <f>IFERROR(INDEX(tEditais[UF],MATCH(tItens[[#This Row],[Edital]],tEditais[Edital],0)),"")</f>
        <v>TO</v>
      </c>
      <c r="I9434" s="11">
        <f>IFERROR(INDEX(tEditais[Encerramento],MATCH(tItens[[#This Row],[Edital]],tEditais[Edital],0)),"")</f>
        <v>46314.999305555553</v>
      </c>
      <c r="J9434" t="str">
        <f>IFERROR(INDEX(tProdutos[Classe],MATCH(tItens[[#This Row],[Produto]],tProdutos[Produto],0)),"produto não cadastrado")</f>
        <v>FORA</v>
      </c>
      <c r="K9434" s="12">
        <f>tItens[[#This Row],[Qtd]]*tItens[[#This Row],[Vlr unit]]</f>
        <v>22590</v>
      </c>
      <c r="L9434" s="6">
        <f>IFERROR(IF(INDEX(tProdutos[Desconto homologado],MATCH(tItens[[#This Row],[Produto]],tProdutos[Produto],0))="",DescontoPadrao,INDEX(tProdutos[Desconto homologado],MATCH(tItens[[#This Row],[Produto]],tProdutos[Produto],0))),DescontoPadrao)</f>
        <v>0.35766373163696302</v>
      </c>
      <c r="M9434" s="12">
        <f>tItens[[#This Row],[Valor]]*(1-tItens[[#This Row],[Desconto]])</f>
        <v>14510.376302321005</v>
      </c>
      <c r="N9434" t="str">
        <f>IFERROR(INDEX(tProdutos[Foco],MATCH(tItens[[#This Row],[Produto]],tProdutos[Produto],0)),"Não")</f>
        <v>Não</v>
      </c>
      <c r="O9434" t="str">
        <f>IFERROR(INDEX(tEditais[SRP],MATCH(tItens[[#This Row],[Edital]],tEditais[Edital],0)),"Não")</f>
        <v>Sim</v>
      </c>
      <c r="P9434" s="4">
        <f>IF(COUNTIFS(INDEX(tItens[Edital],1):tItens[[#This Row],[Edital]],tItens[[#This Row],[Edital]],INDEX(tItens[Produto],1):tItens[[#This Row],[Produto]],tItens[[#This Row],[Produto]])=1,1,0)</f>
        <v>0</v>
      </c>
    </row>
    <row r="9435" spans="1:16" x14ac:dyDescent="0.25">
      <c r="A9435" t="s">
        <v>3227</v>
      </c>
      <c r="B9435">
        <v>82</v>
      </c>
      <c r="C9435" t="s">
        <v>11728</v>
      </c>
      <c r="D9435" t="s">
        <v>385</v>
      </c>
      <c r="E9435" s="13">
        <v>700</v>
      </c>
      <c r="F9435" s="12">
        <v>11</v>
      </c>
      <c r="G9435" t="str">
        <f>IFERROR(INDEX(tEditais[Órgão],MATCH(tItens[[#This Row],[Edital]],tEditais[Edital],0)),"")</f>
        <v>FUNDO MUNICIPAL DE SAUDE DE PEDRO AFONSO</v>
      </c>
      <c r="H9435" t="str">
        <f>IFERROR(INDEX(tEditais[UF],MATCH(tItens[[#This Row],[Edital]],tEditais[Edital],0)),"")</f>
        <v>TO</v>
      </c>
      <c r="I9435" s="11">
        <f>IFERROR(INDEX(tEditais[Encerramento],MATCH(tItens[[#This Row],[Edital]],tEditais[Edital],0)),"")</f>
        <v>46314.999305555553</v>
      </c>
      <c r="J9435" t="str">
        <f>IFERROR(INDEX(tProdutos[Classe],MATCH(tItens[[#This Row],[Produto]],tProdutos[Produto],0)),"produto não cadastrado")</f>
        <v>FORA</v>
      </c>
      <c r="K9435" s="12">
        <f>tItens[[#This Row],[Qtd]]*tItens[[#This Row],[Vlr unit]]</f>
        <v>7700</v>
      </c>
      <c r="L9435" s="6">
        <f>IFERROR(IF(INDEX(tProdutos[Desconto homologado],MATCH(tItens[[#This Row],[Produto]],tProdutos[Produto],0))="",DescontoPadrao,INDEX(tProdutos[Desconto homologado],MATCH(tItens[[#This Row],[Produto]],tProdutos[Produto],0))),DescontoPadrao)</f>
        <v>0.46969696969697</v>
      </c>
      <c r="M9435" s="12">
        <f>tItens[[#This Row],[Valor]]*(1-tItens[[#This Row],[Desconto]])</f>
        <v>4083.3333333333312</v>
      </c>
      <c r="N9435" t="str">
        <f>IFERROR(INDEX(tProdutos[Foco],MATCH(tItens[[#This Row],[Produto]],tProdutos[Produto],0)),"Não")</f>
        <v>Não</v>
      </c>
      <c r="O9435" t="str">
        <f>IFERROR(INDEX(tEditais[SRP],MATCH(tItens[[#This Row],[Edital]],tEditais[Edital],0)),"Não")</f>
        <v>Sim</v>
      </c>
      <c r="P9435" s="4">
        <f>IF(COUNTIFS(INDEX(tItens[Edital],1):tItens[[#This Row],[Edital]],tItens[[#This Row],[Edital]],INDEX(tItens[Produto],1):tItens[[#This Row],[Produto]],tItens[[#This Row],[Produto]])=1,1,0)</f>
        <v>1</v>
      </c>
    </row>
    <row r="9436" spans="1:16" x14ac:dyDescent="0.25">
      <c r="A9436" t="s">
        <v>3227</v>
      </c>
      <c r="B9436">
        <v>83</v>
      </c>
      <c r="C9436" t="s">
        <v>11729</v>
      </c>
      <c r="D9436" t="s">
        <v>403</v>
      </c>
      <c r="E9436" s="13">
        <v>200</v>
      </c>
      <c r="F9436" s="12">
        <v>1.76</v>
      </c>
      <c r="G9436" t="str">
        <f>IFERROR(INDEX(tEditais[Órgão],MATCH(tItens[[#This Row],[Edital]],tEditais[Edital],0)),"")</f>
        <v>FUNDO MUNICIPAL DE SAUDE DE PEDRO AFONSO</v>
      </c>
      <c r="H9436" t="str">
        <f>IFERROR(INDEX(tEditais[UF],MATCH(tItens[[#This Row],[Edital]],tEditais[Edital],0)),"")</f>
        <v>TO</v>
      </c>
      <c r="I9436" s="11">
        <f>IFERROR(INDEX(tEditais[Encerramento],MATCH(tItens[[#This Row],[Edital]],tEditais[Edital],0)),"")</f>
        <v>46314.999305555553</v>
      </c>
      <c r="J9436" t="str">
        <f>IFERROR(INDEX(tProdutos[Classe],MATCH(tItens[[#This Row],[Produto]],tProdutos[Produto],0)),"produto não cadastrado")</f>
        <v>FORA</v>
      </c>
      <c r="K9436" s="12">
        <f>tItens[[#This Row],[Qtd]]*tItens[[#This Row],[Vlr unit]]</f>
        <v>352</v>
      </c>
      <c r="L9436" s="6">
        <f>IFERROR(IF(INDEX(tProdutos[Desconto homologado],MATCH(tItens[[#This Row],[Produto]],tProdutos[Produto],0))="",DescontoPadrao,INDEX(tProdutos[Desconto homologado],MATCH(tItens[[#This Row],[Produto]],tProdutos[Produto],0))),DescontoPadrao)</f>
        <v>0.35326086956521702</v>
      </c>
      <c r="M9436" s="12">
        <f>tItens[[#This Row],[Valor]]*(1-tItens[[#This Row],[Desconto]])</f>
        <v>227.65217391304358</v>
      </c>
      <c r="N9436" t="str">
        <f>IFERROR(INDEX(tProdutos[Foco],MATCH(tItens[[#This Row],[Produto]],tProdutos[Produto],0)),"Não")</f>
        <v>Não</v>
      </c>
      <c r="O9436" t="str">
        <f>IFERROR(INDEX(tEditais[SRP],MATCH(tItens[[#This Row],[Edital]],tEditais[Edital],0)),"Não")</f>
        <v>Sim</v>
      </c>
      <c r="P9436" s="4">
        <f>IF(COUNTIFS(INDEX(tItens[Edital],1):tItens[[#This Row],[Edital]],tItens[[#This Row],[Edital]],INDEX(tItens[Produto],1):tItens[[#This Row],[Produto]],tItens[[#This Row],[Produto]])=1,1,0)</f>
        <v>1</v>
      </c>
    </row>
    <row r="9437" spans="1:16" x14ac:dyDescent="0.25">
      <c r="A9437" t="s">
        <v>3227</v>
      </c>
      <c r="B9437">
        <v>90</v>
      </c>
      <c r="C9437" t="s">
        <v>11730</v>
      </c>
      <c r="D9437" t="s">
        <v>494</v>
      </c>
      <c r="E9437" s="13">
        <v>80</v>
      </c>
      <c r="F9437" s="12">
        <v>89.88</v>
      </c>
      <c r="G9437" t="str">
        <f>IFERROR(INDEX(tEditais[Órgão],MATCH(tItens[[#This Row],[Edital]],tEditais[Edital],0)),"")</f>
        <v>FUNDO MUNICIPAL DE SAUDE DE PEDRO AFONSO</v>
      </c>
      <c r="H9437" t="str">
        <f>IFERROR(INDEX(tEditais[UF],MATCH(tItens[[#This Row],[Edital]],tEditais[Edital],0)),"")</f>
        <v>TO</v>
      </c>
      <c r="I9437" s="11">
        <f>IFERROR(INDEX(tEditais[Encerramento],MATCH(tItens[[#This Row],[Edital]],tEditais[Edital],0)),"")</f>
        <v>46314.999305555553</v>
      </c>
      <c r="J9437" t="str">
        <f>IFERROR(INDEX(tProdutos[Classe],MATCH(tItens[[#This Row],[Produto]],tProdutos[Produto],0)),"produto não cadastrado")</f>
        <v>FILA REBASE</v>
      </c>
      <c r="K9437" s="12">
        <f>tItens[[#This Row],[Qtd]]*tItens[[#This Row],[Vlr unit]]</f>
        <v>7190.4</v>
      </c>
      <c r="L9437" s="6">
        <f>IFERROR(IF(INDEX(tProdutos[Desconto homologado],MATCH(tItens[[#This Row],[Produto]],tProdutos[Produto],0))="",DescontoPadrao,INDEX(tProdutos[Desconto homologado],MATCH(tItens[[#This Row],[Produto]],tProdutos[Produto],0))),DescontoPadrao)</f>
        <v>0.253736324829619</v>
      </c>
      <c r="M9437" s="12">
        <f>tItens[[#This Row],[Valor]]*(1-tItens[[#This Row],[Desconto]])</f>
        <v>5365.9343299451075</v>
      </c>
      <c r="N9437" t="str">
        <f>IFERROR(INDEX(tProdutos[Foco],MATCH(tItens[[#This Row],[Produto]],tProdutos[Produto],0)),"Não")</f>
        <v>Não</v>
      </c>
      <c r="O9437" t="str">
        <f>IFERROR(INDEX(tEditais[SRP],MATCH(tItens[[#This Row],[Edital]],tEditais[Edital],0)),"Não")</f>
        <v>Sim</v>
      </c>
      <c r="P9437" s="4">
        <f>IF(COUNTIFS(INDEX(tItens[Edital],1):tItens[[#This Row],[Edital]],tItens[[#This Row],[Edital]],INDEX(tItens[Produto],1):tItens[[#This Row],[Produto]],tItens[[#This Row],[Produto]])=1,1,0)</f>
        <v>1</v>
      </c>
    </row>
    <row r="9438" spans="1:16" x14ac:dyDescent="0.25">
      <c r="A9438" t="s">
        <v>3227</v>
      </c>
      <c r="B9438">
        <v>91</v>
      </c>
      <c r="C9438" t="s">
        <v>11731</v>
      </c>
      <c r="D9438" t="s">
        <v>494</v>
      </c>
      <c r="E9438" s="13">
        <v>100</v>
      </c>
      <c r="F9438" s="12">
        <v>201.25</v>
      </c>
      <c r="G9438" t="str">
        <f>IFERROR(INDEX(tEditais[Órgão],MATCH(tItens[[#This Row],[Edital]],tEditais[Edital],0)),"")</f>
        <v>FUNDO MUNICIPAL DE SAUDE DE PEDRO AFONSO</v>
      </c>
      <c r="H9438" t="str">
        <f>IFERROR(INDEX(tEditais[UF],MATCH(tItens[[#This Row],[Edital]],tEditais[Edital],0)),"")</f>
        <v>TO</v>
      </c>
      <c r="I9438" s="11">
        <f>IFERROR(INDEX(tEditais[Encerramento],MATCH(tItens[[#This Row],[Edital]],tEditais[Edital],0)),"")</f>
        <v>46314.999305555553</v>
      </c>
      <c r="J9438" t="str">
        <f>IFERROR(INDEX(tProdutos[Classe],MATCH(tItens[[#This Row],[Produto]],tProdutos[Produto],0)),"produto não cadastrado")</f>
        <v>FILA REBASE</v>
      </c>
      <c r="K9438" s="12">
        <f>tItens[[#This Row],[Qtd]]*tItens[[#This Row],[Vlr unit]]</f>
        <v>20125</v>
      </c>
      <c r="L9438" s="6">
        <f>IFERROR(IF(INDEX(tProdutos[Desconto homologado],MATCH(tItens[[#This Row],[Produto]],tProdutos[Produto],0))="",DescontoPadrao,INDEX(tProdutos[Desconto homologado],MATCH(tItens[[#This Row],[Produto]],tProdutos[Produto],0))),DescontoPadrao)</f>
        <v>0.253736324829619</v>
      </c>
      <c r="M9438" s="12">
        <f>tItens[[#This Row],[Valor]]*(1-tItens[[#This Row],[Desconto]])</f>
        <v>15018.556462803919</v>
      </c>
      <c r="N9438" t="str">
        <f>IFERROR(INDEX(tProdutos[Foco],MATCH(tItens[[#This Row],[Produto]],tProdutos[Produto],0)),"Não")</f>
        <v>Não</v>
      </c>
      <c r="O9438" t="str">
        <f>IFERROR(INDEX(tEditais[SRP],MATCH(tItens[[#This Row],[Edital]],tEditais[Edital],0)),"Não")</f>
        <v>Sim</v>
      </c>
      <c r="P9438" s="4">
        <f>IF(COUNTIFS(INDEX(tItens[Edital],1):tItens[[#This Row],[Edital]],tItens[[#This Row],[Edital]],INDEX(tItens[Produto],1):tItens[[#This Row],[Produto]],tItens[[#This Row],[Produto]])=1,1,0)</f>
        <v>0</v>
      </c>
    </row>
    <row r="9439" spans="1:16" x14ac:dyDescent="0.25">
      <c r="A9439" t="s">
        <v>3227</v>
      </c>
      <c r="B9439">
        <v>105</v>
      </c>
      <c r="C9439" t="s">
        <v>11732</v>
      </c>
      <c r="D9439" t="s">
        <v>255</v>
      </c>
      <c r="E9439" s="13">
        <v>80</v>
      </c>
      <c r="F9439" s="12">
        <v>54.56</v>
      </c>
      <c r="G9439" t="str">
        <f>IFERROR(INDEX(tEditais[Órgão],MATCH(tItens[[#This Row],[Edital]],tEditais[Edital],0)),"")</f>
        <v>FUNDO MUNICIPAL DE SAUDE DE PEDRO AFONSO</v>
      </c>
      <c r="H9439" t="str">
        <f>IFERROR(INDEX(tEditais[UF],MATCH(tItens[[#This Row],[Edital]],tEditais[Edital],0)),"")</f>
        <v>TO</v>
      </c>
      <c r="I9439" s="11">
        <f>IFERROR(INDEX(tEditais[Encerramento],MATCH(tItens[[#This Row],[Edital]],tEditais[Edital],0)),"")</f>
        <v>46314.999305555553</v>
      </c>
      <c r="J9439" t="str">
        <f>IFERROR(INDEX(tProdutos[Classe],MATCH(tItens[[#This Row],[Produto]],tProdutos[Produto],0)),"produto não cadastrado")</f>
        <v>DISPUTADO</v>
      </c>
      <c r="K9439" s="12">
        <f>tItens[[#This Row],[Qtd]]*tItens[[#This Row],[Vlr unit]]</f>
        <v>4364.8</v>
      </c>
      <c r="L9439" s="6">
        <f>IFERROR(IF(INDEX(tProdutos[Desconto homologado],MATCH(tItens[[#This Row],[Produto]],tProdutos[Produto],0))="",DescontoPadrao,INDEX(tProdutos[Desconto homologado],MATCH(tItens[[#This Row],[Produto]],tProdutos[Produto],0))),DescontoPadrao)</f>
        <v>0.30555555555555602</v>
      </c>
      <c r="M9439" s="12">
        <f>tItens[[#This Row],[Valor]]*(1-tItens[[#This Row],[Desconto]])</f>
        <v>3031.111111111109</v>
      </c>
      <c r="N9439" t="str">
        <f>IFERROR(INDEX(tProdutos[Foco],MATCH(tItens[[#This Row],[Produto]],tProdutos[Produto],0)),"Não")</f>
        <v>Não</v>
      </c>
      <c r="O9439" t="str">
        <f>IFERROR(INDEX(tEditais[SRP],MATCH(tItens[[#This Row],[Edital]],tEditais[Edital],0)),"Não")</f>
        <v>Sim</v>
      </c>
      <c r="P9439" s="4">
        <f>IF(COUNTIFS(INDEX(tItens[Edital],1):tItens[[#This Row],[Edital]],tItens[[#This Row],[Edital]],INDEX(tItens[Produto],1):tItens[[#This Row],[Produto]],tItens[[#This Row],[Produto]])=1,1,0)</f>
        <v>1</v>
      </c>
    </row>
    <row r="9440" spans="1:16" x14ac:dyDescent="0.25">
      <c r="A9440" t="s">
        <v>3227</v>
      </c>
      <c r="B9440">
        <v>106</v>
      </c>
      <c r="C9440" t="s">
        <v>11733</v>
      </c>
      <c r="D9440" t="s">
        <v>255</v>
      </c>
      <c r="E9440" s="13">
        <v>80</v>
      </c>
      <c r="F9440" s="12">
        <v>77.13</v>
      </c>
      <c r="G9440" t="str">
        <f>IFERROR(INDEX(tEditais[Órgão],MATCH(tItens[[#This Row],[Edital]],tEditais[Edital],0)),"")</f>
        <v>FUNDO MUNICIPAL DE SAUDE DE PEDRO AFONSO</v>
      </c>
      <c r="H9440" t="str">
        <f>IFERROR(INDEX(tEditais[UF],MATCH(tItens[[#This Row],[Edital]],tEditais[Edital],0)),"")</f>
        <v>TO</v>
      </c>
      <c r="I9440" s="11">
        <f>IFERROR(INDEX(tEditais[Encerramento],MATCH(tItens[[#This Row],[Edital]],tEditais[Edital],0)),"")</f>
        <v>46314.999305555553</v>
      </c>
      <c r="J9440" t="str">
        <f>IFERROR(INDEX(tProdutos[Classe],MATCH(tItens[[#This Row],[Produto]],tProdutos[Produto],0)),"produto não cadastrado")</f>
        <v>DISPUTADO</v>
      </c>
      <c r="K9440" s="12">
        <f>tItens[[#This Row],[Qtd]]*tItens[[#This Row],[Vlr unit]]</f>
        <v>6170.4</v>
      </c>
      <c r="L9440" s="6">
        <f>IFERROR(IF(INDEX(tProdutos[Desconto homologado],MATCH(tItens[[#This Row],[Produto]],tProdutos[Produto],0))="",DescontoPadrao,INDEX(tProdutos[Desconto homologado],MATCH(tItens[[#This Row],[Produto]],tProdutos[Produto],0))),DescontoPadrao)</f>
        <v>0.30555555555555602</v>
      </c>
      <c r="M9440" s="12">
        <f>tItens[[#This Row],[Valor]]*(1-tItens[[#This Row],[Desconto]])</f>
        <v>4284.9999999999973</v>
      </c>
      <c r="N9440" t="str">
        <f>IFERROR(INDEX(tProdutos[Foco],MATCH(tItens[[#This Row],[Produto]],tProdutos[Produto],0)),"Não")</f>
        <v>Não</v>
      </c>
      <c r="O9440" t="str">
        <f>IFERROR(INDEX(tEditais[SRP],MATCH(tItens[[#This Row],[Edital]],tEditais[Edital],0)),"Não")</f>
        <v>Sim</v>
      </c>
      <c r="P9440" s="4">
        <f>IF(COUNTIFS(INDEX(tItens[Edital],1):tItens[[#This Row],[Edital]],tItens[[#This Row],[Edital]],INDEX(tItens[Produto],1):tItens[[#This Row],[Produto]],tItens[[#This Row],[Produto]])=1,1,0)</f>
        <v>0</v>
      </c>
    </row>
    <row r="9441" spans="1:16" x14ac:dyDescent="0.25">
      <c r="A9441" t="s">
        <v>3227</v>
      </c>
      <c r="B9441">
        <v>110</v>
      </c>
      <c r="C9441" t="s">
        <v>11734</v>
      </c>
      <c r="D9441" t="s">
        <v>281</v>
      </c>
      <c r="E9441" s="13">
        <v>80</v>
      </c>
      <c r="F9441" s="12">
        <v>43.55</v>
      </c>
      <c r="G9441" t="str">
        <f>IFERROR(INDEX(tEditais[Órgão],MATCH(tItens[[#This Row],[Edital]],tEditais[Edital],0)),"")</f>
        <v>FUNDO MUNICIPAL DE SAUDE DE PEDRO AFONSO</v>
      </c>
      <c r="H9441" t="str">
        <f>IFERROR(INDEX(tEditais[UF],MATCH(tItens[[#This Row],[Edital]],tEditais[Edital],0)),"")</f>
        <v>TO</v>
      </c>
      <c r="I9441" s="11">
        <f>IFERROR(INDEX(tEditais[Encerramento],MATCH(tItens[[#This Row],[Edital]],tEditais[Edital],0)),"")</f>
        <v>46314.999305555553</v>
      </c>
      <c r="J9441" t="str">
        <f>IFERROR(INDEX(tProdutos[Classe],MATCH(tItens[[#This Row],[Produto]],tProdutos[Produto],0)),"produto não cadastrado")</f>
        <v>DISPUTADO</v>
      </c>
      <c r="K9441" s="12">
        <f>tItens[[#This Row],[Qtd]]*tItens[[#This Row],[Vlr unit]]</f>
        <v>3484</v>
      </c>
      <c r="L9441" s="6">
        <f>IFERROR(IF(INDEX(tProdutos[Desconto homologado],MATCH(tItens[[#This Row],[Produto]],tProdutos[Produto],0))="",DescontoPadrao,INDEX(tProdutos[Desconto homologado],MATCH(tItens[[#This Row],[Produto]],tProdutos[Produto],0))),DescontoPadrao)</f>
        <v>0.42461538461538501</v>
      </c>
      <c r="M9441" s="12">
        <f>tItens[[#This Row],[Valor]]*(1-tItens[[#This Row],[Desconto]])</f>
        <v>2004.6399999999985</v>
      </c>
      <c r="N9441" t="str">
        <f>IFERROR(INDEX(tProdutos[Foco],MATCH(tItens[[#This Row],[Produto]],tProdutos[Produto],0)),"Não")</f>
        <v>Não</v>
      </c>
      <c r="O9441" t="str">
        <f>IFERROR(INDEX(tEditais[SRP],MATCH(tItens[[#This Row],[Edital]],tEditais[Edital],0)),"Não")</f>
        <v>Sim</v>
      </c>
      <c r="P9441" s="4">
        <f>IF(COUNTIFS(INDEX(tItens[Edital],1):tItens[[#This Row],[Edital]],tItens[[#This Row],[Edital]],INDEX(tItens[Produto],1):tItens[[#This Row],[Produto]],tItens[[#This Row],[Produto]])=1,1,0)</f>
        <v>1</v>
      </c>
    </row>
    <row r="9442" spans="1:16" x14ac:dyDescent="0.25">
      <c r="A9442" t="s">
        <v>3227</v>
      </c>
      <c r="B9442">
        <v>111</v>
      </c>
      <c r="C9442" t="s">
        <v>11735</v>
      </c>
      <c r="D9442" t="s">
        <v>275</v>
      </c>
      <c r="E9442" s="13">
        <v>150</v>
      </c>
      <c r="F9442" s="12">
        <v>35.770000000000003</v>
      </c>
      <c r="G9442" t="str">
        <f>IFERROR(INDEX(tEditais[Órgão],MATCH(tItens[[#This Row],[Edital]],tEditais[Edital],0)),"")</f>
        <v>FUNDO MUNICIPAL DE SAUDE DE PEDRO AFONSO</v>
      </c>
      <c r="H9442" t="str">
        <f>IFERROR(INDEX(tEditais[UF],MATCH(tItens[[#This Row],[Edital]],tEditais[Edital],0)),"")</f>
        <v>TO</v>
      </c>
      <c r="I9442" s="11">
        <f>IFERROR(INDEX(tEditais[Encerramento],MATCH(tItens[[#This Row],[Edital]],tEditais[Edital],0)),"")</f>
        <v>46314.999305555553</v>
      </c>
      <c r="J9442" t="str">
        <f>IFERROR(INDEX(tProdutos[Classe],MATCH(tItens[[#This Row],[Produto]],tProdutos[Produto],0)),"produto não cadastrado")</f>
        <v>FORA</v>
      </c>
      <c r="K9442" s="12">
        <f>tItens[[#This Row],[Qtd]]*tItens[[#This Row],[Vlr unit]]</f>
        <v>5365.5000000000009</v>
      </c>
      <c r="L9442" s="6">
        <f>IFERROR(IF(INDEX(tProdutos[Desconto homologado],MATCH(tItens[[#This Row],[Produto]],tProdutos[Produto],0))="",DescontoPadrao,INDEX(tProdutos[Desconto homologado],MATCH(tItens[[#This Row],[Produto]],tProdutos[Produto],0))),DescontoPadrao)</f>
        <v>0.405797101449275</v>
      </c>
      <c r="M9442" s="12">
        <f>tItens[[#This Row],[Valor]]*(1-tItens[[#This Row],[Desconto]])</f>
        <v>3188.1956521739157</v>
      </c>
      <c r="N9442" t="str">
        <f>IFERROR(INDEX(tProdutos[Foco],MATCH(tItens[[#This Row],[Produto]],tProdutos[Produto],0)),"Não")</f>
        <v>Não</v>
      </c>
      <c r="O9442" t="str">
        <f>IFERROR(INDEX(tEditais[SRP],MATCH(tItens[[#This Row],[Edital]],tEditais[Edital],0)),"Não")</f>
        <v>Sim</v>
      </c>
      <c r="P9442" s="4">
        <f>IF(COUNTIFS(INDEX(tItens[Edital],1):tItens[[#This Row],[Edital]],tItens[[#This Row],[Edital]],INDEX(tItens[Produto],1):tItens[[#This Row],[Produto]],tItens[[#This Row],[Produto]])=1,1,0)</f>
        <v>1</v>
      </c>
    </row>
    <row r="9443" spans="1:16" x14ac:dyDescent="0.25">
      <c r="A9443" t="s">
        <v>3227</v>
      </c>
      <c r="B9443">
        <v>112</v>
      </c>
      <c r="C9443" t="s">
        <v>11736</v>
      </c>
      <c r="D9443" t="s">
        <v>265</v>
      </c>
      <c r="E9443" s="13">
        <v>80</v>
      </c>
      <c r="F9443" s="12">
        <v>53.33</v>
      </c>
      <c r="G9443" t="str">
        <f>IFERROR(INDEX(tEditais[Órgão],MATCH(tItens[[#This Row],[Edital]],tEditais[Edital],0)),"")</f>
        <v>FUNDO MUNICIPAL DE SAUDE DE PEDRO AFONSO</v>
      </c>
      <c r="H9443" t="str">
        <f>IFERROR(INDEX(tEditais[UF],MATCH(tItens[[#This Row],[Edital]],tEditais[Edital],0)),"")</f>
        <v>TO</v>
      </c>
      <c r="I9443" s="11">
        <f>IFERROR(INDEX(tEditais[Encerramento],MATCH(tItens[[#This Row],[Edital]],tEditais[Edital],0)),"")</f>
        <v>46314.999305555553</v>
      </c>
      <c r="J9443" t="str">
        <f>IFERROR(INDEX(tProdutos[Classe],MATCH(tItens[[#This Row],[Produto]],tProdutos[Produto],0)),"produto não cadastrado")</f>
        <v>DISPUTADO</v>
      </c>
      <c r="K9443" s="12">
        <f>tItens[[#This Row],[Qtd]]*tItens[[#This Row],[Vlr unit]]</f>
        <v>4266.3999999999996</v>
      </c>
      <c r="L9443" s="6">
        <f>IFERROR(IF(INDEX(tProdutos[Desconto homologado],MATCH(tItens[[#This Row],[Produto]],tProdutos[Produto],0))="",DescontoPadrao,INDEX(tProdutos[Desconto homologado],MATCH(tItens[[#This Row],[Produto]],tProdutos[Produto],0))),DescontoPadrao)</f>
        <v>0.377587663709337</v>
      </c>
      <c r="M9443" s="12">
        <f>tItens[[#This Row],[Valor]]*(1-tItens[[#This Row],[Desconto]])</f>
        <v>2655.4599915504846</v>
      </c>
      <c r="N9443" t="str">
        <f>IFERROR(INDEX(tProdutos[Foco],MATCH(tItens[[#This Row],[Produto]],tProdutos[Produto],0)),"Não")</f>
        <v>Não</v>
      </c>
      <c r="O9443" t="str">
        <f>IFERROR(INDEX(tEditais[SRP],MATCH(tItens[[#This Row],[Edital]],tEditais[Edital],0)),"Não")</f>
        <v>Sim</v>
      </c>
      <c r="P9443" s="4">
        <f>IF(COUNTIFS(INDEX(tItens[Edital],1):tItens[[#This Row],[Edital]],tItens[[#This Row],[Edital]],INDEX(tItens[Produto],1):tItens[[#This Row],[Produto]],tItens[[#This Row],[Produto]])=1,1,0)</f>
        <v>1</v>
      </c>
    </row>
    <row r="9444" spans="1:16" x14ac:dyDescent="0.25">
      <c r="A9444" t="s">
        <v>3227</v>
      </c>
      <c r="B9444">
        <v>119</v>
      </c>
      <c r="C9444" t="s">
        <v>11737</v>
      </c>
      <c r="D9444" t="s">
        <v>120</v>
      </c>
      <c r="E9444" s="13">
        <v>2000</v>
      </c>
      <c r="F9444" s="12">
        <v>0.78</v>
      </c>
      <c r="G9444" t="str">
        <f>IFERROR(INDEX(tEditais[Órgão],MATCH(tItens[[#This Row],[Edital]],tEditais[Edital],0)),"")</f>
        <v>FUNDO MUNICIPAL DE SAUDE DE PEDRO AFONSO</v>
      </c>
      <c r="H9444" t="str">
        <f>IFERROR(INDEX(tEditais[UF],MATCH(tItens[[#This Row],[Edital]],tEditais[Edital],0)),"")</f>
        <v>TO</v>
      </c>
      <c r="I9444" s="11">
        <f>IFERROR(INDEX(tEditais[Encerramento],MATCH(tItens[[#This Row],[Edital]],tEditais[Edital],0)),"")</f>
        <v>46314.999305555553</v>
      </c>
      <c r="J9444" t="str">
        <f>IFERROR(INDEX(tProdutos[Classe],MATCH(tItens[[#This Row],[Produto]],tProdutos[Produto],0)),"produto não cadastrado")</f>
        <v>DISPUTADO</v>
      </c>
      <c r="K9444" s="12">
        <f>tItens[[#This Row],[Qtd]]*tItens[[#This Row],[Vlr unit]]</f>
        <v>1560</v>
      </c>
      <c r="L9444" s="6">
        <f>IFERROR(IF(INDEX(tProdutos[Desconto homologado],MATCH(tItens[[#This Row],[Produto]],tProdutos[Produto],0))="",DescontoPadrao,INDEX(tProdutos[Desconto homologado],MATCH(tItens[[#This Row],[Produto]],tProdutos[Produto],0))),DescontoPadrao)</f>
        <v>0.40909090909090901</v>
      </c>
      <c r="M9444" s="12">
        <f>tItens[[#This Row],[Valor]]*(1-tItens[[#This Row],[Desconto]])</f>
        <v>921.81818181818198</v>
      </c>
      <c r="N9444" t="str">
        <f>IFERROR(INDEX(tProdutos[Foco],MATCH(tItens[[#This Row],[Produto]],tProdutos[Produto],0)),"Não")</f>
        <v>Não</v>
      </c>
      <c r="O9444" t="str">
        <f>IFERROR(INDEX(tEditais[SRP],MATCH(tItens[[#This Row],[Edital]],tEditais[Edital],0)),"Não")</f>
        <v>Sim</v>
      </c>
      <c r="P9444" s="4">
        <f>IF(COUNTIFS(INDEX(tItens[Edital],1):tItens[[#This Row],[Edital]],tItens[[#This Row],[Edital]],INDEX(tItens[Produto],1):tItens[[#This Row],[Produto]],tItens[[#This Row],[Produto]])=1,1,0)</f>
        <v>1</v>
      </c>
    </row>
    <row r="9445" spans="1:16" x14ac:dyDescent="0.25">
      <c r="A9445" t="s">
        <v>3227</v>
      </c>
      <c r="B9445">
        <v>134</v>
      </c>
      <c r="C9445" t="s">
        <v>11738</v>
      </c>
      <c r="D9445" t="s">
        <v>114</v>
      </c>
      <c r="E9445" s="13">
        <v>150</v>
      </c>
      <c r="F9445" s="12">
        <v>18.53</v>
      </c>
      <c r="G9445" t="str">
        <f>IFERROR(INDEX(tEditais[Órgão],MATCH(tItens[[#This Row],[Edital]],tEditais[Edital],0)),"")</f>
        <v>FUNDO MUNICIPAL DE SAUDE DE PEDRO AFONSO</v>
      </c>
      <c r="H9445" t="str">
        <f>IFERROR(INDEX(tEditais[UF],MATCH(tItens[[#This Row],[Edital]],tEditais[Edital],0)),"")</f>
        <v>TO</v>
      </c>
      <c r="I9445" s="11">
        <f>IFERROR(INDEX(tEditais[Encerramento],MATCH(tItens[[#This Row],[Edital]],tEditais[Edital],0)),"")</f>
        <v>46314.999305555553</v>
      </c>
      <c r="J9445" t="str">
        <f>IFERROR(INDEX(tProdutos[Classe],MATCH(tItens[[#This Row],[Produto]],tProdutos[Produto],0)),"produto não cadastrado")</f>
        <v>DISPUTADO</v>
      </c>
      <c r="K9445" s="12">
        <f>tItens[[#This Row],[Qtd]]*tItens[[#This Row],[Vlr unit]]</f>
        <v>2779.5</v>
      </c>
      <c r="L9445" s="6">
        <f>IFERROR(IF(INDEX(tProdutos[Desconto homologado],MATCH(tItens[[#This Row],[Produto]],tProdutos[Produto],0))="",DescontoPadrao,INDEX(tProdutos[Desconto homologado],MATCH(tItens[[#This Row],[Produto]],tProdutos[Produto],0))),DescontoPadrao)</f>
        <v>0.24332656063896899</v>
      </c>
      <c r="M9445" s="12">
        <f>tItens[[#This Row],[Valor]]*(1-tItens[[#This Row],[Desconto]])</f>
        <v>2103.1738247039857</v>
      </c>
      <c r="N9445" t="str">
        <f>IFERROR(INDEX(tProdutos[Foco],MATCH(tItens[[#This Row],[Produto]],tProdutos[Produto],0)),"Não")</f>
        <v>Não</v>
      </c>
      <c r="O9445" t="str">
        <f>IFERROR(INDEX(tEditais[SRP],MATCH(tItens[[#This Row],[Edital]],tEditais[Edital],0)),"Não")</f>
        <v>Sim</v>
      </c>
      <c r="P9445" s="4">
        <f>IF(COUNTIFS(INDEX(tItens[Edital],1):tItens[[#This Row],[Edital]],tItens[[#This Row],[Edital]],INDEX(tItens[Produto],1):tItens[[#This Row],[Produto]],tItens[[#This Row],[Produto]])=1,1,0)</f>
        <v>1</v>
      </c>
    </row>
    <row r="9446" spans="1:16" x14ac:dyDescent="0.25">
      <c r="A9446" t="s">
        <v>3227</v>
      </c>
      <c r="B9446">
        <v>135</v>
      </c>
      <c r="C9446" t="s">
        <v>11739</v>
      </c>
      <c r="D9446" t="s">
        <v>156</v>
      </c>
      <c r="E9446" s="13">
        <v>30</v>
      </c>
      <c r="F9446" s="12">
        <v>105.4</v>
      </c>
      <c r="G9446" t="str">
        <f>IFERROR(INDEX(tEditais[Órgão],MATCH(tItens[[#This Row],[Edital]],tEditais[Edital],0)),"")</f>
        <v>FUNDO MUNICIPAL DE SAUDE DE PEDRO AFONSO</v>
      </c>
      <c r="H9446" t="str">
        <f>IFERROR(INDEX(tEditais[UF],MATCH(tItens[[#This Row],[Edital]],tEditais[Edital],0)),"")</f>
        <v>TO</v>
      </c>
      <c r="I9446" s="11">
        <f>IFERROR(INDEX(tEditais[Encerramento],MATCH(tItens[[#This Row],[Edital]],tEditais[Edital],0)),"")</f>
        <v>46314.999305555553</v>
      </c>
      <c r="J9446" t="str">
        <f>IFERROR(INDEX(tProdutos[Classe],MATCH(tItens[[#This Row],[Produto]],tProdutos[Produto],0)),"produto não cadastrado")</f>
        <v>DISPUTADO</v>
      </c>
      <c r="K9446" s="12">
        <f>tItens[[#This Row],[Qtd]]*tItens[[#This Row],[Vlr unit]]</f>
        <v>3162</v>
      </c>
      <c r="L9446" s="6">
        <f>IFERROR(IF(INDEX(tProdutos[Desconto homologado],MATCH(tItens[[#This Row],[Produto]],tProdutos[Produto],0))="",DescontoPadrao,INDEX(tProdutos[Desconto homologado],MATCH(tItens[[#This Row],[Produto]],tProdutos[Produto],0))),DescontoPadrao)</f>
        <v>0.27131852489802799</v>
      </c>
      <c r="M9446" s="12">
        <f>tItens[[#This Row],[Valor]]*(1-tItens[[#This Row],[Desconto]])</f>
        <v>2304.0908242724354</v>
      </c>
      <c r="N9446" t="str">
        <f>IFERROR(INDEX(tProdutos[Foco],MATCH(tItens[[#This Row],[Produto]],tProdutos[Produto],0)),"Não")</f>
        <v>Não</v>
      </c>
      <c r="O9446" t="str">
        <f>IFERROR(INDEX(tEditais[SRP],MATCH(tItens[[#This Row],[Edital]],tEditais[Edital],0)),"Não")</f>
        <v>Sim</v>
      </c>
      <c r="P9446" s="4">
        <f>IF(COUNTIFS(INDEX(tItens[Edital],1):tItens[[#This Row],[Edital]],tItens[[#This Row],[Edital]],INDEX(tItens[Produto],1):tItens[[#This Row],[Produto]],tItens[[#This Row],[Produto]])=1,1,0)</f>
        <v>1</v>
      </c>
    </row>
    <row r="9447" spans="1:16" x14ac:dyDescent="0.25">
      <c r="A9447" t="s">
        <v>3227</v>
      </c>
      <c r="B9447">
        <v>141</v>
      </c>
      <c r="C9447" t="s">
        <v>11740</v>
      </c>
      <c r="D9447" t="s">
        <v>176</v>
      </c>
      <c r="E9447" s="13">
        <v>2000</v>
      </c>
      <c r="F9447" s="12">
        <v>123.52</v>
      </c>
      <c r="G9447" t="str">
        <f>IFERROR(INDEX(tEditais[Órgão],MATCH(tItens[[#This Row],[Edital]],tEditais[Edital],0)),"")</f>
        <v>FUNDO MUNICIPAL DE SAUDE DE PEDRO AFONSO</v>
      </c>
      <c r="H9447" t="str">
        <f>IFERROR(INDEX(tEditais[UF],MATCH(tItens[[#This Row],[Edital]],tEditais[Edital],0)),"")</f>
        <v>TO</v>
      </c>
      <c r="I9447" s="11">
        <f>IFERROR(INDEX(tEditais[Encerramento],MATCH(tItens[[#This Row],[Edital]],tEditais[Edital],0)),"")</f>
        <v>46314.999305555553</v>
      </c>
      <c r="J9447" t="str">
        <f>IFERROR(INDEX(tProdutos[Classe],MATCH(tItens[[#This Row],[Produto]],tProdutos[Produto],0)),"produto não cadastrado")</f>
        <v>DISPUTADO</v>
      </c>
      <c r="K9447" s="12">
        <f>tItens[[#This Row],[Qtd]]*tItens[[#This Row],[Vlr unit]]</f>
        <v>247040</v>
      </c>
      <c r="L9447" s="6">
        <f>IFERROR(IF(INDEX(tProdutos[Desconto homologado],MATCH(tItens[[#This Row],[Produto]],tProdutos[Produto],0))="",DescontoPadrao,INDEX(tProdutos[Desconto homologado],MATCH(tItens[[#This Row],[Produto]],tProdutos[Produto],0))),DescontoPadrao)</f>
        <v>0.39921530161843999</v>
      </c>
      <c r="M9447" s="12">
        <f>tItens[[#This Row],[Valor]]*(1-tItens[[#This Row],[Desconto]])</f>
        <v>148417.85188818059</v>
      </c>
      <c r="N9447" t="str">
        <f>IFERROR(INDEX(tProdutos[Foco],MATCH(tItens[[#This Row],[Produto]],tProdutos[Produto],0)),"Não")</f>
        <v>Não</v>
      </c>
      <c r="O9447" t="str">
        <f>IFERROR(INDEX(tEditais[SRP],MATCH(tItens[[#This Row],[Edital]],tEditais[Edital],0)),"Não")</f>
        <v>Sim</v>
      </c>
      <c r="P9447" s="4">
        <f>IF(COUNTIFS(INDEX(tItens[Edital],1):tItens[[#This Row],[Edital]],tItens[[#This Row],[Edital]],INDEX(tItens[Produto],1):tItens[[#This Row],[Produto]],tItens[[#This Row],[Produto]])=1,1,0)</f>
        <v>1</v>
      </c>
    </row>
    <row r="9448" spans="1:16" x14ac:dyDescent="0.25">
      <c r="A9448" t="s">
        <v>3227</v>
      </c>
      <c r="B9448">
        <v>148</v>
      </c>
      <c r="C9448" t="s">
        <v>11741</v>
      </c>
      <c r="D9448" t="s">
        <v>98</v>
      </c>
      <c r="E9448" s="13">
        <v>8</v>
      </c>
      <c r="F9448" s="12">
        <v>2.81</v>
      </c>
      <c r="G9448" t="str">
        <f>IFERROR(INDEX(tEditais[Órgão],MATCH(tItens[[#This Row],[Edital]],tEditais[Edital],0)),"")</f>
        <v>FUNDO MUNICIPAL DE SAUDE DE PEDRO AFONSO</v>
      </c>
      <c r="H9448" t="str">
        <f>IFERROR(INDEX(tEditais[UF],MATCH(tItens[[#This Row],[Edital]],tEditais[Edital],0)),"")</f>
        <v>TO</v>
      </c>
      <c r="I9448" s="11">
        <f>IFERROR(INDEX(tEditais[Encerramento],MATCH(tItens[[#This Row],[Edital]],tEditais[Edital],0)),"")</f>
        <v>46314.999305555553</v>
      </c>
      <c r="J9448" t="str">
        <f>IFERROR(INDEX(tProdutos[Classe],MATCH(tItens[[#This Row],[Produto]],tProdutos[Produto],0)),"produto não cadastrado")</f>
        <v>NÚCLEO</v>
      </c>
      <c r="K9448" s="12">
        <f>tItens[[#This Row],[Qtd]]*tItens[[#This Row],[Vlr unit]]</f>
        <v>22.48</v>
      </c>
      <c r="L9448" s="6">
        <f>IFERROR(IF(INDEX(tProdutos[Desconto homologado],MATCH(tItens[[#This Row],[Produto]],tProdutos[Produto],0))="",DescontoPadrao,INDEX(tProdutos[Desconto homologado],MATCH(tItens[[#This Row],[Produto]],tProdutos[Produto],0))),DescontoPadrao)</f>
        <v>0.39</v>
      </c>
      <c r="M9448" s="12">
        <f>tItens[[#This Row],[Valor]]*(1-tItens[[#This Row],[Desconto]])</f>
        <v>13.7128</v>
      </c>
      <c r="N9448" t="str">
        <f>IFERROR(INDEX(tProdutos[Foco],MATCH(tItens[[#This Row],[Produto]],tProdutos[Produto],0)),"Não")</f>
        <v>Sim</v>
      </c>
      <c r="O9448" t="str">
        <f>IFERROR(INDEX(tEditais[SRP],MATCH(tItens[[#This Row],[Edital]],tEditais[Edital],0)),"Não")</f>
        <v>Sim</v>
      </c>
      <c r="P9448" s="4">
        <f>IF(COUNTIFS(INDEX(tItens[Edital],1):tItens[[#This Row],[Edital]],tItens[[#This Row],[Edital]],INDEX(tItens[Produto],1):tItens[[#This Row],[Produto]],tItens[[#This Row],[Produto]])=1,1,0)</f>
        <v>1</v>
      </c>
    </row>
    <row r="9449" spans="1:16" x14ac:dyDescent="0.25">
      <c r="A9449" t="s">
        <v>3227</v>
      </c>
      <c r="B9449">
        <v>149</v>
      </c>
      <c r="C9449" t="s">
        <v>11742</v>
      </c>
      <c r="D9449" t="s">
        <v>98</v>
      </c>
      <c r="E9449" s="13">
        <v>8</v>
      </c>
      <c r="F9449" s="12">
        <v>8.56</v>
      </c>
      <c r="G9449" t="str">
        <f>IFERROR(INDEX(tEditais[Órgão],MATCH(tItens[[#This Row],[Edital]],tEditais[Edital],0)),"")</f>
        <v>FUNDO MUNICIPAL DE SAUDE DE PEDRO AFONSO</v>
      </c>
      <c r="H9449" t="str">
        <f>IFERROR(INDEX(tEditais[UF],MATCH(tItens[[#This Row],[Edital]],tEditais[Edital],0)),"")</f>
        <v>TO</v>
      </c>
      <c r="I9449" s="11">
        <f>IFERROR(INDEX(tEditais[Encerramento],MATCH(tItens[[#This Row],[Edital]],tEditais[Edital],0)),"")</f>
        <v>46314.999305555553</v>
      </c>
      <c r="J9449" t="str">
        <f>IFERROR(INDEX(tProdutos[Classe],MATCH(tItens[[#This Row],[Produto]],tProdutos[Produto],0)),"produto não cadastrado")</f>
        <v>NÚCLEO</v>
      </c>
      <c r="K9449" s="12">
        <f>tItens[[#This Row],[Qtd]]*tItens[[#This Row],[Vlr unit]]</f>
        <v>68.48</v>
      </c>
      <c r="L9449" s="6">
        <f>IFERROR(IF(INDEX(tProdutos[Desconto homologado],MATCH(tItens[[#This Row],[Produto]],tProdutos[Produto],0))="",DescontoPadrao,INDEX(tProdutos[Desconto homologado],MATCH(tItens[[#This Row],[Produto]],tProdutos[Produto],0))),DescontoPadrao)</f>
        <v>0.39</v>
      </c>
      <c r="M9449" s="12">
        <f>tItens[[#This Row],[Valor]]*(1-tItens[[#This Row],[Desconto]])</f>
        <v>41.772800000000004</v>
      </c>
      <c r="N9449" t="str">
        <f>IFERROR(INDEX(tProdutos[Foco],MATCH(tItens[[#This Row],[Produto]],tProdutos[Produto],0)),"Não")</f>
        <v>Sim</v>
      </c>
      <c r="O9449" t="str">
        <f>IFERROR(INDEX(tEditais[SRP],MATCH(tItens[[#This Row],[Edital]],tEditais[Edital],0)),"Não")</f>
        <v>Sim</v>
      </c>
      <c r="P9449" s="4">
        <f>IF(COUNTIFS(INDEX(tItens[Edital],1):tItens[[#This Row],[Edital]],tItens[[#This Row],[Edital]],INDEX(tItens[Produto],1):tItens[[#This Row],[Produto]],tItens[[#This Row],[Produto]])=1,1,0)</f>
        <v>0</v>
      </c>
    </row>
    <row r="9450" spans="1:16" x14ac:dyDescent="0.25">
      <c r="A9450" t="s">
        <v>3227</v>
      </c>
      <c r="B9450">
        <v>150</v>
      </c>
      <c r="C9450" t="s">
        <v>11743</v>
      </c>
      <c r="D9450" t="s">
        <v>98</v>
      </c>
      <c r="E9450" s="13">
        <v>8</v>
      </c>
      <c r="F9450" s="12">
        <v>8.8000000000000007</v>
      </c>
      <c r="G9450" t="str">
        <f>IFERROR(INDEX(tEditais[Órgão],MATCH(tItens[[#This Row],[Edital]],tEditais[Edital],0)),"")</f>
        <v>FUNDO MUNICIPAL DE SAUDE DE PEDRO AFONSO</v>
      </c>
      <c r="H9450" t="str">
        <f>IFERROR(INDEX(tEditais[UF],MATCH(tItens[[#This Row],[Edital]],tEditais[Edital],0)),"")</f>
        <v>TO</v>
      </c>
      <c r="I9450" s="11">
        <f>IFERROR(INDEX(tEditais[Encerramento],MATCH(tItens[[#This Row],[Edital]],tEditais[Edital],0)),"")</f>
        <v>46314.999305555553</v>
      </c>
      <c r="J9450" t="str">
        <f>IFERROR(INDEX(tProdutos[Classe],MATCH(tItens[[#This Row],[Produto]],tProdutos[Produto],0)),"produto não cadastrado")</f>
        <v>NÚCLEO</v>
      </c>
      <c r="K9450" s="12">
        <f>tItens[[#This Row],[Qtd]]*tItens[[#This Row],[Vlr unit]]</f>
        <v>70.400000000000006</v>
      </c>
      <c r="L9450" s="6">
        <f>IFERROR(IF(INDEX(tProdutos[Desconto homologado],MATCH(tItens[[#This Row],[Produto]],tProdutos[Produto],0))="",DescontoPadrao,INDEX(tProdutos[Desconto homologado],MATCH(tItens[[#This Row],[Produto]],tProdutos[Produto],0))),DescontoPadrao)</f>
        <v>0.39</v>
      </c>
      <c r="M9450" s="12">
        <f>tItens[[#This Row],[Valor]]*(1-tItens[[#This Row],[Desconto]])</f>
        <v>42.944000000000003</v>
      </c>
      <c r="N9450" t="str">
        <f>IFERROR(INDEX(tProdutos[Foco],MATCH(tItens[[#This Row],[Produto]],tProdutos[Produto],0)),"Não")</f>
        <v>Sim</v>
      </c>
      <c r="O9450" t="str">
        <f>IFERROR(INDEX(tEditais[SRP],MATCH(tItens[[#This Row],[Edital]],tEditais[Edital],0)),"Não")</f>
        <v>Sim</v>
      </c>
      <c r="P9450" s="4">
        <f>IF(COUNTIFS(INDEX(tItens[Edital],1):tItens[[#This Row],[Edital]],tItens[[#This Row],[Edital]],INDEX(tItens[Produto],1):tItens[[#This Row],[Produto]],tItens[[#This Row],[Produto]])=1,1,0)</f>
        <v>0</v>
      </c>
    </row>
    <row r="9451" spans="1:16" x14ac:dyDescent="0.25">
      <c r="A9451" t="s">
        <v>3227</v>
      </c>
      <c r="B9451">
        <v>151</v>
      </c>
      <c r="C9451" t="s">
        <v>11744</v>
      </c>
      <c r="D9451" t="s">
        <v>98</v>
      </c>
      <c r="E9451" s="13">
        <v>8</v>
      </c>
      <c r="F9451" s="12">
        <v>8.91</v>
      </c>
      <c r="G9451" t="str">
        <f>IFERROR(INDEX(tEditais[Órgão],MATCH(tItens[[#This Row],[Edital]],tEditais[Edital],0)),"")</f>
        <v>FUNDO MUNICIPAL DE SAUDE DE PEDRO AFONSO</v>
      </c>
      <c r="H9451" t="str">
        <f>IFERROR(INDEX(tEditais[UF],MATCH(tItens[[#This Row],[Edital]],tEditais[Edital],0)),"")</f>
        <v>TO</v>
      </c>
      <c r="I9451" s="11">
        <f>IFERROR(INDEX(tEditais[Encerramento],MATCH(tItens[[#This Row],[Edital]],tEditais[Edital],0)),"")</f>
        <v>46314.999305555553</v>
      </c>
      <c r="J9451" t="str">
        <f>IFERROR(INDEX(tProdutos[Classe],MATCH(tItens[[#This Row],[Produto]],tProdutos[Produto],0)),"produto não cadastrado")</f>
        <v>NÚCLEO</v>
      </c>
      <c r="K9451" s="12">
        <f>tItens[[#This Row],[Qtd]]*tItens[[#This Row],[Vlr unit]]</f>
        <v>71.28</v>
      </c>
      <c r="L9451" s="6">
        <f>IFERROR(IF(INDEX(tProdutos[Desconto homologado],MATCH(tItens[[#This Row],[Produto]],tProdutos[Produto],0))="",DescontoPadrao,INDEX(tProdutos[Desconto homologado],MATCH(tItens[[#This Row],[Produto]],tProdutos[Produto],0))),DescontoPadrao)</f>
        <v>0.39</v>
      </c>
      <c r="M9451" s="12">
        <f>tItens[[#This Row],[Valor]]*(1-tItens[[#This Row],[Desconto]])</f>
        <v>43.480800000000002</v>
      </c>
      <c r="N9451" t="str">
        <f>IFERROR(INDEX(tProdutos[Foco],MATCH(tItens[[#This Row],[Produto]],tProdutos[Produto],0)),"Não")</f>
        <v>Sim</v>
      </c>
      <c r="O9451" t="str">
        <f>IFERROR(INDEX(tEditais[SRP],MATCH(tItens[[#This Row],[Edital]],tEditais[Edital],0)),"Não")</f>
        <v>Sim</v>
      </c>
      <c r="P9451" s="4">
        <f>IF(COUNTIFS(INDEX(tItens[Edital],1):tItens[[#This Row],[Edital]],tItens[[#This Row],[Edital]],INDEX(tItens[Produto],1):tItens[[#This Row],[Produto]],tItens[[#This Row],[Produto]])=1,1,0)</f>
        <v>0</v>
      </c>
    </row>
    <row r="9452" spans="1:16" x14ac:dyDescent="0.25">
      <c r="A9452" t="s">
        <v>3227</v>
      </c>
      <c r="B9452">
        <v>152</v>
      </c>
      <c r="C9452" t="s">
        <v>11745</v>
      </c>
      <c r="D9452" t="s">
        <v>98</v>
      </c>
      <c r="E9452" s="13">
        <v>8</v>
      </c>
      <c r="F9452" s="12">
        <v>8.8699999999999992</v>
      </c>
      <c r="G9452" t="str">
        <f>IFERROR(INDEX(tEditais[Órgão],MATCH(tItens[[#This Row],[Edital]],tEditais[Edital],0)),"")</f>
        <v>FUNDO MUNICIPAL DE SAUDE DE PEDRO AFONSO</v>
      </c>
      <c r="H9452" t="str">
        <f>IFERROR(INDEX(tEditais[UF],MATCH(tItens[[#This Row],[Edital]],tEditais[Edital],0)),"")</f>
        <v>TO</v>
      </c>
      <c r="I9452" s="11">
        <f>IFERROR(INDEX(tEditais[Encerramento],MATCH(tItens[[#This Row],[Edital]],tEditais[Edital],0)),"")</f>
        <v>46314.999305555553</v>
      </c>
      <c r="J9452" t="str">
        <f>IFERROR(INDEX(tProdutos[Classe],MATCH(tItens[[#This Row],[Produto]],tProdutos[Produto],0)),"produto não cadastrado")</f>
        <v>NÚCLEO</v>
      </c>
      <c r="K9452" s="12">
        <f>tItens[[#This Row],[Qtd]]*tItens[[#This Row],[Vlr unit]]</f>
        <v>70.959999999999994</v>
      </c>
      <c r="L9452" s="6">
        <f>IFERROR(IF(INDEX(tProdutos[Desconto homologado],MATCH(tItens[[#This Row],[Produto]],tProdutos[Produto],0))="",DescontoPadrao,INDEX(tProdutos[Desconto homologado],MATCH(tItens[[#This Row],[Produto]],tProdutos[Produto],0))),DescontoPadrao)</f>
        <v>0.39</v>
      </c>
      <c r="M9452" s="12">
        <f>tItens[[#This Row],[Valor]]*(1-tItens[[#This Row],[Desconto]])</f>
        <v>43.285599999999995</v>
      </c>
      <c r="N9452" t="str">
        <f>IFERROR(INDEX(tProdutos[Foco],MATCH(tItens[[#This Row],[Produto]],tProdutos[Produto],0)),"Não")</f>
        <v>Sim</v>
      </c>
      <c r="O9452" t="str">
        <f>IFERROR(INDEX(tEditais[SRP],MATCH(tItens[[#This Row],[Edital]],tEditais[Edital],0)),"Não")</f>
        <v>Sim</v>
      </c>
      <c r="P9452" s="4">
        <f>IF(COUNTIFS(INDEX(tItens[Edital],1):tItens[[#This Row],[Edital]],tItens[[#This Row],[Edital]],INDEX(tItens[Produto],1):tItens[[#This Row],[Produto]],tItens[[#This Row],[Produto]])=1,1,0)</f>
        <v>0</v>
      </c>
    </row>
    <row r="9453" spans="1:16" x14ac:dyDescent="0.25">
      <c r="A9453" t="s">
        <v>3227</v>
      </c>
      <c r="B9453">
        <v>153</v>
      </c>
      <c r="C9453" t="s">
        <v>11746</v>
      </c>
      <c r="D9453" t="s">
        <v>98</v>
      </c>
      <c r="E9453" s="13">
        <v>8</v>
      </c>
      <c r="F9453" s="12">
        <v>8.75</v>
      </c>
      <c r="G9453" t="str">
        <f>IFERROR(INDEX(tEditais[Órgão],MATCH(tItens[[#This Row],[Edital]],tEditais[Edital],0)),"")</f>
        <v>FUNDO MUNICIPAL DE SAUDE DE PEDRO AFONSO</v>
      </c>
      <c r="H9453" t="str">
        <f>IFERROR(INDEX(tEditais[UF],MATCH(tItens[[#This Row],[Edital]],tEditais[Edital],0)),"")</f>
        <v>TO</v>
      </c>
      <c r="I9453" s="11">
        <f>IFERROR(INDEX(tEditais[Encerramento],MATCH(tItens[[#This Row],[Edital]],tEditais[Edital],0)),"")</f>
        <v>46314.999305555553</v>
      </c>
      <c r="J9453" t="str">
        <f>IFERROR(INDEX(tProdutos[Classe],MATCH(tItens[[#This Row],[Produto]],tProdutos[Produto],0)),"produto não cadastrado")</f>
        <v>NÚCLEO</v>
      </c>
      <c r="K9453" s="12">
        <f>tItens[[#This Row],[Qtd]]*tItens[[#This Row],[Vlr unit]]</f>
        <v>70</v>
      </c>
      <c r="L9453" s="6">
        <f>IFERROR(IF(INDEX(tProdutos[Desconto homologado],MATCH(tItens[[#This Row],[Produto]],tProdutos[Produto],0))="",DescontoPadrao,INDEX(tProdutos[Desconto homologado],MATCH(tItens[[#This Row],[Produto]],tProdutos[Produto],0))),DescontoPadrao)</f>
        <v>0.39</v>
      </c>
      <c r="M9453" s="12">
        <f>tItens[[#This Row],[Valor]]*(1-tItens[[#This Row],[Desconto]])</f>
        <v>42.699999999999996</v>
      </c>
      <c r="N9453" t="str">
        <f>IFERROR(INDEX(tProdutos[Foco],MATCH(tItens[[#This Row],[Produto]],tProdutos[Produto],0)),"Não")</f>
        <v>Sim</v>
      </c>
      <c r="O9453" t="str">
        <f>IFERROR(INDEX(tEditais[SRP],MATCH(tItens[[#This Row],[Edital]],tEditais[Edital],0)),"Não")</f>
        <v>Sim</v>
      </c>
      <c r="P9453" s="4">
        <f>IF(COUNTIFS(INDEX(tItens[Edital],1):tItens[[#This Row],[Edital]],tItens[[#This Row],[Edital]],INDEX(tItens[Produto],1):tItens[[#This Row],[Produto]],tItens[[#This Row],[Produto]])=1,1,0)</f>
        <v>0</v>
      </c>
    </row>
    <row r="9454" spans="1:16" x14ac:dyDescent="0.25">
      <c r="A9454" t="s">
        <v>3227</v>
      </c>
      <c r="B9454">
        <v>154</v>
      </c>
      <c r="C9454" t="s">
        <v>11747</v>
      </c>
      <c r="D9454" t="s">
        <v>170</v>
      </c>
      <c r="E9454" s="13">
        <v>8</v>
      </c>
      <c r="F9454" s="12">
        <v>36.020000000000003</v>
      </c>
      <c r="G9454" t="str">
        <f>IFERROR(INDEX(tEditais[Órgão],MATCH(tItens[[#This Row],[Edital]],tEditais[Edital],0)),"")</f>
        <v>FUNDO MUNICIPAL DE SAUDE DE PEDRO AFONSO</v>
      </c>
      <c r="H9454" t="str">
        <f>IFERROR(INDEX(tEditais[UF],MATCH(tItens[[#This Row],[Edital]],tEditais[Edital],0)),"")</f>
        <v>TO</v>
      </c>
      <c r="I9454" s="11">
        <f>IFERROR(INDEX(tEditais[Encerramento],MATCH(tItens[[#This Row],[Edital]],tEditais[Edital],0)),"")</f>
        <v>46314.999305555553</v>
      </c>
      <c r="J9454" t="str">
        <f>IFERROR(INDEX(tProdutos[Classe],MATCH(tItens[[#This Row],[Produto]],tProdutos[Produto],0)),"produto não cadastrado")</f>
        <v>DISPUTADO</v>
      </c>
      <c r="K9454" s="12">
        <f>tItens[[#This Row],[Qtd]]*tItens[[#This Row],[Vlr unit]]</f>
        <v>288.16000000000003</v>
      </c>
      <c r="L9454" s="6">
        <f>IFERROR(IF(INDEX(tProdutos[Desconto homologado],MATCH(tItens[[#This Row],[Produto]],tProdutos[Produto],0))="",DescontoPadrao,INDEX(tProdutos[Desconto homologado],MATCH(tItens[[#This Row],[Produto]],tProdutos[Produto],0))),DescontoPadrao)</f>
        <v>0.36</v>
      </c>
      <c r="M9454" s="12">
        <f>tItens[[#This Row],[Valor]]*(1-tItens[[#This Row],[Desconto]])</f>
        <v>184.42240000000001</v>
      </c>
      <c r="N9454" t="str">
        <f>IFERROR(INDEX(tProdutos[Foco],MATCH(tItens[[#This Row],[Produto]],tProdutos[Produto],0)),"Não")</f>
        <v>Sim</v>
      </c>
      <c r="O9454" t="str">
        <f>IFERROR(INDEX(tEditais[SRP],MATCH(tItens[[#This Row],[Edital]],tEditais[Edital],0)),"Não")</f>
        <v>Sim</v>
      </c>
      <c r="P9454" s="4">
        <f>IF(COUNTIFS(INDEX(tItens[Edital],1):tItens[[#This Row],[Edital]],tItens[[#This Row],[Edital]],INDEX(tItens[Produto],1):tItens[[#This Row],[Produto]],tItens[[#This Row],[Produto]])=1,1,0)</f>
        <v>1</v>
      </c>
    </row>
    <row r="9455" spans="1:16" x14ac:dyDescent="0.25">
      <c r="A9455" t="s">
        <v>3227</v>
      </c>
      <c r="B9455">
        <v>155</v>
      </c>
      <c r="C9455" t="s">
        <v>11748</v>
      </c>
      <c r="D9455" t="s">
        <v>170</v>
      </c>
      <c r="E9455" s="13">
        <v>8</v>
      </c>
      <c r="F9455" s="12">
        <v>56.77</v>
      </c>
      <c r="G9455" t="str">
        <f>IFERROR(INDEX(tEditais[Órgão],MATCH(tItens[[#This Row],[Edital]],tEditais[Edital],0)),"")</f>
        <v>FUNDO MUNICIPAL DE SAUDE DE PEDRO AFONSO</v>
      </c>
      <c r="H9455" t="str">
        <f>IFERROR(INDEX(tEditais[UF],MATCH(tItens[[#This Row],[Edital]],tEditais[Edital],0)),"")</f>
        <v>TO</v>
      </c>
      <c r="I9455" s="11">
        <f>IFERROR(INDEX(tEditais[Encerramento],MATCH(tItens[[#This Row],[Edital]],tEditais[Edital],0)),"")</f>
        <v>46314.999305555553</v>
      </c>
      <c r="J9455" t="str">
        <f>IFERROR(INDEX(tProdutos[Classe],MATCH(tItens[[#This Row],[Produto]],tProdutos[Produto],0)),"produto não cadastrado")</f>
        <v>DISPUTADO</v>
      </c>
      <c r="K9455" s="12">
        <f>tItens[[#This Row],[Qtd]]*tItens[[#This Row],[Vlr unit]]</f>
        <v>454.16</v>
      </c>
      <c r="L9455" s="6">
        <f>IFERROR(IF(INDEX(tProdutos[Desconto homologado],MATCH(tItens[[#This Row],[Produto]],tProdutos[Produto],0))="",DescontoPadrao,INDEX(tProdutos[Desconto homologado],MATCH(tItens[[#This Row],[Produto]],tProdutos[Produto],0))),DescontoPadrao)</f>
        <v>0.36</v>
      </c>
      <c r="M9455" s="12">
        <f>tItens[[#This Row],[Valor]]*(1-tItens[[#This Row],[Desconto]])</f>
        <v>290.66240000000005</v>
      </c>
      <c r="N9455" t="str">
        <f>IFERROR(INDEX(tProdutos[Foco],MATCH(tItens[[#This Row],[Produto]],tProdutos[Produto],0)),"Não")</f>
        <v>Sim</v>
      </c>
      <c r="O9455" t="str">
        <f>IFERROR(INDEX(tEditais[SRP],MATCH(tItens[[#This Row],[Edital]],tEditais[Edital],0)),"Não")</f>
        <v>Sim</v>
      </c>
      <c r="P9455" s="4">
        <f>IF(COUNTIFS(INDEX(tItens[Edital],1):tItens[[#This Row],[Edital]],tItens[[#This Row],[Edital]],INDEX(tItens[Produto],1):tItens[[#This Row],[Produto]],tItens[[#This Row],[Produto]])=1,1,0)</f>
        <v>0</v>
      </c>
    </row>
    <row r="9456" spans="1:16" x14ac:dyDescent="0.25">
      <c r="A9456" t="s">
        <v>3227</v>
      </c>
      <c r="B9456">
        <v>156</v>
      </c>
      <c r="C9456" t="s">
        <v>11749</v>
      </c>
      <c r="D9456" t="s">
        <v>170</v>
      </c>
      <c r="E9456" s="13">
        <v>8</v>
      </c>
      <c r="F9456" s="12">
        <v>20.25</v>
      </c>
      <c r="G9456" t="str">
        <f>IFERROR(INDEX(tEditais[Órgão],MATCH(tItens[[#This Row],[Edital]],tEditais[Edital],0)),"")</f>
        <v>FUNDO MUNICIPAL DE SAUDE DE PEDRO AFONSO</v>
      </c>
      <c r="H9456" t="str">
        <f>IFERROR(INDEX(tEditais[UF],MATCH(tItens[[#This Row],[Edital]],tEditais[Edital],0)),"")</f>
        <v>TO</v>
      </c>
      <c r="I9456" s="11">
        <f>IFERROR(INDEX(tEditais[Encerramento],MATCH(tItens[[#This Row],[Edital]],tEditais[Edital],0)),"")</f>
        <v>46314.999305555553</v>
      </c>
      <c r="J9456" t="str">
        <f>IFERROR(INDEX(tProdutos[Classe],MATCH(tItens[[#This Row],[Produto]],tProdutos[Produto],0)),"produto não cadastrado")</f>
        <v>DISPUTADO</v>
      </c>
      <c r="K9456" s="12">
        <f>tItens[[#This Row],[Qtd]]*tItens[[#This Row],[Vlr unit]]</f>
        <v>162</v>
      </c>
      <c r="L9456" s="6">
        <f>IFERROR(IF(INDEX(tProdutos[Desconto homologado],MATCH(tItens[[#This Row],[Produto]],tProdutos[Produto],0))="",DescontoPadrao,INDEX(tProdutos[Desconto homologado],MATCH(tItens[[#This Row],[Produto]],tProdutos[Produto],0))),DescontoPadrao)</f>
        <v>0.36</v>
      </c>
      <c r="M9456" s="12">
        <f>tItens[[#This Row],[Valor]]*(1-tItens[[#This Row],[Desconto]])</f>
        <v>103.68</v>
      </c>
      <c r="N9456" t="str">
        <f>IFERROR(INDEX(tProdutos[Foco],MATCH(tItens[[#This Row],[Produto]],tProdutos[Produto],0)),"Não")</f>
        <v>Sim</v>
      </c>
      <c r="O9456" t="str">
        <f>IFERROR(INDEX(tEditais[SRP],MATCH(tItens[[#This Row],[Edital]],tEditais[Edital],0)),"Não")</f>
        <v>Sim</v>
      </c>
      <c r="P9456" s="4">
        <f>IF(COUNTIFS(INDEX(tItens[Edital],1):tItens[[#This Row],[Edital]],tItens[[#This Row],[Edital]],INDEX(tItens[Produto],1):tItens[[#This Row],[Produto]],tItens[[#This Row],[Produto]])=1,1,0)</f>
        <v>0</v>
      </c>
    </row>
    <row r="9457" spans="1:16" x14ac:dyDescent="0.25">
      <c r="A9457" t="s">
        <v>3227</v>
      </c>
      <c r="B9457">
        <v>157</v>
      </c>
      <c r="C9457" t="s">
        <v>11750</v>
      </c>
      <c r="D9457" t="s">
        <v>170</v>
      </c>
      <c r="E9457" s="13">
        <v>8</v>
      </c>
      <c r="F9457" s="12">
        <v>40.39</v>
      </c>
      <c r="G9457" t="str">
        <f>IFERROR(INDEX(tEditais[Órgão],MATCH(tItens[[#This Row],[Edital]],tEditais[Edital],0)),"")</f>
        <v>FUNDO MUNICIPAL DE SAUDE DE PEDRO AFONSO</v>
      </c>
      <c r="H9457" t="str">
        <f>IFERROR(INDEX(tEditais[UF],MATCH(tItens[[#This Row],[Edital]],tEditais[Edital],0)),"")</f>
        <v>TO</v>
      </c>
      <c r="I9457" s="11">
        <f>IFERROR(INDEX(tEditais[Encerramento],MATCH(tItens[[#This Row],[Edital]],tEditais[Edital],0)),"")</f>
        <v>46314.999305555553</v>
      </c>
      <c r="J9457" t="str">
        <f>IFERROR(INDEX(tProdutos[Classe],MATCH(tItens[[#This Row],[Produto]],tProdutos[Produto],0)),"produto não cadastrado")</f>
        <v>DISPUTADO</v>
      </c>
      <c r="K9457" s="12">
        <f>tItens[[#This Row],[Qtd]]*tItens[[#This Row],[Vlr unit]]</f>
        <v>323.12</v>
      </c>
      <c r="L9457" s="6">
        <f>IFERROR(IF(INDEX(tProdutos[Desconto homologado],MATCH(tItens[[#This Row],[Produto]],tProdutos[Produto],0))="",DescontoPadrao,INDEX(tProdutos[Desconto homologado],MATCH(tItens[[#This Row],[Produto]],tProdutos[Produto],0))),DescontoPadrao)</f>
        <v>0.36</v>
      </c>
      <c r="M9457" s="12">
        <f>tItens[[#This Row],[Valor]]*(1-tItens[[#This Row],[Desconto]])</f>
        <v>206.79680000000002</v>
      </c>
      <c r="N9457" t="str">
        <f>IFERROR(INDEX(tProdutos[Foco],MATCH(tItens[[#This Row],[Produto]],tProdutos[Produto],0)),"Não")</f>
        <v>Sim</v>
      </c>
      <c r="O9457" t="str">
        <f>IFERROR(INDEX(tEditais[SRP],MATCH(tItens[[#This Row],[Edital]],tEditais[Edital],0)),"Não")</f>
        <v>Sim</v>
      </c>
      <c r="P9457" s="4">
        <f>IF(COUNTIFS(INDEX(tItens[Edital],1):tItens[[#This Row],[Edital]],tItens[[#This Row],[Edital]],INDEX(tItens[Produto],1):tItens[[#This Row],[Produto]],tItens[[#This Row],[Produto]])=1,1,0)</f>
        <v>0</v>
      </c>
    </row>
    <row r="9458" spans="1:16" x14ac:dyDescent="0.25">
      <c r="A9458" t="s">
        <v>3227</v>
      </c>
      <c r="B9458">
        <v>158</v>
      </c>
      <c r="C9458" t="s">
        <v>11751</v>
      </c>
      <c r="D9458" t="s">
        <v>170</v>
      </c>
      <c r="E9458" s="13">
        <v>8</v>
      </c>
      <c r="F9458" s="12">
        <v>22.03</v>
      </c>
      <c r="G9458" t="str">
        <f>IFERROR(INDEX(tEditais[Órgão],MATCH(tItens[[#This Row],[Edital]],tEditais[Edital],0)),"")</f>
        <v>FUNDO MUNICIPAL DE SAUDE DE PEDRO AFONSO</v>
      </c>
      <c r="H9458" t="str">
        <f>IFERROR(INDEX(tEditais[UF],MATCH(tItens[[#This Row],[Edital]],tEditais[Edital],0)),"")</f>
        <v>TO</v>
      </c>
      <c r="I9458" s="11">
        <f>IFERROR(INDEX(tEditais[Encerramento],MATCH(tItens[[#This Row],[Edital]],tEditais[Edital],0)),"")</f>
        <v>46314.999305555553</v>
      </c>
      <c r="J9458" t="str">
        <f>IFERROR(INDEX(tProdutos[Classe],MATCH(tItens[[#This Row],[Produto]],tProdutos[Produto],0)),"produto não cadastrado")</f>
        <v>DISPUTADO</v>
      </c>
      <c r="K9458" s="12">
        <f>tItens[[#This Row],[Qtd]]*tItens[[#This Row],[Vlr unit]]</f>
        <v>176.24</v>
      </c>
      <c r="L9458" s="6">
        <f>IFERROR(IF(INDEX(tProdutos[Desconto homologado],MATCH(tItens[[#This Row],[Produto]],tProdutos[Produto],0))="",DescontoPadrao,INDEX(tProdutos[Desconto homologado],MATCH(tItens[[#This Row],[Produto]],tProdutos[Produto],0))),DescontoPadrao)</f>
        <v>0.36</v>
      </c>
      <c r="M9458" s="12">
        <f>tItens[[#This Row],[Valor]]*(1-tItens[[#This Row],[Desconto]])</f>
        <v>112.79360000000001</v>
      </c>
      <c r="N9458" t="str">
        <f>IFERROR(INDEX(tProdutos[Foco],MATCH(tItens[[#This Row],[Produto]],tProdutos[Produto],0)),"Não")</f>
        <v>Sim</v>
      </c>
      <c r="O9458" t="str">
        <f>IFERROR(INDEX(tEditais[SRP],MATCH(tItens[[#This Row],[Edital]],tEditais[Edital],0)),"Não")</f>
        <v>Sim</v>
      </c>
      <c r="P9458" s="4">
        <f>IF(COUNTIFS(INDEX(tItens[Edital],1):tItens[[#This Row],[Edital]],tItens[[#This Row],[Edital]],INDEX(tItens[Produto],1):tItens[[#This Row],[Produto]],tItens[[#This Row],[Produto]])=1,1,0)</f>
        <v>0</v>
      </c>
    </row>
    <row r="9459" spans="1:16" x14ac:dyDescent="0.25">
      <c r="A9459" t="s">
        <v>3227</v>
      </c>
      <c r="B9459">
        <v>159</v>
      </c>
      <c r="C9459" t="s">
        <v>11752</v>
      </c>
      <c r="D9459" t="s">
        <v>170</v>
      </c>
      <c r="E9459" s="13">
        <v>8</v>
      </c>
      <c r="F9459" s="12">
        <v>29.13</v>
      </c>
      <c r="G9459" t="str">
        <f>IFERROR(INDEX(tEditais[Órgão],MATCH(tItens[[#This Row],[Edital]],tEditais[Edital],0)),"")</f>
        <v>FUNDO MUNICIPAL DE SAUDE DE PEDRO AFONSO</v>
      </c>
      <c r="H9459" t="str">
        <f>IFERROR(INDEX(tEditais[UF],MATCH(tItens[[#This Row],[Edital]],tEditais[Edital],0)),"")</f>
        <v>TO</v>
      </c>
      <c r="I9459" s="11">
        <f>IFERROR(INDEX(tEditais[Encerramento],MATCH(tItens[[#This Row],[Edital]],tEditais[Edital],0)),"")</f>
        <v>46314.999305555553</v>
      </c>
      <c r="J9459" t="str">
        <f>IFERROR(INDEX(tProdutos[Classe],MATCH(tItens[[#This Row],[Produto]],tProdutos[Produto],0)),"produto não cadastrado")</f>
        <v>DISPUTADO</v>
      </c>
      <c r="K9459" s="12">
        <f>tItens[[#This Row],[Qtd]]*tItens[[#This Row],[Vlr unit]]</f>
        <v>233.04</v>
      </c>
      <c r="L9459" s="6">
        <f>IFERROR(IF(INDEX(tProdutos[Desconto homologado],MATCH(tItens[[#This Row],[Produto]],tProdutos[Produto],0))="",DescontoPadrao,INDEX(tProdutos[Desconto homologado],MATCH(tItens[[#This Row],[Produto]],tProdutos[Produto],0))),DescontoPadrao)</f>
        <v>0.36</v>
      </c>
      <c r="M9459" s="12">
        <f>tItens[[#This Row],[Valor]]*(1-tItens[[#This Row],[Desconto]])</f>
        <v>149.1456</v>
      </c>
      <c r="N9459" t="str">
        <f>IFERROR(INDEX(tProdutos[Foco],MATCH(tItens[[#This Row],[Produto]],tProdutos[Produto],0)),"Não")</f>
        <v>Sim</v>
      </c>
      <c r="O9459" t="str">
        <f>IFERROR(INDEX(tEditais[SRP],MATCH(tItens[[#This Row],[Edital]],tEditais[Edital],0)),"Não")</f>
        <v>Sim</v>
      </c>
      <c r="P9459" s="4">
        <f>IF(COUNTIFS(INDEX(tItens[Edital],1):tItens[[#This Row],[Edital]],tItens[[#This Row],[Edital]],INDEX(tItens[Produto],1):tItens[[#This Row],[Produto]],tItens[[#This Row],[Produto]])=1,1,0)</f>
        <v>0</v>
      </c>
    </row>
    <row r="9460" spans="1:16" x14ac:dyDescent="0.25">
      <c r="A9460" t="s">
        <v>3227</v>
      </c>
      <c r="B9460">
        <v>160</v>
      </c>
      <c r="C9460" t="s">
        <v>11753</v>
      </c>
      <c r="D9460" t="s">
        <v>170</v>
      </c>
      <c r="E9460" s="13">
        <v>8</v>
      </c>
      <c r="F9460" s="12">
        <v>35.619999999999997</v>
      </c>
      <c r="G9460" t="str">
        <f>IFERROR(INDEX(tEditais[Órgão],MATCH(tItens[[#This Row],[Edital]],tEditais[Edital],0)),"")</f>
        <v>FUNDO MUNICIPAL DE SAUDE DE PEDRO AFONSO</v>
      </c>
      <c r="H9460" t="str">
        <f>IFERROR(INDEX(tEditais[UF],MATCH(tItens[[#This Row],[Edital]],tEditais[Edital],0)),"")</f>
        <v>TO</v>
      </c>
      <c r="I9460" s="11">
        <f>IFERROR(INDEX(tEditais[Encerramento],MATCH(tItens[[#This Row],[Edital]],tEditais[Edital],0)),"")</f>
        <v>46314.999305555553</v>
      </c>
      <c r="J9460" t="str">
        <f>IFERROR(INDEX(tProdutos[Classe],MATCH(tItens[[#This Row],[Produto]],tProdutos[Produto],0)),"produto não cadastrado")</f>
        <v>DISPUTADO</v>
      </c>
      <c r="K9460" s="12">
        <f>tItens[[#This Row],[Qtd]]*tItens[[#This Row],[Vlr unit]]</f>
        <v>284.95999999999998</v>
      </c>
      <c r="L9460" s="6">
        <f>IFERROR(IF(INDEX(tProdutos[Desconto homologado],MATCH(tItens[[#This Row],[Produto]],tProdutos[Produto],0))="",DescontoPadrao,INDEX(tProdutos[Desconto homologado],MATCH(tItens[[#This Row],[Produto]],tProdutos[Produto],0))),DescontoPadrao)</f>
        <v>0.36</v>
      </c>
      <c r="M9460" s="12">
        <f>tItens[[#This Row],[Valor]]*(1-tItens[[#This Row],[Desconto]])</f>
        <v>182.37439999999998</v>
      </c>
      <c r="N9460" t="str">
        <f>IFERROR(INDEX(tProdutos[Foco],MATCH(tItens[[#This Row],[Produto]],tProdutos[Produto],0)),"Não")</f>
        <v>Sim</v>
      </c>
      <c r="O9460" t="str">
        <f>IFERROR(INDEX(tEditais[SRP],MATCH(tItens[[#This Row],[Edital]],tEditais[Edital],0)),"Não")</f>
        <v>Sim</v>
      </c>
      <c r="P9460" s="4">
        <f>IF(COUNTIFS(INDEX(tItens[Edital],1):tItens[[#This Row],[Edital]],tItens[[#This Row],[Edital]],INDEX(tItens[Produto],1):tItens[[#This Row],[Produto]],tItens[[#This Row],[Produto]])=1,1,0)</f>
        <v>0</v>
      </c>
    </row>
    <row r="9461" spans="1:16" x14ac:dyDescent="0.25">
      <c r="A9461" t="s">
        <v>3227</v>
      </c>
      <c r="B9461">
        <v>168</v>
      </c>
      <c r="C9461" t="s">
        <v>11754</v>
      </c>
      <c r="D9461" t="s">
        <v>343</v>
      </c>
      <c r="E9461" s="13">
        <v>10</v>
      </c>
      <c r="F9461" s="12">
        <v>147.16999999999999</v>
      </c>
      <c r="G9461" t="str">
        <f>IFERROR(INDEX(tEditais[Órgão],MATCH(tItens[[#This Row],[Edital]],tEditais[Edital],0)),"")</f>
        <v>FUNDO MUNICIPAL DE SAUDE DE PEDRO AFONSO</v>
      </c>
      <c r="H9461" t="str">
        <f>IFERROR(INDEX(tEditais[UF],MATCH(tItens[[#This Row],[Edital]],tEditais[Edital],0)),"")</f>
        <v>TO</v>
      </c>
      <c r="I9461" s="11">
        <f>IFERROR(INDEX(tEditais[Encerramento],MATCH(tItens[[#This Row],[Edital]],tEditais[Edital],0)),"")</f>
        <v>46314.999305555553</v>
      </c>
      <c r="J9461" t="str">
        <f>IFERROR(INDEX(tProdutos[Classe],MATCH(tItens[[#This Row],[Produto]],tProdutos[Produto],0)),"produto não cadastrado")</f>
        <v>FORA</v>
      </c>
      <c r="K9461" s="12">
        <f>tItens[[#This Row],[Qtd]]*tItens[[#This Row],[Vlr unit]]</f>
        <v>1471.6999999999998</v>
      </c>
      <c r="L9461" s="6">
        <f>IFERROR(IF(INDEX(tProdutos[Desconto homologado],MATCH(tItens[[#This Row],[Produto]],tProdutos[Produto],0))="",DescontoPadrao,INDEX(tProdutos[Desconto homologado],MATCH(tItens[[#This Row],[Produto]],tProdutos[Produto],0))),DescontoPadrao)</f>
        <v>0.35412234042553198</v>
      </c>
      <c r="M9461" s="12">
        <f>tItens[[#This Row],[Valor]]*(1-tItens[[#This Row],[Desconto]])</f>
        <v>950.53815159574435</v>
      </c>
      <c r="N9461" t="str">
        <f>IFERROR(INDEX(tProdutos[Foco],MATCH(tItens[[#This Row],[Produto]],tProdutos[Produto],0)),"Não")</f>
        <v>Não</v>
      </c>
      <c r="O9461" t="str">
        <f>IFERROR(INDEX(tEditais[SRP],MATCH(tItens[[#This Row],[Edital]],tEditais[Edital],0)),"Não")</f>
        <v>Sim</v>
      </c>
      <c r="P9461" s="4">
        <f>IF(COUNTIFS(INDEX(tItens[Edital],1):tItens[[#This Row],[Edital]],tItens[[#This Row],[Edital]],INDEX(tItens[Produto],1):tItens[[#This Row],[Produto]],tItens[[#This Row],[Produto]])=1,1,0)</f>
        <v>1</v>
      </c>
    </row>
    <row r="9462" spans="1:16" x14ac:dyDescent="0.25">
      <c r="A9462" t="s">
        <v>3227</v>
      </c>
      <c r="B9462">
        <v>169</v>
      </c>
      <c r="C9462" t="s">
        <v>11755</v>
      </c>
      <c r="D9462" t="s">
        <v>343</v>
      </c>
      <c r="E9462" s="13">
        <v>10</v>
      </c>
      <c r="F9462" s="12">
        <v>128.16999999999999</v>
      </c>
      <c r="G9462" t="str">
        <f>IFERROR(INDEX(tEditais[Órgão],MATCH(tItens[[#This Row],[Edital]],tEditais[Edital],0)),"")</f>
        <v>FUNDO MUNICIPAL DE SAUDE DE PEDRO AFONSO</v>
      </c>
      <c r="H9462" t="str">
        <f>IFERROR(INDEX(tEditais[UF],MATCH(tItens[[#This Row],[Edital]],tEditais[Edital],0)),"")</f>
        <v>TO</v>
      </c>
      <c r="I9462" s="11">
        <f>IFERROR(INDEX(tEditais[Encerramento],MATCH(tItens[[#This Row],[Edital]],tEditais[Edital],0)),"")</f>
        <v>46314.999305555553</v>
      </c>
      <c r="J9462" t="str">
        <f>IFERROR(INDEX(tProdutos[Classe],MATCH(tItens[[#This Row],[Produto]],tProdutos[Produto],0)),"produto não cadastrado")</f>
        <v>FORA</v>
      </c>
      <c r="K9462" s="12">
        <f>tItens[[#This Row],[Qtd]]*tItens[[#This Row],[Vlr unit]]</f>
        <v>1281.6999999999998</v>
      </c>
      <c r="L9462" s="6">
        <f>IFERROR(IF(INDEX(tProdutos[Desconto homologado],MATCH(tItens[[#This Row],[Produto]],tProdutos[Produto],0))="",DescontoPadrao,INDEX(tProdutos[Desconto homologado],MATCH(tItens[[#This Row],[Produto]],tProdutos[Produto],0))),DescontoPadrao)</f>
        <v>0.35412234042553198</v>
      </c>
      <c r="M9462" s="12">
        <f>tItens[[#This Row],[Valor]]*(1-tItens[[#This Row],[Desconto]])</f>
        <v>827.82139627659546</v>
      </c>
      <c r="N9462" t="str">
        <f>IFERROR(INDEX(tProdutos[Foco],MATCH(tItens[[#This Row],[Produto]],tProdutos[Produto],0)),"Não")</f>
        <v>Não</v>
      </c>
      <c r="O9462" t="str">
        <f>IFERROR(INDEX(tEditais[SRP],MATCH(tItens[[#This Row],[Edital]],tEditais[Edital],0)),"Não")</f>
        <v>Sim</v>
      </c>
      <c r="P9462" s="4">
        <f>IF(COUNTIFS(INDEX(tItens[Edital],1):tItens[[#This Row],[Edital]],tItens[[#This Row],[Edital]],INDEX(tItens[Produto],1):tItens[[#This Row],[Produto]],tItens[[#This Row],[Produto]])=1,1,0)</f>
        <v>0</v>
      </c>
    </row>
    <row r="9463" spans="1:16" x14ac:dyDescent="0.25">
      <c r="A9463" t="s">
        <v>3227</v>
      </c>
      <c r="B9463">
        <v>170</v>
      </c>
      <c r="C9463" t="s">
        <v>11756</v>
      </c>
      <c r="D9463" t="s">
        <v>343</v>
      </c>
      <c r="E9463" s="13">
        <v>10</v>
      </c>
      <c r="F9463" s="12">
        <v>179.42</v>
      </c>
      <c r="G9463" t="str">
        <f>IFERROR(INDEX(tEditais[Órgão],MATCH(tItens[[#This Row],[Edital]],tEditais[Edital],0)),"")</f>
        <v>FUNDO MUNICIPAL DE SAUDE DE PEDRO AFONSO</v>
      </c>
      <c r="H9463" t="str">
        <f>IFERROR(INDEX(tEditais[UF],MATCH(tItens[[#This Row],[Edital]],tEditais[Edital],0)),"")</f>
        <v>TO</v>
      </c>
      <c r="I9463" s="11">
        <f>IFERROR(INDEX(tEditais[Encerramento],MATCH(tItens[[#This Row],[Edital]],tEditais[Edital],0)),"")</f>
        <v>46314.999305555553</v>
      </c>
      <c r="J9463" t="str">
        <f>IFERROR(INDEX(tProdutos[Classe],MATCH(tItens[[#This Row],[Produto]],tProdutos[Produto],0)),"produto não cadastrado")</f>
        <v>FORA</v>
      </c>
      <c r="K9463" s="12">
        <f>tItens[[#This Row],[Qtd]]*tItens[[#This Row],[Vlr unit]]</f>
        <v>1794.1999999999998</v>
      </c>
      <c r="L9463" s="6">
        <f>IFERROR(IF(INDEX(tProdutos[Desconto homologado],MATCH(tItens[[#This Row],[Produto]],tProdutos[Produto],0))="",DescontoPadrao,INDEX(tProdutos[Desconto homologado],MATCH(tItens[[#This Row],[Produto]],tProdutos[Produto],0))),DescontoPadrao)</f>
        <v>0.35412234042553198</v>
      </c>
      <c r="M9463" s="12">
        <f>tItens[[#This Row],[Valor]]*(1-tItens[[#This Row],[Desconto]])</f>
        <v>1158.8336968085102</v>
      </c>
      <c r="N9463" t="str">
        <f>IFERROR(INDEX(tProdutos[Foco],MATCH(tItens[[#This Row],[Produto]],tProdutos[Produto],0)),"Não")</f>
        <v>Não</v>
      </c>
      <c r="O9463" t="str">
        <f>IFERROR(INDEX(tEditais[SRP],MATCH(tItens[[#This Row],[Edital]],tEditais[Edital],0)),"Não")</f>
        <v>Sim</v>
      </c>
      <c r="P9463" s="4">
        <f>IF(COUNTIFS(INDEX(tItens[Edital],1):tItens[[#This Row],[Edital]],tItens[[#This Row],[Edital]],INDEX(tItens[Produto],1):tItens[[#This Row],[Produto]],tItens[[#This Row],[Produto]])=1,1,0)</f>
        <v>0</v>
      </c>
    </row>
    <row r="9464" spans="1:16" x14ac:dyDescent="0.25">
      <c r="A9464" t="s">
        <v>3227</v>
      </c>
      <c r="B9464">
        <v>188</v>
      </c>
      <c r="C9464" t="s">
        <v>11757</v>
      </c>
      <c r="D9464" t="s">
        <v>56</v>
      </c>
      <c r="E9464" s="13">
        <v>100</v>
      </c>
      <c r="F9464" s="12">
        <v>27.26</v>
      </c>
      <c r="G9464" t="str">
        <f>IFERROR(INDEX(tEditais[Órgão],MATCH(tItens[[#This Row],[Edital]],tEditais[Edital],0)),"")</f>
        <v>FUNDO MUNICIPAL DE SAUDE DE PEDRO AFONSO</v>
      </c>
      <c r="H9464" t="str">
        <f>IFERROR(INDEX(tEditais[UF],MATCH(tItens[[#This Row],[Edital]],tEditais[Edital],0)),"")</f>
        <v>TO</v>
      </c>
      <c r="I9464" s="11">
        <f>IFERROR(INDEX(tEditais[Encerramento],MATCH(tItens[[#This Row],[Edital]],tEditais[Edital],0)),"")</f>
        <v>46314.999305555553</v>
      </c>
      <c r="J9464" t="str">
        <f>IFERROR(INDEX(tProdutos[Classe],MATCH(tItens[[#This Row],[Produto]],tProdutos[Produto],0)),"produto não cadastrado")</f>
        <v>NÚCLEO</v>
      </c>
      <c r="K9464" s="12">
        <f>tItens[[#This Row],[Qtd]]*tItens[[#This Row],[Vlr unit]]</f>
        <v>2726</v>
      </c>
      <c r="L9464" s="6">
        <f>IFERROR(IF(INDEX(tProdutos[Desconto homologado],MATCH(tItens[[#This Row],[Produto]],tProdutos[Produto],0))="",DescontoPadrao,INDEX(tProdutos[Desconto homologado],MATCH(tItens[[#This Row],[Produto]],tProdutos[Produto],0))),DescontoPadrao)</f>
        <v>0.34</v>
      </c>
      <c r="M9464" s="12">
        <f>tItens[[#This Row],[Valor]]*(1-tItens[[#This Row],[Desconto]])</f>
        <v>1799.1599999999999</v>
      </c>
      <c r="N9464" t="str">
        <f>IFERROR(INDEX(tProdutos[Foco],MATCH(tItens[[#This Row],[Produto]],tProdutos[Produto],0)),"Não")</f>
        <v>Sim</v>
      </c>
      <c r="O9464" t="str">
        <f>IFERROR(INDEX(tEditais[SRP],MATCH(tItens[[#This Row],[Edital]],tEditais[Edital],0)),"Não")</f>
        <v>Sim</v>
      </c>
      <c r="P9464" s="4">
        <f>IF(COUNTIFS(INDEX(tItens[Edital],1):tItens[[#This Row],[Edital]],tItens[[#This Row],[Edital]],INDEX(tItens[Produto],1):tItens[[#This Row],[Produto]],tItens[[#This Row],[Produto]])=1,1,0)</f>
        <v>0</v>
      </c>
    </row>
    <row r="9465" spans="1:16" x14ac:dyDescent="0.25">
      <c r="A9465" t="s">
        <v>3227</v>
      </c>
      <c r="B9465">
        <v>189</v>
      </c>
      <c r="C9465" t="s">
        <v>11758</v>
      </c>
      <c r="D9465" t="s">
        <v>56</v>
      </c>
      <c r="E9465" s="13">
        <v>100</v>
      </c>
      <c r="F9465" s="12">
        <v>28.54</v>
      </c>
      <c r="G9465" t="str">
        <f>IFERROR(INDEX(tEditais[Órgão],MATCH(tItens[[#This Row],[Edital]],tEditais[Edital],0)),"")</f>
        <v>FUNDO MUNICIPAL DE SAUDE DE PEDRO AFONSO</v>
      </c>
      <c r="H9465" t="str">
        <f>IFERROR(INDEX(tEditais[UF],MATCH(tItens[[#This Row],[Edital]],tEditais[Edital],0)),"")</f>
        <v>TO</v>
      </c>
      <c r="I9465" s="11">
        <f>IFERROR(INDEX(tEditais[Encerramento],MATCH(tItens[[#This Row],[Edital]],tEditais[Edital],0)),"")</f>
        <v>46314.999305555553</v>
      </c>
      <c r="J9465" t="str">
        <f>IFERROR(INDEX(tProdutos[Classe],MATCH(tItens[[#This Row],[Produto]],tProdutos[Produto],0)),"produto não cadastrado")</f>
        <v>NÚCLEO</v>
      </c>
      <c r="K9465" s="12">
        <f>tItens[[#This Row],[Qtd]]*tItens[[#This Row],[Vlr unit]]</f>
        <v>2854</v>
      </c>
      <c r="L9465" s="6">
        <f>IFERROR(IF(INDEX(tProdutos[Desconto homologado],MATCH(tItens[[#This Row],[Produto]],tProdutos[Produto],0))="",DescontoPadrao,INDEX(tProdutos[Desconto homologado],MATCH(tItens[[#This Row],[Produto]],tProdutos[Produto],0))),DescontoPadrao)</f>
        <v>0.34</v>
      </c>
      <c r="M9465" s="12">
        <f>tItens[[#This Row],[Valor]]*(1-tItens[[#This Row],[Desconto]])</f>
        <v>1883.6399999999999</v>
      </c>
      <c r="N9465" t="str">
        <f>IFERROR(INDEX(tProdutos[Foco],MATCH(tItens[[#This Row],[Produto]],tProdutos[Produto],0)),"Não")</f>
        <v>Sim</v>
      </c>
      <c r="O9465" t="str">
        <f>IFERROR(INDEX(tEditais[SRP],MATCH(tItens[[#This Row],[Edital]],tEditais[Edital],0)),"Não")</f>
        <v>Sim</v>
      </c>
      <c r="P9465" s="4">
        <f>IF(COUNTIFS(INDEX(tItens[Edital],1):tItens[[#This Row],[Edital]],tItens[[#This Row],[Edital]],INDEX(tItens[Produto],1):tItens[[#This Row],[Produto]],tItens[[#This Row],[Produto]])=1,1,0)</f>
        <v>0</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AA2EF-94C8-4BD3-9A88-BB74D735E34D}">
  <dimension ref="A1:B21"/>
  <sheetViews>
    <sheetView workbookViewId="0"/>
  </sheetViews>
  <sheetFormatPr defaultRowHeight="15" x14ac:dyDescent="0.25"/>
  <cols>
    <col min="1" max="1" width="34.7109375" customWidth="1"/>
    <col min="2" max="2" width="110.7109375" customWidth="1"/>
  </cols>
  <sheetData>
    <row r="1" spans="1:2" x14ac:dyDescent="0.25">
      <c r="A1" t="s">
        <v>36</v>
      </c>
      <c r="B1" t="s">
        <v>11804</v>
      </c>
    </row>
    <row r="2" spans="1:2" x14ac:dyDescent="0.25">
      <c r="A2" t="s">
        <v>56</v>
      </c>
      <c r="B2" t="s">
        <v>11805</v>
      </c>
    </row>
    <row r="3" spans="1:2" x14ac:dyDescent="0.25">
      <c r="A3" t="s">
        <v>60</v>
      </c>
      <c r="B3" t="s">
        <v>11806</v>
      </c>
    </row>
    <row r="4" spans="1:2" x14ac:dyDescent="0.25">
      <c r="A4" t="s">
        <v>62</v>
      </c>
      <c r="B4" t="s">
        <v>11807</v>
      </c>
    </row>
    <row r="5" spans="1:2" x14ac:dyDescent="0.25">
      <c r="A5" t="s">
        <v>73</v>
      </c>
      <c r="B5" t="s">
        <v>11808</v>
      </c>
    </row>
    <row r="6" spans="1:2" x14ac:dyDescent="0.25">
      <c r="A6" t="s">
        <v>75</v>
      </c>
      <c r="B6" t="s">
        <v>11809</v>
      </c>
    </row>
    <row r="7" spans="1:2" x14ac:dyDescent="0.25">
      <c r="A7" t="s">
        <v>77</v>
      </c>
      <c r="B7" t="s">
        <v>11810</v>
      </c>
    </row>
    <row r="8" spans="1:2" x14ac:dyDescent="0.25">
      <c r="A8" t="s">
        <v>80</v>
      </c>
      <c r="B8" t="s">
        <v>11811</v>
      </c>
    </row>
    <row r="9" spans="1:2" x14ac:dyDescent="0.25">
      <c r="A9" t="s">
        <v>92</v>
      </c>
      <c r="B9" t="s">
        <v>11812</v>
      </c>
    </row>
    <row r="10" spans="1:2" x14ac:dyDescent="0.25">
      <c r="A10" t="s">
        <v>94</v>
      </c>
      <c r="B10" t="s">
        <v>11813</v>
      </c>
    </row>
    <row r="11" spans="1:2" x14ac:dyDescent="0.25">
      <c r="A11" t="s">
        <v>98</v>
      </c>
      <c r="B11" t="s">
        <v>11814</v>
      </c>
    </row>
    <row r="12" spans="1:2" x14ac:dyDescent="0.25">
      <c r="A12" t="s">
        <v>100</v>
      </c>
      <c r="B12" t="s">
        <v>11815</v>
      </c>
    </row>
    <row r="13" spans="1:2" x14ac:dyDescent="0.25">
      <c r="A13" t="s">
        <v>104</v>
      </c>
      <c r="B13" t="s">
        <v>11816</v>
      </c>
    </row>
    <row r="14" spans="1:2" x14ac:dyDescent="0.25">
      <c r="A14" t="s">
        <v>124</v>
      </c>
      <c r="B14" t="s">
        <v>11817</v>
      </c>
    </row>
    <row r="15" spans="1:2" x14ac:dyDescent="0.25">
      <c r="A15" t="s">
        <v>126</v>
      </c>
      <c r="B15" t="s">
        <v>11818</v>
      </c>
    </row>
    <row r="16" spans="1:2" x14ac:dyDescent="0.25">
      <c r="A16" t="s">
        <v>130</v>
      </c>
      <c r="B16" t="s">
        <v>11819</v>
      </c>
    </row>
    <row r="17" spans="1:2" x14ac:dyDescent="0.25">
      <c r="A17" t="s">
        <v>132</v>
      </c>
      <c r="B17" t="s">
        <v>11820</v>
      </c>
    </row>
    <row r="18" spans="1:2" x14ac:dyDescent="0.25">
      <c r="A18" t="s">
        <v>134</v>
      </c>
      <c r="B18" t="s">
        <v>11821</v>
      </c>
    </row>
    <row r="19" spans="1:2" x14ac:dyDescent="0.25">
      <c r="A19" t="s">
        <v>160</v>
      </c>
      <c r="B19" t="s">
        <v>11822</v>
      </c>
    </row>
    <row r="20" spans="1:2" x14ac:dyDescent="0.25">
      <c r="A20" t="s">
        <v>170</v>
      </c>
      <c r="B20" t="s">
        <v>11823</v>
      </c>
    </row>
    <row r="21" spans="1:2" x14ac:dyDescent="0.25">
      <c r="A21" t="s">
        <v>421</v>
      </c>
      <c r="B21" t="s">
        <v>11824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18</vt:i4>
      </vt:variant>
    </vt:vector>
  </HeadingPairs>
  <TitlesOfParts>
    <vt:vector size="26" baseType="lpstr">
      <vt:lpstr>Leia-me</vt:lpstr>
      <vt:lpstr>Premissas</vt:lpstr>
      <vt:lpstr>Projeção</vt:lpstr>
      <vt:lpstr>Metas</vt:lpstr>
      <vt:lpstr>Produtos</vt:lpstr>
      <vt:lpstr>Editais</vt:lpstr>
      <vt:lpstr>Itens</vt:lpstr>
      <vt:lpstr>Palavras-chave</vt:lpstr>
      <vt:lpstr>CockpitCards</vt:lpstr>
      <vt:lpstr>CockpitDias</vt:lpstr>
      <vt:lpstr>CompraDireta1</vt:lpstr>
      <vt:lpstr>DescontoPadrao</vt:lpstr>
      <vt:lpstr>DiasJanela</vt:lpstr>
      <vt:lpstr>DiasMes</vt:lpstr>
      <vt:lpstr>FaixaA_Min</vt:lpstr>
      <vt:lpstr>FaixaB_Min</vt:lpstr>
      <vt:lpstr>MargemMin</vt:lpstr>
      <vt:lpstr>MargemTop</vt:lpstr>
      <vt:lpstr>MercadoTop</vt:lpstr>
      <vt:lpstr>MinEditais</vt:lpstr>
      <vt:lpstr>ModoFoco</vt:lpstr>
      <vt:lpstr>PesoDez</vt:lpstr>
      <vt:lpstr>PesoNov</vt:lpstr>
      <vt:lpstr>PesoOut</vt:lpstr>
      <vt:lpstr>SRPTop</vt:lpstr>
      <vt:lpstr>TopN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 Cabral</dc:creator>
  <cp:lastModifiedBy>Stefan Cabral</cp:lastModifiedBy>
  <dcterms:created xsi:type="dcterms:W3CDTF">2026-10-15T19:09:03Z</dcterms:created>
  <dcterms:modified xsi:type="dcterms:W3CDTF">2026-10-15T19:09:07Z</dcterms:modified>
</cp:coreProperties>
</file>